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seudomonas_savastanoi_pv_phas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<sst xmlns="http://schemas.openxmlformats.org/spreadsheetml/2006/main" count="159316" uniqueCount="66126">
  <si>
    <t xml:space="preserve">Chromosome</t>
  </si>
  <si>
    <t xml:space="preserve">Left</t>
  </si>
  <si>
    <t xml:space="preserve">Right</t>
  </si>
  <si>
    <t xml:space="preserve">Locus Tag</t>
  </si>
  <si>
    <t xml:space="preserve">Gene Name</t>
  </si>
  <si>
    <t xml:space="preserve">Direction (Anti)</t>
  </si>
  <si>
    <t xml:space="preserve">PAM</t>
  </si>
  <si>
    <t xml:space="preserve">Offset</t>
  </si>
  <si>
    <t xml:space="preserve">Target</t>
  </si>
  <si>
    <t xml:space="preserve">Upper Oligo</t>
  </si>
  <si>
    <t xml:space="preserve">Bottom Oligos</t>
  </si>
  <si>
    <t xml:space="preserve">NCBI Track URL</t>
  </si>
  <si>
    <t xml:space="preserve">CP000058.1</t>
  </si>
  <si>
    <t xml:space="preserve">PSPPH_0001</t>
  </si>
  <si>
    <t xml:space="preserve">dnaA</t>
  </si>
  <si>
    <t xml:space="preserve">-</t>
  </si>
  <si>
    <t xml:space="preserve">CGG</t>
  </si>
  <si>
    <t xml:space="preserve">CTGCCAAAGTTCCACTGACA</t>
  </si>
  <si>
    <t xml:space="preserve">TAGTCTGCCAAAGTTCCACTGACA</t>
  </si>
  <si>
    <t xml:space="preserve">AAACTGTCAGTGGAACTTTGGCAG</t>
  </si>
  <si>
    <t xml:space="preserve">AGG</t>
  </si>
  <si>
    <t xml:space="preserve">CAAGTGTTGAATTGCTGGGC</t>
  </si>
  <si>
    <t xml:space="preserve">TAGTCAAGTGTTGAATTGCTGGGC</t>
  </si>
  <si>
    <t xml:space="preserve">AAACGCCCAGCAATTCAACACTTG</t>
  </si>
  <si>
    <t xml:space="preserve">CGGCTTCGACCTGTAGCGGA</t>
  </si>
  <si>
    <t xml:space="preserve">TAGTCGGCTTCGACCTGTAGCGGA</t>
  </si>
  <si>
    <t xml:space="preserve">AAACTCCGCTACAGGTCGAAGCCG</t>
  </si>
  <si>
    <t xml:space="preserve">CACACGCAACTCGTCGCCTT</t>
  </si>
  <si>
    <t xml:space="preserve">TAGTCACACGCAACTCGTCGCCTT</t>
  </si>
  <si>
    <t xml:space="preserve">AAACAAGGCGACGAGTTGCGTGTG</t>
  </si>
  <si>
    <t xml:space="preserve">PSPPH_0002</t>
  </si>
  <si>
    <t xml:space="preserve">dnaN</t>
  </si>
  <si>
    <t xml:space="preserve">TGG</t>
  </si>
  <si>
    <t xml:space="preserve">GCGTTGAATGGTGAAATGCA</t>
  </si>
  <si>
    <t xml:space="preserve">TAGTGCGTTGAATGGTGAAATGCA</t>
  </si>
  <si>
    <t xml:space="preserve">AAACTGCATTTCACCATTCAACGC</t>
  </si>
  <si>
    <t xml:space="preserve">GGG</t>
  </si>
  <si>
    <t xml:space="preserve">CAATTGCAGGGGTTTCAACA</t>
  </si>
  <si>
    <t xml:space="preserve">TAGTCAATTGCAGGGGTTTCAACA</t>
  </si>
  <si>
    <t xml:space="preserve">AAACTGTTGAAACCCCTGCAATTG</t>
  </si>
  <si>
    <t xml:space="preserve">CTGGCGGCGTTCTACCACGC</t>
  </si>
  <si>
    <t xml:space="preserve">TAGTCTGGCGGCGTTCTACCACGC</t>
  </si>
  <si>
    <t xml:space="preserve">AAACGCGTGGTAGAACGCCGCCAG</t>
  </si>
  <si>
    <t xml:space="preserve">CACATTGGAAAGAACCGGCA</t>
  </si>
  <si>
    <t xml:space="preserve">TAGTCACATTGGAAAGAACCGGCA</t>
  </si>
  <si>
    <t xml:space="preserve">AAACTGCCGGTTCTTTCCAATGTG</t>
  </si>
  <si>
    <t xml:space="preserve">PSPPH_0003</t>
  </si>
  <si>
    <t xml:space="preserve">recF</t>
  </si>
  <si>
    <t xml:space="preserve">CGGGTGCAGATTGCGCACCC</t>
  </si>
  <si>
    <t xml:space="preserve">TAGTCGGGTGCAGATTGCGCACCC</t>
  </si>
  <si>
    <t xml:space="preserve">AAACGGGTGCGCAATCTGCACCCG</t>
  </si>
  <si>
    <t xml:space="preserve">GGGGAGGGGGAGAGGGTCAC</t>
  </si>
  <si>
    <t xml:space="preserve">TAGTGGGGAGGGGGAGAGGGTCAC</t>
  </si>
  <si>
    <t xml:space="preserve">AAACGTGACCCTCTCCCCCTCCCC</t>
  </si>
  <si>
    <t xml:space="preserve">CGTAGAGGATATTGATACGC</t>
  </si>
  <si>
    <t xml:space="preserve">TAGTCGTAGAGGATATTGATACGC</t>
  </si>
  <si>
    <t xml:space="preserve">AAACGCGTATCAATATCCTCTACG</t>
  </si>
  <si>
    <t xml:space="preserve">GTGGATGGCTTCCAGAACAC</t>
  </si>
  <si>
    <t xml:space="preserve">TAGTGTGGATGGCTTCCAGAACAC</t>
  </si>
  <si>
    <t xml:space="preserve">AAACGTGTTCTGGAAGCCATCCAC</t>
  </si>
  <si>
    <t xml:space="preserve">PSPPH_0004</t>
  </si>
  <si>
    <t xml:space="preserve">gyrB</t>
  </si>
  <si>
    <t xml:space="preserve">TGCTGGACGAGTCGTACGTT</t>
  </si>
  <si>
    <t xml:space="preserve">TAGTTGCTGGACGAGTCGTACGTT</t>
  </si>
  <si>
    <t xml:space="preserve">AAACAACGTACGACTCGTCCAGCA</t>
  </si>
  <si>
    <t xml:space="preserve">CATTCCGGGACGCTTGCGTA</t>
  </si>
  <si>
    <t xml:space="preserve">TAGTCATTCCGGGACGCTTGCGTA</t>
  </si>
  <si>
    <t xml:space="preserve">AAACTACGCAAGCGTCCCGGAATG</t>
  </si>
  <si>
    <t xml:space="preserve">CAACCACCTCGAACACCATG</t>
  </si>
  <si>
    <t xml:space="preserve">TAGTCAACCACCTCGAACACCATG</t>
  </si>
  <si>
    <t xml:space="preserve">AAACCATGGTGTTCGAGGTGGTTG</t>
  </si>
  <si>
    <t xml:space="preserve">TAATGCTGATGTCGTCGCAA</t>
  </si>
  <si>
    <t xml:space="preserve">TAGTTAATGCTGATGTCGTCGCAA</t>
  </si>
  <si>
    <t xml:space="preserve">AAACTTGCGACGACATCAGCATTA</t>
  </si>
  <si>
    <t xml:space="preserve">PSPPH_0005</t>
  </si>
  <si>
    <t xml:space="preserve">.</t>
  </si>
  <si>
    <t xml:space="preserve">TCGACGGGGATCAGAGGTGC</t>
  </si>
  <si>
    <t xml:space="preserve">TAGTTCGACGGGGATCAGAGGTGC</t>
  </si>
  <si>
    <t xml:space="preserve">AAACGCACCTCTGATCCCCGTCGA</t>
  </si>
  <si>
    <t xml:space="preserve">CTCCAAGGGAAGCTTGGGGG</t>
  </si>
  <si>
    <t xml:space="preserve">TAGTCTCCAAGGGAAGCTTGGGGG</t>
  </si>
  <si>
    <t xml:space="preserve">AAACCCCCCAAGCTTCCCTTGGAG</t>
  </si>
  <si>
    <t xml:space="preserve">GCGCAGGGCGAGGTAGTAGG</t>
  </si>
  <si>
    <t xml:space="preserve">TAGTGCGCAGGGCGAGGTAGTAGG</t>
  </si>
  <si>
    <t xml:space="preserve">AAACCCTACTACCTCGCCCTGCGC</t>
  </si>
  <si>
    <t xml:space="preserve">TCGATTGCTCGGCACCGATA</t>
  </si>
  <si>
    <t xml:space="preserve">TAGTTCGATTGCTCGGCACCGATA</t>
  </si>
  <si>
    <t xml:space="preserve">AAACTATCGGTGCCGAGCAATCGA</t>
  </si>
  <si>
    <t xml:space="preserve">PSPPH_0009</t>
  </si>
  <si>
    <t xml:space="preserve">plsC</t>
  </si>
  <si>
    <t xml:space="preserve">+</t>
  </si>
  <si>
    <t xml:space="preserve">CAGCAACAGGTAGAAAAAGA</t>
  </si>
  <si>
    <t xml:space="preserve">TAGTCAGCAACAGGTAGAAAAAGA</t>
  </si>
  <si>
    <t xml:space="preserve">AAACTCTTTTTCTACCTGTTGCTG</t>
  </si>
  <si>
    <t xml:space="preserve">CGTGCACCACAACAGCGAGC</t>
  </si>
  <si>
    <t xml:space="preserve">TAGTCGTGCACCACAACAGCGAGC</t>
  </si>
  <si>
    <t xml:space="preserve">AAACGCTCGCTGTTGTGGTGCACG</t>
  </si>
  <si>
    <t xml:space="preserve">CGGGCTTTGAACGGCAGAAA</t>
  </si>
  <si>
    <t xml:space="preserve">TAGTCGGGCTTTGAACGGCAGAAA</t>
  </si>
  <si>
    <t xml:space="preserve">AAACTTTCTGCCGTTCAAAGCCCG</t>
  </si>
  <si>
    <t xml:space="preserve">AGACGTTAATGAAGCGATAG</t>
  </si>
  <si>
    <t xml:space="preserve">TAGTAGACGTTAATGAAGCGATAG</t>
  </si>
  <si>
    <t xml:space="preserve">AAACCTATCGCTTCATTAACGTCT</t>
  </si>
  <si>
    <t xml:space="preserve">PSPPH_0010</t>
  </si>
  <si>
    <t xml:space="preserve">TTATGTAAGCATCGGAGTCA</t>
  </si>
  <si>
    <t xml:space="preserve">TAGTTTATGTAAGCATCGGAGTCA</t>
  </si>
  <si>
    <t xml:space="preserve">AAACTGACTCCGATGCTTACATAA</t>
  </si>
  <si>
    <t xml:space="preserve">GCCTTGATCGAGCCGGGAAT</t>
  </si>
  <si>
    <t xml:space="preserve">TAGTGCCTTGATCGAGCCGGGAAT</t>
  </si>
  <si>
    <t xml:space="preserve">AAACATTCCCGGCTCGATCAAGGC</t>
  </si>
  <si>
    <t xml:space="preserve">GGCGACGGCCACCGTCCAGC</t>
  </si>
  <si>
    <t xml:space="preserve">TAGTGGCGACGGCCACCGTCCAGC</t>
  </si>
  <si>
    <t xml:space="preserve">AAACGCTGGACGGTGGCCGTCGCC</t>
  </si>
  <si>
    <t xml:space="preserve">GGCAATGCCCGACTGGTTAG</t>
  </si>
  <si>
    <t xml:space="preserve">TAGTGGCAATGCCCGACTGGTTAG</t>
  </si>
  <si>
    <t xml:space="preserve">AAACCTAACCAGTCGGGCATTGCC</t>
  </si>
  <si>
    <t xml:space="preserve">PSPPH_0011</t>
  </si>
  <si>
    <t xml:space="preserve">glyS</t>
  </si>
  <si>
    <t xml:space="preserve">AGGGAAACGAGGGTCTTGGG</t>
  </si>
  <si>
    <t xml:space="preserve">TAGTAGGGAAACGAGGGTCTTGGG</t>
  </si>
  <si>
    <t xml:space="preserve">AAACCCCAAGACCCTCGTTTCCCT</t>
  </si>
  <si>
    <t xml:space="preserve">CGGCCAGAAATGCATCTGCC</t>
  </si>
  <si>
    <t xml:space="preserve">TAGTCGGCCAGAAATGCATCTGCC</t>
  </si>
  <si>
    <t xml:space="preserve">AAACGGCAGATGCATTTCTGGCCG</t>
  </si>
  <si>
    <t xml:space="preserve">CGACAGGCCTTTTTCAATAC</t>
  </si>
  <si>
    <t xml:space="preserve">TAGTCGACAGGCCTTTTTCAATAC</t>
  </si>
  <si>
    <t xml:space="preserve">AAACGTATTGAAAAAGGCCTGTCG</t>
  </si>
  <si>
    <t xml:space="preserve">GTAGACCTGTTTGGCGCTGT</t>
  </si>
  <si>
    <t xml:space="preserve">TAGTGTAGACCTGTTTGGCGCTGT</t>
  </si>
  <si>
    <t xml:space="preserve">AAACACAGCGCCAAACAGGTCTAC</t>
  </si>
  <si>
    <t xml:space="preserve">PSPPH_0012</t>
  </si>
  <si>
    <t xml:space="preserve">glyQ</t>
  </si>
  <si>
    <t xml:space="preserve">GAGCGGGAGTATACCCGATT</t>
  </si>
  <si>
    <t xml:space="preserve">TAGTGAGCGGGAGTATACCCGATT</t>
  </si>
  <si>
    <t xml:space="preserve">AAACAATCGGGTATACTCCCGCTC</t>
  </si>
  <si>
    <t xml:space="preserve">TCACAAATTTCACCTGTGCT</t>
  </si>
  <si>
    <t xml:space="preserve">TAGTTCACAAATTTCACCTGTGCT</t>
  </si>
  <si>
    <t xml:space="preserve">AAACAGCACAGGTGAAATTTGTGA</t>
  </si>
  <si>
    <t xml:space="preserve">TACGCACGGCTGGCGTAGGC</t>
  </si>
  <si>
    <t xml:space="preserve">TAGTTACGCACGGCTGGCGTAGGC</t>
  </si>
  <si>
    <t xml:space="preserve">AAACGCCTACGCCAGCCGTGCGTA</t>
  </si>
  <si>
    <t xml:space="preserve">GGCGAGGATCAAGTCTTGGA</t>
  </si>
  <si>
    <t xml:space="preserve">TAGTGGCGAGGATCAAGTCTTGGA</t>
  </si>
  <si>
    <t xml:space="preserve">AAACTCCAAGACTTGATCCTCGCC</t>
  </si>
  <si>
    <t xml:space="preserve">PSPPH_0013</t>
  </si>
  <si>
    <t xml:space="preserve">tag</t>
  </si>
  <si>
    <t xml:space="preserve">CACCAAAAGCAGCGTGTCAT</t>
  </si>
  <si>
    <t xml:space="preserve">TAGTCACCAAAAGCAGCGTGTCAT</t>
  </si>
  <si>
    <t xml:space="preserve">AAACATGACACGCTGCTTTTGGTG</t>
  </si>
  <si>
    <t xml:space="preserve">CGTGATAAGCGATGTACAGG</t>
  </si>
  <si>
    <t xml:space="preserve">TAGTCGTGATAAGCGATGTACAGG</t>
  </si>
  <si>
    <t xml:space="preserve">AAACCCTGTACATCGCTTATCACG</t>
  </si>
  <si>
    <t xml:space="preserve">AGCTTCTGCGCATCGCGCAG</t>
  </si>
  <si>
    <t xml:space="preserve">TAGTAGCTTCTGCGCATCGCGCAG</t>
  </si>
  <si>
    <t xml:space="preserve">AAACCTGCGCGATGCGCAGAAGCT</t>
  </si>
  <si>
    <t xml:space="preserve">TGATCCACGACAGCCCGGCC</t>
  </si>
  <si>
    <t xml:space="preserve">TAGTTGATCCACGACAGCCCGGCC</t>
  </si>
  <si>
    <t xml:space="preserve">AAACGGCCGGGCTGTCGTGGATCA</t>
  </si>
  <si>
    <t xml:space="preserve">PSPPH_0014</t>
  </si>
  <si>
    <t xml:space="preserve">TCGCAACGCTCCGACCATTA</t>
  </si>
  <si>
    <t xml:space="preserve">TAGTTCGCAACGCTCCGACCATTA</t>
  </si>
  <si>
    <t xml:space="preserve">AAACTAATGGTCGGAGCGTTGCGA</t>
  </si>
  <si>
    <t xml:space="preserve">GCCCATTGCACCGCGCGCCA</t>
  </si>
  <si>
    <t xml:space="preserve">TAGTGCCCATTGCACCGCGCGCCA</t>
  </si>
  <si>
    <t xml:space="preserve">AAACTGGCGCGCGGTGCAATGGGC</t>
  </si>
  <si>
    <t xml:space="preserve">GCCACTTCGCGCGAGCGGTT</t>
  </si>
  <si>
    <t xml:space="preserve">TAGTGCCACTTCGCGCGAGCGGTT</t>
  </si>
  <si>
    <t xml:space="preserve">AAACAACCGCTCGCGCGAAGTGGC</t>
  </si>
  <si>
    <t xml:space="preserve">ACTCGGGGAAGCACTTGGAC</t>
  </si>
  <si>
    <t xml:space="preserve">TAGTACTCGGGGAAGCACTTGGAC</t>
  </si>
  <si>
    <t xml:space="preserve">AAACGTCCAAGTGCTTCCCCGAGT</t>
  </si>
  <si>
    <t xml:space="preserve">PSPPH_0015</t>
  </si>
  <si>
    <t xml:space="preserve">TTGAGGGAAACACTATCGTG</t>
  </si>
  <si>
    <t xml:space="preserve">TAGTTTGAGGGAAACACTATCGTG</t>
  </si>
  <si>
    <t xml:space="preserve">AAACCACGATAGTGTTTCCCTCAA</t>
  </si>
  <si>
    <t xml:space="preserve">ACGGCGCGGGTTGATTGCGG</t>
  </si>
  <si>
    <t xml:space="preserve">TAGTACGGCGCGGGTTGATTGCGG</t>
  </si>
  <si>
    <t xml:space="preserve">AAACCCGCAATCAACCCGCGCCGT</t>
  </si>
  <si>
    <t xml:space="preserve">GGAGGGGACGCAAGTGGCAC</t>
  </si>
  <si>
    <t xml:space="preserve">TAGTGGAGGGGACGCAAGTGGCAC</t>
  </si>
  <si>
    <t xml:space="preserve">AAACGTGCCACTTGCGTCCCCTCC</t>
  </si>
  <si>
    <t xml:space="preserve">GAACCTGGTGCGGATGAGTT</t>
  </si>
  <si>
    <t xml:space="preserve">TAGTGAACCTGGTGCGGATGAGTT</t>
  </si>
  <si>
    <t xml:space="preserve">AAACAACTCATCCGCACCAGGTTC</t>
  </si>
  <si>
    <t xml:space="preserve">PSPPH_0017</t>
  </si>
  <si>
    <t xml:space="preserve">GAATTTTCCGATTCGGACAT</t>
  </si>
  <si>
    <t xml:space="preserve">TAGTGAATTTTCCGATTCGGACAT</t>
  </si>
  <si>
    <t xml:space="preserve">AAACATGTCCGAATCGGAAAATTC</t>
  </si>
  <si>
    <t xml:space="preserve">TGATCCTTGAAGCGGGGCCG</t>
  </si>
  <si>
    <t xml:space="preserve">TAGTTGATCCTTGAAGCGGGGCCG</t>
  </si>
  <si>
    <t xml:space="preserve">AAACCGGCCCCGCTTCAAGGATCA</t>
  </si>
  <si>
    <t xml:space="preserve">GCCGCCCGCAGGTGTGCCGT</t>
  </si>
  <si>
    <t xml:space="preserve">TAGTGCCGCCCGCAGGTGTGCCGT</t>
  </si>
  <si>
    <t xml:space="preserve">AAACACGGCACACCTGCGGGCGGC</t>
  </si>
  <si>
    <t xml:space="preserve">TTGTTGACCGCACTGAGCGC</t>
  </si>
  <si>
    <t xml:space="preserve">TAGTTTGTTGACCGCACTGAGCGC</t>
  </si>
  <si>
    <t xml:space="preserve">AAACGCGCTCAGTGCGGTCAACAA</t>
  </si>
  <si>
    <t xml:space="preserve">PSPPH_0018</t>
  </si>
  <si>
    <t xml:space="preserve">trkA</t>
  </si>
  <si>
    <t xml:space="preserve">GGCTTCGCCCGCCAGATGCT</t>
  </si>
  <si>
    <t xml:space="preserve">TAGTGGCTTCGCCCGCCAGATGCT</t>
  </si>
  <si>
    <t xml:space="preserve">AAACAGCATCTGGCGGGCGAAGCC</t>
  </si>
  <si>
    <t xml:space="preserve">GTCGACCACGGTAATGTCGT</t>
  </si>
  <si>
    <t xml:space="preserve">TAGTGTCGACCACGGTAATGTCGT</t>
  </si>
  <si>
    <t xml:space="preserve">AAACACGACATTACCGTGGTCGAC</t>
  </si>
  <si>
    <t xml:space="preserve">ATCGCGTAACCGGTCGCCAT</t>
  </si>
  <si>
    <t xml:space="preserve">TAGTATCGCGTAACCGGTCGCCAT</t>
  </si>
  <si>
    <t xml:space="preserve">AAACATGGCGACCGGTTACGCGAT</t>
  </si>
  <si>
    <t xml:space="preserve">GCACGGTACGGATATCCAGG</t>
  </si>
  <si>
    <t xml:space="preserve">TAGTGCACGGTACGGATATCCAGG</t>
  </si>
  <si>
    <t xml:space="preserve">AAACCCTGGATATCCGTACCGTGC</t>
  </si>
  <si>
    <t xml:space="preserve">PSPPH_0019</t>
  </si>
  <si>
    <t xml:space="preserve">sun</t>
  </si>
  <si>
    <t xml:space="preserve">CCTTGGCGGCGGCCAGACGC</t>
  </si>
  <si>
    <t xml:space="preserve">TAGTCCTTGGCGGCGGCCAGACGC</t>
  </si>
  <si>
    <t xml:space="preserve">AAACGCGTCTGGCCGCCGCCAAGG</t>
  </si>
  <si>
    <t xml:space="preserve">TCGACCTTGTCCAGTTGAGT</t>
  </si>
  <si>
    <t xml:space="preserve">TAGTTCGACCTTGTCCAGTTGAGT</t>
  </si>
  <si>
    <t xml:space="preserve">AAACACTCAACTGGACAAGGTCGA</t>
  </si>
  <si>
    <t xml:space="preserve">CGAACGCCAGATCCTGAGTC</t>
  </si>
  <si>
    <t xml:space="preserve">TAGTCGAACGCCAGATCCTGAGTC</t>
  </si>
  <si>
    <t xml:space="preserve">AAACGACTCAGGATCTGGCGTTCG</t>
  </si>
  <si>
    <t xml:space="preserve">CAGGCGTGGCTGCCAGCGTG</t>
  </si>
  <si>
    <t xml:space="preserve">TAGTCAGGCGTGGCTGCCAGCGTG</t>
  </si>
  <si>
    <t xml:space="preserve">AAACCACGCTGGCAGCCACGCCTG</t>
  </si>
  <si>
    <t xml:space="preserve">PSPPH_0020</t>
  </si>
  <si>
    <t xml:space="preserve">fmt</t>
  </si>
  <si>
    <t xml:space="preserve">ATGCGCAGTGGCTCAGTCAT</t>
  </si>
  <si>
    <t xml:space="preserve">TAGTATGCGCAGTGGCTCAGTCAT</t>
  </si>
  <si>
    <t xml:space="preserve">AAACATGACTGAGCCACTGCGCAT</t>
  </si>
  <si>
    <t xml:space="preserve">GGCGGCAAATTCCGGGGTGC</t>
  </si>
  <si>
    <t xml:space="preserve">TAGTGGCGGCAAATTCCGGGGTGC</t>
  </si>
  <si>
    <t xml:space="preserve">AAACGCACCCCGGAATTTGCCGCC</t>
  </si>
  <si>
    <t xml:space="preserve">GGCTGTCGAGCAGGGCCTTG</t>
  </si>
  <si>
    <t xml:space="preserve">TAGTGGCTGTCGAGCAGGGCCTTG</t>
  </si>
  <si>
    <t xml:space="preserve">AAACCAAGGCCCTGCTCGACAGCC</t>
  </si>
  <si>
    <t xml:space="preserve">ACACGGCGACGATCTGGTAA</t>
  </si>
  <si>
    <t xml:space="preserve">TAGTACACGGCGACGATCTGGTAA</t>
  </si>
  <si>
    <t xml:space="preserve">AAACTTACCAGATCGTCGCCGTGT</t>
  </si>
  <si>
    <t xml:space="preserve">PSPPH_0021</t>
  </si>
  <si>
    <t xml:space="preserve">def1</t>
  </si>
  <si>
    <t xml:space="preserve">AAATTCGAGGATGTTTAGAA</t>
  </si>
  <si>
    <t xml:space="preserve">TAGTAAATTCGAGGATGTTTAGAA</t>
  </si>
  <si>
    <t xml:space="preserve">AAACTTCTAAACATCCTCGAATTT</t>
  </si>
  <si>
    <t xml:space="preserve">ATGGTGCGCAGGCGCGAATC</t>
  </si>
  <si>
    <t xml:space="preserve">TAGTATGGTGCGCAGGCGCGAATC</t>
  </si>
  <si>
    <t xml:space="preserve">AAACGATTCGCGCCTGCGCACCAT</t>
  </si>
  <si>
    <t xml:space="preserve">GTCTACCATCGCCACAGGTT</t>
  </si>
  <si>
    <t xml:space="preserve">TAGTGTCTACCATCGCCACAGGTT</t>
  </si>
  <si>
    <t xml:space="preserve">AAACAACCTGTGGCGATGGTAGAC</t>
  </si>
  <si>
    <t xml:space="preserve">CAAACATGTCGTCGACCAAC</t>
  </si>
  <si>
    <t xml:space="preserve">TAGTCAAACATGTCGTCGACCAAC</t>
  </si>
  <si>
    <t xml:space="preserve">AAACGTTGGTCGACGACATGTTTG</t>
  </si>
  <si>
    <t xml:space="preserve">PSPPH_0022</t>
  </si>
  <si>
    <t xml:space="preserve">GCTGGCGGTCAACAGCAGCA</t>
  </si>
  <si>
    <t xml:space="preserve">TAGTGCTGGCGGTCAACAGCAGCA</t>
  </si>
  <si>
    <t xml:space="preserve">AAACTGCTGCTGTTGACCGCCAGC</t>
  </si>
  <si>
    <t xml:space="preserve">GCGACAACGGTGTAGCTCTG</t>
  </si>
  <si>
    <t xml:space="preserve">TAGTGCGACAACGGTGTAGCTCTG</t>
  </si>
  <si>
    <t xml:space="preserve">AAACCAGAGCTACACCGTTGTCGC</t>
  </si>
  <si>
    <t xml:space="preserve">AATGTCCCAGAGTGTGTCCC</t>
  </si>
  <si>
    <t xml:space="preserve">TAGTAATGTCCCAGAGTGTGTCCC</t>
  </si>
  <si>
    <t xml:space="preserve">AAACGGGACACACTCTGGGACATT</t>
  </si>
  <si>
    <t xml:space="preserve">CGGTTCACGCAAAAACTTGC</t>
  </si>
  <si>
    <t xml:space="preserve">TAGTCGGTTCACGCAAAAACTTGC</t>
  </si>
  <si>
    <t xml:space="preserve">AAACGCAAGTTTTTGCGTGAACCG</t>
  </si>
  <si>
    <t xml:space="preserve">PSPPH_0023</t>
  </si>
  <si>
    <t xml:space="preserve">smf</t>
  </si>
  <si>
    <t xml:space="preserve">GAGAGGGCATTTTCGAACAG</t>
  </si>
  <si>
    <t xml:space="preserve">TAGTGAGAGGGCATTTTCGAACAG</t>
  </si>
  <si>
    <t xml:space="preserve">AAACCTGTTCGAAAATGCCCTCTC</t>
  </si>
  <si>
    <t xml:space="preserve">AGACGGGCTTCCAGCTCTGC</t>
  </si>
  <si>
    <t xml:space="preserve">TAGTAGACGGGCTTCCAGCTCTGC</t>
  </si>
  <si>
    <t xml:space="preserve">AAACGCAGAGCTGGAAGCCCGTCT</t>
  </si>
  <si>
    <t xml:space="preserve">AAGCGTTTCGGTCCGATCTC</t>
  </si>
  <si>
    <t xml:space="preserve">TAGTAAGCGTTTCGGTCCGATCTC</t>
  </si>
  <si>
    <t xml:space="preserve">AAACGAGATCGGACCGAAACGCTT</t>
  </si>
  <si>
    <t xml:space="preserve">ACCGAAGGCTTCGATCAGCC</t>
  </si>
  <si>
    <t xml:space="preserve">TAGTACCGAAGGCTTCGATCAGCC</t>
  </si>
  <si>
    <t xml:space="preserve">AAACGGCTGATCGAAGCCTTCGGT</t>
  </si>
  <si>
    <t xml:space="preserve">PSPPH_0024</t>
  </si>
  <si>
    <t xml:space="preserve">ACCGGCTCGAATATCCTGAG</t>
  </si>
  <si>
    <t xml:space="preserve">TAGTACCGGCTCGAATATCCTGAG</t>
  </si>
  <si>
    <t xml:space="preserve">AAACCTCAGGATATTCGAGCCGGT</t>
  </si>
  <si>
    <t xml:space="preserve">GGCCCCAGACTGCCTCGGTC</t>
  </si>
  <si>
    <t xml:space="preserve">TAGTGGCCCCAGACTGCCTCGGTC</t>
  </si>
  <si>
    <t xml:space="preserve">AAACGACCGAGGCAGTCTGGGGCC</t>
  </si>
  <si>
    <t xml:space="preserve">CATCCCATGGATCACAGCCC</t>
  </si>
  <si>
    <t xml:space="preserve">TAGTCATCCCATGGATCACAGCCC</t>
  </si>
  <si>
    <t xml:space="preserve">AAACGGGCTGTGATCCATGGGATG</t>
  </si>
  <si>
    <t xml:space="preserve">AGGATCAGGCCTTTTTCCAC</t>
  </si>
  <si>
    <t xml:space="preserve">TAGTAGGATCAGGCCTTTTTCCAC</t>
  </si>
  <si>
    <t xml:space="preserve">AAACGTGGAAAAAGGCCTGATCCT</t>
  </si>
  <si>
    <t xml:space="preserve">PSPPH_0025</t>
  </si>
  <si>
    <t xml:space="preserve">qor1</t>
  </si>
  <si>
    <t xml:space="preserve">GTCCTCCGACAGTGCTGAAC</t>
  </si>
  <si>
    <t xml:space="preserve">TAGTGTCCTCCGACAGTGCTGAAC</t>
  </si>
  <si>
    <t xml:space="preserve">AAACGTTCAGCACTGTCGGAGGAC</t>
  </si>
  <si>
    <t xml:space="preserve">TCGACATATTCAAGAACCTC</t>
  </si>
  <si>
    <t xml:space="preserve">TAGTTCGACATATTCAAGAACCTC</t>
  </si>
  <si>
    <t xml:space="preserve">AAACGAGGTTCTTGAATATGTCGA</t>
  </si>
  <si>
    <t xml:space="preserve">GCTTGCGGCCCCGGAGCCTC</t>
  </si>
  <si>
    <t xml:space="preserve">TAGTGCTTGCGGCCCCGGAGCCTC</t>
  </si>
  <si>
    <t xml:space="preserve">AAACGAGGCTCCGGGGCCGCAAGC</t>
  </si>
  <si>
    <t xml:space="preserve">ATCAATGAAATTCAGGCCAA</t>
  </si>
  <si>
    <t xml:space="preserve">TAGTATCAATGAAATTCAGGCCAA</t>
  </si>
  <si>
    <t xml:space="preserve">AAACTTGGCCTGAATTTCATTGAT</t>
  </si>
  <si>
    <t xml:space="preserve">PSPPH_0026</t>
  </si>
  <si>
    <t xml:space="preserve">hemF</t>
  </si>
  <si>
    <t xml:space="preserve">GGCTTTTACGGCCTCGGTAC</t>
  </si>
  <si>
    <t xml:space="preserve">TAGTGGCTTTTACGGCCTCGGTAC</t>
  </si>
  <si>
    <t xml:space="preserve">AAACGTACCGAGGCCGTAAAAGCC</t>
  </si>
  <si>
    <t xml:space="preserve">TCCGGTCTTGCAGGTCGAGC</t>
  </si>
  <si>
    <t xml:space="preserve">TAGTTCCGGTCTTGCAGGTCGAGC</t>
  </si>
  <si>
    <t xml:space="preserve">AAACGCTCGACCTGCAAGACCGGA</t>
  </si>
  <si>
    <t xml:space="preserve">GCCATCTTCCTGCTCGAGCG</t>
  </si>
  <si>
    <t xml:space="preserve">TAGTGCCATCTTCCTGCTCGAGCG</t>
  </si>
  <si>
    <t xml:space="preserve">AAACCGCTCGAGCAGGAAGATGGC</t>
  </si>
  <si>
    <t xml:space="preserve">GCCGCCCGCCGGACGCGTCC</t>
  </si>
  <si>
    <t xml:space="preserve">TAGTGCCGCCCGCCGGACGCGTCC</t>
  </si>
  <si>
    <t xml:space="preserve">AAACGGACGCGTCCGGCGGGCGGC</t>
  </si>
  <si>
    <t xml:space="preserve">PSPPH_0027</t>
  </si>
  <si>
    <t xml:space="preserve">aroE</t>
  </si>
  <si>
    <t xml:space="preserve">GGTTACCGAAGACGACGTAC</t>
  </si>
  <si>
    <t xml:space="preserve">TAGTGGTTACCGAAGACGACGTAC</t>
  </si>
  <si>
    <t xml:space="preserve">AAACGTACGTCGTCTTCGGTAACC</t>
  </si>
  <si>
    <t xml:space="preserve">GCGACTTGCTGTGGCCAATG</t>
  </si>
  <si>
    <t xml:space="preserve">TAGTGCGACTTGCTGTGGCCAATG</t>
  </si>
  <si>
    <t xml:space="preserve">AAACCATTGGCCACAGCAAGTCGC</t>
  </si>
  <si>
    <t xml:space="preserve">GCAAACAGGCGATGAATCAA</t>
  </si>
  <si>
    <t xml:space="preserve">TAGTGCAAACAGGCGATGAATCAA</t>
  </si>
  <si>
    <t xml:space="preserve">AAACTTGATTCATCGCCTGTTTGC</t>
  </si>
  <si>
    <t xml:space="preserve">CAGCGCCTGCCCGGTTTGCT</t>
  </si>
  <si>
    <t xml:space="preserve">TAGTCAGCGCCTGCCCGGTTTGCT</t>
  </si>
  <si>
    <t xml:space="preserve">AAACAGCAAACCGGGCAGGCGCTG</t>
  </si>
  <si>
    <t xml:space="preserve">PSPPH_0028</t>
  </si>
  <si>
    <t xml:space="preserve">TGGCGATTGAGCCAGCGCAT</t>
  </si>
  <si>
    <t xml:space="preserve">TAGTTGGCGATTGAGCCAGCGCAT</t>
  </si>
  <si>
    <t xml:space="preserve">AAACATGCGCTGGCTCAATCGCCA</t>
  </si>
  <si>
    <t xml:space="preserve">CGAGAAAGGGTAGGAATTTA</t>
  </si>
  <si>
    <t xml:space="preserve">TAGTCGAGAAAGGGTAGGAATTTA</t>
  </si>
  <si>
    <t xml:space="preserve">AAACTAAATTCCTACCCTTTCTCG</t>
  </si>
  <si>
    <t xml:space="preserve">GCGATTCTGCTGCGGCAGCC</t>
  </si>
  <si>
    <t xml:space="preserve">TAGTGCGATTCTGCTGCGGCAGCC</t>
  </si>
  <si>
    <t xml:space="preserve">AAACGGCTGCCGCAGCAGAATCGC</t>
  </si>
  <si>
    <t xml:space="preserve">CAGCGCATCACGCCCGACGC</t>
  </si>
  <si>
    <t xml:space="preserve">TAGTCAGCGCATCACGCCCGACGC</t>
  </si>
  <si>
    <t xml:space="preserve">AAACGCGTCGGGCGTGATGCGCTG</t>
  </si>
  <si>
    <t xml:space="preserve">PSPPH_0029</t>
  </si>
  <si>
    <t xml:space="preserve">GACCGCGACCGCAACGGCTG</t>
  </si>
  <si>
    <t xml:space="preserve">TAGTGACCGCGACCGCAACGGCTG</t>
  </si>
  <si>
    <t xml:space="preserve">AAACCAGCCGTTGCGGTCGCGGTC</t>
  </si>
  <si>
    <t xml:space="preserve">CGTCCTCTGCCTGCGCCGCA</t>
  </si>
  <si>
    <t xml:space="preserve">TAGTCGTCCTCTGCCTGCGCCGCA</t>
  </si>
  <si>
    <t xml:space="preserve">AAACTGCGGCGCAGGCAGAGGACG</t>
  </si>
  <si>
    <t xml:space="preserve">GCCCGGATCGGCCATTTTCA</t>
  </si>
  <si>
    <t xml:space="preserve">TAGTGCCCGGATCGGCCATTTTCA</t>
  </si>
  <si>
    <t xml:space="preserve">AAACTGAAAATGGCCGATCCGGGC</t>
  </si>
  <si>
    <t xml:space="preserve">CACGCTGGCGATAGCATTGG</t>
  </si>
  <si>
    <t xml:space="preserve">TAGTCACGCTGGCGATAGCATTGG</t>
  </si>
  <si>
    <t xml:space="preserve">AAACCCAATGCTATCGCCAGCGTG</t>
  </si>
  <si>
    <t xml:space="preserve">PSPPH_0030</t>
  </si>
  <si>
    <t xml:space="preserve">betC</t>
  </si>
  <si>
    <t xml:space="preserve">CATTGGCGCGGCCATTTGAT</t>
  </si>
  <si>
    <t xml:space="preserve">TAGTCATTGGCGCGGCCATTTGAT</t>
  </si>
  <si>
    <t xml:space="preserve">AAACATCAAATGGCCGCGCCAATG</t>
  </si>
  <si>
    <t xml:space="preserve">ATTGGAGACCGGGAGTAAAA</t>
  </si>
  <si>
    <t xml:space="preserve">TAGTATTGGAGACCGGGAGTAAAA</t>
  </si>
  <si>
    <t xml:space="preserve">AAACTTTTACTCCCGGTCTCCAAT</t>
  </si>
  <si>
    <t xml:space="preserve">GGCGGCTCAGATTCGGCATC</t>
  </si>
  <si>
    <t xml:space="preserve">TAGTGGCGGCTCAGATTCGGCATC</t>
  </si>
  <si>
    <t xml:space="preserve">AAACGATGCCGAATCTGAGCCGCC</t>
  </si>
  <si>
    <t xml:space="preserve">ACACCACGCCGTCGGCAGCA</t>
  </si>
  <si>
    <t xml:space="preserve">TAGTACACCACGCCGTCGGCAGCA</t>
  </si>
  <si>
    <t xml:space="preserve">AAACTGCTGCCGACGGCGTGGTGT</t>
  </si>
  <si>
    <t xml:space="preserve">PSPPH_0031</t>
  </si>
  <si>
    <t xml:space="preserve">AAAGGCACGCAGCAGGTCGA</t>
  </si>
  <si>
    <t xml:space="preserve">TAGTAAAGGCACGCAGCAGGTCGA</t>
  </si>
  <si>
    <t xml:space="preserve">AAACTCGACCTGCTGCGTGCCTTT</t>
  </si>
  <si>
    <t xml:space="preserve">TTGATCTGCTGGCTGACGGC</t>
  </si>
  <si>
    <t xml:space="preserve">TAGTTTGATCTGCTGGCTGACGGC</t>
  </si>
  <si>
    <t xml:space="preserve">AAACGCCGTCAGCCAGCAGATCAA</t>
  </si>
  <si>
    <t xml:space="preserve">GGGTGGCCAGCTGTTCTTCA</t>
  </si>
  <si>
    <t xml:space="preserve">TAGTGGGTGGCCAGCTGTTCTTCA</t>
  </si>
  <si>
    <t xml:space="preserve">AAACTGAAGAACAGCTGGCCACCC</t>
  </si>
  <si>
    <t xml:space="preserve">ATAGATCCGGTCAAACAGGC</t>
  </si>
  <si>
    <t xml:space="preserve">TAGTATAGATCCGGTCAAACAGGC</t>
  </si>
  <si>
    <t xml:space="preserve">AAACGCCTGTTTGACCGGATCTAT</t>
  </si>
  <si>
    <t xml:space="preserve">PSPPH_0032</t>
  </si>
  <si>
    <t xml:space="preserve">GATATGGGCGTGGTAGCCGT</t>
  </si>
  <si>
    <t xml:space="preserve">TAGTGATATGGGCGTGGTAGCCGT</t>
  </si>
  <si>
    <t xml:space="preserve">AAACACGGCTACCACGCCCATATC</t>
  </si>
  <si>
    <t xml:space="preserve">TCGGGCCTGGTCCAGGGTCT</t>
  </si>
  <si>
    <t xml:space="preserve">TAGTTCGGGCCTGGTCCAGGGTCT</t>
  </si>
  <si>
    <t xml:space="preserve">AAACAGACCCTGGACCAGGCCCGA</t>
  </si>
  <si>
    <t xml:space="preserve">CTCGGTCGCGGCTTCGCACA</t>
  </si>
  <si>
    <t xml:space="preserve">TAGTCTCGGTCGCGGCTTCGCACA</t>
  </si>
  <si>
    <t xml:space="preserve">AAACTGTGCGAAGCCGCGACCGAG</t>
  </si>
  <si>
    <t xml:space="preserve">GTGAACGCGGCCCATCTGCA</t>
  </si>
  <si>
    <t xml:space="preserve">TAGTGTGAACGCGGCCCATCTGCA</t>
  </si>
  <si>
    <t xml:space="preserve">AAACTGCAGATGGGCCGCGTTCAC</t>
  </si>
  <si>
    <t xml:space="preserve">PSPPH_0033</t>
  </si>
  <si>
    <t xml:space="preserve">TTACCGTCGATGAGTAGATC</t>
  </si>
  <si>
    <t xml:space="preserve">TAGTTTACCGTCGATGAGTAGATC</t>
  </si>
  <si>
    <t xml:space="preserve">AAACGATCTACTCATCGACGGTAA</t>
  </si>
  <si>
    <t xml:space="preserve">GCCTTGGTCAGCGTAGTGAA</t>
  </si>
  <si>
    <t xml:space="preserve">TAGTGCCTTGGTCAGCGTAGTGAA</t>
  </si>
  <si>
    <t xml:space="preserve">AAACTTCACTACGCTGACCAAGGC</t>
  </si>
  <si>
    <t xml:space="preserve">ACCGAGCAAGACAACCGGCC</t>
  </si>
  <si>
    <t xml:space="preserve">TAGTACCGAGCAAGACAACCGGCC</t>
  </si>
  <si>
    <t xml:space="preserve">AAACGGCCGGTTGTCTTGCTCGGT</t>
  </si>
  <si>
    <t xml:space="preserve">TCCACATCGCCTTGTCCCAA</t>
  </si>
  <si>
    <t xml:space="preserve">TAGTTCCACATCGCCTTGTCCCAA</t>
  </si>
  <si>
    <t xml:space="preserve">AAACTTGGGACAAGGCGATGTGGA</t>
  </si>
  <si>
    <t xml:space="preserve">PSPPH_0034</t>
  </si>
  <si>
    <t xml:space="preserve">AAAACGGTTTGGCAGTTTCA</t>
  </si>
  <si>
    <t xml:space="preserve">TAGTAAAACGGTTTGGCAGTTTCA</t>
  </si>
  <si>
    <t xml:space="preserve">AAACTGAAACTGCCAAACCGTTTT</t>
  </si>
  <si>
    <t xml:space="preserve">GATCATCAAGATACCCAGCC</t>
  </si>
  <si>
    <t xml:space="preserve">TAGTGATCATCAAGATACCCAGCC</t>
  </si>
  <si>
    <t xml:space="preserve">AAACGGCTGGGTATCTTGATGATC</t>
  </si>
  <si>
    <t xml:space="preserve">CGCCGCTTGCAGTAGCGGGC</t>
  </si>
  <si>
    <t xml:space="preserve">TAGTCGCCGCTTGCAGTAGCGGGC</t>
  </si>
  <si>
    <t xml:space="preserve">AAACGCCCGCTACTGCAAGCGGCG</t>
  </si>
  <si>
    <t xml:space="preserve">CCATCACCGCGCTGGTCAGG</t>
  </si>
  <si>
    <t xml:space="preserve">TAGTCCATCACCGCGCTGGTCAGG</t>
  </si>
  <si>
    <t xml:space="preserve">AAACCCTGACCAGCGCGGTGATGG</t>
  </si>
  <si>
    <t xml:space="preserve">PSPPH_0035</t>
  </si>
  <si>
    <t xml:space="preserve">trpA</t>
  </si>
  <si>
    <t xml:space="preserve">GGGCGAAACGTTGTTCGAGA</t>
  </si>
  <si>
    <t xml:space="preserve">TAGTGGGCGAAACGTTGTTCGAGA</t>
  </si>
  <si>
    <t xml:space="preserve">AAACTCTCGAACAACGTTTCGCCC</t>
  </si>
  <si>
    <t xml:space="preserve">ACGACCTTCGGTTTTCAGCT</t>
  </si>
  <si>
    <t xml:space="preserve">TAGTACGACCTTCGGTTTTCAGCT</t>
  </si>
  <si>
    <t xml:space="preserve">AAACAGCTGAAAACCGAAGGTCGT</t>
  </si>
  <si>
    <t xml:space="preserve">GTCGTAGCCTGGGTCGCCGG</t>
  </si>
  <si>
    <t xml:space="preserve">TAGTGTCGTAGCCTGGGTCGCCGG</t>
  </si>
  <si>
    <t xml:space="preserve">AAACCCGGCGACCCAGGCTACGAC</t>
  </si>
  <si>
    <t xml:space="preserve">GCCCTTCAGGACTTGCAGCG</t>
  </si>
  <si>
    <t xml:space="preserve">TAGTGCCCTTCAGGACTTGCAGCG</t>
  </si>
  <si>
    <t xml:space="preserve">AAACCGCTGCAAGTCCTGAAGGGC</t>
  </si>
  <si>
    <t xml:space="preserve">PSPPH_0036</t>
  </si>
  <si>
    <t xml:space="preserve">trpB</t>
  </si>
  <si>
    <t xml:space="preserve">GCCGCTGCGGAAGTTGGTCT</t>
  </si>
  <si>
    <t xml:space="preserve">TAGTGCCGCTGCGGAAGTTGGTCT</t>
  </si>
  <si>
    <t xml:space="preserve">AAACAGACCAACTTCCGCAGCGGC</t>
  </si>
  <si>
    <t xml:space="preserve">CGAACAGGCCGTTGACGTCG</t>
  </si>
  <si>
    <t xml:space="preserve">TAGTCGAACAGGCCGTTGACGTCG</t>
  </si>
  <si>
    <t xml:space="preserve">AAACCGACGTCAACGGCCTGTTCG</t>
  </si>
  <si>
    <t xml:space="preserve">TCAGAGTTTCAGCCACGTAG</t>
  </si>
  <si>
    <t xml:space="preserve">TAGTTCAGAGTTTCAGCCACGTAG</t>
  </si>
  <si>
    <t xml:space="preserve">AAACCTACGTGGCTGAAACTCTGA</t>
  </si>
  <si>
    <t xml:space="preserve">CGGTTGAGGTCTAGCACCAG</t>
  </si>
  <si>
    <t xml:space="preserve">TAGTCGGTTGAGGTCTAGCACCAG</t>
  </si>
  <si>
    <t xml:space="preserve">AAACCTGGTGCTAGACCTCAACCG</t>
  </si>
  <si>
    <t xml:space="preserve">PSPPH_0037</t>
  </si>
  <si>
    <t xml:space="preserve">trpI</t>
  </si>
  <si>
    <t xml:space="preserve">CGTTGAGGGGAGGAAGGTCG</t>
  </si>
  <si>
    <t xml:space="preserve">TAGTCGTTGAGGGGAGGAAGGTCG</t>
  </si>
  <si>
    <t xml:space="preserve">AAACCGACCTTCCTCCCCTCAACG</t>
  </si>
  <si>
    <t xml:space="preserve">GGTGCTTTCGAAGGCACGCA</t>
  </si>
  <si>
    <t xml:space="preserve">TAGTGGTGCTTTCGAAGGCACGCA</t>
  </si>
  <si>
    <t xml:space="preserve">AAACTGCGTGCCTTCGAAAGCACC</t>
  </si>
  <si>
    <t xml:space="preserve">ACTGACGCTGCCAAGTCGGG</t>
  </si>
  <si>
    <t xml:space="preserve">TAGTACTGACGCTGCCAAGTCGGG</t>
  </si>
  <si>
    <t xml:space="preserve">AAACCCCGACTTGGCAGCGTCAGT</t>
  </si>
  <si>
    <t xml:space="preserve">TGTCACGTTCAGCTGTTCGG</t>
  </si>
  <si>
    <t xml:space="preserve">TAGTTGTCACGTTCAGCTGTTCGG</t>
  </si>
  <si>
    <t xml:space="preserve">AAACCCGAACAGCTGAACGTGACA</t>
  </si>
  <si>
    <t xml:space="preserve">PSPPH_0038</t>
  </si>
  <si>
    <t xml:space="preserve">GCGAAGTGACGTAGTAGCCA</t>
  </si>
  <si>
    <t xml:space="preserve">TAGTGCGAAGTGACGTAGTAGCCA</t>
  </si>
  <si>
    <t xml:space="preserve">AAACTGGCTACTACGTCACTTCGC</t>
  </si>
  <si>
    <t xml:space="preserve">AGCTTCCATACTCTGCAACG</t>
  </si>
  <si>
    <t xml:space="preserve">TAGTAGCTTCCATACTCTGCAACG</t>
  </si>
  <si>
    <t xml:space="preserve">AAACCGTTGCAGAGTATGGAAGCT</t>
  </si>
  <si>
    <t xml:space="preserve">GGCCCTCGAGGGACTTCAGG</t>
  </si>
  <si>
    <t xml:space="preserve">TAGTGGCCCTCGAGGGACTTCAGG</t>
  </si>
  <si>
    <t xml:space="preserve">AAACCCTGAAGTCCCTCGAGGGCC</t>
  </si>
  <si>
    <t xml:space="preserve">CGTCGGTAGCGTCGGCTTTC</t>
  </si>
  <si>
    <t xml:space="preserve">TAGTCGTCGGTAGCGTCGGCTTTC</t>
  </si>
  <si>
    <t xml:space="preserve">AAACGAAAGCCGACGCTACCGACG</t>
  </si>
  <si>
    <t xml:space="preserve">PSPPH_0039</t>
  </si>
  <si>
    <t xml:space="preserve">GTACGTGTGATGATCGGTCA</t>
  </si>
  <si>
    <t xml:space="preserve">TAGTGTACGTGTGATGATCGGTCA</t>
  </si>
  <si>
    <t xml:space="preserve">AAACTGACCGATCATCACACGTAC</t>
  </si>
  <si>
    <t xml:space="preserve">GGCGTCTTCGATAGTGGTAG</t>
  </si>
  <si>
    <t xml:space="preserve">TAGTGGCGTCTTCGATAGTGGTAG</t>
  </si>
  <si>
    <t xml:space="preserve">AAACCTACCACTATCGAAGACGCC</t>
  </si>
  <si>
    <t xml:space="preserve">TTCGGCCAGGGCGTTGTTGA</t>
  </si>
  <si>
    <t xml:space="preserve">TAGTTTCGGCCAGGGCGTTGTTGA</t>
  </si>
  <si>
    <t xml:space="preserve">AAACTCAACAACGCCCTGGCCGAA</t>
  </si>
  <si>
    <t xml:space="preserve">CATCAGGTCGAGGCTTTTGC</t>
  </si>
  <si>
    <t xml:space="preserve">TAGTCATCAGGTCGAGGCTTTTGC</t>
  </si>
  <si>
    <t xml:space="preserve">AAACGCAAAAGCCTCGACCTGATG</t>
  </si>
  <si>
    <t xml:space="preserve">PSPPH_0040</t>
  </si>
  <si>
    <t xml:space="preserve">AATGAAGACGCCATCGGAAC</t>
  </si>
  <si>
    <t xml:space="preserve">TAGTAATGAAGACGCCATCGGAAC</t>
  </si>
  <si>
    <t xml:space="preserve">AAACGTTCCGATGGCGTCTTCATT</t>
  </si>
  <si>
    <t xml:space="preserve">CATGGGTAATCCCTCTCGTC</t>
  </si>
  <si>
    <t xml:space="preserve">TAGTCATGGGTAATCCCTCTCGTC</t>
  </si>
  <si>
    <t xml:space="preserve">AAACGACGAGAGGGATTACCCATG</t>
  </si>
  <si>
    <t xml:space="preserve">ACATGGCTTGCCTGCCGCGA</t>
  </si>
  <si>
    <t xml:space="preserve">TAGTACATGGCTTGCCTGCCGCGA</t>
  </si>
  <si>
    <t xml:space="preserve">AAACTCGCGGCAGGCAAGCCATGT</t>
  </si>
  <si>
    <t xml:space="preserve">TACGCCCTTCGCCTGGAGTC</t>
  </si>
  <si>
    <t xml:space="preserve">TAGTTACGCCCTTCGCCTGGAGTC</t>
  </si>
  <si>
    <t xml:space="preserve">AAACGACTCCAGGCGAAGGGCGTA</t>
  </si>
  <si>
    <t xml:space="preserve">PSPPH_0041</t>
  </si>
  <si>
    <t xml:space="preserve">ACATCTGCCAGACGTTTCAT</t>
  </si>
  <si>
    <t xml:space="preserve">TAGTACATCTGCCAGACGTTTCAT</t>
  </si>
  <si>
    <t xml:space="preserve">AAACATGAAACGTCTGGCAGATGT</t>
  </si>
  <si>
    <t xml:space="preserve">GGCCCTTTGTCGTGGCGCAC</t>
  </si>
  <si>
    <t xml:space="preserve">TAGTGGCCCTTTGTCGTGGCGCAC</t>
  </si>
  <si>
    <t xml:space="preserve">AAACGTGCGCCACGACAAAGGGCC</t>
  </si>
  <si>
    <t xml:space="preserve">GAGTTGCGCAGGGAATCGGC</t>
  </si>
  <si>
    <t xml:space="preserve">TAGTGAGTTGCGCAGGGAATCGGC</t>
  </si>
  <si>
    <t xml:space="preserve">AAACGCCGATTCCCTGCGCAACTC</t>
  </si>
  <si>
    <t xml:space="preserve">GCTTTTCAACATGCTGGGCA</t>
  </si>
  <si>
    <t xml:space="preserve">TAGTGCTTTTCAACATGCTGGGCA</t>
  </si>
  <si>
    <t xml:space="preserve">AAACTGCCCAGCATGTTGAAAAGC</t>
  </si>
  <si>
    <t xml:space="preserve">PSPPH_0042</t>
  </si>
  <si>
    <t xml:space="preserve">osmC</t>
  </si>
  <si>
    <t xml:space="preserve">TGCTTTCTTGACGATGCTCA</t>
  </si>
  <si>
    <t xml:space="preserve">TAGTTGCTTTCTTGACGATGCTCA</t>
  </si>
  <si>
    <t xml:space="preserve">AAACTGAGCATCGTCAAGAAAGCA</t>
  </si>
  <si>
    <t xml:space="preserve">CAGATCACCTTCCCAGTGGG</t>
  </si>
  <si>
    <t xml:space="preserve">TAGTCAGATCACCTTCCCAGTGGG</t>
  </si>
  <si>
    <t xml:space="preserve">AAACCCCACTGGGAAGGTGATCTG</t>
  </si>
  <si>
    <t xml:space="preserve">TTTCAACACGCCGGTTTCCG</t>
  </si>
  <si>
    <t xml:space="preserve">TAGTTTTCAACACGCCGGTTTCCG</t>
  </si>
  <si>
    <t xml:space="preserve">AAACCGGAAACCGGCGTGTTGAAA</t>
  </si>
  <si>
    <t xml:space="preserve">AAACGAGCCTTGAAGCCGTA</t>
  </si>
  <si>
    <t xml:space="preserve">TAGTAAACGAGCCTTGAAGCCGTA</t>
  </si>
  <si>
    <t xml:space="preserve">AAACTACGGCTTCAAGGCTCGTTT</t>
  </si>
  <si>
    <t xml:space="preserve">PSPPH_0043</t>
  </si>
  <si>
    <t xml:space="preserve">GCTGGTTGCCAGCAGGGTGC</t>
  </si>
  <si>
    <t xml:space="preserve">TAGTGCTGGTTGCCAGCAGGGTGC</t>
  </si>
  <si>
    <t xml:space="preserve">AAACGCACCCTGCTGGCAACCAGC</t>
  </si>
  <si>
    <t xml:space="preserve">ACAGGATTTCGGTGCCGCCA</t>
  </si>
  <si>
    <t xml:space="preserve">TAGTACAGGATTTCGGTGCCGCCA</t>
  </si>
  <si>
    <t xml:space="preserve">AAACTGGCGGCACCGAAATCCTGT</t>
  </si>
  <si>
    <t xml:space="preserve">GACGTTGTTGGCCTGGATCT</t>
  </si>
  <si>
    <t xml:space="preserve">TAGTGACGTTGTTGGCCTGGATCT</t>
  </si>
  <si>
    <t xml:space="preserve">AAACAGATCCAGGCCAACAACGTC</t>
  </si>
  <si>
    <t xml:space="preserve">GCTAACAATTTCCAGCGTGT</t>
  </si>
  <si>
    <t xml:space="preserve">TAGTGCTAACAATTTCCAGCGTGT</t>
  </si>
  <si>
    <t xml:space="preserve">AAACACACGCTGGAAATTGTTAGC</t>
  </si>
  <si>
    <t xml:space="preserve">PSPPH_0044</t>
  </si>
  <si>
    <t xml:space="preserve">ATCAGTATCAGAAGACGGTT</t>
  </si>
  <si>
    <t xml:space="preserve">TAGTATCAGTATCAGAAGACGGTT</t>
  </si>
  <si>
    <t xml:space="preserve">AAACAACCGTCTTCTGATACTGAT</t>
  </si>
  <si>
    <t xml:space="preserve">GAGGGTGGCTAGAGTGAGTG</t>
  </si>
  <si>
    <t xml:space="preserve">TAGTGAGGGTGGCTAGAGTGAGTG</t>
  </si>
  <si>
    <t xml:space="preserve">AAACCACTCACTCTAGCCACCCTC</t>
  </si>
  <si>
    <t xml:space="preserve">GGGCAAGGGGCCGGCGCATC</t>
  </si>
  <si>
    <t xml:space="preserve">TAGTGGGCAAGGGGCCGGCGCATC</t>
  </si>
  <si>
    <t xml:space="preserve">AAACGATGCGCCGGCCCCTTGCCC</t>
  </si>
  <si>
    <t xml:space="preserve">GCCATGTCCGGATTGACGGT</t>
  </si>
  <si>
    <t xml:space="preserve">TAGTGCCATGTCCGGATTGACGGT</t>
  </si>
  <si>
    <t xml:space="preserve">AAACACCGTCAATCCGGACATGGC</t>
  </si>
  <si>
    <t xml:space="preserve">PSPPH_0048</t>
  </si>
  <si>
    <t xml:space="preserve">AAGGCGTGGCAGGGAGAATG</t>
  </si>
  <si>
    <t xml:space="preserve">TAGTAAGGCGTGGCAGGGAGAATG</t>
  </si>
  <si>
    <t xml:space="preserve">AAACCATTCTCCCTGCCACGCCTT</t>
  </si>
  <si>
    <t xml:space="preserve">AGCGTGACGACCGTCAGCGC</t>
  </si>
  <si>
    <t xml:space="preserve">TAGTAGCGTGACGACCGTCAGCGC</t>
  </si>
  <si>
    <t xml:space="preserve">AAACGCGCTGACGGTCGTCACGCT</t>
  </si>
  <si>
    <t xml:space="preserve">GTAAGAAACGCTGGAGCAGC</t>
  </si>
  <si>
    <t xml:space="preserve">TAGTGTAAGAAACGCTGGAGCAGC</t>
  </si>
  <si>
    <t xml:space="preserve">AAACGCTGCTCCAGCGTTTCTTAC</t>
  </si>
  <si>
    <t xml:space="preserve">TCAGCCACGATCTTCTCCAC</t>
  </si>
  <si>
    <t xml:space="preserve">TAGTTCAGCCACGATCTTCTCCAC</t>
  </si>
  <si>
    <t xml:space="preserve">AAACGTGGAGAAGATCGTGGCTGA</t>
  </si>
  <si>
    <t xml:space="preserve">PSPPH_0050</t>
  </si>
  <si>
    <t xml:space="preserve">GTGGTCCTGAAACTTGCGAA</t>
  </si>
  <si>
    <t xml:space="preserve">TAGTGTGGTCCTGAAACTTGCGAA</t>
  </si>
  <si>
    <t xml:space="preserve">AAACTTCGCAAGTTTCAGGACCAC</t>
  </si>
  <si>
    <t xml:space="preserve">GGCCCGTTCGCCGAGGGCTG</t>
  </si>
  <si>
    <t xml:space="preserve">TAGTGGCCCGTTCGCCGAGGGCTG</t>
  </si>
  <si>
    <t xml:space="preserve">AAACCAGCCCTCGGCGAACGGGCC</t>
  </si>
  <si>
    <t xml:space="preserve">CACCGCTGAATGGTCGACAA</t>
  </si>
  <si>
    <t xml:space="preserve">TAGTCACCGCTGAATGGTCGACAA</t>
  </si>
  <si>
    <t xml:space="preserve">AAACTTGTCGACCATTCAGCGGTG</t>
  </si>
  <si>
    <t xml:space="preserve">CAGCGGCCAGACGGAGCTGT</t>
  </si>
  <si>
    <t xml:space="preserve">TAGTCAGCGGCCAGACGGAGCTGT</t>
  </si>
  <si>
    <t xml:space="preserve">AAACACAGCTCCGTCTGGCCGCTG</t>
  </si>
  <si>
    <t xml:space="preserve">PSPPH_0051</t>
  </si>
  <si>
    <t xml:space="preserve">prlC</t>
  </si>
  <si>
    <t xml:space="preserve">TCACGGTTTTGCACCTTGGC</t>
  </si>
  <si>
    <t xml:space="preserve">TAGTTCACGGTTTTGCACCTTGGC</t>
  </si>
  <si>
    <t xml:space="preserve">AAACGCCAAGGTGCAAAACCGTGA</t>
  </si>
  <si>
    <t xml:space="preserve">GGTCGTACGATTGCAGAAGA</t>
  </si>
  <si>
    <t xml:space="preserve">TAGTGGTCGTACGATTGCAGAAGA</t>
  </si>
  <si>
    <t xml:space="preserve">AAACTCTTCTGCAATCGTACGACC</t>
  </si>
  <si>
    <t xml:space="preserve">GAATCGCCGAAAAGGGTGGC</t>
  </si>
  <si>
    <t xml:space="preserve">TAGTGAATCGCCGAAAAGGGTGGC</t>
  </si>
  <si>
    <t xml:space="preserve">AAACGCCACCCTTTTCGGCGATTC</t>
  </si>
  <si>
    <t xml:space="preserve">AACAGCAGGTTTGACATGTT</t>
  </si>
  <si>
    <t xml:space="preserve">TAGTAACAGCAGGTTTGACATGTT</t>
  </si>
  <si>
    <t xml:space="preserve">AAACAACATGTCAAACCTGCTGTT</t>
  </si>
  <si>
    <t xml:space="preserve">PSPPH_0052</t>
  </si>
  <si>
    <t xml:space="preserve">GGTAATGATTACCGGTGTAT</t>
  </si>
  <si>
    <t xml:space="preserve">TAGTGGTAATGATTACCGGTGTAT</t>
  </si>
  <si>
    <t xml:space="preserve">AAACATACACCGGTAATCATTACC</t>
  </si>
  <si>
    <t xml:space="preserve">CCCGGCGATGAAGCGTTTCT</t>
  </si>
  <si>
    <t xml:space="preserve">TAGTCCCGGCGATGAAGCGTTTCT</t>
  </si>
  <si>
    <t xml:space="preserve">AAACAGAAACGCTTCATCGCCGGG</t>
  </si>
  <si>
    <t xml:space="preserve">TGTCAGGCTCGCTGCACGCC</t>
  </si>
  <si>
    <t xml:space="preserve">TAGTTGTCAGGCTCGCTGCACGCC</t>
  </si>
  <si>
    <t xml:space="preserve">AAACGGCGTGCAGCGAGCCTGACA</t>
  </si>
  <si>
    <t xml:space="preserve">CAACCCACGCATTCGCGATG</t>
  </si>
  <si>
    <t xml:space="preserve">TAGTCAACCCACGCATTCGCGATG</t>
  </si>
  <si>
    <t xml:space="preserve">AAACCATCGCGAATGCGTGGGTTG</t>
  </si>
  <si>
    <t xml:space="preserve">PSPPH_0053</t>
  </si>
  <si>
    <t xml:space="preserve">ACTGGATGGCTATTACAGGA</t>
  </si>
  <si>
    <t xml:space="preserve">TAGTACTGGATGGCTATTACAGGA</t>
  </si>
  <si>
    <t xml:space="preserve">AAACTCCTGTAATAGCCATCCAGT</t>
  </si>
  <si>
    <t xml:space="preserve">TGACCCAGGCTTGTTCTTGC</t>
  </si>
  <si>
    <t xml:space="preserve">TAGTTGACCCAGGCTTGTTCTTGC</t>
  </si>
  <si>
    <t xml:space="preserve">AAACGCAAGAACAAGCCTGGGTCA</t>
  </si>
  <si>
    <t xml:space="preserve">AAATCTTGTGATTTCCGTGT</t>
  </si>
  <si>
    <t xml:space="preserve">TAGTAAATCTTGTGATTTCCGTGT</t>
  </si>
  <si>
    <t xml:space="preserve">AAACACACGGAAATCACAAGATTT</t>
  </si>
  <si>
    <t xml:space="preserve">PSPPH_0054</t>
  </si>
  <si>
    <t xml:space="preserve">GCAAGGAAACGAAAACGGAG</t>
  </si>
  <si>
    <t xml:space="preserve">TAGTGCAAGGAAACGAAAACGGAG</t>
  </si>
  <si>
    <t xml:space="preserve">AAACCTCCGTTTTCGTTTCCTTGC</t>
  </si>
  <si>
    <t xml:space="preserve">CAGTAGCGGTATCAGCAGCC</t>
  </si>
  <si>
    <t xml:space="preserve">TAGTCAGTAGCGGTATCAGCAGCC</t>
  </si>
  <si>
    <t xml:space="preserve">AAACGGCTGCTGATACCGCTACTG</t>
  </si>
  <si>
    <t xml:space="preserve">GGCTGCGCCCTCGACAGGAT</t>
  </si>
  <si>
    <t xml:space="preserve">TAGTGGCTGCGCCCTCGACAGGAT</t>
  </si>
  <si>
    <t xml:space="preserve">AAACATCCTGTCGAGGGCGCAGCC</t>
  </si>
  <si>
    <t xml:space="preserve">ATCCAGCAGATGCAACGCCT</t>
  </si>
  <si>
    <t xml:space="preserve">TAGTATCCAGCAGATGCAACGCCT</t>
  </si>
  <si>
    <t xml:space="preserve">AAACAGGCGTTGCATCTGCTGGAT</t>
  </si>
  <si>
    <t xml:space="preserve">PSPPH_0055</t>
  </si>
  <si>
    <t xml:space="preserve">GGAAAGGCTGATAATCCAGC</t>
  </si>
  <si>
    <t xml:space="preserve">TAGTGGAAAGGCTGATAATCCAGC</t>
  </si>
  <si>
    <t xml:space="preserve">AAACGCTGGATTATCAGCCTTTCC</t>
  </si>
  <si>
    <t xml:space="preserve">GGCGATAGCGCCTGCGCCAG</t>
  </si>
  <si>
    <t xml:space="preserve">TAGTGGCGATAGCGCCTGCGCCAG</t>
  </si>
  <si>
    <t xml:space="preserve">AAACCTGGCGCAGGCGCTATCGCC</t>
  </si>
  <si>
    <t xml:space="preserve">TTGCAGGCCGCAGGACATGG</t>
  </si>
  <si>
    <t xml:space="preserve">TAGTTTGCAGGCCGCAGGACATGG</t>
  </si>
  <si>
    <t xml:space="preserve">AAACCCATGTCCTGCGGCCTGCAA</t>
  </si>
  <si>
    <t xml:space="preserve">GGGCATTCCAGTAGCCGCGC</t>
  </si>
  <si>
    <t xml:space="preserve">TAGTGGGCATTCCAGTAGCCGCGC</t>
  </si>
  <si>
    <t xml:space="preserve">AAACGCGCGGCTACTGGAATGCCC</t>
  </si>
  <si>
    <t xml:space="preserve">PSPPH_0056</t>
  </si>
  <si>
    <t xml:space="preserve">TCAAGCCAGTACGCGGATAC</t>
  </si>
  <si>
    <t xml:space="preserve">TAGTTCAAGCCAGTACGCGGATAC</t>
  </si>
  <si>
    <t xml:space="preserve">AAACGTATCCGCGTACTGGCTTGA</t>
  </si>
  <si>
    <t xml:space="preserve">ATCTGCGCACCCACCAGCAG</t>
  </si>
  <si>
    <t xml:space="preserve">TAGTATCTGCGCACCCACCAGCAG</t>
  </si>
  <si>
    <t xml:space="preserve">AAACCTGCTGGTGGGTGCGCAGAT</t>
  </si>
  <si>
    <t xml:space="preserve">GCAATACGTAACCGGCCAAC</t>
  </si>
  <si>
    <t xml:space="preserve">TAGTGCAATACGTAACCGGCCAAC</t>
  </si>
  <si>
    <t xml:space="preserve">AAACGTTGGCCGGTTACGTATTGC</t>
  </si>
  <si>
    <t xml:space="preserve">TGGATAGCGCTCGCCCAGAC</t>
  </si>
  <si>
    <t xml:space="preserve">TAGTTGGATAGCGCTCGCCCAGAC</t>
  </si>
  <si>
    <t xml:space="preserve">AAACGTCTGGGCGAGCGCTATCCA</t>
  </si>
  <si>
    <t xml:space="preserve">PSPPH_0057</t>
  </si>
  <si>
    <t xml:space="preserve">CCAGCTTCGTCCTGAACAGG</t>
  </si>
  <si>
    <t xml:space="preserve">TAGTCCAGCTTCGTCCTGAACAGG</t>
  </si>
  <si>
    <t xml:space="preserve">AAACCCTGTTCAGGACGAAGCTGG</t>
  </si>
  <si>
    <t xml:space="preserve">AAGTCGAATCATAATGGCGG</t>
  </si>
  <si>
    <t xml:space="preserve">TAGTAAGTCGAATCATAATGGCGG</t>
  </si>
  <si>
    <t xml:space="preserve">AAACCCGCCATTATGATTCGACTT</t>
  </si>
  <si>
    <t xml:space="preserve">GCGGACCACGCTGTAAGGTA</t>
  </si>
  <si>
    <t xml:space="preserve">TAGTGCGGACCACGCTGTAAGGTA</t>
  </si>
  <si>
    <t xml:space="preserve">AAACTACCTTACAGCGTGGTCCGC</t>
  </si>
  <si>
    <t xml:space="preserve">GCCGGCGTGCAGGGTCAGCT</t>
  </si>
  <si>
    <t xml:space="preserve">TAGTGCCGGCGTGCAGGGTCAGCT</t>
  </si>
  <si>
    <t xml:space="preserve">AAACAGCTGACCCTGCACGCCGGC</t>
  </si>
  <si>
    <t xml:space="preserve">PSPPH_0058</t>
  </si>
  <si>
    <t xml:space="preserve">GTGAAACTCCAGAGCGCTGA</t>
  </si>
  <si>
    <t xml:space="preserve">TAGTGTGAAACTCCAGAGCGCTGA</t>
  </si>
  <si>
    <t xml:space="preserve">AAACTCAGCGCTCTGGAGTTTCAC</t>
  </si>
  <si>
    <t xml:space="preserve">CGGACGGGCGTAGAAATCGA</t>
  </si>
  <si>
    <t xml:space="preserve">TAGTCGGACGGGCGTAGAAATCGA</t>
  </si>
  <si>
    <t xml:space="preserve">AAACTCGATTTCTACGCCCGTCCG</t>
  </si>
  <si>
    <t xml:space="preserve">AGACAAGCCTGCTCTACACC</t>
  </si>
  <si>
    <t xml:space="preserve">TAGTAGACAAGCCTGCTCTACACC</t>
  </si>
  <si>
    <t xml:space="preserve">AAACGGTGTAGAGCAGGCTTGTCT</t>
  </si>
  <si>
    <t xml:space="preserve">CATGCACACGTTGGCCCCGT</t>
  </si>
  <si>
    <t xml:space="preserve">TAGTCATGCACACGTTGGCCCCGT</t>
  </si>
  <si>
    <t xml:space="preserve">AAACACGGGGCCAACGTGTGCATG</t>
  </si>
  <si>
    <t xml:space="preserve">PSPPH_0059</t>
  </si>
  <si>
    <t xml:space="preserve">algR3</t>
  </si>
  <si>
    <t xml:space="preserve">AGTATTTACTGGCTTCTTTT</t>
  </si>
  <si>
    <t xml:space="preserve">TAGTAGTATTTACTGGCTTCTTTT</t>
  </si>
  <si>
    <t xml:space="preserve">AAACAAAAGAAGCCAGTAAATACT</t>
  </si>
  <si>
    <t xml:space="preserve">AATTGTTGAAGCAAATGCAA</t>
  </si>
  <si>
    <t xml:space="preserve">TAGTAATTGTTGAAGCAAATGCAA</t>
  </si>
  <si>
    <t xml:space="preserve">AAACTTGCATTTGCTTCAACAATT</t>
  </si>
  <si>
    <t xml:space="preserve">ATCAGCCAAGGCTTGGGAAC</t>
  </si>
  <si>
    <t xml:space="preserve">TAGTATCAGCCAAGGCTTGGGAAC</t>
  </si>
  <si>
    <t xml:space="preserve">AAACGTTCCCAAGCCTTGGCTGAT</t>
  </si>
  <si>
    <t xml:space="preserve">AAGCTTGGCGAGCAGTTTCT</t>
  </si>
  <si>
    <t xml:space="preserve">TAGTAAGCTTGGCGAGCAGTTTCT</t>
  </si>
  <si>
    <t xml:space="preserve">AAACAGAAACTGCTCGCCAAGCTT</t>
  </si>
  <si>
    <t xml:space="preserve">PSPPH_0060</t>
  </si>
  <si>
    <t xml:space="preserve">AGAGGAACAACGACGTTAAC</t>
  </si>
  <si>
    <t xml:space="preserve">TAGTAGAGGAACAACGACGTTAAC</t>
  </si>
  <si>
    <t xml:space="preserve">AAACGTTAACGTCGTTGTTCCTCT</t>
  </si>
  <si>
    <t xml:space="preserve">GCTTCGGCAGCTTGAGCCAG</t>
  </si>
  <si>
    <t xml:space="preserve">TAGTGCTTCGGCAGCTTGAGCCAG</t>
  </si>
  <si>
    <t xml:space="preserve">AAACCTGGCTCAAGCTGCCGAAGC</t>
  </si>
  <si>
    <t xml:space="preserve">CCATCATCGGCCGCCGCAGG</t>
  </si>
  <si>
    <t xml:space="preserve">TAGTCCATCATCGGCCGCCGCAGG</t>
  </si>
  <si>
    <t xml:space="preserve">AAACCCTGCGGCGGCCGATGATGG</t>
  </si>
  <si>
    <t xml:space="preserve">CAGGCTTGCACCCAGGCTGT</t>
  </si>
  <si>
    <t xml:space="preserve">TAGTCAGGCTTGCACCCAGGCTGT</t>
  </si>
  <si>
    <t xml:space="preserve">AAACACAGCCTGGGTGCAAGCCTG</t>
  </si>
  <si>
    <t xml:space="preserve">PSPPH_0061</t>
  </si>
  <si>
    <t xml:space="preserve">algQ</t>
  </si>
  <si>
    <t xml:space="preserve">ATTCTGACAACTTTCCAGCA</t>
  </si>
  <si>
    <t xml:space="preserve">TAGTATTCTGACAACTTTCCAGCA</t>
  </si>
  <si>
    <t xml:space="preserve">AAACTGCTGGAAAGTTGTCAGAAT</t>
  </si>
  <si>
    <t xml:space="preserve">AGGCTTCGACCAGTTCGAGG</t>
  </si>
  <si>
    <t xml:space="preserve">TAGTAGGCTTCGACCAGTTCGAGG</t>
  </si>
  <si>
    <t xml:space="preserve">AAACCCTCGAACTGGTCGAAGCCT</t>
  </si>
  <si>
    <t xml:space="preserve">CGTGTCGCCCAGCGCATCGT</t>
  </si>
  <si>
    <t xml:space="preserve">TAGTCGTGTCGCCCAGCGCATCGT</t>
  </si>
  <si>
    <t xml:space="preserve">AAACACGATGCGCTGGGCGACACG</t>
  </si>
  <si>
    <t xml:space="preserve">CGGTCGGCTGCCAGAGCCTG</t>
  </si>
  <si>
    <t xml:space="preserve">TAGTCGGTCGGCTGCCAGAGCCTG</t>
  </si>
  <si>
    <t xml:space="preserve">AAACCAGGCTCTGGCAGCCGACCG</t>
  </si>
  <si>
    <t xml:space="preserve">PSPPH_0062</t>
  </si>
  <si>
    <t xml:space="preserve">ACAAGGCCTTCAAGGTACGC</t>
  </si>
  <si>
    <t xml:space="preserve">TAGTACAAGGCCTTCAAGGTACGC</t>
  </si>
  <si>
    <t xml:space="preserve">AAACGCGTACCTTGAAGGCCTTGT</t>
  </si>
  <si>
    <t xml:space="preserve">ATATTTCCAGTGACGCGTGC</t>
  </si>
  <si>
    <t xml:space="preserve">TAGTATATTTCCAGTGACGCGTGC</t>
  </si>
  <si>
    <t xml:space="preserve">AAACGCACGCGTCACTGGAAATAT</t>
  </si>
  <si>
    <t xml:space="preserve">CCTGGCCTGATAGATGCGCC</t>
  </si>
  <si>
    <t xml:space="preserve">TAGTCCTGGCCTGATAGATGCGCC</t>
  </si>
  <si>
    <t xml:space="preserve">AAACGGCGCATCTATCAGGCCAGG</t>
  </si>
  <si>
    <t xml:space="preserve">CAGTCCTGGGCCGGTCCTGG</t>
  </si>
  <si>
    <t xml:space="preserve">TAGTCAGTCCTGGGCCGGTCCTGG</t>
  </si>
  <si>
    <t xml:space="preserve">AAACCCAGGACCGGCCCAGGACTG</t>
  </si>
  <si>
    <t xml:space="preserve">PSPPH_0063</t>
  </si>
  <si>
    <t xml:space="preserve">GAAAGGGTACGGCGCATTCA</t>
  </si>
  <si>
    <t xml:space="preserve">TAGTGAAAGGGTACGGCGCATTCA</t>
  </si>
  <si>
    <t xml:space="preserve">AAACTGAATGCGCCGTACCCTTTC</t>
  </si>
  <si>
    <t xml:space="preserve">GGACGAGGCGATTACGGTAG</t>
  </si>
  <si>
    <t xml:space="preserve">TAGTGGACGAGGCGATTACGGTAG</t>
  </si>
  <si>
    <t xml:space="preserve">AAACCTACCGTAATCGCCTCGTCC</t>
  </si>
  <si>
    <t xml:space="preserve">ACATGGCAAATCCGTAACAA</t>
  </si>
  <si>
    <t xml:space="preserve">TAGTACATGGCAAATCCGTAACAA</t>
  </si>
  <si>
    <t xml:space="preserve">AAACTTGTTACGGATTTGCCATGT</t>
  </si>
  <si>
    <t xml:space="preserve">CCAGCGATGCCAGGAAAAAC</t>
  </si>
  <si>
    <t xml:space="preserve">TAGTCCAGCGATGCCAGGAAAAAC</t>
  </si>
  <si>
    <t xml:space="preserve">AAACGTTTTTCCTGGCATCGCTGG</t>
  </si>
  <si>
    <t xml:space="preserve">PSPPH_0064</t>
  </si>
  <si>
    <t xml:space="preserve">GTAGCCGGAATGCTCGGCGA</t>
  </si>
  <si>
    <t xml:space="preserve">TAGTGTAGCCGGAATGCTCGGCGA</t>
  </si>
  <si>
    <t xml:space="preserve">AAACTCGCCGAGCATTCCGGCTAC</t>
  </si>
  <si>
    <t xml:space="preserve">TTCATAGCGGAAGTTCTGAT</t>
  </si>
  <si>
    <t xml:space="preserve">TAGTTTCATAGCGGAAGTTCTGAT</t>
  </si>
  <si>
    <t xml:space="preserve">AAACATCAGAACTTCCGCTATGAA</t>
  </si>
  <si>
    <t xml:space="preserve">GCGTGATGACCAGCCTGAGA</t>
  </si>
  <si>
    <t xml:space="preserve">TAGTGCGTGATGACCAGCCTGAGA</t>
  </si>
  <si>
    <t xml:space="preserve">AAACTCTCAGGCTGGTCATCACGC</t>
  </si>
  <si>
    <t xml:space="preserve">GCGACCATGGGTTGACCACG</t>
  </si>
  <si>
    <t xml:space="preserve">TAGTGCGACCATGGGTTGACCACG</t>
  </si>
  <si>
    <t xml:space="preserve">AAACCGTGGTCAACCCATGGTCGC</t>
  </si>
  <si>
    <t xml:space="preserve">PSPPH_0065</t>
  </si>
  <si>
    <t xml:space="preserve">CGATTCTTCGTCTTTAGGCA</t>
  </si>
  <si>
    <t xml:space="preserve">TAGTCGATTCTTCGTCTTTAGGCA</t>
  </si>
  <si>
    <t xml:space="preserve">AAACTGCCTAAAGACGAAGAATCG</t>
  </si>
  <si>
    <t xml:space="preserve">ACTGGGTCAGGCTTGGGTGC</t>
  </si>
  <si>
    <t xml:space="preserve">TAGTACTGGGTCAGGCTTGGGTGC</t>
  </si>
  <si>
    <t xml:space="preserve">AAACGCACCCAAGCCTGACCCAGT</t>
  </si>
  <si>
    <t xml:space="preserve">GCTGCGGCTGCCGGTGCGCT</t>
  </si>
  <si>
    <t xml:space="preserve">TAGTGCTGCGGCTGCCGGTGCGCT</t>
  </si>
  <si>
    <t xml:space="preserve">AAACAGCGCACCGGCAGCCGCAGC</t>
  </si>
  <si>
    <t xml:space="preserve">CGATACCGAGCAGCAAGGCC</t>
  </si>
  <si>
    <t xml:space="preserve">TAGTCGATACCGAGCAGCAAGGCC</t>
  </si>
  <si>
    <t xml:space="preserve">AAACGGCCTTGCTGCTCGGTATCG</t>
  </si>
  <si>
    <t xml:space="preserve">PSPPH_0066</t>
  </si>
  <si>
    <t xml:space="preserve">hemD</t>
  </si>
  <si>
    <t xml:space="preserve">GCGGGTCAGCAACAGGCGCC</t>
  </si>
  <si>
    <t xml:space="preserve">TAGTGCGGGTCAGCAACAGGCGCC</t>
  </si>
  <si>
    <t xml:space="preserve">AAACGGCGCCTGTTGCTGACCCGC</t>
  </si>
  <si>
    <t xml:space="preserve">GCGCTGCCGATTCTTCGGCC</t>
  </si>
  <si>
    <t xml:space="preserve">TAGTGCGCTGCCGATTCTTCGGCC</t>
  </si>
  <si>
    <t xml:space="preserve">AAACGGCCGAAGAATCGGCAGCGC</t>
  </si>
  <si>
    <t xml:space="preserve">GCTGCTGAAGATACCGGCCT</t>
  </si>
  <si>
    <t xml:space="preserve">TAGTGCTGCTGAAGATACCGGCCT</t>
  </si>
  <si>
    <t xml:space="preserve">AAACAGGCCGGTATCTTCAGCAGC</t>
  </si>
  <si>
    <t xml:space="preserve">GCTCGGTCTCGAGCAAAGGC</t>
  </si>
  <si>
    <t xml:space="preserve">TAGTGCTCGGTCTCGAGCAAAGGC</t>
  </si>
  <si>
    <t xml:space="preserve">AAACGCCTTTGCTCGAGACCGAGC</t>
  </si>
  <si>
    <t xml:space="preserve">PSPPH_0067</t>
  </si>
  <si>
    <t xml:space="preserve">hemC</t>
  </si>
  <si>
    <t xml:space="preserve">TCCGTACTGAGTGAATGCGA</t>
  </si>
  <si>
    <t xml:space="preserve">TAGTTCCGTACTGAGTGAATGCGA</t>
  </si>
  <si>
    <t xml:space="preserve">AAACTCGCATTCACTCAGTACGGA</t>
  </si>
  <si>
    <t xml:space="preserve">GGCGATGCGGATTTCGCGAG</t>
  </si>
  <si>
    <t xml:space="preserve">TAGTGGCGATGCGGATTTCGCGAG</t>
  </si>
  <si>
    <t xml:space="preserve">AAACCTCGCGAAATCCGCATCGCC</t>
  </si>
  <si>
    <t xml:space="preserve">TGCCAGCGCACTTTTGCGCG</t>
  </si>
  <si>
    <t xml:space="preserve">TAGTTGCCAGCGCACTTTTGCGCG</t>
  </si>
  <si>
    <t xml:space="preserve">AAACCGCGCAAAAGTGCGCTGGCA</t>
  </si>
  <si>
    <t xml:space="preserve">GGGATGAGCCTGTTCGAGAC</t>
  </si>
  <si>
    <t xml:space="preserve">TAGTGGGATGAGCCTGTTCGAGAC</t>
  </si>
  <si>
    <t xml:space="preserve">AAACGTCTCGAACAGGCTCATCCC</t>
  </si>
  <si>
    <t xml:space="preserve">PSPPH_0068</t>
  </si>
  <si>
    <t xml:space="preserve">GCCACTGCCGATTGATTGAT</t>
  </si>
  <si>
    <t xml:space="preserve">TAGTGCCACTGCCGATTGATTGAT</t>
  </si>
  <si>
    <t xml:space="preserve">AAACATCAATCAATCGGCAGTGGC</t>
  </si>
  <si>
    <t xml:space="preserve">PSPPH_0069</t>
  </si>
  <si>
    <t xml:space="preserve">algR</t>
  </si>
  <si>
    <t xml:space="preserve">CTCAATCGCTCGCGGGCCAG</t>
  </si>
  <si>
    <t xml:space="preserve">TAGTCTCAATCGCTCGCGGGCCAG</t>
  </si>
  <si>
    <t xml:space="preserve">AAACCTGGCCCGCGAGCGATTGAG</t>
  </si>
  <si>
    <t xml:space="preserve">CTTCAATCTCATTGACCATG</t>
  </si>
  <si>
    <t xml:space="preserve">TAGTCTTCAATCTCATTGACCATG</t>
  </si>
  <si>
    <t xml:space="preserve">AAACCATGGTCAATGAGATTGAAG</t>
  </si>
  <si>
    <t xml:space="preserve">TCTTCACCATTGGAGGCGCT</t>
  </si>
  <si>
    <t xml:space="preserve">TAGTTCTTCACCATTGGAGGCGCT</t>
  </si>
  <si>
    <t xml:space="preserve">AAACAGCGCCTCCAATGGTGAAGA</t>
  </si>
  <si>
    <t xml:space="preserve">GTGAGTTTCAATCAGCGCCA</t>
  </si>
  <si>
    <t xml:space="preserve">TAGTGTGAGTTTCAATCAGCGCCA</t>
  </si>
  <si>
    <t xml:space="preserve">AAACTGGCGCTGATTGAAACTCAC</t>
  </si>
  <si>
    <t xml:space="preserve">PSPPH_0070</t>
  </si>
  <si>
    <t xml:space="preserve">fimS</t>
  </si>
  <si>
    <t xml:space="preserve">GGCCGGGCTTCGTGTTTCAC</t>
  </si>
  <si>
    <t xml:space="preserve">TAGTGGCCGGGCTTCGTGTTTCAC</t>
  </si>
  <si>
    <t xml:space="preserve">AAACGTGAAACACGAAGCCCGGCC</t>
  </si>
  <si>
    <t xml:space="preserve">AAAAAGTCTTTGCCGGGCAC</t>
  </si>
  <si>
    <t xml:space="preserve">TAGTAAAAAGTCTTTGCCGGGCAC</t>
  </si>
  <si>
    <t xml:space="preserve">AAACGTGCCCGGCAAAGACTTTTT</t>
  </si>
  <si>
    <t xml:space="preserve">GCGGCAGGCACGGTTCGGGG</t>
  </si>
  <si>
    <t xml:space="preserve">TAGTGCGGCAGGCACGGTTCGGGG</t>
  </si>
  <si>
    <t xml:space="preserve">AAACCCCCGAACCGTGCCTGCCGC</t>
  </si>
  <si>
    <t xml:space="preserve">CAGTCGAAGCCGGTACGCAT</t>
  </si>
  <si>
    <t xml:space="preserve">TAGTCAGTCGAAGCCGGTACGCAT</t>
  </si>
  <si>
    <t xml:space="preserve">AAACATGCGTACCGGCTTCGACTG</t>
  </si>
  <si>
    <t xml:space="preserve">PSPPH_0071</t>
  </si>
  <si>
    <t xml:space="preserve">argH</t>
  </si>
  <si>
    <t xml:space="preserve">ATTGGTCTTGTCGGTGCTCA</t>
  </si>
  <si>
    <t xml:space="preserve">TAGTATTGGTCTTGTCGGTGCTCA</t>
  </si>
  <si>
    <t xml:space="preserve">AAACTGAGCACCGACAAGACCAAT</t>
  </si>
  <si>
    <t xml:space="preserve">TTCACTGAAGCGGCCGCCCC</t>
  </si>
  <si>
    <t xml:space="preserve">TAGTTTCACTGAAGCGGCCGCCCC</t>
  </si>
  <si>
    <t xml:space="preserve">AAACGGGGCGGCCGCTTCAGTGAA</t>
  </si>
  <si>
    <t xml:space="preserve">CGCGCGACAAACGCGTCGAC</t>
  </si>
  <si>
    <t xml:space="preserve">TAGTCGCGCGACAAACGCGTCGAC</t>
  </si>
  <si>
    <t xml:space="preserve">AAACGTCGACGCGTTTGTCGCGCG</t>
  </si>
  <si>
    <t xml:space="preserve">ACGTTGATCGAAGGTGACGG</t>
  </si>
  <si>
    <t xml:space="preserve">TAGTACGTTGATCGAAGGTGACGG</t>
  </si>
  <si>
    <t xml:space="preserve">AAACCCGTCACCTTCGATCAACGT</t>
  </si>
  <si>
    <t xml:space="preserve">PSPPH_0072</t>
  </si>
  <si>
    <t xml:space="preserve">AGCCACAGGCCATTGAGCAT</t>
  </si>
  <si>
    <t xml:space="preserve">TAGTAGCCACAGGCCATTGAGCAT</t>
  </si>
  <si>
    <t xml:space="preserve">AAACATGCTCAATGGCCTGTGGCT</t>
  </si>
  <si>
    <t xml:space="preserve">GACCATCGCCGCAAAAATGC</t>
  </si>
  <si>
    <t xml:space="preserve">TAGTGACCATCGCCGCAAAAATGC</t>
  </si>
  <si>
    <t xml:space="preserve">AAACGCATTTTTGCGGCGATGGTC</t>
  </si>
  <si>
    <t xml:space="preserve">CATCACCTCGACCGACAGCT</t>
  </si>
  <si>
    <t xml:space="preserve">TAGTCATCACCTCGACCGACAGCT</t>
  </si>
  <si>
    <t xml:space="preserve">AAACAGCTGTCGGTCGAGGTGATG</t>
  </si>
  <si>
    <t xml:space="preserve">GTCGACGATGCCCGCCTTTT</t>
  </si>
  <si>
    <t xml:space="preserve">TAGTGTCGACGATGCCCGCCTTTT</t>
  </si>
  <si>
    <t xml:space="preserve">AAACAAAAGGCGGGCATCGTCGAC</t>
  </si>
  <si>
    <t xml:space="preserve">PSPPH_0073</t>
  </si>
  <si>
    <t xml:space="preserve">CAAACATTCGGGGGTTCACT</t>
  </si>
  <si>
    <t xml:space="preserve">TAGTCAAACATTCGGGGGTTCACT</t>
  </si>
  <si>
    <t xml:space="preserve">AAACAGTGAACCCCCGAATGTTTG</t>
  </si>
  <si>
    <t xml:space="preserve">TGAGCACGGGCGTCACATAG</t>
  </si>
  <si>
    <t xml:space="preserve">TAGTTGAGCACGGGCGTCACATAG</t>
  </si>
  <si>
    <t xml:space="preserve">AAACCTATGTGACGCCCGTGCTCA</t>
  </si>
  <si>
    <t xml:space="preserve">CCAAACGCCGCAATGAGCCC</t>
  </si>
  <si>
    <t xml:space="preserve">TAGTCCAAACGCCGCAATGAGCCC</t>
  </si>
  <si>
    <t xml:space="preserve">AAACGGGCTCATTGCGGCGTTTGG</t>
  </si>
  <si>
    <t xml:space="preserve">GCGGTCGACCAGGATAAAAC</t>
  </si>
  <si>
    <t xml:space="preserve">TAGTGCGGTCGACCAGGATAAAAC</t>
  </si>
  <si>
    <t xml:space="preserve">AAACGTTTTATCCTGGTCGACCGC</t>
  </si>
  <si>
    <t xml:space="preserve">PSPPH_0074</t>
  </si>
  <si>
    <t xml:space="preserve">GGAGCAGACAAGCGAACAGC</t>
  </si>
  <si>
    <t xml:space="preserve">TAGTGGAGCAGACAAGCGAACAGC</t>
  </si>
  <si>
    <t xml:space="preserve">AAACGCTGTTCGCTTGTCTGCTCC</t>
  </si>
  <si>
    <t xml:space="preserve">CAAACGAAGGGAGTGAACCG</t>
  </si>
  <si>
    <t xml:space="preserve">TAGTCAAACGAAGGGAGTGAACCG</t>
  </si>
  <si>
    <t xml:space="preserve">AAACCGGTTCACTCCCTTCGTTTG</t>
  </si>
  <si>
    <t xml:space="preserve">CTCGACCTGAAGGCGGTCAA</t>
  </si>
  <si>
    <t xml:space="preserve">TAGTCTCGACCTGAAGGCGGTCAA</t>
  </si>
  <si>
    <t xml:space="preserve">AAACTTGACCGCCTTCAGGTCGAG</t>
  </si>
  <si>
    <t xml:space="preserve">AGAAGGACTTGCAAACCATT</t>
  </si>
  <si>
    <t xml:space="preserve">TAGTAGAAGGACTTGCAAACCATT</t>
  </si>
  <si>
    <t xml:space="preserve">AAACAATGGTTTGCAAGTCCTTCT</t>
  </si>
  <si>
    <t xml:space="preserve">PSPPH_0075</t>
  </si>
  <si>
    <t xml:space="preserve">GGCAGATAGCAAATCGAGCA</t>
  </si>
  <si>
    <t xml:space="preserve">TAGTGGCAGATAGCAAATCGAGCA</t>
  </si>
  <si>
    <t xml:space="preserve">AAACTGCTCGATTTGCTATCTGCC</t>
  </si>
  <si>
    <t xml:space="preserve">ATGCGTGCCCCAGATCAGCA</t>
  </si>
  <si>
    <t xml:space="preserve">TAGTATGCGTGCCCCAGATCAGCA</t>
  </si>
  <si>
    <t xml:space="preserve">AAACTGCTGATCTGGGGCACGCAT</t>
  </si>
  <si>
    <t xml:space="preserve">GTTGTGCACCGTAAACACGA</t>
  </si>
  <si>
    <t xml:space="preserve">TAGTGTTGTGCACCGTAAACACGA</t>
  </si>
  <si>
    <t xml:space="preserve">AAACTCGTGTTTACGGTGCACAAC</t>
  </si>
  <si>
    <t xml:space="preserve">GTGGTCGCTTGGACATGTTC</t>
  </si>
  <si>
    <t xml:space="preserve">TAGTGTGGTCGCTTGGACATGTTC</t>
  </si>
  <si>
    <t xml:space="preserve">AAACGAACATGTCCAAGCGACCAC</t>
  </si>
  <si>
    <t xml:space="preserve">PSPPH_0076</t>
  </si>
  <si>
    <t xml:space="preserve">GGCAATTCGGGTACGGGGCT</t>
  </si>
  <si>
    <t xml:space="preserve">TAGTGGCAATTCGGGTACGGGGCT</t>
  </si>
  <si>
    <t xml:space="preserve">AAACAGCCCCGTACCCGAATTGCC</t>
  </si>
  <si>
    <t xml:space="preserve">CAGAGCAATACCGAGTTGCG</t>
  </si>
  <si>
    <t xml:space="preserve">TAGTCAGAGCAATACCGAGTTGCG</t>
  </si>
  <si>
    <t xml:space="preserve">AAACCGCAACTCGGTATTGCTCTG</t>
  </si>
  <si>
    <t xml:space="preserve">GATAACCACAGCCAGGATCA</t>
  </si>
  <si>
    <t xml:space="preserve">TAGTGATAACCACAGCCAGGATCA</t>
  </si>
  <si>
    <t xml:space="preserve">AAACTGATCCTGGCTGTGGTTATC</t>
  </si>
  <si>
    <t xml:space="preserve">CAGAGACCTTAACGCGAACA</t>
  </si>
  <si>
    <t xml:space="preserve">TAGTCAGAGACCTTAACGCGAACA</t>
  </si>
  <si>
    <t xml:space="preserve">AAACTGTTCGCGTTAAGGTCTCTG</t>
  </si>
  <si>
    <t xml:space="preserve">PSPPH_0077</t>
  </si>
  <si>
    <t xml:space="preserve">TAAAGAGGGGGGAGACTGCG</t>
  </si>
  <si>
    <t xml:space="preserve">TAGTTAAAGAGGGGGGAGACTGCG</t>
  </si>
  <si>
    <t xml:space="preserve">AAACCGCAGTCTCCCCCCTCTTTA</t>
  </si>
  <si>
    <t xml:space="preserve">TTGAGTGATCGAAAGCTCCT</t>
  </si>
  <si>
    <t xml:space="preserve">TAGTTTGAGTGATCGAAAGCTCCT</t>
  </si>
  <si>
    <t xml:space="preserve">AAACAGGAGCTTTCGATCACTCAA</t>
  </si>
  <si>
    <t xml:space="preserve">CTTCCAGCGTGCGGATGTGA</t>
  </si>
  <si>
    <t xml:space="preserve">TAGTCTTCCAGCGTGCGGATGTGA</t>
  </si>
  <si>
    <t xml:space="preserve">AAACTCACATCCGCACGCTGGAAG</t>
  </si>
  <si>
    <t xml:space="preserve">GTTGCGCTGAAACAAACGAC</t>
  </si>
  <si>
    <t xml:space="preserve">TAGTGTTGCGCTGAAACAAACGAC</t>
  </si>
  <si>
    <t xml:space="preserve">AAACGTCGTTTGTTTCAGCGCAAC</t>
  </si>
  <si>
    <t xml:space="preserve">PSPPH_0078</t>
  </si>
  <si>
    <t xml:space="preserve">ATCCAGAGTTCTTTGAGTGC</t>
  </si>
  <si>
    <t xml:space="preserve">TAGTATCCAGAGTTCTTTGAGTGC</t>
  </si>
  <si>
    <t xml:space="preserve">AAACGCACTCAAAGAACTCTGGAT</t>
  </si>
  <si>
    <t xml:space="preserve">TCAGCGGCCCGGCAAGGCGC</t>
  </si>
  <si>
    <t xml:space="preserve">TAGTTCAGCGGCCCGGCAAGGCGC</t>
  </si>
  <si>
    <t xml:space="preserve">AAACGCGCCTTGCCGGGCCGCTGA</t>
  </si>
  <si>
    <t xml:space="preserve">CTTGCCCATCATCACCGTGT</t>
  </si>
  <si>
    <t xml:space="preserve">TAGTCTTGCCCATCATCACCGTGT</t>
  </si>
  <si>
    <t xml:space="preserve">AAACACACGGTGATGATGGGCAAG</t>
  </si>
  <si>
    <t xml:space="preserve">CACCGCCTGCCAGCGCCTCC</t>
  </si>
  <si>
    <t xml:space="preserve">TAGTCACCGCCTGCCAGCGCCTCC</t>
  </si>
  <si>
    <t xml:space="preserve">AAACGGAGGCGCTGGCAGGCGGTG</t>
  </si>
  <si>
    <t xml:space="preserve">PSPPH_0079</t>
  </si>
  <si>
    <t xml:space="preserve">CGCAAGGGTTCGACAGGTGT</t>
  </si>
  <si>
    <t xml:space="preserve">TAGTCGCAAGGGTTCGACAGGTGT</t>
  </si>
  <si>
    <t xml:space="preserve">AAACACACCTGTCGAACCCTTGCG</t>
  </si>
  <si>
    <t xml:space="preserve">CGCAGCAGCGCGTACCAGAA</t>
  </si>
  <si>
    <t xml:space="preserve">TAGTCGCAGCAGCGCGTACCAGAA</t>
  </si>
  <si>
    <t xml:space="preserve">AAACTTCTGGTACGCGCTGCTGCG</t>
  </si>
  <si>
    <t xml:space="preserve">CGTTGCTGCCCGGTGCAGTA</t>
  </si>
  <si>
    <t xml:space="preserve">TAGTCGTTGCTGCCCGGTGCAGTA</t>
  </si>
  <si>
    <t xml:space="preserve">AAACTACTGCACCGGGCAGCAACG</t>
  </si>
  <si>
    <t xml:space="preserve">GCTGCGCTCGTTAGCGTACC</t>
  </si>
  <si>
    <t xml:space="preserve">TAGTGCTGCGCTCGTTAGCGTACC</t>
  </si>
  <si>
    <t xml:space="preserve">AAACGGTACGCTAACGAGCGCAGC</t>
  </si>
  <si>
    <t xml:space="preserve">PSPPH_0080</t>
  </si>
  <si>
    <t xml:space="preserve">rep</t>
  </si>
  <si>
    <t xml:space="preserve">CCGGGGATTGAGTCGGGACA</t>
  </si>
  <si>
    <t xml:space="preserve">TAGTCCGGGGATTGAGTCGGGACA</t>
  </si>
  <si>
    <t xml:space="preserve">AAACTGTCCCGACTCAATCCCCGG</t>
  </si>
  <si>
    <t xml:space="preserve">AGGGCCGCCGACGTAGTTCA</t>
  </si>
  <si>
    <t xml:space="preserve">TAGTAGGGCCGCCGACGTAGTTCA</t>
  </si>
  <si>
    <t xml:space="preserve">AAACTGAACTACGTCGGCGGCCCT</t>
  </si>
  <si>
    <t xml:space="preserve">GCACCGGCGAGCACCAAAAG</t>
  </si>
  <si>
    <t xml:space="preserve">TAGTGCACCGGCGAGCACCAAAAG</t>
  </si>
  <si>
    <t xml:space="preserve">AAACCTTTTGGTGCTCGCCGGTGC</t>
  </si>
  <si>
    <t xml:space="preserve">CACACTGGTCTTGCCGGAAC</t>
  </si>
  <si>
    <t xml:space="preserve">TAGTCACACTGGTCTTGCCGGAAC</t>
  </si>
  <si>
    <t xml:space="preserve">AAACGTTCCGGCAAGACCAGTGTG</t>
  </si>
  <si>
    <t xml:space="preserve">PSPPH_0081</t>
  </si>
  <si>
    <t xml:space="preserve">xpt</t>
  </si>
  <si>
    <t xml:space="preserve">ATCGACTTTCAGCACCTGGT</t>
  </si>
  <si>
    <t xml:space="preserve">TAGTATCGACTTTCAGCACCTGGT</t>
  </si>
  <si>
    <t xml:space="preserve">AAACACCAGGTGCTGAAAGTCGAT</t>
  </si>
  <si>
    <t xml:space="preserve">TCAAGGCCGGATCGATCTGA</t>
  </si>
  <si>
    <t xml:space="preserve">TAGTTCAAGGCCGGATCGATCTGA</t>
  </si>
  <si>
    <t xml:space="preserve">AAACTCAGATCGATCCGGCCTTGA</t>
  </si>
  <si>
    <t xml:space="preserve">GCCAGCGTCGGCGAACAGAC</t>
  </si>
  <si>
    <t xml:space="preserve">TAGTGCCAGCGTCGGCGAACAGAC</t>
  </si>
  <si>
    <t xml:space="preserve">AAACGTCTGTTCGCCGACGCTGGC</t>
  </si>
  <si>
    <t xml:space="preserve">AGCTTCGATGGTCACGATTT</t>
  </si>
  <si>
    <t xml:space="preserve">TAGTAGCTTCGATGGTCACGATTT</t>
  </si>
  <si>
    <t xml:space="preserve">AAACAAATCGTGACCATCGAAGCT</t>
  </si>
  <si>
    <t xml:space="preserve">PSPPH_0082</t>
  </si>
  <si>
    <t xml:space="preserve">GGGTAAATCAGTGGCGATGA</t>
  </si>
  <si>
    <t xml:space="preserve">TAGTGGGTAAATCAGTGGCGATGA</t>
  </si>
  <si>
    <t xml:space="preserve">AAACTCATCGCCACTGATTTACCC</t>
  </si>
  <si>
    <t xml:space="preserve">AGCGACTGCATGCGACTGCC</t>
  </si>
  <si>
    <t xml:space="preserve">TAGTAGCGACTGCATGCGACTGCC</t>
  </si>
  <si>
    <t xml:space="preserve">AAACGGCAGTCGCATGCAGTCGCT</t>
  </si>
  <si>
    <t xml:space="preserve">TCGGTCGCAGGTCATGTTCG</t>
  </si>
  <si>
    <t xml:space="preserve">TAGTTCGGTCGCAGGTCATGTTCG</t>
  </si>
  <si>
    <t xml:space="preserve">AAACCGAACATGACCTGCGACCGA</t>
  </si>
  <si>
    <t xml:space="preserve">GTAGTCGGTGTCCAGAACGA</t>
  </si>
  <si>
    <t xml:space="preserve">TAGTGTAGTCGGTGTCCAGAACGA</t>
  </si>
  <si>
    <t xml:space="preserve">AAACTCGTTCTGGACACCGACTAC</t>
  </si>
  <si>
    <t xml:space="preserve">PSPPH_0083</t>
  </si>
  <si>
    <t xml:space="preserve">CCAGGTATGGCTGTCGAAGA</t>
  </si>
  <si>
    <t xml:space="preserve">TAGTCCAGGTATGGCTGTCGAAGA</t>
  </si>
  <si>
    <t xml:space="preserve">AAACTCTTCGACAGCCATACCTGG</t>
  </si>
  <si>
    <t xml:space="preserve">GTCCATCACCAGGTAGCTGA</t>
  </si>
  <si>
    <t xml:space="preserve">TAGTGTCCATCACCAGGTAGCTGA</t>
  </si>
  <si>
    <t xml:space="preserve">AAACTCAGCTACCTGGTGATGGAC</t>
  </si>
  <si>
    <t xml:space="preserve">GCGCGCACTGCTTGCTAGCC</t>
  </si>
  <si>
    <t xml:space="preserve">TAGTGCGCGCACTGCTTGCTAGCC</t>
  </si>
  <si>
    <t xml:space="preserve">AAACGGCTAGCAAGCAGTGCGCGC</t>
  </si>
  <si>
    <t xml:space="preserve">TCCGGGTGCGGCCCGACTTG</t>
  </si>
  <si>
    <t xml:space="preserve">TAGTTCCGGGTGCGGCCCGACTTG</t>
  </si>
  <si>
    <t xml:space="preserve">AAACCAAGTCGGGCCGCACCCGGA</t>
  </si>
  <si>
    <t xml:space="preserve">PSPPH_0084</t>
  </si>
  <si>
    <t xml:space="preserve">ACCAACGATCAGGATCTGAC</t>
  </si>
  <si>
    <t xml:space="preserve">TAGTACCAACGATCAGGATCTGAC</t>
  </si>
  <si>
    <t xml:space="preserve">AAACGTCAGATCCTGATCGTTGGT</t>
  </si>
  <si>
    <t xml:space="preserve">GCTTGCGGCGGTGGCGATAC</t>
  </si>
  <si>
    <t xml:space="preserve">TAGTGCTTGCGGCGGTGGCGATAC</t>
  </si>
  <si>
    <t xml:space="preserve">AAACGTATCGCCACCGCCGCAAGC</t>
  </si>
  <si>
    <t xml:space="preserve">GGGCAGCATCACGGGCGAGC</t>
  </si>
  <si>
    <t xml:space="preserve">TAGTGGGCAGCATCACGGGCGAGC</t>
  </si>
  <si>
    <t xml:space="preserve">AAACGCTCGCCCGTGATGCTGCCC</t>
  </si>
  <si>
    <t xml:space="preserve">GTCGACCAGGGTGATCTGCA</t>
  </si>
  <si>
    <t xml:space="preserve">TAGTGTCGACCAGGGTGATCTGCA</t>
  </si>
  <si>
    <t xml:space="preserve">AAACTGCAGATCACCCTGGTCGAC</t>
  </si>
  <si>
    <t xml:space="preserve">PSPPH_0085</t>
  </si>
  <si>
    <t xml:space="preserve">CCACGCCAATGATCGCCCCC</t>
  </si>
  <si>
    <t xml:space="preserve">TAGTCCACGCCAATGATCGCCCCC</t>
  </si>
  <si>
    <t xml:space="preserve">AAACGGGGGCGATCATTGGCGTGG</t>
  </si>
  <si>
    <t xml:space="preserve">CAAGACCAAAAACCAGCAGC</t>
  </si>
  <si>
    <t xml:space="preserve">TAGTCAAGACCAAAAACCAGCAGC</t>
  </si>
  <si>
    <t xml:space="preserve">AAACGCTGCTGGTTTTTGGTCTTG</t>
  </si>
  <si>
    <t xml:space="preserve">GTGCCGCTTCGACAATCGAC</t>
  </si>
  <si>
    <t xml:space="preserve">TAGTGTGCCGCTTCGACAATCGAC</t>
  </si>
  <si>
    <t xml:space="preserve">AAACGTCGATTGTCGAAGCGGCAC</t>
  </si>
  <si>
    <t xml:space="preserve">CCGACGGCCAGCAGGCCGAC</t>
  </si>
  <si>
    <t xml:space="preserve">TAGTCCGACGGCCAGCAGGCCGAC</t>
  </si>
  <si>
    <t xml:space="preserve">AAACGTCGGCCTGCTGGCCGTCGG</t>
  </si>
  <si>
    <t xml:space="preserve">PSPPH_0086</t>
  </si>
  <si>
    <t xml:space="preserve">TGAAATTCTTGCTGACGTTA</t>
  </si>
  <si>
    <t xml:space="preserve">TAGTTGAAATTCTTGCTGACGTTA</t>
  </si>
  <si>
    <t xml:space="preserve">AAACTAACGTCAGCAAGAATTTCA</t>
  </si>
  <si>
    <t xml:space="preserve">GATGTTGTTCAGGGCCTTGA</t>
  </si>
  <si>
    <t xml:space="preserve">TAGTGATGTTGTTCAGGGCCTTGA</t>
  </si>
  <si>
    <t xml:space="preserve">AAACTCAAGGCCCTGAACAACATC</t>
  </si>
  <si>
    <t xml:space="preserve">AAGCCACCAGCTCGCCACTC</t>
  </si>
  <si>
    <t xml:space="preserve">TAGTAAGCCACCAGCTCGCCACTC</t>
  </si>
  <si>
    <t xml:space="preserve">AAACGAGTGGCGAGCTGGTGGCTT</t>
  </si>
  <si>
    <t xml:space="preserve">TGGTCTTGCCGCAGCCTGAC</t>
  </si>
  <si>
    <t xml:space="preserve">TAGTTGGTCTTGCCGCAGCCTGAC</t>
  </si>
  <si>
    <t xml:space="preserve">AAACGTCAGGCTGCGGCAAGACCA</t>
  </si>
  <si>
    <t xml:space="preserve">PSPPH_0087</t>
  </si>
  <si>
    <t xml:space="preserve">cysW</t>
  </si>
  <si>
    <t xml:space="preserve">GGCGGCGTTGGCAGAGGCGG</t>
  </si>
  <si>
    <t xml:space="preserve">TAGTGGCGGCGTTGGCAGAGGCGG</t>
  </si>
  <si>
    <t xml:space="preserve">AAACCCGCCTCTGCCAACGCCGCC</t>
  </si>
  <si>
    <t xml:space="preserve">CGACACCGCGCTGCCACGAC</t>
  </si>
  <si>
    <t xml:space="preserve">TAGTCGACACCGCGCTGCCACGAC</t>
  </si>
  <si>
    <t xml:space="preserve">AAACGTCGTGGCAGCGCGGTGTCG</t>
  </si>
  <si>
    <t xml:space="preserve">GAAAGAACACCAGCCAGCAC</t>
  </si>
  <si>
    <t xml:space="preserve">TAGTGAAAGAACACCAGCCAGCAC</t>
  </si>
  <si>
    <t xml:space="preserve">AAACGTGCTGGCTGGTGTTCTTTC</t>
  </si>
  <si>
    <t xml:space="preserve">ACACCACGATGAACAGCGGC</t>
  </si>
  <si>
    <t xml:space="preserve">TAGTACACCACGATGAACAGCGGC</t>
  </si>
  <si>
    <t xml:space="preserve">AAACGCCGCTGTTCATCGTGGTGT</t>
  </si>
  <si>
    <t xml:space="preserve">PSPPH_0088</t>
  </si>
  <si>
    <t xml:space="preserve">cysT</t>
  </si>
  <si>
    <t xml:space="preserve">CCCGAAGCCGGGTATGACGG</t>
  </si>
  <si>
    <t xml:space="preserve">TAGTCCCGAAGCCGGGTATGACGG</t>
  </si>
  <si>
    <t xml:space="preserve">AAACCCGTCATACCCGGCTTCGGG</t>
  </si>
  <si>
    <t xml:space="preserve">AATCAGACTGAGGTACACCA</t>
  </si>
  <si>
    <t xml:space="preserve">TAGTAATCAGACTGAGGTACACCA</t>
  </si>
  <si>
    <t xml:space="preserve">AAACTGGTGTACCTCAGTCTGATT</t>
  </si>
  <si>
    <t xml:space="preserve">CGCGGCATGCACGAACATGG</t>
  </si>
  <si>
    <t xml:space="preserve">TAGTCGCGGCATGCACGAACATGG</t>
  </si>
  <si>
    <t xml:space="preserve">AAACCCATGTTCGTGCATGCCGCG</t>
  </si>
  <si>
    <t xml:space="preserve">GATGGTCCAGAACTGATCCC</t>
  </si>
  <si>
    <t xml:space="preserve">TAGTGATGGTCCAGAACTGATCCC</t>
  </si>
  <si>
    <t xml:space="preserve">AAACGGGATCAGTTCTGGACCATC</t>
  </si>
  <si>
    <t xml:space="preserve">PSPPH_0089</t>
  </si>
  <si>
    <t xml:space="preserve">sbp</t>
  </si>
  <si>
    <t xml:space="preserve">GGCCAGAGCAAAACGGCGAA</t>
  </si>
  <si>
    <t xml:space="preserve">TAGTGGCCAGAGCAAAACGGCGAA</t>
  </si>
  <si>
    <t xml:space="preserve">AAACTTCGCCGTTTTGCTCTGGCC</t>
  </si>
  <si>
    <t xml:space="preserve">GAAAACAGCACTGGCGAGAG</t>
  </si>
  <si>
    <t xml:space="preserve">TAGTGAAAACAGCACTGGCGAGAG</t>
  </si>
  <si>
    <t xml:space="preserve">AAACCTCTCGCCAGTGCTGTTTTC</t>
  </si>
  <si>
    <t xml:space="preserve">GTTGAGCAGTTCGTAATCCT</t>
  </si>
  <si>
    <t xml:space="preserve">TAGTGTTGAGCAGTTCGTAATCCT</t>
  </si>
  <si>
    <t xml:space="preserve">AAACAGGATTACGAACTGCTCAAC</t>
  </si>
  <si>
    <t xml:space="preserve">TCCTGATACAGCTCGCGGGT</t>
  </si>
  <si>
    <t xml:space="preserve">TAGTTCCTGATACAGCTCGCGGGT</t>
  </si>
  <si>
    <t xml:space="preserve">AAACACCCGCGAGCTGTATCAGGA</t>
  </si>
  <si>
    <t xml:space="preserve">PSPPH_0090</t>
  </si>
  <si>
    <t xml:space="preserve">GTTATGCACAGTGATTTCGA</t>
  </si>
  <si>
    <t xml:space="preserve">TAGTGTTATGCACAGTGATTTCGA</t>
  </si>
  <si>
    <t xml:space="preserve">AAACTCGAAATCACTGTGCATAAC</t>
  </si>
  <si>
    <t xml:space="preserve">PSPPH_0091</t>
  </si>
  <si>
    <t xml:space="preserve">CCAAGGGAGTAATCTGACAT</t>
  </si>
  <si>
    <t xml:space="preserve">TAGTCCAAGGGAGTAATCTGACAT</t>
  </si>
  <si>
    <t xml:space="preserve">AAACATGTCAGATTACTCCCTTGG</t>
  </si>
  <si>
    <t xml:space="preserve">GGACAGCAGCCCATACAGGA</t>
  </si>
  <si>
    <t xml:space="preserve">TAGTGGACAGCAGCCCATACAGGA</t>
  </si>
  <si>
    <t xml:space="preserve">AAACTCCTGTATGGGCTGCTGTCC</t>
  </si>
  <si>
    <t xml:space="preserve">GCACGTCACAAACCACAAAA</t>
  </si>
  <si>
    <t xml:space="preserve">TAGTGCACGTCACAAACCACAAAA</t>
  </si>
  <si>
    <t xml:space="preserve">AAACTTTTGTGGTTTGTGACGTGC</t>
  </si>
  <si>
    <t xml:space="preserve">TTATGAAAAAGGGCAGCAAC</t>
  </si>
  <si>
    <t xml:space="preserve">TAGTTTATGAAAAAGGGCAGCAAC</t>
  </si>
  <si>
    <t xml:space="preserve">AAACGTTGCTGCCCTTTTTCATAA</t>
  </si>
  <si>
    <t xml:space="preserve">PSPPH_0092</t>
  </si>
  <si>
    <t xml:space="preserve">GTTGTAACACATAGGCTGTT</t>
  </si>
  <si>
    <t xml:space="preserve">TAGTGTTGTAACACATAGGCTGTT</t>
  </si>
  <si>
    <t xml:space="preserve">AAACAACAGCCTATGTGTTACAAC</t>
  </si>
  <si>
    <t xml:space="preserve">CTATTACCTGCCAGACGGAA</t>
  </si>
  <si>
    <t xml:space="preserve">TAGTCTATTACCTGCCAGACGGAA</t>
  </si>
  <si>
    <t xml:space="preserve">AAACTTCCGTCTGGCAGGTAATAG</t>
  </si>
  <si>
    <t xml:space="preserve">GACGCCGACAATAGTCACAT</t>
  </si>
  <si>
    <t xml:space="preserve">TAGTGACGCCGACAATAGTCACAT</t>
  </si>
  <si>
    <t xml:space="preserve">AAACATGTGACTATTGTCGGCGTC</t>
  </si>
  <si>
    <t xml:space="preserve">GCGAGCGGTGGGCTGAGTAG</t>
  </si>
  <si>
    <t xml:space="preserve">TAGTGCGAGCGGTGGGCTGAGTAG</t>
  </si>
  <si>
    <t xml:space="preserve">AAACCTACTCAGCCCACCGCTCGC</t>
  </si>
  <si>
    <t xml:space="preserve">PSPPH_0093</t>
  </si>
  <si>
    <t xml:space="preserve">AACAGGGTTTCTGCGGCTGC</t>
  </si>
  <si>
    <t xml:space="preserve">TAGTAACAGGGTTTCTGCGGCTGC</t>
  </si>
  <si>
    <t xml:space="preserve">AAACGCAGCCGCAGAAACCCTGTT</t>
  </si>
  <si>
    <t xml:space="preserve">TTCTGCCTGGGCGTGCATCA</t>
  </si>
  <si>
    <t xml:space="preserve">TAGTTTCTGCCTGGGCGTGCATCA</t>
  </si>
  <si>
    <t xml:space="preserve">AAACTGATGCACGCCCAGGCAGAA</t>
  </si>
  <si>
    <t xml:space="preserve">TTGTTCACGCTCGCTCAAGC</t>
  </si>
  <si>
    <t xml:space="preserve">TAGTTTGTTCACGCTCGCTCAAGC</t>
  </si>
  <si>
    <t xml:space="preserve">AAACGCTTGAGCGAGCGTGAACAA</t>
  </si>
  <si>
    <t xml:space="preserve">GCTGACGTAAATCATGTGCT</t>
  </si>
  <si>
    <t xml:space="preserve">TAGTGCTGACGTAAATCATGTGCT</t>
  </si>
  <si>
    <t xml:space="preserve">AAACAGCACATGATTTACGTCAGC</t>
  </si>
  <si>
    <t xml:space="preserve">PSPPH_0094</t>
  </si>
  <si>
    <t xml:space="preserve">ATCAATACGCGAGGTACCGC</t>
  </si>
  <si>
    <t xml:space="preserve">TAGTATCAATACGCGAGGTACCGC</t>
  </si>
  <si>
    <t xml:space="preserve">AAACGCGGTACCTCGCGTATTGAT</t>
  </si>
  <si>
    <t xml:space="preserve">CTGAGTGTTTCGCGAACCCA</t>
  </si>
  <si>
    <t xml:space="preserve">TAGTCTGAGTGTTTCGCGAACCCA</t>
  </si>
  <si>
    <t xml:space="preserve">AAACTGGGTTCGCGAAACACTCAG</t>
  </si>
  <si>
    <t xml:space="preserve">TGCCATCGGTACACATTTCC</t>
  </si>
  <si>
    <t xml:space="preserve">TAGTTGCCATCGGTACACATTTCC</t>
  </si>
  <si>
    <t xml:space="preserve">AAACGGAAATGTGTACCGATGGCA</t>
  </si>
  <si>
    <t xml:space="preserve">TTGTTTCTTCATCCATTCGA</t>
  </si>
  <si>
    <t xml:space="preserve">TAGTTTGTTTCTTCATCCATTCGA</t>
  </si>
  <si>
    <t xml:space="preserve">AAACTCGAATGGATGAAGAAACAA</t>
  </si>
  <si>
    <t xml:space="preserve">PSPPH_0095</t>
  </si>
  <si>
    <t xml:space="preserve">gabT1</t>
  </si>
  <si>
    <t xml:space="preserve">AGCATGGCGGCGTTGCATCA</t>
  </si>
  <si>
    <t xml:space="preserve">TAGTAGCATGGCGGCGTTGCATCA</t>
  </si>
  <si>
    <t xml:space="preserve">AAACTGATGCAACGCCGCCATGCT</t>
  </si>
  <si>
    <t xml:space="preserve">CTGACCAACGCCACGCGGGA</t>
  </si>
  <si>
    <t xml:space="preserve">TAGTCTGACCAACGCCACGCGGGA</t>
  </si>
  <si>
    <t xml:space="preserve">AAACTCCCGCGTGGCGTTGGTCAG</t>
  </si>
  <si>
    <t xml:space="preserve">CCGAAGCAGCGAAGATCGGG</t>
  </si>
  <si>
    <t xml:space="preserve">TAGTCCGAAGCAGCGAAGATCGGG</t>
  </si>
  <si>
    <t xml:space="preserve">AAACCCCGATCTTCGCTGCTTCGG</t>
  </si>
  <si>
    <t xml:space="preserve">ACGACCTTCCACGTCGGTAA</t>
  </si>
  <si>
    <t xml:space="preserve">TAGTACGACCTTCCACGTCGGTAA</t>
  </si>
  <si>
    <t xml:space="preserve">AAACTTACCGACGTGGAAGGTCGT</t>
  </si>
  <si>
    <t xml:space="preserve">PSPPH_0096</t>
  </si>
  <si>
    <t xml:space="preserve">gabD1</t>
  </si>
  <si>
    <t xml:space="preserve">GGCTTGCTGGCGGAACAGTG</t>
  </si>
  <si>
    <t xml:space="preserve">TAGTGGCTTGCTGGCGGAACAGTG</t>
  </si>
  <si>
    <t xml:space="preserve">AAACCACTGTTCCGCCAGCAAGCC</t>
  </si>
  <si>
    <t xml:space="preserve">CACCGTCCGCATCCAGCCAC</t>
  </si>
  <si>
    <t xml:space="preserve">TAGTCACCGTCCGCATCCAGCCAC</t>
  </si>
  <si>
    <t xml:space="preserve">AAACGTGGCTGGATGCGGACGGTG</t>
  </si>
  <si>
    <t xml:space="preserve">CGAGGATTTCGTTATTGGCA</t>
  </si>
  <si>
    <t xml:space="preserve">TAGTCGAGGATTTCGTTATTGGCA</t>
  </si>
  <si>
    <t xml:space="preserve">AAACTGCCAATAACGAAATCCTCG</t>
  </si>
  <si>
    <t xml:space="preserve">GTCTCGGCTGCGCCCATTTT</t>
  </si>
  <si>
    <t xml:space="preserve">TAGTGTCTCGGCTGCGCCCATTTT</t>
  </si>
  <si>
    <t xml:space="preserve">AAACAAAATGGGCGCAGCCGAGAC</t>
  </si>
  <si>
    <t xml:space="preserve">PSPPH_0097</t>
  </si>
  <si>
    <t xml:space="preserve">CGATCTGGCTGAGTGGTATG</t>
  </si>
  <si>
    <t xml:space="preserve">TAGTCGATCTGGCTGAGTGGTATG</t>
  </si>
  <si>
    <t xml:space="preserve">AAACCATACCACTCAGCCAGATCG</t>
  </si>
  <si>
    <t xml:space="preserve">ACTGATTGATAAGAGGCCCT</t>
  </si>
  <si>
    <t xml:space="preserve">TAGTACTGATTGATAAGAGGCCCT</t>
  </si>
  <si>
    <t xml:space="preserve">AAACAGGGCCTCTTATCAATCAGT</t>
  </si>
  <si>
    <t xml:space="preserve">CGGTAATAAGAACGCGGCAC</t>
  </si>
  <si>
    <t xml:space="preserve">TAGTCGGTAATAAGAACGCGGCAC</t>
  </si>
  <si>
    <t xml:space="preserve">AAACGTGCCGCGTTCTTATTACCG</t>
  </si>
  <si>
    <t xml:space="preserve">ACACCCCGCGATACTGGCCC</t>
  </si>
  <si>
    <t xml:space="preserve">TAGTACACCCCGCGATACTGGCCC</t>
  </si>
  <si>
    <t xml:space="preserve">AAACGGGCCAGTATCGCGGGGTGT</t>
  </si>
  <si>
    <t xml:space="preserve">PSPPH_0099</t>
  </si>
  <si>
    <t xml:space="preserve">GCTGGGCTGGATAGCCCTTA</t>
  </si>
  <si>
    <t xml:space="preserve">TAGTGCTGGGCTGGATAGCCCTTA</t>
  </si>
  <si>
    <t xml:space="preserve">AAACTAAGGGCTATCCAGCCCAGC</t>
  </si>
  <si>
    <t xml:space="preserve">AGCATCGGATTTGGTTTCGA</t>
  </si>
  <si>
    <t xml:space="preserve">TAGTAGCATCGGATTTGGTTTCGA</t>
  </si>
  <si>
    <t xml:space="preserve">AAACTCGAAACCAAATCCGATGCT</t>
  </si>
  <si>
    <t xml:space="preserve">GCTTTCGATCATGCGCGCCC</t>
  </si>
  <si>
    <t xml:space="preserve">TAGTGCTTTCGATCATGCGCGCCC</t>
  </si>
  <si>
    <t xml:space="preserve">AAACGGGCGCGCATGATCGAAAGC</t>
  </si>
  <si>
    <t xml:space="preserve">GCGATCGATGAGTTGATGAA</t>
  </si>
  <si>
    <t xml:space="preserve">TAGTGCGATCGATGAGTTGATGAA</t>
  </si>
  <si>
    <t xml:space="preserve">AAACTTCATCAACTCATCGATCGC</t>
  </si>
  <si>
    <t xml:space="preserve">PSPPH_0100</t>
  </si>
  <si>
    <t xml:space="preserve">TCGCTTGGGTGGAGAGGGCA</t>
  </si>
  <si>
    <t xml:space="preserve">TAGTTCGCTTGGGTGGAGAGGGCA</t>
  </si>
  <si>
    <t xml:space="preserve">AAACTGCCCTCTCCACCCAAGCGA</t>
  </si>
  <si>
    <t xml:space="preserve">TTCCGCAGCTTGGATCAAAC</t>
  </si>
  <si>
    <t xml:space="preserve">TAGTTTCCGCAGCTTGGATCAAAC</t>
  </si>
  <si>
    <t xml:space="preserve">AAACGTTTGATCCAAGCTGCGGAA</t>
  </si>
  <si>
    <t xml:space="preserve">GTTGGTGATCAGTAGACATG</t>
  </si>
  <si>
    <t xml:space="preserve">TAGTGTTGGTGATCAGTAGACATG</t>
  </si>
  <si>
    <t xml:space="preserve">AAACCATGTCTACTGATCACCAAC</t>
  </si>
  <si>
    <t xml:space="preserve">AGCCGCAGACTGATTTTCGG</t>
  </si>
  <si>
    <t xml:space="preserve">TAGTAGCCGCAGACTGATTTTCGG</t>
  </si>
  <si>
    <t xml:space="preserve">AAACCCGAAAATCAGTCTGCGGCT</t>
  </si>
  <si>
    <t xml:space="preserve">PSPPH_0101</t>
  </si>
  <si>
    <t xml:space="preserve">GTCTCGTATAGTTGATGGGC</t>
  </si>
  <si>
    <t xml:space="preserve">TAGTGTCTCGTATAGTTGATGGGC</t>
  </si>
  <si>
    <t xml:space="preserve">AAACGCCCATCAACTATACGAGAC</t>
  </si>
  <si>
    <t xml:space="preserve">CTATCGGTATTAGTGTTACA</t>
  </si>
  <si>
    <t xml:space="preserve">TAGTCTATCGGTATTAGTGTTACA</t>
  </si>
  <si>
    <t xml:space="preserve">AAACTGTAACACTAATACCGATAG</t>
  </si>
  <si>
    <t xml:space="preserve">TGGTCCGAGGGTTCAGGATA</t>
  </si>
  <si>
    <t xml:space="preserve">TAGTTGGTCCGAGGGTTCAGGATA</t>
  </si>
  <si>
    <t xml:space="preserve">AAACTATCCTGAACCCTCGGACCA</t>
  </si>
  <si>
    <t xml:space="preserve">GCTGTGGACCTTCTTGTTCC</t>
  </si>
  <si>
    <t xml:space="preserve">TAGTGCTGTGGACCTTCTTGTTCC</t>
  </si>
  <si>
    <t xml:space="preserve">AAACGGAACAAGAAGGTCCACAGC</t>
  </si>
  <si>
    <t xml:space="preserve">PSPPH_0102</t>
  </si>
  <si>
    <t xml:space="preserve">GCATTTTTCGGTACGTGAGT</t>
  </si>
  <si>
    <t xml:space="preserve">TAGTGCATTTTTCGGTACGTGAGT</t>
  </si>
  <si>
    <t xml:space="preserve">AAACACTCACGTACCGAAAAATGC</t>
  </si>
  <si>
    <t xml:space="preserve">TCGAACGCACTCATCCAAAA</t>
  </si>
  <si>
    <t xml:space="preserve">TAGTTCGAACGCACTCATCCAAAA</t>
  </si>
  <si>
    <t xml:space="preserve">AAACTTTTGGATGAGTGCGTTCGA</t>
  </si>
  <si>
    <t xml:space="preserve">GCAGGTCGTGATATTTTGAG</t>
  </si>
  <si>
    <t xml:space="preserve">TAGTGCAGGTCGTGATATTTTGAG</t>
  </si>
  <si>
    <t xml:space="preserve">AAACCTCAAAATATCACGACCTGC</t>
  </si>
  <si>
    <t xml:space="preserve">GAATCGAGGCGAGGATTTGC</t>
  </si>
  <si>
    <t xml:space="preserve">TAGTGAATCGAGGCGAGGATTTGC</t>
  </si>
  <si>
    <t xml:space="preserve">AAACGCAAATCCTCGCCTCGATTC</t>
  </si>
  <si>
    <t xml:space="preserve">PSPPH_0103</t>
  </si>
  <si>
    <t xml:space="preserve">ATACTGCATTAGTTCTAGCA</t>
  </si>
  <si>
    <t xml:space="preserve">TAGTATACTGCATTAGTTCTAGCA</t>
  </si>
  <si>
    <t xml:space="preserve">AAACTGCTAGAACTAATGCAGTAT</t>
  </si>
  <si>
    <t xml:space="preserve">CTGTGAAATTCTTGTGCCTC</t>
  </si>
  <si>
    <t xml:space="preserve">TAGTCTGTGAAATTCTTGTGCCTC</t>
  </si>
  <si>
    <t xml:space="preserve">AAACGAGGCACAAGAATTTCACAG</t>
  </si>
  <si>
    <t xml:space="preserve">TCATTTCTAACTAACAGGGT</t>
  </si>
  <si>
    <t xml:space="preserve">TAGTTCATTTCTAACTAACAGGGT</t>
  </si>
  <si>
    <t xml:space="preserve">AAACACCCTGTTAGTTAGAAATGA</t>
  </si>
  <si>
    <t xml:space="preserve">CTGATGACGTAGTATTCACC</t>
  </si>
  <si>
    <t xml:space="preserve">TAGTCTGATGACGTAGTATTCACC</t>
  </si>
  <si>
    <t xml:space="preserve">AAACGGTGAATACTACGTCATCAG</t>
  </si>
  <si>
    <t xml:space="preserve">PSPPH_0104</t>
  </si>
  <si>
    <t xml:space="preserve">GGCTTCCAGCGCCTGTTCGT</t>
  </si>
  <si>
    <t xml:space="preserve">TAGTGGCTTCCAGCGCCTGTTCGT</t>
  </si>
  <si>
    <t xml:space="preserve">AAACACGAACAGGCGCTGGAAGCC</t>
  </si>
  <si>
    <t xml:space="preserve">GGTCAGGTATTTTTCGATGC</t>
  </si>
  <si>
    <t xml:space="preserve">TAGTGGTCAGGTATTTTTCGATGC</t>
  </si>
  <si>
    <t xml:space="preserve">AAACGCATCGAAAAATACCTGACC</t>
  </si>
  <si>
    <t xml:space="preserve">CTGCTCTTCCAGGCAGTTGC</t>
  </si>
  <si>
    <t xml:space="preserve">TAGTCTGCTCTTCCAGGCAGTTGC</t>
  </si>
  <si>
    <t xml:space="preserve">AAACGCAACTGCCTGGAAGAGCAG</t>
  </si>
  <si>
    <t xml:space="preserve">TATCCGTGGTTGGGGTCGAA</t>
  </si>
  <si>
    <t xml:space="preserve">TAGTTATCCGTGGTTGGGGTCGAA</t>
  </si>
  <si>
    <t xml:space="preserve">AAACTTCGACCCCAACCACGGATA</t>
  </si>
  <si>
    <t xml:space="preserve">PSPPH_0105</t>
  </si>
  <si>
    <t xml:space="preserve">TCTACCCATTCGGTTTCCTG</t>
  </si>
  <si>
    <t xml:space="preserve">TAGTTCTACCCATTCGGTTTCCTG</t>
  </si>
  <si>
    <t xml:space="preserve">AAACCAGGAAACCGAATGGGTAGA</t>
  </si>
  <si>
    <t xml:space="preserve">GAGATATATTCACCAATCAG</t>
  </si>
  <si>
    <t xml:space="preserve">TAGTGAGATATATTCACCAATCAG</t>
  </si>
  <si>
    <t xml:space="preserve">AAACCTGATTGGTGAATATATCTC</t>
  </si>
  <si>
    <t xml:space="preserve">GCCGAGCAGGGCGGCGGCAT</t>
  </si>
  <si>
    <t xml:space="preserve">TAGTGCCGAGCAGGGCGGCGGCAT</t>
  </si>
  <si>
    <t xml:space="preserve">AAACATGCCGCCGCCCTGCTCGGC</t>
  </si>
  <si>
    <t xml:space="preserve">AGGCCGTGCCGATCACCGCA</t>
  </si>
  <si>
    <t xml:space="preserve">TAGTAGGCCGTGCCGATCACCGCA</t>
  </si>
  <si>
    <t xml:space="preserve">AAACTGCGGTGATCGGCACGGCCT</t>
  </si>
  <si>
    <t xml:space="preserve">PSPPH_0106</t>
  </si>
  <si>
    <t xml:space="preserve">CGCAGTGTCTGAGCTCGAAC</t>
  </si>
  <si>
    <t xml:space="preserve">TAGTCGCAGTGTCTGAGCTCGAAC</t>
  </si>
  <si>
    <t xml:space="preserve">AAACGTTCGAGCTCAGACACTGCG</t>
  </si>
  <si>
    <t xml:space="preserve">TGAGGGCAACATGCTTTAAC</t>
  </si>
  <si>
    <t xml:space="preserve">TAGTTGAGGGCAACATGCTTTAAC</t>
  </si>
  <si>
    <t xml:space="preserve">AAACGTTAAAGCATGTTGCCCTCA</t>
  </si>
  <si>
    <t xml:space="preserve">ACTCTGGACAAGGACAGATA</t>
  </si>
  <si>
    <t xml:space="preserve">TAGTACTCTGGACAAGGACAGATA</t>
  </si>
  <si>
    <t xml:space="preserve">AAACTATCTGTCCTTGTCCAGAGT</t>
  </si>
  <si>
    <t xml:space="preserve">TCCATAGGAAGAAAGGACGC</t>
  </si>
  <si>
    <t xml:space="preserve">TAGTTCCATAGGAAGAAAGGACGC</t>
  </si>
  <si>
    <t xml:space="preserve">AAACGCGTCCTTTCTTCCTATGGA</t>
  </si>
  <si>
    <t xml:space="preserve">PSPPH_0107</t>
  </si>
  <si>
    <t xml:space="preserve">CCAGTTTGTTGTGGACCGCG</t>
  </si>
  <si>
    <t xml:space="preserve">TAGTCCAGTTTGTTGTGGACCGCG</t>
  </si>
  <si>
    <t xml:space="preserve">AAACCGCGGTCCACAACAAACTGG</t>
  </si>
  <si>
    <t xml:space="preserve">GACGTCACGCAGGCAGTCGT</t>
  </si>
  <si>
    <t xml:space="preserve">TAGTGACGTCACGCAGGCAGTCGT</t>
  </si>
  <si>
    <t xml:space="preserve">AAACACGACTGCCTGCGTGACGTC</t>
  </si>
  <si>
    <t xml:space="preserve">CCATGGGCAGGATGACGTCG</t>
  </si>
  <si>
    <t xml:space="preserve">TAGTCCATGGGCAGGATGACGTCG</t>
  </si>
  <si>
    <t xml:space="preserve">AAACCGACGTCATCCTGCCCATGG</t>
  </si>
  <si>
    <t xml:space="preserve">GCTCCAGAAGGGCATCCAGC</t>
  </si>
  <si>
    <t xml:space="preserve">TAGTGCTCCAGAAGGGCATCCAGC</t>
  </si>
  <si>
    <t xml:space="preserve">AAACGCTGGATGCCCTTCTGGAGC</t>
  </si>
  <si>
    <t xml:space="preserve">PSPPH_0108</t>
  </si>
  <si>
    <t xml:space="preserve">AACCAGACCACATACTGCTG</t>
  </si>
  <si>
    <t xml:space="preserve">TAGTAACCAGACCACATACTGCTG</t>
  </si>
  <si>
    <t xml:space="preserve">AAACCAGCAGTATGTGGTCTGGTT</t>
  </si>
  <si>
    <t xml:space="preserve">CGGGGTTTTCATAGGGGTGC</t>
  </si>
  <si>
    <t xml:space="preserve">TAGTCGGGGTTTTCATAGGGGTGC</t>
  </si>
  <si>
    <t xml:space="preserve">AAACGCACCCCTATGAAAACCCCG</t>
  </si>
  <si>
    <t xml:space="preserve">TACTGGTTGCTATCGTATTG</t>
  </si>
  <si>
    <t xml:space="preserve">TAGTTACTGGTTGCTATCGTATTG</t>
  </si>
  <si>
    <t xml:space="preserve">AAACCAATACGATAGCAACCAGTA</t>
  </si>
  <si>
    <t xml:space="preserve">TGCTTCACTGTGACCTACGA</t>
  </si>
  <si>
    <t xml:space="preserve">TAGTTGCTTCACTGTGACCTACGA</t>
  </si>
  <si>
    <t xml:space="preserve">AAACTCGTAGGTCACAGTGAAGCA</t>
  </si>
  <si>
    <t xml:space="preserve">PSPPH_0109</t>
  </si>
  <si>
    <t xml:space="preserve">CGCCGAGGTCATCGGCAGGC</t>
  </si>
  <si>
    <t xml:space="preserve">TAGTCGCCGAGGTCATCGGCAGGC</t>
  </si>
  <si>
    <t xml:space="preserve">AAACGCCTGCCGATGACCTCGGCG</t>
  </si>
  <si>
    <t xml:space="preserve">CGCCAGCCCGGCCAATGCGC</t>
  </si>
  <si>
    <t xml:space="preserve">TAGTCGCCAGCCCGGCCAATGCGC</t>
  </si>
  <si>
    <t xml:space="preserve">AAACGCGCATTGGCCGGGCTGGCG</t>
  </si>
  <si>
    <t xml:space="preserve">GCCATACACAGCCAAGGCCA</t>
  </si>
  <si>
    <t xml:space="preserve">TAGTGCCATACACAGCCAAGGCCA</t>
  </si>
  <si>
    <t xml:space="preserve">AAACTGGCCTTGGCTGTGTATGGC</t>
  </si>
  <si>
    <t xml:space="preserve">GCCCGACAGGTTCATCGCAA</t>
  </si>
  <si>
    <t xml:space="preserve">TAGTGCCCGACAGGTTCATCGCAA</t>
  </si>
  <si>
    <t xml:space="preserve">AAACTTGCGATGAACCTGTCGGGC</t>
  </si>
  <si>
    <t xml:space="preserve">PSPPH_0110</t>
  </si>
  <si>
    <t xml:space="preserve">CTCGCCTCGCTGTTCAGTTC</t>
  </si>
  <si>
    <t xml:space="preserve">TAGTCTCGCCTCGCTGTTCAGTTC</t>
  </si>
  <si>
    <t xml:space="preserve">AAACGAACTGAACAGCGAGGCGAG</t>
  </si>
  <si>
    <t xml:space="preserve">TGCCAAGCCGATACCTCGGC</t>
  </si>
  <si>
    <t xml:space="preserve">TAGTTGCCAAGCCGATACCTCGGC</t>
  </si>
  <si>
    <t xml:space="preserve">AAACGCCGAGGTATCGGCTTGGCA</t>
  </si>
  <si>
    <t xml:space="preserve">TTCCAGCTCTGTAGAGCTGC</t>
  </si>
  <si>
    <t xml:space="preserve">TAGTTTCCAGCTCTGTAGAGCTGC</t>
  </si>
  <si>
    <t xml:space="preserve">AAACGCAGCTCTACAGAGCTGGAA</t>
  </si>
  <si>
    <t xml:space="preserve">AGTCGACTCGTTTGATGCGT</t>
  </si>
  <si>
    <t xml:space="preserve">TAGTAGTCGACTCGTTTGATGCGT</t>
  </si>
  <si>
    <t xml:space="preserve">AAACACGCATCAAACGAGTCGACT</t>
  </si>
  <si>
    <t xml:space="preserve">PSPPH_0111</t>
  </si>
  <si>
    <t xml:space="preserve">GAGAATTTGCGCGGGGAGAT</t>
  </si>
  <si>
    <t xml:space="preserve">TAGTGAGAATTTGCGCGGGGAGAT</t>
  </si>
  <si>
    <t xml:space="preserve">AAACATCTCCCCGCGCAAATTCTC</t>
  </si>
  <si>
    <t xml:space="preserve">GTGCCACTCGGCAATCAGGC</t>
  </si>
  <si>
    <t xml:space="preserve">TAGTGTGCCACTCGGCAATCAGGC</t>
  </si>
  <si>
    <t xml:space="preserve">AAACGCCTGATTGCCGAGTGGCAC</t>
  </si>
  <si>
    <t xml:space="preserve">GGCATCGAAGCGATTTGCCC</t>
  </si>
  <si>
    <t xml:space="preserve">TAGTGGCATCGAAGCGATTTGCCC</t>
  </si>
  <si>
    <t xml:space="preserve">AAACGGGCAAATCGCTTCGATGCC</t>
  </si>
  <si>
    <t xml:space="preserve">TGCCATAAAACATTCGCCGG</t>
  </si>
  <si>
    <t xml:space="preserve">TAGTTGCCATAAAACATTCGCCGG</t>
  </si>
  <si>
    <t xml:space="preserve">AAACCCGGCGAATGTTTTATGGCA</t>
  </si>
  <si>
    <t xml:space="preserve">PSPPH_0112</t>
  </si>
  <si>
    <t xml:space="preserve">AAAATCTCGAATTTCTTCGC</t>
  </si>
  <si>
    <t xml:space="preserve">TAGTAAAATCTCGAATTTCTTCGC</t>
  </si>
  <si>
    <t xml:space="preserve">AAACGCGAAGAAATTCGAGATTTT</t>
  </si>
  <si>
    <t xml:space="preserve">TCCAGTTTGGCATAGTGCGT</t>
  </si>
  <si>
    <t xml:space="preserve">TAGTTCCAGTTTGGCATAGTGCGT</t>
  </si>
  <si>
    <t xml:space="preserve">AAACACGCACTATGCCAAACTGGA</t>
  </si>
  <si>
    <t xml:space="preserve">CGCCGGTATTCCCGTGGGTC</t>
  </si>
  <si>
    <t xml:space="preserve">TAGTCGCCGGTATTCCCGTGGGTC</t>
  </si>
  <si>
    <t xml:space="preserve">AAACGACCCACGGGAATACCGGCG</t>
  </si>
  <si>
    <t xml:space="preserve">CGCCTTCAGTATCGGATACC</t>
  </si>
  <si>
    <t xml:space="preserve">TAGTCGCCTTCAGTATCGGATACC</t>
  </si>
  <si>
    <t xml:space="preserve">AAACGGTATCCGATACTGAAGGCG</t>
  </si>
  <si>
    <t xml:space="preserve">PSPPH_0115</t>
  </si>
  <si>
    <t xml:space="preserve">CTTTCTTCTCGCAAGCGCAG</t>
  </si>
  <si>
    <t xml:space="preserve">TAGTCTTTCTTCTCGCAAGCGCAG</t>
  </si>
  <si>
    <t xml:space="preserve">AAACCTGCGCTTGCGAGAAGAAAG</t>
  </si>
  <si>
    <t xml:space="preserve">GGTAAACGAAAGCCTCTCCA</t>
  </si>
  <si>
    <t xml:space="preserve">TAGTGGTAAACGAAAGCCTCTCCA</t>
  </si>
  <si>
    <t xml:space="preserve">AAACTGGAGAGGCTTTCGTTTACC</t>
  </si>
  <si>
    <t xml:space="preserve">ATTGTCGGCTTCGTGAGTGC</t>
  </si>
  <si>
    <t xml:space="preserve">TAGTATTGTCGGCTTCGTGAGTGC</t>
  </si>
  <si>
    <t xml:space="preserve">AAACGCACTCACGAAGCCGACAAT</t>
  </si>
  <si>
    <t xml:space="preserve">TGAGCATCCTCGCTTATAGC</t>
  </si>
  <si>
    <t xml:space="preserve">TAGTTGAGCATCCTCGCTTATAGC</t>
  </si>
  <si>
    <t xml:space="preserve">AAACGCTATAAGCGAGGATGCTCA</t>
  </si>
  <si>
    <t xml:space="preserve">PSPPH_0116</t>
  </si>
  <si>
    <t xml:space="preserve">ATTATTAGTATGATTCTAGT</t>
  </si>
  <si>
    <t xml:space="preserve">TAGTATTATTAGTATGATTCTAGT</t>
  </si>
  <si>
    <t xml:space="preserve">AAACACTAGAATCATACTAATAAT</t>
  </si>
  <si>
    <t xml:space="preserve">TGTCAAGAGCATGTGTCATC</t>
  </si>
  <si>
    <t xml:space="preserve">TAGTTGTCAAGAGCATGTGTCATC</t>
  </si>
  <si>
    <t xml:space="preserve">AAACGATGACACATGCTCTTGACA</t>
  </si>
  <si>
    <t xml:space="preserve">CGCTTCTTTGACACAGGTAA</t>
  </si>
  <si>
    <t xml:space="preserve">TAGTCGCTTCTTTGACACAGGTAA</t>
  </si>
  <si>
    <t xml:space="preserve">AAACTTACCTGTGTCAAAGAAGCG</t>
  </si>
  <si>
    <t xml:space="preserve">AGTTTTCAGAAATTTTAGGT</t>
  </si>
  <si>
    <t xml:space="preserve">TAGTAGTTTTCAGAAATTTTAGGT</t>
  </si>
  <si>
    <t xml:space="preserve">AAACACCTAAAATTTCTGAAAACT</t>
  </si>
  <si>
    <t xml:space="preserve">PSPPH_0117</t>
  </si>
  <si>
    <t xml:space="preserve">GGTGATTAAAGGTGTGGTCA</t>
  </si>
  <si>
    <t xml:space="preserve">TAGTGGTGATTAAAGGTGTGGTCA</t>
  </si>
  <si>
    <t xml:space="preserve">AAACTGACCACACCTTTAATCACC</t>
  </si>
  <si>
    <t xml:space="preserve">CTTGCTGGTAGCGACCGGGG</t>
  </si>
  <si>
    <t xml:space="preserve">TAGTCTTGCTGGTAGCGACCGGGG</t>
  </si>
  <si>
    <t xml:space="preserve">AAACCCCCGGTCGCTACCAGCAAG</t>
  </si>
  <si>
    <t xml:space="preserve">TGCCCTGCACAAACCAAGGG</t>
  </si>
  <si>
    <t xml:space="preserve">TAGTTGCCCTGCACAAACCAAGGG</t>
  </si>
  <si>
    <t xml:space="preserve">AAACCCCTTGGTTTGTGCAGGGCA</t>
  </si>
  <si>
    <t xml:space="preserve">AGCCTCTGTCGGGCAATATT</t>
  </si>
  <si>
    <t xml:space="preserve">TAGTAGCCTCTGTCGGGCAATATT</t>
  </si>
  <si>
    <t xml:space="preserve">AAACAATATTGCCCGACAGAGGCT</t>
  </si>
  <si>
    <t xml:space="preserve">PSPPH_0118</t>
  </si>
  <si>
    <t xml:space="preserve">GATCGTTGATAACGATAATT</t>
  </si>
  <si>
    <t xml:space="preserve">TAGTGATCGTTGATAACGATAATT</t>
  </si>
  <si>
    <t xml:space="preserve">AAACAATTATCGTTATCAACGATC</t>
  </si>
  <si>
    <t xml:space="preserve">ACCTGACCTGCATCGGAGGT</t>
  </si>
  <si>
    <t xml:space="preserve">TAGTACCTGACCTGCATCGGAGGT</t>
  </si>
  <si>
    <t xml:space="preserve">AAACACCTCCGATGCAGGTCAGGT</t>
  </si>
  <si>
    <t xml:space="preserve">ACGTGCTGGGCGATCCTTCA</t>
  </si>
  <si>
    <t xml:space="preserve">TAGTACGTGCTGGGCGATCCTTCA</t>
  </si>
  <si>
    <t xml:space="preserve">AAACTGAAGGATCGCCCAGCACGT</t>
  </si>
  <si>
    <t xml:space="preserve">TCGGTCTCCGACCCTTGCCA</t>
  </si>
  <si>
    <t xml:space="preserve">TAGTTCGGTCTCCGACCCTTGCCA</t>
  </si>
  <si>
    <t xml:space="preserve">AAACTGGCAAGGGTCGGAGACCGA</t>
  </si>
  <si>
    <t xml:space="preserve">PSPPH_0121</t>
  </si>
  <si>
    <t xml:space="preserve">CCGTCAGATCGGCAAGCGAA</t>
  </si>
  <si>
    <t xml:space="preserve">TAGTCCGTCAGATCGGCAAGCGAA</t>
  </si>
  <si>
    <t xml:space="preserve">AAACTTCGCTTGCCGATCTGACGG</t>
  </si>
  <si>
    <t xml:space="preserve">TCGCCGCTGCCCCCGTTGAT</t>
  </si>
  <si>
    <t xml:space="preserve">TAGTTCGCCGCTGCCCCCGTTGAT</t>
  </si>
  <si>
    <t xml:space="preserve">AAACATCAACGGGGGCAGCGGCGA</t>
  </si>
  <si>
    <t xml:space="preserve">CGAACAGGGTGGAAAAGCTC</t>
  </si>
  <si>
    <t xml:space="preserve">TAGTCGAACAGGGTGGAAAAGCTC</t>
  </si>
  <si>
    <t xml:space="preserve">AAACGAGCTTTTCCACCCTGTTCG</t>
  </si>
  <si>
    <t xml:space="preserve">CACCTTGGGTGAGGTAATCG</t>
  </si>
  <si>
    <t xml:space="preserve">TAGTCACCTTGGGTGAGGTAATCG</t>
  </si>
  <si>
    <t xml:space="preserve">AAACCGATTACCTCACCCAAGGTG</t>
  </si>
  <si>
    <t xml:space="preserve">PSPPH_0122</t>
  </si>
  <si>
    <t xml:space="preserve">CGCCCGGGATGCCGTCGATT</t>
  </si>
  <si>
    <t xml:space="preserve">TAGTCGCCCGGGATGCCGTCGATT</t>
  </si>
  <si>
    <t xml:space="preserve">AAACAATCGACGGCATCCCGGGCG</t>
  </si>
  <si>
    <t xml:space="preserve">GGCGGTGGCGGAGGTGGCCT</t>
  </si>
  <si>
    <t xml:space="preserve">TAGTGGCGGTGGCGGAGGTGGCCT</t>
  </si>
  <si>
    <t xml:space="preserve">AAACAGGCCACCTCCGCCACCGCC</t>
  </si>
  <si>
    <t xml:space="preserve">CGAAGCACCGCCCGACGAGC</t>
  </si>
  <si>
    <t xml:space="preserve">TAGTCGAAGCACCGCCCGACGAGC</t>
  </si>
  <si>
    <t xml:space="preserve">AAACGCTCGTCGGGCGGTGCTTCG</t>
  </si>
  <si>
    <t xml:space="preserve">GTCGCTCAGTGCAACGCGCT</t>
  </si>
  <si>
    <t xml:space="preserve">TAGTGTCGCTCAGTGCAACGCGCT</t>
  </si>
  <si>
    <t xml:space="preserve">AAACAGCGCGTTGCACTGAGCGAC</t>
  </si>
  <si>
    <t xml:space="preserve">PSPPH_0123</t>
  </si>
  <si>
    <t xml:space="preserve">AGACCCCGAGAACATAGGGC</t>
  </si>
  <si>
    <t xml:space="preserve">TAGTAGACCCCGAGAACATAGGGC</t>
  </si>
  <si>
    <t xml:space="preserve">AAACGCCCTATGTTCTCGGGGTCT</t>
  </si>
  <si>
    <t xml:space="preserve">TCGAACTGAAGCCCAGGGCA</t>
  </si>
  <si>
    <t xml:space="preserve">TAGTTCGAACTGAAGCCCAGGGCA</t>
  </si>
  <si>
    <t xml:space="preserve">AAACTGCCCTGGGCTTCAGTTCGA</t>
  </si>
  <si>
    <t xml:space="preserve">ACAGGCCTATCCCCGTCAGC</t>
  </si>
  <si>
    <t xml:space="preserve">TAGTACAGGCCTATCCCCGTCAGC</t>
  </si>
  <si>
    <t xml:space="preserve">AAACGCTGACGGGGATAGGCCTGT</t>
  </si>
  <si>
    <t xml:space="preserve">CATACGCCGCCGACAGCAGC</t>
  </si>
  <si>
    <t xml:space="preserve">TAGTCATACGCCGCCGACAGCAGC</t>
  </si>
  <si>
    <t xml:space="preserve">AAACGCTGCTGTCGGCGGCGTATG</t>
  </si>
  <si>
    <t xml:space="preserve">PSPPH_0124</t>
  </si>
  <si>
    <t xml:space="preserve">CTGACGAAATCTGCGCTCGC</t>
  </si>
  <si>
    <t xml:space="preserve">TAGTCTGACGAAATCTGCGCTCGC</t>
  </si>
  <si>
    <t xml:space="preserve">AAACGCGAGCGCAGATTTCGTCAG</t>
  </si>
  <si>
    <t xml:space="preserve">CATCGTCGCTGGCGCCATGC</t>
  </si>
  <si>
    <t xml:space="preserve">TAGTCATCGTCGCTGGCGCCATGC</t>
  </si>
  <si>
    <t xml:space="preserve">AAACGCATGGCGCCAGCGACGATG</t>
  </si>
  <si>
    <t xml:space="preserve">GGCGAGTGCGCCTTGCAGCC</t>
  </si>
  <si>
    <t xml:space="preserve">TAGTGGCGAGTGCGCCTTGCAGCC</t>
  </si>
  <si>
    <t xml:space="preserve">AAACGGCTGCAAGGCGCACTCGCC</t>
  </si>
  <si>
    <t xml:space="preserve">GTCGTCGCGCTGCTGCATGT</t>
  </si>
  <si>
    <t xml:space="preserve">TAGTGTCGTCGCGCTGCTGCATGT</t>
  </si>
  <si>
    <t xml:space="preserve">AAACACATGCAGCAGCGCGACGAC</t>
  </si>
  <si>
    <t xml:space="preserve">PSPPH_0125</t>
  </si>
  <si>
    <t xml:space="preserve">GGAACCAGAAACTTTTTAAC</t>
  </si>
  <si>
    <t xml:space="preserve">TAGTGGAACCAGAAACTTTTTAAC</t>
  </si>
  <si>
    <t xml:space="preserve">AAACGTTAAAAAGTTTCTGGTTCC</t>
  </si>
  <si>
    <t xml:space="preserve">TCAGCCACAGTATCGGTACC</t>
  </si>
  <si>
    <t xml:space="preserve">TAGTTCAGCCACAGTATCGGTACC</t>
  </si>
  <si>
    <t xml:space="preserve">AAACGGTACCGATACTGTGGCTGA</t>
  </si>
  <si>
    <t xml:space="preserve">CGAAAAACCAGCAGACAGCC</t>
  </si>
  <si>
    <t xml:space="preserve">TAGTCGAAAAACCAGCAGACAGCC</t>
  </si>
  <si>
    <t xml:space="preserve">AAACGGCTGTCTGCTGGTTTTTCG</t>
  </si>
  <si>
    <t xml:space="preserve">TTGCAGCCAACTGATCCTGG</t>
  </si>
  <si>
    <t xml:space="preserve">TAGTTTGCAGCCAACTGATCCTGG</t>
  </si>
  <si>
    <t xml:space="preserve">AAACCCAGGATCAGTTGGCTGCAA</t>
  </si>
  <si>
    <t xml:space="preserve">PSPPH_0126</t>
  </si>
  <si>
    <t xml:space="preserve">CGCAGCGGCACCTTGCATCA</t>
  </si>
  <si>
    <t xml:space="preserve">TAGTCGCAGCGGCACCTTGCATCA</t>
  </si>
  <si>
    <t xml:space="preserve">AAACTGATGCAAGGTGCCGCTGCG</t>
  </si>
  <si>
    <t xml:space="preserve">GAGCGTAGGTTTTTCGGTTG</t>
  </si>
  <si>
    <t xml:space="preserve">TAGTGAGCGTAGGTTTTTCGGTTG</t>
  </si>
  <si>
    <t xml:space="preserve">AAACCAACCGAAAAACCTACGCTC</t>
  </si>
  <si>
    <t xml:space="preserve">TGGTGATGAAGTCACGTACC</t>
  </si>
  <si>
    <t xml:space="preserve">TAGTTGGTGATGAAGTCACGTACC</t>
  </si>
  <si>
    <t xml:space="preserve">AAACGGTACGTGACTTCATCACCA</t>
  </si>
  <si>
    <t xml:space="preserve">GCGACGGACAATCAGCGCCA</t>
  </si>
  <si>
    <t xml:space="preserve">TAGTGCGACGGACAATCAGCGCCA</t>
  </si>
  <si>
    <t xml:space="preserve">AAACTGGCGCTGATTGTCCGTCGC</t>
  </si>
  <si>
    <t xml:space="preserve">PSPPH_0127</t>
  </si>
  <si>
    <t xml:space="preserve">TGCCTTCCGACCACATCACG</t>
  </si>
  <si>
    <t xml:space="preserve">TAGTTGCCTTCCGACCACATCACG</t>
  </si>
  <si>
    <t xml:space="preserve">AAACCGTGATGTGGTCGGAAGGCA</t>
  </si>
  <si>
    <t xml:space="preserve">ATTGGAAATGTTGTGGCAAA</t>
  </si>
  <si>
    <t xml:space="preserve">TAGTATTGGAAATGTTGTGGCAAA</t>
  </si>
  <si>
    <t xml:space="preserve">AAACTTTGCCACAACATTTCCAAT</t>
  </si>
  <si>
    <t xml:space="preserve">TCGACTCAGCAAGCTGATGC</t>
  </si>
  <si>
    <t xml:space="preserve">TAGTTCGACTCAGCAAGCTGATGC</t>
  </si>
  <si>
    <t xml:space="preserve">AAACGCATCAGCTTGCTGAGTCGA</t>
  </si>
  <si>
    <t xml:space="preserve">CACGCCCCAATGGAAAGGCG</t>
  </si>
  <si>
    <t xml:space="preserve">TAGTCACGCCCCAATGGAAAGGCG</t>
  </si>
  <si>
    <t xml:space="preserve">AAACCGCCTTTCCATTGGGGCGTG</t>
  </si>
  <si>
    <t xml:space="preserve">PSPPH_0128</t>
  </si>
  <si>
    <t xml:space="preserve">CCTTGCCAAGGCTGGCTTCG</t>
  </si>
  <si>
    <t xml:space="preserve">TAGTCCTTGCCAAGGCTGGCTTCG</t>
  </si>
  <si>
    <t xml:space="preserve">AAACCGAAGCCAGCCTTGGCAAGG</t>
  </si>
  <si>
    <t xml:space="preserve">GCATCATTGCCAGAACAGCC</t>
  </si>
  <si>
    <t xml:space="preserve">TAGTGCATCATTGCCAGAACAGCC</t>
  </si>
  <si>
    <t xml:space="preserve">AAACGGCTGTTCTGGCAATGATGC</t>
  </si>
  <si>
    <t xml:space="preserve">ACGGTCCGTCACGCCACAGG</t>
  </si>
  <si>
    <t xml:space="preserve">TAGTACGGTCCGTCACGCCACAGG</t>
  </si>
  <si>
    <t xml:space="preserve">AAACCCTGTGGCGTGACGGACCGT</t>
  </si>
  <si>
    <t xml:space="preserve">CCAGGTGTCATCCATGCGCT</t>
  </si>
  <si>
    <t xml:space="preserve">TAGTCCAGGTGTCATCCATGCGCT</t>
  </si>
  <si>
    <t xml:space="preserve">AAACAGCGCATGGATGACACCTGG</t>
  </si>
  <si>
    <t xml:space="preserve">PSPPH_0129</t>
  </si>
  <si>
    <t xml:space="preserve">clpB1</t>
  </si>
  <si>
    <t xml:space="preserve">GCTTGGCGAACAGGGACTTC</t>
  </si>
  <si>
    <t xml:space="preserve">TAGTGCTTGGCGAACAGGGACTTC</t>
  </si>
  <si>
    <t xml:space="preserve">AAACGAAGTCCCTGTTCGCCAAGC</t>
  </si>
  <si>
    <t xml:space="preserve">CAGCGCTTTCAGTGGCAGTG</t>
  </si>
  <si>
    <t xml:space="preserve">TAGTCAGCGCTTTCAGTGGCAGTG</t>
  </si>
  <si>
    <t xml:space="preserve">AAACCACTGCCACTGAAAGCGCTG</t>
  </si>
  <si>
    <t xml:space="preserve">CGTCGTAGTGGTTCTCCGAC</t>
  </si>
  <si>
    <t xml:space="preserve">TAGTCGTCGTAGTGGTTCTCCGAC</t>
  </si>
  <si>
    <t xml:space="preserve">AAACGTCGGAGAACCACTACGACG</t>
  </si>
  <si>
    <t xml:space="preserve">AGTGGCGCAGGATCACCGGC</t>
  </si>
  <si>
    <t xml:space="preserve">TAGTAGTGGCGCAGGATCACCGGC</t>
  </si>
  <si>
    <t xml:space="preserve">AAACGCCGGTGATCCTGCGCCACT</t>
  </si>
  <si>
    <t xml:space="preserve">PSPPH_0130</t>
  </si>
  <si>
    <t xml:space="preserve">GGTGCGGCTCAGCCCTTGCC</t>
  </si>
  <si>
    <t xml:space="preserve">TAGTGGTGCGGCTCAGCCCTTGCC</t>
  </si>
  <si>
    <t xml:space="preserve">AAACGGCAAGGGCTGAGCCGCACC</t>
  </si>
  <si>
    <t xml:space="preserve">CCAACTGAAAAAATTCGAAT</t>
  </si>
  <si>
    <t xml:space="preserve">TAGTCCAACTGAAAAAATTCGAAT</t>
  </si>
  <si>
    <t xml:space="preserve">AAACATTCGAATTTTTTCAGTTGG</t>
  </si>
  <si>
    <t xml:space="preserve">GCCCATTCCTGCTGTAATGC</t>
  </si>
  <si>
    <t xml:space="preserve">TAGTGCCCATTCCTGCTGTAATGC</t>
  </si>
  <si>
    <t xml:space="preserve">AAACGCATTACAGCAGGAATGGGC</t>
  </si>
  <si>
    <t xml:space="preserve">CCTCATGCGGCCTGGTTTCC</t>
  </si>
  <si>
    <t xml:space="preserve">TAGTCCTCATGCGGCCTGGTTTCC</t>
  </si>
  <si>
    <t xml:space="preserve">AAACGGAAACCAGGCCGCATGAGG</t>
  </si>
  <si>
    <t xml:space="preserve">PSPPH_0131</t>
  </si>
  <si>
    <t xml:space="preserve">GAGAGTTCCTTCTCGTAATA</t>
  </si>
  <si>
    <t xml:space="preserve">TAGTGAGAGTTCCTTCTCGTAATA</t>
  </si>
  <si>
    <t xml:space="preserve">AAACTATTACGAGAAGGAACTCTC</t>
  </si>
  <si>
    <t xml:space="preserve">ATTCCTGGCCCAGAAAGCGC</t>
  </si>
  <si>
    <t xml:space="preserve">TAGTATTCCTGGCCCAGAAAGCGC</t>
  </si>
  <si>
    <t xml:space="preserve">AAACGCGCTTTCTGGGCCAGGAAT</t>
  </si>
  <si>
    <t xml:space="preserve">AGCGATCTTCGGATATTGAG</t>
  </si>
  <si>
    <t xml:space="preserve">TAGTAGCGATCTTCGGATATTGAG</t>
  </si>
  <si>
    <t xml:space="preserve">AAACCTCAATATCCGAAGATCGCT</t>
  </si>
  <si>
    <t xml:space="preserve">TCGATAAGGCGCTCGGTGTG</t>
  </si>
  <si>
    <t xml:space="preserve">TAGTTCGATAAGGCGCTCGGTGTG</t>
  </si>
  <si>
    <t xml:space="preserve">AAACCACACCGAGCGCCTTATCGA</t>
  </si>
  <si>
    <t xml:space="preserve">PSPPH_0132</t>
  </si>
  <si>
    <t xml:space="preserve">GACGATTCCACGGACTGATG</t>
  </si>
  <si>
    <t xml:space="preserve">TAGTGACGATTCCACGGACTGATG</t>
  </si>
  <si>
    <t xml:space="preserve">AAACCATCAGTCCGTGGAATCGTC</t>
  </si>
  <si>
    <t xml:space="preserve">AACGATGCTGGCCTTGTAAT</t>
  </si>
  <si>
    <t xml:space="preserve">TAGTAACGATGCTGGCCTTGTAAT</t>
  </si>
  <si>
    <t xml:space="preserve">AAACATTACAAGGCCAGCATCGTT</t>
  </si>
  <si>
    <t xml:space="preserve">GCTCGTTAGCGACCAGAGAC</t>
  </si>
  <si>
    <t xml:space="preserve">TAGTGCTCGTTAGCGACCAGAGAC</t>
  </si>
  <si>
    <t xml:space="preserve">AAACGTCTCTGGTCGCTAACGAGC</t>
  </si>
  <si>
    <t xml:space="preserve">GAGGATGGTGCCGCTCAGAT</t>
  </si>
  <si>
    <t xml:space="preserve">TAGTGAGGATGGTGCCGCTCAGAT</t>
  </si>
  <si>
    <t xml:space="preserve">AAACATCTGAGCGGCACCATCCTC</t>
  </si>
  <si>
    <t xml:space="preserve">PSPPH_0133</t>
  </si>
  <si>
    <t xml:space="preserve">CTGAGTCACGGGTTGCTTAT</t>
  </si>
  <si>
    <t xml:space="preserve">TAGTCTGAGTCACGGGTTGCTTAT</t>
  </si>
  <si>
    <t xml:space="preserve">AAACATAAGCAACCCGTGACTCAG</t>
  </si>
  <si>
    <t xml:space="preserve">GTCGAGCAGGGAGGATTGCG</t>
  </si>
  <si>
    <t xml:space="preserve">TAGTGTCGAGCAGGGAGGATTGCG</t>
  </si>
  <si>
    <t xml:space="preserve">AAACCGCAATCCTCCCTGCTCGAC</t>
  </si>
  <si>
    <t xml:space="preserve">GGAGCGTGCAACGCGGCTTT</t>
  </si>
  <si>
    <t xml:space="preserve">TAGTGGAGCGTGCAACGCGGCTTT</t>
  </si>
  <si>
    <t xml:space="preserve">AAACAAAGCCGCGTTGCACGCTCC</t>
  </si>
  <si>
    <t xml:space="preserve">GGTACGAGTGCGCTCGGTTT</t>
  </si>
  <si>
    <t xml:space="preserve">TAGTGGTACGAGTGCGCTCGGTTT</t>
  </si>
  <si>
    <t xml:space="preserve">AAACAAACCGAGCGCACTCGTACC</t>
  </si>
  <si>
    <t xml:space="preserve">PSPPH_0134</t>
  </si>
  <si>
    <t xml:space="preserve">AACGCGGTCAAGTTTGTGCT</t>
  </si>
  <si>
    <t xml:space="preserve">TAGTAACGCGGTCAAGTTTGTGCT</t>
  </si>
  <si>
    <t xml:space="preserve">AAACAGCACAAACTTGACCGCGTT</t>
  </si>
  <si>
    <t xml:space="preserve">TCGTAAGTGATATGGACCCG</t>
  </si>
  <si>
    <t xml:space="preserve">TAGTTCGTAAGTGATATGGACCCG</t>
  </si>
  <si>
    <t xml:space="preserve">AAACCGGGTCCATATCACTTACGA</t>
  </si>
  <si>
    <t xml:space="preserve">CCGAGAACGCCTACAACGAA</t>
  </si>
  <si>
    <t xml:space="preserve">TAGTCCGAGAACGCCTACAACGAA</t>
  </si>
  <si>
    <t xml:space="preserve">AAACTTCGTTGTAGGCGTTCTCGG</t>
  </si>
  <si>
    <t xml:space="preserve">CAGCGGCTCCAGGGGGTTGC</t>
  </si>
  <si>
    <t xml:space="preserve">TAGTCAGCGGCTCCAGGGGGTTGC</t>
  </si>
  <si>
    <t xml:space="preserve">AAACGCAACCCCCTGGAGCCGCTG</t>
  </si>
  <si>
    <t xml:space="preserve">PSPPH_0135</t>
  </si>
  <si>
    <t xml:space="preserve">CTGCACACCTGCTCATGAAG</t>
  </si>
  <si>
    <t xml:space="preserve">TAGTCTGCACACCTGCTCATGAAG</t>
  </si>
  <si>
    <t xml:space="preserve">AAACCTTCATGAGCAGGTGTGCAG</t>
  </si>
  <si>
    <t xml:space="preserve">CCCGGATCAGACCGGGGACG</t>
  </si>
  <si>
    <t xml:space="preserve">TAGTCCCGGATCAGACCGGGGACG</t>
  </si>
  <si>
    <t xml:space="preserve">AAACCGTCCCCGGTCTGATCCGGG</t>
  </si>
  <si>
    <t xml:space="preserve">ATATCGAACGTCTGAGTCAT</t>
  </si>
  <si>
    <t xml:space="preserve">TAGTATATCGAACGTCTGAGTCAT</t>
  </si>
  <si>
    <t xml:space="preserve">AAACATGACTCAGACGTTCGATAT</t>
  </si>
  <si>
    <t xml:space="preserve">CGCCTGCACCTTGAGCGCGT</t>
  </si>
  <si>
    <t xml:space="preserve">TAGTCGCCTGCACCTTGAGCGCGT</t>
  </si>
  <si>
    <t xml:space="preserve">AAACACGCGCTCAAGGTGCAGGCG</t>
  </si>
  <si>
    <t xml:space="preserve">PSPPH_0136</t>
  </si>
  <si>
    <t xml:space="preserve">GTCGTCTTCGGGTTGCTGTG</t>
  </si>
  <si>
    <t xml:space="preserve">TAGTGTCGTCTTCGGGTTGCTGTG</t>
  </si>
  <si>
    <t xml:space="preserve">AAACCACAGCAACCCGAAGACGAC</t>
  </si>
  <si>
    <t xml:space="preserve">CCGGCACAAGGCGCTGAATG</t>
  </si>
  <si>
    <t xml:space="preserve">TAGTCCGGCACAAGGCGCTGAATG</t>
  </si>
  <si>
    <t xml:space="preserve">AAACCATTCAGCGCCTTGTGCCGG</t>
  </si>
  <si>
    <t xml:space="preserve">CGCCCAGAACGACATCGACC</t>
  </si>
  <si>
    <t xml:space="preserve">TAGTCGCCCAGAACGACATCGACC</t>
  </si>
  <si>
    <t xml:space="preserve">AAACGGTCGATGTCGTTCTGGGCG</t>
  </si>
  <si>
    <t xml:space="preserve">CGAGCGCTAAGTTTACGGCT</t>
  </si>
  <si>
    <t xml:space="preserve">TAGTCGAGCGCTAAGTTTACGGCT</t>
  </si>
  <si>
    <t xml:space="preserve">AAACAGCCGTAAACTTAGCGCTCG</t>
  </si>
  <si>
    <t xml:space="preserve">PSPPH_0138</t>
  </si>
  <si>
    <t xml:space="preserve">TAGGGATGACGGCGCGATCT</t>
  </si>
  <si>
    <t xml:space="preserve">TAGTTAGGGATGACGGCGCGATCT</t>
  </si>
  <si>
    <t xml:space="preserve">AAACAGATCGCGCCGTCATCCCTA</t>
  </si>
  <si>
    <t xml:space="preserve">ATCGAGGAATACTTCATGTA</t>
  </si>
  <si>
    <t xml:space="preserve">TAGTATCGAGGAATACTTCATGTA</t>
  </si>
  <si>
    <t xml:space="preserve">AAACTACATGAAGTATTCCTCGAT</t>
  </si>
  <si>
    <t xml:space="preserve">AGAGGCTGCACCGCTGATCA</t>
  </si>
  <si>
    <t xml:space="preserve">TAGTAGAGGCTGCACCGCTGATCA</t>
  </si>
  <si>
    <t xml:space="preserve">AAACTGATCAGCGGTGCAGCCTCT</t>
  </si>
  <si>
    <t xml:space="preserve">CTCCGCCTGCGCCTGATTCG</t>
  </si>
  <si>
    <t xml:space="preserve">TAGTCTCCGCCTGCGCCTGATTCG</t>
  </si>
  <si>
    <t xml:space="preserve">AAACCGAATCAGGCGCAGGCGGAG</t>
  </si>
  <si>
    <t xml:space="preserve">PSPPH_0139</t>
  </si>
  <si>
    <t xml:space="preserve">GCGGGGGATAGGTGTCTTGT</t>
  </si>
  <si>
    <t xml:space="preserve">TAGTGCGGGGGATAGGTGTCTTGT</t>
  </si>
  <si>
    <t xml:space="preserve">AAACACAAGACACCTATCCCCCGC</t>
  </si>
  <si>
    <t xml:space="preserve">CCGCCTGCCGCACCTTTGTA</t>
  </si>
  <si>
    <t xml:space="preserve">TAGTCCGCCTGCCGCACCTTTGTA</t>
  </si>
  <si>
    <t xml:space="preserve">AAACTACAAAGGTGCGGCAGGCGG</t>
  </si>
  <si>
    <t xml:space="preserve">TGGTCTTGAGCATCATGCGC</t>
  </si>
  <si>
    <t xml:space="preserve">TAGTTGGTCTTGAGCATCATGCGC</t>
  </si>
  <si>
    <t xml:space="preserve">AAACGCGCATGATGCTCAAGACCA</t>
  </si>
  <si>
    <t xml:space="preserve">GTCGAAGCCGCCATTCTGGT</t>
  </si>
  <si>
    <t xml:space="preserve">TAGTGTCGAAGCCGCCATTCTGGT</t>
  </si>
  <si>
    <t xml:space="preserve">AAACACCAGAATGGCGGCTTCGAC</t>
  </si>
  <si>
    <t xml:space="preserve">PSPPH_0140</t>
  </si>
  <si>
    <t xml:space="preserve">fdhD</t>
  </si>
  <si>
    <t xml:space="preserve">ACCTTGCGCGTAACGGGCAT</t>
  </si>
  <si>
    <t xml:space="preserve">TAGTACCTTGCGCGTAACGGGCAT</t>
  </si>
  <si>
    <t xml:space="preserve">AAACATGCCCGTTACGCGCAAGGT</t>
  </si>
  <si>
    <t xml:space="preserve">TTCGGGGGCTGGCGTAGCAA</t>
  </si>
  <si>
    <t xml:space="preserve">TAGTTTCGGGGGCTGGCGTAGCAA</t>
  </si>
  <si>
    <t xml:space="preserve">AAACTTGCTACGCCAGCCCCCGAA</t>
  </si>
  <si>
    <t xml:space="preserve">GGTTCGAGTAGCTGTAAGAC</t>
  </si>
  <si>
    <t xml:space="preserve">TAGTGGTTCGAGTAGCTGTAAGAC</t>
  </si>
  <si>
    <t xml:space="preserve">AAACGTCTTACAGCTACTCGAACC</t>
  </si>
  <si>
    <t xml:space="preserve">GTGCAGAGTCCGTGCCCTCG</t>
  </si>
  <si>
    <t xml:space="preserve">TAGTGTGCAGAGTCCGTGCCCTCG</t>
  </si>
  <si>
    <t xml:space="preserve">AAACCGAGGGCACGGACTCTGCAC</t>
  </si>
  <si>
    <t xml:space="preserve">PSPPH_0141</t>
  </si>
  <si>
    <t xml:space="preserve">GAAGTGCCTCGTTTCATCGA</t>
  </si>
  <si>
    <t xml:space="preserve">TAGTGAAGTGCCTCGTTTCATCGA</t>
  </si>
  <si>
    <t xml:space="preserve">AAACTCGATGAAACGAGGCACTTC</t>
  </si>
  <si>
    <t xml:space="preserve">TATTGCAACGCGCAGCCGCA</t>
  </si>
  <si>
    <t xml:space="preserve">TAGTTATTGCAACGCGCAGCCGCA</t>
  </si>
  <si>
    <t xml:space="preserve">AAACTGCGGCTGCGCGTTGCAATA</t>
  </si>
  <si>
    <t xml:space="preserve">ACGCATCGACAAGGTGGGCT</t>
  </si>
  <si>
    <t xml:space="preserve">TAGTACGCATCGACAAGGTGGGCT</t>
  </si>
  <si>
    <t xml:space="preserve">AAACAGCCCACCTTGTCGATGCGT</t>
  </si>
  <si>
    <t xml:space="preserve">CGCTGGCCCCGATTGACCAG</t>
  </si>
  <si>
    <t xml:space="preserve">TAGTCGCTGGCCCCGATTGACCAG</t>
  </si>
  <si>
    <t xml:space="preserve">AAACCTGGTCAATCGGGGCCAGCG</t>
  </si>
  <si>
    <t xml:space="preserve">PSPPH_0142</t>
  </si>
  <si>
    <t xml:space="preserve">ATCGATTTCGCTCCAGGGCA</t>
  </si>
  <si>
    <t xml:space="preserve">TAGTATCGATTTCGCTCCAGGGCA</t>
  </si>
  <si>
    <t xml:space="preserve">AAACTGCCCTGGAGCGAAATCGAT</t>
  </si>
  <si>
    <t xml:space="preserve">AGAAGTGTTCGTCGTAATGC</t>
  </si>
  <si>
    <t xml:space="preserve">TAGTAGAAGTGTTCGTCGTAATGC</t>
  </si>
  <si>
    <t xml:space="preserve">AAACGCATTACGACGAACACTTCT</t>
  </si>
  <si>
    <t xml:space="preserve">GCTCGGCATAACGCTGCGGC</t>
  </si>
  <si>
    <t xml:space="preserve">TAGTGCTCGGCATAACGCTGCGGC</t>
  </si>
  <si>
    <t xml:space="preserve">AAACGCCGCAGCGTTATGCCGAGC</t>
  </si>
  <si>
    <t xml:space="preserve">CTTTAACTCCAGCCAGGCCA</t>
  </si>
  <si>
    <t xml:space="preserve">TAGTCTTTAACTCCAGCCAGGCCA</t>
  </si>
  <si>
    <t xml:space="preserve">AAACTGGCCTGGCTGGAGTTAAAG</t>
  </si>
  <si>
    <t xml:space="preserve">PSPPH_0143</t>
  </si>
  <si>
    <t xml:space="preserve">ATTGCACGGGCAAGTACGGT</t>
  </si>
  <si>
    <t xml:space="preserve">TAGTATTGCACGGGCAAGTACGGT</t>
  </si>
  <si>
    <t xml:space="preserve">AAACACCGTACTTGCCCGTGCAAT</t>
  </si>
  <si>
    <t xml:space="preserve">AACGCGGAACAGACGACTAC</t>
  </si>
  <si>
    <t xml:space="preserve">TAGTAACGCGGAACAGACGACTAC</t>
  </si>
  <si>
    <t xml:space="preserve">AAACGTAGTCGTCTGTTCCGCGTT</t>
  </si>
  <si>
    <t xml:space="preserve">GTAGGTCCGCTCGACGCCAT</t>
  </si>
  <si>
    <t xml:space="preserve">TAGTGTAGGTCCGCTCGACGCCAT</t>
  </si>
  <si>
    <t xml:space="preserve">AAACATGGCGTCGAGCGGACCTAC</t>
  </si>
  <si>
    <t xml:space="preserve">GCCGGGCCCCGTCCCCCGGC</t>
  </si>
  <si>
    <t xml:space="preserve">TAGTGCCGGGCCCCGTCCCCCGGC</t>
  </si>
  <si>
    <t xml:space="preserve">AAACGCCGGGGGACGGGGCCCGGC</t>
  </si>
  <si>
    <t xml:space="preserve">PSPPH_0144</t>
  </si>
  <si>
    <t xml:space="preserve">cysQ</t>
  </si>
  <si>
    <t xml:space="preserve">TGGCAGGTTTTGTAACGAAT</t>
  </si>
  <si>
    <t xml:space="preserve">TAGTTGGCAGGTTTTGTAACGAAT</t>
  </si>
  <si>
    <t xml:space="preserve">AAACATTCGTTACAAAACCTGCCA</t>
  </si>
  <si>
    <t xml:space="preserve">ACCGGGGCGAGCAGCGGATG</t>
  </si>
  <si>
    <t xml:space="preserve">TAGTACCGGGGCGAGCAGCGGATG</t>
  </si>
  <si>
    <t xml:space="preserve">AAACCATCCGCTGCTCGCCCCGGT</t>
  </si>
  <si>
    <t xml:space="preserve">GCAGGATCACCTCGCCCGCC</t>
  </si>
  <si>
    <t xml:space="preserve">TAGTGCAGGATCACCTCGCCCGCC</t>
  </si>
  <si>
    <t xml:space="preserve">AAACGGCGGGCGAGGTGATCCTGC</t>
  </si>
  <si>
    <t xml:space="preserve">CTTGGTGGTGACGGTGACAT</t>
  </si>
  <si>
    <t xml:space="preserve">TAGTCTTGGTGGTGACGGTGACAT</t>
  </si>
  <si>
    <t xml:space="preserve">AAACATGTCACCGTCACCACCAAG</t>
  </si>
  <si>
    <t xml:space="preserve">PSPPH_0145</t>
  </si>
  <si>
    <t xml:space="preserve">TCGCGGGCTGCGTCATGTTC</t>
  </si>
  <si>
    <t xml:space="preserve">TAGTTCGCGGGCTGCGTCATGTTC</t>
  </si>
  <si>
    <t xml:space="preserve">AAACGAACATGACGCAGCCCGCGA</t>
  </si>
  <si>
    <t xml:space="preserve">CGCGGGTCAGCGGAATGTCG</t>
  </si>
  <si>
    <t xml:space="preserve">TAGTCGCGGGTCAGCGGAATGTCG</t>
  </si>
  <si>
    <t xml:space="preserve">AAACCGACATTCCGCTGACCCGCG</t>
  </si>
  <si>
    <t xml:space="preserve">GCAGGTGCAGGCGCAGTGTC</t>
  </si>
  <si>
    <t xml:space="preserve">TAGTGCAGGTGCAGGCGCAGTGTC</t>
  </si>
  <si>
    <t xml:space="preserve">AAACGACACTGCGCCTGCACCTGC</t>
  </si>
  <si>
    <t xml:space="preserve">TGATTGACGTTGGGTGCCAG</t>
  </si>
  <si>
    <t xml:space="preserve">TAGTTGATTGACGTTGGGTGCCAG</t>
  </si>
  <si>
    <t xml:space="preserve">AAACCTGGCACCCAACGTCAATCA</t>
  </si>
  <si>
    <t xml:space="preserve">PSPPH_0146</t>
  </si>
  <si>
    <t xml:space="preserve">CACCTGAATCTGGCTGTCGA</t>
  </si>
  <si>
    <t xml:space="preserve">TAGTCACCTGAATCTGGCTGTCGA</t>
  </si>
  <si>
    <t xml:space="preserve">AAACTCGACAGCCAGATTCAGGTG</t>
  </si>
  <si>
    <t xml:space="preserve">TCTGGCGAAGTGCCTGACGC</t>
  </si>
  <si>
    <t xml:space="preserve">TAGTTCTGGCGAAGTGCCTGACGC</t>
  </si>
  <si>
    <t xml:space="preserve">AAACGCGTCAGGCACTTCGCCAGA</t>
  </si>
  <si>
    <t xml:space="preserve">GTTCAGTCCAGCCAGGTCCA</t>
  </si>
  <si>
    <t xml:space="preserve">TAGTGTTCAGTCCAGCCAGGTCCA</t>
  </si>
  <si>
    <t xml:space="preserve">AAACTGGACCTGGCTGGACTGAAC</t>
  </si>
  <si>
    <t xml:space="preserve">TTCGGCCAGCCCGGTTGCCT</t>
  </si>
  <si>
    <t xml:space="preserve">TAGTTTCGGCCAGCCCGGTTGCCT</t>
  </si>
  <si>
    <t xml:space="preserve">AAACAGGCAACCGGGCTGGCCGAA</t>
  </si>
  <si>
    <t xml:space="preserve">PSPPH_0147</t>
  </si>
  <si>
    <t xml:space="preserve">CGGCAGAGCAGCAGAAGTCA</t>
  </si>
  <si>
    <t xml:space="preserve">TAGTCGGCAGAGCAGCAGAAGTCA</t>
  </si>
  <si>
    <t xml:space="preserve">AAACTGACTTCTGCTGCTCTGCCG</t>
  </si>
  <si>
    <t xml:space="preserve">CTGCGCCAGCGAGGGCGGGG</t>
  </si>
  <si>
    <t xml:space="preserve">TAGTCTGCGCCAGCGAGGGCGGGG</t>
  </si>
  <si>
    <t xml:space="preserve">AAACCCCCGCCCTCGCTGGCGCAG</t>
  </si>
  <si>
    <t xml:space="preserve">GGCACAGTGCCAGAAGGGCA</t>
  </si>
  <si>
    <t xml:space="preserve">TAGTGGCACAGTGCCAGAAGGGCA</t>
  </si>
  <si>
    <t xml:space="preserve">AAACTGCCCTTCTGGCACTGTGCC</t>
  </si>
  <si>
    <t xml:space="preserve">GCGGCCACAGCAACGGTGCC</t>
  </si>
  <si>
    <t xml:space="preserve">TAGTGCGGCCACAGCAACGGTGCC</t>
  </si>
  <si>
    <t xml:space="preserve">AAACGGCACCGTTGCTGTGGCCGC</t>
  </si>
  <si>
    <t xml:space="preserve">PSPPH_0148</t>
  </si>
  <si>
    <t xml:space="preserve">CATCGCCAACCCTTCGGCGA</t>
  </si>
  <si>
    <t xml:space="preserve">TAGTCATCGCCAACCCTTCGGCGA</t>
  </si>
  <si>
    <t xml:space="preserve">AAACTCGCCGAAGGGTTGGCGATG</t>
  </si>
  <si>
    <t xml:space="preserve">GTACCGGCCTTGTCGTCGGC</t>
  </si>
  <si>
    <t xml:space="preserve">TAGTGTACCGGCCTTGTCGTCGGC</t>
  </si>
  <si>
    <t xml:space="preserve">AAACGCCGACGACAAGGCCGGTAC</t>
  </si>
  <si>
    <t xml:space="preserve">TGCCCACGTCAGGATCGACC</t>
  </si>
  <si>
    <t xml:space="preserve">TAGTTGCCCACGTCAGGATCGACC</t>
  </si>
  <si>
    <t xml:space="preserve">AAACGGTCGATCCTGACGTGGGCA</t>
  </si>
  <si>
    <t xml:space="preserve">CCGGGTGCCTGACGAGTCGG</t>
  </si>
  <si>
    <t xml:space="preserve">TAGTCCGGGTGCCTGACGAGTCGG</t>
  </si>
  <si>
    <t xml:space="preserve">AAACCCGACTCGTCAGGCACCCGG</t>
  </si>
  <si>
    <t xml:space="preserve">PSPPH_0149</t>
  </si>
  <si>
    <t xml:space="preserve">rfbC</t>
  </si>
  <si>
    <t xml:space="preserve">GGTTCCAGAATCAGGACTTC</t>
  </si>
  <si>
    <t xml:space="preserve">TAGTGGTTCCAGAATCAGGACTTC</t>
  </si>
  <si>
    <t xml:space="preserve">AAACGAAGTCCTGATTCTGGAACC</t>
  </si>
  <si>
    <t xml:space="preserve">CGTTCATCACCGAATACCTT</t>
  </si>
  <si>
    <t xml:space="preserve">TAGTCGTTCATCACCGAATACCTT</t>
  </si>
  <si>
    <t xml:space="preserve">AAACAAGGTATTCGGTGATGAACG</t>
  </si>
  <si>
    <t xml:space="preserve">AGTAGCAGCCTGAAAAGCCC</t>
  </si>
  <si>
    <t xml:space="preserve">TAGTAGTAGCAGCCTGAAAAGCCC</t>
  </si>
  <si>
    <t xml:space="preserve">AAACGGGCTTTTCAGGCTGCTACT</t>
  </si>
  <si>
    <t xml:space="preserve">CCTGCACGAACTCACGGGTC</t>
  </si>
  <si>
    <t xml:space="preserve">TAGTCCTGCACGAACTCACGGGTC</t>
  </si>
  <si>
    <t xml:space="preserve">AAACGACCCGTGAGTTCGTGCAGG</t>
  </si>
  <si>
    <t xml:space="preserve">PSPPH_0150</t>
  </si>
  <si>
    <t xml:space="preserve">rfbB1</t>
  </si>
  <si>
    <t xml:space="preserve">ACCAATGAAACCTGCGCCCC</t>
  </si>
  <si>
    <t xml:space="preserve">TAGTACCAATGAAACCTGCGCCCC</t>
  </si>
  <si>
    <t xml:space="preserve">AAACGGGGCGCAGGTTTCATTGGT</t>
  </si>
  <si>
    <t xml:space="preserve">CGGTGTTGTTTATCAGGTGG</t>
  </si>
  <si>
    <t xml:space="preserve">TAGTCGGTGTTGTTTATCAGGTGG</t>
  </si>
  <si>
    <t xml:space="preserve">AAACCCACCTGATAAACAACACCG</t>
  </si>
  <si>
    <t xml:space="preserve">GAAGTTCAGCACTTCGTGTT</t>
  </si>
  <si>
    <t xml:space="preserve">TAGTGAAGTTCAGCACTTCGTGTT</t>
  </si>
  <si>
    <t xml:space="preserve">AAACAACACGAAGTGCTGAACTTC</t>
  </si>
  <si>
    <t xml:space="preserve">CGATTCAAGATTGCCCGCGT</t>
  </si>
  <si>
    <t xml:space="preserve">TAGTCGATTCAAGATTGCCCGCGT</t>
  </si>
  <si>
    <t xml:space="preserve">AAACACGCGGGCAATCTTGAATCG</t>
  </si>
  <si>
    <t xml:space="preserve">PSPPH_0152</t>
  </si>
  <si>
    <t xml:space="preserve">TAGCAGCGACAGAAACGATA</t>
  </si>
  <si>
    <t xml:space="preserve">TAGTTAGCAGCGACAGAAACGATA</t>
  </si>
  <si>
    <t xml:space="preserve">AAACTATCGTTTCTGTCGCTGCTA</t>
  </si>
  <si>
    <t xml:space="preserve">ATCCCAGGAACAGGCCATCT</t>
  </si>
  <si>
    <t xml:space="preserve">TAGTATCCCAGGAACAGGCCATCT</t>
  </si>
  <si>
    <t xml:space="preserve">AAACAGATGGCCTGTTCCTGGGAT</t>
  </si>
  <si>
    <t xml:space="preserve">CTTTTCAGCGGTCTCGATGT</t>
  </si>
  <si>
    <t xml:space="preserve">TAGTCTTTTCAGCGGTCTCGATGT</t>
  </si>
  <si>
    <t xml:space="preserve">AAACACATCGAGACCGCTGAAAAG</t>
  </si>
  <si>
    <t xml:space="preserve">GATGATCTGTGCGCCCTTGG</t>
  </si>
  <si>
    <t xml:space="preserve">TAGTGATGATCTGTGCGCCCTTGG</t>
  </si>
  <si>
    <t xml:space="preserve">AAACCCAAGGGCGCACAGATCATC</t>
  </si>
  <si>
    <t xml:space="preserve">PSPPH_0153</t>
  </si>
  <si>
    <t xml:space="preserve">TGTGCTATTGAGCGTGGTCA</t>
  </si>
  <si>
    <t xml:space="preserve">TAGTTGTGCTATTGAGCGTGGTCA</t>
  </si>
  <si>
    <t xml:space="preserve">AAACTGACCACGCTCAATAGCACA</t>
  </si>
  <si>
    <t xml:space="preserve">ATGTGGAAACCGTCGGCGCG</t>
  </si>
  <si>
    <t xml:space="preserve">TAGTATGTGGAAACCGTCGGCGCG</t>
  </si>
  <si>
    <t xml:space="preserve">AAACCGCGCCGACGGTTTCCACAT</t>
  </si>
  <si>
    <t xml:space="preserve">GTTTGCGGTGCCCATTCGGC</t>
  </si>
  <si>
    <t xml:space="preserve">TAGTGTTTGCGGTGCCCATTCGGC</t>
  </si>
  <si>
    <t xml:space="preserve">AAACGCCGAATGGGCACCGCAAAC</t>
  </si>
  <si>
    <t xml:space="preserve">GGGCCAGACCATCCAGACCT</t>
  </si>
  <si>
    <t xml:space="preserve">TAGTGGGCCAGACCATCCAGACCT</t>
  </si>
  <si>
    <t xml:space="preserve">AAACAGGTCTGGATGGTCTGGCCC</t>
  </si>
  <si>
    <t xml:space="preserve">PSPPH_0154</t>
  </si>
  <si>
    <t xml:space="preserve">AAAAACCACGAGCACGCTGC</t>
  </si>
  <si>
    <t xml:space="preserve">TAGTAAAAACCACGAGCACGCTGC</t>
  </si>
  <si>
    <t xml:space="preserve">AAACGCAGCGTGCTCGTGGTTTTT</t>
  </si>
  <si>
    <t xml:space="preserve">CCAATCCGCCACTAGCTGGC</t>
  </si>
  <si>
    <t xml:space="preserve">TAGTCCAATCCGCCACTAGCTGGC</t>
  </si>
  <si>
    <t xml:space="preserve">AAACGCCAGCTAGTGGCGGATTGG</t>
  </si>
  <si>
    <t xml:space="preserve">CGGTCTGGATTTCGCGGGCC</t>
  </si>
  <si>
    <t xml:space="preserve">TAGTCGGTCTGGATTTCGCGGGCC</t>
  </si>
  <si>
    <t xml:space="preserve">AAACGGCCCGCGAAATCCAGACCG</t>
  </si>
  <si>
    <t xml:space="preserve">AACAACATTGCGCGAACATC</t>
  </si>
  <si>
    <t xml:space="preserve">TAGTAACAACATTGCGCGAACATC</t>
  </si>
  <si>
    <t xml:space="preserve">AAACGATGTTCGCGCAATGTTGTT</t>
  </si>
  <si>
    <t xml:space="preserve">PSPPH_0155</t>
  </si>
  <si>
    <t xml:space="preserve">CCCTTCGGCCATGGCCTGAC</t>
  </si>
  <si>
    <t xml:space="preserve">TAGTCCCTTCGGCCATGGCCTGAC</t>
  </si>
  <si>
    <t xml:space="preserve">AAACGTCAGGCCATGGCCGAAGGG</t>
  </si>
  <si>
    <t xml:space="preserve">CTTGTAGTCGCGATTGATGT</t>
  </si>
  <si>
    <t xml:space="preserve">TAGTCTTGTAGTCGCGATTGATGT</t>
  </si>
  <si>
    <t xml:space="preserve">AAACACATCAATCGCGACTACAAG</t>
  </si>
  <si>
    <t xml:space="preserve">CCCATTCGGACTTGTCTTCA</t>
  </si>
  <si>
    <t xml:space="preserve">TAGTCCCATTCGGACTTGTCTTCA</t>
  </si>
  <si>
    <t xml:space="preserve">AAACTGAAGACAAGTCCGAATGGG</t>
  </si>
  <si>
    <t xml:space="preserve">CGAAGTTGCCCATGAAGGCC</t>
  </si>
  <si>
    <t xml:space="preserve">TAGTCGAAGTTGCCCATGAAGGCC</t>
  </si>
  <si>
    <t xml:space="preserve">AAACGGCCTTCATGGGCAACTTCG</t>
  </si>
  <si>
    <t xml:space="preserve">PSPPH_0156</t>
  </si>
  <si>
    <t xml:space="preserve">TCCGTAATGATTCTGGGCAC</t>
  </si>
  <si>
    <t xml:space="preserve">TAGTTCCGTAATGATTCTGGGCAC</t>
  </si>
  <si>
    <t xml:space="preserve">AAACGTGCCCAGAATCATTACGGA</t>
  </si>
  <si>
    <t xml:space="preserve">TGCTCATCCACCACGCTTTG</t>
  </si>
  <si>
    <t xml:space="preserve">TAGTTGCTCATCCACCACGCTTTG</t>
  </si>
  <si>
    <t xml:space="preserve">AAACCAAAGCGTGGTGGATGAGCA</t>
  </si>
  <si>
    <t xml:space="preserve">TAGAAATCCAGCCGTTCCTT</t>
  </si>
  <si>
    <t xml:space="preserve">TAGTTAGAAATCCAGCCGTTCCTT</t>
  </si>
  <si>
    <t xml:space="preserve">AAACAAGGAACGGCTGGATTTCTA</t>
  </si>
  <si>
    <t xml:space="preserve">GGTGCGGTTGGACAGATTGG</t>
  </si>
  <si>
    <t xml:space="preserve">TAGTGGTGCGGTTGGACAGATTGG</t>
  </si>
  <si>
    <t xml:space="preserve">AAACCCAATCTGTCCAACCGCACC</t>
  </si>
  <si>
    <t xml:space="preserve">PSPPH_0157</t>
  </si>
  <si>
    <t xml:space="preserve">GGCGGTCTGTGTACAGCGTG</t>
  </si>
  <si>
    <t xml:space="preserve">TAGTGGCGGTCTGTGTACAGCGTG</t>
  </si>
  <si>
    <t xml:space="preserve">AAACCACGCTGTACACAGACCGCC</t>
  </si>
  <si>
    <t xml:space="preserve">GCTTGAGGGGCGTCAGCAGT</t>
  </si>
  <si>
    <t xml:space="preserve">TAGTGCTTGAGGGGCGTCAGCAGT</t>
  </si>
  <si>
    <t xml:space="preserve">AAACACTGCTGACGCCCCTCAAGC</t>
  </si>
  <si>
    <t xml:space="preserve">GGGAAACGCTGCTGGATAGC</t>
  </si>
  <si>
    <t xml:space="preserve">TAGTGGGAAACGCTGCTGGATAGC</t>
  </si>
  <si>
    <t xml:space="preserve">AAACGCTATCCAGCAGCGTTTCCC</t>
  </si>
  <si>
    <t xml:space="preserve">ACTGCACGATTTCCCATAGC</t>
  </si>
  <si>
    <t xml:space="preserve">TAGTACTGCACGATTTCCCATAGC</t>
  </si>
  <si>
    <t xml:space="preserve">AAACGCTATGGGAAATCGTGCAGT</t>
  </si>
  <si>
    <t xml:space="preserve">PSPPH_0158</t>
  </si>
  <si>
    <t xml:space="preserve">GGCTCGGTCTTGCGGGTCAA</t>
  </si>
  <si>
    <t xml:space="preserve">TAGTGGCTCGGTCTTGCGGGTCAA</t>
  </si>
  <si>
    <t xml:space="preserve">AAACTTGACCCGCAAGACCGAGCC</t>
  </si>
  <si>
    <t xml:space="preserve">ACCATTACCAAGGTAATGTC</t>
  </si>
  <si>
    <t xml:space="preserve">TAGTACCATTACCAAGGTAATGTC</t>
  </si>
  <si>
    <t xml:space="preserve">AAACGACATTACCTTGGTAATGGT</t>
  </si>
  <si>
    <t xml:space="preserve">AGGTTTCGAAGTCTTCGGGT</t>
  </si>
  <si>
    <t xml:space="preserve">TAGTAGGTTTCGAAGTCTTCGGGT</t>
  </si>
  <si>
    <t xml:space="preserve">AAACACCCGAAGACTTCGAAACCT</t>
  </si>
  <si>
    <t xml:space="preserve">TTCGATACGTATGGCCACCA</t>
  </si>
  <si>
    <t xml:space="preserve">TAGTTTCGATACGTATGGCCACCA</t>
  </si>
  <si>
    <t xml:space="preserve">AAACTGGTGGCCATACGTATCGAA</t>
  </si>
  <si>
    <t xml:space="preserve">PSPPH_0159</t>
  </si>
  <si>
    <t xml:space="preserve">relB</t>
  </si>
  <si>
    <t xml:space="preserve">TTGGCGCAGCAACTCCGAGG</t>
  </si>
  <si>
    <t xml:space="preserve">TAGTTTGGCGCAGCAACTCCGAGG</t>
  </si>
  <si>
    <t xml:space="preserve">AAACCCTCGGAGTTGCTGCGCCAA</t>
  </si>
  <si>
    <t xml:space="preserve">ACGCTCAGCTACGTACTGCA</t>
  </si>
  <si>
    <t xml:space="preserve">TAGTACGCTCAGCTACGTACTGCA</t>
  </si>
  <si>
    <t xml:space="preserve">AAACTGCAGTACGTAGCTGAGCGT</t>
  </si>
  <si>
    <t xml:space="preserve">GTCATCAGAACCGTCTTGAA</t>
  </si>
  <si>
    <t xml:space="preserve">TAGTGTCATCAGAACCGTCTTGAA</t>
  </si>
  <si>
    <t xml:space="preserve">AAACTTCAAGACGGTTCTGATGAC</t>
  </si>
  <si>
    <t xml:space="preserve">TGACCCGCTGCGGAGCTGCA</t>
  </si>
  <si>
    <t xml:space="preserve">TAGTTGACCCGCTGCGGAGCTGCA</t>
  </si>
  <si>
    <t xml:space="preserve">AAACTGCAGCTCCGCAGCGGGTCA</t>
  </si>
  <si>
    <t xml:space="preserve">PSPPH_0160</t>
  </si>
  <si>
    <t xml:space="preserve">relE</t>
  </si>
  <si>
    <t xml:space="preserve">GAGCCCGCGCATCGAATTCG</t>
  </si>
  <si>
    <t xml:space="preserve">TAGTGAGCCCGCGCATCGAATTCG</t>
  </si>
  <si>
    <t xml:space="preserve">AAACCGAATTCGATGCGCGGGCTC</t>
  </si>
  <si>
    <t xml:space="preserve">TTTCTTGAGCTGCTGACGCA</t>
  </si>
  <si>
    <t xml:space="preserve">TAGTTTTCTTGAGCTGCTGACGCA</t>
  </si>
  <si>
    <t xml:space="preserve">AAACTGCGTCAGCAGCTCAAGAAA</t>
  </si>
  <si>
    <t xml:space="preserve">AGACGATTGGCTTCAACACG</t>
  </si>
  <si>
    <t xml:space="preserve">TAGTAGACGATTGGCTTCAACACG</t>
  </si>
  <si>
    <t xml:space="preserve">AAACCGTGTTGAAGCCAATCGTCT</t>
  </si>
  <si>
    <t xml:space="preserve">AGTTTGATTTTGTAGCAGTC</t>
  </si>
  <si>
    <t xml:space="preserve">TAGTAGTTTGATTTTGTAGCAGTC</t>
  </si>
  <si>
    <t xml:space="preserve">AAACGACTGCTACAAAATCAAACT</t>
  </si>
  <si>
    <t xml:space="preserve">PSPPH_0161</t>
  </si>
  <si>
    <t xml:space="preserve">TCAATCCGCGCCAACATACA</t>
  </si>
  <si>
    <t xml:space="preserve">TAGTTCAATCCGCGCCAACATACA</t>
  </si>
  <si>
    <t xml:space="preserve">AAACTGTATGTTGGCGCGGATTGA</t>
  </si>
  <si>
    <t xml:space="preserve">PSPPH_0164</t>
  </si>
  <si>
    <t xml:space="preserve">GGTCGCCCCACCACTGGAGC</t>
  </si>
  <si>
    <t xml:space="preserve">TAGTGGTCGCCCCACCACTGGAGC</t>
  </si>
  <si>
    <t xml:space="preserve">AAACGCTCCAGTGGTGGGGCGACC</t>
  </si>
  <si>
    <t xml:space="preserve">CCCAAGGGATACGCCTCCAG</t>
  </si>
  <si>
    <t xml:space="preserve">TAGTCCCAAGGGATACGCCTCCAG</t>
  </si>
  <si>
    <t xml:space="preserve">AAACCTGGAGGCGTATCCCTTGGG</t>
  </si>
  <si>
    <t xml:space="preserve">AAGCTCAAATAGCTTCGGTG</t>
  </si>
  <si>
    <t xml:space="preserve">TAGTAAGCTCAAATAGCTTCGGTG</t>
  </si>
  <si>
    <t xml:space="preserve">AAACCACCGAAGCTATTTGAGCTT</t>
  </si>
  <si>
    <t xml:space="preserve">GATGGTCACATTTTTGATGT</t>
  </si>
  <si>
    <t xml:space="preserve">TAGTGATGGTCACATTTTTGATGT</t>
  </si>
  <si>
    <t xml:space="preserve">AAACACATCAAAAATGTGACCATC</t>
  </si>
  <si>
    <t xml:space="preserve">PSPPH_0165</t>
  </si>
  <si>
    <t xml:space="preserve">CCGCCATTTGGGCAAAATTG</t>
  </si>
  <si>
    <t xml:space="preserve">TAGTCCGCCATTTGGGCAAAATTG</t>
  </si>
  <si>
    <t xml:space="preserve">AAACCAATTTTGCCCAAATGGCGG</t>
  </si>
  <si>
    <t xml:space="preserve">CATAATTTCAGCAGGCGTAA</t>
  </si>
  <si>
    <t xml:space="preserve">TAGTCATAATTTCAGCAGGCGTAA</t>
  </si>
  <si>
    <t xml:space="preserve">AAACTTACGCCTGCTGAAATTATG</t>
  </si>
  <si>
    <t xml:space="preserve">GTCGAAGACTGCCAAATATA</t>
  </si>
  <si>
    <t xml:space="preserve">TAGTGTCGAAGACTGCCAAATATA</t>
  </si>
  <si>
    <t xml:space="preserve">AAACTATATTTGGCAGTCTTCGAC</t>
  </si>
  <si>
    <t xml:space="preserve">TGCACACAAGACGCCCGAAC</t>
  </si>
  <si>
    <t xml:space="preserve">TAGTTGCACACAAGACGCCCGAAC</t>
  </si>
  <si>
    <t xml:space="preserve">AAACGTTCGGGCGTCTTGTGTGCA</t>
  </si>
  <si>
    <t xml:space="preserve">PSPPH_0166</t>
  </si>
  <si>
    <t xml:space="preserve">TTTATGAAAGAATTGAGTGA</t>
  </si>
  <si>
    <t xml:space="preserve">TAGTTTTATGAAAGAATTGAGTGA</t>
  </si>
  <si>
    <t xml:space="preserve">AAACTCACTCAATTCTTTCATAAA</t>
  </si>
  <si>
    <t xml:space="preserve">TTTTGTAATGCGCGGATATA</t>
  </si>
  <si>
    <t xml:space="preserve">TAGTTTTTGTAATGCGCGGATATA</t>
  </si>
  <si>
    <t xml:space="preserve">AAACTATATCCGCGCATTACAAAA</t>
  </si>
  <si>
    <t xml:space="preserve">PSPPH_0167</t>
  </si>
  <si>
    <t xml:space="preserve">ATTGCGCCGGCGTTGTGTGC</t>
  </si>
  <si>
    <t xml:space="preserve">TAGTATTGCGCCGGCGTTGTGTGC</t>
  </si>
  <si>
    <t xml:space="preserve">AAACGCACACAACGCCGGCGCAAT</t>
  </si>
  <si>
    <t xml:space="preserve">TCGGCGAGTGTCACGTCAGC</t>
  </si>
  <si>
    <t xml:space="preserve">TAGTTCGGCGAGTGTCACGTCAGC</t>
  </si>
  <si>
    <t xml:space="preserve">AAACGCTGACGTGACACTCGCCGA</t>
  </si>
  <si>
    <t xml:space="preserve">GGTGCCTTGGTCGACGCCCG</t>
  </si>
  <si>
    <t xml:space="preserve">TAGTGGTGCCTTGGTCGACGCCCG</t>
  </si>
  <si>
    <t xml:space="preserve">AAACCGGGCGTCGACCAAGGCACC</t>
  </si>
  <si>
    <t xml:space="preserve">GCGGTTTGCCCAGCCGTGTC</t>
  </si>
  <si>
    <t xml:space="preserve">TAGTGCGGTTTGCCCAGCCGTGTC</t>
  </si>
  <si>
    <t xml:space="preserve">AAACGACACGGCTGGGCAAACCGC</t>
  </si>
  <si>
    <t xml:space="preserve">PSPPH_0171</t>
  </si>
  <si>
    <t xml:space="preserve">hopR1</t>
  </si>
  <si>
    <t xml:space="preserve">GTTGGCAGTAAATCCGGAAG</t>
  </si>
  <si>
    <t xml:space="preserve">TAGTGTTGGCAGTAAATCCGGAAG</t>
  </si>
  <si>
    <t xml:space="preserve">AAACCTTCCGGATTTACTGCCAAC</t>
  </si>
  <si>
    <t xml:space="preserve">TGTCTGCATGATGAGGGAGA</t>
  </si>
  <si>
    <t xml:space="preserve">TAGTTGTCTGCATGATGAGGGAGA</t>
  </si>
  <si>
    <t xml:space="preserve">AAACTCTCCCTCATCATGCAGACA</t>
  </si>
  <si>
    <t xml:space="preserve">AGCTGAGGCGGGCTGTTAGC</t>
  </si>
  <si>
    <t xml:space="preserve">TAGTAGCTGAGGCGGGCTGTTAGC</t>
  </si>
  <si>
    <t xml:space="preserve">AAACGCTAACAGCCCGCCTCAGCT</t>
  </si>
  <si>
    <t xml:space="preserve">TCAACCAAGGGCAATGGTTC</t>
  </si>
  <si>
    <t xml:space="preserve">TAGTTCAACCAAGGGCAATGGTTC</t>
  </si>
  <si>
    <t xml:space="preserve">AAACGAACCATTGCCCTTGGTTGA</t>
  </si>
  <si>
    <t xml:space="preserve">PSPPH_5226</t>
  </si>
  <si>
    <t xml:space="preserve">GGCCAACGATTTAATTACCT</t>
  </si>
  <si>
    <t xml:space="preserve">TAGTGGCCAACGATTTAATTACCT</t>
  </si>
  <si>
    <t xml:space="preserve">AAACAGGTAATTAAATCGTTGGCC</t>
  </si>
  <si>
    <t xml:space="preserve">AGCGGGTAACCGCAGGTCTT</t>
  </si>
  <si>
    <t xml:space="preserve">TAGTAGCGGGTAACCGCAGGTCTT</t>
  </si>
  <si>
    <t xml:space="preserve">AAACAAGACCTGCGGTTACCCGCT</t>
  </si>
  <si>
    <t xml:space="preserve">AACTGAGTACCTGTCTGGGT</t>
  </si>
  <si>
    <t xml:space="preserve">TAGTAACTGAGTACCTGTCTGGGT</t>
  </si>
  <si>
    <t xml:space="preserve">AAACACCCAGACAGGTACTCAGTT</t>
  </si>
  <si>
    <t xml:space="preserve">AAGTACCAAGTTTAATCCCG</t>
  </si>
  <si>
    <t xml:space="preserve">TAGTAAGTACCAAGTTTAATCCCG</t>
  </si>
  <si>
    <t xml:space="preserve">AAACCGGGATTAAACTTGGTACTT</t>
  </si>
  <si>
    <t xml:space="preserve">PSPPH_0173</t>
  </si>
  <si>
    <t xml:space="preserve">CGGAACCAGCGCCAGCACGC</t>
  </si>
  <si>
    <t xml:space="preserve">TAGTCGGAACCAGCGCCAGCACGC</t>
  </si>
  <si>
    <t xml:space="preserve">AAACGCGTGCTGGCGCTGGTTCCG</t>
  </si>
  <si>
    <t xml:space="preserve">AGCGATGCCTGGGTAAACGC</t>
  </si>
  <si>
    <t xml:space="preserve">TAGTAGCGATGCCTGGGTAAACGC</t>
  </si>
  <si>
    <t xml:space="preserve">AAACGCGTTTACCCAGGCATCGCT</t>
  </si>
  <si>
    <t xml:space="preserve">TAGGACAGCGCGATATGCAC</t>
  </si>
  <si>
    <t xml:space="preserve">TAGTTAGGACAGCGCGATATGCAC</t>
  </si>
  <si>
    <t xml:space="preserve">AAACGTGCATATCGCGCTGTCCTA</t>
  </si>
  <si>
    <t xml:space="preserve">ACACACAGCATCGGTTTCAC</t>
  </si>
  <si>
    <t xml:space="preserve">TAGTACACACAGCATCGGTTTCAC</t>
  </si>
  <si>
    <t xml:space="preserve">AAACGTGAAACCGATGCTGTGTGT</t>
  </si>
  <si>
    <t xml:space="preserve">PSPPH_0174</t>
  </si>
  <si>
    <t xml:space="preserve">GCCAGGGACCAGCGAGTAAG</t>
  </si>
  <si>
    <t xml:space="preserve">TAGTGCCAGGGACCAGCGAGTAAG</t>
  </si>
  <si>
    <t xml:space="preserve">AAACCTTACTCGCTGGTCCCTGGC</t>
  </si>
  <si>
    <t xml:space="preserve">AACACACAGCAATAGAGTTG</t>
  </si>
  <si>
    <t xml:space="preserve">TAGTAACACACAGCAATAGAGTTG</t>
  </si>
  <si>
    <t xml:space="preserve">AAACCAACTCTATTGCTGTGTGTT</t>
  </si>
  <si>
    <t xml:space="preserve">CATCAACTGCTCGTATTTGC</t>
  </si>
  <si>
    <t xml:space="preserve">TAGTCATCAACTGCTCGTATTTGC</t>
  </si>
  <si>
    <t xml:space="preserve">AAACGCAAATACGAGCAGTTGATG</t>
  </si>
  <si>
    <t xml:space="preserve">GACTTGATGATCAGGCGTCA</t>
  </si>
  <si>
    <t xml:space="preserve">TAGTGACTTGATGATCAGGCGTCA</t>
  </si>
  <si>
    <t xml:space="preserve">AAACTGACGCCTGATCATCAAGTC</t>
  </si>
  <si>
    <t xml:space="preserve">PSPPH_0175</t>
  </si>
  <si>
    <t xml:space="preserve">GGAAGGATTGAAGATTGCCT</t>
  </si>
  <si>
    <t xml:space="preserve">TAGTGGAAGGATTGAAGATTGCCT</t>
  </si>
  <si>
    <t xml:space="preserve">AAACAGGCAATCTTCAATCCTTCC</t>
  </si>
  <si>
    <t xml:space="preserve">CTATTGCATACCATTGGATA</t>
  </si>
  <si>
    <t xml:space="preserve">TAGTCTATTGCATACCATTGGATA</t>
  </si>
  <si>
    <t xml:space="preserve">AAACTATCCAATGGTATGCAATAG</t>
  </si>
  <si>
    <t xml:space="preserve">PSPPH_0177</t>
  </si>
  <si>
    <t xml:space="preserve">CGTAATGGATATCTTCCGTG</t>
  </si>
  <si>
    <t xml:space="preserve">TAGTCGTAATGGATATCTTCCGTG</t>
  </si>
  <si>
    <t xml:space="preserve">AAACCACGGAAGATATCCATTACG</t>
  </si>
  <si>
    <t xml:space="preserve">CAGATCGAAAATGCTGCGGC</t>
  </si>
  <si>
    <t xml:space="preserve">TAGTCAGATCGAAAATGCTGCGGC</t>
  </si>
  <si>
    <t xml:space="preserve">AAACGCCGCAGCATTTTCGATCTG</t>
  </si>
  <si>
    <t xml:space="preserve">GAAATATTCAGAACCCCCTC</t>
  </si>
  <si>
    <t xml:space="preserve">TAGTGAAATATTCAGAACCCCCTC</t>
  </si>
  <si>
    <t xml:space="preserve">AAACGAGGGGGTTCTGAATATTTC</t>
  </si>
  <si>
    <t xml:space="preserve">GATACCAAACGAGCGCGGCA</t>
  </si>
  <si>
    <t xml:space="preserve">TAGTGATACCAAACGAGCGCGGCA</t>
  </si>
  <si>
    <t xml:space="preserve">AAACTGCCGCGCTCGTTTGGTATC</t>
  </si>
  <si>
    <t xml:space="preserve">PSPPH_0178</t>
  </si>
  <si>
    <t xml:space="preserve">ATGGACGATAGCCAGCGACA</t>
  </si>
  <si>
    <t xml:space="preserve">TAGTATGGACGATAGCCAGCGACA</t>
  </si>
  <si>
    <t xml:space="preserve">AAACTGTCGCTGGCTATCGTCCAT</t>
  </si>
  <si>
    <t xml:space="preserve">CGGGGCTTCCACCCCGACCT</t>
  </si>
  <si>
    <t xml:space="preserve">TAGTCGGGGCTTCCACCCCGACCT</t>
  </si>
  <si>
    <t xml:space="preserve">AAACAGGTCGGGGTGGAAGCCCCG</t>
  </si>
  <si>
    <t xml:space="preserve">TGCGCTTCAACAGTAACCGC</t>
  </si>
  <si>
    <t xml:space="preserve">TAGTTGCGCTTCAACAGTAACCGC</t>
  </si>
  <si>
    <t xml:space="preserve">AAACGCGGTTACTGTTGAAGCGCA</t>
  </si>
  <si>
    <t xml:space="preserve">CGTCAGGGCCGGCAGGCCGT</t>
  </si>
  <si>
    <t xml:space="preserve">TAGTCGTCAGGGCCGGCAGGCCGT</t>
  </si>
  <si>
    <t xml:space="preserve">AAACACGGCCTGCCGGCCCTGACG</t>
  </si>
  <si>
    <t xml:space="preserve">PSPPH_0179</t>
  </si>
  <si>
    <t xml:space="preserve">TTTTTCGCTAAGGGCTAGCC</t>
  </si>
  <si>
    <t xml:space="preserve">TAGTTTTTTCGCTAAGGGCTAGCC</t>
  </si>
  <si>
    <t xml:space="preserve">AAACGGCTAGCCCTTAGCGAAAAA</t>
  </si>
  <si>
    <t xml:space="preserve">TCCAACTGCTCAGCTAGCTC</t>
  </si>
  <si>
    <t xml:space="preserve">TAGTTCCAACTGCTCAGCTAGCTC</t>
  </si>
  <si>
    <t xml:space="preserve">AAACGAGCTAGCTGAGCAGTTGGA</t>
  </si>
  <si>
    <t xml:space="preserve">GGGAGCGATGGTGCGAAGGA</t>
  </si>
  <si>
    <t xml:space="preserve">TAGTGGGAGCGATGGTGCGAAGGA</t>
  </si>
  <si>
    <t xml:space="preserve">AAACTCCTTCGCACCATCGCTCCC</t>
  </si>
  <si>
    <t xml:space="preserve">ATGAAGTGCCCATTACCGCT</t>
  </si>
  <si>
    <t xml:space="preserve">TAGTATGAAGTGCCCATTACCGCT</t>
  </si>
  <si>
    <t xml:space="preserve">AAACAGCGGTAATGGGCACTTCAT</t>
  </si>
  <si>
    <t xml:space="preserve">PSPPH_0180</t>
  </si>
  <si>
    <t xml:space="preserve">GTCCAATGAGGAAGTTCGTT</t>
  </si>
  <si>
    <t xml:space="preserve">TAGTGTCCAATGAGGAAGTTCGTT</t>
  </si>
  <si>
    <t xml:space="preserve">AAACAACGAACTTCCTCATTGGAC</t>
  </si>
  <si>
    <t xml:space="preserve">CACCCTTAATGCTTTGGGTA</t>
  </si>
  <si>
    <t xml:space="preserve">TAGTCACCCTTAATGCTTTGGGTA</t>
  </si>
  <si>
    <t xml:space="preserve">AAACTACCCAAAGCATTAAGGGTG</t>
  </si>
  <si>
    <t xml:space="preserve">TCGCTTGAAGGTGTACGCAT</t>
  </si>
  <si>
    <t xml:space="preserve">TAGTTCGCTTGAAGGTGTACGCAT</t>
  </si>
  <si>
    <t xml:space="preserve">AAACATGCGTACACCTTCAAGCGA</t>
  </si>
  <si>
    <t xml:space="preserve">CGGAGAAAGATTGTCGAGCG</t>
  </si>
  <si>
    <t xml:space="preserve">TAGTCGGAGAAAGATTGTCGAGCG</t>
  </si>
  <si>
    <t xml:space="preserve">AAACCGCTCGACAATCTTTCTCCG</t>
  </si>
  <si>
    <t xml:space="preserve">PSPPH_0181</t>
  </si>
  <si>
    <t xml:space="preserve">TTCCTCAACCAGCTTCGCAA</t>
  </si>
  <si>
    <t xml:space="preserve">TAGTTTCCTCAACCAGCTTCGCAA</t>
  </si>
  <si>
    <t xml:space="preserve">AAACTTGCGAAGCTGGTTGAGGAA</t>
  </si>
  <si>
    <t xml:space="preserve">GAGAGGGTGGCAGGTGAAGC</t>
  </si>
  <si>
    <t xml:space="preserve">TAGTGAGAGGGTGGCAGGTGAAGC</t>
  </si>
  <si>
    <t xml:space="preserve">AAACGCTTCACCTGCCACCCTCTC</t>
  </si>
  <si>
    <t xml:space="preserve">TCAATATTGGTCTCGGCCCC</t>
  </si>
  <si>
    <t xml:space="preserve">TAGTTCAATATTGGTCTCGGCCCC</t>
  </si>
  <si>
    <t xml:space="preserve">AAACGGGGCCGAGACCAATATTGA</t>
  </si>
  <si>
    <t xml:space="preserve">CGAACGGTCACGAAGTCGAA</t>
  </si>
  <si>
    <t xml:space="preserve">TAGTCGAACGGTCACGAAGTCGAA</t>
  </si>
  <si>
    <t xml:space="preserve">AAACTTCGACTTCGTGACCGTTCG</t>
  </si>
  <si>
    <t xml:space="preserve">PSPPH_0182</t>
  </si>
  <si>
    <t xml:space="preserve">CAGGCTTGAAATCGACATGC</t>
  </si>
  <si>
    <t xml:space="preserve">TAGTCAGGCTTGAAATCGACATGC</t>
  </si>
  <si>
    <t xml:space="preserve">AAACGCATGTCGATTTCAAGCCTG</t>
  </si>
  <si>
    <t xml:space="preserve">GTTCCTTGTCAGACAGCATA</t>
  </si>
  <si>
    <t xml:space="preserve">TAGTGTTCCTTGTCAGACAGCATA</t>
  </si>
  <si>
    <t xml:space="preserve">AAACTATGCTGTCTGACAAGGAAC</t>
  </si>
  <si>
    <t xml:space="preserve">ATCTGGGCTCGCCCATGAAC</t>
  </si>
  <si>
    <t xml:space="preserve">TAGTATCTGGGCTCGCCCATGAAC</t>
  </si>
  <si>
    <t xml:space="preserve">AAACGTTCATGGGCGAGCCCAGAT</t>
  </si>
  <si>
    <t xml:space="preserve">AGTATCTAGGATGTTGTGTG</t>
  </si>
  <si>
    <t xml:space="preserve">TAGTAGTATCTAGGATGTTGTGTG</t>
  </si>
  <si>
    <t xml:space="preserve">AAACCACACAACATCCTAGATACT</t>
  </si>
  <si>
    <t xml:space="preserve">PSPPH_0184</t>
  </si>
  <si>
    <t xml:space="preserve">TGCGTCGAACCTGCTGAATC</t>
  </si>
  <si>
    <t xml:space="preserve">TAGTTGCGTCGAACCTGCTGAATC</t>
  </si>
  <si>
    <t xml:space="preserve">AAACGATTCAGCAGGTTCGACGCA</t>
  </si>
  <si>
    <t xml:space="preserve">CCCGAGACGCTACGTCGAGT</t>
  </si>
  <si>
    <t xml:space="preserve">TAGTCCCGAGACGCTACGTCGAGT</t>
  </si>
  <si>
    <t xml:space="preserve">AAACACTCGACGTAGCGTCTCGGG</t>
  </si>
  <si>
    <t xml:space="preserve">ACCCCTCCGGCCCCGCGAAA</t>
  </si>
  <si>
    <t xml:space="preserve">TAGTACCCCTCCGGCCCCGCGAAA</t>
  </si>
  <si>
    <t xml:space="preserve">AAACTTTCGCGGGGCCGGAGGGGT</t>
  </si>
  <si>
    <t xml:space="preserve">CGCTCTAGCAACGACTCGAA</t>
  </si>
  <si>
    <t xml:space="preserve">TAGTCGCTCTAGCAACGACTCGAA</t>
  </si>
  <si>
    <t xml:space="preserve">AAACTTCGAGTCGTTGCTAGAGCG</t>
  </si>
  <si>
    <t xml:space="preserve">PSPPH_0185</t>
  </si>
  <si>
    <t xml:space="preserve">CGAACTCCGGCAACTCATCA</t>
  </si>
  <si>
    <t xml:space="preserve">TAGTCGAACTCCGGCAACTCATCA</t>
  </si>
  <si>
    <t xml:space="preserve">AAACTGATGAGTTGCCGGAGTTCG</t>
  </si>
  <si>
    <t xml:space="preserve">GCAAAACCTCCAGCACGCGG</t>
  </si>
  <si>
    <t xml:space="preserve">TAGTGCAAAACCTCCAGCACGCGG</t>
  </si>
  <si>
    <t xml:space="preserve">AAACCCGCGTGCTGGAGGTTTTGC</t>
  </si>
  <si>
    <t xml:space="preserve">ACGATATGCCCGGACTCCAG</t>
  </si>
  <si>
    <t xml:space="preserve">TAGTACGATATGCCCGGACTCCAG</t>
  </si>
  <si>
    <t xml:space="preserve">AAACCTGGAGTCCGGGCATATCGT</t>
  </si>
  <si>
    <t xml:space="preserve">GCGCACGCGATCCCGCGCCC</t>
  </si>
  <si>
    <t xml:space="preserve">TAGTGCGCACGCGATCCCGCGCCC</t>
  </si>
  <si>
    <t xml:space="preserve">AAACGGGCGCGGGATCGCGTGCGC</t>
  </si>
  <si>
    <t xml:space="preserve">PSPPH_0186</t>
  </si>
  <si>
    <t xml:space="preserve">AAGCCAAGGAAAGTCAGCAT</t>
  </si>
  <si>
    <t xml:space="preserve">TAGTAAGCCAAGGAAAGTCAGCAT</t>
  </si>
  <si>
    <t xml:space="preserve">AAACATGCTGACTTTCCTTGGCTT</t>
  </si>
  <si>
    <t xml:space="preserve">GTACATGAACGCAATAACCA</t>
  </si>
  <si>
    <t xml:space="preserve">TAGTGTACATGAACGCAATAACCA</t>
  </si>
  <si>
    <t xml:space="preserve">AAACTGGTTATTGCGTTCATGTAC</t>
  </si>
  <si>
    <t xml:space="preserve">TCAGGCGCTTGCTCATGATC</t>
  </si>
  <si>
    <t xml:space="preserve">TAGTTCAGGCGCTTGCTCATGATC</t>
  </si>
  <si>
    <t xml:space="preserve">AAACGATCATGAGCAAGCGCCTGA</t>
  </si>
  <si>
    <t xml:space="preserve">GATGATTGGAACCAGAATCA</t>
  </si>
  <si>
    <t xml:space="preserve">TAGTGATGATTGGAACCAGAATCA</t>
  </si>
  <si>
    <t xml:space="preserve">AAACTGATTCTGGTTCCAATCATC</t>
  </si>
  <si>
    <t xml:space="preserve">PSPPH_0187</t>
  </si>
  <si>
    <t xml:space="preserve">GGTAACGCAGCCCGCCGCAA</t>
  </si>
  <si>
    <t xml:space="preserve">TAGTGGTAACGCAGCCCGCCGCAA</t>
  </si>
  <si>
    <t xml:space="preserve">AAACTTGCGGCGGGCTGCGTTACC</t>
  </si>
  <si>
    <t xml:space="preserve">CCCGCAACGGCGCATCGAAC</t>
  </si>
  <si>
    <t xml:space="preserve">TAGTCCCGCAACGGCGCATCGAAC</t>
  </si>
  <si>
    <t xml:space="preserve">AAACGTTCGATGCGCCGTTGCGGG</t>
  </si>
  <si>
    <t xml:space="preserve">ACCCGAGGTGCGTCGACAGA</t>
  </si>
  <si>
    <t xml:space="preserve">TAGTACCCGAGGTGCGTCGACAGA</t>
  </si>
  <si>
    <t xml:space="preserve">AAACTCTGTCGACGCACCTCGGGT</t>
  </si>
  <si>
    <t xml:space="preserve">AGCCAGCGGCACACTTATCC</t>
  </si>
  <si>
    <t xml:space="preserve">TAGTAGCCAGCGGCACACTTATCC</t>
  </si>
  <si>
    <t xml:space="preserve">AAACGGATAAGTGTGCCGCTGGCT</t>
  </si>
  <si>
    <t xml:space="preserve">PSPPH_0188</t>
  </si>
  <si>
    <t xml:space="preserve">ATGCTGCGGATCATTGACGT</t>
  </si>
  <si>
    <t xml:space="preserve">TAGTATGCTGCGGATCATTGACGT</t>
  </si>
  <si>
    <t xml:space="preserve">AAACACGTCAATGATCCGCAGCAT</t>
  </si>
  <si>
    <t xml:space="preserve">AGCAACTGCCGGATTACCGA</t>
  </si>
  <si>
    <t xml:space="preserve">TAGTAGCAACTGCCGGATTACCGA</t>
  </si>
  <si>
    <t xml:space="preserve">AAACTCGGTAATCCGGCAGTTGCT</t>
  </si>
  <si>
    <t xml:space="preserve">AGCCTGAACCTTGCGCGCCG</t>
  </si>
  <si>
    <t xml:space="preserve">TAGTAGCCTGAACCTTGCGCGCCG</t>
  </si>
  <si>
    <t xml:space="preserve">AAACCGGCGCGCAAGGTTCAGGCT</t>
  </si>
  <si>
    <t xml:space="preserve">GCAACTGGCTCTGCGGGAAC</t>
  </si>
  <si>
    <t xml:space="preserve">TAGTGCAACTGGCTCTGCGGGAAC</t>
  </si>
  <si>
    <t xml:space="preserve">AAACGTTCCCGCAGAGCCAGTTGC</t>
  </si>
  <si>
    <t xml:space="preserve">PSPPH_0189</t>
  </si>
  <si>
    <t xml:space="preserve">recG</t>
  </si>
  <si>
    <t xml:space="preserve">GAGCGCCGTGACCGAGACCC</t>
  </si>
  <si>
    <t xml:space="preserve">TAGTGAGCGCCGTGACCGAGACCC</t>
  </si>
  <si>
    <t xml:space="preserve">AAACGGGTCTCGGTCACGGCGCTC</t>
  </si>
  <si>
    <t xml:space="preserve">CAGGGTTTCCAGCCCGACCC</t>
  </si>
  <si>
    <t xml:space="preserve">TAGTCAGGGTTTCCAGCCCGACCC</t>
  </si>
  <si>
    <t xml:space="preserve">AAACGGGTCGGGCTGGAAACCCTG</t>
  </si>
  <si>
    <t xml:space="preserve">CCTGGTAACGCAACGGCAGA</t>
  </si>
  <si>
    <t xml:space="preserve">TAGTCCTGGTAACGCAACGGCAGA</t>
  </si>
  <si>
    <t xml:space="preserve">AAACTCTGCCGTTGCGTTACCAGG</t>
  </si>
  <si>
    <t xml:space="preserve">CAATCGGTACGACGCGGGTC</t>
  </si>
  <si>
    <t xml:space="preserve">TAGTCAATCGGTACGACGCGGGTC</t>
  </si>
  <si>
    <t xml:space="preserve">AAACGACCCGCGTCGTACCGATTG</t>
  </si>
  <si>
    <t xml:space="preserve">PSPPH_0190</t>
  </si>
  <si>
    <t xml:space="preserve">oxyR</t>
  </si>
  <si>
    <t xml:space="preserve">ATGGCCAAAGTGCTGCTCTT</t>
  </si>
  <si>
    <t xml:space="preserve">TAGTATGGCCAAAGTGCTGCTCTT</t>
  </si>
  <si>
    <t xml:space="preserve">AAACAAGAGCAGCACTTTGGCCAT</t>
  </si>
  <si>
    <t xml:space="preserve">ACAGCGTTGGCTGGCTGACG</t>
  </si>
  <si>
    <t xml:space="preserve">TAGTACAGCGTTGGCTGGCTGACG</t>
  </si>
  <si>
    <t xml:space="preserve">AAACCGTCAGCCAGCCAACGCTGT</t>
  </si>
  <si>
    <t xml:space="preserve">ACCGACCGGTGTCAGGCGCA</t>
  </si>
  <si>
    <t xml:space="preserve">TAGTACCGACCGGTGTCAGGCGCA</t>
  </si>
  <si>
    <t xml:space="preserve">AAACTGCGCCTGACACCGGTCGGT</t>
  </si>
  <si>
    <t xml:space="preserve">CAGCTGATTCTTGCCTGCCT</t>
  </si>
  <si>
    <t xml:space="preserve">TAGTCAGCTGATTCTTGCCTGCCT</t>
  </si>
  <si>
    <t xml:space="preserve">AAACAGGCAGGCAAGAATCAGCTG</t>
  </si>
  <si>
    <t xml:space="preserve">PSPPH_0191</t>
  </si>
  <si>
    <t xml:space="preserve">tonB1</t>
  </si>
  <si>
    <t xml:space="preserve">CGCTATAGCGCGTCAGTTTT</t>
  </si>
  <si>
    <t xml:space="preserve">TAGTCGCTATAGCGCGTCAGTTTT</t>
  </si>
  <si>
    <t xml:space="preserve">AAACAAAACTGACGCGCTATAGCG</t>
  </si>
  <si>
    <t xml:space="preserve">GATAATCGCGATAGCGTGCA</t>
  </si>
  <si>
    <t xml:space="preserve">TAGTGATAATCGCGATAGCGTGCA</t>
  </si>
  <si>
    <t xml:space="preserve">AAACTGCACGCTATCGCGATTATC</t>
  </si>
  <si>
    <t xml:space="preserve">CTGAGAGGCGGGCCAGCGAA</t>
  </si>
  <si>
    <t xml:space="preserve">TAGTCTGAGAGGCGGGCCAGCGAA</t>
  </si>
  <si>
    <t xml:space="preserve">AAACTTCGCTGGCCCGCCTCTCAG</t>
  </si>
  <si>
    <t xml:space="preserve">TCGACCATCATGGCCGCTGG</t>
  </si>
  <si>
    <t xml:space="preserve">TAGTTCGACCATCATGGCCGCTGG</t>
  </si>
  <si>
    <t xml:space="preserve">AAACCCAGCGGCCATGATGGTCGA</t>
  </si>
  <si>
    <t xml:space="preserve">PSPPH_0192</t>
  </si>
  <si>
    <t xml:space="preserve">exbD1</t>
  </si>
  <si>
    <t xml:space="preserve">CGCCGCCTTCGTTAAGATGC</t>
  </si>
  <si>
    <t xml:space="preserve">TAGTCGCCGCCTTCGTTAAGATGC</t>
  </si>
  <si>
    <t xml:space="preserve">AAACGCATCTTAACGAAGGCGGCG</t>
  </si>
  <si>
    <t xml:space="preserve">CACGTTGATTTCATGGTTCT</t>
  </si>
  <si>
    <t xml:space="preserve">TAGTCACGTTGATTTCATGGTTCT</t>
  </si>
  <si>
    <t xml:space="preserve">AAACAGAACCATGAAATCAACGTG</t>
  </si>
  <si>
    <t xml:space="preserve">ACCAGCATGACGTCGATGAA</t>
  </si>
  <si>
    <t xml:space="preserve">TAGTACCAGCATGACGTCGATGAA</t>
  </si>
  <si>
    <t xml:space="preserve">AAACTTCATCGACGTCATGCTGGT</t>
  </si>
  <si>
    <t xml:space="preserve">TTGATGTCCACGGTCGCCAA</t>
  </si>
  <si>
    <t xml:space="preserve">TAGTTTGATGTCCACGGTCGCCAA</t>
  </si>
  <si>
    <t xml:space="preserve">AAACTTGGCGACCGTGGACATCAA</t>
  </si>
  <si>
    <t xml:space="preserve">PSPPH_0193</t>
  </si>
  <si>
    <t xml:space="preserve">exbB1</t>
  </si>
  <si>
    <t xml:space="preserve">GGCAGGCGAGGCATCCGGGT</t>
  </si>
  <si>
    <t xml:space="preserve">TAGTGGCAGGCGAGGCATCCGGGT</t>
  </si>
  <si>
    <t xml:space="preserve">AAACACCCGGATGCCTCGCCTGCC</t>
  </si>
  <si>
    <t xml:space="preserve">GCGACACCGCGCCATGCACG</t>
  </si>
  <si>
    <t xml:space="preserve">TAGTGCGACACCGCGCCATGCACG</t>
  </si>
  <si>
    <t xml:space="preserve">AAACCGTGCATGGCGCGGTGTCGC</t>
  </si>
  <si>
    <t xml:space="preserve">GAACATCAGGCTCAAGACGA</t>
  </si>
  <si>
    <t xml:space="preserve">TAGTGAACATCAGGCTCAAGACGA</t>
  </si>
  <si>
    <t xml:space="preserve">AAACTCGTCTTGAGCCTGATGTTC</t>
  </si>
  <si>
    <t xml:space="preserve">GATTGATCTGCAAGGGCCAT</t>
  </si>
  <si>
    <t xml:space="preserve">TAGTGATTGATCTGCAAGGGCCAT</t>
  </si>
  <si>
    <t xml:space="preserve">AAACATGGCCCTTGCAGATCAATC</t>
  </si>
  <si>
    <t xml:space="preserve">PSPPH_0194</t>
  </si>
  <si>
    <t xml:space="preserve">GCCGGCGATTAGAAGCGAAG</t>
  </si>
  <si>
    <t xml:space="preserve">TAGTGCCGGCGATTAGAAGCGAAG</t>
  </si>
  <si>
    <t xml:space="preserve">AAACCTTCGCTTCTAATCGCCGGC</t>
  </si>
  <si>
    <t xml:space="preserve">CCAGCCGTGAGGCAGCAGGC</t>
  </si>
  <si>
    <t xml:space="preserve">TAGTCCAGCCGTGAGGCAGCAGGC</t>
  </si>
  <si>
    <t xml:space="preserve">AAACGCCTGCTGCCTCACGGCTGG</t>
  </si>
  <si>
    <t xml:space="preserve">AGTGCGCCGTAGCCCATGCA</t>
  </si>
  <si>
    <t xml:space="preserve">TAGTAGTGCGCCGTAGCCCATGCA</t>
  </si>
  <si>
    <t xml:space="preserve">AAACTGCATGGGCTACGGCGCACT</t>
  </si>
  <si>
    <t xml:space="preserve">GTGAACACCGGCAGGCAGCT</t>
  </si>
  <si>
    <t xml:space="preserve">TAGTGTGAACACCGGCAGGCAGCT</t>
  </si>
  <si>
    <t xml:space="preserve">AAACAGCTGCCTGCCGGTGTTCAC</t>
  </si>
  <si>
    <t xml:space="preserve">PSPPH_0195</t>
  </si>
  <si>
    <t xml:space="preserve">GAGCAGCGAGATGGCGAGCG</t>
  </si>
  <si>
    <t xml:space="preserve">TAGTGAGCAGCGAGATGGCGAGCG</t>
  </si>
  <si>
    <t xml:space="preserve">AAACCGCTCGCCATCTCGCTGCTC</t>
  </si>
  <si>
    <t xml:space="preserve">GGCGCAGCCGCCCAGAATGA</t>
  </si>
  <si>
    <t xml:space="preserve">TAGTGGCGCAGCCGCCCAGAATGA</t>
  </si>
  <si>
    <t xml:space="preserve">AAACTCATTCTGGGCGGCTGCGCC</t>
  </si>
  <si>
    <t xml:space="preserve">CGGATTGCGGTCGGCGTGGC</t>
  </si>
  <si>
    <t xml:space="preserve">TAGTCGGATTGCGGTCGGCGTGGC</t>
  </si>
  <si>
    <t xml:space="preserve">AAACGCCACGCCGACCGCAATCCG</t>
  </si>
  <si>
    <t xml:space="preserve">TGGTTGATCCAGGTGCCGTC</t>
  </si>
  <si>
    <t xml:space="preserve">TAGTTGGTTGATCCAGGTGCCGTC</t>
  </si>
  <si>
    <t xml:space="preserve">AAACGACGGCACCTGGATCAACCA</t>
  </si>
  <si>
    <t xml:space="preserve">PSPPH_0196</t>
  </si>
  <si>
    <t xml:space="preserve">ATCGCTGGTGATGACAGTCT</t>
  </si>
  <si>
    <t xml:space="preserve">TAGTATCGCTGGTGATGACAGTCT</t>
  </si>
  <si>
    <t xml:space="preserve">AAACAGACTGTCATCACCAGCGAT</t>
  </si>
  <si>
    <t xml:space="preserve">GTACGGGCCGATGGCCGCAG</t>
  </si>
  <si>
    <t xml:space="preserve">TAGTGTACGGGCCGATGGCCGCAG</t>
  </si>
  <si>
    <t xml:space="preserve">AAACCTGCGGCCATCGGCCCGTAC</t>
  </si>
  <si>
    <t xml:space="preserve">GACGGTATTGCCAGCTTTAA</t>
  </si>
  <si>
    <t xml:space="preserve">TAGTGACGGTATTGCCAGCTTTAA</t>
  </si>
  <si>
    <t xml:space="preserve">AAACTTAAAGCTGGCAATACCGTC</t>
  </si>
  <si>
    <t xml:space="preserve">CGGGTCCAGCGGGATCTGTC</t>
  </si>
  <si>
    <t xml:space="preserve">TAGTCGGGTCCAGCGGGATCTGTC</t>
  </si>
  <si>
    <t xml:space="preserve">AAACGACAGATCCCGCTGGACCCG</t>
  </si>
  <si>
    <t xml:space="preserve">PSPPH_0197</t>
  </si>
  <si>
    <t xml:space="preserve">spoT</t>
  </si>
  <si>
    <t xml:space="preserve">GAGGGCGTCTATGCTCGGCA</t>
  </si>
  <si>
    <t xml:space="preserve">TAGTGAGGGCGTCTATGCTCGGCA</t>
  </si>
  <si>
    <t xml:space="preserve">AAACTGCCGAGCATAGACGCCCTC</t>
  </si>
  <si>
    <t xml:space="preserve">GAGGTAGGCCGACAGTCTTT</t>
  </si>
  <si>
    <t xml:space="preserve">TAGTGAGGTAGGCCGACAGTCTTT</t>
  </si>
  <si>
    <t xml:space="preserve">AAACAAAGACTGTCGGCCTACCTC</t>
  </si>
  <si>
    <t xml:space="preserve">CTCGGCGCACCAGGTTGACC</t>
  </si>
  <si>
    <t xml:space="preserve">TAGTCTCGGCGCACCAGGTTGACC</t>
  </si>
  <si>
    <t xml:space="preserve">AAACGGTCAACCTGGTGCGCCGAG</t>
  </si>
  <si>
    <t xml:space="preserve">TTGGCCATCGTGGGCTTGTT</t>
  </si>
  <si>
    <t xml:space="preserve">TAGTTTGGCCATCGTGGGCTTGTT</t>
  </si>
  <si>
    <t xml:space="preserve">AAACAACAAGCCCACGATGGCCAA</t>
  </si>
  <si>
    <t xml:space="preserve">PSPPH_0198</t>
  </si>
  <si>
    <t xml:space="preserve">rpoZ</t>
  </si>
  <si>
    <t xml:space="preserve">CGGACTCGATAGTTTACAAG</t>
  </si>
  <si>
    <t xml:space="preserve">TAGTCGGACTCGATAGTTTACAAG</t>
  </si>
  <si>
    <t xml:space="preserve">AAACCTTGTAAACTATCGAGTCCG</t>
  </si>
  <si>
    <t xml:space="preserve">GCGATGCCCGGATGGGCGAG</t>
  </si>
  <si>
    <t xml:space="preserve">TAGTGCGATGCCCGGATGGGCGAG</t>
  </si>
  <si>
    <t xml:space="preserve">AAACCTCGCCCATCCGGGCATCGC</t>
  </si>
  <si>
    <t xml:space="preserve">GGTATTCCTCGTAGCAAATG</t>
  </si>
  <si>
    <t xml:space="preserve">TAGTGGTATTCCTCGTAGCAAATG</t>
  </si>
  <si>
    <t xml:space="preserve">AAACCATTTGCTACGAGGAATACC</t>
  </si>
  <si>
    <t xml:space="preserve">TCAACGGTTACGCGGGCCAT</t>
  </si>
  <si>
    <t xml:space="preserve">TAGTTCAACGGTTACGCGGGCCAT</t>
  </si>
  <si>
    <t xml:space="preserve">AAACATGGCCCGCGTAACCGTTGA</t>
  </si>
  <si>
    <t xml:space="preserve">PSPPH_0199</t>
  </si>
  <si>
    <t xml:space="preserve">gmk</t>
  </si>
  <si>
    <t xml:space="preserve">CCAGTGATATGGGTCATGTC</t>
  </si>
  <si>
    <t xml:space="preserve">TAGTCCAGTGATATGGGTCATGTC</t>
  </si>
  <si>
    <t xml:space="preserve">AAACGACATGACCCATATCACTGG</t>
  </si>
  <si>
    <t xml:space="preserve">CGGGGCGGAAATGATATACA</t>
  </si>
  <si>
    <t xml:space="preserve">TAGTCGGGGCGGAAATGATATACA</t>
  </si>
  <si>
    <t xml:space="preserve">AAACTGTATATCATTTCCGCCCCG</t>
  </si>
  <si>
    <t xml:space="preserve">CAGACTGGTCTTGCCCGCGC</t>
  </si>
  <si>
    <t xml:space="preserve">TAGTCAGACTGGTCTTGCCCGCGC</t>
  </si>
  <si>
    <t xml:space="preserve">AAACGCGCGGGCAAGACCAGTCTG</t>
  </si>
  <si>
    <t xml:space="preserve">CTCTTGCTGGGCGTCCATCA</t>
  </si>
  <si>
    <t xml:space="preserve">TAGTCTCTTGCTGGGCGTCCATCA</t>
  </si>
  <si>
    <t xml:space="preserve">AAACTGATGGACGCCCAGCAAGAG</t>
  </si>
  <si>
    <t xml:space="preserve">PSPPH_0200</t>
  </si>
  <si>
    <t xml:space="preserve">GCAGTCATGCTGTGCACCAT</t>
  </si>
  <si>
    <t xml:space="preserve">TAGTGCAGTCATGCTGTGCACCAT</t>
  </si>
  <si>
    <t xml:space="preserve">AAACATGGTGCACAGCATGACTGC</t>
  </si>
  <si>
    <t xml:space="preserve">GGCTCGCTCTACGCGGGCAA</t>
  </si>
  <si>
    <t xml:space="preserve">TAGTGGCTCGCTCTACGCGGGCAA</t>
  </si>
  <si>
    <t xml:space="preserve">AAACTTGCCCGCGTAGAGCGAGCC</t>
  </si>
  <si>
    <t xml:space="preserve">GCTCAGTGTGCCTTGGGCAC</t>
  </si>
  <si>
    <t xml:space="preserve">TAGTGCTCAGTGTGCCTTGGGCAC</t>
  </si>
  <si>
    <t xml:space="preserve">AAACGTGCCCAAGGCACACTGAGC</t>
  </si>
  <si>
    <t xml:space="preserve">GCAGGTGCGGCTCCAGATAG</t>
  </si>
  <si>
    <t xml:space="preserve">TAGTGCAGGTGCGGCTCCAGATAG</t>
  </si>
  <si>
    <t xml:space="preserve">AAACCTATCTGGAGCCGCACCTGC</t>
  </si>
  <si>
    <t xml:space="preserve">PSPPH_0201</t>
  </si>
  <si>
    <t xml:space="preserve">rph</t>
  </si>
  <si>
    <t xml:space="preserve">GACGCTCTGGCGTGATCGCA</t>
  </si>
  <si>
    <t xml:space="preserve">TAGTGACGCTCTGGCGTGATCGCA</t>
  </si>
  <si>
    <t xml:space="preserve">AAACTGCGATCACGCCAGAGCGTC</t>
  </si>
  <si>
    <t xml:space="preserve">TTGCTACGAACAGCAGGCTC</t>
  </si>
  <si>
    <t xml:space="preserve">TAGTTTGCTACGAACAGCAGGCTC</t>
  </si>
  <si>
    <t xml:space="preserve">AAACGAGCCTGCTGTTCGTAGCAA</t>
  </si>
  <si>
    <t xml:space="preserve">TAGAGGTCACAGCTGCCGCT</t>
  </si>
  <si>
    <t xml:space="preserve">TAGTTAGAGGTCACAGCTGCCGCT</t>
  </si>
  <si>
    <t xml:space="preserve">AAACAGCGGCAGCTGTGACCTCTA</t>
  </si>
  <si>
    <t xml:space="preserve">TACTGAGACGGAAAACTGCT</t>
  </si>
  <si>
    <t xml:space="preserve">TAGTTACTGAGACGGAAAACTGCT</t>
  </si>
  <si>
    <t xml:space="preserve">AAACAGCAGTTTTCCGTCTCAGTA</t>
  </si>
  <si>
    <t xml:space="preserve">PSPPH_0202</t>
  </si>
  <si>
    <t xml:space="preserve">CTTTGGGGCGGTTTGCTGAA</t>
  </si>
  <si>
    <t xml:space="preserve">TAGTCTTTGGGGCGGTTTGCTGAA</t>
  </si>
  <si>
    <t xml:space="preserve">AAACTTCAGCAAACCGCCCCAAAG</t>
  </si>
  <si>
    <t xml:space="preserve">AGTGACAGAACATCGCCCAC</t>
  </si>
  <si>
    <t xml:space="preserve">TAGTAGTGACAGAACATCGCCCAC</t>
  </si>
  <si>
    <t xml:space="preserve">AAACGTGGGCGATGTTCTGTCACT</t>
  </si>
  <si>
    <t xml:space="preserve">GCCGAACGGAAACATCAGTC</t>
  </si>
  <si>
    <t xml:space="preserve">TAGTGCCGAACGGAAACATCAGTC</t>
  </si>
  <si>
    <t xml:space="preserve">AAACGACTGATGTTTCCGTTCGGC</t>
  </si>
  <si>
    <t xml:space="preserve">TCAACTGCCAGATAATCAGT</t>
  </si>
  <si>
    <t xml:space="preserve">TAGTTCAACTGCCAGATAATCAGT</t>
  </si>
  <si>
    <t xml:space="preserve">AAACACTGATTATCTGGCAGTTGA</t>
  </si>
  <si>
    <t xml:space="preserve">PSPPH_0203</t>
  </si>
  <si>
    <t xml:space="preserve">GTCCTGTAAGCAGATGACGT</t>
  </si>
  <si>
    <t xml:space="preserve">TAGTGTCCTGTAAGCAGATGACGT</t>
  </si>
  <si>
    <t xml:space="preserve">AAACACGTCATCTGCTTACAGGAC</t>
  </si>
  <si>
    <t xml:space="preserve">CAGTTCAAAGGTGGAGGCGC</t>
  </si>
  <si>
    <t xml:space="preserve">TAGTCAGTTCAAAGGTGGAGGCGC</t>
  </si>
  <si>
    <t xml:space="preserve">AAACGCGCCTCCACCTTTGAACTG</t>
  </si>
  <si>
    <t xml:space="preserve">TAACCGTCCAGCTGAAAGGC</t>
  </si>
  <si>
    <t xml:space="preserve">TAGTTAACCGTCCAGCTGAAAGGC</t>
  </si>
  <si>
    <t xml:space="preserve">AAACGCCTTTCAGCTGGACGGTTA</t>
  </si>
  <si>
    <t xml:space="preserve">CCTCGGCTTCGCAGGCATAG</t>
  </si>
  <si>
    <t xml:space="preserve">TAGTCCTCGGCTTCGCAGGCATAG</t>
  </si>
  <si>
    <t xml:space="preserve">AAACCTATGCCTGCGAAGCCGAGG</t>
  </si>
  <si>
    <t xml:space="preserve">PSPPH_0204</t>
  </si>
  <si>
    <t xml:space="preserve">pyrE</t>
  </si>
  <si>
    <t xml:space="preserve">ATCGCGCTGATACGCTTGCA</t>
  </si>
  <si>
    <t xml:space="preserve">TAGTATCGCGCTGATACGCTTGCA</t>
  </si>
  <si>
    <t xml:space="preserve">AAACTGCAAGCGTATCAGCGCGAT</t>
  </si>
  <si>
    <t xml:space="preserve">GCGCAGAACACCGCGATCGA</t>
  </si>
  <si>
    <t xml:space="preserve">TAGTGCGCAGAACACCGCGATCGA</t>
  </si>
  <si>
    <t xml:space="preserve">AAACTCGATCGCGGTGTTCTGCGC</t>
  </si>
  <si>
    <t xml:space="preserve">GAAGTACGGGCTGGTGCGCC</t>
  </si>
  <si>
    <t xml:space="preserve">TAGTGAAGTACGGGCTGGTGCGCC</t>
  </si>
  <si>
    <t xml:space="preserve">AAACGGCGCACCAGCCCGTACTTC</t>
  </si>
  <si>
    <t xml:space="preserve">CAGTTGTGCCAGTGCGGAAC</t>
  </si>
  <si>
    <t xml:space="preserve">TAGTCAGTTGTGCCAGTGCGGAAC</t>
  </si>
  <si>
    <t xml:space="preserve">AAACGTTCCGCACTGGCACAACTG</t>
  </si>
  <si>
    <t xml:space="preserve">PSPPH_0205</t>
  </si>
  <si>
    <t xml:space="preserve">TCCGTGCCGCTGACTGCCAT</t>
  </si>
  <si>
    <t xml:space="preserve">TAGTTCCGTGCCGCTGACTGCCAT</t>
  </si>
  <si>
    <t xml:space="preserve">AAACATGGCAGTCAGCGGCACGGA</t>
  </si>
  <si>
    <t xml:space="preserve">TCAGCCGCTTGAGCGAGCAA</t>
  </si>
  <si>
    <t xml:space="preserve">TAGTTCAGCCGCTTGAGCGAGCAA</t>
  </si>
  <si>
    <t xml:space="preserve">AAACTTGCTCGCTCAAGCGGCTGA</t>
  </si>
  <si>
    <t xml:space="preserve">TAGCGATAAAGTCGAGCTTC</t>
  </si>
  <si>
    <t xml:space="preserve">TAGTTAGCGATAAAGTCGAGCTTC</t>
  </si>
  <si>
    <t xml:space="preserve">AAACGAAGCTCGACTTTATCGCTA</t>
  </si>
  <si>
    <t xml:space="preserve">TATCGATCACGGTCACGCCA</t>
  </si>
  <si>
    <t xml:space="preserve">TAGTTATCGATCACGGTCACGCCA</t>
  </si>
  <si>
    <t xml:space="preserve">AAACTGGCGTGACCGTGATCGATA</t>
  </si>
  <si>
    <t xml:space="preserve">PSPPH_0206</t>
  </si>
  <si>
    <t xml:space="preserve">argB</t>
  </si>
  <si>
    <t xml:space="preserve">AGAGGCGGCATCACGTTCGA</t>
  </si>
  <si>
    <t xml:space="preserve">TAGTAGAGGCGGCATCACGTTCGA</t>
  </si>
  <si>
    <t xml:space="preserve">AAACTCGAACGTGATGCCGCCTCT</t>
  </si>
  <si>
    <t xml:space="preserve">CAGCGCTTCGGAAAGGACCT</t>
  </si>
  <si>
    <t xml:space="preserve">TAGTCAGCGCTTCGGAAAGGACCT</t>
  </si>
  <si>
    <t xml:space="preserve">AAACAGGTCCTTTCCGAAGCGCTG</t>
  </si>
  <si>
    <t xml:space="preserve">CCGACAAAGCGGCGAATGTA</t>
  </si>
  <si>
    <t xml:space="preserve">TAGTCCGACAAAGCGGCGAATGTA</t>
  </si>
  <si>
    <t xml:space="preserve">AAACTACATTCGCCGCTTTGTCGG</t>
  </si>
  <si>
    <t xml:space="preserve">TTTCAGCTCTTCGCTCTCCA</t>
  </si>
  <si>
    <t xml:space="preserve">TAGTTTTCAGCTCTTCGCTCTCCA</t>
  </si>
  <si>
    <t xml:space="preserve">AAACTGGAGAGCGAAGAGCTGAAA</t>
  </si>
  <si>
    <t xml:space="preserve">PSPPH_0207</t>
  </si>
  <si>
    <t xml:space="preserve">algC</t>
  </si>
  <si>
    <t xml:space="preserve">GGTTGGGTGCCACGGATGCT</t>
  </si>
  <si>
    <t xml:space="preserve">TAGTGGTTGGGTGCCACGGATGCT</t>
  </si>
  <si>
    <t xml:space="preserve">AAACAGCATCCGTGGCACCCAACC</t>
  </si>
  <si>
    <t xml:space="preserve">CGCGGAAAATAGTCTCGGGA</t>
  </si>
  <si>
    <t xml:space="preserve">TAGTCGCGGAAAATAGTCTCGGGA</t>
  </si>
  <si>
    <t xml:space="preserve">AAACTCCCGAGACTATTTTCCGCG</t>
  </si>
  <si>
    <t xml:space="preserve">GACCACGCCACGGATGTCGT</t>
  </si>
  <si>
    <t xml:space="preserve">TAGTGACCACGCCACGGATGTCGT</t>
  </si>
  <si>
    <t xml:space="preserve">AAACACGACATCCGTGGCGTGGTC</t>
  </si>
  <si>
    <t xml:space="preserve">GGCTTTCGGAGCCGATGGCG</t>
  </si>
  <si>
    <t xml:space="preserve">TAGTGGCTTTCGGAGCCGATGGCG</t>
  </si>
  <si>
    <t xml:space="preserve">AAACCGCCATCGGCTCCGAAAGCC</t>
  </si>
  <si>
    <t xml:space="preserve">PSPPH_0208</t>
  </si>
  <si>
    <t xml:space="preserve">dut</t>
  </si>
  <si>
    <t xml:space="preserve">AATGCGAGGGTCGAGGATCT</t>
  </si>
  <si>
    <t xml:space="preserve">TAGTAATGCGAGGGTCGAGGATCT</t>
  </si>
  <si>
    <t xml:space="preserve">AAACAGATCCTCGACCCTCGCATT</t>
  </si>
  <si>
    <t xml:space="preserve">ACAGTGGCGTAGGCCGGGAG</t>
  </si>
  <si>
    <t xml:space="preserve">TAGTACAGTGGCGTAGGCCGGGAG</t>
  </si>
  <si>
    <t xml:space="preserve">AAACCTCCCGGCCTACGCCACTGT</t>
  </si>
  <si>
    <t xml:space="preserve">TGAGCATGGCACGCAGGTCC</t>
  </si>
  <si>
    <t xml:space="preserve">TAGTTGAGCATGGCACGCAGGTCC</t>
  </si>
  <si>
    <t xml:space="preserve">AAACGGACCTGCGTGCCATGCTCA</t>
  </si>
  <si>
    <t xml:space="preserve">GGTCTGGCCGGGCTCGAGGA</t>
  </si>
  <si>
    <t xml:space="preserve">TAGTGGTCTGGCCGGGCTCGAGGA</t>
  </si>
  <si>
    <t xml:space="preserve">AAACTCCTCGAGCCCGGCCAGACC</t>
  </si>
  <si>
    <t xml:space="preserve">PSPPH_0209</t>
  </si>
  <si>
    <t xml:space="preserve">coaBC</t>
  </si>
  <si>
    <t xml:space="preserve">GCTGCATAGACCTGCCTTTT</t>
  </si>
  <si>
    <t xml:space="preserve">TAGTGCTGCATAGACCTGCCTTTT</t>
  </si>
  <si>
    <t xml:space="preserve">AAACAAAAGGCAGGTCTATGCAGC</t>
  </si>
  <si>
    <t xml:space="preserve">GACCAGCTCGGCGCTCTTGT</t>
  </si>
  <si>
    <t xml:space="preserve">TAGTGACCAGCTCGGCGCTCTTGT</t>
  </si>
  <si>
    <t xml:space="preserve">AAACACAAGAGCGCCGAGCTGGTC</t>
  </si>
  <si>
    <t xml:space="preserve">CAGCGCCCTGATCGCGCAGG</t>
  </si>
  <si>
    <t xml:space="preserve">TAGTCAGCGCCCTGATCGCGCAGG</t>
  </si>
  <si>
    <t xml:space="preserve">AAACCCTGCGCGATCAGGGCGCTG</t>
  </si>
  <si>
    <t xml:space="preserve">AATGAACTCTGCTCCGCCTT</t>
  </si>
  <si>
    <t xml:space="preserve">TAGTAATGAACTCTGCTCCGCCTT</t>
  </si>
  <si>
    <t xml:space="preserve">AAACAAGGCGGAGCAGAGTTCATT</t>
  </si>
  <si>
    <t xml:space="preserve">PSPPH_0210</t>
  </si>
  <si>
    <t xml:space="preserve">radC</t>
  </si>
  <si>
    <t xml:space="preserve">TTCCCGCGGGCGTTCGGCCG</t>
  </si>
  <si>
    <t xml:space="preserve">TAGTTTCCCGCGGGCGTTCGGCCG</t>
  </si>
  <si>
    <t xml:space="preserve">AAACCGGCCGAACGCCCGCGGGAA</t>
  </si>
  <si>
    <t xml:space="preserve">CCAGCAACTCGGCGTCGGAA</t>
  </si>
  <si>
    <t xml:space="preserve">TAGTCCAGCAACTCGGCGTCGGAA</t>
  </si>
  <si>
    <t xml:space="preserve">AAACTTCCGACGCCGAGTTGCTGG</t>
  </si>
  <si>
    <t xml:space="preserve">AAGGTCTACGGCGCTTTTTC</t>
  </si>
  <si>
    <t xml:space="preserve">TAGTAAGGTCTACGGCGCTTTTTC</t>
  </si>
  <si>
    <t xml:space="preserve">AAACGAAAAAGCGCCGTAGACCTT</t>
  </si>
  <si>
    <t xml:space="preserve">GAATTGATTCAGAAGATGAC</t>
  </si>
  <si>
    <t xml:space="preserve">TAGTGAATTGATTCAGAAGATGAC</t>
  </si>
  <si>
    <t xml:space="preserve">AAACGTCATCTTCTGAATCAATTC</t>
  </si>
  <si>
    <t xml:space="preserve">PSPPH_0211</t>
  </si>
  <si>
    <t xml:space="preserve">AGGGAGTGCAGCTAGGCGCA</t>
  </si>
  <si>
    <t xml:space="preserve">TAGTAGGGAGTGCAGCTAGGCGCA</t>
  </si>
  <si>
    <t xml:space="preserve">AAACTGCGCCTAGCTGCACTCCCT</t>
  </si>
  <si>
    <t xml:space="preserve">AGCAACGGAACAAGCAAAAA</t>
  </si>
  <si>
    <t xml:space="preserve">TAGTAGCAACGGAACAAGCAAAAA</t>
  </si>
  <si>
    <t xml:space="preserve">AAACTTTTTGCTTGTTCCGTTGCT</t>
  </si>
  <si>
    <t xml:space="preserve">CTCGACGCCTGGGCGGCAAT</t>
  </si>
  <si>
    <t xml:space="preserve">TAGTCTCGACGCCTGGGCGGCAAT</t>
  </si>
  <si>
    <t xml:space="preserve">AAACATTGCCGCCCAGGCGTCGAG</t>
  </si>
  <si>
    <t xml:space="preserve">TGGCTTCGGTACAGACCACA</t>
  </si>
  <si>
    <t xml:space="preserve">TAGTTGGCTTCGGTACAGACCACA</t>
  </si>
  <si>
    <t xml:space="preserve">AAACTGTGGTCTGTACCGAAGCCA</t>
  </si>
  <si>
    <t xml:space="preserve">PSPPH_0212</t>
  </si>
  <si>
    <t xml:space="preserve">rpmB</t>
  </si>
  <si>
    <t xml:space="preserve">CCCAGTCACCGGACCCTTAC</t>
  </si>
  <si>
    <t xml:space="preserve">TAGTCCCAGTCACCGGACCCTTAC</t>
  </si>
  <si>
    <t xml:space="preserve">AAACGTAAGGGTCCGGTGACTGGG</t>
  </si>
  <si>
    <t xml:space="preserve">ACGGGTTTTGTTGTTTGCGT</t>
  </si>
  <si>
    <t xml:space="preserve">TAGTACGGGTTTTGTTGTTTGCGT</t>
  </si>
  <si>
    <t xml:space="preserve">AAACACGCAAACAACAAAACCCGT</t>
  </si>
  <si>
    <t xml:space="preserve">GGTGATGCTGCAGGTTTGGC</t>
  </si>
  <si>
    <t xml:space="preserve">TAGTGGTGATGCTGCAGGTTTGGC</t>
  </si>
  <si>
    <t xml:space="preserve">AAACGCCAAACCTGCAGCATCACC</t>
  </si>
  <si>
    <t xml:space="preserve">TCTCGCCTTCAACCCAGAAG</t>
  </si>
  <si>
    <t xml:space="preserve">TAGTTCTCGCCTTCAACCCAGAAG</t>
  </si>
  <si>
    <t xml:space="preserve">AAACCTTCTGGGTTGAAGGCGAGA</t>
  </si>
  <si>
    <t xml:space="preserve">PSPPH_0213</t>
  </si>
  <si>
    <t xml:space="preserve">rpmG</t>
  </si>
  <si>
    <t xml:space="preserve">TACCAGCGCTCGACACCAAA</t>
  </si>
  <si>
    <t xml:space="preserve">TAGTTACCAGCGCTCGACACCAAA</t>
  </si>
  <si>
    <t xml:space="preserve">AAACTTTGGTGTCGAGCGCTGGTA</t>
  </si>
  <si>
    <t xml:space="preserve">TCTTGTCGGTGGTGTAGAAA</t>
  </si>
  <si>
    <t xml:space="preserve">TAGTTCTTGTCGGTGGTGTAGAAA</t>
  </si>
  <si>
    <t xml:space="preserve">AAACTTTCTACACCACCGACAAGA</t>
  </si>
  <si>
    <t xml:space="preserve">TTTGATTTCGATTTTATCCG</t>
  </si>
  <si>
    <t xml:space="preserve">TAGTTTTGATTTCGATTTTATCCG</t>
  </si>
  <si>
    <t xml:space="preserve">AAACCGGATAAAATCGAAATCAAA</t>
  </si>
  <si>
    <t xml:space="preserve">ATCACGTGCTTGCGTACAAC</t>
  </si>
  <si>
    <t xml:space="preserve">TAGTATCACGTGCTTGCGTACAAC</t>
  </si>
  <si>
    <t xml:space="preserve">AAACGTTGTACGCAAGCACGTGAT</t>
  </si>
  <si>
    <t xml:space="preserve">PSPPH_0214</t>
  </si>
  <si>
    <t xml:space="preserve">AGGGCGATAGTGCTCGGCGG</t>
  </si>
  <si>
    <t xml:space="preserve">TAGTAGGGCGATAGTGCTCGGCGG</t>
  </si>
  <si>
    <t xml:space="preserve">AAACCCGCCGAGCACTATCGCCCT</t>
  </si>
  <si>
    <t xml:space="preserve">TTAAAGACCTTTTCCGGTGC</t>
  </si>
  <si>
    <t xml:space="preserve">TAGTTTAAAGACCTTTTCCGGTGC</t>
  </si>
  <si>
    <t xml:space="preserve">AAACGCACCGGAAAAGGTCTTTAA</t>
  </si>
  <si>
    <t xml:space="preserve">TGGTTGTAGAGGGTTTGTGC</t>
  </si>
  <si>
    <t xml:space="preserve">TAGTTGGTTGTAGAGGGTTTGTGC</t>
  </si>
  <si>
    <t xml:space="preserve">AAACGCACAAACCCTCTACAACCA</t>
  </si>
  <si>
    <t xml:space="preserve">GTCCGCAGGGGCTGTTGTAG</t>
  </si>
  <si>
    <t xml:space="preserve">TAGTGTCCGCAGGGGCTGTTGTAG</t>
  </si>
  <si>
    <t xml:space="preserve">AAACCTACAACAGCCCCTGCGGAC</t>
  </si>
  <si>
    <t xml:space="preserve">PSPPH_0215</t>
  </si>
  <si>
    <t xml:space="preserve">CCAGTCAGCACGAGTCAGGG</t>
  </si>
  <si>
    <t xml:space="preserve">TAGTCCAGTCAGCACGAGTCAGGG</t>
  </si>
  <si>
    <t xml:space="preserve">AAACCCCTGACTCGTGCTGACTGG</t>
  </si>
  <si>
    <t xml:space="preserve">GCCTTCGATCTTCAAATGCT</t>
  </si>
  <si>
    <t xml:space="preserve">TAGTGCCTTCGATCTTCAAATGCT</t>
  </si>
  <si>
    <t xml:space="preserve">AAACAGCATTTGAAGATCGAAGGC</t>
  </si>
  <si>
    <t xml:space="preserve">ATTCACCTTGAATGAAGGCA</t>
  </si>
  <si>
    <t xml:space="preserve">TAGTATTCACCTTGAATGAAGGCA</t>
  </si>
  <si>
    <t xml:space="preserve">AAACTGCCTTCATTCAAGGTGAAT</t>
  </si>
  <si>
    <t xml:space="preserve">CGTCTCGCCGGAGGAGGCTG</t>
  </si>
  <si>
    <t xml:space="preserve">TAGTCGTCTCGCCGGAGGAGGCTG</t>
  </si>
  <si>
    <t xml:space="preserve">AAACCAGCCTCCTCCGGCGAGACG</t>
  </si>
  <si>
    <t xml:space="preserve">PSPPH_0216</t>
  </si>
  <si>
    <t xml:space="preserve">GCCCAACACGGACGCCAGCA</t>
  </si>
  <si>
    <t xml:space="preserve">TAGTGCCCAACACGGACGCCAGCA</t>
  </si>
  <si>
    <t xml:space="preserve">AAACTGCTGGCGTCCGTGTTGGGC</t>
  </si>
  <si>
    <t xml:space="preserve">GCCAGACGCAATGAAACCAG</t>
  </si>
  <si>
    <t xml:space="preserve">TAGTGCCAGACGCAATGAAACCAG</t>
  </si>
  <si>
    <t xml:space="preserve">AAACCTGGTTTCATTGCGTCTGGC</t>
  </si>
  <si>
    <t xml:space="preserve">CATCGCCGCCATGATGCCAA</t>
  </si>
  <si>
    <t xml:space="preserve">TAGTCATCGCCGCCATGATGCCAA</t>
  </si>
  <si>
    <t xml:space="preserve">AAACTTGGCATCATGGCGGCGATG</t>
  </si>
  <si>
    <t xml:space="preserve">CCCACCAGCACACCCACCGC</t>
  </si>
  <si>
    <t xml:space="preserve">TAGTCCCACCAGCACACCCACCGC</t>
  </si>
  <si>
    <t xml:space="preserve">AAACGCGGTGGGTGTGCTGGTGGG</t>
  </si>
  <si>
    <t xml:space="preserve">PSPPH_0217</t>
  </si>
  <si>
    <t xml:space="preserve">AACCAGCAGGCAAAAGGGCA</t>
  </si>
  <si>
    <t xml:space="preserve">TAGTAACCAGCAGGCAAAAGGGCA</t>
  </si>
  <si>
    <t xml:space="preserve">AAACTGCCCTTTTGCCTGCTGGTT</t>
  </si>
  <si>
    <t xml:space="preserve">CATGGCCTGGCTTGGCTCGC</t>
  </si>
  <si>
    <t xml:space="preserve">TAGTCATGGCCTGGCTTGGCTCGC</t>
  </si>
  <si>
    <t xml:space="preserve">AAACGCGAGCCAAGCCAGGCCATG</t>
  </si>
  <si>
    <t xml:space="preserve">CCGAAAGCAGAACTCGAGGG</t>
  </si>
  <si>
    <t xml:space="preserve">TAGTCCGAAAGCAGAACTCGAGGG</t>
  </si>
  <si>
    <t xml:space="preserve">AAACCCCTCGAGTTCTGCTTTCGG</t>
  </si>
  <si>
    <t xml:space="preserve">TCGCCATGGCTTGAATAGAG</t>
  </si>
  <si>
    <t xml:space="preserve">TAGTTCGCCATGGCTTGAATAGAG</t>
  </si>
  <si>
    <t xml:space="preserve">AAACCTCTATTCAAGCCATGGCGA</t>
  </si>
  <si>
    <t xml:space="preserve">PSPPH_0218</t>
  </si>
  <si>
    <t xml:space="preserve">GCGAGCCGAGCAGTTCGGCG</t>
  </si>
  <si>
    <t xml:space="preserve">TAGTGCGAGCCGAGCAGTTCGGCG</t>
  </si>
  <si>
    <t xml:space="preserve">AAACCGCCGAACTGCTCGGCTCGC</t>
  </si>
  <si>
    <t xml:space="preserve">ATGGCAGGCGGTCGCCAGGG</t>
  </si>
  <si>
    <t xml:space="preserve">TAGTATGGCAGGCGGTCGCCAGGG</t>
  </si>
  <si>
    <t xml:space="preserve">AAACCCCTGGCGACCGCCTGCCAT</t>
  </si>
  <si>
    <t xml:space="preserve">ACGCTTGCTGCACGGTGCTC</t>
  </si>
  <si>
    <t xml:space="preserve">TAGTACGCTTGCTGCACGGTGCTC</t>
  </si>
  <si>
    <t xml:space="preserve">AAACGAGCACCGTGCAGCAAGCGT</t>
  </si>
  <si>
    <t xml:space="preserve">ATTTGGGTTTCGGCGCTGCC</t>
  </si>
  <si>
    <t xml:space="preserve">TAGTATTTGGGTTTCGGCGCTGCC</t>
  </si>
  <si>
    <t xml:space="preserve">AAACGGCAGCGCCGAAACCCAAAT</t>
  </si>
  <si>
    <t xml:space="preserve">PSPPH_0219</t>
  </si>
  <si>
    <t xml:space="preserve">TGGGTCTATGATGAAACGAA</t>
  </si>
  <si>
    <t xml:space="preserve">TAGTTGGGTCTATGATGAAACGAA</t>
  </si>
  <si>
    <t xml:space="preserve">AAACTTCGTTTCATCATAGACCCA</t>
  </si>
  <si>
    <t xml:space="preserve">TCCCTCATCCTGGGTGGGTG</t>
  </si>
  <si>
    <t xml:space="preserve">TAGTTCCCTCATCCTGGGTGGGTG</t>
  </si>
  <si>
    <t xml:space="preserve">AAACCACCCACCCAGGATGAGGGA</t>
  </si>
  <si>
    <t xml:space="preserve">ATTCCTGGCTGTGAAGCGCA</t>
  </si>
  <si>
    <t xml:space="preserve">TAGTATTCCTGGCTGTGAAGCGCA</t>
  </si>
  <si>
    <t xml:space="preserve">AAACTGCGCTTCACAGCCAGGAAT</t>
  </si>
  <si>
    <t xml:space="preserve">CGGACCGTTCTGACCGCAGT</t>
  </si>
  <si>
    <t xml:space="preserve">TAGTCGGACCGTTCTGACCGCAGT</t>
  </si>
  <si>
    <t xml:space="preserve">AAACACTGCGGTCAGAACGGTCCG</t>
  </si>
  <si>
    <t xml:space="preserve">PSPPH_0220</t>
  </si>
  <si>
    <t xml:space="preserve">AAGAGTCGGGTGCTGAACGC</t>
  </si>
  <si>
    <t xml:space="preserve">TAGTAAGAGTCGGGTGCTGAACGC</t>
  </si>
  <si>
    <t xml:space="preserve">AAACGCGTTCAGCACCCGACTCTT</t>
  </si>
  <si>
    <t xml:space="preserve">CGTAGTAGGAGGCAACATGC</t>
  </si>
  <si>
    <t xml:space="preserve">TAGTCGTAGTAGGAGGCAACATGC</t>
  </si>
  <si>
    <t xml:space="preserve">AAACGCATGTTGCCTCCTACTACG</t>
  </si>
  <si>
    <t xml:space="preserve">CGGTTGCGGATGGCTGCTGG</t>
  </si>
  <si>
    <t xml:space="preserve">TAGTCGGTTGCGGATGGCTGCTGG</t>
  </si>
  <si>
    <t xml:space="preserve">AAACCCAGCAGCCATCCGCAACCG</t>
  </si>
  <si>
    <t xml:space="preserve">CCTTGCAGCGCAGGGTAATC</t>
  </si>
  <si>
    <t xml:space="preserve">TAGTCCTTGCAGCGCAGGGTAATC</t>
  </si>
  <si>
    <t xml:space="preserve">AAACGATTACCCTGCGCTGCAAGG</t>
  </si>
  <si>
    <t xml:space="preserve">PSPPH_0221</t>
  </si>
  <si>
    <t xml:space="preserve">CTGAGTTTGCCCCAGTTGGC</t>
  </si>
  <si>
    <t xml:space="preserve">TAGTCTGAGTTTGCCCCAGTTGGC</t>
  </si>
  <si>
    <t xml:space="preserve">AAACGCCAACTGGGGCAAACTCAG</t>
  </si>
  <si>
    <t xml:space="preserve">GCAGATCACTTATTTTCTGA</t>
  </si>
  <si>
    <t xml:space="preserve">TAGTGCAGATCACTTATTTTCTGA</t>
  </si>
  <si>
    <t xml:space="preserve">AAACTCAGAAAATAAGTGATCTGC</t>
  </si>
  <si>
    <t xml:space="preserve">ACTCGAACGAGGGAATCTGG</t>
  </si>
  <si>
    <t xml:space="preserve">TAGTACTCGAACGAGGGAATCTGG</t>
  </si>
  <si>
    <t xml:space="preserve">AAACCCAGATTCCCTCGTTCGAGT</t>
  </si>
  <si>
    <t xml:space="preserve">CCGCAGCAGTCGTGGCAGCC</t>
  </si>
  <si>
    <t xml:space="preserve">TAGTCCGCAGCAGTCGTGGCAGCC</t>
  </si>
  <si>
    <t xml:space="preserve">AAACGGCTGCCACGACTGCTGCGG</t>
  </si>
  <si>
    <t xml:space="preserve">PSPPH_0222</t>
  </si>
  <si>
    <t xml:space="preserve">lrp</t>
  </si>
  <si>
    <t xml:space="preserve">GACTGGTGTTGAGTGCGCAT</t>
  </si>
  <si>
    <t xml:space="preserve">TAGTGACTGGTGTTGAGTGCGCAT</t>
  </si>
  <si>
    <t xml:space="preserve">AAACATGCGCACTCAACACCAGTC</t>
  </si>
  <si>
    <t xml:space="preserve">GGAGGATGCGCAGGATATTG</t>
  </si>
  <si>
    <t xml:space="preserve">TAGTGGAGGATGCGCAGGATATTG</t>
  </si>
  <si>
    <t xml:space="preserve">AAACCAATATCCTGCGCATCCTCC</t>
  </si>
  <si>
    <t xml:space="preserve">ACGAGATACGCCCATCTGCC</t>
  </si>
  <si>
    <t xml:space="preserve">TAGTACGAGATACGCCCATCTGCC</t>
  </si>
  <si>
    <t xml:space="preserve">AAACGGCAGATGGGCGTATCTCGT</t>
  </si>
  <si>
    <t xml:space="preserve">GCCGACGCGCTCGCCCAGTT</t>
  </si>
  <si>
    <t xml:space="preserve">TAGTGCCGACGCGCTCGCCCAGTT</t>
  </si>
  <si>
    <t xml:space="preserve">AAACAACTGGGCGAGCGCGTCGGC</t>
  </si>
  <si>
    <t xml:space="preserve">PSPPH_0223</t>
  </si>
  <si>
    <t xml:space="preserve">dadA</t>
  </si>
  <si>
    <t xml:space="preserve">TACCGATTACACCACTTCCA</t>
  </si>
  <si>
    <t xml:space="preserve">TAGTTACCGATTACACCACTTCCA</t>
  </si>
  <si>
    <t xml:space="preserve">AAACTGGAAGTGGTGTAATCGGTA</t>
  </si>
  <si>
    <t xml:space="preserve">ACGCGCCAGATAATAAGCAC</t>
  </si>
  <si>
    <t xml:space="preserve">TAGTACGCGCCAGATAATAAGCAC</t>
  </si>
  <si>
    <t xml:space="preserve">AAACGTGCTTATTATCTGGCGCGT</t>
  </si>
  <si>
    <t xml:space="preserve">TACCACGGTCACCTGAAAAC</t>
  </si>
  <si>
    <t xml:space="preserve">TAGTTACCACGGTCACCTGAAAAC</t>
  </si>
  <si>
    <t xml:space="preserve">AAACGTTTTCAGGTGACCGTGGTA</t>
  </si>
  <si>
    <t xml:space="preserve">CCATGGCGGCGGCTGGCTGG</t>
  </si>
  <si>
    <t xml:space="preserve">TAGTCCATGGCGGCGGCTGGCTGG</t>
  </si>
  <si>
    <t xml:space="preserve">AAACCCAGCCAGCCGCCGCCATGG</t>
  </si>
  <si>
    <t xml:space="preserve">PSPPH_0224</t>
  </si>
  <si>
    <t xml:space="preserve">ACAGATAGACGGTGCCGTTG</t>
  </si>
  <si>
    <t xml:space="preserve">TAGTACAGATAGACGGTGCCGTTG</t>
  </si>
  <si>
    <t xml:space="preserve">AAACCAACGGCACCGTCTATCTGT</t>
  </si>
  <si>
    <t xml:space="preserve">GATACTGTTCAAAACCTCGC</t>
  </si>
  <si>
    <t xml:space="preserve">TAGTGATACTGTTCAAAACCTCGC</t>
  </si>
  <si>
    <t xml:space="preserve">AAACGCGAGGTTTTGAACAGTATC</t>
  </si>
  <si>
    <t xml:space="preserve">CAGTGCCGGCCAGGTCGAGC</t>
  </si>
  <si>
    <t xml:space="preserve">TAGTCAGTGCCGGCCAGGTCGAGC</t>
  </si>
  <si>
    <t xml:space="preserve">AAACGCTCGACCTGGCCGGCACTG</t>
  </si>
  <si>
    <t xml:space="preserve">CGCGCAGGCGCGACACCCTT</t>
  </si>
  <si>
    <t xml:space="preserve">TAGTCGCGCAGGCGCGACACCCTT</t>
  </si>
  <si>
    <t xml:space="preserve">AAACAAGGGTGTCGCGCCTGCGCG</t>
  </si>
  <si>
    <t xml:space="preserve">PSPPH_0225</t>
  </si>
  <si>
    <t xml:space="preserve">alr</t>
  </si>
  <si>
    <t xml:space="preserve">AGATCAATTAAGGCGCGGGC</t>
  </si>
  <si>
    <t xml:space="preserve">TAGTAGATCAATTAAGGCGCGGGC</t>
  </si>
  <si>
    <t xml:space="preserve">AAACGCCCGCGCCTTAATTGATCT</t>
  </si>
  <si>
    <t xml:space="preserve">CGCGGTGTTCACGAGCCAGT</t>
  </si>
  <si>
    <t xml:space="preserve">TAGTCGCGGTGTTCACGAGCCAGT</t>
  </si>
  <si>
    <t xml:space="preserve">AAACACTGGCTCGTGAACACCGCG</t>
  </si>
  <si>
    <t xml:space="preserve">CGCACCGTGACCATAGGCAT</t>
  </si>
  <si>
    <t xml:space="preserve">TAGTCGCACCGTGACCATAGGCAT</t>
  </si>
  <si>
    <t xml:space="preserve">AAACATGCCTATGGTCACGGTGCG</t>
  </si>
  <si>
    <t xml:space="preserve">GGCCTGGGCTTCCAGTGCCT</t>
  </si>
  <si>
    <t xml:space="preserve">TAGTGGCCTGGGCTTCCAGTGCCT</t>
  </si>
  <si>
    <t xml:space="preserve">AAACAGGCACTGGAAGCCCAGGCC</t>
  </si>
  <si>
    <t xml:space="preserve">PSPPH_0226</t>
  </si>
  <si>
    <t xml:space="preserve">TGGCGAGTTCACGCTGGGAC</t>
  </si>
  <si>
    <t xml:space="preserve">TAGTTGGCGAGTTCACGCTGGGAC</t>
  </si>
  <si>
    <t xml:space="preserve">AAACGTCCCAGCGTGAACTCGCCA</t>
  </si>
  <si>
    <t xml:space="preserve">GTTGGTCACGCCTGCGCGCT</t>
  </si>
  <si>
    <t xml:space="preserve">TAGTGTTGGTCACGCCTGCGCGCT</t>
  </si>
  <si>
    <t xml:space="preserve">AAACAGCGCGCAGGCGTGACCAAC</t>
  </si>
  <si>
    <t xml:space="preserve">GTTTTTTTCGATCATGGAGA</t>
  </si>
  <si>
    <t xml:space="preserve">TAGTGTTTTTTTCGATCATGGAGA</t>
  </si>
  <si>
    <t xml:space="preserve">AAACTCTCCATGATCGAAAAAAAC</t>
  </si>
  <si>
    <t xml:space="preserve">TGCGCAGCGAGCTGATCGAA</t>
  </si>
  <si>
    <t xml:space="preserve">TAGTTGCGCAGCGAGCTGATCGAA</t>
  </si>
  <si>
    <t xml:space="preserve">AAACTTCGATCAGCTCGCTGCGCA</t>
  </si>
  <si>
    <t xml:space="preserve">PSPPH_0227</t>
  </si>
  <si>
    <t xml:space="preserve">TGCGGTGCTCAGAATCTTCC</t>
  </si>
  <si>
    <t xml:space="preserve">TAGTTGCGGTGCTCAGAATCTTCC</t>
  </si>
  <si>
    <t xml:space="preserve">AAACGGAAGATTCTGAGCACCGCA</t>
  </si>
  <si>
    <t xml:space="preserve">GTCAGGGGCTCGGGCGGTAT</t>
  </si>
  <si>
    <t xml:space="preserve">TAGTGTCAGGGGCTCGGGCGGTAT</t>
  </si>
  <si>
    <t xml:space="preserve">AAACATACCGCCCGAGCCCCTGAC</t>
  </si>
  <si>
    <t xml:space="preserve">GTGACACGCGACGCAATGGG</t>
  </si>
  <si>
    <t xml:space="preserve">TAGTGTGACACGCGACGCAATGGG</t>
  </si>
  <si>
    <t xml:space="preserve">AAACCCCATTGCGTCGCGTGTCAC</t>
  </si>
  <si>
    <t xml:space="preserve">GCGGCCGTGTCACCAGTTTT</t>
  </si>
  <si>
    <t xml:space="preserve">TAGTGCGGCCGTGTCACCAGTTTT</t>
  </si>
  <si>
    <t xml:space="preserve">AAACAAAACTGGTGACACGGCCGC</t>
  </si>
  <si>
    <t xml:space="preserve">PSPPH_0228</t>
  </si>
  <si>
    <t xml:space="preserve">GCACGCTGTCGATCACGTTC</t>
  </si>
  <si>
    <t xml:space="preserve">TAGTGCACGCTGTCGATCACGTTC</t>
  </si>
  <si>
    <t xml:space="preserve">AAACGAACGTGATCGACAGCGTGC</t>
  </si>
  <si>
    <t xml:space="preserve">AATAACAATTCAGGAGAGCT</t>
  </si>
  <si>
    <t xml:space="preserve">TAGTAATAACAATTCAGGAGAGCT</t>
  </si>
  <si>
    <t xml:space="preserve">AAACAGCTCTCCTGAATTGTTATT</t>
  </si>
  <si>
    <t xml:space="preserve">PSPPH_0229</t>
  </si>
  <si>
    <t xml:space="preserve">CCGAAGACCCGCTCCAGAAA</t>
  </si>
  <si>
    <t xml:space="preserve">TAGTCCGAAGACCCGCTCCAGAAA</t>
  </si>
  <si>
    <t xml:space="preserve">AAACTTTCTGGAGCGGGTCTTCGG</t>
  </si>
  <si>
    <t xml:space="preserve">GCAGCTAGAAACTCCAGCTC</t>
  </si>
  <si>
    <t xml:space="preserve">TAGTGCAGCTAGAAACTCCAGCTC</t>
  </si>
  <si>
    <t xml:space="preserve">AAACGAGCTGGAGTTTCTAGCTGC</t>
  </si>
  <si>
    <t xml:space="preserve">TGCTGCACGCGAATGTTGTG</t>
  </si>
  <si>
    <t xml:space="preserve">TAGTTGCTGCACGCGAATGTTGTG</t>
  </si>
  <si>
    <t xml:space="preserve">AAACCACAACATTCGCGTGCAGCA</t>
  </si>
  <si>
    <t xml:space="preserve">TCGCTGTTCAGCAGGCTGCC</t>
  </si>
  <si>
    <t xml:space="preserve">TAGTTCGCTGTTCAGCAGGCTGCC</t>
  </si>
  <si>
    <t xml:space="preserve">AAACGGCAGCCTGCTGAACAGCGA</t>
  </si>
  <si>
    <t xml:space="preserve">PSPPH_0230</t>
  </si>
  <si>
    <t xml:space="preserve">TTGGCTGAGATGATCGACAA</t>
  </si>
  <si>
    <t xml:space="preserve">TAGTTTGGCTGAGATGATCGACAA</t>
  </si>
  <si>
    <t xml:space="preserve">AAACTTGTCGATCATCTCAGCCAA</t>
  </si>
  <si>
    <t xml:space="preserve">TCACGATATTGCGTGAATCA</t>
  </si>
  <si>
    <t xml:space="preserve">TAGTTCACGATATTGCGTGAATCA</t>
  </si>
  <si>
    <t xml:space="preserve">AAACTGATTCACGCAATATCGTGA</t>
  </si>
  <si>
    <t xml:space="preserve">GCCACGGCCAGTACAATCAA</t>
  </si>
  <si>
    <t xml:space="preserve">TAGTGCCACGGCCAGTACAATCAA</t>
  </si>
  <si>
    <t xml:space="preserve">AAACTTGATTGTACTGGCCGTGGC</t>
  </si>
  <si>
    <t xml:space="preserve">AAGCCGCTTACAGCCCAGCC</t>
  </si>
  <si>
    <t xml:space="preserve">TAGTAAGCCGCTTACAGCCCAGCC</t>
  </si>
  <si>
    <t xml:space="preserve">AAACGGCTGGGCTGTAAGCGGCTT</t>
  </si>
  <si>
    <t xml:space="preserve">PSPPH_0231</t>
  </si>
  <si>
    <t xml:space="preserve">TAAATGAGAAAACCAGTAAT</t>
  </si>
  <si>
    <t xml:space="preserve">TAGTTAAATGAGAAAACCAGTAAT</t>
  </si>
  <si>
    <t xml:space="preserve">AAACATTACTGGTTTTCTCATTTA</t>
  </si>
  <si>
    <t xml:space="preserve">AGGCTATCCTGCAAACCGGC</t>
  </si>
  <si>
    <t xml:space="preserve">TAGTAGGCTATCCTGCAAACCGGC</t>
  </si>
  <si>
    <t xml:space="preserve">AAACGCCGGTTTGCAGGATAGCCT</t>
  </si>
  <si>
    <t xml:space="preserve">TGCCAGGCGTCCTGCGCTGC</t>
  </si>
  <si>
    <t xml:space="preserve">TAGTTGCCAGGCGTCCTGCGCTGC</t>
  </si>
  <si>
    <t xml:space="preserve">AAACGCAGCGCAGGACGCCTGGCA</t>
  </si>
  <si>
    <t xml:space="preserve">AGCAACACATAAAGACCGCA</t>
  </si>
  <si>
    <t xml:space="preserve">TAGTAGCAACACATAAAGACCGCA</t>
  </si>
  <si>
    <t xml:space="preserve">AAACTGCGGTCTTTATGTGTTGCT</t>
  </si>
  <si>
    <t xml:space="preserve">PSPPH_0232</t>
  </si>
  <si>
    <t xml:space="preserve">AGACGCTTGCTTGCCTGCAT</t>
  </si>
  <si>
    <t xml:space="preserve">TAGTAGACGCTTGCTTGCCTGCAT</t>
  </si>
  <si>
    <t xml:space="preserve">AAACATGCAGGCAAGCAAGCGTCT</t>
  </si>
  <si>
    <t xml:space="preserve">CACTTCATCGGTAGCCTGAA</t>
  </si>
  <si>
    <t xml:space="preserve">TAGTCACTTCATCGGTAGCCTGAA</t>
  </si>
  <si>
    <t xml:space="preserve">AAACTTCAGGCTACCGATGAAGTG</t>
  </si>
  <si>
    <t xml:space="preserve">CTTGATCAACTCGTCGATCC</t>
  </si>
  <si>
    <t xml:space="preserve">TAGTCTTGATCAACTCGTCGATCC</t>
  </si>
  <si>
    <t xml:space="preserve">AAACGGATCGACGAGTTGATCAAG</t>
  </si>
  <si>
    <t xml:space="preserve">GCCGTATATGCATCGAACAC</t>
  </si>
  <si>
    <t xml:space="preserve">TAGTGCCGTATATGCATCGAACAC</t>
  </si>
  <si>
    <t xml:space="preserve">AAACGTGTTCGATGCATATACGGC</t>
  </si>
  <si>
    <t xml:space="preserve">PSPPH_0233</t>
  </si>
  <si>
    <t xml:space="preserve">GCGTTGGACAGGATGGGCCA</t>
  </si>
  <si>
    <t xml:space="preserve">TAGTGCGTTGGACAGGATGGGCCA</t>
  </si>
  <si>
    <t xml:space="preserve">AAACTGGCCCATCCTGTCCAACGC</t>
  </si>
  <si>
    <t xml:space="preserve">CGAAGACCAGTGGGTACCAG</t>
  </si>
  <si>
    <t xml:space="preserve">TAGTCGAAGACCAGTGGGTACCAG</t>
  </si>
  <si>
    <t xml:space="preserve">AAACCTGGTACCCACTGGTCTTCG</t>
  </si>
  <si>
    <t xml:space="preserve">CAATAACACCAGCGCAGCGA</t>
  </si>
  <si>
    <t xml:space="preserve">TAGTCAATAACACCAGCGCAGCGA</t>
  </si>
  <si>
    <t xml:space="preserve">AAACTCGCTGCGCTGGTGTTATTG</t>
  </si>
  <si>
    <t xml:space="preserve">GACAGCAGCAGCACGCTCAG</t>
  </si>
  <si>
    <t xml:space="preserve">TAGTGACAGCAGCAGCACGCTCAG</t>
  </si>
  <si>
    <t xml:space="preserve">AAACCTGAGCGTGCTGCTGCTGTC</t>
  </si>
  <si>
    <t xml:space="preserve">PSPPH_0234</t>
  </si>
  <si>
    <t xml:space="preserve">gcvT1</t>
  </si>
  <si>
    <t xml:space="preserve">AGGGGGGTACGCTGTCCCAT</t>
  </si>
  <si>
    <t xml:space="preserve">TAGTAGGGGGGTACGCTGTCCCAT</t>
  </si>
  <si>
    <t xml:space="preserve">AAACATGGGACAGCGTACCCCCCT</t>
  </si>
  <si>
    <t xml:space="preserve">GGGCGAGGTGCAGGTCGAAC</t>
  </si>
  <si>
    <t xml:space="preserve">TAGTGGGCGAGGTGCAGGTCGAAC</t>
  </si>
  <si>
    <t xml:space="preserve">AAACGTTCGACCTGCACCTCGCCC</t>
  </si>
  <si>
    <t xml:space="preserve">ATCGACCATTTTCGCGCCAA</t>
  </si>
  <si>
    <t xml:space="preserve">TAGTATCGACCATTTTCGCGCCAA</t>
  </si>
  <si>
    <t xml:space="preserve">AAACTTGGCGCGAAAATGGTCGAT</t>
  </si>
  <si>
    <t xml:space="preserve">ACCTGCGATCCGTAATGCAA</t>
  </si>
  <si>
    <t xml:space="preserve">TAGTACCTGCGATCCGTAATGCAA</t>
  </si>
  <si>
    <t xml:space="preserve">AAACTTGCATTACGGATCGCAGGT</t>
  </si>
  <si>
    <t xml:space="preserve">PSPPH_0235</t>
  </si>
  <si>
    <t xml:space="preserve">gcvH1</t>
  </si>
  <si>
    <t xml:space="preserve">TCGGCGAAACGCAGCTCGGC</t>
  </si>
  <si>
    <t xml:space="preserve">TAGTTCGGCGAAACGCAGCTCGGC</t>
  </si>
  <si>
    <t xml:space="preserve">AAACGCCGAGCTGCGTTTCGCCGA</t>
  </si>
  <si>
    <t xml:space="preserve">GTCCGAGATGCCGACGGTCA</t>
  </si>
  <si>
    <t xml:space="preserve">TAGTGTCCGAGATGCCGACGGTCA</t>
  </si>
  <si>
    <t xml:space="preserve">AAACTGACCGTCGGCATCTCGGAC</t>
  </si>
  <si>
    <t xml:space="preserve">CGCCCAGTGCTTCCTGTGCA</t>
  </si>
  <si>
    <t xml:space="preserve">TAGTCGCCCAGTGCTTCCTGTGCA</t>
  </si>
  <si>
    <t xml:space="preserve">AAACTGCACAGGAAGCACTGGGCG</t>
  </si>
  <si>
    <t xml:space="preserve">GCGAACACTTTGCCGATTTC</t>
  </si>
  <si>
    <t xml:space="preserve">TAGTGCGAACACTTTGCCGATTTC</t>
  </si>
  <si>
    <t xml:space="preserve">AAACGAAATCGGCAAAGTGTTCGC</t>
  </si>
  <si>
    <t xml:space="preserve">PSPPH_0236</t>
  </si>
  <si>
    <t xml:space="preserve">GATGGAAAGCAAGGCTACGG</t>
  </si>
  <si>
    <t xml:space="preserve">TAGTGATGGAAAGCAAGGCTACGG</t>
  </si>
  <si>
    <t xml:space="preserve">AAACCCGTAGCCTTGCTTTCCATC</t>
  </si>
  <si>
    <t xml:space="preserve">CAGCCATCGCTGAACCCATT</t>
  </si>
  <si>
    <t xml:space="preserve">TAGTCAGCCATCGCTGAACCCATT</t>
  </si>
  <si>
    <t xml:space="preserve">AAACAATGGGTTCAGCGATGGCTG</t>
  </si>
  <si>
    <t xml:space="preserve">AGACAGCACATTACGCCAGA</t>
  </si>
  <si>
    <t xml:space="preserve">TAGTAGACAGCACATTACGCCAGA</t>
  </si>
  <si>
    <t xml:space="preserve">AAACTCTGGCGTAATGTGCTGTCT</t>
  </si>
  <si>
    <t xml:space="preserve">AGTCGAGCCGGTGGTTGCAC</t>
  </si>
  <si>
    <t xml:space="preserve">TAGTAGTCGAGCCGGTGGTTGCAC</t>
  </si>
  <si>
    <t xml:space="preserve">AAACGTGCAACCACCGGCTCGACT</t>
  </si>
  <si>
    <t xml:space="preserve">PSPPH_0237</t>
  </si>
  <si>
    <t xml:space="preserve">ATCCTGTGAAGAGGGGGCCA</t>
  </si>
  <si>
    <t xml:space="preserve">TAGTATCCTGTGAAGAGGGGGCCA</t>
  </si>
  <si>
    <t xml:space="preserve">AAACTGGCCCCCTCTTCACAGGAT</t>
  </si>
  <si>
    <t xml:space="preserve">GATCTCGCAGCACATCATTC</t>
  </si>
  <si>
    <t xml:space="preserve">TAGTGATCTCGCAGCACATCATTC</t>
  </si>
  <si>
    <t xml:space="preserve">AAACGAATGATGTGCTGCGAGATC</t>
  </si>
  <si>
    <t xml:space="preserve">GTCCTGGCCGAGATAGCCTT</t>
  </si>
  <si>
    <t xml:space="preserve">TAGTGTCCTGGCCGAGATAGCCTT</t>
  </si>
  <si>
    <t xml:space="preserve">AAACAAGGCTATCTCGGCCAGGAC</t>
  </si>
  <si>
    <t xml:space="preserve">GAAATTCGAGAGGATGCAGC</t>
  </si>
  <si>
    <t xml:space="preserve">TAGTGAAATTCGAGAGGATGCAGC</t>
  </si>
  <si>
    <t xml:space="preserve">AAACGCTGCATCCTCTCGAATTTC</t>
  </si>
  <si>
    <t xml:space="preserve">PSPPH_0238</t>
  </si>
  <si>
    <t xml:space="preserve">GCGGTAACGGCTTCCAGGTC</t>
  </si>
  <si>
    <t xml:space="preserve">TAGTGCGGTAACGGCTTCCAGGTC</t>
  </si>
  <si>
    <t xml:space="preserve">AAACGACCTGGAAGCCGTTACCGC</t>
  </si>
  <si>
    <t xml:space="preserve">GTTGTCGGGACGCTGCAAGG</t>
  </si>
  <si>
    <t xml:space="preserve">TAGTGTTGTCGGGACGCTGCAAGG</t>
  </si>
  <si>
    <t xml:space="preserve">AAACCCTTGCAGCGTCCCGACAAC</t>
  </si>
  <si>
    <t xml:space="preserve">CGCACAGCATGCCGCATTGC</t>
  </si>
  <si>
    <t xml:space="preserve">TAGTCGCACAGCATGCCGCATTGC</t>
  </si>
  <si>
    <t xml:space="preserve">AAACGCAATGCGGCATGCTGTGCG</t>
  </si>
  <si>
    <t xml:space="preserve">GCTCGGCTGCAGCAACAATT</t>
  </si>
  <si>
    <t xml:space="preserve">TAGTGCTCGGCTGCAGCAACAATT</t>
  </si>
  <si>
    <t xml:space="preserve">AAACAATTGTTGCTGCAGCCGAGC</t>
  </si>
  <si>
    <t xml:space="preserve">PSPPH_0239</t>
  </si>
  <si>
    <t xml:space="preserve">GCGGTCGTAAACGTCCAGCT</t>
  </si>
  <si>
    <t xml:space="preserve">TAGTGCGGTCGTAAACGTCCAGCT</t>
  </si>
  <si>
    <t xml:space="preserve">AAACAGCTGGACGTTTACGACCGC</t>
  </si>
  <si>
    <t xml:space="preserve">TTGCGAGAGGCCGACCTGCT</t>
  </si>
  <si>
    <t xml:space="preserve">TAGTTTGCGAGAGGCCGACCTGCT</t>
  </si>
  <si>
    <t xml:space="preserve">AAACAGCAGGTCGGCCTCTCGCAA</t>
  </si>
  <si>
    <t xml:space="preserve">CGCTGAATGCGCCGCCAACA</t>
  </si>
  <si>
    <t xml:space="preserve">TAGTCGCTGAATGCGCCGCCAACA</t>
  </si>
  <si>
    <t xml:space="preserve">AAACTGTTGGCGGCGCATTCAGCG</t>
  </si>
  <si>
    <t xml:space="preserve">CGGCGAAAATCTGTGTGTTC</t>
  </si>
  <si>
    <t xml:space="preserve">TAGTCGGCGAAAATCTGTGTGTTC</t>
  </si>
  <si>
    <t xml:space="preserve">AAACGAACACACAGATTTTCGCCG</t>
  </si>
  <si>
    <t xml:space="preserve">PSPPH_0240</t>
  </si>
  <si>
    <t xml:space="preserve">GGCCGTCAGTGTACAGGACA</t>
  </si>
  <si>
    <t xml:space="preserve">TAGTGGCCGTCAGTGTACAGGACA</t>
  </si>
  <si>
    <t xml:space="preserve">AAACTGTCCTGTACACTGACGGCC</t>
  </si>
  <si>
    <t xml:space="preserve">CCATGACTGAACGGCTGCTA</t>
  </si>
  <si>
    <t xml:space="preserve">TAGTCCATGACTGAACGGCTGCTA</t>
  </si>
  <si>
    <t xml:space="preserve">AAACTAGCAGCCGTTCAGTCATGG</t>
  </si>
  <si>
    <t xml:space="preserve">AAACGCTGATACTGATAAAC</t>
  </si>
  <si>
    <t xml:space="preserve">TAGTAAACGCTGATACTGATAAAC</t>
  </si>
  <si>
    <t xml:space="preserve">AAACGTTTATCAGTATCAGCGTTT</t>
  </si>
  <si>
    <t xml:space="preserve">GTTTCTTTTTGCATGGCCGG</t>
  </si>
  <si>
    <t xml:space="preserve">TAGTGTTTCTTTTTGCATGGCCGG</t>
  </si>
  <si>
    <t xml:space="preserve">AAACCCGGCCATGCAAAAAGAAAC</t>
  </si>
  <si>
    <t xml:space="preserve">PSPPH_0241</t>
  </si>
  <si>
    <t xml:space="preserve">argE1</t>
  </si>
  <si>
    <t xml:space="preserve">TTCATGGACGGCAACGGCAT</t>
  </si>
  <si>
    <t xml:space="preserve">TAGTTTCATGGACGGCAACGGCAT</t>
  </si>
  <si>
    <t xml:space="preserve">AAACATGCCGTTGCCGTCCATGAA</t>
  </si>
  <si>
    <t xml:space="preserve">CAGCGATCAAGGCGGCGAAC</t>
  </si>
  <si>
    <t xml:space="preserve">TAGTCAGCGATCAAGGCGGCGAAC</t>
  </si>
  <si>
    <t xml:space="preserve">AAACGTTCGCCGCCTTGATCGCTG</t>
  </si>
  <si>
    <t xml:space="preserve">GGCTGCGTGCAGCTCACCGA</t>
  </si>
  <si>
    <t xml:space="preserve">TAGTGGCTGCGTGCAGCTCACCGA</t>
  </si>
  <si>
    <t xml:space="preserve">AAACTCGGTGAGCTGCACGCAGCC</t>
  </si>
  <si>
    <t xml:space="preserve">CGGTTGGTCTGGTCCAGAGA</t>
  </si>
  <si>
    <t xml:space="preserve">TAGTCGGTTGGTCTGGTCCAGAGA</t>
  </si>
  <si>
    <t xml:space="preserve">AAACTCTCTGGACCAGACCAACCG</t>
  </si>
  <si>
    <t xml:space="preserve">PSPPH_0242</t>
  </si>
  <si>
    <t xml:space="preserve">argA</t>
  </si>
  <si>
    <t xml:space="preserve">ACAAGAGCCTGTAGAGAAAA</t>
  </si>
  <si>
    <t xml:space="preserve">TAGTACAAGAGCCTGTAGAGAAAA</t>
  </si>
  <si>
    <t xml:space="preserve">AAACTTTTCTCTACAGGCTCTTGT</t>
  </si>
  <si>
    <t xml:space="preserve">CGAAGCCAGTTGACGTATTC</t>
  </si>
  <si>
    <t xml:space="preserve">TAGTCGAAGCCAGTTGACGTATTC</t>
  </si>
  <si>
    <t xml:space="preserve">AAACGAATACGTCAACTGGCTTCG</t>
  </si>
  <si>
    <t xml:space="preserve">CATTGATGTACGGAGACGCG</t>
  </si>
  <si>
    <t xml:space="preserve">TAGTCATTGATGTACGGAGACGCG</t>
  </si>
  <si>
    <t xml:space="preserve">AAACCGCGTCTCCGTACATCAATG</t>
  </si>
  <si>
    <t xml:space="preserve">TGACGACGAAGGTGCAATCA</t>
  </si>
  <si>
    <t xml:space="preserve">TAGTTGACGACGAAGGTGCAATCA</t>
  </si>
  <si>
    <t xml:space="preserve">AAACTGATTGCACCTTCGTCGTCA</t>
  </si>
  <si>
    <t xml:space="preserve">PSPPH_0243</t>
  </si>
  <si>
    <t xml:space="preserve">gshA</t>
  </si>
  <si>
    <t xml:space="preserve">ACGGTTTAAAAGTTCGCTCA</t>
  </si>
  <si>
    <t xml:space="preserve">TAGTACGGTTTAAAAGTTCGCTCA</t>
  </si>
  <si>
    <t xml:space="preserve">AAACTGAGCGAACTTTTAAACCGT</t>
  </si>
  <si>
    <t xml:space="preserve">GGCACTGCTCCAGCAGAGAG</t>
  </si>
  <si>
    <t xml:space="preserve">TAGTGGCACTGCTCCAGCAGAGAG</t>
  </si>
  <si>
    <t xml:space="preserve">AAACCTCTCTGCTGGAGCAGTGCC</t>
  </si>
  <si>
    <t xml:space="preserve">ACTCGCGCTCGATACCGTGC</t>
  </si>
  <si>
    <t xml:space="preserve">TAGTACTCGCGCTCGATACCGTGC</t>
  </si>
  <si>
    <t xml:space="preserve">AAACGCACGGTATCGAGCGCGAGT</t>
  </si>
  <si>
    <t xml:space="preserve">CTGCGGTTGCGGTAACGCGC</t>
  </si>
  <si>
    <t xml:space="preserve">TAGTCTGCGGTTGCGGTAACGCGC</t>
  </si>
  <si>
    <t xml:space="preserve">AAACGCGCGTTACCGCAACCGCAG</t>
  </si>
  <si>
    <t xml:space="preserve">PSPPH_0244</t>
  </si>
  <si>
    <t xml:space="preserve">GCACTTTGGGTCAGATCTTC</t>
  </si>
  <si>
    <t xml:space="preserve">TAGTGCACTTTGGGTCAGATCTTC</t>
  </si>
  <si>
    <t xml:space="preserve">AAACGAAGATCTGACCCAAAGTGC</t>
  </si>
  <si>
    <t xml:space="preserve">GCAGCCGAGCATCTTGAAGT</t>
  </si>
  <si>
    <t xml:space="preserve">TAGTGCAGCCGAGCATCTTGAAGT</t>
  </si>
  <si>
    <t xml:space="preserve">AAACACTTCAAGATGCTCGGCTGC</t>
  </si>
  <si>
    <t xml:space="preserve">TTGCGCAGATGCGCCTCCAG</t>
  </si>
  <si>
    <t xml:space="preserve">TAGTTTGCGCAGATGCGCCTCCAG</t>
  </si>
  <si>
    <t xml:space="preserve">AAACCTGGAGGCGCATCTGCGCAA</t>
  </si>
  <si>
    <t xml:space="preserve">GCTGGAGCAGGCCAGCCCCA</t>
  </si>
  <si>
    <t xml:space="preserve">TAGTGCTGGAGCAGGCCAGCCCCA</t>
  </si>
  <si>
    <t xml:space="preserve">AAACTGGGGCTGGCCTGCTCCAGC</t>
  </si>
  <si>
    <t xml:space="preserve">PSPPH_0245</t>
  </si>
  <si>
    <t xml:space="preserve">tex</t>
  </si>
  <si>
    <t xml:space="preserve">TGGGCGTACGCCGAGTTCTT</t>
  </si>
  <si>
    <t xml:space="preserve">TAGTTGGGCGTACGCCGAGTTCTT</t>
  </si>
  <si>
    <t xml:space="preserve">AAACAAGAACTCGGCGTACGCCCA</t>
  </si>
  <si>
    <t xml:space="preserve">ACGGCCGCTGCGACCTGTTG</t>
  </si>
  <si>
    <t xml:space="preserve">TAGTACGGCCGCTGCGACCTGTTG</t>
  </si>
  <si>
    <t xml:space="preserve">AAACCAACAGGTCGCAGCGGCCGT</t>
  </si>
  <si>
    <t xml:space="preserve">GTAGCGGGAAATGAAGGGCA</t>
  </si>
  <si>
    <t xml:space="preserve">TAGTGTAGCGGGAAATGAAGGGCA</t>
  </si>
  <si>
    <t xml:space="preserve">AAACTGCCCTTCATTTCCCGCTAC</t>
  </si>
  <si>
    <t xml:space="preserve">GACTGCCGGTCACTTCCTTG</t>
  </si>
  <si>
    <t xml:space="preserve">TAGTGACTGCCGGTCACTTCCTTG</t>
  </si>
  <si>
    <t xml:space="preserve">AAACCAAGGAAGTGACCGGCAGTC</t>
  </si>
  <si>
    <t xml:space="preserve">PSPPH_0246</t>
  </si>
  <si>
    <t xml:space="preserve">ompR</t>
  </si>
  <si>
    <t xml:space="preserve">TTTTGTGCGGTGCTGCTCAT</t>
  </si>
  <si>
    <t xml:space="preserve">TAGTTTTTGTGCGGTGCTGCTCAT</t>
  </si>
  <si>
    <t xml:space="preserve">AAACATGAGCAGCACCGCACAAAA</t>
  </si>
  <si>
    <t xml:space="preserve">CCGGATCGTCATCGACAATA</t>
  </si>
  <si>
    <t xml:space="preserve">TAGTCCGGATCGTCATCGACAATA</t>
  </si>
  <si>
    <t xml:space="preserve">AAACTATTGTCGATGACGATCCGG</t>
  </si>
  <si>
    <t xml:space="preserve">TGCTGGTGAAAAAACGTTCC</t>
  </si>
  <si>
    <t xml:space="preserve">TAGTTGCTGGTGAAAAAACGTTCC</t>
  </si>
  <si>
    <t xml:space="preserve">AAACGGAACGTTTTTTCACCAGCA</t>
  </si>
  <si>
    <t xml:space="preserve">CGTTTGCCACGGCGCGGGCC</t>
  </si>
  <si>
    <t xml:space="preserve">TAGTCGTTTGCCACGGCGCGGGCC</t>
  </si>
  <si>
    <t xml:space="preserve">AAACGGCCCGCGCCGTGGCAAACG</t>
  </si>
  <si>
    <t xml:space="preserve">PSPPH_0247</t>
  </si>
  <si>
    <t xml:space="preserve">envZ</t>
  </si>
  <si>
    <t xml:space="preserve">AAGCTTTGCGGAAACCAGAG</t>
  </si>
  <si>
    <t xml:space="preserve">TAGTAAGCTTTGCGGAAACCAGAG</t>
  </si>
  <si>
    <t xml:space="preserve">AAACCTCTGGTTTCCGCAAAGCTT</t>
  </si>
  <si>
    <t xml:space="preserve">CAGCAGATAAACCAGCGTCA</t>
  </si>
  <si>
    <t xml:space="preserve">TAGTCAGCAGATAAACCAGCGTCA</t>
  </si>
  <si>
    <t xml:space="preserve">AAACTGACGCTGGTTTATCTGCTG</t>
  </si>
  <si>
    <t xml:space="preserve">GCAGCGTCAGCGCAACGCCG</t>
  </si>
  <si>
    <t xml:space="preserve">TAGTGCAGCGTCAGCGCAACGCCG</t>
  </si>
  <si>
    <t xml:space="preserve">AAACCGGCGTTGCGCTGACGCTGC</t>
  </si>
  <si>
    <t xml:space="preserve">CGCCTCACGATCGTTTTCAT</t>
  </si>
  <si>
    <t xml:space="preserve">TAGTCGCCTCACGATCGTTTTCAT</t>
  </si>
  <si>
    <t xml:space="preserve">AAACATGAAAACGATCGTGAGGCG</t>
  </si>
  <si>
    <t xml:space="preserve">PSPPH_0248</t>
  </si>
  <si>
    <t xml:space="preserve">GCCGCCCATCAACAGGGCGG</t>
  </si>
  <si>
    <t xml:space="preserve">TAGTGCCGCCCATCAACAGGGCGG</t>
  </si>
  <si>
    <t xml:space="preserve">AAACCCGCCCTGTTGATGGGCGGC</t>
  </si>
  <si>
    <t xml:space="preserve">ATCATTGGCTGCCATGACCA</t>
  </si>
  <si>
    <t xml:space="preserve">TAGTATCATTGGCTGCCATGACCA</t>
  </si>
  <si>
    <t xml:space="preserve">AAACTGGTCATGGCAGCCAATGAT</t>
  </si>
  <si>
    <t xml:space="preserve">GGTTGTGCGGTACTCGGGAG</t>
  </si>
  <si>
    <t xml:space="preserve">TAGTGGTTGTGCGGTACTCGGGAG</t>
  </si>
  <si>
    <t xml:space="preserve">AAACCTCCCGAGTACCGCACAACC</t>
  </si>
  <si>
    <t xml:space="preserve">CTTCTTGACGACCTTCGCCC</t>
  </si>
  <si>
    <t xml:space="preserve">TAGTCTTCTTGACGACCTTCGCCC</t>
  </si>
  <si>
    <t xml:space="preserve">AAACGGGCGAAGGTCGTCAAGAAG</t>
  </si>
  <si>
    <t xml:space="preserve">PSPPH_0249</t>
  </si>
  <si>
    <t xml:space="preserve">CGTGATTGCCCAACTCAACA</t>
  </si>
  <si>
    <t xml:space="preserve">TAGTCGTGATTGCCCAACTCAACA</t>
  </si>
  <si>
    <t xml:space="preserve">AAACTGTTGAGTTGGGCAATCACG</t>
  </si>
  <si>
    <t xml:space="preserve">GCCCAGTACTGCAGCGACAA</t>
  </si>
  <si>
    <t xml:space="preserve">TAGTGCCCAGTACTGCAGCGACAA</t>
  </si>
  <si>
    <t xml:space="preserve">AAACTTGTCGCTGCAGTACTGGGC</t>
  </si>
  <si>
    <t xml:space="preserve">GAACAGGATCTTGGCGATAC</t>
  </si>
  <si>
    <t xml:space="preserve">TAGTGAACAGGATCTTGGCGATAC</t>
  </si>
  <si>
    <t xml:space="preserve">AAACGTATCGCCAAGATCCTGTTC</t>
  </si>
  <si>
    <t xml:space="preserve">ACGACACAACGAACATCACG</t>
  </si>
  <si>
    <t xml:space="preserve">TAGTACGACACAACGAACATCACG</t>
  </si>
  <si>
    <t xml:space="preserve">AAACCGTGATGTTCGTTGTGTCGT</t>
  </si>
  <si>
    <t xml:space="preserve">PSPPH_0250</t>
  </si>
  <si>
    <t xml:space="preserve">CAAACTCCCCTGGCCTGAGT</t>
  </si>
  <si>
    <t xml:space="preserve">TAGTCAAACTCCCCTGGCCTGAGT</t>
  </si>
  <si>
    <t xml:space="preserve">AAACACTCAGGCCAGGGGAGTTTG</t>
  </si>
  <si>
    <t xml:space="preserve">TACGCAATTGTGCAATACGC</t>
  </si>
  <si>
    <t xml:space="preserve">TAGTTACGCAATTGTGCAATACGC</t>
  </si>
  <si>
    <t xml:space="preserve">AAACGCGTATTGCACAATTGCGTA</t>
  </si>
  <si>
    <t xml:space="preserve">ACCTTGCTGAATGTGCAGAG</t>
  </si>
  <si>
    <t xml:space="preserve">TAGTACCTTGCTGAATGTGCAGAG</t>
  </si>
  <si>
    <t xml:space="preserve">AAACCTCTGCACATTCAGCAAGGT</t>
  </si>
  <si>
    <t xml:space="preserve">TCAGAGTGACAAGCAGCGCA</t>
  </si>
  <si>
    <t xml:space="preserve">TAGTTCAGAGTGACAAGCAGCGCA</t>
  </si>
  <si>
    <t xml:space="preserve">AAACTGCGCTGCTTGTCACTCTGA</t>
  </si>
  <si>
    <t xml:space="preserve">PSPPH_0251</t>
  </si>
  <si>
    <t xml:space="preserve">GCCAAGCAGCGCAGCGGCGG</t>
  </si>
  <si>
    <t xml:space="preserve">TAGTGCCAAGCAGCGCAGCGGCGG</t>
  </si>
  <si>
    <t xml:space="preserve">AAACCCGCCGCTGCGCTGCTTGGC</t>
  </si>
  <si>
    <t xml:space="preserve">AATCAGGTTGGGCGAGTACC</t>
  </si>
  <si>
    <t xml:space="preserve">TAGTAATCAGGTTGGGCGAGTACC</t>
  </si>
  <si>
    <t xml:space="preserve">AAACGGTACTCGCCCAACCTGATT</t>
  </si>
  <si>
    <t xml:space="preserve">CGCGCCTCGGCGAGTTGGGT</t>
  </si>
  <si>
    <t xml:space="preserve">TAGTCGCGCCTCGGCGAGTTGGGT</t>
  </si>
  <si>
    <t xml:space="preserve">AAACACCCAACTCGCCGAGGCGCG</t>
  </si>
  <si>
    <t xml:space="preserve">CGTTTACATCGATCTTGAAC</t>
  </si>
  <si>
    <t xml:space="preserve">TAGTCGTTTACATCGATCTTGAAC</t>
  </si>
  <si>
    <t xml:space="preserve">AAACGTTCAAGATCGATGTAAACG</t>
  </si>
  <si>
    <t xml:space="preserve">PSPPH_0252</t>
  </si>
  <si>
    <t xml:space="preserve">algB</t>
  </si>
  <si>
    <t xml:space="preserve">AATACGGCCCTGATTCTCAG</t>
  </si>
  <si>
    <t xml:space="preserve">TAGTAATACGGCCCTGATTCTCAG</t>
  </si>
  <si>
    <t xml:space="preserve">AAACCTGAGAATCAGGGCCGTATT</t>
  </si>
  <si>
    <t xml:space="preserve">CCGGAAAGTGCGGAGGATGG</t>
  </si>
  <si>
    <t xml:space="preserve">TAGTCCGGAAAGTGCGGAGGATGG</t>
  </si>
  <si>
    <t xml:space="preserve">AAACCCATCCTCCGCACTTTCCGG</t>
  </si>
  <si>
    <t xml:space="preserve">CTGGGCTGCGCTGTTGGCAG</t>
  </si>
  <si>
    <t xml:space="preserve">TAGTCTGGGCTGCGCTGTTGGCAG</t>
  </si>
  <si>
    <t xml:space="preserve">AAACCTGCCAACAGCGCAGCCCAG</t>
  </si>
  <si>
    <t xml:space="preserve">GAAAGCACAGGTCGAAAACC</t>
  </si>
  <si>
    <t xml:space="preserve">TAGTGAAAGCACAGGTCGAAAACC</t>
  </si>
  <si>
    <t xml:space="preserve">AAACGGTTTTCGACCTGTGCTTTC</t>
  </si>
  <si>
    <t xml:space="preserve">PSPPH_0253</t>
  </si>
  <si>
    <t xml:space="preserve">GAGGCGGGTGCGCAGTTTCA</t>
  </si>
  <si>
    <t xml:space="preserve">TAGTGAGGCGGGTGCGCAGTTTCA</t>
  </si>
  <si>
    <t xml:space="preserve">AAACTGAAACTGCGCACCCGCCTC</t>
  </si>
  <si>
    <t xml:space="preserve">CAGCAGTCCGAGCAAAGCAA</t>
  </si>
  <si>
    <t xml:space="preserve">TAGTCAGCAGTCCGAGCAAAGCAA</t>
  </si>
  <si>
    <t xml:space="preserve">AAACTTGCTTTGCTCGGACTGCTG</t>
  </si>
  <si>
    <t xml:space="preserve">GATCAGTGATTCCTGGGTCC</t>
  </si>
  <si>
    <t xml:space="preserve">TAGTGATCAGTGATTCCTGGGTCC</t>
  </si>
  <si>
    <t xml:space="preserve">AAACGGACCCAGGAATCACTGATC</t>
  </si>
  <si>
    <t xml:space="preserve">CCAGAATGGCGAAGTTATGC</t>
  </si>
  <si>
    <t xml:space="preserve">TAGTCCAGAATGGCGAAGTTATGC</t>
  </si>
  <si>
    <t xml:space="preserve">AAACGCATAACTTCGCCATTCTGG</t>
  </si>
  <si>
    <t xml:space="preserve">PSPPH_0254</t>
  </si>
  <si>
    <t xml:space="preserve">GCAGAGAAATACAGTTTCAT</t>
  </si>
  <si>
    <t xml:space="preserve">TAGTGCAGAGAAATACAGTTTCAT</t>
  </si>
  <si>
    <t xml:space="preserve">AAACATGAAACTGTATTTCTCTGC</t>
  </si>
  <si>
    <t xml:space="preserve">AGTGAGGATGAGCAGCAGAA</t>
  </si>
  <si>
    <t xml:space="preserve">TAGTAGTGAGGATGAGCAGCAGAA</t>
  </si>
  <si>
    <t xml:space="preserve">AAACTTCTGCTGCTCATCCTCACT</t>
  </si>
  <si>
    <t xml:space="preserve">CAGCCTGGGGCCACTGGCGC</t>
  </si>
  <si>
    <t xml:space="preserve">TAGTCAGCCTGGGGCCACTGGCGC</t>
  </si>
  <si>
    <t xml:space="preserve">AAACGCGCCAGTGGCCCCAGGCTG</t>
  </si>
  <si>
    <t xml:space="preserve">GAAATTCACCGATGGATGGC</t>
  </si>
  <si>
    <t xml:space="preserve">TAGTGAAATTCACCGATGGATGGC</t>
  </si>
  <si>
    <t xml:space="preserve">AAACGCCATCCATCGGTGAATTTC</t>
  </si>
  <si>
    <t xml:space="preserve">PSPPH_0255</t>
  </si>
  <si>
    <t xml:space="preserve">CCTGTTGCTCGATTCCCTTG</t>
  </si>
  <si>
    <t xml:space="preserve">TAGTCCTGTTGCTCGATTCCCTTG</t>
  </si>
  <si>
    <t xml:space="preserve">AAACCAAGGGAATCGAGCAACAGG</t>
  </si>
  <si>
    <t xml:space="preserve">GGCTGCTGCGCACCAGACCG</t>
  </si>
  <si>
    <t xml:space="preserve">TAGTGGCTGCTGCGCACCAGACCG</t>
  </si>
  <si>
    <t xml:space="preserve">AAACCGGTCTGGTGCGCAGCAGCC</t>
  </si>
  <si>
    <t xml:space="preserve">GGTCAGAGCCTTCTGCTGCC</t>
  </si>
  <si>
    <t xml:space="preserve">TAGTGGTCAGAGCCTTCTGCTGCC</t>
  </si>
  <si>
    <t xml:space="preserve">AAACGGCAGCAGAAGGCTCTGACC</t>
  </si>
  <si>
    <t xml:space="preserve">TCATGCATTCATCGACGGCG</t>
  </si>
  <si>
    <t xml:space="preserve">TAGTTCATGCATTCATCGACGGCG</t>
  </si>
  <si>
    <t xml:space="preserve">AAACCGCCGTCGATGAATGCATGA</t>
  </si>
  <si>
    <t xml:space="preserve">PSPPH_0256</t>
  </si>
  <si>
    <t xml:space="preserve">GCCCTTGCCCCAGCGGCGCA</t>
  </si>
  <si>
    <t xml:space="preserve">TAGTGCCCTTGCCCCAGCGGCGCA</t>
  </si>
  <si>
    <t xml:space="preserve">AAACTGCGCCGCTGGGGCAAGGGC</t>
  </si>
  <si>
    <t xml:space="preserve">ATCATGCAGGCCAACGATAC</t>
  </si>
  <si>
    <t xml:space="preserve">TAGTATCATGCAGGCCAACGATAC</t>
  </si>
  <si>
    <t xml:space="preserve">AAACGTATCGTTGGCCTGCATGAT</t>
  </si>
  <si>
    <t xml:space="preserve">AGATGATGTTCGTTGACCTG</t>
  </si>
  <si>
    <t xml:space="preserve">TAGTAGATGATGTTCGTTGACCTG</t>
  </si>
  <si>
    <t xml:space="preserve">AAACCAGGTCAACGAACATCATCT</t>
  </si>
  <si>
    <t xml:space="preserve">GCAGCCTGCCGTCTTCCGGC</t>
  </si>
  <si>
    <t xml:space="preserve">TAGTGCAGCCTGCCGTCTTCCGGC</t>
  </si>
  <si>
    <t xml:space="preserve">AAACGCCGGAAGACGGCAGGCTGC</t>
  </si>
  <si>
    <t xml:space="preserve">PSPPH_0257</t>
  </si>
  <si>
    <t xml:space="preserve">dsbA</t>
  </si>
  <si>
    <t xml:space="preserve">CAGACTGGCGGCAACCAGAG</t>
  </si>
  <si>
    <t xml:space="preserve">TAGTCAGACTGGCGGCAACCAGAG</t>
  </si>
  <si>
    <t xml:space="preserve">AAACCTCTGGTTGCCGCCAGTCTG</t>
  </si>
  <si>
    <t xml:space="preserve">GATGGGCGTGGCAGCCTGGG</t>
  </si>
  <si>
    <t xml:space="preserve">TAGTGATGGGCGTGGCAGCCTGGG</t>
  </si>
  <si>
    <t xml:space="preserve">AAACCCCAGGCTGCCACGCCCATC</t>
  </si>
  <si>
    <t xml:space="preserve">ATCTTGCCTGGCTCGGCAAC</t>
  </si>
  <si>
    <t xml:space="preserve">TAGTATCTTGCCTGGCTCGGCAAC</t>
  </si>
  <si>
    <t xml:space="preserve">AAACGTTGCCGAGCCAGGCAAGAT</t>
  </si>
  <si>
    <t xml:space="preserve">GCTCGAACGCGTAGCAGTGC</t>
  </si>
  <si>
    <t xml:space="preserve">TAGTGCTCGAACGCGTAGCAGTGC</t>
  </si>
  <si>
    <t xml:space="preserve">AAACGCACTGCTACGCGTTCGAGC</t>
  </si>
  <si>
    <t xml:space="preserve">PSPPH_0258</t>
  </si>
  <si>
    <t xml:space="preserve">GTTGGCACAGACCGAGGATG</t>
  </si>
  <si>
    <t xml:space="preserve">TAGTGTTGGCACAGACCGAGGATG</t>
  </si>
  <si>
    <t xml:space="preserve">AAACCATCCTCGGTCTGTGCCAAC</t>
  </si>
  <si>
    <t xml:space="preserve">GGCGGCGCTGAGCATGAACG</t>
  </si>
  <si>
    <t xml:space="preserve">TAGTGGCGGCGCTGAGCATGAACG</t>
  </si>
  <si>
    <t xml:space="preserve">AAACCGTTCATGCTCAGCGCCGCC</t>
  </si>
  <si>
    <t xml:space="preserve">GTCGGGGCATTGGTCGACCT</t>
  </si>
  <si>
    <t xml:space="preserve">TAGTGTCGGGGCATTGGTCGACCT</t>
  </si>
  <si>
    <t xml:space="preserve">AAACAGGTCGACCAATGCCCCGAC</t>
  </si>
  <si>
    <t xml:space="preserve">TTTGCCTGCATTGGAACGAC</t>
  </si>
  <si>
    <t xml:space="preserve">TAGTTTTGCCTGCATTGGAACGAC</t>
  </si>
  <si>
    <t xml:space="preserve">AAACGTCGTTCCAATGCAGGCAAA</t>
  </si>
  <si>
    <t xml:space="preserve">PSPPH_0259</t>
  </si>
  <si>
    <t xml:space="preserve">polA</t>
  </si>
  <si>
    <t xml:space="preserve">TATCAGGACGAGCGGCGCTT</t>
  </si>
  <si>
    <t xml:space="preserve">TAGTTATCAGGACGAGCGGCGCTT</t>
  </si>
  <si>
    <t xml:space="preserve">AAACAAGCGCCGCTCGTCCTGATA</t>
  </si>
  <si>
    <t xml:space="preserve">GAAGGCGCGATAGAGGTAAG</t>
  </si>
  <si>
    <t xml:space="preserve">TAGTGAAGGCGCGATAGAGGTAAG</t>
  </si>
  <si>
    <t xml:space="preserve">AAACCTTACCTCTATCGCGCCTTC</t>
  </si>
  <si>
    <t xml:space="preserve">TGGTCAGTGGTGGCAGTGCG</t>
  </si>
  <si>
    <t xml:space="preserve">TAGTTGGTCAGTGGTGGCAGTGCG</t>
  </si>
  <si>
    <t xml:space="preserve">AAACCGCACTGCCACCACTGACCA</t>
  </si>
  <si>
    <t xml:space="preserve">CGTCGGCAATCCTTTGGACG</t>
  </si>
  <si>
    <t xml:space="preserve">TAGTCGTCGGCAATCCTTTGGACG</t>
  </si>
  <si>
    <t xml:space="preserve">AAACCGTCCAAAGGATTGCCGACG</t>
  </si>
  <si>
    <t xml:space="preserve">PSPPH_0260</t>
  </si>
  <si>
    <t xml:space="preserve">AGGACAAAATGCCAACAGGC</t>
  </si>
  <si>
    <t xml:space="preserve">TAGTAGGACAAAATGCCAACAGGC</t>
  </si>
  <si>
    <t xml:space="preserve">AAACGCCTGTTGGCATTTTGTCCT</t>
  </si>
  <si>
    <t xml:space="preserve">TCTGCTGAAACTGCGAGCAA</t>
  </si>
  <si>
    <t xml:space="preserve">TAGTTCTGCTGAAACTGCGAGCAA</t>
  </si>
  <si>
    <t xml:space="preserve">AAACTTGCTCGCAGTTTCAGCAGA</t>
  </si>
  <si>
    <t xml:space="preserve">CGTCCGGTGCAGCCGAAGGT</t>
  </si>
  <si>
    <t xml:space="preserve">TAGTCGTCCGGTGCAGCCGAAGGT</t>
  </si>
  <si>
    <t xml:space="preserve">AAACACCTTCGGCTGCACCGGACG</t>
  </si>
  <si>
    <t xml:space="preserve">TGGTTTTGTCCCCGTCGGTG</t>
  </si>
  <si>
    <t xml:space="preserve">TAGTTGGTTTTGTCCCCGTCGGTG</t>
  </si>
  <si>
    <t xml:space="preserve">AAACCACCGACGGGGACAAAACCA</t>
  </si>
  <si>
    <t xml:space="preserve">PSPPH_0261</t>
  </si>
  <si>
    <t xml:space="preserve">thrB</t>
  </si>
  <si>
    <t xml:space="preserve">CCGGGCCAACGGGGTAAAAA</t>
  </si>
  <si>
    <t xml:space="preserve">TAGTCCGGGCCAACGGGGTAAAAA</t>
  </si>
  <si>
    <t xml:space="preserve">AAACTTTTTACCCCGTTGGCCCGG</t>
  </si>
  <si>
    <t xml:space="preserve">GCGAGAAATGCTTCCAGCTC</t>
  </si>
  <si>
    <t xml:space="preserve">TAGTGCGAGAAATGCTTCCAGCTC</t>
  </si>
  <si>
    <t xml:space="preserve">AAACGAGCTGGAAGCATTTCTCGC</t>
  </si>
  <si>
    <t xml:space="preserve">CAAACGGCCGAGCCCATAAG</t>
  </si>
  <si>
    <t xml:space="preserve">TAGTCAAACGGCCGAGCCCATAAG</t>
  </si>
  <si>
    <t xml:space="preserve">AAACCTTATGGGCTCGGCCGTTTG</t>
  </si>
  <si>
    <t xml:space="preserve">GTTGGTGTTTTCGCTACCGG</t>
  </si>
  <si>
    <t xml:space="preserve">TAGTGTTGGTGTTTTCGCTACCGG</t>
  </si>
  <si>
    <t xml:space="preserve">AAACCCGGTAGCGAAAACACCAAC</t>
  </si>
  <si>
    <t xml:space="preserve">PSPPH_0262</t>
  </si>
  <si>
    <t xml:space="preserve">znuA</t>
  </si>
  <si>
    <t xml:space="preserve">CAGCAACAAGATTTAAAAGA</t>
  </si>
  <si>
    <t xml:space="preserve">TAGTCAGCAACAAGATTTAAAAGA</t>
  </si>
  <si>
    <t xml:space="preserve">AAACTCTTTTAAATCTTGTTGCTG</t>
  </si>
  <si>
    <t xml:space="preserve">CCGGACCTCGGCCTGAACAG</t>
  </si>
  <si>
    <t xml:space="preserve">TAGTCCGGACCTCGGCCTGAACAG</t>
  </si>
  <si>
    <t xml:space="preserve">AAACCTGTTCAGGCCGAGGTCCGG</t>
  </si>
  <si>
    <t xml:space="preserve">CAGCTGCAATGGCTTGATAC</t>
  </si>
  <si>
    <t xml:space="preserve">TAGTCAGCTGCAATGGCTTGATAC</t>
  </si>
  <si>
    <t xml:space="preserve">AAACGTATCAAGCCATTGCAGCTG</t>
  </si>
  <si>
    <t xml:space="preserve">CCCGGTGGCAGAAGCACTTC</t>
  </si>
  <si>
    <t xml:space="preserve">TAGTCCCGGTGGCAGAAGCACTTC</t>
  </si>
  <si>
    <t xml:space="preserve">AAACGAAGTGCTTCTGCCACCGGG</t>
  </si>
  <si>
    <t xml:space="preserve">PSPPH_0263</t>
  </si>
  <si>
    <t xml:space="preserve">CGACTGGCCAGGGGAGTATT</t>
  </si>
  <si>
    <t xml:space="preserve">TAGTCGACTGGCCAGGGGAGTATT</t>
  </si>
  <si>
    <t xml:space="preserve">AAACAATACTCCCCTGGCCAGTCG</t>
  </si>
  <si>
    <t xml:space="preserve">CGCAGTGAGAGTGGTCATGG</t>
  </si>
  <si>
    <t xml:space="preserve">TAGTCGCAGTGAGAGTGGTCATGG</t>
  </si>
  <si>
    <t xml:space="preserve">AAACCCATGACCACTCTCACTGCG</t>
  </si>
  <si>
    <t xml:space="preserve">CAGCGCATCGGCTTCAGCGA</t>
  </si>
  <si>
    <t xml:space="preserve">TAGTCAGCGCATCGGCTTCAGCGA</t>
  </si>
  <si>
    <t xml:space="preserve">AAACTCGCTGAAGCCGATGCGCTG</t>
  </si>
  <si>
    <t xml:space="preserve">GGTCAGGCGCAGACCCTGTT</t>
  </si>
  <si>
    <t xml:space="preserve">TAGTGGTCAGGCGCAGACCCTGTT</t>
  </si>
  <si>
    <t xml:space="preserve">AAACAACAGGGTCTGCGCCTGACC</t>
  </si>
  <si>
    <t xml:space="preserve">PSPPH_0264</t>
  </si>
  <si>
    <t xml:space="preserve">znuC</t>
  </si>
  <si>
    <t xml:space="preserve">GTTGTCCAGAACGCTTTGCC</t>
  </si>
  <si>
    <t xml:space="preserve">TAGTGTTGTCCAGAACGCTTTGCC</t>
  </si>
  <si>
    <t xml:space="preserve">AAACGGCAAAGCGTTCTGGACAAC</t>
  </si>
  <si>
    <t xml:space="preserve">CGCCCGGCTTTACGCTCAAC</t>
  </si>
  <si>
    <t xml:space="preserve">TAGTCGCCCGGCTTTACGCTCAAC</t>
  </si>
  <si>
    <t xml:space="preserve">AAACGTTGAGCGTAAAGCCGGGCG</t>
  </si>
  <si>
    <t xml:space="preserve">CAGCACTGCACGCACCAGCG</t>
  </si>
  <si>
    <t xml:space="preserve">TAGTCAGCACTGCACGCACCAGCG</t>
  </si>
  <si>
    <t xml:space="preserve">AAACCGCTGGTGCGTGCAGTGCTG</t>
  </si>
  <si>
    <t xml:space="preserve">CGCCAGACGGTTCCGGAGTC</t>
  </si>
  <si>
    <t xml:space="preserve">TAGTCGCCAGACGGTTCCGGAGTC</t>
  </si>
  <si>
    <t xml:space="preserve">AAACGACTCCGGAACCGTCTGGCG</t>
  </si>
  <si>
    <t xml:space="preserve">PSPPH_0265</t>
  </si>
  <si>
    <t xml:space="preserve">znuB</t>
  </si>
  <si>
    <t xml:space="preserve">CAGAGCAACGCCTGCGAGCA</t>
  </si>
  <si>
    <t xml:space="preserve">TAGTCAGAGCAACGCCTGCGAGCA</t>
  </si>
  <si>
    <t xml:space="preserve">AAACTGCTCGCAGGCGTTGCTCTG</t>
  </si>
  <si>
    <t xml:space="preserve">AGACCACGAACGACCCGAGC</t>
  </si>
  <si>
    <t xml:space="preserve">TAGTAGACCACGAACGACCCGAGC</t>
  </si>
  <si>
    <t xml:space="preserve">AAACGCTCGGGTCGTTCGTGGTCT</t>
  </si>
  <si>
    <t xml:space="preserve">CACACCGAGCAATGCTGCGT</t>
  </si>
  <si>
    <t xml:space="preserve">TAGTCACACCGAGCAATGCTGCGT</t>
  </si>
  <si>
    <t xml:space="preserve">AAACACGCAGCATTGCTCGGTGTG</t>
  </si>
  <si>
    <t xml:space="preserve">TGGTCGGGCTGATATCCAGC</t>
  </si>
  <si>
    <t xml:space="preserve">TAGTTGGTCGGGCTGATATCCAGC</t>
  </si>
  <si>
    <t xml:space="preserve">AAACGCTGGATATCAGCCCGACCA</t>
  </si>
  <si>
    <t xml:space="preserve">PSPPH_0266</t>
  </si>
  <si>
    <t xml:space="preserve">AGCAGATAGCGTGGGGCGAA</t>
  </si>
  <si>
    <t xml:space="preserve">TAGTAGCAGATAGCGTGGGGCGAA</t>
  </si>
  <si>
    <t xml:space="preserve">AAACTTCGCCCCACGCTATCTGCT</t>
  </si>
  <si>
    <t xml:space="preserve">TTGGCAGGCACCCAGCAGGA</t>
  </si>
  <si>
    <t xml:space="preserve">TAGTTTGGCAGGCACCCAGCAGGA</t>
  </si>
  <si>
    <t xml:space="preserve">AAACTCCTGCTGGGTGCCTGCCAA</t>
  </si>
  <si>
    <t xml:space="preserve">GAGGCAGGCGTCTCGGCAGT</t>
  </si>
  <si>
    <t xml:space="preserve">TAGTGAGGCAGGCGTCTCGGCAGT</t>
  </si>
  <si>
    <t xml:space="preserve">AAACACTGCCGAGACGCCTGCCTC</t>
  </si>
  <si>
    <t xml:space="preserve">GAACGCGTCAGGCTGAACGT</t>
  </si>
  <si>
    <t xml:space="preserve">TAGTGAACGCGTCAGGCTGAACGT</t>
  </si>
  <si>
    <t xml:space="preserve">AAACACGTTCAGCCTGACGCGTTC</t>
  </si>
  <si>
    <t xml:space="preserve">PSPPH_0267</t>
  </si>
  <si>
    <t xml:space="preserve">katE</t>
  </si>
  <si>
    <t xml:space="preserve">TTGGGCGTTGCGGTTACAGG</t>
  </si>
  <si>
    <t xml:space="preserve">TAGTTTGGGCGTTGCGGTTACAGG</t>
  </si>
  <si>
    <t xml:space="preserve">AAACCCTGTAACCGCAACGCCCAA</t>
  </si>
  <si>
    <t xml:space="preserve">ATTGCCACGGTCCAGGGTGT</t>
  </si>
  <si>
    <t xml:space="preserve">TAGTATTGCCACGGTCCAGGGTGT</t>
  </si>
  <si>
    <t xml:space="preserve">AAACACACCCTGGACCGTGGCAAT</t>
  </si>
  <si>
    <t xml:space="preserve">AAGGCTTTCCAGCTTGTCGT</t>
  </si>
  <si>
    <t xml:space="preserve">TAGTAAGGCTTTCCAGCTTGTCGT</t>
  </si>
  <si>
    <t xml:space="preserve">AAACACGACAAGCTGGAAAGCCTT</t>
  </si>
  <si>
    <t xml:space="preserve">CCTGCTGGGTCGCGTCCGAG</t>
  </si>
  <si>
    <t xml:space="preserve">TAGTCCTGCTGGGTCGCGTCCGAG</t>
  </si>
  <si>
    <t xml:space="preserve">AAACCTCGGACGCGACCCAGCAGG</t>
  </si>
  <si>
    <t xml:space="preserve">PSPPH_0268</t>
  </si>
  <si>
    <t xml:space="preserve">GACGTTATGAAACTCGATCA</t>
  </si>
  <si>
    <t xml:space="preserve">TAGTGACGTTATGAAACTCGATCA</t>
  </si>
  <si>
    <t xml:space="preserve">AAACTGATCGAGTTTCATAACGTC</t>
  </si>
  <si>
    <t xml:space="preserve">CTGCCACCCGATAGGTTTTG</t>
  </si>
  <si>
    <t xml:space="preserve">TAGTCTGCCACCCGATAGGTTTTG</t>
  </si>
  <si>
    <t xml:space="preserve">AAACCAAAACCTATCGGGTGGCAG</t>
  </si>
  <si>
    <t xml:space="preserve">AGGCTGGTAGGGTGCAGGGC</t>
  </si>
  <si>
    <t xml:space="preserve">TAGTAGGCTGGTAGGGTGCAGGGC</t>
  </si>
  <si>
    <t xml:space="preserve">AAACGCCCTGCACCCTACCAGCCT</t>
  </si>
  <si>
    <t xml:space="preserve">CCTGGCCGCCGTCGACGCGC</t>
  </si>
  <si>
    <t xml:space="preserve">TAGTCCTGGCCGCCGTCGACGCGC</t>
  </si>
  <si>
    <t xml:space="preserve">AAACGCGCGTCGACGGCGGCCAGG</t>
  </si>
  <si>
    <t xml:space="preserve">PSPPH_0269</t>
  </si>
  <si>
    <t xml:space="preserve">ACCAGTCGACATTGGAAAAC</t>
  </si>
  <si>
    <t xml:space="preserve">TAGTACCAGTCGACATTGGAAAAC</t>
  </si>
  <si>
    <t xml:space="preserve">AAACGTTTTCCAATGTCGACTGGT</t>
  </si>
  <si>
    <t xml:space="preserve">CATGATCAACGTGTCGCCGG</t>
  </si>
  <si>
    <t xml:space="preserve">TAGTCATGATCAACGTGTCGCCGG</t>
  </si>
  <si>
    <t xml:space="preserve">AAACCCGGCGACACGTTGATCATG</t>
  </si>
  <si>
    <t xml:space="preserve">CAGCGGCAGGCCAAGCAGGA</t>
  </si>
  <si>
    <t xml:space="preserve">TAGTCAGCGGCAGGCCAAGCAGGA</t>
  </si>
  <si>
    <t xml:space="preserve">AAACTCCTGCTTGGCCTGCCGCTG</t>
  </si>
  <si>
    <t xml:space="preserve">GCAACTGCCGCGGCGAAGTG</t>
  </si>
  <si>
    <t xml:space="preserve">TAGTGCAACTGCCGCGGCGAAGTG</t>
  </si>
  <si>
    <t xml:space="preserve">AAACCACTTCGCCGCGGCAGTTGC</t>
  </si>
  <si>
    <t xml:space="preserve">PSPPH_0270</t>
  </si>
  <si>
    <t xml:space="preserve">GGCGGTGACAGCGGCGAATA</t>
  </si>
  <si>
    <t xml:space="preserve">TAGTGGCGGTGACAGCGGCGAATA</t>
  </si>
  <si>
    <t xml:space="preserve">AAACTATTCGCCGCTGTCACCGCC</t>
  </si>
  <si>
    <t xml:space="preserve">TTCGTTGGCTTGCGCGGACA</t>
  </si>
  <si>
    <t xml:space="preserve">TAGTTTCGTTGGCTTGCGCGGACA</t>
  </si>
  <si>
    <t xml:space="preserve">AAACTGTCCGCGCAAGCCAACGAA</t>
  </si>
  <si>
    <t xml:space="preserve">GGCAGAGGCCGCGACGGTCA</t>
  </si>
  <si>
    <t xml:space="preserve">TAGTGGCAGAGGCCGCGACGGTCA</t>
  </si>
  <si>
    <t xml:space="preserve">AAACTGACCGTCGCGGCCTCTGCC</t>
  </si>
  <si>
    <t xml:space="preserve">GAGGATCTCGGCGTGCGGCA</t>
  </si>
  <si>
    <t xml:space="preserve">TAGTGAGGATCTCGGCGTGCGGCA</t>
  </si>
  <si>
    <t xml:space="preserve">AAACTGCCGCACGCCGAGATCCTC</t>
  </si>
  <si>
    <t xml:space="preserve">PSPPH_0271</t>
  </si>
  <si>
    <t xml:space="preserve">GCATCAACGCGAGTAGTGAT</t>
  </si>
  <si>
    <t xml:space="preserve">TAGTGCATCAACGCGAGTAGTGAT</t>
  </si>
  <si>
    <t xml:space="preserve">AAACATCACTACTCGCGTTGATGC</t>
  </si>
  <si>
    <t xml:space="preserve">TGTTTTCTGGGTACGGGTCA</t>
  </si>
  <si>
    <t xml:space="preserve">TAGTTGTTTTCTGGGTACGGGTCA</t>
  </si>
  <si>
    <t xml:space="preserve">AAACTGACCCGTACCCAGAAAACA</t>
  </si>
  <si>
    <t xml:space="preserve">CAGAACGAGGGCAACAATGG</t>
  </si>
  <si>
    <t xml:space="preserve">TAGTCAGAACGAGGGCAACAATGG</t>
  </si>
  <si>
    <t xml:space="preserve">AAACCCATTGTTGCCCTCGTTCTG</t>
  </si>
  <si>
    <t xml:space="preserve">GCAGCAACTGGCTGAGGATC</t>
  </si>
  <si>
    <t xml:space="preserve">TAGTGCAGCAACTGGCTGAGGATC</t>
  </si>
  <si>
    <t xml:space="preserve">AAACGATCCTCAGCCAGTTGCTGC</t>
  </si>
  <si>
    <t xml:space="preserve">PSPPH_0272</t>
  </si>
  <si>
    <t xml:space="preserve">GCAAGCCGCTTGGATAAAAG</t>
  </si>
  <si>
    <t xml:space="preserve">TAGTGCAAGCCGCTTGGATAAAAG</t>
  </si>
  <si>
    <t xml:space="preserve">AAACCTTTTATCCAAGCGGCTTGC</t>
  </si>
  <si>
    <t xml:space="preserve">GTCAGCAAAGCATAGAGCGA</t>
  </si>
  <si>
    <t xml:space="preserve">TAGTGTCAGCAAAGCATAGAGCGA</t>
  </si>
  <si>
    <t xml:space="preserve">AAACTCGCTCTATGCTTTGCTGAC</t>
  </si>
  <si>
    <t xml:space="preserve">GTCGCCGTTTCTGTCATGCC</t>
  </si>
  <si>
    <t xml:space="preserve">TAGTGTCGCCGTTTCTGTCATGCC</t>
  </si>
  <si>
    <t xml:space="preserve">AAACGGCATGACAGAAACGGCGAC</t>
  </si>
  <si>
    <t xml:space="preserve">CGTTCTGCCGCGAAGCGTCC</t>
  </si>
  <si>
    <t xml:space="preserve">TAGTCGTTCTGCCGCGAAGCGTCC</t>
  </si>
  <si>
    <t xml:space="preserve">AAACGGACGCTTCGCGGCAGAACG</t>
  </si>
  <si>
    <t xml:space="preserve">PSPPH_0273</t>
  </si>
  <si>
    <t xml:space="preserve">GCGCAATGCGGCGGTGTTCA</t>
  </si>
  <si>
    <t xml:space="preserve">TAGTGCGCAATGCGGCGGTGTTCA</t>
  </si>
  <si>
    <t xml:space="preserve">AAACTGAACACCGCCGCATTGCGC</t>
  </si>
  <si>
    <t xml:space="preserve">GGTCTCGGCTTCATGTTGAT</t>
  </si>
  <si>
    <t xml:space="preserve">TAGTGGTCTCGGCTTCATGTTGAT</t>
  </si>
  <si>
    <t xml:space="preserve">AAACATCAACATGAAGCCGAGACC</t>
  </si>
  <si>
    <t xml:space="preserve">CAACTGTTGCAGCAAGTGGC</t>
  </si>
  <si>
    <t xml:space="preserve">TAGTCAACTGTTGCAGCAAGTGGC</t>
  </si>
  <si>
    <t xml:space="preserve">AAACGCCACTTGCTGCAACAGTTG</t>
  </si>
  <si>
    <t xml:space="preserve">GAATGGCGGGATGAAGATGT</t>
  </si>
  <si>
    <t xml:space="preserve">TAGTGAATGGCGGGATGAAGATGT</t>
  </si>
  <si>
    <t xml:space="preserve">AAACACATCTTCATCCCGCCATTC</t>
  </si>
  <si>
    <t xml:space="preserve">PSPPH_0274</t>
  </si>
  <si>
    <t xml:space="preserve">GAGCAGCTCCCGTGGTAAAG</t>
  </si>
  <si>
    <t xml:space="preserve">TAGTGAGCAGCTCCCGTGGTAAAG</t>
  </si>
  <si>
    <t xml:space="preserve">AAACCTTTACCACGGGAGCTGCTC</t>
  </si>
  <si>
    <t xml:space="preserve">GGCGACCAGAAACACGACCA</t>
  </si>
  <si>
    <t xml:space="preserve">TAGTGGCGACCAGAAACACGACCA</t>
  </si>
  <si>
    <t xml:space="preserve">AAACTGGTCGTGTTTCTGGTCGCC</t>
  </si>
  <si>
    <t xml:space="preserve">GATCCCCATGCACAGCGGCA</t>
  </si>
  <si>
    <t xml:space="preserve">TAGTGATCCCCATGCACAGCGGCA</t>
  </si>
  <si>
    <t xml:space="preserve">AAACTGCCGCTGTGCATGGGGATC</t>
  </si>
  <si>
    <t xml:space="preserve">CGGAGGCATGCCGGATGCAA</t>
  </si>
  <si>
    <t xml:space="preserve">TAGTCGGAGGCATGCCGGATGCAA</t>
  </si>
  <si>
    <t xml:space="preserve">AAACTTGCATCCGGCATGCCTCCG</t>
  </si>
  <si>
    <t xml:space="preserve">PSPPH_0275</t>
  </si>
  <si>
    <t xml:space="preserve">cynT</t>
  </si>
  <si>
    <t xml:space="preserve">TGAACAGTTCTTCCTGCTGG</t>
  </si>
  <si>
    <t xml:space="preserve">TAGTTGAACAGTTCTTCCTGCTGG</t>
  </si>
  <si>
    <t xml:space="preserve">AAACCCAGCAGGAAGAACTGTTCA</t>
  </si>
  <si>
    <t xml:space="preserve">CATGGCCCGTGGCGACTGGG</t>
  </si>
  <si>
    <t xml:space="preserve">TAGTCATGGCCCGTGGCGACTGGG</t>
  </si>
  <si>
    <t xml:space="preserve">AAACCCCAGTCGCCACGGGCCATG</t>
  </si>
  <si>
    <t xml:space="preserve">CACGATGCGCGAGTCGGCGC</t>
  </si>
  <si>
    <t xml:space="preserve">TAGTCACGATGCGCGAGTCGGCGC</t>
  </si>
  <si>
    <t xml:space="preserve">AAACGCGCCGACTCGCGCATCGTG</t>
  </si>
  <si>
    <t xml:space="preserve">GAGCTTTGGGTAATCAGTTC</t>
  </si>
  <si>
    <t xml:space="preserve">TAGTGAGCTTTGGGTAATCAGTTC</t>
  </si>
  <si>
    <t xml:space="preserve">AAACGAACTGATTACCCAAAGCTC</t>
  </si>
  <si>
    <t xml:space="preserve">PSPPH_0276</t>
  </si>
  <si>
    <t xml:space="preserve">GCCACGAACCGGATAGGGGC</t>
  </si>
  <si>
    <t xml:space="preserve">TAGTGCCACGAACCGGATAGGGGC</t>
  </si>
  <si>
    <t xml:space="preserve">AAACGCCCCTATCCGGTTCGTGGC</t>
  </si>
  <si>
    <t xml:space="preserve">GCGGGTTGCTGGCAGTACCG</t>
  </si>
  <si>
    <t xml:space="preserve">TAGTGCGGGTTGCTGGCAGTACCG</t>
  </si>
  <si>
    <t xml:space="preserve">AAACCGGTACTGCCAGCAACCCGC</t>
  </si>
  <si>
    <t xml:space="preserve">TCCTCGGCCACGGACTGGCT</t>
  </si>
  <si>
    <t xml:space="preserve">TAGTTCCTCGGCCACGGACTGGCT</t>
  </si>
  <si>
    <t xml:space="preserve">AAACAGCCAGTCCGTGGCCGAGGA</t>
  </si>
  <si>
    <t xml:space="preserve">ACCTGAGTGCCTTGGGTAAG</t>
  </si>
  <si>
    <t xml:space="preserve">TAGTACCTGAGTGCCTTGGGTAAG</t>
  </si>
  <si>
    <t xml:space="preserve">AAACCTTACCCAAGGCACTCAGGT</t>
  </si>
  <si>
    <t xml:space="preserve">PSPPH_0277</t>
  </si>
  <si>
    <t xml:space="preserve">elbB</t>
  </si>
  <si>
    <t xml:space="preserve">CATAGACGCCACAACCGGAC</t>
  </si>
  <si>
    <t xml:space="preserve">TAGTCATAGACGCCACAACCGGAC</t>
  </si>
  <si>
    <t xml:space="preserve">AAACGTCCGGTTGTGGCGTCTATG</t>
  </si>
  <si>
    <t xml:space="preserve">GAGGACGCTTTCATGGATTT</t>
  </si>
  <si>
    <t xml:space="preserve">TAGTGAGGACGCTTTCATGGATTT</t>
  </si>
  <si>
    <t xml:space="preserve">AAACAAATCCATGAAAGCGTCCTC</t>
  </si>
  <si>
    <t xml:space="preserve">ACGTTGATCCAGACGAAGCA</t>
  </si>
  <si>
    <t xml:space="preserve">TAGTACGTTGATCCAGACGAAGCA</t>
  </si>
  <si>
    <t xml:space="preserve">AAACTGCTTCGTCTGGATCAACGT</t>
  </si>
  <si>
    <t xml:space="preserve">CGATGTTCGGCGCAAAGCAC</t>
  </si>
  <si>
    <t xml:space="preserve">TAGTCGATGTTCGGCGCAAAGCAC</t>
  </si>
  <si>
    <t xml:space="preserve">AAACGTGCTTTGCGCCGAACATCG</t>
  </si>
  <si>
    <t xml:space="preserve">PSPPH_0278</t>
  </si>
  <si>
    <t xml:space="preserve">CGAATTCGTTCAAGAAATTC</t>
  </si>
  <si>
    <t xml:space="preserve">TAGTCGAATTCGTTCAAGAAATTC</t>
  </si>
  <si>
    <t xml:space="preserve">AAACGAATTTCTTGAACGAATTCG</t>
  </si>
  <si>
    <t xml:space="preserve">AAAAAAGGTGCCGAGGAACA</t>
  </si>
  <si>
    <t xml:space="preserve">TAGTAAAAAAGGTGCCGAGGAACA</t>
  </si>
  <si>
    <t xml:space="preserve">AAACTGTTCCTCGGCACCTTTTTT</t>
  </si>
  <si>
    <t xml:space="preserve">AAAGCCGGCGAGAACGAGAA</t>
  </si>
  <si>
    <t xml:space="preserve">TAGTAAAGCCGGCGAGAACGAGAA</t>
  </si>
  <si>
    <t xml:space="preserve">AAACTTCTCGTTCTCGCCGGCTTT</t>
  </si>
  <si>
    <t xml:space="preserve">CAACGAGTATGACGATATTG</t>
  </si>
  <si>
    <t xml:space="preserve">TAGTCAACGAGTATGACGATATTG</t>
  </si>
  <si>
    <t xml:space="preserve">AAACCAATATCGTCATACTCGTTG</t>
  </si>
  <si>
    <t xml:space="preserve">PSPPH_0279</t>
  </si>
  <si>
    <t xml:space="preserve">hemB</t>
  </si>
  <si>
    <t xml:space="preserve">GTTTGCGGGGGTAAAGCTCA</t>
  </si>
  <si>
    <t xml:space="preserve">TAGTGTTTGCGGGGGTAAAGCTCA</t>
  </si>
  <si>
    <t xml:space="preserve">AAACTGAGCTTTACCCCCGCAAAC</t>
  </si>
  <si>
    <t xml:space="preserve">GACGAGTGAGAGGAAACAGG</t>
  </si>
  <si>
    <t xml:space="preserve">TAGTGACGAGTGAGAGGAAACAGG</t>
  </si>
  <si>
    <t xml:space="preserve">AAACCCTGTTTCCTCTCACTCGTC</t>
  </si>
  <si>
    <t xml:space="preserve">AAAAGTCGTCGCGGCGATTA</t>
  </si>
  <si>
    <t xml:space="preserve">TAGTAAAAGTCGTCGCGGCGATTA</t>
  </si>
  <si>
    <t xml:space="preserve">AAACTAATCGCCGCGACGACTTTT</t>
  </si>
  <si>
    <t xml:space="preserve">GTTTTCACGCACCAGCCTAC</t>
  </si>
  <si>
    <t xml:space="preserve">TAGTGTTTTCACGCACCAGCCTAC</t>
  </si>
  <si>
    <t xml:space="preserve">AAACGTAGGCTGGTGCGTGAAAAC</t>
  </si>
  <si>
    <t xml:space="preserve">PSPPH_0280</t>
  </si>
  <si>
    <t xml:space="preserve">ppk</t>
  </si>
  <si>
    <t xml:space="preserve">AGCGGCTTCGATGAGTGCTT</t>
  </si>
  <si>
    <t xml:space="preserve">TAGTAGCGGCTTCGATGAGTGCTT</t>
  </si>
  <si>
    <t xml:space="preserve">AAACAAGCACTCATCGAAGCCGCT</t>
  </si>
  <si>
    <t xml:space="preserve">TCAACCGCGGGCGTCGCCTG</t>
  </si>
  <si>
    <t xml:space="preserve">TAGTTCAACCGCGGGCGTCGCCTG</t>
  </si>
  <si>
    <t xml:space="preserve">AAACCAGGCGACGCCCGCGGTTGA</t>
  </si>
  <si>
    <t xml:space="preserve">GCCGGGATTACTTCGATGTC</t>
  </si>
  <si>
    <t xml:space="preserve">TAGTGCCGGGATTACTTCGATGTC</t>
  </si>
  <si>
    <t xml:space="preserve">AAACGACATCGAAGTAATCCCGGC</t>
  </si>
  <si>
    <t xml:space="preserve">TGTAGCGGCAGGTGCCTCAA</t>
  </si>
  <si>
    <t xml:space="preserve">TAGTTGTAGCGGCAGGTGCCTCAA</t>
  </si>
  <si>
    <t xml:space="preserve">AAACTTGAGGCACCTGCCGCTACA</t>
  </si>
  <si>
    <t xml:space="preserve">PSPPH_0281</t>
  </si>
  <si>
    <t xml:space="preserve">ppx</t>
  </si>
  <si>
    <t xml:space="preserve">CTTGGGTGTTGAGTGCGGCA</t>
  </si>
  <si>
    <t xml:space="preserve">TAGTCTTGGGTGTTGAGTGCGGCA</t>
  </si>
  <si>
    <t xml:space="preserve">AAACTGCCGCACTCAACACCCAAG</t>
  </si>
  <si>
    <t xml:space="preserve">GTTGGAGCCCAGGTCGATGG</t>
  </si>
  <si>
    <t xml:space="preserve">TAGTGTTGGAGCCCAGGTCGATGG</t>
  </si>
  <si>
    <t xml:space="preserve">AAACCCATCGACCTGGGCTCCAAC</t>
  </si>
  <si>
    <t xml:space="preserve">AATGCGAATTTCGCCCTGAT</t>
  </si>
  <si>
    <t xml:space="preserve">TAGTAATGCGAATTTCGCCCTGAT</t>
  </si>
  <si>
    <t xml:space="preserve">AAACATCAGGGCGAAATTCGCATT</t>
  </si>
  <si>
    <t xml:space="preserve">CCAACTGCACCTTCTCGCCC</t>
  </si>
  <si>
    <t xml:space="preserve">TAGTCCAACTGCACCTTCTCGCCC</t>
  </si>
  <si>
    <t xml:space="preserve">AAACGGGCGAGAAGGTGCAGTTGG</t>
  </si>
  <si>
    <t xml:space="preserve">PSPPH_0282</t>
  </si>
  <si>
    <t xml:space="preserve">GCCATAGTATTTATGCAGGG</t>
  </si>
  <si>
    <t xml:space="preserve">TAGTGCCATAGTATTTATGCAGGG</t>
  </si>
  <si>
    <t xml:space="preserve">AAACCCCTGCATAAATACTATGGC</t>
  </si>
  <si>
    <t xml:space="preserve">GACCAATGATTGCCACGACC</t>
  </si>
  <si>
    <t xml:space="preserve">TAGTGACCAATGATTGCCACGACC</t>
  </si>
  <si>
    <t xml:space="preserve">AAACGGTCGTGGCAATCATTGGTC</t>
  </si>
  <si>
    <t xml:space="preserve">GCCGTTGAGCGTGCGCAACA</t>
  </si>
  <si>
    <t xml:space="preserve">TAGTGCCGTTGAGCGTGCGCAACA</t>
  </si>
  <si>
    <t xml:space="preserve">AAACTGTTGCGCACGCTCAACGGC</t>
  </si>
  <si>
    <t xml:space="preserve">CACCATCGTTGATCGACTCC</t>
  </si>
  <si>
    <t xml:space="preserve">TAGTCACCATCGTTGATCGACTCC</t>
  </si>
  <si>
    <t xml:space="preserve">AAACGGAGTCGATCAACGATGGTG</t>
  </si>
  <si>
    <t xml:space="preserve">PSPPH_0283</t>
  </si>
  <si>
    <t xml:space="preserve">ATTGCGCAGGATGTCCCAGA</t>
  </si>
  <si>
    <t xml:space="preserve">TAGTATTGCGCAGGATGTCCCAGA</t>
  </si>
  <si>
    <t xml:space="preserve">AAACTCTGGGACATCCTGCGCAAT</t>
  </si>
  <si>
    <t xml:space="preserve">ACAGGGCAACGGTCCATTGC</t>
  </si>
  <si>
    <t xml:space="preserve">TAGTACAGGGCAACGGTCCATTGC</t>
  </si>
  <si>
    <t xml:space="preserve">AAACGCAATGGACCGTTGCCCTGT</t>
  </si>
  <si>
    <t xml:space="preserve">GATCAAGCCACCGCCAATGA</t>
  </si>
  <si>
    <t xml:space="preserve">TAGTGATCAAGCCACCGCCAATGA</t>
  </si>
  <si>
    <t xml:space="preserve">AAACTCATTGGCGGTGGCTTGATC</t>
  </si>
  <si>
    <t xml:space="preserve">ACGCGGGCCGGTTTTTTCCG</t>
  </si>
  <si>
    <t xml:space="preserve">TAGTACGCGGGCCGGTTTTTTCCG</t>
  </si>
  <si>
    <t xml:space="preserve">AAACCGGAAAAAACCGGCCCGCGT</t>
  </si>
  <si>
    <t xml:space="preserve">PSPPH_0284</t>
  </si>
  <si>
    <t xml:space="preserve">AAGTCGAAATGATAAGCCAT</t>
  </si>
  <si>
    <t xml:space="preserve">TAGTAAGTCGAAATGATAAGCCAT</t>
  </si>
  <si>
    <t xml:space="preserve">AAACATGGCTTATCATTTCGACTT</t>
  </si>
  <si>
    <t xml:space="preserve">ACATCAATGTTCTGCAGGAC</t>
  </si>
  <si>
    <t xml:space="preserve">TAGTACATCAATGTTCTGCAGGAC</t>
  </si>
  <si>
    <t xml:space="preserve">AAACGTCCTGCAGAACATTGATGT</t>
  </si>
  <si>
    <t xml:space="preserve">GACGCCCAGCAGGGTGCCAA</t>
  </si>
  <si>
    <t xml:space="preserve">TAGTGACGCCCAGCAGGGTGCCAA</t>
  </si>
  <si>
    <t xml:space="preserve">AAACTTGGCACCCTGCTGGGCGTC</t>
  </si>
  <si>
    <t xml:space="preserve">CGACGGCACCGACAATGCCG</t>
  </si>
  <si>
    <t xml:space="preserve">TAGTCGACGGCACCGACAATGCCG</t>
  </si>
  <si>
    <t xml:space="preserve">AAACCGGCATTGTCGGTGCCGTCG</t>
  </si>
  <si>
    <t xml:space="preserve">PSPPH_0285</t>
  </si>
  <si>
    <t xml:space="preserve">AAGCGCTGCCGCCCCAGCAC</t>
  </si>
  <si>
    <t xml:space="preserve">TAGTAAGCGCTGCCGCCCCAGCAC</t>
  </si>
  <si>
    <t xml:space="preserve">AAACGTGCTGGGGCGGCAGCGCTT</t>
  </si>
  <si>
    <t xml:space="preserve">AGGTGTGGCTCGCCCTGCTT</t>
  </si>
  <si>
    <t xml:space="preserve">TAGTAGGTGTGGCTCGCCCTGCTT</t>
  </si>
  <si>
    <t xml:space="preserve">AAACAAGCAGGGCGAGCCACACCT</t>
  </si>
  <si>
    <t xml:space="preserve">CTTACTGGTCTGACCAGTAA</t>
  </si>
  <si>
    <t xml:space="preserve">TAGTCTTACTGGTCTGACCAGTAA</t>
  </si>
  <si>
    <t xml:space="preserve">AAACTTACTGGTCAGACCAGTAAG</t>
  </si>
  <si>
    <t xml:space="preserve">CAAGCTTTGCAGCGTGTTTA</t>
  </si>
  <si>
    <t xml:space="preserve">TAGTCAAGCTTTGCAGCGTGTTTA</t>
  </si>
  <si>
    <t xml:space="preserve">AAACTAAACACGCTGCAAAGCTTG</t>
  </si>
  <si>
    <t xml:space="preserve">PSPPH_0286</t>
  </si>
  <si>
    <t xml:space="preserve">GGTACTGCGAGTGAGGTGTG</t>
  </si>
  <si>
    <t xml:space="preserve">TAGTGGTACTGCGAGTGAGGTGTG</t>
  </si>
  <si>
    <t xml:space="preserve">AAACCACACCTCACTCGCAGTACC</t>
  </si>
  <si>
    <t xml:space="preserve">ATGGCCCGGAGGGCTGATTC</t>
  </si>
  <si>
    <t xml:space="preserve">TAGTATGGCCCGGAGGGCTGATTC</t>
  </si>
  <si>
    <t xml:space="preserve">AAACGAATCAGCCCTCCGGGCCAT</t>
  </si>
  <si>
    <t xml:space="preserve">GCCGGGCTTGTAGCCTTGCT</t>
  </si>
  <si>
    <t xml:space="preserve">TAGTGCCGGGCTTGTAGCCTTGCT</t>
  </si>
  <si>
    <t xml:space="preserve">AAACAGCAAGGCTACAAGCCCGGC</t>
  </si>
  <si>
    <t xml:space="preserve">CCAGATCGCGCTGCGATGGC</t>
  </si>
  <si>
    <t xml:space="preserve">TAGTCCAGATCGCGCTGCGATGGC</t>
  </si>
  <si>
    <t xml:space="preserve">AAACGCCATCGCAGCGCGATCTGG</t>
  </si>
  <si>
    <t xml:space="preserve">PSPPH_0287</t>
  </si>
  <si>
    <t xml:space="preserve">trxA</t>
  </si>
  <si>
    <t xml:space="preserve">TTTGATCTTTTCGTTGCTCA</t>
  </si>
  <si>
    <t xml:space="preserve">TAGTTTTGATCTTTTCGTTGCTCA</t>
  </si>
  <si>
    <t xml:space="preserve">AAACTGAGCAACGAAAAGATCAAA</t>
  </si>
  <si>
    <t xml:space="preserve">TTCGGCTTCGAAGTTAGCGT</t>
  </si>
  <si>
    <t xml:space="preserve">TAGTTTCGGCTTCGAAGTTAGCGT</t>
  </si>
  <si>
    <t xml:space="preserve">AAACACGCTAACTTCGAAGCCGAA</t>
  </si>
  <si>
    <t xml:space="preserve">ACCGGGGCAATCATCTTGCA</t>
  </si>
  <si>
    <t xml:space="preserve">TAGTACCGGGGCAATCATCTTGCA</t>
  </si>
  <si>
    <t xml:space="preserve">AAACTGCAAGATGATTGCCCCGGT</t>
  </si>
  <si>
    <t xml:space="preserve">CAGCTTGCCGGCATAGGTGT</t>
  </si>
  <si>
    <t xml:space="preserve">TAGTCAGCTTGCCGGCATAGGTGT</t>
  </si>
  <si>
    <t xml:space="preserve">AAACACACCTATGCCGGCAAGCTG</t>
  </si>
  <si>
    <t xml:space="preserve">PSPPH_0288</t>
  </si>
  <si>
    <t xml:space="preserve">rho</t>
  </si>
  <si>
    <t xml:space="preserve">GCTTTTGCTTGAGTTCAGTC</t>
  </si>
  <si>
    <t xml:space="preserve">TAGTGCTTTTGCTTGAGTTCAGTC</t>
  </si>
  <si>
    <t xml:space="preserve">AAACGACTGAACTCAAGCAAAAGC</t>
  </si>
  <si>
    <t xml:space="preserve">ATTTCGAGCAATTCGGTAAT</t>
  </si>
  <si>
    <t xml:space="preserve">TAGTATTTCGAGCAATTCGGTAAT</t>
  </si>
  <si>
    <t xml:space="preserve">AAACATTACCGAATTGCTCGAAAT</t>
  </si>
  <si>
    <t xml:space="preserve">ATTTTCTATGCCAGCCTGTT</t>
  </si>
  <si>
    <t xml:space="preserve">TAGTATTTTCTATGCCAGCCTGTT</t>
  </si>
  <si>
    <t xml:space="preserve">AAACAACAGGCTGGCATAGAAAAT</t>
  </si>
  <si>
    <t xml:space="preserve">GACGTCCTGCTTGCGCGAAC</t>
  </si>
  <si>
    <t xml:space="preserve">TAGTGACGTCCTGCTTGCGCGAAC</t>
  </si>
  <si>
    <t xml:space="preserve">AAACGTTCGCGCAAGCAGGACGTC</t>
  </si>
  <si>
    <t xml:space="preserve">PSPPH_0289</t>
  </si>
  <si>
    <t xml:space="preserve">ubiD</t>
  </si>
  <si>
    <t xml:space="preserve">GCACAGGCGAGATCGGCATC</t>
  </si>
  <si>
    <t xml:space="preserve">TAGTGCACAGGCGAGATCGGCATC</t>
  </si>
  <si>
    <t xml:space="preserve">AAACGATGCCGATCTCGCCTGTGC</t>
  </si>
  <si>
    <t xml:space="preserve">GGCCCTTGGCACGCAAGGTA</t>
  </si>
  <si>
    <t xml:space="preserve">TAGTGGCCCTTGGCACGCAAGGTA</t>
  </si>
  <si>
    <t xml:space="preserve">AAACTACCTTGCGTGCCAAGGGCC</t>
  </si>
  <si>
    <t xml:space="preserve">GTTTTTCGAACAGCAGGGCC</t>
  </si>
  <si>
    <t xml:space="preserve">TAGTGTTTTTCGAACAGCAGGGCC</t>
  </si>
  <si>
    <t xml:space="preserve">AAACGGCCCTGCTGTTCGAAAAAC</t>
  </si>
  <si>
    <t xml:space="preserve">ACCGGGATATCAAAACCGAC</t>
  </si>
  <si>
    <t xml:space="preserve">TAGTACCGGGATATCAAAACCGAC</t>
  </si>
  <si>
    <t xml:space="preserve">AAACGTCGGTTTTGATATCCCGGT</t>
  </si>
  <si>
    <t xml:space="preserve">PSPPH_0290</t>
  </si>
  <si>
    <t xml:space="preserve">CACCGCACCTGACGGCTGCA</t>
  </si>
  <si>
    <t xml:space="preserve">TAGTCACCGCACCTGACGGCTGCA</t>
  </si>
  <si>
    <t xml:space="preserve">AAACTGCAGCCGTCAGGTGCGGTG</t>
  </si>
  <si>
    <t xml:space="preserve">GAGAATCCGCTCGCCCGGCA</t>
  </si>
  <si>
    <t xml:space="preserve">TAGTGAGAATCCGCTCGCCCGGCA</t>
  </si>
  <si>
    <t xml:space="preserve">AAACTGCCGGGCGAGCGGATTCTC</t>
  </si>
  <si>
    <t xml:space="preserve">TACCGTTACGACAGCTCTGC</t>
  </si>
  <si>
    <t xml:space="preserve">TAGTTACCGTTACGACAGCTCTGC</t>
  </si>
  <si>
    <t xml:space="preserve">AAACGCAGAGCTGTCGTAACGGTA</t>
  </si>
  <si>
    <t xml:space="preserve">CACTCGCCCCTCGACCAGCA</t>
  </si>
  <si>
    <t xml:space="preserve">TAGTCACTCGCCCCTCGACCAGCA</t>
  </si>
  <si>
    <t xml:space="preserve">AAACTGCTGGTCGAGGGGCGAGTG</t>
  </si>
  <si>
    <t xml:space="preserve">PSPPH_0291</t>
  </si>
  <si>
    <t xml:space="preserve">GCAGCGGCCAACTCGTTGAT</t>
  </si>
  <si>
    <t xml:space="preserve">TAGTGCAGCGGCCAACTCGTTGAT</t>
  </si>
  <si>
    <t xml:space="preserve">AAACATCAACGAGTTGGCCGCTGC</t>
  </si>
  <si>
    <t xml:space="preserve">CGGGCGGGTACGTCAGCCCA</t>
  </si>
  <si>
    <t xml:space="preserve">TAGTCGGGCGGGTACGTCAGCCCA</t>
  </si>
  <si>
    <t xml:space="preserve">AAACTGGGCTGACGTACCCGCCCG</t>
  </si>
  <si>
    <t xml:space="preserve">CTGCGGACCCAGATCGATAA</t>
  </si>
  <si>
    <t xml:space="preserve">TAGTCTGCGGACCCAGATCGATAA</t>
  </si>
  <si>
    <t xml:space="preserve">AAACTTATCGATCTGGGTCCGCAG</t>
  </si>
  <si>
    <t xml:space="preserve">GGATGCGAGCAGTTGCTCGC</t>
  </si>
  <si>
    <t xml:space="preserve">TAGTGGATGCGAGCAGTTGCTCGC</t>
  </si>
  <si>
    <t xml:space="preserve">AAACGCGAGCAACTGCTCGCATCC</t>
  </si>
  <si>
    <t xml:space="preserve">PSPPH_0292</t>
  </si>
  <si>
    <t xml:space="preserve">glpT</t>
  </si>
  <si>
    <t xml:space="preserve">GGGGCGGAAGAACCCAAACA</t>
  </si>
  <si>
    <t xml:space="preserve">TAGTGGGGCGGAAGAACCCAAACA</t>
  </si>
  <si>
    <t xml:space="preserve">AAACTGTTTGGGTTCTTCCGCCCC</t>
  </si>
  <si>
    <t xml:space="preserve">AGGGGTGCCTGATGCCTGGC</t>
  </si>
  <si>
    <t xml:space="preserve">TAGTAGGGGTGCCTGATGCCTGGC</t>
  </si>
  <si>
    <t xml:space="preserve">AAACGCCAGGCATCAGGCACCCCT</t>
  </si>
  <si>
    <t xml:space="preserve">TATCGACCTTTTCTTCGGGA</t>
  </si>
  <si>
    <t xml:space="preserve">TAGTTATCGACCTTTTCTTCGGGA</t>
  </si>
  <si>
    <t xml:space="preserve">AAACTCCCGAAGAAAAGGTCGATA</t>
  </si>
  <si>
    <t xml:space="preserve">CTGCCAGCGCAGACGCCGAT</t>
  </si>
  <si>
    <t xml:space="preserve">TAGTCTGCCAGCGCAGACGCCGAT</t>
  </si>
  <si>
    <t xml:space="preserve">AAACATCGGCGTCTGCGCTGGCAG</t>
  </si>
  <si>
    <t xml:space="preserve">PSPPH_0293</t>
  </si>
  <si>
    <t xml:space="preserve">CAGTGCGACGGCAATCATGA</t>
  </si>
  <si>
    <t xml:space="preserve">TAGTCAGTGCGACGGCAATCATGA</t>
  </si>
  <si>
    <t xml:space="preserve">AAACTCATGATTGCCGTCGCACTG</t>
  </si>
  <si>
    <t xml:space="preserve">CTCCGTCGCGCCAACGTGCG</t>
  </si>
  <si>
    <t xml:space="preserve">TAGTCTCCGTCGCGCCAACGTGCG</t>
  </si>
  <si>
    <t xml:space="preserve">AAACCGCACGTTGGCGCGACGGAG</t>
  </si>
  <si>
    <t xml:space="preserve">ACCGGTGCTGGCGTGTACAC</t>
  </si>
  <si>
    <t xml:space="preserve">TAGTACCGGTGCTGGCGTGTACAC</t>
  </si>
  <si>
    <t xml:space="preserve">AAACGTGTACACGCCAGCACCGGT</t>
  </si>
  <si>
    <t xml:space="preserve">CGGGTCTTGACCAGTTCAGG</t>
  </si>
  <si>
    <t xml:space="preserve">TAGTCGGGTCTTGACCAGTTCAGG</t>
  </si>
  <si>
    <t xml:space="preserve">AAACCCTGAACTGGTCAAGACCCG</t>
  </si>
  <si>
    <t xml:space="preserve">PSPPH_0294</t>
  </si>
  <si>
    <t xml:space="preserve">ACACGATCACACTCAGCACG</t>
  </si>
  <si>
    <t xml:space="preserve">TAGTACACGATCACACTCAGCACG</t>
  </si>
  <si>
    <t xml:space="preserve">AAACCGTGCTGAGTGTGATCGTGT</t>
  </si>
  <si>
    <t xml:space="preserve">TACAACGGCACCGGATACGA</t>
  </si>
  <si>
    <t xml:space="preserve">TAGTTACAACGGCACCGGATACGA</t>
  </si>
  <si>
    <t xml:space="preserve">AAACTCGTATCCGGTGCCGTTGTA</t>
  </si>
  <si>
    <t xml:space="preserve">GACGCCGGATAGTCCGGCTC</t>
  </si>
  <si>
    <t xml:space="preserve">TAGTGACGCCGGATAGTCCGGCTC</t>
  </si>
  <si>
    <t xml:space="preserve">AAACGAGCCGGACTATCCGGCGTC</t>
  </si>
  <si>
    <t xml:space="preserve">GGTGACACTGTTTTTTACCA</t>
  </si>
  <si>
    <t xml:space="preserve">TAGTGGTGACACTGTTTTTTACCA</t>
  </si>
  <si>
    <t xml:space="preserve">AAACTGGTAAAAAACAGTGTCACC</t>
  </si>
  <si>
    <t xml:space="preserve">PSPPH_0295</t>
  </si>
  <si>
    <t xml:space="preserve">TATGGTCAGGTAATTGCCGA</t>
  </si>
  <si>
    <t xml:space="preserve">TAGTTATGGTCAGGTAATTGCCGA</t>
  </si>
  <si>
    <t xml:space="preserve">AAACTCGGCAATTACCTGACCATA</t>
  </si>
  <si>
    <t xml:space="preserve">GCCGACGTAAGCTGCAAGCT</t>
  </si>
  <si>
    <t xml:space="preserve">TAGTGCCGACGTAAGCTGCAAGCT</t>
  </si>
  <si>
    <t xml:space="preserve">AAACAGCTTGCAGCTTACGTCGGC</t>
  </si>
  <si>
    <t xml:space="preserve">TGCGGCATGTATGTATTTGT</t>
  </si>
  <si>
    <t xml:space="preserve">TAGTTGCGGCATGTATGTATTTGT</t>
  </si>
  <si>
    <t xml:space="preserve">AAACACAAATACATACATGCCGCA</t>
  </si>
  <si>
    <t xml:space="preserve">CTCGTTTACTGCTGATCAGA</t>
  </si>
  <si>
    <t xml:space="preserve">TAGTCTCGTTTACTGCTGATCAGA</t>
  </si>
  <si>
    <t xml:space="preserve">AAACTCTGATCAGCAGTAAACGAG</t>
  </si>
  <si>
    <t xml:space="preserve">PSPPH_0296</t>
  </si>
  <si>
    <t xml:space="preserve">AAATTCCAGGAATTCTTCTT</t>
  </si>
  <si>
    <t xml:space="preserve">TAGTAAATTCCAGGAATTCTTCTT</t>
  </si>
  <si>
    <t xml:space="preserve">AAACAAGAAGAATTCCTGGAATTT</t>
  </si>
  <si>
    <t xml:space="preserve">AAGATTACGTCTGTTTGCGC</t>
  </si>
  <si>
    <t xml:space="preserve">TAGTAAGATTACGTCTGTTTGCGC</t>
  </si>
  <si>
    <t xml:space="preserve">AAACGCGCAAACAGACGTAATCTT</t>
  </si>
  <si>
    <t xml:space="preserve">GTGTCCTCCTGACCTTCCTC</t>
  </si>
  <si>
    <t xml:space="preserve">TAGTGTGTCCTCCTGACCTTCCTC</t>
  </si>
  <si>
    <t xml:space="preserve">AAACGAGGAAGGTCAGGAGGACAC</t>
  </si>
  <si>
    <t xml:space="preserve">TGTTTTTAAAATACCCTCCG</t>
  </si>
  <si>
    <t xml:space="preserve">TAGTTGTTTTTAAAATACCCTCCG</t>
  </si>
  <si>
    <t xml:space="preserve">AAACCGGAGGGTATTTTAAAAACA</t>
  </si>
  <si>
    <t xml:space="preserve">PSPPH_0298</t>
  </si>
  <si>
    <t xml:space="preserve">qor2</t>
  </si>
  <si>
    <t xml:space="preserve">ACCGAAGGCTTTGCATAACA</t>
  </si>
  <si>
    <t xml:space="preserve">TAGTACCGAAGGCTTTGCATAACA</t>
  </si>
  <si>
    <t xml:space="preserve">AAACTGTTATGCAAAGCCTTCGGT</t>
  </si>
  <si>
    <t xml:space="preserve">TCAAGCACCAGCGTGCTGGC</t>
  </si>
  <si>
    <t xml:space="preserve">TAGTTCAAGCACCAGCGTGCTGGC</t>
  </si>
  <si>
    <t xml:space="preserve">AAACGCCAGCACGCTGGTGCTTGA</t>
  </si>
  <si>
    <t xml:space="preserve">TTCTTTTTGATCTCGGGGCC</t>
  </si>
  <si>
    <t xml:space="preserve">TAGTTTCTTTTTGATCTCGGGGCC</t>
  </si>
  <si>
    <t xml:space="preserve">AAACGGCCCCGAGATCAAAAAGAA</t>
  </si>
  <si>
    <t xml:space="preserve">CGGCGGCGTGTACGTCGAGG</t>
  </si>
  <si>
    <t xml:space="preserve">TAGTCGGCGGCGTGTACGTCGAGG</t>
  </si>
  <si>
    <t xml:space="preserve">AAACCCTCGACGTACACGCCGCCG</t>
  </si>
  <si>
    <t xml:space="preserve">PSPPH_0299</t>
  </si>
  <si>
    <t xml:space="preserve">CGCCATGACAGGCAATGACA</t>
  </si>
  <si>
    <t xml:space="preserve">TAGTCGCCATGACAGGCAATGACA</t>
  </si>
  <si>
    <t xml:space="preserve">AAACTGTCATTGCCTGTCATGGCG</t>
  </si>
  <si>
    <t xml:space="preserve">GGGCGGGCCGCCTTCTTCCT</t>
  </si>
  <si>
    <t xml:space="preserve">TAGTGGGCGGGCCGCCTTCTTCCT</t>
  </si>
  <si>
    <t xml:space="preserve">AAACAGGAAGAAGGCGGCCCGCCC</t>
  </si>
  <si>
    <t xml:space="preserve">AGCGAGACATAGGCCGCTTT</t>
  </si>
  <si>
    <t xml:space="preserve">TAGTAGCGAGACATAGGCCGCTTT</t>
  </si>
  <si>
    <t xml:space="preserve">AAACAAAGCGGCCTATGTCTCGCT</t>
  </si>
  <si>
    <t xml:space="preserve">GCGTAGTTGCCCACGAACGG</t>
  </si>
  <si>
    <t xml:space="preserve">TAGTGCGTAGTTGCCCACGAACGG</t>
  </si>
  <si>
    <t xml:space="preserve">AAACCCGTTCGTGGGCAACTACGC</t>
  </si>
  <si>
    <t xml:space="preserve">PSPPH_0300</t>
  </si>
  <si>
    <t xml:space="preserve">CTCGGACTTCATCAGCCAAT</t>
  </si>
  <si>
    <t xml:space="preserve">TAGTCTCGGACTTCATCAGCCAAT</t>
  </si>
  <si>
    <t xml:space="preserve">AAACATTGGCTGATGAAGTCCGAG</t>
  </si>
  <si>
    <t xml:space="preserve">TCGCTGATCGAGAATTCGTC</t>
  </si>
  <si>
    <t xml:space="preserve">TAGTTCGCTGATCGAGAATTCGTC</t>
  </si>
  <si>
    <t xml:space="preserve">AAACGACGAATTCTCGATCAGCGA</t>
  </si>
  <si>
    <t xml:space="preserve">GAGCGTTACCCCGTTTTTGC</t>
  </si>
  <si>
    <t xml:space="preserve">TAGTGAGCGTTACCCCGTTTTTGC</t>
  </si>
  <si>
    <t xml:space="preserve">AAACGCAAAAACGGGGTAACGCTC</t>
  </si>
  <si>
    <t xml:space="preserve">GAATTCGTCACCCTCTGCCA</t>
  </si>
  <si>
    <t xml:space="preserve">TAGTGAATTCGTCACCCTCTGCCA</t>
  </si>
  <si>
    <t xml:space="preserve">AAACTGGCAGAGGGTGACGAATTC</t>
  </si>
  <si>
    <t xml:space="preserve">PSPPH_0301</t>
  </si>
  <si>
    <t xml:space="preserve">ACCAGAATCCAGAGTAAATC</t>
  </si>
  <si>
    <t xml:space="preserve">TAGTACCAGAATCCAGAGTAAATC</t>
  </si>
  <si>
    <t xml:space="preserve">AAACGATTTACTCTGGATTCTGGT</t>
  </si>
  <si>
    <t xml:space="preserve">CCACAAGCTTTGCGCATAAC</t>
  </si>
  <si>
    <t xml:space="preserve">TAGTCCACAAGCTTTGCGCATAAC</t>
  </si>
  <si>
    <t xml:space="preserve">AAACGTTATGCGCAAAGCTTGTGG</t>
  </si>
  <si>
    <t xml:space="preserve">GACTGGAGCGTCATCCTTGC</t>
  </si>
  <si>
    <t xml:space="preserve">TAGTGACTGGAGCGTCATCCTTGC</t>
  </si>
  <si>
    <t xml:space="preserve">AAACGCAAGGATGACGCTCCAGTC</t>
  </si>
  <si>
    <t xml:space="preserve">PSPPH_0302</t>
  </si>
  <si>
    <t xml:space="preserve">TTGCGGACGTGTGAGCGATT</t>
  </si>
  <si>
    <t xml:space="preserve">TAGTTTGCGGACGTGTGAGCGATT</t>
  </si>
  <si>
    <t xml:space="preserve">AAACAATCGCTCACACGTCCGCAA</t>
  </si>
  <si>
    <t xml:space="preserve">TGCGTGCCTTGCGTAGCTGG</t>
  </si>
  <si>
    <t xml:space="preserve">TAGTTGCGTGCCTTGCGTAGCTGG</t>
  </si>
  <si>
    <t xml:space="preserve">AAACCCAGCTACGCAAGGCACGCA</t>
  </si>
  <si>
    <t xml:space="preserve">CGCGGGCGGCTTCGCGTTGC</t>
  </si>
  <si>
    <t xml:space="preserve">TAGTCGCGGGCGGCTTCGCGTTGC</t>
  </si>
  <si>
    <t xml:space="preserve">AAACGCAACGCGAAGCCGCCCGCG</t>
  </si>
  <si>
    <t xml:space="preserve">GCGGGTGCTGCGCCAATTGT</t>
  </si>
  <si>
    <t xml:space="preserve">TAGTGCGGGTGCTGCGCCAATTGT</t>
  </si>
  <si>
    <t xml:space="preserve">AAACACAATTGGCGCAGCACCCGC</t>
  </si>
  <si>
    <t xml:space="preserve">PSPPH_0303</t>
  </si>
  <si>
    <t xml:space="preserve">TTCCTTGTCGAGGATCTGAA</t>
  </si>
  <si>
    <t xml:space="preserve">TAGTTTCCTTGTCGAGGATCTGAA</t>
  </si>
  <si>
    <t xml:space="preserve">AAACTTCAGATCCTCGACAAGGAA</t>
  </si>
  <si>
    <t xml:space="preserve">GGTTGGTGCGCTCTTCCTGA</t>
  </si>
  <si>
    <t xml:space="preserve">TAGTGGTTGGTGCGCTCTTCCTGA</t>
  </si>
  <si>
    <t xml:space="preserve">AAACTCAGGAAGAGCGCACCAACC</t>
  </si>
  <si>
    <t xml:space="preserve">GATAACGGGCGGCACTGACC</t>
  </si>
  <si>
    <t xml:space="preserve">TAGTGATAACGGGCGGCACTGACC</t>
  </si>
  <si>
    <t xml:space="preserve">AAACGGTCAGTGCCGCCCGTTATC</t>
  </si>
  <si>
    <t xml:space="preserve">CGATGACTTTGCCGCTGCTG</t>
  </si>
  <si>
    <t xml:space="preserve">TAGTCGATGACTTTGCCGCTGCTG</t>
  </si>
  <si>
    <t xml:space="preserve">AAACCAGCAGCGGCAAAGTCATCG</t>
  </si>
  <si>
    <t xml:space="preserve">PSPPH_0304</t>
  </si>
  <si>
    <t xml:space="preserve">TTTCATCAGCGCTTGCAGGT</t>
  </si>
  <si>
    <t xml:space="preserve">TAGTTTTCATCAGCGCTTGCAGGT</t>
  </si>
  <si>
    <t xml:space="preserve">AAACACCTGCAAGCGCTGATGAAA</t>
  </si>
  <si>
    <t xml:space="preserve">TAAGTTGCTCGGCATACTTC</t>
  </si>
  <si>
    <t xml:space="preserve">TAGTTAAGTTGCTCGGCATACTTC</t>
  </si>
  <si>
    <t xml:space="preserve">AAACGAAGTATGCCGAGCAACTTA</t>
  </si>
  <si>
    <t xml:space="preserve">GAGCTAATAGGATTGCATTT</t>
  </si>
  <si>
    <t xml:space="preserve">TAGTGAGCTAATAGGATTGCATTT</t>
  </si>
  <si>
    <t xml:space="preserve">AAACAAATGCAATCCTATTAGCTC</t>
  </si>
  <si>
    <t xml:space="preserve">TTGGGCGCGTTCCTCGCGCC</t>
  </si>
  <si>
    <t xml:space="preserve">TAGTTTGGGCGCGTTCCTCGCGCC</t>
  </si>
  <si>
    <t xml:space="preserve">AAACGGCGCGAGGAACGCGCCCAA</t>
  </si>
  <si>
    <t xml:space="preserve">PSPPH_0305</t>
  </si>
  <si>
    <t xml:space="preserve">GGAGAATTCTGAATGGGCAT</t>
  </si>
  <si>
    <t xml:space="preserve">TAGTGGAGAATTCTGAATGGGCAT</t>
  </si>
  <si>
    <t xml:space="preserve">AAACATGCCCATTCAGAATTCTCC</t>
  </si>
  <si>
    <t xml:space="preserve">AGAGTGGCGAACGCTTTGTA</t>
  </si>
  <si>
    <t xml:space="preserve">TAGTAGAGTGGCGAACGCTTTGTA</t>
  </si>
  <si>
    <t xml:space="preserve">AAACTACAAAGCGTTCGCCACTCT</t>
  </si>
  <si>
    <t xml:space="preserve">GCAGCTCGGCAGGGGATACC</t>
  </si>
  <si>
    <t xml:space="preserve">TAGTGCAGCTCGGCAGGGGATACC</t>
  </si>
  <si>
    <t xml:space="preserve">AAACGGTATCCCCTGCCGAGCTGC</t>
  </si>
  <si>
    <t xml:space="preserve">CGCAACTACGCCCCAGCAGC</t>
  </si>
  <si>
    <t xml:space="preserve">TAGTCGCAACTACGCCCCAGCAGC</t>
  </si>
  <si>
    <t xml:space="preserve">AAACGCTGCTGGGGCGTAGTTGCG</t>
  </si>
  <si>
    <t xml:space="preserve">PSPPH_0306</t>
  </si>
  <si>
    <t xml:space="preserve">pepP</t>
  </si>
  <si>
    <t xml:space="preserve">GACTTCGGGATCTGAATCAT</t>
  </si>
  <si>
    <t xml:space="preserve">TAGTGACTTCGGGATCTGAATCAT</t>
  </si>
  <si>
    <t xml:space="preserve">AAACATGATTCAGATCCCGAAGTC</t>
  </si>
  <si>
    <t xml:space="preserve">CTTGCGGCGGCGGGCGTATT</t>
  </si>
  <si>
    <t xml:space="preserve">TAGTCTTGCGGCGGCGGGCGTATT</t>
  </si>
  <si>
    <t xml:space="preserve">AAACAATACGCCCGCCGCCGCAAG</t>
  </si>
  <si>
    <t xml:space="preserve">GGCAGGATGGCAATGCTGTC</t>
  </si>
  <si>
    <t xml:space="preserve">TAGTGGCAGGATGGCAATGCTGTC</t>
  </si>
  <si>
    <t xml:space="preserve">AAACGACAGCATTGCCATCCTGCC</t>
  </si>
  <si>
    <t xml:space="preserve">CGAATGGCAACCGCCGCAGC</t>
  </si>
  <si>
    <t xml:space="preserve">TAGTCGAATGGCAACCGCCGCAGC</t>
  </si>
  <si>
    <t xml:space="preserve">AAACGCTGCGGCGGTTGCCATTCG</t>
  </si>
  <si>
    <t xml:space="preserve">PSPPH_0307</t>
  </si>
  <si>
    <t xml:space="preserve">ubiH</t>
  </si>
  <si>
    <t xml:space="preserve">CGACGATGGCGATATTAAAG</t>
  </si>
  <si>
    <t xml:space="preserve">TAGTCGACGATGGCGATATTAAAG</t>
  </si>
  <si>
    <t xml:space="preserve">AAACCTTTAATATCGCCATCGTCG</t>
  </si>
  <si>
    <t xml:space="preserve">CCAGCCACGTGCCCTGGCAC</t>
  </si>
  <si>
    <t xml:space="preserve">TAGTCCAGCCACGTGCCCTGGCAC</t>
  </si>
  <si>
    <t xml:space="preserve">AAACGTGCCAGGGCACGTGGCTGG</t>
  </si>
  <si>
    <t xml:space="preserve">CAGGCTTCACCCGGCGCAAA</t>
  </si>
  <si>
    <t xml:space="preserve">TAGTCAGGCTTCACCCGGCGCAAA</t>
  </si>
  <si>
    <t xml:space="preserve">AAACTTTGCGCCGGGTGAAGCCTG</t>
  </si>
  <si>
    <t xml:space="preserve">GAAGAACGCGCATCGTAGCT</t>
  </si>
  <si>
    <t xml:space="preserve">TAGTGAAGAACGCGCATCGTAGCT</t>
  </si>
  <si>
    <t xml:space="preserve">AAACAGCTACGATGCGCGTTCTTC</t>
  </si>
  <si>
    <t xml:space="preserve">PSPPH_0308</t>
  </si>
  <si>
    <t xml:space="preserve">CACATCTGCGCGCGTTTCCA</t>
  </si>
  <si>
    <t xml:space="preserve">TAGTCACATCTGCGCGCGTTTCCA</t>
  </si>
  <si>
    <t xml:space="preserve">AAACTGGAAACGCGCGCAGATGTG</t>
  </si>
  <si>
    <t xml:space="preserve">AAGGGCGCTGCCGACCATTC</t>
  </si>
  <si>
    <t xml:space="preserve">TAGTAAGGGCGCTGCCGACCATTC</t>
  </si>
  <si>
    <t xml:space="preserve">AAACGAATGGTCGGCAGCGCCCTT</t>
  </si>
  <si>
    <t xml:space="preserve">TCAAAGGGTTTGACGCTCAG</t>
  </si>
  <si>
    <t xml:space="preserve">TAGTTCAAAGGGTTTGACGCTCAG</t>
  </si>
  <si>
    <t xml:space="preserve">AAACCTGAGCGTCAAACCCTTTGA</t>
  </si>
  <si>
    <t xml:space="preserve">GTGGCTCGAAAGCCGAGTGT</t>
  </si>
  <si>
    <t xml:space="preserve">TAGTGTGGCTCGAAAGCCGAGTGT</t>
  </si>
  <si>
    <t xml:space="preserve">AAACACACTCGGCTTTCGAGCCAC</t>
  </si>
  <si>
    <t xml:space="preserve">PSPPH_0310</t>
  </si>
  <si>
    <t xml:space="preserve">GTGCAAGGTAGTTGACGACC</t>
  </si>
  <si>
    <t xml:space="preserve">TAGTGTGCAAGGTAGTTGACGACC</t>
  </si>
  <si>
    <t xml:space="preserve">AAACGGTCGTCAACTACCTTGCAC</t>
  </si>
  <si>
    <t xml:space="preserve">CATGAGCGTCGGCGCTGCGA</t>
  </si>
  <si>
    <t xml:space="preserve">TAGTCATGAGCGTCGGCGCTGCGA</t>
  </si>
  <si>
    <t xml:space="preserve">AAACTCGCAGCGCCGACGCTCATG</t>
  </si>
  <si>
    <t xml:space="preserve">GATGTGCGCGTACTGCTCGG</t>
  </si>
  <si>
    <t xml:space="preserve">TAGTGATGTGCGCGTACTGCTCGG</t>
  </si>
  <si>
    <t xml:space="preserve">AAACCCGAGCAGTACGCGCACATC</t>
  </si>
  <si>
    <t xml:space="preserve">GATGGCGTAGCACAGCTGCC</t>
  </si>
  <si>
    <t xml:space="preserve">TAGTGATGGCGTAGCACAGCTGCC</t>
  </si>
  <si>
    <t xml:space="preserve">AAACGGCAGCTGTGCTACGCCATC</t>
  </si>
  <si>
    <t xml:space="preserve">PSPPH_0311</t>
  </si>
  <si>
    <t xml:space="preserve">CCGGATCGACTCGTTATGCA</t>
  </si>
  <si>
    <t xml:space="preserve">TAGTCCGGATCGACTCGTTATGCA</t>
  </si>
  <si>
    <t xml:space="preserve">AAACTGCATAACGAGTCGATCCGG</t>
  </si>
  <si>
    <t xml:space="preserve">TCAGGAGACCCTTGCCAGCC</t>
  </si>
  <si>
    <t xml:space="preserve">TAGTTCAGGAGACCCTTGCCAGCC</t>
  </si>
  <si>
    <t xml:space="preserve">AAACGGCTGGCAAGGGTCTCCTGA</t>
  </si>
  <si>
    <t xml:space="preserve">GGGCAGGCTGTTTTGCCAGT</t>
  </si>
  <si>
    <t xml:space="preserve">TAGTGGGCAGGCTGTTTTGCCAGT</t>
  </si>
  <si>
    <t xml:space="preserve">AAACACTGGCAAAACAGCCTGCCC</t>
  </si>
  <si>
    <t xml:space="preserve">TGTTCCACGCGCGTGCTGTT</t>
  </si>
  <si>
    <t xml:space="preserve">TAGTTGTTCCACGCGCGTGCTGTT</t>
  </si>
  <si>
    <t xml:space="preserve">AAACAACAGCACGCGCGTGGAACA</t>
  </si>
  <si>
    <t xml:space="preserve">PSPPH_0312</t>
  </si>
  <si>
    <t xml:space="preserve">GCTGACCGAAATTTTCGTGA</t>
  </si>
  <si>
    <t xml:space="preserve">TAGTGCTGACCGAAATTTTCGTGA</t>
  </si>
  <si>
    <t xml:space="preserve">AAACTCACGAAAATTTCGGTCAGC</t>
  </si>
  <si>
    <t xml:space="preserve">GCATCGGGGAAAGTCAGCAG</t>
  </si>
  <si>
    <t xml:space="preserve">TAGTGCATCGGGGAAAGTCAGCAG</t>
  </si>
  <si>
    <t xml:space="preserve">AAACCTGCTGACTTTCCCCGATGC</t>
  </si>
  <si>
    <t xml:space="preserve">CCTTGGCGCGAATGCTCAGC</t>
  </si>
  <si>
    <t xml:space="preserve">TAGTCCTTGGCGCGAATGCTCAGC</t>
  </si>
  <si>
    <t xml:space="preserve">AAACGCTGAGCATTCGCGCCAAGG</t>
  </si>
  <si>
    <t xml:space="preserve">CGCGTAAACGGCGCGAGCGC</t>
  </si>
  <si>
    <t xml:space="preserve">TAGTCGCGTAAACGGCGCGAGCGC</t>
  </si>
  <si>
    <t xml:space="preserve">AAACGCGCTCGCGCCGTTTACGCG</t>
  </si>
  <si>
    <t xml:space="preserve">PSPPH_0313</t>
  </si>
  <si>
    <t xml:space="preserve">CGAGAACGCAGCCGCCAGAG</t>
  </si>
  <si>
    <t xml:space="preserve">TAGTCGAGAACGCAGCCGCCAGAG</t>
  </si>
  <si>
    <t xml:space="preserve">AAACCTCTGGCGGCTGCGTTCTCG</t>
  </si>
  <si>
    <t xml:space="preserve">GTTTTTCGCCTGCGTGAGCC</t>
  </si>
  <si>
    <t xml:space="preserve">TAGTGTTTTTCGCCTGCGTGAGCC</t>
  </si>
  <si>
    <t xml:space="preserve">AAACGGCTCACGCAGGCGAAAAAC</t>
  </si>
  <si>
    <t xml:space="preserve">AGGATTTCCGCATGCGGCAC</t>
  </si>
  <si>
    <t xml:space="preserve">TAGTAGGATTTCCGCATGCGGCAC</t>
  </si>
  <si>
    <t xml:space="preserve">AAACGTGCCGCATGCGGAAATCCT</t>
  </si>
  <si>
    <t xml:space="preserve">CTTCCTTGGCCAGGGTCGGC</t>
  </si>
  <si>
    <t xml:space="preserve">TAGTCTTCCTTGGCCAGGGTCGGC</t>
  </si>
  <si>
    <t xml:space="preserve">AAACGCCGACCCTGGCCAAGGAAG</t>
  </si>
  <si>
    <t xml:space="preserve">PSPPH_0314</t>
  </si>
  <si>
    <t xml:space="preserve">TACCTTGGCGATGAGTTCAT</t>
  </si>
  <si>
    <t xml:space="preserve">TAGTTACCTTGGCGATGAGTTCAT</t>
  </si>
  <si>
    <t xml:space="preserve">AAACATGAACTCATCGCCAAGGTA</t>
  </si>
  <si>
    <t xml:space="preserve">CATCAACAGGGTGGCCAGAA</t>
  </si>
  <si>
    <t xml:space="preserve">TAGTCATCAACAGGGTGGCCAGAA</t>
  </si>
  <si>
    <t xml:space="preserve">AAACTTCTGGCCACCCTGTTGATG</t>
  </si>
  <si>
    <t xml:space="preserve">CTGCGCTGCAAGCTGCGAGC</t>
  </si>
  <si>
    <t xml:space="preserve">TAGTCTGCGCTGCAAGCTGCGAGC</t>
  </si>
  <si>
    <t xml:space="preserve">AAACGCTCGCAGCTTGCAGCGCAG</t>
  </si>
  <si>
    <t xml:space="preserve">ACTGTTTTCATGGAAGTGCC</t>
  </si>
  <si>
    <t xml:space="preserve">TAGTACTGTTTTCATGGAAGTGCC</t>
  </si>
  <si>
    <t xml:space="preserve">AAACGGCACTTCCATGAAAACAGT</t>
  </si>
  <si>
    <t xml:space="preserve">PSPPH_0315</t>
  </si>
  <si>
    <t xml:space="preserve">AAAGCGAGATGAAGAAAGCG</t>
  </si>
  <si>
    <t xml:space="preserve">TAGTAAAGCGAGATGAAGAAAGCG</t>
  </si>
  <si>
    <t xml:space="preserve">AAACCGCTTTCTTCATCTCGCTTT</t>
  </si>
  <si>
    <t xml:space="preserve">TCTGATCCGCCAGCCTGGAC</t>
  </si>
  <si>
    <t xml:space="preserve">TAGTTCTGATCCGCCAGCCTGGAC</t>
  </si>
  <si>
    <t xml:space="preserve">AAACGTCCAGGCTGGCGGATCAGA</t>
  </si>
  <si>
    <t xml:space="preserve">CCAGCGGCACTATGAACAAC</t>
  </si>
  <si>
    <t xml:space="preserve">TAGTCCAGCGGCACTATGAACAAC</t>
  </si>
  <si>
    <t xml:space="preserve">AAACGTTGTTCATAGTGCCGCTGG</t>
  </si>
  <si>
    <t xml:space="preserve">ATGAGGCGCTGTTGGTGGTC</t>
  </si>
  <si>
    <t xml:space="preserve">TAGTATGAGGCGCTGTTGGTGGTC</t>
  </si>
  <si>
    <t xml:space="preserve">AAACGACCACCAACAGCGCCTCAT</t>
  </si>
  <si>
    <t xml:space="preserve">PSPPH_0316</t>
  </si>
  <si>
    <t xml:space="preserve">CTGCATGATGTTCAATTGCA</t>
  </si>
  <si>
    <t xml:space="preserve">TAGTCTGCATGATGTTCAATTGCA</t>
  </si>
  <si>
    <t xml:space="preserve">AAACTGCAATTGAACATCATGCAG</t>
  </si>
  <si>
    <t xml:space="preserve">TACTTTGCGATGCTTGCCTC</t>
  </si>
  <si>
    <t xml:space="preserve">TAGTTACTTTGCGATGCTTGCCTC</t>
  </si>
  <si>
    <t xml:space="preserve">AAACGAGGCAAGCATCGCAAAGTA</t>
  </si>
  <si>
    <t xml:space="preserve">CAATATTGAAGCAGTTGCTC</t>
  </si>
  <si>
    <t xml:space="preserve">TAGTCAATATTGAAGCAGTTGCTC</t>
  </si>
  <si>
    <t xml:space="preserve">AAACGAGCAACTGCTTCAATATTG</t>
  </si>
  <si>
    <t xml:space="preserve">GTAGTTGGTCATAGTCTTGG</t>
  </si>
  <si>
    <t xml:space="preserve">TAGTGTAGTTGGTCATAGTCTTGG</t>
  </si>
  <si>
    <t xml:space="preserve">AAACCCAAGACTATGACCAACTAC</t>
  </si>
  <si>
    <t xml:space="preserve">PSPPH_0317</t>
  </si>
  <si>
    <t xml:space="preserve">TTGCTGGTCCGAATTTTTTT</t>
  </si>
  <si>
    <t xml:space="preserve">TAGTTTGCTGGTCCGAATTTTTTT</t>
  </si>
  <si>
    <t xml:space="preserve">AAACAAAAAAATTCGGACCAGCAA</t>
  </si>
  <si>
    <t xml:space="preserve">TATCGCTCAATGCTAGACGT</t>
  </si>
  <si>
    <t xml:space="preserve">TAGTTATCGCTCAATGCTAGACGT</t>
  </si>
  <si>
    <t xml:space="preserve">AAACACGTCTAGCATTGAGCGATA</t>
  </si>
  <si>
    <t xml:space="preserve">AGTATTTAAGTAGTTGTTCA</t>
  </si>
  <si>
    <t xml:space="preserve">TAGTAGTATTTAAGTAGTTGTTCA</t>
  </si>
  <si>
    <t xml:space="preserve">AAACTGAACAACTACTTAAATACT</t>
  </si>
  <si>
    <t xml:space="preserve">GCGGATTTACAGTCCAAAAT</t>
  </si>
  <si>
    <t xml:space="preserve">TAGTGCGGATTTACAGTCCAAAAT</t>
  </si>
  <si>
    <t xml:space="preserve">AAACATTTTGGACTGTAAATCCGC</t>
  </si>
  <si>
    <t xml:space="preserve">PSPPH_0318</t>
  </si>
  <si>
    <t xml:space="preserve">GACGGCACAATGCTCCATAG</t>
  </si>
  <si>
    <t xml:space="preserve">TAGTGACGGCACAATGCTCCATAG</t>
  </si>
  <si>
    <t xml:space="preserve">AAACCTATGGAGCATTGTGCCGTC</t>
  </si>
  <si>
    <t xml:space="preserve">CAGGCTGGTAGCCCATGCTT</t>
  </si>
  <si>
    <t xml:space="preserve">TAGTCAGGCTGGTAGCCCATGCTT</t>
  </si>
  <si>
    <t xml:space="preserve">AAACAAGCATGGGCTACCAGCCTG</t>
  </si>
  <si>
    <t xml:space="preserve">GTTGAGGCTGCGCTGGAAGC</t>
  </si>
  <si>
    <t xml:space="preserve">TAGTGTTGAGGCTGCGCTGGAAGC</t>
  </si>
  <si>
    <t xml:space="preserve">AAACGCTTCCAGCGCAGCCTCAAC</t>
  </si>
  <si>
    <t xml:space="preserve">TTGAGCTGTAGTGTTGAAAC</t>
  </si>
  <si>
    <t xml:space="preserve">TAGTTTGAGCTGTAGTGTTGAAAC</t>
  </si>
  <si>
    <t xml:space="preserve">AAACGTTTCAACACTACAGCTCAA</t>
  </si>
  <si>
    <t xml:space="preserve">PSPPH_0319</t>
  </si>
  <si>
    <t xml:space="preserve">AACCGGTTTATTACATCGCA</t>
  </si>
  <si>
    <t xml:space="preserve">TAGTAACCGGTTTATTACATCGCA</t>
  </si>
  <si>
    <t xml:space="preserve">AAACTGCGATGTAATAAACCGGTT</t>
  </si>
  <si>
    <t xml:space="preserve">CAACGACGACATCATTACGT</t>
  </si>
  <si>
    <t xml:space="preserve">TAGTCAACGACGACATCATTACGT</t>
  </si>
  <si>
    <t xml:space="preserve">AAACACGTAATGATGTCGTCGTTG</t>
  </si>
  <si>
    <t xml:space="preserve">TGATCCGGTCGTCATTTGCA</t>
  </si>
  <si>
    <t xml:space="preserve">TAGTTGATCCGGTCGTCATTTGCA</t>
  </si>
  <si>
    <t xml:space="preserve">AAACTGCAAATGACGACCGGATCA</t>
  </si>
  <si>
    <t xml:space="preserve">CGTCCACAGCGTGTTGAACC</t>
  </si>
  <si>
    <t xml:space="preserve">TAGTCGTCCACAGCGTGTTGAACC</t>
  </si>
  <si>
    <t xml:space="preserve">AAACGGTTCAACACGCTGTGGACG</t>
  </si>
  <si>
    <t xml:space="preserve">PSPPH_0320</t>
  </si>
  <si>
    <t xml:space="preserve">GATGAAGCGAGGGAGGCTGC</t>
  </si>
  <si>
    <t xml:space="preserve">TAGTGATGAAGCGAGGGAGGCTGC</t>
  </si>
  <si>
    <t xml:space="preserve">AAACGCAGCCTCCCTCGCTTCATC</t>
  </si>
  <si>
    <t xml:space="preserve">CGATTGCGAAGCAGATTGAG</t>
  </si>
  <si>
    <t xml:space="preserve">TAGTCGATTGCGAAGCAGATTGAG</t>
  </si>
  <si>
    <t xml:space="preserve">AAACCTCAATCTGCTTCGCAATCG</t>
  </si>
  <si>
    <t xml:space="preserve">GCGCCCACCTTTCCGGTGAA</t>
  </si>
  <si>
    <t xml:space="preserve">TAGTGCGCCCACCTTTCCGGTGAA</t>
  </si>
  <si>
    <t xml:space="preserve">AAACTTCACCGGAAAGGTGGGCGC</t>
  </si>
  <si>
    <t xml:space="preserve">ATCTGCGTCATTCAACGGCC</t>
  </si>
  <si>
    <t xml:space="preserve">TAGTATCTGCGTCATTCAACGGCC</t>
  </si>
  <si>
    <t xml:space="preserve">AAACGGCCGTTGAATGACGCAGAT</t>
  </si>
  <si>
    <t xml:space="preserve">PSPPH_0321</t>
  </si>
  <si>
    <t xml:space="preserve">GGGCGCTCGTGCTGGCCGTG</t>
  </si>
  <si>
    <t xml:space="preserve">TAGTGGGCGCTCGTGCTGGCCGTG</t>
  </si>
  <si>
    <t xml:space="preserve">AAACCACGGCCAGCACGAGCGCCC</t>
  </si>
  <si>
    <t xml:space="preserve">CTGAACAGTCGGTTGCGGTT</t>
  </si>
  <si>
    <t xml:space="preserve">TAGTCTGAACAGTCGGTTGCGGTT</t>
  </si>
  <si>
    <t xml:space="preserve">AAACAACCGCAACCGACTGTTCAG</t>
  </si>
  <si>
    <t xml:space="preserve">AACTTGCAACAAGGCTTCAG</t>
  </si>
  <si>
    <t xml:space="preserve">TAGTAACTTGCAACAAGGCTTCAG</t>
  </si>
  <si>
    <t xml:space="preserve">AAACCTGAAGCCTTGTTGCAAGTT</t>
  </si>
  <si>
    <t xml:space="preserve">GCTCTGGCGTGCGGTATTCA</t>
  </si>
  <si>
    <t xml:space="preserve">TAGTGCTCTGGCGTGCGGTATTCA</t>
  </si>
  <si>
    <t xml:space="preserve">AAACTGAATACCGCACGCCAGAGC</t>
  </si>
  <si>
    <t xml:space="preserve">PSPPH_0322</t>
  </si>
  <si>
    <t xml:space="preserve">AGCGGGAGGTGCGAGGCTCA</t>
  </si>
  <si>
    <t xml:space="preserve">TAGTAGCGGGAGGTGCGAGGCTCA</t>
  </si>
  <si>
    <t xml:space="preserve">AAACTGAGCCTCGCACCTCCCGCT</t>
  </si>
  <si>
    <t xml:space="preserve">GCCAGGTCTTCCTGAGTGAA</t>
  </si>
  <si>
    <t xml:space="preserve">TAGTGCCAGGTCTTCCTGAGTGAA</t>
  </si>
  <si>
    <t xml:space="preserve">AAACTTCACTCAGGAAGACCTGGC</t>
  </si>
  <si>
    <t xml:space="preserve">CTGTGCCAAGGGCAGATCGC</t>
  </si>
  <si>
    <t xml:space="preserve">TAGTCTGTGCCAAGGGCAGATCGC</t>
  </si>
  <si>
    <t xml:space="preserve">AAACGCGATCTGCCCTTGGCACAG</t>
  </si>
  <si>
    <t xml:space="preserve">GCAGAAAGCTCGGCAACAGC</t>
  </si>
  <si>
    <t xml:space="preserve">TAGTGCAGAAAGCTCGGCAACAGC</t>
  </si>
  <si>
    <t xml:space="preserve">AAACGCTGTTGCCGAGCTTTCTGC</t>
  </si>
  <si>
    <t xml:space="preserve">PSPPH_0323</t>
  </si>
  <si>
    <t xml:space="preserve">GCCGCCAATACAGTCAGCGC</t>
  </si>
  <si>
    <t xml:space="preserve">TAGTGCCGCCAATACAGTCAGCGC</t>
  </si>
  <si>
    <t xml:space="preserve">AAACGCGCTGACTGTATTGGCGGC</t>
  </si>
  <si>
    <t xml:space="preserve">TGCTGAGCAGGGCACCGAAC</t>
  </si>
  <si>
    <t xml:space="preserve">TAGTTGCTGAGCAGGGCACCGAAC</t>
  </si>
  <si>
    <t xml:space="preserve">AAACGTTCGGTGCCCTGCTCAGCA</t>
  </si>
  <si>
    <t xml:space="preserve">CGCGCACCACGTCGAGGATC</t>
  </si>
  <si>
    <t xml:space="preserve">TAGTCGCGCACCACGTCGAGGATC</t>
  </si>
  <si>
    <t xml:space="preserve">AAACGATCCTCGACGTGGTGCGCG</t>
  </si>
  <si>
    <t xml:space="preserve">TTCGTTCATCGCGGTGGCAC</t>
  </si>
  <si>
    <t xml:space="preserve">TAGTTTCGTTCATCGCGGTGGCAC</t>
  </si>
  <si>
    <t xml:space="preserve">AAACGTGCCACCGCGATGAACGAA</t>
  </si>
  <si>
    <t xml:space="preserve">PSPPH_0324</t>
  </si>
  <si>
    <t xml:space="preserve">GTTGGGGAGCGGTGGAGACG</t>
  </si>
  <si>
    <t xml:space="preserve">TAGTGTTGGGGAGCGGTGGAGACG</t>
  </si>
  <si>
    <t xml:space="preserve">AAACCGTCTCCACCGCTCCCCAAC</t>
  </si>
  <si>
    <t xml:space="preserve">TATTTCGCTGACCTGTATCA</t>
  </si>
  <si>
    <t xml:space="preserve">TAGTTATTTCGCTGACCTGTATCA</t>
  </si>
  <si>
    <t xml:space="preserve">AAACTGATACAGGTCAGCGAAATA</t>
  </si>
  <si>
    <t xml:space="preserve">GGTTTCAGAAGCGGTGGCAG</t>
  </si>
  <si>
    <t xml:space="preserve">TAGTGGTTTCAGAAGCGGTGGCAG</t>
  </si>
  <si>
    <t xml:space="preserve">AAACCTGCCACCGCTTCTGAAACC</t>
  </si>
  <si>
    <t xml:space="preserve">CAGGCCCTCAAGGTTGTCAC</t>
  </si>
  <si>
    <t xml:space="preserve">TAGTCAGGCCCTCAAGGTTGTCAC</t>
  </si>
  <si>
    <t xml:space="preserve">AAACGTGACAACCTTGAGGGCCTG</t>
  </si>
  <si>
    <t xml:space="preserve">PSPPH_0325</t>
  </si>
  <si>
    <t xml:space="preserve">CAGGGTAGTTTGCTGGCGCA</t>
  </si>
  <si>
    <t xml:space="preserve">TAGTCAGGGTAGTTTGCTGGCGCA</t>
  </si>
  <si>
    <t xml:space="preserve">AAACTGCGCCAGCAAACTACCCTG</t>
  </si>
  <si>
    <t xml:space="preserve">CAAGCGCGTCGTAGCGGTAA</t>
  </si>
  <si>
    <t xml:space="preserve">TAGTCAAGCGCGTCGTAGCGGTAA</t>
  </si>
  <si>
    <t xml:space="preserve">AAACTTACCGCTACGACGCGCTTG</t>
  </si>
  <si>
    <t xml:space="preserve">CAGGCGTGCGAGCCGCAAGC</t>
  </si>
  <si>
    <t xml:space="preserve">TAGTCAGGCGTGCGAGCCGCAAGC</t>
  </si>
  <si>
    <t xml:space="preserve">AAACGCTTGCGGCTCGCACGCCTG</t>
  </si>
  <si>
    <t xml:space="preserve">CTGATAGAACGAGCGGGCAA</t>
  </si>
  <si>
    <t xml:space="preserve">TAGTCTGATAGAACGAGCGGGCAA</t>
  </si>
  <si>
    <t xml:space="preserve">AAACTTGCCCGCTCGTTCTATCAG</t>
  </si>
  <si>
    <t xml:space="preserve">PSPPH_0326</t>
  </si>
  <si>
    <t xml:space="preserve">GGTCGTAGGTGTACGTGCAG</t>
  </si>
  <si>
    <t xml:space="preserve">TAGTGGTCGTAGGTGTACGTGCAG</t>
  </si>
  <si>
    <t xml:space="preserve">AAACCTGCACGTACACCTACGACC</t>
  </si>
  <si>
    <t xml:space="preserve">ATGTGGAGACACGGTCCAGC</t>
  </si>
  <si>
    <t xml:space="preserve">TAGTATGTGGAGACACGGTCCAGC</t>
  </si>
  <si>
    <t xml:space="preserve">AAACGCTGGACCGTGTCTCCACAT</t>
  </si>
  <si>
    <t xml:space="preserve">TGGAGAGGACCTGAGCCAGC</t>
  </si>
  <si>
    <t xml:space="preserve">TAGTTGGAGAGGACCTGAGCCAGC</t>
  </si>
  <si>
    <t xml:space="preserve">AAACGCTGGCTCAGGTCCTCTCCA</t>
  </si>
  <si>
    <t xml:space="preserve">CTCGCTGTTATAGAACCGAC</t>
  </si>
  <si>
    <t xml:space="preserve">TAGTCTCGCTGTTATAGAACCGAC</t>
  </si>
  <si>
    <t xml:space="preserve">AAACGTCGGTTCTATAACAGCGAG</t>
  </si>
  <si>
    <t xml:space="preserve">PSPPH_0327</t>
  </si>
  <si>
    <t xml:space="preserve">ACCAGTCTGGAAGGAAGAAC</t>
  </si>
  <si>
    <t xml:space="preserve">TAGTACCAGTCTGGAAGGAAGAAC</t>
  </si>
  <si>
    <t xml:space="preserve">AAACGTTCTTCCTTCCAGACTGGT</t>
  </si>
  <si>
    <t xml:space="preserve">ACACCCCGTTAACATCGCCA</t>
  </si>
  <si>
    <t xml:space="preserve">TAGTACACCCCGTTAACATCGCCA</t>
  </si>
  <si>
    <t xml:space="preserve">AAACTGGCGATGTTAACGGGGTGT</t>
  </si>
  <si>
    <t xml:space="preserve">CTGGGCAGTTCGGGCGCCGC</t>
  </si>
  <si>
    <t xml:space="preserve">TAGTCTGGGCAGTTCGGGCGCCGC</t>
  </si>
  <si>
    <t xml:space="preserve">AAACGCGGCGCCCGAACTGCCCAG</t>
  </si>
  <si>
    <t xml:space="preserve">GGCGACACTGGCGGCGAAGT</t>
  </si>
  <si>
    <t xml:space="preserve">TAGTGGCGACACTGGCGGCGAAGT</t>
  </si>
  <si>
    <t xml:space="preserve">AAACACTTCGCCGCCAGTGTCGCC</t>
  </si>
  <si>
    <t xml:space="preserve">PSPPH_0328</t>
  </si>
  <si>
    <t xml:space="preserve">ACAGAAAGCCACTGGACAGA</t>
  </si>
  <si>
    <t xml:space="preserve">TAGTACAGAAAGCCACTGGACAGA</t>
  </si>
  <si>
    <t xml:space="preserve">AAACTCTGTCCAGTGGCTTTCTGT</t>
  </si>
  <si>
    <t xml:space="preserve">AGGACGCACCGGCTCCGGAG</t>
  </si>
  <si>
    <t xml:space="preserve">TAGTAGGACGCACCGGCTCCGGAG</t>
  </si>
  <si>
    <t xml:space="preserve">AAACCTCCGGAGCCGGTGCGTCCT</t>
  </si>
  <si>
    <t xml:space="preserve">CTGGCTTCGACGAACACCAC</t>
  </si>
  <si>
    <t xml:space="preserve">TAGTCTGGCTTCGACGAACACCAC</t>
  </si>
  <si>
    <t xml:space="preserve">AAACGTGGTGTTCGTCGAAGCCAG</t>
  </si>
  <si>
    <t xml:space="preserve">CCGAAATCCTGATTTGACTC</t>
  </si>
  <si>
    <t xml:space="preserve">TAGTCCGAAATCCTGATTTGACTC</t>
  </si>
  <si>
    <t xml:space="preserve">AAACGAGTCAAATCAGGATTTCGG</t>
  </si>
  <si>
    <t xml:space="preserve">PSPPH_0329</t>
  </si>
  <si>
    <t xml:space="preserve">TTGATGCTTGATGGCCCACT</t>
  </si>
  <si>
    <t xml:space="preserve">TAGTTTGATGCTTGATGGCCCACT</t>
  </si>
  <si>
    <t xml:space="preserve">AAACAGTGGGCCATCAAGCATCAA</t>
  </si>
  <si>
    <t xml:space="preserve">TCAGCAGCGCGACAAACATC</t>
  </si>
  <si>
    <t xml:space="preserve">TAGTTCAGCAGCGCGACAAACATC</t>
  </si>
  <si>
    <t xml:space="preserve">AAACGATGTTTGTCGCGCTGCTGA</t>
  </si>
  <si>
    <t xml:space="preserve">CTCGCGCCCAAGCTTCATGT</t>
  </si>
  <si>
    <t xml:space="preserve">TAGTCTCGCGCCCAAGCTTCATGT</t>
  </si>
  <si>
    <t xml:space="preserve">AAACACATGAAGCTTGGGCGCGAG</t>
  </si>
  <si>
    <t xml:space="preserve">TGGTCTTGATGGTGAAGGAC</t>
  </si>
  <si>
    <t xml:space="preserve">TAGTTGGTCTTGATGGTGAAGGAC</t>
  </si>
  <si>
    <t xml:space="preserve">AAACGTCCTTCACCATCAAGACCA</t>
  </si>
  <si>
    <t xml:space="preserve">PSPPH_0330</t>
  </si>
  <si>
    <t xml:space="preserve">GTCTGGCTCAAAGTCCACTG</t>
  </si>
  <si>
    <t xml:space="preserve">TAGTGTCTGGCTCAAAGTCCACTG</t>
  </si>
  <si>
    <t xml:space="preserve">AAACCAGTGGACTTTGAGCCAGAC</t>
  </si>
  <si>
    <t xml:space="preserve">ATGCTTTGACCTTCGCCTTT</t>
  </si>
  <si>
    <t xml:space="preserve">TAGTATGCTTTGACCTTCGCCTTT</t>
  </si>
  <si>
    <t xml:space="preserve">AAACAAAGGCGAAGGTCAAAGCAT</t>
  </si>
  <si>
    <t xml:space="preserve">TTCAATAATAGACTGGCTTA</t>
  </si>
  <si>
    <t xml:space="preserve">TAGTTTCAATAATAGACTGGCTTA</t>
  </si>
  <si>
    <t xml:space="preserve">AAACTAAGCCAGTCTATTATTGAA</t>
  </si>
  <si>
    <t xml:space="preserve">TCGAGATGCAGACGCTGGGC</t>
  </si>
  <si>
    <t xml:space="preserve">TAGTTCGAGATGCAGACGCTGGGC</t>
  </si>
  <si>
    <t xml:space="preserve">AAACGCCCAGCGTCTGCATCTCGA</t>
  </si>
  <si>
    <t xml:space="preserve">PSPPH_0331</t>
  </si>
  <si>
    <t xml:space="preserve">TAATCTGCGCAAGCGTCTGA</t>
  </si>
  <si>
    <t xml:space="preserve">TAGTTAATCTGCGCAAGCGTCTGA</t>
  </si>
  <si>
    <t xml:space="preserve">AAACTCAGACGCTTGCGCAGATTA</t>
  </si>
  <si>
    <t xml:space="preserve">GTAATGGCTGACGGTGGTCG</t>
  </si>
  <si>
    <t xml:space="preserve">TAGTGTAATGGCTGACGGTGGTCG</t>
  </si>
  <si>
    <t xml:space="preserve">AAACCGACCACCGTCAGCCATTAC</t>
  </si>
  <si>
    <t xml:space="preserve">TGTGCCTTCGCGAAATTCGT</t>
  </si>
  <si>
    <t xml:space="preserve">TAGTTGTGCCTTCGCGAAATTCGT</t>
  </si>
  <si>
    <t xml:space="preserve">AAACACGAATTTCGCGAAGGCACA</t>
  </si>
  <si>
    <t xml:space="preserve">CGATATTCTGGCTGACGTCG</t>
  </si>
  <si>
    <t xml:space="preserve">TAGTCGATATTCTGGCTGACGTCG</t>
  </si>
  <si>
    <t xml:space="preserve">AAACCGACGTCAGCCAGAATATCG</t>
  </si>
  <si>
    <t xml:space="preserve">PSPPH_0332</t>
  </si>
  <si>
    <t xml:space="preserve">GACCATCAAAAACGTGTCGA</t>
  </si>
  <si>
    <t xml:space="preserve">TAGTGACCATCAAAAACGTGTCGA</t>
  </si>
  <si>
    <t xml:space="preserve">AAACTCGACACGTTTTTGATGGTC</t>
  </si>
  <si>
    <t xml:space="preserve">TGACCAGAATCACCGCCAGC</t>
  </si>
  <si>
    <t xml:space="preserve">TAGTTGACCAGAATCACCGCCAGC</t>
  </si>
  <si>
    <t xml:space="preserve">AAACGCTGGCGGTGATTCTGGTCA</t>
  </si>
  <si>
    <t xml:space="preserve">ATAGATGCCGCCTTTGGAAC</t>
  </si>
  <si>
    <t xml:space="preserve">TAGTATAGATGCCGCCTTTGGAAC</t>
  </si>
  <si>
    <t xml:space="preserve">AAACGTTCCAAAGGCGGCATCTAT</t>
  </si>
  <si>
    <t xml:space="preserve">CCCAGCACGCGGTTGATCCC</t>
  </si>
  <si>
    <t xml:space="preserve">TAGTCCCAGCACGCGGTTGATCCC</t>
  </si>
  <si>
    <t xml:space="preserve">AAACGGGATCAACCGCGTGCTGGG</t>
  </si>
  <si>
    <t xml:space="preserve">PSPPH_0333</t>
  </si>
  <si>
    <t xml:space="preserve">CAGTTGGCGTTGCGCGGTTG</t>
  </si>
  <si>
    <t xml:space="preserve">TAGTCAGTTGGCGTTGCGCGGTTG</t>
  </si>
  <si>
    <t xml:space="preserve">AAACCAACCGCGCAACGCCAACTG</t>
  </si>
  <si>
    <t xml:space="preserve">CTTGCGCTCGGGGTGTCGAG</t>
  </si>
  <si>
    <t xml:space="preserve">TAGTCTTGCGCTCGGGGTGTCGAG</t>
  </si>
  <si>
    <t xml:space="preserve">AAACCTCGACACCCCGAGCGCAAG</t>
  </si>
  <si>
    <t xml:space="preserve">ATTCAGCTCTGGGTGCAGCT</t>
  </si>
  <si>
    <t xml:space="preserve">TAGTATTCAGCTCTGGGTGCAGCT</t>
  </si>
  <si>
    <t xml:space="preserve">AAACAGCTGCACCCAGAGCTGAAT</t>
  </si>
  <si>
    <t xml:space="preserve">CAGGTTGATGAACCGCACAT</t>
  </si>
  <si>
    <t xml:space="preserve">TAGTCAGGTTGATGAACCGCACAT</t>
  </si>
  <si>
    <t xml:space="preserve">AAACATGTGCGGTTCATCAACCTG</t>
  </si>
  <si>
    <t xml:space="preserve">PSPPH_0334</t>
  </si>
  <si>
    <t xml:space="preserve">TGCAGCGAGGGTTTTGCTCA</t>
  </si>
  <si>
    <t xml:space="preserve">TAGTTGCAGCGAGGGTTTTGCTCA</t>
  </si>
  <si>
    <t xml:space="preserve">AAACTGAGCAAAACCCTCGCTGCA</t>
  </si>
  <si>
    <t xml:space="preserve">GGTCAGGGTCAACAGCCCGA</t>
  </si>
  <si>
    <t xml:space="preserve">TAGTGGTCAGGGTCAACAGCCCGA</t>
  </si>
  <si>
    <t xml:space="preserve">AAACTCGGGCTGTTGACCCTGACC</t>
  </si>
  <si>
    <t xml:space="preserve">GGGCTTGTCGTCAGCGTAAG</t>
  </si>
  <si>
    <t xml:space="preserve">TAGTGGGCTTGTCGTCAGCGTAAG</t>
  </si>
  <si>
    <t xml:space="preserve">AAACCTTACGCTGACGACAAGCCC</t>
  </si>
  <si>
    <t xml:space="preserve">GCCGTGGTGCCGACTTTCAA</t>
  </si>
  <si>
    <t xml:space="preserve">TAGTGCCGTGGTGCCGACTTTCAA</t>
  </si>
  <si>
    <t xml:space="preserve">AAACTTGAAAGTCGGCACCACGGC</t>
  </si>
  <si>
    <t xml:space="preserve">PSPPH_0335</t>
  </si>
  <si>
    <t xml:space="preserve">TCATGTTGAACGCGTTGAGG</t>
  </si>
  <si>
    <t xml:space="preserve">TAGTTCATGTTGAACGCGTTGAGG</t>
  </si>
  <si>
    <t xml:space="preserve">AAACCCTCAACGCGTTCAACATGA</t>
  </si>
  <si>
    <t xml:space="preserve">TCCACAGGCCATGGTTGATA</t>
  </si>
  <si>
    <t xml:space="preserve">TAGTTCCACAGGCCATGGTTGATA</t>
  </si>
  <si>
    <t xml:space="preserve">AAACTATCAACCATGGCCTGTGGA</t>
  </si>
  <si>
    <t xml:space="preserve">CGTCGAGGTGTCCCGTGGAT</t>
  </si>
  <si>
    <t xml:space="preserve">TAGTCGTCGAGGTGTCCCGTGGAT</t>
  </si>
  <si>
    <t xml:space="preserve">AAACATCCACGGGACACCTCGACG</t>
  </si>
  <si>
    <t xml:space="preserve">CCAGGTCAGTCCAGTACTCC</t>
  </si>
  <si>
    <t xml:space="preserve">TAGTCCAGGTCAGTCCAGTACTCC</t>
  </si>
  <si>
    <t xml:space="preserve">AAACGGAGTACTGGACTGACCTGG</t>
  </si>
  <si>
    <t xml:space="preserve">PSPPH_0336</t>
  </si>
  <si>
    <t xml:space="preserve">GTTGTCGCGCGCCTGAAGGT</t>
  </si>
  <si>
    <t xml:space="preserve">TAGTGTTGTCGCGCGCCTGAAGGT</t>
  </si>
  <si>
    <t xml:space="preserve">AAACACCTTCAGGCGCGCGACAAC</t>
  </si>
  <si>
    <t xml:space="preserve">TTGCAGGGCCTGAGCGTCAC</t>
  </si>
  <si>
    <t xml:space="preserve">TAGTTTGCAGGGCCTGAGCGTCAC</t>
  </si>
  <si>
    <t xml:space="preserve">AAACGTGACGCTCAGGCCCTGCAA</t>
  </si>
  <si>
    <t xml:space="preserve">GCTGTCGGTCTTGAAGTGCA</t>
  </si>
  <si>
    <t xml:space="preserve">TAGTGCTGTCGGTCTTGAAGTGCA</t>
  </si>
  <si>
    <t xml:space="preserve">AAACTGCACTTCAAGACCGACAGC</t>
  </si>
  <si>
    <t xml:space="preserve">CATGAGGCAAACGACGCTCG</t>
  </si>
  <si>
    <t xml:space="preserve">TAGTCATGAGGCAAACGACGCTCG</t>
  </si>
  <si>
    <t xml:space="preserve">AAACCGAGCGTCGTTTGCCTCATG</t>
  </si>
  <si>
    <t xml:space="preserve">PSPPH_0337</t>
  </si>
  <si>
    <t xml:space="preserve">GTAGTTGTGAAAGGGACCAT</t>
  </si>
  <si>
    <t xml:space="preserve">TAGTGTAGTTGTGAAAGGGACCAT</t>
  </si>
  <si>
    <t xml:space="preserve">AAACATGGTCCCTTTCACAACTAC</t>
  </si>
  <si>
    <t xml:space="preserve">AGCCCTGGGTTTATCCACAG</t>
  </si>
  <si>
    <t xml:space="preserve">TAGTAGCCCTGGGTTTATCCACAG</t>
  </si>
  <si>
    <t xml:space="preserve">AAACCTGTGGATAAACCCAGGGCT</t>
  </si>
  <si>
    <t xml:space="preserve">TCGCGTCGCTCACCGTCAGT</t>
  </si>
  <si>
    <t xml:space="preserve">TAGTTCGCGTCGCTCACCGTCAGT</t>
  </si>
  <si>
    <t xml:space="preserve">AAACACTGACGGTGAGCGACGCGA</t>
  </si>
  <si>
    <t xml:space="preserve">TGGTGGGCTGCTACCGCCGC</t>
  </si>
  <si>
    <t xml:space="preserve">TAGTTGGTGGGCTGCTACCGCCGC</t>
  </si>
  <si>
    <t xml:space="preserve">AAACGCGGCGGTAGCAGCCCACCA</t>
  </si>
  <si>
    <t xml:space="preserve">PSPPH_0338</t>
  </si>
  <si>
    <t xml:space="preserve">GGGTCGGTTTGCAAATGATT</t>
  </si>
  <si>
    <t xml:space="preserve">TAGTGGGTCGGTTTGCAAATGATT</t>
  </si>
  <si>
    <t xml:space="preserve">AAACAATCATTTGCAAACCGACCC</t>
  </si>
  <si>
    <t xml:space="preserve">AGGGGCTGACAGGCCCATAG</t>
  </si>
  <si>
    <t xml:space="preserve">TAGTAGGGGCTGACAGGCCCATAG</t>
  </si>
  <si>
    <t xml:space="preserve">AAACCTATGGGCCTGTCAGCCCCT</t>
  </si>
  <si>
    <t xml:space="preserve">CGGCTGGCCAGCGGTATGGA</t>
  </si>
  <si>
    <t xml:space="preserve">TAGTCGGCTGGCCAGCGGTATGGA</t>
  </si>
  <si>
    <t xml:space="preserve">AAACTCCATACCGCTGGCCAGCCG</t>
  </si>
  <si>
    <t xml:space="preserve">CTCTCACGCCTATGCCATGT</t>
  </si>
  <si>
    <t xml:space="preserve">TAGTCTCTCACGCCTATGCCATGT</t>
  </si>
  <si>
    <t xml:space="preserve">AAACACATGGCATAGGCGTGAGAG</t>
  </si>
  <si>
    <t xml:space="preserve">PSPPH_0340</t>
  </si>
  <si>
    <t xml:space="preserve">glnQ1</t>
  </si>
  <si>
    <t xml:space="preserve">CTGATTGCCCTTGAATTTCT</t>
  </si>
  <si>
    <t xml:space="preserve">TAGTCTGATTGCCCTTGAATTTCT</t>
  </si>
  <si>
    <t xml:space="preserve">AAACAGAAATTCAAGGGCAATCAG</t>
  </si>
  <si>
    <t xml:space="preserve">GATGATGGCGACGACTTCCC</t>
  </si>
  <si>
    <t xml:space="preserve">TAGTGATGATGGCGACGACTTCCC</t>
  </si>
  <si>
    <t xml:space="preserve">AAACGGGAAGTCGTCGCCATCATC</t>
  </si>
  <si>
    <t xml:space="preserve">GTGGTCTTGCCCGAGCCACT</t>
  </si>
  <si>
    <t xml:space="preserve">TAGTGTGGTCTTGCCCGAGCCACT</t>
  </si>
  <si>
    <t xml:space="preserve">AAACAGTGGCTCGGGCAAGACCAC</t>
  </si>
  <si>
    <t xml:space="preserve">CCGGTGTCTCCAGCAGGTTC</t>
  </si>
  <si>
    <t xml:space="preserve">TAGTCCGGTGTCTCCAGCAGGTTC</t>
  </si>
  <si>
    <t xml:space="preserve">AAACGAACCTGCTGGAGACACCGG</t>
  </si>
  <si>
    <t xml:space="preserve">PSPPH_0341</t>
  </si>
  <si>
    <t xml:space="preserve">CGGAGTCCAGCGCGAGCTGA</t>
  </si>
  <si>
    <t xml:space="preserve">TAGTCGGAGTCCAGCGCGAGCTGA</t>
  </si>
  <si>
    <t xml:space="preserve">AAACTCAGCTCGCGCTGGACTCCG</t>
  </si>
  <si>
    <t xml:space="preserve">GCCCTTGAGCAGAAAGGGCG</t>
  </si>
  <si>
    <t xml:space="preserve">TAGTGCCCTTGAGCAGAAAGGGCG</t>
  </si>
  <si>
    <t xml:space="preserve">AAACCGCCCTTTCTGCTCAAGGGC</t>
  </si>
  <si>
    <t xml:space="preserve">CCCGCCCAGGCTGAGGAAGA</t>
  </si>
  <si>
    <t xml:space="preserve">TAGTCCCGCCCAGGCTGAGGAAGA</t>
  </si>
  <si>
    <t xml:space="preserve">AAACTCTTCCTCAGCCTGGGCGGG</t>
  </si>
  <si>
    <t xml:space="preserve">GCGACAGGCGCATCAATGCC</t>
  </si>
  <si>
    <t xml:space="preserve">TAGTGCGACAGGCGCATCAATGCC</t>
  </si>
  <si>
    <t xml:space="preserve">AAACGGCATTGATGCGCCTGTCGC</t>
  </si>
  <si>
    <t xml:space="preserve">PSPPH_0342</t>
  </si>
  <si>
    <t xml:space="preserve">AAGAAACGTGCGACGAATAG</t>
  </si>
  <si>
    <t xml:space="preserve">TAGTAAGAAACGTGCGACGAATAG</t>
  </si>
  <si>
    <t xml:space="preserve">AAACCTATTCGTCGCACGTTTCTT</t>
  </si>
  <si>
    <t xml:space="preserve">CTCGCCAGCCATGGCTTGCC</t>
  </si>
  <si>
    <t xml:space="preserve">TAGTCTCGCCAGCCATGGCTTGCC</t>
  </si>
  <si>
    <t xml:space="preserve">AAACGGCAAGCCATGGCTGGCGAG</t>
  </si>
  <si>
    <t xml:space="preserve">ACGGCGGGTAAGTGCCTTCC</t>
  </si>
  <si>
    <t xml:space="preserve">TAGTACGGCGGGTAAGTGCCTTCC</t>
  </si>
  <si>
    <t xml:space="preserve">AAACGGAAGGCACTTACCCGCCGT</t>
  </si>
  <si>
    <t xml:space="preserve">GGAAAACTCTACTTCGAAGC</t>
  </si>
  <si>
    <t xml:space="preserve">TAGTGGAAAACTCTACTTCGAAGC</t>
  </si>
  <si>
    <t xml:space="preserve">AAACGCTTCGAAGTAGAGTTTTCC</t>
  </si>
  <si>
    <t xml:space="preserve">PSPPH_0343</t>
  </si>
  <si>
    <t xml:space="preserve">dcyD</t>
  </si>
  <si>
    <t xml:space="preserve">GGCAAGCTGATTTTTGATCA</t>
  </si>
  <si>
    <t xml:space="preserve">TAGTGGCAAGCTGATTTTTGATCA</t>
  </si>
  <si>
    <t xml:space="preserve">AAACTGATCAAAAATCAGCTTGCC</t>
  </si>
  <si>
    <t xml:space="preserve">CAAGTCCAGGCGATTGAAAC</t>
  </si>
  <si>
    <t xml:space="preserve">TAGTCAAGTCCAGGCGATTGAAAC</t>
  </si>
  <si>
    <t xml:space="preserve">AAACGTTTCAATCGCCTGGACTTG</t>
  </si>
  <si>
    <t xml:space="preserve">TCAAGCTTTTCCAGAGCCGT</t>
  </si>
  <si>
    <t xml:space="preserve">TAGTTCAAGCTTTTCCAGAGCCGT</t>
  </si>
  <si>
    <t xml:space="preserve">AAACACGGCTCTGGAAAAGCTTGA</t>
  </si>
  <si>
    <t xml:space="preserve">CGCGATCTGCCCAGATCGAC</t>
  </si>
  <si>
    <t xml:space="preserve">TAGTCGCGATCTGCCCAGATCGAC</t>
  </si>
  <si>
    <t xml:space="preserve">AAACGTCGATCTGGGCAGATCGCG</t>
  </si>
  <si>
    <t xml:space="preserve">PSPPH_0344</t>
  </si>
  <si>
    <t xml:space="preserve">CTGCCGTCGGCGGATGCTTC</t>
  </si>
  <si>
    <t xml:space="preserve">TAGTCTGCCGTCGGCGGATGCTTC</t>
  </si>
  <si>
    <t xml:space="preserve">AAACGAAGCATCCGCCGACGGCAG</t>
  </si>
  <si>
    <t xml:space="preserve">CCGCTGCAACTGCCAGTGGC</t>
  </si>
  <si>
    <t xml:space="preserve">TAGTCCGCTGCAACTGCCAGTGGC</t>
  </si>
  <si>
    <t xml:space="preserve">AAACGCCACTGGCAGTTGCAGCGG</t>
  </si>
  <si>
    <t xml:space="preserve">CTTCACGCGCGCCGCGCAAC</t>
  </si>
  <si>
    <t xml:space="preserve">TAGTCTTCACGCGCGCCGCGCAAC</t>
  </si>
  <si>
    <t xml:space="preserve">AAACGTTGCGCGGCGCGCGTGAAG</t>
  </si>
  <si>
    <t xml:space="preserve">CGTGCTCGCCGCTTACCCGA</t>
  </si>
  <si>
    <t xml:space="preserve">TAGTCGTGCTCGCCGCTTACCCGA</t>
  </si>
  <si>
    <t xml:space="preserve">AAACTCGGGTAAGCGGCGAGCACG</t>
  </si>
  <si>
    <t xml:space="preserve">PSPPH_0345</t>
  </si>
  <si>
    <t xml:space="preserve">ATCAAAGAGAGATTCGTGCG</t>
  </si>
  <si>
    <t xml:space="preserve">TAGTATCAAAGAGAGATTCGTGCG</t>
  </si>
  <si>
    <t xml:space="preserve">AAACCGCACGAATCTCTCTTTGAT</t>
  </si>
  <si>
    <t xml:space="preserve">CTGCTTGTCACCGCGCGCGC</t>
  </si>
  <si>
    <t xml:space="preserve">TAGTCTGCTTGTCACCGCGCGCGC</t>
  </si>
  <si>
    <t xml:space="preserve">AAACGCGCGCGCGGTGACAAGCAG</t>
  </si>
  <si>
    <t xml:space="preserve">CTGTTGATAAAGACGCTGCA</t>
  </si>
  <si>
    <t xml:space="preserve">TAGTCTGTTGATAAAGACGCTGCA</t>
  </si>
  <si>
    <t xml:space="preserve">AAACTGCAGCGTCTTTATCAACAG</t>
  </si>
  <si>
    <t xml:space="preserve">CGATGTCTTCAGCCAGCGCC</t>
  </si>
  <si>
    <t xml:space="preserve">TAGTCGATGTCTTCAGCCAGCGCC</t>
  </si>
  <si>
    <t xml:space="preserve">AAACGGCGCTGGCTGAAGACATCG</t>
  </si>
  <si>
    <t xml:space="preserve">PSPPH_0346</t>
  </si>
  <si>
    <t xml:space="preserve">AAGCCAGGGTGCTACCAGCA</t>
  </si>
  <si>
    <t xml:space="preserve">TAGTAAGCCAGGGTGCTACCAGCA</t>
  </si>
  <si>
    <t xml:space="preserve">AAACTGCTGGTAGCACCCTGGCTT</t>
  </si>
  <si>
    <t xml:space="preserve">GAGCCATGGCAATGGATGAC</t>
  </si>
  <si>
    <t xml:space="preserve">TAGTGAGCCATGGCAATGGATGAC</t>
  </si>
  <si>
    <t xml:space="preserve">AAACGTCATCCATTGCCATGGCTC</t>
  </si>
  <si>
    <t xml:space="preserve">GTACCCTGACGCTTTCGGGC</t>
  </si>
  <si>
    <t xml:space="preserve">TAGTGTACCCTGACGCTTTCGGGC</t>
  </si>
  <si>
    <t xml:space="preserve">AAACGCCCGAAAGCGTCAGGGTAC</t>
  </si>
  <si>
    <t xml:space="preserve">ATTCTGACTTTGTTGCCGGC</t>
  </si>
  <si>
    <t xml:space="preserve">TAGTATTCTGACTTTGTTGCCGGC</t>
  </si>
  <si>
    <t xml:space="preserve">AAACGCCGGCAACAAAGTCAGAAT</t>
  </si>
  <si>
    <t xml:space="preserve">PSPPH_0347</t>
  </si>
  <si>
    <t xml:space="preserve">nhaA1</t>
  </si>
  <si>
    <t xml:space="preserve">CCGGTTGGAAACTTGAGTCA</t>
  </si>
  <si>
    <t xml:space="preserve">TAGTCCGGTTGGAAACTTGAGTCA</t>
  </si>
  <si>
    <t xml:space="preserve">AAACTGACTCAAGTTTCCAACCGG</t>
  </si>
  <si>
    <t xml:space="preserve">CTGAGGACGGCAACGCCTCT</t>
  </si>
  <si>
    <t xml:space="preserve">TAGTCTGAGGACGGCAACGCCTCT</t>
  </si>
  <si>
    <t xml:space="preserve">AAACAGAGGCGTTGCCGTCCTCAG</t>
  </si>
  <si>
    <t xml:space="preserve">CTGATTCGGAGGCGAGGAAA</t>
  </si>
  <si>
    <t xml:space="preserve">TAGTCTGATTCGGAGGCGAGGAAA</t>
  </si>
  <si>
    <t xml:space="preserve">AAACTTTCCTCGCCTCCGAATCAG</t>
  </si>
  <si>
    <t xml:space="preserve">AGAGTTGGCGACGATAAGGG</t>
  </si>
  <si>
    <t xml:space="preserve">TAGTAGAGTTGGCGACGATAAGGG</t>
  </si>
  <si>
    <t xml:space="preserve">AAACCCCTTATCGTCGCCAACTCT</t>
  </si>
  <si>
    <t xml:space="preserve">PSPPH_0348</t>
  </si>
  <si>
    <t xml:space="preserve">CGGCACGCAGGAGGTGAGTC</t>
  </si>
  <si>
    <t xml:space="preserve">TAGTCGGCACGCAGGAGGTGAGTC</t>
  </si>
  <si>
    <t xml:space="preserve">AAACGACTCACCTCCTGCGTGCCG</t>
  </si>
  <si>
    <t xml:space="preserve">CGGCATGCGCGGGTAGTCGA</t>
  </si>
  <si>
    <t xml:space="preserve">TAGTCGGCATGCGCGGGTAGTCGA</t>
  </si>
  <si>
    <t xml:space="preserve">AAACTCGACTACCCGCGCATGCCG</t>
  </si>
  <si>
    <t xml:space="preserve">CTGCCACCGCCGTTTTTCCA</t>
  </si>
  <si>
    <t xml:space="preserve">TAGTCTGCCACCGCCGTTTTTCCA</t>
  </si>
  <si>
    <t xml:space="preserve">AAACTGGAAAAACGGCGGTGGCAG</t>
  </si>
  <si>
    <t xml:space="preserve">AGCCGAAACCGTCGAGGTCC</t>
  </si>
  <si>
    <t xml:space="preserve">TAGTAGCCGAAACCGTCGAGGTCC</t>
  </si>
  <si>
    <t xml:space="preserve">AAACGGACCTCGACGGTTTCGGCT</t>
  </si>
  <si>
    <t xml:space="preserve">PSPPH_0349</t>
  </si>
  <si>
    <t xml:space="preserve">hutC</t>
  </si>
  <si>
    <t xml:space="preserve">GCCAGGGAAGAAGAGGCGGG</t>
  </si>
  <si>
    <t xml:space="preserve">TAGTGCCAGGGAAGAAGAGGCGGG</t>
  </si>
  <si>
    <t xml:space="preserve">AAACCCCGCCTCTTCTTCCCTGGC</t>
  </si>
  <si>
    <t xml:space="preserve">TGCGGGACTTTCGCCCATCT</t>
  </si>
  <si>
    <t xml:space="preserve">TAGTTGCGGGACTTTCGCCCATCT</t>
  </si>
  <si>
    <t xml:space="preserve">AAACAGATGGGCGAAAGTCCCGCA</t>
  </si>
  <si>
    <t xml:space="preserve">TGTTTGACGCGGGCGTACAA</t>
  </si>
  <si>
    <t xml:space="preserve">TAGTTGTTTGACGCGGGCGTACAA</t>
  </si>
  <si>
    <t xml:space="preserve">AAACTTGTACGCCCGCGTCAAACA</t>
  </si>
  <si>
    <t xml:space="preserve">GGTGCCATTCTGGATCTGCA</t>
  </si>
  <si>
    <t xml:space="preserve">TAGTGGTGCCATTCTGGATCTGCA</t>
  </si>
  <si>
    <t xml:space="preserve">AAACTGCAGATCCAGAATGGCACC</t>
  </si>
  <si>
    <t xml:space="preserve">PSPPH_0350</t>
  </si>
  <si>
    <t xml:space="preserve">hutF</t>
  </si>
  <si>
    <t xml:space="preserve">TAACGCGCGCTCGGCAAAGA</t>
  </si>
  <si>
    <t xml:space="preserve">TAGTTAACGCGCGCTCGGCAAAGA</t>
  </si>
  <si>
    <t xml:space="preserve">AAACTCTTTGCCGAGCGCGCGTTA</t>
  </si>
  <si>
    <t xml:space="preserve">CATTGTTGGCCCAGCCGTCG</t>
  </si>
  <si>
    <t xml:space="preserve">TAGTCATTGTTGGCCCAGCCGTCG</t>
  </si>
  <si>
    <t xml:space="preserve">AAACCGACGGCTGGGCCAACAATG</t>
  </si>
  <si>
    <t xml:space="preserve">TGCGGGTCAAAACGCCTTCC</t>
  </si>
  <si>
    <t xml:space="preserve">TAGTTGCGGGTCAAAACGCCTTCC</t>
  </si>
  <si>
    <t xml:space="preserve">AAACGGAAGGCGTTTTGACCCGCA</t>
  </si>
  <si>
    <t xml:space="preserve">GGCACCCTGCCGATCCGCAT</t>
  </si>
  <si>
    <t xml:space="preserve">TAGTGGCACCCTGCCGATCCGCAT</t>
  </si>
  <si>
    <t xml:space="preserve">AAACATGCGGATCGGCAGGGTGCC</t>
  </si>
  <si>
    <t xml:space="preserve">PSPPH_0351</t>
  </si>
  <si>
    <t xml:space="preserve">blc</t>
  </si>
  <si>
    <t xml:space="preserve">AAAACCGATGGCCAGAAAGC</t>
  </si>
  <si>
    <t xml:space="preserve">TAGTAAAACCGATGGCCAGAAAGC</t>
  </si>
  <si>
    <t xml:space="preserve">AAACGCTTTCTGGCCATCGGTTTT</t>
  </si>
  <si>
    <t xml:space="preserve">CTCGAGGTTGTCAGCCGAGT</t>
  </si>
  <si>
    <t xml:space="preserve">TAGTCTCGAGGTTGTCAGCCGAGT</t>
  </si>
  <si>
    <t xml:space="preserve">AAACACTCGGCTGACAACCTCGAG</t>
  </si>
  <si>
    <t xml:space="preserve">TCGACGCTGTCGACTGTCCT</t>
  </si>
  <si>
    <t xml:space="preserve">TAGTTCGACGCTGTCGACTGTCCT</t>
  </si>
  <si>
    <t xml:space="preserve">AAACAGGACAGTCGACAGCGTCGA</t>
  </si>
  <si>
    <t xml:space="preserve">AGGTGCCCTGATATTGCTTG</t>
  </si>
  <si>
    <t xml:space="preserve">TAGTAGGTGCCCTGATATTGCTTG</t>
  </si>
  <si>
    <t xml:space="preserve">AAACCAAGCAATATCAGGGCACCT</t>
  </si>
  <si>
    <t xml:space="preserve">PSPPH_0352</t>
  </si>
  <si>
    <t xml:space="preserve">GCGACAGTGCGCAAGGACAT</t>
  </si>
  <si>
    <t xml:space="preserve">TAGTGCGACAGTGCGCAAGGACAT</t>
  </si>
  <si>
    <t xml:space="preserve">AAACATGTCCTTGCGCACTGTCGC</t>
  </si>
  <si>
    <t xml:space="preserve">TTCCTGGGTGATCTTGCTGC</t>
  </si>
  <si>
    <t xml:space="preserve">TAGTTTCCTGGGTGATCTTGCTGC</t>
  </si>
  <si>
    <t xml:space="preserve">AAACGCAGCAAGATCACCCAGGAA</t>
  </si>
  <si>
    <t xml:space="preserve">AAGGATTCGACCTGTGCCTT</t>
  </si>
  <si>
    <t xml:space="preserve">TAGTAAGGATTCGACCTGTGCCTT</t>
  </si>
  <si>
    <t xml:space="preserve">AAACAAGGCACAGGTCGAATCCTT</t>
  </si>
  <si>
    <t xml:space="preserve">GTGCGCCGGAGCATTCCGTC</t>
  </si>
  <si>
    <t xml:space="preserve">TAGTGTGCGCCGGAGCATTCCGTC</t>
  </si>
  <si>
    <t xml:space="preserve">AAACGACGGAATGCTCCGGCGCAC</t>
  </si>
  <si>
    <t xml:space="preserve">PSPPH_0353</t>
  </si>
  <si>
    <t xml:space="preserve">fbp</t>
  </si>
  <si>
    <t xml:space="preserve">ACTTAGTGTAACGCGGGACA</t>
  </si>
  <si>
    <t xml:space="preserve">TAGTACTTAGTGTAACGCGGGACA</t>
  </si>
  <si>
    <t xml:space="preserve">AAACTGTCCCGCGTTACACTAAGT</t>
  </si>
  <si>
    <t xml:space="preserve">CAGGAAGCGCAGATCGGCAG</t>
  </si>
  <si>
    <t xml:space="preserve">TAGTCAGGAAGCGCAGATCGGCAG</t>
  </si>
  <si>
    <t xml:space="preserve">AAACCTGCCGATCTGCGCTTCCTG</t>
  </si>
  <si>
    <t xml:space="preserve">GCGCGCCTTTGGAGACGGCG</t>
  </si>
  <si>
    <t xml:space="preserve">TAGTGCGCGCCTTTGGAGACGGCG</t>
  </si>
  <si>
    <t xml:space="preserve">AAACCGCCGTCTCCAAAGGCGCGC</t>
  </si>
  <si>
    <t xml:space="preserve">CACTTCGCCCTGAACGTTTT</t>
  </si>
  <si>
    <t xml:space="preserve">TAGTCACTTCGCCCTGAACGTTTT</t>
  </si>
  <si>
    <t xml:space="preserve">AAACAAAACGTTCAGGGCGAAGTG</t>
  </si>
  <si>
    <t xml:space="preserve">PSPPH_0354</t>
  </si>
  <si>
    <t xml:space="preserve">AGCACGGCGATCTTCATGGC</t>
  </si>
  <si>
    <t xml:space="preserve">TAGTAGCACGGCGATCTTCATGGC</t>
  </si>
  <si>
    <t xml:space="preserve">AAACGCCATGAAGATCGCCGTGCT</t>
  </si>
  <si>
    <t xml:space="preserve">TTACCGCCGTGCACAAGGCC</t>
  </si>
  <si>
    <t xml:space="preserve">TAGTTTACCGCCGTGCACAAGGCC</t>
  </si>
  <si>
    <t xml:space="preserve">AAACGGCCTTGTGCACGGCGGTAA</t>
  </si>
  <si>
    <t xml:space="preserve">CGGCTTGTCCTGGGCGACGG</t>
  </si>
  <si>
    <t xml:space="preserve">TAGTCGGCTTGTCCTGGGCGACGG</t>
  </si>
  <si>
    <t xml:space="preserve">AAACCCGTCGCCCAGGACAAGCCG</t>
  </si>
  <si>
    <t xml:space="preserve">GGCTGGCTGGCAAAGTCCGT</t>
  </si>
  <si>
    <t xml:space="preserve">TAGTGGCTGGCTGGCAAAGTCCGT</t>
  </si>
  <si>
    <t xml:space="preserve">AAACACGGACTTTGCCAGCCAGCC</t>
  </si>
  <si>
    <t xml:space="preserve">PSPPH_0355</t>
  </si>
  <si>
    <t xml:space="preserve">CGGCAGATTGCCTGCCAAGC</t>
  </si>
  <si>
    <t xml:space="preserve">TAGTCGGCAGATTGCCTGCCAAGC</t>
  </si>
  <si>
    <t xml:space="preserve">AAACGCTTGGCAGGCAATCTGCCG</t>
  </si>
  <si>
    <t xml:space="preserve">GAGCAGTTGTTGCAGTTGGT</t>
  </si>
  <si>
    <t xml:space="preserve">TAGTGAGCAGTTGTTGCAGTTGGT</t>
  </si>
  <si>
    <t xml:space="preserve">AAACACCAACTGCAACAACTGCTC</t>
  </si>
  <si>
    <t xml:space="preserve">AACGGCGTCGAGGGATTGGC</t>
  </si>
  <si>
    <t xml:space="preserve">TAGTAACGGCGTCGAGGGATTGGC</t>
  </si>
  <si>
    <t xml:space="preserve">AAACGCCAATCCCTCGACGCCGTT</t>
  </si>
  <si>
    <t xml:space="preserve">ACTGACGCTCGAGCGCGTTC</t>
  </si>
  <si>
    <t xml:space="preserve">TAGTACTGACGCTCGAGCGCGTTC</t>
  </si>
  <si>
    <t xml:space="preserve">AAACGAACGCGCTCGAGCGTCAGT</t>
  </si>
  <si>
    <t xml:space="preserve">PSPPH_0356</t>
  </si>
  <si>
    <t xml:space="preserve">glgP</t>
  </si>
  <si>
    <t xml:space="preserve">ACAAGTGGTTCCTGAGACAT</t>
  </si>
  <si>
    <t xml:space="preserve">TAGTACAAGTGGTTCCTGAGACAT</t>
  </si>
  <si>
    <t xml:space="preserve">AAACATGTCTCAGGAACCACTTGT</t>
  </si>
  <si>
    <t xml:space="preserve">GTTTGGCGAGCACAGCGGCG</t>
  </si>
  <si>
    <t xml:space="preserve">TAGTGTTTGGCGAGCACAGCGGCG</t>
  </si>
  <si>
    <t xml:space="preserve">AAACCGCCGCTGTGCTCGCCAAAC</t>
  </si>
  <si>
    <t xml:space="preserve">GGGGTCCTTGCCCACCGAAT</t>
  </si>
  <si>
    <t xml:space="preserve">TAGTGGGGTCCTTGCCCACCGAAT</t>
  </si>
  <si>
    <t xml:space="preserve">AAACATTCGGTGGGCAAGGACCCC</t>
  </si>
  <si>
    <t xml:space="preserve">TCATGCTCAAACGCATGGTC</t>
  </si>
  <si>
    <t xml:space="preserve">TAGTTCATGCTCAAACGCATGGTC</t>
  </si>
  <si>
    <t xml:space="preserve">AAACGACCATGCGTTTGAGCATGA</t>
  </si>
  <si>
    <t xml:space="preserve">PSPPH_0357</t>
  </si>
  <si>
    <t xml:space="preserve">pip</t>
  </si>
  <si>
    <t xml:space="preserve">GGGCGTAGGGTTTGATCTGC</t>
  </si>
  <si>
    <t xml:space="preserve">TAGTGGGCGTAGGGTTTGATCTGC</t>
  </si>
  <si>
    <t xml:space="preserve">AAACGCAGATCAAACCCTACGCCC</t>
  </si>
  <si>
    <t xml:space="preserve">GTTCCACGGCCAGATCGTGC</t>
  </si>
  <si>
    <t xml:space="preserve">TAGTGTTCCACGGCCAGATCGTGC</t>
  </si>
  <si>
    <t xml:space="preserve">AAACGCACGATCTGGCCGTGGAAC</t>
  </si>
  <si>
    <t xml:space="preserve">TCATCGACGTAAAGCACATG</t>
  </si>
  <si>
    <t xml:space="preserve">TAGTTCATCGACGTAAAGCACATG</t>
  </si>
  <si>
    <t xml:space="preserve">AAACCATGTGCTTTACGTCGATGA</t>
  </si>
  <si>
    <t xml:space="preserve">AATACCACTGGCAACCCTTC</t>
  </si>
  <si>
    <t xml:space="preserve">TAGTAATACCACTGGCAACCCTTC</t>
  </si>
  <si>
    <t xml:space="preserve">AAACGAAGGGTTGCCAGTGGTATT</t>
  </si>
  <si>
    <t xml:space="preserve">PSPPH_0358</t>
  </si>
  <si>
    <t xml:space="preserve">dtd</t>
  </si>
  <si>
    <t xml:space="preserve">GCACTGGCGCGGGTGTCTTG</t>
  </si>
  <si>
    <t xml:space="preserve">TAGTGCACTGGCGCGGGTGTCTTG</t>
  </si>
  <si>
    <t xml:space="preserve">AAACCAAGACACCCGCGCCAGTGC</t>
  </si>
  <si>
    <t xml:space="preserve">CAGCTTGTGCAGCAACTTAT</t>
  </si>
  <si>
    <t xml:space="preserve">TAGTCAGCTTGTGCAGCAACTTAT</t>
  </si>
  <si>
    <t xml:space="preserve">AAACATAAGTTGCTGCACAAGCTG</t>
  </si>
  <si>
    <t xml:space="preserve">GGATAAATTCATCTTGCCGT</t>
  </si>
  <si>
    <t xml:space="preserve">TAGTGGATAAATTCATCTTGCCGT</t>
  </si>
  <si>
    <t xml:space="preserve">AAACACGGCAAGATGAATTTATCC</t>
  </si>
  <si>
    <t xml:space="preserve">CCCGCCACCTACCTCGCGCA</t>
  </si>
  <si>
    <t xml:space="preserve">TAGTCCCGCCACCTACCTCGCGCA</t>
  </si>
  <si>
    <t xml:space="preserve">AAACTGCGCGAGGTAGGTGGCGGG</t>
  </si>
  <si>
    <t xml:space="preserve">PSPPH_0359</t>
  </si>
  <si>
    <t xml:space="preserve">mdoG1</t>
  </si>
  <si>
    <t xml:space="preserve">GGTGTCTTTGGAGCATCACA</t>
  </si>
  <si>
    <t xml:space="preserve">TAGTGGTGTCTTTGGAGCATCACA</t>
  </si>
  <si>
    <t xml:space="preserve">AAACTGTGATGCTCCAAAGACACC</t>
  </si>
  <si>
    <t xml:space="preserve">GCACTACGCAACCGCTTGAC</t>
  </si>
  <si>
    <t xml:space="preserve">TAGTGCACTACGCAACCGCTTGAC</t>
  </si>
  <si>
    <t xml:space="preserve">AAACGTCAAGCGGTTGCGTAGTGC</t>
  </si>
  <si>
    <t xml:space="preserve">TGCACTGAACAGGCATACAA</t>
  </si>
  <si>
    <t xml:space="preserve">TAGTTGCACTGAACAGGCATACAA</t>
  </si>
  <si>
    <t xml:space="preserve">AAACTTGTATGCCTGTTCAGTGCA</t>
  </si>
  <si>
    <t xml:space="preserve">CTTCTGCCCGGCCAGTTCTT</t>
  </si>
  <si>
    <t xml:space="preserve">TAGTCTTCTGCCCGGCCAGTTCTT</t>
  </si>
  <si>
    <t xml:space="preserve">AAACAAGAACTGGCCGGGCAGAAG</t>
  </si>
  <si>
    <t xml:space="preserve">PSPPH_0360</t>
  </si>
  <si>
    <t xml:space="preserve">mdoH</t>
  </si>
  <si>
    <t xml:space="preserve">TCGTTCAGAGACACTGGCAC</t>
  </si>
  <si>
    <t xml:space="preserve">TAGTTCGTTCAGAGACACTGGCAC</t>
  </si>
  <si>
    <t xml:space="preserve">AAACGTGCCAGTGTCTCTGAACGA</t>
  </si>
  <si>
    <t xml:space="preserve">CGCTCATCGGTAAATGCGCC</t>
  </si>
  <si>
    <t xml:space="preserve">TAGTCGCTCATCGGTAAATGCGCC</t>
  </si>
  <si>
    <t xml:space="preserve">AAACGGCGCATTTACCGATGAGCG</t>
  </si>
  <si>
    <t xml:space="preserve">ACGCTCATGCAACTCGGCGA</t>
  </si>
  <si>
    <t xml:space="preserve">TAGTACGCTCATGCAACTCGGCGA</t>
  </si>
  <si>
    <t xml:space="preserve">AAACTCGCCGAGTTGCATGAGCGT</t>
  </si>
  <si>
    <t xml:space="preserve">GCCTCGGCAGGGTCATTGAC</t>
  </si>
  <si>
    <t xml:space="preserve">TAGTGCCTCGGCAGGGTCATTGAC</t>
  </si>
  <si>
    <t xml:space="preserve">AAACGTCAATGACCCTGCCGAGGC</t>
  </si>
  <si>
    <t xml:space="preserve">PSPPH_0361</t>
  </si>
  <si>
    <t xml:space="preserve">GTGAGGAACGATCGGGGTTC</t>
  </si>
  <si>
    <t xml:space="preserve">TAGTGTGAGGAACGATCGGGGTTC</t>
  </si>
  <si>
    <t xml:space="preserve">AAACGAACCCCGATCGTTCCTCAC</t>
  </si>
  <si>
    <t xml:space="preserve">CATTGCACCAGCAGGCGGCC</t>
  </si>
  <si>
    <t xml:space="preserve">TAGTCATTGCACCAGCAGGCGGCC</t>
  </si>
  <si>
    <t xml:space="preserve">AAACGGCCGCCTGCTGGTGCAATG</t>
  </si>
  <si>
    <t xml:space="preserve">PSPPH_0362</t>
  </si>
  <si>
    <t xml:space="preserve">TGATTGATCAGTCGGAACAT</t>
  </si>
  <si>
    <t xml:space="preserve">TAGTTGATTGATCAGTCGGAACAT</t>
  </si>
  <si>
    <t xml:space="preserve">AAACATGTTCCGACTGATCAATCA</t>
  </si>
  <si>
    <t xml:space="preserve">TCAGCGTCAATAACAGCACC</t>
  </si>
  <si>
    <t xml:space="preserve">TAGTTCAGCGTCAATAACAGCACC</t>
  </si>
  <si>
    <t xml:space="preserve">AAACGGTGCTGTTATTGACGCTGA</t>
  </si>
  <si>
    <t xml:space="preserve">GGTGTACAGACCATGCCAGC</t>
  </si>
  <si>
    <t xml:space="preserve">TAGTGGTGTACAGACCATGCCAGC</t>
  </si>
  <si>
    <t xml:space="preserve">AAACGCTGGCATGGTCTGTACACC</t>
  </si>
  <si>
    <t xml:space="preserve">CGACTCGGAGCGGTCGATCA</t>
  </si>
  <si>
    <t xml:space="preserve">TAGTCGACTCGGAGCGGTCGATCA</t>
  </si>
  <si>
    <t xml:space="preserve">AAACTGATCGACCGCTCCGAGTCG</t>
  </si>
  <si>
    <t xml:space="preserve">PSPPH_0363</t>
  </si>
  <si>
    <t xml:space="preserve">TTTCAGGCTGACACTCGCAT</t>
  </si>
  <si>
    <t xml:space="preserve">TAGTTTTCAGGCTGACACTCGCAT</t>
  </si>
  <si>
    <t xml:space="preserve">AAACATGCGAGTGTCAGCCTGAAA</t>
  </si>
  <si>
    <t xml:space="preserve">GCCTGTGGCCGAGATCATCA</t>
  </si>
  <si>
    <t xml:space="preserve">TAGTGCCTGTGGCCGAGATCATCA</t>
  </si>
  <si>
    <t xml:space="preserve">AAACTGATGATCTCGGCCACAGGC</t>
  </si>
  <si>
    <t xml:space="preserve">GGGTGCGGTCGATGCGTAGC</t>
  </si>
  <si>
    <t xml:space="preserve">TAGTGGGTGCGGTCGATGCGTAGC</t>
  </si>
  <si>
    <t xml:space="preserve">AAACGCTACGCATCGACCGCACCC</t>
  </si>
  <si>
    <t xml:space="preserve">GTTGAACAGGTCTTCGTAAC</t>
  </si>
  <si>
    <t xml:space="preserve">TAGTGTTGAACAGGTCTTCGTAAC</t>
  </si>
  <si>
    <t xml:space="preserve">AAACGTTACGAAGACCTGTTCAAC</t>
  </si>
  <si>
    <t xml:space="preserve">PSPPH_0364</t>
  </si>
  <si>
    <t xml:space="preserve">GCTTCAGACGGCGGTCACGC</t>
  </si>
  <si>
    <t xml:space="preserve">TAGTGCTTCAGACGGCGGTCACGC</t>
  </si>
  <si>
    <t xml:space="preserve">AAACGCGTGACCGCCGTCTGAAGC</t>
  </si>
  <si>
    <t xml:space="preserve">TGCCCAGCAGGCCATTAATG</t>
  </si>
  <si>
    <t xml:space="preserve">TAGTTGCCCAGCAGGCCATTAATG</t>
  </si>
  <si>
    <t xml:space="preserve">AAACCATTAATGGCCTGCTGGGCA</t>
  </si>
  <si>
    <t xml:space="preserve">AGGTTCAAGGCGTAGCAGTT</t>
  </si>
  <si>
    <t xml:space="preserve">TAGTAGGTTCAAGGCGTAGCAGTT</t>
  </si>
  <si>
    <t xml:space="preserve">AAACAACTGCTACGCCTTGAACCT</t>
  </si>
  <si>
    <t xml:space="preserve">ACACGCAGCTCTGCTTCATG</t>
  </si>
  <si>
    <t xml:space="preserve">TAGTACACGCAGCTCTGCTTCATG</t>
  </si>
  <si>
    <t xml:space="preserve">AAACCATGAAGCAGAGCTGCGTGT</t>
  </si>
  <si>
    <t xml:space="preserve">PSPPH_0365</t>
  </si>
  <si>
    <t xml:space="preserve">tatC</t>
  </si>
  <si>
    <t xml:space="preserve">CATTTGCTGATCGTTTTCCG</t>
  </si>
  <si>
    <t xml:space="preserve">TAGTCATTTGCTGATCGTTTTCCG</t>
  </si>
  <si>
    <t xml:space="preserve">AAACCGGAAAACGATCAGCAAATG</t>
  </si>
  <si>
    <t xml:space="preserve">TCGGTGAGGTGCGAGATCAG</t>
  </si>
  <si>
    <t xml:space="preserve">TAGTTCGGTGAGGTGCGAGATCAG</t>
  </si>
  <si>
    <t xml:space="preserve">AAACCTGATCTCGCACCTCACCGA</t>
  </si>
  <si>
    <t xml:space="preserve">AGAACAGGCCGGCAAAAATC</t>
  </si>
  <si>
    <t xml:space="preserve">TAGTAGAACAGGCCGGCAAAAATC</t>
  </si>
  <si>
    <t xml:space="preserve">AAACGATTTTTGCCGGCCTGTTCT</t>
  </si>
  <si>
    <t xml:space="preserve">TCAGGCAGATAGACGCGCAG</t>
  </si>
  <si>
    <t xml:space="preserve">TAGTTCAGGCAGATAGACGCGCAG</t>
  </si>
  <si>
    <t xml:space="preserve">AAACCTGCGCGTCTATCTGCCTGA</t>
  </si>
  <si>
    <t xml:space="preserve">PSPPH_0366</t>
  </si>
  <si>
    <t xml:space="preserve">tatB</t>
  </si>
  <si>
    <t xml:space="preserve">GAGAAGCTGATACCGAACAT</t>
  </si>
  <si>
    <t xml:space="preserve">TAGTGAGAAGCTGATACCGAACAT</t>
  </si>
  <si>
    <t xml:space="preserve">AAACATGTTCGGTATCAGCTTCTC</t>
  </si>
  <si>
    <t xml:space="preserve">CCAGTACCAGCAAGGCAACC</t>
  </si>
  <si>
    <t xml:space="preserve">TAGTCCAGTACCAGCAAGGCAACC</t>
  </si>
  <si>
    <t xml:space="preserve">AAACGGTTGCCTTGCTGGTACTGG</t>
  </si>
  <si>
    <t xml:space="preserve">CCGCACCCGGCAGGCGCTCT</t>
  </si>
  <si>
    <t xml:space="preserve">TAGTCCGCACCCGGCAGGCGCTCT</t>
  </si>
  <si>
    <t xml:space="preserve">AAACAGAGCGCCTGCCGGGTGCGG</t>
  </si>
  <si>
    <t xml:space="preserve">CCGGCCGATCCATAAGCCTG</t>
  </si>
  <si>
    <t xml:space="preserve">TAGTCCGGCCGATCCATAAGCCTG</t>
  </si>
  <si>
    <t xml:space="preserve">AAACCAGGCTTATGGATCGGCCGG</t>
  </si>
  <si>
    <t xml:space="preserve">PSPPH_0367</t>
  </si>
  <si>
    <t xml:space="preserve">tatA</t>
  </si>
  <si>
    <t xml:space="preserve">AAACCAGTACCACGACGATC</t>
  </si>
  <si>
    <t xml:space="preserve">TAGTAAACCAGTACCACGACGATC</t>
  </si>
  <si>
    <t xml:space="preserve">AAACGATCGTCGTGGTACTGGTTT</t>
  </si>
  <si>
    <t xml:space="preserve">GCCCAGACCCTTGAGTTTCT</t>
  </si>
  <si>
    <t xml:space="preserve">TAGTGCCCAGACCCTTGAGTTTCT</t>
  </si>
  <si>
    <t xml:space="preserve">AAACAGAAACTCAAGGGTCTGGGC</t>
  </si>
  <si>
    <t xml:space="preserve">TGAGGTGCAGGCTGTTCTGC</t>
  </si>
  <si>
    <t xml:space="preserve">TAGTTGAGGTGCAGGCTGTTCTGC</t>
  </si>
  <si>
    <t xml:space="preserve">AAACGCAGAACAGCCTGCACCTCA</t>
  </si>
  <si>
    <t xml:space="preserve">GGGGCAGCCTGTGCCTGCTG</t>
  </si>
  <si>
    <t xml:space="preserve">TAGTGGGGCAGCCTGTGCCTGCTG</t>
  </si>
  <si>
    <t xml:space="preserve">AAACCAGCAGGCACAGGCTGCCCC</t>
  </si>
  <si>
    <t xml:space="preserve">PSPPH_0368</t>
  </si>
  <si>
    <t xml:space="preserve">hisE</t>
  </si>
  <si>
    <t xml:space="preserve">TTCCAGCACCTCGGCCAGAC</t>
  </si>
  <si>
    <t xml:space="preserve">TAGTTTCCAGCACCTCGGCCAGAC</t>
  </si>
  <si>
    <t xml:space="preserve">AAACGTCTGGCCGAGGTGCTGGAA</t>
  </si>
  <si>
    <t xml:space="preserve">GACGTAGGAACTGTCGGCAG</t>
  </si>
  <si>
    <t xml:space="preserve">TAGTGACGTAGGAACTGTCGGCAG</t>
  </si>
  <si>
    <t xml:space="preserve">AAACCTGCCGACAGTTCCTACGTC</t>
  </si>
  <si>
    <t xml:space="preserve">CAGGCCCTTGTGATACAGGC</t>
  </si>
  <si>
    <t xml:space="preserve">TAGTCAGGCCCTTGTGATACAGGC</t>
  </si>
  <si>
    <t xml:space="preserve">AAACGCCTGTATCACAAGGGCCTG</t>
  </si>
  <si>
    <t xml:space="preserve">AGCGTCCTTGGCAGCGATGA</t>
  </si>
  <si>
    <t xml:space="preserve">TAGTAGCGTCCTTGGCAGCGATGA</t>
  </si>
  <si>
    <t xml:space="preserve">AAACTCATCGCTGCCAAGGACGCT</t>
  </si>
  <si>
    <t xml:space="preserve">PSPPH_0369</t>
  </si>
  <si>
    <t xml:space="preserve">hisI</t>
  </si>
  <si>
    <t xml:space="preserve">TTGTGATCCTGAGCGATTGC</t>
  </si>
  <si>
    <t xml:space="preserve">TAGTTTGTGATCCTGAGCGATTGC</t>
  </si>
  <si>
    <t xml:space="preserve">AAACGCAATCGCTCAGGATCACAA</t>
  </si>
  <si>
    <t xml:space="preserve">GGCCATCATCAATACTCGAC</t>
  </si>
  <si>
    <t xml:space="preserve">TAGTGGCCATCATCAATACTCGAC</t>
  </si>
  <si>
    <t xml:space="preserve">AAACGTCGAGTATTGATGATGGCC</t>
  </si>
  <si>
    <t xml:space="preserve">CAGGGCTTCGCGGTTCATCC</t>
  </si>
  <si>
    <t xml:space="preserve">TAGTCAGGGCTTCGCGGTTCATCC</t>
  </si>
  <si>
    <t xml:space="preserve">AAACGGATGAACCGCGAAGCCCTG</t>
  </si>
  <si>
    <t xml:space="preserve">CACGATTCTCCGACGCCGTC</t>
  </si>
  <si>
    <t xml:space="preserve">TAGTCACGATTCTCCGACGCCGTC</t>
  </si>
  <si>
    <t xml:space="preserve">AAACGACGGCGTCGGAGAATCGTG</t>
  </si>
  <si>
    <t xml:space="preserve">PSPPH_0370</t>
  </si>
  <si>
    <t xml:space="preserve">ubiB</t>
  </si>
  <si>
    <t xml:space="preserve">AATGCGAAACAAACGGCGGA</t>
  </si>
  <si>
    <t xml:space="preserve">TAGTAATGCGAAACAAACGGCGGA</t>
  </si>
  <si>
    <t xml:space="preserve">AAACTCCGCCGTTTGTTTCGCATT</t>
  </si>
  <si>
    <t xml:space="preserve">ACAGGTCATCAAGGCGATAG</t>
  </si>
  <si>
    <t xml:space="preserve">TAGTACAGGTCATCAAGGCGATAG</t>
  </si>
  <si>
    <t xml:space="preserve">AAACCTATCGCCTTGATGACCTGT</t>
  </si>
  <si>
    <t xml:space="preserve">CATCCACCAGGGCAGGGGCA</t>
  </si>
  <si>
    <t xml:space="preserve">TAGTCATCCACCAGGGCAGGGGCA</t>
  </si>
  <si>
    <t xml:space="preserve">AAACTGCCCCTGCCCTGGTGGATG</t>
  </si>
  <si>
    <t xml:space="preserve">CGCCGTGGCAGCCAGCGCCA</t>
  </si>
  <si>
    <t xml:space="preserve">TAGTCGCCGTGGCAGCCAGCGCCA</t>
  </si>
  <si>
    <t xml:space="preserve">AAACTGGCGCTGGCTGCCACGGCG</t>
  </si>
  <si>
    <t xml:space="preserve">PSPPH_0371</t>
  </si>
  <si>
    <t xml:space="preserve">ATTGATGCCGTGCTCGATAC</t>
  </si>
  <si>
    <t xml:space="preserve">TAGTATTGATGCCGTGCTCGATAC</t>
  </si>
  <si>
    <t xml:space="preserve">AAACGTATCGAGCACGGCATCAAT</t>
  </si>
  <si>
    <t xml:space="preserve">GCGGTAGCGCGGTGCTGTCC</t>
  </si>
  <si>
    <t xml:space="preserve">TAGTGCGGTAGCGCGGTGCTGTCC</t>
  </si>
  <si>
    <t xml:space="preserve">AAACGGACAGCACCGCGCTACCGC</t>
  </si>
  <si>
    <t xml:space="preserve">GTCTACGGCAATGACATGCC</t>
  </si>
  <si>
    <t xml:space="preserve">TAGTGTCTACGGCAATGACATGCC</t>
  </si>
  <si>
    <t xml:space="preserve">AAACGGCATGTCATTGCCGTAGAC</t>
  </si>
  <si>
    <t xml:space="preserve">AGGATGAAGATTTTCAGGGA</t>
  </si>
  <si>
    <t xml:space="preserve">TAGTAGGATGAAGATTTTCAGGGA</t>
  </si>
  <si>
    <t xml:space="preserve">AAACTCCCTGAAAATCTTCATCCT</t>
  </si>
  <si>
    <t xml:space="preserve">PSPPH_0372</t>
  </si>
  <si>
    <t xml:space="preserve">ubiE</t>
  </si>
  <si>
    <t xml:space="preserve">ACCGAAGTGAGTCGTAGGTT</t>
  </si>
  <si>
    <t xml:space="preserve">TAGTACCGAAGTGAGTCGTAGGTT</t>
  </si>
  <si>
    <t xml:space="preserve">AAACAACCTACGACTCACTTCGGT</t>
  </si>
  <si>
    <t xml:space="preserve">TTTTCTGCCTTCTGGCTTTC</t>
  </si>
  <si>
    <t xml:space="preserve">TAGTTTTTCTGCCTTCTGGCTTTC</t>
  </si>
  <si>
    <t xml:space="preserve">AAACGAAAGCCAGAAGGCAGAAAA</t>
  </si>
  <si>
    <t xml:space="preserve">CGTATTTGGCTGCAACCGAA</t>
  </si>
  <si>
    <t xml:space="preserve">TAGTCGTATTTGGCTGCAACCGAA</t>
  </si>
  <si>
    <t xml:space="preserve">AAACTTCGGTTGCAGCCAAATACG</t>
  </si>
  <si>
    <t xml:space="preserve">CGGACAGCAGGTCGTTCATC</t>
  </si>
  <si>
    <t xml:space="preserve">TAGTCGGACAGCAGGTCGTTCATC</t>
  </si>
  <si>
    <t xml:space="preserve">AAACGATGAACGACCTGCTGTCCG</t>
  </si>
  <si>
    <t xml:space="preserve">PSPPH_0373</t>
  </si>
  <si>
    <t xml:space="preserve">CTTGATGATCAGATGAAATG</t>
  </si>
  <si>
    <t xml:space="preserve">TAGTCTTGATGATCAGATGAAATG</t>
  </si>
  <si>
    <t xml:space="preserve">AAACCATTTCATCTGATCATCAAG</t>
  </si>
  <si>
    <t xml:space="preserve">AACGGTTATCTTGGCCATGC</t>
  </si>
  <si>
    <t xml:space="preserve">TAGTAACGGTTATCTTGGCCATGC</t>
  </si>
  <si>
    <t xml:space="preserve">AAACGCATGGCCAAGATAACCGTT</t>
  </si>
  <si>
    <t xml:space="preserve">TTTCCCGGCCCAGTGCGTGC</t>
  </si>
  <si>
    <t xml:space="preserve">TAGTTTTCCCGGCCCAGTGCGTGC</t>
  </si>
  <si>
    <t xml:space="preserve">AAACGCACGCACTGGGCCGGGAAA</t>
  </si>
  <si>
    <t xml:space="preserve">AAGCTTCTCGACCAGTTGCT</t>
  </si>
  <si>
    <t xml:space="preserve">TAGTAAGCTTCTCGACCAGTTGCT</t>
  </si>
  <si>
    <t xml:space="preserve">AAACAGCAACTGGTCGAGAAGCTT</t>
  </si>
  <si>
    <t xml:space="preserve">PSPPH_0374</t>
  </si>
  <si>
    <t xml:space="preserve">TGGGCATAAGCACAACGTTA</t>
  </si>
  <si>
    <t xml:space="preserve">TAGTTGGGCATAAGCACAACGTTA</t>
  </si>
  <si>
    <t xml:space="preserve">AAACTAACGTTGTGCTTATGCCCA</t>
  </si>
  <si>
    <t xml:space="preserve">TTGAAGGAACCGCCCAGCTA</t>
  </si>
  <si>
    <t xml:space="preserve">TAGTTTGAAGGAACCGCCCAGCTA</t>
  </si>
  <si>
    <t xml:space="preserve">AAACTAGCTGGGCGGTTCCTTCAA</t>
  </si>
  <si>
    <t xml:space="preserve">CTTCGTATTCGCTCTGGCCA</t>
  </si>
  <si>
    <t xml:space="preserve">TAGTCTTCGTATTCGCTCTGGCCA</t>
  </si>
  <si>
    <t xml:space="preserve">AAACTGGCCAGAGCGAATACGAAG</t>
  </si>
  <si>
    <t xml:space="preserve">CGGAAAGCGTGGAGGATTGC</t>
  </si>
  <si>
    <t xml:space="preserve">TAGTCGGAAAGCGTGGAGGATTGC</t>
  </si>
  <si>
    <t xml:space="preserve">AAACGCAATCCTCCACGCTTTCCG</t>
  </si>
  <si>
    <t xml:space="preserve">PSPPH_0375</t>
  </si>
  <si>
    <t xml:space="preserve">CCATGAGCTGCCGTCTTTGT</t>
  </si>
  <si>
    <t xml:space="preserve">TAGTCCATGAGCTGCCGTCTTTGT</t>
  </si>
  <si>
    <t xml:space="preserve">AAACACAAAGACGGCAGCTCATGG</t>
  </si>
  <si>
    <t xml:space="preserve">TTATCTTGGAATAAGCGCCC</t>
  </si>
  <si>
    <t xml:space="preserve">TAGTTTATCTTGGAATAAGCGCCC</t>
  </si>
  <si>
    <t xml:space="preserve">AAACGGGCGCTTATTCCAAGATAA</t>
  </si>
  <si>
    <t xml:space="preserve">CTCGACCTTGGTCTGCTTCT</t>
  </si>
  <si>
    <t xml:space="preserve">TAGTCTCGACCTTGGTCTGCTTCT</t>
  </si>
  <si>
    <t xml:space="preserve">AAACAGAAGCAGACCAAGGTCGAG</t>
  </si>
  <si>
    <t xml:space="preserve">CCGCGATTTGGCGGTCTTGG</t>
  </si>
  <si>
    <t xml:space="preserve">TAGTCCGCGATTTGGCGGTCTTGG</t>
  </si>
  <si>
    <t xml:space="preserve">AAACCCAAGACCGCCAAATCGCGG</t>
  </si>
  <si>
    <t xml:space="preserve">PSPPH_0376</t>
  </si>
  <si>
    <t xml:space="preserve">phaD</t>
  </si>
  <si>
    <t xml:space="preserve">ACATTCAAGGATACGGTCGC</t>
  </si>
  <si>
    <t xml:space="preserve">TAGTACATTCAAGGATACGGTCGC</t>
  </si>
  <si>
    <t xml:space="preserve">AAACGCGACCGTATCCTTGAATGT</t>
  </si>
  <si>
    <t xml:space="preserve">CTGCTGGTTGAACAGCGTCA</t>
  </si>
  <si>
    <t xml:space="preserve">TAGTCTGCTGGTTGAACAGCGTCA</t>
  </si>
  <si>
    <t xml:space="preserve">AAACTGACGCTGTTCAACCAGCAG</t>
  </si>
  <si>
    <t xml:space="preserve">ATTTCCAGCGTAGAAACGTT</t>
  </si>
  <si>
    <t xml:space="preserve">TAGTATTTCCAGCGTAGAAACGTT</t>
  </si>
  <si>
    <t xml:space="preserve">AAACAACGTTTCTACGCTGGAAAT</t>
  </si>
  <si>
    <t xml:space="preserve">GGGGCTGATACCCATTTCAT</t>
  </si>
  <si>
    <t xml:space="preserve">TAGTGGGGCTGATACCCATTTCAT</t>
  </si>
  <si>
    <t xml:space="preserve">AAACATGAAATGGGTATCAGCCCC</t>
  </si>
  <si>
    <t xml:space="preserve">PSPPH_0377</t>
  </si>
  <si>
    <t xml:space="preserve">GAAGTTTGTGGGTGCAGCGC</t>
  </si>
  <si>
    <t xml:space="preserve">TAGTGAAGTTTGTGGGTGCAGCGC</t>
  </si>
  <si>
    <t xml:space="preserve">AAACGCGCTGCACCCACAAACTTC</t>
  </si>
  <si>
    <t xml:space="preserve">TCGCCCGCGCAGGCCGGTGA</t>
  </si>
  <si>
    <t xml:space="preserve">TAGTTCGCCCGCGCAGGCCGGTGA</t>
  </si>
  <si>
    <t xml:space="preserve">AAACTCACCGGCCTGCGCGGGCGA</t>
  </si>
  <si>
    <t xml:space="preserve">CGTTACGCAAGGTAGAAAAC</t>
  </si>
  <si>
    <t xml:space="preserve">TAGTCGTTACGCAAGGTAGAAAAC</t>
  </si>
  <si>
    <t xml:space="preserve">AAACGTTTTCTACCTTGCGTAACG</t>
  </si>
  <si>
    <t xml:space="preserve">AACCGGGTGCCGTAAACCCT</t>
  </si>
  <si>
    <t xml:space="preserve">TAGTAACCGGGTGCCGTAAACCCT</t>
  </si>
  <si>
    <t xml:space="preserve">AAACAGGGTTTACGGCACCCGGTT</t>
  </si>
  <si>
    <t xml:space="preserve">PSPPH_0378</t>
  </si>
  <si>
    <t xml:space="preserve">phaZ</t>
  </si>
  <si>
    <t xml:space="preserve">GAGCGAAAAACAAACGGTTG</t>
  </si>
  <si>
    <t xml:space="preserve">TAGTGAGCGAAAAACAAACGGTTG</t>
  </si>
  <si>
    <t xml:space="preserve">AAACCAACCGTTTGTTTTTCGCTC</t>
  </si>
  <si>
    <t xml:space="preserve">TGTGTGTCCGTTCAGGTCGA</t>
  </si>
  <si>
    <t xml:space="preserve">TAGTTGTGTGTCCGTTCAGGTCGA</t>
  </si>
  <si>
    <t xml:space="preserve">AAACTCGACCTGAACGGACACACA</t>
  </si>
  <si>
    <t xml:space="preserve">ATGGCTCTTGCCTGGGCGCA</t>
  </si>
  <si>
    <t xml:space="preserve">TAGTATGGCTCTTGCCTGGGCGCA</t>
  </si>
  <si>
    <t xml:space="preserve">AAACTGCGCCCAGGCAAGAGCCAT</t>
  </si>
  <si>
    <t xml:space="preserve">ATGCCGTTGAATATCAGCAG</t>
  </si>
  <si>
    <t xml:space="preserve">TAGTATGCCGTTGAATATCAGCAG</t>
  </si>
  <si>
    <t xml:space="preserve">AAACCTGCTGATATTCAACGGCAT</t>
  </si>
  <si>
    <t xml:space="preserve">PSPPH_0379</t>
  </si>
  <si>
    <t xml:space="preserve">GCTCGGAAGCCTGGCGCTGC</t>
  </si>
  <si>
    <t xml:space="preserve">TAGTGCTCGGAAGCCTGGCGCTGC</t>
  </si>
  <si>
    <t xml:space="preserve">AAACGCAGCGCCAGGCTTCCGAGC</t>
  </si>
  <si>
    <t xml:space="preserve">AACGACTGGGTTGAGGCCCA</t>
  </si>
  <si>
    <t xml:space="preserve">TAGTAACGACTGGGTTGAGGCCCA</t>
  </si>
  <si>
    <t xml:space="preserve">AAACTGGGCCTCAACCCAGTCGTT</t>
  </si>
  <si>
    <t xml:space="preserve">TCAGTAAATCCTTGCGCCGC</t>
  </si>
  <si>
    <t xml:space="preserve">TAGTTCAGTAAATCCTTGCGCCGC</t>
  </si>
  <si>
    <t xml:space="preserve">AAACGCGGCGCAAGGATTTACTGA</t>
  </si>
  <si>
    <t xml:space="preserve">AGCCTGACGCAAAACCATCC</t>
  </si>
  <si>
    <t xml:space="preserve">TAGTAGCCTGACGCAAAACCATCC</t>
  </si>
  <si>
    <t xml:space="preserve">AAACGGATGGTTTTGCGTCAGGCT</t>
  </si>
  <si>
    <t xml:space="preserve">PSPPH_0380</t>
  </si>
  <si>
    <t xml:space="preserve">GAATAGCAGCTACAAGCTAC</t>
  </si>
  <si>
    <t xml:space="preserve">TAGTGAATAGCAGCTACAAGCTAC</t>
  </si>
  <si>
    <t xml:space="preserve">AAACGTAGCTTGTAGCTGCTATTC</t>
  </si>
  <si>
    <t xml:space="preserve">GAGCATTGAAAGCAGCCTCA</t>
  </si>
  <si>
    <t xml:space="preserve">TAGTGAGCATTGAAAGCAGCCTCA</t>
  </si>
  <si>
    <t xml:space="preserve">AAACTGAGGCTGCTTTCAATGCTC</t>
  </si>
  <si>
    <t xml:space="preserve">TGTGCAGCTGGATGGCGGTG</t>
  </si>
  <si>
    <t xml:space="preserve">TAGTTGTGCAGCTGGATGGCGGTG</t>
  </si>
  <si>
    <t xml:space="preserve">AAACCACCGCCATCCAGCTGCACA</t>
  </si>
  <si>
    <t xml:space="preserve">GTACTTCAGCGTCAGGGTTT</t>
  </si>
  <si>
    <t xml:space="preserve">TAGTGTACTTCAGCGTCAGGGTTT</t>
  </si>
  <si>
    <t xml:space="preserve">AAACAAACCCTGACGCTGAAGTAC</t>
  </si>
  <si>
    <t xml:space="preserve">PSPPH_0381</t>
  </si>
  <si>
    <t xml:space="preserve">hslU</t>
  </si>
  <si>
    <t xml:space="preserve">TTCGCGGGGAGTCATGGACA</t>
  </si>
  <si>
    <t xml:space="preserve">TAGTTTCGCGGGGAGTCATGGACA</t>
  </si>
  <si>
    <t xml:space="preserve">AAACTGTCCATGACTCCCCGCGAA</t>
  </si>
  <si>
    <t xml:space="preserve">TGATATGGCGGTTAAGTTCG</t>
  </si>
  <si>
    <t xml:space="preserve">TAGTTGATATGGCGGTTAAGTTCG</t>
  </si>
  <si>
    <t xml:space="preserve">AAACCGAACTTAACCGCCATATCA</t>
  </si>
  <si>
    <t xml:space="preserve">CGGCGCGCTTGGCATCGTCC</t>
  </si>
  <si>
    <t xml:space="preserve">TAGTCGGCGCGCTTGGCATCGTCC</t>
  </si>
  <si>
    <t xml:space="preserve">AAACGGACGATGCCAAGCGCGCCG</t>
  </si>
  <si>
    <t xml:space="preserve">ATTGCGCAGGGCAATGGCGA</t>
  </si>
  <si>
    <t xml:space="preserve">TAGTATTGCGCAGGGCAATGGCGA</t>
  </si>
  <si>
    <t xml:space="preserve">AAACTCGCCATTGCCCTGCGCAAT</t>
  </si>
  <si>
    <t xml:space="preserve">PSPPH_0382</t>
  </si>
  <si>
    <t xml:space="preserve">hslV</t>
  </si>
  <si>
    <t xml:space="preserve">ACTGAAACGATGGTGGTCAA</t>
  </si>
  <si>
    <t xml:space="preserve">TAGTACTGAAACGATGGTGGTCAA</t>
  </si>
  <si>
    <t xml:space="preserve">AAACTTGACCACCATCGTTTCAGT</t>
  </si>
  <si>
    <t xml:space="preserve">CCATGACGACTTTACCGTGG</t>
  </si>
  <si>
    <t xml:space="preserve">TAGTCCATGACGACTTTACCGTGG</t>
  </si>
  <si>
    <t xml:space="preserve">AAACCCACGGTAAAGTCGTCATGG</t>
  </si>
  <si>
    <t xml:space="preserve">CGGTGTTGCCCAGAGAAACC</t>
  </si>
  <si>
    <t xml:space="preserve">TAGTCGGTGTTGCCCAGAGAAACC</t>
  </si>
  <si>
    <t xml:space="preserve">AAACGGTTTCTCTGGGCAACACCG</t>
  </si>
  <si>
    <t xml:space="preserve">CTTGGCGTTGCCTTTCATGA</t>
  </si>
  <si>
    <t xml:space="preserve">TAGTCTTGGCGTTGCCTTTCATGA</t>
  </si>
  <si>
    <t xml:space="preserve">AAACTCATGAAAGGCAACGCCAAG</t>
  </si>
  <si>
    <t xml:space="preserve">PSPPH_0383</t>
  </si>
  <si>
    <t xml:space="preserve">CTGGCGCCCCGCTTGGGTGC</t>
  </si>
  <si>
    <t xml:space="preserve">TAGTCTGGCGCCCCGCTTGGGTGC</t>
  </si>
  <si>
    <t xml:space="preserve">AAACGCACCCAAGCGGGGCGCCAG</t>
  </si>
  <si>
    <t xml:space="preserve">TCTTCGCGGGTGCCTGATAA</t>
  </si>
  <si>
    <t xml:space="preserve">TAGTTCTTCGCGGGTGCCTGATAA</t>
  </si>
  <si>
    <t xml:space="preserve">AAACTTATCAGGCACCCGCGAAGA</t>
  </si>
  <si>
    <t xml:space="preserve">AGCCACAACCATCCTGGAAT</t>
  </si>
  <si>
    <t xml:space="preserve">TAGTAGCCACAACCATCCTGGAAT</t>
  </si>
  <si>
    <t xml:space="preserve">AAACATTCCAGGATGGTTGTGGCT</t>
  </si>
  <si>
    <t xml:space="preserve">AAAGACCACGAACGCACCCA</t>
  </si>
  <si>
    <t xml:space="preserve">TAGTAAAGACCACGAACGCACCCA</t>
  </si>
  <si>
    <t xml:space="preserve">AAACTGGGTGCGTTCGTGGTCTTT</t>
  </si>
  <si>
    <t xml:space="preserve">PSPPH_0384</t>
  </si>
  <si>
    <t xml:space="preserve">argS</t>
  </si>
  <si>
    <t xml:space="preserve">TTGTTGAATCAGCTGGCGAA</t>
  </si>
  <si>
    <t xml:space="preserve">TAGTTTGTTGAATCAGCTGGCGAA</t>
  </si>
  <si>
    <t xml:space="preserve">AAACTTCGCCAGCTGATTCAACAA</t>
  </si>
  <si>
    <t xml:space="preserve">CTCGGTGACGAGACGGGTCA</t>
  </si>
  <si>
    <t xml:space="preserve">TAGTCTCGGTGACGAGACGGGTCA</t>
  </si>
  <si>
    <t xml:space="preserve">AAACTGACCCGTCTCGTCACCGAG</t>
  </si>
  <si>
    <t xml:space="preserve">ATCGCCGGCGTCAGCCCTTC</t>
  </si>
  <si>
    <t xml:space="preserve">TAGTATCGCCGGCGTCAGCCCTTC</t>
  </si>
  <si>
    <t xml:space="preserve">AAACGAAGGGCTGACGCCGGCGAT</t>
  </si>
  <si>
    <t xml:space="preserve">ATCGCCGTGCGTCTTGTCGC</t>
  </si>
  <si>
    <t xml:space="preserve">TAGTATCGCCGTGCGTCTTGTCGC</t>
  </si>
  <si>
    <t xml:space="preserve">AAACGCGACAAGACGCACGGCGAT</t>
  </si>
  <si>
    <t xml:space="preserve">PSPPH_0385</t>
  </si>
  <si>
    <t xml:space="preserve">priA</t>
  </si>
  <si>
    <t xml:space="preserve">GCAAGGCGCAGGATGGCGTC</t>
  </si>
  <si>
    <t xml:space="preserve">TAGTGCAAGGCGCAGGATGGCGTC</t>
  </si>
  <si>
    <t xml:space="preserve">AAACGACGCCATCCTGCGCCTTGC</t>
  </si>
  <si>
    <t xml:space="preserve">GCGGCGAAGCGGCGAGGGCA</t>
  </si>
  <si>
    <t xml:space="preserve">TAGTGCGGCGAAGCGGCGAGGGCA</t>
  </si>
  <si>
    <t xml:space="preserve">AAACTGCCCTCGCCGCTTCGCCGC</t>
  </si>
  <si>
    <t xml:space="preserve">CAGGAGCGCGGTAGTCGAAC</t>
  </si>
  <si>
    <t xml:space="preserve">TAGTCAGGAGCGCGGTAGTCGAAC</t>
  </si>
  <si>
    <t xml:space="preserve">AAACGTTCGACTACCGCGCTCCTG</t>
  </si>
  <si>
    <t xml:space="preserve">CAGACGCATGCCAGGCTGCA</t>
  </si>
  <si>
    <t xml:space="preserve">TAGTCAGACGCATGCCAGGCTGCA</t>
  </si>
  <si>
    <t xml:space="preserve">AAACTGCAGCCTGGCATGCGTCTG</t>
  </si>
  <si>
    <t xml:space="preserve">PSPPH_0386</t>
  </si>
  <si>
    <t xml:space="preserve">rpmE</t>
  </si>
  <si>
    <t xml:space="preserve">GGATGGATATCAGCTTTCAT</t>
  </si>
  <si>
    <t xml:space="preserve">TAGTGGATGGATATCAGCTTTCAT</t>
  </si>
  <si>
    <t xml:space="preserve">AAACATGAAAGCTGATATCCATCC</t>
  </si>
  <si>
    <t xml:space="preserve">GCGTCAATGGCTTCGTAAAC</t>
  </si>
  <si>
    <t xml:space="preserve">TAGTGCGTCAATGGCTTCGTAAAC</t>
  </si>
  <si>
    <t xml:space="preserve">AAACGTTTACGAAGCCATTGACGC</t>
  </si>
  <si>
    <t xml:space="preserve">GATGACATTGCCGCAGCTGC</t>
  </si>
  <si>
    <t xml:space="preserve">TAGTGATGACATTGCCGCAGCTGC</t>
  </si>
  <si>
    <t xml:space="preserve">AAACGCAGCTGCGGCAATGTCATC</t>
  </si>
  <si>
    <t xml:space="preserve">CGGAGCGGCCAGGGTGGAAC</t>
  </si>
  <si>
    <t xml:space="preserve">TAGTCGGAGCGGCCAGGGTGGAAC</t>
  </si>
  <si>
    <t xml:space="preserve">AAACGTTCCACCCTGGCCGCTCCG</t>
  </si>
  <si>
    <t xml:space="preserve">PSPPH_0387</t>
  </si>
  <si>
    <t xml:space="preserve">GCGCCGGACACCCAAATCGC</t>
  </si>
  <si>
    <t xml:space="preserve">TAGTGCGCCGGACACCCAAATCGC</t>
  </si>
  <si>
    <t xml:space="preserve">AAACGCGATTTGGGTGTCCGGCGC</t>
  </si>
  <si>
    <t xml:space="preserve">CGAAGCAGGCGCAGGACAGA</t>
  </si>
  <si>
    <t xml:space="preserve">TAGTCGAAGCAGGCGCAGGACAGA</t>
  </si>
  <si>
    <t xml:space="preserve">AAACTCTGTCCTGCGCCTGCTTCG</t>
  </si>
  <si>
    <t xml:space="preserve">ACGCGCTGCACCTGTGCAAC</t>
  </si>
  <si>
    <t xml:space="preserve">TAGTACGCGCTGCACCTGTGCAAC</t>
  </si>
  <si>
    <t xml:space="preserve">AAACGTTGCACAGGTGCAGCGCGT</t>
  </si>
  <si>
    <t xml:space="preserve">TGGCCTTTCTTGCCGGTCTC</t>
  </si>
  <si>
    <t xml:space="preserve">TAGTTGGCCTTTCTTGCCGGTCTC</t>
  </si>
  <si>
    <t xml:space="preserve">AAACGAGACCGGCAAGAAAGGCCA</t>
  </si>
  <si>
    <t xml:space="preserve">PSPPH_0388</t>
  </si>
  <si>
    <t xml:space="preserve">maeB</t>
  </si>
  <si>
    <t xml:space="preserve">ATTGGCATGGTATTCGAGCG</t>
  </si>
  <si>
    <t xml:space="preserve">TAGTATTGGCATGGTATTCGAGCG</t>
  </si>
  <si>
    <t xml:space="preserve">AAACCGCTCGAATACCATGCCAAT</t>
  </si>
  <si>
    <t xml:space="preserve">ACGCTCAGCTTCCCCGGACG</t>
  </si>
  <si>
    <t xml:space="preserve">TAGTACGCTCAGCTTCCCCGGACG</t>
  </si>
  <si>
    <t xml:space="preserve">AAACCGTCCGGGGAAGCTGAGCGT</t>
  </si>
  <si>
    <t xml:space="preserve">ACGAGCGGTTGCAGTCGGCT</t>
  </si>
  <si>
    <t xml:space="preserve">TAGTACGAGCGGTTGCAGTCGGCT</t>
  </si>
  <si>
    <t xml:space="preserve">AAACAGCCGACTGCAACCGCTCGT</t>
  </si>
  <si>
    <t xml:space="preserve">CAGGGCTGTAGGCCAGAGCC</t>
  </si>
  <si>
    <t xml:space="preserve">TAGTCAGGGCTGTAGGCCAGAGCC</t>
  </si>
  <si>
    <t xml:space="preserve">AAACGGCTCTGGCCTACAGCCCTG</t>
  </si>
  <si>
    <t xml:space="preserve">PSPPH_0389</t>
  </si>
  <si>
    <t xml:space="preserve">AAACTTCAGCAGGCGTATCA</t>
  </si>
  <si>
    <t xml:space="preserve">TAGTAAACTTCAGCAGGCGTATCA</t>
  </si>
  <si>
    <t xml:space="preserve">AAACTGATACGCCTGCTGAAGTTT</t>
  </si>
  <si>
    <t xml:space="preserve">CGAGCAGAATACCGCGACGA</t>
  </si>
  <si>
    <t xml:space="preserve">TAGTCGAGCAGAATACCGCGACGA</t>
  </si>
  <si>
    <t xml:space="preserve">AAACTCGTCGCGGTATTCTGCTCG</t>
  </si>
  <si>
    <t xml:space="preserve">GGTAGAGAAACGCGCCACTC</t>
  </si>
  <si>
    <t xml:space="preserve">TAGTGGTAGAGAAACGCGCCACTC</t>
  </si>
  <si>
    <t xml:space="preserve">AAACGAGTGGCGCGTTTCTCTACC</t>
  </si>
  <si>
    <t xml:space="preserve">CCGATGGCAGGGTCGGGCTC</t>
  </si>
  <si>
    <t xml:space="preserve">TAGTCCGATGGCAGGGTCGGGCTC</t>
  </si>
  <si>
    <t xml:space="preserve">AAACGAGCCCGACCCTGCCATCGG</t>
  </si>
  <si>
    <t xml:space="preserve">PSPPH_0390</t>
  </si>
  <si>
    <t xml:space="preserve">pilM</t>
  </si>
  <si>
    <t xml:space="preserve">ATCGATCCCTAGAAGGGTGT</t>
  </si>
  <si>
    <t xml:space="preserve">TAGTATCGATCCCTAGAAGGGTGT</t>
  </si>
  <si>
    <t xml:space="preserve">AAACACACCCTTCTAGGGATCGAT</t>
  </si>
  <si>
    <t xml:space="preserve">TTCCAGGAGTTTTACCGAGG</t>
  </si>
  <si>
    <t xml:space="preserve">TAGTTTCCAGGAGTTTTACCGAGG</t>
  </si>
  <si>
    <t xml:space="preserve">AAACCCTCGGTAAAACTCCTGGAA</t>
  </si>
  <si>
    <t xml:space="preserve">CTCGACCTTGTAACGAGTGC</t>
  </si>
  <si>
    <t xml:space="preserve">TAGTCTCGACCTTGTAACGAGTGC</t>
  </si>
  <si>
    <t xml:space="preserve">AAACGCACTCGTTACAAGGTCGAG</t>
  </si>
  <si>
    <t xml:space="preserve">ACGACAGCGTTGGCCGGCAA</t>
  </si>
  <si>
    <t xml:space="preserve">TAGTACGACAGCGTTGGCCGGCAA</t>
  </si>
  <si>
    <t xml:space="preserve">AAACTTGCCGGCCAACGCTGTCGT</t>
  </si>
  <si>
    <t xml:space="preserve">PSPPH_0391</t>
  </si>
  <si>
    <t xml:space="preserve">pilN</t>
  </si>
  <si>
    <t xml:space="preserve">TCGCGAAGCTCTTCGCGCCA</t>
  </si>
  <si>
    <t xml:space="preserve">TAGTTCGCGAAGCTCTTCGCGCCA</t>
  </si>
  <si>
    <t xml:space="preserve">AAACTGGCGCGAAGAGCTTCGCGA</t>
  </si>
  <si>
    <t xml:space="preserve">ACACGCCGACCAGCGCGGTC</t>
  </si>
  <si>
    <t xml:space="preserve">TAGTACACGCCGACCAGCGCGGTC</t>
  </si>
  <si>
    <t xml:space="preserve">AAACGACCGCGCTGGTCGGCGTGT</t>
  </si>
  <si>
    <t xml:space="preserve">GCGCGCCATCTGATGCTCAA</t>
  </si>
  <si>
    <t xml:space="preserve">TAGTGCGCGCCATCTGATGCTCAA</t>
  </si>
  <si>
    <t xml:space="preserve">AAACTTGAGCATCAGATGGCGCGC</t>
  </si>
  <si>
    <t xml:space="preserve">ACTGTTTGCGACGCGCCTTC</t>
  </si>
  <si>
    <t xml:space="preserve">TAGTACTGTTTGCGACGCGCCTTC</t>
  </si>
  <si>
    <t xml:space="preserve">AAACGAAGGCGCGTCGCAAACAGT</t>
  </si>
  <si>
    <t xml:space="preserve">PSPPH_0392</t>
  </si>
  <si>
    <t xml:space="preserve">pilO</t>
  </si>
  <si>
    <t xml:space="preserve">TGTTCAGGTCCAGCTCGCTC</t>
  </si>
  <si>
    <t xml:space="preserve">TAGTTGTTCAGGTCCAGCTCGCTC</t>
  </si>
  <si>
    <t xml:space="preserve">AAACGAGCGAGCTGGACCTGAACA</t>
  </si>
  <si>
    <t xml:space="preserve">GGCCTTGACCGCTGCTGGCC</t>
  </si>
  <si>
    <t xml:space="preserve">TAGTGGCCTTGACCGCTGCTGGCC</t>
  </si>
  <si>
    <t xml:space="preserve">AAACGGCCAGCAGCGGTCAAGGCC</t>
  </si>
  <si>
    <t xml:space="preserve">CGCGACCAGCACGCCGGCAA</t>
  </si>
  <si>
    <t xml:space="preserve">TAGTCGCGACCAGCACGCCGGCAA</t>
  </si>
  <si>
    <t xml:space="preserve">AAACTTGCCGGCGTGCTGGTCGCG</t>
  </si>
  <si>
    <t xml:space="preserve">CGCTTTCCAGCTGGGTTTCC</t>
  </si>
  <si>
    <t xml:space="preserve">TAGTCGCTTTCCAGCTGGGTTTCC</t>
  </si>
  <si>
    <t xml:space="preserve">AAACGGAAACCCAGCTGGAAAGCG</t>
  </si>
  <si>
    <t xml:space="preserve">PSPPH_0393</t>
  </si>
  <si>
    <t xml:space="preserve">pilP</t>
  </si>
  <si>
    <t xml:space="preserve">ATCATTGTCATTACCGCAAC</t>
  </si>
  <si>
    <t xml:space="preserve">TAGTATCATTGTCATTACCGCAAC</t>
  </si>
  <si>
    <t xml:space="preserve">AAACGTTGCGGTAATGACAATGAT</t>
  </si>
  <si>
    <t xml:space="preserve">ATCCATGAACGCCGACAGGT</t>
  </si>
  <si>
    <t xml:space="preserve">TAGTATCCATGAACGCCGACAGGT</t>
  </si>
  <si>
    <t xml:space="preserve">AAACACCTGTCGGCGTTCATGGAT</t>
  </si>
  <si>
    <t xml:space="preserve">AGTGCCGCTCGGGCGCGCTC</t>
  </si>
  <si>
    <t xml:space="preserve">TAGTAGTGCCGCTCGGGCGCGCTC</t>
  </si>
  <si>
    <t xml:space="preserve">AAACGAGCGCGCCCGAGCGGCACT</t>
  </si>
  <si>
    <t xml:space="preserve">ATACGGACGAAACTTCGGCA</t>
  </si>
  <si>
    <t xml:space="preserve">TAGTATACGGACGAAACTTCGGCA</t>
  </si>
  <si>
    <t xml:space="preserve">AAACTGCCGAAGTTTCGTCCGTAT</t>
  </si>
  <si>
    <t xml:space="preserve">PSPPH_0394</t>
  </si>
  <si>
    <t xml:space="preserve">pilQ</t>
  </si>
  <si>
    <t xml:space="preserve">GCCGATAATCGAGAGAATCC</t>
  </si>
  <si>
    <t xml:space="preserve">TAGTGCCGATAATCGAGAGAATCC</t>
  </si>
  <si>
    <t xml:space="preserve">AAACGGATTCTCTCGATTATCGGC</t>
  </si>
  <si>
    <t xml:space="preserve">AGGTTGGCAGCCTGGAGAAC</t>
  </si>
  <si>
    <t xml:space="preserve">TAGTAGGTTGGCAGCCTGGAGAAC</t>
  </si>
  <si>
    <t xml:space="preserve">AAACGTTCTCCAGGCTGCCAACCT</t>
  </si>
  <si>
    <t xml:space="preserve">CGGCGACATCCAGGGTCTTG</t>
  </si>
  <si>
    <t xml:space="preserve">TAGTCGGCGACATCCAGGGTCTTG</t>
  </si>
  <si>
    <t xml:space="preserve">AAACCAAGACCCTGGATGTCGCCG</t>
  </si>
  <si>
    <t xml:space="preserve">GATGCGATCACCCGGCAGGG</t>
  </si>
  <si>
    <t xml:space="preserve">TAGTGATGCGATCACCCGGCAGGG</t>
  </si>
  <si>
    <t xml:space="preserve">AAACCCCTGCCGGGTGATCGCATC</t>
  </si>
  <si>
    <t xml:space="preserve">PSPPH_0395</t>
  </si>
  <si>
    <t xml:space="preserve">aroK</t>
  </si>
  <si>
    <t xml:space="preserve">GTGCTTTTGCCAGCACCCAT</t>
  </si>
  <si>
    <t xml:space="preserve">TAGTGTGCTTTTGCCAGCACCCAT</t>
  </si>
  <si>
    <t xml:space="preserve">AAACATGGGTGCTGGCAAAAGCAC</t>
  </si>
  <si>
    <t xml:space="preserve">TTTGGCAAGCAAACGGCCGA</t>
  </si>
  <si>
    <t xml:space="preserve">TAGTTTTGGCAAGCAAACGGCCGA</t>
  </si>
  <si>
    <t xml:space="preserve">AAACTCGGCCGTTTGCTTGCCAAA</t>
  </si>
  <si>
    <t xml:space="preserve">TCCTTGTCGGAATCCTTGAA</t>
  </si>
  <si>
    <t xml:space="preserve">TAGTTCCTTGTCGGAATCCTTGAA</t>
  </si>
  <si>
    <t xml:space="preserve">AAACTTCAAGGATTCCGACAAGGA</t>
  </si>
  <si>
    <t xml:space="preserve">GTCGAAGATCCACGGGATAT</t>
  </si>
  <si>
    <t xml:space="preserve">TAGTGTCGAAGATCCACGGGATAT</t>
  </si>
  <si>
    <t xml:space="preserve">AAACATATCCCGTGGATCTTCGAC</t>
  </si>
  <si>
    <t xml:space="preserve">PSPPH_0396</t>
  </si>
  <si>
    <t xml:space="preserve">aroB</t>
  </si>
  <si>
    <t xml:space="preserve">GGCCTTCGCCAATATGGATC</t>
  </si>
  <si>
    <t xml:space="preserve">TAGTGGCCTTCGCCAATATGGATC</t>
  </si>
  <si>
    <t xml:space="preserve">AAACGATCCATATTGGCGAAGGCC</t>
  </si>
  <si>
    <t xml:space="preserve">GGAGCTCTGGCTGATCCAGC</t>
  </si>
  <si>
    <t xml:space="preserve">TAGTGGAGCTCTGGCTGATCCAGC</t>
  </si>
  <si>
    <t xml:space="preserve">AAACGCTGGATCAGCCAGAGCTCC</t>
  </si>
  <si>
    <t xml:space="preserve">GCCCGACGATATGCGGGGTC</t>
  </si>
  <si>
    <t xml:space="preserve">TAGTGCCCGACGATATGCGGGGTC</t>
  </si>
  <si>
    <t xml:space="preserve">AAACGACCCCGCATATCGTCGGGC</t>
  </si>
  <si>
    <t xml:space="preserve">CAGCGGTGCCACTGTCGTGT</t>
  </si>
  <si>
    <t xml:space="preserve">TAGTCAGCGGTGCCACTGTCGTGT</t>
  </si>
  <si>
    <t xml:space="preserve">AAACACACGACAGTGGCACCGCTG</t>
  </si>
  <si>
    <t xml:space="preserve">PSPPH_0397</t>
  </si>
  <si>
    <t xml:space="preserve">TCGGCATGCAAACTAGTCAT</t>
  </si>
  <si>
    <t xml:space="preserve">TAGTTCGGCATGCAAACTAGTCAT</t>
  </si>
  <si>
    <t xml:space="preserve">AAACATGACTAGTTTGCATGCCGA</t>
  </si>
  <si>
    <t xml:space="preserve">CAACTGATAATGGCCGAGGA</t>
  </si>
  <si>
    <t xml:space="preserve">TAGTCAACTGATAATGGCCGAGGA</t>
  </si>
  <si>
    <t xml:space="preserve">AAACTCCTCGGCCATTATCAGTTG</t>
  </si>
  <si>
    <t xml:space="preserve">CAGGTACCCGCGCTGCAAAG</t>
  </si>
  <si>
    <t xml:space="preserve">TAGTCAGGTACCCGCGCTGCAAAG</t>
  </si>
  <si>
    <t xml:space="preserve">AAACCTTTGCAGCGCGGGTACCTG</t>
  </si>
  <si>
    <t xml:space="preserve">AGTACAGGCTTGCGCTGGGC</t>
  </si>
  <si>
    <t xml:space="preserve">TAGTAGTACAGGCTTGCGCTGGGC</t>
  </si>
  <si>
    <t xml:space="preserve">AAACGCCCAGCGCAAGCCTGTACT</t>
  </si>
  <si>
    <t xml:space="preserve">PSPPH_0398</t>
  </si>
  <si>
    <t xml:space="preserve">gltB</t>
  </si>
  <si>
    <t xml:space="preserve">TATCCTTGAATTCATCTGGT</t>
  </si>
  <si>
    <t xml:space="preserve">TAGTTATCCTTGAATTCATCTGGT</t>
  </si>
  <si>
    <t xml:space="preserve">AAACACCAGATGAATTCAAGGATA</t>
  </si>
  <si>
    <t xml:space="preserve">GTCTGCAACAGGTGATGACT</t>
  </si>
  <si>
    <t xml:space="preserve">TAGTGTCTGCAACAGGTGATGACT</t>
  </si>
  <si>
    <t xml:space="preserve">AAACAGTCATCACCTGTTGCAGAC</t>
  </si>
  <si>
    <t xml:space="preserve">CATGCAGGTCAGGGCCTGAA</t>
  </si>
  <si>
    <t xml:space="preserve">TAGTCATGCAGGTCAGGGCCTGAA</t>
  </si>
  <si>
    <t xml:space="preserve">AAACTTCAGGCCCTGACCTGCATG</t>
  </si>
  <si>
    <t xml:space="preserve">GGCGTTGATACCGCCACGGT</t>
  </si>
  <si>
    <t xml:space="preserve">TAGTGGCGTTGATACCGCCACGGT</t>
  </si>
  <si>
    <t xml:space="preserve">AAACACCGTGGCGGTATCAACGCC</t>
  </si>
  <si>
    <t xml:space="preserve">PSPPH_0399</t>
  </si>
  <si>
    <t xml:space="preserve">AGCGCACTGCCGTTGGCTTG</t>
  </si>
  <si>
    <t xml:space="preserve">TAGTAGCGCACTGCCGTTGGCTTG</t>
  </si>
  <si>
    <t xml:space="preserve">AAACCAAGCCAACGGCAGTGCGCT</t>
  </si>
  <si>
    <t xml:space="preserve">CTGCAAAAAATCGTGATCGC</t>
  </si>
  <si>
    <t xml:space="preserve">TAGTCTGCAAAAAATCGTGATCGC</t>
  </si>
  <si>
    <t xml:space="preserve">AAACGCGATCACGATTTTTTGCAG</t>
  </si>
  <si>
    <t xml:space="preserve">PSPPH_0400</t>
  </si>
  <si>
    <t xml:space="preserve">gltD</t>
  </si>
  <si>
    <t xml:space="preserve">TACGTCCGACGTCGATGAAC</t>
  </si>
  <si>
    <t xml:space="preserve">TAGTTACGTCCGACGTCGATGAAC</t>
  </si>
  <si>
    <t xml:space="preserve">AAACGTTCATCGACGTCGGACGTA</t>
  </si>
  <si>
    <t xml:space="preserve">GACGCAGCAGTTTCTTCTTC</t>
  </si>
  <si>
    <t xml:space="preserve">TAGTGACGCAGCAGTTTCTTCTTC</t>
  </si>
  <si>
    <t xml:space="preserve">AAACGAAGAAGAAACTGCTGCGTC</t>
  </si>
  <si>
    <t xml:space="preserve">GCGGACTGCTGGGGCTTGAA</t>
  </si>
  <si>
    <t xml:space="preserve">TAGTGCGGACTGCTGGGGCTTGAA</t>
  </si>
  <si>
    <t xml:space="preserve">AAACTTCAAGCCCCAGCAGTCCGC</t>
  </si>
  <si>
    <t xml:space="preserve">CAGGCAGCGATGCGCCTGAT</t>
  </si>
  <si>
    <t xml:space="preserve">TAGTCAGGCAGCGATGCGCCTGAT</t>
  </si>
  <si>
    <t xml:space="preserve">AAACATCAGGCGCATCGCTGCCTG</t>
  </si>
  <si>
    <t xml:space="preserve">PSPPH_0401</t>
  </si>
  <si>
    <t xml:space="preserve">AGGGCGCTATCGAGAGCGCG</t>
  </si>
  <si>
    <t xml:space="preserve">TAGTAGGGCGCTATCGAGAGCGCG</t>
  </si>
  <si>
    <t xml:space="preserve">AAACCGCGCTCTCGATAGCGCCCT</t>
  </si>
  <si>
    <t xml:space="preserve">TGTCTGGCTGGCAAATGCAA</t>
  </si>
  <si>
    <t xml:space="preserve">TAGTTGTCTGGCTGGCAAATGCAA</t>
  </si>
  <si>
    <t xml:space="preserve">AAACTTGCATTTGCCAGCCAGACA</t>
  </si>
  <si>
    <t xml:space="preserve">ACGGGTCCATCGAAGTTGGC</t>
  </si>
  <si>
    <t xml:space="preserve">TAGTACGGGTCCATCGAAGTTGGC</t>
  </si>
  <si>
    <t xml:space="preserve">AAACGCCAACTTCGATGGACCCGT</t>
  </si>
  <si>
    <t xml:space="preserve">AACACTGGATTCAAAGTAAA</t>
  </si>
  <si>
    <t xml:space="preserve">TAGTAACACTGGATTCAAAGTAAA</t>
  </si>
  <si>
    <t xml:space="preserve">AAACTTTACTTTGAATCCAGTGTT</t>
  </si>
  <si>
    <t xml:space="preserve">PSPPH_0402</t>
  </si>
  <si>
    <t xml:space="preserve">CATGGGTGCTGCTTTCAACA</t>
  </si>
  <si>
    <t xml:space="preserve">TAGTCATGGGTGCTGCTTTCAACA</t>
  </si>
  <si>
    <t xml:space="preserve">AAACTGTTGAAAGCAGCACCCATG</t>
  </si>
  <si>
    <t xml:space="preserve">CCCGAGAGATTTCTGCTCAT</t>
  </si>
  <si>
    <t xml:space="preserve">TAGTCCCGAGAGATTTCTGCTCAT</t>
  </si>
  <si>
    <t xml:space="preserve">AAACATGAGCAGAAATCTCTCGGG</t>
  </si>
  <si>
    <t xml:space="preserve">GTGCTTGGCGTGAACCTGTC</t>
  </si>
  <si>
    <t xml:space="preserve">TAGTGTGCTTGGCGTGAACCTGTC</t>
  </si>
  <si>
    <t xml:space="preserve">AAACGACAGGTTCACGCCAAGCAC</t>
  </si>
  <si>
    <t xml:space="preserve">TCGGGTCCGGTGTTCGCGCA</t>
  </si>
  <si>
    <t xml:space="preserve">TAGTTCGGGTCCGGTGTTCGCGCA</t>
  </si>
  <si>
    <t xml:space="preserve">AAACTGCGCGAACACCGGACCCGA</t>
  </si>
  <si>
    <t xml:space="preserve">PSPPH_0403</t>
  </si>
  <si>
    <t xml:space="preserve">CCCCTGCTCGCCAGCTCGGG</t>
  </si>
  <si>
    <t xml:space="preserve">TAGTCCCCTGCTCGCCAGCTCGGG</t>
  </si>
  <si>
    <t xml:space="preserve">AAACCCCGAGCTGGCGAGCAGGGG</t>
  </si>
  <si>
    <t xml:space="preserve">GTCAATTGGGTGATCAAGCA</t>
  </si>
  <si>
    <t xml:space="preserve">TAGTGTCAATTGGGTGATCAAGCA</t>
  </si>
  <si>
    <t xml:space="preserve">AAACTGCTTGATCACCCAATTGAC</t>
  </si>
  <si>
    <t xml:space="preserve">GATGCCCCTCCACCGTTGCA</t>
  </si>
  <si>
    <t xml:space="preserve">TAGTGATGCCCCTCCACCGTTGCA</t>
  </si>
  <si>
    <t xml:space="preserve">AAACTGCAACGGTGGAGGGGCATC</t>
  </si>
  <si>
    <t xml:space="preserve">ACACGTCATTGATGGATAAC</t>
  </si>
  <si>
    <t xml:space="preserve">TAGTACACGTCATTGATGGATAAC</t>
  </si>
  <si>
    <t xml:space="preserve">AAACGTTATCCATCAATGACGTGT</t>
  </si>
  <si>
    <t xml:space="preserve">PSPPH_0404</t>
  </si>
  <si>
    <t xml:space="preserve">hemE</t>
  </si>
  <si>
    <t xml:space="preserve">AAGGAAACGGTCGTTCTTCA</t>
  </si>
  <si>
    <t xml:space="preserve">TAGTAAGGAAACGGTCGTTCTTCA</t>
  </si>
  <si>
    <t xml:space="preserve">AAACTGAAGAACGACCGTTTCCTT</t>
  </si>
  <si>
    <t xml:space="preserve">CATACCGGCGTGACGTCTAC</t>
  </si>
  <si>
    <t xml:space="preserve">TAGTCATACCGGCGTGACGTCTAC</t>
  </si>
  <si>
    <t xml:space="preserve">AAACGTAGACGTCACGCCGGTATG</t>
  </si>
  <si>
    <t xml:space="preserve">CAGGCAGGTAACGGCCTGCC</t>
  </si>
  <si>
    <t xml:space="preserve">TAGTCAGGCAGGTAACGGCCTGCC</t>
  </si>
  <si>
    <t xml:space="preserve">AAACGGCAGGCCGTTACCTGCCTG</t>
  </si>
  <si>
    <t xml:space="preserve">CGGCACTGGCGCGGCTGGCG</t>
  </si>
  <si>
    <t xml:space="preserve">TAGTCGGCACTGGCGCGGCTGGCG</t>
  </si>
  <si>
    <t xml:space="preserve">AAACCGCCAGCCGCGCCAGTGCCG</t>
  </si>
  <si>
    <t xml:space="preserve">PSPPH_0405</t>
  </si>
  <si>
    <t xml:space="preserve">CCAGCGCATCGCGGATGATC</t>
  </si>
  <si>
    <t xml:space="preserve">TAGTCCAGCGCATCGCGGATGATC</t>
  </si>
  <si>
    <t xml:space="preserve">AAACGATCATCCGCGATGCGCTGG</t>
  </si>
  <si>
    <t xml:space="preserve">GCTACATCGGCGCGCACTCC</t>
  </si>
  <si>
    <t xml:space="preserve">TAGTGCTACATCGGCGCGCACTCC</t>
  </si>
  <si>
    <t xml:space="preserve">AAACGGAGTGCGCGCCGATGTAGC</t>
  </si>
  <si>
    <t xml:space="preserve">CCTGCGCAGTGGCATCGATC</t>
  </si>
  <si>
    <t xml:space="preserve">TAGTCCTGCGCAGTGGCATCGATC</t>
  </si>
  <si>
    <t xml:space="preserve">AAACGATCGATGCCACTGCGCAGG</t>
  </si>
  <si>
    <t xml:space="preserve">GCCGGGGGCCAGCACACGAC</t>
  </si>
  <si>
    <t xml:space="preserve">TAGTGCCGGGGGCCAGCACACGAC</t>
  </si>
  <si>
    <t xml:space="preserve">AAACGTCGTGTGCTGGCCCCCGGC</t>
  </si>
  <si>
    <t xml:space="preserve">PSPPH_0406</t>
  </si>
  <si>
    <t xml:space="preserve">AATCCTGACGGGCACGTATC</t>
  </si>
  <si>
    <t xml:space="preserve">TAGTAATCCTGACGGGCACGTATC</t>
  </si>
  <si>
    <t xml:space="preserve">AAACGATACGTGCCCGTCAGGATT</t>
  </si>
  <si>
    <t xml:space="preserve">TGAGCACCAGCCTGGCGATC</t>
  </si>
  <si>
    <t xml:space="preserve">TAGTTGAGCACCAGCCTGGCGATC</t>
  </si>
  <si>
    <t xml:space="preserve">AAACGATCGCCAGGCTGGTGCTCA</t>
  </si>
  <si>
    <t xml:space="preserve">CAGACTGGCACTTGCGGCAA</t>
  </si>
  <si>
    <t xml:space="preserve">TAGTCAGACTGGCACTTGCGGCAA</t>
  </si>
  <si>
    <t xml:space="preserve">AAACTTGCCGCAAGTGCCAGTCTG</t>
  </si>
  <si>
    <t xml:space="preserve">GCTGCTGACCCCGGCGCGGC</t>
  </si>
  <si>
    <t xml:space="preserve">TAGTGCTGCTGACCCCGGCGCGGC</t>
  </si>
  <si>
    <t xml:space="preserve">AAACGCCGCGCCGGGGTCAGCAGC</t>
  </si>
  <si>
    <t xml:space="preserve">PSPPH_0407</t>
  </si>
  <si>
    <t xml:space="preserve">AACAGCGAAATACCGGGTGA</t>
  </si>
  <si>
    <t xml:space="preserve">TAGTAACAGCGAAATACCGGGTGA</t>
  </si>
  <si>
    <t xml:space="preserve">AAACTCACCCGGTATTTCGCTGTT</t>
  </si>
  <si>
    <t xml:space="preserve">CAAGGCAATGATTGCGACAG</t>
  </si>
  <si>
    <t xml:space="preserve">TAGTCAAGGCAATGATTGCGACAG</t>
  </si>
  <si>
    <t xml:space="preserve">AAACCTGTCGCAATCATTGCCTTG</t>
  </si>
  <si>
    <t xml:space="preserve">ACCAGCGTAATGACAATAAA</t>
  </si>
  <si>
    <t xml:space="preserve">TAGTACCAGCGTAATGACAATAAA</t>
  </si>
  <si>
    <t xml:space="preserve">AAACTTTATTGTCATTACGCTGGT</t>
  </si>
  <si>
    <t xml:space="preserve">CACGCCACTGGCCGGCATCC</t>
  </si>
  <si>
    <t xml:space="preserve">TAGTCACGCCACTGGCCGGCATCC</t>
  </si>
  <si>
    <t xml:space="preserve">AAACGGATGCCGGCCAGTGGCGTG</t>
  </si>
  <si>
    <t xml:space="preserve">PSPPH_0408</t>
  </si>
  <si>
    <t xml:space="preserve">TTCCATCCGATGAATGACGC</t>
  </si>
  <si>
    <t xml:space="preserve">TAGTTTCCATCCGATGAATGACGC</t>
  </si>
  <si>
    <t xml:space="preserve">AAACGCGTCATTCATCGGATGGAA</t>
  </si>
  <si>
    <t xml:space="preserve">CGTCCAGTCTTCGTTTGCGC</t>
  </si>
  <si>
    <t xml:space="preserve">TAGTCGTCCAGTCTTCGTTTGCGC</t>
  </si>
  <si>
    <t xml:space="preserve">AAACGCGCAAACGAAGACTGGACG</t>
  </si>
  <si>
    <t xml:space="preserve">TTCTGCAGGGTTGGATAGGT</t>
  </si>
  <si>
    <t xml:space="preserve">TAGTTTCTGCAGGGTTGGATAGGT</t>
  </si>
  <si>
    <t xml:space="preserve">AAACACCTATCCAACCCTGCAGAA</t>
  </si>
  <si>
    <t xml:space="preserve">TATGCAAGTCGCGTTTTTGC</t>
  </si>
  <si>
    <t xml:space="preserve">TAGTTATGCAAGTCGCGTTTTTGC</t>
  </si>
  <si>
    <t xml:space="preserve">AAACGCAAAAACGCGACTTGCATA</t>
  </si>
  <si>
    <t xml:space="preserve">PSPPH_0409</t>
  </si>
  <si>
    <t xml:space="preserve">TCTGCAGATGGAGGTGGTCG</t>
  </si>
  <si>
    <t xml:space="preserve">TAGTTCTGCAGATGGAGGTGGTCG</t>
  </si>
  <si>
    <t xml:space="preserve">AAACCGACCACCTCCATCTGCAGA</t>
  </si>
  <si>
    <t xml:space="preserve">CCACCAGATTGAACCCCGGC</t>
  </si>
  <si>
    <t xml:space="preserve">TAGTCCACCAGATTGAACCCCGGC</t>
  </si>
  <si>
    <t xml:space="preserve">AAACGCCGGGGTTCAATCTGGTGG</t>
  </si>
  <si>
    <t xml:space="preserve">ACTCAGCTATCGATGGCTGA</t>
  </si>
  <si>
    <t xml:space="preserve">TAGTACTCAGCTATCGATGGCTGA</t>
  </si>
  <si>
    <t xml:space="preserve">AAACTCAGCCATCGATAGCTGAGT</t>
  </si>
  <si>
    <t xml:space="preserve">TACTAACGCGAACCGAACAT</t>
  </si>
  <si>
    <t xml:space="preserve">TAGTTACTAACGCGAACCGAACAT</t>
  </si>
  <si>
    <t xml:space="preserve">AAACATGTTCGGTTCGCGTTAGTA</t>
  </si>
  <si>
    <t xml:space="preserve">PSPPH_0410</t>
  </si>
  <si>
    <t xml:space="preserve">GGGGCGACGGCAGGATTCAA</t>
  </si>
  <si>
    <t xml:space="preserve">TAGTGGGGCGACGGCAGGATTCAA</t>
  </si>
  <si>
    <t xml:space="preserve">AAACTTGAATCCTGCCGTCGCCCC</t>
  </si>
  <si>
    <t xml:space="preserve">CATTCAAGTCTGTGGTGGGC</t>
  </si>
  <si>
    <t xml:space="preserve">TAGTCATTCAAGTCTGTGGTGGGC</t>
  </si>
  <si>
    <t xml:space="preserve">AAACGCCCACCACAGACTTGAATG</t>
  </si>
  <si>
    <t xml:space="preserve">GTCGCCAGACGGTTTAGCGG</t>
  </si>
  <si>
    <t xml:space="preserve">TAGTGTCGCCAGACGGTTTAGCGG</t>
  </si>
  <si>
    <t xml:space="preserve">AAACCCGCTAAACCGTCTGGCGAC</t>
  </si>
  <si>
    <t xml:space="preserve">AGTGCGGTGCGTTTGAAAAG</t>
  </si>
  <si>
    <t xml:space="preserve">TAGTAGTGCGGTGCGTTTGAAAAG</t>
  </si>
  <si>
    <t xml:space="preserve">AAACCTTTTCAAACGCACCGCACT</t>
  </si>
  <si>
    <t xml:space="preserve">PSPPH_0411</t>
  </si>
  <si>
    <t xml:space="preserve">CCGCGATGAAGTAACGCAGA</t>
  </si>
  <si>
    <t xml:space="preserve">TAGTCCGCGATGAAGTAACGCAGA</t>
  </si>
  <si>
    <t xml:space="preserve">AAACTCTGCGTTACTTCATCGCGG</t>
  </si>
  <si>
    <t xml:space="preserve">ACGACCGAAATGCAACTCTT</t>
  </si>
  <si>
    <t xml:space="preserve">TAGTACGACCGAAATGCAACTCTT</t>
  </si>
  <si>
    <t xml:space="preserve">AAACAAGAGTTGCATTTCGGTCGT</t>
  </si>
  <si>
    <t xml:space="preserve">CTGCTGACTCAGCGGCGGCT</t>
  </si>
  <si>
    <t xml:space="preserve">TAGTCTGCTGACTCAGCGGCGGCT</t>
  </si>
  <si>
    <t xml:space="preserve">AAACAGCCGCCGCTGAGTCAGCAG</t>
  </si>
  <si>
    <t xml:space="preserve">CCAGCTCCTGCTCCAGCGTC</t>
  </si>
  <si>
    <t xml:space="preserve">TAGTCCAGCTCCTGCTCCAGCGTC</t>
  </si>
  <si>
    <t xml:space="preserve">AAACGACGCTGGAGCAGGAGCTGG</t>
  </si>
  <si>
    <t xml:space="preserve">PSPPH_0412</t>
  </si>
  <si>
    <t xml:space="preserve">CGAGGTAATGCCGGACATCC</t>
  </si>
  <si>
    <t xml:space="preserve">TAGTCGAGGTAATGCCGGACATCC</t>
  </si>
  <si>
    <t xml:space="preserve">AAACGGATGTCCGGCATTACCTCG</t>
  </si>
  <si>
    <t xml:space="preserve">ATGAAGCTTGCATCGATAGT</t>
  </si>
  <si>
    <t xml:space="preserve">TAGTATGAAGCTTGCATCGATAGT</t>
  </si>
  <si>
    <t xml:space="preserve">AAACACTATCGATGCAAGCTTCAT</t>
  </si>
  <si>
    <t xml:space="preserve">TCGGCGAATGCCGCTGCGAT</t>
  </si>
  <si>
    <t xml:space="preserve">TAGTTCGGCGAATGCCGCTGCGAT</t>
  </si>
  <si>
    <t xml:space="preserve">AAACATCGCAGCGGCATTCGCCGA</t>
  </si>
  <si>
    <t xml:space="preserve">GGGTATTCAGTTCGGCGAAA</t>
  </si>
  <si>
    <t xml:space="preserve">TAGTGGGTATTCAGTTCGGCGAAA</t>
  </si>
  <si>
    <t xml:space="preserve">AAACTTTCGCCGAACTGAATACCC</t>
  </si>
  <si>
    <t xml:space="preserve">PSPPH_0413</t>
  </si>
  <si>
    <t xml:space="preserve">GGCGCGGCCGATGCCACGGC</t>
  </si>
  <si>
    <t xml:space="preserve">TAGTGGCGCGGCCGATGCCACGGC</t>
  </si>
  <si>
    <t xml:space="preserve">AAACGCCGTGGCATCGGCCGCGCC</t>
  </si>
  <si>
    <t xml:space="preserve">CTGGGCCAGACGCAGAGCGA</t>
  </si>
  <si>
    <t xml:space="preserve">TAGTCTGGGCCAGACGCAGAGCGA</t>
  </si>
  <si>
    <t xml:space="preserve">AAACTCGCTCTGCGTCTGGCCCAG</t>
  </si>
  <si>
    <t xml:space="preserve">ATGCAGGATCAGGTCGTATC</t>
  </si>
  <si>
    <t xml:space="preserve">TAGTATGCAGGATCAGGTCGTATC</t>
  </si>
  <si>
    <t xml:space="preserve">AAACGATACGACCTGATCCTGCAT</t>
  </si>
  <si>
    <t xml:space="preserve">CGGCTTCGCTGCGGCCGGTG</t>
  </si>
  <si>
    <t xml:space="preserve">TAGTCGGCTTCGCTGCGGCCGGTG</t>
  </si>
  <si>
    <t xml:space="preserve">AAACCACCGGCCGCAGCGAAGCCG</t>
  </si>
  <si>
    <t xml:space="preserve">PSPPH_0414</t>
  </si>
  <si>
    <t xml:space="preserve">GAGTTCGGCGAGCGACCACT</t>
  </si>
  <si>
    <t xml:space="preserve">TAGTGAGTTCGGCGAGCGACCACT</t>
  </si>
  <si>
    <t xml:space="preserve">AAACAGTGGTCGCTCGCCGAACTC</t>
  </si>
  <si>
    <t xml:space="preserve">AGAATCATGTCGCCAGCATG</t>
  </si>
  <si>
    <t xml:space="preserve">TAGTAGAATCATGTCGCCAGCATG</t>
  </si>
  <si>
    <t xml:space="preserve">AAACCATGCTGGCGACATGATTCT</t>
  </si>
  <si>
    <t xml:space="preserve">GGCGGGTTTGAATCTGCTCT</t>
  </si>
  <si>
    <t xml:space="preserve">TAGTGGCGGGTTTGAATCTGCTCT</t>
  </si>
  <si>
    <t xml:space="preserve">AAACAGAGCAGATTCAAACCCGCC</t>
  </si>
  <si>
    <t xml:space="preserve">GACCATCGGCGCGCACGGTC</t>
  </si>
  <si>
    <t xml:space="preserve">TAGTGACCATCGGCGCGCACGGTC</t>
  </si>
  <si>
    <t xml:space="preserve">AAACGACCGTGCGCGCCGATGGTC</t>
  </si>
  <si>
    <t xml:space="preserve">PSPPH_0415</t>
  </si>
  <si>
    <t xml:space="preserve">TGTCGCCCAGCGAGCAGATC</t>
  </si>
  <si>
    <t xml:space="preserve">TAGTTGTCGCCCAGCGAGCAGATC</t>
  </si>
  <si>
    <t xml:space="preserve">AAACGATCTGCTCGCTGGGCGACA</t>
  </si>
  <si>
    <t xml:space="preserve">GTCTGCGCGACACCTCTTCA</t>
  </si>
  <si>
    <t xml:space="preserve">TAGTGTCTGCGCGACACCTCTTCA</t>
  </si>
  <si>
    <t xml:space="preserve">AAACTGAAGAGGTGTCGCGCAGAC</t>
  </si>
  <si>
    <t xml:space="preserve">CCGACCGGCAATGCGCGTTC</t>
  </si>
  <si>
    <t xml:space="preserve">TAGTCCGACCGGCAATGCGCGTTC</t>
  </si>
  <si>
    <t xml:space="preserve">AAACGAACGCGCATTGCCGGTCGG</t>
  </si>
  <si>
    <t xml:space="preserve">TGCATGGCGGGCGGAATGGG</t>
  </si>
  <si>
    <t xml:space="preserve">TAGTTGCATGGCGGGCGGAATGGG</t>
  </si>
  <si>
    <t xml:space="preserve">AAACCCCATTCCGCCCGCCATGCA</t>
  </si>
  <si>
    <t xml:space="preserve">PSPPH_0416</t>
  </si>
  <si>
    <t xml:space="preserve">GAAAGGCCAGAAATAATACC</t>
  </si>
  <si>
    <t xml:space="preserve">TAGTGAAAGGCCAGAAATAATACC</t>
  </si>
  <si>
    <t xml:space="preserve">AAACGGTATTATTTCTGGCCTTTC</t>
  </si>
  <si>
    <t xml:space="preserve">GTCGGTGCGGTAGTCGGCAG</t>
  </si>
  <si>
    <t xml:space="preserve">TAGTGTCGGTGCGGTAGTCGGCAG</t>
  </si>
  <si>
    <t xml:space="preserve">AAACCTGCCGACTACCGCACCGAC</t>
  </si>
  <si>
    <t xml:space="preserve">CGTTCGATGTGCAGTTGCAT</t>
  </si>
  <si>
    <t xml:space="preserve">TAGTCGTTCGATGTGCAGTTGCAT</t>
  </si>
  <si>
    <t xml:space="preserve">AAACATGCAACTGCACATCGAACG</t>
  </si>
  <si>
    <t xml:space="preserve">CTTGCCGCTGATCAGCCTGT</t>
  </si>
  <si>
    <t xml:space="preserve">TAGTCTTGCCGCTGATCAGCCTGT</t>
  </si>
  <si>
    <t xml:space="preserve">AAACACAGGCTGATCAGCGGCAAG</t>
  </si>
  <si>
    <t xml:space="preserve">PSPPH_0417</t>
  </si>
  <si>
    <t xml:space="preserve">CCGGCGGCGGGCTGGCGAAC</t>
  </si>
  <si>
    <t xml:space="preserve">TAGTCCGGCGGCGGGCTGGCGAAC</t>
  </si>
  <si>
    <t xml:space="preserve">AAACGTTCGCCAGCCCGCCGCCGG</t>
  </si>
  <si>
    <t xml:space="preserve">CACCCTGCGTCGAGCAACAC</t>
  </si>
  <si>
    <t xml:space="preserve">TAGTCACCCTGCGTCGAGCAACAC</t>
  </si>
  <si>
    <t xml:space="preserve">AAACGTGTTGCTCGACGCAGGGTG</t>
  </si>
  <si>
    <t xml:space="preserve">TGTTCAGATGCTGGAACGAG</t>
  </si>
  <si>
    <t xml:space="preserve">TAGTTGTTCAGATGCTGGAACGAG</t>
  </si>
  <si>
    <t xml:space="preserve">AAACCTCGTTCCAGCATCTGAACA</t>
  </si>
  <si>
    <t xml:space="preserve">TCGACACCGATGAGCCTGGA</t>
  </si>
  <si>
    <t xml:space="preserve">TAGTTCGACACCGATGAGCCTGGA</t>
  </si>
  <si>
    <t xml:space="preserve">AAACTCCAGGCTCATCGGTGTCGA</t>
  </si>
  <si>
    <t xml:space="preserve">PSPPH_0418</t>
  </si>
  <si>
    <t xml:space="preserve">TCCCTATCAGTGATGGGCAC</t>
  </si>
  <si>
    <t xml:space="preserve">TAGTTCCCTATCAGTGATGGGCAC</t>
  </si>
  <si>
    <t xml:space="preserve">AAACGTGCCCATCACTGATAGGGA</t>
  </si>
  <si>
    <t xml:space="preserve">CGCAATGGAACCGGCCGGGC</t>
  </si>
  <si>
    <t xml:space="preserve">TAGTCGCAATGGAACCGGCCGGGC</t>
  </si>
  <si>
    <t xml:space="preserve">AAACGCCCGGCCGGTTCCATTGCG</t>
  </si>
  <si>
    <t xml:space="preserve">GTGGCCCTGGCGTTTGAGCA</t>
  </si>
  <si>
    <t xml:space="preserve">TAGTGTGGCCCTGGCGTTTGAGCA</t>
  </si>
  <si>
    <t xml:space="preserve">AAACTGCTCAAACGCCAGGGCCAC</t>
  </si>
  <si>
    <t xml:space="preserve">TTTCGCCGATGGAGAAGCGC</t>
  </si>
  <si>
    <t xml:space="preserve">TAGTTTTCGCCGATGGAGAAGCGC</t>
  </si>
  <si>
    <t xml:space="preserve">AAACGCGCTTCTCCATCGGCGAAA</t>
  </si>
  <si>
    <t xml:space="preserve">PSPPH_0419</t>
  </si>
  <si>
    <t xml:space="preserve">AGAATCAGCAGGAACAGTCG</t>
  </si>
  <si>
    <t xml:space="preserve">TAGTAGAATCAGCAGGAACAGTCG</t>
  </si>
  <si>
    <t xml:space="preserve">AAACCGACTGTTCCTGCTGATTCT</t>
  </si>
  <si>
    <t xml:space="preserve">GCGGTCGTGCCACTGCCAGC</t>
  </si>
  <si>
    <t xml:space="preserve">TAGTGCGGTCGTGCCACTGCCAGC</t>
  </si>
  <si>
    <t xml:space="preserve">AAACGCTGGCAGTGGCACGACCGC</t>
  </si>
  <si>
    <t xml:space="preserve">TCCATGAGGTTGGCCGACAG</t>
  </si>
  <si>
    <t xml:space="preserve">TAGTTCCATGAGGTTGGCCGACAG</t>
  </si>
  <si>
    <t xml:space="preserve">AAACCTGTCGGCCAACCTCATGGA</t>
  </si>
  <si>
    <t xml:space="preserve">AGTTCGTCGTTGTCAGTGCC</t>
  </si>
  <si>
    <t xml:space="preserve">TAGTAGTTCGTCGTTGTCAGTGCC</t>
  </si>
  <si>
    <t xml:space="preserve">AAACGGCACTGACAACGACGAACT</t>
  </si>
  <si>
    <t xml:space="preserve">PSPPH_0420</t>
  </si>
  <si>
    <t xml:space="preserve">GCAGCAAGGCGCGAAACGGA</t>
  </si>
  <si>
    <t xml:space="preserve">TAGTGCAGCAAGGCGCGAAACGGA</t>
  </si>
  <si>
    <t xml:space="preserve">AAACTCCGTTTCGCGCCTTGCTGC</t>
  </si>
  <si>
    <t xml:space="preserve">AAGCCTGCGCCAGTGAAGAC</t>
  </si>
  <si>
    <t xml:space="preserve">TAGTAAGCCTGCGCCAGTGAAGAC</t>
  </si>
  <si>
    <t xml:space="preserve">AAACGTCTTCACTGGCGCAGGCTT</t>
  </si>
  <si>
    <t xml:space="preserve">AAGCTCCCTTGCACCACCGC</t>
  </si>
  <si>
    <t xml:space="preserve">TAGTAAGCTCCCTTGCACCACCGC</t>
  </si>
  <si>
    <t xml:space="preserve">AAACGCGGTGGTGCAAGGGAGCTT</t>
  </si>
  <si>
    <t xml:space="preserve">GTGGTTGCGGCAGGGCGCGC</t>
  </si>
  <si>
    <t xml:space="preserve">TAGTGTGGTTGCGGCAGGGCGCGC</t>
  </si>
  <si>
    <t xml:space="preserve">AAACGCGCGCCCTGCCGCAACCAC</t>
  </si>
  <si>
    <t xml:space="preserve">PSPPH_0421</t>
  </si>
  <si>
    <t xml:space="preserve">GAAAAACGGCACCACGATTT</t>
  </si>
  <si>
    <t xml:space="preserve">TAGTGAAAAACGGCACCACGATTT</t>
  </si>
  <si>
    <t xml:space="preserve">AAACAAATCGTGGTGCCGTTTTTC</t>
  </si>
  <si>
    <t xml:space="preserve">ATGCGCAACGTGCGACTTCC</t>
  </si>
  <si>
    <t xml:space="preserve">TAGTATGCGCAACGTGCGACTTCC</t>
  </si>
  <si>
    <t xml:space="preserve">AAACGGAAGTCGCACGTTGCGCAT</t>
  </si>
  <si>
    <t xml:space="preserve">GCATGTAGTTATGACCAATG</t>
  </si>
  <si>
    <t xml:space="preserve">TAGTGCATGTAGTTATGACCAATG</t>
  </si>
  <si>
    <t xml:space="preserve">AAACCATTGGTCATAACTACATGC</t>
  </si>
  <si>
    <t xml:space="preserve">GATCACCGGCCAACCATAAC</t>
  </si>
  <si>
    <t xml:space="preserve">TAGTGATCACCGGCCAACCATAAC</t>
  </si>
  <si>
    <t xml:space="preserve">AAACGTTATGGTTGGCCGGTGATC</t>
  </si>
  <si>
    <t xml:space="preserve">PSPPH_0422</t>
  </si>
  <si>
    <t xml:space="preserve">CGCGCTCGCCGAAAATGATC</t>
  </si>
  <si>
    <t xml:space="preserve">TAGTCGCGCTCGCCGAAAATGATC</t>
  </si>
  <si>
    <t xml:space="preserve">AAACGATCATTTTCGGCGAGCGCG</t>
  </si>
  <si>
    <t xml:space="preserve">CGGCGCTTGACGATTGGCCA</t>
  </si>
  <si>
    <t xml:space="preserve">TAGTCGGCGCTTGACGATTGGCCA</t>
  </si>
  <si>
    <t xml:space="preserve">AAACTGGCCAATCGTCAAGCGCCG</t>
  </si>
  <si>
    <t xml:space="preserve">GCGTCGCCTTGCAACGCACT</t>
  </si>
  <si>
    <t xml:space="preserve">TAGTGCGTCGCCTTGCAACGCACT</t>
  </si>
  <si>
    <t xml:space="preserve">AAACAGTGCGTTGCAAGGCGACGC</t>
  </si>
  <si>
    <t xml:space="preserve">ATCGAGAAACTGCGCGCCCC</t>
  </si>
  <si>
    <t xml:space="preserve">TAGTATCGAGAAACTGCGCGCCCC</t>
  </si>
  <si>
    <t xml:space="preserve">AAACGGGGCGCGCAGTTTCTCGAT</t>
  </si>
  <si>
    <t xml:space="preserve">PSPPH_0423</t>
  </si>
  <si>
    <t xml:space="preserve">TTCCTTGGGCGATTTTTCAA</t>
  </si>
  <si>
    <t xml:space="preserve">TAGTTTCCTTGGGCGATTTTTCAA</t>
  </si>
  <si>
    <t xml:space="preserve">AAACTTGAAAAATCGCCCAAGGAA</t>
  </si>
  <si>
    <t xml:space="preserve">GCTGCCACGCTCTTCGTGAC</t>
  </si>
  <si>
    <t xml:space="preserve">TAGTGCTGCCACGCTCTTCGTGAC</t>
  </si>
  <si>
    <t xml:space="preserve">AAACGTCACGAAGAGCGTGGCAGC</t>
  </si>
  <si>
    <t xml:space="preserve">AGGCGGTAAGCTTCATGAGC</t>
  </si>
  <si>
    <t xml:space="preserve">TAGTAGGCGGTAAGCTTCATGAGC</t>
  </si>
  <si>
    <t xml:space="preserve">AAACGCTCATGAAGCTTACCGCCT</t>
  </si>
  <si>
    <t xml:space="preserve">ACCGAGCACGCGCATGCCCC</t>
  </si>
  <si>
    <t xml:space="preserve">TAGTACCGAGCACGCGCATGCCCC</t>
  </si>
  <si>
    <t xml:space="preserve">AAACGGGGCATGCGCGTGCTCGGT</t>
  </si>
  <si>
    <t xml:space="preserve">PSPPH_0424</t>
  </si>
  <si>
    <t xml:space="preserve">AACACCGGAATGATCACGCA</t>
  </si>
  <si>
    <t xml:space="preserve">TAGTAACACCGGAATGATCACGCA</t>
  </si>
  <si>
    <t xml:space="preserve">AAACTGCGTGATCATTCCGGTGTT</t>
  </si>
  <si>
    <t xml:space="preserve">CGCTGGGCACGGCCAGTTCG</t>
  </si>
  <si>
    <t xml:space="preserve">TAGTCGCTGGGCACGGCCAGTTCG</t>
  </si>
  <si>
    <t xml:space="preserve">AAACCGAACTGGCCGTGCCCAGCG</t>
  </si>
  <si>
    <t xml:space="preserve">GGGCAAGCCTGCGTTGCGGA</t>
  </si>
  <si>
    <t xml:space="preserve">TAGTGGGCAAGCCTGCGTTGCGGA</t>
  </si>
  <si>
    <t xml:space="preserve">AAACTCCGCAACGCAGGCTTGCCC</t>
  </si>
  <si>
    <t xml:space="preserve">GCATCGTCCACCAGTATGCA</t>
  </si>
  <si>
    <t xml:space="preserve">TAGTGCATCGTCCACCAGTATGCA</t>
  </si>
  <si>
    <t xml:space="preserve">AAACTGCATACTGGTGGACGATGC</t>
  </si>
  <si>
    <t xml:space="preserve">PSPPH_0425</t>
  </si>
  <si>
    <t xml:space="preserve">CGTCGAGCAGCAGGTGTTCA</t>
  </si>
  <si>
    <t xml:space="preserve">TAGTCGTCGAGCAGCAGGTGTTCA</t>
  </si>
  <si>
    <t xml:space="preserve">AAACTGAACACCTGCTGCTCGACG</t>
  </si>
  <si>
    <t xml:space="preserve">TGTCAGCGGCCGGTCGGGCA</t>
  </si>
  <si>
    <t xml:space="preserve">TAGTTGTCAGCGGCCGGTCGGGCA</t>
  </si>
  <si>
    <t xml:space="preserve">AAACTGCCCGACCGGCCGCTGACA</t>
  </si>
  <si>
    <t xml:space="preserve">TTGCGCGTGGTCCAGGGTCG</t>
  </si>
  <si>
    <t xml:space="preserve">TAGTTTGCGCGTGGTCCAGGGTCG</t>
  </si>
  <si>
    <t xml:space="preserve">AAACCGACCCTGGACCACGCGCAA</t>
  </si>
  <si>
    <t xml:space="preserve">ACCGCGGGCTTGCAGTCCTG</t>
  </si>
  <si>
    <t xml:space="preserve">TAGTACCGCGGGCTTGCAGTCCTG</t>
  </si>
  <si>
    <t xml:space="preserve">AAACCAGGACTGCAAGCCCGCGGT</t>
  </si>
  <si>
    <t xml:space="preserve">PSPPH_0426</t>
  </si>
  <si>
    <t xml:space="preserve">CACCGGCCAGCACCAGAATC</t>
  </si>
  <si>
    <t xml:space="preserve">TAGTCACCGGCCAGCACCAGAATC</t>
  </si>
  <si>
    <t xml:space="preserve">AAACGATTCTGGTGCTGGCCGGTG</t>
  </si>
  <si>
    <t xml:space="preserve">GTTCCCCAGTAGACGGCAAA</t>
  </si>
  <si>
    <t xml:space="preserve">TAGTGTTCCCCAGTAGACGGCAAA</t>
  </si>
  <si>
    <t xml:space="preserve">AAACTTTGCCGTCTACTGGGGAAC</t>
  </si>
  <si>
    <t xml:space="preserve">CTGCCACGGGGCGAAGTGTT</t>
  </si>
  <si>
    <t xml:space="preserve">TAGTCTGCCACGGGGCGAAGTGTT</t>
  </si>
  <si>
    <t xml:space="preserve">AAACAACACTTCGCCCCGTGGCAG</t>
  </si>
  <si>
    <t xml:space="preserve">TCAGTGCGCGCGCCAGCCAC</t>
  </si>
  <si>
    <t xml:space="preserve">TAGTTCAGTGCGCGCGCCAGCCAC</t>
  </si>
  <si>
    <t xml:space="preserve">AAACGTGGCTGGCGCGCGCACTGA</t>
  </si>
  <si>
    <t xml:space="preserve">PSPPH_0427</t>
  </si>
  <si>
    <t xml:space="preserve">GATTTCGAAGATGTCTTCAC</t>
  </si>
  <si>
    <t xml:space="preserve">TAGTGATTTCGAAGATGTCTTCAC</t>
  </si>
  <si>
    <t xml:space="preserve">AAACGTGAAGACATCTTCGAAATC</t>
  </si>
  <si>
    <t xml:space="preserve">TTCGAACAGTTCCACCATTG</t>
  </si>
  <si>
    <t xml:space="preserve">TAGTTTCGAACAGTTCCACCATTG</t>
  </si>
  <si>
    <t xml:space="preserve">AAACCAATGGTGGAACTGTTCGAA</t>
  </si>
  <si>
    <t xml:space="preserve">GCTTCAAGTGTGACCCTCTC</t>
  </si>
  <si>
    <t xml:space="preserve">TAGTGCTTCAAGTGTGACCCTCTC</t>
  </si>
  <si>
    <t xml:space="preserve">AAACGAGAGGGTCACACTTGAAGC</t>
  </si>
  <si>
    <t xml:space="preserve">TTCCAGGTCCTGATACAGGT</t>
  </si>
  <si>
    <t xml:space="preserve">TAGTTTCCAGGTCCTGATACAGGT</t>
  </si>
  <si>
    <t xml:space="preserve">AAACACCTGTATCAGGACCTGGAA</t>
  </si>
  <si>
    <t xml:space="preserve">PSPPH_0428</t>
  </si>
  <si>
    <t xml:space="preserve">GGGTGATGTCTTCGAGGCCC</t>
  </si>
  <si>
    <t xml:space="preserve">TAGTGGGTGATGTCTTCGAGGCCC</t>
  </si>
  <si>
    <t xml:space="preserve">AAACGGGCCTCGAAGACATCACCC</t>
  </si>
  <si>
    <t xml:space="preserve">ATCGTTGCCGATATCTTCCG</t>
  </si>
  <si>
    <t xml:space="preserve">TAGTATCGTTGCCGATATCTTCCG</t>
  </si>
  <si>
    <t xml:space="preserve">AAACCGGAAGATATCGGCAACGAT</t>
  </si>
  <si>
    <t xml:space="preserve">CATAGCGCTTCTGGATGGCC</t>
  </si>
  <si>
    <t xml:space="preserve">TAGTCATAGCGCTTCTGGATGGCC</t>
  </si>
  <si>
    <t xml:space="preserve">AAACGGCCATCCAGAAGCGCTATG</t>
  </si>
  <si>
    <t xml:space="preserve">GTTACGGGTGTCCTTTGCAT</t>
  </si>
  <si>
    <t xml:space="preserve">TAGTGTTACGGGTGTCCTTTGCAT</t>
  </si>
  <si>
    <t xml:space="preserve">AAACATGCAAAGGACACCCGTAAC</t>
  </si>
  <si>
    <t xml:space="preserve">PSPPH_0429</t>
  </si>
  <si>
    <t xml:space="preserve">GAAGAGGGCAAAGCTGAAGG</t>
  </si>
  <si>
    <t xml:space="preserve">TAGTGAAGAGGGCAAAGCTGAAGG</t>
  </si>
  <si>
    <t xml:space="preserve">AAACCCTTCAGCTTTGCCCTCTTC</t>
  </si>
  <si>
    <t xml:space="preserve">AAACGAACAAGCGCAGGCAC</t>
  </si>
  <si>
    <t xml:space="preserve">TAGTAAACGAACAAGCGCAGGCAC</t>
  </si>
  <si>
    <t xml:space="preserve">AAACGTGCCTGCGCTTGTTCGTTT</t>
  </si>
  <si>
    <t xml:space="preserve">CCGGGCAGGCAACTCAGTAT</t>
  </si>
  <si>
    <t xml:space="preserve">TAGTCCGGGCAGGCAACTCAGTAT</t>
  </si>
  <si>
    <t xml:space="preserve">AAACATACTGAGTTGCCTGCCCGG</t>
  </si>
  <si>
    <t xml:space="preserve">CCTGGCGCGGCGCTGATGAC</t>
  </si>
  <si>
    <t xml:space="preserve">TAGTCCTGGCGCGGCGCTGATGAC</t>
  </si>
  <si>
    <t xml:space="preserve">AAACGTCATCAGCGCCGCGCCAGG</t>
  </si>
  <si>
    <t xml:space="preserve">PSPPH_0430</t>
  </si>
  <si>
    <t xml:space="preserve">ATGCCATCGTGCAATGTTGA</t>
  </si>
  <si>
    <t xml:space="preserve">TAGTATGCCATCGTGCAATGTTGA</t>
  </si>
  <si>
    <t xml:space="preserve">AAACTCAACATTGCACGATGGCAT</t>
  </si>
  <si>
    <t xml:space="preserve">GCTCGCCAGGCCCGGAGCCC</t>
  </si>
  <si>
    <t xml:space="preserve">TAGTGCTCGCCAGGCCCGGAGCCC</t>
  </si>
  <si>
    <t xml:space="preserve">AAACGGGCTCCGGGCCTGGCGAGC</t>
  </si>
  <si>
    <t xml:space="preserve">TTTCCAGTAGCGTCGGATTG</t>
  </si>
  <si>
    <t xml:space="preserve">TAGTTTTCCAGTAGCGTCGGATTG</t>
  </si>
  <si>
    <t xml:space="preserve">AAACCAATCCGACGCTACTGGAAA</t>
  </si>
  <si>
    <t xml:space="preserve">CACGTCTGGCGCGGCATCAC</t>
  </si>
  <si>
    <t xml:space="preserve">TAGTCACGTCTGGCGCGGCATCAC</t>
  </si>
  <si>
    <t xml:space="preserve">AAACGTGATGCCGCGCCAGACGTG</t>
  </si>
  <si>
    <t xml:space="preserve">PSPPH_0431</t>
  </si>
  <si>
    <t xml:space="preserve">GCTGACTGCAGCCAGATTGC</t>
  </si>
  <si>
    <t xml:space="preserve">TAGTGCTGACTGCAGCCAGATTGC</t>
  </si>
  <si>
    <t xml:space="preserve">AAACGCAATCTGGCTGCAGTCAGC</t>
  </si>
  <si>
    <t xml:space="preserve">GTACTGAGTCGAGTTGGCCT</t>
  </si>
  <si>
    <t xml:space="preserve">TAGTGTACTGAGTCGAGTTGGCCT</t>
  </si>
  <si>
    <t xml:space="preserve">AAACAGGCCAACTCGACTCAGTAC</t>
  </si>
  <si>
    <t xml:space="preserve">CCTGACCGGTAAGGCCGGTG</t>
  </si>
  <si>
    <t xml:space="preserve">TAGTCCTGACCGGTAAGGCCGGTG</t>
  </si>
  <si>
    <t xml:space="preserve">AAACCACCGGCCTTACCGGTCAGG</t>
  </si>
  <si>
    <t xml:space="preserve">AAGAACTCGGCAATACCCAT</t>
  </si>
  <si>
    <t xml:space="preserve">TAGTAAGAACTCGGCAATACCCAT</t>
  </si>
  <si>
    <t xml:space="preserve">AAACATGGGTATTGCCGAGTTCTT</t>
  </si>
  <si>
    <t xml:space="preserve">PSPPH_0432</t>
  </si>
  <si>
    <t xml:space="preserve">TTCCCTGACTATGAACGACA</t>
  </si>
  <si>
    <t xml:space="preserve">TAGTTTCCCTGACTATGAACGACA</t>
  </si>
  <si>
    <t xml:space="preserve">AAACTGTCGTTCATAGTCAGGGAA</t>
  </si>
  <si>
    <t xml:space="preserve">CAGCACAAACCCGCCGGTGG</t>
  </si>
  <si>
    <t xml:space="preserve">TAGTCAGCACAAACCCGCCGGTGG</t>
  </si>
  <si>
    <t xml:space="preserve">AAACCCACCGGCGGGTTTGTGCTG</t>
  </si>
  <si>
    <t xml:space="preserve">CCATGCGGGCAACGCGGCGC</t>
  </si>
  <si>
    <t xml:space="preserve">TAGTCCATGCGGGCAACGCGGCGC</t>
  </si>
  <si>
    <t xml:space="preserve">AAACGCGCCGCGTTGCCCGCATGG</t>
  </si>
  <si>
    <t xml:space="preserve">TGCACGCCGGGCACCACACG</t>
  </si>
  <si>
    <t xml:space="preserve">TAGTTGCACGCCGGGCACCACACG</t>
  </si>
  <si>
    <t xml:space="preserve">AAACCGTGTGGTGCCCGGCGTGCA</t>
  </si>
  <si>
    <t xml:space="preserve">PSPPH_0433</t>
  </si>
  <si>
    <t xml:space="preserve">mdcA</t>
  </si>
  <si>
    <t xml:space="preserve">ACGTGTCCAGCGTGCGTCGG</t>
  </si>
  <si>
    <t xml:space="preserve">TAGTACGTGTCCAGCGTGCGTCGG</t>
  </si>
  <si>
    <t xml:space="preserve">AAACCCGACGCACGCTGGACACGT</t>
  </si>
  <si>
    <t xml:space="preserve">GGTCGGCAGCACTACGCCAT</t>
  </si>
  <si>
    <t xml:space="preserve">TAGTGGTCGGCAGCACTACGCCAT</t>
  </si>
  <si>
    <t xml:space="preserve">AAACATGGCGTAGTGCTGCCGACC</t>
  </si>
  <si>
    <t xml:space="preserve">CAGCGCCGCGACAATCTTGT</t>
  </si>
  <si>
    <t xml:space="preserve">TAGTCAGCGCCGCGACAATCTTGT</t>
  </si>
  <si>
    <t xml:space="preserve">AAACACAAGATTGTCGCGGCGCTG</t>
  </si>
  <si>
    <t xml:space="preserve">CCGATCACCGGAAACCAGCA</t>
  </si>
  <si>
    <t xml:space="preserve">TAGTCCGATCACCGGAAACCAGCA</t>
  </si>
  <si>
    <t xml:space="preserve">AAACTGCTGGTTTCCGGTGATCGG</t>
  </si>
  <si>
    <t xml:space="preserve">PSPPH_0434</t>
  </si>
  <si>
    <t xml:space="preserve">citG</t>
  </si>
  <si>
    <t xml:space="preserve">TCGGCAAGCGAAGCAGCTTG</t>
  </si>
  <si>
    <t xml:space="preserve">TAGTTCGGCAAGCGAAGCAGCTTG</t>
  </si>
  <si>
    <t xml:space="preserve">AAACCAAGCTGCTTCGCTTGCCGA</t>
  </si>
  <si>
    <t xml:space="preserve">CAGGGCATCGACGGCCAGAT</t>
  </si>
  <si>
    <t xml:space="preserve">TAGTCAGGGCATCGACGGCCAGAT</t>
  </si>
  <si>
    <t xml:space="preserve">AAACATCTGGCCGTCGATGCCCTG</t>
  </si>
  <si>
    <t xml:space="preserve">TTTGGGCGACAGGTCGGCTT</t>
  </si>
  <si>
    <t xml:space="preserve">TAGTTTTGGGCGACAGGTCGGCTT</t>
  </si>
  <si>
    <t xml:space="preserve">AAACAAGCCGACCTGTCGCCCAAA</t>
  </si>
  <si>
    <t xml:space="preserve">CCACGTCGGTCCACCAGTGC</t>
  </si>
  <si>
    <t xml:space="preserve">TAGTCCACGTCGGTCCACCAGTGC</t>
  </si>
  <si>
    <t xml:space="preserve">AAACGCACTGGTGGACCGACGTGG</t>
  </si>
  <si>
    <t xml:space="preserve">PSPPH_0435</t>
  </si>
  <si>
    <t xml:space="preserve">mdcC</t>
  </si>
  <si>
    <t xml:space="preserve">GGCAGGGAATTCAAAAGACA</t>
  </si>
  <si>
    <t xml:space="preserve">TAGTGGCAGGGAATTCAAAAGACA</t>
  </si>
  <si>
    <t xml:space="preserve">AAACTGTCTTTTGAATTCCCTGCC</t>
  </si>
  <si>
    <t xml:space="preserve">GCGGCCTTTGGGCGGCTGTC</t>
  </si>
  <si>
    <t xml:space="preserve">TAGTGCGGCCTTTGGGCGGCTGTC</t>
  </si>
  <si>
    <t xml:space="preserve">AAACGACAGCCGCCCAAAGGCCGC</t>
  </si>
  <si>
    <t xml:space="preserve">GATAGCTTGCCTGGCGAACC</t>
  </si>
  <si>
    <t xml:space="preserve">TAGTGATAGCTTGCCTGGCGAACC</t>
  </si>
  <si>
    <t xml:space="preserve">AAACGGTTCGCCAGGCAAGCTATC</t>
  </si>
  <si>
    <t xml:space="preserve">CAGCGAGGCACCGTTGACCG</t>
  </si>
  <si>
    <t xml:space="preserve">TAGTCAGCGAGGCACCGTTGACCG</t>
  </si>
  <si>
    <t xml:space="preserve">AAACCGGTCAACGGTGCCTCGCTG</t>
  </si>
  <si>
    <t xml:space="preserve">PSPPH_0436</t>
  </si>
  <si>
    <t xml:space="preserve">mdcD</t>
  </si>
  <si>
    <t xml:space="preserve">CGAGCTCGATGAAACTGTGC</t>
  </si>
  <si>
    <t xml:space="preserve">TAGTCGAGCTCGATGAAACTGTGC</t>
  </si>
  <si>
    <t xml:space="preserve">AAACGCACAGTTTCATCGAGCTCG</t>
  </si>
  <si>
    <t xml:space="preserve">CAGAGCGCGGGCGCGCTGCC</t>
  </si>
  <si>
    <t xml:space="preserve">TAGTCAGAGCGCGGGCGCGCTGCC</t>
  </si>
  <si>
    <t xml:space="preserve">AAACGGCAGCGCGCCCGCGCTCTG</t>
  </si>
  <si>
    <t xml:space="preserve">AAGCAATTCGCGGAAGCTGT</t>
  </si>
  <si>
    <t xml:space="preserve">TAGTAAGCAATTCGCGGAAGCTGT</t>
  </si>
  <si>
    <t xml:space="preserve">AAACACAGCTTCCGCGAATTGCTT</t>
  </si>
  <si>
    <t xml:space="preserve">GCGACATGACGCGATCAAAC</t>
  </si>
  <si>
    <t xml:space="preserve">TAGTGCGACATGACGCGATCAAAC</t>
  </si>
  <si>
    <t xml:space="preserve">AAACGTTTGATCGCGTCATGTCGC</t>
  </si>
  <si>
    <t xml:space="preserve">PSPPH_0437</t>
  </si>
  <si>
    <t xml:space="preserve">mdcE</t>
  </si>
  <si>
    <t xml:space="preserve">TCGGCGACCTTGAGCGAGGC</t>
  </si>
  <si>
    <t xml:space="preserve">TAGTTCGGCGACCTTGAGCGAGGC</t>
  </si>
  <si>
    <t xml:space="preserve">AAACGCCTCGCTCAAGGTCGCCGA</t>
  </si>
  <si>
    <t xml:space="preserve">CCGCCACAAATCGTACCGGC</t>
  </si>
  <si>
    <t xml:space="preserve">TAGTCCGCCACAAATCGTACCGGC</t>
  </si>
  <si>
    <t xml:space="preserve">AAACGCCGGTACGATTTGTGGCGG</t>
  </si>
  <si>
    <t xml:space="preserve">AGGAAAACGATTGCCGGTAT</t>
  </si>
  <si>
    <t xml:space="preserve">TAGTAGGAAAACGATTGCCGGTAT</t>
  </si>
  <si>
    <t xml:space="preserve">AAACATACCGGCAATCGTTTTCCT</t>
  </si>
  <si>
    <t xml:space="preserve">ACCTCGCCCTGACGCGCCCG</t>
  </si>
  <si>
    <t xml:space="preserve">TAGTACCTCGCCCTGACGCGCCCG</t>
  </si>
  <si>
    <t xml:space="preserve">AAACCGGGCGCGTCAGGGCGAGGT</t>
  </si>
  <si>
    <t xml:space="preserve">PSPPH_0438</t>
  </si>
  <si>
    <t xml:space="preserve">CATGCCCCACAGCAAATCAT</t>
  </si>
  <si>
    <t xml:space="preserve">TAGTCATGCCCCACAGCAAATCAT</t>
  </si>
  <si>
    <t xml:space="preserve">AAACATGATTTGCTGTGGGGCATG</t>
  </si>
  <si>
    <t xml:space="preserve">TCGTCCGGCAAGGCAGACAG</t>
  </si>
  <si>
    <t xml:space="preserve">TAGTTCGTCCGGCAAGGCAGACAG</t>
  </si>
  <si>
    <t xml:space="preserve">AAACCTGTCTGCCTTGCCGGACGA</t>
  </si>
  <si>
    <t xml:space="preserve">ACCGTTTCGACCGCCCATTT</t>
  </si>
  <si>
    <t xml:space="preserve">TAGTACCGTTTCGACCGCCCATTT</t>
  </si>
  <si>
    <t xml:space="preserve">AAACAAATGGGCGGTCGAAACGGT</t>
  </si>
  <si>
    <t xml:space="preserve">ACGCACCACAACCGGCTGCC</t>
  </si>
  <si>
    <t xml:space="preserve">TAGTACGCACCACAACCGGCTGCC</t>
  </si>
  <si>
    <t xml:space="preserve">AAACGGCAGCCGGTTGTGGTGCGT</t>
  </si>
  <si>
    <t xml:space="preserve">PSPPH_0439</t>
  </si>
  <si>
    <t xml:space="preserve">mdcH</t>
  </si>
  <si>
    <t xml:space="preserve">CCTGACCGGGAAACACCCAC</t>
  </si>
  <si>
    <t xml:space="preserve">TAGTCCTGACCGGGAAACACCCAC</t>
  </si>
  <si>
    <t xml:space="preserve">AAACGTGGGTGTTTCCCGGTCAGG</t>
  </si>
  <si>
    <t xml:space="preserve">GGGTAATTGATGCAGCATGC</t>
  </si>
  <si>
    <t xml:space="preserve">TAGTGGGTAATTGATGCAGCATGC</t>
  </si>
  <si>
    <t xml:space="preserve">AAACGCATGCTGCATCAATTACCC</t>
  </si>
  <si>
    <t xml:space="preserve">TCGTGGACGACAGGGTCGTC</t>
  </si>
  <si>
    <t xml:space="preserve">TAGTTCGTGGACGACAGGGTCGTC</t>
  </si>
  <si>
    <t xml:space="preserve">AAACGACGACCCTGTCGTCCACGA</t>
  </si>
  <si>
    <t xml:space="preserve">GAGCATCGGCAGCGTCCTGC</t>
  </si>
  <si>
    <t xml:space="preserve">TAGTGAGCATCGGCAGCGTCCTGC</t>
  </si>
  <si>
    <t xml:space="preserve">AAACGCAGGACGCTGCCGATGCTC</t>
  </si>
  <si>
    <t xml:space="preserve">PSPPH_0440</t>
  </si>
  <si>
    <t xml:space="preserve">madL</t>
  </si>
  <si>
    <t xml:space="preserve">GATCCCGACCCCGCCCACAT</t>
  </si>
  <si>
    <t xml:space="preserve">TAGTGATCCCGACCCCGCCCACAT</t>
  </si>
  <si>
    <t xml:space="preserve">AAACATGTGGGCGGGGTCGGGATC</t>
  </si>
  <si>
    <t xml:space="preserve">TGCGCAGATCAACAGGATCA</t>
  </si>
  <si>
    <t xml:space="preserve">TAGTTGCGCAGATCAACAGGATCA</t>
  </si>
  <si>
    <t xml:space="preserve">AAACTGATCCTGTTGATCTGCGCA</t>
  </si>
  <si>
    <t xml:space="preserve">CACGCCCATTTCGCAGTCCT</t>
  </si>
  <si>
    <t xml:space="preserve">TAGTCACGCCCATTTCGCAGTCCT</t>
  </si>
  <si>
    <t xml:space="preserve">AAACAGGACTGCGAAATGGGCGTG</t>
  </si>
  <si>
    <t xml:space="preserve">GCGGCCATCGCCACCACGAC</t>
  </si>
  <si>
    <t xml:space="preserve">TAGTGCGGCCATCGCCACCACGAC</t>
  </si>
  <si>
    <t xml:space="preserve">AAACGTCGTGGTGGCGATGGCCGC</t>
  </si>
  <si>
    <t xml:space="preserve">PSPPH_0441</t>
  </si>
  <si>
    <t xml:space="preserve">madM</t>
  </si>
  <si>
    <t xml:space="preserve">GTTCAAGTCCTTTCTCGATG</t>
  </si>
  <si>
    <t xml:space="preserve">TAGTGTTCAAGTCCTTTCTCGATG</t>
  </si>
  <si>
    <t xml:space="preserve">AAACCATCGAGAAAGGACTTGAAC</t>
  </si>
  <si>
    <t xml:space="preserve">GATACCGACGAAGGCAAATG</t>
  </si>
  <si>
    <t xml:space="preserve">TAGTGATACCGACGAAGGCAAATG</t>
  </si>
  <si>
    <t xml:space="preserve">AAACCATTTGCCTTCGTCGGTATC</t>
  </si>
  <si>
    <t xml:space="preserve">CATGCACCCGGCCGAAGGTC</t>
  </si>
  <si>
    <t xml:space="preserve">TAGTCATGCACCCGGCCGAAGGTC</t>
  </si>
  <si>
    <t xml:space="preserve">AAACGACCTTCGGCCGGGTGCATG</t>
  </si>
  <si>
    <t xml:space="preserve">CAGCCCGATGACAATCGCGA</t>
  </si>
  <si>
    <t xml:space="preserve">TAGTCAGCCCGATGACAATCGCGA</t>
  </si>
  <si>
    <t xml:space="preserve">AAACTCGCGATTGTCATCGGGCTG</t>
  </si>
  <si>
    <t xml:space="preserve">PSPPH_0442</t>
  </si>
  <si>
    <t xml:space="preserve">TGCCGGTGCGCATGAAGGCC</t>
  </si>
  <si>
    <t xml:space="preserve">TAGTTGCCGGTGCGCATGAAGGCC</t>
  </si>
  <si>
    <t xml:space="preserve">AAACGGCCTTCATGCGCACCGGCA</t>
  </si>
  <si>
    <t xml:space="preserve">GCGGTGCACGCTGACGTTGC</t>
  </si>
  <si>
    <t xml:space="preserve">TAGTGCGGTGCACGCTGACGTTGC</t>
  </si>
  <si>
    <t xml:space="preserve">AAACGCAACGTCAGCGTGCACCGC</t>
  </si>
  <si>
    <t xml:space="preserve">GGCGCTTTCCAACGAGTGAA</t>
  </si>
  <si>
    <t xml:space="preserve">TAGTGGCGCTTTCCAACGAGTGAA</t>
  </si>
  <si>
    <t xml:space="preserve">AAACTTCACTCGTTGGAAAGCGCC</t>
  </si>
  <si>
    <t xml:space="preserve">TTTGAACAGCGGGCAACGCA</t>
  </si>
  <si>
    <t xml:space="preserve">TAGTTTTGAACAGCGGGCAACGCA</t>
  </si>
  <si>
    <t xml:space="preserve">AAACTGCGTTGCCCGCTGTTCAAA</t>
  </si>
  <si>
    <t xml:space="preserve">PSPPH_0443</t>
  </si>
  <si>
    <t xml:space="preserve">hlyIII</t>
  </si>
  <si>
    <t xml:space="preserve">ATCCGCTCAATACCCTCTTG</t>
  </si>
  <si>
    <t xml:space="preserve">TAGTATCCGCTCAATACCCTCTTG</t>
  </si>
  <si>
    <t xml:space="preserve">AAACCAAGAGGGTATTGAGCGGAT</t>
  </si>
  <si>
    <t xml:space="preserve">TGCGCCCACCAAGTGGGACC</t>
  </si>
  <si>
    <t xml:space="preserve">TAGTTGCGCCCACCAAGTGGGACC</t>
  </si>
  <si>
    <t xml:space="preserve">AAACGGTCCCACTTGGTGGGCGCA</t>
  </si>
  <si>
    <t xml:space="preserve">TAGCCAGATTGCGCCGACAC</t>
  </si>
  <si>
    <t xml:space="preserve">TAGTTAGCCAGATTGCGCCGACAC</t>
  </si>
  <si>
    <t xml:space="preserve">AAACGTGTCGGCGCAATCTGGCTA</t>
  </si>
  <si>
    <t xml:space="preserve">GCTGTACAGCGTGACCAGAC</t>
  </si>
  <si>
    <t xml:space="preserve">TAGTGCTGTACAGCGTGACCAGAC</t>
  </si>
  <si>
    <t xml:space="preserve">AAACGTCTGGTCACGCTGTACAGC</t>
  </si>
  <si>
    <t xml:space="preserve">PSPPH_0444</t>
  </si>
  <si>
    <t xml:space="preserve">AAAAAAGCGGGAGAGTCTCA</t>
  </si>
  <si>
    <t xml:space="preserve">TAGTAAAAAAGCGGGAGAGTCTCA</t>
  </si>
  <si>
    <t xml:space="preserve">AAACTGAGACTCTCCCGCTTTTTT</t>
  </si>
  <si>
    <t xml:space="preserve">TCGTGCTCGCCCAGGCTAAG</t>
  </si>
  <si>
    <t xml:space="preserve">TAGTTCGTGCTCGCCCAGGCTAAG</t>
  </si>
  <si>
    <t xml:space="preserve">AAACCTTAGCCTGGGCGAGCACGA</t>
  </si>
  <si>
    <t xml:space="preserve">ATGTAATGCGTCTGGGCCTC</t>
  </si>
  <si>
    <t xml:space="preserve">TAGTATGTAATGCGTCTGGGCCTC</t>
  </si>
  <si>
    <t xml:space="preserve">AAACGAGGCCCAGACGCATTACAT</t>
  </si>
  <si>
    <t xml:space="preserve">CTTCGGTCATGCGCAGCACG</t>
  </si>
  <si>
    <t xml:space="preserve">TAGTCTTCGGTCATGCGCAGCACG</t>
  </si>
  <si>
    <t xml:space="preserve">AAACCGTGCTGCGCATGACCGAAG</t>
  </si>
  <si>
    <t xml:space="preserve">PSPPH_0445</t>
  </si>
  <si>
    <t xml:space="preserve">bioA1</t>
  </si>
  <si>
    <t xml:space="preserve">GCTGCATCCACTGGTCATTG</t>
  </si>
  <si>
    <t xml:space="preserve">TAGTGCTGCATCCACTGGTCATTG</t>
  </si>
  <si>
    <t xml:space="preserve">AAACCAATGACCAGTGGATGCAGC</t>
  </si>
  <si>
    <t xml:space="preserve">AGGGGTGCCACAGGACCTTC</t>
  </si>
  <si>
    <t xml:space="preserve">TAGTAGGGGTGCCACAGGACCTTC</t>
  </si>
  <si>
    <t xml:space="preserve">AAACGAAGGTCCTGTGGCACCCCT</t>
  </si>
  <si>
    <t xml:space="preserve">GTGGTCTTTCATCTGGGTGC</t>
  </si>
  <si>
    <t xml:space="preserve">TAGTGTGGTCTTTCATCTGGGTGC</t>
  </si>
  <si>
    <t xml:space="preserve">AAACGCACCCAGATGAAAGACCAC</t>
  </si>
  <si>
    <t xml:space="preserve">CCACGCTTGATCGGTATCAA</t>
  </si>
  <si>
    <t xml:space="preserve">TAGTCCACGCTTGATCGGTATCAA</t>
  </si>
  <si>
    <t xml:space="preserve">AAACTTGATACCGATCAAGCGTGG</t>
  </si>
  <si>
    <t xml:space="preserve">PSPPH_0446</t>
  </si>
  <si>
    <t xml:space="preserve">CCCTGCCACTATCAGCGCAC</t>
  </si>
  <si>
    <t xml:space="preserve">TAGTCCCTGCCACTATCAGCGCAC</t>
  </si>
  <si>
    <t xml:space="preserve">AAACGTGCGCTGATAGTGGCAGGG</t>
  </si>
  <si>
    <t xml:space="preserve">GGCGGTTCGTTGTTTTTCAT</t>
  </si>
  <si>
    <t xml:space="preserve">TAGTGGCGGTTCGTTGTTTTTCAT</t>
  </si>
  <si>
    <t xml:space="preserve">AAACATGAAAAACAACGAACCGCC</t>
  </si>
  <si>
    <t xml:space="preserve">CAGACCACCACCGACGACAA</t>
  </si>
  <si>
    <t xml:space="preserve">TAGTCAGACCACCACCGACGACAA</t>
  </si>
  <si>
    <t xml:space="preserve">AAACTTGTCGTCGGTGGTGGTCTG</t>
  </si>
  <si>
    <t xml:space="preserve">GGCCTGCAGTTCATAGGCAG</t>
  </si>
  <si>
    <t xml:space="preserve">TAGTGGCCTGCAGTTCATAGGCAG</t>
  </si>
  <si>
    <t xml:space="preserve">AAACCTGCCTATGAACTGCAGGCC</t>
  </si>
  <si>
    <t xml:space="preserve">PSPPH_0447</t>
  </si>
  <si>
    <t xml:space="preserve">GCTGACCAGACCGTAGCGAG</t>
  </si>
  <si>
    <t xml:space="preserve">TAGTGCTGACCAGACCGTAGCGAG</t>
  </si>
  <si>
    <t xml:space="preserve">AAACCTCGCTACGGTCTGGTCAGC</t>
  </si>
  <si>
    <t xml:space="preserve">CGATGCTCTTGTGCAGATCA</t>
  </si>
  <si>
    <t xml:space="preserve">TAGTCGATGCTCTTGTGCAGATCA</t>
  </si>
  <si>
    <t xml:space="preserve">AAACTGATCTGCACAAGAGCATCG</t>
  </si>
  <si>
    <t xml:space="preserve">TGAGCAGACGCCAGACCACG</t>
  </si>
  <si>
    <t xml:space="preserve">TAGTTGAGCAGACGCCAGACCACG</t>
  </si>
  <si>
    <t xml:space="preserve">AAACCGTGGTCTGGCGTCTGCTCA</t>
  </si>
  <si>
    <t xml:space="preserve">TAGCTGGTCAACGGCGGCGG</t>
  </si>
  <si>
    <t xml:space="preserve">TAGTTAGCTGGTCAACGGCGGCGG</t>
  </si>
  <si>
    <t xml:space="preserve">AAACCCGCCGCCGTTGACCAGCTA</t>
  </si>
  <si>
    <t xml:space="preserve">PSPPH_0448</t>
  </si>
  <si>
    <t xml:space="preserve">TGCGGTACCCAGAGCCAGAG</t>
  </si>
  <si>
    <t xml:space="preserve">TAGTTGCGGTACCCAGAGCCAGAG</t>
  </si>
  <si>
    <t xml:space="preserve">AAACCTCTGGCTCTGGGTACCGCA</t>
  </si>
  <si>
    <t xml:space="preserve">CGTAGTCGGCGGCCATGGCC</t>
  </si>
  <si>
    <t xml:space="preserve">TAGTCGTAGTCGGCGGCCATGGCC</t>
  </si>
  <si>
    <t xml:space="preserve">AAACGGCCATGGCCGCCGACTACG</t>
  </si>
  <si>
    <t xml:space="preserve">GAATGAAGCTGTAGCCCAGG</t>
  </si>
  <si>
    <t xml:space="preserve">TAGTGAATGAAGCTGTAGCCCAGG</t>
  </si>
  <si>
    <t xml:space="preserve">AAACCCTGGGCTACAGCTTCATTC</t>
  </si>
  <si>
    <t xml:space="preserve">CGTGCCGTCCCAGTCCTTGA</t>
  </si>
  <si>
    <t xml:space="preserve">TAGTCGTGCCGTCCCAGTCCTTGA</t>
  </si>
  <si>
    <t xml:space="preserve">AAACTCAAGGACTGGGACGGCACG</t>
  </si>
  <si>
    <t xml:space="preserve">PSPPH_0449</t>
  </si>
  <si>
    <t xml:space="preserve">GGAGAGACCGAGGGAAGCAA</t>
  </si>
  <si>
    <t xml:space="preserve">TAGTGGAGAGACCGAGGGAAGCAA</t>
  </si>
  <si>
    <t xml:space="preserve">AAACTTGCTTCCCTCGGTCTCTCC</t>
  </si>
  <si>
    <t xml:space="preserve">GATGGCGCGGACTAAAGCCT</t>
  </si>
  <si>
    <t xml:space="preserve">TAGTGATGGCGCGGACTAAAGCCT</t>
  </si>
  <si>
    <t xml:space="preserve">AAACAGGCTTTAGTCCGCGCCATC</t>
  </si>
  <si>
    <t xml:space="preserve">CTGTTGCACGGGGGTAGGCT</t>
  </si>
  <si>
    <t xml:space="preserve">TAGTCTGTTGCACGGGGGTAGGCT</t>
  </si>
  <si>
    <t xml:space="preserve">AAACAGCCTACCCCCGTGCAACAG</t>
  </si>
  <si>
    <t xml:space="preserve">ACCTTGCAACACGGCGGGAA</t>
  </si>
  <si>
    <t xml:space="preserve">TAGTACCTTGCAACACGGCGGGAA</t>
  </si>
  <si>
    <t xml:space="preserve">AAACTTCCCGCCGTGTTGCAAGGT</t>
  </si>
  <si>
    <t xml:space="preserve">PSPPH_0450</t>
  </si>
  <si>
    <t xml:space="preserve">metF</t>
  </si>
  <si>
    <t xml:space="preserve">GCGGCGTTCTTGGCTCATGG</t>
  </si>
  <si>
    <t xml:space="preserve">TAGTGCGGCGTTCTTGGCTCATGG</t>
  </si>
  <si>
    <t xml:space="preserve">AAACCCATGAGCCAAGAACGCCGC</t>
  </si>
  <si>
    <t xml:space="preserve">TGTCCAGCGTCGGTCTTAGT</t>
  </si>
  <si>
    <t xml:space="preserve">TAGTTGTCCAGCGTCGGTCTTAGT</t>
  </si>
  <si>
    <t xml:space="preserve">AAACACTAAGACCGACGCTGGACA</t>
  </si>
  <si>
    <t xml:space="preserve">CGTAGCGAGCTGACGAGCAA</t>
  </si>
  <si>
    <t xml:space="preserve">TAGTCGTAGCGAGCTGACGAGCAA</t>
  </si>
  <si>
    <t xml:space="preserve">AAACTTGCTCGTCAGCTCGCTACG</t>
  </si>
  <si>
    <t xml:space="preserve">AGGTGCAGGAGAAAAAATCG</t>
  </si>
  <si>
    <t xml:space="preserve">TAGTAGGTGCAGGAGAAAAAATCG</t>
  </si>
  <si>
    <t xml:space="preserve">AAACCGATTTTTTCTCCTGCACCT</t>
  </si>
  <si>
    <t xml:space="preserve">PSPPH_0451</t>
  </si>
  <si>
    <t xml:space="preserve">ahcY</t>
  </si>
  <si>
    <t xml:space="preserve">TTGTAGTCATTAAATTCTGC</t>
  </si>
  <si>
    <t xml:space="preserve">TAGTTTGTAGTCATTAAATTCTGC</t>
  </si>
  <si>
    <t xml:space="preserve">AAACGCAGAATTTAATGACTACAA</t>
  </si>
  <si>
    <t xml:space="preserve">CCAGGCGGCCAGGGAAATGT</t>
  </si>
  <si>
    <t xml:space="preserve">TAGTCCAGGCGGCCAGGGAAATGT</t>
  </si>
  <si>
    <t xml:space="preserve">AAACACATTTCCCTGGCCGCCTGG</t>
  </si>
  <si>
    <t xml:space="preserve">CATTTCGGATTCGGCAATGA</t>
  </si>
  <si>
    <t xml:space="preserve">TAGTCATTTCGGATTCGGCAATGA</t>
  </si>
  <si>
    <t xml:space="preserve">AAACTCATTGCCGAATCCGAAATG</t>
  </si>
  <si>
    <t xml:space="preserve">CGGCGCAGACCCATCAGGGC</t>
  </si>
  <si>
    <t xml:space="preserve">TAGTCGGCGCAGACCCATCAGGGC</t>
  </si>
  <si>
    <t xml:space="preserve">AAACGCCCTGATGGGTCTGCGCCG</t>
  </si>
  <si>
    <t xml:space="preserve">PSPPH_0452</t>
  </si>
  <si>
    <t xml:space="preserve">GCTTGACCCACTTGCGGGTG</t>
  </si>
  <si>
    <t xml:space="preserve">TAGTGCTTGACCCACTTGCGGGTG</t>
  </si>
  <si>
    <t xml:space="preserve">AAACCACCCGCAAGTGGGTCAAGC</t>
  </si>
  <si>
    <t xml:space="preserve">GCCGTTGGGGTTGAGGTCTT</t>
  </si>
  <si>
    <t xml:space="preserve">TAGTGCCGTTGGGGTTGAGGTCTT</t>
  </si>
  <si>
    <t xml:space="preserve">AAACAAGACCTCAACCCCAACGGC</t>
  </si>
  <si>
    <t xml:space="preserve">CTTCATCGATCCAGCGCAGC</t>
  </si>
  <si>
    <t xml:space="preserve">TAGTCTTCATCGATCCAGCGCAGC</t>
  </si>
  <si>
    <t xml:space="preserve">AAACGCTGCGCTGGATCGATGAAG</t>
  </si>
  <si>
    <t xml:space="preserve">GTTGATTTCAGAGATGTACT</t>
  </si>
  <si>
    <t xml:space="preserve">TAGTGTTGATTTCAGAGATGTACT</t>
  </si>
  <si>
    <t xml:space="preserve">AAACAGTACATCTCTGAAATCAAC</t>
  </si>
  <si>
    <t xml:space="preserve">PSPPH_0453</t>
  </si>
  <si>
    <t xml:space="preserve">CTGAGGTTGGCGGCAAAACG</t>
  </si>
  <si>
    <t xml:space="preserve">TAGTCTGAGGTTGGCGGCAAAACG</t>
  </si>
  <si>
    <t xml:space="preserve">AAACCGTTTTGCCGCCAACCTCAG</t>
  </si>
  <si>
    <t xml:space="preserve">GCTCAAGAAAATCATGCTGC</t>
  </si>
  <si>
    <t xml:space="preserve">TAGTGCTCAAGAAAATCATGCTGC</t>
  </si>
  <si>
    <t xml:space="preserve">AAACGCAGCATGATTTTCTTGAGC</t>
  </si>
  <si>
    <t xml:space="preserve">GAAACCATCGGCTGCGGCTG</t>
  </si>
  <si>
    <t xml:space="preserve">TAGTGAAACCATCGGCTGCGGCTG</t>
  </si>
  <si>
    <t xml:space="preserve">AAACCAGCCGCAGCCGATGGTTTC</t>
  </si>
  <si>
    <t xml:space="preserve">GGCTATAGGCGTAGGGGAAC</t>
  </si>
  <si>
    <t xml:space="preserve">TAGTGGCTATAGGCGTAGGGGAAC</t>
  </si>
  <si>
    <t xml:space="preserve">AAACGTTCCCCTACGCCTATAGCC</t>
  </si>
  <si>
    <t xml:space="preserve">PSPPH_0454</t>
  </si>
  <si>
    <t xml:space="preserve">GCGACGATCATCAACATGAG</t>
  </si>
  <si>
    <t xml:space="preserve">TAGTGCGACGATCATCAACATGAG</t>
  </si>
  <si>
    <t xml:space="preserve">AAACCTCATGTTGATGATCGTCGC</t>
  </si>
  <si>
    <t xml:space="preserve">CAGCAGTGCGATGCCCGCAC</t>
  </si>
  <si>
    <t xml:space="preserve">TAGTCAGCAGTGCGATGCCCGCAC</t>
  </si>
  <si>
    <t xml:space="preserve">AAACGTGCGGGCATCGCACTGCTG</t>
  </si>
  <si>
    <t xml:space="preserve">GGAATTTGTACTTGAGCACC</t>
  </si>
  <si>
    <t xml:space="preserve">TAGTGGAATTTGTACTTGAGCACC</t>
  </si>
  <si>
    <t xml:space="preserve">AAACGGTGCTCAAGTACAAATTCC</t>
  </si>
  <si>
    <t xml:space="preserve">GCATCAGGGCGACAAAGGGC</t>
  </si>
  <si>
    <t xml:space="preserve">TAGTGCATCAGGGCGACAAAGGGC</t>
  </si>
  <si>
    <t xml:space="preserve">AAACGCCCTTTGTCGCCCTGATGC</t>
  </si>
  <si>
    <t xml:space="preserve">PSPPH_0455</t>
  </si>
  <si>
    <t xml:space="preserve">fucA</t>
  </si>
  <si>
    <t xml:space="preserve">AGCCACGGCCATACAGCAGA</t>
  </si>
  <si>
    <t xml:space="preserve">TAGTAGCCACGGCCATACAGCAGA</t>
  </si>
  <si>
    <t xml:space="preserve">AAACTCTGCTGTATGGCCGTGGCT</t>
  </si>
  <si>
    <t xml:space="preserve">GAGTCGTGCGCTGATGTTGC</t>
  </si>
  <si>
    <t xml:space="preserve">TAGTGAGTCGTGCGCTGATGTTGC</t>
  </si>
  <si>
    <t xml:space="preserve">AAACGCAACATCAGCGCACGACTC</t>
  </si>
  <si>
    <t xml:space="preserve">GCCCAGGCAGGCGTCGGTCG</t>
  </si>
  <si>
    <t xml:space="preserve">TAGTGCCCAGGCAGGCGTCGGTCG</t>
  </si>
  <si>
    <t xml:space="preserve">AAACCGACCGACGCCTGCCTGGGC</t>
  </si>
  <si>
    <t xml:space="preserve">CGATATCGGCCGGGTCCATG</t>
  </si>
  <si>
    <t xml:space="preserve">TAGTCGATATCGGCCGGGTCCATG</t>
  </si>
  <si>
    <t xml:space="preserve">AAACCATGGACCCGGCCGATATCG</t>
  </si>
  <si>
    <t xml:space="preserve">PSPPH_0456</t>
  </si>
  <si>
    <t xml:space="preserve">GCAGCGGGCGAGCGTTGTTC</t>
  </si>
  <si>
    <t xml:space="preserve">TAGTGCAGCGGGCGAGCGTTGTTC</t>
  </si>
  <si>
    <t xml:space="preserve">AAACGAACAACGCTCGCCCGCTGC</t>
  </si>
  <si>
    <t xml:space="preserve">GTTGGCAAGGTCGGTCGCGC</t>
  </si>
  <si>
    <t xml:space="preserve">TAGTGTTGGCAAGGTCGGTCGCGC</t>
  </si>
  <si>
    <t xml:space="preserve">AAACGCGCGACCGACCTTGCCAAC</t>
  </si>
  <si>
    <t xml:space="preserve">GGGGATGCCGATGCTCTGCA</t>
  </si>
  <si>
    <t xml:space="preserve">TAGTGGGGATGCCGATGCTCTGCA</t>
  </si>
  <si>
    <t xml:space="preserve">AAACTGCAGAGCATCGGCATCCCC</t>
  </si>
  <si>
    <t xml:space="preserve">CCGGCAGCCATTTCGGCGCT</t>
  </si>
  <si>
    <t xml:space="preserve">TAGTCCGGCAGCCATTTCGGCGCT</t>
  </si>
  <si>
    <t xml:space="preserve">AAACAGCGCCGAAATGGCTGCCGG</t>
  </si>
  <si>
    <t xml:space="preserve">PSPPH_0457</t>
  </si>
  <si>
    <t xml:space="preserve">GATAACGCCAACGTTTTTGT</t>
  </si>
  <si>
    <t xml:space="preserve">TAGTGATAACGCCAACGTTTTTGT</t>
  </si>
  <si>
    <t xml:space="preserve">AAACACAAAAACGTTGGCGTTATC</t>
  </si>
  <si>
    <t xml:space="preserve">TGCCCAGACCCATCGCACCG</t>
  </si>
  <si>
    <t xml:space="preserve">TAGTTGCCCAGACCCATCGCACCG</t>
  </si>
  <si>
    <t xml:space="preserve">AAACCGGTGCGATGGGTCTGGGCA</t>
  </si>
  <si>
    <t xml:space="preserve">GCCGCTACGCAGCAACGAGC</t>
  </si>
  <si>
    <t xml:space="preserve">TAGTGCCGCTACGCAGCAACGAGC</t>
  </si>
  <si>
    <t xml:space="preserve">AAACGCTCGTTGCTGCGTAGCGGC</t>
  </si>
  <si>
    <t xml:space="preserve">CACGCTGCTGCGCACATCGC</t>
  </si>
  <si>
    <t xml:space="preserve">TAGTCACGCTGCTGCGCACATCGC</t>
  </si>
  <si>
    <t xml:space="preserve">AAACGCGATGTGCGCAGCAGCGTG</t>
  </si>
  <si>
    <t xml:space="preserve">PSPPH_0458</t>
  </si>
  <si>
    <t xml:space="preserve">TCTGCGGCGGCGATCAAGGT</t>
  </si>
  <si>
    <t xml:space="preserve">TAGTTCTGCGGCGGCGATCAAGGT</t>
  </si>
  <si>
    <t xml:space="preserve">AAACACCTTGATCGCCGCCGCAGA</t>
  </si>
  <si>
    <t xml:space="preserve">GTGGCTGGAGTATTTGGCCC</t>
  </si>
  <si>
    <t xml:space="preserve">TAGTGTGGCTGGAGTATTTGGCCC</t>
  </si>
  <si>
    <t xml:space="preserve">AAACGGGCCAAATACTCCAGCCAC</t>
  </si>
  <si>
    <t xml:space="preserve">TACCGGCAACGTGCAGCAAC</t>
  </si>
  <si>
    <t xml:space="preserve">TAGTTACCGGCAACGTGCAGCAAC</t>
  </si>
  <si>
    <t xml:space="preserve">AAACGTTGCTGCACGTTGCCGGTA</t>
  </si>
  <si>
    <t xml:space="preserve">CGACGATGCCGATGCGTATC</t>
  </si>
  <si>
    <t xml:space="preserve">TAGTCGACGATGCCGATGCGTATC</t>
  </si>
  <si>
    <t xml:space="preserve">AAACGATACGCATCGGCATCGTCG</t>
  </si>
  <si>
    <t xml:space="preserve">PSPPH_0459</t>
  </si>
  <si>
    <t xml:space="preserve">CAAAGCGGCGCGGCGAACCT</t>
  </si>
  <si>
    <t xml:space="preserve">TAGTCAAAGCGGCGCGGCGAACCT</t>
  </si>
  <si>
    <t xml:space="preserve">AAACAGGTTCGCCGCGCCGCTTTG</t>
  </si>
  <si>
    <t xml:space="preserve">TGATGTTGAACACATAAGGG</t>
  </si>
  <si>
    <t xml:space="preserve">TAGTTGATGTTGAACACATAAGGG</t>
  </si>
  <si>
    <t xml:space="preserve">AAACCCCTTATGTGTTCAACATCA</t>
  </si>
  <si>
    <t xml:space="preserve">AGCAGCCATTTTCAGCTCGG</t>
  </si>
  <si>
    <t xml:space="preserve">TAGTAGCAGCCATTTTCAGCTCGG</t>
  </si>
  <si>
    <t xml:space="preserve">AAACCCGAGCTGAAAATGGCTGCT</t>
  </si>
  <si>
    <t xml:space="preserve">CGTCGGGGTTGCCCATGCTC</t>
  </si>
  <si>
    <t xml:space="preserve">TAGTCGTCGGGGTTGCCCATGCTC</t>
  </si>
  <si>
    <t xml:space="preserve">AAACGAGCATGGGCAACCCCGACG</t>
  </si>
  <si>
    <t xml:space="preserve">PSPPH_0460</t>
  </si>
  <si>
    <t xml:space="preserve">ilvD</t>
  </si>
  <si>
    <t xml:space="preserve">GACGTTTTCGAGCGGTAATC</t>
  </si>
  <si>
    <t xml:space="preserve">TAGTGACGTTTTCGAGCGGTAATC</t>
  </si>
  <si>
    <t xml:space="preserve">AAACGATTACCGCTCGAAAACGTC</t>
  </si>
  <si>
    <t xml:space="preserve">GGCCATGTTGCGGCCGTGGG</t>
  </si>
  <si>
    <t xml:space="preserve">TAGTGGCCATGTTGCGGCCGTGGG</t>
  </si>
  <si>
    <t xml:space="preserve">AAACCCCACGGCCGCAACATGGCC</t>
  </si>
  <si>
    <t xml:space="preserve">GCGCCACAGGGCACGGGCGC</t>
  </si>
  <si>
    <t xml:space="preserve">TAGTGCGCCACAGGGCACGGGCGC</t>
  </si>
  <si>
    <t xml:space="preserve">AAACGCGCCCGTGCCCTGTGGCGC</t>
  </si>
  <si>
    <t xml:space="preserve">GTCTTCGTCCTTCATGCCCG</t>
  </si>
  <si>
    <t xml:space="preserve">TAGTGTCTTCGTCCTTCATGCCCG</t>
  </si>
  <si>
    <t xml:space="preserve">AAACCGGGCATGAAGGACGAAGAC</t>
  </si>
  <si>
    <t xml:space="preserve">PSPPH_0461</t>
  </si>
  <si>
    <t xml:space="preserve">GCGGCTCCAGCGCGAGACGG</t>
  </si>
  <si>
    <t xml:space="preserve">TAGTGCGGCTCCAGCGCGAGACGG</t>
  </si>
  <si>
    <t xml:space="preserve">AAACCCGTCTCGCGCTGGAGCCGC</t>
  </si>
  <si>
    <t xml:space="preserve">CCGAGCCGAACAGCACCAGC</t>
  </si>
  <si>
    <t xml:space="preserve">TAGTCCGAGCCGAACAGCACCAGC</t>
  </si>
  <si>
    <t xml:space="preserve">AAACGCTGGTGCTGTTCGGCTCGG</t>
  </si>
  <si>
    <t xml:space="preserve">GCGCACAGCAGGGCGATGAG</t>
  </si>
  <si>
    <t xml:space="preserve">TAGTGCGCACAGCAGGGCGATGAG</t>
  </si>
  <si>
    <t xml:space="preserve">AAACCTCATCGCCCTGCTGTGCGC</t>
  </si>
  <si>
    <t xml:space="preserve">CAGCGCCGCGCCGCTGCCCA</t>
  </si>
  <si>
    <t xml:space="preserve">TAGTCAGCGCCGCGCCGCTGCCCA</t>
  </si>
  <si>
    <t xml:space="preserve">AAACTGGGCAGCGGCGCGGCGCTG</t>
  </si>
  <si>
    <t xml:space="preserve">PSPPH_0462</t>
  </si>
  <si>
    <t xml:space="preserve">CGGCTGCGCAGGCGAATCGT</t>
  </si>
  <si>
    <t xml:space="preserve">TAGTCGGCTGCGCAGGCGAATCGT</t>
  </si>
  <si>
    <t xml:space="preserve">AAACACGATTCGCCTGCGCAGCCG</t>
  </si>
  <si>
    <t xml:space="preserve">CCGCTCTCGCCGAGAAACAG</t>
  </si>
  <si>
    <t xml:space="preserve">TAGTCCGCTCTCGCCGAGAAACAG</t>
  </si>
  <si>
    <t xml:space="preserve">AAACCTGTTTCTCGGCGAGAGCGG</t>
  </si>
  <si>
    <t xml:space="preserve">GGTGCGGCAGCGCAGGGCGT</t>
  </si>
  <si>
    <t xml:space="preserve">TAGTGGTGCGGCAGCGCAGGGCGT</t>
  </si>
  <si>
    <t xml:space="preserve">AAACACGCCCTGCGCTGCCGCACC</t>
  </si>
  <si>
    <t xml:space="preserve">TGGATGTACAGCGACAGCGG</t>
  </si>
  <si>
    <t xml:space="preserve">TAGTTGGATGTACAGCGACAGCGG</t>
  </si>
  <si>
    <t xml:space="preserve">AAACCCGCTGTCGCTGTACATCCA</t>
  </si>
  <si>
    <t xml:space="preserve">PSPPH_0463</t>
  </si>
  <si>
    <t xml:space="preserve">rdgB</t>
  </si>
  <si>
    <t xml:space="preserve">TACGAGTTGTGTGAGGTTCA</t>
  </si>
  <si>
    <t xml:space="preserve">TAGTTACGAGTTGTGTGAGGTTCA</t>
  </si>
  <si>
    <t xml:space="preserve">AAACTGAACCTCACACAACTCGTA</t>
  </si>
  <si>
    <t xml:space="preserve">GAGTTTGCCGCCATTGTGGC</t>
  </si>
  <si>
    <t xml:space="preserve">TAGTGAGTTTGCCGCCATTGTGGC</t>
  </si>
  <si>
    <t xml:space="preserve">AAACGCCACAATGGCGGCAAACTC</t>
  </si>
  <si>
    <t xml:space="preserve">CGTTACGCTGCCGCCGAGCA</t>
  </si>
  <si>
    <t xml:space="preserve">TAGTCGTTACGCTGCCGCCGAGCA</t>
  </si>
  <si>
    <t xml:space="preserve">AAACTGCTCGGCGGCAGCGTAACG</t>
  </si>
  <si>
    <t xml:space="preserve">CGGTTTCTTCCGGCTCTACC</t>
  </si>
  <si>
    <t xml:space="preserve">TAGTCGGTTTCTTCCGGCTCTACC</t>
  </si>
  <si>
    <t xml:space="preserve">AAACGGTAGAGCCGGAAGAAACCG</t>
  </si>
  <si>
    <t xml:space="preserve">PSPPH_0464</t>
  </si>
  <si>
    <t xml:space="preserve">metW</t>
  </si>
  <si>
    <t xml:space="preserve">GATTTCCAGATCGGCTCTCA</t>
  </si>
  <si>
    <t xml:space="preserve">TAGTGATTTCCAGATCGGCTCTCA</t>
  </si>
  <si>
    <t xml:space="preserve">AAACTGAGAGCCGATCTGGAAATC</t>
  </si>
  <si>
    <t xml:space="preserve">TCGAGCACGCGGCTGCCCGC</t>
  </si>
  <si>
    <t xml:space="preserve">TAGTTCGAGCACGCGGCTGCCCGC</t>
  </si>
  <si>
    <t xml:space="preserve">AAACGCGGGCAGCCGCGTGCTCGA</t>
  </si>
  <si>
    <t xml:space="preserve">ATTCGCCGTCACCGCAGCCC</t>
  </si>
  <si>
    <t xml:space="preserve">TAGTATTCGCCGTCACCGCAGCCC</t>
  </si>
  <si>
    <t xml:space="preserve">AAACGGGCTGCGGTGACGGCGAAT</t>
  </si>
  <si>
    <t xml:space="preserve">CTGCTTGTGGTCACGCAGCC</t>
  </si>
  <si>
    <t xml:space="preserve">TAGTCTGCTTGTGGTCACGCAGCC</t>
  </si>
  <si>
    <t xml:space="preserve">AAACGGCTGCGTGACCACAAGCAG</t>
  </si>
  <si>
    <t xml:space="preserve">PSPPH_0465</t>
  </si>
  <si>
    <t xml:space="preserve">metX</t>
  </si>
  <si>
    <t xml:space="preserve">GAATCGTGAGGGAATACCGT</t>
  </si>
  <si>
    <t xml:space="preserve">TAGTGAATCGTGAGGGAATACCGT</t>
  </si>
  <si>
    <t xml:space="preserve">AAACACGGTATTCCCTCACGATTC</t>
  </si>
  <si>
    <t xml:space="preserve">TCGCTGAAGTGCGCCGTCTG</t>
  </si>
  <si>
    <t xml:space="preserve">TAGTTCGCTGAAGTGCGCCGTCTG</t>
  </si>
  <si>
    <t xml:space="preserve">AAACCAGACGGCGCACTTCAGCGA</t>
  </si>
  <si>
    <t xml:space="preserve">CGACCGCACGCCAGCGCCAG</t>
  </si>
  <si>
    <t xml:space="preserve">TAGTCGACCGCACGCCAGCGCCAG</t>
  </si>
  <si>
    <t xml:space="preserve">AAACCTGGCGCTGGCGTGCGGTCG</t>
  </si>
  <si>
    <t xml:space="preserve">TCGTAAATCAGGTCATAGGC</t>
  </si>
  <si>
    <t xml:space="preserve">TAGTTCGTAAATCAGGTCATAGGC</t>
  </si>
  <si>
    <t xml:space="preserve">AAACGCCTATGACCTGATTTACGA</t>
  </si>
  <si>
    <t xml:space="preserve">PSPPH_0466</t>
  </si>
  <si>
    <t xml:space="preserve">TTGCAGGACGTAAATTGCAG</t>
  </si>
  <si>
    <t xml:space="preserve">TAGTTTGCAGGACGTAAATTGCAG</t>
  </si>
  <si>
    <t xml:space="preserve">AAACCTGCAATTTACGTCCTGCAA</t>
  </si>
  <si>
    <t xml:space="preserve">GCACAGCGGGTTGTAGAAAT</t>
  </si>
  <si>
    <t xml:space="preserve">TAGTGCACAGCGGGTTGTAGAAAT</t>
  </si>
  <si>
    <t xml:space="preserve">AAACATTTCTACAACCCGCTGTGC</t>
  </si>
  <si>
    <t xml:space="preserve">GGGTGGCGCGCACGATGAAC</t>
  </si>
  <si>
    <t xml:space="preserve">TAGTGGGTGGCGCGCACGATGAAC</t>
  </si>
  <si>
    <t xml:space="preserve">AAACGTTCATCGTGCGCGCCACCC</t>
  </si>
  <si>
    <t xml:space="preserve">CAGCGGCTTGAGCAGCGGCT</t>
  </si>
  <si>
    <t xml:space="preserve">TAGTCAGCGGCTTGAGCAGCGGCT</t>
  </si>
  <si>
    <t xml:space="preserve">AAACAGCCGCTGCTCAAGCCGCTG</t>
  </si>
  <si>
    <t xml:space="preserve">PSPPH_0467</t>
  </si>
  <si>
    <t xml:space="preserve">proC</t>
  </si>
  <si>
    <t xml:space="preserve">TGAAGGGGTCCTTATGGGGA</t>
  </si>
  <si>
    <t xml:space="preserve">TAGTTGAAGGGGTCCTTATGGGGA</t>
  </si>
  <si>
    <t xml:space="preserve">AAACTCCCCATAAGGACCCCTTCA</t>
  </si>
  <si>
    <t xml:space="preserve">CATGTTTCCGGCACCGACGA</t>
  </si>
  <si>
    <t xml:space="preserve">TAGTCATGTTTCCGGCACCGACGA</t>
  </si>
  <si>
    <t xml:space="preserve">AAACTCGTCGGTGCCGGAAACATG</t>
  </si>
  <si>
    <t xml:space="preserve">GGGCGCGCATGCCGCCGATC</t>
  </si>
  <si>
    <t xml:space="preserve">TAGTGGGCGCGCATGCCGCCGATC</t>
  </si>
  <si>
    <t xml:space="preserve">AAACGATCGGCGGCATGCGCGCCC</t>
  </si>
  <si>
    <t xml:space="preserve">CAGTGCCGCGTCCACGCCTT</t>
  </si>
  <si>
    <t xml:space="preserve">TAGTCAGTGCCGCGTCCACGCCTT</t>
  </si>
  <si>
    <t xml:space="preserve">AAACAAGGCGTGGACGCGGCACTG</t>
  </si>
  <si>
    <t xml:space="preserve">PSPPH_0468</t>
  </si>
  <si>
    <t xml:space="preserve">TGAAATGTTCGCTGCTATCG</t>
  </si>
  <si>
    <t xml:space="preserve">TAGTTGAAATGTTCGCTGCTATCG</t>
  </si>
  <si>
    <t xml:space="preserve">AAACCGATAGCAGCGAACATTTCA</t>
  </si>
  <si>
    <t xml:space="preserve">CGGTTCGCGGTTGGCGGCGA</t>
  </si>
  <si>
    <t xml:space="preserve">TAGTCGGTTCGCGGTTGGCGGCGA</t>
  </si>
  <si>
    <t xml:space="preserve">AAACTCGCCGCCAACCGCGAACCG</t>
  </si>
  <si>
    <t xml:space="preserve">GCCAGCAGGCCGACGGACGC</t>
  </si>
  <si>
    <t xml:space="preserve">TAGTGCCAGCAGGCCGACGGACGC</t>
  </si>
  <si>
    <t xml:space="preserve">AAACGCGTCCGTCGGCCTGCTGGC</t>
  </si>
  <si>
    <t xml:space="preserve">ACGCAAGTCGCCGGCGGGCT</t>
  </si>
  <si>
    <t xml:space="preserve">TAGTACGCAAGTCGCCGGCGGGCT</t>
  </si>
  <si>
    <t xml:space="preserve">AAACAGCCCGCCGGCGACTTGCGT</t>
  </si>
  <si>
    <t xml:space="preserve">PSPPH_0469</t>
  </si>
  <si>
    <t xml:space="preserve">GGCACTGAAGGCCAGCAGCT</t>
  </si>
  <si>
    <t xml:space="preserve">TAGTGGCACTGAAGGCCAGCAGCT</t>
  </si>
  <si>
    <t xml:space="preserve">AAACAGCTGCTGGCCTTCAGTGCC</t>
  </si>
  <si>
    <t xml:space="preserve">CAAGTCCGACGCGCCCTGTT</t>
  </si>
  <si>
    <t xml:space="preserve">TAGTCAAGTCCGACGCGCCCTGTT</t>
  </si>
  <si>
    <t xml:space="preserve">AAACAACAGGGCGCGTCGGACTTG</t>
  </si>
  <si>
    <t xml:space="preserve">TCGGTGGCAGACCTGCAGAG</t>
  </si>
  <si>
    <t xml:space="preserve">TAGTTCGGTGGCAGACCTGCAGAG</t>
  </si>
  <si>
    <t xml:space="preserve">AAACCTCTGCAGGTCTGCCACCGA</t>
  </si>
  <si>
    <t xml:space="preserve">GCCGCACATCGCCGTCGACG</t>
  </si>
  <si>
    <t xml:space="preserve">TAGTGCCGCACATCGCCGTCGACG</t>
  </si>
  <si>
    <t xml:space="preserve">AAACCGTCGACGGCGATGTGCGGC</t>
  </si>
  <si>
    <t xml:space="preserve">PSPPH_0470</t>
  </si>
  <si>
    <t xml:space="preserve">GTGTGCCATACGTCGGAAGA</t>
  </si>
  <si>
    <t xml:space="preserve">TAGTGTGTGCCATACGTCGGAAGA</t>
  </si>
  <si>
    <t xml:space="preserve">AAACTCTTCCGACGTATGGCACAC</t>
  </si>
  <si>
    <t xml:space="preserve">CTTTAACGACAAGGGCTTGG</t>
  </si>
  <si>
    <t xml:space="preserve">TAGTCTTTAACGACAAGGGCTTGG</t>
  </si>
  <si>
    <t xml:space="preserve">AAACCCAAGCCCTTGTCGTTAAAG</t>
  </si>
  <si>
    <t xml:space="preserve">ATTTGTCGAGCGCATCACAC</t>
  </si>
  <si>
    <t xml:space="preserve">TAGTATTTGTCGAGCGCATCACAC</t>
  </si>
  <si>
    <t xml:space="preserve">AAACGTGTGATGCGCTCGACAAAT</t>
  </si>
  <si>
    <t xml:space="preserve">CAACTTTATAACAGCTTTTT</t>
  </si>
  <si>
    <t xml:space="preserve">TAGTCAACTTTATAACAGCTTTTT</t>
  </si>
  <si>
    <t xml:space="preserve">AAACAAAAAGCTGTTATAAAGTTG</t>
  </si>
  <si>
    <t xml:space="preserve">PSPPH_0471</t>
  </si>
  <si>
    <t xml:space="preserve">GCTGTGCGTGTCCGAACGAT</t>
  </si>
  <si>
    <t xml:space="preserve">TAGTGCTGTGCGTGTCCGAACGAT</t>
  </si>
  <si>
    <t xml:space="preserve">AAACATCGTTCGGACACGCACAGC</t>
  </si>
  <si>
    <t xml:space="preserve">GGAACCCGAAAATCCACATC</t>
  </si>
  <si>
    <t xml:space="preserve">TAGTGGAACCCGAAAATCCACATC</t>
  </si>
  <si>
    <t xml:space="preserve">AAACGATGTGGATTTTCGGGTTCC</t>
  </si>
  <si>
    <t xml:space="preserve">AGTAAAAGCGATGCGCCCCC</t>
  </si>
  <si>
    <t xml:space="preserve">TAGTAGTAAAAGCGATGCGCCCCC</t>
  </si>
  <si>
    <t xml:space="preserve">AAACGGGGGCGCATCGCTTTTACT</t>
  </si>
  <si>
    <t xml:space="preserve">AACCAGAGGGTCCCGGTCAC</t>
  </si>
  <si>
    <t xml:space="preserve">TAGTAACCAGAGGGTCCCGGTCAC</t>
  </si>
  <si>
    <t xml:space="preserve">AAACGTGACCGGGACCCTCTGGTT</t>
  </si>
  <si>
    <t xml:space="preserve">PSPPH_0472</t>
  </si>
  <si>
    <t xml:space="preserve">GGTCGATGACGCGAGCGCCG</t>
  </si>
  <si>
    <t xml:space="preserve">TAGTGGTCGATGACGCGAGCGCCG</t>
  </si>
  <si>
    <t xml:space="preserve">AAACCGGCGCTCGCGTCATCGACC</t>
  </si>
  <si>
    <t xml:space="preserve">CCTGATCCATCCCGCTGACC</t>
  </si>
  <si>
    <t xml:space="preserve">TAGTCCTGATCCATCCCGCTGACC</t>
  </si>
  <si>
    <t xml:space="preserve">AAACGGTCAGCGGGATGGATCAGG</t>
  </si>
  <si>
    <t xml:space="preserve">GCTTGCCTGCTTCAACATGC</t>
  </si>
  <si>
    <t xml:space="preserve">TAGTGCTTGCCTGCTTCAACATGC</t>
  </si>
  <si>
    <t xml:space="preserve">AAACGCATGTTGAAGCAGGCAAGC</t>
  </si>
  <si>
    <t xml:space="preserve">CTCCGGGGCGGCACCGATAG</t>
  </si>
  <si>
    <t xml:space="preserve">TAGTCTCCGGGGCGGCACCGATAG</t>
  </si>
  <si>
    <t xml:space="preserve">AAACCTATCGGTGCCGCCCCGGAG</t>
  </si>
  <si>
    <t xml:space="preserve">PSPPH_0473</t>
  </si>
  <si>
    <t xml:space="preserve">pyrB</t>
  </si>
  <si>
    <t xml:space="preserve">AGCGGGCGCTTGGCGTCGAG</t>
  </si>
  <si>
    <t xml:space="preserve">TAGTAGCGGGCGCTTGGCGTCGAG</t>
  </si>
  <si>
    <t xml:space="preserve">AAACCTCGACGCCAAGCGCCCGCT</t>
  </si>
  <si>
    <t xml:space="preserve">AATGGCGCAGCTGGCCCTGG</t>
  </si>
  <si>
    <t xml:space="preserve">TAGTAATGGCGCAGCTGGCCCTGG</t>
  </si>
  <si>
    <t xml:space="preserve">AAACCCAGGGCCAGCTGCGCCATT</t>
  </si>
  <si>
    <t xml:space="preserve">ATTTCGGTAAGCAGCTCGCG</t>
  </si>
  <si>
    <t xml:space="preserve">TAGTATTTCGGTAAGCAGCTCGCG</t>
  </si>
  <si>
    <t xml:space="preserve">AAACCGCGAGCTGCTTACCGAAAT</t>
  </si>
  <si>
    <t xml:space="preserve">GACTTCAAGGAACGAGTCAG</t>
  </si>
  <si>
    <t xml:space="preserve">TAGTGACTTCAAGGAACGAGTCAG</t>
  </si>
  <si>
    <t xml:space="preserve">AAACCTGACTCGTTCCTTGAAGTC</t>
  </si>
  <si>
    <t xml:space="preserve">PSPPH_0474</t>
  </si>
  <si>
    <t xml:space="preserve">pyrR</t>
  </si>
  <si>
    <t xml:space="preserve">TCAATTCGGCGGGATCGGGC</t>
  </si>
  <si>
    <t xml:space="preserve">TAGTTCAATTCGGCGGGATCGGGC</t>
  </si>
  <si>
    <t xml:space="preserve">AAACGCCCGATCCCGCCGAATTGA</t>
  </si>
  <si>
    <t xml:space="preserve">CAGGTGAGCGTTCAGGTCAG</t>
  </si>
  <si>
    <t xml:space="preserve">TAGTCAGGTGAGCGTTCAGGTCAG</t>
  </si>
  <si>
    <t xml:space="preserve">AAACCTGACCTGAACGCTCACCTG</t>
  </si>
  <si>
    <t xml:space="preserve">TGCGGATACCAATGAAACGA</t>
  </si>
  <si>
    <t xml:space="preserve">TAGTTGCGGATACCAATGAAACGA</t>
  </si>
  <si>
    <t xml:space="preserve">AAACTCGTTTCATTGGTATCCGCA</t>
  </si>
  <si>
    <t xml:space="preserve">CAGTGCCTTGAGCAGCGCCT</t>
  </si>
  <si>
    <t xml:space="preserve">TAGTCAGTGCCTTGAGCAGCGCCT</t>
  </si>
  <si>
    <t xml:space="preserve">AAACAGGCGCTGCTCAAGGCACTG</t>
  </si>
  <si>
    <t xml:space="preserve">PSPPH_0475</t>
  </si>
  <si>
    <t xml:space="preserve">CCCCAGCAGCAGCCGTAAAG</t>
  </si>
  <si>
    <t xml:space="preserve">TAGTCCCCAGCAGCAGCCGTAAAG</t>
  </si>
  <si>
    <t xml:space="preserve">AAACCTTTACGGCTGCTGCTGGGG</t>
  </si>
  <si>
    <t xml:space="preserve">GACCGCAACGCCGATCTGTT</t>
  </si>
  <si>
    <t xml:space="preserve">TAGTGACCGCAACGCCGATCTGTT</t>
  </si>
  <si>
    <t xml:space="preserve">AAACAACAGATCGGCGTTGCGGTC</t>
  </si>
  <si>
    <t xml:space="preserve">TTCACGTGCCTGACCGGTAA</t>
  </si>
  <si>
    <t xml:space="preserve">TAGTTTCACGTGCCTGACCGGTAA</t>
  </si>
  <si>
    <t xml:space="preserve">AAACTTACCGGTCAGGCACGTGAA</t>
  </si>
  <si>
    <t xml:space="preserve">AGGCCGACCACGATGGCGTC</t>
  </si>
  <si>
    <t xml:space="preserve">TAGTAGGCCGACCACGATGGCGTC</t>
  </si>
  <si>
    <t xml:space="preserve">AAACGACGCCATCGTGGTCGGCCT</t>
  </si>
  <si>
    <t xml:space="preserve">PSPPH_0476</t>
  </si>
  <si>
    <t xml:space="preserve">CTGGTGCTTTAGATAACTCG</t>
  </si>
  <si>
    <t xml:space="preserve">TAGTCTGGTGCTTTAGATAACTCG</t>
  </si>
  <si>
    <t xml:space="preserve">AAACCGAGTTATCTAAAGCACCAG</t>
  </si>
  <si>
    <t xml:space="preserve">CTCGTCGTGCATGTGCGGCA</t>
  </si>
  <si>
    <t xml:space="preserve">TAGTCTCGTCGTGCATGTGCGGCA</t>
  </si>
  <si>
    <t xml:space="preserve">AAACTGCCGCACATGCACGACGAG</t>
  </si>
  <si>
    <t xml:space="preserve">GTGCTCGACAACGTAGGTCA</t>
  </si>
  <si>
    <t xml:space="preserve">TAGTGTGCTCGACAACGTAGGTCA</t>
  </si>
  <si>
    <t xml:space="preserve">AAACTGACCTACGTTGTCGAGCAC</t>
  </si>
  <si>
    <t xml:space="preserve">CACCAGCCCCATTGCGCCAT</t>
  </si>
  <si>
    <t xml:space="preserve">TAGTCACCAGCCCCATTGCGCCAT</t>
  </si>
  <si>
    <t xml:space="preserve">AAACATGGCGCAATGGGGCTGGTG</t>
  </si>
  <si>
    <t xml:space="preserve">PSPPH_0477</t>
  </si>
  <si>
    <t xml:space="preserve">GGGAAGGTCGTTTCTGGCCA</t>
  </si>
  <si>
    <t xml:space="preserve">TAGTGGGAAGGTCGTTTCTGGCCA</t>
  </si>
  <si>
    <t xml:space="preserve">AAACTGGCCAGAAACGACCTTCCC</t>
  </si>
  <si>
    <t xml:space="preserve">CCCACATTGGCGAGTTCGAG</t>
  </si>
  <si>
    <t xml:space="preserve">TAGTCCCACATTGGCGAGTTCGAG</t>
  </si>
  <si>
    <t xml:space="preserve">AAACCTCGAACTCGCCAATGTGGG</t>
  </si>
  <si>
    <t xml:space="preserve">GTAAAGCCCAGGCGATCGGC</t>
  </si>
  <si>
    <t xml:space="preserve">TAGTGTAAAGCCCAGGCGATCGGC</t>
  </si>
  <si>
    <t xml:space="preserve">AAACGCCGATCGCCTGGGCTTTAC</t>
  </si>
  <si>
    <t xml:space="preserve">CGCCAAGGATCACCGCGAGG</t>
  </si>
  <si>
    <t xml:space="preserve">TAGTCGCCAAGGATCACCGCGAGG</t>
  </si>
  <si>
    <t xml:space="preserve">AAACCCTCGCGGTGATCCTTGGCG</t>
  </si>
  <si>
    <t xml:space="preserve">PSPPH_0478</t>
  </si>
  <si>
    <t xml:space="preserve">gshB</t>
  </si>
  <si>
    <t xml:space="preserve">ATCCCTAGGCGAACGCTCAT</t>
  </si>
  <si>
    <t xml:space="preserve">TAGTATCCCTAGGCGAACGCTCAT</t>
  </si>
  <si>
    <t xml:space="preserve">AAACATGAGCGTTCGCCTAGGGAT</t>
  </si>
  <si>
    <t xml:space="preserve">TATAGGAAATGCGCTCAATG</t>
  </si>
  <si>
    <t xml:space="preserve">TAGTTATAGGAAATGCGCTCAATG</t>
  </si>
  <si>
    <t xml:space="preserve">AAACCATTGAGCGCATTTCCTATA</t>
  </si>
  <si>
    <t xml:space="preserve">TTCCTGTGCGGCAAGGAGCA</t>
  </si>
  <si>
    <t xml:space="preserve">TAGTTTCCTGTGCGGCAAGGAGCA</t>
  </si>
  <si>
    <t xml:space="preserve">AAACTGCTCCTTGCCGCACAGGAA</t>
  </si>
  <si>
    <t xml:space="preserve">CCTGGCCAGCGTCCTGATAC</t>
  </si>
  <si>
    <t xml:space="preserve">TAGTCCTGGCCAGCGTCCTGATAC</t>
  </si>
  <si>
    <t xml:space="preserve">AAACGTATCAGGACGCTGGCCAGG</t>
  </si>
  <si>
    <t xml:space="preserve">PSPPH_0479</t>
  </si>
  <si>
    <t xml:space="preserve">pilG</t>
  </si>
  <si>
    <t xml:space="preserve">GACCATGACTTTCAAGGCGG</t>
  </si>
  <si>
    <t xml:space="preserve">TAGTGACCATGACTTTCAAGGCGG</t>
  </si>
  <si>
    <t xml:space="preserve">AAACCCGCCTTGAAAGTCATGGTC</t>
  </si>
  <si>
    <t xml:space="preserve">TGTTTCGGCGGTGCGGCGAA</t>
  </si>
  <si>
    <t xml:space="preserve">TAGTTGTTTCGGCGGTGCGGCGAA</t>
  </si>
  <si>
    <t xml:space="preserve">AAACTTCGCCGCACCGCCGAAACA</t>
  </si>
  <si>
    <t xml:space="preserve">TGGGTGGTTATCGGCAATCT</t>
  </si>
  <si>
    <t xml:space="preserve">TAGTTGGGTGGTTATCGGCAATCT</t>
  </si>
  <si>
    <t xml:space="preserve">AAACAGATTGCCGATAACCACCCA</t>
  </si>
  <si>
    <t xml:space="preserve">ATATCTACGAATATGATTCG</t>
  </si>
  <si>
    <t xml:space="preserve">TAGTATATCTACGAATATGATTCG</t>
  </si>
  <si>
    <t xml:space="preserve">AAACCGAATCATATTCGTAGATAT</t>
  </si>
  <si>
    <t xml:space="preserve">PSPPH_0480</t>
  </si>
  <si>
    <t xml:space="preserve">pilH</t>
  </si>
  <si>
    <t xml:space="preserve">ACGATCAATATTCGAGCCAT</t>
  </si>
  <si>
    <t xml:space="preserve">TAGTACGATCAATATTCGAGCCAT</t>
  </si>
  <si>
    <t xml:space="preserve">AAACATGGCTCGAATATTGATCGT</t>
  </si>
  <si>
    <t xml:space="preserve">GTGAGTTTGTACATTTCAGT</t>
  </si>
  <si>
    <t xml:space="preserve">TAGTGTGAGTTTGTACATTTCAGT</t>
  </si>
  <si>
    <t xml:space="preserve">AAACACTGAAATGTACAAACTCAC</t>
  </si>
  <si>
    <t xml:space="preserve">ACCGTGCTTTTCCAGCATGC</t>
  </si>
  <si>
    <t xml:space="preserve">TAGTACCGTGCTTTTCCAGCATGC</t>
  </si>
  <si>
    <t xml:space="preserve">AAACGCATGCTGGAAAAGCACGGT</t>
  </si>
  <si>
    <t xml:space="preserve">CACGCCATCAGCGCCATTTT</t>
  </si>
  <si>
    <t xml:space="preserve">TAGTCACGCCATCAGCGCCATTTT</t>
  </si>
  <si>
    <t xml:space="preserve">AAACAAAATGGCGCTGATGGCGTG</t>
  </si>
  <si>
    <t xml:space="preserve">PSPPH_0481</t>
  </si>
  <si>
    <t xml:space="preserve">pilI</t>
  </si>
  <si>
    <t xml:space="preserve">GGCAGTACGTGGCTCGGCCA</t>
  </si>
  <si>
    <t xml:space="preserve">TAGTGGCAGTACGTGGCTCGGCCA</t>
  </si>
  <si>
    <t xml:space="preserve">AAACTGGCCGAGCCACGTACTGCC</t>
  </si>
  <si>
    <t xml:space="preserve">CATATCAAGAAGCAGTTCAA</t>
  </si>
  <si>
    <t xml:space="preserve">TAGTCATATCAAGAAGCAGTTCAA</t>
  </si>
  <si>
    <t xml:space="preserve">AAACTTGAACTGCTTCTTGATATG</t>
  </si>
  <si>
    <t xml:space="preserve">GATGAGCTTCCTGCAGCGGC</t>
  </si>
  <si>
    <t xml:space="preserve">TAGTGATGAGCTTCCTGCAGCGGC</t>
  </si>
  <si>
    <t xml:space="preserve">AAACGCCGCTGCAGGAAGCTCATC</t>
  </si>
  <si>
    <t xml:space="preserve">CGAAGCGCTGCTCACCCATC</t>
  </si>
  <si>
    <t xml:space="preserve">TAGTCGAAGCGCTGCTCACCCATC</t>
  </si>
  <si>
    <t xml:space="preserve">AAACGATGGGTGAGCAGCGCTTCG</t>
  </si>
  <si>
    <t xml:space="preserve">PSPPH_0482</t>
  </si>
  <si>
    <t xml:space="preserve">pilJ</t>
  </si>
  <si>
    <t xml:space="preserve">ACAGCAGAATAATCTGCGTC</t>
  </si>
  <si>
    <t xml:space="preserve">TAGTACAGCAGAATAATCTGCGTC</t>
  </si>
  <si>
    <t xml:space="preserve">AAACGACGCAGATTATTCTGCTGT</t>
  </si>
  <si>
    <t xml:space="preserve">AGTGTTGAGATAGGCGAAGT</t>
  </si>
  <si>
    <t xml:space="preserve">TAGTAGTGTTGAGATAGGCGAAGT</t>
  </si>
  <si>
    <t xml:space="preserve">AAACACTTCGCCTATCTCAACACT</t>
  </si>
  <si>
    <t xml:space="preserve">GGCGTTTTTCGCGATGCGCT</t>
  </si>
  <si>
    <t xml:space="preserve">TAGTGGCGTTTTTCGCGATGCGCT</t>
  </si>
  <si>
    <t xml:space="preserve">AAACAGCGCATCGCGAAAAACGCC</t>
  </si>
  <si>
    <t xml:space="preserve">TTTACCGGCGGCCGCTTCGG</t>
  </si>
  <si>
    <t xml:space="preserve">TAGTTTTACCGGCGGCCGCTTCGG</t>
  </si>
  <si>
    <t xml:space="preserve">AAACCCGAAGCGGCCGCCGGTAAA</t>
  </si>
  <si>
    <t xml:space="preserve">PSPPH_0483</t>
  </si>
  <si>
    <t xml:space="preserve">TTCGCCCTTAAGCCATTCAA</t>
  </si>
  <si>
    <t xml:space="preserve">TAGTTTCGCCCTTAAGCCATTCAA</t>
  </si>
  <si>
    <t xml:space="preserve">AAACTTGAATGGCTTAAGGGCGAA</t>
  </si>
  <si>
    <t xml:space="preserve">GCGGGCCTGGCGCAGCGTTT</t>
  </si>
  <si>
    <t xml:space="preserve">TAGTGCGGGCCTGGCGCAGCGTTT</t>
  </si>
  <si>
    <t xml:space="preserve">AAACAAACGCTGCGCCAGGCCCGC</t>
  </si>
  <si>
    <t xml:space="preserve">GTTGGCCGGGTCTTCAATGA</t>
  </si>
  <si>
    <t xml:space="preserve">TAGTGTTGGCCGGGTCTTCAATGA</t>
  </si>
  <si>
    <t xml:space="preserve">AAACTCATTGAAGACCCGGCCAAC</t>
  </si>
  <si>
    <t xml:space="preserve">ATGCACCAGGTTCAGACATT</t>
  </si>
  <si>
    <t xml:space="preserve">TAGTATGCACCAGGTTCAGACATT</t>
  </si>
  <si>
    <t xml:space="preserve">AAACAATGTCTGAACCTGGTGCAT</t>
  </si>
  <si>
    <t xml:space="preserve">PSPPH_0484</t>
  </si>
  <si>
    <t xml:space="preserve">GGCTGGTCAGGCGACTGGTC</t>
  </si>
  <si>
    <t xml:space="preserve">TAGTGGCTGGTCAGGCGACTGGTC</t>
  </si>
  <si>
    <t xml:space="preserve">AAACGACCAGTCGCCTGACCAGCC</t>
  </si>
  <si>
    <t xml:space="preserve">ACGGCAACAGCAGGCCGGTA</t>
  </si>
  <si>
    <t xml:space="preserve">TAGTACGGCAACAGCAGGCCGGTA</t>
  </si>
  <si>
    <t xml:space="preserve">AAACTACCGGCCTGCTGTTGCCGT</t>
  </si>
  <si>
    <t xml:space="preserve">CGTTGGGCAGCAGCAAATGC</t>
  </si>
  <si>
    <t xml:space="preserve">TAGTCGTTGGGCAGCAGCAAATGC</t>
  </si>
  <si>
    <t xml:space="preserve">AAACGCATTTGCTGCTGCCCAACG</t>
  </si>
  <si>
    <t xml:space="preserve">GTCCTGATAGTCGATCAACT</t>
  </si>
  <si>
    <t xml:space="preserve">TAGTGTCCTGATAGTCGATCAACT</t>
  </si>
  <si>
    <t xml:space="preserve">AAACAGTTGATCGACTATCAGGAC</t>
  </si>
  <si>
    <t xml:space="preserve">PSPPH_0485</t>
  </si>
  <si>
    <t xml:space="preserve">CATCGCCCAGACGGGCAAAG</t>
  </si>
  <si>
    <t xml:space="preserve">TAGTCATCGCCCAGACGGGCAAAG</t>
  </si>
  <si>
    <t xml:space="preserve">AAACCTTTGCCCGTCTGGGCGATG</t>
  </si>
  <si>
    <t xml:space="preserve">GGGCTCAGACAGCACGGAGG</t>
  </si>
  <si>
    <t xml:space="preserve">TAGTGGGCTCAGACAGCACGGAGG</t>
  </si>
  <si>
    <t xml:space="preserve">AAACCCTCCGTGCTGTCTGAGCCC</t>
  </si>
  <si>
    <t xml:space="preserve">ACAAGCCGCGGCGTTTCGAT</t>
  </si>
  <si>
    <t xml:space="preserve">TAGTACAAGCCGCGGCGTTTCGAT</t>
  </si>
  <si>
    <t xml:space="preserve">AAACATCGAAACGCCGCGGCTTGT</t>
  </si>
  <si>
    <t xml:space="preserve">CCAGCAGTGCCAGCGCTGAC</t>
  </si>
  <si>
    <t xml:space="preserve">TAGTCCAGCAGTGCCAGCGCTGAC</t>
  </si>
  <si>
    <t xml:space="preserve">AAACGTCAGCGCTGGCACTGCTGG</t>
  </si>
  <si>
    <t xml:space="preserve">PSPPH_0486</t>
  </si>
  <si>
    <t xml:space="preserve">ATTCTCCAAGAGTACGGGGG</t>
  </si>
  <si>
    <t xml:space="preserve">TAGTATTCTCCAAGAGTACGGGGG</t>
  </si>
  <si>
    <t xml:space="preserve">AAACCCCCCGTACTCTTGGAGAAT</t>
  </si>
  <si>
    <t xml:space="preserve">TCTGCGAAGCTCTGTGGTGA</t>
  </si>
  <si>
    <t xml:space="preserve">TAGTTCTGCGAAGCTCTGTGGTGA</t>
  </si>
  <si>
    <t xml:space="preserve">AAACTCACCACAGAGCTTCGCAGA</t>
  </si>
  <si>
    <t xml:space="preserve">GCTTCCGAAAGGCGTTGACC</t>
  </si>
  <si>
    <t xml:space="preserve">TAGTGCTTCCGAAAGGCGTTGACC</t>
  </si>
  <si>
    <t xml:space="preserve">AAACGGTCAACGCCTTTCGGAAGC</t>
  </si>
  <si>
    <t xml:space="preserve">GCGGGAAATCTGCAGGCTTT</t>
  </si>
  <si>
    <t xml:space="preserve">TAGTGCGGGAAATCTGCAGGCTTT</t>
  </si>
  <si>
    <t xml:space="preserve">AAACAAAGCCTGCAGATTTCCCGC</t>
  </si>
  <si>
    <t xml:space="preserve">PSPPH_0487</t>
  </si>
  <si>
    <t xml:space="preserve">CTCATTGGCAGTCTGTGTCA</t>
  </si>
  <si>
    <t xml:space="preserve">TAGTCTCATTGGCAGTCTGTGTCA</t>
  </si>
  <si>
    <t xml:space="preserve">AAACTGACACAGACTGCCAATGAG</t>
  </si>
  <si>
    <t xml:space="preserve">CAATGAGGCGCGACGCGCCT</t>
  </si>
  <si>
    <t xml:space="preserve">TAGTCAATGAGGCGCGACGCGCCT</t>
  </si>
  <si>
    <t xml:space="preserve">AAACAGGCGCGTCGCGCCTCATTG</t>
  </si>
  <si>
    <t xml:space="preserve">GGTCGCCATCATGAAGATCG</t>
  </si>
  <si>
    <t xml:space="preserve">TAGTGGTCGCCATCATGAAGATCG</t>
  </si>
  <si>
    <t xml:space="preserve">AAACCGATCTTCATGATGGCGACC</t>
  </si>
  <si>
    <t xml:space="preserve">AAAGCCTGGGCCGATGGCAG</t>
  </si>
  <si>
    <t xml:space="preserve">TAGTAAAGCCTGGGCCGATGGCAG</t>
  </si>
  <si>
    <t xml:space="preserve">AAACCTGCCATCGGCCCAGGCTTT</t>
  </si>
  <si>
    <t xml:space="preserve">PSPPH_0488</t>
  </si>
  <si>
    <t xml:space="preserve">TCACTGTTGAGGTCTATTGC</t>
  </si>
  <si>
    <t xml:space="preserve">TAGTTCACTGTTGAGGTCTATTGC</t>
  </si>
  <si>
    <t xml:space="preserve">AAACGCAATAGACCTCAACAGTGA</t>
  </si>
  <si>
    <t xml:space="preserve">CTCGTCGTCGCCCATGCTCC</t>
  </si>
  <si>
    <t xml:space="preserve">TAGTCTCGTCGTCGCCCATGCTCC</t>
  </si>
  <si>
    <t xml:space="preserve">AAACGGAGCATGGGCGACGACGAG</t>
  </si>
  <si>
    <t xml:space="preserve">ATCGCCAGCATGAAAACCGC</t>
  </si>
  <si>
    <t xml:space="preserve">TAGTATCGCCAGCATGAAAACCGC</t>
  </si>
  <si>
    <t xml:space="preserve">AAACGCGGTTTTCATGCTGGCGAT</t>
  </si>
  <si>
    <t xml:space="preserve">AGGGTACGGAGGATGCCGGC</t>
  </si>
  <si>
    <t xml:space="preserve">TAGTAGGGTACGGAGGATGCCGGC</t>
  </si>
  <si>
    <t xml:space="preserve">AAACGCCGGCATCCTCCGTACCCT</t>
  </si>
  <si>
    <t xml:space="preserve">PSPPH_0490</t>
  </si>
  <si>
    <t xml:space="preserve">GGAGCGCGTCCAGGTTGGCC</t>
  </si>
  <si>
    <t xml:space="preserve">TAGTGGAGCGCGTCCAGGTTGGCC</t>
  </si>
  <si>
    <t xml:space="preserve">AAACGGCCAACCTGGACGCGCTCC</t>
  </si>
  <si>
    <t xml:space="preserve">CCAGGTTCGACAGTTCAACC</t>
  </si>
  <si>
    <t xml:space="preserve">TAGTCCAGGTTCGACAGTTCAACC</t>
  </si>
  <si>
    <t xml:space="preserve">AAACGGTTGAACTGTCGAACCTGG</t>
  </si>
  <si>
    <t xml:space="preserve">CTGCTGTAACGATTCGAACA</t>
  </si>
  <si>
    <t xml:space="preserve">TAGTCTGCTGTAACGATTCGAACA</t>
  </si>
  <si>
    <t xml:space="preserve">AAACTGTTCGAATCGTTACAGCAG</t>
  </si>
  <si>
    <t xml:space="preserve">ATTTCCTCCACGCCGAAAAT</t>
  </si>
  <si>
    <t xml:space="preserve">TAGTATTTCCTCCACGCCGAAAAT</t>
  </si>
  <si>
    <t xml:space="preserve">AAACATTTTCGGCGTGGAGGAAAT</t>
  </si>
  <si>
    <t xml:space="preserve">PSPPH_0491</t>
  </si>
  <si>
    <t xml:space="preserve">GCAGGCGCGGGCAATGCGCA</t>
  </si>
  <si>
    <t xml:space="preserve">TAGTGCAGGCGCGGGCAATGCGCA</t>
  </si>
  <si>
    <t xml:space="preserve">AAACTGCGCATTGCCCGCGCCTGC</t>
  </si>
  <si>
    <t xml:space="preserve">CCGAGGCAACCCCATAGTCA</t>
  </si>
  <si>
    <t xml:space="preserve">TAGTCCGAGGCAACCCCATAGTCA</t>
  </si>
  <si>
    <t xml:space="preserve">AAACTGACTATGGGGTTGCCTCGG</t>
  </si>
  <si>
    <t xml:space="preserve">GATATCGGCATCGGCATACA</t>
  </si>
  <si>
    <t xml:space="preserve">TAGTGATATCGGCATCGGCATACA</t>
  </si>
  <si>
    <t xml:space="preserve">AAACTGTATGCCGATGCCGATATC</t>
  </si>
  <si>
    <t xml:space="preserve">TTGCAGCCCGTAGGCTTCAT</t>
  </si>
  <si>
    <t xml:space="preserve">TAGTTTGCAGCCCGTAGGCTTCAT</t>
  </si>
  <si>
    <t xml:space="preserve">AAACATGAAGCCTACGGGCTGCAA</t>
  </si>
  <si>
    <t xml:space="preserve">PSPPH_0492</t>
  </si>
  <si>
    <t xml:space="preserve">CGCAGGGAAAACATAGACAC</t>
  </si>
  <si>
    <t xml:space="preserve">TAGTCGCAGGGAAAACATAGACAC</t>
  </si>
  <si>
    <t xml:space="preserve">AAACGTGTCTATGTTTTCCCTGCG</t>
  </si>
  <si>
    <t xml:space="preserve">AAACAGTGCGGCAGCACAAA</t>
  </si>
  <si>
    <t xml:space="preserve">TAGTAAACAGTGCGGCAGCACAAA</t>
  </si>
  <si>
    <t xml:space="preserve">AAACTTTGTGCTGCCGCACTGTTT</t>
  </si>
  <si>
    <t xml:space="preserve">CGAGCGCCGGGAAGGTGGAC</t>
  </si>
  <si>
    <t xml:space="preserve">TAGTCGAGCGCCGGGAAGGTGGAC</t>
  </si>
  <si>
    <t xml:space="preserve">AAACGTCCACCTTCCCGGCGCTCG</t>
  </si>
  <si>
    <t xml:space="preserve">ATCGCTGCTGGGCGGGTCGG</t>
  </si>
  <si>
    <t xml:space="preserve">TAGTATCGCTGCTGGGCGGGTCGG</t>
  </si>
  <si>
    <t xml:space="preserve">AAACCCGACCCGCCCAGCAGCGAT</t>
  </si>
  <si>
    <t xml:space="preserve">PSPPH_0493</t>
  </si>
  <si>
    <t xml:space="preserve">AAACTGAATTGAAGCGAGAG</t>
  </si>
  <si>
    <t xml:space="preserve">TAGTAAACTGAATTGAAGCGAGAG</t>
  </si>
  <si>
    <t xml:space="preserve">AAACCTCTCGCTTCAATTCAGTTT</t>
  </si>
  <si>
    <t xml:space="preserve">ATGGTGGTGGCGTCCAAGGG</t>
  </si>
  <si>
    <t xml:space="preserve">TAGTATGGTGGTGGCGTCCAAGGG</t>
  </si>
  <si>
    <t xml:space="preserve">AAACCCCTTGGACGCCACCACCAT</t>
  </si>
  <si>
    <t xml:space="preserve">GCAACGCGCCGACCAAGAAC</t>
  </si>
  <si>
    <t xml:space="preserve">TAGTGCAACGCGCCGACCAAGAAC</t>
  </si>
  <si>
    <t xml:space="preserve">AAACGTTCTTGGTCGGCGCGTTGC</t>
  </si>
  <si>
    <t xml:space="preserve">AGAGCTGACCAGGATGCTTG</t>
  </si>
  <si>
    <t xml:space="preserve">TAGTAGAGCTGACCAGGATGCTTG</t>
  </si>
  <si>
    <t xml:space="preserve">AAACCAAGCATCCTGGTCAGCTCT</t>
  </si>
  <si>
    <t xml:space="preserve">PSPPH_0494</t>
  </si>
  <si>
    <t xml:space="preserve">TTTAGGTATTTTCAGAGATT</t>
  </si>
  <si>
    <t xml:space="preserve">TAGTTTTAGGTATTTTCAGAGATT</t>
  </si>
  <si>
    <t xml:space="preserve">AAACAATCTCTGAAAATACCTAAA</t>
  </si>
  <si>
    <t xml:space="preserve">TTCACGCAGCAGTTGCTGAT</t>
  </si>
  <si>
    <t xml:space="preserve">TAGTTTCACGCAGCAGTTGCTGAT</t>
  </si>
  <si>
    <t xml:space="preserve">AAACATCAGCAACTGCTGCGTGAA</t>
  </si>
  <si>
    <t xml:space="preserve">AGGCCAGATCGTGCAGATCG</t>
  </si>
  <si>
    <t xml:space="preserve">TAGTAGGCCAGATCGTGCAGATCG</t>
  </si>
  <si>
    <t xml:space="preserve">AAACCGATCTGCACGATCTGGCCT</t>
  </si>
  <si>
    <t xml:space="preserve">GATCTTGCTGACTACGCTAT</t>
  </si>
  <si>
    <t xml:space="preserve">TAGTGATCTTGCTGACTACGCTAT</t>
  </si>
  <si>
    <t xml:space="preserve">AAACATAGCGTAGTCAGCAAGATC</t>
  </si>
  <si>
    <t xml:space="preserve">PSPPH_0495</t>
  </si>
  <si>
    <t xml:space="preserve">TGGGAACGGTCGGTGTCTTT</t>
  </si>
  <si>
    <t xml:space="preserve">TAGTTGGGAACGGTCGGTGTCTTT</t>
  </si>
  <si>
    <t xml:space="preserve">AAACAAAGACACCGACCGTTCCCA</t>
  </si>
  <si>
    <t xml:space="preserve">GACGCGAAGCGTCCAGAGCA</t>
  </si>
  <si>
    <t xml:space="preserve">TAGTGACGCGAAGCGTCCAGAGCA</t>
  </si>
  <si>
    <t xml:space="preserve">AAACTGCTCTGGACGCTTCGCGTC</t>
  </si>
  <si>
    <t xml:space="preserve">TGTGCGGGGGGTATCGAGAG</t>
  </si>
  <si>
    <t xml:space="preserve">TAGTTGTGCGGGGGGTATCGAGAG</t>
  </si>
  <si>
    <t xml:space="preserve">AAACCTCTCGATACCCCCCGCACA</t>
  </si>
  <si>
    <t xml:space="preserve">AGCAAGATTGATTCGGGTGA</t>
  </si>
  <si>
    <t xml:space="preserve">TAGTAGCAAGATTGATTCGGGTGA</t>
  </si>
  <si>
    <t xml:space="preserve">AAACTCACCCGAATCAATCTTGCT</t>
  </si>
  <si>
    <t xml:space="preserve">PSPPH_0496</t>
  </si>
  <si>
    <t xml:space="preserve">putA</t>
  </si>
  <si>
    <t xml:space="preserve">TTTGACGCCCAGAGTAGTGG</t>
  </si>
  <si>
    <t xml:space="preserve">TAGTTTTGACGCCCAGAGTAGTGG</t>
  </si>
  <si>
    <t xml:space="preserve">AAACCCACTACTCTGGGCGTCAAA</t>
  </si>
  <si>
    <t xml:space="preserve">CTTTCAATCGCTCGCGGGTC</t>
  </si>
  <si>
    <t xml:space="preserve">TAGTCTTTCAATCGCTCGCGGGTC</t>
  </si>
  <si>
    <t xml:space="preserve">AAACGACCCGCGAGCGATTGAAAG</t>
  </si>
  <si>
    <t xml:space="preserve">GCGGTCGATCGAATGGGCGG</t>
  </si>
  <si>
    <t xml:space="preserve">TAGTGCGGTCGATCGAATGGGCGG</t>
  </si>
  <si>
    <t xml:space="preserve">AAACCCGCCCATTCGATCGACCGC</t>
  </si>
  <si>
    <t xml:space="preserve">GCCTGCTTGATCAACCAGTG</t>
  </si>
  <si>
    <t xml:space="preserve">TAGTGCCTGCTTGATCAACCAGTG</t>
  </si>
  <si>
    <t xml:space="preserve">AAACCACTGGTTGATCAAGCAGGC</t>
  </si>
  <si>
    <t xml:space="preserve">PSPPH_0497</t>
  </si>
  <si>
    <t xml:space="preserve">putP</t>
  </si>
  <si>
    <t xml:space="preserve">AGGGAATAGCGACCGATATT</t>
  </si>
  <si>
    <t xml:space="preserve">TAGTAGGGAATAGCGACCGATATT</t>
  </si>
  <si>
    <t xml:space="preserve">AAACAATATCGGTCGCTATTCCCT</t>
  </si>
  <si>
    <t xml:space="preserve">ATGTTGGCACCCGATGCCAA</t>
  </si>
  <si>
    <t xml:space="preserve">TAGTATGTTGGCACCCGATGCCAA</t>
  </si>
  <si>
    <t xml:space="preserve">AAACTTGGCATCGGGTGCCAACAT</t>
  </si>
  <si>
    <t xml:space="preserve">GACACTCATGAGTTCTGCCT</t>
  </si>
  <si>
    <t xml:space="preserve">TAGTGACACTCATGAGTTCTGCCT</t>
  </si>
  <si>
    <t xml:space="preserve">AAACAGGCAGAACTCATGAGTGTC</t>
  </si>
  <si>
    <t xml:space="preserve">TCACAAACGTGATCAAGGTA</t>
  </si>
  <si>
    <t xml:space="preserve">TAGTTCACAAACGTGATCAAGGTA</t>
  </si>
  <si>
    <t xml:space="preserve">AAACTACCTTGATCACGTTTGTGA</t>
  </si>
  <si>
    <t xml:space="preserve">PSPPH_0498</t>
  </si>
  <si>
    <t xml:space="preserve">AGCCCACTGGAATGCTGAGT</t>
  </si>
  <si>
    <t xml:space="preserve">TAGTAGCCCACTGGAATGCTGAGT</t>
  </si>
  <si>
    <t xml:space="preserve">AAACACTCAGCATTCCAGTGGGCT</t>
  </si>
  <si>
    <t xml:space="preserve">GCGGTGGTAATGGTTTTGGG</t>
  </si>
  <si>
    <t xml:space="preserve">TAGTGCGGTGGTAATGGTTTTGGG</t>
  </si>
  <si>
    <t xml:space="preserve">AAACCCCAAAACCATTACCACCGC</t>
  </si>
  <si>
    <t xml:space="preserve">CACCGGAGACCAGAACACAA</t>
  </si>
  <si>
    <t xml:space="preserve">TAGTCACCGGAGACCAGAACACAA</t>
  </si>
  <si>
    <t xml:space="preserve">AAACTTGTGTTCTGGTCTCCGGTG</t>
  </si>
  <si>
    <t xml:space="preserve">AGCGTTTTCGGTTTTGGTCC</t>
  </si>
  <si>
    <t xml:space="preserve">TAGTAGCGTTTTCGGTTTTGGTCC</t>
  </si>
  <si>
    <t xml:space="preserve">AAACGGACCAAAACCGAAAACGCT</t>
  </si>
  <si>
    <t xml:space="preserve">PSPPH_0499</t>
  </si>
  <si>
    <t xml:space="preserve">GAGCCATCATGTGGCTGTGT</t>
  </si>
  <si>
    <t xml:space="preserve">TAGTGAGCCATCATGTGGCTGTGT</t>
  </si>
  <si>
    <t xml:space="preserve">AAACACACAGCCACATGATGGCTC</t>
  </si>
  <si>
    <t xml:space="preserve">ACATCGTCACCAGATTTTCC</t>
  </si>
  <si>
    <t xml:space="preserve">TAGTACATCGTCACCAGATTTTCC</t>
  </si>
  <si>
    <t xml:space="preserve">AAACGGAAAATCTGGTGACGATGT</t>
  </si>
  <si>
    <t xml:space="preserve">CTGACTGCCTCGCATTAGCC</t>
  </si>
  <si>
    <t xml:space="preserve">TAGTCTGACTGCCTCGCATTAGCC</t>
  </si>
  <si>
    <t xml:space="preserve">AAACGGCTAATGCGAGGCAGTCAG</t>
  </si>
  <si>
    <t xml:space="preserve">AAAGATAATCGGCGTCAGAC</t>
  </si>
  <si>
    <t xml:space="preserve">TAGTAAAGATAATCGGCGTCAGAC</t>
  </si>
  <si>
    <t xml:space="preserve">AAACGTCTGACGCCGATTATCTTT</t>
  </si>
  <si>
    <t xml:space="preserve">PSPPH_0500</t>
  </si>
  <si>
    <t xml:space="preserve">GCATGGCTGGCGGCAGTCAT</t>
  </si>
  <si>
    <t xml:space="preserve">TAGTGCATGGCTGGCGGCAGTCAT</t>
  </si>
  <si>
    <t xml:space="preserve">AAACATGACTGCCGCCAGCCATGC</t>
  </si>
  <si>
    <t xml:space="preserve">TAGGCCTGTAGGTATTTGAG</t>
  </si>
  <si>
    <t xml:space="preserve">TAGTTAGGCCTGTAGGTATTTGAG</t>
  </si>
  <si>
    <t xml:space="preserve">AAACCTCAAATACCTACAGGCCTA</t>
  </si>
  <si>
    <t xml:space="preserve">ACTTGATCCTGCAGGGTCTG</t>
  </si>
  <si>
    <t xml:space="preserve">TAGTACTTGATCCTGCAGGGTCTG</t>
  </si>
  <si>
    <t xml:space="preserve">AAACCAGACCCTGCAGGATCAAGT</t>
  </si>
  <si>
    <t xml:space="preserve">ATAGCCCGCCAGACGGTTCT</t>
  </si>
  <si>
    <t xml:space="preserve">TAGTATAGCCCGCCAGACGGTTCT</t>
  </si>
  <si>
    <t xml:space="preserve">AAACAGAACCGTCTGGCGGGCTAT</t>
  </si>
  <si>
    <t xml:space="preserve">PSPPH_0501</t>
  </si>
  <si>
    <t xml:space="preserve">GCGGCGATAGAAACTGCTTT</t>
  </si>
  <si>
    <t xml:space="preserve">TAGTGCGGCGATAGAAACTGCTTT</t>
  </si>
  <si>
    <t xml:space="preserve">AAACAAAGCAGTTTCTATCGCCGC</t>
  </si>
  <si>
    <t xml:space="preserve">CAATCAGGTACGCCACGTAC</t>
  </si>
  <si>
    <t xml:space="preserve">TAGTCAATCAGGTACGCCACGTAC</t>
  </si>
  <si>
    <t xml:space="preserve">AAACGTACGTGGCGTACCTGATTG</t>
  </si>
  <si>
    <t xml:space="preserve">GGTCAGTTCGGGTACGCTGC</t>
  </si>
  <si>
    <t xml:space="preserve">TAGTGGTCAGTTCGGGTACGCTGC</t>
  </si>
  <si>
    <t xml:space="preserve">AAACGCAGCGTACCCGAACTGACC</t>
  </si>
  <si>
    <t xml:space="preserve">GCGTGGCATGCCGGTCGCGG</t>
  </si>
  <si>
    <t xml:space="preserve">TAGTGCGTGGCATGCCGGTCGCGG</t>
  </si>
  <si>
    <t xml:space="preserve">AAACCCGCGACCGGCATGCCACGC</t>
  </si>
  <si>
    <t xml:space="preserve">PSPPH_0502</t>
  </si>
  <si>
    <t xml:space="preserve">CAGCTGCTGGATGCTCAACT</t>
  </si>
  <si>
    <t xml:space="preserve">TAGTCAGCTGCTGGATGCTCAACT</t>
  </si>
  <si>
    <t xml:space="preserve">AAACAGTTGAGCATCCAGCAGCTG</t>
  </si>
  <si>
    <t xml:space="preserve">CTCGGCGCGCAGTTGCAGCA</t>
  </si>
  <si>
    <t xml:space="preserve">TAGTCTCGGCGCGCAGTTGCAGCA</t>
  </si>
  <si>
    <t xml:space="preserve">AAACTGCTGCAACTGCGCGCCGAG</t>
  </si>
  <si>
    <t xml:space="preserve">GGTGGCAGGTATCGCCCGTC</t>
  </si>
  <si>
    <t xml:space="preserve">TAGTGGTGGCAGGTATCGCCCGTC</t>
  </si>
  <si>
    <t xml:space="preserve">AAACGACGGGCGATACCTGCCACC</t>
  </si>
  <si>
    <t xml:space="preserve">TGTCTTCCTGCCAGGCCATC</t>
  </si>
  <si>
    <t xml:space="preserve">TAGTTGTCTTCCTGCCAGGCCATC</t>
  </si>
  <si>
    <t xml:space="preserve">AAACGATGGCCTGGCAGGAAGACA</t>
  </si>
  <si>
    <t xml:space="preserve">PSPPH_0503</t>
  </si>
  <si>
    <t xml:space="preserve">GCGCAGTTTCTCGGCTGCAC</t>
  </si>
  <si>
    <t xml:space="preserve">TAGTGCGCAGTTTCTCGGCTGCAC</t>
  </si>
  <si>
    <t xml:space="preserve">AAACGTGCAGCCGAGAAACTGCGC</t>
  </si>
  <si>
    <t xml:space="preserve">GTGGCCAAGGGTCAGCGACG</t>
  </si>
  <si>
    <t xml:space="preserve">TAGTGTGGCCAAGGGTCAGCGACG</t>
  </si>
  <si>
    <t xml:space="preserve">AAACCGTCGCTGACCCTTGGCCAC</t>
  </si>
  <si>
    <t xml:space="preserve">AGCAGCAGCGCATCGGTAAA</t>
  </si>
  <si>
    <t xml:space="preserve">TAGTAGCAGCAGCGCATCGGTAAA</t>
  </si>
  <si>
    <t xml:space="preserve">AAACTTTACCGATGCGCTGCTGCT</t>
  </si>
  <si>
    <t xml:space="preserve">TAACGCCGTATTGACGATAT</t>
  </si>
  <si>
    <t xml:space="preserve">TAGTTAACGCCGTATTGACGATAT</t>
  </si>
  <si>
    <t xml:space="preserve">AAACATATCGTCAATACGGCGTTA</t>
  </si>
  <si>
    <t xml:space="preserve">PSPPH_0504</t>
  </si>
  <si>
    <t xml:space="preserve">yccS</t>
  </si>
  <si>
    <t xml:space="preserve">CGGAGAGATTTCGATGCCAT</t>
  </si>
  <si>
    <t xml:space="preserve">TAGTCGGAGAGATTTCGATGCCAT</t>
  </si>
  <si>
    <t xml:space="preserve">AAACATGGCATCGAAATCTCTCCG</t>
  </si>
  <si>
    <t xml:space="preserve">ACAATCGACGGAATGTATGA</t>
  </si>
  <si>
    <t xml:space="preserve">TAGTACAATCGACGGAATGTATGA</t>
  </si>
  <si>
    <t xml:space="preserve">AAACTCATACATTCCGTCGATTGT</t>
  </si>
  <si>
    <t xml:space="preserve">CCAGCACAGCGCCATGCTGC</t>
  </si>
  <si>
    <t xml:space="preserve">TAGTCCAGCACAGCGCCATGCTGC</t>
  </si>
  <si>
    <t xml:space="preserve">AAACGCAGCATGGCGCTGTGCTGG</t>
  </si>
  <si>
    <t xml:space="preserve">TCAGCAATGCCATCTCGTTT</t>
  </si>
  <si>
    <t xml:space="preserve">TAGTTCAGCAATGCCATCTCGTTT</t>
  </si>
  <si>
    <t xml:space="preserve">AAACAAACGAGATGGCATTGCTGA</t>
  </si>
  <si>
    <t xml:space="preserve">PSPPH_0505</t>
  </si>
  <si>
    <t xml:space="preserve">AGCGTGTTTCCTCAATCTGT</t>
  </si>
  <si>
    <t xml:space="preserve">TAGTAGCGTGTTTCCTCAATCTGT</t>
  </si>
  <si>
    <t xml:space="preserve">AAACACAGATTGAGGAAACACGCT</t>
  </si>
  <si>
    <t xml:space="preserve">ATGATTACAACGTCGGTAAC</t>
  </si>
  <si>
    <t xml:space="preserve">TAGTATGATTACAACGTCGGTAAC</t>
  </si>
  <si>
    <t xml:space="preserve">AAACGTTACCGACGTTGTAATCAT</t>
  </si>
  <si>
    <t xml:space="preserve">GAACGCACACATCAGACCAG</t>
  </si>
  <si>
    <t xml:space="preserve">TAGTGAACGCACACATCAGACCAG</t>
  </si>
  <si>
    <t xml:space="preserve">AAACCTGGTCTGATGTGTGCGTTC</t>
  </si>
  <si>
    <t xml:space="preserve">CCTGCGCCCGCGAGCGGCAG</t>
  </si>
  <si>
    <t xml:space="preserve">TAGTCCTGCGCCCGCGAGCGGCAG</t>
  </si>
  <si>
    <t xml:space="preserve">AAACCTGCCGCTCGCGGGCGCAGG</t>
  </si>
  <si>
    <t xml:space="preserve">PSPPH_0506</t>
  </si>
  <si>
    <t xml:space="preserve">dbpA</t>
  </si>
  <si>
    <t xml:space="preserve">AGCGGTGTTAGTCACGACGG</t>
  </si>
  <si>
    <t xml:space="preserve">TAGTAGCGGTGTTAGTCACGACGG</t>
  </si>
  <si>
    <t xml:space="preserve">AAACCCGTCGTGACTAACACCGCT</t>
  </si>
  <si>
    <t xml:space="preserve">CAGGTTAGCCAGCATGGCAG</t>
  </si>
  <si>
    <t xml:space="preserve">TAGTCAGGTTAGCCAGCATGGCAG</t>
  </si>
  <si>
    <t xml:space="preserve">AAACCTGCCATGCTGGCTAACCTG</t>
  </si>
  <si>
    <t xml:space="preserve">CGCCTGAATCGGTGTCATTT</t>
  </si>
  <si>
    <t xml:space="preserve">TAGTCGCCTGAATCGGTGTCATTT</t>
  </si>
  <si>
    <t xml:space="preserve">AAACAAATGACACCGATTCAGGCG</t>
  </si>
  <si>
    <t xml:space="preserve">TGCCCTTGAGGATCACCGGC</t>
  </si>
  <si>
    <t xml:space="preserve">TAGTTGCCCTTGAGGATCACCGGC</t>
  </si>
  <si>
    <t xml:space="preserve">AAACGCCGGTGATCCTCAAGGGCA</t>
  </si>
  <si>
    <t xml:space="preserve">PSPPH_0507</t>
  </si>
  <si>
    <t xml:space="preserve">aceF</t>
  </si>
  <si>
    <t xml:space="preserve">CCTTCACCGTTGCCGATGTC</t>
  </si>
  <si>
    <t xml:space="preserve">TAGTCCTTCACCGTTGCCGATGTC</t>
  </si>
  <si>
    <t xml:space="preserve">AAACGACATCGGCAACGGTGAAGG</t>
  </si>
  <si>
    <t xml:space="preserve">CAGCGTCAGAATGCTCTGGT</t>
  </si>
  <si>
    <t xml:space="preserve">TAGTCAGCGTCAGAATGCTCTGGT</t>
  </si>
  <si>
    <t xml:space="preserve">AAACACCAGAGCATTCTGACGCTG</t>
  </si>
  <si>
    <t xml:space="preserve">TGACGCCAGCCTTGGGAGCA</t>
  </si>
  <si>
    <t xml:space="preserve">TAGTTGACGCCAGCCTTGGGAGCA</t>
  </si>
  <si>
    <t xml:space="preserve">AAACTGCTCCCAAGGCTGGCGTCA</t>
  </si>
  <si>
    <t xml:space="preserve">GTCGCCCAGCTTGACCTTCA</t>
  </si>
  <si>
    <t xml:space="preserve">TAGTGTCGCCCAGCTTGACCTTCA</t>
  </si>
  <si>
    <t xml:space="preserve">AAACTGAAGGTCAAGCTGGGCGAC</t>
  </si>
  <si>
    <t xml:space="preserve">PSPPH_0508</t>
  </si>
  <si>
    <t xml:space="preserve">aceE1</t>
  </si>
  <si>
    <t xml:space="preserve">CCTGGGTTTCGACGGGATCG</t>
  </si>
  <si>
    <t xml:space="preserve">TAGTCCTGGGTTTCGACGGGATCG</t>
  </si>
  <si>
    <t xml:space="preserve">AAACCGATCCCGTCGAAACCCAGG</t>
  </si>
  <si>
    <t xml:space="preserve">TTTGTCGAGAACCGATTCCA</t>
  </si>
  <si>
    <t xml:space="preserve">TAGTTTTGTCGAGAACCGATTCCA</t>
  </si>
  <si>
    <t xml:space="preserve">AAACTGGAATCGGTTCTCGACAAA</t>
  </si>
  <si>
    <t xml:space="preserve">GGGTCATCAGGTAGTGAGCG</t>
  </si>
  <si>
    <t xml:space="preserve">TAGTGGGTCATCAGGTAGTGAGCG</t>
  </si>
  <si>
    <t xml:space="preserve">AAACCGCTCACTACCTGATGACCC</t>
  </si>
  <si>
    <t xml:space="preserve">GGTGGCCAGCTCGCCCAAAC</t>
  </si>
  <si>
    <t xml:space="preserve">TAGTGGTGGCCAGCTCGCCCAAAC</t>
  </si>
  <si>
    <t xml:space="preserve">AAACGTTTGGGCGAGCTGGCCACC</t>
  </si>
  <si>
    <t xml:space="preserve">PSPPH_0509</t>
  </si>
  <si>
    <t xml:space="preserve">glnE</t>
  </si>
  <si>
    <t xml:space="preserve">AGCCAGTAAAGGTAGGCTCA</t>
  </si>
  <si>
    <t xml:space="preserve">TAGTAGCCAGTAAAGGTAGGCTCA</t>
  </si>
  <si>
    <t xml:space="preserve">AAACTGAGCCTACCTTTACTGGCT</t>
  </si>
  <si>
    <t xml:space="preserve">ATCAATGGCAGCAGAATGGC</t>
  </si>
  <si>
    <t xml:space="preserve">TAGTATCAATGGCAGCAGAATGGC</t>
  </si>
  <si>
    <t xml:space="preserve">AAACGCCATTCTGCTGCCATTGAT</t>
  </si>
  <si>
    <t xml:space="preserve">CTGGAACGTCTGGCGGGCAC</t>
  </si>
  <si>
    <t xml:space="preserve">TAGTCTGGAACGTCTGGCGGGCAC</t>
  </si>
  <si>
    <t xml:space="preserve">AAACGTGCCCGCCAGACGTTCCAG</t>
  </si>
  <si>
    <t xml:space="preserve">CGCTGACAAAGCAGTGAGCG</t>
  </si>
  <si>
    <t xml:space="preserve">TAGTCGCTGACAAAGCAGTGAGCG</t>
  </si>
  <si>
    <t xml:space="preserve">AAACCGCTCACTGCTTTGTCAGCG</t>
  </si>
  <si>
    <t xml:space="preserve">PSPPH_0510</t>
  </si>
  <si>
    <t xml:space="preserve">rfaF</t>
  </si>
  <si>
    <t xml:space="preserve">ACCATGTCACCGACCCAGCT</t>
  </si>
  <si>
    <t xml:space="preserve">TAGTACCATGTCACCGACCCAGCT</t>
  </si>
  <si>
    <t xml:space="preserve">AAACAGCTGGGTCGGTGACATGGT</t>
  </si>
  <si>
    <t xml:space="preserve">GATGACGCTGTTTCAGACAC</t>
  </si>
  <si>
    <t xml:space="preserve">TAGTGATGACGCTGTTTCAGACAC</t>
  </si>
  <si>
    <t xml:space="preserve">AAACGTGTCTGAAACAGCGTCATC</t>
  </si>
  <si>
    <t xml:space="preserve">AGCACGTCGATTTCGCACTC</t>
  </si>
  <si>
    <t xml:space="preserve">TAGTAGCACGTCGATTTCGCACTC</t>
  </si>
  <si>
    <t xml:space="preserve">AAACGAGTGCGAAATCGACGTGCT</t>
  </si>
  <si>
    <t xml:space="preserve">TATCGGACGGCTCCATTCAG</t>
  </si>
  <si>
    <t xml:space="preserve">TAGTTATCGGACGGCTCCATTCAG</t>
  </si>
  <si>
    <t xml:space="preserve">AAACCTGAATGGAGCCGTCCGATA</t>
  </si>
  <si>
    <t xml:space="preserve">PSPPH_0511</t>
  </si>
  <si>
    <t xml:space="preserve">rfaC</t>
  </si>
  <si>
    <t xml:space="preserve">CGGTCAGTGCGGGCAAGGCA</t>
  </si>
  <si>
    <t xml:space="preserve">TAGTCGGTCAGTGCGGGCAAGGCA</t>
  </si>
  <si>
    <t xml:space="preserve">AAACTGCCTTGCCCGCACTGACCG</t>
  </si>
  <si>
    <t xml:space="preserve">GGGCAGCGCTCGCTGCGCAT</t>
  </si>
  <si>
    <t xml:space="preserve">TAGTGGGCAGCGCTCGCTGCGCAT</t>
  </si>
  <si>
    <t xml:space="preserve">AAACATGCGCAGCGAGCGCTGCCC</t>
  </si>
  <si>
    <t xml:space="preserve">ACCCAGTCAAAGCGGATGCC</t>
  </si>
  <si>
    <t xml:space="preserve">TAGTACCCAGTCAAAGCGGATGCC</t>
  </si>
  <si>
    <t xml:space="preserve">AAACGGCATCCGCTTTGACTGGGT</t>
  </si>
  <si>
    <t xml:space="preserve">CGGGTGCCAGGCGGGAATTT</t>
  </si>
  <si>
    <t xml:space="preserve">TAGTCGGGTGCCAGGCGGGAATTT</t>
  </si>
  <si>
    <t xml:space="preserve">AAACAAATTCCCGCCTGGCACCCG</t>
  </si>
  <si>
    <t xml:space="preserve">PSPPH_0512</t>
  </si>
  <si>
    <t xml:space="preserve">rfaG</t>
  </si>
  <si>
    <t xml:space="preserve">TCGCGTTGCAGACCGCCGAA</t>
  </si>
  <si>
    <t xml:space="preserve">TAGTTCGCGTTGCAGACCGCCGAA</t>
  </si>
  <si>
    <t xml:space="preserve">AAACTTCGGCGGTCTGCAACGCGA</t>
  </si>
  <si>
    <t xml:space="preserve">GGATCTGGTGGCCGCGCTGC</t>
  </si>
  <si>
    <t xml:space="preserve">TAGTGGATCTGGTGGCCGCGCTGC</t>
  </si>
  <si>
    <t xml:space="preserve">AAACGCAGCGCGGCCACCAGATCC</t>
  </si>
  <si>
    <t xml:space="preserve">CCCAGATCAGGGTGTAGACG</t>
  </si>
  <si>
    <t xml:space="preserve">TAGTCCCAGATCAGGGTGTAGACG</t>
  </si>
  <si>
    <t xml:space="preserve">AAACCGTCTACACCCTGATCTGGG</t>
  </si>
  <si>
    <t xml:space="preserve">ACCAGCACTTCAAAACCGGG</t>
  </si>
  <si>
    <t xml:space="preserve">TAGTACCAGCACTTCAAAACCGGG</t>
  </si>
  <si>
    <t xml:space="preserve">AAACCCCGGTTTTGAAGTGCTGGT</t>
  </si>
  <si>
    <t xml:space="preserve">PSPPH_0513</t>
  </si>
  <si>
    <t xml:space="preserve">rfaP</t>
  </si>
  <si>
    <t xml:space="preserve">GGCTCTTGAACGGTTCAGCC</t>
  </si>
  <si>
    <t xml:space="preserve">TAGTGGCTCTTGAACGGTTCAGCC</t>
  </si>
  <si>
    <t xml:space="preserve">AAACGGCTGAACCGTTCAAGAGCC</t>
  </si>
  <si>
    <t xml:space="preserve">ACGCATCGCGTCCGGCCCAC</t>
  </si>
  <si>
    <t xml:space="preserve">TAGTACGCATCGCGTCCGGCCCAC</t>
  </si>
  <si>
    <t xml:space="preserve">AAACGTGGGCCGGACGCGATGCGT</t>
  </si>
  <si>
    <t xml:space="preserve">CGCGGTAGACCTCGCCGCTC</t>
  </si>
  <si>
    <t xml:space="preserve">TAGTCGCGGTAGACCTCGCCGCTC</t>
  </si>
  <si>
    <t xml:space="preserve">AAACGAGCGGCGAGGTCTACCGCG</t>
  </si>
  <si>
    <t xml:space="preserve">TGACCTCGGTGCGCAGCGTG</t>
  </si>
  <si>
    <t xml:space="preserve">TAGTTGACCTCGGTGCGCAGCGTG</t>
  </si>
  <si>
    <t xml:space="preserve">AAACCACGCTGCGCACCGAGGTCA</t>
  </si>
  <si>
    <t xml:space="preserve">PSPPH_0514</t>
  </si>
  <si>
    <t xml:space="preserve">TGTTCCAGAAAAGCGTACTC</t>
  </si>
  <si>
    <t xml:space="preserve">TAGTTGTTCCAGAAAAGCGTACTC</t>
  </si>
  <si>
    <t xml:space="preserve">AAACGAGTACGCTTTTCTGGAACA</t>
  </si>
  <si>
    <t xml:space="preserve">CTGGCCCTGCAAGGCAAACA</t>
  </si>
  <si>
    <t xml:space="preserve">TAGTCTGGCCCTGCAAGGCAAACA</t>
  </si>
  <si>
    <t xml:space="preserve">AAACTGTTTGCCTTGCAGGGCCAG</t>
  </si>
  <si>
    <t xml:space="preserve">GACGTCGGAAAGCGGGTCGC</t>
  </si>
  <si>
    <t xml:space="preserve">TAGTGACGTCGGAAAGCGGGTCGC</t>
  </si>
  <si>
    <t xml:space="preserve">AAACGCGACCCGCTTTCCGACGTC</t>
  </si>
  <si>
    <t xml:space="preserve">TTTGACGTAATAGTAAACCC</t>
  </si>
  <si>
    <t xml:space="preserve">TAGTTTTGACGTAATAGTAAACCC</t>
  </si>
  <si>
    <t xml:space="preserve">AAACGGGTTTACTATTACGTCAAA</t>
  </si>
  <si>
    <t xml:space="preserve">PSPPH_0515</t>
  </si>
  <si>
    <t xml:space="preserve">CAGTAACGGCTGGTCAGCAC</t>
  </si>
  <si>
    <t xml:space="preserve">TAGTCAGTAACGGCTGGTCAGCAC</t>
  </si>
  <si>
    <t xml:space="preserve">AAACGTGCTGACCAGCCGTTACTG</t>
  </si>
  <si>
    <t xml:space="preserve">AAAGCGATTCAAAATCAGCC</t>
  </si>
  <si>
    <t xml:space="preserve">TAGTAAAGCGATTCAAAATCAGCC</t>
  </si>
  <si>
    <t xml:space="preserve">AAACGGCTGATTTTGAATCGCTTT</t>
  </si>
  <si>
    <t xml:space="preserve">CAGCCGCCGCGCCCGGTATT</t>
  </si>
  <si>
    <t xml:space="preserve">TAGTCAGCCGCCGCGCCCGGTATT</t>
  </si>
  <si>
    <t xml:space="preserve">AAACAATACCGGGCGCGGCGGCTG</t>
  </si>
  <si>
    <t xml:space="preserve">CCTGACCGTCCAGGTCGAGA</t>
  </si>
  <si>
    <t xml:space="preserve">TAGTCCTGACCGTCCAGGTCGAGA</t>
  </si>
  <si>
    <t xml:space="preserve">AAACTCTCGACCTGGACGGTCAGG</t>
  </si>
  <si>
    <t xml:space="preserve">PSPPH_0516</t>
  </si>
  <si>
    <t xml:space="preserve">CAACTCGGGGGTACGTCCAG</t>
  </si>
  <si>
    <t xml:space="preserve">TAGTCAACTCGGGGGTACGTCCAG</t>
  </si>
  <si>
    <t xml:space="preserve">AAACCTGGACGTACCCCCGAGTTG</t>
  </si>
  <si>
    <t xml:space="preserve">TCAGCCAGCGTCAGGCTCAT</t>
  </si>
  <si>
    <t xml:space="preserve">TAGTTCAGCCAGCGTCAGGCTCAT</t>
  </si>
  <si>
    <t xml:space="preserve">AAACATGAGCCTGACGCTGGCTGA</t>
  </si>
  <si>
    <t xml:space="preserve">CAATTGCAGTTCAGCCGAAC</t>
  </si>
  <si>
    <t xml:space="preserve">TAGTCAATTGCAGTTCAGCCGAAC</t>
  </si>
  <si>
    <t xml:space="preserve">AAACGTTCGGCTGAACTGCAATTG</t>
  </si>
  <si>
    <t xml:space="preserve">CCCCGGCAATACACGCAGCA</t>
  </si>
  <si>
    <t xml:space="preserve">TAGTCCCCGGCAATACACGCAGCA</t>
  </si>
  <si>
    <t xml:space="preserve">AAACTGCTGCGTGTATTGCCGGGG</t>
  </si>
  <si>
    <t xml:space="preserve">PSPPH_0517</t>
  </si>
  <si>
    <t xml:space="preserve">TCAGCGCCTGACGTGTTACC</t>
  </si>
  <si>
    <t xml:space="preserve">TAGTTCAGCGCCTGACGTGTTACC</t>
  </si>
  <si>
    <t xml:space="preserve">AAACGGTAACACGTCAGGCGCTGA</t>
  </si>
  <si>
    <t xml:space="preserve">GAGCAGGCCGCGCATGTCGA</t>
  </si>
  <si>
    <t xml:space="preserve">TAGTGAGCAGGCCGCGCATGTCGA</t>
  </si>
  <si>
    <t xml:space="preserve">AAACTCGACATGCGCGGCCTGCTC</t>
  </si>
  <si>
    <t xml:space="preserve">GCAGTTCGAGCATGCAGGCG</t>
  </si>
  <si>
    <t xml:space="preserve">TAGTGCAGTTCGAGCATGCAGGCG</t>
  </si>
  <si>
    <t xml:space="preserve">AAACCGCCTGCATGCTCGAACTGC</t>
  </si>
  <si>
    <t xml:space="preserve">ATGATACTGACGTTGCCTGT</t>
  </si>
  <si>
    <t xml:space="preserve">TAGTATGATACTGACGTTGCCTGT</t>
  </si>
  <si>
    <t xml:space="preserve">AAACACAGGCAACGTCAGTATCAT</t>
  </si>
  <si>
    <t xml:space="preserve">PSPPH_0518</t>
  </si>
  <si>
    <t xml:space="preserve">CAGTTCCCGTTCAGAAACAT</t>
  </si>
  <si>
    <t xml:space="preserve">TAGTCAGTTCCCGTTCAGAAACAT</t>
  </si>
  <si>
    <t xml:space="preserve">AAACATGTTTCTGAACGGGAACTG</t>
  </si>
  <si>
    <t xml:space="preserve">AGTCATCGGTCTGTTGCAGC</t>
  </si>
  <si>
    <t xml:space="preserve">TAGTAGTCATCGGTCTGTTGCAGC</t>
  </si>
  <si>
    <t xml:space="preserve">AAACGCTGCAACAGACCGATGACT</t>
  </si>
  <si>
    <t xml:space="preserve">GGCTTTCAGCGTTTTTGCCA</t>
  </si>
  <si>
    <t xml:space="preserve">TAGTGGCTTTCAGCGTTTTTGCCA</t>
  </si>
  <si>
    <t xml:space="preserve">AAACTGGCAAAAACGCTGAAAGCC</t>
  </si>
  <si>
    <t xml:space="preserve">CAGGTACAAGCCGGTCGCGG</t>
  </si>
  <si>
    <t xml:space="preserve">TAGTCAGGTACAAGCCGGTCGCGG</t>
  </si>
  <si>
    <t xml:space="preserve">AAACCCGCGACCGGCTTGTACCTG</t>
  </si>
  <si>
    <t xml:space="preserve">PSPPH_0519</t>
  </si>
  <si>
    <t xml:space="preserve">TAAGGGCGCCGGACAGGCCA</t>
  </si>
  <si>
    <t xml:space="preserve">TAGTTAAGGGCGCCGGACAGGCCA</t>
  </si>
  <si>
    <t xml:space="preserve">AAACTGGCCTGTCCGGCGCCCTTA</t>
  </si>
  <si>
    <t xml:space="preserve">AAAGCGCTGCGGAAGGATCA</t>
  </si>
  <si>
    <t xml:space="preserve">TAGTAAAGCGCTGCGGAAGGATCA</t>
  </si>
  <si>
    <t xml:space="preserve">AAACTGATCCTTCCGCAGCGCTTT</t>
  </si>
  <si>
    <t xml:space="preserve">TCGCCGACTCGTAGGGCATG</t>
  </si>
  <si>
    <t xml:space="preserve">TAGTTCGCCGACTCGTAGGGCATG</t>
  </si>
  <si>
    <t xml:space="preserve">AAACCATGCCCTACGAGTCGGCGA</t>
  </si>
  <si>
    <t xml:space="preserve">GCAACCACGTCGACGTCCGA</t>
  </si>
  <si>
    <t xml:space="preserve">TAGTGCAACCACGTCGACGTCCGA</t>
  </si>
  <si>
    <t xml:space="preserve">AAACTCGGACGTCGACGTGGTTGC</t>
  </si>
  <si>
    <t xml:space="preserve">PSPPH_0520</t>
  </si>
  <si>
    <t xml:space="preserve">TGCCGTGCGCAGTCCAGAAA</t>
  </si>
  <si>
    <t xml:space="preserve">TAGTTGCCGTGCGCAGTCCAGAAA</t>
  </si>
  <si>
    <t xml:space="preserve">AAACTTTCTGGACTGCGCACGGCA</t>
  </si>
  <si>
    <t xml:space="preserve">GATAGCCCTTGCCGGCGAAC</t>
  </si>
  <si>
    <t xml:space="preserve">TAGTGATAGCCCTTGCCGGCGAAC</t>
  </si>
  <si>
    <t xml:space="preserve">AAACGTTCGCCGGCAAGGGCTATC</t>
  </si>
  <si>
    <t xml:space="preserve">TACGTCGGGGTCGGCGGCGC</t>
  </si>
  <si>
    <t xml:space="preserve">TAGTTACGTCGGGGTCGGCGGCGC</t>
  </si>
  <si>
    <t xml:space="preserve">AAACGCGCCGCCGACCCCGACGTA</t>
  </si>
  <si>
    <t xml:space="preserve">CACTTCGTCCGAGCCGCAGT</t>
  </si>
  <si>
    <t xml:space="preserve">TAGTCACTTCGTCCGAGCCGCAGT</t>
  </si>
  <si>
    <t xml:space="preserve">AAACACTGCGGCTCGGACGAAGTG</t>
  </si>
  <si>
    <t xml:space="preserve">PSPPH_0521</t>
  </si>
  <si>
    <t xml:space="preserve">CGCAACGACCAGCGGATGAG</t>
  </si>
  <si>
    <t xml:space="preserve">TAGTCGCAACGACCAGCGGATGAG</t>
  </si>
  <si>
    <t xml:space="preserve">AAACCTCATCCGCTGGTCGTTGCG</t>
  </si>
  <si>
    <t xml:space="preserve">CAATACCGGAAAATTCCGAC</t>
  </si>
  <si>
    <t xml:space="preserve">TAGTCAATACCGGAAAATTCCGAC</t>
  </si>
  <si>
    <t xml:space="preserve">AAACGTCGGAATTTTCCGGTATTG</t>
  </si>
  <si>
    <t xml:space="preserve">TACTTCGCCGCCCTGCTCCC</t>
  </si>
  <si>
    <t xml:space="preserve">TAGTTACTTCGCCGCCCTGCTCCC</t>
  </si>
  <si>
    <t xml:space="preserve">AAACGGGAGCAGGGCGGCGAAGTA</t>
  </si>
  <si>
    <t xml:space="preserve">CGCCAGCGAACGCCCCCAGG</t>
  </si>
  <si>
    <t xml:space="preserve">TAGTCGCCAGCGAACGCCCCCAGG</t>
  </si>
  <si>
    <t xml:space="preserve">AAACCCTGGGGGCGTTCGCTGGCG</t>
  </si>
  <si>
    <t xml:space="preserve">PSPPH_0522</t>
  </si>
  <si>
    <t xml:space="preserve">CCAGCCGCTTGTTACGGCGA</t>
  </si>
  <si>
    <t xml:space="preserve">TAGTCCAGCCGCTTGTTACGGCGA</t>
  </si>
  <si>
    <t xml:space="preserve">AAACTCGCCGTAACAAGCGGCTGG</t>
  </si>
  <si>
    <t xml:space="preserve">GCACGCCGACCGCGATCAAC</t>
  </si>
  <si>
    <t xml:space="preserve">TAGTGCACGCCGACCGCGATCAAC</t>
  </si>
  <si>
    <t xml:space="preserve">AAACGTTGATCGCGGTCGGCGTGC</t>
  </si>
  <si>
    <t xml:space="preserve">CATGCACACACGGCCAGCAG</t>
  </si>
  <si>
    <t xml:space="preserve">TAGTCATGCACACACGGCCAGCAG</t>
  </si>
  <si>
    <t xml:space="preserve">AAACCTGCTGGCCGTGTGTGCATG</t>
  </si>
  <si>
    <t xml:space="preserve">GAACAGATGATCGGCGAACC</t>
  </si>
  <si>
    <t xml:space="preserve">TAGTGAACAGATGATCGGCGAACC</t>
  </si>
  <si>
    <t xml:space="preserve">AAACGGTTCGCCGATCATCTGTTC</t>
  </si>
  <si>
    <t xml:space="preserve">PSPPH_0523</t>
  </si>
  <si>
    <t xml:space="preserve">GACCAGAAGTAGAACTTTCA</t>
  </si>
  <si>
    <t xml:space="preserve">TAGTGACCAGAAGTAGAACTTTCA</t>
  </si>
  <si>
    <t xml:space="preserve">AAACTGAAAGTTCTACTTCTGGTC</t>
  </si>
  <si>
    <t xml:space="preserve">GAATCGCACGCTGCTCTTTC</t>
  </si>
  <si>
    <t xml:space="preserve">TAGTGAATCGCACGCTGCTCTTTC</t>
  </si>
  <si>
    <t xml:space="preserve">AAACGAAAGAGCAGCGTGCGATTC</t>
  </si>
  <si>
    <t xml:space="preserve">CCGCGATGCCGTCATAGAGA</t>
  </si>
  <si>
    <t xml:space="preserve">TAGTCCGCGATGCCGTCATAGAGA</t>
  </si>
  <si>
    <t xml:space="preserve">AAACTCTCTATGACGGCATCGCGG</t>
  </si>
  <si>
    <t xml:space="preserve">ACGCAGGTTGCGCTGCTCCG</t>
  </si>
  <si>
    <t xml:space="preserve">TAGTACGCAGGTTGCGCTGCTCCG</t>
  </si>
  <si>
    <t xml:space="preserve">AAACCGGAGCAGCGCAACCTGCGT</t>
  </si>
  <si>
    <t xml:space="preserve">PSPPH_0524</t>
  </si>
  <si>
    <t xml:space="preserve">CAGGTCGAACCGACCACAAC</t>
  </si>
  <si>
    <t xml:space="preserve">TAGTCAGGTCGAACCGACCACAAC</t>
  </si>
  <si>
    <t xml:space="preserve">AAACGTTGTGGTCGGTTCGACCTG</t>
  </si>
  <si>
    <t xml:space="preserve">GTATGGGCGCAGTGTTGAAA</t>
  </si>
  <si>
    <t xml:space="preserve">TAGTGTATGGGCGCAGTGTTGAAA</t>
  </si>
  <si>
    <t xml:space="preserve">AAACTTTCAACACTGCGCCCATAC</t>
  </si>
  <si>
    <t xml:space="preserve">AGTCTTCGGTAATCAGCACA</t>
  </si>
  <si>
    <t xml:space="preserve">TAGTAGTCTTCGGTAATCAGCACA</t>
  </si>
  <si>
    <t xml:space="preserve">AAACTGTGCTGATTACCGAAGACT</t>
  </si>
  <si>
    <t xml:space="preserve">CGCCTGGACCCGGGCATCGC</t>
  </si>
  <si>
    <t xml:space="preserve">TAGTCGCCTGGACCCGGGCATCGC</t>
  </si>
  <si>
    <t xml:space="preserve">AAACGCGATGCCCGGGTCCAGGCG</t>
  </si>
  <si>
    <t xml:space="preserve">PSPPH_0525</t>
  </si>
  <si>
    <t xml:space="preserve">TGTTGCTGGGGATTGTGATT</t>
  </si>
  <si>
    <t xml:space="preserve">TAGTTGTTGCTGGGGATTGTGATT</t>
  </si>
  <si>
    <t xml:space="preserve">AAACAATCACAATCCCCAGCAACA</t>
  </si>
  <si>
    <t xml:space="preserve">CAGGAAGACTACAATCGCTA</t>
  </si>
  <si>
    <t xml:space="preserve">TAGTCAGGAAGACTACAATCGCTA</t>
  </si>
  <si>
    <t xml:space="preserve">AAACTAGCGATTGTAGTCTTCCTG</t>
  </si>
  <si>
    <t xml:space="preserve">TGTTGGTGATCTTGGCTGAC</t>
  </si>
  <si>
    <t xml:space="preserve">TAGTTGTTGGTGATCTTGGCTGAC</t>
  </si>
  <si>
    <t xml:space="preserve">AAACGTCAGCCAAGATCACCAACA</t>
  </si>
  <si>
    <t xml:space="preserve">GAAGAACAAGCCCGGCAAGG</t>
  </si>
  <si>
    <t xml:space="preserve">TAGTGAAGAACAAGCCCGGCAAGG</t>
  </si>
  <si>
    <t xml:space="preserve">AAACCCTTGCCGGGCTTGTTCTTC</t>
  </si>
  <si>
    <t xml:space="preserve">PSPPH_0526</t>
  </si>
  <si>
    <t xml:space="preserve">TTTTATGCCCCAAGGGCTAC</t>
  </si>
  <si>
    <t xml:space="preserve">TAGTTTTTATGCCCCAAGGGCTAC</t>
  </si>
  <si>
    <t xml:space="preserve">AAACGTAGCCCTTGGGGCATAAAA</t>
  </si>
  <si>
    <t xml:space="preserve">AAACGCTTGCATCGATACTC</t>
  </si>
  <si>
    <t xml:space="preserve">TAGTAAACGCTTGCATCGATACTC</t>
  </si>
  <si>
    <t xml:space="preserve">AAACGAGTATCGATGCAAGCGTTT</t>
  </si>
  <si>
    <t xml:space="preserve">CCAGATCAAGGTAATGGGCG</t>
  </si>
  <si>
    <t xml:space="preserve">TAGTCCAGATCAAGGTAATGGGCG</t>
  </si>
  <si>
    <t xml:space="preserve">AAACCGCCCATTACCTTGATCTGG</t>
  </si>
  <si>
    <t xml:space="preserve">GCCATCGGCTTCAAGCACTT</t>
  </si>
  <si>
    <t xml:space="preserve">TAGTGCCATCGGCTTCAAGCACTT</t>
  </si>
  <si>
    <t xml:space="preserve">AAACAAGTGCTTGAAGCCGATGGC</t>
  </si>
  <si>
    <t xml:space="preserve">PSPPH_0527</t>
  </si>
  <si>
    <t xml:space="preserve">msbA</t>
  </si>
  <si>
    <t xml:space="preserve">GCTGCCTGCTGCGGTAACAT</t>
  </si>
  <si>
    <t xml:space="preserve">TAGTGCTGCCTGCTGCGGTAACAT</t>
  </si>
  <si>
    <t xml:space="preserve">AAACATGTTACCGCAGCAGGCAGC</t>
  </si>
  <si>
    <t xml:space="preserve">TTGTATCACAGCAGTTTTCG</t>
  </si>
  <si>
    <t xml:space="preserve">TAGTTTGTATCACAGCAGTTTTCG</t>
  </si>
  <si>
    <t xml:space="preserve">AAACCGAAAACTGCTGTGATACAA</t>
  </si>
  <si>
    <t xml:space="preserve">GAATCCGTCGTATTAAAAAG</t>
  </si>
  <si>
    <t xml:space="preserve">TAGTGAATCCGTCGTATTAAAAAG</t>
  </si>
  <si>
    <t xml:space="preserve">AAACCTTTTTAATACGACGGATTC</t>
  </si>
  <si>
    <t xml:space="preserve">GGAAGTCGAGGACGATTCGG</t>
  </si>
  <si>
    <t xml:space="preserve">TAGTGGAAGTCGAGGACGATTCGG</t>
  </si>
  <si>
    <t xml:space="preserve">AAACCCGAATCGTCCTCGACTTCC</t>
  </si>
  <si>
    <t xml:space="preserve">PSPPH_0528</t>
  </si>
  <si>
    <t xml:space="preserve">rfaE</t>
  </si>
  <si>
    <t xml:space="preserve">GCGCGGCATGGATAACTTCA</t>
  </si>
  <si>
    <t xml:space="preserve">TAGTGCGCGGCATGGATAACTTCA</t>
  </si>
  <si>
    <t xml:space="preserve">AAACTGAAGTTATCCATGCCGCGC</t>
  </si>
  <si>
    <t xml:space="preserve">ATCGCCAACCACCAGGACAG</t>
  </si>
  <si>
    <t xml:space="preserve">TAGTATCGCCAACCACCAGGACAG</t>
  </si>
  <si>
    <t xml:space="preserve">AAACCTGTCCTGGTGGTTGGCGAT</t>
  </si>
  <si>
    <t xml:space="preserve">CGCTTCAGGGGAAATACGCG</t>
  </si>
  <si>
    <t xml:space="preserve">TAGTCGCTTCAGGGGAAATACGCG</t>
  </si>
  <si>
    <t xml:space="preserve">AAACCGCGTATTTCCCCTGAAGCG</t>
  </si>
  <si>
    <t xml:space="preserve">TCGACCTTGACTACAGGCAC</t>
  </si>
  <si>
    <t xml:space="preserve">TAGTTCGACCTTGACTACAGGCAC</t>
  </si>
  <si>
    <t xml:space="preserve">AAACGTGCCTGTAGTCAAGGTCGA</t>
  </si>
  <si>
    <t xml:space="preserve">PSPPH_0529</t>
  </si>
  <si>
    <t xml:space="preserve">TTCTTGCGGATCAGTGTTCG</t>
  </si>
  <si>
    <t xml:space="preserve">TAGTTTCTTGCGGATCAGTGTTCG</t>
  </si>
  <si>
    <t xml:space="preserve">AAACCGAACACTGATCCGCAAGAA</t>
  </si>
  <si>
    <t xml:space="preserve">GCAGGGTCTTGAAGTTGCTG</t>
  </si>
  <si>
    <t xml:space="preserve">TAGTGCAGGGTCTTGAAGTTGCTG</t>
  </si>
  <si>
    <t xml:space="preserve">AAACCAGCAACTTCAAGACCCTGC</t>
  </si>
  <si>
    <t xml:space="preserve">GGCGTGGCCTCGACGAACAG</t>
  </si>
  <si>
    <t xml:space="preserve">TAGTGGCGTGGCCTCGACGAACAG</t>
  </si>
  <si>
    <t xml:space="preserve">AAACCTGTTCGTCGAGGCCACGCC</t>
  </si>
  <si>
    <t xml:space="preserve">CTCTGGTAGCTCAGGCCTTC</t>
  </si>
  <si>
    <t xml:space="preserve">TAGTCTCTGGTAGCTCAGGCCTTC</t>
  </si>
  <si>
    <t xml:space="preserve">AAACGAAGGCCTGAGCTACCAGAG</t>
  </si>
  <si>
    <t xml:space="preserve">PSPPH_0530</t>
  </si>
  <si>
    <t xml:space="preserve">CGGGCGATGCAGGTCGTGCA</t>
  </si>
  <si>
    <t xml:space="preserve">TAGTCGGGCGATGCAGGTCGTGCA</t>
  </si>
  <si>
    <t xml:space="preserve">AAACTGCACGACCTGCATCGCCCG</t>
  </si>
  <si>
    <t xml:space="preserve">CTCAGGCCGCTATTGCCGAG</t>
  </si>
  <si>
    <t xml:space="preserve">TAGTCTCAGGCCGCTATTGCCGAG</t>
  </si>
  <si>
    <t xml:space="preserve">AAACCTCGGCAATAGCGGCCTGAG</t>
  </si>
  <si>
    <t xml:space="preserve">TTGACGGTGCCCAGGCCAAG</t>
  </si>
  <si>
    <t xml:space="preserve">TAGTTTGACGGTGCCCAGGCCAAG</t>
  </si>
  <si>
    <t xml:space="preserve">AAACCTTGGCCTGGGCACCGTCAA</t>
  </si>
  <si>
    <t xml:space="preserve">GGTATTTGACGCCCTGGTCG</t>
  </si>
  <si>
    <t xml:space="preserve">TAGTGGTATTTGACGCCCTGGTCG</t>
  </si>
  <si>
    <t xml:space="preserve">AAACCGACCAGGGCGTCAAATACC</t>
  </si>
  <si>
    <t xml:space="preserve">PSPPH_0531</t>
  </si>
  <si>
    <t xml:space="preserve">CCCGACAATCAGCACGTCAG</t>
  </si>
  <si>
    <t xml:space="preserve">TAGTCCCGACAATCAGCACGTCAG</t>
  </si>
  <si>
    <t xml:space="preserve">AAACCTGACGTGCTGATTGTCGGG</t>
  </si>
  <si>
    <t xml:space="preserve">CCGGGCGTTTAGCCATAGAC</t>
  </si>
  <si>
    <t xml:space="preserve">TAGTCCGGGCGTTTAGCCATAGAC</t>
  </si>
  <si>
    <t xml:space="preserve">AAACGTCTATGGCTAAACGCCCGG</t>
  </si>
  <si>
    <t xml:space="preserve">GCTTTGCCCGCCACCCAGGC</t>
  </si>
  <si>
    <t xml:space="preserve">TAGTGCTTTGCCCGCCACCCAGGC</t>
  </si>
  <si>
    <t xml:space="preserve">AAACGCCTGGGTGGCGGGCAAAGC</t>
  </si>
  <si>
    <t xml:space="preserve">GGATGATCCCCTGAGACTTG</t>
  </si>
  <si>
    <t xml:space="preserve">TAGTGGATGATCCCCTGAGACTTG</t>
  </si>
  <si>
    <t xml:space="preserve">AAACCAAGTCTCAGGGGATCATCC</t>
  </si>
  <si>
    <t xml:space="preserve">PSPPH_0532</t>
  </si>
  <si>
    <t xml:space="preserve">CAGCAGGTAATAAGCGTTCA</t>
  </si>
  <si>
    <t xml:space="preserve">TAGTCAGCAGGTAATAAGCGTTCA</t>
  </si>
  <si>
    <t xml:space="preserve">AAACTGAACGCTTATTACCTGCTG</t>
  </si>
  <si>
    <t xml:space="preserve">AGCGATGACTTCCGCGCAAA</t>
  </si>
  <si>
    <t xml:space="preserve">TAGTAGCGATGACTTCCGCGCAAA</t>
  </si>
  <si>
    <t xml:space="preserve">AAACTTTGCGCGGAAGTCATCGCT</t>
  </si>
  <si>
    <t xml:space="preserve">TTTCACGGCTTTCATGGAGG</t>
  </si>
  <si>
    <t xml:space="preserve">TAGTTTTCACGGCTTTCATGGAGG</t>
  </si>
  <si>
    <t xml:space="preserve">AAACCCTCCATGAAAGCCGTGAAA</t>
  </si>
  <si>
    <t xml:space="preserve">ATCAGCAGCAACAGCGGCAG</t>
  </si>
  <si>
    <t xml:space="preserve">TAGTATCAGCAGCAACAGCGGCAG</t>
  </si>
  <si>
    <t xml:space="preserve">AAACCTGCCGCTGTTGCTGCTGAT</t>
  </si>
  <si>
    <t xml:space="preserve">PSPPH_0533</t>
  </si>
  <si>
    <t xml:space="preserve">kdtA</t>
  </si>
  <si>
    <t xml:space="preserve">GTATAAAGGGTTCTATTCAT</t>
  </si>
  <si>
    <t xml:space="preserve">TAGTGTATAAAGGGTTCTATTCAT</t>
  </si>
  <si>
    <t xml:space="preserve">AAACATGAATAGAACCCTTTATAC</t>
  </si>
  <si>
    <t xml:space="preserve">CAGGCCGAGATGAAACAGTA</t>
  </si>
  <si>
    <t xml:space="preserve">TAGTCAGGCCGAGATGAAACAGTA</t>
  </si>
  <si>
    <t xml:space="preserve">AAACTACTGTTTCATCTCGGCCTG</t>
  </si>
  <si>
    <t xml:space="preserve">CACAGGCGCAGGGCAACCAG</t>
  </si>
  <si>
    <t xml:space="preserve">TAGTCACAGGCGCAGGGCAACCAG</t>
  </si>
  <si>
    <t xml:space="preserve">AAACCTGGTTGCCCTGCGCCTGTG</t>
  </si>
  <si>
    <t xml:space="preserve">CCGATGCGTTGGCGATATGC</t>
  </si>
  <si>
    <t xml:space="preserve">TAGTCCGATGCGTTGGCGATATGC</t>
  </si>
  <si>
    <t xml:space="preserve">AAACGCATATCGCCAACGCATCGG</t>
  </si>
  <si>
    <t xml:space="preserve">PSPPH_0534</t>
  </si>
  <si>
    <t xml:space="preserve">GCCGCTGGACGCAAACGAAA</t>
  </si>
  <si>
    <t xml:space="preserve">TAGTGCCGCTGGACGCAAACGAAA</t>
  </si>
  <si>
    <t xml:space="preserve">AAACTTTCGTTTGCGTCCAGCGGC</t>
  </si>
  <si>
    <t xml:space="preserve">GCATATCGGCTGCCCACGTC</t>
  </si>
  <si>
    <t xml:space="preserve">TAGTGCATATCGGCTGCCCACGTC</t>
  </si>
  <si>
    <t xml:space="preserve">AAACGACGTGGGCAGCCGATATGC</t>
  </si>
  <si>
    <t xml:space="preserve">AGACCAGTCTGGGTCGGCAG</t>
  </si>
  <si>
    <t xml:space="preserve">TAGTAGACCAGTCTGGGTCGGCAG</t>
  </si>
  <si>
    <t xml:space="preserve">AAACCTGCCGACCCAGACTGGTCT</t>
  </si>
  <si>
    <t xml:space="preserve">GGCGCGGGATGCCGCAAGGT</t>
  </si>
  <si>
    <t xml:space="preserve">TAGTGGCGCGGGATGCCGCAAGGT</t>
  </si>
  <si>
    <t xml:space="preserve">AAACACCTTGCGGCATCCCGCGCC</t>
  </si>
  <si>
    <t xml:space="preserve">PSPPH_0535</t>
  </si>
  <si>
    <t xml:space="preserve">thiC</t>
  </si>
  <si>
    <t xml:space="preserve">TTGTGCCGACTCGCTCAAAT</t>
  </si>
  <si>
    <t xml:space="preserve">TAGTTTGTGCCGACTCGCTCAAAT</t>
  </si>
  <si>
    <t xml:space="preserve">AAACATTTGAGCGAGTCGGCACAA</t>
  </si>
  <si>
    <t xml:space="preserve">GGTAAACGGCTGTACCGATC</t>
  </si>
  <si>
    <t xml:space="preserve">TAGTGGTAAACGGCTGTACCGATC</t>
  </si>
  <si>
    <t xml:space="preserve">AAACGATCGGTACAGCCGTTTACC</t>
  </si>
  <si>
    <t xml:space="preserve">AACGTAGATTTTCTGCGAAC</t>
  </si>
  <si>
    <t xml:space="preserve">TAGTAACGTAGATTTTCTGCGAAC</t>
  </si>
  <si>
    <t xml:space="preserve">AAACGTTCGCAGAAAATCTACGTT</t>
  </si>
  <si>
    <t xml:space="preserve">GCATCGGCACGCGGATGTCC</t>
  </si>
  <si>
    <t xml:space="preserve">TAGTGCATCGGCACGCGGATGTCC</t>
  </si>
  <si>
    <t xml:space="preserve">AAACGGACATCCGCGTGCCGATGC</t>
  </si>
  <si>
    <t xml:space="preserve">PSPPH_0536</t>
  </si>
  <si>
    <t xml:space="preserve">cytX</t>
  </si>
  <si>
    <t xml:space="preserve">CGGTGATTCGGGATCGGACG</t>
  </si>
  <si>
    <t xml:space="preserve">TAGTCGGTGATTCGGGATCGGACG</t>
  </si>
  <si>
    <t xml:space="preserve">AAACCGTCCGATCCCGAATCACCG</t>
  </si>
  <si>
    <t xml:space="preserve">GTCTCGTGTGGGGTGTTGAT</t>
  </si>
  <si>
    <t xml:space="preserve">TAGTGTCTCGTGTGGGGTGTTGAT</t>
  </si>
  <si>
    <t xml:space="preserve">AAACATCAACACCCCACACGAGAC</t>
  </si>
  <si>
    <t xml:space="preserve">GGTGCCAGGTGTGTTCACGT</t>
  </si>
  <si>
    <t xml:space="preserve">TAGTGGTGCCAGGTGTGTTCACGT</t>
  </si>
  <si>
    <t xml:space="preserve">AAACACGTGAACACACCTGGCACC</t>
  </si>
  <si>
    <t xml:space="preserve">GATGGGGGTGTCGGGAGAAT</t>
  </si>
  <si>
    <t xml:space="preserve">TAGTGATGGGGGTGTCGGGAGAAT</t>
  </si>
  <si>
    <t xml:space="preserve">AAACATTCTCCCGACACCCCCATC</t>
  </si>
  <si>
    <t xml:space="preserve">PSPPH_0537</t>
  </si>
  <si>
    <t xml:space="preserve">CAGCGTGCAGATCACGCCGA</t>
  </si>
  <si>
    <t xml:space="preserve">TAGTCAGCGTGCAGATCACGCCGA</t>
  </si>
  <si>
    <t xml:space="preserve">AAACTCGGCGTGATCTGCACGCTG</t>
  </si>
  <si>
    <t xml:space="preserve">AAGTTCTGGTACTGGGCCAG</t>
  </si>
  <si>
    <t xml:space="preserve">TAGTAAGTTCTGGTACTGGGCCAG</t>
  </si>
  <si>
    <t xml:space="preserve">AAACCTGGCCCAGTACCAGAACTT</t>
  </si>
  <si>
    <t xml:space="preserve">ACCAGCACCACGCCGAACAG</t>
  </si>
  <si>
    <t xml:space="preserve">TAGTACCAGCACCACGCCGAACAG</t>
  </si>
  <si>
    <t xml:space="preserve">AAACCTGTTCGGCGTGGTGCTGGT</t>
  </si>
  <si>
    <t xml:space="preserve">TGCGACGACGCAGGATGAAA</t>
  </si>
  <si>
    <t xml:space="preserve">TAGTTGCGACGACGCAGGATGAAA</t>
  </si>
  <si>
    <t xml:space="preserve">AAACTTTCATCCTGCGTCGTCGCA</t>
  </si>
  <si>
    <t xml:space="preserve">PSPPH_0538</t>
  </si>
  <si>
    <t xml:space="preserve">TTGGCAGGCGCCGAGCAACA</t>
  </si>
  <si>
    <t xml:space="preserve">TAGTTTGGCAGGCGCCGAGCAACA</t>
  </si>
  <si>
    <t xml:space="preserve">AAACTGTTGCTCGGCGCCTGCCAA</t>
  </si>
  <si>
    <t xml:space="preserve">TGCGCATGTTGGGCGTGAAG</t>
  </si>
  <si>
    <t xml:space="preserve">TAGTTGCGCATGTTGGGCGTGAAG</t>
  </si>
  <si>
    <t xml:space="preserve">AAACCTTCACGCCCAACATGCGCA</t>
  </si>
  <si>
    <t xml:space="preserve">GCATCGCGCTGGACTTGCAG</t>
  </si>
  <si>
    <t xml:space="preserve">TAGTGCATCGCGCTGGACTTGCAG</t>
  </si>
  <si>
    <t xml:space="preserve">AAACCTGCAAGTCCAGCGCGATGC</t>
  </si>
  <si>
    <t xml:space="preserve">GCCTGGCTTGATCAGCTCGG</t>
  </si>
  <si>
    <t xml:space="preserve">TAGTGCCTGGCTTGATCAGCTCGG</t>
  </si>
  <si>
    <t xml:space="preserve">AAACCCGAGCTGATCAAGCCAGGC</t>
  </si>
  <si>
    <t xml:space="preserve">PSPPH_0539</t>
  </si>
  <si>
    <t xml:space="preserve">CTTGCCGCCGTTTTTGACAT</t>
  </si>
  <si>
    <t xml:space="preserve">TAGTCTTGCCGCCGTTTTTGACAT</t>
  </si>
  <si>
    <t xml:space="preserve">AAACATGTCAAAAACGGCGGCAAG</t>
  </si>
  <si>
    <t xml:space="preserve">GATCGTGTGGTCTGGGTCAT</t>
  </si>
  <si>
    <t xml:space="preserve">TAGTGATCGTGTGGTCTGGGTCAT</t>
  </si>
  <si>
    <t xml:space="preserve">AAACATGACCCAGACCACACGATC</t>
  </si>
  <si>
    <t xml:space="preserve">TGTATGGTTTCAAAAGCGCT</t>
  </si>
  <si>
    <t xml:space="preserve">TAGTTGTATGGTTTCAAAAGCGCT</t>
  </si>
  <si>
    <t xml:space="preserve">AAACAGCGCTTTTGAAACCATACA</t>
  </si>
  <si>
    <t xml:space="preserve">TGCCACCTGCGAACAGCTCG</t>
  </si>
  <si>
    <t xml:space="preserve">TAGTTGCCACCTGCGAACAGCTCG</t>
  </si>
  <si>
    <t xml:space="preserve">AAACCGAGCTGTTCGCAGGTGGCA</t>
  </si>
  <si>
    <t xml:space="preserve">PSPPH_0540</t>
  </si>
  <si>
    <t xml:space="preserve">GCAGTCCGGCAAGGTCGACA</t>
  </si>
  <si>
    <t xml:space="preserve">TAGTGCAGTCCGGCAAGGTCGACA</t>
  </si>
  <si>
    <t xml:space="preserve">AAACTGTCGACCTTGCCGGACTGC</t>
  </si>
  <si>
    <t xml:space="preserve">GCGCATCAGGCGCGCGTAGT</t>
  </si>
  <si>
    <t xml:space="preserve">TAGTGCGCATCAGGCGCGCGTAGT</t>
  </si>
  <si>
    <t xml:space="preserve">AAACACTACGCGCGCCTGATGCGC</t>
  </si>
  <si>
    <t xml:space="preserve">CGTTGCGCATGTCGGGCAGC</t>
  </si>
  <si>
    <t xml:space="preserve">TAGTCGTTGCGCATGTCGGGCAGC</t>
  </si>
  <si>
    <t xml:space="preserve">AAACGCTGCCCGACATGCGCAACG</t>
  </si>
  <si>
    <t xml:space="preserve">CGCCCTGGGTGACGGCGACG</t>
  </si>
  <si>
    <t xml:space="preserve">TAGTCGCCCTGGGTGACGGCGACG</t>
  </si>
  <si>
    <t xml:space="preserve">AAACCGTCGCCGTCACCCAGGGCG</t>
  </si>
  <si>
    <t xml:space="preserve">PSPPH_0541</t>
  </si>
  <si>
    <t xml:space="preserve">GCACGCTAACAGACATCGTG</t>
  </si>
  <si>
    <t xml:space="preserve">TAGTGCACGCTAACAGACATCGTG</t>
  </si>
  <si>
    <t xml:space="preserve">AAACCACGATGTCTGTTAGCGTGC</t>
  </si>
  <si>
    <t xml:space="preserve">GAGATAGCTGAAAAGGCTGA</t>
  </si>
  <si>
    <t xml:space="preserve">TAGTGAGATAGCTGAAAAGGCTGA</t>
  </si>
  <si>
    <t xml:space="preserve">AAACTCAGCCTTTTCAGCTATCTC</t>
  </si>
  <si>
    <t xml:space="preserve">ACGCAGAGCGCTGCCTGCCA</t>
  </si>
  <si>
    <t xml:space="preserve">TAGTACGCAGAGCGCTGCCTGCCA</t>
  </si>
  <si>
    <t xml:space="preserve">AAACTGGCAGGCAGCGCTCTGCGT</t>
  </si>
  <si>
    <t xml:space="preserve">ACCGATGACCACTCCGGTAA</t>
  </si>
  <si>
    <t xml:space="preserve">TAGTACCGATGACCACTCCGGTAA</t>
  </si>
  <si>
    <t xml:space="preserve">AAACTTACCGGAGTGGTCATCGGT</t>
  </si>
  <si>
    <t xml:space="preserve">PSPPH_0542</t>
  </si>
  <si>
    <t xml:space="preserve">GACGATGAAGGGGCTGCGCT</t>
  </si>
  <si>
    <t xml:space="preserve">TAGTGACGATGAAGGGGCTGCGCT</t>
  </si>
  <si>
    <t xml:space="preserve">AAACAGCGCAGCCCCTTCATCGTC</t>
  </si>
  <si>
    <t xml:space="preserve">CTCGGCGAACAGGTGGCTGT</t>
  </si>
  <si>
    <t xml:space="preserve">TAGTCTCGGCGAACAGGTGGCTGT</t>
  </si>
  <si>
    <t xml:space="preserve">AAACACAGCCACCTGTTCGCCGAG</t>
  </si>
  <si>
    <t xml:space="preserve">GACTTTTTCCAGACTGTCGC</t>
  </si>
  <si>
    <t xml:space="preserve">TAGTGACTTTTTCCAGACTGTCGC</t>
  </si>
  <si>
    <t xml:space="preserve">AAACGCGACAGTCTGGAAAAAGTC</t>
  </si>
  <si>
    <t xml:space="preserve">CAACCTGCGGCTGCTCGGCG</t>
  </si>
  <si>
    <t xml:space="preserve">TAGTCAACCTGCGGCTGCTCGGCG</t>
  </si>
  <si>
    <t xml:space="preserve">AAACCGCCGAGCAGCCGCAGGTTG</t>
  </si>
  <si>
    <t xml:space="preserve">PSPPH_0543</t>
  </si>
  <si>
    <t xml:space="preserve">CCATGGATGTATAGCAGTGA</t>
  </si>
  <si>
    <t xml:space="preserve">TAGTCCATGGATGTATAGCAGTGA</t>
  </si>
  <si>
    <t xml:space="preserve">AAACTCACTGCTATACATCCATGG</t>
  </si>
  <si>
    <t xml:space="preserve">CTGACAGGCCTTTCTCGACA</t>
  </si>
  <si>
    <t xml:space="preserve">TAGTCTGACAGGCCTTTCTCGACA</t>
  </si>
  <si>
    <t xml:space="preserve">AAACTGTCGAGAAAGGCCTGTCAG</t>
  </si>
  <si>
    <t xml:space="preserve">ACCCAATGATTTCATCAGCG</t>
  </si>
  <si>
    <t xml:space="preserve">TAGTACCCAATGATTTCATCAGCG</t>
  </si>
  <si>
    <t xml:space="preserve">AAACCGCTGATGAAATCATTGGGT</t>
  </si>
  <si>
    <t xml:space="preserve">GCGGATGGTGATGCAGTTCA</t>
  </si>
  <si>
    <t xml:space="preserve">TAGTGCGGATGGTGATGCAGTTCA</t>
  </si>
  <si>
    <t xml:space="preserve">AAACTGAACTGCATCACCATCCGC</t>
  </si>
  <si>
    <t xml:space="preserve">PSPPH_0544</t>
  </si>
  <si>
    <t xml:space="preserve">parE</t>
  </si>
  <si>
    <t xml:space="preserve">CTAGCGCTGGGATTGGCCAT</t>
  </si>
  <si>
    <t xml:space="preserve">TAGTCTAGCGCTGGGATTGGCCAT</t>
  </si>
  <si>
    <t xml:space="preserve">AAACATGGCCAATCCCAGCGCTAG</t>
  </si>
  <si>
    <t xml:space="preserve">GAGGCCCGAGAGGACTTCGA</t>
  </si>
  <si>
    <t xml:space="preserve">TAGTGAGGCCCGAGAGGACTTCGA</t>
  </si>
  <si>
    <t xml:space="preserve">AAACTCGAAGTCCTCTCGGGCCTC</t>
  </si>
  <si>
    <t xml:space="preserve">ATGCCCGGACGTTTGCGAAC</t>
  </si>
  <si>
    <t xml:space="preserve">TAGTATGCCCGGACGTTTGCGAAC</t>
  </si>
  <si>
    <t xml:space="preserve">AAACGTTCGCAAACGTCCGGGCAT</t>
  </si>
  <si>
    <t xml:space="preserve">GTGGTTGGGCCGCGAGGTGT</t>
  </si>
  <si>
    <t xml:space="preserve">TAGTGTGGTTGGGCCGCGAGGTGT</t>
  </si>
  <si>
    <t xml:space="preserve">AAACACACCTCGCGGCCCAACCAC</t>
  </si>
  <si>
    <t xml:space="preserve">PSPPH_0545</t>
  </si>
  <si>
    <t xml:space="preserve">CAGGGTCAGGGCGGCGAGCC</t>
  </si>
  <si>
    <t xml:space="preserve">TAGTCAGGGTCAGGGCGGCGAGCC</t>
  </si>
  <si>
    <t xml:space="preserve">AAACGGCTCGCCGCCCTGACCCTG</t>
  </si>
  <si>
    <t xml:space="preserve">TCAAGCGGCGCGGCGAAAAC</t>
  </si>
  <si>
    <t xml:space="preserve">TAGTTCAAGCGGCGCGGCGAAAAC</t>
  </si>
  <si>
    <t xml:space="preserve">AAACGTTTTCGCCGCGCCGCTTGA</t>
  </si>
  <si>
    <t xml:space="preserve">GGTGCTCGGATTGCAGTTTC</t>
  </si>
  <si>
    <t xml:space="preserve">TAGTGGTGCTCGGATTGCAGTTTC</t>
  </si>
  <si>
    <t xml:space="preserve">AAACGAAACTGCAATCCGAGCACC</t>
  </si>
  <si>
    <t xml:space="preserve">CGCCGACCATGTCGTCTACC</t>
  </si>
  <si>
    <t xml:space="preserve">TAGTCGCCGACCATGTCGTCTACC</t>
  </si>
  <si>
    <t xml:space="preserve">AAACGGTAGACGACATGGTCGGCG</t>
  </si>
  <si>
    <t xml:space="preserve">PSPPH_0546</t>
  </si>
  <si>
    <t xml:space="preserve">GTTGCGGTTGATTCGCGGGC</t>
  </si>
  <si>
    <t xml:space="preserve">TAGTGTTGCGGTTGATTCGCGGGC</t>
  </si>
  <si>
    <t xml:space="preserve">AAACGCCCGCGAATCAACCGCAAC</t>
  </si>
  <si>
    <t xml:space="preserve">TATCTTGCCAGCGCGCTTGC</t>
  </si>
  <si>
    <t xml:space="preserve">TAGTTATCTTGCCAGCGCGCTTGC</t>
  </si>
  <si>
    <t xml:space="preserve">AAACGCAAGCGCGCTGGCAAGATA</t>
  </si>
  <si>
    <t xml:space="preserve">CAGAAACAGGCCAGCAGCCC</t>
  </si>
  <si>
    <t xml:space="preserve">TAGTCAGAAACAGGCCAGCAGCCC</t>
  </si>
  <si>
    <t xml:space="preserve">AAACGGGCTGCTGGCCTGTTTCTG</t>
  </si>
  <si>
    <t xml:space="preserve">GCGAAGCAACCACCGTATTA</t>
  </si>
  <si>
    <t xml:space="preserve">TAGTGCGAAGCAACCACCGTATTA</t>
  </si>
  <si>
    <t xml:space="preserve">AAACTAATACGGTGGTTGCTTCGC</t>
  </si>
  <si>
    <t xml:space="preserve">PSPPH_0547</t>
  </si>
  <si>
    <t xml:space="preserve">parC</t>
  </si>
  <si>
    <t xml:space="preserve">ACCATCCAGGCTGAGGTCAA</t>
  </si>
  <si>
    <t xml:space="preserve">TAGTACCATCCAGGCTGAGGTCAA</t>
  </si>
  <si>
    <t xml:space="preserve">AAACTTGACCTCAGCCTGGATGGT</t>
  </si>
  <si>
    <t xml:space="preserve">CGGTGAAGTCAGCCAGTGAT</t>
  </si>
  <si>
    <t xml:space="preserve">TAGTCGGTGAAGTCAGCCAGTGAT</t>
  </si>
  <si>
    <t xml:space="preserve">AAACATCACTGGCTGACTTCACCG</t>
  </si>
  <si>
    <t xml:space="preserve">GTAGTTGAGGTAGGCCTGTT</t>
  </si>
  <si>
    <t xml:space="preserve">TAGTGTAGTTGAGGTAGGCCTGTT</t>
  </si>
  <si>
    <t xml:space="preserve">AAACAACAGGCCTACCTCAACTAC</t>
  </si>
  <si>
    <t xml:space="preserve">ACGGTCCATGATCACGTACA</t>
  </si>
  <si>
    <t xml:space="preserve">TAGTACGGTCCATGATCACGTACA</t>
  </si>
  <si>
    <t xml:space="preserve">AAACTGTACGTGATCATGGACCGT</t>
  </si>
  <si>
    <t xml:space="preserve">PSPPH_0548</t>
  </si>
  <si>
    <t xml:space="preserve">TCATCAGCAGGATCAGGGGA</t>
  </si>
  <si>
    <t xml:space="preserve">TAGTTCATCAGCAGGATCAGGGGA</t>
  </si>
  <si>
    <t xml:space="preserve">AAACTCCCCTGATCCTGCTGATGA</t>
  </si>
  <si>
    <t xml:space="preserve">GCTGATAAAGCGCGGTCGGC</t>
  </si>
  <si>
    <t xml:space="preserve">TAGTGCTGATAAAGCGCGGTCGGC</t>
  </si>
  <si>
    <t xml:space="preserve">AAACGCCGACCGCGCTTTATCAGC</t>
  </si>
  <si>
    <t xml:space="preserve">CTACTCTGTTTCGGCTGACC</t>
  </si>
  <si>
    <t xml:space="preserve">TAGTCTACTCTGTTTCGGCTGACC</t>
  </si>
  <si>
    <t xml:space="preserve">AAACGGTCAGCCGAAACAGAGTAG</t>
  </si>
  <si>
    <t xml:space="preserve">AGATAGTCGGCCACCGAAAC</t>
  </si>
  <si>
    <t xml:space="preserve">TAGTAGATAGTCGGCCACCGAAAC</t>
  </si>
  <si>
    <t xml:space="preserve">AAACGTTTCGGTGGCCGACTATCT</t>
  </si>
  <si>
    <t xml:space="preserve">PSPPH_0549</t>
  </si>
  <si>
    <t xml:space="preserve">CGGTTTTAACGGGCGTGGGC</t>
  </si>
  <si>
    <t xml:space="preserve">TAGTCGGTTTTAACGGGCGTGGGC</t>
  </si>
  <si>
    <t xml:space="preserve">AAACGCCCACGCCCGTTAAAACCG</t>
  </si>
  <si>
    <t xml:space="preserve">GATGAGCAGGAAGAAATTAT</t>
  </si>
  <si>
    <t xml:space="preserve">TAGTGATGAGCAGGAAGAAATTAT</t>
  </si>
  <si>
    <t xml:space="preserve">AAACATAATTTCTTCCTGCTCATC</t>
  </si>
  <si>
    <t xml:space="preserve">CGGTACACGGCGATGACGCA</t>
  </si>
  <si>
    <t xml:space="preserve">TAGTCGGTACACGGCGATGACGCA</t>
  </si>
  <si>
    <t xml:space="preserve">AAACTGCGTCATCGCCGTGTACCG</t>
  </si>
  <si>
    <t xml:space="preserve">CTGGCAATGCGCAAAGCGAT</t>
  </si>
  <si>
    <t xml:space="preserve">TAGTCTGGCAATGCGCAAAGCGAT</t>
  </si>
  <si>
    <t xml:space="preserve">AAACATCGCTTTGCGCATTGCCAG</t>
  </si>
  <si>
    <t xml:space="preserve">PSPPH_0550</t>
  </si>
  <si>
    <t xml:space="preserve">AATCAGGACGATTTCGCGCA</t>
  </si>
  <si>
    <t xml:space="preserve">TAGTAATCAGGACGATTTCGCGCA</t>
  </si>
  <si>
    <t xml:space="preserve">AAACTGCGCGAAATCGTCCTGATT</t>
  </si>
  <si>
    <t xml:space="preserve">TGGCAGCAGTGAGACCTGGA</t>
  </si>
  <si>
    <t xml:space="preserve">TAGTTGGCAGCAGTGAGACCTGGA</t>
  </si>
  <si>
    <t xml:space="preserve">AAACTCCAGGTCTCACTGCTGCCA</t>
  </si>
  <si>
    <t xml:space="preserve">CTGGGCGAGGACGCCGGTGA</t>
  </si>
  <si>
    <t xml:space="preserve">TAGTCTGGGCGAGGACGCCGGTGA</t>
  </si>
  <si>
    <t xml:space="preserve">AAACTCACCGGCGTCCTCGCCCAG</t>
  </si>
  <si>
    <t xml:space="preserve">TGCCGAACGACAGGGTGTCG</t>
  </si>
  <si>
    <t xml:space="preserve">TAGTTGCCGAACGACAGGGTGTCG</t>
  </si>
  <si>
    <t xml:space="preserve">AAACCGACACCCTGTCGTTCGGCA</t>
  </si>
  <si>
    <t xml:space="preserve">PSPPH_0551</t>
  </si>
  <si>
    <t xml:space="preserve">CGGTCAGCCCTTGATAGAGC</t>
  </si>
  <si>
    <t xml:space="preserve">TAGTCGGTCAGCCCTTGATAGAGC</t>
  </si>
  <si>
    <t xml:space="preserve">AAACGCTCTATCAAGGGCTGACCG</t>
  </si>
  <si>
    <t xml:space="preserve">GGTGATCAGTTGGTTCAGCT</t>
  </si>
  <si>
    <t xml:space="preserve">TAGTGGTGATCAGTTGGTTCAGCT</t>
  </si>
  <si>
    <t xml:space="preserve">AAACAGCTGAACCAACTGATCACC</t>
  </si>
  <si>
    <t xml:space="preserve">TTGCAGGCGGTTTTCGCTGG</t>
  </si>
  <si>
    <t xml:space="preserve">TAGTTTGCAGGCGGTTTTCGCTGG</t>
  </si>
  <si>
    <t xml:space="preserve">AAACCCAGCGAAAACCGCCTGCAA</t>
  </si>
  <si>
    <t xml:space="preserve">TTGCAGACGAAGTACACCTC</t>
  </si>
  <si>
    <t xml:space="preserve">TAGTTTGCAGACGAAGTACACCTC</t>
  </si>
  <si>
    <t xml:space="preserve">AAACGAGGTGTACTTCGTCTGCAA</t>
  </si>
  <si>
    <t xml:space="preserve">PSPPH_0552</t>
  </si>
  <si>
    <t xml:space="preserve">CAGCGACAAGCCATTGAATG</t>
  </si>
  <si>
    <t xml:space="preserve">TAGTCAGCGACAAGCCATTGAATG</t>
  </si>
  <si>
    <t xml:space="preserve">AAACCATTCAATGGCTTGTCGCTG</t>
  </si>
  <si>
    <t xml:space="preserve">AGACGCTCAAGCAGATCGTT</t>
  </si>
  <si>
    <t xml:space="preserve">TAGTAGACGCTCAAGCAGATCGTT</t>
  </si>
  <si>
    <t xml:space="preserve">AAACAACGATCTGCTTGAGCGTCT</t>
  </si>
  <si>
    <t xml:space="preserve">ATCCACGAGGATCAATTCCG</t>
  </si>
  <si>
    <t xml:space="preserve">TAGTATCCACGAGGATCAATTCCG</t>
  </si>
  <si>
    <t xml:space="preserve">AAACCGGAATTGATCCTCGTGGAT</t>
  </si>
  <si>
    <t xml:space="preserve">GGCTTCGTAGCGAGCGCTGC</t>
  </si>
  <si>
    <t xml:space="preserve">TAGTGGCTTCGTAGCGAGCGCTGC</t>
  </si>
  <si>
    <t xml:space="preserve">AAACGCAGCGCTCGCTACGAAGCC</t>
  </si>
  <si>
    <t xml:space="preserve">PSPPH_0553</t>
  </si>
  <si>
    <t xml:space="preserve">ACCCAGGCATCCAGCGTTTT</t>
  </si>
  <si>
    <t xml:space="preserve">TAGTACCCAGGCATCCAGCGTTTT</t>
  </si>
  <si>
    <t xml:space="preserve">AAACAAAACGCTGGATGCCTGGGT</t>
  </si>
  <si>
    <t xml:space="preserve">CCATGATTGACCGCCGGGAC</t>
  </si>
  <si>
    <t xml:space="preserve">TAGTCCATGATTGACCGCCGGGAC</t>
  </si>
  <si>
    <t xml:space="preserve">AAACGTCCCGGCGGTCAATCATGG</t>
  </si>
  <si>
    <t xml:space="preserve">CAGCGATTTCACGCAGCGAG</t>
  </si>
  <si>
    <t xml:space="preserve">TAGTCAGCGATTTCACGCAGCGAG</t>
  </si>
  <si>
    <t xml:space="preserve">AAACCTCGCTGCGTGAAATCGCTG</t>
  </si>
  <si>
    <t xml:space="preserve">TCACACTCAATACCAGTGCG</t>
  </si>
  <si>
    <t xml:space="preserve">TAGTTCACACTCAATACCAGTGCG</t>
  </si>
  <si>
    <t xml:space="preserve">AAACCGCACTGGTATTGAGTGTGA</t>
  </si>
  <si>
    <t xml:space="preserve">PSPPH_0554</t>
  </si>
  <si>
    <t xml:space="preserve">ATGCCGATGATTTTAGCCAT</t>
  </si>
  <si>
    <t xml:space="preserve">TAGTATGCCGATGATTTTAGCCAT</t>
  </si>
  <si>
    <t xml:space="preserve">AAACATGGCTAAAATCATCGGCAT</t>
  </si>
  <si>
    <t xml:space="preserve">GGGACAGCACATATCCGCCG</t>
  </si>
  <si>
    <t xml:space="preserve">TAGTGGGACAGCACATATCCGCCG</t>
  </si>
  <si>
    <t xml:space="preserve">AAACCGGCGGATATGTGCTGTCCC</t>
  </si>
  <si>
    <t xml:space="preserve">CAGCGCCATGATCTTGCCAT</t>
  </si>
  <si>
    <t xml:space="preserve">TAGTCAGCGCCATGATCTTGCCAT</t>
  </si>
  <si>
    <t xml:space="preserve">AAACATGGCAAGATCATGGCGCTG</t>
  </si>
  <si>
    <t xml:space="preserve">TGATCAAGACCTCGTAGGGC</t>
  </si>
  <si>
    <t xml:space="preserve">TAGTTGATCAAGACCTCGTAGGGC</t>
  </si>
  <si>
    <t xml:space="preserve">AAACGCCCTACGAGGTCTTGATCA</t>
  </si>
  <si>
    <t xml:space="preserve">PSPPH_0555</t>
  </si>
  <si>
    <t xml:space="preserve">TTTACGCGCTTGATGATAAT</t>
  </si>
  <si>
    <t xml:space="preserve">TAGTTTTACGCGCTTGATGATAAT</t>
  </si>
  <si>
    <t xml:space="preserve">AAACATTATCATCAAGCGCGTAAA</t>
  </si>
  <si>
    <t xml:space="preserve">GTCGGCAAACGCGATTTTCC</t>
  </si>
  <si>
    <t xml:space="preserve">TAGTGTCGGCAAACGCGATTTTCC</t>
  </si>
  <si>
    <t xml:space="preserve">AAACGGAAAATCGCGTTTGCCGAC</t>
  </si>
  <si>
    <t xml:space="preserve">CGCGAGCAACTGTTCGGGCG</t>
  </si>
  <si>
    <t xml:space="preserve">TAGTCGCGAGCAACTGTTCGGGCG</t>
  </si>
  <si>
    <t xml:space="preserve">AAACCGCCCGAACAGTTGCTCGCG</t>
  </si>
  <si>
    <t xml:space="preserve">GACCGGGTCCTTGAAGTAAC</t>
  </si>
  <si>
    <t xml:space="preserve">TAGTGACCGGGTCCTTGAAGTAAC</t>
  </si>
  <si>
    <t xml:space="preserve">AAACGTTACTTCAAGGACCCGGTC</t>
  </si>
  <si>
    <t xml:space="preserve">PSPPH_0556</t>
  </si>
  <si>
    <t xml:space="preserve">rsgA</t>
  </si>
  <si>
    <t xml:space="preserve">TTGAGTTGGCGTTTGGCCAT</t>
  </si>
  <si>
    <t xml:space="preserve">TAGTTTGAGTTGGCGTTTGGCCAT</t>
  </si>
  <si>
    <t xml:space="preserve">AAACATGGCCAAACGCCAACTCAA</t>
  </si>
  <si>
    <t xml:space="preserve">GGACTCGCGTTTTGCCGCGC</t>
  </si>
  <si>
    <t xml:space="preserve">TAGTGGACTCGCGTTTTGCCGCGC</t>
  </si>
  <si>
    <t xml:space="preserve">AAACGCGCGGCAAAACGCGAGTCC</t>
  </si>
  <si>
    <t xml:space="preserve">TTCCAGTGTTTCAAGCGTAG</t>
  </si>
  <si>
    <t xml:space="preserve">TAGTTTCCAGTGTTTCAAGCGTAG</t>
  </si>
  <si>
    <t xml:space="preserve">AAACCTACGCTTGAAACACTGGAA</t>
  </si>
  <si>
    <t xml:space="preserve">GACCGGTCTGTTCGGGGCCG</t>
  </si>
  <si>
    <t xml:space="preserve">TAGTGACCGGTCTGTTCGGGGCCG</t>
  </si>
  <si>
    <t xml:space="preserve">AAACCGGCCCCGAACAGACCGGTC</t>
  </si>
  <si>
    <t xml:space="preserve">PSPPH_0557</t>
  </si>
  <si>
    <t xml:space="preserve">orn</t>
  </si>
  <si>
    <t xml:space="preserve">TTTCCAGATCGATCCAGATC</t>
  </si>
  <si>
    <t xml:space="preserve">TAGTTTTCCAGATCGATCCAGATC</t>
  </si>
  <si>
    <t xml:space="preserve">AAACGATCTGGATCGATCTGGAAA</t>
  </si>
  <si>
    <t xml:space="preserve">ATCGGTATCAGGGTCCAGAC</t>
  </si>
  <si>
    <t xml:space="preserve">TAGTATCGGTATCAGGGTCCAGAC</t>
  </si>
  <si>
    <t xml:space="preserve">AAACGTCTGGACCCTGATACCGAT</t>
  </si>
  <si>
    <t xml:space="preserve">CTCGCTATCGGTGATGATCG</t>
  </si>
  <si>
    <t xml:space="preserve">TAGTCTCGCTATCGGTGATGATCG</t>
  </si>
  <si>
    <t xml:space="preserve">AAACCGATCATCACCGATAGCGAG</t>
  </si>
  <si>
    <t xml:space="preserve">GATTACCGGGCCTTCGGCCA</t>
  </si>
  <si>
    <t xml:space="preserve">TAGTGATTACCGGGCCTTCGGCCA</t>
  </si>
  <si>
    <t xml:space="preserve">AAACTGGCCGAAGGCCCGGTAATC</t>
  </si>
  <si>
    <t xml:space="preserve">PSPPH_0558</t>
  </si>
  <si>
    <t xml:space="preserve">CAGATAAAGCATCAGCAACA</t>
  </si>
  <si>
    <t xml:space="preserve">TAGTCAGATAAAGCATCAGCAACA</t>
  </si>
  <si>
    <t xml:space="preserve">AAACTGTTGCTGATGCTTTATCTG</t>
  </si>
  <si>
    <t xml:space="preserve">AGTCATGGCTTCAGCAGTGA</t>
  </si>
  <si>
    <t xml:space="preserve">TAGTAGTCATGGCTTCAGCAGTGA</t>
  </si>
  <si>
    <t xml:space="preserve">AAACTCACTGCTGAAGCCATGACT</t>
  </si>
  <si>
    <t xml:space="preserve">CGAACCAGTCCATTCCTCGA</t>
  </si>
  <si>
    <t xml:space="preserve">TAGTCGAACCAGTCCATTCCTCGA</t>
  </si>
  <si>
    <t xml:space="preserve">AAACTCGAGGAATGGACTGGTTCG</t>
  </si>
  <si>
    <t xml:space="preserve">TGACCCAGGTCAGCGGGTAA</t>
  </si>
  <si>
    <t xml:space="preserve">TAGTTGACCCAGGTCAGCGGGTAA</t>
  </si>
  <si>
    <t xml:space="preserve">AAACTTACCCGCTGACCTGGGTCA</t>
  </si>
  <si>
    <t xml:space="preserve">PSPPH_0559</t>
  </si>
  <si>
    <t xml:space="preserve">GGGAAGTACAGCAGTAATAG</t>
  </si>
  <si>
    <t xml:space="preserve">TAGTGGGAAGTACAGCAGTAATAG</t>
  </si>
  <si>
    <t xml:space="preserve">AAACCTATTACTGCTGTACTTCCC</t>
  </si>
  <si>
    <t xml:space="preserve">GCGGCGAGATCATCGGAAGT</t>
  </si>
  <si>
    <t xml:space="preserve">TAGTGCGGCGAGATCATCGGAAGT</t>
  </si>
  <si>
    <t xml:space="preserve">AAACACTTCCGATGATCTCGCCGC</t>
  </si>
  <si>
    <t xml:space="preserve">TGCCTTGATTGAGACGGCAA</t>
  </si>
  <si>
    <t xml:space="preserve">TAGTTGCCTTGATTGAGACGGCAA</t>
  </si>
  <si>
    <t xml:space="preserve">AAACTTGCCGTCTCAATCAAGGCA</t>
  </si>
  <si>
    <t xml:space="preserve">GGTGCTGCTCGTGCTCTGCC</t>
  </si>
  <si>
    <t xml:space="preserve">TAGTGGTGCTGCTCGTGCTCTGCC</t>
  </si>
  <si>
    <t xml:space="preserve">AAACGGCAGAGCACGAGCAGCACC</t>
  </si>
  <si>
    <t xml:space="preserve">PSPPH_0560</t>
  </si>
  <si>
    <t xml:space="preserve">TACAGCGCGTCGGGTAAATG</t>
  </si>
  <si>
    <t xml:space="preserve">TAGTTACAGCGCGTCGGGTAAATG</t>
  </si>
  <si>
    <t xml:space="preserve">AAACCATTTACCCGACGCGCTGTA</t>
  </si>
  <si>
    <t xml:space="preserve">ATCAAGGTCGCGGACCTGCG</t>
  </si>
  <si>
    <t xml:space="preserve">TAGTATCAAGGTCGCGGACCTGCG</t>
  </si>
  <si>
    <t xml:space="preserve">AAACCGCAGGTCCGCGACCTTGAT</t>
  </si>
  <si>
    <t xml:space="preserve">CAATTCCAGGCCTGGCGTAC</t>
  </si>
  <si>
    <t xml:space="preserve">TAGTCAATTCCAGGCCTGGCGTAC</t>
  </si>
  <si>
    <t xml:space="preserve">AAACGTACGCCAGGCCTGGAATTG</t>
  </si>
  <si>
    <t xml:space="preserve">TATCGTCCGCCATAGCGCCT</t>
  </si>
  <si>
    <t xml:space="preserve">TAGTTATCGTCCGCCATAGCGCCT</t>
  </si>
  <si>
    <t xml:space="preserve">AAACAGGCGCTATGGCGGACGATA</t>
  </si>
  <si>
    <t xml:space="preserve">PSPPH_0561</t>
  </si>
  <si>
    <t xml:space="preserve">GCGTGCACCAAAATTCATCA</t>
  </si>
  <si>
    <t xml:space="preserve">TAGTGCGTGCACCAAAATTCATCA</t>
  </si>
  <si>
    <t xml:space="preserve">AAACTGATGAATTTTGGTGCACGC</t>
  </si>
  <si>
    <t xml:space="preserve">CGCCTTCGGTAACTGCGGCC</t>
  </si>
  <si>
    <t xml:space="preserve">TAGTCGCCTTCGGTAACTGCGGCC</t>
  </si>
  <si>
    <t xml:space="preserve">AAACGGCCGCAGTTACCGAAGGCG</t>
  </si>
  <si>
    <t xml:space="preserve">AATCATTCCCCGCGAAAGAG</t>
  </si>
  <si>
    <t xml:space="preserve">TAGTAATCATTCCCCGCGAAAGAG</t>
  </si>
  <si>
    <t xml:space="preserve">AAACCTCTTTCGCGGGGAATGATT</t>
  </si>
  <si>
    <t xml:space="preserve">AGTAGGACTCTTGACAGCCC</t>
  </si>
  <si>
    <t xml:space="preserve">TAGTAGTAGGACTCTTGACAGCCC</t>
  </si>
  <si>
    <t xml:space="preserve">AAACGGGCTGTCAAGAGTCCTACT</t>
  </si>
  <si>
    <t xml:space="preserve">PSPPH_0562</t>
  </si>
  <si>
    <t xml:space="preserve">GGCAACCGCCTCGACAGCCA</t>
  </si>
  <si>
    <t xml:space="preserve">TAGTGGCAACCGCCTCGACAGCCA</t>
  </si>
  <si>
    <t xml:space="preserve">AAACTGGCTGTCGAGGCGGTTGCC</t>
  </si>
  <si>
    <t xml:space="preserve">GACACTTTTTACTTGCGTAG</t>
  </si>
  <si>
    <t xml:space="preserve">TAGTGACACTTTTTACTTGCGTAG</t>
  </si>
  <si>
    <t xml:space="preserve">AAACCTACGCAAGTAAAAAGTGTC</t>
  </si>
  <si>
    <t xml:space="preserve">TGTCCGGTGCTCGCCATAAG</t>
  </si>
  <si>
    <t xml:space="preserve">TAGTTGTCCGGTGCTCGCCATAAG</t>
  </si>
  <si>
    <t xml:space="preserve">AAACCTTATGGCGAGCACCGGACA</t>
  </si>
  <si>
    <t xml:space="preserve">TGTGCTGGACAGGCCCGGAC</t>
  </si>
  <si>
    <t xml:space="preserve">TAGTTGTGCTGGACAGGCCCGGAC</t>
  </si>
  <si>
    <t xml:space="preserve">AAACGTCCGGGCCTGTCCAGCACA</t>
  </si>
  <si>
    <t xml:space="preserve">PSPPH_0563</t>
  </si>
  <si>
    <t xml:space="preserve">mutL</t>
  </si>
  <si>
    <t xml:space="preserve">GGTGCCGTCGAGCAGAAGAT</t>
  </si>
  <si>
    <t xml:space="preserve">TAGTGGTGCCGTCGAGCAGAAGAT</t>
  </si>
  <si>
    <t xml:space="preserve">AAACATCTTCTGCTCGACGGCACC</t>
  </si>
  <si>
    <t xml:space="preserve">AGTCTGAGCGTTATCGGCTT</t>
  </si>
  <si>
    <t xml:space="preserve">TAGTAGTCTGAGCGTTATCGGCTT</t>
  </si>
  <si>
    <t xml:space="preserve">AAACAAGCCGATAACGCTCAGACT</t>
  </si>
  <si>
    <t xml:space="preserve">ATTCGATGCGCGCAGCGTTC</t>
  </si>
  <si>
    <t xml:space="preserve">TAGTATTCGATGCGCGCAGCGTTC</t>
  </si>
  <si>
    <t xml:space="preserve">AAACGAACGCTGCGCGCATCGAAT</t>
  </si>
  <si>
    <t xml:space="preserve">CGACTTCGCCGGCCGCAATC</t>
  </si>
  <si>
    <t xml:space="preserve">TAGTCGACTTCGCCGGCCGCAATC</t>
  </si>
  <si>
    <t xml:space="preserve">AAACGATTGCGGCCGGCGAAGTCG</t>
  </si>
  <si>
    <t xml:space="preserve">PSPPH_0564</t>
  </si>
  <si>
    <t xml:space="preserve">miaA</t>
  </si>
  <si>
    <t xml:space="preserve">CCCATGAGAAAGATGGCCGG</t>
  </si>
  <si>
    <t xml:space="preserve">TAGTCCCATGAGAAAGATGGCCGG</t>
  </si>
  <si>
    <t xml:space="preserve">AAACCCGGCCATCTTTCTCATGGG</t>
  </si>
  <si>
    <t xml:space="preserve">TCGGTCTTGCCTGCGGCGGT</t>
  </si>
  <si>
    <t xml:space="preserve">TAGTTCGGTCTTGCCTGCGGCGGT</t>
  </si>
  <si>
    <t xml:space="preserve">AAACACCGCCGCAGGCAAGACCGA</t>
  </si>
  <si>
    <t xml:space="preserve">CTTTGCTCAGTTCTATCGCA</t>
  </si>
  <si>
    <t xml:space="preserve">TAGTCTTTGCTCAGTTCTATCGCA</t>
  </si>
  <si>
    <t xml:space="preserve">AAACTGCGATAGAACTGAGCAAAG</t>
  </si>
  <si>
    <t xml:space="preserve">TCGACGCTGATCAGCTCGCA</t>
  </si>
  <si>
    <t xml:space="preserve">TAGTTCGACGCTGATCAGCTCGCA</t>
  </si>
  <si>
    <t xml:space="preserve">AAACTGCGAGCTGATCAGCGTCGA</t>
  </si>
  <si>
    <t xml:space="preserve">PSPPH_0565</t>
  </si>
  <si>
    <t xml:space="preserve">TTCGCAAGGTATTCAAGTAA</t>
  </si>
  <si>
    <t xml:space="preserve">TAGTTTCGCAAGGTATTCAAGTAA</t>
  </si>
  <si>
    <t xml:space="preserve">AAACTTACTTGAATACCTTGCGAA</t>
  </si>
  <si>
    <t xml:space="preserve">GCAGCTTGATACCGTTGACC</t>
  </si>
  <si>
    <t xml:space="preserve">TAGTGCAGCTTGATACCGTTGACC</t>
  </si>
  <si>
    <t xml:space="preserve">AAACGGTCAACGGTATCAAGCTGC</t>
  </si>
  <si>
    <t xml:space="preserve">TCTTCAGCAAAATGACGAAC</t>
  </si>
  <si>
    <t xml:space="preserve">TAGTTCTTCAGCAAAATGACGAAC</t>
  </si>
  <si>
    <t xml:space="preserve">AAACGTTCGTCATTTTGCTGAAGA</t>
  </si>
  <si>
    <t xml:space="preserve">TGGCGTGTTTGTAGACCATC</t>
  </si>
  <si>
    <t xml:space="preserve">TAGTTGGCGTGTTTGTAGACCATC</t>
  </si>
  <si>
    <t xml:space="preserve">AAACGATGGTCTACAAACACGCCA</t>
  </si>
  <si>
    <t xml:space="preserve">PSPPH_0566</t>
  </si>
  <si>
    <t xml:space="preserve">ACTGTGGCGCTCAAAGAACA</t>
  </si>
  <si>
    <t xml:space="preserve">TAGTACTGTGGCGCTCAAAGAACA</t>
  </si>
  <si>
    <t xml:space="preserve">AAACTGTTCTTTGAGCGCCACAGT</t>
  </si>
  <si>
    <t xml:space="preserve">GCGGATCTTCGCGCGCCTCA</t>
  </si>
  <si>
    <t xml:space="preserve">TAGTGCGGATCTTCGCGCGCCTCA</t>
  </si>
  <si>
    <t xml:space="preserve">AAACTGAGGCGCGCGAAGATCCGC</t>
  </si>
  <si>
    <t xml:space="preserve">GGTATCGGCACCGGCCGATA</t>
  </si>
  <si>
    <t xml:space="preserve">TAGTGGTATCGGCACCGGCCGATA</t>
  </si>
  <si>
    <t xml:space="preserve">AAACTATCGGCCGGTGCCGATACC</t>
  </si>
  <si>
    <t xml:space="preserve">CGGCACGTTGATAAACGCAA</t>
  </si>
  <si>
    <t xml:space="preserve">TAGTCGGCACGTTGATAAACGCAA</t>
  </si>
  <si>
    <t xml:space="preserve">AAACTTGCGTTTATCAACGTGCCG</t>
  </si>
  <si>
    <t xml:space="preserve">PSPPH_0567</t>
  </si>
  <si>
    <t xml:space="preserve">hflK</t>
  </si>
  <si>
    <t xml:space="preserve">TGATTATTCGAGTTGCCACC</t>
  </si>
  <si>
    <t xml:space="preserve">TAGTTGATTATTCGAGTTGCCACC</t>
  </si>
  <si>
    <t xml:space="preserve">AAACGGTGGCAACTCGAATAATCA</t>
  </si>
  <si>
    <t xml:space="preserve">CCACGGCGTTTGCCACCCCA</t>
  </si>
  <si>
    <t xml:space="preserve">TAGTCCACGGCGTTTGCCACCCCA</t>
  </si>
  <si>
    <t xml:space="preserve">AAACTGGGGTGGCAAACGCCGTGG</t>
  </si>
  <si>
    <t xml:space="preserve">CGAGATCAGGTGGTCCCTTG</t>
  </si>
  <si>
    <t xml:space="preserve">TAGTCGAGATCAGGTGGTCCCTTG</t>
  </si>
  <si>
    <t xml:space="preserve">AAACCAAGGGACCACCTGATCTCG</t>
  </si>
  <si>
    <t xml:space="preserve">GCTTTCCTGCAGCTTACGGA</t>
  </si>
  <si>
    <t xml:space="preserve">TAGTGCTTTCCTGCAGCTTACGGA</t>
  </si>
  <si>
    <t xml:space="preserve">AAACTCCGTAAGCTGCAGGAAAGC</t>
  </si>
  <si>
    <t xml:space="preserve">PSPPH_0568</t>
  </si>
  <si>
    <t xml:space="preserve">hflC</t>
  </si>
  <si>
    <t xml:space="preserve">CAGTACCACGCCGACAATAA</t>
  </si>
  <si>
    <t xml:space="preserve">TAGTCAGTACCACGCCGACAATAA</t>
  </si>
  <si>
    <t xml:space="preserve">AAACTTATTGTCGGCGTGGTACTG</t>
  </si>
  <si>
    <t xml:space="preserve">CACTATGTAGAAGCTGTTCC</t>
  </si>
  <si>
    <t xml:space="preserve">TAGTCACTATGTAGAAGCTGTTCC</t>
  </si>
  <si>
    <t xml:space="preserve">AAACGGAACAGCTTCTACATAGTG</t>
  </si>
  <si>
    <t xml:space="preserve">CAGAACCGCGCGCTCGGTCT</t>
  </si>
  <si>
    <t xml:space="preserve">TAGTCAGAACCGCGCGCTCGGTCT</t>
  </si>
  <si>
    <t xml:space="preserve">AAACAGACCGAGCGCGCGGTTCTG</t>
  </si>
  <si>
    <t xml:space="preserve">GACCTGGCTGAACGTCCGCC</t>
  </si>
  <si>
    <t xml:space="preserve">TAGTGACCTGGCTGAACGTCCGCC</t>
  </si>
  <si>
    <t xml:space="preserve">AAACGGCGGACGTTCAGCCAGGTC</t>
  </si>
  <si>
    <t xml:space="preserve">PSPPH_0569</t>
  </si>
  <si>
    <t xml:space="preserve">TGCCATCTGGTAGCAGCCAG</t>
  </si>
  <si>
    <t xml:space="preserve">TAGTTGCCATCTGGTAGCAGCCAG</t>
  </si>
  <si>
    <t xml:space="preserve">AAACCTGGCTGCTACCAGATGGCA</t>
  </si>
  <si>
    <t xml:space="preserve">TCAATGCACGCCGCTTCCGG</t>
  </si>
  <si>
    <t xml:space="preserve">TAGTTCAATGCACGCCGCTTCCGG</t>
  </si>
  <si>
    <t xml:space="preserve">AAACCCGGAAGCGGCGTGCATTGA</t>
  </si>
  <si>
    <t xml:space="preserve">GAAACAGATCCAACACCTGA</t>
  </si>
  <si>
    <t xml:space="preserve">TAGTGAAACAGATCCAACACCTGA</t>
  </si>
  <si>
    <t xml:space="preserve">AAACTCAGGTGTTGGATCTGTTTC</t>
  </si>
  <si>
    <t xml:space="preserve">GATTCGAGATATTCGATATG</t>
  </si>
  <si>
    <t xml:space="preserve">TAGTGATTCGAGATATTCGATATG</t>
  </si>
  <si>
    <t xml:space="preserve">AAACCATATCGAATATCTCGAATC</t>
  </si>
  <si>
    <t xml:space="preserve">PSPPH_0570</t>
  </si>
  <si>
    <t xml:space="preserve">purA</t>
  </si>
  <si>
    <t xml:space="preserve">CATCACCCCATTGAGTGCCC</t>
  </si>
  <si>
    <t xml:space="preserve">TAGTCATCACCCCATTGAGTGCCC</t>
  </si>
  <si>
    <t xml:space="preserve">AAACGGGCACTCAATGGGGTGATG</t>
  </si>
  <si>
    <t xml:space="preserve">AACTACGGCGGTAGCATGTT</t>
  </si>
  <si>
    <t xml:space="preserve">TAGTAACTACGGCGGTAGCATGTT</t>
  </si>
  <si>
    <t xml:space="preserve">AAACAACATGCTACCGCCGTAGTT</t>
  </si>
  <si>
    <t xml:space="preserve">CCAGTGTGTGACCAGCGTTG</t>
  </si>
  <si>
    <t xml:space="preserve">TAGTCCAGTGTGTGACCAGCGTTG</t>
  </si>
  <si>
    <t xml:space="preserve">AAACCAACGCTGGTCACACACTGG</t>
  </si>
  <si>
    <t xml:space="preserve">GGACGGAATCAGGTGCAATA</t>
  </si>
  <si>
    <t xml:space="preserve">TAGTGGACGGAATCAGGTGCAATA</t>
  </si>
  <si>
    <t xml:space="preserve">AAACTATTGCACCTGATTCCGTCC</t>
  </si>
  <si>
    <t xml:space="preserve">PSPPH_0571</t>
  </si>
  <si>
    <t xml:space="preserve">AGAGATAAGACAGCAGACAC</t>
  </si>
  <si>
    <t xml:space="preserve">TAGTAGAGATAAGACAGCAGACAC</t>
  </si>
  <si>
    <t xml:space="preserve">AAACGTGTCTGCTGTCTTATCTCT</t>
  </si>
  <si>
    <t xml:space="preserve">TGAAGACCGGGCGCAGCAGA</t>
  </si>
  <si>
    <t xml:space="preserve">TAGTTGAAGACCGGGCGCAGCAGA</t>
  </si>
  <si>
    <t xml:space="preserve">AAACTCTGCTGCGCCCGGTCTTCA</t>
  </si>
  <si>
    <t xml:space="preserve">CACCAAAAGGGCAATGCCCA</t>
  </si>
  <si>
    <t xml:space="preserve">TAGTCACCAAAAGGGCAATGCCCA</t>
  </si>
  <si>
    <t xml:space="preserve">AAACTGGGCATTGCCCTTTTGGTG</t>
  </si>
  <si>
    <t xml:space="preserve">AAGCGCCGTGACCGTGCTCC</t>
  </si>
  <si>
    <t xml:space="preserve">TAGTAAGCGCCGTGACCGTGCTCC</t>
  </si>
  <si>
    <t xml:space="preserve">AAACGGAGCACGGTCACGGCGCTT</t>
  </si>
  <si>
    <t xml:space="preserve">PSPPH_0574</t>
  </si>
  <si>
    <t xml:space="preserve">rnr</t>
  </si>
  <si>
    <t xml:space="preserve">GGGATCGAGGGACTGCCAAT</t>
  </si>
  <si>
    <t xml:space="preserve">TAGTGGGATCGAGGGACTGCCAAT</t>
  </si>
  <si>
    <t xml:space="preserve">AAACATTGGCAGTCCCTCGATCCC</t>
  </si>
  <si>
    <t xml:space="preserve">TCCGCTTCACGAGCGGCCTC</t>
  </si>
  <si>
    <t xml:space="preserve">TAGTTCCGCTTCACGAGCGGCCTC</t>
  </si>
  <si>
    <t xml:space="preserve">AAACGAGGCCGCTCGTGAAGCGGA</t>
  </si>
  <si>
    <t xml:space="preserve">TCAGCTCACGGCTGGGAATA</t>
  </si>
  <si>
    <t xml:space="preserve">TAGTTCAGCTCACGGCTGGGAATA</t>
  </si>
  <si>
    <t xml:space="preserve">AAACTATTCCCAGCCGTGAGCTGA</t>
  </si>
  <si>
    <t xml:space="preserve">ACCAGTTGCTCACGACTGGC</t>
  </si>
  <si>
    <t xml:space="preserve">TAGTACCAGTTGCTCACGACTGGC</t>
  </si>
  <si>
    <t xml:space="preserve">AAACGCCAGTCGTGAGCAACTGGT</t>
  </si>
  <si>
    <t xml:space="preserve">PSPPH_0575</t>
  </si>
  <si>
    <t xml:space="preserve">ATGACGAAGTAACGCTTCTA</t>
  </si>
  <si>
    <t xml:space="preserve">TAGTATGACGAAGTAACGCTTCTA</t>
  </si>
  <si>
    <t xml:space="preserve">AAACTAGAAGCGTTACTTCGTCAT</t>
  </si>
  <si>
    <t xml:space="preserve">AGATGTGCTTGACGCGTTTC</t>
  </si>
  <si>
    <t xml:space="preserve">TAGTAGATGTGCTTGACGCGTTTC</t>
  </si>
  <si>
    <t xml:space="preserve">AAACGAAACGCGTCAAGCACATCT</t>
  </si>
  <si>
    <t xml:space="preserve">GCGAGGGTCGTTACGACCCT</t>
  </si>
  <si>
    <t xml:space="preserve">TAGTGCGAGGGTCGTTACGACCCT</t>
  </si>
  <si>
    <t xml:space="preserve">AAACAGGGTCGTAACGACCCTCGC</t>
  </si>
  <si>
    <t xml:space="preserve">GCGACGCTCCGCCTGACCAA</t>
  </si>
  <si>
    <t xml:space="preserve">TAGTGCGACGCTCCGCCTGACCAA</t>
  </si>
  <si>
    <t xml:space="preserve">AAACTTGGTCAGGCGGAGCGTCGC</t>
  </si>
  <si>
    <t xml:space="preserve">PSPPH_0576</t>
  </si>
  <si>
    <t xml:space="preserve">rpsF</t>
  </si>
  <si>
    <t xml:space="preserve">CTTGCTCGCTTTGATCCGGG</t>
  </si>
  <si>
    <t xml:space="preserve">TAGTCTTGCTCGCTTTGATCCGGG</t>
  </si>
  <si>
    <t xml:space="preserve">AAACCCCGGATCAAAGCGAGCAAG</t>
  </si>
  <si>
    <t xml:space="preserve">GCCGTCTTCTTCGATCAGCT</t>
  </si>
  <si>
    <t xml:space="preserve">TAGTGCCGTCTTCTTCGATCAGCT</t>
  </si>
  <si>
    <t xml:space="preserve">AAACAGCTGATCGAAGAAGACGGC</t>
  </si>
  <si>
    <t xml:space="preserve">GGCCCCAATCTTCCAGACGG</t>
  </si>
  <si>
    <t xml:space="preserve">TAGTGGCCCCAATCTTCCAGACGG</t>
  </si>
  <si>
    <t xml:space="preserve">AAACCCGTCTGGAAGATTGGGGCC</t>
  </si>
  <si>
    <t xml:space="preserve">TTGCGTAAGCCAGTTGACGA</t>
  </si>
  <si>
    <t xml:space="preserve">TAGTTTGCGTAAGCCAGTTGACGA</t>
  </si>
  <si>
    <t xml:space="preserve">AAACTCGTCAACTGGCTTACGCAA</t>
  </si>
  <si>
    <t xml:space="preserve">PSPPH_0577</t>
  </si>
  <si>
    <t xml:space="preserve">rpsR</t>
  </si>
  <si>
    <t xml:space="preserve">AGCGGCAGAATTTACGACGA</t>
  </si>
  <si>
    <t xml:space="preserve">TAGTAGCGGCAGAATTTACGACGA</t>
  </si>
  <si>
    <t xml:space="preserve">AAACTCGTCGTAAATTCTGCCGCT</t>
  </si>
  <si>
    <t xml:space="preserve">GATCTCTTTGACGTCTTCAG</t>
  </si>
  <si>
    <t xml:space="preserve">TAGTGATCTCTTTGACGTCTTCAG</t>
  </si>
  <si>
    <t xml:space="preserve">AAACCTGAAGACGTCAAAGAGATC</t>
  </si>
  <si>
    <t xml:space="preserve">TTTGCCGGTCTCGGATACGT</t>
  </si>
  <si>
    <t xml:space="preserve">TAGTTTTGCCGGTCTCGGATACGT</t>
  </si>
  <si>
    <t xml:space="preserve">AAACACGTATCCGAGACCGGCAAA</t>
  </si>
  <si>
    <t xml:space="preserve">TTGGTACCAGTGATACGGCT</t>
  </si>
  <si>
    <t xml:space="preserve">TAGTTTGGTACCAGTGATACGGCT</t>
  </si>
  <si>
    <t xml:space="preserve">AAACAGCCGTATCACTGGTACCAA</t>
  </si>
  <si>
    <t xml:space="preserve">PSPPH_0578</t>
  </si>
  <si>
    <t xml:space="preserve">GCGCATGATGAATTCAGCCA</t>
  </si>
  <si>
    <t xml:space="preserve">TAGTGCGCATGATGAATTCAGCCA</t>
  </si>
  <si>
    <t xml:space="preserve">AAACTGGCTGAATTCATCATGCGC</t>
  </si>
  <si>
    <t xml:space="preserve">CTACAAGAGTGGCCTGCATA</t>
  </si>
  <si>
    <t xml:space="preserve">TAGTCTACAAGAGTGGCCTGCATA</t>
  </si>
  <si>
    <t xml:space="preserve">AAACTATGCAGGCCACTCTTGTAG</t>
  </si>
  <si>
    <t xml:space="preserve">GCACTCAACCAGAACAACAG</t>
  </si>
  <si>
    <t xml:space="preserve">TAGTGCACTCAACCAGAACAACAG</t>
  </si>
  <si>
    <t xml:space="preserve">AAACCTGTTGTTCTGGTTGAGTGC</t>
  </si>
  <si>
    <t xml:space="preserve">CAGGAGCACAAGGCACCCTG</t>
  </si>
  <si>
    <t xml:space="preserve">TAGTCAGGAGCACAAGGCACCCTG</t>
  </si>
  <si>
    <t xml:space="preserve">AAACCAGGGTGCCTTGTGCTCCTG</t>
  </si>
  <si>
    <t xml:space="preserve">PSPPH_0579</t>
  </si>
  <si>
    <t xml:space="preserve">rplI</t>
  </si>
  <si>
    <t xml:space="preserve">GGTTGGCGACTTTTTCCAGA</t>
  </si>
  <si>
    <t xml:space="preserve">TAGTGGTTGGCGACTTTTTCCAGA</t>
  </si>
  <si>
    <t xml:space="preserve">AAACTCTGGAAAAAGTCGCCAACC</t>
  </si>
  <si>
    <t xml:space="preserve">CTTTGTCGCCCAGGTTGCCC</t>
  </si>
  <si>
    <t xml:space="preserve">TAGTCTTTGTCGCCCAGGTTGCCC</t>
  </si>
  <si>
    <t xml:space="preserve">AAACGGGCAACCTGGGCGACAAAG</t>
  </si>
  <si>
    <t xml:space="preserve">CAGGTAGTTACGACCGTAGC</t>
  </si>
  <si>
    <t xml:space="preserve">TAGTCAGGTAGTTACGACCGTAGC</t>
  </si>
  <si>
    <t xml:space="preserve">AAACGCTACGGTCGTAACTACCTG</t>
  </si>
  <si>
    <t xml:space="preserve">GCAGCGGTTGCTTTGCCGTA</t>
  </si>
  <si>
    <t xml:space="preserve">TAGTGCAGCGGTTGCTTTGCCGTA</t>
  </si>
  <si>
    <t xml:space="preserve">AAACTACGGCAAAGCAACCGCTGC</t>
  </si>
  <si>
    <t xml:space="preserve">PSPPH_0580</t>
  </si>
  <si>
    <t xml:space="preserve">dnaB</t>
  </si>
  <si>
    <t xml:space="preserve">GGGGGTGGAAATATCGTTCA</t>
  </si>
  <si>
    <t xml:space="preserve">TAGTGGGGGTGGAAATATCGTTCA</t>
  </si>
  <si>
    <t xml:space="preserve">AAACTGAACGATATTTCCACCCCC</t>
  </si>
  <si>
    <t xml:space="preserve">GTTTGCAGATCGTATTGTTC</t>
  </si>
  <si>
    <t xml:space="preserve">TAGTGTTTGCAGATCGTATTGTTC</t>
  </si>
  <si>
    <t xml:space="preserve">AAACGAACAATACGATCTGCAAAC</t>
  </si>
  <si>
    <t xml:space="preserve">TGGCGGCACCTTCAGGGCAG</t>
  </si>
  <si>
    <t xml:space="preserve">TAGTTGGCGGCACCTTCAGGGCAG</t>
  </si>
  <si>
    <t xml:space="preserve">AAACCTGCCCTGAAGGTGCCGCCA</t>
  </si>
  <si>
    <t xml:space="preserve">TGTTCGGCCTCGATGGAATG</t>
  </si>
  <si>
    <t xml:space="preserve">TAGTTGTTCGGCCTCGATGGAATG</t>
  </si>
  <si>
    <t xml:space="preserve">AAACCATTCCATCGAGGCCGAACA</t>
  </si>
  <si>
    <t xml:space="preserve">PSPPH_0581</t>
  </si>
  <si>
    <t xml:space="preserve">GGGATAGTCAAATAACGGCT</t>
  </si>
  <si>
    <t xml:space="preserve">TAGTGGGATAGTCAAATAACGGCT</t>
  </si>
  <si>
    <t xml:space="preserve">AAACAGCCGTTATTTGACTATCCC</t>
  </si>
  <si>
    <t xml:space="preserve">AAACATTCGGCCCAGTACTT</t>
  </si>
  <si>
    <t xml:space="preserve">TAGTAAACATTCGGCCCAGTACTT</t>
  </si>
  <si>
    <t xml:space="preserve">AAACAAGTACTGGGCCGAATGTTT</t>
  </si>
  <si>
    <t xml:space="preserve">CTCATGGGCAGGAAAGGTGC</t>
  </si>
  <si>
    <t xml:space="preserve">TAGTCTCATGGGCAGGAAAGGTGC</t>
  </si>
  <si>
    <t xml:space="preserve">AAACGCACCTTTCCTGCCCATGAG</t>
  </si>
  <si>
    <t xml:space="preserve">CAAGCAGATCCATCTCTTCC</t>
  </si>
  <si>
    <t xml:space="preserve">TAGTCAAGCAGATCCATCTCTTCC</t>
  </si>
  <si>
    <t xml:space="preserve">AAACGGAAGAGATGGATCTGCTTG</t>
  </si>
  <si>
    <t xml:space="preserve">PSPPH_0582</t>
  </si>
  <si>
    <t xml:space="preserve">TCTGAAAGCGGTTGTTGCGC</t>
  </si>
  <si>
    <t xml:space="preserve">TAGTTCTGAAAGCGGTTGTTGCGC</t>
  </si>
  <si>
    <t xml:space="preserve">AAACGCGCAACAACCGCTTTCAGA</t>
  </si>
  <si>
    <t xml:space="preserve">TGAGCGTCGACAGCCGGGGT</t>
  </si>
  <si>
    <t xml:space="preserve">TAGTTGAGCGTCGACAGCCGGGGT</t>
  </si>
  <si>
    <t xml:space="preserve">AAACACCCCGGCTGTCGACGCTCA</t>
  </si>
  <si>
    <t xml:space="preserve">CACTTTCGGCCGGATCCATG</t>
  </si>
  <si>
    <t xml:space="preserve">TAGTCACTTTCGGCCGGATCCATG</t>
  </si>
  <si>
    <t xml:space="preserve">AAACCATGGATCCGGCCGAAAGTG</t>
  </si>
  <si>
    <t xml:space="preserve">AATGTCTTCAAGGCTGATAG</t>
  </si>
  <si>
    <t xml:space="preserve">TAGTAATGTCTTCAAGGCTGATAG</t>
  </si>
  <si>
    <t xml:space="preserve">AAACCTATCAGCCTTGAAGACATT</t>
  </si>
  <si>
    <t xml:space="preserve">PSPPH_0583</t>
  </si>
  <si>
    <t xml:space="preserve">CAAGGCAATATGAATCGACA</t>
  </si>
  <si>
    <t xml:space="preserve">TAGTCAAGGCAATATGAATCGACA</t>
  </si>
  <si>
    <t xml:space="preserve">AAACTGTCGATTCATATTGCCTTG</t>
  </si>
  <si>
    <t xml:space="preserve">CGTAGCGATAGTGCGTGACA</t>
  </si>
  <si>
    <t xml:space="preserve">TAGTCGTAGCGATAGTGCGTGACA</t>
  </si>
  <si>
    <t xml:space="preserve">AAACTGTCACGCACTATCGCTACG</t>
  </si>
  <si>
    <t xml:space="preserve">GGGCGCAGGCGAACGATCTG</t>
  </si>
  <si>
    <t xml:space="preserve">TAGTGGGCGCAGGCGAACGATCTG</t>
  </si>
  <si>
    <t xml:space="preserve">AAACCAGATCGTTCGCCTGCGCCC</t>
  </si>
  <si>
    <t xml:space="preserve">GCGTGCGGCTGTGAGCGGCC</t>
  </si>
  <si>
    <t xml:space="preserve">TAGTGCGTGCGGCTGTGAGCGGCC</t>
  </si>
  <si>
    <t xml:space="preserve">AAACGGCCGCTCACAGCCGCACGC</t>
  </si>
  <si>
    <t xml:space="preserve">PSPPH_0584</t>
  </si>
  <si>
    <t xml:space="preserve">TCGGGCATGGAAGGCTCGGC</t>
  </si>
  <si>
    <t xml:space="preserve">TAGTTCGGGCATGGAAGGCTCGGC</t>
  </si>
  <si>
    <t xml:space="preserve">AAACGCCGAGCCTTCCATGCCCGA</t>
  </si>
  <si>
    <t xml:space="preserve">ACAGCGGGTAATGGTCAAGC</t>
  </si>
  <si>
    <t xml:space="preserve">TAGTACAGCGGGTAATGGTCAAGC</t>
  </si>
  <si>
    <t xml:space="preserve">AAACGCTTGACCATTACCCGCTGT</t>
  </si>
  <si>
    <t xml:space="preserve">CATTTCGTGGTAAGTACCCT</t>
  </si>
  <si>
    <t xml:space="preserve">TAGTCATTTCGTGGTAAGTACCCT</t>
  </si>
  <si>
    <t xml:space="preserve">AAACAGGGTACTTACCACGAAATG</t>
  </si>
  <si>
    <t xml:space="preserve">GTGCGGGCGGACGGCACCGT</t>
  </si>
  <si>
    <t xml:space="preserve">TAGTGTGCGGGCGGACGGCACCGT</t>
  </si>
  <si>
    <t xml:space="preserve">AAACACGGTGCCGTCCGCCCGCAC</t>
  </si>
  <si>
    <t xml:space="preserve">PSPPH_0585</t>
  </si>
  <si>
    <t xml:space="preserve">GTCATGAAAAATCTGGTAGA</t>
  </si>
  <si>
    <t xml:space="preserve">TAGTGTCATGAAAAATCTGGTAGA</t>
  </si>
  <si>
    <t xml:space="preserve">AAACTCTACCAGATTTTTCATGAC</t>
  </si>
  <si>
    <t xml:space="preserve">GTTGCTGAGCCAGCGAAACC</t>
  </si>
  <si>
    <t xml:space="preserve">TAGTGTTGCTGAGCCAGCGAAACC</t>
  </si>
  <si>
    <t xml:space="preserve">AAACGGTTTCGCTGGCTCAGCAAC</t>
  </si>
  <si>
    <t xml:space="preserve">CGCTGCCACGGGCTGCTGCG</t>
  </si>
  <si>
    <t xml:space="preserve">TAGTCGCTGCCACGGGCTGCTGCG</t>
  </si>
  <si>
    <t xml:space="preserve">AAACCGCAGCAGCCCGTGGCAGCG</t>
  </si>
  <si>
    <t xml:space="preserve">GAAAATCTCGAGAGCCTGCT</t>
  </si>
  <si>
    <t xml:space="preserve">TAGTGAAAATCTCGAGAGCCTGCT</t>
  </si>
  <si>
    <t xml:space="preserve">AAACAGCAGGCTCTCGAGATTTTC</t>
  </si>
  <si>
    <t xml:space="preserve">PSPPH_0586</t>
  </si>
  <si>
    <t xml:space="preserve">azu</t>
  </si>
  <si>
    <t xml:space="preserve">GGCAGCCAGCAACTGGCTAC</t>
  </si>
  <si>
    <t xml:space="preserve">TAGTGGCAGCCAGCAACTGGCTAC</t>
  </si>
  <si>
    <t xml:space="preserve">AAACGTAGCCAGTTGCTGGCTGCC</t>
  </si>
  <si>
    <t xml:space="preserve">ATCGACTGTGGCCGAACACT</t>
  </si>
  <si>
    <t xml:space="preserve">TAGTATCGACTGTGGCCGAACACT</t>
  </si>
  <si>
    <t xml:space="preserve">AAACAGTGTTCGGCCACAGTCGAT</t>
  </si>
  <si>
    <t xml:space="preserve">GGTGTCGTACATCATTTGAT</t>
  </si>
  <si>
    <t xml:space="preserve">TAGTGGTGTCGTACATCATTTGAT</t>
  </si>
  <si>
    <t xml:space="preserve">AAACATCAAATGATGTACGACACC</t>
  </si>
  <si>
    <t xml:space="preserve">CTTGTCGATCTCAATGGCTT</t>
  </si>
  <si>
    <t xml:space="preserve">TAGTCTTGTCGATCTCAATGGCTT</t>
  </si>
  <si>
    <t xml:space="preserve">AAACAAGCCATTGAGATCGACAAG</t>
  </si>
  <si>
    <t xml:space="preserve">PSPPH_0587</t>
  </si>
  <si>
    <t xml:space="preserve">nadE</t>
  </si>
  <si>
    <t xml:space="preserve">TTCAGCAATCTGGCGCTGTA</t>
  </si>
  <si>
    <t xml:space="preserve">TAGTTTCAGCAATCTGGCGCTGTA</t>
  </si>
  <si>
    <t xml:space="preserve">AAACTACAGCGCCAGATTGCTGAA</t>
  </si>
  <si>
    <t xml:space="preserve">TCTGGTCCGCGAAAGGTGGC</t>
  </si>
  <si>
    <t xml:space="preserve">TAGTTCTGGTCCGCGAAAGGTGGC</t>
  </si>
  <si>
    <t xml:space="preserve">AAACGCCACCTTTCGCGGACCAGA</t>
  </si>
  <si>
    <t xml:space="preserve">ACTGACGCGGCGGGCGACTT</t>
  </si>
  <si>
    <t xml:space="preserve">TAGTACTGACGCGGCGGGCGACTT</t>
  </si>
  <si>
    <t xml:space="preserve">AAACAAGTCGCCCGCCGCGTCAGT</t>
  </si>
  <si>
    <t xml:space="preserve">TCTTGAGCCGTGCGTTCTGC</t>
  </si>
  <si>
    <t xml:space="preserve">TAGTTCTTGAGCCGTGCGTTCTGC</t>
  </si>
  <si>
    <t xml:space="preserve">AAACGCAGAACGCACGGCTCAAGA</t>
  </si>
  <si>
    <t xml:space="preserve">PSPPH_0588</t>
  </si>
  <si>
    <t xml:space="preserve">pncB</t>
  </si>
  <si>
    <t xml:space="preserve">TTGCACGATACGATTTGAAA</t>
  </si>
  <si>
    <t xml:space="preserve">TAGTTTGCACGATACGATTTGAAA</t>
  </si>
  <si>
    <t xml:space="preserve">AAACTTTCAAATCGTATCGTGCAA</t>
  </si>
  <si>
    <t xml:space="preserve">TGTAGAAATCGGTGTCGAGC</t>
  </si>
  <si>
    <t xml:space="preserve">TAGTTGTAGAAATCGGTGTCGAGC</t>
  </si>
  <si>
    <t xml:space="preserve">AAACGCTCGACACCGATTTCTACA</t>
  </si>
  <si>
    <t xml:space="preserve">GTGCAGCACTGCCTGCATCA</t>
  </si>
  <si>
    <t xml:space="preserve">TAGTGTGCAGCACTGCCTGCATCA</t>
  </si>
  <si>
    <t xml:space="preserve">AAACTGATGCAGGCAGTGCTGCAC</t>
  </si>
  <si>
    <t xml:space="preserve">CCCATTCAACATCCACGTTA</t>
  </si>
  <si>
    <t xml:space="preserve">TAGTCCCATTCAACATCCACGTTA</t>
  </si>
  <si>
    <t xml:space="preserve">AAACTAACGTGGATGTTGAATGGG</t>
  </si>
  <si>
    <t xml:space="preserve">PSPPH_0589</t>
  </si>
  <si>
    <t xml:space="preserve">CATTGCAATGCGGCTATCGA</t>
  </si>
  <si>
    <t xml:space="preserve">TAGTCATTGCAATGCGGCTATCGA</t>
  </si>
  <si>
    <t xml:space="preserve">AAACTCGATAGCCGCATTGCAATG</t>
  </si>
  <si>
    <t xml:space="preserve">GCGGGTGAAGCTCAGGTGCC</t>
  </si>
  <si>
    <t xml:space="preserve">TAGTGCGGGTGAAGCTCAGGTGCC</t>
  </si>
  <si>
    <t xml:space="preserve">AAACGGCACCTGAGCTTCACCCGC</t>
  </si>
  <si>
    <t xml:space="preserve">CTGCGCAACCTGTTTGCTGA</t>
  </si>
  <si>
    <t xml:space="preserve">TAGTCTGCGCAACCTGTTTGCTGA</t>
  </si>
  <si>
    <t xml:space="preserve">AAACTCAGCAAACAGGTTGCGCAG</t>
  </si>
  <si>
    <t xml:space="preserve">GGCGGACGCGCTGAAACAGC</t>
  </si>
  <si>
    <t xml:space="preserve">TAGTGGCGGACGCGCTGAAACAGC</t>
  </si>
  <si>
    <t xml:space="preserve">AAACGCTGTTTCAGCGCGTCCGCC</t>
  </si>
  <si>
    <t xml:space="preserve">PSPPH_0590</t>
  </si>
  <si>
    <t xml:space="preserve">GATGCGTTCGCGCCGGTCAT</t>
  </si>
  <si>
    <t xml:space="preserve">TAGTGATGCGTTCGCGCCGGTCAT</t>
  </si>
  <si>
    <t xml:space="preserve">AAACATGACCGGCGCGAACGCATC</t>
  </si>
  <si>
    <t xml:space="preserve">GCCCGCCGCGTTGATCGCGT</t>
  </si>
  <si>
    <t xml:space="preserve">TAGTGCCCGCCGCGTTGATCGCGT</t>
  </si>
  <si>
    <t xml:space="preserve">AAACACGCGATCAACGCGGCGGGC</t>
  </si>
  <si>
    <t xml:space="preserve">CACGGCCTGTTTCGGCTCAC</t>
  </si>
  <si>
    <t xml:space="preserve">TAGTCACGGCCTGTTTCGGCTCAC</t>
  </si>
  <si>
    <t xml:space="preserve">AAACGTGAGCCGAAACAGGCCGTG</t>
  </si>
  <si>
    <t xml:space="preserve">GTCGTTATCGACCAGACGGT</t>
  </si>
  <si>
    <t xml:space="preserve">TAGTGTCGTTATCGACCAGACGGT</t>
  </si>
  <si>
    <t xml:space="preserve">AAACACCGTCTGGTCGATAACGAC</t>
  </si>
  <si>
    <t xml:space="preserve">PSPPH_0591</t>
  </si>
  <si>
    <t xml:space="preserve">braD</t>
  </si>
  <si>
    <t xml:space="preserve">GTCCGTTGACCATTTGTTGC</t>
  </si>
  <si>
    <t xml:space="preserve">TAGTGTCCGTTGACCATTTGTTGC</t>
  </si>
  <si>
    <t xml:space="preserve">AAACGCAACAAATGGTCAACGGAC</t>
  </si>
  <si>
    <t xml:space="preserve">GAGGCCATAGACAGACCCGA</t>
  </si>
  <si>
    <t xml:space="preserve">TAGTGAGGCCATAGACAGACCCGA</t>
  </si>
  <si>
    <t xml:space="preserve">AAACTCGGGTCTGTCTATGGCCTC</t>
  </si>
  <si>
    <t xml:space="preserve">AATCATATAAACGTCGCCGT</t>
  </si>
  <si>
    <t xml:space="preserve">TAGTAATCATATAAACGTCGCCGT</t>
  </si>
  <si>
    <t xml:space="preserve">AAACACGGCGACGTTTATATGATT</t>
  </si>
  <si>
    <t xml:space="preserve">ACCGATAGCGGCCAGGTAGG</t>
  </si>
  <si>
    <t xml:space="preserve">TAGTACCGATAGCGGCCAGGTAGG</t>
  </si>
  <si>
    <t xml:space="preserve">AAACCCTACCTGGCCGCTATCGGT</t>
  </si>
  <si>
    <t xml:space="preserve">PSPPH_0592</t>
  </si>
  <si>
    <t xml:space="preserve">braE</t>
  </si>
  <si>
    <t xml:space="preserve">GACAGGAGCAGCAACAGGAG</t>
  </si>
  <si>
    <t xml:space="preserve">TAGTGACAGGAGCAGCAACAGGAG</t>
  </si>
  <si>
    <t xml:space="preserve">AAACCTCCTGTTGCTGCTCCTGTC</t>
  </si>
  <si>
    <t xml:space="preserve">AGGCTTTTCTTGATTTCAAC</t>
  </si>
  <si>
    <t xml:space="preserve">TAGTAGGCTTTTCTTGATTTCAAC</t>
  </si>
  <si>
    <t xml:space="preserve">AAACGTTGAAATCAAGAAAAGCCT</t>
  </si>
  <si>
    <t xml:space="preserve">CCGCAACCACGGCATCTATC</t>
  </si>
  <si>
    <t xml:space="preserve">TAGTCCGCAACCACGGCATCTATC</t>
  </si>
  <si>
    <t xml:space="preserve">AAACGATAGATGCCGTGGTTGCGG</t>
  </si>
  <si>
    <t xml:space="preserve">TCGAGCACTATCCCGACGAT</t>
  </si>
  <si>
    <t xml:space="preserve">TAGTTCGAGCACTATCCCGACGAT</t>
  </si>
  <si>
    <t xml:space="preserve">AAACATCGTCGGGATAGTGCTCGA</t>
  </si>
  <si>
    <t xml:space="preserve">PSPPH_0593</t>
  </si>
  <si>
    <t xml:space="preserve">GTGCATCATCAGGTGCTCGA</t>
  </si>
  <si>
    <t xml:space="preserve">TAGTGTGCATCATCAGGTGCTCGA</t>
  </si>
  <si>
    <t xml:space="preserve">AAACTCGAGCACCTGATGATGCAC</t>
  </si>
  <si>
    <t xml:space="preserve">TAGAGTTGCGGCGAACTTTG</t>
  </si>
  <si>
    <t xml:space="preserve">TAGTTAGAGTTGCGGCGAACTTTG</t>
  </si>
  <si>
    <t xml:space="preserve">AAACCAAAGTTCGCCGCAACTCTA</t>
  </si>
  <si>
    <t xml:space="preserve">GGTCAGGCAGTTGAACACGG</t>
  </si>
  <si>
    <t xml:space="preserve">TAGTGGTCAGGCAGTTGAACACGG</t>
  </si>
  <si>
    <t xml:space="preserve">AAACCCGTGTTCAACTGCCTGACC</t>
  </si>
  <si>
    <t xml:space="preserve">GCCTGTGGCCTTGTAGAAGC</t>
  </si>
  <si>
    <t xml:space="preserve">TAGTGCCTGTGGCCTTGTAGAAGC</t>
  </si>
  <si>
    <t xml:space="preserve">AAACGCTTCTACAAGGCCACAGGC</t>
  </si>
  <si>
    <t xml:space="preserve">PSPPH_0594</t>
  </si>
  <si>
    <t xml:space="preserve">ATCTCTTTCAGTTCGAGGAT</t>
  </si>
  <si>
    <t xml:space="preserve">TAGTATCTCTTTCAGTTCGAGGAT</t>
  </si>
  <si>
    <t xml:space="preserve">AAACATCCTCGAACTGAAAGAGAT</t>
  </si>
  <si>
    <t xml:space="preserve">ACCTTCTTCAAAGCCTGAAT</t>
  </si>
  <si>
    <t xml:space="preserve">TAGTACCTTCTTCAAAGCCTGAAT</t>
  </si>
  <si>
    <t xml:space="preserve">AAACATTCAGGCTTTGAAGAAGGT</t>
  </si>
  <si>
    <t xml:space="preserve">AGTCGACTTGCCTGCACCGT</t>
  </si>
  <si>
    <t xml:space="preserve">TAGTAGTCGACTTGCCTGCACCGT</t>
  </si>
  <si>
    <t xml:space="preserve">AAACACGGTGCAGGCAAGTCGACT</t>
  </si>
  <si>
    <t xml:space="preserve">ATCTGCCCGCTGGCGGCGCG</t>
  </si>
  <si>
    <t xml:space="preserve">TAGTATCTGCCCGCTGGCGGCGCG</t>
  </si>
  <si>
    <t xml:space="preserve">AAACCGCGCCGCCAGCGGGCAGAT</t>
  </si>
  <si>
    <t xml:space="preserve">PSPPH_0595</t>
  </si>
  <si>
    <t xml:space="preserve">TTTTGATAGTTTTTTGATTG</t>
  </si>
  <si>
    <t xml:space="preserve">TAGTTTTTGATAGTTTTTTGATTG</t>
  </si>
  <si>
    <t xml:space="preserve">AAACCAATCAAAAAACTATCAAAA</t>
  </si>
  <si>
    <t xml:space="preserve">ATAGAAGGATTGTTGGCGTA</t>
  </si>
  <si>
    <t xml:space="preserve">TAGTATAGAAGGATTGTTGGCGTA</t>
  </si>
  <si>
    <t xml:space="preserve">AAACTACGCCAACAATCCTTCTAT</t>
  </si>
  <si>
    <t xml:space="preserve">ATTTGTATTTTTCTATTATA</t>
  </si>
  <si>
    <t xml:space="preserve">TAGTATTTGTATTTTTCTATTATA</t>
  </si>
  <si>
    <t xml:space="preserve">AAACTATAATAGAAAAATACAAAT</t>
  </si>
  <si>
    <t xml:space="preserve">GCGTTGTTCGGTCTAATACA</t>
  </si>
  <si>
    <t xml:space="preserve">TAGTGCGTTGTTCGGTCTAATACA</t>
  </si>
  <si>
    <t xml:space="preserve">AAACTGTATTAGACCGAACAACGC</t>
  </si>
  <si>
    <t xml:space="preserve">PSPPH_0596</t>
  </si>
  <si>
    <t xml:space="preserve">TTCCATTTGGTGTTTCGATC</t>
  </si>
  <si>
    <t xml:space="preserve">TAGTTTCCATTTGGTGTTTCGATC</t>
  </si>
  <si>
    <t xml:space="preserve">AAACGATCGAAACACCAAATGGAA</t>
  </si>
  <si>
    <t xml:space="preserve">TTTGAGTCTTTATCACTGTT</t>
  </si>
  <si>
    <t xml:space="preserve">TAGTTTTGAGTCTTTATCACTGTT</t>
  </si>
  <si>
    <t xml:space="preserve">AAACAACAGTGATAAAGACTCAAA</t>
  </si>
  <si>
    <t xml:space="preserve">CCCGTCGGGATGATAAATTG</t>
  </si>
  <si>
    <t xml:space="preserve">TAGTCCCGTCGGGATGATAAATTG</t>
  </si>
  <si>
    <t xml:space="preserve">AAACCAATTTATCATCCCGACGGG</t>
  </si>
  <si>
    <t xml:space="preserve">TGCTGTATCAGGGACCTTTA</t>
  </si>
  <si>
    <t xml:space="preserve">TAGTTGCTGTATCAGGGACCTTTA</t>
  </si>
  <si>
    <t xml:space="preserve">AAACTAAAGGTCCCTGATACAGCA</t>
  </si>
  <si>
    <t xml:space="preserve">PSPPH_0597</t>
  </si>
  <si>
    <t xml:space="preserve">AGCGCCCGTGATGAATACAG</t>
  </si>
  <si>
    <t xml:space="preserve">TAGTAGCGCCCGTGATGAATACAG</t>
  </si>
  <si>
    <t xml:space="preserve">AAACCTGTATTCATCACGGGCGCT</t>
  </si>
  <si>
    <t xml:space="preserve">GGCACAGGCCTCACCGAAAC</t>
  </si>
  <si>
    <t xml:space="preserve">TAGTGGCACAGGCCTCACCGAAAC</t>
  </si>
  <si>
    <t xml:space="preserve">AAACGTTTCGGTGAGGCCTGTGCC</t>
  </si>
  <si>
    <t xml:space="preserve">GCCTGCTTCGGCAAAACGGC</t>
  </si>
  <si>
    <t xml:space="preserve">TAGTGCCTGCTTCGGCAAAACGGC</t>
  </si>
  <si>
    <t xml:space="preserve">AAACGCCGTTTTGCCGAAGCAGGC</t>
  </si>
  <si>
    <t xml:space="preserve">CGGCAAGACGGTCCTCGCGA</t>
  </si>
  <si>
    <t xml:space="preserve">TAGTCGGCAAGACGGTCCTCGCGA</t>
  </si>
  <si>
    <t xml:space="preserve">AAACTCGCGAGGACCGTCTTGCCG</t>
  </si>
  <si>
    <t xml:space="preserve">PSPPH_0598</t>
  </si>
  <si>
    <t xml:space="preserve">GATTGCTGCATGCGGGGTCG</t>
  </si>
  <si>
    <t xml:space="preserve">TAGTGATTGCTGCATGCGGGGTCG</t>
  </si>
  <si>
    <t xml:space="preserve">AAACCGACCCCGCATGCAGCAATC</t>
  </si>
  <si>
    <t xml:space="preserve">GAAGTGCGCAGCATGTTATC</t>
  </si>
  <si>
    <t xml:space="preserve">TAGTGAAGTGCGCAGCATGTTATC</t>
  </si>
  <si>
    <t xml:space="preserve">AAACGATAACATGCTGCGCACTTC</t>
  </si>
  <si>
    <t xml:space="preserve">TGAGGCATCGGCTGGCATCG</t>
  </si>
  <si>
    <t xml:space="preserve">TAGTTGAGGCATCGGCTGGCATCG</t>
  </si>
  <si>
    <t xml:space="preserve">AAACCGATGCCAGCCGATGCCTCA</t>
  </si>
  <si>
    <t xml:space="preserve">TTCAGGCGTGGGGGCGGAAC</t>
  </si>
  <si>
    <t xml:space="preserve">TAGTTTCAGGCGTGGGGGCGGAAC</t>
  </si>
  <si>
    <t xml:space="preserve">AAACGTTCCGCCCCCACGCCTGAA</t>
  </si>
  <si>
    <t xml:space="preserve">PSPPH_0599</t>
  </si>
  <si>
    <t xml:space="preserve">dxs</t>
  </si>
  <si>
    <t xml:space="preserve">GGGATCTCTTTGAACGTCGT</t>
  </si>
  <si>
    <t xml:space="preserve">TAGTGGGATCTCTTTGAACGTCGT</t>
  </si>
  <si>
    <t xml:space="preserve">AAACACGACGTTCAAAGAGATCCC</t>
  </si>
  <si>
    <t xml:space="preserve">GCGTGACCGGGCGCTCGCGG</t>
  </si>
  <si>
    <t xml:space="preserve">TAGTGCGTGACCGGGCGCTCGCGG</t>
  </si>
  <si>
    <t xml:space="preserve">AAACCCGCGAGCGCCCGGTCACGC</t>
  </si>
  <si>
    <t xml:space="preserve">GTATCGGCTCGGTCGAGCAG</t>
  </si>
  <si>
    <t xml:space="preserve">TAGTGTATCGGCTCGGTCGAGCAG</t>
  </si>
  <si>
    <t xml:space="preserve">AAACCTGCTCGACCGAGCCGATAC</t>
  </si>
  <si>
    <t xml:space="preserve">CAGACGGCGCAGGCCGTGCG</t>
  </si>
  <si>
    <t xml:space="preserve">TAGTCAGACGGCGCAGGCCGTGCG</t>
  </si>
  <si>
    <t xml:space="preserve">AAACCGCACGGCCTGCGCCGTCTG</t>
  </si>
  <si>
    <t xml:space="preserve">PSPPH_0600</t>
  </si>
  <si>
    <t xml:space="preserve">ispA</t>
  </si>
  <si>
    <t xml:space="preserve">GTGCTGCGTTGACGCGAGTC</t>
  </si>
  <si>
    <t xml:space="preserve">TAGTGTGCTGCGTTGACGCGAGTC</t>
  </si>
  <si>
    <t xml:space="preserve">AAACGACTCGCGTCAACGCAGCAC</t>
  </si>
  <si>
    <t xml:space="preserve">AGCCGGTTCAGCTCAGGGCT</t>
  </si>
  <si>
    <t xml:space="preserve">TAGTAGCCGGTTCAGCTCAGGGCT</t>
  </si>
  <si>
    <t xml:space="preserve">AAACAGCCCTGAGCTGAACCGGCT</t>
  </si>
  <si>
    <t xml:space="preserve">GTTCATCACGCTGTAGCGCA</t>
  </si>
  <si>
    <t xml:space="preserve">TAGTGTTCATCACGCTGTAGCGCA</t>
  </si>
  <si>
    <t xml:space="preserve">AAACTGCGCTACAGCGTGATGAAC</t>
  </si>
  <si>
    <t xml:space="preserve">AGGCCGCGTAGGCCAGCAGC</t>
  </si>
  <si>
    <t xml:space="preserve">TAGTAGGCCGCGTAGGCCAGCAGC</t>
  </si>
  <si>
    <t xml:space="preserve">AAACGCTGCTGGCCTACGCGGCCT</t>
  </si>
  <si>
    <t xml:space="preserve">PSPPH_0601</t>
  </si>
  <si>
    <t xml:space="preserve">xseB</t>
  </si>
  <si>
    <t xml:space="preserve">ACGGCGACGGAGCAATGCAA</t>
  </si>
  <si>
    <t xml:space="preserve">TAGTACGGCGACGGAGCAATGCAA</t>
  </si>
  <si>
    <t xml:space="preserve">AAACTTGCATTGCTCCGTCGCCGT</t>
  </si>
  <si>
    <t xml:space="preserve">CTAGCAGAGCGAGGGCTTCT</t>
  </si>
  <si>
    <t xml:space="preserve">TAGTCTAGCAGAGCGAGGGCTTCT</t>
  </si>
  <si>
    <t xml:space="preserve">AAACAGAAGCCCTCGCTCTGCTAG</t>
  </si>
  <si>
    <t xml:space="preserve">CATGGGGGCATTTCCGGTAG</t>
  </si>
  <si>
    <t xml:space="preserve">TAGTCATGGGGGCATTTCCGGTAG</t>
  </si>
  <si>
    <t xml:space="preserve">AAACCTACCGGAAATGCCCCCATG</t>
  </si>
  <si>
    <t xml:space="preserve">ATCCAGTGCAGCTTTCTTGC</t>
  </si>
  <si>
    <t xml:space="preserve">TAGTATCCAGTGCAGCTTTCTTGC</t>
  </si>
  <si>
    <t xml:space="preserve">AAACGCAAGAAAGCTGCACTGGAT</t>
  </si>
  <si>
    <t xml:space="preserve">PSPPH_0602</t>
  </si>
  <si>
    <t xml:space="preserve">metC</t>
  </si>
  <si>
    <t xml:space="preserve">GGGTCCTTATCGTGCGGCAT</t>
  </si>
  <si>
    <t xml:space="preserve">TAGTGGGTCCTTATCGTGCGGCAT</t>
  </si>
  <si>
    <t xml:space="preserve">AAACATGCCGCACGATAAGGACCC</t>
  </si>
  <si>
    <t xml:space="preserve">ACAGGGCGGTGTGGGCGCGA</t>
  </si>
  <si>
    <t xml:space="preserve">TAGTACAGGGCGGTGTGGGCGCGA</t>
  </si>
  <si>
    <t xml:space="preserve">AAACTCGCGCCCACACCGCCCTGT</t>
  </si>
  <si>
    <t xml:space="preserve">CTGGCCCGCTGCTGGCGCTA</t>
  </si>
  <si>
    <t xml:space="preserve">TAGTCTGGCCCGCTGCTGGCGCTA</t>
  </si>
  <si>
    <t xml:space="preserve">AAACTAGCGCCAGCAGCGGGCCAG</t>
  </si>
  <si>
    <t xml:space="preserve">TACTCAGACGCACGACCGGC</t>
  </si>
  <si>
    <t xml:space="preserve">TAGTTACTCAGACGCACGACCGGC</t>
  </si>
  <si>
    <t xml:space="preserve">AAACGCCGGTCGTGCGTCTGAGTA</t>
  </si>
  <si>
    <t xml:space="preserve">PSPPH_0603</t>
  </si>
  <si>
    <t xml:space="preserve">ACAGGCGTATGCGGTGCATT</t>
  </si>
  <si>
    <t xml:space="preserve">TAGTACAGGCGTATGCGGTGCATT</t>
  </si>
  <si>
    <t xml:space="preserve">AAACAATGCACCGCATACGCCTGT</t>
  </si>
  <si>
    <t xml:space="preserve">CCTGCCAGTAAAGCTCGATC</t>
  </si>
  <si>
    <t xml:space="preserve">TAGTCCTGCCAGTAAAGCTCGATC</t>
  </si>
  <si>
    <t xml:space="preserve">AAACGATCGAGCTTTACTGGCAGG</t>
  </si>
  <si>
    <t xml:space="preserve">ATTCGGCGTTTTCAATCTTG</t>
  </si>
  <si>
    <t xml:space="preserve">TAGTATTCGGCGTTTTCAATCTTG</t>
  </si>
  <si>
    <t xml:space="preserve">AAACCAAGATTGAAAACGCCGAAT</t>
  </si>
  <si>
    <t xml:space="preserve">CTGGGTTACAGCCAGATGCT</t>
  </si>
  <si>
    <t xml:space="preserve">TAGTCTGGGTTACAGCCAGATGCT</t>
  </si>
  <si>
    <t xml:space="preserve">AAACAGCATCTGGCTGTAACCCAG</t>
  </si>
  <si>
    <t xml:space="preserve">PSPPH_0604</t>
  </si>
  <si>
    <t xml:space="preserve">CGGCGGGGTGTAAGGGGTTT</t>
  </si>
  <si>
    <t xml:space="preserve">TAGTCGGCGGGGTGTAAGGGGTTT</t>
  </si>
  <si>
    <t xml:space="preserve">AAACAAACCCCTTACACCCCGCCG</t>
  </si>
  <si>
    <t xml:space="preserve">GTTTCCTGCTGCCATACCTT</t>
  </si>
  <si>
    <t xml:space="preserve">TAGTGTTTCCTGCTGCCATACCTT</t>
  </si>
  <si>
    <t xml:space="preserve">AAACAAGGTATGGCAGCAGGAAAC</t>
  </si>
  <si>
    <t xml:space="preserve">GGCTACGGGCCGGTTGATGC</t>
  </si>
  <si>
    <t xml:space="preserve">TAGTGGCTACGGGCCGGTTGATGC</t>
  </si>
  <si>
    <t xml:space="preserve">AAACGCATCAACCGGCCCGTAGCC</t>
  </si>
  <si>
    <t xml:space="preserve">TACCTTGTCATGCGTGGGAC</t>
  </si>
  <si>
    <t xml:space="preserve">TAGTTACCTTGTCATGCGTGGGAC</t>
  </si>
  <si>
    <t xml:space="preserve">AAACGTCCCACGCATGACAAGGTA</t>
  </si>
  <si>
    <t xml:space="preserve">PSPPH_0605</t>
  </si>
  <si>
    <t xml:space="preserve">GCAGCTAAATGGCCTTTTCG</t>
  </si>
  <si>
    <t xml:space="preserve">TAGTGCAGCTAAATGGCCTTTTCG</t>
  </si>
  <si>
    <t xml:space="preserve">AAACCGAAAAGGCCATTTAGCTGC</t>
  </si>
  <si>
    <t xml:space="preserve">AATATTCCACAAACTACCGG</t>
  </si>
  <si>
    <t xml:space="preserve">TAGTAATATTCCACAAACTACCGG</t>
  </si>
  <si>
    <t xml:space="preserve">AAACCCGGTAGTTTGTGGAATATT</t>
  </si>
  <si>
    <t xml:space="preserve">GACGACGCCTTAGTTACTGT</t>
  </si>
  <si>
    <t xml:space="preserve">TAGTGACGACGCCTTAGTTACTGT</t>
  </si>
  <si>
    <t xml:space="preserve">AAACACAGTAACTAAGGCGTCGTC</t>
  </si>
  <si>
    <t xml:space="preserve">TTTCATAGAGTTACAGCTAT</t>
  </si>
  <si>
    <t xml:space="preserve">TAGTTTTCATAGAGTTACAGCTAT</t>
  </si>
  <si>
    <t xml:space="preserve">AAACATAGCTGTAACTCTATGAAA</t>
  </si>
  <si>
    <t xml:space="preserve">PSPPH_0607</t>
  </si>
  <si>
    <t xml:space="preserve">GAAGTTTGTTTAGGATTTTT</t>
  </si>
  <si>
    <t xml:space="preserve">TAGTGAAGTTTGTTTAGGATTTTT</t>
  </si>
  <si>
    <t xml:space="preserve">AAACAAAAATCCTAAACAAACTTC</t>
  </si>
  <si>
    <t xml:space="preserve">CAGGATTTTGGAGGCCAAGC</t>
  </si>
  <si>
    <t xml:space="preserve">TAGTCAGGATTTTGGAGGCCAAGC</t>
  </si>
  <si>
    <t xml:space="preserve">AAACGCTTGGCCTCCAAAATCCTG</t>
  </si>
  <si>
    <t xml:space="preserve">CAATTCCTTCTGGATGGCCG</t>
  </si>
  <si>
    <t xml:space="preserve">TAGTCAATTCCTTCTGGATGGCCG</t>
  </si>
  <si>
    <t xml:space="preserve">AAACCGGCCATCCAGAAGGAATTG</t>
  </si>
  <si>
    <t xml:space="preserve">GCCGGTCGAAGCTTGAGCCA</t>
  </si>
  <si>
    <t xml:space="preserve">TAGTGCCGGTCGAAGCTTGAGCCA</t>
  </si>
  <si>
    <t xml:space="preserve">AAACTGGCTCAAGCTTCGACCGGC</t>
  </si>
  <si>
    <t xml:space="preserve">PSPPH_0608</t>
  </si>
  <si>
    <t xml:space="preserve">ATTCATGATCGTGAATCATT</t>
  </si>
  <si>
    <t xml:space="preserve">TAGTATTCATGATCGTGAATCATT</t>
  </si>
  <si>
    <t xml:space="preserve">AAACAATGATTCACGATCATGAAT</t>
  </si>
  <si>
    <t xml:space="preserve">CTCGATTTACCCCGCCCAAT</t>
  </si>
  <si>
    <t xml:space="preserve">TAGTCTCGATTTACCCCGCCCAAT</t>
  </si>
  <si>
    <t xml:space="preserve">AAACATTGGGCGGGGTAAATCGAG</t>
  </si>
  <si>
    <t xml:space="preserve">TTGCCAGTAGTGTCAAGTAC</t>
  </si>
  <si>
    <t xml:space="preserve">TAGTTTGCCAGTAGTGTCAAGTAC</t>
  </si>
  <si>
    <t xml:space="preserve">AAACGTACTTGACACTACTGGCAA</t>
  </si>
  <si>
    <t xml:space="preserve">CAGCAAAAAAACCGCAATGC</t>
  </si>
  <si>
    <t xml:space="preserve">TAGTCAGCAAAAAAACCGCAATGC</t>
  </si>
  <si>
    <t xml:space="preserve">AAACGCATTGCGGTTTTTTTGCTG</t>
  </si>
  <si>
    <t xml:space="preserve">PSPPH_0609</t>
  </si>
  <si>
    <t xml:space="preserve">TCTATCAAGGCCCGAGCGTC</t>
  </si>
  <si>
    <t xml:space="preserve">TAGTTCTATCAAGGCCCGAGCGTC</t>
  </si>
  <si>
    <t xml:space="preserve">AAACGACGCTCGGGCCTTGATAGA</t>
  </si>
  <si>
    <t xml:space="preserve">CGCATCCATCGCGATTACAG</t>
  </si>
  <si>
    <t xml:space="preserve">TAGTCGCATCCATCGCGATTACAG</t>
  </si>
  <si>
    <t xml:space="preserve">AAACCTGTAATCGCGATGGATGCG</t>
  </si>
  <si>
    <t xml:space="preserve">ACGCCTCTTTTGTAAGGCTT</t>
  </si>
  <si>
    <t xml:space="preserve">TAGTACGCCTCTTTTGTAAGGCTT</t>
  </si>
  <si>
    <t xml:space="preserve">AAACAAGCCTTACAAAAGAGGCGT</t>
  </si>
  <si>
    <t xml:space="preserve">CCTAAAGCAAATGTTGTATT</t>
  </si>
  <si>
    <t xml:space="preserve">TAGTCCTAAAGCAAATGTTGTATT</t>
  </si>
  <si>
    <t xml:space="preserve">AAACAATACAACATTTGCTTTAGG</t>
  </si>
  <si>
    <t xml:space="preserve">PSPPH_0610</t>
  </si>
  <si>
    <t xml:space="preserve">AGCTTTGATCTTCAAAGTCC</t>
  </si>
  <si>
    <t xml:space="preserve">TAGTAGCTTTGATCTTCAAAGTCC</t>
  </si>
  <si>
    <t xml:space="preserve">AAACGGACTTTGAAGATCAAAGCT</t>
  </si>
  <si>
    <t xml:space="preserve">GGCCTGCATCCCGATACGCA</t>
  </si>
  <si>
    <t xml:space="preserve">TAGTGGCCTGCATCCCGATACGCA</t>
  </si>
  <si>
    <t xml:space="preserve">AAACTGCGTATCGGGATGCAGGCC</t>
  </si>
  <si>
    <t xml:space="preserve">ATCGTCATCAAAGCTATTGA</t>
  </si>
  <si>
    <t xml:space="preserve">TAGTATCGTCATCAAAGCTATTGA</t>
  </si>
  <si>
    <t xml:space="preserve">AAACTCAATAGCTTTGATGACGAT</t>
  </si>
  <si>
    <t xml:space="preserve">GGAGTAACACTGTAGTTATA</t>
  </si>
  <si>
    <t xml:space="preserve">TAGTGGAGTAACACTGTAGTTATA</t>
  </si>
  <si>
    <t xml:space="preserve">AAACTATAACTACAGTGTTACTCC</t>
  </si>
  <si>
    <t xml:space="preserve">PSPPH_0611</t>
  </si>
  <si>
    <t xml:space="preserve">AATTTGGGTATCGGCACGCA</t>
  </si>
  <si>
    <t xml:space="preserve">TAGTAATTTGGGTATCGGCACGCA</t>
  </si>
  <si>
    <t xml:space="preserve">AAACTGCGTGCCGATACCCAAATT</t>
  </si>
  <si>
    <t xml:space="preserve">GCCAAAGGGTGGCGCGCTTG</t>
  </si>
  <si>
    <t xml:space="preserve">TAGTGCCAAAGGGTGGCGCGCTTG</t>
  </si>
  <si>
    <t xml:space="preserve">AAACCAAGCGCGCCACCCTTTGGC</t>
  </si>
  <si>
    <t xml:space="preserve">GGGCGCAGGACTTGTTCTGA</t>
  </si>
  <si>
    <t xml:space="preserve">TAGTGGGCGCAGGACTTGTTCTGA</t>
  </si>
  <si>
    <t xml:space="preserve">AAACTCAGAACAAGTCCTGCGCCC</t>
  </si>
  <si>
    <t xml:space="preserve">AATTCTCAAGCCATGCTCTG</t>
  </si>
  <si>
    <t xml:space="preserve">TAGTAATTCTCAAGCCATGCTCTG</t>
  </si>
  <si>
    <t xml:space="preserve">AAACCAGAGCATGGCTTGAGAATT</t>
  </si>
  <si>
    <t xml:space="preserve">PSPPH_0612</t>
  </si>
  <si>
    <t xml:space="preserve">AGCTGCCGCAGAACCGAATT</t>
  </si>
  <si>
    <t xml:space="preserve">TAGTAGCTGCCGCAGAACCGAATT</t>
  </si>
  <si>
    <t xml:space="preserve">AAACAATTCGGTTCTGCGGCAGCT</t>
  </si>
  <si>
    <t xml:space="preserve">GAAGTTTGTCGATGGCCATT</t>
  </si>
  <si>
    <t xml:space="preserve">TAGTGAAGTTTGTCGATGGCCATT</t>
  </si>
  <si>
    <t xml:space="preserve">AAACAATGGCCATCGACAAACTTC</t>
  </si>
  <si>
    <t xml:space="preserve">TCGAGCTTGCCGAGATATGT</t>
  </si>
  <si>
    <t xml:space="preserve">TAGTTCGAGCTTGCCGAGATATGT</t>
  </si>
  <si>
    <t xml:space="preserve">AAACACATATCTCGGCAAGCTCGA</t>
  </si>
  <si>
    <t xml:space="preserve">CGACCGCCCACTAGGAAACA</t>
  </si>
  <si>
    <t xml:space="preserve">TAGTCGACCGCCCACTAGGAAACA</t>
  </si>
  <si>
    <t xml:space="preserve">AAACTGTTTCCTAGTGGGCGGTCG</t>
  </si>
  <si>
    <t xml:space="preserve">PSPPH_0613</t>
  </si>
  <si>
    <t xml:space="preserve">GTGGAGTCCGCGCACACCAT</t>
  </si>
  <si>
    <t xml:space="preserve">TAGTGTGGAGTCCGCGCACACCAT</t>
  </si>
  <si>
    <t xml:space="preserve">AAACATGGTGTGCGCGGACTCCAC</t>
  </si>
  <si>
    <t xml:space="preserve">CACGGAGCCGAAGACGGTGT</t>
  </si>
  <si>
    <t xml:space="preserve">TAGTCACGGAGCCGAAGACGGTGT</t>
  </si>
  <si>
    <t xml:space="preserve">AAACACACCGTCTTCGGCTCCGTG</t>
  </si>
  <si>
    <t xml:space="preserve">GCGAAATTGCTTCTACGTCC</t>
  </si>
  <si>
    <t xml:space="preserve">TAGTGCGAAATTGCTTCTACGTCC</t>
  </si>
  <si>
    <t xml:space="preserve">AAACGGACGTAGAAGCAATTTCGC</t>
  </si>
  <si>
    <t xml:space="preserve">GCTGCCAACCGGGCCTTCTC</t>
  </si>
  <si>
    <t xml:space="preserve">TAGTGCTGCCAACCGGGCCTTCTC</t>
  </si>
  <si>
    <t xml:space="preserve">AAACGAGAAGGCCCGGTTGGCAGC</t>
  </si>
  <si>
    <t xml:space="preserve">PSPPH_0614</t>
  </si>
  <si>
    <t xml:space="preserve">GATCGCCAGATCGAGTACGT</t>
  </si>
  <si>
    <t xml:space="preserve">TAGTGATCGCCAGATCGAGTACGT</t>
  </si>
  <si>
    <t xml:space="preserve">AAACACGTACTCGATCTGGCGATC</t>
  </si>
  <si>
    <t xml:space="preserve">CAGACCAGTTGGAGGCCAGC</t>
  </si>
  <si>
    <t xml:space="preserve">TAGTCAGACCAGTTGGAGGCCAGC</t>
  </si>
  <si>
    <t xml:space="preserve">AAACGCTGGCCTCCAACTGGTCTG</t>
  </si>
  <si>
    <t xml:space="preserve">CATCGCACCAATGTTTGGCG</t>
  </si>
  <si>
    <t xml:space="preserve">TAGTCATCGCACCAATGTTTGGCG</t>
  </si>
  <si>
    <t xml:space="preserve">AAACCGCCAAACATTGGTGCGATG</t>
  </si>
  <si>
    <t xml:space="preserve">PSPPH_0615</t>
  </si>
  <si>
    <t xml:space="preserve">CGAAAAAGTCGTTTGGATTG</t>
  </si>
  <si>
    <t xml:space="preserve">TAGTCGAAAAAGTCGTTTGGATTG</t>
  </si>
  <si>
    <t xml:space="preserve">AAACCAATCCAAACGACTTTTTCG</t>
  </si>
  <si>
    <t xml:space="preserve">TTGGATAGTCTGACGTTCAT</t>
  </si>
  <si>
    <t xml:space="preserve">TAGTTTGGATAGTCTGACGTTCAT</t>
  </si>
  <si>
    <t xml:space="preserve">AAACATGAACGTCAGACTATCCAA</t>
  </si>
  <si>
    <t xml:space="preserve">GGGGGTTGAGATCCTTCTGA</t>
  </si>
  <si>
    <t xml:space="preserve">TAGTGGGGGTTGAGATCCTTCTGA</t>
  </si>
  <si>
    <t xml:space="preserve">AAACTCAGAAGGATCTCAACCCCC</t>
  </si>
  <si>
    <t xml:space="preserve">GGCGTTTCGTCCGACGTCGT</t>
  </si>
  <si>
    <t xml:space="preserve">TAGTGGCGTTTCGTCCGACGTCGT</t>
  </si>
  <si>
    <t xml:space="preserve">AAACACGACGTCGGACGAAACGCC</t>
  </si>
  <si>
    <t xml:space="preserve">PSPPH_0616</t>
  </si>
  <si>
    <t xml:space="preserve">TTGAAGTACCAAATCTCAGG</t>
  </si>
  <si>
    <t xml:space="preserve">TAGTTTGAAGTACCAAATCTCAGG</t>
  </si>
  <si>
    <t xml:space="preserve">AAACCCTGAGATTTGGTACTTCAA</t>
  </si>
  <si>
    <t xml:space="preserve">GGAAGGCTGGAGCATGGCTT</t>
  </si>
  <si>
    <t xml:space="preserve">TAGTGGAAGGCTGGAGCATGGCTT</t>
  </si>
  <si>
    <t xml:space="preserve">AAACAAGCCATGCTCCAGCCTTCC</t>
  </si>
  <si>
    <t xml:space="preserve">AAAGATGTTTTGACCTTGAT</t>
  </si>
  <si>
    <t xml:space="preserve">TAGTAAAGATGTTTTGACCTTGAT</t>
  </si>
  <si>
    <t xml:space="preserve">AAACATCAAGGTCAAAACATCTTT</t>
  </si>
  <si>
    <t xml:space="preserve">AAGCATAGTCGGGCGTTTGG</t>
  </si>
  <si>
    <t xml:space="preserve">TAGTAAGCATAGTCGGGCGTTTGG</t>
  </si>
  <si>
    <t xml:space="preserve">AAACCCAAACGCCCGACTATGCTT</t>
  </si>
  <si>
    <t xml:space="preserve">PSPPH_0619</t>
  </si>
  <si>
    <t xml:space="preserve">rpoD</t>
  </si>
  <si>
    <t xml:space="preserve">AGATTGCTGTTGCGCTTTTC</t>
  </si>
  <si>
    <t xml:space="preserve">TAGTAGATTGCTGTTGCGCTTTTC</t>
  </si>
  <si>
    <t xml:space="preserve">AAACGAAAAGCGCAACAGCAATCT</t>
  </si>
  <si>
    <t xml:space="preserve">ATACTTCTGCTCACGACCCA</t>
  </si>
  <si>
    <t xml:space="preserve">TAGTATACTTCTGCTCACGACCCA</t>
  </si>
  <si>
    <t xml:space="preserve">AAACTGGGTCGTGAGCAGAAGTAT</t>
  </si>
  <si>
    <t xml:space="preserve">CTGAAATATCCTCAGGCAAG</t>
  </si>
  <si>
    <t xml:space="preserve">TAGTCTGAAATATCCTCAGGCAAG</t>
  </si>
  <si>
    <t xml:space="preserve">AAACCTTGCCTGAGGATATTTCAG</t>
  </si>
  <si>
    <t xml:space="preserve">ATGATGTCTTCCACCTGCTC</t>
  </si>
  <si>
    <t xml:space="preserve">TAGTATGATGTCTTCCACCTGCTC</t>
  </si>
  <si>
    <t xml:space="preserve">AAACGAGCAGGTGGAAGACATCAT</t>
  </si>
  <si>
    <t xml:space="preserve">PSPPH_0620</t>
  </si>
  <si>
    <t xml:space="preserve">dnaG</t>
  </si>
  <si>
    <t xml:space="preserve">CTGGGGAATCAGCCCGGCCA</t>
  </si>
  <si>
    <t xml:space="preserve">TAGTCTGGGGAATCAGCCCGGCCA</t>
  </si>
  <si>
    <t xml:space="preserve">AAACTGGCCGGGCTGATTCCCCAG</t>
  </si>
  <si>
    <t xml:space="preserve">CAATGTCGGTGCGGTTCAGA</t>
  </si>
  <si>
    <t xml:space="preserve">TAGTCAATGTCGGTGCGGTTCAGA</t>
  </si>
  <si>
    <t xml:space="preserve">AAACTCTGAACCGCACCGACATTG</t>
  </si>
  <si>
    <t xml:space="preserve">GCAGGCGGTGTAGTTCTTCC</t>
  </si>
  <si>
    <t xml:space="preserve">TAGTGCAGGCGGTGTAGTTCTTCC</t>
  </si>
  <si>
    <t xml:space="preserve">AAACGGAAGAACTACACCGCCTGC</t>
  </si>
  <si>
    <t xml:space="preserve">GTGTTTTCTCTTTGTGGAAC</t>
  </si>
  <si>
    <t xml:space="preserve">TAGTGTGTTTTCTCTTTGTGGAAC</t>
  </si>
  <si>
    <t xml:space="preserve">AAACGTTCCACAAAGAGAAAACAC</t>
  </si>
  <si>
    <t xml:space="preserve">PSPPH_0621</t>
  </si>
  <si>
    <t xml:space="preserve">rpsU</t>
  </si>
  <si>
    <t xml:space="preserve">TTCTCTTTAACTTTGACGGC</t>
  </si>
  <si>
    <t xml:space="preserve">TAGTTTCTCTTTAACTTTGACGGC</t>
  </si>
  <si>
    <t xml:space="preserve">AAACGCCGTCAAAGTTAAAGAGAA</t>
  </si>
  <si>
    <t xml:space="preserve">CGACGCAGAGCTACGTCGAA</t>
  </si>
  <si>
    <t xml:space="preserve">TAGTCGACGCAGAGCTACGTCGAA</t>
  </si>
  <si>
    <t xml:space="preserve">AAACTTCGACGTAGCTCTGCGTCG</t>
  </si>
  <si>
    <t xml:space="preserve">CAGAACACCGGCTTTTTCGC</t>
  </si>
  <si>
    <t xml:space="preserve">TAGTCAGAACACCGGCTTTTTCGC</t>
  </si>
  <si>
    <t xml:space="preserve">AAACGCGAAAAAGCCGGTGTTCTG</t>
  </si>
  <si>
    <t xml:space="preserve">TCGGCTTCTCGTAAAATTCG</t>
  </si>
  <si>
    <t xml:space="preserve">TAGTTCGGCTTCTCGTAAAATTCG</t>
  </si>
  <si>
    <t xml:space="preserve">AAACCGAATTTTACGAGAAGCCGA</t>
  </si>
  <si>
    <t xml:space="preserve">PSPPH_0622</t>
  </si>
  <si>
    <t xml:space="preserve">gcp</t>
  </si>
  <si>
    <t xml:space="preserve">TCTAATCCCAGTACTAGCAT</t>
  </si>
  <si>
    <t xml:space="preserve">TAGTTCTAATCCCAGTACTAGCAT</t>
  </si>
  <si>
    <t xml:space="preserve">AAACATGCTAGTACTGGGATTAGA</t>
  </si>
  <si>
    <t xml:space="preserve">GACACCGGTTTCGTCGCAGG</t>
  </si>
  <si>
    <t xml:space="preserve">TAGTGACACCGGTTTCGTCGCAGG</t>
  </si>
  <si>
    <t xml:space="preserve">AAACCCTGCGACGAAACCGGTGTC</t>
  </si>
  <si>
    <t xml:space="preserve">AGGCACGATGCAGGTCGATC</t>
  </si>
  <si>
    <t xml:space="preserve">TAGTAGGCACGATGCAGGTCGATC</t>
  </si>
  <si>
    <t xml:space="preserve">AAACGATCGACCTGCATCGTGCCT</t>
  </si>
  <si>
    <t xml:space="preserve">CTCCGGCACTACACCGCCAT</t>
  </si>
  <si>
    <t xml:space="preserve">TAGTCTCCGGCACTACACCGCCAT</t>
  </si>
  <si>
    <t xml:space="preserve">AAACATGGCGGTGTAGTGCCGGAG</t>
  </si>
  <si>
    <t xml:space="preserve">PSPPH_0623</t>
  </si>
  <si>
    <t xml:space="preserve">GCCAAGCAGGTAGGCGAAGG</t>
  </si>
  <si>
    <t xml:space="preserve">TAGTGCCAAGCAGGTAGGCGAAGG</t>
  </si>
  <si>
    <t xml:space="preserve">AAACCCTTCGCCTACCTGCTTGGC</t>
  </si>
  <si>
    <t xml:space="preserve">GCGGCTGAGCAGAATGGCGA</t>
  </si>
  <si>
    <t xml:space="preserve">TAGTGCGGCTGAGCAGAATGGCGA</t>
  </si>
  <si>
    <t xml:space="preserve">AAACTCGCCATTCTGCTCAGCCGC</t>
  </si>
  <si>
    <t xml:space="preserve">GCGGGTCTGGCCTGCCGCTC</t>
  </si>
  <si>
    <t xml:space="preserve">TAGTGCGGGTCTGGCCTGCCGCTC</t>
  </si>
  <si>
    <t xml:space="preserve">AAACGAGCGGCAGGCCAGACCCGC</t>
  </si>
  <si>
    <t xml:space="preserve">ACGCAGCATGTTGGTAGCAC</t>
  </si>
  <si>
    <t xml:space="preserve">TAGTACGCAGCATGTTGGTAGCAC</t>
  </si>
  <si>
    <t xml:space="preserve">AAACGTGCTACCAACATGCTGCGT</t>
  </si>
  <si>
    <t xml:space="preserve">PSPPH_0624</t>
  </si>
  <si>
    <t xml:space="preserve">folB1</t>
  </si>
  <si>
    <t xml:space="preserve">CGATGACCGTATCAACCTCA</t>
  </si>
  <si>
    <t xml:space="preserve">TAGTCGATGACCGTATCAACCTCA</t>
  </si>
  <si>
    <t xml:space="preserve">AAACTGAGGTTGATACGGTCATCG</t>
  </si>
  <si>
    <t xml:space="preserve">AATGCCGCGCTCCCAGTCAT</t>
  </si>
  <si>
    <t xml:space="preserve">TAGTAATGCCGCGCTCCCAGTCAT</t>
  </si>
  <si>
    <t xml:space="preserve">AAACATGACTGGGAGCGCGGCATT</t>
  </si>
  <si>
    <t xml:space="preserve">TGAGGTCCAGACGCAGGCAC</t>
  </si>
  <si>
    <t xml:space="preserve">TAGTTGAGGTCCAGACGCAGGCAC</t>
  </si>
  <si>
    <t xml:space="preserve">AAACGTGCCTGCGTCTGGACCTCA</t>
  </si>
  <si>
    <t xml:space="preserve">CGCTGCAGGGCGATTGTCCC</t>
  </si>
  <si>
    <t xml:space="preserve">TAGTCGCTGCAGGGCGATTGTCCC</t>
  </si>
  <si>
    <t xml:space="preserve">AAACGGGACAATCGCCCTGCAGCG</t>
  </si>
  <si>
    <t xml:space="preserve">PSPPH_0625</t>
  </si>
  <si>
    <t xml:space="preserve">folK1</t>
  </si>
  <si>
    <t xml:space="preserve">CGATATTGCTCCCCAGGCCG</t>
  </si>
  <si>
    <t xml:space="preserve">TAGTCGATATTGCTCCCCAGGCCG</t>
  </si>
  <si>
    <t xml:space="preserve">AAACCGGCCTGGGGAGCAATATCG</t>
  </si>
  <si>
    <t xml:space="preserve">GCGCATCCAGCCCGGCATGC</t>
  </si>
  <si>
    <t xml:space="preserve">TAGTGCGCATCCAGCCCGGCATGC</t>
  </si>
  <si>
    <t xml:space="preserve">AAACGCATGCCGGGCTGGATGCGC</t>
  </si>
  <si>
    <t xml:space="preserve">CAAAAACCGGCGAGCAACTG</t>
  </si>
  <si>
    <t xml:space="preserve">TAGTCAAAAACCGGCGAGCAACTG</t>
  </si>
  <si>
    <t xml:space="preserve">AAACCAGTTGCTCGCCGGTTTTTG</t>
  </si>
  <si>
    <t xml:space="preserve">CGCTCTTGATGCCCACCGCA</t>
  </si>
  <si>
    <t xml:space="preserve">TAGTCGCTCTTGATGCCCACCGCA</t>
  </si>
  <si>
    <t xml:space="preserve">AAACTGCGGTGGGCATCAAGAGCG</t>
  </si>
  <si>
    <t xml:space="preserve">PSPPH_0626</t>
  </si>
  <si>
    <t xml:space="preserve">cca</t>
  </si>
  <si>
    <t xml:space="preserve">TGACAGGTTGACCCAGGAGG</t>
  </si>
  <si>
    <t xml:space="preserve">TAGTTGACAGGTTGACCCAGGAGG</t>
  </si>
  <si>
    <t xml:space="preserve">AAACCCTCCTGGGTCAACCTGTCA</t>
  </si>
  <si>
    <t xml:space="preserve">CCGGGAAGTCTGTGCCGACC</t>
  </si>
  <si>
    <t xml:space="preserve">TAGTCCGGGAAGTCTGTGCCGACC</t>
  </si>
  <si>
    <t xml:space="preserve">AAACGGTCGGCACAGACTTCCCGG</t>
  </si>
  <si>
    <t xml:space="preserve">CGTATTCCTCATTGGTCAGC</t>
  </si>
  <si>
    <t xml:space="preserve">TAGTCGTATTCCTCATTGGTCAGC</t>
  </si>
  <si>
    <t xml:space="preserve">AAACGCTGACCAATGAGGAATACG</t>
  </si>
  <si>
    <t xml:space="preserve">GCCCACGCCGCTTTTGCGCT</t>
  </si>
  <si>
    <t xml:space="preserve">TAGTGCCCACGCCGCTTTTGCGCT</t>
  </si>
  <si>
    <t xml:space="preserve">AAACAGCGCAAAAGCGGCGTGGGC</t>
  </si>
  <si>
    <t xml:space="preserve">PSPPH_0627</t>
  </si>
  <si>
    <t xml:space="preserve">TTGGCGCTTCTGCTCTCTGG</t>
  </si>
  <si>
    <t xml:space="preserve">TAGTTTGGCGCTTCTGCTCTCTGG</t>
  </si>
  <si>
    <t xml:space="preserve">AAACCCAGAGAGCAGAAGCGCCAA</t>
  </si>
  <si>
    <t xml:space="preserve">CACTCTGACCCCGTGGAAAG</t>
  </si>
  <si>
    <t xml:space="preserve">TAGTCACTCTGACCCCGTGGAAAG</t>
  </si>
  <si>
    <t xml:space="preserve">AAACCTTTCCACGGGGTCAGAGTG</t>
  </si>
  <si>
    <t xml:space="preserve">CGATCTCACGGTCGTAGGCC</t>
  </si>
  <si>
    <t xml:space="preserve">TAGTCGATCTCACGGTCGTAGGCC</t>
  </si>
  <si>
    <t xml:space="preserve">AAACGGCCTACGACCGTGAGATCG</t>
  </si>
  <si>
    <t xml:space="preserve">GGTGTCCAGAGCATACCGCT</t>
  </si>
  <si>
    <t xml:space="preserve">TAGTGGTGTCCAGAGCATACCGCT</t>
  </si>
  <si>
    <t xml:space="preserve">AAACAGCGGTATGCTCTGGACACC</t>
  </si>
  <si>
    <t xml:space="preserve">PSPPH_0628</t>
  </si>
  <si>
    <t xml:space="preserve">CGGTCGATCACATAGCTCAT</t>
  </si>
  <si>
    <t xml:space="preserve">TAGTCGGTCGATCACATAGCTCAT</t>
  </si>
  <si>
    <t xml:space="preserve">AAACATGAGCTATGTGATCGACCG</t>
  </si>
  <si>
    <t xml:space="preserve">TGTTCTTGCCGTTGAGACGT</t>
  </si>
  <si>
    <t xml:space="preserve">TAGTTGTTCTTGCCGTTGAGACGT</t>
  </si>
  <si>
    <t xml:space="preserve">AAACACGTCTCAACGGCAAGAACA</t>
  </si>
  <si>
    <t xml:space="preserve">AACGACGCAGAAACCGCTGC</t>
  </si>
  <si>
    <t xml:space="preserve">TAGTAACGACGCAGAAACCGCTGC</t>
  </si>
  <si>
    <t xml:space="preserve">AAACGCAGCGGTTTCTGCGTCGTT</t>
  </si>
  <si>
    <t xml:space="preserve">CTGCCTTTTTAATGTGGTCA</t>
  </si>
  <si>
    <t xml:space="preserve">TAGTCTGCCTTTTTAATGTGGTCA</t>
  </si>
  <si>
    <t xml:space="preserve">AAACTGACCACATTAAAAAGGCAG</t>
  </si>
  <si>
    <t xml:space="preserve">PSPPH_0629</t>
  </si>
  <si>
    <t xml:space="preserve">TTTCGAAGCGTTGTTGGAAG</t>
  </si>
  <si>
    <t xml:space="preserve">TAGTTTTCGAAGCGTTGTTGGAAG</t>
  </si>
  <si>
    <t xml:space="preserve">AAACCTTCCAACAACGCTTCGAAA</t>
  </si>
  <si>
    <t xml:space="preserve">CGGCAGAGGCATAGGCGCTG</t>
  </si>
  <si>
    <t xml:space="preserve">TAGTCGGCAGAGGCATAGGCGCTG</t>
  </si>
  <si>
    <t xml:space="preserve">AAACCAGCGCCTATGCCTCTGCCG</t>
  </si>
  <si>
    <t xml:space="preserve">GGCCAGCAGAAGACGTTCTG</t>
  </si>
  <si>
    <t xml:space="preserve">TAGTGGCCAGCAGAAGACGTTCTG</t>
  </si>
  <si>
    <t xml:space="preserve">AAACCAGAACGTCTTCTGCTGGCC</t>
  </si>
  <si>
    <t xml:space="preserve">CACCAGTTCGGGCTCGCCAA</t>
  </si>
  <si>
    <t xml:space="preserve">TAGTCACCAGTTCGGGCTCGCCAA</t>
  </si>
  <si>
    <t xml:space="preserve">AAACTTGGCGAGCCCGAACTGGTG</t>
  </si>
  <si>
    <t xml:space="preserve">PSPPH_0630</t>
  </si>
  <si>
    <t xml:space="preserve">glpE</t>
  </si>
  <si>
    <t xml:space="preserve">AGGTGGAATACGTTTGAATT</t>
  </si>
  <si>
    <t xml:space="preserve">TAGTAGGTGGAATACGTTTGAATT</t>
  </si>
  <si>
    <t xml:space="preserve">AAACAATTCAAACGTATTCCACCT</t>
  </si>
  <si>
    <t xml:space="preserve">CGCAGCGCCTGTGCCTGTTC</t>
  </si>
  <si>
    <t xml:space="preserve">TAGTCGCAGCGCCTGTGCCTGTTC</t>
  </si>
  <si>
    <t xml:space="preserve">AAACGAACAGGCACAGGCGCTGCG</t>
  </si>
  <si>
    <t xml:space="preserve">TTGTCCAGATGCACGGAGTC</t>
  </si>
  <si>
    <t xml:space="preserve">TAGTTTGTCCAGATGCACGGAGTC</t>
  </si>
  <si>
    <t xml:space="preserve">AAACGACTCCGTGCATCTGGACAA</t>
  </si>
  <si>
    <t xml:space="preserve">CGGTTTATCCAGATCGGCCT</t>
  </si>
  <si>
    <t xml:space="preserve">TAGTCGGTTTATCCAGATCGGCCT</t>
  </si>
  <si>
    <t xml:space="preserve">AAACAGGCCGATCTGGATAAACCG</t>
  </si>
  <si>
    <t xml:space="preserve">PSPPH_0631</t>
  </si>
  <si>
    <t xml:space="preserve">apaH</t>
  </si>
  <si>
    <t xml:space="preserve">GCAACCTTGCAGGTCACCAA</t>
  </si>
  <si>
    <t xml:space="preserve">TAGTGCAACCTTGCAGGTCACCAA</t>
  </si>
  <si>
    <t xml:space="preserve">AAACTTGGTGACCTGCAAGGTTGC</t>
  </si>
  <si>
    <t xml:space="preserve">GCAGGCATTGCAGAGGTTCA</t>
  </si>
  <si>
    <t xml:space="preserve">TAGTGCAGGCATTGCAGAGGTTCA</t>
  </si>
  <si>
    <t xml:space="preserve">AAACTGAACCTCTGCAATGCCTGC</t>
  </si>
  <si>
    <t xml:space="preserve">GATCATGCTCGGGGTTGAAG</t>
  </si>
  <si>
    <t xml:space="preserve">TAGTGATCATGCTCGGGGTTGAAG</t>
  </si>
  <si>
    <t xml:space="preserve">AAACCTTCAACCCCGAGCATGATC</t>
  </si>
  <si>
    <t xml:space="preserve">CGAAGTGTTTCCAGCGATTG</t>
  </si>
  <si>
    <t xml:space="preserve">TAGTCGAAGTGTTTCCAGCGATTG</t>
  </si>
  <si>
    <t xml:space="preserve">AAACCAATCGCTGGAAACACTTCG</t>
  </si>
  <si>
    <t xml:space="preserve">PSPPH_0632</t>
  </si>
  <si>
    <t xml:space="preserve">GAAAAAAGGGCGTGTGCGGC</t>
  </si>
  <si>
    <t xml:space="preserve">TAGTGAAAAAAGGGCGTGTGCGGC</t>
  </si>
  <si>
    <t xml:space="preserve">AAACGCCGCACACGCCCTTTTTTC</t>
  </si>
  <si>
    <t xml:space="preserve">ACGAGAATCGGGCATGCAAT</t>
  </si>
  <si>
    <t xml:space="preserve">TAGTACGAGAATCGGGCATGCAAT</t>
  </si>
  <si>
    <t xml:space="preserve">AAACATTGCATGCCCGATTCTCGT</t>
  </si>
  <si>
    <t xml:space="preserve">AAAGCGAAGCGATTCTGCTC</t>
  </si>
  <si>
    <t xml:space="preserve">TAGTAAAGCGAAGCGATTCTGCTC</t>
  </si>
  <si>
    <t xml:space="preserve">AAACGAGCAGAATCGCTTCGCTTT</t>
  </si>
  <si>
    <t xml:space="preserve">GTTGTGCACGGTGATGGTAT</t>
  </si>
  <si>
    <t xml:space="preserve">TAGTGTTGTGCACGGTGATGGTAT</t>
  </si>
  <si>
    <t xml:space="preserve">AAACATACCATCACCGTGCACAAC</t>
  </si>
  <si>
    <t xml:space="preserve">PSPPH_0633</t>
  </si>
  <si>
    <t xml:space="preserve">ksgA</t>
  </si>
  <si>
    <t xml:space="preserve">CGCCCGGTGTTGGTATTGCT</t>
  </si>
  <si>
    <t xml:space="preserve">TAGTCGCCCGGTGTTGGTATTGCT</t>
  </si>
  <si>
    <t xml:space="preserve">AAACAGCAATACCAACACCGGGCG</t>
  </si>
  <si>
    <t xml:space="preserve">CGATAACGCCTGCGTCGTGC</t>
  </si>
  <si>
    <t xml:space="preserve">TAGTCGATAACGCCTGCGTCGTGC</t>
  </si>
  <si>
    <t xml:space="preserve">AAACGCACGACGCAGGCGTTATCG</t>
  </si>
  <si>
    <t xml:space="preserve">GTCTTCAGGTTTGGCACGAA</t>
  </si>
  <si>
    <t xml:space="preserve">TAGTGTCTTCAGGTTTGGCACGAA</t>
  </si>
  <si>
    <t xml:space="preserve">AAACTTCGTGCCAAACCTGAAGAC</t>
  </si>
  <si>
    <t xml:space="preserve">GCCCTTCGGTCAGCGCGCCC</t>
  </si>
  <si>
    <t xml:space="preserve">TAGTGCCCTTCGGTCAGCGCGCCC</t>
  </si>
  <si>
    <t xml:space="preserve">AAACGGGCGCGCTGACCGAAGGGC</t>
  </si>
  <si>
    <t xml:space="preserve">PSPPH_0634</t>
  </si>
  <si>
    <t xml:space="preserve">pdxA1</t>
  </si>
  <si>
    <t xml:space="preserve">GGTGTCAGGGCGAAACGCTT</t>
  </si>
  <si>
    <t xml:space="preserve">TAGTGGTGTCAGGGCGAAACGCTT</t>
  </si>
  <si>
    <t xml:space="preserve">AAACAAGCGTTTCGCCCTGACACC</t>
  </si>
  <si>
    <t xml:space="preserve">CCTATGCCGGCCGGCTCGCC</t>
  </si>
  <si>
    <t xml:space="preserve">TAGTCCTATGCCGGCCGGCTCGCC</t>
  </si>
  <si>
    <t xml:space="preserve">AAACGGCGAGCCGGCCGGCATAGG</t>
  </si>
  <si>
    <t xml:space="preserve">CGAGCAGCAGGCAAAGGTCA</t>
  </si>
  <si>
    <t xml:space="preserve">TAGTCGAGCAGCAGGCAAAGGTCA</t>
  </si>
  <si>
    <t xml:space="preserve">AAACTGACCTTTGCCTGCTGCTCG</t>
  </si>
  <si>
    <t xml:space="preserve">GCGATCAGGGGGTATGGCTG</t>
  </si>
  <si>
    <t xml:space="preserve">TAGTGCGATCAGGGGGTATGGCTG</t>
  </si>
  <si>
    <t xml:space="preserve">AAACCAGCCATACCCCCTGATCGC</t>
  </si>
  <si>
    <t xml:space="preserve">PSPPH_0635</t>
  </si>
  <si>
    <t xml:space="preserve">surA</t>
  </si>
  <si>
    <t xml:space="preserve">GTAACGCGCCCAGCATCAGC</t>
  </si>
  <si>
    <t xml:space="preserve">TAGTGTAACGCGCCCAGCATCAGC</t>
  </si>
  <si>
    <t xml:space="preserve">AAACGCTGATGCTGGGCGCGTTAC</t>
  </si>
  <si>
    <t xml:space="preserve">CAGCATGCACTGCACCGCTC</t>
  </si>
  <si>
    <t xml:space="preserve">TAGTCAGCATGCACTGCACCGCTC</t>
  </si>
  <si>
    <t xml:space="preserve">AAACGAGCGGTGCAGTGCATGCTG</t>
  </si>
  <si>
    <t xml:space="preserve">ATAGCCACGACACTTTCCAG</t>
  </si>
  <si>
    <t xml:space="preserve">TAGTATAGCCACGACACTTTCCAG</t>
  </si>
  <si>
    <t xml:space="preserve">AAACCTGGAAAGTGTCGTGGCTAT</t>
  </si>
  <si>
    <t xml:space="preserve">CACGTACACGCTGGTCCATC</t>
  </si>
  <si>
    <t xml:space="preserve">TAGTCACGTACACGCTGGTCCATC</t>
  </si>
  <si>
    <t xml:space="preserve">AAACGATGGACCAGCGTGTACGTG</t>
  </si>
  <si>
    <t xml:space="preserve">PSPPH_0636</t>
  </si>
  <si>
    <t xml:space="preserve">ACCACGAACTGAGTGGCCAG</t>
  </si>
  <si>
    <t xml:space="preserve">TAGTACCACGAACTGAGTGGCCAG</t>
  </si>
  <si>
    <t xml:space="preserve">AAACCTGGCCACTCAGTTCGTGGT</t>
  </si>
  <si>
    <t xml:space="preserve">TGAGCAGTCATACTGTTCCG</t>
  </si>
  <si>
    <t xml:space="preserve">TAGTTGAGCAGTCATACTGTTCCG</t>
  </si>
  <si>
    <t xml:space="preserve">AAACCGGAACAGTATGACTGCTCA</t>
  </si>
  <si>
    <t xml:space="preserve">GGATTTCGGCGCACAGTTCC</t>
  </si>
  <si>
    <t xml:space="preserve">TAGTGGATTTCGGCGCACAGTTCC</t>
  </si>
  <si>
    <t xml:space="preserve">AAACGGAACTGTGCGCCGAAATCC</t>
  </si>
  <si>
    <t xml:space="preserve">CAGGTCCACTGCAGCAGCAT</t>
  </si>
  <si>
    <t xml:space="preserve">TAGTCAGGTCCACTGCAGCAGCAT</t>
  </si>
  <si>
    <t xml:space="preserve">AAACATGCTGCTGCAGTGGACCTG</t>
  </si>
  <si>
    <t xml:space="preserve">PSPPH_0637</t>
  </si>
  <si>
    <t xml:space="preserve">GCCAAACTTTCAGGGATTGC</t>
  </si>
  <si>
    <t xml:space="preserve">TAGTGCCAAACTTTCAGGGATTGC</t>
  </si>
  <si>
    <t xml:space="preserve">AAACGCAATCCCTGAAAGTTTGGC</t>
  </si>
  <si>
    <t xml:space="preserve">TTTTGCGCCGCAAACAGCGC</t>
  </si>
  <si>
    <t xml:space="preserve">TAGTTTTTGCGCCGCAAACAGCGC</t>
  </si>
  <si>
    <t xml:space="preserve">AAACGCGCTGTTTGCGGCGCAAAA</t>
  </si>
  <si>
    <t xml:space="preserve">GCCGCAGTCAATGTAGCCGG</t>
  </si>
  <si>
    <t xml:space="preserve">TAGTGCCGCAGTCAATGTAGCCGG</t>
  </si>
  <si>
    <t xml:space="preserve">AAACCCGGCTACATTGACTGCGGC</t>
  </si>
  <si>
    <t xml:space="preserve">ACGAAAACTTGCGTCACTAC</t>
  </si>
  <si>
    <t xml:space="preserve">TAGTACGAAAACTTGCGTCACTAC</t>
  </si>
  <si>
    <t xml:space="preserve">AAACGTAGTGACGCAAGTTTTCGT</t>
  </si>
  <si>
    <t xml:space="preserve">PSPPH_0638</t>
  </si>
  <si>
    <t xml:space="preserve">TCTACCGGCGGCGAGAATCA</t>
  </si>
  <si>
    <t xml:space="preserve">TAGTTCTACCGGCGGCGAGAATCA</t>
  </si>
  <si>
    <t xml:space="preserve">AAACTGATTCTCGCCGCCGGTAGA</t>
  </si>
  <si>
    <t xml:space="preserve">TGGGCGTGTGCAGGGTCAAC</t>
  </si>
  <si>
    <t xml:space="preserve">TAGTTGGGCGTGTGCAGGGTCAAC</t>
  </si>
  <si>
    <t xml:space="preserve">AAACGTTGACCCTGCACACGCCCA</t>
  </si>
  <si>
    <t xml:space="preserve">CCCGGCACGCACCAACGGTT</t>
  </si>
  <si>
    <t xml:space="preserve">TAGTCCCGGCACGCACCAACGGTT</t>
  </si>
  <si>
    <t xml:space="preserve">AAACAACCGTTGGTGCGTGCCGGG</t>
  </si>
  <si>
    <t xml:space="preserve">CTGCGCGCAAGGCGTTCAGG</t>
  </si>
  <si>
    <t xml:space="preserve">TAGTCTGCGCGCAAGGCGTTCAGG</t>
  </si>
  <si>
    <t xml:space="preserve">AAACCCTGAACGCCTTGCGCGCAG</t>
  </si>
  <si>
    <t xml:space="preserve">PSPPH_0639</t>
  </si>
  <si>
    <t xml:space="preserve">CCCGCGCCGATCAATGTGCC</t>
  </si>
  <si>
    <t xml:space="preserve">TAGTCCCGCGCCGATCAATGTGCC</t>
  </si>
  <si>
    <t xml:space="preserve">AAACGGCACATTGATCGGCGCGGG</t>
  </si>
  <si>
    <t xml:space="preserve">CAGCATTGCGCCCGGGATGC</t>
  </si>
  <si>
    <t xml:space="preserve">TAGTCAGCATTGCGCCCGGGATGC</t>
  </si>
  <si>
    <t xml:space="preserve">AAACGCATCCCGGGCGCAATGCTG</t>
  </si>
  <si>
    <t xml:space="preserve">GCGCCCAGCTCTGCAGCTTC</t>
  </si>
  <si>
    <t xml:space="preserve">TAGTGCGCCCAGCTCTGCAGCTTC</t>
  </si>
  <si>
    <t xml:space="preserve">AAACGAAGCTGCAGAGCTGGGCGC</t>
  </si>
  <si>
    <t xml:space="preserve">ACAAACAGCAGCCCATCGGC</t>
  </si>
  <si>
    <t xml:space="preserve">TAGTACAAACAGCAGCCCATCGGC</t>
  </si>
  <si>
    <t xml:space="preserve">AAACGCCGATGGGCTGCTGTTTGT</t>
  </si>
  <si>
    <t xml:space="preserve">PSPPH_0640</t>
  </si>
  <si>
    <t xml:space="preserve">GCGCGAAAGGTGTAGGACAT</t>
  </si>
  <si>
    <t xml:space="preserve">TAGTGCGCGAAAGGTGTAGGACAT</t>
  </si>
  <si>
    <t xml:space="preserve">AAACATGTCCTACACCTTTCGCGC</t>
  </si>
  <si>
    <t xml:space="preserve">ACCAATGACAGAAACAATGC</t>
  </si>
  <si>
    <t xml:space="preserve">TAGTACCAATGACAGAAACAATGC</t>
  </si>
  <si>
    <t xml:space="preserve">AAACGCATTGTTTCTGTCATTGGT</t>
  </si>
  <si>
    <t xml:space="preserve">GCACAGGCAATGCGCAAGGC</t>
  </si>
  <si>
    <t xml:space="preserve">TAGTGCACAGGCAATGCGCAAGGC</t>
  </si>
  <si>
    <t xml:space="preserve">AAACGCCTTGCGCATTGCCTGTGC</t>
  </si>
  <si>
    <t xml:space="preserve">GTCCTTGGCCGGGGCCGGAT</t>
  </si>
  <si>
    <t xml:space="preserve">TAGTGTCCTTGGCCGGGGCCGGAT</t>
  </si>
  <si>
    <t xml:space="preserve">AAACATCCGGCCCCGGCCAAGGAC</t>
  </si>
  <si>
    <t xml:space="preserve">PSPPH_0641</t>
  </si>
  <si>
    <t xml:space="preserve">AGCCAGGCAGCCGATAAAGC</t>
  </si>
  <si>
    <t xml:space="preserve">TAGTAGCCAGGCAGCCGATAAAGC</t>
  </si>
  <si>
    <t xml:space="preserve">AAACGCTTTATCGGCTGCCTGGCT</t>
  </si>
  <si>
    <t xml:space="preserve">TTCAGGCGTTTGTGGCTCGT</t>
  </si>
  <si>
    <t xml:space="preserve">TAGTTTCAGGCGTTTGTGGCTCGT</t>
  </si>
  <si>
    <t xml:space="preserve">AAACACGAGCCACAAACGCCTGAA</t>
  </si>
  <si>
    <t xml:space="preserve">TGTGCTGAACTCAACTGCGC</t>
  </si>
  <si>
    <t xml:space="preserve">TAGTTGTGCTGAACTCAACTGCGC</t>
  </si>
  <si>
    <t xml:space="preserve">AAACGCGCAGTTGAGTTCAGCACA</t>
  </si>
  <si>
    <t xml:space="preserve">GTACCAGGCCAACCCGCAAT</t>
  </si>
  <si>
    <t xml:space="preserve">TAGTGTACCAGGCCAACCCGCAAT</t>
  </si>
  <si>
    <t xml:space="preserve">AAACATTGCGGGTTGGCCTGGTAC</t>
  </si>
  <si>
    <t xml:space="preserve">PSPPH_0642</t>
  </si>
  <si>
    <t xml:space="preserve">ACGCACGATGGTGTGGTCTT</t>
  </si>
  <si>
    <t xml:space="preserve">TAGTACGCACGATGGTGTGGTCTT</t>
  </si>
  <si>
    <t xml:space="preserve">AAACAAGACCACACCATCGTGCGT</t>
  </si>
  <si>
    <t xml:space="preserve">ACCGACCACTTGCAGGTCTC</t>
  </si>
  <si>
    <t xml:space="preserve">TAGTACCGACCACTTGCAGGTCTC</t>
  </si>
  <si>
    <t xml:space="preserve">AAACGAGACCTGCAAGTGGTCGGT</t>
  </si>
  <si>
    <t xml:space="preserve">GAGCAGCTGCTCGCCATTGC</t>
  </si>
  <si>
    <t xml:space="preserve">TAGTGAGCAGCTGCTCGCCATTGC</t>
  </si>
  <si>
    <t xml:space="preserve">AAACGCAATGGCGAGCAGCTGCTC</t>
  </si>
  <si>
    <t xml:space="preserve">TTCGCAGGCCACATGACGCA</t>
  </si>
  <si>
    <t xml:space="preserve">TAGTTTCGCAGGCCACATGACGCA</t>
  </si>
  <si>
    <t xml:space="preserve">AAACTGCGTCATGTGGCCTGCGAA</t>
  </si>
  <si>
    <t xml:space="preserve">PSPPH_0643</t>
  </si>
  <si>
    <t xml:space="preserve">CCTTGCGAATATCCAGGTTA</t>
  </si>
  <si>
    <t xml:space="preserve">TAGTCCTTGCGAATATCCAGGTTA</t>
  </si>
  <si>
    <t xml:space="preserve">AAACTAACCTGGATATTCGCAAGG</t>
  </si>
  <si>
    <t xml:space="preserve">CGGACGGACCGAGCAGCGTC</t>
  </si>
  <si>
    <t xml:space="preserve">TAGTCGGACGGACCGAGCAGCGTC</t>
  </si>
  <si>
    <t xml:space="preserve">AAACGACGCTGCTCGGTCCGTCCG</t>
  </si>
  <si>
    <t xml:space="preserve">AGCCGTCGGGGTCTCGAAAC</t>
  </si>
  <si>
    <t xml:space="preserve">TAGTAGCCGTCGGGGTCTCGAAAC</t>
  </si>
  <si>
    <t xml:space="preserve">AAACGTTTCGAGACCCCGACGGCT</t>
  </si>
  <si>
    <t xml:space="preserve">TGATGGCGCGCCCGCCGAGG</t>
  </si>
  <si>
    <t xml:space="preserve">TAGTTGATGGCGCGCCCGCCGAGG</t>
  </si>
  <si>
    <t xml:space="preserve">AAACCCTCGGCGGGCGCGCCATCA</t>
  </si>
  <si>
    <t xml:space="preserve">PSPPH_0644</t>
  </si>
  <si>
    <t xml:space="preserve">GTGATGGCGGTGTTCAACAT</t>
  </si>
  <si>
    <t xml:space="preserve">TAGTGTGATGGCGGTGTTCAACAT</t>
  </si>
  <si>
    <t xml:space="preserve">AAACATGTTGAACACCGCCATCAC</t>
  </si>
  <si>
    <t xml:space="preserve">TGGCCTGCGCGGCGCACATG</t>
  </si>
  <si>
    <t xml:space="preserve">TAGTTGGCCTGCGCGGCGCACATG</t>
  </si>
  <si>
    <t xml:space="preserve">AAACCATGTGCGCCGCGCAGGCCA</t>
  </si>
  <si>
    <t xml:space="preserve">GGTCAGGTCGGTGGCTGCCA</t>
  </si>
  <si>
    <t xml:space="preserve">TAGTGGTCAGGTCGGTGGCTGCCA</t>
  </si>
  <si>
    <t xml:space="preserve">AAACTGGCAGCCACCGACCTGACC</t>
  </si>
  <si>
    <t xml:space="preserve">GGCACCGCCAAAGGAGATGA</t>
  </si>
  <si>
    <t xml:space="preserve">TAGTGGCACCGCCAAAGGAGATGA</t>
  </si>
  <si>
    <t xml:space="preserve">AAACTCATCTCCTTTGGCGGTGCC</t>
  </si>
  <si>
    <t xml:space="preserve">PSPPH_0645</t>
  </si>
  <si>
    <t xml:space="preserve">TTCAGTCAGGGGCACGGCGA</t>
  </si>
  <si>
    <t xml:space="preserve">TAGTTTCAGTCAGGGGCACGGCGA</t>
  </si>
  <si>
    <t xml:space="preserve">AAACTCGCCGTGCCCCTGACTGAA</t>
  </si>
  <si>
    <t xml:space="preserve">ACGTTGCTTCAAGTTGGGGC</t>
  </si>
  <si>
    <t xml:space="preserve">TAGTACGTTGCTTCAAGTTGGGGC</t>
  </si>
  <si>
    <t xml:space="preserve">AAACGCCCCAACTTGAAGCAACGT</t>
  </si>
  <si>
    <t xml:space="preserve">CTTCCAGCGGTTGACCCGCT</t>
  </si>
  <si>
    <t xml:space="preserve">TAGTCTTCCAGCGGTTGACCCGCT</t>
  </si>
  <si>
    <t xml:space="preserve">AAACAGCGGGTCAACCGCTGGAAG</t>
  </si>
  <si>
    <t xml:space="preserve">AACAGCAGGAAAATCACCAG</t>
  </si>
  <si>
    <t xml:space="preserve">TAGTAACAGCAGGAAAATCACCAG</t>
  </si>
  <si>
    <t xml:space="preserve">AAACCTGGTGATTTTCCTGCTGTT</t>
  </si>
  <si>
    <t xml:space="preserve">PSPPH_0646</t>
  </si>
  <si>
    <t xml:space="preserve">CGATGTGTAGGGGTTCAACA</t>
  </si>
  <si>
    <t xml:space="preserve">TAGTCGATGTGTAGGGGTTCAACA</t>
  </si>
  <si>
    <t xml:space="preserve">AAACTGTTGAACCCCTACACATCG</t>
  </si>
  <si>
    <t xml:space="preserve">CAGCGCACAGATGATGCGCA</t>
  </si>
  <si>
    <t xml:space="preserve">TAGTCAGCGCACAGATGATGCGCA</t>
  </si>
  <si>
    <t xml:space="preserve">AAACTGCGCATCATCTGTGCGCTG</t>
  </si>
  <si>
    <t xml:space="preserve">AACGGCACGATGACCAGCAC</t>
  </si>
  <si>
    <t xml:space="preserve">TAGTAACGGCACGATGACCAGCAC</t>
  </si>
  <si>
    <t xml:space="preserve">AAACGTGCTGGTCATCGTGCCGTT</t>
  </si>
  <si>
    <t xml:space="preserve">TGCAACGAGAACCCTTGCAG</t>
  </si>
  <si>
    <t xml:space="preserve">TAGTTGCAACGAGAACCCTTGCAG</t>
  </si>
  <si>
    <t xml:space="preserve">AAACCTGCAAGGGTTCTCGTTGCA</t>
  </si>
  <si>
    <t xml:space="preserve">PSPPH_0647</t>
  </si>
  <si>
    <t xml:space="preserve">rpe</t>
  </si>
  <si>
    <t xml:space="preserve">ATCGATGGGGCAATAACGAA</t>
  </si>
  <si>
    <t xml:space="preserve">TAGTATCGATGGGGCAATAACGAA</t>
  </si>
  <si>
    <t xml:space="preserve">AAACTTCGTTATTGCCCCATCGAT</t>
  </si>
  <si>
    <t xml:space="preserve">GCCCAGACGGGCGAAGTCAG</t>
  </si>
  <si>
    <t xml:space="preserve">TAGTGCCCAGACGGGCGAAGTCAG</t>
  </si>
  <si>
    <t xml:space="preserve">AAACCTGACTTCGCCCGTCTGGGC</t>
  </si>
  <si>
    <t xml:space="preserve">GTGGACAAAGTCGGCGCCGC</t>
  </si>
  <si>
    <t xml:space="preserve">TAGTGTGGACAAAGTCGGCGCCGC</t>
  </si>
  <si>
    <t xml:space="preserve">AAACGCGGCGCCGACTTTGTCCAC</t>
  </si>
  <si>
    <t xml:space="preserve">ATCGGACCAATGGTCAGGTT</t>
  </si>
  <si>
    <t xml:space="preserve">TAGTATCGGACCAATGGTCAGGTT</t>
  </si>
  <si>
    <t xml:space="preserve">AAACAACCTGACCATTGGTCCGAT</t>
  </si>
  <si>
    <t xml:space="preserve">PSPPH_0648</t>
  </si>
  <si>
    <t xml:space="preserve">gph1</t>
  </si>
  <si>
    <t xml:space="preserve">AGGTCGAACATGACCAGCTT</t>
  </si>
  <si>
    <t xml:space="preserve">TAGTAGGTCGAACATGACCAGCTT</t>
  </si>
  <si>
    <t xml:space="preserve">AAACAAGCTGGTCATGTTCGACCT</t>
  </si>
  <si>
    <t xml:space="preserve">AGTCCACCAGGGTCCCGTCC</t>
  </si>
  <si>
    <t xml:space="preserve">TAGTAGTCCACCAGGGTCCCGTCC</t>
  </si>
  <si>
    <t xml:space="preserve">AAACGGACGGGACCCTGGTGGACT</t>
  </si>
  <si>
    <t xml:space="preserve">CCACCGCTACTGCCAGATCA</t>
  </si>
  <si>
    <t xml:space="preserve">TAGTCCACCGCTACTGCCAGATCA</t>
  </si>
  <si>
    <t xml:space="preserve">AAACTGATCTGGCAGTAGCGGTGG</t>
  </si>
  <si>
    <t xml:space="preserve">CCGGCCAAGTTCAGCCAGCA</t>
  </si>
  <si>
    <t xml:space="preserve">TAGTCCGGCCAAGTTCAGCCAGCA</t>
  </si>
  <si>
    <t xml:space="preserve">AAACTGCTGGCTGAACTTGGCCGG</t>
  </si>
  <si>
    <t xml:space="preserve">PSPPH_0649</t>
  </si>
  <si>
    <t xml:space="preserve">trpE</t>
  </si>
  <si>
    <t xml:space="preserve">CCAAACGCAGGAATTCTTCA</t>
  </si>
  <si>
    <t xml:space="preserve">TAGTCCAAACGCAGGAATTCTTCA</t>
  </si>
  <si>
    <t xml:space="preserve">AAACTGAAGAATTCCTGCGTTTGG</t>
  </si>
  <si>
    <t xml:space="preserve">GATGCGGTTGTAGCCTTCGG</t>
  </si>
  <si>
    <t xml:space="preserve">TAGTGATGCGGTTGTAGCCTTCGG</t>
  </si>
  <si>
    <t xml:space="preserve">AAACCCGAAGGCTACAACCGCATC</t>
  </si>
  <si>
    <t xml:space="preserve">CCAGGGTTTCGCGGGCAAGC</t>
  </si>
  <si>
    <t xml:space="preserve">TAGTCCAGGGTTTCGCGGGCAAGC</t>
  </si>
  <si>
    <t xml:space="preserve">AAACGCTTGCCCGCGAAACCCTGG</t>
  </si>
  <si>
    <t xml:space="preserve">CGACAGCGGCGTATCGAAGT</t>
  </si>
  <si>
    <t xml:space="preserve">TAGTCGACAGCGGCGTATCGAAGT</t>
  </si>
  <si>
    <t xml:space="preserve">AAACACTTCGATACGCCGCTGTCG</t>
  </si>
  <si>
    <t xml:space="preserve">PSPPH_0650</t>
  </si>
  <si>
    <t xml:space="preserve">GGGCCAGCGCCTCGATGTCT</t>
  </si>
  <si>
    <t xml:space="preserve">TAGTGGGCCAGCGCCTCGATGTCT</t>
  </si>
  <si>
    <t xml:space="preserve">AAACAGACATCGAGGCGCTGGCCC</t>
  </si>
  <si>
    <t xml:space="preserve">GATAACAGGCAGGCCGCGAA</t>
  </si>
  <si>
    <t xml:space="preserve">TAGTGATAACAGGCAGGCCGCGAA</t>
  </si>
  <si>
    <t xml:space="preserve">AAACTTCGCGGCCTGCCTGTTATC</t>
  </si>
  <si>
    <t xml:space="preserve">CGCGGCAGCAGCGGTGCCGC</t>
  </si>
  <si>
    <t xml:space="preserve">TAGTCGCGGCAGCAGCGGTGCCGC</t>
  </si>
  <si>
    <t xml:space="preserve">AAACGCGGCACCGCTGCTGCCGCG</t>
  </si>
  <si>
    <t xml:space="preserve">AACACCACCATGGTCGAATA</t>
  </si>
  <si>
    <t xml:space="preserve">TAGTAACACCACCATGGTCGAATA</t>
  </si>
  <si>
    <t xml:space="preserve">AAACTATTCGACCATGGTGGTGTT</t>
  </si>
  <si>
    <t xml:space="preserve">PSPPH_0651</t>
  </si>
  <si>
    <t xml:space="preserve">GTTCATTCCATGACTCCCTG</t>
  </si>
  <si>
    <t xml:space="preserve">TAGTGTTCATTCCATGACTCCCTG</t>
  </si>
  <si>
    <t xml:space="preserve">AAACCAGGGAGTCATGGAATGAAC</t>
  </si>
  <si>
    <t xml:space="preserve">GCTCAGTGAAGGGCACGGCG</t>
  </si>
  <si>
    <t xml:space="preserve">TAGTGCTCAGTGAAGGGCACGGCG</t>
  </si>
  <si>
    <t xml:space="preserve">AAACCGCCGTGCCCTTCACTGAGC</t>
  </si>
  <si>
    <t xml:space="preserve">CGAAAAATAACGCTCTCGGA</t>
  </si>
  <si>
    <t xml:space="preserve">TAGTCGAAAAATAACGCTCTCGGA</t>
  </si>
  <si>
    <t xml:space="preserve">AAACTCCGAGAGCGTTATTTTTCG</t>
  </si>
  <si>
    <t xml:space="preserve">GCAGATTCCTGTCGTTCGAC</t>
  </si>
  <si>
    <t xml:space="preserve">TAGTGCAGATTCCTGTCGTTCGAC</t>
  </si>
  <si>
    <t xml:space="preserve">AAACGTCGAACGACAGGAATCTGC</t>
  </si>
  <si>
    <t xml:space="preserve">PSPPH_0652</t>
  </si>
  <si>
    <t xml:space="preserve">CGTCATGTTGCGAGGTGTCG</t>
  </si>
  <si>
    <t xml:space="preserve">TAGTCGTCATGTTGCGAGGTGTCG</t>
  </si>
  <si>
    <t xml:space="preserve">AAACCGACACCTCGCAACATGACG</t>
  </si>
  <si>
    <t xml:space="preserve">GAATGCGCTGTGCCAAGGCC</t>
  </si>
  <si>
    <t xml:space="preserve">TAGTGAATGCGCTGTGCCAAGGCC</t>
  </si>
  <si>
    <t xml:space="preserve">AAACGGCCTTGGCACAGCGCATTC</t>
  </si>
  <si>
    <t xml:space="preserve">CTCGATCTGCGCCTTGTCAC</t>
  </si>
  <si>
    <t xml:space="preserve">TAGTCTCGATCTGCGCCTTGTCAC</t>
  </si>
  <si>
    <t xml:space="preserve">AAACGTGACAAGGCGCAGATCGAG</t>
  </si>
  <si>
    <t xml:space="preserve">CGCCAGGCTCCCTGATCAGC</t>
  </si>
  <si>
    <t xml:space="preserve">TAGTCGCCAGGCTCCCTGATCAGC</t>
  </si>
  <si>
    <t xml:space="preserve">AAACGCTGATCAGGGAGCCTGGCG</t>
  </si>
  <si>
    <t xml:space="preserve">PSPPH_0653</t>
  </si>
  <si>
    <t xml:space="preserve">TCCGCTCAGCCATCTCTTCC</t>
  </si>
  <si>
    <t xml:space="preserve">TAGTTCCGCTCAGCCATCTCTTCC</t>
  </si>
  <si>
    <t xml:space="preserve">AAACGGAAGAGATGGCTGAGCGGA</t>
  </si>
  <si>
    <t xml:space="preserve">AGCCAATGCCCTACCGCGCC</t>
  </si>
  <si>
    <t xml:space="preserve">TAGTAGCCAATGCCCTACCGCGCC</t>
  </si>
  <si>
    <t xml:space="preserve">AAACGGCGCGGTAGGGCATTGGCT</t>
  </si>
  <si>
    <t xml:space="preserve">CGATTGATAACCTCGATCTT</t>
  </si>
  <si>
    <t xml:space="preserve">TAGTCGATTGATAACCTCGATCTT</t>
  </si>
  <si>
    <t xml:space="preserve">AAACAAGATCGAGGTTATCAATCG</t>
  </si>
  <si>
    <t xml:space="preserve">TCGGCAGGCCGAGCTCGGTC</t>
  </si>
  <si>
    <t xml:space="preserve">TAGTTCGGCAGGCCGAGCTCGGTC</t>
  </si>
  <si>
    <t xml:space="preserve">AAACGACCGAGCTCGGCCTGCCGA</t>
  </si>
  <si>
    <t xml:space="preserve">PSPPH_0654</t>
  </si>
  <si>
    <t xml:space="preserve">TTCCCCCCAATGCTGCATCA</t>
  </si>
  <si>
    <t xml:space="preserve">TAGTTTCCCCCCAATGCTGCATCA</t>
  </si>
  <si>
    <t xml:space="preserve">AAACTGATGCAGCATTGGGGGGAA</t>
  </si>
  <si>
    <t xml:space="preserve">GGCTGCTCAGTCCGCCGCCC</t>
  </si>
  <si>
    <t xml:space="preserve">TAGTGGCTGCTCAGTCCGCCGCCC</t>
  </si>
  <si>
    <t xml:space="preserve">AAACGGGCGGCGGACTGAGCAGCC</t>
  </si>
  <si>
    <t xml:space="preserve">ACTCCATGATCCCGGCCATC</t>
  </si>
  <si>
    <t xml:space="preserve">TAGTACTCCATGATCCCGGCCATC</t>
  </si>
  <si>
    <t xml:space="preserve">AAACGATGGCCGGGATCATGGAGT</t>
  </si>
  <si>
    <t xml:space="preserve">CGCGAGCCGGGTGTGCGACG</t>
  </si>
  <si>
    <t xml:space="preserve">TAGTCGCGAGCCGGGTGTGCGACG</t>
  </si>
  <si>
    <t xml:space="preserve">AAACCGTCGCACACCCGGCTCGCG</t>
  </si>
  <si>
    <t xml:space="preserve">PSPPH_0655</t>
  </si>
  <si>
    <t xml:space="preserve">GCTGACAGCAGAACTGCTAT</t>
  </si>
  <si>
    <t xml:space="preserve">TAGTGCTGACAGCAGAACTGCTAT</t>
  </si>
  <si>
    <t xml:space="preserve">AAACATAGCAGTTCTGCTGTCAGC</t>
  </si>
  <si>
    <t xml:space="preserve">CCAGCGGAATATTCTTGAGC</t>
  </si>
  <si>
    <t xml:space="preserve">TAGTCCAGCGGAATATTCTTGAGC</t>
  </si>
  <si>
    <t xml:space="preserve">AAACGCTCAAGAATATTCCGCTGG</t>
  </si>
  <si>
    <t xml:space="preserve">CGGCGTTAGCCACTGAACCC</t>
  </si>
  <si>
    <t xml:space="preserve">TAGTCGGCGTTAGCCACTGAACCC</t>
  </si>
  <si>
    <t xml:space="preserve">AAACGGGTTCAGTGGCTAACGCCG</t>
  </si>
  <si>
    <t xml:space="preserve">CTCGCCAGGCACGATCTGCC</t>
  </si>
  <si>
    <t xml:space="preserve">TAGTCTCGCCAGGCACGATCTGCC</t>
  </si>
  <si>
    <t xml:space="preserve">AAACGGCAGATCGTGCCTGGCGAG</t>
  </si>
  <si>
    <t xml:space="preserve">PSPPH_0656</t>
  </si>
  <si>
    <t xml:space="preserve">CCTAGGTCGGTTGGGTCCAT</t>
  </si>
  <si>
    <t xml:space="preserve">TAGTCCTAGGTCGGTTGGGTCCAT</t>
  </si>
  <si>
    <t xml:space="preserve">AAACATGGACCCAACCGACCTAGG</t>
  </si>
  <si>
    <t xml:space="preserve">CCAGCCAGGTAGCTGTGCCT</t>
  </si>
  <si>
    <t xml:space="preserve">TAGTCCAGCCAGGTAGCTGTGCCT</t>
  </si>
  <si>
    <t xml:space="preserve">AAACAGGCACAGCTACCTGGCTGG</t>
  </si>
  <si>
    <t xml:space="preserve">CGCCCGGTCTGTTGCATCTC</t>
  </si>
  <si>
    <t xml:space="preserve">TAGTCGCCCGGTCTGTTGCATCTC</t>
  </si>
  <si>
    <t xml:space="preserve">AAACGAGATGCAACAGACCGGGCG</t>
  </si>
  <si>
    <t xml:space="preserve">AGTCGAGCAGCTCATTGAGG</t>
  </si>
  <si>
    <t xml:space="preserve">TAGTAGTCGAGCAGCTCATTGAGG</t>
  </si>
  <si>
    <t xml:space="preserve">AAACCCTCAATGAGCTGCTCGACT</t>
  </si>
  <si>
    <t xml:space="preserve">PSPPH_0657</t>
  </si>
  <si>
    <t xml:space="preserve">CCTCCAGGCGCCGCCACCAA</t>
  </si>
  <si>
    <t xml:space="preserve">TAGTCCTCCAGGCGCCGCCACCAA</t>
  </si>
  <si>
    <t xml:space="preserve">AAACTTGGTGGCGGCGCCTGGAGG</t>
  </si>
  <si>
    <t xml:space="preserve">GCAGCCAGCGATCAGCAGCA</t>
  </si>
  <si>
    <t xml:space="preserve">TAGTGCAGCCAGCGATCAGCAGCA</t>
  </si>
  <si>
    <t xml:space="preserve">AAACTGCTGCTGATCGCTGGCTGC</t>
  </si>
  <si>
    <t xml:space="preserve">CGGCCTGAAAACCGAGCATC</t>
  </si>
  <si>
    <t xml:space="preserve">TAGTCGGCCTGAAAACCGAGCATC</t>
  </si>
  <si>
    <t xml:space="preserve">AAACGATGCTCGGTTTTCAGGCCG</t>
  </si>
  <si>
    <t xml:space="preserve">GGCATTCGCCGACCACTGCC</t>
  </si>
  <si>
    <t xml:space="preserve">TAGTGGCATTCGCCGACCACTGCC</t>
  </si>
  <si>
    <t xml:space="preserve">AAACGGCAGTGGTCGGCGAATGCC</t>
  </si>
  <si>
    <t xml:space="preserve">PSPPH_0658</t>
  </si>
  <si>
    <t xml:space="preserve">TTGAAGGTTGATTGCGGCGT</t>
  </si>
  <si>
    <t xml:space="preserve">TAGTTTGAAGGTTGATTGCGGCGT</t>
  </si>
  <si>
    <t xml:space="preserve">AAACACGCCGCAATCAACCTTCAA</t>
  </si>
  <si>
    <t xml:space="preserve">ATCGGGGTTATCTTCATGAG</t>
  </si>
  <si>
    <t xml:space="preserve">TAGTATCGGGGTTATCTTCATGAG</t>
  </si>
  <si>
    <t xml:space="preserve">AAACCTCATGAAGATAACCCCGAT</t>
  </si>
  <si>
    <t xml:space="preserve">CGGGCAGGTCGCCTGCAAGT</t>
  </si>
  <si>
    <t xml:space="preserve">TAGTCGGGCAGGTCGCCTGCAAGT</t>
  </si>
  <si>
    <t xml:space="preserve">AAACACTTGCAGGCGACCTGCCCG</t>
  </si>
  <si>
    <t xml:space="preserve">CTGATTCGCCCGGCAAAGCT</t>
  </si>
  <si>
    <t xml:space="preserve">TAGTCTGATTCGCCCGGCAAAGCT</t>
  </si>
  <si>
    <t xml:space="preserve">AAACAGCTTTGCCGGGCGAATCAG</t>
  </si>
  <si>
    <t xml:space="preserve">PSPPH_0659</t>
  </si>
  <si>
    <t xml:space="preserve">GCCATCCACTTTGATGTAGC</t>
  </si>
  <si>
    <t xml:space="preserve">TAGTGCCATCCACTTTGATGTAGC</t>
  </si>
  <si>
    <t xml:space="preserve">AAACGCTACATCAAAGTGGATGGC</t>
  </si>
  <si>
    <t xml:space="preserve">GCCGCCGCTGATGGTCAATT</t>
  </si>
  <si>
    <t xml:space="preserve">TAGTGCCGCCGCTGATGGTCAATT</t>
  </si>
  <si>
    <t xml:space="preserve">AAACAATTGACCATCAGCGGCGGC</t>
  </si>
  <si>
    <t xml:space="preserve">TCGCGCTTGATGTTCATCAG</t>
  </si>
  <si>
    <t xml:space="preserve">TAGTTCGCGCTTGATGTTCATCAG</t>
  </si>
  <si>
    <t xml:space="preserve">AAACCTGATGAACATCAAGCGCGA</t>
  </si>
  <si>
    <t xml:space="preserve">CTTGTAGTAACCAGGCACGA</t>
  </si>
  <si>
    <t xml:space="preserve">TAGTCTTGTAGTAACCAGGCACGA</t>
  </si>
  <si>
    <t xml:space="preserve">AAACTCGTGCCTGGTTACTACAAG</t>
  </si>
  <si>
    <t xml:space="preserve">PSPPH_0660</t>
  </si>
  <si>
    <t xml:space="preserve">GCCGTGCGCTTCGATCGGGC</t>
  </si>
  <si>
    <t xml:space="preserve">TAGTGCCGTGCGCTTCGATCGGGC</t>
  </si>
  <si>
    <t xml:space="preserve">AAACGCCCGATCGAAGCGCACGGC</t>
  </si>
  <si>
    <t xml:space="preserve">CCGGAAGGTCAGTTGCGAAA</t>
  </si>
  <si>
    <t xml:space="preserve">TAGTCCGGAAGGTCAGTTGCGAAA</t>
  </si>
  <si>
    <t xml:space="preserve">AAACTTTCGCAACTGACCTTCCGG</t>
  </si>
  <si>
    <t xml:space="preserve">CCCGCGCTTCCTGCGCCGTA</t>
  </si>
  <si>
    <t xml:space="preserve">TAGTCCCGCGCTTCCTGCGCCGTA</t>
  </si>
  <si>
    <t xml:space="preserve">AAACTACGGCGCAGGAAGCGCGGG</t>
  </si>
  <si>
    <t xml:space="preserve">CCTGTACGGCAGAGCCTTGA</t>
  </si>
  <si>
    <t xml:space="preserve">TAGTCCTGTACGGCAGAGCCTTGA</t>
  </si>
  <si>
    <t xml:space="preserve">AAACTCAAGGCTCTGCCGTACAGG</t>
  </si>
  <si>
    <t xml:space="preserve">PSPPH_0662</t>
  </si>
  <si>
    <t xml:space="preserve">CCCGAAAAGACGCTGGCAGC</t>
  </si>
  <si>
    <t xml:space="preserve">TAGTCCCGAAAAGACGCTGGCAGC</t>
  </si>
  <si>
    <t xml:space="preserve">AAACGCTGCCAGCGTCTTTTCGGG</t>
  </si>
  <si>
    <t xml:space="preserve">CTTGCGGCCTGCCGGGACGA</t>
  </si>
  <si>
    <t xml:space="preserve">TAGTCTTGCGGCCTGCCGGGACGA</t>
  </si>
  <si>
    <t xml:space="preserve">AAACTCGTCCCGGCAGGCCGCAAG</t>
  </si>
  <si>
    <t xml:space="preserve">AAATAAGGCTCGTCGCGCTG</t>
  </si>
  <si>
    <t xml:space="preserve">TAGTAAATAAGGCTCGTCGCGCTG</t>
  </si>
  <si>
    <t xml:space="preserve">AAACCAGCGCGACGAGCCTTATTT</t>
  </si>
  <si>
    <t xml:space="preserve">TCTCGCTGTTCGAAACAGTC</t>
  </si>
  <si>
    <t xml:space="preserve">TAGTTCTCGCTGTTCGAAACAGTC</t>
  </si>
  <si>
    <t xml:space="preserve">AAACGACTGTTTCGAACAGCGAGA</t>
  </si>
  <si>
    <t xml:space="preserve">PSPPH_0663</t>
  </si>
  <si>
    <t xml:space="preserve">ACAACGTTAGGGTCGATCAT</t>
  </si>
  <si>
    <t xml:space="preserve">TAGTACAACGTTAGGGTCGATCAT</t>
  </si>
  <si>
    <t xml:space="preserve">AAACATGATCGACCCTAACGTTGT</t>
  </si>
  <si>
    <t xml:space="preserve">GTCGTGCTCGTCAACCGTCA</t>
  </si>
  <si>
    <t xml:space="preserve">TAGTGTCGTGCTCGTCAACCGTCA</t>
  </si>
  <si>
    <t xml:space="preserve">AAACTGACGGTTGACGAGCACGAC</t>
  </si>
  <si>
    <t xml:space="preserve">GATTTCCACCGACTTCCAGC</t>
  </si>
  <si>
    <t xml:space="preserve">TAGTGATTTCCACCGACTTCCAGC</t>
  </si>
  <si>
    <t xml:space="preserve">AAACGCTGGAAGTCGGTGGAAATC</t>
  </si>
  <si>
    <t xml:space="preserve">GCGCGCCTGACGCTCGATCC</t>
  </si>
  <si>
    <t xml:space="preserve">TAGTGCGCGCCTGACGCTCGATCC</t>
  </si>
  <si>
    <t xml:space="preserve">AAACGGATCGAGCGTCAGGCGCGC</t>
  </si>
  <si>
    <t xml:space="preserve">PSPPH_0664</t>
  </si>
  <si>
    <t xml:space="preserve">CTGCATTTTGCTGCTGGCCC</t>
  </si>
  <si>
    <t xml:space="preserve">TAGTCTGCATTTTGCTGCTGGCCC</t>
  </si>
  <si>
    <t xml:space="preserve">AAACGGGCCAGCAGCAAAATGCAG</t>
  </si>
  <si>
    <t xml:space="preserve">PSPPH_0665</t>
  </si>
  <si>
    <t xml:space="preserve">TGCTTTTCATTTATAGGCAT</t>
  </si>
  <si>
    <t xml:space="preserve">TAGTTGCTTTTCATTTATAGGCAT</t>
  </si>
  <si>
    <t xml:space="preserve">AAACATGCCTATAAATGAAAAGCA</t>
  </si>
  <si>
    <t xml:space="preserve">CTTTAGGGCCGGCGTTGGGG</t>
  </si>
  <si>
    <t xml:space="preserve">TAGTCTTTAGGGCCGGCGTTGGGG</t>
  </si>
  <si>
    <t xml:space="preserve">AAACCCCCAACGCCGGCCCTAAAG</t>
  </si>
  <si>
    <t xml:space="preserve">GCCATGGCGGTGTTGAGAGC</t>
  </si>
  <si>
    <t xml:space="preserve">TAGTGCCATGGCGGTGTTGAGAGC</t>
  </si>
  <si>
    <t xml:space="preserve">AAACGCTCTCAACACCGCCATGGC</t>
  </si>
  <si>
    <t xml:space="preserve">GCGGGTGTTGATGGTGTAGC</t>
  </si>
  <si>
    <t xml:space="preserve">TAGTGCGGGTGTTGATGGTGTAGC</t>
  </si>
  <si>
    <t xml:space="preserve">AAACGCTACACCATCAACACCCGC</t>
  </si>
  <si>
    <t xml:space="preserve">PSPPH_0666</t>
  </si>
  <si>
    <t xml:space="preserve">CCAGCACGAATGCGAGGATC</t>
  </si>
  <si>
    <t xml:space="preserve">TAGTCCAGCACGAATGCGAGGATC</t>
  </si>
  <si>
    <t xml:space="preserve">AAACGATCCTCGCATTCGTGCTGG</t>
  </si>
  <si>
    <t xml:space="preserve">AGCCGCCTGCCACTGCCAGG</t>
  </si>
  <si>
    <t xml:space="preserve">TAGTAGCCGCCTGCCACTGCCAGG</t>
  </si>
  <si>
    <t xml:space="preserve">AAACCCTGGCAGTGGCAGGCGGCT</t>
  </si>
  <si>
    <t xml:space="preserve">TTGTATCGTTATCTTGCAGA</t>
  </si>
  <si>
    <t xml:space="preserve">TAGTTTGTATCGTTATCTTGCAGA</t>
  </si>
  <si>
    <t xml:space="preserve">AAACTCTGCAAGATAACGATACAA</t>
  </si>
  <si>
    <t xml:space="preserve">ATCGCTCAGTTCCTTATGAA</t>
  </si>
  <si>
    <t xml:space="preserve">TAGTATCGCTCAGTTCCTTATGAA</t>
  </si>
  <si>
    <t xml:space="preserve">AAACTTCATAAGGAACTGAGCGAT</t>
  </si>
  <si>
    <t xml:space="preserve">PSPPH_0667</t>
  </si>
  <si>
    <t xml:space="preserve">GCGGATCTTGAGGTCGGTAA</t>
  </si>
  <si>
    <t xml:space="preserve">TAGTGCGGATCTTGAGGTCGGTAA</t>
  </si>
  <si>
    <t xml:space="preserve">AAACTTACCGACCTCAAGATCCGC</t>
  </si>
  <si>
    <t xml:space="preserve">AGGTTTTGCCCGGCTTAGCC</t>
  </si>
  <si>
    <t xml:space="preserve">TAGTAGGTTTTGCCCGGCTTAGCC</t>
  </si>
  <si>
    <t xml:space="preserve">AAACGGCTAAGCCGGGCAAAACCT</t>
  </si>
  <si>
    <t xml:space="preserve">ACTGTCGGTCAGTTTAGAGG</t>
  </si>
  <si>
    <t xml:space="preserve">TAGTACTGTCGGTCAGTTTAGAGG</t>
  </si>
  <si>
    <t xml:space="preserve">AAACCCTCTAAACTGACCGACAGT</t>
  </si>
  <si>
    <t xml:space="preserve">CAGTAGTGACCTCAAGATAA</t>
  </si>
  <si>
    <t xml:space="preserve">TAGTCAGTAGTGACCTCAAGATAA</t>
  </si>
  <si>
    <t xml:space="preserve">AAACTTATCTTGAGGTCACTACTG</t>
  </si>
  <si>
    <t xml:space="preserve">PSPPH_0668</t>
  </si>
  <si>
    <t xml:space="preserve">CAGCTTGCCGACATACCTCT</t>
  </si>
  <si>
    <t xml:space="preserve">TAGTCAGCTTGCCGACATACCTCT</t>
  </si>
  <si>
    <t xml:space="preserve">AAACAGAGGTATGTCGGCAAGCTG</t>
  </si>
  <si>
    <t xml:space="preserve">CGTCCAAGTTTGGTCGGAGC</t>
  </si>
  <si>
    <t xml:space="preserve">TAGTCGTCCAAGTTTGGTCGGAGC</t>
  </si>
  <si>
    <t xml:space="preserve">AAACGCTCCGACCAAACTTGGACG</t>
  </si>
  <si>
    <t xml:space="preserve">TACTTCCTTTTGTGACCAGC</t>
  </si>
  <si>
    <t xml:space="preserve">TAGTTACTTCCTTTTGTGACCAGC</t>
  </si>
  <si>
    <t xml:space="preserve">AAACGCTGGTCACAAAAGGAAGTA</t>
  </si>
  <si>
    <t xml:space="preserve">PSPPH_0669</t>
  </si>
  <si>
    <t xml:space="preserve">TCGAGGAAGGGGTTGCCAGT</t>
  </si>
  <si>
    <t xml:space="preserve">TAGTTCGAGGAAGGGGTTGCCAGT</t>
  </si>
  <si>
    <t xml:space="preserve">AAACACTGGCAACCCCTTCCTCGA</t>
  </si>
  <si>
    <t xml:space="preserve">AGCGACCTTTCCAAATACAT</t>
  </si>
  <si>
    <t xml:space="preserve">TAGTAGCGACCTTTCCAAATACAT</t>
  </si>
  <si>
    <t xml:space="preserve">AAACATGTATTTGGAAAGGTCGCT</t>
  </si>
  <si>
    <t xml:space="preserve">CAGAACTGTGCCTTACGGCT</t>
  </si>
  <si>
    <t xml:space="preserve">TAGTCAGAACTGTGCCTTACGGCT</t>
  </si>
  <si>
    <t xml:space="preserve">AAACAGCCGTAAGGCACAGTTCTG</t>
  </si>
  <si>
    <t xml:space="preserve">CGGGTCACGTTTCAACTCCA</t>
  </si>
  <si>
    <t xml:space="preserve">TAGTCGGGTCACGTTTCAACTCCA</t>
  </si>
  <si>
    <t xml:space="preserve">AAACTGGAGTTGAAACGTGACCCG</t>
  </si>
  <si>
    <t xml:space="preserve">PSPPH_0670</t>
  </si>
  <si>
    <t xml:space="preserve">CCCATGCCCGCCAGCAACTG</t>
  </si>
  <si>
    <t xml:space="preserve">TAGTCCCATGCCCGCCAGCAACTG</t>
  </si>
  <si>
    <t xml:space="preserve">AAACCAGTTGCTGGCGGGCATGGG</t>
  </si>
  <si>
    <t xml:space="preserve">CTGGCTCACCGAATCCATGC</t>
  </si>
  <si>
    <t xml:space="preserve">TAGTCTGGCTCACCGAATCCATGC</t>
  </si>
  <si>
    <t xml:space="preserve">AAACGCATGGATTCGGTGAGCCAG</t>
  </si>
  <si>
    <t xml:space="preserve">AACCACCGGCCGTTTTCATC</t>
  </si>
  <si>
    <t xml:space="preserve">TAGTAACCACCGGCCGTTTTCATC</t>
  </si>
  <si>
    <t xml:space="preserve">AAACGATGAAAACGGCCGGTGGTT</t>
  </si>
  <si>
    <t xml:space="preserve">CCAGTTCTTCAGGTTGTTGG</t>
  </si>
  <si>
    <t xml:space="preserve">TAGTCCAGTTCTTCAGGTTGTTGG</t>
  </si>
  <si>
    <t xml:space="preserve">AAACCCAACAACCTGAAGAACTGG</t>
  </si>
  <si>
    <t xml:space="preserve">PSPPH_0671</t>
  </si>
  <si>
    <t xml:space="preserve">ACCTCTTTGATCTGGAAATA</t>
  </si>
  <si>
    <t xml:space="preserve">TAGTACCTCTTTGATCTGGAAATA</t>
  </si>
  <si>
    <t xml:space="preserve">AAACTATTTCCAGATCAAAGAGGT</t>
  </si>
  <si>
    <t xml:space="preserve">TGAACACCTTGATCCCATTG</t>
  </si>
  <si>
    <t xml:space="preserve">TAGTTGAACACCTTGATCCCATTG</t>
  </si>
  <si>
    <t xml:space="preserve">AAACCAATGGGATCAAGGTGTTCA</t>
  </si>
  <si>
    <t xml:space="preserve">AACCTCAGTGGCGGGCACCA</t>
  </si>
  <si>
    <t xml:space="preserve">TAGTAACCTCAGTGGCGGGCACCA</t>
  </si>
  <si>
    <t xml:space="preserve">AAACTGGTGCCCGCCACTGAGGTT</t>
  </si>
  <si>
    <t xml:space="preserve">CGAATGCTGTGAGATCCCCA</t>
  </si>
  <si>
    <t xml:space="preserve">TAGTCGAATGCTGTGAGATCCCCA</t>
  </si>
  <si>
    <t xml:space="preserve">AAACTGGGGATCTCACAGCATTCG</t>
  </si>
  <si>
    <t xml:space="preserve">PSPPH_0672</t>
  </si>
  <si>
    <t xml:space="preserve">trpG</t>
  </si>
  <si>
    <t xml:space="preserve">GAGGTACTGCACGACGTTGT</t>
  </si>
  <si>
    <t xml:space="preserve">TAGTGAGGTACTGCACGACGTTGT</t>
  </si>
  <si>
    <t xml:space="preserve">AAACACAACGTCGTGCAGTACCTC</t>
  </si>
  <si>
    <t xml:space="preserve">GTTACGAATGACTTTGACAT</t>
  </si>
  <si>
    <t xml:space="preserve">TAGTGTTACGAATGACTTTGACAT</t>
  </si>
  <si>
    <t xml:space="preserve">AAACATGTCAAAGTCATTCGTAAC</t>
  </si>
  <si>
    <t xml:space="preserve">CAGGGCTTCGATCTGTTCAA</t>
  </si>
  <si>
    <t xml:space="preserve">TAGTCAGGGCTTCGATCTGTTCAA</t>
  </si>
  <si>
    <t xml:space="preserve">AAACTTGAACAGATCGAAGCCCTG</t>
  </si>
  <si>
    <t xml:space="preserve">GCGAGACCACGATGCGCTCG</t>
  </si>
  <si>
    <t xml:space="preserve">TAGTGCGAGACCACGATGCGCTCG</t>
  </si>
  <si>
    <t xml:space="preserve">AAACCGAGCGCATCGTGGTCTCGC</t>
  </si>
  <si>
    <t xml:space="preserve">PSPPH_0673</t>
  </si>
  <si>
    <t xml:space="preserve">trpD</t>
  </si>
  <si>
    <t xml:space="preserve">AGCGCGCTTTTGATGTTCAT</t>
  </si>
  <si>
    <t xml:space="preserve">TAGTAGCGCGCTTTTGATGTTCAT</t>
  </si>
  <si>
    <t xml:space="preserve">AAACATGAACATCAAAAGCGCGCT</t>
  </si>
  <si>
    <t xml:space="preserve">GGTCCAGCTGGTTGACCACG</t>
  </si>
  <si>
    <t xml:space="preserve">TAGTGGTCCAGCTGGTTGACCACG</t>
  </si>
  <si>
    <t xml:space="preserve">AAACCGTGGTCAACCAGCTGGACC</t>
  </si>
  <si>
    <t xml:space="preserve">CGCGCATCTCGTCAGTGGTC</t>
  </si>
  <si>
    <t xml:space="preserve">TAGTCGCGCATCTCGTCAGTGGTC</t>
  </si>
  <si>
    <t xml:space="preserve">AAACGACCACTGACGAGATGCGCG</t>
  </si>
  <si>
    <t xml:space="preserve">CTGCGCTTCGGTGCATTGGC</t>
  </si>
  <si>
    <t xml:space="preserve">TAGTCTGCGCTTCGGTGCATTGGC</t>
  </si>
  <si>
    <t xml:space="preserve">AAACGCCAATGCACCGAAGCGCAG</t>
  </si>
  <si>
    <t xml:space="preserve">PSPPH_0674</t>
  </si>
  <si>
    <t xml:space="preserve">trpC</t>
  </si>
  <si>
    <t xml:space="preserve">AGAATCTTTTCCAGTACGGT</t>
  </si>
  <si>
    <t xml:space="preserve">TAGTAGAATCTTTTCCAGTACGGT</t>
  </si>
  <si>
    <t xml:space="preserve">AAACACCGTACTGGAAAAGATTCT</t>
  </si>
  <si>
    <t xml:space="preserve">CCGCAATTTCCTCGGCCTTT</t>
  </si>
  <si>
    <t xml:space="preserve">TAGTCCGCAATTTCCTCGGCCTTT</t>
  </si>
  <si>
    <t xml:space="preserve">AAACAAAGGCCGAGGAAATTGCGG</t>
  </si>
  <si>
    <t xml:space="preserve">GAGGCTGACAATTGCTCGAC</t>
  </si>
  <si>
    <t xml:space="preserve">TAGTGAGGCTGACAATTGCTCGAC</t>
  </si>
  <si>
    <t xml:space="preserve">AAACGTCGAGCAATTGTCAGCCTC</t>
  </si>
  <si>
    <t xml:space="preserve">GGCGACCTGTTGTTCAAGTT</t>
  </si>
  <si>
    <t xml:space="preserve">TAGTGGCGACCTGTTGTTCAAGTT</t>
  </si>
  <si>
    <t xml:space="preserve">AAACAACTTGAACAACAGGTCGCC</t>
  </si>
  <si>
    <t xml:space="preserve">PSPPH_0675</t>
  </si>
  <si>
    <t xml:space="preserve">CTCGGCCTGCAAGCCTTGTT</t>
  </si>
  <si>
    <t xml:space="preserve">TAGTCTCGGCCTGCAAGCCTTGTT</t>
  </si>
  <si>
    <t xml:space="preserve">AAACAACAAGGCTTGCAGGCCGAG</t>
  </si>
  <si>
    <t xml:space="preserve">CGGAGCACACAGCCGCCAGA</t>
  </si>
  <si>
    <t xml:space="preserve">TAGTCGGAGCACACAGCCGCCAGA</t>
  </si>
  <si>
    <t xml:space="preserve">AAACTCTGGCGGCTGTGTGCTCCG</t>
  </si>
  <si>
    <t xml:space="preserve">CAACCCATGATCGGCAGCGC</t>
  </si>
  <si>
    <t xml:space="preserve">TAGTCAACCCATGATCGGCAGCGC</t>
  </si>
  <si>
    <t xml:space="preserve">AAACGCGCTGCCGATCATGGGTTG</t>
  </si>
  <si>
    <t xml:space="preserve">ATGACCAGCGCCCGATCAGT</t>
  </si>
  <si>
    <t xml:space="preserve">TAGTATGACCAGCGCCCGATCAGT</t>
  </si>
  <si>
    <t xml:space="preserve">AAACACTGATCGGGCGCTGGTCAT</t>
  </si>
  <si>
    <t xml:space="preserve">PSPPH_0676</t>
  </si>
  <si>
    <t xml:space="preserve">vfr</t>
  </si>
  <si>
    <t xml:space="preserve">TTGTCGAGACTGTTTGCTTT</t>
  </si>
  <si>
    <t xml:space="preserve">TAGTTTGTCGAGACTGTTTGCTTT</t>
  </si>
  <si>
    <t xml:space="preserve">AAACAAAGCAAACAGTCTCGACAA</t>
  </si>
  <si>
    <t xml:space="preserve">CAGCGGCGGCGTTCCGCATG</t>
  </si>
  <si>
    <t xml:space="preserve">TAGTCAGCGGCGGCGTTCCGCATG</t>
  </si>
  <si>
    <t xml:space="preserve">AAACCATGCGGAACGCCGCCGCTG</t>
  </si>
  <si>
    <t xml:space="preserve">TGATGATGTTGCTTTTGGCG</t>
  </si>
  <si>
    <t xml:space="preserve">TAGTTGATGATGTTGCTTTTGGCG</t>
  </si>
  <si>
    <t xml:space="preserve">AAACCGCCAAAAGCAACATCATCA</t>
  </si>
  <si>
    <t xml:space="preserve">AAAATCCCCGCTGTTGAGAT</t>
  </si>
  <si>
    <t xml:space="preserve">TAGTAAAATCCCCGCTGTTGAGAT</t>
  </si>
  <si>
    <t xml:space="preserve">AAACATCTCAACAGCGGGGATTTT</t>
  </si>
  <si>
    <t xml:space="preserve">PSPPH_0677</t>
  </si>
  <si>
    <t xml:space="preserve">ATACCTACAGGTATGCCATT</t>
  </si>
  <si>
    <t xml:space="preserve">TAGTATACCTACAGGTATGCCATT</t>
  </si>
  <si>
    <t xml:space="preserve">AAACAATGGCATACCTGTAGGTAT</t>
  </si>
  <si>
    <t xml:space="preserve">GGAAAAGCTGGTGAGAATGC</t>
  </si>
  <si>
    <t xml:space="preserve">TAGTGGAAAAGCTGGTGAGAATGC</t>
  </si>
  <si>
    <t xml:space="preserve">AAACGCATTCTCACCAGCTTTTCC</t>
  </si>
  <si>
    <t xml:space="preserve">CAAATAGCTTCCTACACGTC</t>
  </si>
  <si>
    <t xml:space="preserve">TAGTCAAATAGCTTCCTACACGTC</t>
  </si>
  <si>
    <t xml:space="preserve">AAACGACGTGTAGGAAGCTATTTG</t>
  </si>
  <si>
    <t xml:space="preserve">GCTTTTCGTAGGAAACGCGT</t>
  </si>
  <si>
    <t xml:space="preserve">TAGTGCTTTTCGTAGGAAACGCGT</t>
  </si>
  <si>
    <t xml:space="preserve">AAACACGCGTTTCCTACGAAAAGC</t>
  </si>
  <si>
    <t xml:space="preserve">PSPPH_0678</t>
  </si>
  <si>
    <t xml:space="preserve">speD</t>
  </si>
  <si>
    <t xml:space="preserve">TTGTCAGGTTATTGAACCCG</t>
  </si>
  <si>
    <t xml:space="preserve">TAGTTTGTCAGGTTATTGAACCCG</t>
  </si>
  <si>
    <t xml:space="preserve">AAACCGGGTTCAATAACCTGACAA</t>
  </si>
  <si>
    <t xml:space="preserve">GTCATAAATGTTGAAGCTCA</t>
  </si>
  <si>
    <t xml:space="preserve">TAGTGTCATAAATGTTGAAGCTCA</t>
  </si>
  <si>
    <t xml:space="preserve">AAACTGAGCTTCAACATTTATGAC</t>
  </si>
  <si>
    <t xml:space="preserve">ATACGCCTGCTGGTCCTGCG</t>
  </si>
  <si>
    <t xml:space="preserve">TAGTATACGCCTGCTGGTCCTGCG</t>
  </si>
  <si>
    <t xml:space="preserve">AAACCGCAGGACCAGCAGGCGTAT</t>
  </si>
  <si>
    <t xml:space="preserve">CATCAGTCAGAATCCGCGTC</t>
  </si>
  <si>
    <t xml:space="preserve">TAGTCATCAGTCAGAATCCGCGTC</t>
  </si>
  <si>
    <t xml:space="preserve">AAACGACGCGGATTCTGACTGATG</t>
  </si>
  <si>
    <t xml:space="preserve">PSPPH_0679</t>
  </si>
  <si>
    <t xml:space="preserve">TAGTGACGTTCGGTAGCCAT</t>
  </si>
  <si>
    <t xml:space="preserve">TAGTTAGTGACGTTCGGTAGCCAT</t>
  </si>
  <si>
    <t xml:space="preserve">AAACATGGCTACCGAACGTCACTA</t>
  </si>
  <si>
    <t xml:space="preserve">CAGTAGCAGACGGTCGAGGG</t>
  </si>
  <si>
    <t xml:space="preserve">TAGTCAGTAGCAGACGGTCGAGGG</t>
  </si>
  <si>
    <t xml:space="preserve">AAACCCCTCGACCGTCTGCTACTG</t>
  </si>
  <si>
    <t xml:space="preserve">CAATGTGCGCATTGCGCTAT</t>
  </si>
  <si>
    <t xml:space="preserve">TAGTCAATGTGCGCATTGCGCTAT</t>
  </si>
  <si>
    <t xml:space="preserve">AAACATAGCGCAATGCGCACATTG</t>
  </si>
  <si>
    <t xml:space="preserve">CGCTGCGGATGTGCGCTCAA</t>
  </si>
  <si>
    <t xml:space="preserve">TAGTCGCTGCGGATGTGCGCTCAA</t>
  </si>
  <si>
    <t xml:space="preserve">AAACTTGAGCGCACATCCGCAGCG</t>
  </si>
  <si>
    <t xml:space="preserve">PSPPH_0680</t>
  </si>
  <si>
    <t xml:space="preserve">AATTTCCCGATTGATGATCT</t>
  </si>
  <si>
    <t xml:space="preserve">TAGTAATTTCCCGATTGATGATCT</t>
  </si>
  <si>
    <t xml:space="preserve">AAACAGATCATCAATCGGGAAATT</t>
  </si>
  <si>
    <t xml:space="preserve">TCTTCGTAGATGATCTTCGC</t>
  </si>
  <si>
    <t xml:space="preserve">TAGTTCTTCGTAGATGATCTTCGC</t>
  </si>
  <si>
    <t xml:space="preserve">AAACGCGAAGATCATCTACGAAGA</t>
  </si>
  <si>
    <t xml:space="preserve">TGTCGTGAAAAGCCAGTACC</t>
  </si>
  <si>
    <t xml:space="preserve">TAGTTGTCGTGAAAAGCCAGTACC</t>
  </si>
  <si>
    <t xml:space="preserve">AAACGGTACTGGCTTTTCACGACA</t>
  </si>
  <si>
    <t xml:space="preserve">AAAATGCACGGGTGCCTGTG</t>
  </si>
  <si>
    <t xml:space="preserve">TAGTAAAATGCACGGGTGCCTGTG</t>
  </si>
  <si>
    <t xml:space="preserve">AAACCACAGGCACCCGTGCATTTT</t>
  </si>
  <si>
    <t xml:space="preserve">PSPPH_0681</t>
  </si>
  <si>
    <t xml:space="preserve">GCCGGTGATCAGGGCGTAAC</t>
  </si>
  <si>
    <t xml:space="preserve">TAGTGCCGGTGATCAGGGCGTAAC</t>
  </si>
  <si>
    <t xml:space="preserve">AAACGTTACGCCCTGATCACCGGC</t>
  </si>
  <si>
    <t xml:space="preserve">CATTGCCAGGCCTATGCCGC</t>
  </si>
  <si>
    <t xml:space="preserve">TAGTCATTGCCAGGCCTATGCCGC</t>
  </si>
  <si>
    <t xml:space="preserve">AAACGCGGCATAGGCCTGGCAATG</t>
  </si>
  <si>
    <t xml:space="preserve">ACCACGGCGTGCCAGCGCTT</t>
  </si>
  <si>
    <t xml:space="preserve">TAGTACCACGGCGTGCCAGCGCTT</t>
  </si>
  <si>
    <t xml:space="preserve">AAACAAGCGCTGGCACGCCGTGGT</t>
  </si>
  <si>
    <t xml:space="preserve">GCTGACGGGCGACCAGAATC</t>
  </si>
  <si>
    <t xml:space="preserve">TAGTGCTGACGGGCGACCAGAATC</t>
  </si>
  <si>
    <t xml:space="preserve">AAACGATTCTGGTCGCCCGTCAGC</t>
  </si>
  <si>
    <t xml:space="preserve">PSPPH_0682</t>
  </si>
  <si>
    <t xml:space="preserve">TACAATCTTGAAGAGGGAAT</t>
  </si>
  <si>
    <t xml:space="preserve">TAGTTACAATCTTGAAGAGGGAAT</t>
  </si>
  <si>
    <t xml:space="preserve">AAACATTCCCTCTTCAAGATTGTA</t>
  </si>
  <si>
    <t xml:space="preserve">CCCCGCAAGGTTGGCCTTTG</t>
  </si>
  <si>
    <t xml:space="preserve">TAGTCCCCGCAAGGTTGGCCTTTG</t>
  </si>
  <si>
    <t xml:space="preserve">AAACCAAAGGCCAACCTTGCGGGG</t>
  </si>
  <si>
    <t xml:space="preserve">CGCGCTTGAGCGCAACGGGC</t>
  </si>
  <si>
    <t xml:space="preserve">TAGTCGCGCTTGAGCGCAACGGGC</t>
  </si>
  <si>
    <t xml:space="preserve">AAACGCCCGTTGCGCTCAAGCGCG</t>
  </si>
  <si>
    <t xml:space="preserve">GTAGCGCTCAGCATCCGTAT</t>
  </si>
  <si>
    <t xml:space="preserve">TAGTGTAGCGCTCAGCATCCGTAT</t>
  </si>
  <si>
    <t xml:space="preserve">AAACATACGGATGCTGAGCGCTAC</t>
  </si>
  <si>
    <t xml:space="preserve">PSPPH_0683</t>
  </si>
  <si>
    <t xml:space="preserve">CAGTCTTGGTAGATAGAACA</t>
  </si>
  <si>
    <t xml:space="preserve">TAGTCAGTCTTGGTAGATAGAACA</t>
  </si>
  <si>
    <t xml:space="preserve">AAACTGTTCTATCTACCAAGACTG</t>
  </si>
  <si>
    <t xml:space="preserve">CCATCACCATGAAGCGCTCG</t>
  </si>
  <si>
    <t xml:space="preserve">TAGTCCATCACCATGAAGCGCTCG</t>
  </si>
  <si>
    <t xml:space="preserve">AAACCGAGCGCTTCATGGTGATGG</t>
  </si>
  <si>
    <t xml:space="preserve">TCGCCGGGGTCATGATGCCT</t>
  </si>
  <si>
    <t xml:space="preserve">TAGTTCGCCGGGGTCATGATGCCT</t>
  </si>
  <si>
    <t xml:space="preserve">AAACAGGCATCATGACCCCGGCGA</t>
  </si>
  <si>
    <t xml:space="preserve">CATGGTGATAGCCGGTCAGC</t>
  </si>
  <si>
    <t xml:space="preserve">TAGTCATGGTGATAGCCGGTCAGC</t>
  </si>
  <si>
    <t xml:space="preserve">AAACGCTGACCGGCTATCACCATG</t>
  </si>
  <si>
    <t xml:space="preserve">PSPPH_0684</t>
  </si>
  <si>
    <t xml:space="preserve">argC</t>
  </si>
  <si>
    <t xml:space="preserve">CAGACGCAGCAGCTCGACCC</t>
  </si>
  <si>
    <t xml:space="preserve">TAGTCAGACGCAGCAGCTCGACCC</t>
  </si>
  <si>
    <t xml:space="preserve">AAACGGGTCGAGCTGCTGCGTCTG</t>
  </si>
  <si>
    <t xml:space="preserve">ATGACCACTACTTCTGCCTG</t>
  </si>
  <si>
    <t xml:space="preserve">TAGTATGACCACTACTTCTGCCTG</t>
  </si>
  <si>
    <t xml:space="preserve">AAACCAGGCAGAAGTAGTGGTCAT</t>
  </si>
  <si>
    <t xml:space="preserve">CATGCCGGCCTCCGAGCGCG</t>
  </si>
  <si>
    <t xml:space="preserve">TAGTCATGCCGGCCTCCGAGCGCG</t>
  </si>
  <si>
    <t xml:space="preserve">AAACCGCGCTCGGAGGCCGGCATG</t>
  </si>
  <si>
    <t xml:space="preserve">TTCGGGTACATCTCGGCGAC</t>
  </si>
  <si>
    <t xml:space="preserve">TAGTTTCGGGTACATCTCGGCGAC</t>
  </si>
  <si>
    <t xml:space="preserve">AAACGTCGCCGAGATGTACCCGAA</t>
  </si>
  <si>
    <t xml:space="preserve">PSPPH_0685</t>
  </si>
  <si>
    <t xml:space="preserve">CTCCAAAGCGGTAGGCGTGA</t>
  </si>
  <si>
    <t xml:space="preserve">TAGTCTCCAAAGCGGTAGGCGTGA</t>
  </si>
  <si>
    <t xml:space="preserve">AAACTCACGCCTACCGCTTTGGAG</t>
  </si>
  <si>
    <t xml:space="preserve">TTCACCTTGTGCGCTGCATT</t>
  </si>
  <si>
    <t xml:space="preserve">TAGTTTCACCTTGTGCGCTGCATT</t>
  </si>
  <si>
    <t xml:space="preserve">AAACAATGCAGCGCACAAGGTGAA</t>
  </si>
  <si>
    <t xml:space="preserve">ATTGCCCTCTTCGTCGACCA</t>
  </si>
  <si>
    <t xml:space="preserve">TAGTATTGCCCTCTTCGTCGACCA</t>
  </si>
  <si>
    <t xml:space="preserve">AAACTGGTCGACGAAGAGGGCAAT</t>
  </si>
  <si>
    <t xml:space="preserve">CTCGACGATAGTGTCATCGT</t>
  </si>
  <si>
    <t xml:space="preserve">TAGTCTCGACGATAGTGTCATCGT</t>
  </si>
  <si>
    <t xml:space="preserve">AAACACGATGACACTATCGTCGAG</t>
  </si>
  <si>
    <t xml:space="preserve">PSPPH_0686</t>
  </si>
  <si>
    <t xml:space="preserve">ACCTATATAGAAGAAGTCCA</t>
  </si>
  <si>
    <t xml:space="preserve">TAGTACCTATATAGAAGAAGTCCA</t>
  </si>
  <si>
    <t xml:space="preserve">AAACTGGACTTCTTCTATATAGGT</t>
  </si>
  <si>
    <t xml:space="preserve">AATCCCATCGAGACTGCTGC</t>
  </si>
  <si>
    <t xml:space="preserve">TAGTAATCCCATCGAGACTGCTGC</t>
  </si>
  <si>
    <t xml:space="preserve">AAACGCAGCAGTCTCGATGGGATT</t>
  </si>
  <si>
    <t xml:space="preserve">GCGGTCATCCTGCTTCAAAA</t>
  </si>
  <si>
    <t xml:space="preserve">TAGTGCGGTCATCCTGCTTCAAAA</t>
  </si>
  <si>
    <t xml:space="preserve">AAACTTTTGAAGCAGGATGACCGC</t>
  </si>
  <si>
    <t xml:space="preserve">CATGCAGATCTTCCGGCATC</t>
  </si>
  <si>
    <t xml:space="preserve">TAGTCATGCAGATCTTCCGGCATC</t>
  </si>
  <si>
    <t xml:space="preserve">AAACGATGCCGGAAGATCTGCATG</t>
  </si>
  <si>
    <t xml:space="preserve">PSPPH_0687</t>
  </si>
  <si>
    <t xml:space="preserve">TTAGGCGGTGTGTCTTTCAT</t>
  </si>
  <si>
    <t xml:space="preserve">TAGTTTAGGCGGTGTGTCTTTCAT</t>
  </si>
  <si>
    <t xml:space="preserve">AAACATGAAAGACACACCGCCTAA</t>
  </si>
  <si>
    <t xml:space="preserve">TGACTCTTCGGATAAAGCGG</t>
  </si>
  <si>
    <t xml:space="preserve">TAGTTGACTCTTCGGATAAAGCGG</t>
  </si>
  <si>
    <t xml:space="preserve">AAACCCGCTTTATCCGAAGAGTCA</t>
  </si>
  <si>
    <t xml:space="preserve">CAATGCCGCTTGCAGCGAGC</t>
  </si>
  <si>
    <t xml:space="preserve">TAGTCAATGCCGCTTGCAGCGAGC</t>
  </si>
  <si>
    <t xml:space="preserve">AAACGCTCGCTGCAAGCGGCATTG</t>
  </si>
  <si>
    <t xml:space="preserve">GAGAGCCAGGCTCAACAATG</t>
  </si>
  <si>
    <t xml:space="preserve">TAGTGAGAGCCAGGCTCAACAATG</t>
  </si>
  <si>
    <t xml:space="preserve">AAACCATTGTTGAGCCTGGCTCTC</t>
  </si>
  <si>
    <t xml:space="preserve">PSPPH_0688</t>
  </si>
  <si>
    <t xml:space="preserve">tyrS</t>
  </si>
  <si>
    <t xml:space="preserve">CGACCAGTTCGGCCTCGACC</t>
  </si>
  <si>
    <t xml:space="preserve">TAGTCGACCAGTTCGGCCTCGACC</t>
  </si>
  <si>
    <t xml:space="preserve">AAACGGTCGAGGCCGAACTGGTCG</t>
  </si>
  <si>
    <t xml:space="preserve">CAGCCTTGATACGCAGTGGC</t>
  </si>
  <si>
    <t xml:space="preserve">TAGTCAGCCTTGATACGCAGTGGC</t>
  </si>
  <si>
    <t xml:space="preserve">AAACGCCACTGCGTATCAAGGCTG</t>
  </si>
  <si>
    <t xml:space="preserve">GGTGCAGATCGGGCGCTGTC</t>
  </si>
  <si>
    <t xml:space="preserve">TAGTGGTGCAGATCGGGCGCTGTC</t>
  </si>
  <si>
    <t xml:space="preserve">AAACGACAGCGCCCGATCTGCACC</t>
  </si>
  <si>
    <t xml:space="preserve">TAATAAGCACCGTGTGCCCA</t>
  </si>
  <si>
    <t xml:space="preserve">TAGTTAATAAGCACCGTGTGCCCA</t>
  </si>
  <si>
    <t xml:space="preserve">AAACTGGGCACACGGTGCTTATTA</t>
  </si>
  <si>
    <t xml:space="preserve">PSPPH_0694</t>
  </si>
  <si>
    <t xml:space="preserve">recC</t>
  </si>
  <si>
    <t xml:space="preserve">TGCACTCAGAGAGGTTGTAA</t>
  </si>
  <si>
    <t xml:space="preserve">TAGTTGCACTCAGAGAGGTTGTAA</t>
  </si>
  <si>
    <t xml:space="preserve">AAACTTACAACCTCTCTGAGTGCA</t>
  </si>
  <si>
    <t xml:space="preserve">GGCTGCGCAGCTCATCCGGG</t>
  </si>
  <si>
    <t xml:space="preserve">TAGTGGCTGCGCAGCTCATCCGGG</t>
  </si>
  <si>
    <t xml:space="preserve">AAACCCCGGATGAGCTGCGCAGCC</t>
  </si>
  <si>
    <t xml:space="preserve">GTCGCATCCACGACACAACC</t>
  </si>
  <si>
    <t xml:space="preserve">TAGTGTCGCATCCACGACACAACC</t>
  </si>
  <si>
    <t xml:space="preserve">AAACGGTTGTGTCGTGGATGCGAC</t>
  </si>
  <si>
    <t xml:space="preserve">TCGTTTTCCAGGGGGGCCAA</t>
  </si>
  <si>
    <t xml:space="preserve">TAGTTCGTTTTCCAGGGGGGCCAA</t>
  </si>
  <si>
    <t xml:space="preserve">AAACTTGGCCCCCCTGGAAAACGA</t>
  </si>
  <si>
    <t xml:space="preserve">PSPPH_0695</t>
  </si>
  <si>
    <t xml:space="preserve">recB</t>
  </si>
  <si>
    <t xml:space="preserve">AAAGCGCAGCGCCAGAGGAA</t>
  </si>
  <si>
    <t xml:space="preserve">TAGTAAAGCGCAGCGCCAGAGGAA</t>
  </si>
  <si>
    <t xml:space="preserve">AAACTTCCTCTGGCGCTGCGCTTT</t>
  </si>
  <si>
    <t xml:space="preserve">ATCAGTTGACTGCCGCGTAG</t>
  </si>
  <si>
    <t xml:space="preserve">TAGTATCAGTTGACTGCCGCGTAG</t>
  </si>
  <si>
    <t xml:space="preserve">AAACCTACGCGGCAGTCAACTGAT</t>
  </si>
  <si>
    <t xml:space="preserve">GGTCTTGCCGGTCCCGGCGC</t>
  </si>
  <si>
    <t xml:space="preserve">TAGTGGTCTTGCCGGTCCCGGCGC</t>
  </si>
  <si>
    <t xml:space="preserve">AAACGCGCCGGGACCGGCAAGACC</t>
  </si>
  <si>
    <t xml:space="preserve">GTACAGGGCGGAGATGGTGA</t>
  </si>
  <si>
    <t xml:space="preserve">TAGTGTACAGGGCGGAGATGGTGA</t>
  </si>
  <si>
    <t xml:space="preserve">AAACTCACCATCTCCGCCCTGTAC</t>
  </si>
  <si>
    <t xml:space="preserve">PSPPH_0696</t>
  </si>
  <si>
    <t xml:space="preserve">recD</t>
  </si>
  <si>
    <t xml:space="preserve">GCAACAGATCGTCGAACGAG</t>
  </si>
  <si>
    <t xml:space="preserve">TAGTGCAACAGATCGTCGAACGAG</t>
  </si>
  <si>
    <t xml:space="preserve">AAACCTCGTTCGACGATCTGTTGC</t>
  </si>
  <si>
    <t xml:space="preserve">CTGATGTCGTCCAGCGCGGT</t>
  </si>
  <si>
    <t xml:space="preserve">TAGTCTGATGTCGTCCAGCGCGGT</t>
  </si>
  <si>
    <t xml:space="preserve">AAACACCGCGCTGGACGACATCAG</t>
  </si>
  <si>
    <t xml:space="preserve">TCAGCGGACTCAATTCAGCG</t>
  </si>
  <si>
    <t xml:space="preserve">TAGTTCAGCGGACTCAATTCAGCG</t>
  </si>
  <si>
    <t xml:space="preserve">AAACCGCTGAATTGAGTCCGCTGA</t>
  </si>
  <si>
    <t xml:space="preserve">GCTCGACCCAGCGCTCCAGC</t>
  </si>
  <si>
    <t xml:space="preserve">TAGTGCTCGACCCAGCGCTCCAGC</t>
  </si>
  <si>
    <t xml:space="preserve">AAACGCTGGAGCGCTGGGTCGAGC</t>
  </si>
  <si>
    <t xml:space="preserve">PSPPH_0697</t>
  </si>
  <si>
    <t xml:space="preserve">CCAGAATCTCCAGCACTCCC</t>
  </si>
  <si>
    <t xml:space="preserve">TAGTCCAGAATCTCCAGCACTCCC</t>
  </si>
  <si>
    <t xml:space="preserve">AAACGGGAGTGCTGGAGATTCTGG</t>
  </si>
  <si>
    <t xml:space="preserve">ACCAATTGCAGGCCTGCCAA</t>
  </si>
  <si>
    <t xml:space="preserve">TAGTACCAATTGCAGGCCTGCCAA</t>
  </si>
  <si>
    <t xml:space="preserve">AAACTTGGCAGGCCTGCAATTGGT</t>
  </si>
  <si>
    <t xml:space="preserve">CTTTGCTGTCGCTTGAATCC</t>
  </si>
  <si>
    <t xml:space="preserve">TAGTCTTTGCTGTCGCTTGAATCC</t>
  </si>
  <si>
    <t xml:space="preserve">AAACGGATTCAAGCGACAGCAAAG</t>
  </si>
  <si>
    <t xml:space="preserve">CCAGATATGTCCCGTTATGG</t>
  </si>
  <si>
    <t xml:space="preserve">TAGTCCAGATATGTCCCGTTATGG</t>
  </si>
  <si>
    <t xml:space="preserve">AAACCCATAACGGGACATATCTGG</t>
  </si>
  <si>
    <t xml:space="preserve">PSPPH_0698</t>
  </si>
  <si>
    <t xml:space="preserve">GGCGTGCTTGTCGCCCAATC</t>
  </si>
  <si>
    <t xml:space="preserve">TAGTGGCGTGCTTGTCGCCCAATC</t>
  </si>
  <si>
    <t xml:space="preserve">AAACGATTGGGCGACAAGCACGCC</t>
  </si>
  <si>
    <t xml:space="preserve">ACCGTGACCCGGTAATGGGC</t>
  </si>
  <si>
    <t xml:space="preserve">TAGTACCGTGACCCGGTAATGGGC</t>
  </si>
  <si>
    <t xml:space="preserve">AAACGCCCATTACCGGGTCACGGT</t>
  </si>
  <si>
    <t xml:space="preserve">TCACCGGACGCCGAAGCGAT</t>
  </si>
  <si>
    <t xml:space="preserve">TAGTTCACCGGACGCCGAAGCGAT</t>
  </si>
  <si>
    <t xml:space="preserve">AAACATCGCTTCGGCGTCCGGTGA</t>
  </si>
  <si>
    <t xml:space="preserve">GATGACCGCACCACACCCGC</t>
  </si>
  <si>
    <t xml:space="preserve">TAGTGATGACCGCACCACACCCGC</t>
  </si>
  <si>
    <t xml:space="preserve">AAACGCGGGTGTGGTGCGGTCATC</t>
  </si>
  <si>
    <t xml:space="preserve">PSPPH_0700</t>
  </si>
  <si>
    <t xml:space="preserve">CCATCTGCACAACGACATTG</t>
  </si>
  <si>
    <t xml:space="preserve">TAGTCCATCTGCACAACGACATTG</t>
  </si>
  <si>
    <t xml:space="preserve">AAACCAATGTCGTTGTGCAGATGG</t>
  </si>
  <si>
    <t xml:space="preserve">ACAAGACTGCCGGGAGACCA</t>
  </si>
  <si>
    <t xml:space="preserve">TAGTACAAGACTGCCGGGAGACCA</t>
  </si>
  <si>
    <t xml:space="preserve">AAACTGGTCTCCCGGCAGTCTTGT</t>
  </si>
  <si>
    <t xml:space="preserve">CCAGTTCAACAGCCCCAGGG</t>
  </si>
  <si>
    <t xml:space="preserve">TAGTCCAGTTCAACAGCCCCAGGG</t>
  </si>
  <si>
    <t xml:space="preserve">AAACCCCTGGGGCTGTTGAACTGG</t>
  </si>
  <si>
    <t xml:space="preserve">CCACTTCGAGGAAAAACTTC</t>
  </si>
  <si>
    <t xml:space="preserve">TAGTCCACTTCGAGGAAAAACTTC</t>
  </si>
  <si>
    <t xml:space="preserve">AAACGAAGTTTTTCCTCGAAGTGG</t>
  </si>
  <si>
    <t xml:space="preserve">PSPPH_0701</t>
  </si>
  <si>
    <t xml:space="preserve">ggt</t>
  </si>
  <si>
    <t xml:space="preserve">GCTTGAATCGACCAGCGCCT</t>
  </si>
  <si>
    <t xml:space="preserve">TAGTGCTTGAATCGACCAGCGCCT</t>
  </si>
  <si>
    <t xml:space="preserve">AAACAGGCGCTGGTCGATTCAAGC</t>
  </si>
  <si>
    <t xml:space="preserve">TGATGATGCCCTTGCCAGCC</t>
  </si>
  <si>
    <t xml:space="preserve">TAGTTGATGATGCCCTTGCCAGCC</t>
  </si>
  <si>
    <t xml:space="preserve">AAACGGCTGGCAAGGGCATCATCA</t>
  </si>
  <si>
    <t xml:space="preserve">GTAATGATCGAGGTCGGCCT</t>
  </si>
  <si>
    <t xml:space="preserve">TAGTGTAATGATCGAGGTCGGCCT</t>
  </si>
  <si>
    <t xml:space="preserve">AAACAGGCCGACCTCGATCATTAC</t>
  </si>
  <si>
    <t xml:space="preserve">TTCGACCGGAGCCAGCTCGC</t>
  </si>
  <si>
    <t xml:space="preserve">TAGTTTCGACCGGAGCCAGCTCGC</t>
  </si>
  <si>
    <t xml:space="preserve">AAACGCGAGCTGGCTCCGGTCGAA</t>
  </si>
  <si>
    <t xml:space="preserve">PSPPH_0702</t>
  </si>
  <si>
    <t xml:space="preserve">GCCAACAAAACCCAGCACGC</t>
  </si>
  <si>
    <t xml:space="preserve">TAGTGCCAACAAAACCCAGCACGC</t>
  </si>
  <si>
    <t xml:space="preserve">AAACGCGTGCTGGGTTTTGTTGGC</t>
  </si>
  <si>
    <t xml:space="preserve">TGAGACTTATGTAAAGCATC</t>
  </si>
  <si>
    <t xml:space="preserve">TAGTTGAGACTTATGTAAAGCATC</t>
  </si>
  <si>
    <t xml:space="preserve">AAACGATGCTTTACATAAGTCTCA</t>
  </si>
  <si>
    <t xml:space="preserve">TGGCCTGCGCTTCCTGAAAC</t>
  </si>
  <si>
    <t xml:space="preserve">TAGTTGGCCTGCGCTTCCTGAAAC</t>
  </si>
  <si>
    <t xml:space="preserve">AAACGTTTCAGGAAGCGCAGGCCA</t>
  </si>
  <si>
    <t xml:space="preserve">CATCGCCAGAATCACGGTGC</t>
  </si>
  <si>
    <t xml:space="preserve">TAGTCATCGCCAGAATCACGGTGC</t>
  </si>
  <si>
    <t xml:space="preserve">AAACGCACCGTGATTCTGGCGATG</t>
  </si>
  <si>
    <t xml:space="preserve">PSPPH_0703</t>
  </si>
  <si>
    <t xml:space="preserve">GGGTGAAGAGGTCGAGGCCG</t>
  </si>
  <si>
    <t xml:space="preserve">TAGTGGGTGAAGAGGTCGAGGCCG</t>
  </si>
  <si>
    <t xml:space="preserve">AAACCGGCCTCGACCTCTTCACCC</t>
  </si>
  <si>
    <t xml:space="preserve">CAGGTTGTCATGACTGCCCA</t>
  </si>
  <si>
    <t xml:space="preserve">TAGTCAGGTTGTCATGACTGCCCA</t>
  </si>
  <si>
    <t xml:space="preserve">AAACTGGGCAGTCATGACAACCTG</t>
  </si>
  <si>
    <t xml:space="preserve">TCATGAAGCGCAATGCATAA</t>
  </si>
  <si>
    <t xml:space="preserve">TAGTTCATGAAGCGCAATGCATAA</t>
  </si>
  <si>
    <t xml:space="preserve">AAACTTATGCATTGCGCTTCATGA</t>
  </si>
  <si>
    <t xml:space="preserve">AATGCTCACTGCTGAGGTCC</t>
  </si>
  <si>
    <t xml:space="preserve">TAGTAATGCTCACTGCTGAGGTCC</t>
  </si>
  <si>
    <t xml:space="preserve">AAACGGACCTCAGCAGTGAGCATT</t>
  </si>
  <si>
    <t xml:space="preserve">PSPPH_0704</t>
  </si>
  <si>
    <t xml:space="preserve">ACAGGCGTGGCGTTGCCGCC</t>
  </si>
  <si>
    <t xml:space="preserve">TAGTACAGGCGTGGCGTTGCCGCC</t>
  </si>
  <si>
    <t xml:space="preserve">AAACGGCGGCAACGCCACGCCTGT</t>
  </si>
  <si>
    <t xml:space="preserve">ACGAATGCCCGGCCAGAGCA</t>
  </si>
  <si>
    <t xml:space="preserve">TAGTACGAATGCCCGGCCAGAGCA</t>
  </si>
  <si>
    <t xml:space="preserve">AAACTGCTCTGGCCGGGCATTCGT</t>
  </si>
  <si>
    <t xml:space="preserve">CAGTACCAGCGGATTCAGTT</t>
  </si>
  <si>
    <t xml:space="preserve">TAGTCAGTACCAGCGGATTCAGTT</t>
  </si>
  <si>
    <t xml:space="preserve">AAACAACTGAATCCGCTGGTACTG</t>
  </si>
  <si>
    <t xml:space="preserve">GCCCATCGTCCGCGCATTAT</t>
  </si>
  <si>
    <t xml:space="preserve">TAGTGCCCATCGTCCGCGCATTAT</t>
  </si>
  <si>
    <t xml:space="preserve">AAACATAATGCGCGGACGATGGGC</t>
  </si>
  <si>
    <t xml:space="preserve">PSPPH_0705</t>
  </si>
  <si>
    <t xml:space="preserve">TTCGATGCCGGACAGACGCA</t>
  </si>
  <si>
    <t xml:space="preserve">TAGTTTCGATGCCGGACAGACGCA</t>
  </si>
  <si>
    <t xml:space="preserve">AAACTGCGTCTGTCCGGCATCGAA</t>
  </si>
  <si>
    <t xml:space="preserve">ACGCCAGTGTGCCGTCGCTG</t>
  </si>
  <si>
    <t xml:space="preserve">TAGTACGCCAGTGTGCCGTCGCTG</t>
  </si>
  <si>
    <t xml:space="preserve">AAACCAGCGACGGCACACTGGCGT</t>
  </si>
  <si>
    <t xml:space="preserve">GTTGTCTTGCCCGCACCCGA</t>
  </si>
  <si>
    <t xml:space="preserve">TAGTGTTGTCTTGCCCGCACCCGA</t>
  </si>
  <si>
    <t xml:space="preserve">AAACTCGGGTGCGGGCAAGACAAC</t>
  </si>
  <si>
    <t xml:space="preserve">GCGGCAACGCGCTGGCCAGC</t>
  </si>
  <si>
    <t xml:space="preserve">TAGTGCGGCAACGCGCTGGCCAGC</t>
  </si>
  <si>
    <t xml:space="preserve">AAACGCTGGCCAGCGCGTTGCCGC</t>
  </si>
  <si>
    <t xml:space="preserve">PSPPH_0706</t>
  </si>
  <si>
    <t xml:space="preserve">CGCCAGGGTACGCTTGAGCA</t>
  </si>
  <si>
    <t xml:space="preserve">TAGTCGCCAGGGTACGCTTGAGCA</t>
  </si>
  <si>
    <t xml:space="preserve">AAACTGCTCAAGCGTACCCTGGCG</t>
  </si>
  <si>
    <t xml:space="preserve">GAAGGACAGGGCAAGGCCGG</t>
  </si>
  <si>
    <t xml:space="preserve">TAGTGAAGGACAGGGCAAGGCCGG</t>
  </si>
  <si>
    <t xml:space="preserve">AAACCCGGCCTTGCCCTGTCCTTC</t>
  </si>
  <si>
    <t xml:space="preserve">GGCAGCGTGGCTGGTCAGGG</t>
  </si>
  <si>
    <t xml:space="preserve">TAGTGGCAGCGTGGCTGGTCAGGG</t>
  </si>
  <si>
    <t xml:space="preserve">AAACCCCTGACCAGCCACGCTGCC</t>
  </si>
  <si>
    <t xml:space="preserve">GGCCGAGACGCGCAGGGTGT</t>
  </si>
  <si>
    <t xml:space="preserve">TAGTGGCCGAGACGCGCAGGGTGT</t>
  </si>
  <si>
    <t xml:space="preserve">AAACACACCCTGCGCGTCTCGGCC</t>
  </si>
  <si>
    <t xml:space="preserve">PSPPH_0708</t>
  </si>
  <si>
    <t xml:space="preserve">GCGGTAGTCGCTGCTGTTGT</t>
  </si>
  <si>
    <t xml:space="preserve">TAGTGCGGTAGTCGCTGCTGTTGT</t>
  </si>
  <si>
    <t xml:space="preserve">AAACACAACAGCAGCGACTACCGC</t>
  </si>
  <si>
    <t xml:space="preserve">GGAGCACGAGCGTCCATCAT</t>
  </si>
  <si>
    <t xml:space="preserve">TAGTGGAGCACGAGCGTCCATCAT</t>
  </si>
  <si>
    <t xml:space="preserve">AAACATGATGGACGCTCGTGCTCC</t>
  </si>
  <si>
    <t xml:space="preserve">GCCCCCTTGGAAAACTCCAC</t>
  </si>
  <si>
    <t xml:space="preserve">TAGTGCCCCCTTGGAAAACTCCAC</t>
  </si>
  <si>
    <t xml:space="preserve">AAACGTGGAGTTTTCCAAGGGGGC</t>
  </si>
  <si>
    <t xml:space="preserve">AGCGGCAGGTTGATCACGCC</t>
  </si>
  <si>
    <t xml:space="preserve">TAGTAGCGGCAGGTTGATCACGCC</t>
  </si>
  <si>
    <t xml:space="preserve">AAACGGCGTGATCAACCTGCCGCT</t>
  </si>
  <si>
    <t xml:space="preserve">PSPPH_0709</t>
  </si>
  <si>
    <t xml:space="preserve">GACCGTTCCGGCCAGCAGAA</t>
  </si>
  <si>
    <t xml:space="preserve">TAGTGACCGTTCCGGCCAGCAGAA</t>
  </si>
  <si>
    <t xml:space="preserve">AAACTTCTGCTGGCCGGAACGGTC</t>
  </si>
  <si>
    <t xml:space="preserve">TCGCCACAGTGGGCAGGCCG</t>
  </si>
  <si>
    <t xml:space="preserve">TAGTTCGCCACAGTGGGCAGGCCG</t>
  </si>
  <si>
    <t xml:space="preserve">AAACCGGCCTGCCCACTGTGGCGA</t>
  </si>
  <si>
    <t xml:space="preserve">CGCAGCCTGCGCCGGTAGCA</t>
  </si>
  <si>
    <t xml:space="preserve">TAGTCGCAGCCTGCGCCGGTAGCA</t>
  </si>
  <si>
    <t xml:space="preserve">AAACTGCTACCGGCGCAGGCTGCG</t>
  </si>
  <si>
    <t xml:space="preserve">CAGACGTTGATGAAGGTCGA</t>
  </si>
  <si>
    <t xml:space="preserve">TAGTCAGACGTTGATGAAGGTCGA</t>
  </si>
  <si>
    <t xml:space="preserve">AAACTCGACCTTCATCAACGTCTG</t>
  </si>
  <si>
    <t xml:space="preserve">PSPPH_0710</t>
  </si>
  <si>
    <t xml:space="preserve">mdaB</t>
  </si>
  <si>
    <t xml:space="preserve">GAGGAACAATACTTTTTTCA</t>
  </si>
  <si>
    <t xml:space="preserve">TAGTGAGGAACAATACTTTTTTCA</t>
  </si>
  <si>
    <t xml:space="preserve">AAACTGAAAAAAGTATTGTTCCTC</t>
  </si>
  <si>
    <t xml:space="preserve">GGTCGCGTTGTAGCGACCAT</t>
  </si>
  <si>
    <t xml:space="preserve">TAGTGGTCGCGTTGTAGCGACCAT</t>
  </si>
  <si>
    <t xml:space="preserve">AAACATGGTCGCTACAACGCGACC</t>
  </si>
  <si>
    <t xml:space="preserve">CGCTACGCCCGCCTCGTGCA</t>
  </si>
  <si>
    <t xml:space="preserve">TAGTCGCTACGCCCGCCTCGTGCA</t>
  </si>
  <si>
    <t xml:space="preserve">AAACTGCACGAGGCGGGCGTAGCG</t>
  </si>
  <si>
    <t xml:space="preserve">CCTTCACATCAAAACCGGCG</t>
  </si>
  <si>
    <t xml:space="preserve">TAGTCCTTCACATCAAAACCGGCG</t>
  </si>
  <si>
    <t xml:space="preserve">AAACCGCCGGTTTTGATGTGAAGG</t>
  </si>
  <si>
    <t xml:space="preserve">PSPPH_0711</t>
  </si>
  <si>
    <t xml:space="preserve">CACCTGCAATTCATCAGATC</t>
  </si>
  <si>
    <t xml:space="preserve">TAGTCACCTGCAATTCATCAGATC</t>
  </si>
  <si>
    <t xml:space="preserve">AAACGATCTGATGAATTGCAGGTG</t>
  </si>
  <si>
    <t xml:space="preserve">GCCCATTTTCTCTGCCGCCG</t>
  </si>
  <si>
    <t xml:space="preserve">TAGTGCCCATTTTCTCTGCCGCCG</t>
  </si>
  <si>
    <t xml:space="preserve">AAACCGGCGGCAGAGAAAATGGGC</t>
  </si>
  <si>
    <t xml:space="preserve">GGCTGACACCGGAGGGCGTC</t>
  </si>
  <si>
    <t xml:space="preserve">TAGTGGCTGACACCGGAGGGCGTC</t>
  </si>
  <si>
    <t xml:space="preserve">AAACGACGCCCTCCGGTGTCAGCC</t>
  </si>
  <si>
    <t xml:space="preserve">CTTCCAGACGTGACAGGGTA</t>
  </si>
  <si>
    <t xml:space="preserve">TAGTCTTCCAGACGTGACAGGGTA</t>
  </si>
  <si>
    <t xml:space="preserve">AAACTACCCTGTCACGTCTGGAAG</t>
  </si>
  <si>
    <t xml:space="preserve">PSPPH_0712</t>
  </si>
  <si>
    <t xml:space="preserve">ispB</t>
  </si>
  <si>
    <t xml:space="preserve">ACCGCGCGATAGAAGGCTTG</t>
  </si>
  <si>
    <t xml:space="preserve">TAGTACCGCGCGATAGAAGGCTTG</t>
  </si>
  <si>
    <t xml:space="preserve">AAACCAAGCCTTCTATCGCGCGGT</t>
  </si>
  <si>
    <t xml:space="preserve">CTTTTTGATGATAAGGTCAA</t>
  </si>
  <si>
    <t xml:space="preserve">TAGTCTTTTTGATGATAAGGTCAA</t>
  </si>
  <si>
    <t xml:space="preserve">AAACTTGACCTTATCATCAAAAAG</t>
  </si>
  <si>
    <t xml:space="preserve">TCACCGATTTTCGAGACCAG</t>
  </si>
  <si>
    <t xml:space="preserve">TAGTTCACCGATTTTCGAGACCAG</t>
  </si>
  <si>
    <t xml:space="preserve">AAACCTGGTCTCGAAAATCGGTGA</t>
  </si>
  <si>
    <t xml:space="preserve">CCACACAGCAGTACCAGCAA</t>
  </si>
  <si>
    <t xml:space="preserve">TAGTCCACACAGCAGTACCAGCAA</t>
  </si>
  <si>
    <t xml:space="preserve">AAACTTGCTGGTACTGCTGTGTGG</t>
  </si>
  <si>
    <t xml:space="preserve">PSPPH_0713</t>
  </si>
  <si>
    <t xml:space="preserve">rplU</t>
  </si>
  <si>
    <t xml:space="preserve">AGGGTGCGCGATTGTACGCA</t>
  </si>
  <si>
    <t xml:space="preserve">TAGTAGGGTGCGCGATTGTACGCA</t>
  </si>
  <si>
    <t xml:space="preserve">AAACTGCGTACAATCGCGCACCCT</t>
  </si>
  <si>
    <t xml:space="preserve">AGGTGCTGCCCAGGAAAGTT</t>
  </si>
  <si>
    <t xml:space="preserve">TAGTAGGTGCTGCCCAGGAAAGTT</t>
  </si>
  <si>
    <t xml:space="preserve">AAACAACTTTCCTGGGCAGCACCT</t>
  </si>
  <si>
    <t xml:space="preserve">CCGTTTGCATTGCGTAAGGC</t>
  </si>
  <si>
    <t xml:space="preserve">TAGTCCGTTTGCATTGCGTAAGGC</t>
  </si>
  <si>
    <t xml:space="preserve">AAACGCCTTACGCAATGCAAACGG</t>
  </si>
  <si>
    <t xml:space="preserve">ATGGCTGCATGGGGCTGGAA</t>
  </si>
  <si>
    <t xml:space="preserve">TAGTATGGCTGCATGGGGCTGGAA</t>
  </si>
  <si>
    <t xml:space="preserve">AAACTTCCAGCCCCATGCAGCCAT</t>
  </si>
  <si>
    <t xml:space="preserve">PSPPH_0714</t>
  </si>
  <si>
    <t xml:space="preserve">rpmA</t>
  </si>
  <si>
    <t xml:space="preserve">TTCTGAGTCGCGCCCGTTAC</t>
  </si>
  <si>
    <t xml:space="preserve">TAGTTTCTGAGTCGCGCCCGTTAC</t>
  </si>
  <si>
    <t xml:space="preserve">AAACGTAACGGGCGCGACTCAGAA</t>
  </si>
  <si>
    <t xml:space="preserve">CATCTTCACGCCAAGGCGTT</t>
  </si>
  <si>
    <t xml:space="preserve">TAGTCATCTTCACGCCAAGGCGTT</t>
  </si>
  <si>
    <t xml:space="preserve">AAACAACGCCTTGGCGTGAAGATG</t>
  </si>
  <si>
    <t xml:space="preserve">TGTTGCCAGGAATGATAGCC</t>
  </si>
  <si>
    <t xml:space="preserve">TAGTTGTTGCCAGGAATGATAGCC</t>
  </si>
  <si>
    <t xml:space="preserve">AAACGGCTATCATTCCTGGCAACA</t>
  </si>
  <si>
    <t xml:space="preserve">GCCGTAGCCAGCGTGGAATT</t>
  </si>
  <si>
    <t xml:space="preserve">TAGTGCCGTAGCCAGCGTGGAATT</t>
  </si>
  <si>
    <t xml:space="preserve">AAACAATTCCACGCTGGCTACGGC</t>
  </si>
  <si>
    <t xml:space="preserve">PSPPH_0715</t>
  </si>
  <si>
    <t xml:space="preserve">GTCACCGGCTTTTACTCGAA</t>
  </si>
  <si>
    <t xml:space="preserve">TAGTGTCACCGGCTTTTACTCGAA</t>
  </si>
  <si>
    <t xml:space="preserve">AAACTTCGAGTAAAAGCCGGTGAC</t>
  </si>
  <si>
    <t xml:space="preserve">TTTCAATGAATTTTTCGCGA</t>
  </si>
  <si>
    <t xml:space="preserve">TAGTTTTCAATGAATTTTTCGCGA</t>
  </si>
  <si>
    <t xml:space="preserve">AAACTCGCGAAAAATTCATTGAAA</t>
  </si>
  <si>
    <t xml:space="preserve">TCACCACCATCACCACCGTT</t>
  </si>
  <si>
    <t xml:space="preserve">TAGTTCACCACCATCACCACCGTT</t>
  </si>
  <si>
    <t xml:space="preserve">AAACAACGGTGGTGATGGTGGTGA</t>
  </si>
  <si>
    <t xml:space="preserve">CAGCGTATTCAGGTTGACGT</t>
  </si>
  <si>
    <t xml:space="preserve">TAGTCAGCGTATTCAGGTTGACGT</t>
  </si>
  <si>
    <t xml:space="preserve">AAACACGTCAACCTGAATACGCTG</t>
  </si>
  <si>
    <t xml:space="preserve">PSPPH_0716</t>
  </si>
  <si>
    <t xml:space="preserve">proB</t>
  </si>
  <si>
    <t xml:space="preserve">AATCTTCACAACCCAGCGCT</t>
  </si>
  <si>
    <t xml:space="preserve">TAGTAATCTTCACAACCCAGCGCT</t>
  </si>
  <si>
    <t xml:space="preserve">AAACAGCGCTGGGTTGTGAAGATT</t>
  </si>
  <si>
    <t xml:space="preserve">ATCCAGGCCCTTGCCATCCG</t>
  </si>
  <si>
    <t xml:space="preserve">TAGTATCCAGGCCCTTGCCATCCG</t>
  </si>
  <si>
    <t xml:space="preserve">AAACCGGATGGCAAGGGCCTGGAT</t>
  </si>
  <si>
    <t xml:space="preserve">CTGCTCCACCCAAACACCCA</t>
  </si>
  <si>
    <t xml:space="preserve">TAGTCTGCTCCACCCAAACACCCA</t>
  </si>
  <si>
    <t xml:space="preserve">AAACTGGGTGTTTGGGTGGAGCAG</t>
  </si>
  <si>
    <t xml:space="preserve">CATACCGGCAGCCACCGCCC</t>
  </si>
  <si>
    <t xml:space="preserve">TAGTCATACCGGCAGCCACCGCCC</t>
  </si>
  <si>
    <t xml:space="preserve">AAACGGGCGGTGGCTGCCGGTATG</t>
  </si>
  <si>
    <t xml:space="preserve">PSPPH_0717</t>
  </si>
  <si>
    <t xml:space="preserve">CAACACCGGCATCAGCAACG</t>
  </si>
  <si>
    <t xml:space="preserve">TAGTCAACACCGGCATCAGCAACG</t>
  </si>
  <si>
    <t xml:space="preserve">AAACCGTTGCTGATGCCGGTGTTG</t>
  </si>
  <si>
    <t xml:space="preserve">TCGACCACGATGCGGTCGTT</t>
  </si>
  <si>
    <t xml:space="preserve">TAGTTCGACCACGATGCGGTCGTT</t>
  </si>
  <si>
    <t xml:space="preserve">AAACAACGACCGCATCGTGGTCGA</t>
  </si>
  <si>
    <t xml:space="preserve">CACGTCACACCGTCGACCTT</t>
  </si>
  <si>
    <t xml:space="preserve">TAGTCACGTCACACCGTCGACCTT</t>
  </si>
  <si>
    <t xml:space="preserve">AAACAAGGTCGACGGTGTGACGTG</t>
  </si>
  <si>
    <t xml:space="preserve">ACCCCTCACGCCACCGGTCT</t>
  </si>
  <si>
    <t xml:space="preserve">TAGTACCCCTCACGCCACCGGTCT</t>
  </si>
  <si>
    <t xml:space="preserve">AAACAGACCGGTGGCGTGAGGGGT</t>
  </si>
  <si>
    <t xml:space="preserve">PSPPH_0718</t>
  </si>
  <si>
    <t xml:space="preserve">rpsT</t>
  </si>
  <si>
    <t xml:space="preserve">TTTTTTGGCGGAAGGTGTGT</t>
  </si>
  <si>
    <t xml:space="preserve">TAGTTTTTTTGGCGGAAGGTGTGT</t>
  </si>
  <si>
    <t xml:space="preserve">AAACACACACCTTCCGCCAAAAAA</t>
  </si>
  <si>
    <t xml:space="preserve">TGGAACGCAGGCTGGCGTTG</t>
  </si>
  <si>
    <t xml:space="preserve">TAGTTGGAACGCAGGCTGGCGTTG</t>
  </si>
  <si>
    <t xml:space="preserve">AAACCAACGCCAGCCTGCGTTCCA</t>
  </si>
  <si>
    <t xml:space="preserve">CTTGATGTAGGTACGAACCA</t>
  </si>
  <si>
    <t xml:space="preserve">TAGTCTTGATGTAGGTACGAACCA</t>
  </si>
  <si>
    <t xml:space="preserve">AAACTGGTTCGTACCTACATCAAG</t>
  </si>
  <si>
    <t xml:space="preserve">TTCTGCGTCTTTTGCGTCGA</t>
  </si>
  <si>
    <t xml:space="preserve">TAGTTTCTGCGTCTTTTGCGTCGA</t>
  </si>
  <si>
    <t xml:space="preserve">AAACTCGACGCAAAAGACGCAGAA</t>
  </si>
  <si>
    <t xml:space="preserve">PSPPH_0719</t>
  </si>
  <si>
    <t xml:space="preserve">mviN</t>
  </si>
  <si>
    <t xml:space="preserve">CATGGTGATAGAGCTTACGG</t>
  </si>
  <si>
    <t xml:space="preserve">TAGTCATGGTGATAGAGCTTACGG</t>
  </si>
  <si>
    <t xml:space="preserve">AAACCCGTAAGCTCTATCACCATG</t>
  </si>
  <si>
    <t xml:space="preserve">GCGAGCAAAGCCCAGAACCC</t>
  </si>
  <si>
    <t xml:space="preserve">TAGTGCGAGCAAAGCCCAGAACCC</t>
  </si>
  <si>
    <t xml:space="preserve">AAACGGGTTCTGGGCTTTGCTCGC</t>
  </si>
  <si>
    <t xml:space="preserve">TCCGAAAGTGCGCGCGATGA</t>
  </si>
  <si>
    <t xml:space="preserve">TAGTTCCGAAAGTGCGCGCGATGA</t>
  </si>
  <si>
    <t xml:space="preserve">AAACTCATCGCGCGCACTTTCGGA</t>
  </si>
  <si>
    <t xml:space="preserve">GAACGCATCGGTGGCCATTC</t>
  </si>
  <si>
    <t xml:space="preserve">TAGTGAACGCATCGGTGGCCATTC</t>
  </si>
  <si>
    <t xml:space="preserve">AAACGAATGGCCACCGATGCGTTC</t>
  </si>
  <si>
    <t xml:space="preserve">PSPPH_0720</t>
  </si>
  <si>
    <t xml:space="preserve">ribF</t>
  </si>
  <si>
    <t xml:space="preserve">CCGGATGAAGGTTCTTGGCG</t>
  </si>
  <si>
    <t xml:space="preserve">TAGTCCGGATGAAGGTTCTTGGCG</t>
  </si>
  <si>
    <t xml:space="preserve">AAACCGCCAAGAACCTTCATCCGG</t>
  </si>
  <si>
    <t xml:space="preserve">CACACACGGCCGTGGGCGAC</t>
  </si>
  <si>
    <t xml:space="preserve">TAGTCACACACGGCCGTGGGCGAC</t>
  </si>
  <si>
    <t xml:space="preserve">AAACGTCGCCCACGGCCGTGTGTG</t>
  </si>
  <si>
    <t xml:space="preserve">CGCACTTCTTGCTCATAAAG</t>
  </si>
  <si>
    <t xml:space="preserve">TAGTCGCACTTCTTGCTCATAAAG</t>
  </si>
  <si>
    <t xml:space="preserve">AAACCTTTATGAGCAAGAAGTGCG</t>
  </si>
  <si>
    <t xml:space="preserve">GTTCGGGGCGCAGGTTGTGA</t>
  </si>
  <si>
    <t xml:space="preserve">TAGTGTTCGGGGCGCAGGTTGTGA</t>
  </si>
  <si>
    <t xml:space="preserve">AAACTCACAACCTGCGCCCCGAAC</t>
  </si>
  <si>
    <t xml:space="preserve">PSPPH_0721</t>
  </si>
  <si>
    <t xml:space="preserve">ileS</t>
  </si>
  <si>
    <t xml:space="preserve">GGTGTCCGGAAGGTTTAGCG</t>
  </si>
  <si>
    <t xml:space="preserve">TAGTGGTGTCCGGAAGGTTTAGCG</t>
  </si>
  <si>
    <t xml:space="preserve">AAACCGCTAAACCTTCCGGACACC</t>
  </si>
  <si>
    <t xml:space="preserve">GCCGGCCTTCATAGGGAAGG</t>
  </si>
  <si>
    <t xml:space="preserve">TAGTGCCGGCCTTCATAGGGAAGG</t>
  </si>
  <si>
    <t xml:space="preserve">AAACCCTTCCCTATGAAGGCCGGC</t>
  </si>
  <si>
    <t xml:space="preserve">TTTGCGGCTCGCGCTGGGGC</t>
  </si>
  <si>
    <t xml:space="preserve">TAGTTTTGCGGCTCGCGCTGGGGC</t>
  </si>
  <si>
    <t xml:space="preserve">AAACGCCCCAGCGCGAGCCGCAAA</t>
  </si>
  <si>
    <t xml:space="preserve">TCTCGCGCAGCTTCTGGTAC</t>
  </si>
  <si>
    <t xml:space="preserve">TAGTTCTCGCGCAGCTTCTGGTAC</t>
  </si>
  <si>
    <t xml:space="preserve">AAACGTACCAGAAGCTGCGCGAGA</t>
  </si>
  <si>
    <t xml:space="preserve">PSPPH_0722</t>
  </si>
  <si>
    <t xml:space="preserve">lspA</t>
  </si>
  <si>
    <t xml:space="preserve">CCAGGCCAGACGGCCAAACG</t>
  </si>
  <si>
    <t xml:space="preserve">TAGTCCAGGCCAGACGGCCAAACG</t>
  </si>
  <si>
    <t xml:space="preserve">AAACCGTTTGGCCGTCTGGCCTGG</t>
  </si>
  <si>
    <t xml:space="preserve">CGAAGTAGTACTTGCTGGCC</t>
  </si>
  <si>
    <t xml:space="preserve">TAGTCGAAGTAGTACTTGCTGGCC</t>
  </si>
  <si>
    <t xml:space="preserve">AAACGGCCAGCAAGTACTACTTCG</t>
  </si>
  <si>
    <t xml:space="preserve">GATCTGCTGGTACAGGCTCA</t>
  </si>
  <si>
    <t xml:space="preserve">TAGTGATCTGCTGGTACAGGCTCA</t>
  </si>
  <si>
    <t xml:space="preserve">AAACTGAGCCTGTACCAGCAGATC</t>
  </si>
  <si>
    <t xml:space="preserve">AGGGTCCAGCTGAAGAAGTC</t>
  </si>
  <si>
    <t xml:space="preserve">TAGTAGGGTCCAGCTGAAGAAGTC</t>
  </si>
  <si>
    <t xml:space="preserve">AAACGACTTCTTCAGCTGGACCCT</t>
  </si>
  <si>
    <t xml:space="preserve">PSPPH_0723</t>
  </si>
  <si>
    <t xml:space="preserve">CAGACGCAGGGCGAAGTGCA</t>
  </si>
  <si>
    <t xml:space="preserve">TAGTCAGACGCAGGGCGAAGTGCA</t>
  </si>
  <si>
    <t xml:space="preserve">AAACTGCACTTCGCCCTGCGTCTG</t>
  </si>
  <si>
    <t xml:space="preserve">CTTTTCGAAGGTGCTGTCGA</t>
  </si>
  <si>
    <t xml:space="preserve">TAGTCTTTTCGAAGGTGCTGTCGA</t>
  </si>
  <si>
    <t xml:space="preserve">AAACTCGACAGCACCTTCGAAAAG</t>
  </si>
  <si>
    <t xml:space="preserve">TCACCAACCTTGAACGTGGC</t>
  </si>
  <si>
    <t xml:space="preserve">TAGTTCACCAACCTTGAACGTGGC</t>
  </si>
  <si>
    <t xml:space="preserve">AAACGCCACGTTCAAGGTTGGTGA</t>
  </si>
  <si>
    <t xml:space="preserve">CCATTTCGAAACCGGGCAAC</t>
  </si>
  <si>
    <t xml:space="preserve">TAGTCCATTTCGAAACCGGGCAAC</t>
  </si>
  <si>
    <t xml:space="preserve">AAACGTTGCCCGGTTTCGAAATGG</t>
  </si>
  <si>
    <t xml:space="preserve">PSPPH_0724</t>
  </si>
  <si>
    <t xml:space="preserve">ispH</t>
  </si>
  <si>
    <t xml:space="preserve">GGCACAAAAGCCGCGGGGGT</t>
  </si>
  <si>
    <t xml:space="preserve">TAGTGGCACAAAAGCCGCGGGGGT</t>
  </si>
  <si>
    <t xml:space="preserve">AAACACCCCCGCGGCTTTTGTGCC</t>
  </si>
  <si>
    <t xml:space="preserve">TTCGATCGCGCGGTCCACTC</t>
  </si>
  <si>
    <t xml:space="preserve">TAGTTTCGATCGCGCGGTCCACTC</t>
  </si>
  <si>
    <t xml:space="preserve">AAACGAGTGGACCGCGCGATCGAA</t>
  </si>
  <si>
    <t xml:space="preserve">TCATGGCGCACATAAATCGG</t>
  </si>
  <si>
    <t xml:space="preserve">TAGTTCATGGCGCACATAAATCGG</t>
  </si>
  <si>
    <t xml:space="preserve">AAACCCGATTTATGTGCGCCATGA</t>
  </si>
  <si>
    <t xml:space="preserve">AGATCGCACCGCGAGAGCGC</t>
  </si>
  <si>
    <t xml:space="preserve">TAGTAGATCGCACCGCGAGAGCGC</t>
  </si>
  <si>
    <t xml:space="preserve">AAACGCGCTCTCGCGGTGCGATCT</t>
  </si>
  <si>
    <t xml:space="preserve">PSPPH_0725</t>
  </si>
  <si>
    <t xml:space="preserve">GAAAGAAGGTGTTGCGACGT</t>
  </si>
  <si>
    <t xml:space="preserve">TAGTGAAAGAAGGTGTTGCGACGT</t>
  </si>
  <si>
    <t xml:space="preserve">AAACACGTCGCAACACCTTCTTTC</t>
  </si>
  <si>
    <t xml:space="preserve">AGCGGCGGCGAGCCCGCGAC</t>
  </si>
  <si>
    <t xml:space="preserve">TAGTAGCGGCGGCGAGCCCGCGAC</t>
  </si>
  <si>
    <t xml:space="preserve">AAACGTCGCGGGCTCGCCGCCGCT</t>
  </si>
  <si>
    <t xml:space="preserve">TCTTGCTGAACGGATACCGC</t>
  </si>
  <si>
    <t xml:space="preserve">TAGTTCTTGCTGAACGGATACCGC</t>
  </si>
  <si>
    <t xml:space="preserve">AAACGCGGTATCCGTTCAGCAAGA</t>
  </si>
  <si>
    <t xml:space="preserve">AATCTGATTGCGCGTTATAG</t>
  </si>
  <si>
    <t xml:space="preserve">TAGTAATCTGATTGCGCGTTATAG</t>
  </si>
  <si>
    <t xml:space="preserve">AAACCTATAACGCGCAATCAGATT</t>
  </si>
  <si>
    <t xml:space="preserve">PSPPH_0726</t>
  </si>
  <si>
    <t xml:space="preserve">TTCGATGAGGCTGAATCCCT</t>
  </si>
  <si>
    <t xml:space="preserve">TAGTTTCGATGAGGCTGAATCCCT</t>
  </si>
  <si>
    <t xml:space="preserve">AAACAGGGATTCAGCCTCATCGAA</t>
  </si>
  <si>
    <t xml:space="preserve">AGCCGCAAGGATGCCCACCA</t>
  </si>
  <si>
    <t xml:space="preserve">TAGTAGCCGCAAGGATGCCCACCA</t>
  </si>
  <si>
    <t xml:space="preserve">AAACTGGTGGGCATCCTTGCGGCT</t>
  </si>
  <si>
    <t xml:space="preserve">GAATGGAACTGGTGAAACTC</t>
  </si>
  <si>
    <t xml:space="preserve">TAGTGAATGGAACTGGTGAAACTC</t>
  </si>
  <si>
    <t xml:space="preserve">AAACGAGTTTCACCAGTTCCATTC</t>
  </si>
  <si>
    <t xml:space="preserve">CAAATCGCTGAGCTCGGTGT</t>
  </si>
  <si>
    <t xml:space="preserve">TAGTCAAATCGCTGAGCTCGGTGT</t>
  </si>
  <si>
    <t xml:space="preserve">AAACACACCGAGCTCAGCGATTTG</t>
  </si>
  <si>
    <t xml:space="preserve">PSPPH_0727</t>
  </si>
  <si>
    <t xml:space="preserve">CATGCCGGTCTGGCGATGTC</t>
  </si>
  <si>
    <t xml:space="preserve">TAGTCATGCCGGTCTGGCGATGTC</t>
  </si>
  <si>
    <t xml:space="preserve">AAACGACATCGCCAGACCGGCATG</t>
  </si>
  <si>
    <t xml:space="preserve">CGAAACCAGCACCTCGATCA</t>
  </si>
  <si>
    <t xml:space="preserve">TAGTCGAAACCAGCACCTCGATCA</t>
  </si>
  <si>
    <t xml:space="preserve">AAACTGATCGAGGTGCTGGTTTCG</t>
  </si>
  <si>
    <t xml:space="preserve">CCCCCAGCAGGCCTATAGCC</t>
  </si>
  <si>
    <t xml:space="preserve">TAGTCCCCCAGCAGGCCTATAGCC</t>
  </si>
  <si>
    <t xml:space="preserve">AAACGGCTATAGGCCTGCTGGGGG</t>
  </si>
  <si>
    <t xml:space="preserve">GGCATTAAGCTGGATAGCGG</t>
  </si>
  <si>
    <t xml:space="preserve">TAGTGGCATTAAGCTGGATAGCGG</t>
  </si>
  <si>
    <t xml:space="preserve">AAACCCGCTATCCAGCTTAATGCC</t>
  </si>
  <si>
    <t xml:space="preserve">PSPPH_0728</t>
  </si>
  <si>
    <t xml:space="preserve">ACCAGACCGAAGCCTTGGGA</t>
  </si>
  <si>
    <t xml:space="preserve">TAGTACCAGACCGAAGCCTTGGGA</t>
  </si>
  <si>
    <t xml:space="preserve">AAACTCCCAAGGCTTCGGTCTGGT</t>
  </si>
  <si>
    <t xml:space="preserve">TGAATATCTGCACGATCCCC</t>
  </si>
  <si>
    <t xml:space="preserve">TAGTTGAATATCTGCACGATCCCC</t>
  </si>
  <si>
    <t xml:space="preserve">AAACGGGGATCGTGCAGATATTCA</t>
  </si>
  <si>
    <t xml:space="preserve">GCTTTGATAAGTGCCTCTGG</t>
  </si>
  <si>
    <t xml:space="preserve">TAGTGCTTTGATAAGTGCCTCTGG</t>
  </si>
  <si>
    <t xml:space="preserve">AAACCCAGAGGCACTTATCAAAGC</t>
  </si>
  <si>
    <t xml:space="preserve">GCATTCGGGCAGCAGCATTC</t>
  </si>
  <si>
    <t xml:space="preserve">TAGTGCATTCGGGCAGCAGCATTC</t>
  </si>
  <si>
    <t xml:space="preserve">AAACGAATGCTGCTGCCCGAATGC</t>
  </si>
  <si>
    <t xml:space="preserve">PSPPH_0729</t>
  </si>
  <si>
    <t xml:space="preserve">CCTTATCGTTTGATATTGCA</t>
  </si>
  <si>
    <t xml:space="preserve">TAGTCCTTATCGTTTGATATTGCA</t>
  </si>
  <si>
    <t xml:space="preserve">AAACTGCAATATCAAACGATAAGG</t>
  </si>
  <si>
    <t xml:space="preserve">CCACGCTGCCTGACGGGAAA</t>
  </si>
  <si>
    <t xml:space="preserve">TAGTCCACGCTGCCTGACGGGAAA</t>
  </si>
  <si>
    <t xml:space="preserve">AAACTTTCCCGTCAGGCAGCGTGG</t>
  </si>
  <si>
    <t xml:space="preserve">ACCCGCCATTTTTTCCTGCA</t>
  </si>
  <si>
    <t xml:space="preserve">TAGTACCCGCCATTTTTTCCTGCA</t>
  </si>
  <si>
    <t xml:space="preserve">AAACTGCAGGAAAAAATGGCGGGT</t>
  </si>
  <si>
    <t xml:space="preserve">GCAACTGCGCCTCAGCGGAC</t>
  </si>
  <si>
    <t xml:space="preserve">TAGTGCAACTGCGCCTCAGCGGAC</t>
  </si>
  <si>
    <t xml:space="preserve">AAACGTCCGCTGAGGCGCAGTTGC</t>
  </si>
  <si>
    <t xml:space="preserve">PSPPH_0730</t>
  </si>
  <si>
    <t xml:space="preserve">AAATATACCTGGAGAAGTGG</t>
  </si>
  <si>
    <t xml:space="preserve">TAGTAAATATACCTGGAGAAGTGG</t>
  </si>
  <si>
    <t xml:space="preserve">AAACCCACTTCTCCAGGTATATTT</t>
  </si>
  <si>
    <t xml:space="preserve">GCCGGGGTAAATGCATAGAC</t>
  </si>
  <si>
    <t xml:space="preserve">TAGTGCCGGGGTAAATGCATAGAC</t>
  </si>
  <si>
    <t xml:space="preserve">AAACGTCTATGCATTTACCCCGGC</t>
  </si>
  <si>
    <t xml:space="preserve">ACGGCAGGTGCGCTGAGCAA</t>
  </si>
  <si>
    <t xml:space="preserve">TAGTACGGCAGGTGCGCTGAGCAA</t>
  </si>
  <si>
    <t xml:space="preserve">AAACTTGCTCAGCGCACCTGCCGT</t>
  </si>
  <si>
    <t xml:space="preserve">ACGAGCAGCATCAGGTTAGG</t>
  </si>
  <si>
    <t xml:space="preserve">TAGTACGAGCAGCATCAGGTTAGG</t>
  </si>
  <si>
    <t xml:space="preserve">AAACCCTAACCTGATGCTGCTCGT</t>
  </si>
  <si>
    <t xml:space="preserve">PSPPH_0731</t>
  </si>
  <si>
    <t xml:space="preserve">TTCGATCAACGTAAAGCCCC</t>
  </si>
  <si>
    <t xml:space="preserve">TAGTTTCGATCAACGTAAAGCCCC</t>
  </si>
  <si>
    <t xml:space="preserve">AAACGGGGCTTTACGTTGATCGAA</t>
  </si>
  <si>
    <t xml:space="preserve">GTAAGCAGGATACGCAACAG</t>
  </si>
  <si>
    <t xml:space="preserve">TAGTGTAAGCAGGATACGCAACAG</t>
  </si>
  <si>
    <t xml:space="preserve">AAACCTGTTGCGTATCCTGCTTAC</t>
  </si>
  <si>
    <t xml:space="preserve">CTGGGTACGCTTCACGTATT</t>
  </si>
  <si>
    <t xml:space="preserve">TAGTCTGGGTACGCTTCACGTATT</t>
  </si>
  <si>
    <t xml:space="preserve">AAACAATACGTGAAGCGTACCCAG</t>
  </si>
  <si>
    <t xml:space="preserve">GGTCTGCTCGGACAGCAGGC</t>
  </si>
  <si>
    <t xml:space="preserve">TAGTGGTCTGCTCGGACAGCAGGC</t>
  </si>
  <si>
    <t xml:space="preserve">AAACGCCTGCTGTCCGAGCAGACC</t>
  </si>
  <si>
    <t xml:space="preserve">PSPPH_0732</t>
  </si>
  <si>
    <t xml:space="preserve">thiO</t>
  </si>
  <si>
    <t xml:space="preserve">GACAATGACTGTTTTTTGCT</t>
  </si>
  <si>
    <t xml:space="preserve">TAGTGACAATGACTGTTTTTTGCT</t>
  </si>
  <si>
    <t xml:space="preserve">AAACAGCAAAAAACAGTCATTGTC</t>
  </si>
  <si>
    <t xml:space="preserve">CTCGGAGGCGAGATTGAAGG</t>
  </si>
  <si>
    <t xml:space="preserve">TAGTCTCGGAGGCGAGATTGAAGG</t>
  </si>
  <si>
    <t xml:space="preserve">AAACCCTTCAATCTCGCCTCCGAG</t>
  </si>
  <si>
    <t xml:space="preserve">AACAATCCCGCCGCCCGCCC</t>
  </si>
  <si>
    <t xml:space="preserve">TAGTAACAATCCCGCCGCCCGCCC</t>
  </si>
  <si>
    <t xml:space="preserve">AAACGGGCGGGCGGCGGGATTGTT</t>
  </si>
  <si>
    <t xml:space="preserve">CTGTAGCGCCACGGATAAAG</t>
  </si>
  <si>
    <t xml:space="preserve">TAGTCTGTAGCGCCACGGATAAAG</t>
  </si>
  <si>
    <t xml:space="preserve">AAACCTTTATCCGTGGCGCTACAG</t>
  </si>
  <si>
    <t xml:space="preserve">PSPPH_0733</t>
  </si>
  <si>
    <t xml:space="preserve">CCAGCGCTGACAGATTGAAA</t>
  </si>
  <si>
    <t xml:space="preserve">TAGTCCAGCGCTGACAGATTGAAA</t>
  </si>
  <si>
    <t xml:space="preserve">AAACTTTCAATCTGTCAGCGCTGG</t>
  </si>
  <si>
    <t xml:space="preserve">GGTAATCGAGCGCTCGCGGA</t>
  </si>
  <si>
    <t xml:space="preserve">TAGTGGTAATCGAGCGCTCGCGGA</t>
  </si>
  <si>
    <t xml:space="preserve">AAACTCCGCGAGCGCTCGATTACC</t>
  </si>
  <si>
    <t xml:space="preserve">AATCAGGCAAACAAGGAACA</t>
  </si>
  <si>
    <t xml:space="preserve">TAGTAATCAGGCAAACAAGGAACA</t>
  </si>
  <si>
    <t xml:space="preserve">AAACTGTTCCTTGTTTGCCTGATT</t>
  </si>
  <si>
    <t xml:space="preserve">TTTGAAAAAGGCAATGATCC</t>
  </si>
  <si>
    <t xml:space="preserve">TAGTTTTGAAAAAGGCAATGATCC</t>
  </si>
  <si>
    <t xml:space="preserve">AAACGGATCATTGCCTTTTTCAAA</t>
  </si>
  <si>
    <t xml:space="preserve">PSPPH_0734</t>
  </si>
  <si>
    <t xml:space="preserve">CAGGACAGCCGGCAGAACAC</t>
  </si>
  <si>
    <t xml:space="preserve">TAGTCAGGACAGCCGGCAGAACAC</t>
  </si>
  <si>
    <t xml:space="preserve">AAACGTGTTCTGCCGGCTGTCCTG</t>
  </si>
  <si>
    <t xml:space="preserve">TGGCGTTTTTTCGTTGCAGC</t>
  </si>
  <si>
    <t xml:space="preserve">TAGTTGGCGTTTTTTCGTTGCAGC</t>
  </si>
  <si>
    <t xml:space="preserve">AAACGCTGCAACGAAAAAACGCCA</t>
  </si>
  <si>
    <t xml:space="preserve">GCTTCTGTGCGCGGGTCCGC</t>
  </si>
  <si>
    <t xml:space="preserve">TAGTGCTTCTGTGCGCGGGTCCGC</t>
  </si>
  <si>
    <t xml:space="preserve">AAACGCGGACCCGCGCACAGAAGC</t>
  </si>
  <si>
    <t xml:space="preserve">AGGCTCGCAACGCGCACCAA</t>
  </si>
  <si>
    <t xml:space="preserve">TAGTAGGCTCGCAACGCGCACCAA</t>
  </si>
  <si>
    <t xml:space="preserve">AAACTTGGTGCGCGTTGCGAGCCT</t>
  </si>
  <si>
    <t xml:space="preserve">PSPPH_0735</t>
  </si>
  <si>
    <t xml:space="preserve">CCAGAAATGGCATGCCGACG</t>
  </si>
  <si>
    <t xml:space="preserve">TAGTCCAGAAATGGCATGCCGACG</t>
  </si>
  <si>
    <t xml:space="preserve">AAACCGTCGGCATGCCATTTCTGG</t>
  </si>
  <si>
    <t xml:space="preserve">ACGCGACATCCAACCGGGAC</t>
  </si>
  <si>
    <t xml:space="preserve">TAGTACGCGACATCCAACCGGGAC</t>
  </si>
  <si>
    <t xml:space="preserve">AAACGTCCCGGTTGGATGTCGCGT</t>
  </si>
  <si>
    <t xml:space="preserve">GGGATTGGTCACGAACATTA</t>
  </si>
  <si>
    <t xml:space="preserve">TAGTGGGATTGGTCACGAACATTA</t>
  </si>
  <si>
    <t xml:space="preserve">AAACTAATGTTCGTGACCAATCCC</t>
  </si>
  <si>
    <t xml:space="preserve">GACAATAAGTGACATTGTTG</t>
  </si>
  <si>
    <t xml:space="preserve">TAGTGACAATAAGTGACATTGTTG</t>
  </si>
  <si>
    <t xml:space="preserve">AAACCAACAATGTCACTTATTGTC</t>
  </si>
  <si>
    <t xml:space="preserve">PSPPH_0736</t>
  </si>
  <si>
    <t xml:space="preserve">pilR</t>
  </si>
  <si>
    <t xml:space="preserve">CTATCAGGATTTTTTGCCGT</t>
  </si>
  <si>
    <t xml:space="preserve">TAGTCTATCAGGATTTTTTGCCGT</t>
  </si>
  <si>
    <t xml:space="preserve">AAACACGGCAAAAAATCCTGATAG</t>
  </si>
  <si>
    <t xml:space="preserve">TCCAGCAGTTCGCGGATATC</t>
  </si>
  <si>
    <t xml:space="preserve">TAGTTCCAGCAGTTCGCGGATATC</t>
  </si>
  <si>
    <t xml:space="preserve">AAACGATATCCGCGAACTGCTGGA</t>
  </si>
  <si>
    <t xml:space="preserve">GGCAACATTGCGGGCGCATC</t>
  </si>
  <si>
    <t xml:space="preserve">TAGTGGCAACATTGCGGGCGCATC</t>
  </si>
  <si>
    <t xml:space="preserve">AAACGATGCGCCCGCAATGTTGCC</t>
  </si>
  <si>
    <t xml:space="preserve">GGCCAGCCAGTCGTGGGCCT</t>
  </si>
  <si>
    <t xml:space="preserve">TAGTGGCCAGCCAGTCGTGGGCCT</t>
  </si>
  <si>
    <t xml:space="preserve">AAACAGGCCCACGACTGGCTGGCC</t>
  </si>
  <si>
    <t xml:space="preserve">PSPPH_0737</t>
  </si>
  <si>
    <t xml:space="preserve">pilS</t>
  </si>
  <si>
    <t xml:space="preserve">GCCTGTGGGCTGGCAAGCGA</t>
  </si>
  <si>
    <t xml:space="preserve">TAGTGCCTGTGGGCTGGCAAGCGA</t>
  </si>
  <si>
    <t xml:space="preserve">AAACTCGCTTGCCAGCCCACAGGC</t>
  </si>
  <si>
    <t xml:space="preserve">CGATGGTCAGTCGATAAAGG</t>
  </si>
  <si>
    <t xml:space="preserve">TAGTCGATGGTCAGTCGATAAAGG</t>
  </si>
  <si>
    <t xml:space="preserve">AAACCCTTTATCGACTGACCATCG</t>
  </si>
  <si>
    <t xml:space="preserve">CCAGACTGCTGGAAATCAGC</t>
  </si>
  <si>
    <t xml:space="preserve">TAGTCCAGACTGCTGGAAATCAGC</t>
  </si>
  <si>
    <t xml:space="preserve">AAACGCTGATTTCCAGCAGTCTGG</t>
  </si>
  <si>
    <t xml:space="preserve">ATTGGCCAGTTGCAACAGTT</t>
  </si>
  <si>
    <t xml:space="preserve">TAGTATTGGCCAGTTGCAACAGTT</t>
  </si>
  <si>
    <t xml:space="preserve">AAACAACTGTTGCAACTGGCCAAT</t>
  </si>
  <si>
    <t xml:space="preserve">PSPPH_0738</t>
  </si>
  <si>
    <t xml:space="preserve">GATCACCGCCGCGATCAACG</t>
  </si>
  <si>
    <t xml:space="preserve">TAGTGATCACCGCCGCGATCAACG</t>
  </si>
  <si>
    <t xml:space="preserve">AAACCGTTGATCGCGGCGGTGATC</t>
  </si>
  <si>
    <t xml:space="preserve">TCGGCTTGGGGGGATTGATC</t>
  </si>
  <si>
    <t xml:space="preserve">TAGTTCGGCTTGGGGGGATTGATC</t>
  </si>
  <si>
    <t xml:space="preserve">AAACGATCAATCCCCCCAAGCCGA</t>
  </si>
  <si>
    <t xml:space="preserve">TATTTCAGGCGGCTCGGCAC</t>
  </si>
  <si>
    <t xml:space="preserve">TAGTTATTTCAGGCGGCTCGGCAC</t>
  </si>
  <si>
    <t xml:space="preserve">AAACGTGCCGAGCCGCCTGAAATA</t>
  </si>
  <si>
    <t xml:space="preserve">TGCGCAGCGCACCATTGGGG</t>
  </si>
  <si>
    <t xml:space="preserve">TAGTTGCGCAGCGCACCATTGGGG</t>
  </si>
  <si>
    <t xml:space="preserve">AAACCCCCAATGGTGCGCTGCGCA</t>
  </si>
  <si>
    <t xml:space="preserve">PSPPH_0739</t>
  </si>
  <si>
    <t xml:space="preserve">comL</t>
  </si>
  <si>
    <t xml:space="preserve">CAGCAGGTGTTTCACTTGCA</t>
  </si>
  <si>
    <t xml:space="preserve">TAGTCAGCAGGTGTTTCACTTGCA</t>
  </si>
  <si>
    <t xml:space="preserve">AAACTGCAAGTGAAACACCTGCTG</t>
  </si>
  <si>
    <t xml:space="preserve">GGCCGCAGTCAATGCGAGGA</t>
  </si>
  <si>
    <t xml:space="preserve">TAGTGGCCGCAGTCAATGCGAGGA</t>
  </si>
  <si>
    <t xml:space="preserve">AAACTCCTCGCATTGACTGCGGCC</t>
  </si>
  <si>
    <t xml:space="preserve">GATGACTTCCTTCGACGAAC</t>
  </si>
  <si>
    <t xml:space="preserve">TAGTGATGACTTCCTTCGACGAAC</t>
  </si>
  <si>
    <t xml:space="preserve">AAACGTTCGTCGAAGGAAGTCATC</t>
  </si>
  <si>
    <t xml:space="preserve">GGTACAGCTCGACTTCGCTG</t>
  </si>
  <si>
    <t xml:space="preserve">TAGTGGTACAGCTCGACTTCGCTG</t>
  </si>
  <si>
    <t xml:space="preserve">AAACCAGCGAAGTCGAGCTGTACC</t>
  </si>
  <si>
    <t xml:space="preserve">PSPPH_0740</t>
  </si>
  <si>
    <t xml:space="preserve">sfhB</t>
  </si>
  <si>
    <t xml:space="preserve">TGCGCGGAGTTCTATATTTT</t>
  </si>
  <si>
    <t xml:space="preserve">TAGTTGCGCGGAGTTCTATATTTT</t>
  </si>
  <si>
    <t xml:space="preserve">AAACAAAATATAGAACTCCGCGCA</t>
  </si>
  <si>
    <t xml:space="preserve">CGTTGACCGCCCAATTCGGA</t>
  </si>
  <si>
    <t xml:space="preserve">TAGTCGTTGACCGCCCAATTCGGA</t>
  </si>
  <si>
    <t xml:space="preserve">AAACTCCGAATTGGGCGGTCAACG</t>
  </si>
  <si>
    <t xml:space="preserve">ATTGTGCGGCGACTTGATCG</t>
  </si>
  <si>
    <t xml:space="preserve">TAGTATTGTGCGGCGACTTGATCG</t>
  </si>
  <si>
    <t xml:space="preserve">AAACCGATCAAGTCGCCGCACAAT</t>
  </si>
  <si>
    <t xml:space="preserve">CGTCCTTGATCCAGGCGGAA</t>
  </si>
  <si>
    <t xml:space="preserve">TAGTCGTCCTTGATCCAGGCGGAA</t>
  </si>
  <si>
    <t xml:space="preserve">AAACTTCCGCCTGGATCAAGGACG</t>
  </si>
  <si>
    <t xml:space="preserve">PSPPH_0741</t>
  </si>
  <si>
    <t xml:space="preserve">TGAGCTGGCGCAGGCCAGTC</t>
  </si>
  <si>
    <t xml:space="preserve">TAGTTGAGCTGGCGCAGGCCAGTC</t>
  </si>
  <si>
    <t xml:space="preserve">AAACGACTGGCCTGCGCCAGCTCA</t>
  </si>
  <si>
    <t xml:space="preserve">ACTGACCCCAACCGAGCGGG</t>
  </si>
  <si>
    <t xml:space="preserve">TAGTACTGACCCCAACCGAGCGGG</t>
  </si>
  <si>
    <t xml:space="preserve">AAACCCCGCTCGGTTGGGGTCAGT</t>
  </si>
  <si>
    <t xml:space="preserve">CAGATTGAAGCTGTCGAACG</t>
  </si>
  <si>
    <t xml:space="preserve">TAGTCAGATTGAAGCTGTCGAACG</t>
  </si>
  <si>
    <t xml:space="preserve">AAACCGTTCGACAGCTTCAATCTG</t>
  </si>
  <si>
    <t xml:space="preserve">GATTGCTCGCCACGGCCTGC</t>
  </si>
  <si>
    <t xml:space="preserve">TAGTGATTGCTCGCCACGGCCTGC</t>
  </si>
  <si>
    <t xml:space="preserve">AAACGCAGGCCGTGGCGAGCAATC</t>
  </si>
  <si>
    <t xml:space="preserve">PSPPH_0742</t>
  </si>
  <si>
    <t xml:space="preserve">clpB2</t>
  </si>
  <si>
    <t xml:space="preserve">TAACGCTAACTGTAATTTAC</t>
  </si>
  <si>
    <t xml:space="preserve">TAGTTAACGCTAACTGTAATTTAC</t>
  </si>
  <si>
    <t xml:space="preserve">AAACGTAAATTACAGTTAGCGTTA</t>
  </si>
  <si>
    <t xml:space="preserve">AACGGCCAGCGACTGGGAAT</t>
  </si>
  <si>
    <t xml:space="preserve">TAGTAACGGCCAGCGACTGGGAAT</t>
  </si>
  <si>
    <t xml:space="preserve">AAACATTCCCAGTCGCTGGCCGTT</t>
  </si>
  <si>
    <t xml:space="preserve">GTTCGATGGCGGGATGGTCG</t>
  </si>
  <si>
    <t xml:space="preserve">TAGTGTTCGATGGCGGGATGGTCG</t>
  </si>
  <si>
    <t xml:space="preserve">AAACCGACCATCCCGCCATCGAAC</t>
  </si>
  <si>
    <t xml:space="preserve">AGCGCCTGCATCAAGTGCGC</t>
  </si>
  <si>
    <t xml:space="preserve">TAGTAGCGCCTGCATCAAGTGCGC</t>
  </si>
  <si>
    <t xml:space="preserve">AAACGCGCACTTGATGCAGGCGCT</t>
  </si>
  <si>
    <t xml:space="preserve">PSPPH_0747</t>
  </si>
  <si>
    <t xml:space="preserve">TCACACGTGTTTCTTTCAAA</t>
  </si>
  <si>
    <t xml:space="preserve">TAGTTCACACGTGTTTCTTTCAAA</t>
  </si>
  <si>
    <t xml:space="preserve">AAACTTTGAAAGAAACACGTGTGA</t>
  </si>
  <si>
    <t xml:space="preserve">TTTTCTTCGGTCGTTTGGTT</t>
  </si>
  <si>
    <t xml:space="preserve">TAGTTTTTCTTCGGTCGTTTGGTT</t>
  </si>
  <si>
    <t xml:space="preserve">AAACAACCAAACGACCGAAGAAAA</t>
  </si>
  <si>
    <t xml:space="preserve">CACAATGGCGTCTGTATTAA</t>
  </si>
  <si>
    <t xml:space="preserve">TAGTCACAATGGCGTCTGTATTAA</t>
  </si>
  <si>
    <t xml:space="preserve">AAACTTAATACAGACGCCATTGTG</t>
  </si>
  <si>
    <t xml:space="preserve">GATCTCTGCTCTTTTGGCGG</t>
  </si>
  <si>
    <t xml:space="preserve">TAGTGATCTCTGCTCTTTTGGCGG</t>
  </si>
  <si>
    <t xml:space="preserve">AAACCCGCCAAAAGAGCAGAGATC</t>
  </si>
  <si>
    <t xml:space="preserve">PSPPH_0748</t>
  </si>
  <si>
    <t xml:space="preserve">ATATCGGTATCCAGGCGAAG</t>
  </si>
  <si>
    <t xml:space="preserve">TAGTATATCGGTATCCAGGCGAAG</t>
  </si>
  <si>
    <t xml:space="preserve">AAACCTTCGCCTGGATACCGATAT</t>
  </si>
  <si>
    <t xml:space="preserve">PSPPH_0749</t>
  </si>
  <si>
    <t xml:space="preserve">GTCATTCGTGTGCAAGATCA</t>
  </si>
  <si>
    <t xml:space="preserve">TAGTGTCATTCGTGTGCAAGATCA</t>
  </si>
  <si>
    <t xml:space="preserve">AAACTGATCTTGCACACGAATGAC</t>
  </si>
  <si>
    <t xml:space="preserve">CCAACGTCAGGTAATACTCA</t>
  </si>
  <si>
    <t xml:space="preserve">TAGTCCAACGTCAGGTAATACTCA</t>
  </si>
  <si>
    <t xml:space="preserve">AAACTGAGTATTACCTGACGTTGG</t>
  </si>
  <si>
    <t xml:space="preserve">GATGACAATGGCGGCAAAAG</t>
  </si>
  <si>
    <t xml:space="preserve">TAGTGATGACAATGGCGGCAAAAG</t>
  </si>
  <si>
    <t xml:space="preserve">AAACCTTTTGCCGCCATTGTCATC</t>
  </si>
  <si>
    <t xml:space="preserve">CTCATCAGCCCCCTCACCGC</t>
  </si>
  <si>
    <t xml:space="preserve">TAGTCTCATCAGCCCCCTCACCGC</t>
  </si>
  <si>
    <t xml:space="preserve">AAACGCGGTGAGGGGGCTGATGAG</t>
  </si>
  <si>
    <t xml:space="preserve">PSPPH_0750</t>
  </si>
  <si>
    <t xml:space="preserve">AGGGCGCAGTGGCAGCTTCA</t>
  </si>
  <si>
    <t xml:space="preserve">TAGTAGGGCGCAGTGGCAGCTTCA</t>
  </si>
  <si>
    <t xml:space="preserve">AAACTGAAGCTGCCACTGCGCCCT</t>
  </si>
  <si>
    <t xml:space="preserve">ACGGTGGTGCGGGAAAGAGA</t>
  </si>
  <si>
    <t xml:space="preserve">TAGTACGGTGGTGCGGGAAAGAGA</t>
  </si>
  <si>
    <t xml:space="preserve">AAACTCTCTTTCCCGCACCACCGT</t>
  </si>
  <si>
    <t xml:space="preserve">CGATCAGGGCCACGATTTGC</t>
  </si>
  <si>
    <t xml:space="preserve">TAGTCGATCAGGGCCACGATTTGC</t>
  </si>
  <si>
    <t xml:space="preserve">AAACGCAAATCGTGGCCCTGATCG</t>
  </si>
  <si>
    <t xml:space="preserve">GGTAGACCAGCATGCCGATC</t>
  </si>
  <si>
    <t xml:space="preserve">TAGTGGTAGACCAGCATGCCGATC</t>
  </si>
  <si>
    <t xml:space="preserve">AAACGATCGGCATGCTGGTCTACC</t>
  </si>
  <si>
    <t xml:space="preserve">PSPPH_0751</t>
  </si>
  <si>
    <t xml:space="preserve">TTTTCTTCCTTGGGCAGCAT</t>
  </si>
  <si>
    <t xml:space="preserve">TAGTTTTTCTTCCTTGGGCAGCAT</t>
  </si>
  <si>
    <t xml:space="preserve">AAACATGCTGCCCAAGGAAGAAAA</t>
  </si>
  <si>
    <t xml:space="preserve">TTAATGTTGTTTTAATGTCT</t>
  </si>
  <si>
    <t xml:space="preserve">TAGTTTAATGTTGTTTTAATGTCT</t>
  </si>
  <si>
    <t xml:space="preserve">AAACAGACATTAAAACAACATTAA</t>
  </si>
  <si>
    <t xml:space="preserve">AGAAGAATCGTTATCTTCTG</t>
  </si>
  <si>
    <t xml:space="preserve">TAGTAGAAGAATCGTTATCTTCTG</t>
  </si>
  <si>
    <t xml:space="preserve">AAACCAGAAGATAACGATTCTTCT</t>
  </si>
  <si>
    <t xml:space="preserve">GTGCGTCTTGCCTGTTCCCC</t>
  </si>
  <si>
    <t xml:space="preserve">TAGTGTGCGTCTTGCCTGTTCCCC</t>
  </si>
  <si>
    <t xml:space="preserve">AAACGGGGAACAGGCAAGACGCAC</t>
  </si>
  <si>
    <t xml:space="preserve">PSPPH_0752</t>
  </si>
  <si>
    <t xml:space="preserve">GCGATGTCTTTACCCTGGCT</t>
  </si>
  <si>
    <t xml:space="preserve">TAGTGCGATGTCTTTACCCTGGCT</t>
  </si>
  <si>
    <t xml:space="preserve">AAACAGCCAGGGTAAAGACATCGC</t>
  </si>
  <si>
    <t xml:space="preserve">TGCTTTGGCTCCGAGTACGG</t>
  </si>
  <si>
    <t xml:space="preserve">TAGTTGCTTTGGCTCCGAGTACGG</t>
  </si>
  <si>
    <t xml:space="preserve">AAACCCGTACTCGGAGCCAAAGCA</t>
  </si>
  <si>
    <t xml:space="preserve">ATGTCCAATTCCCCATGTCA</t>
  </si>
  <si>
    <t xml:space="preserve">TAGTATGTCCAATTCCCCATGTCA</t>
  </si>
  <si>
    <t xml:space="preserve">AAACTGACATGGGGAATTGGACAT</t>
  </si>
  <si>
    <t xml:space="preserve">GCCATAAGCATCGGGAGGAG</t>
  </si>
  <si>
    <t xml:space="preserve">TAGTGCCATAAGCATCGGGAGGAG</t>
  </si>
  <si>
    <t xml:space="preserve">AAACCTCCTCCCGATGCTTATGGC</t>
  </si>
  <si>
    <t xml:space="preserve">PSPPH_0753</t>
  </si>
  <si>
    <t xml:space="preserve">CGTATTGCGTCTGAATATCA</t>
  </si>
  <si>
    <t xml:space="preserve">TAGTCGTATTGCGTCTGAATATCA</t>
  </si>
  <si>
    <t xml:space="preserve">AAACTGATATTCAGACGCAATACG</t>
  </si>
  <si>
    <t xml:space="preserve">AAGTATCGGTTTCGGCATCT</t>
  </si>
  <si>
    <t xml:space="preserve">TAGTAAGTATCGGTTTCGGCATCT</t>
  </si>
  <si>
    <t xml:space="preserve">AAACAGATGCCGAAACCGATACTT</t>
  </si>
  <si>
    <t xml:space="preserve">TTCCATCTTCGAAGCTCAAC</t>
  </si>
  <si>
    <t xml:space="preserve">TAGTTTCCATCTTCGAAGCTCAAC</t>
  </si>
  <si>
    <t xml:space="preserve">AAACGTTGAGCTTCGAAGATGGAA</t>
  </si>
  <si>
    <t xml:space="preserve">TCGCCCGACGATTATCCGTT</t>
  </si>
  <si>
    <t xml:space="preserve">TAGTTCGCCCGACGATTATCCGTT</t>
  </si>
  <si>
    <t xml:space="preserve">AAACAACGGATAATCGTCGGGCGA</t>
  </si>
  <si>
    <t xml:space="preserve">PSPPH_0755</t>
  </si>
  <si>
    <t xml:space="preserve">GTGATGAAGATTCAGGTTCG</t>
  </si>
  <si>
    <t xml:space="preserve">TAGTGTGATGAAGATTCAGGTTCG</t>
  </si>
  <si>
    <t xml:space="preserve">AAACCGAACCTGAATCTTCATCAC</t>
  </si>
  <si>
    <t xml:space="preserve">GCTGGCCGTCTATGCTTCGA</t>
  </si>
  <si>
    <t xml:space="preserve">TAGTGCTGGCCGTCTATGCTTCGA</t>
  </si>
  <si>
    <t xml:space="preserve">AAACTCGAAGCATAGACGGCCAGC</t>
  </si>
  <si>
    <t xml:space="preserve">TCACGCCGAAGCTCGCCCCT</t>
  </si>
  <si>
    <t xml:space="preserve">TAGTTCACGCCGAAGCTCGCCCCT</t>
  </si>
  <si>
    <t xml:space="preserve">AAACAGGGGCGAGCTTCGGCGTGA</t>
  </si>
  <si>
    <t xml:space="preserve">ATACTGAAAGTGCGGCCTCA</t>
  </si>
  <si>
    <t xml:space="preserve">TAGTATACTGAAAGTGCGGCCTCA</t>
  </si>
  <si>
    <t xml:space="preserve">AAACTGAGGCCGCACTTTCAGTAT</t>
  </si>
  <si>
    <t xml:space="preserve">PSPPH_0756</t>
  </si>
  <si>
    <t xml:space="preserve">GTGTAGTCGATTTGCTCACC</t>
  </si>
  <si>
    <t xml:space="preserve">TAGTGTGTAGTCGATTTGCTCACC</t>
  </si>
  <si>
    <t xml:space="preserve">AAACGGTGAGCAAATCGACTACAC</t>
  </si>
  <si>
    <t xml:space="preserve">CATGTAACCATTATCCGACC</t>
  </si>
  <si>
    <t xml:space="preserve">TAGTCATGTAACCATTATCCGACC</t>
  </si>
  <si>
    <t xml:space="preserve">AAACGGTCGGATAATGGTTACATG</t>
  </si>
  <si>
    <t xml:space="preserve">AGCCCAGCTTCGGCTGTGGC</t>
  </si>
  <si>
    <t xml:space="preserve">TAGTAGCCCAGCTTCGGCTGTGGC</t>
  </si>
  <si>
    <t xml:space="preserve">AAACGCCACAGCCGAAGCTGGGCT</t>
  </si>
  <si>
    <t xml:space="preserve">GAGTCATAGGTCACTGTGCC</t>
  </si>
  <si>
    <t xml:space="preserve">TAGTGAGTCATAGGTCACTGTGCC</t>
  </si>
  <si>
    <t xml:space="preserve">AAACGGCACAGTGACCTATGACTC</t>
  </si>
  <si>
    <t xml:space="preserve">PSPPH_0757</t>
  </si>
  <si>
    <t xml:space="preserve">CGCTCGTTCACCAGGGTAAT</t>
  </si>
  <si>
    <t xml:space="preserve">TAGTCGCTCGTTCACCAGGGTAAT</t>
  </si>
  <si>
    <t xml:space="preserve">AAACATTACCCTGGTGAACGAGCG</t>
  </si>
  <si>
    <t xml:space="preserve">GAAATGACCAGGCTGCGATT</t>
  </si>
  <si>
    <t xml:space="preserve">TAGTGAAATGACCAGGCTGCGATT</t>
  </si>
  <si>
    <t xml:space="preserve">AAACAATCGCAGCCTGGTCATTTC</t>
  </si>
  <si>
    <t xml:space="preserve">TGATCGATGAAGTCAGTACC</t>
  </si>
  <si>
    <t xml:space="preserve">TAGTTGATCGATGAAGTCAGTACC</t>
  </si>
  <si>
    <t xml:space="preserve">AAACGGTACTGACTTCATCGATCA</t>
  </si>
  <si>
    <t xml:space="preserve">AGTCGATGTGACCCACACGC</t>
  </si>
  <si>
    <t xml:space="preserve">TAGTAGTCGATGTGACCCACACGC</t>
  </si>
  <si>
    <t xml:space="preserve">AAACGCGTGTGGGTCACATCGACT</t>
  </si>
  <si>
    <t xml:space="preserve">PSPPH_0758</t>
  </si>
  <si>
    <t xml:space="preserve">CAGTCGCCGCTCGCCGGCGT</t>
  </si>
  <si>
    <t xml:space="preserve">TAGTCAGTCGCCGCTCGCCGGCGT</t>
  </si>
  <si>
    <t xml:space="preserve">AAACACGCCGGCGAGCGGCGACTG</t>
  </si>
  <si>
    <t xml:space="preserve">CCGGCACTGAGGCCAGTTCC</t>
  </si>
  <si>
    <t xml:space="preserve">TAGTCCGGCACTGAGGCCAGTTCC</t>
  </si>
  <si>
    <t xml:space="preserve">AAACGGAACTGGCCTCAGTGCCGG</t>
  </si>
  <si>
    <t xml:space="preserve">GATATTGGCGAACCACTCGA</t>
  </si>
  <si>
    <t xml:space="preserve">TAGTGATATTGGCGAACCACTCGA</t>
  </si>
  <si>
    <t xml:space="preserve">AAACTCGAGTGGTTCGCCAATATC</t>
  </si>
  <si>
    <t xml:space="preserve">CACGGCGCGTGCGCGGGTTG</t>
  </si>
  <si>
    <t xml:space="preserve">TAGTCACGGCGCGTGCGCGGGTTG</t>
  </si>
  <si>
    <t xml:space="preserve">AAACCAACCCGCGCACGCGCCGTG</t>
  </si>
  <si>
    <t xml:space="preserve">PSPPH_0759</t>
  </si>
  <si>
    <t xml:space="preserve">TCTGGGAGCTCTGTTCTGCC</t>
  </si>
  <si>
    <t xml:space="preserve">TAGTTCTGGGAGCTCTGTTCTGCC</t>
  </si>
  <si>
    <t xml:space="preserve">AAACGGCAGAACAGAGCTCCCAGA</t>
  </si>
  <si>
    <t xml:space="preserve">AGCAATCAGGGAGATCTCCA</t>
  </si>
  <si>
    <t xml:space="preserve">TAGTAGCAATCAGGGAGATCTCCA</t>
  </si>
  <si>
    <t xml:space="preserve">AAACTGGAGATCTCCCTGATTGCT</t>
  </si>
  <si>
    <t xml:space="preserve">CCAAGGCATTTCTGTAGACG</t>
  </si>
  <si>
    <t xml:space="preserve">TAGTCCAAGGCATTTCTGTAGACG</t>
  </si>
  <si>
    <t xml:space="preserve">AAACCGTCTACAGAAATGCCTTGG</t>
  </si>
  <si>
    <t xml:space="preserve">TTTGTGAGTGTATGCATACT</t>
  </si>
  <si>
    <t xml:space="preserve">TAGTTTTGTGAGTGTATGCATACT</t>
  </si>
  <si>
    <t xml:space="preserve">AAACAGTATGCATACACTCACAAA</t>
  </si>
  <si>
    <t xml:space="preserve">PSPPH_0760</t>
  </si>
  <si>
    <t xml:space="preserve">TTGAACGGGATGAAGCCACC</t>
  </si>
  <si>
    <t xml:space="preserve">TAGTTTGAACGGGATGAAGCCACC</t>
  </si>
  <si>
    <t xml:space="preserve">AAACGGTGGCTTCATCCCGTTCAA</t>
  </si>
  <si>
    <t xml:space="preserve">TCGTACTCCTTGAATAACGC</t>
  </si>
  <si>
    <t xml:space="preserve">TAGTTCGTACTCCTTGAATAACGC</t>
  </si>
  <si>
    <t xml:space="preserve">AAACGCGTTATTCAAGGAGTACGA</t>
  </si>
  <si>
    <t xml:space="preserve">TCGCAGTGTGGCCAACGCCT</t>
  </si>
  <si>
    <t xml:space="preserve">TAGTTCGCAGTGTGGCCAACGCCT</t>
  </si>
  <si>
    <t xml:space="preserve">AAACAGGCGTTGGCCACACTGCGA</t>
  </si>
  <si>
    <t xml:space="preserve">CGTGCCATCCTGGAGAAACA</t>
  </si>
  <si>
    <t xml:space="preserve">TAGTCGTGCCATCCTGGAGAAACA</t>
  </si>
  <si>
    <t xml:space="preserve">AAACTGTTTCTCCAGGATGGCACG</t>
  </si>
  <si>
    <t xml:space="preserve">PSPPH_0761</t>
  </si>
  <si>
    <t xml:space="preserve">CTGAAGCAATAGGTTCTGGA</t>
  </si>
  <si>
    <t xml:space="preserve">TAGTCTGAAGCAATAGGTTCTGGA</t>
  </si>
  <si>
    <t xml:space="preserve">AAACTCCAGAACCTATTGCTTCAG</t>
  </si>
  <si>
    <t xml:space="preserve">GAAGCCCAAAAGGCTACGTT</t>
  </si>
  <si>
    <t xml:space="preserve">TAGTGAAGCCCAAAAGGCTACGTT</t>
  </si>
  <si>
    <t xml:space="preserve">AAACAACGTAGCCTTTTGGGCTTC</t>
  </si>
  <si>
    <t xml:space="preserve">GGGCGGCCATGACCAAGCCC</t>
  </si>
  <si>
    <t xml:space="preserve">TAGTGGGCGGCCATGACCAAGCCC</t>
  </si>
  <si>
    <t xml:space="preserve">AAACGGGCTTGGTCATGGCCGCCC</t>
  </si>
  <si>
    <t xml:space="preserve">CGCGTGTGCGAGGGTGATCT</t>
  </si>
  <si>
    <t xml:space="preserve">TAGTCGCGTGTGCGAGGGTGATCT</t>
  </si>
  <si>
    <t xml:space="preserve">AAACAGATCACCCTCGCACACGCG</t>
  </si>
  <si>
    <t xml:space="preserve">PSPPH_0762</t>
  </si>
  <si>
    <t xml:space="preserve">AACGTTACCTCCAATTAAAC</t>
  </si>
  <si>
    <t xml:space="preserve">TAGTAACGTTACCTCCAATTAAAC</t>
  </si>
  <si>
    <t xml:space="preserve">AAACGTTTAATTGGAGGTAACGTT</t>
  </si>
  <si>
    <t xml:space="preserve">CTGGTGTGCGAGGCGGAAAT</t>
  </si>
  <si>
    <t xml:space="preserve">TAGTCTGGTGTGCGAGGCGGAAAT</t>
  </si>
  <si>
    <t xml:space="preserve">AAACATTTCCGCCTCGCACACCAG</t>
  </si>
  <si>
    <t xml:space="preserve">AGCATCTCTAAAGGCGGGAT</t>
  </si>
  <si>
    <t xml:space="preserve">TAGTAGCATCTCTAAAGGCGGGAT</t>
  </si>
  <si>
    <t xml:space="preserve">AAACATCCCGCCTTTAGAGATGCT</t>
  </si>
  <si>
    <t xml:space="preserve">CATGTGCTCGGAGTACACGT</t>
  </si>
  <si>
    <t xml:space="preserve">TAGTCATGTGCTCGGAGTACACGT</t>
  </si>
  <si>
    <t xml:space="preserve">AAACACGTGTACTCCGAGCACATG</t>
  </si>
  <si>
    <t xml:space="preserve">PSPPH_0763</t>
  </si>
  <si>
    <t xml:space="preserve">hopAJ1</t>
  </si>
  <si>
    <t xml:space="preserve">CAGCGATGGAGTTATAACCC</t>
  </si>
  <si>
    <t xml:space="preserve">TAGTCAGCGATGGAGTTATAACCC</t>
  </si>
  <si>
    <t xml:space="preserve">AAACGGGTTATAACTCCATCGCTG</t>
  </si>
  <si>
    <t xml:space="preserve">TGTGGCGAAGCAAGCTGGCG</t>
  </si>
  <si>
    <t xml:space="preserve">TAGTTGTGGCGAAGCAAGCTGGCG</t>
  </si>
  <si>
    <t xml:space="preserve">AAACCGCCAGCTTGCTTCGCCACA</t>
  </si>
  <si>
    <t xml:space="preserve">GTGCTCTCGTTCTGCACGCC</t>
  </si>
  <si>
    <t xml:space="preserve">TAGTGTGCTCTCGTTCTGCACGCC</t>
  </si>
  <si>
    <t xml:space="preserve">AAACGGCGTGCAGAACGAGAGCAC</t>
  </si>
  <si>
    <t xml:space="preserve">CCTTAGTAGTTGCATTGCTG</t>
  </si>
  <si>
    <t xml:space="preserve">TAGTCCTTAGTAGTTGCATTGCTG</t>
  </si>
  <si>
    <t xml:space="preserve">AAACCAGCAATGCAACTACTAAGG</t>
  </si>
  <si>
    <t xml:space="preserve">PSPPH_5225</t>
  </si>
  <si>
    <t xml:space="preserve">hopAT1</t>
  </si>
  <si>
    <t xml:space="preserve">CGCTTCTTGGAGTATCCTGT</t>
  </si>
  <si>
    <t xml:space="preserve">TAGTCGCTTCTTGGAGTATCCTGT</t>
  </si>
  <si>
    <t xml:space="preserve">AAACACAGGATACTCCAAGAAGCG</t>
  </si>
  <si>
    <t xml:space="preserve">AAAGCCGTATCGAAGTGAGG</t>
  </si>
  <si>
    <t xml:space="preserve">TAGTAAAGCCGTATCGAAGTGAGG</t>
  </si>
  <si>
    <t xml:space="preserve">AAACCCTCACTTCGATACGGCTTT</t>
  </si>
  <si>
    <t xml:space="preserve">GCAATGCTTTCAGGTTCAAT</t>
  </si>
  <si>
    <t xml:space="preserve">TAGTGCAATGCTTTCAGGTTCAAT</t>
  </si>
  <si>
    <t xml:space="preserve">AAACATTGAACCTGAAAGCATTGC</t>
  </si>
  <si>
    <t xml:space="preserve">CGATGGTTGTGATGCTCCGG</t>
  </si>
  <si>
    <t xml:space="preserve">TAGTCGATGGTTGTGATGCTCCGG</t>
  </si>
  <si>
    <t xml:space="preserve">AAACCCGGAGCATCACAACCATCG</t>
  </si>
  <si>
    <t xml:space="preserve">PSPPH_0764</t>
  </si>
  <si>
    <t xml:space="preserve">dksA1</t>
  </si>
  <si>
    <t xml:space="preserve">CCTCTGCTTGATTCAGCAGT</t>
  </si>
  <si>
    <t xml:space="preserve">TAGTCCTCTGCTTGATTCAGCAGT</t>
  </si>
  <si>
    <t xml:space="preserve">AAACACTGCTGAATCAAGCAGAGG</t>
  </si>
  <si>
    <t xml:space="preserve">TGTCTTTGAAAAAGACCAGC</t>
  </si>
  <si>
    <t xml:space="preserve">TAGTTGTCTTTGAAAAAGACCAGC</t>
  </si>
  <si>
    <t xml:space="preserve">AAACGCTGGTCTTTTTCAAAGACA</t>
  </si>
  <si>
    <t xml:space="preserve">CAAGCGATCACGAAGCTCTG</t>
  </si>
  <si>
    <t xml:space="preserve">TAGTCAAGCGATCACGAAGCTCTG</t>
  </si>
  <si>
    <t xml:space="preserve">AAACCAGAGCTTCGTGATCGCTTG</t>
  </si>
  <si>
    <t xml:space="preserve">AAGCGAAGTCGGCTTCGTCC</t>
  </si>
  <si>
    <t xml:space="preserve">TAGTAAGCGAAGTCGGCTTCGTCC</t>
  </si>
  <si>
    <t xml:space="preserve">AAACGGACGAAGCCGACTTCGCTT</t>
  </si>
  <si>
    <t xml:space="preserve">PSPPH_0765</t>
  </si>
  <si>
    <t xml:space="preserve">CAGATCGCGCTCCAAATGGT</t>
  </si>
  <si>
    <t xml:space="preserve">TAGTCAGATCGCGCTCCAAATGGT</t>
  </si>
  <si>
    <t xml:space="preserve">AAACACCATTTGGAGCGCGATCTG</t>
  </si>
  <si>
    <t xml:space="preserve">GCGGTACGTCCTGCTGGACA</t>
  </si>
  <si>
    <t xml:space="preserve">TAGTGCGGTACGTCCTGCTGGACA</t>
  </si>
  <si>
    <t xml:space="preserve">AAACTGTCCAGCAGGACGTACCGC</t>
  </si>
  <si>
    <t xml:space="preserve">GCATCAGCTGCTGTGGGTAC</t>
  </si>
  <si>
    <t xml:space="preserve">TAGTGCATCAGCTGCTGTGGGTAC</t>
  </si>
  <si>
    <t xml:space="preserve">AAACGTACCCACAGCAGCTGATGC</t>
  </si>
  <si>
    <t xml:space="preserve">TTGGCTGTGCAGCGGCCCAT</t>
  </si>
  <si>
    <t xml:space="preserve">TAGTTTGGCTGTGCAGCGGCCCAT</t>
  </si>
  <si>
    <t xml:space="preserve">AAACATGGGCCGCTGCACAGCCAA</t>
  </si>
  <si>
    <t xml:space="preserve">PSPPH_0767</t>
  </si>
  <si>
    <t xml:space="preserve">hopG1</t>
  </si>
  <si>
    <t xml:space="preserve">GGTATTCTGCACCAGTCTTG</t>
  </si>
  <si>
    <t xml:space="preserve">TAGTGGTATTCTGCACCAGTCTTG</t>
  </si>
  <si>
    <t xml:space="preserve">AAACCAAGACTGGTGCAGAATACC</t>
  </si>
  <si>
    <t xml:space="preserve">TTTCGTAGACGAGGCATTAA</t>
  </si>
  <si>
    <t xml:space="preserve">TAGTTTTCGTAGACGAGGCATTAA</t>
  </si>
  <si>
    <t xml:space="preserve">AAACTTAATGCCTCGTCTACGAAA</t>
  </si>
  <si>
    <t xml:space="preserve">TTGAGTTGCGCTCAGCGCAG</t>
  </si>
  <si>
    <t xml:space="preserve">TAGTTTGAGTTGCGCTCAGCGCAG</t>
  </si>
  <si>
    <t xml:space="preserve">AAACCTGCGCTGAGCGCAACTCAA</t>
  </si>
  <si>
    <t xml:space="preserve">ATCGCCCTCGTGTGTCCGTG</t>
  </si>
  <si>
    <t xml:space="preserve">TAGTATCGCCCTCGTGTGTCCGTG</t>
  </si>
  <si>
    <t xml:space="preserve">AAACCACGGACACACGAGGGCGAT</t>
  </si>
  <si>
    <t xml:space="preserve">PSPPH_0768</t>
  </si>
  <si>
    <t xml:space="preserve">GTAGGGGGTGGTAGGTTCAT</t>
  </si>
  <si>
    <t xml:space="preserve">TAGTGTAGGGGGTGGTAGGTTCAT</t>
  </si>
  <si>
    <t xml:space="preserve">AAACATGAACCTACCACCCCCTAC</t>
  </si>
  <si>
    <t xml:space="preserve">CAGGCAGACACTGAGTACGA</t>
  </si>
  <si>
    <t xml:space="preserve">TAGTCAGGCAGACACTGAGTACGA</t>
  </si>
  <si>
    <t xml:space="preserve">AAACTCGTACTCAGTGTCTGCCTG</t>
  </si>
  <si>
    <t xml:space="preserve">GAGCGAGCTTTTGTCGGCAG</t>
  </si>
  <si>
    <t xml:space="preserve">TAGTGAGCGAGCTTTTGTCGGCAG</t>
  </si>
  <si>
    <t xml:space="preserve">AAACCTGCCGACAAAAGCTCGCTC</t>
  </si>
  <si>
    <t xml:space="preserve">AGGCCAGAATTGCCAAGGCT</t>
  </si>
  <si>
    <t xml:space="preserve">TAGTAGGCCAGAATTGCCAAGGCT</t>
  </si>
  <si>
    <t xml:space="preserve">AAACAGCCTTGGCAATTCTGGCCT</t>
  </si>
  <si>
    <t xml:space="preserve">PSPPH_0770</t>
  </si>
  <si>
    <t xml:space="preserve">TTCTGTTGAGTCGGGCTTCT</t>
  </si>
  <si>
    <t xml:space="preserve">TAGTTTCTGTTGAGTCGGGCTTCT</t>
  </si>
  <si>
    <t xml:space="preserve">AAACAGAAGCCCGACTCAACAGAA</t>
  </si>
  <si>
    <t xml:space="preserve">AACACCCACTAATAGATTGC</t>
  </si>
  <si>
    <t xml:space="preserve">TAGTAACACCCACTAATAGATTGC</t>
  </si>
  <si>
    <t xml:space="preserve">AAACGCAATCTATTAGTGGGTGTT</t>
  </si>
  <si>
    <t xml:space="preserve">CCTGCGAGATAAGAGAATAC</t>
  </si>
  <si>
    <t xml:space="preserve">TAGTCCTGCGAGATAAGAGAATAC</t>
  </si>
  <si>
    <t xml:space="preserve">AAACGTATTCTCTTATCTCGCAGG</t>
  </si>
  <si>
    <t xml:space="preserve">TGTCCTAGGAGCTCCTCAAT</t>
  </si>
  <si>
    <t xml:space="preserve">TAGTTGTCCTAGGAGCTCCTCAAT</t>
  </si>
  <si>
    <t xml:space="preserve">AAACATTGAGGAGCTCCTAGGACA</t>
  </si>
  <si>
    <t xml:space="preserve">PSPPH_0771</t>
  </si>
  <si>
    <t xml:space="preserve">AAAATACTGAACTTTTCTTT</t>
  </si>
  <si>
    <t xml:space="preserve">TAGTAAAATACTGAACTTTTCTTT</t>
  </si>
  <si>
    <t xml:space="preserve">AAACAAAGAAAAGTTCAGTATTTT</t>
  </si>
  <si>
    <t xml:space="preserve">TTGAAAATAAGATTTAAACT</t>
  </si>
  <si>
    <t xml:space="preserve">TAGTTTGAAAATAAGATTTAAACT</t>
  </si>
  <si>
    <t xml:space="preserve">AAACAGTTTAAATCTTATTTTCAA</t>
  </si>
  <si>
    <t xml:space="preserve">AGGCTACTTAACTCAATTTT</t>
  </si>
  <si>
    <t xml:space="preserve">TAGTAGGCTACTTAACTCAATTTT</t>
  </si>
  <si>
    <t xml:space="preserve">AAACAAAATTGAGTTAAGTAGCCT</t>
  </si>
  <si>
    <t xml:space="preserve">CTTCCAAACCCGAAACCTCA</t>
  </si>
  <si>
    <t xml:space="preserve">TAGTCTTCCAAACCCGAAACCTCA</t>
  </si>
  <si>
    <t xml:space="preserve">AAACTGAGGTTTCGGGTTTGGAAG</t>
  </si>
  <si>
    <t xml:space="preserve">PSPPH_0772</t>
  </si>
  <si>
    <t xml:space="preserve">TGAAAAAACCCAGAATTTCC</t>
  </si>
  <si>
    <t xml:space="preserve">TAGTTGAAAAAACCCAGAATTTCC</t>
  </si>
  <si>
    <t xml:space="preserve">AAACGGAAATTCTGGGTTTTTTCA</t>
  </si>
  <si>
    <t xml:space="preserve">GTTTCACAAATACTTCGAAT</t>
  </si>
  <si>
    <t xml:space="preserve">TAGTGTTTCACAAATACTTCGAAT</t>
  </si>
  <si>
    <t xml:space="preserve">AAACATTCGAAGTATTTGTGAAAC</t>
  </si>
  <si>
    <t xml:space="preserve">PSPPH_0774</t>
  </si>
  <si>
    <t xml:space="preserve">CGCACGCAACAAGGGTGAAC</t>
  </si>
  <si>
    <t xml:space="preserve">TAGTCGCACGCAACAAGGGTGAAC</t>
  </si>
  <si>
    <t xml:space="preserve">AAACGTTCACCCTTGTTGCGTGCG</t>
  </si>
  <si>
    <t xml:space="preserve">ATCGGTTTCATAAGCGCTTG</t>
  </si>
  <si>
    <t xml:space="preserve">TAGTATCGGTTTCATAAGCGCTTG</t>
  </si>
  <si>
    <t xml:space="preserve">AAACCAAGCGCTTATGAAACCGAT</t>
  </si>
  <si>
    <t xml:space="preserve">GAGGGTAGTATCCACATTGG</t>
  </si>
  <si>
    <t xml:space="preserve">TAGTGAGGGTAGTATCCACATTGG</t>
  </si>
  <si>
    <t xml:space="preserve">AAACCCAATGTGGATACTACCCTC</t>
  </si>
  <si>
    <t xml:space="preserve">TATTGCATGTCCAATGTTTT</t>
  </si>
  <si>
    <t xml:space="preserve">TAGTTATTGCATGTCCAATGTTTT</t>
  </si>
  <si>
    <t xml:space="preserve">AAACAAAACATTGGACATGCAATA</t>
  </si>
  <si>
    <t xml:space="preserve">PSPPH_0775</t>
  </si>
  <si>
    <t xml:space="preserve">AAAATAATACCAAAAAAAGC</t>
  </si>
  <si>
    <t xml:space="preserve">TAGTAAAATAATACCAAAAAAAGC</t>
  </si>
  <si>
    <t xml:space="preserve">AAACGCTTTTTTTGGTATTATTTT</t>
  </si>
  <si>
    <t xml:space="preserve">ATACACCATTACGTTAGCGC</t>
  </si>
  <si>
    <t xml:space="preserve">TAGTATACACCATTACGTTAGCGC</t>
  </si>
  <si>
    <t xml:space="preserve">AAACGCGCTAACGTAATGGTGTAT</t>
  </si>
  <si>
    <t xml:space="preserve">TCGTTCATCGTTAACGACAT</t>
  </si>
  <si>
    <t xml:space="preserve">TAGTTCGTTCATCGTTAACGACAT</t>
  </si>
  <si>
    <t xml:space="preserve">AAACATGTCGTTAACGATGAACGA</t>
  </si>
  <si>
    <t xml:space="preserve">ACTTAGAATAGACTTTAAAC</t>
  </si>
  <si>
    <t xml:space="preserve">TAGTACTTAGAATAGACTTTAAAC</t>
  </si>
  <si>
    <t xml:space="preserve">AAACGTTTAAAGTCTATTCTAAGT</t>
  </si>
  <si>
    <t xml:space="preserve">PSPPH_0777</t>
  </si>
  <si>
    <t xml:space="preserve">AGTTTAAGCAGCTCTTCTAC</t>
  </si>
  <si>
    <t xml:space="preserve">TAGTAGTTTAAGCAGCTCTTCTAC</t>
  </si>
  <si>
    <t xml:space="preserve">AAACGTAGAAGAGCTGCTTAAACT</t>
  </si>
  <si>
    <t xml:space="preserve">ACTTCTTGTACTGGCGTGTT</t>
  </si>
  <si>
    <t xml:space="preserve">TAGTACTTCTTGTACTGGCGTGTT</t>
  </si>
  <si>
    <t xml:space="preserve">AAACAACACGCCAGTACAAGAAGT</t>
  </si>
  <si>
    <t xml:space="preserve">GATACCAAGCTGACCATGTC</t>
  </si>
  <si>
    <t xml:space="preserve">TAGTGATACCAAGCTGACCATGTC</t>
  </si>
  <si>
    <t xml:space="preserve">AAACGACATGGTCAGCTTGGTATC</t>
  </si>
  <si>
    <t xml:space="preserve">GATGTAACAAGATCTGGAAC</t>
  </si>
  <si>
    <t xml:space="preserve">TAGTGATGTAACAAGATCTGGAAC</t>
  </si>
  <si>
    <t xml:space="preserve">AAACGTTCCAGATCTTGTTACATC</t>
  </si>
  <si>
    <t xml:space="preserve">PSPPH_0778</t>
  </si>
  <si>
    <t xml:space="preserve">CGCCTAACAATACAACTGGA</t>
  </si>
  <si>
    <t xml:space="preserve">TAGTCGCCTAACAATACAACTGGA</t>
  </si>
  <si>
    <t xml:space="preserve">AAACTCCAGTTGTATTGTTAGGCG</t>
  </si>
  <si>
    <t xml:space="preserve">TTTCTGCCTGCCCCACAACT</t>
  </si>
  <si>
    <t xml:space="preserve">TAGTTTTCTGCCTGCCCCACAACT</t>
  </si>
  <si>
    <t xml:space="preserve">AAACAGTTGTGGGGCAGGCAGAAA</t>
  </si>
  <si>
    <t xml:space="preserve">AAATAGCCTCAAGCTCTTCA</t>
  </si>
  <si>
    <t xml:space="preserve">TAGTAAATAGCCTCAAGCTCTTCA</t>
  </si>
  <si>
    <t xml:space="preserve">AAACTGAAGAGCTTGAGGCTATTT</t>
  </si>
  <si>
    <t xml:space="preserve">AGTAACCAGCAAATCACAAG</t>
  </si>
  <si>
    <t xml:space="preserve">TAGTAGTAACCAGCAAATCACAAG</t>
  </si>
  <si>
    <t xml:space="preserve">AAACCTTGTGATTTGCTGGTTACT</t>
  </si>
  <si>
    <t xml:space="preserve">PSPPH_0780</t>
  </si>
  <si>
    <t xml:space="preserve">CCTATGGCAAGACGTACTAT</t>
  </si>
  <si>
    <t xml:space="preserve">TAGTCCTATGGCAAGACGTACTAT</t>
  </si>
  <si>
    <t xml:space="preserve">AAACATAGTACGTCTTGCCATAGG</t>
  </si>
  <si>
    <t xml:space="preserve">GCCCGCGTCCGGCGCAACCT</t>
  </si>
  <si>
    <t xml:space="preserve">TAGTGCCCGCGTCCGGCGCAACCT</t>
  </si>
  <si>
    <t xml:space="preserve">AAACAGGTTGCGCCGGACGCGGGC</t>
  </si>
  <si>
    <t xml:space="preserve">GGTCTATCTGGCGCTGAAGC</t>
  </si>
  <si>
    <t xml:space="preserve">TAGTGGTCTATCTGGCGCTGAAGC</t>
  </si>
  <si>
    <t xml:space="preserve">AAACGCTTCAGCGCCAGATAGACC</t>
  </si>
  <si>
    <t xml:space="preserve">CGACCGGCCTCTGCAGGTTC</t>
  </si>
  <si>
    <t xml:space="preserve">TAGTCGACCGGCCTCTGCAGGTTC</t>
  </si>
  <si>
    <t xml:space="preserve">AAACGAACCTGCAGAGGCCGGTCG</t>
  </si>
  <si>
    <t xml:space="preserve">PSPPH_0781</t>
  </si>
  <si>
    <t xml:space="preserve">AAGGGGGGCTTGTCGTTTCA</t>
  </si>
  <si>
    <t xml:space="preserve">TAGTAAGGGGGGCTTGTCGTTTCA</t>
  </si>
  <si>
    <t xml:space="preserve">AAACTGAAACGACAAGCCCCCCTT</t>
  </si>
  <si>
    <t xml:space="preserve">GCACGTGACGCCGCAGGCCA</t>
  </si>
  <si>
    <t xml:space="preserve">TAGTGCACGTGACGCCGCAGGCCA</t>
  </si>
  <si>
    <t xml:space="preserve">AAACTGGCCTGCGGCGTCACGTGC</t>
  </si>
  <si>
    <t xml:space="preserve">GTCCACCTCAACCACGCCGC</t>
  </si>
  <si>
    <t xml:space="preserve">TAGTGTCCACCTCAACCACGCCGC</t>
  </si>
  <si>
    <t xml:space="preserve">AAACGCGGCGTGGTTGAGGTGGAC</t>
  </si>
  <si>
    <t xml:space="preserve">GAAACGCTGGTTTTCGATAG</t>
  </si>
  <si>
    <t xml:space="preserve">TAGTGAAACGCTGGTTTTCGATAG</t>
  </si>
  <si>
    <t xml:space="preserve">AAACCTATCGAAAACCAGCGTTTC</t>
  </si>
  <si>
    <t xml:space="preserve">PSPPH_0782</t>
  </si>
  <si>
    <t xml:space="preserve">AGGTACCATGGATTCTATGA</t>
  </si>
  <si>
    <t xml:space="preserve">TAGTAGGTACCATGGATTCTATGA</t>
  </si>
  <si>
    <t xml:space="preserve">AAACTCATAGAATCCATGGTACCT</t>
  </si>
  <si>
    <t xml:space="preserve">ATGCTGTAAACCTCAACGGC</t>
  </si>
  <si>
    <t xml:space="preserve">TAGTATGCTGTAAACCTCAACGGC</t>
  </si>
  <si>
    <t xml:space="preserve">AAACGCCGTTGAGGTTTACAGCAT</t>
  </si>
  <si>
    <t xml:space="preserve">TATTGCCAGGCATCCCGGTC</t>
  </si>
  <si>
    <t xml:space="preserve">TAGTTATTGCCAGGCATCCCGGTC</t>
  </si>
  <si>
    <t xml:space="preserve">AAACGACCGGGATGCCTGGCAATA</t>
  </si>
  <si>
    <t xml:space="preserve">TCGTATCAATCTGCCCAGTT</t>
  </si>
  <si>
    <t xml:space="preserve">TAGTTCGTATCAATCTGCCCAGTT</t>
  </si>
  <si>
    <t xml:space="preserve">AAACAACTGGGCAGATTGATACGA</t>
  </si>
  <si>
    <t xml:space="preserve">PSPPH_0783</t>
  </si>
  <si>
    <t xml:space="preserve">TTCGATGTGCGCCATGCGCG</t>
  </si>
  <si>
    <t xml:space="preserve">TAGTTTCGATGTGCGCCATGCGCG</t>
  </si>
  <si>
    <t xml:space="preserve">AAACCGCGCATGGCGCACATCGAA</t>
  </si>
  <si>
    <t xml:space="preserve">CATTATTTTCCAGCCAGCAC</t>
  </si>
  <si>
    <t xml:space="preserve">TAGTCATTATTTTCCAGCCAGCAC</t>
  </si>
  <si>
    <t xml:space="preserve">AAACGTGCTGGCTGGAAAATAATG</t>
  </si>
  <si>
    <t xml:space="preserve">TTGCTCTGCGGATGGCCCAA</t>
  </si>
  <si>
    <t xml:space="preserve">TAGTTTGCTCTGCGGATGGCCCAA</t>
  </si>
  <si>
    <t xml:space="preserve">AAACTTGGGCCATCCGCAGAGCAA</t>
  </si>
  <si>
    <t xml:space="preserve">GCTTTCCCAGCAGGCCAGGT</t>
  </si>
  <si>
    <t xml:space="preserve">TAGTGCTTTCCCAGCAGGCCAGGT</t>
  </si>
  <si>
    <t xml:space="preserve">AAACACCTGGCCTGCTGGGAAAGC</t>
  </si>
  <si>
    <t xml:space="preserve">PSPPH_0787</t>
  </si>
  <si>
    <t xml:space="preserve">GCTCAGCCCATCACGCTGGC</t>
  </si>
  <si>
    <t xml:space="preserve">TAGTGCTCAGCCCATCACGCTGGC</t>
  </si>
  <si>
    <t xml:space="preserve">AAACGCCAGCGTGATGGGCTGAGC</t>
  </si>
  <si>
    <t xml:space="preserve">PSPPH_0788</t>
  </si>
  <si>
    <t xml:space="preserve">AGCTCCACCGCCCCCCGTGT</t>
  </si>
  <si>
    <t xml:space="preserve">TAGTAGCTCCACCGCCCCCCGTGT</t>
  </si>
  <si>
    <t xml:space="preserve">AAACACACGGGGGGCGGTGGAGCT</t>
  </si>
  <si>
    <t xml:space="preserve">PSPPH_0790</t>
  </si>
  <si>
    <t xml:space="preserve">GCGGGGATAGTTTGAATAAG</t>
  </si>
  <si>
    <t xml:space="preserve">TAGTGCGGGGATAGTTTGAATAAG</t>
  </si>
  <si>
    <t xml:space="preserve">AAACCTTATTCAAACTATCCCCGC</t>
  </si>
  <si>
    <t xml:space="preserve">TAATCCGCTGCCTGAGCATC</t>
  </si>
  <si>
    <t xml:space="preserve">TAGTTAATCCGCTGCCTGAGCATC</t>
  </si>
  <si>
    <t xml:space="preserve">AAACGATGCTCAGGCAGCGGATTA</t>
  </si>
  <si>
    <t xml:space="preserve">GTTAAAGGTTTCCTGACCAT</t>
  </si>
  <si>
    <t xml:space="preserve">TAGTGTTAAAGGTTTCCTGACCAT</t>
  </si>
  <si>
    <t xml:space="preserve">AAACATGGTCAGGAAACCTTTAAC</t>
  </si>
  <si>
    <t xml:space="preserve">CGATCGAGCCATCAATTACG</t>
  </si>
  <si>
    <t xml:space="preserve">TAGTCGATCGAGCCATCAATTACG</t>
  </si>
  <si>
    <t xml:space="preserve">AAACCGTAATTGATGGCTCGATCG</t>
  </si>
  <si>
    <t xml:space="preserve">PSPPH_0791</t>
  </si>
  <si>
    <t xml:space="preserve">CCCGACAATGCCAGAATCAA</t>
  </si>
  <si>
    <t xml:space="preserve">TAGTCCCGACAATGCCAGAATCAA</t>
  </si>
  <si>
    <t xml:space="preserve">AAACTTGATTCTGGCATTGTCGGG</t>
  </si>
  <si>
    <t xml:space="preserve">AACGCCATTGGTCATTGACA</t>
  </si>
  <si>
    <t xml:space="preserve">TAGTAACGCCATTGGTCATTGACA</t>
  </si>
  <si>
    <t xml:space="preserve">AAACTGTCAATGACCAATGGCGTT</t>
  </si>
  <si>
    <t xml:space="preserve">CAAGGTTGTTTCTCTGGCTT</t>
  </si>
  <si>
    <t xml:space="preserve">TAGTCAAGGTTGTTTCTCTGGCTT</t>
  </si>
  <si>
    <t xml:space="preserve">AAACAAGCCAGAGAAACAACCTTG</t>
  </si>
  <si>
    <t xml:space="preserve">GTAATGCGCTGTACGACGCC</t>
  </si>
  <si>
    <t xml:space="preserve">TAGTGTAATGCGCTGTACGACGCC</t>
  </si>
  <si>
    <t xml:space="preserve">AAACGGCGTCGTACAGCGCATTAC</t>
  </si>
  <si>
    <t xml:space="preserve">PSPPH_0792</t>
  </si>
  <si>
    <t xml:space="preserve">TGGGTTCATTGCTTGAGTCA</t>
  </si>
  <si>
    <t xml:space="preserve">TAGTTGGGTTCATTGCTTGAGTCA</t>
  </si>
  <si>
    <t xml:space="preserve">AAACTGACTCAAGCAATGAACCCA</t>
  </si>
  <si>
    <t xml:space="preserve">AGGGCATCATGTGCCTGTTG</t>
  </si>
  <si>
    <t xml:space="preserve">TAGTAGGGCATCATGTGCCTGTTG</t>
  </si>
  <si>
    <t xml:space="preserve">AAACCAACAGGCACATGATGCCCT</t>
  </si>
  <si>
    <t xml:space="preserve">GAAGTGCTGGTCCGGCAGGA</t>
  </si>
  <si>
    <t xml:space="preserve">TAGTGAAGTGCTGGTCCGGCAGGA</t>
  </si>
  <si>
    <t xml:space="preserve">AAACTCCTGCCGGACCAGCACTTC</t>
  </si>
  <si>
    <t xml:space="preserve">ATTCAATACCACCGCCGACC</t>
  </si>
  <si>
    <t xml:space="preserve">TAGTATTCAATACCACCGCCGACC</t>
  </si>
  <si>
    <t xml:space="preserve">AAACGGTCGGCGGTGGTATTGAAT</t>
  </si>
  <si>
    <t xml:space="preserve">PSPPH_0793</t>
  </si>
  <si>
    <t xml:space="preserve">AAACAGCAACGCCACCGCAG</t>
  </si>
  <si>
    <t xml:space="preserve">TAGTAAACAGCAACGCCACCGCAG</t>
  </si>
  <si>
    <t xml:space="preserve">AAACCTGCGGTGGCGTTGCTGTTT</t>
  </si>
  <si>
    <t xml:space="preserve">AGGTGGCGAAGGTCAGGAAC</t>
  </si>
  <si>
    <t xml:space="preserve">TAGTAGGTGGCGAAGGTCAGGAAC</t>
  </si>
  <si>
    <t xml:space="preserve">AAACGTTCCTGACCTTCGCCACCT</t>
  </si>
  <si>
    <t xml:space="preserve">TGCGGCTGTACGTTTGGTGT</t>
  </si>
  <si>
    <t xml:space="preserve">TAGTTGCGGCTGTACGTTTGGTGT</t>
  </si>
  <si>
    <t xml:space="preserve">AAACACACCAAACGTACAGCCGCA</t>
  </si>
  <si>
    <t xml:space="preserve">ATCCTGATCAGGCCGGTTTC</t>
  </si>
  <si>
    <t xml:space="preserve">TAGTATCCTGATCAGGCCGGTTTC</t>
  </si>
  <si>
    <t xml:space="preserve">AAACGAAACCGGCCTGATCAGGAT</t>
  </si>
  <si>
    <t xml:space="preserve">PSPPH_0794</t>
  </si>
  <si>
    <t xml:space="preserve">GCTTCGGCCTGGAGCACAAC</t>
  </si>
  <si>
    <t xml:space="preserve">TAGTGCTTCGGCCTGGAGCACAAC</t>
  </si>
  <si>
    <t xml:space="preserve">AAACGTTGTGCTCCAGGCCGAAGC</t>
  </si>
  <si>
    <t xml:space="preserve">GCACGCCAGGCCACATTCAG</t>
  </si>
  <si>
    <t xml:space="preserve">TAGTGCACGCCAGGCCACATTCAG</t>
  </si>
  <si>
    <t xml:space="preserve">AAACCTGAATGTGGCCTGGCGTGC</t>
  </si>
  <si>
    <t xml:space="preserve">GCCGTGATAACTGGCGATCA</t>
  </si>
  <si>
    <t xml:space="preserve">TAGTGCCGTGATAACTGGCGATCA</t>
  </si>
  <si>
    <t xml:space="preserve">AAACTGATCGCCAGTTATCACGGC</t>
  </si>
  <si>
    <t xml:space="preserve">ACGACAAGAGGTCACTGTGC</t>
  </si>
  <si>
    <t xml:space="preserve">TAGTACGACAAGAGGTCACTGTGC</t>
  </si>
  <si>
    <t xml:space="preserve">AAACGCACAGTGACCTCTTGTCGT</t>
  </si>
  <si>
    <t xml:space="preserve">PSPPH_0795</t>
  </si>
  <si>
    <t xml:space="preserve">ACAGGCCGAACGCGCTCAAC</t>
  </si>
  <si>
    <t xml:space="preserve">TAGTACAGGCCGAACGCGCTCAAC</t>
  </si>
  <si>
    <t xml:space="preserve">AAACGTTGAGCGCGTTCGGCCTGT</t>
  </si>
  <si>
    <t xml:space="preserve">CGTCCACACGAGCATCGGCC</t>
  </si>
  <si>
    <t xml:space="preserve">TAGTCGTCCACACGAGCATCGGCC</t>
  </si>
  <si>
    <t xml:space="preserve">AAACGGCCGATGCTCGTGTGGACG</t>
  </si>
  <si>
    <t xml:space="preserve">CTGGCAGACGACTGGAGCCG</t>
  </si>
  <si>
    <t xml:space="preserve">TAGTCTGGCAGACGACTGGAGCCG</t>
  </si>
  <si>
    <t xml:space="preserve">AAACCGGCTCCAGTCGTCTGCCAG</t>
  </si>
  <si>
    <t xml:space="preserve">GGCACACAGCGCAACAGACA</t>
  </si>
  <si>
    <t xml:space="preserve">TAGTGGCACACAGCGCAACAGACA</t>
  </si>
  <si>
    <t xml:space="preserve">AAACTGTCTGTTGCGCTGTGTGCC</t>
  </si>
  <si>
    <t xml:space="preserve">PSPPH_0796</t>
  </si>
  <si>
    <t xml:space="preserve">CGCCACGATCAACCGCAATG</t>
  </si>
  <si>
    <t xml:space="preserve">TAGTCGCCACGATCAACCGCAATG</t>
  </si>
  <si>
    <t xml:space="preserve">AAACCATTGCGGTTGATCGTGGCG</t>
  </si>
  <si>
    <t xml:space="preserve">CAACCTTGAGCCCCGGCAGA</t>
  </si>
  <si>
    <t xml:space="preserve">TAGTCAACCTTGAGCCCCGGCAGA</t>
  </si>
  <si>
    <t xml:space="preserve">AAACTCTGCCGGGGCTCAAGGTTG</t>
  </si>
  <si>
    <t xml:space="preserve">GAAAATGATGGGCTGATAGG</t>
  </si>
  <si>
    <t xml:space="preserve">TAGTGAAAATGATGGGCTGATAGG</t>
  </si>
  <si>
    <t xml:space="preserve">AAACCCTATCAGCCCATCATTTTC</t>
  </si>
  <si>
    <t xml:space="preserve">CTGGATAGCTGATGATGTGC</t>
  </si>
  <si>
    <t xml:space="preserve">TAGTCTGGATAGCTGATGATGTGC</t>
  </si>
  <si>
    <t xml:space="preserve">AAACGCACATCATCAGCTATCCAG</t>
  </si>
  <si>
    <t xml:space="preserve">PSPPH_0797</t>
  </si>
  <si>
    <t xml:space="preserve">CGCCACCGCTCGGCGTCGGC</t>
  </si>
  <si>
    <t xml:space="preserve">TAGTCGCCACCGCTCGGCGTCGGC</t>
  </si>
  <si>
    <t xml:space="preserve">AAACGCCGACGCCGAGCGGTGGCG</t>
  </si>
  <si>
    <t xml:space="preserve">TGCCGGCATGTTTACAGCGC</t>
  </si>
  <si>
    <t xml:space="preserve">TAGTTGCCGGCATGTTTACAGCGC</t>
  </si>
  <si>
    <t xml:space="preserve">AAACGCGCTGTAAACATGCCGGCA</t>
  </si>
  <si>
    <t xml:space="preserve">GATTTTCAATGGCATTACAT</t>
  </si>
  <si>
    <t xml:space="preserve">TAGTGATTTTCAATGGCATTACAT</t>
  </si>
  <si>
    <t xml:space="preserve">AAACATGTAATGCCATTGAAAATC</t>
  </si>
  <si>
    <t xml:space="preserve">TTCGTCGGGACTGTTCTGGC</t>
  </si>
  <si>
    <t xml:space="preserve">TAGTTTCGTCGGGACTGTTCTGGC</t>
  </si>
  <si>
    <t xml:space="preserve">AAACGCCAGAACAGTCCCGACGAA</t>
  </si>
  <si>
    <t xml:space="preserve">PSPPH_0798</t>
  </si>
  <si>
    <t xml:space="preserve">TGCAGCGGCCACTACGCCGA</t>
  </si>
  <si>
    <t xml:space="preserve">TAGTTGCAGCGGCCACTACGCCGA</t>
  </si>
  <si>
    <t xml:space="preserve">AAACTCGGCGTAGTGGCCGCTGCA</t>
  </si>
  <si>
    <t xml:space="preserve">CCCGCACCGACCGCAGTCAC</t>
  </si>
  <si>
    <t xml:space="preserve">TAGTCCCGCACCGACCGCAGTCAC</t>
  </si>
  <si>
    <t xml:space="preserve">AAACGTGACTGCGGTCGGTGCGGG</t>
  </si>
  <si>
    <t xml:space="preserve">CTGAAAGGCGTCAATCGCGC</t>
  </si>
  <si>
    <t xml:space="preserve">TAGTCTGAAAGGCGTCAATCGCGC</t>
  </si>
  <si>
    <t xml:space="preserve">AAACGCGCGATTGACGCCTTTCAG</t>
  </si>
  <si>
    <t xml:space="preserve">PSPPH_0799</t>
  </si>
  <si>
    <t xml:space="preserve">ACAATACTCATCCACCTTGT</t>
  </si>
  <si>
    <t xml:space="preserve">TAGTACAATACTCATCCACCTTGT</t>
  </si>
  <si>
    <t xml:space="preserve">AAACACAAGGTGGATGAGTATTGT</t>
  </si>
  <si>
    <t xml:space="preserve">TGCCCAGTCTTCGATCAAAC</t>
  </si>
  <si>
    <t xml:space="preserve">TAGTTGCCCAGTCTTCGATCAAAC</t>
  </si>
  <si>
    <t xml:space="preserve">AAACGTTTGATCGAAGACTGGGCA</t>
  </si>
  <si>
    <t xml:space="preserve">AGTGTGTTGTGCTGCAGCGG</t>
  </si>
  <si>
    <t xml:space="preserve">TAGTAGTGTGTTGTGCTGCAGCGG</t>
  </si>
  <si>
    <t xml:space="preserve">AAACCCGCTGCAGCACAACACACT</t>
  </si>
  <si>
    <t xml:space="preserve">PSPPH_0800</t>
  </si>
  <si>
    <t xml:space="preserve">cheB1</t>
  </si>
  <si>
    <t xml:space="preserve">CACGAGTACCTGGCGAACGA</t>
  </si>
  <si>
    <t xml:space="preserve">TAGTCACGAGTACCTGGCGAACGA</t>
  </si>
  <si>
    <t xml:space="preserve">AAACTCGTTCGCCAGGTACTCGTG</t>
  </si>
  <si>
    <t xml:space="preserve">ATCGGGGGTGTCGTTGAGAA</t>
  </si>
  <si>
    <t xml:space="preserve">TAGTATCGGGGGTGTCGTTGAGAA</t>
  </si>
  <si>
    <t xml:space="preserve">AAACTTCTCAACGACACCCCCGAT</t>
  </si>
  <si>
    <t xml:space="preserve">GCTTGGCCATGGCAAATATC</t>
  </si>
  <si>
    <t xml:space="preserve">TAGTGCTTGGCCATGGCAAATATC</t>
  </si>
  <si>
    <t xml:space="preserve">AAACGATATTTGCCATGGCCAAGC</t>
  </si>
  <si>
    <t xml:space="preserve">ACGTCCAGCACGATGACGTC</t>
  </si>
  <si>
    <t xml:space="preserve">TAGTACGTCCAGCACGATGACGTC</t>
  </si>
  <si>
    <t xml:space="preserve">AAACGACGTCATCGTGCTGGACGT</t>
  </si>
  <si>
    <t xml:space="preserve">PSPPH_0801</t>
  </si>
  <si>
    <t xml:space="preserve">cheD</t>
  </si>
  <si>
    <t xml:space="preserve">ACTATTTCGGCTACACCGAC</t>
  </si>
  <si>
    <t xml:space="preserve">TAGTACTATTTCGGCTACACCGAC</t>
  </si>
  <si>
    <t xml:space="preserve">AAACGTCGGTGTAGCCGAAATAGT</t>
  </si>
  <si>
    <t xml:space="preserve">GTCTGAAAGACCACTTCGCC</t>
  </si>
  <si>
    <t xml:space="preserve">TAGTGTCTGAAAGACCACTTCGCC</t>
  </si>
  <si>
    <t xml:space="preserve">AAACGGCGAAGTGGTCTTTCAGAC</t>
  </si>
  <si>
    <t xml:space="preserve">CGTGCGCAGGCGAGTCGGCC</t>
  </si>
  <si>
    <t xml:space="preserve">TAGTCGTGCGCAGGCGAGTCGGCC</t>
  </si>
  <si>
    <t xml:space="preserve">AAACGGCCGACTCGCCTGCGCACG</t>
  </si>
  <si>
    <t xml:space="preserve">ACGCCGCCACGGGTGCCAGA</t>
  </si>
  <si>
    <t xml:space="preserve">TAGTACGCCGCCACGGGTGCCAGA</t>
  </si>
  <si>
    <t xml:space="preserve">AAACTCTGGCACCCGTGGCGGCGT</t>
  </si>
  <si>
    <t xml:space="preserve">PSPPH_0802</t>
  </si>
  <si>
    <t xml:space="preserve">cheR1</t>
  </si>
  <si>
    <t xml:space="preserve">TCAGTGAGCGACGCTGTGTC</t>
  </si>
  <si>
    <t xml:space="preserve">TAGTTCAGTGAGCGACGCTGTGTC</t>
  </si>
  <si>
    <t xml:space="preserve">AAACGACACAGCGTCGCTCACTGA</t>
  </si>
  <si>
    <t xml:space="preserve">TGTACAACCAGGCTTGGAAC</t>
  </si>
  <si>
    <t xml:space="preserve">TAGTTGTACAACCAGGCTTGGAAC</t>
  </si>
  <si>
    <t xml:space="preserve">AAACGTTCCAAGCCTGGTTGTACA</t>
  </si>
  <si>
    <t xml:space="preserve">GCCGGCGACCAGCGCTTTCT</t>
  </si>
  <si>
    <t xml:space="preserve">TAGTGCCGGCGACCAGCGCTTTCT</t>
  </si>
  <si>
    <t xml:space="preserve">AAACAGAAAGCGCTGGTCGCCGGC</t>
  </si>
  <si>
    <t xml:space="preserve">GCTTGAGACGCTTAAACAGA</t>
  </si>
  <si>
    <t xml:space="preserve">TAGTGCTTGAGACGCTTAAACAGA</t>
  </si>
  <si>
    <t xml:space="preserve">AAACTCTGTTTAAGCGTCTCAAGC</t>
  </si>
  <si>
    <t xml:space="preserve">PSPPH_0803</t>
  </si>
  <si>
    <t xml:space="preserve">cheW1</t>
  </si>
  <si>
    <t xml:space="preserve">CTCTTCCTCGACCGCCGTGG</t>
  </si>
  <si>
    <t xml:space="preserve">TAGTCTCTTCCTCGACCGCCGTGG</t>
  </si>
  <si>
    <t xml:space="preserve">AAACCCACGGCGGTCGAGGAAGAG</t>
  </si>
  <si>
    <t xml:space="preserve">CGCCACCGAGCATGAAAGTC</t>
  </si>
  <si>
    <t xml:space="preserve">TAGTCGCCACCGAGCATGAAAGTC</t>
  </si>
  <si>
    <t xml:space="preserve">AAACGACTTTCATGCTCGGTGGCG</t>
  </si>
  <si>
    <t xml:space="preserve">CTTGATGCCCAGAATGCCGA</t>
  </si>
  <si>
    <t xml:space="preserve">TAGTCTTGATGCCCAGAATGCCGA</t>
  </si>
  <si>
    <t xml:space="preserve">AAACTCGGCATTCTGGGCATCAAG</t>
  </si>
  <si>
    <t xml:space="preserve">GCATCATCGGCACCACCGTC</t>
  </si>
  <si>
    <t xml:space="preserve">TAGTGCATCATCGGCACCACCGTC</t>
  </si>
  <si>
    <t xml:space="preserve">AAACGACGGTGGTGCCGATGATGC</t>
  </si>
  <si>
    <t xml:space="preserve">PSPPH_0804</t>
  </si>
  <si>
    <t xml:space="preserve">CAGAAACGAGGTAATCAGCT</t>
  </si>
  <si>
    <t xml:space="preserve">TAGTCAGAAACGAGGTAATCAGCT</t>
  </si>
  <si>
    <t xml:space="preserve">AAACAGCTGATTACCTCGTTTCTG</t>
  </si>
  <si>
    <t xml:space="preserve">GGCAAAGACTCCCATGGCCG</t>
  </si>
  <si>
    <t xml:space="preserve">TAGTGGCAAAGACTCCCATGGCCG</t>
  </si>
  <si>
    <t xml:space="preserve">AAACCGGCCATGGGAGTCTTTGCC</t>
  </si>
  <si>
    <t xml:space="preserve">GACCTGGCCCAGTTGGATAA</t>
  </si>
  <si>
    <t xml:space="preserve">TAGTGACCTGGCCCAGTTGGATAA</t>
  </si>
  <si>
    <t xml:space="preserve">AAACTTATCCAACTGGGCCAGGTC</t>
  </si>
  <si>
    <t xml:space="preserve">CCTTGATGTCCTGGGCGGCC</t>
  </si>
  <si>
    <t xml:space="preserve">TAGTCCTTGATGTCCTGGGCGGCC</t>
  </si>
  <si>
    <t xml:space="preserve">AAACGGCCGCCCAGGACATCAAGG</t>
  </si>
  <si>
    <t xml:space="preserve">PSPPH_0805</t>
  </si>
  <si>
    <t xml:space="preserve">cheA1</t>
  </si>
  <si>
    <t xml:space="preserve">TTGCAGGAGGGATTCCTCCA</t>
  </si>
  <si>
    <t xml:space="preserve">TAGTTTGCAGGAGGGATTCCTCCA</t>
  </si>
  <si>
    <t xml:space="preserve">AAACTGGAGGAATCCCTCCTGCAA</t>
  </si>
  <si>
    <t xml:space="preserve">CCAATCGCGTCCTGATCGCC</t>
  </si>
  <si>
    <t xml:space="preserve">TAGTCCAATCGCGTCCTGATCGCC</t>
  </si>
  <si>
    <t xml:space="preserve">AAACGGCGATCAGGACGCGATTGG</t>
  </si>
  <si>
    <t xml:space="preserve">CCTTGATGGTGTGCGCTGCG</t>
  </si>
  <si>
    <t xml:space="preserve">TAGTCCTTGATGGTGTGCGCTGCG</t>
  </si>
  <si>
    <t xml:space="preserve">AAACCGCAGCGCACACCATCAAGG</t>
  </si>
  <si>
    <t xml:space="preserve">AGGCGTCAGCCCGAATAGCC</t>
  </si>
  <si>
    <t xml:space="preserve">TAGTAGGCGTCAGCCCGAATAGCC</t>
  </si>
  <si>
    <t xml:space="preserve">AAACGGCTATTCGGGCTGACGCCT</t>
  </si>
  <si>
    <t xml:space="preserve">PSPPH_0806</t>
  </si>
  <si>
    <t xml:space="preserve">GCCTGATTGTCGTCTGGGGT</t>
  </si>
  <si>
    <t xml:space="preserve">TAGTGCCTGATTGTCGTCTGGGGT</t>
  </si>
  <si>
    <t xml:space="preserve">AAACACCCCAGACGACAATCAGGC</t>
  </si>
  <si>
    <t xml:space="preserve">GCCGTCGATCTGCACGCGGG</t>
  </si>
  <si>
    <t xml:space="preserve">TAGTGCCGTCGATCTGCACGCGGG</t>
  </si>
  <si>
    <t xml:space="preserve">AAACCCCGCGTGCAGATCGACGGC</t>
  </si>
  <si>
    <t xml:space="preserve">ACGGGCGGCGAGTTCGGTCA</t>
  </si>
  <si>
    <t xml:space="preserve">TAGTACGGGCGGCGAGTTCGGTCA</t>
  </si>
  <si>
    <t xml:space="preserve">AAACTGACCGAACTCGCCGCCCGT</t>
  </si>
  <si>
    <t xml:space="preserve">CGCGCCGCACCAGTGATCTG</t>
  </si>
  <si>
    <t xml:space="preserve">TAGTCGCGCCGCACCAGTGATCTG</t>
  </si>
  <si>
    <t xml:space="preserve">AAACCAGATCACTGGTGCGGCGCG</t>
  </si>
  <si>
    <t xml:space="preserve">PSPPH_0807</t>
  </si>
  <si>
    <t xml:space="preserve">cheY1</t>
  </si>
  <si>
    <t xml:space="preserve">GCGCGATGCCGACAACCTGC</t>
  </si>
  <si>
    <t xml:space="preserve">TAGTGCGCGATGCCGACAACCTGC</t>
  </si>
  <si>
    <t xml:space="preserve">AAACGCAGGTTGTCGGCATCGCGC</t>
  </si>
  <si>
    <t xml:space="preserve">GGCCTCGATAACGTCGTATC</t>
  </si>
  <si>
    <t xml:space="preserve">TAGTGGCCTCGATAACGTCGTATC</t>
  </si>
  <si>
    <t xml:space="preserve">AAACGATACGACGTTATCGAGGCC</t>
  </si>
  <si>
    <t xml:space="preserve">CAGTGCATCTTTGCCATCGC</t>
  </si>
  <si>
    <t xml:space="preserve">TAGTCAGTGCATCTTTGCCATCGC</t>
  </si>
  <si>
    <t xml:space="preserve">AAACGCGATGGCAAAGATGCACTG</t>
  </si>
  <si>
    <t xml:space="preserve">AATCAAGTGCACTTTCTGTC</t>
  </si>
  <si>
    <t xml:space="preserve">TAGTAATCAAGTGCACTTTCTGTC</t>
  </si>
  <si>
    <t xml:space="preserve">AAACGACAGAAAGTGCACTTGATT</t>
  </si>
  <si>
    <t xml:space="preserve">PSPPH_0808</t>
  </si>
  <si>
    <t xml:space="preserve">ACTTTGCGCAGGAGTACTGC</t>
  </si>
  <si>
    <t xml:space="preserve">TAGTACTTTGCGCAGGAGTACTGC</t>
  </si>
  <si>
    <t xml:space="preserve">AAACGCAGTACTCCTGCGCAAAGT</t>
  </si>
  <si>
    <t xml:space="preserve">AGAGAAAACCAGATGAAATG</t>
  </si>
  <si>
    <t xml:space="preserve">TAGTAGAGAAAACCAGATGAAATG</t>
  </si>
  <si>
    <t xml:space="preserve">AAACCATTTCATCTGGTTTTCTCT</t>
  </si>
  <si>
    <t xml:space="preserve">CAGGCAACGGCAGGTATGAC</t>
  </si>
  <si>
    <t xml:space="preserve">TAGTCAGGCAACGGCAGGTATGAC</t>
  </si>
  <si>
    <t xml:space="preserve">AAACGTCATACCTGCCGTTGCCTG</t>
  </si>
  <si>
    <t xml:space="preserve">TACTCGTACCGGATTGCGTG</t>
  </si>
  <si>
    <t xml:space="preserve">TAGTTACTCGTACCGGATTGCGTG</t>
  </si>
  <si>
    <t xml:space="preserve">AAACCACGCAATCCGGTACGAGTA</t>
  </si>
  <si>
    <t xml:space="preserve">PSPPH_0809</t>
  </si>
  <si>
    <t xml:space="preserve">ndh</t>
  </si>
  <si>
    <t xml:space="preserve">GCCCAGGGTTTTACCCAGGC</t>
  </si>
  <si>
    <t xml:space="preserve">TAGTGCCCAGGGTTTTACCCAGGC</t>
  </si>
  <si>
    <t xml:space="preserve">AAACGCCTGGGTAAAACCCTGGGC</t>
  </si>
  <si>
    <t xml:space="preserve">GGCGTCGACCAGCGTGACAC</t>
  </si>
  <si>
    <t xml:space="preserve">TAGTGGCGTCGACCAGCGTGACAC</t>
  </si>
  <si>
    <t xml:space="preserve">AAACGTGTCACGCTGGTCGACGCC</t>
  </si>
  <si>
    <t xml:space="preserve">TTTCCAGATATGCGTCAGGT</t>
  </si>
  <si>
    <t xml:space="preserve">TAGTTTTCCAGATATGCGTCAGGT</t>
  </si>
  <si>
    <t xml:space="preserve">AAACACCTGACGCATATCTGGAAA</t>
  </si>
  <si>
    <t xml:space="preserve">GCCGCGACCTCGTGCAACAG</t>
  </si>
  <si>
    <t xml:space="preserve">TAGTGCCGCGACCTCGTGCAACAG</t>
  </si>
  <si>
    <t xml:space="preserve">AAACCTGTTGCACGAGGTCGCGGC</t>
  </si>
  <si>
    <t xml:space="preserve">PSPPH_0810</t>
  </si>
  <si>
    <t xml:space="preserve">CGGCCAGCAGTTCCTGCAAG</t>
  </si>
  <si>
    <t xml:space="preserve">TAGTCGGCCAGCAGTTCCTGCAAG</t>
  </si>
  <si>
    <t xml:space="preserve">AAACCTTGCAGGAACTGCTGGCCG</t>
  </si>
  <si>
    <t xml:space="preserve">ACGGCCTTGTTGAGGCACAT</t>
  </si>
  <si>
    <t xml:space="preserve">TAGTACGGCCTTGTTGAGGCACAT</t>
  </si>
  <si>
    <t xml:space="preserve">AAACATGTGCCTCAACAAGGCCGT</t>
  </si>
  <si>
    <t xml:space="preserve">TCATCTCGGCCCGCGACTCC</t>
  </si>
  <si>
    <t xml:space="preserve">TAGTTCATCTCGGCCCGCGACTCC</t>
  </si>
  <si>
    <t xml:space="preserve">AAACGGAGTCGCGGGCCGAGATGA</t>
  </si>
  <si>
    <t xml:space="preserve">ACCAGGTCGCGAATGATCGC</t>
  </si>
  <si>
    <t xml:space="preserve">TAGTACCAGGTCGCGAATGATCGC</t>
  </si>
  <si>
    <t xml:space="preserve">AAACGCGATCATTCGCGACCTGGT</t>
  </si>
  <si>
    <t xml:space="preserve">PSPPH_0811</t>
  </si>
  <si>
    <t xml:space="preserve">AGGTAGTCTGAGTCATCCAT</t>
  </si>
  <si>
    <t xml:space="preserve">TAGTAGGTAGTCTGAGTCATCCAT</t>
  </si>
  <si>
    <t xml:space="preserve">AAACATGGATGACTCAGACTACCT</t>
  </si>
  <si>
    <t xml:space="preserve">CCTGGATCGTCAACAGGCGT</t>
  </si>
  <si>
    <t xml:space="preserve">TAGTCCTGGATCGTCAACAGGCGT</t>
  </si>
  <si>
    <t xml:space="preserve">AAACACGCCTGTTGACGATCCAGG</t>
  </si>
  <si>
    <t xml:space="preserve">AAGAAAGGCGTTGGCTTGTT</t>
  </si>
  <si>
    <t xml:space="preserve">TAGTAAGAAAGGCGTTGGCTTGTT</t>
  </si>
  <si>
    <t xml:space="preserve">AAACAACAAGCCAACGCCTTTCTT</t>
  </si>
  <si>
    <t xml:space="preserve">ACGCTCCCACTTCCGCGCAT</t>
  </si>
  <si>
    <t xml:space="preserve">TAGTACGCTCCCACTTCCGCGCAT</t>
  </si>
  <si>
    <t xml:space="preserve">AAACATGCGCGGAAGTGGGAGCGT</t>
  </si>
  <si>
    <t xml:space="preserve">PSPPH_0812</t>
  </si>
  <si>
    <t xml:space="preserve">ACCAGAACGAGCGGGGAAAA</t>
  </si>
  <si>
    <t xml:space="preserve">TAGTACCAGAACGAGCGGGGAAAA</t>
  </si>
  <si>
    <t xml:space="preserve">AAACTTTTCCCCGCTCGTTCTGGT</t>
  </si>
  <si>
    <t xml:space="preserve">CGCACGCACAGGCGCAGGTC</t>
  </si>
  <si>
    <t xml:space="preserve">TAGTCGCACGCACAGGCGCAGGTC</t>
  </si>
  <si>
    <t xml:space="preserve">AAACGACCTGCGCCTGTGCGTGCG</t>
  </si>
  <si>
    <t xml:space="preserve">GGCTTCGCGTTGCGCGTTGT</t>
  </si>
  <si>
    <t xml:space="preserve">TAGTGGCTTCGCGTTGCGCGTTGT</t>
  </si>
  <si>
    <t xml:space="preserve">AAACACAACGCGCAACGCGAAGCC</t>
  </si>
  <si>
    <t xml:space="preserve">GCCTGCCCGAGCCTGAGGCA</t>
  </si>
  <si>
    <t xml:space="preserve">TAGTGCCTGCCCGAGCCTGAGGCA</t>
  </si>
  <si>
    <t xml:space="preserve">AAACTGCCTCAGGCTCGGGCAGGC</t>
  </si>
  <si>
    <t xml:space="preserve">PSPPH_0813</t>
  </si>
  <si>
    <t xml:space="preserve">TCGAGGCGAGGGACATTGTC</t>
  </si>
  <si>
    <t xml:space="preserve">TAGTTCGAGGCGAGGGACATTGTC</t>
  </si>
  <si>
    <t xml:space="preserve">AAACGACAATGTCCCTCGCCTCGA</t>
  </si>
  <si>
    <t xml:space="preserve">CATGACCAGCGAGGCCAGTC</t>
  </si>
  <si>
    <t xml:space="preserve">TAGTCATGACCAGCGAGGCCAGTC</t>
  </si>
  <si>
    <t xml:space="preserve">AAACGACTGGCCTCGCTGGTCATG</t>
  </si>
  <si>
    <t xml:space="preserve">CTGGTGAAGCTGCCACCTGA</t>
  </si>
  <si>
    <t xml:space="preserve">TAGTCTGGTGAAGCTGCCACCTGA</t>
  </si>
  <si>
    <t xml:space="preserve">AAACTCAGGTGGCAGCTTCACCAG</t>
  </si>
  <si>
    <t xml:space="preserve">GTCAGGGCTGCCAAACTCAT</t>
  </si>
  <si>
    <t xml:space="preserve">TAGTGTCAGGGCTGCCAAACTCAT</t>
  </si>
  <si>
    <t xml:space="preserve">AAACATGAGTTTGGCAGCCCTGAC</t>
  </si>
  <si>
    <t xml:space="preserve">PSPPH_0814</t>
  </si>
  <si>
    <t xml:space="preserve">TTGTAACAGTCCGCTGGATT</t>
  </si>
  <si>
    <t xml:space="preserve">TAGTTTGTAACAGTCCGCTGGATT</t>
  </si>
  <si>
    <t xml:space="preserve">AAACAATCCAGCGGACTGTTACAA</t>
  </si>
  <si>
    <t xml:space="preserve">GCCAGGATTGCCGCCAGACA</t>
  </si>
  <si>
    <t xml:space="preserve">TAGTGCCAGGATTGCCGCCAGACA</t>
  </si>
  <si>
    <t xml:space="preserve">AAACTGTCTGGCGGCAATCCTGGC</t>
  </si>
  <si>
    <t xml:space="preserve">ACTTCATGCGCCAGGCGCTT</t>
  </si>
  <si>
    <t xml:space="preserve">TAGTACTTCATGCGCCAGGCGCTT</t>
  </si>
  <si>
    <t xml:space="preserve">AAACAAGCGCCTGGCGCATGAAGT</t>
  </si>
  <si>
    <t xml:space="preserve">TCCTGTAACTCCAGCGCGGC</t>
  </si>
  <si>
    <t xml:space="preserve">TAGTTCCTGTAACTCCAGCGCGGC</t>
  </si>
  <si>
    <t xml:space="preserve">AAACGCCGCGCTGGAGTTACAGGA</t>
  </si>
  <si>
    <t xml:space="preserve">PSPPH_0815</t>
  </si>
  <si>
    <t xml:space="preserve">TCAATATAATACCCGGTAGC</t>
  </si>
  <si>
    <t xml:space="preserve">TAGTTCAATATAATACCCGGTAGC</t>
  </si>
  <si>
    <t xml:space="preserve">AAACGCTACCGGGTATTATATTGA</t>
  </si>
  <si>
    <t xml:space="preserve">TGCCACCCACCGATATTATT</t>
  </si>
  <si>
    <t xml:space="preserve">TAGTTGCCACCCACCGATATTATT</t>
  </si>
  <si>
    <t xml:space="preserve">AAACAATAATATCGGTGGGTGGCA</t>
  </si>
  <si>
    <t xml:space="preserve">CTCCACCACCCACCGGTAGA</t>
  </si>
  <si>
    <t xml:space="preserve">TAGTCTCCACCACCCACCGGTAGA</t>
  </si>
  <si>
    <t xml:space="preserve">AAACTCTACCGGTGGGTGGTGGAG</t>
  </si>
  <si>
    <t xml:space="preserve">GGTAAATCGCCTAGATTGGC</t>
  </si>
  <si>
    <t xml:space="preserve">TAGTGGTAAATCGCCTAGATTGGC</t>
  </si>
  <si>
    <t xml:space="preserve">AAACGCCAATCTAGGCGATTTACC</t>
  </si>
  <si>
    <t xml:space="preserve">PSPPH_0816</t>
  </si>
  <si>
    <t xml:space="preserve">GTTGGGCATTGGACGGTCAT</t>
  </si>
  <si>
    <t xml:space="preserve">TAGTGTTGGGCATTGGACGGTCAT</t>
  </si>
  <si>
    <t xml:space="preserve">AAACATGACCGTCCAATGCCCAAC</t>
  </si>
  <si>
    <t xml:space="preserve">CCATTCTACCGGGGCATCGC</t>
  </si>
  <si>
    <t xml:space="preserve">TAGTCCATTCTACCGGGGCATCGC</t>
  </si>
  <si>
    <t xml:space="preserve">AAACGCGATGCCCCGGTAGAATGG</t>
  </si>
  <si>
    <t xml:space="preserve">AAACGGGCGGCTCGGACTGG</t>
  </si>
  <si>
    <t xml:space="preserve">TAGTAAACGGGCGGCTCGGACTGG</t>
  </si>
  <si>
    <t xml:space="preserve">AAACCCAGTCCGAGCCGCCCGTTT</t>
  </si>
  <si>
    <t xml:space="preserve">CTTCAGAAGCCCATGCTCCC</t>
  </si>
  <si>
    <t xml:space="preserve">TAGTCTTCAGAAGCCCATGCTCCC</t>
  </si>
  <si>
    <t xml:space="preserve">AAACGGGAGCATGGGCTTCTGAAG</t>
  </si>
  <si>
    <t xml:space="preserve">PSPPH_0817</t>
  </si>
  <si>
    <t xml:space="preserve">coaE</t>
  </si>
  <si>
    <t xml:space="preserve">GAATCCAGGGTTTTTGATCA</t>
  </si>
  <si>
    <t xml:space="preserve">TAGTGAATCCAGGGTTTTTGATCA</t>
  </si>
  <si>
    <t xml:space="preserve">AAACTGATCAAAAACCCTGGATTC</t>
  </si>
  <si>
    <t xml:space="preserve">CGCTACCAATGCCGCCAGTC</t>
  </si>
  <si>
    <t xml:space="preserve">TAGTCGCTACCAATGCCGCCAGTC</t>
  </si>
  <si>
    <t xml:space="preserve">AAACGACTGGCGGCATTGGTAGCG</t>
  </si>
  <si>
    <t xml:space="preserve">CACGGTGTCGATGCCAAGGT</t>
  </si>
  <si>
    <t xml:space="preserve">TAGTCACGGTGTCGATGCCAAGGT</t>
  </si>
  <si>
    <t xml:space="preserve">AAACACCTTGGCATCGACACCGTG</t>
  </si>
  <si>
    <t xml:space="preserve">CACCCAGCGGGAGGCATGGT</t>
  </si>
  <si>
    <t xml:space="preserve">TAGTCACCCAGCGGGAGGCATGGT</t>
  </si>
  <si>
    <t xml:space="preserve">AAACACCATGCCTCCCGCTGGGTG</t>
  </si>
  <si>
    <t xml:space="preserve">PSPPH_0818</t>
  </si>
  <si>
    <t xml:space="preserve">pilD</t>
  </si>
  <si>
    <t xml:space="preserve">CTGGCCAAGAGGTCGAGGAG</t>
  </si>
  <si>
    <t xml:space="preserve">TAGTCTGGCCAAGAGGTCGAGGAG</t>
  </si>
  <si>
    <t xml:space="preserve">AAACCTCCTCGACCTCTTGGCCAG</t>
  </si>
  <si>
    <t xml:space="preserve">CAGGTAATGACGAAGGCCAG</t>
  </si>
  <si>
    <t xml:space="preserve">TAGTCAGGTAATGACGAAGGCCAG</t>
  </si>
  <si>
    <t xml:space="preserve">AAACCTGGCCTTCGTCATTACCTG</t>
  </si>
  <si>
    <t xml:space="preserve">TGAGGAAGCTTCCGATGATC</t>
  </si>
  <si>
    <t xml:space="preserve">TAGTTGAGGAAGCTTCCGATGATC</t>
  </si>
  <si>
    <t xml:space="preserve">AAACGATCATCGGAAGCTTCCTCA</t>
  </si>
  <si>
    <t xml:space="preserve">GCTCCATCATTTTGGGGAGG</t>
  </si>
  <si>
    <t xml:space="preserve">TAGTGCTCCATCATTTTGGGGAGG</t>
  </si>
  <si>
    <t xml:space="preserve">AAACCCTCCCCAAAATGATGGAGC</t>
  </si>
  <si>
    <t xml:space="preserve">PSPPH_0819</t>
  </si>
  <si>
    <t xml:space="preserve">pilC</t>
  </si>
  <si>
    <t xml:space="preserve">ACTGACTTTAACTGCCTTGC</t>
  </si>
  <si>
    <t xml:space="preserve">TAGTACTGACTTTAACTGCCTTGC</t>
  </si>
  <si>
    <t xml:space="preserve">AAACGCAAGGCAGTTAAAGTCAGT</t>
  </si>
  <si>
    <t xml:space="preserve">AACAGGCTTTTTACGTACCT</t>
  </si>
  <si>
    <t xml:space="preserve">TAGTAACAGGCTTTTTACGTACCT</t>
  </si>
  <si>
    <t xml:space="preserve">AAACAGGTACGTAAAAAGCCTGTT</t>
  </si>
  <si>
    <t xml:space="preserve">GAAAAGAATGCGATGTCCAG</t>
  </si>
  <si>
    <t xml:space="preserve">TAGTGAAAAGAATGCGATGTCCAG</t>
  </si>
  <si>
    <t xml:space="preserve">AAACCTGGACATCGCATTCTTTTC</t>
  </si>
  <si>
    <t xml:space="preserve">CGGCACGCCTGCCTTCATCA</t>
  </si>
  <si>
    <t xml:space="preserve">TAGTCGGCACGCCTGCCTTCATCA</t>
  </si>
  <si>
    <t xml:space="preserve">AAACTGATGAAGGCAGGCGTGCCG</t>
  </si>
  <si>
    <t xml:space="preserve">PSPPH_0820</t>
  </si>
  <si>
    <t xml:space="preserve">pilB</t>
  </si>
  <si>
    <t xml:space="preserve">ACTGTTTGGCCAAACCAGTG</t>
  </si>
  <si>
    <t xml:space="preserve">TAGTACTGTTTGGCCAAACCAGTG</t>
  </si>
  <si>
    <t xml:space="preserve">AAACCACTGGTTTGGCCAAACAGT</t>
  </si>
  <si>
    <t xml:space="preserve">ATTCGGTAAGTAGCTCGGCG</t>
  </si>
  <si>
    <t xml:space="preserve">TAGTATTCGGTAAGTAGCTCGGCG</t>
  </si>
  <si>
    <t xml:space="preserve">AAACCGCCGAGCTACTTACCGAAT</t>
  </si>
  <si>
    <t xml:space="preserve">TCACCAACGAAATCTTGTTA</t>
  </si>
  <si>
    <t xml:space="preserve">TAGTTCACCAACGAAATCTTGTTA</t>
  </si>
  <si>
    <t xml:space="preserve">AAACTAACAAGATTTCGTTGGTGA</t>
  </si>
  <si>
    <t xml:space="preserve">GGCTTTTGACCAATTTGCTC</t>
  </si>
  <si>
    <t xml:space="preserve">TAGTGGCTTTTGACCAATTTGCTC</t>
  </si>
  <si>
    <t xml:space="preserve">AAACGAGCAAATTGGTCAAAAGCC</t>
  </si>
  <si>
    <t xml:space="preserve">PSPPH_0821</t>
  </si>
  <si>
    <t xml:space="preserve">GCGACATAGTTCTGGTATTG</t>
  </si>
  <si>
    <t xml:space="preserve">TAGTGCGACATAGTTCTGGTATTG</t>
  </si>
  <si>
    <t xml:space="preserve">AAACCAATACCAGAACTATGTCGC</t>
  </si>
  <si>
    <t xml:space="preserve">ATCAAGCGTGGCGACCGCGC</t>
  </si>
  <si>
    <t xml:space="preserve">TAGTATCAAGCGTGGCGACCGCGC</t>
  </si>
  <si>
    <t xml:space="preserve">AAACGCGCGGTCGCCACGCTTGAT</t>
  </si>
  <si>
    <t xml:space="preserve">ACATGTACCATTTGTAGGCA</t>
  </si>
  <si>
    <t xml:space="preserve">TAGTACATGTACCATTTGTAGGCA</t>
  </si>
  <si>
    <t xml:space="preserve">AAACTGCCTACAAATGGTACATGT</t>
  </si>
  <si>
    <t xml:space="preserve">AAGTTCCATTCCCAACCGAC</t>
  </si>
  <si>
    <t xml:space="preserve">TAGTAAGTTCCATTCCCAACCGAC</t>
  </si>
  <si>
    <t xml:space="preserve">AAACGTCGGTTGGGAATGGAACTT</t>
  </si>
  <si>
    <t xml:space="preserve">PSPPH_0823</t>
  </si>
  <si>
    <t xml:space="preserve">GCACCCTGTAAAGGCATCTT</t>
  </si>
  <si>
    <t xml:space="preserve">TAGTGCACCCTGTAAAGGCATCTT</t>
  </si>
  <si>
    <t xml:space="preserve">AAACAAGATGCCTTTACAGGGTGC</t>
  </si>
  <si>
    <t xml:space="preserve">GACATCCACTGAGCGATCAG</t>
  </si>
  <si>
    <t xml:space="preserve">TAGTGACATCCACTGAGCGATCAG</t>
  </si>
  <si>
    <t xml:space="preserve">AAACCTGATCGCTCAGTGGATGTC</t>
  </si>
  <si>
    <t xml:space="preserve">GTGTAAGCGCCAAACGCGTC</t>
  </si>
  <si>
    <t xml:space="preserve">TAGTGTGTAAGCGCCAAACGCGTC</t>
  </si>
  <si>
    <t xml:space="preserve">AAACGACGCGTTTGGCGCTTACAC</t>
  </si>
  <si>
    <t xml:space="preserve">CATCGCCAGAACATAAATGT</t>
  </si>
  <si>
    <t xml:space="preserve">TAGTCATCGCCAGAACATAAATGT</t>
  </si>
  <si>
    <t xml:space="preserve">AAACACATTTATGTTCTGGCGATG</t>
  </si>
  <si>
    <t xml:space="preserve">PSPPH_0825</t>
  </si>
  <si>
    <t xml:space="preserve">GGCGCGGCAGGACGTAATAA</t>
  </si>
  <si>
    <t xml:space="preserve">TAGTGGCGCGGCAGGACGTAATAA</t>
  </si>
  <si>
    <t xml:space="preserve">AAACTTATTACGTCCTGCCGCGCC</t>
  </si>
  <si>
    <t xml:space="preserve">CGGTGATCATCACGACATCA</t>
  </si>
  <si>
    <t xml:space="preserve">TAGTCGGTGATCATCACGACATCA</t>
  </si>
  <si>
    <t xml:space="preserve">AAACTGATGTCGTGATGATCACCG</t>
  </si>
  <si>
    <t xml:space="preserve">CATTCTTTTGACTTCCACGC</t>
  </si>
  <si>
    <t xml:space="preserve">TAGTCATTCTTTTGACTTCCACGC</t>
  </si>
  <si>
    <t xml:space="preserve">AAACGCGTGGAAGTCAAAAGAATG</t>
  </si>
  <si>
    <t xml:space="preserve">TTCGGCGTTGATGACGCCGT</t>
  </si>
  <si>
    <t xml:space="preserve">TAGTTTCGGCGTTGATGACGCCGT</t>
  </si>
  <si>
    <t xml:space="preserve">AAACACGGCGTCATCAACGCCGAA</t>
  </si>
  <si>
    <t xml:space="preserve">PSPPH_0826</t>
  </si>
  <si>
    <t xml:space="preserve">GCTGGCTGGACTGCCCTTCA</t>
  </si>
  <si>
    <t xml:space="preserve">TAGTGCTGGCTGGACTGCCCTTCA</t>
  </si>
  <si>
    <t xml:space="preserve">AAACTGAAGGGCAGTCCAGCCAGC</t>
  </si>
  <si>
    <t xml:space="preserve">GCGATAATCTGCACCGACGC</t>
  </si>
  <si>
    <t xml:space="preserve">TAGTGCGATAATCTGCACCGACGC</t>
  </si>
  <si>
    <t xml:space="preserve">AAACGCGTCGGTGCAGATTATCGC</t>
  </si>
  <si>
    <t xml:space="preserve">GGAGCGCTGCTGGCGATGCG</t>
  </si>
  <si>
    <t xml:space="preserve">TAGTGGAGCGCTGCTGGCGATGCG</t>
  </si>
  <si>
    <t xml:space="preserve">AAACCGCATCGCCAGCAGCGCTCC</t>
  </si>
  <si>
    <t xml:space="preserve">ATGGGCCTGCCCGGTAATTT</t>
  </si>
  <si>
    <t xml:space="preserve">TAGTATGGGCCTGCCCGGTAATTT</t>
  </si>
  <si>
    <t xml:space="preserve">AAACAAATTACCGGGCAGGCCCAT</t>
  </si>
  <si>
    <t xml:space="preserve">PSPPH_0827</t>
  </si>
  <si>
    <t xml:space="preserve">GCTAAAGCAGTGTTTGCACC</t>
  </si>
  <si>
    <t xml:space="preserve">TAGTGCTAAAGCAGTGTTTGCACC</t>
  </si>
  <si>
    <t xml:space="preserve">AAACGGTGCAAACACTGCTTTAGC</t>
  </si>
  <si>
    <t xml:space="preserve">CTCCAGATTCCAGGTGCAGT</t>
  </si>
  <si>
    <t xml:space="preserve">TAGTCTCCAGATTCCAGGTGCAGT</t>
  </si>
  <si>
    <t xml:space="preserve">AAACACTGCACCTGGAATCTGGAG</t>
  </si>
  <si>
    <t xml:space="preserve">GCGCCGGGTCGCCCATGGGC</t>
  </si>
  <si>
    <t xml:space="preserve">TAGTGCGCCGGGTCGCCCATGGGC</t>
  </si>
  <si>
    <t xml:space="preserve">AAACGCCCATGGGCGACCCGGCGC</t>
  </si>
  <si>
    <t xml:space="preserve">ACTCCATCCAGCTCTGTTCA</t>
  </si>
  <si>
    <t xml:space="preserve">TAGTACTCCATCCAGCTCTGTTCA</t>
  </si>
  <si>
    <t xml:space="preserve">AAACTGAACAGAGCTGGATGGAGT</t>
  </si>
  <si>
    <t xml:space="preserve">PSPPH_0828</t>
  </si>
  <si>
    <t xml:space="preserve">AGCACGAAGCTTTGTAGAGT</t>
  </si>
  <si>
    <t xml:space="preserve">TAGTAGCACGAAGCTTTGTAGAGT</t>
  </si>
  <si>
    <t xml:space="preserve">AAACACTCTACAAAGCTTCGTGCT</t>
  </si>
  <si>
    <t xml:space="preserve">CGTCGAGACGACCACGAAGC</t>
  </si>
  <si>
    <t xml:space="preserve">TAGTCGTCGAGACGACCACGAAGC</t>
  </si>
  <si>
    <t xml:space="preserve">AAACGCTTCGTGGTCGTCTCGACG</t>
  </si>
  <si>
    <t xml:space="preserve">CAGAGAATCCGGGGCAATAG</t>
  </si>
  <si>
    <t xml:space="preserve">TAGTCAGAGAATCCGGGGCAATAG</t>
  </si>
  <si>
    <t xml:space="preserve">AAACCTATTGCCCCGGATTCTCTG</t>
  </si>
  <si>
    <t xml:space="preserve">CGAACAGAAATGCACGCTTG</t>
  </si>
  <si>
    <t xml:space="preserve">TAGTCGAACAGAAATGCACGCTTG</t>
  </si>
  <si>
    <t xml:space="preserve">AAACCAAGCGTGCATTTCTGTTCG</t>
  </si>
  <si>
    <t xml:space="preserve">PSPPH_0829</t>
  </si>
  <si>
    <t xml:space="preserve">GATCGACGAAGATCAGCGGG</t>
  </si>
  <si>
    <t xml:space="preserve">TAGTGATCGACGAAGATCAGCGGG</t>
  </si>
  <si>
    <t xml:space="preserve">AAACCCCGCTGATCTTCGTCGATC</t>
  </si>
  <si>
    <t xml:space="preserve">CGGGCGTTTTGCGGGCGGTC</t>
  </si>
  <si>
    <t xml:space="preserve">TAGTCGGGCGTTTTGCGGGCGGTC</t>
  </si>
  <si>
    <t xml:space="preserve">AAACGACCGCCCGCAAAACGCCCG</t>
  </si>
  <si>
    <t xml:space="preserve">GACATGTTTTTCAATGTTCG</t>
  </si>
  <si>
    <t xml:space="preserve">TAGTGACATGTTTTTCAATGTTCG</t>
  </si>
  <si>
    <t xml:space="preserve">AAACCGAACATTGAAAAACATGTC</t>
  </si>
  <si>
    <t xml:space="preserve">CGCGAAGGACTTCTGCACGT</t>
  </si>
  <si>
    <t xml:space="preserve">TAGTCGCGAAGGACTTCTGCACGT</t>
  </si>
  <si>
    <t xml:space="preserve">AAACACGTGCAGAAGTCCTTCGCG</t>
  </si>
  <si>
    <t xml:space="preserve">PSPPH_0830</t>
  </si>
  <si>
    <t xml:space="preserve">ACCGTATCGAGCCCGTGAAC</t>
  </si>
  <si>
    <t xml:space="preserve">TAGTACCGTATCGAGCCCGTGAAC</t>
  </si>
  <si>
    <t xml:space="preserve">AAACGTTCACGGGCTCGATACGGT</t>
  </si>
  <si>
    <t xml:space="preserve">CTCCTTCTCCGCCACGCTAG</t>
  </si>
  <si>
    <t xml:space="preserve">TAGTCTCCTTCTCCGCCACGCTAG</t>
  </si>
  <si>
    <t xml:space="preserve">AAACCTAGCGTGGCGGAGAAGGAG</t>
  </si>
  <si>
    <t xml:space="preserve">GCTTCTGGCGTGTCTGGATC</t>
  </si>
  <si>
    <t xml:space="preserve">TAGTGCTTCTGGCGTGTCTGGATC</t>
  </si>
  <si>
    <t xml:space="preserve">AAACGATCCAGACACGCCAGAAGC</t>
  </si>
  <si>
    <t xml:space="preserve">CTTGTGAGCGGCGCTGGGGG</t>
  </si>
  <si>
    <t xml:space="preserve">TAGTCTTGTGAGCGGCGCTGGGGG</t>
  </si>
  <si>
    <t xml:space="preserve">AAACCCCCCAGCGCCGCTCACAAG</t>
  </si>
  <si>
    <t xml:space="preserve">PSPPH_0831</t>
  </si>
  <si>
    <t xml:space="preserve">CAACGCATAAGGCGAAAATA</t>
  </si>
  <si>
    <t xml:space="preserve">TAGTCAACGCATAAGGCGAAAATA</t>
  </si>
  <si>
    <t xml:space="preserve">AAACTATTTTCGCCTTATGCGTTG</t>
  </si>
  <si>
    <t xml:space="preserve">ACGATGTCATCGCGGGTGGC</t>
  </si>
  <si>
    <t xml:space="preserve">TAGTACGATGTCATCGCGGGTGGC</t>
  </si>
  <si>
    <t xml:space="preserve">AAACGCCACCCGCGATGACATCGT</t>
  </si>
  <si>
    <t xml:space="preserve">ACGACCAGCGAACGCAGTTC</t>
  </si>
  <si>
    <t xml:space="preserve">TAGTACGACCAGCGAACGCAGTTC</t>
  </si>
  <si>
    <t xml:space="preserve">AAACGAACTGCGTTCGCTGGTCGT</t>
  </si>
  <si>
    <t xml:space="preserve">TCAGCGCTACCGCATCTTCC</t>
  </si>
  <si>
    <t xml:space="preserve">TAGTTCAGCGCTACCGCATCTTCC</t>
  </si>
  <si>
    <t xml:space="preserve">AAACGGAAGATGCGGTAGCGCTGA</t>
  </si>
  <si>
    <t xml:space="preserve">PSPPH_0832</t>
  </si>
  <si>
    <t xml:space="preserve">CGAAATCGAAAACCGCCAGC</t>
  </si>
  <si>
    <t xml:space="preserve">TAGTCGAAATCGAAAACCGCCAGC</t>
  </si>
  <si>
    <t xml:space="preserve">AAACGCTGGCGGTTTTCGATTTCG</t>
  </si>
  <si>
    <t xml:space="preserve">AAAGCTGTCATGCCGGGTGA</t>
  </si>
  <si>
    <t xml:space="preserve">TAGTAAAGCTGTCATGCCGGGTGA</t>
  </si>
  <si>
    <t xml:space="preserve">AAACTCACCCGGCATGACAGCTTT</t>
  </si>
  <si>
    <t xml:space="preserve">CCAAAGGCGAACTTGAGAAA</t>
  </si>
  <si>
    <t xml:space="preserve">TAGTCCAAAGGCGAACTTGAGAAA</t>
  </si>
  <si>
    <t xml:space="preserve">AAACTTTCTCAAGTTCGCCTTTGG</t>
  </si>
  <si>
    <t xml:space="preserve">ACGGGCCATGCGCACGGAAA</t>
  </si>
  <si>
    <t xml:space="preserve">TAGTACGGGCCATGCGCACGGAAA</t>
  </si>
  <si>
    <t xml:space="preserve">AAACTTTCCGTGCGCATGGCCCGT</t>
  </si>
  <si>
    <t xml:space="preserve">PSPPH_0833</t>
  </si>
  <si>
    <t xml:space="preserve">terZ</t>
  </si>
  <si>
    <t xml:space="preserve">TTTTCTCCAGTGAGATCGTC</t>
  </si>
  <si>
    <t xml:space="preserve">TAGTTTTTCTCCAGTGAGATCGTC</t>
  </si>
  <si>
    <t xml:space="preserve">AAACGACGATCTCACTGGAGAAAA</t>
  </si>
  <si>
    <t xml:space="preserve">TTTCTTGAGGCCGGTACCAG</t>
  </si>
  <si>
    <t xml:space="preserve">TAGTTTTCTTGAGGCCGGTACCAG</t>
  </si>
  <si>
    <t xml:space="preserve">AAACCTGGTACCGGCCTCAAGAAA</t>
  </si>
  <si>
    <t xml:space="preserve">CTTTTTCAGGGTCCCATCCA</t>
  </si>
  <si>
    <t xml:space="preserve">TAGTCTTTTTCAGGGTCCCATCCA</t>
  </si>
  <si>
    <t xml:space="preserve">AAACTGGATGGGACCCTGAAAAAG</t>
  </si>
  <si>
    <t xml:space="preserve">CAACTTGCCGAAGAAACCGC</t>
  </si>
  <si>
    <t xml:space="preserve">TAGTCAACTTGCCGAAGAAACCGC</t>
  </si>
  <si>
    <t xml:space="preserve">AAACGCGGTTTCTTCGGCAAGTTG</t>
  </si>
  <si>
    <t xml:space="preserve">PSPPH_0834</t>
  </si>
  <si>
    <t xml:space="preserve">terA</t>
  </si>
  <si>
    <t xml:space="preserve">GTTGGCGCCTGGGACAAGTT</t>
  </si>
  <si>
    <t xml:space="preserve">TAGTGTTGGCGCCTGGGACAAGTT</t>
  </si>
  <si>
    <t xml:space="preserve">AAACAACTTGTCCCAGGCGCCAAC</t>
  </si>
  <si>
    <t xml:space="preserve">GTCAACGGACCGGCAGCGAC</t>
  </si>
  <si>
    <t xml:space="preserve">TAGTGTCAACGGACCGGCAGCGAC</t>
  </si>
  <si>
    <t xml:space="preserve">AAACGTCGCTGCCGGTCCGTTGAC</t>
  </si>
  <si>
    <t xml:space="preserve">GATATCCGCATCCGCCAGCG</t>
  </si>
  <si>
    <t xml:space="preserve">TAGTGATATCCGCATCCGCCAGCG</t>
  </si>
  <si>
    <t xml:space="preserve">AAACCGCTGGCGGATGCGGATATC</t>
  </si>
  <si>
    <t xml:space="preserve">CCTTGCCGGAGGCGGTCAGC</t>
  </si>
  <si>
    <t xml:space="preserve">TAGTCCTTGCCGGAGGCGGTCAGC</t>
  </si>
  <si>
    <t xml:space="preserve">AAACGCTGACCGCCTCCGGCAAGG</t>
  </si>
  <si>
    <t xml:space="preserve">PSPPH_0835</t>
  </si>
  <si>
    <t xml:space="preserve">terB</t>
  </si>
  <si>
    <t xml:space="preserve">CCACAGCTTCCATGAATTCG</t>
  </si>
  <si>
    <t xml:space="preserve">TAGTCCACAGCTTCCATGAATTCG</t>
  </si>
  <si>
    <t xml:space="preserve">AAACCGAATTCATGGAAGCTGTGG</t>
  </si>
  <si>
    <t xml:space="preserve">GGCCGATACCAGCGCACAGC</t>
  </si>
  <si>
    <t xml:space="preserve">TAGTGGCCGATACCAGCGCACAGC</t>
  </si>
  <si>
    <t xml:space="preserve">AAACGCTGTGCGCTGGTATCGGCC</t>
  </si>
  <si>
    <t xml:space="preserve">GGAGCTGATATCGCCGTCAG</t>
  </si>
  <si>
    <t xml:space="preserve">TAGTGGAGCTGATATCGCCGTCAG</t>
  </si>
  <si>
    <t xml:space="preserve">AAACCTGACGGCGATATCAGCTCC</t>
  </si>
  <si>
    <t xml:space="preserve">AGCCATTTTCTGCTTTTCAC</t>
  </si>
  <si>
    <t xml:space="preserve">TAGTAGCCATTTTCTGCTTTTCAC</t>
  </si>
  <si>
    <t xml:space="preserve">AAACGTGAAAAGCAGAAAATGGCT</t>
  </si>
  <si>
    <t xml:space="preserve">PSPPH_0836</t>
  </si>
  <si>
    <t xml:space="preserve">terC</t>
  </si>
  <si>
    <t xml:space="preserve">GAGTGGAGGGAAGCCTAGAG</t>
  </si>
  <si>
    <t xml:space="preserve">TAGTGAGTGGAGGGAAGCCTAGAG</t>
  </si>
  <si>
    <t xml:space="preserve">AAACCTCTAGGCTTCCCTCCACTC</t>
  </si>
  <si>
    <t xml:space="preserve">TAGCCATGGCCGTAATGGCC</t>
  </si>
  <si>
    <t xml:space="preserve">TAGTTAGCCATGGCCGTAATGGCC</t>
  </si>
  <si>
    <t xml:space="preserve">AAACGGCCATTACGGCCATGGCTA</t>
  </si>
  <si>
    <t xml:space="preserve">GATCGGCTTGTTTCCCCGGT</t>
  </si>
  <si>
    <t xml:space="preserve">TAGTGATCGGCTTGTTTCCCCGGT</t>
  </si>
  <si>
    <t xml:space="preserve">AAACACCGGGGAAACAAGCCGATC</t>
  </si>
  <si>
    <t xml:space="preserve">CCACGCCGAGGCTTGCGCGA</t>
  </si>
  <si>
    <t xml:space="preserve">TAGTCCACGCCGAGGCTTGCGCGA</t>
  </si>
  <si>
    <t xml:space="preserve">AAACTCGCGCAAGCCTCGGCGTGG</t>
  </si>
  <si>
    <t xml:space="preserve">PSPPH_0837</t>
  </si>
  <si>
    <t xml:space="preserve">terD</t>
  </si>
  <si>
    <t xml:space="preserve">GGTCGGTTTTCGACAGCGAA</t>
  </si>
  <si>
    <t xml:space="preserve">TAGTGGTCGGTTTTCGACAGCGAA</t>
  </si>
  <si>
    <t xml:space="preserve">AAACTTCGCTGTCGAAAACCGACC</t>
  </si>
  <si>
    <t xml:space="preserve">TCAGTACATTGGTCAGGGTA</t>
  </si>
  <si>
    <t xml:space="preserve">TAGTTCAGTACATTGGTCAGGGTA</t>
  </si>
  <si>
    <t xml:space="preserve">AAACTACCCTGACCAATGTACTGA</t>
  </si>
  <si>
    <t xml:space="preserve">TCCTGGCCGTCAGTGGCACG</t>
  </si>
  <si>
    <t xml:space="preserve">TAGTTCCTGGCCGTCAGTGGCACG</t>
  </si>
  <si>
    <t xml:space="preserve">AAACCGTGCCACTGACGGCCAGGA</t>
  </si>
  <si>
    <t xml:space="preserve">GCAGAAATGCGCTGGCGTCC</t>
  </si>
  <si>
    <t xml:space="preserve">TAGTGCAGAAATGCGCTGGCGTCC</t>
  </si>
  <si>
    <t xml:space="preserve">AAACGGACGCCAGCGCATTTCTGC</t>
  </si>
  <si>
    <t xml:space="preserve">PSPPH_0838</t>
  </si>
  <si>
    <t xml:space="preserve">terE</t>
  </si>
  <si>
    <t xml:space="preserve">ACGGTGATTTCTGTCAGGCC</t>
  </si>
  <si>
    <t xml:space="preserve">TAGTACGGTGATTTCTGTCAGGCC</t>
  </si>
  <si>
    <t xml:space="preserve">AAACGGCCTGACAGAAATCACCGT</t>
  </si>
  <si>
    <t xml:space="preserve">TCGGTGCCATCGGTAACACG</t>
  </si>
  <si>
    <t xml:space="preserve">TAGTTCGGTGCCATCGGTAACACG</t>
  </si>
  <si>
    <t xml:space="preserve">AAACCGTGTTACCGATGGCACCGA</t>
  </si>
  <si>
    <t xml:space="preserve">CGATGAAGACCGATGCGTCC</t>
  </si>
  <si>
    <t xml:space="preserve">TAGTCGATGAAGACCGATGCGTCC</t>
  </si>
  <si>
    <t xml:space="preserve">AAACGGACGCATCGGTCTTCATCG</t>
  </si>
  <si>
    <t xml:space="preserve">AAGGTGCTCGACCGAACCAT</t>
  </si>
  <si>
    <t xml:space="preserve">TAGTAAGGTGCTCGACCGAACCAT</t>
  </si>
  <si>
    <t xml:space="preserve">AAACATGGTTCGGTCGAGCACCTT</t>
  </si>
  <si>
    <t xml:space="preserve">PSPPH_0839</t>
  </si>
  <si>
    <t xml:space="preserve">CCCTGAATCAGGCTGGACAG</t>
  </si>
  <si>
    <t xml:space="preserve">TAGTCCCTGAATCAGGCTGGACAG</t>
  </si>
  <si>
    <t xml:space="preserve">AAACCTGTCCAGCCTGATTCAGGG</t>
  </si>
  <si>
    <t xml:space="preserve">GGACTTGATGGCAATCGACA</t>
  </si>
  <si>
    <t xml:space="preserve">TAGTGGACTTGATGGCAATCGACA</t>
  </si>
  <si>
    <t xml:space="preserve">AAACTGTCGATTGCCATCAAGTCC</t>
  </si>
  <si>
    <t xml:space="preserve">GACGTAATCAATGACCTGTG</t>
  </si>
  <si>
    <t xml:space="preserve">TAGTGACGTAATCAATGACCTGTG</t>
  </si>
  <si>
    <t xml:space="preserve">AAACCACAGGTCATTGATTACGTC</t>
  </si>
  <si>
    <t xml:space="preserve">GTCGTCCGACAGCTTGCCGT</t>
  </si>
  <si>
    <t xml:space="preserve">TAGTGTCGTCCGACAGCTTGCCGT</t>
  </si>
  <si>
    <t xml:space="preserve">AAACACGGCAAGCTGTCGGACGAC</t>
  </si>
  <si>
    <t xml:space="preserve">PSPPH_0840</t>
  </si>
  <si>
    <t xml:space="preserve">TCGGCGACGGCGCTTTCGCC</t>
  </si>
  <si>
    <t xml:space="preserve">TAGTTCGGCGACGGCGCTTTCGCC</t>
  </si>
  <si>
    <t xml:space="preserve">AAACGGCGAAAGCGCCGTCGCCGA</t>
  </si>
  <si>
    <t xml:space="preserve">GGTCTTGTACATCATCGCCC</t>
  </si>
  <si>
    <t xml:space="preserve">TAGTGGTCTTGTACATCATCGCCC</t>
  </si>
  <si>
    <t xml:space="preserve">AAACGGGCGATGATGTACAAGACC</t>
  </si>
  <si>
    <t xml:space="preserve">GGTTTCCATCTGCACGTCGC</t>
  </si>
  <si>
    <t xml:space="preserve">TAGTGGTTTCCATCTGCACGTCGC</t>
  </si>
  <si>
    <t xml:space="preserve">AAACGCGACGTGCAGATGGAAACC</t>
  </si>
  <si>
    <t xml:space="preserve">GTTGCTGCCGTCGCCGAAGA</t>
  </si>
  <si>
    <t xml:space="preserve">TAGTGTTGCTGCCGTCGCCGAAGA</t>
  </si>
  <si>
    <t xml:space="preserve">AAACTCTTCGGCGACGGCAGCAAC</t>
  </si>
  <si>
    <t xml:space="preserve">PSPPH_0841</t>
  </si>
  <si>
    <t xml:space="preserve">nadC</t>
  </si>
  <si>
    <t xml:space="preserve">AGGTCGGCAATTCGTAAATT</t>
  </si>
  <si>
    <t xml:space="preserve">TAGTAGGTCGGCAATTCGTAAATT</t>
  </si>
  <si>
    <t xml:space="preserve">AAACAATTTACGAATTGCCGACCT</t>
  </si>
  <si>
    <t xml:space="preserve">TGGCTTCGATCTCGGCGGTC</t>
  </si>
  <si>
    <t xml:space="preserve">TAGTTGGCTTCGATCTCGGCGGTC</t>
  </si>
  <si>
    <t xml:space="preserve">AAACGACCGCCGAGATCGAAGCCA</t>
  </si>
  <si>
    <t xml:space="preserve">AAACAATGCGCGGCGCACAT</t>
  </si>
  <si>
    <t xml:space="preserve">TAGTAAACAATGCGCGGCGCACAT</t>
  </si>
  <si>
    <t xml:space="preserve">AAACATGTGCGCCGCGCATTGTTT</t>
  </si>
  <si>
    <t xml:space="preserve">TTCCGCCGGAATCAATTGGG</t>
  </si>
  <si>
    <t xml:space="preserve">TAGTTTCCGCCGGAATCAATTGGG</t>
  </si>
  <si>
    <t xml:space="preserve">AAACCCCAATTGATTCCGGCGGAA</t>
  </si>
  <si>
    <t xml:space="preserve">PSPPH_0842</t>
  </si>
  <si>
    <t xml:space="preserve">GGCACTACTTTTTCGTCGTT</t>
  </si>
  <si>
    <t xml:space="preserve">TAGTGGCACTACTTTTTCGTCGTT</t>
  </si>
  <si>
    <t xml:space="preserve">AAACAACGACGAAAAAGTAGTGCC</t>
  </si>
  <si>
    <t xml:space="preserve">GCGGGGAGCAGTTTGCTCAA</t>
  </si>
  <si>
    <t xml:space="preserve">TAGTGCGGGGAGCAGTTTGCTCAA</t>
  </si>
  <si>
    <t xml:space="preserve">AAACTTGAGCAAACTGCTCCCCGC</t>
  </si>
  <si>
    <t xml:space="preserve">TAATCGGGCCAAAGGAGTAC</t>
  </si>
  <si>
    <t xml:space="preserve">TAGTTAATCGGGCCAAAGGAGTAC</t>
  </si>
  <si>
    <t xml:space="preserve">AAACGTACTCCTTTGGCCCGATTA</t>
  </si>
  <si>
    <t xml:space="preserve">CGGACCTGCAACAACACAAC</t>
  </si>
  <si>
    <t xml:space="preserve">TAGTCGGACCTGCAACAACACAAC</t>
  </si>
  <si>
    <t xml:space="preserve">AAACGTTGTGTTGTTGCAGGTCCG</t>
  </si>
  <si>
    <t xml:space="preserve">PSPPH_0843</t>
  </si>
  <si>
    <t xml:space="preserve">ampD</t>
  </si>
  <si>
    <t xml:space="preserve">CATCGCACCAGCCGCTTGCG</t>
  </si>
  <si>
    <t xml:space="preserve">TAGTCATCGCACCAGCCGCTTGCG</t>
  </si>
  <si>
    <t xml:space="preserve">AAACCGCAAGCGGCTGGTGCGATG</t>
  </si>
  <si>
    <t xml:space="preserve">GCGCATTGAAGTTGGGTGAA</t>
  </si>
  <si>
    <t xml:space="preserve">TAGTGCGCATTGAAGTTGGGTGAA</t>
  </si>
  <si>
    <t xml:space="preserve">AAACTTCACCCAACTTCAATGCGC</t>
  </si>
  <si>
    <t xml:space="preserve">AGCAGCGAGATTTCGCCCTC</t>
  </si>
  <si>
    <t xml:space="preserve">TAGTAGCAGCGAGATTTCGCCCTC</t>
  </si>
  <si>
    <t xml:space="preserve">AAACGAGGGCGAAATCTCGCTGCT</t>
  </si>
  <si>
    <t xml:space="preserve">CAGGCGGCAGACTGATGTTG</t>
  </si>
  <si>
    <t xml:space="preserve">TAGTCAGGCGGCAGACTGATGTTG</t>
  </si>
  <si>
    <t xml:space="preserve">AAACCAACATCAGTCTGCCGCCTG</t>
  </si>
  <si>
    <t xml:space="preserve">PSPPH_0844</t>
  </si>
  <si>
    <t xml:space="preserve">ampE</t>
  </si>
  <si>
    <t xml:space="preserve">CGAAAACTTCTCGACAAGAA</t>
  </si>
  <si>
    <t xml:space="preserve">TAGTCGAAAACTTCTCGACAAGAA</t>
  </si>
  <si>
    <t xml:space="preserve">AAACTTCTTGTCGAGAAGTTTTCG</t>
  </si>
  <si>
    <t xml:space="preserve">CTGGCCAGTTCCTTCAGCCA</t>
  </si>
  <si>
    <t xml:space="preserve">TAGTCTGGCCAGTTCCTTCAGCCA</t>
  </si>
  <si>
    <t xml:space="preserve">AAACTGGCTGAAGGAACTGGCCAG</t>
  </si>
  <si>
    <t xml:space="preserve">ACGTGTCGCCGTCCGCGGGC</t>
  </si>
  <si>
    <t xml:space="preserve">TAGTACGTGTCGCCGTCCGCGGGC</t>
  </si>
  <si>
    <t xml:space="preserve">AAACGCCCGCGGACGGCGACACGT</t>
  </si>
  <si>
    <t xml:space="preserve">AGCAGCGCCAGCATGACCCA</t>
  </si>
  <si>
    <t xml:space="preserve">TAGTAGCAGCGCCAGCATGACCCA</t>
  </si>
  <si>
    <t xml:space="preserve">AAACTGGGTCATGCTGGCGCTGCT</t>
  </si>
  <si>
    <t xml:space="preserve">PSPPH_0845</t>
  </si>
  <si>
    <t xml:space="preserve">CGCAAAGTCCAGGTGGGTGT</t>
  </si>
  <si>
    <t xml:space="preserve">TAGTCGCAAAGTCCAGGTGGGTGT</t>
  </si>
  <si>
    <t xml:space="preserve">AAACACACCCACCTGGACTTTGCG</t>
  </si>
  <si>
    <t xml:space="preserve">ATCCAGAACCTGGGCGCGGT</t>
  </si>
  <si>
    <t xml:space="preserve">TAGTATCCAGAACCTGGGCGCGGT</t>
  </si>
  <si>
    <t xml:space="preserve">AAACACCGCGCCCAGGTTCTGGAT</t>
  </si>
  <si>
    <t xml:space="preserve">TGCGCTGCACGCCGAGTGAC</t>
  </si>
  <si>
    <t xml:space="preserve">TAGTTGCGCTGCACGCCGAGTGAC</t>
  </si>
  <si>
    <t xml:space="preserve">AAACGTCACTCGGCGTGCAGCGCA</t>
  </si>
  <si>
    <t xml:space="preserve">GTGCAGGGCAGGGTTTGCTT</t>
  </si>
  <si>
    <t xml:space="preserve">TAGTGTGCAGGGCAGGGTTTGCTT</t>
  </si>
  <si>
    <t xml:space="preserve">AAACAAGCAAACCCTGCCCTGCAC</t>
  </si>
  <si>
    <t xml:space="preserve">PSPPH_0846</t>
  </si>
  <si>
    <t xml:space="preserve">fruR</t>
  </si>
  <si>
    <t xml:space="preserve">CTTGCCATTGATCACATAAC</t>
  </si>
  <si>
    <t xml:space="preserve">TAGTCTTGCCATTGATCACATAAC</t>
  </si>
  <si>
    <t xml:space="preserve">AAACGTTATGTGATCAATGGCAAG</t>
  </si>
  <si>
    <t xml:space="preserve">CGGGCTGATGCGTTGTTGTT</t>
  </si>
  <si>
    <t xml:space="preserve">TAGTCGGGCTGATGCGTTGTTGTT</t>
  </si>
  <si>
    <t xml:space="preserve">AAACAACAACAACGCATCAGCCCG</t>
  </si>
  <si>
    <t xml:space="preserve">TTGACGCGTTCGACCGTTGC</t>
  </si>
  <si>
    <t xml:space="preserve">TAGTTTGACGCGTTCGACCGTTGC</t>
  </si>
  <si>
    <t xml:space="preserve">AAACGCAACGGTCGAACGCGTCAA</t>
  </si>
  <si>
    <t xml:space="preserve">CCGCCGCTTGCGGGTTGGGT</t>
  </si>
  <si>
    <t xml:space="preserve">TAGTCCGCCGCTTGCGGGTTGGGT</t>
  </si>
  <si>
    <t xml:space="preserve">AAACACCCAACCCGCAAGCGGCGG</t>
  </si>
  <si>
    <t xml:space="preserve">PSPPH_0847</t>
  </si>
  <si>
    <t xml:space="preserve">ATCCACAGCCGACCGGGCCA</t>
  </si>
  <si>
    <t xml:space="preserve">TAGTATCCACAGCCGACCGGGCCA</t>
  </si>
  <si>
    <t xml:space="preserve">AAACTGGCCCGGTCGGCTGTGGAT</t>
  </si>
  <si>
    <t xml:space="preserve">GTCGGCAATCAGCTTAAGTG</t>
  </si>
  <si>
    <t xml:space="preserve">TAGTGTCGGCAATCAGCTTAAGTG</t>
  </si>
  <si>
    <t xml:space="preserve">AAACCACTTAAGCTGATTGCCGAC</t>
  </si>
  <si>
    <t xml:space="preserve">CCAGGCCATCAGCGACCAGG</t>
  </si>
  <si>
    <t xml:space="preserve">TAGTCCAGGCCATCAGCGACCAGG</t>
  </si>
  <si>
    <t xml:space="preserve">AAACCCTGGTCGCTGATGGCCTGG</t>
  </si>
  <si>
    <t xml:space="preserve">CAGCCCGGTGAGGTAGCCCT</t>
  </si>
  <si>
    <t xml:space="preserve">TAGTCAGCCCGGTGAGGTAGCCCT</t>
  </si>
  <si>
    <t xml:space="preserve">AAACAGGGCTACCTCACCGGGCTG</t>
  </si>
  <si>
    <t xml:space="preserve">PSPPH_0848</t>
  </si>
  <si>
    <t xml:space="preserve">fruK</t>
  </si>
  <si>
    <t xml:space="preserve">CAGCGCCGGGTTCATGGTCA</t>
  </si>
  <si>
    <t xml:space="preserve">TAGTCAGCGCCGGGTTCATGGTCA</t>
  </si>
  <si>
    <t xml:space="preserve">AAACTGACCATGAACCCGGCGCTG</t>
  </si>
  <si>
    <t xml:space="preserve">ACTGGCCCAACTGCACAGTC</t>
  </si>
  <si>
    <t xml:space="preserve">TAGTACTGGCCCAACTGCACAGTC</t>
  </si>
  <si>
    <t xml:space="preserve">AAACGACTGTGCAGTTGGGCCAGT</t>
  </si>
  <si>
    <t xml:space="preserve">TTGCATTGCTGCGGTTGACC</t>
  </si>
  <si>
    <t xml:space="preserve">TAGTTTGCATTGCTGCGGTTGACC</t>
  </si>
  <si>
    <t xml:space="preserve">AAACGGTCAACCGCAGCAATGCAA</t>
  </si>
  <si>
    <t xml:space="preserve">CCAGCACCTGCGCCACATTC</t>
  </si>
  <si>
    <t xml:space="preserve">TAGTCCAGCACCTGCGCCACATTC</t>
  </si>
  <si>
    <t xml:space="preserve">AAACGAATGTGGCGCAGGTGCTGG</t>
  </si>
  <si>
    <t xml:space="preserve">PSPPH_0849</t>
  </si>
  <si>
    <t xml:space="preserve">GTTCGGGCAGGCCGTAACTA</t>
  </si>
  <si>
    <t xml:space="preserve">TAGTGTTCGGGCAGGCCGTAACTA</t>
  </si>
  <si>
    <t xml:space="preserve">AAACTAGTTACGGCCTGCCCGAAC</t>
  </si>
  <si>
    <t xml:space="preserve">CGACGCTGGTTTCCCAGCCC</t>
  </si>
  <si>
    <t xml:space="preserve">TAGTCGACGCTGGTTTCCCAGCCC</t>
  </si>
  <si>
    <t xml:space="preserve">AAACGGGCTGGGAAACCAGCGTCG</t>
  </si>
  <si>
    <t xml:space="preserve">AACTGCTGGTCCGACTTGTT</t>
  </si>
  <si>
    <t xml:space="preserve">TAGTAACTGCTGGTCCGACTTGTT</t>
  </si>
  <si>
    <t xml:space="preserve">AAACAACAAGTCGGACCAGCAGTT</t>
  </si>
  <si>
    <t xml:space="preserve">GACCACCAGAACGAGGTCAG</t>
  </si>
  <si>
    <t xml:space="preserve">TAGTGACCACCAGAACGAGGTCAG</t>
  </si>
  <si>
    <t xml:space="preserve">AAACCTGACCTCGTTCTGGTGGTC</t>
  </si>
  <si>
    <t xml:space="preserve">PSPPH_0850</t>
  </si>
  <si>
    <t xml:space="preserve">phbA1</t>
  </si>
  <si>
    <t xml:space="preserve">GACGATAACGACGTCCTGCA</t>
  </si>
  <si>
    <t xml:space="preserve">TAGTGACGATAACGACGTCCTGCA</t>
  </si>
  <si>
    <t xml:space="preserve">AAACTGCAGGACGTCGTTATCGTC</t>
  </si>
  <si>
    <t xml:space="preserve">GCCGACGGCGGTACGGGTGG</t>
  </si>
  <si>
    <t xml:space="preserve">TAGTGCCGACGGCGGTACGGGTGG</t>
  </si>
  <si>
    <t xml:space="preserve">AAACCCACCCGTACCGCCGTCGGC</t>
  </si>
  <si>
    <t xml:space="preserve">GCCAAGATCTACAGCAGCAA</t>
  </si>
  <si>
    <t xml:space="preserve">TAGTGCCAAGATCTACAGCAGCAA</t>
  </si>
  <si>
    <t xml:space="preserve">AAACTTGCTGCTGTAGATCTTGGC</t>
  </si>
  <si>
    <t xml:space="preserve">GACTTGCGCGCCGTCCACGC</t>
  </si>
  <si>
    <t xml:space="preserve">TAGTGACTTGCGCGCCGTCCACGC</t>
  </si>
  <si>
    <t xml:space="preserve">AAACGCGTGGACGGCGCGCAAGTC</t>
  </si>
  <si>
    <t xml:space="preserve">PSPPH_0851</t>
  </si>
  <si>
    <t xml:space="preserve">CCTGGGTTTCGATACGGGTG</t>
  </si>
  <si>
    <t xml:space="preserve">TAGTCCTGGGTTTCGATACGGGTG</t>
  </si>
  <si>
    <t xml:space="preserve">AAACCACCCGTATCGAAACCCAGG</t>
  </si>
  <si>
    <t xml:space="preserve">GGCCCAGGGCCAGGCCGGTA</t>
  </si>
  <si>
    <t xml:space="preserve">TAGTGGCCCAGGGCCAGGCCGGTA</t>
  </si>
  <si>
    <t xml:space="preserve">AAACTACCGGCCTGGCCCTGGGCC</t>
  </si>
  <si>
    <t xml:space="preserve">TGGGGTTCTCCAGATCCAGC</t>
  </si>
  <si>
    <t xml:space="preserve">TAGTTGGGGTTCTCCAGATCCAGC</t>
  </si>
  <si>
    <t xml:space="preserve">AAACGCTGGATCTGGAGAACCCCA</t>
  </si>
  <si>
    <t xml:space="preserve">AAACAGACCGGGGTCGCCCT</t>
  </si>
  <si>
    <t xml:space="preserve">TAGTAAACAGACCGGGGTCGCCCT</t>
  </si>
  <si>
    <t xml:space="preserve">AAACAGGGCGACCCCGGTCTGTTT</t>
  </si>
  <si>
    <t xml:space="preserve">PSPPH_0852</t>
  </si>
  <si>
    <t xml:space="preserve">pgi</t>
  </si>
  <si>
    <t xml:space="preserve">CGGTCACATCGGAAGGATTG</t>
  </si>
  <si>
    <t xml:space="preserve">TAGTCGGTCACATCGGAAGGATTG</t>
  </si>
  <si>
    <t xml:space="preserve">AAACCAATCCTTCCGATGTGACCG</t>
  </si>
  <si>
    <t xml:space="preserve">CGCTTGCCAGGCGGGCAGAG</t>
  </si>
  <si>
    <t xml:space="preserve">TAGTCGCTTGCCAGGCGGGCAGAG</t>
  </si>
  <si>
    <t xml:space="preserve">AAACCTCTGCCCGCCTGGCAAGCG</t>
  </si>
  <si>
    <t xml:space="preserve">TGAAATTCTGCATGGACTGG</t>
  </si>
  <si>
    <t xml:space="preserve">TAGTTGAAATTCTGCATGGACTGG</t>
  </si>
  <si>
    <t xml:space="preserve">AAACCCAGTCCATGCAGAATTTCA</t>
  </si>
  <si>
    <t xml:space="preserve">GTGAATTGGCTGAAGCGCTG</t>
  </si>
  <si>
    <t xml:space="preserve">TAGTGTGAATTGGCTGAAGCGCTG</t>
  </si>
  <si>
    <t xml:space="preserve">AAACCAGCGCTTCAGCCAATTCAC</t>
  </si>
  <si>
    <t xml:space="preserve">PSPPH_0853</t>
  </si>
  <si>
    <t xml:space="preserve">panC</t>
  </si>
  <si>
    <t xml:space="preserve">GGCGGCACGCAGTTCCTGTA</t>
  </si>
  <si>
    <t xml:space="preserve">TAGTGGCGGCACGCAGTTCCTGTA</t>
  </si>
  <si>
    <t xml:space="preserve">AAACTACAGGAACTGCGTGCCGCC</t>
  </si>
  <si>
    <t xml:space="preserve">TTCGCTGCGTGCCCGCGCAA</t>
  </si>
  <si>
    <t xml:space="preserve">TAGTTTCGCTGCGTGCCCGCGCAA</t>
  </si>
  <si>
    <t xml:space="preserve">AAACTTGCGCGGGCACGCAGCGAA</t>
  </si>
  <si>
    <t xml:space="preserve">CTGTGCAGGTTGCCCATGGT</t>
  </si>
  <si>
    <t xml:space="preserve">TAGTCTGTGCAGGTTGCCCATGGT</t>
  </si>
  <si>
    <t xml:space="preserve">AAACACCATGGGCAACCTGCACAG</t>
  </si>
  <si>
    <t xml:space="preserve">CCTTGGCGACCAGTGCGGCG</t>
  </si>
  <si>
    <t xml:space="preserve">TAGTCCTTGGCGACCAGTGCGGCG</t>
  </si>
  <si>
    <t xml:space="preserve">AAACCGCCGCACTGGTCGCCAAGG</t>
  </si>
  <si>
    <t xml:space="preserve">PSPPH_0854</t>
  </si>
  <si>
    <t xml:space="preserve">panB</t>
  </si>
  <si>
    <t xml:space="preserve">AGCGACGTAACGGTTATGTT</t>
  </si>
  <si>
    <t xml:space="preserve">TAGTAGCGACGTAACGGTTATGTT</t>
  </si>
  <si>
    <t xml:space="preserve">AAACAACATAACCGTTACGTCGCT</t>
  </si>
  <si>
    <t xml:space="preserve">CTTCTCACCCTTCTGCTTCA</t>
  </si>
  <si>
    <t xml:space="preserve">TAGTCTTCTCACCCTTCTGCTTCA</t>
  </si>
  <si>
    <t xml:space="preserve">AAACTGAAGCAGAAGGGTGAGAAG</t>
  </si>
  <si>
    <t xml:space="preserve">TGCGTCGTAGCAGGTCAGCA</t>
  </si>
  <si>
    <t xml:space="preserve">TAGTTGCGTCGTAGCAGGTCAGCA</t>
  </si>
  <si>
    <t xml:space="preserve">AAACTGCTGACCTGCTACGACGCA</t>
  </si>
  <si>
    <t xml:space="preserve">CTGGGAGGCCGTGTGGGCGA</t>
  </si>
  <si>
    <t xml:space="preserve">TAGTCTGGGAGGCCGTGTGGGCGA</t>
  </si>
  <si>
    <t xml:space="preserve">AAACTCGCCCACACGGCCTCCCAG</t>
  </si>
  <si>
    <t xml:space="preserve">PSPPH_0855</t>
  </si>
  <si>
    <t xml:space="preserve">folK2</t>
  </si>
  <si>
    <t xml:space="preserve">ACGCGTTCAGTGGTCAACAG</t>
  </si>
  <si>
    <t xml:space="preserve">TAGTACGCGTTCAGTGGTCAACAG</t>
  </si>
  <si>
    <t xml:space="preserve">AAACCTGTTGACCACTGAACGCGT</t>
  </si>
  <si>
    <t xml:space="preserve">GGTCAGCAAGATTACTGCCC</t>
  </si>
  <si>
    <t xml:space="preserve">TAGTGGTCAGCAAGATTACTGCCC</t>
  </si>
  <si>
    <t xml:space="preserve">AAACGGGCAGTAATCTTGCTGACC</t>
  </si>
  <si>
    <t xml:space="preserve">CACCGCGCAATTGCTCAGCC</t>
  </si>
  <si>
    <t xml:space="preserve">TAGTCACCGCGCAATTGCTCAGCC</t>
  </si>
  <si>
    <t xml:space="preserve">AAACGGCTGAGCAATTGCGCGGTG</t>
  </si>
  <si>
    <t xml:space="preserve">TAGTTGTGCCATTGCCTTGA</t>
  </si>
  <si>
    <t xml:space="preserve">TAGTTAGTTGTGCCATTGCCTTGA</t>
  </si>
  <si>
    <t xml:space="preserve">AAACTCAAGGCAATGGCACAACTA</t>
  </si>
  <si>
    <t xml:space="preserve">PSPPH_0856</t>
  </si>
  <si>
    <t xml:space="preserve">pcnB</t>
  </si>
  <si>
    <t xml:space="preserve">GAATGACCGCATGATGGGCG</t>
  </si>
  <si>
    <t xml:space="preserve">TAGTGAATGACCGCATGATGGGCG</t>
  </si>
  <si>
    <t xml:space="preserve">AAACCGCCCATCATGCGGTCATTC</t>
  </si>
  <si>
    <t xml:space="preserve">GGAATATTCGGCCAAAAACG</t>
  </si>
  <si>
    <t xml:space="preserve">TAGTGGAATATTCGGCCAAAAACG</t>
  </si>
  <si>
    <t xml:space="preserve">AAACCGTTTTTGGCCGAATATTCC</t>
  </si>
  <si>
    <t xml:space="preserve">GCATGGGATGCACTGTTTGA</t>
  </si>
  <si>
    <t xml:space="preserve">TAGTGCATGGGATGCACTGTTTGA</t>
  </si>
  <si>
    <t xml:space="preserve">AAACTCAAACAGTGCATCCCATGC</t>
  </si>
  <si>
    <t xml:space="preserve">GCAGTGGGGAACGAAATGAC</t>
  </si>
  <si>
    <t xml:space="preserve">TAGTGCAGTGGGGAACGAAATGAC</t>
  </si>
  <si>
    <t xml:space="preserve">AAACGTCATTTCGTTCCCCACTGC</t>
  </si>
  <si>
    <t xml:space="preserve">PSPPH_0857</t>
  </si>
  <si>
    <t xml:space="preserve">TCTTCGACGATCAAAATATG</t>
  </si>
  <si>
    <t xml:space="preserve">TAGTTCTTCGACGATCAAAATATG</t>
  </si>
  <si>
    <t xml:space="preserve">AAACCATATTTTGATCGTCGAAGA</t>
  </si>
  <si>
    <t xml:space="preserve">GCAGGCGACGCAGGGCTGAG</t>
  </si>
  <si>
    <t xml:space="preserve">TAGTGCAGGCGACGCAGGGCTGAG</t>
  </si>
  <si>
    <t xml:space="preserve">AAACCTCAGCCCTGCGTCGCCTGC</t>
  </si>
  <si>
    <t xml:space="preserve">CTGAGCTTCCTGAACGGAGC</t>
  </si>
  <si>
    <t xml:space="preserve">TAGTCTGAGCTTCCTGAACGGAGC</t>
  </si>
  <si>
    <t xml:space="preserve">AAACGCTCCGTTCAGGAAGCTCAG</t>
  </si>
  <si>
    <t xml:space="preserve">CTGACGATCAGATCAAAAGA</t>
  </si>
  <si>
    <t xml:space="preserve">TAGTCTGACGATCAGATCAAAAGA</t>
  </si>
  <si>
    <t xml:space="preserve">AAACTCTTTTGATCTGATCGTCAG</t>
  </si>
  <si>
    <t xml:space="preserve">PSPPH_0858</t>
  </si>
  <si>
    <t xml:space="preserve">GAACAGCACCAGCAGGTAGG</t>
  </si>
  <si>
    <t xml:space="preserve">TAGTGAACAGCACCAGCAGGTAGG</t>
  </si>
  <si>
    <t xml:space="preserve">AAACCCTACCTGCTGGTGCTGTTC</t>
  </si>
  <si>
    <t xml:space="preserve">AAGGCCGTGCTCGCTGACCC</t>
  </si>
  <si>
    <t xml:space="preserve">TAGTAAGGCCGTGCTCGCTGACCC</t>
  </si>
  <si>
    <t xml:space="preserve">AAACGGGTCAGCGAGCACGGCCTT</t>
  </si>
  <si>
    <t xml:space="preserve">GGATGACGGATGATCCAGCG</t>
  </si>
  <si>
    <t xml:space="preserve">TAGTGGATGACGGATGATCCAGCG</t>
  </si>
  <si>
    <t xml:space="preserve">AAACCGCTGGATCATCCGTCATCC</t>
  </si>
  <si>
    <t xml:space="preserve">AGTGACAGGGTGTAGGTCAA</t>
  </si>
  <si>
    <t xml:space="preserve">TAGTAGTGACAGGGTGTAGGTCAA</t>
  </si>
  <si>
    <t xml:space="preserve">AAACTTGACCTACACCCTGTCACT</t>
  </si>
  <si>
    <t xml:space="preserve">PSPPH_0859</t>
  </si>
  <si>
    <t xml:space="preserve">CCACCAGAAGCAAAACCAAC</t>
  </si>
  <si>
    <t xml:space="preserve">TAGTCCACCAGAAGCAAAACCAAC</t>
  </si>
  <si>
    <t xml:space="preserve">AAACGTTGGTTTTGCTTCTGGTGG</t>
  </si>
  <si>
    <t xml:space="preserve">ATCCACCAGTCCATGATGGC</t>
  </si>
  <si>
    <t xml:space="preserve">TAGTATCCACCAGTCCATGATGGC</t>
  </si>
  <si>
    <t xml:space="preserve">AAACGCCATCATGGACTGGTGGAT</t>
  </si>
  <si>
    <t xml:space="preserve">GTAGGGGCGATACCAGGCAC</t>
  </si>
  <si>
    <t xml:space="preserve">TAGTGTAGGGGCGATACCAGGCAC</t>
  </si>
  <si>
    <t xml:space="preserve">AAACGTGCCTGGTATCGCCCCTAC</t>
  </si>
  <si>
    <t xml:space="preserve">GAATGAACGTCACCACGATC</t>
  </si>
  <si>
    <t xml:space="preserve">TAGTGAATGAACGTCACCACGATC</t>
  </si>
  <si>
    <t xml:space="preserve">AAACGATCGTGGTGACGTTCATTC</t>
  </si>
  <si>
    <t xml:space="preserve">PSPPH_0860</t>
  </si>
  <si>
    <t xml:space="preserve">CCGCGTTGCTCGTCCAAGAC</t>
  </si>
  <si>
    <t xml:space="preserve">TAGTCCGCGTTGCTCGTCCAAGAC</t>
  </si>
  <si>
    <t xml:space="preserve">AAACGTCTTGGACGAGCAACGCGG</t>
  </si>
  <si>
    <t xml:space="preserve">AAACGCGGTTGGTCTTCACG</t>
  </si>
  <si>
    <t xml:space="preserve">TAGTAAACGCGGTTGGTCTTCACG</t>
  </si>
  <si>
    <t xml:space="preserve">AAACCGTGAAGACCAACCGCGTTT</t>
  </si>
  <si>
    <t xml:space="preserve">TACGGGTGGCTAGCTTGAGT</t>
  </si>
  <si>
    <t xml:space="preserve">TAGTTACGGGTGGCTAGCTTGAGT</t>
  </si>
  <si>
    <t xml:space="preserve">AAACACTCAAGCTAGCCACCCGTA</t>
  </si>
  <si>
    <t xml:space="preserve">AGGCCGGTTTTTTCATGGGC</t>
  </si>
  <si>
    <t xml:space="preserve">TAGTAGGCCGGTTTTTTCATGGGC</t>
  </si>
  <si>
    <t xml:space="preserve">AAACGCCCATGAAAAAACCGGCCT</t>
  </si>
  <si>
    <t xml:space="preserve">PSPPH_0861</t>
  </si>
  <si>
    <t xml:space="preserve">dksA2</t>
  </si>
  <si>
    <t xml:space="preserve">CTGTGTTGCTTTTCTGGGGT</t>
  </si>
  <si>
    <t xml:space="preserve">TAGTCTGTGTTGCTTTTCTGGGGT</t>
  </si>
  <si>
    <t xml:space="preserve">AAACACCCCAGAAAAGCAACACAG</t>
  </si>
  <si>
    <t xml:space="preserve">GTGCAAAGCCGCCGATTAGA</t>
  </si>
  <si>
    <t xml:space="preserve">TAGTGTGCAAAGCCGCCGATTAGA</t>
  </si>
  <si>
    <t xml:space="preserve">AAACTCTAATCGGCGGCTTTGCAC</t>
  </si>
  <si>
    <t xml:space="preserve">TCACCCTTTGTTTCCGGGTA</t>
  </si>
  <si>
    <t xml:space="preserve">TAGTTCACCCTTTGTTTCCGGGTA</t>
  </si>
  <si>
    <t xml:space="preserve">AAACTACCCGGAAACAAAGGGTGA</t>
  </si>
  <si>
    <t xml:space="preserve">TTGGTGAAGTGCGCGCGCAT</t>
  </si>
  <si>
    <t xml:space="preserve">TAGTTTGGTGAAGTGCGCGCGCAT</t>
  </si>
  <si>
    <t xml:space="preserve">AAACATGCGCGCGCACTTCACCAA</t>
  </si>
  <si>
    <t xml:space="preserve">PSPPH_0862</t>
  </si>
  <si>
    <t xml:space="preserve">TGCACTGTAAGGCTGGGGCA</t>
  </si>
  <si>
    <t xml:space="preserve">TAGTTGCACTGTAAGGCTGGGGCA</t>
  </si>
  <si>
    <t xml:space="preserve">AAACTGCCCCAGCCTTACAGTGCA</t>
  </si>
  <si>
    <t xml:space="preserve">CATGACATGAAAAGGTTCGA</t>
  </si>
  <si>
    <t xml:space="preserve">TAGTCATGACATGAAAAGGTTCGA</t>
  </si>
  <si>
    <t xml:space="preserve">AAACTCGAACCTTTTCATGTCATG</t>
  </si>
  <si>
    <t xml:space="preserve">ACCCGCTGCCTGCAGTTCAT</t>
  </si>
  <si>
    <t xml:space="preserve">TAGTACCCGCTGCCTGCAGTTCAT</t>
  </si>
  <si>
    <t xml:space="preserve">AAACATGAACTGCAGGCAGCGGGT</t>
  </si>
  <si>
    <t xml:space="preserve">AATCGGGCTCGCCGATTTCA</t>
  </si>
  <si>
    <t xml:space="preserve">TAGTAATCGGGCTCGCCGATTTCA</t>
  </si>
  <si>
    <t xml:space="preserve">AAACTGAAATCGGCGAGCCCGATT</t>
  </si>
  <si>
    <t xml:space="preserve">PSPPH_0863</t>
  </si>
  <si>
    <t xml:space="preserve">sfsA</t>
  </si>
  <si>
    <t xml:space="preserve">AGGCGTCCCTGTTCAAGCTG</t>
  </si>
  <si>
    <t xml:space="preserve">TAGTAGGCGTCCCTGTTCAAGCTG</t>
  </si>
  <si>
    <t xml:space="preserve">AAACCAGCTTGAACAGGGACGCCT</t>
  </si>
  <si>
    <t xml:space="preserve">AGCGTTTGTAACGAATCAGC</t>
  </si>
  <si>
    <t xml:space="preserve">TAGTAGCGTTTGTAACGAATCAGC</t>
  </si>
  <si>
    <t xml:space="preserve">AAACGCTGATTCGTTACAAACGCT</t>
  </si>
  <si>
    <t xml:space="preserve">GGTCAACAGCTCGCCGCTGT</t>
  </si>
  <si>
    <t xml:space="preserve">TAGTGGTCAACAGCTCGCCGCTGT</t>
  </si>
  <si>
    <t xml:space="preserve">AAACACAGCGGCGAGCTGTTGACC</t>
  </si>
  <si>
    <t xml:space="preserve">ACCGGTGTTGGGGCAGTGAA</t>
  </si>
  <si>
    <t xml:space="preserve">TAGTACCGGTGTTGGGGCAGTGAA</t>
  </si>
  <si>
    <t xml:space="preserve">AAACTTCACTGCCCCAACACCGGT</t>
  </si>
  <si>
    <t xml:space="preserve">PSPPH_0864</t>
  </si>
  <si>
    <t xml:space="preserve">GCAAGTGACTTGAGGTGCAA</t>
  </si>
  <si>
    <t xml:space="preserve">TAGTGCAAGTGACTTGAGGTGCAA</t>
  </si>
  <si>
    <t xml:space="preserve">AAACTTGCACCTCAAGTCACTTGC</t>
  </si>
  <si>
    <t xml:space="preserve">TAGCTCGAAACCCCTGCTTT</t>
  </si>
  <si>
    <t xml:space="preserve">TAGTTAGCTCGAAACCCCTGCTTT</t>
  </si>
  <si>
    <t xml:space="preserve">AAACAAAGCAGGGGTTTCGAGCTA</t>
  </si>
  <si>
    <t xml:space="preserve">CGATACCGCGATGCGGGCAG</t>
  </si>
  <si>
    <t xml:space="preserve">TAGTCGATACCGCGATGCGGGCAG</t>
  </si>
  <si>
    <t xml:space="preserve">AAACCTGCCCGCATCGCGGTATCG</t>
  </si>
  <si>
    <t xml:space="preserve">TTGATCCGGCTGCCATTCCA</t>
  </si>
  <si>
    <t xml:space="preserve">TAGTTTGATCCGGCTGCCATTCCA</t>
  </si>
  <si>
    <t xml:space="preserve">AAACTGGAATGGCAGCCGGATCAA</t>
  </si>
  <si>
    <t xml:space="preserve">PSPPH_0865</t>
  </si>
  <si>
    <t xml:space="preserve">deoC</t>
  </si>
  <si>
    <t xml:space="preserve">ATCTGCTGTCATCTCTTTCA</t>
  </si>
  <si>
    <t xml:space="preserve">TAGTATCTGCTGTCATCTCTTTCA</t>
  </si>
  <si>
    <t xml:space="preserve">AAACTGAAAGAGATGACAGCAGAT</t>
  </si>
  <si>
    <t xml:space="preserve">CTCCGTATCGTCGGCATTGA</t>
  </si>
  <si>
    <t xml:space="preserve">TAGTCTCCGTATCGTCGGCATTGA</t>
  </si>
  <si>
    <t xml:space="preserve">AAACTCAATGCCGACGATACGGAG</t>
  </si>
  <si>
    <t xml:space="preserve">ACCGCGGCAACCTGCCCCAC</t>
  </si>
  <si>
    <t xml:space="preserve">TAGTACCGCGGCAACCTGCCCCAC</t>
  </si>
  <si>
    <t xml:space="preserve">AAACGTGGGGCAGGTTGCCGCGGT</t>
  </si>
  <si>
    <t xml:space="preserve">CGCGCCAGACACACGAAACG</t>
  </si>
  <si>
    <t xml:space="preserve">TAGTCGCGCCAGACACACGAAACG</t>
  </si>
  <si>
    <t xml:space="preserve">AAACCGTTTCGTGTGTCTGGCGCG</t>
  </si>
  <si>
    <t xml:space="preserve">PSPPH_0866</t>
  </si>
  <si>
    <t xml:space="preserve">GGGCTGGCTCATGATGGCCT</t>
  </si>
  <si>
    <t xml:space="preserve">TAGTGGGCTGGCTCATGATGGCCT</t>
  </si>
  <si>
    <t xml:space="preserve">AAACAGGCCATCATGAGCCAGCCC</t>
  </si>
  <si>
    <t xml:space="preserve">AGCGGTGAGTCGATCTGTTT</t>
  </si>
  <si>
    <t xml:space="preserve">TAGTAGCGGTGAGTCGATCTGTTT</t>
  </si>
  <si>
    <t xml:space="preserve">AAACAAACAGATCGACTCACCGCT</t>
  </si>
  <si>
    <t xml:space="preserve">ATGTCAATTGTGCCCGTCCG</t>
  </si>
  <si>
    <t xml:space="preserve">TAGTATGTCAATTGTGCCCGTCCG</t>
  </si>
  <si>
    <t xml:space="preserve">AAACCGGACGGGCACAATTGACAT</t>
  </si>
  <si>
    <t xml:space="preserve">CAGCCCTCGAAAGTCACCCC</t>
  </si>
  <si>
    <t xml:space="preserve">TAGTCAGCCCTCGAAAGTCACCCC</t>
  </si>
  <si>
    <t xml:space="preserve">AAACGGGGTGACTTTCGAGGGCTG</t>
  </si>
  <si>
    <t xml:space="preserve">PSPPH_0867</t>
  </si>
  <si>
    <t xml:space="preserve">AGGCTGCAAACCGCTGACTC</t>
  </si>
  <si>
    <t xml:space="preserve">TAGTAGGCTGCAAACCGCTGACTC</t>
  </si>
  <si>
    <t xml:space="preserve">AAACGAGTCAGCGGTTTGCAGCCT</t>
  </si>
  <si>
    <t xml:space="preserve">CATTATGGCCGCTTGGCGCG</t>
  </si>
  <si>
    <t xml:space="preserve">TAGTCATTATGGCCGCTTGGCGCG</t>
  </si>
  <si>
    <t xml:space="preserve">AAACCGCGCCAAGCGGCCATAATG</t>
  </si>
  <si>
    <t xml:space="preserve">TGGCTCACGGGCGATCCTTC</t>
  </si>
  <si>
    <t xml:space="preserve">TAGTTGGCTCACGGGCGATCCTTC</t>
  </si>
  <si>
    <t xml:space="preserve">AAACGAAGGATCGCCCGTGAGCCA</t>
  </si>
  <si>
    <t xml:space="preserve">GCAGGGCAGCGATCAAAGAC</t>
  </si>
  <si>
    <t xml:space="preserve">TAGTGCAGGGCAGCGATCAAAGAC</t>
  </si>
  <si>
    <t xml:space="preserve">AAACGTCTTTGATCGCTGCCCTGC</t>
  </si>
  <si>
    <t xml:space="preserve">PSPPH_0868</t>
  </si>
  <si>
    <t xml:space="preserve">TTTAGGAGAACGAGAGGTGC</t>
  </si>
  <si>
    <t xml:space="preserve">TAGTTTTAGGAGAACGAGAGGTGC</t>
  </si>
  <si>
    <t xml:space="preserve">AAACGCACCTCTCGTTCTCCTAAA</t>
  </si>
  <si>
    <t xml:space="preserve">CACTTGTTCAGGCTGCGAGG</t>
  </si>
  <si>
    <t xml:space="preserve">TAGTCACTTGTTCAGGCTGCGAGG</t>
  </si>
  <si>
    <t xml:space="preserve">AAACCCTCGCAGCCTGAACAAGTG</t>
  </si>
  <si>
    <t xml:space="preserve">CCAGGCCGCCCAGCAGAACC</t>
  </si>
  <si>
    <t xml:space="preserve">TAGTCCAGGCCGCCCAGCAGAACC</t>
  </si>
  <si>
    <t xml:space="preserve">AAACGGTTCTGCTGGGCGGCCTGG</t>
  </si>
  <si>
    <t xml:space="preserve">AACGATTGCATCGAGGTAAA</t>
  </si>
  <si>
    <t xml:space="preserve">TAGTAACGATTGCATCGAGGTAAA</t>
  </si>
  <si>
    <t xml:space="preserve">AAACTTTACCTCGATGCAATCGTT</t>
  </si>
  <si>
    <t xml:space="preserve">PSPPH_0869</t>
  </si>
  <si>
    <t xml:space="preserve">AAGGCCAGTGCCGTTAAAGC</t>
  </si>
  <si>
    <t xml:space="preserve">TAGTAAGGCCAGTGCCGTTAAAGC</t>
  </si>
  <si>
    <t xml:space="preserve">AAACGCTTTAACGGCACTGGCCTT</t>
  </si>
  <si>
    <t xml:space="preserve">AATCGAGCCGCGTTCCACAC</t>
  </si>
  <si>
    <t xml:space="preserve">TAGTAATCGAGCCGCGTTCCACAC</t>
  </si>
  <si>
    <t xml:space="preserve">AAACGTGTGGAACGCGGCTCGATT</t>
  </si>
  <si>
    <t xml:space="preserve">TTGGAGCTCGAATCCACGAC</t>
  </si>
  <si>
    <t xml:space="preserve">TAGTTTGGAGCTCGAATCCACGAC</t>
  </si>
  <si>
    <t xml:space="preserve">AAACGTCGTGGATTCGAGCTCCAA</t>
  </si>
  <si>
    <t xml:space="preserve">CGCTGCCGCGCGCTCGCCGT</t>
  </si>
  <si>
    <t xml:space="preserve">TAGTCGCTGCCGCGCGCTCGCCGT</t>
  </si>
  <si>
    <t xml:space="preserve">AAACACGGCGAGCGCGCGGCAGCG</t>
  </si>
  <si>
    <t xml:space="preserve">PSPPH_0870</t>
  </si>
  <si>
    <t xml:space="preserve">AGCAACTGCTCAGCCACCTC</t>
  </si>
  <si>
    <t xml:space="preserve">TAGTAGCAACTGCTCAGCCACCTC</t>
  </si>
  <si>
    <t xml:space="preserve">AAACGAGGTGGCTGAGCAGTTGCT</t>
  </si>
  <si>
    <t xml:space="preserve">GCAAGCGCCTGCTCGCTGGG</t>
  </si>
  <si>
    <t xml:space="preserve">TAGTGCAAGCGCCTGCTCGCTGGG</t>
  </si>
  <si>
    <t xml:space="preserve">AAACCCCAGCGAGCAGGCGCTTGC</t>
  </si>
  <si>
    <t xml:space="preserve">TCGAGCGTATCGACGCTGAA</t>
  </si>
  <si>
    <t xml:space="preserve">TAGTTCGAGCGTATCGACGCTGAA</t>
  </si>
  <si>
    <t xml:space="preserve">AAACTTCAGCGTCGATACGCTCGA</t>
  </si>
  <si>
    <t xml:space="preserve">GGATGACTTTCATGCGCGGC</t>
  </si>
  <si>
    <t xml:space="preserve">TAGTGGATGACTTTCATGCGCGGC</t>
  </si>
  <si>
    <t xml:space="preserve">AAACGCCGCGCATGAAAGTCATCC</t>
  </si>
  <si>
    <t xml:space="preserve">PSPPH_0871</t>
  </si>
  <si>
    <t xml:space="preserve">TGTGCTGAGGGCCAGTGCGG</t>
  </si>
  <si>
    <t xml:space="preserve">TAGTTGTGCTGAGGGCCAGTGCGG</t>
  </si>
  <si>
    <t xml:space="preserve">AAACCCGCACTGGCCCTCAGCACA</t>
  </si>
  <si>
    <t xml:space="preserve">ATAGATTGAGGCGGCCTGGC</t>
  </si>
  <si>
    <t xml:space="preserve">TAGTATAGATTGAGGCGGCCTGGC</t>
  </si>
  <si>
    <t xml:space="preserve">AAACGCCAGGCCGCCTCAATCTAT</t>
  </si>
  <si>
    <t xml:space="preserve">TGCACCTGCTGGCCGGTGGG</t>
  </si>
  <si>
    <t xml:space="preserve">TAGTTGCACCTGCTGGCCGGTGGG</t>
  </si>
  <si>
    <t xml:space="preserve">AAACCCCACCGGCCAGCAGGTGCA</t>
  </si>
  <si>
    <t xml:space="preserve">CTGGGCGCAGAGGCAGGCGG</t>
  </si>
  <si>
    <t xml:space="preserve">TAGTCTGGGCGCAGAGGCAGGCGG</t>
  </si>
  <si>
    <t xml:space="preserve">AAACCCGCCTGCCTCTGCGCCCAG</t>
  </si>
  <si>
    <t xml:space="preserve">PSPPH_0872</t>
  </si>
  <si>
    <t xml:space="preserve">ilvB</t>
  </si>
  <si>
    <t xml:space="preserve">CGCCTTCGTCACGCAAAAAG</t>
  </si>
  <si>
    <t xml:space="preserve">TAGTCGCCTTCGTCACGCAAAAAG</t>
  </si>
  <si>
    <t xml:space="preserve">AAACCTTTTTGCGTGACGAAGGCG</t>
  </si>
  <si>
    <t xml:space="preserve">CATGCAGGAGAGCACCACCC</t>
  </si>
  <si>
    <t xml:space="preserve">TAGTCATGCAGGAGAGCACCACCC</t>
  </si>
  <si>
    <t xml:space="preserve">AAACGGGTGGTGCTCTCCTGCATG</t>
  </si>
  <si>
    <t xml:space="preserve">TACCGCCGGTTCTTTGAACA</t>
  </si>
  <si>
    <t xml:space="preserve">TAGTTACCGCCGGTTCTTTGAACA</t>
  </si>
  <si>
    <t xml:space="preserve">AAACTGTTCAAAGAACCGGCGGTA</t>
  </si>
  <si>
    <t xml:space="preserve">GCTCATGGCGAACAAGGATA</t>
  </si>
  <si>
    <t xml:space="preserve">TAGTGCTCATGGCGAACAAGGATA</t>
  </si>
  <si>
    <t xml:space="preserve">AAACTATCCTTGTTCGCCATGAGC</t>
  </si>
  <si>
    <t xml:space="preserve">PSPPH_0873</t>
  </si>
  <si>
    <t xml:space="preserve">ilvN</t>
  </si>
  <si>
    <t xml:space="preserve">CCAGCAGCAGGGAAATGATA</t>
  </si>
  <si>
    <t xml:space="preserve">TAGTCCAGCAGCAGGGAAATGATA</t>
  </si>
  <si>
    <t xml:space="preserve">AAACTATCATTTCCCTGCTGCTGG</t>
  </si>
  <si>
    <t xml:space="preserve">ACGACGCGAGACAATGCACC</t>
  </si>
  <si>
    <t xml:space="preserve">TAGTACGACGCGAGACAATGCACC</t>
  </si>
  <si>
    <t xml:space="preserve">AAACGGTGCATTGTCTCGCGTCGT</t>
  </si>
  <si>
    <t xml:space="preserve">TTCGATGTTGTAGTTGCGCT</t>
  </si>
  <si>
    <t xml:space="preserve">TAGTTTCGATGTTGTAGTTGCGCT</t>
  </si>
  <si>
    <t xml:space="preserve">AAACAGCGCAACTACAACATCGAA</t>
  </si>
  <si>
    <t xml:space="preserve">CTTCGGTCGGCGCAACCGTC</t>
  </si>
  <si>
    <t xml:space="preserve">TAGTCTTCGGTCGGCGCAACCGTC</t>
  </si>
  <si>
    <t xml:space="preserve">AAACGACGGTTGCGCCGACCGAAG</t>
  </si>
  <si>
    <t xml:space="preserve">PSPPH_0874</t>
  </si>
  <si>
    <t xml:space="preserve">ilvC</t>
  </si>
  <si>
    <t xml:space="preserve">TTTGTCGTAGAAAACTTTCA</t>
  </si>
  <si>
    <t xml:space="preserve">TAGTTTTGTCGTAGAAAACTTTCA</t>
  </si>
  <si>
    <t xml:space="preserve">AAACTGAAAGTTTTCTACGACAAA</t>
  </si>
  <si>
    <t xml:space="preserve">TCTTGCCCTGGATGATCGAA</t>
  </si>
  <si>
    <t xml:space="preserve">TAGTTCTTGCCCTGGATGATCGAA</t>
  </si>
  <si>
    <t xml:space="preserve">AAACTTCGATCATCCAGGGCAAGA</t>
  </si>
  <si>
    <t xml:space="preserve">TTGCGAACCGTAACCGATGA</t>
  </si>
  <si>
    <t xml:space="preserve">TAGTTTGCGAACCGTAACCGATGA</t>
  </si>
  <si>
    <t xml:space="preserve">AAACTCATCGGTTACGGTTCGCAA</t>
  </si>
  <si>
    <t xml:space="preserve">TCAGGTTGCACGCTTGAGCG</t>
  </si>
  <si>
    <t xml:space="preserve">TAGTTCAGGTTGCACGCTTGAGCG</t>
  </si>
  <si>
    <t xml:space="preserve">AAACCGCTCAAGCGTGCAACCTGA</t>
  </si>
  <si>
    <t xml:space="preserve">PSPPH_0875</t>
  </si>
  <si>
    <t xml:space="preserve">pssA1</t>
  </si>
  <si>
    <t xml:space="preserve">CTCCTCGGGACGTTCGCTCA</t>
  </si>
  <si>
    <t xml:space="preserve">TAGTCTCCTCGGGACGTTCGCTCA</t>
  </si>
  <si>
    <t xml:space="preserve">AAACTGAGCGAACGTCCCGAGGAG</t>
  </si>
  <si>
    <t xml:space="preserve">TCAGCGTCGGAGGCCTTGTT</t>
  </si>
  <si>
    <t xml:space="preserve">TAGTTCAGCGTCGGAGGCCTTGTT</t>
  </si>
  <si>
    <t xml:space="preserve">AAACAACAAGGCCTCCGACGCTGA</t>
  </si>
  <si>
    <t xml:space="preserve">TCTTCCACATGTTCATCGAT</t>
  </si>
  <si>
    <t xml:space="preserve">TAGTTCTTCCACATGTTCATCGAT</t>
  </si>
  <si>
    <t xml:space="preserve">AAACATCGATGAACATGTGGAAGA</t>
  </si>
  <si>
    <t xml:space="preserve">ATGCCGGACCTGCCGGCCTT</t>
  </si>
  <si>
    <t xml:space="preserve">TAGTATGCCGGACCTGCCGGCCTT</t>
  </si>
  <si>
    <t xml:space="preserve">AAACAAGGCCGGCAGGTCCGGCAT</t>
  </si>
  <si>
    <t xml:space="preserve">PSPPH_0876</t>
  </si>
  <si>
    <t xml:space="preserve">TCTTTGGAGTCGGACGAAGA</t>
  </si>
  <si>
    <t xml:space="preserve">TAGTTCTTTGGAGTCGGACGAAGA</t>
  </si>
  <si>
    <t xml:space="preserve">AAACTCTTCGTCCGACTCCAAAGA</t>
  </si>
  <si>
    <t xml:space="preserve">CGCGAGAGATAGATGGATTC</t>
  </si>
  <si>
    <t xml:space="preserve">TAGTCGCGAGAGATAGATGGATTC</t>
  </si>
  <si>
    <t xml:space="preserve">AAACGAATCCATCTATCTCTCGCG</t>
  </si>
  <si>
    <t xml:space="preserve">CCAGCGTGGCAGTGCCGTGA</t>
  </si>
  <si>
    <t xml:space="preserve">TAGTCCAGCGTGGCAGTGCCGTGA</t>
  </si>
  <si>
    <t xml:space="preserve">AAACTCACGGCACTGCCACGCTGG</t>
  </si>
  <si>
    <t xml:space="preserve">AACCAGCCCGGCGCTTTCCC</t>
  </si>
  <si>
    <t xml:space="preserve">TAGTAACCAGCCCGGCGCTTTCCC</t>
  </si>
  <si>
    <t xml:space="preserve">AAACGGGAAAGCGCCGGGCTGGTT</t>
  </si>
  <si>
    <t xml:space="preserve">PSPPH_0877</t>
  </si>
  <si>
    <t xml:space="preserve">ATACAGCCAGACGCCAGAAC</t>
  </si>
  <si>
    <t xml:space="preserve">TAGTATACAGCCAGACGCCAGAAC</t>
  </si>
  <si>
    <t xml:space="preserve">AAACGTTCTGGCGTCTGGCTGTAT</t>
  </si>
  <si>
    <t xml:space="preserve">CCAGACCGGCGCAACGCACG</t>
  </si>
  <si>
    <t xml:space="preserve">TAGTCCAGACCGGCGCAACGCACG</t>
  </si>
  <si>
    <t xml:space="preserve">AAACCGTGCGTTGCGCCGGTCTGG</t>
  </si>
  <si>
    <t xml:space="preserve">CTTGCCCGGATCAGGCCCCA</t>
  </si>
  <si>
    <t xml:space="preserve">TAGTCTTGCCCGGATCAGGCCCCA</t>
  </si>
  <si>
    <t xml:space="preserve">AAACTGGGGCCTGATCCGGGCAAG</t>
  </si>
  <si>
    <t xml:space="preserve">CAGACGCTGCAAAGGGGTCA</t>
  </si>
  <si>
    <t xml:space="preserve">TAGTCAGACGCTGCAAAGGGGTCA</t>
  </si>
  <si>
    <t xml:space="preserve">AAACTGACCCCTTTGCAGCGTCTG</t>
  </si>
  <si>
    <t xml:space="preserve">PSPPH_0883</t>
  </si>
  <si>
    <t xml:space="preserve">CTCCGTGTCGCCAGCTTTTG</t>
  </si>
  <si>
    <t xml:space="preserve">TAGTCTCCGTGTCGCCAGCTTTTG</t>
  </si>
  <si>
    <t xml:space="preserve">AAACCAAAAGCTGGCGACACGGAG</t>
  </si>
  <si>
    <t xml:space="preserve">GCTGTTGATGCCTGCTGTGT</t>
  </si>
  <si>
    <t xml:space="preserve">TAGTGCTGTTGATGCCTGCTGTGT</t>
  </si>
  <si>
    <t xml:space="preserve">AAACACACAGCAGGCATCAACAGC</t>
  </si>
  <si>
    <t xml:space="preserve">GGCATTGACGGTGTCTGTAC</t>
  </si>
  <si>
    <t xml:space="preserve">TAGTGGCATTGACGGTGTCTGTAC</t>
  </si>
  <si>
    <t xml:space="preserve">AAACGTACAGACACCGTCAATGCC</t>
  </si>
  <si>
    <t xml:space="preserve">GCCGCTGTTGTTCAGGGTGA</t>
  </si>
  <si>
    <t xml:space="preserve">TAGTGCCGCTGTTGTTCAGGGTGA</t>
  </si>
  <si>
    <t xml:space="preserve">AAACTCACCCTGAACAACAGCGGC</t>
  </si>
  <si>
    <t xml:space="preserve">PSPPH_0884</t>
  </si>
  <si>
    <t xml:space="preserve">GGCGGATGCCATAACGTTCC</t>
  </si>
  <si>
    <t xml:space="preserve">TAGTGGCGGATGCCATAACGTTCC</t>
  </si>
  <si>
    <t xml:space="preserve">AAACGGAACGTTATGGCATCCGCC</t>
  </si>
  <si>
    <t xml:space="preserve">CGGTGTTCAACAGGGCAAAG</t>
  </si>
  <si>
    <t xml:space="preserve">TAGTCGGTGTTCAACAGGGCAAAG</t>
  </si>
  <si>
    <t xml:space="preserve">AAACCTTTGCCCTGTTGAACACCG</t>
  </si>
  <si>
    <t xml:space="preserve">CAGGCCGAGGCTGTAACCGG</t>
  </si>
  <si>
    <t xml:space="preserve">TAGTCAGGCCGAGGCTGTAACCGG</t>
  </si>
  <si>
    <t xml:space="preserve">AAACCCGGTTACAGCCTCGGCCTG</t>
  </si>
  <si>
    <t xml:space="preserve">ACCGACAGCGGGTTTTCCAG</t>
  </si>
  <si>
    <t xml:space="preserve">TAGTACCGACAGCGGGTTTTCCAG</t>
  </si>
  <si>
    <t xml:space="preserve">AAACCTGGAAAACCCGCTGTCGGT</t>
  </si>
  <si>
    <t xml:space="preserve">PSPPH_0885</t>
  </si>
  <si>
    <t xml:space="preserve">CGGCGCGAGCTGGGACATTT</t>
  </si>
  <si>
    <t xml:space="preserve">TAGTCGGCGCGAGCTGGGACATTT</t>
  </si>
  <si>
    <t xml:space="preserve">AAACAAATGTCCCAGCTCGCGCCG</t>
  </si>
  <si>
    <t xml:space="preserve">TTGAACAGCTCGCGAAAGAT</t>
  </si>
  <si>
    <t xml:space="preserve">TAGTTTGAACAGCTCGCGAAAGAT</t>
  </si>
  <si>
    <t xml:space="preserve">AAACATCTTTCGCGAGCTGTTCAA</t>
  </si>
  <si>
    <t xml:space="preserve">CATACAGCTCCGGGTCACGG</t>
  </si>
  <si>
    <t xml:space="preserve">TAGTCATACAGCTCCGGGTCACGG</t>
  </si>
  <si>
    <t xml:space="preserve">AAACCCGTGACCCGGAGCTGTATG</t>
  </si>
  <si>
    <t xml:space="preserve">GTCCTGGCAGTTGGAGAGTT</t>
  </si>
  <si>
    <t xml:space="preserve">TAGTGTCCTGGCAGTTGGAGAGTT</t>
  </si>
  <si>
    <t xml:space="preserve">AAACAACTCTCCAACTGCCAGGAC</t>
  </si>
  <si>
    <t xml:space="preserve">PSPPH_0886</t>
  </si>
  <si>
    <t xml:space="preserve">AGGGCGCGCAGGACGCGCTT</t>
  </si>
  <si>
    <t xml:space="preserve">TAGTAGGGCGCGCAGGACGCGCTT</t>
  </si>
  <si>
    <t xml:space="preserve">AAACAAGCGCGTCCTGCGCGCCCT</t>
  </si>
  <si>
    <t xml:space="preserve">GTAGCGCCCAGTGCTCGGCA</t>
  </si>
  <si>
    <t xml:space="preserve">TAGTGTAGCGCCCAGTGCTCGGCA</t>
  </si>
  <si>
    <t xml:space="preserve">AAACTGCCGAGCACTGGGCGCTAC</t>
  </si>
  <si>
    <t xml:space="preserve">TGGTCGAAGTGTTCGCATAA</t>
  </si>
  <si>
    <t xml:space="preserve">TAGTTGGTCGAAGTGTTCGCATAA</t>
  </si>
  <si>
    <t xml:space="preserve">AAACTTATGCGAACACTTCGACCA</t>
  </si>
  <si>
    <t xml:space="preserve">CGCTCAGGCTCAACGTACCC</t>
  </si>
  <si>
    <t xml:space="preserve">TAGTCGCTCAGGCTCAACGTACCC</t>
  </si>
  <si>
    <t xml:space="preserve">AAACGGGTACGTTGAGCCTGAGCG</t>
  </si>
  <si>
    <t xml:space="preserve">PSPPH_0887</t>
  </si>
  <si>
    <t xml:space="preserve">CGACGGGACTCGTTGAGCAA</t>
  </si>
  <si>
    <t xml:space="preserve">TAGTCGACGGGACTCGTTGAGCAA</t>
  </si>
  <si>
    <t xml:space="preserve">AAACTTGCTCAACGAGTCCCGTCG</t>
  </si>
  <si>
    <t xml:space="preserve">GCATGGCGGTCAAATAAGCG</t>
  </si>
  <si>
    <t xml:space="preserve">TAGTGCATGGCGGTCAAATAAGCG</t>
  </si>
  <si>
    <t xml:space="preserve">AAACCGCTTATTTGACCGCCATGC</t>
  </si>
  <si>
    <t xml:space="preserve">GCGAATGGCAGTTCTGTGCG</t>
  </si>
  <si>
    <t xml:space="preserve">TAGTGCGAATGGCAGTTCTGTGCG</t>
  </si>
  <si>
    <t xml:space="preserve">AAACCGCACAGAACTGCCATTCGC</t>
  </si>
  <si>
    <t xml:space="preserve">GCAAGCAGCTCCGGACGCGA</t>
  </si>
  <si>
    <t xml:space="preserve">TAGTGCAAGCAGCTCCGGACGCGA</t>
  </si>
  <si>
    <t xml:space="preserve">AAACTCGCGTCCGGAGCTGCTTGC</t>
  </si>
  <si>
    <t xml:space="preserve">PSPPH_0888</t>
  </si>
  <si>
    <t xml:space="preserve">rimI</t>
  </si>
  <si>
    <t xml:space="preserve">GGTCATGGGGCGGAAGGTTA</t>
  </si>
  <si>
    <t xml:space="preserve">TAGTGGTCATGGGGCGGAAGGTTA</t>
  </si>
  <si>
    <t xml:space="preserve">AAACTAACCTTCCGCCCCATGACC</t>
  </si>
  <si>
    <t xml:space="preserve">TACCGCATCCATGTCGGCTT</t>
  </si>
  <si>
    <t xml:space="preserve">TAGTTACCGCATCCATGTCGGCTT</t>
  </si>
  <si>
    <t xml:space="preserve">AAACAAGCCGACATGGATGCGGTA</t>
  </si>
  <si>
    <t xml:space="preserve">AGATGCCGCGTGTCCAGGGA</t>
  </si>
  <si>
    <t xml:space="preserve">TAGTAGATGCCGCGTGTCCAGGGA</t>
  </si>
  <si>
    <t xml:space="preserve">AAACTCCCTGGACACGCGGCATCT</t>
  </si>
  <si>
    <t xml:space="preserve">GCCAGATCTCGTAGGACTTG</t>
  </si>
  <si>
    <t xml:space="preserve">TAGTGCCAGATCTCGTAGGACTTG</t>
  </si>
  <si>
    <t xml:space="preserve">AAACCAAGTCCTACGAGATCTGGC</t>
  </si>
  <si>
    <t xml:space="preserve">PSPPH_0889</t>
  </si>
  <si>
    <t xml:space="preserve">GGACGGCGTGAATCGTTCAT</t>
  </si>
  <si>
    <t xml:space="preserve">TAGTGGACGGCGTGAATCGTTCAT</t>
  </si>
  <si>
    <t xml:space="preserve">AAACATGAACGATTCACGCCGTCC</t>
  </si>
  <si>
    <t xml:space="preserve">TCCGGTTCGGTAGCACAGAA</t>
  </si>
  <si>
    <t xml:space="preserve">TAGTTCCGGTTCGGTAGCACAGAA</t>
  </si>
  <si>
    <t xml:space="preserve">AAACTTCTGTGCTACCGAACCGGA</t>
  </si>
  <si>
    <t xml:space="preserve">CGGTCTTCGTTATCGTCGAT</t>
  </si>
  <si>
    <t xml:space="preserve">TAGTCGGTCTTCGTTATCGTCGAT</t>
  </si>
  <si>
    <t xml:space="preserve">AAACATCGACGATAACGAAGACCG</t>
  </si>
  <si>
    <t xml:space="preserve">GTGTTTCCATGGAGCCCATA</t>
  </si>
  <si>
    <t xml:space="preserve">TAGTGTGTTTCCATGGAGCCCATA</t>
  </si>
  <si>
    <t xml:space="preserve">AAACTATGGGCTCCATGGAAACAC</t>
  </si>
  <si>
    <t xml:space="preserve">PSPPH_0890</t>
  </si>
  <si>
    <t xml:space="preserve">AGCGTGCATTGTTATCAATC</t>
  </si>
  <si>
    <t xml:space="preserve">TAGTAGCGTGCATTGTTATCAATC</t>
  </si>
  <si>
    <t xml:space="preserve">AAACGATTGATAACAATGCACGCT</t>
  </si>
  <si>
    <t xml:space="preserve">GTCTTCCTGCTTTATCGCAT</t>
  </si>
  <si>
    <t xml:space="preserve">TAGTGTCTTCCTGCTTTATCGCAT</t>
  </si>
  <si>
    <t xml:space="preserve">AAACATGCGATAAAGCAGGAAGAC</t>
  </si>
  <si>
    <t xml:space="preserve">CCAGCTTGGCGAAAAACTCT</t>
  </si>
  <si>
    <t xml:space="preserve">TAGTCCAGCTTGGCGAAAAACTCT</t>
  </si>
  <si>
    <t xml:space="preserve">AAACAGAGTTTTTCGCCAAGCTGG</t>
  </si>
  <si>
    <t xml:space="preserve">GAACTCAGGTGTTTGCTGGC</t>
  </si>
  <si>
    <t xml:space="preserve">TAGTGAACTCAGGTGTTTGCTGGC</t>
  </si>
  <si>
    <t xml:space="preserve">AAACGCCAGCAAACACCTGAGTTC</t>
  </si>
  <si>
    <t xml:space="preserve">PSPPH_0891</t>
  </si>
  <si>
    <t xml:space="preserve">ACGAGGCATAAATCTTTTCA</t>
  </si>
  <si>
    <t xml:space="preserve">TAGTACGAGGCATAAATCTTTTCA</t>
  </si>
  <si>
    <t xml:space="preserve">AAACTGAAAAGATTTATGCCTCGT</t>
  </si>
  <si>
    <t xml:space="preserve">GCGTTGTGGATTGCCGACGC</t>
  </si>
  <si>
    <t xml:space="preserve">TAGTGCGTTGTGGATTGCCGACGC</t>
  </si>
  <si>
    <t xml:space="preserve">AAACGCGTCGGCAATCCACAACGC</t>
  </si>
  <si>
    <t xml:space="preserve">CTGAAGCGGCGCAATAGTGT</t>
  </si>
  <si>
    <t xml:space="preserve">TAGTCTGAAGCGGCGCAATAGTGT</t>
  </si>
  <si>
    <t xml:space="preserve">AAACACACTATTGCGCCGCTTCAG</t>
  </si>
  <si>
    <t xml:space="preserve">GAAACAGATCACCAGGCGCA</t>
  </si>
  <si>
    <t xml:space="preserve">TAGTGAAACAGATCACCAGGCGCA</t>
  </si>
  <si>
    <t xml:space="preserve">AAACTGCGCCTGGTGATCTGTTTC</t>
  </si>
  <si>
    <t xml:space="preserve">PSPPH_0892</t>
  </si>
  <si>
    <t xml:space="preserve">AAACGGGGCGAAGCTGGCGG</t>
  </si>
  <si>
    <t xml:space="preserve">TAGTAAACGGGGCGAAGCTGGCGG</t>
  </si>
  <si>
    <t xml:space="preserve">AAACCCGCCAGCTTCGCCCCGTTT</t>
  </si>
  <si>
    <t xml:space="preserve">AGTATGCGGGATCAGCAGGC</t>
  </si>
  <si>
    <t xml:space="preserve">TAGTAGTATGCGGGATCAGCAGGC</t>
  </si>
  <si>
    <t xml:space="preserve">AAACGCCTGCTGATCCCGCATACT</t>
  </si>
  <si>
    <t xml:space="preserve">GCCGCCTTCCCGGTCACGGA</t>
  </si>
  <si>
    <t xml:space="preserve">TAGTGCCGCCTTCCCGGTCACGGA</t>
  </si>
  <si>
    <t xml:space="preserve">AAACTCCGTGACCGGGAAGGCGGC</t>
  </si>
  <si>
    <t xml:space="preserve">CGTGGCGGCGATCAGTACGC</t>
  </si>
  <si>
    <t xml:space="preserve">TAGTCGTGGCGGCGATCAGTACGC</t>
  </si>
  <si>
    <t xml:space="preserve">AAACGCGTACTGATCGCCGCCACG</t>
  </si>
  <si>
    <t xml:space="preserve">PSPPH_0893</t>
  </si>
  <si>
    <t xml:space="preserve">CCTGGCTGGCGTGCATGCAT</t>
  </si>
  <si>
    <t xml:space="preserve">TAGTCCTGGCTGGCGTGCATGCAT</t>
  </si>
  <si>
    <t xml:space="preserve">AAACATGCATGCACGCCAGCCAGG</t>
  </si>
  <si>
    <t xml:space="preserve">CTTGCAAAAGGCTTCATCCA</t>
  </si>
  <si>
    <t xml:space="preserve">TAGTCTTGCAAAAGGCTTCATCCA</t>
  </si>
  <si>
    <t xml:space="preserve">AAACTGGATGAAGCCTTTTGCAAG</t>
  </si>
  <si>
    <t xml:space="preserve">ACGAGTTCATATCGCCAATC</t>
  </si>
  <si>
    <t xml:space="preserve">TAGTACGAGTTCATATCGCCAATC</t>
  </si>
  <si>
    <t xml:space="preserve">AAACGATTGGCGATATGAACTCGT</t>
  </si>
  <si>
    <t xml:space="preserve">GCCCTGCGCCCTTGGCGTTG</t>
  </si>
  <si>
    <t xml:space="preserve">TAGTGCCCTGCGCCCTTGGCGTTG</t>
  </si>
  <si>
    <t xml:space="preserve">AAACCAACGCCAAGGGCGCAGGGC</t>
  </si>
  <si>
    <t xml:space="preserve">PSPPH_0895</t>
  </si>
  <si>
    <t xml:space="preserve">TCGATAACAGGGCCTCTGAG</t>
  </si>
  <si>
    <t xml:space="preserve">TAGTTCGATAACAGGGCCTCTGAG</t>
  </si>
  <si>
    <t xml:space="preserve">AAACCTCAGAGGCCCTGTTATCGA</t>
  </si>
  <si>
    <t xml:space="preserve">TCTGCCCAGATCCCGCGCGG</t>
  </si>
  <si>
    <t xml:space="preserve">TAGTTCTGCCCAGATCCCGCGCGG</t>
  </si>
  <si>
    <t xml:space="preserve">AAACCCGCGCGGGATCTGGGCAGA</t>
  </si>
  <si>
    <t xml:space="preserve">TGTCCACGCCGAGCAAGGGC</t>
  </si>
  <si>
    <t xml:space="preserve">TAGTTGTCCACGCCGAGCAAGGGC</t>
  </si>
  <si>
    <t xml:space="preserve">AAACGCCCTTGCTCGGCGTGGACA</t>
  </si>
  <si>
    <t xml:space="preserve">CCCGGCAGAGTAGTTACCCT</t>
  </si>
  <si>
    <t xml:space="preserve">TAGTCCCGGCAGAGTAGTTACCCT</t>
  </si>
  <si>
    <t xml:space="preserve">AAACAGGGTAACTACTCTGCCGGG</t>
  </si>
  <si>
    <t xml:space="preserve">PSPPH_0896</t>
  </si>
  <si>
    <t xml:space="preserve">ATACAGGAAGTGGTGAAAGG</t>
  </si>
  <si>
    <t xml:space="preserve">TAGTATACAGGAAGTGGTGAAAGG</t>
  </si>
  <si>
    <t xml:space="preserve">AAACCCTTTCACCACTTCCTGTAT</t>
  </si>
  <si>
    <t xml:space="preserve">TAGTCGAGCGCCGGGTTATG</t>
  </si>
  <si>
    <t xml:space="preserve">TAGTTAGTCGAGCGCCGGGTTATG</t>
  </si>
  <si>
    <t xml:space="preserve">AAACCATAACCCGGCGCTCGACTA</t>
  </si>
  <si>
    <t xml:space="preserve">GCGCGCAGGCCATCGATTTC</t>
  </si>
  <si>
    <t xml:space="preserve">TAGTGCGCGCAGGCCATCGATTTC</t>
  </si>
  <si>
    <t xml:space="preserve">AAACGAAATCGATGGCCTGCGCGC</t>
  </si>
  <si>
    <t xml:space="preserve">CCGCGTGATACAGGATGACC</t>
  </si>
  <si>
    <t xml:space="preserve">TAGTCCGCGTGATACAGGATGACC</t>
  </si>
  <si>
    <t xml:space="preserve">AAACGGTCATCCTGTATCACGCGG</t>
  </si>
  <si>
    <t xml:space="preserve">PSPPH_0897</t>
  </si>
  <si>
    <t xml:space="preserve">GAATTGCATTTCGGGCAGGA</t>
  </si>
  <si>
    <t xml:space="preserve">TAGTGAATTGCATTTCGGGCAGGA</t>
  </si>
  <si>
    <t xml:space="preserve">AAACTCCTGCCCGAAATGCAATTC</t>
  </si>
  <si>
    <t xml:space="preserve">GCCGTCTTCGTAGGTGTATT</t>
  </si>
  <si>
    <t xml:space="preserve">TAGTGCCGTCTTCGTAGGTGTATT</t>
  </si>
  <si>
    <t xml:space="preserve">AAACAATACACCTACGAAGACGGC</t>
  </si>
  <si>
    <t xml:space="preserve">CGCATTCCGGGCAGATCAGC</t>
  </si>
  <si>
    <t xml:space="preserve">TAGTCGCATTCCGGGCAGATCAGC</t>
  </si>
  <si>
    <t xml:space="preserve">AAACGCTGATCTGCCCGGAATGCG</t>
  </si>
  <si>
    <t xml:space="preserve">AGCGTCTGCAGACCATTCAT</t>
  </si>
  <si>
    <t xml:space="preserve">TAGTAGCGTCTGCAGACCATTCAT</t>
  </si>
  <si>
    <t xml:space="preserve">AAACATGAATGGTCTGCAGACGCT</t>
  </si>
  <si>
    <t xml:space="preserve">PSPPH_0898</t>
  </si>
  <si>
    <t xml:space="preserve">GGCGGGGGTAGTCGTCGGCA</t>
  </si>
  <si>
    <t xml:space="preserve">TAGTGGCGGGGGTAGTCGTCGGCA</t>
  </si>
  <si>
    <t xml:space="preserve">AAACTGCCGACGACTACCCCCGCC</t>
  </si>
  <si>
    <t xml:space="preserve">TTCATCGGGTTTCAGATACG</t>
  </si>
  <si>
    <t xml:space="preserve">TAGTTTCATCGGGTTTCAGATACG</t>
  </si>
  <si>
    <t xml:space="preserve">AAACCGTATCTGAAACCCGATGAA</t>
  </si>
  <si>
    <t xml:space="preserve">GCAGACGCTGGTGCGGATCA</t>
  </si>
  <si>
    <t xml:space="preserve">TAGTGCAGACGCTGGTGCGGATCA</t>
  </si>
  <si>
    <t xml:space="preserve">AAACTGATCCGCACCAGCGTCTGC</t>
  </si>
  <si>
    <t xml:space="preserve">CCCTTGCTCCGACTGTACGG</t>
  </si>
  <si>
    <t xml:space="preserve">TAGTCCCTTGCTCCGACTGTACGG</t>
  </si>
  <si>
    <t xml:space="preserve">AAACCCGTACAGTCGGAGCAAGGG</t>
  </si>
  <si>
    <t xml:space="preserve">PSPPH_0900</t>
  </si>
  <si>
    <t xml:space="preserve">CTGAAAATGTTCCGACCCGA</t>
  </si>
  <si>
    <t xml:space="preserve">TAGTCTGAAAATGTTCCGACCCGA</t>
  </si>
  <si>
    <t xml:space="preserve">AAACTCGGGTCGGAACATTTTCAG</t>
  </si>
  <si>
    <t xml:space="preserve">CTACCTGCCTGCTCGTTTGG</t>
  </si>
  <si>
    <t xml:space="preserve">TAGTCTACCTGCCTGCTCGTTTGG</t>
  </si>
  <si>
    <t xml:space="preserve">AAACCCAAACGAGCAGGCAGGTAG</t>
  </si>
  <si>
    <t xml:space="preserve">ATTGAAAATGAAGGCCGCCA</t>
  </si>
  <si>
    <t xml:space="preserve">TAGTATTGAAAATGAAGGCCGCCA</t>
  </si>
  <si>
    <t xml:space="preserve">AAACTGGCGGCCTTCATTTTCAAT</t>
  </si>
  <si>
    <t xml:space="preserve">ACCGATCGGCACGAACTCGG</t>
  </si>
  <si>
    <t xml:space="preserve">TAGTACCGATCGGCACGAACTCGG</t>
  </si>
  <si>
    <t xml:space="preserve">AAACCCGAGTTCGTGCCGATCGGT</t>
  </si>
  <si>
    <t xml:space="preserve">PSPPH_0901</t>
  </si>
  <si>
    <t xml:space="preserve">ATGCGTTGATTGGTTATCAC</t>
  </si>
  <si>
    <t xml:space="preserve">TAGTATGCGTTGATTGGTTATCAC</t>
  </si>
  <si>
    <t xml:space="preserve">AAACGTGATAACCAATCAACGCAT</t>
  </si>
  <si>
    <t xml:space="preserve">CGCGCCCCAGGCGTTGAGTC</t>
  </si>
  <si>
    <t xml:space="preserve">TAGTCGCGCCCCAGGCGTTGAGTC</t>
  </si>
  <si>
    <t xml:space="preserve">AAACGACTCAACGCCTGGGGCGCG</t>
  </si>
  <si>
    <t xml:space="preserve">CGCAAGGACGACGCCGGTGG</t>
  </si>
  <si>
    <t xml:space="preserve">TAGTCGCAAGGACGACGCCGGTGG</t>
  </si>
  <si>
    <t xml:space="preserve">AAACCCACCGGCGTCGTCCTTGCG</t>
  </si>
  <si>
    <t xml:space="preserve">TGAATAGTGCAATGGTAGCC</t>
  </si>
  <si>
    <t xml:space="preserve">TAGTTGAATAGTGCAATGGTAGCC</t>
  </si>
  <si>
    <t xml:space="preserve">AAACGGCTACCATTGCACTATTCA</t>
  </si>
  <si>
    <t xml:space="preserve">PSPPH_0902</t>
  </si>
  <si>
    <t xml:space="preserve">CGTTTTTCGGCGGGCGAAGA</t>
  </si>
  <si>
    <t xml:space="preserve">TAGTCGTTTTTCGGCGGGCGAAGA</t>
  </si>
  <si>
    <t xml:space="preserve">AAACTCTTCGCCCGCCGAAAAACG</t>
  </si>
  <si>
    <t xml:space="preserve">CCGGCAAGGATGGACGGTAA</t>
  </si>
  <si>
    <t xml:space="preserve">TAGTCCGGCAAGGATGGACGGTAA</t>
  </si>
  <si>
    <t xml:space="preserve">AAACTTACCGTCCATCCTTGCCGG</t>
  </si>
  <si>
    <t xml:space="preserve">GCTTCCTGGCGGCGTAACAG</t>
  </si>
  <si>
    <t xml:space="preserve">TAGTGCTTCCTGGCGGCGTAACAG</t>
  </si>
  <si>
    <t xml:space="preserve">AAACCTGTTACGCCGCCAGGAAGC</t>
  </si>
  <si>
    <t xml:space="preserve">CAGCCACAGCACCAGGCGTC</t>
  </si>
  <si>
    <t xml:space="preserve">TAGTCAGCCACAGCACCAGGCGTC</t>
  </si>
  <si>
    <t xml:space="preserve">AAACGACGCCTGGTGCTGTGGCTG</t>
  </si>
  <si>
    <t xml:space="preserve">PSPPH_0903</t>
  </si>
  <si>
    <t xml:space="preserve">GGCGTTGTAGAACCAGTTCA</t>
  </si>
  <si>
    <t xml:space="preserve">TAGTGGCGTTGTAGAACCAGTTCA</t>
  </si>
  <si>
    <t xml:space="preserve">AAACTGAACTGGTTCTACAACGCC</t>
  </si>
  <si>
    <t xml:space="preserve">AAACAGCTTGGTGGACAGCT</t>
  </si>
  <si>
    <t xml:space="preserve">TAGTAAACAGCTTGGTGGACAGCT</t>
  </si>
  <si>
    <t xml:space="preserve">AAACAGCTGTCCACCAAGCTGTTT</t>
  </si>
  <si>
    <t xml:space="preserve">GGCAACCATGCCCACCGCGA</t>
  </si>
  <si>
    <t xml:space="preserve">TAGTGGCAACCATGCCCACCGCGA</t>
  </si>
  <si>
    <t xml:space="preserve">AAACTCGCGGTGGGCATGGTTGCC</t>
  </si>
  <si>
    <t xml:space="preserve">GAGCTCACCGATCCCCCGGC</t>
  </si>
  <si>
    <t xml:space="preserve">TAGTGAGCTCACCGATCCCCCGGC</t>
  </si>
  <si>
    <t xml:space="preserve">AAACGCCGGGGGATCGGTGAGCTC</t>
  </si>
  <si>
    <t xml:space="preserve">PSPPH_0904</t>
  </si>
  <si>
    <t xml:space="preserve">CCAGGCGATCTTCTTCTGTA</t>
  </si>
  <si>
    <t xml:space="preserve">TAGTCCAGGCGATCTTCTTCTGTA</t>
  </si>
  <si>
    <t xml:space="preserve">AAACTACAGAAGAAGATCGCCTGG</t>
  </si>
  <si>
    <t xml:space="preserve">TCGGCGTTAAAGCGCTTCAG</t>
  </si>
  <si>
    <t xml:space="preserve">TAGTTCGGCGTTAAAGCGCTTCAG</t>
  </si>
  <si>
    <t xml:space="preserve">AAACCTGAAGCGCTTTAACGCCGA</t>
  </si>
  <si>
    <t xml:space="preserve">CAGGCCACCGAGAATTTCCC</t>
  </si>
  <si>
    <t xml:space="preserve">TAGTCAGGCCACCGAGAATTTCCC</t>
  </si>
  <si>
    <t xml:space="preserve">AAACGGGAAATTCTCGGTGGCCTG</t>
  </si>
  <si>
    <t xml:space="preserve">CCTTGCCCCCGGGTTTGCTC</t>
  </si>
  <si>
    <t xml:space="preserve">TAGTCCTTGCCCCCGGGTTTGCTC</t>
  </si>
  <si>
    <t xml:space="preserve">AAACGAGCAAACCCGGGGGCAAGG</t>
  </si>
  <si>
    <t xml:space="preserve">PSPPH_0905</t>
  </si>
  <si>
    <t xml:space="preserve">GGTAGCGTTGCTCAAGCACC</t>
  </si>
  <si>
    <t xml:space="preserve">TAGTGGTAGCGTTGCTCAAGCACC</t>
  </si>
  <si>
    <t xml:space="preserve">AAACGGTGCTTGAGCAACGCTACC</t>
  </si>
  <si>
    <t xml:space="preserve">GCTGTGGTCTGGTTTCCGCC</t>
  </si>
  <si>
    <t xml:space="preserve">TAGTGCTGTGGTCTGGTTTCCGCC</t>
  </si>
  <si>
    <t xml:space="preserve">AAACGGCGGAAACCAGACCACAGC</t>
  </si>
  <si>
    <t xml:space="preserve">CACCAATCCCCACCGCCGTC</t>
  </si>
  <si>
    <t xml:space="preserve">TAGTCACCAATCCCCACCGCCGTC</t>
  </si>
  <si>
    <t xml:space="preserve">AAACGACGGCGGTGGGGATTGGTG</t>
  </si>
  <si>
    <t xml:space="preserve">TCAGAAACAGGTTGTAGATC</t>
  </si>
  <si>
    <t xml:space="preserve">TAGTTCAGAAACAGGTTGTAGATC</t>
  </si>
  <si>
    <t xml:space="preserve">AAACGATCTACAACCTGTTTCTGA</t>
  </si>
  <si>
    <t xml:space="preserve">PSPPH_0906</t>
  </si>
  <si>
    <t xml:space="preserve">TTGCCGATACATCGATAACT</t>
  </si>
  <si>
    <t xml:space="preserve">TAGTTTGCCGATACATCGATAACT</t>
  </si>
  <si>
    <t xml:space="preserve">AAACAGTTATCGATGTATCGGCAA</t>
  </si>
  <si>
    <t xml:space="preserve">GGCATGGACGATATGGTTGT</t>
  </si>
  <si>
    <t xml:space="preserve">TAGTGGCATGGACGATATGGTTGT</t>
  </si>
  <si>
    <t xml:space="preserve">AAACACAACCATATCGTCCATGCC</t>
  </si>
  <si>
    <t xml:space="preserve">CGCCCTCAGGAAGTTGTCAT</t>
  </si>
  <si>
    <t xml:space="preserve">TAGTCGCCCTCAGGAAGTTGTCAT</t>
  </si>
  <si>
    <t xml:space="preserve">AAACATGACAACTTCCTGAGGGCG</t>
  </si>
  <si>
    <t xml:space="preserve">ATCCTTGCCCAGCAACTGGT</t>
  </si>
  <si>
    <t xml:space="preserve">TAGTATCCTTGCCCAGCAACTGGT</t>
  </si>
  <si>
    <t xml:space="preserve">AAACACCAGTTGCTGGGCAAGGAT</t>
  </si>
  <si>
    <t xml:space="preserve">PSPPH_0907</t>
  </si>
  <si>
    <t xml:space="preserve">CAGGCAAAGGGCATTGAGAA</t>
  </si>
  <si>
    <t xml:space="preserve">TAGTCAGGCAAAGGGCATTGAGAA</t>
  </si>
  <si>
    <t xml:space="preserve">AAACTTCTCAATGCCCTTTGCCTG</t>
  </si>
  <si>
    <t xml:space="preserve">CAGGTTTTTGAGGGGAATAT</t>
  </si>
  <si>
    <t xml:space="preserve">TAGTCAGGTTTTTGAGGGGAATAT</t>
  </si>
  <si>
    <t xml:space="preserve">AAACATATTCCCCTCAAAAACCTG</t>
  </si>
  <si>
    <t xml:space="preserve">GGCACACGCTCACTGCGGCA</t>
  </si>
  <si>
    <t xml:space="preserve">TAGTGGCACACGCTCACTGCGGCA</t>
  </si>
  <si>
    <t xml:space="preserve">AAACTGCCGCAGTGAGCGTGTGCC</t>
  </si>
  <si>
    <t xml:space="preserve">TACACAGGCGCCAGGCCGCC</t>
  </si>
  <si>
    <t xml:space="preserve">TAGTTACACAGGCGCCAGGCCGCC</t>
  </si>
  <si>
    <t xml:space="preserve">AAACGGCGGCCTGGCGCCTGTGTA</t>
  </si>
  <si>
    <t xml:space="preserve">PSPPH_0908</t>
  </si>
  <si>
    <t xml:space="preserve">GCAACGAATTTCTTGCGCAC</t>
  </si>
  <si>
    <t xml:space="preserve">TAGTGCAACGAATTTCTTGCGCAC</t>
  </si>
  <si>
    <t xml:space="preserve">AAACGTGCGCAAGAAATTCGTTGC</t>
  </si>
  <si>
    <t xml:space="preserve">CGCGCATCCGGTGACTGAGG</t>
  </si>
  <si>
    <t xml:space="preserve">TAGTCGCGCATCCGGTGACTGAGG</t>
  </si>
  <si>
    <t xml:space="preserve">AAACCCTCAGTCACCGGATGCGCG</t>
  </si>
  <si>
    <t xml:space="preserve">CGTTGCACCGACCGCCAGAC</t>
  </si>
  <si>
    <t xml:space="preserve">TAGTCGTTGCACCGACCGCCAGAC</t>
  </si>
  <si>
    <t xml:space="preserve">AAACGTCTGGCGGTCGGTGCAACG</t>
  </si>
  <si>
    <t xml:space="preserve">GACGCCTGCAACGATCAGCG</t>
  </si>
  <si>
    <t xml:space="preserve">TAGTGACGCCTGCAACGATCAGCG</t>
  </si>
  <si>
    <t xml:space="preserve">AAACCGCTGATCGTTGCAGGCGTC</t>
  </si>
  <si>
    <t xml:space="preserve">PSPPH_0909</t>
  </si>
  <si>
    <t xml:space="preserve">GCTGTAAGGGGCGTTTTTCA</t>
  </si>
  <si>
    <t xml:space="preserve">TAGTGCTGTAAGGGGCGTTTTTCA</t>
  </si>
  <si>
    <t xml:space="preserve">AAACTGAAAAACGCCCCTTACAGC</t>
  </si>
  <si>
    <t xml:space="preserve">TGGCGTCATCTTTGTTCAGG</t>
  </si>
  <si>
    <t xml:space="preserve">TAGTTGGCGTCATCTTTGTTCAGG</t>
  </si>
  <si>
    <t xml:space="preserve">AAACCCTGAACAAAGATGACGCCA</t>
  </si>
  <si>
    <t xml:space="preserve">ATGATCGATCAGCAGCACGA</t>
  </si>
  <si>
    <t xml:space="preserve">TAGTATGATCGATCAGCAGCACGA</t>
  </si>
  <si>
    <t xml:space="preserve">AAACTCGTGCTGCTGATCGATCAT</t>
  </si>
  <si>
    <t xml:space="preserve">AGTCCTGTACCAGCGAGATC</t>
  </si>
  <si>
    <t xml:space="preserve">TAGTAGTCCTGTACCAGCGAGATC</t>
  </si>
  <si>
    <t xml:space="preserve">AAACGATCTCGCTGGTACAGGACT</t>
  </si>
  <si>
    <t xml:space="preserve">PSPPH_0910</t>
  </si>
  <si>
    <t xml:space="preserve">phoD</t>
  </si>
  <si>
    <t xml:space="preserve">GTAATGATGCGTCGGCGATC</t>
  </si>
  <si>
    <t xml:space="preserve">TAGTGTAATGATGCGTCGGCGATC</t>
  </si>
  <si>
    <t xml:space="preserve">AAACGATCGCCGACGCATCATTAC</t>
  </si>
  <si>
    <t xml:space="preserve">CAGCGTGGCACCGGCCACGC</t>
  </si>
  <si>
    <t xml:space="preserve">TAGTCAGCGTGGCACCGGCCACGC</t>
  </si>
  <si>
    <t xml:space="preserve">AAACGCGTGGCCGGTGCCACGCTG</t>
  </si>
  <si>
    <t xml:space="preserve">CGCTGCGGGCAAACGGGCTG</t>
  </si>
  <si>
    <t xml:space="preserve">TAGTCGCTGCGGGCAAACGGGCTG</t>
  </si>
  <si>
    <t xml:space="preserve">AAACCAGCCCGTTTGCCCGCAGCG</t>
  </si>
  <si>
    <t xml:space="preserve">GATGCCACGCCCAGCGTGAA</t>
  </si>
  <si>
    <t xml:space="preserve">TAGTGATGCCACGCCCAGCGTGAA</t>
  </si>
  <si>
    <t xml:space="preserve">AAACTTCACGCTGGGCGTGGCATC</t>
  </si>
  <si>
    <t xml:space="preserve">PSPPH_0911</t>
  </si>
  <si>
    <t xml:space="preserve">AGTCGTGAGGTGCGGATACT</t>
  </si>
  <si>
    <t xml:space="preserve">TAGTAGTCGTGAGGTGCGGATACT</t>
  </si>
  <si>
    <t xml:space="preserve">AAACAGTATCCGCACCTCACGACT</t>
  </si>
  <si>
    <t xml:space="preserve">TGGACTGCTCGGCTCGCAAC</t>
  </si>
  <si>
    <t xml:space="preserve">TAGTTGGACTGCTCGGCTCGCAAC</t>
  </si>
  <si>
    <t xml:space="preserve">AAACGTTGCGAGCCGAGCAGTCCA</t>
  </si>
  <si>
    <t xml:space="preserve">AGCCAGTCGCGACAAGGCGC</t>
  </si>
  <si>
    <t xml:space="preserve">TAGTAGCCAGTCGCGACAAGGCGC</t>
  </si>
  <si>
    <t xml:space="preserve">AAACGCGCCTTGTCGCGACTGGCT</t>
  </si>
  <si>
    <t xml:space="preserve">CCGTCATGTTCGCAATCACG</t>
  </si>
  <si>
    <t xml:space="preserve">TAGTCCGTCATGTTCGCAATCACG</t>
  </si>
  <si>
    <t xml:space="preserve">AAACCGTGATTGCGAACATGACGG</t>
  </si>
  <si>
    <t xml:space="preserve">PSPPH_0912</t>
  </si>
  <si>
    <t xml:space="preserve">ATGTGCGCCTTGCGTTTTTT</t>
  </si>
  <si>
    <t xml:space="preserve">TAGTATGTGCGCCTTGCGTTTTTT</t>
  </si>
  <si>
    <t xml:space="preserve">AAACAAAAAACGCAAGGCGCACAT</t>
  </si>
  <si>
    <t xml:space="preserve">AACATCATCACGTCGATCAT</t>
  </si>
  <si>
    <t xml:space="preserve">TAGTAACATCATCACGTCGATCAT</t>
  </si>
  <si>
    <t xml:space="preserve">AAACATGATCGACGTGATGATGTT</t>
  </si>
  <si>
    <t xml:space="preserve">CCAGAGCCGGAATCACGTTC</t>
  </si>
  <si>
    <t xml:space="preserve">TAGTCCAGAGCCGGAATCACGTTC</t>
  </si>
  <si>
    <t xml:space="preserve">AAACGAACGTGATTCCGGCTCTGG</t>
  </si>
  <si>
    <t xml:space="preserve">ACTGCTGGCGCTCGGCAGCT</t>
  </si>
  <si>
    <t xml:space="preserve">TAGTACTGCTGGCGCTCGGCAGCT</t>
  </si>
  <si>
    <t xml:space="preserve">AAACAGCTGCCGAGCGCCAGCAGT</t>
  </si>
  <si>
    <t xml:space="preserve">PSPPH_0913</t>
  </si>
  <si>
    <t xml:space="preserve">tonB2</t>
  </si>
  <si>
    <t xml:space="preserve">TACACGAAACAGGACATACA</t>
  </si>
  <si>
    <t xml:space="preserve">TAGTTACACGAAACAGGACATACA</t>
  </si>
  <si>
    <t xml:space="preserve">AAACTGTATGTCCTGTTTCGTGTA</t>
  </si>
  <si>
    <t xml:space="preserve">TGAGCGCCACCAGCGCTGGA</t>
  </si>
  <si>
    <t xml:space="preserve">TAGTTGAGCGCCACCAGCGCTGGA</t>
  </si>
  <si>
    <t xml:space="preserve">AAACTCCAGCGCTGGTGGCGCTCA</t>
  </si>
  <si>
    <t xml:space="preserve">GTAAACCGGCTCTACCTTAA</t>
  </si>
  <si>
    <t xml:space="preserve">TAGTGTAAACCGGCTCTACCTTAA</t>
  </si>
  <si>
    <t xml:space="preserve">AAACTTAAGGTAGAGCCGGTTTAC</t>
  </si>
  <si>
    <t xml:space="preserve">CTCGATCAACGCCAGCTCCA</t>
  </si>
  <si>
    <t xml:space="preserve">TAGTCTCGATCAACGCCAGCTCCA</t>
  </si>
  <si>
    <t xml:space="preserve">AAACTGGAGCTGGCGTTGATCGAG</t>
  </si>
  <si>
    <t xml:space="preserve">PSPPH_0914</t>
  </si>
  <si>
    <t xml:space="preserve">GAGCGCCTCCTTGGTTACCG</t>
  </si>
  <si>
    <t xml:space="preserve">TAGTGAGCGCCTCCTTGGTTACCG</t>
  </si>
  <si>
    <t xml:space="preserve">AAACCGGTAACCAAGGAGGCGCTC</t>
  </si>
  <si>
    <t xml:space="preserve">ATCGATCGCGTTACCTGTTG</t>
  </si>
  <si>
    <t xml:space="preserve">TAGTATCGATCGCGTTACCTGTTG</t>
  </si>
  <si>
    <t xml:space="preserve">AAACCAACAGGTAACGCGATCGAT</t>
  </si>
  <si>
    <t xml:space="preserve">TCACTGGAGATATTCAGGCC</t>
  </si>
  <si>
    <t xml:space="preserve">TAGTTCACTGGAGATATTCAGGCC</t>
  </si>
  <si>
    <t xml:space="preserve">AAACGGCCTGAATATCTCCAGTGA</t>
  </si>
  <si>
    <t xml:space="preserve">GCGAAAGCCCGACAGGCCTG</t>
  </si>
  <si>
    <t xml:space="preserve">TAGTGCGAAAGCCCGACAGGCCTG</t>
  </si>
  <si>
    <t xml:space="preserve">AAACCAGGCCTGTCGGGCTTTCGC</t>
  </si>
  <si>
    <t xml:space="preserve">PSPPH_0915</t>
  </si>
  <si>
    <t xml:space="preserve">GTGAAGCTGATTCATGTCCA</t>
  </si>
  <si>
    <t xml:space="preserve">TAGTGTGAAGCTGATTCATGTCCA</t>
  </si>
  <si>
    <t xml:space="preserve">AAACTGGACATGAATCAGCTTCAC</t>
  </si>
  <si>
    <t xml:space="preserve">GGCGGCGTACATCACATAGA</t>
  </si>
  <si>
    <t xml:space="preserve">TAGTGGCGGCGTACATCACATAGA</t>
  </si>
  <si>
    <t xml:space="preserve">AAACTCTATGTGATGTACGCCGCC</t>
  </si>
  <si>
    <t xml:space="preserve">GACAAAGATCGCTATCGCGA</t>
  </si>
  <si>
    <t xml:space="preserve">TAGTGACAAAGATCGCTATCGCGA</t>
  </si>
  <si>
    <t xml:space="preserve">AAACTCGCGATAGCGATCTTTGTC</t>
  </si>
  <si>
    <t xml:space="preserve">TTTGCAGCGCCCGTGCCTGA</t>
  </si>
  <si>
    <t xml:space="preserve">TAGTTTTGCAGCGCCCGTGCCTGA</t>
  </si>
  <si>
    <t xml:space="preserve">AAACTCAGGCACGGGCGCTGCAAA</t>
  </si>
  <si>
    <t xml:space="preserve">PSPPH_0916</t>
  </si>
  <si>
    <t xml:space="preserve">CGCGCAAGTACCCTACGACC</t>
  </si>
  <si>
    <t xml:space="preserve">TAGTCGCGCAAGTACCCTACGACC</t>
  </si>
  <si>
    <t xml:space="preserve">AAACGGTCGTAGGGTACTTGCGCG</t>
  </si>
  <si>
    <t xml:space="preserve">TAACGCTGCGATCAAGGCGC</t>
  </si>
  <si>
    <t xml:space="preserve">TAGTTAACGCTGCGATCAAGGCGC</t>
  </si>
  <si>
    <t xml:space="preserve">AAACGCGCCTTGATCGCAGCGTTA</t>
  </si>
  <si>
    <t xml:space="preserve">GAAACCTGGAATAGCGAAGT</t>
  </si>
  <si>
    <t xml:space="preserve">TAGTGAAACCTGGAATAGCGAAGT</t>
  </si>
  <si>
    <t xml:space="preserve">AAACACTTCGCTATTCCAGGTTTC</t>
  </si>
  <si>
    <t xml:space="preserve">CAGGTCGGTTCCGAGCGGAA</t>
  </si>
  <si>
    <t xml:space="preserve">TAGTCAGGTCGGTTCCGAGCGGAA</t>
  </si>
  <si>
    <t xml:space="preserve">AAACTTCCGCTCGGAACCGACCTG</t>
  </si>
  <si>
    <t xml:space="preserve">PSPPH_0918</t>
  </si>
  <si>
    <t xml:space="preserve">AGCGTCCACCAACGGAACAC</t>
  </si>
  <si>
    <t xml:space="preserve">TAGTAGCGTCCACCAACGGAACAC</t>
  </si>
  <si>
    <t xml:space="preserve">AAACGTGTTCCGTTGGTGGACGCT</t>
  </si>
  <si>
    <t xml:space="preserve">ATGTCGTTGACTGACTGGTA</t>
  </si>
  <si>
    <t xml:space="preserve">TAGTATGTCGTTGACTGACTGGTA</t>
  </si>
  <si>
    <t xml:space="preserve">AAACTACCAGTCAGTCAACGACAT</t>
  </si>
  <si>
    <t xml:space="preserve">CTCGCTCGGCAACCAGGGAT</t>
  </si>
  <si>
    <t xml:space="preserve">TAGTCTCGCTCGGCAACCAGGGAT</t>
  </si>
  <si>
    <t xml:space="preserve">AAACATCCCTGGTTGCCGAGCGAG</t>
  </si>
  <si>
    <t xml:space="preserve">CCCCTGAAAGCGATAGAGCA</t>
  </si>
  <si>
    <t xml:space="preserve">TAGTCCCCTGAAAGCGATAGAGCA</t>
  </si>
  <si>
    <t xml:space="preserve">AAACTGCTCTATCGCTTTCAGGGG</t>
  </si>
  <si>
    <t xml:space="preserve">PSPPH_0919</t>
  </si>
  <si>
    <t xml:space="preserve">AGCGCCAGCCCCCGAAACCA</t>
  </si>
  <si>
    <t xml:space="preserve">TAGTAGCGCCAGCCCCCGAAACCA</t>
  </si>
  <si>
    <t xml:space="preserve">AAACTGGTTTCGGGGGCTGGCGCT</t>
  </si>
  <si>
    <t xml:space="preserve">GCGGTCAGCAGGGCAGCCAG</t>
  </si>
  <si>
    <t xml:space="preserve">TAGTGCGGTCAGCAGGGCAGCCAG</t>
  </si>
  <si>
    <t xml:space="preserve">AAACCTGGCTGCCCTGCTGACCGC</t>
  </si>
  <si>
    <t xml:space="preserve">AGGCGGCGTCACCGGCTTAT</t>
  </si>
  <si>
    <t xml:space="preserve">TAGTAGGCGGCGTCACCGGCTTAT</t>
  </si>
  <si>
    <t xml:space="preserve">AAACATAAGCCGGTGACGCCGCCT</t>
  </si>
  <si>
    <t xml:space="preserve">TGGCTATAAGTGGTGTGTGG</t>
  </si>
  <si>
    <t xml:space="preserve">TAGTTGGCTATAAGTGGTGTGTGG</t>
  </si>
  <si>
    <t xml:space="preserve">AAACCCACACACCACTTATAGCCA</t>
  </si>
  <si>
    <t xml:space="preserve">PSPPH_0920</t>
  </si>
  <si>
    <t xml:space="preserve">GGAAGAGTAATGACGTTTTG</t>
  </si>
  <si>
    <t xml:space="preserve">TAGTGGAAGAGTAATGACGTTTTG</t>
  </si>
  <si>
    <t xml:space="preserve">AAACCAAAACGTCATTACTCTTCC</t>
  </si>
  <si>
    <t xml:space="preserve">CCAGGTGTTACGATGGTGGG</t>
  </si>
  <si>
    <t xml:space="preserve">TAGTCCAGGTGTTACGATGGTGGG</t>
  </si>
  <si>
    <t xml:space="preserve">AAACCCCACCATCGTAACACCTGG</t>
  </si>
  <si>
    <t xml:space="preserve">CTAATGGCCTGGGCAACGGC</t>
  </si>
  <si>
    <t xml:space="preserve">TAGTCTAATGGCCTGGGCAACGGC</t>
  </si>
  <si>
    <t xml:space="preserve">AAACGCCGTTGCCCAGGCCATTAG</t>
  </si>
  <si>
    <t xml:space="preserve">TTACTCCGGCTCCCGATAGC</t>
  </si>
  <si>
    <t xml:space="preserve">TAGTTTACTCCGGCTCCCGATAGC</t>
  </si>
  <si>
    <t xml:space="preserve">AAACGCTATCGGGAGCCGGAGTAA</t>
  </si>
  <si>
    <t xml:space="preserve">PSPPH_0921</t>
  </si>
  <si>
    <t xml:space="preserve">CCAGCGTCCGCCATAGAGCT</t>
  </si>
  <si>
    <t xml:space="preserve">TAGTCCAGCGTCCGCCATAGAGCT</t>
  </si>
  <si>
    <t xml:space="preserve">AAACAGCTCTATGGCGGACGCTGG</t>
  </si>
  <si>
    <t xml:space="preserve">GCTGCCTGCGCAGTACACGC</t>
  </si>
  <si>
    <t xml:space="preserve">TAGTGCTGCCTGCGCAGTACACGC</t>
  </si>
  <si>
    <t xml:space="preserve">AAACGCGTGTACTGCGCAGGCAGC</t>
  </si>
  <si>
    <t xml:space="preserve">GGGCCACGCCAGCGTTGCCC</t>
  </si>
  <si>
    <t xml:space="preserve">TAGTGGGCCACGCCAGCGTTGCCC</t>
  </si>
  <si>
    <t xml:space="preserve">AAACGGGCAACGCTGGCGTGGCCC</t>
  </si>
  <si>
    <t xml:space="preserve">CTCAAGCATCGCGTAATGTC</t>
  </si>
  <si>
    <t xml:space="preserve">TAGTCTCAAGCATCGCGTAATGTC</t>
  </si>
  <si>
    <t xml:space="preserve">AAACGACATTACGCGATGCTTGAG</t>
  </si>
  <si>
    <t xml:space="preserve">PSPPH_0922</t>
  </si>
  <si>
    <t xml:space="preserve">GTCGCTTATAGGAAGAGACA</t>
  </si>
  <si>
    <t xml:space="preserve">TAGTGTCGCTTATAGGAAGAGACA</t>
  </si>
  <si>
    <t xml:space="preserve">AAACTGTCTCTTCCTATAAGCGAC</t>
  </si>
  <si>
    <t xml:space="preserve">TCGTCCTGCCGGGGCAGGGC</t>
  </si>
  <si>
    <t xml:space="preserve">TAGTTCGTCCTGCCGGGGCAGGGC</t>
  </si>
  <si>
    <t xml:space="preserve">AAACGCCCTGCCCCGGCAGGACGA</t>
  </si>
  <si>
    <t xml:space="preserve">CGAGTACAGGCGCGTGCCAC</t>
  </si>
  <si>
    <t xml:space="preserve">TAGTCGAGTACAGGCGCGTGCCAC</t>
  </si>
  <si>
    <t xml:space="preserve">AAACGTGGCACGCGCCTGTACTCG</t>
  </si>
  <si>
    <t xml:space="preserve">AGACGCTCGAATACTTCATA</t>
  </si>
  <si>
    <t xml:space="preserve">TAGTAGACGCTCGAATACTTCATA</t>
  </si>
  <si>
    <t xml:space="preserve">AAACTATGAAGTATTCGAGCGTCT</t>
  </si>
  <si>
    <t xml:space="preserve">PSPPH_0923</t>
  </si>
  <si>
    <t xml:space="preserve">GCATATCAATAGTGCAAGCG</t>
  </si>
  <si>
    <t xml:space="preserve">TAGTGCATATCAATAGTGCAAGCG</t>
  </si>
  <si>
    <t xml:space="preserve">AAACCGCTTGCACTATTGATATGC</t>
  </si>
  <si>
    <t xml:space="preserve">TACATCCCAATCAGCAGGCA</t>
  </si>
  <si>
    <t xml:space="preserve">TAGTTACATCCCAATCAGCAGGCA</t>
  </si>
  <si>
    <t xml:space="preserve">AAACTGCCTGCTGATTGGGATGTA</t>
  </si>
  <si>
    <t xml:space="preserve">TTCCAGACCTTCCTGCCCCT</t>
  </si>
  <si>
    <t xml:space="preserve">TAGTTTCCAGACCTTCCTGCCCCT</t>
  </si>
  <si>
    <t xml:space="preserve">AAACAGGGGCAGGAAGGTCTGGAA</t>
  </si>
  <si>
    <t xml:space="preserve">CCACTTGGCCCTGGCCTTTA</t>
  </si>
  <si>
    <t xml:space="preserve">TAGTCCACTTGGCCCTGGCCTTTA</t>
  </si>
  <si>
    <t xml:space="preserve">AAACTAAAGGCCAGGGCCAAGTGG</t>
  </si>
  <si>
    <t xml:space="preserve">PSPPH_0924</t>
  </si>
  <si>
    <t xml:space="preserve">ATTTCGATAGCGTTGCTCAT</t>
  </si>
  <si>
    <t xml:space="preserve">TAGTATTTCGATAGCGTTGCTCAT</t>
  </si>
  <si>
    <t xml:space="preserve">AAACATGAGCAACGCTATCGAAAT</t>
  </si>
  <si>
    <t xml:space="preserve">GCGTGACGGCCAGCAACCAA</t>
  </si>
  <si>
    <t xml:space="preserve">TAGTGCGTGACGGCCAGCAACCAA</t>
  </si>
  <si>
    <t xml:space="preserve">AAACTTGGTTGCTGGCCGTCACGC</t>
  </si>
  <si>
    <t xml:space="preserve">AGACCGTCACCCGATAGTTC</t>
  </si>
  <si>
    <t xml:space="preserve">TAGTAGACCGTCACCCGATAGTTC</t>
  </si>
  <si>
    <t xml:space="preserve">AAACGAACTATCGGGTGACGGTCT</t>
  </si>
  <si>
    <t xml:space="preserve">CATAAGGCACCACGCCAGAG</t>
  </si>
  <si>
    <t xml:space="preserve">TAGTCATAAGGCACCACGCCAGAG</t>
  </si>
  <si>
    <t xml:space="preserve">AAACCTCTGGCGTGGTGCCTTATG</t>
  </si>
  <si>
    <t xml:space="preserve">PSPPH_0925</t>
  </si>
  <si>
    <t xml:space="preserve">aroA</t>
  </si>
  <si>
    <t xml:space="preserve">AAAACAGTGAGGGTGGCTTG</t>
  </si>
  <si>
    <t xml:space="preserve">TAGTAAAACAGTGAGGGTGGCTTG</t>
  </si>
  <si>
    <t xml:space="preserve">AAACCAAGCCACCCTCACTGTTTT</t>
  </si>
  <si>
    <t xml:space="preserve">CCGACCAGCGGGCGCTCGAC</t>
  </si>
  <si>
    <t xml:space="preserve">TAGTCCGACCAGCGGGCGCTCGAC</t>
  </si>
  <si>
    <t xml:space="preserve">AAACGTCGAGCGCCCGCTGGTCGG</t>
  </si>
  <si>
    <t xml:space="preserve">TGATCGACTTGGAGCCCGGC</t>
  </si>
  <si>
    <t xml:space="preserve">TAGTTGATCGACTTGGAGCCCGGC</t>
  </si>
  <si>
    <t xml:space="preserve">AAACGCCGGGCTCCAAGTCGATCA</t>
  </si>
  <si>
    <t xml:space="preserve">GGCCAGCAACAATGCGCGGT</t>
  </si>
  <si>
    <t xml:space="preserve">TAGTGGCCAGCAACAATGCGCGGT</t>
  </si>
  <si>
    <t xml:space="preserve">AAACACCGCGCATTGTTGCTGGCC</t>
  </si>
  <si>
    <t xml:space="preserve">PSPPH_0926</t>
  </si>
  <si>
    <t xml:space="preserve">chrR</t>
  </si>
  <si>
    <t xml:space="preserve">CGTCATCCGGATGATGTCGT</t>
  </si>
  <si>
    <t xml:space="preserve">TAGTCGTCATCCGGATGATGTCGT</t>
  </si>
  <si>
    <t xml:space="preserve">AAACACGACATCATCCGGATGACG</t>
  </si>
  <si>
    <t xml:space="preserve">GCGCCGCAGTCACCACCGCA</t>
  </si>
  <si>
    <t xml:space="preserve">TAGTGCGCCGCAGTCACCACCGCA</t>
  </si>
  <si>
    <t xml:space="preserve">AAACTGCGGTGGTGACTGCGGCGC</t>
  </si>
  <si>
    <t xml:space="preserve">GGCACTCGGCACAGCGTTCA</t>
  </si>
  <si>
    <t xml:space="preserve">TAGTGGCACTCGGCACAGCGTTCA</t>
  </si>
  <si>
    <t xml:space="preserve">AAACTGAACGCTGTGCCGAGTGCC</t>
  </si>
  <si>
    <t xml:space="preserve">CGGCTTGCCTGAGTCGCGCA</t>
  </si>
  <si>
    <t xml:space="preserve">TAGTCGGCTTGCCTGAGTCGCGCA</t>
  </si>
  <si>
    <t xml:space="preserve">AAACTGCGCGACTCAGGCAAGCCG</t>
  </si>
  <si>
    <t xml:space="preserve">PSPPH_0927</t>
  </si>
  <si>
    <t xml:space="preserve">GTGACAGAAGGTCCTGAGAC</t>
  </si>
  <si>
    <t xml:space="preserve">TAGTGTGACAGAAGGTCCTGAGAC</t>
  </si>
  <si>
    <t xml:space="preserve">AAACGTCTCAGGACCTTCTGTCAC</t>
  </si>
  <si>
    <t xml:space="preserve">TGTCGATTCGCTGTGAGGGG</t>
  </si>
  <si>
    <t xml:space="preserve">TAGTTGTCGATTCGCTGTGAGGGG</t>
  </si>
  <si>
    <t xml:space="preserve">AAACCCCCTCACAGCGAATCGACA</t>
  </si>
  <si>
    <t xml:space="preserve">GACTTCATCAATCCAAAGTC</t>
  </si>
  <si>
    <t xml:space="preserve">TAGTGACTTCATCAATCCAAAGTC</t>
  </si>
  <si>
    <t xml:space="preserve">AAACGACTTTGGATTGATGAAGTC</t>
  </si>
  <si>
    <t xml:space="preserve">GTCCCTCTGGCGGGCCACGG</t>
  </si>
  <si>
    <t xml:space="preserve">TAGTGTCCCTCTGGCGGGCCACGG</t>
  </si>
  <si>
    <t xml:space="preserve">AAACCCGTGGCCCGCCAGAGGGAC</t>
  </si>
  <si>
    <t xml:space="preserve">PSPPH_0929</t>
  </si>
  <si>
    <t xml:space="preserve">TGGGTCATTAGCTGGAGCGA</t>
  </si>
  <si>
    <t xml:space="preserve">TAGTTGGGTCATTAGCTGGAGCGA</t>
  </si>
  <si>
    <t xml:space="preserve">AAACTCGCTCCAGCTAATGACCCA</t>
  </si>
  <si>
    <t xml:space="preserve">TACCAACGTCCAGCAGAACA</t>
  </si>
  <si>
    <t xml:space="preserve">TAGTTACCAACGTCCAGCAGAACA</t>
  </si>
  <si>
    <t xml:space="preserve">AAACTGTTCTGCTGGACGTTGGTA</t>
  </si>
  <si>
    <t xml:space="preserve">TGTTTCGCTCTCATTCCCTT</t>
  </si>
  <si>
    <t xml:space="preserve">TAGTTGTTTCGCTCTCATTCCCTT</t>
  </si>
  <si>
    <t xml:space="preserve">AAACAAGGGAATGAGAGCGAAACA</t>
  </si>
  <si>
    <t xml:space="preserve">TTGTATCGACGATGAGCAGT</t>
  </si>
  <si>
    <t xml:space="preserve">TAGTTTGTATCGACGATGAGCAGT</t>
  </si>
  <si>
    <t xml:space="preserve">AAACACTGCTCATCGTCGATACAA</t>
  </si>
  <si>
    <t xml:space="preserve">PSPPH_0930</t>
  </si>
  <si>
    <t xml:space="preserve">TTACCCCGTAACGAAAGGCA</t>
  </si>
  <si>
    <t xml:space="preserve">TAGTTTACCCCGTAACGAAAGGCA</t>
  </si>
  <si>
    <t xml:space="preserve">AAACTGCCTTTCGTTACGGGGTAA</t>
  </si>
  <si>
    <t xml:space="preserve">ACCGGCGTTACCAGCGTCAG</t>
  </si>
  <si>
    <t xml:space="preserve">TAGTACCGGCGTTACCAGCGTCAG</t>
  </si>
  <si>
    <t xml:space="preserve">AAACCTGACGCTGGTAACGCCGGT</t>
  </si>
  <si>
    <t xml:space="preserve">PSPPH_0931</t>
  </si>
  <si>
    <t xml:space="preserve">GAGCCAGAGTGAGGCGGGTC</t>
  </si>
  <si>
    <t xml:space="preserve">TAGTGAGCCAGAGTGAGGCGGGTC</t>
  </si>
  <si>
    <t xml:space="preserve">AAACGACCCGCCTCACTCTGGCTC</t>
  </si>
  <si>
    <t xml:space="preserve">ACGATACTGCCACCGATGTC</t>
  </si>
  <si>
    <t xml:space="preserve">TAGTACGATACTGCCACCGATGTC</t>
  </si>
  <si>
    <t xml:space="preserve">AAACGACATCGGTGGCAGTATCGT</t>
  </si>
  <si>
    <t xml:space="preserve">GGGGTGCCCGCTGGCCAATA</t>
  </si>
  <si>
    <t xml:space="preserve">TAGTGGGGTGCCCGCTGGCCAATA</t>
  </si>
  <si>
    <t xml:space="preserve">AAACTATTGGCCAGCGGGCACCCC</t>
  </si>
  <si>
    <t xml:space="preserve">TCGTCGCTCGGGCGCAGCAG</t>
  </si>
  <si>
    <t xml:space="preserve">TAGTTCGTCGCTCGGGCGCAGCAG</t>
  </si>
  <si>
    <t xml:space="preserve">AAACCTGCTGCGCCCGAGCGACGA</t>
  </si>
  <si>
    <t xml:space="preserve">PSPPH_0932</t>
  </si>
  <si>
    <t xml:space="preserve">TGTGGCGGGGGAACAGGGCA</t>
  </si>
  <si>
    <t xml:space="preserve">TAGTTGTGGCGGGGGAACAGGGCA</t>
  </si>
  <si>
    <t xml:space="preserve">AAACTGCCCTGTTCCCCCGCCACA</t>
  </si>
  <si>
    <t xml:space="preserve">CAGCAATGCCAGGATCAGCA</t>
  </si>
  <si>
    <t xml:space="preserve">TAGTCAGCAATGCCAGGATCAGCA</t>
  </si>
  <si>
    <t xml:space="preserve">AAACTGCTGATCCTGGCATTGCTG</t>
  </si>
  <si>
    <t xml:space="preserve">GTGGTTGCCGGCAAACGAAC</t>
  </si>
  <si>
    <t xml:space="preserve">TAGTGTGGTTGCCGGCAAACGAAC</t>
  </si>
  <si>
    <t xml:space="preserve">AAACGTTCGTTTGCCGGCAACCAC</t>
  </si>
  <si>
    <t xml:space="preserve">GAGAATGGCTAGCAGCAAGC</t>
  </si>
  <si>
    <t xml:space="preserve">TAGTGAGAATGGCTAGCAGCAAGC</t>
  </si>
  <si>
    <t xml:space="preserve">AAACGCTTGCTGCTAGCCATTCTC</t>
  </si>
  <si>
    <t xml:space="preserve">PSPPH_0933</t>
  </si>
  <si>
    <t xml:space="preserve">dctM</t>
  </si>
  <si>
    <t xml:space="preserve">AGGCGACAGGCATGCCGATG</t>
  </si>
  <si>
    <t xml:space="preserve">TAGTAGGCGACAGGCATGCCGATG</t>
  </si>
  <si>
    <t xml:space="preserve">AAACCATCGGCATGCCTGTCGCCT</t>
  </si>
  <si>
    <t xml:space="preserve">GGCCGAAAGCCCCAGCGCAT</t>
  </si>
  <si>
    <t xml:space="preserve">TAGTGGCCGAAAGCCCCAGCGCAT</t>
  </si>
  <si>
    <t xml:space="preserve">AAACATGCGCTGGGGCTTTCGGCC</t>
  </si>
  <si>
    <t xml:space="preserve">GATCCACCAGGCGCCTATCA</t>
  </si>
  <si>
    <t xml:space="preserve">TAGTGATCCACCAGGCGCCTATCA</t>
  </si>
  <si>
    <t xml:space="preserve">AAACTGATAGGCGCCTGGTGGATC</t>
  </si>
  <si>
    <t xml:space="preserve">TGGATCATCAGCGCATCGGC</t>
  </si>
  <si>
    <t xml:space="preserve">TAGTTGGATCATCAGCGCATCGGC</t>
  </si>
  <si>
    <t xml:space="preserve">AAACGCCGATGCGCTGATGATCCA</t>
  </si>
  <si>
    <t xml:space="preserve">PSPPH_0934</t>
  </si>
  <si>
    <t xml:space="preserve">CATTGGGCTCACCACTGCGG</t>
  </si>
  <si>
    <t xml:space="preserve">TAGTCATTGGGCTCACCACTGCGG</t>
  </si>
  <si>
    <t xml:space="preserve">AAACCCGCAGTGGTGAGCCCAATG</t>
  </si>
  <si>
    <t xml:space="preserve">CATGATCAGCACCGACAGAC</t>
  </si>
  <si>
    <t xml:space="preserve">TAGTCATGATCAGCACCGACAGAC</t>
  </si>
  <si>
    <t xml:space="preserve">AAACGTCTGTCGGTGCTGATCATG</t>
  </si>
  <si>
    <t xml:space="preserve">GATGCCCCAGGGGATGATCA</t>
  </si>
  <si>
    <t xml:space="preserve">TAGTGATGCCCCAGGGGATGATCA</t>
  </si>
  <si>
    <t xml:space="preserve">AAACTGATCATCCCCTGGGGCATC</t>
  </si>
  <si>
    <t xml:space="preserve">GCCGCTGCCGAGTATGTAAC</t>
  </si>
  <si>
    <t xml:space="preserve">TAGTGCCGCTGCCGAGTATGTAAC</t>
  </si>
  <si>
    <t xml:space="preserve">AAACGTTACATACTCGGCAGCGGC</t>
  </si>
  <si>
    <t xml:space="preserve">PSPPH_0935</t>
  </si>
  <si>
    <t xml:space="preserve">dctP</t>
  </si>
  <si>
    <t xml:space="preserve">AAGCTTGCGTTTGAAATCCA</t>
  </si>
  <si>
    <t xml:space="preserve">TAGTAAGCTTGCGTTTGAAATCCA</t>
  </si>
  <si>
    <t xml:space="preserve">AAACTGGATTTCAAACGCAAGCTT</t>
  </si>
  <si>
    <t xml:space="preserve">CCTGACACGCAGAAGGCCAA</t>
  </si>
  <si>
    <t xml:space="preserve">TAGTCCTGACACGCAGAAGGCCAA</t>
  </si>
  <si>
    <t xml:space="preserve">AAACTTGGCCTTCTGCGTGTCAGG</t>
  </si>
  <si>
    <t xml:space="preserve">GTAGCCTGCGGGGTGAACCT</t>
  </si>
  <si>
    <t xml:space="preserve">TAGTGTAGCCTGCGGGGTGAACCT</t>
  </si>
  <si>
    <t xml:space="preserve">AAACAGGTTCACCCCGCAGGCTAC</t>
  </si>
  <si>
    <t xml:space="preserve">ATGTTCTGTTCCGCCACGAC</t>
  </si>
  <si>
    <t xml:space="preserve">TAGTATGTTCTGTTCCGCCACGAC</t>
  </si>
  <si>
    <t xml:space="preserve">AAACGTCGTGGCGGAACAGAACAT</t>
  </si>
  <si>
    <t xml:space="preserve">PSPPH_0936</t>
  </si>
  <si>
    <t xml:space="preserve">TTGTGCATCTACAATCAGTT</t>
  </si>
  <si>
    <t xml:space="preserve">TAGTTTGTGCATCTACAATCAGTT</t>
  </si>
  <si>
    <t xml:space="preserve">AAACAACTGATTGTAGATGCACAA</t>
  </si>
  <si>
    <t xml:space="preserve">CCAGACCGGGCTTTCGCCAG</t>
  </si>
  <si>
    <t xml:space="preserve">TAGTCCAGACCGGGCTTTCGCCAG</t>
  </si>
  <si>
    <t xml:space="preserve">AAACCTGGCGAAAGCCCGGTCTGG</t>
  </si>
  <si>
    <t xml:space="preserve">TATCCACCCAGTACAACGCT</t>
  </si>
  <si>
    <t xml:space="preserve">TAGTTATCCACCCAGTACAACGCT</t>
  </si>
  <si>
    <t xml:space="preserve">AAACAGCGTTGTACTGGGTGGATA</t>
  </si>
  <si>
    <t xml:space="preserve">CAGCGCAGTAAGGTGCCCTT</t>
  </si>
  <si>
    <t xml:space="preserve">TAGTCAGCGCAGTAAGGTGCCCTT</t>
  </si>
  <si>
    <t xml:space="preserve">AAACAAGGGCACCTTACTGCGCTG</t>
  </si>
  <si>
    <t xml:space="preserve">PSPPH_0937</t>
  </si>
  <si>
    <t xml:space="preserve">GCGATTGAAGGGAGTTTGAG</t>
  </si>
  <si>
    <t xml:space="preserve">TAGTGCGATTGAAGGGAGTTTGAG</t>
  </si>
  <si>
    <t xml:space="preserve">AAACCTCAAACTCCCTTCAATCGC</t>
  </si>
  <si>
    <t xml:space="preserve">CTGCCGCACCGGTCAGCAGG</t>
  </si>
  <si>
    <t xml:space="preserve">TAGTCTGCCGCACCGGTCAGCAGG</t>
  </si>
  <si>
    <t xml:space="preserve">AAACCCTGCTGACCGGTGCGGCAG</t>
  </si>
  <si>
    <t xml:space="preserve">GGCGTAGCACGTTTGCGTAG</t>
  </si>
  <si>
    <t xml:space="preserve">TAGTGGCGTAGCACGTTTGCGTAG</t>
  </si>
  <si>
    <t xml:space="preserve">AAACCTACGCAAACGTGCTACGCC</t>
  </si>
  <si>
    <t xml:space="preserve">CCATCTCGGCAATGTCGGAC</t>
  </si>
  <si>
    <t xml:space="preserve">TAGTCCATCTCGGCAATGTCGGAC</t>
  </si>
  <si>
    <t xml:space="preserve">AAACGTCCGACATTGCCGAGATGG</t>
  </si>
  <si>
    <t xml:space="preserve">PSPPH_0938</t>
  </si>
  <si>
    <t xml:space="preserve">ACCCAGCAGGATGCGTGAGC</t>
  </si>
  <si>
    <t xml:space="preserve">TAGTACCCAGCAGGATGCGTGAGC</t>
  </si>
  <si>
    <t xml:space="preserve">AAACGCTCACGCATCCTGCTGGGT</t>
  </si>
  <si>
    <t xml:space="preserve">CCTCTGCCATGCCGAGCATC</t>
  </si>
  <si>
    <t xml:space="preserve">TAGTCCTCTGCCATGCCGAGCATC</t>
  </si>
  <si>
    <t xml:space="preserve">AAACGATGCTCGGCATGGCAGAGG</t>
  </si>
  <si>
    <t xml:space="preserve">ACGCAGCGTAAGTGTGGCTT</t>
  </si>
  <si>
    <t xml:space="preserve">TAGTACGCAGCGTAAGTGTGGCTT</t>
  </si>
  <si>
    <t xml:space="preserve">AAACAAGCCACACTTACGCTGCGT</t>
  </si>
  <si>
    <t xml:space="preserve">AGGCCGGGTTGGTGAAGTTG</t>
  </si>
  <si>
    <t xml:space="preserve">TAGTAGGCCGGGTTGGTGAAGTTG</t>
  </si>
  <si>
    <t xml:space="preserve">AAACCAACTTCACCAACCCGGCCT</t>
  </si>
  <si>
    <t xml:space="preserve">PSPPH_0939</t>
  </si>
  <si>
    <t xml:space="preserve">GGTCACGACAACAACTTTCT</t>
  </si>
  <si>
    <t xml:space="preserve">TAGTGGTCACGACAACAACTTTCT</t>
  </si>
  <si>
    <t xml:space="preserve">AAACAGAAAGTTGTTGTCGTGACC</t>
  </si>
  <si>
    <t xml:space="preserve">GCCGATCCCGGAACCAGCCC</t>
  </si>
  <si>
    <t xml:space="preserve">TAGTGCCGATCCCGGAACCAGCCC</t>
  </si>
  <si>
    <t xml:space="preserve">AAACGGGCTGGTTCCGGGATCGGC</t>
  </si>
  <si>
    <t xml:space="preserve">CTGGGCAAAACGCTTGGCGG</t>
  </si>
  <si>
    <t xml:space="preserve">TAGTCTGGGCAAAACGCTTGGCGG</t>
  </si>
  <si>
    <t xml:space="preserve">AAACCCGCCAAGCGTTTTGCCCAG</t>
  </si>
  <si>
    <t xml:space="preserve">TGTCGAGTTTGTCGCGATTA</t>
  </si>
  <si>
    <t xml:space="preserve">TAGTTGTCGAGTTTGTCGCGATTA</t>
  </si>
  <si>
    <t xml:space="preserve">AAACTAATCGCGACAAACTCGACA</t>
  </si>
  <si>
    <t xml:space="preserve">PSPPH_0940</t>
  </si>
  <si>
    <t xml:space="preserve">AAGTACTAGACCGAAACCGA</t>
  </si>
  <si>
    <t xml:space="preserve">TAGTAAGTACTAGACCGAAACCGA</t>
  </si>
  <si>
    <t xml:space="preserve">AAACTCGGTTTCGGTCTAGTACTT</t>
  </si>
  <si>
    <t xml:space="preserve">ATTGATCAGTCCGCTCATGC</t>
  </si>
  <si>
    <t xml:space="preserve">TAGTATTGATCAGTCCGCTCATGC</t>
  </si>
  <si>
    <t xml:space="preserve">AAACGCATGAGCGGACTGATCAAT</t>
  </si>
  <si>
    <t xml:space="preserve">CACACGCAGTTTGGTCAACT</t>
  </si>
  <si>
    <t xml:space="preserve">TAGTCACACGCAGTTTGGTCAACT</t>
  </si>
  <si>
    <t xml:space="preserve">AAACAGTTGACCAAACTGCGTGTG</t>
  </si>
  <si>
    <t xml:space="preserve">AGCGACCATGTATTGCAGAC</t>
  </si>
  <si>
    <t xml:space="preserve">TAGTAGCGACCATGTATTGCAGAC</t>
  </si>
  <si>
    <t xml:space="preserve">AAACGTCTGCAATACATGGTCGCT</t>
  </si>
  <si>
    <t xml:space="preserve">PSPPH_0942</t>
  </si>
  <si>
    <t xml:space="preserve">AGCGCCAGCGAGGAAGAGAG</t>
  </si>
  <si>
    <t xml:space="preserve">TAGTAGCGCCAGCGAGGAAGAGAG</t>
  </si>
  <si>
    <t xml:space="preserve">AAACCTCTCTTCCTCGCTGGCGCT</t>
  </si>
  <si>
    <t xml:space="preserve">TCACTCTCTGCAAAGGCCGC</t>
  </si>
  <si>
    <t xml:space="preserve">TAGTTCACTCTCTGCAAAGGCCGC</t>
  </si>
  <si>
    <t xml:space="preserve">AAACGCGGCCTTTGCAGAGAGTGA</t>
  </si>
  <si>
    <t xml:space="preserve">CCAGCTCACGGTTATCGTGT</t>
  </si>
  <si>
    <t xml:space="preserve">TAGTCCAGCTCACGGTTATCGTGT</t>
  </si>
  <si>
    <t xml:space="preserve">AAACACACGATAACCGTGAGCTGG</t>
  </si>
  <si>
    <t xml:space="preserve">GACGCCCTTGTCCACTTCTT</t>
  </si>
  <si>
    <t xml:space="preserve">TAGTGACGCCCTTGTCCACTTCTT</t>
  </si>
  <si>
    <t xml:space="preserve">AAACAAGAAGTGGACAAGGGCGTC</t>
  </si>
  <si>
    <t xml:space="preserve">PSPPH_0943</t>
  </si>
  <si>
    <t xml:space="preserve">TGAGAGTACGTGTAAGTGTA</t>
  </si>
  <si>
    <t xml:space="preserve">TAGTTGAGAGTACGTGTAAGTGTA</t>
  </si>
  <si>
    <t xml:space="preserve">AAACTACACTTACACGTACTCTCA</t>
  </si>
  <si>
    <t xml:space="preserve">TAGAGTCATTTTAGCCTCAA</t>
  </si>
  <si>
    <t xml:space="preserve">TAGTTAGAGTCATTTTAGCCTCAA</t>
  </si>
  <si>
    <t xml:space="preserve">AAACTTGAGGCTAAAATGACTCTA</t>
  </si>
  <si>
    <t xml:space="preserve">CCCGTCGAGACAATCGGACG</t>
  </si>
  <si>
    <t xml:space="preserve">TAGTCCCGTCGAGACAATCGGACG</t>
  </si>
  <si>
    <t xml:space="preserve">AAACCGTCCGATTGTCTCGACGGG</t>
  </si>
  <si>
    <t xml:space="preserve">CTTAAGGATTGAGTCAAATC</t>
  </si>
  <si>
    <t xml:space="preserve">TAGTCTTAAGGATTGAGTCAAATC</t>
  </si>
  <si>
    <t xml:space="preserve">AAACGATTTGACTCAATCCTTAAG</t>
  </si>
  <si>
    <t xml:space="preserve">PSPPH_0944</t>
  </si>
  <si>
    <t xml:space="preserve">GAAGGGAGCCACAATCATCA</t>
  </si>
  <si>
    <t xml:space="preserve">TAGTGAAGGGAGCCACAATCATCA</t>
  </si>
  <si>
    <t xml:space="preserve">AAACTGATGATTGTGGCTCCCTTC</t>
  </si>
  <si>
    <t xml:space="preserve">TATCGCCAAGCAGTTTACCG</t>
  </si>
  <si>
    <t xml:space="preserve">TAGTTATCGCCAAGCAGTTTACCG</t>
  </si>
  <si>
    <t xml:space="preserve">AAACCGGTAAACTGCTTGGCGATA</t>
  </si>
  <si>
    <t xml:space="preserve">GGTCGTGGTGAGCTTGAACG</t>
  </si>
  <si>
    <t xml:space="preserve">TAGTGGTCGTGGTGAGCTTGAACG</t>
  </si>
  <si>
    <t xml:space="preserve">AAACCGTTCAAGCTCACCACGACC</t>
  </si>
  <si>
    <t xml:space="preserve">GAGCGATTGAAAGCGAGGCC</t>
  </si>
  <si>
    <t xml:space="preserve">TAGTGAGCGATTGAAAGCGAGGCC</t>
  </si>
  <si>
    <t xml:space="preserve">AAACGGCCTCGCTTTCAATCGCTC</t>
  </si>
  <si>
    <t xml:space="preserve">PSPPH_0945</t>
  </si>
  <si>
    <t xml:space="preserve">AGGTAACGCCGGCTGATTCC</t>
  </si>
  <si>
    <t xml:space="preserve">TAGTAGGTAACGCCGGCTGATTCC</t>
  </si>
  <si>
    <t xml:space="preserve">AAACGGAATCAGCCGGCGTTACCT</t>
  </si>
  <si>
    <t xml:space="preserve">PSPPH_0946</t>
  </si>
  <si>
    <t xml:space="preserve">CTTGTACTGAGGAACCGCCA</t>
  </si>
  <si>
    <t xml:space="preserve">TAGTCTTGTACTGAGGAACCGCCA</t>
  </si>
  <si>
    <t xml:space="preserve">AAACTGGCGGTTCCTCAGTACAAG</t>
  </si>
  <si>
    <t xml:space="preserve">CTGGCCGACGCAGGTAGGTG</t>
  </si>
  <si>
    <t xml:space="preserve">TAGTCTGGCCGACGCAGGTAGGTG</t>
  </si>
  <si>
    <t xml:space="preserve">AAACCACCTACCTGCGTCGGCCAG</t>
  </si>
  <si>
    <t xml:space="preserve">GGCCAAAGCGAGCGGCGGCA</t>
  </si>
  <si>
    <t xml:space="preserve">TAGTGGCCAAAGCGAGCGGCGGCA</t>
  </si>
  <si>
    <t xml:space="preserve">AAACTGCCGCCGCTCGCTTTGGCC</t>
  </si>
  <si>
    <t xml:space="preserve">GCTCACCCGCTGCGGCGGCG</t>
  </si>
  <si>
    <t xml:space="preserve">TAGTGCTCACCCGCTGCGGCGGCG</t>
  </si>
  <si>
    <t xml:space="preserve">AAACCGCCGCCGCAGCGGGTGAGC</t>
  </si>
  <si>
    <t xml:space="preserve">PSPPH_0947</t>
  </si>
  <si>
    <t xml:space="preserve">CGACCGTTCGCAATGCCTTA</t>
  </si>
  <si>
    <t xml:space="preserve">TAGTCGACCGTTCGCAATGCCTTA</t>
  </si>
  <si>
    <t xml:space="preserve">AAACTAAGGCATTGCGAACGGTCG</t>
  </si>
  <si>
    <t xml:space="preserve">AGTAAGTCACCCAGTCATTG</t>
  </si>
  <si>
    <t xml:space="preserve">TAGTAGTAAGTCACCCAGTCATTG</t>
  </si>
  <si>
    <t xml:space="preserve">AAACCAATGACTGGGTGACTTACT</t>
  </si>
  <si>
    <t xml:space="preserve">CATTGGCGAAGCCACCAGAC</t>
  </si>
  <si>
    <t xml:space="preserve">TAGTCATTGGCGAAGCCACCAGAC</t>
  </si>
  <si>
    <t xml:space="preserve">AAACGTCTGGTGGCTTCGCCAATG</t>
  </si>
  <si>
    <t xml:space="preserve">CTGTTCGGTCGCGAGATCGG</t>
  </si>
  <si>
    <t xml:space="preserve">TAGTCTGTTCGGTCGCGAGATCGG</t>
  </si>
  <si>
    <t xml:space="preserve">AAACCCGATCTCGCGACCGAACAG</t>
  </si>
  <si>
    <t xml:space="preserve">PSPPH_0949</t>
  </si>
  <si>
    <t xml:space="preserve">TGAGGCGGGCGGTGTGGTCA</t>
  </si>
  <si>
    <t xml:space="preserve">TAGTTGAGGCGGGCGGTGTGGTCA</t>
  </si>
  <si>
    <t xml:space="preserve">AAACTGACCACACCGCCCGCCTCA</t>
  </si>
  <si>
    <t xml:space="preserve">GACGGTTGCGCGACGATACG</t>
  </si>
  <si>
    <t xml:space="preserve">TAGTGACGGTTGCGCGACGATACG</t>
  </si>
  <si>
    <t xml:space="preserve">AAACCGTATCGTCGCGCAACCGTC</t>
  </si>
  <si>
    <t xml:space="preserve">ACCGGCGCTCAGTTGAGGCC</t>
  </si>
  <si>
    <t xml:space="preserve">TAGTACCGGCGCTCAGTTGAGGCC</t>
  </si>
  <si>
    <t xml:space="preserve">AAACGGCCTCAACTGAGCGCCGGT</t>
  </si>
  <si>
    <t xml:space="preserve">CTGCTGCAAAAGTTTGCGCC</t>
  </si>
  <si>
    <t xml:space="preserve">TAGTCTGCTGCAAAAGTTTGCGCC</t>
  </si>
  <si>
    <t xml:space="preserve">AAACGGCGCAAACTTTTGCAGCAG</t>
  </si>
  <si>
    <t xml:space="preserve">PSPPH_0950</t>
  </si>
  <si>
    <t xml:space="preserve">TGTCCCATCAGGCGCATGCC</t>
  </si>
  <si>
    <t xml:space="preserve">TAGTTGTCCCATCAGGCGCATGCC</t>
  </si>
  <si>
    <t xml:space="preserve">AAACGGCATGCGCCTGATGGGACA</t>
  </si>
  <si>
    <t xml:space="preserve">CCAGCGGCAACATGAACAGC</t>
  </si>
  <si>
    <t xml:space="preserve">TAGTCCAGCGGCAACATGAACAGC</t>
  </si>
  <si>
    <t xml:space="preserve">AAACGCTGTTCATGTTGCCGCTGG</t>
  </si>
  <si>
    <t xml:space="preserve">GAGCTTGTTGCTGTACTCCT</t>
  </si>
  <si>
    <t xml:space="preserve">TAGTGAGCTTGTTGCTGTACTCCT</t>
  </si>
  <si>
    <t xml:space="preserve">AAACAGGAGTACAGCAACAAGCTC</t>
  </si>
  <si>
    <t xml:space="preserve">ACGCACGCCCGATTGCTCGC</t>
  </si>
  <si>
    <t xml:space="preserve">TAGTACGCACGCCCGATTGCTCGC</t>
  </si>
  <si>
    <t xml:space="preserve">AAACGCGAGCAATCGGGCGTGCGT</t>
  </si>
  <si>
    <t xml:space="preserve">PSPPH_0951</t>
  </si>
  <si>
    <t xml:space="preserve">GCCGGTAGTGTCCGGGTAGT</t>
  </si>
  <si>
    <t xml:space="preserve">TAGTGCCGGTAGTGTCCGGGTAGT</t>
  </si>
  <si>
    <t xml:space="preserve">AAACACTACCCGGACACTACCGGC</t>
  </si>
  <si>
    <t xml:space="preserve">CCCGGCAGCCTTGTGCGAGC</t>
  </si>
  <si>
    <t xml:space="preserve">TAGTCCCGGCAGCCTTGTGCGAGC</t>
  </si>
  <si>
    <t xml:space="preserve">AAACGCTCGCACAAGGCTGCCGGG</t>
  </si>
  <si>
    <t xml:space="preserve">GGCGAGCGGGGGAGGGAGAC</t>
  </si>
  <si>
    <t xml:space="preserve">TAGTGGCGAGCGGGGGAGGGAGAC</t>
  </si>
  <si>
    <t xml:space="preserve">AAACGTCTCCCTCCCCCGCTCGCC</t>
  </si>
  <si>
    <t xml:space="preserve">CCTGATGGTCGCCGACCTGC</t>
  </si>
  <si>
    <t xml:space="preserve">TAGTCCTGATGGTCGCCGACCTGC</t>
  </si>
  <si>
    <t xml:space="preserve">AAACGCAGGTCGGCGACCATCAGG</t>
  </si>
  <si>
    <t xml:space="preserve">PSPPH_0952</t>
  </si>
  <si>
    <t xml:space="preserve">GGTGATCAGTGCGCGCTTGC</t>
  </si>
  <si>
    <t xml:space="preserve">TAGTGGTGATCAGTGCGCGCTTGC</t>
  </si>
  <si>
    <t xml:space="preserve">AAACGCAAGCGCGCACTGATCACC</t>
  </si>
  <si>
    <t xml:space="preserve">GCCTGTAAAGCCGTTGATTC</t>
  </si>
  <si>
    <t xml:space="preserve">TAGTGCCTGTAAAGCCGTTGATTC</t>
  </si>
  <si>
    <t xml:space="preserve">AAACGAATCAACGGCTTTACAGGC</t>
  </si>
  <si>
    <t xml:space="preserve">CAAGCTCGTTCGCCATGAAA</t>
  </si>
  <si>
    <t xml:space="preserve">TAGTCAAGCTCGTTCGCCATGAAA</t>
  </si>
  <si>
    <t xml:space="preserve">AAACTTTCATGGCGAACGAGCTTG</t>
  </si>
  <si>
    <t xml:space="preserve">AAGGACTTCACAGCCCTGGG</t>
  </si>
  <si>
    <t xml:space="preserve">TAGTAAGGACTTCACAGCCCTGGG</t>
  </si>
  <si>
    <t xml:space="preserve">AAACCCCAGGGCTGTGAAGTCCTT</t>
  </si>
  <si>
    <t xml:space="preserve">PSPPH_0953</t>
  </si>
  <si>
    <t xml:space="preserve">gmd</t>
  </si>
  <si>
    <t xml:space="preserve">GCCGTCTTGACCAGTAATGC</t>
  </si>
  <si>
    <t xml:space="preserve">TAGTGCCGTCTTGACCAGTAATGC</t>
  </si>
  <si>
    <t xml:space="preserve">AAACGCATTACTGGTCAAGACGGC</t>
  </si>
  <si>
    <t xml:space="preserve">TTTCGAGCAGCAGCTCAGCC</t>
  </si>
  <si>
    <t xml:space="preserve">TAGTTTTCGAGCAGCAGCTCAGCC</t>
  </si>
  <si>
    <t xml:space="preserve">AAACGGCTGAGCTGCTGCTCGAAA</t>
  </si>
  <si>
    <t xml:space="preserve">ACGGCGGTAGGTGCCGTAAA</t>
  </si>
  <si>
    <t xml:space="preserve">TAGTACGGCGGTAGGTGCCGTAAA</t>
  </si>
  <si>
    <t xml:space="preserve">AAACTTTACGGCACCTACCGCCGT</t>
  </si>
  <si>
    <t xml:space="preserve">ACGCCAGAAATTGACAGAGC</t>
  </si>
  <si>
    <t xml:space="preserve">TAGTACGCCAGAAATTGACAGAGC</t>
  </si>
  <si>
    <t xml:space="preserve">AAACGCTCTGTCAATTTCTGGCGT</t>
  </si>
  <si>
    <t xml:space="preserve">PSPPH_0954</t>
  </si>
  <si>
    <t xml:space="preserve">CGAATCCCCGGTAACCCCAA</t>
  </si>
  <si>
    <t xml:space="preserve">TAGTCGAATCCCCGGTAACCCCAA</t>
  </si>
  <si>
    <t xml:space="preserve">AAACTTGGGGTTACCGGGGATTCG</t>
  </si>
  <si>
    <t xml:space="preserve">GCGGCTACGGGAGAATCGTG</t>
  </si>
  <si>
    <t xml:space="preserve">TAGTGCGGCTACGGGAGAATCGTG</t>
  </si>
  <si>
    <t xml:space="preserve">AAACCACGATTCTCCCGTAGCCGC</t>
  </si>
  <si>
    <t xml:space="preserve">TGATCATCCACAGCCCGCCC</t>
  </si>
  <si>
    <t xml:space="preserve">TAGTTGATCATCCACAGCCCGCCC</t>
  </si>
  <si>
    <t xml:space="preserve">AAACGGGCGGGCTGTGGATGATCA</t>
  </si>
  <si>
    <t xml:space="preserve">AGATCGCAACCTGTGCCAGA</t>
  </si>
  <si>
    <t xml:space="preserve">TAGTAGATCGCAACCTGTGCCAGA</t>
  </si>
  <si>
    <t xml:space="preserve">AAACTCTGGCACAGGTTGCGATCT</t>
  </si>
  <si>
    <t xml:space="preserve">PSPPH_0955</t>
  </si>
  <si>
    <t xml:space="preserve">CTCGGAGGCGTAAACACGAT</t>
  </si>
  <si>
    <t xml:space="preserve">TAGTCTCGGAGGCGTAAACACGAT</t>
  </si>
  <si>
    <t xml:space="preserve">AAACATCGTGTTTACGCCTCCGAG</t>
  </si>
  <si>
    <t xml:space="preserve">CCAGTGTTCTTCCTTGGGTT</t>
  </si>
  <si>
    <t xml:space="preserve">TAGTCCAGTGTTCTTCCTTGGGTT</t>
  </si>
  <si>
    <t xml:space="preserve">AAACAACCCAAGGAAGAACACTGG</t>
  </si>
  <si>
    <t xml:space="preserve">TCGAGAAATTGACGTGCTTG</t>
  </si>
  <si>
    <t xml:space="preserve">TAGTTCGAGAAATTGACGTGCTTG</t>
  </si>
  <si>
    <t xml:space="preserve">AAACCAAGCACGTCAATTTCTCGA</t>
  </si>
  <si>
    <t xml:space="preserve">GACGATGCCAATGGCCTCAC</t>
  </si>
  <si>
    <t xml:space="preserve">TAGTGACGATGCCAATGGCCTCAC</t>
  </si>
  <si>
    <t xml:space="preserve">AAACGTGAGGCCATTGGCATCGTC</t>
  </si>
  <si>
    <t xml:space="preserve">PSPPH_0956</t>
  </si>
  <si>
    <t xml:space="preserve">TCTTCAAAGGCGCGGTAGAA</t>
  </si>
  <si>
    <t xml:space="preserve">TAGTTCTTCAAAGGCGCGGTAGAA</t>
  </si>
  <si>
    <t xml:space="preserve">AAACTTCTACCGCGCCTTTGAAGA</t>
  </si>
  <si>
    <t xml:space="preserve">GGAATGGTATGTAAACCTGC</t>
  </si>
  <si>
    <t xml:space="preserve">TAGTGGAATGGTATGTAAACCTGC</t>
  </si>
  <si>
    <t xml:space="preserve">AAACGCAGGTTTACATACCATTCC</t>
  </si>
  <si>
    <t xml:space="preserve">ACATTTGCTTCAACGGCTCA</t>
  </si>
  <si>
    <t xml:space="preserve">TAGTACATTTGCTTCAACGGCTCA</t>
  </si>
  <si>
    <t xml:space="preserve">AAACTGAGCCGTTGAAGCAAATGT</t>
  </si>
  <si>
    <t xml:space="preserve">ATATCAAGAGCAGAACGCTC</t>
  </si>
  <si>
    <t xml:space="preserve">TAGTATATCAAGAGCAGAACGCTC</t>
  </si>
  <si>
    <t xml:space="preserve">AAACGAGCGTTCTGCTCTTGATAT</t>
  </si>
  <si>
    <t xml:space="preserve">PSPPH_0957</t>
  </si>
  <si>
    <t xml:space="preserve">GGGCCAGGGAAAGAGAGTAA</t>
  </si>
  <si>
    <t xml:space="preserve">TAGTGGGCCAGGGAAAGAGAGTAA</t>
  </si>
  <si>
    <t xml:space="preserve">AAACTTACTCTCTTTCCCTGGCCC</t>
  </si>
  <si>
    <t xml:space="preserve">GGCATTGCGCGCCATGGCCT</t>
  </si>
  <si>
    <t xml:space="preserve">TAGTGGCATTGCGCGCCATGGCCT</t>
  </si>
  <si>
    <t xml:space="preserve">AAACAGGCCATGGCGCGCAATGCC</t>
  </si>
  <si>
    <t xml:space="preserve">CAGCCAGATTTCATGCTCTC</t>
  </si>
  <si>
    <t xml:space="preserve">TAGTCAGCCAGATTTCATGCTCTC</t>
  </si>
  <si>
    <t xml:space="preserve">AAACGAGAGCATGAAATCTGGCTG</t>
  </si>
  <si>
    <t xml:space="preserve">GAGAACGCTGCCCTGATGTC</t>
  </si>
  <si>
    <t xml:space="preserve">TAGTGAGAACGCTGCCCTGATGTC</t>
  </si>
  <si>
    <t xml:space="preserve">AAACGACATCAGGGCAGCGTTCTC</t>
  </si>
  <si>
    <t xml:space="preserve">PSPPH_0958</t>
  </si>
  <si>
    <t xml:space="preserve">GCTGTCTTCGAACTTCAGTC</t>
  </si>
  <si>
    <t xml:space="preserve">TAGTGCTGTCTTCGAACTTCAGTC</t>
  </si>
  <si>
    <t xml:space="preserve">AAACGACTGAAGTTCGAAGACAGC</t>
  </si>
  <si>
    <t xml:space="preserve">CCAAAACCTTTTTTCCAGCA</t>
  </si>
  <si>
    <t xml:space="preserve">TAGTCCAAAACCTTTTTTCCAGCA</t>
  </si>
  <si>
    <t xml:space="preserve">AAACTGCTGGAAAAAAGGTTTTGG</t>
  </si>
  <si>
    <t xml:space="preserve">TCCGGTAAACCCGGTATGAC</t>
  </si>
  <si>
    <t xml:space="preserve">TAGTTCCGGTAAACCCGGTATGAC</t>
  </si>
  <si>
    <t xml:space="preserve">AAACGTCATACCGGGTTTACCGGA</t>
  </si>
  <si>
    <t xml:space="preserve">AAAAGAGAAGGTTTGGTCTC</t>
  </si>
  <si>
    <t xml:space="preserve">TAGTAAAAGAGAAGGTTTGGTCTC</t>
  </si>
  <si>
    <t xml:space="preserve">AAACGAGACCAAACCTTCTCTTTT</t>
  </si>
  <si>
    <t xml:space="preserve">PSPPH_0959</t>
  </si>
  <si>
    <t xml:space="preserve">TTGCCTGCCCGAGTCGACCG</t>
  </si>
  <si>
    <t xml:space="preserve">TAGTTTGCCTGCCCGAGTCGACCG</t>
  </si>
  <si>
    <t xml:space="preserve">AAACCGGTCGACTCGGGCAGGCAA</t>
  </si>
  <si>
    <t xml:space="preserve">ATACAGGTTACTTCATTCGC</t>
  </si>
  <si>
    <t xml:space="preserve">TAGTATACAGGTTACTTCATTCGC</t>
  </si>
  <si>
    <t xml:space="preserve">AAACGCGAATGAAGTAACCTGTAT</t>
  </si>
  <si>
    <t xml:space="preserve">GTAATCGCCGGTATTGAATC</t>
  </si>
  <si>
    <t xml:space="preserve">TAGTGTAATCGCCGGTATTGAATC</t>
  </si>
  <si>
    <t xml:space="preserve">AAACGATTCAATACCGGCGATTAC</t>
  </si>
  <si>
    <t xml:space="preserve">CGCACATTTCGAAAAATAGG</t>
  </si>
  <si>
    <t xml:space="preserve">TAGTCGCACATTTCGAAAAATAGG</t>
  </si>
  <si>
    <t xml:space="preserve">AAACCCTATTTTTCGAAATGTGCG</t>
  </si>
  <si>
    <t xml:space="preserve">PSPPH_0960</t>
  </si>
  <si>
    <t xml:space="preserve">GGATCGAGATTGATACCAAG</t>
  </si>
  <si>
    <t xml:space="preserve">TAGTGGATCGAGATTGATACCAAG</t>
  </si>
  <si>
    <t xml:space="preserve">AAACCTTGGTATCAATCTCGATCC</t>
  </si>
  <si>
    <t xml:space="preserve">TTCCCGACTCATTGAGCACC</t>
  </si>
  <si>
    <t xml:space="preserve">TAGTTTCCCGACTCATTGAGCACC</t>
  </si>
  <si>
    <t xml:space="preserve">AAACGGTGCTCAATGAGTCGGGAA</t>
  </si>
  <si>
    <t xml:space="preserve">CGCGTCCAGCCGACTGTAAA</t>
  </si>
  <si>
    <t xml:space="preserve">TAGTCGCGTCCAGCCGACTGTAAA</t>
  </si>
  <si>
    <t xml:space="preserve">AAACTTTACAGTCGGCTGGACGCG</t>
  </si>
  <si>
    <t xml:space="preserve">ATCACACCGGTCTTTCATCC</t>
  </si>
  <si>
    <t xml:space="preserve">TAGTATCACACCGGTCTTTCATCC</t>
  </si>
  <si>
    <t xml:space="preserve">AAACGGATGAAAGACCGGTGTGAT</t>
  </si>
  <si>
    <t xml:space="preserve">PSPPH_0961</t>
  </si>
  <si>
    <t xml:space="preserve">GATGCGAGTTCCCAAGCCAC</t>
  </si>
  <si>
    <t xml:space="preserve">TAGTGATGCGAGTTCCCAAGCCAC</t>
  </si>
  <si>
    <t xml:space="preserve">AAACGTGGCTTGGGAACTCGCATC</t>
  </si>
  <si>
    <t xml:space="preserve">CTCTACCATTGGTTTCGGTT</t>
  </si>
  <si>
    <t xml:space="preserve">TAGTCTCTACCATTGGTTTCGGTT</t>
  </si>
  <si>
    <t xml:space="preserve">AAACAACCGAAACCAATGGTAGAG</t>
  </si>
  <si>
    <t xml:space="preserve">CGCATGATGTGCCAAAGCAG</t>
  </si>
  <si>
    <t xml:space="preserve">TAGTCGCATGATGTGCCAAAGCAG</t>
  </si>
  <si>
    <t xml:space="preserve">AAACCTGCTTTGGCACATCATGCG</t>
  </si>
  <si>
    <t xml:space="preserve">TCACATAGCCTTTGTAGCCC</t>
  </si>
  <si>
    <t xml:space="preserve">TAGTTCACATAGCCTTTGTAGCCC</t>
  </si>
  <si>
    <t xml:space="preserve">AAACGGGCTACAAAGGCTATGTGA</t>
  </si>
  <si>
    <t xml:space="preserve">PSPPH_0962</t>
  </si>
  <si>
    <t xml:space="preserve">TTTTATCCAGCGCCTCTCTT</t>
  </si>
  <si>
    <t xml:space="preserve">TAGTTTTTATCCAGCGCCTCTCTT</t>
  </si>
  <si>
    <t xml:space="preserve">AAACAAGAGAGGCGCTGGATAAAA</t>
  </si>
  <si>
    <t xml:space="preserve">CCAGACGAAAAATTGCGATA</t>
  </si>
  <si>
    <t xml:space="preserve">TAGTCCAGACGAAAAATTGCGATA</t>
  </si>
  <si>
    <t xml:space="preserve">AAACTATCGCAATTTTTCGTCTGG</t>
  </si>
  <si>
    <t xml:space="preserve">CCAGTATCAGGTAGCGCCAT</t>
  </si>
  <si>
    <t xml:space="preserve">TAGTCCAGTATCAGGTAGCGCCAT</t>
  </si>
  <si>
    <t xml:space="preserve">AAACATGGCGCTACCTGATACTGG</t>
  </si>
  <si>
    <t xml:space="preserve">AGACCATCGAAAGATACGCA</t>
  </si>
  <si>
    <t xml:space="preserve">TAGTAGACCATCGAAAGATACGCA</t>
  </si>
  <si>
    <t xml:space="preserve">AAACTGCGTATCTTTCGATGGTCT</t>
  </si>
  <si>
    <t xml:space="preserve">PSPPH_0963</t>
  </si>
  <si>
    <t xml:space="preserve">CCCGGCCAATCCGCCTGGCG</t>
  </si>
  <si>
    <t xml:space="preserve">TAGTCCCGGCCAATCCGCCTGGCG</t>
  </si>
  <si>
    <t xml:space="preserve">AAACCGCCAGGCGGATTGGCCGGG</t>
  </si>
  <si>
    <t xml:space="preserve">CGTCGTTATTGAACCAGTGG</t>
  </si>
  <si>
    <t xml:space="preserve">TAGTCGTCGTTATTGAACCAGTGG</t>
  </si>
  <si>
    <t xml:space="preserve">AAACCCACTGGTTCAATAACGACG</t>
  </si>
  <si>
    <t xml:space="preserve">CCCAGTTCCTTGACCAGTTC</t>
  </si>
  <si>
    <t xml:space="preserve">TAGTCCCAGTTCCTTGACCAGTTC</t>
  </si>
  <si>
    <t xml:space="preserve">AAACGAACTGGTCAAGGAACTGGG</t>
  </si>
  <si>
    <t xml:space="preserve">AGTACATGCCGGTTCGCGTT</t>
  </si>
  <si>
    <t xml:space="preserve">TAGTAGTACATGCCGGTTCGCGTT</t>
  </si>
  <si>
    <t xml:space="preserve">AAACAACGCGAACCGGCATGTACT</t>
  </si>
  <si>
    <t xml:space="preserve">PSPPH_0964</t>
  </si>
  <si>
    <t xml:space="preserve">CCACTATGTGGCTGAGCCTG</t>
  </si>
  <si>
    <t xml:space="preserve">TAGTCCACTATGTGGCTGAGCCTG</t>
  </si>
  <si>
    <t xml:space="preserve">AAACCAGGCTCAGCCACATAGTGG</t>
  </si>
  <si>
    <t xml:space="preserve">CCCAGGAATGTCGAGTGCAG</t>
  </si>
  <si>
    <t xml:space="preserve">TAGTCCCAGGAATGTCGAGTGCAG</t>
  </si>
  <si>
    <t xml:space="preserve">AAACCTGCACTCGACATTCCTGGG</t>
  </si>
  <si>
    <t xml:space="preserve">ATAGATAAAAGCACCCCATA</t>
  </si>
  <si>
    <t xml:space="preserve">TAGTATAGATAAAAGCACCCCATA</t>
  </si>
  <si>
    <t xml:space="preserve">AAACTATGGGGTGCTTTTATCTAT</t>
  </si>
  <si>
    <t xml:space="preserve">GACGCCCGCGCAACACGCCT</t>
  </si>
  <si>
    <t xml:space="preserve">TAGTGACGCCCGCGCAACACGCCT</t>
  </si>
  <si>
    <t xml:space="preserve">AAACAGGCGTGTTGCGCGGGCGTC</t>
  </si>
  <si>
    <t xml:space="preserve">PSPPH_0965</t>
  </si>
  <si>
    <t xml:space="preserve">GTGTTTTTGTATGATGGCAA</t>
  </si>
  <si>
    <t xml:space="preserve">TAGTGTGTTTTTGTATGATGGCAA</t>
  </si>
  <si>
    <t xml:space="preserve">AAACTTGCCATCATACAAAAACAC</t>
  </si>
  <si>
    <t xml:space="preserve">TCAGCATTAAAGCAAACAGT</t>
  </si>
  <si>
    <t xml:space="preserve">TAGTTCAGCATTAAAGCAAACAGT</t>
  </si>
  <si>
    <t xml:space="preserve">AAACACTGTTTGCTTTAATGCTGA</t>
  </si>
  <si>
    <t xml:space="preserve">CTCAATCCCAGCACGGCCGC</t>
  </si>
  <si>
    <t xml:space="preserve">TAGTCTCAATCCCAGCACGGCCGC</t>
  </si>
  <si>
    <t xml:space="preserve">AAACGCGGCCGTGCTGGGATTGAG</t>
  </si>
  <si>
    <t xml:space="preserve">AGTAGTATTTCTTTTCGTTC</t>
  </si>
  <si>
    <t xml:space="preserve">TAGTAGTAGTATTTCTTTTCGTTC</t>
  </si>
  <si>
    <t xml:space="preserve">AAACGAACGAAAAGAAATACTACT</t>
  </si>
  <si>
    <t xml:space="preserve">PSPPH_0966</t>
  </si>
  <si>
    <t xml:space="preserve">CTTGCTCGTAGCGCTTGAAG</t>
  </si>
  <si>
    <t xml:space="preserve">TAGTCTTGCTCGTAGCGCTTGAAG</t>
  </si>
  <si>
    <t xml:space="preserve">AAACCTTCAAGCGCTACGAGCAAG</t>
  </si>
  <si>
    <t xml:space="preserve">GCAAGTTACTCGTGAGGATC</t>
  </si>
  <si>
    <t xml:space="preserve">TAGTGCAAGTTACTCGTGAGGATC</t>
  </si>
  <si>
    <t xml:space="preserve">AAACGATCCTCACGAGTAACTTGC</t>
  </si>
  <si>
    <t xml:space="preserve">GTTCCGGCCCACTGGGTAAA</t>
  </si>
  <si>
    <t xml:space="preserve">TAGTGTTCCGGCCCACTGGGTAAA</t>
  </si>
  <si>
    <t xml:space="preserve">AAACTTTACCCAGTGGGCCGGAAC</t>
  </si>
  <si>
    <t xml:space="preserve">CAGTGTTTGATCATCCGCAA</t>
  </si>
  <si>
    <t xml:space="preserve">TAGTCAGTGTTTGATCATCCGCAA</t>
  </si>
  <si>
    <t xml:space="preserve">AAACTTGCGGATGATCAAACACTG</t>
  </si>
  <si>
    <t xml:space="preserve">PSPPH_0967</t>
  </si>
  <si>
    <t xml:space="preserve">rfbA</t>
  </si>
  <si>
    <t xml:space="preserve">GAGCGTGGCCGGGTGCAAAC</t>
  </si>
  <si>
    <t xml:space="preserve">TAGTGAGCGTGGCCGGGTGCAAAC</t>
  </si>
  <si>
    <t xml:space="preserve">AAACGTTTGCACCCGGCCACGCTC</t>
  </si>
  <si>
    <t xml:space="preserve">GTATACCGGCAACAACTGCT</t>
  </si>
  <si>
    <t xml:space="preserve">TAGTGTATACCGGCAACAACTGCT</t>
  </si>
  <si>
    <t xml:space="preserve">AAACAGCAGTTGTTGCCGGTATAC</t>
  </si>
  <si>
    <t xml:space="preserve">CACAGCGGGTAGTAGATCAT</t>
  </si>
  <si>
    <t xml:space="preserve">TAGTCACAGCGGGTAGTAGATCAT</t>
  </si>
  <si>
    <t xml:space="preserve">AAACATGATCTACTACCCGCTGTG</t>
  </si>
  <si>
    <t xml:space="preserve">GATCAAAATATCGCGGATAC</t>
  </si>
  <si>
    <t xml:space="preserve">TAGTGATCAAAATATCGCGGATAC</t>
  </si>
  <si>
    <t xml:space="preserve">AAACGTATCCGCGATATTTTGATC</t>
  </si>
  <si>
    <t xml:space="preserve">PSPPH_0968</t>
  </si>
  <si>
    <t xml:space="preserve">rfbD</t>
  </si>
  <si>
    <t xml:space="preserve">GGTCGGCAAGGTCCCCACAC</t>
  </si>
  <si>
    <t xml:space="preserve">TAGTGGTCGGCAAGGTCCCCACAC</t>
  </si>
  <si>
    <t xml:space="preserve">AAACGTGTGGGGACCTTGCCGACC</t>
  </si>
  <si>
    <t xml:space="preserve">TCGTGGCGGTCAGACCCTCA</t>
  </si>
  <si>
    <t xml:space="preserve">TAGTTCGTGGCGGTCAGACCCTCA</t>
  </si>
  <si>
    <t xml:space="preserve">AAACTGAGGGTCTGACCGCCACGA</t>
  </si>
  <si>
    <t xml:space="preserve">TGCGTTGACGATAACGTCGG</t>
  </si>
  <si>
    <t xml:space="preserve">TAGTTGCGTTGACGATAACGTCGG</t>
  </si>
  <si>
    <t xml:space="preserve">AAACCCGACGTTATCGTCAACGCA</t>
  </si>
  <si>
    <t xml:space="preserve">GCTTTCAGCCTTGTCCACAG</t>
  </si>
  <si>
    <t xml:space="preserve">TAGTGCTTTCAGCCTTGTCCACAG</t>
  </si>
  <si>
    <t xml:space="preserve">AAACCTGTGGACAAGGCTGAAAGC</t>
  </si>
  <si>
    <t xml:space="preserve">PSPPH_0969</t>
  </si>
  <si>
    <t xml:space="preserve">rfbB2</t>
  </si>
  <si>
    <t xml:space="preserve">GAAATTTGAACCGATGAAGC</t>
  </si>
  <si>
    <t xml:space="preserve">TAGTGAAATTTGAACCGATGAAGC</t>
  </si>
  <si>
    <t xml:space="preserve">AAACGCTTCATCGGTTCAAATTTC</t>
  </si>
  <si>
    <t xml:space="preserve">AGCGCATCCAGGTTCAACAC</t>
  </si>
  <si>
    <t xml:space="preserve">TAGTAGCGCATCCAGGTTCAACAC</t>
  </si>
  <si>
    <t xml:space="preserve">AAACGTGTTGAACCTGGATGCGCT</t>
  </si>
  <si>
    <t xml:space="preserve">CCAGCGACTGCAGGTTGGCC</t>
  </si>
  <si>
    <t xml:space="preserve">TAGTCCAGCGACTGCAGGTTGGCC</t>
  </si>
  <si>
    <t xml:space="preserve">AAACGGCCAACCTGCAGTCGCTGG</t>
  </si>
  <si>
    <t xml:space="preserve">GAACAGCCGCGTCAGCAGCT</t>
  </si>
  <si>
    <t xml:space="preserve">TAGTGAACAGCCGCGTCAGCAGCT</t>
  </si>
  <si>
    <t xml:space="preserve">AAACAGCTGCTGACGCGGCTGTTC</t>
  </si>
  <si>
    <t xml:space="preserve">PSPPH_0970</t>
  </si>
  <si>
    <t xml:space="preserve">CTGAACGTAAGCGGTTGAAT</t>
  </si>
  <si>
    <t xml:space="preserve">TAGTCTGAACGTAAGCGGTTGAAT</t>
  </si>
  <si>
    <t xml:space="preserve">AAACATTCAACCGCTTACGTTCAG</t>
  </si>
  <si>
    <t xml:space="preserve">CCGATCTCCAAAACTGAAAC</t>
  </si>
  <si>
    <t xml:space="preserve">TAGTCCGATCTCCAAAACTGAAAC</t>
  </si>
  <si>
    <t xml:space="preserve">AAACGTTTCAGTTTTGGAGATCGG</t>
  </si>
  <si>
    <t xml:space="preserve">CCTATAATGCTGGTGGCGTT</t>
  </si>
  <si>
    <t xml:space="preserve">TAGTCCTATAATGCTGGTGGCGTT</t>
  </si>
  <si>
    <t xml:space="preserve">AAACAACGCCACCAGCATTATAGG</t>
  </si>
  <si>
    <t xml:space="preserve">AGGTCAGCTGTTCGCATTTG</t>
  </si>
  <si>
    <t xml:space="preserve">TAGTAGGTCAGCTGTTCGCATTTG</t>
  </si>
  <si>
    <t xml:space="preserve">AAACCAAATGCGAACAGCTGACCT</t>
  </si>
  <si>
    <t xml:space="preserve">PSPPH_0971</t>
  </si>
  <si>
    <t xml:space="preserve">TTGACGGCACTTGCCTTGGA</t>
  </si>
  <si>
    <t xml:space="preserve">TAGTTTGACGGCACTTGCCTTGGA</t>
  </si>
  <si>
    <t xml:space="preserve">AAACTCCAAGGCAAGTGCCGTCAA</t>
  </si>
  <si>
    <t xml:space="preserve">ACTTGACTTATTTCTGCTCC</t>
  </si>
  <si>
    <t xml:space="preserve">TAGTACTTGACTTATTTCTGCTCC</t>
  </si>
  <si>
    <t xml:space="preserve">AAACGGAGCAGAAATAAGTCAAGT</t>
  </si>
  <si>
    <t xml:space="preserve">TCTACAGCAAGCTTTTTTAT</t>
  </si>
  <si>
    <t xml:space="preserve">TAGTTCTACAGCAAGCTTTTTTAT</t>
  </si>
  <si>
    <t xml:space="preserve">AAACATAAAAAAGCTTGCTGTAGA</t>
  </si>
  <si>
    <t xml:space="preserve">CATCAGGCCTCTGAGTATCA</t>
  </si>
  <si>
    <t xml:space="preserve">TAGTCATCAGGCCTCTGAGTATCA</t>
  </si>
  <si>
    <t xml:space="preserve">AAACTGATACTCAGAGGCCTGATG</t>
  </si>
  <si>
    <t xml:space="preserve">PSPPH_0972</t>
  </si>
  <si>
    <t xml:space="preserve">TTTCGTTAGCGATTGAGAGT</t>
  </si>
  <si>
    <t xml:space="preserve">TAGTTTTCGTTAGCGATTGAGAGT</t>
  </si>
  <si>
    <t xml:space="preserve">AAACACTCTCAATCGCTAACGAAA</t>
  </si>
  <si>
    <t xml:space="preserve">GGCAAGCTCATAGTATTTGA</t>
  </si>
  <si>
    <t xml:space="preserve">TAGTGGCAAGCTCATAGTATTTGA</t>
  </si>
  <si>
    <t xml:space="preserve">AAACTCAAATACTATGAGCTTGCC</t>
  </si>
  <si>
    <t xml:space="preserve">TAGTTTCGGATTTTCGTTGC</t>
  </si>
  <si>
    <t xml:space="preserve">TAGTTAGTTTCGGATTTTCGTTGC</t>
  </si>
  <si>
    <t xml:space="preserve">AAACGCAACGAAAATCCGAAACTA</t>
  </si>
  <si>
    <t xml:space="preserve">GGCATAATCAATGTTGTAAC</t>
  </si>
  <si>
    <t xml:space="preserve">TAGTGGCATAATCAATGTTGTAAC</t>
  </si>
  <si>
    <t xml:space="preserve">AAACGTTACAACATTGATTATGCC</t>
  </si>
  <si>
    <t xml:space="preserve">PSPPH_0973</t>
  </si>
  <si>
    <t xml:space="preserve">TCATGTAACTGGCTAATTAA</t>
  </si>
  <si>
    <t xml:space="preserve">TAGTTCATGTAACTGGCTAATTAA</t>
  </si>
  <si>
    <t xml:space="preserve">AAACTTAATTAGCCAGTTACATGA</t>
  </si>
  <si>
    <t xml:space="preserve">CGTGGAAGATTTCGCTTCTT</t>
  </si>
  <si>
    <t xml:space="preserve">TAGTCGTGGAAGATTTCGCTTCTT</t>
  </si>
  <si>
    <t xml:space="preserve">AAACAAGAAGCGAAATCTTCCACG</t>
  </si>
  <si>
    <t xml:space="preserve">CGTTTTTTCAGATATTAAGC</t>
  </si>
  <si>
    <t xml:space="preserve">TAGTCGTTTTTTCAGATATTAAGC</t>
  </si>
  <si>
    <t xml:space="preserve">AAACGCTTAATATCTGAAAAAACG</t>
  </si>
  <si>
    <t xml:space="preserve">CTGAGGCTCTTTATTTACGA</t>
  </si>
  <si>
    <t xml:space="preserve">TAGTCTGAGGCTCTTTATTTACGA</t>
  </si>
  <si>
    <t xml:space="preserve">AAACTCGTAAATAAAGAGCCTCAG</t>
  </si>
  <si>
    <t xml:space="preserve">PSPPH_0974</t>
  </si>
  <si>
    <t xml:space="preserve">GTTTAGGCTTCTCGGAAAAG</t>
  </si>
  <si>
    <t xml:space="preserve">TAGTGTTTAGGCTTCTCGGAAAAG</t>
  </si>
  <si>
    <t xml:space="preserve">AAACCTTTTCCGAGAAGCCTAAAC</t>
  </si>
  <si>
    <t xml:space="preserve">ACTAAATACCATTCTTTTTT</t>
  </si>
  <si>
    <t xml:space="preserve">TAGTACTAAATACCATTCTTTTTT</t>
  </si>
  <si>
    <t xml:space="preserve">AAACAAAAAAGAATGGTATTTAGT</t>
  </si>
  <si>
    <t xml:space="preserve">CAGTAAGGTTTTCTTCTGCG</t>
  </si>
  <si>
    <t xml:space="preserve">TAGTCAGTAAGGTTTTCTTCTGCG</t>
  </si>
  <si>
    <t xml:space="preserve">AAACCGCAGAAGAAAACCTTACTG</t>
  </si>
  <si>
    <t xml:space="preserve">ATTTATTGTTGGCCTGAAGT</t>
  </si>
  <si>
    <t xml:space="preserve">TAGTATTTATTGTTGGCCTGAAGT</t>
  </si>
  <si>
    <t xml:space="preserve">AAACACTTCAGGCCAACAATAAAT</t>
  </si>
  <si>
    <t xml:space="preserve">PSPPH_0975</t>
  </si>
  <si>
    <t xml:space="preserve">GACGGGCTGGCCGGTTGGGT</t>
  </si>
  <si>
    <t xml:space="preserve">TAGTGACGGGCTGGCCGGTTGGGT</t>
  </si>
  <si>
    <t xml:space="preserve">AAACACCCAACCGGCCAGCCCGTC</t>
  </si>
  <si>
    <t xml:space="preserve">GGTAATGGTGCCACTGAAGC</t>
  </si>
  <si>
    <t xml:space="preserve">TAGTGGTAATGGTGCCACTGAAGC</t>
  </si>
  <si>
    <t xml:space="preserve">AAACGCTTCAGTGGCACCATTACC</t>
  </si>
  <si>
    <t xml:space="preserve">AAGCACGTCGCCATACAGTC</t>
  </si>
  <si>
    <t xml:space="preserve">TAGTAAGCACGTCGCCATACAGTC</t>
  </si>
  <si>
    <t xml:space="preserve">AAACGACTGTATGGCGACGTGCTT</t>
  </si>
  <si>
    <t xml:space="preserve">CAGACGCTCATCCGGCTGCA</t>
  </si>
  <si>
    <t xml:space="preserve">TAGTCAGACGCTCATCCGGCTGCA</t>
  </si>
  <si>
    <t xml:space="preserve">AAACTGCAGCCGGATGAGCGTCTG</t>
  </si>
  <si>
    <t xml:space="preserve">PSPPH_0976</t>
  </si>
  <si>
    <t xml:space="preserve">CGGTAAAACGCTGGCGTGCA</t>
  </si>
  <si>
    <t xml:space="preserve">TAGTCGGTAAAACGCTGGCGTGCA</t>
  </si>
  <si>
    <t xml:space="preserve">AAACTGCACGCCAGCGTTTTACCG</t>
  </si>
  <si>
    <t xml:space="preserve">TAATCGAGGCTGAAGGCCAG</t>
  </si>
  <si>
    <t xml:space="preserve">TAGTTAATCGAGGCTGAAGGCCAG</t>
  </si>
  <si>
    <t xml:space="preserve">AAACCTGGCCTTCAGCCTCGATTA</t>
  </si>
  <si>
    <t xml:space="preserve">GCTGGTTGTCGGCAGGTAAC</t>
  </si>
  <si>
    <t xml:space="preserve">TAGTGCTGGTTGTCGGCAGGTAAC</t>
  </si>
  <si>
    <t xml:space="preserve">AAACGTTACCTGCCGACAACCAGC</t>
  </si>
  <si>
    <t xml:space="preserve">CGTCCACCGGCAGGCTGCGC</t>
  </si>
  <si>
    <t xml:space="preserve">TAGTCGTCCACCGGCAGGCTGCGC</t>
  </si>
  <si>
    <t xml:space="preserve">AAACGCGCAGCCTGCCGGTGGACG</t>
  </si>
  <si>
    <t xml:space="preserve">PSPPH_0977</t>
  </si>
  <si>
    <t xml:space="preserve">CAGCGCACACTCGAGTGCCA</t>
  </si>
  <si>
    <t xml:space="preserve">TAGTCAGCGCACACTCGAGTGCCA</t>
  </si>
  <si>
    <t xml:space="preserve">AAACTGGCACTCGAGTGTGCGCTG</t>
  </si>
  <si>
    <t xml:space="preserve">TGCTTCCGGACGGTATTCAG</t>
  </si>
  <si>
    <t xml:space="preserve">TAGTTGCTTCCGGACGGTATTCAG</t>
  </si>
  <si>
    <t xml:space="preserve">AAACCTGAATACCGTCCGGAAGCA</t>
  </si>
  <si>
    <t xml:space="preserve">AAGCTTTGGGTCCTGCGGCA</t>
  </si>
  <si>
    <t xml:space="preserve">TAGTAAGCTTTGGGTCCTGCGGCA</t>
  </si>
  <si>
    <t xml:space="preserve">AAACTGCCGCAGGACCCAAAGCTT</t>
  </si>
  <si>
    <t xml:space="preserve">GGCGTTGAGCAAATAAATAA</t>
  </si>
  <si>
    <t xml:space="preserve">TAGTGGCGTTGAGCAAATAAATAA</t>
  </si>
  <si>
    <t xml:space="preserve">AAACTTATTTATTTGCTCAACGCC</t>
  </si>
  <si>
    <t xml:space="preserve">PSPPH_0978</t>
  </si>
  <si>
    <t xml:space="preserve">GACCAGTAGGGACTTCCAGG</t>
  </si>
  <si>
    <t xml:space="preserve">TAGTGACCAGTAGGGACTTCCAGG</t>
  </si>
  <si>
    <t xml:space="preserve">AAACCCTGGAAGTCCCTACTGGTC</t>
  </si>
  <si>
    <t xml:space="preserve">GGTGATAACGTCGGTAGTAC</t>
  </si>
  <si>
    <t xml:space="preserve">TAGTGGTGATAACGTCGGTAGTAC</t>
  </si>
  <si>
    <t xml:space="preserve">AAACGTACTACCGACGTTATCACC</t>
  </si>
  <si>
    <t xml:space="preserve">ACGTGCACCAGCGATGGTGC</t>
  </si>
  <si>
    <t xml:space="preserve">TAGTACGTGCACCAGCGATGGTGC</t>
  </si>
  <si>
    <t xml:space="preserve">AAACGCACCATCGCTGGTGCACGT</t>
  </si>
  <si>
    <t xml:space="preserve">CGGTAACATTCAGGGTAACG</t>
  </si>
  <si>
    <t xml:space="preserve">TAGTCGGTAACATTCAGGGTAACG</t>
  </si>
  <si>
    <t xml:space="preserve">AAACCGTTACCCTGAATGTTACCG</t>
  </si>
  <si>
    <t xml:space="preserve">PSPPH_0979</t>
  </si>
  <si>
    <t xml:space="preserve">ATCTTTAGTCCATCAAGTTC</t>
  </si>
  <si>
    <t xml:space="preserve">TAGTATCTTTAGTCCATCAAGTTC</t>
  </si>
  <si>
    <t xml:space="preserve">AAACGAACTTGATGGACTAAAGAT</t>
  </si>
  <si>
    <t xml:space="preserve">TAGCGGAAAATATACATTCC</t>
  </si>
  <si>
    <t xml:space="preserve">TAGTTAGCGGAAAATATACATTCC</t>
  </si>
  <si>
    <t xml:space="preserve">AAACGGAATGTATATTTTCCGCTA</t>
  </si>
  <si>
    <t xml:space="preserve">TTTGTCCGCGGGCGGCTGCG</t>
  </si>
  <si>
    <t xml:space="preserve">TAGTTTTGTCCGCGGGCGGCTGCG</t>
  </si>
  <si>
    <t xml:space="preserve">AAACCGCAGCCGCCCGCGGACAAA</t>
  </si>
  <si>
    <t xml:space="preserve">TGCTGCAGTGCAATGCACAC</t>
  </si>
  <si>
    <t xml:space="preserve">TAGTTGCTGCAGTGCAATGCACAC</t>
  </si>
  <si>
    <t xml:space="preserve">AAACGTGTGCATTGCACTGCAGCA</t>
  </si>
  <si>
    <t xml:space="preserve">PSPPH_0980</t>
  </si>
  <si>
    <t xml:space="preserve">GCTGCCTTTGCAAGCCTTGA</t>
  </si>
  <si>
    <t xml:space="preserve">TAGTGCTGCCTTTGCAAGCCTTGA</t>
  </si>
  <si>
    <t xml:space="preserve">AAACTCAAGGCTTGCAAAGGCAGC</t>
  </si>
  <si>
    <t xml:space="preserve">AAGCGTAGGGACCAGCATCA</t>
  </si>
  <si>
    <t xml:space="preserve">TAGTAAGCGTAGGGACCAGCATCA</t>
  </si>
  <si>
    <t xml:space="preserve">AAACTGATGCTGGTCCCTACGCTT</t>
  </si>
  <si>
    <t xml:space="preserve">AAGGTTGGAACGCTACTGCT</t>
  </si>
  <si>
    <t xml:space="preserve">TAGTAAGGTTGGAACGCTACTGCT</t>
  </si>
  <si>
    <t xml:space="preserve">AAACAGCAGTAGCGTTCCAACCTT</t>
  </si>
  <si>
    <t xml:space="preserve">CATCAGCACGGTCAGGATCA</t>
  </si>
  <si>
    <t xml:space="preserve">TAGTCATCAGCACGGTCAGGATCA</t>
  </si>
  <si>
    <t xml:space="preserve">AAACTGATCCTGACCGTGCTGATG</t>
  </si>
  <si>
    <t xml:space="preserve">PSPPH_0981</t>
  </si>
  <si>
    <t xml:space="preserve">ATCAGAGTGCGCGTCGAGCG</t>
  </si>
  <si>
    <t xml:space="preserve">TAGTATCAGAGTGCGCGTCGAGCG</t>
  </si>
  <si>
    <t xml:space="preserve">AAACCGCTCGACGCGCACTCTGAT</t>
  </si>
  <si>
    <t xml:space="preserve">CGAATACCCCGATCGGAAGT</t>
  </si>
  <si>
    <t xml:space="preserve">TAGTCGAATACCCCGATCGGAAGT</t>
  </si>
  <si>
    <t xml:space="preserve">AAACACTTCCGATCGGGGTATTCG</t>
  </si>
  <si>
    <t xml:space="preserve">GCACGATTGCCACACCAACC</t>
  </si>
  <si>
    <t xml:space="preserve">TAGTGCACGATTGCCACACCAACC</t>
  </si>
  <si>
    <t xml:space="preserve">AAACGGTTGGTGTGGCAATCGTGC</t>
  </si>
  <si>
    <t xml:space="preserve">GTGCCGCCCAGGTACCGAAC</t>
  </si>
  <si>
    <t xml:space="preserve">TAGTGTGCCGCCCAGGTACCGAAC</t>
  </si>
  <si>
    <t xml:space="preserve">AAACGTTCGGTACCTGGGCGGCAC</t>
  </si>
  <si>
    <t xml:space="preserve">PSPPH_0982</t>
  </si>
  <si>
    <t xml:space="preserve">AGACCCAGGGAAAAAAACAC</t>
  </si>
  <si>
    <t xml:space="preserve">TAGTAGACCCAGGGAAAAAAACAC</t>
  </si>
  <si>
    <t xml:space="preserve">AAACGTGTTTTTTTCCCTGGGTCT</t>
  </si>
  <si>
    <t xml:space="preserve">AGGCTGAGTGGCGTCTGCCT</t>
  </si>
  <si>
    <t xml:space="preserve">TAGTAGGCTGAGTGGCGTCTGCCT</t>
  </si>
  <si>
    <t xml:space="preserve">AAACAGGCAGACGCCACTCAGCCT</t>
  </si>
  <si>
    <t xml:space="preserve">CTGGTAACTTGCGGTGCAGC</t>
  </si>
  <si>
    <t xml:space="preserve">TAGTCTGGTAACTTGCGGTGCAGC</t>
  </si>
  <si>
    <t xml:space="preserve">AAACGCTGCACCGCAAGTTACCAG</t>
  </si>
  <si>
    <t xml:space="preserve">GATAAGCAGACAGTACGCGC</t>
  </si>
  <si>
    <t xml:space="preserve">TAGTGATAAGCAGACAGTACGCGC</t>
  </si>
  <si>
    <t xml:space="preserve">AAACGCGCGTACTGTCTGCTTATC</t>
  </si>
  <si>
    <t xml:space="preserve">PSPPH_0983</t>
  </si>
  <si>
    <t xml:space="preserve">GCCGATGCCGTCCAGATGCC</t>
  </si>
  <si>
    <t xml:space="preserve">TAGTGCCGATGCCGTCCAGATGCC</t>
  </si>
  <si>
    <t xml:space="preserve">AAACGGCATCTGGACGGCATCGGC</t>
  </si>
  <si>
    <t xml:space="preserve">CAGACTCTGCCACAGGGCTC</t>
  </si>
  <si>
    <t xml:space="preserve">TAGTCAGACTCTGCCACAGGGCTC</t>
  </si>
  <si>
    <t xml:space="preserve">AAACGAGCCCTGTGGCAGAGTCTG</t>
  </si>
  <si>
    <t xml:space="preserve">AGGTCATGGCCAAAGGCATA</t>
  </si>
  <si>
    <t xml:space="preserve">TAGTAGGTCATGGCCAAAGGCATA</t>
  </si>
  <si>
    <t xml:space="preserve">AAACTATGCCTTTGGCCATGACCT</t>
  </si>
  <si>
    <t xml:space="preserve">TGCCACAGTCTATGACTGGC</t>
  </si>
  <si>
    <t xml:space="preserve">TAGTTGCCACAGTCTATGACTGGC</t>
  </si>
  <si>
    <t xml:space="preserve">AAACGCCAGTCATAGACTGTGGCA</t>
  </si>
  <si>
    <t xml:space="preserve">PSPPH_0984</t>
  </si>
  <si>
    <t xml:space="preserve">ACCGCCAGCCAGAATTACAG</t>
  </si>
  <si>
    <t xml:space="preserve">TAGTACCGCCAGCCAGAATTACAG</t>
  </si>
  <si>
    <t xml:space="preserve">AAACCTGTAATTCTGGCTGGCGGT</t>
  </si>
  <si>
    <t xml:space="preserve">GGGAAACTCTGCCGCGACAA</t>
  </si>
  <si>
    <t xml:space="preserve">TAGTGGGAAACTCTGCCGCGACAA</t>
  </si>
  <si>
    <t xml:space="preserve">AAACTTGTCGCGGCAGAGTTTCCC</t>
  </si>
  <si>
    <t xml:space="preserve">CTAGGGCAAGAAACTGCTTC</t>
  </si>
  <si>
    <t xml:space="preserve">TAGTCTAGGGCAAGAAACTGCTTC</t>
  </si>
  <si>
    <t xml:space="preserve">AAACGAAGCAGTTTCTTGCCCTAG</t>
  </si>
  <si>
    <t xml:space="preserve">GTGCTCCAGGCCATTGAGCC</t>
  </si>
  <si>
    <t xml:space="preserve">TAGTGTGCTCCAGGCCATTGAGCC</t>
  </si>
  <si>
    <t xml:space="preserve">AAACGGCTCAATGGCCTGGAGCAC</t>
  </si>
  <si>
    <t xml:space="preserve">PSPPH_0985</t>
  </si>
  <si>
    <t xml:space="preserve">CGTACCTGCCAGAATGTTGA</t>
  </si>
  <si>
    <t xml:space="preserve">TAGTCGTACCTGCCAGAATGTTGA</t>
  </si>
  <si>
    <t xml:space="preserve">AAACTCAACATTCTGGCAGGTACG</t>
  </si>
  <si>
    <t xml:space="preserve">AGGACCCAACGCTTCTTCAA</t>
  </si>
  <si>
    <t xml:space="preserve">TAGTAGGACCCAACGCTTCTTCAA</t>
  </si>
  <si>
    <t xml:space="preserve">AAACTTGAAGAAGCGTTGGGTCCT</t>
  </si>
  <si>
    <t xml:space="preserve">TTATGTCGCACCTCAGCATC</t>
  </si>
  <si>
    <t xml:space="preserve">TAGTTTATGTCGCACCTCAGCATC</t>
  </si>
  <si>
    <t xml:space="preserve">AAACGATGCTGAGGTGCGACATAA</t>
  </si>
  <si>
    <t xml:space="preserve">GACTCAGTGCTTGAGGAAAA</t>
  </si>
  <si>
    <t xml:space="preserve">TAGTGACTCAGTGCTTGAGGAAAA</t>
  </si>
  <si>
    <t xml:space="preserve">AAACTTTTCCTCAAGCACTGAGTC</t>
  </si>
  <si>
    <t xml:space="preserve">PSPPH_0988</t>
  </si>
  <si>
    <t xml:space="preserve">ychF</t>
  </si>
  <si>
    <t xml:space="preserve">GATGCCGCAATTGAATCCCA</t>
  </si>
  <si>
    <t xml:space="preserve">TAGTGATGCCGCAATTGAATCCCA</t>
  </si>
  <si>
    <t xml:space="preserve">AAACTGGGATTCAATTGCGGCATC</t>
  </si>
  <si>
    <t xml:space="preserve">TGGACTTGCCGACGTTAGGC</t>
  </si>
  <si>
    <t xml:space="preserve">TAGTTGGACTTGCCGACGTTAGGC</t>
  </si>
  <si>
    <t xml:space="preserve">AAACGCCTAACGTCGGCAAGTCCA</t>
  </si>
  <si>
    <t xml:space="preserve">GGTCAGGGCGTTGAACAGGG</t>
  </si>
  <si>
    <t xml:space="preserve">TAGTGGTCAGGGCGTTGAACAGGG</t>
  </si>
  <si>
    <t xml:space="preserve">AAACCCCTGTTCAACGCCCTGACC</t>
  </si>
  <si>
    <t xml:space="preserve">CTCGGCCGCAATACCAGATT</t>
  </si>
  <si>
    <t xml:space="preserve">TAGTCTCGGCCGCAATACCAGATT</t>
  </si>
  <si>
    <t xml:space="preserve">AAACAATCTGGTATTGCGGCCGAG</t>
  </si>
  <si>
    <t xml:space="preserve">PSPPH_0989</t>
  </si>
  <si>
    <t xml:space="preserve">pth</t>
  </si>
  <si>
    <t xml:space="preserve">GCCCACGATCAGTTGTATGG</t>
  </si>
  <si>
    <t xml:space="preserve">TAGTGCCCACGATCAGTTGTATGG</t>
  </si>
  <si>
    <t xml:space="preserve">AAACCCATACAACTGATCGTGGGC</t>
  </si>
  <si>
    <t xml:space="preserve">ATTCAGCGCCTGGATTTCCC</t>
  </si>
  <si>
    <t xml:space="preserve">TAGTATTCAGCGCCTGGATTTCCC</t>
  </si>
  <si>
    <t xml:space="preserve">AAACGGGAAATCCAGGCGCTGAAT</t>
  </si>
  <si>
    <t xml:space="preserve">AAAAGCCCCTGCGTTATGCC</t>
  </si>
  <si>
    <t xml:space="preserve">TAGTAAAAGCCCCTGCGTTATGCC</t>
  </si>
  <si>
    <t xml:space="preserve">AAACGGCATAACGCAGGGGCTTTT</t>
  </si>
  <si>
    <t xml:space="preserve">AGGCCAAAGAATTTGCGCTC</t>
  </si>
  <si>
    <t xml:space="preserve">TAGTAGGCCAAAGAATTTGCGCTC</t>
  </si>
  <si>
    <t xml:space="preserve">AAACGAGCGCAAATTCTTTGGCCT</t>
  </si>
  <si>
    <t xml:space="preserve">PSPPH_0990</t>
  </si>
  <si>
    <t xml:space="preserve">GGAACGCTGTTCTGCATTCA</t>
  </si>
  <si>
    <t xml:space="preserve">TAGTGGAACGCTGTTCTGCATTCA</t>
  </si>
  <si>
    <t xml:space="preserve">AAACTGAATGCAGAACAGCGTTCC</t>
  </si>
  <si>
    <t xml:space="preserve">GCTCGCACCTTTCCCCAGGT</t>
  </si>
  <si>
    <t xml:space="preserve">TAGTGCTCGCACCTTTCCCCAGGT</t>
  </si>
  <si>
    <t xml:space="preserve">AAACACCTGGGGAAAGGTGCGAGC</t>
  </si>
  <si>
    <t xml:space="preserve">TGGCGAGACGACGCAGGCGG</t>
  </si>
  <si>
    <t xml:space="preserve">TAGTTGGCGAGACGACGCAGGCGG</t>
  </si>
  <si>
    <t xml:space="preserve">AAACCCGCCTGCGTCGTCTCGCCA</t>
  </si>
  <si>
    <t xml:space="preserve">GACGACAGCTGGAACCAGGC</t>
  </si>
  <si>
    <t xml:space="preserve">TAGTGACGACAGCTGGAACCAGGC</t>
  </si>
  <si>
    <t xml:space="preserve">AAACGCCTGGTTCCAGCTGTCGTC</t>
  </si>
  <si>
    <t xml:space="preserve">PSPPH_0991</t>
  </si>
  <si>
    <t xml:space="preserve">prsA</t>
  </si>
  <si>
    <t xml:space="preserve">CCCCGTAAAGACCATCATCT</t>
  </si>
  <si>
    <t xml:space="preserve">TAGTCCCCGTAAAGACCATCATCT</t>
  </si>
  <si>
    <t xml:space="preserve">AAACAGATGATGGTCTTTACGGGG</t>
  </si>
  <si>
    <t xml:space="preserve">ACGCCGAGCGAGATCGGGGT</t>
  </si>
  <si>
    <t xml:space="preserve">TAGTACGCCGAGCGAGATCGGGGT</t>
  </si>
  <si>
    <t xml:space="preserve">AAACACCCCGATCTCGCTCGGCGT</t>
  </si>
  <si>
    <t xml:space="preserve">CGACAGAAACATCACCGAGT</t>
  </si>
  <si>
    <t xml:space="preserve">TAGTCGACAGAAACATCACCGAGT</t>
  </si>
  <si>
    <t xml:space="preserve">AAACACTCGGTGATGTTTCTGTCG</t>
  </si>
  <si>
    <t xml:space="preserve">CTCAGTGCTGATTTCGCCGT</t>
  </si>
  <si>
    <t xml:space="preserve">TAGTCTCAGTGCTGATTTCGCCGT</t>
  </si>
  <si>
    <t xml:space="preserve">AAACACGGCGAAATCAGCACTGAG</t>
  </si>
  <si>
    <t xml:space="preserve">PSPPH_0993</t>
  </si>
  <si>
    <t xml:space="preserve">ispE</t>
  </si>
  <si>
    <t xml:space="preserve">CATATCCTGTAATGCAGTCA</t>
  </si>
  <si>
    <t xml:space="preserve">TAGTCATATCCTGTAATGCAGTCA</t>
  </si>
  <si>
    <t xml:space="preserve">AAACTGACTGCATTACAGGATATG</t>
  </si>
  <si>
    <t xml:space="preserve">AGGCAAAACCAGCTGGGCCT</t>
  </si>
  <si>
    <t xml:space="preserve">TAGTAGGCAAAACCAGCTGGGCCT</t>
  </si>
  <si>
    <t xml:space="preserve">AAACAGGCCCAGCTGGTTTTGCCT</t>
  </si>
  <si>
    <t xml:space="preserve">AGGTTCAGCTTTGCCGGAGC</t>
  </si>
  <si>
    <t xml:space="preserve">TAGTAGGTTCAGCTTTGCCGGAGC</t>
  </si>
  <si>
    <t xml:space="preserve">AAACGCTCCGGCAAAGCTGAACCT</t>
  </si>
  <si>
    <t xml:space="preserve">GTCCCAGAATGTGCAGCATC</t>
  </si>
  <si>
    <t xml:space="preserve">TAGTGTCCCAGAATGTGCAGCATC</t>
  </si>
  <si>
    <t xml:space="preserve">AAACGATGCTGCACATTCTGGGAC</t>
  </si>
  <si>
    <t xml:space="preserve">PSPPH_0994</t>
  </si>
  <si>
    <t xml:space="preserve">lolB</t>
  </si>
  <si>
    <t xml:space="preserve">TGAGGCTGAATACGATTACG</t>
  </si>
  <si>
    <t xml:space="preserve">TAGTTGAGGCTGAATACGATTACG</t>
  </si>
  <si>
    <t xml:space="preserve">AAACCGTAATCGTATTCAGCCTCA</t>
  </si>
  <si>
    <t xml:space="preserve">GACCGGCACAGCCGGTGAGC</t>
  </si>
  <si>
    <t xml:space="preserve">TAGTGACCGGCACAGCCGGTGAGC</t>
  </si>
  <si>
    <t xml:space="preserve">AAACGCTCACCGGCTGTGCCGGTC</t>
  </si>
  <si>
    <t xml:space="preserve">CTTGCCCTGAACGGCTTCGC</t>
  </si>
  <si>
    <t xml:space="preserve">TAGTCTTGCCCTGAACGGCTTCGC</t>
  </si>
  <si>
    <t xml:space="preserve">AAACGCGAAGCCGTTCAGGGCAAG</t>
  </si>
  <si>
    <t xml:space="preserve">TGTGTTCGCGCCATTGCGCG</t>
  </si>
  <si>
    <t xml:space="preserve">TAGTTGTGTTCGCGCCATTGCGCG</t>
  </si>
  <si>
    <t xml:space="preserve">AAACCGCGCAATGGCGCGAACACA</t>
  </si>
  <si>
    <t xml:space="preserve">PSPPH_0995</t>
  </si>
  <si>
    <t xml:space="preserve">TTGGCAAAACCCACAGCCGT</t>
  </si>
  <si>
    <t xml:space="preserve">TAGTTTGGCAAAACCCACAGCCGT</t>
  </si>
  <si>
    <t xml:space="preserve">AAACACGGCTGTGGGTTTTGCCAA</t>
  </si>
  <si>
    <t xml:space="preserve">GGTGGGAGCATCATGACACA</t>
  </si>
  <si>
    <t xml:space="preserve">TAGTGGTGGGAGCATCATGACACA</t>
  </si>
  <si>
    <t xml:space="preserve">AAACTGTGTCATGATGCTCCCACC</t>
  </si>
  <si>
    <t xml:space="preserve">TAAGAAGGGCGGCTTACCTG</t>
  </si>
  <si>
    <t xml:space="preserve">TAGTTAAGAAGGGCGGCTTACCTG</t>
  </si>
  <si>
    <t xml:space="preserve">AAACCAGGTAAGCCGCCCTTCTTA</t>
  </si>
  <si>
    <t xml:space="preserve">AAGAGCAAGGAACAACGCGG</t>
  </si>
  <si>
    <t xml:space="preserve">TAGTAAGAGCAAGGAACAACGCGG</t>
  </si>
  <si>
    <t xml:space="preserve">AAACCCGCGTTGTTCCTTGCTCTT</t>
  </si>
  <si>
    <t xml:space="preserve">PSPPH_0996</t>
  </si>
  <si>
    <t xml:space="preserve">hemA</t>
  </si>
  <si>
    <t xml:space="preserve">ATTGATACCGAGTGCAAGGA</t>
  </si>
  <si>
    <t xml:space="preserve">TAGTATTGATACCGAGTGCAAGGA</t>
  </si>
  <si>
    <t xml:space="preserve">AAACTCCTTGCACTCGGTATCAAT</t>
  </si>
  <si>
    <t xml:space="preserve">CTCGCGAACGTCGACCGAGG</t>
  </si>
  <si>
    <t xml:space="preserve">TAGTCTCGCGAACGTCGACCGAGG</t>
  </si>
  <si>
    <t xml:space="preserve">AAACCCTCGGTCGACGTTCGCGAG</t>
  </si>
  <si>
    <t xml:space="preserve">CGCCTCCACCAACTGTTCCG</t>
  </si>
  <si>
    <t xml:space="preserve">TAGTCGCCTCCACCAACTGTTCCG</t>
  </si>
  <si>
    <t xml:space="preserve">AAACCGGAACAGTTGGTGGAGGCG</t>
  </si>
  <si>
    <t xml:space="preserve">CCTCGCGACTTTCGGTCAGG</t>
  </si>
  <si>
    <t xml:space="preserve">TAGTCCTCGCGACTTTCGGTCAGG</t>
  </si>
  <si>
    <t xml:space="preserve">AAACCCTGACCGAAAGTCGCGAGG</t>
  </si>
  <si>
    <t xml:space="preserve">PSPPH_0997</t>
  </si>
  <si>
    <t xml:space="preserve">prfA</t>
  </si>
  <si>
    <t xml:space="preserve">GTTCCTCGAAACGGTCGCTG</t>
  </si>
  <si>
    <t xml:space="preserve">TAGTGTTCCTCGAAACGGTCGCTG</t>
  </si>
  <si>
    <t xml:space="preserve">AAACCAGCGACCGTTTCGAGGAAC</t>
  </si>
  <si>
    <t xml:space="preserve">TTCGGCATCGCCGAGCAGCG</t>
  </si>
  <si>
    <t xml:space="preserve">TAGTTTCGGCATCGCCGAGCAGCG</t>
  </si>
  <si>
    <t xml:space="preserve">AAACCGCTGCTCGGCGATGCCGAA</t>
  </si>
  <si>
    <t xml:space="preserve">TTCGGCGTACTCACGGGAAT</t>
  </si>
  <si>
    <t xml:space="preserve">TAGTTTCGGCGTACTCACGGGAAT</t>
  </si>
  <si>
    <t xml:space="preserve">AAACATTCCCGTGAGTACGCCGAA</t>
  </si>
  <si>
    <t xml:space="preserve">TGTTGGTAAAGCGCAACGAC</t>
  </si>
  <si>
    <t xml:space="preserve">TAGTTGTTGGTAAAGCGCAACGAC</t>
  </si>
  <si>
    <t xml:space="preserve">AAACGTCGTTGCGCTTTACCAACA</t>
  </si>
  <si>
    <t xml:space="preserve">PSPPH_0998</t>
  </si>
  <si>
    <t xml:space="preserve">hemK</t>
  </si>
  <si>
    <t xml:space="preserve">TCTTAACAAACTTGCGATGA</t>
  </si>
  <si>
    <t xml:space="preserve">TAGTTCTTAACAAACTTGCGATGA</t>
  </si>
  <si>
    <t xml:space="preserve">AAACTCATCGCAAGTTTGTTAAGA</t>
  </si>
  <si>
    <t xml:space="preserve">GGTCGGTGAATCGGGAAGCT</t>
  </si>
  <si>
    <t xml:space="preserve">TAGTGGTCGGTGAATCGGGAAGCT</t>
  </si>
  <si>
    <t xml:space="preserve">AAACAGCTTCCCGATTCACCGACC</t>
  </si>
  <si>
    <t xml:space="preserve">CAGCTCTATGTCGAGCCGCG</t>
  </si>
  <si>
    <t xml:space="preserve">TAGTCAGCTCTATGTCGAGCCGCG</t>
  </si>
  <si>
    <t xml:space="preserve">AAACCGCGGCTCGACATAGAGCTG</t>
  </si>
  <si>
    <t xml:space="preserve">CAGGTGTGCAGAAAGCTGCG</t>
  </si>
  <si>
    <t xml:space="preserve">TAGTCAGGTGTGCAGAAAGCTGCG</t>
  </si>
  <si>
    <t xml:space="preserve">AAACCGCAGCTTTCTGCACACCTG</t>
  </si>
  <si>
    <t xml:space="preserve">PSPPH_0999</t>
  </si>
  <si>
    <t xml:space="preserve">CAACGTGTTGCAGCAGAATC</t>
  </si>
  <si>
    <t xml:space="preserve">TAGTCAACGTGTTGCAGCAGAATC</t>
  </si>
  <si>
    <t xml:space="preserve">AAACGATTCTGCTGCAACACGTTG</t>
  </si>
  <si>
    <t xml:space="preserve">GACTTTGCTTGAGGCGCAGC</t>
  </si>
  <si>
    <t xml:space="preserve">TAGTGACTTTGCTTGAGGCGCAGC</t>
  </si>
  <si>
    <t xml:space="preserve">AAACGCTGCGCCTCAAGCAAAGTC</t>
  </si>
  <si>
    <t xml:space="preserve">GCGGCCAGATAAAGGGCCAC</t>
  </si>
  <si>
    <t xml:space="preserve">TAGTGCGGCCAGATAAAGGGCCAC</t>
  </si>
  <si>
    <t xml:space="preserve">AAACGTGGCCCTTTATCTGGCCGC</t>
  </si>
  <si>
    <t xml:space="preserve">TCTGGCGTTGCAGGTTGGTC</t>
  </si>
  <si>
    <t xml:space="preserve">TAGTTCTGGCGTTGCAGGTTGGTC</t>
  </si>
  <si>
    <t xml:space="preserve">AAACGACCAACCTGCAACGCCAGA</t>
  </si>
  <si>
    <t xml:space="preserve">PSPPH_1000</t>
  </si>
  <si>
    <t xml:space="preserve">murI</t>
  </si>
  <si>
    <t xml:space="preserve">CGACAGGCGCATCGCTGGCA</t>
  </si>
  <si>
    <t xml:space="preserve">TAGTCGACAGGCGCATCGCTGGCA</t>
  </si>
  <si>
    <t xml:space="preserve">AAACTGCCAGCGATGCGCCTGTCG</t>
  </si>
  <si>
    <t xml:space="preserve">CACTGACAGGCCACCGACCC</t>
  </si>
  <si>
    <t xml:space="preserve">TAGTCACTGACAGGCCACCGACCC</t>
  </si>
  <si>
    <t xml:space="preserve">AAACGGGTCGGTGGCCTGTCAGTG</t>
  </si>
  <si>
    <t xml:space="preserve">ACTCGCTGGGCAGCAACTGG</t>
  </si>
  <si>
    <t xml:space="preserve">TAGTACTCGCTGGGCAGCAACTGG</t>
  </si>
  <si>
    <t xml:space="preserve">AAACCCAGTTGCTGCCCAGCGAGT</t>
  </si>
  <si>
    <t xml:space="preserve">TCAGGGGTCTTTTCGCCATA</t>
  </si>
  <si>
    <t xml:space="preserve">TAGTTCAGGGGTCTTTTCGCCATA</t>
  </si>
  <si>
    <t xml:space="preserve">AAACTATGGCGAAAAGACCCCTGA</t>
  </si>
  <si>
    <t xml:space="preserve">PSPPH_1001</t>
  </si>
  <si>
    <t xml:space="preserve">AAGCGGCCGCAATCACGGCC</t>
  </si>
  <si>
    <t xml:space="preserve">TAGTAAGCGGCCGCAATCACGGCC</t>
  </si>
  <si>
    <t xml:space="preserve">AAACGGCCGTGATTGCGGCCGCTT</t>
  </si>
  <si>
    <t xml:space="preserve">ATAAGTCATGGTCGACTCGC</t>
  </si>
  <si>
    <t xml:space="preserve">TAGTATAAGTCATGGTCGACTCGC</t>
  </si>
  <si>
    <t xml:space="preserve">AAACGCGAGTCGACCATGACTTAT</t>
  </si>
  <si>
    <t xml:space="preserve">GCCGATGTCGCTTTGCAGCC</t>
  </si>
  <si>
    <t xml:space="preserve">TAGTGCCGATGTCGCTTTGCAGCC</t>
  </si>
  <si>
    <t xml:space="preserve">AAACGGCTGCAAAGCGACATCGGC</t>
  </si>
  <si>
    <t xml:space="preserve">CATCCCAGTAGCCGGTCAAA</t>
  </si>
  <si>
    <t xml:space="preserve">TAGTCATCCCAGTAGCCGGTCAAA</t>
  </si>
  <si>
    <t xml:space="preserve">AAACTTTGACCGGCTACTGGGATG</t>
  </si>
  <si>
    <t xml:space="preserve">PSPPH_1002</t>
  </si>
  <si>
    <t xml:space="preserve">GTTGTGCTGCAGCGAAACGT</t>
  </si>
  <si>
    <t xml:space="preserve">TAGTGTTGTGCTGCAGCGAAACGT</t>
  </si>
  <si>
    <t xml:space="preserve">AAACACGTTTCGCTGCAGCACAAC</t>
  </si>
  <si>
    <t xml:space="preserve">TGCGCAATGGCTTTTGGGCA</t>
  </si>
  <si>
    <t xml:space="preserve">TAGTTGCGCAATGGCTTTTGGGCA</t>
  </si>
  <si>
    <t xml:space="preserve">AAACTGCCCAAAAGCCATTGCGCA</t>
  </si>
  <si>
    <t xml:space="preserve">PSPPH_1003</t>
  </si>
  <si>
    <t xml:space="preserve">ACGCTCAGGCACGCCCGTGT</t>
  </si>
  <si>
    <t xml:space="preserve">TAGTACGCTCAGGCACGCCCGTGT</t>
  </si>
  <si>
    <t xml:space="preserve">AAACACACGGGCGTGCCTGAGCGT</t>
  </si>
  <si>
    <t xml:space="preserve">GACCTCGCCACCCCACTCGT</t>
  </si>
  <si>
    <t xml:space="preserve">TAGTGACCTCGCCACCCCACTCGT</t>
  </si>
  <si>
    <t xml:space="preserve">AAACACGAGTGGGGTGGCGAGGTC</t>
  </si>
  <si>
    <t xml:space="preserve">CTCGTAGATCGTGCACATCA</t>
  </si>
  <si>
    <t xml:space="preserve">TAGTCTCGTAGATCGTGCACATCA</t>
  </si>
  <si>
    <t xml:space="preserve">AAACTGATGTGCACGATCTACGAG</t>
  </si>
  <si>
    <t xml:space="preserve">CGAACTCACGGCAGATCAGC</t>
  </si>
  <si>
    <t xml:space="preserve">TAGTCGAACTCACGGCAGATCAGC</t>
  </si>
  <si>
    <t xml:space="preserve">AAACGCTGATCTGCCGTGAGTTCG</t>
  </si>
  <si>
    <t xml:space="preserve">PSPPH_1004</t>
  </si>
  <si>
    <t xml:space="preserve">GATCTGAAAGAGCAGCGCGT</t>
  </si>
  <si>
    <t xml:space="preserve">TAGTGATCTGAAAGAGCAGCGCGT</t>
  </si>
  <si>
    <t xml:space="preserve">AAACACGCGCTGCTCTTTCAGATC</t>
  </si>
  <si>
    <t xml:space="preserve">ACTGTTACCGCCCAATACGC</t>
  </si>
  <si>
    <t xml:space="preserve">TAGTACTGTTACCGCCCAATACGC</t>
  </si>
  <si>
    <t xml:space="preserve">AAACGCGTATTGGGCGGTAACAGT</t>
  </si>
  <si>
    <t xml:space="preserve">GCCTTCCGCTGCCCATGAGC</t>
  </si>
  <si>
    <t xml:space="preserve">TAGTGCCTTCCGCTGCCCATGAGC</t>
  </si>
  <si>
    <t xml:space="preserve">AAACGCTCATGGGCAGCGGAAGGC</t>
  </si>
  <si>
    <t xml:space="preserve">ACGTAACCGTCAGGATCAGC</t>
  </si>
  <si>
    <t xml:space="preserve">TAGTACGTAACCGTCAGGATCAGC</t>
  </si>
  <si>
    <t xml:space="preserve">AAACGCTGATCCTGACGGTTACGT</t>
  </si>
  <si>
    <t xml:space="preserve">PSPPH_1005</t>
  </si>
  <si>
    <t xml:space="preserve">cfa1</t>
  </si>
  <si>
    <t xml:space="preserve">CAGACCATTGGTGCCCAGAT</t>
  </si>
  <si>
    <t xml:space="preserve">TAGTCAGACCATTGGTGCCCAGAT</t>
  </si>
  <si>
    <t xml:space="preserve">AAACATCTGGGCACCAATGGTCTG</t>
  </si>
  <si>
    <t xml:space="preserve">CACACCTCGGCGCAGGATAT</t>
  </si>
  <si>
    <t xml:space="preserve">TAGTCACACCTCGGCGCAGGATAT</t>
  </si>
  <si>
    <t xml:space="preserve">AAACATATCCTGCGCCGAGGTGTG</t>
  </si>
  <si>
    <t xml:space="preserve">CCCGTTCGATAACCACCAAC</t>
  </si>
  <si>
    <t xml:space="preserve">TAGTCCCGTTCGATAACCACCAAC</t>
  </si>
  <si>
    <t xml:space="preserve">AAACGTTGGTGGTTATCGAACGGG</t>
  </si>
  <si>
    <t xml:space="preserve">CGTTGTTCTTGCCGAACACA</t>
  </si>
  <si>
    <t xml:space="preserve">TAGTCGTTGTTCTTGCCGAACACA</t>
  </si>
  <si>
    <t xml:space="preserve">AAACTGTGTTCGGCAAGAACAACG</t>
  </si>
  <si>
    <t xml:space="preserve">PSPPH_1006</t>
  </si>
  <si>
    <t xml:space="preserve">CACGCGGCGCAAATCGCCGG</t>
  </si>
  <si>
    <t xml:space="preserve">TAGTCACGCGGCGCAAATCGCCGG</t>
  </si>
  <si>
    <t xml:space="preserve">AAACCCGGCGATTTGCGCCGCGTG</t>
  </si>
  <si>
    <t xml:space="preserve">TATCCGATAGGTGAACTCAT</t>
  </si>
  <si>
    <t xml:space="preserve">TAGTTATCCGATAGGTGAACTCAT</t>
  </si>
  <si>
    <t xml:space="preserve">AAACATGAGTTCACCTATCGGATA</t>
  </si>
  <si>
    <t xml:space="preserve">CATCCAGATCCAGATAAAGC</t>
  </si>
  <si>
    <t xml:space="preserve">TAGTCATCCAGATCCAGATAAAGC</t>
  </si>
  <si>
    <t xml:space="preserve">AAACGCTTTATCTGGATCTGGATG</t>
  </si>
  <si>
    <t xml:space="preserve">AAACGCTTGCTGCCAGCCAG</t>
  </si>
  <si>
    <t xml:space="preserve">TAGTAAACGCTTGCTGCCAGCCAG</t>
  </si>
  <si>
    <t xml:space="preserve">AAACCTGGCTGGCAGCAAGCGTTT</t>
  </si>
  <si>
    <t xml:space="preserve">PSPPH_1007</t>
  </si>
  <si>
    <t xml:space="preserve">AGCGATCCCGCTACCAATGA</t>
  </si>
  <si>
    <t xml:space="preserve">TAGTAGCGATCCCGCTACCAATGA</t>
  </si>
  <si>
    <t xml:space="preserve">AAACTCATTGGTAGCGGGATCGCT</t>
  </si>
  <si>
    <t xml:space="preserve">TGAGCAGGTAGGCACTGGTC</t>
  </si>
  <si>
    <t xml:space="preserve">TAGTTGAGCAGGTAGGCACTGGTC</t>
  </si>
  <si>
    <t xml:space="preserve">AAACGACCAGTGCCTACCTGCTCA</t>
  </si>
  <si>
    <t xml:space="preserve">ACACTGTCACCTCATGCGCG</t>
  </si>
  <si>
    <t xml:space="preserve">TAGTACACTGTCACCTCATGCGCG</t>
  </si>
  <si>
    <t xml:space="preserve">AAACCGCGCATGAGGTGACAGTGT</t>
  </si>
  <si>
    <t xml:space="preserve">GTGCCCGCCGACCCAGTCGG</t>
  </si>
  <si>
    <t xml:space="preserve">TAGTGTGCCCGCCGACCCAGTCGG</t>
  </si>
  <si>
    <t xml:space="preserve">AAACCCGACTGGGTCGGCGGGCAC</t>
  </si>
  <si>
    <t xml:space="preserve">PSPPH_1008</t>
  </si>
  <si>
    <t xml:space="preserve">AACCAGATGCGTCGTGCAAC</t>
  </si>
  <si>
    <t xml:space="preserve">TAGTAACCAGATGCGTCGTGCAAC</t>
  </si>
  <si>
    <t xml:space="preserve">AAACGTTGCACGACGCATCTGGTT</t>
  </si>
  <si>
    <t xml:space="preserve">ACCAATGCCGCTGCTAGCTC</t>
  </si>
  <si>
    <t xml:space="preserve">TAGTACCAATGCCGCTGCTAGCTC</t>
  </si>
  <si>
    <t xml:space="preserve">AAACGAGCTAGCAGCGGCATTGGT</t>
  </si>
  <si>
    <t xml:space="preserve">TCCGGCGTTGAGCAGTTCTT</t>
  </si>
  <si>
    <t xml:space="preserve">TAGTTCCGGCGTTGAGCAGTTCTT</t>
  </si>
  <si>
    <t xml:space="preserve">AAACAAGAACTGCTCAACGCCGGA</t>
  </si>
  <si>
    <t xml:space="preserve">CAGCGGTTCAAGCGTACGGG</t>
  </si>
  <si>
    <t xml:space="preserve">TAGTCAGCGGTTCAAGCGTACGGG</t>
  </si>
  <si>
    <t xml:space="preserve">AAACCCCGTACGCTTGAACCGCTG</t>
  </si>
  <si>
    <t xml:space="preserve">PSPPH_1009</t>
  </si>
  <si>
    <t xml:space="preserve">AACCTTCGGCGAAGCGATGC</t>
  </si>
  <si>
    <t xml:space="preserve">TAGTAACCTTCGGCGAAGCGATGC</t>
  </si>
  <si>
    <t xml:space="preserve">AAACGCATCGCTTCGCCGAAGGTT</t>
  </si>
  <si>
    <t xml:space="preserve">ACAGCTCAGCGATCTGATCA</t>
  </si>
  <si>
    <t xml:space="preserve">TAGTACAGCTCAGCGATCTGATCA</t>
  </si>
  <si>
    <t xml:space="preserve">AAACTGATCAGATCGCTGAGCTGT</t>
  </si>
  <si>
    <t xml:space="preserve">GGCCGTGGATGTCATGCATC</t>
  </si>
  <si>
    <t xml:space="preserve">TAGTGGCCGTGGATGTCATGCATC</t>
  </si>
  <si>
    <t xml:space="preserve">AAACGATGCATGACATCCACGGCC</t>
  </si>
  <si>
    <t xml:space="preserve">AATAACGTCGCATGGCGGCG</t>
  </si>
  <si>
    <t xml:space="preserve">TAGTAATAACGTCGCATGGCGGCG</t>
  </si>
  <si>
    <t xml:space="preserve">AAACCGCCGCCATGCGACGTTATT</t>
  </si>
  <si>
    <t xml:space="preserve">PSPPH_1010</t>
  </si>
  <si>
    <t xml:space="preserve">phrB</t>
  </si>
  <si>
    <t xml:space="preserve">CGGTATTATCGTGAACGCGC</t>
  </si>
  <si>
    <t xml:space="preserve">TAGTCGGTATTATCGTGAACGCGC</t>
  </si>
  <si>
    <t xml:space="preserve">AAACGCGCGTTCACGATAATACCG</t>
  </si>
  <si>
    <t xml:space="preserve">CTCCATGGCAGCGGTCAGGG</t>
  </si>
  <si>
    <t xml:space="preserve">TAGTCTCCATGGCAGCGGTCAGGG</t>
  </si>
  <si>
    <t xml:space="preserve">AAACCCCTGACCGCTGCCATGGAG</t>
  </si>
  <si>
    <t xml:space="preserve">GCCACTGTGCCGGGCTGAGC</t>
  </si>
  <si>
    <t xml:space="preserve">TAGTGCCACTGTGCCGGGCTGAGC</t>
  </si>
  <si>
    <t xml:space="preserve">AAACGCTCAGCCCGGCACAGTGGC</t>
  </si>
  <si>
    <t xml:space="preserve">CCTTGCAGTCAGCATCGTCG</t>
  </si>
  <si>
    <t xml:space="preserve">TAGTCCTTGCAGTCAGCATCGTCG</t>
  </si>
  <si>
    <t xml:space="preserve">AAACCGACGATGCTGACTGCAAGG</t>
  </si>
  <si>
    <t xml:space="preserve">PSPPH_1011</t>
  </si>
  <si>
    <t xml:space="preserve">CGGATAGGCAGCCAGTCGCC</t>
  </si>
  <si>
    <t xml:space="preserve">TAGTCGGATAGGCAGCCAGTCGCC</t>
  </si>
  <si>
    <t xml:space="preserve">AAACGGCGACTGGCTGCCTATCCG</t>
  </si>
  <si>
    <t xml:space="preserve">CTGTCTGCCGTGCGACCTCG</t>
  </si>
  <si>
    <t xml:space="preserve">TAGTCTGTCTGCCGTGCGACCTCG</t>
  </si>
  <si>
    <t xml:space="preserve">AAACCGAGGTCGCACGGCAGACAG</t>
  </si>
  <si>
    <t xml:space="preserve">TTCCCAGGCGCGCAAGGTAA</t>
  </si>
  <si>
    <t xml:space="preserve">TAGTTTCCCAGGCGCGCAAGGTAA</t>
  </si>
  <si>
    <t xml:space="preserve">AAACTTACCTTGCGCGCCTGGGAA</t>
  </si>
  <si>
    <t xml:space="preserve">GCGGAACGATCAGTCCGTAA</t>
  </si>
  <si>
    <t xml:space="preserve">TAGTGCGGAACGATCAGTCCGTAA</t>
  </si>
  <si>
    <t xml:space="preserve">AAACTTACGGACTGATCGTTCCGC</t>
  </si>
  <si>
    <t xml:space="preserve">PSPPH_1012</t>
  </si>
  <si>
    <t xml:space="preserve">GGTTTTTCGATTGCGGACAT</t>
  </si>
  <si>
    <t xml:space="preserve">TAGTGGTTTTTCGATTGCGGACAT</t>
  </si>
  <si>
    <t xml:space="preserve">AAACATGTCCGCAATCGAAAAACC</t>
  </si>
  <si>
    <t xml:space="preserve">CAGGCACTGATGCCGAGCTT</t>
  </si>
  <si>
    <t xml:space="preserve">TAGTCAGGCACTGATGCCGAGCTT</t>
  </si>
  <si>
    <t xml:space="preserve">AAACAAGCTCGGCATCAGTGCCTG</t>
  </si>
  <si>
    <t xml:space="preserve">AACGAACCTCGGCACCCATC</t>
  </si>
  <si>
    <t xml:space="preserve">TAGTAACGAACCTCGGCACCCATC</t>
  </si>
  <si>
    <t xml:space="preserve">AAACGATGGGTGCCGAGGTTCGTT</t>
  </si>
  <si>
    <t xml:space="preserve">TGCACAGATGGGACTCCTTG</t>
  </si>
  <si>
    <t xml:space="preserve">TAGTTGCACAGATGGGACTCCTTG</t>
  </si>
  <si>
    <t xml:space="preserve">AAACCAAGGAGTCCCATCTGTGCA</t>
  </si>
  <si>
    <t xml:space="preserve">PSPPH_1013</t>
  </si>
  <si>
    <t xml:space="preserve">TCGACAGCAGCAGTTTGCGA</t>
  </si>
  <si>
    <t xml:space="preserve">TAGTTCGACAGCAGCAGTTTGCGA</t>
  </si>
  <si>
    <t xml:space="preserve">AAACTCGCAAACTGCTGCTGTCGA</t>
  </si>
  <si>
    <t xml:space="preserve">CCGGTTGAGCGGGGTGGCTG</t>
  </si>
  <si>
    <t xml:space="preserve">TAGTCCGGTTGAGCGGGGTGGCTG</t>
  </si>
  <si>
    <t xml:space="preserve">AAACCAGCCACCCCGCTCAACCGG</t>
  </si>
  <si>
    <t xml:space="preserve">TTCGCTGCGCTGGGTCAGCA</t>
  </si>
  <si>
    <t xml:space="preserve">TAGTTTCGCTGCGCTGGGTCAGCA</t>
  </si>
  <si>
    <t xml:space="preserve">AAACTGCTGACCCAGCGCAGCGAA</t>
  </si>
  <si>
    <t xml:space="preserve">GCCTGCTGCAGCACCTGCCA</t>
  </si>
  <si>
    <t xml:space="preserve">TAGTGCCTGCTGCAGCACCTGCCA</t>
  </si>
  <si>
    <t xml:space="preserve">AAACTGGCAGGTGCTGCAGCAGGC</t>
  </si>
  <si>
    <t xml:space="preserve">PSPPH_1014</t>
  </si>
  <si>
    <t xml:space="preserve">ATTGCGATAGGGACAGTCAT</t>
  </si>
  <si>
    <t xml:space="preserve">TAGTATTGCGATAGGGACAGTCAT</t>
  </si>
  <si>
    <t xml:space="preserve">AAACATGACTGTCCCTATCGCAAT</t>
  </si>
  <si>
    <t xml:space="preserve">TGCTGAGAGTCCGGCGATAC</t>
  </si>
  <si>
    <t xml:space="preserve">TAGTTGCTGAGAGTCCGGCGATAC</t>
  </si>
  <si>
    <t xml:space="preserve">AAACGTATCGCCGGACTCTCAGCA</t>
  </si>
  <si>
    <t xml:space="preserve">CCCGGCTGATGTAAGCGCCT</t>
  </si>
  <si>
    <t xml:space="preserve">TAGTCCCGGCTGATGTAAGCGCCT</t>
  </si>
  <si>
    <t xml:space="preserve">AAACAGGCGCTTACATCAGCCGGG</t>
  </si>
  <si>
    <t xml:space="preserve">TGCCGCGGCTTTTGTCGAAA</t>
  </si>
  <si>
    <t xml:space="preserve">TAGTTGCCGCGGCTTTTGTCGAAA</t>
  </si>
  <si>
    <t xml:space="preserve">AAACTTTCGACAAAAGCCGCGGCA</t>
  </si>
  <si>
    <t xml:space="preserve">PSPPH_1015</t>
  </si>
  <si>
    <t xml:space="preserve">GAAACTGTCAGTTGAACCAT</t>
  </si>
  <si>
    <t xml:space="preserve">TAGTGAAACTGTCAGTTGAACCAT</t>
  </si>
  <si>
    <t xml:space="preserve">AAACATGGTTCAACTGACAGTTTC</t>
  </si>
  <si>
    <t xml:space="preserve">CGATCTCCGTGACGCTTGTC</t>
  </si>
  <si>
    <t xml:space="preserve">TAGTCGATCTCCGTGACGCTTGTC</t>
  </si>
  <si>
    <t xml:space="preserve">AAACGACAAGCGTCACGGAGATCG</t>
  </si>
  <si>
    <t xml:space="preserve">GCATGGCAGATAACCTCGCG</t>
  </si>
  <si>
    <t xml:space="preserve">TAGTGCATGGCAGATAACCTCGCG</t>
  </si>
  <si>
    <t xml:space="preserve">AAACCGCGAGGTTATCTGCCATGC</t>
  </si>
  <si>
    <t xml:space="preserve">TCCTATCAAACCAGTACCAC</t>
  </si>
  <si>
    <t xml:space="preserve">TAGTTCCTATCAAACCAGTACCAC</t>
  </si>
  <si>
    <t xml:space="preserve">AAACGTGGTACTGGTTTGATAGGA</t>
  </si>
  <si>
    <t xml:space="preserve">PSPPH_1016</t>
  </si>
  <si>
    <t xml:space="preserve">hemH</t>
  </si>
  <si>
    <t xml:space="preserve">GACCAGCAACAAAGCGTGAT</t>
  </si>
  <si>
    <t xml:space="preserve">TAGTGACCAGCAACAAAGCGTGAT</t>
  </si>
  <si>
    <t xml:space="preserve">AAACATCACGCTTTGTTGCTGGTC</t>
  </si>
  <si>
    <t xml:space="preserve">TCTGCCACTTGAGTAGAAGC</t>
  </si>
  <si>
    <t xml:space="preserve">TAGTTCTGCCACTTGAGTAGAAGC</t>
  </si>
  <si>
    <t xml:space="preserve">AAACGCTTCTACTCAAGTGGCAGA</t>
  </si>
  <si>
    <t xml:space="preserve">CATAAGGATCCATCAGGAAC</t>
  </si>
  <si>
    <t xml:space="preserve">TAGTCATAAGGATCCATCAGGAAC</t>
  </si>
  <si>
    <t xml:space="preserve">AAACGTTCCTGATGGATCCTTATG</t>
  </si>
  <si>
    <t xml:space="preserve">GCCTGCGAACGGGCCACGGC</t>
  </si>
  <si>
    <t xml:space="preserve">TAGTGCCTGCGAACGGGCCACGGC</t>
  </si>
  <si>
    <t xml:space="preserve">AAACGCCGTGGCCCGTTCGCAGGC</t>
  </si>
  <si>
    <t xml:space="preserve">PSPPH_1017</t>
  </si>
  <si>
    <t xml:space="preserve">uraA</t>
  </si>
  <si>
    <t xml:space="preserve">TTGAACTCCTGCTGCGTCAT</t>
  </si>
  <si>
    <t xml:space="preserve">TAGTTTGAACTCCTGCTGCGTCAT</t>
  </si>
  <si>
    <t xml:space="preserve">AAACATGACGCAGCAGGAGTTCAA</t>
  </si>
  <si>
    <t xml:space="preserve">GAAAGAATCGTGCGCCACAG</t>
  </si>
  <si>
    <t xml:space="preserve">TAGTGAAAGAATCGTGCGCCACAG</t>
  </si>
  <si>
    <t xml:space="preserve">AAACCTGTGGCGCACGATTCTTTC</t>
  </si>
  <si>
    <t xml:space="preserve">CACGAACAGCATTTGCGCGC</t>
  </si>
  <si>
    <t xml:space="preserve">TAGTCACGAACAGCATTTGCGCGC</t>
  </si>
  <si>
    <t xml:space="preserve">AAACGCGCGCAAATGCTGTTCGTG</t>
  </si>
  <si>
    <t xml:space="preserve">CATCAATACCAGTGCGCCAA</t>
  </si>
  <si>
    <t xml:space="preserve">TAGTCATCAATACCAGTGCGCCAA</t>
  </si>
  <si>
    <t xml:space="preserve">AAACTTGGCGCACTGGTATTGATG</t>
  </si>
  <si>
    <t xml:space="preserve">PSPPH_1018</t>
  </si>
  <si>
    <t xml:space="preserve">upp</t>
  </si>
  <si>
    <t xml:space="preserve">CGGATCTCACGAATAGGCAT</t>
  </si>
  <si>
    <t xml:space="preserve">TAGTCGGATCTCACGAATAGGCAT</t>
  </si>
  <si>
    <t xml:space="preserve">AAACATGCCTATTCGTGAGATCCG</t>
  </si>
  <si>
    <t xml:space="preserve">TGTGGCGGATCAGTGGGTGA</t>
  </si>
  <si>
    <t xml:space="preserve">TAGTTGTGGCGGATCAGTGGGTGA</t>
  </si>
  <si>
    <t xml:space="preserve">AAACTCACCCACTGATCCGCCACA</t>
  </si>
  <si>
    <t xml:space="preserve">TGATGTCGGCACGGCGCATA</t>
  </si>
  <si>
    <t xml:space="preserve">TAGTTGATGTCGGCACGGCGCATA</t>
  </si>
  <si>
    <t xml:space="preserve">AAACTATGCGCCGTGCCGACATCA</t>
  </si>
  <si>
    <t xml:space="preserve">AGCCAGCTCACGAAAATTCT</t>
  </si>
  <si>
    <t xml:space="preserve">TAGTAGCCAGCTCACGAAAATTCT</t>
  </si>
  <si>
    <t xml:space="preserve">AAACAGAATTTTCGTGAGCTGGCT</t>
  </si>
  <si>
    <t xml:space="preserve">PSPPH_1019</t>
  </si>
  <si>
    <t xml:space="preserve">hpt</t>
  </si>
  <si>
    <t xml:space="preserve">ACGGATATGCTCGAGATCAG</t>
  </si>
  <si>
    <t xml:space="preserve">TAGTACGGATATGCTCGAGATCAG</t>
  </si>
  <si>
    <t xml:space="preserve">AAACCTGATCTCGAGCATATCCGT</t>
  </si>
  <si>
    <t xml:space="preserve">GGCCTCGGTGTACAGGCAGT</t>
  </si>
  <si>
    <t xml:space="preserve">TAGTGGCCTCGGTGTACAGGCAGT</t>
  </si>
  <si>
    <t xml:space="preserve">AAACACTGCCTGTACACCGAGGCC</t>
  </si>
  <si>
    <t xml:space="preserve">GGCAATGGCAGCATCCACTT</t>
  </si>
  <si>
    <t xml:space="preserve">TAGTGGCAATGGCAGCATCCACTT</t>
  </si>
  <si>
    <t xml:space="preserve">AAACAAGTGGATGCTGCCATTGCC</t>
  </si>
  <si>
    <t xml:space="preserve">ATTGATCTGCGCGCCGACGC</t>
  </si>
  <si>
    <t xml:space="preserve">TAGTATTGATCTGCGCGCCGACGC</t>
  </si>
  <si>
    <t xml:space="preserve">AAACGCGTCGGCGCGCAGATCAAT</t>
  </si>
  <si>
    <t xml:space="preserve">PSPPH_1020</t>
  </si>
  <si>
    <t xml:space="preserve">AGACAACAGCACCAACGCCA</t>
  </si>
  <si>
    <t xml:space="preserve">TAGTAGACAACAGCACCAACGCCA</t>
  </si>
  <si>
    <t xml:space="preserve">AAACTGGCGTTGGTGCTGTTGTCT</t>
  </si>
  <si>
    <t xml:space="preserve">CGAAACCGGCGCAGCAGGTG</t>
  </si>
  <si>
    <t xml:space="preserve">TAGTCGAAACCGGCGCAGCAGGTG</t>
  </si>
  <si>
    <t xml:space="preserve">AAACCACCTGCTGCGCCGGTTTCG</t>
  </si>
  <si>
    <t xml:space="preserve">GTATTGATCGTGCATGGGGC</t>
  </si>
  <si>
    <t xml:space="preserve">TAGTGTATTGATCGTGCATGGGGC</t>
  </si>
  <si>
    <t xml:space="preserve">AAACGCCCCATGCACGATCAATAC</t>
  </si>
  <si>
    <t xml:space="preserve">GGCTCAGGTCGTCAGGCGGC</t>
  </si>
  <si>
    <t xml:space="preserve">TAGTGGCTCAGGTCGTCAGGCGGC</t>
  </si>
  <si>
    <t xml:space="preserve">AAACGCCGCCTGACGACCTGAGCC</t>
  </si>
  <si>
    <t xml:space="preserve">PSPPH_1021</t>
  </si>
  <si>
    <t xml:space="preserve">CATCATACGGCTCGAAGTCG</t>
  </si>
  <si>
    <t xml:space="preserve">TAGTCATCATACGGCTCGAAGTCG</t>
  </si>
  <si>
    <t xml:space="preserve">AAACCGACTTCGAGCCGTATGATG</t>
  </si>
  <si>
    <t xml:space="preserve">CAGTTTGTGCAGCGACGGCG</t>
  </si>
  <si>
    <t xml:space="preserve">TAGTCAGTTTGTGCAGCGACGGCG</t>
  </si>
  <si>
    <t xml:space="preserve">AAACCGCCGTCGCTGCACAAACTG</t>
  </si>
  <si>
    <t xml:space="preserve">GTTGATGCGCAGCCCACGGT</t>
  </si>
  <si>
    <t xml:space="preserve">TAGTGTTGATGCGCAGCCCACGGT</t>
  </si>
  <si>
    <t xml:space="preserve">AAACACCGTGGGCTGCGCATCAAC</t>
  </si>
  <si>
    <t xml:space="preserve">CGTCCTTGCCATCGAAGTCG</t>
  </si>
  <si>
    <t xml:space="preserve">TAGTCGTCCTTGCCATCGAAGTCG</t>
  </si>
  <si>
    <t xml:space="preserve">AAACCGACTTCGATGGCAAGGACG</t>
  </si>
  <si>
    <t xml:space="preserve">PSPPH_1022</t>
  </si>
  <si>
    <t xml:space="preserve">GCTCGGGTGGGCGCTGGGGC</t>
  </si>
  <si>
    <t xml:space="preserve">TAGTGCTCGGGTGGGCGCTGGGGC</t>
  </si>
  <si>
    <t xml:space="preserve">AAACGCCCCAGCGCCCACCCGAGC</t>
  </si>
  <si>
    <t xml:space="preserve">AACCGAAAACTCGCTTGAGC</t>
  </si>
  <si>
    <t xml:space="preserve">TAGTAACCGAAAACTCGCTTGAGC</t>
  </si>
  <si>
    <t xml:space="preserve">AAACGCTCAAGCGAGTTTTCGGTT</t>
  </si>
  <si>
    <t xml:space="preserve">AGGTCAGGTACAGCCGCGTA</t>
  </si>
  <si>
    <t xml:space="preserve">TAGTAGGTCAGGTACAGCCGCGTA</t>
  </si>
  <si>
    <t xml:space="preserve">AAACTACGCGGCTGTACCTGACCT</t>
  </si>
  <si>
    <t xml:space="preserve">CAGCGCGAACATGACCAGCC</t>
  </si>
  <si>
    <t xml:space="preserve">TAGTCAGCGCGAACATGACCAGCC</t>
  </si>
  <si>
    <t xml:space="preserve">AAACGGCTGGTCATGTTCGCGCTG</t>
  </si>
  <si>
    <t xml:space="preserve">PSPPH_1023</t>
  </si>
  <si>
    <t xml:space="preserve">ACCGGCCAGGGCTTGAGTGG</t>
  </si>
  <si>
    <t xml:space="preserve">TAGTACCGGCCAGGGCTTGAGTGG</t>
  </si>
  <si>
    <t xml:space="preserve">AAACCCACTCAAGCCCTGGCCGGT</t>
  </si>
  <si>
    <t xml:space="preserve">TTTCTGCACGCGATCCAGCG</t>
  </si>
  <si>
    <t xml:space="preserve">TAGTTTTCTGCACGCGATCCAGCG</t>
  </si>
  <si>
    <t xml:space="preserve">AAACCGCTGGATCGCGTGCAGAAA</t>
  </si>
  <si>
    <t xml:space="preserve">AGGGCGGGTAACTTTCCATC</t>
  </si>
  <si>
    <t xml:space="preserve">TAGTAGGGCGGGTAACTTTCCATC</t>
  </si>
  <si>
    <t xml:space="preserve">AAACGATGGAAAGTTACCCGCCCT</t>
  </si>
  <si>
    <t xml:space="preserve">CTTGTCATTCAGGAAAGAGA</t>
  </si>
  <si>
    <t xml:space="preserve">TAGTCTTGTCATTCAGGAAAGAGA</t>
  </si>
  <si>
    <t xml:space="preserve">AAACTCTCTTTCCTGAATGACAAG</t>
  </si>
  <si>
    <t xml:space="preserve">PSPPH_1024</t>
  </si>
  <si>
    <t xml:space="preserve">CACCGCGACGCTGCAGTTCA</t>
  </si>
  <si>
    <t xml:space="preserve">TAGTCACCGCGACGCTGCAGTTCA</t>
  </si>
  <si>
    <t xml:space="preserve">AAACTGAACTGCAGCGTCGCGGTG</t>
  </si>
  <si>
    <t xml:space="preserve">CCATTCAGGCTGGCGAAACG</t>
  </si>
  <si>
    <t xml:space="preserve">TAGTCCATTCAGGCTGGCGAAACG</t>
  </si>
  <si>
    <t xml:space="preserve">AAACCGTTTCGCCAGCCTGAATGG</t>
  </si>
  <si>
    <t xml:space="preserve">TGTACCGCACTGACGGCCTC</t>
  </si>
  <si>
    <t xml:space="preserve">TAGTTGTACCGCACTGACGGCCTC</t>
  </si>
  <si>
    <t xml:space="preserve">AAACGAGGCCGTCAGTGCGGTACA</t>
  </si>
  <si>
    <t xml:space="preserve">AGCGCCACTTTCGATGTAAG</t>
  </si>
  <si>
    <t xml:space="preserve">TAGTAGCGCCACTTTCGATGTAAG</t>
  </si>
  <si>
    <t xml:space="preserve">AAACCTTACATCGAAAGTGGCGCT</t>
  </si>
  <si>
    <t xml:space="preserve">PSPPH_1025</t>
  </si>
  <si>
    <t xml:space="preserve">mqo1</t>
  </si>
  <si>
    <t xml:space="preserve">CTTGAGCAATACCGCCAGAG</t>
  </si>
  <si>
    <t xml:space="preserve">TAGTCTTGAGCAATACCGCCAGAG</t>
  </si>
  <si>
    <t xml:space="preserve">AAACCTCTGGCGGTATTGCTCAAG</t>
  </si>
  <si>
    <t xml:space="preserve">CGACTTCCAGCTTGAGGCCG</t>
  </si>
  <si>
    <t xml:space="preserve">TAGTCGACTTCCAGCTTGAGGCCG</t>
  </si>
  <si>
    <t xml:space="preserve">AAACCGGCCTCAAGCTGGAAGTCG</t>
  </si>
  <si>
    <t xml:space="preserve">GTTGGAACTCTCCGCAGCAC</t>
  </si>
  <si>
    <t xml:space="preserve">TAGTGTTGGAACTCTCCGCAGCAC</t>
  </si>
  <si>
    <t xml:space="preserve">AAACGTGCTGCGGAGAGTTCCAAC</t>
  </si>
  <si>
    <t xml:space="preserve">CGGTACCGGCGTTGTTCCAC</t>
  </si>
  <si>
    <t xml:space="preserve">TAGTCGGTACCGGCGTTGTTCCAC</t>
  </si>
  <si>
    <t xml:space="preserve">AAACGTGGAACAACGCCGGTACCG</t>
  </si>
  <si>
    <t xml:space="preserve">PSPPH_1026</t>
  </si>
  <si>
    <t xml:space="preserve">CAAAGACCGGAACAGATTCA</t>
  </si>
  <si>
    <t xml:space="preserve">TAGTCAAAGACCGGAACAGATTCA</t>
  </si>
  <si>
    <t xml:space="preserve">AAACTGAATCTGTTCCGGTCTTTG</t>
  </si>
  <si>
    <t xml:space="preserve">ATGGCGATGCTGGTGGCGTG</t>
  </si>
  <si>
    <t xml:space="preserve">TAGTATGGCGATGCTGGTGGCGTG</t>
  </si>
  <si>
    <t xml:space="preserve">AAACCACGCCACCAGCATCGCCAT</t>
  </si>
  <si>
    <t xml:space="preserve">GCGCACAATGCTTGAATGCG</t>
  </si>
  <si>
    <t xml:space="preserve">TAGTGCGCACAATGCTTGAATGCG</t>
  </si>
  <si>
    <t xml:space="preserve">AAACCGCATTCAAGCATTGTGCGC</t>
  </si>
  <si>
    <t xml:space="preserve">CCACCCATTCGACGCCAGAC</t>
  </si>
  <si>
    <t xml:space="preserve">TAGTCCACCCATTCGACGCCAGAC</t>
  </si>
  <si>
    <t xml:space="preserve">AAACGTCTGGCGTCGAATGGGTGG</t>
  </si>
  <si>
    <t xml:space="preserve">PSPPH_1027</t>
  </si>
  <si>
    <t xml:space="preserve">ACTGTGGGCACAGCCCACCA</t>
  </si>
  <si>
    <t xml:space="preserve">TAGTACTGTGGGCACAGCCCACCA</t>
  </si>
  <si>
    <t xml:space="preserve">AAACTGGTGGGCTGTGCCCACAGT</t>
  </si>
  <si>
    <t xml:space="preserve">GGAGTGGGGCTGAGTTGTTG</t>
  </si>
  <si>
    <t xml:space="preserve">TAGTGGAGTGGGGCTGAGTTGTTG</t>
  </si>
  <si>
    <t xml:space="preserve">AAACCAACAACTCAGCCCCACTCC</t>
  </si>
  <si>
    <t xml:space="preserve">GCAAGCTGTGCGTTGAGCTT</t>
  </si>
  <si>
    <t xml:space="preserve">TAGTGCAAGCTGTGCGTTGAGCTT</t>
  </si>
  <si>
    <t xml:space="preserve">AAACAAGCTCAACGCACAGCTTGC</t>
  </si>
  <si>
    <t xml:space="preserve">TACAGGCTGACCACGTCCTA</t>
  </si>
  <si>
    <t xml:space="preserve">TAGTTACAGGCTGACCACGTCCTA</t>
  </si>
  <si>
    <t xml:space="preserve">AAACTAGGACGTGGTCAGCCTGTA</t>
  </si>
  <si>
    <t xml:space="preserve">PSPPH_1028</t>
  </si>
  <si>
    <t xml:space="preserve">GCCATGAGTTTCGTACCTGG</t>
  </si>
  <si>
    <t xml:space="preserve">TAGTGCCATGAGTTTCGTACCTGG</t>
  </si>
  <si>
    <t xml:space="preserve">AAACCCAGGTACGAAACTCATGGC</t>
  </si>
  <si>
    <t xml:space="preserve">ACTAAATGCAAACCATAAAA</t>
  </si>
  <si>
    <t xml:space="preserve">TAGTACTAAATGCAAACCATAAAA</t>
  </si>
  <si>
    <t xml:space="preserve">AAACTTTTATGGTTTGCATTTAGT</t>
  </si>
  <si>
    <t xml:space="preserve">AAACACCTCCCGTTGCAGTT</t>
  </si>
  <si>
    <t xml:space="preserve">TAGTAAACACCTCCCGTTGCAGTT</t>
  </si>
  <si>
    <t xml:space="preserve">AAACAACTGCAACGGGAGGTGTTT</t>
  </si>
  <si>
    <t xml:space="preserve">TCGTCATCTGGCCAAGCATA</t>
  </si>
  <si>
    <t xml:space="preserve">TAGTTCGTCATCTGGCCAAGCATA</t>
  </si>
  <si>
    <t xml:space="preserve">AAACTATGCTTGGCCAGATGACGA</t>
  </si>
  <si>
    <t xml:space="preserve">PSPPH_1029</t>
  </si>
  <si>
    <t xml:space="preserve">TGTGAACGCGCCAACTGATA</t>
  </si>
  <si>
    <t xml:space="preserve">TAGTTGTGAACGCGCCAACTGATA</t>
  </si>
  <si>
    <t xml:space="preserve">AAACTATCAGTTGGCGCGTTCACA</t>
  </si>
  <si>
    <t xml:space="preserve">AAGTGTCGCTGGTAGCAGGT</t>
  </si>
  <si>
    <t xml:space="preserve">TAGTAAGTGTCGCTGGTAGCAGGT</t>
  </si>
  <si>
    <t xml:space="preserve">AAACACCTGCTACCAGCGACACTT</t>
  </si>
  <si>
    <t xml:space="preserve">AAAACTACTCCACCGGCTTG</t>
  </si>
  <si>
    <t xml:space="preserve">TAGTAAAACTACTCCACCGGCTTG</t>
  </si>
  <si>
    <t xml:space="preserve">AAACCAAGCCGGTGGAGTAGTTTT</t>
  </si>
  <si>
    <t xml:space="preserve">AAACTCAGGCCAACCCGGTC</t>
  </si>
  <si>
    <t xml:space="preserve">TAGTAAACTCAGGCCAACCCGGTC</t>
  </si>
  <si>
    <t xml:space="preserve">AAACGACCGGGTTGGCCTGAGTTT</t>
  </si>
  <si>
    <t xml:space="preserve">PSPPH_1030</t>
  </si>
  <si>
    <t xml:space="preserve">AGAGGGAAGTCCGTTTCTCG</t>
  </si>
  <si>
    <t xml:space="preserve">TAGTAGAGGGAAGTCCGTTTCTCG</t>
  </si>
  <si>
    <t xml:space="preserve">AAACCGAGAAACGGACTTCCCTCT</t>
  </si>
  <si>
    <t xml:space="preserve">CGCTCTGGGCGATGAGGTAA</t>
  </si>
  <si>
    <t xml:space="preserve">TAGTCGCTCTGGGCGATGAGGTAA</t>
  </si>
  <si>
    <t xml:space="preserve">AAACTTACCTCATCGCCCAGAGCG</t>
  </si>
  <si>
    <t xml:space="preserve">GTGGCGGTCCTGAACGTTGA</t>
  </si>
  <si>
    <t xml:space="preserve">TAGTGTGGCGGTCCTGAACGTTGA</t>
  </si>
  <si>
    <t xml:space="preserve">AAACTCAACGTTCAGGACCGCCAC</t>
  </si>
  <si>
    <t xml:space="preserve">TGTTCTGATCCATATCCGGC</t>
  </si>
  <si>
    <t xml:space="preserve">TAGTTGTTCTGATCCATATCCGGC</t>
  </si>
  <si>
    <t xml:space="preserve">AAACGCCGGATATGGATCAGAACA</t>
  </si>
  <si>
    <t xml:space="preserve">PSPPH_1031</t>
  </si>
  <si>
    <t xml:space="preserve">TGCATCGTTGTACGGTCGGA</t>
  </si>
  <si>
    <t xml:space="preserve">TAGTTGCATCGTTGTACGGTCGGA</t>
  </si>
  <si>
    <t xml:space="preserve">AAACTCCGACCGTACAACGATGCA</t>
  </si>
  <si>
    <t xml:space="preserve">GCAGGCGTGCCAAGACGGCG</t>
  </si>
  <si>
    <t xml:space="preserve">TAGTGCAGGCGTGCCAAGACGGCG</t>
  </si>
  <si>
    <t xml:space="preserve">AAACCGCCGTCTTGGCACGCCTGC</t>
  </si>
  <si>
    <t xml:space="preserve">TCGGATCAGAATTGCGAGAA</t>
  </si>
  <si>
    <t xml:space="preserve">TAGTTCGGATCAGAATTGCGAGAA</t>
  </si>
  <si>
    <t xml:space="preserve">AAACTTCTCGCAATTCTGATCCGA</t>
  </si>
  <si>
    <t xml:space="preserve">CGCCCGCCAGGCGGGGAAAA</t>
  </si>
  <si>
    <t xml:space="preserve">TAGTCGCCCGCCAGGCGGGGAAAA</t>
  </si>
  <si>
    <t xml:space="preserve">AAACTTTTCCCCGCCTGGCGGGCG</t>
  </si>
  <si>
    <t xml:space="preserve">PSPPH_1032</t>
  </si>
  <si>
    <t xml:space="preserve">CGACAGGTTCGCCGCAATAA</t>
  </si>
  <si>
    <t xml:space="preserve">TAGTCGACAGGTTCGCCGCAATAA</t>
  </si>
  <si>
    <t xml:space="preserve">AAACTTATTGCGGCGAACCTGTCG</t>
  </si>
  <si>
    <t xml:space="preserve">GCCACCGGACAGGTCCAGTA</t>
  </si>
  <si>
    <t xml:space="preserve">TAGTGCCACCGGACAGGTCCAGTA</t>
  </si>
  <si>
    <t xml:space="preserve">AAACTACTGGACCTGTCCGGTGGC</t>
  </si>
  <si>
    <t xml:space="preserve">ATGATCGGGCGGCAACAGAC</t>
  </si>
  <si>
    <t xml:space="preserve">TAGTATGATCGGGCGGCAACAGAC</t>
  </si>
  <si>
    <t xml:space="preserve">AAACGTCTGTTGCCGCCCGATCAT</t>
  </si>
  <si>
    <t xml:space="preserve">CAGGTTCCAGTCTTCGCCGT</t>
  </si>
  <si>
    <t xml:space="preserve">TAGTCAGGTTCCAGTCTTCGCCGT</t>
  </si>
  <si>
    <t xml:space="preserve">AAACACGGCGAAGACTGGAACCTG</t>
  </si>
  <si>
    <t xml:space="preserve">PSPPH_1033</t>
  </si>
  <si>
    <t xml:space="preserve">TCGGCCTCCATGAGGTTCTC</t>
  </si>
  <si>
    <t xml:space="preserve">TAGTTCGGCCTCCATGAGGTTCTC</t>
  </si>
  <si>
    <t xml:space="preserve">AAACGAGAACCTCATGGAGGCCGA</t>
  </si>
  <si>
    <t xml:space="preserve">ATGCGCCTCGATGCCTTCGC</t>
  </si>
  <si>
    <t xml:space="preserve">TAGTATGCGCCTCGATGCCTTCGC</t>
  </si>
  <si>
    <t xml:space="preserve">AAACGCGAAGGCATCGAGGCGCAT</t>
  </si>
  <si>
    <t xml:space="preserve">CGCACCGAGCAGGTCGCGAC</t>
  </si>
  <si>
    <t xml:space="preserve">TAGTCGCACCGAGCAGGTCGCGAC</t>
  </si>
  <si>
    <t xml:space="preserve">AAACGTCGCGACCTGCTCGGTGCG</t>
  </si>
  <si>
    <t xml:space="preserve">AGCGCCAGAAGCCCCAGCCC</t>
  </si>
  <si>
    <t xml:space="preserve">TAGTAGCGCCAGAAGCCCCAGCCC</t>
  </si>
  <si>
    <t xml:space="preserve">AAACGGGCTGGGGCTTCTGGCGCT</t>
  </si>
  <si>
    <t xml:space="preserve">PSPPH_1034</t>
  </si>
  <si>
    <t xml:space="preserve">AGGGCGAAGCGTCCACACAT</t>
  </si>
  <si>
    <t xml:space="preserve">TAGTAGGGCGAAGCGTCCACACAT</t>
  </si>
  <si>
    <t xml:space="preserve">AAACATGTGTGGACGCTTCGCCCT</t>
  </si>
  <si>
    <t xml:space="preserve">AGGCAGGGGTCCAGCGAAAC</t>
  </si>
  <si>
    <t xml:space="preserve">TAGTAGGCAGGGGTCCAGCGAAAC</t>
  </si>
  <si>
    <t xml:space="preserve">AAACGTTTCGCTGGACCCCTGCCT</t>
  </si>
  <si>
    <t xml:space="preserve">AAAACCGGGCAAGGCGGCAA</t>
  </si>
  <si>
    <t xml:space="preserve">TAGTAAAACCGGGCAAGGCGGCAA</t>
  </si>
  <si>
    <t xml:space="preserve">AAACTTGCCGCCTTGCCCGGTTTT</t>
  </si>
  <si>
    <t xml:space="preserve">CATTGCGCCTGCTGATCGGC</t>
  </si>
  <si>
    <t xml:space="preserve">TAGTCATTGCGCCTGCTGATCGGC</t>
  </si>
  <si>
    <t xml:space="preserve">AAACGCCGATCAGCAGGCGCAATG</t>
  </si>
  <si>
    <t xml:space="preserve">PSPPH_1035</t>
  </si>
  <si>
    <t xml:space="preserve">GAGGGCAAATGACTGACGCA</t>
  </si>
  <si>
    <t xml:space="preserve">TAGTGAGGGCAAATGACTGACGCA</t>
  </si>
  <si>
    <t xml:space="preserve">AAACTGCGTCAGTCATTTGCCCTC</t>
  </si>
  <si>
    <t xml:space="preserve">ACCAACCGAGTCACCACTGG</t>
  </si>
  <si>
    <t xml:space="preserve">TAGTACCAACCGAGTCACCACTGG</t>
  </si>
  <si>
    <t xml:space="preserve">AAACCCAGTGGTGACTCGGTTGGT</t>
  </si>
  <si>
    <t xml:space="preserve">CATTTTGTTGACTTCATCGG</t>
  </si>
  <si>
    <t xml:space="preserve">TAGTCATTTTGTTGACTTCATCGG</t>
  </si>
  <si>
    <t xml:space="preserve">AAACCCGATGAAGTCAACAAAATG</t>
  </si>
  <si>
    <t xml:space="preserve">GACGGTCTGCTGATAGGACT</t>
  </si>
  <si>
    <t xml:space="preserve">TAGTGACGGTCTGCTGATAGGACT</t>
  </si>
  <si>
    <t xml:space="preserve">AAACAGTCCTATCAGCAGACCGTC</t>
  </si>
  <si>
    <t xml:space="preserve">PSPPH_1036</t>
  </si>
  <si>
    <t xml:space="preserve">CGAGCGCAACCACAGCGGTA</t>
  </si>
  <si>
    <t xml:space="preserve">TAGTCGAGCGCAACCACAGCGGTA</t>
  </si>
  <si>
    <t xml:space="preserve">AAACTACCGCTGTGGTTGCGCTCG</t>
  </si>
  <si>
    <t xml:space="preserve">CCAGGGTTTGCGAAAGCGTG</t>
  </si>
  <si>
    <t xml:space="preserve">TAGTCCAGGGTTTGCGAAAGCGTG</t>
  </si>
  <si>
    <t xml:space="preserve">AAACCACGCTTTCGCAAACCCTGG</t>
  </si>
  <si>
    <t xml:space="preserve">GCGACAATGCCCGCAATGAT</t>
  </si>
  <si>
    <t xml:space="preserve">TAGTGCGACAATGCCCGCAATGAT</t>
  </si>
  <si>
    <t xml:space="preserve">AAACATCATTGCGGGCATTGTCGC</t>
  </si>
  <si>
    <t xml:space="preserve">AGCGCCTGCTGCCGCATGGT</t>
  </si>
  <si>
    <t xml:space="preserve">TAGTAGCGCCTGCTGCCGCATGGT</t>
  </si>
  <si>
    <t xml:space="preserve">AAACACCATGCGGCAGCAGGCGCT</t>
  </si>
  <si>
    <t xml:space="preserve">PSPPH_1037</t>
  </si>
  <si>
    <t xml:space="preserve">rsmC</t>
  </si>
  <si>
    <t xml:space="preserve">CACTTCACTGCGCGGGTCCA</t>
  </si>
  <si>
    <t xml:space="preserve">TAGTCACTTCACTGCGCGGGTCCA</t>
  </si>
  <si>
    <t xml:space="preserve">AAACTGGACCCGCGCAGTGAAGTG</t>
  </si>
  <si>
    <t xml:space="preserve">CCTGAAACAGCTCGGCCTGA</t>
  </si>
  <si>
    <t xml:space="preserve">TAGTCCTGAAACAGCTCGGCCTGA</t>
  </si>
  <si>
    <t xml:space="preserve">AAACTCAGGCCGAGCTGTTTCAGG</t>
  </si>
  <si>
    <t xml:space="preserve">TTTCCGAGCAGGTCATCGGC</t>
  </si>
  <si>
    <t xml:space="preserve">TAGTTTTCCGAGCAGGTCATCGGC</t>
  </si>
  <si>
    <t xml:space="preserve">AAACGCCGATGACCTGCTCGGAAA</t>
  </si>
  <si>
    <t xml:space="preserve">CAGCACCATCCACGCGCGTC</t>
  </si>
  <si>
    <t xml:space="preserve">TAGTCAGCACCATCCACGCGCGTC</t>
  </si>
  <si>
    <t xml:space="preserve">AAACGACGCGCGTGGATGGTGCTG</t>
  </si>
  <si>
    <t xml:space="preserve">PSPPH_1038</t>
  </si>
  <si>
    <t xml:space="preserve">CAGCAGGTGGATCAGCGCAA</t>
  </si>
  <si>
    <t xml:space="preserve">TAGTCAGCAGGTGGATCAGCGCAA</t>
  </si>
  <si>
    <t xml:space="preserve">AAACTTGCGCTGATCCACCTGCTG</t>
  </si>
  <si>
    <t xml:space="preserve">GTCCGGACCGGGGCTGGCGA</t>
  </si>
  <si>
    <t xml:space="preserve">TAGTGTCCGGACCGGGGCTGGCGA</t>
  </si>
  <si>
    <t xml:space="preserve">AAACTCGCCAGCCCCGGTCCGGAC</t>
  </si>
  <si>
    <t xml:space="preserve">GCCGACGCCAAGCGCTGACC</t>
  </si>
  <si>
    <t xml:space="preserve">TAGTGCCGACGCCAAGCGCTGACC</t>
  </si>
  <si>
    <t xml:space="preserve">AAACGGTCAGCGCTTGGCGTCGGC</t>
  </si>
  <si>
    <t xml:space="preserve">ATAGCCCACATGAAGAAAGA</t>
  </si>
  <si>
    <t xml:space="preserve">TAGTATAGCCCACATGAAGAAAGA</t>
  </si>
  <si>
    <t xml:space="preserve">AAACTCTTTCTTCATGTGGGCTAT</t>
  </si>
  <si>
    <t xml:space="preserve">PSPPH_1039</t>
  </si>
  <si>
    <t xml:space="preserve">alkK</t>
  </si>
  <si>
    <t xml:space="preserve">TACTGGTAAGCGCCATCGGC</t>
  </si>
  <si>
    <t xml:space="preserve">TAGTTACTGGTAAGCGCCATCGGC</t>
  </si>
  <si>
    <t xml:space="preserve">AAACGCCGATGGCGCTTACCAGTA</t>
  </si>
  <si>
    <t xml:space="preserve">AGCAGGCGCTTGATCAACAG</t>
  </si>
  <si>
    <t xml:space="preserve">TAGTAGCAGGCGCTTGATCAACAG</t>
  </si>
  <si>
    <t xml:space="preserve">AAACCTGTTGATCAAGCGCCTGCT</t>
  </si>
  <si>
    <t xml:space="preserve">CGTCTTTTCATAACGACTGC</t>
  </si>
  <si>
    <t xml:space="preserve">TAGTCGTCTTTTCATAACGACTGC</t>
  </si>
  <si>
    <t xml:space="preserve">AAACGCAGTCGTTATGAAAAGACG</t>
  </si>
  <si>
    <t xml:space="preserve">AGGTATAGCGAACGGAGTCG</t>
  </si>
  <si>
    <t xml:space="preserve">TAGTAGGTATAGCGAACGGAGTCG</t>
  </si>
  <si>
    <t xml:space="preserve">AAACCGACTCCGTTCGCTATACCT</t>
  </si>
  <si>
    <t xml:space="preserve">PSPPH_1040</t>
  </si>
  <si>
    <t xml:space="preserve">CTGGCCCGACGCCAGAATGG</t>
  </si>
  <si>
    <t xml:space="preserve">TAGTCTGGCCCGACGCCAGAATGG</t>
  </si>
  <si>
    <t xml:space="preserve">AAACCCATTCTGGCGTCGGGCCAG</t>
  </si>
  <si>
    <t xml:space="preserve">GAAGCAAAGCTGACGGCCAG</t>
  </si>
  <si>
    <t xml:space="preserve">TAGTGAAGCAAAGCTGACGGCCAG</t>
  </si>
  <si>
    <t xml:space="preserve">AAACCTGGCCGTCAGCTTTGCTTC</t>
  </si>
  <si>
    <t xml:space="preserve">AAAGGCCGGGCCGGCGAGCG</t>
  </si>
  <si>
    <t xml:space="preserve">TAGTAAAGGCCGGGCCGGCGAGCG</t>
  </si>
  <si>
    <t xml:space="preserve">AAACCGCTCGCCGGCCCGGCCTTT</t>
  </si>
  <si>
    <t xml:space="preserve">TTCGATCTCACCGACGTTGA</t>
  </si>
  <si>
    <t xml:space="preserve">TAGTTTCGATCTCACCGACGTTGA</t>
  </si>
  <si>
    <t xml:space="preserve">AAACTCAACGTCGGTGAGATCGAA</t>
  </si>
  <si>
    <t xml:space="preserve">PSPPH_1041</t>
  </si>
  <si>
    <t xml:space="preserve">CAACGACATGCCCAGAACCC</t>
  </si>
  <si>
    <t xml:space="preserve">TAGTCAACGACATGCCCAGAACCC</t>
  </si>
  <si>
    <t xml:space="preserve">AAACGGGTTCTGGGCATGTCGTTG</t>
  </si>
  <si>
    <t xml:space="preserve">GGAGACCGCCGCCATCACGC</t>
  </si>
  <si>
    <t xml:space="preserve">TAGTGGAGACCGCCGCCATCACGC</t>
  </si>
  <si>
    <t xml:space="preserve">AAACGCGTGATGGCGGCGGTCTCC</t>
  </si>
  <si>
    <t xml:space="preserve">CAGCTTTGCCGCGTCGGAGG</t>
  </si>
  <si>
    <t xml:space="preserve">TAGTCAGCTTTGCCGCGTCGGAGG</t>
  </si>
  <si>
    <t xml:space="preserve">AAACCCTCCGACGCGGCAAAGCTG</t>
  </si>
  <si>
    <t xml:space="preserve">AGCGCCCATCGGCGTCAGCG</t>
  </si>
  <si>
    <t xml:space="preserve">TAGTAGCGCCCATCGGCGTCAGCG</t>
  </si>
  <si>
    <t xml:space="preserve">AAACCGCTGACGCCGATGGGCGCT</t>
  </si>
  <si>
    <t xml:space="preserve">PSPPH_1043</t>
  </si>
  <si>
    <t xml:space="preserve">CAAGGGCAAGCTCAGCGACA</t>
  </si>
  <si>
    <t xml:space="preserve">TAGTCAAGGGCAAGCTCAGCGACA</t>
  </si>
  <si>
    <t xml:space="preserve">AAACTGTCGCTGAGCTTGCCCTTG</t>
  </si>
  <si>
    <t xml:space="preserve">TCCAGCGGCGACAGATTTTA</t>
  </si>
  <si>
    <t xml:space="preserve">TAGTTCCAGCGGCGACAGATTTTA</t>
  </si>
  <si>
    <t xml:space="preserve">AAACTAAAATCTGTCGCCGCTGGA</t>
  </si>
  <si>
    <t xml:space="preserve">GCCTATCCAGAATGGATCGT</t>
  </si>
  <si>
    <t xml:space="preserve">TAGTGCCTATCCAGAATGGATCGT</t>
  </si>
  <si>
    <t xml:space="preserve">AAACACGATCCATTCTGGATAGGC</t>
  </si>
  <si>
    <t xml:space="preserve">CTTCCCGGGTGCCCGATTGC</t>
  </si>
  <si>
    <t xml:space="preserve">TAGTCTTCCCGGGTGCCCGATTGC</t>
  </si>
  <si>
    <t xml:space="preserve">AAACGCAATCGGGCACCCGGGAAG</t>
  </si>
  <si>
    <t xml:space="preserve">PSPPH_1044</t>
  </si>
  <si>
    <t xml:space="preserve">hpaC</t>
  </si>
  <si>
    <t xml:space="preserve">GCTTCAGAGTCGGCATGCAT</t>
  </si>
  <si>
    <t xml:space="preserve">TAGTGCTTCAGAGTCGGCATGCAT</t>
  </si>
  <si>
    <t xml:space="preserve">AAACATGCATGCCGACTCTGAAGC</t>
  </si>
  <si>
    <t xml:space="preserve">GTCAGCGGGGAGGGTGGCAA</t>
  </si>
  <si>
    <t xml:space="preserve">TAGTGTCAGCGGGGAGGGTGGCAA</t>
  </si>
  <si>
    <t xml:space="preserve">AAACTTGCCACCCTCCCCGCTGAC</t>
  </si>
  <si>
    <t xml:space="preserve">GAAACGCCAGCTGGCTGACC</t>
  </si>
  <si>
    <t xml:space="preserve">TAGTGAAACGCCAGCTGGCTGACC</t>
  </si>
  <si>
    <t xml:space="preserve">AAACGGTCAGCCAGCTGGCGTTTC</t>
  </si>
  <si>
    <t xml:space="preserve">GTTGACGGCTGCGGCGAGGC</t>
  </si>
  <si>
    <t xml:space="preserve">TAGTGTTGACGGCTGCGGCGAGGC</t>
  </si>
  <si>
    <t xml:space="preserve">AAACGCCTCGCCGCAGCCGTCAAC</t>
  </si>
  <si>
    <t xml:space="preserve">PSPPH_1045</t>
  </si>
  <si>
    <t xml:space="preserve">GAGCACCAACAGGGGCGCAT</t>
  </si>
  <si>
    <t xml:space="preserve">TAGTGAGCACCAACAGGGGCGCAT</t>
  </si>
  <si>
    <t xml:space="preserve">AAACATGCGCCCCTGTTGGTGCTC</t>
  </si>
  <si>
    <t xml:space="preserve">ACGGCTGGATCCGCCCAACC</t>
  </si>
  <si>
    <t xml:space="preserve">TAGTACGGCTGGATCCGCCCAACC</t>
  </si>
  <si>
    <t xml:space="preserve">AAACGGTTGGGCGGATCCAGCCGT</t>
  </si>
  <si>
    <t xml:space="preserve">GACCAGTACGTCATGGTCGC</t>
  </si>
  <si>
    <t xml:space="preserve">TAGTGACCAGTACGTCATGGTCGC</t>
  </si>
  <si>
    <t xml:space="preserve">AAACGCGACCATGACGTACTGGTC</t>
  </si>
  <si>
    <t xml:space="preserve">AGTCTGCCGGCAAATCCGCA</t>
  </si>
  <si>
    <t xml:space="preserve">TAGTAGTCTGCCGGCAAATCCGCA</t>
  </si>
  <si>
    <t xml:space="preserve">AAACTGCGGATTTGCCGGCAGACT</t>
  </si>
  <si>
    <t xml:space="preserve">PSPPH_1046</t>
  </si>
  <si>
    <t xml:space="preserve">AGCAGGAATAATCGCTTTCT</t>
  </si>
  <si>
    <t xml:space="preserve">TAGTAGCAGGAATAATCGCTTTCT</t>
  </si>
  <si>
    <t xml:space="preserve">AAACAGAAAGCGATTATTCCTGCT</t>
  </si>
  <si>
    <t xml:space="preserve">GAACGGAGCAATGGGCTTGG</t>
  </si>
  <si>
    <t xml:space="preserve">TAGTGAACGGAGCAATGGGCTTGG</t>
  </si>
  <si>
    <t xml:space="preserve">AAACCCAAGCCCATTGCTCCGTTC</t>
  </si>
  <si>
    <t xml:space="preserve">ACGCCATCGGCCATGGAGCC</t>
  </si>
  <si>
    <t xml:space="preserve">TAGTACGCCATCGGCCATGGAGCC</t>
  </si>
  <si>
    <t xml:space="preserve">AAACGGCTCCATGGCCGATGGCGT</t>
  </si>
  <si>
    <t xml:space="preserve">ACGTTGTTGTCCTTGTCGAA</t>
  </si>
  <si>
    <t xml:space="preserve">TAGTACGTTGTTGTCCTTGTCGAA</t>
  </si>
  <si>
    <t xml:space="preserve">AAACTTCGACAAGGACAACAACGT</t>
  </si>
  <si>
    <t xml:space="preserve">PSPPH_1047</t>
  </si>
  <si>
    <t xml:space="preserve">ACACGGGCGGGTTGCCCGTC</t>
  </si>
  <si>
    <t xml:space="preserve">TAGTACACGGGCGGGTTGCCCGTC</t>
  </si>
  <si>
    <t xml:space="preserve">AAACGACGGGCAACCCGCCCGTGT</t>
  </si>
  <si>
    <t xml:space="preserve">CATGCGCAGCGGCTCGGGAC</t>
  </si>
  <si>
    <t xml:space="preserve">TAGTCATGCGCAGCGGCTCGGGAC</t>
  </si>
  <si>
    <t xml:space="preserve">AAACGTCCCGAGCCGCTGCGCATG</t>
  </si>
  <si>
    <t xml:space="preserve">ACCACCAGCGCTGTTTCGCC</t>
  </si>
  <si>
    <t xml:space="preserve">TAGTACCACCAGCGCTGTTTCGCC</t>
  </si>
  <si>
    <t xml:space="preserve">AAACGGCGAAACAGCGCTGGTGGT</t>
  </si>
  <si>
    <t xml:space="preserve">ATAACCCCCCAGCGATGCGT</t>
  </si>
  <si>
    <t xml:space="preserve">TAGTATAACCCCCCAGCGATGCGT</t>
  </si>
  <si>
    <t xml:space="preserve">AAACACGCATCGCTGGGGGGTTAT</t>
  </si>
  <si>
    <t xml:space="preserve">PSPPH_1048</t>
  </si>
  <si>
    <t xml:space="preserve">GCCAGCCGTTGTTGCCGATG</t>
  </si>
  <si>
    <t xml:space="preserve">TAGTGCCAGCCGTTGTTGCCGATG</t>
  </si>
  <si>
    <t xml:space="preserve">AAACCATCGGCAACAACGGCTGGC</t>
  </si>
  <si>
    <t xml:space="preserve">CATGTACTGCGGTGCGTTGC</t>
  </si>
  <si>
    <t xml:space="preserve">TAGTCATGTACTGCGGTGCGTTGC</t>
  </si>
  <si>
    <t xml:space="preserve">AAACGCAACGCACCGCAGTACATG</t>
  </si>
  <si>
    <t xml:space="preserve">TGTTTGTTCAGCTCGAAAGT</t>
  </si>
  <si>
    <t xml:space="preserve">TAGTTGTTTGTTCAGCTCGAAAGT</t>
  </si>
  <si>
    <t xml:space="preserve">AAACACTTTCGAGCTGAACAAACA</t>
  </si>
  <si>
    <t xml:space="preserve">AAAGTCGAAACCGTAGCCCT</t>
  </si>
  <si>
    <t xml:space="preserve">TAGTAAAGTCGAAACCGTAGCCCT</t>
  </si>
  <si>
    <t xml:space="preserve">AAACAGGGCTACGGTTTCGACTTT</t>
  </si>
  <si>
    <t xml:space="preserve">PSPPH_1049</t>
  </si>
  <si>
    <t xml:space="preserve">GTCGATATGGGTTACCCAGC</t>
  </si>
  <si>
    <t xml:space="preserve">TAGTGTCGATATGGGTTACCCAGC</t>
  </si>
  <si>
    <t xml:space="preserve">AAACGCTGGGTAACCCATATCGAC</t>
  </si>
  <si>
    <t xml:space="preserve">AAATGAGCGGGCATCTTAAC</t>
  </si>
  <si>
    <t xml:space="preserve">TAGTAAATGAGCGGGCATCTTAAC</t>
  </si>
  <si>
    <t xml:space="preserve">AAACGTTAAGATGCCCGCTCATTT</t>
  </si>
  <si>
    <t xml:space="preserve">CTCGCGGGCTCCGTCACAGG</t>
  </si>
  <si>
    <t xml:space="preserve">TAGTCTCGCGGGCTCCGTCACAGG</t>
  </si>
  <si>
    <t xml:space="preserve">AAACCCTGTGACGGAGCCCGCGAG</t>
  </si>
  <si>
    <t xml:space="preserve">GTGGTCTTGACCACGGTTTC</t>
  </si>
  <si>
    <t xml:space="preserve">TAGTGTGGTCTTGACCACGGTTTC</t>
  </si>
  <si>
    <t xml:space="preserve">AAACGAAACCGTGGTCAAGACCAC</t>
  </si>
  <si>
    <t xml:space="preserve">PSPPH_1050</t>
  </si>
  <si>
    <t xml:space="preserve">ACAGCCGCACACAATGTCCC</t>
  </si>
  <si>
    <t xml:space="preserve">TAGTACAGCCGCACACAATGTCCC</t>
  </si>
  <si>
    <t xml:space="preserve">AAACGGGACATTGTGTGCGGCTGT</t>
  </si>
  <si>
    <t xml:space="preserve">CTCGGCCTGAGCGAAGCCGG</t>
  </si>
  <si>
    <t xml:space="preserve">TAGTCTCGGCCTGAGCGAAGCCGG</t>
  </si>
  <si>
    <t xml:space="preserve">AAACCCGGCTTCGCTCAGGCCGAG</t>
  </si>
  <si>
    <t xml:space="preserve">GATTTTCGCAGGTCCCTTCA</t>
  </si>
  <si>
    <t xml:space="preserve">TAGTGATTTTCGCAGGTCCCTTCA</t>
  </si>
  <si>
    <t xml:space="preserve">AAACTGAAGGGACCTGCGAAAATC</t>
  </si>
  <si>
    <t xml:space="preserve">GCGCGGGCTGATGTAGACCA</t>
  </si>
  <si>
    <t xml:space="preserve">TAGTGCGCGGGCTGATGTAGACCA</t>
  </si>
  <si>
    <t xml:space="preserve">AAACTGGTCTACATCAGCCCGCGC</t>
  </si>
  <si>
    <t xml:space="preserve">PSPPH_1051</t>
  </si>
  <si>
    <t xml:space="preserve">GCCCCAACAGGCGGTGAAGT</t>
  </si>
  <si>
    <t xml:space="preserve">TAGTGCCCCAACAGGCGGTGAAGT</t>
  </si>
  <si>
    <t xml:space="preserve">AAACACTTCACCGCCTGTTGGGGC</t>
  </si>
  <si>
    <t xml:space="preserve">GGTTTCCGGTGCGTACAGCC</t>
  </si>
  <si>
    <t xml:space="preserve">TAGTGGTTTCCGGTGCGTACAGCC</t>
  </si>
  <si>
    <t xml:space="preserve">AAACGGCTGTACGCACCGGAAACC</t>
  </si>
  <si>
    <t xml:space="preserve">TGGGCCCCTGAAGCTGAACC</t>
  </si>
  <si>
    <t xml:space="preserve">TAGTTGGGCCCCTGAAGCTGAACC</t>
  </si>
  <si>
    <t xml:space="preserve">AAACGGTTCAGCTTCAGGGGCCCA</t>
  </si>
  <si>
    <t xml:space="preserve">CCGGTAACGGCTGGCGTCCC</t>
  </si>
  <si>
    <t xml:space="preserve">TAGTCCGGTAACGGCTGGCGTCCC</t>
  </si>
  <si>
    <t xml:space="preserve">AAACGGGACGCCAGCCGTTACCGG</t>
  </si>
  <si>
    <t xml:space="preserve">PSPPH_1052</t>
  </si>
  <si>
    <t xml:space="preserve">GACAGCAACGGTTGGCGTGC</t>
  </si>
  <si>
    <t xml:space="preserve">TAGTGACAGCAACGGTTGGCGTGC</t>
  </si>
  <si>
    <t xml:space="preserve">AAACGCACGCCAACCGTTGCTGTC</t>
  </si>
  <si>
    <t xml:space="preserve">GACGAAGTTCCAGCGTGTAG</t>
  </si>
  <si>
    <t xml:space="preserve">TAGTGACGAAGTTCCAGCGTGTAG</t>
  </si>
  <si>
    <t xml:space="preserve">AAACCTACACGCTGGAACTTCGTC</t>
  </si>
  <si>
    <t xml:space="preserve">GCTATGATCAGCGCCTGCAA</t>
  </si>
  <si>
    <t xml:space="preserve">TAGTGCTATGATCAGCGCCTGCAA</t>
  </si>
  <si>
    <t xml:space="preserve">AAACTTGCAGGCGCTGATCATAGC</t>
  </si>
  <si>
    <t xml:space="preserve">CAGGCCGACCAGCAACGCCA</t>
  </si>
  <si>
    <t xml:space="preserve">TAGTCAGGCCGACCAGCAACGCCA</t>
  </si>
  <si>
    <t xml:space="preserve">AAACTGGCGTTGCTGGTCGGCCTG</t>
  </si>
  <si>
    <t xml:space="preserve">PSPPH_1053</t>
  </si>
  <si>
    <t xml:space="preserve">CGGTGCGCTGCCCAACCAGT</t>
  </si>
  <si>
    <t xml:space="preserve">TAGTCGGTGCGCTGCCCAACCAGT</t>
  </si>
  <si>
    <t xml:space="preserve">AAACACTGGTTGGGCAGCGCACCG</t>
  </si>
  <si>
    <t xml:space="preserve">GCAAACGGCACGGCGAAATC</t>
  </si>
  <si>
    <t xml:space="preserve">TAGTGCAAACGGCACGGCGAAATC</t>
  </si>
  <si>
    <t xml:space="preserve">AAACGATTTCGCCGTGCCGTTTGC</t>
  </si>
  <si>
    <t xml:space="preserve">GATGAGGATCAGGCCCAGTG</t>
  </si>
  <si>
    <t xml:space="preserve">TAGTGATGAGGATCAGGCCCAGTG</t>
  </si>
  <si>
    <t xml:space="preserve">AAACCACTGGGCCTGATCCTCATC</t>
  </si>
  <si>
    <t xml:space="preserve">GCGAAAGACCAGGCGAGCCC</t>
  </si>
  <si>
    <t xml:space="preserve">TAGTGCGAAAGACCAGGCGAGCCC</t>
  </si>
  <si>
    <t xml:space="preserve">AAACGGGCTCGCCTGGTCTTTCGC</t>
  </si>
  <si>
    <t xml:space="preserve">PSPPH_1054</t>
  </si>
  <si>
    <t xml:space="preserve">AACAATGATCAAACGACGCG</t>
  </si>
  <si>
    <t xml:space="preserve">TAGTAACAATGATCAAACGACGCG</t>
  </si>
  <si>
    <t xml:space="preserve">AAACCGCGTCGTTTGATCATTGTT</t>
  </si>
  <si>
    <t xml:space="preserve">CGACAGCATGGCTACGGCGG</t>
  </si>
  <si>
    <t xml:space="preserve">TAGTCGACAGCATGGCTACGGCGG</t>
  </si>
  <si>
    <t xml:space="preserve">AAACCCGCCGTAGCCATGCTGTCG</t>
  </si>
  <si>
    <t xml:space="preserve">GCCTTGATTGTCATAGGGAT</t>
  </si>
  <si>
    <t xml:space="preserve">TAGTGCCTTGATTGTCATAGGGAT</t>
  </si>
  <si>
    <t xml:space="preserve">AAACATCCCTATGACAATCAAGGC</t>
  </si>
  <si>
    <t xml:space="preserve">TGCCACCGGAGCTTTGCGCC</t>
  </si>
  <si>
    <t xml:space="preserve">TAGTTGCCACCGGAGCTTTGCGCC</t>
  </si>
  <si>
    <t xml:space="preserve">AAACGGCGCAAAGCTCCGGTGGCA</t>
  </si>
  <si>
    <t xml:space="preserve">PSPPH_1055</t>
  </si>
  <si>
    <t xml:space="preserve">CGCCGCGCAACGGGGCAGGC</t>
  </si>
  <si>
    <t xml:space="preserve">TAGTCGCCGCGCAACGGGGCAGGC</t>
  </si>
  <si>
    <t xml:space="preserve">AAACGCCTGCCCCGTTGCGCGGCG</t>
  </si>
  <si>
    <t xml:space="preserve">CAGCACCGTGCAACAGACGA</t>
  </si>
  <si>
    <t xml:space="preserve">TAGTCAGCACCGTGCAACAGACGA</t>
  </si>
  <si>
    <t xml:space="preserve">AAACTCGTCTGTTGCACGGTGCTG</t>
  </si>
  <si>
    <t xml:space="preserve">AGAAGGGCAGGCAAATCTTG</t>
  </si>
  <si>
    <t xml:space="preserve">TAGTAGAAGGGCAGGCAAATCTTG</t>
  </si>
  <si>
    <t xml:space="preserve">AAACCAAGATTTGCCTGCCCTTCT</t>
  </si>
  <si>
    <t xml:space="preserve">GATGTGGCTCATCAGCCAGT</t>
  </si>
  <si>
    <t xml:space="preserve">TAGTGATGTGGCTCATCAGCCAGT</t>
  </si>
  <si>
    <t xml:space="preserve">AAACACTGGCTGATGAGCCACATC</t>
  </si>
  <si>
    <t xml:space="preserve">PSPPH_1056</t>
  </si>
  <si>
    <t xml:space="preserve">pta</t>
  </si>
  <si>
    <t xml:space="preserve">CCCCACGCCGAAGTCAGTGG</t>
  </si>
  <si>
    <t xml:space="preserve">TAGTCCCCACGCCGAAGTCAGTGG</t>
  </si>
  <si>
    <t xml:space="preserve">AAACCCACTGACTTCGGCGTGGGG</t>
  </si>
  <si>
    <t xml:space="preserve">CACCAGGCCCAGGCTGATAG</t>
  </si>
  <si>
    <t xml:space="preserve">TAGTCACCAGGCCCAGGCTGATAG</t>
  </si>
  <si>
    <t xml:space="preserve">AAACCTATCAGCCTGGGCCTGGTG</t>
  </si>
  <si>
    <t xml:space="preserve">CCGGGGTGCGGCTGGGCAAT</t>
  </si>
  <si>
    <t xml:space="preserve">TAGTCCGGGGTGCGGCTGGGCAAT</t>
  </si>
  <si>
    <t xml:space="preserve">AAACATTGCCCAGCCGCACCCCGG</t>
  </si>
  <si>
    <t xml:space="preserve">TCAGTTCAGTCGAGCGCTCG</t>
  </si>
  <si>
    <t xml:space="preserve">TAGTTCAGTTCAGTCGAGCGCTCG</t>
  </si>
  <si>
    <t xml:space="preserve">AAACCGAGCGCTCGACTGAACTGA</t>
  </si>
  <si>
    <t xml:space="preserve">PSPPH_1057</t>
  </si>
  <si>
    <t xml:space="preserve">TTCGCTTTCGGGCGATTGCT</t>
  </si>
  <si>
    <t xml:space="preserve">TAGTTTCGCTTTCGGGCGATTGCT</t>
  </si>
  <si>
    <t xml:space="preserve">AAACAGCAATCGCCCGAAAGCGAA</t>
  </si>
  <si>
    <t xml:space="preserve">ACAGTTGAACCTTCCATTCT</t>
  </si>
  <si>
    <t xml:space="preserve">TAGTACAGTTGAACCTTCCATTCT</t>
  </si>
  <si>
    <t xml:space="preserve">AAACAGAATGGAAGGTTCAACTGT</t>
  </si>
  <si>
    <t xml:space="preserve">AGTGTGGCCGCAGGACAGCA</t>
  </si>
  <si>
    <t xml:space="preserve">TAGTAGTGTGGCCGCAGGACAGCA</t>
  </si>
  <si>
    <t xml:space="preserve">AAACTGCTGTCCTGCGGCCACACT</t>
  </si>
  <si>
    <t xml:space="preserve">GCCATGGCGGCTGATGGCGC</t>
  </si>
  <si>
    <t xml:space="preserve">TAGTGCCATGGCGGCTGATGGCGC</t>
  </si>
  <si>
    <t xml:space="preserve">AAACGCGCCATCAGCCGCCATGGC</t>
  </si>
  <si>
    <t xml:space="preserve">PSPPH_1058</t>
  </si>
  <si>
    <t xml:space="preserve">TTATTGGTGGCGATCGGCAT</t>
  </si>
  <si>
    <t xml:space="preserve">TAGTTTATTGGTGGCGATCGGCAT</t>
  </si>
  <si>
    <t xml:space="preserve">AAACATGCCGATCGCCACCAATAA</t>
  </si>
  <si>
    <t xml:space="preserve">GTTGGTCAGGGTATAGTCAA</t>
  </si>
  <si>
    <t xml:space="preserve">TAGTGTTGGTCAGGGTATAGTCAA</t>
  </si>
  <si>
    <t xml:space="preserve">AAACTTGACTATACCCTGACCAAC</t>
  </si>
  <si>
    <t xml:space="preserve">GTAAACCAGCGGCGCACCAC</t>
  </si>
  <si>
    <t xml:space="preserve">TAGTGTAAACCAGCGGCGCACCAC</t>
  </si>
  <si>
    <t xml:space="preserve">AAACGTGGTGCGCCGCTGGTTTAC</t>
  </si>
  <si>
    <t xml:space="preserve">TGATGTTGCCTGCACCTTGC</t>
  </si>
  <si>
    <t xml:space="preserve">TAGTTGATGTTGCCTGCACCTTGC</t>
  </si>
  <si>
    <t xml:space="preserve">AAACGCAAGGTGCAGGCAACATCA</t>
  </si>
  <si>
    <t xml:space="preserve">PSPPH_1059</t>
  </si>
  <si>
    <t xml:space="preserve">TTGTTCTTGAAACCCGCCAT</t>
  </si>
  <si>
    <t xml:space="preserve">TAGTTTGTTCTTGAAACCCGCCAT</t>
  </si>
  <si>
    <t xml:space="preserve">AAACATGGCGGGTTTCAAGAACAA</t>
  </si>
  <si>
    <t xml:space="preserve">TTGCGGTGTCAGCCCGCATT</t>
  </si>
  <si>
    <t xml:space="preserve">TAGTTTGCGGTGTCAGCCCGCATT</t>
  </si>
  <si>
    <t xml:space="preserve">AAACAATGCGGGCTGACACCGCAA</t>
  </si>
  <si>
    <t xml:space="preserve">TGTCCTTGTATTGCTGATAG</t>
  </si>
  <si>
    <t xml:space="preserve">TAGTTGTCCTTGTATTGCTGATAG</t>
  </si>
  <si>
    <t xml:space="preserve">AAACCTATCAGCAATACAAGGACA</t>
  </si>
  <si>
    <t xml:space="preserve">ACGGCAGCCCGAGAATCTCC</t>
  </si>
  <si>
    <t xml:space="preserve">TAGTACGGCAGCCCGAGAATCTCC</t>
  </si>
  <si>
    <t xml:space="preserve">AAACGGAGATTCTCGGGCTGCCGT</t>
  </si>
  <si>
    <t xml:space="preserve">PSPPH_1060</t>
  </si>
  <si>
    <t xml:space="preserve">CAGACGGAAAGGCGTAAACA</t>
  </si>
  <si>
    <t xml:space="preserve">TAGTCAGACGGAAAGGCGTAAACA</t>
  </si>
  <si>
    <t xml:space="preserve">AAACTGTTTACGCCTTTCCGTCTG</t>
  </si>
  <si>
    <t xml:space="preserve">CCACCCGCGACGACAATTCC</t>
  </si>
  <si>
    <t xml:space="preserve">TAGTCCACCCGCGACGACAATTCC</t>
  </si>
  <si>
    <t xml:space="preserve">AAACGGAATTGTCGTCGCGGGTGG</t>
  </si>
  <si>
    <t xml:space="preserve">GGCGAGAACGAACGGGTCAT</t>
  </si>
  <si>
    <t xml:space="preserve">TAGTGGCGAGAACGAACGGGTCAT</t>
  </si>
  <si>
    <t xml:space="preserve">AAACATGACCCGTTCGTTCTCGCC</t>
  </si>
  <si>
    <t xml:space="preserve">TTTGAGTTGGGTACATGTCC</t>
  </si>
  <si>
    <t xml:space="preserve">TAGTTTTGAGTTGGGTACATGTCC</t>
  </si>
  <si>
    <t xml:space="preserve">AAACGGACATGTACCCAACTCAAA</t>
  </si>
  <si>
    <t xml:space="preserve">PSPPH_1061</t>
  </si>
  <si>
    <t xml:space="preserve">ACGTTAAGAATTTTGCTCAT</t>
  </si>
  <si>
    <t xml:space="preserve">TAGTACGTTAAGAATTTTGCTCAT</t>
  </si>
  <si>
    <t xml:space="preserve">AAACATGAGCAAAATTCTTAACGT</t>
  </si>
  <si>
    <t xml:space="preserve">AATGAAGGTTTCAGTAATCA</t>
  </si>
  <si>
    <t xml:space="preserve">TAGTAATGAAGGTTTCAGTAATCA</t>
  </si>
  <si>
    <t xml:space="preserve">AAACTGATTACTGAAACCTTCATT</t>
  </si>
  <si>
    <t xml:space="preserve">TTGGCAACGCCGTTGATCTC</t>
  </si>
  <si>
    <t xml:space="preserve">TAGTTTGGCAACGCCGTTGATCTC</t>
  </si>
  <si>
    <t xml:space="preserve">AAACGAGATCAACGGCGTTGCCAA</t>
  </si>
  <si>
    <t xml:space="preserve">CCCTTCACAAAGACGCCCCA</t>
  </si>
  <si>
    <t xml:space="preserve">TAGTCCCTTCACAAAGACGCCCCA</t>
  </si>
  <si>
    <t xml:space="preserve">AAACTGGGGCGTCTTTGTGAAGGG</t>
  </si>
  <si>
    <t xml:space="preserve">PSPPH_1062</t>
  </si>
  <si>
    <t xml:space="preserve">AAGCGCCAAAGCAATTCCTG</t>
  </si>
  <si>
    <t xml:space="preserve">TAGTAAGCGCCAAAGCAATTCCTG</t>
  </si>
  <si>
    <t xml:space="preserve">AAACCAGGAATTGCTTTGGCGCTT</t>
  </si>
  <si>
    <t xml:space="preserve">AGCCAGTGCAAGATTTGAAT</t>
  </si>
  <si>
    <t xml:space="preserve">TAGTAGCCAGTGCAAGATTTGAAT</t>
  </si>
  <si>
    <t xml:space="preserve">AAACATTCAAATCTTGCACTGGCT</t>
  </si>
  <si>
    <t xml:space="preserve">TAGCCTTTTGAATGAATAAC</t>
  </si>
  <si>
    <t xml:space="preserve">TAGTTAGCCTTTTGAATGAATAAC</t>
  </si>
  <si>
    <t xml:space="preserve">AAACGTTATTCATTCAAAAGGCTA</t>
  </si>
  <si>
    <t xml:space="preserve">ATGCCTGCTTACTGGCAGCG</t>
  </si>
  <si>
    <t xml:space="preserve">TAGTATGCCTGCTTACTGGCAGCG</t>
  </si>
  <si>
    <t xml:space="preserve">AAACCGCTGCCAGTAAGCAGGCAT</t>
  </si>
  <si>
    <t xml:space="preserve">PSPPH_1063</t>
  </si>
  <si>
    <t xml:space="preserve">TTTTCCAGGCTGGCTTTCGG</t>
  </si>
  <si>
    <t xml:space="preserve">TAGTTTTTCCAGGCTGGCTTTCGG</t>
  </si>
  <si>
    <t xml:space="preserve">AAACCCGAAAGCCAGCCTGGAAAA</t>
  </si>
  <si>
    <t xml:space="preserve">AGAGACACGACATAAAATTC</t>
  </si>
  <si>
    <t xml:space="preserve">TAGTAGAGACACGACATAAAATTC</t>
  </si>
  <si>
    <t xml:space="preserve">AAACGAATTTTATGTCGTGTCTCT</t>
  </si>
  <si>
    <t xml:space="preserve">GCGAAGATCACACGCGCAGC</t>
  </si>
  <si>
    <t xml:space="preserve">TAGTGCGAAGATCACACGCGCAGC</t>
  </si>
  <si>
    <t xml:space="preserve">AAACGCTGCGCGTGTGATCTTCGC</t>
  </si>
  <si>
    <t xml:space="preserve">TAGTGGAAAGGCGTAAATAA</t>
  </si>
  <si>
    <t xml:space="preserve">TAGTTAGTGGAAAGGCGTAAATAA</t>
  </si>
  <si>
    <t xml:space="preserve">AAACTTATTTACGCCTTTCCACTA</t>
  </si>
  <si>
    <t xml:space="preserve">PSPPH_1065</t>
  </si>
  <si>
    <t xml:space="preserve">GCAAATGCTGCAGGGTTTAC</t>
  </si>
  <si>
    <t xml:space="preserve">TAGTGCAAATGCTGCAGGGTTTAC</t>
  </si>
  <si>
    <t xml:space="preserve">AAACGTAAACCCTGCAGCATTTGC</t>
  </si>
  <si>
    <t xml:space="preserve">TTCGACTGTGGCGTTTTCAG</t>
  </si>
  <si>
    <t xml:space="preserve">TAGTTTCGACTGTGGCGTTTTCAG</t>
  </si>
  <si>
    <t xml:space="preserve">AAACCTGAAAACGCCACAGTCGAA</t>
  </si>
  <si>
    <t xml:space="preserve">GTCTGGATTGATCGACCATT</t>
  </si>
  <si>
    <t xml:space="preserve">TAGTGTCTGGATTGATCGACCATT</t>
  </si>
  <si>
    <t xml:space="preserve">AAACAATGGTCGATCAATCCAGAC</t>
  </si>
  <si>
    <t xml:space="preserve">TGATGACCAAACGTTCTTCC</t>
  </si>
  <si>
    <t xml:space="preserve">TAGTTGATGACCAAACGTTCTTCC</t>
  </si>
  <si>
    <t xml:space="preserve">AAACGGAAGAACGTTTGGTCATCA</t>
  </si>
  <si>
    <t xml:space="preserve">PSPPH_1066</t>
  </si>
  <si>
    <t xml:space="preserve">cysZ</t>
  </si>
  <si>
    <t xml:space="preserve">GGTAAGGGCGGGCGCGGGCA</t>
  </si>
  <si>
    <t xml:space="preserve">TAGTGGTAAGGGCGGGCGCGGGCA</t>
  </si>
  <si>
    <t xml:space="preserve">AAACTGCCCGCGCCCGCCCTTACC</t>
  </si>
  <si>
    <t xml:space="preserve">CTCTTTGAGGTATTGCGGGC</t>
  </si>
  <si>
    <t xml:space="preserve">TAGTCTCTTTGAGGTATTGCGGGC</t>
  </si>
  <si>
    <t xml:space="preserve">AAACGCCCGCAATACCTCAAAGAG</t>
  </si>
  <si>
    <t xml:space="preserve">GCAAACCAGGACTGAGGACC</t>
  </si>
  <si>
    <t xml:space="preserve">TAGTGCAAACCAGGACTGAGGACC</t>
  </si>
  <si>
    <t xml:space="preserve">AAACGGTCCTCAGTCCTGGTTTGC</t>
  </si>
  <si>
    <t xml:space="preserve">CATTGATGCTCAAGGGCAGC</t>
  </si>
  <si>
    <t xml:space="preserve">TAGTCATTGATGCTCAAGGGCAGC</t>
  </si>
  <si>
    <t xml:space="preserve">AAACGCTGCCCTTGAGCATCAATG</t>
  </si>
  <si>
    <t xml:space="preserve">PSPPH_1067</t>
  </si>
  <si>
    <t xml:space="preserve">trxB</t>
  </si>
  <si>
    <t xml:space="preserve">GGAACCGAGAATGATCACTC</t>
  </si>
  <si>
    <t xml:space="preserve">TAGTGGAACCGAGAATGATCACTC</t>
  </si>
  <si>
    <t xml:space="preserve">AAACGAGTGATCATTCTCGGTTCC</t>
  </si>
  <si>
    <t xml:space="preserve">AGCGCTATAACCGGCAGGGC</t>
  </si>
  <si>
    <t xml:space="preserve">TAGTAGCGCTATAACCGGCAGGGC</t>
  </si>
  <si>
    <t xml:space="preserve">AAACGCCCTGCCGGTTATAGCGCT</t>
  </si>
  <si>
    <t xml:space="preserve">AGGCTTGAGGTTGGCGCGAG</t>
  </si>
  <si>
    <t xml:space="preserve">TAGTAGGCTTGAGGTTGGCGCGAG</t>
  </si>
  <si>
    <t xml:space="preserve">AAACCTCGCGCCAACCTCAAGCCT</t>
  </si>
  <si>
    <t xml:space="preserve">TGCATGCCGGTGATCAGCAG</t>
  </si>
  <si>
    <t xml:space="preserve">TAGTTGCATGCCGGTGATCAGCAG</t>
  </si>
  <si>
    <t xml:space="preserve">AAACCTGCTGATCACCGGCATGCA</t>
  </si>
  <si>
    <t xml:space="preserve">PSPPH_1068</t>
  </si>
  <si>
    <t xml:space="preserve">GCTGCGCAGGCTGGTGCGCA</t>
  </si>
  <si>
    <t xml:space="preserve">TAGTGCTGCGCAGGCTGGTGCGCA</t>
  </si>
  <si>
    <t xml:space="preserve">AAACTGCGCACCAGCCTGCGCAGC</t>
  </si>
  <si>
    <t xml:space="preserve">ACCTTCTGCGATAAAGGCCA</t>
  </si>
  <si>
    <t xml:space="preserve">TAGTACCTTCTGCGATAAAGGCCA</t>
  </si>
  <si>
    <t xml:space="preserve">AAACTGGCCTTTATCGCAGAAGGT</t>
  </si>
  <si>
    <t xml:space="preserve">GCGCCGTTTCTGAACGGCTG</t>
  </si>
  <si>
    <t xml:space="preserve">TAGTGCGCCGTTTCTGAACGGCTG</t>
  </si>
  <si>
    <t xml:space="preserve">AAACCAGCCGTTCAGAAACGGCGC</t>
  </si>
  <si>
    <t xml:space="preserve">TTGCCCGGCAGCATTGTCGA</t>
  </si>
  <si>
    <t xml:space="preserve">TAGTTTGCCCGGCAGCATTGTCGA</t>
  </si>
  <si>
    <t xml:space="preserve">AAACTCGACAATGCTGCCGGGCAA</t>
  </si>
  <si>
    <t xml:space="preserve">PSPPH_1069</t>
  </si>
  <si>
    <t xml:space="preserve">GAGTTCGAGGCGTTCTTGCT</t>
  </si>
  <si>
    <t xml:space="preserve">TAGTGAGTTCGAGGCGTTCTTGCT</t>
  </si>
  <si>
    <t xml:space="preserve">AAACAGCAAGAACGCCTCGAACTC</t>
  </si>
  <si>
    <t xml:space="preserve">CCAGATGCGCGACCAGGCGA</t>
  </si>
  <si>
    <t xml:space="preserve">TAGTCCAGATGCGCGACCAGGCGA</t>
  </si>
  <si>
    <t xml:space="preserve">AAACTCGCCTGGTCGCGCATCTGG</t>
  </si>
  <si>
    <t xml:space="preserve">CGATGTTCTGGACATCCTTG</t>
  </si>
  <si>
    <t xml:space="preserve">TAGTCGATGTTCTGGACATCCTTG</t>
  </si>
  <si>
    <t xml:space="preserve">AAACCAAGGATGTCCAGAACATCG</t>
  </si>
  <si>
    <t xml:space="preserve">AGAAACCGGACAGGTTCATC</t>
  </si>
  <si>
    <t xml:space="preserve">TAGTAGAAACCGGACAGGTTCATC</t>
  </si>
  <si>
    <t xml:space="preserve">AAACGATGAACCTGTCCGGTTTCT</t>
  </si>
  <si>
    <t xml:space="preserve">PSPPH_1070</t>
  </si>
  <si>
    <t xml:space="preserve">folB2</t>
  </si>
  <si>
    <t xml:space="preserve">ACCCGGATGCGCGCGGTGCC</t>
  </si>
  <si>
    <t xml:space="preserve">TAGTACCCGGATGCGCGCGGTGCC</t>
  </si>
  <si>
    <t xml:space="preserve">AAACGGCACCGCGCGCATCCGGGT</t>
  </si>
  <si>
    <t xml:space="preserve">TGATACCGATATATGTACGC</t>
  </si>
  <si>
    <t xml:space="preserve">TAGTTGATACCGATATATGTACGC</t>
  </si>
  <si>
    <t xml:space="preserve">AAACGCGTACATATATCGGTATCA</t>
  </si>
  <si>
    <t xml:space="preserve">GTCGCGAACGGCTTCCTGTG</t>
  </si>
  <si>
    <t xml:space="preserve">TAGTGTCGCGAACGGCTTCCTGTG</t>
  </si>
  <si>
    <t xml:space="preserve">AAACCACAGGAAGCCGTTCGCGAC</t>
  </si>
  <si>
    <t xml:space="preserve">CTGAATGATGGCCTTGGTGA</t>
  </si>
  <si>
    <t xml:space="preserve">TAGTCTGAATGATGGCCTTGGTGA</t>
  </si>
  <si>
    <t xml:space="preserve">AAACTCACCAAGGCCATCATTCAG</t>
  </si>
  <si>
    <t xml:space="preserve">PSPPH_1071</t>
  </si>
  <si>
    <t xml:space="preserve">folE1</t>
  </si>
  <si>
    <t xml:space="preserve">GTCTCGATAGTGCTGGGGCA</t>
  </si>
  <si>
    <t xml:space="preserve">TAGTGTCTCGATAGTGCTGGGGCA</t>
  </si>
  <si>
    <t xml:space="preserve">AAACTGCCCCAGCACTATCGAGAC</t>
  </si>
  <si>
    <t xml:space="preserve">CGCGGTCTGGATCTTCACCA</t>
  </si>
  <si>
    <t xml:space="preserve">TAGTCGCGGTCTGGATCTTCACCA</t>
  </si>
  <si>
    <t xml:space="preserve">AAACTGGTGAAGATCCAGACCGCG</t>
  </si>
  <si>
    <t xml:space="preserve">CGCGTTTCGGGGTGTCCAGA</t>
  </si>
  <si>
    <t xml:space="preserve">TAGTCGCGTTTCGGGGTGTCCAGA</t>
  </si>
  <si>
    <t xml:space="preserve">AAACTCTGGACACCCCGAAACGCG</t>
  </si>
  <si>
    <t xml:space="preserve">ACACAGATACTGCATCGCTT</t>
  </si>
  <si>
    <t xml:space="preserve">TAGTACACAGATACTGCATCGCTT</t>
  </si>
  <si>
    <t xml:space="preserve">AAACAAGCGATGCAGTATCTGTGT</t>
  </si>
  <si>
    <t xml:space="preserve">PSPPH_1072</t>
  </si>
  <si>
    <t xml:space="preserve">GCCTACGCGCTGGCTGGCTC</t>
  </si>
  <si>
    <t xml:space="preserve">TAGTGCCTACGCGCTGGCTGGCTC</t>
  </si>
  <si>
    <t xml:space="preserve">AAACGAGCCAGCCAGCGCGTAGGC</t>
  </si>
  <si>
    <t xml:space="preserve">GCAGTCGCAAGGCGCAATGC</t>
  </si>
  <si>
    <t xml:space="preserve">TAGTGCAGTCGCAAGGCGCAATGC</t>
  </si>
  <si>
    <t xml:space="preserve">AAACGCATTGCGCCTTGCGACTGC</t>
  </si>
  <si>
    <t xml:space="preserve">AGAGGGCCACCGCTCCGGCC</t>
  </si>
  <si>
    <t xml:space="preserve">TAGTAGAGGGCCACCGCTCCGGCC</t>
  </si>
  <si>
    <t xml:space="preserve">AAACGGCCGGAGCGGTGGCCCTCT</t>
  </si>
  <si>
    <t xml:space="preserve">ATCAATGAACGCCATGATCC</t>
  </si>
  <si>
    <t xml:space="preserve">TAGTATCAATGAACGCCATGATCC</t>
  </si>
  <si>
    <t xml:space="preserve">AAACGGATCATGGCGTTCATTGAT</t>
  </si>
  <si>
    <t xml:space="preserve">PSPPH_1073</t>
  </si>
  <si>
    <t xml:space="preserve">GACCATCAAGGTGACGGGTG</t>
  </si>
  <si>
    <t xml:space="preserve">TAGTGACCATCAAGGTGACGGGTG</t>
  </si>
  <si>
    <t xml:space="preserve">AAACCACCCGTCACCTTGATGGTC</t>
  </si>
  <si>
    <t xml:space="preserve">ACGACCCTGTGCCACGCGGC</t>
  </si>
  <si>
    <t xml:space="preserve">TAGTACGACCCTGTGCCACGCGGC</t>
  </si>
  <si>
    <t xml:space="preserve">AAACGCCGCGTGGCACAGGGTCGT</t>
  </si>
  <si>
    <t xml:space="preserve">GCAGCCAGGCCATCATTTCA</t>
  </si>
  <si>
    <t xml:space="preserve">TAGTGCAGCCAGGCCATCATTTCA</t>
  </si>
  <si>
    <t xml:space="preserve">AAACTGAAATGATGGCCTGGCTGC</t>
  </si>
  <si>
    <t xml:space="preserve">CAGATACCCCGGGAAATCCG</t>
  </si>
  <si>
    <t xml:space="preserve">TAGTCAGATACCCCGGGAAATCCG</t>
  </si>
  <si>
    <t xml:space="preserve">AAACCGGATTTCCCGGGGTATCTG</t>
  </si>
  <si>
    <t xml:space="preserve">PSPPH_1074</t>
  </si>
  <si>
    <t xml:space="preserve">AGGAGAGAATCAGGTTGCAT</t>
  </si>
  <si>
    <t xml:space="preserve">TAGTAGGAGAGAATCAGGTTGCAT</t>
  </si>
  <si>
    <t xml:space="preserve">AAACATGCAACCTGATTCTCTCCT</t>
  </si>
  <si>
    <t xml:space="preserve">AATCCAGTTCAGCCTGTGTG</t>
  </si>
  <si>
    <t xml:space="preserve">TAGTAATCCAGTTCAGCCTGTGTG</t>
  </si>
  <si>
    <t xml:space="preserve">AAACCACACAGGCTGAACTGGATT</t>
  </si>
  <si>
    <t xml:space="preserve">TCGGATTGCGCTGCATGCTC</t>
  </si>
  <si>
    <t xml:space="preserve">TAGTTCGGATTGCGCTGCATGCTC</t>
  </si>
  <si>
    <t xml:space="preserve">AAACGAGCATGCAGCGCAATCCGA</t>
  </si>
  <si>
    <t xml:space="preserve">GAACCCCGCCATTGACCAGA</t>
  </si>
  <si>
    <t xml:space="preserve">TAGTGAACCCCGCCATTGACCAGA</t>
  </si>
  <si>
    <t xml:space="preserve">AAACTCTGGTCAATGGCGGGGTTC</t>
  </si>
  <si>
    <t xml:space="preserve">PSPPH_1075</t>
  </si>
  <si>
    <t xml:space="preserve">ACACACGATGGCAACTTTCA</t>
  </si>
  <si>
    <t xml:space="preserve">TAGTACACACGATGGCAACTTTCA</t>
  </si>
  <si>
    <t xml:space="preserve">AAACTGAAAGTTGCCATCGTGTGT</t>
  </si>
  <si>
    <t xml:space="preserve">GGCGTGTCTGGCAACTTCTT</t>
  </si>
  <si>
    <t xml:space="preserve">TAGTGGCGTGTCTGGCAACTTCTT</t>
  </si>
  <si>
    <t xml:space="preserve">AAACAAGAAGTTGCCAGACACGCC</t>
  </si>
  <si>
    <t xml:space="preserve">AGCGGCACGCAACAGTGCAG</t>
  </si>
  <si>
    <t xml:space="preserve">TAGTAGCGGCACGCAACAGTGCAG</t>
  </si>
  <si>
    <t xml:space="preserve">AAACCTGCACTGTTGCGTGCCGCT</t>
  </si>
  <si>
    <t xml:space="preserve">CGCGAGCCGAGGGTTGACTA</t>
  </si>
  <si>
    <t xml:space="preserve">TAGTCGCGAGCCGAGGGTTGACTA</t>
  </si>
  <si>
    <t xml:space="preserve">AAACTAGTCAACCCTCGGCTCGCG</t>
  </si>
  <si>
    <t xml:space="preserve">PSPPH_1076</t>
  </si>
  <si>
    <t xml:space="preserve">CGCCATGGGCAGAGCCACCC</t>
  </si>
  <si>
    <t xml:space="preserve">TAGTCGCCATGGGCAGAGCCACCC</t>
  </si>
  <si>
    <t xml:space="preserve">AAACGGGTGGCTCTGCCCATGGCG</t>
  </si>
  <si>
    <t xml:space="preserve">GCGATCAGCAGCAGAAGCAC</t>
  </si>
  <si>
    <t xml:space="preserve">TAGTGCGATCAGCAGCAGAAGCAC</t>
  </si>
  <si>
    <t xml:space="preserve">AAACGTGCTTCTGCTGCTGATCGC</t>
  </si>
  <si>
    <t xml:space="preserve">GCCACCGGCTTCACGAATCT</t>
  </si>
  <si>
    <t xml:space="preserve">TAGTGCCACCGGCTTCACGAATCT</t>
  </si>
  <si>
    <t xml:space="preserve">AAACAGATTCGTGAAGCCGGTGGC</t>
  </si>
  <si>
    <t xml:space="preserve">CGAGTCATGGTTGGCCACAG</t>
  </si>
  <si>
    <t xml:space="preserve">TAGTCGAGTCATGGTTGGCCACAG</t>
  </si>
  <si>
    <t xml:space="preserve">AAACCTGTGGCCAACCATGACTCG</t>
  </si>
  <si>
    <t xml:space="preserve">PSPPH_1077</t>
  </si>
  <si>
    <t xml:space="preserve">CAGCAACAGTGACCGGTGGC</t>
  </si>
  <si>
    <t xml:space="preserve">TAGTCAGCAACAGTGACCGGTGGC</t>
  </si>
  <si>
    <t xml:space="preserve">AAACGCCACCGGTCACTGTTGCTG</t>
  </si>
  <si>
    <t xml:space="preserve">TTGAGCTTGAGTCTTTCAGG</t>
  </si>
  <si>
    <t xml:space="preserve">TAGTTTGAGCTTGAGTCTTTCAGG</t>
  </si>
  <si>
    <t xml:space="preserve">AAACCCTGAAAGACTCAAGCTCAA</t>
  </si>
  <si>
    <t xml:space="preserve">CACCTGACTGACCTGCGCTG</t>
  </si>
  <si>
    <t xml:space="preserve">TAGTCACCTGACTGACCTGCGCTG</t>
  </si>
  <si>
    <t xml:space="preserve">AAACCAGCGCAGGTCAGTCAGGTG</t>
  </si>
  <si>
    <t xml:space="preserve">CGCCAGCGAGTTGAGCGCAA</t>
  </si>
  <si>
    <t xml:space="preserve">TAGTCGCCAGCGAGTTGAGCGCAA</t>
  </si>
  <si>
    <t xml:space="preserve">AAACTTGCGCTCAACTCGCTGGCG</t>
  </si>
  <si>
    <t xml:space="preserve">PSPPH_1078</t>
  </si>
  <si>
    <t xml:space="preserve">CAGGCCAGGCAATGCTGACG</t>
  </si>
  <si>
    <t xml:space="preserve">TAGTCAGGCCAGGCAATGCTGACG</t>
  </si>
  <si>
    <t xml:space="preserve">AAACCGTCAGCATTGCCTGGCCTG</t>
  </si>
  <si>
    <t xml:space="preserve">GCTGCTTCAAACACCGAGGG</t>
  </si>
  <si>
    <t xml:space="preserve">TAGTGCTGCTTCAAACACCGAGGG</t>
  </si>
  <si>
    <t xml:space="preserve">AAACCCCTCGGTGTTTGAAGCAGC</t>
  </si>
  <si>
    <t xml:space="preserve">GTCACTGATCACCGCATGCC</t>
  </si>
  <si>
    <t xml:space="preserve">TAGTGTCACTGATCACCGCATGCC</t>
  </si>
  <si>
    <t xml:space="preserve">AAACGGCATGCGGTGATCAGTGAC</t>
  </si>
  <si>
    <t xml:space="preserve">CGTCGATCTGGCGCTGTAAC</t>
  </si>
  <si>
    <t xml:space="preserve">TAGTCGTCGATCTGGCGCTGTAAC</t>
  </si>
  <si>
    <t xml:space="preserve">AAACGTTACAGCGCCAGATCGACG</t>
  </si>
  <si>
    <t xml:space="preserve">PSPPH_1079</t>
  </si>
  <si>
    <t xml:space="preserve">TATTGTCTGTCGTAGCAGTG</t>
  </si>
  <si>
    <t xml:space="preserve">TAGTTATTGTCTGTCGTAGCAGTG</t>
  </si>
  <si>
    <t xml:space="preserve">AAACCACTGCTACGACAGACAATA</t>
  </si>
  <si>
    <t xml:space="preserve">TACCAGGGCGGCTGCCAGCG</t>
  </si>
  <si>
    <t xml:space="preserve">TAGTTACCAGGGCGGCTGCCAGCG</t>
  </si>
  <si>
    <t xml:space="preserve">AAACCGCTGGCAGCCGCCCTGGTA</t>
  </si>
  <si>
    <t xml:space="preserve">ATACAGCTCGCTGGAGGCGA</t>
  </si>
  <si>
    <t xml:space="preserve">TAGTATACAGCTCGCTGGAGGCGA</t>
  </si>
  <si>
    <t xml:space="preserve">AAACTCGCCTCCAGCGAGCTGTAT</t>
  </si>
  <si>
    <t xml:space="preserve">CCGACAATTCCCGGTCCGCT</t>
  </si>
  <si>
    <t xml:space="preserve">TAGTCCGACAATTCCCGGTCCGCT</t>
  </si>
  <si>
    <t xml:space="preserve">AAACAGCGGACCGGGAATTGTCGG</t>
  </si>
  <si>
    <t xml:space="preserve">PSPPH_1080</t>
  </si>
  <si>
    <t xml:space="preserve">CTAGCAGCGACAGGATGAAG</t>
  </si>
  <si>
    <t xml:space="preserve">TAGTCTAGCAGCGACAGGATGAAG</t>
  </si>
  <si>
    <t xml:space="preserve">AAACCTTCATCCTGTCGCTGCTAG</t>
  </si>
  <si>
    <t xml:space="preserve">TGAGCGGTGCAACAAGACCC</t>
  </si>
  <si>
    <t xml:space="preserve">TAGTTGAGCGGTGCAACAAGACCC</t>
  </si>
  <si>
    <t xml:space="preserve">AAACGGGTCTTGTTGCACCGCTCA</t>
  </si>
  <si>
    <t xml:space="preserve">GCAAGGGCAGTGTTTCCGCC</t>
  </si>
  <si>
    <t xml:space="preserve">TAGTGCAAGGGCAGTGTTTCCGCC</t>
  </si>
  <si>
    <t xml:space="preserve">AAACGGCGGAAACACTGCCCTTGC</t>
  </si>
  <si>
    <t xml:space="preserve">GCGTAGGCGGGTCCGGTCAA</t>
  </si>
  <si>
    <t xml:space="preserve">TAGTGCGTAGGCGGGTCCGGTCAA</t>
  </si>
  <si>
    <t xml:space="preserve">AAACTTGACCGGACCCGCCTACGC</t>
  </si>
  <si>
    <t xml:space="preserve">PSPPH_1081</t>
  </si>
  <si>
    <t xml:space="preserve">nfrB</t>
  </si>
  <si>
    <t xml:space="preserve">TAGTAATGGGCCAGCCAGTA</t>
  </si>
  <si>
    <t xml:space="preserve">TAGTTAGTAATGGGCCAGCCAGTA</t>
  </si>
  <si>
    <t xml:space="preserve">AAACTACTGGCTGGCCCATTACTA</t>
  </si>
  <si>
    <t xml:space="preserve">GGTCATCAATACTCGATACC</t>
  </si>
  <si>
    <t xml:space="preserve">TAGTGGTCATCAATACTCGATACC</t>
  </si>
  <si>
    <t xml:space="preserve">AAACGGTATCGAGTATTGATGACC</t>
  </si>
  <si>
    <t xml:space="preserve">AGTACCAGATATCGATGAAC</t>
  </si>
  <si>
    <t xml:space="preserve">TAGTAGTACCAGATATCGATGAAC</t>
  </si>
  <si>
    <t xml:space="preserve">AAACGTTCATCGATATCTGGTACT</t>
  </si>
  <si>
    <t xml:space="preserve">GAACTTGCGGTACAGCCGTC</t>
  </si>
  <si>
    <t xml:space="preserve">TAGTGAACTTGCGGTACAGCCGTC</t>
  </si>
  <si>
    <t xml:space="preserve">AAACGACGGCTGTACCGCAAGTTC</t>
  </si>
  <si>
    <t xml:space="preserve">PSPPH_1082</t>
  </si>
  <si>
    <t xml:space="preserve">CAACGGGCTTTCGGCAGCCA</t>
  </si>
  <si>
    <t xml:space="preserve">TAGTCAACGGGCTTTCGGCAGCCA</t>
  </si>
  <si>
    <t xml:space="preserve">AAACTGGCTGCCGAAAGCCCGTTG</t>
  </si>
  <si>
    <t xml:space="preserve">ATTGATTCGGTTGATCGCCT</t>
  </si>
  <si>
    <t xml:space="preserve">TAGTATTGATTCGGTTGATCGCCT</t>
  </si>
  <si>
    <t xml:space="preserve">AAACAGGCGATCAACCGAATCAAT</t>
  </si>
  <si>
    <t xml:space="preserve">CACTCGCTCCTGACGACTGT</t>
  </si>
  <si>
    <t xml:space="preserve">TAGTCACTCGCTCCTGACGACTGT</t>
  </si>
  <si>
    <t xml:space="preserve">AAACACAGTCGTCAGGAGCGAGTG</t>
  </si>
  <si>
    <t xml:space="preserve">CAGTGGCATTGAGAATGATC</t>
  </si>
  <si>
    <t xml:space="preserve">TAGTCAGTGGCATTGAGAATGATC</t>
  </si>
  <si>
    <t xml:space="preserve">AAACGATCATTCTCAATGCCACTG</t>
  </si>
  <si>
    <t xml:space="preserve">PSPPH_1083</t>
  </si>
  <si>
    <t xml:space="preserve">ATGGAAAGGACCTTCATCCT</t>
  </si>
  <si>
    <t xml:space="preserve">TAGTATGGAAAGGACCTTCATCCT</t>
  </si>
  <si>
    <t xml:space="preserve">AAACAGGATGAAGGTCCTTTCCAT</t>
  </si>
  <si>
    <t xml:space="preserve">GAGCCATCTTGATGGCCTCT</t>
  </si>
  <si>
    <t xml:space="preserve">TAGTGAGCCATCTTGATGGCCTCT</t>
  </si>
  <si>
    <t xml:space="preserve">AAACAGAGGCCATCAAGATGGCTC</t>
  </si>
  <si>
    <t xml:space="preserve">GCGGCCAGTGCTCTGACCAA</t>
  </si>
  <si>
    <t xml:space="preserve">TAGTGCGGCCAGTGCTCTGACCAA</t>
  </si>
  <si>
    <t xml:space="preserve">AAACTTGGTCAGAGCACTGGCCGC</t>
  </si>
  <si>
    <t xml:space="preserve">CAGATTCTCGAATCGATACC</t>
  </si>
  <si>
    <t xml:space="preserve">TAGTCAGATTCTCGAATCGATACC</t>
  </si>
  <si>
    <t xml:space="preserve">AAACGGTATCGATTCGAGAATCTG</t>
  </si>
  <si>
    <t xml:space="preserve">PSPPH_1084</t>
  </si>
  <si>
    <t xml:space="preserve">ATCGCGGGTGCTGCGGTAAA</t>
  </si>
  <si>
    <t xml:space="preserve">TAGTATCGCGGGTGCTGCGGTAAA</t>
  </si>
  <si>
    <t xml:space="preserve">AAACTTTACCGCAGCACCCGCGAT</t>
  </si>
  <si>
    <t xml:space="preserve">CGTGCGCATCGGCGAGTTTA</t>
  </si>
  <si>
    <t xml:space="preserve">TAGTCGTGCGCATCGGCGAGTTTA</t>
  </si>
  <si>
    <t xml:space="preserve">AAACTAAACTCGCCGATGCGCACG</t>
  </si>
  <si>
    <t xml:space="preserve">CAGGACGTCGGTGAGAAGCT</t>
  </si>
  <si>
    <t xml:space="preserve">TAGTCAGGACGTCGGTGAGAAGCT</t>
  </si>
  <si>
    <t xml:space="preserve">AAACAGCTTCTCACCGACGTCCTG</t>
  </si>
  <si>
    <t xml:space="preserve">GCATGCTTCTCCGAGATGCC</t>
  </si>
  <si>
    <t xml:space="preserve">TAGTGCATGCTTCTCCGAGATGCC</t>
  </si>
  <si>
    <t xml:space="preserve">AAACGGCATCTCGGAGAAGCATGC</t>
  </si>
  <si>
    <t xml:space="preserve">PSPPH_1085</t>
  </si>
  <si>
    <t xml:space="preserve">ACTCGGCCTGGCCATGCACG</t>
  </si>
  <si>
    <t xml:space="preserve">TAGTACTCGGCCTGGCCATGCACG</t>
  </si>
  <si>
    <t xml:space="preserve">AAACCGTGCATGGCCAGGCCGAGT</t>
  </si>
  <si>
    <t xml:space="preserve">GAATGCAACCACTGACGCCC</t>
  </si>
  <si>
    <t xml:space="preserve">TAGTGAATGCAACCACTGACGCCC</t>
  </si>
  <si>
    <t xml:space="preserve">AAACGGGCGTCAGTGGTTGCATTC</t>
  </si>
  <si>
    <t xml:space="preserve">TGCCTTTCTCGACCATACCC</t>
  </si>
  <si>
    <t xml:space="preserve">TAGTTGCCTTTCTCGACCATACCC</t>
  </si>
  <si>
    <t xml:space="preserve">AAACGGGTATGGTCGAGAAAGGCA</t>
  </si>
  <si>
    <t xml:space="preserve">CGGTCATCGCCCCCAGTTCC</t>
  </si>
  <si>
    <t xml:space="preserve">TAGTCGGTCATCGCCCCCAGTTCC</t>
  </si>
  <si>
    <t xml:space="preserve">AAACGGAACTGGGGGCGATGACCG</t>
  </si>
  <si>
    <t xml:space="preserve">PSPPH_1086</t>
  </si>
  <si>
    <t xml:space="preserve">GATGTACGTGTGGTCGCTCA</t>
  </si>
  <si>
    <t xml:space="preserve">TAGTGATGTACGTGTGGTCGCTCA</t>
  </si>
  <si>
    <t xml:space="preserve">AAACTGAGCGACCACACGTACATC</t>
  </si>
  <si>
    <t xml:space="preserve">ACCCGCTCAGGGGGTGGTTG</t>
  </si>
  <si>
    <t xml:space="preserve">TAGTACCCGCTCAGGGGGTGGTTG</t>
  </si>
  <si>
    <t xml:space="preserve">AAACCAACCACCCCCTGAGCGGGT</t>
  </si>
  <si>
    <t xml:space="preserve">ATGTAGCCGGGACGAGGCGC</t>
  </si>
  <si>
    <t xml:space="preserve">TAGTATGTAGCCGGGACGAGGCGC</t>
  </si>
  <si>
    <t xml:space="preserve">AAACGCGCCTCGTCCCGGCTACAT</t>
  </si>
  <si>
    <t xml:space="preserve">GCCTCCCAGTGACCATGAAC</t>
  </si>
  <si>
    <t xml:space="preserve">TAGTGCCTCCCAGTGACCATGAAC</t>
  </si>
  <si>
    <t xml:space="preserve">AAACGTTCATGGTCACTGGGAGGC</t>
  </si>
  <si>
    <t xml:space="preserve">PSPPH_1088</t>
  </si>
  <si>
    <t xml:space="preserve">AGGCAACCAGTAATAAGCTC</t>
  </si>
  <si>
    <t xml:space="preserve">TAGTAGGCAACCAGTAATAAGCTC</t>
  </si>
  <si>
    <t xml:space="preserve">AAACGAGCTTATTACTGGTTGCCT</t>
  </si>
  <si>
    <t xml:space="preserve">GATGGCATTGCCAGCGCTGC</t>
  </si>
  <si>
    <t xml:space="preserve">TAGTGATGGCATTGCCAGCGCTGC</t>
  </si>
  <si>
    <t xml:space="preserve">AAACGCAGCGCTGGCAATGCCATC</t>
  </si>
  <si>
    <t xml:space="preserve">ACTTCGCTTAGTTGCTTCAA</t>
  </si>
  <si>
    <t xml:space="preserve">TAGTACTTCGCTTAGTTGCTTCAA</t>
  </si>
  <si>
    <t xml:space="preserve">AAACTTGAAGCAACTAAGCGAAGT</t>
  </si>
  <si>
    <t xml:space="preserve">CGCACAGGTAAATTTCAGCT</t>
  </si>
  <si>
    <t xml:space="preserve">TAGTCGCACAGGTAAATTTCAGCT</t>
  </si>
  <si>
    <t xml:space="preserve">AAACAGCTGAAATTTACCTGTGCG</t>
  </si>
  <si>
    <t xml:space="preserve">PSPPH_1089</t>
  </si>
  <si>
    <t xml:space="preserve">GTATCCGTGATCATCTGAAA</t>
  </si>
  <si>
    <t xml:space="preserve">TAGTGTATCCGTGATCATCTGAAA</t>
  </si>
  <si>
    <t xml:space="preserve">AAACTTTCAGATGATCACGGATAC</t>
  </si>
  <si>
    <t xml:space="preserve">TCAGATTCACCCGATAGTCG</t>
  </si>
  <si>
    <t xml:space="preserve">TAGTTCAGATTCACCCGATAGTCG</t>
  </si>
  <si>
    <t xml:space="preserve">AAACCGACTATCGGGTGAATCTGA</t>
  </si>
  <si>
    <t xml:space="preserve">GACTCCGCATTCGTTGGACA</t>
  </si>
  <si>
    <t xml:space="preserve">TAGTGACTCCGCATTCGTTGGACA</t>
  </si>
  <si>
    <t xml:space="preserve">AAACTGTCCAACGAATGCGGAGTC</t>
  </si>
  <si>
    <t xml:space="preserve">CGCTGCGCTGATCAGACGCT</t>
  </si>
  <si>
    <t xml:space="preserve">TAGTCGCTGCGCTGATCAGACGCT</t>
  </si>
  <si>
    <t xml:space="preserve">AAACAGCGTCTGATCAGCGCAGCG</t>
  </si>
  <si>
    <t xml:space="preserve">PSPPH_1090</t>
  </si>
  <si>
    <t xml:space="preserve">TGTGATTATCGCTATTGACC</t>
  </si>
  <si>
    <t xml:space="preserve">TAGTTGTGATTATCGCTATTGACC</t>
  </si>
  <si>
    <t xml:space="preserve">AAACGGTCAATAGCGATAATCACA</t>
  </si>
  <si>
    <t xml:space="preserve">TACGAACCCACTCCTCCAGT</t>
  </si>
  <si>
    <t xml:space="preserve">TAGTTACGAACCCACTCCTCCAGT</t>
  </si>
  <si>
    <t xml:space="preserve">AAACACTGGAGGAGTGGGTTCGTA</t>
  </si>
  <si>
    <t xml:space="preserve">TTCGAGCGTGCTTTCAACGG</t>
  </si>
  <si>
    <t xml:space="preserve">TAGTTTCGAGCGTGCTTTCAACGG</t>
  </si>
  <si>
    <t xml:space="preserve">AAACCCGTTGAAAGCACGCTCGAA</t>
  </si>
  <si>
    <t xml:space="preserve">TGTGGACTTCCACGCGGGTC</t>
  </si>
  <si>
    <t xml:space="preserve">TAGTTGTGGACTTCCACGCGGGTC</t>
  </si>
  <si>
    <t xml:space="preserve">AAACGACCCGCGTGGAAGTCCACA</t>
  </si>
  <si>
    <t xml:space="preserve">PSPPH_1091</t>
  </si>
  <si>
    <t xml:space="preserve">ATACGCCTTGGGTGCCACCT</t>
  </si>
  <si>
    <t xml:space="preserve">TAGTATACGCCTTGGGTGCCACCT</t>
  </si>
  <si>
    <t xml:space="preserve">AAACAGGTGGCACCCAAGGCGTAT</t>
  </si>
  <si>
    <t xml:space="preserve">AGCGCAGCTTCAAGCTCGCT</t>
  </si>
  <si>
    <t xml:space="preserve">TAGTAGCGCAGCTTCAAGCTCGCT</t>
  </si>
  <si>
    <t xml:space="preserve">AAACAGCGAGCTTGAAGCTGCGCT</t>
  </si>
  <si>
    <t xml:space="preserve">CGCCGGACTCTCGACCGAAC</t>
  </si>
  <si>
    <t xml:space="preserve">TAGTCGCCGGACTCTCGACCGAAC</t>
  </si>
  <si>
    <t xml:space="preserve">AAACGTTCGGTCGAGAGTCCGGCG</t>
  </si>
  <si>
    <t xml:space="preserve">GCTGGTGATTTGCGAACCAT</t>
  </si>
  <si>
    <t xml:space="preserve">TAGTGCTGGTGATTTGCGAACCAT</t>
  </si>
  <si>
    <t xml:space="preserve">AAACATGGTTCGCAAATCACCAGC</t>
  </si>
  <si>
    <t xml:space="preserve">PSPPH_1092</t>
  </si>
  <si>
    <t xml:space="preserve">TGTTCAAGGACTCATTGTTC</t>
  </si>
  <si>
    <t xml:space="preserve">TAGTTGTTCAAGGACTCATTGTTC</t>
  </si>
  <si>
    <t xml:space="preserve">AAACGAACAATGAGTCCTTGAACA</t>
  </si>
  <si>
    <t xml:space="preserve">CGCCACGCCAAGCGAGATGT</t>
  </si>
  <si>
    <t xml:space="preserve">TAGTCGCCACGCCAAGCGAGATGT</t>
  </si>
  <si>
    <t xml:space="preserve">AAACACATCTCGCTTGGCGTGGCG</t>
  </si>
  <si>
    <t xml:space="preserve">GCCATTGAGCCAGAGCTGCC</t>
  </si>
  <si>
    <t xml:space="preserve">TAGTGCCATTGAGCCAGAGCTGCC</t>
  </si>
  <si>
    <t xml:space="preserve">AAACGGCAGCTCTGGCTCAATGGC</t>
  </si>
  <si>
    <t xml:space="preserve">GCGGCGAGGACAGCCCGCTG</t>
  </si>
  <si>
    <t xml:space="preserve">TAGTGCGGCGAGGACAGCCCGCTG</t>
  </si>
  <si>
    <t xml:space="preserve">AAACCAGCGGGCTGTCCTCGCCGC</t>
  </si>
  <si>
    <t xml:space="preserve">PSPPH_1093</t>
  </si>
  <si>
    <t xml:space="preserve">AATATTTATCATTAATATTG</t>
  </si>
  <si>
    <t xml:space="preserve">TAGTAATATTTATCATTAATATTG</t>
  </si>
  <si>
    <t xml:space="preserve">AAACCAATATTAATGATAAATATT</t>
  </si>
  <si>
    <t xml:space="preserve">CTCGTTGATGGCGTGGATTC</t>
  </si>
  <si>
    <t xml:space="preserve">TAGTCTCGTTGATGGCGTGGATTC</t>
  </si>
  <si>
    <t xml:space="preserve">AAACGAATCCACGCCATCAACGAG</t>
  </si>
  <si>
    <t xml:space="preserve">ATCACAGGGAACAATCCACG</t>
  </si>
  <si>
    <t xml:space="preserve">TAGTATCACAGGGAACAATCCACG</t>
  </si>
  <si>
    <t xml:space="preserve">AAACCGTGGATTGTTCCCTGTGAT</t>
  </si>
  <si>
    <t xml:space="preserve">TTGAGAGCGGAGTGGGCGAT</t>
  </si>
  <si>
    <t xml:space="preserve">TAGTTTGAGAGCGGAGTGGGCGAT</t>
  </si>
  <si>
    <t xml:space="preserve">AAACATCGCCCACTCCGCTCTCAA</t>
  </si>
  <si>
    <t xml:space="preserve">PSPPH_1094</t>
  </si>
  <si>
    <t xml:space="preserve">GCGGTGGTGACATCCATCAA</t>
  </si>
  <si>
    <t xml:space="preserve">TAGTGCGGTGGTGACATCCATCAA</t>
  </si>
  <si>
    <t xml:space="preserve">AAACTTGATGGATGTCACCACCGC</t>
  </si>
  <si>
    <t xml:space="preserve">GCTTTCGCCATGCGTTTTTC</t>
  </si>
  <si>
    <t xml:space="preserve">TAGTGCTTTCGCCATGCGTTTTTC</t>
  </si>
  <si>
    <t xml:space="preserve">AAACGAAAAACGCATGGCGAAAGC</t>
  </si>
  <si>
    <t xml:space="preserve">AACCGTCAGGCCCTTGCTTC</t>
  </si>
  <si>
    <t xml:space="preserve">TAGTAACCGTCAGGCCCTTGCTTC</t>
  </si>
  <si>
    <t xml:space="preserve">AAACGAAGCAAGGGCCTGACGGTT</t>
  </si>
  <si>
    <t xml:space="preserve">CGCCAGCGCCCGCGAGGTAA</t>
  </si>
  <si>
    <t xml:space="preserve">TAGTCGCCAGCGCCCGCGAGGTAA</t>
  </si>
  <si>
    <t xml:space="preserve">AAACTTACCTCGCGGGCGCTGGCG</t>
  </si>
  <si>
    <t xml:space="preserve">PSPPH_1096</t>
  </si>
  <si>
    <t xml:space="preserve">AAACCCTACGTAGCACAGTA</t>
  </si>
  <si>
    <t xml:space="preserve">TAGTAAACCCTACGTAGCACAGTA</t>
  </si>
  <si>
    <t xml:space="preserve">AAACTACTGTGCTACGTAGGGTTT</t>
  </si>
  <si>
    <t xml:space="preserve">CGCCATGGACAGGCACAGGC</t>
  </si>
  <si>
    <t xml:space="preserve">TAGTCGCCATGGACAGGCACAGGC</t>
  </si>
  <si>
    <t xml:space="preserve">AAACGCCTGTGCCTGTCCATGGCG</t>
  </si>
  <si>
    <t xml:space="preserve">CCTTGAGCAGTTCGCTGTAA</t>
  </si>
  <si>
    <t xml:space="preserve">TAGTCCTTGAGCAGTTCGCTGTAA</t>
  </si>
  <si>
    <t xml:space="preserve">AAACTTACAGCGAACTGCTCAAGG</t>
  </si>
  <si>
    <t xml:space="preserve">CGACGCCGCTGTTCGGTAAA</t>
  </si>
  <si>
    <t xml:space="preserve">TAGTCGACGCCGCTGTTCGGTAAA</t>
  </si>
  <si>
    <t xml:space="preserve">AAACTTTACCGAACAGCGGCGTCG</t>
  </si>
  <si>
    <t xml:space="preserve">PSPPH_1097</t>
  </si>
  <si>
    <t xml:space="preserve">ACCTGGATGGATTCAATGGC</t>
  </si>
  <si>
    <t xml:space="preserve">TAGTACCTGGATGGATTCAATGGC</t>
  </si>
  <si>
    <t xml:space="preserve">AAACGCCATTGAATCCATCCAGGT</t>
  </si>
  <si>
    <t xml:space="preserve">GGCATTGGGTGAGCTGTTCA</t>
  </si>
  <si>
    <t xml:space="preserve">TAGTGGCATTGGGTGAGCTGTTCA</t>
  </si>
  <si>
    <t xml:space="preserve">AAACTGAACAGCTCACCCAATGCC</t>
  </si>
  <si>
    <t xml:space="preserve">CGGCGCGCTCTGCTCCAGAT</t>
  </si>
  <si>
    <t xml:space="preserve">TAGTCGGCGCGCTCTGCTCCAGAT</t>
  </si>
  <si>
    <t xml:space="preserve">AAACATCTGGAGCAGAGCGCGCCG</t>
  </si>
  <si>
    <t xml:space="preserve">CACGACAGCGTATGGTGGGT</t>
  </si>
  <si>
    <t xml:space="preserve">TAGTCACGACAGCGTATGGTGGGT</t>
  </si>
  <si>
    <t xml:space="preserve">AAACACCCACCATACGCTGTCGTG</t>
  </si>
  <si>
    <t xml:space="preserve">PSPPH_1098</t>
  </si>
  <si>
    <t xml:space="preserve">CAGATAAAGCGAAATGTTCA</t>
  </si>
  <si>
    <t xml:space="preserve">TAGTCAGATAAAGCGAAATGTTCA</t>
  </si>
  <si>
    <t xml:space="preserve">AAACTGAACATTTCGCTTTATCTG</t>
  </si>
  <si>
    <t xml:space="preserve">TTGAAGTTTCAGGGCGATCC</t>
  </si>
  <si>
    <t xml:space="preserve">TAGTTTGAAGTTTCAGGGCGATCC</t>
  </si>
  <si>
    <t xml:space="preserve">AAACGGATCGCCCTGAAACTTCAA</t>
  </si>
  <si>
    <t xml:space="preserve">AAGCGATAGACGATAGATAC</t>
  </si>
  <si>
    <t xml:space="preserve">TAGTAAGCGATAGACGATAGATAC</t>
  </si>
  <si>
    <t xml:space="preserve">AAACGTATCTATCGTCTATCGCTT</t>
  </si>
  <si>
    <t xml:space="preserve">CAGGAATGCAAACAGCACCA</t>
  </si>
  <si>
    <t xml:space="preserve">TAGTCAGGAATGCAAACAGCACCA</t>
  </si>
  <si>
    <t xml:space="preserve">AAACTGGTGCTGTTTGCATTCCTG</t>
  </si>
  <si>
    <t xml:space="preserve">PSPPH_1099</t>
  </si>
  <si>
    <t xml:space="preserve">GCGAGTACGGTTTTTTTCAT</t>
  </si>
  <si>
    <t xml:space="preserve">TAGTGCGAGTACGGTTTTTTTCAT</t>
  </si>
  <si>
    <t xml:space="preserve">AAACATGAAAAAAACCGTACTCGC</t>
  </si>
  <si>
    <t xml:space="preserve">TTCTGGAGTAACACGGCTGA</t>
  </si>
  <si>
    <t xml:space="preserve">TAGTTTCTGGAGTAACACGGCTGA</t>
  </si>
  <si>
    <t xml:space="preserve">AAACTCAGCCGTGTTACTCCAGAA</t>
  </si>
  <si>
    <t xml:space="preserve">TCACGTTGAAGTCTTGCGCC</t>
  </si>
  <si>
    <t xml:space="preserve">TAGTTCACGTTGAAGTCTTGCGCC</t>
  </si>
  <si>
    <t xml:space="preserve">AAACGGCGCAAGACTTCAACGTGA</t>
  </si>
  <si>
    <t xml:space="preserve">ATGTCGCCCAGCTTGGGGTT</t>
  </si>
  <si>
    <t xml:space="preserve">TAGTATGTCGCCCAGCTTGGGGTT</t>
  </si>
  <si>
    <t xml:space="preserve">AAACAACCCCAAGCTGGGCGACAT</t>
  </si>
  <si>
    <t xml:space="preserve">PSPPH_1100</t>
  </si>
  <si>
    <t xml:space="preserve">ATGTTTTGCAGGGTGTCCAT</t>
  </si>
  <si>
    <t xml:space="preserve">TAGTATGTTTTGCAGGGTGTCCAT</t>
  </si>
  <si>
    <t xml:space="preserve">AAACATGGACACCCTGCAAAACAT</t>
  </si>
  <si>
    <t xml:space="preserve">CGCTTGCGCCACGCAACTGA</t>
  </si>
  <si>
    <t xml:space="preserve">TAGTCGCTTGCGCCACGCAACTGA</t>
  </si>
  <si>
    <t xml:space="preserve">AAACTCAGTTGCGTGGCGCAAGCG</t>
  </si>
  <si>
    <t xml:space="preserve">GGTGGTATCCAGCACGGCGG</t>
  </si>
  <si>
    <t xml:space="preserve">TAGTGGTGGTATCCAGCACGGCGG</t>
  </si>
  <si>
    <t xml:space="preserve">AAACCCGCCGTGCTGGATACCACC</t>
  </si>
  <si>
    <t xml:space="preserve">CGCGCGCGAGACGTTGGCGG</t>
  </si>
  <si>
    <t xml:space="preserve">TAGTCGCGCGCGAGACGTTGGCGG</t>
  </si>
  <si>
    <t xml:space="preserve">AAACCCGCCAACGTCTCGCGCGCG</t>
  </si>
  <si>
    <t xml:space="preserve">PSPPH_1101</t>
  </si>
  <si>
    <t xml:space="preserve">AGCCCTCTGATGATGCGACG</t>
  </si>
  <si>
    <t xml:space="preserve">TAGTAGCCCTCTGATGATGCGACG</t>
  </si>
  <si>
    <t xml:space="preserve">AAACCGTCGCATCATCAGAGGGCT</t>
  </si>
  <si>
    <t xml:space="preserve">GTAAAAGCCAGGATACCGAC</t>
  </si>
  <si>
    <t xml:space="preserve">TAGTGTAAAAGCCAGGATACCGAC</t>
  </si>
  <si>
    <t xml:space="preserve">AAACGTCGGTATCCTGGCTTTTAC</t>
  </si>
  <si>
    <t xml:space="preserve">GTGTTCCGATACAGCCGTTG</t>
  </si>
  <si>
    <t xml:space="preserve">TAGTGTGTTCCGATACAGCCGTTG</t>
  </si>
  <si>
    <t xml:space="preserve">AAACCAACGGCTGTATCGGAACAC</t>
  </si>
  <si>
    <t xml:space="preserve">GCGTGCAGAAGACTGCCCTG</t>
  </si>
  <si>
    <t xml:space="preserve">TAGTGCGTGCAGAAGACTGCCCTG</t>
  </si>
  <si>
    <t xml:space="preserve">AAACCAGGGCAGTCTTCTGCACGC</t>
  </si>
  <si>
    <t xml:space="preserve">PSPPH_1102</t>
  </si>
  <si>
    <t xml:space="preserve">CTGCGAAATTCACGACGCCA</t>
  </si>
  <si>
    <t xml:space="preserve">TAGTCTGCGAAATTCACGACGCCA</t>
  </si>
  <si>
    <t xml:space="preserve">AAACTGGCGTCGTGAATTTCGCAG</t>
  </si>
  <si>
    <t xml:space="preserve">TACTTTGAAAAGGTAAACCC</t>
  </si>
  <si>
    <t xml:space="preserve">TAGTTACTTTGAAAAGGTAAACCC</t>
  </si>
  <si>
    <t xml:space="preserve">AAACGGGTTTACCTTTTCAAAGTA</t>
  </si>
  <si>
    <t xml:space="preserve">CAGGCGCAGAGCCAGCCAGT</t>
  </si>
  <si>
    <t xml:space="preserve">TAGTCAGGCGCAGAGCCAGCCAGT</t>
  </si>
  <si>
    <t xml:space="preserve">AAACACTGGCTGGCTCTGCGCCTG</t>
  </si>
  <si>
    <t xml:space="preserve">ATAATCGCCGTATGCGGCTG</t>
  </si>
  <si>
    <t xml:space="preserve">TAGTATAATCGCCGTATGCGGCTG</t>
  </si>
  <si>
    <t xml:space="preserve">AAACCAGCCGCATACGGCGATTAT</t>
  </si>
  <si>
    <t xml:space="preserve">PSPPH_1103</t>
  </si>
  <si>
    <t xml:space="preserve">CGGCATATACAGACCGTGGA</t>
  </si>
  <si>
    <t xml:space="preserve">TAGTCGGCATATACAGACCGTGGA</t>
  </si>
  <si>
    <t xml:space="preserve">AAACTCCACGGTCTGTATATGCCG</t>
  </si>
  <si>
    <t xml:space="preserve">AGAAAGATCAGCGTGAGGGT</t>
  </si>
  <si>
    <t xml:space="preserve">TAGTAGAAAGATCAGCGTGAGGGT</t>
  </si>
  <si>
    <t xml:space="preserve">AAACACCCTCACGCTGATCTTTCT</t>
  </si>
  <si>
    <t xml:space="preserve">CAGCGCCCATGCCAGAACCA</t>
  </si>
  <si>
    <t xml:space="preserve">TAGTCAGCGCCCATGCCAGAACCA</t>
  </si>
  <si>
    <t xml:space="preserve">AAACTGGTTCTGGCATGGGCGCTG</t>
  </si>
  <si>
    <t xml:space="preserve">GGTGCCAGAAATGCCGATAC</t>
  </si>
  <si>
    <t xml:space="preserve">TAGTGGTGCCAGAAATGCCGATAC</t>
  </si>
  <si>
    <t xml:space="preserve">AAACGTATCGGCATTTCTGGCACC</t>
  </si>
  <si>
    <t xml:space="preserve">PSPPH_1104</t>
  </si>
  <si>
    <t xml:space="preserve">ATGCGGATATTTCTCGACTC</t>
  </si>
  <si>
    <t xml:space="preserve">TAGTATGCGGATATTTCTCGACTC</t>
  </si>
  <si>
    <t xml:space="preserve">AAACGAGTCGAGAAATATCCGCAT</t>
  </si>
  <si>
    <t xml:space="preserve">ACACCAACAACGTGGCAAGC</t>
  </si>
  <si>
    <t xml:space="preserve">TAGTACACCAACAACGTGGCAAGC</t>
  </si>
  <si>
    <t xml:space="preserve">AAACGCTTGCCACGTTGTTGGTGT</t>
  </si>
  <si>
    <t xml:space="preserve">ATCCGACCATCACGGGTCCA</t>
  </si>
  <si>
    <t xml:space="preserve">TAGTATCCGACCATCACGGGTCCA</t>
  </si>
  <si>
    <t xml:space="preserve">AAACTGGACCCGTGATGGTCGGAT</t>
  </si>
  <si>
    <t xml:space="preserve">GGCGGCTACATTGATGATAT</t>
  </si>
  <si>
    <t xml:space="preserve">TAGTGGCGGCTACATTGATGATAT</t>
  </si>
  <si>
    <t xml:space="preserve">AAACATATCATCAATGTAGCCGCC</t>
  </si>
  <si>
    <t xml:space="preserve">PSPPH_1105</t>
  </si>
  <si>
    <t xml:space="preserve">GTAATCAGAGCGATAGGCAT</t>
  </si>
  <si>
    <t xml:space="preserve">TAGTGTAATCAGAGCGATAGGCAT</t>
  </si>
  <si>
    <t xml:space="preserve">AAACATGCCTATCGCTCTGATTAC</t>
  </si>
  <si>
    <t xml:space="preserve">CAGTGCACGACCGATTCCGC</t>
  </si>
  <si>
    <t xml:space="preserve">TAGTCAGTGCACGACCGATTCCGC</t>
  </si>
  <si>
    <t xml:space="preserve">AAACGCGGAATCGGTCGTGCACTG</t>
  </si>
  <si>
    <t xml:space="preserve">GCCAGTGGCCTTGAATGCAT</t>
  </si>
  <si>
    <t xml:space="preserve">TAGTGCCAGTGGCCTTGAATGCAT</t>
  </si>
  <si>
    <t xml:space="preserve">AAACATGCATTCAAGGCCACTGGC</t>
  </si>
  <si>
    <t xml:space="preserve">ACTGAGTGCAGCGACATCCT</t>
  </si>
  <si>
    <t xml:space="preserve">TAGTACTGAGTGCAGCGACATCCT</t>
  </si>
  <si>
    <t xml:space="preserve">AAACAGGATGTCGCTGCACTCAGT</t>
  </si>
  <si>
    <t xml:space="preserve">PSPPH_1106</t>
  </si>
  <si>
    <t xml:space="preserve">GTAACAACACAAGCCAGGTC</t>
  </si>
  <si>
    <t xml:space="preserve">TAGTGTAACAACACAAGCCAGGTC</t>
  </si>
  <si>
    <t xml:space="preserve">AAACGACCTGGCTTGTGTTGTTAC</t>
  </si>
  <si>
    <t xml:space="preserve">AGACCGGCAAGGCCTTGGCG</t>
  </si>
  <si>
    <t xml:space="preserve">TAGTAGACCGGCAAGGCCTTGGCG</t>
  </si>
  <si>
    <t xml:space="preserve">AAACCGCCAAGGCCTTGCCGGTCT</t>
  </si>
  <si>
    <t xml:space="preserve">GCTCAAGCTGACGCGTTTCC</t>
  </si>
  <si>
    <t xml:space="preserve">TAGTGCTCAAGCTGACGCGTTTCC</t>
  </si>
  <si>
    <t xml:space="preserve">AAACGGAAACGCGTCAGCTTGAGC</t>
  </si>
  <si>
    <t xml:space="preserve">TTTGCGGATCGTAACTCAGG</t>
  </si>
  <si>
    <t xml:space="preserve">TAGTTTTGCGGATCGTAACTCAGG</t>
  </si>
  <si>
    <t xml:space="preserve">AAACCCTGAGTTACGATCCGCAAA</t>
  </si>
  <si>
    <t xml:space="preserve">PSPPH_1107</t>
  </si>
  <si>
    <t xml:space="preserve">algA</t>
  </si>
  <si>
    <t xml:space="preserve">CTACCGCCTGACAAGATAAC</t>
  </si>
  <si>
    <t xml:space="preserve">TAGTCTACCGCCTGACAAGATAAC</t>
  </si>
  <si>
    <t xml:space="preserve">AAACGTTATCTTGTCAGGCGGTAG</t>
  </si>
  <si>
    <t xml:space="preserve">GGGAATTGTTTACGCGAAAG</t>
  </si>
  <si>
    <t xml:space="preserve">TAGTGGGAATTGTTTACGCGAAAG</t>
  </si>
  <si>
    <t xml:space="preserve">AAACCTTTCGCGTAAACAATTCCC</t>
  </si>
  <si>
    <t xml:space="preserve">TCAGTGCCAGGAACTGTTTA</t>
  </si>
  <si>
    <t xml:space="preserve">TAGTTCAGTGCCAGGAACTGTTTA</t>
  </si>
  <si>
    <t xml:space="preserve">AAACTAAACAGTTCCTGGCACTGA</t>
  </si>
  <si>
    <t xml:space="preserve">CTGGAACAGGGTGTGCTCGC</t>
  </si>
  <si>
    <t xml:space="preserve">TAGTCTGGAACAGGGTGTGCTCGC</t>
  </si>
  <si>
    <t xml:space="preserve">AAACGCGAGCACACCCTGTTCCAG</t>
  </si>
  <si>
    <t xml:space="preserve">PSPPH_1108</t>
  </si>
  <si>
    <t xml:space="preserve">algF</t>
  </si>
  <si>
    <t xml:space="preserve">GCGTTTTGCGGCCGAACGGT</t>
  </si>
  <si>
    <t xml:space="preserve">TAGTGCGTTTTGCGGCCGAACGGT</t>
  </si>
  <si>
    <t xml:space="preserve">AAACACCGTTCGGCCGCAAAACGC</t>
  </si>
  <si>
    <t xml:space="preserve">CAGACCTGCGGCCATTGCGC</t>
  </si>
  <si>
    <t xml:space="preserve">TAGTCAGACCTGCGGCCATTGCGC</t>
  </si>
  <si>
    <t xml:space="preserve">AAACGCGCAATGGCCGCAGGTCTG</t>
  </si>
  <si>
    <t xml:space="preserve">CGAAAGCTTGCAGGGACATC</t>
  </si>
  <si>
    <t xml:space="preserve">TAGTCGAAAGCTTGCAGGGACATC</t>
  </si>
  <si>
    <t xml:space="preserve">AAACGATGTCCCTGCAAGCTTTCG</t>
  </si>
  <si>
    <t xml:space="preserve">GCCGTACAGGGCGGAGTCAC</t>
  </si>
  <si>
    <t xml:space="preserve">TAGTGCCGTACAGGGCGGAGTCAC</t>
  </si>
  <si>
    <t xml:space="preserve">AAACGTGACTCCGCCCTGTACGGC</t>
  </si>
  <si>
    <t xml:space="preserve">PSPPH_1109</t>
  </si>
  <si>
    <t xml:space="preserve">algJ</t>
  </si>
  <si>
    <t xml:space="preserve">ATAGAGGATTCGTAATGAAC</t>
  </si>
  <si>
    <t xml:space="preserve">TAGTATAGAGGATTCGTAATGAAC</t>
  </si>
  <si>
    <t xml:space="preserve">AAACGTTCATTACGAATCCTCTAT</t>
  </si>
  <si>
    <t xml:space="preserve">CAACAAAATGGCCAGGAAGA</t>
  </si>
  <si>
    <t xml:space="preserve">TAGTCAACAAAATGGCCAGGAAGA</t>
  </si>
  <si>
    <t xml:space="preserve">AAACTCTTCCTGGCCATTTTGTTG</t>
  </si>
  <si>
    <t xml:space="preserve">GCGCAGCGACCAGATGCCCA</t>
  </si>
  <si>
    <t xml:space="preserve">TAGTGCGCAGCGACCAGATGCCCA</t>
  </si>
  <si>
    <t xml:space="preserve">AAACTGGGCATCTGGTCGCTGCGC</t>
  </si>
  <si>
    <t xml:space="preserve">GGTCTCGGCCGAGGTCGAGA</t>
  </si>
  <si>
    <t xml:space="preserve">TAGTGGTCTCGGCCGAGGTCGAGA</t>
  </si>
  <si>
    <t xml:space="preserve">AAACTCTCGACCTCGGCCGAGACC</t>
  </si>
  <si>
    <t xml:space="preserve">PSPPH_1110</t>
  </si>
  <si>
    <t xml:space="preserve">algI</t>
  </si>
  <si>
    <t xml:space="preserve">GAACAGGAACAGGAACACGT</t>
  </si>
  <si>
    <t xml:space="preserve">TAGTGAACAGGAACAGGAACACGT</t>
  </si>
  <si>
    <t xml:space="preserve">AAACACGTGTTCCTGTTCCTGTTC</t>
  </si>
  <si>
    <t xml:space="preserve">TAGTACAAGCCGAGGAAGAT</t>
  </si>
  <si>
    <t xml:space="preserve">TAGTTAGTACAAGCCGAGGAAGAT</t>
  </si>
  <si>
    <t xml:space="preserve">AAACATCTTCCTCGGCTTGTACTA</t>
  </si>
  <si>
    <t xml:space="preserve">TGCGATAGCGTTGCCCGCTC</t>
  </si>
  <si>
    <t xml:space="preserve">TAGTTGCGATAGCGTTGCCCGCTC</t>
  </si>
  <si>
    <t xml:space="preserve">AAACGAGCGGGCAACGCTATCGCA</t>
  </si>
  <si>
    <t xml:space="preserve">CCAGGCGTAGAAGATATAGC</t>
  </si>
  <si>
    <t xml:space="preserve">TAGTCCAGGCGTAGAAGATATAGC</t>
  </si>
  <si>
    <t xml:space="preserve">AAACGCTATATCTTCTACGCCTGG</t>
  </si>
  <si>
    <t xml:space="preserve">PSPPH_1111</t>
  </si>
  <si>
    <t xml:space="preserve">algL</t>
  </si>
  <si>
    <t xml:space="preserve">AGGGTAGGGCGTATCAGTTT</t>
  </si>
  <si>
    <t xml:space="preserve">TAGTAGGGTAGGGCGTATCAGTTT</t>
  </si>
  <si>
    <t xml:space="preserve">AAACAAACTGATACGCCCTACCCT</t>
  </si>
  <si>
    <t xml:space="preserve">ACAGAATTGCCATCGACAGC</t>
  </si>
  <si>
    <t xml:space="preserve">TAGTACAGAATTGCCATCGACAGC</t>
  </si>
  <si>
    <t xml:space="preserve">AAACGCTGTCGATGGCAATTCTGT</t>
  </si>
  <si>
    <t xml:space="preserve">CTTGGGTGGAACCAGTGCGG</t>
  </si>
  <si>
    <t xml:space="preserve">TAGTCTTGGGTGGAACCAGTGCGG</t>
  </si>
  <si>
    <t xml:space="preserve">AAACCCGCACTGGTTCCACCCAAG</t>
  </si>
  <si>
    <t xml:space="preserve">AGTCTTCATTTTTTCGATCG</t>
  </si>
  <si>
    <t xml:space="preserve">TAGTAGTCTTCATTTTTTCGATCG</t>
  </si>
  <si>
    <t xml:space="preserve">AAACCGATCGAAAAAATGAAGACT</t>
  </si>
  <si>
    <t xml:space="preserve">PSPPH_1112</t>
  </si>
  <si>
    <t xml:space="preserve">algX</t>
  </si>
  <si>
    <t xml:space="preserve">AGGCGGCGGTGAGGCTGGAC</t>
  </si>
  <si>
    <t xml:space="preserve">TAGTAGGCGGCGGTGAGGCTGGAC</t>
  </si>
  <si>
    <t xml:space="preserve">AAACGTCCAGCCTCACCGCCGCCT</t>
  </si>
  <si>
    <t xml:space="preserve">GACACCAGCGGCGGCCATCA</t>
  </si>
  <si>
    <t xml:space="preserve">TAGTGACACCAGCGGCGGCCATCA</t>
  </si>
  <si>
    <t xml:space="preserve">AAACTGATGGCCGCCGCTGGTGTC</t>
  </si>
  <si>
    <t xml:space="preserve">GCACAGAGAGCAGCAAGGCT</t>
  </si>
  <si>
    <t xml:space="preserve">TAGTGCACAGAGAGCAGCAAGGCT</t>
  </si>
  <si>
    <t xml:space="preserve">AAACAGCCTTGCTGCTCTCTGTGC</t>
  </si>
  <si>
    <t xml:space="preserve">TTTTCGCGTCATGCGCGGCC</t>
  </si>
  <si>
    <t xml:space="preserve">TAGTTTTTCGCGTCATGCGCGGCC</t>
  </si>
  <si>
    <t xml:space="preserve">AAACGGCCGCGCATGACGCGAAAA</t>
  </si>
  <si>
    <t xml:space="preserve">PSPPH_1113</t>
  </si>
  <si>
    <t xml:space="preserve">algG</t>
  </si>
  <si>
    <t xml:space="preserve">GCAGGGCATGCGGCCAGCTT</t>
  </si>
  <si>
    <t xml:space="preserve">TAGTGCAGGGCATGCGGCCAGCTT</t>
  </si>
  <si>
    <t xml:space="preserve">AAACAAGCTGGCCGCATGCCCTGC</t>
  </si>
  <si>
    <t xml:space="preserve">GCTGGCCATCAGCAGAGCGC</t>
  </si>
  <si>
    <t xml:space="preserve">TAGTGCTGGCCATCAGCAGAGCGC</t>
  </si>
  <si>
    <t xml:space="preserve">AAACGCGCTCTGCTGATGGCCAGC</t>
  </si>
  <si>
    <t xml:space="preserve">CTGTGCATCGGTTACGACAG</t>
  </si>
  <si>
    <t xml:space="preserve">TAGTCTGTGCATCGGTTACGACAG</t>
  </si>
  <si>
    <t xml:space="preserve">AAACCTGTCGTAACCGATGCACAG</t>
  </si>
  <si>
    <t xml:space="preserve">GCTGGTGATGGTGTAGGTCT</t>
  </si>
  <si>
    <t xml:space="preserve">TAGTGCTGGTGATGGTGTAGGTCT</t>
  </si>
  <si>
    <t xml:space="preserve">AAACAGACCTACACCATCACCAGC</t>
  </si>
  <si>
    <t xml:space="preserve">PSPPH_1114</t>
  </si>
  <si>
    <t xml:space="preserve">algE</t>
  </si>
  <si>
    <t xml:space="preserve">CCCATGCCAGCAGCCATCAG</t>
  </si>
  <si>
    <t xml:space="preserve">TAGTCCCATGCCAGCAGCCATCAG</t>
  </si>
  <si>
    <t xml:space="preserve">AAACCTGATGGCTGCTGGCATGGG</t>
  </si>
  <si>
    <t xml:space="preserve">CCCACAACAGGGTGAAGCCA</t>
  </si>
  <si>
    <t xml:space="preserve">TAGTCCCACAACAGGGTGAAGCCA</t>
  </si>
  <si>
    <t xml:space="preserve">AAACTGGCTTCACCCTGTTGTGGG</t>
  </si>
  <si>
    <t xml:space="preserve">CAGCGCTGCCAGCGTCGGGC</t>
  </si>
  <si>
    <t xml:space="preserve">TAGTCAGCGCTGCCAGCGTCGGGC</t>
  </si>
  <si>
    <t xml:space="preserve">AAACGCCCGACGCTGGCAGCGCTG</t>
  </si>
  <si>
    <t xml:space="preserve">GATACCGAAATTCTGTTCTT</t>
  </si>
  <si>
    <t xml:space="preserve">TAGTGATACCGAAATTCTGTTCTT</t>
  </si>
  <si>
    <t xml:space="preserve">AAACAAGAACAGAATTTCGGTATC</t>
  </si>
  <si>
    <t xml:space="preserve">PSPPH_1115</t>
  </si>
  <si>
    <t xml:space="preserve">algK</t>
  </si>
  <si>
    <t xml:space="preserve">GCGTCGTAGTGGGCTGTTCA</t>
  </si>
  <si>
    <t xml:space="preserve">TAGTGCGTCGTAGTGGGCTGTTCA</t>
  </si>
  <si>
    <t xml:space="preserve">AAACTGAACAGCCCACTACGACGC</t>
  </si>
  <si>
    <t xml:space="preserve">TCAGTAGCGTGGGGGTCGAC</t>
  </si>
  <si>
    <t xml:space="preserve">TAGTTCAGTAGCGTGGGGGTCGAC</t>
  </si>
  <si>
    <t xml:space="preserve">AAACGTCGACCCCCACGCTACTGA</t>
  </si>
  <si>
    <t xml:space="preserve">TCAGGCCGAGCGCGACGGCG</t>
  </si>
  <si>
    <t xml:space="preserve">TAGTTCAGGCCGAGCGCGACGGCG</t>
  </si>
  <si>
    <t xml:space="preserve">AAACCGCCGTCGCGCTCGGCCTGA</t>
  </si>
  <si>
    <t xml:space="preserve">AAGGCGTTGATCAGGCAGGC</t>
  </si>
  <si>
    <t xml:space="preserve">TAGTAAGGCGTTGATCAGGCAGGC</t>
  </si>
  <si>
    <t xml:space="preserve">AAACGCCTGCCTGATCAACGCCTT</t>
  </si>
  <si>
    <t xml:space="preserve">PSPPH_1116</t>
  </si>
  <si>
    <t xml:space="preserve">CGCATTCACGGCTGTATTCA</t>
  </si>
  <si>
    <t xml:space="preserve">TAGTCGCATTCACGGCTGTATTCA</t>
  </si>
  <si>
    <t xml:space="preserve">AAACTGAATACAGCCGTGAATGCG</t>
  </si>
  <si>
    <t xml:space="preserve">CGCGTGTTGGCGCTGGGCTT</t>
  </si>
  <si>
    <t xml:space="preserve">TAGTCGCGTGTTGGCGCTGGGCTT</t>
  </si>
  <si>
    <t xml:space="preserve">AAACAAGCCCAGCGCCAACACGCG</t>
  </si>
  <si>
    <t xml:space="preserve">TCAGCAGGCGCAGCTTGGCA</t>
  </si>
  <si>
    <t xml:space="preserve">TAGTTCAGCAGGCGCAGCTTGGCA</t>
  </si>
  <si>
    <t xml:space="preserve">AAACTGCCAAGCTGCGCCTGCTGA</t>
  </si>
  <si>
    <t xml:space="preserve">ATACGTACCAGTGGCGCGTT</t>
  </si>
  <si>
    <t xml:space="preserve">TAGTATACGTACCAGTGGCGCGTT</t>
  </si>
  <si>
    <t xml:space="preserve">AAACAACGCGCCACTGGTACGTAT</t>
  </si>
  <si>
    <t xml:space="preserve">PSPPH_1117</t>
  </si>
  <si>
    <t xml:space="preserve">GCCAACCTGCGGCCTGTAAC</t>
  </si>
  <si>
    <t xml:space="preserve">TAGTGCCAACCTGCGGCCTGTAAC</t>
  </si>
  <si>
    <t xml:space="preserve">AAACGTTACAGGCCGCAGGTTGGC</t>
  </si>
  <si>
    <t xml:space="preserve">TGGTAGGCAATGCCGCGGCA</t>
  </si>
  <si>
    <t xml:space="preserve">TAGTTGGTAGGCAATGCCGCGGCA</t>
  </si>
  <si>
    <t xml:space="preserve">AAACTGCCGCGGCATTGCCTACCA</t>
  </si>
  <si>
    <t xml:space="preserve">CGATTGTGAGTCGAAGATAC</t>
  </si>
  <si>
    <t xml:space="preserve">TAGTCGATTGTGAGTCGAAGATAC</t>
  </si>
  <si>
    <t xml:space="preserve">AAACGTATCTTCGACTCACAATCG</t>
  </si>
  <si>
    <t xml:space="preserve">AGATACCAACGGCACCAATC</t>
  </si>
  <si>
    <t xml:space="preserve">TAGTAGATACCAACGGCACCAATC</t>
  </si>
  <si>
    <t xml:space="preserve">AAACGATTGGTGCCGTTGGTATCT</t>
  </si>
  <si>
    <t xml:space="preserve">PSPPH_1118</t>
  </si>
  <si>
    <t xml:space="preserve">algD</t>
  </si>
  <si>
    <t xml:space="preserve">ACCGCGGGCAGACAGGCAGC</t>
  </si>
  <si>
    <t xml:space="preserve">TAGTACCGCGGGCAGACAGGCAGC</t>
  </si>
  <si>
    <t xml:space="preserve">AAACGCTGCCTGTCTGCCCGCGGT</t>
  </si>
  <si>
    <t xml:space="preserve">GATCAGATCGATCTTGGTGC</t>
  </si>
  <si>
    <t xml:space="preserve">TAGTGATCAGATCGATCTTGGTGC</t>
  </si>
  <si>
    <t xml:space="preserve">AAACGCACCAAGATCGATCTGATC</t>
  </si>
  <si>
    <t xml:space="preserve">TCCAGACCCGGTTCAACGAT</t>
  </si>
  <si>
    <t xml:space="preserve">TAGTTCCAGACCCGGTTCAACGAT</t>
  </si>
  <si>
    <t xml:space="preserve">AAACATCGTTGAACCGGGTCTGGA</t>
  </si>
  <si>
    <t xml:space="preserve">GGTAGTGCCGCGCAGTTTTC</t>
  </si>
  <si>
    <t xml:space="preserve">TAGTGGTAGTGCCGCGCAGTTTTC</t>
  </si>
  <si>
    <t xml:space="preserve">AAACGAAAACTGCGCGGCACTACC</t>
  </si>
  <si>
    <t xml:space="preserve">PSPPH_1119</t>
  </si>
  <si>
    <t xml:space="preserve">GAAATCGAGGGTTTTTGCCG</t>
  </si>
  <si>
    <t xml:space="preserve">TAGTGAAATCGAGGGTTTTTGCCG</t>
  </si>
  <si>
    <t xml:space="preserve">AAACCGGCAAAAACCCTCGATTTC</t>
  </si>
  <si>
    <t xml:space="preserve">GAAGCGTCCGGTAGTGGGCG</t>
  </si>
  <si>
    <t xml:space="preserve">TAGTGAAGCGTCCGGTAGTGGGCG</t>
  </si>
  <si>
    <t xml:space="preserve">AAACCGCCCACTACCGGACGCTTC</t>
  </si>
  <si>
    <t xml:space="preserve">TGAGAGTGATCCAGATACTG</t>
  </si>
  <si>
    <t xml:space="preserve">TAGTTGAGAGTGATCCAGATACTG</t>
  </si>
  <si>
    <t xml:space="preserve">AAACCAGTATCTGGATCACTCTCA</t>
  </si>
  <si>
    <t xml:space="preserve">TGGCGTCAGTTCACGCAGTT</t>
  </si>
  <si>
    <t xml:space="preserve">TAGTTGGCGTCAGTTCACGCAGTT</t>
  </si>
  <si>
    <t xml:space="preserve">AAACAACTGCGTGAACTGACGCCA</t>
  </si>
  <si>
    <t xml:space="preserve">PSPPH_1120</t>
  </si>
  <si>
    <t xml:space="preserve">CCGGCACTGCCGCCTGCGCC</t>
  </si>
  <si>
    <t xml:space="preserve">TAGTCCGGCACTGCCGCCTGCGCC</t>
  </si>
  <si>
    <t xml:space="preserve">AAACGGCGCAGGCGGCAGTGCCGG</t>
  </si>
  <si>
    <t xml:space="preserve">CCACACACTGCGGTCTATGG</t>
  </si>
  <si>
    <t xml:space="preserve">TAGTCCACACACTGCGGTCTATGG</t>
  </si>
  <si>
    <t xml:space="preserve">AAACCCATAGACCGCAGTGTGTGG</t>
  </si>
  <si>
    <t xml:space="preserve">CCCGGCGTTTCAAGGCGCTC</t>
  </si>
  <si>
    <t xml:space="preserve">TAGTCCCGGCGTTTCAAGGCGCTC</t>
  </si>
  <si>
    <t xml:space="preserve">AAACGAGCGCCTTGAAACGCCGGG</t>
  </si>
  <si>
    <t xml:space="preserve">ACAGTTCGTGGGCAAAGGCA</t>
  </si>
  <si>
    <t xml:space="preserve">TAGTACAGTTCGTGGGCAAAGGCA</t>
  </si>
  <si>
    <t xml:space="preserve">AAACTGCCTTTGCCCACGAACTGT</t>
  </si>
  <si>
    <t xml:space="preserve">PSPPH_1121</t>
  </si>
  <si>
    <t xml:space="preserve">TAGTGGAAGGGGTGCGTCCG</t>
  </si>
  <si>
    <t xml:space="preserve">TAGTTAGTGGAAGGGGTGCGTCCG</t>
  </si>
  <si>
    <t xml:space="preserve">AAACCGGACGCACCCCTTCCACTA</t>
  </si>
  <si>
    <t xml:space="preserve">CGAGCACGTAAAGGATTGGC</t>
  </si>
  <si>
    <t xml:space="preserve">TAGTCGAGCACGTAAAGGATTGGC</t>
  </si>
  <si>
    <t xml:space="preserve">AAACGCCAATCCTTTACGTGCTCG</t>
  </si>
  <si>
    <t xml:space="preserve">TGGATCATGTATCAATACGT</t>
  </si>
  <si>
    <t xml:space="preserve">TAGTTGGATCATGTATCAATACGT</t>
  </si>
  <si>
    <t xml:space="preserve">AAACACGTATTGATACATGATCCA</t>
  </si>
  <si>
    <t xml:space="preserve">TCGAAATTCAGCAGTGCGTT</t>
  </si>
  <si>
    <t xml:space="preserve">TAGTTCGAAATTCAGCAGTGCGTT</t>
  </si>
  <si>
    <t xml:space="preserve">AAACAACGCACTGCTGAATTTCGA</t>
  </si>
  <si>
    <t xml:space="preserve">PSPPH_1122</t>
  </si>
  <si>
    <t xml:space="preserve">moaC</t>
  </si>
  <si>
    <t xml:space="preserve">GACCATATTGGCGCGCCCTT</t>
  </si>
  <si>
    <t xml:space="preserve">TAGTGACCATATTGGCGCGCCCTT</t>
  </si>
  <si>
    <t xml:space="preserve">AAACAAGGGCGCGCCAATATGGTC</t>
  </si>
  <si>
    <t xml:space="preserve">CACCGCCTCACGGGACGTCA</t>
  </si>
  <si>
    <t xml:space="preserve">TAGTCACCGCCTCACGGGACGTCA</t>
  </si>
  <si>
    <t xml:space="preserve">AAACTGACGTCCCGTGAGGCGGTG</t>
  </si>
  <si>
    <t xml:space="preserve">CAGCATACGCACCACTGCTT</t>
  </si>
  <si>
    <t xml:space="preserve">TAGTCAGCATACGCACCACTGCTT</t>
  </si>
  <si>
    <t xml:space="preserve">AAACAAGCAGTGGTGCGTATGCTG</t>
  </si>
  <si>
    <t xml:space="preserve">ACAATCATTTGCAGCGTGGT</t>
  </si>
  <si>
    <t xml:space="preserve">TAGTACAATCATTTGCAGCGTGGT</t>
  </si>
  <si>
    <t xml:space="preserve">AAACACCACGCTGCAAATGATTGT</t>
  </si>
  <si>
    <t xml:space="preserve">PSPPH_1123</t>
  </si>
  <si>
    <t xml:space="preserve">moaD</t>
  </si>
  <si>
    <t xml:space="preserve">GCCAAGGACTTCACGGTAAC</t>
  </si>
  <si>
    <t xml:space="preserve">TAGTGCCAAGGACTTCACGGTAAC</t>
  </si>
  <si>
    <t xml:space="preserve">AAACGTTACCGTGAAGTCCTTGGC</t>
  </si>
  <si>
    <t xml:space="preserve">CTTCGACAGACTCGCTGTCC</t>
  </si>
  <si>
    <t xml:space="preserve">TAGTCTTCGACAGACTCGCTGTCC</t>
  </si>
  <si>
    <t xml:space="preserve">AAACGGACAGCGAGTCTGTCGAAG</t>
  </si>
  <si>
    <t xml:space="preserve">CGCCACGCTGCAACAGCGTT</t>
  </si>
  <si>
    <t xml:space="preserve">TAGTCGCCACGCTGCAACAGCGTT</t>
  </si>
  <si>
    <t xml:space="preserve">AAACAACGCTGTTGCAGCGTGGCG</t>
  </si>
  <si>
    <t xml:space="preserve">CTGCTCGGCAAGGACCTGCC</t>
  </si>
  <si>
    <t xml:space="preserve">TAGTCTGCTCGGCAAGGACCTGCC</t>
  </si>
  <si>
    <t xml:space="preserve">AAACGGCAGGTCCTTGCCGAGCAG</t>
  </si>
  <si>
    <t xml:space="preserve">PSPPH_1124</t>
  </si>
  <si>
    <t xml:space="preserve">moaE</t>
  </si>
  <si>
    <t xml:space="preserve">CGCCGCAGCCTGAACACGAA</t>
  </si>
  <si>
    <t xml:space="preserve">TAGTCGCCGCAGCCTGAACACGAA</t>
  </si>
  <si>
    <t xml:space="preserve">AAACTTCGTGTTCAGGCTGCGGCG</t>
  </si>
  <si>
    <t xml:space="preserve">ACGCGTTGACTTCATTGCCG</t>
  </si>
  <si>
    <t xml:space="preserve">TAGTACGCGTTGACTTCATTGCCG</t>
  </si>
  <si>
    <t xml:space="preserve">AAACCGGCAATGAAGTCAACGCGT</t>
  </si>
  <si>
    <t xml:space="preserve">CACCGCGCCGATGCCGAGGT</t>
  </si>
  <si>
    <t xml:space="preserve">TAGTCACCGCGCCGATGCCGAGGT</t>
  </si>
  <si>
    <t xml:space="preserve">AAACACCTCGGCATCGGCGCGGTG</t>
  </si>
  <si>
    <t xml:space="preserve">AGTGCCTTTTCGGTCATGCC</t>
  </si>
  <si>
    <t xml:space="preserve">TAGTAGTGCCTTTTCGGTCATGCC</t>
  </si>
  <si>
    <t xml:space="preserve">AAACGGCATGACCGAAAAGGCACT</t>
  </si>
  <si>
    <t xml:space="preserve">PSPPH_1125</t>
  </si>
  <si>
    <t xml:space="preserve">GCACTTTCAACCTTTGTCAC</t>
  </si>
  <si>
    <t xml:space="preserve">TAGTGCACTTTCAACCTTTGTCAC</t>
  </si>
  <si>
    <t xml:space="preserve">AAACGTGACAAAGGTTGAAAGTGC</t>
  </si>
  <si>
    <t xml:space="preserve">CGGATAGCGCACACCGGCAT</t>
  </si>
  <si>
    <t xml:space="preserve">TAGTCGGATAGCGCACACCGGCAT</t>
  </si>
  <si>
    <t xml:space="preserve">AAACATGCCGGTGTGCGCTATCCG</t>
  </si>
  <si>
    <t xml:space="preserve">TCGAACTTGCCGACCGCAAC</t>
  </si>
  <si>
    <t xml:space="preserve">TAGTTCGAACTTGCCGACCGCAAC</t>
  </si>
  <si>
    <t xml:space="preserve">AAACGTTGCGGTCGGCAAGTTCGA</t>
  </si>
  <si>
    <t xml:space="preserve">TCCCGCGCATATAGCTGGAG</t>
  </si>
  <si>
    <t xml:space="preserve">TAGTTCCCGCGCATATAGCTGGAG</t>
  </si>
  <si>
    <t xml:space="preserve">AAACCTCCAGCTATATGCGCGGGA</t>
  </si>
  <si>
    <t xml:space="preserve">PSPPH_1126</t>
  </si>
  <si>
    <t xml:space="preserve">ACAGCCCGTCAGGCACGCGC</t>
  </si>
  <si>
    <t xml:space="preserve">TAGTACAGCCCGTCAGGCACGCGC</t>
  </si>
  <si>
    <t xml:space="preserve">AAACGCGCGTGCCTGACGGGCTGT</t>
  </si>
  <si>
    <t xml:space="preserve">GGTACAAGGTTTTCGGCTGT</t>
  </si>
  <si>
    <t xml:space="preserve">TAGTGGTACAAGGTTTTCGGCTGT</t>
  </si>
  <si>
    <t xml:space="preserve">AAACACAGCCGAAAACCTTGTACC</t>
  </si>
  <si>
    <t xml:space="preserve">CAGGCTGGTAACTGCCCCAC</t>
  </si>
  <si>
    <t xml:space="preserve">TAGTCAGGCTGGTAACTGCCCCAC</t>
  </si>
  <si>
    <t xml:space="preserve">AAACGTGGGGCAGTTACCAGCCTG</t>
  </si>
  <si>
    <t xml:space="preserve">CTTGGCGACCTGGGCTTCCT</t>
  </si>
  <si>
    <t xml:space="preserve">TAGTCTTGGCGACCTGGGCTTCCT</t>
  </si>
  <si>
    <t xml:space="preserve">AAACAGGAAGCCCAGGTCGCCAAG</t>
  </si>
  <si>
    <t xml:space="preserve">PSPPH_1127</t>
  </si>
  <si>
    <t xml:space="preserve">CAGCAACTTTCAGATAAGCG</t>
  </si>
  <si>
    <t xml:space="preserve">TAGTCAGCAACTTTCAGATAAGCG</t>
  </si>
  <si>
    <t xml:space="preserve">AAACCGCTTATCTGAAAGTTGCTG</t>
  </si>
  <si>
    <t xml:space="preserve">ACAGCAGGGCAACGGCAAAC</t>
  </si>
  <si>
    <t xml:space="preserve">TAGTACAGCAGGGCAACGGCAAAC</t>
  </si>
  <si>
    <t xml:space="preserve">AAACGTTTGCCGTTGCCCTGCTGT</t>
  </si>
  <si>
    <t xml:space="preserve">CGAGTAGTCCACCGTTGGCG</t>
  </si>
  <si>
    <t xml:space="preserve">TAGTCGAGTAGTCCACCGTTGGCG</t>
  </si>
  <si>
    <t xml:space="preserve">AAACCGCCAACGGTGGACTACTCG</t>
  </si>
  <si>
    <t xml:space="preserve">ACGCGGTTTGCTTTCCTTGA</t>
  </si>
  <si>
    <t xml:space="preserve">TAGTACGCGGTTTGCTTTCCTTGA</t>
  </si>
  <si>
    <t xml:space="preserve">AAACTCAAGGAAAGCAAACCGCGT</t>
  </si>
  <si>
    <t xml:space="preserve">PSPPH_1128</t>
  </si>
  <si>
    <t xml:space="preserve">rhlB</t>
  </si>
  <si>
    <t xml:space="preserve">CTTTTTAAGTGCTTTGAGCA</t>
  </si>
  <si>
    <t xml:space="preserve">TAGTCTTTTTAAGTGCTTTGAGCA</t>
  </si>
  <si>
    <t xml:space="preserve">AAACTGCTCAAAGCACTTAAAAAG</t>
  </si>
  <si>
    <t xml:space="preserve">GGAATAAAGGCTGTCGGACC</t>
  </si>
  <si>
    <t xml:space="preserve">TAGTGGAATAAAGGCTGTCGGACC</t>
  </si>
  <si>
    <t xml:space="preserve">AAACGGTCCGACAGCCTTTATTCC</t>
  </si>
  <si>
    <t xml:space="preserve">CCTGCGGCAGCGGGGGAGGC</t>
  </si>
  <si>
    <t xml:space="preserve">TAGTCCTGCGGCAGCGGGGGAGGC</t>
  </si>
  <si>
    <t xml:space="preserve">AAACGCCTCCCCCGCTGCCGCAGG</t>
  </si>
  <si>
    <t xml:space="preserve">AGCTGAGTCTGGGCATGATC</t>
  </si>
  <si>
    <t xml:space="preserve">TAGTAGCTGAGTCTGGGCATGATC</t>
  </si>
  <si>
    <t xml:space="preserve">AAACGATCATGCCCAGACTCAGCT</t>
  </si>
  <si>
    <t xml:space="preserve">PSPPH_1129</t>
  </si>
  <si>
    <t xml:space="preserve">CCTGAAGGTTGGATGATCAA</t>
  </si>
  <si>
    <t xml:space="preserve">TAGTCCTGAAGGTTGGATGATCAA</t>
  </si>
  <si>
    <t xml:space="preserve">AAACTTGATCATCCAACCTTCAGG</t>
  </si>
  <si>
    <t xml:space="preserve">CCAGATAACGCAGGCATCCG</t>
  </si>
  <si>
    <t xml:space="preserve">TAGTCCAGATAACGCAGGCATCCG</t>
  </si>
  <si>
    <t xml:space="preserve">AAACCGGATGCCTGCGTTATCTGG</t>
  </si>
  <si>
    <t xml:space="preserve">CGGAAGAAAATCATAGCGGT</t>
  </si>
  <si>
    <t xml:space="preserve">TAGTCGGAAGAAAATCATAGCGGT</t>
  </si>
  <si>
    <t xml:space="preserve">AAACACCGCTATGATTTTCTTCCG</t>
  </si>
  <si>
    <t xml:space="preserve">TCCTGCAGCATCTCGGCGAC</t>
  </si>
  <si>
    <t xml:space="preserve">TAGTTCCTGCAGCATCTCGGCGAC</t>
  </si>
  <si>
    <t xml:space="preserve">AAACGTCGCCGAGATGCTGCAGGA</t>
  </si>
  <si>
    <t xml:space="preserve">PSPPH_1130</t>
  </si>
  <si>
    <t xml:space="preserve">GGCGGTGACGACAGCCAGGG</t>
  </si>
  <si>
    <t xml:space="preserve">TAGTGGCGGTGACGACAGCCAGGG</t>
  </si>
  <si>
    <t xml:space="preserve">AAACCCCTGGCTGTCGTCACCGCC</t>
  </si>
  <si>
    <t xml:space="preserve">GGTTACACCAAATGCGGCCA</t>
  </si>
  <si>
    <t xml:space="preserve">TAGTGGTTACACCAAATGCGGCCA</t>
  </si>
  <si>
    <t xml:space="preserve">AAACTGGCCGCATTTGGTGTAACC</t>
  </si>
  <si>
    <t xml:space="preserve">GGCACCGGCGTTGGCAACCC</t>
  </si>
  <si>
    <t xml:space="preserve">TAGTGGCACCGGCGTTGGCAACCC</t>
  </si>
  <si>
    <t xml:space="preserve">AAACGGGTTGCCAACGCCGGTGCC</t>
  </si>
  <si>
    <t xml:space="preserve">CTTCTGAATAGCGTCAAGGG</t>
  </si>
  <si>
    <t xml:space="preserve">TAGTCTTCTGAATAGCGTCAAGGG</t>
  </si>
  <si>
    <t xml:space="preserve">AAACCCCTTGACGCTATTCAGAAG</t>
  </si>
  <si>
    <t xml:space="preserve">PSPPH_1131</t>
  </si>
  <si>
    <t xml:space="preserve">CTCAGAGAGAGCTTTTGCTT</t>
  </si>
  <si>
    <t xml:space="preserve">TAGTCTCAGAGAGAGCTTTTGCTT</t>
  </si>
  <si>
    <t xml:space="preserve">AAACAAGCAAAAGCTCTCTCTGAG</t>
  </si>
  <si>
    <t xml:space="preserve">AATAACCACGCGCGCACTTT</t>
  </si>
  <si>
    <t xml:space="preserve">TAGTAATAACCACGCGCGCACTTT</t>
  </si>
  <si>
    <t xml:space="preserve">AAACAAAGTGCGCGCGTGGTTATT</t>
  </si>
  <si>
    <t xml:space="preserve">ACGGTGTTGCAGGTTGGTCT</t>
  </si>
  <si>
    <t xml:space="preserve">TAGTACGGTGTTGCAGGTTGGTCT</t>
  </si>
  <si>
    <t xml:space="preserve">AAACAGACCAACCTGCAACACCGT</t>
  </si>
  <si>
    <t xml:space="preserve">TTCAAGAAAGCCGAAACCCG</t>
  </si>
  <si>
    <t xml:space="preserve">TAGTTTCAAGAAAGCCGAAACCCG</t>
  </si>
  <si>
    <t xml:space="preserve">AAACCGGGTTTCGGCTTTCTTGAA</t>
  </si>
  <si>
    <t xml:space="preserve">PSPPH_1132</t>
  </si>
  <si>
    <t xml:space="preserve">TTGCCCGGTGGTGGCATATC</t>
  </si>
  <si>
    <t xml:space="preserve">TAGTTTGCCCGGTGGTGGCATATC</t>
  </si>
  <si>
    <t xml:space="preserve">AAACGATATGCCACCACCGGGCAA</t>
  </si>
  <si>
    <t xml:space="preserve">TCTGCCGCATCCACGCCATC</t>
  </si>
  <si>
    <t xml:space="preserve">TAGTTCTGCCGCATCCACGCCATC</t>
  </si>
  <si>
    <t xml:space="preserve">AAACGATGGCGTGGATGCGGCAGA</t>
  </si>
  <si>
    <t xml:space="preserve">TGTTGATCCAGCTGGAGAAC</t>
  </si>
  <si>
    <t xml:space="preserve">TAGTTGTTGATCCAGCTGGAGAAC</t>
  </si>
  <si>
    <t xml:space="preserve">AAACGTTCTCCAGCTGGATCAACA</t>
  </si>
  <si>
    <t xml:space="preserve">CAGGGAGAACAGGGTCAGCA</t>
  </si>
  <si>
    <t xml:space="preserve">TAGTCAGGGAGAACAGGGTCAGCA</t>
  </si>
  <si>
    <t xml:space="preserve">AAACTGCTGACCCTGTTCTCCCTG</t>
  </si>
  <si>
    <t xml:space="preserve">PSPPH_1133</t>
  </si>
  <si>
    <t xml:space="preserve">ATCATGCCTTCAGCGCCCAG</t>
  </si>
  <si>
    <t xml:space="preserve">TAGTATCATGCCTTCAGCGCCCAG</t>
  </si>
  <si>
    <t xml:space="preserve">AAACCTGGGCGCTGAAGGCATGAT</t>
  </si>
  <si>
    <t xml:space="preserve">ACTTGTGGACGCCCTCCATG</t>
  </si>
  <si>
    <t xml:space="preserve">TAGTACTTGTGGACGCCCTCCATG</t>
  </si>
  <si>
    <t xml:space="preserve">AAACCATGGAGGGCGTCCACAAGT</t>
  </si>
  <si>
    <t xml:space="preserve">TGTCCTTGAGTACATGGAAC</t>
  </si>
  <si>
    <t xml:space="preserve">TAGTTGTCCTTGAGTACATGGAAC</t>
  </si>
  <si>
    <t xml:space="preserve">AAACGTTCCATGTACTCAAGGACA</t>
  </si>
  <si>
    <t xml:space="preserve">GTTCGCCCTGACGCACGTTC</t>
  </si>
  <si>
    <t xml:space="preserve">TAGTGTTCGCCCTGACGCACGTTC</t>
  </si>
  <si>
    <t xml:space="preserve">AAACGAACGTGCGTCAGGGCGAAC</t>
  </si>
  <si>
    <t xml:space="preserve">PSPPH_1134</t>
  </si>
  <si>
    <t xml:space="preserve">GATTGAGCCTTGGCAGTCAT</t>
  </si>
  <si>
    <t xml:space="preserve">TAGTGATTGAGCCTTGGCAGTCAT</t>
  </si>
  <si>
    <t xml:space="preserve">AAACATGACTGCCAAGGCTCAATC</t>
  </si>
  <si>
    <t xml:space="preserve">ATCGGTAATCGGTTGGGGGC</t>
  </si>
  <si>
    <t xml:space="preserve">TAGTATCGGTAATCGGTTGGGGGC</t>
  </si>
  <si>
    <t xml:space="preserve">AAACGCCCCCAACCGATTACCGAT</t>
  </si>
  <si>
    <t xml:space="preserve">GGGGCGCTTTAGAACAGGAT</t>
  </si>
  <si>
    <t xml:space="preserve">TAGTGGGGCGCTTTAGAACAGGAT</t>
  </si>
  <si>
    <t xml:space="preserve">AAACATCCTGTTCTAAAGCGCCCC</t>
  </si>
  <si>
    <t xml:space="preserve">AGACCCAGCAGCAACAGCCA</t>
  </si>
  <si>
    <t xml:space="preserve">TAGTAGACCCAGCAGCAACAGCCA</t>
  </si>
  <si>
    <t xml:space="preserve">AAACTGGCTGTTGCTGCTGGGTCT</t>
  </si>
  <si>
    <t xml:space="preserve">PSPPH_1135</t>
  </si>
  <si>
    <t xml:space="preserve">GTTTGCGTTATCGGCTTGCA</t>
  </si>
  <si>
    <t xml:space="preserve">TAGTGTTTGCGTTATCGGCTTGCA</t>
  </si>
  <si>
    <t xml:space="preserve">AAACTGCAAGCCGATAACGCAAAC</t>
  </si>
  <si>
    <t xml:space="preserve">CTCGACCAGCCCTCGCAGCA</t>
  </si>
  <si>
    <t xml:space="preserve">TAGTCTCGACCAGCCCTCGCAGCA</t>
  </si>
  <si>
    <t xml:space="preserve">AAACTGCTGCGAGGGCTGGTCGAG</t>
  </si>
  <si>
    <t xml:space="preserve">AATGCTCAAGTCATATGCTC</t>
  </si>
  <si>
    <t xml:space="preserve">TAGTAATGCTCAAGTCATATGCTC</t>
  </si>
  <si>
    <t xml:space="preserve">AAACGAGCATATGACTTGAGCATT</t>
  </si>
  <si>
    <t xml:space="preserve">GCTGCTCTGGCGTAGCAGCA</t>
  </si>
  <si>
    <t xml:space="preserve">TAGTGCTGCTCTGGCGTAGCAGCA</t>
  </si>
  <si>
    <t xml:space="preserve">AAACTGCTGCTACGCCAGAGCAGC</t>
  </si>
  <si>
    <t xml:space="preserve">PSPPH_1136</t>
  </si>
  <si>
    <t xml:space="preserve">CCTACTTTTTGTATGTCGAC</t>
  </si>
  <si>
    <t xml:space="preserve">TAGTCCTACTTTTTGTATGTCGAC</t>
  </si>
  <si>
    <t xml:space="preserve">AAACGTCGACATACAAAAAGTAGG</t>
  </si>
  <si>
    <t xml:space="preserve">TCCTGCGCGTCCAGCCCGCC</t>
  </si>
  <si>
    <t xml:space="preserve">TAGTTCCTGCGCGTCCAGCCCGCC</t>
  </si>
  <si>
    <t xml:space="preserve">AAACGGCGGGCTGGACGCGCAGGA</t>
  </si>
  <si>
    <t xml:space="preserve">GAGCGCAGCACAGGCCGCTT</t>
  </si>
  <si>
    <t xml:space="preserve">TAGTGAGCGCAGCACAGGCCGCTT</t>
  </si>
  <si>
    <t xml:space="preserve">AAACAAGCGGCCTGTGCTGCGCTC</t>
  </si>
  <si>
    <t xml:space="preserve">ATGACCAGCGGTTTCCGGCG</t>
  </si>
  <si>
    <t xml:space="preserve">TAGTATGACCAGCGGTTTCCGGCG</t>
  </si>
  <si>
    <t xml:space="preserve">AAACCGCCGGAAACCGCTGGTCAT</t>
  </si>
  <si>
    <t xml:space="preserve">PSPPH_1137</t>
  </si>
  <si>
    <t xml:space="preserve">CGCAAACGCCTCATAAAAGC</t>
  </si>
  <si>
    <t xml:space="preserve">TAGTCGCAAACGCCTCATAAAAGC</t>
  </si>
  <si>
    <t xml:space="preserve">AAACGCTTTTATGAGGCGTTTGCG</t>
  </si>
  <si>
    <t xml:space="preserve">ATAACAGGCACTCATCGCCT</t>
  </si>
  <si>
    <t xml:space="preserve">TAGTATAACAGGCACTCATCGCCT</t>
  </si>
  <si>
    <t xml:space="preserve">AAACAGGCGATGAGTGCCTGTTAT</t>
  </si>
  <si>
    <t xml:space="preserve">CGCGCAATTCACCAAATGCC</t>
  </si>
  <si>
    <t xml:space="preserve">TAGTCGCGCAATTCACCAAATGCC</t>
  </si>
  <si>
    <t xml:space="preserve">AAACGGCATTTGGTGAATTGCGCG</t>
  </si>
  <si>
    <t xml:space="preserve">CGCCACATGTCGCCTACCTG</t>
  </si>
  <si>
    <t xml:space="preserve">TAGTCGCCACATGTCGCCTACCTG</t>
  </si>
  <si>
    <t xml:space="preserve">AAACCAGGTAGGCGACATGTGGCG</t>
  </si>
  <si>
    <t xml:space="preserve">PSPPH_1138</t>
  </si>
  <si>
    <t xml:space="preserve">CTGTTCGGCGTCAGCAGACC</t>
  </si>
  <si>
    <t xml:space="preserve">TAGTCTGTTCGGCGTCAGCAGACC</t>
  </si>
  <si>
    <t xml:space="preserve">AAACGGTCTGCTGACGCCGAACAG</t>
  </si>
  <si>
    <t xml:space="preserve">CGCACCAGATAGACAAACCA</t>
  </si>
  <si>
    <t xml:space="preserve">TAGTCGCACCAGATAGACAAACCA</t>
  </si>
  <si>
    <t xml:space="preserve">AAACTGGTTTGTCTATCTGGTGCG</t>
  </si>
  <si>
    <t xml:space="preserve">GCCGCAGTACAGCGAACCAT</t>
  </si>
  <si>
    <t xml:space="preserve">TAGTGCCGCAGTACAGCGAACCAT</t>
  </si>
  <si>
    <t xml:space="preserve">AAACATGGTTCGCTGTACTGCGGC</t>
  </si>
  <si>
    <t xml:space="preserve">TGCATAGCGAATCGGCGCTG</t>
  </si>
  <si>
    <t xml:space="preserve">TAGTTGCATAGCGAATCGGCGCTG</t>
  </si>
  <si>
    <t xml:space="preserve">AAACCAGCGCCGATTCGCTATGCA</t>
  </si>
  <si>
    <t xml:space="preserve">PSPPH_1139</t>
  </si>
  <si>
    <t xml:space="preserve">GTAATGGTGAAGAATCAACT</t>
  </si>
  <si>
    <t xml:space="preserve">TAGTGTAATGGTGAAGAATCAACT</t>
  </si>
  <si>
    <t xml:space="preserve">AAACAGTTGATTCTTCACCATTAC</t>
  </si>
  <si>
    <t xml:space="preserve">TTTCGGCAAACAGTGACGTG</t>
  </si>
  <si>
    <t xml:space="preserve">TAGTTTTCGGCAAACAGTGACGTG</t>
  </si>
  <si>
    <t xml:space="preserve">AAACCACGTCACTGTTTGCCGAAA</t>
  </si>
  <si>
    <t xml:space="preserve">TTTGAAACCCAGCATCAGGC</t>
  </si>
  <si>
    <t xml:space="preserve">TAGTTTTGAAACCCAGCATCAGGC</t>
  </si>
  <si>
    <t xml:space="preserve">AAACGCCTGATGCTGGGTTTCAAA</t>
  </si>
  <si>
    <t xml:space="preserve">TCGTCACCGAGCGCCATGTG</t>
  </si>
  <si>
    <t xml:space="preserve">TAGTTCGTCACCGAGCGCCATGTG</t>
  </si>
  <si>
    <t xml:space="preserve">AAACCACATGGCGCTCGGTGACGA</t>
  </si>
  <si>
    <t xml:space="preserve">PSPPH_1142</t>
  </si>
  <si>
    <t xml:space="preserve">GCGGATTTGAAAAGTTCAGA</t>
  </si>
  <si>
    <t xml:space="preserve">TAGTGCGGATTTGAAAAGTTCAGA</t>
  </si>
  <si>
    <t xml:space="preserve">AAACTCTGAACTTTTCAAATCCGC</t>
  </si>
  <si>
    <t xml:space="preserve">CTTTTTCAATGTCTGGGTAC</t>
  </si>
  <si>
    <t xml:space="preserve">TAGTCTTTTTCAATGTCTGGGTAC</t>
  </si>
  <si>
    <t xml:space="preserve">AAACGTACCCAGACATTGAAAAAG</t>
  </si>
  <si>
    <t xml:space="preserve">CATCACTTCGGCTGCTGCTT</t>
  </si>
  <si>
    <t xml:space="preserve">TAGTCATCACTTCGGCTGCTGCTT</t>
  </si>
  <si>
    <t xml:space="preserve">AAACAAGCAGCAGCCGAAGTGATG</t>
  </si>
  <si>
    <t xml:space="preserve">GACCAGCCGCCATCCGTCAC</t>
  </si>
  <si>
    <t xml:space="preserve">TAGTGACCAGCCGCCATCCGTCAC</t>
  </si>
  <si>
    <t xml:space="preserve">AAACGTGACGGATGGCGGCTGGTC</t>
  </si>
  <si>
    <t xml:space="preserve">PSPPH_1143</t>
  </si>
  <si>
    <t xml:space="preserve">TTACAGACTCAATACGCACG</t>
  </si>
  <si>
    <t xml:space="preserve">TAGTTTACAGACTCAATACGCACG</t>
  </si>
  <si>
    <t xml:space="preserve">AAACCGTGCGTATTGAGTCTGTAA</t>
  </si>
  <si>
    <t xml:space="preserve">TGGGATTTGGGCCAAAGCAG</t>
  </si>
  <si>
    <t xml:space="preserve">TAGTTGGGATTTGGGCCAAAGCAG</t>
  </si>
  <si>
    <t xml:space="preserve">AAACCTGCTTTGGCCCAAATCCCA</t>
  </si>
  <si>
    <t xml:space="preserve">CGCCGAAACATCTACGGTGA</t>
  </si>
  <si>
    <t xml:space="preserve">TAGTCGCCGAAACATCTACGGTGA</t>
  </si>
  <si>
    <t xml:space="preserve">AAACTCACCGTAGATGTTTCGGCG</t>
  </si>
  <si>
    <t xml:space="preserve">CGCTGCGTTCGGGCCTACAA</t>
  </si>
  <si>
    <t xml:space="preserve">TAGTCGCTGCGTTCGGGCCTACAA</t>
  </si>
  <si>
    <t xml:space="preserve">AAACTTGTAGGCCCGAACGCAGCG</t>
  </si>
  <si>
    <t xml:space="preserve">PSPPH_1144</t>
  </si>
  <si>
    <t xml:space="preserve">GCCATGACGCCGCAGGCCAA</t>
  </si>
  <si>
    <t xml:space="preserve">TAGTGCCATGACGCCGCAGGCCAA</t>
  </si>
  <si>
    <t xml:space="preserve">AAACTTGGCCTGCGGCGTCATGGC</t>
  </si>
  <si>
    <t xml:space="preserve">TCAGTTGCAGATGCCAGTCT</t>
  </si>
  <si>
    <t xml:space="preserve">TAGTTCAGTTGCAGATGCCAGTCT</t>
  </si>
  <si>
    <t xml:space="preserve">AAACAGACTGGCATCTGCAACTGA</t>
  </si>
  <si>
    <t xml:space="preserve">PSPPH_1145</t>
  </si>
  <si>
    <t xml:space="preserve">ndpA</t>
  </si>
  <si>
    <t xml:space="preserve">AGAACTGCTGGTGTGCCGTC</t>
  </si>
  <si>
    <t xml:space="preserve">TAGTAGAACTGCTGGTGTGCCGTC</t>
  </si>
  <si>
    <t xml:space="preserve">AAACGACGGCACACCAGCAGTTCT</t>
  </si>
  <si>
    <t xml:space="preserve">CAAGCTCGGAGTCGCGGGCG</t>
  </si>
  <si>
    <t xml:space="preserve">TAGTCAAGCTCGGAGTCGCGGGCG</t>
  </si>
  <si>
    <t xml:space="preserve">AAACCGCCCGCGACTCCGAGCTTG</t>
  </si>
  <si>
    <t xml:space="preserve">GTTCTCGATGGCGGCCGACT</t>
  </si>
  <si>
    <t xml:space="preserve">TAGTGTTCTCGATGGCGGCCGACT</t>
  </si>
  <si>
    <t xml:space="preserve">AAACAGTCGGCCGCCATCGAGAAC</t>
  </si>
  <si>
    <t xml:space="preserve">TGTCGTTGAGGTCAGCCAGC</t>
  </si>
  <si>
    <t xml:space="preserve">TAGTTGTCGTTGAGGTCAGCCAGC</t>
  </si>
  <si>
    <t xml:space="preserve">AAACGCTGGCTGACCTCAACGACA</t>
  </si>
  <si>
    <t xml:space="preserve">PSPPH_1146</t>
  </si>
  <si>
    <t xml:space="preserve">TAGTGGGCTGCCTTGTTTTT</t>
  </si>
  <si>
    <t xml:space="preserve">TAGTTAGTGGGCTGCCTTGTTTTT</t>
  </si>
  <si>
    <t xml:space="preserve">AAACAAAAACAAGGCAGCCCACTA</t>
  </si>
  <si>
    <t xml:space="preserve">TCCTTTTCGCGATCCTCAGC</t>
  </si>
  <si>
    <t xml:space="preserve">TAGTTCCTTTTCGCGATCCTCAGC</t>
  </si>
  <si>
    <t xml:space="preserve">AAACGCTGAGGATCGCGAAAAGGA</t>
  </si>
  <si>
    <t xml:space="preserve">CGGAGTGGGTGCGTCCTTTC</t>
  </si>
  <si>
    <t xml:space="preserve">TAGTCGGAGTGGGTGCGTCCTTTC</t>
  </si>
  <si>
    <t xml:space="preserve">AAACGAAAGGACGCACCCACTCCG</t>
  </si>
  <si>
    <t xml:space="preserve">GATGGTAATCTTGGTTTCCC</t>
  </si>
  <si>
    <t xml:space="preserve">TAGTGATGGTAATCTTGGTTTCCC</t>
  </si>
  <si>
    <t xml:space="preserve">AAACGGGAAACCAAGATTACCATC</t>
  </si>
  <si>
    <t xml:space="preserve">PSPPH_1148</t>
  </si>
  <si>
    <t xml:space="preserve">GACTTGGGGAACGCTGAGGT</t>
  </si>
  <si>
    <t xml:space="preserve">TAGTGACTTGGGGAACGCTGAGGT</t>
  </si>
  <si>
    <t xml:space="preserve">AAACACCTCAGCGTTCCCCAAGTC</t>
  </si>
  <si>
    <t xml:space="preserve">CATTGCCGGCCGCGTCGTGG</t>
  </si>
  <si>
    <t xml:space="preserve">TAGTCATTGCCGGCCGCGTCGTGG</t>
  </si>
  <si>
    <t xml:space="preserve">AAACCCACGACGCGGCCGGCAATG</t>
  </si>
  <si>
    <t xml:space="preserve">ACAGATAGACTGGGGCAGAA</t>
  </si>
  <si>
    <t xml:space="preserve">TAGTACAGATAGACTGGGGCAGAA</t>
  </si>
  <si>
    <t xml:space="preserve">AAACTTCTGCCCCAGTCTATCTGT</t>
  </si>
  <si>
    <t xml:space="preserve">ACGCTGACATGCGTAAGTGA</t>
  </si>
  <si>
    <t xml:space="preserve">TAGTACGCTGACATGCGTAAGTGA</t>
  </si>
  <si>
    <t xml:space="preserve">AAACTCACTTACGCATGTCAGCGT</t>
  </si>
  <si>
    <t xml:space="preserve">PSPPH_1149</t>
  </si>
  <si>
    <t xml:space="preserve">AAATCCTGGATAGGGTTGCC</t>
  </si>
  <si>
    <t xml:space="preserve">TAGTAAATCCTGGATAGGGTTGCC</t>
  </si>
  <si>
    <t xml:space="preserve">AAACGGCAACCCTATCCAGGATTT</t>
  </si>
  <si>
    <t xml:space="preserve">ATCGAGCCCCAGAGCAGAAT</t>
  </si>
  <si>
    <t xml:space="preserve">TAGTATCGAGCCCCAGAGCAGAAT</t>
  </si>
  <si>
    <t xml:space="preserve">AAACATTCTGCTCTGGGGCTCGAT</t>
  </si>
  <si>
    <t xml:space="preserve">TGTCGAAAGAACTGATTGGC</t>
  </si>
  <si>
    <t xml:space="preserve">TAGTTGTCGAAAGAACTGATTGGC</t>
  </si>
  <si>
    <t xml:space="preserve">AAACGCCAATCAGTTCTTTCGACA</t>
  </si>
  <si>
    <t xml:space="preserve">GGTATTGGGCCAGGACCGCT</t>
  </si>
  <si>
    <t xml:space="preserve">TAGTGGTATTGGGCCAGGACCGCT</t>
  </si>
  <si>
    <t xml:space="preserve">AAACAGCGGTCCTGGCCCAATACC</t>
  </si>
  <si>
    <t xml:space="preserve">PSPPH_1150</t>
  </si>
  <si>
    <t xml:space="preserve">GGCTCTGTGCTAGTTTTGCG</t>
  </si>
  <si>
    <t xml:space="preserve">TAGTGGCTCTGTGCTAGTTTTGCG</t>
  </si>
  <si>
    <t xml:space="preserve">AAACCGCAAAACTAGCACAGAGCC</t>
  </si>
  <si>
    <t xml:space="preserve">GGTAGAGGCGGATATTTGTC</t>
  </si>
  <si>
    <t xml:space="preserve">TAGTGGTAGAGGCGGATATTTGTC</t>
  </si>
  <si>
    <t xml:space="preserve">AAACGACAAATATCCGCCTCTACC</t>
  </si>
  <si>
    <t xml:space="preserve">TAAAACCTGACCAAAAAGAT</t>
  </si>
  <si>
    <t xml:space="preserve">TAGTTAAAACCTGACCAAAAAGAT</t>
  </si>
  <si>
    <t xml:space="preserve">AAACATCTTTTTGGTCAGGTTTTA</t>
  </si>
  <si>
    <t xml:space="preserve">CTGGATGTTTTTTGTGCAAT</t>
  </si>
  <si>
    <t xml:space="preserve">TAGTCTGGATGTTTTTTGTGCAAT</t>
  </si>
  <si>
    <t xml:space="preserve">AAACATTGCACAAAAAACATCCAG</t>
  </si>
  <si>
    <t xml:space="preserve">PSPPH_1151</t>
  </si>
  <si>
    <t xml:space="preserve">TTGGTCTTTAGTAAGAGCCA</t>
  </si>
  <si>
    <t xml:space="preserve">TAGTTTGGTCTTTAGTAAGAGCCA</t>
  </si>
  <si>
    <t xml:space="preserve">AAACTGGCTCTTACTAAAGACCAA</t>
  </si>
  <si>
    <t xml:space="preserve">GTCGATAGCTTCAGCAATAT</t>
  </si>
  <si>
    <t xml:space="preserve">TAGTGTCGATAGCTTCAGCAATAT</t>
  </si>
  <si>
    <t xml:space="preserve">AAACATATTGCTGAAGCTATCGAC</t>
  </si>
  <si>
    <t xml:space="preserve">GCATTACGCGCGGTAGTTTT</t>
  </si>
  <si>
    <t xml:space="preserve">TAGTGCATTACGCGCGGTAGTTTT</t>
  </si>
  <si>
    <t xml:space="preserve">AAACAAAACTACCGCGCGTAATGC</t>
  </si>
  <si>
    <t xml:space="preserve">CCAATTGGTCGGCAACAATT</t>
  </si>
  <si>
    <t xml:space="preserve">TAGTCCAATTGGTCGGCAACAATT</t>
  </si>
  <si>
    <t xml:space="preserve">AAACAATTGTTGCCGACCAATTGG</t>
  </si>
  <si>
    <t xml:space="preserve">PSPPH_1152</t>
  </si>
  <si>
    <t xml:space="preserve">GGTATCGGTCATGGGTTCGA</t>
  </si>
  <si>
    <t xml:space="preserve">TAGTGGTATCGGTCATGGGTTCGA</t>
  </si>
  <si>
    <t xml:space="preserve">AAACTCGAACCCATGACCGATACC</t>
  </si>
  <si>
    <t xml:space="preserve">CTTTTTGCGCGGTGGTTTGC</t>
  </si>
  <si>
    <t xml:space="preserve">TAGTCTTTTTGCGCGGTGGTTTGC</t>
  </si>
  <si>
    <t xml:space="preserve">AAACGCAAACCACCGCGCAAAAAG</t>
  </si>
  <si>
    <t xml:space="preserve">GCAGGTTTGGCTGGCCGCTG</t>
  </si>
  <si>
    <t xml:space="preserve">TAGTGCAGGTTTGGCTGGCCGCTG</t>
  </si>
  <si>
    <t xml:space="preserve">AAACCAGCGGCCAGCCAAACCTGC</t>
  </si>
  <si>
    <t xml:space="preserve">TGCAAGGTGGCCTTTTCACG</t>
  </si>
  <si>
    <t xml:space="preserve">TAGTTGCAAGGTGGCCTTTTCACG</t>
  </si>
  <si>
    <t xml:space="preserve">AAACCGTGAAAAGGCCACCTTGCA</t>
  </si>
  <si>
    <t xml:space="preserve">PSPPH_1153</t>
  </si>
  <si>
    <t xml:space="preserve">valS</t>
  </si>
  <si>
    <t xml:space="preserve">AAGTTTCGATGGCGTGCGGC</t>
  </si>
  <si>
    <t xml:space="preserve">TAGTAAGTTTCGATGGCGTGCGGC</t>
  </si>
  <si>
    <t xml:space="preserve">AAACGCCGCACGCCATCGAAACTT</t>
  </si>
  <si>
    <t xml:space="preserve">GGACTCCCAGGTCTGATACC</t>
  </si>
  <si>
    <t xml:space="preserve">TAGTGGACTCCCAGGTCTGATACC</t>
  </si>
  <si>
    <t xml:space="preserve">AAACGGTATCAGACCTGGGAGTCC</t>
  </si>
  <si>
    <t xml:space="preserve">TTGCGGAGCGAAATAATTTT</t>
  </si>
  <si>
    <t xml:space="preserve">TAGTTTGCGGAGCGAAATAATTTT</t>
  </si>
  <si>
    <t xml:space="preserve">AAACAAAATTATTTCGCTCCGCAA</t>
  </si>
  <si>
    <t xml:space="preserve">GTTCGGCGGCGGGATCATGA</t>
  </si>
  <si>
    <t xml:space="preserve">TAGTGTTCGGCGGCGGGATCATGA</t>
  </si>
  <si>
    <t xml:space="preserve">AAACTCATGATCCCGCCGCCGAAC</t>
  </si>
  <si>
    <t xml:space="preserve">PSPPH_1154</t>
  </si>
  <si>
    <t xml:space="preserve">GCTTTCCGAAGTCTTGTCCA</t>
  </si>
  <si>
    <t xml:space="preserve">TAGTGCTTTCCGAAGTCTTGTCCA</t>
  </si>
  <si>
    <t xml:space="preserve">AAACTGGACAAGACTTCGGAAAGC</t>
  </si>
  <si>
    <t xml:space="preserve">CCAGCGCGTCATAGCGATAT</t>
  </si>
  <si>
    <t xml:space="preserve">TAGTCCAGCGCGTCATAGCGATAT</t>
  </si>
  <si>
    <t xml:space="preserve">AAACATATCGCTATGACGCGCTGG</t>
  </si>
  <si>
    <t xml:space="preserve">CTGTGCTCCGGGATCGACGA</t>
  </si>
  <si>
    <t xml:space="preserve">TAGTCTGTGCTCCGGGATCGACGA</t>
  </si>
  <si>
    <t xml:space="preserve">AAACTCGTCGATCCCGGAGCACAG</t>
  </si>
  <si>
    <t xml:space="preserve">CCTGTATCTCGACCGTCAAA</t>
  </si>
  <si>
    <t xml:space="preserve">TAGTCCTGTATCTCGACCGTCAAA</t>
  </si>
  <si>
    <t xml:space="preserve">AAACTTTGACGGTCGAGATACAGG</t>
  </si>
  <si>
    <t xml:space="preserve">PSPPH_1155</t>
  </si>
  <si>
    <t xml:space="preserve">CAGATCGTTCAGCAAATGCG</t>
  </si>
  <si>
    <t xml:space="preserve">TAGTCAGATCGTTCAGCAAATGCG</t>
  </si>
  <si>
    <t xml:space="preserve">AAACCGCATTTGCTGAACGATCTG</t>
  </si>
  <si>
    <t xml:space="preserve">AGTCATCGCCAAGCAACTGG</t>
  </si>
  <si>
    <t xml:space="preserve">TAGTAGTCATCGCCAAGCAACTGG</t>
  </si>
  <si>
    <t xml:space="preserve">AAACCCAGTTGCTTGGCGATGACT</t>
  </si>
  <si>
    <t xml:space="preserve">GTTCGGCAGCGGGGAGTGTG</t>
  </si>
  <si>
    <t xml:space="preserve">TAGTGTTCGGCAGCGGGGAGTGTG</t>
  </si>
  <si>
    <t xml:space="preserve">AAACCACACTCCCCGCTGCCGAAC</t>
  </si>
  <si>
    <t xml:space="preserve">TCTGGCCTTCCGGACGAGCC</t>
  </si>
  <si>
    <t xml:space="preserve">TAGTTCTGGCCTTCCGGACGAGCC</t>
  </si>
  <si>
    <t xml:space="preserve">AAACGGCTCGTCCGGAAGGCCAGA</t>
  </si>
  <si>
    <t xml:space="preserve">PSPPH_1156</t>
  </si>
  <si>
    <t xml:space="preserve">holC</t>
  </si>
  <si>
    <t xml:space="preserve">CAGGATGTAAAAATCGACTT</t>
  </si>
  <si>
    <t xml:space="preserve">TAGTCAGGATGTAAAAATCGACTT</t>
  </si>
  <si>
    <t xml:space="preserve">AAACAAGTCGATTTTTACATCCTG</t>
  </si>
  <si>
    <t xml:space="preserve">CGCGCGGCAGGATCGGCGCT</t>
  </si>
  <si>
    <t xml:space="preserve">TAGTCGCGCGGCAGGATCGGCGCT</t>
  </si>
  <si>
    <t xml:space="preserve">AAACAGCGCCGATCCTGCCGCGCG</t>
  </si>
  <si>
    <t xml:space="preserve">TGAGTTTGCAGGCAAAGTCC</t>
  </si>
  <si>
    <t xml:space="preserve">TAGTTGAGTTTGCAGGCAAAGTCC</t>
  </si>
  <si>
    <t xml:space="preserve">AAACGGACTTTGCCTGCAAACTCA</t>
  </si>
  <si>
    <t xml:space="preserve">GACCTTGTGGCCCAAACGCC</t>
  </si>
  <si>
    <t xml:space="preserve">TAGTGACCTTGTGGCCCAAACGCC</t>
  </si>
  <si>
    <t xml:space="preserve">AAACGGCGTTTGGGCCACAAGGTC</t>
  </si>
  <si>
    <t xml:space="preserve">PSPPH_1157</t>
  </si>
  <si>
    <t xml:space="preserve">pepA</t>
  </si>
  <si>
    <t xml:space="preserve">GTTTTCAAGGTGGATGCCCG</t>
  </si>
  <si>
    <t xml:space="preserve">TAGTGTTTTCAAGGTGGATGCCCG</t>
  </si>
  <si>
    <t xml:space="preserve">AAACCGGGCATCCACCTTGAAAAC</t>
  </si>
  <si>
    <t xml:space="preserve">TATGAATGATGTACGCGGGA</t>
  </si>
  <si>
    <t xml:space="preserve">TAGTTATGAATGATGTACGCGGGA</t>
  </si>
  <si>
    <t xml:space="preserve">AAACTCCCGCGTACATCATTCATA</t>
  </si>
  <si>
    <t xml:space="preserve">TTAACAACCAATTCCATGTG</t>
  </si>
  <si>
    <t xml:space="preserve">TAGTTTAACAACCAATTCCATGTG</t>
  </si>
  <si>
    <t xml:space="preserve">AAACCACATGGAATTGGTTGTTAA</t>
  </si>
  <si>
    <t xml:space="preserve">TTGCGGTTTTCAAGGTTTCT</t>
  </si>
  <si>
    <t xml:space="preserve">TAGTTTGCGGTTTTCAAGGTTTCT</t>
  </si>
  <si>
    <t xml:space="preserve">AAACAGAAACCTTGAAAACCGCAA</t>
  </si>
  <si>
    <t xml:space="preserve">PSPPH_1158</t>
  </si>
  <si>
    <t xml:space="preserve">GCACTTCTCGGGACAAATAA</t>
  </si>
  <si>
    <t xml:space="preserve">TAGTGCACTTCTCGGGACAAATAA</t>
  </si>
  <si>
    <t xml:space="preserve">AAACTTATTTGTCCCGAGAAGTGC</t>
  </si>
  <si>
    <t xml:space="preserve">CACCGGACGCGGCCTGCGCC</t>
  </si>
  <si>
    <t xml:space="preserve">TAGTCACCGGACGCGGCCTGCGCC</t>
  </si>
  <si>
    <t xml:space="preserve">AAACGGCGCAGGCCGCGTCCGGTG</t>
  </si>
  <si>
    <t xml:space="preserve">ATGATCAGGAACAGCACGCC</t>
  </si>
  <si>
    <t xml:space="preserve">TAGTATGATCAGGAACAGCACGCC</t>
  </si>
  <si>
    <t xml:space="preserve">AAACGGCGTGCTGTTCCTGATCAT</t>
  </si>
  <si>
    <t xml:space="preserve">CCTGCAGAAAGCCTGGCAGG</t>
  </si>
  <si>
    <t xml:space="preserve">TAGTCCTGCAGAAAGCCTGGCAGG</t>
  </si>
  <si>
    <t xml:space="preserve">AAACCCTGCCAGGCTTTCTGCAGG</t>
  </si>
  <si>
    <t xml:space="preserve">PSPPH_1159</t>
  </si>
  <si>
    <t xml:space="preserve">GAGGGCATCCGCCAGTGTGT</t>
  </si>
  <si>
    <t xml:space="preserve">TAGTGAGGGCATCCGCCAGTGTGT</t>
  </si>
  <si>
    <t xml:space="preserve">AAACACACACTGGCGGATGCCCTC</t>
  </si>
  <si>
    <t xml:space="preserve">GTCGTAGACACGCCGCGGCG</t>
  </si>
  <si>
    <t xml:space="preserve">TAGTGTCGTAGACACGCCGCGGCG</t>
  </si>
  <si>
    <t xml:space="preserve">AAACCGCCGCGGCGTGTCTACGAC</t>
  </si>
  <si>
    <t xml:space="preserve">GATCAGGGCAGCCATTGGCA</t>
  </si>
  <si>
    <t xml:space="preserve">TAGTGATCAGGGCAGCCATTGGCA</t>
  </si>
  <si>
    <t xml:space="preserve">AAACTGCCAATGGCTGCCCTGATC</t>
  </si>
  <si>
    <t xml:space="preserve">CCAGCGTACCCAGACCAATG</t>
  </si>
  <si>
    <t xml:space="preserve">TAGTCCAGCGTACCCAGACCAATG</t>
  </si>
  <si>
    <t xml:space="preserve">AAACCATTGGTCTGGGTACGCTGG</t>
  </si>
  <si>
    <t xml:space="preserve">PSPPH_1160</t>
  </si>
  <si>
    <t xml:space="preserve">AACAGATCCGGCCCGCTCTC</t>
  </si>
  <si>
    <t xml:space="preserve">TAGTAACAGATCCGGCCCGCTCTC</t>
  </si>
  <si>
    <t xml:space="preserve">AAACGAGAGCGGGCCGGATCTGTT</t>
  </si>
  <si>
    <t xml:space="preserve">AGCCGTTACCCTGAATGGCG</t>
  </si>
  <si>
    <t xml:space="preserve">TAGTAGCCGTTACCCTGAATGGCG</t>
  </si>
  <si>
    <t xml:space="preserve">AAACCGCCATTCAGGGTAACGGCT</t>
  </si>
  <si>
    <t xml:space="preserve">CGGCGACGAAGGTAACTTTC</t>
  </si>
  <si>
    <t xml:space="preserve">TAGTCGGCGACGAAGGTAACTTTC</t>
  </si>
  <si>
    <t xml:space="preserve">AAACGAAAGTTACCTTCGTCGCCG</t>
  </si>
  <si>
    <t xml:space="preserve">CATGCCTTTTTGGCCCTGCA</t>
  </si>
  <si>
    <t xml:space="preserve">TAGTCATGCCTTTTTGGCCCTGCA</t>
  </si>
  <si>
    <t xml:space="preserve">AAACTGCAGGGCCAAAAAGGCATG</t>
  </si>
  <si>
    <t xml:space="preserve">PSPPH_1161</t>
  </si>
  <si>
    <t xml:space="preserve">gcvT2</t>
  </si>
  <si>
    <t xml:space="preserve">AGTGGTCAGCAGGGTTTCTG</t>
  </si>
  <si>
    <t xml:space="preserve">TAGTAGTGGTCAGCAGGGTTTCTG</t>
  </si>
  <si>
    <t xml:space="preserve">AAACCAGAAACCCTGCTGACCACT</t>
  </si>
  <si>
    <t xml:space="preserve">TCGCGGTGAAGGGCGTGCAG</t>
  </si>
  <si>
    <t xml:space="preserve">TAGTTCGCGGTGAAGGGCGTGCAG</t>
  </si>
  <si>
    <t xml:space="preserve">AAACCTGCACGCCCTTCACCGCGA</t>
  </si>
  <si>
    <t xml:space="preserve">GGCATGTCGTAACCGGCGAA</t>
  </si>
  <si>
    <t xml:space="preserve">TAGTGGCATGTCGTAACCGGCGAA</t>
  </si>
  <si>
    <t xml:space="preserve">AAACTTCGCCGGTTACGACATGCC</t>
  </si>
  <si>
    <t xml:space="preserve">ACGCCAGCCGGGTATTGCAC</t>
  </si>
  <si>
    <t xml:space="preserve">TAGTACGCCAGCCGGGTATTGCAC</t>
  </si>
  <si>
    <t xml:space="preserve">AAACGTGCAATACCCGGCTGGCGT</t>
  </si>
  <si>
    <t xml:space="preserve">PSPPH_1162</t>
  </si>
  <si>
    <t xml:space="preserve">gcvP</t>
  </si>
  <si>
    <t xml:space="preserve">CAGTTCAATACGGTCAGTCA</t>
  </si>
  <si>
    <t xml:space="preserve">TAGTCAGTTCAATACGGTCAGTCA</t>
  </si>
  <si>
    <t xml:space="preserve">AAACTGACTGACCGTATTGAACTG</t>
  </si>
  <si>
    <t xml:space="preserve">GGCGATGAATTCGTTGGCAG</t>
  </si>
  <si>
    <t xml:space="preserve">TAGTGGCGATGAATTCGTTGGCAG</t>
  </si>
  <si>
    <t xml:space="preserve">AAACCTGCCAACGAATTCATCGCC</t>
  </si>
  <si>
    <t xml:space="preserve">AGCGCGCGGGCCAATGTGAC</t>
  </si>
  <si>
    <t xml:space="preserve">TAGTAGCGCGCGGGCCAATGTGAC</t>
  </si>
  <si>
    <t xml:space="preserve">AAACGTCACATTGGCCCGCGCGCT</t>
  </si>
  <si>
    <t xml:space="preserve">CTGTAACATGGCCTGTTCGT</t>
  </si>
  <si>
    <t xml:space="preserve">TAGTCTGTAACATGGCCTGTTCGT</t>
  </si>
  <si>
    <t xml:space="preserve">AAACACGAACAGGCCATGTTACAG</t>
  </si>
  <si>
    <t xml:space="preserve">PSPPH_1163</t>
  </si>
  <si>
    <t xml:space="preserve">gcvH2</t>
  </si>
  <si>
    <t xml:space="preserve">ACGCAGCCATTCATGGTCAA</t>
  </si>
  <si>
    <t xml:space="preserve">TAGTACGCAGCCATTCATGGTCAA</t>
  </si>
  <si>
    <t xml:space="preserve">AAACTTGACCATGAATGGCTGCGT</t>
  </si>
  <si>
    <t xml:space="preserve">CGTAATGCTGCCGTCGGCTT</t>
  </si>
  <si>
    <t xml:space="preserve">TAGTCGTAATGCTGCCGTCGGCTT</t>
  </si>
  <si>
    <t xml:space="preserve">AAACAAGCCGACGGCAGCATTACG</t>
  </si>
  <si>
    <t xml:space="preserve">CCCAGCGACTCTTGCGCATA</t>
  </si>
  <si>
    <t xml:space="preserve">TAGTCCCAGCGACTCTTGCGCATA</t>
  </si>
  <si>
    <t xml:space="preserve">AAACTATGCGCAAGAGTCGCTGGG</t>
  </si>
  <si>
    <t xml:space="preserve">CACTTCAGCGTGTTGAGTGT</t>
  </si>
  <si>
    <t xml:space="preserve">TAGTCACTTCAGCGTGTTGAGTGT</t>
  </si>
  <si>
    <t xml:space="preserve">AAACACACTCAACACGCTGAAGTG</t>
  </si>
  <si>
    <t xml:space="preserve">PSPPH_1164</t>
  </si>
  <si>
    <t xml:space="preserve">AGCGCACAGCGCTGACCGGG</t>
  </si>
  <si>
    <t xml:space="preserve">TAGTAGCGCACAGCGCTGACCGGG</t>
  </si>
  <si>
    <t xml:space="preserve">AAACCCCGGTCAGCGCTGTGCGCT</t>
  </si>
  <si>
    <t xml:space="preserve">CGATTTCGTTGCGAGGCGAG</t>
  </si>
  <si>
    <t xml:space="preserve">TAGTCGATTTCGTTGCGAGGCGAG</t>
  </si>
  <si>
    <t xml:space="preserve">AAACCTCGCCTCGCAACGAAATCG</t>
  </si>
  <si>
    <t xml:space="preserve">ATGGAGTGAAATCATTACAG</t>
  </si>
  <si>
    <t xml:space="preserve">TAGTATGGAGTGAAATCATTACAG</t>
  </si>
  <si>
    <t xml:space="preserve">AAACCTGTAATGATTTCACTCCAT</t>
  </si>
  <si>
    <t xml:space="preserve">GATCAAGGCCTTGATGCAAG</t>
  </si>
  <si>
    <t xml:space="preserve">TAGTGATCAAGGCCTTGATGCAAG</t>
  </si>
  <si>
    <t xml:space="preserve">AAACCTTGCATCAAGGCCTTGATC</t>
  </si>
  <si>
    <t xml:space="preserve">PSPPH_1165</t>
  </si>
  <si>
    <t xml:space="preserve">TGGCCAGCGCTTCGGTTTCC</t>
  </si>
  <si>
    <t xml:space="preserve">TAGTTGGCCAGCGCTTCGGTTTCC</t>
  </si>
  <si>
    <t xml:space="preserve">AAACGGAAACCGAAGCGCTGGCCA</t>
  </si>
  <si>
    <t xml:space="preserve">TTCGCGCAGTTCTGGACGAC</t>
  </si>
  <si>
    <t xml:space="preserve">TAGTTTCGCGCAGTTCTGGACGAC</t>
  </si>
  <si>
    <t xml:space="preserve">AAACGTCGTCCAGAACTGCGCGAA</t>
  </si>
  <si>
    <t xml:space="preserve">CGGCCGAGCTGATACGGGTT</t>
  </si>
  <si>
    <t xml:space="preserve">TAGTCGGCCGAGCTGATACGGGTT</t>
  </si>
  <si>
    <t xml:space="preserve">AAACAACCCGTATCAGCTCGGCCG</t>
  </si>
  <si>
    <t xml:space="preserve">CAGCATGGCCTTGCGGGTTT</t>
  </si>
  <si>
    <t xml:space="preserve">TAGTCAGCATGGCCTTGCGGGTTT</t>
  </si>
  <si>
    <t xml:space="preserve">AAACAAACCCGCAAGGCCATGCTG</t>
  </si>
  <si>
    <t xml:space="preserve">PSPPH_1166</t>
  </si>
  <si>
    <t xml:space="preserve">CAGGATGGTTGCGGCGCTCT</t>
  </si>
  <si>
    <t xml:space="preserve">TAGTCAGGATGGTTGCGGCGCTCT</t>
  </si>
  <si>
    <t xml:space="preserve">AAACAGAGCGCCGCAACCATCCTG</t>
  </si>
  <si>
    <t xml:space="preserve">CCTCCAGCAGGTCCCGGACA</t>
  </si>
  <si>
    <t xml:space="preserve">TAGTCCTCCAGCAGGTCCCGGACA</t>
  </si>
  <si>
    <t xml:space="preserve">AAACTGTCCGGGACCTGCTGGAGG</t>
  </si>
  <si>
    <t xml:space="preserve">AGGCGCTTGTAGTTCGACCA</t>
  </si>
  <si>
    <t xml:space="preserve">TAGTAGGCGCTTGTAGTTCGACCA</t>
  </si>
  <si>
    <t xml:space="preserve">AAACTGGTCGAACTACAAGCGCCT</t>
  </si>
  <si>
    <t xml:space="preserve">CTTGCTGGCCTTGAGCTGAC</t>
  </si>
  <si>
    <t xml:space="preserve">TAGTCTTGCTGGCCTTGAGCTGAC</t>
  </si>
  <si>
    <t xml:space="preserve">AAACGTCAGCTCAAGGCCAGCAAG</t>
  </si>
  <si>
    <t xml:space="preserve">PSPPH_1167</t>
  </si>
  <si>
    <t xml:space="preserve">TGGTCAATAACAGCTCCGTC</t>
  </si>
  <si>
    <t xml:space="preserve">TAGTTGGTCAATAACAGCTCCGTC</t>
  </si>
  <si>
    <t xml:space="preserve">AAACGACGGAGCTGTTATTGACCA</t>
  </si>
  <si>
    <t xml:space="preserve">CAGTACGCTGTGACCGGCGC</t>
  </si>
  <si>
    <t xml:space="preserve">TAGTCAGTACGCTGTGACCGGCGC</t>
  </si>
  <si>
    <t xml:space="preserve">AAACGCGCCGGTCACAGCGTACTG</t>
  </si>
  <si>
    <t xml:space="preserve">GACGCTCACGGGCCAGTTTC</t>
  </si>
  <si>
    <t xml:space="preserve">TAGTGACGCTCACGGGCCAGTTTC</t>
  </si>
  <si>
    <t xml:space="preserve">AAACGAAACTGGCCCGTGAGCGTC</t>
  </si>
  <si>
    <t xml:space="preserve">AATATCCATCAGAATCAGGT</t>
  </si>
  <si>
    <t xml:space="preserve">TAGTAATATCCATCAGAATCAGGT</t>
  </si>
  <si>
    <t xml:space="preserve">AAACACCTGATTCTGATGGATATT</t>
  </si>
  <si>
    <t xml:space="preserve">PSPPH_1168</t>
  </si>
  <si>
    <t xml:space="preserve">AAGCGGGCGGTCTGCTGGCG</t>
  </si>
  <si>
    <t xml:space="preserve">TAGTAAGCGGGCGGTCTGCTGGCG</t>
  </si>
  <si>
    <t xml:space="preserve">AAACCGCCAGCAGACCGCCCGCTT</t>
  </si>
  <si>
    <t xml:space="preserve">TTCAGCACGAGACTGAGAAT</t>
  </si>
  <si>
    <t xml:space="preserve">TAGTTTCAGCACGAGACTGAGAAT</t>
  </si>
  <si>
    <t xml:space="preserve">AAACATTCTCAGTCTCGTGCTGAA</t>
  </si>
  <si>
    <t xml:space="preserve">TTTTGAGCAGGATTTTCTGA</t>
  </si>
  <si>
    <t xml:space="preserve">TAGTTTTTGAGCAGGATTTTCTGA</t>
  </si>
  <si>
    <t xml:space="preserve">AAACTCAGAAAATCCTGCTCAAAA</t>
  </si>
  <si>
    <t xml:space="preserve">AATCGCGTCCTGCAGCGCGC</t>
  </si>
  <si>
    <t xml:space="preserve">TAGTAATCGCGTCCTGCAGCGCGC</t>
  </si>
  <si>
    <t xml:space="preserve">AAACGCGCGCTGCAGGACGCGATT</t>
  </si>
  <si>
    <t xml:space="preserve">PSPPH_1169</t>
  </si>
  <si>
    <t xml:space="preserve">CGCGGTCGATGAAGCTGACA</t>
  </si>
  <si>
    <t xml:space="preserve">TAGTCGCGGTCGATGAAGCTGACA</t>
  </si>
  <si>
    <t xml:space="preserve">AAACTGTCAGCTTCATCGACCGCG</t>
  </si>
  <si>
    <t xml:space="preserve">CAGGATCGCCAGCACTTCCT</t>
  </si>
  <si>
    <t xml:space="preserve">TAGTCAGGATCGCCAGCACTTCCT</t>
  </si>
  <si>
    <t xml:space="preserve">AAACAGGAAGTGCTGGCGATCCTG</t>
  </si>
  <si>
    <t xml:space="preserve">ATTGGGCGGTACCATCTCCA</t>
  </si>
  <si>
    <t xml:space="preserve">TAGTATTGGGCGGTACCATCTCCA</t>
  </si>
  <si>
    <t xml:space="preserve">AAACTGGAGATGGTACCGCCCAAT</t>
  </si>
  <si>
    <t xml:space="preserve">AGCATCTGGTGGCTGAGGGT</t>
  </si>
  <si>
    <t xml:space="preserve">TAGTAGCATCTGGTGGCTGAGGGT</t>
  </si>
  <si>
    <t xml:space="preserve">AAACACCCTCAGCCACCAGATGCT</t>
  </si>
  <si>
    <t xml:space="preserve">PSPPH_1170</t>
  </si>
  <si>
    <t xml:space="preserve">TGGGTGAGGTGCAGATGGCC</t>
  </si>
  <si>
    <t xml:space="preserve">TAGTTGGGTGAGGTGCAGATGGCC</t>
  </si>
  <si>
    <t xml:space="preserve">AAACGGCCATCTGCACCTCACCCA</t>
  </si>
  <si>
    <t xml:space="preserve">CCGACGGTTGAAGCGCCACG</t>
  </si>
  <si>
    <t xml:space="preserve">TAGTCCGACGGTTGAAGCGCCACG</t>
  </si>
  <si>
    <t xml:space="preserve">AAACCGTGGCGCTTCAACCGTCGG</t>
  </si>
  <si>
    <t xml:space="preserve">CCTCCACATTGTAGCGCAAG</t>
  </si>
  <si>
    <t xml:space="preserve">TAGTCCTCCACATTGTAGCGCAAG</t>
  </si>
  <si>
    <t xml:space="preserve">AAACCTTGCGCTACAATGTGGAGG</t>
  </si>
  <si>
    <t xml:space="preserve">TGCATGGACGTGCCTTGCTT</t>
  </si>
  <si>
    <t xml:space="preserve">TAGTTGCATGGACGTGCCTTGCTT</t>
  </si>
  <si>
    <t xml:space="preserve">AAACAAGCAAGGCACGTCCATGCA</t>
  </si>
  <si>
    <t xml:space="preserve">PSPPH_1171</t>
  </si>
  <si>
    <t xml:space="preserve">CCGGCCAGCTTAACAGCACC</t>
  </si>
  <si>
    <t xml:space="preserve">TAGTCCGGCCAGCTTAACAGCACC</t>
  </si>
  <si>
    <t xml:space="preserve">AAACGGTGCTGTTAAGCTGGCCGG</t>
  </si>
  <si>
    <t xml:space="preserve">GGTCTCTACAGGCAGGTTCG</t>
  </si>
  <si>
    <t xml:space="preserve">TAGTGGTCTCTACAGGCAGGTTCG</t>
  </si>
  <si>
    <t xml:space="preserve">AAACCGAACCTGCCTGTAGAGACC</t>
  </si>
  <si>
    <t xml:space="preserve">GCCGGGTGGTTTGTACGTCA</t>
  </si>
  <si>
    <t xml:space="preserve">TAGTGCCGGGTGGTTTGTACGTCA</t>
  </si>
  <si>
    <t xml:space="preserve">AAACTGACGTACAAACCACCCGGC</t>
  </si>
  <si>
    <t xml:space="preserve">AGGCGAGGATGCCGTATAAA</t>
  </si>
  <si>
    <t xml:space="preserve">TAGTAGGCGAGGATGCCGTATAAA</t>
  </si>
  <si>
    <t xml:space="preserve">AAACTTTATACGGCATCCTCGCCT</t>
  </si>
  <si>
    <t xml:space="preserve">PSPPH_1172</t>
  </si>
  <si>
    <t xml:space="preserve">AGTCGGTCGGTTCTGATCAA</t>
  </si>
  <si>
    <t xml:space="preserve">TAGTAGTCGGTCGGTTCTGATCAA</t>
  </si>
  <si>
    <t xml:space="preserve">AAACTTGATCAGAACCGACCGACT</t>
  </si>
  <si>
    <t xml:space="preserve">GCGCGTGGGTGATCTGGCTC</t>
  </si>
  <si>
    <t xml:space="preserve">TAGTGCGCGTGGGTGATCTGGCTC</t>
  </si>
  <si>
    <t xml:space="preserve">AAACGAGCCAGATCACCCACGCGC</t>
  </si>
  <si>
    <t xml:space="preserve">GCCTTGTCGAGCTGTTCGTG</t>
  </si>
  <si>
    <t xml:space="preserve">TAGTGCCTTGTCGAGCTGTTCGTG</t>
  </si>
  <si>
    <t xml:space="preserve">AAACCACGAACAGCTCGACAAGGC</t>
  </si>
  <si>
    <t xml:space="preserve">TAGCTGGCCAGGGTTTCAAA</t>
  </si>
  <si>
    <t xml:space="preserve">TAGTTAGCTGGCCAGGGTTTCAAA</t>
  </si>
  <si>
    <t xml:space="preserve">AAACTTTGAAACCCTGGCCAGCTA</t>
  </si>
  <si>
    <t xml:space="preserve">PSPPH_1173</t>
  </si>
  <si>
    <t xml:space="preserve">GGCGTGAACGTGGATGACAT</t>
  </si>
  <si>
    <t xml:space="preserve">TAGTGGCGTGAACGTGGATGACAT</t>
  </si>
  <si>
    <t xml:space="preserve">AAACATGTCATCCACGTTCACGCC</t>
  </si>
  <si>
    <t xml:space="preserve">CGTACGCGTGGTTGGGCGGC</t>
  </si>
  <si>
    <t xml:space="preserve">TAGTCGTACGCGTGGTTGGGCGGC</t>
  </si>
  <si>
    <t xml:space="preserve">AAACGCCGCCCAACCACGCGTACG</t>
  </si>
  <si>
    <t xml:space="preserve">GGCGTTGACCGTCTGTAGAC</t>
  </si>
  <si>
    <t xml:space="preserve">TAGTGGCGTTGACCGTCTGTAGAC</t>
  </si>
  <si>
    <t xml:space="preserve">AAACGTCTACAGACGGTCAACGCC</t>
  </si>
  <si>
    <t xml:space="preserve">GGTGCTTTCACTGGCAGCAC</t>
  </si>
  <si>
    <t xml:space="preserve">TAGTGGTGCTTTCACTGGCAGCAC</t>
  </si>
  <si>
    <t xml:space="preserve">AAACGTGCTGCCAGTGAAAGCACC</t>
  </si>
  <si>
    <t xml:space="preserve">PSPPH_1174</t>
  </si>
  <si>
    <t xml:space="preserve">GTGCGGGCGTTCGGTTCTCG</t>
  </si>
  <si>
    <t xml:space="preserve">TAGTGTGCGGGCGTTCGGTTCTCG</t>
  </si>
  <si>
    <t xml:space="preserve">AAACCGAGAACCGAACGCCCGCAC</t>
  </si>
  <si>
    <t xml:space="preserve">GCCTTCCAGTTCGACCAGCC</t>
  </si>
  <si>
    <t xml:space="preserve">TAGTGCCTTCCAGTTCGACCAGCC</t>
  </si>
  <si>
    <t xml:space="preserve">AAACGGCTGGTCGAACTGGAAGGC</t>
  </si>
  <si>
    <t xml:space="preserve">CTGAAAACGGGCAAGCCGGG</t>
  </si>
  <si>
    <t xml:space="preserve">TAGTCTGAAAACGGGCAAGCCGGG</t>
  </si>
  <si>
    <t xml:space="preserve">AAACCCCGGCTTGCCCGTTTTCAG</t>
  </si>
  <si>
    <t xml:space="preserve">GGCGCGTGCGTGTTCCGGAT</t>
  </si>
  <si>
    <t xml:space="preserve">TAGTGGCGCGTGCGTGTTCCGGAT</t>
  </si>
  <si>
    <t xml:space="preserve">AAACATCCGGAACACGCACGCGCC</t>
  </si>
  <si>
    <t xml:space="preserve">PSPPH_1175</t>
  </si>
  <si>
    <t xml:space="preserve">AGCGTGACTGCGACACAGAG</t>
  </si>
  <si>
    <t xml:space="preserve">TAGTAGCGTGACTGCGACACAGAG</t>
  </si>
  <si>
    <t xml:space="preserve">AAACCTCTGTGTCGCAGTCACGCT</t>
  </si>
  <si>
    <t xml:space="preserve">GCGTAGCAGAACCGGGCGCT</t>
  </si>
  <si>
    <t xml:space="preserve">TAGTGCGTAGCAGAACCGGGCGCT</t>
  </si>
  <si>
    <t xml:space="preserve">AAACAGCGCCCGGTTCTGCTACGC</t>
  </si>
  <si>
    <t xml:space="preserve">GTTGCCGACCATGCGTTGCA</t>
  </si>
  <si>
    <t xml:space="preserve">TAGTGTTGCCGACCATGCGTTGCA</t>
  </si>
  <si>
    <t xml:space="preserve">AAACTGCAACGCATGGTCGGCAAC</t>
  </si>
  <si>
    <t xml:space="preserve">GCAGGTCTTCGGCAGCGTTT</t>
  </si>
  <si>
    <t xml:space="preserve">TAGTGCAGGTCTTCGGCAGCGTTT</t>
  </si>
  <si>
    <t xml:space="preserve">AAACAAACGCTGCCGAAGACCTGC</t>
  </si>
  <si>
    <t xml:space="preserve">PSPPH_1176</t>
  </si>
  <si>
    <t xml:space="preserve">gap1</t>
  </si>
  <si>
    <t xml:space="preserve">GTAGGACGTTGCGGCCGATG</t>
  </si>
  <si>
    <t xml:space="preserve">TAGTGTAGGACGTTGCGGCCGATG</t>
  </si>
  <si>
    <t xml:space="preserve">AAACCATCGGCCGCAACGTCCTAC</t>
  </si>
  <si>
    <t xml:space="preserve">GCAGGTCCTGGCGGTAGCCT</t>
  </si>
  <si>
    <t xml:space="preserve">TAGTGCAGGTCCTGGCGGTAGCCT</t>
  </si>
  <si>
    <t xml:space="preserve">AAACAGGCTACCGCCAGGACCTGC</t>
  </si>
  <si>
    <t xml:space="preserve">GCTGTCGCCAAGATCGTTGA</t>
  </si>
  <si>
    <t xml:space="preserve">TAGTGCTGTCGCCAAGATCGTTGA</t>
  </si>
  <si>
    <t xml:space="preserve">AAACTCAACGATCTTGGCGACAGC</t>
  </si>
  <si>
    <t xml:space="preserve">GTACGGTGTCGAAGCGCAGC</t>
  </si>
  <si>
    <t xml:space="preserve">TAGTGTACGGTGTCGAAGCGCAGC</t>
  </si>
  <si>
    <t xml:space="preserve">AAACGCTGCGCTTCGACACCGTAC</t>
  </si>
  <si>
    <t xml:space="preserve">PSPPH_1177</t>
  </si>
  <si>
    <t xml:space="preserve">edd</t>
  </si>
  <si>
    <t xml:space="preserve">TCGGTTACTTCAAGGACGCG</t>
  </si>
  <si>
    <t xml:space="preserve">TAGTTCGGTTACTTCAAGGACGCG</t>
  </si>
  <si>
    <t xml:space="preserve">AAACCGCGTCCTTGAAGTAACCGA</t>
  </si>
  <si>
    <t xml:space="preserve">CTGACGGGTATCGCGACTGC</t>
  </si>
  <si>
    <t xml:space="preserve">TAGTCTGACGGGTATCGCGACTGC</t>
  </si>
  <si>
    <t xml:space="preserve">AAACGCAGTCGCGATACCCGTCAG</t>
  </si>
  <si>
    <t xml:space="preserve">CTGCGCCGCGAATCAATTGA</t>
  </si>
  <si>
    <t xml:space="preserve">TAGTCTGCGCCGCGAATCAATTGA</t>
  </si>
  <si>
    <t xml:space="preserve">AAACTCAATTGATTCGCGGCGCAG</t>
  </si>
  <si>
    <t xml:space="preserve">ATTGAAGCTTGCCGCGCATC</t>
  </si>
  <si>
    <t xml:space="preserve">TAGTATTGAAGCTTGCCGCGCATC</t>
  </si>
  <si>
    <t xml:space="preserve">AAACGATGCGCGGCAAGCTTCAAT</t>
  </si>
  <si>
    <t xml:space="preserve">PSPPH_1178</t>
  </si>
  <si>
    <t xml:space="preserve">glk</t>
  </si>
  <si>
    <t xml:space="preserve">ACCGCCTATATCACCGACCA</t>
  </si>
  <si>
    <t xml:space="preserve">TAGTACCGCCTATATCACCGACCA</t>
  </si>
  <si>
    <t xml:space="preserve">AAACTGGTCGGTGATATAGGCGGT</t>
  </si>
  <si>
    <t xml:space="preserve">CCAAATGGCAAAACGTGCAT</t>
  </si>
  <si>
    <t xml:space="preserve">TAGTCCAAATGGCAAAACGTGCAT</t>
  </si>
  <si>
    <t xml:space="preserve">AAACATGCACGTTTTGCCATTTGG</t>
  </si>
  <si>
    <t xml:space="preserve">AGTCAATGGTCGGGAATACC</t>
  </si>
  <si>
    <t xml:space="preserve">TAGTAGTCAATGGTCGGGAATACC</t>
  </si>
  <si>
    <t xml:space="preserve">AAACGGTATTCCCGACCATTGACT</t>
  </si>
  <si>
    <t xml:space="preserve">TTCGATGGCCTTTTCCGGGC</t>
  </si>
  <si>
    <t xml:space="preserve">TAGTTTCGATGGCCTTTTCCGGGC</t>
  </si>
  <si>
    <t xml:space="preserve">AAACGCCCGGAAAAGGCCATCGAA</t>
  </si>
  <si>
    <t xml:space="preserve">PSPPH_1179</t>
  </si>
  <si>
    <t xml:space="preserve">gltR</t>
  </si>
  <si>
    <t xml:space="preserve">AAAACCGGCACGACTCAGGT</t>
  </si>
  <si>
    <t xml:space="preserve">TAGTAAAACCGGCACGACTCAGGT</t>
  </si>
  <si>
    <t xml:space="preserve">AAACACCTGAGTCGTGCCGGTTTT</t>
  </si>
  <si>
    <t xml:space="preserve">TGGGTTCTTCGTTGAAGGCG</t>
  </si>
  <si>
    <t xml:space="preserve">TAGTTGGGTTCTTCGTTGAAGGCG</t>
  </si>
  <si>
    <t xml:space="preserve">AAACCGCCTTCAACGAAGAACCCA</t>
  </si>
  <si>
    <t xml:space="preserve">ATCAAGGATCAGCAAATCAC</t>
  </si>
  <si>
    <t xml:space="preserve">TAGTATCAAGGATCAGCAAATCAC</t>
  </si>
  <si>
    <t xml:space="preserve">AAACGTGATTTGCTGATCCTTGAT</t>
  </si>
  <si>
    <t xml:space="preserve">AGACTGAAACCGTCTTCATC</t>
  </si>
  <si>
    <t xml:space="preserve">TAGTAGACTGAAACCGTCTTCATC</t>
  </si>
  <si>
    <t xml:space="preserve">AAACGATGAAGACGGTTTCAGTCT</t>
  </si>
  <si>
    <t xml:space="preserve">PSPPH_1180</t>
  </si>
  <si>
    <t xml:space="preserve">GTTCTTTTCGCTCCTGCCAC</t>
  </si>
  <si>
    <t xml:space="preserve">TAGTGTTCTTTTCGCTCCTGCCAC</t>
  </si>
  <si>
    <t xml:space="preserve">AAACGTGGCAGGAGCGAAAAGAAC</t>
  </si>
  <si>
    <t xml:space="preserve">TGAGCGCGGCAGTGGCAGGC</t>
  </si>
  <si>
    <t xml:space="preserve">TAGTTGAGCGCGGCAGTGGCAGGC</t>
  </si>
  <si>
    <t xml:space="preserve">AAACGCCTGCCACTGCCGCGCTCA</t>
  </si>
  <si>
    <t xml:space="preserve">CTGTGAGAGCCAGATCACAC</t>
  </si>
  <si>
    <t xml:space="preserve">TAGTCTGTGAGAGCCAGATCACAC</t>
  </si>
  <si>
    <t xml:space="preserve">AAACGTGTGATCTGGCTCTCACAG</t>
  </si>
  <si>
    <t xml:space="preserve">CACCAGCCCTTCGGTCTGTG</t>
  </si>
  <si>
    <t xml:space="preserve">TAGTCACCAGCCCTTCGGTCTGTG</t>
  </si>
  <si>
    <t xml:space="preserve">AAACCACAGACCGAAGGGCTGGTG</t>
  </si>
  <si>
    <t xml:space="preserve">PSPPH_1181</t>
  </si>
  <si>
    <t xml:space="preserve">GACAACAGCGAGACGTGACA</t>
  </si>
  <si>
    <t xml:space="preserve">TAGTGACAACAGCGAGACGTGACA</t>
  </si>
  <si>
    <t xml:space="preserve">AAACTGTCACGTCTCGCTGTTGTC</t>
  </si>
  <si>
    <t xml:space="preserve">CAGCGGCAGTAGCGCTCAGA</t>
  </si>
  <si>
    <t xml:space="preserve">TAGTCAGCGGCAGTAGCGCTCAGA</t>
  </si>
  <si>
    <t xml:space="preserve">AAACTCTGAGCGCTACTGCCGCTG</t>
  </si>
  <si>
    <t xml:space="preserve">CACAACTTCTACAGTGCCTT</t>
  </si>
  <si>
    <t xml:space="preserve">TAGTCACAACTTCTACAGTGCCTT</t>
  </si>
  <si>
    <t xml:space="preserve">AAACAAGGCACTGTAGAAGTTGTG</t>
  </si>
  <si>
    <t xml:space="preserve">GGAACCGCCACCGCCGGCGA</t>
  </si>
  <si>
    <t xml:space="preserve">TAGTGGAACCGCCACCGCCGGCGA</t>
  </si>
  <si>
    <t xml:space="preserve">AAACTCGCCGGCGGTGGCGGTTCC</t>
  </si>
  <si>
    <t xml:space="preserve">PSPPH_1182</t>
  </si>
  <si>
    <t xml:space="preserve">ATCGCAGCGACAGAGCTCAT</t>
  </si>
  <si>
    <t xml:space="preserve">TAGTATCGCAGCGACAGAGCTCAT</t>
  </si>
  <si>
    <t xml:space="preserve">AAACATGAGCTCTGTCGCTGCGAT</t>
  </si>
  <si>
    <t xml:space="preserve">TTGCAGCGCATCCATTGGCG</t>
  </si>
  <si>
    <t xml:space="preserve">TAGTTTGCAGCGCATCCATTGGCG</t>
  </si>
  <si>
    <t xml:space="preserve">AAACCGCCAATGGATGCGCTGCAA</t>
  </si>
  <si>
    <t xml:space="preserve">CTGGGTGCCAGCACCAGTTT</t>
  </si>
  <si>
    <t xml:space="preserve">TAGTCTGGGTGCCAGCACCAGTTT</t>
  </si>
  <si>
    <t xml:space="preserve">AAACAAACTGGTGCTGGCACCCAG</t>
  </si>
  <si>
    <t xml:space="preserve">ACGAAAGCGCGAATGTCCAG</t>
  </si>
  <si>
    <t xml:space="preserve">TAGTACGAAAGCGCGAATGTCCAG</t>
  </si>
  <si>
    <t xml:space="preserve">AAACCTGGACATTCGCGCTTTCGT</t>
  </si>
  <si>
    <t xml:space="preserve">PSPPH_1183</t>
  </si>
  <si>
    <t xml:space="preserve">ATACGACTGAAGCTGATGCC</t>
  </si>
  <si>
    <t xml:space="preserve">TAGTATACGACTGAAGCTGATGCC</t>
  </si>
  <si>
    <t xml:space="preserve">AAACGGCATCAGCTTCAGTCGTAT</t>
  </si>
  <si>
    <t xml:space="preserve">CAGACAGGCCAGTATCAGCA</t>
  </si>
  <si>
    <t xml:space="preserve">TAGTCAGACAGGCCAGTATCAGCA</t>
  </si>
  <si>
    <t xml:space="preserve">AAACTGCTGATACTGGCCTGTCTG</t>
  </si>
  <si>
    <t xml:space="preserve">GTGAACAGCATCACCACCAG</t>
  </si>
  <si>
    <t xml:space="preserve">TAGTGTGAACAGCATCACCACCAG</t>
  </si>
  <si>
    <t xml:space="preserve">AAACCTGGTGGTGATGCTGTTCAC</t>
  </si>
  <si>
    <t xml:space="preserve">GTCTTCGGGGGTCTTGAAGC</t>
  </si>
  <si>
    <t xml:space="preserve">TAGTGTCTTCGGGGGTCTTGAAGC</t>
  </si>
  <si>
    <t xml:space="preserve">AAACGCTTCAAGACCCCCGAAGAC</t>
  </si>
  <si>
    <t xml:space="preserve">PSPPH_1184</t>
  </si>
  <si>
    <t xml:space="preserve">gltK</t>
  </si>
  <si>
    <t xml:space="preserve">GTCCGGCAAGTTGCTGCCGT</t>
  </si>
  <si>
    <t xml:space="preserve">TAGTGTCCGGCAAGTTGCTGCCGT</t>
  </si>
  <si>
    <t xml:space="preserve">AAACACGGCAGCAACTTGCCGGAC</t>
  </si>
  <si>
    <t xml:space="preserve">ACTCGCCATCCTTGATCGAC</t>
  </si>
  <si>
    <t xml:space="preserve">TAGTACTCGCCATCCTTGATCGAC</t>
  </si>
  <si>
    <t xml:space="preserve">AAACGTCGATCAAGGATGGCGAGT</t>
  </si>
  <si>
    <t xml:space="preserve">GGCAATGCAGTTCATCAAGG</t>
  </si>
  <si>
    <t xml:space="preserve">TAGTGGCAATGCAGTTCATCAAGG</t>
  </si>
  <si>
    <t xml:space="preserve">AAACCCTTGATGAACTGCATTGCC</t>
  </si>
  <si>
    <t xml:space="preserve">GCCGCTGATGCTTTCCAGAC</t>
  </si>
  <si>
    <t xml:space="preserve">TAGTGCCGCTGATGCTTTCCAGAC</t>
  </si>
  <si>
    <t xml:space="preserve">AAACGTCTGGAAAGCATCAGCGGC</t>
  </si>
  <si>
    <t xml:space="preserve">PSPPH_1185</t>
  </si>
  <si>
    <t xml:space="preserve">oprB</t>
  </si>
  <si>
    <t xml:space="preserve">CGTGCTTACCAACTGGAACC</t>
  </si>
  <si>
    <t xml:space="preserve">TAGTCGTGCTTACCAACTGGAACC</t>
  </si>
  <si>
    <t xml:space="preserve">AAACGGTTCCAGTTGGTAAGCACG</t>
  </si>
  <si>
    <t xml:space="preserve">TGAATCGGCAGAAAATGCGT</t>
  </si>
  <si>
    <t xml:space="preserve">TAGTTGAATCGGCAGAAAATGCGT</t>
  </si>
  <si>
    <t xml:space="preserve">AAACACGCATTTTCTGCCGATTCA</t>
  </si>
  <si>
    <t xml:space="preserve">TTCCAGTCGCCAGTCATCCA</t>
  </si>
  <si>
    <t xml:space="preserve">TAGTTTCCAGTCGCCAGTCATCCA</t>
  </si>
  <si>
    <t xml:space="preserve">AAACTGGATGACTGGCGACTGGAA</t>
  </si>
  <si>
    <t xml:space="preserve">ATAGCCCTTGTCGAGCAGTT</t>
  </si>
  <si>
    <t xml:space="preserve">TAGTATAGCCCTTGTCGAGCAGTT</t>
  </si>
  <si>
    <t xml:space="preserve">AAACAACTGCTCGACAAGGGCTAT</t>
  </si>
  <si>
    <t xml:space="preserve">PSPPH_1186</t>
  </si>
  <si>
    <t xml:space="preserve">AGGCAGTTGCGCGTCGAGAG</t>
  </si>
  <si>
    <t xml:space="preserve">TAGTAGGCAGTTGCGCGTCGAGAG</t>
  </si>
  <si>
    <t xml:space="preserve">AAACCTCTCGACGCGCAACTGCCT</t>
  </si>
  <si>
    <t xml:space="preserve">AAGCGTTGCAATGGATGCTC</t>
  </si>
  <si>
    <t xml:space="preserve">TAGTAAGCGTTGCAATGGATGCTC</t>
  </si>
  <si>
    <t xml:space="preserve">AAACGAGCATCCATTGCAACGCTT</t>
  </si>
  <si>
    <t xml:space="preserve">TGGGTCTGGCACGTCGGGAT</t>
  </si>
  <si>
    <t xml:space="preserve">TAGTTGGGTCTGGCACGTCGGGAT</t>
  </si>
  <si>
    <t xml:space="preserve">AAACATCCCGACGTGCCAGACCCA</t>
  </si>
  <si>
    <t xml:space="preserve">GTGACGCTCCCACTCGAAAG</t>
  </si>
  <si>
    <t xml:space="preserve">TAGTGTGACGCTCCCACTCGAAAG</t>
  </si>
  <si>
    <t xml:space="preserve">AAACCTTTCGAGTGGGAGCGTCAC</t>
  </si>
  <si>
    <t xml:space="preserve">PSPPH_1187</t>
  </si>
  <si>
    <t xml:space="preserve">hexR</t>
  </si>
  <si>
    <t xml:space="preserve">GCTCCAGGAGGTTTCTTACG</t>
  </si>
  <si>
    <t xml:space="preserve">TAGTGCTCCAGGAGGTTTCTTACG</t>
  </si>
  <si>
    <t xml:space="preserve">AAACCGTAAGAAACCTCCTGGAGC</t>
  </si>
  <si>
    <t xml:space="preserve">TCAACTCATCGAGTCGGCCC</t>
  </si>
  <si>
    <t xml:space="preserve">TAGTTCAACTCATCGAGTCGGCCC</t>
  </si>
  <si>
    <t xml:space="preserve">AAACGGGCCGACTCGATGAGTTGA</t>
  </si>
  <si>
    <t xml:space="preserve">CACTTCGGCCACCTTGCGCT</t>
  </si>
  <si>
    <t xml:space="preserve">TAGTCACTTCGGCCACCTTGCGCT</t>
  </si>
  <si>
    <t xml:space="preserve">AAACAGCGCAAGGTGGCCGAAGTG</t>
  </si>
  <si>
    <t xml:space="preserve">TCAGCCGCGTTGCCATCTGC</t>
  </si>
  <si>
    <t xml:space="preserve">TAGTTCAGCCGCGTTGCCATCTGC</t>
  </si>
  <si>
    <t xml:space="preserve">AAACGCAGATGGCAACGCGGCTGA</t>
  </si>
  <si>
    <t xml:space="preserve">PSPPH_1188</t>
  </si>
  <si>
    <t xml:space="preserve">zwf1</t>
  </si>
  <si>
    <t xml:space="preserve">CACGGTTCAACCGTAATCAA</t>
  </si>
  <si>
    <t xml:space="preserve">TAGTCACGGTTCAACCGTAATCAA</t>
  </si>
  <si>
    <t xml:space="preserve">AAACTTGATTACGGTTGAACCGTG</t>
  </si>
  <si>
    <t xml:space="preserve">GTCCCCCAGGGCACCAAACA</t>
  </si>
  <si>
    <t xml:space="preserve">TAGTGTCCCCCAGGGCACCAAACA</t>
  </si>
  <si>
    <t xml:space="preserve">AAACTGTTTGGTGCCCTGGGGGAC</t>
  </si>
  <si>
    <t xml:space="preserve">GGAACAGCTTGCGTACCGCC</t>
  </si>
  <si>
    <t xml:space="preserve">TAGTGGAACAGCTTGCGTACCGCC</t>
  </si>
  <si>
    <t xml:space="preserve">AAACGGCGGTACGCAAGCTGTTCC</t>
  </si>
  <si>
    <t xml:space="preserve">GATCAAGCTGATAAAGAGCC</t>
  </si>
  <si>
    <t xml:space="preserve">TAGTGATCAAGCTGATAAAGAGCC</t>
  </si>
  <si>
    <t xml:space="preserve">AAACGGCTCTTTATCAGCTTGATC</t>
  </si>
  <si>
    <t xml:space="preserve">PSPPH_1189</t>
  </si>
  <si>
    <t xml:space="preserve">pgl</t>
  </si>
  <si>
    <t xml:space="preserve">CCAGCCCTGCTGGCAGCTCA</t>
  </si>
  <si>
    <t xml:space="preserve">TAGTCCAGCCCTGCTGGCAGCTCA</t>
  </si>
  <si>
    <t xml:space="preserve">AAACTGAGCTGCCAGCAGGGCTGG</t>
  </si>
  <si>
    <t xml:space="preserve">AGCGCATCAGCCAGTTGCTG</t>
  </si>
  <si>
    <t xml:space="preserve">TAGTAGCGCATCAGCCAGTTGCTG</t>
  </si>
  <si>
    <t xml:space="preserve">AAACCAGCAACTGGCTGATGCGCT</t>
  </si>
  <si>
    <t xml:space="preserve">AATTGCCTGCTTCAGGCGCT</t>
  </si>
  <si>
    <t xml:space="preserve">TAGTAATTGCCTGCTTCAGGCGCT</t>
  </si>
  <si>
    <t xml:space="preserve">AAACAGCGCCTGAAGCAGGCAATT</t>
  </si>
  <si>
    <t xml:space="preserve">GCGACCACCGGACACCACCA</t>
  </si>
  <si>
    <t xml:space="preserve">TAGTGCGACCACCGGACACCACCA</t>
  </si>
  <si>
    <t xml:space="preserve">AAACTGGTGGTGTCCGGTGGTCGC</t>
  </si>
  <si>
    <t xml:space="preserve">PSPPH_1190</t>
  </si>
  <si>
    <t xml:space="preserve">eda1</t>
  </si>
  <si>
    <t xml:space="preserve">ATTATTTTCGTTCTGTGTCA</t>
  </si>
  <si>
    <t xml:space="preserve">TAGTATTATTTTCGTTCTGTGTCA</t>
  </si>
  <si>
    <t xml:space="preserve">AAACTGACACAGAACGAAAATAAT</t>
  </si>
  <si>
    <t xml:space="preserve">TTGTTCGCCATGCTGATGAG</t>
  </si>
  <si>
    <t xml:space="preserve">TAGTTTGTTCGCCATGCTGATGAG</t>
  </si>
  <si>
    <t xml:space="preserve">AAACCTCATCAGCATGGCGAACAA</t>
  </si>
  <si>
    <t xml:space="preserve">GGCGCAGAGTTCGTCAATCT</t>
  </si>
  <si>
    <t xml:space="preserve">TAGTGGCGCAGAGTTCGTCAATCT</t>
  </si>
  <si>
    <t xml:space="preserve">AAACAGATTGACGAACTCTGCGCC</t>
  </si>
  <si>
    <t xml:space="preserve">GACCGGCAGAATCTTTGCCT</t>
  </si>
  <si>
    <t xml:space="preserve">TAGTGACCGGCAGAATCTTTGCCT</t>
  </si>
  <si>
    <t xml:space="preserve">AAACAGGCAAAGATTCTGCCGGTC</t>
  </si>
  <si>
    <t xml:space="preserve">PSPPH_1191</t>
  </si>
  <si>
    <t xml:space="preserve">CCAGTAACCTGAGTTTCTCC</t>
  </si>
  <si>
    <t xml:space="preserve">TAGTCCAGTAACCTGAGTTTCTCC</t>
  </si>
  <si>
    <t xml:space="preserve">AAACGGAGAAACTCAGGTTACTGG</t>
  </si>
  <si>
    <t xml:space="preserve">CGTCCTTTATATTTGCCGAA</t>
  </si>
  <si>
    <t xml:space="preserve">TAGTCGTCCTTTATATTTGCCGAA</t>
  </si>
  <si>
    <t xml:space="preserve">AAACTTCGGCAAATATAAAGGACG</t>
  </si>
  <si>
    <t xml:space="preserve">CAGATAATGACCTGGCAAAT</t>
  </si>
  <si>
    <t xml:space="preserve">TAGTCAGATAATGACCTGGCAAAT</t>
  </si>
  <si>
    <t xml:space="preserve">AAACATTTGCCAGGTCATTATCTG</t>
  </si>
  <si>
    <t xml:space="preserve">AAACCTCCCAGTTCACCTTT</t>
  </si>
  <si>
    <t xml:space="preserve">TAGTAAACCTCCCAGTTCACCTTT</t>
  </si>
  <si>
    <t xml:space="preserve">AAACAAAGGTGAACTGGGAGGTTT</t>
  </si>
  <si>
    <t xml:space="preserve">PSPPH_1192</t>
  </si>
  <si>
    <t xml:space="preserve">CAGGTCATTCAGGACGGAGA</t>
  </si>
  <si>
    <t xml:space="preserve">TAGTCAGGTCATTCAGGACGGAGA</t>
  </si>
  <si>
    <t xml:space="preserve">AAACTCTCCGTCCTGAATGACCTG</t>
  </si>
  <si>
    <t xml:space="preserve">GCCTTTCTCGCCATCTTTGC</t>
  </si>
  <si>
    <t xml:space="preserve">TAGTGCCTTTCTCGCCATCTTTGC</t>
  </si>
  <si>
    <t xml:space="preserve">AAACGCAAAGATGGCGAGAAAGGC</t>
  </si>
  <si>
    <t xml:space="preserve">TGAAGTACGCTTTAATCGCC</t>
  </si>
  <si>
    <t xml:space="preserve">TAGTTGAAGTACGCTTTAATCGCC</t>
  </si>
  <si>
    <t xml:space="preserve">AAACGGCGATTAAAGCGTACTTCA</t>
  </si>
  <si>
    <t xml:space="preserve">CGTTTCTGGATCACCACCTA</t>
  </si>
  <si>
    <t xml:space="preserve">TAGTCGTTTCTGGATCACCACCTA</t>
  </si>
  <si>
    <t xml:space="preserve">AAACTAGGTGGTGATCCAGAAACG</t>
  </si>
  <si>
    <t xml:space="preserve">PSPPH_1193</t>
  </si>
  <si>
    <t xml:space="preserve">GATGACGCAAACAACATCAT</t>
  </si>
  <si>
    <t xml:space="preserve">TAGTGATGACGCAAACAACATCAT</t>
  </si>
  <si>
    <t xml:space="preserve">AAACATGATGTTGTTTGCGTCATC</t>
  </si>
  <si>
    <t xml:space="preserve">CCGGTCGGGTCCATTTGAGC</t>
  </si>
  <si>
    <t xml:space="preserve">TAGTCCGGTCGGGTCCATTTGAGC</t>
  </si>
  <si>
    <t xml:space="preserve">AAACGCTCAAATGGACCCGACCGG</t>
  </si>
  <si>
    <t xml:space="preserve">AGACGCCACAATCCCCAGTA</t>
  </si>
  <si>
    <t xml:space="preserve">TAGTAGACGCCACAATCCCCAGTA</t>
  </si>
  <si>
    <t xml:space="preserve">AAACTACTGGGGATTGTGGCGTCT</t>
  </si>
  <si>
    <t xml:space="preserve">CGCTGCGTCGTCACGCTCTC</t>
  </si>
  <si>
    <t xml:space="preserve">TAGTCGCTGCGTCGTCACGCTCTC</t>
  </si>
  <si>
    <t xml:space="preserve">AAACGAGAGCGTGACGACGCAGCG</t>
  </si>
  <si>
    <t xml:space="preserve">PSPPH_1194</t>
  </si>
  <si>
    <t xml:space="preserve">GAACAGCCCGCTGAGGCGCA</t>
  </si>
  <si>
    <t xml:space="preserve">TAGTGAACAGCCCGCTGAGGCGCA</t>
  </si>
  <si>
    <t xml:space="preserve">AAACTGCGCCTCAGCGGGCTGTTC</t>
  </si>
  <si>
    <t xml:space="preserve">ACAAGGCCCAGCCGATCAGC</t>
  </si>
  <si>
    <t xml:space="preserve">TAGTACAAGGCCCAGCCGATCAGC</t>
  </si>
  <si>
    <t xml:space="preserve">AAACGCTGATCGGCTGGGCCTTGT</t>
  </si>
  <si>
    <t xml:space="preserve">CGGCACGCGGCAACAGGTCC</t>
  </si>
  <si>
    <t xml:space="preserve">TAGTCGGCACGCGGCAACAGGTCC</t>
  </si>
  <si>
    <t xml:space="preserve">AAACGGACCTGTTGCCGCGTGCCG</t>
  </si>
  <si>
    <t xml:space="preserve">ACTGTAGCGCGCATCGACTT</t>
  </si>
  <si>
    <t xml:space="preserve">TAGTACTGTAGCGCGCATCGACTT</t>
  </si>
  <si>
    <t xml:space="preserve">AAACAAGTCGATGCGCGCTACAGT</t>
  </si>
  <si>
    <t xml:space="preserve">PSPPH_1195</t>
  </si>
  <si>
    <t xml:space="preserve">TCGATAATCAGCACGCGCAT</t>
  </si>
  <si>
    <t xml:space="preserve">TAGTTCGATAATCAGCACGCGCAT</t>
  </si>
  <si>
    <t xml:space="preserve">AAACATGCGCGTGCTGATTATCGA</t>
  </si>
  <si>
    <t xml:space="preserve">GCCGCGACGCAGGTAGTCTG</t>
  </si>
  <si>
    <t xml:space="preserve">TAGTGCCGCGACGCAGGTAGTCTG</t>
  </si>
  <si>
    <t xml:space="preserve">AAACCAGACTACCTGCGTCGCGGC</t>
  </si>
  <si>
    <t xml:space="preserve">CGGCGTAGCCCTGTTCGGTC</t>
  </si>
  <si>
    <t xml:space="preserve">TAGTCGGCGTAGCCCTGTTCGGTC</t>
  </si>
  <si>
    <t xml:space="preserve">AAACGACCGAACAGGGCTACGCCG</t>
  </si>
  <si>
    <t xml:space="preserve">CGTGGTCGTTCTCCAGCGCC</t>
  </si>
  <si>
    <t xml:space="preserve">TAGTCGTGGTCGTTCTCCAGCGCC</t>
  </si>
  <si>
    <t xml:space="preserve">AAACGGCGCTGGAGAACGACCACG</t>
  </si>
  <si>
    <t xml:space="preserve">PSPPH_1196</t>
  </si>
  <si>
    <t xml:space="preserve">ACCACGCCGATACCGAGCCT</t>
  </si>
  <si>
    <t xml:space="preserve">TAGTACCACGCCGATACCGAGCCT</t>
  </si>
  <si>
    <t xml:space="preserve">AAACAGGCTCGGTATCGGCGTGGT</t>
  </si>
  <si>
    <t xml:space="preserve">ATAACAAGGTGGCCACCGGG</t>
  </si>
  <si>
    <t xml:space="preserve">TAGTATAACAAGGTGGCCACCGGG</t>
  </si>
  <si>
    <t xml:space="preserve">AAACCCCGGTGGCCACCTTGTTAT</t>
  </si>
  <si>
    <t xml:space="preserve">CCCTAGCAGTACCAGTGCGA</t>
  </si>
  <si>
    <t xml:space="preserve">TAGTCCCTAGCAGTACCAGTGCGA</t>
  </si>
  <si>
    <t xml:space="preserve">AAACTCGCACTGGTACTGCTAGGG</t>
  </si>
  <si>
    <t xml:space="preserve">CGCAATCGGCAGTCGTGGAA</t>
  </si>
  <si>
    <t xml:space="preserve">TAGTCGCAATCGGCAGTCGTGGAA</t>
  </si>
  <si>
    <t xml:space="preserve">AAACTTCCACGACTGCCGATTGCG</t>
  </si>
  <si>
    <t xml:space="preserve">PSPPH_1197</t>
  </si>
  <si>
    <t xml:space="preserve">GACTACAGCGGTGACGGTCA</t>
  </si>
  <si>
    <t xml:space="preserve">TAGTGACTACAGCGGTGACGGTCA</t>
  </si>
  <si>
    <t xml:space="preserve">AAACTGACCGTCACCGCTGTAGTC</t>
  </si>
  <si>
    <t xml:space="preserve">TGGCCGCGCAGGCTATCAGC</t>
  </si>
  <si>
    <t xml:space="preserve">TAGTTGGCCGCGCAGGCTATCAGC</t>
  </si>
  <si>
    <t xml:space="preserve">AAACGCTGATAGCCTGCGCGGCCA</t>
  </si>
  <si>
    <t xml:space="preserve">TGTCAGTTTCCATCCGGCAA</t>
  </si>
  <si>
    <t xml:space="preserve">TAGTTGTCAGTTTCCATCCGGCAA</t>
  </si>
  <si>
    <t xml:space="preserve">AAACTTGCCGGATGGAAACTGACA</t>
  </si>
  <si>
    <t xml:space="preserve">AGTTTTTCGGGAGTGTAGCG</t>
  </si>
  <si>
    <t xml:space="preserve">TAGTAGTTTTTCGGGAGTGTAGCG</t>
  </si>
  <si>
    <t xml:space="preserve">AAACCGCTACACTCCCGAAAAACT</t>
  </si>
  <si>
    <t xml:space="preserve">PSPPH_1198</t>
  </si>
  <si>
    <t xml:space="preserve">AAAGCAGGCGCAGCCAGCAA</t>
  </si>
  <si>
    <t xml:space="preserve">TAGTAAAGCAGGCGCAGCCAGCAA</t>
  </si>
  <si>
    <t xml:space="preserve">AAACTTGCTGGCTGCGCCTGCTTT</t>
  </si>
  <si>
    <t xml:space="preserve">AGGCGCATTCACATTAATGT</t>
  </si>
  <si>
    <t xml:space="preserve">TAGTAGGCGCATTCACATTAATGT</t>
  </si>
  <si>
    <t xml:space="preserve">AAACACATTAATGTGAATGCGCCT</t>
  </si>
  <si>
    <t xml:space="preserve">AAAATGCGCGCATGAGCAAC</t>
  </si>
  <si>
    <t xml:space="preserve">TAGTAAAATGCGCGCATGAGCAAC</t>
  </si>
  <si>
    <t xml:space="preserve">AAACGTTGCTCATGCGCGCATTTT</t>
  </si>
  <si>
    <t xml:space="preserve">CTCACCTGCATATTGATGCC</t>
  </si>
  <si>
    <t xml:space="preserve">TAGTCTCACCTGCATATTGATGCC</t>
  </si>
  <si>
    <t xml:space="preserve">AAACGGCATCAATATGCAGGTGAG</t>
  </si>
  <si>
    <t xml:space="preserve">PSPPH_1199</t>
  </si>
  <si>
    <t xml:space="preserve">TCCGTTGTTCGCCGCACTGG</t>
  </si>
  <si>
    <t xml:space="preserve">TAGTTCCGTTGTTCGCCGCACTGG</t>
  </si>
  <si>
    <t xml:space="preserve">AAACCCAGTGCGGCGAACAACGGA</t>
  </si>
  <si>
    <t xml:space="preserve">ATCGCAGGAGATATTGGTCA</t>
  </si>
  <si>
    <t xml:space="preserve">TAGTATCGCAGGAGATATTGGTCA</t>
  </si>
  <si>
    <t xml:space="preserve">AAACTGACCAATATCTCCTGCGAT</t>
  </si>
  <si>
    <t xml:space="preserve">CCCGCACTGACGCCCGTGCC</t>
  </si>
  <si>
    <t xml:space="preserve">TAGTCCCGCACTGACGCCCGTGCC</t>
  </si>
  <si>
    <t xml:space="preserve">AAACGGCACGGGCGTCAGTGCGGG</t>
  </si>
  <si>
    <t xml:space="preserve">GACATTGATTTCGCCAGGGT</t>
  </si>
  <si>
    <t xml:space="preserve">TAGTGACATTGATTTCGCCAGGGT</t>
  </si>
  <si>
    <t xml:space="preserve">AAACACCCTGGCGAAATCAATGTC</t>
  </si>
  <si>
    <t xml:space="preserve">PSPPH_1200</t>
  </si>
  <si>
    <t xml:space="preserve">ATCGTGTAGCGAAAAAAAAC</t>
  </si>
  <si>
    <t xml:space="preserve">TAGTATCGTGTAGCGAAAAAAAAC</t>
  </si>
  <si>
    <t xml:space="preserve">AAACGTTTTTTTTCGCTACACGAT</t>
  </si>
  <si>
    <t xml:space="preserve">TACGATGCCCGCCTGAACAG</t>
  </si>
  <si>
    <t xml:space="preserve">TAGTTACGATGCCCGCCTGAACAG</t>
  </si>
  <si>
    <t xml:space="preserve">AAACCTGTTCAGGCGGGCATCGTA</t>
  </si>
  <si>
    <t xml:space="preserve">GAGATTCAAGCCAGGACTGC</t>
  </si>
  <si>
    <t xml:space="preserve">TAGTGAGATTCAAGCCAGGACTGC</t>
  </si>
  <si>
    <t xml:space="preserve">AAACGCAGTCCTGGCTTGAATCTC</t>
  </si>
  <si>
    <t xml:space="preserve">GTCTTGTTGGTCGCCACTGT</t>
  </si>
  <si>
    <t xml:space="preserve">TAGTGTCTTGTTGGTCGCCACTGT</t>
  </si>
  <si>
    <t xml:space="preserve">AAACACAGTGGCGACCAACAAGAC</t>
  </si>
  <si>
    <t xml:space="preserve">PSPPH_1201</t>
  </si>
  <si>
    <t xml:space="preserve">TTTTTTGCGCCATTCCATAG</t>
  </si>
  <si>
    <t xml:space="preserve">TAGTTTTTTTGCGCCATTCCATAG</t>
  </si>
  <si>
    <t xml:space="preserve">AAACCTATGGAATGGCGCAAAAAA</t>
  </si>
  <si>
    <t xml:space="preserve">AGCGGACAGTGTCGTGGGTG</t>
  </si>
  <si>
    <t xml:space="preserve">TAGTAGCGGACAGTGTCGTGGGTG</t>
  </si>
  <si>
    <t xml:space="preserve">AAACCACCCACGACACTGTCCGCT</t>
  </si>
  <si>
    <t xml:space="preserve">AAAACATCAACGTCAACCCC</t>
  </si>
  <si>
    <t xml:space="preserve">TAGTAAAACATCAACGTCAACCCC</t>
  </si>
  <si>
    <t xml:space="preserve">AAACGGGGTTGACGTTGATGTTTT</t>
  </si>
  <si>
    <t xml:space="preserve">AGCCCGAGTACCGCCAGGCG</t>
  </si>
  <si>
    <t xml:space="preserve">TAGTAGCCCGAGTACCGCCAGGCG</t>
  </si>
  <si>
    <t xml:space="preserve">AAACCGCCTGGCGGTACTCGGGCT</t>
  </si>
  <si>
    <t xml:space="preserve">PSPPH_1203</t>
  </si>
  <si>
    <t xml:space="preserve">AGTGGAGCGCAGCCAGCGTC</t>
  </si>
  <si>
    <t xml:space="preserve">TAGTAGTGGAGCGCAGCCAGCGTC</t>
  </si>
  <si>
    <t xml:space="preserve">AAACGACGCTGGCTGCGCTCCACT</t>
  </si>
  <si>
    <t xml:space="preserve">ACCAACGCGAAGACGGAAGT</t>
  </si>
  <si>
    <t xml:space="preserve">TAGTACCAACGCGAAGACGGAAGT</t>
  </si>
  <si>
    <t xml:space="preserve">AAACACTTCCGTCTTCGCGTTGGT</t>
  </si>
  <si>
    <t xml:space="preserve">GGTTTCGCCCGTCCCCTGGG</t>
  </si>
  <si>
    <t xml:space="preserve">TAGTGGTTTCGCCCGTCCCCTGGG</t>
  </si>
  <si>
    <t xml:space="preserve">AAACCCCAGGGGACGGGCGAAACC</t>
  </si>
  <si>
    <t xml:space="preserve">ACCCAGATCATCGTGAATTT</t>
  </si>
  <si>
    <t xml:space="preserve">TAGTACCCAGATCATCGTGAATTT</t>
  </si>
  <si>
    <t xml:space="preserve">AAACAAATTCACGATGATCTGGGT</t>
  </si>
  <si>
    <t xml:space="preserve">PSPPH_1204</t>
  </si>
  <si>
    <t xml:space="preserve">ATTGGCCGGGCACATGCCCG</t>
  </si>
  <si>
    <t xml:space="preserve">TAGTATTGGCCGGGCACATGCCCG</t>
  </si>
  <si>
    <t xml:space="preserve">AAACCGGGCATGTGCCCGGCCAAT</t>
  </si>
  <si>
    <t xml:space="preserve">GGGTTGTCCAGGAGTGGTCA</t>
  </si>
  <si>
    <t xml:space="preserve">TAGTGGGTTGTCCAGGAGTGGTCA</t>
  </si>
  <si>
    <t xml:space="preserve">AAACTGACCACTCCTGGACAACCC</t>
  </si>
  <si>
    <t xml:space="preserve">GCTGCGGCGTCTTGAACAGT</t>
  </si>
  <si>
    <t xml:space="preserve">TAGTGCTGCGGCGTCTTGAACAGT</t>
  </si>
  <si>
    <t xml:space="preserve">AAACACTGTTCAAGACGCCGCAGC</t>
  </si>
  <si>
    <t xml:space="preserve">TTCAGTGTCTGCGTTGGAGT</t>
  </si>
  <si>
    <t xml:space="preserve">TAGTTTCAGTGTCTGCGTTGGAGT</t>
  </si>
  <si>
    <t xml:space="preserve">AAACACTCCAACGCAGACACTGAA</t>
  </si>
  <si>
    <t xml:space="preserve">PSPPH_1205</t>
  </si>
  <si>
    <t xml:space="preserve">GCGCGCCGAGCGACAACAAT</t>
  </si>
  <si>
    <t xml:space="preserve">TAGTGCGCGCCGAGCGACAACAAT</t>
  </si>
  <si>
    <t xml:space="preserve">AAACATTGTTGTCGCTCGGCGCGC</t>
  </si>
  <si>
    <t xml:space="preserve">GCAACCCACACAGGAAAACT</t>
  </si>
  <si>
    <t xml:space="preserve">TAGTGCAACCCACACAGGAAAACT</t>
  </si>
  <si>
    <t xml:space="preserve">AAACAGTTTTCCTGTGTGGGTTGC</t>
  </si>
  <si>
    <t xml:space="preserve">CGTGAGAGGCACGTGGTGGT</t>
  </si>
  <si>
    <t xml:space="preserve">TAGTCGTGAGAGGCACGTGGTGGT</t>
  </si>
  <si>
    <t xml:space="preserve">AAACACCACCACGTGCCTCTCACG</t>
  </si>
  <si>
    <t xml:space="preserve">GCCGTCTGCCGCCCATTGCG</t>
  </si>
  <si>
    <t xml:space="preserve">TAGTGCCGTCTGCCGCCCATTGCG</t>
  </si>
  <si>
    <t xml:space="preserve">AAACCGCAATGGGCGGCAGACGGC</t>
  </si>
  <si>
    <t xml:space="preserve">PSPPH_1206</t>
  </si>
  <si>
    <t xml:space="preserve">GGCCAGACCGCGGATGGTAC</t>
  </si>
  <si>
    <t xml:space="preserve">TAGTGGCCAGACCGCGGATGGTAC</t>
  </si>
  <si>
    <t xml:space="preserve">AAACGTACCATCCGCGGTCTGGCC</t>
  </si>
  <si>
    <t xml:space="preserve">GGTCGCGGCAGGACGCGCGG</t>
  </si>
  <si>
    <t xml:space="preserve">TAGTGGTCGCGGCAGGACGCGCGG</t>
  </si>
  <si>
    <t xml:space="preserve">AAACCCGCGCGTCCTGCCGCGACC</t>
  </si>
  <si>
    <t xml:space="preserve">GGGGCTTGCTCAAGGGTGAA</t>
  </si>
  <si>
    <t xml:space="preserve">TAGTGGGGCTTGCTCAAGGGTGAA</t>
  </si>
  <si>
    <t xml:space="preserve">AAACTTCACCCTTGAGCAAGCCCC</t>
  </si>
  <si>
    <t xml:space="preserve">TCAGCAGGCGGTGAACCTCT</t>
  </si>
  <si>
    <t xml:space="preserve">TAGTTCAGCAGGCGGTGAACCTCT</t>
  </si>
  <si>
    <t xml:space="preserve">AAACAGAGGTTCACCGCCTGCTGA</t>
  </si>
  <si>
    <t xml:space="preserve">PSPPH_1207</t>
  </si>
  <si>
    <t xml:space="preserve">TGAATCTGCTCGGACGTTCT</t>
  </si>
  <si>
    <t xml:space="preserve">TAGTTGAATCTGCTCGGACGTTCT</t>
  </si>
  <si>
    <t xml:space="preserve">AAACAGAACGTCCGAGCAGATTCA</t>
  </si>
  <si>
    <t xml:space="preserve">TGCCGCTGCGCAACGTGAAG</t>
  </si>
  <si>
    <t xml:space="preserve">TAGTTGCCGCTGCGCAACGTGAAG</t>
  </si>
  <si>
    <t xml:space="preserve">AAACCTTCACGTTGCGCAGCGGCA</t>
  </si>
  <si>
    <t xml:space="preserve">TGATCTCACTGACCTTGAGC</t>
  </si>
  <si>
    <t xml:space="preserve">TAGTTGATCTCACTGACCTTGAGC</t>
  </si>
  <si>
    <t xml:space="preserve">AAACGCTCAAGGTCAGTGAGATCA</t>
  </si>
  <si>
    <t xml:space="preserve">AGATGGGTCAGGGGAGGGCA</t>
  </si>
  <si>
    <t xml:space="preserve">TAGTAGATGGGTCAGGGGAGGGCA</t>
  </si>
  <si>
    <t xml:space="preserve">AAACTGCCCTCCCCTGACCCATCT</t>
  </si>
  <si>
    <t xml:space="preserve">PSPPH_1208</t>
  </si>
  <si>
    <t xml:space="preserve">GGCAAATGTGCCCGTATAGC</t>
  </si>
  <si>
    <t xml:space="preserve">TAGTGGCAAATGTGCCCGTATAGC</t>
  </si>
  <si>
    <t xml:space="preserve">AAACGCTATACGGGCACATTTGCC</t>
  </si>
  <si>
    <t xml:space="preserve">TACTGCTCAGACCATCCAGC</t>
  </si>
  <si>
    <t xml:space="preserve">TAGTTACTGCTCAGACCATCCAGC</t>
  </si>
  <si>
    <t xml:space="preserve">AAACGCTGGATGGTCTGAGCAGTA</t>
  </si>
  <si>
    <t xml:space="preserve">GACCGCCTGGTTGATCGCAC</t>
  </si>
  <si>
    <t xml:space="preserve">TAGTGACCGCCTGGTTGATCGCAC</t>
  </si>
  <si>
    <t xml:space="preserve">AAACGTGCGATCAACCAGGCGGTC</t>
  </si>
  <si>
    <t xml:space="preserve">AGCGTTTTTCATCCAGCCCT</t>
  </si>
  <si>
    <t xml:space="preserve">TAGTAGCGTTTTTCATCCAGCCCT</t>
  </si>
  <si>
    <t xml:space="preserve">AAACAGGGCTGGATGAAAAACGCT</t>
  </si>
  <si>
    <t xml:space="preserve">PSPPH_1209</t>
  </si>
  <si>
    <t xml:space="preserve">dsbB</t>
  </si>
  <si>
    <t xml:space="preserve">GAAAGCGCTTTTCGCGTCTC</t>
  </si>
  <si>
    <t xml:space="preserve">TAGTGAAAGCGCTTTTCGCGTCTC</t>
  </si>
  <si>
    <t xml:space="preserve">AAACGAGACGCGAAAAGCGCTTTC</t>
  </si>
  <si>
    <t xml:space="preserve">GGGCACCGCCGATCAGAGCC</t>
  </si>
  <si>
    <t xml:space="preserve">TAGTGGGCACCGCCGATCAGAGCC</t>
  </si>
  <si>
    <t xml:space="preserve">AAACGGCTCTGATCGGCGGTGCCC</t>
  </si>
  <si>
    <t xml:space="preserve">CAGCACGATCTGCATGTACA</t>
  </si>
  <si>
    <t xml:space="preserve">TAGTCAGCACGATCTGCATGTACA</t>
  </si>
  <si>
    <t xml:space="preserve">AAACTGTACATGCAGATCGTGCTG</t>
  </si>
  <si>
    <t xml:space="preserve">TGCAGGATGCATAGCGGGCA</t>
  </si>
  <si>
    <t xml:space="preserve">TAGTTGCAGGATGCATAGCGGGCA</t>
  </si>
  <si>
    <t xml:space="preserve">AAACTGCCCGCTATGCATCCTGCA</t>
  </si>
  <si>
    <t xml:space="preserve">PSPPH_1210</t>
  </si>
  <si>
    <t xml:space="preserve">cyoA</t>
  </si>
  <si>
    <t xml:space="preserve">CCAAGAAGCCAAAAAACCTG</t>
  </si>
  <si>
    <t xml:space="preserve">TAGTCCAAGAAGCCAAAAAACCTG</t>
  </si>
  <si>
    <t xml:space="preserve">AAACCAGGTTTTTTGGCTTCTTGG</t>
  </si>
  <si>
    <t xml:space="preserve">GAGCAAAAGCATACAGAAAA</t>
  </si>
  <si>
    <t xml:space="preserve">TAGTGAGCAAAAGCATACAGAAAA</t>
  </si>
  <si>
    <t xml:space="preserve">AAACTTTTCTGTATGCTTTTGCTC</t>
  </si>
  <si>
    <t xml:space="preserve">TGCCCTTTTGGATCGAGCAG</t>
  </si>
  <si>
    <t xml:space="preserve">TAGTTGCCCTTTTGGATCGAGCAG</t>
  </si>
  <si>
    <t xml:space="preserve">AAACCTGCTCGATCCAAAAGGGCA</t>
  </si>
  <si>
    <t xml:space="preserve">GCAACGTAGCGATTACGATC</t>
  </si>
  <si>
    <t xml:space="preserve">TAGTGCAACGTAGCGATTACGATC</t>
  </si>
  <si>
    <t xml:space="preserve">AAACGATCGTAATCGCTACGTTGC</t>
  </si>
  <si>
    <t xml:space="preserve">PSPPH_1211</t>
  </si>
  <si>
    <t xml:space="preserve">cyoB</t>
  </si>
  <si>
    <t xml:space="preserve">ATGACTATCGGCTCGTGGAA</t>
  </si>
  <si>
    <t xml:space="preserve">TAGTATGACTATCGGCTCGTGGAA</t>
  </si>
  <si>
    <t xml:space="preserve">AAACTTCCACGAGCCGATAGTCAT</t>
  </si>
  <si>
    <t xml:space="preserve">GTACGTCCACTTGCGGAAAT</t>
  </si>
  <si>
    <t xml:space="preserve">TAGTGTACGTCCACTTGCGGAAAT</t>
  </si>
  <si>
    <t xml:space="preserve">AAACATTTCCGCAAGTGGACGTAC</t>
  </si>
  <si>
    <t xml:space="preserve">GATTTTCTTATGGTCGACAG</t>
  </si>
  <si>
    <t xml:space="preserve">TAGTGATTTTCTTATGGTCGACAG</t>
  </si>
  <si>
    <t xml:space="preserve">AAACCTGTCGACCATAAGAAAATC</t>
  </si>
  <si>
    <t xml:space="preserve">ACCGCGCAGCAGCATGACCA</t>
  </si>
  <si>
    <t xml:space="preserve">TAGTACCGCGCAGCAGCATGACCA</t>
  </si>
  <si>
    <t xml:space="preserve">AAACTGGTCATGCTGCTGCGCGGT</t>
  </si>
  <si>
    <t xml:space="preserve">PSPPH_1212</t>
  </si>
  <si>
    <t xml:space="preserve">cyoC</t>
  </si>
  <si>
    <t xml:space="preserve">ATGGTCGTGACCGTGGGCTC</t>
  </si>
  <si>
    <t xml:space="preserve">TAGTATGGTCGTGACCGTGGGCTC</t>
  </si>
  <si>
    <t xml:space="preserve">AAACGAGCCCACGGTCACGACCAT</t>
  </si>
  <si>
    <t xml:space="preserve">CCGTCATGCCACCGCTGTCG</t>
  </si>
  <si>
    <t xml:space="preserve">TAGTCCGTCATGCCACCGCTGTCG</t>
  </si>
  <si>
    <t xml:space="preserve">AAACCGACAGCGGTGGCATGACGG</t>
  </si>
  <si>
    <t xml:space="preserve">ACAACACGCAGTCAGTCATC</t>
  </si>
  <si>
    <t xml:space="preserve">TAGTACAACACGCAGTCAGTCATC</t>
  </si>
  <si>
    <t xml:space="preserve">AAACGATGACTGACTGCGTGTTGT</t>
  </si>
  <si>
    <t xml:space="preserve">GGCGTACACCGCGAAGAACG</t>
  </si>
  <si>
    <t xml:space="preserve">TAGTGGCGTACACCGCGAAGAACG</t>
  </si>
  <si>
    <t xml:space="preserve">AAACCGTTCTTCGCGGTGTACGCC</t>
  </si>
  <si>
    <t xml:space="preserve">PSPPH_1213</t>
  </si>
  <si>
    <t xml:space="preserve">cyoD</t>
  </si>
  <si>
    <t xml:space="preserve">GCCGTGACTATTGTCTTCAG</t>
  </si>
  <si>
    <t xml:space="preserve">TAGTGCCGTGACTATTGTCTTCAG</t>
  </si>
  <si>
    <t xml:space="preserve">AAACCTGAAGACAATAGTCACGGC</t>
  </si>
  <si>
    <t xml:space="preserve">GGGCAAACGGAATGGCGGTC</t>
  </si>
  <si>
    <t xml:space="preserve">TAGTGGGCAAACGGAATGGCGGTC</t>
  </si>
  <si>
    <t xml:space="preserve">AAACGACCGCCATTCCGTTTGCCC</t>
  </si>
  <si>
    <t xml:space="preserve">GCAGCGACGGCGACATCACC</t>
  </si>
  <si>
    <t xml:space="preserve">TAGTGCAGCGACGGCGACATCACC</t>
  </si>
  <si>
    <t xml:space="preserve">AAACGGTGATGTCGCCGTCGCTGC</t>
  </si>
  <si>
    <t xml:space="preserve">ATTGCAATCGTCATGTCCTT</t>
  </si>
  <si>
    <t xml:space="preserve">TAGTATTGCAATCGTCATGTCCTT</t>
  </si>
  <si>
    <t xml:space="preserve">AAACAAGGACATGACGATTGCAAT</t>
  </si>
  <si>
    <t xml:space="preserve">PSPPH_1214</t>
  </si>
  <si>
    <t xml:space="preserve">cyoE</t>
  </si>
  <si>
    <t xml:space="preserve">TGATCCCCGGCTTGGTGATT</t>
  </si>
  <si>
    <t xml:space="preserve">TAGTTGATCCCCGGCTTGGTGATT</t>
  </si>
  <si>
    <t xml:space="preserve">AAACAATCACCAAGCCGGGGATCA</t>
  </si>
  <si>
    <t xml:space="preserve">GCCGAAGTCGATATTTCCCT</t>
  </si>
  <si>
    <t xml:space="preserve">TAGTGCCGAAGTCGATATTTCCCT</t>
  </si>
  <si>
    <t xml:space="preserve">AAACAGGGAAATATCGACTTCGGC</t>
  </si>
  <si>
    <t xml:space="preserve">AAGTACCGATTACTGCAGCG</t>
  </si>
  <si>
    <t xml:space="preserve">TAGTAAGTACCGATTACTGCAGCG</t>
  </si>
  <si>
    <t xml:space="preserve">AAACCGCTGCAGTAATCGGTACTT</t>
  </si>
  <si>
    <t xml:space="preserve">GCAACCAGACGCAACGACCA</t>
  </si>
  <si>
    <t xml:space="preserve">TAGTGCAACCAGACGCAACGACCA</t>
  </si>
  <si>
    <t xml:space="preserve">AAACTGGTCGTTGCGTCTGGTTGC</t>
  </si>
  <si>
    <t xml:space="preserve">PSPPH_1215</t>
  </si>
  <si>
    <t xml:space="preserve">CTTCGCAGAACGGGGTTTTC</t>
  </si>
  <si>
    <t xml:space="preserve">TAGTCTTCGCAGAACGGGGTTTTC</t>
  </si>
  <si>
    <t xml:space="preserve">AAACGAAAACCCCGTTCTGCGAAG</t>
  </si>
  <si>
    <t xml:space="preserve">AACAGGCGTACCCAGCCGCC</t>
  </si>
  <si>
    <t xml:space="preserve">TAGTAACAGGCGTACCCAGCCGCC</t>
  </si>
  <si>
    <t xml:space="preserve">AAACGGCGGCTGGGTACGCCTGTT</t>
  </si>
  <si>
    <t xml:space="preserve">PSPPH_1216</t>
  </si>
  <si>
    <t xml:space="preserve">TGACTTTCTGAGGGCATCAT</t>
  </si>
  <si>
    <t xml:space="preserve">TAGTTGACTTTCTGAGGGCATCAT</t>
  </si>
  <si>
    <t xml:space="preserve">AAACATGATGCCCTCAGAAAGTCA</t>
  </si>
  <si>
    <t xml:space="preserve">AAACCAGGGGTTGAGGCGTG</t>
  </si>
  <si>
    <t xml:space="preserve">TAGTAAACCAGGGGTTGAGGCGTG</t>
  </si>
  <si>
    <t xml:space="preserve">AAACCACGCCTCAACCCCTGGTTT</t>
  </si>
  <si>
    <t xml:space="preserve">GCGCTCGGCGTTATAGCAAG</t>
  </si>
  <si>
    <t xml:space="preserve">TAGTGCGCTCGGCGTTATAGCAAG</t>
  </si>
  <si>
    <t xml:space="preserve">AAACCTTGCTATAACGCCGAGCGC</t>
  </si>
  <si>
    <t xml:space="preserve">TGCTCTGAAGGGCAGCTTCA</t>
  </si>
  <si>
    <t xml:space="preserve">TAGTTGCTCTGAAGGGCAGCTTCA</t>
  </si>
  <si>
    <t xml:space="preserve">AAACTGAAGCTGCCCTTCAGAGCA</t>
  </si>
  <si>
    <t xml:space="preserve">PSPPH_1217</t>
  </si>
  <si>
    <t xml:space="preserve">TCTGACCCAGGCCCAAACAT</t>
  </si>
  <si>
    <t xml:space="preserve">TAGTTCTGACCCAGGCCCAAACAT</t>
  </si>
  <si>
    <t xml:space="preserve">AAACATGTTTGGGCCTGGGTCAGA</t>
  </si>
  <si>
    <t xml:space="preserve">GAAATAAATGCAAACCGACA</t>
  </si>
  <si>
    <t xml:space="preserve">TAGTGAAATAAATGCAAACCGACA</t>
  </si>
  <si>
    <t xml:space="preserve">AAACTGTCGGTTTGCATTTATTTC</t>
  </si>
  <si>
    <t xml:space="preserve">GCCAGATCATTCAGGTCCTG</t>
  </si>
  <si>
    <t xml:space="preserve">TAGTGCCAGATCATTCAGGTCCTG</t>
  </si>
  <si>
    <t xml:space="preserve">AAACCAGGACCTGAATGATCTGGC</t>
  </si>
  <si>
    <t xml:space="preserve">PSPPH_1218</t>
  </si>
  <si>
    <t xml:space="preserve">ilvE</t>
  </si>
  <si>
    <t xml:space="preserve">CACCGTCGCGCCAATGAGAA</t>
  </si>
  <si>
    <t xml:space="preserve">TAGTCACCGTCGCGCCAATGAGAA</t>
  </si>
  <si>
    <t xml:space="preserve">AAACTTCTCATTGGCGCGACGGTG</t>
  </si>
  <si>
    <t xml:space="preserve">GGTCAGCGACCCCTGATCCC</t>
  </si>
  <si>
    <t xml:space="preserve">TAGTGGTCAGCGACCCCTGATCCC</t>
  </si>
  <si>
    <t xml:space="preserve">AAACGGGATCAGGGGTCGCTGACC</t>
  </si>
  <si>
    <t xml:space="preserve">GATATGCAGCGTGTTGTCCT</t>
  </si>
  <si>
    <t xml:space="preserve">TAGTGATATGCAGCGTGTTGTCCT</t>
  </si>
  <si>
    <t xml:space="preserve">AAACAGGACAACACGCTGCATATC</t>
  </si>
  <si>
    <t xml:space="preserve">CTGCTGACCATAATGCAGCG</t>
  </si>
  <si>
    <t xml:space="preserve">TAGTCTGCTGACCATAATGCAGCG</t>
  </si>
  <si>
    <t xml:space="preserve">AAACCGCTGCATTATGGTCAGCAG</t>
  </si>
  <si>
    <t xml:space="preserve">PSPPH_1219</t>
  </si>
  <si>
    <t xml:space="preserve">TCTGCGCACTCTGCGCGCTG</t>
  </si>
  <si>
    <t xml:space="preserve">TAGTTCTGCGCACTCTGCGCGCTG</t>
  </si>
  <si>
    <t xml:space="preserve">AAACCAGCGCGCAGAGTGCGCAGA</t>
  </si>
  <si>
    <t xml:space="preserve">GATATAGGCCCGGCCAGGTC</t>
  </si>
  <si>
    <t xml:space="preserve">TAGTGATATAGGCCCGGCCAGGTC</t>
  </si>
  <si>
    <t xml:space="preserve">AAACGACCTGGCCGGGCCTATATC</t>
  </si>
  <si>
    <t xml:space="preserve">ACAGAATATGTACGAAGACG</t>
  </si>
  <si>
    <t xml:space="preserve">TAGTACAGAATATGTACGAAGACG</t>
  </si>
  <si>
    <t xml:space="preserve">AAACCGTCTTCGTACATATTCTGT</t>
  </si>
  <si>
    <t xml:space="preserve">CCACGCTATTTCAGGCGCAA</t>
  </si>
  <si>
    <t xml:space="preserve">TAGTCCACGCTATTTCAGGCGCAA</t>
  </si>
  <si>
    <t xml:space="preserve">AAACTTGCGCCTGAAATAGCGTGG</t>
  </si>
  <si>
    <t xml:space="preserve">PSPPH_1220</t>
  </si>
  <si>
    <t xml:space="preserve">GCCATGAGGCGCTTGAGTTC</t>
  </si>
  <si>
    <t xml:space="preserve">TAGTGCCATGAGGCGCTTGAGTTC</t>
  </si>
  <si>
    <t xml:space="preserve">AAACGAACTCAAGCGCCTCATGGC</t>
  </si>
  <si>
    <t xml:space="preserve">AACGATGATGGCGAAGGTCG</t>
  </si>
  <si>
    <t xml:space="preserve">TAGTAACGATGATGGCGAAGGTCG</t>
  </si>
  <si>
    <t xml:space="preserve">AAACCGACCTTCGCCATCATCGTT</t>
  </si>
  <si>
    <t xml:space="preserve">CAGTGGATGTCTTGAGTGTA</t>
  </si>
  <si>
    <t xml:space="preserve">TAGTCAGTGGATGTCTTGAGTGTA</t>
  </si>
  <si>
    <t xml:space="preserve">AAACTACACTCAAGACATCCACTG</t>
  </si>
  <si>
    <t xml:space="preserve">CCTCGGTGGCCAGAAAATCC</t>
  </si>
  <si>
    <t xml:space="preserve">TAGTCCTCGGTGGCCAGAAAATCC</t>
  </si>
  <si>
    <t xml:space="preserve">AAACGGATTTTCTGGCCACCGAGG</t>
  </si>
  <si>
    <t xml:space="preserve">PSPPH_1221</t>
  </si>
  <si>
    <t xml:space="preserve">CGGTGAATGCGCTGTATTTA</t>
  </si>
  <si>
    <t xml:space="preserve">TAGTCGGTGAATGCGCTGTATTTA</t>
  </si>
  <si>
    <t xml:space="preserve">AAACTAAATACAGCGCATTCACCG</t>
  </si>
  <si>
    <t xml:space="preserve">TGTCATGCCCAGCAGCAGGG</t>
  </si>
  <si>
    <t xml:space="preserve">TAGTTGTCATGCCCAGCAGCAGGG</t>
  </si>
  <si>
    <t xml:space="preserve">AAACCCCTGCTGCTGGGCATGACA</t>
  </si>
  <si>
    <t xml:space="preserve">AACCTTGTCCAGATGCGAGG</t>
  </si>
  <si>
    <t xml:space="preserve">TAGTAACCTTGTCCAGATGCGAGG</t>
  </si>
  <si>
    <t xml:space="preserve">AAACCCTCGCATCTGGACAAGGTT</t>
  </si>
  <si>
    <t xml:space="preserve">CGTGCAGACTGCCAACTGGC</t>
  </si>
  <si>
    <t xml:space="preserve">TAGTCGTGCAGACTGCCAACTGGC</t>
  </si>
  <si>
    <t xml:space="preserve">AAACGCCAGTTGGCAGTCTGCACG</t>
  </si>
  <si>
    <t xml:space="preserve">PSPPH_1222</t>
  </si>
  <si>
    <t xml:space="preserve">TTGATTTGCTCAAGAATCAT</t>
  </si>
  <si>
    <t xml:space="preserve">TAGTTTGATTTGCTCAAGAATCAT</t>
  </si>
  <si>
    <t xml:space="preserve">AAACATGATTCTTGAGCAAATCAA</t>
  </si>
  <si>
    <t xml:space="preserve">GTGGAGGGAAATGGGCTTGC</t>
  </si>
  <si>
    <t xml:space="preserve">TAGTGTGGAGGGAAATGGGCTTGC</t>
  </si>
  <si>
    <t xml:space="preserve">AAACGCAAGCCCATTTCCCTCCAC</t>
  </si>
  <si>
    <t xml:space="preserve">CGCCTATCGCCGGATCACCG</t>
  </si>
  <si>
    <t xml:space="preserve">TAGTCGCCTATCGCCGGATCACCG</t>
  </si>
  <si>
    <t xml:space="preserve">AAACCGGTGATCCGGCGATAGGCG</t>
  </si>
  <si>
    <t xml:space="preserve">GGAAGCCGACAGACTGGCCT</t>
  </si>
  <si>
    <t xml:space="preserve">TAGTGGAAGCCGACAGACTGGCCT</t>
  </si>
  <si>
    <t xml:space="preserve">AAACAGGCCAGTCTGTCGGCTTCC</t>
  </si>
  <si>
    <t xml:space="preserve">PSPPH_1223</t>
  </si>
  <si>
    <t xml:space="preserve">GCCGCCAGCCTGCACGTAGA</t>
  </si>
  <si>
    <t xml:space="preserve">TAGTGCCGCCAGCCTGCACGTAGA</t>
  </si>
  <si>
    <t xml:space="preserve">AAACTCTACGTGCAGGCTGGCGGC</t>
  </si>
  <si>
    <t xml:space="preserve">ACAGTGATCTCACCGGCTTT</t>
  </si>
  <si>
    <t xml:space="preserve">TAGTACAGTGATCTCACCGGCTTT</t>
  </si>
  <si>
    <t xml:space="preserve">AAACAAAGCCGGTGAGATCACTGT</t>
  </si>
  <si>
    <t xml:space="preserve">TTCAGTCGGTGCCCACATGC</t>
  </si>
  <si>
    <t xml:space="preserve">TAGTTTCAGTCGGTGCCCACATGC</t>
  </si>
  <si>
    <t xml:space="preserve">AAACGCATGTGGGCACCGACTGAA</t>
  </si>
  <si>
    <t xml:space="preserve">ACGCCTGCGCCATCGGCCAT</t>
  </si>
  <si>
    <t xml:space="preserve">TAGTACGCCTGCGCCATCGGCCAT</t>
  </si>
  <si>
    <t xml:space="preserve">AAACATGGCCGATGGCGCAGGCGT</t>
  </si>
  <si>
    <t xml:space="preserve">PSPPH_1224</t>
  </si>
  <si>
    <t xml:space="preserve">sodC</t>
  </si>
  <si>
    <t xml:space="preserve">AGCAGGCCTAGCCAAAGATG</t>
  </si>
  <si>
    <t xml:space="preserve">TAGTAGCAGGCCTAGCCAAAGATG</t>
  </si>
  <si>
    <t xml:space="preserve">AAACCATCTTTGGCTAGGCCTGCT</t>
  </si>
  <si>
    <t xml:space="preserve">CGATGCAGCCTGGACACTGA</t>
  </si>
  <si>
    <t xml:space="preserve">TAGTCGATGCAGCCTGGACACTGA</t>
  </si>
  <si>
    <t xml:space="preserve">AAACTCAGTGTCCAGGCTGCATCG</t>
  </si>
  <si>
    <t xml:space="preserve">TCAGCGCTGACCAGATTGAT</t>
  </si>
  <si>
    <t xml:space="preserve">TAGTTCAGCGCTGACCAGATTGAT</t>
  </si>
  <si>
    <t xml:space="preserve">AAACATCAATCTGGTCAGCGCTGA</t>
  </si>
  <si>
    <t xml:space="preserve">GTCACGTTGCCAACAGGTTT</t>
  </si>
  <si>
    <t xml:space="preserve">TAGTGTCACGTTGCCAACAGGTTT</t>
  </si>
  <si>
    <t xml:space="preserve">AAACAAACCTGTTGGCAACGTGAC</t>
  </si>
  <si>
    <t xml:space="preserve">PSPPH_1225</t>
  </si>
  <si>
    <t xml:space="preserve">GACGAGGACGTTTTATTGCT</t>
  </si>
  <si>
    <t xml:space="preserve">TAGTGACGAGGACGTTTTATTGCT</t>
  </si>
  <si>
    <t xml:space="preserve">AAACAGCAATAAAACGTCCTCGTC</t>
  </si>
  <si>
    <t xml:space="preserve">GAGGTTGATACGGCCGTGAT</t>
  </si>
  <si>
    <t xml:space="preserve">TAGTGAGGTTGATACGGCCGTGAT</t>
  </si>
  <si>
    <t xml:space="preserve">AAACATCACGGCCGTATCAACCTC</t>
  </si>
  <si>
    <t xml:space="preserve">CATCCGCAGCAGAAGCTCTT</t>
  </si>
  <si>
    <t xml:space="preserve">TAGTCATCCGCAGCAGAAGCTCTT</t>
  </si>
  <si>
    <t xml:space="preserve">AAACAAGAGCTTCTGCTGCGGATG</t>
  </si>
  <si>
    <t xml:space="preserve">TCGAGCAGGATGAGCTGATC</t>
  </si>
  <si>
    <t xml:space="preserve">TAGTTCGAGCAGGATGAGCTGATC</t>
  </si>
  <si>
    <t xml:space="preserve">AAACGATCAGCTCATCCTGCTCGA</t>
  </si>
  <si>
    <t xml:space="preserve">PSPPH_1226</t>
  </si>
  <si>
    <t xml:space="preserve">CGGCCAGTTGCTTGAGTGAA</t>
  </si>
  <si>
    <t xml:space="preserve">TAGTCGGCCAGTTGCTTGAGTGAA</t>
  </si>
  <si>
    <t xml:space="preserve">AAACTTCACTCAAGCAACTGGCCG</t>
  </si>
  <si>
    <t xml:space="preserve">GGCCATTATCAGCGCGGTTG</t>
  </si>
  <si>
    <t xml:space="preserve">TAGTGGCCATTATCAGCGCGGTTG</t>
  </si>
  <si>
    <t xml:space="preserve">AAACCAACCGCGCTGATAATGGCC</t>
  </si>
  <si>
    <t xml:space="preserve">GCAGGTGAAGGACGAAAGGC</t>
  </si>
  <si>
    <t xml:space="preserve">TAGTGCAGGTGAAGGACGAAAGGC</t>
  </si>
  <si>
    <t xml:space="preserve">AAACGCCTTTCGTCCTTCACCTGC</t>
  </si>
  <si>
    <t xml:space="preserve">GCTCTGTTGGGCAGTGACGT</t>
  </si>
  <si>
    <t xml:space="preserve">TAGTGCTCTGTTGGGCAGTGACGT</t>
  </si>
  <si>
    <t xml:space="preserve">AAACACGTCACTGCCCAACAGAGC</t>
  </si>
  <si>
    <t xml:space="preserve">PSPPH_1227</t>
  </si>
  <si>
    <t xml:space="preserve">AATGCAAAGAGCGTTTTCAT</t>
  </si>
  <si>
    <t xml:space="preserve">TAGTAATGCAAAGAGCGTTTTCAT</t>
  </si>
  <si>
    <t xml:space="preserve">AAACATGAAAACGCTCTTTGCATT</t>
  </si>
  <si>
    <t xml:space="preserve">TGCCGCACAAACGGCAGCAA</t>
  </si>
  <si>
    <t xml:space="preserve">TAGTTGCCGCACAAACGGCAGCAA</t>
  </si>
  <si>
    <t xml:space="preserve">AAACTTGCTGCCGTTTGTGCGGCA</t>
  </si>
  <si>
    <t xml:space="preserve">GTGCTTTCTTGAGAGTTTGC</t>
  </si>
  <si>
    <t xml:space="preserve">TAGTGTGCTTTCTTGAGAGTTTGC</t>
  </si>
  <si>
    <t xml:space="preserve">AAACGCAAACTCTCAAGAAAGCAC</t>
  </si>
  <si>
    <t xml:space="preserve">CTGAAGCTTGCCGTTGCTGG</t>
  </si>
  <si>
    <t xml:space="preserve">TAGTCTGAAGCTTGCCGTTGCTGG</t>
  </si>
  <si>
    <t xml:space="preserve">AAACCCAGCAACGGCAAGCTTCAG</t>
  </si>
  <si>
    <t xml:space="preserve">PSPPH_1229</t>
  </si>
  <si>
    <t xml:space="preserve">GGGTAGTAAGTGCAGTGAGT</t>
  </si>
  <si>
    <t xml:space="preserve">TAGTGGGTAGTAAGTGCAGTGAGT</t>
  </si>
  <si>
    <t xml:space="preserve">AAACACTCACTGCACTTACTACCC</t>
  </si>
  <si>
    <t xml:space="preserve">TGGGTGACGCGATGCCGGGC</t>
  </si>
  <si>
    <t xml:space="preserve">TAGTTGGGTGACGCGATGCCGGGC</t>
  </si>
  <si>
    <t xml:space="preserve">AAACGCCCGGCATCGCGTCACCCA</t>
  </si>
  <si>
    <t xml:space="preserve">TCGCGGCTCTGATCAGATGA</t>
  </si>
  <si>
    <t xml:space="preserve">TAGTTCGCGGCTCTGATCAGATGA</t>
  </si>
  <si>
    <t xml:space="preserve">AAACTCATCTGATCAGAGCCGCGA</t>
  </si>
  <si>
    <t xml:space="preserve">GGCCAGGCGCTGGCTGGATG</t>
  </si>
  <si>
    <t xml:space="preserve">TAGTGGCCAGGCGCTGGCTGGATG</t>
  </si>
  <si>
    <t xml:space="preserve">AAACCATCCAGCCAGCGCCTGGCC</t>
  </si>
  <si>
    <t xml:space="preserve">PSPPH_1230</t>
  </si>
  <si>
    <t xml:space="preserve">AATGCTTTGTTGACGGCTTT</t>
  </si>
  <si>
    <t xml:space="preserve">TAGTAATGCTTTGTTGACGGCTTT</t>
  </si>
  <si>
    <t xml:space="preserve">AAACAAAGCCGTCAACAAAGCATT</t>
  </si>
  <si>
    <t xml:space="preserve">CTGAGCTTCAAGCTTTTGAG</t>
  </si>
  <si>
    <t xml:space="preserve">TAGTCTGAGCTTCAAGCTTTTGAG</t>
  </si>
  <si>
    <t xml:space="preserve">AAACCTCAAAAGCTTGAAGCTCAG</t>
  </si>
  <si>
    <t xml:space="preserve">TCGCAAGAGAAGCCTGAGCC</t>
  </si>
  <si>
    <t xml:space="preserve">TAGTTCGCAAGAGAAGCCTGAGCC</t>
  </si>
  <si>
    <t xml:space="preserve">AAACGGCTCAGGCTTCTCTTGCGA</t>
  </si>
  <si>
    <t xml:space="preserve">AACGGTACGACCAGCTGCCT</t>
  </si>
  <si>
    <t xml:space="preserve">TAGTAACGGTACGACCAGCTGCCT</t>
  </si>
  <si>
    <t xml:space="preserve">AAACAGGCAGCTGGTCGTACCGTT</t>
  </si>
  <si>
    <t xml:space="preserve">PSPPH_1231</t>
  </si>
  <si>
    <t xml:space="preserve">GTAAGGCAGTGGCGTCAGGC</t>
  </si>
  <si>
    <t xml:space="preserve">TAGTGTAAGGCAGTGGCGTCAGGC</t>
  </si>
  <si>
    <t xml:space="preserve">AAACGCCTGACGCCACTGCCTTAC</t>
  </si>
  <si>
    <t xml:space="preserve">GATAATCAACGACCTGTCGA</t>
  </si>
  <si>
    <t xml:space="preserve">TAGTGATAATCAACGACCTGTCGA</t>
  </si>
  <si>
    <t xml:space="preserve">AAACTCGACAGGTCGTTGATTATC</t>
  </si>
  <si>
    <t xml:space="preserve">GCCCCACACTGTGGGCTCGC</t>
  </si>
  <si>
    <t xml:space="preserve">TAGTGCCCCACACTGTGGGCTCGC</t>
  </si>
  <si>
    <t xml:space="preserve">AAACGCGAGCCCACAGTGTGGGGC</t>
  </si>
  <si>
    <t xml:space="preserve">CCTGATGACACCAAGCGACG</t>
  </si>
  <si>
    <t xml:space="preserve">TAGTCCTGATGACACCAAGCGACG</t>
  </si>
  <si>
    <t xml:space="preserve">AAACCGTCGCTTGGTGTCATCAGG</t>
  </si>
  <si>
    <t xml:space="preserve">PSPPH_1232</t>
  </si>
  <si>
    <t xml:space="preserve">GCACGCTGTTTTCCTCTGAA</t>
  </si>
  <si>
    <t xml:space="preserve">TAGTGCACGCTGTTTTCCTCTGAA</t>
  </si>
  <si>
    <t xml:space="preserve">AAACTTCAGAGGAAAACAGCGTGC</t>
  </si>
  <si>
    <t xml:space="preserve">TCCATTTCCGGAAAGTGCCG</t>
  </si>
  <si>
    <t xml:space="preserve">TAGTTCCATTTCCGGAAAGTGCCG</t>
  </si>
  <si>
    <t xml:space="preserve">AAACCGGCACTTTCCGGAAATGGA</t>
  </si>
  <si>
    <t xml:space="preserve">AGTACGGCTCGTGTCATTGT</t>
  </si>
  <si>
    <t xml:space="preserve">TAGTAGTACGGCTCGTGTCATTGT</t>
  </si>
  <si>
    <t xml:space="preserve">AAACACAATGACACGAGCCGTACT</t>
  </si>
  <si>
    <t xml:space="preserve">GCGCCAGCCATGCAACCGAG</t>
  </si>
  <si>
    <t xml:space="preserve">TAGTGCGCCAGCCATGCAACCGAG</t>
  </si>
  <si>
    <t xml:space="preserve">AAACCTCGGTTGCATGGCTGGCGC</t>
  </si>
  <si>
    <t xml:space="preserve">PSPPH_1233</t>
  </si>
  <si>
    <t xml:space="preserve">CAGCGCGTTGGTGGTGTTGG</t>
  </si>
  <si>
    <t xml:space="preserve">TAGTCAGCGCGTTGGTGGTGTTGG</t>
  </si>
  <si>
    <t xml:space="preserve">AAACCCAACACCACCAACGCGCTG</t>
  </si>
  <si>
    <t xml:space="preserve">GTTTCAGTGAAGCGGTCGTA</t>
  </si>
  <si>
    <t xml:space="preserve">TAGTGTTTCAGTGAAGCGGTCGTA</t>
  </si>
  <si>
    <t xml:space="preserve">AAACTACGACCGCTTCACTGAAAC</t>
  </si>
  <si>
    <t xml:space="preserve">CTGATAACGATCAGCCAGCT</t>
  </si>
  <si>
    <t xml:space="preserve">TAGTCTGATAACGATCAGCCAGCT</t>
  </si>
  <si>
    <t xml:space="preserve">AAACAGCTGGCTGATCGTTATCAG</t>
  </si>
  <si>
    <t xml:space="preserve">CGGTACAACGCGTCACGCAC</t>
  </si>
  <si>
    <t xml:space="preserve">TAGTCGGTACAACGCGTCACGCAC</t>
  </si>
  <si>
    <t xml:space="preserve">AAACGTGCGTGACGCGTTGTACCG</t>
  </si>
  <si>
    <t xml:space="preserve">PSPPH_1234</t>
  </si>
  <si>
    <t xml:space="preserve">AGTGAAAGCGTGGGTCACTT</t>
  </si>
  <si>
    <t xml:space="preserve">TAGTAGTGAAAGCGTGGGTCACTT</t>
  </si>
  <si>
    <t xml:space="preserve">AAACAAGTGACCCACGCTTTCACT</t>
  </si>
  <si>
    <t xml:space="preserve">GGTCAGCTCGTTGGCCAGCA</t>
  </si>
  <si>
    <t xml:space="preserve">TAGTGGTCAGCTCGTTGGCCAGCA</t>
  </si>
  <si>
    <t xml:space="preserve">AAACTGCTGGCCAACGAGCTGACC</t>
  </si>
  <si>
    <t xml:space="preserve">CCAGAAATACCCATCCAGCG</t>
  </si>
  <si>
    <t xml:space="preserve">TAGTCCAGAAATACCCATCCAGCG</t>
  </si>
  <si>
    <t xml:space="preserve">AAACCGCTGGATGGGTATTTCTGG</t>
  </si>
  <si>
    <t xml:space="preserve">GCCATAGCGAACGGTCTGTT</t>
  </si>
  <si>
    <t xml:space="preserve">TAGTGCCATAGCGAACGGTCTGTT</t>
  </si>
  <si>
    <t xml:space="preserve">AAACAACAGACCGTTCGCTATGGC</t>
  </si>
  <si>
    <t xml:space="preserve">PSPPH_1235</t>
  </si>
  <si>
    <t xml:space="preserve">GGGGCGAACGTGAAACAGTC</t>
  </si>
  <si>
    <t xml:space="preserve">TAGTGGGGCGAACGTGAAACAGTC</t>
  </si>
  <si>
    <t xml:space="preserve">AAACGACTGTTTCACGTTCGCCCC</t>
  </si>
  <si>
    <t xml:space="preserve">TCACCACAGCGGCACAGGAG</t>
  </si>
  <si>
    <t xml:space="preserve">TAGTTCACCACAGCGGCACAGGAG</t>
  </si>
  <si>
    <t xml:space="preserve">AAACCTCCTGTGCCGCTGTGGTGA</t>
  </si>
  <si>
    <t xml:space="preserve">CACCAAAGCCGCCGGGTTCG</t>
  </si>
  <si>
    <t xml:space="preserve">TAGTCACCAAAGCCGCCGGGTTCG</t>
  </si>
  <si>
    <t xml:space="preserve">AAACCGAACCCGGCGGCTTTGGTG</t>
  </si>
  <si>
    <t xml:space="preserve">TACGACATCGTTGCCCAGCG</t>
  </si>
  <si>
    <t xml:space="preserve">TAGTTACGACATCGTTGCCCAGCG</t>
  </si>
  <si>
    <t xml:space="preserve">AAACCGCTGGGCAACGATGTCGTA</t>
  </si>
  <si>
    <t xml:space="preserve">PSPPH_1237</t>
  </si>
  <si>
    <t xml:space="preserve">AAACCCGCACGAGCTGCCAT</t>
  </si>
  <si>
    <t xml:space="preserve">TAGTAAACCCGCACGAGCTGCCAT</t>
  </si>
  <si>
    <t xml:space="preserve">AAACATGGCAGCTCGTGCGGGTTT</t>
  </si>
  <si>
    <t xml:space="preserve">AGGTTTGAAGTCGCGCTCGG</t>
  </si>
  <si>
    <t xml:space="preserve">TAGTAGGTTTGAAGTCGCGCTCGG</t>
  </si>
  <si>
    <t xml:space="preserve">AAACCCGAGCGCGACTTCAAACCT</t>
  </si>
  <si>
    <t xml:space="preserve">TCCTCCCAACTGCTGGGGGT</t>
  </si>
  <si>
    <t xml:space="preserve">TAGTTCCTCCCAACTGCTGGGGGT</t>
  </si>
  <si>
    <t xml:space="preserve">AAACACCCCCAGCAGTTGGGAGGA</t>
  </si>
  <si>
    <t xml:space="preserve">TGCAATATGACGTTCACTCA</t>
  </si>
  <si>
    <t xml:space="preserve">TAGTTGCAATATGACGTTCACTCA</t>
  </si>
  <si>
    <t xml:space="preserve">AAACTGAGTGAACGTCATATTGCA</t>
  </si>
  <si>
    <t xml:space="preserve">PSPPH_1239</t>
  </si>
  <si>
    <t xml:space="preserve">GGGCGAGGAGAAAGGTAGTC</t>
  </si>
  <si>
    <t xml:space="preserve">TAGTGGGCGAGGAGAAAGGTAGTC</t>
  </si>
  <si>
    <t xml:space="preserve">AAACGACTACCTTTCTCCTCGCCC</t>
  </si>
  <si>
    <t xml:space="preserve">GCGGATAGCTCCGGCCAGCA</t>
  </si>
  <si>
    <t xml:space="preserve">TAGTGCGGATAGCTCCGGCCAGCA</t>
  </si>
  <si>
    <t xml:space="preserve">AAACTGCTGGCCGGAGCTATCCGC</t>
  </si>
  <si>
    <t xml:space="preserve">CCCAGGCTGACGAACAAAAA</t>
  </si>
  <si>
    <t xml:space="preserve">TAGTCCCAGGCTGACGAACAAAAA</t>
  </si>
  <si>
    <t xml:space="preserve">AAACTTTTTGTTCGTCAGCCTGGG</t>
  </si>
  <si>
    <t xml:space="preserve">TCCGGCCACTTTTCTCGGTC</t>
  </si>
  <si>
    <t xml:space="preserve">TAGTTCCGGCCACTTTTCTCGGTC</t>
  </si>
  <si>
    <t xml:space="preserve">AAACGACCGAGAAAAGTGGCCGGA</t>
  </si>
  <si>
    <t xml:space="preserve">PSPPH_1240</t>
  </si>
  <si>
    <t xml:space="preserve">GGCGACGCAGCCTAATGGAT</t>
  </si>
  <si>
    <t xml:space="preserve">TAGTGGCGACGCAGCCTAATGGAT</t>
  </si>
  <si>
    <t xml:space="preserve">AAACATCCATTAGGCTGCGTCGCC</t>
  </si>
  <si>
    <t xml:space="preserve">CCGGCAACAGCGCGCTGGCG</t>
  </si>
  <si>
    <t xml:space="preserve">TAGTCCGGCAACAGCGCGCTGGCG</t>
  </si>
  <si>
    <t xml:space="preserve">AAACCGCCAGCGCGCTGTTGCCGG</t>
  </si>
  <si>
    <t xml:space="preserve">GAAAACACCGCCAACACCGT</t>
  </si>
  <si>
    <t xml:space="preserve">TAGTGAAAACACCGCCAACACCGT</t>
  </si>
  <si>
    <t xml:space="preserve">AAACACGGTGTTGGCGGTGTTTTC</t>
  </si>
  <si>
    <t xml:space="preserve">AGTTGCAGGGCTTGCCAGGC</t>
  </si>
  <si>
    <t xml:space="preserve">TAGTAGTTGCAGGGCTTGCCAGGC</t>
  </si>
  <si>
    <t xml:space="preserve">AAACGCCTGGCAAGCCCTGCAACT</t>
  </si>
  <si>
    <t xml:space="preserve">PSPPH_1242</t>
  </si>
  <si>
    <t xml:space="preserve">AATATCGAGTGCGGTCATAG</t>
  </si>
  <si>
    <t xml:space="preserve">TAGTAATATCGAGTGCGGTCATAG</t>
  </si>
  <si>
    <t xml:space="preserve">AAACCTATGACCGCACTCGATATT</t>
  </si>
  <si>
    <t xml:space="preserve">ACGTAACGCCGACTGAAGTT</t>
  </si>
  <si>
    <t xml:space="preserve">TAGTACGTAACGCCGACTGAAGTT</t>
  </si>
  <si>
    <t xml:space="preserve">AAACAACTTCAGTCGGCGTTACGT</t>
  </si>
  <si>
    <t xml:space="preserve">GGTTTGCACAAGTGCCGTCA</t>
  </si>
  <si>
    <t xml:space="preserve">TAGTGGTTTGCACAAGTGCCGTCA</t>
  </si>
  <si>
    <t xml:space="preserve">AAACTGACGGCACTTGTGCAAACC</t>
  </si>
  <si>
    <t xml:space="preserve">CGCATCAATGTGCGCCGTCA</t>
  </si>
  <si>
    <t xml:space="preserve">TAGTCGCATCAATGTGCGCCGTCA</t>
  </si>
  <si>
    <t xml:space="preserve">AAACTGACGGCGCACATTGATGCG</t>
  </si>
  <si>
    <t xml:space="preserve">PSPPH_1243</t>
  </si>
  <si>
    <t xml:space="preserve">CACAGTGGCTTGTTCGGTCG</t>
  </si>
  <si>
    <t xml:space="preserve">TAGTCACAGTGGCTTGTTCGGTCG</t>
  </si>
  <si>
    <t xml:space="preserve">AAACCGACCGAACAAGCCACTGTG</t>
  </si>
  <si>
    <t xml:space="preserve">GAACATCCGCAGGATCGGGA</t>
  </si>
  <si>
    <t xml:space="preserve">TAGTGAACATCCGCAGGATCGGGA</t>
  </si>
  <si>
    <t xml:space="preserve">AAACTCCCGATCCTGCGGATGTTC</t>
  </si>
  <si>
    <t xml:space="preserve">CGCTGAAACCGAGAAAGTCG</t>
  </si>
  <si>
    <t xml:space="preserve">TAGTCGCTGAAACCGAGAAAGTCG</t>
  </si>
  <si>
    <t xml:space="preserve">AAACCGACTTTCTCGGTTTCAGCG</t>
  </si>
  <si>
    <t xml:space="preserve">CCCCAGATACAACGGCAGAT</t>
  </si>
  <si>
    <t xml:space="preserve">TAGTCCCCAGATACAACGGCAGAT</t>
  </si>
  <si>
    <t xml:space="preserve">AAACATCTGCCGTTGTATCTGGGG</t>
  </si>
  <si>
    <t xml:space="preserve">PSPPH_1244</t>
  </si>
  <si>
    <t xml:space="preserve">AATCGAGCTTAACGTCGGCG</t>
  </si>
  <si>
    <t xml:space="preserve">TAGTAATCGAGCTTAACGTCGGCG</t>
  </si>
  <si>
    <t xml:space="preserve">AAACCGCCGACGTTAAGCTCGATT</t>
  </si>
  <si>
    <t xml:space="preserve">CGTCCTGTTGCAGGGCCGTG</t>
  </si>
  <si>
    <t xml:space="preserve">TAGTCGTCCTGTTGCAGGGCCGTG</t>
  </si>
  <si>
    <t xml:space="preserve">AAACCACGGCCCTGCAACAGGACG</t>
  </si>
  <si>
    <t xml:space="preserve">CATGCCGATCTGATCGGCCA</t>
  </si>
  <si>
    <t xml:space="preserve">TAGTCATGCCGATCTGATCGGCCA</t>
  </si>
  <si>
    <t xml:space="preserve">AAACTGGCCGATCAGATCGGCATG</t>
  </si>
  <si>
    <t xml:space="preserve">GACCCGTCGCCAGCAGGGCG</t>
  </si>
  <si>
    <t xml:space="preserve">TAGTGACCCGTCGCCAGCAGGGCG</t>
  </si>
  <si>
    <t xml:space="preserve">AAACCGCCCTGCTGGCGACGGGTC</t>
  </si>
  <si>
    <t xml:space="preserve">PSPPH_1245</t>
  </si>
  <si>
    <t xml:space="preserve">GCCAGGGCCGGGAATGGCTG</t>
  </si>
  <si>
    <t xml:space="preserve">TAGTGCCAGGGCCGGGAATGGCTG</t>
  </si>
  <si>
    <t xml:space="preserve">AAACCAGCCATTCCCGGCCCTGGC</t>
  </si>
  <si>
    <t xml:space="preserve">CCAGGATGAGACCGGCCAGC</t>
  </si>
  <si>
    <t xml:space="preserve">TAGTCCAGGATGAGACCGGCCAGC</t>
  </si>
  <si>
    <t xml:space="preserve">AAACGCTGGCCGGTCTCATCCTGG</t>
  </si>
  <si>
    <t xml:space="preserve">GAATACCACAAATGACAGAT</t>
  </si>
  <si>
    <t xml:space="preserve">TAGTGAATACCACAAATGACAGAT</t>
  </si>
  <si>
    <t xml:space="preserve">AAACATCTGTCATTTGTGGTATTC</t>
  </si>
  <si>
    <t xml:space="preserve">AGTGTTCGGCAATCATTGCA</t>
  </si>
  <si>
    <t xml:space="preserve">TAGTAGTGTTCGGCAATCATTGCA</t>
  </si>
  <si>
    <t xml:space="preserve">AAACTGCAATGATTGCCGAACACT</t>
  </si>
  <si>
    <t xml:space="preserve">PSPPH_1246</t>
  </si>
  <si>
    <t xml:space="preserve">TTGCGGATCGGCCGCTGCTG</t>
  </si>
  <si>
    <t xml:space="preserve">TAGTTTGCGGATCGGCCGCTGCTG</t>
  </si>
  <si>
    <t xml:space="preserve">AAACCAGCAGCGGCCGATCCGCAA</t>
  </si>
  <si>
    <t xml:space="preserve">GATATAAAAATGAGTCGATT</t>
  </si>
  <si>
    <t xml:space="preserve">TAGTGATATAAAAATGAGTCGATT</t>
  </si>
  <si>
    <t xml:space="preserve">AAACAATCGACTCATTTTTATATC</t>
  </si>
  <si>
    <t xml:space="preserve">ACCCATAGTGGCCACGAGCA</t>
  </si>
  <si>
    <t xml:space="preserve">TAGTACCCATAGTGGCCACGAGCA</t>
  </si>
  <si>
    <t xml:space="preserve">AAACTGCTCGTGGCCACTATGGGT</t>
  </si>
  <si>
    <t xml:space="preserve">CAATGCACCGGCGATGATGC</t>
  </si>
  <si>
    <t xml:space="preserve">TAGTCAATGCACCGGCGATGATGC</t>
  </si>
  <si>
    <t xml:space="preserve">AAACGCATCATCGCCGGTGCATTG</t>
  </si>
  <si>
    <t xml:space="preserve">PSPPH_1247</t>
  </si>
  <si>
    <t xml:space="preserve">hmp</t>
  </si>
  <si>
    <t xml:space="preserve">GGCTTTAATGATGTCGCGAT</t>
  </si>
  <si>
    <t xml:space="preserve">TAGTGGCTTTAATGATGTCGCGAT</t>
  </si>
  <si>
    <t xml:space="preserve">AAACATCGCGACATCATTAAAGCC</t>
  </si>
  <si>
    <t xml:space="preserve">TGTTTCAAGGATCGGTACGG</t>
  </si>
  <si>
    <t xml:space="preserve">TAGTTGTTTCAAGGATCGGTACGG</t>
  </si>
  <si>
    <t xml:space="preserve">AAACCCGTACCGATCCTTGAAACA</t>
  </si>
  <si>
    <t xml:space="preserve">CATGATGCGATAGAAATGAG</t>
  </si>
  <si>
    <t xml:space="preserve">TAGTCATGATGCGATAGAAATGAG</t>
  </si>
  <si>
    <t xml:space="preserve">AAACCTCATTTCTATCGCATCATG</t>
  </si>
  <si>
    <t xml:space="preserve">TTGAACAGCGGACGAACCTG</t>
  </si>
  <si>
    <t xml:space="preserve">TAGTTTGAACAGCGGACGAACCTG</t>
  </si>
  <si>
    <t xml:space="preserve">AAACCAGGTTCGTCCGCTGTTCAA</t>
  </si>
  <si>
    <t xml:space="preserve">PSPPH_1248</t>
  </si>
  <si>
    <t xml:space="preserve">ATATTGCTCGGCCAGATTCA</t>
  </si>
  <si>
    <t xml:space="preserve">TAGTATATTGCTCGGCCAGATTCA</t>
  </si>
  <si>
    <t xml:space="preserve">AAACTGAATCTGGCCGAGCAATAT</t>
  </si>
  <si>
    <t xml:space="preserve">CCAGCGGCGTTCGTTAAGAC</t>
  </si>
  <si>
    <t xml:space="preserve">TAGTCCAGCGGCGTTCGTTAAGAC</t>
  </si>
  <si>
    <t xml:space="preserve">AAACGTCTTAACGAACGCCGCTGG</t>
  </si>
  <si>
    <t xml:space="preserve">TTCCAGCATCGCCCGGTAGC</t>
  </si>
  <si>
    <t xml:space="preserve">TAGTTTCCAGCATCGCCCGGTAGC</t>
  </si>
  <si>
    <t xml:space="preserve">AAACGCTACCGGGCGATGCTGGAA</t>
  </si>
  <si>
    <t xml:space="preserve">CAATGTTGAAACGCAGGTCA</t>
  </si>
  <si>
    <t xml:space="preserve">TAGTCAATGTTGAAACGCAGGTCA</t>
  </si>
  <si>
    <t xml:space="preserve">AAACTGACCTGCGTTTCAACATTG</t>
  </si>
  <si>
    <t xml:space="preserve">PSPPH_1249</t>
  </si>
  <si>
    <t xml:space="preserve">AACGTGAGTTGTTCAGGTGG</t>
  </si>
  <si>
    <t xml:space="preserve">TAGTAACGTGAGTTGTTCAGGTGG</t>
  </si>
  <si>
    <t xml:space="preserve">AAACCCACCTGAACAACTCACGTT</t>
  </si>
  <si>
    <t xml:space="preserve">AACGCTTGATCTCGTAGGGC</t>
  </si>
  <si>
    <t xml:space="preserve">TAGTAACGCTTGATCTCGTAGGGC</t>
  </si>
  <si>
    <t xml:space="preserve">AAACGCCCTACGAGATCAAGCGTT</t>
  </si>
  <si>
    <t xml:space="preserve">GCGGCGCAAGATTGCTTTTC</t>
  </si>
  <si>
    <t xml:space="preserve">TAGTGCGGCGCAAGATTGCTTTTC</t>
  </si>
  <si>
    <t xml:space="preserve">AAACGAAAAGCAATCTTGCGCCGC</t>
  </si>
  <si>
    <t xml:space="preserve">GGGTGCACAGCCTTGAGTTC</t>
  </si>
  <si>
    <t xml:space="preserve">TAGTGGGTGCACAGCCTTGAGTTC</t>
  </si>
  <si>
    <t xml:space="preserve">AAACGAACTCAAGGCTGTGCACCC</t>
  </si>
  <si>
    <t xml:space="preserve">PSPPH_1250</t>
  </si>
  <si>
    <t xml:space="preserve">TGCGCTGGCCTTTTTTGCGT</t>
  </si>
  <si>
    <t xml:space="preserve">TAGTTGCGCTGGCCTTTTTTGCGT</t>
  </si>
  <si>
    <t xml:space="preserve">AAACACGCAAAAAAGGCCAGCGCA</t>
  </si>
  <si>
    <t xml:space="preserve">GTATTTGGCCTTGCTCTGCG</t>
  </si>
  <si>
    <t xml:space="preserve">TAGTGTATTTGGCCTTGCTCTGCG</t>
  </si>
  <si>
    <t xml:space="preserve">AAACCGCAGAGCAAGGCCAAATAC</t>
  </si>
  <si>
    <t xml:space="preserve">GGCCGCCAGCTTCAAGCGGT</t>
  </si>
  <si>
    <t xml:space="preserve">TAGTGGCCGCCAGCTTCAAGCGGT</t>
  </si>
  <si>
    <t xml:space="preserve">AAACACCGCTTGAAGCTGGCGGCC</t>
  </si>
  <si>
    <t xml:space="preserve">TACCGAATCCTGATCCGCTT</t>
  </si>
  <si>
    <t xml:space="preserve">TAGTTACCGAATCCTGATCCGCTT</t>
  </si>
  <si>
    <t xml:space="preserve">AAACAAGCGGATCAGGATTCGGTA</t>
  </si>
  <si>
    <t xml:space="preserve">PSPPH_1251</t>
  </si>
  <si>
    <t xml:space="preserve">GGGCTGGCAAGAGGGTTCGA</t>
  </si>
  <si>
    <t xml:space="preserve">TAGTGGGCTGGCAAGAGGGTTCGA</t>
  </si>
  <si>
    <t xml:space="preserve">AAACTCGAACCCTCTTGCCAGCCC</t>
  </si>
  <si>
    <t xml:space="preserve">GACTGAGCTCACGCTCGACA</t>
  </si>
  <si>
    <t xml:space="preserve">TAGTGACTGAGCTCACGCTCGACA</t>
  </si>
  <si>
    <t xml:space="preserve">AAACTGTCGAGCGTGAGCTCAGTC</t>
  </si>
  <si>
    <t xml:space="preserve">CAGGATACCAAGCACAACCC</t>
  </si>
  <si>
    <t xml:space="preserve">TAGTCAGGATACCAAGCACAACCC</t>
  </si>
  <si>
    <t xml:space="preserve">AAACGGGTTGTGCTTGGTATCCTG</t>
  </si>
  <si>
    <t xml:space="preserve">AACCCGGCGTACACATTGGA</t>
  </si>
  <si>
    <t xml:space="preserve">TAGTAACCCGGCGTACACATTGGA</t>
  </si>
  <si>
    <t xml:space="preserve">AAACTCCAATGTGTACGCCGGGTT</t>
  </si>
  <si>
    <t xml:space="preserve">PSPPH_1252</t>
  </si>
  <si>
    <t xml:space="preserve">GGGGAGTCCTTAACTCTGTA</t>
  </si>
  <si>
    <t xml:space="preserve">TAGTGGGGAGTCCTTAACTCTGTA</t>
  </si>
  <si>
    <t xml:space="preserve">AAACTACAGAGTTAAGGACTCCCC</t>
  </si>
  <si>
    <t xml:space="preserve">AATATGCATTCCTGAAGAGA</t>
  </si>
  <si>
    <t xml:space="preserve">TAGTAATATGCATTCCTGAAGAGA</t>
  </si>
  <si>
    <t xml:space="preserve">AAACTCTCTTCAGGAATGCATATT</t>
  </si>
  <si>
    <t xml:space="preserve">AAGTTTCGTGGCTAGCATCA</t>
  </si>
  <si>
    <t xml:space="preserve">TAGTAAGTTTCGTGGCTAGCATCA</t>
  </si>
  <si>
    <t xml:space="preserve">AAACTGATGCTAGCCACGAAACTT</t>
  </si>
  <si>
    <t xml:space="preserve">ATGCGATCTTGCCGCACAGG</t>
  </si>
  <si>
    <t xml:space="preserve">TAGTATGCGATCTTGCCGCACAGG</t>
  </si>
  <si>
    <t xml:space="preserve">AAACCCTGTGCGGCAAGATCGCAT</t>
  </si>
  <si>
    <t xml:space="preserve">PSPPH_1253</t>
  </si>
  <si>
    <t xml:space="preserve">CCAGCAGCCGCTCAGTGAGA</t>
  </si>
  <si>
    <t xml:space="preserve">TAGTCCAGCAGCCGCTCAGTGAGA</t>
  </si>
  <si>
    <t xml:space="preserve">AAACTCTCACTGAGCGGCTGCTGG</t>
  </si>
  <si>
    <t xml:space="preserve">CACCATCAAGGTGATACATC</t>
  </si>
  <si>
    <t xml:space="preserve">TAGTCACCATCAAGGTGATACATC</t>
  </si>
  <si>
    <t xml:space="preserve">AAACGATGTATCACCTTGATGGTG</t>
  </si>
  <si>
    <t xml:space="preserve">GCCCAGCCGTGTCGTGTTCC</t>
  </si>
  <si>
    <t xml:space="preserve">TAGTGCCCAGCCGTGTCGTGTTCC</t>
  </si>
  <si>
    <t xml:space="preserve">AAACGGAACACGACACGGCTGGGC</t>
  </si>
  <si>
    <t xml:space="preserve">CCAGGTTGATGTCACGTCTT</t>
  </si>
  <si>
    <t xml:space="preserve">TAGTCCAGGTTGATGTCACGTCTT</t>
  </si>
  <si>
    <t xml:space="preserve">AAACAAGACGTGACATCAACCTGG</t>
  </si>
  <si>
    <t xml:space="preserve">PSPPH_1254</t>
  </si>
  <si>
    <t xml:space="preserve">GGCCGGGTCCAGTAATTCAT</t>
  </si>
  <si>
    <t xml:space="preserve">TAGTGGCCGGGTCCAGTAATTCAT</t>
  </si>
  <si>
    <t xml:space="preserve">AAACATGAATTACTGGACCCGGCC</t>
  </si>
  <si>
    <t xml:space="preserve">CTCGTCCATGAACCAACGAT</t>
  </si>
  <si>
    <t xml:space="preserve">TAGTCTCGTCCATGAACCAACGAT</t>
  </si>
  <si>
    <t xml:space="preserve">AAACATCGTTGGTTCATGGACGAG</t>
  </si>
  <si>
    <t xml:space="preserve">GCGAGCCCTGATGTCGGCAA</t>
  </si>
  <si>
    <t xml:space="preserve">TAGTGCGAGCCCTGATGTCGGCAA</t>
  </si>
  <si>
    <t xml:space="preserve">AAACTTGCCGACATCAGGGCTCGC</t>
  </si>
  <si>
    <t xml:space="preserve">GGTGGCGGCGGTTGCCCATG</t>
  </si>
  <si>
    <t xml:space="preserve">TAGTGGTGGCGGCGGTTGCCCATG</t>
  </si>
  <si>
    <t xml:space="preserve">AAACCATGGGCAACCGCCGCCACC</t>
  </si>
  <si>
    <t xml:space="preserve">PSPPH_1255</t>
  </si>
  <si>
    <t xml:space="preserve">GGACGGAGCCGAGGTGTTAT</t>
  </si>
  <si>
    <t xml:space="preserve">TAGTGGACGGAGCCGAGGTGTTAT</t>
  </si>
  <si>
    <t xml:space="preserve">AAACATAACACCTCGGCTCCGTCC</t>
  </si>
  <si>
    <t xml:space="preserve">GAGTTTTTTCTTCGGTGCAA</t>
  </si>
  <si>
    <t xml:space="preserve">TAGTGAGTTTTTTCTTCGGTGCAA</t>
  </si>
  <si>
    <t xml:space="preserve">AAACTTGCACCGAAGAAAAAACTC</t>
  </si>
  <si>
    <t xml:space="preserve">GATAGACGCGATCATCGCCG</t>
  </si>
  <si>
    <t xml:space="preserve">TAGTGATAGACGCGATCATCGCCG</t>
  </si>
  <si>
    <t xml:space="preserve">AAACCGGCGATGATCGCGTCTATC</t>
  </si>
  <si>
    <t xml:space="preserve">CGGGCGAGTGGCCTGACCCT</t>
  </si>
  <si>
    <t xml:space="preserve">TAGTCGGGCGAGTGGCCTGACCCT</t>
  </si>
  <si>
    <t xml:space="preserve">AAACAGGGTCAGGCCACTCGCCCG</t>
  </si>
  <si>
    <t xml:space="preserve">PSPPH_1256</t>
  </si>
  <si>
    <t xml:space="preserve">AGATAAAGTAGTGGCTGTCA</t>
  </si>
  <si>
    <t xml:space="preserve">TAGTAGATAAAGTAGTGGCTGTCA</t>
  </si>
  <si>
    <t xml:space="preserve">AAACTGACAGCCACTACTTTATCT</t>
  </si>
  <si>
    <t xml:space="preserve">CGCTGCGCCAGCGAGGTTGA</t>
  </si>
  <si>
    <t xml:space="preserve">TAGTCGCTGCGCCAGCGAGGTTGA</t>
  </si>
  <si>
    <t xml:space="preserve">AAACTCAACCTCGCTGGCGCAGCG</t>
  </si>
  <si>
    <t xml:space="preserve">GGCCCATGCGTAATGCGTGC</t>
  </si>
  <si>
    <t xml:space="preserve">TAGTGGCCCATGCGTAATGCGTGC</t>
  </si>
  <si>
    <t xml:space="preserve">AAACGCACGCATTACGCATGGGCC</t>
  </si>
  <si>
    <t xml:space="preserve">CATAACCCTGGCCCTGAACC</t>
  </si>
  <si>
    <t xml:space="preserve">TAGTCATAACCCTGGCCCTGAACC</t>
  </si>
  <si>
    <t xml:space="preserve">AAACGGTTCAGGGCCAGGGTTATG</t>
  </si>
  <si>
    <t xml:space="preserve">PSPPH_1257</t>
  </si>
  <si>
    <t xml:space="preserve">CGTCGATCCAGAACAAACTC</t>
  </si>
  <si>
    <t xml:space="preserve">TAGTCGTCGATCCAGAACAAACTC</t>
  </si>
  <si>
    <t xml:space="preserve">AAACGAGTTTGTTCTGGATCGACG</t>
  </si>
  <si>
    <t xml:space="preserve">TAGACCGCCAGGCATTCGCC</t>
  </si>
  <si>
    <t xml:space="preserve">TAGTTAGACCGCCAGGCATTCGCC</t>
  </si>
  <si>
    <t xml:space="preserve">AAACGGCGAATGCCTGGCGGTCTA</t>
  </si>
  <si>
    <t xml:space="preserve">GGTCATAGTGGTTATCATGA</t>
  </si>
  <si>
    <t xml:space="preserve">TAGTGGTCATAGTGGTTATCATGA</t>
  </si>
  <si>
    <t xml:space="preserve">AAACTCATGATAACCACTATGACC</t>
  </si>
  <si>
    <t xml:space="preserve">CGTGGTCGACACCGCGTCGA</t>
  </si>
  <si>
    <t xml:space="preserve">TAGTCGTGGTCGACACCGCGTCGA</t>
  </si>
  <si>
    <t xml:space="preserve">AAACTCGACGCGGTGTCGACCACG</t>
  </si>
  <si>
    <t xml:space="preserve">PSPPH_1258</t>
  </si>
  <si>
    <t xml:space="preserve">ACCGCGCTCCGACGCCGCGC</t>
  </si>
  <si>
    <t xml:space="preserve">TAGTACCGCGCTCCGACGCCGCGC</t>
  </si>
  <si>
    <t xml:space="preserve">AAACGCGCGGCGTCGGAGCGCGGT</t>
  </si>
  <si>
    <t xml:space="preserve">ATGGCGGGCGAACGTGACCG</t>
  </si>
  <si>
    <t xml:space="preserve">TAGTATGGCGGGCGAACGTGACCG</t>
  </si>
  <si>
    <t xml:space="preserve">AAACCGGTCACGTTCGCCCGCCAT</t>
  </si>
  <si>
    <t xml:space="preserve">GGCAGCGGCATCGCGTGCAG</t>
  </si>
  <si>
    <t xml:space="preserve">TAGTGGCAGCGGCATCGCGTGCAG</t>
  </si>
  <si>
    <t xml:space="preserve">AAACCTGCACGCGATGCCGCTGCC</t>
  </si>
  <si>
    <t xml:space="preserve">CAAGTGGCCTTCACCCAACG</t>
  </si>
  <si>
    <t xml:space="preserve">TAGTCAAGTGGCCTTCACCCAACG</t>
  </si>
  <si>
    <t xml:space="preserve">AAACCGTTGGGTGAAGGCCACTTG</t>
  </si>
  <si>
    <t xml:space="preserve">PSPPH_1259</t>
  </si>
  <si>
    <t xml:space="preserve">CTCAGAGGTGCATCGTCATC</t>
  </si>
  <si>
    <t xml:space="preserve">TAGTCTCAGAGGTGCATCGTCATC</t>
  </si>
  <si>
    <t xml:space="preserve">AAACGATGACGATGCACCTCTGAG</t>
  </si>
  <si>
    <t xml:space="preserve">GAAGCGCTTTCAGCGGTGGC</t>
  </si>
  <si>
    <t xml:space="preserve">TAGTGAAGCGCTTTCAGCGGTGGC</t>
  </si>
  <si>
    <t xml:space="preserve">AAACGCCACCGCTGAAAGCGCTTC</t>
  </si>
  <si>
    <t xml:space="preserve">GAAGCGGGCAGTCTGTTCGA</t>
  </si>
  <si>
    <t xml:space="preserve">TAGTGAAGCGGGCAGTCTGTTCGA</t>
  </si>
  <si>
    <t xml:space="preserve">AAACTCGAACAGACTGCCCGCTTC</t>
  </si>
  <si>
    <t xml:space="preserve">GTCCAGGACCTCGGCTGCTC</t>
  </si>
  <si>
    <t xml:space="preserve">TAGTGTCCAGGACCTCGGCTGCTC</t>
  </si>
  <si>
    <t xml:space="preserve">AAACGAGCAGCCGAGGTCCTGGAC</t>
  </si>
  <si>
    <t xml:space="preserve">PSPPH_1260</t>
  </si>
  <si>
    <t xml:space="preserve">GCCGGTAACGACTGCGGTCC</t>
  </si>
  <si>
    <t xml:space="preserve">TAGTGCCGGTAACGACTGCGGTCC</t>
  </si>
  <si>
    <t xml:space="preserve">AAACGGACCGCAGTCGTTACCGGC</t>
  </si>
  <si>
    <t xml:space="preserve">CACAAAGAGTTTTGCAATGG</t>
  </si>
  <si>
    <t xml:space="preserve">TAGTCACAAAGAGTTTTGCAATGG</t>
  </si>
  <si>
    <t xml:space="preserve">AAACCCATTGCAAAACTCTTTGTG</t>
  </si>
  <si>
    <t xml:space="preserve">TGCCTGCAACCGCATTACCA</t>
  </si>
  <si>
    <t xml:space="preserve">TAGTTGCCTGCAACCGCATTACCA</t>
  </si>
  <si>
    <t xml:space="preserve">AAACTGGTAATGCGGTTGCAGGCA</t>
  </si>
  <si>
    <t xml:space="preserve">ATGGGGGTGAGGATGACCGC</t>
  </si>
  <si>
    <t xml:space="preserve">TAGTATGGGGGTGAGGATGACCGC</t>
  </si>
  <si>
    <t xml:space="preserve">AAACGCGGTCATCCTCACCCCCAT</t>
  </si>
  <si>
    <t xml:space="preserve">PSPPH_1261</t>
  </si>
  <si>
    <t xml:space="preserve">CTTCGGCTACATAAGAACAG</t>
  </si>
  <si>
    <t xml:space="preserve">TAGTCTTCGGCTACATAAGAACAG</t>
  </si>
  <si>
    <t xml:space="preserve">AAACCTGTTCTTATGTAGCCGAAG</t>
  </si>
  <si>
    <t xml:space="preserve">AAGCTCTGTCCTTGCCAAAG</t>
  </si>
  <si>
    <t xml:space="preserve">TAGTAAGCTCTGTCCTTGCCAAAG</t>
  </si>
  <si>
    <t xml:space="preserve">AAACCTTTGGCAAGGACAGAGCTT</t>
  </si>
  <si>
    <t xml:space="preserve">CAGATACACAATGGTCAATC</t>
  </si>
  <si>
    <t xml:space="preserve">TAGTCAGATACACAATGGTCAATC</t>
  </si>
  <si>
    <t xml:space="preserve">AAACGATTGACCATTGTGTATCTG</t>
  </si>
  <si>
    <t xml:space="preserve">GGATCGCAACCGTCTCACCA</t>
  </si>
  <si>
    <t xml:space="preserve">TAGTGGATCGCAACCGTCTCACCA</t>
  </si>
  <si>
    <t xml:space="preserve">AAACTGGTGAGACGGTTGCGATCC</t>
  </si>
  <si>
    <t xml:space="preserve">PSPPH_1264</t>
  </si>
  <si>
    <t xml:space="preserve">hrpW1</t>
  </si>
  <si>
    <t xml:space="preserve">CGTGGGTTGGTAGGGTGTGG</t>
  </si>
  <si>
    <t xml:space="preserve">TAGTCGTGGGTTGGTAGGGTGTGG</t>
  </si>
  <si>
    <t xml:space="preserve">AAACCCACACCCTACCAACCCACG</t>
  </si>
  <si>
    <t xml:space="preserve">CAGCGCCGAGAAGTCCAGCG</t>
  </si>
  <si>
    <t xml:space="preserve">TAGTCAGCGCCGAGAAGTCCAGCG</t>
  </si>
  <si>
    <t xml:space="preserve">AAACCGCTGGACTTCTCGGCGCTG</t>
  </si>
  <si>
    <t xml:space="preserve">CGTGGAAGGTGTTTGTCTGC</t>
  </si>
  <si>
    <t xml:space="preserve">TAGTCGTGGAAGGTGTTTGTCTGC</t>
  </si>
  <si>
    <t xml:space="preserve">AAACGCAGACAAACACCTTCCACG</t>
  </si>
  <si>
    <t xml:space="preserve">ACCAGCGTCTACGGCCTGTG</t>
  </si>
  <si>
    <t xml:space="preserve">TAGTACCAGCGTCTACGGCCTGTG</t>
  </si>
  <si>
    <t xml:space="preserve">AAACCACAGGCCGTAGACGCTGGT</t>
  </si>
  <si>
    <t xml:space="preserve">PSPPH_1265</t>
  </si>
  <si>
    <t xml:space="preserve">shcM</t>
  </si>
  <si>
    <t xml:space="preserve">AGTGTGGTACGGGTCATTAT</t>
  </si>
  <si>
    <t xml:space="preserve">TAGTAGTGTGGTACGGGTCATTAT</t>
  </si>
  <si>
    <t xml:space="preserve">AAACATAATGACCCGTACCACACT</t>
  </si>
  <si>
    <t xml:space="preserve">AACGTTCAGGCGTGGAAATA</t>
  </si>
  <si>
    <t xml:space="preserve">TAGTAACGTTCAGGCGTGGAAATA</t>
  </si>
  <si>
    <t xml:space="preserve">AAACTATTTCCACGCCTGAACGTT</t>
  </si>
  <si>
    <t xml:space="preserve">CACTTCGCTGATTTTGAAAT</t>
  </si>
  <si>
    <t xml:space="preserve">TAGTCACTTCGCTGATTTTGAAAT</t>
  </si>
  <si>
    <t xml:space="preserve">AAACATTTCAAAATCAGCGAAGTG</t>
  </si>
  <si>
    <t xml:space="preserve">CGCCGTAAATCAAAACAGCA</t>
  </si>
  <si>
    <t xml:space="preserve">TAGTCGCCGTAAATCAAAACAGCA</t>
  </si>
  <si>
    <t xml:space="preserve">AAACTGCTGTTTTGATTTACGGCG</t>
  </si>
  <si>
    <t xml:space="preserve">PSPPH_1267</t>
  </si>
  <si>
    <t xml:space="preserve">shcF</t>
  </si>
  <si>
    <t xml:space="preserve">AGCGGGCAAAATCGGGTGTC</t>
  </si>
  <si>
    <t xml:space="preserve">TAGTAGCGGGCAAAATCGGGTGTC</t>
  </si>
  <si>
    <t xml:space="preserve">AAACGACACCCGATTTTGCCCGCT</t>
  </si>
  <si>
    <t xml:space="preserve">AGGCCAGTGATGTACCGAGT</t>
  </si>
  <si>
    <t xml:space="preserve">TAGTAGGCCAGTGATGTACCGAGT</t>
  </si>
  <si>
    <t xml:space="preserve">AAACACTCGGTACATCACTGGCCT</t>
  </si>
  <si>
    <t xml:space="preserve">GGCGCATACGCCATTCTGCA</t>
  </si>
  <si>
    <t xml:space="preserve">TAGTGGCGCATACGCCATTCTGCA</t>
  </si>
  <si>
    <t xml:space="preserve">AAACTGCAGAATGGCGTATGCGCC</t>
  </si>
  <si>
    <t xml:space="preserve">GTTGTTCTGGCCGTCGTAAA</t>
  </si>
  <si>
    <t xml:space="preserve">TAGTGTTGTTCTGGCCGTCGTAAA</t>
  </si>
  <si>
    <t xml:space="preserve">AAACTTTACGACGGCCAGAACAAC</t>
  </si>
  <si>
    <t xml:space="preserve">PSPPH_1268</t>
  </si>
  <si>
    <t xml:space="preserve">avrE1</t>
  </si>
  <si>
    <t xml:space="preserve">GTGGATCGAGGATGAATGCA</t>
  </si>
  <si>
    <t xml:space="preserve">TAGTGTGGATCGAGGATGAATGCA</t>
  </si>
  <si>
    <t xml:space="preserve">AAACTGCATTCATCCTCGATCCAC</t>
  </si>
  <si>
    <t xml:space="preserve">GAATGATGCATCCGGTGTTG</t>
  </si>
  <si>
    <t xml:space="preserve">TAGTGAATGATGCATCCGGTGTTG</t>
  </si>
  <si>
    <t xml:space="preserve">AAACCAACACCGGATGCATCATTC</t>
  </si>
  <si>
    <t xml:space="preserve">TTCGTGTTTGCCGGGGCTGG</t>
  </si>
  <si>
    <t xml:space="preserve">TAGTTTCGTGTTTGCCGGGGCTGG</t>
  </si>
  <si>
    <t xml:space="preserve">AAACCCAGCCCCGGCAAACACGAA</t>
  </si>
  <si>
    <t xml:space="preserve">GAGTGGGAGGAGCGTTGTTT</t>
  </si>
  <si>
    <t xml:space="preserve">TAGTGAGTGGGAGGAGCGTTGTTT</t>
  </si>
  <si>
    <t xml:space="preserve">AAACAAACAACGCTCCTCCCACTC</t>
  </si>
  <si>
    <t xml:space="preserve">PSPPH_1269</t>
  </si>
  <si>
    <t xml:space="preserve">ATGGAGGCAACGGCGGGCAT</t>
  </si>
  <si>
    <t xml:space="preserve">TAGTATGGAGGCAACGGCGGGCAT</t>
  </si>
  <si>
    <t xml:space="preserve">AAACATGCCCGCCGTTGCCTCCAT</t>
  </si>
  <si>
    <t xml:space="preserve">TAGCGCGAGCCAGCAAGCGG</t>
  </si>
  <si>
    <t xml:space="preserve">TAGTTAGCGCGAGCCAGCAAGCGG</t>
  </si>
  <si>
    <t xml:space="preserve">AAACCCGCTTGCTGGCTCGCGCTA</t>
  </si>
  <si>
    <t xml:space="preserve">CGCGGGTTGCGTTCCTGCCG</t>
  </si>
  <si>
    <t xml:space="preserve">TAGTCGCGGGTTGCGTTCCTGCCG</t>
  </si>
  <si>
    <t xml:space="preserve">AAACCGGCAGGAACGCAACCCGCG</t>
  </si>
  <si>
    <t xml:space="preserve">CATCTCCCCCCCAGTAGACC</t>
  </si>
  <si>
    <t xml:space="preserve">TAGTCATCTCCCCCCCAGTAGACC</t>
  </si>
  <si>
    <t xml:space="preserve">AAACGGTCTACTGGGGGGGAGATG</t>
  </si>
  <si>
    <t xml:space="preserve">PSPPH_1270</t>
  </si>
  <si>
    <t xml:space="preserve">hrpR</t>
  </si>
  <si>
    <t xml:space="preserve">CAGTTACGTCCCAATACTCT</t>
  </si>
  <si>
    <t xml:space="preserve">TAGTCAGTTACGTCCCAATACTCT</t>
  </si>
  <si>
    <t xml:space="preserve">AAACAGAGTATTGGGACGTAACTG</t>
  </si>
  <si>
    <t xml:space="preserve">CATTACAATTTGATGACCAG</t>
  </si>
  <si>
    <t xml:space="preserve">TAGTCATTACAATTTGATGACCAG</t>
  </si>
  <si>
    <t xml:space="preserve">AAACCTGGTCATCAAATTGTAATG</t>
  </si>
  <si>
    <t xml:space="preserve">CAGGGTGTCTTTACCCGTCC</t>
  </si>
  <si>
    <t xml:space="preserve">TAGTCAGGGTGTCTTTACCCGTCC</t>
  </si>
  <si>
    <t xml:space="preserve">AAACGGACGGGTAAAGACACCCTG</t>
  </si>
  <si>
    <t xml:space="preserve">GGACAGCTCATGAATGCGAT</t>
  </si>
  <si>
    <t xml:space="preserve">TAGTGGACAGCTCATGAATGCGAT</t>
  </si>
  <si>
    <t xml:space="preserve">AAACATCGCATTCATGAGCTGTCC</t>
  </si>
  <si>
    <t xml:space="preserve">PSPPH_1271</t>
  </si>
  <si>
    <t xml:space="preserve">hrpS</t>
  </si>
  <si>
    <t xml:space="preserve">TTGGAACACGCTCCTCGTCT</t>
  </si>
  <si>
    <t xml:space="preserve">TAGTTTGGAACACGCTCCTCGTCT</t>
  </si>
  <si>
    <t xml:space="preserve">AAACAGACGAGGAGCGTGTTCCAA</t>
  </si>
  <si>
    <t xml:space="preserve">AATAGTGTCTTTGCCAGTCC</t>
  </si>
  <si>
    <t xml:space="preserve">TAGTAATAGTGTCTTTGCCAGTCC</t>
  </si>
  <si>
    <t xml:space="preserve">AAACGGACTGGCAAAGACACTATT</t>
  </si>
  <si>
    <t xml:space="preserve">AGATATTGTGTGAATGCGCT</t>
  </si>
  <si>
    <t xml:space="preserve">TAGTAGATATTGTGTGAATGCGCT</t>
  </si>
  <si>
    <t xml:space="preserve">AAACAGCGCATTCACACAATATCT</t>
  </si>
  <si>
    <t xml:space="preserve">TCGCAACCAGGCGACCTTTA</t>
  </si>
  <si>
    <t xml:space="preserve">TAGTTCGCAACCAGGCGACCTTTA</t>
  </si>
  <si>
    <t xml:space="preserve">AAACTAAAGGTCGCCTGGTTGCGA</t>
  </si>
  <si>
    <t xml:space="preserve">PSPPH_1272</t>
  </si>
  <si>
    <t xml:space="preserve">hrpA2</t>
  </si>
  <si>
    <t xml:space="preserve">GGTCAGTGCAATGTTGCGGT</t>
  </si>
  <si>
    <t xml:space="preserve">TAGTGGTCAGTGCAATGTTGCGGT</t>
  </si>
  <si>
    <t xml:space="preserve">AAACACCGCAACATTGCACTGACC</t>
  </si>
  <si>
    <t xml:space="preserve">GTCAGTGCTACCCGTGTTTT</t>
  </si>
  <si>
    <t xml:space="preserve">TAGTGTCAGTGCTACCCGTGTTTT</t>
  </si>
  <si>
    <t xml:space="preserve">AAACAAAACACGGGTAGCACTGAC</t>
  </si>
  <si>
    <t xml:space="preserve">ACCTTTACTGATGCTCGAGC</t>
  </si>
  <si>
    <t xml:space="preserve">TAGTACCTTTACTGATGCTCGAGC</t>
  </si>
  <si>
    <t xml:space="preserve">AAACGCTCGAGCATCAGTAAAGGT</t>
  </si>
  <si>
    <t xml:space="preserve">GTTCGCAGTGCCGTCAAGCT</t>
  </si>
  <si>
    <t xml:space="preserve">TAGTGTTCGCAGTGCCGTCAAGCT</t>
  </si>
  <si>
    <t xml:space="preserve">AAACAGCTTGACGGCACTGCGAAC</t>
  </si>
  <si>
    <t xml:space="preserve">PSPPH_1273</t>
  </si>
  <si>
    <t xml:space="preserve">hrpZ1</t>
  </si>
  <si>
    <t xml:space="preserve">TCAGAACGAGCGCCATCGAC</t>
  </si>
  <si>
    <t xml:space="preserve">TAGTTCAGAACGAGCGCCATCGAC</t>
  </si>
  <si>
    <t xml:space="preserve">AAACGTCGATGGCGCTCGTTCTGA</t>
  </si>
  <si>
    <t xml:space="preserve">CGGTTGTCTCGGTTTCAGGA</t>
  </si>
  <si>
    <t xml:space="preserve">TAGTCGGTTGTCTCGGTTTCAGGA</t>
  </si>
  <si>
    <t xml:space="preserve">AAACTCCTGAAACCGAGACAACCG</t>
  </si>
  <si>
    <t xml:space="preserve">CCGGCTGGATGTACTCGACC</t>
  </si>
  <si>
    <t xml:space="preserve">TAGTCCGGCTGGATGTACTCGACC</t>
  </si>
  <si>
    <t xml:space="preserve">AAACGGTCGAGTACATCCAGCCGG</t>
  </si>
  <si>
    <t xml:space="preserve">ACCATTGTGAGTCAGCTCCT</t>
  </si>
  <si>
    <t xml:space="preserve">TAGTACCATTGTGAGTCAGCTCCT</t>
  </si>
  <si>
    <t xml:space="preserve">AAACAGGAGCTGACTCACAATGGT</t>
  </si>
  <si>
    <t xml:space="preserve">PSPPH_1274</t>
  </si>
  <si>
    <t xml:space="preserve">hrpB</t>
  </si>
  <si>
    <t xml:space="preserve">AACATTACCAAGGTGGGAAA</t>
  </si>
  <si>
    <t xml:space="preserve">TAGTAACATTACCAAGGTGGGAAA</t>
  </si>
  <si>
    <t xml:space="preserve">AAACTTTCCCACCTTGGTAATGTT</t>
  </si>
  <si>
    <t xml:space="preserve">GGCACATCCTGCCCAAGTTC</t>
  </si>
  <si>
    <t xml:space="preserve">TAGTGGCACATCCTGCCCAAGTTC</t>
  </si>
  <si>
    <t xml:space="preserve">AAACGAACTTGGGCAGGATGTGCC</t>
  </si>
  <si>
    <t xml:space="preserve">GGTTCTGAAACGAGCCCTTG</t>
  </si>
  <si>
    <t xml:space="preserve">TAGTGGTTCTGAAACGAGCCCTTG</t>
  </si>
  <si>
    <t xml:space="preserve">AAACCAAGGGCTCGTTTCAGAACC</t>
  </si>
  <si>
    <t xml:space="preserve">ATATCGACATCCGCCTGGGG</t>
  </si>
  <si>
    <t xml:space="preserve">TAGTATATCGACATCCGCCTGGGG</t>
  </si>
  <si>
    <t xml:space="preserve">AAACCCCCAGGCGGATGTCGATAT</t>
  </si>
  <si>
    <t xml:space="preserve">PSPPH_1275</t>
  </si>
  <si>
    <t xml:space="preserve">hrcJ</t>
  </si>
  <si>
    <t xml:space="preserve">GGACAAGCCAGTGAAAAGAT</t>
  </si>
  <si>
    <t xml:space="preserve">TAGTGGACAAGCCAGTGAAAAGAT</t>
  </si>
  <si>
    <t xml:space="preserve">AAACATCTTTTCACTGGCTTGTCC</t>
  </si>
  <si>
    <t xml:space="preserve">CACCTCGTTGGAGTCCTGCT</t>
  </si>
  <si>
    <t xml:space="preserve">TAGTCACCTCGTTGGAGTCCTGCT</t>
  </si>
  <si>
    <t xml:space="preserve">AAACAGCAGGACTCCAACGAGGTG</t>
  </si>
  <si>
    <t xml:space="preserve">CATCGATGTGCTGATCCGCA</t>
  </si>
  <si>
    <t xml:space="preserve">TAGTCATCGATGTGCTGATCCGCA</t>
  </si>
  <si>
    <t xml:space="preserve">AAACTGCGGATCAGCACATCGATG</t>
  </si>
  <si>
    <t xml:space="preserve">CCACGACACCGGTCTTTTCA</t>
  </si>
  <si>
    <t xml:space="preserve">TAGTCCACGACACCGGTCTTTTCA</t>
  </si>
  <si>
    <t xml:space="preserve">AAACTGAAAAGACCGGTGTCGTGG</t>
  </si>
  <si>
    <t xml:space="preserve">PSPPH_1276</t>
  </si>
  <si>
    <t xml:space="preserve">hrpD</t>
  </si>
  <si>
    <t xml:space="preserve">CCATTGAACCCAGTGGTCCT</t>
  </si>
  <si>
    <t xml:space="preserve">TAGTCCATTGAACCCAGTGGTCCT</t>
  </si>
  <si>
    <t xml:space="preserve">AAACAGGACCACTGGGTTCAATGG</t>
  </si>
  <si>
    <t xml:space="preserve">CCGGATGCGCAAACTGCCAG</t>
  </si>
  <si>
    <t xml:space="preserve">TAGTCCGGATGCGCAAACTGCCAG</t>
  </si>
  <si>
    <t xml:space="preserve">AAACCTGGCAGTTTGCGCATCCGG</t>
  </si>
  <si>
    <t xml:space="preserve">GGCCGCAGTTCAAGGCAAAA</t>
  </si>
  <si>
    <t xml:space="preserve">TAGTGGCCGCAGTTCAAGGCAAAA</t>
  </si>
  <si>
    <t xml:space="preserve">AAACTTTTGCCTTGAACTGCGGCC</t>
  </si>
  <si>
    <t xml:space="preserve">CATCACAGTCACTGAGTGTC</t>
  </si>
  <si>
    <t xml:space="preserve">TAGTCATCACAGTCACTGAGTGTC</t>
  </si>
  <si>
    <t xml:space="preserve">AAACGACACTCAGTGACTGTGATG</t>
  </si>
  <si>
    <t xml:space="preserve">PSPPH_1277</t>
  </si>
  <si>
    <t xml:space="preserve">hrpE</t>
  </si>
  <si>
    <t xml:space="preserve">ATACTGCGTTTGGCGAGCAT</t>
  </si>
  <si>
    <t xml:space="preserve">TAGTATACTGCGTTTGGCGAGCAT</t>
  </si>
  <si>
    <t xml:space="preserve">AAACATGCTCGCCAAACGCAGTAT</t>
  </si>
  <si>
    <t xml:space="preserve">AGGTTCAGGCAGAAGCGCAG</t>
  </si>
  <si>
    <t xml:space="preserve">TAGTAGGTTCAGGCAGAAGCGCAG</t>
  </si>
  <si>
    <t xml:space="preserve">AAACCTGCGCTTCTGCCTGAACCT</t>
  </si>
  <si>
    <t xml:space="preserve">ATGTCTTCACGACGCAGCAC</t>
  </si>
  <si>
    <t xml:space="preserve">TAGTATGTCTTCACGACGCAGCAC</t>
  </si>
  <si>
    <t xml:space="preserve">AAACGTGCTGCGTCGTGAAGACAT</t>
  </si>
  <si>
    <t xml:space="preserve">ATCACGAGCCAGCAGGCTGT</t>
  </si>
  <si>
    <t xml:space="preserve">TAGTATCACGAGCCAGCAGGCTGT</t>
  </si>
  <si>
    <t xml:space="preserve">AAACACAGCCTGCTGGCTCGTGAT</t>
  </si>
  <si>
    <t xml:space="preserve">PSPPH_1278</t>
  </si>
  <si>
    <t xml:space="preserve">hrpF</t>
  </si>
  <si>
    <t xml:space="preserve">CGCGATTCAGCGTGCTGTCG</t>
  </si>
  <si>
    <t xml:space="preserve">TAGTCGCGATTCAGCGTGCTGTCG</t>
  </si>
  <si>
    <t xml:space="preserve">AAACCGACAGCACGCTGAATCGCG</t>
  </si>
  <si>
    <t xml:space="preserve">CACGTCATCCACGTCGGACA</t>
  </si>
  <si>
    <t xml:space="preserve">TAGTCACGTCATCCACGTCGGACA</t>
  </si>
  <si>
    <t xml:space="preserve">AAACTGTCCGACGTGGATGACGTG</t>
  </si>
  <si>
    <t xml:space="preserve">ACCGAAGGCATCAATGTCAT</t>
  </si>
  <si>
    <t xml:space="preserve">TAGTACCGAAGGCATCAATGTCAT</t>
  </si>
  <si>
    <t xml:space="preserve">AAACATGACATTGATGCCTTCGGT</t>
  </si>
  <si>
    <t xml:space="preserve">AGCGATGTTGGAACTGACAG</t>
  </si>
  <si>
    <t xml:space="preserve">TAGTAGCGATGTTGGAACTGACAG</t>
  </si>
  <si>
    <t xml:space="preserve">AAACCTGTCAGTTCCAACATCGCT</t>
  </si>
  <si>
    <t xml:space="preserve">PSPPH_1279</t>
  </si>
  <si>
    <t xml:space="preserve">hrpG</t>
  </si>
  <si>
    <t xml:space="preserve">CAGCAGTCCAGCGCAGTCGC</t>
  </si>
  <si>
    <t xml:space="preserve">TAGTCAGCAGTCCAGCGCAGTCGC</t>
  </si>
  <si>
    <t xml:space="preserve">AAACGCGACTGCGCTGGACTGCTG</t>
  </si>
  <si>
    <t xml:space="preserve">AACCACTTCCAGGCGGACGT</t>
  </si>
  <si>
    <t xml:space="preserve">TAGTAACCACTTCCAGGCGGACGT</t>
  </si>
  <si>
    <t xml:space="preserve">AAACACGTCCGCCTGGAAGTGGTT</t>
  </si>
  <si>
    <t xml:space="preserve">TGGGAGTCATTGGCATCGTA</t>
  </si>
  <si>
    <t xml:space="preserve">TAGTTGGGAGTCATTGGCATCGTA</t>
  </si>
  <si>
    <t xml:space="preserve">AAACTACGATGCCAATGACTCCCA</t>
  </si>
  <si>
    <t xml:space="preserve">TGAGCAACGCCTCGATGCGT</t>
  </si>
  <si>
    <t xml:space="preserve">TAGTTGAGCAACGCCTCGATGCGT</t>
  </si>
  <si>
    <t xml:space="preserve">AAACACGCATCGAGGCGTTGCTCA</t>
  </si>
  <si>
    <t xml:space="preserve">PSPPH_1280</t>
  </si>
  <si>
    <t xml:space="preserve">hrcC</t>
  </si>
  <si>
    <t xml:space="preserve">CAATAAAGGCAACCACATCA</t>
  </si>
  <si>
    <t xml:space="preserve">TAGTCAATAAAGGCAACCACATCA</t>
  </si>
  <si>
    <t xml:space="preserve">AAACTGATGTGGTTGCCTTTATTG</t>
  </si>
  <si>
    <t xml:space="preserve">GGTGACCGCCCATGTAACAG</t>
  </si>
  <si>
    <t xml:space="preserve">TAGTGGTGACCGCCCATGTAACAG</t>
  </si>
  <si>
    <t xml:space="preserve">AAACCTGTTACATGGGCGGTCACC</t>
  </si>
  <si>
    <t xml:space="preserve">CGTGTGTTTCCAGGCTTCGG</t>
  </si>
  <si>
    <t xml:space="preserve">TAGTCGTGTGTTTCCAGGCTTCGG</t>
  </si>
  <si>
    <t xml:space="preserve">AAACCCGAAGCCTGGAAACACACG</t>
  </si>
  <si>
    <t xml:space="preserve">TTCAGTCTGCCGGGCGTCGT</t>
  </si>
  <si>
    <t xml:space="preserve">TAGTTTCAGTCTGCCGGGCGTCGT</t>
  </si>
  <si>
    <t xml:space="preserve">AAACACGACGCCCGGCAGACTGAA</t>
  </si>
  <si>
    <t xml:space="preserve">PSPPH_5227</t>
  </si>
  <si>
    <t xml:space="preserve">hrpT</t>
  </si>
  <si>
    <t xml:space="preserve">ATGGGTGGCACACCCCGACA</t>
  </si>
  <si>
    <t xml:space="preserve">TAGTATGGGTGGCACACCCCGACA</t>
  </si>
  <si>
    <t xml:space="preserve">AAACTGTCGGGGTGTGCCACCCAT</t>
  </si>
  <si>
    <t xml:space="preserve">TGTGGAGTCCGGACGTTTGC</t>
  </si>
  <si>
    <t xml:space="preserve">TAGTTGTGGAGTCCGGACGTTTGC</t>
  </si>
  <si>
    <t xml:space="preserve">AAACGCAAACGTCCGGACTCCACA</t>
  </si>
  <si>
    <t xml:space="preserve">GCCACCAGATGACCAGTTCG</t>
  </si>
  <si>
    <t xml:space="preserve">TAGTGCCACCAGATGACCAGTTCG</t>
  </si>
  <si>
    <t xml:space="preserve">AAACCGAACTGGTCATCTGGTGGC</t>
  </si>
  <si>
    <t xml:space="preserve">AGACCGTCGCGCATGTCCGG</t>
  </si>
  <si>
    <t xml:space="preserve">TAGTAGACCGTCGCGCATGTCCGG</t>
  </si>
  <si>
    <t xml:space="preserve">AAACCCGGACATGCGCGACGGTCT</t>
  </si>
  <si>
    <t xml:space="preserve">PSPPH_1281</t>
  </si>
  <si>
    <t xml:space="preserve">hrpV</t>
  </si>
  <si>
    <t xml:space="preserve">CGGCCAGACAGCAGGGCTCT</t>
  </si>
  <si>
    <t xml:space="preserve">TAGTCGGCCAGACAGCAGGGCTCT</t>
  </si>
  <si>
    <t xml:space="preserve">AAACAGAGCCCTGCTGTCTGGCCG</t>
  </si>
  <si>
    <t xml:space="preserve">AAGGACACTCCGTTTGCCAC</t>
  </si>
  <si>
    <t xml:space="preserve">TAGTAAGGACACTCCGTTTGCCAC</t>
  </si>
  <si>
    <t xml:space="preserve">AAACGTGGCAAACGGAGTGTCCTT</t>
  </si>
  <si>
    <t xml:space="preserve">AGCGCCTCTCTCAGTTGCTC</t>
  </si>
  <si>
    <t xml:space="preserve">TAGTAGCGCCTCTCTCAGTTGCTC</t>
  </si>
  <si>
    <t xml:space="preserve">AAACGAGCAACTGAGAGAGGCGCT</t>
  </si>
  <si>
    <t xml:space="preserve">AAAGTAGTTACGGAACCGCT</t>
  </si>
  <si>
    <t xml:space="preserve">TAGTAAAGTAGTTACGGAACCGCT</t>
  </si>
  <si>
    <t xml:space="preserve">AAACAGCGGTTCCGTAACTACTTT</t>
  </si>
  <si>
    <t xml:space="preserve">PSPPH_1282</t>
  </si>
  <si>
    <t xml:space="preserve">hrcU</t>
  </si>
  <si>
    <t xml:space="preserve">CTGTTTGGGGGTAGCCTTTT</t>
  </si>
  <si>
    <t xml:space="preserve">TAGTCTGTTTGGGGGTAGCCTTTT</t>
  </si>
  <si>
    <t xml:space="preserve">AAACAAAAGGCTACCCCCAAACAG</t>
  </si>
  <si>
    <t xml:space="preserve">TCAGTACCAGCAGTTTGCCA</t>
  </si>
  <si>
    <t xml:space="preserve">TAGTTCAGTACCAGCAGTTTGCCA</t>
  </si>
  <si>
    <t xml:space="preserve">AAACTGGCAAACTGCTGGTACTGA</t>
  </si>
  <si>
    <t xml:space="preserve">GCTGTCATCGGCCAGGCCCA</t>
  </si>
  <si>
    <t xml:space="preserve">TAGTGCTGTCATCGGCCAGGCCCA</t>
  </si>
  <si>
    <t xml:space="preserve">AAACTGGGCCTGGCCGATGACAGC</t>
  </si>
  <si>
    <t xml:space="preserve">GTGCGAGCAAGGCCTGCAAC</t>
  </si>
  <si>
    <t xml:space="preserve">TAGTGTGCGAGCAAGGCCTGCAAC</t>
  </si>
  <si>
    <t xml:space="preserve">AAACGTTGCAGGCCTTGCTCGCAC</t>
  </si>
  <si>
    <t xml:space="preserve">PSPPH_1283</t>
  </si>
  <si>
    <t xml:space="preserve">hrcT</t>
  </si>
  <si>
    <t xml:space="preserve">AACGCTTCGTGGGCGTCGAA</t>
  </si>
  <si>
    <t xml:space="preserve">TAGTAACGCTTCGTGGGCGTCGAA</t>
  </si>
  <si>
    <t xml:space="preserve">AAACTTCGACGCCCACGAAGCGTT</t>
  </si>
  <si>
    <t xml:space="preserve">GACCCATGCCCAGCATGAAT</t>
  </si>
  <si>
    <t xml:space="preserve">TAGTGACCCATGCCCAGCATGAAT</t>
  </si>
  <si>
    <t xml:space="preserve">AAACATTCATGCTGGGCATGGGTC</t>
  </si>
  <si>
    <t xml:space="preserve">CCAGAAGCATGCACGGCAGC</t>
  </si>
  <si>
    <t xml:space="preserve">TAGTCCAGAAGCATGCACGGCAGC</t>
  </si>
  <si>
    <t xml:space="preserve">AAACGCTGCCGTGCATGCTTCTGG</t>
  </si>
  <si>
    <t xml:space="preserve">AGGTATTTGAAACAGAAGGC</t>
  </si>
  <si>
    <t xml:space="preserve">TAGTAGGTATTTGAAACAGAAGGC</t>
  </si>
  <si>
    <t xml:space="preserve">AAACGCCTTCTGTTTCAAATACCT</t>
  </si>
  <si>
    <t xml:space="preserve">PSPPH_1284</t>
  </si>
  <si>
    <t xml:space="preserve">hrcS</t>
  </si>
  <si>
    <t xml:space="preserve">GAACAACGCCAACGCTTCCA</t>
  </si>
  <si>
    <t xml:space="preserve">TAGTGAACAACGCCAACGCTTCCA</t>
  </si>
  <si>
    <t xml:space="preserve">AAACTGGAAGCGTTGGCGTTGTTC</t>
  </si>
  <si>
    <t xml:space="preserve">CACCCAGCGGCGGAGCGGTC</t>
  </si>
  <si>
    <t xml:space="preserve">TAGTCACCCAGCGGCGGAGCGGTC</t>
  </si>
  <si>
    <t xml:space="preserve">AAACGACCGCTCCGCCGCTGGGTG</t>
  </si>
  <si>
    <t xml:space="preserve">CATGAGTGCCTGCAGCAGCG</t>
  </si>
  <si>
    <t xml:space="preserve">TAGTCATGAGTGCCTGCAGCAGCG</t>
  </si>
  <si>
    <t xml:space="preserve">AAACCGCTGCTGCAGGCACTCATG</t>
  </si>
  <si>
    <t xml:space="preserve">GCCCCGAGCTTGATGCCGAA</t>
  </si>
  <si>
    <t xml:space="preserve">TAGTGCCCCGAGCTTGATGCCGAA</t>
  </si>
  <si>
    <t xml:space="preserve">AAACTTCGGCATCAAGCTCGGGGC</t>
  </si>
  <si>
    <t xml:space="preserve">PSPPH_1285</t>
  </si>
  <si>
    <t xml:space="preserve">hrcR</t>
  </si>
  <si>
    <t xml:space="preserve">TGCAGACAATCAACAGAAAG</t>
  </si>
  <si>
    <t xml:space="preserve">TAGTTGCAGACAATCAACAGAAAG</t>
  </si>
  <si>
    <t xml:space="preserve">AAACCTTTCTGTTGATTGTCTGCA</t>
  </si>
  <si>
    <t xml:space="preserve">CATGGCGATTTTCAGAAAGG</t>
  </si>
  <si>
    <t xml:space="preserve">TAGTCATGGCGATTTTCAGAAAGG</t>
  </si>
  <si>
    <t xml:space="preserve">AAACCCTTTCTGAAAATCGCCATG</t>
  </si>
  <si>
    <t xml:space="preserve">TGCGTTGCGGGTGATCAGCA</t>
  </si>
  <si>
    <t xml:space="preserve">TAGTTGCGTTGCGGGTGATCAGCA</t>
  </si>
  <si>
    <t xml:space="preserve">AAACTGCTGATCACCCGCAACGCA</t>
  </si>
  <si>
    <t xml:space="preserve">CCGTACAGGGCCATGTTCGG</t>
  </si>
  <si>
    <t xml:space="preserve">TAGTCCGTACAGGGCCATGTTCGG</t>
  </si>
  <si>
    <t xml:space="preserve">AAACCCGAACATGGCCCTGTACGG</t>
  </si>
  <si>
    <t xml:space="preserve">PSPPH_1286</t>
  </si>
  <si>
    <t xml:space="preserve">hrcQb</t>
  </si>
  <si>
    <t xml:space="preserve">ACCAGTGCTGTTCAGTCGAC</t>
  </si>
  <si>
    <t xml:space="preserve">TAGTACCAGTGCTGTTCAGTCGAC</t>
  </si>
  <si>
    <t xml:space="preserve">AAACGTCGACTGAACAGCACTGGT</t>
  </si>
  <si>
    <t xml:space="preserve">GGATGGCTCGCCGTCTTCTT</t>
  </si>
  <si>
    <t xml:space="preserve">TAGTGGATGGCTCGCCGTCTTCTT</t>
  </si>
  <si>
    <t xml:space="preserve">AAACAAGAAGACGGCGAGCCATCC</t>
  </si>
  <si>
    <t xml:space="preserve">CGGTTCGGCCGTCGCATACC</t>
  </si>
  <si>
    <t xml:space="preserve">TAGTCGGTTCGGCCGTCGCATACC</t>
  </si>
  <si>
    <t xml:space="preserve">AAACGGTATGCGACGGCCGAACCG</t>
  </si>
  <si>
    <t xml:space="preserve">TCCTGCGCTGCGTGATCGTC</t>
  </si>
  <si>
    <t xml:space="preserve">TAGTTCCTGCGCTGCGTGATCGTC</t>
  </si>
  <si>
    <t xml:space="preserve">AAACGACGATCACGCAGCGCAGGA</t>
  </si>
  <si>
    <t xml:space="preserve">PSPPH_1287</t>
  </si>
  <si>
    <t xml:space="preserve">hrcQa</t>
  </si>
  <si>
    <t xml:space="preserve">ACGCGTGGCCTGAGCCAGCA</t>
  </si>
  <si>
    <t xml:space="preserve">TAGTACGCGTGGCCTGAGCCAGCA</t>
  </si>
  <si>
    <t xml:space="preserve">AAACTGCTGGCTCAGGCCACGCGT</t>
  </si>
  <si>
    <t xml:space="preserve">GCTGAAGCCCAGGCTCTGAC</t>
  </si>
  <si>
    <t xml:space="preserve">TAGTGCTGAAGCCCAGGCTCTGAC</t>
  </si>
  <si>
    <t xml:space="preserve">AAACGTCAGAGCCTGGGCTTCAGC</t>
  </si>
  <si>
    <t xml:space="preserve">CAGTTCGGCGTCCTGACCTG</t>
  </si>
  <si>
    <t xml:space="preserve">TAGTCAGTTCGGCGTCCTGACCTG</t>
  </si>
  <si>
    <t xml:space="preserve">AAACCAGGTCAGGACGCCGAACTG</t>
  </si>
  <si>
    <t xml:space="preserve">GTCGGCAAGCAGTGGCAACA</t>
  </si>
  <si>
    <t xml:space="preserve">TAGTGTCGGCAAGCAGTGGCAACA</t>
  </si>
  <si>
    <t xml:space="preserve">AAACTGTTGCCACTGCTTGCCGAC</t>
  </si>
  <si>
    <t xml:space="preserve">PSPPH_1288</t>
  </si>
  <si>
    <t xml:space="preserve">hrpP</t>
  </si>
  <si>
    <t xml:space="preserve">GGCCGGGTGTTTGATCGGTG</t>
  </si>
  <si>
    <t xml:space="preserve">TAGTGGCCGGGTGTTTGATCGGTG</t>
  </si>
  <si>
    <t xml:space="preserve">AAACCACCGATCAAACACCCGGCC</t>
  </si>
  <si>
    <t xml:space="preserve">GGGTGGTGCCGTTGGCGCTT</t>
  </si>
  <si>
    <t xml:space="preserve">TAGTGGGTGGTGCCGTTGGCGCTT</t>
  </si>
  <si>
    <t xml:space="preserve">AAACAAGCGCCAACGGCACCACCC</t>
  </si>
  <si>
    <t xml:space="preserve">GGCTGTGTGGCATGCACTAC</t>
  </si>
  <si>
    <t xml:space="preserve">TAGTGGCTGTGTGGCATGCACTAC</t>
  </si>
  <si>
    <t xml:space="preserve">AAACGTAGTGCATGCCACACAGCC</t>
  </si>
  <si>
    <t xml:space="preserve">GCGCGCTGCGCGGGCGCAGA</t>
  </si>
  <si>
    <t xml:space="preserve">TAGTGCGCGCTGCGCGGGCGCAGA</t>
  </si>
  <si>
    <t xml:space="preserve">AAACTCTGCGCCCGCGCAGCGCGC</t>
  </si>
  <si>
    <t xml:space="preserve">PSPPH_1289</t>
  </si>
  <si>
    <t xml:space="preserve">hrpO</t>
  </si>
  <si>
    <t xml:space="preserve">TGTTCCAGTGCTGCTCGCTG</t>
  </si>
  <si>
    <t xml:space="preserve">TAGTTGTTCCAGTGCTGCTCGCTG</t>
  </si>
  <si>
    <t xml:space="preserve">AAACCAGCGAGCAGCACTGGAACA</t>
  </si>
  <si>
    <t xml:space="preserve">CTGACGATGCTGGCGCAGCG</t>
  </si>
  <si>
    <t xml:space="preserve">TAGTCTGACGATGCTGGCGCAGCG</t>
  </si>
  <si>
    <t xml:space="preserve">AAACCGCTGCGCCAGCATCGTCAG</t>
  </si>
  <si>
    <t xml:space="preserve">ATTTCAGTTCCACCTGCGCG</t>
  </si>
  <si>
    <t xml:space="preserve">TAGTATTTCAGTTCCACCTGCGCG</t>
  </si>
  <si>
    <t xml:space="preserve">AAACCGCGCAGGTGGAACTGAAAT</t>
  </si>
  <si>
    <t xml:space="preserve">ATGCCCGTATTTTTGATAAG</t>
  </si>
  <si>
    <t xml:space="preserve">TAGTATGCCCGTATTTTTGATAAG</t>
  </si>
  <si>
    <t xml:space="preserve">AAACCTTATCAAAAATACGGGCAT</t>
  </si>
  <si>
    <t xml:space="preserve">PSPPH_1290</t>
  </si>
  <si>
    <t xml:space="preserve">hrcN</t>
  </si>
  <si>
    <t xml:space="preserve">CTGCGTGGGCGTCTTTCCAC</t>
  </si>
  <si>
    <t xml:space="preserve">TAGTCTGCGTGGGCGTCTTTCCAC</t>
  </si>
  <si>
    <t xml:space="preserve">AAACGTGGAAAGACGCCCACGCAG</t>
  </si>
  <si>
    <t xml:space="preserve">GACCCGGCCACTGACGCGCA</t>
  </si>
  <si>
    <t xml:space="preserve">TAGTGACCCGGCCACTGACGCGCA</t>
  </si>
  <si>
    <t xml:space="preserve">AAACTGCGCGTCAGTGGCCGGGTC</t>
  </si>
  <si>
    <t xml:space="preserve">AGATCGCCCACCTTGGCCGC</t>
  </si>
  <si>
    <t xml:space="preserve">TAGTAGATCGCCCACCTTGGCCGC</t>
  </si>
  <si>
    <t xml:space="preserve">AAACGCGGCCAAGGTGGGCGATCT</t>
  </si>
  <si>
    <t xml:space="preserve">AGCCAGCAGAAAACTGCCGT</t>
  </si>
  <si>
    <t xml:space="preserve">TAGTAGCCAGCAGAAAACTGCCGT</t>
  </si>
  <si>
    <t xml:space="preserve">AAACACGGCAGTTTTCTGCTGGCT</t>
  </si>
  <si>
    <t xml:space="preserve">PSPPH_1291</t>
  </si>
  <si>
    <t xml:space="preserve">hrpQ</t>
  </si>
  <si>
    <t xml:space="preserve">CCAGTGGCAAGGCTGCGCCT</t>
  </si>
  <si>
    <t xml:space="preserve">TAGTCCAGTGGCAAGGCTGCGCCT</t>
  </si>
  <si>
    <t xml:space="preserve">AAACAGGCGCAGCCTTGCCACTGG</t>
  </si>
  <si>
    <t xml:space="preserve">CAGTGCCAGATCGTGTTGCG</t>
  </si>
  <si>
    <t xml:space="preserve">TAGTCAGTGCCAGATCGTGTTGCG</t>
  </si>
  <si>
    <t xml:space="preserve">AAACCGCAACACGATCTGGCACTG</t>
  </si>
  <si>
    <t xml:space="preserve">GGCGTTGCAGGCGGCAATGC</t>
  </si>
  <si>
    <t xml:space="preserve">TAGTGGCGTTGCAGGCGGCAATGC</t>
  </si>
  <si>
    <t xml:space="preserve">AAACGCATTGCCGCCTGCAACGCC</t>
  </si>
  <si>
    <t xml:space="preserve">TCAGTGTCCAGCTGTCGTCC</t>
  </si>
  <si>
    <t xml:space="preserve">TAGTTCAGTGTCCAGCTGTCGTCC</t>
  </si>
  <si>
    <t xml:space="preserve">AAACGGACGACAGCTGGACACTGA</t>
  </si>
  <si>
    <t xml:space="preserve">PSPPH_1292</t>
  </si>
  <si>
    <t xml:space="preserve">hrcV</t>
  </si>
  <si>
    <t xml:space="preserve">TGACCGGCGCATGGCCGACA</t>
  </si>
  <si>
    <t xml:space="preserve">TAGTTGACCGGCGCATGGCCGACA</t>
  </si>
  <si>
    <t xml:space="preserve">AAACTGTCGGCCATGCGCCGGTCA</t>
  </si>
  <si>
    <t xml:space="preserve">GGTGATCATCATGAAGACAA</t>
  </si>
  <si>
    <t xml:space="preserve">TAGTGGTGATCATCATGAAGACAA</t>
  </si>
  <si>
    <t xml:space="preserve">AAACTTGTCTTCATGATGATCACC</t>
  </si>
  <si>
    <t xml:space="preserve">AACCAGCCCGGTGGGCAGGG</t>
  </si>
  <si>
    <t xml:space="preserve">TAGTAACCAGCCCGGTGGGCAGGG</t>
  </si>
  <si>
    <t xml:space="preserve">AAACCCCTGCCCACCGGGCTGGTT</t>
  </si>
  <si>
    <t xml:space="preserve">GTCGAGAATGCCAGCGGTCT</t>
  </si>
  <si>
    <t xml:space="preserve">TAGTGTCGAGAATGCCAGCGGTCT</t>
  </si>
  <si>
    <t xml:space="preserve">AAACAGACCGCTGGCATTCTCGAC</t>
  </si>
  <si>
    <t xml:space="preserve">PSPPH_1293</t>
  </si>
  <si>
    <t xml:space="preserve">hrpJ</t>
  </si>
  <si>
    <t xml:space="preserve">GGCGGGGCGACGATTTTCAT</t>
  </si>
  <si>
    <t xml:space="preserve">TAGTGGCGGGGCGACGATTTTCAT</t>
  </si>
  <si>
    <t xml:space="preserve">AAACATGAAAATCGTCGCCCCGCC</t>
  </si>
  <si>
    <t xml:space="preserve">ACCGTGTGGGTTGGCAATAT</t>
  </si>
  <si>
    <t xml:space="preserve">TAGTACCGTGTGGGTTGGCAATAT</t>
  </si>
  <si>
    <t xml:space="preserve">AAACATATTGCCAACCCACACGGT</t>
  </si>
  <si>
    <t xml:space="preserve">GCGGGCGTGACGGCGCGAAT</t>
  </si>
  <si>
    <t xml:space="preserve">TAGTGCGGGCGTGACGGCGCGAAT</t>
  </si>
  <si>
    <t xml:space="preserve">AAACATTCGCGCCGTCACGCCCGC</t>
  </si>
  <si>
    <t xml:space="preserve">TTTTCCGACGACAGGGTCCC</t>
  </si>
  <si>
    <t xml:space="preserve">TAGTTTTTCCGACGACAGGGTCCC</t>
  </si>
  <si>
    <t xml:space="preserve">AAACGGGACCCTGTCGTCGGAAAA</t>
  </si>
  <si>
    <t xml:space="preserve">PSPPH_1294</t>
  </si>
  <si>
    <t xml:space="preserve">hrpL</t>
  </si>
  <si>
    <t xml:space="preserve">ATCACTAGGTTCGGAAACAT</t>
  </si>
  <si>
    <t xml:space="preserve">TAGTATCACTAGGTTCGGAAACAT</t>
  </si>
  <si>
    <t xml:space="preserve">AAACATGTTTCCGAACCTAGTGAT</t>
  </si>
  <si>
    <t xml:space="preserve">GGCGTGGCTGGGGTGCATCA</t>
  </si>
  <si>
    <t xml:space="preserve">TAGTGGCGTGGCTGGGGTGCATCA</t>
  </si>
  <si>
    <t xml:space="preserve">AAACTGATGCACCCCAGCCACGCC</t>
  </si>
  <si>
    <t xml:space="preserve">TACCGGCAGACGAAGAGTCC</t>
  </si>
  <si>
    <t xml:space="preserve">TAGTTACCGGCAGACGAAGAGTCC</t>
  </si>
  <si>
    <t xml:space="preserve">AAACGGACTCTTCGTCTGCCGGTA</t>
  </si>
  <si>
    <t xml:space="preserve">TCTGATCAGCCGTCAGTTGA</t>
  </si>
  <si>
    <t xml:space="preserve">TAGTTCTGATCAGCCGTCAGTTGA</t>
  </si>
  <si>
    <t xml:space="preserve">AAACTCAACTGACGGCTGATCAGA</t>
  </si>
  <si>
    <t xml:space="preserve">PSPPH_1295</t>
  </si>
  <si>
    <t xml:space="preserve">hrpK1</t>
  </si>
  <si>
    <t xml:space="preserve">GGGAGAACTGGATATACGCA</t>
  </si>
  <si>
    <t xml:space="preserve">TAGTGGGAGAACTGGATATACGCA</t>
  </si>
  <si>
    <t xml:space="preserve">AAACTGCGTATATCCAGTTCTCCC</t>
  </si>
  <si>
    <t xml:space="preserve">ATGCTGCCGAGGGCAGGACT</t>
  </si>
  <si>
    <t xml:space="preserve">TAGTATGCTGCCGAGGGCAGGACT</t>
  </si>
  <si>
    <t xml:space="preserve">AAACAGTCCTGCCCTCGGCAGCAT</t>
  </si>
  <si>
    <t xml:space="preserve">GCAGCCAGTTCGCCAGAGGT</t>
  </si>
  <si>
    <t xml:space="preserve">TAGTGCAGCCAGTTCGCCAGAGGT</t>
  </si>
  <si>
    <t xml:space="preserve">AAACACCTCTGGCGAACTGGCTGC</t>
  </si>
  <si>
    <t xml:space="preserve">GTGAGCGAGACTTTGGCTAA</t>
  </si>
  <si>
    <t xml:space="preserve">TAGTGTGAGCGAGACTTTGGCTAA</t>
  </si>
  <si>
    <t xml:space="preserve">AAACTTAGCCAAAGTCTCGCTCAC</t>
  </si>
  <si>
    <t xml:space="preserve">PSPPH_1296</t>
  </si>
  <si>
    <t xml:space="preserve">hopX1</t>
  </si>
  <si>
    <t xml:space="preserve">CGCTAGGGCCTGGCGCGGGC</t>
  </si>
  <si>
    <t xml:space="preserve">TAGTCGCTAGGGCCTGGCGCGGGC</t>
  </si>
  <si>
    <t xml:space="preserve">AAACGCCCGCGCCAGGCCCTAGCG</t>
  </si>
  <si>
    <t xml:space="preserve">TGATTGAACAGCCTTTTCAG</t>
  </si>
  <si>
    <t xml:space="preserve">TAGTTGATTGAACAGCCTTTTCAG</t>
  </si>
  <si>
    <t xml:space="preserve">AAACCTGAAAAGGCTGTTCAATCA</t>
  </si>
  <si>
    <t xml:space="preserve">ACTGCAAGAAGCGGGGTTCT</t>
  </si>
  <si>
    <t xml:space="preserve">TAGTACTGCAAGAAGCGGGGTTCT</t>
  </si>
  <si>
    <t xml:space="preserve">AAACAGAACCCCGCTTCTTGCAGT</t>
  </si>
  <si>
    <t xml:space="preserve">ACTTGAGTCGAACCGGCTTC</t>
  </si>
  <si>
    <t xml:space="preserve">TAGTACTTGAGTCGAACCGGCTTC</t>
  </si>
  <si>
    <t xml:space="preserve">AAACGAAGCCGGTTCGACTCAAGT</t>
  </si>
  <si>
    <t xml:space="preserve">PSPPH_1297</t>
  </si>
  <si>
    <t xml:space="preserve">CCATGGTCAACACAAGCAGA</t>
  </si>
  <si>
    <t xml:space="preserve">TAGTCCATGGTCAACACAAGCAGA</t>
  </si>
  <si>
    <t xml:space="preserve">AAACTCTGCTTGTGTTGACCATGG</t>
  </si>
  <si>
    <t xml:space="preserve">CAATCGTTTACAGCGTACGC</t>
  </si>
  <si>
    <t xml:space="preserve">TAGTCAATCGTTTACAGCGTACGC</t>
  </si>
  <si>
    <t xml:space="preserve">AAACGCGTACGCTGTAAACGATTG</t>
  </si>
  <si>
    <t xml:space="preserve">GTTACCACCACACCTGGCAT</t>
  </si>
  <si>
    <t xml:space="preserve">TAGTGTTACCACCACACCTGGCAT</t>
  </si>
  <si>
    <t xml:space="preserve">AAACATGCCAGGTGTGGTGGTAAC</t>
  </si>
  <si>
    <t xml:space="preserve">CAGTGACGTTGTCGTTATCC</t>
  </si>
  <si>
    <t xml:space="preserve">TAGTCAGTGACGTTGTCGTTATCC</t>
  </si>
  <si>
    <t xml:space="preserve">AAACGGATAACGACAACGTCACTG</t>
  </si>
  <si>
    <t xml:space="preserve">PSPPH_1299</t>
  </si>
  <si>
    <t xml:space="preserve">queA</t>
  </si>
  <si>
    <t xml:space="preserve">CAGGGAATCGGGGAGTTCGA</t>
  </si>
  <si>
    <t xml:space="preserve">TAGTCAGGGAATCGGGGAGTTCGA</t>
  </si>
  <si>
    <t xml:space="preserve">AAACTCGAACTCCCCGATTCCCTG</t>
  </si>
  <si>
    <t xml:space="preserve">TGCGACGCTCGGCCAGTGGA</t>
  </si>
  <si>
    <t xml:space="preserve">TAGTTGCGACGCTCGGCCAGTGGA</t>
  </si>
  <si>
    <t xml:space="preserve">AAACTCCACTGGCCGAGCGTCGCA</t>
  </si>
  <si>
    <t xml:space="preserve">CGCGCCAGTCGGCCCGTCGA</t>
  </si>
  <si>
    <t xml:space="preserve">TAGTCGCGCCAGTCGGCCCGTCGA</t>
  </si>
  <si>
    <t xml:space="preserve">AAACTCGACGGGCCGACTGGCGCG</t>
  </si>
  <si>
    <t xml:space="preserve">TGAACACCATCAAATCGCCC</t>
  </si>
  <si>
    <t xml:space="preserve">TAGTTGAACACCATCAAATCGCCC</t>
  </si>
  <si>
    <t xml:space="preserve">AAACGGGCGATTTGATGGTGTTCA</t>
  </si>
  <si>
    <t xml:space="preserve">PSPPH_1300</t>
  </si>
  <si>
    <t xml:space="preserve">tgt</t>
  </si>
  <si>
    <t xml:space="preserve">CAATTCGAAAGACATACGAC</t>
  </si>
  <si>
    <t xml:space="preserve">TAGTCAATTCGAAAGACATACGAC</t>
  </si>
  <si>
    <t xml:space="preserve">AAACGTCGTATGTCTTTCGAATTG</t>
  </si>
  <si>
    <t xml:space="preserve">GCGACGGGCCTTGCCGTCGG</t>
  </si>
  <si>
    <t xml:space="preserve">TAGTGCGACGGGCCTTGCCGTCGG</t>
  </si>
  <si>
    <t xml:space="preserve">AAACCCGACGGCAAGGCCCGTCGC</t>
  </si>
  <si>
    <t xml:space="preserve">CCACACCACGCGGGAAAGTC</t>
  </si>
  <si>
    <t xml:space="preserve">TAGTCCACACCACGCGGGAAAGTC</t>
  </si>
  <si>
    <t xml:space="preserve">AAACGACTTTCCCGCGTGGTGTGG</t>
  </si>
  <si>
    <t xml:space="preserve">GCCCACCGGCATAAACGCCG</t>
  </si>
  <si>
    <t xml:space="preserve">TAGTGCCCACCGGCATAAACGCCG</t>
  </si>
  <si>
    <t xml:space="preserve">AAACCGGCGTTTATGCCGGTGGGC</t>
  </si>
  <si>
    <t xml:space="preserve">PSPPH_1301</t>
  </si>
  <si>
    <t xml:space="preserve">yajC</t>
  </si>
  <si>
    <t xml:space="preserve">GCAGCAGCATCCGCAAAAGC</t>
  </si>
  <si>
    <t xml:space="preserve">TAGTGCAGCAGCATCCGCAAAAGC</t>
  </si>
  <si>
    <t xml:space="preserve">AAACGCTTTTGCGGATGCTGCTGC</t>
  </si>
  <si>
    <t xml:space="preserve">CTGCCCGCAGGACCGGCAGC</t>
  </si>
  <si>
    <t xml:space="preserve">TAGTCTGCCCGCAGGACCGGCAGC</t>
  </si>
  <si>
    <t xml:space="preserve">AAACGCTGCCGGTCCTGCGGGCAG</t>
  </si>
  <si>
    <t xml:space="preserve">AGATGACCAGGAAGCCGACC</t>
  </si>
  <si>
    <t xml:space="preserve">TAGTAGATGACCAGGAAGCCGACC</t>
  </si>
  <si>
    <t xml:space="preserve">AAACGGTCGGCTTCCTGGTCATCT</t>
  </si>
  <si>
    <t xml:space="preserve">CCTGTGGACGCCAGATCATC</t>
  </si>
  <si>
    <t xml:space="preserve">TAGTCCTGTGGACGCCAGATCATC</t>
  </si>
  <si>
    <t xml:space="preserve">AAACGATGATCTGGCGTCCACAGG</t>
  </si>
  <si>
    <t xml:space="preserve">PSPPH_1302</t>
  </si>
  <si>
    <t xml:space="preserve">secD</t>
  </si>
  <si>
    <t xml:space="preserve">TCAGTATGTATTTCCACAGA</t>
  </si>
  <si>
    <t xml:space="preserve">TAGTTCAGTATGTATTTCCACAGA</t>
  </si>
  <si>
    <t xml:space="preserve">AAACTCTGTGGAAATACATACTGA</t>
  </si>
  <si>
    <t xml:space="preserve">AACCGACCACCAGCACCGCC</t>
  </si>
  <si>
    <t xml:space="preserve">TAGTAACCGACCACCAGCACCGCC</t>
  </si>
  <si>
    <t xml:space="preserve">AAACGGCGGTGCTGGTGGTCGGTT</t>
  </si>
  <si>
    <t xml:space="preserve">ATCAGGGTAGAGATTGGGTG</t>
  </si>
  <si>
    <t xml:space="preserve">TAGTATCAGGGTAGAGATTGGGTG</t>
  </si>
  <si>
    <t xml:space="preserve">AAACCACCCAATCTCTACCCTGAT</t>
  </si>
  <si>
    <t xml:space="preserve">ACTTGCACCGCTGATCTGGA</t>
  </si>
  <si>
    <t xml:space="preserve">TAGTACTTGCACCGCTGATCTGGA</t>
  </si>
  <si>
    <t xml:space="preserve">AAACTCCAGATCAGCGGTGCAAGT</t>
  </si>
  <si>
    <t xml:space="preserve">PSPPH_1303</t>
  </si>
  <si>
    <t xml:space="preserve">secF</t>
  </si>
  <si>
    <t xml:space="preserve">GAAGTTGATGGTACGTAACA</t>
  </si>
  <si>
    <t xml:space="preserve">TAGTGAAGTTGATGGTACGTAACA</t>
  </si>
  <si>
    <t xml:space="preserve">AAACTGTTACGTACCATCAACTTC</t>
  </si>
  <si>
    <t xml:space="preserve">TGCGGTAAGGAGCATCGTGA</t>
  </si>
  <si>
    <t xml:space="preserve">TAGTTGCGGTAAGGAGCATCGTGA</t>
  </si>
  <si>
    <t xml:space="preserve">AAACTCACGATGCTCCTTACCGCA</t>
  </si>
  <si>
    <t xml:space="preserve">CAGCTCGATGAGCGTACCGC</t>
  </si>
  <si>
    <t xml:space="preserve">TAGTCAGCTCGATGAGCGTACCGC</t>
  </si>
  <si>
    <t xml:space="preserve">AAACGCGGTACGCTCATCGAGCTG</t>
  </si>
  <si>
    <t xml:space="preserve">CAGATCGGCTGGACGCTCGT</t>
  </si>
  <si>
    <t xml:space="preserve">TAGTCAGATCGGCTGGACGCTCGT</t>
  </si>
  <si>
    <t xml:space="preserve">AAACACGAGCGTCCAGCCGATCTG</t>
  </si>
  <si>
    <t xml:space="preserve">PSPPH_1304</t>
  </si>
  <si>
    <t xml:space="preserve">GACCAAGCTATAGGTGGCAA</t>
  </si>
  <si>
    <t xml:space="preserve">TAGTGACCAAGCTATAGGTGGCAA</t>
  </si>
  <si>
    <t xml:space="preserve">AAACTTGCCACCTATAGCTTGGTC</t>
  </si>
  <si>
    <t xml:space="preserve">GCCAATACATCCGCATACTC</t>
  </si>
  <si>
    <t xml:space="preserve">TAGTGCCAATACATCCGCATACTC</t>
  </si>
  <si>
    <t xml:space="preserve">AAACGAGTATGCGGATGTATTGGC</t>
  </si>
  <si>
    <t xml:space="preserve">GTTTTGATCTGCTGGTTGAT</t>
  </si>
  <si>
    <t xml:space="preserve">TAGTGTTTTGATCTGCTGGTTGAT</t>
  </si>
  <si>
    <t xml:space="preserve">AAACATCAACCAGCAGATCAAAAC</t>
  </si>
  <si>
    <t xml:space="preserve">GTCCTTGCAAACTTCACGGG</t>
  </si>
  <si>
    <t xml:space="preserve">TAGTGTCCTTGCAAACTTCACGGG</t>
  </si>
  <si>
    <t xml:space="preserve">AAACCCCGTGAAGTTTGCAAGGAC</t>
  </si>
  <si>
    <t xml:space="preserve">PSPPH_1305</t>
  </si>
  <si>
    <t xml:space="preserve">GATATTCAGCATGGGCTGCA</t>
  </si>
  <si>
    <t xml:space="preserve">TAGTGATATTCAGCATGGGCTGCA</t>
  </si>
  <si>
    <t xml:space="preserve">AAACTGCAGCCCATGCTGAATATC</t>
  </si>
  <si>
    <t xml:space="preserve">CAATTCGCTGGCGCTGCGGG</t>
  </si>
  <si>
    <t xml:space="preserve">TAGTCAATTCGCTGGCGCTGCGGG</t>
  </si>
  <si>
    <t xml:space="preserve">AAACCCCGCAGCGCCAGCGAATTG</t>
  </si>
  <si>
    <t xml:space="preserve">TATCCAGGCGCTCGATGGAG</t>
  </si>
  <si>
    <t xml:space="preserve">TAGTTATCCAGGCGCTCGATGGAG</t>
  </si>
  <si>
    <t xml:space="preserve">AAACCTCCATCGAGCGCCTGGATA</t>
  </si>
  <si>
    <t xml:space="preserve">TTCTTTTTCGTCAACCTTGA</t>
  </si>
  <si>
    <t xml:space="preserve">TAGTTTCTTTTTCGTCAACCTTGA</t>
  </si>
  <si>
    <t xml:space="preserve">AAACTCAAGGTTGACGAAAAAGAA</t>
  </si>
  <si>
    <t xml:space="preserve">PSPPH_1306</t>
  </si>
  <si>
    <t xml:space="preserve">CGGGATGGGTAGTGCCGACC</t>
  </si>
  <si>
    <t xml:space="preserve">TAGTCGGGATGGGTAGTGCCGACC</t>
  </si>
  <si>
    <t xml:space="preserve">AAACGGTCGGCACTACCCATCCCG</t>
  </si>
  <si>
    <t xml:space="preserve">GGCGGCCCCGCCGATATTTC</t>
  </si>
  <si>
    <t xml:space="preserve">TAGTGGCGGCCCCGCCGATATTTC</t>
  </si>
  <si>
    <t xml:space="preserve">AAACGAAATATCGGCGGGGCCGCC</t>
  </si>
  <si>
    <t xml:space="preserve">CCCCATGTTTTTCATGGCGC</t>
  </si>
  <si>
    <t xml:space="preserve">TAGTCCCCATGTTTTTCATGGCGC</t>
  </si>
  <si>
    <t xml:space="preserve">AAACGCGCCATGAAAAACATGGGG</t>
  </si>
  <si>
    <t xml:space="preserve">TCAGGCGAAGGAAAGATGCG</t>
  </si>
  <si>
    <t xml:space="preserve">TAGTTCAGGCGAAGGAAAGATGCG</t>
  </si>
  <si>
    <t xml:space="preserve">AAACCGCATCTTTCCTTCGCCTGA</t>
  </si>
  <si>
    <t xml:space="preserve">PSPPH_1307</t>
  </si>
  <si>
    <t xml:space="preserve">cysE1</t>
  </si>
  <si>
    <t xml:space="preserve">TGCGCGCAGCAGGGTCACGA</t>
  </si>
  <si>
    <t xml:space="preserve">TAGTTGCGCGCAGCAGGGTCACGA</t>
  </si>
  <si>
    <t xml:space="preserve">AAACTCGTGACCCTGCTGCGCGCA</t>
  </si>
  <si>
    <t xml:space="preserve">ATAACAGGTCAGCACCTCAA</t>
  </si>
  <si>
    <t xml:space="preserve">TAGTATAACAGGTCAGCACCTCAA</t>
  </si>
  <si>
    <t xml:space="preserve">AAACTTGAGGTGCTGACCTGTTAT</t>
  </si>
  <si>
    <t xml:space="preserve">AGCCAGATGGCATGCATGCC</t>
  </si>
  <si>
    <t xml:space="preserve">TAGTAGCCAGATGGCATGCATGCC</t>
  </si>
  <si>
    <t xml:space="preserve">AAACGGCATGCATGCCATCTGGCT</t>
  </si>
  <si>
    <t xml:space="preserve">GCCACAGAATGTGCGCAAAG</t>
  </si>
  <si>
    <t xml:space="preserve">TAGTGCCACAGAATGTGCGCAAAG</t>
  </si>
  <si>
    <t xml:space="preserve">AAACCTTTGCGCACATTCTGTGGC</t>
  </si>
  <si>
    <t xml:space="preserve">PSPPH_1308</t>
  </si>
  <si>
    <t xml:space="preserve">iscR</t>
  </si>
  <si>
    <t xml:space="preserve">GCCTTTAGTAGTCAGTCGCA</t>
  </si>
  <si>
    <t xml:space="preserve">TAGTGCCTTTAGTAGTCAGTCGCA</t>
  </si>
  <si>
    <t xml:space="preserve">AAACTGCGACTGACTACTAAAGGC</t>
  </si>
  <si>
    <t xml:space="preserve">GCATGGCTGTTACAGCGTAT</t>
  </si>
  <si>
    <t xml:space="preserve">TAGTGCATGGCTGTTACAGCGTAT</t>
  </si>
  <si>
    <t xml:space="preserve">AAACATACGCTGTAACAGCCATGC</t>
  </si>
  <si>
    <t xml:space="preserve">CGTTCTGCGCGTGCAACGCC</t>
  </si>
  <si>
    <t xml:space="preserve">TAGTCGTTCTGCGCGTGCAACGCC</t>
  </si>
  <si>
    <t xml:space="preserve">AAACGGCGTTGCACGCGCAGAACG</t>
  </si>
  <si>
    <t xml:space="preserve">GAGATGTCGGCCAGAGACAC</t>
  </si>
  <si>
    <t xml:space="preserve">TAGTGAGATGTCGGCCAGAGACAC</t>
  </si>
  <si>
    <t xml:space="preserve">AAACGTGTCTCTGGCCGACATCTC</t>
  </si>
  <si>
    <t xml:space="preserve">PSPPH_1309</t>
  </si>
  <si>
    <t xml:space="preserve">iscS</t>
  </si>
  <si>
    <t xml:space="preserve">GCGGAGTAGTCGAGGTAAAT</t>
  </si>
  <si>
    <t xml:space="preserve">TAGTGCGGAGTAGTCGAGGTAAAT</t>
  </si>
  <si>
    <t xml:space="preserve">AAACATTTACCTCGACTACTCCGC</t>
  </si>
  <si>
    <t xml:space="preserve">CGCGACACGCGGATCGACCG</t>
  </si>
  <si>
    <t xml:space="preserve">TAGTCGCGACACGCGGATCGACCG</t>
  </si>
  <si>
    <t xml:space="preserve">AAACCGGTCGATCCGCGTGTCGCG</t>
  </si>
  <si>
    <t xml:space="preserve">CGAAGTTTCCTTCGACGGTC</t>
  </si>
  <si>
    <t xml:space="preserve">TAGTCGAAGTTTCCTTCGACGGTC</t>
  </si>
  <si>
    <t xml:space="preserve">AAACGACCGTCGAAGGAAACTTCG</t>
  </si>
  <si>
    <t xml:space="preserve">AGACGTGGGAGCGCGAGGCC</t>
  </si>
  <si>
    <t xml:space="preserve">TAGTAGACGTGGGAGCGCGAGGCC</t>
  </si>
  <si>
    <t xml:space="preserve">AAACGGCCTCGCGCTCCCACGTCT</t>
  </si>
  <si>
    <t xml:space="preserve">PSPPH_1310</t>
  </si>
  <si>
    <t xml:space="preserve">iscU</t>
  </si>
  <si>
    <t xml:space="preserve">CGTTACGTGGGTTCTCGTAG</t>
  </si>
  <si>
    <t xml:space="preserve">TAGTCGTTACGTGGGTTCTCGTAG</t>
  </si>
  <si>
    <t xml:space="preserve">AAACCTACGAGAACCCACGTAACG</t>
  </si>
  <si>
    <t xml:space="preserve">ACCATGCCGGTGCCGACATC</t>
  </si>
  <si>
    <t xml:space="preserve">TAGTACCATGCCGGTGCCGACATC</t>
  </si>
  <si>
    <t xml:space="preserve">AAACGATGTCGGCACCGGCATGGT</t>
  </si>
  <si>
    <t xml:space="preserve">CGCATTACGTCGCCGCACGC</t>
  </si>
  <si>
    <t xml:space="preserve">TAGTCGCATTACGTCGCCGCACGC</t>
  </si>
  <si>
    <t xml:space="preserve">AAACGCGTGCGGCGACGTAATGCG</t>
  </si>
  <si>
    <t xml:space="preserve">GCAGCCGTAGGTCTTGAACT</t>
  </si>
  <si>
    <t xml:space="preserve">TAGTGCAGCCGTAGGTCTTGAACT</t>
  </si>
  <si>
    <t xml:space="preserve">AAACAGTTCAAGACCTACGGCTGC</t>
  </si>
  <si>
    <t xml:space="preserve">PSPPH_1311</t>
  </si>
  <si>
    <t xml:space="preserve">iscA</t>
  </si>
  <si>
    <t xml:space="preserve">TCTGTCATGCTGATAGCCAT</t>
  </si>
  <si>
    <t xml:space="preserve">TAGTTCTGTCATGCTGATAGCCAT</t>
  </si>
  <si>
    <t xml:space="preserve">AAACATGGCTATCAGCATGACAGA</t>
  </si>
  <si>
    <t xml:space="preserve">GGAACGTCGTACGTGGTTAG</t>
  </si>
  <si>
    <t xml:space="preserve">TAGTGGAACGTCGTACGTGGTTAG</t>
  </si>
  <si>
    <t xml:space="preserve">AAACCTAACCACGTACGACGTTCC</t>
  </si>
  <si>
    <t xml:space="preserve">ACCCTTGCCGCGTCCCTCAA</t>
  </si>
  <si>
    <t xml:space="preserve">TAGTACCCTTGCCGCGTCCCTCAA</t>
  </si>
  <si>
    <t xml:space="preserve">AAACTTGAGGGACGCGGCAAGGGT</t>
  </si>
  <si>
    <t xml:space="preserve">GGCAAGACCTGAACAGCCTG</t>
  </si>
  <si>
    <t xml:space="preserve">TAGTGGCAAGACCTGAACAGCCTG</t>
  </si>
  <si>
    <t xml:space="preserve">AAACCAGGCTGTTCAGGTCTTGCC</t>
  </si>
  <si>
    <t xml:space="preserve">PSPPH_1312</t>
  </si>
  <si>
    <t xml:space="preserve">hscB</t>
  </si>
  <si>
    <t xml:space="preserve">TCGAACAGGGCGAAGTGACA</t>
  </si>
  <si>
    <t xml:space="preserve">TAGTTCGAACAGGGCGAAGTGACA</t>
  </si>
  <si>
    <t xml:space="preserve">AAACTGTCACTTCGCCCTGTTCGA</t>
  </si>
  <si>
    <t xml:space="preserve">TCAAGATCAAGCTGAAACTC</t>
  </si>
  <si>
    <t xml:space="preserve">TAGTTCAAGATCAAGCTGAAACTC</t>
  </si>
  <si>
    <t xml:space="preserve">AAACGAGTTTCAGCTTGATCTTGA</t>
  </si>
  <si>
    <t xml:space="preserve">CACGGTAACGAGTGCCCAAC</t>
  </si>
  <si>
    <t xml:space="preserve">TAGTCACGGTAACGAGTGCCCAAC</t>
  </si>
  <si>
    <t xml:space="preserve">AAACGTTGGGCACTCGTTACCGTG</t>
  </si>
  <si>
    <t xml:space="preserve">GGGGCATCCGCAAAACGATC</t>
  </si>
  <si>
    <t xml:space="preserve">TAGTGGGGCATCCGCAAAACGATC</t>
  </si>
  <si>
    <t xml:space="preserve">AAACGATCGTTTTGCGGATGCCCC</t>
  </si>
  <si>
    <t xml:space="preserve">PSPPH_1313</t>
  </si>
  <si>
    <t xml:space="preserve">hscA</t>
  </si>
  <si>
    <t xml:space="preserve">TTGAGGACTCAGGCCGGGTT</t>
  </si>
  <si>
    <t xml:space="preserve">TAGTTTGAGGACTCAGGCCGGGTT</t>
  </si>
  <si>
    <t xml:space="preserve">AAACAACCCGGCCTGAGTCCTCAA</t>
  </si>
  <si>
    <t xml:space="preserve">ACAGCCAGACGACGCTGGTG</t>
  </si>
  <si>
    <t xml:space="preserve">TAGTACAGCCAGACGACGCTGGTG</t>
  </si>
  <si>
    <t xml:space="preserve">AAACCACCAGCGTCGTCTGGCTGT</t>
  </si>
  <si>
    <t xml:space="preserve">CCAGAGAATTGGTGGTGCCC</t>
  </si>
  <si>
    <t xml:space="preserve">TAGTCCAGAGAATTGGTGGTGCCC</t>
  </si>
  <si>
    <t xml:space="preserve">AAACGGGCACCACCAATTCTCTGG</t>
  </si>
  <si>
    <t xml:space="preserve">CATCGGCCAGCGGTTCGGAC</t>
  </si>
  <si>
    <t xml:space="preserve">TAGTCATCGGCCAGCGGTTCGGAC</t>
  </si>
  <si>
    <t xml:space="preserve">AAACGTCCGAACCGCTGGCCGATG</t>
  </si>
  <si>
    <t xml:space="preserve">PSPPH_1314</t>
  </si>
  <si>
    <t xml:space="preserve">fdx</t>
  </si>
  <si>
    <t xml:space="preserve">TGGGGCAGAAAAATCACCTG</t>
  </si>
  <si>
    <t xml:space="preserve">TAGTTGGGGCAGAAAAATCACCTG</t>
  </si>
  <si>
    <t xml:space="preserve">AAACCAGGTGATTTTTCTGCCCCA</t>
  </si>
  <si>
    <t xml:space="preserve">CGTCCGGACAATGCTCGGCG</t>
  </si>
  <si>
    <t xml:space="preserve">TAGTCGTCCGGACAATGCTCGGCG</t>
  </si>
  <si>
    <t xml:space="preserve">AAACCGCCGAGCATTGTCCGGACG</t>
  </si>
  <si>
    <t xml:space="preserve">ATCTCGAGAATAGACGTGCC</t>
  </si>
  <si>
    <t xml:space="preserve">TAGTATCTCGAGAATAGACGTGCC</t>
  </si>
  <si>
    <t xml:space="preserve">AAACGGCACGTCTATTCTCGAGAT</t>
  </si>
  <si>
    <t xml:space="preserve">AATCTCGATGTGGTGCTCGT</t>
  </si>
  <si>
    <t xml:space="preserve">TAGTAATCTCGATGTGGTGCTCGT</t>
  </si>
  <si>
    <t xml:space="preserve">AAACACGAGCACCACATCGAGATT</t>
  </si>
  <si>
    <t xml:space="preserve">PSPPH_1315</t>
  </si>
  <si>
    <t xml:space="preserve">GTGGCTTTCAGCCAGCTGGA</t>
  </si>
  <si>
    <t xml:space="preserve">TAGTGTGGCTTTCAGCCAGCTGGA</t>
  </si>
  <si>
    <t xml:space="preserve">AAACTCCAGCTGGCTGAAAGCCAC</t>
  </si>
  <si>
    <t xml:space="preserve">CAGTCAGCGGATCGACATCC</t>
  </si>
  <si>
    <t xml:space="preserve">TAGTCAGTCAGCGGATCGACATCC</t>
  </si>
  <si>
    <t xml:space="preserve">AAACGGATGTCGATCCGCTGACTG</t>
  </si>
  <si>
    <t xml:space="preserve">ATGACCAGATTACGCAGCCT</t>
  </si>
  <si>
    <t xml:space="preserve">TAGTATGACCAGATTACGCAGCCT</t>
  </si>
  <si>
    <t xml:space="preserve">AAACAGGCTGCGTAATCTGGTCAT</t>
  </si>
  <si>
    <t xml:space="preserve">GTGGTCATCGAACTCAGGCA</t>
  </si>
  <si>
    <t xml:space="preserve">TAGTGTGGTCATCGAACTCAGGCA</t>
  </si>
  <si>
    <t xml:space="preserve">AAACTGCCTGAGTTCGATGACCAC</t>
  </si>
  <si>
    <t xml:space="preserve">PSPPH_1316</t>
  </si>
  <si>
    <t xml:space="preserve">ndk</t>
  </si>
  <si>
    <t xml:space="preserve">GAAAGTACGTTGAACAGCCA</t>
  </si>
  <si>
    <t xml:space="preserve">TAGTGAAAGTACGTTGAACAGCCA</t>
  </si>
  <si>
    <t xml:space="preserve">AAACTGGCTGTTCAACGTACTTTC</t>
  </si>
  <si>
    <t xml:space="preserve">AACGGCGTCAGGCTTGATGA</t>
  </si>
  <si>
    <t xml:space="preserve">TAGTAACGGCGTCAGGCTTGATGA</t>
  </si>
  <si>
    <t xml:space="preserve">AAACTCATCAAGCCTGACGCCGTT</t>
  </si>
  <si>
    <t xml:space="preserve">GATCTCGCCGATTACGTTCT</t>
  </si>
  <si>
    <t xml:space="preserve">TAGTGATCTCGCCGATTACGTTCT</t>
  </si>
  <si>
    <t xml:space="preserve">AAACAGAACGTAATCGGCGAGATC</t>
  </si>
  <si>
    <t xml:space="preserve">ACCGGCTTTTTCGAAACGAG</t>
  </si>
  <si>
    <t xml:space="preserve">TAGTACCGGCTTTTTCGAAACGAG</t>
  </si>
  <si>
    <t xml:space="preserve">AAACCTCGTTTCGAAAAAGCCGGT</t>
  </si>
  <si>
    <t xml:space="preserve">PSPPH_1317</t>
  </si>
  <si>
    <t xml:space="preserve">TTGAGTCAGCCCCAGCAGGT</t>
  </si>
  <si>
    <t xml:space="preserve">TAGTTTGAGTCAGCCCCAGCAGGT</t>
  </si>
  <si>
    <t xml:space="preserve">AAACACCTGCTGGGGCTGACTCAA</t>
  </si>
  <si>
    <t xml:space="preserve">ACTTCATGACCTGACCGGCA</t>
  </si>
  <si>
    <t xml:space="preserve">TAGTACTTCATGACCTGACCGGCA</t>
  </si>
  <si>
    <t xml:space="preserve">AAACTGCCGGTCAGGTCATGAAGT</t>
  </si>
  <si>
    <t xml:space="preserve">CGAAATCGTCGACACCGAAG</t>
  </si>
  <si>
    <t xml:space="preserve">TAGTCGAAATCGTCGACACCGAAG</t>
  </si>
  <si>
    <t xml:space="preserve">AAACCTTCGGTGTCGACGATTTCG</t>
  </si>
  <si>
    <t xml:space="preserve">GGCCTTGAGCTTTTCGCGCA</t>
  </si>
  <si>
    <t xml:space="preserve">TAGTGGCCTTGAGCTTTTCGCGCA</t>
  </si>
  <si>
    <t xml:space="preserve">AAACTGCGCGAAAAGCTCAAGGCC</t>
  </si>
  <si>
    <t xml:space="preserve">PSPPH_1318</t>
  </si>
  <si>
    <t xml:space="preserve">pilF</t>
  </si>
  <si>
    <t xml:space="preserve">CAGCGAGGCACGCACAGACA</t>
  </si>
  <si>
    <t xml:space="preserve">TAGTCAGCGAGGCACGCACAGACA</t>
  </si>
  <si>
    <t xml:space="preserve">AAACTGTCTGTGCGTGCCTCGCTG</t>
  </si>
  <si>
    <t xml:space="preserve">CATCGGGTTTACGTTGCCGG</t>
  </si>
  <si>
    <t xml:space="preserve">TAGTCATCGGGTTTACGTTGCCGG</t>
  </si>
  <si>
    <t xml:space="preserve">AAACCCGGCAACGTAAACCCGATG</t>
  </si>
  <si>
    <t xml:space="preserve">CAGCGGAACCTTGGCGCGCT</t>
  </si>
  <si>
    <t xml:space="preserve">TAGTCAGCGGAACCTTGGCGCGCT</t>
  </si>
  <si>
    <t xml:space="preserve">AAACAGCGCGCCAAGGTTCCGCTG</t>
  </si>
  <si>
    <t xml:space="preserve">TGCGGCATTGGCCTGCGCGT</t>
  </si>
  <si>
    <t xml:space="preserve">TAGTTGCGGCATTGGCCTGCGCGT</t>
  </si>
  <si>
    <t xml:space="preserve">AAACACGCGCAGGCCAATGCCGCA</t>
  </si>
  <si>
    <t xml:space="preserve">PSPPH_1319</t>
  </si>
  <si>
    <t xml:space="preserve">CGGGTGGTTGCTACAACTTC</t>
  </si>
  <si>
    <t xml:space="preserve">TAGTCGGGTGGTTGCTACAACTTC</t>
  </si>
  <si>
    <t xml:space="preserve">AAACGAAGTTGTAGCAACCACCCG</t>
  </si>
  <si>
    <t xml:space="preserve">GGGTTTCTCCAGGGTTCACG</t>
  </si>
  <si>
    <t xml:space="preserve">TAGTGGGTTTCTCCAGGGTTCACG</t>
  </si>
  <si>
    <t xml:space="preserve">AAACCGTGAACCCTGGAGAAACCC</t>
  </si>
  <si>
    <t xml:space="preserve">GCTCTCGCGGACCTGGCGCA</t>
  </si>
  <si>
    <t xml:space="preserve">TAGTGCTCTCGCGGACCTGGCGCA</t>
  </si>
  <si>
    <t xml:space="preserve">AAACTGCGCCAGGTCCGCGAGAGC</t>
  </si>
  <si>
    <t xml:space="preserve">TTCAGTCTCAAAGCCACATC</t>
  </si>
  <si>
    <t xml:space="preserve">TAGTTTCAGTCTCAAAGCCACATC</t>
  </si>
  <si>
    <t xml:space="preserve">AAACGATGTGGCTTTGAGACTGAA</t>
  </si>
  <si>
    <t xml:space="preserve">PSPPH_1320</t>
  </si>
  <si>
    <t xml:space="preserve">ispG</t>
  </si>
  <si>
    <t xml:space="preserve">CGGGATTCGCGACGCTTGAT</t>
  </si>
  <si>
    <t xml:space="preserve">TAGTCGGGATTCGCGACGCTTGAT</t>
  </si>
  <si>
    <t xml:space="preserve">AAACATCAAGCGTCGCGAATCCCG</t>
  </si>
  <si>
    <t xml:space="preserve">CGGAACCGACCCATATTTTT</t>
  </si>
  <si>
    <t xml:space="preserve">TAGTCGGAACCGACCCATATTTTT</t>
  </si>
  <si>
    <t xml:space="preserve">AAACAAAAATATGGGTCGGTTCCG</t>
  </si>
  <si>
    <t xml:space="preserve">CGCATCACCGCCGACCGGTA</t>
  </si>
  <si>
    <t xml:space="preserve">TAGTCGCATCACCGCCGACCGGTA</t>
  </si>
  <si>
    <t xml:space="preserve">AAACTACCGGTCGGCGGTGATGCG</t>
  </si>
  <si>
    <t xml:space="preserve">GTCATGCTCTGCACGGCAAT</t>
  </si>
  <si>
    <t xml:space="preserve">TAGTGTCATGCTCTGCACGGCAAT</t>
  </si>
  <si>
    <t xml:space="preserve">AAACATTGCCGTGCAGAGCATGAC</t>
  </si>
  <si>
    <t xml:space="preserve">PSPPH_1321</t>
  </si>
  <si>
    <t xml:space="preserve">hisS</t>
  </si>
  <si>
    <t xml:space="preserve">GATGTCGTTCATGCCACGAA</t>
  </si>
  <si>
    <t xml:space="preserve">TAGTGATGTCGTTCATGCCACGAA</t>
  </si>
  <si>
    <t xml:space="preserve">AAACTTCGTGGCATGAACGACATC</t>
  </si>
  <si>
    <t xml:space="preserve">ACAGTGGCGTCTGCTCGGGC</t>
  </si>
  <si>
    <t xml:space="preserve">TAGTACAGTGGCGTCTGCTCGGGC</t>
  </si>
  <si>
    <t xml:space="preserve">AAACGCCCGAGCAGACGCCACTGT</t>
  </si>
  <si>
    <t xml:space="preserve">GTGAAACGGTGCCTTCGAAG</t>
  </si>
  <si>
    <t xml:space="preserve">TAGTGTGAAACGGTGCCTTCGAAG</t>
  </si>
  <si>
    <t xml:space="preserve">AAACCTTCGAAGGCACCGTTTCAC</t>
  </si>
  <si>
    <t xml:space="preserve">CGATAGGCATACGAATCTGC</t>
  </si>
  <si>
    <t xml:space="preserve">TAGTCGATAGGCATACGAATCTGC</t>
  </si>
  <si>
    <t xml:space="preserve">AAACGCAGATTCGTATGCCTATCG</t>
  </si>
  <si>
    <t xml:space="preserve">PSPPH_1322</t>
  </si>
  <si>
    <t xml:space="preserve">TACCGCCAGCTCTTCATCTT</t>
  </si>
  <si>
    <t xml:space="preserve">TAGTTACCGCCAGCTCTTCATCTT</t>
  </si>
  <si>
    <t xml:space="preserve">AAACAAGATGAAGAGCTGGCGGTA</t>
  </si>
  <si>
    <t xml:space="preserve">AGCAGACCACCGGTCAACAG</t>
  </si>
  <si>
    <t xml:space="preserve">TAGTAGCAGACCACCGGTCAACAG</t>
  </si>
  <si>
    <t xml:space="preserve">AAACCTGTTGACCGGTGGTCTGCT</t>
  </si>
  <si>
    <t xml:space="preserve">CGAGGCGCCTTGCGACTGGC</t>
  </si>
  <si>
    <t xml:space="preserve">TAGTCGAGGCGCCTTGCGACTGGC</t>
  </si>
  <si>
    <t xml:space="preserve">AAACGCCAGTCGCAAGGCGCCTCG</t>
  </si>
  <si>
    <t xml:space="preserve">GCGGTGTCTGCCTGGCCACT</t>
  </si>
  <si>
    <t xml:space="preserve">TAGTGCGGTGTCTGCCTGGCCACT</t>
  </si>
  <si>
    <t xml:space="preserve">AAACAGTGGCCAGGCAGACACCGC</t>
  </si>
  <si>
    <t xml:space="preserve">PSPPH_1323</t>
  </si>
  <si>
    <t xml:space="preserve">GCTGCAACCCGCGGCCAGAA</t>
  </si>
  <si>
    <t xml:space="preserve">TAGTGCTGCAACCCGCGGCCAGAA</t>
  </si>
  <si>
    <t xml:space="preserve">AAACTTCTGGCCGCGGGTTGCAGC</t>
  </si>
  <si>
    <t xml:space="preserve">TTGAAGTCGGTCAGCTCGGC</t>
  </si>
  <si>
    <t xml:space="preserve">TAGTTTGAAGTCGGTCAGCTCGGC</t>
  </si>
  <si>
    <t xml:space="preserve">AAACGCCGAGCTGACCGACTTCAA</t>
  </si>
  <si>
    <t xml:space="preserve">CCTGACCGTCGCCAATGGAA</t>
  </si>
  <si>
    <t xml:space="preserve">TAGTCCTGACCGTCGCCAATGGAA</t>
  </si>
  <si>
    <t xml:space="preserve">AAACTTCCATTGGCGACGGTCAGG</t>
  </si>
  <si>
    <t xml:space="preserve">ATGCGGTCGCCATCAATGGC</t>
  </si>
  <si>
    <t xml:space="preserve">TAGTATGCGGTCGCCATCAATGGC</t>
  </si>
  <si>
    <t xml:space="preserve">AAACGCCATTGATGGCGACCGCAT</t>
  </si>
  <si>
    <t xml:space="preserve">PSPPH_1324</t>
  </si>
  <si>
    <t xml:space="preserve">CGACCCACCAGGGCGATTAC</t>
  </si>
  <si>
    <t xml:space="preserve">TAGTCGACCCACCAGGGCGATTAC</t>
  </si>
  <si>
    <t xml:space="preserve">AAACGTAATCGCCCTGGTGGGTCG</t>
  </si>
  <si>
    <t xml:space="preserve">GGTCAGGCGGTTGAACATGG</t>
  </si>
  <si>
    <t xml:space="preserve">TAGTGGTCAGGCGGTTGAACATGG</t>
  </si>
  <si>
    <t xml:space="preserve">AAACCCATGTTCAACCGCCTGACC</t>
  </si>
  <si>
    <t xml:space="preserve">GACAATGGCGTCGCGAGTCC</t>
  </si>
  <si>
    <t xml:space="preserve">TAGTGACAATGGCGTCGCGAGTCC</t>
  </si>
  <si>
    <t xml:space="preserve">AAACGGACTCGCGACGCCATTGTC</t>
  </si>
  <si>
    <t xml:space="preserve">TTGGCGATCACGGGTAAGAC</t>
  </si>
  <si>
    <t xml:space="preserve">TAGTTTGGCGATCACGGGTAAGAC</t>
  </si>
  <si>
    <t xml:space="preserve">AAACGTCTTACCCGTGATCGCCAA</t>
  </si>
  <si>
    <t xml:space="preserve">PSPPH_1325</t>
  </si>
  <si>
    <t xml:space="preserve">AGGCAACTTGCTGTCGATCA</t>
  </si>
  <si>
    <t xml:space="preserve">TAGTAGGCAACTTGCTGTCGATCA</t>
  </si>
  <si>
    <t xml:space="preserve">AAACTGATCGACAGCAAGTTGCCT</t>
  </si>
  <si>
    <t xml:space="preserve">AAGATAGTGGTGCCCACGTT</t>
  </si>
  <si>
    <t xml:space="preserve">TAGTAAGATAGTGGTGCCCACGTT</t>
  </si>
  <si>
    <t xml:space="preserve">AAACAACGTGGGCACCACTATCTT</t>
  </si>
  <si>
    <t xml:space="preserve">GGCGGCCAGCTGTGACATGA</t>
  </si>
  <si>
    <t xml:space="preserve">TAGTGGCGGCCAGCTGTGACATGA</t>
  </si>
  <si>
    <t xml:space="preserve">AAACTCATGTCACAGCTGGCCGCC</t>
  </si>
  <si>
    <t xml:space="preserve">CAGGTTGATAGCGCCGGTTT</t>
  </si>
  <si>
    <t xml:space="preserve">TAGTCAGGTTGATAGCGCCGGTTT</t>
  </si>
  <si>
    <t xml:space="preserve">AAACAAACCGGCGCTATCAACCTG</t>
  </si>
  <si>
    <t xml:space="preserve">PSPPH_1326</t>
  </si>
  <si>
    <t xml:space="preserve">ATCAGCGCAAGGTTCAGGTT</t>
  </si>
  <si>
    <t xml:space="preserve">TAGTATCAGCGCAAGGTTCAGGTT</t>
  </si>
  <si>
    <t xml:space="preserve">AAACAACCTGAACCTTGCGCTGAT</t>
  </si>
  <si>
    <t xml:space="preserve">GTGCTCGAAATGCTCCAGGT</t>
  </si>
  <si>
    <t xml:space="preserve">TAGTGTGCTCGAAATGCTCCAGGT</t>
  </si>
  <si>
    <t xml:space="preserve">AAACACCTGGAGCATTTCGAGCAC</t>
  </si>
  <si>
    <t xml:space="preserve">CCAGATCAGCGCCATGCGCC</t>
  </si>
  <si>
    <t xml:space="preserve">TAGTCCAGATCAGCGCCATGCGCC</t>
  </si>
  <si>
    <t xml:space="preserve">AAACGGCGCATGGCGCTGATCTGG</t>
  </si>
  <si>
    <t xml:space="preserve">CGGTGGTGAACATTTCTGGC</t>
  </si>
  <si>
    <t xml:space="preserve">TAGTCGGTGGTGAACATTTCTGGC</t>
  </si>
  <si>
    <t xml:space="preserve">AAACGCCAGAAATGTTCACCACCG</t>
  </si>
  <si>
    <t xml:space="preserve">PSPPH_1327</t>
  </si>
  <si>
    <t xml:space="preserve">GGACGTATTGATGGTAATCA</t>
  </si>
  <si>
    <t xml:space="preserve">TAGTGGACGTATTGATGGTAATCA</t>
  </si>
  <si>
    <t xml:space="preserve">AAACTGATTACCATCAATACGTCC</t>
  </si>
  <si>
    <t xml:space="preserve">GCTTGAATAGCTGTTCAATG</t>
  </si>
  <si>
    <t xml:space="preserve">TAGTGCTTGAATAGCTGTTCAATG</t>
  </si>
  <si>
    <t xml:space="preserve">AAACCATTGAACAGCTATTCAAGC</t>
  </si>
  <si>
    <t xml:space="preserve">ATTTAACCGCTAGGGTCAAC</t>
  </si>
  <si>
    <t xml:space="preserve">TAGTATTTAACCGCTAGGGTCAAC</t>
  </si>
  <si>
    <t xml:space="preserve">AAACGTTGACCCTAGCGGTTAAAT</t>
  </si>
  <si>
    <t xml:space="preserve">AGACTTGATTGCCTCTGCGT</t>
  </si>
  <si>
    <t xml:space="preserve">TAGTAGACTTGATTGCCTCTGCGT</t>
  </si>
  <si>
    <t xml:space="preserve">AAACACGCAGAGGCAATCAAGTCT</t>
  </si>
  <si>
    <t xml:space="preserve">PSPPH_1328</t>
  </si>
  <si>
    <t xml:space="preserve">bcpA</t>
  </si>
  <si>
    <t xml:space="preserve">AAATCTTGATGGGAAGCCTT</t>
  </si>
  <si>
    <t xml:space="preserve">TAGTAAATCTTGATGGGAAGCCTT</t>
  </si>
  <si>
    <t xml:space="preserve">AAACAAGGCTTCCCATCAAGATTT</t>
  </si>
  <si>
    <t xml:space="preserve">AGGTAAGCGCACGGAAACTG</t>
  </si>
  <si>
    <t xml:space="preserve">TAGTAGGTAAGCGCACGGAAACTG</t>
  </si>
  <si>
    <t xml:space="preserve">AAACCAGTTTCCGTGCGCTTACCT</t>
  </si>
  <si>
    <t xml:space="preserve">GTGAAAGCACGAGTTCGACG</t>
  </si>
  <si>
    <t xml:space="preserve">TAGTGTGAAAGCACGAGTTCGACG</t>
  </si>
  <si>
    <t xml:space="preserve">AAACCGTCGAACTCGTGCTTTCAC</t>
  </si>
  <si>
    <t xml:space="preserve">CATGGGGTCGAATACCGAGG</t>
  </si>
  <si>
    <t xml:space="preserve">TAGTCATGGGGTCGAATACCGAGG</t>
  </si>
  <si>
    <t xml:space="preserve">AAACCCTCGGTATTCGACCCCATG</t>
  </si>
  <si>
    <t xml:space="preserve">PSPPH_1329</t>
  </si>
  <si>
    <t xml:space="preserve">leuA</t>
  </si>
  <si>
    <t xml:space="preserve">CTTCGATGGGTCTTTGAGCA</t>
  </si>
  <si>
    <t xml:space="preserve">TAGTCTTCGATGGGTCTTTGAGCA</t>
  </si>
  <si>
    <t xml:space="preserve">AAACTGCTCAAAGACCCATCGAAG</t>
  </si>
  <si>
    <t xml:space="preserve">CGGTCAGGCAGATCGATGGT</t>
  </si>
  <si>
    <t xml:space="preserve">TAGTCGGTCAGGCAGATCGATGGT</t>
  </si>
  <si>
    <t xml:space="preserve">AAACACCATCGATCTGCCTGACCG</t>
  </si>
  <si>
    <t xml:space="preserve">TGGTCTTCGAAGGCCAGGTG</t>
  </si>
  <si>
    <t xml:space="preserve">TAGTTGGTCTTCGAAGGCCAGGTG</t>
  </si>
  <si>
    <t xml:space="preserve">AAACCACCTGGCCTTCGAAGACCA</t>
  </si>
  <si>
    <t xml:space="preserve">CCAGATCGGCGCTGCATCGA</t>
  </si>
  <si>
    <t xml:space="preserve">TAGTCCAGATCGGCGCTGCATCGA</t>
  </si>
  <si>
    <t xml:space="preserve">AAACTCGATGCAGCGCCGATCTGG</t>
  </si>
  <si>
    <t xml:space="preserve">PSPPH_1330</t>
  </si>
  <si>
    <t xml:space="preserve">CAGGAGCAGGGCGAACAGCG</t>
  </si>
  <si>
    <t xml:space="preserve">TAGTCAGGAGCAGGGCGAACAGCG</t>
  </si>
  <si>
    <t xml:space="preserve">AAACCGCTGTTCGCCCTGCTCCTG</t>
  </si>
  <si>
    <t xml:space="preserve">ATGAAACTGTCGGCGTGGGC</t>
  </si>
  <si>
    <t xml:space="preserve">TAGTATGAAACTGTCGGCGTGGGC</t>
  </si>
  <si>
    <t xml:space="preserve">AAACGCCCACGCCGACAGTTTCAT</t>
  </si>
  <si>
    <t xml:space="preserve">CACCGGTTTGTCGAGTGCGC</t>
  </si>
  <si>
    <t xml:space="preserve">TAGTCACCGGTTTGTCGAGTGCGC</t>
  </si>
  <si>
    <t xml:space="preserve">AAACGCGCACTCGACAAACCGGTG</t>
  </si>
  <si>
    <t xml:space="preserve">TCAATTACGGCAACGCCACC</t>
  </si>
  <si>
    <t xml:space="preserve">TAGTTCAATTACGGCAACGCCACC</t>
  </si>
  <si>
    <t xml:space="preserve">AAACGGTGGCGTTGCCGTAATTGA</t>
  </si>
  <si>
    <t xml:space="preserve">PSPPH_1331</t>
  </si>
  <si>
    <t xml:space="preserve">xseA</t>
  </si>
  <si>
    <t xml:space="preserve">CGAGGCCGAGTCTTGCGAAA</t>
  </si>
  <si>
    <t xml:space="preserve">TAGTCGAGGCCGAGTCTTGCGAAA</t>
  </si>
  <si>
    <t xml:space="preserve">AAACTTTCGCAAGACTCGGCCTCG</t>
  </si>
  <si>
    <t xml:space="preserve">CGTTGAGCTGGCTGACAGTA</t>
  </si>
  <si>
    <t xml:space="preserve">TAGTCGTTGAGCTGGCTGACAGTA</t>
  </si>
  <si>
    <t xml:space="preserve">AAACTACTGTCAGCCAGCTCAACG</t>
  </si>
  <si>
    <t xml:space="preserve">CCTCCAGCAACACCCGCGCA</t>
  </si>
  <si>
    <t xml:space="preserve">TAGTCCTCCAGCAACACCCGCGCA</t>
  </si>
  <si>
    <t xml:space="preserve">AAACTGCGCGGGTGTTGCTGGAGG</t>
  </si>
  <si>
    <t xml:space="preserve">AGACGCCGGGCGAGAGAGGT</t>
  </si>
  <si>
    <t xml:space="preserve">TAGTAGACGCCGGGCGAGAGAGGT</t>
  </si>
  <si>
    <t xml:space="preserve">AAACACCTCTCTCGCCCGGCGTCT</t>
  </si>
  <si>
    <t xml:space="preserve">PSPPH_1332</t>
  </si>
  <si>
    <t xml:space="preserve">TTGCGGGACGATGATGCTTT</t>
  </si>
  <si>
    <t xml:space="preserve">TAGTTTGCGGGACGATGATGCTTT</t>
  </si>
  <si>
    <t xml:space="preserve">AAACAAAGCATCATCGTCCCGCAA</t>
  </si>
  <si>
    <t xml:space="preserve">GGCCTCGTGGCCGGGAAAGG</t>
  </si>
  <si>
    <t xml:space="preserve">TAGTGGCCTCGTGGCCGGGAAAGG</t>
  </si>
  <si>
    <t xml:space="preserve">AAACCCTTTCCCGGCCACGAGGCC</t>
  </si>
  <si>
    <t xml:space="preserve">GCGCAGAATCAGCCGCGCCC</t>
  </si>
  <si>
    <t xml:space="preserve">TAGTGCGCAGAATCAGCCGCGCCC</t>
  </si>
  <si>
    <t xml:space="preserve">AAACGGGCGCGGCTGATTCTGCGC</t>
  </si>
  <si>
    <t xml:space="preserve">CGCCCGCATGTCGTCAGCTC</t>
  </si>
  <si>
    <t xml:space="preserve">TAGTCGCCCGCATGTCGTCAGCTC</t>
  </si>
  <si>
    <t xml:space="preserve">AAACGAGCTGACGACATGCGGGCG</t>
  </si>
  <si>
    <t xml:space="preserve">PSPPH_1333</t>
  </si>
  <si>
    <t xml:space="preserve">guaB</t>
  </si>
  <si>
    <t xml:space="preserve">GAGAATGTCGTCGAATGTAA</t>
  </si>
  <si>
    <t xml:space="preserve">TAGTGAGAATGTCGTCGAATGTAA</t>
  </si>
  <si>
    <t xml:space="preserve">AAACTTACATTCGACGACATTCTC</t>
  </si>
  <si>
    <t xml:space="preserve">CCTCGGAATAACCGGGCACA</t>
  </si>
  <si>
    <t xml:space="preserve">TAGTCCTCGGAATAACCGGGCACA</t>
  </si>
  <si>
    <t xml:space="preserve">AAACTGTGCCCGGTTATTCCGAGG</t>
  </si>
  <si>
    <t xml:space="preserve">GTTTTCAGACTGACTTCGTT</t>
  </si>
  <si>
    <t xml:space="preserve">TAGTGTTTTCAGACTGACTTCGTT</t>
  </si>
  <si>
    <t xml:space="preserve">AAACAACGAAGTCAGTCTGAAAAC</t>
  </si>
  <si>
    <t xml:space="preserve">CTCGATGCCACGGGTCAAAC</t>
  </si>
  <si>
    <t xml:space="preserve">TAGTCTCGATGCCACGGGTCAAAC</t>
  </si>
  <si>
    <t xml:space="preserve">AAACGTTTGACCCGTGGCATCGAG</t>
  </si>
  <si>
    <t xml:space="preserve">PSPPH_1334</t>
  </si>
  <si>
    <t xml:space="preserve">guaA</t>
  </si>
  <si>
    <t xml:space="preserve">ACGGTGGGCGTGAATGTCGA</t>
  </si>
  <si>
    <t xml:space="preserve">TAGTACGGTGGGCGTGAATGTCGA</t>
  </si>
  <si>
    <t xml:space="preserve">AAACTCGACATTCACGCCCACCGT</t>
  </si>
  <si>
    <t xml:space="preserve">GGGAACCGAAGTCGAGGATC</t>
  </si>
  <si>
    <t xml:space="preserve">TAGTGGGAACCGAAGTCGAGGATC</t>
  </si>
  <si>
    <t xml:space="preserve">AAACGATCCTCGACTTCGGTTCCC</t>
  </si>
  <si>
    <t xml:space="preserve">GGCGATCAGCTGGGTGTACT</t>
  </si>
  <si>
    <t xml:space="preserve">TAGTGGCGATCAGCTGGGTGTACT</t>
  </si>
  <si>
    <t xml:space="preserve">AAACAGTACACCCAGCTGATCGCC</t>
  </si>
  <si>
    <t xml:space="preserve">GCCGATTTCACGCACGCGGC</t>
  </si>
  <si>
    <t xml:space="preserve">TAGTGCCGATTTCACGCACGCGGC</t>
  </si>
  <si>
    <t xml:space="preserve">AAACGCCGCGTGCGTGAAATCGGC</t>
  </si>
  <si>
    <t xml:space="preserve">PSPPH_1335</t>
  </si>
  <si>
    <t xml:space="preserve">GACATTCTGGCATTGCTAAA</t>
  </si>
  <si>
    <t xml:space="preserve">TAGTGACATTCTGGCATTGCTAAA</t>
  </si>
  <si>
    <t xml:space="preserve">AAACTTTAGCAATGCCAGAATGTC</t>
  </si>
  <si>
    <t xml:space="preserve">GAACCCGAATTTATTGATTC</t>
  </si>
  <si>
    <t xml:space="preserve">TAGTGAACCCGAATTTATTGATTC</t>
  </si>
  <si>
    <t xml:space="preserve">AAACGAATCAATAAATTCGGGTTC</t>
  </si>
  <si>
    <t xml:space="preserve">AAACCATAAATCCCTTAAAC</t>
  </si>
  <si>
    <t xml:space="preserve">TAGTAAACCATAAATCCCTTAAAC</t>
  </si>
  <si>
    <t xml:space="preserve">AAACGTTTAAGGGATTTATGGTTT</t>
  </si>
  <si>
    <t xml:space="preserve">GTCCTCGCCACACACATAGA</t>
  </si>
  <si>
    <t xml:space="preserve">TAGTGTCCTCGCCACACACATAGA</t>
  </si>
  <si>
    <t xml:space="preserve">AAACTCTATGTGTGTGGCGAGGAC</t>
  </si>
  <si>
    <t xml:space="preserve">PSPPH_1337</t>
  </si>
  <si>
    <t xml:space="preserve">AGATTTCTTGCCGCTGAGAG</t>
  </si>
  <si>
    <t xml:space="preserve">TAGTAGATTTCTTGCCGCTGAGAG</t>
  </si>
  <si>
    <t xml:space="preserve">AAACCTCTCAGCGGCAAGAAATCT</t>
  </si>
  <si>
    <t xml:space="preserve">TCTGGCGACGCCGTATCAGC</t>
  </si>
  <si>
    <t xml:space="preserve">TAGTTCTGGCGACGCCGTATCAGC</t>
  </si>
  <si>
    <t xml:space="preserve">AAACGCTGATACGGCGTCGCCAGA</t>
  </si>
  <si>
    <t xml:space="preserve">AGTGATCAACTCGCCGTCGT</t>
  </si>
  <si>
    <t xml:space="preserve">TAGTAGTGATCAACTCGCCGTCGT</t>
  </si>
  <si>
    <t xml:space="preserve">AAACACGACGGCGAGTTGATCACT</t>
  </si>
  <si>
    <t xml:space="preserve">CTCGCGTCCGTAACTGTCGT</t>
  </si>
  <si>
    <t xml:space="preserve">TAGTCTCGCGTCCGTAACTGTCGT</t>
  </si>
  <si>
    <t xml:space="preserve">AAACACGACAGTTACGGACGCGAG</t>
  </si>
  <si>
    <t xml:space="preserve">PSPPH_1338</t>
  </si>
  <si>
    <t xml:space="preserve">cumA</t>
  </si>
  <si>
    <t xml:space="preserve">GGGTAAAGGACATGAACGGC</t>
  </si>
  <si>
    <t xml:space="preserve">TAGTGGGTAAAGGACATGAACGGC</t>
  </si>
  <si>
    <t xml:space="preserve">AAACGCCGTTCATGTCCTTTACCC</t>
  </si>
  <si>
    <t xml:space="preserve">GCCTGTGAGGATCTGACGAC</t>
  </si>
  <si>
    <t xml:space="preserve">TAGTGCCTGTGAGGATCTGACGAC</t>
  </si>
  <si>
    <t xml:space="preserve">AAACGTCGTCAGATCCTCACAGGC</t>
  </si>
  <si>
    <t xml:space="preserve">AAGGCCGACTACAGCAAGAC</t>
  </si>
  <si>
    <t xml:space="preserve">TAGTAAGGCCGACTACAGCAAGAC</t>
  </si>
  <si>
    <t xml:space="preserve">AAACGTCTTGCTGTAGTCGGCCTT</t>
  </si>
  <si>
    <t xml:space="preserve">GAGATCAGTTCTATATCCAG</t>
  </si>
  <si>
    <t xml:space="preserve">TAGTGAGATCAGTTCTATATCCAG</t>
  </si>
  <si>
    <t xml:space="preserve">AAACCTGGATATAGAACTGATCTC</t>
  </si>
  <si>
    <t xml:space="preserve">PSPPH_1339</t>
  </si>
  <si>
    <t xml:space="preserve">TTGCTGCGGTCGATGATTTG</t>
  </si>
  <si>
    <t xml:space="preserve">TAGTTTGCTGCGGTCGATGATTTG</t>
  </si>
  <si>
    <t xml:space="preserve">AAACCAAATCATCGACCGCAGCAA</t>
  </si>
  <si>
    <t xml:space="preserve">GCCCAGCAATGCGCCTTGCG</t>
  </si>
  <si>
    <t xml:space="preserve">TAGTGCCCAGCAATGCGCCTTGCG</t>
  </si>
  <si>
    <t xml:space="preserve">AAACCGCAAGGCGCATTGCTGGGC</t>
  </si>
  <si>
    <t xml:space="preserve">TGCACCACGACTGCACCGAC</t>
  </si>
  <si>
    <t xml:space="preserve">TAGTTGCACCACGACTGCACCGAC</t>
  </si>
  <si>
    <t xml:space="preserve">AAACGTCGGTGCAGTCGTGGTGCA</t>
  </si>
  <si>
    <t xml:space="preserve">TGGGGTCGCTTGCGCTGATC</t>
  </si>
  <si>
    <t xml:space="preserve">TAGTTGGGGTCGCTTGCGCTGATC</t>
  </si>
  <si>
    <t xml:space="preserve">AAACGATCAGCGCAAGCGACCCCA</t>
  </si>
  <si>
    <t xml:space="preserve">PSPPH_1340</t>
  </si>
  <si>
    <t xml:space="preserve">GGTGATCAAAGGCCCGCTTT</t>
  </si>
  <si>
    <t xml:space="preserve">TAGTGGTGATCAAAGGCCCGCTTT</t>
  </si>
  <si>
    <t xml:space="preserve">AAACAAAGCGGGCCTTTGATCACC</t>
  </si>
  <si>
    <t xml:space="preserve">GCACCCGATGCCGCCGTTTT</t>
  </si>
  <si>
    <t xml:space="preserve">TAGTGCACCCGATGCCGCCGTTTT</t>
  </si>
  <si>
    <t xml:space="preserve">AAACAAAACGGCGGCATCGGGTGC</t>
  </si>
  <si>
    <t xml:space="preserve">TTTTGCGTGGAGCGACATTC</t>
  </si>
  <si>
    <t xml:space="preserve">TAGTTTTTGCGTGGAGCGACATTC</t>
  </si>
  <si>
    <t xml:space="preserve">AAACGAATGTCGCTCCACGCAAAA</t>
  </si>
  <si>
    <t xml:space="preserve">GATAGGCGAGGGGGTTTTAC</t>
  </si>
  <si>
    <t xml:space="preserve">TAGTGATAGGCGAGGGGGTTTTAC</t>
  </si>
  <si>
    <t xml:space="preserve">AAACGTAAAACCCCCTCGCCTATC</t>
  </si>
  <si>
    <t xml:space="preserve">PSPPH_1341</t>
  </si>
  <si>
    <t xml:space="preserve">purL</t>
  </si>
  <si>
    <t xml:space="preserve">TCGGGACAGCCTCGAGAAGG</t>
  </si>
  <si>
    <t xml:space="preserve">TAGTTCGGGACAGCCTCGAGAAGG</t>
  </si>
  <si>
    <t xml:space="preserve">AAACCCTTCTCGAGGCTGTCCCGA</t>
  </si>
  <si>
    <t xml:space="preserve">AAAGGGCAGGAGCACCGCGC</t>
  </si>
  <si>
    <t xml:space="preserve">TAGTAAAGGGCAGGAGCACCGCGC</t>
  </si>
  <si>
    <t xml:space="preserve">AAACGCGCGGTGCTCCTGCCCTTT</t>
  </si>
  <si>
    <t xml:space="preserve">TAGTAATTTGCTGTGGCGGA</t>
  </si>
  <si>
    <t xml:space="preserve">TAGTTAGTAATTTGCTGTGGCGGA</t>
  </si>
  <si>
    <t xml:space="preserve">AAACTCCGCCACAGCAAATTACTA</t>
  </si>
  <si>
    <t xml:space="preserve">GTCCGCGAAGTGGGCGAATT</t>
  </si>
  <si>
    <t xml:space="preserve">TAGTGTCCGCGAAGTGGGCGAATT</t>
  </si>
  <si>
    <t xml:space="preserve">AAACAATTCGCCCACTTCGCGGAC</t>
  </si>
  <si>
    <t xml:space="preserve">PSPPH_1342</t>
  </si>
  <si>
    <t xml:space="preserve">ATGACTCGGAGGAACAAAGA</t>
  </si>
  <si>
    <t xml:space="preserve">TAGTATGACTCGGAGGAACAAAGA</t>
  </si>
  <si>
    <t xml:space="preserve">AAACTCTTTGTTCCTCCGAGTCAT</t>
  </si>
  <si>
    <t xml:space="preserve">TCAGCGGGCGGAACTGGCCC</t>
  </si>
  <si>
    <t xml:space="preserve">TAGTTCAGCGGGCGGAACTGGCCC</t>
  </si>
  <si>
    <t xml:space="preserve">AAACGGGCCAGTTCCGCCCGCTGA</t>
  </si>
  <si>
    <t xml:space="preserve">ACTCCGCTCTGCCCGACAAA</t>
  </si>
  <si>
    <t xml:space="preserve">TAGTACTCCGCTCTGCCCGACAAA</t>
  </si>
  <si>
    <t xml:space="preserve">AAACTTTGTCGGGCAGAGCGGAGT</t>
  </si>
  <si>
    <t xml:space="preserve">AAGCAGGCGTTTCGTAGGGA</t>
  </si>
  <si>
    <t xml:space="preserve">TAGTAAGCAGGCGTTTCGTAGGGA</t>
  </si>
  <si>
    <t xml:space="preserve">AAACTCCCTACGAAACGCCTGCTT</t>
  </si>
  <si>
    <t xml:space="preserve">PSPPH_1343</t>
  </si>
  <si>
    <t xml:space="preserve">TACGAATGACATGCAAAAGA</t>
  </si>
  <si>
    <t xml:space="preserve">TAGTTACGAATGACATGCAAAAGA</t>
  </si>
  <si>
    <t xml:space="preserve">AAACTCTTTTGCATGTCATTCGTA</t>
  </si>
  <si>
    <t xml:space="preserve">GTAAACGCAGCCTGCGAAAG</t>
  </si>
  <si>
    <t xml:space="preserve">TAGTGTAAACGCAGCCTGCGAAAG</t>
  </si>
  <si>
    <t xml:space="preserve">AAACCTTTCGCAGGCTGCGTTTAC</t>
  </si>
  <si>
    <t xml:space="preserve">GCCCTTGGGCACGATGGTCT</t>
  </si>
  <si>
    <t xml:space="preserve">TAGTGCCCTTGGGCACGATGGTCT</t>
  </si>
  <si>
    <t xml:space="preserve">AAACAGACCATCGTGCCCAAGGGC</t>
  </si>
  <si>
    <t xml:space="preserve">CGGCTTGCTGGCAATACTCT</t>
  </si>
  <si>
    <t xml:space="preserve">TAGTCGGCTTGCTGGCAATACTCT</t>
  </si>
  <si>
    <t xml:space="preserve">AAACAGAGTATTGCCAGCAAGCCG</t>
  </si>
  <si>
    <t xml:space="preserve">PSPPH_1344</t>
  </si>
  <si>
    <t xml:space="preserve">mutT1</t>
  </si>
  <si>
    <t xml:space="preserve">CACTGGCTGCAAAATTTCAT</t>
  </si>
  <si>
    <t xml:space="preserve">TAGTCACTGGCTGCAAAATTTCAT</t>
  </si>
  <si>
    <t xml:space="preserve">AAACATGAAATTTTGCAGCCAGTG</t>
  </si>
  <si>
    <t xml:space="preserve">CGGGAATACGCTGGATAACG</t>
  </si>
  <si>
    <t xml:space="preserve">TAGTCGGGAATACGCTGGATAACG</t>
  </si>
  <si>
    <t xml:space="preserve">AAACCGTTATCCAGCGTATTCCCG</t>
  </si>
  <si>
    <t xml:space="preserve">CCGCAATCGGCTGTCGCCTT</t>
  </si>
  <si>
    <t xml:space="preserve">TAGTCCGCAATCGGCTGTCGCCTT</t>
  </si>
  <si>
    <t xml:space="preserve">AAACAAGGCGACAGCCGATTGCGG</t>
  </si>
  <si>
    <t xml:space="preserve">GTTCGGATTCTGGTAATGAA</t>
  </si>
  <si>
    <t xml:space="preserve">TAGTGTTCGGATTCTGGTAATGAA</t>
  </si>
  <si>
    <t xml:space="preserve">AAACTTCATTACCAGAATCCGAAC</t>
  </si>
  <si>
    <t xml:space="preserve">PSPPH_1345</t>
  </si>
  <si>
    <t xml:space="preserve">CGAAGTAGCTCATCCAGCAT</t>
  </si>
  <si>
    <t xml:space="preserve">TAGTCGAAGTAGCTCATCCAGCAT</t>
  </si>
  <si>
    <t xml:space="preserve">AAACATGCTGGATGAGCTACTTCG</t>
  </si>
  <si>
    <t xml:space="preserve">CGGGCGTATGACTGACTACA</t>
  </si>
  <si>
    <t xml:space="preserve">TAGTCGGGCGTATGACTGACTACA</t>
  </si>
  <si>
    <t xml:space="preserve">AAACTGTAGTCAGTCATACGCCCG</t>
  </si>
  <si>
    <t xml:space="preserve">TCGATCCGAGTCGAGGGTTT</t>
  </si>
  <si>
    <t xml:space="preserve">TAGTTCGATCCGAGTCGAGGGTTT</t>
  </si>
  <si>
    <t xml:space="preserve">AAACAAACCCTCGACTCGGATCGA</t>
  </si>
  <si>
    <t xml:space="preserve">GCACCAGAACAGCCGCCTCG</t>
  </si>
  <si>
    <t xml:space="preserve">TAGTGCACCAGAACAGCCGCCTCG</t>
  </si>
  <si>
    <t xml:space="preserve">AAACCGAGGCGGCTGTTCTGGTGC</t>
  </si>
  <si>
    <t xml:space="preserve">PSPPH_1346</t>
  </si>
  <si>
    <t xml:space="preserve">TCTGGACACGGGATTCCCCC</t>
  </si>
  <si>
    <t xml:space="preserve">TAGTTCTGGACACGGGATTCCCCC</t>
  </si>
  <si>
    <t xml:space="preserve">AAACGGGGGAATCCCGTGTCCAGA</t>
  </si>
  <si>
    <t xml:space="preserve">AGCAACCCAGCTCTGCGGGT</t>
  </si>
  <si>
    <t xml:space="preserve">TAGTAGCAACCCAGCTCTGCGGGT</t>
  </si>
  <si>
    <t xml:space="preserve">AAACACCCGCAGAGCTGGGTTGCT</t>
  </si>
  <si>
    <t xml:space="preserve">TTACCGATCAGCACTGCATT</t>
  </si>
  <si>
    <t xml:space="preserve">TAGTTTACCGATCAGCACTGCATT</t>
  </si>
  <si>
    <t xml:space="preserve">AAACAATGCAGTGCTGATCGGTAA</t>
  </si>
  <si>
    <t xml:space="preserve">CGTTACTGTTTTCGCCGATA</t>
  </si>
  <si>
    <t xml:space="preserve">TAGTCGTTACTGTTTTCGCCGATA</t>
  </si>
  <si>
    <t xml:space="preserve">AAACTATCGGCGAAAACAGTAACG</t>
  </si>
  <si>
    <t xml:space="preserve">PSPPH_1347</t>
  </si>
  <si>
    <t xml:space="preserve">CGGCTTTTCAATCGGGGTAT</t>
  </si>
  <si>
    <t xml:space="preserve">TAGTCGGCTTTTCAATCGGGGTAT</t>
  </si>
  <si>
    <t xml:space="preserve">AAACATACCCCGATTGAAAAGCCG</t>
  </si>
  <si>
    <t xml:space="preserve">CTCACACAGGGAGAACGGAC</t>
  </si>
  <si>
    <t xml:space="preserve">TAGTCTCACACAGGGAGAACGGAC</t>
  </si>
  <si>
    <t xml:space="preserve">AAACGTCCGTTCTCCCTGTGTGAG</t>
  </si>
  <si>
    <t xml:space="preserve">GTTCACGGTTCGCTGGCAAC</t>
  </si>
  <si>
    <t xml:space="preserve">TAGTGTTCACGGTTCGCTGGCAAC</t>
  </si>
  <si>
    <t xml:space="preserve">AAACGTTGCCAGCGAACCGTGAAC</t>
  </si>
  <si>
    <t xml:space="preserve">GTTGCTCATCCGGCTCCACC</t>
  </si>
  <si>
    <t xml:space="preserve">TAGTGTTGCTCATCCGGCTCCACC</t>
  </si>
  <si>
    <t xml:space="preserve">AAACGGTGGAGCCGGATGAGCAAC</t>
  </si>
  <si>
    <t xml:space="preserve">PSPPH_1348</t>
  </si>
  <si>
    <t xml:space="preserve">AGATAATGCATCGACTGCAC</t>
  </si>
  <si>
    <t xml:space="preserve">TAGTAGATAATGCATCGACTGCAC</t>
  </si>
  <si>
    <t xml:space="preserve">AAACGTGCAGTCGATGCATTATCT</t>
  </si>
  <si>
    <t xml:space="preserve">CAAGGACCGTGCCCAGGCAT</t>
  </si>
  <si>
    <t xml:space="preserve">TAGTCAAGGACCGTGCCCAGGCAT</t>
  </si>
  <si>
    <t xml:space="preserve">AAACATGCCTGGGCACGGTCCTTG</t>
  </si>
  <si>
    <t xml:space="preserve">GCGGCAATGATAGCAAACGC</t>
  </si>
  <si>
    <t xml:space="preserve">TAGTGCGGCAATGATAGCAAACGC</t>
  </si>
  <si>
    <t xml:space="preserve">AAACGCGTTTGCTATCATTGCCGC</t>
  </si>
  <si>
    <t xml:space="preserve">AGGAAAAGCATGGAGGGTTT</t>
  </si>
  <si>
    <t xml:space="preserve">TAGTAGGAAAAGCATGGAGGGTTT</t>
  </si>
  <si>
    <t xml:space="preserve">AAACAAACCCTCCATGCTTTTCCT</t>
  </si>
  <si>
    <t xml:space="preserve">PSPPH_1349</t>
  </si>
  <si>
    <t xml:space="preserve">purT</t>
  </si>
  <si>
    <t xml:space="preserve">CGAGTCGCGGTGGGCGACAG</t>
  </si>
  <si>
    <t xml:space="preserve">TAGTCGAGTCGCGGTGGGCGACAG</t>
  </si>
  <si>
    <t xml:space="preserve">AAACCTGTCGCCCACCGCGACTCG</t>
  </si>
  <si>
    <t xml:space="preserve">CAGCGATCACTTCAACGCCA</t>
  </si>
  <si>
    <t xml:space="preserve">TAGTCAGCGATCACTTCAACGCCA</t>
  </si>
  <si>
    <t xml:space="preserve">AAACTGGCGTTGAAGTGATCGCTG</t>
  </si>
  <si>
    <t xml:space="preserve">TCGCGGGCGCGTTCTCATAA</t>
  </si>
  <si>
    <t xml:space="preserve">TAGTTCGCGGGCGCGTTCTCATAA</t>
  </si>
  <si>
    <t xml:space="preserve">AAACTTATGAGAACGCGCCCGCGA</t>
  </si>
  <si>
    <t xml:space="preserve">CGTCGAGCATGTTGATCACA</t>
  </si>
  <si>
    <t xml:space="preserve">TAGTCGTCGAGCATGTTGATCACA</t>
  </si>
  <si>
    <t xml:space="preserve">AAACTGTGATCAACATGCTCGACG</t>
  </si>
  <si>
    <t xml:space="preserve">PSPPH_1350</t>
  </si>
  <si>
    <t xml:space="preserve">TGTCGCCGGGATCTATTTGA</t>
  </si>
  <si>
    <t xml:space="preserve">TAGTTGTCGCCGGGATCTATTTGA</t>
  </si>
  <si>
    <t xml:space="preserve">AAACTCAAATAGATCCCGGCGACA</t>
  </si>
  <si>
    <t xml:space="preserve">CCGAATGGGTCGAGAGACAA</t>
  </si>
  <si>
    <t xml:space="preserve">TAGTCCGAATGGGTCGAGAGACAA</t>
  </si>
  <si>
    <t xml:space="preserve">AAACTTGTCTCTCGACCCATTCGG</t>
  </si>
  <si>
    <t xml:space="preserve">GCATTCATTATTGTGATTGT</t>
  </si>
  <si>
    <t xml:space="preserve">TAGTGCATTCATTATTGTGATTGT</t>
  </si>
  <si>
    <t xml:space="preserve">AAACACAATCACAATAATGAATGC</t>
  </si>
  <si>
    <t xml:space="preserve">GGGCGGCAAGGACCGTGCTC</t>
  </si>
  <si>
    <t xml:space="preserve">TAGTGGGCGGCAAGGACCGTGCTC</t>
  </si>
  <si>
    <t xml:space="preserve">AAACGAGCACGGTCCTTGCCGCCC</t>
  </si>
  <si>
    <t xml:space="preserve">PSPPH_1351</t>
  </si>
  <si>
    <t xml:space="preserve">ACGCCAAGCAGTGGGCCAAG</t>
  </si>
  <si>
    <t xml:space="preserve">TAGTACGCCAAGCAGTGGGCCAAG</t>
  </si>
  <si>
    <t xml:space="preserve">AAACCTTGGCCCACTGCTTGGCGT</t>
  </si>
  <si>
    <t xml:space="preserve">CCCAGAGCATAAGGAGGGCG</t>
  </si>
  <si>
    <t xml:space="preserve">TAGTCCCAGAGCATAAGGAGGGCG</t>
  </si>
  <si>
    <t xml:space="preserve">AAACCGCCCTCCTTATGCTCTGGG</t>
  </si>
  <si>
    <t xml:space="preserve">TGCCTTGAGTTGGTGGTGCG</t>
  </si>
  <si>
    <t xml:space="preserve">TAGTTGCCTTGAGTTGGTGGTGCG</t>
  </si>
  <si>
    <t xml:space="preserve">AAACCGCACCACCAACTCAAGGCA</t>
  </si>
  <si>
    <t xml:space="preserve">GGCCTTGTCCGAACGGCTGG</t>
  </si>
  <si>
    <t xml:space="preserve">TAGTGGCCTTGTCCGAACGGCTGG</t>
  </si>
  <si>
    <t xml:space="preserve">AAACCCAGCCGTTCGGACAAGGCC</t>
  </si>
  <si>
    <t xml:space="preserve">PSPPH_1352</t>
  </si>
  <si>
    <t xml:space="preserve">GCCTGAAAAGACGTTGAGTT</t>
  </si>
  <si>
    <t xml:space="preserve">TAGTGCCTGAAAAGACGTTGAGTT</t>
  </si>
  <si>
    <t xml:space="preserve">AAACAACTCAACGTCTTTTCAGGC</t>
  </si>
  <si>
    <t xml:space="preserve">GGACATAGATCCTGATGGAC</t>
  </si>
  <si>
    <t xml:space="preserve">TAGTGGACATAGATCCTGATGGAC</t>
  </si>
  <si>
    <t xml:space="preserve">AAACGTCCATCAGGATCTATGTCC</t>
  </si>
  <si>
    <t xml:space="preserve">AAGCAGGCTGGGTGGCAAAG</t>
  </si>
  <si>
    <t xml:space="preserve">TAGTAAGCAGGCTGGGTGGCAAAG</t>
  </si>
  <si>
    <t xml:space="preserve">AAACCTTTGCCACCCAGCCTGCTT</t>
  </si>
  <si>
    <t xml:space="preserve">AGAACGGCGGCGGCGAGGCT</t>
  </si>
  <si>
    <t xml:space="preserve">TAGTAGAACGGCGGCGGCGAGGCT</t>
  </si>
  <si>
    <t xml:space="preserve">AAACAGCCTCGCCGCCGCCGTTCT</t>
  </si>
  <si>
    <t xml:space="preserve">PSPPH_1353</t>
  </si>
  <si>
    <t xml:space="preserve">ffh</t>
  </si>
  <si>
    <t xml:space="preserve">ATAGCGAAGACTCCGCCGCA</t>
  </si>
  <si>
    <t xml:space="preserve">TAGTATAGCGAAGACTCCGCCGCA</t>
  </si>
  <si>
    <t xml:space="preserve">AAACTGCGGCGGAGTCTTCGCTAT</t>
  </si>
  <si>
    <t xml:space="preserve">CCTGCGGCTTGAGCAGGTCG</t>
  </si>
  <si>
    <t xml:space="preserve">TAGTCCTGCGGCTTGAGCAGGTCG</t>
  </si>
  <si>
    <t xml:space="preserve">AAACCGACCTGCTCAAGCCGCAGG</t>
  </si>
  <si>
    <t xml:space="preserve">CGTAATGCAGAAATGGCGCT</t>
  </si>
  <si>
    <t xml:space="preserve">TAGTCGTAATGCAGAAATGGCGCT</t>
  </si>
  <si>
    <t xml:space="preserve">AAACAGCGCCATTTCTGCATTACG</t>
  </si>
  <si>
    <t xml:space="preserve">GAACCCCGGTTGATGCGGCC</t>
  </si>
  <si>
    <t xml:space="preserve">TAGTGAACCCCGGTTGATGCGGCC</t>
  </si>
  <si>
    <t xml:space="preserve">AAACGGCCGCATCAACCGGGGTTC</t>
  </si>
  <si>
    <t xml:space="preserve">PSPPH_1354</t>
  </si>
  <si>
    <t xml:space="preserve">rpsP</t>
  </si>
  <si>
    <t xml:space="preserve">GCCGCCAAGGGCAAGACGGA</t>
  </si>
  <si>
    <t xml:space="preserve">TAGTGCCGCCAAGGGCAAGACGGA</t>
  </si>
  <si>
    <t xml:space="preserve">AAACTCCGTCTTGCCCTTGGCGGC</t>
  </si>
  <si>
    <t xml:space="preserve">GTGGTAAAACGGGCGCTTTT</t>
  </si>
  <si>
    <t xml:space="preserve">TAGTGTGGTAAAACGGGCGCTTTT</t>
  </si>
  <si>
    <t xml:space="preserve">AAACAAAAGCGCCCGTTTTACCAC</t>
  </si>
  <si>
    <t xml:space="preserve">AGCGTTGCGGCTGTCGGTTA</t>
  </si>
  <si>
    <t xml:space="preserve">TAGTAGCGTTGCGGCTGTCGGTTA</t>
  </si>
  <si>
    <t xml:space="preserve">AAACTAACCGACAGCCGCAACGCT</t>
  </si>
  <si>
    <t xml:space="preserve">GAAACCAACCTGTTCCTTGT</t>
  </si>
  <si>
    <t xml:space="preserve">TAGTGAAACCAACCTGTTCCTTGT</t>
  </si>
  <si>
    <t xml:space="preserve">AAACACAAGGAACAGGTTGGTTTC</t>
  </si>
  <si>
    <t xml:space="preserve">PSPPH_1355</t>
  </si>
  <si>
    <t xml:space="preserve">rimM</t>
  </si>
  <si>
    <t xml:space="preserve">ATCAGATCGTCGGCAGATGC</t>
  </si>
  <si>
    <t xml:space="preserve">TAGTATCAGATCGTCGGCAGATGC</t>
  </si>
  <si>
    <t xml:space="preserve">AAACGCATCTGCCGACGATCTGAT</t>
  </si>
  <si>
    <t xml:space="preserve">GTTTCCAATCGGATCAGTAA</t>
  </si>
  <si>
    <t xml:space="preserve">TAGTGTTTCCAATCGGATCAGTAA</t>
  </si>
  <si>
    <t xml:space="preserve">AAACTTACTGATCCGATTGGAAAC</t>
  </si>
  <si>
    <t xml:space="preserve">TCCAGGTTTTGTAGTCCAAC</t>
  </si>
  <si>
    <t xml:space="preserve">TAGTTCCAGGTTTTGTAGTCCAAC</t>
  </si>
  <si>
    <t xml:space="preserve">AAACGTTGGACTACAAAACCTGGA</t>
  </si>
  <si>
    <t xml:space="preserve">CGGCACGCAGATTTCGTAAC</t>
  </si>
  <si>
    <t xml:space="preserve">TAGTCGGCACGCAGATTTCGTAAC</t>
  </si>
  <si>
    <t xml:space="preserve">AAACGTTACGAAATCTGCGTGCCG</t>
  </si>
  <si>
    <t xml:space="preserve">PSPPH_1356</t>
  </si>
  <si>
    <t xml:space="preserve">trmD</t>
  </si>
  <si>
    <t xml:space="preserve">TTCTATGCGCAGGCTGGCCA</t>
  </si>
  <si>
    <t xml:space="preserve">TAGTTTCTATGCGCAGGCTGGCCA</t>
  </si>
  <si>
    <t xml:space="preserve">AAACTGGCCAGCCTGCGCATAGAA</t>
  </si>
  <si>
    <t xml:space="preserve">CTGATGGCGGAAAACATCTC</t>
  </si>
  <si>
    <t xml:space="preserve">TAGTCTGATGGCGGAAAACATCTC</t>
  </si>
  <si>
    <t xml:space="preserve">AAACGAGATGTTTTCCGCCATCAG</t>
  </si>
  <si>
    <t xml:space="preserve">CCCTTGTTTCACCGCACGGC</t>
  </si>
  <si>
    <t xml:space="preserve">TAGTCCCTTGTTTCACCGCACGGC</t>
  </si>
  <si>
    <t xml:space="preserve">AAACGCCGTGCGGTGAAACAAGGG</t>
  </si>
  <si>
    <t xml:space="preserve">CGATCAGTGGTGTAATCCCG</t>
  </si>
  <si>
    <t xml:space="preserve">TAGTCGATCAGTGGTGTAATCCCG</t>
  </si>
  <si>
    <t xml:space="preserve">AAACCGGGATTACACCACTGATCG</t>
  </si>
  <si>
    <t xml:space="preserve">PSPPH_1357</t>
  </si>
  <si>
    <t xml:space="preserve">rplS</t>
  </si>
  <si>
    <t xml:space="preserve">GGTCATCTGCTCTGCTTCGA</t>
  </si>
  <si>
    <t xml:space="preserve">TAGTGGTCATCTGCTCTGCTTCGA</t>
  </si>
  <si>
    <t xml:space="preserve">AAACTCGAAGCAGAGCAGATGACC</t>
  </si>
  <si>
    <t xml:space="preserve">TGCAAAGGTAGGGATCTCTT</t>
  </si>
  <si>
    <t xml:space="preserve">TAGTTGCAAAGGTAGGGATCTCTT</t>
  </si>
  <si>
    <t xml:space="preserve">AAACAAGAGATCCCTACCTTTGCA</t>
  </si>
  <si>
    <t xml:space="preserve">TGAACGACGATGGTGTCGCC</t>
  </si>
  <si>
    <t xml:space="preserve">TAGTTGAACGACGATGGTGTCGCC</t>
  </si>
  <si>
    <t xml:space="preserve">AAACGGCGACACCATCGTCGTTCA</t>
  </si>
  <si>
    <t xml:space="preserve">CGAATGCTTGCAGACGAGCG</t>
  </si>
  <si>
    <t xml:space="preserve">TAGTCGAATGCTTGCAGACGAGCG</t>
  </si>
  <si>
    <t xml:space="preserve">AAACCGCTCGTCTGCAAGCATTCG</t>
  </si>
  <si>
    <t xml:space="preserve">PSPPH_1358</t>
  </si>
  <si>
    <t xml:space="preserve">xerD</t>
  </si>
  <si>
    <t xml:space="preserve">GTCAATCAGCGGGTGGTCGA</t>
  </si>
  <si>
    <t xml:space="preserve">TAGTGTCAATCAGCGGGTGGTCGA</t>
  </si>
  <si>
    <t xml:space="preserve">AAACTCGACCACCCGCTGATTGAC</t>
  </si>
  <si>
    <t xml:space="preserve">GCCAGAGCGCATCCAGAAAC</t>
  </si>
  <si>
    <t xml:space="preserve">TAGTGCCAGAGCGCATCCAGAAAC</t>
  </si>
  <si>
    <t xml:space="preserve">AAACGTTTCTGGATGCGCTCTGGC</t>
  </si>
  <si>
    <t xml:space="preserve">GTAGGAATCGCGGGTGTTAT</t>
  </si>
  <si>
    <t xml:space="preserve">TAGTGTAGGAATCGCGGGTGTTAT</t>
  </si>
  <si>
    <t xml:space="preserve">AAACATAACACCCGCGATTCCTAC</t>
  </si>
  <si>
    <t xml:space="preserve">TGAACAGCGCCAGATCGCTG</t>
  </si>
  <si>
    <t xml:space="preserve">TAGTTGAACAGCGCCAGATCGCTG</t>
  </si>
  <si>
    <t xml:space="preserve">AAACCAGCGATCTGGCGCTGTTCA</t>
  </si>
  <si>
    <t xml:space="preserve">PSPPH_1359</t>
  </si>
  <si>
    <t xml:space="preserve">dsbC</t>
  </si>
  <si>
    <t xml:space="preserve">GAAAATCTGGGGCAAACGCA</t>
  </si>
  <si>
    <t xml:space="preserve">TAGTGAAAATCTGGGGCAAACGCA</t>
  </si>
  <si>
    <t xml:space="preserve">AAACTGCGTTTGCCCCAGATTTTC</t>
  </si>
  <si>
    <t xml:space="preserve">GCCGGCCAGCAGTAAAGCGG</t>
  </si>
  <si>
    <t xml:space="preserve">TAGTGCCGGCCAGCAGTAAAGCGG</t>
  </si>
  <si>
    <t xml:space="preserve">AAACCCGCTTTACTGCTGGCCGGC</t>
  </si>
  <si>
    <t xml:space="preserve">ATCGGGGGCTGCATCAGCCA</t>
  </si>
  <si>
    <t xml:space="preserve">TAGTATCGGGGGCTGCATCAGCCA</t>
  </si>
  <si>
    <t xml:space="preserve">AAACTGGCTGATGCAGCCCCCGAT</t>
  </si>
  <si>
    <t xml:space="preserve">CGAATCAAGGGTCTTGCGGA</t>
  </si>
  <si>
    <t xml:space="preserve">TAGTCGAATCAAGGGTCTTGCGGA</t>
  </si>
  <si>
    <t xml:space="preserve">AAACTCCGCAAGACCCTTGATTCG</t>
  </si>
  <si>
    <t xml:space="preserve">PSPPH_1360</t>
  </si>
  <si>
    <t xml:space="preserve">hom</t>
  </si>
  <si>
    <t xml:space="preserve">CCACATATGCCTACTTTGAC</t>
  </si>
  <si>
    <t xml:space="preserve">TAGTCCACATATGCCTACTTTGAC</t>
  </si>
  <si>
    <t xml:space="preserve">AAACGTCAAAGTAGGCATATGTGG</t>
  </si>
  <si>
    <t xml:space="preserve">GGCACGGCGGGCGATCTCCT</t>
  </si>
  <si>
    <t xml:space="preserve">TAGTGGCACGGCGGGCGATCTCCT</t>
  </si>
  <si>
    <t xml:space="preserve">AAACAGGAGATCGCCCGCCGTGCC</t>
  </si>
  <si>
    <t xml:space="preserve">CGCAACTTCGATTCCTCGCC</t>
  </si>
  <si>
    <t xml:space="preserve">TAGTCGCAACTTCGATTCCTCGCC</t>
  </si>
  <si>
    <t xml:space="preserve">AAACGGCGAGGAATCGAAGTTGCG</t>
  </si>
  <si>
    <t xml:space="preserve">GCAATCTGGCAGTTGGGGTT</t>
  </si>
  <si>
    <t xml:space="preserve">TAGTGCAATCTGGCAGTTGGGGTT</t>
  </si>
  <si>
    <t xml:space="preserve">AAACAACCCCAACTGCCAGATTGC</t>
  </si>
  <si>
    <t xml:space="preserve">PSPPH_1361</t>
  </si>
  <si>
    <t xml:space="preserve">thrC</t>
  </si>
  <si>
    <t xml:space="preserve">AGCGCATGGGATCAAACCTT</t>
  </si>
  <si>
    <t xml:space="preserve">TAGTAGCGCATGGGATCAAACCTT</t>
  </si>
  <si>
    <t xml:space="preserve">AAACAAGGTTTGATCCCATGCGCT</t>
  </si>
  <si>
    <t xml:space="preserve">CGAAGTTCAGGGCCGGCGCC</t>
  </si>
  <si>
    <t xml:space="preserve">TAGTCGAAGTTCAGGGCCGGCGCC</t>
  </si>
  <si>
    <t xml:space="preserve">AAACGGCGCCGGCCCTGAACTTCG</t>
  </si>
  <si>
    <t xml:space="preserve">GTGAAGCGTGGCAGGTTTTC</t>
  </si>
  <si>
    <t xml:space="preserve">TAGTGTGAAGCGTGGCAGGTTTTC</t>
  </si>
  <si>
    <t xml:space="preserve">AAACGAAAACCTGCCACGCTTCAC</t>
  </si>
  <si>
    <t xml:space="preserve">ATACGGCAGACCGGCCCAGG</t>
  </si>
  <si>
    <t xml:space="preserve">TAGTATACGGCAGACCGGCCCAGG</t>
  </si>
  <si>
    <t xml:space="preserve">AAACCCTGGGCCGGTCTGCCGTAT</t>
  </si>
  <si>
    <t xml:space="preserve">PSPPH_1363</t>
  </si>
  <si>
    <t xml:space="preserve">CTCCCGCACGCATGCCCCAT</t>
  </si>
  <si>
    <t xml:space="preserve">TAGTCTCCCGCACGCATGCCCCAT</t>
  </si>
  <si>
    <t xml:space="preserve">AAACATGGGGCATGCGTGCGGGAG</t>
  </si>
  <si>
    <t xml:space="preserve">AGTCAGAGCCAGCGGCTCAG</t>
  </si>
  <si>
    <t xml:space="preserve">TAGTAGTCAGAGCCAGCGGCTCAG</t>
  </si>
  <si>
    <t xml:space="preserve">AAACCTGAGCCGCTGGCTCTGACT</t>
  </si>
  <si>
    <t xml:space="preserve">GAGTGCACGGTCACGCCTAC</t>
  </si>
  <si>
    <t xml:space="preserve">TAGTGAGTGCACGGTCACGCCTAC</t>
  </si>
  <si>
    <t xml:space="preserve">AAACGTAGGCGTGACCGTGCACTC</t>
  </si>
  <si>
    <t xml:space="preserve">GAGCCATCAGCTGGAACGGA</t>
  </si>
  <si>
    <t xml:space="preserve">TAGTGAGCCATCAGCTGGAACGGA</t>
  </si>
  <si>
    <t xml:space="preserve">AAACTCCGTTCCAGCTGATGGCTC</t>
  </si>
  <si>
    <t xml:space="preserve">PSPPH_1364</t>
  </si>
  <si>
    <t xml:space="preserve">TCAGCCACGATGACGCGCAA</t>
  </si>
  <si>
    <t xml:space="preserve">TAGTTCAGCCACGATGACGCGCAA</t>
  </si>
  <si>
    <t xml:space="preserve">AAACTTGCGCGTCATCGTGGCTGA</t>
  </si>
  <si>
    <t xml:space="preserve">GGCCGATGAGAAAAATAGGA</t>
  </si>
  <si>
    <t xml:space="preserve">TAGTGGCCGATGAGAAAAATAGGA</t>
  </si>
  <si>
    <t xml:space="preserve">AAACTCCTATTTTTCTCATCGGCC</t>
  </si>
  <si>
    <t xml:space="preserve">CCTGTTCCAGTACGACACGC</t>
  </si>
  <si>
    <t xml:space="preserve">TAGTCCTGTTCCAGTACGACACGC</t>
  </si>
  <si>
    <t xml:space="preserve">AAACGCGTGTCGTACTGGAACAGG</t>
  </si>
  <si>
    <t xml:space="preserve">ATTACAGGCTTCGGCGACAA</t>
  </si>
  <si>
    <t xml:space="preserve">TAGTATTACAGGCTTCGGCGACAA</t>
  </si>
  <si>
    <t xml:space="preserve">AAACTTGTCGCCGAAGCCTGTAAT</t>
  </si>
  <si>
    <t xml:space="preserve">PSPPH_1366</t>
  </si>
  <si>
    <t xml:space="preserve">GGGCCAATAGTGGCCTGATA</t>
  </si>
  <si>
    <t xml:space="preserve">TAGTGGGCCAATAGTGGCCTGATA</t>
  </si>
  <si>
    <t xml:space="preserve">AAACTATCAGGCCACTATTGGCCC</t>
  </si>
  <si>
    <t xml:space="preserve">GTTCGCCCCGAGTACCCGCC</t>
  </si>
  <si>
    <t xml:space="preserve">TAGTGTTCGCCCCGAGTACCCGCC</t>
  </si>
  <si>
    <t xml:space="preserve">AAACGGCGGGTACTCGGGGCGAAC</t>
  </si>
  <si>
    <t xml:space="preserve">GCGCAGGCCGTCTACCACAT</t>
  </si>
  <si>
    <t xml:space="preserve">TAGTGCGCAGGCCGTCTACCACAT</t>
  </si>
  <si>
    <t xml:space="preserve">AAACATGTGGTAGACGGCCTGCGC</t>
  </si>
  <si>
    <t xml:space="preserve">CTTCGGCGACCATCAAATCC</t>
  </si>
  <si>
    <t xml:space="preserve">TAGTCTTCGGCGACCATCAAATCC</t>
  </si>
  <si>
    <t xml:space="preserve">AAACGGATTTGATGGTCGCCGAAG</t>
  </si>
  <si>
    <t xml:space="preserve">PSPPH_1367</t>
  </si>
  <si>
    <t xml:space="preserve">TGTGCAGTACGAGGCAGGAA</t>
  </si>
  <si>
    <t xml:space="preserve">TAGTTGTGCAGTACGAGGCAGGAA</t>
  </si>
  <si>
    <t xml:space="preserve">AAACTTCCTGCCTCGTACTGCACA</t>
  </si>
  <si>
    <t xml:space="preserve">TGACAGGGCAGCCAGCGACA</t>
  </si>
  <si>
    <t xml:space="preserve">TAGTTGACAGGGCAGCCAGCGACA</t>
  </si>
  <si>
    <t xml:space="preserve">AAACTGTCGCTGGCTGCCCTGTCA</t>
  </si>
  <si>
    <t xml:space="preserve">CAATGTCTCCCTTGCCTGGC</t>
  </si>
  <si>
    <t xml:space="preserve">TAGTCAATGTCTCCCTTGCCTGGC</t>
  </si>
  <si>
    <t xml:space="preserve">AAACGCCAGGCAAGGGAGACATTG</t>
  </si>
  <si>
    <t xml:space="preserve">TGGTATGTCGCGCATCAACC</t>
  </si>
  <si>
    <t xml:space="preserve">TAGTTGGTATGTCGCGCATCAACC</t>
  </si>
  <si>
    <t xml:space="preserve">AAACGGTTGATGCGCGACATACCA</t>
  </si>
  <si>
    <t xml:space="preserve">PSPPH_1368</t>
  </si>
  <si>
    <t xml:space="preserve">GAGTACCTGGATCCCGGCAA</t>
  </si>
  <si>
    <t xml:space="preserve">TAGTGAGTACCTGGATCCCGGCAA</t>
  </si>
  <si>
    <t xml:space="preserve">AAACTTGCCGGGATCCAGGTACTC</t>
  </si>
  <si>
    <t xml:space="preserve">AACAAAATTCTGATACAGAT</t>
  </si>
  <si>
    <t xml:space="preserve">TAGTAACAAAATTCTGATACAGAT</t>
  </si>
  <si>
    <t xml:space="preserve">AAACATCTGTATCAGAATTTTGTT</t>
  </si>
  <si>
    <t xml:space="preserve">ATGCAATTGCTCCTGCTTGC</t>
  </si>
  <si>
    <t xml:space="preserve">TAGTATGCAATTGCTCCTGCTTGC</t>
  </si>
  <si>
    <t xml:space="preserve">AAACGCAAGCAGGAGCAATTGCAT</t>
  </si>
  <si>
    <t xml:space="preserve">GAACGAACTTGCTCGCGCAG</t>
  </si>
  <si>
    <t xml:space="preserve">TAGTGAACGAACTTGCTCGCGCAG</t>
  </si>
  <si>
    <t xml:space="preserve">AAACCTGCGCGAGCAAGTTCGTTC</t>
  </si>
  <si>
    <t xml:space="preserve">PSPPH_1369</t>
  </si>
  <si>
    <t xml:space="preserve">recJ</t>
  </si>
  <si>
    <t xml:space="preserve">AAGGTATCGGGCAATAGACG</t>
  </si>
  <si>
    <t xml:space="preserve">TAGTAAGGTATCGGGCAATAGACG</t>
  </si>
  <si>
    <t xml:space="preserve">AAACCGTCTATTGCCCGATACCTT</t>
  </si>
  <si>
    <t xml:space="preserve">GGCGGCAGGTCGCCGAGAAA</t>
  </si>
  <si>
    <t xml:space="preserve">TAGTGGCGGCAGGTCGCCGAGAAA</t>
  </si>
  <si>
    <t xml:space="preserve">AAACTTTCTCGGCGACCTGCCGCC</t>
  </si>
  <si>
    <t xml:space="preserve">GCATAAAGACGAGTGAGCAA</t>
  </si>
  <si>
    <t xml:space="preserve">TAGTGCATAAAGACGAGTGAGCAA</t>
  </si>
  <si>
    <t xml:space="preserve">AAACTTGCTCACTCGTCTTTATGC</t>
  </si>
  <si>
    <t xml:space="preserve">TTTGTCCAGCTCGGCCTCGC</t>
  </si>
  <si>
    <t xml:space="preserve">TAGTTTTGTCCAGCTCGGCCTCGC</t>
  </si>
  <si>
    <t xml:space="preserve">AAACGCGAGGCCGAGCTGGACAAA</t>
  </si>
  <si>
    <t xml:space="preserve">PSPPH_1370</t>
  </si>
  <si>
    <t xml:space="preserve">GGGTGTAGGGTTCAAGCAGC</t>
  </si>
  <si>
    <t xml:space="preserve">TAGTGGGTGTAGGGTTCAAGCAGC</t>
  </si>
  <si>
    <t xml:space="preserve">AAACGCTGCTTGAACCCTACACCC</t>
  </si>
  <si>
    <t xml:space="preserve">GCGAAGGGTCAATTGGCGCA</t>
  </si>
  <si>
    <t xml:space="preserve">TAGTGCGAAGGGTCAATTGGCGCA</t>
  </si>
  <si>
    <t xml:space="preserve">AAACTGCGCCAATTGACCCTTCGC</t>
  </si>
  <si>
    <t xml:space="preserve">ACATCGGCGAGACTGCGATA</t>
  </si>
  <si>
    <t xml:space="preserve">TAGTACATCGGCGAGACTGCGATA</t>
  </si>
  <si>
    <t xml:space="preserve">AAACTATCGCAGTCTCGCCGATGT</t>
  </si>
  <si>
    <t xml:space="preserve">GGCCGTCGACACTGGAATAC</t>
  </si>
  <si>
    <t xml:space="preserve">TAGTGGCCGTCGACACTGGAATAC</t>
  </si>
  <si>
    <t xml:space="preserve">AAACGTATTCCAGTGTCGACGGCC</t>
  </si>
  <si>
    <t xml:space="preserve">PSPPH_1371</t>
  </si>
  <si>
    <t xml:space="preserve">TTAGCTGTCGGGAAACCAGT</t>
  </si>
  <si>
    <t xml:space="preserve">TAGTTTAGCTGTCGGGAAACCAGT</t>
  </si>
  <si>
    <t xml:space="preserve">AAACACTGGTTTCCCGACAGCTAA</t>
  </si>
  <si>
    <t xml:space="preserve">GTCCTTTGATCGGATAATCC</t>
  </si>
  <si>
    <t xml:space="preserve">TAGTGTCCTTTGATCGGATAATCC</t>
  </si>
  <si>
    <t xml:space="preserve">AAACGGATTATCCGATCAAAGGAC</t>
  </si>
  <si>
    <t xml:space="preserve">CGATGGGTCCGAGTGGTGTC</t>
  </si>
  <si>
    <t xml:space="preserve">TAGTCGATGGGTCCGAGTGGTGTC</t>
  </si>
  <si>
    <t xml:space="preserve">AAACGACACCACTCGGACCCATCG</t>
  </si>
  <si>
    <t xml:space="preserve">AGGGTATTTTTCAGCGATAC</t>
  </si>
  <si>
    <t xml:space="preserve">TAGTAGGGTATTTTTCAGCGATAC</t>
  </si>
  <si>
    <t xml:space="preserve">AAACGTATCGCTGAAAAATACCCT</t>
  </si>
  <si>
    <t xml:space="preserve">PSPPH_1373</t>
  </si>
  <si>
    <t xml:space="preserve">GGGTTTTCAGCTGTTTTTGC</t>
  </si>
  <si>
    <t xml:space="preserve">TAGTGGGTTTTCAGCTGTTTTTGC</t>
  </si>
  <si>
    <t xml:space="preserve">AAACGCAAAAACAGCTGAAAACCC</t>
  </si>
  <si>
    <t xml:space="preserve">CTTCAAATGATTCAGCTCAA</t>
  </si>
  <si>
    <t xml:space="preserve">TAGTCTTCAAATGATTCAGCTCAA</t>
  </si>
  <si>
    <t xml:space="preserve">AAACTTGAGCTGAATCATTTGAAG</t>
  </si>
  <si>
    <t xml:space="preserve">TTTTCCTGGCGTACAGGTAG</t>
  </si>
  <si>
    <t xml:space="preserve">TAGTTTTTCCTGGCGTACAGGTAG</t>
  </si>
  <si>
    <t xml:space="preserve">AAACCTACCTGTACGCCAGGAAAA</t>
  </si>
  <si>
    <t xml:space="preserve">CAAAGATCGATGAAAACTGA</t>
  </si>
  <si>
    <t xml:space="preserve">TAGTCAAAGATCGATGAAAACTGA</t>
  </si>
  <si>
    <t xml:space="preserve">AAACTCAGTTTTCATCGATCTTTG</t>
  </si>
  <si>
    <t xml:space="preserve">PSPPH_1374</t>
  </si>
  <si>
    <t xml:space="preserve">ACGATCAGCACTTTATTCAT</t>
  </si>
  <si>
    <t xml:space="preserve">TAGTACGATCAGCACTTTATTCAT</t>
  </si>
  <si>
    <t xml:space="preserve">AAACATGAATAAAGTGCTGATCGT</t>
  </si>
  <si>
    <t xml:space="preserve">CGTACAGCAAGGCGAATGAC</t>
  </si>
  <si>
    <t xml:space="preserve">TAGTCGTACAGCAAGGCGAATGAC</t>
  </si>
  <si>
    <t xml:space="preserve">AAACGTCATTCGCCTTGCTGTACG</t>
  </si>
  <si>
    <t xml:space="preserve">CAAGAATGACGATATCAGGA</t>
  </si>
  <si>
    <t xml:space="preserve">TAGTCAAGAATGACGATATCAGGA</t>
  </si>
  <si>
    <t xml:space="preserve">AAACTCCTGATATCGTCATTCTTG</t>
  </si>
  <si>
    <t xml:space="preserve">CTTCCAGCCCGTCGAGCTTG</t>
  </si>
  <si>
    <t xml:space="preserve">TAGTCTTCCAGCCCGTCGAGCTTG</t>
  </si>
  <si>
    <t xml:space="preserve">AAACCAAGCTCGACGGGCTGGAAG</t>
  </si>
  <si>
    <t xml:space="preserve">PSPPH_1375</t>
  </si>
  <si>
    <t xml:space="preserve">CGTCCGTATCGACGGCAACA</t>
  </si>
  <si>
    <t xml:space="preserve">TAGTCGTCCGTATCGACGGCAACA</t>
  </si>
  <si>
    <t xml:space="preserve">AAACTGTTGCCGTCGATACGGACG</t>
  </si>
  <si>
    <t xml:space="preserve">CGGCTCTACGGCCGCAGTTT</t>
  </si>
  <si>
    <t xml:space="preserve">TAGTCGGCTCTACGGCCGCAGTTT</t>
  </si>
  <si>
    <t xml:space="preserve">AAACAAACTGCGGCCGTAGAGCCG</t>
  </si>
  <si>
    <t xml:space="preserve">TTGCTCAGATTGGTCTTTGC</t>
  </si>
  <si>
    <t xml:space="preserve">TAGTTTGCTCAGATTGGTCTTTGC</t>
  </si>
  <si>
    <t xml:space="preserve">AAACGCAAAGACCAATCTGAGCAA</t>
  </si>
  <si>
    <t xml:space="preserve">GCAAGCGCCGCTCTTCAAGC</t>
  </si>
  <si>
    <t xml:space="preserve">TAGTGCAAGCGCCGCTCTTCAAGC</t>
  </si>
  <si>
    <t xml:space="preserve">AAACGCTTGAAGAGCGGCGCTTGC</t>
  </si>
  <si>
    <t xml:space="preserve">PSPPH_1376</t>
  </si>
  <si>
    <t xml:space="preserve">nth</t>
  </si>
  <si>
    <t xml:space="preserve">GCCAGTTCGGTTTTCGGGTC</t>
  </si>
  <si>
    <t xml:space="preserve">TAGTGCCAGTTCGGTTTTCGGGTC</t>
  </si>
  <si>
    <t xml:space="preserve">AAACGACCCGAAAACCGAACTGGC</t>
  </si>
  <si>
    <t xml:space="preserve">CAGCTCAAAAGGCGTGGTGT</t>
  </si>
  <si>
    <t xml:space="preserve">TAGTCAGCTCAAAAGGCGTGGTGT</t>
  </si>
  <si>
    <t xml:space="preserve">AAACACACCACGCCTTTTGAGCTG</t>
  </si>
  <si>
    <t xml:space="preserve">GGCCTGGGCAGAAAGGATAA</t>
  </si>
  <si>
    <t xml:space="preserve">TAGTGGCCTGGGCAGAAAGGATAA</t>
  </si>
  <si>
    <t xml:space="preserve">AAACTTATCCTTTCTGCCCAGGCC</t>
  </si>
  <si>
    <t xml:space="preserve">CTTGTTGACGCTCACGTCAG</t>
  </si>
  <si>
    <t xml:space="preserve">TAGTCTTGTTGACGCTCACGTCAG</t>
  </si>
  <si>
    <t xml:space="preserve">AAACCTGACGTGAGCGTCAACAAG</t>
  </si>
  <si>
    <t xml:space="preserve">PSPPH_1377</t>
  </si>
  <si>
    <t xml:space="preserve">GGGCGTCGATGCTGCGGATA</t>
  </si>
  <si>
    <t xml:space="preserve">TAGTGGGCGTCGATGCTGCGGATA</t>
  </si>
  <si>
    <t xml:space="preserve">AAACTATCCGCAGCATCGACGCCC</t>
  </si>
  <si>
    <t xml:space="preserve">GCATTGAGTCTGCGGCAGAA</t>
  </si>
  <si>
    <t xml:space="preserve">TAGTGCATTGAGTCTGCGGCAGAA</t>
  </si>
  <si>
    <t xml:space="preserve">AAACTTCTGCCGCAGACTCAATGC</t>
  </si>
  <si>
    <t xml:space="preserve">CGTAGGGCTTGCAGCCGGGG</t>
  </si>
  <si>
    <t xml:space="preserve">TAGTCGTAGGGCTTGCAGCCGGGG</t>
  </si>
  <si>
    <t xml:space="preserve">AAACCCCCGGCTGCAAGCCCTACG</t>
  </si>
  <si>
    <t xml:space="preserve">TTTGTTGATGGCTTCGCCGC</t>
  </si>
  <si>
    <t xml:space="preserve">TAGTTTTGTTGATGGCTTCGCCGC</t>
  </si>
  <si>
    <t xml:space="preserve">AAACGCGGCGAAGCCATCAACAAA</t>
  </si>
  <si>
    <t xml:space="preserve">PSPPH_1378</t>
  </si>
  <si>
    <t xml:space="preserve">metG</t>
  </si>
  <si>
    <t xml:space="preserve">ATCTTGCGTGGCTCGGACAT</t>
  </si>
  <si>
    <t xml:space="preserve">TAGTATCTTGCGTGGCTCGGACAT</t>
  </si>
  <si>
    <t xml:space="preserve">AAACATGTCCGAGCCACGCAAGAT</t>
  </si>
  <si>
    <t xml:space="preserve">ATTGGCATAGGGCAGGGCGC</t>
  </si>
  <si>
    <t xml:space="preserve">TAGTATTGGCATAGGGCAGGGCGC</t>
  </si>
  <si>
    <t xml:space="preserve">AAACGCGCCCTGCCCTATGCCAAT</t>
  </si>
  <si>
    <t xml:space="preserve">GAGCATGTGGCCAAGATGGA</t>
  </si>
  <si>
    <t xml:space="preserve">TAGTGAGCATGTGGCCAAGATGGA</t>
  </si>
  <si>
    <t xml:space="preserve">AAACTCCATCTTGGCCACATGCTC</t>
  </si>
  <si>
    <t xml:space="preserve">AGCGCACCCACATGTCGGTC</t>
  </si>
  <si>
    <t xml:space="preserve">TAGTAGCGCACCCACATGTCGGTC</t>
  </si>
  <si>
    <t xml:space="preserve">AAACGACCGACATGTGGGTGCGCT</t>
  </si>
  <si>
    <t xml:space="preserve">PSPPH_1379</t>
  </si>
  <si>
    <t xml:space="preserve">GCGCGATTGACTGCGCTCAT</t>
  </si>
  <si>
    <t xml:space="preserve">TAGTGCGCGATTGACTGCGCTCAT</t>
  </si>
  <si>
    <t xml:space="preserve">AAACATGAGCGCAGTCAATCGCGC</t>
  </si>
  <si>
    <t xml:space="preserve">TCAGATAAGGGTCGGTGTAC</t>
  </si>
  <si>
    <t xml:space="preserve">TAGTTCAGATAAGGGTCGGTGTAC</t>
  </si>
  <si>
    <t xml:space="preserve">AAACGTACACCGACCCTTATCTGA</t>
  </si>
  <si>
    <t xml:space="preserve">GCACGCAACCGGCACTGACC</t>
  </si>
  <si>
    <t xml:space="preserve">TAGTGCACGCAACCGGCACTGACC</t>
  </si>
  <si>
    <t xml:space="preserve">AAACGGTCAGTGCCGGTTGCGTGC</t>
  </si>
  <si>
    <t xml:space="preserve">CTGTGCACCCTGGATATCGA</t>
  </si>
  <si>
    <t xml:space="preserve">TAGTCTGTGCACCCTGGATATCGA</t>
  </si>
  <si>
    <t xml:space="preserve">AAACTCGATATCCAGGGTGCACAG</t>
  </si>
  <si>
    <t xml:space="preserve">PSPPH_1380</t>
  </si>
  <si>
    <t xml:space="preserve">capB</t>
  </si>
  <si>
    <t xml:space="preserve">AACGGTACCAGTTTGGCGAT</t>
  </si>
  <si>
    <t xml:space="preserve">TAGTAACGGTACCAGTTTGGCGAT</t>
  </si>
  <si>
    <t xml:space="preserve">AAACATCGCCAAACTGGTACCGTT</t>
  </si>
  <si>
    <t xml:space="preserve">AACAGGTCGTCACCGGATTG</t>
  </si>
  <si>
    <t xml:space="preserve">TAGTAACAGGTCGTCACCGGATTG</t>
  </si>
  <si>
    <t xml:space="preserve">AAACCAATCCGGTGACGACCTGTT</t>
  </si>
  <si>
    <t xml:space="preserve">TTTCAGGCTTTTGAAGCCGT</t>
  </si>
  <si>
    <t xml:space="preserve">TAGTTTTCAGGCTTTTGAAGCCGT</t>
  </si>
  <si>
    <t xml:space="preserve">AAACACGGCTTCAAAAGCCTGAAA</t>
  </si>
  <si>
    <t xml:space="preserve">TAGCGATGAAAGAAACCTGT</t>
  </si>
  <si>
    <t xml:space="preserve">TAGTTAGCGATGAAAGAAACCTGT</t>
  </si>
  <si>
    <t xml:space="preserve">AAACACAGGTTTCTTTCATCGCTA</t>
  </si>
  <si>
    <t xml:space="preserve">PSPPH_1381</t>
  </si>
  <si>
    <t xml:space="preserve">CTTGTCCGATTTGATGCTCA</t>
  </si>
  <si>
    <t xml:space="preserve">TAGTCTTGTCCGATTTGATGCTCA</t>
  </si>
  <si>
    <t xml:space="preserve">AAACTGAGCATCAAATCGGACAAG</t>
  </si>
  <si>
    <t xml:space="preserve">TCCCGTGTTCCTGCGCCATG</t>
  </si>
  <si>
    <t xml:space="preserve">TAGTTCCCGTGTTCCTGCGCCATG</t>
  </si>
  <si>
    <t xml:space="preserve">AAACCATGGCGCAGGAACACGGGA</t>
  </si>
  <si>
    <t xml:space="preserve">CGTACCTGGCGCTCGACAAA</t>
  </si>
  <si>
    <t xml:space="preserve">TAGTCGTACCTGGCGCTCGACAAA</t>
  </si>
  <si>
    <t xml:space="preserve">AAACTTTGTCGAGCGCCAGGTACG</t>
  </si>
  <si>
    <t xml:space="preserve">GCCGTAGCTGGAGACGCCGA</t>
  </si>
  <si>
    <t xml:space="preserve">TAGTGCCGTAGCTGGAGACGCCGA</t>
  </si>
  <si>
    <t xml:space="preserve">AAACTCGGCGTCTCCAGCTACGGC</t>
  </si>
  <si>
    <t xml:space="preserve">PSPPH_1382</t>
  </si>
  <si>
    <t xml:space="preserve">GCCAGTGTTATCGCGACGTA</t>
  </si>
  <si>
    <t xml:space="preserve">TAGTGCCAGTGTTATCGCGACGTA</t>
  </si>
  <si>
    <t xml:space="preserve">AAACTACGTCGCGATAACACTGGC</t>
  </si>
  <si>
    <t xml:space="preserve">GGGGTAGTAGATGGCCTTGT</t>
  </si>
  <si>
    <t xml:space="preserve">TAGTGGGGTAGTAGATGGCCTTGT</t>
  </si>
  <si>
    <t xml:space="preserve">AAACACAAGGCCATCTACTACCCC</t>
  </si>
  <si>
    <t xml:space="preserve">ATCAGCAAGGATCGTTCTGC</t>
  </si>
  <si>
    <t xml:space="preserve">TAGTATCAGCAAGGATCGTTCTGC</t>
  </si>
  <si>
    <t xml:space="preserve">AAACGCAGAACGATCCTTGCTGAT</t>
  </si>
  <si>
    <t xml:space="preserve">TGCCTTGCCAAAGTGCGCAT</t>
  </si>
  <si>
    <t xml:space="preserve">TAGTTGCCTTGCCAAAGTGCGCAT</t>
  </si>
  <si>
    <t xml:space="preserve">AAACATGCGCACTTTGGCAAGGCA</t>
  </si>
  <si>
    <t xml:space="preserve">PSPPH_1383</t>
  </si>
  <si>
    <t xml:space="preserve">lhr</t>
  </si>
  <si>
    <t xml:space="preserve">CATCGTCGAGCGAAATCGGT</t>
  </si>
  <si>
    <t xml:space="preserve">TAGTCATCGTCGAGCGAAATCGGT</t>
  </si>
  <si>
    <t xml:space="preserve">AAACACCGATTTCGCTCGACGATG</t>
  </si>
  <si>
    <t xml:space="preserve">AGCGAACGGCTTCCAGCCCC</t>
  </si>
  <si>
    <t xml:space="preserve">TAGTAGCGAACGGCTTCCAGCCCC</t>
  </si>
  <si>
    <t xml:space="preserve">AAACGGGGCTGGAAGCCGTTCGCT</t>
  </si>
  <si>
    <t xml:space="preserve">GGTACTGGCATGCAGCAGGC</t>
  </si>
  <si>
    <t xml:space="preserve">TAGTGGTACTGGCATGCAGCAGGC</t>
  </si>
  <si>
    <t xml:space="preserve">AAACGCCTGCTGCATGCCAGTACC</t>
  </si>
  <si>
    <t xml:space="preserve">GGCGTAGGTCTTGCCCGAGC</t>
  </si>
  <si>
    <t xml:space="preserve">TAGTGGCGTAGGTCTTGCCCGAGC</t>
  </si>
  <si>
    <t xml:space="preserve">AAACGCTCGGGCAAGACCTACGCC</t>
  </si>
  <si>
    <t xml:space="preserve">PSPPH_1384</t>
  </si>
  <si>
    <t xml:space="preserve">GCTTTTGTGCAGGCCATCGA</t>
  </si>
  <si>
    <t xml:space="preserve">TAGTGCTTTTGTGCAGGCCATCGA</t>
  </si>
  <si>
    <t xml:space="preserve">AAACTCGATGGCCTGCACAAAAGC</t>
  </si>
  <si>
    <t xml:space="preserve">GCAGATCACGTCACCGTTGC</t>
  </si>
  <si>
    <t xml:space="preserve">TAGTGCAGATCACGTCACCGTTGC</t>
  </si>
  <si>
    <t xml:space="preserve">AAACGCAACGGTGACGTGATCTGC</t>
  </si>
  <si>
    <t xml:space="preserve">CGGAGCCACTGGCGCCGATC</t>
  </si>
  <si>
    <t xml:space="preserve">TAGTCGGAGCCACTGGCGCCGATC</t>
  </si>
  <si>
    <t xml:space="preserve">AAACGATCGGCGCCAGTGGCTCCG</t>
  </si>
  <si>
    <t xml:space="preserve">AGGCTCATTGCCCCGTCATT</t>
  </si>
  <si>
    <t xml:space="preserve">TAGTAGGCTCATTGCCCCGTCATT</t>
  </si>
  <si>
    <t xml:space="preserve">AAACAATGACGGGGCAATGAGCCT</t>
  </si>
  <si>
    <t xml:space="preserve">PSPPH_1385</t>
  </si>
  <si>
    <t xml:space="preserve">ACAGCAAGTTATGGGTGTGA</t>
  </si>
  <si>
    <t xml:space="preserve">TAGTACAGCAAGTTATGGGTGTGA</t>
  </si>
  <si>
    <t xml:space="preserve">AAACTCACACCCATAACTTGCTGT</t>
  </si>
  <si>
    <t xml:space="preserve">TGCCGGGCAGTGCCTGGCAC</t>
  </si>
  <si>
    <t xml:space="preserve">TAGTTGCCGGGCAGTGCCTGGCAC</t>
  </si>
  <si>
    <t xml:space="preserve">AAACGTGCCAGGCACTGCCCGGCA</t>
  </si>
  <si>
    <t xml:space="preserve">GCGGGCCGTAGTGAAAGCTG</t>
  </si>
  <si>
    <t xml:space="preserve">TAGTGCGGGCCGTAGTGAAAGCTG</t>
  </si>
  <si>
    <t xml:space="preserve">AAACCAGCTTTCACTACGGCCCGC</t>
  </si>
  <si>
    <t xml:space="preserve">AGCCTGGATATAAACCTTGC</t>
  </si>
  <si>
    <t xml:space="preserve">TAGTAGCCTGGATATAAACCTTGC</t>
  </si>
  <si>
    <t xml:space="preserve">AAACGCAAGGTTTATATCCAGGCT</t>
  </si>
  <si>
    <t xml:space="preserve">PSPPH_1386</t>
  </si>
  <si>
    <t xml:space="preserve">ACGCCGTCTGTATAAAGGAA</t>
  </si>
  <si>
    <t xml:space="preserve">TAGTACGCCGTCTGTATAAAGGAA</t>
  </si>
  <si>
    <t xml:space="preserve">AAACTTCCTTTATACAGACGGCGT</t>
  </si>
  <si>
    <t xml:space="preserve">GCTGAGCAGCCACATGGTCA</t>
  </si>
  <si>
    <t xml:space="preserve">TAGTGCTGAGCAGCCACATGGTCA</t>
  </si>
  <si>
    <t xml:space="preserve">AAACTGACCATGTGGCTGCTCAGC</t>
  </si>
  <si>
    <t xml:space="preserve">GCAGAAGCCGATGGCGATAG</t>
  </si>
  <si>
    <t xml:space="preserve">TAGTGCAGAAGCCGATGGCGATAG</t>
  </si>
  <si>
    <t xml:space="preserve">AAACCTATCGCCATCGGCTTCTGC</t>
  </si>
  <si>
    <t xml:space="preserve">ACACCCGTGCAATCGACAGC</t>
  </si>
  <si>
    <t xml:space="preserve">TAGTACACCCGTGCAATCGACAGC</t>
  </si>
  <si>
    <t xml:space="preserve">AAACGCTGTCGATTGCACGGGTGT</t>
  </si>
  <si>
    <t xml:space="preserve">PSPPH_1387</t>
  </si>
  <si>
    <t xml:space="preserve">GGCTGAATGCCGAGAGTCCC</t>
  </si>
  <si>
    <t xml:space="preserve">TAGTGGCTGAATGCCGAGAGTCCC</t>
  </si>
  <si>
    <t xml:space="preserve">AAACGGGACTCTCGGCATTCAGCC</t>
  </si>
  <si>
    <t xml:space="preserve">ACAGCGGGCCAAAGCCCTTC</t>
  </si>
  <si>
    <t xml:space="preserve">TAGTACAGCGGGCCAAAGCCCTTC</t>
  </si>
  <si>
    <t xml:space="preserve">AAACGAAGGGCTTTGGCCCGCTGT</t>
  </si>
  <si>
    <t xml:space="preserve">AGCCAGTTTGATGGTCATCC</t>
  </si>
  <si>
    <t xml:space="preserve">TAGTAGCCAGTTTGATGGTCATCC</t>
  </si>
  <si>
    <t xml:space="preserve">AAACGGATGACCATCAAACTGGCT</t>
  </si>
  <si>
    <t xml:space="preserve">GAGCAGAATGCTCAGCGCGA</t>
  </si>
  <si>
    <t xml:space="preserve">TAGTGAGCAGAATGCTCAGCGCGA</t>
  </si>
  <si>
    <t xml:space="preserve">AAACTCGCGCTGAGCATTCTGCTC</t>
  </si>
  <si>
    <t xml:space="preserve">PSPPH_1388</t>
  </si>
  <si>
    <t xml:space="preserve">CCATCGTATTACCGGCGGCG</t>
  </si>
  <si>
    <t xml:space="preserve">TAGTCCATCGTATTACCGGCGGCG</t>
  </si>
  <si>
    <t xml:space="preserve">AAACCGCCGCCGGTAATACGATGG</t>
  </si>
  <si>
    <t xml:space="preserve">GCGCAGTTCCTTGTATTCCT</t>
  </si>
  <si>
    <t xml:space="preserve">TAGTGCGCAGTTCCTTGTATTCCT</t>
  </si>
  <si>
    <t xml:space="preserve">AAACAGGAATACAAGGAACTGCGC</t>
  </si>
  <si>
    <t xml:space="preserve">GATTCAAACGGCGCATAGGA</t>
  </si>
  <si>
    <t xml:space="preserve">TAGTGATTCAAACGGCGCATAGGA</t>
  </si>
  <si>
    <t xml:space="preserve">AAACTCCTATGCGCCGTTTGAATC</t>
  </si>
  <si>
    <t xml:space="preserve">CAGGCTGCCGTCGGCGGCTT</t>
  </si>
  <si>
    <t xml:space="preserve">TAGTCAGGCTGCCGTCGGCGGCTT</t>
  </si>
  <si>
    <t xml:space="preserve">AAACAAGCCGCCGACGGCAGCCTG</t>
  </si>
  <si>
    <t xml:space="preserve">PSPPH_1389</t>
  </si>
  <si>
    <t xml:space="preserve">TTGTGCGTAGAGTTCCGCGA</t>
  </si>
  <si>
    <t xml:space="preserve">TAGTTTGTGCGTAGAGTTCCGCGA</t>
  </si>
  <si>
    <t xml:space="preserve">AAACTCGCGGAACTCTACGCACAA</t>
  </si>
  <si>
    <t xml:space="preserve">GAGTTTGGCGTTGCTCGATG</t>
  </si>
  <si>
    <t xml:space="preserve">TAGTGAGTTTGGCGTTGCTCGATG</t>
  </si>
  <si>
    <t xml:space="preserve">AAACCATCGAGCAACGCCAAACTC</t>
  </si>
  <si>
    <t xml:space="preserve">CTCGAAATAGTCACGCATCG</t>
  </si>
  <si>
    <t xml:space="preserve">TAGTCTCGAAATAGTCACGCATCG</t>
  </si>
  <si>
    <t xml:space="preserve">AAACCGATGCGTGACTATTTCGAG</t>
  </si>
  <si>
    <t xml:space="preserve">GGACAGGAAGTACACAGCCC</t>
  </si>
  <si>
    <t xml:space="preserve">TAGTGGACAGGAAGTACACAGCCC</t>
  </si>
  <si>
    <t xml:space="preserve">AAACGGGCTGTGTACTTCCTGTCC</t>
  </si>
  <si>
    <t xml:space="preserve">PSPPH_1390</t>
  </si>
  <si>
    <t xml:space="preserve">GGTGGGCAGTACAAACCTTC</t>
  </si>
  <si>
    <t xml:space="preserve">TAGTGGTGGGCAGTACAAACCTTC</t>
  </si>
  <si>
    <t xml:space="preserve">AAACGAAGGTTTGTACTGCCCACC</t>
  </si>
  <si>
    <t xml:space="preserve">GGGTCGATATAGAAATCACC</t>
  </si>
  <si>
    <t xml:space="preserve">TAGTGGGTCGATATAGAAATCACC</t>
  </si>
  <si>
    <t xml:space="preserve">AAACGGTGATTTCTATATCGACCC</t>
  </si>
  <si>
    <t xml:space="preserve">CCCGTTCCACCGGGCGCCAC</t>
  </si>
  <si>
    <t xml:space="preserve">TAGTCCCGTTCCACCGGGCGCCAC</t>
  </si>
  <si>
    <t xml:space="preserve">AAACGTGGCGCCCGGTGGAACGGG</t>
  </si>
  <si>
    <t xml:space="preserve">GCCATGCGCATGGGTGATGA</t>
  </si>
  <si>
    <t xml:space="preserve">TAGTGCCATGCGCATGGGTGATGA</t>
  </si>
  <si>
    <t xml:space="preserve">AAACTCATCACCCATGCGCATGGC</t>
  </si>
  <si>
    <t xml:space="preserve">PSPPH_1391</t>
  </si>
  <si>
    <t xml:space="preserve">CGAAGGGCTGGCGAGGCCAT</t>
  </si>
  <si>
    <t xml:space="preserve">TAGTCGAAGGGCTGGCGAGGCCAT</t>
  </si>
  <si>
    <t xml:space="preserve">AAACATGGCCTCGCCAGCCCTTCG</t>
  </si>
  <si>
    <t xml:space="preserve">GCGGCGGCAGCGCCGAATCG</t>
  </si>
  <si>
    <t xml:space="preserve">TAGTGCGGCGGCAGCGCCGAATCG</t>
  </si>
  <si>
    <t xml:space="preserve">AAACCGATTCGGCGCTGCCGCCGC</t>
  </si>
  <si>
    <t xml:space="preserve">ACTGGCAGCCGGCAAGGCTC</t>
  </si>
  <si>
    <t xml:space="preserve">TAGTACTGGCAGCCGGCAAGGCTC</t>
  </si>
  <si>
    <t xml:space="preserve">AAACGAGCCTTGCCGGCTGCCAGT</t>
  </si>
  <si>
    <t xml:space="preserve">GAAGCAGGCAGTACGGTCTC</t>
  </si>
  <si>
    <t xml:space="preserve">TAGTGAAGCAGGCAGTACGGTCTC</t>
  </si>
  <si>
    <t xml:space="preserve">AAACGAGACCGTACTGCCTGCTTC</t>
  </si>
  <si>
    <t xml:space="preserve">PSPPH_1392</t>
  </si>
  <si>
    <t xml:space="preserve">TCTTTCAGGGTGTTGCGCAC</t>
  </si>
  <si>
    <t xml:space="preserve">TAGTTCTTTCAGGGTGTTGCGCAC</t>
  </si>
  <si>
    <t xml:space="preserve">AAACGTGCGCAACACCCTGAAAGA</t>
  </si>
  <si>
    <t xml:space="preserve">TTGTCGCTGCCGCACGGGCA</t>
  </si>
  <si>
    <t xml:space="preserve">TAGTTTGTCGCTGCCGCACGGGCA</t>
  </si>
  <si>
    <t xml:space="preserve">AAACTGCCCGTGCGGCAGCGACAA</t>
  </si>
  <si>
    <t xml:space="preserve">PSPPH_1393</t>
  </si>
  <si>
    <t xml:space="preserve">ATGTGCACGGTCCGAACTGC</t>
  </si>
  <si>
    <t xml:space="preserve">TAGTATGTGCACGGTCCGAACTGC</t>
  </si>
  <si>
    <t xml:space="preserve">AAACGCAGTTCGGACCGTGCACAT</t>
  </si>
  <si>
    <t xml:space="preserve">GATCATCACGACCACCAGCA</t>
  </si>
  <si>
    <t xml:space="preserve">TAGTGATCATCACGACCACCAGCA</t>
  </si>
  <si>
    <t xml:space="preserve">AAACTGCTGGTGGTCGTGATGATC</t>
  </si>
  <si>
    <t xml:space="preserve">AACCAGCAAGCCCATGTTCA</t>
  </si>
  <si>
    <t xml:space="preserve">TAGTAACCAGCAAGCCCATGTTCA</t>
  </si>
  <si>
    <t xml:space="preserve">AAACTGAACATGGGCTTGCTGGTT</t>
  </si>
  <si>
    <t xml:space="preserve">ATGCGCGCCAGATTTATTTG</t>
  </si>
  <si>
    <t xml:space="preserve">TAGTATGCGCGCCAGATTTATTTG</t>
  </si>
  <si>
    <t xml:space="preserve">AAACCAAATAAATCTGGCGCGCAT</t>
  </si>
  <si>
    <t xml:space="preserve">PSPPH_1394</t>
  </si>
  <si>
    <t xml:space="preserve">TCATAAGACGACGCGCCTGT</t>
  </si>
  <si>
    <t xml:space="preserve">TAGTTCATAAGACGACGCGCCTGT</t>
  </si>
  <si>
    <t xml:space="preserve">AAACACAGGCGCGTCGTCTTATGA</t>
  </si>
  <si>
    <t xml:space="preserve">CACTGGATCTTTTGAACATT</t>
  </si>
  <si>
    <t xml:space="preserve">TAGTCACTGGATCTTTTGAACATT</t>
  </si>
  <si>
    <t xml:space="preserve">AAACAATGTTCAAAAGATCCAGTG</t>
  </si>
  <si>
    <t xml:space="preserve">CTCATCGTCGCGTCGGGCTA</t>
  </si>
  <si>
    <t xml:space="preserve">TAGTCTCATCGTCGCGTCGGGCTA</t>
  </si>
  <si>
    <t xml:space="preserve">AAACTAGCCCGACGCGACGATGAG</t>
  </si>
  <si>
    <t xml:space="preserve">ACCACGTTCCAGCTGTCCTC</t>
  </si>
  <si>
    <t xml:space="preserve">TAGTACCACGTTCCAGCTGTCCTC</t>
  </si>
  <si>
    <t xml:space="preserve">AAACGAGGACAGCTGGAACGTGGT</t>
  </si>
  <si>
    <t xml:space="preserve">PSPPH_1395</t>
  </si>
  <si>
    <t xml:space="preserve">AAACCATTCAAGATATCCAT</t>
  </si>
  <si>
    <t xml:space="preserve">TAGTAAACCATTCAAGATATCCAT</t>
  </si>
  <si>
    <t xml:space="preserve">AAACATGGATATCTTGAATGGTTT</t>
  </si>
  <si>
    <t xml:space="preserve">GATGATTGCACCCACCAGAC</t>
  </si>
  <si>
    <t xml:space="preserve">TAGTGATGATTGCACCCACCAGAC</t>
  </si>
  <si>
    <t xml:space="preserve">AAACGTCTGGTGGGTGCAATCATC</t>
  </si>
  <si>
    <t xml:space="preserve">AGTGATCAAGAAAACCAGCC</t>
  </si>
  <si>
    <t xml:space="preserve">TAGTAGTGATCAAGAAAACCAGCC</t>
  </si>
  <si>
    <t xml:space="preserve">AAACGGCTGGTTTTCTTGATCACT</t>
  </si>
  <si>
    <t xml:space="preserve">GCCGGTGAGAAACACCGCAC</t>
  </si>
  <si>
    <t xml:space="preserve">TAGTGCCGGTGAGAAACACCGCAC</t>
  </si>
  <si>
    <t xml:space="preserve">AAACGTGCGGTGTTTCTCACCGGC</t>
  </si>
  <si>
    <t xml:space="preserve">PSPPH_1396</t>
  </si>
  <si>
    <t xml:space="preserve">AATGTGCGCCTGAAAAAACA</t>
  </si>
  <si>
    <t xml:space="preserve">TAGTAATGTGCGCCTGAAAAAACA</t>
  </si>
  <si>
    <t xml:space="preserve">AAACTGTTTTTTCAGGCGCACATT</t>
  </si>
  <si>
    <t xml:space="preserve">GACCGAACATGATCAGCGCG</t>
  </si>
  <si>
    <t xml:space="preserve">TAGTGACCGAACATGATCAGCGCG</t>
  </si>
  <si>
    <t xml:space="preserve">AAACCGCGCTGATCATGTTCGGTC</t>
  </si>
  <si>
    <t xml:space="preserve">GCAAATGCACTTCCGGATCC</t>
  </si>
  <si>
    <t xml:space="preserve">TAGTGCAAATGCACTTCCGGATCC</t>
  </si>
  <si>
    <t xml:space="preserve">AAACGGATCCGGAAGTGCATTTGC</t>
  </si>
  <si>
    <t xml:space="preserve">TCAGCCTTGCCTTGACCACC</t>
  </si>
  <si>
    <t xml:space="preserve">TAGTTCAGCCTTGCCTTGACCACC</t>
  </si>
  <si>
    <t xml:space="preserve">AAACGGTGGTCAAGGCAAGGCTGA</t>
  </si>
  <si>
    <t xml:space="preserve">PSPPH_1397</t>
  </si>
  <si>
    <t xml:space="preserve">GACAATTTCGTAGACACTCA</t>
  </si>
  <si>
    <t xml:space="preserve">TAGTGACAATTTCGTAGACACTCA</t>
  </si>
  <si>
    <t xml:space="preserve">AAACTGAGTGTCTACGAAATTGTC</t>
  </si>
  <si>
    <t xml:space="preserve">CTGGGCTCCGGCGACCAGTT</t>
  </si>
  <si>
    <t xml:space="preserve">TAGTCTGGGCTCCGGCGACCAGTT</t>
  </si>
  <si>
    <t xml:space="preserve">AAACAACTGGTCGCCGGAGCCCAG</t>
  </si>
  <si>
    <t xml:space="preserve">AGGTTGGCCCTGACCTTCTC</t>
  </si>
  <si>
    <t xml:space="preserve">TAGTAGGTTGGCCCTGACCTTCTC</t>
  </si>
  <si>
    <t xml:space="preserve">AAACGAGAAGGTCAGGGCCAACCT</t>
  </si>
  <si>
    <t xml:space="preserve">CGGCATTGAATAGCTTGCCA</t>
  </si>
  <si>
    <t xml:space="preserve">TAGTCGGCATTGAATAGCTTGCCA</t>
  </si>
  <si>
    <t xml:space="preserve">AAACTGGCAAGCTATTCAATGCCG</t>
  </si>
  <si>
    <t xml:space="preserve">PSPPH_1399</t>
  </si>
  <si>
    <t xml:space="preserve">GGGCAAATAGCACTACTCAT</t>
  </si>
  <si>
    <t xml:space="preserve">TAGTGGGCAAATAGCACTACTCAT</t>
  </si>
  <si>
    <t xml:space="preserve">AAACATGAGTAGTGCTATTTGCCC</t>
  </si>
  <si>
    <t xml:space="preserve">ACAGATCGCCGCTGCCGCAC</t>
  </si>
  <si>
    <t xml:space="preserve">TAGTACAGATCGCCGCTGCCGCAC</t>
  </si>
  <si>
    <t xml:space="preserve">AAACGTGCGGCAGCGGCGATCTGT</t>
  </si>
  <si>
    <t xml:space="preserve">TGCGTGATAGCGACCGCAGC</t>
  </si>
  <si>
    <t xml:space="preserve">TAGTTGCGTGATAGCGACCGCAGC</t>
  </si>
  <si>
    <t xml:space="preserve">AAACGCTGCGGTCGCTATCACGCA</t>
  </si>
  <si>
    <t xml:space="preserve">AGCTTTTCCGCGCAGGGCGC</t>
  </si>
  <si>
    <t xml:space="preserve">TAGTAGCTTTTCCGCGCAGGGCGC</t>
  </si>
  <si>
    <t xml:space="preserve">AAACGCGCCCTGCGCGGAAAAGCT</t>
  </si>
  <si>
    <t xml:space="preserve">PSPPH_1400</t>
  </si>
  <si>
    <t xml:space="preserve">CGTGCGGGATGAGTAGCCGA</t>
  </si>
  <si>
    <t xml:space="preserve">TAGTCGTGCGGGATGAGTAGCCGA</t>
  </si>
  <si>
    <t xml:space="preserve">AAACTCGGCTACTCATCCCGCACG</t>
  </si>
  <si>
    <t xml:space="preserve">AGGGCAGCCAGCGCTTGCTG</t>
  </si>
  <si>
    <t xml:space="preserve">TAGTAGGGCAGCCAGCGCTTGCTG</t>
  </si>
  <si>
    <t xml:space="preserve">AAACCAGCAAGCGCTGGCTGCCCT</t>
  </si>
  <si>
    <t xml:space="preserve">GGGGGGCGTAACGGTCGAGC</t>
  </si>
  <si>
    <t xml:space="preserve">TAGTGGGGGGCGTAACGGTCGAGC</t>
  </si>
  <si>
    <t xml:space="preserve">AAACGCTCGACCGTTACGCCCCCC</t>
  </si>
  <si>
    <t xml:space="preserve">GCCGATCAACAGCAGACGCT</t>
  </si>
  <si>
    <t xml:space="preserve">TAGTGCCGATCAACAGCAGACGCT</t>
  </si>
  <si>
    <t xml:space="preserve">AAACAGCGTCTGCTGTTGATCGGC</t>
  </si>
  <si>
    <t xml:space="preserve">PSPPH_1401</t>
  </si>
  <si>
    <t xml:space="preserve">CTTCAATGACCGCATTGGCC</t>
  </si>
  <si>
    <t xml:space="preserve">TAGTCTTCAATGACCGCATTGGCC</t>
  </si>
  <si>
    <t xml:space="preserve">AAACGGCCAATGCGGTCATTGAAG</t>
  </si>
  <si>
    <t xml:space="preserve">ATCATCACGCCAAACGGGCT</t>
  </si>
  <si>
    <t xml:space="preserve">TAGTATCATCACGCCAAACGGGCT</t>
  </si>
  <si>
    <t xml:space="preserve">AAACAGCCCGTTTGGCGTGATGAT</t>
  </si>
  <si>
    <t xml:space="preserve">CAAGTGAGTCAACAACAGTA</t>
  </si>
  <si>
    <t xml:space="preserve">TAGTCAAGTGAGTCAACAACAGTA</t>
  </si>
  <si>
    <t xml:space="preserve">AAACTACTGTTGTTGACTCACTTG</t>
  </si>
  <si>
    <t xml:space="preserve">CGCGCAGGCTGCCGTTGAAC</t>
  </si>
  <si>
    <t xml:space="preserve">TAGTCGCGCAGGCTGCCGTTGAAC</t>
  </si>
  <si>
    <t xml:space="preserve">AAACGTTCAACGGCAGCCTGCGCG</t>
  </si>
  <si>
    <t xml:space="preserve">PSPPH_1402</t>
  </si>
  <si>
    <t xml:space="preserve">TCGCCTGAGCCATGGCCAGA</t>
  </si>
  <si>
    <t xml:space="preserve">TAGTTCGCCTGAGCCATGGCCAGA</t>
  </si>
  <si>
    <t xml:space="preserve">AAACTCTGGCCATGGCTCAGGCGA</t>
  </si>
  <si>
    <t xml:space="preserve">GGCAGACGCATGAGCGAGTG</t>
  </si>
  <si>
    <t xml:space="preserve">TAGTGGCAGACGCATGAGCGAGTG</t>
  </si>
  <si>
    <t xml:space="preserve">AAACCACTCGCTCATGCGTCTGCC</t>
  </si>
  <si>
    <t xml:space="preserve">TGCAAAACGCTGCTGTTGCC</t>
  </si>
  <si>
    <t xml:space="preserve">TAGTTGCAAAACGCTGCTGTTGCC</t>
  </si>
  <si>
    <t xml:space="preserve">AAACGGCAACAGCAGCGTTTTGCA</t>
  </si>
  <si>
    <t xml:space="preserve">TGCCGTAGTCGGCCACTTCA</t>
  </si>
  <si>
    <t xml:space="preserve">TAGTTGCCGTAGTCGGCCACTTCA</t>
  </si>
  <si>
    <t xml:space="preserve">AAACTGAAGTGGCCGACTACGGCA</t>
  </si>
  <si>
    <t xml:space="preserve">PSPPH_1403</t>
  </si>
  <si>
    <t xml:space="preserve">TGTGGCGCCAAGTGTGTTGC</t>
  </si>
  <si>
    <t xml:space="preserve">TAGTTGTGGCGCCAAGTGTGTTGC</t>
  </si>
  <si>
    <t xml:space="preserve">AAACGCAACACACTTGGCGCCACA</t>
  </si>
  <si>
    <t xml:space="preserve">CCAGAGGGCAGGGCTAAGCA</t>
  </si>
  <si>
    <t xml:space="preserve">TAGTCCAGAGGGCAGGGCTAAGCA</t>
  </si>
  <si>
    <t xml:space="preserve">AAACTGCTTAGCCCTGCCCTCTGG</t>
  </si>
  <si>
    <t xml:space="preserve">GACTGGCGTAACCGGCGCGG</t>
  </si>
  <si>
    <t xml:space="preserve">TAGTGACTGGCGTAACCGGCGCGG</t>
  </si>
  <si>
    <t xml:space="preserve">AAACCCGCGCCGGTTACGCCAGTC</t>
  </si>
  <si>
    <t xml:space="preserve">ATGGCGACCAGCATGACCTT</t>
  </si>
  <si>
    <t xml:space="preserve">TAGTATGGCGACCAGCATGACCTT</t>
  </si>
  <si>
    <t xml:space="preserve">AAACAAGGTCATGCTGGTCGCCAT</t>
  </si>
  <si>
    <t xml:space="preserve">PSPPH_1404</t>
  </si>
  <si>
    <t xml:space="preserve">tsk</t>
  </si>
  <si>
    <t xml:space="preserve">GATCGAGTGAATGGCGGCTG</t>
  </si>
  <si>
    <t xml:space="preserve">TAGTGATCGAGTGAATGGCGGCTG</t>
  </si>
  <si>
    <t xml:space="preserve">AAACCAGCCGCCATTCACTCGATC</t>
  </si>
  <si>
    <t xml:space="preserve">GAGGAATGTTGAGGGCGTTG</t>
  </si>
  <si>
    <t xml:space="preserve">TAGTGAGGAATGTTGAGGGCGTTG</t>
  </si>
  <si>
    <t xml:space="preserve">AAACCAACGCCCTCAACATTCCTC</t>
  </si>
  <si>
    <t xml:space="preserve">GCAGCGGCGGCGAACAACAG</t>
  </si>
  <si>
    <t xml:space="preserve">TAGTGCAGCGGCGGCGAACAACAG</t>
  </si>
  <si>
    <t xml:space="preserve">AAACCTGTTGTTCGCCGCCGCTGC</t>
  </si>
  <si>
    <t xml:space="preserve">TGTGCCAGGACGCTGGTGCA</t>
  </si>
  <si>
    <t xml:space="preserve">TAGTTGTGCCAGGACGCTGGTGCA</t>
  </si>
  <si>
    <t xml:space="preserve">AAACTGCACCAGCGTCCTGGCACA</t>
  </si>
  <si>
    <t xml:space="preserve">PSPPH_1405</t>
  </si>
  <si>
    <t xml:space="preserve">ACAGTAGAAAAAGCGGTCAT</t>
  </si>
  <si>
    <t xml:space="preserve">TAGTACAGTAGAAAAAGCGGTCAT</t>
  </si>
  <si>
    <t xml:space="preserve">AAACATGACCGCTTTTTCTACTGT</t>
  </si>
  <si>
    <t xml:space="preserve">CATCCCGCCAACCCACACCA</t>
  </si>
  <si>
    <t xml:space="preserve">TAGTCATCCCGCCAACCCACACCA</t>
  </si>
  <si>
    <t xml:space="preserve">AAACTGGTGTGGGTTGGCGGGATG</t>
  </si>
  <si>
    <t xml:space="preserve">TGCTGGACGCAAGACCATCC</t>
  </si>
  <si>
    <t xml:space="preserve">TAGTTGCTGGACGCAAGACCATCC</t>
  </si>
  <si>
    <t xml:space="preserve">AAACGGATGGTCTTGCGTCCAGCA</t>
  </si>
  <si>
    <t xml:space="preserve">CCCACACTTTCAAGCGAGAA</t>
  </si>
  <si>
    <t xml:space="preserve">TAGTCCCACACTTTCAAGCGAGAA</t>
  </si>
  <si>
    <t xml:space="preserve">AAACTTCTCGCTTGAAAGTGTGGG</t>
  </si>
  <si>
    <t xml:space="preserve">PSPPH_1406</t>
  </si>
  <si>
    <t xml:space="preserve">TTGAGTTCGGTACTGATCAT</t>
  </si>
  <si>
    <t xml:space="preserve">TAGTTTGAGTTCGGTACTGATCAT</t>
  </si>
  <si>
    <t xml:space="preserve">AAACATGATCAGTACCGAACTCAA</t>
  </si>
  <si>
    <t xml:space="preserve">CGAGTAAGCGCCCTGGATCT</t>
  </si>
  <si>
    <t xml:space="preserve">TAGTCGAGTAAGCGCCCTGGATCT</t>
  </si>
  <si>
    <t xml:space="preserve">AAACAGATCCAGGGCGCTTACTCG</t>
  </si>
  <si>
    <t xml:space="preserve">GCTTGAGGCTCTTGGCTTCG</t>
  </si>
  <si>
    <t xml:space="preserve">TAGTGCTTGAGGCTCTTGGCTTCG</t>
  </si>
  <si>
    <t xml:space="preserve">AAACCGAAGCCAAGAGCCTCAAGC</t>
  </si>
  <si>
    <t xml:space="preserve">ATCAATCGCTGGCCATAGCG</t>
  </si>
  <si>
    <t xml:space="preserve">TAGTATCAATCGCTGGCCATAGCG</t>
  </si>
  <si>
    <t xml:space="preserve">AAACCGCTATGGCCAGCGATTGAT</t>
  </si>
  <si>
    <t xml:space="preserve">PSPPH_1407</t>
  </si>
  <si>
    <t xml:space="preserve">estC</t>
  </si>
  <si>
    <t xml:space="preserve">TAATGACCCTGGATCTGCAA</t>
  </si>
  <si>
    <t xml:space="preserve">TAGTTAATGACCCTGGATCTGCAA</t>
  </si>
  <si>
    <t xml:space="preserve">AAACTTGCAGATCCAGGGTCATTA</t>
  </si>
  <si>
    <t xml:space="preserve">GTCGTCAAAGAGCGCCGCAA</t>
  </si>
  <si>
    <t xml:space="preserve">TAGTGTCGTCAAAGAGCGCCGCAA</t>
  </si>
  <si>
    <t xml:space="preserve">AAACTTGCGGCGCTCTTTGACGAC</t>
  </si>
  <si>
    <t xml:space="preserve">AGGCAGCGCCGCGCTCCTGA</t>
  </si>
  <si>
    <t xml:space="preserve">TAGTAGGCAGCGCCGCGCTCCTGA</t>
  </si>
  <si>
    <t xml:space="preserve">AAACTCAGGAGCGCGGCGCTGCCT</t>
  </si>
  <si>
    <t xml:space="preserve">GCCGCCGACCTGAATGCACA</t>
  </si>
  <si>
    <t xml:space="preserve">TAGTGCCGCCGACCTGAATGCACA</t>
  </si>
  <si>
    <t xml:space="preserve">AAACTGTGCATTCAGGTCGGCGGC</t>
  </si>
  <si>
    <t xml:space="preserve">PSPPH_1408</t>
  </si>
  <si>
    <t xml:space="preserve">TGGAAAAAGAAACCGTCGTA</t>
  </si>
  <si>
    <t xml:space="preserve">TAGTTGGAAAAAGAAACCGTCGTA</t>
  </si>
  <si>
    <t xml:space="preserve">AAACTACGACGGTTTCTTTTTCCA</t>
  </si>
  <si>
    <t xml:space="preserve">AACATGCATAAAGATGCAGT</t>
  </si>
  <si>
    <t xml:space="preserve">TAGTAACATGCATAAAGATGCAGT</t>
  </si>
  <si>
    <t xml:space="preserve">AAACACTGCATCTTTATGCATGTT</t>
  </si>
  <si>
    <t xml:space="preserve">ACAGAAGGACGTGACTACGC</t>
  </si>
  <si>
    <t xml:space="preserve">TAGTACAGAAGGACGTGACTACGC</t>
  </si>
  <si>
    <t xml:space="preserve">AAACGCGTAGTCACGTCCTTCTGT</t>
  </si>
  <si>
    <t xml:space="preserve">ACGACATGGATAACCCGCAA</t>
  </si>
  <si>
    <t xml:space="preserve">TAGTACGACATGGATAACCCGCAA</t>
  </si>
  <si>
    <t xml:space="preserve">AAACTTGCGGGTTATCCATGTCGT</t>
  </si>
  <si>
    <t xml:space="preserve">PSPPH_1409</t>
  </si>
  <si>
    <t xml:space="preserve">pdxH</t>
  </si>
  <si>
    <t xml:space="preserve">GTCGGCCAGGGTCTGAGTCA</t>
  </si>
  <si>
    <t xml:space="preserve">TAGTGTCGGCCAGGGTCTGAGTCA</t>
  </si>
  <si>
    <t xml:space="preserve">AAACTGACTCAGACCCTGGCCGAC</t>
  </si>
  <si>
    <t xml:space="preserve">ACCCGTCGCGGGTGTAATCA</t>
  </si>
  <si>
    <t xml:space="preserve">TAGTACCCGTCGCGGGTGTAATCA</t>
  </si>
  <si>
    <t xml:space="preserve">AAACTGATTACACCCGCGACGGGT</t>
  </si>
  <si>
    <t xml:space="preserve">CTCGTCCGGTGATTGCGCTT</t>
  </si>
  <si>
    <t xml:space="preserve">TAGTCTCGTCCGGTGATTGCGCTT</t>
  </si>
  <si>
    <t xml:space="preserve">AAACAAGCGCAATCACCGGACGAG</t>
  </si>
  <si>
    <t xml:space="preserve">CAGGTATGGAAGAGCGCGAA</t>
  </si>
  <si>
    <t xml:space="preserve">TAGTCAGGTATGGAAGAGCGCGAA</t>
  </si>
  <si>
    <t xml:space="preserve">AAACTTCGCGCTCTTCCATACCTG</t>
  </si>
  <si>
    <t xml:space="preserve">PSPPH_1410</t>
  </si>
  <si>
    <t xml:space="preserve">GAACGAAGCAACCAGAAGAG</t>
  </si>
  <si>
    <t xml:space="preserve">TAGTGAACGAAGCAACCAGAAGAG</t>
  </si>
  <si>
    <t xml:space="preserve">AAACCTCTTCTGGTTGCTTCGTTC</t>
  </si>
  <si>
    <t xml:space="preserve">GCCGCCCAGCATCAATGCCA</t>
  </si>
  <si>
    <t xml:space="preserve">TAGTGCCGCCCAGCATCAATGCCA</t>
  </si>
  <si>
    <t xml:space="preserve">AAACTGGCATTGATGCTGGGCGGC</t>
  </si>
  <si>
    <t xml:space="preserve">GGAATCACCGGTCAGGTTTG</t>
  </si>
  <si>
    <t xml:space="preserve">TAGTGGAATCACCGGTCAGGTTTG</t>
  </si>
  <si>
    <t xml:space="preserve">AAACCAAACCTGACCGGTGATTCC</t>
  </si>
  <si>
    <t xml:space="preserve">CCTGGCCTCATCGCGGGAAT</t>
  </si>
  <si>
    <t xml:space="preserve">TAGTCCTGGCCTCATCGCGGGAAT</t>
  </si>
  <si>
    <t xml:space="preserve">AAACATTCCCGCGATGAGGCCAGG</t>
  </si>
  <si>
    <t xml:space="preserve">PSPPH_1411</t>
  </si>
  <si>
    <t xml:space="preserve">ATCGATCGGCAGCTTGAGTT</t>
  </si>
  <si>
    <t xml:space="preserve">TAGTATCGATCGGCAGCTTGAGTT</t>
  </si>
  <si>
    <t xml:space="preserve">AAACAACTCAAGCTGCCGATCGAT</t>
  </si>
  <si>
    <t xml:space="preserve">CAACGCGCAGGTCTTCTTCC</t>
  </si>
  <si>
    <t xml:space="preserve">TAGTCAACGCGCAGGTCTTCTTCC</t>
  </si>
  <si>
    <t xml:space="preserve">AAACGGAAGAAGACCTGCGCGTTG</t>
  </si>
  <si>
    <t xml:space="preserve">GTTCGCTGCTGTCGATGCCC</t>
  </si>
  <si>
    <t xml:space="preserve">TAGTGTTCGCTGCTGTCGATGCCC</t>
  </si>
  <si>
    <t xml:space="preserve">AAACGGGCATCGACAGCAGCGAAC</t>
  </si>
  <si>
    <t xml:space="preserve">GTCGTAACTGCGTTTGAAGA</t>
  </si>
  <si>
    <t xml:space="preserve">TAGTGTCGTAACTGCGTTTGAAGA</t>
  </si>
  <si>
    <t xml:space="preserve">AAACTCTTCAAACGCAGTTACGAC</t>
  </si>
  <si>
    <t xml:space="preserve">PSPPH_1412</t>
  </si>
  <si>
    <t xml:space="preserve">GACGGAACGGGCAGCAAACA</t>
  </si>
  <si>
    <t xml:space="preserve">TAGTGACGGAACGGGCAGCAAACA</t>
  </si>
  <si>
    <t xml:space="preserve">AAACTGTTTGCTGCCCGTTCCGTC</t>
  </si>
  <si>
    <t xml:space="preserve">GTGGCAGAAGGGCAAATACG</t>
  </si>
  <si>
    <t xml:space="preserve">TAGTGTGGCAGAAGGGCAAATACG</t>
  </si>
  <si>
    <t xml:space="preserve">AAACCGTATTTGCCCTTCTGCCAC</t>
  </si>
  <si>
    <t xml:space="preserve">TTTGCCGAGCAGTTGGCACC</t>
  </si>
  <si>
    <t xml:space="preserve">TAGTTTTGCCGAGCAGTTGGCACC</t>
  </si>
  <si>
    <t xml:space="preserve">AAACGGTGCCAACTGCTCGGCAAA</t>
  </si>
  <si>
    <t xml:space="preserve">CGTGGAAACCTTGGGTTCCT</t>
  </si>
  <si>
    <t xml:space="preserve">TAGTCGTGGAAACCTTGGGTTCCT</t>
  </si>
  <si>
    <t xml:space="preserve">AAACAGGAACCCAAGGTTTCCACG</t>
  </si>
  <si>
    <t xml:space="preserve">PSPPH_1413</t>
  </si>
  <si>
    <t xml:space="preserve">CTGGATCTTGCCGTAGAAAG</t>
  </si>
  <si>
    <t xml:space="preserve">TAGTCTGGATCTTGCCGTAGAAAG</t>
  </si>
  <si>
    <t xml:space="preserve">AAACCTTTCTACGGCAAGATCCAG</t>
  </si>
  <si>
    <t xml:space="preserve">GCACAGGGTCATCAGCAGCG</t>
  </si>
  <si>
    <t xml:space="preserve">TAGTGCACAGGGTCATCAGCAGCG</t>
  </si>
  <si>
    <t xml:space="preserve">AAACCGCTGCTGATGACCCTGTGC</t>
  </si>
  <si>
    <t xml:space="preserve">ATACTGCCGCTGTGCGCGCG</t>
  </si>
  <si>
    <t xml:space="preserve">TAGTATACTGCCGCTGTGCGCGCG</t>
  </si>
  <si>
    <t xml:space="preserve">AAACCGCGCGCACAGCGGCAGTAT</t>
  </si>
  <si>
    <t xml:space="preserve">GCATGATGATCGACGACTCC</t>
  </si>
  <si>
    <t xml:space="preserve">TAGTGCATGATGATCGACGACTCC</t>
  </si>
  <si>
    <t xml:space="preserve">AAACGGAGTCGTCGATCATCATGC</t>
  </si>
  <si>
    <t xml:space="preserve">PSPPH_1414</t>
  </si>
  <si>
    <t xml:space="preserve">CGGTGGCTTGCAGTAATGGG</t>
  </si>
  <si>
    <t xml:space="preserve">TAGTCGGTGGCTTGCAGTAATGGG</t>
  </si>
  <si>
    <t xml:space="preserve">AAACCCCATTACTGCAAGCCACCG</t>
  </si>
  <si>
    <t xml:space="preserve">GCCAAAACGCATGCTCAAGC</t>
  </si>
  <si>
    <t xml:space="preserve">TAGTGCCAAAACGCATGCTCAAGC</t>
  </si>
  <si>
    <t xml:space="preserve">AAACGCTTGAGCATGCGTTTTGGC</t>
  </si>
  <si>
    <t xml:space="preserve">CAACGCCATTGACCGCCAAC</t>
  </si>
  <si>
    <t xml:space="preserve">TAGTCAACGCCATTGACCGCCAAC</t>
  </si>
  <si>
    <t xml:space="preserve">AAACGTTGGCGGTCAATGGCGTTG</t>
  </si>
  <si>
    <t xml:space="preserve">CTGCCCTTGATTGACGGTCA</t>
  </si>
  <si>
    <t xml:space="preserve">TAGTCTGCCCTTGATTGACGGTCA</t>
  </si>
  <si>
    <t xml:space="preserve">AAACTGACCGTCAATCAAGGGCAG</t>
  </si>
  <si>
    <t xml:space="preserve">PSPPH_1415</t>
  </si>
  <si>
    <t xml:space="preserve">GGCCACGGCCCAGACCAGTG</t>
  </si>
  <si>
    <t xml:space="preserve">TAGTGGCCACGGCCCAGACCAGTG</t>
  </si>
  <si>
    <t xml:space="preserve">AAACCACTGGTCTGGGCCGTGGCC</t>
  </si>
  <si>
    <t xml:space="preserve">TTTCAGGCCGAACACCGGGT</t>
  </si>
  <si>
    <t xml:space="preserve">TAGTTTTCAGGCCGAACACCGGGT</t>
  </si>
  <si>
    <t xml:space="preserve">AAACACCCGGTGTTCGGCCTGAAA</t>
  </si>
  <si>
    <t xml:space="preserve">TTGCAGGGTGACGCCGGAAA</t>
  </si>
  <si>
    <t xml:space="preserve">TAGTTTGCAGGGTGACGCCGGAAA</t>
  </si>
  <si>
    <t xml:space="preserve">AAACTTTCCGGCGTCACCCTGCAA</t>
  </si>
  <si>
    <t xml:space="preserve">GATGGTCAGGGTCAGCGGGC</t>
  </si>
  <si>
    <t xml:space="preserve">TAGTGATGGTCAGGGTCAGCGGGC</t>
  </si>
  <si>
    <t xml:space="preserve">AAACGCCCGCTGACCCTGACCATC</t>
  </si>
  <si>
    <t xml:space="preserve">PSPPH_1416</t>
  </si>
  <si>
    <t xml:space="preserve">TGCATGTAGTGGAATAACTC</t>
  </si>
  <si>
    <t xml:space="preserve">TAGTTGCATGTAGTGGAATAACTC</t>
  </si>
  <si>
    <t xml:space="preserve">AAACGAGTTATTCCACTACATGCA</t>
  </si>
  <si>
    <t xml:space="preserve">CATACGTACTGCCAATGGTC</t>
  </si>
  <si>
    <t xml:space="preserve">TAGTCATACGTACTGCCAATGGTC</t>
  </si>
  <si>
    <t xml:space="preserve">AAACGACCATTGGCAGTACGTATG</t>
  </si>
  <si>
    <t xml:space="preserve">GATCATGTACACCTCGCCAT</t>
  </si>
  <si>
    <t xml:space="preserve">TAGTGATCATGTACACCTCGCCAT</t>
  </si>
  <si>
    <t xml:space="preserve">AAACATGGCGAGGTGTACATGATC</t>
  </si>
  <si>
    <t xml:space="preserve">GAGTGCCATGAAAGCTACAT</t>
  </si>
  <si>
    <t xml:space="preserve">TAGTGAGTGCCATGAAAGCTACAT</t>
  </si>
  <si>
    <t xml:space="preserve">AAACATGTAGCTTTCATGGCACTC</t>
  </si>
  <si>
    <t xml:space="preserve">PSPPH_1417</t>
  </si>
  <si>
    <t xml:space="preserve">CCAGGACCGGATTCGATCAC</t>
  </si>
  <si>
    <t xml:space="preserve">TAGTCCAGGACCGGATTCGATCAC</t>
  </si>
  <si>
    <t xml:space="preserve">AAACGTGATCGAATCCGGTCCTGG</t>
  </si>
  <si>
    <t xml:space="preserve">TTTTATAATCCTGATGGCCA</t>
  </si>
  <si>
    <t xml:space="preserve">TAGTTTTTATAATCCTGATGGCCA</t>
  </si>
  <si>
    <t xml:space="preserve">AAACTGGCCATCAGGATTATAAAA</t>
  </si>
  <si>
    <t xml:space="preserve">AAACAGCCTTGAAAGCTTAT</t>
  </si>
  <si>
    <t xml:space="preserve">TAGTAAACAGCCTTGAAAGCTTAT</t>
  </si>
  <si>
    <t xml:space="preserve">AAACATAAGCTTTCAAGGCTGTTT</t>
  </si>
  <si>
    <t xml:space="preserve">AACCCCCGCCATAACCAGTG</t>
  </si>
  <si>
    <t xml:space="preserve">TAGTAACCCCCGCCATAACCAGTG</t>
  </si>
  <si>
    <t xml:space="preserve">AAACCACTGGTTATGGCGGGGGTT</t>
  </si>
  <si>
    <t xml:space="preserve">PSPPH_1418</t>
  </si>
  <si>
    <t xml:space="preserve">GTGCTAGGTTCTTGCGTCAT</t>
  </si>
  <si>
    <t xml:space="preserve">TAGTGTGCTAGGTTCTTGCGTCAT</t>
  </si>
  <si>
    <t xml:space="preserve">AAACATGACGCAAGAACCTAGCAC</t>
  </si>
  <si>
    <t xml:space="preserve">GCCAAGCAGTTTGGCATAGA</t>
  </si>
  <si>
    <t xml:space="preserve">TAGTGCCAAGCAGTTTGGCATAGA</t>
  </si>
  <si>
    <t xml:space="preserve">AAACTCTATGCCAAACTGCTTGGC</t>
  </si>
  <si>
    <t xml:space="preserve">TTCAGTCCAGGTGATTGATG</t>
  </si>
  <si>
    <t xml:space="preserve">TAGTTTCAGTCCAGGTGATTGATG</t>
  </si>
  <si>
    <t xml:space="preserve">AAACCATCAATCACCTGGACTGAA</t>
  </si>
  <si>
    <t xml:space="preserve">AGGGCACCCTTGGCAAAGAA</t>
  </si>
  <si>
    <t xml:space="preserve">TAGTAGGGCACCCTTGGCAAAGAA</t>
  </si>
  <si>
    <t xml:space="preserve">AAACTTCTTTGCCAAGGGTGCCCT</t>
  </si>
  <si>
    <t xml:space="preserve">PSPPH_1419</t>
  </si>
  <si>
    <t xml:space="preserve">ATAATTGCCCGTCCGCTGGG</t>
  </si>
  <si>
    <t xml:space="preserve">TAGTATAATTGCCCGTCCGCTGGG</t>
  </si>
  <si>
    <t xml:space="preserve">AAACCCCAGCGGACGGGCAATTAT</t>
  </si>
  <si>
    <t xml:space="preserve">AAGCCAGCGCTACCAGAAAC</t>
  </si>
  <si>
    <t xml:space="preserve">TAGTAAGCCAGCGCTACCAGAAAC</t>
  </si>
  <si>
    <t xml:space="preserve">AAACGTTTCTGGTAGCGCTGGCTT</t>
  </si>
  <si>
    <t xml:space="preserve">ATCCAGCGTGGCGAAGGATG</t>
  </si>
  <si>
    <t xml:space="preserve">TAGTATCCAGCGTGGCGAAGGATG</t>
  </si>
  <si>
    <t xml:space="preserve">AAACCATCCTTCGCCACGCTGGAT</t>
  </si>
  <si>
    <t xml:space="preserve">GTCGACCTGAATGACGCGGT</t>
  </si>
  <si>
    <t xml:space="preserve">TAGTGTCGACCTGAATGACGCGGT</t>
  </si>
  <si>
    <t xml:space="preserve">AAACACCGCGTCATTCAGGTCGAC</t>
  </si>
  <si>
    <t xml:space="preserve">PSPPH_1420</t>
  </si>
  <si>
    <t xml:space="preserve">CCTGAGTAGCGTTTTCAGCC</t>
  </si>
  <si>
    <t xml:space="preserve">TAGTCCTGAGTAGCGTTTTCAGCC</t>
  </si>
  <si>
    <t xml:space="preserve">AAACGGCTGAAAACGCTACTCAGG</t>
  </si>
  <si>
    <t xml:space="preserve">GAACAGCACGCGCCAGGCAT</t>
  </si>
  <si>
    <t xml:space="preserve">TAGTGAACAGCACGCGCCAGGCAT</t>
  </si>
  <si>
    <t xml:space="preserve">AAACATGCCTGGCGCGTGCTGTTC</t>
  </si>
  <si>
    <t xml:space="preserve">ACAGATTGGCCAGAAAAAGC</t>
  </si>
  <si>
    <t xml:space="preserve">TAGTACAGATTGGCCAGAAAAAGC</t>
  </si>
  <si>
    <t xml:space="preserve">AAACGCTTTTTCTGGCCAATCTGT</t>
  </si>
  <si>
    <t xml:space="preserve">CTCGACGATAATCGCCGGGA</t>
  </si>
  <si>
    <t xml:space="preserve">TAGTCTCGACGATAATCGCCGGGA</t>
  </si>
  <si>
    <t xml:space="preserve">AAACTCCCGGCGATTATCGTCGAG</t>
  </si>
  <si>
    <t xml:space="preserve">PSPPH_1421</t>
  </si>
  <si>
    <t xml:space="preserve">TCACTAATCCAGCGTTGCCC</t>
  </si>
  <si>
    <t xml:space="preserve">TAGTTCACTAATCCAGCGTTGCCC</t>
  </si>
  <si>
    <t xml:space="preserve">AAACGGGCAACGCTGGATTAGTGA</t>
  </si>
  <si>
    <t xml:space="preserve">AACGGTGCCTAAACCCAGCT</t>
  </si>
  <si>
    <t xml:space="preserve">TAGTAACGGTGCCTAAACCCAGCT</t>
  </si>
  <si>
    <t xml:space="preserve">AAACAGCTGGGTTTAGGCACCGTT</t>
  </si>
  <si>
    <t xml:space="preserve">GATAGAGCACGGTCAACAAG</t>
  </si>
  <si>
    <t xml:space="preserve">TAGTGATAGAGCACGGTCAACAAG</t>
  </si>
  <si>
    <t xml:space="preserve">AAACCTTGTTGACCGTGCTCTATC</t>
  </si>
  <si>
    <t xml:space="preserve">TGACGTGTTTCGCCAGTGGC</t>
  </si>
  <si>
    <t xml:space="preserve">TAGTTGACGTGTTTCGCCAGTGGC</t>
  </si>
  <si>
    <t xml:space="preserve">AAACGCCACTGGCGAAACACGTCA</t>
  </si>
  <si>
    <t xml:space="preserve">PSPPH_1422</t>
  </si>
  <si>
    <t xml:space="preserve">CGGAAGCATAGGTTGCAGCA</t>
  </si>
  <si>
    <t xml:space="preserve">TAGTCGGAAGCATAGGTTGCAGCA</t>
  </si>
  <si>
    <t xml:space="preserve">AAACTGCTGCAACCTATGCTTCCG</t>
  </si>
  <si>
    <t xml:space="preserve">GTCACAGGCACCACACTTAG</t>
  </si>
  <si>
    <t xml:space="preserve">TAGTGTCACAGGCACCACACTTAG</t>
  </si>
  <si>
    <t xml:space="preserve">AAACCTAAGTGTGGTGCCTGTGAC</t>
  </si>
  <si>
    <t xml:space="preserve">TGTCCGGCATGCGTTTGGCC</t>
  </si>
  <si>
    <t xml:space="preserve">TAGTTGTCCGGCATGCGTTTGGCC</t>
  </si>
  <si>
    <t xml:space="preserve">AAACGGCCAAACGCATGCCGGACA</t>
  </si>
  <si>
    <t xml:space="preserve">GCTGCACCGGTGCGACAGGC</t>
  </si>
  <si>
    <t xml:space="preserve">TAGTGCTGCACCGGTGCGACAGGC</t>
  </si>
  <si>
    <t xml:space="preserve">AAACGCCTGTCGCACCGGTGCAGC</t>
  </si>
  <si>
    <t xml:space="preserve">PSPPH_1423</t>
  </si>
  <si>
    <t xml:space="preserve">TTCTCGAACACGGGAAATCA</t>
  </si>
  <si>
    <t xml:space="preserve">TAGTTTCTCGAACACGGGAAATCA</t>
  </si>
  <si>
    <t xml:space="preserve">AAACTGATTTCCCGTGTTCGAGAA</t>
  </si>
  <si>
    <t xml:space="preserve">GCATCTTCGCTCATGGCTTG</t>
  </si>
  <si>
    <t xml:space="preserve">TAGTGCATCTTCGCTCATGGCTTG</t>
  </si>
  <si>
    <t xml:space="preserve">AAACCAAGCCATGAGCGAAGATGC</t>
  </si>
  <si>
    <t xml:space="preserve">GCTTGGCGCGCTCGGCACCC</t>
  </si>
  <si>
    <t xml:space="preserve">TAGTGCTTGGCGCGCTCGGCACCC</t>
  </si>
  <si>
    <t xml:space="preserve">AAACGGGTGCCGAGCGCGCCAAGC</t>
  </si>
  <si>
    <t xml:space="preserve">GGCGCTTGTCATTCAGATCG</t>
  </si>
  <si>
    <t xml:space="preserve">TAGTGGCGCTTGTCATTCAGATCG</t>
  </si>
  <si>
    <t xml:space="preserve">AAACCGATCTGAATGACAAGCGCC</t>
  </si>
  <si>
    <t xml:space="preserve">PSPPH_1424</t>
  </si>
  <si>
    <t xml:space="preserve">hopAK1</t>
  </si>
  <si>
    <t xml:space="preserve">TTTCGGGTGATCATATTCAT</t>
  </si>
  <si>
    <t xml:space="preserve">TAGTTTTCGGGTGATCATATTCAT</t>
  </si>
  <si>
    <t xml:space="preserve">AAACATGAATATGATCACCCGAAA</t>
  </si>
  <si>
    <t xml:space="preserve">TATGCCCTGGGTTGGCTGCC</t>
  </si>
  <si>
    <t xml:space="preserve">TAGTTATGCCCTGGGTTGGCTGCC</t>
  </si>
  <si>
    <t xml:space="preserve">AAACGGCAGCCAACCCAGGGCATA</t>
  </si>
  <si>
    <t xml:space="preserve">GCGGACTGTTATCGGCTTGC</t>
  </si>
  <si>
    <t xml:space="preserve">TAGTGCGGACTGTTATCGGCTTGC</t>
  </si>
  <si>
    <t xml:space="preserve">AAACGCAAGCCGATAACAGTCCGC</t>
  </si>
  <si>
    <t xml:space="preserve">TTGCCGGACGTGACCTGAGG</t>
  </si>
  <si>
    <t xml:space="preserve">TAGTTTGCCGGACGTGACCTGAGG</t>
  </si>
  <si>
    <t xml:space="preserve">AAACCCTCAGGTCACGTCCGGCAA</t>
  </si>
  <si>
    <t xml:space="preserve">PSPPH_1425</t>
  </si>
  <si>
    <t xml:space="preserve">AAAAATGGATTGAAGCGGGC</t>
  </si>
  <si>
    <t xml:space="preserve">TAGTAAAAATGGATTGAAGCGGGC</t>
  </si>
  <si>
    <t xml:space="preserve">AAACGCCCGCTTCAATCCATTTTT</t>
  </si>
  <si>
    <t xml:space="preserve">TGTTGGTGACTTGAGTCATG</t>
  </si>
  <si>
    <t xml:space="preserve">TAGTTGTTGGTGACTTGAGTCATG</t>
  </si>
  <si>
    <t xml:space="preserve">AAACCATGACTCAAGTCACCAACA</t>
  </si>
  <si>
    <t xml:space="preserve">CCGACTTCAAGGGCTTCGTA</t>
  </si>
  <si>
    <t xml:space="preserve">TAGTCCGACTTCAAGGGCTTCGTA</t>
  </si>
  <si>
    <t xml:space="preserve">AAACTACGAAGCCCTTGAAGTCGG</t>
  </si>
  <si>
    <t xml:space="preserve">CACTGTCTTGCTATAGCTGG</t>
  </si>
  <si>
    <t xml:space="preserve">TAGTCACTGTCTTGCTATAGCTGG</t>
  </si>
  <si>
    <t xml:space="preserve">AAACCCAGCTATAGCAAGACAGTG</t>
  </si>
  <si>
    <t xml:space="preserve">PSPPH_1426</t>
  </si>
  <si>
    <t xml:space="preserve">fadD1</t>
  </si>
  <si>
    <t xml:space="preserve">ACCTCGGAGTCGACACCTGC</t>
  </si>
  <si>
    <t xml:space="preserve">TAGTACCTCGGAGTCGACACCTGC</t>
  </si>
  <si>
    <t xml:space="preserve">AAACGCAGGTGTCGACTCCGAGGT</t>
  </si>
  <si>
    <t xml:space="preserve">TACTTCAATGACCGACTGAT</t>
  </si>
  <si>
    <t xml:space="preserve">TAGTTACTTCAATGACCGACTGAT</t>
  </si>
  <si>
    <t xml:space="preserve">AAACATCAGTCGGTCATTGAAGTA</t>
  </si>
  <si>
    <t xml:space="preserve">CCATATTGCTGAATGCAGGT</t>
  </si>
  <si>
    <t xml:space="preserve">TAGTCCATATTGCTGAATGCAGGT</t>
  </si>
  <si>
    <t xml:space="preserve">AAACACCTGCATTCAGCAATATGG</t>
  </si>
  <si>
    <t xml:space="preserve">CTCAAGTTCGGCGTAGGTCA</t>
  </si>
  <si>
    <t xml:space="preserve">TAGTCTCAAGTTCGGCGTAGGTCA</t>
  </si>
  <si>
    <t xml:space="preserve">AAACTGACCTACGCCGAACTTGAG</t>
  </si>
  <si>
    <t xml:space="preserve">PSPPH_1427</t>
  </si>
  <si>
    <t xml:space="preserve">fadD2</t>
  </si>
  <si>
    <t xml:space="preserve">ATATCGGCGGGGATACCAGA</t>
  </si>
  <si>
    <t xml:space="preserve">TAGTATATCGGCGGGGATACCAGA</t>
  </si>
  <si>
    <t xml:space="preserve">AAACTCTGGTATCCCCGCCGATAT</t>
  </si>
  <si>
    <t xml:space="preserve">TGGACATTGGGATACTCGTC</t>
  </si>
  <si>
    <t xml:space="preserve">TAGTTGGACATTGGGATACTCGTC</t>
  </si>
  <si>
    <t xml:space="preserve">AAACGACGAGTATCCCAATGTCCA</t>
  </si>
  <si>
    <t xml:space="preserve">AGGACAGCTTCAGGACAGCC</t>
  </si>
  <si>
    <t xml:space="preserve">TAGTAGGACAGCTTCAGGACAGCC</t>
  </si>
  <si>
    <t xml:space="preserve">AAACGGCTGTCCTGAAGCTGTCCT</t>
  </si>
  <si>
    <t xml:space="preserve">TTTGTCGGCGAAGCGTTGGC</t>
  </si>
  <si>
    <t xml:space="preserve">TAGTTTTGTCGGCGAAGCGTTGGC</t>
  </si>
  <si>
    <t xml:space="preserve">AAACGCCAACGCTTCGCCGACAAA</t>
  </si>
  <si>
    <t xml:space="preserve">PSPPH_1428</t>
  </si>
  <si>
    <t xml:space="preserve">hrpA</t>
  </si>
  <si>
    <t xml:space="preserve">CGTCGGTCATCAGGCGCGCA</t>
  </si>
  <si>
    <t xml:space="preserve">TAGTCGTCGGTCATCAGGCGCGCA</t>
  </si>
  <si>
    <t xml:space="preserve">AAACTGCGCGCCTGATGACCGACG</t>
  </si>
  <si>
    <t xml:space="preserve">TTCAGAAGTTGGTCGATAGA</t>
  </si>
  <si>
    <t xml:space="preserve">TAGTTTCAGAAGTTGGTCGATAGA</t>
  </si>
  <si>
    <t xml:space="preserve">AAACTCTATCGACCAACTTCTGAA</t>
  </si>
  <si>
    <t xml:space="preserve">CGCTGATCATCGCTTGGTCG</t>
  </si>
  <si>
    <t xml:space="preserve">TAGTCGCTGATCATCGCTTGGTCG</t>
  </si>
  <si>
    <t xml:space="preserve">AAACCGACCAAGCGATGATCAGCG</t>
  </si>
  <si>
    <t xml:space="preserve">GGTCATGCAACTGACGGCGC</t>
  </si>
  <si>
    <t xml:space="preserve">TAGTGGTCATGCAACTGACGGCGC</t>
  </si>
  <si>
    <t xml:space="preserve">AAACGCGCCGTCAGTTGCATGACC</t>
  </si>
  <si>
    <t xml:space="preserve">PSPPH_1429</t>
  </si>
  <si>
    <t xml:space="preserve">ACTGATGACGACGTTGTGCA</t>
  </si>
  <si>
    <t xml:space="preserve">TAGTACTGATGACGACGTTGTGCA</t>
  </si>
  <si>
    <t xml:space="preserve">AAACTGCACAACGTCGTCATCAGT</t>
  </si>
  <si>
    <t xml:space="preserve">TGCTGTTGGCCGGGGTAAAC</t>
  </si>
  <si>
    <t xml:space="preserve">TAGTTGCTGTTGGCCGGGGTAAAC</t>
  </si>
  <si>
    <t xml:space="preserve">AAACGTTTACCCCGGCCAACAGCA</t>
  </si>
  <si>
    <t xml:space="preserve">AGACTGCACCAGCTCTTCGT</t>
  </si>
  <si>
    <t xml:space="preserve">TAGTAGACTGCACCAGCTCTTCGT</t>
  </si>
  <si>
    <t xml:space="preserve">AAACACGAAGAGCTGGTGCAGTCT</t>
  </si>
  <si>
    <t xml:space="preserve">GCTGTTGAACTGTGCGACAT</t>
  </si>
  <si>
    <t xml:space="preserve">TAGTGCTGTTGAACTGTGCGACAT</t>
  </si>
  <si>
    <t xml:space="preserve">AAACATGTCGCACAGTTCAACAGC</t>
  </si>
  <si>
    <t xml:space="preserve">PSPPH_1430</t>
  </si>
  <si>
    <t xml:space="preserve">CGTTCCAGACGTGGTGTAGG</t>
  </si>
  <si>
    <t xml:space="preserve">TAGTCGTTCCAGACGTGGTGTAGG</t>
  </si>
  <si>
    <t xml:space="preserve">AAACCCTACACCACGTCTGGAACG</t>
  </si>
  <si>
    <t xml:space="preserve">GGCAGGGAACCAGGCGAGGC</t>
  </si>
  <si>
    <t xml:space="preserve">TAGTGGCAGGGAACCAGGCGAGGC</t>
  </si>
  <si>
    <t xml:space="preserve">AAACGCCTCGCCTGGTTCCCTGCC</t>
  </si>
  <si>
    <t xml:space="preserve">GAGTCGAGTTGTCGTGAGGA</t>
  </si>
  <si>
    <t xml:space="preserve">TAGTGAGTCGAGTTGTCGTGAGGA</t>
  </si>
  <si>
    <t xml:space="preserve">AAACTCCTCACGACAACTCGACTC</t>
  </si>
  <si>
    <t xml:space="preserve">TTTGGATGCTCAACGTCGAA</t>
  </si>
  <si>
    <t xml:space="preserve">TAGTTTTGGATGCTCAACGTCGAA</t>
  </si>
  <si>
    <t xml:space="preserve">AAACTTCGACGTTGAGCATCCAAA</t>
  </si>
  <si>
    <t xml:space="preserve">PSPPH_1431</t>
  </si>
  <si>
    <t xml:space="preserve">AGGTTGTCGATAACGTGAAC</t>
  </si>
  <si>
    <t xml:space="preserve">TAGTAGGTTGTCGATAACGTGAAC</t>
  </si>
  <si>
    <t xml:space="preserve">AAACGTTCACGTTATCGACAACCT</t>
  </si>
  <si>
    <t xml:space="preserve">GAGCAGGCGCAACGGTGCTT</t>
  </si>
  <si>
    <t xml:space="preserve">TAGTGAGCAGGCGCAACGGTGCTT</t>
  </si>
  <si>
    <t xml:space="preserve">AAACAAGCACCGTTGCGCCTGCTC</t>
  </si>
  <si>
    <t xml:space="preserve">CGCAGGAACGGCTGATTGCC</t>
  </si>
  <si>
    <t xml:space="preserve">TAGTCGCAGGAACGGCTGATTGCC</t>
  </si>
  <si>
    <t xml:space="preserve">AAACGGCAATCAGCCGTTCCTGCG</t>
  </si>
  <si>
    <t xml:space="preserve">GTCTTCCAGTGCGCTGAGAA</t>
  </si>
  <si>
    <t xml:space="preserve">TAGTGTCTTCCAGTGCGCTGAGAA</t>
  </si>
  <si>
    <t xml:space="preserve">AAACTTCTCAGCGCACTGGAAGAC</t>
  </si>
  <si>
    <t xml:space="preserve">PSPPH_1432</t>
  </si>
  <si>
    <t xml:space="preserve">TCAAAACGACGATAAAGCAT</t>
  </si>
  <si>
    <t xml:space="preserve">TAGTTCAAAACGACGATAAAGCAT</t>
  </si>
  <si>
    <t xml:space="preserve">AAACATGCTTTATCGTCGTTTTGA</t>
  </si>
  <si>
    <t xml:space="preserve">GTTGGGCGGGGCAGGGGTAG</t>
  </si>
  <si>
    <t xml:space="preserve">TAGTGTTGGGCGGGGCAGGGGTAG</t>
  </si>
  <si>
    <t xml:space="preserve">AAACCTACCCCTGCCCCGCCCAAC</t>
  </si>
  <si>
    <t xml:space="preserve">ATACATGTAAAACGCGAAGA</t>
  </si>
  <si>
    <t xml:space="preserve">TAGTATACATGTAAAACGCGAAGA</t>
  </si>
  <si>
    <t xml:space="preserve">AAACTCTTCGCGTTTTACATGTAT</t>
  </si>
  <si>
    <t xml:space="preserve">ACGTCGGCCATACCTGACGC</t>
  </si>
  <si>
    <t xml:space="preserve">TAGTACGTCGGCCATACCTGACGC</t>
  </si>
  <si>
    <t xml:space="preserve">AAACGCGTCAGGTATGGCCGACGT</t>
  </si>
  <si>
    <t xml:space="preserve">PSPPH_1433</t>
  </si>
  <si>
    <t xml:space="preserve">ppiA</t>
  </si>
  <si>
    <t xml:space="preserve">GATATCGACTGTGGCCGGCA</t>
  </si>
  <si>
    <t xml:space="preserve">TAGTGATATCGACTGTGGCCGGCA</t>
  </si>
  <si>
    <t xml:space="preserve">AAACTGCCGGCCACAGTCGATATC</t>
  </si>
  <si>
    <t xml:space="preserve">GCATGTGGCAACAGGTCCTT</t>
  </si>
  <si>
    <t xml:space="preserve">TAGTGCATGTGGCAACAGGTCCTT</t>
  </si>
  <si>
    <t xml:space="preserve">AAACAAGGACCTGTTGCCACATGC</t>
  </si>
  <si>
    <t xml:space="preserve">CAATACGAAGCAGGCGGTGA</t>
  </si>
  <si>
    <t xml:space="preserve">TAGTCAATACGAAGCAGGCGGTGA</t>
  </si>
  <si>
    <t xml:space="preserve">AAACTCACCGCCTGCTTCGTATTG</t>
  </si>
  <si>
    <t xml:space="preserve">CGGGGCAGCCATCAGGTTGG</t>
  </si>
  <si>
    <t xml:space="preserve">TAGTCGGGGCAGCCATCAGGTTGG</t>
  </si>
  <si>
    <t xml:space="preserve">AAACCCAACCTGATGGCTGCCCCG</t>
  </si>
  <si>
    <t xml:space="preserve">PSPPH_1434</t>
  </si>
  <si>
    <t xml:space="preserve">catD1</t>
  </si>
  <si>
    <t xml:space="preserve">AGGCCATGTAACAACAGGAC</t>
  </si>
  <si>
    <t xml:space="preserve">TAGTAGGCCATGTAACAACAGGAC</t>
  </si>
  <si>
    <t xml:space="preserve">AAACGTCCTGTTGTTACATGGCCT</t>
  </si>
  <si>
    <t xml:space="preserve">AGTCCTGACAACTGGAACCC</t>
  </si>
  <si>
    <t xml:space="preserve">TAGTAGTCCTGACAACTGGAACCC</t>
  </si>
  <si>
    <t xml:space="preserve">AAACGGGTTCCAGTTGTCAGGACT</t>
  </si>
  <si>
    <t xml:space="preserve">GGTATTGCCTGGCCAGTGCC</t>
  </si>
  <si>
    <t xml:space="preserve">TAGTGGTATTGCCTGGCCAGTGCC</t>
  </si>
  <si>
    <t xml:space="preserve">AAACGGCACTGGCCAGGCAATACC</t>
  </si>
  <si>
    <t xml:space="preserve">GCATGTCCATGACGATGACG</t>
  </si>
  <si>
    <t xml:space="preserve">TAGTGCATGTCCATGACGATGACG</t>
  </si>
  <si>
    <t xml:space="preserve">AAACCGTCATCGTCATGGACATGC</t>
  </si>
  <si>
    <t xml:space="preserve">PSPPH_1435</t>
  </si>
  <si>
    <t xml:space="preserve">CACTGGTCGAGAGTCACGCG</t>
  </si>
  <si>
    <t xml:space="preserve">TAGTCACTGGTCGAGAGTCACGCG</t>
  </si>
  <si>
    <t xml:space="preserve">AAACCGCGTGACTCTCGACCAGTG</t>
  </si>
  <si>
    <t xml:space="preserve">AAAGCCACCGTGGTCGACTA</t>
  </si>
  <si>
    <t xml:space="preserve">TAGTAAAGCCACCGTGGTCGACTA</t>
  </si>
  <si>
    <t xml:space="preserve">AAACTAGTCGACCACGGTGGCTTT</t>
  </si>
  <si>
    <t xml:space="preserve">CGACCTGTGCAGCGCCTCGG</t>
  </si>
  <si>
    <t xml:space="preserve">TAGTCGACCTGTGCAGCGCCTCGG</t>
  </si>
  <si>
    <t xml:space="preserve">AAACCCGAGGCGCTGCACAGGTCG</t>
  </si>
  <si>
    <t xml:space="preserve">TTGTTCCTGCATGCGCGCCA</t>
  </si>
  <si>
    <t xml:space="preserve">TAGTTTGTTCCTGCATGCGCGCCA</t>
  </si>
  <si>
    <t xml:space="preserve">AAACTGGCGCGCATGCAGGAACAA</t>
  </si>
  <si>
    <t xml:space="preserve">PSPPH_1436</t>
  </si>
  <si>
    <t xml:space="preserve">GGGTACGCAAAAGCCGTCAA</t>
  </si>
  <si>
    <t xml:space="preserve">TAGTGGGTACGCAAAAGCCGTCAA</t>
  </si>
  <si>
    <t xml:space="preserve">AAACTTGACGGCTTTTGCGTACCC</t>
  </si>
  <si>
    <t xml:space="preserve">ACTGCTTTTCGACCTCGATG</t>
  </si>
  <si>
    <t xml:space="preserve">TAGTACTGCTTTTCGACCTCGATG</t>
  </si>
  <si>
    <t xml:space="preserve">AAACCATCGAGGTCGAAAAGCAGT</t>
  </si>
  <si>
    <t xml:space="preserve">TACATCCCCGTAGTTGCTGA</t>
  </si>
  <si>
    <t xml:space="preserve">TAGTTACATCCCCGTAGTTGCTGA</t>
  </si>
  <si>
    <t xml:space="preserve">AAACTCAGCAACTACGGGGATGTA</t>
  </si>
  <si>
    <t xml:space="preserve">GACGAACACCACCGAACATT</t>
  </si>
  <si>
    <t xml:space="preserve">TAGTGACGAACACCACCGAACATT</t>
  </si>
  <si>
    <t xml:space="preserve">AAACAATGTTCGGTGGTGTTCGTC</t>
  </si>
  <si>
    <t xml:space="preserve">PSPPH_1437</t>
  </si>
  <si>
    <t xml:space="preserve">CCAAGGGCGTGGAAGCGAAG</t>
  </si>
  <si>
    <t xml:space="preserve">TAGTCCAAGGGCGTGGAAGCGAAG</t>
  </si>
  <si>
    <t xml:space="preserve">AAACCTTCGCTTCCACGCCCTTGG</t>
  </si>
  <si>
    <t xml:space="preserve">PSPPH_1438</t>
  </si>
  <si>
    <t xml:space="preserve">GTCTTTTGTGTTTAATATCA</t>
  </si>
  <si>
    <t xml:space="preserve">TAGTGTCTTTTGTGTTTAATATCA</t>
  </si>
  <si>
    <t xml:space="preserve">AAACTGATATTAAACACAAAAGAC</t>
  </si>
  <si>
    <t xml:space="preserve">TGCATCAATAGTGGCCTGAA</t>
  </si>
  <si>
    <t xml:space="preserve">TAGTTGCATCAATAGTGGCCTGAA</t>
  </si>
  <si>
    <t xml:space="preserve">AAACTTCAGGCCACTATTGATGCA</t>
  </si>
  <si>
    <t xml:space="preserve">ACCGGACACAATGTAGGTCC</t>
  </si>
  <si>
    <t xml:space="preserve">TAGTACCGGACACAATGTAGGTCC</t>
  </si>
  <si>
    <t xml:space="preserve">AAACGGACCTACATTGTGTCCGGT</t>
  </si>
  <si>
    <t xml:space="preserve">AGCATCAGGCAGCCGTCGGA</t>
  </si>
  <si>
    <t xml:space="preserve">TAGTAGCATCAGGCAGCCGTCGGA</t>
  </si>
  <si>
    <t xml:space="preserve">AAACTCCGACGGCTGCCTGATGCT</t>
  </si>
  <si>
    <t xml:space="preserve">PSPPH_1439</t>
  </si>
  <si>
    <t xml:space="preserve">CGGCCAGATAAACACCGATC</t>
  </si>
  <si>
    <t xml:space="preserve">TAGTCGGCCAGATAAACACCGATC</t>
  </si>
  <si>
    <t xml:space="preserve">AAACGATCGGTGTTTATCTGGCCG</t>
  </si>
  <si>
    <t xml:space="preserve">GAAATAGCTGTCGACGTGCC</t>
  </si>
  <si>
    <t xml:space="preserve">TAGTGAAATAGCTGTCGACGTGCC</t>
  </si>
  <si>
    <t xml:space="preserve">AAACGGCACGTCGACAGCTATTTC</t>
  </si>
  <si>
    <t xml:space="preserve">CCAGACCAGCGAGCACCACG</t>
  </si>
  <si>
    <t xml:space="preserve">TAGTCCAGACCAGCGAGCACCACG</t>
  </si>
  <si>
    <t xml:space="preserve">AAACCGTGGTGCTCGCTGGTCTGG</t>
  </si>
  <si>
    <t xml:space="preserve">CCTGACGCCAGCGAGTCAGC</t>
  </si>
  <si>
    <t xml:space="preserve">TAGTCCTGACGCCAGCGAGTCAGC</t>
  </si>
  <si>
    <t xml:space="preserve">AAACGCTGACTCGCTGGCGTCAGG</t>
  </si>
  <si>
    <t xml:space="preserve">PSPPH_1440</t>
  </si>
  <si>
    <t xml:space="preserve">CCGTGGCATGACCGATCCCC</t>
  </si>
  <si>
    <t xml:space="preserve">TAGTCCGTGGCATGACCGATCCCC</t>
  </si>
  <si>
    <t xml:space="preserve">AAACGGGGATCGGTCATGCCACGG</t>
  </si>
  <si>
    <t xml:space="preserve">CGTGAAAACTTCCCAGCCTG</t>
  </si>
  <si>
    <t xml:space="preserve">TAGTCGTGAAAACTTCCCAGCCTG</t>
  </si>
  <si>
    <t xml:space="preserve">AAACCAGGCTGGGAAGTTTTCACG</t>
  </si>
  <si>
    <t xml:space="preserve">GTCATCCACCCAGTTCTGCC</t>
  </si>
  <si>
    <t xml:space="preserve">TAGTGTCATCCACCCAGTTCTGCC</t>
  </si>
  <si>
    <t xml:space="preserve">AAACGGCAGAACTGGGTGGATGAC</t>
  </si>
  <si>
    <t xml:space="preserve">TTGAGCAGGCCTTCAGCCCA</t>
  </si>
  <si>
    <t xml:space="preserve">TAGTTTGAGCAGGCCTTCAGCCCA</t>
  </si>
  <si>
    <t xml:space="preserve">AAACTGGGCTGAAGGCCTGCTCAA</t>
  </si>
  <si>
    <t xml:space="preserve">PSPPH_1441</t>
  </si>
  <si>
    <t xml:space="preserve">ATCGGCATCAAGCTTGAGCG</t>
  </si>
  <si>
    <t xml:space="preserve">TAGTATCGGCATCAAGCTTGAGCG</t>
  </si>
  <si>
    <t xml:space="preserve">AAACCGCTCAAGCTTGATGCCGAT</t>
  </si>
  <si>
    <t xml:space="preserve">CTGCCGCTGGCATTCGCCAT</t>
  </si>
  <si>
    <t xml:space="preserve">TAGTCTGCCGCTGGCATTCGCCAT</t>
  </si>
  <si>
    <t xml:space="preserve">AAACATGGCGAATGCCAGCGGCAG</t>
  </si>
  <si>
    <t xml:space="preserve">AACCAGCAACGCCAGCACGC</t>
  </si>
  <si>
    <t xml:space="preserve">TAGTAACCAGCAACGCCAGCACGC</t>
  </si>
  <si>
    <t xml:space="preserve">AAACGCGTGCTGGCGTTGCTGGTT</t>
  </si>
  <si>
    <t xml:space="preserve">TGACGCAACGCGCGGTTTTC</t>
  </si>
  <si>
    <t xml:space="preserve">TAGTTGACGCAACGCGCGGTTTTC</t>
  </si>
  <si>
    <t xml:space="preserve">AAACGAAAACCGCGCGTTGCGTCA</t>
  </si>
  <si>
    <t xml:space="preserve">PSPPH_1443</t>
  </si>
  <si>
    <t xml:space="preserve">hopAF1</t>
  </si>
  <si>
    <t xml:space="preserve">GGTTTACGGGCACTTCCCAG</t>
  </si>
  <si>
    <t xml:space="preserve">TAGTGGTTTACGGGCACTTCCCAG</t>
  </si>
  <si>
    <t xml:space="preserve">AAACCTGGGAAGTGCCCGTAAACC</t>
  </si>
  <si>
    <t xml:space="preserve">ATACAGCTCTGACGTTTGAA</t>
  </si>
  <si>
    <t xml:space="preserve">TAGTATACAGCTCTGACGTTTGAA</t>
  </si>
  <si>
    <t xml:space="preserve">AAACTTCAAACGTCAGAGCTGTAT</t>
  </si>
  <si>
    <t xml:space="preserve">CGCAGATGCCGTTTGATGAC</t>
  </si>
  <si>
    <t xml:space="preserve">TAGTCGCAGATGCCGTTTGATGAC</t>
  </si>
  <si>
    <t xml:space="preserve">AAACGTCATCAAACGGCATCTGCG</t>
  </si>
  <si>
    <t xml:space="preserve">ACGTTCGTCCACCTTGTCTG</t>
  </si>
  <si>
    <t xml:space="preserve">TAGTACGTTCGTCCACCTTGTCTG</t>
  </si>
  <si>
    <t xml:space="preserve">AAACCAGACAAGGTGGACGAACGT</t>
  </si>
  <si>
    <t xml:space="preserve">PSPPH_1444</t>
  </si>
  <si>
    <t xml:space="preserve">TGAATTCAGTGGAAAGGTTA</t>
  </si>
  <si>
    <t xml:space="preserve">TAGTTGAATTCAGTGGAAAGGTTA</t>
  </si>
  <si>
    <t xml:space="preserve">AAACTAACCTTTCCACTGAATTCA</t>
  </si>
  <si>
    <t xml:space="preserve">GCGAACGTGAGGCCTCGATG</t>
  </si>
  <si>
    <t xml:space="preserve">TAGTGCGAACGTGAGGCCTCGATG</t>
  </si>
  <si>
    <t xml:space="preserve">AAACCATCGAGGCCTCACGTTCGC</t>
  </si>
  <si>
    <t xml:space="preserve">PSPPH_1445</t>
  </si>
  <si>
    <t xml:space="preserve">AATCACGGTCCGTCCGCTTC</t>
  </si>
  <si>
    <t xml:space="preserve">TAGTAATCACGGTCCGTCCGCTTC</t>
  </si>
  <si>
    <t xml:space="preserve">AAACGAAGCGGACGGACCGTGATT</t>
  </si>
  <si>
    <t xml:space="preserve">PSPPH_1448</t>
  </si>
  <si>
    <t xml:space="preserve">CAGCAGGCAGGTAGCAATTG</t>
  </si>
  <si>
    <t xml:space="preserve">TAGTCAGCAGGCAGGTAGCAATTG</t>
  </si>
  <si>
    <t xml:space="preserve">AAACCAATTGCTACCTGCCTGCTG</t>
  </si>
  <si>
    <t xml:space="preserve">TTCCGCCGCTTGAGAGGTCA</t>
  </si>
  <si>
    <t xml:space="preserve">TAGTTTCCGCCGCTTGAGAGGTCA</t>
  </si>
  <si>
    <t xml:space="preserve">AAACTGACCTCTCAAGCGGCGGAA</t>
  </si>
  <si>
    <t xml:space="preserve">GTTCGATCTTCTCCACGGCA</t>
  </si>
  <si>
    <t xml:space="preserve">TAGTGTTCGATCTTCTCCACGGCA</t>
  </si>
  <si>
    <t xml:space="preserve">AAACTGCCGTGGAGAAGATCGAAC</t>
  </si>
  <si>
    <t xml:space="preserve">CCGCTCGCCCGGTATACACC</t>
  </si>
  <si>
    <t xml:space="preserve">TAGTCCGCTCGCCCGGTATACACC</t>
  </si>
  <si>
    <t xml:space="preserve">AAACGGTGTATACCGGGCGAGCGG</t>
  </si>
  <si>
    <t xml:space="preserve">PSPPH_1449</t>
  </si>
  <si>
    <t xml:space="preserve">CCACGTTCCAGTGTCGGGGT</t>
  </si>
  <si>
    <t xml:space="preserve">TAGTCCACGTTCCAGTGTCGGGGT</t>
  </si>
  <si>
    <t xml:space="preserve">AAACACCCCGACACTGGAACGTGG</t>
  </si>
  <si>
    <t xml:space="preserve">GCGGATCTGTGGTGACTGTC</t>
  </si>
  <si>
    <t xml:space="preserve">TAGTGCGGATCTGTGGTGACTGTC</t>
  </si>
  <si>
    <t xml:space="preserve">AAACGACAGTCACCACAGATCCGC</t>
  </si>
  <si>
    <t xml:space="preserve">GTGCGTCTGTTGCCAGAAAT</t>
  </si>
  <si>
    <t xml:space="preserve">TAGTGTGCGTCTGTTGCCAGAAAT</t>
  </si>
  <si>
    <t xml:space="preserve">AAACATTTCTGGCAACAGACGCAC</t>
  </si>
  <si>
    <t xml:space="preserve">CTAGAAAATGACCCGTATCG</t>
  </si>
  <si>
    <t xml:space="preserve">TAGTCTAGAAAATGACCCGTATCG</t>
  </si>
  <si>
    <t xml:space="preserve">AAACCGATACGGGTCATTTTCTAG</t>
  </si>
  <si>
    <t xml:space="preserve">PSPPH_1450</t>
  </si>
  <si>
    <t xml:space="preserve">CCTTGCCGTCGGTGTGGGTC</t>
  </si>
  <si>
    <t xml:space="preserve">TAGTCCTTGCCGTCGGTGTGGGTC</t>
  </si>
  <si>
    <t xml:space="preserve">AAACGACCCACACCGACGGCAAGG</t>
  </si>
  <si>
    <t xml:space="preserve">TGCGCAGCAGTTGGGTAGTC</t>
  </si>
  <si>
    <t xml:space="preserve">TAGTTGCGCAGCAGTTGGGTAGTC</t>
  </si>
  <si>
    <t xml:space="preserve">AAACGACTACCCAACTGCTGCGCA</t>
  </si>
  <si>
    <t xml:space="preserve">PSPPH_1451</t>
  </si>
  <si>
    <t xml:space="preserve">TTCGCCGTCGACCACTCGGC</t>
  </si>
  <si>
    <t xml:space="preserve">TAGTTTCGCCGTCGACCACTCGGC</t>
  </si>
  <si>
    <t xml:space="preserve">AAACGCCGAGTGGTCGACGGCGAA</t>
  </si>
  <si>
    <t xml:space="preserve">GGTACTTTCCACCTGCGTGT</t>
  </si>
  <si>
    <t xml:space="preserve">TAGTGGTACTTTCCACCTGCGTGT</t>
  </si>
  <si>
    <t xml:space="preserve">AAACACACGCAGGTGGAAAGTACC</t>
  </si>
  <si>
    <t xml:space="preserve">TCCAGCCAGCCTACTGGGTT</t>
  </si>
  <si>
    <t xml:space="preserve">TAGTTCCAGCCAGCCTACTGGGTT</t>
  </si>
  <si>
    <t xml:space="preserve">AAACAACCCAGTAGGCTGGCTGGA</t>
  </si>
  <si>
    <t xml:space="preserve">PSPPH_1452</t>
  </si>
  <si>
    <t xml:space="preserve">AGGGCTGTTCTTTTCAGTGA</t>
  </si>
  <si>
    <t xml:space="preserve">TAGTAGGGCTGTTCTTTTCAGTGA</t>
  </si>
  <si>
    <t xml:space="preserve">AAACTCACTGAAAAGAACAGCCCT</t>
  </si>
  <si>
    <t xml:space="preserve">TCTATTTCATTTACGTTGGC</t>
  </si>
  <si>
    <t xml:space="preserve">TAGTTCTATTTCATTTACGTTGGC</t>
  </si>
  <si>
    <t xml:space="preserve">AAACGCCAACGTAAATGAAATAGA</t>
  </si>
  <si>
    <t xml:space="preserve">GATTCCTAACTCTTTGCAGA</t>
  </si>
  <si>
    <t xml:space="preserve">TAGTGATTCCTAACTCTTTGCAGA</t>
  </si>
  <si>
    <t xml:space="preserve">AAACTCTGCAAAGAGTTAGGAATC</t>
  </si>
  <si>
    <t xml:space="preserve">CGCTCGACAATTTGATCAGT</t>
  </si>
  <si>
    <t xml:space="preserve">TAGTCGCTCGACAATTTGATCAGT</t>
  </si>
  <si>
    <t xml:space="preserve">AAACACTGATCAAATTGTCGAGCG</t>
  </si>
  <si>
    <t xml:space="preserve">PSPPH_1453</t>
  </si>
  <si>
    <t xml:space="preserve">ATTCGTAGCGGCGGTGAATG</t>
  </si>
  <si>
    <t xml:space="preserve">TAGTATTCGTAGCGGCGGTGAATG</t>
  </si>
  <si>
    <t xml:space="preserve">AAACCATTCACCGCCGCTACGAAT</t>
  </si>
  <si>
    <t xml:space="preserve">AGGCTGTCGTACTGACAGCC</t>
  </si>
  <si>
    <t xml:space="preserve">TAGTAGGCTGTCGTACTGACAGCC</t>
  </si>
  <si>
    <t xml:space="preserve">AAACGGCTGTCAGTACGACAGCCT</t>
  </si>
  <si>
    <t xml:space="preserve">GTTTGGCAACGCGTCGGCCA</t>
  </si>
  <si>
    <t xml:space="preserve">TAGTGTTTGGCAACGCGTCGGCCA</t>
  </si>
  <si>
    <t xml:space="preserve">AAACTGGCCGACGCGTTGCCAAAC</t>
  </si>
  <si>
    <t xml:space="preserve">GGAAGCGTTTGTGATCGGTC</t>
  </si>
  <si>
    <t xml:space="preserve">TAGTGGAAGCGTTTGTGATCGGTC</t>
  </si>
  <si>
    <t xml:space="preserve">AAACGACCGATCACAAACGCTTCC</t>
  </si>
  <si>
    <t xml:space="preserve">PSPPH_1454</t>
  </si>
  <si>
    <t xml:space="preserve">CGGGGCCGACACATTAGAAA</t>
  </si>
  <si>
    <t xml:space="preserve">TAGTCGGGGCCGACACATTAGAAA</t>
  </si>
  <si>
    <t xml:space="preserve">AAACTTTCTAATGTGTCGGCCCCG</t>
  </si>
  <si>
    <t xml:space="preserve">GAGAAAACCACGCCATGCTG</t>
  </si>
  <si>
    <t xml:space="preserve">TAGTGAGAAAACCACGCCATGCTG</t>
  </si>
  <si>
    <t xml:space="preserve">AAACCAGCATGGCGTGGTTTTCTC</t>
  </si>
  <si>
    <t xml:space="preserve">GGGATGGTCGAGCGACTTCG</t>
  </si>
  <si>
    <t xml:space="preserve">TAGTGGGATGGTCGAGCGACTTCG</t>
  </si>
  <si>
    <t xml:space="preserve">AAACCGAAGTCGCTCGACCATCCC</t>
  </si>
  <si>
    <t xml:space="preserve">GCTTCTTTAAACGCCCGCTC</t>
  </si>
  <si>
    <t xml:space="preserve">TAGTGCTTCTTTAAACGCCCGCTC</t>
  </si>
  <si>
    <t xml:space="preserve">AAACGAGCGGGCGTTTAAAGAAGC</t>
  </si>
  <si>
    <t xml:space="preserve">PSPPH_1455</t>
  </si>
  <si>
    <t xml:space="preserve">GCCTATACCGCGGGTACCGC</t>
  </si>
  <si>
    <t xml:space="preserve">TAGTGCCTATACCGCGGGTACCGC</t>
  </si>
  <si>
    <t xml:space="preserve">AAACGCGGTACCCGCGGTATAGGC</t>
  </si>
  <si>
    <t xml:space="preserve">GAAAGCGGCGGGCGAGTTCA</t>
  </si>
  <si>
    <t xml:space="preserve">TAGTGAAAGCGGCGGGCGAGTTCA</t>
  </si>
  <si>
    <t xml:space="preserve">AAACTGAACTCGCCCGCCGCTTTC</t>
  </si>
  <si>
    <t xml:space="preserve">AACGATGACCACATTTACCA</t>
  </si>
  <si>
    <t xml:space="preserve">TAGTAACGATGACCACATTTACCA</t>
  </si>
  <si>
    <t xml:space="preserve">AAACTGGTAAATGTGGTCATCGTT</t>
  </si>
  <si>
    <t xml:space="preserve">TACATCCGGCAACTCGCGCT</t>
  </si>
  <si>
    <t xml:space="preserve">TAGTTACATCCGGCAACTCGCGCT</t>
  </si>
  <si>
    <t xml:space="preserve">AAACAGCGCGAGTTGCCGGATGTA</t>
  </si>
  <si>
    <t xml:space="preserve">PSPPH_1456</t>
  </si>
  <si>
    <t xml:space="preserve">TTCAAACAAACGATGACTTC</t>
  </si>
  <si>
    <t xml:space="preserve">TAGTTTCAAACAAACGATGACTTC</t>
  </si>
  <si>
    <t xml:space="preserve">AAACGAAGTCATCGTTTGTTTGAA</t>
  </si>
  <si>
    <t xml:space="preserve">GGTCGCAACATCGCGGCGGA</t>
  </si>
  <si>
    <t xml:space="preserve">TAGTGGTCGCAACATCGCGGCGGA</t>
  </si>
  <si>
    <t xml:space="preserve">AAACTCCGCCGCGATGTTGCGACC</t>
  </si>
  <si>
    <t xml:space="preserve">ATCAGCACCCATGCCTTGCA</t>
  </si>
  <si>
    <t xml:space="preserve">TAGTATCAGCACCCATGCCTTGCA</t>
  </si>
  <si>
    <t xml:space="preserve">AAACTGCAAGGCATGGGTGCTGAT</t>
  </si>
  <si>
    <t xml:space="preserve">TTGAGGATGTACCCCAGGCC</t>
  </si>
  <si>
    <t xml:space="preserve">TAGTTTGAGGATGTACCCCAGGCC</t>
  </si>
  <si>
    <t xml:space="preserve">AAACGGCCTGGGGTACATCCTCAA</t>
  </si>
  <si>
    <t xml:space="preserve">PSPPH_1457</t>
  </si>
  <si>
    <t xml:space="preserve">CCCGGCCTGGTCGAAATCCG</t>
  </si>
  <si>
    <t xml:space="preserve">TAGTCCCGGCCTGGTCGAAATCCG</t>
  </si>
  <si>
    <t xml:space="preserve">AAACCGGATTTCGACCAGGCCGGG</t>
  </si>
  <si>
    <t xml:space="preserve">ACTTGCCGGGGCCAGGATTC</t>
  </si>
  <si>
    <t xml:space="preserve">TAGTACTTGCCGGGGCCAGGATTC</t>
  </si>
  <si>
    <t xml:space="preserve">AAACGAATCCTGGCCCCGGCAAGT</t>
  </si>
  <si>
    <t xml:space="preserve">CTTGAGCCTGCGATCGAAGA</t>
  </si>
  <si>
    <t xml:space="preserve">TAGTCTTGAGCCTGCGATCGAAGA</t>
  </si>
  <si>
    <t xml:space="preserve">AAACTCTTCGATCGCAGGCTCAAG</t>
  </si>
  <si>
    <t xml:space="preserve">ACGCGTGGCGAACCTATGAT</t>
  </si>
  <si>
    <t xml:space="preserve">TAGTACGCGTGGCGAACCTATGAT</t>
  </si>
  <si>
    <t xml:space="preserve">AAACATCATAGGTTCGCCACGCGT</t>
  </si>
  <si>
    <t xml:space="preserve">PSPPH_1458</t>
  </si>
  <si>
    <t xml:space="preserve">GCAGGGTGCGCAGGGCGTGC</t>
  </si>
  <si>
    <t xml:space="preserve">TAGTGCAGGGTGCGCAGGGCGTGC</t>
  </si>
  <si>
    <t xml:space="preserve">AAACGCACGCCCTGCGCACCCTGC</t>
  </si>
  <si>
    <t xml:space="preserve">CAGGTGGTAGTGCATGGCCC</t>
  </si>
  <si>
    <t xml:space="preserve">TAGTCAGGTGGTAGTGCATGGCCC</t>
  </si>
  <si>
    <t xml:space="preserve">AAACGGGCCATGCACTACCACCTG</t>
  </si>
  <si>
    <t xml:space="preserve">TGCCAAGCCCCGTGGCGTCG</t>
  </si>
  <si>
    <t xml:space="preserve">TAGTTGCCAAGCCCCGTGGCGTCG</t>
  </si>
  <si>
    <t xml:space="preserve">AAACCGACGCCACGGGGCTTGGCA</t>
  </si>
  <si>
    <t xml:space="preserve">CGATGAAACCGTCTTCGACG</t>
  </si>
  <si>
    <t xml:space="preserve">TAGTCGATGAAACCGTCTTCGACG</t>
  </si>
  <si>
    <t xml:space="preserve">AAACCGTCGAAGACGGTTTCATCG</t>
  </si>
  <si>
    <t xml:space="preserve">PSPPH_1459</t>
  </si>
  <si>
    <t xml:space="preserve">CCAGCGGGACGCTGAATAAC</t>
  </si>
  <si>
    <t xml:space="preserve">TAGTCCAGCGGGACGCTGAATAAC</t>
  </si>
  <si>
    <t xml:space="preserve">AAACGTTATTCAGCGTCCCGCTGG</t>
  </si>
  <si>
    <t xml:space="preserve">GTCCGAGATGGAAAAAGTGT</t>
  </si>
  <si>
    <t xml:space="preserve">TAGTGTCCGAGATGGAAAAAGTGT</t>
  </si>
  <si>
    <t xml:space="preserve">AAACACACTTTTTCCATCTCGGAC</t>
  </si>
  <si>
    <t xml:space="preserve">CCCGTTGCAGGCCGTTGACG</t>
  </si>
  <si>
    <t xml:space="preserve">TAGTCCCGTTGCAGGCCGTTGACG</t>
  </si>
  <si>
    <t xml:space="preserve">AAACCGTCAACGGCCTGCAACGGG</t>
  </si>
  <si>
    <t xml:space="preserve">CAGCGCAGCGAATACGCTGC</t>
  </si>
  <si>
    <t xml:space="preserve">TAGTCAGCGCAGCGAATACGCTGC</t>
  </si>
  <si>
    <t xml:space="preserve">AAACGCAGCGTATTCGCTGCGCTG</t>
  </si>
  <si>
    <t xml:space="preserve">PSPPH_1460</t>
  </si>
  <si>
    <t xml:space="preserve">cpxR</t>
  </si>
  <si>
    <t xml:space="preserve">GACAAGCAATACGGAAGTCA</t>
  </si>
  <si>
    <t xml:space="preserve">TAGTGACAAGCAATACGGAAGTCA</t>
  </si>
  <si>
    <t xml:space="preserve">AAACTGACTTCCGTATTGCTTGTC</t>
  </si>
  <si>
    <t xml:space="preserve">CGTCGAAGCTTTCACGGGTC</t>
  </si>
  <si>
    <t xml:space="preserve">TAGTCGTCGAAGCTTTCACGGGTC</t>
  </si>
  <si>
    <t xml:space="preserve">AAACGACCCGTGAAAGCTTCGACG</t>
  </si>
  <si>
    <t xml:space="preserve">CTCTTCAGCGCTGTTGGTGC</t>
  </si>
  <si>
    <t xml:space="preserve">TAGTCTCTTCAGCGCTGTTGGTGC</t>
  </si>
  <si>
    <t xml:space="preserve">AAACGCACCAACAGCGCTGAAGAG</t>
  </si>
  <si>
    <t xml:space="preserve">GATGTCGTGACGCCCGGACA</t>
  </si>
  <si>
    <t xml:space="preserve">TAGTGATGTCGTGACGCCCGGACA</t>
  </si>
  <si>
    <t xml:space="preserve">AAACTGTCCGGGCGTCACGACATC</t>
  </si>
  <si>
    <t xml:space="preserve">PSPPH_1461</t>
  </si>
  <si>
    <t xml:space="preserve">CAAGCCCGCACCGACCATGA</t>
  </si>
  <si>
    <t xml:space="preserve">TAGTCAAGCCCGCACCGACCATGA</t>
  </si>
  <si>
    <t xml:space="preserve">AAACTCATGGTCGGTGCGGGCTTG</t>
  </si>
  <si>
    <t xml:space="preserve">GGGGTCGCCCGGTCCTGACC</t>
  </si>
  <si>
    <t xml:space="preserve">TAGTGGGGTCGCCCGGTCCTGACC</t>
  </si>
  <si>
    <t xml:space="preserve">AAACGGTCAGGACCGGGCGACCCC</t>
  </si>
  <si>
    <t xml:space="preserve">TCGAACACGGTGCTGAACGA</t>
  </si>
  <si>
    <t xml:space="preserve">TAGTTCGAACACGGTGCTGAACGA</t>
  </si>
  <si>
    <t xml:space="preserve">AAACTCGTTCAGCACCGTGTTCGA</t>
  </si>
  <si>
    <t xml:space="preserve">TCGAGCAACGCCTGCCCTGC</t>
  </si>
  <si>
    <t xml:space="preserve">TAGTTCGAGCAACGCCTGCCCTGC</t>
  </si>
  <si>
    <t xml:space="preserve">AAACGCAGGGCAGGCGTTGCTCGA</t>
  </si>
  <si>
    <t xml:space="preserve">PSPPH_1462</t>
  </si>
  <si>
    <t xml:space="preserve">srmB</t>
  </si>
  <si>
    <t xml:space="preserve">AGGGCGAATTCGGAAAACAC</t>
  </si>
  <si>
    <t xml:space="preserve">TAGTAGGGCGAATTCGGAAAACAC</t>
  </si>
  <si>
    <t xml:space="preserve">AAACGTGTTTTCCGAATTCGCCCT</t>
  </si>
  <si>
    <t xml:space="preserve">CTTTAAGCAGGCGTTCGTGC</t>
  </si>
  <si>
    <t xml:space="preserve">TAGTCTTTAAGCAGGCGTTCGTGC</t>
  </si>
  <si>
    <t xml:space="preserve">AAACGCACGAACGCCTGCTTAAAG</t>
  </si>
  <si>
    <t xml:space="preserve">AGGCTCGACAAATTTAAGCT</t>
  </si>
  <si>
    <t xml:space="preserve">TAGTAGGCTCGACAAATTTAAGCT</t>
  </si>
  <si>
    <t xml:space="preserve">AAACAGCTTAAATTTGTCGAGCCT</t>
  </si>
  <si>
    <t xml:space="preserve">GCGGCCGCCTGCACAGGCGT</t>
  </si>
  <si>
    <t xml:space="preserve">TAGTGCGGCCGCCTGCACAGGCGT</t>
  </si>
  <si>
    <t xml:space="preserve">AAACACGCCTGTGCAGGCGGCCGC</t>
  </si>
  <si>
    <t xml:space="preserve">PSPPH_1463</t>
  </si>
  <si>
    <t xml:space="preserve">AACGGGGGGTTGTTCTGCAC</t>
  </si>
  <si>
    <t xml:space="preserve">TAGTAACGGGGGGTTGTTCTGCAC</t>
  </si>
  <si>
    <t xml:space="preserve">AAACGTGCAGAACAACCCCCCGTT</t>
  </si>
  <si>
    <t xml:space="preserve">GGTTCAGAGAAGCTGCTGGA</t>
  </si>
  <si>
    <t xml:space="preserve">TAGTGGTTCAGAGAAGCTGCTGGA</t>
  </si>
  <si>
    <t xml:space="preserve">AAACTCCAGCAGCTTCTCTGAACC</t>
  </si>
  <si>
    <t xml:space="preserve">GTGACCTGCGGGGTTTGTCG</t>
  </si>
  <si>
    <t xml:space="preserve">TAGTGTGACCTGCGGGGTTTGTCG</t>
  </si>
  <si>
    <t xml:space="preserve">AAACCGACAAACCCCGCAGGTCAC</t>
  </si>
  <si>
    <t xml:space="preserve">CGCCCATGACATCCAGCCAC</t>
  </si>
  <si>
    <t xml:space="preserve">TAGTCGCCCATGACATCCAGCCAC</t>
  </si>
  <si>
    <t xml:space="preserve">AAACGTGGCTGGATGTCATGGGCG</t>
  </si>
  <si>
    <t xml:space="preserve">PSPPH_1464</t>
  </si>
  <si>
    <t xml:space="preserve">GGTCATCAACAGGGTGATGA</t>
  </si>
  <si>
    <t xml:space="preserve">TAGTGGTCATCAACAGGGTGATGA</t>
  </si>
  <si>
    <t xml:space="preserve">AAACTCATCACCCTGTTGATGACC</t>
  </si>
  <si>
    <t xml:space="preserve">GCATCCTGCAAGCAGCGCAG</t>
  </si>
  <si>
    <t xml:space="preserve">TAGTGCATCCTGCAAGCAGCGCAG</t>
  </si>
  <si>
    <t xml:space="preserve">AAACCTGCGCTGCTTGCAGGATGC</t>
  </si>
  <si>
    <t xml:space="preserve">GGTAGTCGCTGAGCGTCCAC</t>
  </si>
  <si>
    <t xml:space="preserve">TAGTGGTAGTCGCTGAGCGTCCAC</t>
  </si>
  <si>
    <t xml:space="preserve">AAACGTGGACGCTCAGCGACTACC</t>
  </si>
  <si>
    <t xml:space="preserve">TCTGTTCCGAATTCATGTCC</t>
  </si>
  <si>
    <t xml:space="preserve">TAGTTCTGTTCCGAATTCATGTCC</t>
  </si>
  <si>
    <t xml:space="preserve">AAACGGACATGAATTCGGAACAGA</t>
  </si>
  <si>
    <t xml:space="preserve">PSPPH_1465</t>
  </si>
  <si>
    <t xml:space="preserve">ATGTAAGCGATGGCTGAGCA</t>
  </si>
  <si>
    <t xml:space="preserve">TAGTATGTAAGCGATGGCTGAGCA</t>
  </si>
  <si>
    <t xml:space="preserve">AAACTGCTCAGCCATCGCTTACAT</t>
  </si>
  <si>
    <t xml:space="preserve">GACGGACTGACAGACAAGCA</t>
  </si>
  <si>
    <t xml:space="preserve">TAGTGACGGACTGACAGACAAGCA</t>
  </si>
  <si>
    <t xml:space="preserve">AAACTGCTTGTCTGTCAGTCCGTC</t>
  </si>
  <si>
    <t xml:space="preserve">CAAATCCCGCTCCAGAACCT</t>
  </si>
  <si>
    <t xml:space="preserve">TAGTCAAATCCCGCTCCAGAACCT</t>
  </si>
  <si>
    <t xml:space="preserve">AAACAGGTTCTGGAGCGGGATTTG</t>
  </si>
  <si>
    <t xml:space="preserve">TGGGCGTAGTTGCCAGTTTC</t>
  </si>
  <si>
    <t xml:space="preserve">TAGTTGGGCGTAGTTGCCAGTTTC</t>
  </si>
  <si>
    <t xml:space="preserve">AAACGAAACTGGCAACTACGCCCA</t>
  </si>
  <si>
    <t xml:space="preserve">PSPPH_1466</t>
  </si>
  <si>
    <t xml:space="preserve">CCAGAGCGTGATCCAGCTCG</t>
  </si>
  <si>
    <t xml:space="preserve">TAGTCCAGAGCGTGATCCAGCTCG</t>
  </si>
  <si>
    <t xml:space="preserve">AAACCGAGCTGGATCACGCTCTGG</t>
  </si>
  <si>
    <t xml:space="preserve">TTCATTCGAGCATTCCACAA</t>
  </si>
  <si>
    <t xml:space="preserve">TAGTTTCATTCGAGCATTCCACAA</t>
  </si>
  <si>
    <t xml:space="preserve">AAACTTGTGGAATGCTCGAATGAA</t>
  </si>
  <si>
    <t xml:space="preserve">GGTGCGATGCGCAGCCGCCA</t>
  </si>
  <si>
    <t xml:space="preserve">TAGTGGTGCGATGCGCAGCCGCCA</t>
  </si>
  <si>
    <t xml:space="preserve">AAACTGGCGGCTGCGCATCGCACC</t>
  </si>
  <si>
    <t xml:space="preserve">CATTGGGACCGTTTTCGCAG</t>
  </si>
  <si>
    <t xml:space="preserve">TAGTCATTGGGACCGTTTTCGCAG</t>
  </si>
  <si>
    <t xml:space="preserve">AAACCTGCGAAAACGGTCCCAATG</t>
  </si>
  <si>
    <t xml:space="preserve">PSPPH_1467</t>
  </si>
  <si>
    <t xml:space="preserve">GTGGGATGCTTTGATACGCA</t>
  </si>
  <si>
    <t xml:space="preserve">TAGTGTGGGATGCTTTGATACGCA</t>
  </si>
  <si>
    <t xml:space="preserve">AAACTGCGTATCAAAGCATCCCAC</t>
  </si>
  <si>
    <t xml:space="preserve">TTCAACGGCTGGGGCGGGTT</t>
  </si>
  <si>
    <t xml:space="preserve">TAGTTTCAACGGCTGGGGCGGGTT</t>
  </si>
  <si>
    <t xml:space="preserve">AAACAACCCGCCCCAGCCGTTGAA</t>
  </si>
  <si>
    <t xml:space="preserve">GGATTTCACCGCCGGACTTC</t>
  </si>
  <si>
    <t xml:space="preserve">TAGTGGATTTCACCGCCGGACTTC</t>
  </si>
  <si>
    <t xml:space="preserve">AAACGAAGTCCGGCGGTGAAATCC</t>
  </si>
  <si>
    <t xml:space="preserve">TCACGCCTTTGGCAATTTGC</t>
  </si>
  <si>
    <t xml:space="preserve">TAGTTCACGCCTTTGGCAATTTGC</t>
  </si>
  <si>
    <t xml:space="preserve">AAACGCAAATTGCCAAAGGCGTGA</t>
  </si>
  <si>
    <t xml:space="preserve">PSPPH_1468</t>
  </si>
  <si>
    <t xml:space="preserve">GGATGTACCGATTGGGCAGA</t>
  </si>
  <si>
    <t xml:space="preserve">TAGTGGATGTACCGATTGGGCAGA</t>
  </si>
  <si>
    <t xml:space="preserve">AAACTCTGCCCAATCGGTACATCC</t>
  </si>
  <si>
    <t xml:space="preserve">CTTCAGTAGGAATATCCTTG</t>
  </si>
  <si>
    <t xml:space="preserve">TAGTCTTCAGTAGGAATATCCTTG</t>
  </si>
  <si>
    <t xml:space="preserve">AAACCAAGGATATTCCTACTGAAG</t>
  </si>
  <si>
    <t xml:space="preserve">CACTTTGGGTTTTTCAGTGG</t>
  </si>
  <si>
    <t xml:space="preserve">TAGTCACTTTGGGTTTTTCAGTGG</t>
  </si>
  <si>
    <t xml:space="preserve">AAACCCACTGAAAAACCCAAAGTG</t>
  </si>
  <si>
    <t xml:space="preserve">GACTTCAACCACCTTGAGGC</t>
  </si>
  <si>
    <t xml:space="preserve">TAGTGACTTCAACCACCTTGAGGC</t>
  </si>
  <si>
    <t xml:space="preserve">AAACGCCTCAAGGTGGTTGAAGTC</t>
  </si>
  <si>
    <t xml:space="preserve">PSPPH_1469</t>
  </si>
  <si>
    <t xml:space="preserve">GCCGTGAGTATTCTTTTCAT</t>
  </si>
  <si>
    <t xml:space="preserve">TAGTGCCGTGAGTATTCTTTTCAT</t>
  </si>
  <si>
    <t xml:space="preserve">AAACATGAAAAGAATACTCACGGC</t>
  </si>
  <si>
    <t xml:space="preserve">GAAACGCCAGTAACGTGCCG</t>
  </si>
  <si>
    <t xml:space="preserve">TAGTGAAACGCCAGTAACGTGCCG</t>
  </si>
  <si>
    <t xml:space="preserve">AAACCGGCACGTTACTGGCGTTTC</t>
  </si>
  <si>
    <t xml:space="preserve">CGCCCAGCCACAACCCGTCG</t>
  </si>
  <si>
    <t xml:space="preserve">TAGTCGCCCAGCCACAACCCGTCG</t>
  </si>
  <si>
    <t xml:space="preserve">AAACCGACGGGTTGTGGCTGGGCG</t>
  </si>
  <si>
    <t xml:space="preserve">CACGGTAGGTCGGCCCCATG</t>
  </si>
  <si>
    <t xml:space="preserve">TAGTCACGGTAGGTCGGCCCCATG</t>
  </si>
  <si>
    <t xml:space="preserve">AAACCATGGGGCCGACCTACCGTG</t>
  </si>
  <si>
    <t xml:space="preserve">PSPPH_1470</t>
  </si>
  <si>
    <t xml:space="preserve">CATTGCAAATGGCAGACGAG</t>
  </si>
  <si>
    <t xml:space="preserve">TAGTCATTGCAAATGGCAGACGAG</t>
  </si>
  <si>
    <t xml:space="preserve">AAACCTCGTCTGCCATTTGCAATG</t>
  </si>
  <si>
    <t xml:space="preserve">CGATGCAAACTCGCCGTCGG</t>
  </si>
  <si>
    <t xml:space="preserve">TAGTCGATGCAAACTCGCCGTCGG</t>
  </si>
  <si>
    <t xml:space="preserve">AAACCCGACGGCGAGTTTGCATCG</t>
  </si>
  <si>
    <t xml:space="preserve">TCGGCCCTGCCGGACAACAG</t>
  </si>
  <si>
    <t xml:space="preserve">TAGTTCGGCCCTGCCGGACAACAG</t>
  </si>
  <si>
    <t xml:space="preserve">AAACCTGTTGTCCGGCAGGGCCGA</t>
  </si>
  <si>
    <t xml:space="preserve">GTCCTGGTTTCTGCGTGCAA</t>
  </si>
  <si>
    <t xml:space="preserve">TAGTGTCCTGGTTTCTGCGTGCAA</t>
  </si>
  <si>
    <t xml:space="preserve">AAACTTGCACGCAGAAACCAGGAC</t>
  </si>
  <si>
    <t xml:space="preserve">PSPPH_1471</t>
  </si>
  <si>
    <t xml:space="preserve">CATACCTTTGGCTTTATCGC</t>
  </si>
  <si>
    <t xml:space="preserve">TAGTCATACCTTTGGCTTTATCGC</t>
  </si>
  <si>
    <t xml:space="preserve">AAACGCGATAAAGCCAAAGGTATG</t>
  </si>
  <si>
    <t xml:space="preserve">GACGTTACCAACGGCTTCGT</t>
  </si>
  <si>
    <t xml:space="preserve">TAGTGACGTTACCAACGGCTTCGT</t>
  </si>
  <si>
    <t xml:space="preserve">AAACACGAAGCCGTTGGTAACGTC</t>
  </si>
  <si>
    <t xml:space="preserve">AGCCCGCAGTTTGGTGTTGT</t>
  </si>
  <si>
    <t xml:space="preserve">TAGTAGCCCGCAGTTTGGTGTTGT</t>
  </si>
  <si>
    <t xml:space="preserve">AAACACAACACCAAACTGCGGGCT</t>
  </si>
  <si>
    <t xml:space="preserve">TGGCTTTGCCTTTGGCTTGC</t>
  </si>
  <si>
    <t xml:space="preserve">TAGTTGGCTTTGCCTTTGGCTTGC</t>
  </si>
  <si>
    <t xml:space="preserve">AAACGCAAGCCAAAGGCAAAGCCA</t>
  </si>
  <si>
    <t xml:space="preserve">PSPPH_1472</t>
  </si>
  <si>
    <t xml:space="preserve">ACGCAAATGGGGGAAAATCA</t>
  </si>
  <si>
    <t xml:space="preserve">TAGTACGCAAATGGGGGAAAATCA</t>
  </si>
  <si>
    <t xml:space="preserve">AAACTGATTTTCCCCCATTTGCGT</t>
  </si>
  <si>
    <t xml:space="preserve">GTCGTCGAGGAACTCGTTGA</t>
  </si>
  <si>
    <t xml:space="preserve">TAGTGTCGTCGAGGAACTCGTTGA</t>
  </si>
  <si>
    <t xml:space="preserve">AAACTCAACGAGTTCCTCGACGAC</t>
  </si>
  <si>
    <t xml:space="preserve">AGCCAGTGCCGAGGCGTAGG</t>
  </si>
  <si>
    <t xml:space="preserve">TAGTAGCCAGTGCCGAGGCGTAGG</t>
  </si>
  <si>
    <t xml:space="preserve">AAACCCTACGCCTCGGCACTGGCT</t>
  </si>
  <si>
    <t xml:space="preserve">GAAACAGAGAGAACAGCATC</t>
  </si>
  <si>
    <t xml:space="preserve">TAGTGAAACAGAGAGAACAGCATC</t>
  </si>
  <si>
    <t xml:space="preserve">AAACGATGCTGTTCTCTCTGTTTC</t>
  </si>
  <si>
    <t xml:space="preserve">PSPPH_1473</t>
  </si>
  <si>
    <t xml:space="preserve">def2</t>
  </si>
  <si>
    <t xml:space="preserve">TTTCAGGATGCTACGGATCA</t>
  </si>
  <si>
    <t xml:space="preserve">TAGTTTTCAGGATGCTACGGATCA</t>
  </si>
  <si>
    <t xml:space="preserve">AAACTGATCCGTAGCATCCTGAAA</t>
  </si>
  <si>
    <t xml:space="preserve">CCGGAGGGGCGATGCGCAAC</t>
  </si>
  <si>
    <t xml:space="preserve">TAGTCCGGAGGGGCGATGCGCAAC</t>
  </si>
  <si>
    <t xml:space="preserve">AAACGTTGCGCATCGCCCCTCCGG</t>
  </si>
  <si>
    <t xml:space="preserve">CTGCTGCCGAACATGTCTGC</t>
  </si>
  <si>
    <t xml:space="preserve">TAGTCTGCTGCCGAACATGTCTGC</t>
  </si>
  <si>
    <t xml:space="preserve">AAACGCAGACATGTTCGGCAGCAG</t>
  </si>
  <si>
    <t xml:space="preserve">GTGCATGGTCTCGAACATAT</t>
  </si>
  <si>
    <t xml:space="preserve">TAGTGTGCATGGTCTCGAACATAT</t>
  </si>
  <si>
    <t xml:space="preserve">AAACATATGTTCGAGACCATGCAC</t>
  </si>
  <si>
    <t xml:space="preserve">PSPPH_1474</t>
  </si>
  <si>
    <t xml:space="preserve">CATCGGGTAACGGGTAAAAG</t>
  </si>
  <si>
    <t xml:space="preserve">TAGTCATCGGGTAACGGGTAAAAG</t>
  </si>
  <si>
    <t xml:space="preserve">AAACCTTTTACCCGTTACCCGATG</t>
  </si>
  <si>
    <t xml:space="preserve">AAAACTTGCCCAACAGCGGG</t>
  </si>
  <si>
    <t xml:space="preserve">TAGTAAAACTTGCCCAACAGCGGG</t>
  </si>
  <si>
    <t xml:space="preserve">AAACCCCGCTGTTGGGCAAGTTTT</t>
  </si>
  <si>
    <t xml:space="preserve">GCATCGATGACTGGTGCTCG</t>
  </si>
  <si>
    <t xml:space="preserve">TAGTGCATCGATGACTGGTGCTCG</t>
  </si>
  <si>
    <t xml:space="preserve">AAACCGAGCACCAGTCATCGATGC</t>
  </si>
  <si>
    <t xml:space="preserve">CACCCACGCCTGCCCCTTGC</t>
  </si>
  <si>
    <t xml:space="preserve">TAGTCACCCACGCCTGCCCCTTGC</t>
  </si>
  <si>
    <t xml:space="preserve">AAACGCAAGGGGCAGGCGTGGGTG</t>
  </si>
  <si>
    <t xml:space="preserve">PSPPH_1475</t>
  </si>
  <si>
    <t xml:space="preserve">GTGAGCGCACCGAACTGGAT</t>
  </si>
  <si>
    <t xml:space="preserve">TAGTGTGAGCGCACCGAACTGGAT</t>
  </si>
  <si>
    <t xml:space="preserve">AAACATCCAGTTCGGTGCGCTCAC</t>
  </si>
  <si>
    <t xml:space="preserve">TACGCAGCACCTCGGTGATC</t>
  </si>
  <si>
    <t xml:space="preserve">TAGTTACGCAGCACCTCGGTGATC</t>
  </si>
  <si>
    <t xml:space="preserve">AAACGATCACCGAGGTGCTGCGTA</t>
  </si>
  <si>
    <t xml:space="preserve">GCCATAGCCTTTCTCGACAA</t>
  </si>
  <si>
    <t xml:space="preserve">TAGTGCCATAGCCTTTCTCGACAA</t>
  </si>
  <si>
    <t xml:space="preserve">AAACTTGTCGAGAAAGGCTATGGC</t>
  </si>
  <si>
    <t xml:space="preserve">TGCCGGGCAAGGTATCAGTA</t>
  </si>
  <si>
    <t xml:space="preserve">TAGTTGCCGGGCAAGGTATCAGTA</t>
  </si>
  <si>
    <t xml:space="preserve">AAACTACTGATACCTTGCCCGGCA</t>
  </si>
  <si>
    <t xml:space="preserve">PSPPH_1476</t>
  </si>
  <si>
    <t xml:space="preserve">GCCCTGGATGTAATCAGCCA</t>
  </si>
  <si>
    <t xml:space="preserve">TAGTGCCCTGGATGTAATCAGCCA</t>
  </si>
  <si>
    <t xml:space="preserve">AAACTGGCTGATTACATCCAGGGC</t>
  </si>
  <si>
    <t xml:space="preserve">GCAGGCCATGAGTGCCAGAC</t>
  </si>
  <si>
    <t xml:space="preserve">TAGTGCAGGCCATGAGTGCCAGAC</t>
  </si>
  <si>
    <t xml:space="preserve">AAACGTCTGGCACTCATGGCCTGC</t>
  </si>
  <si>
    <t xml:space="preserve">GGTGCATCGCGTCCAGGCAC</t>
  </si>
  <si>
    <t xml:space="preserve">TAGTGGTGCATCGCGTCCAGGCAC</t>
  </si>
  <si>
    <t xml:space="preserve">AAACGTGCCTGGACGCGATGCACC</t>
  </si>
  <si>
    <t xml:space="preserve">CCGCTTCTTCAGCATTGACC</t>
  </si>
  <si>
    <t xml:space="preserve">TAGTCCGCTTCTTCAGCATTGACC</t>
  </si>
  <si>
    <t xml:space="preserve">AAACGGTCAATGCTGAAGAAGCGG</t>
  </si>
  <si>
    <t xml:space="preserve">PSPPH_1477</t>
  </si>
  <si>
    <t xml:space="preserve">cdd</t>
  </si>
  <si>
    <t xml:space="preserve">AGCCTGCATGAATGCGTCCA</t>
  </si>
  <si>
    <t xml:space="preserve">TAGTAGCCTGCATGAATGCGTCCA</t>
  </si>
  <si>
    <t xml:space="preserve">AAACTGGACGCATTCATGCAGGCT</t>
  </si>
  <si>
    <t xml:space="preserve">TGAACAATGACCGAACCGAT</t>
  </si>
  <si>
    <t xml:space="preserve">TAGTTGAACAATGACCGAACCGAT</t>
  </si>
  <si>
    <t xml:space="preserve">AAACATCGGTTCGGTCATTGTTCA</t>
  </si>
  <si>
    <t xml:space="preserve">CACTGCCCTCTTGCACACGG</t>
  </si>
  <si>
    <t xml:space="preserve">TAGTCACTGCCCTCTTGCACACGG</t>
  </si>
  <si>
    <t xml:space="preserve">AAACCCGTGTGCAAGAGGGCAGTG</t>
  </si>
  <si>
    <t xml:space="preserve">GGCATCCATTTCGCCGTGCC</t>
  </si>
  <si>
    <t xml:space="preserve">TAGTGGCATCCATTTCGCCGTGCC</t>
  </si>
  <si>
    <t xml:space="preserve">AAACGGCACGGCGAAATGGATGCC</t>
  </si>
  <si>
    <t xml:space="preserve">PSPPH_1478</t>
  </si>
  <si>
    <t xml:space="preserve">est</t>
  </si>
  <si>
    <t xml:space="preserve">TATTGACGTTATTGCGCTGT</t>
  </si>
  <si>
    <t xml:space="preserve">TAGTTATTGACGTTATTGCGCTGT</t>
  </si>
  <si>
    <t xml:space="preserve">AAACACAGCGCAATAACGTCAATA</t>
  </si>
  <si>
    <t xml:space="preserve">TGAGCAAAAATCAGAGTGGC</t>
  </si>
  <si>
    <t xml:space="preserve">TAGTTGAGCAAAAATCAGAGTGGC</t>
  </si>
  <si>
    <t xml:space="preserve">AAACGCCACTCTGATTTTTGCTCA</t>
  </si>
  <si>
    <t xml:space="preserve">TTGAAGCGTTCGGCGAAGTG</t>
  </si>
  <si>
    <t xml:space="preserve">TAGTTTGAAGCGTTCGGCGAAGTG</t>
  </si>
  <si>
    <t xml:space="preserve">AAACCACTTCGCCGAACGCTTCAA</t>
  </si>
  <si>
    <t xml:space="preserve">CGGAATCTCCGCTGCCTACA</t>
  </si>
  <si>
    <t xml:space="preserve">TAGTCGGAATCTCCGCTGCCTACA</t>
  </si>
  <si>
    <t xml:space="preserve">AAACTGTAGGCAGCGGAGATTCCG</t>
  </si>
  <si>
    <t xml:space="preserve">PSPPH_1479</t>
  </si>
  <si>
    <t xml:space="preserve">TCGTACAGGTCTTCTGTCAC</t>
  </si>
  <si>
    <t xml:space="preserve">TAGTTCGTACAGGTCTTCTGTCAC</t>
  </si>
  <si>
    <t xml:space="preserve">AAACGTGACAGAAGACCTGTACGA</t>
  </si>
  <si>
    <t xml:space="preserve">CTCAATGGTGCCATTGGGCA</t>
  </si>
  <si>
    <t xml:space="preserve">TAGTCTCAATGGTGCCATTGGGCA</t>
  </si>
  <si>
    <t xml:space="preserve">AAACTGCCCAATGGCACCATTGAG</t>
  </si>
  <si>
    <t xml:space="preserve">CCAACGGCAGAACGTCAGAT</t>
  </si>
  <si>
    <t xml:space="preserve">TAGTCCAACGGCAGAACGTCAGAT</t>
  </si>
  <si>
    <t xml:space="preserve">AAACATCTGACGTTCTGCCGTTGG</t>
  </si>
  <si>
    <t xml:space="preserve">CCAGAACAGTTTCACGCTCA</t>
  </si>
  <si>
    <t xml:space="preserve">TAGTCCAGAACAGTTTCACGCTCA</t>
  </si>
  <si>
    <t xml:space="preserve">AAACTGAGCGTGAAACTGTTCTGG</t>
  </si>
  <si>
    <t xml:space="preserve">PSPPH_1480</t>
  </si>
  <si>
    <t xml:space="preserve">ATTTGAAATGGATTGCCGCA</t>
  </si>
  <si>
    <t xml:space="preserve">TAGTATTTGAAATGGATTGCCGCA</t>
  </si>
  <si>
    <t xml:space="preserve">AAACTGCGGCAATCCATTTCAAAT</t>
  </si>
  <si>
    <t xml:space="preserve">CGCGCTGATCCGGCTTATCT</t>
  </si>
  <si>
    <t xml:space="preserve">TAGTCGCGCTGATCCGGCTTATCT</t>
  </si>
  <si>
    <t xml:space="preserve">AAACAGATAAGCCGGATCAGCGCG</t>
  </si>
  <si>
    <t xml:space="preserve">GTGATGACTTGCAGGATGGC</t>
  </si>
  <si>
    <t xml:space="preserve">TAGTGTGATGACTTGCAGGATGGC</t>
  </si>
  <si>
    <t xml:space="preserve">AAACGCCATCCTGCAAGTCATCAC</t>
  </si>
  <si>
    <t xml:space="preserve">AAAGCCCAGGCCGGTTGATT</t>
  </si>
  <si>
    <t xml:space="preserve">TAGTAAAGCCCAGGCCGGTTGATT</t>
  </si>
  <si>
    <t xml:space="preserve">AAACAATCAACCGGCCTGGGCTTT</t>
  </si>
  <si>
    <t xml:space="preserve">PSPPH_1481</t>
  </si>
  <si>
    <t xml:space="preserve">CCGTTGTTGAGTGTGCTGTT</t>
  </si>
  <si>
    <t xml:space="preserve">TAGTCCGTTGTTGAGTGTGCTGTT</t>
  </si>
  <si>
    <t xml:space="preserve">AAACAACAGCACACTCAACAACGG</t>
  </si>
  <si>
    <t xml:space="preserve">GCTGTTATAGGGGTTGCTGC</t>
  </si>
  <si>
    <t xml:space="preserve">TAGTGCTGTTATAGGGGTTGCTGC</t>
  </si>
  <si>
    <t xml:space="preserve">AAACGCAGCAACCCCTATAACAGC</t>
  </si>
  <si>
    <t xml:space="preserve">TGGGGTTGGAGCGCTTGATC</t>
  </si>
  <si>
    <t xml:space="preserve">TAGTTGGGGTTGGAGCGCTTGATC</t>
  </si>
  <si>
    <t xml:space="preserve">AAACGATCAAGCGCTCCAACCCCA</t>
  </si>
  <si>
    <t xml:space="preserve">CTCGGTGCCCTGACGGCTGT</t>
  </si>
  <si>
    <t xml:space="preserve">TAGTCTCGGTGCCCTGACGGCTGT</t>
  </si>
  <si>
    <t xml:space="preserve">AAACACAGCCGTCAGGGCACCGAG</t>
  </si>
  <si>
    <t xml:space="preserve">PSPPH_1482</t>
  </si>
  <si>
    <t xml:space="preserve">AGCACACCAAGTGGCGATCA</t>
  </si>
  <si>
    <t xml:space="preserve">TAGTAGCACACCAAGTGGCGATCA</t>
  </si>
  <si>
    <t xml:space="preserve">AAACTGATCGCCACTTGGTGTGCT</t>
  </si>
  <si>
    <t xml:space="preserve">CGTCAGCGGCAGGCTCAGAA</t>
  </si>
  <si>
    <t xml:space="preserve">TAGTCGTCAGCGGCAGGCTCAGAA</t>
  </si>
  <si>
    <t xml:space="preserve">AAACTTCTGAGCCTGCCGCTGACG</t>
  </si>
  <si>
    <t xml:space="preserve">TGTTCGCTTTTGTAGGTTTC</t>
  </si>
  <si>
    <t xml:space="preserve">TAGTTGTTCGCTTTTGTAGGTTTC</t>
  </si>
  <si>
    <t xml:space="preserve">AAACGAAACCTACAAAAGCGAACA</t>
  </si>
  <si>
    <t xml:space="preserve">GGCAACCGGGGTGACCGTGA</t>
  </si>
  <si>
    <t xml:space="preserve">TAGTGGCAACCGGGGTGACCGTGA</t>
  </si>
  <si>
    <t xml:space="preserve">AAACTCACGGTCACCCCGGTTGCC</t>
  </si>
  <si>
    <t xml:space="preserve">PSPPH_1483</t>
  </si>
  <si>
    <t xml:space="preserve">ACGGCAGGCATAAGTTTCAT</t>
  </si>
  <si>
    <t xml:space="preserve">TAGTACGGCAGGCATAAGTTTCAT</t>
  </si>
  <si>
    <t xml:space="preserve">AAACATGAAACTTATGCCTGCCGT</t>
  </si>
  <si>
    <t xml:space="preserve">AACAGCAGTGAGGGCAACAG</t>
  </si>
  <si>
    <t xml:space="preserve">TAGTAACAGCAGTGAGGGCAACAG</t>
  </si>
  <si>
    <t xml:space="preserve">AAACCTGTTGCCCTCACTGCTGTT</t>
  </si>
  <si>
    <t xml:space="preserve">GGGACCAACGTCGGCCTGGG</t>
  </si>
  <si>
    <t xml:space="preserve">TAGTGGGACCAACGTCGGCCTGGG</t>
  </si>
  <si>
    <t xml:space="preserve">AAACCCCAGGCCGACGTTGGTCCC</t>
  </si>
  <si>
    <t xml:space="preserve">TAAAGGCGGATCACTTCATC</t>
  </si>
  <si>
    <t xml:space="preserve">TAGTTAAAGGCGGATCACTTCATC</t>
  </si>
  <si>
    <t xml:space="preserve">AAACGATGAAGTGATCCGCCTTTA</t>
  </si>
  <si>
    <t xml:space="preserve">PSPPH_1484</t>
  </si>
  <si>
    <t xml:space="preserve">TGACGCATGGCAGGTCGGTA</t>
  </si>
  <si>
    <t xml:space="preserve">TAGTTGACGCATGGCAGGTCGGTA</t>
  </si>
  <si>
    <t xml:space="preserve">AAACTACCGACCTGCCATGCGTCA</t>
  </si>
  <si>
    <t xml:space="preserve">GCCCAACGGTAACAATCGCC</t>
  </si>
  <si>
    <t xml:space="preserve">TAGTGCCCAACGGTAACAATCGCC</t>
  </si>
  <si>
    <t xml:space="preserve">AAACGGCGATTGTTACCGTTGGGC</t>
  </si>
  <si>
    <t xml:space="preserve">ATCCGCAGCCATTAGCGGCG</t>
  </si>
  <si>
    <t xml:space="preserve">TAGTATCCGCAGCCATTAGCGGCG</t>
  </si>
  <si>
    <t xml:space="preserve">AAACCGCCGCTAATGGCTGCGGAT</t>
  </si>
  <si>
    <t xml:space="preserve">TTGACCGCGTCCAGAGTGAG</t>
  </si>
  <si>
    <t xml:space="preserve">TAGTTTGACCGCGTCCAGAGTGAG</t>
  </si>
  <si>
    <t xml:space="preserve">AAACCTCACTCTGGACGCGGTCAA</t>
  </si>
  <si>
    <t xml:space="preserve">PSPPH_1485</t>
  </si>
  <si>
    <t xml:space="preserve">CTGGGGAGTGGATTGAACGA</t>
  </si>
  <si>
    <t xml:space="preserve">TAGTCTGGGGAGTGGATTGAACGA</t>
  </si>
  <si>
    <t xml:space="preserve">AAACTCGTTCAATCCACTCCCCAG</t>
  </si>
  <si>
    <t xml:space="preserve">TTGTAGTCGGCTCTGCTGAA</t>
  </si>
  <si>
    <t xml:space="preserve">TAGTTTGTAGTCGGCTCTGCTGAA</t>
  </si>
  <si>
    <t xml:space="preserve">AAACTTCAGCAGAGCCGACTACAA</t>
  </si>
  <si>
    <t xml:space="preserve">ACCCAGCGCCGCAAGACCCA</t>
  </si>
  <si>
    <t xml:space="preserve">TAGTACCCAGCGCCGCAAGACCCA</t>
  </si>
  <si>
    <t xml:space="preserve">AAACTGGGTCTTGCGGCGCTGGGT</t>
  </si>
  <si>
    <t xml:space="preserve">CGGAAAAAACAGCTGGCTGA</t>
  </si>
  <si>
    <t xml:space="preserve">TAGTCGGAAAAAACAGCTGGCTGA</t>
  </si>
  <si>
    <t xml:space="preserve">AAACTCAGCCAGCTGTTTTTTCCG</t>
  </si>
  <si>
    <t xml:space="preserve">PSPPH_1487</t>
  </si>
  <si>
    <t xml:space="preserve">ATGACTGATCGGACTCAGAC</t>
  </si>
  <si>
    <t xml:space="preserve">TAGTATGACTGATCGGACTCAGAC</t>
  </si>
  <si>
    <t xml:space="preserve">AAACGTCTGAGTCCGATCAGTCAT</t>
  </si>
  <si>
    <t xml:space="preserve">AGATTCAAACCGGGCCGATG</t>
  </si>
  <si>
    <t xml:space="preserve">TAGTAGATTCAAACCGGGCCGATG</t>
  </si>
  <si>
    <t xml:space="preserve">AAACCATCGGCCCGGTTTGAATCT</t>
  </si>
  <si>
    <t xml:space="preserve">ACTGACGGGTTGCCAGGCGA</t>
  </si>
  <si>
    <t xml:space="preserve">TAGTACTGACGGGTTGCCAGGCGA</t>
  </si>
  <si>
    <t xml:space="preserve">AAACTCGCCTGGCAACCCGTCAGT</t>
  </si>
  <si>
    <t xml:space="preserve">GGACAGTTTTTTCTGTTGCT</t>
  </si>
  <si>
    <t xml:space="preserve">TAGTGGACAGTTTTTTCTGTTGCT</t>
  </si>
  <si>
    <t xml:space="preserve">AAACAGCAACAGAAAAAACTGTCC</t>
  </si>
  <si>
    <t xml:space="preserve">PSPPH_1488</t>
  </si>
  <si>
    <t xml:space="preserve">AAGAATGGGTATTTTTTTAG</t>
  </si>
  <si>
    <t xml:space="preserve">TAGTAAGAATGGGTATTTTTTTAG</t>
  </si>
  <si>
    <t xml:space="preserve">AAACCTAAAAAAATACCCATTCTT</t>
  </si>
  <si>
    <t xml:space="preserve">GTCCAGAAAGTCTGGACGAC</t>
  </si>
  <si>
    <t xml:space="preserve">TAGTGTCCAGAAAGTCTGGACGAC</t>
  </si>
  <si>
    <t xml:space="preserve">AAACGTCGTCCAGACTTTCTGGAC</t>
  </si>
  <si>
    <t xml:space="preserve">CGCCGCTGATTGTCACGGAG</t>
  </si>
  <si>
    <t xml:space="preserve">TAGTCGCCGCTGATTGTCACGGAG</t>
  </si>
  <si>
    <t xml:space="preserve">AAACCTCCGTGACAATCAGCGGCG</t>
  </si>
  <si>
    <t xml:space="preserve">GCATGGGTGCTGGAAATTTA</t>
  </si>
  <si>
    <t xml:space="preserve">TAGTGCATGGGTGCTGGAAATTTA</t>
  </si>
  <si>
    <t xml:space="preserve">AAACTAAATTTCCAGCACCCATGC</t>
  </si>
  <si>
    <t xml:space="preserve">PSPPH_1489</t>
  </si>
  <si>
    <t xml:space="preserve">TTTTTCGCAATCTGGTAAGA</t>
  </si>
  <si>
    <t xml:space="preserve">TAGTTTTTTCGCAATCTGGTAAGA</t>
  </si>
  <si>
    <t xml:space="preserve">AAACTCTTACCAGATTGCGAAAAA</t>
  </si>
  <si>
    <t xml:space="preserve">TTGCGCCATTCAGCCTGATA</t>
  </si>
  <si>
    <t xml:space="preserve">TAGTTTGCGCCATTCAGCCTGATA</t>
  </si>
  <si>
    <t xml:space="preserve">AAACTATCAGGCTGAATGGCGCAA</t>
  </si>
  <si>
    <t xml:space="preserve">GATGACCGTAACGCCGGGAA</t>
  </si>
  <si>
    <t xml:space="preserve">TAGTGATGACCGTAACGCCGGGAA</t>
  </si>
  <si>
    <t xml:space="preserve">AAACTTCCCGGCGTTACGGTCATC</t>
  </si>
  <si>
    <t xml:space="preserve">GGCAGCAGCCATGTTATGCA</t>
  </si>
  <si>
    <t xml:space="preserve">TAGTGGCAGCAGCCATGTTATGCA</t>
  </si>
  <si>
    <t xml:space="preserve">AAACTGCATAACATGGCTGCTGCC</t>
  </si>
  <si>
    <t xml:space="preserve">PSPPH_1491</t>
  </si>
  <si>
    <t xml:space="preserve">CACCCAACGCATTGCCGATC</t>
  </si>
  <si>
    <t xml:space="preserve">TAGTCACCCAACGCATTGCCGATC</t>
  </si>
  <si>
    <t xml:space="preserve">AAACGATCGGCAATGCGTTGGGTG</t>
  </si>
  <si>
    <t xml:space="preserve">GCGGGCTGCGGTCCACATAC</t>
  </si>
  <si>
    <t xml:space="preserve">TAGTGCGGGCTGCGGTCCACATAC</t>
  </si>
  <si>
    <t xml:space="preserve">AAACGTATGTGGACCGCAGCCCGC</t>
  </si>
  <si>
    <t xml:space="preserve">CAGCAGCAGCGCAAACACCA</t>
  </si>
  <si>
    <t xml:space="preserve">TAGTCAGCAGCAGCGCAAACACCA</t>
  </si>
  <si>
    <t xml:space="preserve">AAACTGGTGTTTGCGCTGCTGCTG</t>
  </si>
  <si>
    <t xml:space="preserve">GCCTGCGGCAGGTACGCTTG</t>
  </si>
  <si>
    <t xml:space="preserve">TAGTGCCTGCGGCAGGTACGCTTG</t>
  </si>
  <si>
    <t xml:space="preserve">AAACCAAGCGTACCTGCCGCAGGC</t>
  </si>
  <si>
    <t xml:space="preserve">PSPPH_1492</t>
  </si>
  <si>
    <t xml:space="preserve">GAGGCGGCAGTTTCCAGAGA</t>
  </si>
  <si>
    <t xml:space="preserve">TAGTGAGGCGGCAGTTTCCAGAGA</t>
  </si>
  <si>
    <t xml:space="preserve">AAACTCTCTGGAAACTGCCGCCTC</t>
  </si>
  <si>
    <t xml:space="preserve">CGAGCTTTCGCTATTGGTGC</t>
  </si>
  <si>
    <t xml:space="preserve">TAGTCGAGCTTTCGCTATTGGTGC</t>
  </si>
  <si>
    <t xml:space="preserve">AAACGCACCAATAGCGAAAGCTCG</t>
  </si>
  <si>
    <t xml:space="preserve">CGCGATGGACAAGCCAGCAC</t>
  </si>
  <si>
    <t xml:space="preserve">TAGTCGCGATGGACAAGCCAGCAC</t>
  </si>
  <si>
    <t xml:space="preserve">AAACGTGCTGGCTTGTCCATCGCG</t>
  </si>
  <si>
    <t xml:space="preserve">TTACGAAGCCAGCCAGCGCC</t>
  </si>
  <si>
    <t xml:space="preserve">TAGTTTACGAAGCCAGCCAGCGCC</t>
  </si>
  <si>
    <t xml:space="preserve">AAACGGCGCTGGCTGGCTTCGTAA</t>
  </si>
  <si>
    <t xml:space="preserve">PSPPH_1493</t>
  </si>
  <si>
    <t xml:space="preserve">GATGCCCTTGAGGCGGTCAG</t>
  </si>
  <si>
    <t xml:space="preserve">TAGTGATGCCCTTGAGGCGGTCAG</t>
  </si>
  <si>
    <t xml:space="preserve">AAACCTGACCGCCTCAAGGGCATC</t>
  </si>
  <si>
    <t xml:space="preserve">AAAGCTCCCAGCATTGGCAA</t>
  </si>
  <si>
    <t xml:space="preserve">TAGTAAAGCTCCCAGCATTGGCAA</t>
  </si>
  <si>
    <t xml:space="preserve">AAACTTGCCAATGCTGGGAGCTTT</t>
  </si>
  <si>
    <t xml:space="preserve">GGTCAGACTCAAGCGGTCAG</t>
  </si>
  <si>
    <t xml:space="preserve">TAGTGGTCAGACTCAAGCGGTCAG</t>
  </si>
  <si>
    <t xml:space="preserve">AAACCTGACCGCTTGAGTCTGACC</t>
  </si>
  <si>
    <t xml:space="preserve">GCTTTTGCTGACTGCGGAAT</t>
  </si>
  <si>
    <t xml:space="preserve">TAGTGCTTTTGCTGACTGCGGAAT</t>
  </si>
  <si>
    <t xml:space="preserve">AAACATTCCGCAGTCAGCAAAAGC</t>
  </si>
  <si>
    <t xml:space="preserve">PSPPH_1494</t>
  </si>
  <si>
    <t xml:space="preserve">GCCCATAAAAAACGGCCAGC</t>
  </si>
  <si>
    <t xml:space="preserve">TAGTGCCCATAAAAAACGGCCAGC</t>
  </si>
  <si>
    <t xml:space="preserve">AAACGCTGGCCGTTTTTTATGGGC</t>
  </si>
  <si>
    <t xml:space="preserve">AGGAATGTGAGTGGCCCGGC</t>
  </si>
  <si>
    <t xml:space="preserve">TAGTAGGAATGTGAGTGGCCCGGC</t>
  </si>
  <si>
    <t xml:space="preserve">AAACGCCGGGCCACTCACATTCCT</t>
  </si>
  <si>
    <t xml:space="preserve">GATCGAGGCCTGTGTGCCCG</t>
  </si>
  <si>
    <t xml:space="preserve">TAGTGATCGAGGCCTGTGTGCCCG</t>
  </si>
  <si>
    <t xml:space="preserve">AAACCGGGCACACAGGCCTCGATC</t>
  </si>
  <si>
    <t xml:space="preserve">GTTTGTCTGTTAAATGGAGA</t>
  </si>
  <si>
    <t xml:space="preserve">TAGTGTTTGTCTGTTAAATGGAGA</t>
  </si>
  <si>
    <t xml:space="preserve">AAACTCTCCATTTAACAGACAAAC</t>
  </si>
  <si>
    <t xml:space="preserve">PSPPH_1495</t>
  </si>
  <si>
    <t xml:space="preserve">TGTGCCGGCACAGAGCAGAG</t>
  </si>
  <si>
    <t xml:space="preserve">TAGTTGTGCCGGCACAGAGCAGAG</t>
  </si>
  <si>
    <t xml:space="preserve">AAACCTCTGCTCTGTGCCGGCACA</t>
  </si>
  <si>
    <t xml:space="preserve">TGGTATCCGCGTCAGCGGCC</t>
  </si>
  <si>
    <t xml:space="preserve">TAGTTGGTATCCGCGTCAGCGGCC</t>
  </si>
  <si>
    <t xml:space="preserve">AAACGGCCGCTGACGCGGATACCA</t>
  </si>
  <si>
    <t xml:space="preserve">CGGGTGCTGAGCCTTGTTGC</t>
  </si>
  <si>
    <t xml:space="preserve">TAGTCGGGTGCTGAGCCTTGTTGC</t>
  </si>
  <si>
    <t xml:space="preserve">AAACGCAACAAGGCTCAGCACCCG</t>
  </si>
  <si>
    <t xml:space="preserve">GTCTGACGGGCCACAGTGGC</t>
  </si>
  <si>
    <t xml:space="preserve">TAGTGTCTGACGGGCCACAGTGGC</t>
  </si>
  <si>
    <t xml:space="preserve">AAACGCCACTGTGGCCCGTCAGAC</t>
  </si>
  <si>
    <t xml:space="preserve">PSPPH_1496</t>
  </si>
  <si>
    <t xml:space="preserve">CGGTAGCGAAGCGCAGAAAA</t>
  </si>
  <si>
    <t xml:space="preserve">TAGTCGGTAGCGAAGCGCAGAAAA</t>
  </si>
  <si>
    <t xml:space="preserve">AAACTTTTCTGCGCTTCGCTACCG</t>
  </si>
  <si>
    <t xml:space="preserve">TAAACACAAGCCACCTATAA</t>
  </si>
  <si>
    <t xml:space="preserve">TAGTTAAACACAAGCCACCTATAA</t>
  </si>
  <si>
    <t xml:space="preserve">AAACTTATAGGTGGCTTGTGTTTA</t>
  </si>
  <si>
    <t xml:space="preserve">GTCGACGGTGGTTGCCAGAG</t>
  </si>
  <si>
    <t xml:space="preserve">TAGTGTCGACGGTGGTTGCCAGAG</t>
  </si>
  <si>
    <t xml:space="preserve">AAACCTCTGGCAACCACCGTCGAC</t>
  </si>
  <si>
    <t xml:space="preserve">ATTAGTCAGCGGGTAGCCAT</t>
  </si>
  <si>
    <t xml:space="preserve">TAGTATTAGTCAGCGGGTAGCCAT</t>
  </si>
  <si>
    <t xml:space="preserve">AAACATGGCTACCCGCTGACTAAT</t>
  </si>
  <si>
    <t xml:space="preserve">PSPPH_1497</t>
  </si>
  <si>
    <t xml:space="preserve">proX</t>
  </si>
  <si>
    <t xml:space="preserve">GCTGACAGCAAGCACCAGAG</t>
  </si>
  <si>
    <t xml:space="preserve">TAGTGCTGACAGCAAGCACCAGAG</t>
  </si>
  <si>
    <t xml:space="preserve">AAACCTCTGGTGCTTGCTGTCAGC</t>
  </si>
  <si>
    <t xml:space="preserve">GGTTTCAGCAATCGCCAGCG</t>
  </si>
  <si>
    <t xml:space="preserve">TAGTGGTTTCAGCAATCGCCAGCG</t>
  </si>
  <si>
    <t xml:space="preserve">AAACCGCTGGCGATTGCTGAAACC</t>
  </si>
  <si>
    <t xml:space="preserve">ATAGCCGATGGTCAGGGTTT</t>
  </si>
  <si>
    <t xml:space="preserve">TAGTATAGCCGATGGTCAGGGTTT</t>
  </si>
  <si>
    <t xml:space="preserve">AAACAAACCCTGACCATCGGCTAT</t>
  </si>
  <si>
    <t xml:space="preserve">GAAGGTGGTGGCGACGCTGT</t>
  </si>
  <si>
    <t xml:space="preserve">TAGTGAAGGTGGTGGCGACGCTGT</t>
  </si>
  <si>
    <t xml:space="preserve">AAACACAGCGTCGCCACCACCTTC</t>
  </si>
  <si>
    <t xml:space="preserve">PSPPH_1498</t>
  </si>
  <si>
    <t xml:space="preserve">GCGGGCTGTTTTGAATCGAG</t>
  </si>
  <si>
    <t xml:space="preserve">TAGTGCGGGCTGTTTTGAATCGAG</t>
  </si>
  <si>
    <t xml:space="preserve">AAACCTCGATTCAAAACAGCCCGC</t>
  </si>
  <si>
    <t xml:space="preserve">CCAGGCGAACCGCTCTCTTT</t>
  </si>
  <si>
    <t xml:space="preserve">TAGTCCAGGCGAACCGCTCTCTTT</t>
  </si>
  <si>
    <t xml:space="preserve">AAACAAAGAGAGCGGTTCGCCTGG</t>
  </si>
  <si>
    <t xml:space="preserve">AAAGAATAAAGGCCGCATAC</t>
  </si>
  <si>
    <t xml:space="preserve">TAGTAAAGAATAAAGGCCGCATAC</t>
  </si>
  <si>
    <t xml:space="preserve">AAACGTATGCGGCCTTTATTCTTT</t>
  </si>
  <si>
    <t xml:space="preserve">AACTTGGCCCCCAGAATATG</t>
  </si>
  <si>
    <t xml:space="preserve">TAGTAACTTGGCCCCCAGAATATG</t>
  </si>
  <si>
    <t xml:space="preserve">AAACCATATTCTGGGGGCCAAGTT</t>
  </si>
  <si>
    <t xml:space="preserve">PSPPH_1499</t>
  </si>
  <si>
    <t xml:space="preserve">CAAGTGCTGCTGATAGGCGC</t>
  </si>
  <si>
    <t xml:space="preserve">TAGTCAAGTGCTGCTGATAGGCGC</t>
  </si>
  <si>
    <t xml:space="preserve">AAACGCGCCTATCAGCAGCACTTG</t>
  </si>
  <si>
    <t xml:space="preserve">GAGTCGGCGCGAATGTGGCA</t>
  </si>
  <si>
    <t xml:space="preserve">TAGTGAGTCGGCGCGAATGTGGCA</t>
  </si>
  <si>
    <t xml:space="preserve">AAACTGCCACATTCGCGCCGACTC</t>
  </si>
  <si>
    <t xml:space="preserve">ACGATCGCGGCGATGTTAAG</t>
  </si>
  <si>
    <t xml:space="preserve">TAGTACGATCGCGGCGATGTTAAG</t>
  </si>
  <si>
    <t xml:space="preserve">AAACCTTAACATCGCCGCGATCGT</t>
  </si>
  <si>
    <t xml:space="preserve">GTAGGTGATGTACAGCGTGA</t>
  </si>
  <si>
    <t xml:space="preserve">TAGTGTAGGTGATGTACAGCGTGA</t>
  </si>
  <si>
    <t xml:space="preserve">AAACTCACGCTGTACATCACCTAC</t>
  </si>
  <si>
    <t xml:space="preserve">PSPPH_1500</t>
  </si>
  <si>
    <t xml:space="preserve">CTGCGCGAGTGCGGGAATAC</t>
  </si>
  <si>
    <t xml:space="preserve">TAGTCTGCGCGAGTGCGGGAATAC</t>
  </si>
  <si>
    <t xml:space="preserve">AAACGTATTCCCGCACTCGCGCAG</t>
  </si>
  <si>
    <t xml:space="preserve">ATAGTACCGATGATGCCCGA</t>
  </si>
  <si>
    <t xml:space="preserve">TAGTATAGTACCGATGATGCCCGA</t>
  </si>
  <si>
    <t xml:space="preserve">AAACTCGGGCATCATCGGTACTAT</t>
  </si>
  <si>
    <t xml:space="preserve">CCAGAATCAGCAGGATCACC</t>
  </si>
  <si>
    <t xml:space="preserve">TAGTCCAGAATCAGCAGGATCACC</t>
  </si>
  <si>
    <t xml:space="preserve">AAACGGTGATCCTGCTGATTCTGG</t>
  </si>
  <si>
    <t xml:space="preserve">PSPPH_1501</t>
  </si>
  <si>
    <t xml:space="preserve">CAGTAGATGAAACGCGACCA</t>
  </si>
  <si>
    <t xml:space="preserve">TAGTCAGTAGATGAAACGCGACCA</t>
  </si>
  <si>
    <t xml:space="preserve">AAACTGGTCGCGTTTCATCTACTG</t>
  </si>
  <si>
    <t xml:space="preserve">ACGTGTAGTAATGCCAGCCA</t>
  </si>
  <si>
    <t xml:space="preserve">TAGTACGTGTAGTAATGCCAGCCA</t>
  </si>
  <si>
    <t xml:space="preserve">AAACTGGCTGGCATTACTACACGT</t>
  </si>
  <si>
    <t xml:space="preserve">GCAGCCCCCCAGGCAGCTGC</t>
  </si>
  <si>
    <t xml:space="preserve">TAGTGCAGCCCCCCAGGCAGCTGC</t>
  </si>
  <si>
    <t xml:space="preserve">AAACGCAGCTGCCTGGGGGGCTGC</t>
  </si>
  <si>
    <t xml:space="preserve">TGTTTTCCAGCGGTGTCAGT</t>
  </si>
  <si>
    <t xml:space="preserve">TAGTTGTTTTCCAGCGGTGTCAGT</t>
  </si>
  <si>
    <t xml:space="preserve">AAACACTGACACCGCTGGAAAACA</t>
  </si>
  <si>
    <t xml:space="preserve">PSPPH_1502</t>
  </si>
  <si>
    <t xml:space="preserve">CGGCGCCAGTAATCATGATG</t>
  </si>
  <si>
    <t xml:space="preserve">TAGTCGGCGCCAGTAATCATGATG</t>
  </si>
  <si>
    <t xml:space="preserve">AAACCATCATGATTACTGGCGCCG</t>
  </si>
  <si>
    <t xml:space="preserve">TTCACGACCCAGACCTGAGC</t>
  </si>
  <si>
    <t xml:space="preserve">TAGTTTCACGACCCAGACCTGAGC</t>
  </si>
  <si>
    <t xml:space="preserve">AAACGCTCAGGTCTGGGTCGTGAA</t>
  </si>
  <si>
    <t xml:space="preserve">CATCAGGGTTTCCTGCAGAC</t>
  </si>
  <si>
    <t xml:space="preserve">TAGTCATCAGGGTTTCCTGCAGAC</t>
  </si>
  <si>
    <t xml:space="preserve">AAACGTCTGCAGGAAACCCTGATG</t>
  </si>
  <si>
    <t xml:space="preserve">AGCCTTTGACGACCCCCATC</t>
  </si>
  <si>
    <t xml:space="preserve">TAGTAGCCTTTGACGACCCCCATC</t>
  </si>
  <si>
    <t xml:space="preserve">AAACGATGGGGGTCGTCAAAGGCT</t>
  </si>
  <si>
    <t xml:space="preserve">PSPPH_1503</t>
  </si>
  <si>
    <t xml:space="preserve">GGGCTGCGAGAAAGAACCAC</t>
  </si>
  <si>
    <t xml:space="preserve">TAGTGGGCTGCGAGAAAGAACCAC</t>
  </si>
  <si>
    <t xml:space="preserve">AAACGTGGTTCTTTCTCGCAGCCC</t>
  </si>
  <si>
    <t xml:space="preserve">GCAGCCGAATATCTCGAACA</t>
  </si>
  <si>
    <t xml:space="preserve">TAGTGCAGCCGAATATCTCGAACA</t>
  </si>
  <si>
    <t xml:space="preserve">AAACTGTTCGAGATATTCGGCTGC</t>
  </si>
  <si>
    <t xml:space="preserve">TTGGCGCAGCCATAGCCAGA</t>
  </si>
  <si>
    <t xml:space="preserve">TAGTTTGGCGCAGCCATAGCCAGA</t>
  </si>
  <si>
    <t xml:space="preserve">AAACTCTGGCTATGGCTGCGCCAA</t>
  </si>
  <si>
    <t xml:space="preserve">AGTGTCAGACTGATGAGTGC</t>
  </si>
  <si>
    <t xml:space="preserve">TAGTAGTGTCAGACTGATGAGTGC</t>
  </si>
  <si>
    <t xml:space="preserve">AAACGCACTCATCAGTCTGACACT</t>
  </si>
  <si>
    <t xml:space="preserve">PSPPH_1504</t>
  </si>
  <si>
    <t xml:space="preserve">TCTCGTTGCGCAAAAAGGCA</t>
  </si>
  <si>
    <t xml:space="preserve">TAGTTCTCGTTGCGCAAAAAGGCA</t>
  </si>
  <si>
    <t xml:space="preserve">AAACTGCCTTTTTGCGCAACGAGA</t>
  </si>
  <si>
    <t xml:space="preserve">GTTGATACCCAGAATCTGCA</t>
  </si>
  <si>
    <t xml:space="preserve">TAGTGTTGATACCCAGAATCTGCA</t>
  </si>
  <si>
    <t xml:space="preserve">AAACTGCAGATTCTGGGTATCAAC</t>
  </si>
  <si>
    <t xml:space="preserve">AAACTGATACTCCCCTTTCG</t>
  </si>
  <si>
    <t xml:space="preserve">TAGTAAACTGATACTCCCCTTTCG</t>
  </si>
  <si>
    <t xml:space="preserve">AAACCGAAAGGGGAGTATCAGTTT</t>
  </si>
  <si>
    <t xml:space="preserve">PSPPH_1506</t>
  </si>
  <si>
    <t xml:space="preserve">TTGGTCGTAGGGGATCAGCA</t>
  </si>
  <si>
    <t xml:space="preserve">TAGTTTGGTCGTAGGGGATCAGCA</t>
  </si>
  <si>
    <t xml:space="preserve">AAACTGCTGATCCCCTACGACCAA</t>
  </si>
  <si>
    <t xml:space="preserve">ATCAGGCGGGTGAGGGTGTC</t>
  </si>
  <si>
    <t xml:space="preserve">TAGTATCAGGCGGGTGAGGGTGTC</t>
  </si>
  <si>
    <t xml:space="preserve">AAACGACACCCTCACCCGCCTGAT</t>
  </si>
  <si>
    <t xml:space="preserve">GCCATTATCGGTGCCCTCAC</t>
  </si>
  <si>
    <t xml:space="preserve">TAGTGCCATTATCGGTGCCCTCAC</t>
  </si>
  <si>
    <t xml:space="preserve">AAACGTGAGGGCACCGATAATGGC</t>
  </si>
  <si>
    <t xml:space="preserve">CGCAGCACGCGGGTTTGCAG</t>
  </si>
  <si>
    <t xml:space="preserve">TAGTCGCAGCACGCGGGTTTGCAG</t>
  </si>
  <si>
    <t xml:space="preserve">AAACCTGCAAACCCGCGTGCTGCG</t>
  </si>
  <si>
    <t xml:space="preserve">PSPPH_1507</t>
  </si>
  <si>
    <t xml:space="preserve">GGGGATATTTGCAGGGGTCA</t>
  </si>
  <si>
    <t xml:space="preserve">TAGTGGGGATATTTGCAGGGGTCA</t>
  </si>
  <si>
    <t xml:space="preserve">AAACTGACCCCTGCAAATATCCCC</t>
  </si>
  <si>
    <t xml:space="preserve">AGGTATTTCAGATCCGGATC</t>
  </si>
  <si>
    <t xml:space="preserve">TAGTAGGTATTTCAGATCCGGATC</t>
  </si>
  <si>
    <t xml:space="preserve">AAACGATCCGGATCTGAAATACCT</t>
  </si>
  <si>
    <t xml:space="preserve">TTTCCAACAGAACTTTCTGC</t>
  </si>
  <si>
    <t xml:space="preserve">TAGTTTTCCAACAGAACTTTCTGC</t>
  </si>
  <si>
    <t xml:space="preserve">AAACGCAGAAAGTTCTGTTGGAAA</t>
  </si>
  <si>
    <t xml:space="preserve">TCGGTAAAACCGGTCGGGCT</t>
  </si>
  <si>
    <t xml:space="preserve">TAGTTCGGTAAAACCGGTCGGGCT</t>
  </si>
  <si>
    <t xml:space="preserve">AAACAGCCCGACCGGTTTTACCGA</t>
  </si>
  <si>
    <t xml:space="preserve">PSPPH_1508</t>
  </si>
  <si>
    <t xml:space="preserve">ACTGGCCACGCAACAAGCGC</t>
  </si>
  <si>
    <t xml:space="preserve">TAGTACTGGCCACGCAACAAGCGC</t>
  </si>
  <si>
    <t xml:space="preserve">AAACGCGCTTGTTGCGTGGCCAGT</t>
  </si>
  <si>
    <t xml:space="preserve">GCTTGCAGACGTTCGTACGA</t>
  </si>
  <si>
    <t xml:space="preserve">TAGTGCTTGCAGACGTTCGTACGA</t>
  </si>
  <si>
    <t xml:space="preserve">AAACTCGTACGAACGTCTGCAAGC</t>
  </si>
  <si>
    <t xml:space="preserve">GTCTATCTGGCTGCCATCTT</t>
  </si>
  <si>
    <t xml:space="preserve">TAGTGTCTATCTGGCTGCCATCTT</t>
  </si>
  <si>
    <t xml:space="preserve">AAACAAGATGGCAGCCAGATAGAC</t>
  </si>
  <si>
    <t xml:space="preserve">CAGCCACAATGCAGCGCCAA</t>
  </si>
  <si>
    <t xml:space="preserve">TAGTCAGCCACAATGCAGCGCCAA</t>
  </si>
  <si>
    <t xml:space="preserve">AAACTTGGCGCTGCATTGTGGCTG</t>
  </si>
  <si>
    <t xml:space="preserve">PSPPH_1509</t>
  </si>
  <si>
    <t xml:space="preserve">asnB</t>
  </si>
  <si>
    <t xml:space="preserve">CGGCCAGGTCCGCTGGTTGA</t>
  </si>
  <si>
    <t xml:space="preserve">TAGTCGGCCAGGTCCGCTGGTTGA</t>
  </si>
  <si>
    <t xml:space="preserve">AAACTCAACCAGCGGACCTGGCCG</t>
  </si>
  <si>
    <t xml:space="preserve">ATGGGTAATGCGCTCAACAG</t>
  </si>
  <si>
    <t xml:space="preserve">TAGTATGGGTAATGCGCTCAACAG</t>
  </si>
  <si>
    <t xml:space="preserve">AAACCTGTTGAGCGCATTACCCAT</t>
  </si>
  <si>
    <t xml:space="preserve">CCCCACGCATCCGGGCCGCG</t>
  </si>
  <si>
    <t xml:space="preserve">TAGTCCCCACGCATCCGGGCCGCG</t>
  </si>
  <si>
    <t xml:space="preserve">AAACCGCGGCCCGGATGCGTGGGG</t>
  </si>
  <si>
    <t xml:space="preserve">GACCAAGGGCAACCGGCCCC</t>
  </si>
  <si>
    <t xml:space="preserve">TAGTGACCAAGGGCAACCGGCCCC</t>
  </si>
  <si>
    <t xml:space="preserve">AAACGGGGCCGGTTGCCCTTGGTC</t>
  </si>
  <si>
    <t xml:space="preserve">PSPPH_1510</t>
  </si>
  <si>
    <t xml:space="preserve">GTAGACTCTCCCCTGCGATC</t>
  </si>
  <si>
    <t xml:space="preserve">TAGTGTAGACTCTCCCCTGCGATC</t>
  </si>
  <si>
    <t xml:space="preserve">AAACGATCGCAGGGGAGAGTCTAC</t>
  </si>
  <si>
    <t xml:space="preserve">GAGAACCGAACGGTTTCTAC</t>
  </si>
  <si>
    <t xml:space="preserve">TAGTGAGAACCGAACGGTTTCTAC</t>
  </si>
  <si>
    <t xml:space="preserve">AAACGTAGAAACCGTTCGGTTCTC</t>
  </si>
  <si>
    <t xml:space="preserve">CTGCCCCACTGCAGGCGTCG</t>
  </si>
  <si>
    <t xml:space="preserve">TAGTCTGCCCCACTGCAGGCGTCG</t>
  </si>
  <si>
    <t xml:space="preserve">AAACCGACGCCTGCAGTGGGGCAG</t>
  </si>
  <si>
    <t xml:space="preserve">GACGCCTGCACGTAGGTGCA</t>
  </si>
  <si>
    <t xml:space="preserve">TAGTGACGCCTGCACGTAGGTGCA</t>
  </si>
  <si>
    <t xml:space="preserve">AAACTGCACCTACGTGCAGGCGTC</t>
  </si>
  <si>
    <t xml:space="preserve">PSPPH_1511</t>
  </si>
  <si>
    <t xml:space="preserve">AGTAGCGCTGCGGCGACCAG</t>
  </si>
  <si>
    <t xml:space="preserve">TAGTAGTAGCGCTGCGGCGACCAG</t>
  </si>
  <si>
    <t xml:space="preserve">AAACCTGGTCGCCGCAGCGCTACT</t>
  </si>
  <si>
    <t xml:space="preserve">TTGCGGTTTGTCGTCGCAGG</t>
  </si>
  <si>
    <t xml:space="preserve">TAGTTTGCGGTTTGTCGTCGCAGG</t>
  </si>
  <si>
    <t xml:space="preserve">AAACCCTGCGACGACAAACCGCAA</t>
  </si>
  <si>
    <t xml:space="preserve">AGACCGGCGAACCCGCTTTC</t>
  </si>
  <si>
    <t xml:space="preserve">TAGTAGACCGGCGAACCCGCTTTC</t>
  </si>
  <si>
    <t xml:space="preserve">AAACGAAAGCGGGTTCGCCGGTCT</t>
  </si>
  <si>
    <t xml:space="preserve">TGTCACCTGCGCATAGCTGT</t>
  </si>
  <si>
    <t xml:space="preserve">TAGTTGTCACCTGCGCATAGCTGT</t>
  </si>
  <si>
    <t xml:space="preserve">AAACACAGCTATGCGCAGGTGACA</t>
  </si>
  <si>
    <t xml:space="preserve">PSPPH_1512</t>
  </si>
  <si>
    <t xml:space="preserve">GCACGGGGTGACGTCGCCAG</t>
  </si>
  <si>
    <t xml:space="preserve">TAGTGCACGGGGTGACGTCGCCAG</t>
  </si>
  <si>
    <t xml:space="preserve">AAACCTGGCGACGTCACCCCGTGC</t>
  </si>
  <si>
    <t xml:space="preserve">TGCGGTGGCCAGCCACAGGC</t>
  </si>
  <si>
    <t xml:space="preserve">TAGTTGCGGTGGCCAGCCACAGGC</t>
  </si>
  <si>
    <t xml:space="preserve">AAACGCCTGTGGCTGGCCACCGCA</t>
  </si>
  <si>
    <t xml:space="preserve">ACTATTGAGCGCCTGAACGC</t>
  </si>
  <si>
    <t xml:space="preserve">TAGTACTATTGAGCGCCTGAACGC</t>
  </si>
  <si>
    <t xml:space="preserve">AAACGCGTTCAGGCGCTCAATAGT</t>
  </si>
  <si>
    <t xml:space="preserve">CAATCAACTGGCTGGCCCGC</t>
  </si>
  <si>
    <t xml:space="preserve">TAGTCAATCAACTGGCTGGCCCGC</t>
  </si>
  <si>
    <t xml:space="preserve">AAACGCGGGCCAGCCAGTTGATTG</t>
  </si>
  <si>
    <t xml:space="preserve">PSPPH_1513</t>
  </si>
  <si>
    <t xml:space="preserve">ATCCAGCGGTCCCTGTGCCG</t>
  </si>
  <si>
    <t xml:space="preserve">TAGTATCCAGCGGTCCCTGTGCCG</t>
  </si>
  <si>
    <t xml:space="preserve">AAACCGGCACAGGGACCGCTGGAT</t>
  </si>
  <si>
    <t xml:space="preserve">CGGACTCACCCATCAACGCC</t>
  </si>
  <si>
    <t xml:space="preserve">TAGTCGGACTCACCCATCAACGCC</t>
  </si>
  <si>
    <t xml:space="preserve">AAACGGCGTTGATGGGTGAGTCCG</t>
  </si>
  <si>
    <t xml:space="preserve">CAAGGTGCTCTTGCCACTGC</t>
  </si>
  <si>
    <t xml:space="preserve">TAGTCAAGGTGCTCTTGCCACTGC</t>
  </si>
  <si>
    <t xml:space="preserve">AAACGCAGTGGCAAGAGCACCTTG</t>
  </si>
  <si>
    <t xml:space="preserve">TGCCATCGTCGACCTGATCC</t>
  </si>
  <si>
    <t xml:space="preserve">TAGTTGCCATCGTCGACCTGATCC</t>
  </si>
  <si>
    <t xml:space="preserve">AAACGGATCAGGTCGACGATGGCA</t>
  </si>
  <si>
    <t xml:space="preserve">PSPPH_1514</t>
  </si>
  <si>
    <t xml:space="preserve">TATCCGGGCGTGGCGGGTAA</t>
  </si>
  <si>
    <t xml:space="preserve">TAGTTATCCGGGCGTGGCGGGTAA</t>
  </si>
  <si>
    <t xml:space="preserve">AAACTTACCCGCCACGCCCGGATA</t>
  </si>
  <si>
    <t xml:space="preserve">CGGAGAAATCGCGGGAACGC</t>
  </si>
  <si>
    <t xml:space="preserve">TAGTCGGAGAAATCGCGGGAACGC</t>
  </si>
  <si>
    <t xml:space="preserve">AAACGCGTTCCCGCGATTTCTCCG</t>
  </si>
  <si>
    <t xml:space="preserve">CTCGGTGGAAAAGTAGACAT</t>
  </si>
  <si>
    <t xml:space="preserve">TAGTCTCGGTGGAAAAGTAGACAT</t>
  </si>
  <si>
    <t xml:space="preserve">AAACATGTCTACTTTTCCACCGAG</t>
  </si>
  <si>
    <t xml:space="preserve">ATGGCGCGTCTCGTCCAGAC</t>
  </si>
  <si>
    <t xml:space="preserve">TAGTATGGCGCGTCTCGTCCAGAC</t>
  </si>
  <si>
    <t xml:space="preserve">AAACGTCTGGACGAGACGCGCCAT</t>
  </si>
  <si>
    <t xml:space="preserve">PSPPH_1515</t>
  </si>
  <si>
    <t xml:space="preserve">TTCGTAGGTCTCGTCGTCAA</t>
  </si>
  <si>
    <t xml:space="preserve">TAGTTTCGTAGGTCTCGTCGTCAA</t>
  </si>
  <si>
    <t xml:space="preserve">AAACTTGACGACGAGACCTACGAA</t>
  </si>
  <si>
    <t xml:space="preserve">AGCAAGGCTTCGCGCAACTC</t>
  </si>
  <si>
    <t xml:space="preserve">TAGTAGCAAGGCTTCGCGCAACTC</t>
  </si>
  <si>
    <t xml:space="preserve">AAACGAGTTGCGCGAAGCCTTGCT</t>
  </si>
  <si>
    <t xml:space="preserve">GCCGACCGGCCTGCTCGTGC</t>
  </si>
  <si>
    <t xml:space="preserve">TAGTGCCGACCGGCCTGCTCGTGC</t>
  </si>
  <si>
    <t xml:space="preserve">AAACGCACGAGCAGGCCGGTCGGC</t>
  </si>
  <si>
    <t xml:space="preserve">CCATTCGCTGAGCAGTTTGA</t>
  </si>
  <si>
    <t xml:space="preserve">TAGTCCATTCGCTGAGCAGTTTGA</t>
  </si>
  <si>
    <t xml:space="preserve">AAACTCAAACTGCTCAGCGAATGG</t>
  </si>
  <si>
    <t xml:space="preserve">PSPPH_1516</t>
  </si>
  <si>
    <t xml:space="preserve">CGCGGTGAGTCTTGCGCCAT</t>
  </si>
  <si>
    <t xml:space="preserve">TAGTCGCGGTGAGTCTTGCGCCAT</t>
  </si>
  <si>
    <t xml:space="preserve">AAACATGGCGCAAGACTCACCGCG</t>
  </si>
  <si>
    <t xml:space="preserve">GCGCACCGAGCGGTGACGGC</t>
  </si>
  <si>
    <t xml:space="preserve">TAGTGCGCACCGAGCGGTGACGGC</t>
  </si>
  <si>
    <t xml:space="preserve">AAACGCCGTCACCGCTCGGTGCGC</t>
  </si>
  <si>
    <t xml:space="preserve">GCGTGGTGGGCAGCACCGGC</t>
  </si>
  <si>
    <t xml:space="preserve">TAGTGCGTGGTGGGCAGCACCGGC</t>
  </si>
  <si>
    <t xml:space="preserve">AAACGCCGGTGCTGCCCACCACGC</t>
  </si>
  <si>
    <t xml:space="preserve">TGCAGCTGCCAGCAGCAGAA</t>
  </si>
  <si>
    <t xml:space="preserve">TAGTTGCAGCTGCCAGCAGCAGAA</t>
  </si>
  <si>
    <t xml:space="preserve">AAACTTCTGCTGCTGGCAGCTGCA</t>
  </si>
  <si>
    <t xml:space="preserve">PSPPH_1517</t>
  </si>
  <si>
    <t xml:space="preserve">TAATTGCTCAGCGAAGGACA</t>
  </si>
  <si>
    <t xml:space="preserve">TAGTTAATTGCTCAGCGAAGGACA</t>
  </si>
  <si>
    <t xml:space="preserve">AAACTGTCCTTCGCTGAGCAATTA</t>
  </si>
  <si>
    <t xml:space="preserve">ATCGAGGAAGACTTGCAGGC</t>
  </si>
  <si>
    <t xml:space="preserve">TAGTATCGAGGAAGACTTGCAGGC</t>
  </si>
  <si>
    <t xml:space="preserve">AAACGCCTGCAAGTCTTCCTCGAT</t>
  </si>
  <si>
    <t xml:space="preserve">TGCGGTCAGGTAGCCATGAG</t>
  </si>
  <si>
    <t xml:space="preserve">TAGTTGCGGTCAGGTAGCCATGAG</t>
  </si>
  <si>
    <t xml:space="preserve">AAACCTCATGGCTACCTGACCGCA</t>
  </si>
  <si>
    <t xml:space="preserve">CGGCACGTCTTCGGCACAGA</t>
  </si>
  <si>
    <t xml:space="preserve">TAGTCGGCACGTCTTCGGCACAGA</t>
  </si>
  <si>
    <t xml:space="preserve">AAACTCTGTGCCGAAGACGTGCCG</t>
  </si>
  <si>
    <t xml:space="preserve">PSPPH_1518</t>
  </si>
  <si>
    <t xml:space="preserve">recQ</t>
  </si>
  <si>
    <t xml:space="preserve">CACGCTCGATAATGGCACCC</t>
  </si>
  <si>
    <t xml:space="preserve">TAGTCACGCTCGATAATGGCACCC</t>
  </si>
  <si>
    <t xml:space="preserve">AAACGGGTGCCATTATCGAGCGTG</t>
  </si>
  <si>
    <t xml:space="preserve">CACCAGTGCATCGCCACCGT</t>
  </si>
  <si>
    <t xml:space="preserve">TAGTCACCAGTGCATCGCCACCGT</t>
  </si>
  <si>
    <t xml:space="preserve">AAACACGGTGGCGATGCACTGGTG</t>
  </si>
  <si>
    <t xml:space="preserve">AGGGACTTGCCACCACCGGT</t>
  </si>
  <si>
    <t xml:space="preserve">TAGTAGGGACTTGCCACCACCGGT</t>
  </si>
  <si>
    <t xml:space="preserve">AAACACCGGTGGTGGCAAGTCCCT</t>
  </si>
  <si>
    <t xml:space="preserve">GCCCTGGCACCTGAAAACAC</t>
  </si>
  <si>
    <t xml:space="preserve">TAGTGCCCTGGCACCTGAAAACAC</t>
  </si>
  <si>
    <t xml:space="preserve">AAACGTGTTTTCAGGTGCCAGGGC</t>
  </si>
  <si>
    <t xml:space="preserve">PSPPH_1519</t>
  </si>
  <si>
    <t xml:space="preserve">AAACGGTGTTCATCAGTCAA</t>
  </si>
  <si>
    <t xml:space="preserve">TAGTAAACGGTGTTCATCAGTCAA</t>
  </si>
  <si>
    <t xml:space="preserve">AAACTTGACTGATGAACACCGTTT</t>
  </si>
  <si>
    <t xml:space="preserve">CAGCTCGGCGCGCCAGCCCC</t>
  </si>
  <si>
    <t xml:space="preserve">TAGTCAGCTCGGCGCGCCAGCCCC</t>
  </si>
  <si>
    <t xml:space="preserve">AAACGGGGCTGGCGCGCCGAGCTG</t>
  </si>
  <si>
    <t xml:space="preserve">CGCCTGAGACAGGCCAAGAT</t>
  </si>
  <si>
    <t xml:space="preserve">TAGTCGCCTGAGACAGGCCAAGAT</t>
  </si>
  <si>
    <t xml:space="preserve">AAACATCTTGGCCTGTCTCAGGCG</t>
  </si>
  <si>
    <t xml:space="preserve">CGAAACGGGCGAGGTGCAGC</t>
  </si>
  <si>
    <t xml:space="preserve">TAGTCGAAACGGGCGAGGTGCAGC</t>
  </si>
  <si>
    <t xml:space="preserve">AAACGCTGCACCTCGCCCGTTTCG</t>
  </si>
  <si>
    <t xml:space="preserve">PSPPH_1520</t>
  </si>
  <si>
    <t xml:space="preserve">CGCAGACGCCAGCGTAGAGC</t>
  </si>
  <si>
    <t xml:space="preserve">TAGTCGCAGACGCCAGCGTAGAGC</t>
  </si>
  <si>
    <t xml:space="preserve">AAACGCTCTACGCTGGCGTCTGCG</t>
  </si>
  <si>
    <t xml:space="preserve">CTGGTTGAGCGCCGAGTGCA</t>
  </si>
  <si>
    <t xml:space="preserve">TAGTCTGGTTGAGCGCCGAGTGCA</t>
  </si>
  <si>
    <t xml:space="preserve">AAACTGCACTCGGCGCTCAACCAG</t>
  </si>
  <si>
    <t xml:space="preserve">AGCTGGATCTCGGCATTCAG</t>
  </si>
  <si>
    <t xml:space="preserve">TAGTAGCTGGATCTCGGCATTCAG</t>
  </si>
  <si>
    <t xml:space="preserve">AAACCTGAATGCCGAGATCCAGCT</t>
  </si>
  <si>
    <t xml:space="preserve">AGCCTCGGGCGACGCGAGCC</t>
  </si>
  <si>
    <t xml:space="preserve">TAGTAGCCTCGGGCGACGCGAGCC</t>
  </si>
  <si>
    <t xml:space="preserve">AAACGGCTCGCGTCGCCCGAGGCT</t>
  </si>
  <si>
    <t xml:space="preserve">PSPPH_1521</t>
  </si>
  <si>
    <t xml:space="preserve">TTAGTAGCCTGCGAAATATG</t>
  </si>
  <si>
    <t xml:space="preserve">TAGTTTAGTAGCCTGCGAAATATG</t>
  </si>
  <si>
    <t xml:space="preserve">AAACCATATTTCGCAGGCTACTAA</t>
  </si>
  <si>
    <t xml:space="preserve">TTGCTGATCCGCTGTCTGAC</t>
  </si>
  <si>
    <t xml:space="preserve">TAGTTTGCTGATCCGCTGTCTGAC</t>
  </si>
  <si>
    <t xml:space="preserve">AAACGTCAGACAGCGGATCAGCAA</t>
  </si>
  <si>
    <t xml:space="preserve">GAATGCACTGCGGGTTTGGT</t>
  </si>
  <si>
    <t xml:space="preserve">TAGTGAATGCACTGCGGGTTTGGT</t>
  </si>
  <si>
    <t xml:space="preserve">AAACACCAAACCCGCAGTGCATTC</t>
  </si>
  <si>
    <t xml:space="preserve">TTGACAGGCTTTTGCGGTTG</t>
  </si>
  <si>
    <t xml:space="preserve">TAGTTTGACAGGCTTTTGCGGTTG</t>
  </si>
  <si>
    <t xml:space="preserve">AAACCAACCGCAAAAGCCTGTCAA</t>
  </si>
  <si>
    <t xml:space="preserve">PSPPH_1522</t>
  </si>
  <si>
    <t xml:space="preserve">aer1</t>
  </si>
  <si>
    <t xml:space="preserve">GTCCGTTCAGTCTGCGTGAT</t>
  </si>
  <si>
    <t xml:space="preserve">TAGTGTCCGTTCAGTCTGCGTGAT</t>
  </si>
  <si>
    <t xml:space="preserve">AAACATCACGCAGACTGAACGGAC</t>
  </si>
  <si>
    <t xml:space="preserve">GAGATGAGGCGTTCAGATGC</t>
  </si>
  <si>
    <t xml:space="preserve">TAGTGAGATGAGGCGTTCAGATGC</t>
  </si>
  <si>
    <t xml:space="preserve">AAACGCATCTGAACGCCTCATCTC</t>
  </si>
  <si>
    <t xml:space="preserve">GTGGCTATTGAGGTCGGTGG</t>
  </si>
  <si>
    <t xml:space="preserve">TAGTGTGGCTATTGAGGTCGGTGG</t>
  </si>
  <si>
    <t xml:space="preserve">AAACCCACCGACCTCAATAGCCAC</t>
  </si>
  <si>
    <t xml:space="preserve">GACGAACGCATCGTTGCAGT</t>
  </si>
  <si>
    <t xml:space="preserve">TAGTGACGAACGCATCGTTGCAGT</t>
  </si>
  <si>
    <t xml:space="preserve">AAACACTGCAACGATGCGTTCGTC</t>
  </si>
  <si>
    <t xml:space="preserve">PSPPH_1523</t>
  </si>
  <si>
    <t xml:space="preserve">ACGGACAGCACCCAAACGCT</t>
  </si>
  <si>
    <t xml:space="preserve">TAGTACGGACAGCACCCAAACGCT</t>
  </si>
  <si>
    <t xml:space="preserve">AAACAGCGTTTGGGTGCTGTCCGT</t>
  </si>
  <si>
    <t xml:space="preserve">CAAAGAGCACCGCTTGCTAC</t>
  </si>
  <si>
    <t xml:space="preserve">TAGTCAAAGAGCACCGCTTGCTAC</t>
  </si>
  <si>
    <t xml:space="preserve">AAACGTAGCAAGCGGTGCTCTTTG</t>
  </si>
  <si>
    <t xml:space="preserve">CTGCTCGACATAATCCGCGT</t>
  </si>
  <si>
    <t xml:space="preserve">TAGTCTGCTCGACATAATCCGCGT</t>
  </si>
  <si>
    <t xml:space="preserve">AAACACGCGGATTATGTCGAGCAG</t>
  </si>
  <si>
    <t xml:space="preserve">CGCCAACTGGCAGCGTCACC</t>
  </si>
  <si>
    <t xml:space="preserve">TAGTCGCCAACTGGCAGCGTCACC</t>
  </si>
  <si>
    <t xml:space="preserve">AAACGGTGACGCTGCCAGTTGGCG</t>
  </si>
  <si>
    <t xml:space="preserve">PSPPH_1524</t>
  </si>
  <si>
    <t xml:space="preserve">ATCGAATAGACGGCGTCCGT</t>
  </si>
  <si>
    <t xml:space="preserve">TAGTATCGAATAGACGGCGTCCGT</t>
  </si>
  <si>
    <t xml:space="preserve">AAACACGGACGCCGTCTATTCGAT</t>
  </si>
  <si>
    <t xml:space="preserve">CAAGCCATTGGCGTCTAAGA</t>
  </si>
  <si>
    <t xml:space="preserve">TAGTCAAGCCATTGGCGTCTAAGA</t>
  </si>
  <si>
    <t xml:space="preserve">AAACTCTTAGACGCCAATGGCTTG</t>
  </si>
  <si>
    <t xml:space="preserve">GAACGCTGAGCCCATGGGCC</t>
  </si>
  <si>
    <t xml:space="preserve">TAGTGAACGCTGAGCCCATGGGCC</t>
  </si>
  <si>
    <t xml:space="preserve">AAACGGCCCATGGGCTCAGCGTTC</t>
  </si>
  <si>
    <t xml:space="preserve">GCTAGACCAATCCCTGTACC</t>
  </si>
  <si>
    <t xml:space="preserve">TAGTGCTAGACCAATCCCTGTACC</t>
  </si>
  <si>
    <t xml:space="preserve">AAACGGTACAGGGATTGGTCTAGC</t>
  </si>
  <si>
    <t xml:space="preserve">PSPPH_1525</t>
  </si>
  <si>
    <t xml:space="preserve">ATGCGTTTAGATTGACGTTG</t>
  </si>
  <si>
    <t xml:space="preserve">TAGTATGCGTTTAGATTGACGTTG</t>
  </si>
  <si>
    <t xml:space="preserve">AAACCAACGTCAATCTAAACGCAT</t>
  </si>
  <si>
    <t xml:space="preserve">GGTCCTCTTCACTGAAAGAC</t>
  </si>
  <si>
    <t xml:space="preserve">TAGTGGTCCTCTTCACTGAAAGAC</t>
  </si>
  <si>
    <t xml:space="preserve">AAACGTCTTTCAGTGAAGAGGACC</t>
  </si>
  <si>
    <t xml:space="preserve">GATCCCCGGTCCGCTTGAGC</t>
  </si>
  <si>
    <t xml:space="preserve">TAGTGATCCCCGGTCCGCTTGAGC</t>
  </si>
  <si>
    <t xml:space="preserve">AAACGCTCAAGCGGACCGGGGATC</t>
  </si>
  <si>
    <t xml:space="preserve">CTGGTGCCGGTACTGGCTTC</t>
  </si>
  <si>
    <t xml:space="preserve">TAGTCTGGTGCCGGTACTGGCTTC</t>
  </si>
  <si>
    <t xml:space="preserve">AAACGAAGCCAGTACCGGCACCAG</t>
  </si>
  <si>
    <t xml:space="preserve">PSPPH_1527</t>
  </si>
  <si>
    <t xml:space="preserve">TCCACCGCCCCCCCCCGTGT</t>
  </si>
  <si>
    <t xml:space="preserve">TAGTTCCACCGCCCCCCCCCGTGT</t>
  </si>
  <si>
    <t xml:space="preserve">AAACACACGGGGGGGGGCGGTGGA</t>
  </si>
  <si>
    <t xml:space="preserve">PSPPH_1530</t>
  </si>
  <si>
    <t xml:space="preserve">CAGTGACATAGCAGCGGAAG</t>
  </si>
  <si>
    <t xml:space="preserve">TAGTCAGTGACATAGCAGCGGAAG</t>
  </si>
  <si>
    <t xml:space="preserve">AAACCTTCCGCTGCTATGTCACTG</t>
  </si>
  <si>
    <t xml:space="preserve">CGCCTGCGCGGGCAGTATGA</t>
  </si>
  <si>
    <t xml:space="preserve">TAGTCGCCTGCGCGGGCAGTATGA</t>
  </si>
  <si>
    <t xml:space="preserve">AAACTCATACTGCCCGCGCAGGCG</t>
  </si>
  <si>
    <t xml:space="preserve">CGTCACCACGGCTGCCTCAC</t>
  </si>
  <si>
    <t xml:space="preserve">TAGTCGTCACCACGGCTGCCTCAC</t>
  </si>
  <si>
    <t xml:space="preserve">AAACGTGAGGCAGCCGTGGTGACG</t>
  </si>
  <si>
    <t xml:space="preserve">GGCTCGCTTATAGTGCCCCA</t>
  </si>
  <si>
    <t xml:space="preserve">TAGTGGCTCGCTTATAGTGCCCCA</t>
  </si>
  <si>
    <t xml:space="preserve">AAACTGGGGCACTATAAGCGAGCC</t>
  </si>
  <si>
    <t xml:space="preserve">PSPPH_1531</t>
  </si>
  <si>
    <t xml:space="preserve">nadA</t>
  </si>
  <si>
    <t xml:space="preserve">CCGGAAACCCTTATCAACCA</t>
  </si>
  <si>
    <t xml:space="preserve">TAGTCCGGAAACCCTTATCAACCA</t>
  </si>
  <si>
    <t xml:space="preserve">AAACTGGTTGATAAGGGTTTCCGG</t>
  </si>
  <si>
    <t xml:space="preserve">CAAGTTTACACCCGAAATAC</t>
  </si>
  <si>
    <t xml:space="preserve">TAGTCAAGTTTACACCCGAAATAC</t>
  </si>
  <si>
    <t xml:space="preserve">AAACGTATTTCGGGTGTAAACTTG</t>
  </si>
  <si>
    <t xml:space="preserve">TGAAGGCGCTAGAGCGCGAA</t>
  </si>
  <si>
    <t xml:space="preserve">TAGTTGAAGGCGCTAGAGCGCGAA</t>
  </si>
  <si>
    <t xml:space="preserve">AAACTTCGCGCTCTAGCGCCTTCA</t>
  </si>
  <si>
    <t xml:space="preserve">GAGATCTGTGTCATGTTCGC</t>
  </si>
  <si>
    <t xml:space="preserve">TAGTGAGATCTGTGTCATGTTCGC</t>
  </si>
  <si>
    <t xml:space="preserve">AAACGCGAACATGACACAGATCTC</t>
  </si>
  <si>
    <t xml:space="preserve">PSPPH_1532</t>
  </si>
  <si>
    <t xml:space="preserve">ATGGCGTGCTGACCAGAGTG</t>
  </si>
  <si>
    <t xml:space="preserve">TAGTATGGCGTGCTGACCAGAGTG</t>
  </si>
  <si>
    <t xml:space="preserve">AAACCACTCTGGTCAGCACGCCAT</t>
  </si>
  <si>
    <t xml:space="preserve">AGAAGAACCTGTACTGTAGC</t>
  </si>
  <si>
    <t xml:space="preserve">TAGTAGAAGAACCTGTACTGTAGC</t>
  </si>
  <si>
    <t xml:space="preserve">AAACGCTACAGTACAGGTTCTTCT</t>
  </si>
  <si>
    <t xml:space="preserve">AAAATTCATGCACGAAGCTC</t>
  </si>
  <si>
    <t xml:space="preserve">TAGTAAAATTCATGCACGAAGCTC</t>
  </si>
  <si>
    <t xml:space="preserve">AAACGAGCTTCGTGCATGAATTTT</t>
  </si>
  <si>
    <t xml:space="preserve">CAAGCGAGGGTGAGCAGTGT</t>
  </si>
  <si>
    <t xml:space="preserve">TAGTCAAGCGAGGGTGAGCAGTGT</t>
  </si>
  <si>
    <t xml:space="preserve">AAACACACTGCTCACCCTCGCTTG</t>
  </si>
  <si>
    <t xml:space="preserve">PSPPH_1533</t>
  </si>
  <si>
    <t xml:space="preserve">GTTCGGCGTCGCACACCTCG</t>
  </si>
  <si>
    <t xml:space="preserve">TAGTGTTCGGCGTCGCACACCTCG</t>
  </si>
  <si>
    <t xml:space="preserve">AAACCGAGGTGTGCGACGCCGAAC</t>
  </si>
  <si>
    <t xml:space="preserve">GCAGAGGCAGCGGGCAGTTG</t>
  </si>
  <si>
    <t xml:space="preserve">TAGTGCAGAGGCAGCGGGCAGTTG</t>
  </si>
  <si>
    <t xml:space="preserve">AAACCAACTGCCCGCTGCCTCTGC</t>
  </si>
  <si>
    <t xml:space="preserve">CAGACGATTGAGTTCCATCT</t>
  </si>
  <si>
    <t xml:space="preserve">TAGTCAGACGATTGAGTTCCATCT</t>
  </si>
  <si>
    <t xml:space="preserve">AAACAGATGGAACTCAATCGTCTG</t>
  </si>
  <si>
    <t xml:space="preserve">CACCTTCAGCACCGCGCCAC</t>
  </si>
  <si>
    <t xml:space="preserve">TAGTCACCTTCAGCACCGCGCCAC</t>
  </si>
  <si>
    <t xml:space="preserve">AAACGTGGCGCGGTGCTGAAGGTG</t>
  </si>
  <si>
    <t xml:space="preserve">PSPPH_1534</t>
  </si>
  <si>
    <t xml:space="preserve">CAGTACCACCGCTTCCTCAT</t>
  </si>
  <si>
    <t xml:space="preserve">TAGTCAGTACCACCGCTTCCTCAT</t>
  </si>
  <si>
    <t xml:space="preserve">AAACATGAGGAAGCGGTGGTACTG</t>
  </si>
  <si>
    <t xml:space="preserve">TCCGCCCAGGGTCAGGACAA</t>
  </si>
  <si>
    <t xml:space="preserve">TAGTTCCGCCCAGGGTCAGGACAA</t>
  </si>
  <si>
    <t xml:space="preserve">AAACTTGTCCTGACCCTGGGCGGA</t>
  </si>
  <si>
    <t xml:space="preserve">AGCACCAACCCCGCAATGAC</t>
  </si>
  <si>
    <t xml:space="preserve">TAGTAGCACCAACCCCGCAATGAC</t>
  </si>
  <si>
    <t xml:space="preserve">AAACGTCATTGCGGGGTTGGTGCT</t>
  </si>
  <si>
    <t xml:space="preserve">GACCAACCCGTGCATCAGGA</t>
  </si>
  <si>
    <t xml:space="preserve">TAGTGACCAACCCGTGCATCAGGA</t>
  </si>
  <si>
    <t xml:space="preserve">AAACTCCTGATGCACGGGTTGGTC</t>
  </si>
  <si>
    <t xml:space="preserve">PSPPH_1535</t>
  </si>
  <si>
    <t xml:space="preserve">TGATCTACTGTGACGGTCAT</t>
  </si>
  <si>
    <t xml:space="preserve">TAGTTGATCTACTGTGACGGTCAT</t>
  </si>
  <si>
    <t xml:space="preserve">AAACATGACCGTCACAGTAGATCA</t>
  </si>
  <si>
    <t xml:space="preserve">GGTGCCTGAAAGTCGGGAAC</t>
  </si>
  <si>
    <t xml:space="preserve">TAGTGGTGCCTGAAAGTCGGGAAC</t>
  </si>
  <si>
    <t xml:space="preserve">AAACGTTCCCGACTTTCAGGCACC</t>
  </si>
  <si>
    <t xml:space="preserve">ACGGTCTGTCCGCTGGTCGC</t>
  </si>
  <si>
    <t xml:space="preserve">TAGTACGGTCTGTCCGCTGGTCGC</t>
  </si>
  <si>
    <t xml:space="preserve">AAACGCGACCAGCGGACAGACCGT</t>
  </si>
  <si>
    <t xml:space="preserve">AGCCGGGCGTGTTGTCTTTC</t>
  </si>
  <si>
    <t xml:space="preserve">TAGTAGCCGGGCGTGTTGTCTTTC</t>
  </si>
  <si>
    <t xml:space="preserve">AAACGAAAGACAACACGCCCGGCT</t>
  </si>
  <si>
    <t xml:space="preserve">PSPPH_1536</t>
  </si>
  <si>
    <t xml:space="preserve">TTGTTCGCGAACTGTGGGAG</t>
  </si>
  <si>
    <t xml:space="preserve">TAGTTTGTTCGCGAACTGTGGGAG</t>
  </si>
  <si>
    <t xml:space="preserve">AAACCTCCCACAGTTCGCGAACAA</t>
  </si>
  <si>
    <t xml:space="preserve">CGCCAAGGGCACTGATGACA</t>
  </si>
  <si>
    <t xml:space="preserve">TAGTCGCCAAGGGCACTGATGACA</t>
  </si>
  <si>
    <t xml:space="preserve">AAACTGTCATCAGTGCCCTTGGCG</t>
  </si>
  <si>
    <t xml:space="preserve">GGACGTTGGTCAGCTCCATG</t>
  </si>
  <si>
    <t xml:space="preserve">TAGTGGACGTTGGTCAGCTCCATG</t>
  </si>
  <si>
    <t xml:space="preserve">AAACCATGGAGCTGACCAACGTCC</t>
  </si>
  <si>
    <t xml:space="preserve">TTTCATGGCTGGCACGGCAC</t>
  </si>
  <si>
    <t xml:space="preserve">TAGTTTTCATGGCTGGCACGGCAC</t>
  </si>
  <si>
    <t xml:space="preserve">AAACGTGCCGTGCCAGCCATGAAA</t>
  </si>
  <si>
    <t xml:space="preserve">PSPPH_1537</t>
  </si>
  <si>
    <t xml:space="preserve">dapA</t>
  </si>
  <si>
    <t xml:space="preserve">AGACGACCTTGTGCATCCAT</t>
  </si>
  <si>
    <t xml:space="preserve">TAGTAGACGACCTTGTGCATCCAT</t>
  </si>
  <si>
    <t xml:space="preserve">AAACATGGATGCACAAGGTCGTCT</t>
  </si>
  <si>
    <t xml:space="preserve">GGAAGTCAACCAGTTTGCTC</t>
  </si>
  <si>
    <t xml:space="preserve">TAGTGGAAGTCAACCAGTTTGCTC</t>
  </si>
  <si>
    <t xml:space="preserve">AAACGAGCAAACTGGTTGACTTCC</t>
  </si>
  <si>
    <t xml:space="preserve">CGTTGGTGCCCTCTTGCAAG</t>
  </si>
  <si>
    <t xml:space="preserve">TAGTCGTTGGTGCCCTCTTGCAAG</t>
  </si>
  <si>
    <t xml:space="preserve">AAACCTTGCAAGAGGGCACCAACG</t>
  </si>
  <si>
    <t xml:space="preserve">GGTGGTGCCGACGGCAACAA</t>
  </si>
  <si>
    <t xml:space="preserve">TAGTGGTGGTGCCGACGGCAACAA</t>
  </si>
  <si>
    <t xml:space="preserve">AAACTTGTTGCCGTCGGCACCACC</t>
  </si>
  <si>
    <t xml:space="preserve">PSPPH_1538</t>
  </si>
  <si>
    <t xml:space="preserve">AAGAGCAAGTGCGGAAAGTC</t>
  </si>
  <si>
    <t xml:space="preserve">TAGTAAGAGCAAGTGCGGAAAGTC</t>
  </si>
  <si>
    <t xml:space="preserve">AAACGACTTTCCGCACTTGCTCTT</t>
  </si>
  <si>
    <t xml:space="preserve">CCAACCGCAACCGCTGGTGC</t>
  </si>
  <si>
    <t xml:space="preserve">TAGTCCAACCGCAACCGCTGGTGC</t>
  </si>
  <si>
    <t xml:space="preserve">AAACGCACCAGCGGTTGCGGTTGG</t>
  </si>
  <si>
    <t xml:space="preserve">GGTAATCGCTACCGCGATCA</t>
  </si>
  <si>
    <t xml:space="preserve">TAGTGGTAATCGCTACCGCGATCA</t>
  </si>
  <si>
    <t xml:space="preserve">AAACTGATCGCGGTAGCGATTACC</t>
  </si>
  <si>
    <t xml:space="preserve">GTGGGGTCTGGGTGGCCTGG</t>
  </si>
  <si>
    <t xml:space="preserve">TAGTGTGGGGTCTGGGTGGCCTGG</t>
  </si>
  <si>
    <t xml:space="preserve">AAACCCAGGCCACCCAGACCCCAC</t>
  </si>
  <si>
    <t xml:space="preserve">PSPPH_1539</t>
  </si>
  <si>
    <t xml:space="preserve">GCGGCGCTCGGTTTCCCGTA</t>
  </si>
  <si>
    <t xml:space="preserve">TAGTGCGGCGCTCGGTTTCCCGTA</t>
  </si>
  <si>
    <t xml:space="preserve">AAACTACGGGAAACCGAGCGCCGC</t>
  </si>
  <si>
    <t xml:space="preserve">CAGCGACGCCCAGACGCGCC</t>
  </si>
  <si>
    <t xml:space="preserve">TAGTCAGCGACGCCCAGACGCGCC</t>
  </si>
  <si>
    <t xml:space="preserve">AAACGGCGCGTCTGGGCGTCGCTG</t>
  </si>
  <si>
    <t xml:space="preserve">TTACCAGAATCGCACTCAAC</t>
  </si>
  <si>
    <t xml:space="preserve">TAGTTTACCAGAATCGCACTCAAC</t>
  </si>
  <si>
    <t xml:space="preserve">AAACGTTGAGTGCGATTCTGGTAA</t>
  </si>
  <si>
    <t xml:space="preserve">CACATGATCGGCATGCTCAT</t>
  </si>
  <si>
    <t xml:space="preserve">TAGTCACATGATCGGCATGCTCAT</t>
  </si>
  <si>
    <t xml:space="preserve">AAACATGAGCATGCCGATCATGTG</t>
  </si>
  <si>
    <t xml:space="preserve">PSPPH_1540</t>
  </si>
  <si>
    <t xml:space="preserve">purC</t>
  </si>
  <si>
    <t xml:space="preserve">AAACCGATTTGGCTTTGCCG</t>
  </si>
  <si>
    <t xml:space="preserve">TAGTAAACCGATTTGGCTTTGCCG</t>
  </si>
  <si>
    <t xml:space="preserve">AAACCGGCAAAGCCAAATCGGTTT</t>
  </si>
  <si>
    <t xml:space="preserve">GATCAAGCGGTCAGCGTCGT</t>
  </si>
  <si>
    <t xml:space="preserve">TAGTGATCAAGCGGTCAGCGTCGT</t>
  </si>
  <si>
    <t xml:space="preserve">AAACACGACGCTGACCGCTTGATC</t>
  </si>
  <si>
    <t xml:space="preserve">AAGTGTCGTTACGGAACAGC</t>
  </si>
  <si>
    <t xml:space="preserve">TAGTAAGTGTCGTTACGGAACAGC</t>
  </si>
  <si>
    <t xml:space="preserve">AAACGCTGTTCCGTAACGACACTT</t>
  </si>
  <si>
    <t xml:space="preserve">TGTTGTTCACCATGCCTTTA</t>
  </si>
  <si>
    <t xml:space="preserve">TAGTTGTTGTTCACCATGCCTTTA</t>
  </si>
  <si>
    <t xml:space="preserve">AAACTAAAGGCATGGTGAACAACA</t>
  </si>
  <si>
    <t xml:space="preserve">PSPPH_1542</t>
  </si>
  <si>
    <t xml:space="preserve">AATCGCTTCCAGATCGCTAT</t>
  </si>
  <si>
    <t xml:space="preserve">TAGTAATCGCTTCCAGATCGCTAT</t>
  </si>
  <si>
    <t xml:space="preserve">AAACATAGCGATCTGGAAGCGATT</t>
  </si>
  <si>
    <t xml:space="preserve">CGACTTCGTCAGCTCTCTGA</t>
  </si>
  <si>
    <t xml:space="preserve">TAGTCGACTTCGTCAGCTCTCTGA</t>
  </si>
  <si>
    <t xml:space="preserve">AAACTCAGAGAGCTGACGAAGTCG</t>
  </si>
  <si>
    <t xml:space="preserve">CTGCTCAATGGATTCCAGAA</t>
  </si>
  <si>
    <t xml:space="preserve">TAGTCTGCTCAATGGATTCCAGAA</t>
  </si>
  <si>
    <t xml:space="preserve">AAACTTCTGGAATCCATTGAGCAG</t>
  </si>
  <si>
    <t xml:space="preserve">GTACGTCCGGGGCTTGGGAA</t>
  </si>
  <si>
    <t xml:space="preserve">TAGTGTACGTCCGGGGCTTGGGAA</t>
  </si>
  <si>
    <t xml:space="preserve">AAACTTCCCAAGCCCCGGACGTAC</t>
  </si>
  <si>
    <t xml:space="preserve">PSPPH_1543</t>
  </si>
  <si>
    <t xml:space="preserve">TCGACACGGAATGACAAAAC</t>
  </si>
  <si>
    <t xml:space="preserve">TAGTTCGACACGGAATGACAAAAC</t>
  </si>
  <si>
    <t xml:space="preserve">AAACGTTTTGTCATTCCGTGTCGA</t>
  </si>
  <si>
    <t xml:space="preserve">GGTCCGTGGCAAGCGCTAGC</t>
  </si>
  <si>
    <t xml:space="preserve">TAGTGGTCCGTGGCAAGCGCTAGC</t>
  </si>
  <si>
    <t xml:space="preserve">AAACGCTAGCGCTTGCCACGGACC</t>
  </si>
  <si>
    <t xml:space="preserve">TCAGGTGGTACTGACGATCA</t>
  </si>
  <si>
    <t xml:space="preserve">TAGTTCAGGTGGTACTGACGATCA</t>
  </si>
  <si>
    <t xml:space="preserve">AAACTGATCGTCAGTACCACCTGA</t>
  </si>
  <si>
    <t xml:space="preserve">TGCTTCGACATAGCGGGACA</t>
  </si>
  <si>
    <t xml:space="preserve">TAGTTGCTTCGACATAGCGGGACA</t>
  </si>
  <si>
    <t xml:space="preserve">AAACTGTCCCGCTATGTCGAAGCA</t>
  </si>
  <si>
    <t xml:space="preserve">PSPPH_1544</t>
  </si>
  <si>
    <t xml:space="preserve">TCATGGCTCTGACTGGGAGA</t>
  </si>
  <si>
    <t xml:space="preserve">TAGTTCATGGCTCTGACTGGGAGA</t>
  </si>
  <si>
    <t xml:space="preserve">AAACTCTCCCAGTCAGAGCCATGA</t>
  </si>
  <si>
    <t xml:space="preserve">CTTGCCCTGCCACTTGAACT</t>
  </si>
  <si>
    <t xml:space="preserve">TAGTCTTGCCCTGCCACTTGAACT</t>
  </si>
  <si>
    <t xml:space="preserve">AAACAGTTCAAGTGGCAGGGCAAG</t>
  </si>
  <si>
    <t xml:space="preserve">CGTCACGCCCAGCTCCACCT</t>
  </si>
  <si>
    <t xml:space="preserve">TAGTCGTCACGCCCAGCTCCACCT</t>
  </si>
  <si>
    <t xml:space="preserve">AAACAGGTGGAGCTGGGCGTGACG</t>
  </si>
  <si>
    <t xml:space="preserve">GTCGTGAGAAATCAGGTGCC</t>
  </si>
  <si>
    <t xml:space="preserve">TAGTGTCGTGAGAAATCAGGTGCC</t>
  </si>
  <si>
    <t xml:space="preserve">AAACGGCACCTGATTTCTCACGAC</t>
  </si>
  <si>
    <t xml:space="preserve">PSPPH_1545</t>
  </si>
  <si>
    <t xml:space="preserve">ATACAAAGGTCGCGAAGTTT</t>
  </si>
  <si>
    <t xml:space="preserve">TAGTATACAAAGGTCGCGAAGTTT</t>
  </si>
  <si>
    <t xml:space="preserve">AAACAAACTTCGCGACCTTTGTAT</t>
  </si>
  <si>
    <t xml:space="preserve">AGGGGCATTTCCAGCAGTGA</t>
  </si>
  <si>
    <t xml:space="preserve">TAGTAGGGGCATTTCCAGCAGTGA</t>
  </si>
  <si>
    <t xml:space="preserve">AAACTCACTGCTGGAAATGCCCCT</t>
  </si>
  <si>
    <t xml:space="preserve">AGGCACTGCCTTTGTTCAGC</t>
  </si>
  <si>
    <t xml:space="preserve">TAGTAGGCACTGCCTTTGTTCAGC</t>
  </si>
  <si>
    <t xml:space="preserve">AAACGCTGAACAAAGGCAGTGCCT</t>
  </si>
  <si>
    <t xml:space="preserve">GAATTCGACCCGCTCTTGCG</t>
  </si>
  <si>
    <t xml:space="preserve">TAGTGAATTCGACCCGCTCTTGCG</t>
  </si>
  <si>
    <t xml:space="preserve">AAACCGCAAGAGCGGGTCGAATTC</t>
  </si>
  <si>
    <t xml:space="preserve">PSPPH_1546</t>
  </si>
  <si>
    <t xml:space="preserve">GGACGAACAGTTCTGGGTGT</t>
  </si>
  <si>
    <t xml:space="preserve">TAGTGGACGAACAGTTCTGGGTGT</t>
  </si>
  <si>
    <t xml:space="preserve">AAACACACCCAGAACTGTTCGTCC</t>
  </si>
  <si>
    <t xml:space="preserve">GCAAGTAAGGTAACAACCTC</t>
  </si>
  <si>
    <t xml:space="preserve">TAGTGCAAGTAAGGTAACAACCTC</t>
  </si>
  <si>
    <t xml:space="preserve">AAACGAGGTTGTTACCTTACTTGC</t>
  </si>
  <si>
    <t xml:space="preserve">ACCCAGTAACAGAAAGGCAC</t>
  </si>
  <si>
    <t xml:space="preserve">TAGTACCCAGTAACAGAAAGGCAC</t>
  </si>
  <si>
    <t xml:space="preserve">AAACGTGCCTTTCTGTTACTGGGT</t>
  </si>
  <si>
    <t xml:space="preserve">CAGGCCTTTGGCATCGGAGC</t>
  </si>
  <si>
    <t xml:space="preserve">TAGTCAGGCCTTTGGCATCGGAGC</t>
  </si>
  <si>
    <t xml:space="preserve">AAACGCTCCGATGCCAAAGGCCTG</t>
  </si>
  <si>
    <t xml:space="preserve">PSPPH_1547</t>
  </si>
  <si>
    <t xml:space="preserve">rnd</t>
  </si>
  <si>
    <t xml:space="preserve">GCGAATCCAGTGAATATCGA</t>
  </si>
  <si>
    <t xml:space="preserve">TAGTGCGAATCCAGTGAATATCGA</t>
  </si>
  <si>
    <t xml:space="preserve">AAACTCGATATTCACTGGATTCGC</t>
  </si>
  <si>
    <t xml:space="preserve">ATTCTGCGCAATGCCGGGCG</t>
  </si>
  <si>
    <t xml:space="preserve">TAGTATTCTGCGCAATGCCGGGCG</t>
  </si>
  <si>
    <t xml:space="preserve">AAACCGCCCGGCATTGCGCAGAAT</t>
  </si>
  <si>
    <t xml:space="preserve">TCGGTGTCGAGCGCGACAAA</t>
  </si>
  <si>
    <t xml:space="preserve">TAGTTCGGTGTCGAGCGCGACAAA</t>
  </si>
  <si>
    <t xml:space="preserve">AAACTTTGTCGCGCTCGACACCGA</t>
  </si>
  <si>
    <t xml:space="preserve">ATCTGCAGTAGCGCTGCTAT</t>
  </si>
  <si>
    <t xml:space="preserve">TAGTATCTGCAGTAGCGCTGCTAT</t>
  </si>
  <si>
    <t xml:space="preserve">AAACATAGCAGCGCTACTGCAGAT</t>
  </si>
  <si>
    <t xml:space="preserve">PSPPH_1548</t>
  </si>
  <si>
    <t xml:space="preserve">GGTACATCTCGTTTCTTTTC</t>
  </si>
  <si>
    <t xml:space="preserve">TAGTGGTACATCTCGTTTCTTTTC</t>
  </si>
  <si>
    <t xml:space="preserve">AAACGAAAAGAAACGAGATGTACC</t>
  </si>
  <si>
    <t xml:space="preserve">CATCGCTTTTCAAGACGTAA</t>
  </si>
  <si>
    <t xml:space="preserve">TAGTCATCGCTTTTCAAGACGTAA</t>
  </si>
  <si>
    <t xml:space="preserve">AAACTTACGTCTTGAAAAGCGATG</t>
  </si>
  <si>
    <t xml:space="preserve">GTTCAGGCGGCACGCGTTTG</t>
  </si>
  <si>
    <t xml:space="preserve">TAGTGTTCAGGCGGCACGCGTTTG</t>
  </si>
  <si>
    <t xml:space="preserve">AAACCAAACGCGTGCCGCCTGAAC</t>
  </si>
  <si>
    <t xml:space="preserve">ACCAGGTCAAATGCATGAAC</t>
  </si>
  <si>
    <t xml:space="preserve">TAGTACCAGGTCAAATGCATGAAC</t>
  </si>
  <si>
    <t xml:space="preserve">AAACGTTCATGCATTTGACCTGGT</t>
  </si>
  <si>
    <t xml:space="preserve">PSPPH_1549</t>
  </si>
  <si>
    <t xml:space="preserve">GTAAACGTGATAATCGTGCT</t>
  </si>
  <si>
    <t xml:space="preserve">TAGTGTAAACGTGATAATCGTGCT</t>
  </si>
  <si>
    <t xml:space="preserve">AAACAGCACGATTATCACGTTTAC</t>
  </si>
  <si>
    <t xml:space="preserve">CGCAGCCTTGCGCAACAATT</t>
  </si>
  <si>
    <t xml:space="preserve">TAGTCGCAGCCTTGCGCAACAATT</t>
  </si>
  <si>
    <t xml:space="preserve">AAACAATTGTTGCGCAAGGCTGCG</t>
  </si>
  <si>
    <t xml:space="preserve">GTGCTGAAGACTTCCAGATC</t>
  </si>
  <si>
    <t xml:space="preserve">TAGTGTGCTGAAGACTTCCAGATC</t>
  </si>
  <si>
    <t xml:space="preserve">AAACGATCTGGAAGTCTTCAGCAC</t>
  </si>
  <si>
    <t xml:space="preserve">GCTGGCCATTCGCGACAGCT</t>
  </si>
  <si>
    <t xml:space="preserve">TAGTGCTGGCCATTCGCGACAGCT</t>
  </si>
  <si>
    <t xml:space="preserve">AAACAGCTGTCGCGAATGGCCAGC</t>
  </si>
  <si>
    <t xml:space="preserve">PSPPH_1550</t>
  </si>
  <si>
    <t xml:space="preserve">TAGGGTGATCGGCGATGCGA</t>
  </si>
  <si>
    <t xml:space="preserve">TAGTTAGGGTGATCGGCGATGCGA</t>
  </si>
  <si>
    <t xml:space="preserve">AAACTCGCATCGCCGATCACCCTA</t>
  </si>
  <si>
    <t xml:space="preserve">ACCAGCGTTCGGTGAATTGC</t>
  </si>
  <si>
    <t xml:space="preserve">TAGTACCAGCGTTCGGTGAATTGC</t>
  </si>
  <si>
    <t xml:space="preserve">AAACGCAATTCACCGAACGCTGGT</t>
  </si>
  <si>
    <t xml:space="preserve">CTTTCGCCACTGAATGCACG</t>
  </si>
  <si>
    <t xml:space="preserve">TAGTCTTTCGCCACTGAATGCACG</t>
  </si>
  <si>
    <t xml:space="preserve">AAACCGTGCATTCAGTGGCGAAAG</t>
  </si>
  <si>
    <t xml:space="preserve">CGCTTCGAAAAAGCTCAGCA</t>
  </si>
  <si>
    <t xml:space="preserve">TAGTCGCTTCGAAAAAGCTCAGCA</t>
  </si>
  <si>
    <t xml:space="preserve">AAACTGCTGAGCTTTTTCGAAGCG</t>
  </si>
  <si>
    <t xml:space="preserve">PSPPH_1551</t>
  </si>
  <si>
    <t xml:space="preserve">GGGTTCAACTTTAGCGGCCA</t>
  </si>
  <si>
    <t xml:space="preserve">TAGTGGGTTCAACTTTAGCGGCCA</t>
  </si>
  <si>
    <t xml:space="preserve">AAACTGGCCGCTAAAGTTGAACCC</t>
  </si>
  <si>
    <t xml:space="preserve">AGGGTTTTGCGAATCCAGAA</t>
  </si>
  <si>
    <t xml:space="preserve">TAGTAGGGTTTTGCGAATCCAGAA</t>
  </si>
  <si>
    <t xml:space="preserve">AAACTTCTGGATTCGCAAAACCCT</t>
  </si>
  <si>
    <t xml:space="preserve">CCTCGGTGCTGAGCTGGTCG</t>
  </si>
  <si>
    <t xml:space="preserve">TAGTCCTCGGTGCTGAGCTGGTCG</t>
  </si>
  <si>
    <t xml:space="preserve">AAACCGACCAGCTCAGCACCGAGG</t>
  </si>
  <si>
    <t xml:space="preserve">CGTCAGGTCCAGCAGCTTGC</t>
  </si>
  <si>
    <t xml:space="preserve">TAGTCGTCAGGTCCAGCAGCTTGC</t>
  </si>
  <si>
    <t xml:space="preserve">AAACGCAAGCTGCTGGACCTGACG</t>
  </si>
  <si>
    <t xml:space="preserve">PSPPH_1552</t>
  </si>
  <si>
    <t xml:space="preserve">GTCGATGCGTTCGATAATCG</t>
  </si>
  <si>
    <t xml:space="preserve">TAGTGTCGATGCGTTCGATAATCG</t>
  </si>
  <si>
    <t xml:space="preserve">AAACCGATTATCGAACGCATCGAC</t>
  </si>
  <si>
    <t xml:space="preserve">GGGTTGCGCTGCAGCAGTTC</t>
  </si>
  <si>
    <t xml:space="preserve">TAGTGGGTTGCGCTGCAGCAGTTC</t>
  </si>
  <si>
    <t xml:space="preserve">AAACGAACTGCTGCAGCGCAACCC</t>
  </si>
  <si>
    <t xml:space="preserve">AGCCGTGGACGTTCTGATCA</t>
  </si>
  <si>
    <t xml:space="preserve">TAGTAGCCGTGGACGTTCTGATCA</t>
  </si>
  <si>
    <t xml:space="preserve">AAACTGATCAGAACGTCCACGGCT</t>
  </si>
  <si>
    <t xml:space="preserve">GGCCCAGAAAGCCGCCACGA</t>
  </si>
  <si>
    <t xml:space="preserve">TAGTGGCCCAGAAAGCCGCCACGA</t>
  </si>
  <si>
    <t xml:space="preserve">AAACTCGTGGCGGCTTTCTGGGCC</t>
  </si>
  <si>
    <t xml:space="preserve">PSPPH_1553</t>
  </si>
  <si>
    <t xml:space="preserve">GCGTACCGTTTATTGGCCAC</t>
  </si>
  <si>
    <t xml:space="preserve">TAGTGCGTACCGTTTATTGGCCAC</t>
  </si>
  <si>
    <t xml:space="preserve">AAACGTGGCCAATAAACGGTACGC</t>
  </si>
  <si>
    <t xml:space="preserve">GGGGTTGTAAAGACCGATGC</t>
  </si>
  <si>
    <t xml:space="preserve">TAGTGGGGTTGTAAAGACCGATGC</t>
  </si>
  <si>
    <t xml:space="preserve">AAACGCATCGGTCTTTACAACCCC</t>
  </si>
  <si>
    <t xml:space="preserve">CCGACATTTTCCGGGGACTT</t>
  </si>
  <si>
    <t xml:space="preserve">TAGTCCGACATTTTCCGGGGACTT</t>
  </si>
  <si>
    <t xml:space="preserve">AAACAAGTCCCCGGAAAATGTCGG</t>
  </si>
  <si>
    <t xml:space="preserve">GCAGCCGGCTGCTCGCATGA</t>
  </si>
  <si>
    <t xml:space="preserve">TAGTGCAGCCGGCTGCTCGCATGA</t>
  </si>
  <si>
    <t xml:space="preserve">AAACTCATGCGAGCAGCCGGCTGC</t>
  </si>
  <si>
    <t xml:space="preserve">PSPPH_1554</t>
  </si>
  <si>
    <t xml:space="preserve">copB</t>
  </si>
  <si>
    <t xml:space="preserve">GAGTTGCGCAATCCATTCAC</t>
  </si>
  <si>
    <t xml:space="preserve">TAGTGAGTTGCGCAATCCATTCAC</t>
  </si>
  <si>
    <t xml:space="preserve">AAACGTGAATGGATTGCGCAACTC</t>
  </si>
  <si>
    <t xml:space="preserve">CAGCAGCAGGGTTGGCAGGC</t>
  </si>
  <si>
    <t xml:space="preserve">TAGTCAGCAGCAGGGTTGGCAGGC</t>
  </si>
  <si>
    <t xml:space="preserve">AAACGCCTGCCAACCCTGCTGCTG</t>
  </si>
  <si>
    <t xml:space="preserve">TTGCCCAGCGTGTTATGGCC</t>
  </si>
  <si>
    <t xml:space="preserve">TAGTTTGCCCAGCGTGTTATGGCC</t>
  </si>
  <si>
    <t xml:space="preserve">AAACGGCCATAACACGCTGGGCAA</t>
  </si>
  <si>
    <t xml:space="preserve">ATCCATTCCGGCAGCCAGCG</t>
  </si>
  <si>
    <t xml:space="preserve">TAGTATCCATTCCGGCAGCCAGCG</t>
  </si>
  <si>
    <t xml:space="preserve">AAACCGCTGGCTGCCGGAATGGAT</t>
  </si>
  <si>
    <t xml:space="preserve">PSPPH_1556</t>
  </si>
  <si>
    <t xml:space="preserve">AGGAGGATTGGCCGTGCTCA</t>
  </si>
  <si>
    <t xml:space="preserve">TAGTAGGAGGATTGGCCGTGCTCA</t>
  </si>
  <si>
    <t xml:space="preserve">AAACTGAGCACGGCCAATCCTCCT</t>
  </si>
  <si>
    <t xml:space="preserve">TCCAGCTTGGCAGTATGGGA</t>
  </si>
  <si>
    <t xml:space="preserve">TAGTTCCAGCTTGGCAGTATGGGA</t>
  </si>
  <si>
    <t xml:space="preserve">AAACTCCCATACTGCCAAGCTGGA</t>
  </si>
  <si>
    <t xml:space="preserve">GCTGGGCGTCGGCCAGAATG</t>
  </si>
  <si>
    <t xml:space="preserve">TAGTGCTGGGCGTCGGCCAGAATG</t>
  </si>
  <si>
    <t xml:space="preserve">AAACCATTCTGGCCGACGCCCAGC</t>
  </si>
  <si>
    <t xml:space="preserve">TGTCGCGGTAACCCATTTCT</t>
  </si>
  <si>
    <t xml:space="preserve">TAGTTGTCGCGGTAACCCATTTCT</t>
  </si>
  <si>
    <t xml:space="preserve">AAACAGAAATGGGTTACCGCGACA</t>
  </si>
  <si>
    <t xml:space="preserve">PSPPH_1557</t>
  </si>
  <si>
    <t xml:space="preserve">crp</t>
  </si>
  <si>
    <t xml:space="preserve">GTTGGACAATGGTTCTGACA</t>
  </si>
  <si>
    <t xml:space="preserve">TAGTGTTGGACAATGGTTCTGACA</t>
  </si>
  <si>
    <t xml:space="preserve">AAACTGTCAGAACCATTGTCCAAC</t>
  </si>
  <si>
    <t xml:space="preserve">TGTCGCGTATGGCGTTGTTC</t>
  </si>
  <si>
    <t xml:space="preserve">TAGTTGTCGCGTATGGCGTTGTTC</t>
  </si>
  <si>
    <t xml:space="preserve">AAACGAACAACGCCATACGCGACA</t>
  </si>
  <si>
    <t xml:space="preserve">GCTACAGTCACGAAGTCGCC</t>
  </si>
  <si>
    <t xml:space="preserve">TAGTGCTACAGTCACGAAGTCGCC</t>
  </si>
  <si>
    <t xml:space="preserve">AAACGGCGACTTCGTGACTGTAGC</t>
  </si>
  <si>
    <t xml:space="preserve">GTCGGTAATGCTGAAATACC</t>
  </si>
  <si>
    <t xml:space="preserve">TAGTGTCGGTAATGCTGAAATACC</t>
  </si>
  <si>
    <t xml:space="preserve">AAACGGTATTTCAGCATTACCGAC</t>
  </si>
  <si>
    <t xml:space="preserve">PSPPH_1558</t>
  </si>
  <si>
    <t xml:space="preserve">GCTGGAGGTTGCATTCGAGA</t>
  </si>
  <si>
    <t xml:space="preserve">TAGTGCTGGAGGTTGCATTCGAGA</t>
  </si>
  <si>
    <t xml:space="preserve">AAACTCTCGAATGCAACCTCCAGC</t>
  </si>
  <si>
    <t xml:space="preserve">GTCGGCCTTGCGAGCAATCG</t>
  </si>
  <si>
    <t xml:space="preserve">TAGTGTCGGCCTTGCGAGCAATCG</t>
  </si>
  <si>
    <t xml:space="preserve">AAACCGATTGCTCGCAAGGCCGAC</t>
  </si>
  <si>
    <t xml:space="preserve">CTGTAGCCAGGCATAGGGAT</t>
  </si>
  <si>
    <t xml:space="preserve">TAGTCTGTAGCCAGGCATAGGGAT</t>
  </si>
  <si>
    <t xml:space="preserve">AAACATCCCTATGCCTGGCTACAG</t>
  </si>
  <si>
    <t xml:space="preserve">CGAGCACCTCGTCAGTGTCG</t>
  </si>
  <si>
    <t xml:space="preserve">TAGTCGAGCACCTCGTCAGTGTCG</t>
  </si>
  <si>
    <t xml:space="preserve">AAACCGACACTGACGAGGTGCTCG</t>
  </si>
  <si>
    <t xml:space="preserve">PSPPH_1559</t>
  </si>
  <si>
    <t xml:space="preserve">GGCGATCAGATAGTCGTTTT</t>
  </si>
  <si>
    <t xml:space="preserve">TAGTGGCGATCAGATAGTCGTTTT</t>
  </si>
  <si>
    <t xml:space="preserve">AAACAAAACGACTATCTGATCGCC</t>
  </si>
  <si>
    <t xml:space="preserve">GGCGAAGGCGTAGACGCTCC</t>
  </si>
  <si>
    <t xml:space="preserve">TAGTGGCGAAGGCGTAGACGCTCC</t>
  </si>
  <si>
    <t xml:space="preserve">AAACGGAGCGTCTACGCCTTCGCC</t>
  </si>
  <si>
    <t xml:space="preserve">TACCAGCAGGCAACCCAACG</t>
  </si>
  <si>
    <t xml:space="preserve">TAGTTACCAGCAGGCAACCCAACG</t>
  </si>
  <si>
    <t xml:space="preserve">AAACCGTTGGGTTGCCTGCTGGTA</t>
  </si>
  <si>
    <t xml:space="preserve">GCCACATCCAGCGGGTCATC</t>
  </si>
  <si>
    <t xml:space="preserve">TAGTGCCACATCCAGCGGGTCATC</t>
  </si>
  <si>
    <t xml:space="preserve">AAACGATGACCCGCTGGATGTGGC</t>
  </si>
  <si>
    <t xml:space="preserve">PSPPH_1560</t>
  </si>
  <si>
    <t xml:space="preserve">GACTATGTCGGTCGGGACAT</t>
  </si>
  <si>
    <t xml:space="preserve">TAGTGACTATGTCGGTCGGGACAT</t>
  </si>
  <si>
    <t xml:space="preserve">AAACATGTCCCGACCGACATAGTC</t>
  </si>
  <si>
    <t xml:space="preserve">CCCGCCACGCTGCATCAGCC</t>
  </si>
  <si>
    <t xml:space="preserve">TAGTCCCGCCACGCTGCATCAGCC</t>
  </si>
  <si>
    <t xml:space="preserve">AAACGGCTGATGCAGCGTGGCGGG</t>
  </si>
  <si>
    <t xml:space="preserve">ATGCCCCAGCCATCGCGATG</t>
  </si>
  <si>
    <t xml:space="preserve">TAGTATGCCCCAGCCATCGCGATG</t>
  </si>
  <si>
    <t xml:space="preserve">AAACCATCGCGATGGCTGGGGCAT</t>
  </si>
  <si>
    <t xml:space="preserve">CAGGCCGCGACCCTCGTAGA</t>
  </si>
  <si>
    <t xml:space="preserve">TAGTCAGGCCGCGACCCTCGTAGA</t>
  </si>
  <si>
    <t xml:space="preserve">AAACTCTACGAGGGTCGCGGCCTG</t>
  </si>
  <si>
    <t xml:space="preserve">PSPPH_1561</t>
  </si>
  <si>
    <t xml:space="preserve">TACCCCGAACAGCAGGCCTG</t>
  </si>
  <si>
    <t xml:space="preserve">TAGTTACCCCGAACAGCAGGCCTG</t>
  </si>
  <si>
    <t xml:space="preserve">AAACCAGGCCTGCTGTTCGGGGTA</t>
  </si>
  <si>
    <t xml:space="preserve">TGTAATCACTGATGAATCCG</t>
  </si>
  <si>
    <t xml:space="preserve">TAGTTGTAATCACTGATGAATCCG</t>
  </si>
  <si>
    <t xml:space="preserve">AAACCGGATTCATCAGTGATTACA</t>
  </si>
  <si>
    <t xml:space="preserve">AGTAGCGGTGTAGCCCTTGA</t>
  </si>
  <si>
    <t xml:space="preserve">TAGTAGTAGCGGTGTAGCCCTTGA</t>
  </si>
  <si>
    <t xml:space="preserve">AAACTCAAGGGCTACACCGCTACT</t>
  </si>
  <si>
    <t xml:space="preserve">CTTCGCTGCTGCGATAGTGC</t>
  </si>
  <si>
    <t xml:space="preserve">TAGTCTTCGCTGCTGCGATAGTGC</t>
  </si>
  <si>
    <t xml:space="preserve">AAACGCACTATCGCAGCAGCGAAG</t>
  </si>
  <si>
    <t xml:space="preserve">PSPPH_1562</t>
  </si>
  <si>
    <t xml:space="preserve">GTTGAACAGGTTGAGCAGCA</t>
  </si>
  <si>
    <t xml:space="preserve">TAGTGTTGAACAGGTTGAGCAGCA</t>
  </si>
  <si>
    <t xml:space="preserve">AAACTGCTGCTCAACCTGTTCAAC</t>
  </si>
  <si>
    <t xml:space="preserve">ACGCAGAGACACCGGCACCC</t>
  </si>
  <si>
    <t xml:space="preserve">TAGTACGCAGAGACACCGGCACCC</t>
  </si>
  <si>
    <t xml:space="preserve">AAACGGGTGCCGGTGTCTCTGCGT</t>
  </si>
  <si>
    <t xml:space="preserve">TCTGTTTCAGCGCATTGATC</t>
  </si>
  <si>
    <t xml:space="preserve">TAGTTCTGTTTCAGCGCATTGATC</t>
  </si>
  <si>
    <t xml:space="preserve">AAACGATCAATGCGCTGAAACAGA</t>
  </si>
  <si>
    <t xml:space="preserve">AAAGTAGAACTCATTGATAT</t>
  </si>
  <si>
    <t xml:space="preserve">TAGTAAAGTAGAACTCATTGATAT</t>
  </si>
  <si>
    <t xml:space="preserve">AAACATATCAATGAGTTCTACTTT</t>
  </si>
  <si>
    <t xml:space="preserve">PSPPH_1564</t>
  </si>
  <si>
    <t xml:space="preserve">CTTGAGCCGGGGTCGTTTCA</t>
  </si>
  <si>
    <t xml:space="preserve">TAGTCTTGAGCCGGGGTCGTTTCA</t>
  </si>
  <si>
    <t xml:space="preserve">AAACTGAAACGACCCCGGCTCAAG</t>
  </si>
  <si>
    <t xml:space="preserve">TGTCAGGGCCAGCCGGTATC</t>
  </si>
  <si>
    <t xml:space="preserve">TAGTTGTCAGGGCCAGCCGGTATC</t>
  </si>
  <si>
    <t xml:space="preserve">AAACGATACCGGCTGGCCCTGACA</t>
  </si>
  <si>
    <t xml:space="preserve">GCACATCAGCGCTCATGTCG</t>
  </si>
  <si>
    <t xml:space="preserve">TAGTGCACATCAGCGCTCATGTCG</t>
  </si>
  <si>
    <t xml:space="preserve">AAACCGACATGAGCGCTGATGTGC</t>
  </si>
  <si>
    <t xml:space="preserve">GCAATCAAGGGTCGTAACCC</t>
  </si>
  <si>
    <t xml:space="preserve">TAGTGCAATCAAGGGTCGTAACCC</t>
  </si>
  <si>
    <t xml:space="preserve">AAACGGGTTACGACCCTTGATTGC</t>
  </si>
  <si>
    <t xml:space="preserve">PSPPH_1565</t>
  </si>
  <si>
    <t xml:space="preserve">AGAGCGGCCAGGGTCCATAG</t>
  </si>
  <si>
    <t xml:space="preserve">TAGTAGAGCGGCCAGGGTCCATAG</t>
  </si>
  <si>
    <t xml:space="preserve">AAACCTATGGACCCTGGCCGCTCT</t>
  </si>
  <si>
    <t xml:space="preserve">CGATATTGACAGCGATCAGC</t>
  </si>
  <si>
    <t xml:space="preserve">TAGTCGATATTGACAGCGATCAGC</t>
  </si>
  <si>
    <t xml:space="preserve">AAACGCTGATCGCTGTCAATATCG</t>
  </si>
  <si>
    <t xml:space="preserve">GTCACGCACCAGATACGGCA</t>
  </si>
  <si>
    <t xml:space="preserve">TAGTGTCACGCACCAGATACGGCA</t>
  </si>
  <si>
    <t xml:space="preserve">AAACTGCCGTATCTGGTGCGTGAC</t>
  </si>
  <si>
    <t xml:space="preserve">GCCCCGGTAGTCACCCATGT</t>
  </si>
  <si>
    <t xml:space="preserve">TAGTGCCCCGGTAGTCACCCATGT</t>
  </si>
  <si>
    <t xml:space="preserve">AAACACATGGGTGACTACCGGGGC</t>
  </si>
  <si>
    <t xml:space="preserve">PSPPH_1566</t>
  </si>
  <si>
    <t xml:space="preserve">cysK</t>
  </si>
  <si>
    <t xml:space="preserve">GGGCGTTATCAGCGTAGATA</t>
  </si>
  <si>
    <t xml:space="preserve">TAGTGGGCGTTATCAGCGTAGATA</t>
  </si>
  <si>
    <t xml:space="preserve">AAACTATCTACGCTGATAACGCCC</t>
  </si>
  <si>
    <t xml:space="preserve">CGGCGTATTACCGATGGAAT</t>
  </si>
  <si>
    <t xml:space="preserve">TAGTCGGCGTATTACCGATGGAAT</t>
  </si>
  <si>
    <t xml:space="preserve">AAACATTCCATCGGTAATACGCCG</t>
  </si>
  <si>
    <t xml:space="preserve">ATACGATTGATCTGCACCAG</t>
  </si>
  <si>
    <t xml:space="preserve">TAGTATACGATTGATCTGCACCAG</t>
  </si>
  <si>
    <t xml:space="preserve">AAACCTGGTGCAGATCAATCGTAT</t>
  </si>
  <si>
    <t xml:space="preserve">GCCAGAATCGTGACACCGCG</t>
  </si>
  <si>
    <t xml:space="preserve">TAGTGCCAGAATCGTGACACCGCG</t>
  </si>
  <si>
    <t xml:space="preserve">AAACCGCGGTGTCACGATTCTGGC</t>
  </si>
  <si>
    <t xml:space="preserve">PSPPH_1567</t>
  </si>
  <si>
    <t xml:space="preserve">TGCCTTGGCAACAAATGAAA</t>
  </si>
  <si>
    <t xml:space="preserve">TAGTTGCCTTGGCAACAAATGAAA</t>
  </si>
  <si>
    <t xml:space="preserve">AAACTTTCATTTGTTGCCAAGGCA</t>
  </si>
  <si>
    <t xml:space="preserve">CTGCCGCAACAGGGGCAGCC</t>
  </si>
  <si>
    <t xml:space="preserve">TAGTCTGCCGCAACAGGGGCAGCC</t>
  </si>
  <si>
    <t xml:space="preserve">AAACGGCTGCCCCTGTTGCGGCAG</t>
  </si>
  <si>
    <t xml:space="preserve">AAGGCGCGAACAATGCCGAA</t>
  </si>
  <si>
    <t xml:space="preserve">TAGTAAGGCGCGAACAATGCCGAA</t>
  </si>
  <si>
    <t xml:space="preserve">AAACTTCGGCATTGTTCGCGCCTT</t>
  </si>
  <si>
    <t xml:space="preserve">CGGACGGCACACGGGAAAAC</t>
  </si>
  <si>
    <t xml:space="preserve">TAGTCGGACGGCACACGGGAAAAC</t>
  </si>
  <si>
    <t xml:space="preserve">AAACGTTTTCCCGTGTGCCGTCCG</t>
  </si>
  <si>
    <t xml:space="preserve">PSPPH_1568</t>
  </si>
  <si>
    <t xml:space="preserve">AACGGCCGCAATCAGCCCGC</t>
  </si>
  <si>
    <t xml:space="preserve">TAGTAACGGCCGCAATCAGCCCGC</t>
  </si>
  <si>
    <t xml:space="preserve">AAACGCGGGCTGATTGCGGCCGTT</t>
  </si>
  <si>
    <t xml:space="preserve">CATGATGGCCATGTAGGTAA</t>
  </si>
  <si>
    <t xml:space="preserve">TAGTCATGATGGCCATGTAGGTAA</t>
  </si>
  <si>
    <t xml:space="preserve">AAACTTACCTACATGGCCATCATG</t>
  </si>
  <si>
    <t xml:space="preserve">CCGGTCGCCGTAAAAGGCGA</t>
  </si>
  <si>
    <t xml:space="preserve">TAGTCCGGTCGCCGTAAAAGGCGA</t>
  </si>
  <si>
    <t xml:space="preserve">AAACTCGCCTTTTACGGCGACCGG</t>
  </si>
  <si>
    <t xml:space="preserve">AGACCCAGGCGCGCATGGTC</t>
  </si>
  <si>
    <t xml:space="preserve">TAGTAGACCCAGGCGCGCATGGTC</t>
  </si>
  <si>
    <t xml:space="preserve">AAACGACCATGCGCGCCTGGGTCT</t>
  </si>
  <si>
    <t xml:space="preserve">PSPPH_1569</t>
  </si>
  <si>
    <t xml:space="preserve">aas</t>
  </si>
  <si>
    <t xml:space="preserve">GCAAGCTGAATTGTGACTGT</t>
  </si>
  <si>
    <t xml:space="preserve">TAGTGCAAGCTGAATTGTGACTGT</t>
  </si>
  <si>
    <t xml:space="preserve">AAACACAGTCACAATTCAGCTTGC</t>
  </si>
  <si>
    <t xml:space="preserve">TGATGAAAAACGGCAGGAAA</t>
  </si>
  <si>
    <t xml:space="preserve">TAGTTGATGAAAAACGGCAGGAAA</t>
  </si>
  <si>
    <t xml:space="preserve">AAACTTTCCTGCCGTTTTTCATCA</t>
  </si>
  <si>
    <t xml:space="preserve">ATTGTCATTGAACGCCCCGA</t>
  </si>
  <si>
    <t xml:space="preserve">TAGTATTGTCATTGAACGCCCCGA</t>
  </si>
  <si>
    <t xml:space="preserve">AAACTCGGGGCGTTCAATGACAAT</t>
  </si>
  <si>
    <t xml:space="preserve">TCAGCTTATAGAGGATGGCG</t>
  </si>
  <si>
    <t xml:space="preserve">TAGTTCAGCTTATAGAGGATGGCG</t>
  </si>
  <si>
    <t xml:space="preserve">AAACCGCCATCCTCTATAAGCTGA</t>
  </si>
  <si>
    <t xml:space="preserve">PSPPH_1570</t>
  </si>
  <si>
    <t xml:space="preserve">AAGGCTGCCAACGCACGCAT</t>
  </si>
  <si>
    <t xml:space="preserve">TAGTAAGGCTGCCAACGCACGCAT</t>
  </si>
  <si>
    <t xml:space="preserve">AAACATGCGTGCGTTGGCAGCCTT</t>
  </si>
  <si>
    <t xml:space="preserve">CAGCAGCACCCAATAAGCAA</t>
  </si>
  <si>
    <t xml:space="preserve">TAGTCAGCAGCACCCAATAAGCAA</t>
  </si>
  <si>
    <t xml:space="preserve">AAACTTGCTTATTGGGTGCTGCTG</t>
  </si>
  <si>
    <t xml:space="preserve">CCTGCGGGAACAGAAACGCC</t>
  </si>
  <si>
    <t xml:space="preserve">TAGTCCTGCGGGAACAGAAACGCC</t>
  </si>
  <si>
    <t xml:space="preserve">AAACGGCGTTTCTGTTCCCGCAGG</t>
  </si>
  <si>
    <t xml:space="preserve">CCAGCTTTTCAGACCGATAA</t>
  </si>
  <si>
    <t xml:space="preserve">TAGTCCAGCTTTTCAGACCGATAA</t>
  </si>
  <si>
    <t xml:space="preserve">AAACTTATCGGTCTGAAAAGCTGG</t>
  </si>
  <si>
    <t xml:space="preserve">PSPPH_1571</t>
  </si>
  <si>
    <t xml:space="preserve">GGGTCAGGCGATAGACAAGC</t>
  </si>
  <si>
    <t xml:space="preserve">TAGTGGGTCAGGCGATAGACAAGC</t>
  </si>
  <si>
    <t xml:space="preserve">AAACGCTTGTCTATCGCCTGACCC</t>
  </si>
  <si>
    <t xml:space="preserve">GGCATCGAAAGGCACGTCCT</t>
  </si>
  <si>
    <t xml:space="preserve">TAGTGGCATCGAAAGGCACGTCCT</t>
  </si>
  <si>
    <t xml:space="preserve">AAACAGGACGTGCCTTTCGATGCC</t>
  </si>
  <si>
    <t xml:space="preserve">CAGTGCTGTCTCCAGCGCTT</t>
  </si>
  <si>
    <t xml:space="preserve">TAGTCAGTGCTGTCTCCAGCGCTT</t>
  </si>
  <si>
    <t xml:space="preserve">AAACAAGCGCTGGAGACAGCACTG</t>
  </si>
  <si>
    <t xml:space="preserve">GGCGCAGGCACGAGCCGGTT</t>
  </si>
  <si>
    <t xml:space="preserve">TAGTGGCGCAGGCACGAGCCGGTT</t>
  </si>
  <si>
    <t xml:space="preserve">AAACAACCGGCTCGTGCCTGCGCC</t>
  </si>
  <si>
    <t xml:space="preserve">PSPPH_1574</t>
  </si>
  <si>
    <t xml:space="preserve">GACGGAGGCGGCCATGACAG</t>
  </si>
  <si>
    <t xml:space="preserve">TAGTGACGGAGGCGGCCATGACAG</t>
  </si>
  <si>
    <t xml:space="preserve">AAACCTGTCATGGCCGCCTCCGTC</t>
  </si>
  <si>
    <t xml:space="preserve">CGCGGTGTGCAGCACAGGCA</t>
  </si>
  <si>
    <t xml:space="preserve">TAGTCGCGGTGTGCAGCACAGGCA</t>
  </si>
  <si>
    <t xml:space="preserve">AAACTGCCTGTGCTGCACACCGCG</t>
  </si>
  <si>
    <t xml:space="preserve">TAACTTACGGACTTGATCCA</t>
  </si>
  <si>
    <t xml:space="preserve">TAGTTAACTTACGGACTTGATCCA</t>
  </si>
  <si>
    <t xml:space="preserve">AAACTGGATCAAGTCCGTAAGTTA</t>
  </si>
  <si>
    <t xml:space="preserve">AACCAGGCGAGCGCTTGAAG</t>
  </si>
  <si>
    <t xml:space="preserve">TAGTAACCAGGCGAGCGCTTGAAG</t>
  </si>
  <si>
    <t xml:space="preserve">AAACCTTCAAGCGCTCGCCTGGTT</t>
  </si>
  <si>
    <t xml:space="preserve">PSPPH_1575</t>
  </si>
  <si>
    <t xml:space="preserve">ACCACCTTGATGCCCTGAAG</t>
  </si>
  <si>
    <t xml:space="preserve">TAGTACCACCTTGATGCCCTGAAG</t>
  </si>
  <si>
    <t xml:space="preserve">AAACCTTCAGGGCATCAAGGTGGT</t>
  </si>
  <si>
    <t xml:space="preserve">CAAAAGGTCCGGCAATAAGC</t>
  </si>
  <si>
    <t xml:space="preserve">TAGTCAAAAGGTCCGGCAATAAGC</t>
  </si>
  <si>
    <t xml:space="preserve">AAACGCTTATTGCCGGACCTTTTG</t>
  </si>
  <si>
    <t xml:space="preserve">GATGACCTCGGCACCGAACT</t>
  </si>
  <si>
    <t xml:space="preserve">TAGTGATGACCTCGGCACCGAACT</t>
  </si>
  <si>
    <t xml:space="preserve">AAACAGTTCGGTGCCGAGGTCATC</t>
  </si>
  <si>
    <t xml:space="preserve">AAAGGATCACCGGTCAGCGG</t>
  </si>
  <si>
    <t xml:space="preserve">TAGTAAAGGATCACCGGTCAGCGG</t>
  </si>
  <si>
    <t xml:space="preserve">AAACCCGCTGACCGGTGATCCTTT</t>
  </si>
  <si>
    <t xml:space="preserve">PSPPH_1576</t>
  </si>
  <si>
    <t xml:space="preserve">TGGTCCAGATGATCAATCAC</t>
  </si>
  <si>
    <t xml:space="preserve">TAGTTGGTCCAGATGATCAATCAC</t>
  </si>
  <si>
    <t xml:space="preserve">AAACGTGATTGATCATCTGGACCA</t>
  </si>
  <si>
    <t xml:space="preserve">CAGCAGTGGTCAATACAAGA</t>
  </si>
  <si>
    <t xml:space="preserve">TAGTCAGCAGTGGTCAATACAAGA</t>
  </si>
  <si>
    <t xml:space="preserve">AAACTCTTGTATTGACCACTGCTG</t>
  </si>
  <si>
    <t xml:space="preserve">GCCCTGGCGAAAGCGTTCAG</t>
  </si>
  <si>
    <t xml:space="preserve">TAGTGCCCTGGCGAAAGCGTTCAG</t>
  </si>
  <si>
    <t xml:space="preserve">AAACCTGAACGCTTTCGCCAGGGC</t>
  </si>
  <si>
    <t xml:space="preserve">TGCCGAAGCGAAACGCCAGT</t>
  </si>
  <si>
    <t xml:space="preserve">TAGTTGCCGAAGCGAAACGCCAGT</t>
  </si>
  <si>
    <t xml:space="preserve">AAACACTGGCGTTTCGCTTCGGCA</t>
  </si>
  <si>
    <t xml:space="preserve">PSPPH_1577</t>
  </si>
  <si>
    <t xml:space="preserve">CGGTGCCACAACGCCAACGA</t>
  </si>
  <si>
    <t xml:space="preserve">TAGTCGGTGCCACAACGCCAACGA</t>
  </si>
  <si>
    <t xml:space="preserve">AAACTCGTTGGCGTTGTGGCACCG</t>
  </si>
  <si>
    <t xml:space="preserve">TTGAGCGCTGCGCCGGTTTC</t>
  </si>
  <si>
    <t xml:space="preserve">TAGTTTGAGCGCTGCGCCGGTTTC</t>
  </si>
  <si>
    <t xml:space="preserve">AAACGAAACCGGCGCAGCGCTCAA</t>
  </si>
  <si>
    <t xml:space="preserve">TTGATGAATGCATCGCCGAT</t>
  </si>
  <si>
    <t xml:space="preserve">TAGTTTGATGAATGCATCGCCGAT</t>
  </si>
  <si>
    <t xml:space="preserve">AAACATCGGCGATGCATTCATCAA</t>
  </si>
  <si>
    <t xml:space="preserve">ACCACTGTCAGGAAAATCAC</t>
  </si>
  <si>
    <t xml:space="preserve">TAGTACCACTGTCAGGAAAATCAC</t>
  </si>
  <si>
    <t xml:space="preserve">AAACGTGATTTTCCTGACAGTGGT</t>
  </si>
  <si>
    <t xml:space="preserve">PSPPH_1578</t>
  </si>
  <si>
    <t xml:space="preserve">TGCAATGTTGTAACTGTTCA</t>
  </si>
  <si>
    <t xml:space="preserve">TAGTTGCAATGTTGTAACTGTTCA</t>
  </si>
  <si>
    <t xml:space="preserve">AAACTGAACAGTTACAACATTGCA</t>
  </si>
  <si>
    <t xml:space="preserve">TTCCACGCCAATGCCGTCGC</t>
  </si>
  <si>
    <t xml:space="preserve">TAGTTTCCACGCCAATGCCGTCGC</t>
  </si>
  <si>
    <t xml:space="preserve">AAACGCGACGGCATTGGCGTGGAA</t>
  </si>
  <si>
    <t xml:space="preserve">CTGCAGGACTTCAACACCTG</t>
  </si>
  <si>
    <t xml:space="preserve">TAGTCTGCAGGACTTCAACACCTG</t>
  </si>
  <si>
    <t xml:space="preserve">AAACCAGGTGTTGAAGTCCTGCAG</t>
  </si>
  <si>
    <t xml:space="preserve">TTTGAAGGTCAGGTCGAAGC</t>
  </si>
  <si>
    <t xml:space="preserve">TAGTTTTGAAGGTCAGGTCGAAGC</t>
  </si>
  <si>
    <t xml:space="preserve">AAACGCTTCGACCTGACCTTCAAA</t>
  </si>
  <si>
    <t xml:space="preserve">PSPPH_1579</t>
  </si>
  <si>
    <t xml:space="preserve">AGGTCCTGTGTCTGGTTCAT</t>
  </si>
  <si>
    <t xml:space="preserve">TAGTAGGTCCTGTGTCTGGTTCAT</t>
  </si>
  <si>
    <t xml:space="preserve">AAACATGAACCAGACACAGGACCT</t>
  </si>
  <si>
    <t xml:space="preserve">CCAACAGATGGAAAAACGAC</t>
  </si>
  <si>
    <t xml:space="preserve">TAGTCCAACAGATGGAAAAACGAC</t>
  </si>
  <si>
    <t xml:space="preserve">AAACGTCGTTTTTCCATCTGTTGG</t>
  </si>
  <si>
    <t xml:space="preserve">GCCCAGTTCGCGGGCTGTCG</t>
  </si>
  <si>
    <t xml:space="preserve">TAGTGCCCAGTTCGCGGGCTGTCG</t>
  </si>
  <si>
    <t xml:space="preserve">AAACCGACAGCCCGCGAACTGGGC</t>
  </si>
  <si>
    <t xml:space="preserve">AAGCGTTTGCTGATGGCGGG</t>
  </si>
  <si>
    <t xml:space="preserve">TAGTAAGCGTTTGCTGATGGCGGG</t>
  </si>
  <si>
    <t xml:space="preserve">AAACCCCGCCATCAGCAAACGCTT</t>
  </si>
  <si>
    <t xml:space="preserve">PSPPH_1580</t>
  </si>
  <si>
    <t xml:space="preserve">TGGTGATCGAAACAGGGGCT</t>
  </si>
  <si>
    <t xml:space="preserve">TAGTTGGTGATCGAAACAGGGGCT</t>
  </si>
  <si>
    <t xml:space="preserve">AAACAGCCCCTGTTTCGATCACCA</t>
  </si>
  <si>
    <t xml:space="preserve">TAAGCCCTGATCGCCAGTCG</t>
  </si>
  <si>
    <t xml:space="preserve">TAGTTAAGCCCTGATCGCCAGTCG</t>
  </si>
  <si>
    <t xml:space="preserve">AAACCGACTGGCGATCAGGGCTTA</t>
  </si>
  <si>
    <t xml:space="preserve">TGGCTGCAAGGCCTGCCAAC</t>
  </si>
  <si>
    <t xml:space="preserve">TAGTTGGCTGCAAGGCCTGCCAAC</t>
  </si>
  <si>
    <t xml:space="preserve">AAACGTTGGCAGGCCTTGCAGCCA</t>
  </si>
  <si>
    <t xml:space="preserve">CAACATGACTGCTGCGGTGA</t>
  </si>
  <si>
    <t xml:space="preserve">TAGTCAACATGACTGCTGCGGTGA</t>
  </si>
  <si>
    <t xml:space="preserve">AAACTCACCGCAGCAGTCATGTTG</t>
  </si>
  <si>
    <t xml:space="preserve">PSPPH_1581</t>
  </si>
  <si>
    <t xml:space="preserve">CGTTTTTCAATTCTTTTTCT</t>
  </si>
  <si>
    <t xml:space="preserve">TAGTCGTTTTTCAATTCTTTTTCT</t>
  </si>
  <si>
    <t xml:space="preserve">AAACAGAAAAAGAATTGAAAAACG</t>
  </si>
  <si>
    <t xml:space="preserve">CATGCCGGGATGATGGTCAA</t>
  </si>
  <si>
    <t xml:space="preserve">TAGTCATGCCGGGATGATGGTCAA</t>
  </si>
  <si>
    <t xml:space="preserve">AAACTTGACCATCATCCCGGCATG</t>
  </si>
  <si>
    <t xml:space="preserve">TCGAAAGGCACGCTAAACGC</t>
  </si>
  <si>
    <t xml:space="preserve">TAGTTCGAAAGGCACGCTAAACGC</t>
  </si>
  <si>
    <t xml:space="preserve">AAACGCGTTTAGCGTGCCTTTCGA</t>
  </si>
  <si>
    <t xml:space="preserve">GCATAGCGCGCCGCATCATC</t>
  </si>
  <si>
    <t xml:space="preserve">TAGTGCATAGCGCGCCGCATCATC</t>
  </si>
  <si>
    <t xml:space="preserve">AAACGATGATGCGGCGCGCTATGC</t>
  </si>
  <si>
    <t xml:space="preserve">PSPPH_1582</t>
  </si>
  <si>
    <t xml:space="preserve">TGCGAGTACCAGACCGACCA</t>
  </si>
  <si>
    <t xml:space="preserve">TAGTTGCGAGTACCAGACCGACCA</t>
  </si>
  <si>
    <t xml:space="preserve">AAACTGGTCGGTCTGGTACTCGCA</t>
  </si>
  <si>
    <t xml:space="preserve">AGTTTTCAGCTCTACGGTGC</t>
  </si>
  <si>
    <t xml:space="preserve">TAGTAGTTTTCAGCTCTACGGTGC</t>
  </si>
  <si>
    <t xml:space="preserve">AAACGCACCGTAGAGCTGAAAACT</t>
  </si>
  <si>
    <t xml:space="preserve">CCATAAGACGCTTTTTGTGC</t>
  </si>
  <si>
    <t xml:space="preserve">TAGTCCATAAGACGCTTTTTGTGC</t>
  </si>
  <si>
    <t xml:space="preserve">AAACGCACAAAAAGCGTCTTATGG</t>
  </si>
  <si>
    <t xml:space="preserve">CATCCATACCTTCCTGAGCC</t>
  </si>
  <si>
    <t xml:space="preserve">TAGTCATCCATACCTTCCTGAGCC</t>
  </si>
  <si>
    <t xml:space="preserve">AAACGGCTCAGGAAGGTATGGATG</t>
  </si>
  <si>
    <t xml:space="preserve">PSPPH_1583</t>
  </si>
  <si>
    <t xml:space="preserve">AGATAACGAATAAAATTCCA</t>
  </si>
  <si>
    <t xml:space="preserve">TAGTAGATAACGAATAAAATTCCA</t>
  </si>
  <si>
    <t xml:space="preserve">AAACTGGAATTTTATTCGTTATCT</t>
  </si>
  <si>
    <t xml:space="preserve">GCCAGCAGACGCCGGGCTCC</t>
  </si>
  <si>
    <t xml:space="preserve">TAGTGCCAGCAGACGCCGGGCTCC</t>
  </si>
  <si>
    <t xml:space="preserve">AAACGGAGCCCGGCGTCTGCTGGC</t>
  </si>
  <si>
    <t xml:space="preserve">GCGACAGCAAACAACAACCC</t>
  </si>
  <si>
    <t xml:space="preserve">TAGTGCGACAGCAAACAACAACCC</t>
  </si>
  <si>
    <t xml:space="preserve">AAACGGGTTGTTGTTTGCTGTCGC</t>
  </si>
  <si>
    <t xml:space="preserve">AGTAAGCCAGACACAAGGCC</t>
  </si>
  <si>
    <t xml:space="preserve">TAGTAGTAAGCCAGACACAAGGCC</t>
  </si>
  <si>
    <t xml:space="preserve">AAACGGCCTTGTGTCTGGCTTACT</t>
  </si>
  <si>
    <t xml:space="preserve">PSPPH_1584</t>
  </si>
  <si>
    <t xml:space="preserve">ATATTCCGGCTCACCGTCAC</t>
  </si>
  <si>
    <t xml:space="preserve">TAGTATATTCCGGCTCACCGTCAC</t>
  </si>
  <si>
    <t xml:space="preserve">AAACGTGACGGTGAGCCGGAATAT</t>
  </si>
  <si>
    <t xml:space="preserve">AGTGCCTGGTACTGAGCCAA</t>
  </si>
  <si>
    <t xml:space="preserve">TAGTAGTGCCTGGTACTGAGCCAA</t>
  </si>
  <si>
    <t xml:space="preserve">AAACTTGGCTCAGTACCAGGCACT</t>
  </si>
  <si>
    <t xml:space="preserve">GCGCGGCTTGCCGACCAACC</t>
  </si>
  <si>
    <t xml:space="preserve">TAGTGCGCGGCTTGCCGACCAACC</t>
  </si>
  <si>
    <t xml:space="preserve">AAACGGTTGGTCGGCAAGCCGCGC</t>
  </si>
  <si>
    <t xml:space="preserve">AAGTCGATGCAACCGGTTCC</t>
  </si>
  <si>
    <t xml:space="preserve">TAGTAAGTCGATGCAACCGGTTCC</t>
  </si>
  <si>
    <t xml:space="preserve">AAACGGAACCGGTTGCATCGACTT</t>
  </si>
  <si>
    <t xml:space="preserve">PSPPH_1585</t>
  </si>
  <si>
    <t xml:space="preserve">GCAGACCGTCCCAATGCTGA</t>
  </si>
  <si>
    <t xml:space="preserve">TAGTGCAGACCGTCCCAATGCTGA</t>
  </si>
  <si>
    <t xml:space="preserve">AAACTCAGCATTGGGACGGTCTGC</t>
  </si>
  <si>
    <t xml:space="preserve">AGGTCAGCAGATGACGCTGG</t>
  </si>
  <si>
    <t xml:space="preserve">TAGTAGGTCAGCAGATGACGCTGG</t>
  </si>
  <si>
    <t xml:space="preserve">AAACCCAGCGTCATCTGCTGACCT</t>
  </si>
  <si>
    <t xml:space="preserve">ACGCTCGACCAACGCGCGAT</t>
  </si>
  <si>
    <t xml:space="preserve">TAGTACGCTCGACCAACGCGCGAT</t>
  </si>
  <si>
    <t xml:space="preserve">AAACATCGCGCGTTGGTCGAGCGT</t>
  </si>
  <si>
    <t xml:space="preserve">AGGGTCTGCATGGCTGGGCT</t>
  </si>
  <si>
    <t xml:space="preserve">TAGTAGGGTCTGCATGGCTGGGCT</t>
  </si>
  <si>
    <t xml:space="preserve">AAACAGCCCAGCCATGCAGACCCT</t>
  </si>
  <si>
    <t xml:space="preserve">PSPPH_1586</t>
  </si>
  <si>
    <t xml:space="preserve">GTCTCAAAGAGAATAAAAAA</t>
  </si>
  <si>
    <t xml:space="preserve">TAGTGTCTCAAAGAGAATAAAAAA</t>
  </si>
  <si>
    <t xml:space="preserve">AAACTTTTTTATTCTCTTTGAGAC</t>
  </si>
  <si>
    <t xml:space="preserve">CAACTGCTCGGTTAGGGTCA</t>
  </si>
  <si>
    <t xml:space="preserve">TAGTCAACTGCTCGGTTAGGGTCA</t>
  </si>
  <si>
    <t xml:space="preserve">AAACTGACCCTAACCGAGCAGTTG</t>
  </si>
  <si>
    <t xml:space="preserve">CCGATAGCGACACGATAGGC</t>
  </si>
  <si>
    <t xml:space="preserve">TAGTCCGATAGCGACACGATAGGC</t>
  </si>
  <si>
    <t xml:space="preserve">AAACGCCTATCGTGTCGCTATCGG</t>
  </si>
  <si>
    <t xml:space="preserve">GTTGGACGGTCCGCGGGTCA</t>
  </si>
  <si>
    <t xml:space="preserve">TAGTGTTGGACGGTCCGCGGGTCA</t>
  </si>
  <si>
    <t xml:space="preserve">AAACTGACCCGCGGACCGTCCAAC</t>
  </si>
  <si>
    <t xml:space="preserve">PSPPH_1587</t>
  </si>
  <si>
    <t xml:space="preserve">prc</t>
  </si>
  <si>
    <t xml:space="preserve">CTTCATGCTGATTCGACGCG</t>
  </si>
  <si>
    <t xml:space="preserve">TAGTCTTCATGCTGATTCGACGCG</t>
  </si>
  <si>
    <t xml:space="preserve">AAACCGCGTCGAATCAGCATGAAG</t>
  </si>
  <si>
    <t xml:space="preserve">ACAGTGCGAGGGCAGTGCTG</t>
  </si>
  <si>
    <t xml:space="preserve">TAGTACAGTGCGAGGGCAGTGCTG</t>
  </si>
  <si>
    <t xml:space="preserve">AAACCAGCACTGCCCTCGCACTGT</t>
  </si>
  <si>
    <t xml:space="preserve">CTGACATCGGCAAAACGCTA</t>
  </si>
  <si>
    <t xml:space="preserve">TAGTCTGACATCGGCAAAACGCTA</t>
  </si>
  <si>
    <t xml:space="preserve">AAACTAGCGTTTTGCCGATGTCAG</t>
  </si>
  <si>
    <t xml:space="preserve">GCTGTTGGCGGCAAAGGTAC</t>
  </si>
  <si>
    <t xml:space="preserve">TAGTGCTGTTGGCGGCAAAGGTAC</t>
  </si>
  <si>
    <t xml:space="preserve">AAACGTACCTTTGCCGCCAACAGC</t>
  </si>
  <si>
    <t xml:space="preserve">PSPPH_1588</t>
  </si>
  <si>
    <t xml:space="preserve">AACGCCTTGCAATGCCTTCA</t>
  </si>
  <si>
    <t xml:space="preserve">TAGTAACGCCTTGCAATGCCTTCA</t>
  </si>
  <si>
    <t xml:space="preserve">AAACTGAAGGCATTGCAAGGCGTT</t>
  </si>
  <si>
    <t xml:space="preserve">CCCACATCAAGGGCCGGACT</t>
  </si>
  <si>
    <t xml:space="preserve">TAGTCCCACATCAAGGGCCGGACT</t>
  </si>
  <si>
    <t xml:space="preserve">AAACAGTCCGGCCCTTGATGTGGG</t>
  </si>
  <si>
    <t xml:space="preserve">GCCCTCGCGCTGTAACAGAT</t>
  </si>
  <si>
    <t xml:space="preserve">TAGTGCCCTCGCGCTGTAACAGAT</t>
  </si>
  <si>
    <t xml:space="preserve">AAACATCTGTTACAGCGCGAGGGC</t>
  </si>
  <si>
    <t xml:space="preserve">TGAGTGACCCCGGGCGGCGG</t>
  </si>
  <si>
    <t xml:space="preserve">TAGTTGAGTGACCCCGGGCGGCGG</t>
  </si>
  <si>
    <t xml:space="preserve">AAACCCGCCGCCCGGGGTCACTCA</t>
  </si>
  <si>
    <t xml:space="preserve">PSPPH_1589</t>
  </si>
  <si>
    <t xml:space="preserve">TCCAGGTCGAAAATTGCCAG</t>
  </si>
  <si>
    <t xml:space="preserve">TAGTTCCAGGTCGAAAATTGCCAG</t>
  </si>
  <si>
    <t xml:space="preserve">AAACCTGGCAATTTTCGACCTGGA</t>
  </si>
  <si>
    <t xml:space="preserve">GGCACAGTCGCCGCCGATCA</t>
  </si>
  <si>
    <t xml:space="preserve">TAGTGGCACAGTCGCCGCCGATCA</t>
  </si>
  <si>
    <t xml:space="preserve">AAACTGATCGGCGGCGACTGTGCC</t>
  </si>
  <si>
    <t xml:space="preserve">CATCTGCTCGCTCCAGAGCG</t>
  </si>
  <si>
    <t xml:space="preserve">TAGTCATCTGCTCGCTCCAGAGCG</t>
  </si>
  <si>
    <t xml:space="preserve">AAACCGCTCTGGAGCGAGCAGATG</t>
  </si>
  <si>
    <t xml:space="preserve">GTCGTTGCGCTGCATGAACG</t>
  </si>
  <si>
    <t xml:space="preserve">TAGTGTCGTTGCGCTGCATGAACG</t>
  </si>
  <si>
    <t xml:space="preserve">AAACCGTTCATGCAGCGCAACGAC</t>
  </si>
  <si>
    <t xml:space="preserve">PSPPH_1590</t>
  </si>
  <si>
    <t xml:space="preserve">TGCTGGCATAGCTTTTCTGC</t>
  </si>
  <si>
    <t xml:space="preserve">TAGTTGCTGGCATAGCTTTTCTGC</t>
  </si>
  <si>
    <t xml:space="preserve">AAACGCAGAAAAGCTATGCCAGCA</t>
  </si>
  <si>
    <t xml:space="preserve">GGCAATGCAGCGCAATAACG</t>
  </si>
  <si>
    <t xml:space="preserve">TAGTGGCAATGCAGCGCAATAACG</t>
  </si>
  <si>
    <t xml:space="preserve">AAACCGTTATTGCGCTGCATTGCC</t>
  </si>
  <si>
    <t xml:space="preserve">AGGATGCGCCCGCTATTGAC</t>
  </si>
  <si>
    <t xml:space="preserve">TAGTAGGATGCGCCCGCTATTGAC</t>
  </si>
  <si>
    <t xml:space="preserve">AAACGTCAATAGCGGGCGCATCCT</t>
  </si>
  <si>
    <t xml:space="preserve">CCAGGTCAGTGCCATCAAGC</t>
  </si>
  <si>
    <t xml:space="preserve">TAGTCCAGGTCAGTGCCATCAAGC</t>
  </si>
  <si>
    <t xml:space="preserve">AAACGCTTGATGGCACTGACCTGG</t>
  </si>
  <si>
    <t xml:space="preserve">PSPPH_1591</t>
  </si>
  <si>
    <t xml:space="preserve">CAGGAACAGCAGGTAAACCA</t>
  </si>
  <si>
    <t xml:space="preserve">TAGTCAGGAACAGCAGGTAAACCA</t>
  </si>
  <si>
    <t xml:space="preserve">AAACTGGTTTACCTGCTGTTCCTG</t>
  </si>
  <si>
    <t xml:space="preserve">TCCCGGCCAGCGGTAATAAC</t>
  </si>
  <si>
    <t xml:space="preserve">TAGTTCCCGGCCAGCGGTAATAAC</t>
  </si>
  <si>
    <t xml:space="preserve">AAACGTTATTACCGCTGGCCGGGA</t>
  </si>
  <si>
    <t xml:space="preserve">GGTGGAAATCGAGTACAGAA</t>
  </si>
  <si>
    <t xml:space="preserve">TAGTGGTGGAAATCGAGTACAGAA</t>
  </si>
  <si>
    <t xml:space="preserve">AAACTTCTGTACTCGATTTCCACC</t>
  </si>
  <si>
    <t xml:space="preserve">CAGAATGGTCGCCGACCAAC</t>
  </si>
  <si>
    <t xml:space="preserve">TAGTCAGAATGGTCGCCGACCAAC</t>
  </si>
  <si>
    <t xml:space="preserve">AAACGTTGGTCGGCGACCATTCTG</t>
  </si>
  <si>
    <t xml:space="preserve">PSPPH_1592</t>
  </si>
  <si>
    <t xml:space="preserve">CCACTTGCCTCGGGAAAATC</t>
  </si>
  <si>
    <t xml:space="preserve">TAGTCCACTTGCCTCGGGAAAATC</t>
  </si>
  <si>
    <t xml:space="preserve">AAACGATTTTCCCGAGGCAAGTGG</t>
  </si>
  <si>
    <t xml:space="preserve">AGAACACGGCAAAGGGCACC</t>
  </si>
  <si>
    <t xml:space="preserve">TAGTAGAACACGGCAAAGGGCACC</t>
  </si>
  <si>
    <t xml:space="preserve">AAACGGTGCCCTTTGCCGTGTTCT</t>
  </si>
  <si>
    <t xml:space="preserve">TGAATCGCCACCCAGAGCAG</t>
  </si>
  <si>
    <t xml:space="preserve">TAGTTGAATCGCCACCCAGAGCAG</t>
  </si>
  <si>
    <t xml:space="preserve">AAACCTGCTCTGGGTGGCGATTCA</t>
  </si>
  <si>
    <t xml:space="preserve">CCCAACCGGCGTCGCTTTGC</t>
  </si>
  <si>
    <t xml:space="preserve">TAGTCCCAACCGGCGTCGCTTTGC</t>
  </si>
  <si>
    <t xml:space="preserve">AAACGCAAAGCGACGCCGGTTGGG</t>
  </si>
  <si>
    <t xml:space="preserve">PSPPH_1593</t>
  </si>
  <si>
    <t xml:space="preserve">AGGATGACGTTGTGTTTCAT</t>
  </si>
  <si>
    <t xml:space="preserve">TAGTAGGATGACGTTGTGTTTCAT</t>
  </si>
  <si>
    <t xml:space="preserve">AAACATGAAACACAACGTCATCCT</t>
  </si>
  <si>
    <t xml:space="preserve">TGAGGCCATCAAGCACGATC</t>
  </si>
  <si>
    <t xml:space="preserve">TAGTTGAGGCCATCAAGCACGATC</t>
  </si>
  <si>
    <t xml:space="preserve">AAACGATCGTGCTTGATGGCCTCA</t>
  </si>
  <si>
    <t xml:space="preserve">AAGATGGCCCATTGCGTGGC</t>
  </si>
  <si>
    <t xml:space="preserve">TAGTAAGATGGCCCATTGCGTGGC</t>
  </si>
  <si>
    <t xml:space="preserve">AAACGCCACGCAATGGGCCATCTT</t>
  </si>
  <si>
    <t xml:space="preserve">GGCGCGGCCAGCATCATGCC</t>
  </si>
  <si>
    <t xml:space="preserve">TAGTGGCGCGGCCAGCATCATGCC</t>
  </si>
  <si>
    <t xml:space="preserve">AAACGGCATGATGCTGGCCGCGCC</t>
  </si>
  <si>
    <t xml:space="preserve">PSPPH_1594</t>
  </si>
  <si>
    <t xml:space="preserve">TCATTGCCATGGCTGAACCG</t>
  </si>
  <si>
    <t xml:space="preserve">TAGTTCATTGCCATGGCTGAACCG</t>
  </si>
  <si>
    <t xml:space="preserve">AAACCGGTTCAGCCATGGCAATGA</t>
  </si>
  <si>
    <t xml:space="preserve">CCGCAGCCTCCAGCGTTTTA</t>
  </si>
  <si>
    <t xml:space="preserve">TAGTCCGCAGCCTCCAGCGTTTTA</t>
  </si>
  <si>
    <t xml:space="preserve">AAACTAAAACGCTGGAGGCTGCGG</t>
  </si>
  <si>
    <t xml:space="preserve">ATTGACCGCACCTTCAGCCT</t>
  </si>
  <si>
    <t xml:space="preserve">TAGTATTGACCGCACCTTCAGCCT</t>
  </si>
  <si>
    <t xml:space="preserve">AAACAGGCTGAAGGTGCGGTCAAT</t>
  </si>
  <si>
    <t xml:space="preserve">CCCCAGTTAGCCCAGTCATC</t>
  </si>
  <si>
    <t xml:space="preserve">TAGTCCCCAGTTAGCCCAGTCATC</t>
  </si>
  <si>
    <t xml:space="preserve">AAACGATGACTGGGCTAACTGGGG</t>
  </si>
  <si>
    <t xml:space="preserve">PSPPH_1595</t>
  </si>
  <si>
    <t xml:space="preserve">CAAATCGTTGTTACCGCCCG</t>
  </si>
  <si>
    <t xml:space="preserve">TAGTCAAATCGTTGTTACCGCCCG</t>
  </si>
  <si>
    <t xml:space="preserve">AAACCGGGCGGTAACAACGATTTG</t>
  </si>
  <si>
    <t xml:space="preserve">GCAGGCAGCTTGCTGCCATG</t>
  </si>
  <si>
    <t xml:space="preserve">TAGTGCAGGCAGCTTGCTGCCATG</t>
  </si>
  <si>
    <t xml:space="preserve">AAACCATGGCAGCAAGCTGCCTGC</t>
  </si>
  <si>
    <t xml:space="preserve">CTCACGCAACGTGATACGGG</t>
  </si>
  <si>
    <t xml:space="preserve">TAGTCTCACGCAACGTGATACGGG</t>
  </si>
  <si>
    <t xml:space="preserve">AAACCCCGTATCACGTTGCGTGAG</t>
  </si>
  <si>
    <t xml:space="preserve">CTTGCGCCTCCAGTTGCACG</t>
  </si>
  <si>
    <t xml:space="preserve">TAGTCTTGCGCCTCCAGTTGCACG</t>
  </si>
  <si>
    <t xml:space="preserve">AAACCGTGCAACTGGAGGCGCAAG</t>
  </si>
  <si>
    <t xml:space="preserve">PSPPH_1599</t>
  </si>
  <si>
    <t xml:space="preserve">AAGCCTTCAGAAAATCGATG</t>
  </si>
  <si>
    <t xml:space="preserve">TAGTAAGCCTTCAGAAAATCGATG</t>
  </si>
  <si>
    <t xml:space="preserve">AAACCATCGATTTTCTGAAGGCTT</t>
  </si>
  <si>
    <t xml:space="preserve">GCGGTGGCGTGGAACGGGGT</t>
  </si>
  <si>
    <t xml:space="preserve">TAGTGCGGTGGCGTGGAACGGGGT</t>
  </si>
  <si>
    <t xml:space="preserve">AAACACCCCGTTCCACGCCACCGC</t>
  </si>
  <si>
    <t xml:space="preserve">TTCGAAGTGTTGCACGAGGG</t>
  </si>
  <si>
    <t xml:space="preserve">TAGTTTCGAAGTGTTGCACGAGGG</t>
  </si>
  <si>
    <t xml:space="preserve">AAACCCCTCGTGCAACACTTCGAA</t>
  </si>
  <si>
    <t xml:space="preserve">ACCTCCAGTTTCTATTGCCC</t>
  </si>
  <si>
    <t xml:space="preserve">TAGTACCTCCAGTTTCTATTGCCC</t>
  </si>
  <si>
    <t xml:space="preserve">AAACGGGCAATAGAAACTGGAGGT</t>
  </si>
  <si>
    <t xml:space="preserve">PSPPH_1601</t>
  </si>
  <si>
    <t xml:space="preserve">GTCGTCCCATTTGGGGAAGT</t>
  </si>
  <si>
    <t xml:space="preserve">TAGTGTCGTCCCATTTGGGGAAGT</t>
  </si>
  <si>
    <t xml:space="preserve">AAACACTTCCCCAAATGGGACGAC</t>
  </si>
  <si>
    <t xml:space="preserve">ATGGTTGAATTTGTTATCGA</t>
  </si>
  <si>
    <t xml:space="preserve">TAGTATGGTTGAATTTGTTATCGA</t>
  </si>
  <si>
    <t xml:space="preserve">AAACTCGATAACAAATTCAACCAT</t>
  </si>
  <si>
    <t xml:space="preserve">GATACTGCCGAAGGCCAATG</t>
  </si>
  <si>
    <t xml:space="preserve">TAGTGATACTGCCGAAGGCCAATG</t>
  </si>
  <si>
    <t xml:space="preserve">AAACCATTGGCCTTCGGCAGTATC</t>
  </si>
  <si>
    <t xml:space="preserve">CCAGCTTCACCGACTCAATG</t>
  </si>
  <si>
    <t xml:space="preserve">TAGTCCAGCTTCACCGACTCAATG</t>
  </si>
  <si>
    <t xml:space="preserve">AAACCATTGAGTCGGTGAAGCTGG</t>
  </si>
  <si>
    <t xml:space="preserve">PSPPH_1603</t>
  </si>
  <si>
    <t xml:space="preserve">rluA</t>
  </si>
  <si>
    <t xml:space="preserve">AGAAACGCCAACGGCGGTAA</t>
  </si>
  <si>
    <t xml:space="preserve">TAGTAGAAACGCCAACGGCGGTAA</t>
  </si>
  <si>
    <t xml:space="preserve">AAACTTACCGCCGTTGGCGTTTCT</t>
  </si>
  <si>
    <t xml:space="preserve">TGTTCGACAACGGCATGCAA</t>
  </si>
  <si>
    <t xml:space="preserve">TAGTTGTTCGACAACGGCATGCAA</t>
  </si>
  <si>
    <t xml:space="preserve">AAACTTGCATGCCGTTGTCGAACA</t>
  </si>
  <si>
    <t xml:space="preserve">CTGCGTCCTGATAAATGATG</t>
  </si>
  <si>
    <t xml:space="preserve">TAGTCTGCGTCCTGATAAATGATG</t>
  </si>
  <si>
    <t xml:space="preserve">AAACCATCATTTATCAGGACGCAG</t>
  </si>
  <si>
    <t xml:space="preserve">AGGCTTATCGATTACCAGAA</t>
  </si>
  <si>
    <t xml:space="preserve">TAGTAGGCTTATCGATTACCAGAA</t>
  </si>
  <si>
    <t xml:space="preserve">AAACTTCTGGTAATCGATAAGCCT</t>
  </si>
  <si>
    <t xml:space="preserve">PSPPH_1604</t>
  </si>
  <si>
    <t xml:space="preserve">minE</t>
  </si>
  <si>
    <t xml:space="preserve">AGGCCGTGCTTTCTTTTTTG</t>
  </si>
  <si>
    <t xml:space="preserve">TAGTAGGCCGTGCTTTCTTTTTTG</t>
  </si>
  <si>
    <t xml:space="preserve">AAACCAAAAAAGAAAGCACGGCCT</t>
  </si>
  <si>
    <t xml:space="preserve">CAGACGCTCTTTCGCTACCG</t>
  </si>
  <si>
    <t xml:space="preserve">TAGTCAGACGCTCTTTCGCTACCG</t>
  </si>
  <si>
    <t xml:space="preserve">AAACCGGTAGCGAAAGAGCGTCTG</t>
  </si>
  <si>
    <t xml:space="preserve">GGTAGTCCGGGGTACTGCGC</t>
  </si>
  <si>
    <t xml:space="preserve">TAGTGGTAGTCCGGGGTACTGCGC</t>
  </si>
  <si>
    <t xml:space="preserve">AAACGCGCAGTACCCCGGACTACC</t>
  </si>
  <si>
    <t xml:space="preserve">GCTCTTTCTGCAGTGCAGGA</t>
  </si>
  <si>
    <t xml:space="preserve">TAGTGCTCTTTCTGCAGTGCAGGA</t>
  </si>
  <si>
    <t xml:space="preserve">AAACTCCTGCACTGCAGAAAGAGC</t>
  </si>
  <si>
    <t xml:space="preserve">PSPPH_1605</t>
  </si>
  <si>
    <t xml:space="preserve">minD</t>
  </si>
  <si>
    <t xml:space="preserve">AACAACGAGAATCTTGGCCA</t>
  </si>
  <si>
    <t xml:space="preserve">TAGTAACAACGAGAATCTTGGCCA</t>
  </si>
  <si>
    <t xml:space="preserve">AAACTGGCCAAGATTCTCGTTGTT</t>
  </si>
  <si>
    <t xml:space="preserve">GGTACCGATAGCGGCGCTGG</t>
  </si>
  <si>
    <t xml:space="preserve">TAGTGGTACCGATAGCGGCGCTGG</t>
  </si>
  <si>
    <t xml:space="preserve">AAACCCAGCGCCGCTATCGGTACC</t>
  </si>
  <si>
    <t xml:space="preserve">GTGACCACGCAATGCGAGAC</t>
  </si>
  <si>
    <t xml:space="preserve">TAGTGTGACCACGCAATGCGAGAC</t>
  </si>
  <si>
    <t xml:space="preserve">AAACGTCTCGCATTGCGTGGTCAC</t>
  </si>
  <si>
    <t xml:space="preserve">TGATCAGGTCGAGGTTACGC</t>
  </si>
  <si>
    <t xml:space="preserve">TAGTTGATCAGGTCGAGGTTACGC</t>
  </si>
  <si>
    <t xml:space="preserve">AAACGCGTAACCTCGACCTGATCA</t>
  </si>
  <si>
    <t xml:space="preserve">PSPPH_1606</t>
  </si>
  <si>
    <t xml:space="preserve">minC</t>
  </si>
  <si>
    <t xml:space="preserve">TTGCGATTCAATCTGGCTCA</t>
  </si>
  <si>
    <t xml:space="preserve">TAGTTTGCGATTCAATCTGGCTCA</t>
  </si>
  <si>
    <t xml:space="preserve">AAACTGAGCCAGATTGAATCGCAA</t>
  </si>
  <si>
    <t xml:space="preserve">TGAGCTGAAATACAGGTTCC</t>
  </si>
  <si>
    <t xml:space="preserve">TAGTTGAGCTGAAATACAGGTTCC</t>
  </si>
  <si>
    <t xml:space="preserve">AAACGGAACCTGTATTTCAGCTCA</t>
  </si>
  <si>
    <t xml:space="preserve">GGCCAGCTCCATCACAGTGA</t>
  </si>
  <si>
    <t xml:space="preserve">TAGTGGCCAGCTCCATCACAGTGA</t>
  </si>
  <si>
    <t xml:space="preserve">AAACTCACTGTGATGGAGCTGGCC</t>
  </si>
  <si>
    <t xml:space="preserve">GAGCGCTTCAAGGTTGGTCC</t>
  </si>
  <si>
    <t xml:space="preserve">TAGTGAGCGCTTCAAGGTTGGTCC</t>
  </si>
  <si>
    <t xml:space="preserve">AAACGGACCAACCTTGAAGCGCTC</t>
  </si>
  <si>
    <t xml:space="preserve">PSPPH_1607</t>
  </si>
  <si>
    <t xml:space="preserve">htrB</t>
  </si>
  <si>
    <t xml:space="preserve">GGAAACTGGCTTTAAAGCGC</t>
  </si>
  <si>
    <t xml:space="preserve">TAGTGGAAACTGGCTTTAAAGCGC</t>
  </si>
  <si>
    <t xml:space="preserve">AAACGCGCTTTAAAGCCAGTTTCC</t>
  </si>
  <si>
    <t xml:space="preserve">ACGGCCAGAAACGGGGGTGA</t>
  </si>
  <si>
    <t xml:space="preserve">TAGTACGGCCAGAAACGGGGGTGA</t>
  </si>
  <si>
    <t xml:space="preserve">AAACTCACCCCCGTTTCTGGCCGT</t>
  </si>
  <si>
    <t xml:space="preserve">GCAGGGCGCGAAACGGCAAC</t>
  </si>
  <si>
    <t xml:space="preserve">TAGTGCAGGGCGCGAAACGGCAAC</t>
  </si>
  <si>
    <t xml:space="preserve">AAACGTTGCCGTTTCGCGCCCTGC</t>
  </si>
  <si>
    <t xml:space="preserve">CGCACCCAATGCCCGACCGA</t>
  </si>
  <si>
    <t xml:space="preserve">TAGTCGCACCCAATGCCCGACCGA</t>
  </si>
  <si>
    <t xml:space="preserve">AAACTCGGTCGGGCATTGGGTGCG</t>
  </si>
  <si>
    <t xml:space="preserve">PSPPH_1608</t>
  </si>
  <si>
    <t xml:space="preserve">TGGGTCACTACTGCGGTATC</t>
  </si>
  <si>
    <t xml:space="preserve">TAGTTGGGTCACTACTGCGGTATC</t>
  </si>
  <si>
    <t xml:space="preserve">AAACGATACCGCAGTAGTGACCCA</t>
  </si>
  <si>
    <t xml:space="preserve">GCTCGACTTCGGTTACAGCC</t>
  </si>
  <si>
    <t xml:space="preserve">TAGTGCTCGACTTCGGTTACAGCC</t>
  </si>
  <si>
    <t xml:space="preserve">AAACGGCTGTAACCGAAGTCGAGC</t>
  </si>
  <si>
    <t xml:space="preserve">GACAAAATAAGCCCGGTCAC</t>
  </si>
  <si>
    <t xml:space="preserve">TAGTGACAAAATAAGCCCGGTCAC</t>
  </si>
  <si>
    <t xml:space="preserve">AAACGTGACCGGGCTTATTTTGTC</t>
  </si>
  <si>
    <t xml:space="preserve">AGAACCGGGCGGCAGCAAGT</t>
  </si>
  <si>
    <t xml:space="preserve">TAGTAGAACCGGGCGGCAGCAAGT</t>
  </si>
  <si>
    <t xml:space="preserve">AAACACTTGCTGCCGCCCGGTTCT</t>
  </si>
  <si>
    <t xml:space="preserve">PSPPH_1609</t>
  </si>
  <si>
    <t xml:space="preserve">ATATGCACGGTGAACGTGTC</t>
  </si>
  <si>
    <t xml:space="preserve">TAGTATATGCACGGTGAACGTGTC</t>
  </si>
  <si>
    <t xml:space="preserve">AAACGACACGTTCACCGTGCATAT</t>
  </si>
  <si>
    <t xml:space="preserve">TCGGTACCAGGTATTGCTCC</t>
  </si>
  <si>
    <t xml:space="preserve">TAGTTCGGTACCAGGTATTGCTCC</t>
  </si>
  <si>
    <t xml:space="preserve">AAACGGAGCAATACCTGGTACCGA</t>
  </si>
  <si>
    <t xml:space="preserve">CCAGCCACCCCTCACGATGC</t>
  </si>
  <si>
    <t xml:space="preserve">TAGTCCAGCCACCCCTCACGATGC</t>
  </si>
  <si>
    <t xml:space="preserve">AAACGCATCGTGAGGGGTGGCTGG</t>
  </si>
  <si>
    <t xml:space="preserve">GCAGGGGACAGGTAATGGAT</t>
  </si>
  <si>
    <t xml:space="preserve">TAGTGCAGGGGACAGGTAATGGAT</t>
  </si>
  <si>
    <t xml:space="preserve">AAACATCCATTACCTGTCCCCTGC</t>
  </si>
  <si>
    <t xml:space="preserve">PSPPH_1610</t>
  </si>
  <si>
    <t xml:space="preserve">TTTTTCGATAAGTGCACGAT</t>
  </si>
  <si>
    <t xml:space="preserve">TAGTTTTTTCGATAAGTGCACGAT</t>
  </si>
  <si>
    <t xml:space="preserve">AAACATCGTGCACTTATCGAAAAA</t>
  </si>
  <si>
    <t xml:space="preserve">GCCAGGAGCTCCTGTGGGAT</t>
  </si>
  <si>
    <t xml:space="preserve">TAGTGCCAGGAGCTCCTGTGGGAT</t>
  </si>
  <si>
    <t xml:space="preserve">AAACATCCCACAGGAGCTCCTGGC</t>
  </si>
  <si>
    <t xml:space="preserve">CGCAGACCAGCGAGATCACC</t>
  </si>
  <si>
    <t xml:space="preserve">TAGTCGCAGACCAGCGAGATCACC</t>
  </si>
  <si>
    <t xml:space="preserve">AAACGGTGATCTCGCTGGTCTGCG</t>
  </si>
  <si>
    <t xml:space="preserve">GCTCTCCAGCTCGACCAGTT</t>
  </si>
  <si>
    <t xml:space="preserve">TAGTGCTCTCCAGCTCGACCAGTT</t>
  </si>
  <si>
    <t xml:space="preserve">AAACAACTGGTCGAGCTGGAGAGC</t>
  </si>
  <si>
    <t xml:space="preserve">PSPPH_1611</t>
  </si>
  <si>
    <t xml:space="preserve">CGTTACCAGCGGCACCAGAA</t>
  </si>
  <si>
    <t xml:space="preserve">TAGTCGTTACCAGCGGCACCAGAA</t>
  </si>
  <si>
    <t xml:space="preserve">AAACTTCTGGTGCCGCTGGTAACG</t>
  </si>
  <si>
    <t xml:space="preserve">ACCTGCGCCTGTACGTTCAG</t>
  </si>
  <si>
    <t xml:space="preserve">TAGTACCTGCGCCTGTACGTTCAG</t>
  </si>
  <si>
    <t xml:space="preserve">AAACCTGAACGTACAGGCGCAGGT</t>
  </si>
  <si>
    <t xml:space="preserve">GCTCAAAAGACGTTCAAGAC</t>
  </si>
  <si>
    <t xml:space="preserve">TAGTGCTCAAAAGACGTTCAAGAC</t>
  </si>
  <si>
    <t xml:space="preserve">AAACGTCTTGAACGTCTTTTGAGC</t>
  </si>
  <si>
    <t xml:space="preserve">AGCCGTCGACGTGGGCTGCG</t>
  </si>
  <si>
    <t xml:space="preserve">TAGTAGCCGTCGACGTGGGCTGCG</t>
  </si>
  <si>
    <t xml:space="preserve">AAACCGCAGCCCACGTCGACGGCT</t>
  </si>
  <si>
    <t xml:space="preserve">PSPPH_1612</t>
  </si>
  <si>
    <t xml:space="preserve">CTGTTGCGTCGATCATTGGC</t>
  </si>
  <si>
    <t xml:space="preserve">TAGTCTGTTGCGTCGATCATTGGC</t>
  </si>
  <si>
    <t xml:space="preserve">AAACGCCAATGATCGACGCAACAG</t>
  </si>
  <si>
    <t xml:space="preserve">CACGCACGCCGGGATCGGCG</t>
  </si>
  <si>
    <t xml:space="preserve">TAGTCACGCACGCCGGGATCGGCG</t>
  </si>
  <si>
    <t xml:space="preserve">AAACCGCCGATCCCGGCGTGCGTG</t>
  </si>
  <si>
    <t xml:space="preserve">GAACCGGGAAAACAAACCCA</t>
  </si>
  <si>
    <t xml:space="preserve">TAGTGAACCGGGAAAACAAACCCA</t>
  </si>
  <si>
    <t xml:space="preserve">AAACTGGGTTTGTTTTCCCGGTTC</t>
  </si>
  <si>
    <t xml:space="preserve">GGCGTCGCAAATGCCTATCT</t>
  </si>
  <si>
    <t xml:space="preserve">TAGTGGCGTCGCAAATGCCTATCT</t>
  </si>
  <si>
    <t xml:space="preserve">AAACAGATAGGCATTTGCGACGCC</t>
  </si>
  <si>
    <t xml:space="preserve">PSPPH_1613</t>
  </si>
  <si>
    <t xml:space="preserve">CGCGTTCAAGGTGTCGATAC</t>
  </si>
  <si>
    <t xml:space="preserve">TAGTCGCGTTCAAGGTGTCGATAC</t>
  </si>
  <si>
    <t xml:space="preserve">AAACGTATCGACACCTTGAACGCG</t>
  </si>
  <si>
    <t xml:space="preserve">TGGGTAATATCGTCCAGAAC</t>
  </si>
  <si>
    <t xml:space="preserve">TAGTTGGGTAATATCGTCCAGAAC</t>
  </si>
  <si>
    <t xml:space="preserve">AAACGTTCTGGACGATATTACCCA</t>
  </si>
  <si>
    <t xml:space="preserve">TCAGGGCAGAGATTTCGTGT</t>
  </si>
  <si>
    <t xml:space="preserve">TAGTTCAGGGCAGAGATTTCGTGT</t>
  </si>
  <si>
    <t xml:space="preserve">AAACACACGAAATCTCTGCCCTGA</t>
  </si>
  <si>
    <t xml:space="preserve">TGCATCGGCCAGGCTGAAAC</t>
  </si>
  <si>
    <t xml:space="preserve">TAGTTGCATCGGCCAGGCTGAAAC</t>
  </si>
  <si>
    <t xml:space="preserve">AAACGTTTCAGCCTGGCCGATGCA</t>
  </si>
  <si>
    <t xml:space="preserve">PSPPH_1614</t>
  </si>
  <si>
    <t xml:space="preserve">AACGGGCATCGTAGTGTAAC</t>
  </si>
  <si>
    <t xml:space="preserve">TAGTAACGGGCATCGTAGTGTAAC</t>
  </si>
  <si>
    <t xml:space="preserve">AAACGTTACACTACGATGCCCGTT</t>
  </si>
  <si>
    <t xml:space="preserve">TGAAAAAATCTTCTTGCTCA</t>
  </si>
  <si>
    <t xml:space="preserve">TAGTTGAAAAAATCTTCTTGCTCA</t>
  </si>
  <si>
    <t xml:space="preserve">AAACTGAGCAAGAAGATTTTTTCA</t>
  </si>
  <si>
    <t xml:space="preserve">TCCGACAAGGTAAGTGGTAG</t>
  </si>
  <si>
    <t xml:space="preserve">TAGTTCCGACAAGGTAAGTGGTAG</t>
  </si>
  <si>
    <t xml:space="preserve">AAACCTACCACTTACCTTGTCGGA</t>
  </si>
  <si>
    <t xml:space="preserve">ATCAGCCTTAGCCCGGCCAG</t>
  </si>
  <si>
    <t xml:space="preserve">TAGTATCAGCCTTAGCCCGGCCAG</t>
  </si>
  <si>
    <t xml:space="preserve">AAACCTGGCCGGGCTAAGGCTGAT</t>
  </si>
  <si>
    <t xml:space="preserve">PSPPH_1615</t>
  </si>
  <si>
    <t xml:space="preserve">GGGGCCCCGTTTATCTTCAA</t>
  </si>
  <si>
    <t xml:space="preserve">TAGTGGGGCCCCGTTTATCTTCAA</t>
  </si>
  <si>
    <t xml:space="preserve">AAACTTGAAGATAAACGGGGCCCC</t>
  </si>
  <si>
    <t xml:space="preserve">TCAGTTGACGGAGAGGGGCA</t>
  </si>
  <si>
    <t xml:space="preserve">TAGTTCAGTTGACGGAGAGGGGCA</t>
  </si>
  <si>
    <t xml:space="preserve">AAACTGCCCCTCTCCGTCAACTGA</t>
  </si>
  <si>
    <t xml:space="preserve">CGTAGGTAAAATCGCCAATG</t>
  </si>
  <si>
    <t xml:space="preserve">TAGTCGTAGGTAAAATCGCCAATG</t>
  </si>
  <si>
    <t xml:space="preserve">AAACCATTGGCGATTTTACCTACG</t>
  </si>
  <si>
    <t xml:space="preserve">CGTCTTGGGCGTGGAAAAGT</t>
  </si>
  <si>
    <t xml:space="preserve">TAGTCGTCTTGGGCGTGGAAAAGT</t>
  </si>
  <si>
    <t xml:space="preserve">AAACACTTTTCCACGCCCAAGACG</t>
  </si>
  <si>
    <t xml:space="preserve">PSPPH_1617</t>
  </si>
  <si>
    <t xml:space="preserve">TCTGAACCACGTATCCGGTT</t>
  </si>
  <si>
    <t xml:space="preserve">TAGTTCTGAACCACGTATCCGGTT</t>
  </si>
  <si>
    <t xml:space="preserve">AAACAACCGGATACGTGGTTCAGA</t>
  </si>
  <si>
    <t xml:space="preserve">CGATCTCGCGAATAAGACAG</t>
  </si>
  <si>
    <t xml:space="preserve">TAGTCGATCTCGCGAATAAGACAG</t>
  </si>
  <si>
    <t xml:space="preserve">AAACCTGTCTTATTCGCGAGATCG</t>
  </si>
  <si>
    <t xml:space="preserve">GCAGCTCGGCCGCCGCCAGA</t>
  </si>
  <si>
    <t xml:space="preserve">TAGTGCAGCTCGGCCGCCGCCAGA</t>
  </si>
  <si>
    <t xml:space="preserve">AAACTCTGGCGGCGGCCGAGCTGC</t>
  </si>
  <si>
    <t xml:space="preserve">GCGTCATACCAAGCGTATGG</t>
  </si>
  <si>
    <t xml:space="preserve">TAGTGCGTCATACCAAGCGTATGG</t>
  </si>
  <si>
    <t xml:space="preserve">AAACCCATACGCTTGGTATGACGC</t>
  </si>
  <si>
    <t xml:space="preserve">PSPPH_1619</t>
  </si>
  <si>
    <t xml:space="preserve">GACTTTACGAAATTGAGTCA</t>
  </si>
  <si>
    <t xml:space="preserve">TAGTGACTTTACGAAATTGAGTCA</t>
  </si>
  <si>
    <t xml:space="preserve">AAACTGACTCAATTTCGTAAAGTC</t>
  </si>
  <si>
    <t xml:space="preserve">GTTGGCCTGCCTGAATCGAC</t>
  </si>
  <si>
    <t xml:space="preserve">TAGTGTTGGCCTGCCTGAATCGAC</t>
  </si>
  <si>
    <t xml:space="preserve">AAACGTCGATTCAGGCAGGCCAAC</t>
  </si>
  <si>
    <t xml:space="preserve">ACTCCCGCGCCGTCAGAGGC</t>
  </si>
  <si>
    <t xml:space="preserve">TAGTACTCCCGCGCCGTCAGAGGC</t>
  </si>
  <si>
    <t xml:space="preserve">AAACGCCTCTGACGGCGCGGGAGT</t>
  </si>
  <si>
    <t xml:space="preserve">AACTCGTCCAGCATCAGGAA</t>
  </si>
  <si>
    <t xml:space="preserve">TAGTAACTCGTCCAGCATCAGGAA</t>
  </si>
  <si>
    <t xml:space="preserve">AAACTTCCTGATGCTGGACGAGTT</t>
  </si>
  <si>
    <t xml:space="preserve">PSPPH_1620</t>
  </si>
  <si>
    <t xml:space="preserve">TCGAGAGTGGCGTCGGCCAT</t>
  </si>
  <si>
    <t xml:space="preserve">TAGTTCGAGAGTGGCGTCGGCCAT</t>
  </si>
  <si>
    <t xml:space="preserve">AAACATGGCCGACGCCACTCTCGA</t>
  </si>
  <si>
    <t xml:space="preserve">GGTGTGCCAGCAGGCCAAGT</t>
  </si>
  <si>
    <t xml:space="preserve">TAGTGGTGTGCCAGCAGGCCAAGT</t>
  </si>
  <si>
    <t xml:space="preserve">AAACACTTGGCCTGCTGGCACACC</t>
  </si>
  <si>
    <t xml:space="preserve">GCTTTCTTCCGGAACCTGCT</t>
  </si>
  <si>
    <t xml:space="preserve">TAGTGCTTTCTTCCGGAACCTGCT</t>
  </si>
  <si>
    <t xml:space="preserve">AAACAGCAGGTTCCGGAAGAAAGC</t>
  </si>
  <si>
    <t xml:space="preserve">TGGCTTTCTATCGGGTCCTG</t>
  </si>
  <si>
    <t xml:space="preserve">TAGTTGGCTTTCTATCGGGTCCTG</t>
  </si>
  <si>
    <t xml:space="preserve">AAACCAGGACCCGATAGAAAGCCA</t>
  </si>
  <si>
    <t xml:space="preserve">PSPPH_1621</t>
  </si>
  <si>
    <t xml:space="preserve">ACAATCCACAACAACAGCAT</t>
  </si>
  <si>
    <t xml:space="preserve">TAGTACAATCCACAACAACAGCAT</t>
  </si>
  <si>
    <t xml:space="preserve">AAACATGCTGTTGTTGTGGATTGT</t>
  </si>
  <si>
    <t xml:space="preserve">GGTACGCCGATGGGCCAGCC</t>
  </si>
  <si>
    <t xml:space="preserve">TAGTGGTACGCCGATGGGCCAGCC</t>
  </si>
  <si>
    <t xml:space="preserve">AAACGGCTGGCCCATCGGCGTACC</t>
  </si>
  <si>
    <t xml:space="preserve">GCCAAGCGCCGGGAGCGGGG</t>
  </si>
  <si>
    <t xml:space="preserve">TAGTGCCAAGCGCCGGGAGCGGGG</t>
  </si>
  <si>
    <t xml:space="preserve">AAACCCCCGCTCCCGGCGCTTGGC</t>
  </si>
  <si>
    <t xml:space="preserve">GCCCATGGCCAGCAGGTAGA</t>
  </si>
  <si>
    <t xml:space="preserve">TAGTGCCCATGGCCAGCAGGTAGA</t>
  </si>
  <si>
    <t xml:space="preserve">AAACTCTACCTGCTGGCCATGGGC</t>
  </si>
  <si>
    <t xml:space="preserve">PSPPH_1622</t>
  </si>
  <si>
    <t xml:space="preserve">GAGTGCATTGCGCACATTGC</t>
  </si>
  <si>
    <t xml:space="preserve">TAGTGAGTGCATTGCGCACATTGC</t>
  </si>
  <si>
    <t xml:space="preserve">AAACGCAATGTGCGCAATGCACTC</t>
  </si>
  <si>
    <t xml:space="preserve">GTAGGGCACGCCCACTTCTT</t>
  </si>
  <si>
    <t xml:space="preserve">TAGTGTAGGGCACGCCCACTTCTT</t>
  </si>
  <si>
    <t xml:space="preserve">AAACAAGAAGTGGGCGTGCCCTAC</t>
  </si>
  <si>
    <t xml:space="preserve">GACCAGCCCGAATGCCCCAC</t>
  </si>
  <si>
    <t xml:space="preserve">TAGTGACCAGCCCGAATGCCCCAC</t>
  </si>
  <si>
    <t xml:space="preserve">AAACGTGGGGCATTCGGGCTGGTC</t>
  </si>
  <si>
    <t xml:space="preserve">GGCCATTGGGGTTTTTCGCG</t>
  </si>
  <si>
    <t xml:space="preserve">TAGTGGCCATTGGGGTTTTTCGCG</t>
  </si>
  <si>
    <t xml:space="preserve">AAACCGCGAAAAACCCCAATGGCC</t>
  </si>
  <si>
    <t xml:space="preserve">PSPPH_1623</t>
  </si>
  <si>
    <t xml:space="preserve">GGACAGAGCGGAAGACATAT</t>
  </si>
  <si>
    <t xml:space="preserve">TAGTGGACAGAGCGGAAGACATAT</t>
  </si>
  <si>
    <t xml:space="preserve">AAACATATGTCTTCCGCTCTGTCC</t>
  </si>
  <si>
    <t xml:space="preserve">GGTTTTGGTTAGCTGCCGAA</t>
  </si>
  <si>
    <t xml:space="preserve">TAGTGGTTTTGGTTAGCTGCCGAA</t>
  </si>
  <si>
    <t xml:space="preserve">AAACTTCGGCAGCTAACCAAAACC</t>
  </si>
  <si>
    <t xml:space="preserve">GGCCTGGAAACCGTTGCCGT</t>
  </si>
  <si>
    <t xml:space="preserve">TAGTGGCCTGGAAACCGTTGCCGT</t>
  </si>
  <si>
    <t xml:space="preserve">AAACACGGCAACGGTTTCCAGGCC</t>
  </si>
  <si>
    <t xml:space="preserve">GTCCAGATCAATGCCACTCA</t>
  </si>
  <si>
    <t xml:space="preserve">TAGTGTCCAGATCAATGCCACTCA</t>
  </si>
  <si>
    <t xml:space="preserve">AAACTGAGTGGCATTGATCTGGAC</t>
  </si>
  <si>
    <t xml:space="preserve">PSPPH_1624</t>
  </si>
  <si>
    <t xml:space="preserve">GCGCAACTCGCCGCTCTGCA</t>
  </si>
  <si>
    <t xml:space="preserve">TAGTGCGCAACTCGCCGCTCTGCA</t>
  </si>
  <si>
    <t xml:space="preserve">AAACTGCAGAGCGGCGAGTTGCGC</t>
  </si>
  <si>
    <t xml:space="preserve">TCTTCAAGGCAATCAGGTTG</t>
  </si>
  <si>
    <t xml:space="preserve">TAGTTCTTCAAGGCAATCAGGTTG</t>
  </si>
  <si>
    <t xml:space="preserve">AAACCAACCTGATTGCCTTGAAGA</t>
  </si>
  <si>
    <t xml:space="preserve">ATGGACCTCGCGGTAAACGA</t>
  </si>
  <si>
    <t xml:space="preserve">TAGTATGGACCTCGCGGTAAACGA</t>
  </si>
  <si>
    <t xml:space="preserve">AAACTCGTTTACCGCGAGGTCCAT</t>
  </si>
  <si>
    <t xml:space="preserve">GCTGGCGGCAGCAGGGTCTG</t>
  </si>
  <si>
    <t xml:space="preserve">TAGTGCTGGCGGCAGCAGGGTCTG</t>
  </si>
  <si>
    <t xml:space="preserve">AAACCAGACCCTGCTGCCGCCAGC</t>
  </si>
  <si>
    <t xml:space="preserve">PSPPH_1626</t>
  </si>
  <si>
    <t xml:space="preserve">GCGATGGAGCTCAAAATAAT</t>
  </si>
  <si>
    <t xml:space="preserve">TAGTGCGATGGAGCTCAAAATAAT</t>
  </si>
  <si>
    <t xml:space="preserve">AAACATTATTTTGAGCTCCATCGC</t>
  </si>
  <si>
    <t xml:space="preserve">CTCGATGATAATGCCAGCAG</t>
  </si>
  <si>
    <t xml:space="preserve">TAGTCTCGATGATAATGCCAGCAG</t>
  </si>
  <si>
    <t xml:space="preserve">AAACCTGCTGGCATTATCATCGAG</t>
  </si>
  <si>
    <t xml:space="preserve">ATGCGGCGGCGTGATACGGC</t>
  </si>
  <si>
    <t xml:space="preserve">TAGTATGCGGCGGCGTGATACGGC</t>
  </si>
  <si>
    <t xml:space="preserve">AAACGCCGTATCACGCCGCCGCAT</t>
  </si>
  <si>
    <t xml:space="preserve">AATCTCACCCAGAGGCGAGT</t>
  </si>
  <si>
    <t xml:space="preserve">TAGTAATCTCACCCAGAGGCGAGT</t>
  </si>
  <si>
    <t xml:space="preserve">AAACACTCGCCTCTGGGTGAGATT</t>
  </si>
  <si>
    <t xml:space="preserve">PSPPH_1627</t>
  </si>
  <si>
    <t xml:space="preserve">TGTTTTCCCGGGGTCTGCGA</t>
  </si>
  <si>
    <t xml:space="preserve">TAGTTGTTTTCCCGGGGTCTGCGA</t>
  </si>
  <si>
    <t xml:space="preserve">AAACTCGCAGACCCCGGGAAAACA</t>
  </si>
  <si>
    <t xml:space="preserve">CTGGGTTTCACGGGTGAACG</t>
  </si>
  <si>
    <t xml:space="preserve">TAGTCTGGGTTTCACGGGTGAACG</t>
  </si>
  <si>
    <t xml:space="preserve">AAACCGTTCACCCGTGAAACCCAG</t>
  </si>
  <si>
    <t xml:space="preserve">GGCGTACCGGTGACCGCCTG</t>
  </si>
  <si>
    <t xml:space="preserve">TAGTGGCGTACCGGTGACCGCCTG</t>
  </si>
  <si>
    <t xml:space="preserve">AAACCAGGCGGTCACCGGTACGCC</t>
  </si>
  <si>
    <t xml:space="preserve">TTAGCGCTGGCGTCCACCTC</t>
  </si>
  <si>
    <t xml:space="preserve">TAGTTTAGCGCTGGCGTCCACCTC</t>
  </si>
  <si>
    <t xml:space="preserve">AAACGAGGTGGACGCCAGCGCTAA</t>
  </si>
  <si>
    <t xml:space="preserve">PSPPH_1628</t>
  </si>
  <si>
    <t xml:space="preserve">lpxK</t>
  </si>
  <si>
    <t xml:space="preserve">CCAGGCATCAAGCAAACGGT</t>
  </si>
  <si>
    <t xml:space="preserve">TAGTCCAGGCATCAAGCAAACGGT</t>
  </si>
  <si>
    <t xml:space="preserve">AAACACCGTTTGCTTGATGCCTGG</t>
  </si>
  <si>
    <t xml:space="preserve">GCAAAAGCGCCAGCGCAGGG</t>
  </si>
  <si>
    <t xml:space="preserve">TAGTGCAAAAGCGCCAGCGCAGGG</t>
  </si>
  <si>
    <t xml:space="preserve">AAACCCCTGCGCTGGCGCTTTTGC</t>
  </si>
  <si>
    <t xml:space="preserve">CGCCGATAAAGGCCTTCGAG</t>
  </si>
  <si>
    <t xml:space="preserve">TAGTCGCCGATAAAGGCCTTCGAG</t>
  </si>
  <si>
    <t xml:space="preserve">AAACCTCGAAGGCCTTTATCGGCG</t>
  </si>
  <si>
    <t xml:space="preserve">CAATAACCGGCACCGGAGCG</t>
  </si>
  <si>
    <t xml:space="preserve">TAGTCAATAACCGGCACCGGAGCG</t>
  </si>
  <si>
    <t xml:space="preserve">AAACCGCTCCGGTGCCGGTTATTG</t>
  </si>
  <si>
    <t xml:space="preserve">PSPPH_1629</t>
  </si>
  <si>
    <t xml:space="preserve">TCGAGTAGTTTGGTGTCCAT</t>
  </si>
  <si>
    <t xml:space="preserve">TAGTTCGAGTAGTTTGGTGTCCAT</t>
  </si>
  <si>
    <t xml:space="preserve">AAACATGGACACCAAACTACTCGA</t>
  </si>
  <si>
    <t xml:space="preserve">CCTTGCACACAGGGCAAGCG</t>
  </si>
  <si>
    <t xml:space="preserve">TAGTCCTTGCACACAGGGCAAGCG</t>
  </si>
  <si>
    <t xml:space="preserve">AAACCGCTTGCCCTGTGTGCAAGG</t>
  </si>
  <si>
    <t xml:space="preserve">TTGTCGGCGCTGAGCTTCAA</t>
  </si>
  <si>
    <t xml:space="preserve">TAGTTTGTCGGCGCTGAGCTTCAA</t>
  </si>
  <si>
    <t xml:space="preserve">AAACTTGAAGCTCAGCGCCGACAA</t>
  </si>
  <si>
    <t xml:space="preserve">TGCCCCTTTGCTGATCAGCT</t>
  </si>
  <si>
    <t xml:space="preserve">TAGTTGCCCCTTTGCTGATCAGCT</t>
  </si>
  <si>
    <t xml:space="preserve">AAACAGCTGATCAGCAAAGGGGCA</t>
  </si>
  <si>
    <t xml:space="preserve">PSPPH_1630</t>
  </si>
  <si>
    <t xml:space="preserve">kdsB</t>
  </si>
  <si>
    <t xml:space="preserve">GTAACGCGCAGGAATGACAA</t>
  </si>
  <si>
    <t xml:space="preserve">TAGTGTAACGCGCAGGAATGACAA</t>
  </si>
  <si>
    <t xml:space="preserve">AAACTTGTCATTCCTGCGCGTTAC</t>
  </si>
  <si>
    <t xml:space="preserve">TGGCTTGCCGGGAAAACGGC</t>
  </si>
  <si>
    <t xml:space="preserve">TAGTTGGCTTGCCGGGAAAACGGC</t>
  </si>
  <si>
    <t xml:space="preserve">AAACGCCGTTTTCCCGGCAAGCCA</t>
  </si>
  <si>
    <t xml:space="preserve">TTGCCAGCAATGGTTTTCAG</t>
  </si>
  <si>
    <t xml:space="preserve">TAGTTTGCCAGCAATGGTTTTCAG</t>
  </si>
  <si>
    <t xml:space="preserve">AAACCTGAAAACCATTGCTGGCAA</t>
  </si>
  <si>
    <t xml:space="preserve">TCCCAGACAAGCTGAACCAT</t>
  </si>
  <si>
    <t xml:space="preserve">TAGTTCCCAGACAAGCTGAACCAT</t>
  </si>
  <si>
    <t xml:space="preserve">AAACATGGTTCAGCTTGTCTGGGA</t>
  </si>
  <si>
    <t xml:space="preserve">PSPPH_1631</t>
  </si>
  <si>
    <t xml:space="preserve">murB</t>
  </si>
  <si>
    <t xml:space="preserve">AATCGCGGACTGCACCTGCA</t>
  </si>
  <si>
    <t xml:space="preserve">TAGTAATCGCGGACTGCACCTGCA</t>
  </si>
  <si>
    <t xml:space="preserve">AAACTGCAGGTGCAGTCCGCGATT</t>
  </si>
  <si>
    <t xml:space="preserve">AAAGGTGTTGAAAGGTTTGA</t>
  </si>
  <si>
    <t xml:space="preserve">TAGTAAAGGTGTTGAAAGGTTTGA</t>
  </si>
  <si>
    <t xml:space="preserve">AAACTCAAACCTTTCAACACCTTT</t>
  </si>
  <si>
    <t xml:space="preserve">ATGCGCTTCGGCAAACAAGC</t>
  </si>
  <si>
    <t xml:space="preserve">TAGTATGCGCTTCGGCAAACAAGC</t>
  </si>
  <si>
    <t xml:space="preserve">AAACGCTTGTTTGCCGAAGCGCAT</t>
  </si>
  <si>
    <t xml:space="preserve">GCACGTCACCGCTGAGCAGC</t>
  </si>
  <si>
    <t xml:space="preserve">TAGTGCACGTCACCGCTGAGCAGC</t>
  </si>
  <si>
    <t xml:space="preserve">AAACGCTGCTCAGCGGTGACGTGC</t>
  </si>
  <si>
    <t xml:space="preserve">PSPPH_1632</t>
  </si>
  <si>
    <t xml:space="preserve">GGGCTGCCGGAAACGGCGTT</t>
  </si>
  <si>
    <t xml:space="preserve">TAGTGGGCTGCCGGAAACGGCGTT</t>
  </si>
  <si>
    <t xml:space="preserve">AAACAACGCCGTTTCCGGCAGCCC</t>
  </si>
  <si>
    <t xml:space="preserve">ATGTAGTACCGTCGGTTTCC</t>
  </si>
  <si>
    <t xml:space="preserve">TAGTATGTAGTACCGTCGGTTTCC</t>
  </si>
  <si>
    <t xml:space="preserve">AAACGGAAACCGACGGTACTACAT</t>
  </si>
  <si>
    <t xml:space="preserve">AGTGCAACACGCAACTCTTC</t>
  </si>
  <si>
    <t xml:space="preserve">TAGTAGTGCAACACGCAACTCTTC</t>
  </si>
  <si>
    <t xml:space="preserve">AAACGAAGAGTTGCGTGTTGCACT</t>
  </si>
  <si>
    <t xml:space="preserve">TGTCCAGGTCGTAGAGGCGC</t>
  </si>
  <si>
    <t xml:space="preserve">TAGTTGTCCAGGTCGTAGAGGCGC</t>
  </si>
  <si>
    <t xml:space="preserve">AAACGCGCCTCTACGACCTGGACA</t>
  </si>
  <si>
    <t xml:space="preserve">PSPPH_1633</t>
  </si>
  <si>
    <t xml:space="preserve">rluC</t>
  </si>
  <si>
    <t xml:space="preserve">CTGGACGCCGGGGGTTGGAG</t>
  </si>
  <si>
    <t xml:space="preserve">TAGTCTGGACGCCGGGGGTTGGAG</t>
  </si>
  <si>
    <t xml:space="preserve">AAACCTCCAACCCCCGGCGTCCAG</t>
  </si>
  <si>
    <t xml:space="preserve">GCGTTGACCGGCAAGTTCCG</t>
  </si>
  <si>
    <t xml:space="preserve">TAGTGCGTTGACCGGCAAGTTCCG</t>
  </si>
  <si>
    <t xml:space="preserve">AAACCGGAACTTGCCGGTCAACGC</t>
  </si>
  <si>
    <t xml:space="preserve">ATGCGGTAAATCAAGGTTTT</t>
  </si>
  <si>
    <t xml:space="preserve">TAGTATGCGGTAAATCAAGGTTTT</t>
  </si>
  <si>
    <t xml:space="preserve">AAACAAAACCTTGATTTACCGCAT</t>
  </si>
  <si>
    <t xml:space="preserve">CCTGCCTGCAACTTATACTC</t>
  </si>
  <si>
    <t xml:space="preserve">TAGTCCTGCCTGCAACTTATACTC</t>
  </si>
  <si>
    <t xml:space="preserve">AAACGAGTATAAGTTGCAGGCAGG</t>
  </si>
  <si>
    <t xml:space="preserve">PSPPH_1634</t>
  </si>
  <si>
    <t xml:space="preserve">CGTCCCAGTCAAAAATCAAC</t>
  </si>
  <si>
    <t xml:space="preserve">TAGTCGTCCCAGTCAAAAATCAAC</t>
  </si>
  <si>
    <t xml:space="preserve">AAACGTTGATTTTTGACTGGGACG</t>
  </si>
  <si>
    <t xml:space="preserve">AACAATTCGCCCCACAGAGT</t>
  </si>
  <si>
    <t xml:space="preserve">TAGTAACAATTCGCCCCACAGAGT</t>
  </si>
  <si>
    <t xml:space="preserve">AAACACTCTGTGGGGCGAATTGTT</t>
  </si>
  <si>
    <t xml:space="preserve">CTCGATAGCCGCGGTACGCA</t>
  </si>
  <si>
    <t xml:space="preserve">TAGTCTCGATAGCCGCGGTACGCA</t>
  </si>
  <si>
    <t xml:space="preserve">AAACTGCGTACCGCGGCTATCGAG</t>
  </si>
  <si>
    <t xml:space="preserve">CCGATAATGCCCTTGATCGC</t>
  </si>
  <si>
    <t xml:space="preserve">TAGTCCGATAATGCCCTTGATCGC</t>
  </si>
  <si>
    <t xml:space="preserve">AAACGCGATCAAGGGCATTATCGG</t>
  </si>
  <si>
    <t xml:space="preserve">PSPPH_1635</t>
  </si>
  <si>
    <t xml:space="preserve">sppA</t>
  </si>
  <si>
    <t xml:space="preserve">TCGTCCGCGCTTTGCGAGAC</t>
  </si>
  <si>
    <t xml:space="preserve">TAGTTCGTCCGCGCTTTGCGAGAC</t>
  </si>
  <si>
    <t xml:space="preserve">AAACGTCTCGCAAAGCGCGGACGA</t>
  </si>
  <si>
    <t xml:space="preserve">ACGACGCTGCTCCTGAACAC</t>
  </si>
  <si>
    <t xml:space="preserve">TAGTACGACGCTGCTCCTGAACAC</t>
  </si>
  <si>
    <t xml:space="preserve">AAACGTGTTCAGGAGCAGCGTCGT</t>
  </si>
  <si>
    <t xml:space="preserve">CCGCCTTCAAAGTCCAGCAT</t>
  </si>
  <si>
    <t xml:space="preserve">TAGTCCGCCTTCAAAGTCCAGCAT</t>
  </si>
  <si>
    <t xml:space="preserve">AAACATGCTGGACTTTGAAGGCGG</t>
  </si>
  <si>
    <t xml:space="preserve">TCAGCGCTGTGTGGCTGGAG</t>
  </si>
  <si>
    <t xml:space="preserve">TAGTTCAGCGCTGTGTGGCTGGAG</t>
  </si>
  <si>
    <t xml:space="preserve">AAACCTCCAGCCACACAGCGCTGA</t>
  </si>
  <si>
    <t xml:space="preserve">PSPPH_1636</t>
  </si>
  <si>
    <t xml:space="preserve">maf1</t>
  </si>
  <si>
    <t xml:space="preserve">CTGGAGGCAAGGAGCAGGGA</t>
  </si>
  <si>
    <t xml:space="preserve">TAGTCTGGAGGCAAGGAGCAGGGA</t>
  </si>
  <si>
    <t xml:space="preserve">AAACTCCCTGCTCCTTGCCTCCAG</t>
  </si>
  <si>
    <t xml:space="preserve">GGCGAGTGAGCAGTTCGCGC</t>
  </si>
  <si>
    <t xml:space="preserve">TAGTGGCGAGTGAGCAGTTCGCGC</t>
  </si>
  <si>
    <t xml:space="preserve">AAACGCGCGAACTGCTCACTCGCC</t>
  </si>
  <si>
    <t xml:space="preserve">TGCAGGTGAATGGCAGGCGC</t>
  </si>
  <si>
    <t xml:space="preserve">TAGTTGCAGGTGAATGGCAGGCGC</t>
  </si>
  <si>
    <t xml:space="preserve">AAACGCGCCTGCCATTCACCTGCA</t>
  </si>
  <si>
    <t xml:space="preserve">CGGTGACTTTCATCAATGTC</t>
  </si>
  <si>
    <t xml:space="preserve">TAGTCGGTGACTTTCATCAATGTC</t>
  </si>
  <si>
    <t xml:space="preserve">AAACGACATTGATGAAAGTCACCG</t>
  </si>
  <si>
    <t xml:space="preserve">PSPPH_1637</t>
  </si>
  <si>
    <t xml:space="preserve">GGAATCGGGTCATTCAACAT</t>
  </si>
  <si>
    <t xml:space="preserve">TAGTGGAATCGGGTCATTCAACAT</t>
  </si>
  <si>
    <t xml:space="preserve">AAACATGTTGAATGACCCGATTCC</t>
  </si>
  <si>
    <t xml:space="preserve">TTGCGCGGGTCAACGTGAGA</t>
  </si>
  <si>
    <t xml:space="preserve">TAGTTTGCGCGGGTCAACGTGAGA</t>
  </si>
  <si>
    <t xml:space="preserve">AAACTCTCACGTTGACCCGCGCAA</t>
  </si>
  <si>
    <t xml:space="preserve">TACCGACAGTGTCGGCAAGC</t>
  </si>
  <si>
    <t xml:space="preserve">TAGTTACCGACAGTGTCGGCAAGC</t>
  </si>
  <si>
    <t xml:space="preserve">AAACGCTTGCCGACACTGTCGGTA</t>
  </si>
  <si>
    <t xml:space="preserve">AACTGTGGATGACCACAGAA</t>
  </si>
  <si>
    <t xml:space="preserve">TAGTAACTGTGGATGACCACAGAA</t>
  </si>
  <si>
    <t xml:space="preserve">AAACTTCTGTGGTCATCCACAGTT</t>
  </si>
  <si>
    <t xml:space="preserve">PSPPH_1638</t>
  </si>
  <si>
    <t xml:space="preserve">rpmF</t>
  </si>
  <si>
    <t xml:space="preserve">ACGCATGTCACGGGCAGAGC</t>
  </si>
  <si>
    <t xml:space="preserve">TAGTACGCATGTCACGGGCAGAGC</t>
  </si>
  <si>
    <t xml:space="preserve">AAACGCTCTGCCCGTGACATGCGT</t>
  </si>
  <si>
    <t xml:space="preserve">ACGCAGGTGAATTTCACCAG</t>
  </si>
  <si>
    <t xml:space="preserve">TAGTACGCAGGTGAATTTCACCAG</t>
  </si>
  <si>
    <t xml:space="preserve">AAACCTGGTGAAATTCACCTGCGT</t>
  </si>
  <si>
    <t xml:space="preserve">ATACGCCTTCTGGCGATACG</t>
  </si>
  <si>
    <t xml:space="preserve">TAGTATACGCCTTCTGGCGATACG</t>
  </si>
  <si>
    <t xml:space="preserve">AAACCGTATCGCCAGAAGGCGTAT</t>
  </si>
  <si>
    <t xml:space="preserve">TGTCGATCACTTTACGACCA</t>
  </si>
  <si>
    <t xml:space="preserve">TAGTTGTCGATCACTTTACGACCA</t>
  </si>
  <si>
    <t xml:space="preserve">AAACTGGTCGTAAAGTGATCGACA</t>
  </si>
  <si>
    <t xml:space="preserve">PSPPH_1639</t>
  </si>
  <si>
    <t xml:space="preserve">plsX</t>
  </si>
  <si>
    <t xml:space="preserve">GTCGATCGCGATGATCGGAG</t>
  </si>
  <si>
    <t xml:space="preserve">TAGTGTCGATCGCGATGATCGGAG</t>
  </si>
  <si>
    <t xml:space="preserve">AAACCTCCGATCATCGCGATCGAC</t>
  </si>
  <si>
    <t xml:space="preserve">CTTGCCTGAACAATGTTGCG</t>
  </si>
  <si>
    <t xml:space="preserve">TAGTCTTGCCTGAACAATGTTGCG</t>
  </si>
  <si>
    <t xml:space="preserve">AAACCGCAACATTGTTCAGGCAAG</t>
  </si>
  <si>
    <t xml:space="preserve">GTGTAGCTGTCAGGCACGCG</t>
  </si>
  <si>
    <t xml:space="preserve">TAGTGTGTAGCTGTCAGGCACGCG</t>
  </si>
  <si>
    <t xml:space="preserve">AAACCGCGTGCCTGACAGCTACAC</t>
  </si>
  <si>
    <t xml:space="preserve">ACGAGGACCAGATGAAGCGA</t>
  </si>
  <si>
    <t xml:space="preserve">TAGTACGAGGACCAGATGAAGCGA</t>
  </si>
  <si>
    <t xml:space="preserve">AAACTCGCTTCATCTGGTCCTCGT</t>
  </si>
  <si>
    <t xml:space="preserve">PSPPH_1640</t>
  </si>
  <si>
    <t xml:space="preserve">fabD</t>
  </si>
  <si>
    <t xml:space="preserve">ACCCGGAAAGACGAATGCGA</t>
  </si>
  <si>
    <t xml:space="preserve">TAGTACCCGGAAAGACGAATGCGA</t>
  </si>
  <si>
    <t xml:space="preserve">AAACTCGCATTCGTCTTTCCGGGT</t>
  </si>
  <si>
    <t xml:space="preserve">CGGATGTTGCGCGCCTTGCT</t>
  </si>
  <si>
    <t xml:space="preserve">TAGTCGGATGTTGCGCGCCTTGCT</t>
  </si>
  <si>
    <t xml:space="preserve">AAACAGCAAGGCGCGCAACATCCG</t>
  </si>
  <si>
    <t xml:space="preserve">TCGAAAGTATCGAGAATCAA</t>
  </si>
  <si>
    <t xml:space="preserve">TAGTTCGAAAGTATCGAGAATCAA</t>
  </si>
  <si>
    <t xml:space="preserve">AAACTTGATTCTCGATACTTTCGA</t>
  </si>
  <si>
    <t xml:space="preserve">CAGGTCATAGTCAAGGGCTT</t>
  </si>
  <si>
    <t xml:space="preserve">TAGTCAGGTCATAGTCAAGGGCTT</t>
  </si>
  <si>
    <t xml:space="preserve">AAACAAGCCCTTGACTATGACCTG</t>
  </si>
  <si>
    <t xml:space="preserve">PSPPH_1641</t>
  </si>
  <si>
    <t xml:space="preserve">fabG</t>
  </si>
  <si>
    <t xml:space="preserve">CCAGTGCAACTTTACCTTGA</t>
  </si>
  <si>
    <t xml:space="preserve">TAGTCCAGTGCAACTTTACCTTGA</t>
  </si>
  <si>
    <t xml:space="preserve">AAACTCAAGGTAAAGTTGCACTGG</t>
  </si>
  <si>
    <t xml:space="preserve">ACCAATACCGCGACTCGCAC</t>
  </si>
  <si>
    <t xml:space="preserve">TAGTACCAATACCGCGACTCGCAC</t>
  </si>
  <si>
    <t xml:space="preserve">AAACGTGCGAGTCGCGGTATTGGT</t>
  </si>
  <si>
    <t xml:space="preserve">GCGCCCCAATTCCAGGGCGA</t>
  </si>
  <si>
    <t xml:space="preserve">TAGTGCGCCCCAATTCCAGGGCGA</t>
  </si>
  <si>
    <t xml:space="preserve">AAACTCGCCCTGGAATTGGGGCGC</t>
  </si>
  <si>
    <t xml:space="preserve">GGCGCCGGACTCAGAGGTCG</t>
  </si>
  <si>
    <t xml:space="preserve">TAGTGGCGCCGGACTCAGAGGTCG</t>
  </si>
  <si>
    <t xml:space="preserve">AAACCGACCTCTGAGTCCGGCGCC</t>
  </si>
  <si>
    <t xml:space="preserve">PSPPH_1642</t>
  </si>
  <si>
    <t xml:space="preserve">acpP1</t>
  </si>
  <si>
    <t xml:space="preserve">TTTCTTGACGCGCTCTTCGA</t>
  </si>
  <si>
    <t xml:space="preserve">TAGTTTTCTTGACGCGCTCTTCGA</t>
  </si>
  <si>
    <t xml:space="preserve">AAACTCGAAGAGCGCGTCAAGAAA</t>
  </si>
  <si>
    <t xml:space="preserve">TGTCCAGGGAGTCAGCGCCC</t>
  </si>
  <si>
    <t xml:space="preserve">TAGTTGTCCAGGGAGTCAGCGCCC</t>
  </si>
  <si>
    <t xml:space="preserve">AAACGGGCGCTGACTCCCTGGACA</t>
  </si>
  <si>
    <t xml:space="preserve">CGCTTCTTCGTCAGGGATTT</t>
  </si>
  <si>
    <t xml:space="preserve">TAGTCGCTTCTTCGTCAGGGATTT</t>
  </si>
  <si>
    <t xml:space="preserve">AAACAAATCCCTGACGAAGAAGCG</t>
  </si>
  <si>
    <t xml:space="preserve">GTAGTCGATTGCTGCTTGAA</t>
  </si>
  <si>
    <t xml:space="preserve">TAGTGTAGTCGATTGCTGCTTGAA</t>
  </si>
  <si>
    <t xml:space="preserve">AAACTTCAAGCAGCAATCGACTAC</t>
  </si>
  <si>
    <t xml:space="preserve">PSPPH_1643</t>
  </si>
  <si>
    <t xml:space="preserve">fabF</t>
  </si>
  <si>
    <t xml:space="preserve">ACGACGCGTCTACGCGACAC</t>
  </si>
  <si>
    <t xml:space="preserve">TAGTACGACGCGTCTACGCGACAC</t>
  </si>
  <si>
    <t xml:space="preserve">AAACGTGTCGCGTAGACGCGTCGT</t>
  </si>
  <si>
    <t xml:space="preserve">TGGCGAAAGCATGCCCATCC</t>
  </si>
  <si>
    <t xml:space="preserve">TAGTTGGCGAAAGCATGCCCATCC</t>
  </si>
  <si>
    <t xml:space="preserve">AAACGGATGGGCATGCTTTCGCCA</t>
  </si>
  <si>
    <t xml:space="preserve">CTGGGCACGTCATTGCCCAG</t>
  </si>
  <si>
    <t xml:space="preserve">TAGTCTGGGCACGTCATTGCCCAG</t>
  </si>
  <si>
    <t xml:space="preserve">AAACCTGGGCAATGACGTGCCCAG</t>
  </si>
  <si>
    <t xml:space="preserve">CGATAAGGCCAATGCCACTG</t>
  </si>
  <si>
    <t xml:space="preserve">TAGTCGATAAGGCCAATGCCACTG</t>
  </si>
  <si>
    <t xml:space="preserve">AAACCAGTGGCATTGGCCTTATCG</t>
  </si>
  <si>
    <t xml:space="preserve">PSPPH_1644</t>
  </si>
  <si>
    <t xml:space="preserve">GGGCAGCCATCGACCCAGGC</t>
  </si>
  <si>
    <t xml:space="preserve">TAGTGGGCAGCCATCGACCCAGGC</t>
  </si>
  <si>
    <t xml:space="preserve">AAACGCCTGGGTCGATGGCTGCCC</t>
  </si>
  <si>
    <t xml:space="preserve">TGAGGGACAAGGCGTCTGCG</t>
  </si>
  <si>
    <t xml:space="preserve">TAGTTGAGGGACAAGGCGTCTGCG</t>
  </si>
  <si>
    <t xml:space="preserve">AAACCGCAGACGCCTTGTCCCTCA</t>
  </si>
  <si>
    <t xml:space="preserve">CATCGCCGTAGGCCAGCCCC</t>
  </si>
  <si>
    <t xml:space="preserve">TAGTCATCGCCGTAGGCCAGCCCC</t>
  </si>
  <si>
    <t xml:space="preserve">AAACGGGGCTGGCCTACGGCGATG</t>
  </si>
  <si>
    <t xml:space="preserve">CTGCCCGGCCTTGACGACGA</t>
  </si>
  <si>
    <t xml:space="preserve">TAGTCTGCCCGGCCTTGACGACGA</t>
  </si>
  <si>
    <t xml:space="preserve">AAACTCGTCGTCAAGGCCGGGCAG</t>
  </si>
  <si>
    <t xml:space="preserve">PSPPH_1645</t>
  </si>
  <si>
    <t xml:space="preserve">AGAACGCAAAGCCGAGCAGA</t>
  </si>
  <si>
    <t xml:space="preserve">TAGTAGAACGCAAAGCCGAGCAGA</t>
  </si>
  <si>
    <t xml:space="preserve">AAACTCTGCTCGGCTTTGCGTTCT</t>
  </si>
  <si>
    <t xml:space="preserve">CCTGAGCGACTTCGAGCGGC</t>
  </si>
  <si>
    <t xml:space="preserve">TAGTCCTGAGCGACTTCGAGCGGC</t>
  </si>
  <si>
    <t xml:space="preserve">AAACGCCGCTCGAAGTCGCTCAGG</t>
  </si>
  <si>
    <t xml:space="preserve">CGGTCGGCGTTGAGCCGGCC</t>
  </si>
  <si>
    <t xml:space="preserve">TAGTCGGTCGGCGTTGAGCCGGCC</t>
  </si>
  <si>
    <t xml:space="preserve">AAACGGCCGGCTCAACGCCGACCG</t>
  </si>
  <si>
    <t xml:space="preserve">CTGCAGTCGATTAAGCACAC</t>
  </si>
  <si>
    <t xml:space="preserve">TAGTCTGCAGTCGATTAAGCACAC</t>
  </si>
  <si>
    <t xml:space="preserve">AAACGTGTGCTTAATCGACTGCAG</t>
  </si>
  <si>
    <t xml:space="preserve">PSPPH_1646</t>
  </si>
  <si>
    <t xml:space="preserve">tmk</t>
  </si>
  <si>
    <t xml:space="preserve">GTGATAAACAAGCCAGTCAC</t>
  </si>
  <si>
    <t xml:space="preserve">TAGTGTGATAAACAAGCCAGTCAC</t>
  </si>
  <si>
    <t xml:space="preserve">AAACGTGACTGGCTTGTTTATCAC</t>
  </si>
  <si>
    <t xml:space="preserve">AGCACCTTCCGGACCTTCAA</t>
  </si>
  <si>
    <t xml:space="preserve">TAGTAGCACCTTCCGGACCTTCAA</t>
  </si>
  <si>
    <t xml:space="preserve">AAACTTGAAGGTCCGGAAGGTGCT</t>
  </si>
  <si>
    <t xml:space="preserve">TGCCGCCAAGTATTCGCGAT</t>
  </si>
  <si>
    <t xml:space="preserve">TAGTTGCCGCCAAGTATTCGCGAT</t>
  </si>
  <si>
    <t xml:space="preserve">AAACATCGCGAATACTTGGCGGCA</t>
  </si>
  <si>
    <t xml:space="preserve">CGGAGTGCCGCCCGGCTCGC</t>
  </si>
  <si>
    <t xml:space="preserve">TAGTCGGAGTGCCGCCCGGCTCGC</t>
  </si>
  <si>
    <t xml:space="preserve">AAACGCGAGCCGGGCGGCACTCCG</t>
  </si>
  <si>
    <t xml:space="preserve">PSPPH_1647</t>
  </si>
  <si>
    <t xml:space="preserve">holB</t>
  </si>
  <si>
    <t xml:space="preserve">GAGTGATGCCTGCCAGGGGT</t>
  </si>
  <si>
    <t xml:space="preserve">TAGTGAGTGATGCCTGCCAGGGGT</t>
  </si>
  <si>
    <t xml:space="preserve">AAACACCCCTGGCAGGCATCACTC</t>
  </si>
  <si>
    <t xml:space="preserve">ATGAGCATGTTGAGCACGAC</t>
  </si>
  <si>
    <t xml:space="preserve">TAGTATGAGCATGTTGAGCACGAC</t>
  </si>
  <si>
    <t xml:space="preserve">AAACGTCGTGCTCAACATGCTCAT</t>
  </si>
  <si>
    <t xml:space="preserve">GGCCGGACCGTGCAGCAGAT</t>
  </si>
  <si>
    <t xml:space="preserve">TAGTGGCCGGACCGTGCAGCAGAT</t>
  </si>
  <si>
    <t xml:space="preserve">AAACATCTGCTGCACGGTCCGGCC</t>
  </si>
  <si>
    <t xml:space="preserve">CAGTGCCCGCTTGCCGATAC</t>
  </si>
  <si>
    <t xml:space="preserve">TAGTCAGTGCCCGCTTGCCGATAC</t>
  </si>
  <si>
    <t xml:space="preserve">AAACGTATCGGCAAGCGGGCACTG</t>
  </si>
  <si>
    <t xml:space="preserve">PSPPH_1648</t>
  </si>
  <si>
    <t xml:space="preserve">pilZ</t>
  </si>
  <si>
    <t xml:space="preserve">TTACGTGGACCTGTGTTCAG</t>
  </si>
  <si>
    <t xml:space="preserve">TAGTTTACGTGGACCTGTGTTCAG</t>
  </si>
  <si>
    <t xml:space="preserve">AAACCTGAACACAGGTCCACGTAA</t>
  </si>
  <si>
    <t xml:space="preserve">GGATTTGTCCTTGATGGTCA</t>
  </si>
  <si>
    <t xml:space="preserve">TAGTGGATTTGTCCTTGATGGTCA</t>
  </si>
  <si>
    <t xml:space="preserve">AAACTGACCATCAAGGACAAATCC</t>
  </si>
  <si>
    <t xml:space="preserve">CATGTAGGCAGCGTAAAGCA</t>
  </si>
  <si>
    <t xml:space="preserve">TAGTCATGTAGGCAGCGTAAAGCA</t>
  </si>
  <si>
    <t xml:space="preserve">AAACTGCTTTACGCTGCCTACATG</t>
  </si>
  <si>
    <t xml:space="preserve">AGCCCGCCGTTTCTGATGAA</t>
  </si>
  <si>
    <t xml:space="preserve">TAGTAGCCCGCCGTTTCTGATGAA</t>
  </si>
  <si>
    <t xml:space="preserve">AAACTTCATCAGAAACGGCGGGCT</t>
  </si>
  <si>
    <t xml:space="preserve">PSPPH_1649</t>
  </si>
  <si>
    <t xml:space="preserve">CAATGGGAATCTACAAGCAT</t>
  </si>
  <si>
    <t xml:space="preserve">TAGTCAATGGGAATCTACAAGCAT</t>
  </si>
  <si>
    <t xml:space="preserve">AAACATGCTTGTAGATTCCCATTG</t>
  </si>
  <si>
    <t xml:space="preserve">GGGCAAGGTCAAGGCGATCG</t>
  </si>
  <si>
    <t xml:space="preserve">TAGTGGGCAAGGTCAAGGCGATCG</t>
  </si>
  <si>
    <t xml:space="preserve">AAACCGATCGCCTTGACCTTGCCC</t>
  </si>
  <si>
    <t xml:space="preserve">ATCCAGCGAGCCATTGTGCT</t>
  </si>
  <si>
    <t xml:space="preserve">TAGTATCCAGCGAGCCATTGTGCT</t>
  </si>
  <si>
    <t xml:space="preserve">AAACAGCACAATGGCTCGCTGGAT</t>
  </si>
  <si>
    <t xml:space="preserve">CCTGCCCCGGGCGGCTTCTA</t>
  </si>
  <si>
    <t xml:space="preserve">TAGTCCTGCCCCGGGCGGCTTCTA</t>
  </si>
  <si>
    <t xml:space="preserve">AAACTAGAAGCCGCCCGGGGCAGG</t>
  </si>
  <si>
    <t xml:space="preserve">PSPPH_1650</t>
  </si>
  <si>
    <t xml:space="preserve">CAGACTCAGTAGAAAACCGT</t>
  </si>
  <si>
    <t xml:space="preserve">TAGTCAGACTCAGTAGAAAACCGT</t>
  </si>
  <si>
    <t xml:space="preserve">AAACACGGTTTTCTACTGAGTCTG</t>
  </si>
  <si>
    <t xml:space="preserve">TGTTTGCCAGGCCAATATCC</t>
  </si>
  <si>
    <t xml:space="preserve">TAGTTGTTTGCCAGGCCAATATCC</t>
  </si>
  <si>
    <t xml:space="preserve">AAACGGATATTGGCCTGGCAAACA</t>
  </si>
  <si>
    <t xml:space="preserve">CTGCATGGACAGCGTGATCA</t>
  </si>
  <si>
    <t xml:space="preserve">TAGTCTGCATGGACAGCGTGATCA</t>
  </si>
  <si>
    <t xml:space="preserve">AAACTGATCACGCTGTCCATGCAG</t>
  </si>
  <si>
    <t xml:space="preserve">CAACCCAAGCCACAGCCCCT</t>
  </si>
  <si>
    <t xml:space="preserve">TAGTCAACCCAAGCCACAGCCCCT</t>
  </si>
  <si>
    <t xml:space="preserve">AAACAGGGGCTGTGGCTTGGGTTG</t>
  </si>
  <si>
    <t xml:space="preserve">PSPPH_1651</t>
  </si>
  <si>
    <t xml:space="preserve">CGAAATTCACGGACCTTACG</t>
  </si>
  <si>
    <t xml:space="preserve">TAGTCGAAATTCACGGACCTTACG</t>
  </si>
  <si>
    <t xml:space="preserve">AAACCGTAAGGTCCGTGAATTTCG</t>
  </si>
  <si>
    <t xml:space="preserve">CGAGAATTTCCTGCTCACGG</t>
  </si>
  <si>
    <t xml:space="preserve">TAGTCGAGAATTTCCTGCTCACGG</t>
  </si>
  <si>
    <t xml:space="preserve">AAACCCGTGAGCAGGAAATTCTCG</t>
  </si>
  <si>
    <t xml:space="preserve">CTCCAGGAACAGCTTTAGCG</t>
  </si>
  <si>
    <t xml:space="preserve">TAGTCTCCAGGAACAGCTTTAGCG</t>
  </si>
  <si>
    <t xml:space="preserve">AAACCGCTAAAGCTGTTCCTGGAG</t>
  </si>
  <si>
    <t xml:space="preserve">GGTGCCTTTACCAATGCCGA</t>
  </si>
  <si>
    <t xml:space="preserve">TAGTGGTGCCTTTACCAATGCCGA</t>
  </si>
  <si>
    <t xml:space="preserve">AAACTCGGCATTGGTAAAGGCACC</t>
  </si>
  <si>
    <t xml:space="preserve">PSPPH_1652</t>
  </si>
  <si>
    <t xml:space="preserve">AAAGCGCGAGCAGCATAACC</t>
  </si>
  <si>
    <t xml:space="preserve">TAGTAAAGCGCGAGCAGCATAACC</t>
  </si>
  <si>
    <t xml:space="preserve">AAACGGTTATGCTGCTCGCGCTTT</t>
  </si>
  <si>
    <t xml:space="preserve">GCACACGCCAGTTGGCAGTA</t>
  </si>
  <si>
    <t xml:space="preserve">TAGTGCACACGCCAGTTGGCAGTA</t>
  </si>
  <si>
    <t xml:space="preserve">AAACTACTGCCAACTGGCGTGTGC</t>
  </si>
  <si>
    <t xml:space="preserve">GCGATGTAAATGAACGAGTC</t>
  </si>
  <si>
    <t xml:space="preserve">TAGTGCGATGTAAATGAACGAGTC</t>
  </si>
  <si>
    <t xml:space="preserve">AAACGACTCGTTCATTTACATCGC</t>
  </si>
  <si>
    <t xml:space="preserve">GGCATTGCCTGGCGGCACGA</t>
  </si>
  <si>
    <t xml:space="preserve">TAGTGGCATTGCCTGGCGGCACGA</t>
  </si>
  <si>
    <t xml:space="preserve">AAACTCGTGCCGCCAGGCAATGCC</t>
  </si>
  <si>
    <t xml:space="preserve">PSPPH_1653</t>
  </si>
  <si>
    <t xml:space="preserve">ATCACCCGCCTTGTTTGAAT</t>
  </si>
  <si>
    <t xml:space="preserve">TAGTATCACCCGCCTTGTTTGAAT</t>
  </si>
  <si>
    <t xml:space="preserve">AAACATTCAAACAAGGCGGGTGAT</t>
  </si>
  <si>
    <t xml:space="preserve">GCGGCAACCCCTTGGTTTTG</t>
  </si>
  <si>
    <t xml:space="preserve">TAGTGCGGCAACCCCTTGGTTTTG</t>
  </si>
  <si>
    <t xml:space="preserve">AAACCAAAACCAAGGGGTTGCCGC</t>
  </si>
  <si>
    <t xml:space="preserve">TCCGGATTCCACAAATGAAC</t>
  </si>
  <si>
    <t xml:space="preserve">TAGTTCCGGATTCCACAAATGAAC</t>
  </si>
  <si>
    <t xml:space="preserve">AAACGTTCATTTGTGGAATCCGGA</t>
  </si>
  <si>
    <t xml:space="preserve">GTAATACCATGTCCCGTCTC</t>
  </si>
  <si>
    <t xml:space="preserve">TAGTGTAATACCATGTCCCGTCTC</t>
  </si>
  <si>
    <t xml:space="preserve">AAACGAGACGGGACATGGTATTAC</t>
  </si>
  <si>
    <t xml:space="preserve">PSPPH_1654</t>
  </si>
  <si>
    <t xml:space="preserve">TTACGGCGATATCAAAGGAC</t>
  </si>
  <si>
    <t xml:space="preserve">TAGTTTACGGCGATATCAAAGGAC</t>
  </si>
  <si>
    <t xml:space="preserve">AAACGTCCTTTGATATCGCCGTAA</t>
  </si>
  <si>
    <t xml:space="preserve">AACGGTTTCGCCGACAGTAC</t>
  </si>
  <si>
    <t xml:space="preserve">TAGTAACGGTTTCGCCGACAGTAC</t>
  </si>
  <si>
    <t xml:space="preserve">AAACGTACTGTCGGCGAAACCGTT</t>
  </si>
  <si>
    <t xml:space="preserve">AGTTGCGCTCCTCCAGCACC</t>
  </si>
  <si>
    <t xml:space="preserve">TAGTAGTTGCGCTCCTCCAGCACC</t>
  </si>
  <si>
    <t xml:space="preserve">AAACGGTGCTGGAGGAGCGCAACT</t>
  </si>
  <si>
    <t xml:space="preserve">AGCAGGTGCAGATTGCCGAC</t>
  </si>
  <si>
    <t xml:space="preserve">TAGTAGCAGGTGCAGATTGCCGAC</t>
  </si>
  <si>
    <t xml:space="preserve">AAACGTCGGCAATCTGCACCTGCT</t>
  </si>
  <si>
    <t xml:space="preserve">PSPPH_1655</t>
  </si>
  <si>
    <t xml:space="preserve">CGCTACCAAGGGCTGATTCA</t>
  </si>
  <si>
    <t xml:space="preserve">TAGTCGCTACCAAGGGCTGATTCA</t>
  </si>
  <si>
    <t xml:space="preserve">AAACTGAATCAGCCCTTGGTAGCG</t>
  </si>
  <si>
    <t xml:space="preserve">TCGGCAGTGGTCGCCAGGCT</t>
  </si>
  <si>
    <t xml:space="preserve">TAGTTCGGCAGTGGTCGCCAGGCT</t>
  </si>
  <si>
    <t xml:space="preserve">AAACAGCCTGGCGACCACTGCCGA</t>
  </si>
  <si>
    <t xml:space="preserve">ATCGTTGAGAAATGCCTGAC</t>
  </si>
  <si>
    <t xml:space="preserve">TAGTATCGTTGAGAAATGCCTGAC</t>
  </si>
  <si>
    <t xml:space="preserve">AAACGTCAGGCATTTCTCAACGAT</t>
  </si>
  <si>
    <t xml:space="preserve">ACCGCTGGCGTTGATAACCG</t>
  </si>
  <si>
    <t xml:space="preserve">TAGTACCGCTGGCGTTGATAACCG</t>
  </si>
  <si>
    <t xml:space="preserve">AAACCGGTTATCAACGCCAGCGGT</t>
  </si>
  <si>
    <t xml:space="preserve">PSPPH_1656</t>
  </si>
  <si>
    <t xml:space="preserve">truA</t>
  </si>
  <si>
    <t xml:space="preserve">CGCGATTCGGGAAAAACCCT</t>
  </si>
  <si>
    <t xml:space="preserve">TAGTCGCGATTCGGGAAAAACCCT</t>
  </si>
  <si>
    <t xml:space="preserve">AAACAGGGTTTTTCCCGAATCGCG</t>
  </si>
  <si>
    <t xml:space="preserve">TTCCTGCACGGTCAGCACAC</t>
  </si>
  <si>
    <t xml:space="preserve">TAGTTTCCTGCACGGTCAGCACAC</t>
  </si>
  <si>
    <t xml:space="preserve">AAACGTGTGCTGACCGTGCAGGAA</t>
  </si>
  <si>
    <t xml:space="preserve">CCGGCACACATCAGTGATAC</t>
  </si>
  <si>
    <t xml:space="preserve">TAGTCCGGCACACATCAGTGATAC</t>
  </si>
  <si>
    <t xml:space="preserve">AAACGTATCACTGATGTGTGCCGG</t>
  </si>
  <si>
    <t xml:space="preserve">CATGCACGCCAGCATCTGTG</t>
  </si>
  <si>
    <t xml:space="preserve">TAGTCATGCACGCCAGCATCTGTG</t>
  </si>
  <si>
    <t xml:space="preserve">AAACCACAGATGCTGGCGTGCATG</t>
  </si>
  <si>
    <t xml:space="preserve">PSPPH_1657</t>
  </si>
  <si>
    <t xml:space="preserve">trpF</t>
  </si>
  <si>
    <t xml:space="preserve">CCCGCAGATCTTGCTGCGAA</t>
  </si>
  <si>
    <t xml:space="preserve">TAGTCCCGCAGATCTTGCTGCGAA</t>
  </si>
  <si>
    <t xml:space="preserve">AAACTTCGCAGCAAGATCTGCGGG</t>
  </si>
  <si>
    <t xml:space="preserve">AGCCAGAGCATCCTCTATGC</t>
  </si>
  <si>
    <t xml:space="preserve">TAGTAGCCAGAGCATCCTCTATGC</t>
  </si>
  <si>
    <t xml:space="preserve">AAACGCATAGAGGATGCTCTGGCT</t>
  </si>
  <si>
    <t xml:space="preserve">AATTGCATCGGCTCCTGCCT</t>
  </si>
  <si>
    <t xml:space="preserve">TAGTAATTGCATCGGCTCCTGCCT</t>
  </si>
  <si>
    <t xml:space="preserve">AAACAGGCAGGAGCCGATGCAATT</t>
  </si>
  <si>
    <t xml:space="preserve">GACTTTTCGGGTAGAACACC</t>
  </si>
  <si>
    <t xml:space="preserve">TAGTGACTTTTCGGGTAGAACACC</t>
  </si>
  <si>
    <t xml:space="preserve">AAACGGTGTTCTACCCGAAAAGTC</t>
  </si>
  <si>
    <t xml:space="preserve">PSPPH_1658</t>
  </si>
  <si>
    <t xml:space="preserve">accD</t>
  </si>
  <si>
    <t xml:space="preserve">CCTCGGAACGCATGATCGAT</t>
  </si>
  <si>
    <t xml:space="preserve">TAGTCCTCGGAACGCATGATCGAT</t>
  </si>
  <si>
    <t xml:space="preserve">AAACATCGATCATGCGTTCCGAGG</t>
  </si>
  <si>
    <t xml:space="preserve">CATTTGTGCCAGAGGCCTTC</t>
  </si>
  <si>
    <t xml:space="preserve">TAGTCATTTGTGCCAGAGGCCTTC</t>
  </si>
  <si>
    <t xml:space="preserve">AAACGAAGGCCTCTGGCACAAATG</t>
  </si>
  <si>
    <t xml:space="preserve">ACAGAACCGCCTCGCAGGAC</t>
  </si>
  <si>
    <t xml:space="preserve">TAGTACAGAACCGCCTCGCAGGAC</t>
  </si>
  <si>
    <t xml:space="preserve">AAACGTCCTGCGAGGCGGTTCTGT</t>
  </si>
  <si>
    <t xml:space="preserve">TCCAGGGTCTTTTCCAGCTC</t>
  </si>
  <si>
    <t xml:space="preserve">TAGTTCCAGGGTCTTTTCCAGCTC</t>
  </si>
  <si>
    <t xml:space="preserve">AAACGAGCTGGAAAAGACCCTGGA</t>
  </si>
  <si>
    <t xml:space="preserve">PSPPH_1659</t>
  </si>
  <si>
    <t xml:space="preserve">folC</t>
  </si>
  <si>
    <t xml:space="preserve">CCAGTCGCTCAGGGATGTAG</t>
  </si>
  <si>
    <t xml:space="preserve">TAGTCCAGTCGCTCAGGGATGTAG</t>
  </si>
  <si>
    <t xml:space="preserve">AAACCTACATCCCTGAGCGACTGG</t>
  </si>
  <si>
    <t xml:space="preserve">CGGATGGATGCAGTTGCTCC</t>
  </si>
  <si>
    <t xml:space="preserve">TAGTCGGATGGATGCAGTTGCTCC</t>
  </si>
  <si>
    <t xml:space="preserve">AAACGGAGCAACTGCATCCATCCG</t>
  </si>
  <si>
    <t xml:space="preserve">ATCCAGCCCCATGTCGATGG</t>
  </si>
  <si>
    <t xml:space="preserve">TAGTATCCAGCCCCATGTCGATGG</t>
  </si>
  <si>
    <t xml:space="preserve">AAACCCATCGACATGGGGCTGGAT</t>
  </si>
  <si>
    <t xml:space="preserve">CCCGTCACCGTAATCACCCT</t>
  </si>
  <si>
    <t xml:space="preserve">TAGTCCCGTCACCGTAATCACCCT</t>
  </si>
  <si>
    <t xml:space="preserve">AAACAGGGTGATTACGGTGACGGG</t>
  </si>
  <si>
    <t xml:space="preserve">PSPPH_1660</t>
  </si>
  <si>
    <t xml:space="preserve">TCTTCCCGCGTGAAGAGCAT</t>
  </si>
  <si>
    <t xml:space="preserve">TAGTTCTTCCCGCGTGAAGAGCAT</t>
  </si>
  <si>
    <t xml:space="preserve">AAACATGCTCTTCACGCGGGAAGA</t>
  </si>
  <si>
    <t xml:space="preserve">GCAGGTGCCTGGGGTGCGGA</t>
  </si>
  <si>
    <t xml:space="preserve">TAGTGCAGGTGCCTGGGGTGCGGA</t>
  </si>
  <si>
    <t xml:space="preserve">AAACTCCGCACCCCAGGCACCTGC</t>
  </si>
  <si>
    <t xml:space="preserve">GAACAGGCACCGGGTCGACC</t>
  </si>
  <si>
    <t xml:space="preserve">TAGTGAACAGGCACCGGGTCGACC</t>
  </si>
  <si>
    <t xml:space="preserve">AAACGGTCGACCCGGTGCCTGTTC</t>
  </si>
  <si>
    <t xml:space="preserve">TTAGGCAGGGCCTGAGGCTC</t>
  </si>
  <si>
    <t xml:space="preserve">TAGTTTAGGCAGGGCCTGAGGCTC</t>
  </si>
  <si>
    <t xml:space="preserve">AAACGAGCCTCAGGCCCTGCCTAA</t>
  </si>
  <si>
    <t xml:space="preserve">PSPPH_1661</t>
  </si>
  <si>
    <t xml:space="preserve">cvpA</t>
  </si>
  <si>
    <t xml:space="preserve">GCCCAGTCAACCGGAGTAAA</t>
  </si>
  <si>
    <t xml:space="preserve">TAGTGCCCAGTCAACCGGAGTAAA</t>
  </si>
  <si>
    <t xml:space="preserve">AAACTTTACTCCGGTTGACTGGGC</t>
  </si>
  <si>
    <t xml:space="preserve">CAGACTGATCAGGGCGGAGA</t>
  </si>
  <si>
    <t xml:space="preserve">TAGTCAGACTGATCAGGGCGGAGA</t>
  </si>
  <si>
    <t xml:space="preserve">AAACTCTCCGCCCTGATCAGTCTG</t>
  </si>
  <si>
    <t xml:space="preserve">CAGCCCCGCGCCAAACATCC</t>
  </si>
  <si>
    <t xml:space="preserve">TAGTCAGCCCCGCGCCAAACATCC</t>
  </si>
  <si>
    <t xml:space="preserve">AAACGGATGTTTGGCGCGGGGCTG</t>
  </si>
  <si>
    <t xml:space="preserve">CTCGCAATCACGCGGGCCGA</t>
  </si>
  <si>
    <t xml:space="preserve">TAGTCTCGCAATCACGCGGGCCGA</t>
  </si>
  <si>
    <t xml:space="preserve">AAACTCGGCCCGCGTGATTGCGAG</t>
  </si>
  <si>
    <t xml:space="preserve">PSPPH_1662</t>
  </si>
  <si>
    <t xml:space="preserve">purF</t>
  </si>
  <si>
    <t xml:space="preserve">CTGGCCGCGGTGCTGGAGGA</t>
  </si>
  <si>
    <t xml:space="preserve">TAGTCTGGCCGCGGTGCTGGAGGA</t>
  </si>
  <si>
    <t xml:space="preserve">AAACTCCTCCAGCACCGCGGCCAG</t>
  </si>
  <si>
    <t xml:space="preserve">ATCGTGGCTGGTTACGATAC</t>
  </si>
  <si>
    <t xml:space="preserve">TAGTATCGTGGCTGGTTACGATAC</t>
  </si>
  <si>
    <t xml:space="preserve">AAACGTATCGTAACCAGCCACGAT</t>
  </si>
  <si>
    <t xml:space="preserve">TGTCCTTGCGCAGGAATAAC</t>
  </si>
  <si>
    <t xml:space="preserve">TAGTTGTCCTTGCGCAGGAATAAC</t>
  </si>
  <si>
    <t xml:space="preserve">AAACGTTATTCCTGCGCAAGGACA</t>
  </si>
  <si>
    <t xml:space="preserve">GCCCGACCAAGCGCTGCATA</t>
  </si>
  <si>
    <t xml:space="preserve">TAGTGCCCGACCAAGCGCTGCATA</t>
  </si>
  <si>
    <t xml:space="preserve">AAACTATGCAGCGCTTGGTCGGGC</t>
  </si>
  <si>
    <t xml:space="preserve">PSPPH_1663</t>
  </si>
  <si>
    <t xml:space="preserve">metZ</t>
  </si>
  <si>
    <t xml:space="preserve">TATCGAAACCCACACCTTCA</t>
  </si>
  <si>
    <t xml:space="preserve">TAGTTATCGAAACCCACACCTTCA</t>
  </si>
  <si>
    <t xml:space="preserve">AAACTGAAGGTGTGGGTTTCGATA</t>
  </si>
  <si>
    <t xml:space="preserve">TTGCCCGGCACGTACGGCAA</t>
  </si>
  <si>
    <t xml:space="preserve">TAGTTTGCCCGGCACGTACGGCAA</t>
  </si>
  <si>
    <t xml:space="preserve">AAACTTGCCGTACGTGCCGGGCAA</t>
  </si>
  <si>
    <t xml:space="preserve">CATGCTCACCTTCCGGGGTG</t>
  </si>
  <si>
    <t xml:space="preserve">TAGTCATGCTCACCTTCCGGGGTG</t>
  </si>
  <si>
    <t xml:space="preserve">AAACCACCCCGGAAGGTGAGCATG</t>
  </si>
  <si>
    <t xml:space="preserve">TAGCTGGAGGTGAAGAACAT</t>
  </si>
  <si>
    <t xml:space="preserve">TAGTTAGCTGGAGGTGAAGAACAT</t>
  </si>
  <si>
    <t xml:space="preserve">AAACATGTTCTTCACCTCCAGCTA</t>
  </si>
  <si>
    <t xml:space="preserve">PSPPH_1664</t>
  </si>
  <si>
    <t xml:space="preserve">GACACGACCATTGTGGACGC</t>
  </si>
  <si>
    <t xml:space="preserve">TAGTGACACGACCATTGTGGACGC</t>
  </si>
  <si>
    <t xml:space="preserve">AAACGCGTCCACAATGGTCGTGTC</t>
  </si>
  <si>
    <t xml:space="preserve">ACGAGCGGCACCGGTCACCA</t>
  </si>
  <si>
    <t xml:space="preserve">TAGTACGAGCGGCACCGGTCACCA</t>
  </si>
  <si>
    <t xml:space="preserve">AAACTGGTGACCGGTGCCGCTCGT</t>
  </si>
  <si>
    <t xml:space="preserve">CAGCACGACTTGCCAGCCTT</t>
  </si>
  <si>
    <t xml:space="preserve">TAGTCAGCACGACTTGCCAGCCTT</t>
  </si>
  <si>
    <t xml:space="preserve">AAACAAGGCTGGCAAGTCGTGCTG</t>
  </si>
  <si>
    <t xml:space="preserve">GCCCCTTGCACGATCCAGAT</t>
  </si>
  <si>
    <t xml:space="preserve">TAGTGCCCCTTGCACGATCCAGAT</t>
  </si>
  <si>
    <t xml:space="preserve">AAACATCTGGATCGTGCAAGGGGC</t>
  </si>
  <si>
    <t xml:space="preserve">PSPPH_1668</t>
  </si>
  <si>
    <t xml:space="preserve">CACGGCAGAGATCCAGAATG</t>
  </si>
  <si>
    <t xml:space="preserve">TAGTCACGGCAGAGATCCAGAATG</t>
  </si>
  <si>
    <t xml:space="preserve">AAACCATTCTGGATCTCTGCCGTG</t>
  </si>
  <si>
    <t xml:space="preserve">TGGTCATAAACCGCCTGCTT</t>
  </si>
  <si>
    <t xml:space="preserve">TAGTTGGTCATAAACCGCCTGCTT</t>
  </si>
  <si>
    <t xml:space="preserve">AAACAAGCAGGCGGTTTATGACCA</t>
  </si>
  <si>
    <t xml:space="preserve">CGGCGTCATCGAAATGTTCG</t>
  </si>
  <si>
    <t xml:space="preserve">TAGTCGGCGTCATCGAAATGTTCG</t>
  </si>
  <si>
    <t xml:space="preserve">AAACCGAACATTTCGATGACGCCG</t>
  </si>
  <si>
    <t xml:space="preserve">ATAACTGCGGGAGAAGGTCC</t>
  </si>
  <si>
    <t xml:space="preserve">TAGTATAACTGCGGGAGAAGGTCC</t>
  </si>
  <si>
    <t xml:space="preserve">AAACGGACCTTCTCCCGCAGTTAT</t>
  </si>
  <si>
    <t xml:space="preserve">PSPPH_1669</t>
  </si>
  <si>
    <t xml:space="preserve">ilvA1</t>
  </si>
  <si>
    <t xml:space="preserve">TGAGCAGATCGTGCTGGCCT</t>
  </si>
  <si>
    <t xml:space="preserve">TAGTTGAGCAGATCGTGCTGGCCT</t>
  </si>
  <si>
    <t xml:space="preserve">AAACAGGCCAGCACGATCTGCTCA</t>
  </si>
  <si>
    <t xml:space="preserve">ACGGGAGGTGAGGATCTTGC</t>
  </si>
  <si>
    <t xml:space="preserve">TAGTACGGGAGGTGAGGATCTTGC</t>
  </si>
  <si>
    <t xml:space="preserve">AAACGCAAGATCCTCACCTCCCGT</t>
  </si>
  <si>
    <t xml:space="preserve">CTTGCCCGGCAATCGTATCG</t>
  </si>
  <si>
    <t xml:space="preserve">TAGTCTTGCCCGGCAATCGTATCG</t>
  </si>
  <si>
    <t xml:space="preserve">AAACCGATACGATTGCCGGGCAAG</t>
  </si>
  <si>
    <t xml:space="preserve">AAGATCGCATCCAGTTGGCC</t>
  </si>
  <si>
    <t xml:space="preserve">TAGTAAGATCGCATCCAGTTGGCC</t>
  </si>
  <si>
    <t xml:space="preserve">AAACGGCCAACTGGATGCGATCTT</t>
  </si>
  <si>
    <t xml:space="preserve">PSPPH_1670</t>
  </si>
  <si>
    <t xml:space="preserve">CCAAGGCGCAGGGTCAAGGT</t>
  </si>
  <si>
    <t xml:space="preserve">TAGTCCAAGGCGCAGGGTCAAGGT</t>
  </si>
  <si>
    <t xml:space="preserve">AAACACCTTGACCCTGCGCCTTGG</t>
  </si>
  <si>
    <t xml:space="preserve">TCTGGATGTAGCCCACCGAC</t>
  </si>
  <si>
    <t xml:space="preserve">TAGTTCTGGATGTAGCCCACCGAC</t>
  </si>
  <si>
    <t xml:space="preserve">AAACGTCGGTGGGCTACATCCAGA</t>
  </si>
  <si>
    <t xml:space="preserve">GCCTAAACGAGTGACCGCAC</t>
  </si>
  <si>
    <t xml:space="preserve">TAGTGCCTAAACGAGTGACCGCAC</t>
  </si>
  <si>
    <t xml:space="preserve">AAACGTGCGGTCACTCGTTTAGGC</t>
  </si>
  <si>
    <t xml:space="preserve">TACTGCTCGAGCAGCGGATC</t>
  </si>
  <si>
    <t xml:space="preserve">TAGTTACTGCTCGAGCAGCGGATC</t>
  </si>
  <si>
    <t xml:space="preserve">AAACGATCCGCTGCTCGAGCAGTA</t>
  </si>
  <si>
    <t xml:space="preserve">PSPPH_1671</t>
  </si>
  <si>
    <t xml:space="preserve">GCTCAGCAGGATCAGACAGA</t>
  </si>
  <si>
    <t xml:space="preserve">TAGTGCTCAGCAGGATCAGACAGA</t>
  </si>
  <si>
    <t xml:space="preserve">AAACTCTGTCTGATCCTGCTGAGC</t>
  </si>
  <si>
    <t xml:space="preserve">GACTGCGTAGCTGACAAGGC</t>
  </si>
  <si>
    <t xml:space="preserve">TAGTGACTGCGTAGCTGACAAGGC</t>
  </si>
  <si>
    <t xml:space="preserve">AAACGCCTTGTCAGCTACGCAGTC</t>
  </si>
  <si>
    <t xml:space="preserve">GTGGCCCGCCGGACGTTGTC</t>
  </si>
  <si>
    <t xml:space="preserve">TAGTGTGGCCCGCCGGACGTTGTC</t>
  </si>
  <si>
    <t xml:space="preserve">AAACGACAACGTCCGGCGGGCCAC</t>
  </si>
  <si>
    <t xml:space="preserve">GGCGAATGCGCAGATCGGAC</t>
  </si>
  <si>
    <t xml:space="preserve">TAGTGGCGAATGCGCAGATCGGAC</t>
  </si>
  <si>
    <t xml:space="preserve">AAACGTCCGATCTGCGCATTCGCC</t>
  </si>
  <si>
    <t xml:space="preserve">PSPPH_1672</t>
  </si>
  <si>
    <t xml:space="preserve">fadH</t>
  </si>
  <si>
    <t xml:space="preserve">CGGGTAATGAGCAGCAGTCA</t>
  </si>
  <si>
    <t xml:space="preserve">TAGTCGGGTAATGAGCAGCAGTCA</t>
  </si>
  <si>
    <t xml:space="preserve">AAACTGACTGCTGCTCATTACCCG</t>
  </si>
  <si>
    <t xml:space="preserve">CCAGGTCCAGCGGGGCCAGC</t>
  </si>
  <si>
    <t xml:space="preserve">TAGTCCAGGTCCAGCGGGGCCAGC</t>
  </si>
  <si>
    <t xml:space="preserve">AAACGCTGGCCCCGCTGGACCTGG</t>
  </si>
  <si>
    <t xml:space="preserve">CATCAAGGTCCGGTTGCGCA</t>
  </si>
  <si>
    <t xml:space="preserve">TAGTCATCAAGGTCCGGTTGCGCA</t>
  </si>
  <si>
    <t xml:space="preserve">AAACTGCGCAACCGGACCTTGATG</t>
  </si>
  <si>
    <t xml:space="preserve">GCCATGCGCTCGAAACCACC</t>
  </si>
  <si>
    <t xml:space="preserve">TAGTGCCATGCGCTCGAAACCACC</t>
  </si>
  <si>
    <t xml:space="preserve">AAACGGTGGTTTCGAGCGCATGGC</t>
  </si>
  <si>
    <t xml:space="preserve">PSPPH_1673</t>
  </si>
  <si>
    <t xml:space="preserve">AGCAGTGGGCTGCCAGTCAA</t>
  </si>
  <si>
    <t xml:space="preserve">TAGTAGCAGTGGGCTGCCAGTCAA</t>
  </si>
  <si>
    <t xml:space="preserve">AAACTTGACTGGCAGCCCACTGCT</t>
  </si>
  <si>
    <t xml:space="preserve">CGGCATCTTGCAGCCAGGGC</t>
  </si>
  <si>
    <t xml:space="preserve">TAGTCGGCATCTTGCAGCCAGGGC</t>
  </si>
  <si>
    <t xml:space="preserve">AAACGCCCTGGCTGCAAGATGCCG</t>
  </si>
  <si>
    <t xml:space="preserve">CAGGATCGCCACCTCGACCC</t>
  </si>
  <si>
    <t xml:space="preserve">TAGTCAGGATCGCCACCTCGACCC</t>
  </si>
  <si>
    <t xml:space="preserve">AAACGGGTCGAGGTGGCGATCCTG</t>
  </si>
  <si>
    <t xml:space="preserve">CGCTGATGAGCGAGTCAATA</t>
  </si>
  <si>
    <t xml:space="preserve">TAGTCGCTGATGAGCGAGTCAATA</t>
  </si>
  <si>
    <t xml:space="preserve">AAACTATTGACTCGCTCATCAGCG</t>
  </si>
  <si>
    <t xml:space="preserve">PSPPH_1674</t>
  </si>
  <si>
    <t xml:space="preserve">CTCTACGGCGGTAGTTGTCA</t>
  </si>
  <si>
    <t xml:space="preserve">TAGTCTCTACGGCGGTAGTTGTCA</t>
  </si>
  <si>
    <t xml:space="preserve">AAACTGACAACTACCGCCGTAGAG</t>
  </si>
  <si>
    <t xml:space="preserve">ATGACCTTTTTCAGCGTGGC</t>
  </si>
  <si>
    <t xml:space="preserve">TAGTATGACCTTTTTCAGCGTGGC</t>
  </si>
  <si>
    <t xml:space="preserve">AAACGCCACGCTGAAAAAGGTCAT</t>
  </si>
  <si>
    <t xml:space="preserve">CCATTCGACGAAGTTGCCGA</t>
  </si>
  <si>
    <t xml:space="preserve">TAGTCCATTCGACGAAGTTGCCGA</t>
  </si>
  <si>
    <t xml:space="preserve">AAACTCGGCAACTTCGTCGAATGG</t>
  </si>
  <si>
    <t xml:space="preserve">GGTTGCCAGAAAGCCGTACA</t>
  </si>
  <si>
    <t xml:space="preserve">TAGTGGTTGCCAGAAAGCCGTACA</t>
  </si>
  <si>
    <t xml:space="preserve">AAACTGTACGGCTTTCTGGCAACC</t>
  </si>
  <si>
    <t xml:space="preserve">PSPPH_1675</t>
  </si>
  <si>
    <t xml:space="preserve">GGTGCCGCCGAACAGGGTGT</t>
  </si>
  <si>
    <t xml:space="preserve">TAGTGGTGCCGCCGAACAGGGTGT</t>
  </si>
  <si>
    <t xml:space="preserve">AAACACACCCTGTTCGGCGGCACC</t>
  </si>
  <si>
    <t xml:space="preserve">CCAGGTCGCCACCAGCGGCG</t>
  </si>
  <si>
    <t xml:space="preserve">TAGTCCAGGTCGCCACCAGCGGCG</t>
  </si>
  <si>
    <t xml:space="preserve">AAACCGCCGCTGGTGGCGACCTGG</t>
  </si>
  <si>
    <t xml:space="preserve">TGAGGTAGAACGCTGGCGAC</t>
  </si>
  <si>
    <t xml:space="preserve">TAGTTGAGGTAGAACGCTGGCGAC</t>
  </si>
  <si>
    <t xml:space="preserve">AAACGTCGCCAGCGTTCTACCTCA</t>
  </si>
  <si>
    <t xml:space="preserve">AGCCATCGCCAATACAGCTA</t>
  </si>
  <si>
    <t xml:space="preserve">TAGTAGCCATCGCCAATACAGCTA</t>
  </si>
  <si>
    <t xml:space="preserve">AAACTAGCTGTATTGGCGATGGCT</t>
  </si>
  <si>
    <t xml:space="preserve">PSPPH_1676</t>
  </si>
  <si>
    <t xml:space="preserve">lpxH</t>
  </si>
  <si>
    <t xml:space="preserve">TGTCCGGGCGATCCTGTTCA</t>
  </si>
  <si>
    <t xml:space="preserve">TAGTTGTCCGGGCGATCCTGTTCA</t>
  </si>
  <si>
    <t xml:space="preserve">AAACTGAACAGGATCGCCCGGACA</t>
  </si>
  <si>
    <t xml:space="preserve">GAGCAGATCCAGAAACGCCC</t>
  </si>
  <si>
    <t xml:space="preserve">TAGTGAGCAGATCCAGAAACGCCC</t>
  </si>
  <si>
    <t xml:space="preserve">AAACGGGCGTTTCTGGATCTGCTC</t>
  </si>
  <si>
    <t xml:space="preserve">GCGCTTCGGCTTCGCGGGCG</t>
  </si>
  <si>
    <t xml:space="preserve">TAGTGCGCTTCGGCTTCGCGGGCG</t>
  </si>
  <si>
    <t xml:space="preserve">AAACCGCCCGCGAAGCCGAAGCGC</t>
  </si>
  <si>
    <t xml:space="preserve">AGACTTCAAAGAAATCCCCG</t>
  </si>
  <si>
    <t xml:space="preserve">TAGTAGACTTCAAAGAAATCCCCG</t>
  </si>
  <si>
    <t xml:space="preserve">AAACCGGGGATTTCTTTGAAGTCT</t>
  </si>
  <si>
    <t xml:space="preserve">PSPPH_1677</t>
  </si>
  <si>
    <t xml:space="preserve">ppiB</t>
  </si>
  <si>
    <t xml:space="preserve">CTCTATAGTCATGCATGAAT</t>
  </si>
  <si>
    <t xml:space="preserve">TAGTCTCTATAGTCATGCATGAAT</t>
  </si>
  <si>
    <t xml:space="preserve">AAACATTCATGCATGACTATAGAG</t>
  </si>
  <si>
    <t xml:space="preserve">TCAGCTTTACTTTGGACATG</t>
  </si>
  <si>
    <t xml:space="preserve">TAGTTCAGCTTTACTTTGGACATG</t>
  </si>
  <si>
    <t xml:space="preserve">AAACCATGTCCAAAGTAAAGCTGA</t>
  </si>
  <si>
    <t xml:space="preserve">CAGAACGATGTCGCCGTGGT</t>
  </si>
  <si>
    <t xml:space="preserve">TAGTCAGAACGATGTCGCCGTGGT</t>
  </si>
  <si>
    <t xml:space="preserve">AAACACCACGGCGACATCGTTCTG</t>
  </si>
  <si>
    <t xml:space="preserve">ATGAAGTTGGCTACGGTCAG</t>
  </si>
  <si>
    <t xml:space="preserve">TAGTATGAAGTTGGCTACGGTCAG</t>
  </si>
  <si>
    <t xml:space="preserve">AAACCTGACCGTAGCCAACTTCAT</t>
  </si>
  <si>
    <t xml:space="preserve">PSPPH_1678</t>
  </si>
  <si>
    <t xml:space="preserve">glnS</t>
  </si>
  <si>
    <t xml:space="preserve">GGGCTTGCTCATAGGATCCT</t>
  </si>
  <si>
    <t xml:space="preserve">TAGTGGGCTTGCTCATAGGATCCT</t>
  </si>
  <si>
    <t xml:space="preserve">AAACAGGATCCTATGAGCAAGCCC</t>
  </si>
  <si>
    <t xml:space="preserve">TGGGCAGCGGGTTCTGGAGT</t>
  </si>
  <si>
    <t xml:space="preserve">TAGTTGGGCAGCGGGTTCTGGAGT</t>
  </si>
  <si>
    <t xml:space="preserve">AAACACTCCAGAACCCGCTGCCCA</t>
  </si>
  <si>
    <t xml:space="preserve">CGGCTGGGCCTGCCTTGGAA</t>
  </si>
  <si>
    <t xml:space="preserve">TAGTCGGCTGGGCCTGCCTTGGAA</t>
  </si>
  <si>
    <t xml:space="preserve">AAACTTCCAAGGCAGGCCCAGCCG</t>
  </si>
  <si>
    <t xml:space="preserve">ACGCAGGAAATTGGTCGGTA</t>
  </si>
  <si>
    <t xml:space="preserve">TAGTACGCAGGAAATTGGTCGGTA</t>
  </si>
  <si>
    <t xml:space="preserve">AAACTACCGACCAATTTCCTGCGT</t>
  </si>
  <si>
    <t xml:space="preserve">PSPPH_1679</t>
  </si>
  <si>
    <t xml:space="preserve">cysS</t>
  </si>
  <si>
    <t xml:space="preserve">TTTGAATACTTCTTTGCTCT</t>
  </si>
  <si>
    <t xml:space="preserve">TAGTTTTGAATACTTCTTTGCTCT</t>
  </si>
  <si>
    <t xml:space="preserve">AAACAGAGCAAAGAAGTATTCAAA</t>
  </si>
  <si>
    <t xml:space="preserve">CGCACCTTGTTGCCATCCAG</t>
  </si>
  <si>
    <t xml:space="preserve">TAGTCGCACCTTGTTGCCATCCAG</t>
  </si>
  <si>
    <t xml:space="preserve">AAACCTGGATGGCAACAAGGTGCG</t>
  </si>
  <si>
    <t xml:space="preserve">CAGATGGCAGTAGTCGTACA</t>
  </si>
  <si>
    <t xml:space="preserve">TAGTCAGATGGCAGTAGTCGTACA</t>
  </si>
  <si>
    <t xml:space="preserve">AAACTGTACGACTACTGCCATCTG</t>
  </si>
  <si>
    <t xml:space="preserve">ACGCCACCATGCTGCGGCCA</t>
  </si>
  <si>
    <t xml:space="preserve">TAGTACGCCACCATGCTGCGGCCA</t>
  </si>
  <si>
    <t xml:space="preserve">AAACTGGCCGCAGCATGGTGGCGT</t>
  </si>
  <si>
    <t xml:space="preserve">PSPPH_1680</t>
  </si>
  <si>
    <t xml:space="preserve">GTCGTGAACGAGCGAAGCGC</t>
  </si>
  <si>
    <t xml:space="preserve">TAGTGTCGTGAACGAGCGAAGCGC</t>
  </si>
  <si>
    <t xml:space="preserve">AAACGCGCTTCGCTCGTTCACGAC</t>
  </si>
  <si>
    <t xml:space="preserve">GATGGCTGAGACCGAAATCC</t>
  </si>
  <si>
    <t xml:space="preserve">TAGTGATGGCTGAGACCGAAATCC</t>
  </si>
  <si>
    <t xml:space="preserve">AAACGGATTTCGGTCTCAGCCATC</t>
  </si>
  <si>
    <t xml:space="preserve">TCGGCAATTGGCCGAATGAA</t>
  </si>
  <si>
    <t xml:space="preserve">TAGTTCGGCAATTGGCCGAATGAA</t>
  </si>
  <si>
    <t xml:space="preserve">AAACTTCATTCGGCCAATTGCCGA</t>
  </si>
  <si>
    <t xml:space="preserve">GTGATGGCGCTCCAGCAGCC</t>
  </si>
  <si>
    <t xml:space="preserve">TAGTGTGATGGCGCTCCAGCAGCC</t>
  </si>
  <si>
    <t xml:space="preserve">AAACGGCTGCTGGAGCGCCATCAC</t>
  </si>
  <si>
    <t xml:space="preserve">PSPPH_1681</t>
  </si>
  <si>
    <t xml:space="preserve">GTGCTCCAGCGTGAGAGACA</t>
  </si>
  <si>
    <t xml:space="preserve">TAGTGTGCTCCAGCGTGAGAGACA</t>
  </si>
  <si>
    <t xml:space="preserve">AAACTGTCTCTCACGCTGGAGCAC</t>
  </si>
  <si>
    <t xml:space="preserve">AGATCCTGGCTCAAAGCTCA</t>
  </si>
  <si>
    <t xml:space="preserve">TAGTAGATCCTGGCTCAAAGCTCA</t>
  </si>
  <si>
    <t xml:space="preserve">AAACTGAGCTTTGAGCCAGGATCT</t>
  </si>
  <si>
    <t xml:space="preserve">CAGGCTGGTTTTGCCGGACA</t>
  </si>
  <si>
    <t xml:space="preserve">TAGTCAGGCTGGTTTTGCCGGACA</t>
  </si>
  <si>
    <t xml:space="preserve">AAACTGTCCGGCAAAACCAGCCTG</t>
  </si>
  <si>
    <t xml:space="preserve">GCTTGTCCAGCCCGGCCATC</t>
  </si>
  <si>
    <t xml:space="preserve">TAGTGCTTGTCCAGCCCGGCCATC</t>
  </si>
  <si>
    <t xml:space="preserve">AAACGATGGCCGGGCTGGACAAGC</t>
  </si>
  <si>
    <t xml:space="preserve">PSPPH_1682</t>
  </si>
  <si>
    <t xml:space="preserve">AAGGTTCTGCAAGCGGATCT</t>
  </si>
  <si>
    <t xml:space="preserve">TAGTAAGGTTCTGCAAGCGGATCT</t>
  </si>
  <si>
    <t xml:space="preserve">AAACAGATCCGCTTGCAGAACCTT</t>
  </si>
  <si>
    <t xml:space="preserve">ATAGTCGTCAGGGCCAGGCT</t>
  </si>
  <si>
    <t xml:space="preserve">TAGTATAGTCGTCAGGGCCAGGCT</t>
  </si>
  <si>
    <t xml:space="preserve">AAACAGCCTGGCCCTGACGACTAT</t>
  </si>
  <si>
    <t xml:space="preserve">CACCACCCTGCTCCCAGACG</t>
  </si>
  <si>
    <t xml:space="preserve">TAGTCACCACCCTGCTCCCAGACG</t>
  </si>
  <si>
    <t xml:space="preserve">AAACCGTCTGGGAGCAGGGTGGTG</t>
  </si>
  <si>
    <t xml:space="preserve">ACCGGAAATGATGTTGAGCA</t>
  </si>
  <si>
    <t xml:space="preserve">TAGTACCGGAAATGATGTTGAGCA</t>
  </si>
  <si>
    <t xml:space="preserve">AAACTGCTCAACATCATTTCCGGT</t>
  </si>
  <si>
    <t xml:space="preserve">PSPPH_1683</t>
  </si>
  <si>
    <t xml:space="preserve">CACCGGCATCACCAGCCACC</t>
  </si>
  <si>
    <t xml:space="preserve">TAGTCACCGGCATCACCAGCCACC</t>
  </si>
  <si>
    <t xml:space="preserve">AAACGGTGGCTGGTGATGCCGGTG</t>
  </si>
  <si>
    <t xml:space="preserve">AGTTGACCACAGTCATCATC</t>
  </si>
  <si>
    <t xml:space="preserve">TAGTAGTTGACCACAGTCATCATC</t>
  </si>
  <si>
    <t xml:space="preserve">AAACGATGATGACTGTGGTCAACT</t>
  </si>
  <si>
    <t xml:space="preserve">CGACAAAATAGCGGCTGGAC</t>
  </si>
  <si>
    <t xml:space="preserve">TAGTCGACAAAATAGCGGCTGGAC</t>
  </si>
  <si>
    <t xml:space="preserve">AAACGTCCAGCCGCTATTTTGTCG</t>
  </si>
  <si>
    <t xml:space="preserve">GTGGGTCCTGCAAGACCTGC</t>
  </si>
  <si>
    <t xml:space="preserve">TAGTGTGGGTCCTGCAAGACCTGC</t>
  </si>
  <si>
    <t xml:space="preserve">AAACGCAGGTCTTGCAGGACCCAC</t>
  </si>
  <si>
    <t xml:space="preserve">PSPPH_1684</t>
  </si>
  <si>
    <t xml:space="preserve">AACAACAGGTAAATCCACAG</t>
  </si>
  <si>
    <t xml:space="preserve">TAGTAACAACAGGTAAATCCACAG</t>
  </si>
  <si>
    <t xml:space="preserve">AAACCTGTGGATTTACCTGTTGTT</t>
  </si>
  <si>
    <t xml:space="preserve">ATGTTGATCAGCCAGTAGAT</t>
  </si>
  <si>
    <t xml:space="preserve">TAGTATGTTGATCAGCCAGTAGAT</t>
  </si>
  <si>
    <t xml:space="preserve">AAACATCTACTGGCTGATCAACAT</t>
  </si>
  <si>
    <t xml:space="preserve">GCCACCGAGGATCTCGGTAT</t>
  </si>
  <si>
    <t xml:space="preserve">TAGTGCCACCGAGGATCTCGGTAT</t>
  </si>
  <si>
    <t xml:space="preserve">AAACATACCGAGATCCTCGGTGGC</t>
  </si>
  <si>
    <t xml:space="preserve">AGTCCTGCGGCCACAGGGTC</t>
  </si>
  <si>
    <t xml:space="preserve">TAGTAGTCCTGCGGCCACAGGGTC</t>
  </si>
  <si>
    <t xml:space="preserve">AAACGACCCTGTGGCCGCAGGACT</t>
  </si>
  <si>
    <t xml:space="preserve">PSPPH_1685</t>
  </si>
  <si>
    <t xml:space="preserve">GGCCGCAGTGGGCAGTGTCC</t>
  </si>
  <si>
    <t xml:space="preserve">TAGTGGCCGCAGTGGGCAGTGTCC</t>
  </si>
  <si>
    <t xml:space="preserve">AAACGGACACTGCCCACTGCGGCC</t>
  </si>
  <si>
    <t xml:space="preserve">CAATGCGATGCTGATGAAAA</t>
  </si>
  <si>
    <t xml:space="preserve">TAGTCAATGCGATGCTGATGAAAA</t>
  </si>
  <si>
    <t xml:space="preserve">AAACTTTTCATCAGCATCGCATTG</t>
  </si>
  <si>
    <t xml:space="preserve">TGCCGAGCGCAACTCCCATA</t>
  </si>
  <si>
    <t xml:space="preserve">TAGTTGCCGAGCGCAACTCCCATA</t>
  </si>
  <si>
    <t xml:space="preserve">AAACTATGGGAGTTGCGCTCGGCA</t>
  </si>
  <si>
    <t xml:space="preserve">TGGCAATCGGCAGAAAACCA</t>
  </si>
  <si>
    <t xml:space="preserve">TAGTTGGCAATCGGCAGAAAACCA</t>
  </si>
  <si>
    <t xml:space="preserve">AAACTGGTTTTCTGCCGATTGCCA</t>
  </si>
  <si>
    <t xml:space="preserve">PSPPH_1686</t>
  </si>
  <si>
    <t xml:space="preserve">CGTACTCGGTTTGAATTCAC</t>
  </si>
  <si>
    <t xml:space="preserve">TAGTCGTACTCGGTTTGAATTCAC</t>
  </si>
  <si>
    <t xml:space="preserve">AAACGTGAATTCAAACCGAGTACG</t>
  </si>
  <si>
    <t xml:space="preserve">CTCTTTCAACTGTTCTGCAT</t>
  </si>
  <si>
    <t xml:space="preserve">TAGTCTCTTTCAACTGTTCTGCAT</t>
  </si>
  <si>
    <t xml:space="preserve">AAACATGCAGAACAGTTGAAAGAG</t>
  </si>
  <si>
    <t xml:space="preserve">CATGCCACGGAACGGCTCGG</t>
  </si>
  <si>
    <t xml:space="preserve">TAGTCATGCCACGGAACGGCTCGG</t>
  </si>
  <si>
    <t xml:space="preserve">AAACCCGAGCCGTTCCGTGGCATG</t>
  </si>
  <si>
    <t xml:space="preserve">TTCGTACTCGTGGGTGGTCA</t>
  </si>
  <si>
    <t xml:space="preserve">TAGTTTCGTACTCGTGGGTGGTCA</t>
  </si>
  <si>
    <t xml:space="preserve">AAACTGACCACCCACGAGTACGAA</t>
  </si>
  <si>
    <t xml:space="preserve">PSPPH_1687</t>
  </si>
  <si>
    <t xml:space="preserve">folD1</t>
  </si>
  <si>
    <t xml:space="preserve">GATCTGCTGGCGCAGGCTGG</t>
  </si>
  <si>
    <t xml:space="preserve">TAGTGATCTGCTGGCGCAGGCTGG</t>
  </si>
  <si>
    <t xml:space="preserve">AAACCCAGCCTGCGCCAGCAGATC</t>
  </si>
  <si>
    <t xml:space="preserve">GCTACGTTCGGCGACACGTT</t>
  </si>
  <si>
    <t xml:space="preserve">TAGTGCTACGTTCGGCGACACGTT</t>
  </si>
  <si>
    <t xml:space="preserve">AAACAACGTGTCGCCGAACGTAGC</t>
  </si>
  <si>
    <t xml:space="preserve">CCGGCGTACGCAGACCTTGC</t>
  </si>
  <si>
    <t xml:space="preserve">TAGTCCGGCGTACGCAGACCTTGC</t>
  </si>
  <si>
    <t xml:space="preserve">AAACGCAAGGTCTGCGTACGCCGG</t>
  </si>
  <si>
    <t xml:space="preserve">TGCCGACCAGAATCACCGCG</t>
  </si>
  <si>
    <t xml:space="preserve">TAGTTGCCGACCAGAATCACCGCG</t>
  </si>
  <si>
    <t xml:space="preserve">AAACCGCGGTGATTCTGGTCGGCA</t>
  </si>
  <si>
    <t xml:space="preserve">PSPPH_1691</t>
  </si>
  <si>
    <t xml:space="preserve">CAAGACGGTGTCTTTGATCT</t>
  </si>
  <si>
    <t xml:space="preserve">TAGTCAAGACGGTGTCTTTGATCT</t>
  </si>
  <si>
    <t xml:space="preserve">AAACAGATCAAAGACACCGTCTTG</t>
  </si>
  <si>
    <t xml:space="preserve">CGGTAGGTCTGCGCGGCGTT</t>
  </si>
  <si>
    <t xml:space="preserve">TAGTCGGTAGGTCTGCGCGGCGTT</t>
  </si>
  <si>
    <t xml:space="preserve">AAACAACGCCGCGCAGACCTACCG</t>
  </si>
  <si>
    <t xml:space="preserve">TGGCGGTGTCGTGCAGCAAG</t>
  </si>
  <si>
    <t xml:space="preserve">TAGTTGGCGGTGTCGTGCAGCAAG</t>
  </si>
  <si>
    <t xml:space="preserve">AAACCTTGCTGCACGACACCGCCA</t>
  </si>
  <si>
    <t xml:space="preserve">ACCGCCAGCGTCCTTCTGCT</t>
  </si>
  <si>
    <t xml:space="preserve">TAGTACCGCCAGCGTCCTTCTGCT</t>
  </si>
  <si>
    <t xml:space="preserve">AAACAGCAGAAGGACGCTGGCGGT</t>
  </si>
  <si>
    <t xml:space="preserve">PSPPH_1692</t>
  </si>
  <si>
    <t xml:space="preserve">AAGGATCAAGGAAAAAGCCG</t>
  </si>
  <si>
    <t xml:space="preserve">TAGTAAGGATCAAGGAAAAAGCCG</t>
  </si>
  <si>
    <t xml:space="preserve">AAACCGGCTTTTTCCTTGATCCTT</t>
  </si>
  <si>
    <t xml:space="preserve">ATAGAGCTGACCCCGTGCAT</t>
  </si>
  <si>
    <t xml:space="preserve">TAGTATAGAGCTGACCCCGTGCAT</t>
  </si>
  <si>
    <t xml:space="preserve">AAACATGCACGGGGTCAGCTCTAT</t>
  </si>
  <si>
    <t xml:space="preserve">AATCTCGCCGGTCAGGCCTT</t>
  </si>
  <si>
    <t xml:space="preserve">TAGTAATCTCGCCGGTCAGGCCTT</t>
  </si>
  <si>
    <t xml:space="preserve">AAACAAGGCCTGACCGGCGAGATT</t>
  </si>
  <si>
    <t xml:space="preserve">GCGGTCTCTGTCGTCAAACT</t>
  </si>
  <si>
    <t xml:space="preserve">TAGTGCGGTCTCTGTCGTCAAACT</t>
  </si>
  <si>
    <t xml:space="preserve">AAACAGTTTGACGACAGAGACCGC</t>
  </si>
  <si>
    <t xml:space="preserve">PSPPH_1693</t>
  </si>
  <si>
    <t xml:space="preserve">TATCGCTTTTCTGTTGGACC</t>
  </si>
  <si>
    <t xml:space="preserve">TAGTTATCGCTTTTCTGTTGGACC</t>
  </si>
  <si>
    <t xml:space="preserve">AAACGGTCCAACAGAAAAGCGATA</t>
  </si>
  <si>
    <t xml:space="preserve">CGACGTCGCGACACCATTGG</t>
  </si>
  <si>
    <t xml:space="preserve">TAGTCGACGTCGCGACACCATTGG</t>
  </si>
  <si>
    <t xml:space="preserve">AAACCCAATGGTGTCGCGACGTCG</t>
  </si>
  <si>
    <t xml:space="preserve">CTGGCTTCCAGTAAGAGGAA</t>
  </si>
  <si>
    <t xml:space="preserve">TAGTCTGGCTTCCAGTAAGAGGAA</t>
  </si>
  <si>
    <t xml:space="preserve">AAACTTCCTCTTACTGGAAGCCAG</t>
  </si>
  <si>
    <t xml:space="preserve">TCCCGTTGAGCGTCACCTGC</t>
  </si>
  <si>
    <t xml:space="preserve">TAGTTCCCGTTGAGCGTCACCTGC</t>
  </si>
  <si>
    <t xml:space="preserve">AAACGCAGGTGACGCTCAACGGGA</t>
  </si>
  <si>
    <t xml:space="preserve">PSPPH_1694</t>
  </si>
  <si>
    <t xml:space="preserve">GGGTCAGGTCAGGCTGGACA</t>
  </si>
  <si>
    <t xml:space="preserve">TAGTGGGTCAGGTCAGGCTGGACA</t>
  </si>
  <si>
    <t xml:space="preserve">AAACTGTCCAGCCTGACCTGACCC</t>
  </si>
  <si>
    <t xml:space="preserve">TTTCAGGCACTCCGCTACGG</t>
  </si>
  <si>
    <t xml:space="preserve">TAGTTTTCAGGCACTCCGCTACGG</t>
  </si>
  <si>
    <t xml:space="preserve">AAACCCGTAGCGGAGTGCCTGAAA</t>
  </si>
  <si>
    <t xml:space="preserve">ACCTGTGGTAATGGGCTGAA</t>
  </si>
  <si>
    <t xml:space="preserve">TAGTACCTGTGGTAATGGGCTGAA</t>
  </si>
  <si>
    <t xml:space="preserve">AAACTTCAGCCCATTACCACAGGT</t>
  </si>
  <si>
    <t xml:space="preserve">ACAGTATTTTCAGGCTGGAC</t>
  </si>
  <si>
    <t xml:space="preserve">TAGTACAGTATTTTCAGGCTGGAC</t>
  </si>
  <si>
    <t xml:space="preserve">AAACGTCCAGCCTGAAAATACTGT</t>
  </si>
  <si>
    <t xml:space="preserve">PSPPH_1695</t>
  </si>
  <si>
    <t xml:space="preserve">GTAGGGTACTGAAGATATTC</t>
  </si>
  <si>
    <t xml:space="preserve">TAGTGTAGGGTACTGAAGATATTC</t>
  </si>
  <si>
    <t xml:space="preserve">AAACGAATATCTTCAGTACCCTAC</t>
  </si>
  <si>
    <t xml:space="preserve">GCCAAGTCTTCTGACTGAGC</t>
  </si>
  <si>
    <t xml:space="preserve">TAGTGCCAAGTCTTCTGACTGAGC</t>
  </si>
  <si>
    <t xml:space="preserve">AAACGCTCAGTCAGAAGACTTGGC</t>
  </si>
  <si>
    <t xml:space="preserve">AATGCTATCTCCATACACAC</t>
  </si>
  <si>
    <t xml:space="preserve">TAGTAATGCTATCTCCATACACAC</t>
  </si>
  <si>
    <t xml:space="preserve">AAACGTGTGTATGGAGATAGCATT</t>
  </si>
  <si>
    <t xml:space="preserve">CATCTTGTGGCGGGTAGCAG</t>
  </si>
  <si>
    <t xml:space="preserve">TAGTCATCTTGTGGCGGGTAGCAG</t>
  </si>
  <si>
    <t xml:space="preserve">AAACCTGCTACCCGCCACAAGATG</t>
  </si>
  <si>
    <t xml:space="preserve">PSPPH_1696</t>
  </si>
  <si>
    <t xml:space="preserve">GCGCCTGACAATTTTACTCT</t>
  </si>
  <si>
    <t xml:space="preserve">TAGTGCGCCTGACAATTTTACTCT</t>
  </si>
  <si>
    <t xml:space="preserve">AAACAGAGTAAAATTGTCAGGCGC</t>
  </si>
  <si>
    <t xml:space="preserve">GCTTGCAGCCTTATTCAACC</t>
  </si>
  <si>
    <t xml:space="preserve">TAGTGCTTGCAGCCTTATTCAACC</t>
  </si>
  <si>
    <t xml:space="preserve">AAACGGTTGAATAAGGCTGCAAGC</t>
  </si>
  <si>
    <t xml:space="preserve">GCTGCTGATTCCATAGCGCC</t>
  </si>
  <si>
    <t xml:space="preserve">TAGTGCTGCTGATTCCATAGCGCC</t>
  </si>
  <si>
    <t xml:space="preserve">AAACGGCGCTATGGAATCAGCAGC</t>
  </si>
  <si>
    <t xml:space="preserve">CTCCGCACACCTGCCATGCA</t>
  </si>
  <si>
    <t xml:space="preserve">TAGTCTCCGCACACCTGCCATGCA</t>
  </si>
  <si>
    <t xml:space="preserve">AAACTGCATGGCAGGTGTGCGGAG</t>
  </si>
  <si>
    <t xml:space="preserve">PSPPH_1697</t>
  </si>
  <si>
    <t xml:space="preserve">tig</t>
  </si>
  <si>
    <t xml:space="preserve">GGTCATGCGGCGCTCAAGAG</t>
  </si>
  <si>
    <t xml:space="preserve">TAGTGGTCATGCGGCGCTCAAGAG</t>
  </si>
  <si>
    <t xml:space="preserve">AAACCTCTTGAGCGCCGCATGACC</t>
  </si>
  <si>
    <t xml:space="preserve">GCGTTCGGCAGGCACGCCAA</t>
  </si>
  <si>
    <t xml:space="preserve">TAGTGCGTTCGGCAGGCACGCCAA</t>
  </si>
  <si>
    <t xml:space="preserve">AAACTTGGCGTGCCTGCCGAACGC</t>
  </si>
  <si>
    <t xml:space="preserve">CGGGATCTTGGCTTTACGTG</t>
  </si>
  <si>
    <t xml:space="preserve">TAGTCGGGATCTTGGCTTTACGTG</t>
  </si>
  <si>
    <t xml:space="preserve">AAACCACGTAAAGCCAAGATCCCG</t>
  </si>
  <si>
    <t xml:space="preserve">ACCTTGCCTGGGCGGAAGCC</t>
  </si>
  <si>
    <t xml:space="preserve">TAGTACCTTGCCTGGGCGGAAGCC</t>
  </si>
  <si>
    <t xml:space="preserve">AAACGGCTTCCGCCCAGGCAAGGT</t>
  </si>
  <si>
    <t xml:space="preserve">PSPPH_1698</t>
  </si>
  <si>
    <t xml:space="preserve">clpP</t>
  </si>
  <si>
    <t xml:space="preserve">CTGCTGAATATAAGAATTGC</t>
  </si>
  <si>
    <t xml:space="preserve">TAGTCTGCTGAATATAAGAATTGC</t>
  </si>
  <si>
    <t xml:space="preserve">AAACGCAATTCTTATATTCAGCAG</t>
  </si>
  <si>
    <t xml:space="preserve">GGACCAGGCCGCCAGCGGCC</t>
  </si>
  <si>
    <t xml:space="preserve">TAGTGGACCAGGCCGCCAGCGGCC</t>
  </si>
  <si>
    <t xml:space="preserve">AAACGGCCGCTGGCGGCCTGGTCC</t>
  </si>
  <si>
    <t xml:space="preserve">GCGGACTGCTCGATAACCAT</t>
  </si>
  <si>
    <t xml:space="preserve">TAGTGCGGACTGCTCGATAACCAT</t>
  </si>
  <si>
    <t xml:space="preserve">AAACATGGTTATCGAGCAGTCCGC</t>
  </si>
  <si>
    <t xml:space="preserve">GTCATAGGCGCGTTCGCCAC</t>
  </si>
  <si>
    <t xml:space="preserve">TAGTGTCATAGGCGCGTTCGCCAC</t>
  </si>
  <si>
    <t xml:space="preserve">AAACGTGGCGAACGCGCCTATGAC</t>
  </si>
  <si>
    <t xml:space="preserve">PSPPH_1699</t>
  </si>
  <si>
    <t xml:space="preserve">clpX</t>
  </si>
  <si>
    <t xml:space="preserve">GCCGTTGTCCTCGCCGTTGC</t>
  </si>
  <si>
    <t xml:space="preserve">TAGTGCCGTTGTCCTCGCCGTTGC</t>
  </si>
  <si>
    <t xml:space="preserve">AAACGCAACGGCGAGGACAACGGC</t>
  </si>
  <si>
    <t xml:space="preserve">ATGCTGGCTTTTGCCACAGA</t>
  </si>
  <si>
    <t xml:space="preserve">TAGTATGCTGGCTTTTGCCACAGA</t>
  </si>
  <si>
    <t xml:space="preserve">AAACTCTGTGGCAAAAGCCAGCAT</t>
  </si>
  <si>
    <t xml:space="preserve">CGTCGCAGATAAAGACCGAG</t>
  </si>
  <si>
    <t xml:space="preserve">TAGTCGTCGCAGATAAAGACCGAG</t>
  </si>
  <si>
    <t xml:space="preserve">AAACCTCGGTCTTTATCTGCGACG</t>
  </si>
  <si>
    <t xml:space="preserve">CGCGGATGATGTCGTTGCAC</t>
  </si>
  <si>
    <t xml:space="preserve">TAGTCGCGGATGATGTCGTTGCAC</t>
  </si>
  <si>
    <t xml:space="preserve">AAACGTGCAACGACATCATCCGCG</t>
  </si>
  <si>
    <t xml:space="preserve">PSPPH_1700</t>
  </si>
  <si>
    <t xml:space="preserve">lon1</t>
  </si>
  <si>
    <t xml:space="preserve">CAAGAGAGGCAATTCAATAG</t>
  </si>
  <si>
    <t xml:space="preserve">TAGTCAAGAGAGGCAATTCAATAG</t>
  </si>
  <si>
    <t xml:space="preserve">AAACCTATTGAATTGCCTCTCTTG</t>
  </si>
  <si>
    <t xml:space="preserve">TAAACCACGACATCACGCAA</t>
  </si>
  <si>
    <t xml:space="preserve">TAGTTAAACCACGACATCACGCAA</t>
  </si>
  <si>
    <t xml:space="preserve">AAACTTGCGTGATGTCGTGGTTTA</t>
  </si>
  <si>
    <t xml:space="preserve">AACAGCGGGATAACCATGTG</t>
  </si>
  <si>
    <t xml:space="preserve">TAGTAACAGCGGGATAACCATGTG</t>
  </si>
  <si>
    <t xml:space="preserve">AAACCACATGGTTATCCCGCTGTT</t>
  </si>
  <si>
    <t xml:space="preserve">GCCCGTCATTGCCGCTTCAA</t>
  </si>
  <si>
    <t xml:space="preserve">TAGTGCCCGTCATTGCCGCTTCAA</t>
  </si>
  <si>
    <t xml:space="preserve">AAACTTGAAGCGGCAATGACGGGC</t>
  </si>
  <si>
    <t xml:space="preserve">PSPPH_1701</t>
  </si>
  <si>
    <t xml:space="preserve">hupB</t>
  </si>
  <si>
    <t xml:space="preserve">CACGGCCAGCAGCAGCTTTC</t>
  </si>
  <si>
    <t xml:space="preserve">TAGTCACGGCCAGCAGCAGCTTTC</t>
  </si>
  <si>
    <t xml:space="preserve">AAACGAAAGCTGCTGCTGGCCGTG</t>
  </si>
  <si>
    <t xml:space="preserve">AGCCTTCAGAGCGCCAGTGA</t>
  </si>
  <si>
    <t xml:space="preserve">TAGTAGCCTTCAGAGCGCCAGTGA</t>
  </si>
  <si>
    <t xml:space="preserve">AAACTCACTGGCGCTCTGAAGGCT</t>
  </si>
  <si>
    <t xml:space="preserve">GCGAGCAGGACGATCAGTCA</t>
  </si>
  <si>
    <t xml:space="preserve">TAGTGCGAGCAGGACGATCAGTCA</t>
  </si>
  <si>
    <t xml:space="preserve">AAACTGACTGATCGTCCTGCTCGC</t>
  </si>
  <si>
    <t xml:space="preserve">CCAGCGTCTTACCAGTCTGA</t>
  </si>
  <si>
    <t xml:space="preserve">TAGTCCAGCGTCTTACCAGTCTGA</t>
  </si>
  <si>
    <t xml:space="preserve">AAACTCAGACTGGTAAGACGCTGG</t>
  </si>
  <si>
    <t xml:space="preserve">PSPPH_1702</t>
  </si>
  <si>
    <t xml:space="preserve">GATGATTCCGATAATTGTCT</t>
  </si>
  <si>
    <t xml:space="preserve">TAGTGATGATTCCGATAATTGTCT</t>
  </si>
  <si>
    <t xml:space="preserve">AAACAGACAATTATCGGAATCATC</t>
  </si>
  <si>
    <t xml:space="preserve">CAACGCCTCGATGCCGGTGA</t>
  </si>
  <si>
    <t xml:space="preserve">TAGTCAACGCCTCGATGCCGGTGA</t>
  </si>
  <si>
    <t xml:space="preserve">AAACTCACCGGCATCGAGGCGTTG</t>
  </si>
  <si>
    <t xml:space="preserve">GTTCTGCTTATTGCTGGTAG</t>
  </si>
  <si>
    <t xml:space="preserve">TAGTGTTCTGCTTATTGCTGGTAG</t>
  </si>
  <si>
    <t xml:space="preserve">AAACCTACCAGCAATAAGCAGAAC</t>
  </si>
  <si>
    <t xml:space="preserve">GCCGCTGCATGTCGACGGCC</t>
  </si>
  <si>
    <t xml:space="preserve">TAGTGCCGCTGCATGTCGACGGCC</t>
  </si>
  <si>
    <t xml:space="preserve">AAACGGCCGTCGACATGCAGCGGC</t>
  </si>
  <si>
    <t xml:space="preserve">PSPPH_1703</t>
  </si>
  <si>
    <t xml:space="preserve">fabI</t>
  </si>
  <si>
    <t xml:space="preserve">GACGATCAGGACGCGCTTAC</t>
  </si>
  <si>
    <t xml:space="preserve">TAGTGACGATCAGGACGCGCTTAC</t>
  </si>
  <si>
    <t xml:space="preserve">AAACGTAAGCGCGTCCTGATCGTC</t>
  </si>
  <si>
    <t xml:space="preserve">GGATGCGATGGACAGTTTAC</t>
  </si>
  <si>
    <t xml:space="preserve">TAGTGGATGCGATGGACAGTTTAC</t>
  </si>
  <si>
    <t xml:space="preserve">AAACGTAAACTGTCCATCGCATCC</t>
  </si>
  <si>
    <t xml:space="preserve">ATGCATGGTGGCAGCAATGC</t>
  </si>
  <si>
    <t xml:space="preserve">TAGTATGCATGGTGGCAGCAATGC</t>
  </si>
  <si>
    <t xml:space="preserve">AAACGCATTGCTGCCACCATGCAT</t>
  </si>
  <si>
    <t xml:space="preserve">CTTGAGCTTGTCGTTCTGGT</t>
  </si>
  <si>
    <t xml:space="preserve">TAGTCTTGAGCTTGTCGTTCTGGT</t>
  </si>
  <si>
    <t xml:space="preserve">AAACACCAGAACGACAAGCTCAAG</t>
  </si>
  <si>
    <t xml:space="preserve">PSPPH_1704</t>
  </si>
  <si>
    <t xml:space="preserve">GTGCGAGGGTTTCACCCCGA</t>
  </si>
  <si>
    <t xml:space="preserve">TAGTGTGCGAGGGTTTCACCCCGA</t>
  </si>
  <si>
    <t xml:space="preserve">AAACTCGGGGTGAAACCCTCGCAC</t>
  </si>
  <si>
    <t xml:space="preserve">TGGGGTAGGGCAGCAGGCGC</t>
  </si>
  <si>
    <t xml:space="preserve">TAGTTGGGGTAGGGCAGCAGGCGC</t>
  </si>
  <si>
    <t xml:space="preserve">AAACGCGCCTGCTGCCCTACCCCA</t>
  </si>
  <si>
    <t xml:space="preserve">GCCGCTCGGATGACTGGCAA</t>
  </si>
  <si>
    <t xml:space="preserve">TAGTGCCGCTCGGATGACTGGCAA</t>
  </si>
  <si>
    <t xml:space="preserve">AAACTTGCCAGTCATCCGAGCGGC</t>
  </si>
  <si>
    <t xml:space="preserve">GCAGGTCTTCACCGCCGTAG</t>
  </si>
  <si>
    <t xml:space="preserve">TAGTGCAGGTCTTCACCGCCGTAG</t>
  </si>
  <si>
    <t xml:space="preserve">AAACCTACGGCGGTGAAGACCTGC</t>
  </si>
  <si>
    <t xml:space="preserve">PSPPH_1705</t>
  </si>
  <si>
    <t xml:space="preserve">TCGAAGCGACGGCGATTGAG</t>
  </si>
  <si>
    <t xml:space="preserve">TAGTTCGAAGCGACGGCGATTGAG</t>
  </si>
  <si>
    <t xml:space="preserve">AAACCTCAATCGCCGTCGCTTCGA</t>
  </si>
  <si>
    <t xml:space="preserve">TGACCACCAGCCGCGTCGGT</t>
  </si>
  <si>
    <t xml:space="preserve">TAGTTGACCACCAGCCGCGTCGGT</t>
  </si>
  <si>
    <t xml:space="preserve">AAACACCGACGCGGCTGGTGGTCA</t>
  </si>
  <si>
    <t xml:space="preserve">GGCTCAGGCCGAACAGGATG</t>
  </si>
  <si>
    <t xml:space="preserve">TAGTGGCTCAGGCCGAACAGGATG</t>
  </si>
  <si>
    <t xml:space="preserve">AAACCATCCTGTTCGGCCTGAGCC</t>
  </si>
  <si>
    <t xml:space="preserve">TGGCGATCAGTTCGGCGCCC</t>
  </si>
  <si>
    <t xml:space="preserve">TAGTTGGCGATCAGTTCGGCGCCC</t>
  </si>
  <si>
    <t xml:space="preserve">AAACGGGCGCCGAACTGATCGCCA</t>
  </si>
  <si>
    <t xml:space="preserve">PSPPH_1706</t>
  </si>
  <si>
    <t xml:space="preserve">TCAGAATGCCGAGCAGGGTA</t>
  </si>
  <si>
    <t xml:space="preserve">TAGTTCAGAATGCCGAGCAGGGTA</t>
  </si>
  <si>
    <t xml:space="preserve">AAACTACCCTGCTCGGCATTCTGA</t>
  </si>
  <si>
    <t xml:space="preserve">CTCGACCGGTCCACCGGGTG</t>
  </si>
  <si>
    <t xml:space="preserve">TAGTCTCGACCGGTCCACCGGGTG</t>
  </si>
  <si>
    <t xml:space="preserve">AAACCACCCGGTGGACCGGTCGAG</t>
  </si>
  <si>
    <t xml:space="preserve">GCCATCGAAGCCTTCGATCT</t>
  </si>
  <si>
    <t xml:space="preserve">TAGTGCCATCGAAGCCTTCGATCT</t>
  </si>
  <si>
    <t xml:space="preserve">AAACAGATCGAAGGCTTCGATGGC</t>
  </si>
  <si>
    <t xml:space="preserve">ACCGCCACCCGCAATTCGGC</t>
  </si>
  <si>
    <t xml:space="preserve">TAGTACCGCCACCCGCAATTCGGC</t>
  </si>
  <si>
    <t xml:space="preserve">AAACGCCGAATTGCGGGTGGCGGT</t>
  </si>
  <si>
    <t xml:space="preserve">PSPPH_1707</t>
  </si>
  <si>
    <t xml:space="preserve">GCGCGCGCAGGGAATGCAAT</t>
  </si>
  <si>
    <t xml:space="preserve">TAGTGCGCGCGCAGGGAATGCAAT</t>
  </si>
  <si>
    <t xml:space="preserve">AAACATTGCATTCCCTGCGCGCGC</t>
  </si>
  <si>
    <t xml:space="preserve">GAGGCTGGCCAACAGCAGGC</t>
  </si>
  <si>
    <t xml:space="preserve">TAGTGAGGCTGGCCAACAGCAGGC</t>
  </si>
  <si>
    <t xml:space="preserve">AAACGCCTGCTGTTGGCCAGCCTC</t>
  </si>
  <si>
    <t xml:space="preserve">AGGCGCAGCCTGTACCGTGC</t>
  </si>
  <si>
    <t xml:space="preserve">TAGTAGGCGCAGCCTGTACCGTGC</t>
  </si>
  <si>
    <t xml:space="preserve">AAACGCACGGTACAGGCTGCGCCT</t>
  </si>
  <si>
    <t xml:space="preserve">TACAGCGTCACGCCATGCTG</t>
  </si>
  <si>
    <t xml:space="preserve">TAGTTACAGCGTCACGCCATGCTG</t>
  </si>
  <si>
    <t xml:space="preserve">AAACCAGCATGGCGTGACGCTGTA</t>
  </si>
  <si>
    <t xml:space="preserve">PSPPH_1708</t>
  </si>
  <si>
    <t xml:space="preserve">TATCGAAGGGCAAGTGGCCG</t>
  </si>
  <si>
    <t xml:space="preserve">TAGTTATCGAAGGGCAAGTGGCCG</t>
  </si>
  <si>
    <t xml:space="preserve">AAACCGGCCACTTGCCCTTCGATA</t>
  </si>
  <si>
    <t xml:space="preserve">TGCATCGGCCACCCGCCCCA</t>
  </si>
  <si>
    <t xml:space="preserve">TAGTTGCATCGGCCACCCGCCCCA</t>
  </si>
  <si>
    <t xml:space="preserve">AAACTGGGGCGGGTGGCCGATGCA</t>
  </si>
  <si>
    <t xml:space="preserve">TGCAGGTGACTGCGCCGCCG</t>
  </si>
  <si>
    <t xml:space="preserve">TAGTTGCAGGTGACTGCGCCGCCG</t>
  </si>
  <si>
    <t xml:space="preserve">AAACCGGCGGCGCAGTCACCTGCA</t>
  </si>
  <si>
    <t xml:space="preserve">CAGTAACAGCTTGTTCCAGC</t>
  </si>
  <si>
    <t xml:space="preserve">TAGTCAGTAACAGCTTGTTCCAGC</t>
  </si>
  <si>
    <t xml:space="preserve">AAACGCTGGAACAAGCTGTTACTG</t>
  </si>
  <si>
    <t xml:space="preserve">PSPPH_1709</t>
  </si>
  <si>
    <t xml:space="preserve">mltD</t>
  </si>
  <si>
    <t xml:space="preserve">GTCAATGCGTCCGAATGTGA</t>
  </si>
  <si>
    <t xml:space="preserve">TAGTGTCAATGCGTCCGAATGTGA</t>
  </si>
  <si>
    <t xml:space="preserve">AAACTCACATTCGGACGCATTGAC</t>
  </si>
  <si>
    <t xml:space="preserve">CGCACTCGCGGTGACAGCCA</t>
  </si>
  <si>
    <t xml:space="preserve">TAGTCGCACTCGCGGTGACAGCCA</t>
  </si>
  <si>
    <t xml:space="preserve">AAACTGGCTGTCACCGCGAGTGCG</t>
  </si>
  <si>
    <t xml:space="preserve">GCTGGCAGTGCTCTGGCAAC</t>
  </si>
  <si>
    <t xml:space="preserve">TAGTGCTGGCAGTGCTCTGGCAAC</t>
  </si>
  <si>
    <t xml:space="preserve">AAACGTTGCCAGAGCACTGCCAGC</t>
  </si>
  <si>
    <t xml:space="preserve">GCGTGCGATGGCTGCTGACC</t>
  </si>
  <si>
    <t xml:space="preserve">TAGTGCGTGCGATGGCTGCTGACC</t>
  </si>
  <si>
    <t xml:space="preserve">AAACGGTCAGCAGCCATCGCACGC</t>
  </si>
  <si>
    <t xml:space="preserve">PSPPH_1710</t>
  </si>
  <si>
    <t xml:space="preserve">AAGGGCGTGGATCTGTATCA</t>
  </si>
  <si>
    <t xml:space="preserve">TAGTAAGGGCGTGGATCTGTATCA</t>
  </si>
  <si>
    <t xml:space="preserve">AAACTGATACAGATCCACGCCCTT</t>
  </si>
  <si>
    <t xml:space="preserve">ATGTAGTTGTCATTGAAAGC</t>
  </si>
  <si>
    <t xml:space="preserve">TAGTATGTAGTTGTCATTGAAAGC</t>
  </si>
  <si>
    <t xml:space="preserve">AAACGCTTTCAATGACAACTACAT</t>
  </si>
  <si>
    <t xml:space="preserve">CCGCGCATTGCTGGCTCGAA</t>
  </si>
  <si>
    <t xml:space="preserve">TAGTCCGCGCATTGCTGGCTCGAA</t>
  </si>
  <si>
    <t xml:space="preserve">AAACTTCGAGCCAGCAATGCGCGG</t>
  </si>
  <si>
    <t xml:space="preserve">AGCACCGGTTTCGCGTCGCC</t>
  </si>
  <si>
    <t xml:space="preserve">TAGTAGCACCGGTTTCGCGTCGCC</t>
  </si>
  <si>
    <t xml:space="preserve">AAACGGCGACGCGAAACCGGTGCT</t>
  </si>
  <si>
    <t xml:space="preserve">PSPPH_1711</t>
  </si>
  <si>
    <t xml:space="preserve">AGCCTGAGCGAACGCTTCAT</t>
  </si>
  <si>
    <t xml:space="preserve">TAGTAGCCTGAGCGAACGCTTCAT</t>
  </si>
  <si>
    <t xml:space="preserve">AAACATGAAGCGTTCGCTCAGGCT</t>
  </si>
  <si>
    <t xml:space="preserve">CGGATCAATGCAAGCCACTC</t>
  </si>
  <si>
    <t xml:space="preserve">TAGTCGGATCAATGCAAGCCACTC</t>
  </si>
  <si>
    <t xml:space="preserve">AAACGAGTGGCTTGCATTGATCCG</t>
  </si>
  <si>
    <t xml:space="preserve">AAAGCCATTCACGGGCAGCG</t>
  </si>
  <si>
    <t xml:space="preserve">TAGTAAAGCCATTCACGGGCAGCG</t>
  </si>
  <si>
    <t xml:space="preserve">AAACCGCTGCCCGTGAATGGCTTT</t>
  </si>
  <si>
    <t xml:space="preserve">CAGAAGCTGCCCCAGCGGCC</t>
  </si>
  <si>
    <t xml:space="preserve">TAGTCAGAAGCTGCCCCAGCGGCC</t>
  </si>
  <si>
    <t xml:space="preserve">AAACGGCCGCTGGGGCAGCTTCTG</t>
  </si>
  <si>
    <t xml:space="preserve">PSPPH_1712</t>
  </si>
  <si>
    <t xml:space="preserve">rnhA</t>
  </si>
  <si>
    <t xml:space="preserve">ATTGCCCTTGCAGGCACCGT</t>
  </si>
  <si>
    <t xml:space="preserve">TAGTATTGCCCTTGCAGGCACCGT</t>
  </si>
  <si>
    <t xml:space="preserve">AAACACGGTGCCTGCAAGGGCAAT</t>
  </si>
  <si>
    <t xml:space="preserve">GCACCCCACCCGCCCGGGCC</t>
  </si>
  <si>
    <t xml:space="preserve">TAGTGCACCCCACCCGCCCGGGCC</t>
  </si>
  <si>
    <t xml:space="preserve">AAACGGCCCGGGCGGGTGGGGTGC</t>
  </si>
  <si>
    <t xml:space="preserve">CATGCGGTTGTTGGTGGTGT</t>
  </si>
  <si>
    <t xml:space="preserve">TAGTCATGCGGTTGTTGGTGGTGT</t>
  </si>
  <si>
    <t xml:space="preserve">AAACACACCACCAACAACCGCATG</t>
  </si>
  <si>
    <t xml:space="preserve">GAGCTCTTCGAGCCCGCGAA</t>
  </si>
  <si>
    <t xml:space="preserve">TAGTGAGCTCTTCGAGCCCGCGAA</t>
  </si>
  <si>
    <t xml:space="preserve">AAACTTCGCGGGCTCGAAGAGCTC</t>
  </si>
  <si>
    <t xml:space="preserve">PSPPH_1713</t>
  </si>
  <si>
    <t xml:space="preserve">AAATTGAGCGACGGCTGTCA</t>
  </si>
  <si>
    <t xml:space="preserve">TAGTAAATTGAGCGACGGCTGTCA</t>
  </si>
  <si>
    <t xml:space="preserve">AAACTGACAGCCGTCGCTCAATTT</t>
  </si>
  <si>
    <t xml:space="preserve">TGATTACGCACGGTGACAAG</t>
  </si>
  <si>
    <t xml:space="preserve">TAGTTGATTACGCACGGTGACAAG</t>
  </si>
  <si>
    <t xml:space="preserve">AAACCTTGTCACCGTGCGTAATCA</t>
  </si>
  <si>
    <t xml:space="preserve">GCGATACAGCTCCAGAGCCT</t>
  </si>
  <si>
    <t xml:space="preserve">TAGTGCGATACAGCTCCAGAGCCT</t>
  </si>
  <si>
    <t xml:space="preserve">AAACAGGCTCTGGAGCTGTATCGC</t>
  </si>
  <si>
    <t xml:space="preserve">GGGTGGTAGCTGACCGGCGA</t>
  </si>
  <si>
    <t xml:space="preserve">TAGTGGGTGGTAGCTGACCGGCGA</t>
  </si>
  <si>
    <t xml:space="preserve">AAACTCGCCGGTCAGCTACCACCC</t>
  </si>
  <si>
    <t xml:space="preserve">PSPPH_1714</t>
  </si>
  <si>
    <t xml:space="preserve">cysE2</t>
  </si>
  <si>
    <t xml:space="preserve">CGCGAAGGCGCTGCCAAAGA</t>
  </si>
  <si>
    <t xml:space="preserve">TAGTCGCGAAGGCGCTGCCAAAGA</t>
  </si>
  <si>
    <t xml:space="preserve">AAACTCTTTGGCAGCGCCTTCGCG</t>
  </si>
  <si>
    <t xml:space="preserve">GTTGCGCTCGGTCAGTTGCC</t>
  </si>
  <si>
    <t xml:space="preserve">TAGTGTTGCGCTCGGTCAGTTGCC</t>
  </si>
  <si>
    <t xml:space="preserve">AAACGGCAACTGACCGAGCGCAAC</t>
  </si>
  <si>
    <t xml:space="preserve">TCGCATAATCGCCGAGTACC</t>
  </si>
  <si>
    <t xml:space="preserve">TAGTTCGCATAATCGCCGAGTACC</t>
  </si>
  <si>
    <t xml:space="preserve">AAACGGTACTCGGCGATTATGCGA</t>
  </si>
  <si>
    <t xml:space="preserve">AAGTCGAATAGACCAGCAGG</t>
  </si>
  <si>
    <t xml:space="preserve">TAGTAAGTCGAATAGACCAGCAGG</t>
  </si>
  <si>
    <t xml:space="preserve">AAACCCTGCTGGTCTATTCGACTT</t>
  </si>
  <si>
    <t xml:space="preserve">PSPPH_1715</t>
  </si>
  <si>
    <t xml:space="preserve">dnaQ</t>
  </si>
  <si>
    <t xml:space="preserve">GAACGATTGATCTGTTATCC</t>
  </si>
  <si>
    <t xml:space="preserve">TAGTGAACGATTGATCTGTTATCC</t>
  </si>
  <si>
    <t xml:space="preserve">AAACGGATAACAGATCAATCGTTC</t>
  </si>
  <si>
    <t xml:space="preserve">CACCGGCATACCGGTGGTTT</t>
  </si>
  <si>
    <t xml:space="preserve">TAGTCACCGGCATACCGGTGGTTT</t>
  </si>
  <si>
    <t xml:space="preserve">AAACAAACCACCGGTATGCCGGTG</t>
  </si>
  <si>
    <t xml:space="preserve">AATGCCGACCGGTCAGGCGC</t>
  </si>
  <si>
    <t xml:space="preserve">TAGTAATGCCGACCGGTCAGGCGC</t>
  </si>
  <si>
    <t xml:space="preserve">AAACGCGCCTGACCGGTCGGCATT</t>
  </si>
  <si>
    <t xml:space="preserve">CACTTTCGCGATCAGGTTGC</t>
  </si>
  <si>
    <t xml:space="preserve">TAGTCACTTTCGCGATCAGGTTGC</t>
  </si>
  <si>
    <t xml:space="preserve">AAACGCAACCTGATCGCGAAAGTG</t>
  </si>
  <si>
    <t xml:space="preserve">PSPPH_1716</t>
  </si>
  <si>
    <t xml:space="preserve">CGATCCGAATGCTCAAGGCA</t>
  </si>
  <si>
    <t xml:space="preserve">TAGTCGATCCGAATGCTCAAGGCA</t>
  </si>
  <si>
    <t xml:space="preserve">AAACTGCCTTGAGCATTCGGATCG</t>
  </si>
  <si>
    <t xml:space="preserve">GCTTTCGCCGATACGCGGTT</t>
  </si>
  <si>
    <t xml:space="preserve">TAGTGCTTTCGCCGATACGCGGTT</t>
  </si>
  <si>
    <t xml:space="preserve">AAACAACCGCGTATCGGCGAAAGC</t>
  </si>
  <si>
    <t xml:space="preserve">ATACCATAATTCTTGCTGTA</t>
  </si>
  <si>
    <t xml:space="preserve">TAGTATACCATAATTCTTGCTGTA</t>
  </si>
  <si>
    <t xml:space="preserve">AAACTACAGCAAGAATTATGGTAT</t>
  </si>
  <si>
    <t xml:space="preserve">CGTGGCGGCATCGCGATGAT</t>
  </si>
  <si>
    <t xml:space="preserve">TAGTCGTGGCGGCATCGCGATGAT</t>
  </si>
  <si>
    <t xml:space="preserve">AAACATCATCGCGATGCCGCCACG</t>
  </si>
  <si>
    <t xml:space="preserve">PSPPH_1717</t>
  </si>
  <si>
    <t xml:space="preserve">CGGGGAATTGACCAGGGCAA</t>
  </si>
  <si>
    <t xml:space="preserve">TAGTCGGGGAATTGACCAGGGCAA</t>
  </si>
  <si>
    <t xml:space="preserve">AAACTTGCCCTGGTCAATTCCCCG</t>
  </si>
  <si>
    <t xml:space="preserve">TCCGGGCGGTTGTGGCGCGT</t>
  </si>
  <si>
    <t xml:space="preserve">TAGTTCCGGGCGGTTGTGGCGCGT</t>
  </si>
  <si>
    <t xml:space="preserve">AAACACGCGCCACAACCGCCCGGA</t>
  </si>
  <si>
    <t xml:space="preserve">TGATCTATAGGTGAGTTTGC</t>
  </si>
  <si>
    <t xml:space="preserve">TAGTTGATCTATAGGTGAGTTTGC</t>
  </si>
  <si>
    <t xml:space="preserve">AAACGCAAACTCACCTATAGATCA</t>
  </si>
  <si>
    <t xml:space="preserve">GCTGGTTTACGAATCCATCG</t>
  </si>
  <si>
    <t xml:space="preserve">TAGTGCTGGTTTACGAATCCATCG</t>
  </si>
  <si>
    <t xml:space="preserve">AAACCGATGGATTCGTAAACCAGC</t>
  </si>
  <si>
    <t xml:space="preserve">PSPPH_1718</t>
  </si>
  <si>
    <t xml:space="preserve">ATACGGCAATGGTATGAACC</t>
  </si>
  <si>
    <t xml:space="preserve">TAGTATACGGCAATGGTATGAACC</t>
  </si>
  <si>
    <t xml:space="preserve">AAACGGTTCATACCATTGCCGTAT</t>
  </si>
  <si>
    <t xml:space="preserve">AAGCGCAATTTTTCGGTTGA</t>
  </si>
  <si>
    <t xml:space="preserve">TAGTAAGCGCAATTTTTCGGTTGA</t>
  </si>
  <si>
    <t xml:space="preserve">AAACTCAACCGAAAAATTGCGCTT</t>
  </si>
  <si>
    <t xml:space="preserve">GGCAGGTGCCAGCTCCGCGA</t>
  </si>
  <si>
    <t xml:space="preserve">TAGTGGCAGGTGCCAGCTCCGCGA</t>
  </si>
  <si>
    <t xml:space="preserve">AAACTCGCGGAGCTGGCACCTGCC</t>
  </si>
  <si>
    <t xml:space="preserve">GACGATATTCAGTTTAAGGC</t>
  </si>
  <si>
    <t xml:space="preserve">TAGTGACGATATTCAGTTTAAGGC</t>
  </si>
  <si>
    <t xml:space="preserve">AAACGCCTTAAACTGAATATCGTC</t>
  </si>
  <si>
    <t xml:space="preserve">PSPPH_1719</t>
  </si>
  <si>
    <t xml:space="preserve">AAAAAATAGGGAAGTACTGT</t>
  </si>
  <si>
    <t xml:space="preserve">TAGTAAAAAATAGGGAAGTACTGT</t>
  </si>
  <si>
    <t xml:space="preserve">AAACACAGTACTTCCCTATTTTTT</t>
  </si>
  <si>
    <t xml:space="preserve">CATGAATGTCCTGTGTGAAT</t>
  </si>
  <si>
    <t xml:space="preserve">TAGTCATGAATGTCCTGTGTGAAT</t>
  </si>
  <si>
    <t xml:space="preserve">AAACATTCACACAGGACATTCATG</t>
  </si>
  <si>
    <t xml:space="preserve">GGACGGGGTGCATCGCTGTT</t>
  </si>
  <si>
    <t xml:space="preserve">TAGTGGACGGGGTGCATCGCTGTT</t>
  </si>
  <si>
    <t xml:space="preserve">AAACAACAGCGATGCACCCCGTCC</t>
  </si>
  <si>
    <t xml:space="preserve">ATGATCAGCCGATCAGCTCT</t>
  </si>
  <si>
    <t xml:space="preserve">TAGTATGATCAGCCGATCAGCTCT</t>
  </si>
  <si>
    <t xml:space="preserve">AAACAGAGCTGATCGGCTGATCAT</t>
  </si>
  <si>
    <t xml:space="preserve">PSPPH_1720</t>
  </si>
  <si>
    <t xml:space="preserve">acdA</t>
  </si>
  <si>
    <t xml:space="preserve">CCTGTTCTTCGGTCAATTCA</t>
  </si>
  <si>
    <t xml:space="preserve">TAGTCCTGTTCTTCGGTCAATTCA</t>
  </si>
  <si>
    <t xml:space="preserve">AAACTGAATTGACCGAAGAACAGG</t>
  </si>
  <si>
    <t xml:space="preserve">GTGCGGGGCGATTTCGTTGC</t>
  </si>
  <si>
    <t xml:space="preserve">TAGTGTGCGGGGCGATTTCGTTGC</t>
  </si>
  <si>
    <t xml:space="preserve">AAACGCAACGAAATCGCCCCGCAC</t>
  </si>
  <si>
    <t xml:space="preserve">GCCGGCCTTTTCCCAGGCCT</t>
  </si>
  <si>
    <t xml:space="preserve">TAGTGCCGGCCTTTTCCCAGGCCT</t>
  </si>
  <si>
    <t xml:space="preserve">AAACAGGCCTGGGAAAAGGCCGGC</t>
  </si>
  <si>
    <t xml:space="preserve">AAGGCCCAGCTCGCCAAGTT</t>
  </si>
  <si>
    <t xml:space="preserve">TAGTAAGGCCCAGCTCGCCAAGTT</t>
  </si>
  <si>
    <t xml:space="preserve">AAACAACTTGGCGAGCTGGGCCTT</t>
  </si>
  <si>
    <t xml:space="preserve">PSPPH_1721</t>
  </si>
  <si>
    <t xml:space="preserve">GGAGGGTTGCCGAACCGGGC</t>
  </si>
  <si>
    <t xml:space="preserve">TAGTGGAGGGTTGCCGAACCGGGC</t>
  </si>
  <si>
    <t xml:space="preserve">AAACGCCCGGTTCGGCAACCCTCC</t>
  </si>
  <si>
    <t xml:space="preserve">GACAACGATCGAATCCCGGC</t>
  </si>
  <si>
    <t xml:space="preserve">TAGTGACAACGATCGAATCCCGGC</t>
  </si>
  <si>
    <t xml:space="preserve">AAACGCCGGGATTCGATCGTTGTC</t>
  </si>
  <si>
    <t xml:space="preserve">TGAGGGTCAGGTGACCCATG</t>
  </si>
  <si>
    <t xml:space="preserve">TAGTTGAGGGTCAGGTGACCCATG</t>
  </si>
  <si>
    <t xml:space="preserve">AAACCATGGGTCACCTGACCCTCA</t>
  </si>
  <si>
    <t xml:space="preserve">TCGATTGCGTTCAGGCCTTC</t>
  </si>
  <si>
    <t xml:space="preserve">TAGTTCGATTGCGTTCAGGCCTTC</t>
  </si>
  <si>
    <t xml:space="preserve">AAACGAAGGCCTGAACGCAATCGA</t>
  </si>
  <si>
    <t xml:space="preserve">PSPPH_1722</t>
  </si>
  <si>
    <t xml:space="preserve">CGTCGAAGGCGAGCCGGGCA</t>
  </si>
  <si>
    <t xml:space="preserve">TAGTCGTCGAAGGCGAGCCGGGCA</t>
  </si>
  <si>
    <t xml:space="preserve">AAACTGCCCGGCTCGCCTTCGACG</t>
  </si>
  <si>
    <t xml:space="preserve">CGCCGCGCATCGGAATGCAG</t>
  </si>
  <si>
    <t xml:space="preserve">TAGTCGCCGCGCATCGGAATGCAG</t>
  </si>
  <si>
    <t xml:space="preserve">AAACCTGCATTCCGATGCGCGGCG</t>
  </si>
  <si>
    <t xml:space="preserve">ACCCTGCAAATAGGGCAGGT</t>
  </si>
  <si>
    <t xml:space="preserve">TAGTACCCTGCAAATAGGGCAGGT</t>
  </si>
  <si>
    <t xml:space="preserve">AAACACCTGCCCTATTTGCAGGGT</t>
  </si>
  <si>
    <t xml:space="preserve">GATGTACGCAGCCGGCAACC</t>
  </si>
  <si>
    <t xml:space="preserve">TAGTGATGTACGCAGCCGGCAACC</t>
  </si>
  <si>
    <t xml:space="preserve">AAACGGTTGCCGGCTGCGTACATC</t>
  </si>
  <si>
    <t xml:space="preserve">PSPPH_1723</t>
  </si>
  <si>
    <t xml:space="preserve">TGCTTCTGTATCTGAGGTCG</t>
  </si>
  <si>
    <t xml:space="preserve">TAGTTGCTTCTGTATCTGAGGTCG</t>
  </si>
  <si>
    <t xml:space="preserve">AAACCGACCTCAGATACAGAAGCA</t>
  </si>
  <si>
    <t xml:space="preserve">TGCAGGTGGCGGCGCGCTGC</t>
  </si>
  <si>
    <t xml:space="preserve">TAGTTGCAGGTGGCGGCGCGCTGC</t>
  </si>
  <si>
    <t xml:space="preserve">AAACGCAGCGCGCCGCCACCTGCA</t>
  </si>
  <si>
    <t xml:space="preserve">CTGGTCACCGGCGACGTCAA</t>
  </si>
  <si>
    <t xml:space="preserve">TAGTCTGGTCACCGGCGACGTCAA</t>
  </si>
  <si>
    <t xml:space="preserve">AAACTTGACGTCGCCGGTGACCAG</t>
  </si>
  <si>
    <t xml:space="preserve">ACTCGCTTGCGGGTCGAGCG</t>
  </si>
  <si>
    <t xml:space="preserve">TAGTACTCGCTTGCGGGTCGAGCG</t>
  </si>
  <si>
    <t xml:space="preserve">AAACCGCTCGACCCGCAAGCGAGT</t>
  </si>
  <si>
    <t xml:space="preserve">PSPPH_1724</t>
  </si>
  <si>
    <t xml:space="preserve">CCCGCCCGGCCCGTCGCATC</t>
  </si>
  <si>
    <t xml:space="preserve">TAGTCCCGCCCGGCCCGTCGCATC</t>
  </si>
  <si>
    <t xml:space="preserve">AAACGATGCGACGGGCCGGGCGGG</t>
  </si>
  <si>
    <t xml:space="preserve">GCCCGAAGTGAGTTGCCGAC</t>
  </si>
  <si>
    <t xml:space="preserve">TAGTGCCCGAAGTGAGTTGCCGAC</t>
  </si>
  <si>
    <t xml:space="preserve">AAACGTCGGCAACTCACTTCGGGC</t>
  </si>
  <si>
    <t xml:space="preserve">ATGACCATGGTCAGTCGACC</t>
  </si>
  <si>
    <t xml:space="preserve">TAGTATGACCATGGTCAGTCGACC</t>
  </si>
  <si>
    <t xml:space="preserve">AAACGGTCGACTGACCATGGTCAT</t>
  </si>
  <si>
    <t xml:space="preserve">GTAGCCAGTAAATAGCAGGC</t>
  </si>
  <si>
    <t xml:space="preserve">TAGTGTAGCCAGTAAATAGCAGGC</t>
  </si>
  <si>
    <t xml:space="preserve">AAACGCCTGCTATTTACTGGCTAC</t>
  </si>
  <si>
    <t xml:space="preserve">PSPPH_1725</t>
  </si>
  <si>
    <t xml:space="preserve">ATTTGTGACAGCTTGTTGCC</t>
  </si>
  <si>
    <t xml:space="preserve">TAGTATTTGTGACAGCTTGTTGCC</t>
  </si>
  <si>
    <t xml:space="preserve">AAACGGCAACAAGCTGTCACAAAT</t>
  </si>
  <si>
    <t xml:space="preserve">GCGAAGGCCGCATGATGACA</t>
  </si>
  <si>
    <t xml:space="preserve">TAGTGCGAAGGCCGCATGATGACA</t>
  </si>
  <si>
    <t xml:space="preserve">AAACTGTCATCATGCGGCCTTCGC</t>
  </si>
  <si>
    <t xml:space="preserve">GCGGCCTGGCCCGGGCAGGG</t>
  </si>
  <si>
    <t xml:space="preserve">TAGTGCGGCCTGGCCCGGGCAGGG</t>
  </si>
  <si>
    <t xml:space="preserve">AAACCCCTGCCCGGGCCAGGCCGC</t>
  </si>
  <si>
    <t xml:space="preserve">GTGAGCAATACTGTGGTTCA</t>
  </si>
  <si>
    <t xml:space="preserve">TAGTGTGAGCAATACTGTGGTTCA</t>
  </si>
  <si>
    <t xml:space="preserve">AAACTGAACCACAGTATTGCTCAC</t>
  </si>
  <si>
    <t xml:space="preserve">PSPPH_1726</t>
  </si>
  <si>
    <t xml:space="preserve">CAGGTGCCCTGACCCAGCAC</t>
  </si>
  <si>
    <t xml:space="preserve">TAGTCAGGTGCCCTGACCCAGCAC</t>
  </si>
  <si>
    <t xml:space="preserve">AAACGTGCTGGGTCAGGGCACCTG</t>
  </si>
  <si>
    <t xml:space="preserve">CAGCAATTTCTGCCGAGCGC</t>
  </si>
  <si>
    <t xml:space="preserve">TAGTCAGCAATTTCTGCCGAGCGC</t>
  </si>
  <si>
    <t xml:space="preserve">AAACGCGCTCGGCAGAAATTGCTG</t>
  </si>
  <si>
    <t xml:space="preserve">CCTGTTCGATACCTAGGCAA</t>
  </si>
  <si>
    <t xml:space="preserve">TAGTCCTGTTCGATACCTAGGCAA</t>
  </si>
  <si>
    <t xml:space="preserve">AAACTTGCCTAGGTATCGAACAGG</t>
  </si>
  <si>
    <t xml:space="preserve">CATCTCGGCGGTGTCGATCA</t>
  </si>
  <si>
    <t xml:space="preserve">TAGTCATCTCGGCGGTGTCGATCA</t>
  </si>
  <si>
    <t xml:space="preserve">AAACTGATCGACACCGCCGAGATG</t>
  </si>
  <si>
    <t xml:space="preserve">PSPPH_1727</t>
  </si>
  <si>
    <t xml:space="preserve">CAGCCACAGACGGCGACTGA</t>
  </si>
  <si>
    <t xml:space="preserve">TAGTCAGCCACAGACGGCGACTGA</t>
  </si>
  <si>
    <t xml:space="preserve">AAACTCAGTCGCCGTCTGTGGCTG</t>
  </si>
  <si>
    <t xml:space="preserve">GCCTGAGCAGCGTCGCCGAC</t>
  </si>
  <si>
    <t xml:space="preserve">TAGTGCCTGAGCAGCGTCGCCGAC</t>
  </si>
  <si>
    <t xml:space="preserve">AAACGTCGGCGACGCTGCTCAGGC</t>
  </si>
  <si>
    <t xml:space="preserve">TCTCGGCCTTGGCCTGATAC</t>
  </si>
  <si>
    <t xml:space="preserve">TAGTTCTCGGCCTTGGCCTGATAC</t>
  </si>
  <si>
    <t xml:space="preserve">AAACGTATCAGGCCAAGGCCGAGA</t>
  </si>
  <si>
    <t xml:space="preserve">GGCAGTCTGCACCACATGCA</t>
  </si>
  <si>
    <t xml:space="preserve">TAGTGGCAGTCTGCACCACATGCA</t>
  </si>
  <si>
    <t xml:space="preserve">AAACTGCATGTGGTGCAGACTGCC</t>
  </si>
  <si>
    <t xml:space="preserve">PSPPH_1728</t>
  </si>
  <si>
    <t xml:space="preserve">TGAGTTCTTTGTTGCGCTCG</t>
  </si>
  <si>
    <t xml:space="preserve">TAGTTGAGTTCTTTGTTGCGCTCG</t>
  </si>
  <si>
    <t xml:space="preserve">AAACCGAGCGCAACAAAGAACTCA</t>
  </si>
  <si>
    <t xml:space="preserve">ATTCTTCGCTGGCAGCGCGC</t>
  </si>
  <si>
    <t xml:space="preserve">TAGTATTCTTCGCTGGCAGCGCGC</t>
  </si>
  <si>
    <t xml:space="preserve">AAACGCGCGCTGCCAGCGAAGAAT</t>
  </si>
  <si>
    <t xml:space="preserve">GCTGGCGGCGAAGCCCTTGT</t>
  </si>
  <si>
    <t xml:space="preserve">TAGTGCTGGCGGCGAAGCCCTTGT</t>
  </si>
  <si>
    <t xml:space="preserve">AAACACAAGGGCTTCGCCGCCAGC</t>
  </si>
  <si>
    <t xml:space="preserve">GGCCTTGGCCGCGATATCGC</t>
  </si>
  <si>
    <t xml:space="preserve">TAGTGGCCTTGGCCGCGATATCGC</t>
  </si>
  <si>
    <t xml:space="preserve">AAACGCGATATCGCGGCCAAGGCC</t>
  </si>
  <si>
    <t xml:space="preserve">PSPPH_1729</t>
  </si>
  <si>
    <t xml:space="preserve">CTTCTTCAAGTGCTGCGCGC</t>
  </si>
  <si>
    <t xml:space="preserve">TAGTCTTCTTCAAGTGCTGCGCGC</t>
  </si>
  <si>
    <t xml:space="preserve">AAACGCGCGCAGCACTTGAAGAAG</t>
  </si>
  <si>
    <t xml:space="preserve">TTCCGGCCCGGCGTCGATAC</t>
  </si>
  <si>
    <t xml:space="preserve">TAGTTTCCGGCCCGGCGTCGATAC</t>
  </si>
  <si>
    <t xml:space="preserve">AAACGTATCGACGCCGGGCCGGAA</t>
  </si>
  <si>
    <t xml:space="preserve">CGCTTGCGCGCCTCCCGGCT</t>
  </si>
  <si>
    <t xml:space="preserve">TAGTCGCTTGCGCGCCTCCCGGCT</t>
  </si>
  <si>
    <t xml:space="preserve">AAACAGCCGGGAGGCGCGCAAGCG</t>
  </si>
  <si>
    <t xml:space="preserve">GTCTGGATCCGTGAGGATCA</t>
  </si>
  <si>
    <t xml:space="preserve">TAGTGTCTGGATCCGTGAGGATCA</t>
  </si>
  <si>
    <t xml:space="preserve">AAACTGATCCTCACGGATCCAGAC</t>
  </si>
  <si>
    <t xml:space="preserve">PSPPH_1730</t>
  </si>
  <si>
    <t xml:space="preserve">GCAGTGCGAAAAGCAGCCAC</t>
  </si>
  <si>
    <t xml:space="preserve">TAGTGCAGTGCGAAAAGCAGCCAC</t>
  </si>
  <si>
    <t xml:space="preserve">AAACGTGGCTGCTTTTCGCACTGC</t>
  </si>
  <si>
    <t xml:space="preserve">CACTCGGACGCTAGGGGCAC</t>
  </si>
  <si>
    <t xml:space="preserve">TAGTCACTCGGACGCTAGGGGCAC</t>
  </si>
  <si>
    <t xml:space="preserve">AAACGTGCCCCTAGCGTCCGAGTG</t>
  </si>
  <si>
    <t xml:space="preserve">AGAGAGACATACCCAAAGTA</t>
  </si>
  <si>
    <t xml:space="preserve">TAGTAGAGAGACATACCCAAAGTA</t>
  </si>
  <si>
    <t xml:space="preserve">AAACTACTTTGGGTATGTCTCTCT</t>
  </si>
  <si>
    <t xml:space="preserve">CCGGAAGAAACCCGGAAAAA</t>
  </si>
  <si>
    <t xml:space="preserve">TAGTCCGGAAGAAACCCGGAAAAA</t>
  </si>
  <si>
    <t xml:space="preserve">AAACTTTTTCCGGGTTTCTTCCGG</t>
  </si>
  <si>
    <t xml:space="preserve">PSPPH_1732</t>
  </si>
  <si>
    <t xml:space="preserve">ACAAGCAGAAAATTGCTGAA</t>
  </si>
  <si>
    <t xml:space="preserve">TAGTACAAGCAGAAAATTGCTGAA</t>
  </si>
  <si>
    <t xml:space="preserve">AAACTTCAGCAATTTTCTGCTTGT</t>
  </si>
  <si>
    <t xml:space="preserve">GGCAGCTCGGGGCGGCCGAC</t>
  </si>
  <si>
    <t xml:space="preserve">TAGTGGCAGCTCGGGGCGGCCGAC</t>
  </si>
  <si>
    <t xml:space="preserve">AAACGTCGGCCGCCCCGAGCTGCC</t>
  </si>
  <si>
    <t xml:space="preserve">AAACAGGCAGACAGGCAAGT</t>
  </si>
  <si>
    <t xml:space="preserve">TAGTAAACAGGCAGACAGGCAAGT</t>
  </si>
  <si>
    <t xml:space="preserve">AAACACTTGCCTGTCTGCCTGTTT</t>
  </si>
  <si>
    <t xml:space="preserve">GCAGCAGGGGGCTGGCCATC</t>
  </si>
  <si>
    <t xml:space="preserve">TAGTGCAGCAGGGGGCTGGCCATC</t>
  </si>
  <si>
    <t xml:space="preserve">AAACGATGGCCAGCCCCCTGCTGC</t>
  </si>
  <si>
    <t xml:space="preserve">PSPPH_1734</t>
  </si>
  <si>
    <t xml:space="preserve">TGCCGCCAGCGAGAGGTCTG</t>
  </si>
  <si>
    <t xml:space="preserve">TAGTTGCCGCCAGCGAGAGGTCTG</t>
  </si>
  <si>
    <t xml:space="preserve">AAACCAGACCTCTCGCTGGCGGCA</t>
  </si>
  <si>
    <t xml:space="preserve">GGATCGTGCTGGGTCAGCAA</t>
  </si>
  <si>
    <t xml:space="preserve">TAGTGGATCGTGCTGGGTCAGCAA</t>
  </si>
  <si>
    <t xml:space="preserve">AAACTTGCTGACCCAGCACGATCC</t>
  </si>
  <si>
    <t xml:space="preserve">CAGTAGCGCGCAAAGCATTC</t>
  </si>
  <si>
    <t xml:space="preserve">TAGTCAGTAGCGCGCAAAGCATTC</t>
  </si>
  <si>
    <t xml:space="preserve">AAACGAATGCTTTGCGCGCTACTG</t>
  </si>
  <si>
    <t xml:space="preserve">CAGCGCCGCCAGCTCGGTCG</t>
  </si>
  <si>
    <t xml:space="preserve">TAGTCAGCGCCGCCAGCTCGGTCG</t>
  </si>
  <si>
    <t xml:space="preserve">AAACCGACCGAGCTGGCGGCGCTG</t>
  </si>
  <si>
    <t xml:space="preserve">PSPPH_1736</t>
  </si>
  <si>
    <t xml:space="preserve">CGGCTTTGCGATTGCTGGCC</t>
  </si>
  <si>
    <t xml:space="preserve">TAGTCGGCTTTGCGATTGCTGGCC</t>
  </si>
  <si>
    <t xml:space="preserve">AAACGGCCAGCAATCGCAAAGCCG</t>
  </si>
  <si>
    <t xml:space="preserve">GGGCAGGGGTAAAAAGAAAA</t>
  </si>
  <si>
    <t xml:space="preserve">TAGTGGGCAGGGGTAAAAAGAAAA</t>
  </si>
  <si>
    <t xml:space="preserve">AAACTTTTCTTTTTACCCCTGCCC</t>
  </si>
  <si>
    <t xml:space="preserve">CCAGATGCCCATTGTCAGCA</t>
  </si>
  <si>
    <t xml:space="preserve">TAGTCCAGATGCCCATTGTCAGCA</t>
  </si>
  <si>
    <t xml:space="preserve">AAACTGCTGACAATGGGCATCTGG</t>
  </si>
  <si>
    <t xml:space="preserve">GGCTTGCGTTTCAGCGCCGT</t>
  </si>
  <si>
    <t xml:space="preserve">TAGTGGCTTGCGTTTCAGCGCCGT</t>
  </si>
  <si>
    <t xml:space="preserve">AAACACGGCGCTGAAACGCAAGCC</t>
  </si>
  <si>
    <t xml:space="preserve">PSPPH_1737</t>
  </si>
  <si>
    <t xml:space="preserve">GTCGACGATCCGCGCGAAAT</t>
  </si>
  <si>
    <t xml:space="preserve">TAGTGTCGACGATCCGCGCGAAAT</t>
  </si>
  <si>
    <t xml:space="preserve">AAACATTTCGCGCGGATCGTCGAC</t>
  </si>
  <si>
    <t xml:space="preserve">CAGCGACGCAACCGATTGCC</t>
  </si>
  <si>
    <t xml:space="preserve">TAGTCAGCGACGCAACCGATTGCC</t>
  </si>
  <si>
    <t xml:space="preserve">AAACGGCAATCGGTTGCGTCGCTG</t>
  </si>
  <si>
    <t xml:space="preserve">TTTCCAGAGCGGCCAGGGAG</t>
  </si>
  <si>
    <t xml:space="preserve">TAGTTTTCCAGAGCGGCCAGGGAG</t>
  </si>
  <si>
    <t xml:space="preserve">AAACCTCCCTGGCCGCTCTGGAAA</t>
  </si>
  <si>
    <t xml:space="preserve">GCCGCGTGCTGCGGTTCAAC</t>
  </si>
  <si>
    <t xml:space="preserve">TAGTGCCGCGTGCTGCGGTTCAAC</t>
  </si>
  <si>
    <t xml:space="preserve">AAACGTTGAACCGCAGCACGCGGC</t>
  </si>
  <si>
    <t xml:space="preserve">PSPPH_1738</t>
  </si>
  <si>
    <t xml:space="preserve">AGTTTCGCAAGTGTCGGCCA</t>
  </si>
  <si>
    <t xml:space="preserve">TAGTAGTTTCGCAAGTGTCGGCCA</t>
  </si>
  <si>
    <t xml:space="preserve">AAACTGGCCGACACTTGCGAAACT</t>
  </si>
  <si>
    <t xml:space="preserve">CATGAGGTTGAAACTCCGGT</t>
  </si>
  <si>
    <t xml:space="preserve">TAGTCATGAGGTTGAAACTCCGGT</t>
  </si>
  <si>
    <t xml:space="preserve">AAACACCGGAGTTTCAACCTCATG</t>
  </si>
  <si>
    <t xml:space="preserve">GCGAGAATCCGGGCGGGGTT</t>
  </si>
  <si>
    <t xml:space="preserve">TAGTGCGAGAATCCGGGCGGGGTT</t>
  </si>
  <si>
    <t xml:space="preserve">AAACAACCCCGCCCGGATTCTCGC</t>
  </si>
  <si>
    <t xml:space="preserve">CGCTGACGCGAATACCGATG</t>
  </si>
  <si>
    <t xml:space="preserve">TAGTCGCTGACGCGAATACCGATG</t>
  </si>
  <si>
    <t xml:space="preserve">AAACCATCGGTATTCGCGTCAGCG</t>
  </si>
  <si>
    <t xml:space="preserve">PSPPH_1739</t>
  </si>
  <si>
    <t xml:space="preserve">GACTTTGTAGCAGTTGCCGG</t>
  </si>
  <si>
    <t xml:space="preserve">TAGTGACTTTGTAGCAGTTGCCGG</t>
  </si>
  <si>
    <t xml:space="preserve">AAACCCGGCAACTGCTACAAAGTC</t>
  </si>
  <si>
    <t xml:space="preserve">GGGCCAGGGCAGCGAACAGG</t>
  </si>
  <si>
    <t xml:space="preserve">TAGTGGGCCAGGGCAGCGAACAGG</t>
  </si>
  <si>
    <t xml:space="preserve">AAACCCTGTTCGCTGCCCTGGCCC</t>
  </si>
  <si>
    <t xml:space="preserve">GACCACTTCAAGCTCGATAT</t>
  </si>
  <si>
    <t xml:space="preserve">TAGTGACCACTTCAAGCTCGATAT</t>
  </si>
  <si>
    <t xml:space="preserve">AAACATATCGAGCTTGAAGTGGTC</t>
  </si>
  <si>
    <t xml:space="preserve">GGATTGAGGTCAGACAGTGG</t>
  </si>
  <si>
    <t xml:space="preserve">TAGTGGATTGAGGTCAGACAGTGG</t>
  </si>
  <si>
    <t xml:space="preserve">AAACCCACTGTCTGACCTCAATCC</t>
  </si>
  <si>
    <t xml:space="preserve">PSPPH_1740</t>
  </si>
  <si>
    <t xml:space="preserve">AGACGAGGGGCTTGGGTCAA</t>
  </si>
  <si>
    <t xml:space="preserve">TAGTAGACGAGGGGCTTGGGTCAA</t>
  </si>
  <si>
    <t xml:space="preserve">AAACTTGACCCAAGCCCCTCGTCT</t>
  </si>
  <si>
    <t xml:space="preserve">GCTGATCGCCGAGGACAAGG</t>
  </si>
  <si>
    <t xml:space="preserve">TAGTGCTGATCGCCGAGGACAAGG</t>
  </si>
  <si>
    <t xml:space="preserve">AAACCCTTGTCCTCGGCGATCAGC</t>
  </si>
  <si>
    <t xml:space="preserve">TTTCAGGGACGCGAGTTCGA</t>
  </si>
  <si>
    <t xml:space="preserve">TAGTTTTCAGGGACGCGAGTTCGA</t>
  </si>
  <si>
    <t xml:space="preserve">AAACTCGAACTCGCGTCCCTGAAA</t>
  </si>
  <si>
    <t xml:space="preserve">CCGTATCGCGCTCTGGGTTC</t>
  </si>
  <si>
    <t xml:space="preserve">TAGTCCGTATCGCGCTCTGGGTTC</t>
  </si>
  <si>
    <t xml:space="preserve">AAACGAACCCAGAGCGCGATACGG</t>
  </si>
  <si>
    <t xml:space="preserve">PSPPH_1741</t>
  </si>
  <si>
    <t xml:space="preserve">CAGACCACACAGGTTTTGAC</t>
  </si>
  <si>
    <t xml:space="preserve">TAGTCAGACCACACAGGTTTTGAC</t>
  </si>
  <si>
    <t xml:space="preserve">AAACGTCAAAACCTGTGTGGTCTG</t>
  </si>
  <si>
    <t xml:space="preserve">CACTTCTTGCGCCAGGTAAA</t>
  </si>
  <si>
    <t xml:space="preserve">TAGTCACTTCTTGCGCCAGGTAAA</t>
  </si>
  <si>
    <t xml:space="preserve">AAACTTTACCTGGCGCAAGAAGTG</t>
  </si>
  <si>
    <t xml:space="preserve">TTGCAGTGCGCTTGTTTCGC</t>
  </si>
  <si>
    <t xml:space="preserve">TAGTTTGCAGTGCGCTTGTTTCGC</t>
  </si>
  <si>
    <t xml:space="preserve">AAACGCGAAACAAGCGCACTGCAA</t>
  </si>
  <si>
    <t xml:space="preserve">PSPPH_1742</t>
  </si>
  <si>
    <t xml:space="preserve">GTAGACGGGATGGGTGGTTA</t>
  </si>
  <si>
    <t xml:space="preserve">TAGTGTAGACGGGATGGGTGGTTA</t>
  </si>
  <si>
    <t xml:space="preserve">AAACTAACCACCCATCCCGTCTAC</t>
  </si>
  <si>
    <t xml:space="preserve">GTAGCGGGCCTGGCGTATAT</t>
  </si>
  <si>
    <t xml:space="preserve">TAGTGTAGCGGGCCTGGCGTATAT</t>
  </si>
  <si>
    <t xml:space="preserve">AAACATATACGCCAGGCCCGCTAC</t>
  </si>
  <si>
    <t xml:space="preserve">AGGAACGGTTCCTGCAAGCA</t>
  </si>
  <si>
    <t xml:space="preserve">TAGTAGGAACGGTTCCTGCAAGCA</t>
  </si>
  <si>
    <t xml:space="preserve">AAACTGCTTGCAGGAACCGTTCCT</t>
  </si>
  <si>
    <t xml:space="preserve">AGCAATCCGCCAAGAAACAG</t>
  </si>
  <si>
    <t xml:space="preserve">TAGTAGCAATCCGCCAAGAAACAG</t>
  </si>
  <si>
    <t xml:space="preserve">AAACCTGTTTCTTGGCGGATTGCT</t>
  </si>
  <si>
    <t xml:space="preserve">PSPPH_1743</t>
  </si>
  <si>
    <t xml:space="preserve">ACTGTCCGCTTCGCCACCAC</t>
  </si>
  <si>
    <t xml:space="preserve">TAGTACTGTCCGCTTCGCCACCAC</t>
  </si>
  <si>
    <t xml:space="preserve">AAACGTGGTGGCGAAGCGGACAGT</t>
  </si>
  <si>
    <t xml:space="preserve">CGGGTCCGGCCCGCGTGCCT</t>
  </si>
  <si>
    <t xml:space="preserve">TAGTCGGGTCCGGCCCGCGTGCCT</t>
  </si>
  <si>
    <t xml:space="preserve">AAACAGGCACGCGGGCCGGACCCG</t>
  </si>
  <si>
    <t xml:space="preserve">CGTTGCGGTTCCGGTAGTTT</t>
  </si>
  <si>
    <t xml:space="preserve">TAGTCGTTGCGGTTCCGGTAGTTT</t>
  </si>
  <si>
    <t xml:space="preserve">AAACAAACTACCGGAACCGCAACG</t>
  </si>
  <si>
    <t xml:space="preserve">CAATCTTCATGCTCGGCAAC</t>
  </si>
  <si>
    <t xml:space="preserve">TAGTCAATCTTCATGCTCGGCAAC</t>
  </si>
  <si>
    <t xml:space="preserve">AAACGTTGCCGAGCATGAAGATTG</t>
  </si>
  <si>
    <t xml:space="preserve">PSPPH_1744</t>
  </si>
  <si>
    <t xml:space="preserve">ATGAAGCGGGTTTTATTACG</t>
  </si>
  <si>
    <t xml:space="preserve">TAGTATGAAGCGGGTTTTATTACG</t>
  </si>
  <si>
    <t xml:space="preserve">AAACCGTAATAAAACCCGCTTCAT</t>
  </si>
  <si>
    <t xml:space="preserve">GACGGTAGCGAATGATCCAA</t>
  </si>
  <si>
    <t xml:space="preserve">TAGTGACGGTAGCGAATGATCCAA</t>
  </si>
  <si>
    <t xml:space="preserve">AAACTTGGATCATTCGCTACCGTC</t>
  </si>
  <si>
    <t xml:space="preserve">TATCGGGCAGCAGCCCGACA</t>
  </si>
  <si>
    <t xml:space="preserve">TAGTTATCGGGCAGCAGCCCGACA</t>
  </si>
  <si>
    <t xml:space="preserve">AAACTGTCGGGCTGCTGCCCGATA</t>
  </si>
  <si>
    <t xml:space="preserve">CTTGGCTGATGCTGGTTCCC</t>
  </si>
  <si>
    <t xml:space="preserve">TAGTCTTGGCTGATGCTGGTTCCC</t>
  </si>
  <si>
    <t xml:space="preserve">AAACGGGAACCAGCATCAGCCAAG</t>
  </si>
  <si>
    <t xml:space="preserve">PSPPH_1745</t>
  </si>
  <si>
    <t xml:space="preserve">CAGAGAAACCGGATTTTTCA</t>
  </si>
  <si>
    <t xml:space="preserve">TAGTCAGAGAAACCGGATTTTTCA</t>
  </si>
  <si>
    <t xml:space="preserve">AAACTGAAAAATCCGGTTTCTCTG</t>
  </si>
  <si>
    <t xml:space="preserve">GGCAAACCCCAAGCCGATGC</t>
  </si>
  <si>
    <t xml:space="preserve">TAGTGGCAAACCCCAAGCCGATGC</t>
  </si>
  <si>
    <t xml:space="preserve">AAACGCATCGGCTTGGGGTTTGCC</t>
  </si>
  <si>
    <t xml:space="preserve">TATGAGCAGTGAAACGACCG</t>
  </si>
  <si>
    <t xml:space="preserve">TAGTTATGAGCAGTGAAACGACCG</t>
  </si>
  <si>
    <t xml:space="preserve">AAACCGGTCGTTTCACTGCTCATA</t>
  </si>
  <si>
    <t xml:space="preserve">AACCCGCTGAATGCCGACAG</t>
  </si>
  <si>
    <t xml:space="preserve">TAGTAACCCGCTGAATGCCGACAG</t>
  </si>
  <si>
    <t xml:space="preserve">AAACCTGTCGGCATTCAGCGGGTT</t>
  </si>
  <si>
    <t xml:space="preserve">PSPPH_1746</t>
  </si>
  <si>
    <t xml:space="preserve">CATGCACCCAAGGCACAGTC</t>
  </si>
  <si>
    <t xml:space="preserve">TAGTCATGCACCCAAGGCACAGTC</t>
  </si>
  <si>
    <t xml:space="preserve">AAACGACTGTGCCTTGGGTGCATG</t>
  </si>
  <si>
    <t xml:space="preserve">TCCGGCATCAGGTTCGCCGA</t>
  </si>
  <si>
    <t xml:space="preserve">TAGTTCCGGCATCAGGTTCGCCGA</t>
  </si>
  <si>
    <t xml:space="preserve">AAACTCGGCGAACCTGATGCCGGA</t>
  </si>
  <si>
    <t xml:space="preserve">GCTTCTTCGCCCAGTGTCCA</t>
  </si>
  <si>
    <t xml:space="preserve">TAGTGCTTCTTCGCCCAGTGTCCA</t>
  </si>
  <si>
    <t xml:space="preserve">AAACTGGACACTGGGCGAAGAAGC</t>
  </si>
  <si>
    <t xml:space="preserve">TCGACGGCGTGCTTGATGAT</t>
  </si>
  <si>
    <t xml:space="preserve">TAGTTCGACGGCGTGCTTGATGAT</t>
  </si>
  <si>
    <t xml:space="preserve">AAACATCATCAAGCACGCCGTCGA</t>
  </si>
  <si>
    <t xml:space="preserve">PSPPH_1747</t>
  </si>
  <si>
    <t xml:space="preserve">dehII1</t>
  </si>
  <si>
    <t xml:space="preserve">AAAGCCTACCTGTTCAAATC</t>
  </si>
  <si>
    <t xml:space="preserve">TAGTAAAGCCTACCTGTTCAAATC</t>
  </si>
  <si>
    <t xml:space="preserve">AAACGATTTGAACAGGTAGGCTTT</t>
  </si>
  <si>
    <t xml:space="preserve">ACGCAGCAGAAAGGGCGCGG</t>
  </si>
  <si>
    <t xml:space="preserve">TAGTACGCAGCAGAAAGGGCGCGG</t>
  </si>
  <si>
    <t xml:space="preserve">AAACCCGCGCCCTTTCTGCTGCGT</t>
  </si>
  <si>
    <t xml:space="preserve">ATTGATCGGCAAAATCGAGG</t>
  </si>
  <si>
    <t xml:space="preserve">TAGTATTGATCGGCAAAATCGAGG</t>
  </si>
  <si>
    <t xml:space="preserve">AAACCCTCGATTTTGCCGATCAAT</t>
  </si>
  <si>
    <t xml:space="preserve">GAACGCGCTGCATGAAAGGC</t>
  </si>
  <si>
    <t xml:space="preserve">TAGTGAACGCGCTGCATGAAAGGC</t>
  </si>
  <si>
    <t xml:space="preserve">AAACGCCTTTCATGCAGCGCGTTC</t>
  </si>
  <si>
    <t xml:space="preserve">PSPPH_1748</t>
  </si>
  <si>
    <t xml:space="preserve">GGTCAGTCGTCGGTAAGTAA</t>
  </si>
  <si>
    <t xml:space="preserve">TAGTGGTCAGTCGTCGGTAAGTAA</t>
  </si>
  <si>
    <t xml:space="preserve">AAACTTACTTACCGACGACTGACC</t>
  </si>
  <si>
    <t xml:space="preserve">ATAAGCCACTGCATCGGTCG</t>
  </si>
  <si>
    <t xml:space="preserve">TAGTATAAGCCACTGCATCGGTCG</t>
  </si>
  <si>
    <t xml:space="preserve">AAACCGACCGATGCAGTGGCTTAT</t>
  </si>
  <si>
    <t xml:space="preserve">CTGAGGTAAAGGCGTCCGGG</t>
  </si>
  <si>
    <t xml:space="preserve">TAGTCTGAGGTAAAGGCGTCCGGG</t>
  </si>
  <si>
    <t xml:space="preserve">AAACCCCGGACGCCTTTACCTCAG</t>
  </si>
  <si>
    <t xml:space="preserve">CTGTTTTCCCACCATTCGCC</t>
  </si>
  <si>
    <t xml:space="preserve">TAGTCTGTTTTCCCACCATTCGCC</t>
  </si>
  <si>
    <t xml:space="preserve">AAACGGCGAATGGTGGGAAAACAG</t>
  </si>
  <si>
    <t xml:space="preserve">PSPPH_1749</t>
  </si>
  <si>
    <t xml:space="preserve">AGCGAAGCCCGTCCCGCGCG</t>
  </si>
  <si>
    <t xml:space="preserve">TAGTAGCGAAGCCCGTCCCGCGCG</t>
  </si>
  <si>
    <t xml:space="preserve">AAACCGCGCGGGACGGGCTTCGCT</t>
  </si>
  <si>
    <t xml:space="preserve">GCAAAGGGTTGCTCTGTATC</t>
  </si>
  <si>
    <t xml:space="preserve">TAGTGCAAAGGGTTGCTCTGTATC</t>
  </si>
  <si>
    <t xml:space="preserve">AAACGATACAGAGCAACCCTTTGC</t>
  </si>
  <si>
    <t xml:space="preserve">GCTGTGTACACACCGGTTTT</t>
  </si>
  <si>
    <t xml:space="preserve">TAGTGCTGTGTACACACCGGTTTT</t>
  </si>
  <si>
    <t xml:space="preserve">AAACAAAACCGGTGTGTACACAGC</t>
  </si>
  <si>
    <t xml:space="preserve">GCCGCACCTGAGCCTCGAAC</t>
  </si>
  <si>
    <t xml:space="preserve">TAGTGCCGCACCTGAGCCTCGAAC</t>
  </si>
  <si>
    <t xml:space="preserve">AAACGTTCGAGGCTCAGGTGCGGC</t>
  </si>
  <si>
    <t xml:space="preserve">PSPPH_1750</t>
  </si>
  <si>
    <t xml:space="preserve">GAACAACTCCAGCAATTGAT</t>
  </si>
  <si>
    <t xml:space="preserve">TAGTGAACAACTCCAGCAATTGAT</t>
  </si>
  <si>
    <t xml:space="preserve">AAACATCAATTGCTGGAGTTGTTC</t>
  </si>
  <si>
    <t xml:space="preserve">GCCGTCCACTTCAAGCACCA</t>
  </si>
  <si>
    <t xml:space="preserve">TAGTGCCGTCCACTTCAAGCACCA</t>
  </si>
  <si>
    <t xml:space="preserve">AAACTGGTGCTTGAAGTGGACGGC</t>
  </si>
  <si>
    <t xml:space="preserve">TCGTCATTGAGAAACCCGCG</t>
  </si>
  <si>
    <t xml:space="preserve">TAGTTCGTCATTGAGAAACCCGCG</t>
  </si>
  <si>
    <t xml:space="preserve">AAACCGCGGGTTTCTCAATGACGA</t>
  </si>
  <si>
    <t xml:space="preserve">ACGGGGGATCGCCGCCGGGT</t>
  </si>
  <si>
    <t xml:space="preserve">TAGTACGGGGGATCGCCGCCGGGT</t>
  </si>
  <si>
    <t xml:space="preserve">AAACACCCGGCGGCGATCCCCCGT</t>
  </si>
  <si>
    <t xml:space="preserve">PSPPH_1751</t>
  </si>
  <si>
    <t xml:space="preserve">GCCGGACCATACCCTCCTTG</t>
  </si>
  <si>
    <t xml:space="preserve">TAGTGCCGGACCATACCCTCCTTG</t>
  </si>
  <si>
    <t xml:space="preserve">AAACCAAGGAGGGTATGGTCCGGC</t>
  </si>
  <si>
    <t xml:space="preserve">AGCGCAACAGCAGAGTCGCG</t>
  </si>
  <si>
    <t xml:space="preserve">TAGTAGCGCAACAGCAGAGTCGCG</t>
  </si>
  <si>
    <t xml:space="preserve">AAACCGCGACTCTGCTGTTGCGCT</t>
  </si>
  <si>
    <t xml:space="preserve">GGGATTGCGTCGCACCTGCT</t>
  </si>
  <si>
    <t xml:space="preserve">TAGTGGGATTGCGTCGCACCTGCT</t>
  </si>
  <si>
    <t xml:space="preserve">AAACAGCAGGTGCGACGCAATCCC</t>
  </si>
  <si>
    <t xml:space="preserve">TCGATCACCGCCAGTGCCTC</t>
  </si>
  <si>
    <t xml:space="preserve">TAGTTCGATCACCGCCAGTGCCTC</t>
  </si>
  <si>
    <t xml:space="preserve">AAACGAGGCACTGGCGGTGATCGA</t>
  </si>
  <si>
    <t xml:space="preserve">PSPPH_1752</t>
  </si>
  <si>
    <t xml:space="preserve">CGCCCCCGCGGTGCCTTCGA</t>
  </si>
  <si>
    <t xml:space="preserve">TAGTCGCCCCCGCGGTGCCTTCGA</t>
  </si>
  <si>
    <t xml:space="preserve">AAACTCGAAGGCACCGCGGGGGCG</t>
  </si>
  <si>
    <t xml:space="preserve">ATGCTGTGATACGGCGCGCG</t>
  </si>
  <si>
    <t xml:space="preserve">TAGTATGCTGTGATACGGCGCGCG</t>
  </si>
  <si>
    <t xml:space="preserve">AAACCGCGCGCCGTATCACAGCAT</t>
  </si>
  <si>
    <t xml:space="preserve">CACCGATGATCGGTGTCAGG</t>
  </si>
  <si>
    <t xml:space="preserve">TAGTCACCGATGATCGGTGTCAGG</t>
  </si>
  <si>
    <t xml:space="preserve">AAACCCTGACACCGATCATCGGTG</t>
  </si>
  <si>
    <t xml:space="preserve">CAGGTCGACACCGCCGACTT</t>
  </si>
  <si>
    <t xml:space="preserve">TAGTCAGGTCGACACCGCCGACTT</t>
  </si>
  <si>
    <t xml:space="preserve">AAACAAGTCGGCGGTGTCGACCTG</t>
  </si>
  <si>
    <t xml:space="preserve">PSPPH_1753</t>
  </si>
  <si>
    <t xml:space="preserve">GGTCCGCAGATAAAGTCGTT</t>
  </si>
  <si>
    <t xml:space="preserve">TAGTGGTCCGCAGATAAAGTCGTT</t>
  </si>
  <si>
    <t xml:space="preserve">AAACAACGACTTTATCTGCGGACC</t>
  </si>
  <si>
    <t xml:space="preserve">GCGGCCAGTCGCTGGCGAGC</t>
  </si>
  <si>
    <t xml:space="preserve">TAGTGCGGCCAGTCGCTGGCGAGC</t>
  </si>
  <si>
    <t xml:space="preserve">AAACGCTCGCCAGCGACTGGCCGC</t>
  </si>
  <si>
    <t xml:space="preserve">GTAGCGCATGGTCTCGGGCT</t>
  </si>
  <si>
    <t xml:space="preserve">TAGTGTAGCGCATGGTCTCGGGCT</t>
  </si>
  <si>
    <t xml:space="preserve">AAACAGCCCGAGACCATGCGCTAC</t>
  </si>
  <si>
    <t xml:space="preserve">GGCGATGATCGAAGCCTTTG</t>
  </si>
  <si>
    <t xml:space="preserve">TAGTGGCGATGATCGAAGCCTTTG</t>
  </si>
  <si>
    <t xml:space="preserve">AAACCAAAGGCTTCGATCATCGCC</t>
  </si>
  <si>
    <t xml:space="preserve">PSPPH_1754</t>
  </si>
  <si>
    <t xml:space="preserve">TCGCCAGATGATTGCAGATA</t>
  </si>
  <si>
    <t xml:space="preserve">TAGTTCGCCAGATGATTGCAGATA</t>
  </si>
  <si>
    <t xml:space="preserve">AAACTATCTGCAATCATCTGGCGA</t>
  </si>
  <si>
    <t xml:space="preserve">GAGATGACCAGTTCGATGTC</t>
  </si>
  <si>
    <t xml:space="preserve">TAGTGAGATGACCAGTTCGATGTC</t>
  </si>
  <si>
    <t xml:space="preserve">AAACGACATCGAACTGGTCATCTC</t>
  </si>
  <si>
    <t xml:space="preserve">ACCTTTTCCGCCAGCTTGCG</t>
  </si>
  <si>
    <t xml:space="preserve">TAGTACCTTTTCCGCCAGCTTGCG</t>
  </si>
  <si>
    <t xml:space="preserve">AAACCGCAAGCTGGCGGAAAAGGT</t>
  </si>
  <si>
    <t xml:space="preserve">GCCAGCCAGCGTTTGCAGTG</t>
  </si>
  <si>
    <t xml:space="preserve">TAGTGCCAGCCAGCGTTTGCAGTG</t>
  </si>
  <si>
    <t xml:space="preserve">AAACCACTGCAAACGCTGGCTGGC</t>
  </si>
  <si>
    <t xml:space="preserve">PSPPH_1755</t>
  </si>
  <si>
    <t xml:space="preserve">TGTACGGAGCCATCGGAGAT</t>
  </si>
  <si>
    <t xml:space="preserve">TAGTTGTACGGAGCCATCGGAGAT</t>
  </si>
  <si>
    <t xml:space="preserve">AAACATCTCCGATGGCTCCGTACA</t>
  </si>
  <si>
    <t xml:space="preserve">TGATTGGCACCGCGCGAAAC</t>
  </si>
  <si>
    <t xml:space="preserve">TAGTTGATTGGCACCGCGCGAAAC</t>
  </si>
  <si>
    <t xml:space="preserve">AAACGTTTCGCGCGGTGCCAATCA</t>
  </si>
  <si>
    <t xml:space="preserve">PSPPH_1756</t>
  </si>
  <si>
    <t xml:space="preserve">CAGCACGCCCAGCAAAATAG</t>
  </si>
  <si>
    <t xml:space="preserve">TAGTCAGCACGCCCAGCAAAATAG</t>
  </si>
  <si>
    <t xml:space="preserve">AAACCTATTTTGCTGGGCGTGCTG</t>
  </si>
  <si>
    <t xml:space="preserve">GGAGTAACCGATGGCGGTAA</t>
  </si>
  <si>
    <t xml:space="preserve">TAGTGGAGTAACCGATGGCGGTAA</t>
  </si>
  <si>
    <t xml:space="preserve">AAACTTACCGCCATCGGTTACTCC</t>
  </si>
  <si>
    <t xml:space="preserve">CTCGATCAGCAGGTTGGTGC</t>
  </si>
  <si>
    <t xml:space="preserve">TAGTCTCGATCAGCAGGTTGGTGC</t>
  </si>
  <si>
    <t xml:space="preserve">AAACGCACCAACCTGCTGATCGAG</t>
  </si>
  <si>
    <t xml:space="preserve">CAGAACGTCAGCCTTGATCT</t>
  </si>
  <si>
    <t xml:space="preserve">TAGTCAGAACGTCAGCCTTGATCT</t>
  </si>
  <si>
    <t xml:space="preserve">AAACAGATCAAGGCTGACGTTCTG</t>
  </si>
  <si>
    <t xml:space="preserve">PSPPH_1757</t>
  </si>
  <si>
    <t xml:space="preserve">AGGTGCTGATTCATGGACAC</t>
  </si>
  <si>
    <t xml:space="preserve">TAGTAGGTGCTGATTCATGGACAC</t>
  </si>
  <si>
    <t xml:space="preserve">AAACGTGTCCATGAATCAGCACCT</t>
  </si>
  <si>
    <t xml:space="preserve">TTACGCTCGGAGAAATCGAT</t>
  </si>
  <si>
    <t xml:space="preserve">TAGTTTACGCTCGGAGAAATCGAT</t>
  </si>
  <si>
    <t xml:space="preserve">AAACATCGATTTCTCCGAGCGTAA</t>
  </si>
  <si>
    <t xml:space="preserve">GGAATGGCCTGATGCCAGGC</t>
  </si>
  <si>
    <t xml:space="preserve">TAGTGGAATGGCCTGATGCCAGGC</t>
  </si>
  <si>
    <t xml:space="preserve">AAACGCCTGGCATCAGGCCATTCC</t>
  </si>
  <si>
    <t xml:space="preserve">GCTGCTTCCAGCAAGATAAG</t>
  </si>
  <si>
    <t xml:space="preserve">TAGTGCTGCTTCCAGCAAGATAAG</t>
  </si>
  <si>
    <t xml:space="preserve">AAACCTTATCTTGCTGGAAGCAGC</t>
  </si>
  <si>
    <t xml:space="preserve">PSPPH_1758</t>
  </si>
  <si>
    <t xml:space="preserve">AAACTTCCCTATTCGCGCCA</t>
  </si>
  <si>
    <t xml:space="preserve">TAGTAAACTTCCCTATTCGCGCCA</t>
  </si>
  <si>
    <t xml:space="preserve">AAACTGGCGCGAATAGGGAAGTTT</t>
  </si>
  <si>
    <t xml:space="preserve">GGGGCTTTTGTGAAGTTGCT</t>
  </si>
  <si>
    <t xml:space="preserve">TAGTGGGGCTTTTGTGAAGTTGCT</t>
  </si>
  <si>
    <t xml:space="preserve">AAACAGCAACTTCACAAAAGCCCC</t>
  </si>
  <si>
    <t xml:space="preserve">ATATGCACACTGACTGCCGC</t>
  </si>
  <si>
    <t xml:space="preserve">TAGTATATGCACACTGACTGCCGC</t>
  </si>
  <si>
    <t xml:space="preserve">AAACGCGGCAGTCAGTGTGCATAT</t>
  </si>
  <si>
    <t xml:space="preserve">CCGCTACCGCCTCAAGCCGC</t>
  </si>
  <si>
    <t xml:space="preserve">TAGTCCGCTACCGCCTCAAGCCGC</t>
  </si>
  <si>
    <t xml:space="preserve">AAACGCGGCTTGAGGCGGTAGCGG</t>
  </si>
  <si>
    <t xml:space="preserve">PSPPH_1759</t>
  </si>
  <si>
    <t xml:space="preserve">ACGAAAGCTGCGGCAGCAGC</t>
  </si>
  <si>
    <t xml:space="preserve">TAGTACGAAAGCTGCGGCAGCAGC</t>
  </si>
  <si>
    <t xml:space="preserve">AAACGCTGCTGCCGCAGCTTTCGT</t>
  </si>
  <si>
    <t xml:space="preserve">CGTCCTTCCCGGCCCATGGC</t>
  </si>
  <si>
    <t xml:space="preserve">TAGTCGTCCTTCCCGGCCCATGGC</t>
  </si>
  <si>
    <t xml:space="preserve">AAACGCCATGGGCCGGGAAGGACG</t>
  </si>
  <si>
    <t xml:space="preserve">CAGAGGCCATTCTCTGGTTC</t>
  </si>
  <si>
    <t xml:space="preserve">TAGTCAGAGGCCATTCTCTGGTTC</t>
  </si>
  <si>
    <t xml:space="preserve">AAACGAACCAGAGAATGGCCTCTG</t>
  </si>
  <si>
    <t xml:space="preserve">GGAATCAGGTAAGGCAGGTC</t>
  </si>
  <si>
    <t xml:space="preserve">TAGTGGAATCAGGTAAGGCAGGTC</t>
  </si>
  <si>
    <t xml:space="preserve">AAACGACCTGCCTTACCTGATTCC</t>
  </si>
  <si>
    <t xml:space="preserve">PSPPH_1760</t>
  </si>
  <si>
    <t xml:space="preserve">CGGCAGACGTAGAGACATTG</t>
  </si>
  <si>
    <t xml:space="preserve">TAGTCGGCAGACGTAGAGACATTG</t>
  </si>
  <si>
    <t xml:space="preserve">AAACCAATGTCTCTACGTCTGCCG</t>
  </si>
  <si>
    <t xml:space="preserve">CGCCTTTGCAAGGTGTGCAA</t>
  </si>
  <si>
    <t xml:space="preserve">TAGTCGCCTTTGCAAGGTGTGCAA</t>
  </si>
  <si>
    <t xml:space="preserve">AAACTTGCACACCTTGCAAAGGCG</t>
  </si>
  <si>
    <t xml:space="preserve">CAAAAATGACTTGCTGCGCC</t>
  </si>
  <si>
    <t xml:space="preserve">TAGTCAAAAATGACTTGCTGCGCC</t>
  </si>
  <si>
    <t xml:space="preserve">AAACGGCGCAGCAAGTCATTTTTG</t>
  </si>
  <si>
    <t xml:space="preserve">GTATTCGCGGAGCGCGTCGA</t>
  </si>
  <si>
    <t xml:space="preserve">TAGTGTATTCGCGGAGCGCGTCGA</t>
  </si>
  <si>
    <t xml:space="preserve">AAACTCGACGCGCTCCGCGAATAC</t>
  </si>
  <si>
    <t xml:space="preserve">PSPPH_1761</t>
  </si>
  <si>
    <t xml:space="preserve">GGTAGCGCTTGAACTTGCTC</t>
  </si>
  <si>
    <t xml:space="preserve">TAGTGGTAGCGCTTGAACTTGCTC</t>
  </si>
  <si>
    <t xml:space="preserve">AAACGAGCAAGTTCAAGCGCTACC</t>
  </si>
  <si>
    <t xml:space="preserve">GCGAGGGGCCGAAGGTCAGA</t>
  </si>
  <si>
    <t xml:space="preserve">TAGTGCGAGGGGCCGAAGGTCAGA</t>
  </si>
  <si>
    <t xml:space="preserve">AAACTCTGACCTTCGGCCCCTCGC</t>
  </si>
  <si>
    <t xml:space="preserve">AAGCGTTTCAGAGGGGTGAT</t>
  </si>
  <si>
    <t xml:space="preserve">TAGTAAGCGTTTCAGAGGGGTGAT</t>
  </si>
  <si>
    <t xml:space="preserve">AAACATCACCCCTCTGAAACGCTT</t>
  </si>
  <si>
    <t xml:space="preserve">GCTGTTGCAATCCTCGCGCT</t>
  </si>
  <si>
    <t xml:space="preserve">TAGTGCTGTTGCAATCCTCGCGCT</t>
  </si>
  <si>
    <t xml:space="preserve">AAACAGCGCGAGGATTGCAACAGC</t>
  </si>
  <si>
    <t xml:space="preserve">PSPPH_1762</t>
  </si>
  <si>
    <t xml:space="preserve">CAGCGGTGCTACATCGCCAG</t>
  </si>
  <si>
    <t xml:space="preserve">TAGTCAGCGGTGCTACATCGCCAG</t>
  </si>
  <si>
    <t xml:space="preserve">AAACCTGGCGATGTAGCACCGCTG</t>
  </si>
  <si>
    <t xml:space="preserve">GCAGGGTCTTGAGAATGGCG</t>
  </si>
  <si>
    <t xml:space="preserve">TAGTGCAGGGTCTTGAGAATGGCG</t>
  </si>
  <si>
    <t xml:space="preserve">AAACCGCCATTCTCAAGACCCTGC</t>
  </si>
  <si>
    <t xml:space="preserve">GAGTGCCACGTTGGAAATCG</t>
  </si>
  <si>
    <t xml:space="preserve">TAGTGAGTGCCACGTTGGAAATCG</t>
  </si>
  <si>
    <t xml:space="preserve">AAACCGATTTCCAACGTGGCACTC</t>
  </si>
  <si>
    <t xml:space="preserve">CGGACTCAGCTTGACCTTCT</t>
  </si>
  <si>
    <t xml:space="preserve">TAGTCGGACTCAGCTTGACCTTCT</t>
  </si>
  <si>
    <t xml:space="preserve">AAACAGAAGGTCAAGCTGAGTCCG</t>
  </si>
  <si>
    <t xml:space="preserve">PSPPH_1763</t>
  </si>
  <si>
    <t xml:space="preserve">GGTCGCAATATCGTCGAGCA</t>
  </si>
  <si>
    <t xml:space="preserve">TAGTGGTCGCAATATCGTCGAGCA</t>
  </si>
  <si>
    <t xml:space="preserve">AAACTGCTCGACGATATTGCGACC</t>
  </si>
  <si>
    <t xml:space="preserve">CAGTGCCACATCATCCAGCA</t>
  </si>
  <si>
    <t xml:space="preserve">TAGTCAGTGCCACATCATCCAGCA</t>
  </si>
  <si>
    <t xml:space="preserve">AAACTGCTGGATGATGTGGCACTG</t>
  </si>
  <si>
    <t xml:space="preserve">CACACCCGCGGTTTTCTTGG</t>
  </si>
  <si>
    <t xml:space="preserve">TAGTCACACCCGCGGTTTTCTTGG</t>
  </si>
  <si>
    <t xml:space="preserve">AAACCCAAGAAAACCGCGGGTGTG</t>
  </si>
  <si>
    <t xml:space="preserve">TGAAACTCCGGTGACCTGCT</t>
  </si>
  <si>
    <t xml:space="preserve">TAGTTGAAACTCCGGTGACCTGCT</t>
  </si>
  <si>
    <t xml:space="preserve">AAACAGCAGGTCACCGGAGTTTCA</t>
  </si>
  <si>
    <t xml:space="preserve">PSPPH_1765</t>
  </si>
  <si>
    <t xml:space="preserve">TTCCATCATATGTGCCAGCA</t>
  </si>
  <si>
    <t xml:space="preserve">TAGTTTCCATCATATGTGCCAGCA</t>
  </si>
  <si>
    <t xml:space="preserve">AAACTGCTGGCACATATGATGGAA</t>
  </si>
  <si>
    <t xml:space="preserve">GTAGAACGATGCGCCGATCC</t>
  </si>
  <si>
    <t xml:space="preserve">TAGTGTAGAACGATGCGCCGATCC</t>
  </si>
  <si>
    <t xml:space="preserve">AAACGGATCGGCGCATCGTTCTAC</t>
  </si>
  <si>
    <t xml:space="preserve">CACGCGGGTTGCTGCGGTTG</t>
  </si>
  <si>
    <t xml:space="preserve">TAGTCACGCGGGTTGCTGCGGTTG</t>
  </si>
  <si>
    <t xml:space="preserve">AAACCAACCGCAGCAACCCGCGTG</t>
  </si>
  <si>
    <t xml:space="preserve">GTGGATCGCCCATAAATCAC</t>
  </si>
  <si>
    <t xml:space="preserve">TAGTGTGGATCGCCCATAAATCAC</t>
  </si>
  <si>
    <t xml:space="preserve">AAACGTGATTTATGGGCGATCCAC</t>
  </si>
  <si>
    <t xml:space="preserve">PSPPH_1766</t>
  </si>
  <si>
    <t xml:space="preserve">allA</t>
  </si>
  <si>
    <t xml:space="preserve">GCAAAAGCTTCCTTGGTCAG</t>
  </si>
  <si>
    <t xml:space="preserve">TAGTGCAAAAGCTTCCTTGGTCAG</t>
  </si>
  <si>
    <t xml:space="preserve">AAACCTGACCAAGGAAGCTTTTGC</t>
  </si>
  <si>
    <t xml:space="preserve">GTTTCGATCACATCACCGAA</t>
  </si>
  <si>
    <t xml:space="preserve">TAGTGTTTCGATCACATCACCGAA</t>
  </si>
  <si>
    <t xml:space="preserve">AAACTTCGGTGATGTGATCGAAAC</t>
  </si>
  <si>
    <t xml:space="preserve">CATGAAATGATCGCTGCCAT</t>
  </si>
  <si>
    <t xml:space="preserve">TAGTCATGAAATGATCGCTGCCAT</t>
  </si>
  <si>
    <t xml:space="preserve">AAACATGGCAGCGATCATTTCATG</t>
  </si>
  <si>
    <t xml:space="preserve">AGCCAGACGATGAAAGCGCA</t>
  </si>
  <si>
    <t xml:space="preserve">TAGTAGCCAGACGATGAAAGCGCA</t>
  </si>
  <si>
    <t xml:space="preserve">AAACTGCGCTTTCATCGTCTGGCT</t>
  </si>
  <si>
    <t xml:space="preserve">PSPPH_1767</t>
  </si>
  <si>
    <t xml:space="preserve">CACGAACTTCTCGAACGGTG</t>
  </si>
  <si>
    <t xml:space="preserve">TAGTCACGAACTTCTCGAACGGTG</t>
  </si>
  <si>
    <t xml:space="preserve">AAACCACCGTTCGAGAAGTTCGTG</t>
  </si>
  <si>
    <t xml:space="preserve">TGCCCAGACGCGCGTCGGCC</t>
  </si>
  <si>
    <t xml:space="preserve">TAGTTGCCCAGACGCGCGTCGGCC</t>
  </si>
  <si>
    <t xml:space="preserve">AAACGGCCGACGCGCGTCTGGGCA</t>
  </si>
  <si>
    <t xml:space="preserve">ATCGGTGACCGAAAGGATTT</t>
  </si>
  <si>
    <t xml:space="preserve">TAGTATCGGTGACCGAAAGGATTT</t>
  </si>
  <si>
    <t xml:space="preserve">AAACAAATCCTTTCGGTCACCGAT</t>
  </si>
  <si>
    <t xml:space="preserve">CTGGAACAGCCGGTTGGCGT</t>
  </si>
  <si>
    <t xml:space="preserve">TAGTCTGGAACAGCCGGTTGGCGT</t>
  </si>
  <si>
    <t xml:space="preserve">AAACACGCCAACCGGCTGTTCCAG</t>
  </si>
  <si>
    <t xml:space="preserve">PSPPH_1768</t>
  </si>
  <si>
    <t xml:space="preserve">GCATCCCGGCCCAGGCTTGA</t>
  </si>
  <si>
    <t xml:space="preserve">TAGTGCATCCCGGCCCAGGCTTGA</t>
  </si>
  <si>
    <t xml:space="preserve">AAACTCAAGCCTGGGCCGGGATGC</t>
  </si>
  <si>
    <t xml:space="preserve">GTGTTCGTAGATGTCGGCAA</t>
  </si>
  <si>
    <t xml:space="preserve">TAGTGTGTTCGTAGATGTCGGCAA</t>
  </si>
  <si>
    <t xml:space="preserve">AAACTTGCCGACATCTACGAACAC</t>
  </si>
  <si>
    <t xml:space="preserve">AAGGCCTGCTGCGCGACCCA</t>
  </si>
  <si>
    <t xml:space="preserve">TAGTAAGGCCTGCTGCGCGACCCA</t>
  </si>
  <si>
    <t xml:space="preserve">AAACTGGGTCGCGCAGCAGGCCTT</t>
  </si>
  <si>
    <t xml:space="preserve">TCTCGACCTGATCCAGTTCG</t>
  </si>
  <si>
    <t xml:space="preserve">TAGTTCTCGACCTGATCCAGTTCG</t>
  </si>
  <si>
    <t xml:space="preserve">AAACCGAACTGGATCAGGTCGAGA</t>
  </si>
  <si>
    <t xml:space="preserve">PSPPH_1769</t>
  </si>
  <si>
    <t xml:space="preserve">CGTAACCGATCAGGTCGCGT</t>
  </si>
  <si>
    <t xml:space="preserve">TAGTCGTAACCGATCAGGTCGCGT</t>
  </si>
  <si>
    <t xml:space="preserve">AAACACGCGACCTGATCGGTTACG</t>
  </si>
  <si>
    <t xml:space="preserve">CCGGCCAGCGTGGATGAGGC</t>
  </si>
  <si>
    <t xml:space="preserve">TAGTCCGGCCAGCGTGGATGAGGC</t>
  </si>
  <si>
    <t xml:space="preserve">AAACGCCTCATCCACGCTGGCCGG</t>
  </si>
  <si>
    <t xml:space="preserve">GTAATTCAGCACGAATGACA</t>
  </si>
  <si>
    <t xml:space="preserve">TAGTGTAATTCAGCACGAATGACA</t>
  </si>
  <si>
    <t xml:space="preserve">AAACTGTCATTCGTGCTGAATTAC</t>
  </si>
  <si>
    <t xml:space="preserve">GGCAACCATCTCGGACAGAA</t>
  </si>
  <si>
    <t xml:space="preserve">TAGTGGCAACCATCTCGGACAGAA</t>
  </si>
  <si>
    <t xml:space="preserve">AAACTTCTGTCCGAGATGGTTGCC</t>
  </si>
  <si>
    <t xml:space="preserve">PSPPH_1770</t>
  </si>
  <si>
    <t xml:space="preserve">GGCAGCGTCCAGCACGTGTG</t>
  </si>
  <si>
    <t xml:space="preserve">TAGTGGCAGCGTCCAGCACGTGTG</t>
  </si>
  <si>
    <t xml:space="preserve">AAACCACACGTGCTGGACGCTGCC</t>
  </si>
  <si>
    <t xml:space="preserve">TGGCATTGCCTGGGCAACCG</t>
  </si>
  <si>
    <t xml:space="preserve">TAGTTGGCATTGCCTGGGCAACCG</t>
  </si>
  <si>
    <t xml:space="preserve">AAACCGGTTGCCCAGGCAATGCCA</t>
  </si>
  <si>
    <t xml:space="preserve">CCGATACAATTCAATGCGGA</t>
  </si>
  <si>
    <t xml:space="preserve">TAGTCCGATACAATTCAATGCGGA</t>
  </si>
  <si>
    <t xml:space="preserve">AAACTCCGCATTGAATTGTATCGG</t>
  </si>
  <si>
    <t xml:space="preserve">TGACAACGTGCAGAAGCTGC</t>
  </si>
  <si>
    <t xml:space="preserve">TAGTTGACAACGTGCAGAAGCTGC</t>
  </si>
  <si>
    <t xml:space="preserve">AAACGCAGCTTCTGCACGTTGTCA</t>
  </si>
  <si>
    <t xml:space="preserve">PSPPH_1771</t>
  </si>
  <si>
    <t xml:space="preserve">GGCAGGGACTGGTCGTTCAT</t>
  </si>
  <si>
    <t xml:space="preserve">TAGTGGCAGGGACTGGTCGTTCAT</t>
  </si>
  <si>
    <t xml:space="preserve">AAACATGAACGACCAGTCCCTGCC</t>
  </si>
  <si>
    <t xml:space="preserve">CCGCGCGGCTTTTTCTTGAG</t>
  </si>
  <si>
    <t xml:space="preserve">TAGTCCGCGCGGCTTTTTCTTGAG</t>
  </si>
  <si>
    <t xml:space="preserve">AAACCTCAAGAAAAAGCCGCGCGG</t>
  </si>
  <si>
    <t xml:space="preserve">AGTAACGCTGCGGCTGGCGC</t>
  </si>
  <si>
    <t xml:space="preserve">TAGTAGTAACGCTGCGGCTGGCGC</t>
  </si>
  <si>
    <t xml:space="preserve">AAACGCGCCAGCCGCAGCGTTACT</t>
  </si>
  <si>
    <t xml:space="preserve">CGCCAGCCGCTGCTCCAGAA</t>
  </si>
  <si>
    <t xml:space="preserve">TAGTCGCCAGCCGCTGCTCCAGAA</t>
  </si>
  <si>
    <t xml:space="preserve">AAACTTCTGGAGCAGCGGCTGGCG</t>
  </si>
  <si>
    <t xml:space="preserve">PSPPH_1772</t>
  </si>
  <si>
    <t xml:space="preserve">guaD</t>
  </si>
  <si>
    <t xml:space="preserve">ACGGCGGGAAACTGAACTCA</t>
  </si>
  <si>
    <t xml:space="preserve">TAGTACGGCGGGAAACTGAACTCA</t>
  </si>
  <si>
    <t xml:space="preserve">AAACTGAGTTCAGTTTCCCGCCGT</t>
  </si>
  <si>
    <t xml:space="preserve">GTGAAGGATGGCGGCGCGGT</t>
  </si>
  <si>
    <t xml:space="preserve">TAGTGTGAAGGATGGCGGCGCGGT</t>
  </si>
  <si>
    <t xml:space="preserve">AAACACCGCGCCGCCATCCTTCAC</t>
  </si>
  <si>
    <t xml:space="preserve">TACTGCCACCTCTGCGGGGT</t>
  </si>
  <si>
    <t xml:space="preserve">TAGTTACTGCCACCTCTGCGGGGT</t>
  </si>
  <si>
    <t xml:space="preserve">AAACACCCCGCAGAGGTGGCAGTA</t>
  </si>
  <si>
    <t xml:space="preserve">TTCGACCAGCAACAGGCCAT</t>
  </si>
  <si>
    <t xml:space="preserve">TAGTTTCGACCAGCAACAGGCCAT</t>
  </si>
  <si>
    <t xml:space="preserve">AAACATGGCCTGTTGCTGGTCGAA</t>
  </si>
  <si>
    <t xml:space="preserve">PSPPH_1773</t>
  </si>
  <si>
    <t xml:space="preserve">CACGGGCCTGTAGCTCGGCC</t>
  </si>
  <si>
    <t xml:space="preserve">TAGTCACGGGCCTGTAGCTCGGCC</t>
  </si>
  <si>
    <t xml:space="preserve">AAACGGCCGAGCTACAGGCCCGTG</t>
  </si>
  <si>
    <t xml:space="preserve">ATGATGGTCACCAGAATGCC</t>
  </si>
  <si>
    <t xml:space="preserve">TAGTATGATGGTCACCAGAATGCC</t>
  </si>
  <si>
    <t xml:space="preserve">AAACGGCATTCTGGTGACCATCAT</t>
  </si>
  <si>
    <t xml:space="preserve">ATCTTGGAGCCGGCGTTGCG</t>
  </si>
  <si>
    <t xml:space="preserve">TAGTATCTTGGAGCCGGCGTTGCG</t>
  </si>
  <si>
    <t xml:space="preserve">AAACCGCAACGCCGGCTCCAAGAT</t>
  </si>
  <si>
    <t xml:space="preserve">GATGGTGTCGTGGATATGCT</t>
  </si>
  <si>
    <t xml:space="preserve">TAGTGATGGTGTCGTGGATATGCT</t>
  </si>
  <si>
    <t xml:space="preserve">AAACAGCATATCCACGACACCATC</t>
  </si>
  <si>
    <t xml:space="preserve">PSPPH_1774</t>
  </si>
  <si>
    <t xml:space="preserve">ATTTCGGCCTGGGTAATGGA</t>
  </si>
  <si>
    <t xml:space="preserve">TAGTATTTCGGCCTGGGTAATGGA</t>
  </si>
  <si>
    <t xml:space="preserve">AAACTCCATTACCCAGGCCGAAAT</t>
  </si>
  <si>
    <t xml:space="preserve">GCTCAAGCCCTGCTGAAACA</t>
  </si>
  <si>
    <t xml:space="preserve">TAGTGCTCAAGCCCTGCTGAAACA</t>
  </si>
  <si>
    <t xml:space="preserve">AAACTGTTTCAGCAGGGCTTGAGC</t>
  </si>
  <si>
    <t xml:space="preserve">TTCGCCGGACACATGTTTGT</t>
  </si>
  <si>
    <t xml:space="preserve">TAGTTTCGCCGGACACATGTTTGT</t>
  </si>
  <si>
    <t xml:space="preserve">AAACACAAACATGTGTCCGGCGAA</t>
  </si>
  <si>
    <t xml:space="preserve">GCAACTGATTGGGAAACTCC</t>
  </si>
  <si>
    <t xml:space="preserve">TAGTGCAACTGATTGGGAAACTCC</t>
  </si>
  <si>
    <t xml:space="preserve">AAACGGAGTTTCCCAATCAGTTGC</t>
  </si>
  <si>
    <t xml:space="preserve">PSPPH_1775</t>
  </si>
  <si>
    <t xml:space="preserve">xdhA</t>
  </si>
  <si>
    <t xml:space="preserve">GTTCAAAAGGAACTGAATCA</t>
  </si>
  <si>
    <t xml:space="preserve">TAGTGTTCAAAAGGAACTGAATCA</t>
  </si>
  <si>
    <t xml:space="preserve">AAACTGATTCAGTTCCTTTTGAAC</t>
  </si>
  <si>
    <t xml:space="preserve">TGCGCTCGGTTTTTAGCTCT</t>
  </si>
  <si>
    <t xml:space="preserve">TAGTTGCGCTCGGTTTTTAGCTCT</t>
  </si>
  <si>
    <t xml:space="preserve">AAACAGAGCTAAAAACCGAGCGCA</t>
  </si>
  <si>
    <t xml:space="preserve">GCACGGTCATGTTCGGATTC</t>
  </si>
  <si>
    <t xml:space="preserve">TAGTGCACGGTCATGTTCGGATTC</t>
  </si>
  <si>
    <t xml:space="preserve">AAACGAATCCGAACATGACCGTGC</t>
  </si>
  <si>
    <t xml:space="preserve">GTGTGCCTGCTCACGCAGGT</t>
  </si>
  <si>
    <t xml:space="preserve">TAGTGTGTGCCTGCTCACGCAGGT</t>
  </si>
  <si>
    <t xml:space="preserve">AAACACCTGCGTGAGCAGGCACAC</t>
  </si>
  <si>
    <t xml:space="preserve">PSPPH_1776</t>
  </si>
  <si>
    <t xml:space="preserve">TTGCTCAGCGAGGCTGTCCG</t>
  </si>
  <si>
    <t xml:space="preserve">TAGTTTGCTCAGCGAGGCTGTCCG</t>
  </si>
  <si>
    <t xml:space="preserve">AAACCGGACAGCCTCGCTGAGCAA</t>
  </si>
  <si>
    <t xml:space="preserve">CTCACCGCGAATGATCCGCT</t>
  </si>
  <si>
    <t xml:space="preserve">TAGTCTCACCGCGAATGATCCGCT</t>
  </si>
  <si>
    <t xml:space="preserve">AAACAGCGGATCATTCGCGGTGAG</t>
  </si>
  <si>
    <t xml:space="preserve">TGTTCCTGAATACGCTCTCC</t>
  </si>
  <si>
    <t xml:space="preserve">TAGTTGTTCCTGAATACGCTCTCC</t>
  </si>
  <si>
    <t xml:space="preserve">AAACGGAGAGCGTATTCAGGAACA</t>
  </si>
  <si>
    <t xml:space="preserve">ATGCTTCGCGCACAGAACCA</t>
  </si>
  <si>
    <t xml:space="preserve">TAGTATGCTTCGCGCACAGAACCA</t>
  </si>
  <si>
    <t xml:space="preserve">AAACTGGTTCTGTGCGCGAAGCAT</t>
  </si>
  <si>
    <t xml:space="preserve">PSPPH_1777</t>
  </si>
  <si>
    <t xml:space="preserve">smc</t>
  </si>
  <si>
    <t xml:space="preserve">CTTGATGCACTTCAGGCGCA</t>
  </si>
  <si>
    <t xml:space="preserve">TAGTCTTGATGCACTTCAGGCGCA</t>
  </si>
  <si>
    <t xml:space="preserve">AAACTGCGCCTGAAGTGCATCAAG</t>
  </si>
  <si>
    <t xml:space="preserve">CTGGGGAAGTTCACCGTGGT</t>
  </si>
  <si>
    <t xml:space="preserve">TAGTCTGGGGAAGTTCACCGTGGT</t>
  </si>
  <si>
    <t xml:space="preserve">AAACACCACGGTGAACTTCCCCAG</t>
  </si>
  <si>
    <t xml:space="preserve">ACAGCCATTGGGGCCGACAA</t>
  </si>
  <si>
    <t xml:space="preserve">TAGTACAGCCATTGGGGCCGACAA</t>
  </si>
  <si>
    <t xml:space="preserve">AAACTTGTCGGCCCCAATGGCTGT</t>
  </si>
  <si>
    <t xml:space="preserve">GCGCACGGCGTCGATGATGT</t>
  </si>
  <si>
    <t xml:space="preserve">TAGTGCGCACGGCGTCGATGATGT</t>
  </si>
  <si>
    <t xml:space="preserve">AAACACATCATCGACGCCGTGCGC</t>
  </si>
  <si>
    <t xml:space="preserve">PSPPH_1778</t>
  </si>
  <si>
    <t xml:space="preserve">zipA</t>
  </si>
  <si>
    <t xml:space="preserve">CCAGCCATCAAAAAGAATAC</t>
  </si>
  <si>
    <t xml:space="preserve">TAGTCCAGCCATCAAAAAGAATAC</t>
  </si>
  <si>
    <t xml:space="preserve">AAACGTATTCTTTTTGATGGCTGG</t>
  </si>
  <si>
    <t xml:space="preserve">TACCTTTGCTGCCGCGCATA</t>
  </si>
  <si>
    <t xml:space="preserve">TAGTTACCTTTGCTGCCGCGCATA</t>
  </si>
  <si>
    <t xml:space="preserve">AAACTATGCGCGGCAGCAAAGGTA</t>
  </si>
  <si>
    <t xml:space="preserve">TTCCTCCTCATCCGGAAGAT</t>
  </si>
  <si>
    <t xml:space="preserve">TAGTTTCCTCCTCATCCGGAAGAT</t>
  </si>
  <si>
    <t xml:space="preserve">AAACATCTTCCGGATGAGGAGGAA</t>
  </si>
  <si>
    <t xml:space="preserve">CCCGAGCACTTCGGCCGACG</t>
  </si>
  <si>
    <t xml:space="preserve">TAGTCCCGAGCACTTCGGCCGACG</t>
  </si>
  <si>
    <t xml:space="preserve">AAACCGTCGGCCGAAGTGCTCGGG</t>
  </si>
  <si>
    <t xml:space="preserve">PSPPH_1779</t>
  </si>
  <si>
    <t xml:space="preserve">ligA</t>
  </si>
  <si>
    <t xml:space="preserve">TTCCAGGATTCGGGTTTCGA</t>
  </si>
  <si>
    <t xml:space="preserve">TAGTTTCCAGGATTCGGGTTTCGA</t>
  </si>
  <si>
    <t xml:space="preserve">AAACTCGAAACCCGAATCCTGGAA</t>
  </si>
  <si>
    <t xml:space="preserve">GCTCATCCAGCACGTGATAG</t>
  </si>
  <si>
    <t xml:space="preserve">TAGTGCTCATCCAGCACGTGATAG</t>
  </si>
  <si>
    <t xml:space="preserve">AAACCTATCACGTGCTGGATGAGC</t>
  </si>
  <si>
    <t xml:space="preserve">TACTCGACATCCGGGATGCT</t>
  </si>
  <si>
    <t xml:space="preserve">TAGTTACTCGACATCCGGGATGCT</t>
  </si>
  <si>
    <t xml:space="preserve">AAACAGCATCCCGGATGTCGAGTA</t>
  </si>
  <si>
    <t xml:space="preserve">CCTTGAGTTCGTGAAACAGG</t>
  </si>
  <si>
    <t xml:space="preserve">TAGTCCTTGAGTTCGTGAAACAGG</t>
  </si>
  <si>
    <t xml:space="preserve">AAACCCTGTTTCACGAACTCAAGG</t>
  </si>
  <si>
    <t xml:space="preserve">PSPPH_1780</t>
  </si>
  <si>
    <t xml:space="preserve">TTGCTCGAAAAAGCGATACA</t>
  </si>
  <si>
    <t xml:space="preserve">TAGTTTGCTCGAAAAAGCGATACA</t>
  </si>
  <si>
    <t xml:space="preserve">AAACTGTATCGCTTTTTCGAGCAA</t>
  </si>
  <si>
    <t xml:space="preserve">GGACTCGCCGACAAATGGGG</t>
  </si>
  <si>
    <t xml:space="preserve">TAGTGGACTCGCCGACAAATGGGG</t>
  </si>
  <si>
    <t xml:space="preserve">AAACCCCCATTTGTCGGCGAGTCC</t>
  </si>
  <si>
    <t xml:space="preserve">CCAGACCTTGCTGTTACGTT</t>
  </si>
  <si>
    <t xml:space="preserve">TAGTCCAGACCTTGCTGTTACGTT</t>
  </si>
  <si>
    <t xml:space="preserve">AAACAACGTAACAGCAAGGTCTGG</t>
  </si>
  <si>
    <t xml:space="preserve">AATTGGGGAAAAACACCGAC</t>
  </si>
  <si>
    <t xml:space="preserve">TAGTAATTGGGGAAAAACACCGAC</t>
  </si>
  <si>
    <t xml:space="preserve">AAACGTCGGTGTTTTTCCCCAATT</t>
  </si>
  <si>
    <t xml:space="preserve">PSPPH_1781</t>
  </si>
  <si>
    <t xml:space="preserve">GTTGAGAGGCGTTAAGGTCG</t>
  </si>
  <si>
    <t xml:space="preserve">TAGTGTTGAGAGGCGTTAAGGTCG</t>
  </si>
  <si>
    <t xml:space="preserve">AAACCGACCTTAACGCCTCTCAAC</t>
  </si>
  <si>
    <t xml:space="preserve">CCTCAAGGTATCCGAGCTGT</t>
  </si>
  <si>
    <t xml:space="preserve">TAGTCCTCAAGGTATCCGAGCTGT</t>
  </si>
  <si>
    <t xml:space="preserve">AAACACAGCTCGGATACCTTGAGG</t>
  </si>
  <si>
    <t xml:space="preserve">GAGCGCGGTGTAAATATCAC</t>
  </si>
  <si>
    <t xml:space="preserve">TAGTGAGCGCGGTGTAAATATCAC</t>
  </si>
  <si>
    <t xml:space="preserve">AAACGTGATATTTACACCGCGCTC</t>
  </si>
  <si>
    <t xml:space="preserve">AGCCGCAAACATTCGGGCTG</t>
  </si>
  <si>
    <t xml:space="preserve">TAGTAGCCGCAAACATTCGGGCTG</t>
  </si>
  <si>
    <t xml:space="preserve">AAACCAGCCCGAATGTTTGCGGCT</t>
  </si>
  <si>
    <t xml:space="preserve">PSPPH_1782</t>
  </si>
  <si>
    <t xml:space="preserve">ATATGCGTGCTGGGCGAATC</t>
  </si>
  <si>
    <t xml:space="preserve">TAGTATATGCGTGCTGGGCGAATC</t>
  </si>
  <si>
    <t xml:space="preserve">AAACGATTCGCCCAGCACGCATAT</t>
  </si>
  <si>
    <t xml:space="preserve">CAGCAGTAACAGTGTATTGC</t>
  </si>
  <si>
    <t xml:space="preserve">TAGTCAGCAGTAACAGTGTATTGC</t>
  </si>
  <si>
    <t xml:space="preserve">AAACGCAATACACTGTTACTGCTG</t>
  </si>
  <si>
    <t xml:space="preserve">ACCCGCCCAAGCCAGCGCTC</t>
  </si>
  <si>
    <t xml:space="preserve">TAGTACCCGCCCAAGCCAGCGCTC</t>
  </si>
  <si>
    <t xml:space="preserve">AAACGAGCGCTGGCTTGGGCGGGT</t>
  </si>
  <si>
    <t xml:space="preserve">TGCCAGCGCACTGCCCTGAT</t>
  </si>
  <si>
    <t xml:space="preserve">TAGTTGCCAGCGCACTGCCCTGAT</t>
  </si>
  <si>
    <t xml:space="preserve">AAACATCAGGGCAGTGCGCTGGCA</t>
  </si>
  <si>
    <t xml:space="preserve">PSPPH_1783</t>
  </si>
  <si>
    <t xml:space="preserve">TTGTTGGTGTCTTCGTCGTA</t>
  </si>
  <si>
    <t xml:space="preserve">TAGTTTGTTGGTGTCTTCGTCGTA</t>
  </si>
  <si>
    <t xml:space="preserve">AAACTACGACGAAGACACCAACAA</t>
  </si>
  <si>
    <t xml:space="preserve">CCAGAAAACGACGGCGGCTG</t>
  </si>
  <si>
    <t xml:space="preserve">TAGTCCAGAAAACGACGGCGGCTG</t>
  </si>
  <si>
    <t xml:space="preserve">AAACCAGCCGCCGTCGTTTTCTGG</t>
  </si>
  <si>
    <t xml:space="preserve">CAGCGTGACACCTGCGCCCA</t>
  </si>
  <si>
    <t xml:space="preserve">TAGTCAGCGTGACACCTGCGCCCA</t>
  </si>
  <si>
    <t xml:space="preserve">AAACTGGGCGCAGGTGTCACGCTG</t>
  </si>
  <si>
    <t xml:space="preserve">GTCGGCGGGCGGTTTCTCGT</t>
  </si>
  <si>
    <t xml:space="preserve">TAGTGTCGGCGGGCGGTTTCTCGT</t>
  </si>
  <si>
    <t xml:space="preserve">AAACACGAGAAACCGCCCGCCGAC</t>
  </si>
  <si>
    <t xml:space="preserve">PSPPH_1784</t>
  </si>
  <si>
    <t xml:space="preserve">GTCCGTTTAAAGCGCGTCAT</t>
  </si>
  <si>
    <t xml:space="preserve">TAGTGTCCGTTTAAAGCGCGTCAT</t>
  </si>
  <si>
    <t xml:space="preserve">AAACATGACGCGCTTTAAACGGAC</t>
  </si>
  <si>
    <t xml:space="preserve">ACGGCTGCACGAGGCAGCCG</t>
  </si>
  <si>
    <t xml:space="preserve">TAGTACGGCTGCACGAGGCAGCCG</t>
  </si>
  <si>
    <t xml:space="preserve">AAACCGGCTGCCTCGTGCAGCCGT</t>
  </si>
  <si>
    <t xml:space="preserve">CGCGAAGTCCAGAGTGCCTT</t>
  </si>
  <si>
    <t xml:space="preserve">TAGTCGCGAAGTCCAGAGTGCCTT</t>
  </si>
  <si>
    <t xml:space="preserve">AAACAAGGCACTCTGGACTTCGCG</t>
  </si>
  <si>
    <t xml:space="preserve">GGTGATATGCATCATCGGCA</t>
  </si>
  <si>
    <t xml:space="preserve">TAGTGGTGATATGCATCATCGGCA</t>
  </si>
  <si>
    <t xml:space="preserve">AAACTGCCGATGATGCATATCACC</t>
  </si>
  <si>
    <t xml:space="preserve">PSPPH_1785</t>
  </si>
  <si>
    <t xml:space="preserve">dnaZX</t>
  </si>
  <si>
    <t xml:space="preserve">ACCATTTCGCGGAACGAGCG</t>
  </si>
  <si>
    <t xml:space="preserve">TAGTACCATTTCGCGGAACGAGCG</t>
  </si>
  <si>
    <t xml:space="preserve">AAACCGCTCGTTCCGCGAAATGGT</t>
  </si>
  <si>
    <t xml:space="preserve">GGGCCTTCAACACATGAGCC</t>
  </si>
  <si>
    <t xml:space="preserve">TAGTGGGCCTTCAACACATGAGCC</t>
  </si>
  <si>
    <t xml:space="preserve">AAACGGCTCATGTGTTGAAGGCCC</t>
  </si>
  <si>
    <t xml:space="preserve">GCTGTCCAGCGCGTTGATCA</t>
  </si>
  <si>
    <t xml:space="preserve">TAGTGCTGTCCAGCGCGTTGATCA</t>
  </si>
  <si>
    <t xml:space="preserve">AAACTGATCAACGCGCTGGACAGC</t>
  </si>
  <si>
    <t xml:space="preserve">AATAGGCATGGTGCAGGCGC</t>
  </si>
  <si>
    <t xml:space="preserve">TAGTAATAGGCATGGTGCAGGCGC</t>
  </si>
  <si>
    <t xml:space="preserve">AAACGCGCCTGCACCATGCCTATT</t>
  </si>
  <si>
    <t xml:space="preserve">PSPPH_1786</t>
  </si>
  <si>
    <t xml:space="preserve">GCCATGCCACCTTTCATCAT</t>
  </si>
  <si>
    <t xml:space="preserve">TAGTGCCATGCCACCTTTCATCAT</t>
  </si>
  <si>
    <t xml:space="preserve">AAACATGATGAAAGGTGGCATGGC</t>
  </si>
  <si>
    <t xml:space="preserve">TTTGCTGCGCCTGCTTCATC</t>
  </si>
  <si>
    <t xml:space="preserve">TAGTTTTGCTGCGCCTGCTTCATC</t>
  </si>
  <si>
    <t xml:space="preserve">AAACGATGAAGCAGGCGCAGCAAA</t>
  </si>
  <si>
    <t xml:space="preserve">GGCCAGTTCTTCCTGCATCT</t>
  </si>
  <si>
    <t xml:space="preserve">TAGTGGCCAGTTCTTCCTGCATCT</t>
  </si>
  <si>
    <t xml:space="preserve">AAACAGATGCAGGAAGAACTGGCC</t>
  </si>
  <si>
    <t xml:space="preserve">TTGACCGGTGACTTCCGCGT</t>
  </si>
  <si>
    <t xml:space="preserve">TAGTTTGACCGGTGACTTCCGCGT</t>
  </si>
  <si>
    <t xml:space="preserve">AAACACGCGGAAGTCACCGGTCAA</t>
  </si>
  <si>
    <t xml:space="preserve">PSPPH_1787</t>
  </si>
  <si>
    <t xml:space="preserve">TTTTCAATGGGCTCAGACAT</t>
  </si>
  <si>
    <t xml:space="preserve">TAGTTTTTCAATGGGCTCAGACAT</t>
  </si>
  <si>
    <t xml:space="preserve">AAACATGTCTGAGCCCATTGAAAA</t>
  </si>
  <si>
    <t xml:space="preserve">CCAGCACGGCGTCGACGGTG</t>
  </si>
  <si>
    <t xml:space="preserve">TAGTCCAGCACGGCGTCGACGGTG</t>
  </si>
  <si>
    <t xml:space="preserve">AAACCACCGTCGACGCCGTGCTGG</t>
  </si>
  <si>
    <t xml:space="preserve">TCACCGGTTCCGGACAAAAC</t>
  </si>
  <si>
    <t xml:space="preserve">TAGTTCACCGGTTCCGGACAAAAC</t>
  </si>
  <si>
    <t xml:space="preserve">AAACGTTTTGTCCGGAACCGGTGA</t>
  </si>
  <si>
    <t xml:space="preserve">ACCTTGAGCAGGCCGCCCGC</t>
  </si>
  <si>
    <t xml:space="preserve">TAGTACCTTGAGCAGGCCGCCCGC</t>
  </si>
  <si>
    <t xml:space="preserve">AAACGCGGGCGGCCTGCTCAAGGT</t>
  </si>
  <si>
    <t xml:space="preserve">PSPPH_1788</t>
  </si>
  <si>
    <t xml:space="preserve">GGTGCGTCGTGAACCGGCGC</t>
  </si>
  <si>
    <t xml:space="preserve">TAGTGGTGCGTCGTGAACCGGCGC</t>
  </si>
  <si>
    <t xml:space="preserve">AAACGCGCCGGTTCACGACGCACC</t>
  </si>
  <si>
    <t xml:space="preserve">GACCGGTCCCCAGCGGGAAC</t>
  </si>
  <si>
    <t xml:space="preserve">TAGTGACCGGTCCCCAGCGGGAAC</t>
  </si>
  <si>
    <t xml:space="preserve">AAACGTTCCCGCTGGGGACCGGTC</t>
  </si>
  <si>
    <t xml:space="preserve">CTCTCTGGGTCTGGCGAACA</t>
  </si>
  <si>
    <t xml:space="preserve">TAGTCTCTCTGGGTCTGGCGAACA</t>
  </si>
  <si>
    <t xml:space="preserve">AAACTGTTCGCCAGACCCAGAGAG</t>
  </si>
  <si>
    <t xml:space="preserve">TTCGTCAGCAACAATGCGCA</t>
  </si>
  <si>
    <t xml:space="preserve">TAGTTTCGTCAGCAACAATGCGCA</t>
  </si>
  <si>
    <t xml:space="preserve">AAACTGCGCATTGTTGCTGACGAA</t>
  </si>
  <si>
    <t xml:space="preserve">PSPPH_1789</t>
  </si>
  <si>
    <t xml:space="preserve">CTTGATGACCGGTCCGTGAC</t>
  </si>
  <si>
    <t xml:space="preserve">TAGTCTTGATGACCGGTCCGTGAC</t>
  </si>
  <si>
    <t xml:space="preserve">AAACGTCACGGACCGGTCATCAAG</t>
  </si>
  <si>
    <t xml:space="preserve">TTTCTCCTTTCATCAGGTAA</t>
  </si>
  <si>
    <t xml:space="preserve">TAGTTTTCTCCTTTCATCAGGTAA</t>
  </si>
  <si>
    <t xml:space="preserve">AAACTTACCTGATGAAAGGAGAAA</t>
  </si>
  <si>
    <t xml:space="preserve">CTTCGTTGCTGCGCTCTTGC</t>
  </si>
  <si>
    <t xml:space="preserve">TAGTCTTCGTTGCTGCGCTCTTGC</t>
  </si>
  <si>
    <t xml:space="preserve">AAACGCAAGAGCGCAGCAACGAAG</t>
  </si>
  <si>
    <t xml:space="preserve">TTGGGCGTGGCTCGAACGAC</t>
  </si>
  <si>
    <t xml:space="preserve">TAGTTTGGGCGTGGCTCGAACGAC</t>
  </si>
  <si>
    <t xml:space="preserve">AAACGTCGTTCGAGCCACGCCCAA</t>
  </si>
  <si>
    <t xml:space="preserve">PSPPH_1790</t>
  </si>
  <si>
    <t xml:space="preserve">AAGTGCCTGGCGGTGACGTC</t>
  </si>
  <si>
    <t xml:space="preserve">TAGTAAGTGCCTGGCGGTGACGTC</t>
  </si>
  <si>
    <t xml:space="preserve">AAACGACGTCACCGCCAGGCACTT</t>
  </si>
  <si>
    <t xml:space="preserve">GCGCAATGAAACTCGCGGCC</t>
  </si>
  <si>
    <t xml:space="preserve">TAGTGCGCAATGAAACTCGCGGCC</t>
  </si>
  <si>
    <t xml:space="preserve">AAACGGCCGCGAGTTTCATTGCGC</t>
  </si>
  <si>
    <t xml:space="preserve">CCGAACGCTTGCCAGCGATA</t>
  </si>
  <si>
    <t xml:space="preserve">TAGTCCGAACGCTTGCCAGCGATA</t>
  </si>
  <si>
    <t xml:space="preserve">AAACTATCGCTGGCAAGCGTTCGG</t>
  </si>
  <si>
    <t xml:space="preserve">GATCGACAGGGTGATACCCG</t>
  </si>
  <si>
    <t xml:space="preserve">TAGTGATCGACAGGGTGATACCCG</t>
  </si>
  <si>
    <t xml:space="preserve">AAACCGGGTATCACCCTGTCGATC</t>
  </si>
  <si>
    <t xml:space="preserve">PSPPH_1791</t>
  </si>
  <si>
    <t xml:space="preserve">TACTCGTTGACCTTGAACAT</t>
  </si>
  <si>
    <t xml:space="preserve">TAGTTACTCGTTGACCTTGAACAT</t>
  </si>
  <si>
    <t xml:space="preserve">AAACATGTTCAAGGTCAACGAGTA</t>
  </si>
  <si>
    <t xml:space="preserve">ACTGAAGGCGATGGATTTGA</t>
  </si>
  <si>
    <t xml:space="preserve">TAGTACTGAAGGCGATGGATTTGA</t>
  </si>
  <si>
    <t xml:space="preserve">AAACTCAAATCCATCGCCTTCAGT</t>
  </si>
  <si>
    <t xml:space="preserve">GCCCGCCGCCATGACACCGA</t>
  </si>
  <si>
    <t xml:space="preserve">TAGTGCCCGCCGCCATGACACCGA</t>
  </si>
  <si>
    <t xml:space="preserve">AAACTCGGTGTCATGGCGGCGGGC</t>
  </si>
  <si>
    <t xml:space="preserve">GAGCTTCACGTTCAGCTCGC</t>
  </si>
  <si>
    <t xml:space="preserve">TAGTGAGCTTCACGTTCAGCTCGC</t>
  </si>
  <si>
    <t xml:space="preserve">AAACGCGAGCTGAACGTGAAGCTC</t>
  </si>
  <si>
    <t xml:space="preserve">PSPPH_1792</t>
  </si>
  <si>
    <t xml:space="preserve">AGATCAATCACCAGCCAATG</t>
  </si>
  <si>
    <t xml:space="preserve">TAGTAGATCAATCACCAGCCAATG</t>
  </si>
  <si>
    <t xml:space="preserve">AAACCATTGGCTGGTGATTGATCT</t>
  </si>
  <si>
    <t xml:space="preserve">CGGCCAGCCACCTTCTTCGG</t>
  </si>
  <si>
    <t xml:space="preserve">TAGTCGGCCAGCCACCTTCTTCGG</t>
  </si>
  <si>
    <t xml:space="preserve">AAACCCGAAGAAGGTGGCTGGCCG</t>
  </si>
  <si>
    <t xml:space="preserve">ATGACTTCCATTTCTGCGAC</t>
  </si>
  <si>
    <t xml:space="preserve">TAGTATGACTTCCATTTCTGCGAC</t>
  </si>
  <si>
    <t xml:space="preserve">AAACGTCGCAGAAATGGAAGTCAT</t>
  </si>
  <si>
    <t xml:space="preserve">GGCGTACGAAGCGCTCGAAA</t>
  </si>
  <si>
    <t xml:space="preserve">TAGTGGCGTACGAAGCGCTCGAAA</t>
  </si>
  <si>
    <t xml:space="preserve">AAACTTTCGAGCGCTTCGTACGCC</t>
  </si>
  <si>
    <t xml:space="preserve">PSPPH_1793</t>
  </si>
  <si>
    <t xml:space="preserve">CACAAAGAGCAGAAGGCCTG</t>
  </si>
  <si>
    <t xml:space="preserve">TAGTCACAAAGAGCAGAAGGCCTG</t>
  </si>
  <si>
    <t xml:space="preserve">AAACCAGGCCTTCTGCTCTTTGTG</t>
  </si>
  <si>
    <t xml:space="preserve">ACTTGGGACGTTGCCATGAA</t>
  </si>
  <si>
    <t xml:space="preserve">TAGTACTTGGGACGTTGCCATGAA</t>
  </si>
  <si>
    <t xml:space="preserve">AAACTTCATGGCAACGTCCCAAGT</t>
  </si>
  <si>
    <t xml:space="preserve">GGCCACCCGCACGACCTGCG</t>
  </si>
  <si>
    <t xml:space="preserve">TAGTGGCCACCCGCACGACCTGCG</t>
  </si>
  <si>
    <t xml:space="preserve">AAACCGCAGGTCGTGCGGGTGGCC</t>
  </si>
  <si>
    <t xml:space="preserve">ATACGGAGGGAAATGCACGG</t>
  </si>
  <si>
    <t xml:space="preserve">TAGTATACGGAGGGAAATGCACGG</t>
  </si>
  <si>
    <t xml:space="preserve">AAACCCGTGCATTTCCCTCCGTAT</t>
  </si>
  <si>
    <t xml:space="preserve">PSPPH_1794</t>
  </si>
  <si>
    <t xml:space="preserve">AGAATTAACCAGGCATACCA</t>
  </si>
  <si>
    <t xml:space="preserve">TAGTAGAATTAACCAGGCATACCA</t>
  </si>
  <si>
    <t xml:space="preserve">AAACTGGTATGCCTGGTTAATTCT</t>
  </si>
  <si>
    <t xml:space="preserve">ACCGCCGACGATCGAGCCGA</t>
  </si>
  <si>
    <t xml:space="preserve">TAGTACCGCCGACGATCGAGCCGA</t>
  </si>
  <si>
    <t xml:space="preserve">AAACTCGGCTCGATCGTCGGCGGT</t>
  </si>
  <si>
    <t xml:space="preserve">GGTGAGGGGCAGTTTCTTGG</t>
  </si>
  <si>
    <t xml:space="preserve">TAGTGGTGAGGGGCAGTTTCTTGG</t>
  </si>
  <si>
    <t xml:space="preserve">AAACCCAAGAAACTGCCCCTCACC</t>
  </si>
  <si>
    <t xml:space="preserve">GACGCGCTTGAGTTGTTCTT</t>
  </si>
  <si>
    <t xml:space="preserve">TAGTGACGCGCTTGAGTTGTTCTT</t>
  </si>
  <si>
    <t xml:space="preserve">AAACAAGAACAACTCAAGCGCGTC</t>
  </si>
  <si>
    <t xml:space="preserve">PSPPH_1795</t>
  </si>
  <si>
    <t xml:space="preserve">TGGCTTGAGTTGCGTGCTCA</t>
  </si>
  <si>
    <t xml:space="preserve">TAGTTGGCTTGAGTTGCGTGCTCA</t>
  </si>
  <si>
    <t xml:space="preserve">AAACTGAGCACGCAACTCAAGCCA</t>
  </si>
  <si>
    <t xml:space="preserve">AGATGAATCGTGCCCAGCGT</t>
  </si>
  <si>
    <t xml:space="preserve">TAGTAGATGAATCGTGCCCAGCGT</t>
  </si>
  <si>
    <t xml:space="preserve">AAACACGCTGGGCACGATTCATCT</t>
  </si>
  <si>
    <t xml:space="preserve">ACTCCAGCCAAAGTACTCGC</t>
  </si>
  <si>
    <t xml:space="preserve">TAGTACTCCAGCCAAAGTACTCGC</t>
  </si>
  <si>
    <t xml:space="preserve">AAACGCGAGTACTTTGGCTGGAGT</t>
  </si>
  <si>
    <t xml:space="preserve">GTACATGGTCGCAACCATCA</t>
  </si>
  <si>
    <t xml:space="preserve">TAGTGTACATGGTCGCAACCATCA</t>
  </si>
  <si>
    <t xml:space="preserve">AAACTGATGGTTGCGACCATGTAC</t>
  </si>
  <si>
    <t xml:space="preserve">PSPPH_1796</t>
  </si>
  <si>
    <t xml:space="preserve">pyrF</t>
  </si>
  <si>
    <t xml:space="preserve">AGCAGACGGGACCCGTAGAT</t>
  </si>
  <si>
    <t xml:space="preserve">TAGTAGCAGACGGGACCCGTAGAT</t>
  </si>
  <si>
    <t xml:space="preserve">AAACATCTACGGGTCCCGTCTGCT</t>
  </si>
  <si>
    <t xml:space="preserve">GGCGCGCATTGTAGCCGAAC</t>
  </si>
  <si>
    <t xml:space="preserve">TAGTGGCGCGCATTGTAGCCGAAC</t>
  </si>
  <si>
    <t xml:space="preserve">AAACGTTCGGCTACAATGCGCGCC</t>
  </si>
  <si>
    <t xml:space="preserve">GGTCTCAGGTAAGTCGAAAT</t>
  </si>
  <si>
    <t xml:space="preserve">TAGTGGTCTCAGGTAAGTCGAAAT</t>
  </si>
  <si>
    <t xml:space="preserve">AAACATTTCGACTTACCTGAGACC</t>
  </si>
  <si>
    <t xml:space="preserve">CTGGCAGGCGGACATGAGCG</t>
  </si>
  <si>
    <t xml:space="preserve">TAGTCTGGCAGGCGGACATGAGCG</t>
  </si>
  <si>
    <t xml:space="preserve">AAACCGCTCATGTCCGCCTGCCAG</t>
  </si>
  <si>
    <t xml:space="preserve">PSPPH_1797</t>
  </si>
  <si>
    <t xml:space="preserve">GCGGTTGGAAAGATCAGTCA</t>
  </si>
  <si>
    <t xml:space="preserve">TAGTGCGGTTGGAAAGATCAGTCA</t>
  </si>
  <si>
    <t xml:space="preserve">AAACTGACTGATCTTTCCAACCGC</t>
  </si>
  <si>
    <t xml:space="preserve">GACGCTTGGCGAGCAGGAAC</t>
  </si>
  <si>
    <t xml:space="preserve">TAGTGACGCTTGGCGAGCAGGAAC</t>
  </si>
  <si>
    <t xml:space="preserve">AAACGTTCCTGCTCGCCAAGCGTC</t>
  </si>
  <si>
    <t xml:space="preserve">CTTGATAGGTGAAGTCTTCA</t>
  </si>
  <si>
    <t xml:space="preserve">TAGTCTTGATAGGTGAAGTCTTCA</t>
  </si>
  <si>
    <t xml:space="preserve">AAACTGAAGACTTCACCTATCAAG</t>
  </si>
  <si>
    <t xml:space="preserve">CCTTCGGCAAGTGCGGTGAC</t>
  </si>
  <si>
    <t xml:space="preserve">TAGTCCTTCGGCAAGTGCGGTGAC</t>
  </si>
  <si>
    <t xml:space="preserve">AAACGTCACCGCACTTGCCGAAGG</t>
  </si>
  <si>
    <t xml:space="preserve">PSPPH_1798</t>
  </si>
  <si>
    <t xml:space="preserve">AGCGTCTGTGGAGAAGTAGC</t>
  </si>
  <si>
    <t xml:space="preserve">TAGTAGCGTCTGTGGAGAAGTAGC</t>
  </si>
  <si>
    <t xml:space="preserve">AAACGCTACTTCTCCACAGACGCT</t>
  </si>
  <si>
    <t xml:space="preserve">CGCCAGCACGCAGGACCTGA</t>
  </si>
  <si>
    <t xml:space="preserve">TAGTCGCCAGCACGCAGGACCTGA</t>
  </si>
  <si>
    <t xml:space="preserve">AAACTCAGGTCCTGCGTGCTGGCG</t>
  </si>
  <si>
    <t xml:space="preserve">GGCAGGCGATACCAACGCCA</t>
  </si>
  <si>
    <t xml:space="preserve">TAGTGGCAGGCGATACCAACGCCA</t>
  </si>
  <si>
    <t xml:space="preserve">AAACTGGCGTTGGTATCGCCTGCC</t>
  </si>
  <si>
    <t xml:space="preserve">TTTGCCGGGGTCAACAGGCC</t>
  </si>
  <si>
    <t xml:space="preserve">TAGTTTTGCCGGGGTCAACAGGCC</t>
  </si>
  <si>
    <t xml:space="preserve">AAACGGCCTGTTGACCCCGGCAAA</t>
  </si>
  <si>
    <t xml:space="preserve">PSPPH_1799</t>
  </si>
  <si>
    <t xml:space="preserve">CGGGCGCAATGGTGCCTTTA</t>
  </si>
  <si>
    <t xml:space="preserve">TAGTCGGGCGCAATGGTGCCTTTA</t>
  </si>
  <si>
    <t xml:space="preserve">AAACTAAAGGCACCATTGCGCCCG</t>
  </si>
  <si>
    <t xml:space="preserve">GACGGCGATGAGTCGGTCAG</t>
  </si>
  <si>
    <t xml:space="preserve">TAGTGACGGCGATGAGTCGGTCAG</t>
  </si>
  <si>
    <t xml:space="preserve">AAACCTGACCGACTCATCGCCGTC</t>
  </si>
  <si>
    <t xml:space="preserve">AGTCATCATGGCAATGAAGC</t>
  </si>
  <si>
    <t xml:space="preserve">TAGTAGTCATCATGGCAATGAAGC</t>
  </si>
  <si>
    <t xml:space="preserve">AAACGCTTCATTGCCATGATGACT</t>
  </si>
  <si>
    <t xml:space="preserve">AAACATCAGCACCAGTGAGC</t>
  </si>
  <si>
    <t xml:space="preserve">TAGTAAACATCAGCACCAGTGAGC</t>
  </si>
  <si>
    <t xml:space="preserve">AAACGCTCACTGGTGCTGATGTTT</t>
  </si>
  <si>
    <t xml:space="preserve">PSPPH_1800</t>
  </si>
  <si>
    <t xml:space="preserve">ATGGCCATTTGTTGATTGGC</t>
  </si>
  <si>
    <t xml:space="preserve">TAGTATGGCCATTTGTTGATTGGC</t>
  </si>
  <si>
    <t xml:space="preserve">AAACGCCAATCAACAAATGGCCAT</t>
  </si>
  <si>
    <t xml:space="preserve">AGCCTGATAGCCGAAGAAGA</t>
  </si>
  <si>
    <t xml:space="preserve">TAGTAGCCTGATAGCCGAAGAAGA</t>
  </si>
  <si>
    <t xml:space="preserve">AAACTCTTCTTCGGCTATCAGGCT</t>
  </si>
  <si>
    <t xml:space="preserve">CAGCATTTCATCAGCCTTGG</t>
  </si>
  <si>
    <t xml:space="preserve">TAGTCAGCATTTCATCAGCCTTGG</t>
  </si>
  <si>
    <t xml:space="preserve">AAACCCAAGGCTGATGAAATGCTG</t>
  </si>
  <si>
    <t xml:space="preserve">AGTTCCTTGACGCTCAGTTC</t>
  </si>
  <si>
    <t xml:space="preserve">TAGTAGTTCCTTGACGCTCAGTTC</t>
  </si>
  <si>
    <t xml:space="preserve">AAACGAACTGAGCGTCAAGGAACT</t>
  </si>
  <si>
    <t xml:space="preserve">PSPPH_1802</t>
  </si>
  <si>
    <t xml:space="preserve">ACTCGTACTCACTGCCCAAC</t>
  </si>
  <si>
    <t xml:space="preserve">TAGTACTCGTACTCACTGCCCAAC</t>
  </si>
  <si>
    <t xml:space="preserve">AAACGTTGGGCAGTGAGTACGAGT</t>
  </si>
  <si>
    <t xml:space="preserve">TCGCCATTAAGAATATCGAC</t>
  </si>
  <si>
    <t xml:space="preserve">TAGTTCGCCATTAAGAATATCGAC</t>
  </si>
  <si>
    <t xml:space="preserve">AAACGTCGATATTCTTAATGGCGA</t>
  </si>
  <si>
    <t xml:space="preserve">CTCCAGAAAAGCCGGGGTCT</t>
  </si>
  <si>
    <t xml:space="preserve">TAGTCTCCAGAAAAGCCGGGGTCT</t>
  </si>
  <si>
    <t xml:space="preserve">AAACAGACCCCGGCTTTTCTGGAG</t>
  </si>
  <si>
    <t xml:space="preserve">ACACCGGGATCTTGCCGTTT</t>
  </si>
  <si>
    <t xml:space="preserve">TAGTACACCGGGATCTTGCCGTTT</t>
  </si>
  <si>
    <t xml:space="preserve">AAACAAACGGCAAGATCCCGGTGT</t>
  </si>
  <si>
    <t xml:space="preserve">PSPPH_1803</t>
  </si>
  <si>
    <t xml:space="preserve">GATACCCAGCGCGATGAAAG</t>
  </si>
  <si>
    <t xml:space="preserve">TAGTGATACCCAGCGCGATGAAAG</t>
  </si>
  <si>
    <t xml:space="preserve">AAACCTTTCATCGCGCTGGGTATC</t>
  </si>
  <si>
    <t xml:space="preserve">CTGATTCATACTGGCCTGAT</t>
  </si>
  <si>
    <t xml:space="preserve">TAGTCTGATTCATACTGGCCTGAT</t>
  </si>
  <si>
    <t xml:space="preserve">AAACATCAGGCCAGTATGAATCAG</t>
  </si>
  <si>
    <t xml:space="preserve">ATCGAGCGCCGACAGCTCAT</t>
  </si>
  <si>
    <t xml:space="preserve">TAGTATCGAGCGCCGACAGCTCAT</t>
  </si>
  <si>
    <t xml:space="preserve">AAACATGAGCTGTCGGCGCTCGAT</t>
  </si>
  <si>
    <t xml:space="preserve">TTGAACGCCTGCTTTTTGGC</t>
  </si>
  <si>
    <t xml:space="preserve">TAGTTTGAACGCCTGCTTTTTGGC</t>
  </si>
  <si>
    <t xml:space="preserve">AAACGCCAAAAAGCAGGCGTTCAA</t>
  </si>
  <si>
    <t xml:space="preserve">PSPPH_1804</t>
  </si>
  <si>
    <t xml:space="preserve">TCTTAACGCTTTCATGAACA</t>
  </si>
  <si>
    <t xml:space="preserve">TAGTTCTTAACGCTTTCATGAACA</t>
  </si>
  <si>
    <t xml:space="preserve">AAACTGTTCATGAAAGCGTTAAGA</t>
  </si>
  <si>
    <t xml:space="preserve">TACCGATGACGAGCTGGCCA</t>
  </si>
  <si>
    <t xml:space="preserve">TAGTTACCGATGACGAGCTGGCCA</t>
  </si>
  <si>
    <t xml:space="preserve">AAACTGGCCAGCTCGTCATCGGTA</t>
  </si>
  <si>
    <t xml:space="preserve">TTTTCCTGCTCGGGCGGGTC</t>
  </si>
  <si>
    <t xml:space="preserve">TAGTTTTTCCTGCTCGGGCGGGTC</t>
  </si>
  <si>
    <t xml:space="preserve">AAACGACCCGCCCGAGCAGGAAAA</t>
  </si>
  <si>
    <t xml:space="preserve">GCGACAGCCGCCTGGGCCTG</t>
  </si>
  <si>
    <t xml:space="preserve">TAGTGCGACAGCCGCCTGGGCCTG</t>
  </si>
  <si>
    <t xml:space="preserve">AAACCAGGCCCAGGCGGCTGTCGC</t>
  </si>
  <si>
    <t xml:space="preserve">PSPPH_1805</t>
  </si>
  <si>
    <t xml:space="preserve">folE2</t>
  </si>
  <si>
    <t xml:space="preserve">TACGCAAGAGTGCGGGTGCA</t>
  </si>
  <si>
    <t xml:space="preserve">TAGTTACGCAAGAGTGCGGGTGCA</t>
  </si>
  <si>
    <t xml:space="preserve">AAACTGCACCCGCACTCTTGCGTA</t>
  </si>
  <si>
    <t xml:space="preserve">GAGGGCAGGCCCGTCGCCGA</t>
  </si>
  <si>
    <t xml:space="preserve">TAGTGAGGGCAGGCCCGTCGCCGA</t>
  </si>
  <si>
    <t xml:space="preserve">AAACTCGGCGACGGGCCTGCCCTC</t>
  </si>
  <si>
    <t xml:space="preserve">GTTTCCGTGTGGGTTTCGAT</t>
  </si>
  <si>
    <t xml:space="preserve">TAGTGTTTCCGTGTGGGTTTCGAT</t>
  </si>
  <si>
    <t xml:space="preserve">AAACATCGAAACCCACACGGAAAC</t>
  </si>
  <si>
    <t xml:space="preserve">ATTCTGTTCCAGTGTCACAG</t>
  </si>
  <si>
    <t xml:space="preserve">TAGTATTCTGTTCCAGTGTCACAG</t>
  </si>
  <si>
    <t xml:space="preserve">AAACCTGTGACACTGGAACAGAAT</t>
  </si>
  <si>
    <t xml:space="preserve">PSPPH_1806</t>
  </si>
  <si>
    <t xml:space="preserve">GAAAAATCGTCGTCTTGCAT</t>
  </si>
  <si>
    <t xml:space="preserve">TAGTGAAAAATCGTCGTCTTGCAT</t>
  </si>
  <si>
    <t xml:space="preserve">AAACATGCAAGACGACGATTTTTC</t>
  </si>
  <si>
    <t xml:space="preserve">GCGCGTTTCGCTTCTGAACA</t>
  </si>
  <si>
    <t xml:space="preserve">TAGTGCGCGTTTCGCTTCTGAACA</t>
  </si>
  <si>
    <t xml:space="preserve">AAACTGTTCAGAAGCGAAACGCGC</t>
  </si>
  <si>
    <t xml:space="preserve">TCGGCGTGTTCATGCTTGAG</t>
  </si>
  <si>
    <t xml:space="preserve">TAGTTCGGCGTGTTCATGCTTGAG</t>
  </si>
  <si>
    <t xml:space="preserve">AAACCTCAAGCATGAACACGCCGA</t>
  </si>
  <si>
    <t xml:space="preserve">AGCATTTTTCGATCGGTCTT</t>
  </si>
  <si>
    <t xml:space="preserve">TAGTAGCATTTTTCGATCGGTCTT</t>
  </si>
  <si>
    <t xml:space="preserve">AAACAAGACCGATCGAAAAATGCT</t>
  </si>
  <si>
    <t xml:space="preserve">PSPPH_1807</t>
  </si>
  <si>
    <t xml:space="preserve">TGCCCTGACCCCTGGGGCGC</t>
  </si>
  <si>
    <t xml:space="preserve">TAGTTGCCCTGACCCCTGGGGCGC</t>
  </si>
  <si>
    <t xml:space="preserve">AAACGCGCCCCAGGGGTCAGGGCA</t>
  </si>
  <si>
    <t xml:space="preserve">CAGGCTGGAAACTCCGGCAA</t>
  </si>
  <si>
    <t xml:space="preserve">TAGTCAGGCTGGAAACTCCGGCAA</t>
  </si>
  <si>
    <t xml:space="preserve">AAACTTGCCGGAGTTTCCAGCCTG</t>
  </si>
  <si>
    <t xml:space="preserve">GCCGAGCATCTGCGGGTGAA</t>
  </si>
  <si>
    <t xml:space="preserve">TAGTGCCGAGCATCTGCGGGTGAA</t>
  </si>
  <si>
    <t xml:space="preserve">AAACTTCACCCGCAGATGCTCGGC</t>
  </si>
  <si>
    <t xml:space="preserve">AAATGCGGCGCCTTCAGGGC</t>
  </si>
  <si>
    <t xml:space="preserve">TAGTAAATGCGGCGCCTTCAGGGC</t>
  </si>
  <si>
    <t xml:space="preserve">AAACGCCCTGAAGGCGCCGCATTT</t>
  </si>
  <si>
    <t xml:space="preserve">PSPPH_1808</t>
  </si>
  <si>
    <t xml:space="preserve">TTGGAACATGGTCTTTAAAT</t>
  </si>
  <si>
    <t xml:space="preserve">TAGTTTGGAACATGGTCTTTAAAT</t>
  </si>
  <si>
    <t xml:space="preserve">AAACATTTAAAGACCATGTTCCAA</t>
  </si>
  <si>
    <t xml:space="preserve">AATTGGCGGGCGCATGCACC</t>
  </si>
  <si>
    <t xml:space="preserve">TAGTAATTGGCGGGCGCATGCACC</t>
  </si>
  <si>
    <t xml:space="preserve">AAACGGTGCATGCGCCCGCCAATT</t>
  </si>
  <si>
    <t xml:space="preserve">GGCCGCTGAGGTATTCTTTC</t>
  </si>
  <si>
    <t xml:space="preserve">TAGTGGCCGCTGAGGTATTCTTTC</t>
  </si>
  <si>
    <t xml:space="preserve">AAACGAAAGAATACCTCAGCGGCC</t>
  </si>
  <si>
    <t xml:space="preserve">CGACACCGGTCAGGGCCAGC</t>
  </si>
  <si>
    <t xml:space="preserve">TAGTCGACACCGGTCAGGGCCAGC</t>
  </si>
  <si>
    <t xml:space="preserve">AAACGCTGGCCCTGACCGGTGTCG</t>
  </si>
  <si>
    <t xml:space="preserve">PSPPH_1809</t>
  </si>
  <si>
    <t xml:space="preserve">ACGCAAACGGGAAGTGATCA</t>
  </si>
  <si>
    <t xml:space="preserve">TAGTACGCAAACGGGAAGTGATCA</t>
  </si>
  <si>
    <t xml:space="preserve">AAACTGATCACTTCCCGTTTGCGT</t>
  </si>
  <si>
    <t xml:space="preserve">CCACCGTATATGGTCGCGCA</t>
  </si>
  <si>
    <t xml:space="preserve">TAGTCCACCGTATATGGTCGCGCA</t>
  </si>
  <si>
    <t xml:space="preserve">AAACTGCGCGACCATATACGGTGG</t>
  </si>
  <si>
    <t xml:space="preserve">TTCCTCGTGAAAGCGGCTGA</t>
  </si>
  <si>
    <t xml:space="preserve">TAGTTTCCTCGTGAAAGCGGCTGA</t>
  </si>
  <si>
    <t xml:space="preserve">AAACTCAGCCGCTTTCACGAGGAA</t>
  </si>
  <si>
    <t xml:space="preserve">CGCTTCATCCCAGGCATTGT</t>
  </si>
  <si>
    <t xml:space="preserve">TAGTCGCTTCATCCCAGGCATTGT</t>
  </si>
  <si>
    <t xml:space="preserve">AAACACAATGCCTGGGATGAAGCG</t>
  </si>
  <si>
    <t xml:space="preserve">PSPPH_1810</t>
  </si>
  <si>
    <t xml:space="preserve">TACGCTTTCGGGTGCTGCAG</t>
  </si>
  <si>
    <t xml:space="preserve">TAGTTACGCTTTCGGGTGCTGCAG</t>
  </si>
  <si>
    <t xml:space="preserve">AAACCTGCAGCACCCGAAAGCGTA</t>
  </si>
  <si>
    <t xml:space="preserve">CTGCGGCGGTGCCTGAACCT</t>
  </si>
  <si>
    <t xml:space="preserve">TAGTCTGCGGCGGTGCCTGAACCT</t>
  </si>
  <si>
    <t xml:space="preserve">AAACAGGTTCAGGCACCGCCGCAG</t>
  </si>
  <si>
    <t xml:space="preserve">TCGGGCAGAACGTCTTCCCA</t>
  </si>
  <si>
    <t xml:space="preserve">TAGTTCGGGCAGAACGTCTTCCCA</t>
  </si>
  <si>
    <t xml:space="preserve">AAACTGGGAAGACGTTCTGCCCGA</t>
  </si>
  <si>
    <t xml:space="preserve">GTGGCGCGGTCGGTAGGCTG</t>
  </si>
  <si>
    <t xml:space="preserve">TAGTGTGGCGCGGTCGGTAGGCTG</t>
  </si>
  <si>
    <t xml:space="preserve">AAACCAGCCTACCGACCGCGCCAC</t>
  </si>
  <si>
    <t xml:space="preserve">PSPPH_1811</t>
  </si>
  <si>
    <t xml:space="preserve">TACTCGAAGCAGGGAATTAC</t>
  </si>
  <si>
    <t xml:space="preserve">TAGTTACTCGAAGCAGGGAATTAC</t>
  </si>
  <si>
    <t xml:space="preserve">AAACGTAATTCCCTGCTTCGAGTA</t>
  </si>
  <si>
    <t xml:space="preserve">GCCAGCAGACGCAGCGCGTT</t>
  </si>
  <si>
    <t xml:space="preserve">TAGTGCCAGCAGACGCAGCGCGTT</t>
  </si>
  <si>
    <t xml:space="preserve">AAACAACGCGCTGCGTCTGCTGGC</t>
  </si>
  <si>
    <t xml:space="preserve">CAGGGTCAATGTTATCGGCA</t>
  </si>
  <si>
    <t xml:space="preserve">TAGTCAGGGTCAATGTTATCGGCA</t>
  </si>
  <si>
    <t xml:space="preserve">AAACTGCCGATAACATTGACCCTG</t>
  </si>
  <si>
    <t xml:space="preserve">CACTGGCTGTTCCGGCGATT</t>
  </si>
  <si>
    <t xml:space="preserve">TAGTCACTGGCTGTTCCGGCGATT</t>
  </si>
  <si>
    <t xml:space="preserve">AAACAATCGCCGGAACAGCCAGTG</t>
  </si>
  <si>
    <t xml:space="preserve">PSPPH_1812</t>
  </si>
  <si>
    <t xml:space="preserve">aroC</t>
  </si>
  <si>
    <t xml:space="preserve">CAGCTTGCCGAAAGTGTTGC</t>
  </si>
  <si>
    <t xml:space="preserve">TAGTCAGCTTGCCGAAAGTGTTGC</t>
  </si>
  <si>
    <t xml:space="preserve">AAACGCAACACTTTCGGCAAGCTG</t>
  </si>
  <si>
    <t xml:space="preserve">GCCGTGGCTTTCGCCGGCGG</t>
  </si>
  <si>
    <t xml:space="preserve">TAGTGCCGTGGCTTTCGCCGGCGG</t>
  </si>
  <si>
    <t xml:space="preserve">AAACCCGCCGGCGAAAGCCACGGC</t>
  </si>
  <si>
    <t xml:space="preserve">CGACGATAGCGACCAGCGCC</t>
  </si>
  <si>
    <t xml:space="preserve">TAGTCGACGATAGCGACCAGCGCC</t>
  </si>
  <si>
    <t xml:space="preserve">AAACGGCGCTGGTCGCTATCGTCG</t>
  </si>
  <si>
    <t xml:space="preserve">GGTCCAGCTCCAGCCCCGGC</t>
  </si>
  <si>
    <t xml:space="preserve">TAGTGGTCCAGCTCCAGCCCCGGC</t>
  </si>
  <si>
    <t xml:space="preserve">AAACGCCGGGGCTGGAGCTGGACC</t>
  </si>
  <si>
    <t xml:space="preserve">PSPPH_1813</t>
  </si>
  <si>
    <t xml:space="preserve">CCAGTAAGGAAGCTGTCCGC</t>
  </si>
  <si>
    <t xml:space="preserve">TAGTCCAGTAAGGAAGCTGTCCGC</t>
  </si>
  <si>
    <t xml:space="preserve">AAACGCGGACAGCTTCCTTACTGG</t>
  </si>
  <si>
    <t xml:space="preserve">GAAATAGCACACGTAGAACC</t>
  </si>
  <si>
    <t xml:space="preserve">TAGTGAAATAGCACACGTAGAACC</t>
  </si>
  <si>
    <t xml:space="preserve">AAACGGTTCTACGTGTGCTATTTC</t>
  </si>
  <si>
    <t xml:space="preserve">GGGCCATGAACGGCGCAGAC</t>
  </si>
  <si>
    <t xml:space="preserve">TAGTGGGCCATGAACGGCGCAGAC</t>
  </si>
  <si>
    <t xml:space="preserve">AAACGTCTGCGCCGTTCATGGCCC</t>
  </si>
  <si>
    <t xml:space="preserve">ACCCAAGTGATGAAGATAAA</t>
  </si>
  <si>
    <t xml:space="preserve">TAGTACCCAAGTGATGAAGATAAA</t>
  </si>
  <si>
    <t xml:space="preserve">AAACTTTATCTTCATCACTTGGGT</t>
  </si>
  <si>
    <t xml:space="preserve">PSPPH_1814</t>
  </si>
  <si>
    <t xml:space="preserve">TTTCCACGCTAAGTTGTTCG</t>
  </si>
  <si>
    <t xml:space="preserve">TAGTTTTCCACGCTAAGTTGTTCG</t>
  </si>
  <si>
    <t xml:space="preserve">AAACCGAACAACTTAGCGTGGAAA</t>
  </si>
  <si>
    <t xml:space="preserve">GCGGCCATACAGGAAGCGTC</t>
  </si>
  <si>
    <t xml:space="preserve">TAGTGCGGCCATACAGGAAGCGTC</t>
  </si>
  <si>
    <t xml:space="preserve">AAACGACGCTTCCTGTATGGCCGC</t>
  </si>
  <si>
    <t xml:space="preserve">CGCGGAGTAATTGCTGCTGG</t>
  </si>
  <si>
    <t xml:space="preserve">TAGTCGCGGAGTAATTGCTGCTGG</t>
  </si>
  <si>
    <t xml:space="preserve">AAACCCAGCAGCAATTACTCCGCG</t>
  </si>
  <si>
    <t xml:space="preserve">TACGGTCAGCAGCGCCTCGG</t>
  </si>
  <si>
    <t xml:space="preserve">TAGTTACGGTCAGCAGCGCCTCGG</t>
  </si>
  <si>
    <t xml:space="preserve">AAACCCGAGGCGCTGCTGACCGTA</t>
  </si>
  <si>
    <t xml:space="preserve">PSPPH_1815</t>
  </si>
  <si>
    <t xml:space="preserve">AAAAACGGACAGGCTGCTCA</t>
  </si>
  <si>
    <t xml:space="preserve">TAGTAAAAACGGACAGGCTGCTCA</t>
  </si>
  <si>
    <t xml:space="preserve">AAACTGAGCAGCCTGTCCGTTTTT</t>
  </si>
  <si>
    <t xml:space="preserve">GCACCTTGTTGGGCGTGTCA</t>
  </si>
  <si>
    <t xml:space="preserve">TAGTGCACCTTGTTGGGCGTGTCA</t>
  </si>
  <si>
    <t xml:space="preserve">AAACTGACACGCCCAACAAGGTGC</t>
  </si>
  <si>
    <t xml:space="preserve">CGAAGCAATATCTTCCAGAT</t>
  </si>
  <si>
    <t xml:space="preserve">TAGTCGAAGCAATATCTTCCAGAT</t>
  </si>
  <si>
    <t xml:space="preserve">AAACATCTGGAAGATATTGCTTCG</t>
  </si>
  <si>
    <t xml:space="preserve">TGGCTGGCACCGGGGGTAAT</t>
  </si>
  <si>
    <t xml:space="preserve">TAGTTGGCTGGCACCGGGGGTAAT</t>
  </si>
  <si>
    <t xml:space="preserve">AAACATTACCCCCGGTGCCAGCCA</t>
  </si>
  <si>
    <t xml:space="preserve">PSPPH_1816</t>
  </si>
  <si>
    <t xml:space="preserve">TCCGTGAGGATAGCTTTGAT</t>
  </si>
  <si>
    <t xml:space="preserve">TAGTTCCGTGAGGATAGCTTTGAT</t>
  </si>
  <si>
    <t xml:space="preserve">AAACATCAAAGCTATCCTCACGGA</t>
  </si>
  <si>
    <t xml:space="preserve">AACGAAACTCACTGCGCTGG</t>
  </si>
  <si>
    <t xml:space="preserve">TAGTAACGAAACTCACTGCGCTGG</t>
  </si>
  <si>
    <t xml:space="preserve">AAACCCAGCGCAGTGAGTTTCGTT</t>
  </si>
  <si>
    <t xml:space="preserve">GGCAGGTGCTTTTTGGCAAA</t>
  </si>
  <si>
    <t xml:space="preserve">TAGTGGCAGGTGCTTTTTGGCAAA</t>
  </si>
  <si>
    <t xml:space="preserve">AAACTTTGCCAAAAAGCACCTGCC</t>
  </si>
  <si>
    <t xml:space="preserve">GCGTTTTGCCGAACAAACCC</t>
  </si>
  <si>
    <t xml:space="preserve">TAGTGCGTTTTGCCGAACAAACCC</t>
  </si>
  <si>
    <t xml:space="preserve">AAACGGGTTTGTTCGGCAAAACGC</t>
  </si>
  <si>
    <t xml:space="preserve">PSPPH_1817</t>
  </si>
  <si>
    <t xml:space="preserve">TAGCGTGCAAGCCTCGCGGC</t>
  </si>
  <si>
    <t xml:space="preserve">TAGTTAGCGTGCAAGCCTCGCGGC</t>
  </si>
  <si>
    <t xml:space="preserve">AAACGCCGCGAGGCTTGCACGCTA</t>
  </si>
  <si>
    <t xml:space="preserve">PSPPH_1818</t>
  </si>
  <si>
    <t xml:space="preserve">CCTGCTTGCGCTTTCTTTAA</t>
  </si>
  <si>
    <t xml:space="preserve">TAGTCCTGCTTGCGCTTTCTTTAA</t>
  </si>
  <si>
    <t xml:space="preserve">AAACTTAAAGAAAGCGCAAGCAGG</t>
  </si>
  <si>
    <t xml:space="preserve">GGGCATTCTCGATGGCGGTC</t>
  </si>
  <si>
    <t xml:space="preserve">TAGTGGGCATTCTCGATGGCGGTC</t>
  </si>
  <si>
    <t xml:space="preserve">AAACGACCGCCATCGAGAATGCCC</t>
  </si>
  <si>
    <t xml:space="preserve">TTCGCGCCTTAGCCATTCGA</t>
  </si>
  <si>
    <t xml:space="preserve">TAGTTTCGCGCCTTAGCCATTCGA</t>
  </si>
  <si>
    <t xml:space="preserve">AAACTCGAATGGCTAAGGCGCGAA</t>
  </si>
  <si>
    <t xml:space="preserve">GTAATGAACGTCAGCAGCAC</t>
  </si>
  <si>
    <t xml:space="preserve">TAGTGTAATGAACGTCAGCAGCAC</t>
  </si>
  <si>
    <t xml:space="preserve">AAACGTGCTGCTGACGTTCATTAC</t>
  </si>
  <si>
    <t xml:space="preserve">PSPPH_1819</t>
  </si>
  <si>
    <t xml:space="preserve">AACGGTGTAGTCGGAGAATA</t>
  </si>
  <si>
    <t xml:space="preserve">TAGTAACGGTGTAGTCGGAGAATA</t>
  </si>
  <si>
    <t xml:space="preserve">AAACTATTCTCCGACTACACCGTT</t>
  </si>
  <si>
    <t xml:space="preserve">ACCATCAGGACGTGGCTGAG</t>
  </si>
  <si>
    <t xml:space="preserve">TAGTACCATCAGGACGTGGCTGAG</t>
  </si>
  <si>
    <t xml:space="preserve">AAACCTCAGCCACGTCCTGATGGT</t>
  </si>
  <si>
    <t xml:space="preserve">GAGCATAAGACACGGAGCGA</t>
  </si>
  <si>
    <t xml:space="preserve">TAGTGAGCATAAGACACGGAGCGA</t>
  </si>
  <si>
    <t xml:space="preserve">AAACTCGCTCCGTGTCTTATGCTC</t>
  </si>
  <si>
    <t xml:space="preserve">ATTACCCATTCCAGCTGGAC</t>
  </si>
  <si>
    <t xml:space="preserve">TAGTATTACCCATTCCAGCTGGAC</t>
  </si>
  <si>
    <t xml:space="preserve">AAACGTCCAGCTGGAATGGGTAAT</t>
  </si>
  <si>
    <t xml:space="preserve">PSPPH_1820</t>
  </si>
  <si>
    <t xml:space="preserve">CGAAGCGCTGATATCTGTAT</t>
  </si>
  <si>
    <t xml:space="preserve">TAGTCGAAGCGCTGATATCTGTAT</t>
  </si>
  <si>
    <t xml:space="preserve">AAACATACAGATATCAGCGCTTCG</t>
  </si>
  <si>
    <t xml:space="preserve">GGCGGCTTCGTCTTCAGTCA</t>
  </si>
  <si>
    <t xml:space="preserve">TAGTGGCGGCTTCGTCTTCAGTCA</t>
  </si>
  <si>
    <t xml:space="preserve">AAACTGACTGAAGACGAAGCCGCC</t>
  </si>
  <si>
    <t xml:space="preserve">AGCCACATCGAATACCTGCT</t>
  </si>
  <si>
    <t xml:space="preserve">TAGTAGCCACATCGAATACCTGCT</t>
  </si>
  <si>
    <t xml:space="preserve">AAACAGCAGGTATTCGATGTGGCT</t>
  </si>
  <si>
    <t xml:space="preserve">CCAGCATGACTGCATTTCCC</t>
  </si>
  <si>
    <t xml:space="preserve">TAGTCCAGCATGACTGCATTTCCC</t>
  </si>
  <si>
    <t xml:space="preserve">AAACGGGAAATGCAGTCATGCTGG</t>
  </si>
  <si>
    <t xml:space="preserve">PSPPH_1821</t>
  </si>
  <si>
    <t xml:space="preserve">AAAAGAGGCGCGAAGGATAA</t>
  </si>
  <si>
    <t xml:space="preserve">TAGTAAAAGAGGCGCGAAGGATAA</t>
  </si>
  <si>
    <t xml:space="preserve">AAACTTATCCTTCGCGCCTCTTTT</t>
  </si>
  <si>
    <t xml:space="preserve">ATGGGAGCGATCCTGATAAC</t>
  </si>
  <si>
    <t xml:space="preserve">TAGTATGGGAGCGATCCTGATAAC</t>
  </si>
  <si>
    <t xml:space="preserve">AAACGTTATCAGGATCGCTCCCAT</t>
  </si>
  <si>
    <t xml:space="preserve">ATACGCCTGCGCGGCTTCAT</t>
  </si>
  <si>
    <t xml:space="preserve">TAGTATACGCCTGCGCGGCTTCAT</t>
  </si>
  <si>
    <t xml:space="preserve">AAACATGAAGCCGCGCAGGCGTAT</t>
  </si>
  <si>
    <t xml:space="preserve">GGCCAGAAAAGCCTGCGGGT</t>
  </si>
  <si>
    <t xml:space="preserve">TAGTGGCCAGAAAAGCCTGCGGGT</t>
  </si>
  <si>
    <t xml:space="preserve">AAACACCCGCAGGCTTTTCTGGCC</t>
  </si>
  <si>
    <t xml:space="preserve">PSPPH_1822</t>
  </si>
  <si>
    <t xml:space="preserve">gufA</t>
  </si>
  <si>
    <t xml:space="preserve">GTTCGGGGTTGTGCGGGCGT</t>
  </si>
  <si>
    <t xml:space="preserve">TAGTGTTCGGGGTTGTGCGGGCGT</t>
  </si>
  <si>
    <t xml:space="preserve">AAACACGCCCGCACAACCCCGAAC</t>
  </si>
  <si>
    <t xml:space="preserve">TGGTTGAACCATGTCGCCCA</t>
  </si>
  <si>
    <t xml:space="preserve">TAGTTGGTTGAACCATGTCGCCCA</t>
  </si>
  <si>
    <t xml:space="preserve">AAACTGGGCGACATGGTTCAACCA</t>
  </si>
  <si>
    <t xml:space="preserve">CCAGCGGGCTGCCCTGAAGA</t>
  </si>
  <si>
    <t xml:space="preserve">TAGTCCAGCGGGCTGCCCTGAAGA</t>
  </si>
  <si>
    <t xml:space="preserve">AAACTCTTCAGGGCAGCCCGCTGG</t>
  </si>
  <si>
    <t xml:space="preserve">GCAGAGCAAGGGCGAAACCC</t>
  </si>
  <si>
    <t xml:space="preserve">TAGTGCAGAGCAAGGGCGAAACCC</t>
  </si>
  <si>
    <t xml:space="preserve">AAACGGGTTTCGCCCTTGCTCTGC</t>
  </si>
  <si>
    <t xml:space="preserve">PSPPH_1823</t>
  </si>
  <si>
    <t xml:space="preserve">GCCGTTGAAACTAGAACCCA</t>
  </si>
  <si>
    <t xml:space="preserve">TAGTGCCGTTGAAACTAGAACCCA</t>
  </si>
  <si>
    <t xml:space="preserve">AAACTGGGTTCTAGTTTCAACGGC</t>
  </si>
  <si>
    <t xml:space="preserve">CCAGAATGATCAAGCCGACC</t>
  </si>
  <si>
    <t xml:space="preserve">TAGTCCAGAATGATCAAGCCGACC</t>
  </si>
  <si>
    <t xml:space="preserve">AAACGGTCGGCTTGATCATTCTGG</t>
  </si>
  <si>
    <t xml:space="preserve">GCTTTTCAAGACATTGATGA</t>
  </si>
  <si>
    <t xml:space="preserve">TAGTGCTTTTCAAGACATTGATGA</t>
  </si>
  <si>
    <t xml:space="preserve">AAACTCATCAATGTCTTGAAAAGC</t>
  </si>
  <si>
    <t xml:space="preserve">GAGAATTTTCTTGCCGGTCT</t>
  </si>
  <si>
    <t xml:space="preserve">TAGTGAGAATTTTCTTGCCGGTCT</t>
  </si>
  <si>
    <t xml:space="preserve">AAACAGACCGGCAAGAAAATTCTC</t>
  </si>
  <si>
    <t xml:space="preserve">PSPPH_1824</t>
  </si>
  <si>
    <t xml:space="preserve">speE</t>
  </si>
  <si>
    <t xml:space="preserve">GTTTCCTGATAATCGCTCAT</t>
  </si>
  <si>
    <t xml:space="preserve">TAGTGTTTCCTGATAATCGCTCAT</t>
  </si>
  <si>
    <t xml:space="preserve">AAACATGAGCGATTATCAGGAAAC</t>
  </si>
  <si>
    <t xml:space="preserve">TTTTTTCCATACGAAAGCGC</t>
  </si>
  <si>
    <t xml:space="preserve">TAGTTTTTTTCCATACGAAAGCGC</t>
  </si>
  <si>
    <t xml:space="preserve">AAACGCGCTTTCGTATGGAAAAAA</t>
  </si>
  <si>
    <t xml:space="preserve">GATCACCAGATGCTGGTGTT</t>
  </si>
  <si>
    <t xml:space="preserve">TAGTGATCACCAGATGCTGGTGTT</t>
  </si>
  <si>
    <t xml:space="preserve">AAACAACACCAGCATCTGGTGATC</t>
  </si>
  <si>
    <t xml:space="preserve">CGCGGCCCATGCGCGGGTTC</t>
  </si>
  <si>
    <t xml:space="preserve">TAGTCGCGGCCCATGCGCGGGTTC</t>
  </si>
  <si>
    <t xml:space="preserve">AAACGAACCCGCGCATGGGCCGCG</t>
  </si>
  <si>
    <t xml:space="preserve">PSPPH_1825</t>
  </si>
  <si>
    <t xml:space="preserve">GCGTGTCGCCAATCATCTCG</t>
  </si>
  <si>
    <t xml:space="preserve">TAGTGCGTGTCGCCAATCATCTCG</t>
  </si>
  <si>
    <t xml:space="preserve">AAACCGAGATGATTGGCGACACGC</t>
  </si>
  <si>
    <t xml:space="preserve">GCTTCAAGGAATGTCGAGGC</t>
  </si>
  <si>
    <t xml:space="preserve">TAGTGCTTCAAGGAATGTCGAGGC</t>
  </si>
  <si>
    <t xml:space="preserve">AAACGCCTCGACATTCCTTGAAGC</t>
  </si>
  <si>
    <t xml:space="preserve">GCAGATACATGGTCAGGCGC</t>
  </si>
  <si>
    <t xml:space="preserve">TAGTGCAGATACATGGTCAGGCGC</t>
  </si>
  <si>
    <t xml:space="preserve">AAACGCGCCTGACCATGTATCTGC</t>
  </si>
  <si>
    <t xml:space="preserve">CCCGCGTGCAGCCATGGCCC</t>
  </si>
  <si>
    <t xml:space="preserve">TAGTCCCGCGTGCAGCCATGGCCC</t>
  </si>
  <si>
    <t xml:space="preserve">AAACGGGCCATGGCTGCACGCGGG</t>
  </si>
  <si>
    <t xml:space="preserve">PSPPH_1826</t>
  </si>
  <si>
    <t xml:space="preserve">ATCCTTGTCCAGATACGAAA</t>
  </si>
  <si>
    <t xml:space="preserve">TAGTATCCTTGTCCAGATACGAAA</t>
  </si>
  <si>
    <t xml:space="preserve">AAACTTTCGTATCTGGACAAGGAT</t>
  </si>
  <si>
    <t xml:space="preserve">GCTCGTCAAAACTAGCCTCA</t>
  </si>
  <si>
    <t xml:space="preserve">TAGTGCTCGTCAAAACTAGCCTCA</t>
  </si>
  <si>
    <t xml:space="preserve">AAACTGAGGCTAGTTTTGACGAGC</t>
  </si>
  <si>
    <t xml:space="preserve">CGCGCGGCCTCCTCCTCACT</t>
  </si>
  <si>
    <t xml:space="preserve">TAGTCGCGCGGCCTCCTCCTCACT</t>
  </si>
  <si>
    <t xml:space="preserve">AAACAGTGAGGAGGAGGCCGCGCG</t>
  </si>
  <si>
    <t xml:space="preserve">CTGGATACAGGTCCTTGCGC</t>
  </si>
  <si>
    <t xml:space="preserve">TAGTCTGGATACAGGTCCTTGCGC</t>
  </si>
  <si>
    <t xml:space="preserve">AAACGCGCAAGGACCTGTATCCAG</t>
  </si>
  <si>
    <t xml:space="preserve">PSPPH_1827</t>
  </si>
  <si>
    <t xml:space="preserve">ACTGCTGATGTCCTCTTGAT</t>
  </si>
  <si>
    <t xml:space="preserve">TAGTACTGCTGATGTCCTCTTGAT</t>
  </si>
  <si>
    <t xml:space="preserve">AAACATCAAGAGGACATCAGCAGT</t>
  </si>
  <si>
    <t xml:space="preserve">CAAAACCGCCTTCTTTCATG</t>
  </si>
  <si>
    <t xml:space="preserve">TAGTCAAAACCGCCTTCTTTCATG</t>
  </si>
  <si>
    <t xml:space="preserve">AAACCATGAAAGAAGGCGGTTTTG</t>
  </si>
  <si>
    <t xml:space="preserve">AAGATGGCGTAAAACTCGAT</t>
  </si>
  <si>
    <t xml:space="preserve">TAGTAAGATGGCGTAAAACTCGAT</t>
  </si>
  <si>
    <t xml:space="preserve">AAACATCGAGTTTTACGCCATCTT</t>
  </si>
  <si>
    <t xml:space="preserve">GCCGTGCCCGCTCCTCATCC</t>
  </si>
  <si>
    <t xml:space="preserve">TAGTGCCGTGCCCGCTCCTCATCC</t>
  </si>
  <si>
    <t xml:space="preserve">AAACGGATGAGGAGCGGGCACGGC</t>
  </si>
  <si>
    <t xml:space="preserve">PSPPH_1828</t>
  </si>
  <si>
    <t xml:space="preserve">ACATCTCGTCATAAAAGGTG</t>
  </si>
  <si>
    <t xml:space="preserve">TAGTACATCTCGTCATAAAAGGTG</t>
  </si>
  <si>
    <t xml:space="preserve">AAACCACCTTTTATGACGAGATGT</t>
  </si>
  <si>
    <t xml:space="preserve">CGAACTCCCGATAGTGCGGA</t>
  </si>
  <si>
    <t xml:space="preserve">TAGTCGAACTCCCGATAGTGCGGA</t>
  </si>
  <si>
    <t xml:space="preserve">AAACTCCGCACTATCGGGAGTTCG</t>
  </si>
  <si>
    <t xml:space="preserve">AGGCGTATCACCCAGCCAGC</t>
  </si>
  <si>
    <t xml:space="preserve">TAGTAGGCGTATCACCCAGCCAGC</t>
  </si>
  <si>
    <t xml:space="preserve">AAACGCTGGCTGGGTGATACGCCT</t>
  </si>
  <si>
    <t xml:space="preserve">CGTTGAGCCAAAAGCTCGGG</t>
  </si>
  <si>
    <t xml:space="preserve">TAGTCGTTGAGCCAAAAGCTCGGG</t>
  </si>
  <si>
    <t xml:space="preserve">AAACCCCGAGCTTTTGGCTCAACG</t>
  </si>
  <si>
    <t xml:space="preserve">PSPPH_1829</t>
  </si>
  <si>
    <t xml:space="preserve">GAGGCAGTTCTACTTAACAT</t>
  </si>
  <si>
    <t xml:space="preserve">TAGTGAGGCAGTTCTACTTAACAT</t>
  </si>
  <si>
    <t xml:space="preserve">AAACATGTTAAGTAGAACTGCCTC</t>
  </si>
  <si>
    <t xml:space="preserve">CGAGGTTCTCCGCTCGCTCC</t>
  </si>
  <si>
    <t xml:space="preserve">TAGTCGAGGTTCTCCGCTCGCTCC</t>
  </si>
  <si>
    <t xml:space="preserve">AAACGGAGCGAGCGGAGAACCTCG</t>
  </si>
  <si>
    <t xml:space="preserve">AATAGCTCACGTCCAGCATT</t>
  </si>
  <si>
    <t xml:space="preserve">TAGTAATAGCTCACGTCCAGCATT</t>
  </si>
  <si>
    <t xml:space="preserve">AAACAATGCTGGACGTGAGCTATT</t>
  </si>
  <si>
    <t xml:space="preserve">CCGTCACCCCGCCCGTCCTG</t>
  </si>
  <si>
    <t xml:space="preserve">TAGTCCGTCACCCCGCCCGTCCTG</t>
  </si>
  <si>
    <t xml:space="preserve">AAACCAGGACGGGCGGGGTGACGG</t>
  </si>
  <si>
    <t xml:space="preserve">PSPPH_1830</t>
  </si>
  <si>
    <t xml:space="preserve">CGTAGTGATAGGTGGTCTCA</t>
  </si>
  <si>
    <t xml:space="preserve">TAGTCGTAGTGATAGGTGGTCTCA</t>
  </si>
  <si>
    <t xml:space="preserve">AAACTGAGACCACCTATCACTACG</t>
  </si>
  <si>
    <t xml:space="preserve">ACTGGATACTCGAGCGCACC</t>
  </si>
  <si>
    <t xml:space="preserve">TAGTACTGGATACTCGAGCGCACC</t>
  </si>
  <si>
    <t xml:space="preserve">AAACGGTGCGCTCGAGTATCCAGT</t>
  </si>
  <si>
    <t xml:space="preserve">GCTCACTGTCGTGAGGCGTC</t>
  </si>
  <si>
    <t xml:space="preserve">TAGTGCTCACTGTCGTGAGGCGTC</t>
  </si>
  <si>
    <t xml:space="preserve">AAACGACGCCTCACGACAGTGAGC</t>
  </si>
  <si>
    <t xml:space="preserve">ATTGCCAGCTAAGCACTTGC</t>
  </si>
  <si>
    <t xml:space="preserve">TAGTATTGCCAGCTAAGCACTTGC</t>
  </si>
  <si>
    <t xml:space="preserve">AAACGCAAGTGCTTAGCTGGCAAT</t>
  </si>
  <si>
    <t xml:space="preserve">PSPPH_1831</t>
  </si>
  <si>
    <t xml:space="preserve">ACAGCAATCCATTGGCGCAT</t>
  </si>
  <si>
    <t xml:space="preserve">TAGTACAGCAATCCATTGGCGCAT</t>
  </si>
  <si>
    <t xml:space="preserve">AAACATGCGCCAATGGATTGCTGT</t>
  </si>
  <si>
    <t xml:space="preserve">CTGATCTACCATGCCCGCGT</t>
  </si>
  <si>
    <t xml:space="preserve">TAGTCTGATCTACCATGCCCGCGT</t>
  </si>
  <si>
    <t xml:space="preserve">AAACACGCGGGCATGGTAGATCAG</t>
  </si>
  <si>
    <t xml:space="preserve">TGCCAGCGTCATAGTCGGTC</t>
  </si>
  <si>
    <t xml:space="preserve">TAGTTGCCAGCGTCATAGTCGGTC</t>
  </si>
  <si>
    <t xml:space="preserve">AAACGACCGACTATGACGCTGGCA</t>
  </si>
  <si>
    <t xml:space="preserve">TCATCTGATTGACCAGCCGC</t>
  </si>
  <si>
    <t xml:space="preserve">TAGTTCATCTGATTGACCAGCCGC</t>
  </si>
  <si>
    <t xml:space="preserve">AAACGCGGCTGGTCAATCAGATGA</t>
  </si>
  <si>
    <t xml:space="preserve">PSPPH_1833</t>
  </si>
  <si>
    <t xml:space="preserve">corA</t>
  </si>
  <si>
    <t xml:space="preserve">TGCTGCAACAACTCGACCCA</t>
  </si>
  <si>
    <t xml:space="preserve">TAGTTGCTGCAACAACTCGACCCA</t>
  </si>
  <si>
    <t xml:space="preserve">AAACTGGGTCGAGTTGTTGCAGCA</t>
  </si>
  <si>
    <t xml:space="preserve">CCTCATCAAGGGTAATGTCG</t>
  </si>
  <si>
    <t xml:space="preserve">TAGTCCTCATCAAGGGTAATGTCG</t>
  </si>
  <si>
    <t xml:space="preserve">AAACCGACATTACCCTTGATGAGG</t>
  </si>
  <si>
    <t xml:space="preserve">ATCGGGTTTGGCGGCCCAGG</t>
  </si>
  <si>
    <t xml:space="preserve">TAGTATCGGGTTTGGCGGCCCAGG</t>
  </si>
  <si>
    <t xml:space="preserve">AAACCCTGGGCCGCCAAACCCGAT</t>
  </si>
  <si>
    <t xml:space="preserve">CCTCATTACTGGGCTGCTCC</t>
  </si>
  <si>
    <t xml:space="preserve">TAGTCCTCATTACTGGGCTGCTCC</t>
  </si>
  <si>
    <t xml:space="preserve">AAACGGAGCAGCCCAGTAATGAGG</t>
  </si>
  <si>
    <t xml:space="preserve">PSPPH_1834</t>
  </si>
  <si>
    <t xml:space="preserve">TGGCGACACCGTCGTCCAGA</t>
  </si>
  <si>
    <t xml:space="preserve">TAGTTGGCGACACCGTCGTCCAGA</t>
  </si>
  <si>
    <t xml:space="preserve">AAACTCTGGACGACGGTGTCGCCA</t>
  </si>
  <si>
    <t xml:space="preserve">GCCGTTGTTCAGGGTCAGCG</t>
  </si>
  <si>
    <t xml:space="preserve">TAGTGCCGTTGTTCAGGGTCAGCG</t>
  </si>
  <si>
    <t xml:space="preserve">AAACCGCTGACCCTGAACAACGGC</t>
  </si>
  <si>
    <t xml:space="preserve">GATGATTACGTCCGGGGAAA</t>
  </si>
  <si>
    <t xml:space="preserve">TAGTGATGATTACGTCCGGGGAAA</t>
  </si>
  <si>
    <t xml:space="preserve">AAACTTTCCCCGGACGTAATCATC</t>
  </si>
  <si>
    <t xml:space="preserve">CACGATTGCCCGGTCCTGTT</t>
  </si>
  <si>
    <t xml:space="preserve">TAGTCACGATTGCCCGGTCCTGTT</t>
  </si>
  <si>
    <t xml:space="preserve">AAACAACAGGACCGGGCAATCGTG</t>
  </si>
  <si>
    <t xml:space="preserve">PSPPH_1835</t>
  </si>
  <si>
    <t xml:space="preserve">AGCGAGGTATTTCGCCAGCG</t>
  </si>
  <si>
    <t xml:space="preserve">TAGTAGCGAGGTATTTCGCCAGCG</t>
  </si>
  <si>
    <t xml:space="preserve">AAACCGCTGGCGAAATACCTCGCT</t>
  </si>
  <si>
    <t xml:space="preserve">TTCGTCCTTCAGGGTCGGAT</t>
  </si>
  <si>
    <t xml:space="preserve">TAGTTTCGTCCTTCAGGGTCGGAT</t>
  </si>
  <si>
    <t xml:space="preserve">AAACATCCGACCCTGAAGGACGAA</t>
  </si>
  <si>
    <t xml:space="preserve">ATTGCTGCTTTTGCTCTTTC</t>
  </si>
  <si>
    <t xml:space="preserve">TAGTATTGCTGCTTTTGCTCTTTC</t>
  </si>
  <si>
    <t xml:space="preserve">AAACGAAAGAGCAAAAGCAGCAAT</t>
  </si>
  <si>
    <t xml:space="preserve">GGTCTCGATGCCCTGGCTCT</t>
  </si>
  <si>
    <t xml:space="preserve">TAGTGGTCTCGATGCCCTGGCTCT</t>
  </si>
  <si>
    <t xml:space="preserve">AAACAGAGCCAGGGCATCGAGACC</t>
  </si>
  <si>
    <t xml:space="preserve">PSPPH_1836</t>
  </si>
  <si>
    <t xml:space="preserve">ATAGTAATCGTGGTCGAAAC</t>
  </si>
  <si>
    <t xml:space="preserve">TAGTATAGTAATCGTGGTCGAAAC</t>
  </si>
  <si>
    <t xml:space="preserve">AAACGTTTCGACCACGATTACTAT</t>
  </si>
  <si>
    <t xml:space="preserve">CCCATCAGCTCTTGCACCAG</t>
  </si>
  <si>
    <t xml:space="preserve">TAGTCCCATCAGCTCTTGCACCAG</t>
  </si>
  <si>
    <t xml:space="preserve">AAACCTGGTGCAAGAGCTGATGGG</t>
  </si>
  <si>
    <t xml:space="preserve">ATATACCGAGGCTCCGAGCC</t>
  </si>
  <si>
    <t xml:space="preserve">TAGTATATACCGAGGCTCCGAGCC</t>
  </si>
  <si>
    <t xml:space="preserve">AAACGGCTCGGAGCCTCGGTATAT</t>
  </si>
  <si>
    <t xml:space="preserve">CAATGGAATTACAATAGATG</t>
  </si>
  <si>
    <t xml:space="preserve">TAGTCAATGGAATTACAATAGATG</t>
  </si>
  <si>
    <t xml:space="preserve">AAACCATCTATTGTAATTCCATTG</t>
  </si>
  <si>
    <t xml:space="preserve">PSPPH_1837</t>
  </si>
  <si>
    <t xml:space="preserve">CGTGATTGAAAGCCTTTTCA</t>
  </si>
  <si>
    <t xml:space="preserve">TAGTCGTGATTGAAAGCCTTTTCA</t>
  </si>
  <si>
    <t xml:space="preserve">AAACTGAAAAGGCTTTCAATCACG</t>
  </si>
  <si>
    <t xml:space="preserve">TCTGTGCAGCGTTGTCACAG</t>
  </si>
  <si>
    <t xml:space="preserve">TAGTTCTGTGCAGCGTTGTCACAG</t>
  </si>
  <si>
    <t xml:space="preserve">AAACCTGTGACAACGCTGCACAGA</t>
  </si>
  <si>
    <t xml:space="preserve">GCCGCATGTTCGGCGGCCCC</t>
  </si>
  <si>
    <t xml:space="preserve">TAGTGCCGCATGTTCGGCGGCCCC</t>
  </si>
  <si>
    <t xml:space="preserve">AAACGGGGCCGCCGAACATGCGGC</t>
  </si>
  <si>
    <t xml:space="preserve">GTCTGGTGAACATAATCGAT</t>
  </si>
  <si>
    <t xml:space="preserve">TAGTGTCTGGTGAACATAATCGAT</t>
  </si>
  <si>
    <t xml:space="preserve">AAACATCGATTATGTTCACCAGAC</t>
  </si>
  <si>
    <t xml:space="preserve">PSPPH_1838</t>
  </si>
  <si>
    <t xml:space="preserve">TTCGTTGCTGCTGCCTGGCT</t>
  </si>
  <si>
    <t xml:space="preserve">TAGTTTCGTTGCTGCTGCCTGGCT</t>
  </si>
  <si>
    <t xml:space="preserve">AAACAGCCAGGCAGCAGCAACGAA</t>
  </si>
  <si>
    <t xml:space="preserve">GGTGACTCTTCGTCAAAACC</t>
  </si>
  <si>
    <t xml:space="preserve">TAGTGGTGACTCTTCGTCAAAACC</t>
  </si>
  <si>
    <t xml:space="preserve">AAACGGTTTTGACGAAGAGTCACC</t>
  </si>
  <si>
    <t xml:space="preserve">ATTTGCGGGTCCTGGGTTTT</t>
  </si>
  <si>
    <t xml:space="preserve">TAGTATTTGCGGGTCCTGGGTTTT</t>
  </si>
  <si>
    <t xml:space="preserve">AAACAAAACCCAGGACCCGCAAAT</t>
  </si>
  <si>
    <t xml:space="preserve">GGAGTCTTGGCGGGCTCGCT</t>
  </si>
  <si>
    <t xml:space="preserve">TAGTGGAGTCTTGGCGGGCTCGCT</t>
  </si>
  <si>
    <t xml:space="preserve">AAACAGCGAGCCCGCCAAGACTCC</t>
  </si>
  <si>
    <t xml:space="preserve">PSPPH_1839</t>
  </si>
  <si>
    <t xml:space="preserve">cycA</t>
  </si>
  <si>
    <t xml:space="preserve">TGCCAGCGCCACTATGAATA</t>
  </si>
  <si>
    <t xml:space="preserve">TAGTTGCCAGCGCCACTATGAATA</t>
  </si>
  <si>
    <t xml:space="preserve">AAACTATTCATAGTGGCGCTGGCA</t>
  </si>
  <si>
    <t xml:space="preserve">TCACCTGCGCCGTAAGCCAG</t>
  </si>
  <si>
    <t xml:space="preserve">TAGTTCACCTGCGCCGTAAGCCAG</t>
  </si>
  <si>
    <t xml:space="preserve">AAACCTGGCTTACGGCGCAGGTGA</t>
  </si>
  <si>
    <t xml:space="preserve">GCGGGTAAAGACTGCTTTTC</t>
  </si>
  <si>
    <t xml:space="preserve">TAGTGCGGGTAAAGACTGCTTTTC</t>
  </si>
  <si>
    <t xml:space="preserve">AAACGAAAAGCAGTCTTTACCCGC</t>
  </si>
  <si>
    <t xml:space="preserve">TCTTGTGACAGCCGGAGCAG</t>
  </si>
  <si>
    <t xml:space="preserve">TAGTTCTTGTGACAGCCGGAGCAG</t>
  </si>
  <si>
    <t xml:space="preserve">AAACCTGCTCCGGCTGTCACAAGA</t>
  </si>
  <si>
    <t xml:space="preserve">PSPPH_1840</t>
  </si>
  <si>
    <t xml:space="preserve">CGGCGATGAGCAGTTTTTTC</t>
  </si>
  <si>
    <t xml:space="preserve">TAGTCGGCGATGAGCAGTTTTTTC</t>
  </si>
  <si>
    <t xml:space="preserve">AAACGAAAAAACTGCTCATCGCCG</t>
  </si>
  <si>
    <t xml:space="preserve">AGCAGCCGCCAGACACGCAA</t>
  </si>
  <si>
    <t xml:space="preserve">TAGTAGCAGCCGCCAGACACGCAA</t>
  </si>
  <si>
    <t xml:space="preserve">AAACTTGCGTGTCTGGCGGCTGCT</t>
  </si>
  <si>
    <t xml:space="preserve">ATCTGACACGCAGCGAACGC</t>
  </si>
  <si>
    <t xml:space="preserve">TAGTATCTGACACGCAGCGAACGC</t>
  </si>
  <si>
    <t xml:space="preserve">AAACGCGTTCGCTGCGTGTCAGAT</t>
  </si>
  <si>
    <t xml:space="preserve">GAAGGCATGTCATACGCCAC</t>
  </si>
  <si>
    <t xml:space="preserve">TAGTGAAGGCATGTCATACGCCAC</t>
  </si>
  <si>
    <t xml:space="preserve">AAACGTGGCGTATGACATGCCTTC</t>
  </si>
  <si>
    <t xml:space="preserve">PSPPH_1841</t>
  </si>
  <si>
    <t xml:space="preserve">ACGAACCTCATGTTGGAGTG</t>
  </si>
  <si>
    <t xml:space="preserve">TAGTACGAACCTCATGTTGGAGTG</t>
  </si>
  <si>
    <t xml:space="preserve">AAACCACTCCAACATGAGGTTCGT</t>
  </si>
  <si>
    <t xml:space="preserve">GCCGCCGAGCTCTCATAGAG</t>
  </si>
  <si>
    <t xml:space="preserve">TAGTGCCGCCGAGCTCTCATAGAG</t>
  </si>
  <si>
    <t xml:space="preserve">AAACCTCTATGAGAGCTCGGCGGC</t>
  </si>
  <si>
    <t xml:space="preserve">TGCCGTGCCTGTGCCCAGAC</t>
  </si>
  <si>
    <t xml:space="preserve">TAGTTGCCGTGCCTGTGCCCAGAC</t>
  </si>
  <si>
    <t xml:space="preserve">AAACGTCTGGGCACAGGCACGGCA</t>
  </si>
  <si>
    <t xml:space="preserve">CGGCGCGACGACATCAATAG</t>
  </si>
  <si>
    <t xml:space="preserve">TAGTCGGCGCGACGACATCAATAG</t>
  </si>
  <si>
    <t xml:space="preserve">AAACCTATTGATGTCGTCGCGCCG</t>
  </si>
  <si>
    <t xml:space="preserve">PSPPH_1842</t>
  </si>
  <si>
    <t xml:space="preserve">TAGACGAGTTTTAGGTGAAT</t>
  </si>
  <si>
    <t xml:space="preserve">TAGTTAGACGAGTTTTAGGTGAAT</t>
  </si>
  <si>
    <t xml:space="preserve">AAACATTCACCTAAAACTCGTCTA</t>
  </si>
  <si>
    <t xml:space="preserve">CATGGTGCGTCCTCTGCAAA</t>
  </si>
  <si>
    <t xml:space="preserve">TAGTCATGGTGCGTCCTCTGCAAA</t>
  </si>
  <si>
    <t xml:space="preserve">AAACTTTGCAGAGGACGCACCATG</t>
  </si>
  <si>
    <t xml:space="preserve">TCAAGAACGCGCTGAATATC</t>
  </si>
  <si>
    <t xml:space="preserve">TAGTTCAAGAACGCGCTGAATATC</t>
  </si>
  <si>
    <t xml:space="preserve">AAACGATATTCAGCGCGTTCTTGA</t>
  </si>
  <si>
    <t xml:space="preserve">CTCGCACTTTGACGGCAGAA</t>
  </si>
  <si>
    <t xml:space="preserve">TAGTCTCGCACTTTGACGGCAGAA</t>
  </si>
  <si>
    <t xml:space="preserve">AAACTTCTGCCGTCAAAGTGCGAG</t>
  </si>
  <si>
    <t xml:space="preserve">PSPPH_1843</t>
  </si>
  <si>
    <t xml:space="preserve">ACGGAAATTACGCACCCAAA</t>
  </si>
  <si>
    <t xml:space="preserve">TAGTACGGAAATTACGCACCCAAA</t>
  </si>
  <si>
    <t xml:space="preserve">AAACTTTGGGTGCGTAATTTCCGT</t>
  </si>
  <si>
    <t xml:space="preserve">AGATGTTTTACCGCTGTTGT</t>
  </si>
  <si>
    <t xml:space="preserve">TAGTAGATGTTTTACCGCTGTTGT</t>
  </si>
  <si>
    <t xml:space="preserve">AAACACAACAGCGGTAAAACATCT</t>
  </si>
  <si>
    <t xml:space="preserve">AAACCGATCTTTCGAAGCGG</t>
  </si>
  <si>
    <t xml:space="preserve">TAGTAAACCGATCTTTCGAAGCGG</t>
  </si>
  <si>
    <t xml:space="preserve">AAACCCGCTTCGAAAGATCGGTTT</t>
  </si>
  <si>
    <t xml:space="preserve">CTCTGAGCTGAAATCATGGA</t>
  </si>
  <si>
    <t xml:space="preserve">TAGTCTCTGAGCTGAAATCATGGA</t>
  </si>
  <si>
    <t xml:space="preserve">AAACTCCATGATTTCAGCTCAGAG</t>
  </si>
  <si>
    <t xml:space="preserve">PSPPH_1847</t>
  </si>
  <si>
    <t xml:space="preserve">CTACTTTGCCAGCGAGTTTA</t>
  </si>
  <si>
    <t xml:space="preserve">TAGTCTACTTTGCCAGCGAGTTTA</t>
  </si>
  <si>
    <t xml:space="preserve">AAACTAAACTCGCTGGCAAAGTAG</t>
  </si>
  <si>
    <t xml:space="preserve">GATGGCTGCACCGATGCCTC</t>
  </si>
  <si>
    <t xml:space="preserve">TAGTGATGGCTGCACCGATGCCTC</t>
  </si>
  <si>
    <t xml:space="preserve">AAACGAGGCATCGGTGCAGCCATC</t>
  </si>
  <si>
    <t xml:space="preserve">CGCCTTCTTTAGCCAGCCGC</t>
  </si>
  <si>
    <t xml:space="preserve">TAGTCGCCTTCTTTAGCCAGCCGC</t>
  </si>
  <si>
    <t xml:space="preserve">AAACGCGGCTGGCTAAAGAAGGCG</t>
  </si>
  <si>
    <t xml:space="preserve">GACGTAGGTAAATGCCACGG</t>
  </si>
  <si>
    <t xml:space="preserve">TAGTGACGTAGGTAAATGCCACGG</t>
  </si>
  <si>
    <t xml:space="preserve">AAACCCGTGGCATTTACCTACGTC</t>
  </si>
  <si>
    <t xml:space="preserve">PSPPH_1848</t>
  </si>
  <si>
    <t xml:space="preserve">TGCCCTGCTGCATGTCGATC</t>
  </si>
  <si>
    <t xml:space="preserve">TAGTTGCCCTGCTGCATGTCGATC</t>
  </si>
  <si>
    <t xml:space="preserve">AAACGATCGACATGCAGCAGGGCA</t>
  </si>
  <si>
    <t xml:space="preserve">TTGTTACGCCGCCCCAGCTT</t>
  </si>
  <si>
    <t xml:space="preserve">TAGTTTGTTACGCCGCCCCAGCTT</t>
  </si>
  <si>
    <t xml:space="preserve">AAACAAGCTGGGGCGGCGTAACAA</t>
  </si>
  <si>
    <t xml:space="preserve">CCTATATTCGCCTCGGCCTG</t>
  </si>
  <si>
    <t xml:space="preserve">TAGTCCTATATTCGCCTCGGCCTG</t>
  </si>
  <si>
    <t xml:space="preserve">AAACCAGGCCGAGGCGAATATAGG</t>
  </si>
  <si>
    <t xml:space="preserve">CGGACGCCCGGATTGTCGCC</t>
  </si>
  <si>
    <t xml:space="preserve">TAGTCGGACGCCCGGATTGTCGCC</t>
  </si>
  <si>
    <t xml:space="preserve">AAACGGCGACAATCCGGGCGTCCG</t>
  </si>
  <si>
    <t xml:space="preserve">PSPPH_1849</t>
  </si>
  <si>
    <t xml:space="preserve">AGCCAGGACTTTTTCGAGAA</t>
  </si>
  <si>
    <t xml:space="preserve">TAGTAGCCAGGACTTTTTCGAGAA</t>
  </si>
  <si>
    <t xml:space="preserve">AAACTTCTCGAAAAAGTCCTGGCT</t>
  </si>
  <si>
    <t xml:space="preserve">CTCGTGGAATAGGTCTGTCC</t>
  </si>
  <si>
    <t xml:space="preserve">TAGTCTCGTGGAATAGGTCTGTCC</t>
  </si>
  <si>
    <t xml:space="preserve">AAACGGACAGACCTATTCCACGAG</t>
  </si>
  <si>
    <t xml:space="preserve">CCAGCACGATGCGTTTTTGC</t>
  </si>
  <si>
    <t xml:space="preserve">TAGTCCAGCACGATGCGTTTTTGC</t>
  </si>
  <si>
    <t xml:space="preserve">AAACGCAAAAACGCATCGTGCTGG</t>
  </si>
  <si>
    <t xml:space="preserve">GGTGCGGATGATCTGCGGGC</t>
  </si>
  <si>
    <t xml:space="preserve">TAGTGGTGCGGATGATCTGCGGGC</t>
  </si>
  <si>
    <t xml:space="preserve">AAACGCCCGCAGATCATCCGCACC</t>
  </si>
  <si>
    <t xml:space="preserve">PSPPH_1850</t>
  </si>
  <si>
    <t xml:space="preserve">GCGCGATCAGCGTCAGCAGC</t>
  </si>
  <si>
    <t xml:space="preserve">TAGTGCGCGATCAGCGTCAGCAGC</t>
  </si>
  <si>
    <t xml:space="preserve">AAACGCTGCTGACGCTGATCGCGC</t>
  </si>
  <si>
    <t xml:space="preserve">AAGCCATCGGCGAACGCGGT</t>
  </si>
  <si>
    <t xml:space="preserve">TAGTAAGCCATCGGCGAACGCGGT</t>
  </si>
  <si>
    <t xml:space="preserve">AAACACCGCGTTCGCCGATGGCTT</t>
  </si>
  <si>
    <t xml:space="preserve">ACAAGCTGACGGGTCGAGGC</t>
  </si>
  <si>
    <t xml:space="preserve">TAGTACAAGCTGACGGGTCGAGGC</t>
  </si>
  <si>
    <t xml:space="preserve">AAACGCCTCGACCCGTCAGCTTGT</t>
  </si>
  <si>
    <t xml:space="preserve">CGTCCTTGTCCCAGTTTTCC</t>
  </si>
  <si>
    <t xml:space="preserve">TAGTCGTCCTTGTCCCAGTTTTCC</t>
  </si>
  <si>
    <t xml:space="preserve">AAACGGAAAACTGGGACAAGGACG</t>
  </si>
  <si>
    <t xml:space="preserve">PSPPH_1851</t>
  </si>
  <si>
    <t xml:space="preserve">mfd</t>
  </si>
  <si>
    <t xml:space="preserve">GGTAGACGCAGAACTGGCAC</t>
  </si>
  <si>
    <t xml:space="preserve">TAGTGGTAGACGCAGAACTGGCAC</t>
  </si>
  <si>
    <t xml:space="preserve">AAACGTGCCAGTTCTGCGTCTACC</t>
  </si>
  <si>
    <t xml:space="preserve">CCTGCAGCGGCAGAAAGATG</t>
  </si>
  <si>
    <t xml:space="preserve">TAGTCCTGCAGCGGCAGAAAGATG</t>
  </si>
  <si>
    <t xml:space="preserve">AAACCATCTTTCTGCCGCTGCAGG</t>
  </si>
  <si>
    <t xml:space="preserve">GCCAGGCTCAGTGTGGCACC</t>
  </si>
  <si>
    <t xml:space="preserve">TAGTGCCAGGCTCAGTGTGGCACC</t>
  </si>
  <si>
    <t xml:space="preserve">AAACGGTGCCACACTGAGCCTGGC</t>
  </si>
  <si>
    <t xml:space="preserve">CGCGCTGGCGGCTTCGGCAA</t>
  </si>
  <si>
    <t xml:space="preserve">TAGTCGCGCTGGCGGCTTCGGCAA</t>
  </si>
  <si>
    <t xml:space="preserve">AAACTTGCCGAAGCCGCCAGCGCG</t>
  </si>
  <si>
    <t xml:space="preserve">PSPPH_1852</t>
  </si>
  <si>
    <t xml:space="preserve">gap2</t>
  </si>
  <si>
    <t xml:space="preserve">TGGTCGGGCTTCTGAGTCAC</t>
  </si>
  <si>
    <t xml:space="preserve">TAGTTGGTCGGGCTTCTGAGTCAC</t>
  </si>
  <si>
    <t xml:space="preserve">AAACGTGACTCAGAAGCCCGACCA</t>
  </si>
  <si>
    <t xml:space="preserve">CAATCCATTCACCAAGACAC</t>
  </si>
  <si>
    <t xml:space="preserve">TAGTCAATCCATTCACCAAGACAC</t>
  </si>
  <si>
    <t xml:space="preserve">AAACGTGTCTTGGTGAATGGATTG</t>
  </si>
  <si>
    <t xml:space="preserve">GATGAGCGGGATCATCGCTT</t>
  </si>
  <si>
    <t xml:space="preserve">TAGTGATGAGCGGGATCATCGCTT</t>
  </si>
  <si>
    <t xml:space="preserve">AAACAAGCGATGATCCCGCTCATC</t>
  </si>
  <si>
    <t xml:space="preserve">AGCTCACCACGTTATTATTG</t>
  </si>
  <si>
    <t xml:space="preserve">TAGTAGCTCACCACGTTATTATTG</t>
  </si>
  <si>
    <t xml:space="preserve">AAACCAATAATAACGTGGTGAGCT</t>
  </si>
  <si>
    <t xml:space="preserve">PSPPH_1853</t>
  </si>
  <si>
    <t xml:space="preserve">GTGTTTCTGCGATCCGTCCA</t>
  </si>
  <si>
    <t xml:space="preserve">TAGTGTGTTTCTGCGATCCGTCCA</t>
  </si>
  <si>
    <t xml:space="preserve">AAACTGGACGGATCGCAGAAACAC</t>
  </si>
  <si>
    <t xml:space="preserve">GAAAAAAGAAGCTGCTTTTG</t>
  </si>
  <si>
    <t xml:space="preserve">TAGTGAAAAAAGAAGCTGCTTTTG</t>
  </si>
  <si>
    <t xml:space="preserve">AAACCAAAAGCAGCTTCTTTTTTC</t>
  </si>
  <si>
    <t xml:space="preserve">CGAAATGCCCCAGACCAAAG</t>
  </si>
  <si>
    <t xml:space="preserve">TAGTCGAAATGCCCCAGACCAAAG</t>
  </si>
  <si>
    <t xml:space="preserve">AAACCTTTGGTCTGGGGCATTTCG</t>
  </si>
  <si>
    <t xml:space="preserve">ATTGACGGTACGAAACAGGT</t>
  </si>
  <si>
    <t xml:space="preserve">TAGTATTGACGGTACGAAACAGGT</t>
  </si>
  <si>
    <t xml:space="preserve">AAACACCTGTTTCGTACCGTCAAT</t>
  </si>
  <si>
    <t xml:space="preserve">PSPPH_1854</t>
  </si>
  <si>
    <t xml:space="preserve">TTTGCCCTTACTTGTTGTGG</t>
  </si>
  <si>
    <t xml:space="preserve">TAGTTTTGCCCTTACTTGTTGTGG</t>
  </si>
  <si>
    <t xml:space="preserve">AAACCCACAACAAGTAAGGGCAAA</t>
  </si>
  <si>
    <t xml:space="preserve">CCATGAAATCGAACATCTCG</t>
  </si>
  <si>
    <t xml:space="preserve">TAGTCCATGAAATCGAACATCTCG</t>
  </si>
  <si>
    <t xml:space="preserve">AAACCGAGATGTTCGATTTCATGG</t>
  </si>
  <si>
    <t xml:space="preserve">AAATGTCTTGGCAATGGCCG</t>
  </si>
  <si>
    <t xml:space="preserve">TAGTAAATGTCTTGGCAATGGCCG</t>
  </si>
  <si>
    <t xml:space="preserve">AAACCGGCCATTGCCAAGACATTT</t>
  </si>
  <si>
    <t xml:space="preserve">AAGCGAATGCGCTGTAGGAT</t>
  </si>
  <si>
    <t xml:space="preserve">TAGTAAGCGAATGCGCTGTAGGAT</t>
  </si>
  <si>
    <t xml:space="preserve">AAACATCCTACAGCGCATTCGCTT</t>
  </si>
  <si>
    <t xml:space="preserve">PSPPH_1855</t>
  </si>
  <si>
    <t xml:space="preserve">GAATAATGACTGCCCATGGC</t>
  </si>
  <si>
    <t xml:space="preserve">TAGTGAATAATGACTGCCCATGGC</t>
  </si>
  <si>
    <t xml:space="preserve">AAACGCCATGGGCAGTCATTATTC</t>
  </si>
  <si>
    <t xml:space="preserve">TGCAGGCTCAGGCTGCCCGG</t>
  </si>
  <si>
    <t xml:space="preserve">TAGTTGCAGGCTCAGGCTGCCCGG</t>
  </si>
  <si>
    <t xml:space="preserve">AAACCCGGGCAGCCTGAGCCTGCA</t>
  </si>
  <si>
    <t xml:space="preserve">CCAGAATCGATTCGATCTGC</t>
  </si>
  <si>
    <t xml:space="preserve">TAGTCCAGAATCGATTCGATCTGC</t>
  </si>
  <si>
    <t xml:space="preserve">AAACGCAGATCGAATCGATTCTGG</t>
  </si>
  <si>
    <t xml:space="preserve">ATGGTCTGGCAGCTATTGGC</t>
  </si>
  <si>
    <t xml:space="preserve">TAGTATGGTCTGGCAGCTATTGGC</t>
  </si>
  <si>
    <t xml:space="preserve">AAACGCCAATAGCTGCCAGACCAT</t>
  </si>
  <si>
    <t xml:space="preserve">PSPPH_1856</t>
  </si>
  <si>
    <t xml:space="preserve">sthA</t>
  </si>
  <si>
    <t xml:space="preserve">CGCGCCTTCTCCGGCAGGGC</t>
  </si>
  <si>
    <t xml:space="preserve">TAGTCGCGCCTTCTCCGGCAGGGC</t>
  </si>
  <si>
    <t xml:space="preserve">AAACGCCCTGCCGGAGAAGGCGCG</t>
  </si>
  <si>
    <t xml:space="preserve">GACCTTGCGCCCCGCCTTGG</t>
  </si>
  <si>
    <t xml:space="preserve">TAGTGACCTTGCGCCCCGCCTTGG</t>
  </si>
  <si>
    <t xml:space="preserve">AAACCCAAGGCGGGGCGCAAGGTC</t>
  </si>
  <si>
    <t xml:space="preserve">TTGCCGACGGCTGTCGACCA</t>
  </si>
  <si>
    <t xml:space="preserve">TAGTTTGCCGACGGCTGTCGACCA</t>
  </si>
  <si>
    <t xml:space="preserve">AAACTGGTCGACAGCCGTCGGCAA</t>
  </si>
  <si>
    <t xml:space="preserve">GGACGGAATGGTGCCCAAAT</t>
  </si>
  <si>
    <t xml:space="preserve">TAGTGGACGGAATGGTGCCCAAAT</t>
  </si>
  <si>
    <t xml:space="preserve">AAACATTTGGGCACCATTCCGTCC</t>
  </si>
  <si>
    <t xml:space="preserve">PSPPH_1857</t>
  </si>
  <si>
    <t xml:space="preserve">GCCGCGGTGGCCGTAGATAA</t>
  </si>
  <si>
    <t xml:space="preserve">TAGTGCCGCGGTGGCCGTAGATAA</t>
  </si>
  <si>
    <t xml:space="preserve">AAACTTATCTACGGCCACCGCGGC</t>
  </si>
  <si>
    <t xml:space="preserve">GTTTTCCGGTGCTTCGCCCT</t>
  </si>
  <si>
    <t xml:space="preserve">TAGTGTTTTCCGGTGCTTCGCCCT</t>
  </si>
  <si>
    <t xml:space="preserve">AAACAGGGCGAAGCACCGGAAAAC</t>
  </si>
  <si>
    <t xml:space="preserve">GCATTCCTGGAAGCTGACCA</t>
  </si>
  <si>
    <t xml:space="preserve">TAGTGCATTCCTGGAAGCTGACCA</t>
  </si>
  <si>
    <t xml:space="preserve">AAACTGGTCAGCTTCCAGGAATGC</t>
  </si>
  <si>
    <t xml:space="preserve">GATGCAGGTCCAGTTCACAA</t>
  </si>
  <si>
    <t xml:space="preserve">TAGTGATGCAGGTCCAGTTCACAA</t>
  </si>
  <si>
    <t xml:space="preserve">AAACTTGTGAACTGGACCTGCATC</t>
  </si>
  <si>
    <t xml:space="preserve">PSPPH_1858</t>
  </si>
  <si>
    <t xml:space="preserve">TGCTTCATCTAATGTCGACA</t>
  </si>
  <si>
    <t xml:space="preserve">TAGTTGCTTCATCTAATGTCGACA</t>
  </si>
  <si>
    <t xml:space="preserve">AAACTGTCGACATTAGATGAAGCA</t>
  </si>
  <si>
    <t xml:space="preserve">CGTCGATACGGTAGTATTCG</t>
  </si>
  <si>
    <t xml:space="preserve">TAGTCGTCGATACGGTAGTATTCG</t>
  </si>
  <si>
    <t xml:space="preserve">AAACCGAATACTACCGTATCGACG</t>
  </si>
  <si>
    <t xml:space="preserve">CCTGGTCGGCACCAGACAGG</t>
  </si>
  <si>
    <t xml:space="preserve">TAGTCCTGGTCGGCACCAGACAGG</t>
  </si>
  <si>
    <t xml:space="preserve">AAACCCTGTCTGGTGCCGACCAGG</t>
  </si>
  <si>
    <t xml:space="preserve">CAGTGTCGAGGTGTCCTGCA</t>
  </si>
  <si>
    <t xml:space="preserve">TAGTCAGTGTCGAGGTGTCCTGCA</t>
  </si>
  <si>
    <t xml:space="preserve">AAACTGCAGGACACCTCGACACTG</t>
  </si>
  <si>
    <t xml:space="preserve">PSPPH_1859</t>
  </si>
  <si>
    <t xml:space="preserve">lolC</t>
  </si>
  <si>
    <t xml:space="preserve">GTGCCGATAAATACAAAAAG</t>
  </si>
  <si>
    <t xml:space="preserve">TAGTGTGCCGATAAATACAAAAAG</t>
  </si>
  <si>
    <t xml:space="preserve">AAACCTTTTTGTATTTATCGGCAC</t>
  </si>
  <si>
    <t xml:space="preserve">AACAAAATGGTTGCGTCGCT</t>
  </si>
  <si>
    <t xml:space="preserve">TAGTAACAAAATGGTTGCGTCGCT</t>
  </si>
  <si>
    <t xml:space="preserve">AAACAGCGACGCAACCATTTTGTT</t>
  </si>
  <si>
    <t xml:space="preserve">GAGGCCGATCATGGACGTCA</t>
  </si>
  <si>
    <t xml:space="preserve">TAGTGAGGCCGATCATGGACGTCA</t>
  </si>
  <si>
    <t xml:space="preserve">AAACTGACGTCCATGATCGGCCTC</t>
  </si>
  <si>
    <t xml:space="preserve">TATCATCACTACCACGCCGA</t>
  </si>
  <si>
    <t xml:space="preserve">TAGTTATCATCACTACCACGCCGA</t>
  </si>
  <si>
    <t xml:space="preserve">AAACTCGGCGTGGTAGTGATGATA</t>
  </si>
  <si>
    <t xml:space="preserve">PSPPH_1860</t>
  </si>
  <si>
    <t xml:space="preserve">lolD</t>
  </si>
  <si>
    <t xml:space="preserve">CGTAGGATTTACCCAGGTTG</t>
  </si>
  <si>
    <t xml:space="preserve">TAGTCGTAGGATTTACCCAGGTTG</t>
  </si>
  <si>
    <t xml:space="preserve">AAACCAACCTGGGTAAATCCTACG</t>
  </si>
  <si>
    <t xml:space="preserve">ACAACACCACGACCGACTCC</t>
  </si>
  <si>
    <t xml:space="preserve">TAGTACAACACCACGACCGACTCC</t>
  </si>
  <si>
    <t xml:space="preserve">AAACGGAGTCGGTCGTGGTGTTGT</t>
  </si>
  <si>
    <t xml:space="preserve">ATGCAGCTCCAGTTGCAGAC</t>
  </si>
  <si>
    <t xml:space="preserve">TAGTATGCAGCTCCAGTTGCAGAC</t>
  </si>
  <si>
    <t xml:space="preserve">AAACGTCTGCAACTGGAGCTGCAT</t>
  </si>
  <si>
    <t xml:space="preserve">ACAATAGCCACCCGCTCACC</t>
  </si>
  <si>
    <t xml:space="preserve">TAGTACAATAGCCACCCGCTCACC</t>
  </si>
  <si>
    <t xml:space="preserve">AAACGGTGAGCGGGTGGCTATTGT</t>
  </si>
  <si>
    <t xml:space="preserve">PSPPH_1861</t>
  </si>
  <si>
    <t xml:space="preserve">lolE</t>
  </si>
  <si>
    <t xml:space="preserve">ATGCCGATGAAGATGGGTAA</t>
  </si>
  <si>
    <t xml:space="preserve">TAGTATGCCGATGAAGATGGGTAA</t>
  </si>
  <si>
    <t xml:space="preserve">AAACTTACCCATCTTCATCGGCAT</t>
  </si>
  <si>
    <t xml:space="preserve">GCTTTTGCGGCGTTTGGCGC</t>
  </si>
  <si>
    <t xml:space="preserve">TAGTGCTTTTGCGGCGTTTGGCGC</t>
  </si>
  <si>
    <t xml:space="preserve">AAACGCGCCAAACGCCGCAAAAGC</t>
  </si>
  <si>
    <t xml:space="preserve">TTCGCGAACTCATTTCCCGC</t>
  </si>
  <si>
    <t xml:space="preserve">TAGTTTCGCGAACTCATTTCCCGC</t>
  </si>
  <si>
    <t xml:space="preserve">AAACGCGGGAAATGAGTTCGCGAA</t>
  </si>
  <si>
    <t xml:space="preserve">CCGCATGCGGCACCATGCCC</t>
  </si>
  <si>
    <t xml:space="preserve">TAGTCCGCATGCGGCACCATGCCC</t>
  </si>
  <si>
    <t xml:space="preserve">AAACGGGCATGGTGCCGCATGCGG</t>
  </si>
  <si>
    <t xml:space="preserve">PSPPH_1862</t>
  </si>
  <si>
    <t xml:space="preserve">GTGTTCGGCTGCGGGATGCA</t>
  </si>
  <si>
    <t xml:space="preserve">TAGTGTGTTCGGCTGCGGGATGCA</t>
  </si>
  <si>
    <t xml:space="preserve">AAACTGCATCCCGCAGCCGAACAC</t>
  </si>
  <si>
    <t xml:space="preserve">TACTCACTGGACTTGCCCAG</t>
  </si>
  <si>
    <t xml:space="preserve">TAGTTACTCACTGGACTTGCCCAG</t>
  </si>
  <si>
    <t xml:space="preserve">AAACCTGGGCAAGTCCAGTGAGTA</t>
  </si>
  <si>
    <t xml:space="preserve">CAACAAAGACGGCGTATAGG</t>
  </si>
  <si>
    <t xml:space="preserve">TAGTCAACAAAGACGGCGTATAGG</t>
  </si>
  <si>
    <t xml:space="preserve">AAACCCTATACGCCGTCTTTGTTG</t>
  </si>
  <si>
    <t xml:space="preserve">ATTTTGCAGCGCGGGAGATC</t>
  </si>
  <si>
    <t xml:space="preserve">TAGTATTTTGCAGCGCGGGAGATC</t>
  </si>
  <si>
    <t xml:space="preserve">AAACGATCTCCCGCGCTGCAAAAT</t>
  </si>
  <si>
    <t xml:space="preserve">PSPPH_1863</t>
  </si>
  <si>
    <t xml:space="preserve">TGTTCTTGCAGTTCGCGGGC</t>
  </si>
  <si>
    <t xml:space="preserve">TAGTTGTTCTTGCAGTTCGCGGGC</t>
  </si>
  <si>
    <t xml:space="preserve">AAACGCCCGCGAACTGCAAGAACA</t>
  </si>
  <si>
    <t xml:space="preserve">ATGCTCCAGTTGCTCGCGCA</t>
  </si>
  <si>
    <t xml:space="preserve">TAGTATGCTCCAGTTGCTCGCGCA</t>
  </si>
  <si>
    <t xml:space="preserve">AAACTGCGCGAGCAACTGGAGCAT</t>
  </si>
  <si>
    <t xml:space="preserve">GGTCAGACTCCGAAAGCGGG</t>
  </si>
  <si>
    <t xml:space="preserve">TAGTGGTCAGACTCCGAAAGCGGG</t>
  </si>
  <si>
    <t xml:space="preserve">AAACCCCGCTTTCGGAGTCTGACC</t>
  </si>
  <si>
    <t xml:space="preserve">TGAGTTCGTGAAGATTTTCC</t>
  </si>
  <si>
    <t xml:space="preserve">TAGTTGAGTTCGTGAAGATTTTCC</t>
  </si>
  <si>
    <t xml:space="preserve">AAACGGAAAATCTTCACGAACTCA</t>
  </si>
  <si>
    <t xml:space="preserve">PSPPH_1864</t>
  </si>
  <si>
    <t xml:space="preserve">GTTGGCAGAGGCGTGAGGAC</t>
  </si>
  <si>
    <t xml:space="preserve">TAGTGTTGGCAGAGGCGTGAGGAC</t>
  </si>
  <si>
    <t xml:space="preserve">AAACGTCCTCACGCCTCTGCCAAC</t>
  </si>
  <si>
    <t xml:space="preserve">GCCGAACAGCAGGGCGGGAA</t>
  </si>
  <si>
    <t xml:space="preserve">TAGTGCCGAACAGCAGGGCGGGAA</t>
  </si>
  <si>
    <t xml:space="preserve">AAACTTCCCGCCCTGCTGTTCGGC</t>
  </si>
  <si>
    <t xml:space="preserve">AGTCCACCAGACAGCCGCTA</t>
  </si>
  <si>
    <t xml:space="preserve">TAGTAGTCCACCAGACAGCCGCTA</t>
  </si>
  <si>
    <t xml:space="preserve">AAACTAGCGGCTGTCTGGTGGACT</t>
  </si>
  <si>
    <t xml:space="preserve">GCCTGGTGTAAGCGAGGTCA</t>
  </si>
  <si>
    <t xml:space="preserve">TAGTGCCTGGTGTAAGCGAGGTCA</t>
  </si>
  <si>
    <t xml:space="preserve">AAACTGACCTCGCTTACACCAGGC</t>
  </si>
  <si>
    <t xml:space="preserve">PSPPH_1865</t>
  </si>
  <si>
    <t xml:space="preserve">ATAAAGCCTGCACCGGTCAC</t>
  </si>
  <si>
    <t xml:space="preserve">TAGTATAAAGCCTGCACCGGTCAC</t>
  </si>
  <si>
    <t xml:space="preserve">AAACGTGACCGGTGCAGGCTTTAT</t>
  </si>
  <si>
    <t xml:space="preserve">CAGCGCAATGCCGGCACAGA</t>
  </si>
  <si>
    <t xml:space="preserve">TAGTCAGCGCAATGCCGGCACAGA</t>
  </si>
  <si>
    <t xml:space="preserve">AAACTCTGTGCCGGCATTGCGCTG</t>
  </si>
  <si>
    <t xml:space="preserve">TCGGCGGCCTGAACGGCTAC</t>
  </si>
  <si>
    <t xml:space="preserve">TAGTTCGGCGGCCTGAACGGCTAC</t>
  </si>
  <si>
    <t xml:space="preserve">AAACGTAGCCGTTCAGGCCGCCGA</t>
  </si>
  <si>
    <t xml:space="preserve">AGCGGTTGATGCCTTCCCAC</t>
  </si>
  <si>
    <t xml:space="preserve">TAGTAGCGGTTGATGCCTTCCCAC</t>
  </si>
  <si>
    <t xml:space="preserve">AAACGTGGGAAGGCATCAACCGCT</t>
  </si>
  <si>
    <t xml:space="preserve">PSPPH_1866</t>
  </si>
  <si>
    <t xml:space="preserve">CGTCTGCTTCGACGCGCATG</t>
  </si>
  <si>
    <t xml:space="preserve">TAGTCGTCTGCTTCGACGCGCATG</t>
  </si>
  <si>
    <t xml:space="preserve">AAACCATGCGCGTCGAAGCAGACG</t>
  </si>
  <si>
    <t xml:space="preserve">TCACCTGGCCCGCGTGGATC</t>
  </si>
  <si>
    <t xml:space="preserve">TAGTTCACCTGGCCCGCGTGGATC</t>
  </si>
  <si>
    <t xml:space="preserve">AAACGATCCACGCGGGCCAGGTGA</t>
  </si>
  <si>
    <t xml:space="preserve">GAAAGGTCAATGCATACGGC</t>
  </si>
  <si>
    <t xml:space="preserve">TAGTGAAAGGTCAATGCATACGGC</t>
  </si>
  <si>
    <t xml:space="preserve">AAACGCCGTATGCATTGACCTTTC</t>
  </si>
  <si>
    <t xml:space="preserve">CTGGACCTGCATGCCTGAGC</t>
  </si>
  <si>
    <t xml:space="preserve">TAGTCTGGACCTGCATGCCTGAGC</t>
  </si>
  <si>
    <t xml:space="preserve">AAACGCTCAGGCATGCAGGTCCAG</t>
  </si>
  <si>
    <t xml:space="preserve">PSPPH_1867</t>
  </si>
  <si>
    <t xml:space="preserve">AGACGGTACTCCCATCCGAC</t>
  </si>
  <si>
    <t xml:space="preserve">TAGTAGACGGTACTCCCATCCGAC</t>
  </si>
  <si>
    <t xml:space="preserve">AAACGTCGGATGGGAGTACCGTCT</t>
  </si>
  <si>
    <t xml:space="preserve">TGTCTCAGAGGTGCCCTTCA</t>
  </si>
  <si>
    <t xml:space="preserve">TAGTTGTCTCAGAGGTGCCCTTCA</t>
  </si>
  <si>
    <t xml:space="preserve">AAACTGAAGGGCACCTCTGAGACA</t>
  </si>
  <si>
    <t xml:space="preserve">ACGCGACAACTGGATATGCG</t>
  </si>
  <si>
    <t xml:space="preserve">TAGTACGCGACAACTGGATATGCG</t>
  </si>
  <si>
    <t xml:space="preserve">AAACCGCATATCCAGTTGTCGCGT</t>
  </si>
  <si>
    <t xml:space="preserve">TGTTTCCGGAACCAGCTTAC</t>
  </si>
  <si>
    <t xml:space="preserve">TAGTTGTTTCCGGAACCAGCTTAC</t>
  </si>
  <si>
    <t xml:space="preserve">AAACGTAAGCTGGTTCCGGAAACA</t>
  </si>
  <si>
    <t xml:space="preserve">PSPPH_1868</t>
  </si>
  <si>
    <t xml:space="preserve">CTCGGCGAACTGGATTCTAC</t>
  </si>
  <si>
    <t xml:space="preserve">TAGTCTCGGCGAACTGGATTCTAC</t>
  </si>
  <si>
    <t xml:space="preserve">AAACGTAGAATCCAGTTCGCCGAG</t>
  </si>
  <si>
    <t xml:space="preserve">ACCCACGAACTTGAGAACGA</t>
  </si>
  <si>
    <t xml:space="preserve">TAGTACCCACGAACTTGAGAACGA</t>
  </si>
  <si>
    <t xml:space="preserve">AAACTCGTTCTCAAGTTCGTGGGT</t>
  </si>
  <si>
    <t xml:space="preserve">ACGCTCGATAGTCGCATCCA</t>
  </si>
  <si>
    <t xml:space="preserve">TAGTACGCTCGATAGTCGCATCCA</t>
  </si>
  <si>
    <t xml:space="preserve">AAACTGGATGCGACTATCGAGCGT</t>
  </si>
  <si>
    <t xml:space="preserve">GCGCGACAGGATCGAAAGTT</t>
  </si>
  <si>
    <t xml:space="preserve">TAGTGCGCGACAGGATCGAAAGTT</t>
  </si>
  <si>
    <t xml:space="preserve">AAACAACTTTCGATCCTGTCGCGC</t>
  </si>
  <si>
    <t xml:space="preserve">PSPPH_1869</t>
  </si>
  <si>
    <t xml:space="preserve">tal</t>
  </si>
  <si>
    <t xml:space="preserve">TTTCTTGAGTTGATCCAGCT</t>
  </si>
  <si>
    <t xml:space="preserve">TAGTTTTCTTGAGTTGATCCAGCT</t>
  </si>
  <si>
    <t xml:space="preserve">AAACAGCTGGATCAACTCAAGAAA</t>
  </si>
  <si>
    <t xml:space="preserve">GTCGCCGGTATCAGCAACAA</t>
  </si>
  <si>
    <t xml:space="preserve">TAGTGTCGCCGGTATCAGCAACAA</t>
  </si>
  <si>
    <t xml:space="preserve">AAACTTGTTGCTGATACCGGCGAC</t>
  </si>
  <si>
    <t xml:space="preserve">TGGTGGCGTCCTCTGGTTCG</t>
  </si>
  <si>
    <t xml:space="preserve">TAGTTGGTGGCGTCCTCTGGTTCG</t>
  </si>
  <si>
    <t xml:space="preserve">AAACCGAACCAGAGGACGCCACCA</t>
  </si>
  <si>
    <t xml:space="preserve">CGGCCTTGAGCAGCAGCGAA</t>
  </si>
  <si>
    <t xml:space="preserve">TAGTCGGCCTTGAGCAGCAGCGAA</t>
  </si>
  <si>
    <t xml:space="preserve">AAACTTCGCTGCTGCTCAAGGCCG</t>
  </si>
  <si>
    <t xml:space="preserve">PSPPH_1870</t>
  </si>
  <si>
    <t xml:space="preserve">GGTAGAAGCGGACGAAGCAT</t>
  </si>
  <si>
    <t xml:space="preserve">TAGTGGTAGAAGCGGACGAAGCAT</t>
  </si>
  <si>
    <t xml:space="preserve">AAACATGCTTCGTCCGCTTCTACC</t>
  </si>
  <si>
    <t xml:space="preserve">GTCACAAGGCTGGCCAACGA</t>
  </si>
  <si>
    <t xml:space="preserve">TAGTGTCACAAGGCTGGCCAACGA</t>
  </si>
  <si>
    <t xml:space="preserve">AAACTCGTTGGCCAGCCTTGTGAC</t>
  </si>
  <si>
    <t xml:space="preserve">AACGGGACTGGCCAGAGCGG</t>
  </si>
  <si>
    <t xml:space="preserve">TAGTAACGGGACTGGCCAGAGCGG</t>
  </si>
  <si>
    <t xml:space="preserve">AAACCCGCTCTGGCCAGTCCCGTT</t>
  </si>
  <si>
    <t xml:space="preserve">GATCTGGAAAGCGCCTGTGC</t>
  </si>
  <si>
    <t xml:space="preserve">TAGTGATCTGGAAAGCGCCTGTGC</t>
  </si>
  <si>
    <t xml:space="preserve">AAACGCACAGGCGCTTTCCAGATC</t>
  </si>
  <si>
    <t xml:space="preserve">PSPPH_1871</t>
  </si>
  <si>
    <t xml:space="preserve">AGCCGATTGCGGCAGTGATG</t>
  </si>
  <si>
    <t xml:space="preserve">TAGTAGCCGATTGCGGCAGTGATG</t>
  </si>
  <si>
    <t xml:space="preserve">AAACCATCACTGCCGCAATCGGCT</t>
  </si>
  <si>
    <t xml:space="preserve">CTCGGCGGCGATGACGCCCA</t>
  </si>
  <si>
    <t xml:space="preserve">TAGTCTCGGCGGCGATGACGCCCA</t>
  </si>
  <si>
    <t xml:space="preserve">AAACTGGGCGTCATCGCCGCCGAG</t>
  </si>
  <si>
    <t xml:space="preserve">TTTTTCAGTAACAGATCAGA</t>
  </si>
  <si>
    <t xml:space="preserve">TAGTTTTTTCAGTAACAGATCAGA</t>
  </si>
  <si>
    <t xml:space="preserve">AAACTCTGATCTGTTACTGAAAAA</t>
  </si>
  <si>
    <t xml:space="preserve">GGTAGGACTGTTGTTCGGCC</t>
  </si>
  <si>
    <t xml:space="preserve">TAGTGGTAGGACTGTTGTTCGGCC</t>
  </si>
  <si>
    <t xml:space="preserve">AAACGGCCGAACAACAGTCCTACC</t>
  </si>
  <si>
    <t xml:space="preserve">PSPPH_1872</t>
  </si>
  <si>
    <t xml:space="preserve">CCAAGGAATGTGACACTCAT</t>
  </si>
  <si>
    <t xml:space="preserve">TAGTCCAAGGAATGTGACACTCAT</t>
  </si>
  <si>
    <t xml:space="preserve">AAACATGAGTGTCACATTCCTTGG</t>
  </si>
  <si>
    <t xml:space="preserve">TGATGCCCCCTGCCGACAAG</t>
  </si>
  <si>
    <t xml:space="preserve">TAGTTGATGCCCCCTGCCGACAAG</t>
  </si>
  <si>
    <t xml:space="preserve">AAACCTTGTCGGCAGGGGGCATCA</t>
  </si>
  <si>
    <t xml:space="preserve">CGGATGACAAGGATAGCAAA</t>
  </si>
  <si>
    <t xml:space="preserve">TAGTCGGATGACAAGGATAGCAAA</t>
  </si>
  <si>
    <t xml:space="preserve">AAACTTTGCTATCCTTGTCATCCG</t>
  </si>
  <si>
    <t xml:space="preserve">CACTGGCGACCTGGAGCCGA</t>
  </si>
  <si>
    <t xml:space="preserve">TAGTCACTGGCGACCTGGAGCCGA</t>
  </si>
  <si>
    <t xml:space="preserve">AAACTCGGCTCCAGGTCGCCAGTG</t>
  </si>
  <si>
    <t xml:space="preserve">PSPPH_1873</t>
  </si>
  <si>
    <t xml:space="preserve">ATAGGGTCGGCAGCAGATCA</t>
  </si>
  <si>
    <t xml:space="preserve">TAGTATAGGGTCGGCAGCAGATCA</t>
  </si>
  <si>
    <t xml:space="preserve">AAACTGATCTGCTGCCGACCCTAT</t>
  </si>
  <si>
    <t xml:space="preserve">CCTGCATTCGCTCAATTTCC</t>
  </si>
  <si>
    <t xml:space="preserve">TAGTCCTGCATTCGCTCAATTTCC</t>
  </si>
  <si>
    <t xml:space="preserve">AAACGGAAATTGAGCGAATGCAGG</t>
  </si>
  <si>
    <t xml:space="preserve">CAGCCTTGGGGAGCCGTAAC</t>
  </si>
  <si>
    <t xml:space="preserve">TAGTCAGCCTTGGGGAGCCGTAAC</t>
  </si>
  <si>
    <t xml:space="preserve">AAACGTTACGGCTCCCCAAGGCTG</t>
  </si>
  <si>
    <t xml:space="preserve">CCAGATCACTGATAGCCCCC</t>
  </si>
  <si>
    <t xml:space="preserve">TAGTCCAGATCACTGATAGCCCCC</t>
  </si>
  <si>
    <t xml:space="preserve">AAACGGGGGCTATCAGTGATCTGG</t>
  </si>
  <si>
    <t xml:space="preserve">PSPPH_1874</t>
  </si>
  <si>
    <t xml:space="preserve">AGTCCTTAAATCGGTGGCAA</t>
  </si>
  <si>
    <t xml:space="preserve">TAGTAGTCCTTAAATCGGTGGCAA</t>
  </si>
  <si>
    <t xml:space="preserve">AAACTTGCCACCGATTTAAGGACT</t>
  </si>
  <si>
    <t xml:space="preserve">TCTCTTCTTGCGATACGACC</t>
  </si>
  <si>
    <t xml:space="preserve">TAGTTCTCTTCTTGCGATACGACC</t>
  </si>
  <si>
    <t xml:space="preserve">AAACGGTCGTATCGCAAGAAGAGA</t>
  </si>
  <si>
    <t xml:space="preserve">GATCGCATGGCTTTTCGCAG</t>
  </si>
  <si>
    <t xml:space="preserve">TAGTGATCGCATGGCTTTTCGCAG</t>
  </si>
  <si>
    <t xml:space="preserve">AAACCTGCGAAAAGCCATGCGATC</t>
  </si>
  <si>
    <t xml:space="preserve">CTCCGAGACCACCTGATCAA</t>
  </si>
  <si>
    <t xml:space="preserve">TAGTCTCCGAGACCACCTGATCAA</t>
  </si>
  <si>
    <t xml:space="preserve">AAACTTGATCAGGTGGTCTCGGAG</t>
  </si>
  <si>
    <t xml:space="preserve">PSPPH_1875</t>
  </si>
  <si>
    <t xml:space="preserve">GGCCTTTGCGTCAGAGGGGC</t>
  </si>
  <si>
    <t xml:space="preserve">TAGTGGCCTTTGCGTCAGAGGGGC</t>
  </si>
  <si>
    <t xml:space="preserve">AAACGCCCCTCTGACGCAAAGGCC</t>
  </si>
  <si>
    <t xml:space="preserve">GCTGACATGCACCTGGGCAA</t>
  </si>
  <si>
    <t xml:space="preserve">TAGTGCTGACATGCACCTGGGCAA</t>
  </si>
  <si>
    <t xml:space="preserve">AAACTTGCCCAGGTGCATGTCAGC</t>
  </si>
  <si>
    <t xml:space="preserve">TCAGGTATTCGGTCGGCATC</t>
  </si>
  <si>
    <t xml:space="preserve">TAGTTCAGGTATTCGGTCGGCATC</t>
  </si>
  <si>
    <t xml:space="preserve">AAACGATGCCGACCGAATACCTGA</t>
  </si>
  <si>
    <t xml:space="preserve">AAATGATTCACGTTGAGCCA</t>
  </si>
  <si>
    <t xml:space="preserve">TAGTAAATGATTCACGTTGAGCCA</t>
  </si>
  <si>
    <t xml:space="preserve">AAACTGGCTCAACGTGAATCATTT</t>
  </si>
  <si>
    <t xml:space="preserve">PSPPH_1876</t>
  </si>
  <si>
    <t xml:space="preserve">GCGCAGATTGGAATTCCCAC</t>
  </si>
  <si>
    <t xml:space="preserve">TAGTGCGCAGATTGGAATTCCCAC</t>
  </si>
  <si>
    <t xml:space="preserve">AAACGTGGGAATTCCAATCTGCGC</t>
  </si>
  <si>
    <t xml:space="preserve">CTTAGCAGCACATTCACTTG</t>
  </si>
  <si>
    <t xml:space="preserve">TAGTCTTAGCAGCACATTCACTTG</t>
  </si>
  <si>
    <t xml:space="preserve">AAACCAAGTGAATGTGCTGCTAAG</t>
  </si>
  <si>
    <t xml:space="preserve">TGTCTGCAAGTTGTCTCAGG</t>
  </si>
  <si>
    <t xml:space="preserve">TAGTTGTCTGCAAGTTGTCTCAGG</t>
  </si>
  <si>
    <t xml:space="preserve">AAACCCTGAGACAACTTGCAGACA</t>
  </si>
  <si>
    <t xml:space="preserve">AAAGCTTGGCTTAACCGTTA</t>
  </si>
  <si>
    <t xml:space="preserve">TAGTAAAGCTTGGCTTAACCGTTA</t>
  </si>
  <si>
    <t xml:space="preserve">AAACTAACGGTTAAGCCAAGCTTT</t>
  </si>
  <si>
    <t xml:space="preserve">PSPPH_1880</t>
  </si>
  <si>
    <t xml:space="preserve">AGTTGAAACAAACGGTATCG</t>
  </si>
  <si>
    <t xml:space="preserve">TAGTAGTTGAAACAAACGGTATCG</t>
  </si>
  <si>
    <t xml:space="preserve">AAACCGATACCGTTTGTTTCAACT</t>
  </si>
  <si>
    <t xml:space="preserve">CTTCCACAGAGCCTTTCAGA</t>
  </si>
  <si>
    <t xml:space="preserve">TAGTCTTCCACAGAGCCTTTCAGA</t>
  </si>
  <si>
    <t xml:space="preserve">AAACTCTGAAAGGCTCTGTGGAAG</t>
  </si>
  <si>
    <t xml:space="preserve">GCCCTGATTGGCATCCAGCA</t>
  </si>
  <si>
    <t xml:space="preserve">TAGTGCCCTGATTGGCATCCAGCA</t>
  </si>
  <si>
    <t xml:space="preserve">AAACTGCTGGATGCCAATCAGGGC</t>
  </si>
  <si>
    <t xml:space="preserve">ACGGCTGCACCACATCAGCC</t>
  </si>
  <si>
    <t xml:space="preserve">TAGTACGGCTGCACCACATCAGCC</t>
  </si>
  <si>
    <t xml:space="preserve">AAACGGCTGATGTGGTGCAGCCGT</t>
  </si>
  <si>
    <t xml:space="preserve">PSPPH_1881</t>
  </si>
  <si>
    <t xml:space="preserve">ATCCGAAAAGTGGGTTTCAT</t>
  </si>
  <si>
    <t xml:space="preserve">TAGTATCCGAAAAGTGGGTTTCAT</t>
  </si>
  <si>
    <t xml:space="preserve">AAACATGAAACCCACTTTTCGGAT</t>
  </si>
  <si>
    <t xml:space="preserve">CGCCGTGATATCGGTGCCGT</t>
  </si>
  <si>
    <t xml:space="preserve">TAGTCGCCGTGATATCGGTGCCGT</t>
  </si>
  <si>
    <t xml:space="preserve">AAACACGGCACCGATATCACGGCG</t>
  </si>
  <si>
    <t xml:space="preserve">GCTTGTCAGTGGTGCGCAGC</t>
  </si>
  <si>
    <t xml:space="preserve">TAGTGCTTGTCAGTGGTGCGCAGC</t>
  </si>
  <si>
    <t xml:space="preserve">AAACGCTGCGCACCACTGACAAGC</t>
  </si>
  <si>
    <t xml:space="preserve">AACTCGTCTGAGTCCATGTC</t>
  </si>
  <si>
    <t xml:space="preserve">TAGTAACTCGTCTGAGTCCATGTC</t>
  </si>
  <si>
    <t xml:space="preserve">AAACGACATGGACTCAGACGAGTT</t>
  </si>
  <si>
    <t xml:space="preserve">PSPPH_1882</t>
  </si>
  <si>
    <t xml:space="preserve">TGCGCAGCCTCGTGACAATC</t>
  </si>
  <si>
    <t xml:space="preserve">TAGTTGCGCAGCCTCGTGACAATC</t>
  </si>
  <si>
    <t xml:space="preserve">AAACGATTGTCACGAGGCTGCGCA</t>
  </si>
  <si>
    <t xml:space="preserve">CCCGATCTGCGCGATGAATG</t>
  </si>
  <si>
    <t xml:space="preserve">TAGTCCCGATCTGCGCGATGAATG</t>
  </si>
  <si>
    <t xml:space="preserve">AAACCATTCATCGCGCAGATCGGG</t>
  </si>
  <si>
    <t xml:space="preserve">CCGCACATAACTAAGCTGGC</t>
  </si>
  <si>
    <t xml:space="preserve">TAGTCCGCACATAACTAAGCTGGC</t>
  </si>
  <si>
    <t xml:space="preserve">AAACGCCAGCTTAGTTATGTGCGG</t>
  </si>
  <si>
    <t xml:space="preserve">GCCCGGTGTCGTACTTGTCG</t>
  </si>
  <si>
    <t xml:space="preserve">TAGTGCCCGGTGTCGTACTTGTCG</t>
  </si>
  <si>
    <t xml:space="preserve">AAACCGACAAGTACGACACCGGGC</t>
  </si>
  <si>
    <t xml:space="preserve">PSPPH_1883</t>
  </si>
  <si>
    <t xml:space="preserve">ACTTCGACATAGCACTCGTG</t>
  </si>
  <si>
    <t xml:space="preserve">TAGTACTTCGACATAGCACTCGTG</t>
  </si>
  <si>
    <t xml:space="preserve">AAACCACGAGTGCTATGTCGAAGT</t>
  </si>
  <si>
    <t xml:space="preserve">CCTCAACGGGGGCGGCCTGG</t>
  </si>
  <si>
    <t xml:space="preserve">TAGTCCTCAACGGGGGCGGCCTGG</t>
  </si>
  <si>
    <t xml:space="preserve">AAACCCAGGCCGCCCCCGTTGAGG</t>
  </si>
  <si>
    <t xml:space="preserve">GGATATCGGTGAGGGTTTCT</t>
  </si>
  <si>
    <t xml:space="preserve">TAGTGGATATCGGTGAGGGTTTCT</t>
  </si>
  <si>
    <t xml:space="preserve">AAACAGAAACCCTCACCGATATCC</t>
  </si>
  <si>
    <t xml:space="preserve">CTGCAGATAGAAGAAACGGG</t>
  </si>
  <si>
    <t xml:space="preserve">TAGTCTGCAGATAGAAGAAACGGG</t>
  </si>
  <si>
    <t xml:space="preserve">AAACCCCGTTTCTTCTATCTGCAG</t>
  </si>
  <si>
    <t xml:space="preserve">PSPPH_1885</t>
  </si>
  <si>
    <t xml:space="preserve">TCTCGTCCAGAGCTTCGCCG</t>
  </si>
  <si>
    <t xml:space="preserve">TAGTTCTCGTCCAGAGCTTCGCCG</t>
  </si>
  <si>
    <t xml:space="preserve">AAACCGGCGAAGCTCTGGACGAGA</t>
  </si>
  <si>
    <t xml:space="preserve">CGCGGAACTAGCGGTTGCGG</t>
  </si>
  <si>
    <t xml:space="preserve">TAGTCGCGGAACTAGCGGTTGCGG</t>
  </si>
  <si>
    <t xml:space="preserve">AAACCCGCAACCGCTAGTTCCGCG</t>
  </si>
  <si>
    <t xml:space="preserve">GCTGTCAAGGTATTTGGTGA</t>
  </si>
  <si>
    <t xml:space="preserve">TAGTGCTGTCAAGGTATTTGGTGA</t>
  </si>
  <si>
    <t xml:space="preserve">AAACTCACCAAATACCTTGACAGC</t>
  </si>
  <si>
    <t xml:space="preserve">TTGAGCTGCACGATTTCTAT</t>
  </si>
  <si>
    <t xml:space="preserve">TAGTTTGAGCTGCACGATTTCTAT</t>
  </si>
  <si>
    <t xml:space="preserve">AAACATAGAAATCGTGCAGCTCAA</t>
  </si>
  <si>
    <t xml:space="preserve">PSPPH_1886</t>
  </si>
  <si>
    <t xml:space="preserve">AAAAGTTCGTACTTCAGCCA</t>
  </si>
  <si>
    <t xml:space="preserve">TAGTAAAAGTTCGTACTTCAGCCA</t>
  </si>
  <si>
    <t xml:space="preserve">AAACTGGCTGAAGTACGAACTTTT</t>
  </si>
  <si>
    <t xml:space="preserve">AGATTCGAAGGTCTGCGCTC</t>
  </si>
  <si>
    <t xml:space="preserve">TAGTAGATTCGAAGGTCTGCGCTC</t>
  </si>
  <si>
    <t xml:space="preserve">AAACGAGCGCAGACCTTCGAATCT</t>
  </si>
  <si>
    <t xml:space="preserve">AACTTGGCCTTCGTATTCTT</t>
  </si>
  <si>
    <t xml:space="preserve">TAGTAACTTGGCCTTCGTATTCTT</t>
  </si>
  <si>
    <t xml:space="preserve">AAACAAGAATACGAAGGCCAAGTT</t>
  </si>
  <si>
    <t xml:space="preserve">CGATGACCAGTTCACCAGGC</t>
  </si>
  <si>
    <t xml:space="preserve">TAGTCGATGACCAGTTCACCAGGC</t>
  </si>
  <si>
    <t xml:space="preserve">AAACGCCTGGTGAACTGGTCATCG</t>
  </si>
  <si>
    <t xml:space="preserve">PSPPH_1888</t>
  </si>
  <si>
    <t xml:space="preserve">CATCATGCGAAGGCGAATGT</t>
  </si>
  <si>
    <t xml:space="preserve">TAGTCATCATGCGAAGGCGAATGT</t>
  </si>
  <si>
    <t xml:space="preserve">AAACACATTCGCCTTCGCATGATG</t>
  </si>
  <si>
    <t xml:space="preserve">GATCATGTTCCCACCCGAAG</t>
  </si>
  <si>
    <t xml:space="preserve">TAGTGATCATGTTCCCACCCGAAG</t>
  </si>
  <si>
    <t xml:space="preserve">AAACCTTCGGGTGGGAACATGATC</t>
  </si>
  <si>
    <t xml:space="preserve">GCCCTTGTACTCCATCAACA</t>
  </si>
  <si>
    <t xml:space="preserve">TAGTGCCCTTGTACTCCATCAACA</t>
  </si>
  <si>
    <t xml:space="preserve">AAACTGTTGATGGAGTACAAGGGC</t>
  </si>
  <si>
    <t xml:space="preserve">CAGACTCATCCAGCAGCACT</t>
  </si>
  <si>
    <t xml:space="preserve">TAGTCAGACTCATCCAGCAGCACT</t>
  </si>
  <si>
    <t xml:space="preserve">AAACAGTGCTGCTGGATGAGTCTG</t>
  </si>
  <si>
    <t xml:space="preserve">PSPPH_1889</t>
  </si>
  <si>
    <t xml:space="preserve">CGTATCTGGTTTGTCGGGCA</t>
  </si>
  <si>
    <t xml:space="preserve">TAGTCGTATCTGGTTTGTCGGGCA</t>
  </si>
  <si>
    <t xml:space="preserve">AAACTGCCCGACAAACCAGATACG</t>
  </si>
  <si>
    <t xml:space="preserve">TGAAATGGCCGCCACGATCC</t>
  </si>
  <si>
    <t xml:space="preserve">TAGTTGAAATGGCCGCCACGATCC</t>
  </si>
  <si>
    <t xml:space="preserve">AAACGGATCGTGGCGGCCATTTCA</t>
  </si>
  <si>
    <t xml:space="preserve">ATGATCATGCCCTGCCACAG</t>
  </si>
  <si>
    <t xml:space="preserve">TAGTATGATCATGCCCTGCCACAG</t>
  </si>
  <si>
    <t xml:space="preserve">AAACCTGTGGCAGGGCATGATCAT</t>
  </si>
  <si>
    <t xml:space="preserve">GCGCAATAGAGAAACGACGA</t>
  </si>
  <si>
    <t xml:space="preserve">TAGTGCGCAATAGAGAAACGACGA</t>
  </si>
  <si>
    <t xml:space="preserve">AAACTCGTCGTTTCTCTATTGCGC</t>
  </si>
  <si>
    <t xml:space="preserve">PSPPH_1890</t>
  </si>
  <si>
    <t xml:space="preserve">CAGCGCGATGATGATTGCAG</t>
  </si>
  <si>
    <t xml:space="preserve">TAGTCAGCGCGATGATGATTGCAG</t>
  </si>
  <si>
    <t xml:space="preserve">AAACCTGCAATCATCATCGCGCTG</t>
  </si>
  <si>
    <t xml:space="preserve">CGCCGCGCAACGCGACGACC</t>
  </si>
  <si>
    <t xml:space="preserve">TAGTCGCCGCGCAACGCGACGACC</t>
  </si>
  <si>
    <t xml:space="preserve">AAACGGTCGTCGCGTTGCGCGGCG</t>
  </si>
  <si>
    <t xml:space="preserve">GGCGTCGAGTGCTTTCTTCT</t>
  </si>
  <si>
    <t xml:space="preserve">TAGTGGCGTCGAGTGCTTTCTTCT</t>
  </si>
  <si>
    <t xml:space="preserve">AAACAGAAGAAAGCACTCGACGCC</t>
  </si>
  <si>
    <t xml:space="preserve">GGTGGCCTCGCTTTCGAGAT</t>
  </si>
  <si>
    <t xml:space="preserve">TAGTGGTGGCCTCGCTTTCGAGAT</t>
  </si>
  <si>
    <t xml:space="preserve">AAACATCTCGAAAGCGAGGCCACC</t>
  </si>
  <si>
    <t xml:space="preserve">PSPPH_1891</t>
  </si>
  <si>
    <t xml:space="preserve">GACATCAACTAACCCATCAG</t>
  </si>
  <si>
    <t xml:space="preserve">TAGTGACATCAACTAACCCATCAG</t>
  </si>
  <si>
    <t xml:space="preserve">AAACCTGATGGGTTAGTTGATGTC</t>
  </si>
  <si>
    <t xml:space="preserve">AATACCCAAAAACTGTTCGG</t>
  </si>
  <si>
    <t xml:space="preserve">TAGTAATACCCAAAAACTGTTCGG</t>
  </si>
  <si>
    <t xml:space="preserve">AAACCCGAACAGTTTTTGGGTATT</t>
  </si>
  <si>
    <t xml:space="preserve">TGGCCGCCTTGAAGGGTCGC</t>
  </si>
  <si>
    <t xml:space="preserve">TAGTTGGCCGCCTTGAAGGGTCGC</t>
  </si>
  <si>
    <t xml:space="preserve">AAACGCGACCCTTCAAGGCGGCCA</t>
  </si>
  <si>
    <t xml:space="preserve">GGTTGAGCAGACGTACTCGC</t>
  </si>
  <si>
    <t xml:space="preserve">TAGTGGTTGAGCAGACGTACTCGC</t>
  </si>
  <si>
    <t xml:space="preserve">AAACGCGAGTACGTCTGCTCAACC</t>
  </si>
  <si>
    <t xml:space="preserve">PSPPH_1892</t>
  </si>
  <si>
    <t xml:space="preserve">CGTTGAGCTGGTCAGCCCGT</t>
  </si>
  <si>
    <t xml:space="preserve">TAGTCGTTGAGCTGGTCAGCCCGT</t>
  </si>
  <si>
    <t xml:space="preserve">AAACACGGGCTGACCAGCTCAACG</t>
  </si>
  <si>
    <t xml:space="preserve">TTGCCAGCCGTGTGATGAAG</t>
  </si>
  <si>
    <t xml:space="preserve">TAGTTTGCCAGCCGTGTGATGAAG</t>
  </si>
  <si>
    <t xml:space="preserve">AAACCTTCATCACACGGCTGGCAA</t>
  </si>
  <si>
    <t xml:space="preserve">CATGACGAGCAACTTGCCGT</t>
  </si>
  <si>
    <t xml:space="preserve">TAGTCATGACGAGCAACTTGCCGT</t>
  </si>
  <si>
    <t xml:space="preserve">AAACACGGCAAGTTGCTCGTCATG</t>
  </si>
  <si>
    <t xml:space="preserve">GCGCTGACTCCCTCTTGCCT</t>
  </si>
  <si>
    <t xml:space="preserve">TAGTGCGCTGACTCCCTCTTGCCT</t>
  </si>
  <si>
    <t xml:space="preserve">AAACAGGCAAGAGGGAGTCAGCGC</t>
  </si>
  <si>
    <t xml:space="preserve">PSPPH_1893</t>
  </si>
  <si>
    <t xml:space="preserve">CTCGGGAGCTGGCGTTGGGG</t>
  </si>
  <si>
    <t xml:space="preserve">TAGTCTCGGGAGCTGGCGTTGGGG</t>
  </si>
  <si>
    <t xml:space="preserve">AAACCCCCAACGCCAGCTCCCGAG</t>
  </si>
  <si>
    <t xml:space="preserve">CTCATCGCAACGTTTAAGAC</t>
  </si>
  <si>
    <t xml:space="preserve">TAGTCTCATCGCAACGTTTAAGAC</t>
  </si>
  <si>
    <t xml:space="preserve">AAACGTCTTAAACGTTGCGATGAG</t>
  </si>
  <si>
    <t xml:space="preserve">GATACGAAGCTTCGTAACGA</t>
  </si>
  <si>
    <t xml:space="preserve">TAGTGATACGAAGCTTCGTAACGA</t>
  </si>
  <si>
    <t xml:space="preserve">AAACTCGTTACGAAGCTTCGTATC</t>
  </si>
  <si>
    <t xml:space="preserve">ATGGCCCACCTGCGCCAGGA</t>
  </si>
  <si>
    <t xml:space="preserve">TAGTATGGCCCACCTGCGCCAGGA</t>
  </si>
  <si>
    <t xml:space="preserve">AAACTCCTGGCGCAGGTGGGCCAT</t>
  </si>
  <si>
    <t xml:space="preserve">PSPPH_1894</t>
  </si>
  <si>
    <t xml:space="preserve">ACCTCAACGGGAGCTGCCTG</t>
  </si>
  <si>
    <t xml:space="preserve">TAGTACCTCAACGGGAGCTGCCTG</t>
  </si>
  <si>
    <t xml:space="preserve">AAACCAGGCAGCTCCCGTTGAGGT</t>
  </si>
  <si>
    <t xml:space="preserve">CGACGCGATACAGGTTCACC</t>
  </si>
  <si>
    <t xml:space="preserve">TAGTCGACGCGATACAGGTTCACC</t>
  </si>
  <si>
    <t xml:space="preserve">AAACGGTGAACCTGTATCGCGTCG</t>
  </si>
  <si>
    <t xml:space="preserve">CTGCAAGTAGAAGAACCGGG</t>
  </si>
  <si>
    <t xml:space="preserve">TAGTCTGCAAGTAGAAGAACCGGG</t>
  </si>
  <si>
    <t xml:space="preserve">AAACCCCGGTTCTTCTACTTGCAG</t>
  </si>
  <si>
    <t xml:space="preserve">CCCGCTGACCTTCCCTGCAA</t>
  </si>
  <si>
    <t xml:space="preserve">TAGTCCCGCTGACCTTCCCTGCAA</t>
  </si>
  <si>
    <t xml:space="preserve">AAACTTGCAGGGAAGGTCAGCGGG</t>
  </si>
  <si>
    <t xml:space="preserve">PSPPH_1895</t>
  </si>
  <si>
    <t xml:space="preserve">ATAAAAATCAATAAAAACAT</t>
  </si>
  <si>
    <t xml:space="preserve">TAGTATAAAAATCAATAAAAACAT</t>
  </si>
  <si>
    <t xml:space="preserve">AAACATGTTTTTATTGATTTTTAT</t>
  </si>
  <si>
    <t xml:space="preserve">CAACTCCACCACTGCTTGAG</t>
  </si>
  <si>
    <t xml:space="preserve">TAGTCAACTCCACCACTGCTTGAG</t>
  </si>
  <si>
    <t xml:space="preserve">AAACCTCAAGCAGTGGTGGAGTTG</t>
  </si>
  <si>
    <t xml:space="preserve">GTTAGCCTCTCCGCAGCGAC</t>
  </si>
  <si>
    <t xml:space="preserve">TAGTGTTAGCCTCTCCGCAGCGAC</t>
  </si>
  <si>
    <t xml:space="preserve">AAACGTCGCTGCGGAGAGGCTAAC</t>
  </si>
  <si>
    <t xml:space="preserve">TGCCGACGCATAGCAAAATC</t>
  </si>
  <si>
    <t xml:space="preserve">TAGTTGCCGACGCATAGCAAAATC</t>
  </si>
  <si>
    <t xml:space="preserve">AAACGATTTTGCTATGCGTCGGCA</t>
  </si>
  <si>
    <t xml:space="preserve">PSPPH_1896</t>
  </si>
  <si>
    <t xml:space="preserve">ACGCCCTTGCCGAACATGAA</t>
  </si>
  <si>
    <t xml:space="preserve">TAGTACGCCCTTGCCGAACATGAA</t>
  </si>
  <si>
    <t xml:space="preserve">AAACTTCATGTTCGGCAAGGGCGT</t>
  </si>
  <si>
    <t xml:space="preserve">ACTTTTATATGTTGACTCAA</t>
  </si>
  <si>
    <t xml:space="preserve">TAGTACTTTTATATGTTGACTCAA</t>
  </si>
  <si>
    <t xml:space="preserve">AAACTTGAGTCAACATATAAAAGT</t>
  </si>
  <si>
    <t xml:space="preserve">AGTCATAGACGCGATGTTTT</t>
  </si>
  <si>
    <t xml:space="preserve">TAGTAGTCATAGACGCGATGTTTT</t>
  </si>
  <si>
    <t xml:space="preserve">AAACAAAACATCGCGTCTATGACT</t>
  </si>
  <si>
    <t xml:space="preserve">CACAGCTTTAGTCCCTGTCG</t>
  </si>
  <si>
    <t xml:space="preserve">TAGTCACAGCTTTAGTCCCTGTCG</t>
  </si>
  <si>
    <t xml:space="preserve">AAACCGACAGGGACTAAAGCTGTG</t>
  </si>
  <si>
    <t xml:space="preserve">PSPPH_1897</t>
  </si>
  <si>
    <t xml:space="preserve">AATCTGAGCAGTGAAGCCAG</t>
  </si>
  <si>
    <t xml:space="preserve">TAGTAATCTGAGCAGTGAAGCCAG</t>
  </si>
  <si>
    <t xml:space="preserve">AAACCTGGCTTCACTGCTCAGATT</t>
  </si>
  <si>
    <t xml:space="preserve">GTTTGGGTTTCCTGATAAAC</t>
  </si>
  <si>
    <t xml:space="preserve">TAGTGTTTGGGTTTCCTGATAAAC</t>
  </si>
  <si>
    <t xml:space="preserve">AAACGTTTATCAGGAAACCCAAAC</t>
  </si>
  <si>
    <t xml:space="preserve">GGCAACCTGCTTACGGTCGA</t>
  </si>
  <si>
    <t xml:space="preserve">TAGTGGCAACCTGCTTACGGTCGA</t>
  </si>
  <si>
    <t xml:space="preserve">AAACTCGACCGTAAGCAGGTTGCC</t>
  </si>
  <si>
    <t xml:space="preserve">ACGTTTCTTGATCCAGGCTT</t>
  </si>
  <si>
    <t xml:space="preserve">TAGTACGTTTCTTGATCCAGGCTT</t>
  </si>
  <si>
    <t xml:space="preserve">AAACAAGCCTGGATCAAGAAACGT</t>
  </si>
  <si>
    <t xml:space="preserve">PSPPH_1898</t>
  </si>
  <si>
    <t xml:space="preserve">TGATTTTTCAATGTCTGCGG</t>
  </si>
  <si>
    <t xml:space="preserve">TAGTTGATTTTTCAATGTCTGCGG</t>
  </si>
  <si>
    <t xml:space="preserve">AAACCCGCAGACATTGAAAAATCA</t>
  </si>
  <si>
    <t xml:space="preserve">CGGTGCAACAGAGAAGCGTC</t>
  </si>
  <si>
    <t xml:space="preserve">TAGTCGGTGCAACAGAGAAGCGTC</t>
  </si>
  <si>
    <t xml:space="preserve">AAACGACGCTTCTCTGTTGCACCG</t>
  </si>
  <si>
    <t xml:space="preserve">TGATCGGTCCAGTCCATCAT</t>
  </si>
  <si>
    <t xml:space="preserve">TAGTTGATCGGTCCAGTCCATCAT</t>
  </si>
  <si>
    <t xml:space="preserve">AAACATGATGGACTGGACCGATCA</t>
  </si>
  <si>
    <t xml:space="preserve">TGCGCATGAAGTATCGGCAA</t>
  </si>
  <si>
    <t xml:space="preserve">TAGTTGCGCATGAAGTATCGGCAA</t>
  </si>
  <si>
    <t xml:space="preserve">AAACTTGCCGATACTTCATGCGCA</t>
  </si>
  <si>
    <t xml:space="preserve">PSPPH_1899</t>
  </si>
  <si>
    <t xml:space="preserve">mdoG2</t>
  </si>
  <si>
    <t xml:space="preserve">AAAGTTTCGTCGATTCAACA</t>
  </si>
  <si>
    <t xml:space="preserve">TAGTAAAGTTTCGTCGATTCAACA</t>
  </si>
  <si>
    <t xml:space="preserve">AAACTGTTGAATCGACGAAACTTT</t>
  </si>
  <si>
    <t xml:space="preserve">CGTCAGCCTGTGAGGAAGAA</t>
  </si>
  <si>
    <t xml:space="preserve">TAGTCGTCAGCCTGTGAGGAAGAA</t>
  </si>
  <si>
    <t xml:space="preserve">AAACTTCTTCCTCACAGGCTGACG</t>
  </si>
  <si>
    <t xml:space="preserve">TCGCTATCGCCCATTTTCAG</t>
  </si>
  <si>
    <t xml:space="preserve">TAGTTCGCTATCGCCCATTTTCAG</t>
  </si>
  <si>
    <t xml:space="preserve">AAACCTGAAAATGGGCGATAGCGA</t>
  </si>
  <si>
    <t xml:space="preserve">ACTAAAAGATCAAACGAAAA</t>
  </si>
  <si>
    <t xml:space="preserve">TAGTACTAAAAGATCAAACGAAAA</t>
  </si>
  <si>
    <t xml:space="preserve">AAACTTTTCGTTTGATCTTTTAGT</t>
  </si>
  <si>
    <t xml:space="preserve">PSPPH_1900</t>
  </si>
  <si>
    <t xml:space="preserve">AGCCATCTGATAGGGGGCAT</t>
  </si>
  <si>
    <t xml:space="preserve">TAGTAGCCATCTGATAGGGGGCAT</t>
  </si>
  <si>
    <t xml:space="preserve">AAACATGCCCCCTATCAGATGGCT</t>
  </si>
  <si>
    <t xml:space="preserve">TAGCCAATATGAGTGTTGCC</t>
  </si>
  <si>
    <t xml:space="preserve">TAGTTAGCCAATATGAGTGTTGCC</t>
  </si>
  <si>
    <t xml:space="preserve">AAACGGCAACACTCATATTGGCTA</t>
  </si>
  <si>
    <t xml:space="preserve">GAAACGGAACTATGTACAGC</t>
  </si>
  <si>
    <t xml:space="preserve">TAGTGAAACGGAACTATGTACAGC</t>
  </si>
  <si>
    <t xml:space="preserve">AAACGCTGTACATAGTTCCGTTTC</t>
  </si>
  <si>
    <t xml:space="preserve">GTCATCGGCGTAAGTCTGGT</t>
  </si>
  <si>
    <t xml:space="preserve">TAGTGTCATCGGCGTAAGTCTGGT</t>
  </si>
  <si>
    <t xml:space="preserve">AAACACCAGACTTACGCCGATGAC</t>
  </si>
  <si>
    <t xml:space="preserve">PSPPH_1901</t>
  </si>
  <si>
    <t xml:space="preserve">CGAGAGGCGTTTGTTCCAAT</t>
  </si>
  <si>
    <t xml:space="preserve">TAGTCGAGAGGCGTTTGTTCCAAT</t>
  </si>
  <si>
    <t xml:space="preserve">AAACATTGGAACAAACGCCTCTCG</t>
  </si>
  <si>
    <t xml:space="preserve">AGCCAGGATGAATAGCAGCG</t>
  </si>
  <si>
    <t xml:space="preserve">TAGTAGCCAGGATGAATAGCAGCG</t>
  </si>
  <si>
    <t xml:space="preserve">AAACCGCTGCTATTCATCCTGGCT</t>
  </si>
  <si>
    <t xml:space="preserve">CGGCAGAATATAGAAAACGT</t>
  </si>
  <si>
    <t xml:space="preserve">TAGTCGGCAGAATATAGAAAACGT</t>
  </si>
  <si>
    <t xml:space="preserve">AAACACGTTTTCTATATTCTGCCG</t>
  </si>
  <si>
    <t xml:space="preserve">GGCGCATTGGCAAGCAGTAA</t>
  </si>
  <si>
    <t xml:space="preserve">TAGTGGCGCATTGGCAAGCAGTAA</t>
  </si>
  <si>
    <t xml:space="preserve">AAACTTACTGCTTGCCAATGCGCC</t>
  </si>
  <si>
    <t xml:space="preserve">PSPPH_1903</t>
  </si>
  <si>
    <t xml:space="preserve">GCGTGCTCGGAGCCGTCGAA</t>
  </si>
  <si>
    <t xml:space="preserve">TAGTGCGTGCTCGGAGCCGTCGAA</t>
  </si>
  <si>
    <t xml:space="preserve">AAACTTCGACGGCTCCGAGCACGC</t>
  </si>
  <si>
    <t xml:space="preserve">GACATAGCCCAAGGCACGCA</t>
  </si>
  <si>
    <t xml:space="preserve">TAGTGACATAGCCCAAGGCACGCA</t>
  </si>
  <si>
    <t xml:space="preserve">AAACTGCGTGCCTTGGGCTATGTC</t>
  </si>
  <si>
    <t xml:space="preserve">GCACCTCAAGCGATTTGGTG</t>
  </si>
  <si>
    <t xml:space="preserve">TAGTGCACCTCAAGCGATTTGGTG</t>
  </si>
  <si>
    <t xml:space="preserve">AAACCACCAAATCGCTTGAGGTGC</t>
  </si>
  <si>
    <t xml:space="preserve">TGGGGCTGGCCTGCACATTG</t>
  </si>
  <si>
    <t xml:space="preserve">TAGTTGGGGCTGGCCTGCACATTG</t>
  </si>
  <si>
    <t xml:space="preserve">AAACCAATGTGCAGGCCAGCCCCA</t>
  </si>
  <si>
    <t xml:space="preserve">PSPPH_1904</t>
  </si>
  <si>
    <t xml:space="preserve">GATCAGAATGCGAAAATCTC</t>
  </si>
  <si>
    <t xml:space="preserve">TAGTGATCAGAATGCGAAAATCTC</t>
  </si>
  <si>
    <t xml:space="preserve">AAACGAGATTTTCGCATTCTGATC</t>
  </si>
  <si>
    <t xml:space="preserve">TCAGATCAAGGTTGGGCCGC</t>
  </si>
  <si>
    <t xml:space="preserve">TAGTTCAGATCAAGGTTGGGCCGC</t>
  </si>
  <si>
    <t xml:space="preserve">AAACGCGGCCCAACCTTGATCTGA</t>
  </si>
  <si>
    <t xml:space="preserve">GCACATTGGTCAGGCCCTCG</t>
  </si>
  <si>
    <t xml:space="preserve">TAGTGCACATTGGTCAGGCCCTCG</t>
  </si>
  <si>
    <t xml:space="preserve">AAACCGAGGGCCTGACCAATGTGC</t>
  </si>
  <si>
    <t xml:space="preserve">GTCCAGCGTGCGCAACGGCT</t>
  </si>
  <si>
    <t xml:space="preserve">TAGTGTCCAGCGTGCGCAACGGCT</t>
  </si>
  <si>
    <t xml:space="preserve">AAACAGCCGTTGCGCACGCTGGAC</t>
  </si>
  <si>
    <t xml:space="preserve">PSPPH_1905</t>
  </si>
  <si>
    <t xml:space="preserve">GTCTTCCCAGCGACTGCTTC</t>
  </si>
  <si>
    <t xml:space="preserve">TAGTGTCTTCCCAGCGACTGCTTC</t>
  </si>
  <si>
    <t xml:space="preserve">AAACGAAGCAGTCGCTGGGAAGAC</t>
  </si>
  <si>
    <t xml:space="preserve">GCGCCTTGCCGCGTAACGGA</t>
  </si>
  <si>
    <t xml:space="preserve">TAGTGCGCCTTGCCGCGTAACGGA</t>
  </si>
  <si>
    <t xml:space="preserve">AAACTCCGTTACGCGGCAAGGCGC</t>
  </si>
  <si>
    <t xml:space="preserve">AATCGCCAGCGGTAAAGAAA</t>
  </si>
  <si>
    <t xml:space="preserve">TAGTAATCGCCAGCGGTAAAGAAA</t>
  </si>
  <si>
    <t xml:space="preserve">AAACTTTCTTTACCGCTGGCGATT</t>
  </si>
  <si>
    <t xml:space="preserve">CTTCCTCTGCCTGAGCGGTC</t>
  </si>
  <si>
    <t xml:space="preserve">TAGTCTTCCTCTGCCTGAGCGGTC</t>
  </si>
  <si>
    <t xml:space="preserve">AAACGACCGCTCAGGCAGAGGAAG</t>
  </si>
  <si>
    <t xml:space="preserve">PSPPH_1906</t>
  </si>
  <si>
    <t xml:space="preserve">CAGCGAGACGAACCCGGTGC</t>
  </si>
  <si>
    <t xml:space="preserve">TAGTCAGCGAGACGAACCCGGTGC</t>
  </si>
  <si>
    <t xml:space="preserve">AAACGCACCGGGTTCGTCTCGCTG</t>
  </si>
  <si>
    <t xml:space="preserve">TGGCCGACCACTTCGAATTC</t>
  </si>
  <si>
    <t xml:space="preserve">TAGTTGGCCGACCACTTCGAATTC</t>
  </si>
  <si>
    <t xml:space="preserve">AAACGAATTCGAAGTGGTCGGCCA</t>
  </si>
  <si>
    <t xml:space="preserve">CTTGCTGGCCGTCTGCGGCC</t>
  </si>
  <si>
    <t xml:space="preserve">TAGTCTTGCTGGCCGTCTGCGGCC</t>
  </si>
  <si>
    <t xml:space="preserve">AAACGGCCGCAGACGGCCAGCAAG</t>
  </si>
  <si>
    <t xml:space="preserve">CAGTTCCTGGCACAGGTCGA</t>
  </si>
  <si>
    <t xml:space="preserve">TAGTCAGTTCCTGGCACAGGTCGA</t>
  </si>
  <si>
    <t xml:space="preserve">AAACTCGACCTGTGCCAGGAACTG</t>
  </si>
  <si>
    <t xml:space="preserve">PSPPH_1907</t>
  </si>
  <si>
    <t xml:space="preserve">CTGCAGCACTCGCTGGCGCA</t>
  </si>
  <si>
    <t xml:space="preserve">TAGTCTGCAGCACTCGCTGGCGCA</t>
  </si>
  <si>
    <t xml:space="preserve">AAACTGCGCCAGCGAGTGCTGCAG</t>
  </si>
  <si>
    <t xml:space="preserve">GTCCATGGCGACGAATGCGC</t>
  </si>
  <si>
    <t xml:space="preserve">TAGTGTCCATGGCGACGAATGCGC</t>
  </si>
  <si>
    <t xml:space="preserve">AAACGCGCATTCGTCGCCATGGAC</t>
  </si>
  <si>
    <t xml:space="preserve">CCCATTCCAGCAGCAGGCCA</t>
  </si>
  <si>
    <t xml:space="preserve">TAGTCCCATTCCAGCAGCAGGCCA</t>
  </si>
  <si>
    <t xml:space="preserve">AAACTGGCCTGCTGCTGGAATGGG</t>
  </si>
  <si>
    <t xml:space="preserve">GGCATTGCCATGGCTGGCGG</t>
  </si>
  <si>
    <t xml:space="preserve">TAGTGGCATTGCCATGGCTGGCGG</t>
  </si>
  <si>
    <t xml:space="preserve">AAACCCGCCAGCCATGGCAATGCC</t>
  </si>
  <si>
    <t xml:space="preserve">PSPPH_1908</t>
  </si>
  <si>
    <t xml:space="preserve">AGCCAGCAACAGGGCCAGGG</t>
  </si>
  <si>
    <t xml:space="preserve">TAGTAGCCAGCAACAGGGCCAGGG</t>
  </si>
  <si>
    <t xml:space="preserve">AAACCCCTGGCCCTGTTGCTGGCT</t>
  </si>
  <si>
    <t xml:space="preserve">TCGGCAGAAGCCTGAACCAT</t>
  </si>
  <si>
    <t xml:space="preserve">TAGTTCGGCAGAAGCCTGAACCAT</t>
  </si>
  <si>
    <t xml:space="preserve">AAACATGGTTCAGGCTTCTGCCGA</t>
  </si>
  <si>
    <t xml:space="preserve">ATGCGGTAGGTGTAGCCGGA</t>
  </si>
  <si>
    <t xml:space="preserve">TAGTATGCGGTAGGTGTAGCCGGA</t>
  </si>
  <si>
    <t xml:space="preserve">AAACTCCGGCTACACCTACCGCAT</t>
  </si>
  <si>
    <t xml:space="preserve">ATTCACATTGCTTGGCGTCT</t>
  </si>
  <si>
    <t xml:space="preserve">TAGTATTCACATTGCTTGGCGTCT</t>
  </si>
  <si>
    <t xml:space="preserve">AAACAGACGCCAAGCAATGTGAAT</t>
  </si>
  <si>
    <t xml:space="preserve">PSPPH_1909</t>
  </si>
  <si>
    <t xml:space="preserve">TGTGATTACGTGTTCCGTCA</t>
  </si>
  <si>
    <t xml:space="preserve">TAGTTGTGATTACGTGTTCCGTCA</t>
  </si>
  <si>
    <t xml:space="preserve">AAACTGACGGAACACGTAATCACA</t>
  </si>
  <si>
    <t xml:space="preserve">TCGACGAATGCCTGGAGTAA</t>
  </si>
  <si>
    <t xml:space="preserve">TAGTTCGACGAATGCCTGGAGTAA</t>
  </si>
  <si>
    <t xml:space="preserve">AAACTTACTCCAGGCATTCGTCGA</t>
  </si>
  <si>
    <t xml:space="preserve">CTACGTCCTCGGCCCGGGAC</t>
  </si>
  <si>
    <t xml:space="preserve">TAGTCTACGTCCTCGGCCCGGGAC</t>
  </si>
  <si>
    <t xml:space="preserve">AAACGTCCCGGGCCGAGGACGTAG</t>
  </si>
  <si>
    <t xml:space="preserve">TGCCGAGCGCAGTCTGAAAA</t>
  </si>
  <si>
    <t xml:space="preserve">TAGTTGCCGAGCGCAGTCTGAAAA</t>
  </si>
  <si>
    <t xml:space="preserve">AAACTTTTCAGACTGCGCTCGGCA</t>
  </si>
  <si>
    <t xml:space="preserve">PSPPH_1910</t>
  </si>
  <si>
    <t xml:space="preserve">GCAGAACAGCGTCAGGCTCA</t>
  </si>
  <si>
    <t xml:space="preserve">TAGTGCAGAACAGCGTCAGGCTCA</t>
  </si>
  <si>
    <t xml:space="preserve">AAACTGAGCCTGACGCTGTTCTGC</t>
  </si>
  <si>
    <t xml:space="preserve">CGCTGGCGCCGGAAAAAGGC</t>
  </si>
  <si>
    <t xml:space="preserve">TAGTCGCTGGCGCCGGAAAAAGGC</t>
  </si>
  <si>
    <t xml:space="preserve">AAACGCCTTTTTCCGGCGCCAGCG</t>
  </si>
  <si>
    <t xml:space="preserve">CCGGCAATTTGCGCCGCCAG</t>
  </si>
  <si>
    <t xml:space="preserve">TAGTCCGGCAATTTGCGCCGCCAG</t>
  </si>
  <si>
    <t xml:space="preserve">AAACCTGGCGGCGCAAATTGCCGG</t>
  </si>
  <si>
    <t xml:space="preserve">CCGCGACCGGGAGGCTCCAG</t>
  </si>
  <si>
    <t xml:space="preserve">TAGTCCGCGACCGGGAGGCTCCAG</t>
  </si>
  <si>
    <t xml:space="preserve">AAACCTGGAGCCTCCCGGTCGCGG</t>
  </si>
  <si>
    <t xml:space="preserve">PSPPH_1911</t>
  </si>
  <si>
    <t xml:space="preserve">GAGCCTGGGCCAGAGTGTCG</t>
  </si>
  <si>
    <t xml:space="preserve">TAGTGAGCCTGGGCCAGAGTGTCG</t>
  </si>
  <si>
    <t xml:space="preserve">AAACCGACACTCTGGCCCAGGCTC</t>
  </si>
  <si>
    <t xml:space="preserve">CAGCCGATCCGGCGTGTGCA</t>
  </si>
  <si>
    <t xml:space="preserve">TAGTCAGCCGATCCGGCGTGTGCA</t>
  </si>
  <si>
    <t xml:space="preserve">AAACTGCACACGCCGGATCGGCTG</t>
  </si>
  <si>
    <t xml:space="preserve">CAGTCCCTGGTCTTTCTCGT</t>
  </si>
  <si>
    <t xml:space="preserve">TAGTCAGTCCCTGGTCTTTCTCGT</t>
  </si>
  <si>
    <t xml:space="preserve">AAACACGAGAAAGACCAGGGACTG</t>
  </si>
  <si>
    <t xml:space="preserve">GCGCGCGCAGGTCCAGGTCA</t>
  </si>
  <si>
    <t xml:space="preserve">TAGTGCGCGCGCAGGTCCAGGTCA</t>
  </si>
  <si>
    <t xml:space="preserve">AAACTGACCTGGACCTGCGCGCGC</t>
  </si>
  <si>
    <t xml:space="preserve">PSPPH_1912</t>
  </si>
  <si>
    <t xml:space="preserve">ATGACCTGATGCATGACGGT</t>
  </si>
  <si>
    <t xml:space="preserve">TAGTATGACCTGATGCATGACGGT</t>
  </si>
  <si>
    <t xml:space="preserve">AAACACCGTCATGCATCAGGTCAT</t>
  </si>
  <si>
    <t xml:space="preserve">CTGTGCAACCCTCAATACGC</t>
  </si>
  <si>
    <t xml:space="preserve">TAGTCTGTGCAACCCTCAATACGC</t>
  </si>
  <si>
    <t xml:space="preserve">AAACGCGTATTGAGGGTTGCACAG</t>
  </si>
  <si>
    <t xml:space="preserve">CAACTGATCATCGATAAGCC</t>
  </si>
  <si>
    <t xml:space="preserve">TAGTCAACTGATCATCGATAAGCC</t>
  </si>
  <si>
    <t xml:space="preserve">AAACGGCTTATCGATGATCAGTTG</t>
  </si>
  <si>
    <t xml:space="preserve">GAGCGTTTCAGCCGCTGCCG</t>
  </si>
  <si>
    <t xml:space="preserve">TAGTGAGCGTTTCAGCCGCTGCCG</t>
  </si>
  <si>
    <t xml:space="preserve">AAACCGGCAGCGGCTGAAACGCTC</t>
  </si>
  <si>
    <t xml:space="preserve">PSPPH_1913</t>
  </si>
  <si>
    <t xml:space="preserve">GTCATTGCTGCTCTCCGTGT</t>
  </si>
  <si>
    <t xml:space="preserve">TAGTGTCATTGCTGCTCTCCGTGT</t>
  </si>
  <si>
    <t xml:space="preserve">AAACACACGGAGAGCAGCAATGAC</t>
  </si>
  <si>
    <t xml:space="preserve">AGATCGAATACTGTTCTTCG</t>
  </si>
  <si>
    <t xml:space="preserve">TAGTAGATCGAATACTGTTCTTCG</t>
  </si>
  <si>
    <t xml:space="preserve">AAACCGAAGAACAGTATTCGATCT</t>
  </si>
  <si>
    <t xml:space="preserve">TTGGGGATGGCTTTGTAGTC</t>
  </si>
  <si>
    <t xml:space="preserve">TAGTTTGGGGATGGCTTTGTAGTC</t>
  </si>
  <si>
    <t xml:space="preserve">AAACGACTACAAAGCCATCCCCAA</t>
  </si>
  <si>
    <t xml:space="preserve">CTTGAAGCCGCTTTTGCCAA</t>
  </si>
  <si>
    <t xml:space="preserve">TAGTCTTGAAGCCGCTTTTGCCAA</t>
  </si>
  <si>
    <t xml:space="preserve">AAACTTGGCAAAAGCGGCTTCAAG</t>
  </si>
  <si>
    <t xml:space="preserve">PSPPH_1914</t>
  </si>
  <si>
    <t xml:space="preserve">GTTGCTGAACAGGCCGGTCA</t>
  </si>
  <si>
    <t xml:space="preserve">TAGTGTTGCTGAACAGGCCGGTCA</t>
  </si>
  <si>
    <t xml:space="preserve">AAACTGACCGGCCTGTTCAGCAAC</t>
  </si>
  <si>
    <t xml:space="preserve">CTTTGGCGTCGGCGGCATAC</t>
  </si>
  <si>
    <t xml:space="preserve">TAGTCTTTGGCGTCGGCGGCATAC</t>
  </si>
  <si>
    <t xml:space="preserve">AAACGTATGCCGCCGACGCCAAAG</t>
  </si>
  <si>
    <t xml:space="preserve">CCGTACCGGTTGAGCACTGT</t>
  </si>
  <si>
    <t xml:space="preserve">TAGTCCGTACCGGTTGAGCACTGT</t>
  </si>
  <si>
    <t xml:space="preserve">AAACACAGTGCTCAACCGGTACGG</t>
  </si>
  <si>
    <t xml:space="preserve">CCAGCCCGTAGGTAATCGGC</t>
  </si>
  <si>
    <t xml:space="preserve">TAGTCCAGCCCGTAGGTAATCGGC</t>
  </si>
  <si>
    <t xml:space="preserve">AAACGCCGATTACCTACGGGCTGG</t>
  </si>
  <si>
    <t xml:space="preserve">PSPPH_1915</t>
  </si>
  <si>
    <t xml:space="preserve">GCAGATAGCCGGATGAGGCG</t>
  </si>
  <si>
    <t xml:space="preserve">TAGTGCAGATAGCCGGATGAGGCG</t>
  </si>
  <si>
    <t xml:space="preserve">AAACCGCCTCATCCGGCTATCTGC</t>
  </si>
  <si>
    <t xml:space="preserve">AAGCCATAAGCCAGCGCCTC</t>
  </si>
  <si>
    <t xml:space="preserve">TAGTAAGCCATAAGCCAGCGCCTC</t>
  </si>
  <si>
    <t xml:space="preserve">AAACGAGGCGCTGGCTTATGGCTT</t>
  </si>
  <si>
    <t xml:space="preserve">GATCAACAGGCCCGCAAGCA</t>
  </si>
  <si>
    <t xml:space="preserve">TAGTGATCAACAGGCCCGCAAGCA</t>
  </si>
  <si>
    <t xml:space="preserve">AAACTGCTTGCGGGCCTGTTGATC</t>
  </si>
  <si>
    <t xml:space="preserve">GTGCCCAGACCGCCCAGCAC</t>
  </si>
  <si>
    <t xml:space="preserve">TAGTGTGCCCAGACCGCCCAGCAC</t>
  </si>
  <si>
    <t xml:space="preserve">AAACGTGCTGGGCGGTCTGGGCAC</t>
  </si>
  <si>
    <t xml:space="preserve">PSPPH_1916</t>
  </si>
  <si>
    <t xml:space="preserve">GCCCCTGGCTGACGATGTCG</t>
  </si>
  <si>
    <t xml:space="preserve">TAGTGCCCCTGGCTGACGATGTCG</t>
  </si>
  <si>
    <t xml:space="preserve">AAACCGACATCGTCAGCCAGGGGC</t>
  </si>
  <si>
    <t xml:space="preserve">ACCTGGTTGAACTCGATGTC</t>
  </si>
  <si>
    <t xml:space="preserve">TAGTACCTGGTTGAACTCGATGTC</t>
  </si>
  <si>
    <t xml:space="preserve">AAACGACATCGAGTTCAACCAGGT</t>
  </si>
  <si>
    <t xml:space="preserve">TCGTTGTGCGGCCCAGAGTC</t>
  </si>
  <si>
    <t xml:space="preserve">TAGTTCGTTGTGCGGCCCAGAGTC</t>
  </si>
  <si>
    <t xml:space="preserve">AAACGACTCTGGGCCGCACAACGA</t>
  </si>
  <si>
    <t xml:space="preserve">CGCACACGTTGAAATGCACG</t>
  </si>
  <si>
    <t xml:space="preserve">TAGTCGCACACGTTGAAATGCACG</t>
  </si>
  <si>
    <t xml:space="preserve">AAACCGTGCATTTCAACGTGTGCG</t>
  </si>
  <si>
    <t xml:space="preserve">PSPPH_1917</t>
  </si>
  <si>
    <t xml:space="preserve">CGTTTGAATGAAATAGGCAT</t>
  </si>
  <si>
    <t xml:space="preserve">TAGTCGTTTGAATGAAATAGGCAT</t>
  </si>
  <si>
    <t xml:space="preserve">AAACATGCCTATTTCATTCAAACG</t>
  </si>
  <si>
    <t xml:space="preserve">ACAGGACGCGCAGCAAGGGA</t>
  </si>
  <si>
    <t xml:space="preserve">TAGTACAGGACGCGCAGCAAGGGA</t>
  </si>
  <si>
    <t xml:space="preserve">AAACTCCCTTGCTGCGCGTCCTGT</t>
  </si>
  <si>
    <t xml:space="preserve">GCTGGACGGTGCCAGCAGGG</t>
  </si>
  <si>
    <t xml:space="preserve">TAGTGCTGGACGGTGCCAGCAGGG</t>
  </si>
  <si>
    <t xml:space="preserve">AAACCCCTGCTGGCACCGTCCAGC</t>
  </si>
  <si>
    <t xml:space="preserve">CAGGCGCTTGGCCGGGTCGG</t>
  </si>
  <si>
    <t xml:space="preserve">TAGTCAGGCGCTTGGCCGGGTCGG</t>
  </si>
  <si>
    <t xml:space="preserve">AAACCCGACCCGGCCAAGCGCCTG</t>
  </si>
  <si>
    <t xml:space="preserve">PSPPH_1918</t>
  </si>
  <si>
    <t xml:space="preserve">GGGCGGACGATTTGTCGGGT</t>
  </si>
  <si>
    <t xml:space="preserve">TAGTGGGCGGACGATTTGTCGGGT</t>
  </si>
  <si>
    <t xml:space="preserve">AAACACCCGACAAATCGTCCGCCC</t>
  </si>
  <si>
    <t xml:space="preserve">TTTCATGCCCGGCGCCGGCC</t>
  </si>
  <si>
    <t xml:space="preserve">TAGTTTTCATGCCCGGCGCCGGCC</t>
  </si>
  <si>
    <t xml:space="preserve">AAACGGCCGGCGCCGGGCATGAAA</t>
  </si>
  <si>
    <t xml:space="preserve">GCACAGCAGCATGACGTACA</t>
  </si>
  <si>
    <t xml:space="preserve">TAGTGCACAGCAGCATGACGTACA</t>
  </si>
  <si>
    <t xml:space="preserve">AAACTGTACGTCATGCTGCTGTGC</t>
  </si>
  <si>
    <t xml:space="preserve">CGACTCCGGCCGCGACACCG</t>
  </si>
  <si>
    <t xml:space="preserve">TAGTCGACTCCGGCCGCGACACCG</t>
  </si>
  <si>
    <t xml:space="preserve">AAACCGGTGTCGCGGCCGGAGTCG</t>
  </si>
  <si>
    <t xml:space="preserve">PSPPH_1919</t>
  </si>
  <si>
    <t xml:space="preserve">CAGCCAGCGCAGGGAAGGGC</t>
  </si>
  <si>
    <t xml:space="preserve">TAGTCAGCCAGCGCAGGGAAGGGC</t>
  </si>
  <si>
    <t xml:space="preserve">AAACGCCCTTCCCTGCGCTGGCTG</t>
  </si>
  <si>
    <t xml:space="preserve">GCCAAGCAGGCACAGGGCGC</t>
  </si>
  <si>
    <t xml:space="preserve">TAGTGCCAAGCAGGCACAGGGCGC</t>
  </si>
  <si>
    <t xml:space="preserve">AAACGCGCCCTGTGCCTGCTTGGC</t>
  </si>
  <si>
    <t xml:space="preserve">TCTGTTTGCATTCGCACATC</t>
  </si>
  <si>
    <t xml:space="preserve">TAGTTCTGTTTGCATTCGCACATC</t>
  </si>
  <si>
    <t xml:space="preserve">AAACGATGTGCGAATGCAAACAGA</t>
  </si>
  <si>
    <t xml:space="preserve">ACTGCCGTCGGAAAAACCGC</t>
  </si>
  <si>
    <t xml:space="preserve">TAGTACTGCCGTCGGAAAAACCGC</t>
  </si>
  <si>
    <t xml:space="preserve">AAACGCGGTTTTTCCGACGGCAGT</t>
  </si>
  <si>
    <t xml:space="preserve">PSPPH_1920</t>
  </si>
  <si>
    <t xml:space="preserve">CGATGCAGGTTGTGCAACAG</t>
  </si>
  <si>
    <t xml:space="preserve">TAGTCGATGCAGGTTGTGCAACAG</t>
  </si>
  <si>
    <t xml:space="preserve">AAACCTGTTGCACAACCTGCATCG</t>
  </si>
  <si>
    <t xml:space="preserve">GCACCAGCAGCACGTTGATG</t>
  </si>
  <si>
    <t xml:space="preserve">TAGTGCACCAGCAGCACGTTGATG</t>
  </si>
  <si>
    <t xml:space="preserve">AAACCATCAACGTGCTGCTGGTGC</t>
  </si>
  <si>
    <t xml:space="preserve">GCGTTGTCGGAGAAGTACTT</t>
  </si>
  <si>
    <t xml:space="preserve">TAGTGCGTTGTCGGAGAAGTACTT</t>
  </si>
  <si>
    <t xml:space="preserve">AAACAAGTACTTCTCCGACAACGC</t>
  </si>
  <si>
    <t xml:space="preserve">CGCCGACGTCGCGTTGGCCA</t>
  </si>
  <si>
    <t xml:space="preserve">TAGTCGCCGACGTCGCGTTGGCCA</t>
  </si>
  <si>
    <t xml:space="preserve">AAACTGGCCAACGCGACGTCGGCG</t>
  </si>
  <si>
    <t xml:space="preserve">PSPPH_1921</t>
  </si>
  <si>
    <t xml:space="preserve">TGAACGGGACTTCTTCGACA</t>
  </si>
  <si>
    <t xml:space="preserve">TAGTTGAACGGGACTTCTTCGACA</t>
  </si>
  <si>
    <t xml:space="preserve">AAACTGTCGAAGAAGTCCCGTTCA</t>
  </si>
  <si>
    <t xml:space="preserve">GGGCAGGGCAAGCCAGCTGT</t>
  </si>
  <si>
    <t xml:space="preserve">TAGTGGGCAGGGCAAGCCAGCTGT</t>
  </si>
  <si>
    <t xml:space="preserve">AAACACAGCTGGCTTGCCCTGCCC</t>
  </si>
  <si>
    <t xml:space="preserve">ATCAGCACAAAGAACCAGAT</t>
  </si>
  <si>
    <t xml:space="preserve">TAGTATCAGCACAAAGAACCAGAT</t>
  </si>
  <si>
    <t xml:space="preserve">AAACATCTGGTTCTTTGTGCTGAT</t>
  </si>
  <si>
    <t xml:space="preserve">GCTGATGACCGCCAGCGTGC</t>
  </si>
  <si>
    <t xml:space="preserve">TAGTGCTGATGACCGCCAGCGTGC</t>
  </si>
  <si>
    <t xml:space="preserve">AAACGCACGCTGGCGGTCATCAGC</t>
  </si>
  <si>
    <t xml:space="preserve">PSPPH_1922</t>
  </si>
  <si>
    <t xml:space="preserve">CCGCCCCTGCAAGCAGCGGC</t>
  </si>
  <si>
    <t xml:space="preserve">TAGTCCGCCCCTGCAAGCAGCGGC</t>
  </si>
  <si>
    <t xml:space="preserve">AAACGCCGCTGCTTGCAGGGGCGG</t>
  </si>
  <si>
    <t xml:space="preserve">TCGGGTGCCTGTACCAGCAT</t>
  </si>
  <si>
    <t xml:space="preserve">TAGTTCGGGTGCCTGTACCAGCAT</t>
  </si>
  <si>
    <t xml:space="preserve">AAACATGCTGGTACAGGCACCCGA</t>
  </si>
  <si>
    <t xml:space="preserve">GCGTCCATCAAGTCCAGACC</t>
  </si>
  <si>
    <t xml:space="preserve">TAGTGCGTCCATCAAGTCCAGACC</t>
  </si>
  <si>
    <t xml:space="preserve">AAACGGTCTGGACTTGATGGACGC</t>
  </si>
  <si>
    <t xml:space="preserve">TACAGGTGCGCGGCCACCAG</t>
  </si>
  <si>
    <t xml:space="preserve">TAGTTACAGGTGCGCGGCCACCAG</t>
  </si>
  <si>
    <t xml:space="preserve">AAACCTGGTGGCCGCGCACCTGTA</t>
  </si>
  <si>
    <t xml:space="preserve">PSPPH_1923</t>
  </si>
  <si>
    <t xml:space="preserve">GCCCTGCGCAGGAAGGGATC</t>
  </si>
  <si>
    <t xml:space="preserve">TAGTGCCCTGCGCAGGAAGGGATC</t>
  </si>
  <si>
    <t xml:space="preserve">AAACGATCCCTTCCTGCGCAGGGC</t>
  </si>
  <si>
    <t xml:space="preserve">ATAAGACAGCCCGTCACGCT</t>
  </si>
  <si>
    <t xml:space="preserve">TAGTATAAGACAGCCCGTCACGCT</t>
  </si>
  <si>
    <t xml:space="preserve">AAACAGCGTGACGGGCTGTCTTAT</t>
  </si>
  <si>
    <t xml:space="preserve">GAGAAACCACATGCGTTGCT</t>
  </si>
  <si>
    <t xml:space="preserve">TAGTGAGAAACCACATGCGTTGCT</t>
  </si>
  <si>
    <t xml:space="preserve">AAACAGCAACGCATGTGGTTTCTC</t>
  </si>
  <si>
    <t xml:space="preserve">GATTGTAGGCTGCGCTGTGC</t>
  </si>
  <si>
    <t xml:space="preserve">TAGTGATTGTAGGCTGCGCTGTGC</t>
  </si>
  <si>
    <t xml:space="preserve">AAACGCACAGCGCAGCCTACAATC</t>
  </si>
  <si>
    <t xml:space="preserve">PSPPH_1924</t>
  </si>
  <si>
    <t xml:space="preserve">GATGCGTGCAGCGGTGGTCC</t>
  </si>
  <si>
    <t xml:space="preserve">TAGTGATGCGTGCAGCGGTGGTCC</t>
  </si>
  <si>
    <t xml:space="preserve">AAACGGACCACCGCTGCACGCATC</t>
  </si>
  <si>
    <t xml:space="preserve">GCTGGCGTTGTTCCAGTGGC</t>
  </si>
  <si>
    <t xml:space="preserve">TAGTGCTGGCGTTGTTCCAGTGGC</t>
  </si>
  <si>
    <t xml:space="preserve">AAACGCCACTGGAACAACGCCAGC</t>
  </si>
  <si>
    <t xml:space="preserve">CTTCCTGGCGCAAGCGGGCG</t>
  </si>
  <si>
    <t xml:space="preserve">TAGTCTTCCTGGCGCAAGCGGGCG</t>
  </si>
  <si>
    <t xml:space="preserve">AAACCGCCCGCTTGCGCCAGGAAG</t>
  </si>
  <si>
    <t xml:space="preserve">GGCTGACCGGTACCGGCAAC</t>
  </si>
  <si>
    <t xml:space="preserve">TAGTGGCTGACCGGTACCGGCAAC</t>
  </si>
  <si>
    <t xml:space="preserve">AAACGTTGCCGGTACCGGTCAGCC</t>
  </si>
  <si>
    <t xml:space="preserve">PSPPH_1925</t>
  </si>
  <si>
    <t xml:space="preserve">GAGTCAAGCAACTGTTGCAC</t>
  </si>
  <si>
    <t xml:space="preserve">TAGTGAGTCAAGCAACTGTTGCAC</t>
  </si>
  <si>
    <t xml:space="preserve">AAACGTGCAACAGTTGCTTGACTC</t>
  </si>
  <si>
    <t xml:space="preserve">ACGGGCGGACAGCGATTTAA</t>
  </si>
  <si>
    <t xml:space="preserve">TAGTACGGGCGGACAGCGATTTAA</t>
  </si>
  <si>
    <t xml:space="preserve">AAACTTAAATCGCTGTCCGCCCGT</t>
  </si>
  <si>
    <t xml:space="preserve">TCACCCCCTGGCGCTTGAGC</t>
  </si>
  <si>
    <t xml:space="preserve">TAGTTCACCCCCTGGCGCTTGAGC</t>
  </si>
  <si>
    <t xml:space="preserve">AAACGCTCAAGCGCCAGGGGGTGA</t>
  </si>
  <si>
    <t xml:space="preserve">TGCGTCTCCCGCACAGCGAT</t>
  </si>
  <si>
    <t xml:space="preserve">TAGTTGCGTCTCCCGCACAGCGAT</t>
  </si>
  <si>
    <t xml:space="preserve">AAACATCGCTGTGCGGGAGACGCA</t>
  </si>
  <si>
    <t xml:space="preserve">PSPPH_1926</t>
  </si>
  <si>
    <t xml:space="preserve">GGGCAAACCAACGAAACGCT</t>
  </si>
  <si>
    <t xml:space="preserve">TAGTGGGCAAACCAACGAAACGCT</t>
  </si>
  <si>
    <t xml:space="preserve">AAACAGCGTTTCGTTGGTTTGCCC</t>
  </si>
  <si>
    <t xml:space="preserve">ATCTGGCGGCGCTGTTCGAC</t>
  </si>
  <si>
    <t xml:space="preserve">TAGTATCTGGCGGCGCTGTTCGAC</t>
  </si>
  <si>
    <t xml:space="preserve">AAACGTCGAACAGCGCCGCCAGAT</t>
  </si>
  <si>
    <t xml:space="preserve">CAGCAGTTTGAAGCTCTGCC</t>
  </si>
  <si>
    <t xml:space="preserve">TAGTCAGCAGTTTGAAGCTCTGCC</t>
  </si>
  <si>
    <t xml:space="preserve">AAACGGCAGAGCTTCAAACTGCTG</t>
  </si>
  <si>
    <t xml:space="preserve">TCATGCCGGGTTACAGCGAT</t>
  </si>
  <si>
    <t xml:space="preserve">TAGTTCATGCCGGGTTACAGCGAT</t>
  </si>
  <si>
    <t xml:space="preserve">AAACATCGCTGTAACCCGGCATGA</t>
  </si>
  <si>
    <t xml:space="preserve">PSPPH_1927</t>
  </si>
  <si>
    <t xml:space="preserve">CGGCTGAAGGGTGTTGGCAT</t>
  </si>
  <si>
    <t xml:space="preserve">TAGTCGGCTGAAGGGTGTTGGCAT</t>
  </si>
  <si>
    <t xml:space="preserve">AAACATGCCAACACCCTTCAGCCG</t>
  </si>
  <si>
    <t xml:space="preserve">TCACGCGGCCTGTGCGCAGA</t>
  </si>
  <si>
    <t xml:space="preserve">TAGTTCACGCGGCCTGTGCGCAGA</t>
  </si>
  <si>
    <t xml:space="preserve">AAACTCTGCGCACAGGCCGCGTGA</t>
  </si>
  <si>
    <t xml:space="preserve">CGCTGTTCAAGGGTTGTGCG</t>
  </si>
  <si>
    <t xml:space="preserve">TAGTCGCTGTTCAAGGGTTGTGCG</t>
  </si>
  <si>
    <t xml:space="preserve">AAACCGCACAACCCTTGAACAGCG</t>
  </si>
  <si>
    <t xml:space="preserve">CTGGCGACCCAGCTCTTTAA</t>
  </si>
  <si>
    <t xml:space="preserve">TAGTCTGGCGACCCAGCTCTTTAA</t>
  </si>
  <si>
    <t xml:space="preserve">AAACTTAAAGAGCTGGGTCGCCAG</t>
  </si>
  <si>
    <t xml:space="preserve">PSPPH_1928</t>
  </si>
  <si>
    <t xml:space="preserve">TGAGCGGGGTAAGTCGTGAC</t>
  </si>
  <si>
    <t xml:space="preserve">TAGTTGAGCGGGGTAAGTCGTGAC</t>
  </si>
  <si>
    <t xml:space="preserve">AAACGTCACGACTTACCCCGCTCA</t>
  </si>
  <si>
    <t xml:space="preserve">CCGCCATGGATGGCCGGGAG</t>
  </si>
  <si>
    <t xml:space="preserve">TAGTCCGCCATGGATGGCCGGGAG</t>
  </si>
  <si>
    <t xml:space="preserve">AAACCTCCCGGCCATCCATGGCGG</t>
  </si>
  <si>
    <t xml:space="preserve">CATACAGAGCGCAAGGCCCA</t>
  </si>
  <si>
    <t xml:space="preserve">TAGTCATACAGAGCGCAAGGCCCA</t>
  </si>
  <si>
    <t xml:space="preserve">AAACTGGGCCTTGCGCTCTGTATG</t>
  </si>
  <si>
    <t xml:space="preserve">TCCTGTGCCTGGCTGGCCAC</t>
  </si>
  <si>
    <t xml:space="preserve">TAGTTCCTGTGCCTGGCTGGCCAC</t>
  </si>
  <si>
    <t xml:space="preserve">AAACGTGGCCAGCCAGGCACAGGA</t>
  </si>
  <si>
    <t xml:space="preserve">PSPPH_1929</t>
  </si>
  <si>
    <t xml:space="preserve">GCTTTCAGTTTTGCGGGTCA</t>
  </si>
  <si>
    <t xml:space="preserve">TAGTGCTTTCAGTTTTGCGGGTCA</t>
  </si>
  <si>
    <t xml:space="preserve">AAACTGACCCGCAAAACTGAAAGC</t>
  </si>
  <si>
    <t xml:space="preserve">TTCTCAGGGTTTCCCGGGCG</t>
  </si>
  <si>
    <t xml:space="preserve">TAGTTTCTCAGGGTTTCCCGGGCG</t>
  </si>
  <si>
    <t xml:space="preserve">AAACCGCCCGGGAAACCCTGAGAA</t>
  </si>
  <si>
    <t xml:space="preserve">CCAGCCACCAGAAGGGCTTG</t>
  </si>
  <si>
    <t xml:space="preserve">TAGTCCAGCCACCAGAAGGGCTTG</t>
  </si>
  <si>
    <t xml:space="preserve">AAACCAAGCCCTTCTGGTGGCTGG</t>
  </si>
  <si>
    <t xml:space="preserve">ACCGCTGACAATCCCCAGCA</t>
  </si>
  <si>
    <t xml:space="preserve">TAGTACCGCTGACAATCCCCAGCA</t>
  </si>
  <si>
    <t xml:space="preserve">AAACTGCTGGGGATTGTCAGCGGT</t>
  </si>
  <si>
    <t xml:space="preserve">PSPPH_1930</t>
  </si>
  <si>
    <t xml:space="preserve">CAGGCCGAACAGGGCGGAAA</t>
  </si>
  <si>
    <t xml:space="preserve">TAGTCAGGCCGAACAGGGCGGAAA</t>
  </si>
  <si>
    <t xml:space="preserve">AAACTTTCCGCCCTGTTCGGCCTG</t>
  </si>
  <si>
    <t xml:space="preserve">TGGCGCGGACGTGGCGGCGA</t>
  </si>
  <si>
    <t xml:space="preserve">TAGTTGGCGCGGACGTGGCGGCGA</t>
  </si>
  <si>
    <t xml:space="preserve">AAACTCGCCGCCACGTCCGCGCCA</t>
  </si>
  <si>
    <t xml:space="preserve">ACTTTTCCGGGCGCGGGTAC</t>
  </si>
  <si>
    <t xml:space="preserve">TAGTACTTTTCCGGGCGCGGGTAC</t>
  </si>
  <si>
    <t xml:space="preserve">AAACGTACCCGCGCCCGGAAAAGT</t>
  </si>
  <si>
    <t xml:space="preserve">CAGGCAGCACGACCATTTCC</t>
  </si>
  <si>
    <t xml:space="preserve">TAGTCAGGCAGCACGACCATTTCC</t>
  </si>
  <si>
    <t xml:space="preserve">AAACGGAAATGGTCGTGCTGCCTG</t>
  </si>
  <si>
    <t xml:space="preserve">PSPPH_1931</t>
  </si>
  <si>
    <t xml:space="preserve">CCTGTTTGAGGAAGGTTCTG</t>
  </si>
  <si>
    <t xml:space="preserve">TAGTCCTGTTTGAGGAAGGTTCTG</t>
  </si>
  <si>
    <t xml:space="preserve">AAACCAGAACCTTCCTCAAACAGG</t>
  </si>
  <si>
    <t xml:space="preserve">CAAGGCTGCGGCCAGCACTC</t>
  </si>
  <si>
    <t xml:space="preserve">TAGTCAAGGCTGCGGCCAGCACTC</t>
  </si>
  <si>
    <t xml:space="preserve">AAACGAGTGCTGGCCGCAGCCTTG</t>
  </si>
  <si>
    <t xml:space="preserve">GACGCAAGACCGGAGCCCAG</t>
  </si>
  <si>
    <t xml:space="preserve">TAGTGACGCAAGACCGGAGCCCAG</t>
  </si>
  <si>
    <t xml:space="preserve">AAACCTGGGCTCCGGTCTTGCGTC</t>
  </si>
  <si>
    <t xml:space="preserve">CGGTGCAGGTGCGGACGCCA</t>
  </si>
  <si>
    <t xml:space="preserve">TAGTCGGTGCAGGTGCGGACGCCA</t>
  </si>
  <si>
    <t xml:space="preserve">AAACTGGCGTCCGCACCTGCACCG</t>
  </si>
  <si>
    <t xml:space="preserve">PSPPH_1932</t>
  </si>
  <si>
    <t xml:space="preserve">AAGAGAGCCTTTTTCCAACG</t>
  </si>
  <si>
    <t xml:space="preserve">TAGTAAGAGAGCCTTTTTCCAACG</t>
  </si>
  <si>
    <t xml:space="preserve">AAACCGTTGGAAAAAGGCTCTCTT</t>
  </si>
  <si>
    <t xml:space="preserve">GCACTGATGGCCAGGGCCAG</t>
  </si>
  <si>
    <t xml:space="preserve">TAGTGCACTGATGGCCAGGGCCAG</t>
  </si>
  <si>
    <t xml:space="preserve">AAACCTGGCCCTGGCCATCAGTGC</t>
  </si>
  <si>
    <t xml:space="preserve">GGCAGGCGACCAGTAATTCC</t>
  </si>
  <si>
    <t xml:space="preserve">TAGTGGCAGGCGACCAGTAATTCC</t>
  </si>
  <si>
    <t xml:space="preserve">AAACGGAATTACTGGTCGCCTGCC</t>
  </si>
  <si>
    <t xml:space="preserve">CATGACCTTGACCGGGTAAC</t>
  </si>
  <si>
    <t xml:space="preserve">TAGTCATGACCTTGACCGGGTAAC</t>
  </si>
  <si>
    <t xml:space="preserve">AAACGTTACCCGGTCAAGGTCATG</t>
  </si>
  <si>
    <t xml:space="preserve">PSPPH_1933</t>
  </si>
  <si>
    <t xml:space="preserve">GGCAGCCGGAACTGCCGCGC</t>
  </si>
  <si>
    <t xml:space="preserve">TAGTGGCAGCCGGAACTGCCGCGC</t>
  </si>
  <si>
    <t xml:space="preserve">AAACGCGCGGCAGTTCCGGCTGCC</t>
  </si>
  <si>
    <t xml:space="preserve">GAATTCCCGATGCGCATAAT</t>
  </si>
  <si>
    <t xml:space="preserve">TAGTGAATTCCCGATGCGCATAAT</t>
  </si>
  <si>
    <t xml:space="preserve">AAACATTATGCGCATCGGGAATTC</t>
  </si>
  <si>
    <t xml:space="preserve">TGTCACGGGTTCCTCGACAC</t>
  </si>
  <si>
    <t xml:space="preserve">TAGTTGTCACGGGTTCCTCGACAC</t>
  </si>
  <si>
    <t xml:space="preserve">AAACGTGTCGAGGAACCCGTGACA</t>
  </si>
  <si>
    <t xml:space="preserve">GGCCCGGCCGTGGCCTCGCC</t>
  </si>
  <si>
    <t xml:space="preserve">TAGTGGCCCGGCCGTGGCCTCGCC</t>
  </si>
  <si>
    <t xml:space="preserve">AAACGGCGAGGCCACGGCCGGGCC</t>
  </si>
  <si>
    <t xml:space="preserve">PSPPH_1934</t>
  </si>
  <si>
    <t xml:space="preserve">ACGGTCAAAAGGGAAAGGCT</t>
  </si>
  <si>
    <t xml:space="preserve">TAGTACGGTCAAAAGGGAAAGGCT</t>
  </si>
  <si>
    <t xml:space="preserve">AAACAGCCTTTCCCTTTTGACCGT</t>
  </si>
  <si>
    <t xml:space="preserve">CATTGCAGGCGGTCAGTAAC</t>
  </si>
  <si>
    <t xml:space="preserve">TAGTCATTGCAGGCGGTCAGTAAC</t>
  </si>
  <si>
    <t xml:space="preserve">AAACGTTACTGACCGCCTGCAATG</t>
  </si>
  <si>
    <t xml:space="preserve">GCTGTCCAGGCGCGGAGCCG</t>
  </si>
  <si>
    <t xml:space="preserve">TAGTGCTGTCCAGGCGCGGAGCCG</t>
  </si>
  <si>
    <t xml:space="preserve">AAACCGGCTCCGCGCCTGGACAGC</t>
  </si>
  <si>
    <t xml:space="preserve">GCAAACGCCCAGCGTGCAGG</t>
  </si>
  <si>
    <t xml:space="preserve">TAGTGCAAACGCCCAGCGTGCAGG</t>
  </si>
  <si>
    <t xml:space="preserve">AAACCCTGCACGCTGGGCGTTTGC</t>
  </si>
  <si>
    <t xml:space="preserve">PSPPH_1935</t>
  </si>
  <si>
    <t xml:space="preserve">macB</t>
  </si>
  <si>
    <t xml:space="preserve">ATGGCGCGCAGGTCGATCAG</t>
  </si>
  <si>
    <t xml:space="preserve">TAGTATGGCGCGCAGGTCGATCAG</t>
  </si>
  <si>
    <t xml:space="preserve">AAACCTGATCGACCTGCGCGCCAT</t>
  </si>
  <si>
    <t xml:space="preserve">CGGGCTGTCGCCACCGCCGT</t>
  </si>
  <si>
    <t xml:space="preserve">TAGTCGGGCTGTCGCCACCGCCGT</t>
  </si>
  <si>
    <t xml:space="preserve">AAACACGGCGGTGGCGACAGCCCG</t>
  </si>
  <si>
    <t xml:space="preserve">TCGCTACGAATTCCCCGGCA</t>
  </si>
  <si>
    <t xml:space="preserve">TAGTTCGCTACGAATTCCCCGGCA</t>
  </si>
  <si>
    <t xml:space="preserve">AAACTGCCGGGGAATTCGTAGCGA</t>
  </si>
  <si>
    <t xml:space="preserve">TCGGGCGATCCAGGCAGCCG</t>
  </si>
  <si>
    <t xml:space="preserve">TAGTTCGGGCGATCCAGGCAGCCG</t>
  </si>
  <si>
    <t xml:space="preserve">AAACCGGCTGCCTGGATCGCCCGA</t>
  </si>
  <si>
    <t xml:space="preserve">PSPPH_1936</t>
  </si>
  <si>
    <t xml:space="preserve">CGAGAAGGGCGCGTCGAGGA</t>
  </si>
  <si>
    <t xml:space="preserve">TAGTCGAGAAGGGCGCGTCGAGGA</t>
  </si>
  <si>
    <t xml:space="preserve">AAACTCCTCGACGCGCCCTTCTCG</t>
  </si>
  <si>
    <t xml:space="preserve">ACACGGCGATGACCGGGAAC</t>
  </si>
  <si>
    <t xml:space="preserve">TAGTACACGGCGATGACCGGGAAC</t>
  </si>
  <si>
    <t xml:space="preserve">AAACGTTCCCGGTCATCGCCGTGT</t>
  </si>
  <si>
    <t xml:space="preserve">GCTGTCGGGCATGATCTGCC</t>
  </si>
  <si>
    <t xml:space="preserve">TAGTGCTGTCGGGCATGATCTGCC</t>
  </si>
  <si>
    <t xml:space="preserve">AAACGGCAGATCATGCCCGACAGC</t>
  </si>
  <si>
    <t xml:space="preserve">TCACCGTCACGGTCGCTGCA</t>
  </si>
  <si>
    <t xml:space="preserve">TAGTTCACCGTCACGGTCGCTGCA</t>
  </si>
  <si>
    <t xml:space="preserve">AAACTGCAGCGACCGTGACGGTGA</t>
  </si>
  <si>
    <t xml:space="preserve">PSPPH_1937</t>
  </si>
  <si>
    <t xml:space="preserve">CACAAAACCGCACAGGGGTC</t>
  </si>
  <si>
    <t xml:space="preserve">TAGTCACAAAACCGCACAGGGGTC</t>
  </si>
  <si>
    <t xml:space="preserve">AAACGACCCCTGTGCGGTTTTGTG</t>
  </si>
  <si>
    <t xml:space="preserve">GCGGCAACCAGGGCCTGGGC</t>
  </si>
  <si>
    <t xml:space="preserve">TAGTGCGGCAACCAGGGCCTGGGC</t>
  </si>
  <si>
    <t xml:space="preserve">AAACGCCCAGGCCCTGGTTGCCGC</t>
  </si>
  <si>
    <t xml:space="preserve">ACGCCGGATTTCGGCACGGG</t>
  </si>
  <si>
    <t xml:space="preserve">TAGTACGCCGGATTTCGGCACGGG</t>
  </si>
  <si>
    <t xml:space="preserve">AAACCCCGTGCCGAAATCCGGCGT</t>
  </si>
  <si>
    <t xml:space="preserve">GATATGCGGCACGCCAAAAC</t>
  </si>
  <si>
    <t xml:space="preserve">TAGTGATATGCGGCACGCCAAAAC</t>
  </si>
  <si>
    <t xml:space="preserve">AAACGTTTTGGCGTGCCGCATATC</t>
  </si>
  <si>
    <t xml:space="preserve">PSPPH_1938</t>
  </si>
  <si>
    <t xml:space="preserve">TTTCTGACGTTGCGGTTCGA</t>
  </si>
  <si>
    <t xml:space="preserve">TAGTTTTCTGACGTTGCGGTTCGA</t>
  </si>
  <si>
    <t xml:space="preserve">AAACTCGAACCGCAACGTCAGAAA</t>
  </si>
  <si>
    <t xml:space="preserve">GCGGGCGTATGCTGGCCCGG</t>
  </si>
  <si>
    <t xml:space="preserve">TAGTGCGGGCGTATGCTGGCCCGG</t>
  </si>
  <si>
    <t xml:space="preserve">AAACCCGGGCCAGCATACGCCCGC</t>
  </si>
  <si>
    <t xml:space="preserve">GGTCGTTGCGGTCTGCGCCC</t>
  </si>
  <si>
    <t xml:space="preserve">TAGTGGTCGTTGCGGTCTGCGCCC</t>
  </si>
  <si>
    <t xml:space="preserve">AAACGGGCGCAGACCGCAACGACC</t>
  </si>
  <si>
    <t xml:space="preserve">CAACCTGTGGCTCGATGGCC</t>
  </si>
  <si>
    <t xml:space="preserve">TAGTCAACCTGTGGCTCGATGGCC</t>
  </si>
  <si>
    <t xml:space="preserve">AAACGGCCATCGAGCCACAGGTTG</t>
  </si>
  <si>
    <t xml:space="preserve">PSPPH_1939</t>
  </si>
  <si>
    <t xml:space="preserve">aspC</t>
  </si>
  <si>
    <t xml:space="preserve">CCATTTCGACAGCGGAGAAC</t>
  </si>
  <si>
    <t xml:space="preserve">TAGTCCATTTCGACAGCGGAGAAC</t>
  </si>
  <si>
    <t xml:space="preserve">AAACGTTCTCCGCTGTCGAAATGG</t>
  </si>
  <si>
    <t xml:space="preserve">ATACCCAGGATCGGATCGCG</t>
  </si>
  <si>
    <t xml:space="preserve">TAGTATACCCAGGATCGGATCGCG</t>
  </si>
  <si>
    <t xml:space="preserve">AAACCGCGATCCGATCCTGGGTAT</t>
  </si>
  <si>
    <t xml:space="preserve">GGTGCAGGTGTCAGCGTTGA</t>
  </si>
  <si>
    <t xml:space="preserve">TAGTGGTGCAGGTGTCAGCGTTGA</t>
  </si>
  <si>
    <t xml:space="preserve">AAACTCAACGCTGACACCTGCACC</t>
  </si>
  <si>
    <t xml:space="preserve">TACGCCAAGGTTGACCTTGG</t>
  </si>
  <si>
    <t xml:space="preserve">TAGTTACGCCAAGGTTGACCTTGG</t>
  </si>
  <si>
    <t xml:space="preserve">AAACCCAAGGTCAACCTTGGCGTA</t>
  </si>
  <si>
    <t xml:space="preserve">PSPPH_1940</t>
  </si>
  <si>
    <t xml:space="preserve">CCTGTCAGTCCATTCAGGTG</t>
  </si>
  <si>
    <t xml:space="preserve">TAGTCCTGTCAGTCCATTCAGGTG</t>
  </si>
  <si>
    <t xml:space="preserve">AAACCACCTGAATGGACTGACAGG</t>
  </si>
  <si>
    <t xml:space="preserve">TTCCCAGCGGGACCGGGCGT</t>
  </si>
  <si>
    <t xml:space="preserve">TAGTTTCCCAGCGGGACCGGGCGT</t>
  </si>
  <si>
    <t xml:space="preserve">AAACACGCCCGGTCCCGCTGGGAA</t>
  </si>
  <si>
    <t xml:space="preserve">PSPPH_1941</t>
  </si>
  <si>
    <t xml:space="preserve">uvrB</t>
  </si>
  <si>
    <t xml:space="preserve">ACGGGTAACGAGCTGGAACT</t>
  </si>
  <si>
    <t xml:space="preserve">TAGTACGGGTAACGAGCTGGAACT</t>
  </si>
  <si>
    <t xml:space="preserve">AAACAGTTCCAGCTCGTTACCCGT</t>
  </si>
  <si>
    <t xml:space="preserve">GCCTCGGGCTGATCGCCGGC</t>
  </si>
  <si>
    <t xml:space="preserve">TAGTGCCTCGGGCTGATCGCCGGC</t>
  </si>
  <si>
    <t xml:space="preserve">AAACGCCGGCGATCAGCCCGAGGC</t>
  </si>
  <si>
    <t xml:space="preserve">CCCTTCGACCAGTTGGCGAA</t>
  </si>
  <si>
    <t xml:space="preserve">TAGTCCCTTCGACCAGTTGGCGAA</t>
  </si>
  <si>
    <t xml:space="preserve">AAACTTCGCCAACTGGTCGAAGGG</t>
  </si>
  <si>
    <t xml:space="preserve">CGAGCCGGTCACCCCCAGCA</t>
  </si>
  <si>
    <t xml:space="preserve">TAGTCGAGCCGGTCACCCCCAGCA</t>
  </si>
  <si>
    <t xml:space="preserve">AAACTGCTGGGGGTGACCGGCTCG</t>
  </si>
  <si>
    <t xml:space="preserve">PSPPH_1942</t>
  </si>
  <si>
    <t xml:space="preserve">gltX</t>
  </si>
  <si>
    <t xml:space="preserve">GCGGGTACGAACGGTGGTCA</t>
  </si>
  <si>
    <t xml:space="preserve">TAGTGCGGGTACGAACGGTGGTCA</t>
  </si>
  <si>
    <t xml:space="preserve">AAACTGACCACCGTTCGTACCCGC</t>
  </si>
  <si>
    <t xml:space="preserve">TGAGGGTCGCCCGTGGGCGA</t>
  </si>
  <si>
    <t xml:space="preserve">TAGTTGAGGGTCGCCCGTGGGCGA</t>
  </si>
  <si>
    <t xml:space="preserve">AAACTCGCCCACGGGCGACCCTCA</t>
  </si>
  <si>
    <t xml:space="preserve">GTAGTTGAACAGCGCAATGT</t>
  </si>
  <si>
    <t xml:space="preserve">TAGTGTAGTTGAACAGCGCAATGT</t>
  </si>
  <si>
    <t xml:space="preserve">AAACACATTGCGCTGTTCAACTAC</t>
  </si>
  <si>
    <t xml:space="preserve">GAACTCGCCGCCATGCTGTT</t>
  </si>
  <si>
    <t xml:space="preserve">TAGTGAACTCGCCGCCATGCTGTT</t>
  </si>
  <si>
    <t xml:space="preserve">AAACAACAGCATGGCGGCGAGTTC</t>
  </si>
  <si>
    <t xml:space="preserve">PSPPH_1947</t>
  </si>
  <si>
    <t xml:space="preserve">CAATGACGAAAGGCGTTGCC</t>
  </si>
  <si>
    <t xml:space="preserve">TAGTCAATGACGAAAGGCGTTGCC</t>
  </si>
  <si>
    <t xml:space="preserve">AAACGGCAACGCCTTTCGTCATTG</t>
  </si>
  <si>
    <t xml:space="preserve">GGAGACGTACACGGCATTAT</t>
  </si>
  <si>
    <t xml:space="preserve">TAGTGGAGACGTACACGGCATTAT</t>
  </si>
  <si>
    <t xml:space="preserve">AAACATAATGCCGTGTACGTCTCC</t>
  </si>
  <si>
    <t xml:space="preserve">CCAGGCACAGCGCTCCAGCC</t>
  </si>
  <si>
    <t xml:space="preserve">TAGTCCAGGCACAGCGCTCCAGCC</t>
  </si>
  <si>
    <t xml:space="preserve">AAACGGCTGGAGCGCTGTGCCTGG</t>
  </si>
  <si>
    <t xml:space="preserve">GCCGGTATTCGGTCAGGTCC</t>
  </si>
  <si>
    <t xml:space="preserve">TAGTGCCGGTATTCGGTCAGGTCC</t>
  </si>
  <si>
    <t xml:space="preserve">AAACGGACCTGACCGAATACCGGC</t>
  </si>
  <si>
    <t xml:space="preserve">PSPPH_1948</t>
  </si>
  <si>
    <t xml:space="preserve">GGCGCCAGAGCAATTTGCAT</t>
  </si>
  <si>
    <t xml:space="preserve">TAGTGGCGCCAGAGCAATTTGCAT</t>
  </si>
  <si>
    <t xml:space="preserve">AAACATGCAAATTGCTCTGGCGCC</t>
  </si>
  <si>
    <t xml:space="preserve">TCGTCGACCAACCCCTCCAT</t>
  </si>
  <si>
    <t xml:space="preserve">TAGTTCGTCGACCAACCCCTCCAT</t>
  </si>
  <si>
    <t xml:space="preserve">AAACATGGAGGGGTTGGTCGACGA</t>
  </si>
  <si>
    <t xml:space="preserve">CTTTCGTCAGGGCATCGCGC</t>
  </si>
  <si>
    <t xml:space="preserve">TAGTCTTTCGTCAGGGCATCGCGC</t>
  </si>
  <si>
    <t xml:space="preserve">AAACGCGCGATGCCCTGACGAAAG</t>
  </si>
  <si>
    <t xml:space="preserve">CTCGGACACCCGGATGAATT</t>
  </si>
  <si>
    <t xml:space="preserve">TAGTCTCGGACACCCGGATGAATT</t>
  </si>
  <si>
    <t xml:space="preserve">AAACAATTCATCCGGGTGTCCGAG</t>
  </si>
  <si>
    <t xml:space="preserve">PSPPH_1949</t>
  </si>
  <si>
    <t xml:space="preserve">CCCACTGAGTTGCGAAACAG</t>
  </si>
  <si>
    <t xml:space="preserve">TAGTCCCACTGAGTTGCGAAACAG</t>
  </si>
  <si>
    <t xml:space="preserve">AAACCTGTTTCGCAACTCAGTGGG</t>
  </si>
  <si>
    <t xml:space="preserve">ACTCGAACAGGTCGTTGAAG</t>
  </si>
  <si>
    <t xml:space="preserve">TAGTACTCGAACAGGTCGTTGAAG</t>
  </si>
  <si>
    <t xml:space="preserve">AAACCTTCAACGACCTGTTCGAGT</t>
  </si>
  <si>
    <t xml:space="preserve">GTTGTAGGGAGGGTAGCCGC</t>
  </si>
  <si>
    <t xml:space="preserve">TAGTGTTGTAGGGAGGGTAGCCGC</t>
  </si>
  <si>
    <t xml:space="preserve">AAACGCGGCTACCCTCCCTACAAC</t>
  </si>
  <si>
    <t xml:space="preserve">CACGATCCGGTAATGATCAT</t>
  </si>
  <si>
    <t xml:space="preserve">TAGTCACGATCCGGTAATGATCAT</t>
  </si>
  <si>
    <t xml:space="preserve">AAACATGATCATTACCGGATCGTG</t>
  </si>
  <si>
    <t xml:space="preserve">PSPPH_1950</t>
  </si>
  <si>
    <t xml:space="preserve">CACGGAGTTATCCGGTGGGT</t>
  </si>
  <si>
    <t xml:space="preserve">TAGTCACGGAGTTATCCGGTGGGT</t>
  </si>
  <si>
    <t xml:space="preserve">AAACACCCACCGGATAACTCCGTG</t>
  </si>
  <si>
    <t xml:space="preserve">TGGGGGTGGCTGCCTGTGCA</t>
  </si>
  <si>
    <t xml:space="preserve">TAGTTGGGGGTGGCTGCCTGTGCA</t>
  </si>
  <si>
    <t xml:space="preserve">AAACTGCACAGGCAGCCACCCCCA</t>
  </si>
  <si>
    <t xml:space="preserve">CGCGCCTGTCGGCGGCAGGC</t>
  </si>
  <si>
    <t xml:space="preserve">TAGTCGCGCCTGTCGGCGGCAGGC</t>
  </si>
  <si>
    <t xml:space="preserve">AAACGCCTGCCGCCGACAGGCGCG</t>
  </si>
  <si>
    <t xml:space="preserve">GACGGTCCCGGGTTTGCTGG</t>
  </si>
  <si>
    <t xml:space="preserve">TAGTGACGGTCCCGGGTTTGCTGG</t>
  </si>
  <si>
    <t xml:space="preserve">AAACCCAGCAAACCCGGGACCGTC</t>
  </si>
  <si>
    <t xml:space="preserve">PSPPH_1951</t>
  </si>
  <si>
    <t xml:space="preserve">ATTAAGGTTGGCGAGATCCA</t>
  </si>
  <si>
    <t xml:space="preserve">TAGTATTAAGGTTGGCGAGATCCA</t>
  </si>
  <si>
    <t xml:space="preserve">AAACTGGATCTCGCCAACCTTAAT</t>
  </si>
  <si>
    <t xml:space="preserve">CCCGGAAAAGCTGCCGGTCT</t>
  </si>
  <si>
    <t xml:space="preserve">TAGTCCCGGAAAAGCTGCCGGTCT</t>
  </si>
  <si>
    <t xml:space="preserve">AAACAGACCGGCAGCTTTTCCGGG</t>
  </si>
  <si>
    <t xml:space="preserve">TGGCCGGTTGAGTCAGGTAC</t>
  </si>
  <si>
    <t xml:space="preserve">TAGTTGGCCGGTTGAGTCAGGTAC</t>
  </si>
  <si>
    <t xml:space="preserve">AAACGTACCTGACTCAACCGGCCA</t>
  </si>
  <si>
    <t xml:space="preserve">ACCAGCAATGCGCTTGCTGA</t>
  </si>
  <si>
    <t xml:space="preserve">TAGTACCAGCAATGCGCTTGCTGA</t>
  </si>
  <si>
    <t xml:space="preserve">AAACTCAGCAAGCGCATTGCTGGT</t>
  </si>
  <si>
    <t xml:space="preserve">PSPPH_1952</t>
  </si>
  <si>
    <t xml:space="preserve">leuC</t>
  </si>
  <si>
    <t xml:space="preserve">TAGAGCGTTTTCCCGGCCAT</t>
  </si>
  <si>
    <t xml:space="preserve">TAGTTAGAGCGTTTTCCCGGCCAT</t>
  </si>
  <si>
    <t xml:space="preserve">AAACATGGCCGGGAAAACGCTCTA</t>
  </si>
  <si>
    <t xml:space="preserve">TCACTTCGTGGATGATATGG</t>
  </si>
  <si>
    <t xml:space="preserve">TAGTTCACTTCGTGGATGATATGG</t>
  </si>
  <si>
    <t xml:space="preserve">AAACCCATATCATCCACGAAGTGA</t>
  </si>
  <si>
    <t xml:space="preserve">GCCTTCGAACGCTTGCGGCG</t>
  </si>
  <si>
    <t xml:space="preserve">TAGTGCCTTCGAACGCTTGCGGCG</t>
  </si>
  <si>
    <t xml:space="preserve">AAACCGCCGCAAGCGTTCGAAGGC</t>
  </si>
  <si>
    <t xml:space="preserve">ATGATCGAGTCGATCCGCCA</t>
  </si>
  <si>
    <t xml:space="preserve">TAGTATGATCGAGTCGATCCGCCA</t>
  </si>
  <si>
    <t xml:space="preserve">AAACTGGCGGATCGACTCGATCAT</t>
  </si>
  <si>
    <t xml:space="preserve">PSPPH_1953</t>
  </si>
  <si>
    <t xml:space="preserve">leuD</t>
  </si>
  <si>
    <t xml:space="preserve">CAGGCCATTGTGTTGGGTAA</t>
  </si>
  <si>
    <t xml:space="preserve">TAGTCAGGCCATTGTGTTGGGTAA</t>
  </si>
  <si>
    <t xml:space="preserve">AAACTTACCCAACACAATGGCCTG</t>
  </si>
  <si>
    <t xml:space="preserve">TCGACATTGGCACGATCCAG</t>
  </si>
  <si>
    <t xml:space="preserve">TAGTTCGACATTGGCACGATCCAG</t>
  </si>
  <si>
    <t xml:space="preserve">AAACCTGGATCGTGCCAATGTCGA</t>
  </si>
  <si>
    <t xml:space="preserve">CTGCTTGGGGATGATCTGGT</t>
  </si>
  <si>
    <t xml:space="preserve">TAGTCTGCTTGGGGATGATCTGGT</t>
  </si>
  <si>
    <t xml:space="preserve">AAACACCAGATCATCCCCAAGCAG</t>
  </si>
  <si>
    <t xml:space="preserve">GCCACTCATCGAACAGGTTC</t>
  </si>
  <si>
    <t xml:space="preserve">TAGTGCCACTCATCGAACAGGTTC</t>
  </si>
  <si>
    <t xml:space="preserve">AAACGAACCTGTTCGATGAGTGGC</t>
  </si>
  <si>
    <t xml:space="preserve">PSPPH_1954</t>
  </si>
  <si>
    <t xml:space="preserve">leuB</t>
  </si>
  <si>
    <t xml:space="preserve">CCGGACCAATACCATCACCT</t>
  </si>
  <si>
    <t xml:space="preserve">TAGTCCGGACCAATACCATCACCT</t>
  </si>
  <si>
    <t xml:space="preserve">AAACAGGTGATGGTATTGGTCCGG</t>
  </si>
  <si>
    <t xml:space="preserve">CTCCAGCACCTTGACCGCTT</t>
  </si>
  <si>
    <t xml:space="preserve">TAGTCTCCAGCACCTTGACCGCTT</t>
  </si>
  <si>
    <t xml:space="preserve">AAACAAGCGGTCAAGGTGCTGGAG</t>
  </si>
  <si>
    <t xml:space="preserve">CCCCAGTTGATACTTTTCGT</t>
  </si>
  <si>
    <t xml:space="preserve">TAGTCCCCAGTTGATACTTTTCGT</t>
  </si>
  <si>
    <t xml:space="preserve">AAACACGAAAAGTATCAACTGGGG</t>
  </si>
  <si>
    <t xml:space="preserve">CGCGCCACCGATCACGTCGT</t>
  </si>
  <si>
    <t xml:space="preserve">TAGTCGCGCCACCGATCACGTCGT</t>
  </si>
  <si>
    <t xml:space="preserve">AAACACGACGTGATCGGTGGCGCG</t>
  </si>
  <si>
    <t xml:space="preserve">PSPPH_1955</t>
  </si>
  <si>
    <t xml:space="preserve">asd</t>
  </si>
  <si>
    <t xml:space="preserve">CCGCATCCGCTGCATGAGCA</t>
  </si>
  <si>
    <t xml:space="preserve">TAGTCCGCATCCGCTGCATGAGCA</t>
  </si>
  <si>
    <t xml:space="preserve">AAACTGCTCATGCAGCGGATGCGG</t>
  </si>
  <si>
    <t xml:space="preserve">TTGGAAGTAGTGAAAAACAC</t>
  </si>
  <si>
    <t xml:space="preserve">TAGTTTGGAAGTAGTGAAAAACAC</t>
  </si>
  <si>
    <t xml:space="preserve">AAACGTGTTTTTCACTACTTCCAA</t>
  </si>
  <si>
    <t xml:space="preserve">CCTTGCCCACCGAAGGCGCC</t>
  </si>
  <si>
    <t xml:space="preserve">TAGTCCTTGCCCACCGAAGGCGCC</t>
  </si>
  <si>
    <t xml:space="preserve">AAACGGCGCCTTCGGTGGGCAAGG</t>
  </si>
  <si>
    <t xml:space="preserve">TTTCAGCTCATCGATGCTGT</t>
  </si>
  <si>
    <t xml:space="preserve">TAGTTTTCAGCTCATCGATGCTGT</t>
  </si>
  <si>
    <t xml:space="preserve">AAACACAGCATCGATGAGCTGAAA</t>
  </si>
  <si>
    <t xml:space="preserve">PSPPH_1956</t>
  </si>
  <si>
    <t xml:space="preserve">dgoK</t>
  </si>
  <si>
    <t xml:space="preserve">AAGTCGATAAGCACGAAGTG</t>
  </si>
  <si>
    <t xml:space="preserve">TAGTAAGTCGATAAGCACGAAGTG</t>
  </si>
  <si>
    <t xml:space="preserve">AAACCACTTCGTGCTTATCGACTT</t>
  </si>
  <si>
    <t xml:space="preserve">ATGCGCGCTGTTCCAGTACC</t>
  </si>
  <si>
    <t xml:space="preserve">TAGTATGCGCGCTGTTCCAGTACC</t>
  </si>
  <si>
    <t xml:space="preserve">AAACGGTACTGGAACAGCGCGCAT</t>
  </si>
  <si>
    <t xml:space="preserve">GCGATCAGCCGCGGCGTGGT</t>
  </si>
  <si>
    <t xml:space="preserve">TAGTGCGATCAGCCGCGGCGTGGT</t>
  </si>
  <si>
    <t xml:space="preserve">AAACACCACGCCGCGGCTGATCGC</t>
  </si>
  <si>
    <t xml:space="preserve">GTCGCCGCACGCCTGGTCAA</t>
  </si>
  <si>
    <t xml:space="preserve">TAGTGTCGCCGCACGCCTGGTCAA</t>
  </si>
  <si>
    <t xml:space="preserve">AAACTTGACCAGGCGTGCGGCGAC</t>
  </si>
  <si>
    <t xml:space="preserve">PSPPH_1957</t>
  </si>
  <si>
    <t xml:space="preserve">eda2</t>
  </si>
  <si>
    <t xml:space="preserve">CAGGCGCTTCCTCGGGACGC</t>
  </si>
  <si>
    <t xml:space="preserve">TAGTCAGGCGCTTCCTCGGGACGC</t>
  </si>
  <si>
    <t xml:space="preserve">AAACGCGTCCCGAGGAAGCGCCTG</t>
  </si>
  <si>
    <t xml:space="preserve">CACCTCGATGACTCGAAACC</t>
  </si>
  <si>
    <t xml:space="preserve">TAGTCACCTCGATGACTCGAAACC</t>
  </si>
  <si>
    <t xml:space="preserve">AAACGGTTTCGAGTCATCGAGGTG</t>
  </si>
  <si>
    <t xml:space="preserve">AACGGCTGTGGAGAGTTGAG</t>
  </si>
  <si>
    <t xml:space="preserve">TAGTAACGGCTGTGGAGAGTTGAG</t>
  </si>
  <si>
    <t xml:space="preserve">AAACCTCAACTCTCCACAGCCGTT</t>
  </si>
  <si>
    <t xml:space="preserve">GCAGTTGCTGGCGCAACAAA</t>
  </si>
  <si>
    <t xml:space="preserve">TAGTGCAGTTGCTGGCGCAACAAA</t>
  </si>
  <si>
    <t xml:space="preserve">AAACTTTGTTGCGCCAGCAACTGC</t>
  </si>
  <si>
    <t xml:space="preserve">PSPPH_1958</t>
  </si>
  <si>
    <t xml:space="preserve">dgoD</t>
  </si>
  <si>
    <t xml:space="preserve">GTGAGTTTGGTGATTTTCAT</t>
  </si>
  <si>
    <t xml:space="preserve">TAGTGTGAGTTTGGTGATTTTCAT</t>
  </si>
  <si>
    <t xml:space="preserve">AAACATGAAAATCACCAAACTCAC</t>
  </si>
  <si>
    <t xml:space="preserve">GCGTGGCGGAACGATGAACG</t>
  </si>
  <si>
    <t xml:space="preserve">TAGTGCGTGGCGGAACGATGAACG</t>
  </si>
  <si>
    <t xml:space="preserve">AAACCGTTCATCGTTCCGCCACGC</t>
  </si>
  <si>
    <t xml:space="preserve">CCTCGTCGGTCTCGACCTTG</t>
  </si>
  <si>
    <t xml:space="preserve">TAGTCCTCGTCGGTCTCGACCTTG</t>
  </si>
  <si>
    <t xml:space="preserve">AAACCAAGGTCGAGACCGACGAGG</t>
  </si>
  <si>
    <t xml:space="preserve">TGCGCGCGGCCTTCGACCAC</t>
  </si>
  <si>
    <t xml:space="preserve">TAGTTGCGCGCGGCCTTCGACCAC</t>
  </si>
  <si>
    <t xml:space="preserve">AAACGTGGTCGAAGGCCGCGCGCA</t>
  </si>
  <si>
    <t xml:space="preserve">PSPPH_1959</t>
  </si>
  <si>
    <t xml:space="preserve">CTCAAGAGTTCGAGTGCGCA</t>
  </si>
  <si>
    <t xml:space="preserve">TAGTCTCAAGAGTTCGAGTGCGCA</t>
  </si>
  <si>
    <t xml:space="preserve">AAACTGCGCACTCGAACTCTTGAG</t>
  </si>
  <si>
    <t xml:space="preserve">TTTGCGGGACGGCGTCACCA</t>
  </si>
  <si>
    <t xml:space="preserve">TAGTTTTGCGGGACGGCGTCACCA</t>
  </si>
  <si>
    <t xml:space="preserve">AAACTGGTGACGCCGTCCCGCAAA</t>
  </si>
  <si>
    <t xml:space="preserve">TCGACAGGTTGCTGCGGTCC</t>
  </si>
  <si>
    <t xml:space="preserve">TAGTTCGACAGGTTGCTGCGGTCC</t>
  </si>
  <si>
    <t xml:space="preserve">AAACGGACCGCAGCAACCTGTCGA</t>
  </si>
  <si>
    <t xml:space="preserve">CTCGGCGGTCAGCGCCGGAG</t>
  </si>
  <si>
    <t xml:space="preserve">TAGTCTCGGCGGTCAGCGCCGGAG</t>
  </si>
  <si>
    <t xml:space="preserve">AAACCTCCGGCGCTGACCGCCGAG</t>
  </si>
  <si>
    <t xml:space="preserve">PSPPH_1960</t>
  </si>
  <si>
    <t xml:space="preserve">CTTTGCCGGTAATTTTTTCA</t>
  </si>
  <si>
    <t xml:space="preserve">TAGTCTTTGCCGGTAATTTTTTCA</t>
  </si>
  <si>
    <t xml:space="preserve">AAACTGAAAAAATTACCGGCAAAG</t>
  </si>
  <si>
    <t xml:space="preserve">GTCTGGGTCCCTGTCGGCGC</t>
  </si>
  <si>
    <t xml:space="preserve">TAGTGTCTGGGTCCCTGTCGGCGC</t>
  </si>
  <si>
    <t xml:space="preserve">AAACGCGCCGACAGGGACCCAGAC</t>
  </si>
  <si>
    <t xml:space="preserve">CTTCAGGTCGCGTGCGCCAC</t>
  </si>
  <si>
    <t xml:space="preserve">TAGTCTTCAGGTCGCGTGCGCCAC</t>
  </si>
  <si>
    <t xml:space="preserve">AAACGTGGCGCACGCGACCTGAAG</t>
  </si>
  <si>
    <t xml:space="preserve">GCGTGTGGTGCCGATCAGCC</t>
  </si>
  <si>
    <t xml:space="preserve">TAGTGCGTGTGGTGCCGATCAGCC</t>
  </si>
  <si>
    <t xml:space="preserve">AAACGGCTGATCGGCACCACACGC</t>
  </si>
  <si>
    <t xml:space="preserve">PSPPH_1961</t>
  </si>
  <si>
    <t xml:space="preserve">GGGGGCGGTAGCGGACTGTG</t>
  </si>
  <si>
    <t xml:space="preserve">TAGTGGGGGCGGTAGCGGACTGTG</t>
  </si>
  <si>
    <t xml:space="preserve">AAACCACAGTCCGCTACCGCCCCC</t>
  </si>
  <si>
    <t xml:space="preserve">TCGAAGGTCATCGGGGCGAG</t>
  </si>
  <si>
    <t xml:space="preserve">TAGTTCGAAGGTCATCGGGGCGAG</t>
  </si>
  <si>
    <t xml:space="preserve">AAACCTCGCCCCGATGACCTTCGA</t>
  </si>
  <si>
    <t xml:space="preserve">ATGGCAACGTCGTCGGCACG</t>
  </si>
  <si>
    <t xml:space="preserve">TAGTATGGCAACGTCGTCGGCACG</t>
  </si>
  <si>
    <t xml:space="preserve">AAACCGTGCCGACGACGTTGCCAT</t>
  </si>
  <si>
    <t xml:space="preserve">AGTGGCAGACGCCGCAGTAG</t>
  </si>
  <si>
    <t xml:space="preserve">TAGTAGTGGCAGACGCCGCAGTAG</t>
  </si>
  <si>
    <t xml:space="preserve">AAACCTACTGCGGCGTCTGCCACT</t>
  </si>
  <si>
    <t xml:space="preserve">PSPPH_1962</t>
  </si>
  <si>
    <t xml:space="preserve">ATAACAACAGGTAACGTCAT</t>
  </si>
  <si>
    <t xml:space="preserve">TAGTATAACAACAGGTAACGTCAT</t>
  </si>
  <si>
    <t xml:space="preserve">AAACATGACGTTACCTGTTGTTAT</t>
  </si>
  <si>
    <t xml:space="preserve">CTGGATCAAGGAGACAAGCG</t>
  </si>
  <si>
    <t xml:space="preserve">TAGTCTGGATCAAGGAGACAAGCG</t>
  </si>
  <si>
    <t xml:space="preserve">AAACCGCTTGTCTCCTTGATCCAG</t>
  </si>
  <si>
    <t xml:space="preserve">AAGCCTGGACGCATTGCCAG</t>
  </si>
  <si>
    <t xml:space="preserve">TAGTAAGCCTGGACGCATTGCCAG</t>
  </si>
  <si>
    <t xml:space="preserve">AAACCTGGCAATGCGTCCAGGCTT</t>
  </si>
  <si>
    <t xml:space="preserve">GCCGAAAGCACGCGAACCTC</t>
  </si>
  <si>
    <t xml:space="preserve">TAGTGCCGAAAGCACGCGAACCTC</t>
  </si>
  <si>
    <t xml:space="preserve">AAACGAGGTTCGCGTGCTTTCGGC</t>
  </si>
  <si>
    <t xml:space="preserve">PSPPH_1963</t>
  </si>
  <si>
    <t xml:space="preserve">TCCATGTATTCGCGTTCCAC</t>
  </si>
  <si>
    <t xml:space="preserve">TAGTTCCATGTATTCGCGTTCCAC</t>
  </si>
  <si>
    <t xml:space="preserve">AAACGTGGAACGCGAATACATGGA</t>
  </si>
  <si>
    <t xml:space="preserve">GGCAGAAAGCCCGGAAGGGC</t>
  </si>
  <si>
    <t xml:space="preserve">TAGTGGCAGAAAGCCCGGAAGGGC</t>
  </si>
  <si>
    <t xml:space="preserve">AAACGCCCTTCCGGGCTTTCTGCC</t>
  </si>
  <si>
    <t xml:space="preserve">CTTCTGTTTAAGGCGGCAAG</t>
  </si>
  <si>
    <t xml:space="preserve">TAGTCTTCTGTTTAAGGCGGCAAG</t>
  </si>
  <si>
    <t xml:space="preserve">AAACCTTGCCGCCTTAAACAGAAG</t>
  </si>
  <si>
    <t xml:space="preserve">GATTTCCTGCCCGGCTTCAG</t>
  </si>
  <si>
    <t xml:space="preserve">TAGTGATTTCCTGCCCGGCTTCAG</t>
  </si>
  <si>
    <t xml:space="preserve">AAACCTGAAGCCGGGCAGGAAATC</t>
  </si>
  <si>
    <t xml:space="preserve">PSPPH_1964</t>
  </si>
  <si>
    <t xml:space="preserve">etfB</t>
  </si>
  <si>
    <t xml:space="preserve">GACAGCTACAAGAACCTTCA</t>
  </si>
  <si>
    <t xml:space="preserve">TAGTGACAGCTACAAGAACCTTCA</t>
  </si>
  <si>
    <t xml:space="preserve">AAACTGAAGGTTCTTGTAGCTGTC</t>
  </si>
  <si>
    <t xml:space="preserve">GACGTTGGCAAGATCGACGC</t>
  </si>
  <si>
    <t xml:space="preserve">TAGTGACGTTGGCAAGATCGACGC</t>
  </si>
  <si>
    <t xml:space="preserve">AAACGCGTCGATCTTGCCAACGTC</t>
  </si>
  <si>
    <t xml:space="preserve">GATTTCGCAGAACGGGTTCA</t>
  </si>
  <si>
    <t xml:space="preserve">TAGTGATTTCGCAGAACGGGTTCA</t>
  </si>
  <si>
    <t xml:space="preserve">AAACTGAACCCGTTCTGCGAAATC</t>
  </si>
  <si>
    <t xml:space="preserve">CTGAGCAGTGGTAGGACCAA</t>
  </si>
  <si>
    <t xml:space="preserve">TAGTCTGAGCAGTGGTAGGACCAA</t>
  </si>
  <si>
    <t xml:space="preserve">AAACTTGGTCCTACCACTGCTCAG</t>
  </si>
  <si>
    <t xml:space="preserve">PSPPH_1965</t>
  </si>
  <si>
    <t xml:space="preserve">etfA</t>
  </si>
  <si>
    <t xml:space="preserve">TGTCGTGTTCAGCGATAACC</t>
  </si>
  <si>
    <t xml:space="preserve">TAGTTGTCGTGTTCAGCGATAACC</t>
  </si>
  <si>
    <t xml:space="preserve">AAACGGTTATCGCTGAACACGACA</t>
  </si>
  <si>
    <t xml:space="preserve">ATTGAGCGTAGCCGGGGCTA</t>
  </si>
  <si>
    <t xml:space="preserve">TAGTATTGAGCGTAGCCGGGGCTA</t>
  </si>
  <si>
    <t xml:space="preserve">AAACTAGCCCCGGCTACGCTCAAT</t>
  </si>
  <si>
    <t xml:space="preserve">GATCTTCTGCGCGGCAGCCA</t>
  </si>
  <si>
    <t xml:space="preserve">TAGTGATCTTCTGCGCGGCAGCCA</t>
  </si>
  <si>
    <t xml:space="preserve">AAACTGGCTGCCGCGCAGAAGATC</t>
  </si>
  <si>
    <t xml:space="preserve">CTGAACCGGCAACCAGCAAG</t>
  </si>
  <si>
    <t xml:space="preserve">TAGTCTGAACCGGCAACCAGCAAG</t>
  </si>
  <si>
    <t xml:space="preserve">AAACCTTGCTGGTTGCCGGTTCAG</t>
  </si>
  <si>
    <t xml:space="preserve">PSPPH_1966</t>
  </si>
  <si>
    <t xml:space="preserve">AAAAGCGAAGACAGCAGCCG</t>
  </si>
  <si>
    <t xml:space="preserve">TAGTAAAAGCGAAGACAGCAGCCG</t>
  </si>
  <si>
    <t xml:space="preserve">AAACCGGCTGCTGTCTTCGCTTTT</t>
  </si>
  <si>
    <t xml:space="preserve">CCTGACGCGAATGAAAGCGT</t>
  </si>
  <si>
    <t xml:space="preserve">TAGTCCTGACGCGAATGAAAGCGT</t>
  </si>
  <si>
    <t xml:space="preserve">AAACACGCTTTCATTCGCGTCAGG</t>
  </si>
  <si>
    <t xml:space="preserve">AGGCGGCGCGTCCGGACTGC</t>
  </si>
  <si>
    <t xml:space="preserve">TAGTAGGCGGCGCGTCCGGACTGC</t>
  </si>
  <si>
    <t xml:space="preserve">AAACGCAGTCCGGACGCGCCGCCT</t>
  </si>
  <si>
    <t xml:space="preserve">TGAGGGTCACGCCATAAATA</t>
  </si>
  <si>
    <t xml:space="preserve">TAGTTGAGGGTCACGCCATAAATA</t>
  </si>
  <si>
    <t xml:space="preserve">AAACTATTTATGGCGTGACCCTCA</t>
  </si>
  <si>
    <t xml:space="preserve">PSPPH_1967</t>
  </si>
  <si>
    <t xml:space="preserve">ACAGCCAGCCAGCGTGGCGA</t>
  </si>
  <si>
    <t xml:space="preserve">TAGTACAGCCAGCCAGCGTGGCGA</t>
  </si>
  <si>
    <t xml:space="preserve">AAACTCGCCACGCTGGCTGGCTGT</t>
  </si>
  <si>
    <t xml:space="preserve">CTCGGTCGGTAGCGGGTCGC</t>
  </si>
  <si>
    <t xml:space="preserve">TAGTCTCGGTCGGTAGCGGGTCGC</t>
  </si>
  <si>
    <t xml:space="preserve">AAACGCGACCCGCTACCGACCGAG</t>
  </si>
  <si>
    <t xml:space="preserve">ATCACCCGCGCCAACAGCTT</t>
  </si>
  <si>
    <t xml:space="preserve">TAGTATCACCCGCGCCAACAGCTT</t>
  </si>
  <si>
    <t xml:space="preserve">AAACAAGCTGTTGGCGCGGGTGAT</t>
  </si>
  <si>
    <t xml:space="preserve">GCCAGAGCGACTTCCATCTC</t>
  </si>
  <si>
    <t xml:space="preserve">TAGTGCCAGAGCGACTTCCATCTC</t>
  </si>
  <si>
    <t xml:space="preserve">AAACGAGATGGAAGTCGCTCTGGC</t>
  </si>
  <si>
    <t xml:space="preserve">PSPPH_1968</t>
  </si>
  <si>
    <t xml:space="preserve">CACTCAGTACACGCGGAAGA</t>
  </si>
  <si>
    <t xml:space="preserve">TAGTCACTCAGTACACGCGGAAGA</t>
  </si>
  <si>
    <t xml:space="preserve">AAACTCTTCCGCGTGTACTGAGTG</t>
  </si>
  <si>
    <t xml:space="preserve">GGCCAGCCGAACCCAGCAAC</t>
  </si>
  <si>
    <t xml:space="preserve">TAGTGGCCAGCCGAACCCAGCAAC</t>
  </si>
  <si>
    <t xml:space="preserve">AAACGTTGCTGGGTTCGGCTGGCC</t>
  </si>
  <si>
    <t xml:space="preserve">GATGACCGGCACACCCGTAA</t>
  </si>
  <si>
    <t xml:space="preserve">TAGTGATGACCGGCACACCCGTAA</t>
  </si>
  <si>
    <t xml:space="preserve">AAACTTACGGGTGTGCCGGTCATC</t>
  </si>
  <si>
    <t xml:space="preserve">ATCGGCACTGGCCTGTTGCA</t>
  </si>
  <si>
    <t xml:space="preserve">TAGTATCGGCACTGGCCTGTTGCA</t>
  </si>
  <si>
    <t xml:space="preserve">AAACTGCAACAGGCCAGTGCCGAT</t>
  </si>
  <si>
    <t xml:space="preserve">PSPPH_1969</t>
  </si>
  <si>
    <t xml:space="preserve">ACGCTGATAGAGCAAAAGAT</t>
  </si>
  <si>
    <t xml:space="preserve">TAGTACGCTGATAGAGCAAAAGAT</t>
  </si>
  <si>
    <t xml:space="preserve">AAACATCTTTTGCTCTATCAGCGT</t>
  </si>
  <si>
    <t xml:space="preserve">AATATCTTCGGCAAGCTGCT</t>
  </si>
  <si>
    <t xml:space="preserve">TAGTAATATCTTCGGCAAGCTGCT</t>
  </si>
  <si>
    <t xml:space="preserve">AAACAGCAGCTTGCCGAAGATATT</t>
  </si>
  <si>
    <t xml:space="preserve">ACCGAAGGCACACGCTCGCC</t>
  </si>
  <si>
    <t xml:space="preserve">TAGTACCGAAGGCACACGCTCGCC</t>
  </si>
  <si>
    <t xml:space="preserve">AAACGGCGAGCGTGTGCCTTCGGT</t>
  </si>
  <si>
    <t xml:space="preserve">AAGCCTGCAATACCGTCGCA</t>
  </si>
  <si>
    <t xml:space="preserve">TAGTAAGCCTGCAATACCGTCGCA</t>
  </si>
  <si>
    <t xml:space="preserve">AAACTGCGACGGTATTGCAGGCTT</t>
  </si>
  <si>
    <t xml:space="preserve">PSPPH_1970</t>
  </si>
  <si>
    <t xml:space="preserve">GAACACATGCTGTCCTTTAG</t>
  </si>
  <si>
    <t xml:space="preserve">TAGTGAACACATGCTGTCCTTTAG</t>
  </si>
  <si>
    <t xml:space="preserve">AAACCTAAAGGACAGCATGTGTTC</t>
  </si>
  <si>
    <t xml:space="preserve">CAGTCGCAAATAGCCGGAAA</t>
  </si>
  <si>
    <t xml:space="preserve">TAGTCAGTCGCAAATAGCCGGAAA</t>
  </si>
  <si>
    <t xml:space="preserve">AAACTTTCCGGCTATTTGCGACTG</t>
  </si>
  <si>
    <t xml:space="preserve">ACATTCATAGGCAAAAAGTC</t>
  </si>
  <si>
    <t xml:space="preserve">TAGTACATTCATAGGCAAAAAGTC</t>
  </si>
  <si>
    <t xml:space="preserve">AAACGACTTTTTGCCTATGAATGT</t>
  </si>
  <si>
    <t xml:space="preserve">TTTTGGGCTTGGGCACAGAC</t>
  </si>
  <si>
    <t xml:space="preserve">TAGTTTTTGGGCTTGGGCACAGAC</t>
  </si>
  <si>
    <t xml:space="preserve">AAACGTCTGTGCCCAAGCCCAAAA</t>
  </si>
  <si>
    <t xml:space="preserve">PSPPH_1971</t>
  </si>
  <si>
    <t xml:space="preserve">AGCACGCACCACAATCGGAA</t>
  </si>
  <si>
    <t xml:space="preserve">TAGTAGCACGCACCACAATCGGAA</t>
  </si>
  <si>
    <t xml:space="preserve">AAACTTCCGATTGTGGTGCGTGCT</t>
  </si>
  <si>
    <t xml:space="preserve">GGTATGGGAGACGTGATGGA</t>
  </si>
  <si>
    <t xml:space="preserve">TAGTGGTATGGGAGACGTGATGGA</t>
  </si>
  <si>
    <t xml:space="preserve">AAACTCCATCACGTCTCCCATACC</t>
  </si>
  <si>
    <t xml:space="preserve">GGTTTTCCATCGGGCATGCC</t>
  </si>
  <si>
    <t xml:space="preserve">TAGTGGTTTTCCATCGGGCATGCC</t>
  </si>
  <si>
    <t xml:space="preserve">AAACGGCATGCCCGATGGAAAACC</t>
  </si>
  <si>
    <t xml:space="preserve">TGCAGGCATCGCTCACCTGC</t>
  </si>
  <si>
    <t xml:space="preserve">TAGTTGCAGGCATCGCTCACCTGC</t>
  </si>
  <si>
    <t xml:space="preserve">AAACGCAGGTGAGCGATGCCTGCA</t>
  </si>
  <si>
    <t xml:space="preserve">PSPPH_1972</t>
  </si>
  <si>
    <t xml:space="preserve">GCAACAGCGATACGATACAG</t>
  </si>
  <si>
    <t xml:space="preserve">TAGTGCAACAGCGATACGATACAG</t>
  </si>
  <si>
    <t xml:space="preserve">AAACCTGTATCGTATCGCTGTTGC</t>
  </si>
  <si>
    <t xml:space="preserve">CTCTTCAGCCTGCGCCGTTC</t>
  </si>
  <si>
    <t xml:space="preserve">TAGTCTCTTCAGCCTGCGCCGTTC</t>
  </si>
  <si>
    <t xml:space="preserve">AAACGAACGGCGCAGGCTGAAGAG</t>
  </si>
  <si>
    <t xml:space="preserve">TAAGCCTTGTAATCAGACCC</t>
  </si>
  <si>
    <t xml:space="preserve">TAGTTAAGCCTTGTAATCAGACCC</t>
  </si>
  <si>
    <t xml:space="preserve">AAACGGGTCTGATTACAAGGCTTA</t>
  </si>
  <si>
    <t xml:space="preserve">CGCGCGCAACTTGCTCACGC</t>
  </si>
  <si>
    <t xml:space="preserve">TAGTCGCGCGCAACTTGCTCACGC</t>
  </si>
  <si>
    <t xml:space="preserve">AAACGCGTGAGCAAGTTGCGCGCG</t>
  </si>
  <si>
    <t xml:space="preserve">PSPPH_1973</t>
  </si>
  <si>
    <t xml:space="preserve">TTTCCAGAAGCCCTTGACCT</t>
  </si>
  <si>
    <t xml:space="preserve">TAGTTTTCCAGAAGCCCTTGACCT</t>
  </si>
  <si>
    <t xml:space="preserve">AAACAGGTCAAGGGCTTCTGGAAA</t>
  </si>
  <si>
    <t xml:space="preserve">TCAGTCTGGTTCGGCCCTTT</t>
  </si>
  <si>
    <t xml:space="preserve">TAGTTCAGTCTGGTTCGGCCCTTT</t>
  </si>
  <si>
    <t xml:space="preserve">AAACAAAGGGCCGAACCAGACTGA</t>
  </si>
  <si>
    <t xml:space="preserve">CGGCTCGGCGTGAACCTGAT</t>
  </si>
  <si>
    <t xml:space="preserve">TAGTCGGCTCGGCGTGAACCTGAT</t>
  </si>
  <si>
    <t xml:space="preserve">AAACATCAGGTTCACGCCGAGCCG</t>
  </si>
  <si>
    <t xml:space="preserve">ATAGAAGGCACACTGCCACC</t>
  </si>
  <si>
    <t xml:space="preserve">TAGTATAGAAGGCACACTGCCACC</t>
  </si>
  <si>
    <t xml:space="preserve">AAACGGTGGCAGTGTGCCTTCTAT</t>
  </si>
  <si>
    <t xml:space="preserve">PSPPH_1974</t>
  </si>
  <si>
    <t xml:space="preserve">gltA</t>
  </si>
  <si>
    <t xml:space="preserve">CAGAATTGGCAGCTCGACGG</t>
  </si>
  <si>
    <t xml:space="preserve">TAGTCAGAATTGGCAGCTCGACGG</t>
  </si>
  <si>
    <t xml:space="preserve">AAACCCGTCGAGCTGCCAATTCTG</t>
  </si>
  <si>
    <t xml:space="preserve">CACGTCCGGACCCACTGTAC</t>
  </si>
  <si>
    <t xml:space="preserve">TAGTCACGTCCGGACCCACTGTAC</t>
  </si>
  <si>
    <t xml:space="preserve">AAACGTACAGTGGGTCCGGACGTG</t>
  </si>
  <si>
    <t xml:space="preserve">TGAAGCGGCCGGTGGCGGTC</t>
  </si>
  <si>
    <t xml:space="preserve">TAGTTGAAGCGGCCGGTGGCGGTC</t>
  </si>
  <si>
    <t xml:space="preserve">AAACGACCGCCACCGGCCGCTTCA</t>
  </si>
  <si>
    <t xml:space="preserve">AGGCCGTGGACATGAAGCCA</t>
  </si>
  <si>
    <t xml:space="preserve">TAGTAGGCCGTGGACATGAAGCCA</t>
  </si>
  <si>
    <t xml:space="preserve">AAACTGGCTTCATGTCCACGGCCT</t>
  </si>
  <si>
    <t xml:space="preserve">PSPPH_1975</t>
  </si>
  <si>
    <t xml:space="preserve">AAATCCACGGCGGGCCCTTG</t>
  </si>
  <si>
    <t xml:space="preserve">TAGTAAATCCACGGCGGGCCCTTG</t>
  </si>
  <si>
    <t xml:space="preserve">AAACCAAGGGCCCGCCGTGGATTT</t>
  </si>
  <si>
    <t xml:space="preserve">AAGGCGTAAACGGCAGGAAA</t>
  </si>
  <si>
    <t xml:space="preserve">TAGTAAGGCGTAAACGGCAGGAAA</t>
  </si>
  <si>
    <t xml:space="preserve">AAACTTTCCTGCCGTTTACGCCTT</t>
  </si>
  <si>
    <t xml:space="preserve">CAATGGCGCATTGCGTTGCC</t>
  </si>
  <si>
    <t xml:space="preserve">TAGTCAATGGCGCATTGCGTTGCC</t>
  </si>
  <si>
    <t xml:space="preserve">AAACGGCAACGCAATGCGCCATTG</t>
  </si>
  <si>
    <t xml:space="preserve">PSPPH_1976</t>
  </si>
  <si>
    <t xml:space="preserve">sdhC</t>
  </si>
  <si>
    <t xml:space="preserve">TACAGGTCGTTGGCTATTCA</t>
  </si>
  <si>
    <t xml:space="preserve">TAGTTACAGGTCGTTGGCTATTCA</t>
  </si>
  <si>
    <t xml:space="preserve">AAACTGAATAGCCAACGACCTGTA</t>
  </si>
  <si>
    <t xml:space="preserve">CTGGGAGCTTGATGGTCCTT</t>
  </si>
  <si>
    <t xml:space="preserve">TAGTCTGGGAGCTTGATGGTCCTT</t>
  </si>
  <si>
    <t xml:space="preserve">AAACAAGGACCATCAAGCTCCCAG</t>
  </si>
  <si>
    <t xml:space="preserve">GTGAAGGATGGACGTGTAAG</t>
  </si>
  <si>
    <t xml:space="preserve">TAGTGTGAAGGATGGACGTGTAAG</t>
  </si>
  <si>
    <t xml:space="preserve">AAACCTTACACGTCCATCCTTCAC</t>
  </si>
  <si>
    <t xml:space="preserve">AGAGGATGACACCGGAGATG</t>
  </si>
  <si>
    <t xml:space="preserve">TAGTAGAGGATGACACCGGAGATG</t>
  </si>
  <si>
    <t xml:space="preserve">AAACCATCTCCGGTGTCATCCTCT</t>
  </si>
  <si>
    <t xml:space="preserve">PSPPH_1977</t>
  </si>
  <si>
    <t xml:space="preserve">sdhD</t>
  </si>
  <si>
    <t xml:space="preserve">ACGCGAAAGGTTGGTGACGT</t>
  </si>
  <si>
    <t xml:space="preserve">TAGTACGCGAAAGGTTGGTGACGT</t>
  </si>
  <si>
    <t xml:space="preserve">AAACACGTCACCAACCTTTCGCGT</t>
  </si>
  <si>
    <t xml:space="preserve">GCTGAGCCATCCAGTCATAG</t>
  </si>
  <si>
    <t xml:space="preserve">TAGTGCTGAGCCATCCAGTCATAG</t>
  </si>
  <si>
    <t xml:space="preserve">AAACCTATGACTGGATGGCTCAGC</t>
  </si>
  <si>
    <t xml:space="preserve">GAAAGACCATGTATCCGATC</t>
  </si>
  <si>
    <t xml:space="preserve">TAGTGAAAGACCATGTATCCGATC</t>
  </si>
  <si>
    <t xml:space="preserve">AAACGATCGGATACATGGTCTTTC</t>
  </si>
  <si>
    <t xml:space="preserve">CATTGGGCGTAACTCAGACC</t>
  </si>
  <si>
    <t xml:space="preserve">TAGTCATTGGGCGTAACTCAGACC</t>
  </si>
  <si>
    <t xml:space="preserve">AAACGGTCTGAGTTACGCCCAATG</t>
  </si>
  <si>
    <t xml:space="preserve">PSPPH_1978</t>
  </si>
  <si>
    <t xml:space="preserve">sdhA</t>
  </si>
  <si>
    <t xml:space="preserve">ACCGCCACCACCAATGATGA</t>
  </si>
  <si>
    <t xml:space="preserve">TAGTACCGCCACCACCAATGATGA</t>
  </si>
  <si>
    <t xml:space="preserve">AAACTCATCATTGGTGGTGGCGGT</t>
  </si>
  <si>
    <t xml:space="preserve">CTGCAGGGCAGCGCGCATAC</t>
  </si>
  <si>
    <t xml:space="preserve">TAGTCTGCAGGGCAGCGCGCATAC</t>
  </si>
  <si>
    <t xml:space="preserve">AAACGTATGCGCGCTGCCCTGCAG</t>
  </si>
  <si>
    <t xml:space="preserve">CGGGAACACCTTGGTGACCA</t>
  </si>
  <si>
    <t xml:space="preserve">TAGTCGGGAACACCTTGGTGACCA</t>
  </si>
  <si>
    <t xml:space="preserve">AAACTGGTCACCAAGGTGTTCCCG</t>
  </si>
  <si>
    <t xml:space="preserve">GAAACGGTGTGCGAGCGTGT</t>
  </si>
  <si>
    <t xml:space="preserve">TAGTGAAACGGTGTGCGAGCGTGT</t>
  </si>
  <si>
    <t xml:space="preserve">AAACACACGCTCGCACACCGTTTC</t>
  </si>
  <si>
    <t xml:space="preserve">PSPPH_1979</t>
  </si>
  <si>
    <t xml:space="preserve">sdhB</t>
  </si>
  <si>
    <t xml:space="preserve">ACGGCGCGGCGTCCTGCTCA</t>
  </si>
  <si>
    <t xml:space="preserve">TAGTACGGCGCGGCGTCCTGCTCA</t>
  </si>
  <si>
    <t xml:space="preserve">AAACTGAGCAGGACGCCGCGCCGT</t>
  </si>
  <si>
    <t xml:space="preserve">CACCATCAGGTCCTTGCCAC</t>
  </si>
  <si>
    <t xml:space="preserve">TAGTCACCATCAGGTCCTTGCCAC</t>
  </si>
  <si>
    <t xml:space="preserve">AAACGTGGCAAGGACCTGATGGTG</t>
  </si>
  <si>
    <t xml:space="preserve">TTGATCCTGTTCTTTGACCA</t>
  </si>
  <si>
    <t xml:space="preserve">TAGTTTGATCCTGTTCTTTGACCA</t>
  </si>
  <si>
    <t xml:space="preserve">AAACTGGTCAAAGAACAGGATCAA</t>
  </si>
  <si>
    <t xml:space="preserve">CGCCTTCGCGGCACGAACGA</t>
  </si>
  <si>
    <t xml:space="preserve">TAGTCGCCTTCGCGGCACGAACGA</t>
  </si>
  <si>
    <t xml:space="preserve">AAACTCGTTCGTGCCGCGAAGGCG</t>
  </si>
  <si>
    <t xml:space="preserve">PSPPH_1980</t>
  </si>
  <si>
    <t xml:space="preserve">sucA</t>
  </si>
  <si>
    <t xml:space="preserve">AGCGTTACCACCGGATAGGT</t>
  </si>
  <si>
    <t xml:space="preserve">TAGTAGCGTTACCACCGGATAGGT</t>
  </si>
  <si>
    <t xml:space="preserve">AAACACCTATCCGGTGGTAACGCT</t>
  </si>
  <si>
    <t xml:space="preserve">CTCATAGAGCTCTTCCACAT</t>
  </si>
  <si>
    <t xml:space="preserve">TAGTCTCATAGAGCTCTTCCACAT</t>
  </si>
  <si>
    <t xml:space="preserve">AAACATGTGGAAGAGCTCTATGAG</t>
  </si>
  <si>
    <t xml:space="preserve">GCACAGCGTTAGGGTCGTGC</t>
  </si>
  <si>
    <t xml:space="preserve">TAGTGCACAGCGTTAGGGTCGTGC</t>
  </si>
  <si>
    <t xml:space="preserve">AAACGCACGACCCTAACGCTGTGC</t>
  </si>
  <si>
    <t xml:space="preserve">AAGTAGGTGCGCCATTCTTC</t>
  </si>
  <si>
    <t xml:space="preserve">TAGTAAGTAGGTGCGCCATTCTTC</t>
  </si>
  <si>
    <t xml:space="preserve">AAACGAAGAATGGCGCACCTACTT</t>
  </si>
  <si>
    <t xml:space="preserve">PSPPH_1981</t>
  </si>
  <si>
    <t xml:space="preserve">sucB</t>
  </si>
  <si>
    <t xml:space="preserve">AACGGATTCCGGGAAAGAGG</t>
  </si>
  <si>
    <t xml:space="preserve">TAGTAACGGATTCCGGGAAAGAGG</t>
  </si>
  <si>
    <t xml:space="preserve">AAACCCTCTTTCCCGGAATCCGTT</t>
  </si>
  <si>
    <t xml:space="preserve">CCACTTGGAAATGGTGCCAT</t>
  </si>
  <si>
    <t xml:space="preserve">TAGTCCACTTGGAAATGGTGCCAT</t>
  </si>
  <si>
    <t xml:space="preserve">AAACATGGCACCATTTCCAAGTGG</t>
  </si>
  <si>
    <t xml:space="preserve">GCCCATCACGCCGTCAGCTT</t>
  </si>
  <si>
    <t xml:space="preserve">TAGTGCCCATCACGCCGTCAGCTT</t>
  </si>
  <si>
    <t xml:space="preserve">AAACAAGCTGACGGCGTGATGGGC</t>
  </si>
  <si>
    <t xml:space="preserve">GACGATAGCGCCCTCTTCCT</t>
  </si>
  <si>
    <t xml:space="preserve">TAGTGACGATAGCGCCCTCTTCCT</t>
  </si>
  <si>
    <t xml:space="preserve">AAACAGGAAGAGGGCGCTATCGTC</t>
  </si>
  <si>
    <t xml:space="preserve">PSPPH_1982</t>
  </si>
  <si>
    <t xml:space="preserve">lpdA</t>
  </si>
  <si>
    <t xml:space="preserve">CACTACCACGTCGAATTTCT</t>
  </si>
  <si>
    <t xml:space="preserve">TAGTCACTACCACGTCGAATTTCT</t>
  </si>
  <si>
    <t xml:space="preserve">AAACAGAAATTCGACGTGGTAGTG</t>
  </si>
  <si>
    <t xml:space="preserve">TGGCGGCAACATAACCGCCA</t>
  </si>
  <si>
    <t xml:space="preserve">TAGTTGGCGGCAACATAACCGCCA</t>
  </si>
  <si>
    <t xml:space="preserve">AAACTGGCGGTTATGTTGCCGCCA</t>
  </si>
  <si>
    <t xml:space="preserve">ACCAAGTTGCGCAGCCTTGA</t>
  </si>
  <si>
    <t xml:space="preserve">TAGTACCAAGTTGCGCAGCCTTGA</t>
  </si>
  <si>
    <t xml:space="preserve">AAACTCAAGGCTGCGCAACTTGGT</t>
  </si>
  <si>
    <t xml:space="preserve">CCAGTTTGCCCTCCTTGTCC</t>
  </si>
  <si>
    <t xml:space="preserve">TAGTCCAGTTTGCCCTCCTTGTCC</t>
  </si>
  <si>
    <t xml:space="preserve">AAACGGACAAGGAGGGCAAACTGG</t>
  </si>
  <si>
    <t xml:space="preserve">PSPPH_1983</t>
  </si>
  <si>
    <t xml:space="preserve">sucC</t>
  </si>
  <si>
    <t xml:space="preserve">CGTAACCCTTGGATACTGGC</t>
  </si>
  <si>
    <t xml:space="preserve">TAGTCGTAACCCTTGGATACTGGC</t>
  </si>
  <si>
    <t xml:space="preserve">AAACGCCAGTATCCAAGGGTTACG</t>
  </si>
  <si>
    <t xml:space="preserve">GGCTTCTGCTGCTGCTTCCG</t>
  </si>
  <si>
    <t xml:space="preserve">TAGTGGCTTCTGCTGCTGCTTCCG</t>
  </si>
  <si>
    <t xml:space="preserve">AAACCGGAAGCAGCAGCAGAAGCC</t>
  </si>
  <si>
    <t xml:space="preserve">GGTTCCGCCGATCTTGTCGC</t>
  </si>
  <si>
    <t xml:space="preserve">TAGTGGTTCCGCCGATCTTGTCGC</t>
  </si>
  <si>
    <t xml:space="preserve">AAACGCGACAAGATCGGCGGAACC</t>
  </si>
  <si>
    <t xml:space="preserve">CTGGGCTTTGACGACCCACT</t>
  </si>
  <si>
    <t xml:space="preserve">TAGTCTGGGCTTTGACGACCCACT</t>
  </si>
  <si>
    <t xml:space="preserve">AAACAGTGGGTCGTCAAAGCCCAG</t>
  </si>
  <si>
    <t xml:space="preserve">PSPPH_1984</t>
  </si>
  <si>
    <t xml:space="preserve">sucD</t>
  </si>
  <si>
    <t xml:space="preserve">CCTTGGTGTCTTTATTGATC</t>
  </si>
  <si>
    <t xml:space="preserve">TAGTCCTTGGTGTCTTTATTGATC</t>
  </si>
  <si>
    <t xml:space="preserve">AAACGATCAATAAAGACACCAAGG</t>
  </si>
  <si>
    <t xml:space="preserve">CTTGCGAACCAGTGAAACCC</t>
  </si>
  <si>
    <t xml:space="preserve">TAGTCTTGCGAACCAGTGAAACCC</t>
  </si>
  <si>
    <t xml:space="preserve">AAACGGGTTTCACTGGTTCGCAAG</t>
  </si>
  <si>
    <t xml:space="preserve">AATGGCTTGCTCGGAGTGGA</t>
  </si>
  <si>
    <t xml:space="preserve">TAGTAATGGCTTGCTCGGAGTGGA</t>
  </si>
  <si>
    <t xml:space="preserve">AAACTCCACTCCGAGCAAGCCATT</t>
  </si>
  <si>
    <t xml:space="preserve">GCCAACCATTTTGGTGCCGT</t>
  </si>
  <si>
    <t xml:space="preserve">TAGTGCCAACCATTTTGGTGCCGT</t>
  </si>
  <si>
    <t xml:space="preserve">AAACACGGCACCAAAATGGTTGGC</t>
  </si>
  <si>
    <t xml:space="preserve">PSPPH_1985</t>
  </si>
  <si>
    <t xml:space="preserve">brnQ</t>
  </si>
  <si>
    <t xml:space="preserve">CGGGTAAGGCGAACCTTTTC</t>
  </si>
  <si>
    <t xml:space="preserve">TAGTCGGGTAAGGCGAACCTTTTC</t>
  </si>
  <si>
    <t xml:space="preserve">AAACGAAAAGGTTCGCCTTACCCG</t>
  </si>
  <si>
    <t xml:space="preserve">GAGGTCCAGGTGAACCAGAC</t>
  </si>
  <si>
    <t xml:space="preserve">TAGTGAGGTCCAGGTGAACCAGAC</t>
  </si>
  <si>
    <t xml:space="preserve">AAACGTCTGGTTCACCTGGACCTC</t>
  </si>
  <si>
    <t xml:space="preserve">CCCAAGACAGTTGGAAATGC</t>
  </si>
  <si>
    <t xml:space="preserve">TAGTCCCAAGACAGTTGGAAATGC</t>
  </si>
  <si>
    <t xml:space="preserve">AAACGCATTTCCAACTGTCTTGGG</t>
  </si>
  <si>
    <t xml:space="preserve">ACGCACCGTTTGTTGGCGGA</t>
  </si>
  <si>
    <t xml:space="preserve">TAGTACGCACCGTTTGTTGGCGGA</t>
  </si>
  <si>
    <t xml:space="preserve">AAACTCCGCCAACAAACGGTGCGT</t>
  </si>
  <si>
    <t xml:space="preserve">PSPPH_1986</t>
  </si>
  <si>
    <t xml:space="preserve">TAGGCTAAAGATTTACGCAT</t>
  </si>
  <si>
    <t xml:space="preserve">TAGTTAGGCTAAAGATTTACGCAT</t>
  </si>
  <si>
    <t xml:space="preserve">AAACATGCGTAAATCTTTAGCCTA</t>
  </si>
  <si>
    <t xml:space="preserve">CAGGGTGGCAGAAAGCATCA</t>
  </si>
  <si>
    <t xml:space="preserve">TAGTCAGGGTGGCAGAAAGCATCA</t>
  </si>
  <si>
    <t xml:space="preserve">AAACTGATGCTTTCTGCCACCCTG</t>
  </si>
  <si>
    <t xml:space="preserve">ACTTTTTGTCACAGGCGGCA</t>
  </si>
  <si>
    <t xml:space="preserve">TAGTACTTTTTGTCACAGGCGGCA</t>
  </si>
  <si>
    <t xml:space="preserve">AAACTGCCGCCTGTGACAAAAAGT</t>
  </si>
  <si>
    <t xml:space="preserve">GGCATCTTGCTGAGTGTTTT</t>
  </si>
  <si>
    <t xml:space="preserve">TAGTGGCATCTTGCTGAGTGTTTT</t>
  </si>
  <si>
    <t xml:space="preserve">AAACAAAACACTCAGCAAGATGCC</t>
  </si>
  <si>
    <t xml:space="preserve">PSPPH_1987</t>
  </si>
  <si>
    <t xml:space="preserve">htpG</t>
  </si>
  <si>
    <t xml:space="preserve">TTACCTCGGTCTGGAAGCCC</t>
  </si>
  <si>
    <t xml:space="preserve">TAGTTTACCTCGGTCTGGAAGCCC</t>
  </si>
  <si>
    <t xml:space="preserve">AAACGGGCTTCCAGACCGAGGTAA</t>
  </si>
  <si>
    <t xml:space="preserve">AATACAGCGAATGGATCATG</t>
  </si>
  <si>
    <t xml:space="preserve">TAGTAATACAGCGAATGGATCATG</t>
  </si>
  <si>
    <t xml:space="preserve">AAACCATGATCCATTCGCTGTATT</t>
  </si>
  <si>
    <t xml:space="preserve">GCGAAGGAAAATTTCCTTGT</t>
  </si>
  <si>
    <t xml:space="preserve">TAGTGCGAAGGAAAATTTCCTTGT</t>
  </si>
  <si>
    <t xml:space="preserve">AAACACAAGGAAATTTTCCTTCGC</t>
  </si>
  <si>
    <t xml:space="preserve">GCCTTCCAGCAACTCCGGCT</t>
  </si>
  <si>
    <t xml:space="preserve">TAGTGCCTTCCAGCAACTCCGGCT</t>
  </si>
  <si>
    <t xml:space="preserve">AAACAGCCGGAGTTGCTGGAAGGC</t>
  </si>
  <si>
    <t xml:space="preserve">PSPPH_1988</t>
  </si>
  <si>
    <t xml:space="preserve">CAAGACGGCTTTCATAAGTC</t>
  </si>
  <si>
    <t xml:space="preserve">TAGTCAAGACGGCTTTCATAAGTC</t>
  </si>
  <si>
    <t xml:space="preserve">AAACGACTTATGAAAGCCGTCTTG</t>
  </si>
  <si>
    <t xml:space="preserve">GCTGTGCAGCGCTAGCTTTC</t>
  </si>
  <si>
    <t xml:space="preserve">TAGTGCTGTGCAGCGCTAGCTTTC</t>
  </si>
  <si>
    <t xml:space="preserve">AAACGAAAGCTAGCGCTGCACAGC</t>
  </si>
  <si>
    <t xml:space="preserve">TTAGGCGCCATCAGCAGCCC</t>
  </si>
  <si>
    <t xml:space="preserve">TAGTTTAGGCGCCATCAGCAGCCC</t>
  </si>
  <si>
    <t xml:space="preserve">AAACGGGCTGCTGATGGCGCCTAA</t>
  </si>
  <si>
    <t xml:space="preserve">TGGCGATATCTTCAGCGCCC</t>
  </si>
  <si>
    <t xml:space="preserve">TAGTTGGCGATATCTTCAGCGCCC</t>
  </si>
  <si>
    <t xml:space="preserve">AAACGGGCGCTGAAGATATCGCCA</t>
  </si>
  <si>
    <t xml:space="preserve">PSPPH_1989</t>
  </si>
  <si>
    <t xml:space="preserve">fabB</t>
  </si>
  <si>
    <t xml:space="preserve">CCAGACCAGTGATAACGACG</t>
  </si>
  <si>
    <t xml:space="preserve">TAGTCCAGACCAGTGATAACGACG</t>
  </si>
  <si>
    <t xml:space="preserve">AAACCGTCGTTATCACTGGTCTGG</t>
  </si>
  <si>
    <t xml:space="preserve">CTCTTTGTCATTGCCCAAGC</t>
  </si>
  <si>
    <t xml:space="preserve">TAGTCTCTTTGTCATTGCCCAAGC</t>
  </si>
  <si>
    <t xml:space="preserve">AAACGCTTGGGCAATGACAAAGAG</t>
  </si>
  <si>
    <t xml:space="preserve">AGCACGCAGGTTAGCGGTGA</t>
  </si>
  <si>
    <t xml:space="preserve">TAGTAGCACGCAGGTTAGCGGTGA</t>
  </si>
  <si>
    <t xml:space="preserve">AAACTCACCGCTAACCTGCGTGCT</t>
  </si>
  <si>
    <t xml:space="preserve">GGTTGAAGCGGATGCCAGGG</t>
  </si>
  <si>
    <t xml:space="preserve">TAGTGGTTGAAGCGGATGCCAGGG</t>
  </si>
  <si>
    <t xml:space="preserve">AAACCCCTGGCATCCGCTTCAACC</t>
  </si>
  <si>
    <t xml:space="preserve">PSPPH_1990</t>
  </si>
  <si>
    <t xml:space="preserve">fabA</t>
  </si>
  <si>
    <t xml:space="preserve">ACGGGTAAAGGCGTGTTGTT</t>
  </si>
  <si>
    <t xml:space="preserve">TAGTACGGGTAAAGGCGTGTTGTT</t>
  </si>
  <si>
    <t xml:space="preserve">AAACAACAACACGCCTTTACCCGT</t>
  </si>
  <si>
    <t xml:space="preserve">CGCCACGACTGCAGCGCAGC</t>
  </si>
  <si>
    <t xml:space="preserve">TAGTCGCCACGACTGCAGCGCAGC</t>
  </si>
  <si>
    <t xml:space="preserve">AAACGCTGCGCTGCAGTCGTGGCG</t>
  </si>
  <si>
    <t xml:space="preserve">CGGGCAGTTGCGCATTACCT</t>
  </si>
  <si>
    <t xml:space="preserve">TAGTCGGGCAGTTGCGCATTACCT</t>
  </si>
  <si>
    <t xml:space="preserve">AAACAGGTAATGCGCAACTGCCCG</t>
  </si>
  <si>
    <t xml:space="preserve">GACCATCAGCATGTTGGGGG</t>
  </si>
  <si>
    <t xml:space="preserve">TAGTGACCATCAGCATGTTGGGGG</t>
  </si>
  <si>
    <t xml:space="preserve">AAACCCCCCAACATGCTGATGGTC</t>
  </si>
  <si>
    <t xml:space="preserve">PSPPH_1994</t>
  </si>
  <si>
    <t xml:space="preserve">gpsA</t>
  </si>
  <si>
    <t xml:space="preserve">AACCGCGACTGGTTGCTGTG</t>
  </si>
  <si>
    <t xml:space="preserve">TAGTAACCGCGACTGGTTGCTGTG</t>
  </si>
  <si>
    <t xml:space="preserve">AAACCACAGCAACCAGTCGCGGTT</t>
  </si>
  <si>
    <t xml:space="preserve">CTCGGCCAGCAGATTTGCAA</t>
  </si>
  <si>
    <t xml:space="preserve">TAGTCTCGGCCAGCAGATTTGCAA</t>
  </si>
  <si>
    <t xml:space="preserve">AAACTTGCAAATCTGCTGGCCGAG</t>
  </si>
  <si>
    <t xml:space="preserve">GCATCCACTGGAGAACCTGA</t>
  </si>
  <si>
    <t xml:space="preserve">TAGTGCATCCACTGGAGAACCTGA</t>
  </si>
  <si>
    <t xml:space="preserve">AAACTCAGGTTCTCCAGTGGATGC</t>
  </si>
  <si>
    <t xml:space="preserve">CGAATCGCCTGCGCCTGCTC</t>
  </si>
  <si>
    <t xml:space="preserve">TAGTCGAATCGCCTGCGCCTGCTC</t>
  </si>
  <si>
    <t xml:space="preserve">AAACGAGCAGGCGCAGGCGATTCG</t>
  </si>
  <si>
    <t xml:space="preserve">PSPPH_1995</t>
  </si>
  <si>
    <t xml:space="preserve">TTCAAGACGTTCTCCCTGAT</t>
  </si>
  <si>
    <t xml:space="preserve">TAGTTTCAAGACGTTCTCCCTGAT</t>
  </si>
  <si>
    <t xml:space="preserve">AAACATCAGGGAGAACGTCTTGAA</t>
  </si>
  <si>
    <t xml:space="preserve">GCAGGATCGATTCGTTATGC</t>
  </si>
  <si>
    <t xml:space="preserve">TAGTGCAGGATCGATTCGTTATGC</t>
  </si>
  <si>
    <t xml:space="preserve">AAACGCATAACGAATCGATCCTGC</t>
  </si>
  <si>
    <t xml:space="preserve">CATTCGGTGCGCCATAGATA</t>
  </si>
  <si>
    <t xml:space="preserve">TAGTCATTCGGTGCGCCATAGATA</t>
  </si>
  <si>
    <t xml:space="preserve">AAACTATCTATGGCGCACCGAATG</t>
  </si>
  <si>
    <t xml:space="preserve">CACTGTCGCCGAAATTCATC</t>
  </si>
  <si>
    <t xml:space="preserve">TAGTCACTGTCGCCGAAATTCATC</t>
  </si>
  <si>
    <t xml:space="preserve">AAACGATGAATTTCGGCGACAGTG</t>
  </si>
  <si>
    <t xml:space="preserve">PSPPH_1996</t>
  </si>
  <si>
    <t xml:space="preserve">sixA</t>
  </si>
  <si>
    <t xml:space="preserve">GTGTGCCGTAAGCTCGCGTT</t>
  </si>
  <si>
    <t xml:space="preserve">TAGTGTGTGCCGTAAGCTCGCGTT</t>
  </si>
  <si>
    <t xml:space="preserve">AAACAACGCGAGCTTACGGCACAC</t>
  </si>
  <si>
    <t xml:space="preserve">CTGTGCACGAACATAGGGGC</t>
  </si>
  <si>
    <t xml:space="preserve">TAGTCTGTGCACGAACATAGGGGC</t>
  </si>
  <si>
    <t xml:space="preserve">AAACGCCCCTATGTTCGTGCACAG</t>
  </si>
  <si>
    <t xml:space="preserve">CAGCGACTGACGTACCAGCT</t>
  </si>
  <si>
    <t xml:space="preserve">TAGTCAGCGACTGACGTACCAGCT</t>
  </si>
  <si>
    <t xml:space="preserve">AAACAGCTGGTACGTCAGTCGCTG</t>
  </si>
  <si>
    <t xml:space="preserve">GCCAGGGCACCGTCACGACC</t>
  </si>
  <si>
    <t xml:space="preserve">TAGTGCCAGGGCACCGTCACGACC</t>
  </si>
  <si>
    <t xml:space="preserve">AAACGGTCGTGACGGTGCCCTGGC</t>
  </si>
  <si>
    <t xml:space="preserve">PSPPH_1997</t>
  </si>
  <si>
    <t xml:space="preserve">GCCATAAGGGCTTCGATATC</t>
  </si>
  <si>
    <t xml:space="preserve">TAGTGCCATAAGGGCTTCGATATC</t>
  </si>
  <si>
    <t xml:space="preserve">AAACGATATCGAAGCCCTTATGGC</t>
  </si>
  <si>
    <t xml:space="preserve">CGTCCGTGAACGATTCGAAG</t>
  </si>
  <si>
    <t xml:space="preserve">TAGTCGTCCGTGAACGATTCGAAG</t>
  </si>
  <si>
    <t xml:space="preserve">AAACCTTCGAATCGTTCACGGACG</t>
  </si>
  <si>
    <t xml:space="preserve">GACGACCATGCTGGCCGTCA</t>
  </si>
  <si>
    <t xml:space="preserve">TAGTGACGACCATGCTGGCCGTCA</t>
  </si>
  <si>
    <t xml:space="preserve">AAACTGACGGCCAGCATGGTCGTC</t>
  </si>
  <si>
    <t xml:space="preserve">CAGCAGCCCGAAAGGCTGAT</t>
  </si>
  <si>
    <t xml:space="preserve">TAGTCAGCAGCCCGAAAGGCTGAT</t>
  </si>
  <si>
    <t xml:space="preserve">AAACATCAGCCTTTCGGGCTGCTG</t>
  </si>
  <si>
    <t xml:space="preserve">PSPPH_1998</t>
  </si>
  <si>
    <t xml:space="preserve">TGCCATCGCAGATGGCACTC</t>
  </si>
  <si>
    <t xml:space="preserve">TAGTTGCCATCGCAGATGGCACTC</t>
  </si>
  <si>
    <t xml:space="preserve">AAACGAGTGCCATCTGCGATGGCA</t>
  </si>
  <si>
    <t xml:space="preserve">CTTCAAGCAACAGCAATGAC</t>
  </si>
  <si>
    <t xml:space="preserve">TAGTCTTCAAGCAACAGCAATGAC</t>
  </si>
  <si>
    <t xml:space="preserve">AAACGTCATTGCTGTTGCTTGAAG</t>
  </si>
  <si>
    <t xml:space="preserve">CGACATACCGATACTTCCAG</t>
  </si>
  <si>
    <t xml:space="preserve">TAGTCGACATACCGATACTTCCAG</t>
  </si>
  <si>
    <t xml:space="preserve">AAACCTGGAAGTATCGGTATGTCG</t>
  </si>
  <si>
    <t xml:space="preserve">TTGGCGTGAGCGAAGAACAC</t>
  </si>
  <si>
    <t xml:space="preserve">TAGTTTGGCGTGAGCGAAGAACAC</t>
  </si>
  <si>
    <t xml:space="preserve">AAACGTGTTCTTCGCTCACGCCAA</t>
  </si>
  <si>
    <t xml:space="preserve">PSPPH_1999</t>
  </si>
  <si>
    <t xml:space="preserve">GCTCGATATGCCCCAGGCTC</t>
  </si>
  <si>
    <t xml:space="preserve">TAGTGCTCGATATGCCCCAGGCTC</t>
  </si>
  <si>
    <t xml:space="preserve">AAACGAGCCTGGGGCATATCGAGC</t>
  </si>
  <si>
    <t xml:space="preserve">TAACCGGCTGACCGTCCTTG</t>
  </si>
  <si>
    <t xml:space="preserve">TAGTTAACCGGCTGACCGTCCTTG</t>
  </si>
  <si>
    <t xml:space="preserve">AAACCAAGGACGGTCAGCCGGTTA</t>
  </si>
  <si>
    <t xml:space="preserve">TGCGAGCCGGGCGAAACTGT</t>
  </si>
  <si>
    <t xml:space="preserve">TAGTTGCGAGCCGGGCGAAACTGT</t>
  </si>
  <si>
    <t xml:space="preserve">AAACACAGTTTCGCCCGGCTCGCA</t>
  </si>
  <si>
    <t xml:space="preserve">ACCTGTAGCCCCTCAAGACG</t>
  </si>
  <si>
    <t xml:space="preserve">TAGTACCTGTAGCCCCTCAAGACG</t>
  </si>
  <si>
    <t xml:space="preserve">AAACCGTCTTGAGGGGCTACAGGT</t>
  </si>
  <si>
    <t xml:space="preserve">PSPPH_2000</t>
  </si>
  <si>
    <t xml:space="preserve">AAACGCATGAGTGCTCTCAT</t>
  </si>
  <si>
    <t xml:space="preserve">TAGTAAACGCATGAGTGCTCTCAT</t>
  </si>
  <si>
    <t xml:space="preserve">AAACATGAGAGCACTCATGCGTTT</t>
  </si>
  <si>
    <t xml:space="preserve">GACATGCACAACGCCGCAAC</t>
  </si>
  <si>
    <t xml:space="preserve">TAGTGACATGCACAACGCCGCAAC</t>
  </si>
  <si>
    <t xml:space="preserve">AAACGTTGCGGCGTTGTGCATGTC</t>
  </si>
  <si>
    <t xml:space="preserve">CCGGCGCATCGGCAGCGAAA</t>
  </si>
  <si>
    <t xml:space="preserve">TAGTCCGGCGCATCGGCAGCGAAA</t>
  </si>
  <si>
    <t xml:space="preserve">AAACTTTCGCTGCCGATGCGCCGG</t>
  </si>
  <si>
    <t xml:space="preserve">ATTTCGGTATCGGTCAGACG</t>
  </si>
  <si>
    <t xml:space="preserve">TAGTATTTCGGTATCGGTCAGACG</t>
  </si>
  <si>
    <t xml:space="preserve">AAACCGTCTGACCGATACCGAAAT</t>
  </si>
  <si>
    <t xml:space="preserve">PSPPH_2001</t>
  </si>
  <si>
    <t xml:space="preserve">AGGTGCCATCACCCAGAGGC</t>
  </si>
  <si>
    <t xml:space="preserve">TAGTAGGTGCCATCACCCAGAGGC</t>
  </si>
  <si>
    <t xml:space="preserve">AAACGCCTCTGGGTGATGGCACCT</t>
  </si>
  <si>
    <t xml:space="preserve">CATATCAGTGCCGACCAGAA</t>
  </si>
  <si>
    <t xml:space="preserve">TAGTCATATCAGTGCCGACCAGAA</t>
  </si>
  <si>
    <t xml:space="preserve">AAACTTCTGGTCGGCACTGATATG</t>
  </si>
  <si>
    <t xml:space="preserve">CAAACGCATCAGCGGCCAGC</t>
  </si>
  <si>
    <t xml:space="preserve">TAGTCAAACGCATCAGCGGCCAGC</t>
  </si>
  <si>
    <t xml:space="preserve">AAACGCTGGCCGCTGATGCGTTTG</t>
  </si>
  <si>
    <t xml:space="preserve">ACTCACGGCCCTTGAACCAG</t>
  </si>
  <si>
    <t xml:space="preserve">TAGTACTCACGGCCCTTGAACCAG</t>
  </si>
  <si>
    <t xml:space="preserve">AAACCTGGTTCAAGGGCCGTGAGT</t>
  </si>
  <si>
    <t xml:space="preserve">PSPPH_2002</t>
  </si>
  <si>
    <t xml:space="preserve">ACTGGTCGAGCTGGTGTAGC</t>
  </si>
  <si>
    <t xml:space="preserve">TAGTACTGGTCGAGCTGGTGTAGC</t>
  </si>
  <si>
    <t xml:space="preserve">AAACGCTACACCAGCTCGACCAGT</t>
  </si>
  <si>
    <t xml:space="preserve">CTTCTTGCTGTTGGTGCTGG</t>
  </si>
  <si>
    <t xml:space="preserve">TAGTCTTCTTGCTGTTGGTGCTGG</t>
  </si>
  <si>
    <t xml:space="preserve">AAACCCAGCACCAACAGCAAGAAG</t>
  </si>
  <si>
    <t xml:space="preserve">GCCGATGCTGCCGTCGCCAT</t>
  </si>
  <si>
    <t xml:space="preserve">TAGTGCCGATGCTGCCGTCGCCAT</t>
  </si>
  <si>
    <t xml:space="preserve">AAACATGGCGACGGCAGCATCGGC</t>
  </si>
  <si>
    <t xml:space="preserve">GTCCTTGCTGTTCGACGACA</t>
  </si>
  <si>
    <t xml:space="preserve">TAGTGTCCTTGCTGTTCGACGACA</t>
  </si>
  <si>
    <t xml:space="preserve">AAACTGTCGTCGAACAGCAAGGAC</t>
  </si>
  <si>
    <t xml:space="preserve">PSPPH_2003</t>
  </si>
  <si>
    <t xml:space="preserve">CAAACAGCGTGTCGAACCGG</t>
  </si>
  <si>
    <t xml:space="preserve">TAGTCAAACAGCGTGTCGAACCGG</t>
  </si>
  <si>
    <t xml:space="preserve">AAACCCGGTTCGACACGCTGTTTG</t>
  </si>
  <si>
    <t xml:space="preserve">CCAGCAGTGCGCCCCCGAAA</t>
  </si>
  <si>
    <t xml:space="preserve">TAGTCCAGCAGTGCGCCCCCGAAA</t>
  </si>
  <si>
    <t xml:space="preserve">AAACTTTCGGGGGCGCACTGCTGG</t>
  </si>
  <si>
    <t xml:space="preserve">TGGAGGGCGCATGCCGTATT</t>
  </si>
  <si>
    <t xml:space="preserve">TAGTTGGAGGGCGCATGCCGTATT</t>
  </si>
  <si>
    <t xml:space="preserve">AAACAATACGGCATGCGCCCTCCA</t>
  </si>
  <si>
    <t xml:space="preserve">GCGTCTGGGCGGTCATCAGG</t>
  </si>
  <si>
    <t xml:space="preserve">TAGTGCGTCTGGGCGGTCATCAGG</t>
  </si>
  <si>
    <t xml:space="preserve">AAACCCTGATGACCGCCCAGACGC</t>
  </si>
  <si>
    <t xml:space="preserve">PSPPH_2004</t>
  </si>
  <si>
    <t xml:space="preserve">GTGGCATCCAGGGGGGTGTC</t>
  </si>
  <si>
    <t xml:space="preserve">TAGTGTGGCATCCAGGGGGGTGTC</t>
  </si>
  <si>
    <t xml:space="preserve">AAACGACACCCCCCTGGATGCCAC</t>
  </si>
  <si>
    <t xml:space="preserve">GCGAACGCTCCAGCGTTGTT</t>
  </si>
  <si>
    <t xml:space="preserve">TAGTGCGAACGCTCCAGCGTTGTT</t>
  </si>
  <si>
    <t xml:space="preserve">AAACAACAACGCTGGAGCGTTCGC</t>
  </si>
  <si>
    <t xml:space="preserve">ATCGCAGAGCAGTTCGCGAA</t>
  </si>
  <si>
    <t xml:space="preserve">TAGTATCGCAGAGCAGTTCGCGAA</t>
  </si>
  <si>
    <t xml:space="preserve">AAACTTCGCGAACTGCTCTGCGAT</t>
  </si>
  <si>
    <t xml:space="preserve">CGTTGATATTGAAGCGCGTC</t>
  </si>
  <si>
    <t xml:space="preserve">TAGTCGTTGATATTGAAGCGCGTC</t>
  </si>
  <si>
    <t xml:space="preserve">AAACGACGCGCTTCAATATCAACG</t>
  </si>
  <si>
    <t xml:space="preserve">PSPPH_2005</t>
  </si>
  <si>
    <t xml:space="preserve">CGCGCCGTCTTGCTTTGTTC</t>
  </si>
  <si>
    <t xml:space="preserve">TAGTCGCGCCGTCTTGCTTTGTTC</t>
  </si>
  <si>
    <t xml:space="preserve">AAACGAACAAAGCAAGACGGCGCG</t>
  </si>
  <si>
    <t xml:space="preserve">CGCGCTGACTGCGCGCCAGC</t>
  </si>
  <si>
    <t xml:space="preserve">TAGTCGCGCTGACTGCGCGCCAGC</t>
  </si>
  <si>
    <t xml:space="preserve">AAACGCTGGCGCGCAGTCAGCGCG</t>
  </si>
  <si>
    <t xml:space="preserve">CCACTGCGAGCTCTGCCTTG</t>
  </si>
  <si>
    <t xml:space="preserve">TAGTCCACTGCGAGCTCTGCCTTG</t>
  </si>
  <si>
    <t xml:space="preserve">AAACCAAGGCAGAGCTCGCAGTGG</t>
  </si>
  <si>
    <t xml:space="preserve">GTCCGTCGGGTCCACGATGT</t>
  </si>
  <si>
    <t xml:space="preserve">TAGTGTCCGTCGGGTCCACGATGT</t>
  </si>
  <si>
    <t xml:space="preserve">AAACACATCGTGGACCCGACGGAC</t>
  </si>
  <si>
    <t xml:space="preserve">PSPPH_2007</t>
  </si>
  <si>
    <t xml:space="preserve">TTGATCAGATTATCCTTAGA</t>
  </si>
  <si>
    <t xml:space="preserve">TAGTTTGATCAGATTATCCTTAGA</t>
  </si>
  <si>
    <t xml:space="preserve">AAACTCTAAGGATAATCTGATCAA</t>
  </si>
  <si>
    <t xml:space="preserve">CGCCCATTCGTGCGTCAGGC</t>
  </si>
  <si>
    <t xml:space="preserve">TAGTCGCCCATTCGTGCGTCAGGC</t>
  </si>
  <si>
    <t xml:space="preserve">AAACGCCTGACGCACGAATGGGCG</t>
  </si>
  <si>
    <t xml:space="preserve">GTAACCTCGATACGATCGGT</t>
  </si>
  <si>
    <t xml:space="preserve">TAGTGTAACCTCGATACGATCGGT</t>
  </si>
  <si>
    <t xml:space="preserve">AAACACCGATCGTATCGAGGTTAC</t>
  </si>
  <si>
    <t xml:space="preserve">CCACAGTACTGCTGTACCCC</t>
  </si>
  <si>
    <t xml:space="preserve">TAGTCCACAGTACTGCTGTACCCC</t>
  </si>
  <si>
    <t xml:space="preserve">AAACGGGGTACAGCAGTACTGTGG</t>
  </si>
  <si>
    <t xml:space="preserve">PSPPH_2009</t>
  </si>
  <si>
    <t xml:space="preserve">GCCATGAAGCCGGCCAGAAA</t>
  </si>
  <si>
    <t xml:space="preserve">TAGTGCCATGAAGCCGGCCAGAAA</t>
  </si>
  <si>
    <t xml:space="preserve">AAACTTTCTGGCCGGCTTCATGGC</t>
  </si>
  <si>
    <t xml:space="preserve">AGGAGTTCGGCGATCAAGGG</t>
  </si>
  <si>
    <t xml:space="preserve">TAGTAGGAGTTCGGCGATCAAGGG</t>
  </si>
  <si>
    <t xml:space="preserve">AAACCCCTTGATCGCCGAACTCCT</t>
  </si>
  <si>
    <t xml:space="preserve">CGCCGCCGGGTACGTCAGGG</t>
  </si>
  <si>
    <t xml:space="preserve">TAGTCGCCGCCGGGTACGTCAGGG</t>
  </si>
  <si>
    <t xml:space="preserve">AAACCCCTGACGTACCCGGCGGCG</t>
  </si>
  <si>
    <t xml:space="preserve">GCACTGCTGGGAAGCAGATT</t>
  </si>
  <si>
    <t xml:space="preserve">TAGTGCACTGCTGGGAAGCAGATT</t>
  </si>
  <si>
    <t xml:space="preserve">AAACAATCTGCTTCCCAGCAGTGC</t>
  </si>
  <si>
    <t xml:space="preserve">PSPPH_2010</t>
  </si>
  <si>
    <t xml:space="preserve">GCGTTCAATACAGAGTTCAT</t>
  </si>
  <si>
    <t xml:space="preserve">TAGTGCGTTCAATACAGAGTTCAT</t>
  </si>
  <si>
    <t xml:space="preserve">AAACATGAACTCTGTATTGAACGC</t>
  </si>
  <si>
    <t xml:space="preserve">CAGGATCAGACTGGGGAGCA</t>
  </si>
  <si>
    <t xml:space="preserve">TAGTCAGGATCAGACTGGGGAGCA</t>
  </si>
  <si>
    <t xml:space="preserve">AAACTGCTCCCCAGTCTGATCCTG</t>
  </si>
  <si>
    <t xml:space="preserve">ATAAGCCGCAGCACTATAGC</t>
  </si>
  <si>
    <t xml:space="preserve">TAGTATAAGCCGCAGCACTATAGC</t>
  </si>
  <si>
    <t xml:space="preserve">AAACGCTATAGTGCTGCGGCTTAT</t>
  </si>
  <si>
    <t xml:space="preserve">CGGTATGTCATCCGGTACGT</t>
  </si>
  <si>
    <t xml:space="preserve">TAGTCGGTATGTCATCCGGTACGT</t>
  </si>
  <si>
    <t xml:space="preserve">AAACACGTACCGGATGACATACCG</t>
  </si>
  <si>
    <t xml:space="preserve">PSPPH_2011</t>
  </si>
  <si>
    <t xml:space="preserve">GAACCCGGAATCGGGTAATA</t>
  </si>
  <si>
    <t xml:space="preserve">TAGTGAACCCGGAATCGGGTAATA</t>
  </si>
  <si>
    <t xml:space="preserve">AAACTATTACCCGATTCCGGGTTC</t>
  </si>
  <si>
    <t xml:space="preserve">TGCATAAAGCGCAGGCGCAC</t>
  </si>
  <si>
    <t xml:space="preserve">TAGTTGCATAAAGCGCAGGCGCAC</t>
  </si>
  <si>
    <t xml:space="preserve">AAACGTGCGCCTGCGCTTTATGCA</t>
  </si>
  <si>
    <t xml:space="preserve">TCTGGTCGGCTCCAGCACAA</t>
  </si>
  <si>
    <t xml:space="preserve">TAGTTCTGGTCGGCTCCAGCACAA</t>
  </si>
  <si>
    <t xml:space="preserve">AAACTTGTGCTGGAGCCGACCAGA</t>
  </si>
  <si>
    <t xml:space="preserve">GCCGGGCTGGAAATTGACGG</t>
  </si>
  <si>
    <t xml:space="preserve">TAGTGCCGGGCTGGAAATTGACGG</t>
  </si>
  <si>
    <t xml:space="preserve">AAACCCGTCAATTTCCAGCCCGGC</t>
  </si>
  <si>
    <t xml:space="preserve">PSPPH_2012</t>
  </si>
  <si>
    <t xml:space="preserve">TGCCTGGCTGGCAGGTATAT</t>
  </si>
  <si>
    <t xml:space="preserve">TAGTTGCCTGGCTGGCAGGTATAT</t>
  </si>
  <si>
    <t xml:space="preserve">AAACATATACCTGCCAGCCAGGCA</t>
  </si>
  <si>
    <t xml:space="preserve">TACTATGCGCGTTGCGTTGA</t>
  </si>
  <si>
    <t xml:space="preserve">TAGTTACTATGCGCGTTGCGTTGA</t>
  </si>
  <si>
    <t xml:space="preserve">AAACTCAACGCAACGCGCATAGTA</t>
  </si>
  <si>
    <t xml:space="preserve">GAACGGCCGATCACTTGGAT</t>
  </si>
  <si>
    <t xml:space="preserve">TAGTGAACGGCCGATCACTTGGAT</t>
  </si>
  <si>
    <t xml:space="preserve">AAACATCCAAGTGATCGGCCGTTC</t>
  </si>
  <si>
    <t xml:space="preserve">GTCTGCCTCCGTATTTACCC</t>
  </si>
  <si>
    <t xml:space="preserve">TAGTGTCTGCCTCCGTATTTACCC</t>
  </si>
  <si>
    <t xml:space="preserve">AAACGGGTAAATACGGAGGCAGAC</t>
  </si>
  <si>
    <t xml:space="preserve">PSPPH_2013</t>
  </si>
  <si>
    <t xml:space="preserve">fimA</t>
  </si>
  <si>
    <t xml:space="preserve">CGCCAGAGCAAGGCCTAGTA</t>
  </si>
  <si>
    <t xml:space="preserve">TAGTCGCCAGAGCAAGGCCTAGTA</t>
  </si>
  <si>
    <t xml:space="preserve">AAACTACTAGGCCTTGCTCTGGCG</t>
  </si>
  <si>
    <t xml:space="preserve">TGCGACAGTGCCGGTCAGTG</t>
  </si>
  <si>
    <t xml:space="preserve">TAGTTGCGACAGTGCCGGTCAGTG</t>
  </si>
  <si>
    <t xml:space="preserve">AAACCACTGACCGGCACTGTCGCA</t>
  </si>
  <si>
    <t xml:space="preserve">ACGGATGGTGCCGGAGTTGG</t>
  </si>
  <si>
    <t xml:space="preserve">TAGTACGGATGGTGCCGGAGTTGG</t>
  </si>
  <si>
    <t xml:space="preserve">AAACCCAACTCCGGCACCATCCGT</t>
  </si>
  <si>
    <t xml:space="preserve">TTCGATAGGGCAGGTGGTGG</t>
  </si>
  <si>
    <t xml:space="preserve">TAGTTTCGATAGGGCAGGTGGTGG</t>
  </si>
  <si>
    <t xml:space="preserve">AAACCCACCACCTGCCCTATCGAA</t>
  </si>
  <si>
    <t xml:space="preserve">PSPPH_2015</t>
  </si>
  <si>
    <t xml:space="preserve">TTTTCCGTTGTCGCGAAGCA</t>
  </si>
  <si>
    <t xml:space="preserve">TAGTTTTTCCGTTGTCGCGAAGCA</t>
  </si>
  <si>
    <t xml:space="preserve">AAACTGCTTCGCGACAACGGAAAA</t>
  </si>
  <si>
    <t xml:space="preserve">GAGGGCGGCGTGGTGCCGGG</t>
  </si>
  <si>
    <t xml:space="preserve">TAGTGAGGGCGGCGTGGTGCCGGG</t>
  </si>
  <si>
    <t xml:space="preserve">AAACCCCGGCACCACGCCGCCCTC</t>
  </si>
  <si>
    <t xml:space="preserve">GACAGTGGCGGGTGTGGTGT</t>
  </si>
  <si>
    <t xml:space="preserve">TAGTGACAGTGGCGGGTGTGGTGT</t>
  </si>
  <si>
    <t xml:space="preserve">AAACACACCACACCCGCCACTGTC</t>
  </si>
  <si>
    <t xml:space="preserve">GTCGTTCCTTGACAGTCAAC</t>
  </si>
  <si>
    <t xml:space="preserve">TAGTGTCGTTCCTTGACAGTCAAC</t>
  </si>
  <si>
    <t xml:space="preserve">AAACGTTGACTGTCAAGGAACGAC</t>
  </si>
  <si>
    <t xml:space="preserve">PSPPH_2017</t>
  </si>
  <si>
    <t xml:space="preserve">kdpA</t>
  </si>
  <si>
    <t xml:space="preserve">GCAGCAGGACCAGAAAGGCC</t>
  </si>
  <si>
    <t xml:space="preserve">TAGTGCAGCAGGACCAGAAAGGCC</t>
  </si>
  <si>
    <t xml:space="preserve">AAACGGCCTTTCTGGTCCTGCTGC</t>
  </si>
  <si>
    <t xml:space="preserve">AAACGCCCCAACCAAGGCGC</t>
  </si>
  <si>
    <t xml:space="preserve">TAGTAAACGCCCCAACCAAGGCGC</t>
  </si>
  <si>
    <t xml:space="preserve">AAACGCGCCTTGGTTGGGGCGTTT</t>
  </si>
  <si>
    <t xml:space="preserve">GCTCGACCGGCACCAGCACC</t>
  </si>
  <si>
    <t xml:space="preserve">TAGTGCTCGACCGGCACCAGCACC</t>
  </si>
  <si>
    <t xml:space="preserve">AAACGGTGCTGGTGCCGGTCGAGC</t>
  </si>
  <si>
    <t xml:space="preserve">GACGCCGGAAATTCGGTAGC</t>
  </si>
  <si>
    <t xml:space="preserve">TAGTGACGCCGGAAATTCGGTAGC</t>
  </si>
  <si>
    <t xml:space="preserve">AAACGCTACCGAATTTCCGGCGTC</t>
  </si>
  <si>
    <t xml:space="preserve">PSPPH_2018</t>
  </si>
  <si>
    <t xml:space="preserve">kdpB</t>
  </si>
  <si>
    <t xml:space="preserve">CTCGCTGGCGGCCTGAGGCT</t>
  </si>
  <si>
    <t xml:space="preserve">TAGTCTCGCTGGCGGCCTGAGGCT</t>
  </si>
  <si>
    <t xml:space="preserve">AAACAGCCTCAGGCCGCCAGCGAG</t>
  </si>
  <si>
    <t xml:space="preserve">CAGGGCAGCGATGCCGGTCT</t>
  </si>
  <si>
    <t xml:space="preserve">TAGTCAGGGCAGCGATGCCGGTCT</t>
  </si>
  <si>
    <t xml:space="preserve">AAACAGACCGGCATCGCTGCCCTG</t>
  </si>
  <si>
    <t xml:space="preserve">ACGAACGCCTGCACCAGCGC</t>
  </si>
  <si>
    <t xml:space="preserve">TAGTACGAACGCCTGCACCAGCGC</t>
  </si>
  <si>
    <t xml:space="preserve">AAACGCGCTGGTGCAGGCGTTCGT</t>
  </si>
  <si>
    <t xml:space="preserve">GCGAACGCTTGAGCTGGCGC</t>
  </si>
  <si>
    <t xml:space="preserve">TAGTGCGAACGCTTGAGCTGGCGC</t>
  </si>
  <si>
    <t xml:space="preserve">AAACGCGCCAGCTCAAGCGTTCGC</t>
  </si>
  <si>
    <t xml:space="preserve">PSPPH_2019</t>
  </si>
  <si>
    <t xml:space="preserve">CGCCAGTGCGGGCGCATCGT</t>
  </si>
  <si>
    <t xml:space="preserve">TAGTCGCCAGTGCGGGCGCATCGT</t>
  </si>
  <si>
    <t xml:space="preserve">AAACACGATGCGCCCGCACTGGCG</t>
  </si>
  <si>
    <t xml:space="preserve">TGGCCGCTTCACGTGCGGCC</t>
  </si>
  <si>
    <t xml:space="preserve">TAGTTGGCCGCTTCACGTGCGGCC</t>
  </si>
  <si>
    <t xml:space="preserve">AAACGGCCGCACGTGAAGCGGCCA</t>
  </si>
  <si>
    <t xml:space="preserve">GCTGTCGAGGTCAACCATTT</t>
  </si>
  <si>
    <t xml:space="preserve">TAGTGCTGTCGAGGTCAACCATTT</t>
  </si>
  <si>
    <t xml:space="preserve">AAACAAATGGTTGACCTCGACAGC</t>
  </si>
  <si>
    <t xml:space="preserve">CCACGTCCAGCAGCTTGGTA</t>
  </si>
  <si>
    <t xml:space="preserve">TAGTCCACGTCCAGCAGCTTGGTA</t>
  </si>
  <si>
    <t xml:space="preserve">AAACTACCAAGCTGCTGGACGTGG</t>
  </si>
  <si>
    <t xml:space="preserve">PSPPH_2020</t>
  </si>
  <si>
    <t xml:space="preserve">kdpC</t>
  </si>
  <si>
    <t xml:space="preserve">CAAGGCCGGACGCAATACAT</t>
  </si>
  <si>
    <t xml:space="preserve">TAGTCAAGGCCGGACGCAATACAT</t>
  </si>
  <si>
    <t xml:space="preserve">AAACATGTATTGCGTCCGGCCTTG</t>
  </si>
  <si>
    <t xml:space="preserve">TCAGGCTCATCAACACGATC</t>
  </si>
  <si>
    <t xml:space="preserve">TAGTTCAGGCTCATCAACACGATC</t>
  </si>
  <si>
    <t xml:space="preserve">AAACGATCGTGTTGATGAGCCTGA</t>
  </si>
  <si>
    <t xml:space="preserve">TACCAGTGGATAGGCCACGC</t>
  </si>
  <si>
    <t xml:space="preserve">TAGTTACCAGTGGATAGGCCACGC</t>
  </si>
  <si>
    <t xml:space="preserve">AAACGCGTGGCCTATCCACTGGTA</t>
  </si>
  <si>
    <t xml:space="preserve">AAACGCCACTTGCGCAACCC</t>
  </si>
  <si>
    <t xml:space="preserve">TAGTAAACGCCACTTGCGCAACCC</t>
  </si>
  <si>
    <t xml:space="preserve">AAACGGGTTGCGCAAGTGGCGTTT</t>
  </si>
  <si>
    <t xml:space="preserve">PSPPH_2021</t>
  </si>
  <si>
    <t xml:space="preserve">kdpD</t>
  </si>
  <si>
    <t xml:space="preserve">CAGCAGTGCATCAGCTCGAC</t>
  </si>
  <si>
    <t xml:space="preserve">TAGTCAGCAGTGCATCAGCTCGAC</t>
  </si>
  <si>
    <t xml:space="preserve">AAACGTCGAGCTGATGCACTGCTG</t>
  </si>
  <si>
    <t xml:space="preserve">GCGCCCTTCGCGGGGCAGCT</t>
  </si>
  <si>
    <t xml:space="preserve">TAGTGCGCCCTTCGCGGGGCAGCT</t>
  </si>
  <si>
    <t xml:space="preserve">AAACAGCTGCCCCGCGAAGGGCGC</t>
  </si>
  <si>
    <t xml:space="preserve">GGTTTTGCCCACGCCCGGCG</t>
  </si>
  <si>
    <t xml:space="preserve">TAGTGGTTTTGCCCACGCCCGGCG</t>
  </si>
  <si>
    <t xml:space="preserve">AAACCGCCGGGCGTGGGCAAAACC</t>
  </si>
  <si>
    <t xml:space="preserve">GGCCGCCTGAAGCATGGCGT</t>
  </si>
  <si>
    <t xml:space="preserve">TAGTGGCCGCCTGAAGCATGGCGT</t>
  </si>
  <si>
    <t xml:space="preserve">AAACACGCCATGCTTCAGGCGGCC</t>
  </si>
  <si>
    <t xml:space="preserve">PSPPH_2022</t>
  </si>
  <si>
    <t xml:space="preserve">kdpE</t>
  </si>
  <si>
    <t xml:space="preserve">TGACCAGAATGGTTGCCGCC</t>
  </si>
  <si>
    <t xml:space="preserve">TAGTTGACCAGAATGGTTGCCGCC</t>
  </si>
  <si>
    <t xml:space="preserve">AAACGGCGGCAACCATTCTGGTCA</t>
  </si>
  <si>
    <t xml:space="preserve">CGCAAAAATTTGCGAATCTG</t>
  </si>
  <si>
    <t xml:space="preserve">TAGTCGCAAAAATTTGCGAATCTG</t>
  </si>
  <si>
    <t xml:space="preserve">AAACCAGATTCGCAAATTTTTGCG</t>
  </si>
  <si>
    <t xml:space="preserve">GGTCAGGCCATCCCCGCCGG</t>
  </si>
  <si>
    <t xml:space="preserve">TAGTGGTCAGGCCATCCCCGCCGG</t>
  </si>
  <si>
    <t xml:space="preserve">AAACCCGGCGGGGATGGCCTGACC</t>
  </si>
  <si>
    <t xml:space="preserve">CGGCTTGTTCAATGCCGCCT</t>
  </si>
  <si>
    <t xml:space="preserve">TAGTCGGCTTGTTCAATGCCGCCT</t>
  </si>
  <si>
    <t xml:space="preserve">AAACAGGCGGCATTGAACAAGCCG</t>
  </si>
  <si>
    <t xml:space="preserve">PSPPH_2023</t>
  </si>
  <si>
    <t xml:space="preserve">AGACAGATAAAGGCTTTCAT</t>
  </si>
  <si>
    <t xml:space="preserve">TAGTAGACAGATAAAGGCTTTCAT</t>
  </si>
  <si>
    <t xml:space="preserve">AAACATGAAAGCCTTTATCTGTCT</t>
  </si>
  <si>
    <t xml:space="preserve">GCAAGAACCAAGACAAGCAA</t>
  </si>
  <si>
    <t xml:space="preserve">TAGTGCAAGAACCAAGACAAGCAA</t>
  </si>
  <si>
    <t xml:space="preserve">AAACTTGCTTGTCTTGGTTCTTGC</t>
  </si>
  <si>
    <t xml:space="preserve">GGCGCAGCTGTCTCGATACC</t>
  </si>
  <si>
    <t xml:space="preserve">TAGTGGCGCAGCTGTCTCGATACC</t>
  </si>
  <si>
    <t xml:space="preserve">AAACGGTATCGAGACAGCTGCGCC</t>
  </si>
  <si>
    <t xml:space="preserve">CCAGGCAGCGTCTATCTGGG</t>
  </si>
  <si>
    <t xml:space="preserve">TAGTCCAGGCAGCGTCTATCTGGG</t>
  </si>
  <si>
    <t xml:space="preserve">AAACCCCAGATAGACGCTGCCTGG</t>
  </si>
  <si>
    <t xml:space="preserve">PSPPH_2024</t>
  </si>
  <si>
    <t xml:space="preserve">CCACTTCATTGATGGCGCTC</t>
  </si>
  <si>
    <t xml:space="preserve">TAGTCCACTTCATTGATGGCGCTC</t>
  </si>
  <si>
    <t xml:space="preserve">AAACGAGCGCCATCAATGAAGTGG</t>
  </si>
  <si>
    <t xml:space="preserve">AGCGTGGTCTTGCCCATCCC</t>
  </si>
  <si>
    <t xml:space="preserve">TAGTAGCGTGGTCTTGCCCATCCC</t>
  </si>
  <si>
    <t xml:space="preserve">AAACGGGATGGGCAAGACCACGCT</t>
  </si>
  <si>
    <t xml:space="preserve">CCAGAATTTTCGCCAGCGCA</t>
  </si>
  <si>
    <t xml:space="preserve">TAGTCCAGAATTTTCGCCAGCGCA</t>
  </si>
  <si>
    <t xml:space="preserve">AAACTGCGCTGGCGAAAATTCTGG</t>
  </si>
  <si>
    <t xml:space="preserve">ACTGAATGCGCTGATAACTC</t>
  </si>
  <si>
    <t xml:space="preserve">TAGTACTGAATGCGCTGATAACTC</t>
  </si>
  <si>
    <t xml:space="preserve">AAACGAGTTATCAGCGCATTCAGT</t>
  </si>
  <si>
    <t xml:space="preserve">PSPPH_2025</t>
  </si>
  <si>
    <t xml:space="preserve">CGTTGCCAAAACGGTTTGAG</t>
  </si>
  <si>
    <t xml:space="preserve">TAGTCGTTGCCAAAACGGTTTGAG</t>
  </si>
  <si>
    <t xml:space="preserve">AAACCTCAAACCGTTTTGGCAACG</t>
  </si>
  <si>
    <t xml:space="preserve">AGCGTGATGCGTGACGCCGG</t>
  </si>
  <si>
    <t xml:space="preserve">TAGTAGCGTGATGCGTGACGCCGG</t>
  </si>
  <si>
    <t xml:space="preserve">AAACCCGGCGTCACGCATCACGCT</t>
  </si>
  <si>
    <t xml:space="preserve">GCATGATGAAGATGCGCCGA</t>
  </si>
  <si>
    <t xml:space="preserve">TAGTGCATGATGAAGATGCGCCGA</t>
  </si>
  <si>
    <t xml:space="preserve">AAACTCGGCGCATCTTCATCATGC</t>
  </si>
  <si>
    <t xml:space="preserve">AAGGTCATGCCGGTGCGCGT</t>
  </si>
  <si>
    <t xml:space="preserve">TAGTAAGGTCATGCCGGTGCGCGT</t>
  </si>
  <si>
    <t xml:space="preserve">AAACACGCGCACCGGCATGACCTT</t>
  </si>
  <si>
    <t xml:space="preserve">PSPPH_2026</t>
  </si>
  <si>
    <t xml:space="preserve">CCTGACTTGATCCAGGTGCC</t>
  </si>
  <si>
    <t xml:space="preserve">TAGTCCTGACTTGATCCAGGTGCC</t>
  </si>
  <si>
    <t xml:space="preserve">AAACGGCACCTGGATCAAGTCAGG</t>
  </si>
  <si>
    <t xml:space="preserve">ACGCGCCAGATACACGCCAC</t>
  </si>
  <si>
    <t xml:space="preserve">TAGTACGCGCCAGATACACGCCAC</t>
  </si>
  <si>
    <t xml:space="preserve">AAACGTGGCGTGTATCTGGCGCGT</t>
  </si>
  <si>
    <t xml:space="preserve">CACCGGCATCCAGCCCGACA</t>
  </si>
  <si>
    <t xml:space="preserve">TAGTCACCGGCATCCAGCCCGACA</t>
  </si>
  <si>
    <t xml:space="preserve">AAACTGTCGGGCTGGATGCCGGTG</t>
  </si>
  <si>
    <t xml:space="preserve">TCAGCACCCGAGCGTCGCGA</t>
  </si>
  <si>
    <t xml:space="preserve">TAGTTCAGCACCCGAGCGTCGCGA</t>
  </si>
  <si>
    <t xml:space="preserve">AAACTCGCGACGCTCGGGTGCTGA</t>
  </si>
  <si>
    <t xml:space="preserve">PSPPH_2027</t>
  </si>
  <si>
    <t xml:space="preserve">ACCAGATGATCCACCATTGA</t>
  </si>
  <si>
    <t xml:space="preserve">TAGTACCAGATGATCCACCATTGA</t>
  </si>
  <si>
    <t xml:space="preserve">AAACTCAATGGTGGATCATCTGGT</t>
  </si>
  <si>
    <t xml:space="preserve">GACATCCAGCGCCAGCACCT</t>
  </si>
  <si>
    <t xml:space="preserve">TAGTGACATCCAGCGCCAGCACCT</t>
  </si>
  <si>
    <t xml:space="preserve">AAACAGGTGCTGGCGCTGGATGTC</t>
  </si>
  <si>
    <t xml:space="preserve">TCGAAACCGCAAGGCGTGCC</t>
  </si>
  <si>
    <t xml:space="preserve">TAGTTCGAAACCGCAAGGCGTGCC</t>
  </si>
  <si>
    <t xml:space="preserve">AAACGGCACGCCTTGCGGTTTCGA</t>
  </si>
  <si>
    <t xml:space="preserve">GCTACGCAGACGACGCACGG</t>
  </si>
  <si>
    <t xml:space="preserve">TAGTGCTACGCAGACGACGCACGG</t>
  </si>
  <si>
    <t xml:space="preserve">AAACCCGTGCGTCGTCTGCGTAGC</t>
  </si>
  <si>
    <t xml:space="preserve">PSPPH_2028</t>
  </si>
  <si>
    <t xml:space="preserve">CAGGGATCGTGACAGCACGC</t>
  </si>
  <si>
    <t xml:space="preserve">TAGTCAGGGATCGTGACAGCACGC</t>
  </si>
  <si>
    <t xml:space="preserve">AAACGCGTGCTGTCACGATCCCTG</t>
  </si>
  <si>
    <t xml:space="preserve">GGCGCGCCCCTGGGACCATT</t>
  </si>
  <si>
    <t xml:space="preserve">TAGTGGCGCGCCCCTGGGACCATT</t>
  </si>
  <si>
    <t xml:space="preserve">AAACAATGGTCCCAGGGGCGCGCC</t>
  </si>
  <si>
    <t xml:space="preserve">CGGGCGCCCTTCCGGCACCT</t>
  </si>
  <si>
    <t xml:space="preserve">TAGTCGGGCGCCCTTCCGGCACCT</t>
  </si>
  <si>
    <t xml:space="preserve">AAACAGGTGCCGGAAGGGCGCCCG</t>
  </si>
  <si>
    <t xml:space="preserve">GTAATCGCCAGCGAGCGAAC</t>
  </si>
  <si>
    <t xml:space="preserve">TAGTGTAATCGCCAGCGAGCGAAC</t>
  </si>
  <si>
    <t xml:space="preserve">AAACGTTCGCTCGCTGGCGATTAC</t>
  </si>
  <si>
    <t xml:space="preserve">PSPPH_2029</t>
  </si>
  <si>
    <t xml:space="preserve">TTGAGCTGCAGATCGGAAAG</t>
  </si>
  <si>
    <t xml:space="preserve">TAGTTTGAGCTGCAGATCGGAAAG</t>
  </si>
  <si>
    <t xml:space="preserve">AAACCTTTCCGATCTGCAGCTCAA</t>
  </si>
  <si>
    <t xml:space="preserve">AATCAGGTACATGGCCAGGC</t>
  </si>
  <si>
    <t xml:space="preserve">TAGTAATCAGGTACATGGCCAGGC</t>
  </si>
  <si>
    <t xml:space="preserve">AAACGCCTGGCCATGTACCTGATT</t>
  </si>
  <si>
    <t xml:space="preserve">CGCCAGAATGAACAATGGTA</t>
  </si>
  <si>
    <t xml:space="preserve">TAGTCGCCAGAATGAACAATGGTA</t>
  </si>
  <si>
    <t xml:space="preserve">AAACTACCATTGTTCATTCTGGCG</t>
  </si>
  <si>
    <t xml:space="preserve">CAGGCCGTTGAGTATCAGCA</t>
  </si>
  <si>
    <t xml:space="preserve">TAGTCAGGCCGTTGAGTATCAGCA</t>
  </si>
  <si>
    <t xml:space="preserve">AAACTGCTGATACTCAACGGCCTG</t>
  </si>
  <si>
    <t xml:space="preserve">PSPPH_2030</t>
  </si>
  <si>
    <t xml:space="preserve">AGAATTTATATTTCAGTGAC</t>
  </si>
  <si>
    <t xml:space="preserve">TAGTAGAATTTATATTTCAGTGAC</t>
  </si>
  <si>
    <t xml:space="preserve">AAACGTCACTGAAATATAAATTCT</t>
  </si>
  <si>
    <t xml:space="preserve">GACGAAGGCGACCGCATTCA</t>
  </si>
  <si>
    <t xml:space="preserve">TAGTGACGAAGGCGACCGCATTCA</t>
  </si>
  <si>
    <t xml:space="preserve">AAACTGAATGCGGTCGCCTTCGTC</t>
  </si>
  <si>
    <t xml:space="preserve">GGCGTAAAGCACCAGCAACA</t>
  </si>
  <si>
    <t xml:space="preserve">TAGTGGCGTAAAGCACCAGCAACA</t>
  </si>
  <si>
    <t xml:space="preserve">AAACTGTTGCTGGTGCTTTACGCC</t>
  </si>
  <si>
    <t xml:space="preserve">TGCCTGCTGTTCTGCTTGCA</t>
  </si>
  <si>
    <t xml:space="preserve">TAGTTGCCTGCTGTTCTGCTTGCA</t>
  </si>
  <si>
    <t xml:space="preserve">AAACTGCAAGCAGAACAGCAGGCA</t>
  </si>
  <si>
    <t xml:space="preserve">PSPPH_2031</t>
  </si>
  <si>
    <t xml:space="preserve">tatD</t>
  </si>
  <si>
    <t xml:space="preserve">GCCGATGTCGATGAGTTGCA</t>
  </si>
  <si>
    <t xml:space="preserve">TAGTGCCGATGTCGATGAGTTGCA</t>
  </si>
  <si>
    <t xml:space="preserve">AAACTGCAACTCATCGACATCGGC</t>
  </si>
  <si>
    <t xml:space="preserve">TTGCGAGGCGAAGCTTGCGT</t>
  </si>
  <si>
    <t xml:space="preserve">TAGTTTGCGAGGCGAAGCTTGCGT</t>
  </si>
  <si>
    <t xml:space="preserve">AAACACGCAAGCTTCGCCTCGCAA</t>
  </si>
  <si>
    <t xml:space="preserve">TTGCTCGACGCCTGCGGCAT</t>
  </si>
  <si>
    <t xml:space="preserve">TAGTTTGCTCGACGCCTGCGGCAT</t>
  </si>
  <si>
    <t xml:space="preserve">AAACATGCCGCAGGCGTCGAGCAA</t>
  </si>
  <si>
    <t xml:space="preserve">GCTGCCCTCGACGCTGGTGC</t>
  </si>
  <si>
    <t xml:space="preserve">TAGTGCTGCCCTCGACGCTGGTGC</t>
  </si>
  <si>
    <t xml:space="preserve">AAACGCACCAGCGTCGAGGGCAGC</t>
  </si>
  <si>
    <t xml:space="preserve">PSPPH_2032</t>
  </si>
  <si>
    <t xml:space="preserve">TAAAAGACACAAGCGCGGAT</t>
  </si>
  <si>
    <t xml:space="preserve">TAGTTAAAAGACACAAGCGCGGAT</t>
  </si>
  <si>
    <t xml:space="preserve">AAACATCCGCGCTTGTGTCTTTTA</t>
  </si>
  <si>
    <t xml:space="preserve">TGACGAGCAGAAACCTGCAG</t>
  </si>
  <si>
    <t xml:space="preserve">TAGTTGACGAGCAGAAACCTGCAG</t>
  </si>
  <si>
    <t xml:space="preserve">AAACCTGCAGGTTTCTGCTCGTCA</t>
  </si>
  <si>
    <t xml:space="preserve">CGTTGTGCTGCACGGCCTGT</t>
  </si>
  <si>
    <t xml:space="preserve">TAGTCGTTGTGCTGCACGGCCTGT</t>
  </si>
  <si>
    <t xml:space="preserve">AAACACAGGCCGTGCAGCACAACG</t>
  </si>
  <si>
    <t xml:space="preserve">ACCTTGCTGCTGCGAATGGC</t>
  </si>
  <si>
    <t xml:space="preserve">TAGTACCTTGCTGCTGCGAATGGC</t>
  </si>
  <si>
    <t xml:space="preserve">AAACGCCATTCGCAGCAGCAAGGT</t>
  </si>
  <si>
    <t xml:space="preserve">PSPPH_2035</t>
  </si>
  <si>
    <t xml:space="preserve">AAGCCAGCCCGGAAAGCGTC</t>
  </si>
  <si>
    <t xml:space="preserve">TAGTAAGCCAGCCCGGAAAGCGTC</t>
  </si>
  <si>
    <t xml:space="preserve">AAACGACGCTTTCCGGGCTGGCTT</t>
  </si>
  <si>
    <t xml:space="preserve">CGTCGCGTTTCTGGCCTGAA</t>
  </si>
  <si>
    <t xml:space="preserve">TAGTCGTCGCGTTTCTGGCCTGAA</t>
  </si>
  <si>
    <t xml:space="preserve">AAACTTCAGGCCAGAAACGCGACG</t>
  </si>
  <si>
    <t xml:space="preserve">AGCCTGCGCACCACTGGCAA</t>
  </si>
  <si>
    <t xml:space="preserve">TAGTAGCCTGCGCACCACTGGCAA</t>
  </si>
  <si>
    <t xml:space="preserve">AAACTTGCCAGTGGTGCGCAGGCT</t>
  </si>
  <si>
    <t xml:space="preserve">ACGGGTAACGCCTGACAGCT</t>
  </si>
  <si>
    <t xml:space="preserve">TAGTACGGGTAACGCCTGACAGCT</t>
  </si>
  <si>
    <t xml:space="preserve">AAACAGCTGTCAGGCGTTACCCGT</t>
  </si>
  <si>
    <t xml:space="preserve">PSPPH_2036</t>
  </si>
  <si>
    <t xml:space="preserve">greB1</t>
  </si>
  <si>
    <t xml:space="preserve">CAGGGCTTCATGCCCGCCCC</t>
  </si>
  <si>
    <t xml:space="preserve">TAGTCAGGGCTTCATGCCCGCCCC</t>
  </si>
  <si>
    <t xml:space="preserve">AAACGGGGCGGGCATGAAGCCCTG</t>
  </si>
  <si>
    <t xml:space="preserve">CAGGCCGGTGCTCTCGCCAC</t>
  </si>
  <si>
    <t xml:space="preserve">TAGTCAGGCCGGTGCTCTCGCCAC</t>
  </si>
  <si>
    <t xml:space="preserve">AAACGTGGCGAGAGCACCGGCCTG</t>
  </si>
  <si>
    <t xml:space="preserve">ATCACCCAACGACGCTGCCC</t>
  </si>
  <si>
    <t xml:space="preserve">TAGTATCACCCAACGACGCTGCCC</t>
  </si>
  <si>
    <t xml:space="preserve">AAACGGGCAGCGTCGTTGGGTGAT</t>
  </si>
  <si>
    <t xml:space="preserve">GCAGCAGTTTCTTGTTGTAC</t>
  </si>
  <si>
    <t xml:space="preserve">TAGTGCAGCAGTTTCTTGTTGTAC</t>
  </si>
  <si>
    <t xml:space="preserve">AAACGTACAACAAGAAACTGCTGC</t>
  </si>
  <si>
    <t xml:space="preserve">PSPPH_2037</t>
  </si>
  <si>
    <t xml:space="preserve">AGGCTTAGCAGACGGGCAAA</t>
  </si>
  <si>
    <t xml:space="preserve">TAGTAGGCTTAGCAGACGGGCAAA</t>
  </si>
  <si>
    <t xml:space="preserve">AAACTTTGCCCGTCTGCTAAGCCT</t>
  </si>
  <si>
    <t xml:space="preserve">GCAGCAGTTGGCGGGCGGCG</t>
  </si>
  <si>
    <t xml:space="preserve">TAGTGCAGCAGTTGGCGGGCGGCG</t>
  </si>
  <si>
    <t xml:space="preserve">AAACCGCCGCCCGCCAACTGCTGC</t>
  </si>
  <si>
    <t xml:space="preserve">GAACAACACCCGCAACTCTC</t>
  </si>
  <si>
    <t xml:space="preserve">TAGTGAACAACACCCGCAACTCTC</t>
  </si>
  <si>
    <t xml:space="preserve">AAACGAGAGTTGCGGGTGTTGTTC</t>
  </si>
  <si>
    <t xml:space="preserve">GGCAGCCACGGCTACCAGAA</t>
  </si>
  <si>
    <t xml:space="preserve">TAGTGGCAGCCACGGCTACCAGAA</t>
  </si>
  <si>
    <t xml:space="preserve">AAACTTCTGGTAGCCGTGGCTGCC</t>
  </si>
  <si>
    <t xml:space="preserve">PSPPH_2038</t>
  </si>
  <si>
    <t xml:space="preserve">ACTGAGAATACTTTCACTCA</t>
  </si>
  <si>
    <t xml:space="preserve">TAGTACTGAGAATACTTTCACTCA</t>
  </si>
  <si>
    <t xml:space="preserve">AAACTGAGTGAAAGTATTCTCAGT</t>
  </si>
  <si>
    <t xml:space="preserve">GACTACTTTGCTGAGGCTTT</t>
  </si>
  <si>
    <t xml:space="preserve">TAGTGACTACTTTGCTGAGGCTTT</t>
  </si>
  <si>
    <t xml:space="preserve">AAACAAAGCCTCAGCAAAGTAGTC</t>
  </si>
  <si>
    <t xml:space="preserve">TCAGGTCACCTTCGGTGCTG</t>
  </si>
  <si>
    <t xml:space="preserve">TAGTTCAGGTCACCTTCGGTGCTG</t>
  </si>
  <si>
    <t xml:space="preserve">AAACCAGCACCGAAGGTGACCTGA</t>
  </si>
  <si>
    <t xml:space="preserve">CAGGGAGAGTTCGTGCAGGA</t>
  </si>
  <si>
    <t xml:space="preserve">TAGTCAGGGAGAGTTCGTGCAGGA</t>
  </si>
  <si>
    <t xml:space="preserve">AAACTCCTGCACGAACTCTCCCTG</t>
  </si>
  <si>
    <t xml:space="preserve">PSPPH_2039</t>
  </si>
  <si>
    <t xml:space="preserve">CTTAAAAACAACGCACGCAT</t>
  </si>
  <si>
    <t xml:space="preserve">TAGTCTTAAAAACAACGCACGCAT</t>
  </si>
  <si>
    <t xml:space="preserve">AAACATGCGTGCGTTGTTTTTAAG</t>
  </si>
  <si>
    <t xml:space="preserve">GTGACAGCAGCAGTAACCCC</t>
  </si>
  <si>
    <t xml:space="preserve">TAGTGTGACAGCAGCAGTAACCCC</t>
  </si>
  <si>
    <t xml:space="preserve">AAACGGGGTTACTGCTGCTGTCAC</t>
  </si>
  <si>
    <t xml:space="preserve">CAGGCTGACCCACCCCACGC</t>
  </si>
  <si>
    <t xml:space="preserve">TAGTCAGGCTGACCCACCCCACGC</t>
  </si>
  <si>
    <t xml:space="preserve">AAACGCGTGGGGTGGGTCAGCCTG</t>
  </si>
  <si>
    <t xml:space="preserve">ACGCGCCTGGCCCCCGGCAC</t>
  </si>
  <si>
    <t xml:space="preserve">TAGTACGCGCCTGGCCCCCGGCAC</t>
  </si>
  <si>
    <t xml:space="preserve">AAACGTGCCGGGGGCCAGGCGCGT</t>
  </si>
  <si>
    <t xml:space="preserve">PSPPH_2040</t>
  </si>
  <si>
    <t xml:space="preserve">GACCAGGCGGGACGCGGCAT</t>
  </si>
  <si>
    <t xml:space="preserve">TAGTGACCAGGCGGGACGCGGCAT</t>
  </si>
  <si>
    <t xml:space="preserve">AAACATGCCGCGTCCCGCCTGGTC</t>
  </si>
  <si>
    <t xml:space="preserve">AAGCATTTGATAGGCATACA</t>
  </si>
  <si>
    <t xml:space="preserve">TAGTAAGCATTTGATAGGCATACA</t>
  </si>
  <si>
    <t xml:space="preserve">AAACTGTATGCCTATCAAATGCTT</t>
  </si>
  <si>
    <t xml:space="preserve">AACAGATCCAGCTGCTCATG</t>
  </si>
  <si>
    <t xml:space="preserve">TAGTAACAGATCCAGCTGCTCATG</t>
  </si>
  <si>
    <t xml:space="preserve">AAACCATGAGCAGCTGGATCTGTT</t>
  </si>
  <si>
    <t xml:space="preserve">ATGGACGCGCACTTCCTGAC</t>
  </si>
  <si>
    <t xml:space="preserve">TAGTATGGACGCGCACTTCCTGAC</t>
  </si>
  <si>
    <t xml:space="preserve">AAACGTCAGGAAGTGCGCGTCCAT</t>
  </si>
  <si>
    <t xml:space="preserve">PSPPH_2041</t>
  </si>
  <si>
    <t xml:space="preserve">GACAGACAGCGGGTAACGGC</t>
  </si>
  <si>
    <t xml:space="preserve">TAGTGACAGACAGCGGGTAACGGC</t>
  </si>
  <si>
    <t xml:space="preserve">AAACGCCGTTACCCGCTGTCTGTC</t>
  </si>
  <si>
    <t xml:space="preserve">GCAACGGAAATTCCAGAGCA</t>
  </si>
  <si>
    <t xml:space="preserve">TAGTGCAACGGAAATTCCAGAGCA</t>
  </si>
  <si>
    <t xml:space="preserve">AAACTGCTCTGGAATTTCCGTTGC</t>
  </si>
  <si>
    <t xml:space="preserve">ACGATGTCCTCGCCGGGCGG</t>
  </si>
  <si>
    <t xml:space="preserve">TAGTACGATGTCCTCGCCGGGCGG</t>
  </si>
  <si>
    <t xml:space="preserve">AAACCCGCCCGGCGAGGACATCGT</t>
  </si>
  <si>
    <t xml:space="preserve">TGGCCTTGATGACCTGCACC</t>
  </si>
  <si>
    <t xml:space="preserve">TAGTTGGCCTTGATGACCTGCACC</t>
  </si>
  <si>
    <t xml:space="preserve">AAACGGTGCAGGTCATCAAGGCCA</t>
  </si>
  <si>
    <t xml:space="preserve">PSPPH_2042</t>
  </si>
  <si>
    <t xml:space="preserve">oprI</t>
  </si>
  <si>
    <t xml:space="preserve">GCAACCGGTAGCCAGAACTG</t>
  </si>
  <si>
    <t xml:space="preserve">TAGTGCAACCGGTAGCCAGAACTG</t>
  </si>
  <si>
    <t xml:space="preserve">AAACCAGTTCTGGCTACCGGTTGC</t>
  </si>
  <si>
    <t xml:space="preserve">CAGACGAGCTTCGGTTTCTT</t>
  </si>
  <si>
    <t xml:space="preserve">TAGTCAGACGAGCTTCGGTTTCTT</t>
  </si>
  <si>
    <t xml:space="preserve">AAACAAGAAACCGAAGCTCGTCTG</t>
  </si>
  <si>
    <t xml:space="preserve">CGAACGAGCTGCTGCGTCTT</t>
  </si>
  <si>
    <t xml:space="preserve">TAGTCGAACGAGCTGCTGCGTCTT</t>
  </si>
  <si>
    <t xml:space="preserve">AAACAAGACGCAGCAGCTCGTTCG</t>
  </si>
  <si>
    <t xml:space="preserve">AGCCTTGCGGTAGGCTTCGT</t>
  </si>
  <si>
    <t xml:space="preserve">TAGTAGCCTTGCGGTAGGCTTCGT</t>
  </si>
  <si>
    <t xml:space="preserve">AAACACGAAGCCTACCGCAAGGCT</t>
  </si>
  <si>
    <t xml:space="preserve">PSPPH_2043</t>
  </si>
  <si>
    <t xml:space="preserve">GCCGACTTCGTCATGGTGGA</t>
  </si>
  <si>
    <t xml:space="preserve">TAGTGCCGACTTCGTCATGGTGGA</t>
  </si>
  <si>
    <t xml:space="preserve">AAACTCCACCATGACGAAGTCGGC</t>
  </si>
  <si>
    <t xml:space="preserve">CGATAATGATTTCGAAATGG</t>
  </si>
  <si>
    <t xml:space="preserve">TAGTCGATAATGATTTCGAAATGG</t>
  </si>
  <si>
    <t xml:space="preserve">AAACCCATTTCGAAATCATTATCG</t>
  </si>
  <si>
    <t xml:space="preserve">CCATGTACGTCAGGTAGGCA</t>
  </si>
  <si>
    <t xml:space="preserve">TAGTCCATGTACGTCAGGTAGGCA</t>
  </si>
  <si>
    <t xml:space="preserve">AAACTGCCTACCTGACGTACATGG</t>
  </si>
  <si>
    <t xml:space="preserve">AGGCATCGGGCACAAAGGTC</t>
  </si>
  <si>
    <t xml:space="preserve">TAGTAGGCATCGGGCACAAAGGTC</t>
  </si>
  <si>
    <t xml:space="preserve">AAACGACCTTTGTGCCCGATGCCT</t>
  </si>
  <si>
    <t xml:space="preserve">PSPPH_2044</t>
  </si>
  <si>
    <t xml:space="preserve">GCAACGTTAAGGTCGTCAAT</t>
  </si>
  <si>
    <t xml:space="preserve">TAGTGCAACGTTAAGGTCGTCAAT</t>
  </si>
  <si>
    <t xml:space="preserve">AAACATTGACGACCTTAACGTTGC</t>
  </si>
  <si>
    <t xml:space="preserve">GGTGATCAGAGTCTCGTTGG</t>
  </si>
  <si>
    <t xml:space="preserve">TAGTGGTGATCAGAGTCTCGTTGG</t>
  </si>
  <si>
    <t xml:space="preserve">AAACCCAACGAGACTCTGATCACC</t>
  </si>
  <si>
    <t xml:space="preserve">GTCGCGCTTGAGCTGATCCG</t>
  </si>
  <si>
    <t xml:space="preserve">TAGTGTCGCGCTTGAGCTGATCCG</t>
  </si>
  <si>
    <t xml:space="preserve">AAACCGGATCAGCTCAAGCGCGAC</t>
  </si>
  <si>
    <t xml:space="preserve">GCAGGGCGGCGTCGGTCAGA</t>
  </si>
  <si>
    <t xml:space="preserve">TAGTGCAGGGCGGCGTCGGTCAGA</t>
  </si>
  <si>
    <t xml:space="preserve">AAACTCTGACCGACGCCGCCCTGC</t>
  </si>
  <si>
    <t xml:space="preserve">PSPPH_2045</t>
  </si>
  <si>
    <t xml:space="preserve">panE1</t>
  </si>
  <si>
    <t xml:space="preserve">AACGCCGACACGCGGACGAC</t>
  </si>
  <si>
    <t xml:space="preserve">TAGTAACGCCGACACGCGGACGAC</t>
  </si>
  <si>
    <t xml:space="preserve">AAACGTCGTCCGCGTGTCGGCGTT</t>
  </si>
  <si>
    <t xml:space="preserve">GTAAAAGCCGCCGATGGCAC</t>
  </si>
  <si>
    <t xml:space="preserve">TAGTGTAAAAGCCGCCGATGGCAC</t>
  </si>
  <si>
    <t xml:space="preserve">AAACGTGCCATCGGCGGCTTTTAC</t>
  </si>
  <si>
    <t xml:space="preserve">CAGAAAATGCACGTCGTATC</t>
  </si>
  <si>
    <t xml:space="preserve">TAGTCAGAAAATGCACGTCGTATC</t>
  </si>
  <si>
    <t xml:space="preserve">AAACGATACGACGTGCATTTTCTG</t>
  </si>
  <si>
    <t xml:space="preserve">GCCGAGCGATAGGCTTGAAC</t>
  </si>
  <si>
    <t xml:space="preserve">TAGTGCCGAGCGATAGGCTTGAAC</t>
  </si>
  <si>
    <t xml:space="preserve">AAACGTTCAAGCCTATCGCTCGGC</t>
  </si>
  <si>
    <t xml:space="preserve">PSPPH_2046</t>
  </si>
  <si>
    <t xml:space="preserve">AAATCGCCAGGACAAGCTTA</t>
  </si>
  <si>
    <t xml:space="preserve">TAGTAAATCGCCAGGACAAGCTTA</t>
  </si>
  <si>
    <t xml:space="preserve">AAACTAAGCTTGTCCTGGCGATTT</t>
  </si>
  <si>
    <t xml:space="preserve">CGTCGGCCATATACACCTCG</t>
  </si>
  <si>
    <t xml:space="preserve">TAGTCGTCGGCCATATACACCTCG</t>
  </si>
  <si>
    <t xml:space="preserve">AAACCGAGGTGTATATGGCCGACG</t>
  </si>
  <si>
    <t xml:space="preserve">CTCAATCTGATACTTGCGGT</t>
  </si>
  <si>
    <t xml:space="preserve">TAGTCTCAATCTGATACTTGCGGT</t>
  </si>
  <si>
    <t xml:space="preserve">AAACACCGCAAGTATCAGATTGAG</t>
  </si>
  <si>
    <t xml:space="preserve">TCAGAAGTTTTTCAACCAAC</t>
  </si>
  <si>
    <t xml:space="preserve">TAGTTCAGAAGTTTTTCAACCAAC</t>
  </si>
  <si>
    <t xml:space="preserve">AAACGTTGGTTGAAAAACTTCTGA</t>
  </si>
  <si>
    <t xml:space="preserve">PSPPH_2047</t>
  </si>
  <si>
    <t xml:space="preserve">CGCGTACAGACCAAGGTCTG</t>
  </si>
  <si>
    <t xml:space="preserve">TAGTCGCGTACAGACCAAGGTCTG</t>
  </si>
  <si>
    <t xml:space="preserve">AAACCAGACCTTGGTCTGTACGCG</t>
  </si>
  <si>
    <t xml:space="preserve">AGCGCGTGCTGCGTTACATA</t>
  </si>
  <si>
    <t xml:space="preserve">TAGTAGCGCGTGCTGCGTTACATA</t>
  </si>
  <si>
    <t xml:space="preserve">AAACTATGTAACGCAGCACGCGCT</t>
  </si>
  <si>
    <t xml:space="preserve">GGCCCATCGGCTCAACGACA</t>
  </si>
  <si>
    <t xml:space="preserve">TAGTGGCCCATCGGCTCAACGACA</t>
  </si>
  <si>
    <t xml:space="preserve">AAACTGTCGTTGAGCCGATGGGCC</t>
  </si>
  <si>
    <t xml:space="preserve">ATGACTCTGCAGTACCGACT</t>
  </si>
  <si>
    <t xml:space="preserve">TAGTATGACTCTGCAGTACCGACT</t>
  </si>
  <si>
    <t xml:space="preserve">AAACAGTCGGTACTGCAGAGTCAT</t>
  </si>
  <si>
    <t xml:space="preserve">PSPPH_2048</t>
  </si>
  <si>
    <t xml:space="preserve">cysB</t>
  </si>
  <si>
    <t xml:space="preserve">CCCAAATGTAGCGCAGTTGT</t>
  </si>
  <si>
    <t xml:space="preserve">TAGTCCCAAATGTAGCGCAGTTGT</t>
  </si>
  <si>
    <t xml:space="preserve">AAACACAACTGCGCTACATTTGGG</t>
  </si>
  <si>
    <t xml:space="preserve">TCGCAGAAACGTTGAGGTCG</t>
  </si>
  <si>
    <t xml:space="preserve">TAGTTCGCAGAAACGTTGAGGTCG</t>
  </si>
  <si>
    <t xml:space="preserve">AAACCGACCTCAACGTTTCTGCGA</t>
  </si>
  <si>
    <t xml:space="preserve">CTGGGAGGTGTAAAGGCTCT</t>
  </si>
  <si>
    <t xml:space="preserve">TAGTCTGGGAGGTGTAAAGGCTCT</t>
  </si>
  <si>
    <t xml:space="preserve">AAACAGAGCCTTTACACCTCCCAG</t>
  </si>
  <si>
    <t xml:space="preserve">CGAATCTGCTTGCTGATGCC</t>
  </si>
  <si>
    <t xml:space="preserve">TAGTCGAATCTGCTTGCTGATGCC</t>
  </si>
  <si>
    <t xml:space="preserve">AAACGGCATCAGCAAGCAGATTCG</t>
  </si>
  <si>
    <t xml:space="preserve">PSPPH_2049</t>
  </si>
  <si>
    <t xml:space="preserve">GTTCAGCGACGTCGAAAGGT</t>
  </si>
  <si>
    <t xml:space="preserve">TAGTGTTCAGCGACGTCGAAAGGT</t>
  </si>
  <si>
    <t xml:space="preserve">AAACACCTTTCGACGTCGCTGAAC</t>
  </si>
  <si>
    <t xml:space="preserve">TTGTGCAGACTTGTTCGCAT</t>
  </si>
  <si>
    <t xml:space="preserve">TAGTTTGTGCAGACTTGTTCGCAT</t>
  </si>
  <si>
    <t xml:space="preserve">AAACATGCGAACAAGTCTGCACAA</t>
  </si>
  <si>
    <t xml:space="preserve">TTCATCACCGAAGTGTTCGA</t>
  </si>
  <si>
    <t xml:space="preserve">TAGTTTCATCACCGAAGTGTTCGA</t>
  </si>
  <si>
    <t xml:space="preserve">AAACTCGAACACTTCGGTGATGAA</t>
  </si>
  <si>
    <t xml:space="preserve">GACGTCTTCGGCGCCGCTGA</t>
  </si>
  <si>
    <t xml:space="preserve">TAGTGACGTCTTCGGCGCCGCTGA</t>
  </si>
  <si>
    <t xml:space="preserve">AAACTCAGCGGCGCCGAAGACGTC</t>
  </si>
  <si>
    <t xml:space="preserve">PSPPH_2050</t>
  </si>
  <si>
    <t xml:space="preserve">thrH</t>
  </si>
  <si>
    <t xml:space="preserve">CACACCTTCCAGGTCCAGAC</t>
  </si>
  <si>
    <t xml:space="preserve">TAGTCACACCTTCCAGGTCCAGAC</t>
  </si>
  <si>
    <t xml:space="preserve">AAACGTCTGGACCTGGAAGGTGTG</t>
  </si>
  <si>
    <t xml:space="preserve">CAAAGGCGATCCATATTTCC</t>
  </si>
  <si>
    <t xml:space="preserve">TAGTCAAAGGCGATCCATATTTCC</t>
  </si>
  <si>
    <t xml:space="preserve">AAACGGAAATATGGATCGCCTTTG</t>
  </si>
  <si>
    <t xml:space="preserve">TGATTCGATACCGGTTTTTT</t>
  </si>
  <si>
    <t xml:space="preserve">TAGTTGATTCGATACCGGTTTTTT</t>
  </si>
  <si>
    <t xml:space="preserve">AAACAAAAAACCGGTATCGAATCA</t>
  </si>
  <si>
    <t xml:space="preserve">GTAGTCGGGAATGTCCCGAG</t>
  </si>
  <si>
    <t xml:space="preserve">TAGTGTAGTCGGGAATGTCCCGAG</t>
  </si>
  <si>
    <t xml:space="preserve">AAACCTCGGGACATTCCCGACTAC</t>
  </si>
  <si>
    <t xml:space="preserve">PSPPH_2051</t>
  </si>
  <si>
    <t xml:space="preserve">pabB</t>
  </si>
  <si>
    <t xml:space="preserve">AGGGGGTGTATCGAGCAGAT</t>
  </si>
  <si>
    <t xml:space="preserve">TAGTAGGGGGTGTATCGAGCAGAT</t>
  </si>
  <si>
    <t xml:space="preserve">AAACATCTGCTCGATACACCCCCT</t>
  </si>
  <si>
    <t xml:space="preserve">TCGGGTCGGCGCTGTAGGGC</t>
  </si>
  <si>
    <t xml:space="preserve">TAGTTCGGGTCGGCGCTGTAGGGC</t>
  </si>
  <si>
    <t xml:space="preserve">AAACGCCCTACAGCGCCGACCCGA</t>
  </si>
  <si>
    <t xml:space="preserve">GCACCGCGCCTGGCGCTTCG</t>
  </si>
  <si>
    <t xml:space="preserve">TAGTGCACCGCGCCTGGCGCTTCG</t>
  </si>
  <si>
    <t xml:space="preserve">AAACCGAAGCGCCAGGCGCGGTGC</t>
  </si>
  <si>
    <t xml:space="preserve">TATCGGCCGCGCTCGGCGGC</t>
  </si>
  <si>
    <t xml:space="preserve">TAGTTATCGGCCGCGCTCGGCGGC</t>
  </si>
  <si>
    <t xml:space="preserve">AAACGCCGCCGAGCGCGGCCGATA</t>
  </si>
  <si>
    <t xml:space="preserve">PSPPH_2052</t>
  </si>
  <si>
    <t xml:space="preserve">GCGGGCCTCAAGCGCCTTCC</t>
  </si>
  <si>
    <t xml:space="preserve">TAGTGCGGGCCTCAAGCGCCTTCC</t>
  </si>
  <si>
    <t xml:space="preserve">AAACGGAAGGCGCTTGAGGCCCGC</t>
  </si>
  <si>
    <t xml:space="preserve">GTTGTACTTGAGTACATAGT</t>
  </si>
  <si>
    <t xml:space="preserve">TAGTGTTGTACTTGAGTACATAGT</t>
  </si>
  <si>
    <t xml:space="preserve">AAACACTATGTACTCAAGTACAAC</t>
  </si>
  <si>
    <t xml:space="preserve">TGTCATCGACGACCGGATAA</t>
  </si>
  <si>
    <t xml:space="preserve">TAGTTGTCATCGACGACCGGATAA</t>
  </si>
  <si>
    <t xml:space="preserve">AAACTTATCCGGTCGTCGATGACA</t>
  </si>
  <si>
    <t xml:space="preserve">TGCCGCGATGGCCCGCTCCT</t>
  </si>
  <si>
    <t xml:space="preserve">TAGTTGCCGCGATGGCCCGCTCCT</t>
  </si>
  <si>
    <t xml:space="preserve">AAACAGGAGCGGGCCATCGCGGCA</t>
  </si>
  <si>
    <t xml:space="preserve">PSPPH_2053</t>
  </si>
  <si>
    <t xml:space="preserve">TGGAGTGTAAGAGAGCGCAT</t>
  </si>
  <si>
    <t xml:space="preserve">TAGTTGGAGTGTAAGAGAGCGCAT</t>
  </si>
  <si>
    <t xml:space="preserve">AAACATGCGCTCTCTTACACTCCA</t>
  </si>
  <si>
    <t xml:space="preserve">CAGTGATCAGGATCTTCAGA</t>
  </si>
  <si>
    <t xml:space="preserve">TAGTCAGTGATCAGGATCTTCAGA</t>
  </si>
  <si>
    <t xml:space="preserve">AAACTCTGAAGATCCTGATCACTG</t>
  </si>
  <si>
    <t xml:space="preserve">CGCGATGCCCAGGGTTACAA</t>
  </si>
  <si>
    <t xml:space="preserve">TAGTCGCGATGCCCAGGGTTACAA</t>
  </si>
  <si>
    <t xml:space="preserve">AAACTTGTAACCCTGGGCATCGCG</t>
  </si>
  <si>
    <t xml:space="preserve">GCCGAGCGCCAGTATCTGAT</t>
  </si>
  <si>
    <t xml:space="preserve">TAGTGCCGAGCGCCAGTATCTGAT</t>
  </si>
  <si>
    <t xml:space="preserve">AAACATCAGATACTGGCGCTCGGC</t>
  </si>
  <si>
    <t xml:space="preserve">PSPPH_2054</t>
  </si>
  <si>
    <t xml:space="preserve">AACAGCAGGCAGAGCAGTGT</t>
  </si>
  <si>
    <t xml:space="preserve">TAGTAACAGCAGGCAGAGCAGTGT</t>
  </si>
  <si>
    <t xml:space="preserve">AAACACACTGCTCTGCCTGCTGTT</t>
  </si>
  <si>
    <t xml:space="preserve">GACGCTGGGCAGCAGCAGGC</t>
  </si>
  <si>
    <t xml:space="preserve">TAGTGACGCTGGGCAGCAGCAGGC</t>
  </si>
  <si>
    <t xml:space="preserve">AAACGCCTGCTGCTGCCCAGCGTC</t>
  </si>
  <si>
    <t xml:space="preserve">AGACTGTCTTGTTGGCGGCC</t>
  </si>
  <si>
    <t xml:space="preserve">TAGTAGACTGTCTTGTTGGCGGCC</t>
  </si>
  <si>
    <t xml:space="preserve">AAACGGCCGCCAACAAGACAGTCT</t>
  </si>
  <si>
    <t xml:space="preserve">TGAGGCTGGCGTATTCGTTG</t>
  </si>
  <si>
    <t xml:space="preserve">TAGTTGAGGCTGGCGTATTCGTTG</t>
  </si>
  <si>
    <t xml:space="preserve">AAACCAACGAATACGCCAGCCTCA</t>
  </si>
  <si>
    <t xml:space="preserve">PSPPH_2055</t>
  </si>
  <si>
    <t xml:space="preserve">TCGAAAAACGTTCTCGGAAA</t>
  </si>
  <si>
    <t xml:space="preserve">TAGTTCGAAAAACGTTCTCGGAAA</t>
  </si>
  <si>
    <t xml:space="preserve">AAACTTTCCGAGAACGTTTTTCGA</t>
  </si>
  <si>
    <t xml:space="preserve">AATCTCGCCTTTCACAATAG</t>
  </si>
  <si>
    <t xml:space="preserve">TAGTAATCTCGCCTTTCACAATAG</t>
  </si>
  <si>
    <t xml:space="preserve">AAACCTATTGTGAAAGGCGAGATT</t>
  </si>
  <si>
    <t xml:space="preserve">TTCGGAGATCTTGCTACCAG</t>
  </si>
  <si>
    <t xml:space="preserve">TAGTTTCGGAGATCTTGCTACCAG</t>
  </si>
  <si>
    <t xml:space="preserve">AAACCTGGTAGCAAGATCTCCGAA</t>
  </si>
  <si>
    <t xml:space="preserve">CCGTAGGTGCGAGCCAGCTC</t>
  </si>
  <si>
    <t xml:space="preserve">TAGTCCGTAGGTGCGAGCCAGCTC</t>
  </si>
  <si>
    <t xml:space="preserve">AAACGAGCTGGCTCGCACCTACGG</t>
  </si>
  <si>
    <t xml:space="preserve">PSPPH_2056</t>
  </si>
  <si>
    <t xml:space="preserve">prpB</t>
  </si>
  <si>
    <t xml:space="preserve">GCATCGCGGAAACGCTGGCC</t>
  </si>
  <si>
    <t xml:space="preserve">TAGTGCATCGCGGAAACGCTGGCC</t>
  </si>
  <si>
    <t xml:space="preserve">AAACGGCCAGCGTTTCCGCGATGC</t>
  </si>
  <si>
    <t xml:space="preserve">CACTTGCAACGGCTGTTCAC</t>
  </si>
  <si>
    <t xml:space="preserve">TAGTCACTTGCAACGGCTGTTCAC</t>
  </si>
  <si>
    <t xml:space="preserve">AAACGTGAACAGCCGTTGCAAGTG</t>
  </si>
  <si>
    <t xml:space="preserve">TTTTGCGAGCAGCGCGTGAT</t>
  </si>
  <si>
    <t xml:space="preserve">TAGTTTTTGCGAGCAGCGCGTGAT</t>
  </si>
  <si>
    <t xml:space="preserve">AAACATCACGCGCTGCTCGCAAAA</t>
  </si>
  <si>
    <t xml:space="preserve">AAGGTAGATAGCCTTGAACC</t>
  </si>
  <si>
    <t xml:space="preserve">TAGTAAGGTAGATAGCCTTGAACC</t>
  </si>
  <si>
    <t xml:space="preserve">AAACGGTTCAAGGCTATCTACCTT</t>
  </si>
  <si>
    <t xml:space="preserve">PSPPH_2057</t>
  </si>
  <si>
    <t xml:space="preserve">prpC</t>
  </si>
  <si>
    <t xml:space="preserve">CAATACTTTTGCTTCAGCCA</t>
  </si>
  <si>
    <t xml:space="preserve">TAGTCAATACTTTTGCTTCAGCCA</t>
  </si>
  <si>
    <t xml:space="preserve">AAACTGGCTGAAGCAAAAGTATTG</t>
  </si>
  <si>
    <t xml:space="preserve">GGCCACCTGCCCGCGTAGCC</t>
  </si>
  <si>
    <t xml:space="preserve">TAGTGGCCACCTGCCCGCGTAGCC</t>
  </si>
  <si>
    <t xml:space="preserve">AAACGGCTACGCGGGCAGGTGGCC</t>
  </si>
  <si>
    <t xml:space="preserve">CGTGGACAACGCCGTCTGCC</t>
  </si>
  <si>
    <t xml:space="preserve">TAGTCGTGGACAACGCCGTCTGCC</t>
  </si>
  <si>
    <t xml:space="preserve">AAACGGCAGACGGCGTTGTCCACG</t>
  </si>
  <si>
    <t xml:space="preserve">GCGATAGGTCAGCCCGGCAC</t>
  </si>
  <si>
    <t xml:space="preserve">TAGTGCGATAGGTCAGCCCGGCAC</t>
  </si>
  <si>
    <t xml:space="preserve">AAACGTGCCGGGCTGACCTATCGC</t>
  </si>
  <si>
    <t xml:space="preserve">PSPPH_2058</t>
  </si>
  <si>
    <t xml:space="preserve">acnD</t>
  </si>
  <si>
    <t xml:space="preserve">GGGTGCCAGGAAGCGTTTTG</t>
  </si>
  <si>
    <t xml:space="preserve">TAGTGGGTGCCAGGAAGCGTTTTG</t>
  </si>
  <si>
    <t xml:space="preserve">AAACCAAAACGCTTCCTGGCACCC</t>
  </si>
  <si>
    <t xml:space="preserve">CGCATCGAAATAGTCCAGTC</t>
  </si>
  <si>
    <t xml:space="preserve">TAGTCGCATCGAAATAGTCCAGTC</t>
  </si>
  <si>
    <t xml:space="preserve">AAACGACTGGACTATTTCGATGCG</t>
  </si>
  <si>
    <t xml:space="preserve">GGCAGCGAGGCATAAGCGCC</t>
  </si>
  <si>
    <t xml:space="preserve">TAGTGGCAGCGAGGCATAAGCGCC</t>
  </si>
  <si>
    <t xml:space="preserve">AAACGGCGCTTATGCCTCGCTGCC</t>
  </si>
  <si>
    <t xml:space="preserve">GCCAGCACGCGCGAGGTATA</t>
  </si>
  <si>
    <t xml:space="preserve">TAGTGCCAGCACGCGCGAGGTATA</t>
  </si>
  <si>
    <t xml:space="preserve">AAACTATACCTCGCGCGTGCTGGC</t>
  </si>
  <si>
    <t xml:space="preserve">PSPPH_2059</t>
  </si>
  <si>
    <t xml:space="preserve">prpF</t>
  </si>
  <si>
    <t xml:space="preserve">GTGGCGGGGATGCGGATCTG</t>
  </si>
  <si>
    <t xml:space="preserve">TAGTGTGGCGGGGATGCGGATCTG</t>
  </si>
  <si>
    <t xml:space="preserve">AAACCAGATCCGCATCCCCGCCAC</t>
  </si>
  <si>
    <t xml:space="preserve">GCTGGTGCCACCACGCATGT</t>
  </si>
  <si>
    <t xml:space="preserve">TAGTGCTGGTGCCACCACGCATGT</t>
  </si>
  <si>
    <t xml:space="preserve">AAACACATGCGTGGTGGCACCAGC</t>
  </si>
  <si>
    <t xml:space="preserve">GAATCTGTGCAGCTTCAGGC</t>
  </si>
  <si>
    <t xml:space="preserve">TAGTGAATCTGTGCAGCTTCAGGC</t>
  </si>
  <si>
    <t xml:space="preserve">AAACGCCTGAAGCTGCACAGATTC</t>
  </si>
  <si>
    <t xml:space="preserve">AACGCATCCCGCGCCGATCC</t>
  </si>
  <si>
    <t xml:space="preserve">TAGTAACGCATCCCGCGCCGATCC</t>
  </si>
  <si>
    <t xml:space="preserve">AAACGGATCGGCGCGGGATGCGTT</t>
  </si>
  <si>
    <t xml:space="preserve">PSPPH_2060</t>
  </si>
  <si>
    <t xml:space="preserve">CAGGGTTTCGGCGGTGATAC</t>
  </si>
  <si>
    <t xml:space="preserve">TAGTCAGGGTTTCGGCGGTGATAC</t>
  </si>
  <si>
    <t xml:space="preserve">AAACGTATCACCGCCGAAACCCTG</t>
  </si>
  <si>
    <t xml:space="preserve">CAAATTGTGCCAACAGGCTC</t>
  </si>
  <si>
    <t xml:space="preserve">TAGTCAAATTGTGCCAACAGGCTC</t>
  </si>
  <si>
    <t xml:space="preserve">AAACGAGCCTGTTGGCACAATTTG</t>
  </si>
  <si>
    <t xml:space="preserve">GACGCTGTCGATATAGGGCC</t>
  </si>
  <si>
    <t xml:space="preserve">TAGTGACGCTGTCGATATAGGGCC</t>
  </si>
  <si>
    <t xml:space="preserve">AAACGGCCCTATATCGACAGCGTC</t>
  </si>
  <si>
    <t xml:space="preserve">CGGGCGCACATCGTCCTTGT</t>
  </si>
  <si>
    <t xml:space="preserve">TAGTCGGGCGCACATCGTCCTTGT</t>
  </si>
  <si>
    <t xml:space="preserve">AAACACAAGGACGATGTGCGCCCG</t>
  </si>
  <si>
    <t xml:space="preserve">PSPPH_2061</t>
  </si>
  <si>
    <t xml:space="preserve">ppsA</t>
  </si>
  <si>
    <t xml:space="preserve">GGAAACTACGTACTCTACCA</t>
  </si>
  <si>
    <t xml:space="preserve">TAGTGGAAACTACGTACTCTACCA</t>
  </si>
  <si>
    <t xml:space="preserve">AAACTGGTAGAGTACGTAGTTTCC</t>
  </si>
  <si>
    <t xml:space="preserve">ATGGACGCCGAGCTTATCGA</t>
  </si>
  <si>
    <t xml:space="preserve">TAGTATGGACGCCGAGCTTATCGA</t>
  </si>
  <si>
    <t xml:space="preserve">AAACTCGATAAGCTCGGCGTCCAT</t>
  </si>
  <si>
    <t xml:space="preserve">GGTTGCTGATCATCTCGCCG</t>
  </si>
  <si>
    <t xml:space="preserve">TAGTGGTTGCTGATCATCTCGCCG</t>
  </si>
  <si>
    <t xml:space="preserve">AAACCGGCGAGATGATCAGCAACC</t>
  </si>
  <si>
    <t xml:space="preserve">CTGAGACGCCAGCACCTGCG</t>
  </si>
  <si>
    <t xml:space="preserve">TAGTCTGAGACGCCAGCACCTGCG</t>
  </si>
  <si>
    <t xml:space="preserve">AAACCGCAGGTGCTGGCGTCTCAG</t>
  </si>
  <si>
    <t xml:space="preserve">PSPPH_2062</t>
  </si>
  <si>
    <t xml:space="preserve">TCAAGGCAACGGGAAAAAGC</t>
  </si>
  <si>
    <t xml:space="preserve">TAGTTCAAGGCAACGGGAAAAAGC</t>
  </si>
  <si>
    <t xml:space="preserve">AAACGCTTTTTCCCGTTGCCTTGA</t>
  </si>
  <si>
    <t xml:space="preserve">GACAAGATCGCCGCGACGCT</t>
  </si>
  <si>
    <t xml:space="preserve">TAGTGACAAGATCGCCGCGACGCT</t>
  </si>
  <si>
    <t xml:space="preserve">AAACAGCGTCGCGGCGATCTTGTC</t>
  </si>
  <si>
    <t xml:space="preserve">GGCTGTTGGCTGGCTTGAGA</t>
  </si>
  <si>
    <t xml:space="preserve">TAGTGGCTGTTGGCTGGCTTGAGA</t>
  </si>
  <si>
    <t xml:space="preserve">AAACTCTCAAGCCAGCCAACAGCC</t>
  </si>
  <si>
    <t xml:space="preserve">CCAGTTCGACGCTGGGGTCG</t>
  </si>
  <si>
    <t xml:space="preserve">TAGTCCAGTTCGACGCTGGGGTCG</t>
  </si>
  <si>
    <t xml:space="preserve">AAACCGACCCCAGCGTCGAACTGG</t>
  </si>
  <si>
    <t xml:space="preserve">PSPPH_2063</t>
  </si>
  <si>
    <t xml:space="preserve">ATAGGCGTCACACAGATCGG</t>
  </si>
  <si>
    <t xml:space="preserve">TAGTATAGGCGTCACACAGATCGG</t>
  </si>
  <si>
    <t xml:space="preserve">AAACCCGATCTGTGTGACGCCTAT</t>
  </si>
  <si>
    <t xml:space="preserve">TCCACGACCTGAATCAGGTC</t>
  </si>
  <si>
    <t xml:space="preserve">TAGTTCCACGACCTGAATCAGGTC</t>
  </si>
  <si>
    <t xml:space="preserve">AAACGACCTGATTCAGGTCGTGGA</t>
  </si>
  <si>
    <t xml:space="preserve">CCGCCAAAATTGCTGAACAT</t>
  </si>
  <si>
    <t xml:space="preserve">TAGTCCGCCAAAATTGCTGAACAT</t>
  </si>
  <si>
    <t xml:space="preserve">AAACATGTTCAGCAATTTTGGCGG</t>
  </si>
  <si>
    <t xml:space="preserve">AACATTTAACGGTGACGATC</t>
  </si>
  <si>
    <t xml:space="preserve">TAGTAACATTTAACGGTGACGATC</t>
  </si>
  <si>
    <t xml:space="preserve">AAACGATCGTCACCGTTAAATGTT</t>
  </si>
  <si>
    <t xml:space="preserve">PSPPH_2064</t>
  </si>
  <si>
    <t xml:space="preserve">CGCGTTTGCTTCATCGAACA</t>
  </si>
  <si>
    <t xml:space="preserve">TAGTCGCGTTTGCTTCATCGAACA</t>
  </si>
  <si>
    <t xml:space="preserve">AAACTGTTCGATGAAGCAAACGCG</t>
  </si>
  <si>
    <t xml:space="preserve">GCCTTTACCGTCCAGCACAA</t>
  </si>
  <si>
    <t xml:space="preserve">TAGTGCCTTTACCGTCCAGCACAA</t>
  </si>
  <si>
    <t xml:space="preserve">AAACTTGTGCTGGACGGTAAAGGC</t>
  </si>
  <si>
    <t xml:space="preserve">CAGCTCAAGGTCCTGCAACT</t>
  </si>
  <si>
    <t xml:space="preserve">TAGTCAGCTCAAGGTCCTGCAACT</t>
  </si>
  <si>
    <t xml:space="preserve">AAACAGTTGCAGGACCTTGAGCTG</t>
  </si>
  <si>
    <t xml:space="preserve">TGCAGCCACAGACTTTCCTG</t>
  </si>
  <si>
    <t xml:space="preserve">TAGTTGCAGCCACAGACTTTCCTG</t>
  </si>
  <si>
    <t xml:space="preserve">AAACCAGGAAAGTCTGTGGCTGCA</t>
  </si>
  <si>
    <t xml:space="preserve">PSPPH_2065</t>
  </si>
  <si>
    <t xml:space="preserve">TCGCGTAAAGATTCTTCAAA</t>
  </si>
  <si>
    <t xml:space="preserve">TAGTTCGCGTAAAGATTCTTCAAA</t>
  </si>
  <si>
    <t xml:space="preserve">AAACTTTGAAGAATCTTTACGCGA</t>
  </si>
  <si>
    <t xml:space="preserve">TGCGTCATCATCCCGGCTGG</t>
  </si>
  <si>
    <t xml:space="preserve">TAGTTGCGTCATCATCCCGGCTGG</t>
  </si>
  <si>
    <t xml:space="preserve">AAACCCAGCCGGGATGATGACGCA</t>
  </si>
  <si>
    <t xml:space="preserve">CCTGGCGATTGGCGGTTTTC</t>
  </si>
  <si>
    <t xml:space="preserve">TAGTCCTGGCGATTGGCGGTTTTC</t>
  </si>
  <si>
    <t xml:space="preserve">AAACGAAAACCGCCAATCGCCAGG</t>
  </si>
  <si>
    <t xml:space="preserve">TCATCAGTGCTTCTGACCAA</t>
  </si>
  <si>
    <t xml:space="preserve">TAGTTCATCAGTGCTTCTGACCAA</t>
  </si>
  <si>
    <t xml:space="preserve">AAACTTGGTCAGAAGCACTGATGA</t>
  </si>
  <si>
    <t xml:space="preserve">PSPPH_2066</t>
  </si>
  <si>
    <t xml:space="preserve">CATTGCAGCAAGAAGGCTCT</t>
  </si>
  <si>
    <t xml:space="preserve">TAGTCATTGCAGCAAGAAGGCTCT</t>
  </si>
  <si>
    <t xml:space="preserve">AAACAGAGCCTTCTTGCTGCAATG</t>
  </si>
  <si>
    <t xml:space="preserve">AGGGATGAAATTTGCGACTT</t>
  </si>
  <si>
    <t xml:space="preserve">TAGTAGGGATGAAATTTGCGACTT</t>
  </si>
  <si>
    <t xml:space="preserve">AAACAAGTCGCAAATTTCATCCCT</t>
  </si>
  <si>
    <t xml:space="preserve">ACAAGCGCGCCGAACAGGTT</t>
  </si>
  <si>
    <t xml:space="preserve">TAGTACAAGCGCGCCGAACAGGTT</t>
  </si>
  <si>
    <t xml:space="preserve">AAACAACCTGTTCGGCGCGCTTGT</t>
  </si>
  <si>
    <t xml:space="preserve">AAGCAGCGCGTCGAGCAGTT</t>
  </si>
  <si>
    <t xml:space="preserve">TAGTAAGCAGCGCGTCGAGCAGTT</t>
  </si>
  <si>
    <t xml:space="preserve">AAACAACTGCTCGACGCGCTGCTT</t>
  </si>
  <si>
    <t xml:space="preserve">PSPPH_2067</t>
  </si>
  <si>
    <t xml:space="preserve">AGACGTTAAAAAGTGTTCTC</t>
  </si>
  <si>
    <t xml:space="preserve">TAGTAGACGTTAAAAAGTGTTCTC</t>
  </si>
  <si>
    <t xml:space="preserve">AAACGAGAACACTTTTTAACGTCT</t>
  </si>
  <si>
    <t xml:space="preserve">GTAGGTGATGCTGTAAAGCC</t>
  </si>
  <si>
    <t xml:space="preserve">TAGTGTAGGTGATGCTGTAAAGCC</t>
  </si>
  <si>
    <t xml:space="preserve">AAACGGCTTTACAGCATCACCTAC</t>
  </si>
  <si>
    <t xml:space="preserve">TCTTCCGACGCTTCCTCAAG</t>
  </si>
  <si>
    <t xml:space="preserve">TAGTTCTTCCGACGCTTCCTCAAG</t>
  </si>
  <si>
    <t xml:space="preserve">AAACCTTGAGGAAGCGTCGGAAGA</t>
  </si>
  <si>
    <t xml:space="preserve">CCGCCCCGCTCTTCAGGTTT</t>
  </si>
  <si>
    <t xml:space="preserve">TAGTCCGCCCCGCTCTTCAGGTTT</t>
  </si>
  <si>
    <t xml:space="preserve">AAACAAACCTGAAGAGCGGGGCGG</t>
  </si>
  <si>
    <t xml:space="preserve">PSPPH_2068</t>
  </si>
  <si>
    <t xml:space="preserve">AGTACCAATGGCCAAGCCCA</t>
  </si>
  <si>
    <t xml:space="preserve">TAGTAGTACCAATGGCCAAGCCCA</t>
  </si>
  <si>
    <t xml:space="preserve">AAACTGGGCTTGGCCATTGGTACT</t>
  </si>
  <si>
    <t xml:space="preserve">CAGAGCGCCGAACGAAGTTG</t>
  </si>
  <si>
    <t xml:space="preserve">TAGTCAGAGCGCCGAACGAAGTTG</t>
  </si>
  <si>
    <t xml:space="preserve">AAACCAACTTCGTTCGGCGCTCTG</t>
  </si>
  <si>
    <t xml:space="preserve">CTTCGATTTCGACCGCGCCT</t>
  </si>
  <si>
    <t xml:space="preserve">TAGTCTTCGATTTCGACCGCGCCT</t>
  </si>
  <si>
    <t xml:space="preserve">AAACAGGCGCGGTCGAAATCGAAG</t>
  </si>
  <si>
    <t xml:space="preserve">GCTGTCGTAGTATTCTTTCT</t>
  </si>
  <si>
    <t xml:space="preserve">TAGTGCTGTCGTAGTATTCTTTCT</t>
  </si>
  <si>
    <t xml:space="preserve">AAACAGAAAGAATACTACGACAGC</t>
  </si>
  <si>
    <t xml:space="preserve">PSPPH_2069</t>
  </si>
  <si>
    <t xml:space="preserve">cobA</t>
  </si>
  <si>
    <t xml:space="preserve">TAGTTCCGGGTCACCGGGAC</t>
  </si>
  <si>
    <t xml:space="preserve">TAGTTAGTTCCGGGTCACCGGGAC</t>
  </si>
  <si>
    <t xml:space="preserve">AAACGTCCCGGTGACCCGGAACTA</t>
  </si>
  <si>
    <t xml:space="preserve">CAAGGCACGCACTGCCTTGA</t>
  </si>
  <si>
    <t xml:space="preserve">TAGTCAAGGCACGCACTGCCTTGA</t>
  </si>
  <si>
    <t xml:space="preserve">AAACTCAAGGCAGTGCGTGCCTTG</t>
  </si>
  <si>
    <t xml:space="preserve">ATCATCTATCAGCACCACGT</t>
  </si>
  <si>
    <t xml:space="preserve">TAGTATCATCTATCAGCACCACGT</t>
  </si>
  <si>
    <t xml:space="preserve">AAACACGTGGTGCTGATAGATGAT</t>
  </si>
  <si>
    <t xml:space="preserve">CGGGCAGTGCTCAAGCACTG</t>
  </si>
  <si>
    <t xml:space="preserve">TAGTCGGGCAGTGCTCAAGCACTG</t>
  </si>
  <si>
    <t xml:space="preserve">AAACCAGTGCTTGAGCACTGCCCG</t>
  </si>
  <si>
    <t xml:space="preserve">PSPPH_2070</t>
  </si>
  <si>
    <t xml:space="preserve">AGTGGTCTGAATGGCGAGGC</t>
  </si>
  <si>
    <t xml:space="preserve">TAGTAGTGGTCTGAATGGCGAGGC</t>
  </si>
  <si>
    <t xml:space="preserve">AAACGCCTCGCCATTCAGACCACT</t>
  </si>
  <si>
    <t xml:space="preserve">GCAATAGCAGCAGGTGGACG</t>
  </si>
  <si>
    <t xml:space="preserve">TAGTGCAATAGCAGCAGGTGGACG</t>
  </si>
  <si>
    <t xml:space="preserve">AAACCGTCCACCTGCTGCTATTGC</t>
  </si>
  <si>
    <t xml:space="preserve">TCGGGTCGCCGCTGACGCCG</t>
  </si>
  <si>
    <t xml:space="preserve">TAGTTCGGGTCGCCGCTGACGCCG</t>
  </si>
  <si>
    <t xml:space="preserve">AAACCGGCGTCAGCGGCGACCCGA</t>
  </si>
  <si>
    <t xml:space="preserve">ACAACTTGCCGAAGTTGGCC</t>
  </si>
  <si>
    <t xml:space="preserve">TAGTACAACTTGCCGAAGTTGGCC</t>
  </si>
  <si>
    <t xml:space="preserve">AAACGGCCAACTTCGGCAAGTTGT</t>
  </si>
  <si>
    <t xml:space="preserve">PSPPH_2071</t>
  </si>
  <si>
    <t xml:space="preserve">CTCTTCGAGTGTGCGCACGC</t>
  </si>
  <si>
    <t xml:space="preserve">TAGTCTCTTCGAGTGTGCGCACGC</t>
  </si>
  <si>
    <t xml:space="preserve">AAACGCGTGCGCACACTCGAAGAG</t>
  </si>
  <si>
    <t xml:space="preserve">CGAAGACCGTGATGTCATAC</t>
  </si>
  <si>
    <t xml:space="preserve">TAGTCGAAGACCGTGATGTCATAC</t>
  </si>
  <si>
    <t xml:space="preserve">AAACGTATGACATCACGGTCTTCG</t>
  </si>
  <si>
    <t xml:space="preserve">GTTGTAGTTGGGGTGTGGCT</t>
  </si>
  <si>
    <t xml:space="preserve">TAGTGTTGTAGTTGGGGTGTGGCT</t>
  </si>
  <si>
    <t xml:space="preserve">AAACAGCCACACCCCAACTACAAC</t>
  </si>
  <si>
    <t xml:space="preserve">GCACTGGGGACAGCATGATG</t>
  </si>
  <si>
    <t xml:space="preserve">TAGTGCACTGGGGACAGCATGATG</t>
  </si>
  <si>
    <t xml:space="preserve">AAACCATCATGCTGTCCCCAGTGC</t>
  </si>
  <si>
    <t xml:space="preserve">PSPPH_2072</t>
  </si>
  <si>
    <t xml:space="preserve">AACTGCAGTTGCAGCGTCAT</t>
  </si>
  <si>
    <t xml:space="preserve">TAGTAACTGCAGTTGCAGCGTCAT</t>
  </si>
  <si>
    <t xml:space="preserve">AAACATGACGCTGCAACTGCAGTT</t>
  </si>
  <si>
    <t xml:space="preserve">ATTTTCTGCGCGCGGACCGC</t>
  </si>
  <si>
    <t xml:space="preserve">TAGTATTTTCTGCGCGCGGACCGC</t>
  </si>
  <si>
    <t xml:space="preserve">AAACGCGGTCCGCGCGCAGAAAAT</t>
  </si>
  <si>
    <t xml:space="preserve">GTGTCGGAGCAGGAGTCACC</t>
  </si>
  <si>
    <t xml:space="preserve">TAGTGTGTCGGAGCAGGAGTCACC</t>
  </si>
  <si>
    <t xml:space="preserve">AAACGGTGACTCCTGCTCCGACAC</t>
  </si>
  <si>
    <t xml:space="preserve">GAACAGATAGCCCTTGCTGG</t>
  </si>
  <si>
    <t xml:space="preserve">TAGTGAACAGATAGCCCTTGCTGG</t>
  </si>
  <si>
    <t xml:space="preserve">AAACCCAGCAAGGGCTATCTGTTC</t>
  </si>
  <si>
    <t xml:space="preserve">PSPPH_2073</t>
  </si>
  <si>
    <t xml:space="preserve">CCGCAAACAGGGTCGGTTTA</t>
  </si>
  <si>
    <t xml:space="preserve">TAGTCCGCAAACAGGGTCGGTTTA</t>
  </si>
  <si>
    <t xml:space="preserve">AAACTAAACCGACCCTGTTTGCGG</t>
  </si>
  <si>
    <t xml:space="preserve">GGTACCAGACCATGAAACTC</t>
  </si>
  <si>
    <t xml:space="preserve">TAGTGGTACCAGACCATGAAACTC</t>
  </si>
  <si>
    <t xml:space="preserve">AAACGAGTTTCATGGTCTGGTACC</t>
  </si>
  <si>
    <t xml:space="preserve">GCACCGCCAGCGGGCCAAGC</t>
  </si>
  <si>
    <t xml:space="preserve">TAGTGCACCGCCAGCGGGCCAAGC</t>
  </si>
  <si>
    <t xml:space="preserve">AAACGCTTGGCCCGCTGGCGGTGC</t>
  </si>
  <si>
    <t xml:space="preserve">AGTGGTCAGGTGCAGGTCAG</t>
  </si>
  <si>
    <t xml:space="preserve">TAGTAGTGGTCAGGTGCAGGTCAG</t>
  </si>
  <si>
    <t xml:space="preserve">AAACCTGACCTGCACCTGACCACT</t>
  </si>
  <si>
    <t xml:space="preserve">PSPPH_2074</t>
  </si>
  <si>
    <t xml:space="preserve">TCAGCTCTGGACCAGATGGT</t>
  </si>
  <si>
    <t xml:space="preserve">TAGTTCAGCTCTGGACCAGATGGT</t>
  </si>
  <si>
    <t xml:space="preserve">AAACACCATCTGGTCCAGAGCTGA</t>
  </si>
  <si>
    <t xml:space="preserve">CGGGCTTACCAGAGGCTGCG</t>
  </si>
  <si>
    <t xml:space="preserve">TAGTCGGGCTTACCAGAGGCTGCG</t>
  </si>
  <si>
    <t xml:space="preserve">AAACCGCAGCCTCTGGTAAGCCCG</t>
  </si>
  <si>
    <t xml:space="preserve">TCACTCATGACCGGAAAATC</t>
  </si>
  <si>
    <t xml:space="preserve">TAGTTCACTCATGACCGGAAAATC</t>
  </si>
  <si>
    <t xml:space="preserve">AAACGATTTTCCGGTCATGAGTGA</t>
  </si>
  <si>
    <t xml:space="preserve">GTCAAGCTCGCGCAACGGCA</t>
  </si>
  <si>
    <t xml:space="preserve">TAGTGTCAAGCTCGCGCAACGGCA</t>
  </si>
  <si>
    <t xml:space="preserve">AAACTGCCGTTGCGCGAGCTTGAC</t>
  </si>
  <si>
    <t xml:space="preserve">PSPPH_2075</t>
  </si>
  <si>
    <t xml:space="preserve">nasT</t>
  </si>
  <si>
    <t xml:space="preserve">GATAAGCAGGATACGCAGCA</t>
  </si>
  <si>
    <t xml:space="preserve">TAGTGATAAGCAGGATACGCAGCA</t>
  </si>
  <si>
    <t xml:space="preserve">AAACTGCTGCGTATCCTGCTTATC</t>
  </si>
  <si>
    <t xml:space="preserve">TTTGAGGCGACCGACTTTTC</t>
  </si>
  <si>
    <t xml:space="preserve">TAGTTTTGAGGCGACCGACTTTTC</t>
  </si>
  <si>
    <t xml:space="preserve">AAACGAAAAGTCGGTCGCCTCAAA</t>
  </si>
  <si>
    <t xml:space="preserve">TTCGTCGATTACTTCAAAAC</t>
  </si>
  <si>
    <t xml:space="preserve">TAGTTTCGTCGATTACTTCAAAAC</t>
  </si>
  <si>
    <t xml:space="preserve">AAACGTTTTGAAGTAATCGACGAA</t>
  </si>
  <si>
    <t xml:space="preserve">GGGCAAGTCGATGATCAGTC</t>
  </si>
  <si>
    <t xml:space="preserve">TAGTGGGCAAGTCGATGATCAGTC</t>
  </si>
  <si>
    <t xml:space="preserve">AAACGACTGATCATCGACTTGCCC</t>
  </si>
  <si>
    <t xml:space="preserve">PSPPH_2076</t>
  </si>
  <si>
    <t xml:space="preserve">CAAAGGTCCGTCCAGAAAAA</t>
  </si>
  <si>
    <t xml:space="preserve">TAGTCAAAGGTCCGTCCAGAAAAA</t>
  </si>
  <si>
    <t xml:space="preserve">AAACTTTTTCTGGACGGACCTTTG</t>
  </si>
  <si>
    <t xml:space="preserve">CACCCAGTCCAGCGCATTAC</t>
  </si>
  <si>
    <t xml:space="preserve">TAGTCACCCAGTCCAGCGCATTAC</t>
  </si>
  <si>
    <t xml:space="preserve">AAACGTAATGCGCTGGACTGGGTG</t>
  </si>
  <si>
    <t xml:space="preserve">CATTTCCGGGGCGTCACTAC</t>
  </si>
  <si>
    <t xml:space="preserve">TAGTCATTTCCGGGGCGTCACTAC</t>
  </si>
  <si>
    <t xml:space="preserve">AAACGTAGTGACGCCCCGGAAATG</t>
  </si>
  <si>
    <t xml:space="preserve">ATGCCATGAAGCCCACGTCC</t>
  </si>
  <si>
    <t xml:space="preserve">TAGTATGCCATGAAGCCCACGTCC</t>
  </si>
  <si>
    <t xml:space="preserve">AAACGGACGTGGGCTTCATGGCAT</t>
  </si>
  <si>
    <t xml:space="preserve">PSPPH_2077</t>
  </si>
  <si>
    <t xml:space="preserve">pyrD</t>
  </si>
  <si>
    <t xml:space="preserve">GCGTGCAGGCCTGTCAGGCG</t>
  </si>
  <si>
    <t xml:space="preserve">TAGTGCGTGCAGGCCTGTCAGGCG</t>
  </si>
  <si>
    <t xml:space="preserve">AAACCGCCTGACAGGCCTGCACGC</t>
  </si>
  <si>
    <t xml:space="preserve">GTGAGCAGCTGAATTCAGGG</t>
  </si>
  <si>
    <t xml:space="preserve">TAGTGTGAGCAGCTGAATTCAGGG</t>
  </si>
  <si>
    <t xml:space="preserve">AAACCCCTGAATTCAGCTGCTCAC</t>
  </si>
  <si>
    <t xml:space="preserve">CAGGTTATACATGGCGGGAT</t>
  </si>
  <si>
    <t xml:space="preserve">TAGTCAGGTTATACATGGCGGGAT</t>
  </si>
  <si>
    <t xml:space="preserve">AAACATCCCGCCATGTATAACCTG</t>
  </si>
  <si>
    <t xml:space="preserve">AAGTTTGAACAGTAACTGGC</t>
  </si>
  <si>
    <t xml:space="preserve">TAGTAAGTTTGAACAGTAACTGGC</t>
  </si>
  <si>
    <t xml:space="preserve">AAACGCCAGTTACTGTTCAAACTT</t>
  </si>
  <si>
    <t xml:space="preserve">PSPPH_2078</t>
  </si>
  <si>
    <t xml:space="preserve">rmf</t>
  </si>
  <si>
    <t xml:space="preserve">GTGCCCGCTGCCGGCGTCGC</t>
  </si>
  <si>
    <t xml:space="preserve">TAGTGTGCCCGCTGCCGGCGTCGC</t>
  </si>
  <si>
    <t xml:space="preserve">AAACGCGACGCCGGCAGCGGGCAC</t>
  </si>
  <si>
    <t xml:space="preserve">CGGGCAGAATCTTCTGCCGT</t>
  </si>
  <si>
    <t xml:space="preserve">TAGTCGGGCAGAATCTTCTGCCGT</t>
  </si>
  <si>
    <t xml:space="preserve">AAACACGGCAGAAGATTCTGCCCG</t>
  </si>
  <si>
    <t xml:space="preserve">CTGAGACCCCTTGATGAGGT</t>
  </si>
  <si>
    <t xml:space="preserve">TAGTCTGAGACCCCTTGATGAGGT</t>
  </si>
  <si>
    <t xml:space="preserve">AAACACCTCATCAAGGGGTCTCAG</t>
  </si>
  <si>
    <t xml:space="preserve">CACGCTTAAGTCTTCTCATA</t>
  </si>
  <si>
    <t xml:space="preserve">TAGTCACGCTTAAGTCTTCTCATA</t>
  </si>
  <si>
    <t xml:space="preserve">AAACTATGAGAAGACTTAAGCGTG</t>
  </si>
  <si>
    <t xml:space="preserve">PSPPH_2079</t>
  </si>
  <si>
    <t xml:space="preserve">GGGCCTGAGCCGTCTGCGGC</t>
  </si>
  <si>
    <t xml:space="preserve">TAGTGGGCCTGAGCCGTCTGCGGC</t>
  </si>
  <si>
    <t xml:space="preserve">AAACGCCGCAGACGGCTCAGGCCC</t>
  </si>
  <si>
    <t xml:space="preserve">GATCCGACATGTGTATTCCA</t>
  </si>
  <si>
    <t xml:space="preserve">TAGTGATCCGACATGTGTATTCCA</t>
  </si>
  <si>
    <t xml:space="preserve">AAACTGGAATACACATGTCGGATC</t>
  </si>
  <si>
    <t xml:space="preserve">CGAGGCCTTTGGGGCAAGTA</t>
  </si>
  <si>
    <t xml:space="preserve">TAGTCGAGGCCTTTGGGGCAAGTA</t>
  </si>
  <si>
    <t xml:space="preserve">AAACTACTTGCCCCAAAGGCCTCG</t>
  </si>
  <si>
    <t xml:space="preserve">ACCCAGTGCCGTAGCTTCCT</t>
  </si>
  <si>
    <t xml:space="preserve">TAGTACCCAGTGCCGTAGCTTCCT</t>
  </si>
  <si>
    <t xml:space="preserve">AAACAGGAAGCTACGGCACTGGGT</t>
  </si>
  <si>
    <t xml:space="preserve">PSPPH_2080</t>
  </si>
  <si>
    <t xml:space="preserve">CTATTGGCCACGCTGAGAGC</t>
  </si>
  <si>
    <t xml:space="preserve">TAGTCTATTGGCCACGCTGAGAGC</t>
  </si>
  <si>
    <t xml:space="preserve">AAACGCTCTCAGCGTGGCCAATAG</t>
  </si>
  <si>
    <t xml:space="preserve">TCCGACCATCAATGCCAAAA</t>
  </si>
  <si>
    <t xml:space="preserve">TAGTTCCGACCATCAATGCCAAAA</t>
  </si>
  <si>
    <t xml:space="preserve">AAACTTTTGGCATTGATGGTCGGA</t>
  </si>
  <si>
    <t xml:space="preserve">GTCGGCCAGCGCCAACATGA</t>
  </si>
  <si>
    <t xml:space="preserve">TAGTGTCGGCCAGCGCCAACATGA</t>
  </si>
  <si>
    <t xml:space="preserve">AAACTCATGTTGGCGCTGGCCGAC</t>
  </si>
  <si>
    <t xml:space="preserve">AACGCTGGCGCAATTGACGC</t>
  </si>
  <si>
    <t xml:space="preserve">TAGTAACGCTGGCGCAATTGACGC</t>
  </si>
  <si>
    <t xml:space="preserve">AAACGCGTCAATTGCGCCAGCGTT</t>
  </si>
  <si>
    <t xml:space="preserve">PSPPH_2081</t>
  </si>
  <si>
    <t xml:space="preserve">dacB</t>
  </si>
  <si>
    <t xml:space="preserve">AGAATTGACGCGAGCAACAA</t>
  </si>
  <si>
    <t xml:space="preserve">TAGTAGAATTGACGCGAGCAACAA</t>
  </si>
  <si>
    <t xml:space="preserve">AAACTTGTTGCTCGCGTCAATTCT</t>
  </si>
  <si>
    <t xml:space="preserve">GCGTAGGAGGGCAGAGCCAG</t>
  </si>
  <si>
    <t xml:space="preserve">TAGTGCGTAGGAGGGCAGAGCCAG</t>
  </si>
  <si>
    <t xml:space="preserve">AAACCTGGCTCTGCCCTCCTACGC</t>
  </si>
  <si>
    <t xml:space="preserve">TTGAACCTTGGGGGGCAGCG</t>
  </si>
  <si>
    <t xml:space="preserve">TAGTTTGAACCTTGGGGGGCAGCG</t>
  </si>
  <si>
    <t xml:space="preserve">AAACCGCTGCCCCCCAAGGTTCAA</t>
  </si>
  <si>
    <t xml:space="preserve">CGCGTCATCGCCGAGTTTGC</t>
  </si>
  <si>
    <t xml:space="preserve">TAGTCGCGTCATCGCCGAGTTTGC</t>
  </si>
  <si>
    <t xml:space="preserve">AAACGCAAACTCGGCGATGACGCG</t>
  </si>
  <si>
    <t xml:space="preserve">PSPPH_2082</t>
  </si>
  <si>
    <t xml:space="preserve">CGGGAGCGGTTAGTGGCCAT</t>
  </si>
  <si>
    <t xml:space="preserve">TAGTCGGGAGCGGTTAGTGGCCAT</t>
  </si>
  <si>
    <t xml:space="preserve">AAACATGGCCACTAACCGCTCCCG</t>
  </si>
  <si>
    <t xml:space="preserve">ACAGTTTTTTGCGCAGACGG</t>
  </si>
  <si>
    <t xml:space="preserve">TAGTACAGTTTTTTGCGCAGACGG</t>
  </si>
  <si>
    <t xml:space="preserve">AAACCCGTCTGCGCAAAAAACTGT</t>
  </si>
  <si>
    <t xml:space="preserve">TCAGTTCAAAACCCAATTCC</t>
  </si>
  <si>
    <t xml:space="preserve">TAGTTCAGTTCAAAACCCAATTCC</t>
  </si>
  <si>
    <t xml:space="preserve">AAACGGAATTGGGTTTTGAACTGA</t>
  </si>
  <si>
    <t xml:space="preserve">CCAGCTCTTGCTTGAAGTCC</t>
  </si>
  <si>
    <t xml:space="preserve">TAGTCCAGCTCTTGCTTGAAGTCC</t>
  </si>
  <si>
    <t xml:space="preserve">AAACGGACTTCAAGCAAGAGCTGG</t>
  </si>
  <si>
    <t xml:space="preserve">PSPPH_2083</t>
  </si>
  <si>
    <t xml:space="preserve">ATGTCATAGCCGTTCATGAC</t>
  </si>
  <si>
    <t xml:space="preserve">TAGTATGTCATAGCCGTTCATGAC</t>
  </si>
  <si>
    <t xml:space="preserve">AAACGTCATGAACGGCTATGACAT</t>
  </si>
  <si>
    <t xml:space="preserve">TTCAATCGCGCGGATTGCAG</t>
  </si>
  <si>
    <t xml:space="preserve">TAGTTTCAATCGCGCGGATTGCAG</t>
  </si>
  <si>
    <t xml:space="preserve">AAACCTGCAATCCGCGCGATTGAA</t>
  </si>
  <si>
    <t xml:space="preserve">CCCAGACCGGACAGCGTGGC</t>
  </si>
  <si>
    <t xml:space="preserve">TAGTCCCAGACCGGACAGCGTGGC</t>
  </si>
  <si>
    <t xml:space="preserve">AAACGCCACGCTGTCCGGTCTGGG</t>
  </si>
  <si>
    <t xml:space="preserve">GATCTCGTCAGGCTGCGCAT</t>
  </si>
  <si>
    <t xml:space="preserve">TAGTGATCTCGTCAGGCTGCGCAT</t>
  </si>
  <si>
    <t xml:space="preserve">AAACATGCGCAGCCTGACGAGATC</t>
  </si>
  <si>
    <t xml:space="preserve">PSPPH_2084</t>
  </si>
  <si>
    <t xml:space="preserve">TTCCGGTGGCCCCGCCTTCA</t>
  </si>
  <si>
    <t xml:space="preserve">TAGTTTCCGGTGGCCCCGCCTTCA</t>
  </si>
  <si>
    <t xml:space="preserve">AAACTGAAGGCGGGGCCACCGGAA</t>
  </si>
  <si>
    <t xml:space="preserve">CAGCACGTCTGCATGATTGG</t>
  </si>
  <si>
    <t xml:space="preserve">TAGTCAGCACGTCTGCATGATTGG</t>
  </si>
  <si>
    <t xml:space="preserve">AAACCCAATCATGCAGACGTGCTG</t>
  </si>
  <si>
    <t xml:space="preserve">GCGATTCGTTGCGCCAATGT</t>
  </si>
  <si>
    <t xml:space="preserve">TAGTGCGATTCGTTGCGCCAATGT</t>
  </si>
  <si>
    <t xml:space="preserve">AAACACATTGGCGCAACGAATCGC</t>
  </si>
  <si>
    <t xml:space="preserve">GTGCGGTCGTCCACTGCAAC</t>
  </si>
  <si>
    <t xml:space="preserve">TAGTGTGCGGTCGTCCACTGCAAC</t>
  </si>
  <si>
    <t xml:space="preserve">AAACGTTGCAGTGGACGACCGCAC</t>
  </si>
  <si>
    <t xml:space="preserve">PSPPH_2085</t>
  </si>
  <si>
    <t xml:space="preserve">CTGATGCCAAGTAGGCTGTG</t>
  </si>
  <si>
    <t xml:space="preserve">TAGTCTGATGCCAAGTAGGCTGTG</t>
  </si>
  <si>
    <t xml:space="preserve">AAACCACAGCCTACTTGGCATCAG</t>
  </si>
  <si>
    <t xml:space="preserve">CAGGCGCGACGGGCCAGACC</t>
  </si>
  <si>
    <t xml:space="preserve">TAGTCAGGCGCGACGGGCCAGACC</t>
  </si>
  <si>
    <t xml:space="preserve">AAACGGTCTGGCCCGTCGCGCCTG</t>
  </si>
  <si>
    <t xml:space="preserve">CTCCACCAGCATCGGGGCTG</t>
  </si>
  <si>
    <t xml:space="preserve">TAGTCTCCACCAGCATCGGGGCTG</t>
  </si>
  <si>
    <t xml:space="preserve">AAACCAGCCCCGATGCTGGTGGAG</t>
  </si>
  <si>
    <t xml:space="preserve">PSPPH_2086</t>
  </si>
  <si>
    <t xml:space="preserve">GCTCGCGCACGTAACGCAGC</t>
  </si>
  <si>
    <t xml:space="preserve">TAGTGCTCGCGCACGTAACGCAGC</t>
  </si>
  <si>
    <t xml:space="preserve">AAACGCTGCGTTACGTGCGCGAGC</t>
  </si>
  <si>
    <t xml:space="preserve">GGTGTCGTACTTCGACAGGT</t>
  </si>
  <si>
    <t xml:space="preserve">TAGTGGTGTCGTACTTCGACAGGT</t>
  </si>
  <si>
    <t xml:space="preserve">AAACACCTGTCGAAGTACGACACC</t>
  </si>
  <si>
    <t xml:space="preserve">AAGCCGCTCAGCCAGCTTGC</t>
  </si>
  <si>
    <t xml:space="preserve">TAGTAAGCCGCTCAGCCAGCTTGC</t>
  </si>
  <si>
    <t xml:space="preserve">AAACGCAAGCTGGCTGAGCGGCTT</t>
  </si>
  <si>
    <t xml:space="preserve">TGACCGTCGCCGTCGGCCTC</t>
  </si>
  <si>
    <t xml:space="preserve">TAGTTGACCGTCGCCGTCGGCCTC</t>
  </si>
  <si>
    <t xml:space="preserve">AAACGAGGCCGACGGCGACGGTCA</t>
  </si>
  <si>
    <t xml:space="preserve">PSPPH_2087</t>
  </si>
  <si>
    <t xml:space="preserve">GCGTGCCATCAGGTAATCGA</t>
  </si>
  <si>
    <t xml:space="preserve">TAGTGCGTGCCATCAGGTAATCGA</t>
  </si>
  <si>
    <t xml:space="preserve">AAACTCGATTACCTGATGGCACGC</t>
  </si>
  <si>
    <t xml:space="preserve">PSPPH_2088</t>
  </si>
  <si>
    <t xml:space="preserve">AAGCAGGGTTTGCCAATCCA</t>
  </si>
  <si>
    <t xml:space="preserve">TAGTAAGCAGGGTTTGCCAATCCA</t>
  </si>
  <si>
    <t xml:space="preserve">AAACTGGATTGGCAAACCCTGCTT</t>
  </si>
  <si>
    <t xml:space="preserve">GTGTCTTGCCAAGTCGTTCG</t>
  </si>
  <si>
    <t xml:space="preserve">TAGTGTGTCTTGCCAAGTCGTTCG</t>
  </si>
  <si>
    <t xml:space="preserve">AAACCGAACGACTTGGCAAGACAC</t>
  </si>
  <si>
    <t xml:space="preserve">GACTGCGCCCTAATTCTTCG</t>
  </si>
  <si>
    <t xml:space="preserve">TAGTGACTGCGCCCTAATTCTTCG</t>
  </si>
  <si>
    <t xml:space="preserve">AAACCGAAGAATTAGGGCGCAGTC</t>
  </si>
  <si>
    <t xml:space="preserve">CGGTCATGGTCCTTGTGAAA</t>
  </si>
  <si>
    <t xml:space="preserve">TAGTCGGTCATGGTCCTTGTGAAA</t>
  </si>
  <si>
    <t xml:space="preserve">AAACTTTCACAAGGACCATGACCG</t>
  </si>
  <si>
    <t xml:space="preserve">PSPPH_2089</t>
  </si>
  <si>
    <t xml:space="preserve">GTATTGCTCTGGTGCGACTT</t>
  </si>
  <si>
    <t xml:space="preserve">TAGTGTATTGCTCTGGTGCGACTT</t>
  </si>
  <si>
    <t xml:space="preserve">AAACAAGTCGCACCAGAGCAATAC</t>
  </si>
  <si>
    <t xml:space="preserve">CGCCTTGCGCAGTTCTCGAC</t>
  </si>
  <si>
    <t xml:space="preserve">TAGTCGCCTTGCGCAGTTCTCGAC</t>
  </si>
  <si>
    <t xml:space="preserve">AAACGTCGAGAACTGCGCAAGGCG</t>
  </si>
  <si>
    <t xml:space="preserve">GGTGCATCTCCATGCGCAGG</t>
  </si>
  <si>
    <t xml:space="preserve">TAGTGGTGCATCTCCATGCGCAGG</t>
  </si>
  <si>
    <t xml:space="preserve">AAACCCTGCGCATGGAGATGCACC</t>
  </si>
  <si>
    <t xml:space="preserve">ACTCATGACGAATTTCCTGA</t>
  </si>
  <si>
    <t xml:space="preserve">TAGTACTCATGACGAATTTCCTGA</t>
  </si>
  <si>
    <t xml:space="preserve">AAACTCAGGAAATTCGTCATGAGT</t>
  </si>
  <si>
    <t xml:space="preserve">PSPPH_2090</t>
  </si>
  <si>
    <t xml:space="preserve">GAGCCCGGAGTTCCCTCGGG</t>
  </si>
  <si>
    <t xml:space="preserve">TAGTGAGCCCGGAGTTCCCTCGGG</t>
  </si>
  <si>
    <t xml:space="preserve">AAACCCCGAGGGAACTCCGGGCTC</t>
  </si>
  <si>
    <t xml:space="preserve">AAAGCAGCGCCAAGACGCCG</t>
  </si>
  <si>
    <t xml:space="preserve">TAGTAAAGCAGCGCCAAGACGCCG</t>
  </si>
  <si>
    <t xml:space="preserve">AAACCGGCGTCTTGGCGCTGCTTT</t>
  </si>
  <si>
    <t xml:space="preserve">CGTGCGTGTGCAGCAGGCCA</t>
  </si>
  <si>
    <t xml:space="preserve">TAGTCGTGCGTGTGCAGCAGGCCA</t>
  </si>
  <si>
    <t xml:space="preserve">AAACTGGCCTGCTGCACACGCACG</t>
  </si>
  <si>
    <t xml:space="preserve">CGCGAACAGCAGCAGGCTGA</t>
  </si>
  <si>
    <t xml:space="preserve">TAGTCGCGAACAGCAGCAGGCTGA</t>
  </si>
  <si>
    <t xml:space="preserve">AAACTCAGCCTGCTGCTGTTCGCG</t>
  </si>
  <si>
    <t xml:space="preserve">PSPPH_2091</t>
  </si>
  <si>
    <t xml:space="preserve">AGCATTCTGTGCAGTTTGGC</t>
  </si>
  <si>
    <t xml:space="preserve">TAGTAGCATTCTGTGCAGTTTGGC</t>
  </si>
  <si>
    <t xml:space="preserve">AAACGCCAAACTGCACAGAATGCT</t>
  </si>
  <si>
    <t xml:space="preserve">GTACCTGGAAGTCGGCTCTC</t>
  </si>
  <si>
    <t xml:space="preserve">TAGTGTACCTGGAAGTCGGCTCTC</t>
  </si>
  <si>
    <t xml:space="preserve">AAACGAGAGCCGACTTCCAGGTAC</t>
  </si>
  <si>
    <t xml:space="preserve">CGCCAGCAATTTCTCAGTGT</t>
  </si>
  <si>
    <t xml:space="preserve">TAGTCGCCAGCAATTTCTCAGTGT</t>
  </si>
  <si>
    <t xml:space="preserve">AAACACACTGAGAAATTGCTGGCG</t>
  </si>
  <si>
    <t xml:space="preserve">CTGATCACCAGCGAGAGAGG</t>
  </si>
  <si>
    <t xml:space="preserve">TAGTCTGATCACCAGCGAGAGAGG</t>
  </si>
  <si>
    <t xml:space="preserve">AAACCCTCTCTCGCTGGTGATCAG</t>
  </si>
  <si>
    <t xml:space="preserve">PSPPH_2092</t>
  </si>
  <si>
    <t xml:space="preserve">TACTTTTGGAGTAAGTGCAG</t>
  </si>
  <si>
    <t xml:space="preserve">TAGTTACTTTTGGAGTAAGTGCAG</t>
  </si>
  <si>
    <t xml:space="preserve">AAACCTGCACTTACTCCAAAAGTA</t>
  </si>
  <si>
    <t xml:space="preserve">CCCCAATCTTCAACACGTCG</t>
  </si>
  <si>
    <t xml:space="preserve">TAGTCCCCAATCTTCAACACGTCG</t>
  </si>
  <si>
    <t xml:space="preserve">AAACCGACGTGTTGAAGATTGGGG</t>
  </si>
  <si>
    <t xml:space="preserve">ATAGCCAATGGCCAGAAATA</t>
  </si>
  <si>
    <t xml:space="preserve">TAGTATAGCCAATGGCCAGAAATA</t>
  </si>
  <si>
    <t xml:space="preserve">AAACTATTTCTGGCCATTGGCTAT</t>
  </si>
  <si>
    <t xml:space="preserve">PSPPH_2093</t>
  </si>
  <si>
    <t xml:space="preserve">CATGCCCCTGAGCCCCTGCA</t>
  </si>
  <si>
    <t xml:space="preserve">TAGTCATGCCCCTGAGCCCCTGCA</t>
  </si>
  <si>
    <t xml:space="preserve">AAACTGCAGGGGCTCAGGGGCATG</t>
  </si>
  <si>
    <t xml:space="preserve">TGTGAAACAACACCACACCC</t>
  </si>
  <si>
    <t xml:space="preserve">TAGTTGTGAAACAACACCACACCC</t>
  </si>
  <si>
    <t xml:space="preserve">AAACGGGTGTGGTGTTGTTTCACA</t>
  </si>
  <si>
    <t xml:space="preserve">CGGCAGAAGGATATCGCCAC</t>
  </si>
  <si>
    <t xml:space="preserve">TAGTCGGCAGAAGGATATCGCCAC</t>
  </si>
  <si>
    <t xml:space="preserve">AAACGTGGCGATATCCTTCTGCCG</t>
  </si>
  <si>
    <t xml:space="preserve">TGAAAAAAATCGAGCATCGG</t>
  </si>
  <si>
    <t xml:space="preserve">TAGTTGAAAAAAATCGAGCATCGG</t>
  </si>
  <si>
    <t xml:space="preserve">AAACCCGATGCTCGATTTTTTTCA</t>
  </si>
  <si>
    <t xml:space="preserve">PSPPH_2094</t>
  </si>
  <si>
    <t xml:space="preserve">CTGAACAGCTGGCATTCGGG</t>
  </si>
  <si>
    <t xml:space="preserve">TAGTCTGAACAGCTGGCATTCGGG</t>
  </si>
  <si>
    <t xml:space="preserve">AAACCCCGAATGCCAGCTGTTCAG</t>
  </si>
  <si>
    <t xml:space="preserve">CTCGCACAGCGGGCAGCCCA</t>
  </si>
  <si>
    <t xml:space="preserve">TAGTCTCGCACAGCGGGCAGCCCA</t>
  </si>
  <si>
    <t xml:space="preserve">AAACTGGGCTGCCCGCTGTGCGAG</t>
  </si>
  <si>
    <t xml:space="preserve">GAACGGCAGTAAAACCGCTT</t>
  </si>
  <si>
    <t xml:space="preserve">TAGTGAACGGCAGTAAAACCGCTT</t>
  </si>
  <si>
    <t xml:space="preserve">AAACAAGCGGTTTTACTGCCGTTC</t>
  </si>
  <si>
    <t xml:space="preserve">AACCAGTAAGCCGTGCTCGA</t>
  </si>
  <si>
    <t xml:space="preserve">TAGTAACCAGTAAGCCGTGCTCGA</t>
  </si>
  <si>
    <t xml:space="preserve">AAACTCGAGCACGGCTTACTGGTT</t>
  </si>
  <si>
    <t xml:space="preserve">PSPPH_2095</t>
  </si>
  <si>
    <t xml:space="preserve">pcaQ</t>
  </si>
  <si>
    <t xml:space="preserve">CAGATGGCGAAATTTGATGC</t>
  </si>
  <si>
    <t xml:space="preserve">TAGTCAGATGGCGAAATTTGATGC</t>
  </si>
  <si>
    <t xml:space="preserve">AAACGCATCAAATTTCGCCATCTG</t>
  </si>
  <si>
    <t xml:space="preserve">GTACATCGGAGGCACGCGCC</t>
  </si>
  <si>
    <t xml:space="preserve">TAGTGTACATCGGAGGCACGCGCC</t>
  </si>
  <si>
    <t xml:space="preserve">AAACGGCGCGTGCCTCCGATGTAC</t>
  </si>
  <si>
    <t xml:space="preserve">TTGAGACTTTTCGACAGCGC</t>
  </si>
  <si>
    <t xml:space="preserve">TAGTTTGAGACTTTTCGACAGCGC</t>
  </si>
  <si>
    <t xml:space="preserve">AAACGCGCTGTCGAAAAGTCTCAA</t>
  </si>
  <si>
    <t xml:space="preserve">GCTGCGCACAAACAAGGTGG</t>
  </si>
  <si>
    <t xml:space="preserve">TAGTGCTGCGCACAAACAAGGTGG</t>
  </si>
  <si>
    <t xml:space="preserve">AAACCCACCTTGTTTGTGCGCAGC</t>
  </si>
  <si>
    <t xml:space="preserve">PSPPH_2096</t>
  </si>
  <si>
    <t xml:space="preserve">pcaH</t>
  </si>
  <si>
    <t xml:space="preserve">GCTATTGTCCGCGGCAGACA</t>
  </si>
  <si>
    <t xml:space="preserve">TAGTGCTATTGTCCGCGGCAGACA</t>
  </si>
  <si>
    <t xml:space="preserve">AAACTGTCTGCCGCGGACAATAGC</t>
  </si>
  <si>
    <t xml:space="preserve">TTCGGTCACGAATGACGAAG</t>
  </si>
  <si>
    <t xml:space="preserve">TAGTTTCGGTCACGAATGACGAAG</t>
  </si>
  <si>
    <t xml:space="preserve">AAACCTTCGTCATTCGTGACCGAA</t>
  </si>
  <si>
    <t xml:space="preserve">AATCAGGTGTCAGGGCTTTG</t>
  </si>
  <si>
    <t xml:space="preserve">TAGTAATCAGGTGTCAGGGCTTTG</t>
  </si>
  <si>
    <t xml:space="preserve">AAACCAAAGCCCTGACACCTGATT</t>
  </si>
  <si>
    <t xml:space="preserve">GCGCGGTGAGCGCAGGATCG</t>
  </si>
  <si>
    <t xml:space="preserve">TAGTGCGCGGTGAGCGCAGGATCG</t>
  </si>
  <si>
    <t xml:space="preserve">AAACCGATCCTGCGCTCACCGCGC</t>
  </si>
  <si>
    <t xml:space="preserve">PSPPH_2097</t>
  </si>
  <si>
    <t xml:space="preserve">pcaG</t>
  </si>
  <si>
    <t xml:space="preserve">GTTTCCTGCAGTAATTGAAC</t>
  </si>
  <si>
    <t xml:space="preserve">TAGTGTTTCCTGCAGTAATTGAAC</t>
  </si>
  <si>
    <t xml:space="preserve">AAACGTTCAATTACTGCAGGAAAC</t>
  </si>
  <si>
    <t xml:space="preserve">CGGGCCAGCGGTTTGCGAAG</t>
  </si>
  <si>
    <t xml:space="preserve">TAGTCGGGCCAGCGGTTTGCGAAG</t>
  </si>
  <si>
    <t xml:space="preserve">AAACCTTCGCAAACCGCTGGCCCG</t>
  </si>
  <si>
    <t xml:space="preserve">GCCAGACCGATGTGCACGTA</t>
  </si>
  <si>
    <t xml:space="preserve">TAGTGCCAGACCGATGTGCACGTA</t>
  </si>
  <si>
    <t xml:space="preserve">AAACTACGTGCACATCGGTCTGGC</t>
  </si>
  <si>
    <t xml:space="preserve">GTCGGATTGCCGGCCACTTG</t>
  </si>
  <si>
    <t xml:space="preserve">TAGTGTCGGATTGCCGGCCACTTG</t>
  </si>
  <si>
    <t xml:space="preserve">AAACCAAGTGGCCGGCAATCCGAC</t>
  </si>
  <si>
    <t xml:space="preserve">PSPPH_2098</t>
  </si>
  <si>
    <t xml:space="preserve">pcaK</t>
  </si>
  <si>
    <t xml:space="preserve">CTGGCTGGCGGAAAGCGTCA</t>
  </si>
  <si>
    <t xml:space="preserve">TAGTCTGGCTGGCGGAAAGCGTCA</t>
  </si>
  <si>
    <t xml:space="preserve">AAACTGACGCTTTCCGCCAGCCAG</t>
  </si>
  <si>
    <t xml:space="preserve">ACGTCGAGCGTACCCGGCAC</t>
  </si>
  <si>
    <t xml:space="preserve">TAGTACGTCGAGCGTACCCGGCAC</t>
  </si>
  <si>
    <t xml:space="preserve">AAACGTGCCGGGTACGCTCGACGT</t>
  </si>
  <si>
    <t xml:space="preserve">CAGCGGTTGCGCATTGATGA</t>
  </si>
  <si>
    <t xml:space="preserve">TAGTCAGCGGTTGCGCATTGATGA</t>
  </si>
  <si>
    <t xml:space="preserve">AAACTCATCAATGCGCAACCGCTG</t>
  </si>
  <si>
    <t xml:space="preserve">AACCACCCGCCACTGATACC</t>
  </si>
  <si>
    <t xml:space="preserve">TAGTAACCACCCGCCACTGATACC</t>
  </si>
  <si>
    <t xml:space="preserve">AAACGGTATCAGTGGCGGGTGGTT</t>
  </si>
  <si>
    <t xml:space="preserve">PSPPH_2099</t>
  </si>
  <si>
    <t xml:space="preserve">pcaB</t>
  </si>
  <si>
    <t xml:space="preserve">CATTTCGGGTTGCATGAAGT</t>
  </si>
  <si>
    <t xml:space="preserve">TAGTCATTTCGGGTTGCATGAAGT</t>
  </si>
  <si>
    <t xml:space="preserve">AAACACTTCATGCAACCCGAAATG</t>
  </si>
  <si>
    <t xml:space="preserve">AATCGAGCATGCCCTGTACC</t>
  </si>
  <si>
    <t xml:space="preserve">TAGTAATCGAGCATGCCCTGTACC</t>
  </si>
  <si>
    <t xml:space="preserve">AAACGGTACAGGGCATGCTCGATT</t>
  </si>
  <si>
    <t xml:space="preserve">CGACCACCTCCGGCGGGATC</t>
  </si>
  <si>
    <t xml:space="preserve">TAGTCGACCACCTCCGGCGGGATC</t>
  </si>
  <si>
    <t xml:space="preserve">AAACGATCCCGCCGGAGGTGGTCG</t>
  </si>
  <si>
    <t xml:space="preserve">GTCGCAGCTCAGCTCGATGT</t>
  </si>
  <si>
    <t xml:space="preserve">TAGTGTCGCAGCTCAGCTCGATGT</t>
  </si>
  <si>
    <t xml:space="preserve">AAACACATCGAGCTGAGCTGCGAC</t>
  </si>
  <si>
    <t xml:space="preserve">PSPPH_2100</t>
  </si>
  <si>
    <t xml:space="preserve">pcaC1</t>
  </si>
  <si>
    <t xml:space="preserve">AGCTTCGTAACGTTCGTCTT</t>
  </si>
  <si>
    <t xml:space="preserve">TAGTAGCTTCGTAACGTTCGTCTT</t>
  </si>
  <si>
    <t xml:space="preserve">AAACAAGACGAACGTTACGAAGCT</t>
  </si>
  <si>
    <t xml:space="preserve">GCGTATCGCCCAGCACTGCA</t>
  </si>
  <si>
    <t xml:space="preserve">TAGTGCGTATCGCCCAGCACTGCA</t>
  </si>
  <si>
    <t xml:space="preserve">AAACTGCAGTGCTGGGCGATACGC</t>
  </si>
  <si>
    <t xml:space="preserve">TGAACGGCGTCAGTTTGCTC</t>
  </si>
  <si>
    <t xml:space="preserve">TAGTTGAACGGCGTCAGTTTGCTC</t>
  </si>
  <si>
    <t xml:space="preserve">AAACGAGCAAACTGACGCCGTTCA</t>
  </si>
  <si>
    <t xml:space="preserve">CGTGACGGGTAATCATCTCC</t>
  </si>
  <si>
    <t xml:space="preserve">TAGTCGTGACGGGTAATCATCTCC</t>
  </si>
  <si>
    <t xml:space="preserve">AAACGGAGATGATTACCCGTCACG</t>
  </si>
  <si>
    <t xml:space="preserve">PSPPH_2101</t>
  </si>
  <si>
    <t xml:space="preserve">GCAGGAGGAATTGGCGCGCA</t>
  </si>
  <si>
    <t xml:space="preserve">TAGTGCAGGAGGAATTGGCGCGCA</t>
  </si>
  <si>
    <t xml:space="preserve">AAACTGCGCGCCAATTCCTCCTGC</t>
  </si>
  <si>
    <t xml:space="preserve">TGGCCGCAGACAGACCGCAA</t>
  </si>
  <si>
    <t xml:space="preserve">TAGTTGGCCGCAGACAGACCGCAA</t>
  </si>
  <si>
    <t xml:space="preserve">AAACTTGCGGTCTGTCTGCGGCCA</t>
  </si>
  <si>
    <t xml:space="preserve">GGGTGTCAGGTTTGCAGCAA</t>
  </si>
  <si>
    <t xml:space="preserve">TAGTGGGTGTCAGGTTTGCAGCAA</t>
  </si>
  <si>
    <t xml:space="preserve">AAACTTGCTGCAAACCTGACACCC</t>
  </si>
  <si>
    <t xml:space="preserve">CCGGCAGCATTGCCGCTGAT</t>
  </si>
  <si>
    <t xml:space="preserve">TAGTCCGGCAGCATTGCCGCTGAT</t>
  </si>
  <si>
    <t xml:space="preserve">AAACATCAGCGGCAATGCTGCCGG</t>
  </si>
  <si>
    <t xml:space="preserve">PSPPH_2102</t>
  </si>
  <si>
    <t xml:space="preserve">GACGCCGGACAAAGGCGTGC</t>
  </si>
  <si>
    <t xml:space="preserve">TAGTGACGCCGGACAAAGGCGTGC</t>
  </si>
  <si>
    <t xml:space="preserve">AAACGCACGCCTTTGTCCGGCGTC</t>
  </si>
  <si>
    <t xml:space="preserve">AACCAATCCCTTTCAGTGGT</t>
  </si>
  <si>
    <t xml:space="preserve">TAGTAACCAATCCCTTTCAGTGGT</t>
  </si>
  <si>
    <t xml:space="preserve">AAACACCACTGAAAGGGATTGGTT</t>
  </si>
  <si>
    <t xml:space="preserve">CTTGGAGAGTGTGTCGTGAC</t>
  </si>
  <si>
    <t xml:space="preserve">TAGTCTTGGAGAGTGTGTCGTGAC</t>
  </si>
  <si>
    <t xml:space="preserve">AAACGTCACGACACACTCTCCAAG</t>
  </si>
  <si>
    <t xml:space="preserve">TGATCGGATAGAAGCCGGAC</t>
  </si>
  <si>
    <t xml:space="preserve">TAGTTGATCGGATAGAAGCCGGAC</t>
  </si>
  <si>
    <t xml:space="preserve">AAACGTCCGGCTTCTATCCGATCA</t>
  </si>
  <si>
    <t xml:space="preserve">PSPPH_2103</t>
  </si>
  <si>
    <t xml:space="preserve">CAGACCCACGAGAGGCGTCC</t>
  </si>
  <si>
    <t xml:space="preserve">TAGTCAGACCCACGAGAGGCGTCC</t>
  </si>
  <si>
    <t xml:space="preserve">AAACGGACGCCTCTCGTGGGTCTG</t>
  </si>
  <si>
    <t xml:space="preserve">TAACTAAGTGAGTCGCGGAG</t>
  </si>
  <si>
    <t xml:space="preserve">TAGTTAACTAAGTGAGTCGCGGAG</t>
  </si>
  <si>
    <t xml:space="preserve">AAACCTCCGCGACTCACTTAGTTA</t>
  </si>
  <si>
    <t xml:space="preserve">CGGATCAGTGACAGGGCGAA</t>
  </si>
  <si>
    <t xml:space="preserve">TAGTCGGATCAGTGACAGGGCGAA</t>
  </si>
  <si>
    <t xml:space="preserve">AAACTTCGCCCTGTCACTGATCCG</t>
  </si>
  <si>
    <t xml:space="preserve">PSPPH_2104</t>
  </si>
  <si>
    <t xml:space="preserve">CTGGGCGACAGGGTTGGTCT</t>
  </si>
  <si>
    <t xml:space="preserve">TAGTCTGGGCGACAGGGTTGGTCT</t>
  </si>
  <si>
    <t xml:space="preserve">AAACAGACCAACCCTGTCGCCCAG</t>
  </si>
  <si>
    <t xml:space="preserve">TTCGCCCATCCCGGCACGGG</t>
  </si>
  <si>
    <t xml:space="preserve">TAGTTTCGCCCATCCCGGCACGGG</t>
  </si>
  <si>
    <t xml:space="preserve">AAACCCCGTGCCGGGATGGGCGAA</t>
  </si>
  <si>
    <t xml:space="preserve">GCCCCAGCGCGTCTTGCCCA</t>
  </si>
  <si>
    <t xml:space="preserve">TAGTGCCCCAGCGCGTCTTGCCCA</t>
  </si>
  <si>
    <t xml:space="preserve">AAACTGGGCAAGACGCGCTGGGGC</t>
  </si>
  <si>
    <t xml:space="preserve">CGTGGTGGCGAAGAACACCA</t>
  </si>
  <si>
    <t xml:space="preserve">TAGTCGTGGTGGCGAAGAACACCA</t>
  </si>
  <si>
    <t xml:space="preserve">AAACTGGTGTTCTTCGCCACCACG</t>
  </si>
  <si>
    <t xml:space="preserve">PSPPH_2105</t>
  </si>
  <si>
    <t xml:space="preserve">CAGAGTACCGCTCAAGGATA</t>
  </si>
  <si>
    <t xml:space="preserve">TAGTCAGAGTACCGCTCAAGGATA</t>
  </si>
  <si>
    <t xml:space="preserve">AAACTATCCTTGAGCGGTACTCTG</t>
  </si>
  <si>
    <t xml:space="preserve">GCGATGGCTTCGAGCTTTTC</t>
  </si>
  <si>
    <t xml:space="preserve">TAGTGCGATGGCTTCGAGCTTTTC</t>
  </si>
  <si>
    <t xml:space="preserve">AAACGAAAAGCTCGAAGCCATCGC</t>
  </si>
  <si>
    <t xml:space="preserve">GACGCCGTCAAAGCCGGCTG</t>
  </si>
  <si>
    <t xml:space="preserve">TAGTGACGCCGTCAAAGCCGGCTG</t>
  </si>
  <si>
    <t xml:space="preserve">AAACCAGCCGGCTTTGACGGCGTC</t>
  </si>
  <si>
    <t xml:space="preserve">ATATCTGCCTGACGTTGCGT</t>
  </si>
  <si>
    <t xml:space="preserve">TAGTATATCTGCCTGACGTTGCGT</t>
  </si>
  <si>
    <t xml:space="preserve">AAACACGCAACGTCAGGCAGATAT</t>
  </si>
  <si>
    <t xml:space="preserve">PSPPH_2106</t>
  </si>
  <si>
    <t xml:space="preserve">GGCAGGTTCAACGGCAACGG</t>
  </si>
  <si>
    <t xml:space="preserve">TAGTGGCAGGTTCAACGGCAACGG</t>
  </si>
  <si>
    <t xml:space="preserve">AAACCCGTTGCCGTTGAACCTGCC</t>
  </si>
  <si>
    <t xml:space="preserve">GCGGCCCTTGGGCGCAGTAG</t>
  </si>
  <si>
    <t xml:space="preserve">TAGTGCGGCCCTTGGGCGCAGTAG</t>
  </si>
  <si>
    <t xml:space="preserve">AAACCTACTGCGCCCAAGGGCCGC</t>
  </si>
  <si>
    <t xml:space="preserve">TATCTTCGCGGGTTTTTTCC</t>
  </si>
  <si>
    <t xml:space="preserve">TAGTTATCTTCGCGGGTTTTTTCC</t>
  </si>
  <si>
    <t xml:space="preserve">AAACGGAAAAAACCCGCGAAGATA</t>
  </si>
  <si>
    <t xml:space="preserve">AAGACCGTGGGCAACGAATT</t>
  </si>
  <si>
    <t xml:space="preserve">TAGTAAGACCGTGGGCAACGAATT</t>
  </si>
  <si>
    <t xml:space="preserve">AAACAATTCGTTGCCCACGGTCTT</t>
  </si>
  <si>
    <t xml:space="preserve">PSPPH_2107</t>
  </si>
  <si>
    <t xml:space="preserve">AACGGATTTTTTTTCAGCAT</t>
  </si>
  <si>
    <t xml:space="preserve">TAGTAACGGATTTTTTTTCAGCAT</t>
  </si>
  <si>
    <t xml:space="preserve">AAACATGCTGAAAAAAAATCCGTT</t>
  </si>
  <si>
    <t xml:space="preserve">AATGCCCGAGCCGATCAGGC</t>
  </si>
  <si>
    <t xml:space="preserve">TAGTAATGCCCGAGCCGATCAGGC</t>
  </si>
  <si>
    <t xml:space="preserve">AAACGCCTGATCGGCTCGGGCATT</t>
  </si>
  <si>
    <t xml:space="preserve">GTGCATGGCGGGCGTTCGCG</t>
  </si>
  <si>
    <t xml:space="preserve">TAGTGTGCATGGCGGGCGTTCGCG</t>
  </si>
  <si>
    <t xml:space="preserve">AAACCGCGAACGCCCGCCATGCAC</t>
  </si>
  <si>
    <t xml:space="preserve">ATACAAGTAGCGCAGGCCCT</t>
  </si>
  <si>
    <t xml:space="preserve">TAGTATACAAGTAGCGCAGGCCCT</t>
  </si>
  <si>
    <t xml:space="preserve">AAACAGGGCCTGCGCTACTTGTAT</t>
  </si>
  <si>
    <t xml:space="preserve">PSPPH_2108</t>
  </si>
  <si>
    <t xml:space="preserve">GCGGCGCTGAAAACGGAATC</t>
  </si>
  <si>
    <t xml:space="preserve">TAGTGCGGCGCTGAAAACGGAATC</t>
  </si>
  <si>
    <t xml:space="preserve">AAACGATTCCGTTTTCAGCGCCGC</t>
  </si>
  <si>
    <t xml:space="preserve">TGGCGGCAGGTACAACGTGC</t>
  </si>
  <si>
    <t xml:space="preserve">TAGTTGGCGGCAGGTACAACGTGC</t>
  </si>
  <si>
    <t xml:space="preserve">AAACGCACGTTGTACCTGCCGCCA</t>
  </si>
  <si>
    <t xml:space="preserve">AGCACTGTGGCCCACGCGCC</t>
  </si>
  <si>
    <t xml:space="preserve">TAGTAGCACTGTGGCCCACGCGCC</t>
  </si>
  <si>
    <t xml:space="preserve">AAACGGCGCGTGGGCCACAGTGCT</t>
  </si>
  <si>
    <t xml:space="preserve">TGGCGGTGAATTTCGCGCAC</t>
  </si>
  <si>
    <t xml:space="preserve">TAGTTGGCGGTGAATTTCGCGCAC</t>
  </si>
  <si>
    <t xml:space="preserve">AAACGTGCGCGAAATTCACCGCCA</t>
  </si>
  <si>
    <t xml:space="preserve">PSPPH_2109</t>
  </si>
  <si>
    <t xml:space="preserve">AAGCAGGAAGGCAGCGGGAA</t>
  </si>
  <si>
    <t xml:space="preserve">TAGTAAGCAGGAAGGCAGCGGGAA</t>
  </si>
  <si>
    <t xml:space="preserve">AAACTTCCCGCTGCCTTCCTGCTT</t>
  </si>
  <si>
    <t xml:space="preserve">CGATGCGCAGCCGGCGAGGG</t>
  </si>
  <si>
    <t xml:space="preserve">TAGTCGATGCGCAGCCGGCGAGGG</t>
  </si>
  <si>
    <t xml:space="preserve">AAACCCCTCGCCGGCTGCGCATCG</t>
  </si>
  <si>
    <t xml:space="preserve">TCGTTCAAGGTGATCACAGT</t>
  </si>
  <si>
    <t xml:space="preserve">TAGTTCGTTCAAGGTGATCACAGT</t>
  </si>
  <si>
    <t xml:space="preserve">AAACACTGTGATCACCTTGAACGA</t>
  </si>
  <si>
    <t xml:space="preserve">ACTTTGGCGTATCGACAGCC</t>
  </si>
  <si>
    <t xml:space="preserve">TAGTACTTTGGCGTATCGACAGCC</t>
  </si>
  <si>
    <t xml:space="preserve">AAACGGCTGTCGATACGCCAAAGT</t>
  </si>
  <si>
    <t xml:space="preserve">PSPPH_2110</t>
  </si>
  <si>
    <t xml:space="preserve">mobA</t>
  </si>
  <si>
    <t xml:space="preserve">AGCAGGGAGGCAGTGCGGCA</t>
  </si>
  <si>
    <t xml:space="preserve">TAGTAGCAGGGAGGCAGTGCGGCA</t>
  </si>
  <si>
    <t xml:space="preserve">AAACTGCCGCACTGCCTCCCTGCT</t>
  </si>
  <si>
    <t xml:space="preserve">GCTGCCCGCGACCTCCGGCC</t>
  </si>
  <si>
    <t xml:space="preserve">TAGTGCTGCCCGCGACCTCCGGCC</t>
  </si>
  <si>
    <t xml:space="preserve">AAACGGCCGGAGGTCGCGGGCAGC</t>
  </si>
  <si>
    <t xml:space="preserve">CCTTGCCCTGCCACTCGATC</t>
  </si>
  <si>
    <t xml:space="preserve">TAGTCCTTGCCCTGCCACTCGATC</t>
  </si>
  <si>
    <t xml:space="preserve">AAACGATCGAGTGGCAGGGCAAGG</t>
  </si>
  <si>
    <t xml:space="preserve">GCGGCCGGGTCAGCCGGTGC</t>
  </si>
  <si>
    <t xml:space="preserve">TAGTGCGGCCGGGTCAGCCGGTGC</t>
  </si>
  <si>
    <t xml:space="preserve">AAACGCACCGGCTGACCCGGCCGC</t>
  </si>
  <si>
    <t xml:space="preserve">PSPPH_2111</t>
  </si>
  <si>
    <t xml:space="preserve">moaB</t>
  </si>
  <si>
    <t xml:space="preserve">TGTGTCAGCCTTAGCTTTCA</t>
  </si>
  <si>
    <t xml:space="preserve">TAGTTGTGTCAGCCTTAGCTTTCA</t>
  </si>
  <si>
    <t xml:space="preserve">AAACTGAAAGCTAAGGCTGACACA</t>
  </si>
  <si>
    <t xml:space="preserve">GCGATATTCAGGGGTACGAA</t>
  </si>
  <si>
    <t xml:space="preserve">TAGTGCGATATTCAGGGGTACGAA</t>
  </si>
  <si>
    <t xml:space="preserve">AAACTTCGTACCCCTGAATATCGC</t>
  </si>
  <si>
    <t xml:space="preserve">GGTATCGCTGACGGTCAGCA</t>
  </si>
  <si>
    <t xml:space="preserve">TAGTGGTATCGCTGACGGTCAGCA</t>
  </si>
  <si>
    <t xml:space="preserve">AAACTGCTGACCGTCAGCGATACC</t>
  </si>
  <si>
    <t xml:space="preserve">GGTATCGGTTTCACGGGTGC</t>
  </si>
  <si>
    <t xml:space="preserve">TAGTGGTATCGGTTTCACGGGTGC</t>
  </si>
  <si>
    <t xml:space="preserve">AAACGCACCCGTGAAACCGATACC</t>
  </si>
  <si>
    <t xml:space="preserve">PSPPH_2112</t>
  </si>
  <si>
    <t xml:space="preserve">moeA</t>
  </si>
  <si>
    <t xml:space="preserve">TCGACAGGCAGCAAGGTTTT</t>
  </si>
  <si>
    <t xml:space="preserve">TAGTTCGACAGGCAGCAAGGTTTT</t>
  </si>
  <si>
    <t xml:space="preserve">AAACAAAACCTTGCTGCCTGTCGA</t>
  </si>
  <si>
    <t xml:space="preserve">ATCAGTGATCGGCGTGGCCT</t>
  </si>
  <si>
    <t xml:space="preserve">TAGTATCAGTGATCGGCGTGGCCT</t>
  </si>
  <si>
    <t xml:space="preserve">AAACAGGCCACGCCGATCACTGAT</t>
  </si>
  <si>
    <t xml:space="preserve">CATCGGCCAGCGGAACACGC</t>
  </si>
  <si>
    <t xml:space="preserve">TAGTCATCGGCCAGCGGAACACGC</t>
  </si>
  <si>
    <t xml:space="preserve">AAACGCGTGTTCCGCTGGCCGATG</t>
  </si>
  <si>
    <t xml:space="preserve">TACCGCCAGCACACGGCCTT</t>
  </si>
  <si>
    <t xml:space="preserve">TAGTTACCGCCAGCACACGGCCTT</t>
  </si>
  <si>
    <t xml:space="preserve">AAACAAGGCCGTGTGCTGGCGGTA</t>
  </si>
  <si>
    <t xml:space="preserve">PSPPH_2113</t>
  </si>
  <si>
    <t xml:space="preserve">ATCACACAAGCCACTCTCAA</t>
  </si>
  <si>
    <t xml:space="preserve">TAGTATCACACAAGCCACTCTCAA</t>
  </si>
  <si>
    <t xml:space="preserve">AAACTTGAGAGTGGCTTGTGTGAT</t>
  </si>
  <si>
    <t xml:space="preserve">CCTTGCGTCCGTTGTAGGTC</t>
  </si>
  <si>
    <t xml:space="preserve">TAGTCCTTGCGTCCGTTGTAGGTC</t>
  </si>
  <si>
    <t xml:space="preserve">AAACGACCTACAACGGACGCAAGG</t>
  </si>
  <si>
    <t xml:space="preserve">CAGCGTGCCATCTGAAGAAC</t>
  </si>
  <si>
    <t xml:space="preserve">TAGTCAGCGTGCCATCTGAAGAAC</t>
  </si>
  <si>
    <t xml:space="preserve">AAACGTTCTTCAGATGGCACGCTG</t>
  </si>
  <si>
    <t xml:space="preserve">GCGCAATACGTTGGCACAAC</t>
  </si>
  <si>
    <t xml:space="preserve">TAGTGCGCAATACGTTGGCACAAC</t>
  </si>
  <si>
    <t xml:space="preserve">AAACGTTGTGCCAACGTATTGCGC</t>
  </si>
  <si>
    <t xml:space="preserve">PSPPH_2114</t>
  </si>
  <si>
    <t xml:space="preserve">TGCAACAGGCTGCCTTCATG</t>
  </si>
  <si>
    <t xml:space="preserve">TAGTTGCAACAGGCTGCCTTCATG</t>
  </si>
  <si>
    <t xml:space="preserve">AAACCATGAAGGCAGCCTGTTGCA</t>
  </si>
  <si>
    <t xml:space="preserve">GGCGAGTAGAAACACTACTG</t>
  </si>
  <si>
    <t xml:space="preserve">TAGTGGCGAGTAGAAACACTACTG</t>
  </si>
  <si>
    <t xml:space="preserve">AAACCAGTAGTGTTTCTACTCGCC</t>
  </si>
  <si>
    <t xml:space="preserve">CAGCGGTACTGTCAGCACGG</t>
  </si>
  <si>
    <t xml:space="preserve">TAGTCAGCGGTACTGTCAGCACGG</t>
  </si>
  <si>
    <t xml:space="preserve">AAACCCGTGCTGACAGTACCGCTG</t>
  </si>
  <si>
    <t xml:space="preserve">CGATCACCGCGCCCAGCTTC</t>
  </si>
  <si>
    <t xml:space="preserve">TAGTCGATCACCGCGCCCAGCTTC</t>
  </si>
  <si>
    <t xml:space="preserve">AAACGAAGCTGGGCGCGGTGATCG</t>
  </si>
  <si>
    <t xml:space="preserve">PSPPH_2115</t>
  </si>
  <si>
    <t xml:space="preserve">TTACGCCGATGCGCGACGAA</t>
  </si>
  <si>
    <t xml:space="preserve">TAGTTTACGCCGATGCGCGACGAA</t>
  </si>
  <si>
    <t xml:space="preserve">AAACTTCGTCGCGCATCGGCGTAA</t>
  </si>
  <si>
    <t xml:space="preserve">AATGCTCGTGAGCGGGCAGT</t>
  </si>
  <si>
    <t xml:space="preserve">TAGTAATGCTCGTGAGCGGGCAGT</t>
  </si>
  <si>
    <t xml:space="preserve">AAACACTGCCCGCTCACGAGCATT</t>
  </si>
  <si>
    <t xml:space="preserve">ACGCTGCTTGTTGGTCATAA</t>
  </si>
  <si>
    <t xml:space="preserve">TAGTACGCTGCTTGTTGGTCATAA</t>
  </si>
  <si>
    <t xml:space="preserve">AAACTTATGACCAACAAGCAGCGT</t>
  </si>
  <si>
    <t xml:space="preserve">CATGATCGCCAGAACGCCGA</t>
  </si>
  <si>
    <t xml:space="preserve">TAGTCATGATCGCCAGAACGCCGA</t>
  </si>
  <si>
    <t xml:space="preserve">AAACTCGGCGTTCTGGCGATCATG</t>
  </si>
  <si>
    <t xml:space="preserve">PSPPH_2116</t>
  </si>
  <si>
    <t xml:space="preserve">GGGTGCGAGTCGTGATTCCT</t>
  </si>
  <si>
    <t xml:space="preserve">TAGTGGGTGCGAGTCGTGATTCCT</t>
  </si>
  <si>
    <t xml:space="preserve">AAACAGGAATCACGACTCGCACCC</t>
  </si>
  <si>
    <t xml:space="preserve">CAGTGCTGTTTGGCGCAGCA</t>
  </si>
  <si>
    <t xml:space="preserve">TAGTCAGTGCTGTTTGGCGCAGCA</t>
  </si>
  <si>
    <t xml:space="preserve">AAACTGCTGCGCCAAACAGCACTG</t>
  </si>
  <si>
    <t xml:space="preserve">GGCCGCTCGGTCTCCAGAGC</t>
  </si>
  <si>
    <t xml:space="preserve">TAGTGGCCGCTCGGTCTCCAGAGC</t>
  </si>
  <si>
    <t xml:space="preserve">AAACGCTCTGGAGACCGAGCGGCC</t>
  </si>
  <si>
    <t xml:space="preserve">AGTCGGATGTGCTCGTTTCC</t>
  </si>
  <si>
    <t xml:space="preserve">TAGTAGTCGGATGTGCTCGTTTCC</t>
  </si>
  <si>
    <t xml:space="preserve">AAACGGAAACGAGCACATCCGACT</t>
  </si>
  <si>
    <t xml:space="preserve">PSPPH_2117</t>
  </si>
  <si>
    <t xml:space="preserve">CTGAAAAGAGGGTCGCTCAT</t>
  </si>
  <si>
    <t xml:space="preserve">TAGTCTGAAAAGAGGGTCGCTCAT</t>
  </si>
  <si>
    <t xml:space="preserve">AAACATGAGCGACCCTCTTTTCAG</t>
  </si>
  <si>
    <t xml:space="preserve">GCACCAATGCGCAGCGGCAT</t>
  </si>
  <si>
    <t xml:space="preserve">TAGTGCACCAATGCGCAGCGGCAT</t>
  </si>
  <si>
    <t xml:space="preserve">AAACATGCCGCTGCGCATTGGTGC</t>
  </si>
  <si>
    <t xml:space="preserve">CGGTGCAGTCTTCGGCGTGC</t>
  </si>
  <si>
    <t xml:space="preserve">TAGTCGGTGCAGTCTTCGGCGTGC</t>
  </si>
  <si>
    <t xml:space="preserve">AAACGCACGCCGAAGACTGCACCG</t>
  </si>
  <si>
    <t xml:space="preserve">GAACGCTTTTCGTTCTGCGG</t>
  </si>
  <si>
    <t xml:space="preserve">TAGTGAACGCTTTTCGTTCTGCGG</t>
  </si>
  <si>
    <t xml:space="preserve">AAACCCGCAGAACGAAAAGCGTTC</t>
  </si>
  <si>
    <t xml:space="preserve">PSPPH_2118</t>
  </si>
  <si>
    <t xml:space="preserve">CGGCTGATCGTTAGGGATGG</t>
  </si>
  <si>
    <t xml:space="preserve">TAGTCGGCTGATCGTTAGGGATGG</t>
  </si>
  <si>
    <t xml:space="preserve">AAACCCATCCCTAACGATCAGCCG</t>
  </si>
  <si>
    <t xml:space="preserve">TGATATGAAACGGTCCGGGC</t>
  </si>
  <si>
    <t xml:space="preserve">TAGTTGATATGAAACGGTCCGGGC</t>
  </si>
  <si>
    <t xml:space="preserve">AAACGCCCGGACCGTTTCATATCA</t>
  </si>
  <si>
    <t xml:space="preserve">CCGGGGAGGTGCCGTGTGCA</t>
  </si>
  <si>
    <t xml:space="preserve">TAGTCCGGGGAGGTGCCGTGTGCA</t>
  </si>
  <si>
    <t xml:space="preserve">AAACTGCACACGGCACCTCCCCGG</t>
  </si>
  <si>
    <t xml:space="preserve">GCAGTTCTCGGCAAGCACAT</t>
  </si>
  <si>
    <t xml:space="preserve">TAGTGCAGTTCTCGGCAAGCACAT</t>
  </si>
  <si>
    <t xml:space="preserve">AAACATGTGCTTGCCGAGAACTGC</t>
  </si>
  <si>
    <t xml:space="preserve">PSPPH_2119</t>
  </si>
  <si>
    <t xml:space="preserve">CAGGTTGGCGTGCATGTTTT</t>
  </si>
  <si>
    <t xml:space="preserve">TAGTCAGGTTGGCGTGCATGTTTT</t>
  </si>
  <si>
    <t xml:space="preserve">AAACAAAACATGCACGCCAACCTG</t>
  </si>
  <si>
    <t xml:space="preserve">GGAGCGACTGAGCGCAACGC</t>
  </si>
  <si>
    <t xml:space="preserve">TAGTGGAGCGACTGAGCGCAACGC</t>
  </si>
  <si>
    <t xml:space="preserve">AAACGCGTTGCGCTCAGTCGCTCC</t>
  </si>
  <si>
    <t xml:space="preserve">GTGCTCAGCCTGCGCATTGA</t>
  </si>
  <si>
    <t xml:space="preserve">TAGTGTGCTCAGCCTGCGCATTGA</t>
  </si>
  <si>
    <t xml:space="preserve">AAACTCAATGCGCAGGCTGAGCAC</t>
  </si>
  <si>
    <t xml:space="preserve">ATCCAGTGCCGGGTGCAATT</t>
  </si>
  <si>
    <t xml:space="preserve">TAGTATCCAGTGCCGGGTGCAATT</t>
  </si>
  <si>
    <t xml:space="preserve">AAACAATTGCACCCGGCACTGGAT</t>
  </si>
  <si>
    <t xml:space="preserve">PSPPH_2120</t>
  </si>
  <si>
    <t xml:space="preserve">map1</t>
  </si>
  <si>
    <t xml:space="preserve">CTGTTCGGTCTTGATACCGA</t>
  </si>
  <si>
    <t xml:space="preserve">TAGTCTGTTCGGTCTTGATACCGA</t>
  </si>
  <si>
    <t xml:space="preserve">AAACTCGGTATCAAGACCGAACAG</t>
  </si>
  <si>
    <t xml:space="preserve">CGGCTATGCGCAACTGCACA</t>
  </si>
  <si>
    <t xml:space="preserve">TAGTCGGCTATGCGCAACTGCACA</t>
  </si>
  <si>
    <t xml:space="preserve">AAACTGTGCAGTTGCGCATAGCCG</t>
  </si>
  <si>
    <t xml:space="preserve">TACATCGGCAGCCAGCCTGC</t>
  </si>
  <si>
    <t xml:space="preserve">TAGTTACATCGGCAGCCAGCCTGC</t>
  </si>
  <si>
    <t xml:space="preserve">AAACGCAGGCTGGCTGCCGATGTA</t>
  </si>
  <si>
    <t xml:space="preserve">GCAGATATCGTCCAGCGCTT</t>
  </si>
  <si>
    <t xml:space="preserve">TAGTGCAGATATCGTCCAGCGCTT</t>
  </si>
  <si>
    <t xml:space="preserve">AAACAAGCGCTGGACGATATCTGC</t>
  </si>
  <si>
    <t xml:space="preserve">PSPPH_2121</t>
  </si>
  <si>
    <t xml:space="preserve">TTTCCTGCTCGTAAGCCTGA</t>
  </si>
  <si>
    <t xml:space="preserve">TAGTTTTCCTGCTCGTAAGCCTGA</t>
  </si>
  <si>
    <t xml:space="preserve">AAACTCAGGCTTACGAGCAGGAAA</t>
  </si>
  <si>
    <t xml:space="preserve">GTCTGGTGCAGAAAGCAACG</t>
  </si>
  <si>
    <t xml:space="preserve">TAGTGTCTGGTGCAGAAAGCAACG</t>
  </si>
  <si>
    <t xml:space="preserve">AAACCGTTGCTTTCTGCACCAGAC</t>
  </si>
  <si>
    <t xml:space="preserve">GTCGCACTGGCACATTTGCC</t>
  </si>
  <si>
    <t xml:space="preserve">TAGTGTCGCACTGGCACATTTGCC</t>
  </si>
  <si>
    <t xml:space="preserve">AAACGGCAAATGTGCCAGTGCGAC</t>
  </si>
  <si>
    <t xml:space="preserve">GTTACTCACTGTGCCGACGC</t>
  </si>
  <si>
    <t xml:space="preserve">TAGTGTTACTCACTGTGCCGACGC</t>
  </si>
  <si>
    <t xml:space="preserve">AAACGCGTCGGCACAGTGAGTAAC</t>
  </si>
  <si>
    <t xml:space="preserve">PSPPH_2122</t>
  </si>
  <si>
    <t xml:space="preserve">endA</t>
  </si>
  <si>
    <t xml:space="preserve">TGAAGCGGTGATGAGCAGGG</t>
  </si>
  <si>
    <t xml:space="preserve">TAGTTGAAGCGGTGATGAGCAGGG</t>
  </si>
  <si>
    <t xml:space="preserve">AAACCCCTGCTCATCACCGCTTCA</t>
  </si>
  <si>
    <t xml:space="preserve">GCTGAAAGTACGCGGAGCTT</t>
  </si>
  <si>
    <t xml:space="preserve">TAGTGCTGAAAGTACGCGGAGCTT</t>
  </si>
  <si>
    <t xml:space="preserve">AAACAAGCTCCGCGTACTTTCAGC</t>
  </si>
  <si>
    <t xml:space="preserve">TAACCCCCAGGCGACTTTCT</t>
  </si>
  <si>
    <t xml:space="preserve">TAGTTAACCCCCAGGCGACTTTCT</t>
  </si>
  <si>
    <t xml:space="preserve">AAACAGAAAGTCGCCTGGGGGTTA</t>
  </si>
  <si>
    <t xml:space="preserve">CAGTAAAATTCGGTCGATTG</t>
  </si>
  <si>
    <t xml:space="preserve">TAGTCAGTAAAATTCGGTCGATTG</t>
  </si>
  <si>
    <t xml:space="preserve">AAACCAATCGACCGAATTTTACTG</t>
  </si>
  <si>
    <t xml:space="preserve">PSPPH_2123</t>
  </si>
  <si>
    <t xml:space="preserve">GTTCCTGATTTTCGCTGTAC</t>
  </si>
  <si>
    <t xml:space="preserve">TAGTGTTCCTGATTTTCGCTGTAC</t>
  </si>
  <si>
    <t xml:space="preserve">AAACGTACAGCGAAAATCAGGAAC</t>
  </si>
  <si>
    <t xml:space="preserve">GGTTTGTTTGGCCACGGATA</t>
  </si>
  <si>
    <t xml:space="preserve">TAGTGGTTTGTTTGGCCACGGATA</t>
  </si>
  <si>
    <t xml:space="preserve">AAACTATCCGTGGCCAAACAAACC</t>
  </si>
  <si>
    <t xml:space="preserve">GGGAGTGGAGGCGGTCGCTG</t>
  </si>
  <si>
    <t xml:space="preserve">TAGTGGGAGTGGAGGCGGTCGCTG</t>
  </si>
  <si>
    <t xml:space="preserve">AAACCAGCGACCGCCTCCACTCCC</t>
  </si>
  <si>
    <t xml:space="preserve">CCCATGCGCTCGTAAGGGCC</t>
  </si>
  <si>
    <t xml:space="preserve">TAGTCCCATGCGCTCGTAAGGGCC</t>
  </si>
  <si>
    <t xml:space="preserve">AAACGGCCCTTACGAGCGCATGGG</t>
  </si>
  <si>
    <t xml:space="preserve">PSPPH_2124</t>
  </si>
  <si>
    <t xml:space="preserve">ATACGCGACTCCGGGAGCGT</t>
  </si>
  <si>
    <t xml:space="preserve">TAGTATACGCGACTCCGGGAGCGT</t>
  </si>
  <si>
    <t xml:space="preserve">AAACACGCTCCCGGAGTCGCGTAT</t>
  </si>
  <si>
    <t xml:space="preserve">ACAGCAGTTGCGGCCAGTAA</t>
  </si>
  <si>
    <t xml:space="preserve">TAGTACAGCAGTTGCGGCCAGTAA</t>
  </si>
  <si>
    <t xml:space="preserve">AAACTTACTGGCCGCAACTGCTGT</t>
  </si>
  <si>
    <t xml:space="preserve">TTCTGAAGCGTGACGACCGA</t>
  </si>
  <si>
    <t xml:space="preserve">TAGTTTCTGAAGCGTGACGACCGA</t>
  </si>
  <si>
    <t xml:space="preserve">AAACTCGGTCGTCACGCTTCAGAA</t>
  </si>
  <si>
    <t xml:space="preserve">CTTGGTCTTGGGCATGTCCT</t>
  </si>
  <si>
    <t xml:space="preserve">TAGTCTTGGTCTTGGGCATGTCCT</t>
  </si>
  <si>
    <t xml:space="preserve">AAACAGGACATGCCCAAGACCAAG</t>
  </si>
  <si>
    <t xml:space="preserve">PSPPH_2125</t>
  </si>
  <si>
    <t xml:space="preserve">rbsB</t>
  </si>
  <si>
    <t xml:space="preserve">GCGAGAAGGCGTCCAGCAAA</t>
  </si>
  <si>
    <t xml:space="preserve">TAGTGCGAGAAGGCGTCCAGCAAA</t>
  </si>
  <si>
    <t xml:space="preserve">AAACTTTGCTGGACGCCTTCTCGC</t>
  </si>
  <si>
    <t xml:space="preserve">TGCCGTGACAGCAGCGAACA</t>
  </si>
  <si>
    <t xml:space="preserve">TAGTTGCCGTGACAGCAGCGAACA</t>
  </si>
  <si>
    <t xml:space="preserve">AAACTGTTCGCTGCTGTCACGGCA</t>
  </si>
  <si>
    <t xml:space="preserve">TGAGCGTATGCAGCAGAGAG</t>
  </si>
  <si>
    <t xml:space="preserve">TAGTTGAGCGTATGCAGCAGAGAG</t>
  </si>
  <si>
    <t xml:space="preserve">AAACCTCTCTGCTGCATACGCTCA</t>
  </si>
  <si>
    <t xml:space="preserve">AATGCGACCTTGGGTTTTTC</t>
  </si>
  <si>
    <t xml:space="preserve">TAGTAATGCGACCTTGGGTTTTTC</t>
  </si>
  <si>
    <t xml:space="preserve">AAACGAAAAACCCAAGGTCGCATT</t>
  </si>
  <si>
    <t xml:space="preserve">PSPPH_2126</t>
  </si>
  <si>
    <t xml:space="preserve">rbsA</t>
  </si>
  <si>
    <t xml:space="preserve">ACCGAGCACGGGTTGAGCGT</t>
  </si>
  <si>
    <t xml:space="preserve">TAGTACCGAGCACGGGTTGAGCGT</t>
  </si>
  <si>
    <t xml:space="preserve">AAACACGCTCAACCCGTGCTCGGT</t>
  </si>
  <si>
    <t xml:space="preserve">GGCACCGTTTTCCCCGGTCA</t>
  </si>
  <si>
    <t xml:space="preserve">TAGTGGCACCGTTTTCCCCGGTCA</t>
  </si>
  <si>
    <t xml:space="preserve">AAACTGACCGGGGAAAACGGTGCC</t>
  </si>
  <si>
    <t xml:space="preserve">TTTCGACAAGGTGCTTTTAC</t>
  </si>
  <si>
    <t xml:space="preserve">TAGTTTTCGACAAGGTGCTTTTAC</t>
  </si>
  <si>
    <t xml:space="preserve">AAACGTAAAAGCACCTTGTCGAAA</t>
  </si>
  <si>
    <t xml:space="preserve">GCCCGGTAGTGGGCGTCACC</t>
  </si>
  <si>
    <t xml:space="preserve">TAGTGCCCGGTAGTGGGCGTCACC</t>
  </si>
  <si>
    <t xml:space="preserve">AAACGGTGACGCCCACTACCGGGC</t>
  </si>
  <si>
    <t xml:space="preserve">PSPPH_2127</t>
  </si>
  <si>
    <t xml:space="preserve">rbsC</t>
  </si>
  <si>
    <t xml:space="preserve">GGCACGGTCAGCGTCGGAGA</t>
  </si>
  <si>
    <t xml:space="preserve">TAGTGGCACGGTCAGCGTCGGAGA</t>
  </si>
  <si>
    <t xml:space="preserve">AAACTCTCCGACGCTGACCGTGCC</t>
  </si>
  <si>
    <t xml:space="preserve">TAATTGCCGCCGCGACGGGC</t>
  </si>
  <si>
    <t xml:space="preserve">TAGTTAATTGCCGCCGCGACGGGC</t>
  </si>
  <si>
    <t xml:space="preserve">AAACGCCCGTCGCGGCGGCAATTA</t>
  </si>
  <si>
    <t xml:space="preserve">CGCACCCGCCAGCCCGATGT</t>
  </si>
  <si>
    <t xml:space="preserve">TAGTCGCACCCGCCAGCCCGATGT</t>
  </si>
  <si>
    <t xml:space="preserve">AAACACATCGGGCTGGCGGGTGCG</t>
  </si>
  <si>
    <t xml:space="preserve">CAGAAAGTGATCGCTGAGCA</t>
  </si>
  <si>
    <t xml:space="preserve">TAGTCAGAAAGTGATCGCTGAGCA</t>
  </si>
  <si>
    <t xml:space="preserve">AAACTGCTCAGCGATCACTTTCTG</t>
  </si>
  <si>
    <t xml:space="preserve">PSPPH_2128</t>
  </si>
  <si>
    <t xml:space="preserve">rbsR</t>
  </si>
  <si>
    <t xml:space="preserve">GTTCAGCACATGGGAAACCG</t>
  </si>
  <si>
    <t xml:space="preserve">TAGTGTTCAGCACATGGGAAACCG</t>
  </si>
  <si>
    <t xml:space="preserve">AAACCGGTTTCCCATGTGCTGAAC</t>
  </si>
  <si>
    <t xml:space="preserve">GACCGGCTCGCTCACCGGCC</t>
  </si>
  <si>
    <t xml:space="preserve">TAGTGACCGGCTCGCTCACCGGCC</t>
  </si>
  <si>
    <t xml:space="preserve">AAACGGCCGGTGAGCGAGCCGGTC</t>
  </si>
  <si>
    <t xml:space="preserve">CACATAATCGAGCTGCGCGA</t>
  </si>
  <si>
    <t xml:space="preserve">TAGTCACATAATCGAGCTGCGCGA</t>
  </si>
  <si>
    <t xml:space="preserve">AAACTCGCGCAGCTCGATTATGTG</t>
  </si>
  <si>
    <t xml:space="preserve">AGCGAACGCGCCACGGCGCT</t>
  </si>
  <si>
    <t xml:space="preserve">TAGTAGCGAACGCGCCACGGCGCT</t>
  </si>
  <si>
    <t xml:space="preserve">AAACAGCGCCGTGGCGCGTTCGCT</t>
  </si>
  <si>
    <t xml:space="preserve">PSPPH_2129</t>
  </si>
  <si>
    <t xml:space="preserve">rbsK</t>
  </si>
  <si>
    <t xml:space="preserve">TATCACTATTTTTGCTTGCA</t>
  </si>
  <si>
    <t xml:space="preserve">TAGTTATCACTATTTTTGCTTGCA</t>
  </si>
  <si>
    <t xml:space="preserve">AAACTGCAAGCAAAAATAGTGATA</t>
  </si>
  <si>
    <t xml:space="preserve">GGCGCGGCAGACGCTGGGCG</t>
  </si>
  <si>
    <t xml:space="preserve">TAGTGGCGCGGCAGACGCTGGGCG</t>
  </si>
  <si>
    <t xml:space="preserve">AAACCGCCCAGCGTCTGCCGCGCC</t>
  </si>
  <si>
    <t xml:space="preserve">CCCCGCTCAGCGTCTCGCCG</t>
  </si>
  <si>
    <t xml:space="preserve">TAGTCCCCGCTCAGCGTCTCGCCG</t>
  </si>
  <si>
    <t xml:space="preserve">AAACCGGCGAGACGCTGAGCGGGG</t>
  </si>
  <si>
    <t xml:space="preserve">GGCGCCTTTACCGCCAGGCA</t>
  </si>
  <si>
    <t xml:space="preserve">TAGTGGCGCCTTTACCGCCAGGCA</t>
  </si>
  <si>
    <t xml:space="preserve">AAACTGCCTGGCGGTAAAGGCGCC</t>
  </si>
  <si>
    <t xml:space="preserve">PSPPH_2130</t>
  </si>
  <si>
    <t xml:space="preserve">CAGGGCAATGTTGAGTAGCG</t>
  </si>
  <si>
    <t xml:space="preserve">TAGTCAGGGCAATGTTGAGTAGCG</t>
  </si>
  <si>
    <t xml:space="preserve">AAACCGCTACTCAACATTGCCCTG</t>
  </si>
  <si>
    <t xml:space="preserve">TTCCAGCGTCGACGATCATC</t>
  </si>
  <si>
    <t xml:space="preserve">TAGTTTCCAGCGTCGACGATCATC</t>
  </si>
  <si>
    <t xml:space="preserve">AAACGATGATCGTCGACGCTGGAA</t>
  </si>
  <si>
    <t xml:space="preserve">AGCTCGACGCCTGCCGGTAC</t>
  </si>
  <si>
    <t xml:space="preserve">TAGTAGCTCGACGCCTGCCGGTAC</t>
  </si>
  <si>
    <t xml:space="preserve">AAACGTACCGGCAGGCGTCGAGCT</t>
  </si>
  <si>
    <t xml:space="preserve">GTACGCCGCGAGTCAGCGCC</t>
  </si>
  <si>
    <t xml:space="preserve">TAGTGTACGCCGCGAGTCAGCGCC</t>
  </si>
  <si>
    <t xml:space="preserve">AAACGGCGCTGACTCGCGGCGTAC</t>
  </si>
  <si>
    <t xml:space="preserve">PSPPH_2131</t>
  </si>
  <si>
    <t xml:space="preserve">TGCTCCACGAATGAACTGTC</t>
  </si>
  <si>
    <t xml:space="preserve">TAGTTGCTCCACGAATGAACTGTC</t>
  </si>
  <si>
    <t xml:space="preserve">AAACGACAGTTCATTCGTGGAGCA</t>
  </si>
  <si>
    <t xml:space="preserve">AACGGCAGCGCTACTCAGTA</t>
  </si>
  <si>
    <t xml:space="preserve">TAGTAACGGCAGCGCTACTCAGTA</t>
  </si>
  <si>
    <t xml:space="preserve">AAACTACTGAGTAGCGCTGCCGTT</t>
  </si>
  <si>
    <t xml:space="preserve">GACGTCGTCCGCGCCAGGGT</t>
  </si>
  <si>
    <t xml:space="preserve">TAGTGACGTCGTCCGCGCCAGGGT</t>
  </si>
  <si>
    <t xml:space="preserve">AAACACCCTGGCGCGGACGACGTC</t>
  </si>
  <si>
    <t xml:space="preserve">GCCATCACGTTCAATTCTTC</t>
  </si>
  <si>
    <t xml:space="preserve">TAGTGCCATCACGTTCAATTCTTC</t>
  </si>
  <si>
    <t xml:space="preserve">AAACGAAGAATTGAACGTGATGGC</t>
  </si>
  <si>
    <t xml:space="preserve">PSPPH_2132</t>
  </si>
  <si>
    <t xml:space="preserve">GTCTGTTGATCTCCAGTAAA</t>
  </si>
  <si>
    <t xml:space="preserve">TAGTGTCTGTTGATCTCCAGTAAA</t>
  </si>
  <si>
    <t xml:space="preserve">AAACTTTACTGGAGATCAACAGAC</t>
  </si>
  <si>
    <t xml:space="preserve">GATGTCTGCATCCAGAGTTA</t>
  </si>
  <si>
    <t xml:space="preserve">TAGTGATGTCTGCATCCAGAGTTA</t>
  </si>
  <si>
    <t xml:space="preserve">AAACTAACTCTGGATGCAGACATC</t>
  </si>
  <si>
    <t xml:space="preserve">GCAGTGGCCCTGAGGCCATC</t>
  </si>
  <si>
    <t xml:space="preserve">TAGTGCAGTGGCCCTGAGGCCATC</t>
  </si>
  <si>
    <t xml:space="preserve">AAACGATGGCCTCAGGGCCACTGC</t>
  </si>
  <si>
    <t xml:space="preserve">TCAGCTCTTCCGGGTTTCCG</t>
  </si>
  <si>
    <t xml:space="preserve">TAGTTCAGCTCTTCCGGGTTTCCG</t>
  </si>
  <si>
    <t xml:space="preserve">AAACCGGAAACCCGGAAGAGCTGA</t>
  </si>
  <si>
    <t xml:space="preserve">PSPPH_2133</t>
  </si>
  <si>
    <t xml:space="preserve">capA</t>
  </si>
  <si>
    <t xml:space="preserve">GCCGGTTTGGCGATTAGACA</t>
  </si>
  <si>
    <t xml:space="preserve">TAGTGCCGGTTTGGCGATTAGACA</t>
  </si>
  <si>
    <t xml:space="preserve">AAACTGTCTAATCGCCAAACCGGC</t>
  </si>
  <si>
    <t xml:space="preserve">TTCATCGTTGAACCATTTTA</t>
  </si>
  <si>
    <t xml:space="preserve">TAGTTTCATCGTTGAACCATTTTA</t>
  </si>
  <si>
    <t xml:space="preserve">AAACTAAAATGGTTCAACGATGAA</t>
  </si>
  <si>
    <t xml:space="preserve">AGGTCGTCACCGCCACCCTG</t>
  </si>
  <si>
    <t xml:space="preserve">TAGTAGGTCGTCACCGCCACCCTG</t>
  </si>
  <si>
    <t xml:space="preserve">AAACCAGGGTGGCGGTGACGACCT</t>
  </si>
  <si>
    <t xml:space="preserve">CAGCAACAAAAGAAACGGTC</t>
  </si>
  <si>
    <t xml:space="preserve">TAGTCAGCAACAAAAGAAACGGTC</t>
  </si>
  <si>
    <t xml:space="preserve">AAACGACCGTTTCTTTTGTTGCTG</t>
  </si>
  <si>
    <t xml:space="preserve">PSPPH_2134</t>
  </si>
  <si>
    <t xml:space="preserve">GGACAGGCGGGAAAGCTTCA</t>
  </si>
  <si>
    <t xml:space="preserve">TAGTGGACAGGCGGGAAAGCTTCA</t>
  </si>
  <si>
    <t xml:space="preserve">AAACTGAAGCTTTCCCGCCTGTCC</t>
  </si>
  <si>
    <t xml:space="preserve">GGCGGCGCAGGCGAGGAGTG</t>
  </si>
  <si>
    <t xml:space="preserve">TAGTGGCGGCGCAGGCGAGGAGTG</t>
  </si>
  <si>
    <t xml:space="preserve">AAACCACTCCTCGCCTGCGCCGCC</t>
  </si>
  <si>
    <t xml:space="preserve">AGCGCCCCAAGGGGCCATGA</t>
  </si>
  <si>
    <t xml:space="preserve">TAGTAGCGCCCCAAGGGGCCATGA</t>
  </si>
  <si>
    <t xml:space="preserve">AAACTCATGGCCCCTTGGGGCGCT</t>
  </si>
  <si>
    <t xml:space="preserve">GTCTTGCACGGTTTTTTCCA</t>
  </si>
  <si>
    <t xml:space="preserve">TAGTGTCTTGCACGGTTTTTTCCA</t>
  </si>
  <si>
    <t xml:space="preserve">AAACTGGAAAAAACCGTGCAAGAC</t>
  </si>
  <si>
    <t xml:space="preserve">PSPPH_2135</t>
  </si>
  <si>
    <t xml:space="preserve">thrS</t>
  </si>
  <si>
    <t xml:space="preserve">GGGAAGAGTAATAGTTGGCA</t>
  </si>
  <si>
    <t xml:space="preserve">TAGTGGGAAGAGTAATAGTTGGCA</t>
  </si>
  <si>
    <t xml:space="preserve">AAACTGCCAACTATTACTCTTCCC</t>
  </si>
  <si>
    <t xml:space="preserve">AATGAACGTTGACTGCCGTC</t>
  </si>
  <si>
    <t xml:space="preserve">TAGTAATGAACGTTGACTGCCGTC</t>
  </si>
  <si>
    <t xml:space="preserve">AAACGACGGCAGTCAACGTTCATT</t>
  </si>
  <si>
    <t xml:space="preserve">TGAAAGCGCGACATCGGCTA</t>
  </si>
  <si>
    <t xml:space="preserve">TAGTTGAAAGCGCGACATCGGCTA</t>
  </si>
  <si>
    <t xml:space="preserve">AAACTAGCCGATGTCGCGCTTTCA</t>
  </si>
  <si>
    <t xml:space="preserve">CACGGTGGCCTTGGCCAGCC</t>
  </si>
  <si>
    <t xml:space="preserve">TAGTCACGGTGGCCTTGGCCAGCC</t>
  </si>
  <si>
    <t xml:space="preserve">AAACGGCTGGCCAAGGCCACCGTG</t>
  </si>
  <si>
    <t xml:space="preserve">PSPPH_2136</t>
  </si>
  <si>
    <t xml:space="preserve">infC</t>
  </si>
  <si>
    <t xml:space="preserve">TTTTCATTGATCGGGGCCTT</t>
  </si>
  <si>
    <t xml:space="preserve">TAGTTTTTCATTGATCGGGGCCTT</t>
  </si>
  <si>
    <t xml:space="preserve">AAACAAGGCCCCGATCAATGAAAA</t>
  </si>
  <si>
    <t xml:space="preserve">GCCAATTAAACGAACCTCGC</t>
  </si>
  <si>
    <t xml:space="preserve">TAGTGCCAATTAAACGAACCTCGC</t>
  </si>
  <si>
    <t xml:space="preserve">AAACGCGAGGTTCGTTTAATTGGC</t>
  </si>
  <si>
    <t xml:space="preserve">CAGATCCAGCTTAGCCTCTT</t>
  </si>
  <si>
    <t xml:space="preserve">TAGTCAGATCCAGCTTAGCCTCTT</t>
  </si>
  <si>
    <t xml:space="preserve">AAACAAGAGGCTAAGCTGGATCTG</t>
  </si>
  <si>
    <t xml:space="preserve">GCAGACCGGAGGAAGTGCGT</t>
  </si>
  <si>
    <t xml:space="preserve">TAGTGCAGACCGGAGGAAGTGCGT</t>
  </si>
  <si>
    <t xml:space="preserve">AAACACGCACTTCCTCCGGTCTGC</t>
  </si>
  <si>
    <t xml:space="preserve">PSPPH_2137</t>
  </si>
  <si>
    <t xml:space="preserve">rpmI</t>
  </si>
  <si>
    <t xml:space="preserve">CCACTTTTAGTCTTCATCTT</t>
  </si>
  <si>
    <t xml:space="preserve">TAGTCCACTTTTAGTCTTCATCTT</t>
  </si>
  <si>
    <t xml:space="preserve">AAACAAGATGAAGACTAAAAGTGG</t>
  </si>
  <si>
    <t xml:space="preserve">TTTGTGCTTGATGCCGTTGG</t>
  </si>
  <si>
    <t xml:space="preserve">TAGTTTTGTGCTTGATGCCGTTGG</t>
  </si>
  <si>
    <t xml:space="preserve">AAACCCAACGGCATCAAGCACAAA</t>
  </si>
  <si>
    <t xml:space="preserve">TCGACATTTTGGTCAGGATG</t>
  </si>
  <si>
    <t xml:space="preserve">TAGTTCGACATTTTGGTCAGGATG</t>
  </si>
  <si>
    <t xml:space="preserve">AAACCATCCTGACCAAAATGTCGA</t>
  </si>
  <si>
    <t xml:space="preserve">TCGACTTTTGCCACGTCAGA</t>
  </si>
  <si>
    <t xml:space="preserve">TAGTTCGACTTTTGCCACGTCAGA</t>
  </si>
  <si>
    <t xml:space="preserve">AAACTCTGACGTGGCAAAAGTCGA</t>
  </si>
  <si>
    <t xml:space="preserve">PSPPH_2138</t>
  </si>
  <si>
    <t xml:space="preserve">rplT</t>
  </si>
  <si>
    <t xml:space="preserve">AATTTTTTTGTGACGCTTAC</t>
  </si>
  <si>
    <t xml:space="preserve">TAGTAATTTTTTTGTGACGCTTAC</t>
  </si>
  <si>
    <t xml:space="preserve">AAACGTAAGCGTCACAAAAAAATT</t>
  </si>
  <si>
    <t xml:space="preserve">TTACCGCTTGCTTGGCAACA</t>
  </si>
  <si>
    <t xml:space="preserve">TAGTTTACCGCTTGCTTGGCAACA</t>
  </si>
  <si>
    <t xml:space="preserve">AAACTGTTGCCAAGCAAGCGGTAA</t>
  </si>
  <si>
    <t xml:space="preserve">GACGGTCACGGTAGGCGTAT</t>
  </si>
  <si>
    <t xml:space="preserve">TAGTGACGGTCACGGTAGGCGTAT</t>
  </si>
  <si>
    <t xml:space="preserve">AAACATACGCCTACCGTGACCGTC</t>
  </si>
  <si>
    <t xml:space="preserve">TACGAGCGATCCACAGAGCG</t>
  </si>
  <si>
    <t xml:space="preserve">TAGTTACGAGCGATCCACAGAGCG</t>
  </si>
  <si>
    <t xml:space="preserve">AAACCGCTCTGTGGATCGCTCGTA</t>
  </si>
  <si>
    <t xml:space="preserve">PSPPH_2139</t>
  </si>
  <si>
    <t xml:space="preserve">pheS</t>
  </si>
  <si>
    <t xml:space="preserve">CTTGAGAGACCAGCGCGTCC</t>
  </si>
  <si>
    <t xml:space="preserve">TAGTCTTGAGAGACCAGCGCGTCC</t>
  </si>
  <si>
    <t xml:space="preserve">AAACGGACGCGCTGGTCTCTCAAG</t>
  </si>
  <si>
    <t xml:space="preserve">CTCCAGGGCATTGATATCTT</t>
  </si>
  <si>
    <t xml:space="preserve">TAGTCTCCAGGGCATTGATATCTT</t>
  </si>
  <si>
    <t xml:space="preserve">AAACAAGATATCAATGCCCTGGAG</t>
  </si>
  <si>
    <t xml:space="preserve">TCTTGCCAAGGTAGTGAACC</t>
  </si>
  <si>
    <t xml:space="preserve">TAGTTCTTGCCAAGGTAGTGAACC</t>
  </si>
  <si>
    <t xml:space="preserve">AAACGGTTCACTACCTTGGCAAGA</t>
  </si>
  <si>
    <t xml:space="preserve">TTCAGCTGGCAGGTTCCCCA</t>
  </si>
  <si>
    <t xml:space="preserve">TAGTTTCAGCTGGCAGGTTCCCCA</t>
  </si>
  <si>
    <t xml:space="preserve">AAACTGGGGAACCTGCCAGCTGAA</t>
  </si>
  <si>
    <t xml:space="preserve">PSPPH_2140</t>
  </si>
  <si>
    <t xml:space="preserve">pheT</t>
  </si>
  <si>
    <t xml:space="preserve">GCTCGTCGCGGGAAACCTGC</t>
  </si>
  <si>
    <t xml:space="preserve">TAGTGCTCGTCGCGGGAAACCTGC</t>
  </si>
  <si>
    <t xml:space="preserve">AAACGCAGGTTTCCCGCGACGAGC</t>
  </si>
  <si>
    <t xml:space="preserve">GACGCTGTCAACCTCAAGAC</t>
  </si>
  <si>
    <t xml:space="preserve">TAGTGACGCTGTCAACCTCAAGAC</t>
  </si>
  <si>
    <t xml:space="preserve">AAACGTCTTGAGGTTGACAGCGTC</t>
  </si>
  <si>
    <t xml:space="preserve">CACCCCACTGAAAACACCAG</t>
  </si>
  <si>
    <t xml:space="preserve">TAGTCACCCCACTGAAAACACCAG</t>
  </si>
  <si>
    <t xml:space="preserve">AAACCTGGTGTTTTCAGTGGGGTG</t>
  </si>
  <si>
    <t xml:space="preserve">ACGCGCAGCTTGTCGGCATC</t>
  </si>
  <si>
    <t xml:space="preserve">TAGTACGCGCAGCTTGTCGGCATC</t>
  </si>
  <si>
    <t xml:space="preserve">AAACGATGCCGACAAGCTGCGCGT</t>
  </si>
  <si>
    <t xml:space="preserve">PSPPH_2141</t>
  </si>
  <si>
    <t xml:space="preserve">ihfA</t>
  </si>
  <si>
    <t xml:space="preserve">CAGCTCTTCGTACAGACGTT</t>
  </si>
  <si>
    <t xml:space="preserve">TAGTCAGCTCTTCGTACAGACGTT</t>
  </si>
  <si>
    <t xml:space="preserve">AAACAACGTCTGTACGAAGAGCTG</t>
  </si>
  <si>
    <t xml:space="preserve">CCTTGGCTTCCCGTTTATTC</t>
  </si>
  <si>
    <t xml:space="preserve">TAGTCCTTGGCTTCCCGTTTATTC</t>
  </si>
  <si>
    <t xml:space="preserve">AAACGAATAAACGGGAAGCCAAGG</t>
  </si>
  <si>
    <t xml:space="preserve">GCCGCTGGCGCTTGTCTCGA</t>
  </si>
  <si>
    <t xml:space="preserve">TAGTGCCGCTGGCGCTTGTCTCGA</t>
  </si>
  <si>
    <t xml:space="preserve">AAACTCGAGACAAGCGCCAGCGGC</t>
  </si>
  <si>
    <t xml:space="preserve">CCGGTCTTGGGATTTCTCCC</t>
  </si>
  <si>
    <t xml:space="preserve">TAGTCCGGTCTTGGGATTTCTCCC</t>
  </si>
  <si>
    <t xml:space="preserve">AAACGGGAGAAATCCCAAGACCGG</t>
  </si>
  <si>
    <t xml:space="preserve">PSPPH_2142</t>
  </si>
  <si>
    <t xml:space="preserve">TAGCGTTTGCCGGGGATCGG</t>
  </si>
  <si>
    <t xml:space="preserve">TAGTTAGCGTTTGCCGGGGATCGG</t>
  </si>
  <si>
    <t xml:space="preserve">AAACCCGATCCCCGGCAAACGCTA</t>
  </si>
  <si>
    <t xml:space="preserve">GAGCTCGCTGACCTCACCGA</t>
  </si>
  <si>
    <t xml:space="preserve">TAGTGAGCTCGCTGACCTCACCGA</t>
  </si>
  <si>
    <t xml:space="preserve">AAACTCGGTGAGGTCAGCGAGCTC</t>
  </si>
  <si>
    <t xml:space="preserve">TCCCAATAACGCAAAACGTG</t>
  </si>
  <si>
    <t xml:space="preserve">TAGTTCCCAATAACGCAAAACGTG</t>
  </si>
  <si>
    <t xml:space="preserve">AAACCACGTTTTGCGTTATTGGGA</t>
  </si>
  <si>
    <t xml:space="preserve">CGCTTGACGGGGTTGAGTTG</t>
  </si>
  <si>
    <t xml:space="preserve">TAGTCGCTTGACGGGGTTGAGTTG</t>
  </si>
  <si>
    <t xml:space="preserve">AAACCAACTCAACCCCGTCAAGCG</t>
  </si>
  <si>
    <t xml:space="preserve">PSPPH_2144</t>
  </si>
  <si>
    <t xml:space="preserve">GACGATTCGCGGTAAGTGAG</t>
  </si>
  <si>
    <t xml:space="preserve">TAGTGACGATTCGCGGTAAGTGAG</t>
  </si>
  <si>
    <t xml:space="preserve">AAACCTCACTTACCGCGAATCGTC</t>
  </si>
  <si>
    <t xml:space="preserve">AGGCAGCACCGCAGCTGAAC</t>
  </si>
  <si>
    <t xml:space="preserve">TAGTAGGCAGCACCGCAGCTGAAC</t>
  </si>
  <si>
    <t xml:space="preserve">AAACGTTCAGCTGCGGTGCTGCCT</t>
  </si>
  <si>
    <t xml:space="preserve">CAGTTTCGTGGCCACCGCCG</t>
  </si>
  <si>
    <t xml:space="preserve">TAGTCAGTTTCGTGGCCACCGCCG</t>
  </si>
  <si>
    <t xml:space="preserve">AAACCGGCGGTGGCCACGAAACTG</t>
  </si>
  <si>
    <t xml:space="preserve">GTCATGAGTTGCGCCGTAAT</t>
  </si>
  <si>
    <t xml:space="preserve">TAGTGTCATGAGTTGCGCCGTAAT</t>
  </si>
  <si>
    <t xml:space="preserve">AAACATTACGGCGCAACTCATGAC</t>
  </si>
  <si>
    <t xml:space="preserve">PSPPH_2145</t>
  </si>
  <si>
    <t xml:space="preserve">GGCGGAGGATGACTTGGTCA</t>
  </si>
  <si>
    <t xml:space="preserve">TAGTGGCGGAGGATGACTTGGTCA</t>
  </si>
  <si>
    <t xml:space="preserve">AAACTGACCAAGTCATCCTCCGCC</t>
  </si>
  <si>
    <t xml:space="preserve">CACTTTGCGTGGTTTTTTGT</t>
  </si>
  <si>
    <t xml:space="preserve">TAGTCACTTTGCGTGGTTTTTTGT</t>
  </si>
  <si>
    <t xml:space="preserve">AAACACAAAAAACCACGCAAAGTG</t>
  </si>
  <si>
    <t xml:space="preserve">GTCGTTGGTTTCTACCGAAT</t>
  </si>
  <si>
    <t xml:space="preserve">TAGTGTCGTTGGTTTCTACCGAAT</t>
  </si>
  <si>
    <t xml:space="preserve">AAACATTCGGTAGAAACCAACGAC</t>
  </si>
  <si>
    <t xml:space="preserve">ACTGAATGGTTGACTCTTCT</t>
  </si>
  <si>
    <t xml:space="preserve">TAGTACTGAATGGTTGACTCTTCT</t>
  </si>
  <si>
    <t xml:space="preserve">AAACAGAAGAGTCAACCATTCAGT</t>
  </si>
  <si>
    <t xml:space="preserve">PSPPH_2146</t>
  </si>
  <si>
    <t xml:space="preserve">TCGCTCGTTCCGCTGCTTTG</t>
  </si>
  <si>
    <t xml:space="preserve">TAGTTCGCTCGTTCCGCTGCTTTG</t>
  </si>
  <si>
    <t xml:space="preserve">AAACCAAAGCAGCGGAACGAGCGA</t>
  </si>
  <si>
    <t xml:space="preserve">GAGCCGCAATTCCTCTTCCC</t>
  </si>
  <si>
    <t xml:space="preserve">TAGTGAGCCGCAATTCCTCTTCCC</t>
  </si>
  <si>
    <t xml:space="preserve">AAACGGGAAGAGGAATTGCGGCTC</t>
  </si>
  <si>
    <t xml:space="preserve">CTCAGTGCCTGCTTCGTGCC</t>
  </si>
  <si>
    <t xml:space="preserve">TAGTCTCAGTGCCTGCTTCGTGCC</t>
  </si>
  <si>
    <t xml:space="preserve">AAACGGCACGAAGCAGGCACTGAG</t>
  </si>
  <si>
    <t xml:space="preserve">GTGCAGGTGGTGAATCATCA</t>
  </si>
  <si>
    <t xml:space="preserve">TAGTGTGCAGGTGGTGAATCATCA</t>
  </si>
  <si>
    <t xml:space="preserve">AAACTGATGATTCACCACCTGCAC</t>
  </si>
  <si>
    <t xml:space="preserve">PSPPH_2147</t>
  </si>
  <si>
    <t xml:space="preserve">CGCTGAATCGTGCTCAGCTC</t>
  </si>
  <si>
    <t xml:space="preserve">TAGTCGCTGAATCGTGCTCAGCTC</t>
  </si>
  <si>
    <t xml:space="preserve">AAACGAGCTGAGCACGATTCAGCG</t>
  </si>
  <si>
    <t xml:space="preserve">TACCTCAGCTTCGAGGACGG</t>
  </si>
  <si>
    <t xml:space="preserve">TAGTTACCTCAGCTTCGAGGACGG</t>
  </si>
  <si>
    <t xml:space="preserve">AAACCCGTCCTCGAAGCTGAGGTA</t>
  </si>
  <si>
    <t xml:space="preserve">CGATCACGCCGCCGCGCTTG</t>
  </si>
  <si>
    <t xml:space="preserve">TAGTCGATCACGCCGCCGCGCTTG</t>
  </si>
  <si>
    <t xml:space="preserve">AAACCAAGCGCGGCGGCGTGATCG</t>
  </si>
  <si>
    <t xml:space="preserve">TGCTTTGGCTTGGGCTTCGA</t>
  </si>
  <si>
    <t xml:space="preserve">TAGTTGCTTTGGCTTGGGCTTCGA</t>
  </si>
  <si>
    <t xml:space="preserve">AAACTCGAAGCCCAAGCCAAAGCA</t>
  </si>
  <si>
    <t xml:space="preserve">PSPPH_2148</t>
  </si>
  <si>
    <t xml:space="preserve">ATTTTTTGCAATCGACGTCC</t>
  </si>
  <si>
    <t xml:space="preserve">TAGTATTTTTTGCAATCGACGTCC</t>
  </si>
  <si>
    <t xml:space="preserve">AAACGGACGTCGATTGCAAAAAAT</t>
  </si>
  <si>
    <t xml:space="preserve">TTGAAGCTGCATTGGAATGT</t>
  </si>
  <si>
    <t xml:space="preserve">TAGTTTGAAGCTGCATTGGAATGT</t>
  </si>
  <si>
    <t xml:space="preserve">AAACACATTCCAATGCAGCTTCAA</t>
  </si>
  <si>
    <t xml:space="preserve">ATTTAGGGAAGGGGTACTGC</t>
  </si>
  <si>
    <t xml:space="preserve">TAGTATTTAGGGAAGGGGTACTGC</t>
  </si>
  <si>
    <t xml:space="preserve">AAACGCAGTACCCCTTCCCTAAAT</t>
  </si>
  <si>
    <t xml:space="preserve">TGGCCTGGCACCTGCCGATG</t>
  </si>
  <si>
    <t xml:space="preserve">TAGTTGGCCTGGCACCTGCCGATG</t>
  </si>
  <si>
    <t xml:space="preserve">AAACCATCGGCAGGTGCCAGGCCA</t>
  </si>
  <si>
    <t xml:space="preserve">PSPPH_2149</t>
  </si>
  <si>
    <t xml:space="preserve">CCATGCCCCGCATACGATGG</t>
  </si>
  <si>
    <t xml:space="preserve">TAGTCCATGCCCCGCATACGATGG</t>
  </si>
  <si>
    <t xml:space="preserve">AAACCCATCGTATGCGGGGCATGG</t>
  </si>
  <si>
    <t xml:space="preserve">GCGCAAGACCACGGCCGAGG</t>
  </si>
  <si>
    <t xml:space="preserve">TAGTGCGCAAGACCACGGCCGAGG</t>
  </si>
  <si>
    <t xml:space="preserve">AAACCCTCGGCCGTGGTCTTGCGC</t>
  </si>
  <si>
    <t xml:space="preserve">AACAAAAACTGCAACTCTCG</t>
  </si>
  <si>
    <t xml:space="preserve">TAGTAACAAAAACTGCAACTCTCG</t>
  </si>
  <si>
    <t xml:space="preserve">AAACCGAGAGTTGCAGTTTTTGTT</t>
  </si>
  <si>
    <t xml:space="preserve">CTTGGCGGTGCAGCCCTGGG</t>
  </si>
  <si>
    <t xml:space="preserve">TAGTCTTGGCGGTGCAGCCCTGGG</t>
  </si>
  <si>
    <t xml:space="preserve">AAACCCCAGGGCTGCACCGCCAAG</t>
  </si>
  <si>
    <t xml:space="preserve">PSPPH_2150</t>
  </si>
  <si>
    <t xml:space="preserve">TTGACCTACAAATATACCGA</t>
  </si>
  <si>
    <t xml:space="preserve">TAGTTTGACCTACAAATATACCGA</t>
  </si>
  <si>
    <t xml:space="preserve">AAACTCGGTATATTTGTAGGTCAA</t>
  </si>
  <si>
    <t xml:space="preserve">CCCGAAAATAAATTAACCAT</t>
  </si>
  <si>
    <t xml:space="preserve">TAGTCCCGAAAATAAATTAACCAT</t>
  </si>
  <si>
    <t xml:space="preserve">AAACATGGTTAATTTATTTTCGGG</t>
  </si>
  <si>
    <t xml:space="preserve">GACATCTCAATACGGCTTGC</t>
  </si>
  <si>
    <t xml:space="preserve">TAGTGACATCTCAATACGGCTTGC</t>
  </si>
  <si>
    <t xml:space="preserve">AAACGCAAGCCGTATTGAGATGTC</t>
  </si>
  <si>
    <t xml:space="preserve">TAGGCCCAGACGTTCTACCC</t>
  </si>
  <si>
    <t xml:space="preserve">TAGTTAGGCCCAGACGTTCTACCC</t>
  </si>
  <si>
    <t xml:space="preserve">AAACGGGTAGAACGTCTGGGCCTA</t>
  </si>
  <si>
    <t xml:space="preserve">PSPPH_2151</t>
  </si>
  <si>
    <t xml:space="preserve">CGGCGAGCAGCTCGGGCGGG</t>
  </si>
  <si>
    <t xml:space="preserve">TAGTCGGCGAGCAGCTCGGGCGGG</t>
  </si>
  <si>
    <t xml:space="preserve">AAACCCCGCCCGAGCTGCTCGCCG</t>
  </si>
  <si>
    <t xml:space="preserve">GTCGTGTGCTTCTGCGCACT</t>
  </si>
  <si>
    <t xml:space="preserve">TAGTGTCGTGTGCTTCTGCGCACT</t>
  </si>
  <si>
    <t xml:space="preserve">AAACAGTGCGCAGAAGCACACGAC</t>
  </si>
  <si>
    <t xml:space="preserve">TCAGCTCGTTTTTTTTCGAG</t>
  </si>
  <si>
    <t xml:space="preserve">TAGTTCAGCTCGTTTTTTTTCGAG</t>
  </si>
  <si>
    <t xml:space="preserve">AAACCTCGAAAAAAAACGAGCTGA</t>
  </si>
  <si>
    <t xml:space="preserve">AAGTAAAGGTTCACGGCAGC</t>
  </si>
  <si>
    <t xml:space="preserve">TAGTAAGTAAAGGTTCACGGCAGC</t>
  </si>
  <si>
    <t xml:space="preserve">AAACGCTGCCGTGAACCTTTACTT</t>
  </si>
  <si>
    <t xml:space="preserve">PSPPH_2152</t>
  </si>
  <si>
    <t xml:space="preserve">GAGTCCTTCAGGGATTGTAT</t>
  </si>
  <si>
    <t xml:space="preserve">TAGTGAGTCCTTCAGGGATTGTAT</t>
  </si>
  <si>
    <t xml:space="preserve">AAACATACAATCCCTGAAGGACTC</t>
  </si>
  <si>
    <t xml:space="preserve">GAGGCAAAGCAGCACATGGC</t>
  </si>
  <si>
    <t xml:space="preserve">TAGTGAGGCAAAGCAGCACATGGC</t>
  </si>
  <si>
    <t xml:space="preserve">AAACGCCATGTGCTGCTTTGCCTC</t>
  </si>
  <si>
    <t xml:space="preserve">ACCGCTTGTTCCCGCGTAGT</t>
  </si>
  <si>
    <t xml:space="preserve">TAGTACCGCTTGTTCCCGCGTAGT</t>
  </si>
  <si>
    <t xml:space="preserve">AAACACTACGCGGGAACAAGCGGT</t>
  </si>
  <si>
    <t xml:space="preserve">TTGCCAAGGTAGAAGCAGCT</t>
  </si>
  <si>
    <t xml:space="preserve">TAGTTTGCCAAGGTAGAAGCAGCT</t>
  </si>
  <si>
    <t xml:space="preserve">AAACAGCTGCTTCTACCTTGGCAA</t>
  </si>
  <si>
    <t xml:space="preserve">PSPPH_2153</t>
  </si>
  <si>
    <t xml:space="preserve">AGATCTTGCGGCACTGCTCG</t>
  </si>
  <si>
    <t xml:space="preserve">TAGTAGATCTTGCGGCACTGCTCG</t>
  </si>
  <si>
    <t xml:space="preserve">AAACCGAGCAGTGCCGCAAGATCT</t>
  </si>
  <si>
    <t xml:space="preserve">TGAAGCGTAGGTACAGGCCA</t>
  </si>
  <si>
    <t xml:space="preserve">TAGTTGAAGCGTAGGTACAGGCCA</t>
  </si>
  <si>
    <t xml:space="preserve">AAACTGGCCTGTACCTACGCTTCA</t>
  </si>
  <si>
    <t xml:space="preserve">AACCAAGTACCACGACGCCC</t>
  </si>
  <si>
    <t xml:space="preserve">TAGTAACCAAGTACCACGACGCCC</t>
  </si>
  <si>
    <t xml:space="preserve">AAACGGGCGTCGTGGTACTTGGTT</t>
  </si>
  <si>
    <t xml:space="preserve">CTTGAATCAGCGGCACGATG</t>
  </si>
  <si>
    <t xml:space="preserve">TAGTCTTGAATCAGCGGCACGATG</t>
  </si>
  <si>
    <t xml:space="preserve">AAACCATCGTGCCGCTGATTCAAG</t>
  </si>
  <si>
    <t xml:space="preserve">PSPPH_2154</t>
  </si>
  <si>
    <t xml:space="preserve">CTGGCTCGACTCGCCGCCCT</t>
  </si>
  <si>
    <t xml:space="preserve">TAGTCTGGCTCGACTCGCCGCCCT</t>
  </si>
  <si>
    <t xml:space="preserve">AAACAGGGCGGCGAGTCGAGCCAG</t>
  </si>
  <si>
    <t xml:space="preserve">GTGCTGTTCTCTGCAATCGT</t>
  </si>
  <si>
    <t xml:space="preserve">TAGTGTGCTGTTCTCTGCAATCGT</t>
  </si>
  <si>
    <t xml:space="preserve">AAACACGATTGCAGAGAACAGCAC</t>
  </si>
  <si>
    <t xml:space="preserve">CCACAGGTAGACGATGCGAG</t>
  </si>
  <si>
    <t xml:space="preserve">TAGTCCACAGGTAGACGATGCGAG</t>
  </si>
  <si>
    <t xml:space="preserve">AAACCTCGCATCGTCTACCTGTGG</t>
  </si>
  <si>
    <t xml:space="preserve">CTGAGCGCAGGCCGTCCACT</t>
  </si>
  <si>
    <t xml:space="preserve">TAGTCTGAGCGCAGGCCGTCCACT</t>
  </si>
  <si>
    <t xml:space="preserve">AAACAGTGGACGGCCTGCGCTCAG</t>
  </si>
  <si>
    <t xml:space="preserve">PSPPH_2155</t>
  </si>
  <si>
    <t xml:space="preserve">CAGCGCCACCAAATACGGAT</t>
  </si>
  <si>
    <t xml:space="preserve">TAGTCAGCGCCACCAAATACGGAT</t>
  </si>
  <si>
    <t xml:space="preserve">AAACATCCGTATTTGGTGGCGCTG</t>
  </si>
  <si>
    <t xml:space="preserve">PSPPH_2158</t>
  </si>
  <si>
    <t xml:space="preserve">AACGTCGAGAATCTTTATGT</t>
  </si>
  <si>
    <t xml:space="preserve">TAGTAACGTCGAGAATCTTTATGT</t>
  </si>
  <si>
    <t xml:space="preserve">AAACACATAAAGATTCTCGACGTT</t>
  </si>
  <si>
    <t xml:space="preserve">CTGAAATAATAGCCCGAGCC</t>
  </si>
  <si>
    <t xml:space="preserve">TAGTCTGAAATAATAGCCCGAGCC</t>
  </si>
  <si>
    <t xml:space="preserve">AAACGGCTCGGGCTATTATTTCAG</t>
  </si>
  <si>
    <t xml:space="preserve">GGTCGACGCCTGCATCCGCC</t>
  </si>
  <si>
    <t xml:space="preserve">TAGTGGTCGACGCCTGCATCCGCC</t>
  </si>
  <si>
    <t xml:space="preserve">AAACGGCGGATGCAGGCGTCGACC</t>
  </si>
  <si>
    <t xml:space="preserve">TGCAGTAACCAATTTCACAG</t>
  </si>
  <si>
    <t xml:space="preserve">TAGTTGCAGTAACCAATTTCACAG</t>
  </si>
  <si>
    <t xml:space="preserve">AAACCTGTGAAATTGGTTACTGCA</t>
  </si>
  <si>
    <t xml:space="preserve">PSPPH_2159</t>
  </si>
  <si>
    <t xml:space="preserve">ACGCTTGCGGGATATTTGGG</t>
  </si>
  <si>
    <t xml:space="preserve">TAGTACGCTTGCGGGATATTTGGG</t>
  </si>
  <si>
    <t xml:space="preserve">AAACCCCAAATATCCCGCAAGCGT</t>
  </si>
  <si>
    <t xml:space="preserve">TCAATGCCGATACCGTCGCC</t>
  </si>
  <si>
    <t xml:space="preserve">TAGTTCAATGCCGATACCGTCGCC</t>
  </si>
  <si>
    <t xml:space="preserve">AAACGGCGACGGTATCGGCATTGA</t>
  </si>
  <si>
    <t xml:space="preserve">AGGTGCAACGCTGCAATCAC</t>
  </si>
  <si>
    <t xml:space="preserve">TAGTAGGTGCAACGCTGCAATCAC</t>
  </si>
  <si>
    <t xml:space="preserve">AAACGTGATTGCAGCGTTGCACCT</t>
  </si>
  <si>
    <t xml:space="preserve">CCGGTATCAGATCAAACGGC</t>
  </si>
  <si>
    <t xml:space="preserve">TAGTCCGGTATCAGATCAAACGGC</t>
  </si>
  <si>
    <t xml:space="preserve">AAACGCCGTTTGATCTGATACCGG</t>
  </si>
  <si>
    <t xml:space="preserve">PSPPH_2160</t>
  </si>
  <si>
    <t xml:space="preserve">ATGTTCACATGCGTCCAGCA</t>
  </si>
  <si>
    <t xml:space="preserve">TAGTATGTTCACATGCGTCCAGCA</t>
  </si>
  <si>
    <t xml:space="preserve">AAACTGCTGGACGCATGTGAACAT</t>
  </si>
  <si>
    <t xml:space="preserve">CAGTGCATCAGACAGCGAAG</t>
  </si>
  <si>
    <t xml:space="preserve">TAGTCAGTGCATCAGACAGCGAAG</t>
  </si>
  <si>
    <t xml:space="preserve">AAACCTTCGCTGTCTGATGCACTG</t>
  </si>
  <si>
    <t xml:space="preserve">GGCACTTGCGAAACAATACC</t>
  </si>
  <si>
    <t xml:space="preserve">TAGTGGCACTTGCGAAACAATACC</t>
  </si>
  <si>
    <t xml:space="preserve">AAACGGTATTGTTTCGCAAGTGCC</t>
  </si>
  <si>
    <t xml:space="preserve">ACACCGACACAACGAGTGCC</t>
  </si>
  <si>
    <t xml:space="preserve">TAGTACACCGACACAACGAGTGCC</t>
  </si>
  <si>
    <t xml:space="preserve">AAACGGCACTCGTTGTGTCGGTGT</t>
  </si>
  <si>
    <t xml:space="preserve">PSPPH_2161</t>
  </si>
  <si>
    <t xml:space="preserve">ATTTGCGTGTGCTGCCAATC</t>
  </si>
  <si>
    <t xml:space="preserve">TAGTATTTGCGTGTGCTGCCAATC</t>
  </si>
  <si>
    <t xml:space="preserve">AAACGATTGGCAGCACACGCAAAT</t>
  </si>
  <si>
    <t xml:space="preserve">CTGTGTCGAGTGTGAGGTTC</t>
  </si>
  <si>
    <t xml:space="preserve">TAGTCTGTGTCGAGTGTGAGGTTC</t>
  </si>
  <si>
    <t xml:space="preserve">AAACGAACCTCACACTCGACACAG</t>
  </si>
  <si>
    <t xml:space="preserve">AAGGCAGCGACATCCATGTC</t>
  </si>
  <si>
    <t xml:space="preserve">TAGTAAGGCAGCGACATCCATGTC</t>
  </si>
  <si>
    <t xml:space="preserve">AAACGACATGGATGTCGCTGCCTT</t>
  </si>
  <si>
    <t xml:space="preserve">GGGTGACGGTCGACGTCAGG</t>
  </si>
  <si>
    <t xml:space="preserve">TAGTGGGTGACGGTCGACGTCAGG</t>
  </si>
  <si>
    <t xml:space="preserve">AAACCCTGACGTCGACCGTCACCC</t>
  </si>
  <si>
    <t xml:space="preserve">PSPPH_2162</t>
  </si>
  <si>
    <t xml:space="preserve">CACCGCCTTGTCATCGGTGA</t>
  </si>
  <si>
    <t xml:space="preserve">TAGTCACCGCCTTGTCATCGGTGA</t>
  </si>
  <si>
    <t xml:space="preserve">AAACTCACCGATGACAAGGCGGTG</t>
  </si>
  <si>
    <t xml:space="preserve">CTTCGAGAATCTCGATAGCC</t>
  </si>
  <si>
    <t xml:space="preserve">TAGTCTTCGAGAATCTCGATAGCC</t>
  </si>
  <si>
    <t xml:space="preserve">AAACGGCTATCGAGATTCTCGAAG</t>
  </si>
  <si>
    <t xml:space="preserve">CGTCCGTGCTCTTCATCAAT</t>
  </si>
  <si>
    <t xml:space="preserve">TAGTCGTCCGTGCTCTTCATCAAT</t>
  </si>
  <si>
    <t xml:space="preserve">AAACATTGATGAAGAGCACGGACG</t>
  </si>
  <si>
    <t xml:space="preserve">CCATTGCGCCTGATTGATGA</t>
  </si>
  <si>
    <t xml:space="preserve">TAGTCCATTGCGCCTGATTGATGA</t>
  </si>
  <si>
    <t xml:space="preserve">AAACTCATCAATCAGGCGCAATGG</t>
  </si>
  <si>
    <t xml:space="preserve">PSPPH_2163</t>
  </si>
  <si>
    <t xml:space="preserve">AGTCAGTGCTGTATTGATCG</t>
  </si>
  <si>
    <t xml:space="preserve">TAGTAGTCAGTGCTGTATTGATCG</t>
  </si>
  <si>
    <t xml:space="preserve">AAACCGATCAATACAGCACTGACT</t>
  </si>
  <si>
    <t xml:space="preserve">CCCATCGGTGCCAGAATCAG</t>
  </si>
  <si>
    <t xml:space="preserve">TAGTCCCATCGGTGCCAGAATCAG</t>
  </si>
  <si>
    <t xml:space="preserve">AAACCTGATTCTGGCACCGATGGG</t>
  </si>
  <si>
    <t xml:space="preserve">TGCAGCCGCCAGACGCCCTC</t>
  </si>
  <si>
    <t xml:space="preserve">TAGTTGCAGCCGCCAGACGCCCTC</t>
  </si>
  <si>
    <t xml:space="preserve">AAACGAGGGCGTCTGGCGGCTGCA</t>
  </si>
  <si>
    <t xml:space="preserve">CAAACCCAGGCCACCGGCCC</t>
  </si>
  <si>
    <t xml:space="preserve">TAGTCAAACCCAGGCCACCGGCCC</t>
  </si>
  <si>
    <t xml:space="preserve">AAACGGGCCGGTGGCCTGGGTTTG</t>
  </si>
  <si>
    <t xml:space="preserve">PSPPH_2164</t>
  </si>
  <si>
    <t xml:space="preserve">GCAGGTGATGCAATGACTCA</t>
  </si>
  <si>
    <t xml:space="preserve">TAGTGCAGGTGATGCAATGACTCA</t>
  </si>
  <si>
    <t xml:space="preserve">AAACTGAGTCATTGCATCACCTGC</t>
  </si>
  <si>
    <t xml:space="preserve">ATTGCCCGACACCGAAGGTC</t>
  </si>
  <si>
    <t xml:space="preserve">TAGTATTGCCCGACACCGAAGGTC</t>
  </si>
  <si>
    <t xml:space="preserve">AAACGACCTTCGGTGTCGGGCAAT</t>
  </si>
  <si>
    <t xml:space="preserve">GCGTCCCAGACCGGCATCAC</t>
  </si>
  <si>
    <t xml:space="preserve">TAGTGCGTCCCAGACCGGCATCAC</t>
  </si>
  <si>
    <t xml:space="preserve">AAACGTGATGCCGGTCTGGGACGC</t>
  </si>
  <si>
    <t xml:space="preserve">GAAATGCTCGATCAGCGGTT</t>
  </si>
  <si>
    <t xml:space="preserve">TAGTGAAATGCTCGATCAGCGGTT</t>
  </si>
  <si>
    <t xml:space="preserve">AAACAACCGCTGATCGAGCATTTC</t>
  </si>
  <si>
    <t xml:space="preserve">PSPPH_2165</t>
  </si>
  <si>
    <t xml:space="preserve">TAATGCACATCAATGAAGCC</t>
  </si>
  <si>
    <t xml:space="preserve">TAGTTAATGCACATCAATGAAGCC</t>
  </si>
  <si>
    <t xml:space="preserve">AAACGGCTTCATTGATGTGCATTA</t>
  </si>
  <si>
    <t xml:space="preserve">GCGAATGAACGCGTCAGGAT</t>
  </si>
  <si>
    <t xml:space="preserve">TAGTGCGAATGAACGCGTCAGGAT</t>
  </si>
  <si>
    <t xml:space="preserve">AAACATCCTGACGCGTTCATTCGC</t>
  </si>
  <si>
    <t xml:space="preserve">CCGCCTCTATCGCGCCATGA</t>
  </si>
  <si>
    <t xml:space="preserve">TAGTCCGCCTCTATCGCGCCATGA</t>
  </si>
  <si>
    <t xml:space="preserve">AAACTCATGGCGCGATAGAGGCGG</t>
  </si>
  <si>
    <t xml:space="preserve">CCTGCACAGCAGCGTAGCGC</t>
  </si>
  <si>
    <t xml:space="preserve">TAGTCCTGCACAGCAGCGTAGCGC</t>
  </si>
  <si>
    <t xml:space="preserve">AAACGCGCTACGCTGCTGTGCAGG</t>
  </si>
  <si>
    <t xml:space="preserve">PSPPH_2166</t>
  </si>
  <si>
    <t xml:space="preserve">CGCATCGGGTTAGGTTTTAT</t>
  </si>
  <si>
    <t xml:space="preserve">TAGTCGCATCGGGTTAGGTTTTAT</t>
  </si>
  <si>
    <t xml:space="preserve">AAACATAAAACCTAACCCGATGCG</t>
  </si>
  <si>
    <t xml:space="preserve">CACCCAGCTGTATCTTGTTG</t>
  </si>
  <si>
    <t xml:space="preserve">TAGTCACCCAGCTGTATCTTGTTG</t>
  </si>
  <si>
    <t xml:space="preserve">AAACCAACAAGATACAGCTGGGTG</t>
  </si>
  <si>
    <t xml:space="preserve">GCAGCCGCCCTCGGTGTTAG</t>
  </si>
  <si>
    <t xml:space="preserve">TAGTGCAGCCGCCCTCGGTGTTAG</t>
  </si>
  <si>
    <t xml:space="preserve">AAACCTAACACCGAGGGCGGCTGC</t>
  </si>
  <si>
    <t xml:space="preserve">GCGTTCCGGCGCATTGGTGA</t>
  </si>
  <si>
    <t xml:space="preserve">TAGTGCGTTCCGGCGCATTGGTGA</t>
  </si>
  <si>
    <t xml:space="preserve">AAACTCACCAATGCGCCGGAACGC</t>
  </si>
  <si>
    <t xml:space="preserve">PSPPH_2167</t>
  </si>
  <si>
    <t xml:space="preserve">GGCAGGATGCCGCTGTGTTC</t>
  </si>
  <si>
    <t xml:space="preserve">TAGTGGCAGGATGCCGCTGTGTTC</t>
  </si>
  <si>
    <t xml:space="preserve">AAACGAACACAGCGGCATCCTGCC</t>
  </si>
  <si>
    <t xml:space="preserve">CGGTGCGAACACCTTTGCAA</t>
  </si>
  <si>
    <t xml:space="preserve">TAGTCGGTGCGAACACCTTTGCAA</t>
  </si>
  <si>
    <t xml:space="preserve">AAACTTGCAAAGGTGTTCGCACCG</t>
  </si>
  <si>
    <t xml:space="preserve">AGGCCGAAGGTGAGATGGCC</t>
  </si>
  <si>
    <t xml:space="preserve">TAGTAGGCCGAAGGTGAGATGGCC</t>
  </si>
  <si>
    <t xml:space="preserve">AAACGGCCATCTCACCTTCGGCCT</t>
  </si>
  <si>
    <t xml:space="preserve">AGCCTTCCAGCGGCGCAATC</t>
  </si>
  <si>
    <t xml:space="preserve">TAGTAGCCTTCCAGCGGCGCAATC</t>
  </si>
  <si>
    <t xml:space="preserve">AAACGATTGCGCCGCTGGAAGGCT</t>
  </si>
  <si>
    <t xml:space="preserve">PSPPH_2168</t>
  </si>
  <si>
    <t xml:space="preserve">TAGCAGACGATGCTTGAACC</t>
  </si>
  <si>
    <t xml:space="preserve">TAGTTAGCAGACGATGCTTGAACC</t>
  </si>
  <si>
    <t xml:space="preserve">AAACGGTTCAAGCATCGTCTGCTA</t>
  </si>
  <si>
    <t xml:space="preserve">AAACAATTGTCCCCAGCGTC</t>
  </si>
  <si>
    <t xml:space="preserve">TAGTAAACAATTGTCCCCAGCGTC</t>
  </si>
  <si>
    <t xml:space="preserve">AAACGACGCTGGGGACAATTGTTT</t>
  </si>
  <si>
    <t xml:space="preserve">CAGGATGCCTGTCAGGCAGG</t>
  </si>
  <si>
    <t xml:space="preserve">TAGTCAGGATGCCTGTCAGGCAGG</t>
  </si>
  <si>
    <t xml:space="preserve">AAACCCTGCCTGACAGGCATCCTG</t>
  </si>
  <si>
    <t xml:space="preserve">GCAGGGCCAGTGAAGCACAA</t>
  </si>
  <si>
    <t xml:space="preserve">TAGTGCAGGGCCAGTGAAGCACAA</t>
  </si>
  <si>
    <t xml:space="preserve">AAACTTGTGCTTCACTGGCCCTGC</t>
  </si>
  <si>
    <t xml:space="preserve">PSPPH_2172</t>
  </si>
  <si>
    <t xml:space="preserve">AAGCGCTGTCTCGATGGCTG</t>
  </si>
  <si>
    <t xml:space="preserve">TAGTAAGCGCTGTCTCGATGGCTG</t>
  </si>
  <si>
    <t xml:space="preserve">AAACCAGCCATCGAGACAGCGCTT</t>
  </si>
  <si>
    <t xml:space="preserve">CAGGCCCTGAACAAGGTAAA</t>
  </si>
  <si>
    <t xml:space="preserve">TAGTCAGGCCCTGAACAAGGTAAA</t>
  </si>
  <si>
    <t xml:space="preserve">AAACTTTACCTTGTTCAGGGCCTG</t>
  </si>
  <si>
    <t xml:space="preserve">CGCCGCAATGCTTCCTTGCC</t>
  </si>
  <si>
    <t xml:space="preserve">TAGTCGCCGCAATGCTTCCTTGCC</t>
  </si>
  <si>
    <t xml:space="preserve">AAACGGCAAGGAAGCATTGCGGCG</t>
  </si>
  <si>
    <t xml:space="preserve">AGCGTGGGCACCTGCAGCAA</t>
  </si>
  <si>
    <t xml:space="preserve">TAGTAGCGTGGGCACCTGCAGCAA</t>
  </si>
  <si>
    <t xml:space="preserve">AAACTTGCTGCAGGTGCCCACGCT</t>
  </si>
  <si>
    <t xml:space="preserve">PSPPH_2173</t>
  </si>
  <si>
    <t xml:space="preserve">GGCTGACGATGATCATCAGC</t>
  </si>
  <si>
    <t xml:space="preserve">TAGTGGCTGACGATGATCATCAGC</t>
  </si>
  <si>
    <t xml:space="preserve">AAACGCTGATGATCATCGTCAGCC</t>
  </si>
  <si>
    <t xml:space="preserve">CCAGCCCACGCCAGGCAATC</t>
  </si>
  <si>
    <t xml:space="preserve">TAGTCCAGCCCACGCCAGGCAATC</t>
  </si>
  <si>
    <t xml:space="preserve">AAACGATTGCCTGGCGTGGGCTGG</t>
  </si>
  <si>
    <t xml:space="preserve">GCTTTCGCGTAACTGGATAT</t>
  </si>
  <si>
    <t xml:space="preserve">TAGTGCTTTCGCGTAACTGGATAT</t>
  </si>
  <si>
    <t xml:space="preserve">AAACATATCCAGTTACGCGAAAGC</t>
  </si>
  <si>
    <t xml:space="preserve">CAGTACCGACTCGGTGTGCC</t>
  </si>
  <si>
    <t xml:space="preserve">TAGTCAGTACCGACTCGGTGTGCC</t>
  </si>
  <si>
    <t xml:space="preserve">AAACGGCACACCGAGTCGGTACTG</t>
  </si>
  <si>
    <t xml:space="preserve">PSPPH_2174</t>
  </si>
  <si>
    <t xml:space="preserve">gspH2</t>
  </si>
  <si>
    <t xml:space="preserve">CGCAGCAAAGCGGCAGGATC</t>
  </si>
  <si>
    <t xml:space="preserve">TAGTCGCAGCAAAGCGGCAGGATC</t>
  </si>
  <si>
    <t xml:space="preserve">AAACGATCCTGCCGCTTTGCTGCG</t>
  </si>
  <si>
    <t xml:space="preserve">CAGTGTGCAGCATGTGTGCG</t>
  </si>
  <si>
    <t xml:space="preserve">TAGTCAGTGTGCAGCATGTGTGCG</t>
  </si>
  <si>
    <t xml:space="preserve">AAACCGCACACATGCTGCACACTG</t>
  </si>
  <si>
    <t xml:space="preserve">GATTGGCCGACCGTCGACCC</t>
  </si>
  <si>
    <t xml:space="preserve">TAGTGATTGGCCGACCGTCGACCC</t>
  </si>
  <si>
    <t xml:space="preserve">AAACGGGTCGACGGTCGGCCAATC</t>
  </si>
  <si>
    <t xml:space="preserve">GCCTTTGTCATCGACCAGCA</t>
  </si>
  <si>
    <t xml:space="preserve">TAGTGCCTTTGTCATCGACCAGCA</t>
  </si>
  <si>
    <t xml:space="preserve">AAACTGCTGGTCGATGACAAAGGC</t>
  </si>
  <si>
    <t xml:space="preserve">PSPPH_2175</t>
  </si>
  <si>
    <t xml:space="preserve">ACCAGGCGTGGTGCTGATAA</t>
  </si>
  <si>
    <t xml:space="preserve">TAGTACCAGGCGTGGTGCTGATAA</t>
  </si>
  <si>
    <t xml:space="preserve">AAACTTATCAGCACCACGCCTGGT</t>
  </si>
  <si>
    <t xml:space="preserve">ACCCGCCAGCGCTGCAATCA</t>
  </si>
  <si>
    <t xml:space="preserve">TAGTACCCGCCAGCGCTGCAATCA</t>
  </si>
  <si>
    <t xml:space="preserve">AAACTGATTGCAGCGCTGGCGGGT</t>
  </si>
  <si>
    <t xml:space="preserve">AACGGTGCGCGCACAGGCTC</t>
  </si>
  <si>
    <t xml:space="preserve">TAGTAACGGTGCGCGCACAGGCTC</t>
  </si>
  <si>
    <t xml:space="preserve">AAACGAGCCTGTGCGCGCACCGTT</t>
  </si>
  <si>
    <t xml:space="preserve">GCAGTGGGAACGGCGCTTTC</t>
  </si>
  <si>
    <t xml:space="preserve">TAGTGCAGTGGGAACGGCGCTTTC</t>
  </si>
  <si>
    <t xml:space="preserve">AAACGAAAGCGCCGTTCCCACTGC</t>
  </si>
  <si>
    <t xml:space="preserve">PSPPH_2176</t>
  </si>
  <si>
    <t xml:space="preserve">gspI2</t>
  </si>
  <si>
    <t xml:space="preserve">TCCTTGTGCGGTTGCAGCAT</t>
  </si>
  <si>
    <t xml:space="preserve">TAGTTCCTTGTGCGGTTGCAGCAT</t>
  </si>
  <si>
    <t xml:space="preserve">AAACATGCTGCAACCGCACAAGGA</t>
  </si>
  <si>
    <t xml:space="preserve">CATTACCCCGCTCAGGCGCG</t>
  </si>
  <si>
    <t xml:space="preserve">TAGTCATTACCCCGCTCAGGCGCG</t>
  </si>
  <si>
    <t xml:space="preserve">AAACCGCGCCTGAGCGGGGTAATG</t>
  </si>
  <si>
    <t xml:space="preserve">GCGCAACACACCGTTGTTAA</t>
  </si>
  <si>
    <t xml:space="preserve">TAGTGCGCAACACACCGTTGTTAA</t>
  </si>
  <si>
    <t xml:space="preserve">AAACTTAACAACGGTGTGTTGCGC</t>
  </si>
  <si>
    <t xml:space="preserve">CCTCCAGCAGCGCAATGGCG</t>
  </si>
  <si>
    <t xml:space="preserve">TAGTCCTCCAGCAGCGCAATGGCG</t>
  </si>
  <si>
    <t xml:space="preserve">AAACCGCCATTGCGCTGCTGGAGG</t>
  </si>
  <si>
    <t xml:space="preserve">PSPPH_2177</t>
  </si>
  <si>
    <t xml:space="preserve">gspG2</t>
  </si>
  <si>
    <t xml:space="preserve">CCGCGACGGCCTCCAGACCG</t>
  </si>
  <si>
    <t xml:space="preserve">TAGTCCGCGACGGCCTCCAGACCG</t>
  </si>
  <si>
    <t xml:space="preserve">AAACCGGTCTGGAGGCCGTCGCGG</t>
  </si>
  <si>
    <t xml:space="preserve">CGATCAGGGTAAAACCGTCC</t>
  </si>
  <si>
    <t xml:space="preserve">TAGTCGATCAGGGTAAAACCGTCC</t>
  </si>
  <si>
    <t xml:space="preserve">AAACGGACGGTTTTACCCTGATCG</t>
  </si>
  <si>
    <t xml:space="preserve">AACCCTGGGCACCACAACAG</t>
  </si>
  <si>
    <t xml:space="preserve">TAGTAACCCTGGGCACCACAACAG</t>
  </si>
  <si>
    <t xml:space="preserve">AAACCTGTTGTGGTGCCCAGGGTT</t>
  </si>
  <si>
    <t xml:space="preserve">CAGCCCGCGCCTGGTCCGGA</t>
  </si>
  <si>
    <t xml:space="preserve">TAGTCAGCCCGCGCCTGGTCCGGA</t>
  </si>
  <si>
    <t xml:space="preserve">AAACTCCGGACCAGGCGCGGGCTG</t>
  </si>
  <si>
    <t xml:space="preserve">PSPPH_2179</t>
  </si>
  <si>
    <t xml:space="preserve">CAGTCGCTCCAGAGCAGGCA</t>
  </si>
  <si>
    <t xml:space="preserve">TAGTCAGTCGCTCCAGAGCAGGCA</t>
  </si>
  <si>
    <t xml:space="preserve">AAACTGCCTGCTCTGGAGCGACTG</t>
  </si>
  <si>
    <t xml:space="preserve">ACGAATAGCAGTGGCGTCTC</t>
  </si>
  <si>
    <t xml:space="preserve">TAGTACGAATAGCAGTGGCGTCTC</t>
  </si>
  <si>
    <t xml:space="preserve">AAACGAGACGCCACTGCTATTCGT</t>
  </si>
  <si>
    <t xml:space="preserve">TCTTGCCCTGGCGGTCCAGC</t>
  </si>
  <si>
    <t xml:space="preserve">TAGTTCTTGCCCTGGCGGTCCAGC</t>
  </si>
  <si>
    <t xml:space="preserve">AAACGCTGGACCGCCAGGGCAAGA</t>
  </si>
  <si>
    <t xml:space="preserve">TCAATTCCAGCAAATTGCTC</t>
  </si>
  <si>
    <t xml:space="preserve">TAGTTCAATTCCAGCAAATTGCTC</t>
  </si>
  <si>
    <t xml:space="preserve">AAACGAGCAATTTGCTGGAATTGA</t>
  </si>
  <si>
    <t xml:space="preserve">PSPPH_2180</t>
  </si>
  <si>
    <t xml:space="preserve">CGCCGCCAGCGGTCAACGTA</t>
  </si>
  <si>
    <t xml:space="preserve">TAGTCGCCGCCAGCGGTCAACGTA</t>
  </si>
  <si>
    <t xml:space="preserve">AAACTACGTTGACCGCTGGCGGCG</t>
  </si>
  <si>
    <t xml:space="preserve">CCTGATCGACAGACCTGCCC</t>
  </si>
  <si>
    <t xml:space="preserve">TAGTCCTGATCGACAGACCTGCCC</t>
  </si>
  <si>
    <t xml:space="preserve">AAACGGGCAGGTCTGTCGATCAGG</t>
  </si>
  <si>
    <t xml:space="preserve">CCATCAGTAACCACGTCACC</t>
  </si>
  <si>
    <t xml:space="preserve">TAGTCCATCAGTAACCACGTCACC</t>
  </si>
  <si>
    <t xml:space="preserve">AAACGGTGACGTGGTTACTGATGG</t>
  </si>
  <si>
    <t xml:space="preserve">TACGTGATTTTCTTCAGCGC</t>
  </si>
  <si>
    <t xml:space="preserve">TAGTTACGTGATTTTCTTCAGCGC</t>
  </si>
  <si>
    <t xml:space="preserve">AAACGCGCTGAAGAAAATCACGTA</t>
  </si>
  <si>
    <t xml:space="preserve">PSPPH_2181</t>
  </si>
  <si>
    <t xml:space="preserve">gspD2</t>
  </si>
  <si>
    <t xml:space="preserve">ACAGGGCAACGTGCAGGTAA</t>
  </si>
  <si>
    <t xml:space="preserve">TAGTACAGGGCAACGTGCAGGTAA</t>
  </si>
  <si>
    <t xml:space="preserve">AAACTTACCTGCACGTTGCCCTGT</t>
  </si>
  <si>
    <t xml:space="preserve">CTCAGCGCCAGCAGGAAAAA</t>
  </si>
  <si>
    <t xml:space="preserve">TAGTCTCAGCGCCAGCAGGAAAAA</t>
  </si>
  <si>
    <t xml:space="preserve">AAACTTTTTCCTGCTGGCGCTGAG</t>
  </si>
  <si>
    <t xml:space="preserve">CCCAGGCGGCGCGGGCGATG</t>
  </si>
  <si>
    <t xml:space="preserve">TAGTCCCAGGCGGCGCGGGCGATG</t>
  </si>
  <si>
    <t xml:space="preserve">AAACCATCGCCCGCGCCGCCTGGG</t>
  </si>
  <si>
    <t xml:space="preserve">ACGGGTAAGGTTCTGGCCAG</t>
  </si>
  <si>
    <t xml:space="preserve">TAGTACGGGTAAGGTTCTGGCCAG</t>
  </si>
  <si>
    <t xml:space="preserve">AAACCTGGCCAGAACCTTACCCGT</t>
  </si>
  <si>
    <t xml:space="preserve">PSPPH_2182</t>
  </si>
  <si>
    <t xml:space="preserve">gspE2</t>
  </si>
  <si>
    <t xml:space="preserve">TGCGCTCTGGCCCAGGCATA</t>
  </si>
  <si>
    <t xml:space="preserve">TAGTTGCGCTCTGGCCCAGGCATA</t>
  </si>
  <si>
    <t xml:space="preserve">AAACTATGCCTGGGCCAGAGCGCA</t>
  </si>
  <si>
    <t xml:space="preserve">GCCTCATTGATTGCCCAGCC</t>
  </si>
  <si>
    <t xml:space="preserve">TAGTGCCTCATTGATTGCCCAGCC</t>
  </si>
  <si>
    <t xml:space="preserve">AAACGGCTGGGCAATCAATGAGGC</t>
  </si>
  <si>
    <t xml:space="preserve">CGCCGGACCGAACTGCCGAC</t>
  </si>
  <si>
    <t xml:space="preserve">TAGTCGCCGGACCGAACTGCCGAC</t>
  </si>
  <si>
    <t xml:space="preserve">AAACGTCGGCAGTTCGGTCCGGCG</t>
  </si>
  <si>
    <t xml:space="preserve">GCCGGTATCGGCGTAGGCTG</t>
  </si>
  <si>
    <t xml:space="preserve">TAGTGCCGGTATCGGCGTAGGCTG</t>
  </si>
  <si>
    <t xml:space="preserve">AAACCAGCCTACGCCGATACCGGC</t>
  </si>
  <si>
    <t xml:space="preserve">PSPPH_2183</t>
  </si>
  <si>
    <t xml:space="preserve">gspF2</t>
  </si>
  <si>
    <t xml:space="preserve">CGGCAGCTTCATAGTGATAG</t>
  </si>
  <si>
    <t xml:space="preserve">TAGTCGGCAGCTTCATAGTGATAG</t>
  </si>
  <si>
    <t xml:space="preserve">AAACCTATCACTATGAAGCTGCCG</t>
  </si>
  <si>
    <t xml:space="preserve">TTCGATCGTGCCCTGCGCAT</t>
  </si>
  <si>
    <t xml:space="preserve">TAGTTTCGATCGTGCCCTGCGCAT</t>
  </si>
  <si>
    <t xml:space="preserve">AAACATGCGCAGGGCACGATCGAA</t>
  </si>
  <si>
    <t xml:space="preserve">ACTGTCAGCGTCCAGATGGC</t>
  </si>
  <si>
    <t xml:space="preserve">TAGTACTGTCAGCGTCCAGATGGC</t>
  </si>
  <si>
    <t xml:space="preserve">AAACGCCATCTGGACGCTGACAGT</t>
  </si>
  <si>
    <t xml:space="preserve">GCAATGCAGTCAGTCCCCGC</t>
  </si>
  <si>
    <t xml:space="preserve">TAGTGCAATGCAGTCAGTCCCCGC</t>
  </si>
  <si>
    <t xml:space="preserve">AAACGCGGGGACTGACTGCATTGC</t>
  </si>
  <si>
    <t xml:space="preserve">PSPPH_2185</t>
  </si>
  <si>
    <t xml:space="preserve">GGCGCAGGGTGGTGGGTCAT</t>
  </si>
  <si>
    <t xml:space="preserve">TAGTGGCGCAGGGTGGTGGGTCAT</t>
  </si>
  <si>
    <t xml:space="preserve">AAACATGACCCACCACCCTGCGCC</t>
  </si>
  <si>
    <t xml:space="preserve">TCTTCTTCGTTGGCAGGAAG</t>
  </si>
  <si>
    <t xml:space="preserve">TAGTTCTTCTTCGTTGGCAGGAAG</t>
  </si>
  <si>
    <t xml:space="preserve">AAACCTTCCTGCCAACGAAGAAGA</t>
  </si>
  <si>
    <t xml:space="preserve">TCCTGAGATGCTCAAGAGAC</t>
  </si>
  <si>
    <t xml:space="preserve">TAGTTCCTGAGATGCTCAAGAGAC</t>
  </si>
  <si>
    <t xml:space="preserve">AAACGTCTCTTGAGCATCTCAGGA</t>
  </si>
  <si>
    <t xml:space="preserve">ATGTCGTCGAAGTCCTGCTC</t>
  </si>
  <si>
    <t xml:space="preserve">TAGTATGTCGTCGAAGTCCTGCTC</t>
  </si>
  <si>
    <t xml:space="preserve">AAACGAGCAGGACTTCGACGACAT</t>
  </si>
  <si>
    <t xml:space="preserve">PSPPH_2186</t>
  </si>
  <si>
    <t xml:space="preserve">GGACTTGAATCATTTGGACC</t>
  </si>
  <si>
    <t xml:space="preserve">TAGTGGACTTGAATCATTTGGACC</t>
  </si>
  <si>
    <t xml:space="preserve">AAACGGTCCAAATGATTCAAGTCC</t>
  </si>
  <si>
    <t xml:space="preserve">AGACCCTTCGGGCAAAAGTT</t>
  </si>
  <si>
    <t xml:space="preserve">TAGTAGACCCTTCGGGCAAAAGTT</t>
  </si>
  <si>
    <t xml:space="preserve">AAACAACTTTTGCCCGAAGGGTCT</t>
  </si>
  <si>
    <t xml:space="preserve">AGGCTGGTGACTCTGTCGTC</t>
  </si>
  <si>
    <t xml:space="preserve">TAGTAGGCTGGTGACTCTGTCGTC</t>
  </si>
  <si>
    <t xml:space="preserve">AAACGACGACAGAGTCACCAGCCT</t>
  </si>
  <si>
    <t xml:space="preserve">ACCAGAACGGCCCCCACAAC</t>
  </si>
  <si>
    <t xml:space="preserve">TAGTACCAGAACGGCCCCCACAAC</t>
  </si>
  <si>
    <t xml:space="preserve">AAACGTTGTGGGGGCCGTTCTGGT</t>
  </si>
  <si>
    <t xml:space="preserve">PSPPH_2187</t>
  </si>
  <si>
    <t xml:space="preserve">GAGCGCGGCAGCTTCAATCA</t>
  </si>
  <si>
    <t xml:space="preserve">TAGTGAGCGCGGCAGCTTCAATCA</t>
  </si>
  <si>
    <t xml:space="preserve">AAACTGATTGAAGCTGCCGCGCTC</t>
  </si>
  <si>
    <t xml:space="preserve">CATAACTCAGTCAAGCGTAT</t>
  </si>
  <si>
    <t xml:space="preserve">TAGTCATAACTCAGTCAAGCGTAT</t>
  </si>
  <si>
    <t xml:space="preserve">AAACATACGCTTGACTGAGTTATG</t>
  </si>
  <si>
    <t xml:space="preserve">CGCATTGAGTGTGGAATTGT</t>
  </si>
  <si>
    <t xml:space="preserve">TAGTCGCATTGAGTGTGGAATTGT</t>
  </si>
  <si>
    <t xml:space="preserve">AAACACAATTCCACACTCAATGCG</t>
  </si>
  <si>
    <t xml:space="preserve">GGCCTGTTCGAGCGCGACAT</t>
  </si>
  <si>
    <t xml:space="preserve">TAGTGGCCTGTTCGAGCGCGACAT</t>
  </si>
  <si>
    <t xml:space="preserve">AAACATGTCGCGCTCGAACAGGCC</t>
  </si>
  <si>
    <t xml:space="preserve">PSPPH_2188</t>
  </si>
  <si>
    <t xml:space="preserve">ATCCGCAAGCAAGAGGGACA</t>
  </si>
  <si>
    <t xml:space="preserve">TAGTATCCGCAAGCAAGAGGGACA</t>
  </si>
  <si>
    <t xml:space="preserve">AAACTGTCCCTCTTGCTTGCGGAT</t>
  </si>
  <si>
    <t xml:space="preserve">ACTCCAGTGTCCGGGCCCGT</t>
  </si>
  <si>
    <t xml:space="preserve">TAGTACTCCAGTGTCCGGGCCCGT</t>
  </si>
  <si>
    <t xml:space="preserve">AAACACGGGCCCGGACACTGGAGT</t>
  </si>
  <si>
    <t xml:space="preserve">CGGCTGATTGAGCATGGGGG</t>
  </si>
  <si>
    <t xml:space="preserve">TAGTCGGCTGATTGAGCATGGGGG</t>
  </si>
  <si>
    <t xml:space="preserve">AAACCCCCCATGCTCAATCAGCCG</t>
  </si>
  <si>
    <t xml:space="preserve">CGCATGATTTCGTCCAGGCG</t>
  </si>
  <si>
    <t xml:space="preserve">TAGTCGCATGATTTCGTCCAGGCG</t>
  </si>
  <si>
    <t xml:space="preserve">AAACCGCCTGGACGAAATCATGCG</t>
  </si>
  <si>
    <t xml:space="preserve">PSPPH_2189</t>
  </si>
  <si>
    <t xml:space="preserve">AATCATGTCGAACACGGTCT</t>
  </si>
  <si>
    <t xml:space="preserve">TAGTAATCATGTCGAACACGGTCT</t>
  </si>
  <si>
    <t xml:space="preserve">AAACAGACCGTGTTCGACATGATT</t>
  </si>
  <si>
    <t xml:space="preserve">GGCCACTTGGTTCTGGTGCT</t>
  </si>
  <si>
    <t xml:space="preserve">TAGTGGCCACTTGGTTCTGGTGCT</t>
  </si>
  <si>
    <t xml:space="preserve">AAACAGCACCAGAACCAAGTGGCC</t>
  </si>
  <si>
    <t xml:space="preserve">GGGCTTGATGCCCTTGAGCT</t>
  </si>
  <si>
    <t xml:space="preserve">TAGTGGGCTTGATGCCCTTGAGCT</t>
  </si>
  <si>
    <t xml:space="preserve">AAACAGCTCAAGGGCATCAAGCCC</t>
  </si>
  <si>
    <t xml:space="preserve">CACAACCAGTCGTCATCCTG</t>
  </si>
  <si>
    <t xml:space="preserve">TAGTCACAACCAGTCGTCATCCTG</t>
  </si>
  <si>
    <t xml:space="preserve">AAACCAGGATGACGACTGGTTGTG</t>
  </si>
  <si>
    <t xml:space="preserve">PSPPH_2190</t>
  </si>
  <si>
    <t xml:space="preserve">AGAAGACGGAACGTTACTCA</t>
  </si>
  <si>
    <t xml:space="preserve">TAGTAGAAGACGGAACGTTACTCA</t>
  </si>
  <si>
    <t xml:space="preserve">AAACTGAGTAACGTTCCGTCTTCT</t>
  </si>
  <si>
    <t xml:space="preserve">ACCAGATTTTTCAGGCGGCC</t>
  </si>
  <si>
    <t xml:space="preserve">TAGTACCAGATTTTTCAGGCGGCC</t>
  </si>
  <si>
    <t xml:space="preserve">AAACGGCCGCCTGAAAAATCTGGT</t>
  </si>
  <si>
    <t xml:space="preserve">TCAACAGCGCGAAGAAGTAC</t>
  </si>
  <si>
    <t xml:space="preserve">TAGTTCAACAGCGCGAAGAAGTAC</t>
  </si>
  <si>
    <t xml:space="preserve">AAACGTACTTCTTCGCGCTGTTGA</t>
  </si>
  <si>
    <t xml:space="preserve">CTGACCTTGAGGTAGAACGG</t>
  </si>
  <si>
    <t xml:space="preserve">TAGTCTGACCTTGAGGTAGAACGG</t>
  </si>
  <si>
    <t xml:space="preserve">AAACCCGTTCTACCTCAAGGTCAG</t>
  </si>
  <si>
    <t xml:space="preserve">PSPPH_2191</t>
  </si>
  <si>
    <t xml:space="preserve">TCAGGCCGAAGGTGATGTAA</t>
  </si>
  <si>
    <t xml:space="preserve">TAGTTCAGGCCGAAGGTGATGTAA</t>
  </si>
  <si>
    <t xml:space="preserve">AAACTTACATCACCTTCGGCCTGA</t>
  </si>
  <si>
    <t xml:space="preserve">ACACGGCAATCATGCCCGCC</t>
  </si>
  <si>
    <t xml:space="preserve">TAGTACACGGCAATCATGCCCGCC</t>
  </si>
  <si>
    <t xml:space="preserve">AAACGGCGGGCATGATTGCCGTGT</t>
  </si>
  <si>
    <t xml:space="preserve">AAAGCTCTCGCTCTTGCGAT</t>
  </si>
  <si>
    <t xml:space="preserve">TAGTAAAGCTCTCGCTCTTGCGAT</t>
  </si>
  <si>
    <t xml:space="preserve">AAACATCGCAAGAGCGAGAGCTTT</t>
  </si>
  <si>
    <t xml:space="preserve">GCGACCGCCCACCGCGTAGT</t>
  </si>
  <si>
    <t xml:space="preserve">TAGTGCGACCGCCCACCGCGTAGT</t>
  </si>
  <si>
    <t xml:space="preserve">AAACACTACGCGGTGGGCGGTCGC</t>
  </si>
  <si>
    <t xml:space="preserve">PSPPH_2192</t>
  </si>
  <si>
    <t xml:space="preserve">GTGCGATGGGTGATGGCGCG</t>
  </si>
  <si>
    <t xml:space="preserve">TAGTGTGCGATGGGTGATGGCGCG</t>
  </si>
  <si>
    <t xml:space="preserve">AAACCGCGCCATCACCCATCGCAC</t>
  </si>
  <si>
    <t xml:space="preserve">AGGCCCTCGGCTTTTGCCGC</t>
  </si>
  <si>
    <t xml:space="preserve">TAGTAGGCCCTCGGCTTTTGCCGC</t>
  </si>
  <si>
    <t xml:space="preserve">AAACGCGGCAAAAGCCGAGGGCCT</t>
  </si>
  <si>
    <t xml:space="preserve">GGGCTCATCAGGCGAGTGAT</t>
  </si>
  <si>
    <t xml:space="preserve">TAGTGGGCTCATCAGGCGAGTGAT</t>
  </si>
  <si>
    <t xml:space="preserve">AAACATCACTCGCCTGATGAGCCC</t>
  </si>
  <si>
    <t xml:space="preserve">ATAACTGACCCAGATCGCCA</t>
  </si>
  <si>
    <t xml:space="preserve">TAGTATAACTGACCCAGATCGCCA</t>
  </si>
  <si>
    <t xml:space="preserve">AAACTGGCGATCTGGGTCAGTTAT</t>
  </si>
  <si>
    <t xml:space="preserve">PSPPH_2193</t>
  </si>
  <si>
    <t xml:space="preserve">TCGTTGAGGTCAAGCGCCAC</t>
  </si>
  <si>
    <t xml:space="preserve">TAGTTCGTTGAGGTCAAGCGCCAC</t>
  </si>
  <si>
    <t xml:space="preserve">AAACGTGGCGCTTGACCTCAACGA</t>
  </si>
  <si>
    <t xml:space="preserve">GCGCACGACCTGCACAAACA</t>
  </si>
  <si>
    <t xml:space="preserve">TAGTGCGCACGACCTGCACAAACA</t>
  </si>
  <si>
    <t xml:space="preserve">AAACTGTTTGTGCAGGTCGTGCGC</t>
  </si>
  <si>
    <t xml:space="preserve">TTGCGGCTGACCGTATTGGA</t>
  </si>
  <si>
    <t xml:space="preserve">TAGTTTGCGGCTGACCGTATTGGA</t>
  </si>
  <si>
    <t xml:space="preserve">AAACTCCAATACGGTCAGCCGCAA</t>
  </si>
  <si>
    <t xml:space="preserve">AGTCCTCCCCTGCCTGGGTG</t>
  </si>
  <si>
    <t xml:space="preserve">TAGTAGTCCTCCCCTGCCTGGGTG</t>
  </si>
  <si>
    <t xml:space="preserve">AAACCACCCAGGCAGGGGAGGACT</t>
  </si>
  <si>
    <t xml:space="preserve">PSPPH_2194</t>
  </si>
  <si>
    <t xml:space="preserve">GACTGTCCGCTGCAAGCCAA</t>
  </si>
  <si>
    <t xml:space="preserve">TAGTGACTGTCCGCTGCAAGCCAA</t>
  </si>
  <si>
    <t xml:space="preserve">AAACTTGGCTTGCAGCGGACAGTC</t>
  </si>
  <si>
    <t xml:space="preserve">GTGCGCTTTGCGAAAGTTTG</t>
  </si>
  <si>
    <t xml:space="preserve">TAGTGTGCGCTTTGCGAAAGTTTG</t>
  </si>
  <si>
    <t xml:space="preserve">AAACCAAACTTTCGCAAAGCGCAC</t>
  </si>
  <si>
    <t xml:space="preserve">TTCGTAATTGCCCTGAGCGT</t>
  </si>
  <si>
    <t xml:space="preserve">TAGTTTCGTAATTGCCCTGAGCGT</t>
  </si>
  <si>
    <t xml:space="preserve">AAACACGCTCAGGGCAATTACGAA</t>
  </si>
  <si>
    <t xml:space="preserve">CTGGAAAGGTAGTCTGCCCG</t>
  </si>
  <si>
    <t xml:space="preserve">TAGTCTGGAAAGGTAGTCTGCCCG</t>
  </si>
  <si>
    <t xml:space="preserve">AAACCGGGCAGACTACCTTTCCAG</t>
  </si>
  <si>
    <t xml:space="preserve">PSPPH_2195</t>
  </si>
  <si>
    <t xml:space="preserve">TACCGCCAGTTTCAGGCGCA</t>
  </si>
  <si>
    <t xml:space="preserve">TAGTTACCGCCAGTTTCAGGCGCA</t>
  </si>
  <si>
    <t xml:space="preserve">AAACTGCGCCTGAAACTGGCGGTA</t>
  </si>
  <si>
    <t xml:space="preserve">GGCACCCAGGCCCAGGGCTG</t>
  </si>
  <si>
    <t xml:space="preserve">TAGTGGCACCCAGGCCCAGGGCTG</t>
  </si>
  <si>
    <t xml:space="preserve">AAACCAGCCCTGGGCCTGGGTGCC</t>
  </si>
  <si>
    <t xml:space="preserve">GTGGGTCTGCGTCGATGTGC</t>
  </si>
  <si>
    <t xml:space="preserve">TAGTGTGGGTCTGCGTCGATGTGC</t>
  </si>
  <si>
    <t xml:space="preserve">AAACGCACATCGACGCAGACCCAC</t>
  </si>
  <si>
    <t xml:space="preserve">CGCGCCCATGGGCGCAATCA</t>
  </si>
  <si>
    <t xml:space="preserve">TAGTCGCGCCCATGGGCGCAATCA</t>
  </si>
  <si>
    <t xml:space="preserve">AAACTGATTGCGCCCATGGGCGCG</t>
  </si>
  <si>
    <t xml:space="preserve">PSPPH_2196</t>
  </si>
  <si>
    <t xml:space="preserve">CACTGAAGCAGACGGGGGGA</t>
  </si>
  <si>
    <t xml:space="preserve">TAGTCACTGAAGCAGACGGGGGGA</t>
  </si>
  <si>
    <t xml:space="preserve">AAACTCCCCCCGTCTGCTTCAGTG</t>
  </si>
  <si>
    <t xml:space="preserve">CGACGTTTGACTTCAGGGCG</t>
  </si>
  <si>
    <t xml:space="preserve">TAGTCGACGTTTGACTTCAGGGCG</t>
  </si>
  <si>
    <t xml:space="preserve">AAACCGCCCTGAAGTCAAACGTCG</t>
  </si>
  <si>
    <t xml:space="preserve">GCCAGATCAGCGAGACGCGC</t>
  </si>
  <si>
    <t xml:space="preserve">TAGTGCCAGATCAGCGAGACGCGC</t>
  </si>
  <si>
    <t xml:space="preserve">AAACGCGCGTCTCGCTGATCTGGC</t>
  </si>
  <si>
    <t xml:space="preserve">CCAATGATCGCTGCAACGAT</t>
  </si>
  <si>
    <t xml:space="preserve">TAGTCCAATGATCGCTGCAACGAT</t>
  </si>
  <si>
    <t xml:space="preserve">AAACATCGTTGCAGCGATCATTGG</t>
  </si>
  <si>
    <t xml:space="preserve">PSPPH_2198</t>
  </si>
  <si>
    <t xml:space="preserve">GACGGCACCCGCAAAGCCGC</t>
  </si>
  <si>
    <t xml:space="preserve">TAGTGACGGCACCCGCAAAGCCGC</t>
  </si>
  <si>
    <t xml:space="preserve">AAACGCGGCTTTGCGGGTGCCGTC</t>
  </si>
  <si>
    <t xml:space="preserve">GGCTTCCGGCTGCTCAAGGG</t>
  </si>
  <si>
    <t xml:space="preserve">TAGTGGCTTCCGGCTGCTCAAGGG</t>
  </si>
  <si>
    <t xml:space="preserve">AAACCCCTTGAGCAGCCGGAAGCC</t>
  </si>
  <si>
    <t xml:space="preserve">GACCAGCCGCTGCAGTTGCT</t>
  </si>
  <si>
    <t xml:space="preserve">TAGTGACCAGCCGCTGCAGTTGCT</t>
  </si>
  <si>
    <t xml:space="preserve">AAACAGCAACTGCAGCGGCTGGTC</t>
  </si>
  <si>
    <t xml:space="preserve">ACGCGCTGCTGGACTGATTC</t>
  </si>
  <si>
    <t xml:space="preserve">TAGTACGCGCTGCTGGACTGATTC</t>
  </si>
  <si>
    <t xml:space="preserve">AAACGAATCAGTCCAGCAGCGCGT</t>
  </si>
  <si>
    <t xml:space="preserve">PSPPH_2199</t>
  </si>
  <si>
    <t xml:space="preserve">prt</t>
  </si>
  <si>
    <t xml:space="preserve">TGAAGCAATGCAGGGGGTTA</t>
  </si>
  <si>
    <t xml:space="preserve">TAGTTGAAGCAATGCAGGGGGTTA</t>
  </si>
  <si>
    <t xml:space="preserve">AAACTAACCCCCTGCATTGCTTCA</t>
  </si>
  <si>
    <t xml:space="preserve">ATACGCTCGAGCATATAAGG</t>
  </si>
  <si>
    <t xml:space="preserve">TAGTATACGCTCGAGCATATAAGG</t>
  </si>
  <si>
    <t xml:space="preserve">AAACCCTTATATGCTCGAGCGTAT</t>
  </si>
  <si>
    <t xml:space="preserve">GGCGCTGACCAGAGTCTTGG</t>
  </si>
  <si>
    <t xml:space="preserve">TAGTGGCGCTGACCAGAGTCTTGG</t>
  </si>
  <si>
    <t xml:space="preserve">AAACCCAAGACTCTGGTCAGCGCC</t>
  </si>
  <si>
    <t xml:space="preserve">TGTCAGATTGGCAATGGCTC</t>
  </si>
  <si>
    <t xml:space="preserve">TAGTTGTCAGATTGGCAATGGCTC</t>
  </si>
  <si>
    <t xml:space="preserve">AAACGAGCCATTGCCAATCTGACA</t>
  </si>
  <si>
    <t xml:space="preserve">PSPPH_2200</t>
  </si>
  <si>
    <t xml:space="preserve">CGAGCTGCCTGCATCGCATC</t>
  </si>
  <si>
    <t xml:space="preserve">TAGTCGAGCTGCCTGCATCGCATC</t>
  </si>
  <si>
    <t xml:space="preserve">AAACGATGCGATGCAGGCAGCTCG</t>
  </si>
  <si>
    <t xml:space="preserve">TCCTGGGCTTTTTCCCTGGC</t>
  </si>
  <si>
    <t xml:space="preserve">TAGTTCCTGGGCTTTTTCCCTGGC</t>
  </si>
  <si>
    <t xml:space="preserve">AAACGCCAGGGAAAAAGCCCAGGA</t>
  </si>
  <si>
    <t xml:space="preserve">AACCACTGTGGCGTGGAGAC</t>
  </si>
  <si>
    <t xml:space="preserve">TAGTAACCACTGTGGCGTGGAGAC</t>
  </si>
  <si>
    <t xml:space="preserve">AAACGTCTCCACGCCACAGTGGTT</t>
  </si>
  <si>
    <t xml:space="preserve">GCGTTCCAGCAGCCAGGCAC</t>
  </si>
  <si>
    <t xml:space="preserve">TAGTGCGTTCCAGCAGCCAGGCAC</t>
  </si>
  <si>
    <t xml:space="preserve">AAACGTGCCTGGCTGCTGGAACGC</t>
  </si>
  <si>
    <t xml:space="preserve">PSPPH_2201</t>
  </si>
  <si>
    <t xml:space="preserve">GCAGGGGTCTTACGAGCCAT</t>
  </si>
  <si>
    <t xml:space="preserve">TAGTGCAGGGGTCTTACGAGCCAT</t>
  </si>
  <si>
    <t xml:space="preserve">AAACATGGCTCGTAAGACCCCTGC</t>
  </si>
  <si>
    <t xml:space="preserve">TGCCTGATCCTTGATTTGAT</t>
  </si>
  <si>
    <t xml:space="preserve">TAGTTGCCTGATCCTTGATTTGAT</t>
  </si>
  <si>
    <t xml:space="preserve">AAACATCAAATCAAGGATCAGGCA</t>
  </si>
  <si>
    <t xml:space="preserve">GCTTTCCTTGAGCAATTTGT</t>
  </si>
  <si>
    <t xml:space="preserve">TAGTGCTTTCCTTGAGCAATTTGT</t>
  </si>
  <si>
    <t xml:space="preserve">AAACACAAATTGCTCAAGGAAAGC</t>
  </si>
  <si>
    <t xml:space="preserve">TTTGGTGCGGTCGCGCACGC</t>
  </si>
  <si>
    <t xml:space="preserve">TAGTTTTGGTGCGGTCGCGCACGC</t>
  </si>
  <si>
    <t xml:space="preserve">AAACGCGTGCGCGACCGCACCAAA</t>
  </si>
  <si>
    <t xml:space="preserve">PSPPH_2202</t>
  </si>
  <si>
    <t xml:space="preserve">ACGTTCGGGGAGCGGCCGAT</t>
  </si>
  <si>
    <t xml:space="preserve">TAGTACGTTCGGGGAGCGGCCGAT</t>
  </si>
  <si>
    <t xml:space="preserve">AAACATCGGCCGCTCCCCGAACGT</t>
  </si>
  <si>
    <t xml:space="preserve">GGATTTCTCGTCTTCAAGAG</t>
  </si>
  <si>
    <t xml:space="preserve">TAGTGGATTTCTCGTCTTCAAGAG</t>
  </si>
  <si>
    <t xml:space="preserve">AAACCTCTTGAAGACGAGAAATCC</t>
  </si>
  <si>
    <t xml:space="preserve">CTGCCAGAGGTCGAACAAAC</t>
  </si>
  <si>
    <t xml:space="preserve">TAGTCTGCCAGAGGTCGAACAAAC</t>
  </si>
  <si>
    <t xml:space="preserve">AAACGTTTGTTCGACCTCTGGCAG</t>
  </si>
  <si>
    <t xml:space="preserve">CAAGCGTGCAGCTTCACTCT</t>
  </si>
  <si>
    <t xml:space="preserve">TAGTCAAGCGTGCAGCTTCACTCT</t>
  </si>
  <si>
    <t xml:space="preserve">AAACAGAGTGAAGCTGCACGCTTG</t>
  </si>
  <si>
    <t xml:space="preserve">PSPPH_2203</t>
  </si>
  <si>
    <t xml:space="preserve">GGTGAATCTTGCGCTGGCTT</t>
  </si>
  <si>
    <t xml:space="preserve">TAGTGGTGAATCTTGCGCTGGCTT</t>
  </si>
  <si>
    <t xml:space="preserve">AAACAAGCCAGCGCAAGATTCACC</t>
  </si>
  <si>
    <t xml:space="preserve">GTGGCGCGCTACGCTGCCCT</t>
  </si>
  <si>
    <t xml:space="preserve">TAGTGTGGCGCGCTACGCTGCCCT</t>
  </si>
  <si>
    <t xml:space="preserve">AAACAGGGCAGCGTAGCGCGCCAC</t>
  </si>
  <si>
    <t xml:space="preserve">GCTCAAGGCACTGGTACTGG</t>
  </si>
  <si>
    <t xml:space="preserve">TAGTGCTCAAGGCACTGGTACTGG</t>
  </si>
  <si>
    <t xml:space="preserve">AAACCCAGTACCAGTGCCTTGAGC</t>
  </si>
  <si>
    <t xml:space="preserve">CGACAAGAAAAATCGCAAAC</t>
  </si>
  <si>
    <t xml:space="preserve">TAGTCGACAAGAAAAATCGCAAAC</t>
  </si>
  <si>
    <t xml:space="preserve">AAACGTTTGCGATTTTTCTTGTCG</t>
  </si>
  <si>
    <t xml:space="preserve">PSPPH_2204</t>
  </si>
  <si>
    <t xml:space="preserve">CTTGGGCGCAGCTGTTTCTT</t>
  </si>
  <si>
    <t xml:space="preserve">TAGTCTTGGGCGCAGCTGTTTCTT</t>
  </si>
  <si>
    <t xml:space="preserve">AAACAAGAAACAGCTGCGCCCAAG</t>
  </si>
  <si>
    <t xml:space="preserve">TGTCGCCCTTGGGCGCACGA</t>
  </si>
  <si>
    <t xml:space="preserve">TAGTTGTCGCCCTTGGGCGCACGA</t>
  </si>
  <si>
    <t xml:space="preserve">AAACTCGTGCGCCCAAGGGCGACA</t>
  </si>
  <si>
    <t xml:space="preserve">CCTGGCGAAAACAACTGTGG</t>
  </si>
  <si>
    <t xml:space="preserve">TAGTCCTGGCGAAAACAACTGTGG</t>
  </si>
  <si>
    <t xml:space="preserve">AAACCCACAGTTGTTTTCGCCAGG</t>
  </si>
  <si>
    <t xml:space="preserve">CAAGCCGACGGTGGTGATGC</t>
  </si>
  <si>
    <t xml:space="preserve">TAGTCAAGCCGACGGTGGTGATGC</t>
  </si>
  <si>
    <t xml:space="preserve">AAACGCATCACCACCGTCGGCTTG</t>
  </si>
  <si>
    <t xml:space="preserve">PSPPH_2205</t>
  </si>
  <si>
    <t xml:space="preserve">TGAAGTTGATCTTTTCCGAC</t>
  </si>
  <si>
    <t xml:space="preserve">TAGTTGAAGTTGATCTTTTCCGAC</t>
  </si>
  <si>
    <t xml:space="preserve">AAACGTCGGAAAAGATCAACTTCA</t>
  </si>
  <si>
    <t xml:space="preserve">TGAGCAGGGAAGGGATCATG</t>
  </si>
  <si>
    <t xml:space="preserve">TAGTTGAGCAGGGAAGGGATCATG</t>
  </si>
  <si>
    <t xml:space="preserve">AAACCATGATCCCTTCCCTGCTCA</t>
  </si>
  <si>
    <t xml:space="preserve">CATGGAGGAGTCATACGCCA</t>
  </si>
  <si>
    <t xml:space="preserve">TAGTCATGGAGGAGTCATACGCCA</t>
  </si>
  <si>
    <t xml:space="preserve">AAACTGGCGTATGACTCCTCCATG</t>
  </si>
  <si>
    <t xml:space="preserve">AGGGTACTGAGCACCGAACG</t>
  </si>
  <si>
    <t xml:space="preserve">TAGTAGGGTACTGAGCACCGAACG</t>
  </si>
  <si>
    <t xml:space="preserve">AAACCGTTCGGTGCTCAGTACCCT</t>
  </si>
  <si>
    <t xml:space="preserve">PSPPH_2206</t>
  </si>
  <si>
    <t xml:space="preserve">TGTCGCAATGACACATCGCT</t>
  </si>
  <si>
    <t xml:space="preserve">TAGTTGTCGCAATGACACATCGCT</t>
  </si>
  <si>
    <t xml:space="preserve">AAACAGCGATGTGTCATTGCGACA</t>
  </si>
  <si>
    <t xml:space="preserve">GTTTGCAGGAGAAAAACAGA</t>
  </si>
  <si>
    <t xml:space="preserve">TAGTGTTTGCAGGAGAAAAACAGA</t>
  </si>
  <si>
    <t xml:space="preserve">AAACTCTGTTTTTCTCCTGCAAAC</t>
  </si>
  <si>
    <t xml:space="preserve">ATCGATTGCATCTCGATTAA</t>
  </si>
  <si>
    <t xml:space="preserve">TAGTATCGATTGCATCTCGATTAA</t>
  </si>
  <si>
    <t xml:space="preserve">AAACTTAATCGAGATGCAATCGAT</t>
  </si>
  <si>
    <t xml:space="preserve">TGCACTGAAAACAGACAGCA</t>
  </si>
  <si>
    <t xml:space="preserve">TAGTTGCACTGAAAACAGACAGCA</t>
  </si>
  <si>
    <t xml:space="preserve">AAACTGCTGTCTGTTTTCAGTGCA</t>
  </si>
  <si>
    <t xml:space="preserve">PSPPH_2207</t>
  </si>
  <si>
    <t xml:space="preserve">GACGGGTTCTGCGGGGTCAT</t>
  </si>
  <si>
    <t xml:space="preserve">TAGTGACGGGTTCTGCGGGGTCAT</t>
  </si>
  <si>
    <t xml:space="preserve">AAACATGACCCCGCAGAACCCGTC</t>
  </si>
  <si>
    <t xml:space="preserve">TCACAAGAGCCAGAAAGGTC</t>
  </si>
  <si>
    <t xml:space="preserve">TAGTTCACAAGAGCCAGAAAGGTC</t>
  </si>
  <si>
    <t xml:space="preserve">AAACGACCTTTCTGGCTCTTGTGA</t>
  </si>
  <si>
    <t xml:space="preserve">CCCATGTCGGTGCCATGCAC</t>
  </si>
  <si>
    <t xml:space="preserve">TAGTCCCATGTCGGTGCCATGCAC</t>
  </si>
  <si>
    <t xml:space="preserve">AAACGTGCATGGCACCGACATGGG</t>
  </si>
  <si>
    <t xml:space="preserve">GTCGTAGGCAATGCCGCGCT</t>
  </si>
  <si>
    <t xml:space="preserve">TAGTGTCGTAGGCAATGCCGCGCT</t>
  </si>
  <si>
    <t xml:space="preserve">AAACAGCGCGGCATTGCCTACGAC</t>
  </si>
  <si>
    <t xml:space="preserve">PSPPH_2208</t>
  </si>
  <si>
    <t xml:space="preserve">CTGAGAGCAGGGCGCGGATC</t>
  </si>
  <si>
    <t xml:space="preserve">TAGTCTGAGAGCAGGGCGCGGATC</t>
  </si>
  <si>
    <t xml:space="preserve">AAACGATCCGCGCCCTGCTCTCAG</t>
  </si>
  <si>
    <t xml:space="preserve">CGCTCAAACCAAGGATAAGC</t>
  </si>
  <si>
    <t xml:space="preserve">TAGTCGCTCAAACCAAGGATAAGC</t>
  </si>
  <si>
    <t xml:space="preserve">AAACGCTTATCCTTGGTTTGAGCG</t>
  </si>
  <si>
    <t xml:space="preserve">TCGTCAGCGGGTCTCGATGG</t>
  </si>
  <si>
    <t xml:space="preserve">TAGTTCGTCAGCGGGTCTCGATGG</t>
  </si>
  <si>
    <t xml:space="preserve">AAACCCATCGAGACCCGCTGACGA</t>
  </si>
  <si>
    <t xml:space="preserve">TCAAGTCCCTGCCCGGGAAC</t>
  </si>
  <si>
    <t xml:space="preserve">TAGTTCAAGTCCCTGCCCGGGAAC</t>
  </si>
  <si>
    <t xml:space="preserve">AAACGTTCCCGGGCAGGGACTTGA</t>
  </si>
  <si>
    <t xml:space="preserve">PSPPH_2209</t>
  </si>
  <si>
    <t xml:space="preserve">phbA2</t>
  </si>
  <si>
    <t xml:space="preserve">ACGAAGGGGTGTCCTTTCGA</t>
  </si>
  <si>
    <t xml:space="preserve">TAGTACGAAGGGGTGTCCTTTCGA</t>
  </si>
  <si>
    <t xml:space="preserve">AAACTCGAAAGGACACCCCTTCGT</t>
  </si>
  <si>
    <t xml:space="preserve">CAGCGCTGACAATGACCACA</t>
  </si>
  <si>
    <t xml:space="preserve">TAGTCAGCGCTGACAATGACCACA</t>
  </si>
  <si>
    <t xml:space="preserve">AAACTGTGGTCATTGTCAGCGCTG</t>
  </si>
  <si>
    <t xml:space="preserve">TCACCCTGAAAACCGCCCAT</t>
  </si>
  <si>
    <t xml:space="preserve">TAGTTCACCCTGAAAACCGCCCAT</t>
  </si>
  <si>
    <t xml:space="preserve">AAACATGGGCGGTTTTCAGGGTGA</t>
  </si>
  <si>
    <t xml:space="preserve">AACCCAGTTCTGTGGCACTC</t>
  </si>
  <si>
    <t xml:space="preserve">TAGTAACCCAGTTCTGTGGCACTC</t>
  </si>
  <si>
    <t xml:space="preserve">AAACGAGTGCCACAGAACTGGGTT</t>
  </si>
  <si>
    <t xml:space="preserve">PSPPH_2210</t>
  </si>
  <si>
    <t xml:space="preserve">ATGCATTAAGTGCCTTGGGA</t>
  </si>
  <si>
    <t xml:space="preserve">TAGTATGCATTAAGTGCCTTGGGA</t>
  </si>
  <si>
    <t xml:space="preserve">AAACTCCCAAGGCACTTAATGCAT</t>
  </si>
  <si>
    <t xml:space="preserve">CTTCGAACTGGTCGAGTGCG</t>
  </si>
  <si>
    <t xml:space="preserve">TAGTCTTCGAACTGGTCGAGTGCG</t>
  </si>
  <si>
    <t xml:space="preserve">AAACCGCACTCGACCAGTTCGAAG</t>
  </si>
  <si>
    <t xml:space="preserve">GGTCAGCACGATGCAGCCGA</t>
  </si>
  <si>
    <t xml:space="preserve">TAGTGGTCAGCACGATGCAGCCGA</t>
  </si>
  <si>
    <t xml:space="preserve">AAACTCGGCTGCATCGTGCTGACC</t>
  </si>
  <si>
    <t xml:space="preserve">CGCAAAGGCTTTTTCCGAAC</t>
  </si>
  <si>
    <t xml:space="preserve">TAGTCGCAAAGGCTTTTTCCGAAC</t>
  </si>
  <si>
    <t xml:space="preserve">AAACGTTCGGAAAAAGCCTTTGCG</t>
  </si>
  <si>
    <t xml:space="preserve">PSPPH_2211</t>
  </si>
  <si>
    <t xml:space="preserve">TTCATTGAGAGCATCACGGC</t>
  </si>
  <si>
    <t xml:space="preserve">TAGTTTCATTGAGAGCATCACGGC</t>
  </si>
  <si>
    <t xml:space="preserve">AAACGCCGTGATGCTCTCAATGAA</t>
  </si>
  <si>
    <t xml:space="preserve">GGCTGCGCACATCCAGAAGA</t>
  </si>
  <si>
    <t xml:space="preserve">TAGTGGCTGCGCACATCCAGAAGA</t>
  </si>
  <si>
    <t xml:space="preserve">AAACTCTTCTGGATGTGCGCAGCC</t>
  </si>
  <si>
    <t xml:space="preserve">AAAACGCTTCTCGGTGCAGC</t>
  </si>
  <si>
    <t xml:space="preserve">TAGTAAAACGCTTCTCGGTGCAGC</t>
  </si>
  <si>
    <t xml:space="preserve">AAACGCTGCACCGAGAAGCGTTTT</t>
  </si>
  <si>
    <t xml:space="preserve">TTCGGGTCGCATGGCAGATC</t>
  </si>
  <si>
    <t xml:space="preserve">TAGTTTCGGGTCGCATGGCAGATC</t>
  </si>
  <si>
    <t xml:space="preserve">AAACGATCTGCCATGCGACCCGAA</t>
  </si>
  <si>
    <t xml:space="preserve">PSPPH_2212</t>
  </si>
  <si>
    <t xml:space="preserve">AAACGTGCGTCCCTTGGCAT</t>
  </si>
  <si>
    <t xml:space="preserve">TAGTAAACGTGCGTCCCTTGGCAT</t>
  </si>
  <si>
    <t xml:space="preserve">AAACATGCCAAGGGACGCACGTTT</t>
  </si>
  <si>
    <t xml:space="preserve">TGCGGCGATCATGATCTCCT</t>
  </si>
  <si>
    <t xml:space="preserve">TAGTTGCGGCGATCATGATCTCCT</t>
  </si>
  <si>
    <t xml:space="preserve">AAACAGGAGATCATGATCGCCGCA</t>
  </si>
  <si>
    <t xml:space="preserve">GCAGACGCGAGTTCATGTCC</t>
  </si>
  <si>
    <t xml:space="preserve">TAGTGCAGACGCGAGTTCATGTCC</t>
  </si>
  <si>
    <t xml:space="preserve">AAACGGACATGAACTCGCGTCTGC</t>
  </si>
  <si>
    <t xml:space="preserve">GCGCGGCATCGAGGCCTTTT</t>
  </si>
  <si>
    <t xml:space="preserve">TAGTGCGCGGCATCGAGGCCTTTT</t>
  </si>
  <si>
    <t xml:space="preserve">AAACAAAAGGCCTCGATGCCGCGC</t>
  </si>
  <si>
    <t xml:space="preserve">PSPPH_2213</t>
  </si>
  <si>
    <t xml:space="preserve">GCCGGCGCGTAGATCTGCGA</t>
  </si>
  <si>
    <t xml:space="preserve">TAGTGCCGGCGCGTAGATCTGCGA</t>
  </si>
  <si>
    <t xml:space="preserve">AAACTCGCAGATCTACGCGCCGGC</t>
  </si>
  <si>
    <t xml:space="preserve">ATTCGCTCAGGCCGCAGGAA</t>
  </si>
  <si>
    <t xml:space="preserve">TAGTATTCGCTCAGGCCGCAGGAA</t>
  </si>
  <si>
    <t xml:space="preserve">AAACTTCCTGCGGCCTGAGCGAAT</t>
  </si>
  <si>
    <t xml:space="preserve">CCAGGTCGAATACCTCGACC</t>
  </si>
  <si>
    <t xml:space="preserve">TAGTCCAGGTCGAATACCTCGACC</t>
  </si>
  <si>
    <t xml:space="preserve">AAACGGTCGAGGTATTCGACCTGG</t>
  </si>
  <si>
    <t xml:space="preserve">GCTGAGGTTCAATACTTCCA</t>
  </si>
  <si>
    <t xml:space="preserve">TAGTGCTGAGGTTCAATACTTCCA</t>
  </si>
  <si>
    <t xml:space="preserve">AAACTGGAAGTATTGAACCTCAGC</t>
  </si>
  <si>
    <t xml:space="preserve">PSPPH_2214</t>
  </si>
  <si>
    <t xml:space="preserve">CACTCGGGCGCTGCGGCCTC</t>
  </si>
  <si>
    <t xml:space="preserve">TAGTCACTCGGGCGCTGCGGCCTC</t>
  </si>
  <si>
    <t xml:space="preserve">AAACGAGGCCGCAGCGCCCGAGTG</t>
  </si>
  <si>
    <t xml:space="preserve">ATCGCGGACCGCGCGGTGAA</t>
  </si>
  <si>
    <t xml:space="preserve">TAGTATCGCGGACCGCGCGGTGAA</t>
  </si>
  <si>
    <t xml:space="preserve">AAACTTCACCGCGCGGTCCGCGAT</t>
  </si>
  <si>
    <t xml:space="preserve">CCCGCCCGGAGCGCGATCAT</t>
  </si>
  <si>
    <t xml:space="preserve">TAGTCCCGCCCGGAGCGCGATCAT</t>
  </si>
  <si>
    <t xml:space="preserve">AAACATGATCGCGCTCCGGGCGGG</t>
  </si>
  <si>
    <t xml:space="preserve">CAGCGGCGATAAATGGTCGA</t>
  </si>
  <si>
    <t xml:space="preserve">TAGTCAGCGGCGATAAATGGTCGA</t>
  </si>
  <si>
    <t xml:space="preserve">AAACTCGACCATTTATCGCCGCTG</t>
  </si>
  <si>
    <t xml:space="preserve">PSPPH_2215</t>
  </si>
  <si>
    <t xml:space="preserve">CGTCGAACCTTGTGAAGGAA</t>
  </si>
  <si>
    <t xml:space="preserve">TAGTCGTCGAACCTTGTGAAGGAA</t>
  </si>
  <si>
    <t xml:space="preserve">AAACTTCCTTCACAAGGTTCGACG</t>
  </si>
  <si>
    <t xml:space="preserve">GCGCCCGGCCATCAGACTTG</t>
  </si>
  <si>
    <t xml:space="preserve">TAGTGCGCCCGGCCATCAGACTTG</t>
  </si>
  <si>
    <t xml:space="preserve">AAACCAAGTCTGATGGCCGGGCGC</t>
  </si>
  <si>
    <t xml:space="preserve">TGAAGGCCAGAAACCCGAGA</t>
  </si>
  <si>
    <t xml:space="preserve">TAGTTGAAGGCCAGAAACCCGAGA</t>
  </si>
  <si>
    <t xml:space="preserve">AAACTCTCGGGTTTCTGGCCTTCA</t>
  </si>
  <si>
    <t xml:space="preserve">CGCGGCAAAGAAGCACAGTG</t>
  </si>
  <si>
    <t xml:space="preserve">TAGTCGCGGCAAAGAAGCACAGTG</t>
  </si>
  <si>
    <t xml:space="preserve">AAACCACTGTGCTTCTTTGCCGCG</t>
  </si>
  <si>
    <t xml:space="preserve">PSPPH_2216</t>
  </si>
  <si>
    <t xml:space="preserve">GCTTACGTAGATGCCTTTTC</t>
  </si>
  <si>
    <t xml:space="preserve">TAGTGCTTACGTAGATGCCTTTTC</t>
  </si>
  <si>
    <t xml:space="preserve">AAACGAAAAGGCATCTACGTAAGC</t>
  </si>
  <si>
    <t xml:space="preserve">CTGATCGTGAGGGTCAAGAT</t>
  </si>
  <si>
    <t xml:space="preserve">TAGTCTGATCGTGAGGGTCAAGAT</t>
  </si>
  <si>
    <t xml:space="preserve">AAACATCTTGACCCTCACGATCAG</t>
  </si>
  <si>
    <t xml:space="preserve">TCGCCAGGCTTATATGCGCG</t>
  </si>
  <si>
    <t xml:space="preserve">TAGTTCGCCAGGCTTATATGCGCG</t>
  </si>
  <si>
    <t xml:space="preserve">AAACCGCGCATATAAGCCTGGCGA</t>
  </si>
  <si>
    <t xml:space="preserve">GCGCGCTTTGCGTGTCTGGC</t>
  </si>
  <si>
    <t xml:space="preserve">TAGTGCGCGCTTTGCGTGTCTGGC</t>
  </si>
  <si>
    <t xml:space="preserve">AAACGCCAGACACGCAAAGCGCGC</t>
  </si>
  <si>
    <t xml:space="preserve">PSPPH_2218</t>
  </si>
  <si>
    <t xml:space="preserve">ACTGCGCAGGTGTGTAGCAA</t>
  </si>
  <si>
    <t xml:space="preserve">TAGTACTGCGCAGGTGTGTAGCAA</t>
  </si>
  <si>
    <t xml:space="preserve">AAACTTGCTACACACCTGCGCAGT</t>
  </si>
  <si>
    <t xml:space="preserve">GCTTCAGGCTAATGAAGTCT</t>
  </si>
  <si>
    <t xml:space="preserve">TAGTGCTTCAGGCTAATGAAGTCT</t>
  </si>
  <si>
    <t xml:space="preserve">AAACAGACTTCATTAGCCTGAAGC</t>
  </si>
  <si>
    <t xml:space="preserve">CTTTTTTTGGTTCTTTCTTT</t>
  </si>
  <si>
    <t xml:space="preserve">TAGTCTTTTTTTGGTTCTTTCTTT</t>
  </si>
  <si>
    <t xml:space="preserve">AAACAAAGAAAGAACCAAAAAAAG</t>
  </si>
  <si>
    <t xml:space="preserve">PSPPH_2219</t>
  </si>
  <si>
    <t xml:space="preserve">CGATCGATGGGGCTCAATTT</t>
  </si>
  <si>
    <t xml:space="preserve">TAGTCGATCGATGGGGCTCAATTT</t>
  </si>
  <si>
    <t xml:space="preserve">AAACAAATTGAGCCCCATCGATCG</t>
  </si>
  <si>
    <t xml:space="preserve">GATTTCTGCCGCAGACAGGC</t>
  </si>
  <si>
    <t xml:space="preserve">TAGTGATTTCTGCCGCAGACAGGC</t>
  </si>
  <si>
    <t xml:space="preserve">AAACGCCTGTCTGCGGCAGAAATC</t>
  </si>
  <si>
    <t xml:space="preserve">TTGCGATAACTCGACCCGTT</t>
  </si>
  <si>
    <t xml:space="preserve">TAGTTTGCGATAACTCGACCCGTT</t>
  </si>
  <si>
    <t xml:space="preserve">AAACAACGGGTCGAGTTATCGCAA</t>
  </si>
  <si>
    <t xml:space="preserve">CCGGTGGATGCGCCGCCAGC</t>
  </si>
  <si>
    <t xml:space="preserve">TAGTCCGGTGGATGCGCCGCCAGC</t>
  </si>
  <si>
    <t xml:space="preserve">AAACGCTGGCGGCGCATCCACCGG</t>
  </si>
  <si>
    <t xml:space="preserve">PSPPH_2220</t>
  </si>
  <si>
    <t xml:space="preserve">ACAGATCACCGGTGGCAAGC</t>
  </si>
  <si>
    <t xml:space="preserve">TAGTACAGATCACCGGTGGCAAGC</t>
  </si>
  <si>
    <t xml:space="preserve">AAACGCTTGCCACCGGTGATCTGT</t>
  </si>
  <si>
    <t xml:space="preserve">TCAGGGCCTGTGTGCCGGTC</t>
  </si>
  <si>
    <t xml:space="preserve">TAGTTCAGGGCCTGTGTGCCGGTC</t>
  </si>
  <si>
    <t xml:space="preserve">AAACGACCGGCACACAGGCCCTGA</t>
  </si>
  <si>
    <t xml:space="preserve">GTTGTTTTTGCAGCATAGGC</t>
  </si>
  <si>
    <t xml:space="preserve">TAGTGTTGTTTTTGCAGCATAGGC</t>
  </si>
  <si>
    <t xml:space="preserve">AAACGCCTATGCTGCAAAAACAAC</t>
  </si>
  <si>
    <t xml:space="preserve">AAATAAAACCGGCGGTATTC</t>
  </si>
  <si>
    <t xml:space="preserve">TAGTAAATAAAACCGGCGGTATTC</t>
  </si>
  <si>
    <t xml:space="preserve">AAACGAATACCGCCGGTTTTATTT</t>
  </si>
  <si>
    <t xml:space="preserve">PSPPH_2221</t>
  </si>
  <si>
    <t xml:space="preserve">cobM</t>
  </si>
  <si>
    <t xml:space="preserve">CAGCTCGGGATCGCCAGGGC</t>
  </si>
  <si>
    <t xml:space="preserve">TAGTCAGCTCGGGATCGCCAGGGC</t>
  </si>
  <si>
    <t xml:space="preserve">AAACGCCCTGGCGATCCCGAGCTG</t>
  </si>
  <si>
    <t xml:space="preserve">AATCAGGCGTTGCCCCTTGA</t>
  </si>
  <si>
    <t xml:space="preserve">TAGTAATCAGGCGTTGCCCCTTGA</t>
  </si>
  <si>
    <t xml:space="preserve">AAACTCAAGGGGCAACGCCTGATT</t>
  </si>
  <si>
    <t xml:space="preserve">AGCCTGCATAGATAATGACT</t>
  </si>
  <si>
    <t xml:space="preserve">TAGTAGCCTGCATAGATAATGACT</t>
  </si>
  <si>
    <t xml:space="preserve">AAACAGTCATTATCTATGCAGGCT</t>
  </si>
  <si>
    <t xml:space="preserve">TGCCCCTCCAGCACGGCGAG</t>
  </si>
  <si>
    <t xml:space="preserve">TAGTTGCCCCTCCAGCACGGCGAG</t>
  </si>
  <si>
    <t xml:space="preserve">AAACCTCGCCGTGCTGGAGGGGCA</t>
  </si>
  <si>
    <t xml:space="preserve">PSPPH_2222</t>
  </si>
  <si>
    <t xml:space="preserve">GATGCGCCGGGCTGAACGGT</t>
  </si>
  <si>
    <t xml:space="preserve">TAGTGATGCGCCGGGCTGAACGGT</t>
  </si>
  <si>
    <t xml:space="preserve">AAACACCGTTCAGCCCGGCGCATC</t>
  </si>
  <si>
    <t xml:space="preserve">ACCGCGCCGACAACCCAGCC</t>
  </si>
  <si>
    <t xml:space="preserve">TAGTACCGCGCCGACAACCCAGCC</t>
  </si>
  <si>
    <t xml:space="preserve">AAACGGCTGGGTTGTCGGCGCGGT</t>
  </si>
  <si>
    <t xml:space="preserve">TCTCCAGGCCAATCACGCGA</t>
  </si>
  <si>
    <t xml:space="preserve">TAGTTCTCCAGGCCAATCACGCGA</t>
  </si>
  <si>
    <t xml:space="preserve">AAACTCGCGTGATTGGCCTGGAGA</t>
  </si>
  <si>
    <t xml:space="preserve">ACATGCCAGCGCAGTGACGC</t>
  </si>
  <si>
    <t xml:space="preserve">TAGTACATGCCAGCGCAGTGACGC</t>
  </si>
  <si>
    <t xml:space="preserve">AAACGCGTCACTGCGCTGGCATGT</t>
  </si>
  <si>
    <t xml:space="preserve">PSPPH_2223</t>
  </si>
  <si>
    <t xml:space="preserve">GGCCGCGATGTGCGAGAAAC</t>
  </si>
  <si>
    <t xml:space="preserve">TAGTGGCCGCGATGTGCGAGAAAC</t>
  </si>
  <si>
    <t xml:space="preserve">AAACGTTTCTCGCACATCGCGGCC</t>
  </si>
  <si>
    <t xml:space="preserve">ATCGTGTGCGGCGTTGTGTA</t>
  </si>
  <si>
    <t xml:space="preserve">TAGTATCGTGTGCGGCGTTGTGTA</t>
  </si>
  <si>
    <t xml:space="preserve">AAACTACACAACGCCGCACACGAT</t>
  </si>
  <si>
    <t xml:space="preserve">AGGAAAGGCAGCGCTGTGAC</t>
  </si>
  <si>
    <t xml:space="preserve">TAGTAGGAAAGGCAGCGCTGTGAC</t>
  </si>
  <si>
    <t xml:space="preserve">AAACGTCACAGCGCTGCCTTTCCT</t>
  </si>
  <si>
    <t xml:space="preserve">TTGTGGAGTCCTTAATGGCA</t>
  </si>
  <si>
    <t xml:space="preserve">TAGTTTGTGGAGTCCTTAATGGCA</t>
  </si>
  <si>
    <t xml:space="preserve">AAACTGCCATTAAGGACTCCACAA</t>
  </si>
  <si>
    <t xml:space="preserve">PSPPH_2224</t>
  </si>
  <si>
    <t xml:space="preserve">CACACGGATCGGATCGCCAC</t>
  </si>
  <si>
    <t xml:space="preserve">TAGTCACACGGATCGGATCGCCAC</t>
  </si>
  <si>
    <t xml:space="preserve">AAACGTGGCGATCCGATCCGTGTG</t>
  </si>
  <si>
    <t xml:space="preserve">CAGGACGAGAACCGCATGCC</t>
  </si>
  <si>
    <t xml:space="preserve">TAGTCAGGACGAGAACCGCATGCC</t>
  </si>
  <si>
    <t xml:space="preserve">AAACGGCATGCGGTTCTCGTCCTG</t>
  </si>
  <si>
    <t xml:space="preserve">GTGCCCTTTGGCAATGCGGC</t>
  </si>
  <si>
    <t xml:space="preserve">TAGTGTGCCCTTTGGCAATGCGGC</t>
  </si>
  <si>
    <t xml:space="preserve">AAACGCCGCATTGCCAAAGGGCAC</t>
  </si>
  <si>
    <t xml:space="preserve">GCTTGGCCAGTGTTTTCATC</t>
  </si>
  <si>
    <t xml:space="preserve">TAGTGCTTGGCCAGTGTTTTCATC</t>
  </si>
  <si>
    <t xml:space="preserve">AAACGATGAAAACACTGGCCAAGC</t>
  </si>
  <si>
    <t xml:space="preserve">PSPPH_2225</t>
  </si>
  <si>
    <t xml:space="preserve">cobN</t>
  </si>
  <si>
    <t xml:space="preserve">GGGTTCTCAGTAAATGCATG</t>
  </si>
  <si>
    <t xml:space="preserve">TAGTGGGTTCTCAGTAAATGCATG</t>
  </si>
  <si>
    <t xml:space="preserve">AAACCATGCATTTACTGAGAACCC</t>
  </si>
  <si>
    <t xml:space="preserve">GTGTACGAAACCGCCGGGCT</t>
  </si>
  <si>
    <t xml:space="preserve">TAGTGTGTACGAAACCGCCGGGCT</t>
  </si>
  <si>
    <t xml:space="preserve">AAACAGCCCGGCGGTTTCGTACAC</t>
  </si>
  <si>
    <t xml:space="preserve">GGCCGGGGTCTGGCCCAGAT</t>
  </si>
  <si>
    <t xml:space="preserve">TAGTGGCCGGGGTCTGGCCCAGAT</t>
  </si>
  <si>
    <t xml:space="preserve">AAACATCTGGGCCAGACCCCGGCC</t>
  </si>
  <si>
    <t xml:space="preserve">GCTACAGAGAATCACCAGCT</t>
  </si>
  <si>
    <t xml:space="preserve">TAGTGCTACAGAGAATCACCAGCT</t>
  </si>
  <si>
    <t xml:space="preserve">AAACAGCTGGTGATTCTCTGTAGC</t>
  </si>
  <si>
    <t xml:space="preserve">PSPPH_2226</t>
  </si>
  <si>
    <t xml:space="preserve">bchI</t>
  </si>
  <si>
    <t xml:space="preserve">GGTGATGTTCGGGTCAGGCA</t>
  </si>
  <si>
    <t xml:space="preserve">TAGTGGTGATGTTCGGGTCAGGCA</t>
  </si>
  <si>
    <t xml:space="preserve">AAACTGCCTGACCCGAACATCACC</t>
  </si>
  <si>
    <t xml:space="preserve">CAGCGGAAAATGTGCAGTTT</t>
  </si>
  <si>
    <t xml:space="preserve">TAGTCAGCGGAAAATGTGCAGTTT</t>
  </si>
  <si>
    <t xml:space="preserve">AAACAAACTGCACATTTTCCGCTG</t>
  </si>
  <si>
    <t xml:space="preserve">GTCATCGGCACCGACCACGG</t>
  </si>
  <si>
    <t xml:space="preserve">TAGTGTCATCGGCACCGACCACGG</t>
  </si>
  <si>
    <t xml:space="preserve">AAACCCGTGGTCGGTGCCGATGAC</t>
  </si>
  <si>
    <t xml:space="preserve">TCAGGCACAACGCCAGCTTC</t>
  </si>
  <si>
    <t xml:space="preserve">TAGTTCAGGCACAACGCCAGCTTC</t>
  </si>
  <si>
    <t xml:space="preserve">AAACGAAGCTGGCGTTGTGCCTGA</t>
  </si>
  <si>
    <t xml:space="preserve">PSPPH_2227</t>
  </si>
  <si>
    <t xml:space="preserve">GCCATCAGCACCGGCACGCA</t>
  </si>
  <si>
    <t xml:space="preserve">TAGTGCCATCAGCACCGGCACGCA</t>
  </si>
  <si>
    <t xml:space="preserve">AAACTGCGTGCCGGTGCTGATGGC</t>
  </si>
  <si>
    <t xml:space="preserve">GTGTGGGCAACCATTGCACC</t>
  </si>
  <si>
    <t xml:space="preserve">TAGTGTGTGGGCAACCATTGCACC</t>
  </si>
  <si>
    <t xml:space="preserve">AAACGGTGCAATGGTTGCCCACAC</t>
  </si>
  <si>
    <t xml:space="preserve">ATCAGGTCCTTGCGGCTTTT</t>
  </si>
  <si>
    <t xml:space="preserve">TAGTATCAGGTCCTTGCGGCTTTT</t>
  </si>
  <si>
    <t xml:space="preserve">AAACAAAAGCCGCAAGGACCTGAT</t>
  </si>
  <si>
    <t xml:space="preserve">TGGGACGGCTGCTGCGCGGC</t>
  </si>
  <si>
    <t xml:space="preserve">TAGTTGGGACGGCTGCTGCGCGGC</t>
  </si>
  <si>
    <t xml:space="preserve">AAACGCCGCGCAGCAGCCGTCCCA</t>
  </si>
  <si>
    <t xml:space="preserve">PSPPH_2228</t>
  </si>
  <si>
    <t xml:space="preserve">TGTGTTGATGAACGACAAGG</t>
  </si>
  <si>
    <t xml:space="preserve">TAGTTGTGTTGATGAACGACAAGG</t>
  </si>
  <si>
    <t xml:space="preserve">AAACCCTTGTCGTTCATCAACACA</t>
  </si>
  <si>
    <t xml:space="preserve">ACGGCGGCGGGCTGACCGTC</t>
  </si>
  <si>
    <t xml:space="preserve">TAGTACGGCGGCGGGCTGACCGTC</t>
  </si>
  <si>
    <t xml:space="preserve">AAACGACGGTCAGCCCGCCGCCGT</t>
  </si>
  <si>
    <t xml:space="preserve">GAAGCGCAGTGGGGCGTTCA</t>
  </si>
  <si>
    <t xml:space="preserve">TAGTGAAGCGCAGTGGGGCGTTCA</t>
  </si>
  <si>
    <t xml:space="preserve">AAACTGAACGCCCCACTGCGCTTC</t>
  </si>
  <si>
    <t xml:space="preserve">GCCCAGGCAACACACTGGAA</t>
  </si>
  <si>
    <t xml:space="preserve">TAGTGCCCAGGCAACACACTGGAA</t>
  </si>
  <si>
    <t xml:space="preserve">AAACTTCCAGTGTGTTGCCTGGGC</t>
  </si>
  <si>
    <t xml:space="preserve">PSPPH_2229</t>
  </si>
  <si>
    <t xml:space="preserve">GATTAGCAGATGTCGCGTTG</t>
  </si>
  <si>
    <t xml:space="preserve">TAGTGATTAGCAGATGTCGCGTTG</t>
  </si>
  <si>
    <t xml:space="preserve">AAACCAACGCGACATCTGCTAATC</t>
  </si>
  <si>
    <t xml:space="preserve">TCACTCAAAGCAGGGATCAG</t>
  </si>
  <si>
    <t xml:space="preserve">TAGTTCACTCAAAGCAGGGATCAG</t>
  </si>
  <si>
    <t xml:space="preserve">AAACCTGATCCCTGCTTTGAGTGA</t>
  </si>
  <si>
    <t xml:space="preserve">GCTTTCCTGCACCGTCCATC</t>
  </si>
  <si>
    <t xml:space="preserve">TAGTGCTTTCCTGCACCGTCCATC</t>
  </si>
  <si>
    <t xml:space="preserve">AAACGATGGACGGTGCAGGAAAGC</t>
  </si>
  <si>
    <t xml:space="preserve">GGGACTGAAGGTAGAACCTG</t>
  </si>
  <si>
    <t xml:space="preserve">TAGTGGGACTGAAGGTAGAACCTG</t>
  </si>
  <si>
    <t xml:space="preserve">AAACCAGGTTCTACCTTCAGTCCC</t>
  </si>
  <si>
    <t xml:space="preserve">PSPPH_2230</t>
  </si>
  <si>
    <t xml:space="preserve">ACTCAGGCCCGGTCAGGACC</t>
  </si>
  <si>
    <t xml:space="preserve">TAGTACTCAGGCCCGGTCAGGACC</t>
  </si>
  <si>
    <t xml:space="preserve">AAACGGTCCTGACCGGGCCTGAGT</t>
  </si>
  <si>
    <t xml:space="preserve">CGACAGCCAGCTCTTGCCGC</t>
  </si>
  <si>
    <t xml:space="preserve">TAGTCGACAGCCAGCTCTTGCCGC</t>
  </si>
  <si>
    <t xml:space="preserve">AAACGCGGCAAGAGCTGGCTGTCG</t>
  </si>
  <si>
    <t xml:space="preserve">GCCGAACCGATTCTGTATTT</t>
  </si>
  <si>
    <t xml:space="preserve">TAGTGCCGAACCGATTCTGTATTT</t>
  </si>
  <si>
    <t xml:space="preserve">AAACAAATACAGAATCGGTTCGGC</t>
  </si>
  <si>
    <t xml:space="preserve">GTACATATTCGCCGACCAGC</t>
  </si>
  <si>
    <t xml:space="preserve">TAGTGTACATATTCGCCGACCAGC</t>
  </si>
  <si>
    <t xml:space="preserve">AAACGCTGGTCGGCGAATATGTAC</t>
  </si>
  <si>
    <t xml:space="preserve">PSPPH_2231</t>
  </si>
  <si>
    <t xml:space="preserve">GAAGAGTTCAAGCCCGGACA</t>
  </si>
  <si>
    <t xml:space="preserve">TAGTGAAGAGTTCAAGCCCGGACA</t>
  </si>
  <si>
    <t xml:space="preserve">AAACTGTCCGGGCTTGAACTCTTC</t>
  </si>
  <si>
    <t xml:space="preserve">GACCGCGATAACGCCAATGG</t>
  </si>
  <si>
    <t xml:space="preserve">TAGTGACCGCGATAACGCCAATGG</t>
  </si>
  <si>
    <t xml:space="preserve">AAACCCATTGGCGTTATCGCGGTC</t>
  </si>
  <si>
    <t xml:space="preserve">AGCCCGATTGGCCAGCACCA</t>
  </si>
  <si>
    <t xml:space="preserve">TAGTAGCCCGATTGGCCAGCACCA</t>
  </si>
  <si>
    <t xml:space="preserve">AAACTGGTGCTGGCCAATCGGGCT</t>
  </si>
  <si>
    <t xml:space="preserve">TGACCAGCAGGCCGTCGCCA</t>
  </si>
  <si>
    <t xml:space="preserve">TAGTTGACCAGCAGGCCGTCGCCA</t>
  </si>
  <si>
    <t xml:space="preserve">AAACTGGCGACGGCCTGCTGGTCA</t>
  </si>
  <si>
    <t xml:space="preserve">PSPPH_2232</t>
  </si>
  <si>
    <t xml:space="preserve">CAATATCAACGCCTGAGCAG</t>
  </si>
  <si>
    <t xml:space="preserve">TAGTCAATATCAACGCCTGAGCAG</t>
  </si>
  <si>
    <t xml:space="preserve">AAACCTGCTCAGGCGTTGATATTG</t>
  </si>
  <si>
    <t xml:space="preserve">TGATGCCCTGTACTGGAGAT</t>
  </si>
  <si>
    <t xml:space="preserve">TAGTTGATGCCCTGTACTGGAGAT</t>
  </si>
  <si>
    <t xml:space="preserve">AAACATCTCCAGTACAGGGCATCA</t>
  </si>
  <si>
    <t xml:space="preserve">GCTCGCCGCCAAAATCGATC</t>
  </si>
  <si>
    <t xml:space="preserve">TAGTGCTCGCCGCCAAAATCGATC</t>
  </si>
  <si>
    <t xml:space="preserve">AAACGATCGATTTTGGCGGCGAGC</t>
  </si>
  <si>
    <t xml:space="preserve">GATGATGATATTGAAGGCCA</t>
  </si>
  <si>
    <t xml:space="preserve">TAGTGATGATGATATTGAAGGCCA</t>
  </si>
  <si>
    <t xml:space="preserve">AAACTGGCCTTCAATATCATCATC</t>
  </si>
  <si>
    <t xml:space="preserve">PSPPH_2233</t>
  </si>
  <si>
    <t xml:space="preserve">CCCCGACCGGCTGGCCGCTG</t>
  </si>
  <si>
    <t xml:space="preserve">TAGTCCCCGACCGGCTGGCCGCTG</t>
  </si>
  <si>
    <t xml:space="preserve">AAACCAGCGGCCAGCCGGTCGGGG</t>
  </si>
  <si>
    <t xml:space="preserve">TTCAGGCGCAATTGCCGGAC</t>
  </si>
  <si>
    <t xml:space="preserve">TAGTTTCAGGCGCAATTGCCGGAC</t>
  </si>
  <si>
    <t xml:space="preserve">AAACGTCCGGCAATTGCGCCTGAA</t>
  </si>
  <si>
    <t xml:space="preserve">CCGGTAGCACACAGAGCAGC</t>
  </si>
  <si>
    <t xml:space="preserve">TAGTCCGGTAGCACACAGAGCAGC</t>
  </si>
  <si>
    <t xml:space="preserve">AAACGCTGCTCTGTGTGCTACCGG</t>
  </si>
  <si>
    <t xml:space="preserve">TGAATATCAAAGCCAGCGCC</t>
  </si>
  <si>
    <t xml:space="preserve">TAGTTGAATATCAAAGCCAGCGCC</t>
  </si>
  <si>
    <t xml:space="preserve">AAACGGCGCTGGCTTTGATATTCA</t>
  </si>
  <si>
    <t xml:space="preserve">PSPPH_2234</t>
  </si>
  <si>
    <t xml:space="preserve">TTTGTTACGGGTCTTGTTCA</t>
  </si>
  <si>
    <t xml:space="preserve">TAGTTTTGTTACGGGTCTTGTTCA</t>
  </si>
  <si>
    <t xml:space="preserve">AAACTGAACAAGACCCGTAACAAA</t>
  </si>
  <si>
    <t xml:space="preserve">TGGCAAGTCCAGGCAGAACC</t>
  </si>
  <si>
    <t xml:space="preserve">TAGTTGGCAAGTCCAGGCAGAACC</t>
  </si>
  <si>
    <t xml:space="preserve">AAACGGTTCTGCCTGGACTTGCCA</t>
  </si>
  <si>
    <t xml:space="preserve">TTGTAATCCTCTCGGGCGCC</t>
  </si>
  <si>
    <t xml:space="preserve">TAGTTTGTAATCCTCTCGGGCGCC</t>
  </si>
  <si>
    <t xml:space="preserve">AAACGGCGCCCGAGAGGATTACAA</t>
  </si>
  <si>
    <t xml:space="preserve">GAACATCTTTTTTTCGGCAA</t>
  </si>
  <si>
    <t xml:space="preserve">TAGTGAACATCTTTTTTTCGGCAA</t>
  </si>
  <si>
    <t xml:space="preserve">AAACTTGCCGAAAAAAAGATGTTC</t>
  </si>
  <si>
    <t xml:space="preserve">PSPPH_2235</t>
  </si>
  <si>
    <t xml:space="preserve">catD2</t>
  </si>
  <si>
    <t xml:space="preserve">TTCACCATCGGCGAGTTGCA</t>
  </si>
  <si>
    <t xml:space="preserve">TAGTTTCACCATCGGCGAGTTGCA</t>
  </si>
  <si>
    <t xml:space="preserve">AAACTGCAACTCGCCGATGGTGAA</t>
  </si>
  <si>
    <t xml:space="preserve">CACCGGCCGGGCCTTCGAGC</t>
  </si>
  <si>
    <t xml:space="preserve">TAGTCACCGGCCGGGCCTTCGAGC</t>
  </si>
  <si>
    <t xml:space="preserve">AAACGCTCGAAGGCCCGGCCGGTG</t>
  </si>
  <si>
    <t xml:space="preserve">GAGTTGGACAACACCAGCAC</t>
  </si>
  <si>
    <t xml:space="preserve">TAGTGAGTTGGACAACACCAGCAC</t>
  </si>
  <si>
    <t xml:space="preserve">AAACGTGCTGGTGTTGTCCAACTC</t>
  </si>
  <si>
    <t xml:space="preserve">GACGAATGAACGCAGGAATC</t>
  </si>
  <si>
    <t xml:space="preserve">TAGTGACGAATGAACGCAGGAATC</t>
  </si>
  <si>
    <t xml:space="preserve">AAACGATTCCTGCGTTCATTCGTC</t>
  </si>
  <si>
    <t xml:space="preserve">PSPPH_2236</t>
  </si>
  <si>
    <t xml:space="preserve">GGCTTGCGGGCGCAAAGCCG</t>
  </si>
  <si>
    <t xml:space="preserve">TAGTGGCTTGCGGGCGCAAAGCCG</t>
  </si>
  <si>
    <t xml:space="preserve">AAACCGGCTTTGCGCCCGCAAGCC</t>
  </si>
  <si>
    <t xml:space="preserve">ACTTGGGAATCCCCAGCTTA</t>
  </si>
  <si>
    <t xml:space="preserve">TAGTACTTGGGAATCCCCAGCTTA</t>
  </si>
  <si>
    <t xml:space="preserve">AAACTAAGCTGGGGATTCCCAAGT</t>
  </si>
  <si>
    <t xml:space="preserve">GGCAATACGACGGCTGAGCT</t>
  </si>
  <si>
    <t xml:space="preserve">TAGTGGCAATACGACGGCTGAGCT</t>
  </si>
  <si>
    <t xml:space="preserve">AAACAGCTCAGCCGTCGTATTGCC</t>
  </si>
  <si>
    <t xml:space="preserve">ACCCAGGCGCTCTTCCAGCC</t>
  </si>
  <si>
    <t xml:space="preserve">TAGTACCCAGGCGCTCTTCCAGCC</t>
  </si>
  <si>
    <t xml:space="preserve">AAACGGCTGGAAGAGCGCCTGGGT</t>
  </si>
  <si>
    <t xml:space="preserve">PSPPH_2237</t>
  </si>
  <si>
    <t xml:space="preserve">CGCCGAGGATGCTGGAATCG</t>
  </si>
  <si>
    <t xml:space="preserve">TAGTCGCCGAGGATGCTGGAATCG</t>
  </si>
  <si>
    <t xml:space="preserve">AAACCGATTCCAGCATCCTCGGCG</t>
  </si>
  <si>
    <t xml:space="preserve">ATGGGTCAACTGACGCGAAG</t>
  </si>
  <si>
    <t xml:space="preserve">TAGTATGGGTCAACTGACGCGAAG</t>
  </si>
  <si>
    <t xml:space="preserve">AAACCTTCGCGTCAGTTGACCCAT</t>
  </si>
  <si>
    <t xml:space="preserve">GTCGGCATGCGAGCGCTGAT</t>
  </si>
  <si>
    <t xml:space="preserve">TAGTGTCGGCATGCGAGCGCTGAT</t>
  </si>
  <si>
    <t xml:space="preserve">AAACATCAGCGCTCGCATGCCGAC</t>
  </si>
  <si>
    <t xml:space="preserve">CGAGGTCGCGGTAGGTTACC</t>
  </si>
  <si>
    <t xml:space="preserve">TAGTCGAGGTCGCGGTAGGTTACC</t>
  </si>
  <si>
    <t xml:space="preserve">AAACGGTAACCTACCGCGACCTCG</t>
  </si>
  <si>
    <t xml:space="preserve">PSPPH_2238</t>
  </si>
  <si>
    <t xml:space="preserve">CCTGAGCGTGAACCGCAATC</t>
  </si>
  <si>
    <t xml:space="preserve">TAGTCCTGAGCGTGAACCGCAATC</t>
  </si>
  <si>
    <t xml:space="preserve">AAACGATTGCGGTTCACGCTCAGG</t>
  </si>
  <si>
    <t xml:space="preserve">GCCCGCGCTCCAGGCGTCAT</t>
  </si>
  <si>
    <t xml:space="preserve">TAGTGCCCGCGCTCCAGGCGTCAT</t>
  </si>
  <si>
    <t xml:space="preserve">AAACATGACGCCTGGAGCGCGGGC</t>
  </si>
  <si>
    <t xml:space="preserve">GCTGTGAATCCAGCGGGTCG</t>
  </si>
  <si>
    <t xml:space="preserve">TAGTGCTGTGAATCCAGCGGGTCG</t>
  </si>
  <si>
    <t xml:space="preserve">AAACCGACCCGCTGGATTCACAGC</t>
  </si>
  <si>
    <t xml:space="preserve">TAAAAAGCGATGGCCTGCAC</t>
  </si>
  <si>
    <t xml:space="preserve">TAGTTAAAAAGCGATGGCCTGCAC</t>
  </si>
  <si>
    <t xml:space="preserve">AAACGTGCAGGCCATCGCTTTTTA</t>
  </si>
  <si>
    <t xml:space="preserve">PSPPH_2239</t>
  </si>
  <si>
    <t xml:space="preserve">CCGCCTGCTTTATCGTTTCG</t>
  </si>
  <si>
    <t xml:space="preserve">TAGTCCGCCTGCTTTATCGTTTCG</t>
  </si>
  <si>
    <t xml:space="preserve">AAACCGAAACGATAAAGCAGGCGG</t>
  </si>
  <si>
    <t xml:space="preserve">CTCGCTCACCCTTGAGATCC</t>
  </si>
  <si>
    <t xml:space="preserve">TAGTCTCGCTCACCCTTGAGATCC</t>
  </si>
  <si>
    <t xml:space="preserve">AAACGGATCTCAAGGGTGAGCGAG</t>
  </si>
  <si>
    <t xml:space="preserve">CGCGATGTCTGCCGAGCTGT</t>
  </si>
  <si>
    <t xml:space="preserve">TAGTCGCGATGTCTGCCGAGCTGT</t>
  </si>
  <si>
    <t xml:space="preserve">AAACACAGCTCGGCAGACATCGCG</t>
  </si>
  <si>
    <t xml:space="preserve">CGTTGCGGGCCGAGACCTCA</t>
  </si>
  <si>
    <t xml:space="preserve">TAGTCGTTGCGGGCCGAGACCTCA</t>
  </si>
  <si>
    <t xml:space="preserve">AAACTGAGGTCTCGGCCCGCAACG</t>
  </si>
  <si>
    <t xml:space="preserve">PSPPH_2240</t>
  </si>
  <si>
    <t xml:space="preserve">AGCGTTGCTTGAACGCCCAC</t>
  </si>
  <si>
    <t xml:space="preserve">TAGTAGCGTTGCTTGAACGCCCAC</t>
  </si>
  <si>
    <t xml:space="preserve">AAACGTGGGCGTTCAAGCAACGCT</t>
  </si>
  <si>
    <t xml:space="preserve">ATAGTGTTCACGGGGCAGCG</t>
  </si>
  <si>
    <t xml:space="preserve">TAGTATAGTGTTCACGGGGCAGCG</t>
  </si>
  <si>
    <t xml:space="preserve">AAACCGCTGCCCCGTGAACACTAT</t>
  </si>
  <si>
    <t xml:space="preserve">AGTTCGCCATTGGCACAGCC</t>
  </si>
  <si>
    <t xml:space="preserve">TAGTAGTTCGCCATTGGCACAGCC</t>
  </si>
  <si>
    <t xml:space="preserve">AAACGGCTGTGCCAATGGCGAACT</t>
  </si>
  <si>
    <t xml:space="preserve">GTCACAGCGACCGGCAAGGT</t>
  </si>
  <si>
    <t xml:space="preserve">TAGTGTCACAGCGACCGGCAAGGT</t>
  </si>
  <si>
    <t xml:space="preserve">AAACACCTTGCCGGTCGCTGTGAC</t>
  </si>
  <si>
    <t xml:space="preserve">PSPPH_2241</t>
  </si>
  <si>
    <t xml:space="preserve">AGGCAGCCAGAGGCGTGCCC</t>
  </si>
  <si>
    <t xml:space="preserve">TAGTAGGCAGCCAGAGGCGTGCCC</t>
  </si>
  <si>
    <t xml:space="preserve">AAACGGGCACGCCTCTGGCTGCCT</t>
  </si>
  <si>
    <t xml:space="preserve">CAGTTTGCCGGAGGCGTTCC</t>
  </si>
  <si>
    <t xml:space="preserve">TAGTCAGTTTGCCGGAGGCGTTCC</t>
  </si>
  <si>
    <t xml:space="preserve">AAACGGAACGCCTCCGGCAAACTG</t>
  </si>
  <si>
    <t xml:space="preserve">AGCAGGTCTGCCGTAATCGC</t>
  </si>
  <si>
    <t xml:space="preserve">TAGTAGCAGGTCTGCCGTAATCGC</t>
  </si>
  <si>
    <t xml:space="preserve">AAACGCGATTACGGCAGACCTGCT</t>
  </si>
  <si>
    <t xml:space="preserve">ATGACCGCCCTGCAATTGTT</t>
  </si>
  <si>
    <t xml:space="preserve">TAGTATGACCGCCCTGCAATTGTT</t>
  </si>
  <si>
    <t xml:space="preserve">AAACAACAATTGCAGGGCGGTCAT</t>
  </si>
  <si>
    <t xml:space="preserve">PSPPH_2242</t>
  </si>
  <si>
    <t xml:space="preserve">TCTGACCGCTGGCAGGCAGG</t>
  </si>
  <si>
    <t xml:space="preserve">TAGTTCTGACCGCTGGCAGGCAGG</t>
  </si>
  <si>
    <t xml:space="preserve">AAACCCTGCCTGCCAGCGGTCAGA</t>
  </si>
  <si>
    <t xml:space="preserve">CAGGTCATGGCCTGCAATGC</t>
  </si>
  <si>
    <t xml:space="preserve">TAGTCAGGTCATGGCCTGCAATGC</t>
  </si>
  <si>
    <t xml:space="preserve">AAACGCATTGCAGGCCATGACCTG</t>
  </si>
  <si>
    <t xml:space="preserve">CGCCATGATCGCCAAGGCGT</t>
  </si>
  <si>
    <t xml:space="preserve">TAGTCGCCATGATCGCCAAGGCGT</t>
  </si>
  <si>
    <t xml:space="preserve">AAACACGCCTTGGCGATCATGGCG</t>
  </si>
  <si>
    <t xml:space="preserve">GCTGAATTGTTCGGGGGGCG</t>
  </si>
  <si>
    <t xml:space="preserve">TAGTGCTGAATTGTTCGGGGGGCG</t>
  </si>
  <si>
    <t xml:space="preserve">AAACCGCCCCCCGAACAATTCAGC</t>
  </si>
  <si>
    <t xml:space="preserve">PSPPH_2243</t>
  </si>
  <si>
    <t xml:space="preserve">glgX</t>
  </si>
  <si>
    <t xml:space="preserve">ATTATCTTCTGCCGTTGGAG</t>
  </si>
  <si>
    <t xml:space="preserve">TAGTATTATCTTCTGCCGTTGGAG</t>
  </si>
  <si>
    <t xml:space="preserve">AAACCTCCAACGGCAGAAGATAAT</t>
  </si>
  <si>
    <t xml:space="preserve">GCTGCCTGGATTGTCTTGCG</t>
  </si>
  <si>
    <t xml:space="preserve">TAGTGCTGCCTGGATTGTCTTGCG</t>
  </si>
  <si>
    <t xml:space="preserve">AAACCGCAAGACAATCCAGGCAGC</t>
  </si>
  <si>
    <t xml:space="preserve">TCCTTCACGAATGCGAGACG</t>
  </si>
  <si>
    <t xml:space="preserve">TAGTTCCTTCACGAATGCGAGACG</t>
  </si>
  <si>
    <t xml:space="preserve">AAACCGTCTCGCATTCGTGAAGGA</t>
  </si>
  <si>
    <t xml:space="preserve">CAGCTGGCGCCGAGAGGAAA</t>
  </si>
  <si>
    <t xml:space="preserve">TAGTCAGCTGGCGCCGAGAGGAAA</t>
  </si>
  <si>
    <t xml:space="preserve">AAACTTTCCTCTCGGCGCCAGCTG</t>
  </si>
  <si>
    <t xml:space="preserve">PSPPH_2244</t>
  </si>
  <si>
    <t xml:space="preserve">ATCGCGAATTCTTTTTTCGT</t>
  </si>
  <si>
    <t xml:space="preserve">TAGTATCGCGAATTCTTTTTTCGT</t>
  </si>
  <si>
    <t xml:space="preserve">AAACACGAAAAAAGAATTCGCGAT</t>
  </si>
  <si>
    <t xml:space="preserve">TACCCTCGGACTCCCAGATT</t>
  </si>
  <si>
    <t xml:space="preserve">TAGTTACCCTCGGACTCCCAGATT</t>
  </si>
  <si>
    <t xml:space="preserve">AAACAATCTGGGAGTCCGAGGGTA</t>
  </si>
  <si>
    <t xml:space="preserve">TGACGCTCGTCGTGTCCGGA</t>
  </si>
  <si>
    <t xml:space="preserve">TAGTTGACGCTCGTCGTGTCCGGA</t>
  </si>
  <si>
    <t xml:space="preserve">AAACTCCGGACACGACGAGCGTCA</t>
  </si>
  <si>
    <t xml:space="preserve">GCTGGACTTGTCAGGTGCCA</t>
  </si>
  <si>
    <t xml:space="preserve">TAGTGCTGGACTTGTCAGGTGCCA</t>
  </si>
  <si>
    <t xml:space="preserve">AAACTGGCACCTGACAAGTCCAGC</t>
  </si>
  <si>
    <t xml:space="preserve">PSPPH_2245</t>
  </si>
  <si>
    <t xml:space="preserve">treY</t>
  </si>
  <si>
    <t xml:space="preserve">GCGCAAAGGCTGTAATGGAC</t>
  </si>
  <si>
    <t xml:space="preserve">TAGTGCGCAAAGGCTGTAATGGAC</t>
  </si>
  <si>
    <t xml:space="preserve">AAACGTCCATTACAGCCTTTGCGC</t>
  </si>
  <si>
    <t xml:space="preserve">TTTATGAAATTGTAAACGCT</t>
  </si>
  <si>
    <t xml:space="preserve">TAGTTTTATGAAATTGTAAACGCT</t>
  </si>
  <si>
    <t xml:space="preserve">AAACAGCGTTTACAATTTCATAAA</t>
  </si>
  <si>
    <t xml:space="preserve">CTGGCGAAGTAGGGCACCAG</t>
  </si>
  <si>
    <t xml:space="preserve">TAGTCTGGCGAAGTAGGGCACCAG</t>
  </si>
  <si>
    <t xml:space="preserve">AAACCTGGTGCCCTACTTCGCCAG</t>
  </si>
  <si>
    <t xml:space="preserve">CATAGACATGGCTGATCCCC</t>
  </si>
  <si>
    <t xml:space="preserve">TAGTCATAGACATGGCTGATCCCC</t>
  </si>
  <si>
    <t xml:space="preserve">AAACGGGGATCAGCCATGTCTATG</t>
  </si>
  <si>
    <t xml:space="preserve">PSPPH_2246</t>
  </si>
  <si>
    <t xml:space="preserve">malQ</t>
  </si>
  <si>
    <t xml:space="preserve">ATGCACCGATAGCCCTGCCT</t>
  </si>
  <si>
    <t xml:space="preserve">TAGTATGCACCGATAGCCCTGCCT</t>
  </si>
  <si>
    <t xml:space="preserve">AAACAGGCAGGGCTATCGGTGCAT</t>
  </si>
  <si>
    <t xml:space="preserve">GACAGTCTGCGGCCGAGCGT</t>
  </si>
  <si>
    <t xml:space="preserve">TAGTGACAGTCTGCGGCCGAGCGT</t>
  </si>
  <si>
    <t xml:space="preserve">AAACACGCTCGGCCGCAGACTGTC</t>
  </si>
  <si>
    <t xml:space="preserve">GAACCTTGCGCAGCACATCA</t>
  </si>
  <si>
    <t xml:space="preserve">TAGTGAACCTTGCGCAGCACATCA</t>
  </si>
  <si>
    <t xml:space="preserve">AAACTGATGTGCTGCGCAAGGTTC</t>
  </si>
  <si>
    <t xml:space="preserve">ATAGCCTCGCCGTTTTCGGC</t>
  </si>
  <si>
    <t xml:space="preserve">TAGTATAGCCTCGCCGTTTTCGGC</t>
  </si>
  <si>
    <t xml:space="preserve">AAACGCCGAAAACGGCGAGGCTAT</t>
  </si>
  <si>
    <t xml:space="preserve">PSPPH_2247</t>
  </si>
  <si>
    <t xml:space="preserve">treZ</t>
  </si>
  <si>
    <t xml:space="preserve">CAGTTATCGTCTGTACGCAG</t>
  </si>
  <si>
    <t xml:space="preserve">TAGTCAGTTATCGTCTGTACGCAG</t>
  </si>
  <si>
    <t xml:space="preserve">AAACCTGCGTACAGACGATAACTG</t>
  </si>
  <si>
    <t xml:space="preserve">GGTCTAGCAAGACGGCGCCG</t>
  </si>
  <si>
    <t xml:space="preserve">TAGTGGTCTAGCAAGACGGCGCCG</t>
  </si>
  <si>
    <t xml:space="preserve">AAACCGGCGCCGTCTTGCTAGACC</t>
  </si>
  <si>
    <t xml:space="preserve">GGGCAAACCGGGTGTGTTCG</t>
  </si>
  <si>
    <t xml:space="preserve">TAGTGGGCAAACCGGGTGTGTTCG</t>
  </si>
  <si>
    <t xml:space="preserve">AAACCGAACACACCCGGTTTGCCC</t>
  </si>
  <si>
    <t xml:space="preserve">GTTGGCATCCGGTGCCCAGA</t>
  </si>
  <si>
    <t xml:space="preserve">TAGTGTTGGCATCCGGTGCCCAGA</t>
  </si>
  <si>
    <t xml:space="preserve">AAACTCTGGGCACCGGATGCCAAC</t>
  </si>
  <si>
    <t xml:space="preserve">PSPPH_2248</t>
  </si>
  <si>
    <t xml:space="preserve">glgA</t>
  </si>
  <si>
    <t xml:space="preserve">GCGTCTGCTGACCTGAGACA</t>
  </si>
  <si>
    <t xml:space="preserve">TAGTGCGTCTGCTGACCTGAGACA</t>
  </si>
  <si>
    <t xml:space="preserve">AAACTGTCTCAGGTCAGCAGACGC</t>
  </si>
  <si>
    <t xml:space="preserve">CACCAGGTCGGCCAATTCCG</t>
  </si>
  <si>
    <t xml:space="preserve">TAGTCACCAGGTCGGCCAATTCCG</t>
  </si>
  <si>
    <t xml:space="preserve">AAACCGGAATTGGCCGACCTGGTG</t>
  </si>
  <si>
    <t xml:space="preserve">GGATACATCGCCCAACCCAC</t>
  </si>
  <si>
    <t xml:space="preserve">TAGTGGATACATCGCCCAACCCAC</t>
  </si>
  <si>
    <t xml:space="preserve">AAACGTGGGTTGGGCGATGTATCC</t>
  </si>
  <si>
    <t xml:space="preserve">CATTGCTCGTGGCAATGCGG</t>
  </si>
  <si>
    <t xml:space="preserve">TAGTCATTGCTCGTGGCAATGCGG</t>
  </si>
  <si>
    <t xml:space="preserve">AAACCCGCATTGCCACGAGCAATG</t>
  </si>
  <si>
    <t xml:space="preserve">PSPPH_2249</t>
  </si>
  <si>
    <t xml:space="preserve">TTGCAGTACCAATACCTCGG</t>
  </si>
  <si>
    <t xml:space="preserve">TAGTTTGCAGTACCAATACCTCGG</t>
  </si>
  <si>
    <t xml:space="preserve">AAACCCGAGGTATTGGTACTGCAA</t>
  </si>
  <si>
    <t xml:space="preserve">CCAATTGCATCAGCGTGCAC</t>
  </si>
  <si>
    <t xml:space="preserve">TAGTCCAATTGCATCAGCGTGCAC</t>
  </si>
  <si>
    <t xml:space="preserve">AAACGTGCACGCTGATGCAATTGG</t>
  </si>
  <si>
    <t xml:space="preserve">TGACGCGCATCGCTCGACAG</t>
  </si>
  <si>
    <t xml:space="preserve">TAGTTGACGCGCATCGCTCGACAG</t>
  </si>
  <si>
    <t xml:space="preserve">AAACCTGTCGAGCGATGCGCGTCA</t>
  </si>
  <si>
    <t xml:space="preserve">ACTGAAAGCGTAGGGACGTT</t>
  </si>
  <si>
    <t xml:space="preserve">TAGTACTGAAAGCGTAGGGACGTT</t>
  </si>
  <si>
    <t xml:space="preserve">AAACAACGTCCCTACGCTTTCAGT</t>
  </si>
  <si>
    <t xml:space="preserve">PSPPH_2250</t>
  </si>
  <si>
    <t xml:space="preserve">AGGGTTTGTGGTGCAAGTGC</t>
  </si>
  <si>
    <t xml:space="preserve">TAGTAGGGTTTGTGGTGCAAGTGC</t>
  </si>
  <si>
    <t xml:space="preserve">AAACGCACTTGCACCACAAACCCT</t>
  </si>
  <si>
    <t xml:space="preserve">CGCGGCGGATCGTGACATAC</t>
  </si>
  <si>
    <t xml:space="preserve">TAGTCGCGGCGGATCGTGACATAC</t>
  </si>
  <si>
    <t xml:space="preserve">AAACGTATGTCACGATCCGCCGCG</t>
  </si>
  <si>
    <t xml:space="preserve">TTGCCGGGTGCAGACAAGTG</t>
  </si>
  <si>
    <t xml:space="preserve">TAGTTTGCCGGGTGCAGACAAGTG</t>
  </si>
  <si>
    <t xml:space="preserve">AAACCACTTGTCTGCACCCGGCAA</t>
  </si>
  <si>
    <t xml:space="preserve">PSPPH_2251</t>
  </si>
  <si>
    <t xml:space="preserve">TGTGGCCGTTCAACATCAAG</t>
  </si>
  <si>
    <t xml:space="preserve">TAGTTGTGGCCGTTCAACATCAAG</t>
  </si>
  <si>
    <t xml:space="preserve">AAACCTTGATGTTGAACGGCCACA</t>
  </si>
  <si>
    <t xml:space="preserve">CGTTGCGTGATGCCTCATCG</t>
  </si>
  <si>
    <t xml:space="preserve">TAGTCGTTGCGTGATGCCTCATCG</t>
  </si>
  <si>
    <t xml:space="preserve">AAACCGATGAGGCATCACGCAACG</t>
  </si>
  <si>
    <t xml:space="preserve">AACCGAACCGTCATTGGCCA</t>
  </si>
  <si>
    <t xml:space="preserve">TAGTAACCGAACCGTCATTGGCCA</t>
  </si>
  <si>
    <t xml:space="preserve">AAACTGGCCAATGACGGTTCGGTT</t>
  </si>
  <si>
    <t xml:space="preserve">GCGCATCGACCATTTCCTTC</t>
  </si>
  <si>
    <t xml:space="preserve">TAGTGCGCATCGACCATTTCCTTC</t>
  </si>
  <si>
    <t xml:space="preserve">AAACGAAGGAAATGGTCGATGCGC</t>
  </si>
  <si>
    <t xml:space="preserve">PSPPH_2253</t>
  </si>
  <si>
    <t xml:space="preserve">TCGGACAACAGGAACTGTAC</t>
  </si>
  <si>
    <t xml:space="preserve">TAGTTCGGACAACAGGAACTGTAC</t>
  </si>
  <si>
    <t xml:space="preserve">AAACGTACAGTTCCTGTTGTCCGA</t>
  </si>
  <si>
    <t xml:space="preserve">CCTGGCTAAGGCTGTGATCA</t>
  </si>
  <si>
    <t xml:space="preserve">TAGTCCTGGCTAAGGCTGTGATCA</t>
  </si>
  <si>
    <t xml:space="preserve">AAACTGATCACAGCCTTAGCCAGG</t>
  </si>
  <si>
    <t xml:space="preserve">GCGCCTGATCGCGTCGATAT</t>
  </si>
  <si>
    <t xml:space="preserve">TAGTGCGCCTGATCGCGTCGATAT</t>
  </si>
  <si>
    <t xml:space="preserve">AAACATATCGACGCGATCAGGCGC</t>
  </si>
  <si>
    <t xml:space="preserve">GGCCCTGGGCGGACGACTGC</t>
  </si>
  <si>
    <t xml:space="preserve">TAGTGGCCCTGGGCGGACGACTGC</t>
  </si>
  <si>
    <t xml:space="preserve">AAACGCAGTCGTCCGCCCAGGGCC</t>
  </si>
  <si>
    <t xml:space="preserve">PSPPH_2255</t>
  </si>
  <si>
    <t xml:space="preserve">alkB</t>
  </si>
  <si>
    <t xml:space="preserve">AGTTTCACCTTTGCGTTGCA</t>
  </si>
  <si>
    <t xml:space="preserve">TAGTAGTTTCACCTTTGCGTTGCA</t>
  </si>
  <si>
    <t xml:space="preserve">AAACTGCAACGCAAAGGTGAAACT</t>
  </si>
  <si>
    <t xml:space="preserve">GCAAACAGATCCAGATTGGC</t>
  </si>
  <si>
    <t xml:space="preserve">TAGTGCAAACAGATCCAGATTGGC</t>
  </si>
  <si>
    <t xml:space="preserve">AAACGCCAATCTGGATCTGTTTGC</t>
  </si>
  <si>
    <t xml:space="preserve">TGCAGGCTGGGTCGTCTGGT</t>
  </si>
  <si>
    <t xml:space="preserve">TAGTTGCAGGCTGGGTCGTCTGGT</t>
  </si>
  <si>
    <t xml:space="preserve">AAACACCAGACGACCCAGCCTGCA</t>
  </si>
  <si>
    <t xml:space="preserve">CCTCTGAGCAGCCATGACCC</t>
  </si>
  <si>
    <t xml:space="preserve">TAGTCCTCTGAGCAGCCATGACCC</t>
  </si>
  <si>
    <t xml:space="preserve">AAACGGGTCATGGCTGCTCAGAGG</t>
  </si>
  <si>
    <t xml:space="preserve">PSPPH_2256</t>
  </si>
  <si>
    <t xml:space="preserve">GCGCGGGACTGGATTGTTCA</t>
  </si>
  <si>
    <t xml:space="preserve">TAGTGCGCGGGACTGGATTGTTCA</t>
  </si>
  <si>
    <t xml:space="preserve">AAACTGAACAATCCAGTCCCGCGC</t>
  </si>
  <si>
    <t xml:space="preserve">GTAGCTGACAGCAAATTTAG</t>
  </si>
  <si>
    <t xml:space="preserve">TAGTGTAGCTGACAGCAAATTTAG</t>
  </si>
  <si>
    <t xml:space="preserve">AAACCTAAATTTGCTGTCAGCTAC</t>
  </si>
  <si>
    <t xml:space="preserve">GCAGTTGGGCGAACTCGAAG</t>
  </si>
  <si>
    <t xml:space="preserve">TAGTGCAGTTGGGCGAACTCGAAG</t>
  </si>
  <si>
    <t xml:space="preserve">AAACCTTCGAGTTCGCCCAACTGC</t>
  </si>
  <si>
    <t xml:space="preserve">GGCTTCGGCTTCTTCGGTTG</t>
  </si>
  <si>
    <t xml:space="preserve">TAGTGGCTTCGGCTTCTTCGGTTG</t>
  </si>
  <si>
    <t xml:space="preserve">AAACCAACCGAAGAAGCCGAAGCC</t>
  </si>
  <si>
    <t xml:space="preserve">PSPPH_2257</t>
  </si>
  <si>
    <t xml:space="preserve">TGCCCGCAATTTGACGTCGG</t>
  </si>
  <si>
    <t xml:space="preserve">TAGTTGCCCGCAATTTGACGTCGG</t>
  </si>
  <si>
    <t xml:space="preserve">AAACCCGACGTCAAATTGCGGGCA</t>
  </si>
  <si>
    <t xml:space="preserve">TCATGACGGGCTCCGAATGA</t>
  </si>
  <si>
    <t xml:space="preserve">TAGTTCATGACGGGCTCCGAATGA</t>
  </si>
  <si>
    <t xml:space="preserve">AAACTCATTCGGAGCCCGTCATGA</t>
  </si>
  <si>
    <t xml:space="preserve">CCTCGTTGAGATGCTCACGC</t>
  </si>
  <si>
    <t xml:space="preserve">TAGTCCTCGTTGAGATGCTCACGC</t>
  </si>
  <si>
    <t xml:space="preserve">AAACGCGTGAGCATCTCAACGAGG</t>
  </si>
  <si>
    <t xml:space="preserve">GCGAGCACTCGATAACGACC</t>
  </si>
  <si>
    <t xml:space="preserve">TAGTGCGAGCACTCGATAACGACC</t>
  </si>
  <si>
    <t xml:space="preserve">AAACGGTCGTTATCGAGTGCTCGC</t>
  </si>
  <si>
    <t xml:space="preserve">PSPPH_2258</t>
  </si>
  <si>
    <t xml:space="preserve">AGCCAGTCATTGCCAGAGCC</t>
  </si>
  <si>
    <t xml:space="preserve">TAGTAGCCAGTCATTGCCAGAGCC</t>
  </si>
  <si>
    <t xml:space="preserve">AAACGGCTCTGGCAATGACTGGCT</t>
  </si>
  <si>
    <t xml:space="preserve">ATGTTCGATGTCATTTACTG</t>
  </si>
  <si>
    <t xml:space="preserve">TAGTATGTTCGATGTCATTTACTG</t>
  </si>
  <si>
    <t xml:space="preserve">AAACCAGTAAATGACATCGAACAT</t>
  </si>
  <si>
    <t xml:space="preserve">GACATCACGTTCATGGTGGG</t>
  </si>
  <si>
    <t xml:space="preserve">TAGTGACATCACGTTCATGGTGGG</t>
  </si>
  <si>
    <t xml:space="preserve">AAACCCCACCATGAACGTGATGTC</t>
  </si>
  <si>
    <t xml:space="preserve">AGCAATCGGCATACTCCTTG</t>
  </si>
  <si>
    <t xml:space="preserve">TAGTAGCAATCGGCATACTCCTTG</t>
  </si>
  <si>
    <t xml:space="preserve">AAACCAAGGAGTATGCCGATTGCT</t>
  </si>
  <si>
    <t xml:space="preserve">PSPPH_2259</t>
  </si>
  <si>
    <t xml:space="preserve">CAATAATGGACAGTAGGGAA</t>
  </si>
  <si>
    <t xml:space="preserve">TAGTCAATAATGGACAGTAGGGAA</t>
  </si>
  <si>
    <t xml:space="preserve">AAACTTCCCTACTGTCCATTATTG</t>
  </si>
  <si>
    <t xml:space="preserve">AGGCGGTTGCGCAGCCGGTC</t>
  </si>
  <si>
    <t xml:space="preserve">TAGTAGGCGGTTGCGCAGCCGGTC</t>
  </si>
  <si>
    <t xml:space="preserve">AAACGACCGGCTGCGCAACCGCCT</t>
  </si>
  <si>
    <t xml:space="preserve">GTTTTTCAGGTAAGTGTTGG</t>
  </si>
  <si>
    <t xml:space="preserve">TAGTGTTTTTCAGGTAAGTGTTGG</t>
  </si>
  <si>
    <t xml:space="preserve">AAACCCAACACTTACCTGAAAAAC</t>
  </si>
  <si>
    <t xml:space="preserve">TTTTTCGTAGCAGCTGGCCC</t>
  </si>
  <si>
    <t xml:space="preserve">TAGTTTTTTCGTAGCAGCTGGCCC</t>
  </si>
  <si>
    <t xml:space="preserve">AAACGGGCCAGCTGCTACGAAAAA</t>
  </si>
  <si>
    <t xml:space="preserve">PSPPH_2260</t>
  </si>
  <si>
    <t xml:space="preserve">galU</t>
  </si>
  <si>
    <t xml:space="preserve">GAGTGCCGTAACCGGCTGCT</t>
  </si>
  <si>
    <t xml:space="preserve">TAGTGAGTGCCGTAACCGGCTGCT</t>
  </si>
  <si>
    <t xml:space="preserve">AAACAGCAGCCGGTTACGGCACTC</t>
  </si>
  <si>
    <t xml:space="preserve">GCATGGCCTTAGTCGCTGGC</t>
  </si>
  <si>
    <t xml:space="preserve">TAGTGCATGGCCTTAGTCGCTGGC</t>
  </si>
  <si>
    <t xml:space="preserve">AAACGCCAGCGACTAAGGCCATGC</t>
  </si>
  <si>
    <t xml:space="preserve">ACCACCGGCAGCATTTCCTT</t>
  </si>
  <si>
    <t xml:space="preserve">TAGTACCACCGGCAGCATTTCCTT</t>
  </si>
  <si>
    <t xml:space="preserve">AAACAAGGAAATGCTGCCGGTGGT</t>
  </si>
  <si>
    <t xml:space="preserve">TCAACACCGTATTGGATCAG</t>
  </si>
  <si>
    <t xml:space="preserve">TAGTTCAACACCGTATTGGATCAG</t>
  </si>
  <si>
    <t xml:space="preserve">AAACCTGATCCAATACGGTGTTGA</t>
  </si>
  <si>
    <t xml:space="preserve">PSPPH_2261</t>
  </si>
  <si>
    <t xml:space="preserve">gor</t>
  </si>
  <si>
    <t xml:space="preserve">TACAAACAGATCAAAATCAA</t>
  </si>
  <si>
    <t xml:space="preserve">TAGTTACAAACAGATCAAAATCAA</t>
  </si>
  <si>
    <t xml:space="preserve">AAACTTGATTTTGATCTGTTTGTA</t>
  </si>
  <si>
    <t xml:space="preserve">CGCCCTGACGCCGCCGGAGC</t>
  </si>
  <si>
    <t xml:space="preserve">TAGTCGCCCTGACGCCGCCGGAGC</t>
  </si>
  <si>
    <t xml:space="preserve">AAACGCTCCGGCGGCGTCAGGGCG</t>
  </si>
  <si>
    <t xml:space="preserve">GGCAACCTTGGCACCGAAAC</t>
  </si>
  <si>
    <t xml:space="preserve">TAGTGGCAACCTTGGCACCGAAAC</t>
  </si>
  <si>
    <t xml:space="preserve">AAACGTTTCGGTGCCAAGGTTGCC</t>
  </si>
  <si>
    <t xml:space="preserve">CAGATAGCGGCTCTCGGCCA</t>
  </si>
  <si>
    <t xml:space="preserve">TAGTCAGATAGCGGCTCTCGGCCA</t>
  </si>
  <si>
    <t xml:space="preserve">AAACTGGCCGAGAGCCGCTATCTG</t>
  </si>
  <si>
    <t xml:space="preserve">PSPPH_2262</t>
  </si>
  <si>
    <t xml:space="preserve">TGCAGGCGCATTCCGGCCGA</t>
  </si>
  <si>
    <t xml:space="preserve">TAGTTGCAGGCGCATTCCGGCCGA</t>
  </si>
  <si>
    <t xml:space="preserve">AAACTCGGCCGGAATGCGCCTGCA</t>
  </si>
  <si>
    <t xml:space="preserve">CGCGATTTTACGATTCTGAA</t>
  </si>
  <si>
    <t xml:space="preserve">TAGTCGCGATTTTACGATTCTGAA</t>
  </si>
  <si>
    <t xml:space="preserve">AAACTTCAGAATCGTAAAATCGCG</t>
  </si>
  <si>
    <t xml:space="preserve">CTGACTCATGTTGTCAGCCA</t>
  </si>
  <si>
    <t xml:space="preserve">TAGTCTGACTCATGTTGTCAGCCA</t>
  </si>
  <si>
    <t xml:space="preserve">AAACTGGCTGACAACATGAGTCAG</t>
  </si>
  <si>
    <t xml:space="preserve">CCCGCGAGGACTTGCAGTCC</t>
  </si>
  <si>
    <t xml:space="preserve">TAGTCCCGCGAGGACTTGCAGTCC</t>
  </si>
  <si>
    <t xml:space="preserve">AAACGGACTGCAAGTCCTCGCGGG</t>
  </si>
  <si>
    <t xml:space="preserve">PSPPH_2263</t>
  </si>
  <si>
    <t xml:space="preserve">ATTTTCACCTCTGGACAGCA</t>
  </si>
  <si>
    <t xml:space="preserve">TAGTATTTTCACCTCTGGACAGCA</t>
  </si>
  <si>
    <t xml:space="preserve">AAACTGCTGTCCAGAGGTGAAAAT</t>
  </si>
  <si>
    <t xml:space="preserve">ATACGTACTGCATCAATGCT</t>
  </si>
  <si>
    <t xml:space="preserve">TAGTATACGTACTGCATCAATGCT</t>
  </si>
  <si>
    <t xml:space="preserve">AAACAGCATTGATGCAGTACGTAT</t>
  </si>
  <si>
    <t xml:space="preserve">TTTGAGGTACCGGTGAATCG</t>
  </si>
  <si>
    <t xml:space="preserve">TAGTTTTGAGGTACCGGTGAATCG</t>
  </si>
  <si>
    <t xml:space="preserve">AAACCGATTCACCGGTACCTCAAA</t>
  </si>
  <si>
    <t xml:space="preserve">GTCCGGCGCTGGCGTATGCG</t>
  </si>
  <si>
    <t xml:space="preserve">TAGTGTCCGGCGCTGGCGTATGCG</t>
  </si>
  <si>
    <t xml:space="preserve">AAACCGCATACGCCAGCGCCGGAC</t>
  </si>
  <si>
    <t xml:space="preserve">PSPPH_2264</t>
  </si>
  <si>
    <t xml:space="preserve">AAAGCGATCAACGTCATTCA</t>
  </si>
  <si>
    <t xml:space="preserve">TAGTAAAGCGATCAACGTCATTCA</t>
  </si>
  <si>
    <t xml:space="preserve">AAACTGAATGACGTTGATCGCTTT</t>
  </si>
  <si>
    <t xml:space="preserve">GCGTGTGTTGTCGCGAGTTG</t>
  </si>
  <si>
    <t xml:space="preserve">TAGTGCGTGTGTTGTCGCGAGTTG</t>
  </si>
  <si>
    <t xml:space="preserve">AAACCAACTCGCGACAACACACGC</t>
  </si>
  <si>
    <t xml:space="preserve">CGATGGCCGCCCGATAACTG</t>
  </si>
  <si>
    <t xml:space="preserve">TAGTCGATGGCCGCCCGATAACTG</t>
  </si>
  <si>
    <t xml:space="preserve">AAACCAGTTATCGGGCGGCCATCG</t>
  </si>
  <si>
    <t xml:space="preserve">GTAACGCGCCACGCTTTCGC</t>
  </si>
  <si>
    <t xml:space="preserve">TAGTGTAACGCGCCACGCTTTCGC</t>
  </si>
  <si>
    <t xml:space="preserve">AAACGCGAAAGCGTGGCGCGTTAC</t>
  </si>
  <si>
    <t xml:space="preserve">PSPPH_2265</t>
  </si>
  <si>
    <t xml:space="preserve">ahpC</t>
  </si>
  <si>
    <t xml:space="preserve">TGGCTGTTGATGATAGGCAT</t>
  </si>
  <si>
    <t xml:space="preserve">TAGTTGGCTGTTGATGATAGGCAT</t>
  </si>
  <si>
    <t xml:space="preserve">AAACATGCCTATCATCAACAGCCA</t>
  </si>
  <si>
    <t xml:space="preserve">TAGCCTTGAACGGTTTTACT</t>
  </si>
  <si>
    <t xml:space="preserve">TAGTTAGCCTTGAACGGTTTTACT</t>
  </si>
  <si>
    <t xml:space="preserve">AAACAGTAAAACCGTTCAAGGCTA</t>
  </si>
  <si>
    <t xml:space="preserve">GAAAGCGCCGTTCTTGAACG</t>
  </si>
  <si>
    <t xml:space="preserve">TAGTGAAAGCGCCGTTCTTGAACG</t>
  </si>
  <si>
    <t xml:space="preserve">AAACCGTTCAAGAACGGCGCTTTC</t>
  </si>
  <si>
    <t xml:space="preserve">AGACCACTTGCCTTTGAAGT</t>
  </si>
  <si>
    <t xml:space="preserve">TAGTAGACCACTTGCCTTTGAAGT</t>
  </si>
  <si>
    <t xml:space="preserve">AAACACTTCAAAGGCAAGTGGTCT</t>
  </si>
  <si>
    <t xml:space="preserve">PSPPH_2266</t>
  </si>
  <si>
    <t xml:space="preserve">ahpF</t>
  </si>
  <si>
    <t xml:space="preserve">TTTCAACTGGGCTTTAAGAT</t>
  </si>
  <si>
    <t xml:space="preserve">TAGTTTTCAACTGGGCTTTAAGAT</t>
  </si>
  <si>
    <t xml:space="preserve">AAACATCTTAAAGCCCAGTTGAAA</t>
  </si>
  <si>
    <t xml:space="preserve">GCGAGTAACCCGCTCCAGAT</t>
  </si>
  <si>
    <t xml:space="preserve">TAGTGCGAGTAACCCGCTCCAGAT</t>
  </si>
  <si>
    <t xml:space="preserve">AAACATCTGGAGCGGGTTACTCGC</t>
  </si>
  <si>
    <t xml:space="preserve">GGGACGCGACGATCTCGATG</t>
  </si>
  <si>
    <t xml:space="preserve">TAGTGGGACGCGACGATCTCGATG</t>
  </si>
  <si>
    <t xml:space="preserve">AAACCATCGAGATCGTCGCGTCCC</t>
  </si>
  <si>
    <t xml:space="preserve">AGACTTCGCGCCGTCATCAA</t>
  </si>
  <si>
    <t xml:space="preserve">TAGTAGACTTCGCGCCGTCATCAA</t>
  </si>
  <si>
    <t xml:space="preserve">AAACTTGATGACGGCGCGAAGTCT</t>
  </si>
  <si>
    <t xml:space="preserve">PSPPH_2267</t>
  </si>
  <si>
    <t xml:space="preserve">gloA</t>
  </si>
  <si>
    <t xml:space="preserve">TCAGGGTCGGCCGTAACGCC</t>
  </si>
  <si>
    <t xml:space="preserve">TAGTTCAGGGTCGGCCGTAACGCC</t>
  </si>
  <si>
    <t xml:space="preserve">AAACGGCGTTACGGCCGACCCTGA</t>
  </si>
  <si>
    <t xml:space="preserve">GTGGTTGAATACAAACTGCC</t>
  </si>
  <si>
    <t xml:space="preserve">TAGTGTGGTTGAATACAAACTGCC</t>
  </si>
  <si>
    <t xml:space="preserve">AAACGGCAGTTTGTATTCAACCAC</t>
  </si>
  <si>
    <t xml:space="preserve">GATGTCCTTGACGCGCAGCA</t>
  </si>
  <si>
    <t xml:space="preserve">TAGTGATGTCCTTGACGCGCAGCA</t>
  </si>
  <si>
    <t xml:space="preserve">AAACTGCTGCGCGTCAAGGACATC</t>
  </si>
  <si>
    <t xml:space="preserve">CAGGCTGAAGCCGAGCACGC</t>
  </si>
  <si>
    <t xml:space="preserve">TAGTCAGGCTGAAGCCGAGCACGC</t>
  </si>
  <si>
    <t xml:space="preserve">AAACGCGTGCTCGGCTTCAGCCTG</t>
  </si>
  <si>
    <t xml:space="preserve">PSPPH_2268</t>
  </si>
  <si>
    <t xml:space="preserve">GCATTATTTGTACATTCTGT</t>
  </si>
  <si>
    <t xml:space="preserve">TAGTGCATTATTTGTACATTCTGT</t>
  </si>
  <si>
    <t xml:space="preserve">AAACACAGAATGTACAAATAATGC</t>
  </si>
  <si>
    <t xml:space="preserve">CCGCCCTGCCCCGTATCATT</t>
  </si>
  <si>
    <t xml:space="preserve">TAGTCCGCCCTGCCCCGTATCATT</t>
  </si>
  <si>
    <t xml:space="preserve">AAACAATGATACGGGGCAGGGCGG</t>
  </si>
  <si>
    <t xml:space="preserve">ACGTTATCCGAACGAGGGTT</t>
  </si>
  <si>
    <t xml:space="preserve">TAGTACGTTATCCGAACGAGGGTT</t>
  </si>
  <si>
    <t xml:space="preserve">AAACAACCCTCGTTCGGATAACGT</t>
  </si>
  <si>
    <t xml:space="preserve">GGAAATTCTGAGCCTGTTGC</t>
  </si>
  <si>
    <t xml:space="preserve">TAGTGGAAATTCTGAGCCTGTTGC</t>
  </si>
  <si>
    <t xml:space="preserve">AAACGCAACAGGCTCAGAATTTCC</t>
  </si>
  <si>
    <t xml:space="preserve">PSPPH_2269</t>
  </si>
  <si>
    <t xml:space="preserve">TGCTCGAAACTCGGCAAGTC</t>
  </si>
  <si>
    <t xml:space="preserve">TAGTTGCTCGAAACTCGGCAAGTC</t>
  </si>
  <si>
    <t xml:space="preserve">AAACGACTTGCCGAGTTTCGAGCA</t>
  </si>
  <si>
    <t xml:space="preserve">CTGTGCAAGCTGTTCTTGAA</t>
  </si>
  <si>
    <t xml:space="preserve">TAGTCTGTGCAAGCTGTTCTTGAA</t>
  </si>
  <si>
    <t xml:space="preserve">AAACTTCAAGAACAGCTTGCACAG</t>
  </si>
  <si>
    <t xml:space="preserve">CAACCCGGCGTCATTCTTCA</t>
  </si>
  <si>
    <t xml:space="preserve">TAGTCAACCCGGCGTCATTCTTCA</t>
  </si>
  <si>
    <t xml:space="preserve">AAACTGAAGAATGACGCCGGGTTG</t>
  </si>
  <si>
    <t xml:space="preserve">CGTAGGTGCCCATCAGGTCC</t>
  </si>
  <si>
    <t xml:space="preserve">TAGTCGTAGGTGCCCATCAGGTCC</t>
  </si>
  <si>
    <t xml:space="preserve">AAACGGACCTGATGGGCACCTACG</t>
  </si>
  <si>
    <t xml:space="preserve">PSPPH_2270</t>
  </si>
  <si>
    <t xml:space="preserve">AGTGGGTGGCAGCTGTCAAA</t>
  </si>
  <si>
    <t xml:space="preserve">TAGTAGTGGGTGGCAGCTGTCAAA</t>
  </si>
  <si>
    <t xml:space="preserve">AAACTTTGACAGCTGCCACCCACT</t>
  </si>
  <si>
    <t xml:space="preserve">CTTGACGGGTTGCAGCTTCG</t>
  </si>
  <si>
    <t xml:space="preserve">TAGTCTTGACGGGTTGCAGCTTCG</t>
  </si>
  <si>
    <t xml:space="preserve">AAACCGAAGCTGCAACCCGTCAAG</t>
  </si>
  <si>
    <t xml:space="preserve">AACCCCTTGGTAGAAAGTCT</t>
  </si>
  <si>
    <t xml:space="preserve">TAGTAACCCCTTGGTAGAAAGTCT</t>
  </si>
  <si>
    <t xml:space="preserve">AAACAGACTTTCTACCAAGGGGTT</t>
  </si>
  <si>
    <t xml:space="preserve">CGATGTCGAGTAGTGGGTTG</t>
  </si>
  <si>
    <t xml:space="preserve">TAGTCGATGTCGAGTAGTGGGTTG</t>
  </si>
  <si>
    <t xml:space="preserve">AAACCAACCCACTACTCGACATCG</t>
  </si>
  <si>
    <t xml:space="preserve">PSPPH_2271</t>
  </si>
  <si>
    <t xml:space="preserve">GCGCCATGACCAGCAGGCTC</t>
  </si>
  <si>
    <t xml:space="preserve">TAGTGCGCCATGACCAGCAGGCTC</t>
  </si>
  <si>
    <t xml:space="preserve">AAACGAGCCTGCTGGTCATGGCGC</t>
  </si>
  <si>
    <t xml:space="preserve">GTAGTCCGGGCCGACGGCGC</t>
  </si>
  <si>
    <t xml:space="preserve">TAGTGTAGTCCGGGCCGACGGCGC</t>
  </si>
  <si>
    <t xml:space="preserve">AAACGCGCCGTCGGCCCGGACTAC</t>
  </si>
  <si>
    <t xml:space="preserve">AGTTGGGCTGGCACCGTAAC</t>
  </si>
  <si>
    <t xml:space="preserve">TAGTAGTTGGGCTGGCACCGTAAC</t>
  </si>
  <si>
    <t xml:space="preserve">AAACGTTACGGTGCCAGCCCAACT</t>
  </si>
  <si>
    <t xml:space="preserve">GTCATAGTTGCCCTGGGCTG</t>
  </si>
  <si>
    <t xml:space="preserve">TAGTGTCATAGTTGCCCTGGGCTG</t>
  </si>
  <si>
    <t xml:space="preserve">AAACCAGCCCAGGGCAACTATGAC</t>
  </si>
  <si>
    <t xml:space="preserve">PSPPH_2272</t>
  </si>
  <si>
    <t xml:space="preserve">mexF</t>
  </si>
  <si>
    <t xml:space="preserve">AAGAATTTGGAGAAGTTCAT</t>
  </si>
  <si>
    <t xml:space="preserve">TAGTAAGAATTTGGAGAAGTTCAT</t>
  </si>
  <si>
    <t xml:space="preserve">AAACATGAACTTCTCCAAATTCTT</t>
  </si>
  <si>
    <t xml:space="preserve">GCACTGCGGCAAAGATCGGC</t>
  </si>
  <si>
    <t xml:space="preserve">TAGTGCACTGCGGCAAAGATCGGC</t>
  </si>
  <si>
    <t xml:space="preserve">AAACGCCGATCTTTGCCGCAGTGC</t>
  </si>
  <si>
    <t xml:space="preserve">GTGAGATAGCACCGGCGATC</t>
  </si>
  <si>
    <t xml:space="preserve">TAGTGTGAGATAGCACCGGCGATC</t>
  </si>
  <si>
    <t xml:space="preserve">AAACGATCGCCGGTGCTATCTCAC</t>
  </si>
  <si>
    <t xml:space="preserve">GGTATTCACTGATTGGCAAC</t>
  </si>
  <si>
    <t xml:space="preserve">TAGTGGTATTCACTGATTGGCAAC</t>
  </si>
  <si>
    <t xml:space="preserve">AAACGTTGCCAATCAGTGAATACC</t>
  </si>
  <si>
    <t xml:space="preserve">PSPPH_2273</t>
  </si>
  <si>
    <t xml:space="preserve">mexE</t>
  </si>
  <si>
    <t xml:space="preserve">ATGGCTGAGTGTCTGGTGCA</t>
  </si>
  <si>
    <t xml:space="preserve">TAGTATGGCTGAGTGTCTGGTGCA</t>
  </si>
  <si>
    <t xml:space="preserve">AAACTGCACCAGACACTCAGCCAT</t>
  </si>
  <si>
    <t xml:space="preserve">TAAGGGCGAGGGCGGTGAGG</t>
  </si>
  <si>
    <t xml:space="preserve">TAGTTAAGGGCGAGGGCGGTGAGG</t>
  </si>
  <si>
    <t xml:space="preserve">AAACCCTCACCGCCCTCGCCCTTA</t>
  </si>
  <si>
    <t xml:space="preserve">CACTGGTGGCTTCCGGCGCG</t>
  </si>
  <si>
    <t xml:space="preserve">TAGTCACTGGTGGCTTCCGGCGCG</t>
  </si>
  <si>
    <t xml:space="preserve">AAACCGCGCCGGAAGCCACCAGTG</t>
  </si>
  <si>
    <t xml:space="preserve">ACGCTGACCTTGGCTGCGCC</t>
  </si>
  <si>
    <t xml:space="preserve">TAGTACGCTGACCTTGGCTGCGCC</t>
  </si>
  <si>
    <t xml:space="preserve">AAACGGCGCAGCCAAGGTCAGCGT</t>
  </si>
  <si>
    <t xml:space="preserve">PSPPH_2274</t>
  </si>
  <si>
    <t xml:space="preserve">GGTGCTGAGGTAGCCGATCG</t>
  </si>
  <si>
    <t xml:space="preserve">TAGTGGTGCTGAGGTAGCCGATCG</t>
  </si>
  <si>
    <t xml:space="preserve">AAACCGATCGGCTACCTCAGCACC</t>
  </si>
  <si>
    <t xml:space="preserve">AGCCTTTACTTCAGAAACTT</t>
  </si>
  <si>
    <t xml:space="preserve">TAGTAGCCTTTACTTCAGAAACTT</t>
  </si>
  <si>
    <t xml:space="preserve">AAACAAGTTTCTGAAGTAAAGGCT</t>
  </si>
  <si>
    <t xml:space="preserve">AGGCCTGCGCAGCGATCCTG</t>
  </si>
  <si>
    <t xml:space="preserve">TAGTAGGCCTGCGCAGCGATCCTG</t>
  </si>
  <si>
    <t xml:space="preserve">AAACCAGGATCGCTGCGCAGGCCT</t>
  </si>
  <si>
    <t xml:space="preserve">CGCGTCAGGCTTGGCAGTAT</t>
  </si>
  <si>
    <t xml:space="preserve">TAGTCGCGTCAGGCTTGGCAGTAT</t>
  </si>
  <si>
    <t xml:space="preserve">AAACATACTGCCAAGCCTGACGCG</t>
  </si>
  <si>
    <t xml:space="preserve">PSPPH_2275</t>
  </si>
  <si>
    <t xml:space="preserve">glnQ2</t>
  </si>
  <si>
    <t xml:space="preserve">AGTGGTGACGGGTGGGATTG</t>
  </si>
  <si>
    <t xml:space="preserve">TAGTAGTGGTGACGGGTGGGATTG</t>
  </si>
  <si>
    <t xml:space="preserve">AAACCAATCCCACCCGTCACCACT</t>
  </si>
  <si>
    <t xml:space="preserve">GATGGTCGATGATCCGGTTG</t>
  </si>
  <si>
    <t xml:space="preserve">TAGTGATGGTCGATGATCCGGTTG</t>
  </si>
  <si>
    <t xml:space="preserve">AAACCAACCGGATCATCGACCATC</t>
  </si>
  <si>
    <t xml:space="preserve">TCTGACCTTGAGGAATGCTC</t>
  </si>
  <si>
    <t xml:space="preserve">TAGTTCTGACCTTGAGGAATGCTC</t>
  </si>
  <si>
    <t xml:space="preserve">AAACGAGCATTCCTCAAGGTCAGA</t>
  </si>
  <si>
    <t xml:space="preserve">CGAGCCACTGGGGCCGATCA</t>
  </si>
  <si>
    <t xml:space="preserve">TAGTCGAGCCACTGGGGCCGATCA</t>
  </si>
  <si>
    <t xml:space="preserve">AAACTGATCGGCCCCAGTGGCTCG</t>
  </si>
  <si>
    <t xml:space="preserve">PSPPH_2276</t>
  </si>
  <si>
    <t xml:space="preserve">CAGCTCCGGCAGAATCGACC</t>
  </si>
  <si>
    <t xml:space="preserve">TAGTCAGCTCCGGCAGAATCGACC</t>
  </si>
  <si>
    <t xml:space="preserve">AAACGGTCGATTCTGCCGGAGCTG</t>
  </si>
  <si>
    <t xml:space="preserve">CCCCAGCACCACGACCTGCA</t>
  </si>
  <si>
    <t xml:space="preserve">TAGTCCCCAGCACCACGACCTGCA</t>
  </si>
  <si>
    <t xml:space="preserve">AAACTGCAGGTCGTGGTGCTGGGG</t>
  </si>
  <si>
    <t xml:space="preserve">GACCGAGCAAAACCGCGAGC</t>
  </si>
  <si>
    <t xml:space="preserve">TAGTGACCGAGCAAAACCGCGAGC</t>
  </si>
  <si>
    <t xml:space="preserve">AAACGCTCGCGGTTTTGCTCGGTC</t>
  </si>
  <si>
    <t xml:space="preserve">GCGAGCGCAGTGTCAGGGCC</t>
  </si>
  <si>
    <t xml:space="preserve">TAGTGCGAGCGCAGTGTCAGGGCC</t>
  </si>
  <si>
    <t xml:space="preserve">AAACGGCCCTGACACTGCGCTCGC</t>
  </si>
  <si>
    <t xml:space="preserve">PSPPH_2277</t>
  </si>
  <si>
    <t xml:space="preserve">TGTTGCAGCATCAACAGGCA</t>
  </si>
  <si>
    <t xml:space="preserve">TAGTTGTTGCAGCATCAACAGGCA</t>
  </si>
  <si>
    <t xml:space="preserve">AAACTGCCTGTTGATGCTGCAACA</t>
  </si>
  <si>
    <t xml:space="preserve">TTGTCTGGCAATGAAACCTG</t>
  </si>
  <si>
    <t xml:space="preserve">TAGTTTGTCTGGCAATGAAACCTG</t>
  </si>
  <si>
    <t xml:space="preserve">AAACCAGGTTTCATTGCCAGACAA</t>
  </si>
  <si>
    <t xml:space="preserve">CAGGGTGATCCAGGCACCGT</t>
  </si>
  <si>
    <t xml:space="preserve">TAGTCAGGGTGATCCAGGCACCGT</t>
  </si>
  <si>
    <t xml:space="preserve">AAACACGGTGCCTGGATCACCCTG</t>
  </si>
  <si>
    <t xml:space="preserve">GAATGGCGACAGGCGCATCA</t>
  </si>
  <si>
    <t xml:space="preserve">TAGTGAATGGCGACAGGCGCATCA</t>
  </si>
  <si>
    <t xml:space="preserve">AAACTGATGCGCCTGTCGCCATTC</t>
  </si>
  <si>
    <t xml:space="preserve">PSPPH_2278</t>
  </si>
  <si>
    <t xml:space="preserve">TCAGGGCTGGGAACGACAGG</t>
  </si>
  <si>
    <t xml:space="preserve">TAGTTCAGGGCTGGGAACGACAGG</t>
  </si>
  <si>
    <t xml:space="preserve">AAACCCTGTCGTTCCCAGCCCTGA</t>
  </si>
  <si>
    <t xml:space="preserve">CAGGGCGGGAAACGAAATAA</t>
  </si>
  <si>
    <t xml:space="preserve">TAGTCAGGGCGGGAAACGAAATAA</t>
  </si>
  <si>
    <t xml:space="preserve">AAACTTATTTCGTTTCCCGCCCTG</t>
  </si>
  <si>
    <t xml:space="preserve">GCGGCCTTTTTCCAGCAGTC</t>
  </si>
  <si>
    <t xml:space="preserve">TAGTGCGGCCTTTTTCCAGCAGTC</t>
  </si>
  <si>
    <t xml:space="preserve">AAACGACTGCTGGAAAAAGGCCGC</t>
  </si>
  <si>
    <t xml:space="preserve">CTGTTCGTTGGCGATGCCGC</t>
  </si>
  <si>
    <t xml:space="preserve">TAGTCTGTTCGTTGGCGATGCCGC</t>
  </si>
  <si>
    <t xml:space="preserve">AAACGCGGCATCGCCAACGAACAG</t>
  </si>
  <si>
    <t xml:space="preserve">PSPPH_2279</t>
  </si>
  <si>
    <t xml:space="preserve">ACAATTGGTGGTGCTTTCAT</t>
  </si>
  <si>
    <t xml:space="preserve">TAGTACAATTGGTGGTGCTTTCAT</t>
  </si>
  <si>
    <t xml:space="preserve">AAACATGAAAGCACCACCAATTGT</t>
  </si>
  <si>
    <t xml:space="preserve">TTGAAGCAAACGACTTATTC</t>
  </si>
  <si>
    <t xml:space="preserve">TAGTTTGAAGCAAACGACTTATTC</t>
  </si>
  <si>
    <t xml:space="preserve">AAACGAATAAGTCGTTTGCTTCAA</t>
  </si>
  <si>
    <t xml:space="preserve">GATCGATGTCTTGCAATACA</t>
  </si>
  <si>
    <t xml:space="preserve">TAGTGATCGATGTCTTGCAATACA</t>
  </si>
  <si>
    <t xml:space="preserve">AAACTGTATTGCAAGACATCGATC</t>
  </si>
  <si>
    <t xml:space="preserve">AGCAAGGCCACCACCTCACC</t>
  </si>
  <si>
    <t xml:space="preserve">TAGTAGCAAGGCCACCACCTCACC</t>
  </si>
  <si>
    <t xml:space="preserve">AAACGGTGAGGTGGTGGCCTTGCT</t>
  </si>
  <si>
    <t xml:space="preserve">PSPPH_2280</t>
  </si>
  <si>
    <t xml:space="preserve">TTTCCGGGCTATGAAAGGAA</t>
  </si>
  <si>
    <t xml:space="preserve">TAGTTTTCCGGGCTATGAAAGGAA</t>
  </si>
  <si>
    <t xml:space="preserve">AAACTTCCTTTCATAGCCCGGAAA</t>
  </si>
  <si>
    <t xml:space="preserve">AGAATGGCGTCGCCACGAGG</t>
  </si>
  <si>
    <t xml:space="preserve">TAGTAGAATGGCGTCGCCACGAGG</t>
  </si>
  <si>
    <t xml:space="preserve">AAACCCTCGTGGCGACGCCATTCT</t>
  </si>
  <si>
    <t xml:space="preserve">GCACCAACAGCAAGCCGTAA</t>
  </si>
  <si>
    <t xml:space="preserve">TAGTGCACCAACAGCAAGCCGTAA</t>
  </si>
  <si>
    <t xml:space="preserve">AAACTTACGGCTTGCTGTTGGTGC</t>
  </si>
  <si>
    <t xml:space="preserve">CAGAAACGCTGGCTCGACGA</t>
  </si>
  <si>
    <t xml:space="preserve">TAGTCAGAAACGCTGGCTCGACGA</t>
  </si>
  <si>
    <t xml:space="preserve">AAACTCGTCGAGCCAGCGTTTCTG</t>
  </si>
  <si>
    <t xml:space="preserve">PSPPH_2281</t>
  </si>
  <si>
    <t xml:space="preserve">TAGTACGTCCATCTGTTCGT</t>
  </si>
  <si>
    <t xml:space="preserve">TAGTTAGTACGTCCATCTGTTCGT</t>
  </si>
  <si>
    <t xml:space="preserve">AAACACGAACAGATGGACGTACTA</t>
  </si>
  <si>
    <t xml:space="preserve">CACGAATGCGGTTTTCTGAA</t>
  </si>
  <si>
    <t xml:space="preserve">TAGTCACGAATGCGGTTTTCTGAA</t>
  </si>
  <si>
    <t xml:space="preserve">AAACTTCAGAAAACCGCATTCGTG</t>
  </si>
  <si>
    <t xml:space="preserve">AGGTACTGGAACGGCATCAA</t>
  </si>
  <si>
    <t xml:space="preserve">TAGTAGGTACTGGAACGGCATCAA</t>
  </si>
  <si>
    <t xml:space="preserve">AAACTTGATGCCGTTCCAGTACCT</t>
  </si>
  <si>
    <t xml:space="preserve">TCATTGGTATGAAAGCGTTC</t>
  </si>
  <si>
    <t xml:space="preserve">TAGTTCATTGGTATGAAAGCGTTC</t>
  </si>
  <si>
    <t xml:space="preserve">AAACGAACGCTTTCATACCAATGA</t>
  </si>
  <si>
    <t xml:space="preserve">PSPPH_2282</t>
  </si>
  <si>
    <t xml:space="preserve">TGGATCGTTTAGGCGTGCGG</t>
  </si>
  <si>
    <t xml:space="preserve">TAGTTGGATCGTTTAGGCGTGCGG</t>
  </si>
  <si>
    <t xml:space="preserve">AAACCCGCACGCCTAAACGATCCA</t>
  </si>
  <si>
    <t xml:space="preserve">AGCGACCCAGTGTGCTCAAT</t>
  </si>
  <si>
    <t xml:space="preserve">TAGTAGCGACCCAGTGTGCTCAAT</t>
  </si>
  <si>
    <t xml:space="preserve">AAACATTGAGCACACTGGGTCGCT</t>
  </si>
  <si>
    <t xml:space="preserve">TTATAATTTGGCCAGTTTGG</t>
  </si>
  <si>
    <t xml:space="preserve">TAGTTTATAATTTGGCCAGTTTGG</t>
  </si>
  <si>
    <t xml:space="preserve">AAACCCAAACTGGCCAAATTATAA</t>
  </si>
  <si>
    <t xml:space="preserve">GCCATTGATATTCACGTTAC</t>
  </si>
  <si>
    <t xml:space="preserve">TAGTGCCATTGATATTCACGTTAC</t>
  </si>
  <si>
    <t xml:space="preserve">AAACGTAACGTGAATATCAATGGC</t>
  </si>
  <si>
    <t xml:space="preserve">PSPPH_2283</t>
  </si>
  <si>
    <t xml:space="preserve">GTTTTTAGCTGAGGGCTGGG</t>
  </si>
  <si>
    <t xml:space="preserve">TAGTGTTTTTAGCTGAGGGCTGGG</t>
  </si>
  <si>
    <t xml:space="preserve">AAACCCCAGCCCTCAGCTAAAAAC</t>
  </si>
  <si>
    <t xml:space="preserve">GCGTACCGCCAAAAAATTTG</t>
  </si>
  <si>
    <t xml:space="preserve">TAGTGCGTACCGCCAAAAAATTTG</t>
  </si>
  <si>
    <t xml:space="preserve">AAACCAAATTTTTTGGCGGTACGC</t>
  </si>
  <si>
    <t xml:space="preserve">TCGTAGTACGCATGAACAGT</t>
  </si>
  <si>
    <t xml:space="preserve">TAGTTCGTAGTACGCATGAACAGT</t>
  </si>
  <si>
    <t xml:space="preserve">AAACACTGTTCATGCGTACTACGA</t>
  </si>
  <si>
    <t xml:space="preserve">GTGCCTATTGATTTGATACC</t>
  </si>
  <si>
    <t xml:space="preserve">TAGTGTGCCTATTGATTTGATACC</t>
  </si>
  <si>
    <t xml:space="preserve">AAACGGTATCAAATCAATAGGCAC</t>
  </si>
  <si>
    <t xml:space="preserve">PSPPH_2285</t>
  </si>
  <si>
    <t xml:space="preserve">AGCATGCCGCAGTGCAAGCT</t>
  </si>
  <si>
    <t xml:space="preserve">TAGTAGCATGCCGCAGTGCAAGCT</t>
  </si>
  <si>
    <t xml:space="preserve">AAACAGCTTGCACTGCGGCATGCT</t>
  </si>
  <si>
    <t xml:space="preserve">GCAACAGCATCAAGAGTGAC</t>
  </si>
  <si>
    <t xml:space="preserve">TAGTGCAACAGCATCAAGAGTGAC</t>
  </si>
  <si>
    <t xml:space="preserve">AAACGTCACTCTTGATGCTGTTGC</t>
  </si>
  <si>
    <t xml:space="preserve">TTATCTGGCTCCATCGGACA</t>
  </si>
  <si>
    <t xml:space="preserve">TAGTTTATCTGGCTCCATCGGACA</t>
  </si>
  <si>
    <t xml:space="preserve">AAACTGTCCGATGGAGCCAGATAA</t>
  </si>
  <si>
    <t xml:space="preserve">PSPPH_2290</t>
  </si>
  <si>
    <t xml:space="preserve">GTCGATCAGTTGAGCGGTAT</t>
  </si>
  <si>
    <t xml:space="preserve">TAGTGTCGATCAGTTGAGCGGTAT</t>
  </si>
  <si>
    <t xml:space="preserve">AAACATACCGCTCAACTGATCGAC</t>
  </si>
  <si>
    <t xml:space="preserve">GGTCTGGCCGTCGAAGCGGT</t>
  </si>
  <si>
    <t xml:space="preserve">TAGTGGTCTGGCCGTCGAAGCGGT</t>
  </si>
  <si>
    <t xml:space="preserve">AAACACCGCTTCGACGGCCAGACC</t>
  </si>
  <si>
    <t xml:space="preserve">GACGCCGCGCACGGCCTGGT</t>
  </si>
  <si>
    <t xml:space="preserve">TAGTGACGCCGCGCACGGCCTGGT</t>
  </si>
  <si>
    <t xml:space="preserve">AAACACCAGGCCGTGCGCGGCGTC</t>
  </si>
  <si>
    <t xml:space="preserve">AATCGCCACGGTTTCGCCCC</t>
  </si>
  <si>
    <t xml:space="preserve">TAGTAATCGCCACGGTTTCGCCCC</t>
  </si>
  <si>
    <t xml:space="preserve">AAACGGGGCGAAACCGTGGCGATT</t>
  </si>
  <si>
    <t xml:space="preserve">PSPPH_2291</t>
  </si>
  <si>
    <t xml:space="preserve">GCGGTTGTCGAAGATAGTCA</t>
  </si>
  <si>
    <t xml:space="preserve">TAGTGCGGTTGTCGAAGATAGTCA</t>
  </si>
  <si>
    <t xml:space="preserve">AAACTGACTATCTTCGACAACCGC</t>
  </si>
  <si>
    <t xml:space="preserve">CAAGGCGGGTCAGGCGCGCA</t>
  </si>
  <si>
    <t xml:space="preserve">TAGTCAAGGCGGGTCAGGCGCGCA</t>
  </si>
  <si>
    <t xml:space="preserve">AAACTGCGCGCCTGACCCGCCTTG</t>
  </si>
  <si>
    <t xml:space="preserve">TTTGCCGGAAAGGCTTTGAC</t>
  </si>
  <si>
    <t xml:space="preserve">TAGTTTTGCCGGAAAGGCTTTGAC</t>
  </si>
  <si>
    <t xml:space="preserve">AAACGTCAAAGCCTTTCCGGCAAA</t>
  </si>
  <si>
    <t xml:space="preserve">CCGCCATTGCGCGGCGGGGG</t>
  </si>
  <si>
    <t xml:space="preserve">TAGTCCGCCATTGCGCGGCGGGGG</t>
  </si>
  <si>
    <t xml:space="preserve">AAACCCCCCGCCGCGCAATGGCGG</t>
  </si>
  <si>
    <t xml:space="preserve">PSPPH_2292</t>
  </si>
  <si>
    <t xml:space="preserve">nikB</t>
  </si>
  <si>
    <t xml:space="preserve">CGATCCGGCTGAGGATATAA</t>
  </si>
  <si>
    <t xml:space="preserve">TAGTCGATCCGGCTGAGGATATAA</t>
  </si>
  <si>
    <t xml:space="preserve">AAACTTATATCCTCAGCCGGATCG</t>
  </si>
  <si>
    <t xml:space="preserve">CCAGAGTACCAGCAGCGCCT</t>
  </si>
  <si>
    <t xml:space="preserve">TAGTCCAGAGTACCAGCAGCGCCT</t>
  </si>
  <si>
    <t xml:space="preserve">AAACAGGCGCTGCTGGTACTCTGG</t>
  </si>
  <si>
    <t xml:space="preserve">CAGCAGATACAGAATGAAGT</t>
  </si>
  <si>
    <t xml:space="preserve">TAGTCAGCAGATACAGAATGAAGT</t>
  </si>
  <si>
    <t xml:space="preserve">AAACACTTCATTCTGTATCTGCTG</t>
  </si>
  <si>
    <t xml:space="preserve">ATGATCGACAAGGTATCGCC</t>
  </si>
  <si>
    <t xml:space="preserve">TAGTATGATCGACAAGGTATCGCC</t>
  </si>
  <si>
    <t xml:space="preserve">AAACGGCGATACCTTGTCGATCAT</t>
  </si>
  <si>
    <t xml:space="preserve">PSPPH_2293</t>
  </si>
  <si>
    <t xml:space="preserve">GCGTGCAAGAAGAGGGCGCA</t>
  </si>
  <si>
    <t xml:space="preserve">TAGTGCGTGCAAGAAGAGGGCGCA</t>
  </si>
  <si>
    <t xml:space="preserve">AAACTGCGCCCTCTTCTTGCACGC</t>
  </si>
  <si>
    <t xml:space="preserve">CAGTAATGACGGCGAATAAC</t>
  </si>
  <si>
    <t xml:space="preserve">TAGTCAGTAATGACGGCGAATAAC</t>
  </si>
  <si>
    <t xml:space="preserve">AAACGTTATTCGCCGTCATTACTG</t>
  </si>
  <si>
    <t xml:space="preserve">GCGAGCAGCCGAGCAGGGTG</t>
  </si>
  <si>
    <t xml:space="preserve">TAGTGCGAGCAGCCGAGCAGGGTG</t>
  </si>
  <si>
    <t xml:space="preserve">AAACCACCCTGCTCGGCTGCTCGC</t>
  </si>
  <si>
    <t xml:space="preserve">GCCTGGCATTCTTGGCCAGA</t>
  </si>
  <si>
    <t xml:space="preserve">TAGTGCCTGGCATTCTTGGCCAGA</t>
  </si>
  <si>
    <t xml:space="preserve">AAACTCTGGCCAAGAATGCCAGGC</t>
  </si>
  <si>
    <t xml:space="preserve">PSPPH_2295</t>
  </si>
  <si>
    <t xml:space="preserve">CTCTATATCAGATATTTGCA</t>
  </si>
  <si>
    <t xml:space="preserve">TAGTCTCTATATCAGATATTTGCA</t>
  </si>
  <si>
    <t xml:space="preserve">AAACTGCAAATATCTGATATAGAG</t>
  </si>
  <si>
    <t xml:space="preserve">GCTTCTGCTGGAAGCAATGG</t>
  </si>
  <si>
    <t xml:space="preserve">TAGTGCTTCTGCTGGAAGCAATGG</t>
  </si>
  <si>
    <t xml:space="preserve">AAACCCATTGCTTCCAGCAGAAGC</t>
  </si>
  <si>
    <t xml:space="preserve">GTCGACGCGCCGCTTCCGAC</t>
  </si>
  <si>
    <t xml:space="preserve">TAGTGTCGACGCGCCGCTTCCGAC</t>
  </si>
  <si>
    <t xml:space="preserve">AAACGTCGGAAGCGGCGCGTCGAC</t>
  </si>
  <si>
    <t xml:space="preserve">AGACGTCTGGAGATTGCCAT</t>
  </si>
  <si>
    <t xml:space="preserve">TAGTAGACGTCTGGAGATTGCCAT</t>
  </si>
  <si>
    <t xml:space="preserve">AAACATGGCAATCTCCAGACGTCT</t>
  </si>
  <si>
    <t xml:space="preserve">PSPPH_2296</t>
  </si>
  <si>
    <t xml:space="preserve">GAAATGACTCATGTCGAACG</t>
  </si>
  <si>
    <t xml:space="preserve">TAGTGAAATGACTCATGTCGAACG</t>
  </si>
  <si>
    <t xml:space="preserve">AAACCGTTCGACATGAGTCATTTC</t>
  </si>
  <si>
    <t xml:space="preserve">TCCGCGCTCACGCGTGTCAT</t>
  </si>
  <si>
    <t xml:space="preserve">TAGTTCCGCGCTCACGCGTGTCAT</t>
  </si>
  <si>
    <t xml:space="preserve">AAACATGACACGCGTGAGCGCGGA</t>
  </si>
  <si>
    <t xml:space="preserve">GATCAGGCCAAAACCACCCT</t>
  </si>
  <si>
    <t xml:space="preserve">TAGTGATCAGGCCAAAACCACCCT</t>
  </si>
  <si>
    <t xml:space="preserve">AAACAGGGTGGTTTTGGCCTGATC</t>
  </si>
  <si>
    <t xml:space="preserve">GCGATCTGTATAGTTGCCCT</t>
  </si>
  <si>
    <t xml:space="preserve">TAGTGCGATCTGTATAGTTGCCCT</t>
  </si>
  <si>
    <t xml:space="preserve">AAACAGGGCAACTATACAGATCGC</t>
  </si>
  <si>
    <t xml:space="preserve">PSPPH_2297</t>
  </si>
  <si>
    <t xml:space="preserve">GGGGTGGTCGTGTTCACTCA</t>
  </si>
  <si>
    <t xml:space="preserve">TAGTGGGGTGGTCGTGTTCACTCA</t>
  </si>
  <si>
    <t xml:space="preserve">AAACTGAGTGAACACGACCACCCC</t>
  </si>
  <si>
    <t xml:space="preserve">GACAGGTGCGTATGGCCGTG</t>
  </si>
  <si>
    <t xml:space="preserve">TAGTGACAGGTGCGTATGGCCGTG</t>
  </si>
  <si>
    <t xml:space="preserve">AAACCACGGCCATACGCACCTGTC</t>
  </si>
  <si>
    <t xml:space="preserve">GCGCTTTATAACAGCTGTGT</t>
  </si>
  <si>
    <t xml:space="preserve">TAGTGCGCTTTATAACAGCTGTGT</t>
  </si>
  <si>
    <t xml:space="preserve">AAACACACAGCTGTTATAAAGCGC</t>
  </si>
  <si>
    <t xml:space="preserve">AATGACCGCCGGCCCGTTTC</t>
  </si>
  <si>
    <t xml:space="preserve">TAGTAATGACCGCCGGCCCGTTTC</t>
  </si>
  <si>
    <t xml:space="preserve">AAACGAAACGGGCCGGCGGTCATT</t>
  </si>
  <si>
    <t xml:space="preserve">PSPPH_2298</t>
  </si>
  <si>
    <t xml:space="preserve">TGCAACAGCTCGACGAAGTT</t>
  </si>
  <si>
    <t xml:space="preserve">TAGTTGCAACAGCTCGACGAAGTT</t>
  </si>
  <si>
    <t xml:space="preserve">AAACAACTTCGTCGAGCTGTTGCA</t>
  </si>
  <si>
    <t xml:space="preserve">GGCACTGGGGAAATACAGCC</t>
  </si>
  <si>
    <t xml:space="preserve">TAGTGGCACTGGGGAAATACAGCC</t>
  </si>
  <si>
    <t xml:space="preserve">AAACGGCTGTATTTCCCCAGTGCC</t>
  </si>
  <si>
    <t xml:space="preserve">GTGCAACGCTACCAGCAGAA</t>
  </si>
  <si>
    <t xml:space="preserve">TAGTGTGCAACGCTACCAGCAGAA</t>
  </si>
  <si>
    <t xml:space="preserve">AAACTTCTGCTGGTAGCGTTGCAC</t>
  </si>
  <si>
    <t xml:space="preserve">ATCATGGTTTTTGAATGCCC</t>
  </si>
  <si>
    <t xml:space="preserve">TAGTATCATGGTTTTTGAATGCCC</t>
  </si>
  <si>
    <t xml:space="preserve">AAACGGGCATTCAAAAACCATGAT</t>
  </si>
  <si>
    <t xml:space="preserve">PSPPH_2299</t>
  </si>
  <si>
    <t xml:space="preserve">ACCGGGATTGCAAGGTGGAA</t>
  </si>
  <si>
    <t xml:space="preserve">TAGTACCGGGATTGCAAGGTGGAA</t>
  </si>
  <si>
    <t xml:space="preserve">AAACTTCCACCTTGCAATCCCGGT</t>
  </si>
  <si>
    <t xml:space="preserve">ACCGTAGAAGGCACGTGTCG</t>
  </si>
  <si>
    <t xml:space="preserve">TAGTACCGTAGAAGGCACGTGTCG</t>
  </si>
  <si>
    <t xml:space="preserve">AAACCGACACGTGCCTTCTACGGT</t>
  </si>
  <si>
    <t xml:space="preserve">CTGATCGCTGGAGCGCCCTT</t>
  </si>
  <si>
    <t xml:space="preserve">TAGTCTGATCGCTGGAGCGCCCTT</t>
  </si>
  <si>
    <t xml:space="preserve">AAACAAGGGCGCTCCAGCGATCAG</t>
  </si>
  <si>
    <t xml:space="preserve">GGTGTTCATGAATCACCAAC</t>
  </si>
  <si>
    <t xml:space="preserve">TAGTGGTGTTCATGAATCACCAAC</t>
  </si>
  <si>
    <t xml:space="preserve">AAACGTTGGTGATTCATGAACACC</t>
  </si>
  <si>
    <t xml:space="preserve">PSPPH_2300</t>
  </si>
  <si>
    <t xml:space="preserve">GTTTTCAGTTCTTTGATCAT</t>
  </si>
  <si>
    <t xml:space="preserve">TAGTGTTTTCAGTTCTTTGATCAT</t>
  </si>
  <si>
    <t xml:space="preserve">AAACATGATCAAAGAACTGAAAAC</t>
  </si>
  <si>
    <t xml:space="preserve">GAACGTGCCTTCTCTTGCCA</t>
  </si>
  <si>
    <t xml:space="preserve">TAGTGAACGTGCCTTCTCTTGCCA</t>
  </si>
  <si>
    <t xml:space="preserve">AAACTGGCAAGAGAAGGCACGTTC</t>
  </si>
  <si>
    <t xml:space="preserve">CTGCGCACTGACAGCGGCCT</t>
  </si>
  <si>
    <t xml:space="preserve">TAGTCTGCGCACTGACAGCGGCCT</t>
  </si>
  <si>
    <t xml:space="preserve">AAACAGGCCGCTGTCAGTGCGCAG</t>
  </si>
  <si>
    <t xml:space="preserve">CGACGCCCAGTTCAGCTTCA</t>
  </si>
  <si>
    <t xml:space="preserve">TAGTCGACGCCCAGTTCAGCTTCA</t>
  </si>
  <si>
    <t xml:space="preserve">AAACTGAAGCTGAACTGGGCGTCG</t>
  </si>
  <si>
    <t xml:space="preserve">PSPPH_2301</t>
  </si>
  <si>
    <t xml:space="preserve">TGGCGGCAGCGAGCGCATAA</t>
  </si>
  <si>
    <t xml:space="preserve">TAGTTGGCGGCAGCGAGCGCATAA</t>
  </si>
  <si>
    <t xml:space="preserve">AAACTTATGCGCTCGCTGCCGCCA</t>
  </si>
  <si>
    <t xml:space="preserve">CAACGTGAGATTGCTGTGTT</t>
  </si>
  <si>
    <t xml:space="preserve">TAGTCAACGTGAGATTGCTGTGTT</t>
  </si>
  <si>
    <t xml:space="preserve">AAACAACACAGCAATCTCACGTTG</t>
  </si>
  <si>
    <t xml:space="preserve">TTGGGAAACATGCAGCTCTT</t>
  </si>
  <si>
    <t xml:space="preserve">TAGTTTGGGAAACATGCAGCTCTT</t>
  </si>
  <si>
    <t xml:space="preserve">AAACAAGAGCTGCATGTTTCCCAA</t>
  </si>
  <si>
    <t xml:space="preserve">GTAATCGCCGTTGAAATTGA</t>
  </si>
  <si>
    <t xml:space="preserve">TAGTGTAATCGCCGTTGAAATTGA</t>
  </si>
  <si>
    <t xml:space="preserve">AAACTCAATTTCAACGGCGATTAC</t>
  </si>
  <si>
    <t xml:space="preserve">PSPPH_2302</t>
  </si>
  <si>
    <t xml:space="preserve">GGCAAACGAATGTTGTGTCA</t>
  </si>
  <si>
    <t xml:space="preserve">TAGTGGCAAACGAATGTTGTGTCA</t>
  </si>
  <si>
    <t xml:space="preserve">AAACTGACACAACATTCGTTTGCC</t>
  </si>
  <si>
    <t xml:space="preserve">CTCAATGTCTTCTGTCGTGA</t>
  </si>
  <si>
    <t xml:space="preserve">TAGTCTCAATGTCTTCTGTCGTGA</t>
  </si>
  <si>
    <t xml:space="preserve">AAACTCACGACAGAAGACATTGAG</t>
  </si>
  <si>
    <t xml:space="preserve">AATTGCGCCATCGCGCTGAA</t>
  </si>
  <si>
    <t xml:space="preserve">TAGTAATTGCGCCATCGCGCTGAA</t>
  </si>
  <si>
    <t xml:space="preserve">AAACTTCAGCGCGATGGCGCAATT</t>
  </si>
  <si>
    <t xml:space="preserve">AGTCGCGGAAAACGCCGCGC</t>
  </si>
  <si>
    <t xml:space="preserve">TAGTAGTCGCGGAAAACGCCGCGC</t>
  </si>
  <si>
    <t xml:space="preserve">AAACGCGCGGCGTTTTCCGCGACT</t>
  </si>
  <si>
    <t xml:space="preserve">PSPPH_2303</t>
  </si>
  <si>
    <t xml:space="preserve">CAACACAGTGAACAGGGTTA</t>
  </si>
  <si>
    <t xml:space="preserve">TAGTCAACACAGTGAACAGGGTTA</t>
  </si>
  <si>
    <t xml:space="preserve">AAACTAACCCTGTTCACTGTGTTG</t>
  </si>
  <si>
    <t xml:space="preserve">GAGCAATCAGTGTGGCGGTA</t>
  </si>
  <si>
    <t xml:space="preserve">TAGTGAGCAATCAGTGTGGCGGTA</t>
  </si>
  <si>
    <t xml:space="preserve">AAACTACCGCCACACTGATTGCTC</t>
  </si>
  <si>
    <t xml:space="preserve">GGCCTGGCTTGCAGCACTGC</t>
  </si>
  <si>
    <t xml:space="preserve">TAGTGGCCTGGCTTGCAGCACTGC</t>
  </si>
  <si>
    <t xml:space="preserve">AAACGCAGTGCTGCAAGCCAGGCC</t>
  </si>
  <si>
    <t xml:space="preserve">ACCCGACTCGCACCAACCGG</t>
  </si>
  <si>
    <t xml:space="preserve">TAGTACCCGACTCGCACCAACCGG</t>
  </si>
  <si>
    <t xml:space="preserve">AAACCCGGTTGGTGCGAGTCGGGT</t>
  </si>
  <si>
    <t xml:space="preserve">PSPPH_2305</t>
  </si>
  <si>
    <t xml:space="preserve">ACGTCACGGTCAAACGTGCG</t>
  </si>
  <si>
    <t xml:space="preserve">TAGTACGTCACGGTCAAACGTGCG</t>
  </si>
  <si>
    <t xml:space="preserve">AAACCGCACGTTTGACCGTGACGT</t>
  </si>
  <si>
    <t xml:space="preserve">GTTCGCCTTCAATTGGCTCA</t>
  </si>
  <si>
    <t xml:space="preserve">TAGTGTTCGCCTTCAATTGGCTCA</t>
  </si>
  <si>
    <t xml:space="preserve">AAACTGAGCCAATTGAAGGCGAAC</t>
  </si>
  <si>
    <t xml:space="preserve">AGCGGCGTAAAAGCTTGGCG</t>
  </si>
  <si>
    <t xml:space="preserve">TAGTAGCGGCGTAAAAGCTTGGCG</t>
  </si>
  <si>
    <t xml:space="preserve">AAACCGCCAAGCTTTTACGCCGCT</t>
  </si>
  <si>
    <t xml:space="preserve">TAACCCGGCCGTGGGTGTTG</t>
  </si>
  <si>
    <t xml:space="preserve">TAGTTAACCCGGCCGTGGGTGTTG</t>
  </si>
  <si>
    <t xml:space="preserve">AAACCAACACCCACGGCCGGGTTA</t>
  </si>
  <si>
    <t xml:space="preserve">PSPPH_2306</t>
  </si>
  <si>
    <t xml:space="preserve">AGCGCCAGCAATGCCCCGAG</t>
  </si>
  <si>
    <t xml:space="preserve">TAGTAGCGCCAGCAATGCCCCGAG</t>
  </si>
  <si>
    <t xml:space="preserve">AAACCTCGGGGCATTGCTGGCGCT</t>
  </si>
  <si>
    <t xml:space="preserve">ATCTCTGGCAGCAAACCCGC</t>
  </si>
  <si>
    <t xml:space="preserve">TAGTATCTCTGGCAGCAAACCCGC</t>
  </si>
  <si>
    <t xml:space="preserve">AAACGCGGGTTTGCTGCCAGAGAT</t>
  </si>
  <si>
    <t xml:space="preserve">CAAACGATGCCGAGACTCCC</t>
  </si>
  <si>
    <t xml:space="preserve">TAGTCAAACGATGCCGAGACTCCC</t>
  </si>
  <si>
    <t xml:space="preserve">AAACGGGAGTCTCGGCATCGTTTG</t>
  </si>
  <si>
    <t xml:space="preserve">CGTAGCGATGGTCAGCGGAA</t>
  </si>
  <si>
    <t xml:space="preserve">TAGTCGTAGCGATGGTCAGCGGAA</t>
  </si>
  <si>
    <t xml:space="preserve">AAACTTCCGCTGACCATCGCTACG</t>
  </si>
  <si>
    <t xml:space="preserve">PSPPH_2307</t>
  </si>
  <si>
    <t xml:space="preserve">GCTTCGTTGGTCTGGGAATC</t>
  </si>
  <si>
    <t xml:space="preserve">TAGTGCTTCGTTGGTCTGGGAATC</t>
  </si>
  <si>
    <t xml:space="preserve">AAACGATTCCCAGACCAACGAAGC</t>
  </si>
  <si>
    <t xml:space="preserve">TTCCAGCTTGGAGGAGGTCA</t>
  </si>
  <si>
    <t xml:space="preserve">TAGTTTCCAGCTTGGAGGAGGTCA</t>
  </si>
  <si>
    <t xml:space="preserve">AAACTGACCTCCTCCAAGCTGGAA</t>
  </si>
  <si>
    <t xml:space="preserve">CTTGGCCTGCGGCACGTGCT</t>
  </si>
  <si>
    <t xml:space="preserve">TAGTCTTGGCCTGCGGCACGTGCT</t>
  </si>
  <si>
    <t xml:space="preserve">AAACAGCACGTGCCGCAGGCCAAG</t>
  </si>
  <si>
    <t xml:space="preserve">ATCAAGCACCATCTCGCTGA</t>
  </si>
  <si>
    <t xml:space="preserve">TAGTATCAAGCACCATCTCGCTGA</t>
  </si>
  <si>
    <t xml:space="preserve">AAACTCAGCGAGATGGTGCTTGAT</t>
  </si>
  <si>
    <t xml:space="preserve">PSPPH_2309</t>
  </si>
  <si>
    <t xml:space="preserve">mexT</t>
  </si>
  <si>
    <t xml:space="preserve">GATTGAGGTCGACGCGACGC</t>
  </si>
  <si>
    <t xml:space="preserve">TAGTGATTGAGGTCGACGCGACGC</t>
  </si>
  <si>
    <t xml:space="preserve">AAACGCGTCGCGTCGACCTCAATC</t>
  </si>
  <si>
    <t xml:space="preserve">AACGCTGCGCTCATGCATCA</t>
  </si>
  <si>
    <t xml:space="preserve">TAGTAACGCTGCGCTCATGCATCA</t>
  </si>
  <si>
    <t xml:space="preserve">AAACTGATGCATGAGCGCAGCGTT</t>
  </si>
  <si>
    <t xml:space="preserve">GTGCTGCGCTGATGGCTGGC</t>
  </si>
  <si>
    <t xml:space="preserve">TAGTGTGCTGCGCTGATGGCTGGC</t>
  </si>
  <si>
    <t xml:space="preserve">AAACGCCAGCCATCAGCGCAGCAC</t>
  </si>
  <si>
    <t xml:space="preserve">CGAACAGTGGGTCGTCGAAC</t>
  </si>
  <si>
    <t xml:space="preserve">TAGTCGAACAGTGGGTCGTCGAAC</t>
  </si>
  <si>
    <t xml:space="preserve">AAACGTTCGACGACCCACTGTTCG</t>
  </si>
  <si>
    <t xml:space="preserve">PSPPH_2310</t>
  </si>
  <si>
    <t xml:space="preserve">CTGGTGAAAACGGATCGTGC</t>
  </si>
  <si>
    <t xml:space="preserve">TAGTCTGGTGAAAACGGATCGTGC</t>
  </si>
  <si>
    <t xml:space="preserve">AAACGCACGATCCGTTTTCACCAG</t>
  </si>
  <si>
    <t xml:space="preserve">CGAGCTTGAGCACCTCGGCC</t>
  </si>
  <si>
    <t xml:space="preserve">TAGTCGAGCTTGAGCACCTCGGCC</t>
  </si>
  <si>
    <t xml:space="preserve">AAACGGCCGAGGTGCTCAAGCTCG</t>
  </si>
  <si>
    <t xml:space="preserve">CCGGTAACAGGCGACGCGAC</t>
  </si>
  <si>
    <t xml:space="preserve">TAGTCCGGTAACAGGCGACGCGAC</t>
  </si>
  <si>
    <t xml:space="preserve">AAACGTCGCGTCGCCTGTTACCGG</t>
  </si>
  <si>
    <t xml:space="preserve">ACCAGCTGACACCGATGGCC</t>
  </si>
  <si>
    <t xml:space="preserve">TAGTACCAGCTGACACCGATGGCC</t>
  </si>
  <si>
    <t xml:space="preserve">AAACGGCCATCGGTGTCAGCTGGT</t>
  </si>
  <si>
    <t xml:space="preserve">PSPPH_2311</t>
  </si>
  <si>
    <t xml:space="preserve">TTCGTTGCCGTCTTCGTTTA</t>
  </si>
  <si>
    <t xml:space="preserve">TAGTTTCGTTGCCGTCTTCGTTTA</t>
  </si>
  <si>
    <t xml:space="preserve">AAACTAAACGAAGACGGCAACGAA</t>
  </si>
  <si>
    <t xml:space="preserve">TTGTACTCAGCATAAAATGC</t>
  </si>
  <si>
    <t xml:space="preserve">TAGTTTGTACTCAGCATAAAATGC</t>
  </si>
  <si>
    <t xml:space="preserve">AAACGCATTTTATGCTGAGTACAA</t>
  </si>
  <si>
    <t xml:space="preserve">CTCAAGCTTGGAGGATTGGC</t>
  </si>
  <si>
    <t xml:space="preserve">TAGTCTCAAGCTTGGAGGATTGGC</t>
  </si>
  <si>
    <t xml:space="preserve">AAACGCCAATCCTCCAAGCTTGAG</t>
  </si>
  <si>
    <t xml:space="preserve">TTTACAGGGAAACCGCTTTC</t>
  </si>
  <si>
    <t xml:space="preserve">TAGTTTTACAGGGAAACCGCTTTC</t>
  </si>
  <si>
    <t xml:space="preserve">AAACGAAAGCGGTTTCCCTGTAAA</t>
  </si>
  <si>
    <t xml:space="preserve">PSPPH_2313</t>
  </si>
  <si>
    <t xml:space="preserve">GGAAGCGGATGGCAGGGCCA</t>
  </si>
  <si>
    <t xml:space="preserve">TAGTGGAAGCGGATGGCAGGGCCA</t>
  </si>
  <si>
    <t xml:space="preserve">AAACTGGCCCTGCCATCCGCTTCC</t>
  </si>
  <si>
    <t xml:space="preserve">CGGAGATGAACTTTTTTCGA</t>
  </si>
  <si>
    <t xml:space="preserve">TAGTCGGAGATGAACTTTTTTCGA</t>
  </si>
  <si>
    <t xml:space="preserve">AAACTCGAAAAAAGTTCATCTCCG</t>
  </si>
  <si>
    <t xml:space="preserve">GGAAACAGACTGGCGTAGGT</t>
  </si>
  <si>
    <t xml:space="preserve">TAGTGGAAACAGACTGGCGTAGGT</t>
  </si>
  <si>
    <t xml:space="preserve">AAACACCTACGCCAGTCTGTTTCC</t>
  </si>
  <si>
    <t xml:space="preserve">GTGGTGTGCGCAAGGTTTTC</t>
  </si>
  <si>
    <t xml:space="preserve">TAGTGTGGTGTGCGCAAGGTTTTC</t>
  </si>
  <si>
    <t xml:space="preserve">AAACGAAAACCTTGCGCACACCAC</t>
  </si>
  <si>
    <t xml:space="preserve">PSPPH_2314</t>
  </si>
  <si>
    <t xml:space="preserve">CGTAATTCATTGCCTGTTCG</t>
  </si>
  <si>
    <t xml:space="preserve">TAGTCGTAATTCATTGCCTGTTCG</t>
  </si>
  <si>
    <t xml:space="preserve">AAACCGAACAGGCAATGAATTACG</t>
  </si>
  <si>
    <t xml:space="preserve">CAACGCCGTGCGTTCCGCAC</t>
  </si>
  <si>
    <t xml:space="preserve">TAGTCAACGCCGTGCGTTCCGCAC</t>
  </si>
  <si>
    <t xml:space="preserve">AAACGTGCGGAACGCACGGCGTTG</t>
  </si>
  <si>
    <t xml:space="preserve">CGCCACCAGCACCTTGAAAC</t>
  </si>
  <si>
    <t xml:space="preserve">TAGTCGCCACCAGCACCTTGAAAC</t>
  </si>
  <si>
    <t xml:space="preserve">AAACGTTTCAAGGTGCTGGTGGCG</t>
  </si>
  <si>
    <t xml:space="preserve">GCGCAAAAAGGCCAGCGTGT</t>
  </si>
  <si>
    <t xml:space="preserve">TAGTGCGCAAAAAGGCCAGCGTGT</t>
  </si>
  <si>
    <t xml:space="preserve">AAACACACGCTGGCCTTTTTGCGC</t>
  </si>
  <si>
    <t xml:space="preserve">PSPPH_2315</t>
  </si>
  <si>
    <t xml:space="preserve">CCAGATAGCGGTAAACCGCC</t>
  </si>
  <si>
    <t xml:space="preserve">TAGTCCAGATAGCGGTAAACCGCC</t>
  </si>
  <si>
    <t xml:space="preserve">AAACGGCGGTTTACCGCTATCTGG</t>
  </si>
  <si>
    <t xml:space="preserve">TGCGCCAGCTGTCGCAGTGA</t>
  </si>
  <si>
    <t xml:space="preserve">TAGTTGCGCCAGCTGTCGCAGTGA</t>
  </si>
  <si>
    <t xml:space="preserve">AAACTCACTGCGACAGCTGGCGCA</t>
  </si>
  <si>
    <t xml:space="preserve">CGAATAGGCGCTTTGCACCG</t>
  </si>
  <si>
    <t xml:space="preserve">TAGTCGAATAGGCGCTTTGCACCG</t>
  </si>
  <si>
    <t xml:space="preserve">AAACCGGTGCAAAGCGCCTATTCG</t>
  </si>
  <si>
    <t xml:space="preserve">GCCGAGTAATAGCCCGACTT</t>
  </si>
  <si>
    <t xml:space="preserve">TAGTGCCGAGTAATAGCCCGACTT</t>
  </si>
  <si>
    <t xml:space="preserve">AAACAAGTCGGGCTATTACTCGGC</t>
  </si>
  <si>
    <t xml:space="preserve">PSPPH_2316</t>
  </si>
  <si>
    <t xml:space="preserve">TAACAGCCTTGAATCACGTC</t>
  </si>
  <si>
    <t xml:space="preserve">TAGTTAACAGCCTTGAATCACGTC</t>
  </si>
  <si>
    <t xml:space="preserve">AAACGACGTGATTCAAGGCTGTTA</t>
  </si>
  <si>
    <t xml:space="preserve">GTAGGTTGTAAATACTGGAC</t>
  </si>
  <si>
    <t xml:space="preserve">TAGTGTAGGTTGTAAATACTGGAC</t>
  </si>
  <si>
    <t xml:space="preserve">AAACGTCCAGTATTTACAACCTAC</t>
  </si>
  <si>
    <t xml:space="preserve">GCGGTCGGGGTCACTGCGCT</t>
  </si>
  <si>
    <t xml:space="preserve">TAGTGCGGTCGGGGTCACTGCGCT</t>
  </si>
  <si>
    <t xml:space="preserve">AAACAGCGCAGTGACCCCGACCGC</t>
  </si>
  <si>
    <t xml:space="preserve">CTCGGAGTCGGGTTTTACAG</t>
  </si>
  <si>
    <t xml:space="preserve">TAGTCTCGGAGTCGGGTTTTACAG</t>
  </si>
  <si>
    <t xml:space="preserve">AAACCTGTAAAACCCGACTCCGAG</t>
  </si>
  <si>
    <t xml:space="preserve">PSPPH_2317</t>
  </si>
  <si>
    <t xml:space="preserve">pgm</t>
  </si>
  <si>
    <t xml:space="preserve">GGTGCCAGCTTGCCGGCGAA</t>
  </si>
  <si>
    <t xml:space="preserve">TAGTGGTGCCAGCTTGCCGGCGAA</t>
  </si>
  <si>
    <t xml:space="preserve">AAACTTCGCCGGCAAGCTGGCACC</t>
  </si>
  <si>
    <t xml:space="preserve">ATATCGACCAGTAACTGCGC</t>
  </si>
  <si>
    <t xml:space="preserve">TAGTATATCGACCAGTAACTGCGC</t>
  </si>
  <si>
    <t xml:space="preserve">AAACGCGCAGTTACTGGTCGATAT</t>
  </si>
  <si>
    <t xml:space="preserve">TAGTAAGCCGTGACCAGTCT</t>
  </si>
  <si>
    <t xml:space="preserve">TAGTTAGTAAGCCGTGACCAGTCT</t>
  </si>
  <si>
    <t xml:space="preserve">AAACAGACTGGTCACGGCTTACTA</t>
  </si>
  <si>
    <t xml:space="preserve">TACCGATGCATCAGGTTGAC</t>
  </si>
  <si>
    <t xml:space="preserve">TAGTTACCGATGCATCAGGTTGAC</t>
  </si>
  <si>
    <t xml:space="preserve">AAACGTCAACCTGATGCATCGGTA</t>
  </si>
  <si>
    <t xml:space="preserve">PSPPH_2318</t>
  </si>
  <si>
    <t xml:space="preserve">ppiC1</t>
  </si>
  <si>
    <t xml:space="preserve">CACCAGAATATGGCGGGCTT</t>
  </si>
  <si>
    <t xml:space="preserve">TAGTCACCAGAATATGGCGGGCTT</t>
  </si>
  <si>
    <t xml:space="preserve">AAACAAGCCCGCCATATTCTGGTG</t>
  </si>
  <si>
    <t xml:space="preserve">GAGCTGTTCGGCCTCTTCGG</t>
  </si>
  <si>
    <t xml:space="preserve">TAGTGAGCTGTTCGGCCTCTTCGG</t>
  </si>
  <si>
    <t xml:space="preserve">AAACCCGAAGAGGCCGAACAGCTC</t>
  </si>
  <si>
    <t xml:space="preserve">CACGTCAAACGCCTCACCCT</t>
  </si>
  <si>
    <t xml:space="preserve">TAGTCACGTCAAACGCCTCACCCT</t>
  </si>
  <si>
    <t xml:space="preserve">AAACAGGGTGAGGCGTTTGACGTG</t>
  </si>
  <si>
    <t xml:space="preserve">CACCGCCACGTTTGCCGGAC</t>
  </si>
  <si>
    <t xml:space="preserve">TAGTCACCGCCACGTTTGCCGGAC</t>
  </si>
  <si>
    <t xml:space="preserve">AAACGTCCGGCAAACGTGGCGGTG</t>
  </si>
  <si>
    <t xml:space="preserve">PSPPH_2319</t>
  </si>
  <si>
    <t xml:space="preserve">GCCAGAATCTTCAACAGCGC</t>
  </si>
  <si>
    <t xml:space="preserve">TAGTGCCAGAATCTTCAACAGCGC</t>
  </si>
  <si>
    <t xml:space="preserve">AAACGCGCTGTTGAAGATTCTGGC</t>
  </si>
  <si>
    <t xml:space="preserve">CAGGTCCGATCCGTCCTGAC</t>
  </si>
  <si>
    <t xml:space="preserve">TAGTCAGGTCCGATCCGTCCTGAC</t>
  </si>
  <si>
    <t xml:space="preserve">AAACGTCAGGACGGATCGGACCTG</t>
  </si>
  <si>
    <t xml:space="preserve">GGCGCACGGAGGCGCTCCGG</t>
  </si>
  <si>
    <t xml:space="preserve">TAGTGGCGCACGGAGGCGCTCCGG</t>
  </si>
  <si>
    <t xml:space="preserve">AAACCCGGAGCGCCTCCGTGCGCC</t>
  </si>
  <si>
    <t xml:space="preserve">CTTGAGCACGCCGTTGAACT</t>
  </si>
  <si>
    <t xml:space="preserve">TAGTCTTGAGCACGCCGTTGAACT</t>
  </si>
  <si>
    <t xml:space="preserve">AAACAGTTCAACGGCGTGCTCAAG</t>
  </si>
  <si>
    <t xml:space="preserve">PSPPH_2320</t>
  </si>
  <si>
    <t xml:space="preserve">CGAATTTCGATCAGGTTTTC</t>
  </si>
  <si>
    <t xml:space="preserve">TAGTCGAATTTCGATCAGGTTTTC</t>
  </si>
  <si>
    <t xml:space="preserve">AAACGAAAACCTGATCGAAATTCG</t>
  </si>
  <si>
    <t xml:space="preserve">GCCCGCTGAACGCAACGCTC</t>
  </si>
  <si>
    <t xml:space="preserve">TAGTGCCCGCTGAACGCAACGCTC</t>
  </si>
  <si>
    <t xml:space="preserve">AAACGAGCGTTGCGTTCAGCGGGC</t>
  </si>
  <si>
    <t xml:space="preserve">ATTCACCGCGGCGTACGTCC</t>
  </si>
  <si>
    <t xml:space="preserve">TAGTATTCACCGCGGCGTACGTCC</t>
  </si>
  <si>
    <t xml:space="preserve">AAACGGACGTACGCCGCGGTGAAT</t>
  </si>
  <si>
    <t xml:space="preserve">CAGGATCGAGTGCGCAGTGA</t>
  </si>
  <si>
    <t xml:space="preserve">TAGTCAGGATCGAGTGCGCAGTGA</t>
  </si>
  <si>
    <t xml:space="preserve">AAACTCACTGCGCACTCGATCCTG</t>
  </si>
  <si>
    <t xml:space="preserve">PSPPH_2321</t>
  </si>
  <si>
    <t xml:space="preserve">GGCGACGGGCCAGCGGCGAG</t>
  </si>
  <si>
    <t xml:space="preserve">TAGTGGCGACGGGCCAGCGGCGAG</t>
  </si>
  <si>
    <t xml:space="preserve">AAACCTCGCCGCTGGCCCGTCGCC</t>
  </si>
  <si>
    <t xml:space="preserve">TGCTGCGAAAGCGCTCCAGA</t>
  </si>
  <si>
    <t xml:space="preserve">TAGTTGCTGCGAAAGCGCTCCAGA</t>
  </si>
  <si>
    <t xml:space="preserve">AAACTCTGGAGCGCTTTCGCAGCA</t>
  </si>
  <si>
    <t xml:space="preserve">GCCAAAGTGACCACCAGCCT</t>
  </si>
  <si>
    <t xml:space="preserve">TAGTGCCAAAGTGACCACCAGCCT</t>
  </si>
  <si>
    <t xml:space="preserve">AAACAGGCTGGTGGTCACTTTGGC</t>
  </si>
  <si>
    <t xml:space="preserve">CAGCTCACCGCCCAGAGTCA</t>
  </si>
  <si>
    <t xml:space="preserve">TAGTCAGCTCACCGCCCAGAGTCA</t>
  </si>
  <si>
    <t xml:space="preserve">AAACTGACTCTGGGCGGTGAGCTG</t>
  </si>
  <si>
    <t xml:space="preserve">PSPPH_2322</t>
  </si>
  <si>
    <t xml:space="preserve">GCAAAATGCACAGCAGAGTA</t>
  </si>
  <si>
    <t xml:space="preserve">TAGTGCAAAATGCACAGCAGAGTA</t>
  </si>
  <si>
    <t xml:space="preserve">AAACTACTCTGCTGTGCATTTTGC</t>
  </si>
  <si>
    <t xml:space="preserve">TTCGACAGGGCCGCCCGGCG</t>
  </si>
  <si>
    <t xml:space="preserve">TAGTTTCGACAGGGCCGCCCGGCG</t>
  </si>
  <si>
    <t xml:space="preserve">AAACCGCCGGGCGGCCCTGTCGAA</t>
  </si>
  <si>
    <t xml:space="preserve">TTCGCTCGCCCCCGCGCCCA</t>
  </si>
  <si>
    <t xml:space="preserve">TAGTTTCGCTCGCCCCCGCGCCCA</t>
  </si>
  <si>
    <t xml:space="preserve">AAACTGGGCGCGGGGGCGAGCGAA</t>
  </si>
  <si>
    <t xml:space="preserve">CGCTCGGGAGTGTCCGGCAT</t>
  </si>
  <si>
    <t xml:space="preserve">TAGTCGCTCGGGAGTGTCCGGCAT</t>
  </si>
  <si>
    <t xml:space="preserve">AAACATGCCGGACACTCCCGAGCG</t>
  </si>
  <si>
    <t xml:space="preserve">PSPPH_2323</t>
  </si>
  <si>
    <t xml:space="preserve">GCCAACGAAGGTCAGCGTCA</t>
  </si>
  <si>
    <t xml:space="preserve">TAGTGCCAACGAAGGTCAGCGTCA</t>
  </si>
  <si>
    <t xml:space="preserve">AAACTGACGCTGACCTTCGTTGGC</t>
  </si>
  <si>
    <t xml:space="preserve">TAAACGGTCAGTGCGTGTTG</t>
  </si>
  <si>
    <t xml:space="preserve">TAGTTAAACGGTCAGTGCGTGTTG</t>
  </si>
  <si>
    <t xml:space="preserve">AAACCAACACGCACTGACCGTTTA</t>
  </si>
  <si>
    <t xml:space="preserve">GAAGTCGGCAGGGTAGCGCG</t>
  </si>
  <si>
    <t xml:space="preserve">TAGTGAAGTCGGCAGGGTAGCGCG</t>
  </si>
  <si>
    <t xml:space="preserve">AAACCGCGCTACCCTGCCGACTTC</t>
  </si>
  <si>
    <t xml:space="preserve">TGCCGCCTTTCGGGGCGTCC</t>
  </si>
  <si>
    <t xml:space="preserve">TAGTTGCCGCCTTTCGGGGCGTCC</t>
  </si>
  <si>
    <t xml:space="preserve">AAACGGACGCCCCGAAAGGCGGCA</t>
  </si>
  <si>
    <t xml:space="preserve">PSPPH_2324</t>
  </si>
  <si>
    <t xml:space="preserve">ppiC2</t>
  </si>
  <si>
    <t xml:space="preserve">CGGGCAGTGGCTTTAGCCAT</t>
  </si>
  <si>
    <t xml:space="preserve">TAGTCGGGCAGTGGCTTTAGCCAT</t>
  </si>
  <si>
    <t xml:space="preserve">AAACATGGCTAAAGCCACTGCCCG</t>
  </si>
  <si>
    <t xml:space="preserve">CGCTCGAAACAAGGATGTGG</t>
  </si>
  <si>
    <t xml:space="preserve">TAGTCGCTCGAAACAAGGATGTGG</t>
  </si>
  <si>
    <t xml:space="preserve">AAACCCACATCCTTGTTTCGAGCG</t>
  </si>
  <si>
    <t xml:space="preserve">TGGGCAGCTGGAGTTGGCCT</t>
  </si>
  <si>
    <t xml:space="preserve">TAGTTGGGCAGCTGGAGTTGGCCT</t>
  </si>
  <si>
    <t xml:space="preserve">AAACAGGCCAACTCCAGCTGCCCA</t>
  </si>
  <si>
    <t xml:space="preserve">TCACCGCCCTGACGGCTGGA</t>
  </si>
  <si>
    <t xml:space="preserve">TAGTTCACCGCCCTGACGGCTGGA</t>
  </si>
  <si>
    <t xml:space="preserve">AAACTCCAGCCGTCAGGGCGGTGA</t>
  </si>
  <si>
    <t xml:space="preserve">PSPPH_2325</t>
  </si>
  <si>
    <t xml:space="preserve">GTCGGACGGTTTTACGGCAA</t>
  </si>
  <si>
    <t xml:space="preserve">TAGTGTCGGACGGTTTTACGGCAA</t>
  </si>
  <si>
    <t xml:space="preserve">AAACTTGCCGTAAAACCGTCCGAC</t>
  </si>
  <si>
    <t xml:space="preserve">GAGCAACGGCATGGCTGGAC</t>
  </si>
  <si>
    <t xml:space="preserve">TAGTGAGCAACGGCATGGCTGGAC</t>
  </si>
  <si>
    <t xml:space="preserve">AAACGTCCAGCCATGCCGTTGCTC</t>
  </si>
  <si>
    <t xml:space="preserve">CGGGCAGACGTTTTGAGGAG</t>
  </si>
  <si>
    <t xml:space="preserve">TAGTCGGGCAGACGTTTTGAGGAG</t>
  </si>
  <si>
    <t xml:space="preserve">AAACCTCCTCAAAACGTCTGCCCG</t>
  </si>
  <si>
    <t xml:space="preserve">CATTTTCAGTTCAAGCGTGC</t>
  </si>
  <si>
    <t xml:space="preserve">TAGTCATTTTCAGTTCAAGCGTGC</t>
  </si>
  <si>
    <t xml:space="preserve">AAACGCACGCTTGAACTGAAAATG</t>
  </si>
  <si>
    <t xml:space="preserve">PSPPH_2326</t>
  </si>
  <si>
    <t xml:space="preserve">TGTGCGGCGGTGCGTATTCC</t>
  </si>
  <si>
    <t xml:space="preserve">TAGTTGTGCGGCGGTGCGTATTCC</t>
  </si>
  <si>
    <t xml:space="preserve">AAACGGAATACGCACCGCCGCACA</t>
  </si>
  <si>
    <t xml:space="preserve">CTGTTGTTCGAGCCAGGCCT</t>
  </si>
  <si>
    <t xml:space="preserve">TAGTCTGTTGTTCGAGCCAGGCCT</t>
  </si>
  <si>
    <t xml:space="preserve">AAACAGGCCTGGCTCGAACAACAG</t>
  </si>
  <si>
    <t xml:space="preserve">AGCACCTGGTAAGTTGTCGC</t>
  </si>
  <si>
    <t xml:space="preserve">TAGTAGCACCTGGTAAGTTGTCGC</t>
  </si>
  <si>
    <t xml:space="preserve">AAACGCGACAACTTACCAGGTGCT</t>
  </si>
  <si>
    <t xml:space="preserve">CACCGCGCCTGCCTTTCTTG</t>
  </si>
  <si>
    <t xml:space="preserve">TAGTCACCGCGCCTGCCTTTCTTG</t>
  </si>
  <si>
    <t xml:space="preserve">AAACCAAGAAAGGCAGGCGCGGTG</t>
  </si>
  <si>
    <t xml:space="preserve">PSPPH_2327</t>
  </si>
  <si>
    <t xml:space="preserve">AACTCCCCCTATTTCACCGA</t>
  </si>
  <si>
    <t xml:space="preserve">TAGTAACTCCCCCTATTTCACCGA</t>
  </si>
  <si>
    <t xml:space="preserve">AAACTCGGTGAAATAGGGGGAGTT</t>
  </si>
  <si>
    <t xml:space="preserve">ACCATTTTCATACTTTCCCT</t>
  </si>
  <si>
    <t xml:space="preserve">TAGTACCATTTTCATACTTTCCCT</t>
  </si>
  <si>
    <t xml:space="preserve">AAACAGGGAAAGTATGAAAATGGT</t>
  </si>
  <si>
    <t xml:space="preserve">GCAGCCAGGTAATCGGCCTT</t>
  </si>
  <si>
    <t xml:space="preserve">TAGTGCAGCCAGGTAATCGGCCTT</t>
  </si>
  <si>
    <t xml:space="preserve">AAACAAGGCCGATTACCTGGCTGC</t>
  </si>
  <si>
    <t xml:space="preserve">ATAGAGCACATCCACACCTT</t>
  </si>
  <si>
    <t xml:space="preserve">TAGTATAGAGCACATCCACACCTT</t>
  </si>
  <si>
    <t xml:space="preserve">AAACAAGGTGTGGATGTGCTCTAT</t>
  </si>
  <si>
    <t xml:space="preserve">PSPPH_2328</t>
  </si>
  <si>
    <t xml:space="preserve">gacA</t>
  </si>
  <si>
    <t xml:space="preserve">TGCCTGTCCGGACAAGATCA</t>
  </si>
  <si>
    <t xml:space="preserve">TAGTTGCCTGTCCGGACAAGATCA</t>
  </si>
  <si>
    <t xml:space="preserve">AAACTGATCTTGTCCGGACAGGCA</t>
  </si>
  <si>
    <t xml:space="preserve">AACCTGCAGACCGTCTATGT</t>
  </si>
  <si>
    <t xml:space="preserve">TAGTAACCTGCAGACCGTCTATGT</t>
  </si>
  <si>
    <t xml:space="preserve">AAACACATAGACGGTCTGCAGGTT</t>
  </si>
  <si>
    <t xml:space="preserve">CTTCTTCAGTGATTCCTCGC</t>
  </si>
  <si>
    <t xml:space="preserve">TAGTCTTCTTCAGTGATTCCTCGC</t>
  </si>
  <si>
    <t xml:space="preserve">AAACGCGAGGAATCACTGAAGAAG</t>
  </si>
  <si>
    <t xml:space="preserve">ACGTCCATGAGTACAACGTC</t>
  </si>
  <si>
    <t xml:space="preserve">TAGTACGTCCATGAGTACAACGTC</t>
  </si>
  <si>
    <t xml:space="preserve">AAACGACGTTGTACTCATGGACGT</t>
  </si>
  <si>
    <t xml:space="preserve">PSPPH_2329</t>
  </si>
  <si>
    <t xml:space="preserve">uvrC</t>
  </si>
  <si>
    <t xml:space="preserve">TGCACTTGGATCGAAAGTCT</t>
  </si>
  <si>
    <t xml:space="preserve">TAGTTGCACTTGGATCGAAAGTCT</t>
  </si>
  <si>
    <t xml:space="preserve">AAACAGACTTTCGATCCAAGTGCA</t>
  </si>
  <si>
    <t xml:space="preserve">GACGCCGGGACGACCGCTAC</t>
  </si>
  <si>
    <t xml:space="preserve">TAGTGACGCCGGGACGACCGCTAC</t>
  </si>
  <si>
    <t xml:space="preserve">AAACGTAGCGGTCGTCCCGGCGTC</t>
  </si>
  <si>
    <t xml:space="preserve">TGGCTTCGGCGTCGAACATA</t>
  </si>
  <si>
    <t xml:space="preserve">TAGTTGGCTTCGGCGTCGAACATA</t>
  </si>
  <si>
    <t xml:space="preserve">AAACTATGTTCGACGCCGAAGCCA</t>
  </si>
  <si>
    <t xml:space="preserve">CTTGCCGACGTAAAGCAGTG</t>
  </si>
  <si>
    <t xml:space="preserve">TAGTCTTGCCGACGTAAAGCAGTG</t>
  </si>
  <si>
    <t xml:space="preserve">AAACCACTGCTTTACGTCGGCAAG</t>
  </si>
  <si>
    <t xml:space="preserve">PSPPH_2330</t>
  </si>
  <si>
    <t xml:space="preserve">pgsA</t>
  </si>
  <si>
    <t xml:space="preserve">ATCAGATTAGGGATATTCAT</t>
  </si>
  <si>
    <t xml:space="preserve">TAGTATCAGATTAGGGATATTCAT</t>
  </si>
  <si>
    <t xml:space="preserve">AAACATGAATATCCCTAATCTGAT</t>
  </si>
  <si>
    <t xml:space="preserve">AATCAATAAAACGCGTAGTA</t>
  </si>
  <si>
    <t xml:space="preserve">TAGTAATCAATAAAACGCGTAGTA</t>
  </si>
  <si>
    <t xml:space="preserve">AAACTACTACGCGTTTTATTGATT</t>
  </si>
  <si>
    <t xml:space="preserve">TAGAACAGCAAAATGAAGAT</t>
  </si>
  <si>
    <t xml:space="preserve">TAGTTAGAACAGCAAAATGAAGAT</t>
  </si>
  <si>
    <t xml:space="preserve">AAACATCTTCATTTTGCTGTTCTA</t>
  </si>
  <si>
    <t xml:space="preserve">GCCATGTAGCTCCAGTGATA</t>
  </si>
  <si>
    <t xml:space="preserve">TAGTGCCATGTAGCTCCAGTGATA</t>
  </si>
  <si>
    <t xml:space="preserve">AAACTATCACTGGAGCTACATGGC</t>
  </si>
  <si>
    <t xml:space="preserve">PSPPH_2332</t>
  </si>
  <si>
    <t xml:space="preserve">GCCAGTGTCGATACCCGGCT</t>
  </si>
  <si>
    <t xml:space="preserve">TAGTGCCAGTGTCGATACCCGGCT</t>
  </si>
  <si>
    <t xml:space="preserve">AAACAGCCGGGTATCGACACTGGC</t>
  </si>
  <si>
    <t xml:space="preserve">CAGGCGGCATCGTTATTGGC</t>
  </si>
  <si>
    <t xml:space="preserve">TAGTCAGGCGGCATCGTTATTGGC</t>
  </si>
  <si>
    <t xml:space="preserve">AAACGCCAATAACGATGCCGCCTG</t>
  </si>
  <si>
    <t xml:space="preserve">PSPPH_2333</t>
  </si>
  <si>
    <t xml:space="preserve">GCGATAAACAGTTTGCAGAA</t>
  </si>
  <si>
    <t xml:space="preserve">TAGTGCGATAAACAGTTTGCAGAA</t>
  </si>
  <si>
    <t xml:space="preserve">AAACTTCTGCAAACTGTTTATCGC</t>
  </si>
  <si>
    <t xml:space="preserve">GCTGGAAACCAGTAACAGCA</t>
  </si>
  <si>
    <t xml:space="preserve">TAGTGCTGGAAACCAGTAACAGCA</t>
  </si>
  <si>
    <t xml:space="preserve">AAACTGCTGTTACTGGTTTCCAGC</t>
  </si>
  <si>
    <t xml:space="preserve">GGTAACTCGCAGCAGCCCAT</t>
  </si>
  <si>
    <t xml:space="preserve">TAGTGGTAACTCGCAGCAGCCCAT</t>
  </si>
  <si>
    <t xml:space="preserve">AAACATGGGCTGCTGCGAGTTACC</t>
  </si>
  <si>
    <t xml:space="preserve">TGGCGATCGTGACGCCAATT</t>
  </si>
  <si>
    <t xml:space="preserve">TAGTTGGCGATCGTGACGCCAATT</t>
  </si>
  <si>
    <t xml:space="preserve">AAACAATTGGCGTCACGATCGCCA</t>
  </si>
  <si>
    <t xml:space="preserve">PSPPH_2334</t>
  </si>
  <si>
    <t xml:space="preserve">GAAACGTTCATGACAGGTCT</t>
  </si>
  <si>
    <t xml:space="preserve">TAGTGAAACGTTCATGACAGGTCT</t>
  </si>
  <si>
    <t xml:space="preserve">AAACAGACCTGTCATGAACGTTTC</t>
  </si>
  <si>
    <t xml:space="preserve">CAAGCTCTCGTGAAAAGCGC</t>
  </si>
  <si>
    <t xml:space="preserve">TAGTCAAGCTCTCGTGAAAAGCGC</t>
  </si>
  <si>
    <t xml:space="preserve">AAACGCGCTTTTCACGAGAGCTTG</t>
  </si>
  <si>
    <t xml:space="preserve">PSPPH_2335</t>
  </si>
  <si>
    <t xml:space="preserve">GACCGCTAATGTGAACGGTA</t>
  </si>
  <si>
    <t xml:space="preserve">TAGTGACCGCTAATGTGAACGGTA</t>
  </si>
  <si>
    <t xml:space="preserve">AAACTACCGTTCACATTAGCGGTC</t>
  </si>
  <si>
    <t xml:space="preserve">TAAATCCAGGAACACCATCT</t>
  </si>
  <si>
    <t xml:space="preserve">TAGTTAAATCCAGGAACACCATCT</t>
  </si>
  <si>
    <t xml:space="preserve">AAACAGATGGTGTTCCTGGATTTA</t>
  </si>
  <si>
    <t xml:space="preserve">CGCCTGACACGCTCGGTGAA</t>
  </si>
  <si>
    <t xml:space="preserve">TAGTCGCCTGACACGCTCGGTGAA</t>
  </si>
  <si>
    <t xml:space="preserve">AAACTTCACCGAGCGTGTCAGGCG</t>
  </si>
  <si>
    <t xml:space="preserve">ATTGGCCCAGCTCCATATTT</t>
  </si>
  <si>
    <t xml:space="preserve">TAGTATTGGCCCAGCTCCATATTT</t>
  </si>
  <si>
    <t xml:space="preserve">AAACAAATATGGAGCTGGGCCAAT</t>
  </si>
  <si>
    <t xml:space="preserve">PSPPH_2336</t>
  </si>
  <si>
    <t xml:space="preserve">CGGCGCCAATCAGACCAAGG</t>
  </si>
  <si>
    <t xml:space="preserve">TAGTCGGCGCCAATCAGACCAAGG</t>
  </si>
  <si>
    <t xml:space="preserve">AAACCCTTGGTCTGATTGGCGCCG</t>
  </si>
  <si>
    <t xml:space="preserve">GTGGAAGCTGCCCATGCGAC</t>
  </si>
  <si>
    <t xml:space="preserve">TAGTGTGGAAGCTGCCCATGCGAC</t>
  </si>
  <si>
    <t xml:space="preserve">AAACGTCGCATGGGCAGCTTCCAC</t>
  </si>
  <si>
    <t xml:space="preserve">GAATATGGTGGGCGGCGGTC</t>
  </si>
  <si>
    <t xml:space="preserve">TAGTGAATATGGTGGGCGGCGGTC</t>
  </si>
  <si>
    <t xml:space="preserve">AAACGACCGCCGCCCACCATATTC</t>
  </si>
  <si>
    <t xml:space="preserve">ATGGCCGCAAGGCAGGCACC</t>
  </si>
  <si>
    <t xml:space="preserve">TAGTATGGCCGCAAGGCAGGCACC</t>
  </si>
  <si>
    <t xml:space="preserve">AAACGGTGCCTGCCTTGCGGCCAT</t>
  </si>
  <si>
    <t xml:space="preserve">PSPPH_2337</t>
  </si>
  <si>
    <t xml:space="preserve">GCCTGCTCCAGTTCGGGTAT</t>
  </si>
  <si>
    <t xml:space="preserve">TAGTGCCTGCTCCAGTTCGGGTAT</t>
  </si>
  <si>
    <t xml:space="preserve">AAACATACCCGAACTGGAGCAGGC</t>
  </si>
  <si>
    <t xml:space="preserve">GCCACTCAGGCGCGCCCGCC</t>
  </si>
  <si>
    <t xml:space="preserve">TAGTGCCACTCAGGCGCGCCCGCC</t>
  </si>
  <si>
    <t xml:space="preserve">AAACGGCGGGCGCGCCTGAGTGGC</t>
  </si>
  <si>
    <t xml:space="preserve">ATAACCTTCCTGACCGTCGC</t>
  </si>
  <si>
    <t xml:space="preserve">TAGTATAACCTTCCTGACCGTCGC</t>
  </si>
  <si>
    <t xml:space="preserve">AAACGCGACGGTCAGGAAGGTTAT</t>
  </si>
  <si>
    <t xml:space="preserve">GCCTGCGATGCTGCGTCCCC</t>
  </si>
  <si>
    <t xml:space="preserve">TAGTGCCTGCGATGCTGCGTCCCC</t>
  </si>
  <si>
    <t xml:space="preserve">AAACGGGGACGCAGCATCGCAGGC</t>
  </si>
  <si>
    <t xml:space="preserve">PSPPH_2338</t>
  </si>
  <si>
    <t xml:space="preserve">CGGCAACAGTCGCGATGGTG</t>
  </si>
  <si>
    <t xml:space="preserve">TAGTCGGCAACAGTCGCGATGGTG</t>
  </si>
  <si>
    <t xml:space="preserve">AAACCACCATCGCGACTGTTGCCG</t>
  </si>
  <si>
    <t xml:space="preserve">GACACTCAAGCCTGCCTGCG</t>
  </si>
  <si>
    <t xml:space="preserve">TAGTGACACTCAAGCCTGCCTGCG</t>
  </si>
  <si>
    <t xml:space="preserve">AAACCGCAGGCAGGCTTGAGTGTC</t>
  </si>
  <si>
    <t xml:space="preserve">AGCGGGGTTTACCGGAGCGC</t>
  </si>
  <si>
    <t xml:space="preserve">TAGTAGCGGGGTTTACCGGAGCGC</t>
  </si>
  <si>
    <t xml:space="preserve">AAACGCGCTCCGGTAAACCCCGCT</t>
  </si>
  <si>
    <t xml:space="preserve">CGCGGCCTTCAGCACCTGCT</t>
  </si>
  <si>
    <t xml:space="preserve">TAGTCGCGGCCTTCAGCACCTGCT</t>
  </si>
  <si>
    <t xml:space="preserve">AAACAGCAGGTGCTGAAGGCCGCG</t>
  </si>
  <si>
    <t xml:space="preserve">PSPPH_2339</t>
  </si>
  <si>
    <t xml:space="preserve">TGACAGGCTGCAGTGTCTTG</t>
  </si>
  <si>
    <t xml:space="preserve">TAGTTGACAGGCTGCAGTGTCTTG</t>
  </si>
  <si>
    <t xml:space="preserve">AAACCAAGACACTGCAGCCTGTCA</t>
  </si>
  <si>
    <t xml:space="preserve">TGCACGGGCAGCTTCGGGGC</t>
  </si>
  <si>
    <t xml:space="preserve">TAGTTGCACGGGCAGCTTCGGGGC</t>
  </si>
  <si>
    <t xml:space="preserve">AAACGCCCCGAAGCTGCCCGTGCA</t>
  </si>
  <si>
    <t xml:space="preserve">GGTACCACTCGGCAGATACC</t>
  </si>
  <si>
    <t xml:space="preserve">TAGTGGTACCACTCGGCAGATACC</t>
  </si>
  <si>
    <t xml:space="preserve">AAACGGTATCTGCCGAGTGGTACC</t>
  </si>
  <si>
    <t xml:space="preserve">GTTGACGAGAGATGGGCGAC</t>
  </si>
  <si>
    <t xml:space="preserve">TAGTGTTGACGAGAGATGGGCGAC</t>
  </si>
  <si>
    <t xml:space="preserve">AAACGTCGCCCATCTCTCGTCAAC</t>
  </si>
  <si>
    <t xml:space="preserve">PSPPH_2340</t>
  </si>
  <si>
    <t xml:space="preserve">ATCAATCCATTGATTGTTCA</t>
  </si>
  <si>
    <t xml:space="preserve">TAGTATCAATCCATTGATTGTTCA</t>
  </si>
  <si>
    <t xml:space="preserve">AAACTGAACAATCAATGGATTGAT</t>
  </si>
  <si>
    <t xml:space="preserve">TTCTTCATCAATTTCGCCCA</t>
  </si>
  <si>
    <t xml:space="preserve">TAGTTTCTTCATCAATTTCGCCCA</t>
  </si>
  <si>
    <t xml:space="preserve">AAACTGGGCGAAATTGATGAAGAA</t>
  </si>
  <si>
    <t xml:space="preserve">GGTATACGGCATAGGTATGC</t>
  </si>
  <si>
    <t xml:space="preserve">TAGTGGTATACGGCATAGGTATGC</t>
  </si>
  <si>
    <t xml:space="preserve">AAACGCATACCTATGCCGTATACC</t>
  </si>
  <si>
    <t xml:space="preserve">AAAATTCGTTGTCGGCGGAA</t>
  </si>
  <si>
    <t xml:space="preserve">TAGTAAAATTCGTTGTCGGCGGAA</t>
  </si>
  <si>
    <t xml:space="preserve">AAACTTCCGCCGACAACGAATTTT</t>
  </si>
  <si>
    <t xml:space="preserve">PSPPH_2341</t>
  </si>
  <si>
    <t xml:space="preserve">GATAATCAATGGAGCATTCA</t>
  </si>
  <si>
    <t xml:space="preserve">TAGTGATAATCAATGGAGCATTCA</t>
  </si>
  <si>
    <t xml:space="preserve">AAACTGAATGCTCCATTGATTATC</t>
  </si>
  <si>
    <t xml:space="preserve">CGCGCAAGGTCAGCGCTGCA</t>
  </si>
  <si>
    <t xml:space="preserve">TAGTCGCGCAAGGTCAGCGCTGCA</t>
  </si>
  <si>
    <t xml:space="preserve">AAACTGCAGCGCTGACCTTGCGCG</t>
  </si>
  <si>
    <t xml:space="preserve">GCCGATCAGTATCAGTCGGC</t>
  </si>
  <si>
    <t xml:space="preserve">TAGTGCCGATCAGTATCAGTCGGC</t>
  </si>
  <si>
    <t xml:space="preserve">AAACGCCGACTGATACTGATCGGC</t>
  </si>
  <si>
    <t xml:space="preserve">CTCATACGGCACGTGCGGCT</t>
  </si>
  <si>
    <t xml:space="preserve">TAGTCTCATACGGCACGTGCGGCT</t>
  </si>
  <si>
    <t xml:space="preserve">AAACAGCCGCACGTGCCGTATGAG</t>
  </si>
  <si>
    <t xml:space="preserve">PSPPH_2342</t>
  </si>
  <si>
    <t xml:space="preserve">CTGGCCACGATGGTCCTGCA</t>
  </si>
  <si>
    <t xml:space="preserve">TAGTCTGGCCACGATGGTCCTGCA</t>
  </si>
  <si>
    <t xml:space="preserve">AAACTGCAGGACCATCGTGGCCAG</t>
  </si>
  <si>
    <t xml:space="preserve">CCAGTTGCGCCTCCATGGGA</t>
  </si>
  <si>
    <t xml:space="preserve">TAGTCCAGTTGCGCCTCCATGGGA</t>
  </si>
  <si>
    <t xml:space="preserve">AAACTCCCATGGAGGCGCAACTGG</t>
  </si>
  <si>
    <t xml:space="preserve">GATCCCGTCAAAGCCGGCGG</t>
  </si>
  <si>
    <t xml:space="preserve">TAGTGATCCCGTCAAAGCCGGCGG</t>
  </si>
  <si>
    <t xml:space="preserve">AAACCCGCCGGCTTTGACGGGATC</t>
  </si>
  <si>
    <t xml:space="preserve">GGGGGCATGCAAGTAATGGT</t>
  </si>
  <si>
    <t xml:space="preserve">TAGTGGGGGCATGCAAGTAATGGT</t>
  </si>
  <si>
    <t xml:space="preserve">AAACACCATTACTTGCATGCCCCC</t>
  </si>
  <si>
    <t xml:space="preserve">PSPPH_2343</t>
  </si>
  <si>
    <t xml:space="preserve">TTTCAATAACCTGATCACGC</t>
  </si>
  <si>
    <t xml:space="preserve">TAGTTTTCAATAACCTGATCACGC</t>
  </si>
  <si>
    <t xml:space="preserve">AAACGCGTGATCAGGTTATTGAAA</t>
  </si>
  <si>
    <t xml:space="preserve">TAGTCGGGCTCGGGGATTGA</t>
  </si>
  <si>
    <t xml:space="preserve">TAGTTAGTCGGGCTCGGGGATTGA</t>
  </si>
  <si>
    <t xml:space="preserve">AAACTCAATCCCCGAGCCCGACTA</t>
  </si>
  <si>
    <t xml:space="preserve">TTCAAAGGTACTGCCCGTGA</t>
  </si>
  <si>
    <t xml:space="preserve">TAGTTTCAAAGGTACTGCCCGTGA</t>
  </si>
  <si>
    <t xml:space="preserve">AAACTCACGGGCAGTACCTTTGAA</t>
  </si>
  <si>
    <t xml:space="preserve">PSPPH_2344</t>
  </si>
  <si>
    <t xml:space="preserve">AAAAACCAATAACAACAGCC</t>
  </si>
  <si>
    <t xml:space="preserve">TAGTAAAAACCAATAACAACAGCC</t>
  </si>
  <si>
    <t xml:space="preserve">AAACGGCTGTTGTTATTGGTTTTT</t>
  </si>
  <si>
    <t xml:space="preserve">ATACGGCGACGGCTCGTGAC</t>
  </si>
  <si>
    <t xml:space="preserve">TAGTATACGGCGACGGCTCGTGAC</t>
  </si>
  <si>
    <t xml:space="preserve">AAACGTCACGAGCCGTCGCCGTAT</t>
  </si>
  <si>
    <t xml:space="preserve">CCCGAGCTGTCCTGTTTGTT</t>
  </si>
  <si>
    <t xml:space="preserve">TAGTCCCGAGCTGTCCTGTTTGTT</t>
  </si>
  <si>
    <t xml:space="preserve">AAACAACAAACAGGACAGCTCGGG</t>
  </si>
  <si>
    <t xml:space="preserve">ACTGACGTCGAGTACTTGAA</t>
  </si>
  <si>
    <t xml:space="preserve">TAGTACTGACGTCGAGTACTTGAA</t>
  </si>
  <si>
    <t xml:space="preserve">AAACTTCAAGTACTCGACGTCAGT</t>
  </si>
  <si>
    <t xml:space="preserve">PSPPH_2346</t>
  </si>
  <si>
    <t xml:space="preserve">TCATAGGGTTTGGCGACAGT</t>
  </si>
  <si>
    <t xml:space="preserve">TAGTTCATAGGGTTTGGCGACAGT</t>
  </si>
  <si>
    <t xml:space="preserve">AAACACTGTCGCCAAACCCTATGA</t>
  </si>
  <si>
    <t xml:space="preserve">CTGGCGCAGCGGGTAACGGC</t>
  </si>
  <si>
    <t xml:space="preserve">TAGTCTGGCGCAGCGGGTAACGGC</t>
  </si>
  <si>
    <t xml:space="preserve">AAACGCCGTTACCCGCTGCGCCAG</t>
  </si>
  <si>
    <t xml:space="preserve">TGATCGGTGGTTGTGCTACC</t>
  </si>
  <si>
    <t xml:space="preserve">TAGTTGATCGGTGGTTGTGCTACC</t>
  </si>
  <si>
    <t xml:space="preserve">AAACGGTAGCACAACCACCGATCA</t>
  </si>
  <si>
    <t xml:space="preserve">CAGCGACCGGGATGCCGGGC</t>
  </si>
  <si>
    <t xml:space="preserve">TAGTCAGCGACCGGGATGCCGGGC</t>
  </si>
  <si>
    <t xml:space="preserve">AAACGCCCGGCATCCCGGTCGCTG</t>
  </si>
  <si>
    <t xml:space="preserve">PSPPH_2347</t>
  </si>
  <si>
    <t xml:space="preserve">CCCTGCGCGCACGGGTGCAG</t>
  </si>
  <si>
    <t xml:space="preserve">TAGTCCCTGCGCGCACGGGTGCAG</t>
  </si>
  <si>
    <t xml:space="preserve">AAACCTGCACCCGTGCGCGCAGGG</t>
  </si>
  <si>
    <t xml:space="preserve">CAAAGCGTTTGCCCACGCCC</t>
  </si>
  <si>
    <t xml:space="preserve">TAGTCAAAGCGTTTGCCCACGCCC</t>
  </si>
  <si>
    <t xml:space="preserve">AAACGGGCGTGGGCAAACGCTTTG</t>
  </si>
  <si>
    <t xml:space="preserve">CAATGTCCTTGAGCACCTGC</t>
  </si>
  <si>
    <t xml:space="preserve">TAGTCAATGTCCTTGAGCACCTGC</t>
  </si>
  <si>
    <t xml:space="preserve">AAACGCAGGTGCTCAAGGACATTG</t>
  </si>
  <si>
    <t xml:space="preserve">CCTTGCCCGGTTCAATGCTC</t>
  </si>
  <si>
    <t xml:space="preserve">TAGTCCTTGCCCGGTTCAATGCTC</t>
  </si>
  <si>
    <t xml:space="preserve">AAACGAGCATTGAACCGGGCAAGG</t>
  </si>
  <si>
    <t xml:space="preserve">PSPPH_2349</t>
  </si>
  <si>
    <t xml:space="preserve">GCCACCTACCGCAGCAATGC</t>
  </si>
  <si>
    <t xml:space="preserve">TAGTGCCACCTACCGCAGCAATGC</t>
  </si>
  <si>
    <t xml:space="preserve">AAACGCATTGCTGCGGTAGGTGGC</t>
  </si>
  <si>
    <t xml:space="preserve">TTTGGCCGCCGGTGTGATGA</t>
  </si>
  <si>
    <t xml:space="preserve">TAGTTTTGGCCGCCGGTGTGATGA</t>
  </si>
  <si>
    <t xml:space="preserve">AAACTCATCACACCGGCGGCCAAA</t>
  </si>
  <si>
    <t xml:space="preserve">AGCCCGCTTCCGAGTTTCAG</t>
  </si>
  <si>
    <t xml:space="preserve">TAGTAGCCCGCTTCCGAGTTTCAG</t>
  </si>
  <si>
    <t xml:space="preserve">AAACCTGAAACTCGGAAGCGGGCT</t>
  </si>
  <si>
    <t xml:space="preserve">AGTCACCAGCCCGGCGATTC</t>
  </si>
  <si>
    <t xml:space="preserve">TAGTAGTCACCAGCCCGGCGATTC</t>
  </si>
  <si>
    <t xml:space="preserve">AAACGAATCGCCGGGCTGGTGACT</t>
  </si>
  <si>
    <t xml:space="preserve">PSPPH_2351</t>
  </si>
  <si>
    <t xml:space="preserve">hopV1</t>
  </si>
  <si>
    <t xml:space="preserve">TGCGCTGCATCCAGTCGCAT</t>
  </si>
  <si>
    <t xml:space="preserve">TAGTTGCGCTGCATCCAGTCGCAT</t>
  </si>
  <si>
    <t xml:space="preserve">AAACATGCGACTGGATGCAGCGCA</t>
  </si>
  <si>
    <t xml:space="preserve">GGCGCGTCCATCGGTGGCAG</t>
  </si>
  <si>
    <t xml:space="preserve">TAGTGGCGCGTCCATCGGTGGCAG</t>
  </si>
  <si>
    <t xml:space="preserve">AAACCTGCCACCGATGGACGCGCC</t>
  </si>
  <si>
    <t xml:space="preserve">GCTCGTAGGCGTAACGACGA</t>
  </si>
  <si>
    <t xml:space="preserve">TAGTGCTCGTAGGCGTAACGACGA</t>
  </si>
  <si>
    <t xml:space="preserve">AAACTCGTCGTTACGCCTACGAGC</t>
  </si>
  <si>
    <t xml:space="preserve">TTCTCCACCTGACGATGTGC</t>
  </si>
  <si>
    <t xml:space="preserve">TAGTTTCTCCACCTGACGATGTGC</t>
  </si>
  <si>
    <t xml:space="preserve">AAACGCACATCGTCAGGTGGAGAA</t>
  </si>
  <si>
    <t xml:space="preserve">PSPPH_2352</t>
  </si>
  <si>
    <t xml:space="preserve">shcV</t>
  </si>
  <si>
    <t xml:space="preserve">AAGCAGCTTTTGCAGAGTGG</t>
  </si>
  <si>
    <t xml:space="preserve">TAGTAAGCAGCTTTTGCAGAGTGG</t>
  </si>
  <si>
    <t xml:space="preserve">AAACCCACTCTGCAAAAGCTGCTT</t>
  </si>
  <si>
    <t xml:space="preserve">CTGTGTCGCAGAATTTCCGT</t>
  </si>
  <si>
    <t xml:space="preserve">TAGTCTGTGTCGCAGAATTTCCGT</t>
  </si>
  <si>
    <t xml:space="preserve">AAACACGGAAATTCTGCGACACAG</t>
  </si>
  <si>
    <t xml:space="preserve">CATTCCTTCCTGCCACTGTA</t>
  </si>
  <si>
    <t xml:space="preserve">TAGTCATTCCTTCCTGCCACTGTA</t>
  </si>
  <si>
    <t xml:space="preserve">AAACTACAGTGGCAGGAAGGAATG</t>
  </si>
  <si>
    <t xml:space="preserve">CGCCGTTCACATGCAGCGTG</t>
  </si>
  <si>
    <t xml:space="preserve">TAGTCGCCGTTCACATGCAGCGTG</t>
  </si>
  <si>
    <t xml:space="preserve">AAACCACGCTGCATGTGAACGGCG</t>
  </si>
  <si>
    <t xml:space="preserve">PSPPH_2353</t>
  </si>
  <si>
    <t xml:space="preserve">xylH</t>
  </si>
  <si>
    <t xml:space="preserve">GGGTGAAGAACTGTTTGACC</t>
  </si>
  <si>
    <t xml:space="preserve">TAGTGGGTGAAGAACTGTTTGACC</t>
  </si>
  <si>
    <t xml:space="preserve">AAACGGTCAAACAGTTCTTCACCC</t>
  </si>
  <si>
    <t xml:space="preserve">CAGCGCAAGCATTTTGTAGC</t>
  </si>
  <si>
    <t xml:space="preserve">TAGTCAGCGCAAGCATTTTGTAGC</t>
  </si>
  <si>
    <t xml:space="preserve">AAACGCTACAAAATGCTTGCGCTG</t>
  </si>
  <si>
    <t xml:space="preserve">GAACAGCCAGATCACTGCGA</t>
  </si>
  <si>
    <t xml:space="preserve">TAGTGAACAGCCAGATCACTGCGA</t>
  </si>
  <si>
    <t xml:space="preserve">AAACTCGCAGTGATCTGGCTGTTC</t>
  </si>
  <si>
    <t xml:space="preserve">CGGGGTCAGAAACCCTCCAT</t>
  </si>
  <si>
    <t xml:space="preserve">TAGTCGGGGTCAGAAACCCTCCAT</t>
  </si>
  <si>
    <t xml:space="preserve">AAACATGGAGGGTTTCTGACCCCG</t>
  </si>
  <si>
    <t xml:space="preserve">PSPPH_2354</t>
  </si>
  <si>
    <t xml:space="preserve">xylG</t>
  </si>
  <si>
    <t xml:space="preserve">TTGCAACAGATAGTCGGACA</t>
  </si>
  <si>
    <t xml:space="preserve">TAGTTTGCAACAGATAGTCGGACA</t>
  </si>
  <si>
    <t xml:space="preserve">AAACTGTCCGACTATCTGTTGCAA</t>
  </si>
  <si>
    <t xml:space="preserve">CAGGGCTTTGACGCCGTCAA</t>
  </si>
  <si>
    <t xml:space="preserve">TAGTCAGGGCTTTGACGCCGTCAA</t>
  </si>
  <si>
    <t xml:space="preserve">AAACTTGACGGCGTCAAAGCCCTG</t>
  </si>
  <si>
    <t xml:space="preserve">GGCCGACGCATTCACCGGGC</t>
  </si>
  <si>
    <t xml:space="preserve">TAGTGGCCGACGCATTCACCGGGC</t>
  </si>
  <si>
    <t xml:space="preserve">AAACGCCCGGTGAATGCGTCGGCC</t>
  </si>
  <si>
    <t xml:space="preserve">CCGTGCCGTTTTCGCCGCAC</t>
  </si>
  <si>
    <t xml:space="preserve">TAGTCCGTGCCGTTTTCGCCGCAC</t>
  </si>
  <si>
    <t xml:space="preserve">AAACGTGCGGCGAAAACGGCACGG</t>
  </si>
  <si>
    <t xml:space="preserve">PSPPH_2356</t>
  </si>
  <si>
    <t xml:space="preserve">xylA</t>
  </si>
  <si>
    <t xml:space="preserve">TTGTCGACGGCGGGGAAGTA</t>
  </si>
  <si>
    <t xml:space="preserve">TAGTTTGTCGACGGCGGGGAAGTA</t>
  </si>
  <si>
    <t xml:space="preserve">AAACTACTTCCCCGCCGTCGACAA</t>
  </si>
  <si>
    <t xml:space="preserve">CAAGGGGCGAGTCGCTGTCA</t>
  </si>
  <si>
    <t xml:space="preserve">TAGTCAAGGGGCGAGTCGCTGTCA</t>
  </si>
  <si>
    <t xml:space="preserve">AAACTGACAGCGACTCGCCCCTTG</t>
  </si>
  <si>
    <t xml:space="preserve">GTCGGCATCGTAGTGACGAA</t>
  </si>
  <si>
    <t xml:space="preserve">TAGTGTCGGCATCGTAGTGACGAA</t>
  </si>
  <si>
    <t xml:space="preserve">AAACTTCGTCACTACGATGCCGAC</t>
  </si>
  <si>
    <t xml:space="preserve">ATGCGCAAATGCTCGCGCAT</t>
  </si>
  <si>
    <t xml:space="preserve">TAGTATGCGCAAATGCTCGCGCAT</t>
  </si>
  <si>
    <t xml:space="preserve">AAACATGCGCGAGCATTTGCGCAT</t>
  </si>
  <si>
    <t xml:space="preserve">PSPPH_2357</t>
  </si>
  <si>
    <t xml:space="preserve">xylR</t>
  </si>
  <si>
    <t xml:space="preserve">TTCCTCCAGAAACAGATCCC</t>
  </si>
  <si>
    <t xml:space="preserve">TAGTTTCCTCCAGAAACAGATCCC</t>
  </si>
  <si>
    <t xml:space="preserve">AAACGGGATCTGTTTCTGGAGGAA</t>
  </si>
  <si>
    <t xml:space="preserve">GCCAACGCTCGATGCCTTTC</t>
  </si>
  <si>
    <t xml:space="preserve">TAGTGCCAACGCTCGATGCCTTTC</t>
  </si>
  <si>
    <t xml:space="preserve">AAACGAAAGGCATCGAGCGTTGGC</t>
  </si>
  <si>
    <t xml:space="preserve">AATCAGCGGGTCGTCGAAGT</t>
  </si>
  <si>
    <t xml:space="preserve">TAGTAATCAGCGGGTCGTCGAAGT</t>
  </si>
  <si>
    <t xml:space="preserve">AAACACTTCGACGACCCGCTGATT</t>
  </si>
  <si>
    <t xml:space="preserve">GAACCGCCTACCGCCACCAC</t>
  </si>
  <si>
    <t xml:space="preserve">TAGTGAACCGCCTACCGCCACCAC</t>
  </si>
  <si>
    <t xml:space="preserve">AAACGTGGTGGCGGTAGGCGGTTC</t>
  </si>
  <si>
    <t xml:space="preserve">PSPPH_2358</t>
  </si>
  <si>
    <t xml:space="preserve">TCCATACTGTTTCACGGTAT</t>
  </si>
  <si>
    <t xml:space="preserve">TAGTTCCATACTGTTTCACGGTAT</t>
  </si>
  <si>
    <t xml:space="preserve">AAACATACCGTGAAACAGTATGGA</t>
  </si>
  <si>
    <t xml:space="preserve">TAAAGATGATCTCGATGATC</t>
  </si>
  <si>
    <t xml:space="preserve">TAGTTAAAGATGATCTCGATGATC</t>
  </si>
  <si>
    <t xml:space="preserve">AAACGATCATCGAGATCATCTTTA</t>
  </si>
  <si>
    <t xml:space="preserve">CGCCGCCAGCGCCGTTGTGG</t>
  </si>
  <si>
    <t xml:space="preserve">TAGTCGCCGCCAGCGCCGTTGTGG</t>
  </si>
  <si>
    <t xml:space="preserve">AAACCCACAACGGCGCTGGCGGCG</t>
  </si>
  <si>
    <t xml:space="preserve">GACGCAGATCAACCATGTGT</t>
  </si>
  <si>
    <t xml:space="preserve">TAGTGACGCAGATCAACCATGTGT</t>
  </si>
  <si>
    <t xml:space="preserve">AAACACACATGGTTGATCTGCGTC</t>
  </si>
  <si>
    <t xml:space="preserve">PSPPH_2359</t>
  </si>
  <si>
    <t xml:space="preserve">AAACAGTTCAGCGTTCCTTC</t>
  </si>
  <si>
    <t xml:space="preserve">TAGTAAACAGTTCAGCGTTCCTTC</t>
  </si>
  <si>
    <t xml:space="preserve">AAACGAAGGAACGCTGAACTGTTT</t>
  </si>
  <si>
    <t xml:space="preserve">CATTCGCCGAATCGCGCTGT</t>
  </si>
  <si>
    <t xml:space="preserve">TAGTCATTCGCCGAATCGCGCTGT</t>
  </si>
  <si>
    <t xml:space="preserve">AAACACAGCGCGATTCGGCGAATG</t>
  </si>
  <si>
    <t xml:space="preserve">GCTCGTGGCCTTCGATGAAA</t>
  </si>
  <si>
    <t xml:space="preserve">TAGTGCTCGTGGCCTTCGATGAAA</t>
  </si>
  <si>
    <t xml:space="preserve">AAACTTTCATCGAAGGCCACGAGC</t>
  </si>
  <si>
    <t xml:space="preserve">AGATAGATGTCGTCGGAGAA</t>
  </si>
  <si>
    <t xml:space="preserve">TAGTAGATAGATGTCGTCGGAGAA</t>
  </si>
  <si>
    <t xml:space="preserve">AAACTTCTCCGACGACATCTATCT</t>
  </si>
  <si>
    <t xml:space="preserve">PSPPH_2360</t>
  </si>
  <si>
    <t xml:space="preserve">GGCAGCGTAATAATGTTTCA</t>
  </si>
  <si>
    <t xml:space="preserve">TAGTGGCAGCGTAATAATGTTTCA</t>
  </si>
  <si>
    <t xml:space="preserve">AAACTGAAACATTATTACGCTGCC</t>
  </si>
  <si>
    <t xml:space="preserve">CAGTGCAAGGGCAAGTAATG</t>
  </si>
  <si>
    <t xml:space="preserve">TAGTCAGTGCAAGGGCAAGTAATG</t>
  </si>
  <si>
    <t xml:space="preserve">AAACCATTACTTGCCCTTGCACTG</t>
  </si>
  <si>
    <t xml:space="preserve">TCGCCAGCGTGAGCAGCACC</t>
  </si>
  <si>
    <t xml:space="preserve">TAGTTCGCCAGCGTGAGCAGCACC</t>
  </si>
  <si>
    <t xml:space="preserve">AAACGGTGCTGCTCACGCTGGCGA</t>
  </si>
  <si>
    <t xml:space="preserve">TCAACGCCTGGACGATAGCG</t>
  </si>
  <si>
    <t xml:space="preserve">TAGTTCAACGCCTGGACGATAGCG</t>
  </si>
  <si>
    <t xml:space="preserve">AAACCGCTATCGTCCAGGCGTTGA</t>
  </si>
  <si>
    <t xml:space="preserve">PSPPH_2361</t>
  </si>
  <si>
    <t xml:space="preserve">AAAGCAGGCGGAGGTCCGCG</t>
  </si>
  <si>
    <t xml:space="preserve">TAGTAAAGCAGGCGGAGGTCCGCG</t>
  </si>
  <si>
    <t xml:space="preserve">AAACCGCGGACCTCCGCCTGCTTT</t>
  </si>
  <si>
    <t xml:space="preserve">TCGTCACCCAGCGCAATCCC</t>
  </si>
  <si>
    <t xml:space="preserve">TAGTTCGTCACCCAGCGCAATCCC</t>
  </si>
  <si>
    <t xml:space="preserve">AAACGGGATTGCGCTGGGTGACGA</t>
  </si>
  <si>
    <t xml:space="preserve">GCGGGTTTTCTCGACCGCCA</t>
  </si>
  <si>
    <t xml:space="preserve">TAGTGCGGGTTTTCTCGACCGCCA</t>
  </si>
  <si>
    <t xml:space="preserve">AAACTGGCGGTCGAGAAAACCCGC</t>
  </si>
  <si>
    <t xml:space="preserve">GGCAAGCATTTTGGCCACGG</t>
  </si>
  <si>
    <t xml:space="preserve">TAGTGGCAAGCATTTTGGCCACGG</t>
  </si>
  <si>
    <t xml:space="preserve">AAACCCGTGGCCAAAATGCTTGCC</t>
  </si>
  <si>
    <t xml:space="preserve">PSPPH_2362</t>
  </si>
  <si>
    <t xml:space="preserve">TTAAAAATCGGGACGGCATC</t>
  </si>
  <si>
    <t xml:space="preserve">TAGTTTAAAAATCGGGACGGCATC</t>
  </si>
  <si>
    <t xml:space="preserve">AAACGATGCCGTCCCGATTTTTAA</t>
  </si>
  <si>
    <t xml:space="preserve">CCTAATGCACGCAGGCGGGT</t>
  </si>
  <si>
    <t xml:space="preserve">TAGTCCTAATGCACGCAGGCGGGT</t>
  </si>
  <si>
    <t xml:space="preserve">AAACACCCGCCTGCGTGCATTAGG</t>
  </si>
  <si>
    <t xml:space="preserve">TGCCGTCGCGACAAGGCTGG</t>
  </si>
  <si>
    <t xml:space="preserve">TAGTTGCCGTCGCGACAAGGCTGG</t>
  </si>
  <si>
    <t xml:space="preserve">AAACCCAGCCTTGTCGCGACGGCA</t>
  </si>
  <si>
    <t xml:space="preserve">CGAAGGTACATCGCTGTCAT</t>
  </si>
  <si>
    <t xml:space="preserve">TAGTCGAAGGTACATCGCTGTCAT</t>
  </si>
  <si>
    <t xml:space="preserve">AAACATGACAGCGATGTACCTTCG</t>
  </si>
  <si>
    <t xml:space="preserve">PSPPH_2363</t>
  </si>
  <si>
    <t xml:space="preserve">GTCTGCAATCGCTGCTCTCA</t>
  </si>
  <si>
    <t xml:space="preserve">TAGTGTCTGCAATCGCTGCTCTCA</t>
  </si>
  <si>
    <t xml:space="preserve">AAACTGAGAGCAGCGATTGCAGAC</t>
  </si>
  <si>
    <t xml:space="preserve">ACTGATACCCTGCAAGTGCA</t>
  </si>
  <si>
    <t xml:space="preserve">TAGTACTGATACCCTGCAAGTGCA</t>
  </si>
  <si>
    <t xml:space="preserve">AAACTGCACTTGCAGGGTATCAGT</t>
  </si>
  <si>
    <t xml:space="preserve">GACCCCATCCAGTGCCTGAG</t>
  </si>
  <si>
    <t xml:space="preserve">TAGTGACCCCATCCAGTGCCTGAG</t>
  </si>
  <si>
    <t xml:space="preserve">AAACCTCAGGCACTGGATGGGGTC</t>
  </si>
  <si>
    <t xml:space="preserve">TCGTTCCGGCCTCGACCCGC</t>
  </si>
  <si>
    <t xml:space="preserve">TAGTTCGTTCCGGCCTCGACCCGC</t>
  </si>
  <si>
    <t xml:space="preserve">AAACGCGGGTCGAGGCCGGAACGA</t>
  </si>
  <si>
    <t xml:space="preserve">PSPPH_2364</t>
  </si>
  <si>
    <t xml:space="preserve">CGTACCAGCCAGCGTTGCGA</t>
  </si>
  <si>
    <t xml:space="preserve">TAGTCGTACCAGCCAGCGTTGCGA</t>
  </si>
  <si>
    <t xml:space="preserve">AAACTCGCAACGCTGGCTGGTACG</t>
  </si>
  <si>
    <t xml:space="preserve">TTGCCGATGCTGAGAAAGTT</t>
  </si>
  <si>
    <t xml:space="preserve">TAGTTTGCCGATGCTGAGAAAGTT</t>
  </si>
  <si>
    <t xml:space="preserve">AAACAACTTTCTCAGCATCGGCAA</t>
  </si>
  <si>
    <t xml:space="preserve">TATGCCCAGCACGGCTGACT</t>
  </si>
  <si>
    <t xml:space="preserve">TAGTTATGCCCAGCACGGCTGACT</t>
  </si>
  <si>
    <t xml:space="preserve">AAACAGTCAGCCGTGCTGGGCATA</t>
  </si>
  <si>
    <t xml:space="preserve">CACCGATAACCACACATGTC</t>
  </si>
  <si>
    <t xml:space="preserve">TAGTCACCGATAACCACACATGTC</t>
  </si>
  <si>
    <t xml:space="preserve">AAACGACATGTGTGGTTATCGGTG</t>
  </si>
  <si>
    <t xml:space="preserve">PSPPH_2365</t>
  </si>
  <si>
    <t xml:space="preserve">CAGTGTTGAAGAAGTGTTCA</t>
  </si>
  <si>
    <t xml:space="preserve">TAGTCAGTGTTGAAGAAGTGTTCA</t>
  </si>
  <si>
    <t xml:space="preserve">AAACTGAACACTTCTTCAACACTG</t>
  </si>
  <si>
    <t xml:space="preserve">CCGCAGGCAAAAGGCGCGGC</t>
  </si>
  <si>
    <t xml:space="preserve">TAGTCCGCAGGCAAAAGGCGCGGC</t>
  </si>
  <si>
    <t xml:space="preserve">AAACGCCGCGCCTTTTGCCTGCGG</t>
  </si>
  <si>
    <t xml:space="preserve">AGGATGATCAGCACCAACAG</t>
  </si>
  <si>
    <t xml:space="preserve">TAGTAGGATGATCAGCACCAACAG</t>
  </si>
  <si>
    <t xml:space="preserve">AAACCTGTTGGTGCTGATCATCCT</t>
  </si>
  <si>
    <t xml:space="preserve">CATTGATGGCGAAAAACAGC</t>
  </si>
  <si>
    <t xml:space="preserve">TAGTCATTGATGGCGAAAAACAGC</t>
  </si>
  <si>
    <t xml:space="preserve">AAACGCTGTTTTTCGCCATCAATG</t>
  </si>
  <si>
    <t xml:space="preserve">PSPPH_2366</t>
  </si>
  <si>
    <t xml:space="preserve">CAGCGAGAGAGGGTTTGAGC</t>
  </si>
  <si>
    <t xml:space="preserve">TAGTCAGCGAGAGAGGGTTTGAGC</t>
  </si>
  <si>
    <t xml:space="preserve">AAACGCTCAAACCCTCTCTCGCTG</t>
  </si>
  <si>
    <t xml:space="preserve">GTTGGCCAGAGTTTCGTAAT</t>
  </si>
  <si>
    <t xml:space="preserve">TAGTGTTGGCCAGAGTTTCGTAAT</t>
  </si>
  <si>
    <t xml:space="preserve">AAACATTACGAAACTCTGGCCAAC</t>
  </si>
  <si>
    <t xml:space="preserve">CGCGGAAAATCGGCCGGAAC</t>
  </si>
  <si>
    <t xml:space="preserve">TAGTCGCGGAAAATCGGCCGGAAC</t>
  </si>
  <si>
    <t xml:space="preserve">AAACGTTCCGGCCGATTTTCCGCG</t>
  </si>
  <si>
    <t xml:space="preserve">CGGTTCATAGGGCAGGGCGC</t>
  </si>
  <si>
    <t xml:space="preserve">TAGTCGGTTCATAGGGCAGGGCGC</t>
  </si>
  <si>
    <t xml:space="preserve">AAACGCGCCCTGCCCTATGAACCG</t>
  </si>
  <si>
    <t xml:space="preserve">PSPPH_2367</t>
  </si>
  <si>
    <t xml:space="preserve">GCCTGCTGTAGCAGCGCCTG</t>
  </si>
  <si>
    <t xml:space="preserve">TAGTGCCTGCTGTAGCAGCGCCTG</t>
  </si>
  <si>
    <t xml:space="preserve">AAACCAGGCGCTGCTACAGCAGGC</t>
  </si>
  <si>
    <t xml:space="preserve">GCAAGGCCGTCTGTTCAGGG</t>
  </si>
  <si>
    <t xml:space="preserve">TAGTGCAAGGCCGTCTGTTCAGGG</t>
  </si>
  <si>
    <t xml:space="preserve">AAACCCCTGAACAGACGGCCTTGC</t>
  </si>
  <si>
    <t xml:space="preserve">AGCCAAGCTTCTGACGTCAA</t>
  </si>
  <si>
    <t xml:space="preserve">TAGTAGCCAAGCTTCTGACGTCAA</t>
  </si>
  <si>
    <t xml:space="preserve">AAACTTGACGTCAGAAGCTTGGCT</t>
  </si>
  <si>
    <t xml:space="preserve">GCCGAACCCGACGCCCTTCA</t>
  </si>
  <si>
    <t xml:space="preserve">TAGTGCCGAACCCGACGCCCTTCA</t>
  </si>
  <si>
    <t xml:space="preserve">AAACTGAAGGGCGTCGGGTTCGGC</t>
  </si>
  <si>
    <t xml:space="preserve">PSPPH_2368</t>
  </si>
  <si>
    <t xml:space="preserve">TCAAGTTCCAACAGCGCCAC</t>
  </si>
  <si>
    <t xml:space="preserve">TAGTTCAAGTTCCAACAGCGCCAC</t>
  </si>
  <si>
    <t xml:space="preserve">AAACGTGGCGCTGTTGGAACTTGA</t>
  </si>
  <si>
    <t xml:space="preserve">TTTAACCCCTTTGAAAGATA</t>
  </si>
  <si>
    <t xml:space="preserve">TAGTTTTAACCCCTTTGAAAGATA</t>
  </si>
  <si>
    <t xml:space="preserve">AAACTATCTTTCAAAGGGGTTAAA</t>
  </si>
  <si>
    <t xml:space="preserve">AGCCACCGAGAAACTGATTG</t>
  </si>
  <si>
    <t xml:space="preserve">TAGTAGCCACCGAGAAACTGATTG</t>
  </si>
  <si>
    <t xml:space="preserve">AAACCAATCAGTTTCTCGGTGGCT</t>
  </si>
  <si>
    <t xml:space="preserve">AACTCTTGCCCGCACCATTG</t>
  </si>
  <si>
    <t xml:space="preserve">TAGTAACTCTTGCCCGCACCATTG</t>
  </si>
  <si>
    <t xml:space="preserve">AAACCAATGGTGCGGGCAAGAGTT</t>
  </si>
  <si>
    <t xml:space="preserve">PSPPH_2369</t>
  </si>
  <si>
    <t xml:space="preserve">CACTTCAAAGAAGAATTCCA</t>
  </si>
  <si>
    <t xml:space="preserve">TAGTCACTTCAAAGAAGAATTCCA</t>
  </si>
  <si>
    <t xml:space="preserve">AAACTGGAATTCTTCTTTGAAGTG</t>
  </si>
  <si>
    <t xml:space="preserve">ATGGCACACCCCGCTCCAGC</t>
  </si>
  <si>
    <t xml:space="preserve">TAGTATGGCACACCCCGCTCCAGC</t>
  </si>
  <si>
    <t xml:space="preserve">AAACGCTGGAGCGGGGTGTGCCAT</t>
  </si>
  <si>
    <t xml:space="preserve">TCGGTGGACGATTGACCAGT</t>
  </si>
  <si>
    <t xml:space="preserve">TAGTTCGGTGGACGATTGACCAGT</t>
  </si>
  <si>
    <t xml:space="preserve">AAACACTGGTCAATCGTCCACCGA</t>
  </si>
  <si>
    <t xml:space="preserve">CATGTACGACAGGCCAAGGG</t>
  </si>
  <si>
    <t xml:space="preserve">TAGTCATGTACGACAGGCCAAGGG</t>
  </si>
  <si>
    <t xml:space="preserve">AAACCCCTTGGCCTGTCGTACATG</t>
  </si>
  <si>
    <t xml:space="preserve">PSPPH_2370</t>
  </si>
  <si>
    <t xml:space="preserve">TCCGGTTTCTCGATAAAGCA</t>
  </si>
  <si>
    <t xml:space="preserve">TAGTTCCGGTTTCTCGATAAAGCA</t>
  </si>
  <si>
    <t xml:space="preserve">AAACTGCTTTATCGAGAAACCGGA</t>
  </si>
  <si>
    <t xml:space="preserve">CCTGGCGCAGACGAAACACC</t>
  </si>
  <si>
    <t xml:space="preserve">TAGTCCTGGCGCAGACGAAACACC</t>
  </si>
  <si>
    <t xml:space="preserve">AAACGGTGTTTCGTCTGCGCCAGG</t>
  </si>
  <si>
    <t xml:space="preserve">ACAGGCTCCACAGTCCGATG</t>
  </si>
  <si>
    <t xml:space="preserve">TAGTACAGGCTCCACAGTCCGATG</t>
  </si>
  <si>
    <t xml:space="preserve">AAACCATCGGACTGTGGAGCCTGT</t>
  </si>
  <si>
    <t xml:space="preserve">CAGTAATCGTTACCCAGCAA</t>
  </si>
  <si>
    <t xml:space="preserve">TAGTCAGTAATCGTTACCCAGCAA</t>
  </si>
  <si>
    <t xml:space="preserve">AAACTTGCTGGGTAACGATTACTG</t>
  </si>
  <si>
    <t xml:space="preserve">PSPPH_2371</t>
  </si>
  <si>
    <t xml:space="preserve">AGGGATTTTCGGTGTTTCAT</t>
  </si>
  <si>
    <t xml:space="preserve">TAGTAGGGATTTTCGGTGTTTCAT</t>
  </si>
  <si>
    <t xml:space="preserve">AAACATGAAACACCGAAAATCCCT</t>
  </si>
  <si>
    <t xml:space="preserve">TACCGAGGGCCAGACGCAAC</t>
  </si>
  <si>
    <t xml:space="preserve">TAGTTACCGAGGGCCAGACGCAAC</t>
  </si>
  <si>
    <t xml:space="preserve">AAACGTTGCGTCTGGCCCTCGGTA</t>
  </si>
  <si>
    <t xml:space="preserve">AGCCAGGCCACACCCCAGCA</t>
  </si>
  <si>
    <t xml:space="preserve">TAGTAGCCAGGCCACACCCCAGCA</t>
  </si>
  <si>
    <t xml:space="preserve">AAACTGCTGGGGTGTGGCCTGGCT</t>
  </si>
  <si>
    <t xml:space="preserve">CTCGTTGGCAGCCTGTGCCG</t>
  </si>
  <si>
    <t xml:space="preserve">TAGTCTCGTTGGCAGCCTGTGCCG</t>
  </si>
  <si>
    <t xml:space="preserve">AAACCGGCACAGGCTGCCAACGAG</t>
  </si>
  <si>
    <t xml:space="preserve">PSPPH_2372</t>
  </si>
  <si>
    <t xml:space="preserve">GCATGCGGGATCAGGCTCAT</t>
  </si>
  <si>
    <t xml:space="preserve">TAGTGCATGCGGGATCAGGCTCAT</t>
  </si>
  <si>
    <t xml:space="preserve">AAACATGAGCCTGATCCCGCATGC</t>
  </si>
  <si>
    <t xml:space="preserve">GACAGAATGGTTTCGGCAGC</t>
  </si>
  <si>
    <t xml:space="preserve">TAGTGACAGAATGGTTTCGGCAGC</t>
  </si>
  <si>
    <t xml:space="preserve">AAACGCTGCCGAAACCATTCTGTC</t>
  </si>
  <si>
    <t xml:space="preserve">GATCCCGCGCAACGCGAGGA</t>
  </si>
  <si>
    <t xml:space="preserve">TAGTGATCCCGCGCAACGCGAGGA</t>
  </si>
  <si>
    <t xml:space="preserve">AAACTCCTCGCGTTGCGCGGGATC</t>
  </si>
  <si>
    <t xml:space="preserve">CGCGCCATTGGCCCCCAGCA</t>
  </si>
  <si>
    <t xml:space="preserve">TAGTCGCGCCATTGGCCCCCAGCA</t>
  </si>
  <si>
    <t xml:space="preserve">AAACTGCTGGGGGCCAATGGCGCG</t>
  </si>
  <si>
    <t xml:space="preserve">PSPPH_2373</t>
  </si>
  <si>
    <t xml:space="preserve">ATTGAGAGTGGGTTACTCAT</t>
  </si>
  <si>
    <t xml:space="preserve">TAGTATTGAGAGTGGGTTACTCAT</t>
  </si>
  <si>
    <t xml:space="preserve">AAACATGAGTAACCCACTCTCAAT</t>
  </si>
  <si>
    <t xml:space="preserve">GCTCTGGGCGGTGCTGCAGG</t>
  </si>
  <si>
    <t xml:space="preserve">TAGTGCTCTGGGCGGTGCTGCAGG</t>
  </si>
  <si>
    <t xml:space="preserve">AAACCCTGCAGCACCGCCCAGAGC</t>
  </si>
  <si>
    <t xml:space="preserve">GACTTCGATGGCTTCGGCAT</t>
  </si>
  <si>
    <t xml:space="preserve">TAGTGACTTCGATGGCTTCGGCAT</t>
  </si>
  <si>
    <t xml:space="preserve">AAACATGCCGAAGCCATCGAAGTC</t>
  </si>
  <si>
    <t xml:space="preserve">CGCTTCCTCGGCAAACCGGC</t>
  </si>
  <si>
    <t xml:space="preserve">TAGTCGCTTCCTCGGCAAACCGGC</t>
  </si>
  <si>
    <t xml:space="preserve">AAACGCCGGTTTGCCGAGGAAGCG</t>
  </si>
  <si>
    <t xml:space="preserve">PSPPH_2374</t>
  </si>
  <si>
    <t xml:space="preserve">GTAATAGCGGGATGCGTCAT</t>
  </si>
  <si>
    <t xml:space="preserve">TAGTGTAATAGCGGGATGCGTCAT</t>
  </si>
  <si>
    <t xml:space="preserve">AAACATGACGCATCCCGCTATTAC</t>
  </si>
  <si>
    <t xml:space="preserve">GGCGGCGACCTTCAGTTGTG</t>
  </si>
  <si>
    <t xml:space="preserve">TAGTGGCGGCGACCTTCAGTTGTG</t>
  </si>
  <si>
    <t xml:space="preserve">AAACCACAACTGAAGGTCGCCGCC</t>
  </si>
  <si>
    <t xml:space="preserve">GCGCGCCTGACCAAGGTCTT</t>
  </si>
  <si>
    <t xml:space="preserve">TAGTGCGCGCCTGACCAAGGTCTT</t>
  </si>
  <si>
    <t xml:space="preserve">AAACAAGACCTTGGTCAGGCGCGC</t>
  </si>
  <si>
    <t xml:space="preserve">GTGCTCACGCAGGTAATCGA</t>
  </si>
  <si>
    <t xml:space="preserve">TAGTGTGCTCACGCAGGTAATCGA</t>
  </si>
  <si>
    <t xml:space="preserve">AAACTCGATTACCTGCGTGAGCAC</t>
  </si>
  <si>
    <t xml:space="preserve">PSPPH_2375</t>
  </si>
  <si>
    <t xml:space="preserve">GCCGACGCAGTTCATGTCGA</t>
  </si>
  <si>
    <t xml:space="preserve">TAGTGCCGACGCAGTTCATGTCGA</t>
  </si>
  <si>
    <t xml:space="preserve">AAACTCGACATGAACTGCGTCGGC</t>
  </si>
  <si>
    <t xml:space="preserve">CCCAGAGGCCAGGCGATTGA</t>
  </si>
  <si>
    <t xml:space="preserve">TAGTCCCAGAGGCCAGGCGATTGA</t>
  </si>
  <si>
    <t xml:space="preserve">AAACTCAATCGCCTGGCCTCTGGG</t>
  </si>
  <si>
    <t xml:space="preserve">TACTGCCAGGAGCGATCACG</t>
  </si>
  <si>
    <t xml:space="preserve">TAGTTACTGCCAGGAGCGATCACG</t>
  </si>
  <si>
    <t xml:space="preserve">AAACCGTGATCGCTCCTGGCAGTA</t>
  </si>
  <si>
    <t xml:space="preserve">CCAGATCGGTCCAGTATTCC</t>
  </si>
  <si>
    <t xml:space="preserve">TAGTCCAGATCGGTCCAGTATTCC</t>
  </si>
  <si>
    <t xml:space="preserve">AAACGGAATACTGGACCGATCTGG</t>
  </si>
  <si>
    <t xml:space="preserve">PSPPH_2376</t>
  </si>
  <si>
    <t xml:space="preserve">baeS1</t>
  </si>
  <si>
    <t xml:space="preserve">CGGCGTTTCGGTGGTCATGG</t>
  </si>
  <si>
    <t xml:space="preserve">TAGTCGGCGTTTCGGTGGTCATGG</t>
  </si>
  <si>
    <t xml:space="preserve">AAACCCATGACCACCGAAACGCCG</t>
  </si>
  <si>
    <t xml:space="preserve">TCGTCTTCGACAATGAGAAT</t>
  </si>
  <si>
    <t xml:space="preserve">TAGTTCGTCTTCGACAATGAGAAT</t>
  </si>
  <si>
    <t xml:space="preserve">AAACATTCTCATTGTCGAAGACGA</t>
  </si>
  <si>
    <t xml:space="preserve">CGCATCAGCGATGCCAGTTT</t>
  </si>
  <si>
    <t xml:space="preserve">TAGTCGCATCAGCGATGCCAGTTT</t>
  </si>
  <si>
    <t xml:space="preserve">AAACAAACTGGCATCGCTGATGCG</t>
  </si>
  <si>
    <t xml:space="preserve">TCGAATAACCGGCAGCGATC</t>
  </si>
  <si>
    <t xml:space="preserve">TAGTTCGAATAACCGGCAGCGATC</t>
  </si>
  <si>
    <t xml:space="preserve">AAACGATCGCTGCCGGTTATTCGA</t>
  </si>
  <si>
    <t xml:space="preserve">PSPPH_2377</t>
  </si>
  <si>
    <t xml:space="preserve">baeS2</t>
  </si>
  <si>
    <t xml:space="preserve">TACCGCGACAAATAATTTGG</t>
  </si>
  <si>
    <t xml:space="preserve">TAGTTACCGCGACAAATAATTTGG</t>
  </si>
  <si>
    <t xml:space="preserve">AAACCCAAATTATTTGTCGCGGTA</t>
  </si>
  <si>
    <t xml:space="preserve">CAGGATCACTGACAGCACGC</t>
  </si>
  <si>
    <t xml:space="preserve">TAGTCAGGATCACTGACAGCACGC</t>
  </si>
  <si>
    <t xml:space="preserve">AAACGCGTGCTGTCAGTGATCCTG</t>
  </si>
  <si>
    <t xml:space="preserve">GAGATAACCCAGAAAGCCAC</t>
  </si>
  <si>
    <t xml:space="preserve">TAGTGAGATAACCCAGAAAGCCAC</t>
  </si>
  <si>
    <t xml:space="preserve">AAACGTGGCTTTCTGGGTTATCTC</t>
  </si>
  <si>
    <t xml:space="preserve">GACCGGCGACATACGCTGCA</t>
  </si>
  <si>
    <t xml:space="preserve">TAGTGACCGGCGACATACGCTGCA</t>
  </si>
  <si>
    <t xml:space="preserve">AAACTGCAGCGTATGTCGCCGGTC</t>
  </si>
  <si>
    <t xml:space="preserve">PSPPH_2378</t>
  </si>
  <si>
    <t xml:space="preserve">GGTCACCGTTATCAGGTATT</t>
  </si>
  <si>
    <t xml:space="preserve">TAGTGGTCACCGTTATCAGGTATT</t>
  </si>
  <si>
    <t xml:space="preserve">AAACAATACCTGATAACGGTGACC</t>
  </si>
  <si>
    <t xml:space="preserve">AAGGGCTGCGTAGATGACAA</t>
  </si>
  <si>
    <t xml:space="preserve">TAGTAAGGGCTGCGTAGATGACAA</t>
  </si>
  <si>
    <t xml:space="preserve">AAACTTGTCATCTACGCAGCCCTT</t>
  </si>
  <si>
    <t xml:space="preserve">GGTTTTGGCGCAGCGGGCGG</t>
  </si>
  <si>
    <t xml:space="preserve">TAGTGGTTTTGGCGCAGCGGGCGG</t>
  </si>
  <si>
    <t xml:space="preserve">AAACCCGCCCGCTGCGCCAAAACC</t>
  </si>
  <si>
    <t xml:space="preserve">ACAGTGATGACCGACACGCT</t>
  </si>
  <si>
    <t xml:space="preserve">TAGTACAGTGATGACCGACACGCT</t>
  </si>
  <si>
    <t xml:space="preserve">AAACAGCGTGTCGGTCATCACTGT</t>
  </si>
  <si>
    <t xml:space="preserve">PSPPH_2379</t>
  </si>
  <si>
    <t xml:space="preserve">CAATGACCCAGGCGAAGATG</t>
  </si>
  <si>
    <t xml:space="preserve">TAGTCAATGACCCAGGCGAAGATG</t>
  </si>
  <si>
    <t xml:space="preserve">AAACCATCTTCGCCTGGGTCATTG</t>
  </si>
  <si>
    <t xml:space="preserve">GCCGGCGAACATGATGCAAA</t>
  </si>
  <si>
    <t xml:space="preserve">TAGTGCCGGCGAACATGATGCAAA</t>
  </si>
  <si>
    <t xml:space="preserve">AAACTTTGCATCATGTTCGCCGGC</t>
  </si>
  <si>
    <t xml:space="preserve">CTCAAGTGGCAGCTGGCTGA</t>
  </si>
  <si>
    <t xml:space="preserve">TAGTCTCAAGTGGCAGCTGGCTGA</t>
  </si>
  <si>
    <t xml:space="preserve">AAACTCAGCCAGCTGCCACTTGAG</t>
  </si>
  <si>
    <t xml:space="preserve">CCGTCGGTGGCGCGATATTG</t>
  </si>
  <si>
    <t xml:space="preserve">TAGTCCGTCGGTGGCGCGATATTG</t>
  </si>
  <si>
    <t xml:space="preserve">AAACCAATATCGCGCCACCGACGG</t>
  </si>
  <si>
    <t xml:space="preserve">PSPPH_2380</t>
  </si>
  <si>
    <t xml:space="preserve">AGCGCCGTGACAGCCAGCGA</t>
  </si>
  <si>
    <t xml:space="preserve">TAGTAGCGCCGTGACAGCCAGCGA</t>
  </si>
  <si>
    <t xml:space="preserve">AAACTCGCTGGCTGTCACGGCGCT</t>
  </si>
  <si>
    <t xml:space="preserve">GGCGTTGATAATCCGGAGCC</t>
  </si>
  <si>
    <t xml:space="preserve">TAGTGGCGTTGATAATCCGGAGCC</t>
  </si>
  <si>
    <t xml:space="preserve">AAACGGCTCCGGATTATCAACGCC</t>
  </si>
  <si>
    <t xml:space="preserve">GGCTCGATACAGGCGCTTCG</t>
  </si>
  <si>
    <t xml:space="preserve">TAGTGGCTCGATACAGGCGCTTCG</t>
  </si>
  <si>
    <t xml:space="preserve">AAACCGAAGCGCCTGTATCGAGCC</t>
  </si>
  <si>
    <t xml:space="preserve">TCGCCGTCGCCGGCAGCCAT</t>
  </si>
  <si>
    <t xml:space="preserve">TAGTTCGCCGTCGCCGGCAGCCAT</t>
  </si>
  <si>
    <t xml:space="preserve">AAACATGGCTGCCGGCGACGGCGA</t>
  </si>
  <si>
    <t xml:space="preserve">PSPPH_2381</t>
  </si>
  <si>
    <t xml:space="preserve">CGGACGTACTTCGGCTGGGA</t>
  </si>
  <si>
    <t xml:space="preserve">TAGTCGGACGTACTTCGGCTGGGA</t>
  </si>
  <si>
    <t xml:space="preserve">AAACTCCCAGCCGAAGTACGTCCG</t>
  </si>
  <si>
    <t xml:space="preserve">TGACCAGCAGCGACAGAGCG</t>
  </si>
  <si>
    <t xml:space="preserve">TAGTTGACCAGCAGCGACAGAGCG</t>
  </si>
  <si>
    <t xml:space="preserve">AAACCGCTCTGTCGCTGCTGGTCA</t>
  </si>
  <si>
    <t xml:space="preserve">GACGGCGTACGAGCCTGGGC</t>
  </si>
  <si>
    <t xml:space="preserve">TAGTGACGGCGTACGAGCCTGGGC</t>
  </si>
  <si>
    <t xml:space="preserve">AAACGCCCAGGCTCGTACGCCGTC</t>
  </si>
  <si>
    <t xml:space="preserve">AATGTTGTAGGCAGTTGCAG</t>
  </si>
  <si>
    <t xml:space="preserve">TAGTAATGTTGTAGGCAGTTGCAG</t>
  </si>
  <si>
    <t xml:space="preserve">AAACCTGCAACTGCCTACAACATT</t>
  </si>
  <si>
    <t xml:space="preserve">PSPPH_2383</t>
  </si>
  <si>
    <t xml:space="preserve">TCTTTTTGCGTTACGAAACC</t>
  </si>
  <si>
    <t xml:space="preserve">TAGTTCTTTTTGCGTTACGAAACC</t>
  </si>
  <si>
    <t xml:space="preserve">AAACGGTTTCGTAACGCAAAAAGA</t>
  </si>
  <si>
    <t xml:space="preserve">AGGCACTGAATTTTCAGATG</t>
  </si>
  <si>
    <t xml:space="preserve">TAGTAGGCACTGAATTTTCAGATG</t>
  </si>
  <si>
    <t xml:space="preserve">AAACCATCTGAAAATTCAGTGCCT</t>
  </si>
  <si>
    <t xml:space="preserve">AAGCAAGCGTGAGCAATAGA</t>
  </si>
  <si>
    <t xml:space="preserve">TAGTAAGCAAGCGTGAGCAATAGA</t>
  </si>
  <si>
    <t xml:space="preserve">AAACTCTATTGCTCACGCTTGCTT</t>
  </si>
  <si>
    <t xml:space="preserve">TTTTCACCTGCGACGGAATC</t>
  </si>
  <si>
    <t xml:space="preserve">TAGTTTTTCACCTGCGACGGAATC</t>
  </si>
  <si>
    <t xml:space="preserve">AAACGATTCCGTCGCAGGTGAAAA</t>
  </si>
  <si>
    <t xml:space="preserve">PSPPH_2384</t>
  </si>
  <si>
    <t xml:space="preserve">CCATGTGACAGATCAATTCC</t>
  </si>
  <si>
    <t xml:space="preserve">TAGTCCATGTGACAGATCAATTCC</t>
  </si>
  <si>
    <t xml:space="preserve">AAACGGAATTGATCTGTCACATGG</t>
  </si>
  <si>
    <t xml:space="preserve">CCTGACAGGCTGGTTGGGCA</t>
  </si>
  <si>
    <t xml:space="preserve">TAGTCCTGACAGGCTGGTTGGGCA</t>
  </si>
  <si>
    <t xml:space="preserve">AAACTGCCCAACCAGCCTGTCAGG</t>
  </si>
  <si>
    <t xml:space="preserve">TTTGCTCATCGGGTTTACCT</t>
  </si>
  <si>
    <t xml:space="preserve">TAGTTTTGCTCATCGGGTTTACCT</t>
  </si>
  <si>
    <t xml:space="preserve">AAACAGGTAAACCCGATGAGCAAA</t>
  </si>
  <si>
    <t xml:space="preserve">TTGATCGGCCATCGGACAAG</t>
  </si>
  <si>
    <t xml:space="preserve">TAGTTTGATCGGCCATCGGACAAG</t>
  </si>
  <si>
    <t xml:space="preserve">AAACCTTGTCCGATGGCCGATCAA</t>
  </si>
  <si>
    <t xml:space="preserve">PSPPH_2385</t>
  </si>
  <si>
    <t xml:space="preserve">TAAGGGGCCAGGTTGATAAT</t>
  </si>
  <si>
    <t xml:space="preserve">TAGTTAAGGGGCCAGGTTGATAAT</t>
  </si>
  <si>
    <t xml:space="preserve">AAACATTATCAACCTGGCCCCTTA</t>
  </si>
  <si>
    <t xml:space="preserve">GCCACGGCTGCCTTGCCGTC</t>
  </si>
  <si>
    <t xml:space="preserve">TAGTGCCACGGCTGCCTTGCCGTC</t>
  </si>
  <si>
    <t xml:space="preserve">AAACGACGGCAAGGCAGCCGTGGC</t>
  </si>
  <si>
    <t xml:space="preserve">CTCTTTGGGAATCTGGTGCT</t>
  </si>
  <si>
    <t xml:space="preserve">TAGTCTCTTTGGGAATCTGGTGCT</t>
  </si>
  <si>
    <t xml:space="preserve">AAACAGCACCAGATTCCCAAAGAG</t>
  </si>
  <si>
    <t xml:space="preserve">AAAGAACTGGCGGGTCAAAC</t>
  </si>
  <si>
    <t xml:space="preserve">TAGTAAAGAACTGGCGGGTCAAAC</t>
  </si>
  <si>
    <t xml:space="preserve">AAACGTTTGACCCGCCAGTTCTTT</t>
  </si>
  <si>
    <t xml:space="preserve">PSPPH_2386</t>
  </si>
  <si>
    <t xml:space="preserve">AAAATGACACTGCCGTGAGA</t>
  </si>
  <si>
    <t xml:space="preserve">TAGTAAAATGACACTGCCGTGAGA</t>
  </si>
  <si>
    <t xml:space="preserve">AAACTCTCACGGCAGTGTCATTTT</t>
  </si>
  <si>
    <t xml:space="preserve">TTCGCTTCGGCGGATGCCGA</t>
  </si>
  <si>
    <t xml:space="preserve">TAGTTTCGCTTCGGCGGATGCCGA</t>
  </si>
  <si>
    <t xml:space="preserve">AAACTCGGCATCCGCCGAAGCGAA</t>
  </si>
  <si>
    <t xml:space="preserve">TCTCAGCCTCCGTCAGGTCG</t>
  </si>
  <si>
    <t xml:space="preserve">TAGTTCTCAGCCTCCGTCAGGTCG</t>
  </si>
  <si>
    <t xml:space="preserve">AAACCGACCTGACGGAGGCTGAGA</t>
  </si>
  <si>
    <t xml:space="preserve">GTTGCGAAGGTAGTACAGAG</t>
  </si>
  <si>
    <t xml:space="preserve">TAGTGTTGCGAAGGTAGTACAGAG</t>
  </si>
  <si>
    <t xml:space="preserve">AAACCTCTGTACTACCTTCGCAAC</t>
  </si>
  <si>
    <t xml:space="preserve">PSPPH_2387</t>
  </si>
  <si>
    <t xml:space="preserve">TTCAGCCTTGAAGCGGTCGG</t>
  </si>
  <si>
    <t xml:space="preserve">TAGTTTCAGCCTTGAAGCGGTCGG</t>
  </si>
  <si>
    <t xml:space="preserve">AAACCCGACCGCTTCAAGGCTGAA</t>
  </si>
  <si>
    <t xml:space="preserve">GTCGATGCCGTCGGCAGACG</t>
  </si>
  <si>
    <t xml:space="preserve">TAGTGTCGATGCCGTCGGCAGACG</t>
  </si>
  <si>
    <t xml:space="preserve">AAACCGTCTGCCGACGGCATCGAC</t>
  </si>
  <si>
    <t xml:space="preserve">CGGCAAGCTTGAGCGCATCA</t>
  </si>
  <si>
    <t xml:space="preserve">TAGTCGGCAAGCTTGAGCGCATCA</t>
  </si>
  <si>
    <t xml:space="preserve">AAACTGATGCGCTCAAGCTTGCCG</t>
  </si>
  <si>
    <t xml:space="preserve">GCGCACCTCAATGACTGACT</t>
  </si>
  <si>
    <t xml:space="preserve">TAGTGCGCACCTCAATGACTGACT</t>
  </si>
  <si>
    <t xml:space="preserve">AAACAGTCAGTCATTGAGGTGCGC</t>
  </si>
  <si>
    <t xml:space="preserve">PSPPH_2388</t>
  </si>
  <si>
    <t xml:space="preserve">CTTTCGCGCCGGGTCCATGC</t>
  </si>
  <si>
    <t xml:space="preserve">TAGTCTTTCGCGCCGGGTCCATGC</t>
  </si>
  <si>
    <t xml:space="preserve">AAACGCATGGACCCGGCGCGAAAG</t>
  </si>
  <si>
    <t xml:space="preserve">TCATCACCGGGACAATGATC</t>
  </si>
  <si>
    <t xml:space="preserve">TAGTTCATCACCGGGACAATGATC</t>
  </si>
  <si>
    <t xml:space="preserve">AAACGATCATTGTCCCGGTGATGA</t>
  </si>
  <si>
    <t xml:space="preserve">AGCGAGTCATCCACACGGTT</t>
  </si>
  <si>
    <t xml:space="preserve">TAGTAGCGAGTCATCCACACGGTT</t>
  </si>
  <si>
    <t xml:space="preserve">AAACAACCGTGTGGATGACTCGCT</t>
  </si>
  <si>
    <t xml:space="preserve">GTGAAATCTTGTTCTACCGC</t>
  </si>
  <si>
    <t xml:space="preserve">TAGTGTGAAATCTTGTTCTACCGC</t>
  </si>
  <si>
    <t xml:space="preserve">AAACGCGGTAGAACAAGATTTCAC</t>
  </si>
  <si>
    <t xml:space="preserve">PSPPH_2389</t>
  </si>
  <si>
    <t xml:space="preserve">CACACCTTGCACATGCTCGG</t>
  </si>
  <si>
    <t xml:space="preserve">TAGTCACACCTTGCACATGCTCGG</t>
  </si>
  <si>
    <t xml:space="preserve">AAACCCGAGCATGTGCAAGGTGTG</t>
  </si>
  <si>
    <t xml:space="preserve">PSPPH_2390</t>
  </si>
  <si>
    <t xml:space="preserve">GTGAAACGGCGATTCCTCAT</t>
  </si>
  <si>
    <t xml:space="preserve">TAGTGTGAAACGGCGATTCCTCAT</t>
  </si>
  <si>
    <t xml:space="preserve">AAACATGAGGAATCGCCGTTTCAC</t>
  </si>
  <si>
    <t xml:space="preserve">CGTCTGCGATCAAGCGCACG</t>
  </si>
  <si>
    <t xml:space="preserve">TAGTCGTCTGCGATCAAGCGCACG</t>
  </si>
  <si>
    <t xml:space="preserve">AAACCGTGCGCTTGATCGCAGACG</t>
  </si>
  <si>
    <t xml:space="preserve">CGAGCGCTGCTGCCAGCCTG</t>
  </si>
  <si>
    <t xml:space="preserve">TAGTCGAGCGCTGCTGCCAGCCTG</t>
  </si>
  <si>
    <t xml:space="preserve">AAACCAGGCTGGCAGCAGCGCTCG</t>
  </si>
  <si>
    <t xml:space="preserve">PSPPH_2391</t>
  </si>
  <si>
    <t xml:space="preserve">CTGCCGTCGTCAGGTGCGCC</t>
  </si>
  <si>
    <t xml:space="preserve">TAGTCTGCCGTCGTCAGGTGCGCC</t>
  </si>
  <si>
    <t xml:space="preserve">AAACGGCGCACCTGACGACGGCAG</t>
  </si>
  <si>
    <t xml:space="preserve">AATGTAGCTTTCATTTTCTC</t>
  </si>
  <si>
    <t xml:space="preserve">TAGTAATGTAGCTTTCATTTTCTC</t>
  </si>
  <si>
    <t xml:space="preserve">AAACGAGAAAATGAAAGCTACATT</t>
  </si>
  <si>
    <t xml:space="preserve">TGTCACGCGGCTCAAGGTCG</t>
  </si>
  <si>
    <t xml:space="preserve">TAGTTGTCACGCGGCTCAAGGTCG</t>
  </si>
  <si>
    <t xml:space="preserve">AAACCGACCTTGAGCCGCGTGACA</t>
  </si>
  <si>
    <t xml:space="preserve">TTGAGTATCGTCTTCATCCA</t>
  </si>
  <si>
    <t xml:space="preserve">TAGTTTGAGTATCGTCTTCATCCA</t>
  </si>
  <si>
    <t xml:space="preserve">AAACTGGATGAAGACGATACTCAA</t>
  </si>
  <si>
    <t xml:space="preserve">PSPPH_2392</t>
  </si>
  <si>
    <t xml:space="preserve">GAGTATCGGTTAGGTGCTGA</t>
  </si>
  <si>
    <t xml:space="preserve">TAGTGAGTATCGGTTAGGTGCTGA</t>
  </si>
  <si>
    <t xml:space="preserve">AAACTCAGCACCTAACCGATACTC</t>
  </si>
  <si>
    <t xml:space="preserve">AATCTTCTTGCGATTCTCCG</t>
  </si>
  <si>
    <t xml:space="preserve">TAGTAATCTTCTTGCGATTCTCCG</t>
  </si>
  <si>
    <t xml:space="preserve">AAACCGGAGAATCGCAAGAAGATT</t>
  </si>
  <si>
    <t xml:space="preserve">GGCCGAGCCTTTCCTCGATA</t>
  </si>
  <si>
    <t xml:space="preserve">TAGTGGCCGAGCCTTTCCTCGATA</t>
  </si>
  <si>
    <t xml:space="preserve">AAACTATCGAGGAAAGGCTCGGCC</t>
  </si>
  <si>
    <t xml:space="preserve">TATCAAGAGCATACCGTTCC</t>
  </si>
  <si>
    <t xml:space="preserve">TAGTTATCAAGAGCATACCGTTCC</t>
  </si>
  <si>
    <t xml:space="preserve">AAACGGAACGGTATGCTCTTGATA</t>
  </si>
  <si>
    <t xml:space="preserve">PSPPH_2393</t>
  </si>
  <si>
    <t xml:space="preserve">TTGACGACGTGTTGGGAAAT</t>
  </si>
  <si>
    <t xml:space="preserve">TAGTTTGACGACGTGTTGGGAAAT</t>
  </si>
  <si>
    <t xml:space="preserve">AAACATTTCCCAACACGTCGTCAA</t>
  </si>
  <si>
    <t xml:space="preserve">GTGCAATTTCGTGGCGCGGA</t>
  </si>
  <si>
    <t xml:space="preserve">TAGTGTGCAATTTCGTGGCGCGGA</t>
  </si>
  <si>
    <t xml:space="preserve">AAACTCCGCGCCACGAAATTGCAC</t>
  </si>
  <si>
    <t xml:space="preserve">GTGCGCGCCACGTTTTGCGA</t>
  </si>
  <si>
    <t xml:space="preserve">TAGTGTGCGCGCCACGTTTTGCGA</t>
  </si>
  <si>
    <t xml:space="preserve">AAACTCGCAAAACGTGGCGCGCAC</t>
  </si>
  <si>
    <t xml:space="preserve">ATGAGTGCTCCCAGTCAGAT</t>
  </si>
  <si>
    <t xml:space="preserve">TAGTATGAGTGCTCCCAGTCAGAT</t>
  </si>
  <si>
    <t xml:space="preserve">AAACATCTGACTGGGAGCACTCAT</t>
  </si>
  <si>
    <t xml:space="preserve">PSPPH_2394</t>
  </si>
  <si>
    <t xml:space="preserve">CGCGGTATTACTGGCGATGT</t>
  </si>
  <si>
    <t xml:space="preserve">TAGTCGCGGTATTACTGGCGATGT</t>
  </si>
  <si>
    <t xml:space="preserve">AAACACATCGCCAGTAATACCGCG</t>
  </si>
  <si>
    <t xml:space="preserve">TTGGTCGCTCCCTGATAGTT</t>
  </si>
  <si>
    <t xml:space="preserve">TAGTTTGGTCGCTCCCTGATAGTT</t>
  </si>
  <si>
    <t xml:space="preserve">AAACAACTATCAGGGAGCGACCAA</t>
  </si>
  <si>
    <t xml:space="preserve">CTTGACGTAGCCCTGCAATG</t>
  </si>
  <si>
    <t xml:space="preserve">TAGTCTTGACGTAGCCCTGCAATG</t>
  </si>
  <si>
    <t xml:space="preserve">AAACCATTGCAGGGCTACGTCAAG</t>
  </si>
  <si>
    <t xml:space="preserve">GGTGCCGGAGTTACCCAGCA</t>
  </si>
  <si>
    <t xml:space="preserve">TAGTGGTGCCGGAGTTACCCAGCA</t>
  </si>
  <si>
    <t xml:space="preserve">AAACTGCTGGGTAACTCCGGCACC</t>
  </si>
  <si>
    <t xml:space="preserve">PSPPH_2395</t>
  </si>
  <si>
    <t xml:space="preserve">GGTGTCGCCGTCAACCATTA</t>
  </si>
  <si>
    <t xml:space="preserve">TAGTGGTGTCGCCGTCAACCATTA</t>
  </si>
  <si>
    <t xml:space="preserve">AAACTAATGGTTGACGGCGACACC</t>
  </si>
  <si>
    <t xml:space="preserve">CTTCACCGATCCGCGCGGCA</t>
  </si>
  <si>
    <t xml:space="preserve">TAGTCTTCACCGATCCGCGCGGCA</t>
  </si>
  <si>
    <t xml:space="preserve">AAACTGCCGCGCGGATCGGTGAAG</t>
  </si>
  <si>
    <t xml:space="preserve">TGGCTGTAGTTCGCAGGATT</t>
  </si>
  <si>
    <t xml:space="preserve">TAGTTGGCTGTAGTTCGCAGGATT</t>
  </si>
  <si>
    <t xml:space="preserve">AAACAATCCTGCGAACTACAGCCA</t>
  </si>
  <si>
    <t xml:space="preserve">GCACGGGAAATGCCTGTTCC</t>
  </si>
  <si>
    <t xml:space="preserve">TAGTGCACGGGAAATGCCTGTTCC</t>
  </si>
  <si>
    <t xml:space="preserve">AAACGGAACAGGCATTTCCCGTGC</t>
  </si>
  <si>
    <t xml:space="preserve">PSPPH_2396</t>
  </si>
  <si>
    <t xml:space="preserve">AACGCAGCTGACCGGACTCA</t>
  </si>
  <si>
    <t xml:space="preserve">TAGTAACGCAGCTGACCGGACTCA</t>
  </si>
  <si>
    <t xml:space="preserve">AAACTGAGTCCGGTCAGCTGCGTT</t>
  </si>
  <si>
    <t xml:space="preserve">ACCCCAGCTGCTGCGTAGTT</t>
  </si>
  <si>
    <t xml:space="preserve">TAGTACCCCAGCTGCTGCGTAGTT</t>
  </si>
  <si>
    <t xml:space="preserve">AAACAACTACGCAGCAGCTGGGGT</t>
  </si>
  <si>
    <t xml:space="preserve">CGCCCGGCACGGTATTTCCC</t>
  </si>
  <si>
    <t xml:space="preserve">TAGTCGCCCGGCACGGTATTTCCC</t>
  </si>
  <si>
    <t xml:space="preserve">AAACGGGAAATACCGTGCCGGGCG</t>
  </si>
  <si>
    <t xml:space="preserve">CAGGCCGCGCCCACGGTATT</t>
  </si>
  <si>
    <t xml:space="preserve">TAGTCAGGCCGCGCCCACGGTATT</t>
  </si>
  <si>
    <t xml:space="preserve">AAACAATACCGTGGGCGCGGCCTG</t>
  </si>
  <si>
    <t xml:space="preserve">PSPPH_2397</t>
  </si>
  <si>
    <t xml:space="preserve">ACGCACCGGCTAGCGCCAGC</t>
  </si>
  <si>
    <t xml:space="preserve">TAGTACGCACCGGCTAGCGCCAGC</t>
  </si>
  <si>
    <t xml:space="preserve">AAACGCTGGCGCTAGCCGGTGCGT</t>
  </si>
  <si>
    <t xml:space="preserve">CGGTGACGGTCACGCCGTGC</t>
  </si>
  <si>
    <t xml:space="preserve">TAGTCGGTGACGGTCACGCCGTGC</t>
  </si>
  <si>
    <t xml:space="preserve">AAACGCACGGCGTGACCGTCACCG</t>
  </si>
  <si>
    <t xml:space="preserve">CTTCGCCTTCCAGGCCATAT</t>
  </si>
  <si>
    <t xml:space="preserve">TAGTCTTCGCCTTCCAGGCCATAT</t>
  </si>
  <si>
    <t xml:space="preserve">AAACATATGGCCTGGAAGGCGAAG</t>
  </si>
  <si>
    <t xml:space="preserve">GGATTGGGCGCTGACTTCCT</t>
  </si>
  <si>
    <t xml:space="preserve">TAGTGGATTGGGCGCTGACTTCCT</t>
  </si>
  <si>
    <t xml:space="preserve">AAACAGGAAGTCAGCGCCCAATCC</t>
  </si>
  <si>
    <t xml:space="preserve">PSPPH_2398</t>
  </si>
  <si>
    <t xml:space="preserve">TCTTTGAATCAGCTGCGTCG</t>
  </si>
  <si>
    <t xml:space="preserve">TAGTTCTTTGAATCAGCTGCGTCG</t>
  </si>
  <si>
    <t xml:space="preserve">AAACCGACGCAGCTGATTCAAAGA</t>
  </si>
  <si>
    <t xml:space="preserve">GGCCTTTTTCTCAACCGTCA</t>
  </si>
  <si>
    <t xml:space="preserve">TAGTGGCCTTTTTCTCAACCGTCA</t>
  </si>
  <si>
    <t xml:space="preserve">AAACTGACGGTTGAGAAAAAGGCC</t>
  </si>
  <si>
    <t xml:space="preserve">GGTCACCACCCAGCTATCGC</t>
  </si>
  <si>
    <t xml:space="preserve">TAGTGGTCACCACCCAGCTATCGC</t>
  </si>
  <si>
    <t xml:space="preserve">AAACGCGATAGCTGGGTGGTGACC</t>
  </si>
  <si>
    <t xml:space="preserve">GCCGTCCTTGGCGAGCGTAT</t>
  </si>
  <si>
    <t xml:space="preserve">TAGTGCCGTCCTTGGCGAGCGTAT</t>
  </si>
  <si>
    <t xml:space="preserve">AAACATACGCTCGCCAAGGACGGC</t>
  </si>
  <si>
    <t xml:space="preserve">PSPPH_2399</t>
  </si>
  <si>
    <t xml:space="preserve">GCGGAGCCTGATTGATCAAA</t>
  </si>
  <si>
    <t xml:space="preserve">TAGTGCGGAGCCTGATTGATCAAA</t>
  </si>
  <si>
    <t xml:space="preserve">AAACTTTGATCAATCAGGCTCCGC</t>
  </si>
  <si>
    <t xml:space="preserve">GGCCACGGCGTATCGGCTGG</t>
  </si>
  <si>
    <t xml:space="preserve">TAGTGGCCACGGCGTATCGGCTGG</t>
  </si>
  <si>
    <t xml:space="preserve">AAACCCAGCCGATACGCCGTGGCC</t>
  </si>
  <si>
    <t xml:space="preserve">AGCTATCGCCCAGCAGGCCA</t>
  </si>
  <si>
    <t xml:space="preserve">TAGTAGCTATCGCCCAGCAGGCCA</t>
  </si>
  <si>
    <t xml:space="preserve">AAACTGGCCTGCTGGGCGATAGCT</t>
  </si>
  <si>
    <t xml:space="preserve">TCCATACACGGTCGCGCCGA</t>
  </si>
  <si>
    <t xml:space="preserve">TAGTTCCATACACGGTCGCGCCGA</t>
  </si>
  <si>
    <t xml:space="preserve">AAACTCGGCGCGACCGTGTATGGA</t>
  </si>
  <si>
    <t xml:space="preserve">PSPPH_2400</t>
  </si>
  <si>
    <t xml:space="preserve">TTAGTCGTAAACCCTGCCCC</t>
  </si>
  <si>
    <t xml:space="preserve">TAGTTTAGTCGTAAACCCTGCCCC</t>
  </si>
  <si>
    <t xml:space="preserve">AAACGGGGCAGGGTTTACGACTAA</t>
  </si>
  <si>
    <t xml:space="preserve">PSPPH_2402</t>
  </si>
  <si>
    <t xml:space="preserve">GATGGCAGTCGAGTCAGGCA</t>
  </si>
  <si>
    <t xml:space="preserve">TAGTGATGGCAGTCGAGTCAGGCA</t>
  </si>
  <si>
    <t xml:space="preserve">AAACTGCCTGACTCGACTGCCATC</t>
  </si>
  <si>
    <t xml:space="preserve">AATGCAGGTCACTGGCGGGC</t>
  </si>
  <si>
    <t xml:space="preserve">TAGTAATGCAGGTCACTGGCGGGC</t>
  </si>
  <si>
    <t xml:space="preserve">AAACGCCCGCCAGTGACCTGCATT</t>
  </si>
  <si>
    <t xml:space="preserve">AGTACCTTGCGCGTAAGGCC</t>
  </si>
  <si>
    <t xml:space="preserve">TAGTAGTACCTTGCGCGTAAGGCC</t>
  </si>
  <si>
    <t xml:space="preserve">AAACGGCCTTACGCGCAAGGTACT</t>
  </si>
  <si>
    <t xml:space="preserve">TTTACCCTCAATGTTGAAGT</t>
  </si>
  <si>
    <t xml:space="preserve">TAGTTTTACCCTCAATGTTGAAGT</t>
  </si>
  <si>
    <t xml:space="preserve">AAACACTTCAACATTGAGGGTAAA</t>
  </si>
  <si>
    <t xml:space="preserve">PSPPH_2403</t>
  </si>
  <si>
    <t xml:space="preserve">modC</t>
  </si>
  <si>
    <t xml:space="preserve">CAGGCGGACTTCTATCGGTG</t>
  </si>
  <si>
    <t xml:space="preserve">TAGTCAGGCGGACTTCTATCGGTG</t>
  </si>
  <si>
    <t xml:space="preserve">AAACCACCGATAGAAGTCCGCCTG</t>
  </si>
  <si>
    <t xml:space="preserve">ACGCACGGTGAAATCCGGGT</t>
  </si>
  <si>
    <t xml:space="preserve">TAGTACGCACGGTGAAATCCGGGT</t>
  </si>
  <si>
    <t xml:space="preserve">AAACACCCGGATTTCACCGTGCGT</t>
  </si>
  <si>
    <t xml:space="preserve">CGACCCCGGCAGGGTCAGGT</t>
  </si>
  <si>
    <t xml:space="preserve">TAGTCGACCCCGGCAGGGTCAGGT</t>
  </si>
  <si>
    <t xml:space="preserve">AAACACCTGACCCTGCCGGGGTCG</t>
  </si>
  <si>
    <t xml:space="preserve">GGCAATGCAGCGCAGGCAGG</t>
  </si>
  <si>
    <t xml:space="preserve">TAGTGGCAATGCAGCGCAGGCAGG</t>
  </si>
  <si>
    <t xml:space="preserve">AAACCCTGCCTGCGCTGCATTGCC</t>
  </si>
  <si>
    <t xml:space="preserve">PSPPH_2404</t>
  </si>
  <si>
    <t xml:space="preserve">modB</t>
  </si>
  <si>
    <t xml:space="preserve">GCGATGTCGGCACTTCCCAG</t>
  </si>
  <si>
    <t xml:space="preserve">TAGTGCGATGTCGGCACTTCCCAG</t>
  </si>
  <si>
    <t xml:space="preserve">AAACCTGGGAAGTGCCGACATCGC</t>
  </si>
  <si>
    <t xml:space="preserve">GATGATCAACAGGATGACGG</t>
  </si>
  <si>
    <t xml:space="preserve">TAGTGATGATCAACAGGATGACGG</t>
  </si>
  <si>
    <t xml:space="preserve">AAACCCGTCATCCTGTTGATCATC</t>
  </si>
  <si>
    <t xml:space="preserve">CGCGCCAGCCACAGCGCGAT</t>
  </si>
  <si>
    <t xml:space="preserve">TAGTCGCGCCAGCCACAGCGCGAT</t>
  </si>
  <si>
    <t xml:space="preserve">AAACATCGCGCTGTGGCTGGCGCG</t>
  </si>
  <si>
    <t xml:space="preserve">AGGGCGACGACCGCGCCAAT</t>
  </si>
  <si>
    <t xml:space="preserve">TAGTAGGGCGACGACCGCGCCAAT</t>
  </si>
  <si>
    <t xml:space="preserve">AAACATTGGCGCGGTCGTCGCCCT</t>
  </si>
  <si>
    <t xml:space="preserve">PSPPH_2405</t>
  </si>
  <si>
    <t xml:space="preserve">modA</t>
  </si>
  <si>
    <t xml:space="preserve">GCGCAGCGTGGTCGTTCGCA</t>
  </si>
  <si>
    <t xml:space="preserve">TAGTGCGCAGCGTGGTCGTTCGCA</t>
  </si>
  <si>
    <t xml:space="preserve">AAACTGCGAACGACCACGCTGCGC</t>
  </si>
  <si>
    <t xml:space="preserve">CAGGGCAGAGAACTTGAGAA</t>
  </si>
  <si>
    <t xml:space="preserve">TAGTCAGGGCAGAGAACTTGAGAA</t>
  </si>
  <si>
    <t xml:space="preserve">AAACTTCTCAAGTTCTCTGCCCTG</t>
  </si>
  <si>
    <t xml:space="preserve">AGCTGTAACTGATACGGCGA</t>
  </si>
  <si>
    <t xml:space="preserve">TAGTAGCTGTAACTGATACGGCGA</t>
  </si>
  <si>
    <t xml:space="preserve">AAACTCGCCGTATCAGTTACAGCT</t>
  </si>
  <si>
    <t xml:space="preserve">GACGGCGACCTGCACCTCGT</t>
  </si>
  <si>
    <t xml:space="preserve">TAGTGACGGCGACCTGCACCTCGT</t>
  </si>
  <si>
    <t xml:space="preserve">AAACACGAGGTGCAGGTCGCCGTC</t>
  </si>
  <si>
    <t xml:space="preserve">PSPPH_2406</t>
  </si>
  <si>
    <t xml:space="preserve">TAATGCGGGTGTCCGGCCAT</t>
  </si>
  <si>
    <t xml:space="preserve">TAGTTAATGCGGGTGTCCGGCCAT</t>
  </si>
  <si>
    <t xml:space="preserve">AAACATGGCCGGACACCCGCATTA</t>
  </si>
  <si>
    <t xml:space="preserve">CCGGCAGCTCTGTAGTTAAC</t>
  </si>
  <si>
    <t xml:space="preserve">TAGTCCGGCAGCTCTGTAGTTAAC</t>
  </si>
  <si>
    <t xml:space="preserve">AAACGTTAACTACAGAGCTGCCGG</t>
  </si>
  <si>
    <t xml:space="preserve">GATCCGGTGGCTCCGGCCAT</t>
  </si>
  <si>
    <t xml:space="preserve">TAGTGATCCGGTGGCTCCGGCCAT</t>
  </si>
  <si>
    <t xml:space="preserve">AAACATGGCCGGAGCCACCGGATC</t>
  </si>
  <si>
    <t xml:space="preserve">GCCAGCCTTCGCGACAGCAA</t>
  </si>
  <si>
    <t xml:space="preserve">TAGTGCCAGCCTTCGCGACAGCAA</t>
  </si>
  <si>
    <t xml:space="preserve">AAACTTGCTGTCGCGAAGGCTGGC</t>
  </si>
  <si>
    <t xml:space="preserve">PSPPH_2407</t>
  </si>
  <si>
    <t xml:space="preserve">CCGGGGCGTCTGGTTTTTAC</t>
  </si>
  <si>
    <t xml:space="preserve">TAGTCCGGGGCGTCTGGTTTTTAC</t>
  </si>
  <si>
    <t xml:space="preserve">AAACGTAAAAACCAGACGCCCCGG</t>
  </si>
  <si>
    <t xml:space="preserve">TTGTCGCGATCCACTTTCGG</t>
  </si>
  <si>
    <t xml:space="preserve">TAGTTTGTCGCGATCCACTTTCGG</t>
  </si>
  <si>
    <t xml:space="preserve">AAACCCGAAAGTGGATCGCGACAA</t>
  </si>
  <si>
    <t xml:space="preserve">ACAGTGCTTCGCGGGTTTCG</t>
  </si>
  <si>
    <t xml:space="preserve">TAGTACAGTGCTTCGCGGGTTTCG</t>
  </si>
  <si>
    <t xml:space="preserve">AAACCGAAACCCGCGAAGCACTGT</t>
  </si>
  <si>
    <t xml:space="preserve">CGGTGAGCACTTCCAGACCG</t>
  </si>
  <si>
    <t xml:space="preserve">TAGTCGGTGAGCACTTCCAGACCG</t>
  </si>
  <si>
    <t xml:space="preserve">AAACCGGTCTGGAAGTGCTCACCG</t>
  </si>
  <si>
    <t xml:space="preserve">PSPPH_2408</t>
  </si>
  <si>
    <t xml:space="preserve">CAACTGTGCTTCGTCGATAT</t>
  </si>
  <si>
    <t xml:space="preserve">TAGTCAACTGTGCTTCGTCGATAT</t>
  </si>
  <si>
    <t xml:space="preserve">AAACATATCGACGAAGCACAGTTG</t>
  </si>
  <si>
    <t xml:space="preserve">TTTATCGTCACGTCACCTGC</t>
  </si>
  <si>
    <t xml:space="preserve">TAGTTTTATCGTCACGTCACCTGC</t>
  </si>
  <si>
    <t xml:space="preserve">AAACGCAGGTGACGTGACGATAAA</t>
  </si>
  <si>
    <t xml:space="preserve">GCGCACAATAGGGCTTTGGC</t>
  </si>
  <si>
    <t xml:space="preserve">TAGTGCGCACAATAGGGCTTTGGC</t>
  </si>
  <si>
    <t xml:space="preserve">AAACGCCAAAGCCCTATTGTGCGC</t>
  </si>
  <si>
    <t xml:space="preserve">AGATCAATACCCGGCACCAT</t>
  </si>
  <si>
    <t xml:space="preserve">TAGTAGATCAATACCCGGCACCAT</t>
  </si>
  <si>
    <t xml:space="preserve">AAACATGGTGCCGGGTATTGATCT</t>
  </si>
  <si>
    <t xml:space="preserve">PSPPH_2409</t>
  </si>
  <si>
    <t xml:space="preserve">TGTGCTTTGCTAGCGAGGGG</t>
  </si>
  <si>
    <t xml:space="preserve">TAGTTGTGCTTTGCTAGCGAGGGG</t>
  </si>
  <si>
    <t xml:space="preserve">AAACCCCCTCGCTAGCAAAGCACA</t>
  </si>
  <si>
    <t xml:space="preserve">AATGCGCAGCCGCGTCGCGA</t>
  </si>
  <si>
    <t xml:space="preserve">TAGTAATGCGCAGCCGCGTCGCGA</t>
  </si>
  <si>
    <t xml:space="preserve">AAACTCGCGACGCGGCTGCGCATT</t>
  </si>
  <si>
    <t xml:space="preserve">GCTGCGCTGACTGACCTGAT</t>
  </si>
  <si>
    <t xml:space="preserve">TAGTGCTGCGCTGACTGACCTGAT</t>
  </si>
  <si>
    <t xml:space="preserve">AAACATCAGGTCAGTCAGCGCAGC</t>
  </si>
  <si>
    <t xml:space="preserve">CTGAATGTTCGCCAGGCGTT</t>
  </si>
  <si>
    <t xml:space="preserve">TAGTCTGAATGTTCGCCAGGCGTT</t>
  </si>
  <si>
    <t xml:space="preserve">AAACAACGCCTGGCGAACATTCAG</t>
  </si>
  <si>
    <t xml:space="preserve">PSPPH_2410</t>
  </si>
  <si>
    <t xml:space="preserve">TGATCGGTATAAGGGTCTTG</t>
  </si>
  <si>
    <t xml:space="preserve">TAGTTGATCGGTATAAGGGTCTTG</t>
  </si>
  <si>
    <t xml:space="preserve">AAACCAAGACCCTTATACCGATCA</t>
  </si>
  <si>
    <t xml:space="preserve">TGACGTCGGGCAGCGAAGGC</t>
  </si>
  <si>
    <t xml:space="preserve">TAGTTGACGTCGGGCAGCGAAGGC</t>
  </si>
  <si>
    <t xml:space="preserve">AAACGCCTTCGCTGCCCGACGTCA</t>
  </si>
  <si>
    <t xml:space="preserve">CGGTCGAGATAGAGGCGCAG</t>
  </si>
  <si>
    <t xml:space="preserve">TAGTCGGTCGAGATAGAGGCGCAG</t>
  </si>
  <si>
    <t xml:space="preserve">AAACCTGCGCCTCTATCTCGACCG</t>
  </si>
  <si>
    <t xml:space="preserve">GGCGGCTTGAGGGTGCCAGG</t>
  </si>
  <si>
    <t xml:space="preserve">TAGTGGCGGCTTGAGGGTGCCAGG</t>
  </si>
  <si>
    <t xml:space="preserve">AAACCCTGGCACCCTCAAGCCGCC</t>
  </si>
  <si>
    <t xml:space="preserve">PSPPH_2411</t>
  </si>
  <si>
    <t xml:space="preserve">AAATCGATTTTGCAGATGGC</t>
  </si>
  <si>
    <t xml:space="preserve">TAGTAAATCGATTTTGCAGATGGC</t>
  </si>
  <si>
    <t xml:space="preserve">AAACGCCATCTGCAAAATCGATTT</t>
  </si>
  <si>
    <t xml:space="preserve">CCAATTGCCGGATAGCTCGG</t>
  </si>
  <si>
    <t xml:space="preserve">TAGTCCAATTGCCGGATAGCTCGG</t>
  </si>
  <si>
    <t xml:space="preserve">AAACCCGAGCTATCCGGCAATTGG</t>
  </si>
  <si>
    <t xml:space="preserve">ATGAAATTGTTGCCAATTGT</t>
  </si>
  <si>
    <t xml:space="preserve">TAGTATGAAATTGTTGCCAATTGT</t>
  </si>
  <si>
    <t xml:space="preserve">AAACACAATTGGCAACAATTTCAT</t>
  </si>
  <si>
    <t xml:space="preserve">AGTCCCGTACGTTTCAAGTC</t>
  </si>
  <si>
    <t xml:space="preserve">TAGTAGTCCCGTACGTTTCAAGTC</t>
  </si>
  <si>
    <t xml:space="preserve">AAACGACTTGAAACGTACGGGACT</t>
  </si>
  <si>
    <t xml:space="preserve">PSPPH_2412</t>
  </si>
  <si>
    <t xml:space="preserve">mets</t>
  </si>
  <si>
    <t xml:space="preserve">ATTCGGGGTGGGCGGCGTAA</t>
  </si>
  <si>
    <t xml:space="preserve">TAGTATTCGGGGTGGGCGGCGTAA</t>
  </si>
  <si>
    <t xml:space="preserve">AAACTTACGCCGCCCACCCCGAAT</t>
  </si>
  <si>
    <t xml:space="preserve">GTCAGCGGCCAGAAACGGGC</t>
  </si>
  <si>
    <t xml:space="preserve">TAGTGTCAGCGGCCAGAAACGGGC</t>
  </si>
  <si>
    <t xml:space="preserve">AAACGCCCGTTTCTGGCCGCTGAC</t>
  </si>
  <si>
    <t xml:space="preserve">ACCGCGCTGGCGCTGGACCC</t>
  </si>
  <si>
    <t xml:space="preserve">TAGTACCGCGCTGGCGCTGGACCC</t>
  </si>
  <si>
    <t xml:space="preserve">AAACGGGTCCAGCGCCAGCGCGGT</t>
  </si>
  <si>
    <t xml:space="preserve">GGACTGGTAATCGTCGGAAT</t>
  </si>
  <si>
    <t xml:space="preserve">TAGTGGACTGGTAATCGTCGGAAT</t>
  </si>
  <si>
    <t xml:space="preserve">AAACATTCCGACGATTACCAGTCC</t>
  </si>
  <si>
    <t xml:space="preserve">PSPPH_2413</t>
  </si>
  <si>
    <t xml:space="preserve">TCTCGTAATCGATGAACATG</t>
  </si>
  <si>
    <t xml:space="preserve">TAGTTCTCGTAATCGATGAACATG</t>
  </si>
  <si>
    <t xml:space="preserve">AAACCATGTTCATCGATTACGAGA</t>
  </si>
  <si>
    <t xml:space="preserve">GATGCTGGCGCCGGTAATCC</t>
  </si>
  <si>
    <t xml:space="preserve">TAGTGATGCTGGCGCCGGTAATCC</t>
  </si>
  <si>
    <t xml:space="preserve">AAACGGATTACCGGCGCCAGCATC</t>
  </si>
  <si>
    <t xml:space="preserve">ACCGCTCGCCCCCAGACTGC</t>
  </si>
  <si>
    <t xml:space="preserve">TAGTACCGCTCGCCCCCAGACTGC</t>
  </si>
  <si>
    <t xml:space="preserve">AAACGCAGTCTGGGGGCGAGCGGT</t>
  </si>
  <si>
    <t xml:space="preserve">GTACAGGCGAACCAGTCCGC</t>
  </si>
  <si>
    <t xml:space="preserve">TAGTGTACAGGCGAACCAGTCCGC</t>
  </si>
  <si>
    <t xml:space="preserve">AAACGCGGACTGGTTCGCCTGTAC</t>
  </si>
  <si>
    <t xml:space="preserve">PSPPH_2414</t>
  </si>
  <si>
    <t xml:space="preserve">CCCGGCACGGGTGACGCGAG</t>
  </si>
  <si>
    <t xml:space="preserve">TAGTCCCGGCACGGGTGACGCGAG</t>
  </si>
  <si>
    <t xml:space="preserve">AAACCTCGCGTCACCCGTGCCGGG</t>
  </si>
  <si>
    <t xml:space="preserve">GCGCGTGCGGCGTGTCGTGG</t>
  </si>
  <si>
    <t xml:space="preserve">TAGTGCGCGTGCGGCGTGTCGTGG</t>
  </si>
  <si>
    <t xml:space="preserve">AAACCCACGACACGCCGCACGCGC</t>
  </si>
  <si>
    <t xml:space="preserve">CACGGCCAGCGCCCTCATGA</t>
  </si>
  <si>
    <t xml:space="preserve">TAGTCACGGCCAGCGCCCTCATGA</t>
  </si>
  <si>
    <t xml:space="preserve">AAACTCATGAGGGCGCTGGCCGTG</t>
  </si>
  <si>
    <t xml:space="preserve">CATTGCACCCGCGCAAACCC</t>
  </si>
  <si>
    <t xml:space="preserve">TAGTCATTGCACCCGCGCAAACCC</t>
  </si>
  <si>
    <t xml:space="preserve">AAACGGGTTTGCGCGGGTGCAATG</t>
  </si>
  <si>
    <t xml:space="preserve">PSPPH_2415</t>
  </si>
  <si>
    <t xml:space="preserve">GCGTCCGAGTGCAACGTGTG</t>
  </si>
  <si>
    <t xml:space="preserve">TAGTGCGTCCGAGTGCAACGTGTG</t>
  </si>
  <si>
    <t xml:space="preserve">AAACCACACGTTGCACTCGGACGC</t>
  </si>
  <si>
    <t xml:space="preserve">TGGACCAAAGCCGATACAGA</t>
  </si>
  <si>
    <t xml:space="preserve">TAGTTGGACCAAAGCCGATACAGA</t>
  </si>
  <si>
    <t xml:space="preserve">AAACTCTGTATCGGCTTTGGTCCA</t>
  </si>
  <si>
    <t xml:space="preserve">CAGGCCAGCGCGATGCCGGC</t>
  </si>
  <si>
    <t xml:space="preserve">TAGTCAGGCCAGCGCGATGCCGGC</t>
  </si>
  <si>
    <t xml:space="preserve">AAACGCCGGCATCGCGCTGGCCTG</t>
  </si>
  <si>
    <t xml:space="preserve">CAGCGAGCCGAGCGGGTCAT</t>
  </si>
  <si>
    <t xml:space="preserve">TAGTCAGCGAGCCGAGCGGGTCAT</t>
  </si>
  <si>
    <t xml:space="preserve">AAACATGACCCGCTCGGCTCGCTG</t>
  </si>
  <si>
    <t xml:space="preserve">PSPPH_2416</t>
  </si>
  <si>
    <t xml:space="preserve">CAGGCCAGACACCTTGAGAA</t>
  </si>
  <si>
    <t xml:space="preserve">TAGTCAGGCCAGACACCTTGAGAA</t>
  </si>
  <si>
    <t xml:space="preserve">AAACTTCTCAAGGTGTCTGGCCTG</t>
  </si>
  <si>
    <t xml:space="preserve">GGTTGAGTGATTCCATTTTC</t>
  </si>
  <si>
    <t xml:space="preserve">TAGTGGTTGAGTGATTCCATTTTC</t>
  </si>
  <si>
    <t xml:space="preserve">AAACGAAAATGGAATCACTCAACC</t>
  </si>
  <si>
    <t xml:space="preserve">TGAGCTTGATCGAGCCAGCC</t>
  </si>
  <si>
    <t xml:space="preserve">TAGTTGAGCTTGATCGAGCCAGCC</t>
  </si>
  <si>
    <t xml:space="preserve">AAACGGCTGGCTCGATCAAGCTCA</t>
  </si>
  <si>
    <t xml:space="preserve">GTCATTGATCAGCCCTACGG</t>
  </si>
  <si>
    <t xml:space="preserve">TAGTGTCATTGATCAGCCCTACGG</t>
  </si>
  <si>
    <t xml:space="preserve">AAACCCGTAGGGCTGATCAATGAC</t>
  </si>
  <si>
    <t xml:space="preserve">PSPPH_2417</t>
  </si>
  <si>
    <t xml:space="preserve">CGCGACGGTATGTGTCTGCA</t>
  </si>
  <si>
    <t xml:space="preserve">TAGTCGCGACGGTATGTGTCTGCA</t>
  </si>
  <si>
    <t xml:space="preserve">AAACTGCAGACACATACCGTCGCG</t>
  </si>
  <si>
    <t xml:space="preserve">TGCTCAAACCACGCGAGCCC</t>
  </si>
  <si>
    <t xml:space="preserve">TAGTTGCTCAAACCACGCGAGCCC</t>
  </si>
  <si>
    <t xml:space="preserve">AAACGGGCTCGCGTGGTTTGAGCA</t>
  </si>
  <si>
    <t xml:space="preserve">GCCGACCGGCATGGCGACTC</t>
  </si>
  <si>
    <t xml:space="preserve">TAGTGCCGACCGGCATGGCGACTC</t>
  </si>
  <si>
    <t xml:space="preserve">AAACGAGTCGCCATGCCGGTCGGC</t>
  </si>
  <si>
    <t xml:space="preserve">AACACTTCGATATTCAGCGA</t>
  </si>
  <si>
    <t xml:space="preserve">TAGTAACACTTCGATATTCAGCGA</t>
  </si>
  <si>
    <t xml:space="preserve">AAACTCGCTGAATATCGAAGTGTT</t>
  </si>
  <si>
    <t xml:space="preserve">PSPPH_2418</t>
  </si>
  <si>
    <t xml:space="preserve">rhtC</t>
  </si>
  <si>
    <t xml:space="preserve">GATGAACGCCCCCGCCAGCG</t>
  </si>
  <si>
    <t xml:space="preserve">TAGTGATGAACGCCCCCGCCAGCG</t>
  </si>
  <si>
    <t xml:space="preserve">AAACCGCTGGCGGGGGCGTTCATC</t>
  </si>
  <si>
    <t xml:space="preserve">ATTACCAGGAAGTTCGGGCC</t>
  </si>
  <si>
    <t xml:space="preserve">TAGTATTACCAGGAAGTTCGGGCC</t>
  </si>
  <si>
    <t xml:space="preserve">AAACGGCCCGAACTTCCTGGTAAT</t>
  </si>
  <si>
    <t xml:space="preserve">TGACTGGCTGAACGAGAGCT</t>
  </si>
  <si>
    <t xml:space="preserve">TAGTTGACTGGCTGAACGAGAGCT</t>
  </si>
  <si>
    <t xml:space="preserve">AAACAGCTCTCGTTCAGCCAGTCA</t>
  </si>
  <si>
    <t xml:space="preserve">GCCCGAGGCGACCCCCAGCC</t>
  </si>
  <si>
    <t xml:space="preserve">TAGTGCCCGAGGCGACCCCCAGCC</t>
  </si>
  <si>
    <t xml:space="preserve">AAACGGCTGGGGGTCGCCTCGGGC</t>
  </si>
  <si>
    <t xml:space="preserve">PSPPH_2419</t>
  </si>
  <si>
    <t xml:space="preserve">CGCCTGCACGGATTGAAGTC</t>
  </si>
  <si>
    <t xml:space="preserve">TAGTCGCCTGCACGGATTGAAGTC</t>
  </si>
  <si>
    <t xml:space="preserve">AAACGACTTCAATCCGTGCAGGCG</t>
  </si>
  <si>
    <t xml:space="preserve">TTTTATGCCGGTCTTCCGGC</t>
  </si>
  <si>
    <t xml:space="preserve">TAGTTTTTATGCCGGTCTTCCGGC</t>
  </si>
  <si>
    <t xml:space="preserve">AAACGCCGGAAGACCGGCATAAAA</t>
  </si>
  <si>
    <t xml:space="preserve">AAGCTGTCGGTAATCAGTAA</t>
  </si>
  <si>
    <t xml:space="preserve">TAGTAAGCTGTCGGTAATCAGTAA</t>
  </si>
  <si>
    <t xml:space="preserve">AAACTTACTGATTACCGACAGCTT</t>
  </si>
  <si>
    <t xml:space="preserve">CACGGCGCTGGCGATCATAT</t>
  </si>
  <si>
    <t xml:space="preserve">TAGTCACGGCGCTGGCGATCATAT</t>
  </si>
  <si>
    <t xml:space="preserve">AAACATATGATCGCCAGCGCCGTG</t>
  </si>
  <si>
    <t xml:space="preserve">PSPPH_2420</t>
  </si>
  <si>
    <t xml:space="preserve">CTGCACGGCGGGCTCATTCA</t>
  </si>
  <si>
    <t xml:space="preserve">TAGTCTGCACGGCGGGCTCATTCA</t>
  </si>
  <si>
    <t xml:space="preserve">AAACTGAATGAGCCCGCCGTGCAG</t>
  </si>
  <si>
    <t xml:space="preserve">CCCCGCCAACGATCCGACGC</t>
  </si>
  <si>
    <t xml:space="preserve">TAGTCCCCGCCAACGATCCGACGC</t>
  </si>
  <si>
    <t xml:space="preserve">AAACGCGTCGGATCGTTGGCGGGG</t>
  </si>
  <si>
    <t xml:space="preserve">GTAAACCAGGCGTCCCTGCC</t>
  </si>
  <si>
    <t xml:space="preserve">TAGTGTAAACCAGGCGTCCCTGCC</t>
  </si>
  <si>
    <t xml:space="preserve">AAACGGCAGGGACGCCTGGTTTAC</t>
  </si>
  <si>
    <t xml:space="preserve">ATCTGCCCAGCCGAGTGCGC</t>
  </si>
  <si>
    <t xml:space="preserve">TAGTATCTGCCCAGCCGAGTGCGC</t>
  </si>
  <si>
    <t xml:space="preserve">AAACGCGCACTCGGCTGGGCAGAT</t>
  </si>
  <si>
    <t xml:space="preserve">PSPPH_2421</t>
  </si>
  <si>
    <t xml:space="preserve">GACAACGAGATGATTTTTCA</t>
  </si>
  <si>
    <t xml:space="preserve">TAGTGACAACGAGATGATTTTTCA</t>
  </si>
  <si>
    <t xml:space="preserve">AAACTGAAAAATCATCTCGTTGTC</t>
  </si>
  <si>
    <t xml:space="preserve">CAAATTCGAAGGTGCACAAC</t>
  </si>
  <si>
    <t xml:space="preserve">TAGTCAAATTCGAAGGTGCACAAC</t>
  </si>
  <si>
    <t xml:space="preserve">AAACGTTGTGCACCTTCGAATTTG</t>
  </si>
  <si>
    <t xml:space="preserve">TACCAGTTGACCCCCAGTTC</t>
  </si>
  <si>
    <t xml:space="preserve">TAGTTACCAGTTGACCCCCAGTTC</t>
  </si>
  <si>
    <t xml:space="preserve">AAACGAACTGGGGGTCAACTGGTA</t>
  </si>
  <si>
    <t xml:space="preserve">CGGCCCATCGTCGACCGGGA</t>
  </si>
  <si>
    <t xml:space="preserve">TAGTCGGCCCATCGTCGACCGGGA</t>
  </si>
  <si>
    <t xml:space="preserve">AAACTCCCGGTCGACGATGGGCCG</t>
  </si>
  <si>
    <t xml:space="preserve">PSPPH_2422</t>
  </si>
  <si>
    <t xml:space="preserve">ACGTAGATACCGATATTGAG</t>
  </si>
  <si>
    <t xml:space="preserve">TAGTACGTAGATACCGATATTGAG</t>
  </si>
  <si>
    <t xml:space="preserve">AAACCTCAATATCGGTATCTACGT</t>
  </si>
  <si>
    <t xml:space="preserve">CGGTGGTGAACACTTCGTAG</t>
  </si>
  <si>
    <t xml:space="preserve">TAGTCGGTGGTGAACACTTCGTAG</t>
  </si>
  <si>
    <t xml:space="preserve">AAACCTACGAAGTGTTCACCACCG</t>
  </si>
  <si>
    <t xml:space="preserve">GCGAGCATGCATGCGTGTTG</t>
  </si>
  <si>
    <t xml:space="preserve">TAGTGCGAGCATGCATGCGTGTTG</t>
  </si>
  <si>
    <t xml:space="preserve">AAACCAACACGCATGCATGCTCGC</t>
  </si>
  <si>
    <t xml:space="preserve">TGAACAACTGCCGGTCATCG</t>
  </si>
  <si>
    <t xml:space="preserve">TAGTTGAACAACTGCCGGTCATCG</t>
  </si>
  <si>
    <t xml:space="preserve">AAACCGATGACCGGCAGTTGTTCA</t>
  </si>
  <si>
    <t xml:space="preserve">PSPPH_2423</t>
  </si>
  <si>
    <t xml:space="preserve">CCTGCACTCTGGTTTTGCAA</t>
  </si>
  <si>
    <t xml:space="preserve">TAGTCCTGCACTCTGGTTTTGCAA</t>
  </si>
  <si>
    <t xml:space="preserve">AAACTTGCAAAACCAGAGTGCAGG</t>
  </si>
  <si>
    <t xml:space="preserve">TTGAACGACTTTGAAGAAAT</t>
  </si>
  <si>
    <t xml:space="preserve">TAGTTTGAACGACTTTGAAGAAAT</t>
  </si>
  <si>
    <t xml:space="preserve">AAACATTTCTTCAAAGTCGTTCAA</t>
  </si>
  <si>
    <t xml:space="preserve">GAACGAACCGTGCTGGGCAA</t>
  </si>
  <si>
    <t xml:space="preserve">TAGTGAACGAACCGTGCTGGGCAA</t>
  </si>
  <si>
    <t xml:space="preserve">AAACTTGCCCAGCACGGTTCGTTC</t>
  </si>
  <si>
    <t xml:space="preserve">GCTGCAGCCCAGAATGGCTG</t>
  </si>
  <si>
    <t xml:space="preserve">TAGTGCTGCAGCCCAGAATGGCTG</t>
  </si>
  <si>
    <t xml:space="preserve">AAACCAGCCATTCTGGGCTGCAGC</t>
  </si>
  <si>
    <t xml:space="preserve">PSPPH_2424</t>
  </si>
  <si>
    <t xml:space="preserve">GCGAGGGGTGTTGTTCGGAG</t>
  </si>
  <si>
    <t xml:space="preserve">TAGTGCGAGGGGTGTTGTTCGGAG</t>
  </si>
  <si>
    <t xml:space="preserve">AAACCTCCGAACAACACCCCTCGC</t>
  </si>
  <si>
    <t xml:space="preserve">ACCGGGCAGGATGAGGATGT</t>
  </si>
  <si>
    <t xml:space="preserve">TAGTACCGGGCAGGATGAGGATGT</t>
  </si>
  <si>
    <t xml:space="preserve">AAACACATCCTCATCCTGCCCGGT</t>
  </si>
  <si>
    <t xml:space="preserve">GCTCGAGATAATGCTCATTC</t>
  </si>
  <si>
    <t xml:space="preserve">TAGTGCTCGAGATAATGCTCATTC</t>
  </si>
  <si>
    <t xml:space="preserve">AAACGAATGAGCATTATCTCGAGC</t>
  </si>
  <si>
    <t xml:space="preserve">GCGCCGCCACCAGCACGTAA</t>
  </si>
  <si>
    <t xml:space="preserve">TAGTGCGCCGCCACCAGCACGTAA</t>
  </si>
  <si>
    <t xml:space="preserve">AAACTTACGTGCTGGTGGCGGCGC</t>
  </si>
  <si>
    <t xml:space="preserve">PSPPH_2425</t>
  </si>
  <si>
    <t xml:space="preserve">treS</t>
  </si>
  <si>
    <t xml:space="preserve">CAGTCCACGTACTGCTTGTC</t>
  </si>
  <si>
    <t xml:space="preserve">TAGTCAGTCCACGTACTGCTTGTC</t>
  </si>
  <si>
    <t xml:space="preserve">AAACGACAAGCAGTACGTGGACTG</t>
  </si>
  <si>
    <t xml:space="preserve">GGTCTTGGCGCGCTGTCTTG</t>
  </si>
  <si>
    <t xml:space="preserve">TAGTGGTCTTGGCGCGCTGTCTTG</t>
  </si>
  <si>
    <t xml:space="preserve">AAACCAAGACAGCGCGCCAAGACC</t>
  </si>
  <si>
    <t xml:space="preserve">GAGCCTGCCCTGCCCCGAAT</t>
  </si>
  <si>
    <t xml:space="preserve">TAGTGAGCCTGCCCTGCCCCGAAT</t>
  </si>
  <si>
    <t xml:space="preserve">AAACATTCGGGGCAGGGCAGGCTC</t>
  </si>
  <si>
    <t xml:space="preserve">CTGGGACGTGCAAGGGCGAA</t>
  </si>
  <si>
    <t xml:space="preserve">TAGTCTGGGACGTGCAAGGGCGAA</t>
  </si>
  <si>
    <t xml:space="preserve">AAACTTCGCCCTTGCACGTCCCAG</t>
  </si>
  <si>
    <t xml:space="preserve">PSPPH_2426</t>
  </si>
  <si>
    <t xml:space="preserve">CTTGTACCTCGGCCCGGCAT</t>
  </si>
  <si>
    <t xml:space="preserve">TAGTCTTGTACCTCGGCCCGGCAT</t>
  </si>
  <si>
    <t xml:space="preserve">AAACATGCCGGGCCGAGGTACAAG</t>
  </si>
  <si>
    <t xml:space="preserve">TGGTCGGGAAGCTCGCAGTG</t>
  </si>
  <si>
    <t xml:space="preserve">TAGTTGGTCGGGAAGCTCGCAGTG</t>
  </si>
  <si>
    <t xml:space="preserve">AAACCACTGCGAGCTTCCCGACCA</t>
  </si>
  <si>
    <t xml:space="preserve">AGTGCTCAGTGGAGATGCTG</t>
  </si>
  <si>
    <t xml:space="preserve">TAGTAGTGCTCAGTGGAGATGCTG</t>
  </si>
  <si>
    <t xml:space="preserve">AAACCAGCATCTCCACTGAGCACT</t>
  </si>
  <si>
    <t xml:space="preserve">GACTGCTGTCGCCCCGAGGC</t>
  </si>
  <si>
    <t xml:space="preserve">TAGTGACTGCTGTCGCCCCGAGGC</t>
  </si>
  <si>
    <t xml:space="preserve">AAACGCCTCGGGGCGACAGCAGTC</t>
  </si>
  <si>
    <t xml:space="preserve">PSPPH_2427</t>
  </si>
  <si>
    <t xml:space="preserve">xylC</t>
  </si>
  <si>
    <t xml:space="preserve">AATCGCGCGGTGCAACAGGG</t>
  </si>
  <si>
    <t xml:space="preserve">TAGTAATCGCGCGGTGCAACAGGG</t>
  </si>
  <si>
    <t xml:space="preserve">AAACCCCTGTTGCACCGCGCGATT</t>
  </si>
  <si>
    <t xml:space="preserve">GTCGCCATTGAATACACATT</t>
  </si>
  <si>
    <t xml:space="preserve">TAGTGTCGCCATTGAATACACATT</t>
  </si>
  <si>
    <t xml:space="preserve">AAACAATGTGTATTCAATGGCGAC</t>
  </si>
  <si>
    <t xml:space="preserve">GGCAATAACGGGGATGAGGA</t>
  </si>
  <si>
    <t xml:space="preserve">TAGTGGCAATAACGGGGATGAGGA</t>
  </si>
  <si>
    <t xml:space="preserve">AAACTCCTCATCCCCGTTATTGCC</t>
  </si>
  <si>
    <t xml:space="preserve">CCGGTCGCAGGCTCGATGAC</t>
  </si>
  <si>
    <t xml:space="preserve">TAGTCCGGTCGCAGGCTCGATGAC</t>
  </si>
  <si>
    <t xml:space="preserve">AAACGTCATCGAGCCTGCGACCGG</t>
  </si>
  <si>
    <t xml:space="preserve">PSPPH_2428</t>
  </si>
  <si>
    <t xml:space="preserve">TGATCAGTGTTTTATTATTC</t>
  </si>
  <si>
    <t xml:space="preserve">TAGTTGATCAGTGTTTTATTATTC</t>
  </si>
  <si>
    <t xml:space="preserve">AAACGAATAATAAAACACTGATCA</t>
  </si>
  <si>
    <t xml:space="preserve">CAGCTCAGCGCCAATTCCGG</t>
  </si>
  <si>
    <t xml:space="preserve">TAGTCAGCTCAGCGCCAATTCCGG</t>
  </si>
  <si>
    <t xml:space="preserve">AAACCCGGAATTGGCGCTGAGCTG</t>
  </si>
  <si>
    <t xml:space="preserve">ACGATCGATGCCAATCACTC</t>
  </si>
  <si>
    <t xml:space="preserve">TAGTACGATCGATGCCAATCACTC</t>
  </si>
  <si>
    <t xml:space="preserve">AAACGAGTGATTGGCATCGATCGT</t>
  </si>
  <si>
    <t xml:space="preserve">AATCCGTCCACGGTCAGTTG</t>
  </si>
  <si>
    <t xml:space="preserve">TAGTAATCCGTCCACGGTCAGTTG</t>
  </si>
  <si>
    <t xml:space="preserve">AAACCAACTGACCGTGGACGGATT</t>
  </si>
  <si>
    <t xml:space="preserve">PSPPH_2429</t>
  </si>
  <si>
    <t xml:space="preserve">ACGGTACGCAAGATAGACTT</t>
  </si>
  <si>
    <t xml:space="preserve">TAGTACGGTACGCAAGATAGACTT</t>
  </si>
  <si>
    <t xml:space="preserve">AAACAAGTCTATCTTGCGTACCGT</t>
  </si>
  <si>
    <t xml:space="preserve">TGAAAGGCCGATGATTGATA</t>
  </si>
  <si>
    <t xml:space="preserve">TAGTTGAAAGGCCGATGATTGATA</t>
  </si>
  <si>
    <t xml:space="preserve">AAACTATCAATCATCGGCCTTTCA</t>
  </si>
  <si>
    <t xml:space="preserve">GGGCAAGTCATAGGCATAGG</t>
  </si>
  <si>
    <t xml:space="preserve">TAGTGGGCAAGTCATAGGCATAGG</t>
  </si>
  <si>
    <t xml:space="preserve">AAACCCTATGCCTATGACTTGCCC</t>
  </si>
  <si>
    <t xml:space="preserve">GTGTTGCCCAGATTAAGGCC</t>
  </si>
  <si>
    <t xml:space="preserve">TAGTGTGTTGCCCAGATTAAGGCC</t>
  </si>
  <si>
    <t xml:space="preserve">AAACGGCCTTAATCTGGGCAACAC</t>
  </si>
  <si>
    <t xml:space="preserve">PSPPH_2430</t>
  </si>
  <si>
    <t xml:space="preserve">ACGACGCAACGAACTGTTCA</t>
  </si>
  <si>
    <t xml:space="preserve">TAGTACGACGCAACGAACTGTTCA</t>
  </si>
  <si>
    <t xml:space="preserve">AAACTGAACAGTTCGTTGCGTCGT</t>
  </si>
  <si>
    <t xml:space="preserve">GACGATAAAACACAAGATGA</t>
  </si>
  <si>
    <t xml:space="preserve">TAGTGACGATAAAACACAAGATGA</t>
  </si>
  <si>
    <t xml:space="preserve">AAACTCATCTTGTGTTTTATCGTC</t>
  </si>
  <si>
    <t xml:space="preserve">CCGCCGTCCCGGCAGCCTGC</t>
  </si>
  <si>
    <t xml:space="preserve">TAGTCCGCCGTCCCGGCAGCCTGC</t>
  </si>
  <si>
    <t xml:space="preserve">AAACGCAGGCTGCCGGGACGGCGG</t>
  </si>
  <si>
    <t xml:space="preserve">GCCCATCATTTTCGGGTCAA</t>
  </si>
  <si>
    <t xml:space="preserve">TAGTGCCCATCATTTTCGGGTCAA</t>
  </si>
  <si>
    <t xml:space="preserve">AAACTTGACCCGAAAATGATGGGC</t>
  </si>
  <si>
    <t xml:space="preserve">PSPPH_2432</t>
  </si>
  <si>
    <t xml:space="preserve">GTCGGCAATGTCGGATGGCT</t>
  </si>
  <si>
    <t xml:space="preserve">TAGTGTCGGCAATGTCGGATGGCT</t>
  </si>
  <si>
    <t xml:space="preserve">AAACAGCCATCCGACATTGCCGAC</t>
  </si>
  <si>
    <t xml:space="preserve">CGGCAACCTGTGCGGAGGCT</t>
  </si>
  <si>
    <t xml:space="preserve">TAGTCGGCAACCTGTGCGGAGGCT</t>
  </si>
  <si>
    <t xml:space="preserve">AAACAGCCTCCGCACAGGTTGCCG</t>
  </si>
  <si>
    <t xml:space="preserve">ATCCGTTGGCAAAGCTGCTT</t>
  </si>
  <si>
    <t xml:space="preserve">TAGTATCCGTTGGCAAAGCTGCTT</t>
  </si>
  <si>
    <t xml:space="preserve">AAACAAGCAGCTTTGCCAACGGAT</t>
  </si>
  <si>
    <t xml:space="preserve">CTTGAGCTGTGCCCGGCGCA</t>
  </si>
  <si>
    <t xml:space="preserve">TAGTCTTGAGCTGTGCCCGGCGCA</t>
  </si>
  <si>
    <t xml:space="preserve">AAACTGCGCCGGGCACAGCTCAAG</t>
  </si>
  <si>
    <t xml:space="preserve">PSPPH_2433</t>
  </si>
  <si>
    <t xml:space="preserve">GCGACCTTCGTACTTGCTCA</t>
  </si>
  <si>
    <t xml:space="preserve">TAGTGCGACCTTCGTACTTGCTCA</t>
  </si>
  <si>
    <t xml:space="preserve">AAACTGAGCAAGTACGAAGGTCGC</t>
  </si>
  <si>
    <t xml:space="preserve">TTGCTCAATTTCGACCTTGA</t>
  </si>
  <si>
    <t xml:space="preserve">TAGTTTGCTCAATTTCGACCTTGA</t>
  </si>
  <si>
    <t xml:space="preserve">AAACTCAAGGTCGAAATTGAGCAA</t>
  </si>
  <si>
    <t xml:space="preserve">CTCATGGCATTGCGCTTTTC</t>
  </si>
  <si>
    <t xml:space="preserve">TAGTCTCATGGCATTGCGCTTTTC</t>
  </si>
  <si>
    <t xml:space="preserve">AAACGAAAAGCGCAATGCCATGAG</t>
  </si>
  <si>
    <t xml:space="preserve">TCATTTCACGGTTCAGGGTC</t>
  </si>
  <si>
    <t xml:space="preserve">TAGTTCATTTCACGGTTCAGGGTC</t>
  </si>
  <si>
    <t xml:space="preserve">AAACGACCCTGAACCGTGAAATGA</t>
  </si>
  <si>
    <t xml:space="preserve">PSPPH_2434</t>
  </si>
  <si>
    <t xml:space="preserve">vdh</t>
  </si>
  <si>
    <t xml:space="preserve">GACTGGCCGCCGATCAGCAG</t>
  </si>
  <si>
    <t xml:space="preserve">TAGTGACTGGCCGCCGATCAGCAG</t>
  </si>
  <si>
    <t xml:space="preserve">AAACCTGCTGATCGGCGGCCAGTC</t>
  </si>
  <si>
    <t xml:space="preserve">ATGTACGTCCATCACGGGCG</t>
  </si>
  <si>
    <t xml:space="preserve">TAGTATGTACGTCCATCACGGGCG</t>
  </si>
  <si>
    <t xml:space="preserve">AAACCGCCCGTGATGGACGTACAT</t>
  </si>
  <si>
    <t xml:space="preserve">AAACCACTTCGCCAGTCACC</t>
  </si>
  <si>
    <t xml:space="preserve">TAGTAAACCACTTCGCCAGTCACC</t>
  </si>
  <si>
    <t xml:space="preserve">AAACGGTGACTGGCGAAGTGGTTT</t>
  </si>
  <si>
    <t xml:space="preserve">GGCATCTTCCAGGGTCGCTG</t>
  </si>
  <si>
    <t xml:space="preserve">TAGTGGCATCTTCCAGGGTCGCTG</t>
  </si>
  <si>
    <t xml:space="preserve">AAACCAGCGACCCTGGAAGATGCC</t>
  </si>
  <si>
    <t xml:space="preserve">PSPPH_2435</t>
  </si>
  <si>
    <t xml:space="preserve">fcs</t>
  </si>
  <si>
    <t xml:space="preserve">CGATCGGGCAATTGCGCCAG</t>
  </si>
  <si>
    <t xml:space="preserve">TAGTCGATCGGGCAATTGCGCCAG</t>
  </si>
  <si>
    <t xml:space="preserve">AAACCTGGCGCAATTGCCCGATCG</t>
  </si>
  <si>
    <t xml:space="preserve">TGCTGGCCCAGTACACCAAT</t>
  </si>
  <si>
    <t xml:space="preserve">TAGTTGCTGGCCCAGTACACCAAT</t>
  </si>
  <si>
    <t xml:space="preserve">AAACATTGGTGTACTGGGCCAGCA</t>
  </si>
  <si>
    <t xml:space="preserve">CAATAAAGGTTTGCTGCGGA</t>
  </si>
  <si>
    <t xml:space="preserve">TAGTCAATAAAGGTTTGCTGCGGA</t>
  </si>
  <si>
    <t xml:space="preserve">AAACTCCGCAGCAAACCTTTATTG</t>
  </si>
  <si>
    <t xml:space="preserve">GCCACCACGGCTGTAGCGGG</t>
  </si>
  <si>
    <t xml:space="preserve">TAGTGCCACCACGGCTGTAGCGGG</t>
  </si>
  <si>
    <t xml:space="preserve">AAACCCCGCTACAGCCGTGGTGGC</t>
  </si>
  <si>
    <t xml:space="preserve">PSPPH_2436</t>
  </si>
  <si>
    <t xml:space="preserve">CGTGCGCACTGCGTCGACAA</t>
  </si>
  <si>
    <t xml:space="preserve">TAGTCGTGCGCACTGCGTCGACAA</t>
  </si>
  <si>
    <t xml:space="preserve">AAACTTGTCGACGCAGTGCGCACG</t>
  </si>
  <si>
    <t xml:space="preserve">GCGCCGCCCAGATCGACCCA</t>
  </si>
  <si>
    <t xml:space="preserve">TAGTGCGCCGCCCAGATCGACCCA</t>
  </si>
  <si>
    <t xml:space="preserve">AAACTGGGTCGATCTGGGCGGCGC</t>
  </si>
  <si>
    <t xml:space="preserve">ACCTTTATACCCAAATCGAT</t>
  </si>
  <si>
    <t xml:space="preserve">TAGTACCTTTATACCCAAATCGAT</t>
  </si>
  <si>
    <t xml:space="preserve">AAACATCGATTTGGGTATAAAGGT</t>
  </si>
  <si>
    <t xml:space="preserve">GTCGACCTGACCTGGCTGAG</t>
  </si>
  <si>
    <t xml:space="preserve">TAGTGTCGACCTGACCTGGCTGAG</t>
  </si>
  <si>
    <t xml:space="preserve">AAACCTCAGCCAGGTCAGGTCGAC</t>
  </si>
  <si>
    <t xml:space="preserve">PSPPH_2437</t>
  </si>
  <si>
    <t xml:space="preserve">ATCGAAAGAAAGCTCAGCGA</t>
  </si>
  <si>
    <t xml:space="preserve">TAGTATCGAAAGAAAGCTCAGCGA</t>
  </si>
  <si>
    <t xml:space="preserve">AAACTCGCTGAGCTTTCTTTCGAT</t>
  </si>
  <si>
    <t xml:space="preserve">GCGAGCGTACCGCCAGATCC</t>
  </si>
  <si>
    <t xml:space="preserve">TAGTGCGAGCGTACCGCCAGATCC</t>
  </si>
  <si>
    <t xml:space="preserve">AAACGGATCTGGCGGTACGCTCGC</t>
  </si>
  <si>
    <t xml:space="preserve">GAACGCTCTTTTCTCTTCGT</t>
  </si>
  <si>
    <t xml:space="preserve">TAGTGAACGCTCTTTTCTCTTCGT</t>
  </si>
  <si>
    <t xml:space="preserve">AAACACGAAGAGAAAAGAGCGTTC</t>
  </si>
  <si>
    <t xml:space="preserve">CGGCGAGTAGCCATCGGCAT</t>
  </si>
  <si>
    <t xml:space="preserve">TAGTCGGCGAGTAGCCATCGGCAT</t>
  </si>
  <si>
    <t xml:space="preserve">AAACATGCCGATGGCTACTCGCCG</t>
  </si>
  <si>
    <t xml:space="preserve">PSPPH_2438</t>
  </si>
  <si>
    <t xml:space="preserve">ACGACGTCACGGTGTGGCAT</t>
  </si>
  <si>
    <t xml:space="preserve">TAGTACGACGTCACGGTGTGGCAT</t>
  </si>
  <si>
    <t xml:space="preserve">AAACATGCCACACCGTGACGTCGT</t>
  </si>
  <si>
    <t xml:space="preserve">AAAGCGCCTGACGACCAGCG</t>
  </si>
  <si>
    <t xml:space="preserve">TAGTAAAGCGCCTGACGACCAGCG</t>
  </si>
  <si>
    <t xml:space="preserve">AAACCGCTGGTCGTCAGGCGCTTT</t>
  </si>
  <si>
    <t xml:space="preserve">AAACCATTGGAGCGTACCGC</t>
  </si>
  <si>
    <t xml:space="preserve">TAGTAAACCATTGGAGCGTACCGC</t>
  </si>
  <si>
    <t xml:space="preserve">AAACGCGGTACGCTCCAATGGTTT</t>
  </si>
  <si>
    <t xml:space="preserve">TGCTTTTCGAGATCCGGCTC</t>
  </si>
  <si>
    <t xml:space="preserve">TAGTTGCTTTTCGAGATCCGGCTC</t>
  </si>
  <si>
    <t xml:space="preserve">AAACGAGCCGGATCTCGAAAAGCA</t>
  </si>
  <si>
    <t xml:space="preserve">PSPPH_2439</t>
  </si>
  <si>
    <t xml:space="preserve">ACGCTTGCATCGCGTCAAAA</t>
  </si>
  <si>
    <t xml:space="preserve">TAGTACGCTTGCATCGCGTCAAAA</t>
  </si>
  <si>
    <t xml:space="preserve">AAACTTTTGACGCGATGCAAGCGT</t>
  </si>
  <si>
    <t xml:space="preserve">GCTGCCTGTTTCCACCACTC</t>
  </si>
  <si>
    <t xml:space="preserve">TAGTGCTGCCTGTTTCCACCACTC</t>
  </si>
  <si>
    <t xml:space="preserve">AAACGAGTGGTGGAAACAGGCAGC</t>
  </si>
  <si>
    <t xml:space="preserve">GTGCAGCGTGGCGGCAGCTT</t>
  </si>
  <si>
    <t xml:space="preserve">TAGTGTGCAGCGTGGCGGCAGCTT</t>
  </si>
  <si>
    <t xml:space="preserve">AAACAAGCTGCCGCCACGCTGCAC</t>
  </si>
  <si>
    <t xml:space="preserve">CTGCACCAGCTGCGTCACGC</t>
  </si>
  <si>
    <t xml:space="preserve">TAGTCTGCACCAGCTGCGTCACGC</t>
  </si>
  <si>
    <t xml:space="preserve">AAACGCGTGACGCAGCTGGTGCAG</t>
  </si>
  <si>
    <t xml:space="preserve">PSPPH_2440</t>
  </si>
  <si>
    <t xml:space="preserve">AAAAAGGTCATGGCTGCCAG</t>
  </si>
  <si>
    <t xml:space="preserve">TAGTAAAAAGGTCATGGCTGCCAG</t>
  </si>
  <si>
    <t xml:space="preserve">AAACCTGGCAGCCATGACCTTTTT</t>
  </si>
  <si>
    <t xml:space="preserve">GTTGCTCTTGCCCGAAGCGT</t>
  </si>
  <si>
    <t xml:space="preserve">TAGTGTTGCTCTTGCCCGAAGCGT</t>
  </si>
  <si>
    <t xml:space="preserve">AAACACGCTTCGGGCAAGAGCAAC</t>
  </si>
  <si>
    <t xml:space="preserve">TGAGCAAACGAATAGCTTCA</t>
  </si>
  <si>
    <t xml:space="preserve">TAGTTGAGCAAACGAATAGCTTCA</t>
  </si>
  <si>
    <t xml:space="preserve">AAACTGAAGCTATTCGTTTGCTCA</t>
  </si>
  <si>
    <t xml:space="preserve">GTCTTCAAGACGGCTGCCTT</t>
  </si>
  <si>
    <t xml:space="preserve">TAGTGTCTTCAAGACGGCTGCCTT</t>
  </si>
  <si>
    <t xml:space="preserve">AAACAAGGCAGCCGTCTTGAAGAC</t>
  </si>
  <si>
    <t xml:space="preserve">PSPPH_2442</t>
  </si>
  <si>
    <t xml:space="preserve">AAGAAACACCACATTGCGCA</t>
  </si>
  <si>
    <t xml:space="preserve">TAGTAAGAAACACCACATTGCGCA</t>
  </si>
  <si>
    <t xml:space="preserve">AAACTGCGCAATGTGGTGTTTCTT</t>
  </si>
  <si>
    <t xml:space="preserve">TCACGCATCAGCGCAGGACG</t>
  </si>
  <si>
    <t xml:space="preserve">TAGTTCACGCATCAGCGCAGGACG</t>
  </si>
  <si>
    <t xml:space="preserve">AAACCGTCCTGCGCTGATGCGTGA</t>
  </si>
  <si>
    <t xml:space="preserve">TGCTGCCGTCCTCTTTGATG</t>
  </si>
  <si>
    <t xml:space="preserve">TAGTTGCTGCCGTCCTCTTTGATG</t>
  </si>
  <si>
    <t xml:space="preserve">AAACCATCAAAGAGGACGGCAGCA</t>
  </si>
  <si>
    <t xml:space="preserve">TCCTGTATAGGACCGCAGAC</t>
  </si>
  <si>
    <t xml:space="preserve">TAGTTCCTGTATAGGACCGCAGAC</t>
  </si>
  <si>
    <t xml:space="preserve">AAACGTCTGCGGTCCTATACAGGA</t>
  </si>
  <si>
    <t xml:space="preserve">PSPPH_2443</t>
  </si>
  <si>
    <t xml:space="preserve">AGAGGTATCAATCAAGCAGA</t>
  </si>
  <si>
    <t xml:space="preserve">TAGTAGAGGTATCAATCAAGCAGA</t>
  </si>
  <si>
    <t xml:space="preserve">AAACTCTGCTTGATTGATACCTCT</t>
  </si>
  <si>
    <t xml:space="preserve">ATGTGTTGTTGCGCCTTGAT</t>
  </si>
  <si>
    <t xml:space="preserve">TAGTATGTGTTGTTGCGCCTTGAT</t>
  </si>
  <si>
    <t xml:space="preserve">AAACATCAAGGCGCAACAACACAT</t>
  </si>
  <si>
    <t xml:space="preserve">GCGTTGTTCTAACTGACGAA</t>
  </si>
  <si>
    <t xml:space="preserve">TAGTGCGTTGTTCTAACTGACGAA</t>
  </si>
  <si>
    <t xml:space="preserve">AAACTTCGTCAGTTAGAACAACGC</t>
  </si>
  <si>
    <t xml:space="preserve">GTTTCGAGTATCGTAGCCAT</t>
  </si>
  <si>
    <t xml:space="preserve">TAGTGTTTCGAGTATCGTAGCCAT</t>
  </si>
  <si>
    <t xml:space="preserve">AAACATGGCTACGATACTCGAAAC</t>
  </si>
  <si>
    <t xml:space="preserve">PSPPH_2444</t>
  </si>
  <si>
    <t xml:space="preserve">ACGAACCTGGCGCAACGTCA</t>
  </si>
  <si>
    <t xml:space="preserve">TAGTACGAACCTGGCGCAACGTCA</t>
  </si>
  <si>
    <t xml:space="preserve">AAACTGACGTTGCGCCAGGTTCGT</t>
  </si>
  <si>
    <t xml:space="preserve">CTGCGAGATTTGCCCGATCT</t>
  </si>
  <si>
    <t xml:space="preserve">TAGTCTGCGAGATTTGCCCGATCT</t>
  </si>
  <si>
    <t xml:space="preserve">AAACAGATCGGGCAAATCTCGCAG</t>
  </si>
  <si>
    <t xml:space="preserve">CCGCAGACTGGGAAATGTTC</t>
  </si>
  <si>
    <t xml:space="preserve">TAGTCCGCAGACTGGGAAATGTTC</t>
  </si>
  <si>
    <t xml:space="preserve">AAACGAACATTTCCCAGTCTGCGG</t>
  </si>
  <si>
    <t xml:space="preserve">TTCCAGTTCCTTGATTGCCG</t>
  </si>
  <si>
    <t xml:space="preserve">TAGTTTCCAGTTCCTTGATTGCCG</t>
  </si>
  <si>
    <t xml:space="preserve">AAACCGGCAATCAAGGAACTGGAA</t>
  </si>
  <si>
    <t xml:space="preserve">PSPPH_2445</t>
  </si>
  <si>
    <t xml:space="preserve">CGAGTTGAAATCCACCTGCA</t>
  </si>
  <si>
    <t xml:space="preserve">TAGTCGAGTTGAAATCCACCTGCA</t>
  </si>
  <si>
    <t xml:space="preserve">AAACTGCAGGTGGATTTCAACTCG</t>
  </si>
  <si>
    <t xml:space="preserve">GTTATCGACACCATCACCAA</t>
  </si>
  <si>
    <t xml:space="preserve">TAGTGTTATCGACACCATCACCAA</t>
  </si>
  <si>
    <t xml:space="preserve">AAACTTGGTGATGGTGTCGATAAC</t>
  </si>
  <si>
    <t xml:space="preserve">GACGTTGGCGGAACTGATGA</t>
  </si>
  <si>
    <t xml:space="preserve">TAGTGACGTTGGCGGAACTGATGA</t>
  </si>
  <si>
    <t xml:space="preserve">AAACTCATCAGTTCCGCCAACGTC</t>
  </si>
  <si>
    <t xml:space="preserve">GGGGTCACCCGCGTGAAAAC</t>
  </si>
  <si>
    <t xml:space="preserve">TAGTGGGGTCACCCGCGTGAAAAC</t>
  </si>
  <si>
    <t xml:space="preserve">AAACGTTTTCACGCGGGTGACCCC</t>
  </si>
  <si>
    <t xml:space="preserve">PSPPH_2446</t>
  </si>
  <si>
    <t xml:space="preserve">GCGCCAAAGCTGTAGCGAAT</t>
  </si>
  <si>
    <t xml:space="preserve">TAGTGCGCCAAAGCTGTAGCGAAT</t>
  </si>
  <si>
    <t xml:space="preserve">AAACATTCGCTACAGCTTTGGCGC</t>
  </si>
  <si>
    <t xml:space="preserve">TTCCAGACGCTCGACTGCAC</t>
  </si>
  <si>
    <t xml:space="preserve">TAGTTTCCAGACGCTCGACTGCAC</t>
  </si>
  <si>
    <t xml:space="preserve">AAACGTGCAGTCGAGCGTCTGGAA</t>
  </si>
  <si>
    <t xml:space="preserve">TCTGGAACGACGCGTTGGCC</t>
  </si>
  <si>
    <t xml:space="preserve">TAGTTCTGGAACGACGCGTTGGCC</t>
  </si>
  <si>
    <t xml:space="preserve">AAACGGCCAACGCGTCGTTCCAGA</t>
  </si>
  <si>
    <t xml:space="preserve">CGATACGGTCTGGGTCGAAG</t>
  </si>
  <si>
    <t xml:space="preserve">TAGTCGATACGGTCTGGGTCGAAG</t>
  </si>
  <si>
    <t xml:space="preserve">AAACCTTCGACCCAGACCGTATCG</t>
  </si>
  <si>
    <t xml:space="preserve">PSPPH_2447</t>
  </si>
  <si>
    <t xml:space="preserve">TGCACCGAGGTCGCCAGACC</t>
  </si>
  <si>
    <t xml:space="preserve">TAGTTGCACCGAGGTCGCCAGACC</t>
  </si>
  <si>
    <t xml:space="preserve">AAACGGTCTGGCGACCTCGGTGCA</t>
  </si>
  <si>
    <t xml:space="preserve">CCAGGTGGTAATAGCCTTCG</t>
  </si>
  <si>
    <t xml:space="preserve">TAGTCCAGGTGGTAATAGCCTTCG</t>
  </si>
  <si>
    <t xml:space="preserve">AAACCGAAGGCTATTACCACCTGG</t>
  </si>
  <si>
    <t xml:space="preserve">TGGTCCAGCGCACCCGAGGG</t>
  </si>
  <si>
    <t xml:space="preserve">TAGTTGGTCCAGCGCACCCGAGGG</t>
  </si>
  <si>
    <t xml:space="preserve">AAACCCCTCGGGTGCGCTGGACCA</t>
  </si>
  <si>
    <t xml:space="preserve">TGGCAGCGCTGAGCGCATAC</t>
  </si>
  <si>
    <t xml:space="preserve">TAGTTGGCAGCGCTGAGCGCATAC</t>
  </si>
  <si>
    <t xml:space="preserve">AAACGTATGCGCTCAGCGCTGCCA</t>
  </si>
  <si>
    <t xml:space="preserve">PSPPH_2448</t>
  </si>
  <si>
    <t xml:space="preserve">GTTGGCCTGGGCCTGCGCCT</t>
  </si>
  <si>
    <t xml:space="preserve">TAGTGTTGGCCTGGGCCTGCGCCT</t>
  </si>
  <si>
    <t xml:space="preserve">AAACAGGCGCAGGCCCAGGCCAAC</t>
  </si>
  <si>
    <t xml:space="preserve">CCGTCTCGACAATATGTGCC</t>
  </si>
  <si>
    <t xml:space="preserve">TAGTCCGTCTCGACAATATGTGCC</t>
  </si>
  <si>
    <t xml:space="preserve">AAACGGCACATATTGTCGAGACGG</t>
  </si>
  <si>
    <t xml:space="preserve">GCCGTGCTCGCGAAACTGGA</t>
  </si>
  <si>
    <t xml:space="preserve">TAGTGCCGTGCTCGCGAAACTGGA</t>
  </si>
  <si>
    <t xml:space="preserve">AAACTCCAGTTTCGCGAGCACGGC</t>
  </si>
  <si>
    <t xml:space="preserve">GCCGTGGGTAAAACCCGCTG</t>
  </si>
  <si>
    <t xml:space="preserve">TAGTGCCGTGGGTAAAACCCGCTG</t>
  </si>
  <si>
    <t xml:space="preserve">AAACCAGCGGGTTTTACCCACGGC</t>
  </si>
  <si>
    <t xml:space="preserve">PSPPH_2451</t>
  </si>
  <si>
    <t xml:space="preserve">oprE</t>
  </si>
  <si>
    <t xml:space="preserve">GCGCGATTGATACGCTCCAT</t>
  </si>
  <si>
    <t xml:space="preserve">TAGTGCGCGATTGATACGCTCCAT</t>
  </si>
  <si>
    <t xml:space="preserve">AAACATGGAGCGTATCAATCGCGC</t>
  </si>
  <si>
    <t xml:space="preserve">AAAGCCCGCAACGAAAGGGG</t>
  </si>
  <si>
    <t xml:space="preserve">TAGTAAAGCCCGCAACGAAAGGGG</t>
  </si>
  <si>
    <t xml:space="preserve">AAACCCCCTTTCGTTGCGGGCTTT</t>
  </si>
  <si>
    <t xml:space="preserve">AGCTCTGCTGCGCGATCAGC</t>
  </si>
  <si>
    <t xml:space="preserve">TAGTAGCTCTGCTGCGCGATCAGC</t>
  </si>
  <si>
    <t xml:space="preserve">AAACGCTGATCGCGCAGCAGAGCT</t>
  </si>
  <si>
    <t xml:space="preserve">GAAGTTGCGCGCCAGAATGC</t>
  </si>
  <si>
    <t xml:space="preserve">TAGTGAAGTTGCGCGCCAGAATGC</t>
  </si>
  <si>
    <t xml:space="preserve">AAACGCATTCTGGCGCGCAACTTC</t>
  </si>
  <si>
    <t xml:space="preserve">PSPPH_2452</t>
  </si>
  <si>
    <t xml:space="preserve">CGGGTGGCTCGGCGTGGTCA</t>
  </si>
  <si>
    <t xml:space="preserve">TAGTCGGGTGGCTCGGCGTGGTCA</t>
  </si>
  <si>
    <t xml:space="preserve">AAACTGACCACGCCGAGCCACCCG</t>
  </si>
  <si>
    <t xml:space="preserve">GCCTGTTTGAAGGTCAGGGC</t>
  </si>
  <si>
    <t xml:space="preserve">TAGTGCCTGTTTGAAGGTCAGGGC</t>
  </si>
  <si>
    <t xml:space="preserve">AAACGCCCTGACCTTCAAACAGGC</t>
  </si>
  <si>
    <t xml:space="preserve">AATGCCGAGCATGGCCAGCA</t>
  </si>
  <si>
    <t xml:space="preserve">TAGTAATGCCGAGCATGGCCAGCA</t>
  </si>
  <si>
    <t xml:space="preserve">AAACTGCTGGCCATGCTCGGCATT</t>
  </si>
  <si>
    <t xml:space="preserve">TGCGGACAGCATCAGCACCA</t>
  </si>
  <si>
    <t xml:space="preserve">TAGTTGCGGACAGCATCAGCACCA</t>
  </si>
  <si>
    <t xml:space="preserve">AAACTGGTGCTGATGCTGTCCGCA</t>
  </si>
  <si>
    <t xml:space="preserve">PSPPH_2453</t>
  </si>
  <si>
    <t xml:space="preserve">aspB</t>
  </si>
  <si>
    <t xml:space="preserve">CGGGCGAGCAATGCCTGCGG</t>
  </si>
  <si>
    <t xml:space="preserve">TAGTCGGGCGAGCAATGCCTGCGG</t>
  </si>
  <si>
    <t xml:space="preserve">AAACCCGCAGGCATTGCTCGCCCG</t>
  </si>
  <si>
    <t xml:space="preserve">AACCAATGCTGCACCAAAAG</t>
  </si>
  <si>
    <t xml:space="preserve">TAGTAACCAATGCTGCACCAAAAG</t>
  </si>
  <si>
    <t xml:space="preserve">AAACCTTTTGGTGCAGCATTGGTT</t>
  </si>
  <si>
    <t xml:space="preserve">CGAGTTTGTTCTGGGTTGAT</t>
  </si>
  <si>
    <t xml:space="preserve">TAGTCGAGTTTGTTCTGGGTTGAT</t>
  </si>
  <si>
    <t xml:space="preserve">AAACATCAACCCAGAACAAACTCG</t>
  </si>
  <si>
    <t xml:space="preserve">GTTACGAGCCTGCAGACGGC</t>
  </si>
  <si>
    <t xml:space="preserve">TAGTGTTACGAGCCTGCAGACGGC</t>
  </si>
  <si>
    <t xml:space="preserve">AAACGCCGTCTGCAGGCTCGTAAC</t>
  </si>
  <si>
    <t xml:space="preserve">PSPPH_2454</t>
  </si>
  <si>
    <t xml:space="preserve">TTTCAAGCGGCGAAGGTTCA</t>
  </si>
  <si>
    <t xml:space="preserve">TAGTTTTCAAGCGGCGAAGGTTCA</t>
  </si>
  <si>
    <t xml:space="preserve">AAACTGAACCTTCGCCGCTTGAAA</t>
  </si>
  <si>
    <t xml:space="preserve">GTACATCGGCGGCTTGGGTC</t>
  </si>
  <si>
    <t xml:space="preserve">TAGTGTACATCGGCGGCTTGGGTC</t>
  </si>
  <si>
    <t xml:space="preserve">AAACGACCCAAGCCGCCGATGTAC</t>
  </si>
  <si>
    <t xml:space="preserve">ACCAATTGCTGGCTTAACGC</t>
  </si>
  <si>
    <t xml:space="preserve">TAGTACCAATTGCTGGCTTAACGC</t>
  </si>
  <si>
    <t xml:space="preserve">AAACGCGTTAAGCCAGCAATTGGT</t>
  </si>
  <si>
    <t xml:space="preserve">CAGCAACTGCTGCTGCAACT</t>
  </si>
  <si>
    <t xml:space="preserve">TAGTCAGCAACTGCTGCTGCAACT</t>
  </si>
  <si>
    <t xml:space="preserve">AAACAGTTGCAGCAGCAGTTGCTG</t>
  </si>
  <si>
    <t xml:space="preserve">PSPPH_2455</t>
  </si>
  <si>
    <t xml:space="preserve">accB1</t>
  </si>
  <si>
    <t xml:space="preserve">GGCAAAAGAAATGTGGCTGA</t>
  </si>
  <si>
    <t xml:space="preserve">TAGTGGCAAAAGAAATGTGGCTGA</t>
  </si>
  <si>
    <t xml:space="preserve">AAACTCAGCCACATTTCTTTTGCC</t>
  </si>
  <si>
    <t xml:space="preserve">TTCATGCAAGAGCCCTTGCC</t>
  </si>
  <si>
    <t xml:space="preserve">TAGTTTCATGCAAGAGCCCTTGCC</t>
  </si>
  <si>
    <t xml:space="preserve">AAACGGCAAGGGCTCTTGCATGAA</t>
  </si>
  <si>
    <t xml:space="preserve">ATAAGTGCTTTGATACGTTC</t>
  </si>
  <si>
    <t xml:space="preserve">TAGTATAAGTGCTTTGATACGTTC</t>
  </si>
  <si>
    <t xml:space="preserve">AAACGAACGTATCAAAGCACTTAT</t>
  </si>
  <si>
    <t xml:space="preserve">TCAGGTCCGATTCGGCCATC</t>
  </si>
  <si>
    <t xml:space="preserve">TAGTTCAGGTCCGATTCGGCCATC</t>
  </si>
  <si>
    <t xml:space="preserve">AAACGATGGCCGAATCGGACCTGA</t>
  </si>
  <si>
    <t xml:space="preserve">PSPPH_2456</t>
  </si>
  <si>
    <t xml:space="preserve">accC1</t>
  </si>
  <si>
    <t xml:space="preserve">GCAGGCGCGCTGGATGCACA</t>
  </si>
  <si>
    <t xml:space="preserve">TAGTGCAGGCGCGCTGGATGCACA</t>
  </si>
  <si>
    <t xml:space="preserve">AAACTGTGCATCCAGCGCGCCTGC</t>
  </si>
  <si>
    <t xml:space="preserve">CCGCAACCGTACTCAGGCCC</t>
  </si>
  <si>
    <t xml:space="preserve">TAGTCCGCAACCGTACTCAGGCCC</t>
  </si>
  <si>
    <t xml:space="preserve">AAACGGGCCTGAGTACGGTTGCGG</t>
  </si>
  <si>
    <t xml:space="preserve">GCTGGCATCGCGATCCGCTT</t>
  </si>
  <si>
    <t xml:space="preserve">TAGTGCTGGCATCGCGATCCGCTT</t>
  </si>
  <si>
    <t xml:space="preserve">AAACAAGCGGATCGCGATGCCAGC</t>
  </si>
  <si>
    <t xml:space="preserve">GCCTATGCACAGTGACTCAT</t>
  </si>
  <si>
    <t xml:space="preserve">TAGTGCCTATGCACAGTGACTCAT</t>
  </si>
  <si>
    <t xml:space="preserve">AAACATGAGTCACTGTGCATAGGC</t>
  </si>
  <si>
    <t xml:space="preserve">PSPPH_2457</t>
  </si>
  <si>
    <t xml:space="preserve">TCGTGGCGGCAACTGCTGGA</t>
  </si>
  <si>
    <t xml:space="preserve">TAGTTCGTGGCGGCAACTGCTGGA</t>
  </si>
  <si>
    <t xml:space="preserve">AAACTCCAGCAGTTGCCGCCACGA</t>
  </si>
  <si>
    <t xml:space="preserve">TGCTTCGAACAGCAAGGCGG</t>
  </si>
  <si>
    <t xml:space="preserve">TAGTTGCTTCGAACAGCAAGGCGG</t>
  </si>
  <si>
    <t xml:space="preserve">AAACCCGCCTTGCTGTTCGAAGCA</t>
  </si>
  <si>
    <t xml:space="preserve">GCTGCCAGCTCAAGCTCGCC</t>
  </si>
  <si>
    <t xml:space="preserve">TAGTGCTGCCAGCTCAAGCTCGCC</t>
  </si>
  <si>
    <t xml:space="preserve">AAACGGCGAGCTTGAGCTGGCAGC</t>
  </si>
  <si>
    <t xml:space="preserve">CGGCCAGTCCTTGCTCAGGC</t>
  </si>
  <si>
    <t xml:space="preserve">TAGTCGGCCAGTCCTTGCTCAGGC</t>
  </si>
  <si>
    <t xml:space="preserve">AAACGCCTGAGCAAGGACTGGCCG</t>
  </si>
  <si>
    <t xml:space="preserve">PSPPH_2458</t>
  </si>
  <si>
    <t xml:space="preserve">CTGGACCGTCGCCAGTGCGG</t>
  </si>
  <si>
    <t xml:space="preserve">TAGTCTGGACCGTCGCCAGTGCGG</t>
  </si>
  <si>
    <t xml:space="preserve">AAACCCGCACTGGCGACGGTCCAG</t>
  </si>
  <si>
    <t xml:space="preserve">AGGTGCCGACGCCGTAGCCC</t>
  </si>
  <si>
    <t xml:space="preserve">TAGTAGGTGCCGACGCCGTAGCCC</t>
  </si>
  <si>
    <t xml:space="preserve">AAACGGGCTACGGCGTCGGCACCT</t>
  </si>
  <si>
    <t xml:space="preserve">CAGAGTGTCCATTGCGCCGG</t>
  </si>
  <si>
    <t xml:space="preserve">TAGTCAGAGTGTCCATTGCGCCGG</t>
  </si>
  <si>
    <t xml:space="preserve">AAACCCGGCGCAATGGACACTCTG</t>
  </si>
  <si>
    <t xml:space="preserve">CGCACTTCGAACGGGAACAG</t>
  </si>
  <si>
    <t xml:space="preserve">TAGTCGCACTTCGAACGGGAACAG</t>
  </si>
  <si>
    <t xml:space="preserve">AAACCTGTTCCCGTTCGAAGTGCG</t>
  </si>
  <si>
    <t xml:space="preserve">PSPPH_2459</t>
  </si>
  <si>
    <t xml:space="preserve">CACGAATCCAGCCTGCCAGT</t>
  </si>
  <si>
    <t xml:space="preserve">TAGTCACGAATCCAGCCTGCCAGT</t>
  </si>
  <si>
    <t xml:space="preserve">AAACACTGGCAGGCTGGATTCGTG</t>
  </si>
  <si>
    <t xml:space="preserve">CAGTTCAAGAACCGTGAGCC</t>
  </si>
  <si>
    <t xml:space="preserve">TAGTCAGTTCAAGAACCGTGAGCC</t>
  </si>
  <si>
    <t xml:space="preserve">AAACGGCTCACGGTTCTTGAACTG</t>
  </si>
  <si>
    <t xml:space="preserve">CGGATCAACAACTCGAACCC</t>
  </si>
  <si>
    <t xml:space="preserve">TAGTCGGATCAACAACTCGAACCC</t>
  </si>
  <si>
    <t xml:space="preserve">AAACGGGTTCGAGTTGTTGATCCG</t>
  </si>
  <si>
    <t xml:space="preserve">TATCCGCACGTACACCGCGT</t>
  </si>
  <si>
    <t xml:space="preserve">TAGTTATCCGCACGTACACCGCGT</t>
  </si>
  <si>
    <t xml:space="preserve">AAACACGCGGTGTACGTGCGGATA</t>
  </si>
  <si>
    <t xml:space="preserve">PSPPH_2460</t>
  </si>
  <si>
    <t xml:space="preserve">CATCCTCACCCATGGTCCAG</t>
  </si>
  <si>
    <t xml:space="preserve">TAGTCATCCTCACCCATGGTCCAG</t>
  </si>
  <si>
    <t xml:space="preserve">AAACCTGGACCATGGGTGAGGATG</t>
  </si>
  <si>
    <t xml:space="preserve">ACCACAGGCCACGTTGGCCG</t>
  </si>
  <si>
    <t xml:space="preserve">TAGTACCACAGGCCACGTTGGCCG</t>
  </si>
  <si>
    <t xml:space="preserve">AAACCGGCCAACGTGGCCTGTGGT</t>
  </si>
  <si>
    <t xml:space="preserve">ATTCATTATCAATGGATCAC</t>
  </si>
  <si>
    <t xml:space="preserve">TAGTATTCATTATCAATGGATCAC</t>
  </si>
  <si>
    <t xml:space="preserve">AAACGTGATCCATTGATAATGAAT</t>
  </si>
  <si>
    <t xml:space="preserve">CAGCGCTTTGGCGCGGTGCA</t>
  </si>
  <si>
    <t xml:space="preserve">TAGTCAGCGCTTTGGCGCGGTGCA</t>
  </si>
  <si>
    <t xml:space="preserve">AAACTGCACCGCGCCAAAGCGCTG</t>
  </si>
  <si>
    <t xml:space="preserve">PSPPH_2461</t>
  </si>
  <si>
    <t xml:space="preserve">GCAGTTTTGTAATCGGAAAA</t>
  </si>
  <si>
    <t xml:space="preserve">TAGTGCAGTTTTGTAATCGGAAAA</t>
  </si>
  <si>
    <t xml:space="preserve">AAACTTTTCCGATTACAAAACTGC</t>
  </si>
  <si>
    <t xml:space="preserve">GCCAATGCCGGAAGAAGCGC</t>
  </si>
  <si>
    <t xml:space="preserve">TAGTGCCAATGCCGGAAGAAGCGC</t>
  </si>
  <si>
    <t xml:space="preserve">AAACGCGCTTCTTCCGGCATTGGC</t>
  </si>
  <si>
    <t xml:space="preserve">AGCACACAGCCGTTCGACGA</t>
  </si>
  <si>
    <t xml:space="preserve">TAGTAGCACACAGCCGTTCGACGA</t>
  </si>
  <si>
    <t xml:space="preserve">AAACTCGTCGAACGGCTGTGTGCT</t>
  </si>
  <si>
    <t xml:space="preserve">GATAGCATGCGCGATGCAGC</t>
  </si>
  <si>
    <t xml:space="preserve">TAGTGATAGCATGCGCGATGCAGC</t>
  </si>
  <si>
    <t xml:space="preserve">AAACGCTGCATCGCGCATGCTATC</t>
  </si>
  <si>
    <t xml:space="preserve">PSPPH_2462</t>
  </si>
  <si>
    <t xml:space="preserve">AAGATCGAATTTACTCGTCA</t>
  </si>
  <si>
    <t xml:space="preserve">TAGTAAGATCGAATTTACTCGTCA</t>
  </si>
  <si>
    <t xml:space="preserve">AAACTGACGAGTAAATTCGATCTT</t>
  </si>
  <si>
    <t xml:space="preserve">GCTCGGCATACTCGCCCTGC</t>
  </si>
  <si>
    <t xml:space="preserve">TAGTGCTCGGCATACTCGCCCTGC</t>
  </si>
  <si>
    <t xml:space="preserve">AAACGCAGGGCGAGTATGCCGAGC</t>
  </si>
  <si>
    <t xml:space="preserve">GGCAACGAACGCCAGTTGCA</t>
  </si>
  <si>
    <t xml:space="preserve">TAGTGGCAACGAACGCCAGTTGCA</t>
  </si>
  <si>
    <t xml:space="preserve">AAACTGCAACTGGCGTTCGTTGCC</t>
  </si>
  <si>
    <t xml:space="preserve">CACGGCCATTGCCATGCACC</t>
  </si>
  <si>
    <t xml:space="preserve">TAGTCACGGCCATTGCCATGCACC</t>
  </si>
  <si>
    <t xml:space="preserve">AAACGGTGCATGGCAATGGCCGTG</t>
  </si>
  <si>
    <t xml:space="preserve">PSPPH_2463</t>
  </si>
  <si>
    <t xml:space="preserve">GTATTGGCCGACCAGCAGCA</t>
  </si>
  <si>
    <t xml:space="preserve">TAGTGTATTGGCCGACCAGCAGCA</t>
  </si>
  <si>
    <t xml:space="preserve">AAACTGCTGCTGGTCGGCCAATAC</t>
  </si>
  <si>
    <t xml:space="preserve">GCCCACCCATCGGGCCGTGA</t>
  </si>
  <si>
    <t xml:space="preserve">TAGTGCCCACCCATCGGGCCGTGA</t>
  </si>
  <si>
    <t xml:space="preserve">AAACTCACGGCCCGATGGGTGGGC</t>
  </si>
  <si>
    <t xml:space="preserve">GCGACAGTAGCAGCCCTAGC</t>
  </si>
  <si>
    <t xml:space="preserve">TAGTGCGACAGTAGCAGCCCTAGC</t>
  </si>
  <si>
    <t xml:space="preserve">AAACGCTAGGGCTGCTACTGTCGC</t>
  </si>
  <si>
    <t xml:space="preserve">GGGTAACGCAGCCAGTGCCA</t>
  </si>
  <si>
    <t xml:space="preserve">TAGTGGGTAACGCAGCCAGTGCCA</t>
  </si>
  <si>
    <t xml:space="preserve">AAACTGGCACTGGCTGCGTTACCC</t>
  </si>
  <si>
    <t xml:space="preserve">PSPPH_2464</t>
  </si>
  <si>
    <t xml:space="preserve">AACATGATCATCGGATGCAT</t>
  </si>
  <si>
    <t xml:space="preserve">TAGTAACATGATCATCGGATGCAT</t>
  </si>
  <si>
    <t xml:space="preserve">AAACATGCATCCGATGATCATGTT</t>
  </si>
  <si>
    <t xml:space="preserve">GCCATACCACTTATTGATCC</t>
  </si>
  <si>
    <t xml:space="preserve">TAGTGCCATACCACTTATTGATCC</t>
  </si>
  <si>
    <t xml:space="preserve">AAACGGATCAATAAGTGGTATGGC</t>
  </si>
  <si>
    <t xml:space="preserve">CGGTGATATCGGTCAGGGCC</t>
  </si>
  <si>
    <t xml:space="preserve">TAGTCGGTGATATCGGTCAGGGCC</t>
  </si>
  <si>
    <t xml:space="preserve">AAACGGCCCTGACCGATATCACCG</t>
  </si>
  <si>
    <t xml:space="preserve">TTCGCCGCGCTGCACTTCAG</t>
  </si>
  <si>
    <t xml:space="preserve">TAGTTTCGCCGCGCTGCACTTCAG</t>
  </si>
  <si>
    <t xml:space="preserve">AAACCTGAAGTGCAGCGCGGCGAA</t>
  </si>
  <si>
    <t xml:space="preserve">PSPPH_2465</t>
  </si>
  <si>
    <t xml:space="preserve">CAGCAAAGACTTCATACGCA</t>
  </si>
  <si>
    <t xml:space="preserve">TAGTCAGCAAAGACTTCATACGCA</t>
  </si>
  <si>
    <t xml:space="preserve">AAACTGCGTATGAAGTCTTTGCTG</t>
  </si>
  <si>
    <t xml:space="preserve">TGAGCAAACGAAACAGCCAA</t>
  </si>
  <si>
    <t xml:space="preserve">TAGTTGAGCAAACGAAACAGCCAA</t>
  </si>
  <si>
    <t xml:space="preserve">AAACTTGGCTGTTTCGTTTGCTCA</t>
  </si>
  <si>
    <t xml:space="preserve">CAGCATAGACGCCGCAACTC</t>
  </si>
  <si>
    <t xml:space="preserve">TAGTCAGCATAGACGCCGCAACTC</t>
  </si>
  <si>
    <t xml:space="preserve">AAACGAGTTGCGGCGTCTATGCTG</t>
  </si>
  <si>
    <t xml:space="preserve">GGTCCGGTGCCGAAAACGGC</t>
  </si>
  <si>
    <t xml:space="preserve">TAGTGGTCCGGTGCCGAAAACGGC</t>
  </si>
  <si>
    <t xml:space="preserve">AAACGCCGTTTTCGGCACCGGACC</t>
  </si>
  <si>
    <t xml:space="preserve">PSPPH_2466</t>
  </si>
  <si>
    <t xml:space="preserve">GCCAATTGTCGATGCAGAAA</t>
  </si>
  <si>
    <t xml:space="preserve">TAGTGCCAATTGTCGATGCAGAAA</t>
  </si>
  <si>
    <t xml:space="preserve">AAACTTTCTGCATCGACAATTGGC</t>
  </si>
  <si>
    <t xml:space="preserve">CGGAATCAGCCATACCGGCG</t>
  </si>
  <si>
    <t xml:space="preserve">TAGTCGGAATCAGCCATACCGGCG</t>
  </si>
  <si>
    <t xml:space="preserve">AAACCGCCGGTATGGCTGATTCCG</t>
  </si>
  <si>
    <t xml:space="preserve">CATACCAGGGCAGCAATCAC</t>
  </si>
  <si>
    <t xml:space="preserve">TAGTCATACCAGGGCAGCAATCAC</t>
  </si>
  <si>
    <t xml:space="preserve">AAACGTGATTGCTGCCCTGGTATG</t>
  </si>
  <si>
    <t xml:space="preserve">TGAAAACTGATAAAAATTCT</t>
  </si>
  <si>
    <t xml:space="preserve">TAGTTGAAAACTGATAAAAATTCT</t>
  </si>
  <si>
    <t xml:space="preserve">AAACAGAATTTTTATCAGTTTTCA</t>
  </si>
  <si>
    <t xml:space="preserve">PSPPH_2467</t>
  </si>
  <si>
    <t xml:space="preserve">GTCACGCGTATGATTTTCAA</t>
  </si>
  <si>
    <t xml:space="preserve">TAGTGTCACGCGTATGATTTTCAA</t>
  </si>
  <si>
    <t xml:space="preserve">AAACTTGAAAATCATACGCGTGAC</t>
  </si>
  <si>
    <t xml:space="preserve">GCGAAAGGCGATAGGGGTTA</t>
  </si>
  <si>
    <t xml:space="preserve">TAGTGCGAAAGGCGATAGGGGTTA</t>
  </si>
  <si>
    <t xml:space="preserve">AAACTAACCCCTATCGCCTTTCGC</t>
  </si>
  <si>
    <t xml:space="preserve">CCACTGGCGTTGAGCAGCGG</t>
  </si>
  <si>
    <t xml:space="preserve">TAGTCCACTGGCGTTGAGCAGCGG</t>
  </si>
  <si>
    <t xml:space="preserve">AAACCCGCTGCTCAACGCCAGTGG</t>
  </si>
  <si>
    <t xml:space="preserve">AGCGCAGTGCGAAAGGTTCA</t>
  </si>
  <si>
    <t xml:space="preserve">TAGTAGCGCAGTGCGAAAGGTTCA</t>
  </si>
  <si>
    <t xml:space="preserve">AAACTGAACCTTTCGCACTGCGCT</t>
  </si>
  <si>
    <t xml:space="preserve">PSPPH_2468</t>
  </si>
  <si>
    <t xml:space="preserve">TTTCACCTTGGAGGCCGCAC</t>
  </si>
  <si>
    <t xml:space="preserve">TAGTTTTCACCTTGGAGGCCGCAC</t>
  </si>
  <si>
    <t xml:space="preserve">AAACGTGCGGCCTCCAAGGTGAAA</t>
  </si>
  <si>
    <t xml:space="preserve">CCACAAACAGCGGCAACACG</t>
  </si>
  <si>
    <t xml:space="preserve">TAGTCCACAAACAGCGGCAACACG</t>
  </si>
  <si>
    <t xml:space="preserve">AAACCGTGTTGCCGCTGTTTGTGG</t>
  </si>
  <si>
    <t xml:space="preserve">GTACAAAACCGATATTGACC</t>
  </si>
  <si>
    <t xml:space="preserve">TAGTGTACAAAACCGATATTGACC</t>
  </si>
  <si>
    <t xml:space="preserve">AAACGGTCAATATCGGTTTTGTAC</t>
  </si>
  <si>
    <t xml:space="preserve">CGCCGCACCGATGCCCAGAT</t>
  </si>
  <si>
    <t xml:space="preserve">TAGTCGCCGCACCGATGCCCAGAT</t>
  </si>
  <si>
    <t xml:space="preserve">AAACATCTGGGCATCGGTGCGGCG</t>
  </si>
  <si>
    <t xml:space="preserve">PSPPH_2469</t>
  </si>
  <si>
    <t xml:space="preserve">ATTGAGTTCCGTGGCCACCG</t>
  </si>
  <si>
    <t xml:space="preserve">TAGTATTGAGTTCCGTGGCCACCG</t>
  </si>
  <si>
    <t xml:space="preserve">AAACCGGTGGCCACGGAACTCAAT</t>
  </si>
  <si>
    <t xml:space="preserve">CTGGGTCATATTCAGCCGTT</t>
  </si>
  <si>
    <t xml:space="preserve">TAGTCTGGGTCATATTCAGCCGTT</t>
  </si>
  <si>
    <t xml:space="preserve">AAACAACGGCTGAATATGACCCAG</t>
  </si>
  <si>
    <t xml:space="preserve">TGGATTTGCCGGCTCAGCGG</t>
  </si>
  <si>
    <t xml:space="preserve">TAGTTGGATTTGCCGGCTCAGCGG</t>
  </si>
  <si>
    <t xml:space="preserve">AAACCCGCTGAGCCGGCAAATCCA</t>
  </si>
  <si>
    <t xml:space="preserve">CCAGATTGTGCTCCATTATC</t>
  </si>
  <si>
    <t xml:space="preserve">TAGTCCAGATTGTGCTCCATTATC</t>
  </si>
  <si>
    <t xml:space="preserve">AAACGATAATGGAGCACAATCTGG</t>
  </si>
  <si>
    <t xml:space="preserve">PSPPH_2470</t>
  </si>
  <si>
    <t xml:space="preserve">GCACGGCAGCAAACGTCAAC</t>
  </si>
  <si>
    <t xml:space="preserve">TAGTGCACGGCAGCAAACGTCAAC</t>
  </si>
  <si>
    <t xml:space="preserve">AAACGTTGACGTTTGCTGCCGTGC</t>
  </si>
  <si>
    <t xml:space="preserve">TGGCGCAGTGAGCATCATGC</t>
  </si>
  <si>
    <t xml:space="preserve">TAGTTGGCGCAGTGAGCATCATGC</t>
  </si>
  <si>
    <t xml:space="preserve">AAACGCATGATGCTCACTGCGCCA</t>
  </si>
  <si>
    <t xml:space="preserve">GACGAGACGGCAGCATTGGC</t>
  </si>
  <si>
    <t xml:space="preserve">TAGTGACGAGACGGCAGCATTGGC</t>
  </si>
  <si>
    <t xml:space="preserve">AAACGCCAATGCTGCCGTCTCGTC</t>
  </si>
  <si>
    <t xml:space="preserve">TGTCGGCCACCGGCATGAAG</t>
  </si>
  <si>
    <t xml:space="preserve">TAGTTGTCGGCCACCGGCATGAAG</t>
  </si>
  <si>
    <t xml:space="preserve">AAACCTTCATGCCGGTGGCCGACA</t>
  </si>
  <si>
    <t xml:space="preserve">PSPPH_2471</t>
  </si>
  <si>
    <t xml:space="preserve">GATAATGACTTTCCTGTTCA</t>
  </si>
  <si>
    <t xml:space="preserve">TAGTGATAATGACTTTCCTGTTCA</t>
  </si>
  <si>
    <t xml:space="preserve">AAACTGAACAGGAAAGTCATTATC</t>
  </si>
  <si>
    <t xml:space="preserve">CCTTTTCATCAGGTAGGCGA</t>
  </si>
  <si>
    <t xml:space="preserve">TAGTCCTTTTCATCAGGTAGGCGA</t>
  </si>
  <si>
    <t xml:space="preserve">AAACTCGCCTACCTGATGAAAAGG</t>
  </si>
  <si>
    <t xml:space="preserve">ATACCGACGATGTCGATGTC</t>
  </si>
  <si>
    <t xml:space="preserve">TAGTATACCGACGATGTCGATGTC</t>
  </si>
  <si>
    <t xml:space="preserve">AAACGACATCGACATCGTCGGTAT</t>
  </si>
  <si>
    <t xml:space="preserve">TTGCCACAACAGTACTGAGA</t>
  </si>
  <si>
    <t xml:space="preserve">TAGTTTGCCACAACAGTACTGAGA</t>
  </si>
  <si>
    <t xml:space="preserve">AAACTCTCAGTACTGTTGTGGCAA</t>
  </si>
  <si>
    <t xml:space="preserve">PSPPH_2472</t>
  </si>
  <si>
    <t xml:space="preserve">ATCAGCGGGTACAGACATCA</t>
  </si>
  <si>
    <t xml:space="preserve">TAGTATCAGCGGGTACAGACATCA</t>
  </si>
  <si>
    <t xml:space="preserve">AAACTGATGTCTGTACCCGCTGAT</t>
  </si>
  <si>
    <t xml:space="preserve">TATTGGGCCTGCAACAGCCT</t>
  </si>
  <si>
    <t xml:space="preserve">TAGTTATTGGGCCTGCAACAGCCT</t>
  </si>
  <si>
    <t xml:space="preserve">AAACAGGCTGTTGCAGGCCCAATA</t>
  </si>
  <si>
    <t xml:space="preserve">ATACATCAATGGCAGCTGTC</t>
  </si>
  <si>
    <t xml:space="preserve">TAGTATACATCAATGGCAGCTGTC</t>
  </si>
  <si>
    <t xml:space="preserve">AAACGACAGCTGCCATTGATGTAT</t>
  </si>
  <si>
    <t xml:space="preserve">ATGGGTGAATGCCAACGCCC</t>
  </si>
  <si>
    <t xml:space="preserve">TAGTATGGGTGAATGCCAACGCCC</t>
  </si>
  <si>
    <t xml:space="preserve">AAACGGGCGTTGGCATTCACCCAT</t>
  </si>
  <si>
    <t xml:space="preserve">PSPPH_2473</t>
  </si>
  <si>
    <t xml:space="preserve">GCAACAAGAATGGTCTGCCC</t>
  </si>
  <si>
    <t xml:space="preserve">TAGTGCAACAAGAATGGTCTGCCC</t>
  </si>
  <si>
    <t xml:space="preserve">AAACGGGCAGACCATTCTTGTTGC</t>
  </si>
  <si>
    <t xml:space="preserve">GTACGAAACGCCATACGCAC</t>
  </si>
  <si>
    <t xml:space="preserve">TAGTGTACGAAACGCCATACGCAC</t>
  </si>
  <si>
    <t xml:space="preserve">AAACGTGCGTATGGCGTTTCGTAC</t>
  </si>
  <si>
    <t xml:space="preserve">CCAGCAGGCCTTCCTGCTCC</t>
  </si>
  <si>
    <t xml:space="preserve">TAGTCCAGCAGGCCTTCCTGCTCC</t>
  </si>
  <si>
    <t xml:space="preserve">AAACGGAGCAGGAAGGCCTGCTGG</t>
  </si>
  <si>
    <t xml:space="preserve">TGAAAACCGCGCCCGCCAAA</t>
  </si>
  <si>
    <t xml:space="preserve">TAGTTGAAAACCGCGCCCGCCAAA</t>
  </si>
  <si>
    <t xml:space="preserve">AAACTTTGGCGGGCGCGGTTTTCA</t>
  </si>
  <si>
    <t xml:space="preserve">PSPPH_2474</t>
  </si>
  <si>
    <t xml:space="preserve">vanB</t>
  </si>
  <si>
    <t xml:space="preserve">TAGCACGGTCACGTCGATCA</t>
  </si>
  <si>
    <t xml:space="preserve">TAGTTAGCACGGTCACGTCGATCA</t>
  </si>
  <si>
    <t xml:space="preserve">AAACTGATCGACGTGACCGTGCTA</t>
  </si>
  <si>
    <t xml:space="preserve">AGGCGGCAGCAACTCGCCAT</t>
  </si>
  <si>
    <t xml:space="preserve">TAGTAGGCGGCAGCAACTCGCCAT</t>
  </si>
  <si>
    <t xml:space="preserve">AAACATGGCGAGTTGCTGCCGCCT</t>
  </si>
  <si>
    <t xml:space="preserve">ATGTGTGCGCCTGCCGTGAA</t>
  </si>
  <si>
    <t xml:space="preserve">TAGTATGTGTGCGCCTGCCGTGAA</t>
  </si>
  <si>
    <t xml:space="preserve">AAACTTCACGGCAGGCGCACACAT</t>
  </si>
  <si>
    <t xml:space="preserve">TACTGGCGGATCAGCCCGTC</t>
  </si>
  <si>
    <t xml:space="preserve">TAGTTACTGGCGGATCAGCCCGTC</t>
  </si>
  <si>
    <t xml:space="preserve">AAACGACGGGCTGATCCGCCAGTA</t>
  </si>
  <si>
    <t xml:space="preserve">PSPPH_2475</t>
  </si>
  <si>
    <t xml:space="preserve">vanA</t>
  </si>
  <si>
    <t xml:space="preserve">CGACGTACCACGCATTTTTC</t>
  </si>
  <si>
    <t xml:space="preserve">TAGTCGACGTACCACGCATTTTTC</t>
  </si>
  <si>
    <t xml:space="preserve">AAACGAAAAATGCGTGGTACGTCG</t>
  </si>
  <si>
    <t xml:space="preserve">GGCGACTTCATCCGCTGTAC</t>
  </si>
  <si>
    <t xml:space="preserve">TAGTGGCGACTTCATCCGCTGTAC</t>
  </si>
  <si>
    <t xml:space="preserve">AAACGTACAGCGGATGAAGTCGCC</t>
  </si>
  <si>
    <t xml:space="preserve">CTGCCGGCCCAGAGGCTTGT</t>
  </si>
  <si>
    <t xml:space="preserve">TAGTCTGCCGGCCCAGAGGCTTGT</t>
  </si>
  <si>
    <t xml:space="preserve">AAACACAAGCCTCTGGGCCGGCAG</t>
  </si>
  <si>
    <t xml:space="preserve">AGGCGACAACTTGCTGGTTC</t>
  </si>
  <si>
    <t xml:space="preserve">TAGTAGGCGACAACTTGCTGGTTC</t>
  </si>
  <si>
    <t xml:space="preserve">AAACGAACCAGCAAGTTGTCGCCT</t>
  </si>
  <si>
    <t xml:space="preserve">PSPPH_2476</t>
  </si>
  <si>
    <t xml:space="preserve">TACCAGAGAGAGATCGGCAT</t>
  </si>
  <si>
    <t xml:space="preserve">TAGTTACCAGAGAGAGATCGGCAT</t>
  </si>
  <si>
    <t xml:space="preserve">AAACATGCCGATCTCTCTCTGGTA</t>
  </si>
  <si>
    <t xml:space="preserve">CTGCAGCACGCGCCAGAGTT</t>
  </si>
  <si>
    <t xml:space="preserve">TAGTCTGCAGCACGCGCCAGAGTT</t>
  </si>
  <si>
    <t xml:space="preserve">AAACAACTCTGGCGCGTGCTGCAG</t>
  </si>
  <si>
    <t xml:space="preserve">ACTCCAGGCGTCGGATCGAG</t>
  </si>
  <si>
    <t xml:space="preserve">TAGTACTCCAGGCGTCGGATCGAG</t>
  </si>
  <si>
    <t xml:space="preserve">AAACCTCGATCCGACGCCTGGAGT</t>
  </si>
  <si>
    <t xml:space="preserve">TTCAAACAGCGCAGCACCAA</t>
  </si>
  <si>
    <t xml:space="preserve">TAGTTTCAAACAGCGCAGCACCAA</t>
  </si>
  <si>
    <t xml:space="preserve">AAACTTGGTGCTGCGCTGTTTGAA</t>
  </si>
  <si>
    <t xml:space="preserve">PSPPH_2477</t>
  </si>
  <si>
    <t xml:space="preserve">GCAGTAACGCCTATCAAGGG</t>
  </si>
  <si>
    <t xml:space="preserve">TAGTGCAGTAACGCCTATCAAGGG</t>
  </si>
  <si>
    <t xml:space="preserve">AAACCCCTTGATAGGCGTTACTGC</t>
  </si>
  <si>
    <t xml:space="preserve">CTTGCCCAACTGCTGACGGC</t>
  </si>
  <si>
    <t xml:space="preserve">TAGTCTTGCCCAACTGCTGACGGC</t>
  </si>
  <si>
    <t xml:space="preserve">AAACGCCGTCAGCAGTTGGGCAAG</t>
  </si>
  <si>
    <t xml:space="preserve">TTTATCGCCTGCGGTGTGAG</t>
  </si>
  <si>
    <t xml:space="preserve">TAGTTTTATCGCCTGCGGTGTGAG</t>
  </si>
  <si>
    <t xml:space="preserve">AAACCTCACACCGCAGGCGATAAA</t>
  </si>
  <si>
    <t xml:space="preserve">CGAGCGCGGGCAGAATGACC</t>
  </si>
  <si>
    <t xml:space="preserve">TAGTCGAGCGCGGGCAGAATGACC</t>
  </si>
  <si>
    <t xml:space="preserve">AAACGGTCATTCTGCCCGCGCTCG</t>
  </si>
  <si>
    <t xml:space="preserve">PSPPH_2478</t>
  </si>
  <si>
    <t xml:space="preserve">GAAGCAAAGCCCAGTTGGAA</t>
  </si>
  <si>
    <t xml:space="preserve">TAGTGAAGCAAAGCCCAGTTGGAA</t>
  </si>
  <si>
    <t xml:space="preserve">AAACTTCCAACTGGGCTTTGCTTC</t>
  </si>
  <si>
    <t xml:space="preserve">TCGTGCTCCCGTATCCATAA</t>
  </si>
  <si>
    <t xml:space="preserve">TAGTTCGTGCTCCCGTATCCATAA</t>
  </si>
  <si>
    <t xml:space="preserve">AAACTTATGGATACGGGAGCACGA</t>
  </si>
  <si>
    <t xml:space="preserve">ATTGGTCACACCACTGCGTC</t>
  </si>
  <si>
    <t xml:space="preserve">TAGTATTGGTCACACCACTGCGTC</t>
  </si>
  <si>
    <t xml:space="preserve">AAACGACGCAGTGGTGTGACCAAT</t>
  </si>
  <si>
    <t xml:space="preserve">TTGCTCAATCAGGGAAATCG</t>
  </si>
  <si>
    <t xml:space="preserve">TAGTTTGCTCAATCAGGGAAATCG</t>
  </si>
  <si>
    <t xml:space="preserve">AAACCGATTTCCCTGATTGAGCAA</t>
  </si>
  <si>
    <t xml:space="preserve">PSPPH_2479</t>
  </si>
  <si>
    <t xml:space="preserve">galE</t>
  </si>
  <si>
    <t xml:space="preserve">GCCAATGTATCCCGCACCAC</t>
  </si>
  <si>
    <t xml:space="preserve">TAGTGCCAATGTATCCCGCACCAC</t>
  </si>
  <si>
    <t xml:space="preserve">AAACGTGGTGCGGGATACATTGGC</t>
  </si>
  <si>
    <t xml:space="preserve">TATCAAGCACCACGACATCG</t>
  </si>
  <si>
    <t xml:space="preserve">TAGTTATCAAGCACCACGACATCG</t>
  </si>
  <si>
    <t xml:space="preserve">AAACCGATGTCGTGGTGCTTGATA</t>
  </si>
  <si>
    <t xml:space="preserve">GCCCGCTGAGTGTCTCCACC</t>
  </si>
  <si>
    <t xml:space="preserve">TAGTGCCCGCTGAGTGTCTCCACC</t>
  </si>
  <si>
    <t xml:space="preserve">AAACGGTGGAGACACTCAGCGGGC</t>
  </si>
  <si>
    <t xml:space="preserve">CTTTGCTGCGTACATCGCCG</t>
  </si>
  <si>
    <t xml:space="preserve">TAGTCTTTGCTGCGTACATCGCCG</t>
  </si>
  <si>
    <t xml:space="preserve">AAACCGGCGATGTACGCAGCAAAG</t>
  </si>
  <si>
    <t xml:space="preserve">PSPPH_2480</t>
  </si>
  <si>
    <t xml:space="preserve">ACGTTGCGGATTGAATGTCC</t>
  </si>
  <si>
    <t xml:space="preserve">TAGTACGTTGCGGATTGAATGTCC</t>
  </si>
  <si>
    <t xml:space="preserve">AAACGGACATTCAATCCGCAACGT</t>
  </si>
  <si>
    <t xml:space="preserve">TCTGACTGCTGCCTCGACCC</t>
  </si>
  <si>
    <t xml:space="preserve">TAGTTCTGACTGCTGCCTCGACCC</t>
  </si>
  <si>
    <t xml:space="preserve">AAACGGGTCGAGGCAGCAGTCAGA</t>
  </si>
  <si>
    <t xml:space="preserve">TGGGACAGGCACAGCAGCAG</t>
  </si>
  <si>
    <t xml:space="preserve">TAGTTGGGACAGGCACAGCAGCAG</t>
  </si>
  <si>
    <t xml:space="preserve">AAACCTGCTGCTGTGCCTGTCCCA</t>
  </si>
  <si>
    <t xml:space="preserve">ACACAAACCCCCACCTGAGG</t>
  </si>
  <si>
    <t xml:space="preserve">TAGTACACAAACCCCCACCTGAGG</t>
  </si>
  <si>
    <t xml:space="preserve">AAACCCTCAGGTGGGGGTTTGTGT</t>
  </si>
  <si>
    <t xml:space="preserve">PSPPH_2481</t>
  </si>
  <si>
    <t xml:space="preserve">glf</t>
  </si>
  <si>
    <t xml:space="preserve">TCTGCAAATGCGGCTGATTG</t>
  </si>
  <si>
    <t xml:space="preserve">TAGTTCTGCAAATGCGGCTGATTG</t>
  </si>
  <si>
    <t xml:space="preserve">AAACCAATCAGCCGCATTTGCAGA</t>
  </si>
  <si>
    <t xml:space="preserve">CAAAACGCGTTTACCCAACC</t>
  </si>
  <si>
    <t xml:space="preserve">TAGTCAAAACGCGTTTACCCAACC</t>
  </si>
  <si>
    <t xml:space="preserve">AAACGGTTGGGTAAACGCGTTTTG</t>
  </si>
  <si>
    <t xml:space="preserve">TACCCGCAATGTGTGGACGT</t>
  </si>
  <si>
    <t xml:space="preserve">TAGTTACCCGCAATGTGTGGACGT</t>
  </si>
  <si>
    <t xml:space="preserve">AAACACGTCCACACATTGCGGGTA</t>
  </si>
  <si>
    <t xml:space="preserve">CCAATACCCCGGCGCTGTCC</t>
  </si>
  <si>
    <t xml:space="preserve">TAGTCCAATACCCCGGCGCTGTCC</t>
  </si>
  <si>
    <t xml:space="preserve">AAACGGACAGCGCCGGGGTATTGG</t>
  </si>
  <si>
    <t xml:space="preserve">PSPPH_2482</t>
  </si>
  <si>
    <t xml:space="preserve">GCCGTCGCGTCGTCGATCGC</t>
  </si>
  <si>
    <t xml:space="preserve">TAGTGCCGTCGCGTCGTCGATCGC</t>
  </si>
  <si>
    <t xml:space="preserve">AAACGCGATCGACGACGCGACGGC</t>
  </si>
  <si>
    <t xml:space="preserve">TGCCCATCGGTCGTGCCCAG</t>
  </si>
  <si>
    <t xml:space="preserve">TAGTTGCCCATCGGTCGTGCCCAG</t>
  </si>
  <si>
    <t xml:space="preserve">AAACCTGGGCACGACCGATGGGCA</t>
  </si>
  <si>
    <t xml:space="preserve">GCCATTGCGGCAAAATCTTC</t>
  </si>
  <si>
    <t xml:space="preserve">TAGTGCCATTGCGGCAAAATCTTC</t>
  </si>
  <si>
    <t xml:space="preserve">AAACGAAGATTTTGCCGCAATGGC</t>
  </si>
  <si>
    <t xml:space="preserve">CCAGCGCATACCGTCACGCA</t>
  </si>
  <si>
    <t xml:space="preserve">TAGTCCAGCGCATACCGTCACGCA</t>
  </si>
  <si>
    <t xml:space="preserve">AAACTGCGTGACGGTATGCGCTGG</t>
  </si>
  <si>
    <t xml:space="preserve">PSPPH_2483</t>
  </si>
  <si>
    <t xml:space="preserve">TTGGGGTCCGTCACGATCAT</t>
  </si>
  <si>
    <t xml:space="preserve">TAGTTTGGGGTCCGTCACGATCAT</t>
  </si>
  <si>
    <t xml:space="preserve">AAACATGATCGTGACGGACCCCAA</t>
  </si>
  <si>
    <t xml:space="preserve">AAATGATCGGGTTGTCCGCA</t>
  </si>
  <si>
    <t xml:space="preserve">TAGTAAATGATCGGGTTGTCCGCA</t>
  </si>
  <si>
    <t xml:space="preserve">AAACTGCGGACAACCCGATCATTT</t>
  </si>
  <si>
    <t xml:space="preserve">CATTTCCAGAAACGCGCGAT</t>
  </si>
  <si>
    <t xml:space="preserve">TAGTCATTTCCAGAAACGCGCGAT</t>
  </si>
  <si>
    <t xml:space="preserve">AAACATCGCGCGTTTCTGGAAATG</t>
  </si>
  <si>
    <t xml:space="preserve">TTTCCGGCCCCTGAAGAAAC</t>
  </si>
  <si>
    <t xml:space="preserve">TAGTTTTCCGGCCCCTGAAGAAAC</t>
  </si>
  <si>
    <t xml:space="preserve">AAACGTTTCTTCAGGGGCCGGAAA</t>
  </si>
  <si>
    <t xml:space="preserve">PSPPH_2485</t>
  </si>
  <si>
    <t xml:space="preserve">CATCTGGGGCTAATGCGTTA</t>
  </si>
  <si>
    <t xml:space="preserve">TAGTCATCTGGGGCTAATGCGTTA</t>
  </si>
  <si>
    <t xml:space="preserve">AAACTAACGCATTAGCCCCAGATG</t>
  </si>
  <si>
    <t xml:space="preserve">ATTTTGGTATTTCTGATTTT</t>
  </si>
  <si>
    <t xml:space="preserve">TAGTATTTTGGTATTTCTGATTTT</t>
  </si>
  <si>
    <t xml:space="preserve">AAACAAAATCAGAAATACCAAAAT</t>
  </si>
  <si>
    <t xml:space="preserve">GCTCACCCTCTCGGCCTAAC</t>
  </si>
  <si>
    <t xml:space="preserve">TAGTGCTCACCCTCTCGGCCTAAC</t>
  </si>
  <si>
    <t xml:space="preserve">AAACGTTAGGCCGAGAGGGTGAGC</t>
  </si>
  <si>
    <t xml:space="preserve">CTGGAGTCCAACAAGCTGAG</t>
  </si>
  <si>
    <t xml:space="preserve">TAGTCTGGAGTCCAACAAGCTGAG</t>
  </si>
  <si>
    <t xml:space="preserve">AAACCTCAGCTTGTTGGACTCCAG</t>
  </si>
  <si>
    <t xml:space="preserve">PSPPH_2486</t>
  </si>
  <si>
    <t xml:space="preserve">AATGAGGATTTGCGGGGCAG</t>
  </si>
  <si>
    <t xml:space="preserve">TAGTAATGAGGATTTGCGGGGCAG</t>
  </si>
  <si>
    <t xml:space="preserve">AAACCTGCCCCGCAAATCCTCATT</t>
  </si>
  <si>
    <t xml:space="preserve">AACGCCTTCAATGTGGATTT</t>
  </si>
  <si>
    <t xml:space="preserve">TAGTAACGCCTTCAATGTGGATTT</t>
  </si>
  <si>
    <t xml:space="preserve">AAACAAATCCACATTGAAGGCGTT</t>
  </si>
  <si>
    <t xml:space="preserve">AACACCTGACGACAGACCGC</t>
  </si>
  <si>
    <t xml:space="preserve">TAGTAACACCTGACGACAGACCGC</t>
  </si>
  <si>
    <t xml:space="preserve">AAACGCGGTCTGTCGTCAGGTGTT</t>
  </si>
  <si>
    <t xml:space="preserve">CATACTTCGATGGACTGAAA</t>
  </si>
  <si>
    <t xml:space="preserve">TAGTCATACTTCGATGGACTGAAA</t>
  </si>
  <si>
    <t xml:space="preserve">AAACTTTCAGTCCATCGAAGTATG</t>
  </si>
  <si>
    <t xml:space="preserve">PSPPH_2487</t>
  </si>
  <si>
    <t xml:space="preserve">AGACAGCTGAACAAGCGAAG</t>
  </si>
  <si>
    <t xml:space="preserve">TAGTAGACAGCTGAACAAGCGAAG</t>
  </si>
  <si>
    <t xml:space="preserve">AAACCTTCGCTTGTTCAGCTGTCT</t>
  </si>
  <si>
    <t xml:space="preserve">GTGCCAATACCTGGCTTGAT</t>
  </si>
  <si>
    <t xml:space="preserve">TAGTGTGCCAATACCTGGCTTGAT</t>
  </si>
  <si>
    <t xml:space="preserve">AAACATCAAGCCAGGTATTGGCAC</t>
  </si>
  <si>
    <t xml:space="preserve">CAGCAGTTCCCGGATTCCCC</t>
  </si>
  <si>
    <t xml:space="preserve">TAGTCAGCAGTTCCCGGATTCCCC</t>
  </si>
  <si>
    <t xml:space="preserve">AAACGGGGAATCCGGGAACTGCTG</t>
  </si>
  <si>
    <t xml:space="preserve">GCATCGGAAAAATCAATCTG</t>
  </si>
  <si>
    <t xml:space="preserve">TAGTGCATCGGAAAAATCAATCTG</t>
  </si>
  <si>
    <t xml:space="preserve">AAACCAGATTGATTTTTCCGATGC</t>
  </si>
  <si>
    <t xml:space="preserve">PSPPH_2488</t>
  </si>
  <si>
    <t xml:space="preserve">TGCAGGGAAGAAGGGGGAAT</t>
  </si>
  <si>
    <t xml:space="preserve">TAGTTGCAGGGAAGAAGGGGGAAT</t>
  </si>
  <si>
    <t xml:space="preserve">AAACATTCCCCCTTCTTCCCTGCA</t>
  </si>
  <si>
    <t xml:space="preserve">GAGGGTGGGTTCGTGGTTTT</t>
  </si>
  <si>
    <t xml:space="preserve">TAGTGAGGGTGGGTTCGTGGTTTT</t>
  </si>
  <si>
    <t xml:space="preserve">AAACAAAACCACGAACCCACCCTC</t>
  </si>
  <si>
    <t xml:space="preserve">GCAACATGCGACGGTGGCGC</t>
  </si>
  <si>
    <t xml:space="preserve">TAGTGCAACATGCGACGGTGGCGC</t>
  </si>
  <si>
    <t xml:space="preserve">AAACGCGCCACCGTCGCATGTTGC</t>
  </si>
  <si>
    <t xml:space="preserve">GATATCTTCCAGCGGGAACC</t>
  </si>
  <si>
    <t xml:space="preserve">TAGTGATATCTTCCAGCGGGAACC</t>
  </si>
  <si>
    <t xml:space="preserve">AAACGGTTCCCGCTGGAAGATATC</t>
  </si>
  <si>
    <t xml:space="preserve">PSPPH_2489</t>
  </si>
  <si>
    <t xml:space="preserve">CAGAACGTTCCTCTGTGGTC</t>
  </si>
  <si>
    <t xml:space="preserve">TAGTCAGAACGTTCCTCTGTGGTC</t>
  </si>
  <si>
    <t xml:space="preserve">AAACGACCACAGAGGAACGTTCTG</t>
  </si>
  <si>
    <t xml:space="preserve">GTTGGTCGTTGCCTCTATTT</t>
  </si>
  <si>
    <t xml:space="preserve">TAGTGTTGGTCGTTGCCTCTATTT</t>
  </si>
  <si>
    <t xml:space="preserve">AAACAAATAGAGGCAACGACCAAC</t>
  </si>
  <si>
    <t xml:space="preserve">AAAGCGCATGCCTGTCAGTC</t>
  </si>
  <si>
    <t xml:space="preserve">TAGTAAAGCGCATGCCTGTCAGTC</t>
  </si>
  <si>
    <t xml:space="preserve">AAACGACTGACAGGCATGCGCTTT</t>
  </si>
  <si>
    <t xml:space="preserve">ACAGGCGATCCAGTCCGCGT</t>
  </si>
  <si>
    <t xml:space="preserve">TAGTACAGGCGATCCAGTCCGCGT</t>
  </si>
  <si>
    <t xml:space="preserve">AAACACGCGGACTGGATCGCCTGT</t>
  </si>
  <si>
    <t xml:space="preserve">PSPPH_2490</t>
  </si>
  <si>
    <t xml:space="preserve">GGCAAACCCGAGCACAAGCT</t>
  </si>
  <si>
    <t xml:space="preserve">TAGTGGCAAACCCGAGCACAAGCT</t>
  </si>
  <si>
    <t xml:space="preserve">AAACAGCTTGTGCTCGGGTTTGCC</t>
  </si>
  <si>
    <t xml:space="preserve">CACGGTCAGCACAATGACCA</t>
  </si>
  <si>
    <t xml:space="preserve">TAGTCACGGTCAGCACAATGACCA</t>
  </si>
  <si>
    <t xml:space="preserve">AAACTGGTCATTGTGCTGACCGTG</t>
  </si>
  <si>
    <t xml:space="preserve">CGTGCTCAGCTTGCCGATAT</t>
  </si>
  <si>
    <t xml:space="preserve">TAGTCGTGCTCAGCTTGCCGATAT</t>
  </si>
  <si>
    <t xml:space="preserve">AAACATATCGGCAAGCTGAGCACG</t>
  </si>
  <si>
    <t xml:space="preserve">GCGGGCTATACGGACATCAC</t>
  </si>
  <si>
    <t xml:space="preserve">TAGTGCGGGCTATACGGACATCAC</t>
  </si>
  <si>
    <t xml:space="preserve">AAACGTGATGTCCGTATAGCCCGC</t>
  </si>
  <si>
    <t xml:space="preserve">PSPPH_2491</t>
  </si>
  <si>
    <t xml:space="preserve">ACGCCTGCGCTGCCGCCGTC</t>
  </si>
  <si>
    <t xml:space="preserve">TAGTACGCCTGCGCTGCCGCCGTC</t>
  </si>
  <si>
    <t xml:space="preserve">AAACGACGGCGGCAGCGCAGGCGT</t>
  </si>
  <si>
    <t xml:space="preserve">CAGGTGGTTGCCAACCATCG</t>
  </si>
  <si>
    <t xml:space="preserve">TAGTCAGGTGGTTGCCAACCATCG</t>
  </si>
  <si>
    <t xml:space="preserve">AAACCGATGGTTGGCAACCACCTG</t>
  </si>
  <si>
    <t xml:space="preserve">GGCGAGTGGTGCGCTGCAAC</t>
  </si>
  <si>
    <t xml:space="preserve">TAGTGGCGAGTGGTGCGCTGCAAC</t>
  </si>
  <si>
    <t xml:space="preserve">AAACGTTGCAGCGCACCACTCGCC</t>
  </si>
  <si>
    <t xml:space="preserve">CGAATTCCGTCAAGCGCTGA</t>
  </si>
  <si>
    <t xml:space="preserve">TAGTCGAATTCCGTCAAGCGCTGA</t>
  </si>
  <si>
    <t xml:space="preserve">AAACTCAGCGCTTGACGGAATTCG</t>
  </si>
  <si>
    <t xml:space="preserve">PSPPH_2492</t>
  </si>
  <si>
    <t xml:space="preserve">argD1</t>
  </si>
  <si>
    <t xml:space="preserve">AGTGCTCATCAGGCAGGCAG</t>
  </si>
  <si>
    <t xml:space="preserve">TAGTAGTGCTCATCAGGCAGGCAG</t>
  </si>
  <si>
    <t xml:space="preserve">AAACCTGCCTGCCTGATGAGCACT</t>
  </si>
  <si>
    <t xml:space="preserve">TGAAGCTCAGGGCCAGAGGC</t>
  </si>
  <si>
    <t xml:space="preserve">TAGTTGAAGCTCAGGGCCAGAGGC</t>
  </si>
  <si>
    <t xml:space="preserve">AAACGCCTCTGGCCCTGAGCTTCA</t>
  </si>
  <si>
    <t xml:space="preserve">CAGATGCGTGCCCAGGCCTC</t>
  </si>
  <si>
    <t xml:space="preserve">TAGTCAGATGCGTGCCCAGGCCTC</t>
  </si>
  <si>
    <t xml:space="preserve">AAACGAGGCCTGGGCACGCATCTG</t>
  </si>
  <si>
    <t xml:space="preserve">CCAGGTATTGGCGCCCGCTC</t>
  </si>
  <si>
    <t xml:space="preserve">TAGTCCAGGTATTGGCGCCCGCTC</t>
  </si>
  <si>
    <t xml:space="preserve">AAACGAGCGGGCGCCAATACCTGG</t>
  </si>
  <si>
    <t xml:space="preserve">PSPPH_2493</t>
  </si>
  <si>
    <t xml:space="preserve">GGTCAGGGACCGGATTAACA</t>
  </si>
  <si>
    <t xml:space="preserve">TAGTGGTCAGGGACCGGATTAACA</t>
  </si>
  <si>
    <t xml:space="preserve">AAACTGTTAATCCGGTCCCTGACC</t>
  </si>
  <si>
    <t xml:space="preserve">AGCGACAAGCAGGGTGGCGA</t>
  </si>
  <si>
    <t xml:space="preserve">TAGTAGCGACAAGCAGGGTGGCGA</t>
  </si>
  <si>
    <t xml:space="preserve">AAACTCGCCACCCTGCTTGTCGCT</t>
  </si>
  <si>
    <t xml:space="preserve">GTCAGCGGCAAGTGCTGTAC</t>
  </si>
  <si>
    <t xml:space="preserve">TAGTGTCAGCGGCAAGTGCTGTAC</t>
  </si>
  <si>
    <t xml:space="preserve">AAACGTACAGCACTTGCCGCTGAC</t>
  </si>
  <si>
    <t xml:space="preserve">TGCCGCGCTCCTGGGCCAAA</t>
  </si>
  <si>
    <t xml:space="preserve">TAGTTGCCGCGCTCCTGGGCCAAA</t>
  </si>
  <si>
    <t xml:space="preserve">AAACTTTGGCCCAGGAGCGCGGCA</t>
  </si>
  <si>
    <t xml:space="preserve">PSPPH_2494</t>
  </si>
  <si>
    <t xml:space="preserve">TAGTTGGGCGACGGTTTTCA</t>
  </si>
  <si>
    <t xml:space="preserve">TAGTTAGTTGGGCGACGGTTTTCA</t>
  </si>
  <si>
    <t xml:space="preserve">AAACTGAAAACCGTCGCCCAACTA</t>
  </si>
  <si>
    <t xml:space="preserve">TATGCACTTGCTGGTTTTGC</t>
  </si>
  <si>
    <t xml:space="preserve">TAGTTATGCACTTGCTGGTTTTGC</t>
  </si>
  <si>
    <t xml:space="preserve">AAACGCAAAACCAGCAAGTGCATA</t>
  </si>
  <si>
    <t xml:space="preserve">CACCATCTGGTCCGGGCCGA</t>
  </si>
  <si>
    <t xml:space="preserve">TAGTCACCATCTGGTCCGGGCCGA</t>
  </si>
  <si>
    <t xml:space="preserve">AAACTCGGCCCGGACCAGATGGTG</t>
  </si>
  <si>
    <t xml:space="preserve">ACCACGTTGCCCTCGACCAC</t>
  </si>
  <si>
    <t xml:space="preserve">TAGTACCACGTTGCCCTCGACCAC</t>
  </si>
  <si>
    <t xml:space="preserve">AAACGTGGTCGAGGGCAACGTGGT</t>
  </si>
  <si>
    <t xml:space="preserve">PSPPH_2495</t>
  </si>
  <si>
    <t xml:space="preserve">polB</t>
  </si>
  <si>
    <t xml:space="preserve">TATCTTGCCAGTGCCGACTC</t>
  </si>
  <si>
    <t xml:space="preserve">TAGTTATCTTGCCAGTGCCGACTC</t>
  </si>
  <si>
    <t xml:space="preserve">AAACGAGTCGGCACTGGCAAGATA</t>
  </si>
  <si>
    <t xml:space="preserve">AAGTCGACCTCGGTCCCGGC</t>
  </si>
  <si>
    <t xml:space="preserve">TAGTAAGTCGACCTCGGTCCCGGC</t>
  </si>
  <si>
    <t xml:space="preserve">AAACGCCGGGACCGAGGTCGACTT</t>
  </si>
  <si>
    <t xml:space="preserve">ATGGCGAGGCCCCTGATCGG</t>
  </si>
  <si>
    <t xml:space="preserve">TAGTATGGCGAGGCCCCTGATCGG</t>
  </si>
  <si>
    <t xml:space="preserve">AAACCCGATCAGGGGCCTCGCCAT</t>
  </si>
  <si>
    <t xml:space="preserve">CGACAGAGGGCTGGCAAGGC</t>
  </si>
  <si>
    <t xml:space="preserve">TAGTCGACAGAGGGCTGGCAAGGC</t>
  </si>
  <si>
    <t xml:space="preserve">AAACGCCTTGCCAGCCCTCTGTCG</t>
  </si>
  <si>
    <t xml:space="preserve">PSPPH_2496</t>
  </si>
  <si>
    <t xml:space="preserve">AAGTGTTTCGAGCTGACTGT</t>
  </si>
  <si>
    <t xml:space="preserve">TAGTAAGTGTTTCGAGCTGACTGT</t>
  </si>
  <si>
    <t xml:space="preserve">AAACACAGTCAGCTCGAAACACTT</t>
  </si>
  <si>
    <t xml:space="preserve">GACGACCAGAAAGGACTTGC</t>
  </si>
  <si>
    <t xml:space="preserve">TAGTGACGACCAGAAAGGACTTGC</t>
  </si>
  <si>
    <t xml:space="preserve">AAACGCAAGTCCTTTCTGGTCGTC</t>
  </si>
  <si>
    <t xml:space="preserve">CGCGGTGCTGATACCTGCGC</t>
  </si>
  <si>
    <t xml:space="preserve">TAGTCGCGGTGCTGATACCTGCGC</t>
  </si>
  <si>
    <t xml:space="preserve">AAACGCGCAGGTATCAGCACCGCG</t>
  </si>
  <si>
    <t xml:space="preserve">GTCGCGGTAGTCCGGAATGC</t>
  </si>
  <si>
    <t xml:space="preserve">TAGTGTCGCGGTAGTCCGGAATGC</t>
  </si>
  <si>
    <t xml:space="preserve">AAACGCATTCCGGACTACCGCGAC</t>
  </si>
  <si>
    <t xml:space="preserve">PSPPH_2497</t>
  </si>
  <si>
    <t xml:space="preserve">GCCAGCGGATTACCGAGCAA</t>
  </si>
  <si>
    <t xml:space="preserve">TAGTGCCAGCGGATTACCGAGCAA</t>
  </si>
  <si>
    <t xml:space="preserve">AAACTTGCTCGGTAATCCGCTGGC</t>
  </si>
  <si>
    <t xml:space="preserve">GTTGGTCCAGCGTGCAAAGG</t>
  </si>
  <si>
    <t xml:space="preserve">TAGTGTTGGTCCAGCGTGCAAAGG</t>
  </si>
  <si>
    <t xml:space="preserve">AAACCCTTTGCACGCTGGACCAAC</t>
  </si>
  <si>
    <t xml:space="preserve">GCAGAAACGTGGTTTCACTC</t>
  </si>
  <si>
    <t xml:space="preserve">TAGTGCAGAAACGTGGTTTCACTC</t>
  </si>
  <si>
    <t xml:space="preserve">AAACGAGTGAAACCACGTTTCTGC</t>
  </si>
  <si>
    <t xml:space="preserve">TAGTCGGCACGCGGGTCTGT</t>
  </si>
  <si>
    <t xml:space="preserve">TAGTTAGTCGGCACGCGGGTCTGT</t>
  </si>
  <si>
    <t xml:space="preserve">AAACACAGACCCGCGTGCCGACTA</t>
  </si>
  <si>
    <t xml:space="preserve">PSPPH_2498</t>
  </si>
  <si>
    <t xml:space="preserve">GTAGCCGCCAAGTGCCGAAC</t>
  </si>
  <si>
    <t xml:space="preserve">TAGTGTAGCCGCCAAGTGCCGAAC</t>
  </si>
  <si>
    <t xml:space="preserve">AAACGTTCGGCACTTGGCGGCTAC</t>
  </si>
  <si>
    <t xml:space="preserve">CCTGGCTGGGGTCGATTTCA</t>
  </si>
  <si>
    <t xml:space="preserve">TAGTCCTGGCTGGGGTCGATTTCA</t>
  </si>
  <si>
    <t xml:space="preserve">AAACTGAAATCGACCCCAGCCAGG</t>
  </si>
  <si>
    <t xml:space="preserve">CCAAACAGGTCGGCGGCGTC</t>
  </si>
  <si>
    <t xml:space="preserve">TAGTCCAAACAGGTCGGCGGCGTC</t>
  </si>
  <si>
    <t xml:space="preserve">AAACGACGCCGCCGACCTGTTTGG</t>
  </si>
  <si>
    <t xml:space="preserve">GAAAGGGGCCCTGTTCCTGC</t>
  </si>
  <si>
    <t xml:space="preserve">TAGTGAAAGGGGCCCTGTTCCTGC</t>
  </si>
  <si>
    <t xml:space="preserve">AAACGCAGGAACAGGGCCCCTTTC</t>
  </si>
  <si>
    <t xml:space="preserve">PSPPH_2499</t>
  </si>
  <si>
    <t xml:space="preserve">GCACGACGCATCGTACTTGG</t>
  </si>
  <si>
    <t xml:space="preserve">TAGTGCACGACGCATCGTACTTGG</t>
  </si>
  <si>
    <t xml:space="preserve">AAACCCAAGTACGATGCGTCGTGC</t>
  </si>
  <si>
    <t xml:space="preserve">GCGCTTGGGTGCTCCACTGC</t>
  </si>
  <si>
    <t xml:space="preserve">TAGTGCGCTTGGGTGCTCCACTGC</t>
  </si>
  <si>
    <t xml:space="preserve">AAACGCAGTGGAGCACCCAAGCGC</t>
  </si>
  <si>
    <t xml:space="preserve">GCCGTTGGTGGAACCCAGAC</t>
  </si>
  <si>
    <t xml:space="preserve">TAGTGCCGTTGGTGGAACCCAGAC</t>
  </si>
  <si>
    <t xml:space="preserve">AAACGTCTGGGTTCCACCAACGGC</t>
  </si>
  <si>
    <t xml:space="preserve">GGCCATCCGGCGTATAGCTA</t>
  </si>
  <si>
    <t xml:space="preserve">TAGTGGCCATCCGGCGTATAGCTA</t>
  </si>
  <si>
    <t xml:space="preserve">AAACTAGCTATACGCCGGATGGCC</t>
  </si>
  <si>
    <t xml:space="preserve">PSPPH_2500</t>
  </si>
  <si>
    <t xml:space="preserve">CAGCACGGAGCCTGCTATCG</t>
  </si>
  <si>
    <t xml:space="preserve">TAGTCAGCACGGAGCCTGCTATCG</t>
  </si>
  <si>
    <t xml:space="preserve">AAACCGATAGCAGGCTCCGTGCTG</t>
  </si>
  <si>
    <t xml:space="preserve">GACCCGCTTCCAGGCCGATT</t>
  </si>
  <si>
    <t xml:space="preserve">TAGTGACCCGCTTCCAGGCCGATT</t>
  </si>
  <si>
    <t xml:space="preserve">AAACAATCGGCCTGGAAGCGGGTC</t>
  </si>
  <si>
    <t xml:space="preserve">TCAGCACCGCAAGAGAAAAC</t>
  </si>
  <si>
    <t xml:space="preserve">TAGTTCAGCACCGCAAGAGAAAAC</t>
  </si>
  <si>
    <t xml:space="preserve">AAACGTTTTCTCTTGCGGTGCTGA</t>
  </si>
  <si>
    <t xml:space="preserve">AATGGCCACCGACCAGCCGA</t>
  </si>
  <si>
    <t xml:space="preserve">TAGTAATGGCCACCGACCAGCCGA</t>
  </si>
  <si>
    <t xml:space="preserve">AAACTCGGCTGGTCGGTGGCCATT</t>
  </si>
  <si>
    <t xml:space="preserve">PSPPH_2501</t>
  </si>
  <si>
    <t xml:space="preserve">AGTAAGGTTTTCCAGAGCAA</t>
  </si>
  <si>
    <t xml:space="preserve">TAGTAGTAAGGTTTTCCAGAGCAA</t>
  </si>
  <si>
    <t xml:space="preserve">AAACTTGCTCTGGAAAACCTTACT</t>
  </si>
  <si>
    <t xml:space="preserve">CACCGCCGGGCGGCGCTCAT</t>
  </si>
  <si>
    <t xml:space="preserve">TAGTCACCGCCGGGCGGCGCTCAT</t>
  </si>
  <si>
    <t xml:space="preserve">AAACATGAGCGCCGCCCGGCGGTG</t>
  </si>
  <si>
    <t xml:space="preserve">CCTCGAACCGCCCGCTGATG</t>
  </si>
  <si>
    <t xml:space="preserve">TAGTCCTCGAACCGCCCGCTGATG</t>
  </si>
  <si>
    <t xml:space="preserve">AAACCATCAGCGGGCGGTTCGAGG</t>
  </si>
  <si>
    <t xml:space="preserve">TCGGCCCGACGATGGCCGTC</t>
  </si>
  <si>
    <t xml:space="preserve">TAGTTCGGCCCGACGATGGCCGTC</t>
  </si>
  <si>
    <t xml:space="preserve">AAACGACGGCCATCGTCGGGCCGA</t>
  </si>
  <si>
    <t xml:space="preserve">PSPPH_2502</t>
  </si>
  <si>
    <t xml:space="preserve">CGATAAAAGGCTCGACGACC</t>
  </si>
  <si>
    <t xml:space="preserve">TAGTCGATAAAAGGCTCGACGACC</t>
  </si>
  <si>
    <t xml:space="preserve">AAACGGTCGTCGAGCCTTTTATCG</t>
  </si>
  <si>
    <t xml:space="preserve">CCAGGCACGCCACCAGCGCG</t>
  </si>
  <si>
    <t xml:space="preserve">TAGTCCAGGCACGCCACCAGCGCG</t>
  </si>
  <si>
    <t xml:space="preserve">AAACCGCGCTGGTGGCGTGCCTGG</t>
  </si>
  <si>
    <t xml:space="preserve">CAACAGCACGCCCACCGGCC</t>
  </si>
  <si>
    <t xml:space="preserve">TAGTCAACAGCACGCCCACCGGCC</t>
  </si>
  <si>
    <t xml:space="preserve">AAACGGCCGGTGGGCGTGCTGTTG</t>
  </si>
  <si>
    <t xml:space="preserve">CATCGCCCACCAGACTCATA</t>
  </si>
  <si>
    <t xml:space="preserve">TAGTCATCGCCCACCAGACTCATA</t>
  </si>
  <si>
    <t xml:space="preserve">AAACTATGAGTCTGGTGGGCGATG</t>
  </si>
  <si>
    <t xml:space="preserve">PSPPH_2503</t>
  </si>
  <si>
    <t xml:space="preserve">AGACAGCGCCAGTGCAGCTA</t>
  </si>
  <si>
    <t xml:space="preserve">TAGTAGACAGCGCCAGTGCAGCTA</t>
  </si>
  <si>
    <t xml:space="preserve">AAACTAGCTGCACTGGCGCTGTCT</t>
  </si>
  <si>
    <t xml:space="preserve">CGGTTTGGCCTGGGCCAGGC</t>
  </si>
  <si>
    <t xml:space="preserve">TAGTCGGTTTGGCCTGGGCCAGGC</t>
  </si>
  <si>
    <t xml:space="preserve">AAACGCCTGGCCCAGGCCAAACCG</t>
  </si>
  <si>
    <t xml:space="preserve">AACGACGCAACGGCTTCCAG</t>
  </si>
  <si>
    <t xml:space="preserve">TAGTAACGACGCAACGGCTTCCAG</t>
  </si>
  <si>
    <t xml:space="preserve">AAACCTGGAAGCCGTTGCGTCGTT</t>
  </si>
  <si>
    <t xml:space="preserve">TCAGGGACTTTACGTGAACA</t>
  </si>
  <si>
    <t xml:space="preserve">TAGTTCAGGGACTTTACGTGAACA</t>
  </si>
  <si>
    <t xml:space="preserve">AAACTGTTCACGTAAAGTCCCTGA</t>
  </si>
  <si>
    <t xml:space="preserve">PSPPH_2504</t>
  </si>
  <si>
    <t xml:space="preserve">galM</t>
  </si>
  <si>
    <t xml:space="preserve">AGGACAGTCCAAGGGTGCTG</t>
  </si>
  <si>
    <t xml:space="preserve">TAGTAGGACAGTCCAAGGGTGCTG</t>
  </si>
  <si>
    <t xml:space="preserve">AAACCAGCACCCTTGGACTGTCCT</t>
  </si>
  <si>
    <t xml:space="preserve">TGCCGCGGCCTGTGCAGTCA</t>
  </si>
  <si>
    <t xml:space="preserve">TAGTTGCCGCGGCCTGTGCAGTCA</t>
  </si>
  <si>
    <t xml:space="preserve">AAACTGACTGCACAGGCCGCGGCA</t>
  </si>
  <si>
    <t xml:space="preserve">GCCGAAAGTGCTGTGCTCGC</t>
  </si>
  <si>
    <t xml:space="preserve">TAGTGCCGAAAGTGCTGTGCTCGC</t>
  </si>
  <si>
    <t xml:space="preserve">AAACGCGAGCACAGCACTTTCGGC</t>
  </si>
  <si>
    <t xml:space="preserve">CGGCAGTGCCGTCGGGCAGT</t>
  </si>
  <si>
    <t xml:space="preserve">TAGTCGGCAGTGCCGTCGGGCAGT</t>
  </si>
  <si>
    <t xml:space="preserve">AAACACTGCCCGACGGCACTGCCG</t>
  </si>
  <si>
    <t xml:space="preserve">PSPPH_2505</t>
  </si>
  <si>
    <t xml:space="preserve">TTGAAACGGTGCTCGGAAAC</t>
  </si>
  <si>
    <t xml:space="preserve">TAGTTTGAAACGGTGCTCGGAAAC</t>
  </si>
  <si>
    <t xml:space="preserve">AAACGTTTCCGAGCACCGTTTCAA</t>
  </si>
  <si>
    <t xml:space="preserve">GGCGTCCCAGAAGGAGCCCT</t>
  </si>
  <si>
    <t xml:space="preserve">TAGTGGCGTCCCAGAAGGAGCCCT</t>
  </si>
  <si>
    <t xml:space="preserve">AAACAGGGCTCCTTCTGGGACGCC</t>
  </si>
  <si>
    <t xml:space="preserve">CCAGTACAAGGCCTGCTCTG</t>
  </si>
  <si>
    <t xml:space="preserve">TAGTCCAGTACAAGGCCTGCTCTG</t>
  </si>
  <si>
    <t xml:space="preserve">AAACCAGAGCAGGCCTTGTACTGG</t>
  </si>
  <si>
    <t xml:space="preserve">CAGCCGACAAGCCAGAAAAC</t>
  </si>
  <si>
    <t xml:space="preserve">TAGTCAGCCGACAAGCCAGAAAAC</t>
  </si>
  <si>
    <t xml:space="preserve">AAACGTTTTCTGGCTTGTCGGCTG</t>
  </si>
  <si>
    <t xml:space="preserve">PSPPH_2506</t>
  </si>
  <si>
    <t xml:space="preserve">abP</t>
  </si>
  <si>
    <t xml:space="preserve">GGTGACGGCGGCACAGCACA</t>
  </si>
  <si>
    <t xml:space="preserve">TAGTGGTGACGGCGGCACAGCACA</t>
  </si>
  <si>
    <t xml:space="preserve">AAACTGTGCTGTGCCGCCGTCACC</t>
  </si>
  <si>
    <t xml:space="preserve">ACTCATGCCCAGAATGGCGG</t>
  </si>
  <si>
    <t xml:space="preserve">TAGTACTCATGCCCAGAATGGCGG</t>
  </si>
  <si>
    <t xml:space="preserve">AAACCCGCCATTCTGGGCATGAGT</t>
  </si>
  <si>
    <t xml:space="preserve">TTTGACTTCATCAGCAGCGG</t>
  </si>
  <si>
    <t xml:space="preserve">TAGTTTTGACTTCATCAGCAGCGG</t>
  </si>
  <si>
    <t xml:space="preserve">AAACCCGCTGCTGATGAAGTCAAA</t>
  </si>
  <si>
    <t xml:space="preserve">GCCCATTCAGTCTGGAACCA</t>
  </si>
  <si>
    <t xml:space="preserve">TAGTGCCCATTCAGTCTGGAACCA</t>
  </si>
  <si>
    <t xml:space="preserve">AAACTGGTTCCAGACTGAATGGGC</t>
  </si>
  <si>
    <t xml:space="preserve">PSPPH_2507</t>
  </si>
  <si>
    <t xml:space="preserve">GAAGCGCAAGGCACCGTTTA</t>
  </si>
  <si>
    <t xml:space="preserve">TAGTGAAGCGCAAGGCACCGTTTA</t>
  </si>
  <si>
    <t xml:space="preserve">AAACTAAACGGTGCCTTGCGCTTC</t>
  </si>
  <si>
    <t xml:space="preserve">CCGAAAGCGCCTTTACGCCG</t>
  </si>
  <si>
    <t xml:space="preserve">TAGTCCGAAAGCGCCTTTACGCCG</t>
  </si>
  <si>
    <t xml:space="preserve">AAACCGGCGTAAAGGCGCTTTCGG</t>
  </si>
  <si>
    <t xml:space="preserve">TCAAGGCGTGAACACTGCCG</t>
  </si>
  <si>
    <t xml:space="preserve">TAGTTCAAGGCGTGAACACTGCCG</t>
  </si>
  <si>
    <t xml:space="preserve">AAACCGGCAGTGTTCACGCCTTGA</t>
  </si>
  <si>
    <t xml:space="preserve">TTTCAGCAGCGTGGATTTAC</t>
  </si>
  <si>
    <t xml:space="preserve">TAGTTTTCAGCAGCGTGGATTTAC</t>
  </si>
  <si>
    <t xml:space="preserve">AAACGTAAATCCACGCTGCTGAAA</t>
  </si>
  <si>
    <t xml:space="preserve">PSPPH_2508</t>
  </si>
  <si>
    <t xml:space="preserve">araH</t>
  </si>
  <si>
    <t xml:space="preserve">GGGAGCCTGCAGGCTGGATT</t>
  </si>
  <si>
    <t xml:space="preserve">TAGTGGGAGCCTGCAGGCTGGATT</t>
  </si>
  <si>
    <t xml:space="preserve">AAACAATCCAGCCTGCAGGCTCCC</t>
  </si>
  <si>
    <t xml:space="preserve">CGCAGGTTCATGCCCTGACG</t>
  </si>
  <si>
    <t xml:space="preserve">TAGTCGCAGGTTCATGCCCTGACG</t>
  </si>
  <si>
    <t xml:space="preserve">AAACCGTCAGGGCATGAACCTGCG</t>
  </si>
  <si>
    <t xml:space="preserve">CAGGAGCATCACCCAGTCAT</t>
  </si>
  <si>
    <t xml:space="preserve">TAGTCAGGAGCATCACCCAGTCAT</t>
  </si>
  <si>
    <t xml:space="preserve">AAACATGACTGGGTGATGCTCCTG</t>
  </si>
  <si>
    <t xml:space="preserve">GCACAGCAGGAAGATTCCCA</t>
  </si>
  <si>
    <t xml:space="preserve">TAGTGCACAGCAGGAAGATTCCCA</t>
  </si>
  <si>
    <t xml:space="preserve">AAACTGGGAATCTTCCTGCTGTGC</t>
  </si>
  <si>
    <t xml:space="preserve">PSPPH_2509</t>
  </si>
  <si>
    <t xml:space="preserve">GTTGCTGAATAGCAGGTTAT</t>
  </si>
  <si>
    <t xml:space="preserve">TAGTGTTGCTGAATAGCAGGTTAT</t>
  </si>
  <si>
    <t xml:space="preserve">AAACATAACCTGCTATTCAGCAAC</t>
  </si>
  <si>
    <t xml:space="preserve">TGCGTGGTTTAATGATGGGG</t>
  </si>
  <si>
    <t xml:space="preserve">TAGTTGCGTGGTTTAATGATGGGG</t>
  </si>
  <si>
    <t xml:space="preserve">AAACCCCCATCATTAAACCACGCA</t>
  </si>
  <si>
    <t xml:space="preserve">ATGCGGACTTTGCTGTTACT</t>
  </si>
  <si>
    <t xml:space="preserve">TAGTATGCGGACTTTGCTGTTACT</t>
  </si>
  <si>
    <t xml:space="preserve">AAACAGTAACAGCAAAGTCCGCAT</t>
  </si>
  <si>
    <t xml:space="preserve">CGGCAAATGCCGTGCCCTGC</t>
  </si>
  <si>
    <t xml:space="preserve">TAGTCGGCAAATGCCGTGCCCTGC</t>
  </si>
  <si>
    <t xml:space="preserve">AAACGCAGGGCACGGCATTTGCCG</t>
  </si>
  <si>
    <t xml:space="preserve">PSPPH_2510</t>
  </si>
  <si>
    <t xml:space="preserve">ATCGAGAAGGGCGCGTTCCC</t>
  </si>
  <si>
    <t xml:space="preserve">TAGTATCGAGAAGGGCGCGTTCCC</t>
  </si>
  <si>
    <t xml:space="preserve">AAACGGGAACGCGCCCTTCTCGAT</t>
  </si>
  <si>
    <t xml:space="preserve">CGGCGTACGAAACTCATGAC</t>
  </si>
  <si>
    <t xml:space="preserve">TAGTCGGCGTACGAAACTCATGAC</t>
  </si>
  <si>
    <t xml:space="preserve">AAACGTCATGAGTTTCGTACGCCG</t>
  </si>
  <si>
    <t xml:space="preserve">GCGCCGCTGATCACCGCGAT</t>
  </si>
  <si>
    <t xml:space="preserve">TAGTGCGCCGCTGATCACCGCGAT</t>
  </si>
  <si>
    <t xml:space="preserve">AAACATCGCGGTGATCAGCGGCGC</t>
  </si>
  <si>
    <t xml:space="preserve">GCTTGCCTGGCCAGCACATC</t>
  </si>
  <si>
    <t xml:space="preserve">TAGTGCTTGCCTGGCCAGCACATC</t>
  </si>
  <si>
    <t xml:space="preserve">AAACGATGTGCTGGCCAGGCAAGC</t>
  </si>
  <si>
    <t xml:space="preserve">PSPPH_2512</t>
  </si>
  <si>
    <t xml:space="preserve">AGTTTCGGGAGGAGTGGCCA</t>
  </si>
  <si>
    <t xml:space="preserve">TAGTAGTTTCGGGAGGAGTGGCCA</t>
  </si>
  <si>
    <t xml:space="preserve">AAACTGGCCACTCCTCCCGAAACT</t>
  </si>
  <si>
    <t xml:space="preserve">GTGATTGCCCGGCGCAGCGA</t>
  </si>
  <si>
    <t xml:space="preserve">TAGTGTGATTGCCCGGCGCAGCGA</t>
  </si>
  <si>
    <t xml:space="preserve">AAACTCGCTGCGCCGGGCAATCAC</t>
  </si>
  <si>
    <t xml:space="preserve">AGGATGAACAGTGTCAGCAT</t>
  </si>
  <si>
    <t xml:space="preserve">TAGTAGGATGAACAGTGTCAGCAT</t>
  </si>
  <si>
    <t xml:space="preserve">AAACATGCTGACACTGTTCATCCT</t>
  </si>
  <si>
    <t xml:space="preserve">CAGCACCCAGCACGTCACCG</t>
  </si>
  <si>
    <t xml:space="preserve">TAGTCAGCACCCAGCACGTCACCG</t>
  </si>
  <si>
    <t xml:space="preserve">AAACCGGTGACGTGCTGGGTGCTG</t>
  </si>
  <si>
    <t xml:space="preserve">PSPPH_2513</t>
  </si>
  <si>
    <t xml:space="preserve">GCGGTGCTTTTTGCCGGAAC</t>
  </si>
  <si>
    <t xml:space="preserve">TAGTGCGGTGCTTTTTGCCGGAAC</t>
  </si>
  <si>
    <t xml:space="preserve">AAACGTTCCGGCAAAAAGCACCGC</t>
  </si>
  <si>
    <t xml:space="preserve">CAACGTGATCGCGAGAGGCC</t>
  </si>
  <si>
    <t xml:space="preserve">TAGTCAACGTGATCGCGAGAGGCC</t>
  </si>
  <si>
    <t xml:space="preserve">AAACGGCCTCTCGCGATCACGTTG</t>
  </si>
  <si>
    <t xml:space="preserve">AAGGAAGATCGCGATGGTCC</t>
  </si>
  <si>
    <t xml:space="preserve">TAGTAAGGAAGATCGCGATGGTCC</t>
  </si>
  <si>
    <t xml:space="preserve">AAACGGACCATCGCGATCTTCCTT</t>
  </si>
  <si>
    <t xml:space="preserve">PSPPH_2514</t>
  </si>
  <si>
    <t xml:space="preserve">ACACAGACTCGAAAAGGAAA</t>
  </si>
  <si>
    <t xml:space="preserve">TAGTACACAGACTCGAAAAGGAAA</t>
  </si>
  <si>
    <t xml:space="preserve">AAACTTTCCTTTTCGAGTCTGTGT</t>
  </si>
  <si>
    <t xml:space="preserve">CAGAAATAACGGTGCGATTC</t>
  </si>
  <si>
    <t xml:space="preserve">TAGTCAGAAATAACGGTGCGATTC</t>
  </si>
  <si>
    <t xml:space="preserve">AAACGAATCGCACCGTTATTTCTG</t>
  </si>
  <si>
    <t xml:space="preserve">ACATGGGCAGCAGAGGCACG</t>
  </si>
  <si>
    <t xml:space="preserve">TAGTACATGGGCAGCAGAGGCACG</t>
  </si>
  <si>
    <t xml:space="preserve">AAACCGTGCCTCTGCTGCCCATGT</t>
  </si>
  <si>
    <t xml:space="preserve">GTCACTGGCACTGGCATGGC</t>
  </si>
  <si>
    <t xml:space="preserve">TAGTGTCACTGGCACTGGCATGGC</t>
  </si>
  <si>
    <t xml:space="preserve">AAACGCCATGCCAGTGCCAGTGAC</t>
  </si>
  <si>
    <t xml:space="preserve">PSPPH_2515</t>
  </si>
  <si>
    <t xml:space="preserve">GCCAGGCACCGGGCTGATCG</t>
  </si>
  <si>
    <t xml:space="preserve">TAGTGCCAGGCACCGGGCTGATCG</t>
  </si>
  <si>
    <t xml:space="preserve">AAACCGATCAGCCCGGTGCCTGGC</t>
  </si>
  <si>
    <t xml:space="preserve">CCGGTGCGGGTGGCGGAAGA</t>
  </si>
  <si>
    <t xml:space="preserve">TAGTCCGGTGCGGGTGGCGGAAGA</t>
  </si>
  <si>
    <t xml:space="preserve">AAACTCTTCCGCCACCCGCACCGG</t>
  </si>
  <si>
    <t xml:space="preserve">CACCTGGTTGAATCGCGTTC</t>
  </si>
  <si>
    <t xml:space="preserve">TAGTCACCTGGTTGAATCGCGTTC</t>
  </si>
  <si>
    <t xml:space="preserve">AAACGAACGCGATTCAACCAGGTG</t>
  </si>
  <si>
    <t xml:space="preserve">TTGGCCGCCATTGCGGTTGC</t>
  </si>
  <si>
    <t xml:space="preserve">TAGTTTGGCCGCCATTGCGGTTGC</t>
  </si>
  <si>
    <t xml:space="preserve">AAACGCAACCGCAATGGCGGCCAA</t>
  </si>
  <si>
    <t xml:space="preserve">PSPPH_2516</t>
  </si>
  <si>
    <t xml:space="preserve">GAATTGCCGGAGCTTACGGG</t>
  </si>
  <si>
    <t xml:space="preserve">TAGTGAATTGCCGGAGCTTACGGG</t>
  </si>
  <si>
    <t xml:space="preserve">AAACCCCGTAAGCTCCGGCAATTC</t>
  </si>
  <si>
    <t xml:space="preserve">TTTCTCGATAGCCATATCAA</t>
  </si>
  <si>
    <t xml:space="preserve">TAGTTTTCTCGATAGCCATATCAA</t>
  </si>
  <si>
    <t xml:space="preserve">AAACTTGATATGGCTATCGAGAAA</t>
  </si>
  <si>
    <t xml:space="preserve">AGTGGAGATTTCAGTGATCT</t>
  </si>
  <si>
    <t xml:space="preserve">TAGTAGTGGAGATTTCAGTGATCT</t>
  </si>
  <si>
    <t xml:space="preserve">AAACAGATCACTGAAATCTCCACT</t>
  </si>
  <si>
    <t xml:space="preserve">AGCATCCAGCTCTGCTTTCT</t>
  </si>
  <si>
    <t xml:space="preserve">TAGTAGCATCCAGCTCTGCTTTCT</t>
  </si>
  <si>
    <t xml:space="preserve">AAACAGAAAGCAGAGCTGGATGCT</t>
  </si>
  <si>
    <t xml:space="preserve">PSPPH_2517</t>
  </si>
  <si>
    <t xml:space="preserve">CGTTCCGCTCAATGAGATCA</t>
  </si>
  <si>
    <t xml:space="preserve">TAGTCGTTCCGCTCAATGAGATCA</t>
  </si>
  <si>
    <t xml:space="preserve">AAACTGATCTCATTGAGCGGAACG</t>
  </si>
  <si>
    <t xml:space="preserve">CTTTCCTGCACAGAAGCGTC</t>
  </si>
  <si>
    <t xml:space="preserve">TAGTCTTTCCTGCACAGAAGCGTC</t>
  </si>
  <si>
    <t xml:space="preserve">AAACGACGCTTCTGTGCAGGAAAG</t>
  </si>
  <si>
    <t xml:space="preserve">ACCATGAAGAATTTCGAGCC</t>
  </si>
  <si>
    <t xml:space="preserve">TAGTACCATGAAGAATTTCGAGCC</t>
  </si>
  <si>
    <t xml:space="preserve">AAACGGCTCGAAATTCTTCATGGT</t>
  </si>
  <si>
    <t xml:space="preserve">TCACATAGACAGGGTTGTCC</t>
  </si>
  <si>
    <t xml:space="preserve">TAGTTCACATAGACAGGGTTGTCC</t>
  </si>
  <si>
    <t xml:space="preserve">AAACGGACAACCCTGTCTATGTGA</t>
  </si>
  <si>
    <t xml:space="preserve">PSPPH_2518</t>
  </si>
  <si>
    <t xml:space="preserve">TCGGCTGAAGGCGGCGCTAC</t>
  </si>
  <si>
    <t xml:space="preserve">TAGTTCGGCTGAAGGCGGCGCTAC</t>
  </si>
  <si>
    <t xml:space="preserve">AAACGTAGCGCCGCCTTCAGCCGA</t>
  </si>
  <si>
    <t xml:space="preserve">GGAGCAACACGCTCGACAGC</t>
  </si>
  <si>
    <t xml:space="preserve">TAGTGGAGCAACACGCTCGACAGC</t>
  </si>
  <si>
    <t xml:space="preserve">AAACGCTGTCGAGCGTGTTGCTCC</t>
  </si>
  <si>
    <t xml:space="preserve">GTTCCCTGACGCGGCTGCGC</t>
  </si>
  <si>
    <t xml:space="preserve">TAGTGTTCCCTGACGCGGCTGCGC</t>
  </si>
  <si>
    <t xml:space="preserve">AAACGCGCAGCCGCGTCAGGGAAC</t>
  </si>
  <si>
    <t xml:space="preserve">ATCAAGCAGCGCTTCGAAAC</t>
  </si>
  <si>
    <t xml:space="preserve">TAGTATCAAGCAGCGCTTCGAAAC</t>
  </si>
  <si>
    <t xml:space="preserve">AAACGTTTCGAAGCGCTGCTTGAT</t>
  </si>
  <si>
    <t xml:space="preserve">PSPPH_2519</t>
  </si>
  <si>
    <t xml:space="preserve">GGTACAGATCACCCATACCG</t>
  </si>
  <si>
    <t xml:space="preserve">TAGTGGTACAGATCACCCATACCG</t>
  </si>
  <si>
    <t xml:space="preserve">AAACCGGTATGGGTGATCTGTACC</t>
  </si>
  <si>
    <t xml:space="preserve">GTTGTGGCTGGCCACTGCGC</t>
  </si>
  <si>
    <t xml:space="preserve">TAGTGTTGTGGCTGGCCACTGCGC</t>
  </si>
  <si>
    <t xml:space="preserve">AAACGCGCAGTGGCCAGCCACAAC</t>
  </si>
  <si>
    <t xml:space="preserve">TGCAGCAGCGCACTGTTCGT</t>
  </si>
  <si>
    <t xml:space="preserve">TAGTTGCAGCAGCGCACTGTTCGT</t>
  </si>
  <si>
    <t xml:space="preserve">AAACACGAACAGTGCGCTGCTGCA</t>
  </si>
  <si>
    <t xml:space="preserve">TGTCGGTGAACGCCAGCACC</t>
  </si>
  <si>
    <t xml:space="preserve">TAGTTGTCGGTGAACGCCAGCACC</t>
  </si>
  <si>
    <t xml:space="preserve">AAACGGTGCTGGCGTTCACCGACA</t>
  </si>
  <si>
    <t xml:space="preserve">PSPPH_2520</t>
  </si>
  <si>
    <t xml:space="preserve">GCGATTCAGGGCATTCATGA</t>
  </si>
  <si>
    <t xml:space="preserve">TAGTGCGATTCAGGGCATTCATGA</t>
  </si>
  <si>
    <t xml:space="preserve">AAACTCATGAATGCCCTGAATCGC</t>
  </si>
  <si>
    <t xml:space="preserve">GTTTAGACGCAGTTACCGCC</t>
  </si>
  <si>
    <t xml:space="preserve">TAGTGTTTAGACGCAGTTACCGCC</t>
  </si>
  <si>
    <t xml:space="preserve">AAACGGCGGTAACTGCGTCTAAAC</t>
  </si>
  <si>
    <t xml:space="preserve">TCCACCAGATAAGTCGGCAT</t>
  </si>
  <si>
    <t xml:space="preserve">TAGTTCCACCAGATAAGTCGGCAT</t>
  </si>
  <si>
    <t xml:space="preserve">AAACATGCCGACTTATCTGGTGGA</t>
  </si>
  <si>
    <t xml:space="preserve">GATGAGAATCAGCAGGCTCA</t>
  </si>
  <si>
    <t xml:space="preserve">TAGTGATGAGAATCAGCAGGCTCA</t>
  </si>
  <si>
    <t xml:space="preserve">AAACTGAGCCTGCTGATTCTCATC</t>
  </si>
  <si>
    <t xml:space="preserve">PSPPH_2521</t>
  </si>
  <si>
    <t xml:space="preserve">CATCCGGATTACGCTTACTG</t>
  </si>
  <si>
    <t xml:space="preserve">TAGTCATCCGGATTACGCTTACTG</t>
  </si>
  <si>
    <t xml:space="preserve">AAACCAGTAAGCGTAATCCGGATG</t>
  </si>
  <si>
    <t xml:space="preserve">GGCTCCTTTGGCAATGTTTT</t>
  </si>
  <si>
    <t xml:space="preserve">TAGTGGCTCCTTTGGCAATGTTTT</t>
  </si>
  <si>
    <t xml:space="preserve">AAACAAAACATTGCCAAAGGAGCC</t>
  </si>
  <si>
    <t xml:space="preserve">GGCCAGATCGACTGTGCCTT</t>
  </si>
  <si>
    <t xml:space="preserve">TAGTGGCCAGATCGACTGTGCCTT</t>
  </si>
  <si>
    <t xml:space="preserve">AAACAAGGCACAGTCGATCTGGCC</t>
  </si>
  <si>
    <t xml:space="preserve">CAGAACGCGGCCTTCACCGA</t>
  </si>
  <si>
    <t xml:space="preserve">TAGTCAGAACGCGGCCTTCACCGA</t>
  </si>
  <si>
    <t xml:space="preserve">AAACTCGGTGAAGGCCGCGTTCTG</t>
  </si>
  <si>
    <t xml:space="preserve">PSPPH_2522</t>
  </si>
  <si>
    <t xml:space="preserve">CATAGCGCAGATGAGGTTCA</t>
  </si>
  <si>
    <t xml:space="preserve">TAGTCATAGCGCAGATGAGGTTCA</t>
  </si>
  <si>
    <t xml:space="preserve">AAACTGAACCTCATCTGCGCTATG</t>
  </si>
  <si>
    <t xml:space="preserve">ACAAAAGCATCAGAACCGGC</t>
  </si>
  <si>
    <t xml:space="preserve">TAGTACAAAAGCATCAGAACCGGC</t>
  </si>
  <si>
    <t xml:space="preserve">AAACGCCGGTTCTGATGCTTTTGT</t>
  </si>
  <si>
    <t xml:space="preserve">ATAGCTCACTGGGTCGAGGT</t>
  </si>
  <si>
    <t xml:space="preserve">TAGTATAGCTCACTGGGTCGAGGT</t>
  </si>
  <si>
    <t xml:space="preserve">AAACACCTCGACCCAGTGAGCTAT</t>
  </si>
  <si>
    <t xml:space="preserve">CGGGTGATCGCCGCATAATC</t>
  </si>
  <si>
    <t xml:space="preserve">TAGTCGGGTGATCGCCGCATAATC</t>
  </si>
  <si>
    <t xml:space="preserve">AAACGATTATGCGGCGATCACCCG</t>
  </si>
  <si>
    <t xml:space="preserve">PSPPH_2523</t>
  </si>
  <si>
    <t xml:space="preserve">CAGCCGTCGACAGCCTTTGA</t>
  </si>
  <si>
    <t xml:space="preserve">TAGTCAGCCGTCGACAGCCTTTGA</t>
  </si>
  <si>
    <t xml:space="preserve">AAACTCAAAGGCTGTCGACGGCTG</t>
  </si>
  <si>
    <t xml:space="preserve">TTGTGAAAGGGGGCGGGGCG</t>
  </si>
  <si>
    <t xml:space="preserve">TAGTTTGTGAAAGGGGGCGGGGCG</t>
  </si>
  <si>
    <t xml:space="preserve">AAACCGCCCCGCCCCCTTTCACAA</t>
  </si>
  <si>
    <t xml:space="preserve">GGAACGAGGTGGCATGGGCA</t>
  </si>
  <si>
    <t xml:space="preserve">TAGTGGAACGAGGTGGCATGGGCA</t>
  </si>
  <si>
    <t xml:space="preserve">AAACTGCCCATGCCACCTCGTTCC</t>
  </si>
  <si>
    <t xml:space="preserve">GAGCAACAACAACGTGGGGA</t>
  </si>
  <si>
    <t xml:space="preserve">TAGTGAGCAACAACAACGTGGGGA</t>
  </si>
  <si>
    <t xml:space="preserve">AAACTCCCCACGTTGTTGTTGCTC</t>
  </si>
  <si>
    <t xml:space="preserve">PSPPH_2524</t>
  </si>
  <si>
    <t xml:space="preserve">GTCAGCCCTGAAGTGCTTCA</t>
  </si>
  <si>
    <t xml:space="preserve">TAGTGTCAGCCCTGAAGTGCTTCA</t>
  </si>
  <si>
    <t xml:space="preserve">AAACTGAAGCACTTCAGGGCTGAC</t>
  </si>
  <si>
    <t xml:space="preserve">TCAGCAATTTTGAAACTGGC</t>
  </si>
  <si>
    <t xml:space="preserve">TAGTTCAGCAATTTTGAAACTGGC</t>
  </si>
  <si>
    <t xml:space="preserve">AAACGCCAGTTTCAAAATTGCTGA</t>
  </si>
  <si>
    <t xml:space="preserve">CGCCGGATAACAGGCACAGC</t>
  </si>
  <si>
    <t xml:space="preserve">TAGTCGCCGGATAACAGGCACAGC</t>
  </si>
  <si>
    <t xml:space="preserve">AAACGCTGTGCCTGTTATCCGGCG</t>
  </si>
  <si>
    <t xml:space="preserve">GTCGGGCTGGCGCTCCGAGG</t>
  </si>
  <si>
    <t xml:space="preserve">TAGTGTCGGGCTGGCGCTCCGAGG</t>
  </si>
  <si>
    <t xml:space="preserve">AAACCCTCGGAGCGCCAGCCCGAC</t>
  </si>
  <si>
    <t xml:space="preserve">PSPPH_2525</t>
  </si>
  <si>
    <t xml:space="preserve">TCTACGGCGTTGATGGACAT</t>
  </si>
  <si>
    <t xml:space="preserve">TAGTTCTACGGCGTTGATGGACAT</t>
  </si>
  <si>
    <t xml:space="preserve">AAACATGTCCATCAACGCCGTAGA</t>
  </si>
  <si>
    <t xml:space="preserve">GTTGAAGCGCGATTCCTGAC</t>
  </si>
  <si>
    <t xml:space="preserve">TAGTGTTGAAGCGCGATTCCTGAC</t>
  </si>
  <si>
    <t xml:space="preserve">AAACGTCAGGAATCGCGCTTCAAC</t>
  </si>
  <si>
    <t xml:space="preserve">CTGCTCGGCATTTTCGACGG</t>
  </si>
  <si>
    <t xml:space="preserve">TAGTCTGCTCGGCATTTTCGACGG</t>
  </si>
  <si>
    <t xml:space="preserve">AAACCCGTCGAAAATGCCGAGCAG</t>
  </si>
  <si>
    <t xml:space="preserve">ATCGTTGAACTCACTGTCGC</t>
  </si>
  <si>
    <t xml:space="preserve">TAGTATCGTTGAACTCACTGTCGC</t>
  </si>
  <si>
    <t xml:space="preserve">AAACGCGACAGTGAGTTCAACGAT</t>
  </si>
  <si>
    <t xml:space="preserve">PSPPH_2526</t>
  </si>
  <si>
    <t xml:space="preserve">CGGCATGCCTTTGGAAGTCT</t>
  </si>
  <si>
    <t xml:space="preserve">TAGTCGGCATGCCTTTGGAAGTCT</t>
  </si>
  <si>
    <t xml:space="preserve">AAACAGACTTCCAAAGGCATGCCG</t>
  </si>
  <si>
    <t xml:space="preserve">TGATGCGGGCTGGCACCCTG</t>
  </si>
  <si>
    <t xml:space="preserve">TAGTTGATGCGGGCTGGCACCCTG</t>
  </si>
  <si>
    <t xml:space="preserve">AAACCAGGGTGCCAGCCCGCATCA</t>
  </si>
  <si>
    <t xml:space="preserve">AACCATCCAGTCGCTCCATC</t>
  </si>
  <si>
    <t xml:space="preserve">TAGTAACCATCCAGTCGCTCCATC</t>
  </si>
  <si>
    <t xml:space="preserve">AAACGATGGAGCGACTGGATGGTT</t>
  </si>
  <si>
    <t xml:space="preserve">GCTCTGAGAACTGCCGCGAG</t>
  </si>
  <si>
    <t xml:space="preserve">TAGTGCTCTGAGAACTGCCGCGAG</t>
  </si>
  <si>
    <t xml:space="preserve">AAACCTCGCGGCAGTTCTCAGAGC</t>
  </si>
  <si>
    <t xml:space="preserve">PSPPH_2527</t>
  </si>
  <si>
    <t xml:space="preserve">GACACGGCGGCGTTTGGGCA</t>
  </si>
  <si>
    <t xml:space="preserve">TAGTGACACGGCGGCGTTTGGGCA</t>
  </si>
  <si>
    <t xml:space="preserve">AAACTGCCCAAACGCCGCCGTGTC</t>
  </si>
  <si>
    <t xml:space="preserve">CAAGCGTCGCCACTATCAAC</t>
  </si>
  <si>
    <t xml:space="preserve">TAGTCAAGCGTCGCCACTATCAAC</t>
  </si>
  <si>
    <t xml:space="preserve">AAACGTTGATAGTGGCGACGCTTG</t>
  </si>
  <si>
    <t xml:space="preserve">ATCGCAGGCCTGCAACAGGC</t>
  </si>
  <si>
    <t xml:space="preserve">TAGTATCGCAGGCCTGCAACAGGC</t>
  </si>
  <si>
    <t xml:space="preserve">AAACGCCTGTTGCAGGCCTGCGAT</t>
  </si>
  <si>
    <t xml:space="preserve">GGCCTCACGCTCGCCGAGGT</t>
  </si>
  <si>
    <t xml:space="preserve">TAGTGGCCTCACGCTCGCCGAGGT</t>
  </si>
  <si>
    <t xml:space="preserve">AAACACCTCGGCGAGCGTGAGGCC</t>
  </si>
  <si>
    <t xml:space="preserve">PSPPH_2528</t>
  </si>
  <si>
    <t xml:space="preserve">GGCCAGTGCGTGCCACTGGC</t>
  </si>
  <si>
    <t xml:space="preserve">TAGTGGCCAGTGCGTGCCACTGGC</t>
  </si>
  <si>
    <t xml:space="preserve">AAACGCCAGTGGCACGCACTGGCC</t>
  </si>
  <si>
    <t xml:space="preserve">GACAAAGGCCAAGGGACGTT</t>
  </si>
  <si>
    <t xml:space="preserve">TAGTGACAAAGGCCAAGGGACGTT</t>
  </si>
  <si>
    <t xml:space="preserve">AAACAACGTCCCTTGGCCTTTGTC</t>
  </si>
  <si>
    <t xml:space="preserve">ATTCGGCCAGACAGCGCTCG</t>
  </si>
  <si>
    <t xml:space="preserve">TAGTATTCGGCCAGACAGCGCTCG</t>
  </si>
  <si>
    <t xml:space="preserve">AAACCGAGCGCTGTCTGGCCGAAT</t>
  </si>
  <si>
    <t xml:space="preserve">ATCGTGTAACGCTGCAAGTC</t>
  </si>
  <si>
    <t xml:space="preserve">TAGTATCGTGTAACGCTGCAAGTC</t>
  </si>
  <si>
    <t xml:space="preserve">AAACGACTTGCAGCGTTACACGAT</t>
  </si>
  <si>
    <t xml:space="preserve">PSPPH_2529</t>
  </si>
  <si>
    <t xml:space="preserve">ACCCGGGAGCCTGGTCGTGT</t>
  </si>
  <si>
    <t xml:space="preserve">TAGTACCCGGGAGCCTGGTCGTGT</t>
  </si>
  <si>
    <t xml:space="preserve">AAACACACGACCAGGCTCCCGGGT</t>
  </si>
  <si>
    <t xml:space="preserve">GTCGATCCAGCGAGCGGCGT</t>
  </si>
  <si>
    <t xml:space="preserve">TAGTGTCGATCCAGCGAGCGGCGT</t>
  </si>
  <si>
    <t xml:space="preserve">AAACACGCCGCTCGCTGGATCGAC</t>
  </si>
  <si>
    <t xml:space="preserve">TTCATGCGCGGCTTCGATGA</t>
  </si>
  <si>
    <t xml:space="preserve">TAGTTTCATGCGCGGCTTCGATGA</t>
  </si>
  <si>
    <t xml:space="preserve">AAACTCATCGAAGCCGCGCATGAA</t>
  </si>
  <si>
    <t xml:space="preserve">TCTGGCATGCTCGAAGCCTT</t>
  </si>
  <si>
    <t xml:space="preserve">TAGTTCTGGCATGCTCGAAGCCTT</t>
  </si>
  <si>
    <t xml:space="preserve">AAACAAGGCTTCGAGCATGCCAGA</t>
  </si>
  <si>
    <t xml:space="preserve">PSPPH_2530</t>
  </si>
  <si>
    <t xml:space="preserve">GTTGGGCAGCAGCGTCGTCA</t>
  </si>
  <si>
    <t xml:space="preserve">TAGTGTTGGGCAGCAGCGTCGTCA</t>
  </si>
  <si>
    <t xml:space="preserve">AAACTGACGACGCTGCTGCCCAAC</t>
  </si>
  <si>
    <t xml:space="preserve">CGAATTGCAAGCGCAAACCG</t>
  </si>
  <si>
    <t xml:space="preserve">TAGTCGAATTGCAAGCGCAAACCG</t>
  </si>
  <si>
    <t xml:space="preserve">AAACCGGTTTGCGCTTGCAATTCG</t>
  </si>
  <si>
    <t xml:space="preserve">CCCACGCATGGGCCTGGGCT</t>
  </si>
  <si>
    <t xml:space="preserve">TAGTCCCACGCATGGGCCTGGGCT</t>
  </si>
  <si>
    <t xml:space="preserve">AAACAGCCCAGGCCCATGCGTGGG</t>
  </si>
  <si>
    <t xml:space="preserve">GATGCCTACGCCGGCGACGC</t>
  </si>
  <si>
    <t xml:space="preserve">TAGTGATGCCTACGCCGGCGACGC</t>
  </si>
  <si>
    <t xml:space="preserve">AAACGCGTCGCCGGCGTAGGCATC</t>
  </si>
  <si>
    <t xml:space="preserve">PSPPH_2532</t>
  </si>
  <si>
    <t xml:space="preserve">GGCTTGCAGGCTGTACAGGT</t>
  </si>
  <si>
    <t xml:space="preserve">TAGTGGCTTGCAGGCTGTACAGGT</t>
  </si>
  <si>
    <t xml:space="preserve">AAACACCTGTACAGCCTGCAAGCC</t>
  </si>
  <si>
    <t xml:space="preserve">CTGCTCACGCAACAGACGCA</t>
  </si>
  <si>
    <t xml:space="preserve">TAGTCTGCTCACGCAACAGACGCA</t>
  </si>
  <si>
    <t xml:space="preserve">AAACTGCGTCTGTTGCGTGAGCAG</t>
  </si>
  <si>
    <t xml:space="preserve">CCGTTGAGCGCCAAGATGAG</t>
  </si>
  <si>
    <t xml:space="preserve">TAGTCCGTTGAGCGCCAAGATGAG</t>
  </si>
  <si>
    <t xml:space="preserve">AAACCTCATCTTGGCGCTCAACGG</t>
  </si>
  <si>
    <t xml:space="preserve">CCAGCTCGGTGTGGCTATCA</t>
  </si>
  <si>
    <t xml:space="preserve">TAGTCCAGCTCGGTGTGGCTATCA</t>
  </si>
  <si>
    <t xml:space="preserve">AAACTGATAGCCACACCGAGCTGG</t>
  </si>
  <si>
    <t xml:space="preserve">PSPPH_2533</t>
  </si>
  <si>
    <t xml:space="preserve">CATCGTGGCGGATCGTTCTT</t>
  </si>
  <si>
    <t xml:space="preserve">TAGTCATCGTGGCGGATCGTTCTT</t>
  </si>
  <si>
    <t xml:space="preserve">AAACAAGAACGATCCGCCACGATG</t>
  </si>
  <si>
    <t xml:space="preserve">CAGTCCGAAGCCGGCTTGCC</t>
  </si>
  <si>
    <t xml:space="preserve">TAGTCAGTCCGAAGCCGGCTTGCC</t>
  </si>
  <si>
    <t xml:space="preserve">AAACGGCAAGCCGGCTTCGGACTG</t>
  </si>
  <si>
    <t xml:space="preserve">PSPPH_2534</t>
  </si>
  <si>
    <t xml:space="preserve">GCGACACTCGCCACCTGCGC</t>
  </si>
  <si>
    <t xml:space="preserve">TAGTGCGACACTCGCCACCTGCGC</t>
  </si>
  <si>
    <t xml:space="preserve">AAACGCGCAGGTGGCGAGTGTCGC</t>
  </si>
  <si>
    <t xml:space="preserve">TGATGGCCACCCTCACCGGT</t>
  </si>
  <si>
    <t xml:space="preserve">TAGTTGATGGCCACCCTCACCGGT</t>
  </si>
  <si>
    <t xml:space="preserve">AAACACCGGTGAGGGTGGCCATCA</t>
  </si>
  <si>
    <t xml:space="preserve">CGGAACAACGAGTTCGAGGT</t>
  </si>
  <si>
    <t xml:space="preserve">TAGTCGGAACAACGAGTTCGAGGT</t>
  </si>
  <si>
    <t xml:space="preserve">AAACACCTCGAACTCGTTGTTCCG</t>
  </si>
  <si>
    <t xml:space="preserve">GACAGCTCGAAAAGACGCGA</t>
  </si>
  <si>
    <t xml:space="preserve">TAGTGACAGCTCGAAAAGACGCGA</t>
  </si>
  <si>
    <t xml:space="preserve">AAACTCGCGTCTTTTCGAGCTGTC</t>
  </si>
  <si>
    <t xml:space="preserve">PSPPH_2535</t>
  </si>
  <si>
    <t xml:space="preserve">TGATTTCGATCAGGTTCGGC</t>
  </si>
  <si>
    <t xml:space="preserve">TAGTTGATTTCGATCAGGTTCGGC</t>
  </si>
  <si>
    <t xml:space="preserve">AAACGCCGAACCTGATCGAAATCA</t>
  </si>
  <si>
    <t xml:space="preserve">GTCAGCGTCACGACGGCCAG</t>
  </si>
  <si>
    <t xml:space="preserve">TAGTGTCAGCGTCACGACGGCCAG</t>
  </si>
  <si>
    <t xml:space="preserve">AAACCTGGCCGTCGTGACGCTGAC</t>
  </si>
  <si>
    <t xml:space="preserve">GCGGATCAGAAACAGCACCA</t>
  </si>
  <si>
    <t xml:space="preserve">TAGTGCGGATCAGAAACAGCACCA</t>
  </si>
  <si>
    <t xml:space="preserve">AAACTGGTGCTGTTTCTGATCCGC</t>
  </si>
  <si>
    <t xml:space="preserve">CCGTAAAGCACCAGATTGGG</t>
  </si>
  <si>
    <t xml:space="preserve">TAGTCCGTAAAGCACCAGATTGGG</t>
  </si>
  <si>
    <t xml:space="preserve">AAACCCCAATCTGGTGCTTTACGG</t>
  </si>
  <si>
    <t xml:space="preserve">PSPPH_2536</t>
  </si>
  <si>
    <t xml:space="preserve">TCAGCGAGAGAAAAACATCC</t>
  </si>
  <si>
    <t xml:space="preserve">TAGTTCAGCGAGAGAAAAACATCC</t>
  </si>
  <si>
    <t xml:space="preserve">AAACGGATGTTTTTCTCTCGCTGA</t>
  </si>
  <si>
    <t xml:space="preserve">GGCCACGACCAACGCCGGAG</t>
  </si>
  <si>
    <t xml:space="preserve">TAGTGGCCACGACCAACGCCGGAG</t>
  </si>
  <si>
    <t xml:space="preserve">AAACCTCCGGCGTTGGTCGTGGCC</t>
  </si>
  <si>
    <t xml:space="preserve">CACACTAAGGCCGACGACAA</t>
  </si>
  <si>
    <t xml:space="preserve">TAGTCACACTAAGGCCGACGACAA</t>
  </si>
  <si>
    <t xml:space="preserve">AAACTTGTCGTCGGCCTTAGTGTG</t>
  </si>
  <si>
    <t xml:space="preserve">AGTGTCTGGTCCTGGATCTG</t>
  </si>
  <si>
    <t xml:space="preserve">TAGTAGTGTCTGGTCCTGGATCTG</t>
  </si>
  <si>
    <t xml:space="preserve">AAACCAGATCCAGGACCAGACACT</t>
  </si>
  <si>
    <t xml:space="preserve">PSPPH_2537</t>
  </si>
  <si>
    <t xml:space="preserve">AGCGATTTCGATGAACGCAT</t>
  </si>
  <si>
    <t xml:space="preserve">TAGTAGCGATTTCGATGAACGCAT</t>
  </si>
  <si>
    <t xml:space="preserve">AAACATGCGTTCATCGAAATCGCT</t>
  </si>
  <si>
    <t xml:space="preserve">AGCGATGCGGAACTGATCAC</t>
  </si>
  <si>
    <t xml:space="preserve">TAGTAGCGATGCGGAACTGATCAC</t>
  </si>
  <si>
    <t xml:space="preserve">AAACGTGATCAGTTCCGCATCGCT</t>
  </si>
  <si>
    <t xml:space="preserve">GCCCAAACGATTGAATGCCG</t>
  </si>
  <si>
    <t xml:space="preserve">TAGTGCCCAAACGATTGAATGCCG</t>
  </si>
  <si>
    <t xml:space="preserve">AAACCGGCATTCAATCGTTTGGGC</t>
  </si>
  <si>
    <t xml:space="preserve">AGCCACGGATCATGCCGGTC</t>
  </si>
  <si>
    <t xml:space="preserve">TAGTAGCCACGGATCATGCCGGTC</t>
  </si>
  <si>
    <t xml:space="preserve">AAACGACCGGCATGATCCGTGGCT</t>
  </si>
  <si>
    <t xml:space="preserve">PSPPH_2538</t>
  </si>
  <si>
    <t xml:space="preserve">GCTTCTTGTCCGAGGCCGGC</t>
  </si>
  <si>
    <t xml:space="preserve">TAGTGCTTCTTGTCCGAGGCCGGC</t>
  </si>
  <si>
    <t xml:space="preserve">AAACGCCGGCCTCGGACAAGAAGC</t>
  </si>
  <si>
    <t xml:space="preserve">CGACACCAGTTCCTGGCTCT</t>
  </si>
  <si>
    <t xml:space="preserve">TAGTCGACACCAGTTCCTGGCTCT</t>
  </si>
  <si>
    <t xml:space="preserve">AAACAGAGCCAGGAACTGGTGTCG</t>
  </si>
  <si>
    <t xml:space="preserve">AGATGCACAAGGTACACATC</t>
  </si>
  <si>
    <t xml:space="preserve">TAGTAGATGCACAAGGTACACATC</t>
  </si>
  <si>
    <t xml:space="preserve">AAACGATGTGTACCTTGTGCATCT</t>
  </si>
  <si>
    <t xml:space="preserve">TCGACCTGCGCACGTGCCTT</t>
  </si>
  <si>
    <t xml:space="preserve">TAGTTCGACCTGCGCACGTGCCTT</t>
  </si>
  <si>
    <t xml:space="preserve">AAACAAGGCACGTGCGCAGGTCGA</t>
  </si>
  <si>
    <t xml:space="preserve">PSPPH_2539</t>
  </si>
  <si>
    <t xml:space="preserve">AGCGGATAGCTTCCTGCCCC</t>
  </si>
  <si>
    <t xml:space="preserve">TAGTAGCGGATAGCTTCCTGCCCC</t>
  </si>
  <si>
    <t xml:space="preserve">AAACGGGGCAGGAAGCTATCCGCT</t>
  </si>
  <si>
    <t xml:space="preserve">TGAACAACAGCTGCTGCTGC</t>
  </si>
  <si>
    <t xml:space="preserve">TAGTTGAACAACAGCTGCTGCTGC</t>
  </si>
  <si>
    <t xml:space="preserve">AAACGCAGCAGCAGCTGTTGTTCA</t>
  </si>
  <si>
    <t xml:space="preserve">GCGCGACTGCCCAGCGGTAC</t>
  </si>
  <si>
    <t xml:space="preserve">TAGTGCGCGACTGCCCAGCGGTAC</t>
  </si>
  <si>
    <t xml:space="preserve">AAACGTACCGCTGGGCAGTCGCGC</t>
  </si>
  <si>
    <t xml:space="preserve">GAATGCCACCAGCAGAGACA</t>
  </si>
  <si>
    <t xml:space="preserve">TAGTGAATGCCACCAGCAGAGACA</t>
  </si>
  <si>
    <t xml:space="preserve">AAACTGTCTCTGCTGGTGGCATTC</t>
  </si>
  <si>
    <t xml:space="preserve">PSPPH_2540</t>
  </si>
  <si>
    <t xml:space="preserve">AGTGGTGATTTTGCTGACGG</t>
  </si>
  <si>
    <t xml:space="preserve">TAGTAGTGGTGATTTTGCTGACGG</t>
  </si>
  <si>
    <t xml:space="preserve">AAACCCGTCAGCAAAATCACCACT</t>
  </si>
  <si>
    <t xml:space="preserve">TTGGCGTCTAACGGGTCTTT</t>
  </si>
  <si>
    <t xml:space="preserve">TAGTTTGGCGTCTAACGGGTCTTT</t>
  </si>
  <si>
    <t xml:space="preserve">AAACAAAGACCCGTTAGACGCCAA</t>
  </si>
  <si>
    <t xml:space="preserve">CTGCTGCACGGCCTGCTCCC</t>
  </si>
  <si>
    <t xml:space="preserve">TAGTCTGCTGCACGGCCTGCTCCC</t>
  </si>
  <si>
    <t xml:space="preserve">AAACGGGAGCAGGCCGTGCAGCAG</t>
  </si>
  <si>
    <t xml:space="preserve">CCACTGGATACCGGCATCCC</t>
  </si>
  <si>
    <t xml:space="preserve">TAGTCCACTGGATACCGGCATCCC</t>
  </si>
  <si>
    <t xml:space="preserve">AAACGGGATGCCGGTATCCAGTGG</t>
  </si>
  <si>
    <t xml:space="preserve">PSPPH_2542</t>
  </si>
  <si>
    <t xml:space="preserve">CAGAACGCCAGGGTTATCTG</t>
  </si>
  <si>
    <t xml:space="preserve">TAGTCAGAACGCCAGGGTTATCTG</t>
  </si>
  <si>
    <t xml:space="preserve">AAACCAGATAACCCTGGCGTTCTG</t>
  </si>
  <si>
    <t xml:space="preserve">GCCCGCTGTTTCGCCAAGTG</t>
  </si>
  <si>
    <t xml:space="preserve">TAGTGCCCGCTGTTTCGCCAAGTG</t>
  </si>
  <si>
    <t xml:space="preserve">AAACCACTTGGCGAAACAGCGGGC</t>
  </si>
  <si>
    <t xml:space="preserve">TCACGAGCGTGGCTACAAAC</t>
  </si>
  <si>
    <t xml:space="preserve">TAGTTCACGAGCGTGGCTACAAAC</t>
  </si>
  <si>
    <t xml:space="preserve">AAACGTTTGTAGCCACGCTCGTGA</t>
  </si>
  <si>
    <t xml:space="preserve">CATCGGGTGATAACGTTTTG</t>
  </si>
  <si>
    <t xml:space="preserve">TAGTCATCGGGTGATAACGTTTTG</t>
  </si>
  <si>
    <t xml:space="preserve">AAACCAAAACGTTATCACCCGATG</t>
  </si>
  <si>
    <t xml:space="preserve">PSPPH_2543</t>
  </si>
  <si>
    <t xml:space="preserve">CTTCCGGTTTGTCTGGCCAA</t>
  </si>
  <si>
    <t xml:space="preserve">TAGTCTTCCGGTTTGTCTGGCCAA</t>
  </si>
  <si>
    <t xml:space="preserve">AAACTTGGCCAGACAAACCGGAAG</t>
  </si>
  <si>
    <t xml:space="preserve">GCACTTTGGGGAGCGAGGTA</t>
  </si>
  <si>
    <t xml:space="preserve">TAGTGCACTTTGGGGAGCGAGGTA</t>
  </si>
  <si>
    <t xml:space="preserve">AAACTACCTCGCTCCCCAAAGTGC</t>
  </si>
  <si>
    <t xml:space="preserve">GGTAGGCGGTAGCGAACCCC</t>
  </si>
  <si>
    <t xml:space="preserve">TAGTGGTAGGCGGTAGCGAACCCC</t>
  </si>
  <si>
    <t xml:space="preserve">AAACGGGGTTCGCTACCGCCTACC</t>
  </si>
  <si>
    <t xml:space="preserve">CTTCGCCAAGCGAACTGGCG</t>
  </si>
  <si>
    <t xml:space="preserve">TAGTCTTCGCCAAGCGAACTGGCG</t>
  </si>
  <si>
    <t xml:space="preserve">AAACCGCCAGTTCGCTTGGCGAAG</t>
  </si>
  <si>
    <t xml:space="preserve">PSPPH_2545</t>
  </si>
  <si>
    <t xml:space="preserve">mqo2</t>
  </si>
  <si>
    <t xml:space="preserve">GGGCATCAGGCCCATGGAAA</t>
  </si>
  <si>
    <t xml:space="preserve">TAGTGGGCATCAGGCCCATGGAAA</t>
  </si>
  <si>
    <t xml:space="preserve">AAACTTTCCATGGGCCTGATGCCC</t>
  </si>
  <si>
    <t xml:space="preserve">TTGGTTTCAGCCGCCTGCAC</t>
  </si>
  <si>
    <t xml:space="preserve">TAGTTTGGTTTCAGCCGCCTGCAC</t>
  </si>
  <si>
    <t xml:space="preserve">AAACGTGCAGGCGGCTGAAACCAA</t>
  </si>
  <si>
    <t xml:space="preserve">ACCATTTCCATCGACCAGCT</t>
  </si>
  <si>
    <t xml:space="preserve">TAGTACCATTTCCATCGACCAGCT</t>
  </si>
  <si>
    <t xml:space="preserve">AAACAGCTGGTCGATGGAAATGGT</t>
  </si>
  <si>
    <t xml:space="preserve">TTTCTTCGGCCACGCCATCG</t>
  </si>
  <si>
    <t xml:space="preserve">TAGTTTTCTTCGGCCACGCCATCG</t>
  </si>
  <si>
    <t xml:space="preserve">AAACCGATGGCGTGGCCGAAGAAA</t>
  </si>
  <si>
    <t xml:space="preserve">PSPPH_2546</t>
  </si>
  <si>
    <t xml:space="preserve">GCAGAATCCTTGTGCTTTTT</t>
  </si>
  <si>
    <t xml:space="preserve">TAGTGCAGAATCCTTGTGCTTTTT</t>
  </si>
  <si>
    <t xml:space="preserve">AAACAAAAAGCACAAGGATTCTGC</t>
  </si>
  <si>
    <t xml:space="preserve">GTTTCGGTGCGAAGGCTGCA</t>
  </si>
  <si>
    <t xml:space="preserve">TAGTGTTTCGGTGCGAAGGCTGCA</t>
  </si>
  <si>
    <t xml:space="preserve">AAACTGCAGCCTTCGCACCGAAAC</t>
  </si>
  <si>
    <t xml:space="preserve">CAGCGTGGCCGCAGCAATGC</t>
  </si>
  <si>
    <t xml:space="preserve">TAGTCAGCGTGGCCGCAGCAATGC</t>
  </si>
  <si>
    <t xml:space="preserve">AAACGCATTGCTGCGGCCACGCTG</t>
  </si>
  <si>
    <t xml:space="preserve">CATGCCGTCGGAGGGTATCC</t>
  </si>
  <si>
    <t xml:space="preserve">TAGTCATGCCGTCGGAGGGTATCC</t>
  </si>
  <si>
    <t xml:space="preserve">AAACGGATACCCTCCGACGGCATG</t>
  </si>
  <si>
    <t xml:space="preserve">PSPPH_2547</t>
  </si>
  <si>
    <t xml:space="preserve">GCAGTGCTGAATGCCTGCGC</t>
  </si>
  <si>
    <t xml:space="preserve">TAGTGCAGTGCTGAATGCCTGCGC</t>
  </si>
  <si>
    <t xml:space="preserve">AAACGCGCAGGCATTCAGCACTGC</t>
  </si>
  <si>
    <t xml:space="preserve">CTTGACCAGATCAAGCAACG</t>
  </si>
  <si>
    <t xml:space="preserve">TAGTCTTGACCAGATCAAGCAACG</t>
  </si>
  <si>
    <t xml:space="preserve">AAACCGTTGCTTGATCTGGTCAAG</t>
  </si>
  <si>
    <t xml:space="preserve">TTGATGTCCACCATTTGCTG</t>
  </si>
  <si>
    <t xml:space="preserve">TAGTTTGATGTCCACCATTTGCTG</t>
  </si>
  <si>
    <t xml:space="preserve">AAACCAGCAAATGGTGGACATCAA</t>
  </si>
  <si>
    <t xml:space="preserve">CCGATGCGCAGACGCCCATC</t>
  </si>
  <si>
    <t xml:space="preserve">TAGTCCGATGCGCAGACGCCCATC</t>
  </si>
  <si>
    <t xml:space="preserve">AAACGATGGGCGTCTGCGCATCGG</t>
  </si>
  <si>
    <t xml:space="preserve">PSPPH_2548</t>
  </si>
  <si>
    <t xml:space="preserve">CCGCCATCGATACGACGCTG</t>
  </si>
  <si>
    <t xml:space="preserve">TAGTCCGCCATCGATACGACGCTG</t>
  </si>
  <si>
    <t xml:space="preserve">AAACCAGCGTCGTATCGATGGCGG</t>
  </si>
  <si>
    <t xml:space="preserve">CTTGCCCATCGGATGGTCTG</t>
  </si>
  <si>
    <t xml:space="preserve">TAGTCTTGCCCATCGGATGGTCTG</t>
  </si>
  <si>
    <t xml:space="preserve">AAACCAGACCATCCGATGGGCAAG</t>
  </si>
  <si>
    <t xml:space="preserve">GATGGTGCTGTAGACGCCAT</t>
  </si>
  <si>
    <t xml:space="preserve">TAGTGATGGTGCTGTAGACGCCAT</t>
  </si>
  <si>
    <t xml:space="preserve">AAACATGGCGTCTACAGCACCATC</t>
  </si>
  <si>
    <t xml:space="preserve">TACGGCAACCACGCGCCCGT</t>
  </si>
  <si>
    <t xml:space="preserve">TAGTTACGGCAACCACGCGCCCGT</t>
  </si>
  <si>
    <t xml:space="preserve">AAACACGGGCGCGTGGTTGCCGTA</t>
  </si>
  <si>
    <t xml:space="preserve">PSPPH_2549</t>
  </si>
  <si>
    <t xml:space="preserve">GAGAACCGTGCATAGCCAGA</t>
  </si>
  <si>
    <t xml:space="preserve">TAGTGAGAACCGTGCATAGCCAGA</t>
  </si>
  <si>
    <t xml:space="preserve">AAACTCTGGCTATGCACGGTTCTC</t>
  </si>
  <si>
    <t xml:space="preserve">CATTGCCCCGGGCCCGCGTG</t>
  </si>
  <si>
    <t xml:space="preserve">TAGTCATTGCCCCGGGCCCGCGTG</t>
  </si>
  <si>
    <t xml:space="preserve">AAACCACGCGGGCCCGGGGCAATG</t>
  </si>
  <si>
    <t xml:space="preserve">CTCCACACAGCCGCCAGACA</t>
  </si>
  <si>
    <t xml:space="preserve">TAGTCTCCACACAGCCGCCAGACA</t>
  </si>
  <si>
    <t xml:space="preserve">AAACTGTCTGGCGGCTGTGTGGAG</t>
  </si>
  <si>
    <t xml:space="preserve">TAGCGAACGACCTGATTGAC</t>
  </si>
  <si>
    <t xml:space="preserve">TAGTTAGCGAACGACCTGATTGAC</t>
  </si>
  <si>
    <t xml:space="preserve">AAACGTCAATCAGGTCGTTCGCTA</t>
  </si>
  <si>
    <t xml:space="preserve">PSPPH_2550</t>
  </si>
  <si>
    <t xml:space="preserve">TCGGCCTGCCGCCAGTACCA</t>
  </si>
  <si>
    <t xml:space="preserve">TAGTTCGGCCTGCCGCCAGTACCA</t>
  </si>
  <si>
    <t xml:space="preserve">AAACTGGTACTGGCGGCAGGCCGA</t>
  </si>
  <si>
    <t xml:space="preserve">GTCAGCAAGGTACGTCCACA</t>
  </si>
  <si>
    <t xml:space="preserve">TAGTGTCAGCAAGGTACGTCCACA</t>
  </si>
  <si>
    <t xml:space="preserve">AAACTGTGGACGTACCTTGCTGAC</t>
  </si>
  <si>
    <t xml:space="preserve">TCCAGCGTTTTCAAGACTTG</t>
  </si>
  <si>
    <t xml:space="preserve">TAGTTCCAGCGTTTTCAAGACTTG</t>
  </si>
  <si>
    <t xml:space="preserve">AAACCAAGTCTTGAAAACGCTGGA</t>
  </si>
  <si>
    <t xml:space="preserve">CAGTGCTTCAGCGTCATCGT</t>
  </si>
  <si>
    <t xml:space="preserve">TAGTCAGTGCTTCAGCGTCATCGT</t>
  </si>
  <si>
    <t xml:space="preserve">AAACACGATGACGCTGAAGCACTG</t>
  </si>
  <si>
    <t xml:space="preserve">PSPPH_2551</t>
  </si>
  <si>
    <t xml:space="preserve">TAGGCTTTTTCCAGCTCGAC</t>
  </si>
  <si>
    <t xml:space="preserve">TAGTTAGGCTTTTTCCAGCTCGAC</t>
  </si>
  <si>
    <t xml:space="preserve">AAACGTCGAGCTGGAAAAAGCCTA</t>
  </si>
  <si>
    <t xml:space="preserve">TCGGGCCGTGATTGAGCAGA</t>
  </si>
  <si>
    <t xml:space="preserve">TAGTTCGGGCCGTGATTGAGCAGA</t>
  </si>
  <si>
    <t xml:space="preserve">AAACTCTGCTCAATCACGGCCCGA</t>
  </si>
  <si>
    <t xml:space="preserve">GTGAGTGCCTTCATGACTGG</t>
  </si>
  <si>
    <t xml:space="preserve">TAGTGTGAGTGCCTTCATGACTGG</t>
  </si>
  <si>
    <t xml:space="preserve">AAACCCAGTCATGAAGGCACTCAC</t>
  </si>
  <si>
    <t xml:space="preserve">CGGCGAGAAATCCAGCGCGC</t>
  </si>
  <si>
    <t xml:space="preserve">TAGTCGGCGAGAAATCCAGCGCGC</t>
  </si>
  <si>
    <t xml:space="preserve">AAACGCGCGCTGGATTTCTCGCCG</t>
  </si>
  <si>
    <t xml:space="preserve">PSPPH_2552</t>
  </si>
  <si>
    <t xml:space="preserve">CGAGATTGCGTGGGTGTTGC</t>
  </si>
  <si>
    <t xml:space="preserve">TAGTCGAGATTGCGTGGGTGTTGC</t>
  </si>
  <si>
    <t xml:space="preserve">AAACGCAACACCCACGCAATCTCG</t>
  </si>
  <si>
    <t xml:space="preserve">CGATCTGTTCGCCTGAGGCG</t>
  </si>
  <si>
    <t xml:space="preserve">TAGTCGATCTGTTCGCCTGAGGCG</t>
  </si>
  <si>
    <t xml:space="preserve">AAACCGCCTCAGGCGAACAGATCG</t>
  </si>
  <si>
    <t xml:space="preserve">CGTCGGATTCGAAGGCGTAG</t>
  </si>
  <si>
    <t xml:space="preserve">TAGTCGTCGGATTCGAAGGCGTAG</t>
  </si>
  <si>
    <t xml:space="preserve">AAACCTACGCCTTCGAATCCGACG</t>
  </si>
  <si>
    <t xml:space="preserve">CGACAGGCTGCGATCCAGCA</t>
  </si>
  <si>
    <t xml:space="preserve">TAGTCGACAGGCTGCGATCCAGCA</t>
  </si>
  <si>
    <t xml:space="preserve">AAACTGCTGGATCGCAGCCTGTCG</t>
  </si>
  <si>
    <t xml:space="preserve">PSPPH_2553</t>
  </si>
  <si>
    <t xml:space="preserve">GCGATGAATATGCTGCGCAG</t>
  </si>
  <si>
    <t xml:space="preserve">TAGTGCGATGAATATGCTGCGCAG</t>
  </si>
  <si>
    <t xml:space="preserve">AAACCTGCGCAGCATATTCATCGC</t>
  </si>
  <si>
    <t xml:space="preserve">ATACGCGTCGTCAGATTCGA</t>
  </si>
  <si>
    <t xml:space="preserve">TAGTATACGCGTCGTCAGATTCGA</t>
  </si>
  <si>
    <t xml:space="preserve">AAACTCGAATCTGACGACGCGTAT</t>
  </si>
  <si>
    <t xml:space="preserve">GGTGTTTTTCGCGAATGAAC</t>
  </si>
  <si>
    <t xml:space="preserve">TAGTGGTGTTTTTCGCGAATGAAC</t>
  </si>
  <si>
    <t xml:space="preserve">AAACGTTCATTCGCGAAAAACACC</t>
  </si>
  <si>
    <t xml:space="preserve">CGGCAGGCGACAGCCGCAAA</t>
  </si>
  <si>
    <t xml:space="preserve">TAGTCGGCAGGCGACAGCCGCAAA</t>
  </si>
  <si>
    <t xml:space="preserve">AAACTTTGCGGCTGTCGCCTGCCG</t>
  </si>
  <si>
    <t xml:space="preserve">PSPPH_2554</t>
  </si>
  <si>
    <t xml:space="preserve">GCCGATGCCGTCACCGGCGA</t>
  </si>
  <si>
    <t xml:space="preserve">TAGTGCCGATGCCGTCACCGGCGA</t>
  </si>
  <si>
    <t xml:space="preserve">AAACTCGCCGGTGACGGCATCGGC</t>
  </si>
  <si>
    <t xml:space="preserve">CGCCTTCGGGCAGTACTTCA</t>
  </si>
  <si>
    <t xml:space="preserve">TAGTCGCCTTCGGGCAGTACTTCA</t>
  </si>
  <si>
    <t xml:space="preserve">AAACTGAAGTACTGCCCGAAGGCG</t>
  </si>
  <si>
    <t xml:space="preserve">CTCCAGACCGTGCTTCGCGG</t>
  </si>
  <si>
    <t xml:space="preserve">TAGTCTCCAGACCGTGCTTCGCGG</t>
  </si>
  <si>
    <t xml:space="preserve">AAACCCGCGAAGCACGGTCTGGAG</t>
  </si>
  <si>
    <t xml:space="preserve">CTTCAGGTAGTAATCGCAAC</t>
  </si>
  <si>
    <t xml:space="preserve">TAGTCTTCAGGTAGTAATCGCAAC</t>
  </si>
  <si>
    <t xml:space="preserve">AAACGTTGCGATTACTACCTGAAG</t>
  </si>
  <si>
    <t xml:space="preserve">PSPPH_2555</t>
  </si>
  <si>
    <t xml:space="preserve">ACGTTCAGATCATCAAGGTT</t>
  </si>
  <si>
    <t xml:space="preserve">TAGTACGTTCAGATCATCAAGGTT</t>
  </si>
  <si>
    <t xml:space="preserve">AAACAACCTTGATGATCTGAACGT</t>
  </si>
  <si>
    <t xml:space="preserve">AGCTCGAGCGTCGAGCAACG</t>
  </si>
  <si>
    <t xml:space="preserve">TAGTAGCTCGAGCGTCGAGCAACG</t>
  </si>
  <si>
    <t xml:space="preserve">AAACCGTTGCTCGACGCTCGAGCT</t>
  </si>
  <si>
    <t xml:space="preserve">AGCGGACATGCCCAGCTCAT</t>
  </si>
  <si>
    <t xml:space="preserve">TAGTAGCGGACATGCCCAGCTCAT</t>
  </si>
  <si>
    <t xml:space="preserve">AAACATGAGCTGGGCATGTCCGCT</t>
  </si>
  <si>
    <t xml:space="preserve">TCGACACTTGCCGCGTTGAG</t>
  </si>
  <si>
    <t xml:space="preserve">TAGTTCGACACTTGCCGCGTTGAG</t>
  </si>
  <si>
    <t xml:space="preserve">AAACCTCAACGCGGCAAGTGTCGA</t>
  </si>
  <si>
    <t xml:space="preserve">PSPPH_2556</t>
  </si>
  <si>
    <t xml:space="preserve">ATGGGCGGGGTCTTTGATCA</t>
  </si>
  <si>
    <t xml:space="preserve">TAGTATGGGCGGGGTCTTTGATCA</t>
  </si>
  <si>
    <t xml:space="preserve">AAACTGATCAAAGACCCCGCCCAT</t>
  </si>
  <si>
    <t xml:space="preserve">AGTGCTTGTTCAGGTTGCAC</t>
  </si>
  <si>
    <t xml:space="preserve">TAGTAGTGCTTGTTCAGGTTGCAC</t>
  </si>
  <si>
    <t xml:space="preserve">AAACGTGCAACCTGAACAAGCACT</t>
  </si>
  <si>
    <t xml:space="preserve">CAGGGAAATGTTGTCGACAG</t>
  </si>
  <si>
    <t xml:space="preserve">TAGTCAGGGAAATGTTGTCGACAG</t>
  </si>
  <si>
    <t xml:space="preserve">AAACCTGTCGACAACATTTCCCTG</t>
  </si>
  <si>
    <t xml:space="preserve">CACTGGAACCGAGAAAGGTC</t>
  </si>
  <si>
    <t xml:space="preserve">TAGTCACTGGAACCGAGAAAGGTC</t>
  </si>
  <si>
    <t xml:space="preserve">AAACGACCTTTCTCGGTTCCAGTG</t>
  </si>
  <si>
    <t xml:space="preserve">PSPPH_2557</t>
  </si>
  <si>
    <t xml:space="preserve">GGCATTGGGTGTCAGGAGCA</t>
  </si>
  <si>
    <t xml:space="preserve">TAGTGGCATTGGGTGTCAGGAGCA</t>
  </si>
  <si>
    <t xml:space="preserve">AAACTGCTCCTGACACCCAATGCC</t>
  </si>
  <si>
    <t xml:space="preserve">CTTACGCAGGCCGGGGCTCA</t>
  </si>
  <si>
    <t xml:space="preserve">TAGTCTTACGCAGGCCGGGGCTCA</t>
  </si>
  <si>
    <t xml:space="preserve">AAACTGAGCCCCGGCCTGCGTAAG</t>
  </si>
  <si>
    <t xml:space="preserve">GCGCGATCAGGCCAGTGGTC</t>
  </si>
  <si>
    <t xml:space="preserve">TAGTGCGCGATCAGGCCAGTGGTC</t>
  </si>
  <si>
    <t xml:space="preserve">AAACGACCACTGGCCTGATCGCGC</t>
  </si>
  <si>
    <t xml:space="preserve">AGCAGGACGATGAACAGGAT</t>
  </si>
  <si>
    <t xml:space="preserve">TAGTAGCAGGACGATGAACAGGAT</t>
  </si>
  <si>
    <t xml:space="preserve">AAACATCCTGTTCATCGTCCTGCT</t>
  </si>
  <si>
    <t xml:space="preserve">PSPPH_2558</t>
  </si>
  <si>
    <t xml:space="preserve">CCAGCGCTGAGCGAGGGAAG</t>
  </si>
  <si>
    <t xml:space="preserve">TAGTCCAGCGCTGAGCGAGGGAAG</t>
  </si>
  <si>
    <t xml:space="preserve">AAACCTTCCCTCGCTCAGCGCTGG</t>
  </si>
  <si>
    <t xml:space="preserve">TCAGCGCCGGAAGCAGATTG</t>
  </si>
  <si>
    <t xml:space="preserve">TAGTTCAGCGCCGGAAGCAGATTG</t>
  </si>
  <si>
    <t xml:space="preserve">AAACCAATCTGCTTCCGGCGCTGA</t>
  </si>
  <si>
    <t xml:space="preserve">CAGCAGCAGGCCGATCAGCG</t>
  </si>
  <si>
    <t xml:space="preserve">TAGTCAGCAGCAGGCCGATCAGCG</t>
  </si>
  <si>
    <t xml:space="preserve">AAACCGCTGATCGGCCTGCTGCTG</t>
  </si>
  <si>
    <t xml:space="preserve">TAGTTGCCAAGGCCCGGCAC</t>
  </si>
  <si>
    <t xml:space="preserve">TAGTTAGTTGCCAAGGCCCGGCAC</t>
  </si>
  <si>
    <t xml:space="preserve">AAACGTGCCGGGCCTTGGCAACTA</t>
  </si>
  <si>
    <t xml:space="preserve">PSPPH_2559</t>
  </si>
  <si>
    <t xml:space="preserve">ACTCGAGAGAGCCAGCACGC</t>
  </si>
  <si>
    <t xml:space="preserve">TAGTACTCGAGAGAGCCAGCACGC</t>
  </si>
  <si>
    <t xml:space="preserve">AAACGCGTGCTGGCTCTCTCGAGT</t>
  </si>
  <si>
    <t xml:space="preserve">GACGCTCTCGGCGGCGCTCG</t>
  </si>
  <si>
    <t xml:space="preserve">TAGTGACGCTCTCGGCGGCGCTCG</t>
  </si>
  <si>
    <t xml:space="preserve">AAACCGAGCGCCGCCGAGAGCGTC</t>
  </si>
  <si>
    <t xml:space="preserve">TTCTTTCTGGAAGTCCTGGG</t>
  </si>
  <si>
    <t xml:space="preserve">TAGTTTCTTTCTGGAAGTCCTGGG</t>
  </si>
  <si>
    <t xml:space="preserve">AAACCCCAGGACTTCCAGAAAGAA</t>
  </si>
  <si>
    <t xml:space="preserve">CTTGCTGAACGGAGCTGCCC</t>
  </si>
  <si>
    <t xml:space="preserve">TAGTCTTGCTGAACGGAGCTGCCC</t>
  </si>
  <si>
    <t xml:space="preserve">AAACGGGCAGCTCCGTTCAGCAAG</t>
  </si>
  <si>
    <t xml:space="preserve">PSPPH_2560</t>
  </si>
  <si>
    <t xml:space="preserve">ribBA1</t>
  </si>
  <si>
    <t xml:space="preserve">CTTCAATGATGTCTTCAATG</t>
  </si>
  <si>
    <t xml:space="preserve">TAGTCTTCAATGATGTCTTCAATG</t>
  </si>
  <si>
    <t xml:space="preserve">AAACCATTGAAGACATCATTGAAG</t>
  </si>
  <si>
    <t xml:space="preserve">GCAAAACCATCTTGCCTTGG</t>
  </si>
  <si>
    <t xml:space="preserve">TAGTGCAAAACCATCTTGCCTTGG</t>
  </si>
  <si>
    <t xml:space="preserve">AAACCCAAGGCAAGATGGTTTTGC</t>
  </si>
  <si>
    <t xml:space="preserve">GCAGATCGCCCTCGTTTTCC</t>
  </si>
  <si>
    <t xml:space="preserve">TAGTGCAGATCGCCCTCGTTTTCC</t>
  </si>
  <si>
    <t xml:space="preserve">AAACGGAAAACGAGGGCGATCTGC</t>
  </si>
  <si>
    <t xml:space="preserve">CTGTGCTGAACAGCAATCGG</t>
  </si>
  <si>
    <t xml:space="preserve">TAGTCTGTGCTGAACAGCAATCGG</t>
  </si>
  <si>
    <t xml:space="preserve">AAACCCGATTGCTGTTCAGCACAG</t>
  </si>
  <si>
    <t xml:space="preserve">PSPPH_2561</t>
  </si>
  <si>
    <t xml:space="preserve">TGTATTCAGTGTACTGCTGA</t>
  </si>
  <si>
    <t xml:space="preserve">TAGTTGTATTCAGTGTACTGCTGA</t>
  </si>
  <si>
    <t xml:space="preserve">AAACTCAGCAGTACACTGAATACA</t>
  </si>
  <si>
    <t xml:space="preserve">GAACGCTGCGGGGGCACGCT</t>
  </si>
  <si>
    <t xml:space="preserve">TAGTGAACGCTGCGGGGGCACGCT</t>
  </si>
  <si>
    <t xml:space="preserve">AAACAGCGTGCCCCCGCAGCGTTC</t>
  </si>
  <si>
    <t xml:space="preserve">CGCACGCCCTTCCAGCGCTT</t>
  </si>
  <si>
    <t xml:space="preserve">TAGTCGCACGCCCTTCCAGCGCTT</t>
  </si>
  <si>
    <t xml:space="preserve">AAACAAGCGCTGGAAGGGCGTGCG</t>
  </si>
  <si>
    <t xml:space="preserve">TCGATAATCACCGTGCGTTG</t>
  </si>
  <si>
    <t xml:space="preserve">TAGTTCGATAATCACCGTGCGTTG</t>
  </si>
  <si>
    <t xml:space="preserve">AAACCAACGCACGGTGATTATCGA</t>
  </si>
  <si>
    <t xml:space="preserve">PSPPH_2562</t>
  </si>
  <si>
    <t xml:space="preserve">mutT2</t>
  </si>
  <si>
    <t xml:space="preserve">CCGCATTGAGGGCAGAAGCG</t>
  </si>
  <si>
    <t xml:space="preserve">TAGTCCGCATTGAGGGCAGAAGCG</t>
  </si>
  <si>
    <t xml:space="preserve">AAACCGCTTCTGCCCTCAATGCGG</t>
  </si>
  <si>
    <t xml:space="preserve">CCTCGGGGACGCGCTGAGCC</t>
  </si>
  <si>
    <t xml:space="preserve">TAGTCCTCGGGGACGCGCTGAGCC</t>
  </si>
  <si>
    <t xml:space="preserve">AAACGGCTCAGCGCGTCCCCGAGG</t>
  </si>
  <si>
    <t xml:space="preserve">GCCGCATATCAACCGCGCGT</t>
  </si>
  <si>
    <t xml:space="preserve">TAGTGCCGCATATCAACCGCGCGT</t>
  </si>
  <si>
    <t xml:space="preserve">AAACACGCGCGGTTGATATGCGGC</t>
  </si>
  <si>
    <t xml:space="preserve">GGTTGACGTAATGAATGTAC</t>
  </si>
  <si>
    <t xml:space="preserve">TAGTGGTTGACGTAATGAATGTAC</t>
  </si>
  <si>
    <t xml:space="preserve">AAACGTACATTCATTACGTCAACC</t>
  </si>
  <si>
    <t xml:space="preserve">PSPPH_2563</t>
  </si>
  <si>
    <t xml:space="preserve">CGCGGCCGAGTTTATCACGC</t>
  </si>
  <si>
    <t xml:space="preserve">TAGTCGCGGCCGAGTTTATCACGC</t>
  </si>
  <si>
    <t xml:space="preserve">AAACGCGTGATAAACTCGGCCGCG</t>
  </si>
  <si>
    <t xml:space="preserve">TGGCCCGGACGGATGAACCC</t>
  </si>
  <si>
    <t xml:space="preserve">TAGTTGGCCCGGACGGATGAACCC</t>
  </si>
  <si>
    <t xml:space="preserve">AAACGGGTTCATCCGTCCGGGCCA</t>
  </si>
  <si>
    <t xml:space="preserve">GAACCACGCGGGCTGCTGCA</t>
  </si>
  <si>
    <t xml:space="preserve">TAGTGAACCACGCGGGCTGCTGCA</t>
  </si>
  <si>
    <t xml:space="preserve">AAACTGCAGCAGCCCGCGTGGTTC</t>
  </si>
  <si>
    <t xml:space="preserve">AAACAAAGTCTCGCTCATGT</t>
  </si>
  <si>
    <t xml:space="preserve">TAGTAAACAAAGTCTCGCTCATGT</t>
  </si>
  <si>
    <t xml:space="preserve">AAACACATGAGCGAGACTTTGTTT</t>
  </si>
  <si>
    <t xml:space="preserve">PSPPH_2564</t>
  </si>
  <si>
    <t xml:space="preserve">ATGACTTCTTTGTAGATACT</t>
  </si>
  <si>
    <t xml:space="preserve">TAGTATGACTTCTTTGTAGATACT</t>
  </si>
  <si>
    <t xml:space="preserve">AAACAGTATCTACAAAGAAGTCAT</t>
  </si>
  <si>
    <t xml:space="preserve">GTAACAATCGTGACGCCTGA</t>
  </si>
  <si>
    <t xml:space="preserve">TAGTGTAACAATCGTGACGCCTGA</t>
  </si>
  <si>
    <t xml:space="preserve">AAACTCAGGCGTCACGATTGTTAC</t>
  </si>
  <si>
    <t xml:space="preserve">ATTGCCCTCGGGGTCCAGCG</t>
  </si>
  <si>
    <t xml:space="preserve">TAGTATTGCCCTCGGGGTCCAGCG</t>
  </si>
  <si>
    <t xml:space="preserve">AAACCGCTGGACCCCGAGGGCAAT</t>
  </si>
  <si>
    <t xml:space="preserve">CAGCGCACTGAACGCACTGG</t>
  </si>
  <si>
    <t xml:space="preserve">TAGTCAGCGCACTGAACGCACTGG</t>
  </si>
  <si>
    <t xml:space="preserve">AAACCCAGTGCGTTCAGTGCGCTG</t>
  </si>
  <si>
    <t xml:space="preserve">PSPPH_2565</t>
  </si>
  <si>
    <t xml:space="preserve">TGCACATCTGAAAGCGGGTA</t>
  </si>
  <si>
    <t xml:space="preserve">TAGTTGCACATCTGAAAGCGGGTA</t>
  </si>
  <si>
    <t xml:space="preserve">AAACTACCCGCTTTCAGATGTGCA</t>
  </si>
  <si>
    <t xml:space="preserve">CGGACAACGCATCGACCCAT</t>
  </si>
  <si>
    <t xml:space="preserve">TAGTCGGACAACGCATCGACCCAT</t>
  </si>
  <si>
    <t xml:space="preserve">AAACATGGGTCGATGCGTTGTCCG</t>
  </si>
  <si>
    <t xml:space="preserve">GAGGCTGTCGAAAGTCTTGC</t>
  </si>
  <si>
    <t xml:space="preserve">TAGTGAGGCTGTCGAAAGTCTTGC</t>
  </si>
  <si>
    <t xml:space="preserve">AAACGCAAGACTTTCGACAGCCTC</t>
  </si>
  <si>
    <t xml:space="preserve">CCCACGGTTCAGCCAGCGCC</t>
  </si>
  <si>
    <t xml:space="preserve">TAGTCCCACGGTTCAGCCAGCGCC</t>
  </si>
  <si>
    <t xml:space="preserve">AAACGGCGCTGGCTGAACCGTGGG</t>
  </si>
  <si>
    <t xml:space="preserve">PSPPH_2566</t>
  </si>
  <si>
    <t xml:space="preserve">catD3</t>
  </si>
  <si>
    <t xml:space="preserve">TTCAGCGGTGAGCTGAATCA</t>
  </si>
  <si>
    <t xml:space="preserve">TAGTTTCAGCGGTGAGCTGAATCA</t>
  </si>
  <si>
    <t xml:space="preserve">AAACTGATTCAGCTCACCGCTGAA</t>
  </si>
  <si>
    <t xml:space="preserve">CAGATAGCTGGTACCCGCCG</t>
  </si>
  <si>
    <t xml:space="preserve">TAGTCAGATAGCTGGTACCCGCCG</t>
  </si>
  <si>
    <t xml:space="preserve">AAACCGGCGGGTACCAGCTATCTG</t>
  </si>
  <si>
    <t xml:space="preserve">CACCACGGGGTGACCTTGGC</t>
  </si>
  <si>
    <t xml:space="preserve">TAGTCACCACGGGGTGACCTTGGC</t>
  </si>
  <si>
    <t xml:space="preserve">AAACGCCAAGGTCACCCCGTGGTG</t>
  </si>
  <si>
    <t xml:space="preserve">CGCCCCACATTTCCTTGTTC</t>
  </si>
  <si>
    <t xml:space="preserve">TAGTCGCCCCACATTTCCTTGTTC</t>
  </si>
  <si>
    <t xml:space="preserve">AAACGAACAAGGAAATGTGGGGCG</t>
  </si>
  <si>
    <t xml:space="preserve">PSPPH_2567</t>
  </si>
  <si>
    <t xml:space="preserve">GCCCTCGATAAAGGTTTCTT</t>
  </si>
  <si>
    <t xml:space="preserve">TAGTGCCCTCGATAAAGGTTTCTT</t>
  </si>
  <si>
    <t xml:space="preserve">AAACAAGAAACCTTTATCGAGGGC</t>
  </si>
  <si>
    <t xml:space="preserve">CATGGTGACCGGCTTGTCGG</t>
  </si>
  <si>
    <t xml:space="preserve">TAGTCATGGTGACCGGCTTGTCGG</t>
  </si>
  <si>
    <t xml:space="preserve">AAACCCGACAAGCCGGTCACCATG</t>
  </si>
  <si>
    <t xml:space="preserve">CAGCCAAGGGTTCTTGATCA</t>
  </si>
  <si>
    <t xml:space="preserve">TAGTCAGCCAAGGGTTCTTGATCA</t>
  </si>
  <si>
    <t xml:space="preserve">AAACTGATCAAGAACCCTTGGCTG</t>
  </si>
  <si>
    <t xml:space="preserve">TCAGGTCTTCGACGAAACCA</t>
  </si>
  <si>
    <t xml:space="preserve">TAGTTCAGGTCTTCGACGAAACCA</t>
  </si>
  <si>
    <t xml:space="preserve">AAACTGGTTTCGTCGAAGACCTGA</t>
  </si>
  <si>
    <t xml:space="preserve">PSPPH_2569</t>
  </si>
  <si>
    <t xml:space="preserve">fdhA1</t>
  </si>
  <si>
    <t xml:space="preserve">ACGCGGACCGCCATAGACGA</t>
  </si>
  <si>
    <t xml:space="preserve">TAGTACGCGGACCGCCATAGACGA</t>
  </si>
  <si>
    <t xml:space="preserve">AAACTCGTCTATGGCGGTCCGCGT</t>
  </si>
  <si>
    <t xml:space="preserve">GGCTTCTGGATCTTCGCATC</t>
  </si>
  <si>
    <t xml:space="preserve">TAGTGGCTTCTGGATCTTCGCATC</t>
  </si>
  <si>
    <t xml:space="preserve">AAACGATGCGAAGATCCAGAAGCC</t>
  </si>
  <si>
    <t xml:space="preserve">ACTCGGACAAGAGCATCTGT</t>
  </si>
  <si>
    <t xml:space="preserve">TAGTACTCGGACAAGAGCATCTGT</t>
  </si>
  <si>
    <t xml:space="preserve">AAACACAGATGCTCTTGTCCGAGT</t>
  </si>
  <si>
    <t xml:space="preserve">CGAGCCACAGATGTTGGTGG</t>
  </si>
  <si>
    <t xml:space="preserve">TAGTCGAGCCACAGATGTTGGTGG</t>
  </si>
  <si>
    <t xml:space="preserve">AAACCCACCAACATCTGTGGCTCG</t>
  </si>
  <si>
    <t xml:space="preserve">PSPPH_2570</t>
  </si>
  <si>
    <t xml:space="preserve">GACTGGCAAACGGTGGCTTT</t>
  </si>
  <si>
    <t xml:space="preserve">TAGTGACTGGCAAACGGTGGCTTT</t>
  </si>
  <si>
    <t xml:space="preserve">AAACAAAGCCACCGTTTGCCAGTC</t>
  </si>
  <si>
    <t xml:space="preserve">TGCAACCCTGGAACCTCTTG</t>
  </si>
  <si>
    <t xml:space="preserve">TAGTTGCAACCCTGGAACCTCTTG</t>
  </si>
  <si>
    <t xml:space="preserve">AAACCAAGAGGTTCCAGGGTTGCA</t>
  </si>
  <si>
    <t xml:space="preserve">TTTCGCCGCAATCCGGATAA</t>
  </si>
  <si>
    <t xml:space="preserve">TAGTTTTCGCCGCAATCCGGATAA</t>
  </si>
  <si>
    <t xml:space="preserve">AAACTTATCCGGATTGCGGCGAAA</t>
  </si>
  <si>
    <t xml:space="preserve">AATCTTGCCCTGCAGGTGCC</t>
  </si>
  <si>
    <t xml:space="preserve">TAGTAATCTTGCCCTGCAGGTGCC</t>
  </si>
  <si>
    <t xml:space="preserve">AAACGGCACCTGCAGGGCAAGATT</t>
  </si>
  <si>
    <t xml:space="preserve">PSPPH_2571</t>
  </si>
  <si>
    <t xml:space="preserve">GGGCGTATGATGATGCAGTG</t>
  </si>
  <si>
    <t xml:space="preserve">TAGTGGGCGTATGATGATGCAGTG</t>
  </si>
  <si>
    <t xml:space="preserve">AAACCACTGCATCATCATACGCCC</t>
  </si>
  <si>
    <t xml:space="preserve">GGATCAATGACATTCAGGTG</t>
  </si>
  <si>
    <t xml:space="preserve">TAGTGGATCAATGACATTCAGGTG</t>
  </si>
  <si>
    <t xml:space="preserve">AAACCACCTGAATGTCATTGATCC</t>
  </si>
  <si>
    <t xml:space="preserve">GTGCGAATCTCCAGACCGCG</t>
  </si>
  <si>
    <t xml:space="preserve">TAGTGTGCGAATCTCCAGACCGCG</t>
  </si>
  <si>
    <t xml:space="preserve">AAACCGCGGTCTGGAGATTCGCAC</t>
  </si>
  <si>
    <t xml:space="preserve">AAGGAGTTCCGGCGTGTCCA</t>
  </si>
  <si>
    <t xml:space="preserve">TAGTAAGGAGTTCCGGCGTGTCCA</t>
  </si>
  <si>
    <t xml:space="preserve">AAACTGGACACGCCGGAACTCCTT</t>
  </si>
  <si>
    <t xml:space="preserve">PSPPH_2572</t>
  </si>
  <si>
    <t xml:space="preserve">gabD2</t>
  </si>
  <si>
    <t xml:space="preserve">TCGATATAAAGCTGTACGTC</t>
  </si>
  <si>
    <t xml:space="preserve">TAGTTCGATATAAAGCTGTACGTC</t>
  </si>
  <si>
    <t xml:space="preserve">AAACGACGTACAGCTTTATATCGA</t>
  </si>
  <si>
    <t xml:space="preserve">CATCGCGGCTCGCGCGCCAT</t>
  </si>
  <si>
    <t xml:space="preserve">TAGTCATCGCGGCTCGCGCGCCAT</t>
  </si>
  <si>
    <t xml:space="preserve">AAACATGGCGCGCGAGCCGCGATG</t>
  </si>
  <si>
    <t xml:space="preserve">GGTCTATGACCGGAATGGAA</t>
  </si>
  <si>
    <t xml:space="preserve">TAGTGGTCTATGACCGGAATGGAA</t>
  </si>
  <si>
    <t xml:space="preserve">AAACTTCCATTCCGGTCATAGACC</t>
  </si>
  <si>
    <t xml:space="preserve">CCAGCGACTGGCCGGTTGCA</t>
  </si>
  <si>
    <t xml:space="preserve">TAGTCCAGCGACTGGCCGGTTGCA</t>
  </si>
  <si>
    <t xml:space="preserve">AAACTGCAACCGGCCAGTCGCTGG</t>
  </si>
  <si>
    <t xml:space="preserve">PSPPH_2573</t>
  </si>
  <si>
    <t xml:space="preserve">pbpG</t>
  </si>
  <si>
    <t xml:space="preserve">GGCCGGTAAGTACAAATAAT</t>
  </si>
  <si>
    <t xml:space="preserve">TAGTGGCCGGTAAGTACAAATAAT</t>
  </si>
  <si>
    <t xml:space="preserve">AAACATTATTTGTACTTACCGGCC</t>
  </si>
  <si>
    <t xml:space="preserve">GCGTGGTAGTGGAAAGCGCC</t>
  </si>
  <si>
    <t xml:space="preserve">TAGTGCGTGGTAGTGGAAAGCGCC</t>
  </si>
  <si>
    <t xml:space="preserve">AAACGGCGCTTTCCACTACCACGC</t>
  </si>
  <si>
    <t xml:space="preserve">AGGATCACGATTCAGAACAG</t>
  </si>
  <si>
    <t xml:space="preserve">TAGTAGGATCACGATTCAGAACAG</t>
  </si>
  <si>
    <t xml:space="preserve">AAACCTGTTCTGAATCGTGATCCT</t>
  </si>
  <si>
    <t xml:space="preserve">GAGGCGAGGTGCAGATTGGA</t>
  </si>
  <si>
    <t xml:space="preserve">TAGTGAGGCGAGGTGCAGATTGGA</t>
  </si>
  <si>
    <t xml:space="preserve">AAACTCCAATCTGCACCTCGCCTC</t>
  </si>
  <si>
    <t xml:space="preserve">PSPPH_2574</t>
  </si>
  <si>
    <t xml:space="preserve">TAAAGCCGACACCCAGCAGC</t>
  </si>
  <si>
    <t xml:space="preserve">TAGTTAAAGCCGACACCCAGCAGC</t>
  </si>
  <si>
    <t xml:space="preserve">AAACGCTGCTGGGTGTCGGCTTTA</t>
  </si>
  <si>
    <t xml:space="preserve">TCCAGCCTGCCCAGTCACTG</t>
  </si>
  <si>
    <t xml:space="preserve">TAGTTCCAGCCTGCCCAGTCACTG</t>
  </si>
  <si>
    <t xml:space="preserve">AAACCAGTGACTGGGCAGGCTGGA</t>
  </si>
  <si>
    <t xml:space="preserve">CAAACCGACGATCAGGCCAA</t>
  </si>
  <si>
    <t xml:space="preserve">TAGTCAAACCGACGATCAGGCCAA</t>
  </si>
  <si>
    <t xml:space="preserve">AAACTTGGCCTGATCGTCGGTTTG</t>
  </si>
  <si>
    <t xml:space="preserve">CTGAATGGCGGGTACAGCCA</t>
  </si>
  <si>
    <t xml:space="preserve">TAGTCTGAATGGCGGGTACAGCCA</t>
  </si>
  <si>
    <t xml:space="preserve">AAACTGGCTGTACCCGCCATTCAG</t>
  </si>
  <si>
    <t xml:space="preserve">PSPPH_2575</t>
  </si>
  <si>
    <t xml:space="preserve">GGTGGTGGTGCGTAGTAGAC</t>
  </si>
  <si>
    <t xml:space="preserve">TAGTGGTGGTGGTGCGTAGTAGAC</t>
  </si>
  <si>
    <t xml:space="preserve">AAACGTCTACTACGCACCACCACC</t>
  </si>
  <si>
    <t xml:space="preserve">GGGGCCGGCTGATAATAGAC</t>
  </si>
  <si>
    <t xml:space="preserve">TAGTGGGGCCGGCTGATAATAGAC</t>
  </si>
  <si>
    <t xml:space="preserve">AAACGTCTATTATCAGCCGGCCCC</t>
  </si>
  <si>
    <t xml:space="preserve">GCTCGACAACCTGGTAGACC</t>
  </si>
  <si>
    <t xml:space="preserve">TAGTGCTCGACAACCTGGTAGACC</t>
  </si>
  <si>
    <t xml:space="preserve">AAACGGTCTACCAGGTTGTCGAGC</t>
  </si>
  <si>
    <t xml:space="preserve">AGCCTGGCGGTGGAGGCGGT</t>
  </si>
  <si>
    <t xml:space="preserve">TAGTAGCCTGGCGGTGGAGGCGGT</t>
  </si>
  <si>
    <t xml:space="preserve">AAACACCGCCTCCACCGCCAGGCT</t>
  </si>
  <si>
    <t xml:space="preserve">PSPPH_2576</t>
  </si>
  <si>
    <t xml:space="preserve">GTGTCTCTGTTTGCAGTAAT</t>
  </si>
  <si>
    <t xml:space="preserve">TAGTGTGTCTCTGTTTGCAGTAAT</t>
  </si>
  <si>
    <t xml:space="preserve">AAACATTACTGCAAACAGAGACAC</t>
  </si>
  <si>
    <t xml:space="preserve">GTTGCCGGGACGGGCGGCCA</t>
  </si>
  <si>
    <t xml:space="preserve">TAGTGTTGCCGGGACGGGCGGCCA</t>
  </si>
  <si>
    <t xml:space="preserve">AAACTGGCCGCCCGTCCCGGCAAC</t>
  </si>
  <si>
    <t xml:space="preserve">ACTGCTGATAAAGATGATTG</t>
  </si>
  <si>
    <t xml:space="preserve">TAGTACTGCTGATAAAGATGATTG</t>
  </si>
  <si>
    <t xml:space="preserve">AAACCAATCATCTTTATCAGCAGT</t>
  </si>
  <si>
    <t xml:space="preserve">AGGTCTTGTAATAGAAGTTA</t>
  </si>
  <si>
    <t xml:space="preserve">TAGTAGGTCTTGTAATAGAAGTTA</t>
  </si>
  <si>
    <t xml:space="preserve">AAACTAACTTCTATTACAAGACCT</t>
  </si>
  <si>
    <t xml:space="preserve">PSPPH_2577</t>
  </si>
  <si>
    <t xml:space="preserve">TTCGGAGGAGGACGATTCAA</t>
  </si>
  <si>
    <t xml:space="preserve">TAGTTTCGGAGGAGGACGATTCAA</t>
  </si>
  <si>
    <t xml:space="preserve">AAACTTGAATCGTCCTCCTCCGAA</t>
  </si>
  <si>
    <t xml:space="preserve">CAGGGCGTCGGCATTCGGGG</t>
  </si>
  <si>
    <t xml:space="preserve">TAGTCAGGGCGTCGGCATTCGGGG</t>
  </si>
  <si>
    <t xml:space="preserve">AAACCCCCGAATGCCGACGCCCTG</t>
  </si>
  <si>
    <t xml:space="preserve">CACGCACTTCAGAGCTGTTG</t>
  </si>
  <si>
    <t xml:space="preserve">TAGTCACGCACTTCAGAGCTGTTG</t>
  </si>
  <si>
    <t xml:space="preserve">AAACCAACAGCTCTGAAGTGCGTG</t>
  </si>
  <si>
    <t xml:space="preserve">TGGTCGCCTGTTTCTCGATC</t>
  </si>
  <si>
    <t xml:space="preserve">TAGTTGGTCGCCTGTTTCTCGATC</t>
  </si>
  <si>
    <t xml:space="preserve">AAACGATCGAGAAACAGGCGACCA</t>
  </si>
  <si>
    <t xml:space="preserve">PSPPH_2578</t>
  </si>
  <si>
    <t xml:space="preserve">AGGAATGGAAGCGGCGTACA</t>
  </si>
  <si>
    <t xml:space="preserve">TAGTAGGAATGGAAGCGGCGTACA</t>
  </si>
  <si>
    <t xml:space="preserve">AAACTGTACGCCGCTTCCATTCCT</t>
  </si>
  <si>
    <t xml:space="preserve">TTGAGCATTTGCTGAAAGAC</t>
  </si>
  <si>
    <t xml:space="preserve">TAGTTTGAGCATTTGCTGAAAGAC</t>
  </si>
  <si>
    <t xml:space="preserve">AAACGTCTTTCAGCAAATGCTCAA</t>
  </si>
  <si>
    <t xml:space="preserve">GGTCGCGTAGGCTTCGGCCT</t>
  </si>
  <si>
    <t xml:space="preserve">TAGTGGTCGCGTAGGCTTCGGCCT</t>
  </si>
  <si>
    <t xml:space="preserve">AAACAGGCCGAAGCCTACGCGACC</t>
  </si>
  <si>
    <t xml:space="preserve">TGGCGGCTGGATTTTCTTCT</t>
  </si>
  <si>
    <t xml:space="preserve">TAGTTGGCGGCTGGATTTTCTTCT</t>
  </si>
  <si>
    <t xml:space="preserve">AAACAGAAGAAAATCCAGCCGCCA</t>
  </si>
  <si>
    <t xml:space="preserve">PSPPH_2579</t>
  </si>
  <si>
    <t xml:space="preserve">GCGGCCGACAACAGAAGTAT</t>
  </si>
  <si>
    <t xml:space="preserve">TAGTGCGGCCGACAACAGAAGTAT</t>
  </si>
  <si>
    <t xml:space="preserve">AAACATACTTCTGTTGTCGGCCGC</t>
  </si>
  <si>
    <t xml:space="preserve">TGTGGTCAGCACGGTGAAAC</t>
  </si>
  <si>
    <t xml:space="preserve">TAGTTGTGGTCAGCACGGTGAAAC</t>
  </si>
  <si>
    <t xml:space="preserve">AAACGTTTCACCGTGCTGACCACA</t>
  </si>
  <si>
    <t xml:space="preserve">TCCAGATCGCGGGCAACCGC</t>
  </si>
  <si>
    <t xml:space="preserve">TAGTTCCAGATCGCGGGCAACCGC</t>
  </si>
  <si>
    <t xml:space="preserve">AAACGCGGTTGCCCGCGATCTGGA</t>
  </si>
  <si>
    <t xml:space="preserve">TGCAACCGTGAATGCGAACA</t>
  </si>
  <si>
    <t xml:space="preserve">TAGTTGCAACCGTGAATGCGAACA</t>
  </si>
  <si>
    <t xml:space="preserve">AAACTGTTCGCATTCACGGTTGCA</t>
  </si>
  <si>
    <t xml:space="preserve">PSPPH_2580</t>
  </si>
  <si>
    <t xml:space="preserve">CCCAGAAATAGTGAAGCTGA</t>
  </si>
  <si>
    <t xml:space="preserve">TAGTCCCAGAAATAGTGAAGCTGA</t>
  </si>
  <si>
    <t xml:space="preserve">AAACTCAGCTTCACTATTTCTGGG</t>
  </si>
  <si>
    <t xml:space="preserve">GCGCACGATGCTCCCGGTTT</t>
  </si>
  <si>
    <t xml:space="preserve">TAGTGCGCACGATGCTCCCGGTTT</t>
  </si>
  <si>
    <t xml:space="preserve">AAACAAACCGGGAGCATCGTGCGC</t>
  </si>
  <si>
    <t xml:space="preserve">GGTGAGATTCAACTGCTCGC</t>
  </si>
  <si>
    <t xml:space="preserve">TAGTGGTGAGATTCAACTGCTCGC</t>
  </si>
  <si>
    <t xml:space="preserve">AAACGCGAGCAGTTGAATCTCACC</t>
  </si>
  <si>
    <t xml:space="preserve">CTGTCCGCTGACGGTCTGCG</t>
  </si>
  <si>
    <t xml:space="preserve">TAGTCTGTCCGCTGACGGTCTGCG</t>
  </si>
  <si>
    <t xml:space="preserve">AAACCGCAGACCGTCAGCGGACAG</t>
  </si>
  <si>
    <t xml:space="preserve">PSPPH_2581</t>
  </si>
  <si>
    <t xml:space="preserve">AGCGTAAAGGGTTTTATTCA</t>
  </si>
  <si>
    <t xml:space="preserve">TAGTAGCGTAAAGGGTTTTATTCA</t>
  </si>
  <si>
    <t xml:space="preserve">AAACTGAATAAAACCCTTTACGCT</t>
  </si>
  <si>
    <t xml:space="preserve">TGCATTCACCACATGCTTGG</t>
  </si>
  <si>
    <t xml:space="preserve">TAGTTGCATTCACCACATGCTTGG</t>
  </si>
  <si>
    <t xml:space="preserve">AAACCCAAGCATGTGGTGAATGCA</t>
  </si>
  <si>
    <t xml:space="preserve">AATCGCCTGTTTTGCAGTGT</t>
  </si>
  <si>
    <t xml:space="preserve">TAGTAATCGCCTGTTTTGCAGTGT</t>
  </si>
  <si>
    <t xml:space="preserve">AAACACACTGCAAAACAGGCGATT</t>
  </si>
  <si>
    <t xml:space="preserve">CTCATCAATGGCCTTGGTGG</t>
  </si>
  <si>
    <t xml:space="preserve">TAGTCTCATCAATGGCCTTGGTGG</t>
  </si>
  <si>
    <t xml:space="preserve">AAACCCACCAAGGCCATTGATGAG</t>
  </si>
  <si>
    <t xml:space="preserve">PSPPH_2582</t>
  </si>
  <si>
    <t xml:space="preserve">GACTTGTTGCGAGTTCCAAT</t>
  </si>
  <si>
    <t xml:space="preserve">TAGTGACTTGTTGCGAGTTCCAAT</t>
  </si>
  <si>
    <t xml:space="preserve">AAACATTGGAACTCGCAACAAGTC</t>
  </si>
  <si>
    <t xml:space="preserve">GCCAGCGCGATCCAGGCTGC</t>
  </si>
  <si>
    <t xml:space="preserve">TAGTGCCAGCGCGATCCAGGCTGC</t>
  </si>
  <si>
    <t xml:space="preserve">AAACGCAGCCTGGATCGCGCTGGC</t>
  </si>
  <si>
    <t xml:space="preserve">TGATGATCGAGATGAAGATC</t>
  </si>
  <si>
    <t xml:space="preserve">TAGTTGATGATCGAGATGAAGATC</t>
  </si>
  <si>
    <t xml:space="preserve">AAACGATCTTCATCTCGATCATCA</t>
  </si>
  <si>
    <t xml:space="preserve">TTGGTGCTCAGGGAGCTTGT</t>
  </si>
  <si>
    <t xml:space="preserve">TAGTTTGGTGCTCAGGGAGCTTGT</t>
  </si>
  <si>
    <t xml:space="preserve">AAACACAAGCTCCCTGAGCACCAA</t>
  </si>
  <si>
    <t xml:space="preserve">PSPPH_2583</t>
  </si>
  <si>
    <t xml:space="preserve">GCATCACGATTGTCAGTTCC</t>
  </si>
  <si>
    <t xml:space="preserve">TAGTGCATCACGATTGTCAGTTCC</t>
  </si>
  <si>
    <t xml:space="preserve">AAACGGAACTGACAATCGTGATGC</t>
  </si>
  <si>
    <t xml:space="preserve">TACGCCCCACAGCATTGCAC</t>
  </si>
  <si>
    <t xml:space="preserve">TAGTTACGCCCCACAGCATTGCAC</t>
  </si>
  <si>
    <t xml:space="preserve">AAACGTGCAATGCTGTGGGGCGTA</t>
  </si>
  <si>
    <t xml:space="preserve">GTGCGGCTGGTGATGGCGAC</t>
  </si>
  <si>
    <t xml:space="preserve">TAGTGTGCGGCTGGTGATGGCGAC</t>
  </si>
  <si>
    <t xml:space="preserve">AAACGTCGCCATCACCAGCCGCAC</t>
  </si>
  <si>
    <t xml:space="preserve">AGGCTCGGCCGTTTTGCCGC</t>
  </si>
  <si>
    <t xml:space="preserve">TAGTAGGCTCGGCCGTTTTGCCGC</t>
  </si>
  <si>
    <t xml:space="preserve">AAACGCGGCAAAACGGCCGAGCCT</t>
  </si>
  <si>
    <t xml:space="preserve">PSPPH_2584</t>
  </si>
  <si>
    <t xml:space="preserve">TGGGGGTTCAGGGTATAGTC</t>
  </si>
  <si>
    <t xml:space="preserve">TAGTTGGGGGTTCAGGGTATAGTC</t>
  </si>
  <si>
    <t xml:space="preserve">AAACGACTATACCCTGAACCCCCA</t>
  </si>
  <si>
    <t xml:space="preserve">GGACACCGATCATAGAGCTC</t>
  </si>
  <si>
    <t xml:space="preserve">TAGTGGACACCGATCATAGAGCTC</t>
  </si>
  <si>
    <t xml:space="preserve">AAACGAGCTCTATGATCGGTGTCC</t>
  </si>
  <si>
    <t xml:space="preserve">GGGCAACCCACGACCCGGCC</t>
  </si>
  <si>
    <t xml:space="preserve">TAGTGGGCAACCCACGACCCGGCC</t>
  </si>
  <si>
    <t xml:space="preserve">AAACGGCCGGGTCGTGGGTTGCCC</t>
  </si>
  <si>
    <t xml:space="preserve">CACTCGCTTCAACTGATGCC</t>
  </si>
  <si>
    <t xml:space="preserve">TAGTCACTCGCTTCAACTGATGCC</t>
  </si>
  <si>
    <t xml:space="preserve">AAACGGCATCAGTTGAAGCGAGTG</t>
  </si>
  <si>
    <t xml:space="preserve">PSPPH_2585</t>
  </si>
  <si>
    <t xml:space="preserve">GCGTAGTAGGACTGCGGATA</t>
  </si>
  <si>
    <t xml:space="preserve">TAGTGCGTAGTAGGACTGCGGATA</t>
  </si>
  <si>
    <t xml:space="preserve">AAACTATCCGCAGTCCTACTACGC</t>
  </si>
  <si>
    <t xml:space="preserve">CGGGGCGGCATTGGCCGAAG</t>
  </si>
  <si>
    <t xml:space="preserve">TAGTCGGGGCGGCATTGGCCGAAG</t>
  </si>
  <si>
    <t xml:space="preserve">AAACCTTCGGCCAATGCCGCCCCG</t>
  </si>
  <si>
    <t xml:space="preserve">CCCTGCAACGCTGGACGTTC</t>
  </si>
  <si>
    <t xml:space="preserve">TAGTCCCTGCAACGCTGGACGTTC</t>
  </si>
  <si>
    <t xml:space="preserve">AAACGAACGTCCAGCGTTGCAGGG</t>
  </si>
  <si>
    <t xml:space="preserve">GCAGGAACAGCGCACTCGAC</t>
  </si>
  <si>
    <t xml:space="preserve">TAGTGCAGGAACAGCGCACTCGAC</t>
  </si>
  <si>
    <t xml:space="preserve">AAACGTCGAGTGCGCTGTTCCTGC</t>
  </si>
  <si>
    <t xml:space="preserve">PSPPH_2587</t>
  </si>
  <si>
    <t xml:space="preserve">ACCAGGGCGGTCTGAGTCAT</t>
  </si>
  <si>
    <t xml:space="preserve">TAGTACCAGGGCGGTCTGAGTCAT</t>
  </si>
  <si>
    <t xml:space="preserve">AAACATGACTCAGACCGCCCTGGT</t>
  </si>
  <si>
    <t xml:space="preserve">TGACGGACTACGGGAGAGGG</t>
  </si>
  <si>
    <t xml:space="preserve">TAGTTGACGGACTACGGGAGAGGG</t>
  </si>
  <si>
    <t xml:space="preserve">AAACCCCTCTCCCGTAGTCCGTCA</t>
  </si>
  <si>
    <t xml:space="preserve">GCAGCCACCGGAATTACGCC</t>
  </si>
  <si>
    <t xml:space="preserve">TAGTGCAGCCACCGGAATTACGCC</t>
  </si>
  <si>
    <t xml:space="preserve">AAACGGCGTAATTCCGGTGGCTGC</t>
  </si>
  <si>
    <t xml:space="preserve">TGACGGACTTCGGGTTCTGC</t>
  </si>
  <si>
    <t xml:space="preserve">TAGTTGACGGACTTCGGGTTCTGC</t>
  </si>
  <si>
    <t xml:space="preserve">AAACGCAGAACCCGAAGTCCGTCA</t>
  </si>
  <si>
    <t xml:space="preserve">PSPPH_2588</t>
  </si>
  <si>
    <t xml:space="preserve">GTTTGCGCACGTAGAGGACC</t>
  </si>
  <si>
    <t xml:space="preserve">TAGTGTTTGCGCACGTAGAGGACC</t>
  </si>
  <si>
    <t xml:space="preserve">AAACGGTCCTCTACGTGCGCAAAC</t>
  </si>
  <si>
    <t xml:space="preserve">GGCAATGCCCAGCGCGATTT</t>
  </si>
  <si>
    <t xml:space="preserve">TAGTGGCAATGCCCAGCGCGATTT</t>
  </si>
  <si>
    <t xml:space="preserve">AAACAAATCGCGCTGGGCATTGCC</t>
  </si>
  <si>
    <t xml:space="preserve">CCAGCCTCGATCTTGCCACC</t>
  </si>
  <si>
    <t xml:space="preserve">TAGTCCAGCCTCGATCTTGCCACC</t>
  </si>
  <si>
    <t xml:space="preserve">AAACGGTGGCAAGATCGAGGCTGG</t>
  </si>
  <si>
    <t xml:space="preserve">TCACGCATGGCGGCCTGAGC</t>
  </si>
  <si>
    <t xml:space="preserve">TAGTTCACGCATGGCGGCCTGAGC</t>
  </si>
  <si>
    <t xml:space="preserve">AAACGCTCAGGCCGCCATGCGTGA</t>
  </si>
  <si>
    <t xml:space="preserve">PSPPH_2589</t>
  </si>
  <si>
    <t xml:space="preserve">GAGCGGCGTTCGAACTGATA</t>
  </si>
  <si>
    <t xml:space="preserve">TAGTGAGCGGCGTTCGAACTGATA</t>
  </si>
  <si>
    <t xml:space="preserve">AAACTATCAGTTCGAACGCCGCTC</t>
  </si>
  <si>
    <t xml:space="preserve">ATCTGAACGTCTTCGGCACC</t>
  </si>
  <si>
    <t xml:space="preserve">TAGTATCTGAACGTCTTCGGCACC</t>
  </si>
  <si>
    <t xml:space="preserve">AAACGGTGCCGAAGACGTTCAGAT</t>
  </si>
  <si>
    <t xml:space="preserve">ACTCATTGCGTGCGGTATGC</t>
  </si>
  <si>
    <t xml:space="preserve">TAGTACTCATTGCGTGCGGTATGC</t>
  </si>
  <si>
    <t xml:space="preserve">AAACGCATACCGCACGCAATGAGT</t>
  </si>
  <si>
    <t xml:space="preserve">ATTTCGTGGCCCGGAACCGA</t>
  </si>
  <si>
    <t xml:space="preserve">TAGTATTTCGTGGCCCGGAACCGA</t>
  </si>
  <si>
    <t xml:space="preserve">AAACTCGGTTCCGGGCCACGAAAT</t>
  </si>
  <si>
    <t xml:space="preserve">PSPPH_2590</t>
  </si>
  <si>
    <t xml:space="preserve">GGCCAGATGTGAGACTGTCA</t>
  </si>
  <si>
    <t xml:space="preserve">TAGTGGCCAGATGTGAGACTGTCA</t>
  </si>
  <si>
    <t xml:space="preserve">AAACTGACAGTCTCACATCTGGCC</t>
  </si>
  <si>
    <t xml:space="preserve">TACGCTCGGGCATATACCCG</t>
  </si>
  <si>
    <t xml:space="preserve">TAGTTACGCTCGGGCATATACCCG</t>
  </si>
  <si>
    <t xml:space="preserve">AAACCGGGTATATGCCCGAGCGTA</t>
  </si>
  <si>
    <t xml:space="preserve">TTGGCAGCCAACGTGGTGTC</t>
  </si>
  <si>
    <t xml:space="preserve">TAGTTTGGCAGCCAACGTGGTGTC</t>
  </si>
  <si>
    <t xml:space="preserve">AAACGACACCACGTTGGCTGCCAA</t>
  </si>
  <si>
    <t xml:space="preserve">CGTGACTGGCGAATCTGTCA</t>
  </si>
  <si>
    <t xml:space="preserve">TAGTCGTGACTGGCGAATCTGTCA</t>
  </si>
  <si>
    <t xml:space="preserve">AAACTGACAGATTCGCCAGTCACG</t>
  </si>
  <si>
    <t xml:space="preserve">PSPPH_2591</t>
  </si>
  <si>
    <t xml:space="preserve">TTTGCGCCCAACCACAGCCC</t>
  </si>
  <si>
    <t xml:space="preserve">TAGTTTTGCGCCCAACCACAGCCC</t>
  </si>
  <si>
    <t xml:space="preserve">AAACGGGCTGTGGTTGGGCGCAAA</t>
  </si>
  <si>
    <t xml:space="preserve">GTCCTGAGACACCTCATCTA</t>
  </si>
  <si>
    <t xml:space="preserve">TAGTGTCCTGAGACACCTCATCTA</t>
  </si>
  <si>
    <t xml:space="preserve">AAACTAGATGAGGTGTCTCAGGAC</t>
  </si>
  <si>
    <t xml:space="preserve">ACCTGATGTCAGGCCAGCTG</t>
  </si>
  <si>
    <t xml:space="preserve">TAGTACCTGATGTCAGGCCAGCTG</t>
  </si>
  <si>
    <t xml:space="preserve">AAACCAGCTGGCCTGACATCAGGT</t>
  </si>
  <si>
    <t xml:space="preserve">TTGCTGACCGGCGTGGTAAC</t>
  </si>
  <si>
    <t xml:space="preserve">TAGTTTGCTGACCGGCGTGGTAAC</t>
  </si>
  <si>
    <t xml:space="preserve">AAACGTTACCACGCCGGTCAGCAA</t>
  </si>
  <si>
    <t xml:space="preserve">PSPPH_2592</t>
  </si>
  <si>
    <t xml:space="preserve">mtlZ</t>
  </si>
  <si>
    <t xml:space="preserve">GGAACCGCTGTCATCAGCGC</t>
  </si>
  <si>
    <t xml:space="preserve">TAGTGGAACCGCTGTCATCAGCGC</t>
  </si>
  <si>
    <t xml:space="preserve">AAACGCGCTGATGACAGCGGTTCC</t>
  </si>
  <si>
    <t xml:space="preserve">ATCAAACCCCAATCTGTTCA</t>
  </si>
  <si>
    <t xml:space="preserve">TAGTATCAAACCCCAATCTGTTCA</t>
  </si>
  <si>
    <t xml:space="preserve">AAACTGAACAGATTGGGGTTTGAT</t>
  </si>
  <si>
    <t xml:space="preserve">AACGTTGAATGGAGAGCCGC</t>
  </si>
  <si>
    <t xml:space="preserve">TAGTAACGTTGAATGGAGAGCCGC</t>
  </si>
  <si>
    <t xml:space="preserve">AAACGCGGCTCTCCATTCAACGTT</t>
  </si>
  <si>
    <t xml:space="preserve">AGCCTGCCTCCACACCCAGG</t>
  </si>
  <si>
    <t xml:space="preserve">TAGTAGCCTGCCTCCACACCCAGG</t>
  </si>
  <si>
    <t xml:space="preserve">AAACCCTGGGTGTGGAGGCAGGCT</t>
  </si>
  <si>
    <t xml:space="preserve">PSPPH_2593</t>
  </si>
  <si>
    <t xml:space="preserve">uxuB/xylB</t>
  </si>
  <si>
    <t xml:space="preserve">CAGTCGGGACAGATTGTTTT</t>
  </si>
  <si>
    <t xml:space="preserve">TAGTCAGTCGGGACAGATTGTTTT</t>
  </si>
  <si>
    <t xml:space="preserve">AAACAAAACAATCTGTCCCGACTG</t>
  </si>
  <si>
    <t xml:space="preserve">GTAGGCGGGCAGGGCAATGT</t>
  </si>
  <si>
    <t xml:space="preserve">TAGTGTAGGCGGGCAGGGCAATGT</t>
  </si>
  <si>
    <t xml:space="preserve">AAACACATTGCCCTGCCCGCCTAC</t>
  </si>
  <si>
    <t xml:space="preserve">GCCCTGGCGAGTGCTTTCGA</t>
  </si>
  <si>
    <t xml:space="preserve">TAGTGCCCTGGCGAGTGCTTTCGA</t>
  </si>
  <si>
    <t xml:space="preserve">AAACTCGAAAGCACTCGCCAGGGC</t>
  </si>
  <si>
    <t xml:space="preserve">GAAGCCGCCAACGCCGATAT</t>
  </si>
  <si>
    <t xml:space="preserve">TAGTGAAGCCGCCAACGCCGATAT</t>
  </si>
  <si>
    <t xml:space="preserve">AAACATATCGGCGTTGGCGGCTTC</t>
  </si>
  <si>
    <t xml:space="preserve">PSPPH_2594</t>
  </si>
  <si>
    <t xml:space="preserve">TTTGCAGGTTGCGGATGCTC</t>
  </si>
  <si>
    <t xml:space="preserve">TAGTTTTGCAGGTTGCGGATGCTC</t>
  </si>
  <si>
    <t xml:space="preserve">AAACGAGCATCCGCAACCTGCAAA</t>
  </si>
  <si>
    <t xml:space="preserve">CGACAAAGACCACGAACTCG</t>
  </si>
  <si>
    <t xml:space="preserve">TAGTCGACAAAGACCACGAACTCG</t>
  </si>
  <si>
    <t xml:space="preserve">AAACCGAGTTCGTGGTCTTTGTCG</t>
  </si>
  <si>
    <t xml:space="preserve">GGCGATGAGCCGCAGCAGGG</t>
  </si>
  <si>
    <t xml:space="preserve">TAGTGGCGATGAGCCGCAGCAGGG</t>
  </si>
  <si>
    <t xml:space="preserve">AAACCCCTGCTGCGGCTCATCGCC</t>
  </si>
  <si>
    <t xml:space="preserve">CGAGGTGACTTCCTCAAGCC</t>
  </si>
  <si>
    <t xml:space="preserve">TAGTCGAGGTGACTTCCTCAAGCC</t>
  </si>
  <si>
    <t xml:space="preserve">AAACGGCTTGAGGAAGTCACCTCG</t>
  </si>
  <si>
    <t xml:space="preserve">PSPPH_2595</t>
  </si>
  <si>
    <t xml:space="preserve">AGGGGAGGCTGAGGTATTCA</t>
  </si>
  <si>
    <t xml:space="preserve">TAGTAGGGGAGGCTGAGGTATTCA</t>
  </si>
  <si>
    <t xml:space="preserve">AAACTGAATACCTCAGCCTCCCCT</t>
  </si>
  <si>
    <t xml:space="preserve">CCGGACAGGTCCGTGCGTTC</t>
  </si>
  <si>
    <t xml:space="preserve">TAGTCCGGACAGGTCCGTGCGTTC</t>
  </si>
  <si>
    <t xml:space="preserve">AAACGAACGCACGGACCTGTCCGG</t>
  </si>
  <si>
    <t xml:space="preserve">TTGAATCGACGGCTTTTGAG</t>
  </si>
  <si>
    <t xml:space="preserve">TAGTTTGAATCGACGGCTTTTGAG</t>
  </si>
  <si>
    <t xml:space="preserve">AAACCTCAAAAGCCGTCGATTCAA</t>
  </si>
  <si>
    <t xml:space="preserve">GGACTGACCAGAAACCAGCC</t>
  </si>
  <si>
    <t xml:space="preserve">TAGTGGACTGACCAGAAACCAGCC</t>
  </si>
  <si>
    <t xml:space="preserve">AAACGGCTGGTTTCTGGTCAGTCC</t>
  </si>
  <si>
    <t xml:space="preserve">PSPPH_2596</t>
  </si>
  <si>
    <t xml:space="preserve">ACAGGTACTGAGGACGGAAC</t>
  </si>
  <si>
    <t xml:space="preserve">TAGTACAGGTACTGAGGACGGAAC</t>
  </si>
  <si>
    <t xml:space="preserve">AAACGTTCCGTCCTCAGTACCTGT</t>
  </si>
  <si>
    <t xml:space="preserve">GATGGTCACGGTCCCCGCTG</t>
  </si>
  <si>
    <t xml:space="preserve">TAGTGATGGTCACGGTCCCCGCTG</t>
  </si>
  <si>
    <t xml:space="preserve">AAACCAGCGGGGACCGTGACCATC</t>
  </si>
  <si>
    <t xml:space="preserve">CATGTCACTGTTGTTGACCG</t>
  </si>
  <si>
    <t xml:space="preserve">TAGTCATGTCACTGTTGTTGACCG</t>
  </si>
  <si>
    <t xml:space="preserve">AAACCGGTCAACAACAGTGACATG</t>
  </si>
  <si>
    <t xml:space="preserve">TTTCTTCGAAGGTCTTGGAG</t>
  </si>
  <si>
    <t xml:space="preserve">TAGTTTTCTTCGAAGGTCTTGGAG</t>
  </si>
  <si>
    <t xml:space="preserve">AAACCTCCAAGACCTTCGAAGAAA</t>
  </si>
  <si>
    <t xml:space="preserve">PSPPH_2597</t>
  </si>
  <si>
    <t xml:space="preserve">mltR</t>
  </si>
  <si>
    <t xml:space="preserve">GATTCTTGTTGTTTTACTCA</t>
  </si>
  <si>
    <t xml:space="preserve">TAGTGATTCTTGTTGTTTTACTCA</t>
  </si>
  <si>
    <t xml:space="preserve">AAACTGAGTAAAACAACAAGAATC</t>
  </si>
  <si>
    <t xml:space="preserve">CATCAATTCGTAGGAAGGGT</t>
  </si>
  <si>
    <t xml:space="preserve">TAGTCATCAATTCGTAGGAAGGGT</t>
  </si>
  <si>
    <t xml:space="preserve">AAACACCCTTCCTACGAATTGATG</t>
  </si>
  <si>
    <t xml:space="preserve">AAATGATCGACAGCCCGTTG</t>
  </si>
  <si>
    <t xml:space="preserve">TAGTAAATGATCGACAGCCCGTTG</t>
  </si>
  <si>
    <t xml:space="preserve">AAACCAACGGGCTGTCGATCATTT</t>
  </si>
  <si>
    <t xml:space="preserve">GCCAGCGCACCAGCGGACAG</t>
  </si>
  <si>
    <t xml:space="preserve">TAGTGCCAGCGCACCAGCGGACAG</t>
  </si>
  <si>
    <t xml:space="preserve">AAACCTGTCCGCTGGTGCGCTGGC</t>
  </si>
  <si>
    <t xml:space="preserve">PSPPH_2598</t>
  </si>
  <si>
    <t xml:space="preserve">ATCAGCAGGATCTGTTTCAT</t>
  </si>
  <si>
    <t xml:space="preserve">TAGTATCAGCAGGATCTGTTTCAT</t>
  </si>
  <si>
    <t xml:space="preserve">AAACATGAAACAGATCCTGCTGAT</t>
  </si>
  <si>
    <t xml:space="preserve">GGTAATCTGCTCGGGATCAC</t>
  </si>
  <si>
    <t xml:space="preserve">TAGTGGTAATCTGCTCGGGATCAC</t>
  </si>
  <si>
    <t xml:space="preserve">AAACGTGATCCCGAGCAGATTACC</t>
  </si>
  <si>
    <t xml:space="preserve">CAGCGCGGCAATGGCCTGCA</t>
  </si>
  <si>
    <t xml:space="preserve">TAGTCAGCGCGGCAATGGCCTGCA</t>
  </si>
  <si>
    <t xml:space="preserve">AAACTGCAGGCCATTGCCGCGCTG</t>
  </si>
  <si>
    <t xml:space="preserve">GTCGAGGATGAAGATCACGT</t>
  </si>
  <si>
    <t xml:space="preserve">TAGTGTCGAGGATGAAGATCACGT</t>
  </si>
  <si>
    <t xml:space="preserve">AAACACGTGATCTTCATCCTCGAC</t>
  </si>
  <si>
    <t xml:space="preserve">PSPPH_2599</t>
  </si>
  <si>
    <t xml:space="preserve">AGTTTTGCTCGAGGAAGCAT</t>
  </si>
  <si>
    <t xml:space="preserve">TAGTAGTTTTGCTCGAGGAAGCAT</t>
  </si>
  <si>
    <t xml:space="preserve">AAACATGCTTCCTCGAGCAAAACT</t>
  </si>
  <si>
    <t xml:space="preserve">TTCAGTGGCAGGGCTGGCAA</t>
  </si>
  <si>
    <t xml:space="preserve">TAGTTTCAGTGGCAGGGCTGGCAA</t>
  </si>
  <si>
    <t xml:space="preserve">AAACTTGCCAGCCCTGCCACTGAA</t>
  </si>
  <si>
    <t xml:space="preserve">GATGCCCAGGCTGACCAGAT</t>
  </si>
  <si>
    <t xml:space="preserve">TAGTGATGCCCAGGCTGACCAGAT</t>
  </si>
  <si>
    <t xml:space="preserve">AAACATCTGGTCAGCCTGGGCATC</t>
  </si>
  <si>
    <t xml:space="preserve">GCTGCAATTTGCTGACAAAC</t>
  </si>
  <si>
    <t xml:space="preserve">TAGTGCTGCAATTTGCTGACAAAC</t>
  </si>
  <si>
    <t xml:space="preserve">AAACGTTTGTCAGCAAATTGCAGC</t>
  </si>
  <si>
    <t xml:space="preserve">PSPPH_2600</t>
  </si>
  <si>
    <t xml:space="preserve">AGAATGGTGCGGGCTGTGTC</t>
  </si>
  <si>
    <t xml:space="preserve">TAGTAGAATGGTGCGGGCTGTGTC</t>
  </si>
  <si>
    <t xml:space="preserve">AAACGACACAGCCCGCACCATTCT</t>
  </si>
  <si>
    <t xml:space="preserve">GACAATCAGCATGCGCACAA</t>
  </si>
  <si>
    <t xml:space="preserve">TAGTGACAATCAGCATGCGCACAA</t>
  </si>
  <si>
    <t xml:space="preserve">AAACTTGTGCGCATGCTGATTGTC</t>
  </si>
  <si>
    <t xml:space="preserve">CAGAGCTGAAGTGGCGTCCT</t>
  </si>
  <si>
    <t xml:space="preserve">TAGTCAGAGCTGAAGTGGCGTCCT</t>
  </si>
  <si>
    <t xml:space="preserve">AAACAGGACGCCACTTCAGCTCTG</t>
  </si>
  <si>
    <t xml:space="preserve">CATCAACAGGTCGATGTGCC</t>
  </si>
  <si>
    <t xml:space="preserve">TAGTCATCAACAGGTCGATGTGCC</t>
  </si>
  <si>
    <t xml:space="preserve">AAACGGCACATCGACCTGTTGATG</t>
  </si>
  <si>
    <t xml:space="preserve">PSPPH_2601</t>
  </si>
  <si>
    <t xml:space="preserve">CTCAGTACCCCCACACCCAA</t>
  </si>
  <si>
    <t xml:space="preserve">TAGTCTCAGTACCCCCACACCCAA</t>
  </si>
  <si>
    <t xml:space="preserve">AAACTTGGGTGTGGGGGTACTGAG</t>
  </si>
  <si>
    <t xml:space="preserve">GATCAGCAAAATGAAGAAAA</t>
  </si>
  <si>
    <t xml:space="preserve">TAGTGATCAGCAAAATGAAGAAAA</t>
  </si>
  <si>
    <t xml:space="preserve">AAACTTTTCTTCATTTTGCTGATC</t>
  </si>
  <si>
    <t xml:space="preserve">AGTGTGCTCGACCCACTGTA</t>
  </si>
  <si>
    <t xml:space="preserve">TAGTAGTGTGCTCGACCCACTGTA</t>
  </si>
  <si>
    <t xml:space="preserve">AAACTACAGTGGGTCGAGCACACT</t>
  </si>
  <si>
    <t xml:space="preserve">GGTTGGTGTTATTGATCACC</t>
  </si>
  <si>
    <t xml:space="preserve">TAGTGGTTGGTGTTATTGATCACC</t>
  </si>
  <si>
    <t xml:space="preserve">AAACGGTGATCAATAACACCAACC</t>
  </si>
  <si>
    <t xml:space="preserve">PSPPH_2602</t>
  </si>
  <si>
    <t xml:space="preserve">cheR2</t>
  </si>
  <si>
    <t xml:space="preserve">CGATCTCTATGCTTCGATCA</t>
  </si>
  <si>
    <t xml:space="preserve">TAGTCGATCTCTATGCTTCGATCA</t>
  </si>
  <si>
    <t xml:space="preserve">AAACTGATCGAAGCATAGAGATCG</t>
  </si>
  <si>
    <t xml:space="preserve">GGTAGATAGCCTCTATCAGC</t>
  </si>
  <si>
    <t xml:space="preserve">TAGTGGTAGATAGCCTCTATCAGC</t>
  </si>
  <si>
    <t xml:space="preserve">AAACGCTGATAGAGGCTATCTACC</t>
  </si>
  <si>
    <t xml:space="preserve">GGAAATCGTAGCTGTACTGG</t>
  </si>
  <si>
    <t xml:space="preserve">TAGTGGAAATCGTAGCTGTACTGG</t>
  </si>
  <si>
    <t xml:space="preserve">AAACCCAGTACAGCTACGATTTCC</t>
  </si>
  <si>
    <t xml:space="preserve">TTGACGCACCGGAATAGTCG</t>
  </si>
  <si>
    <t xml:space="preserve">TAGTTTGACGCACCGGAATAGTCG</t>
  </si>
  <si>
    <t xml:space="preserve">AAACCGACTATTCCGGTGCGTCAA</t>
  </si>
  <si>
    <t xml:space="preserve">PSPPH_2603</t>
  </si>
  <si>
    <t xml:space="preserve">cheB2</t>
  </si>
  <si>
    <t xml:space="preserve">GGACAGGTCATCGTCAAAGG</t>
  </si>
  <si>
    <t xml:space="preserve">TAGTGGACAGGTCATCGTCAAAGG</t>
  </si>
  <si>
    <t xml:space="preserve">AAACCCTTTGACGATGACCTGTCC</t>
  </si>
  <si>
    <t xml:space="preserve">GACCACGGGCAACGGGCCGC</t>
  </si>
  <si>
    <t xml:space="preserve">TAGTGACCACGGGCAACGGGCCGC</t>
  </si>
  <si>
    <t xml:space="preserve">AAACGCGGCCCGTTGCCCGTGGTC</t>
  </si>
  <si>
    <t xml:space="preserve">ATTTCTGAATATTTTCAGCA</t>
  </si>
  <si>
    <t xml:space="preserve">TAGTATTTCTGAATATTTTCAGCA</t>
  </si>
  <si>
    <t xml:space="preserve">AAACTGCTGAAAATATTCAGAAAT</t>
  </si>
  <si>
    <t xml:space="preserve">AATATAGGCAGACTGAAACC</t>
  </si>
  <si>
    <t xml:space="preserve">TAGTAATATAGGCAGACTGAAACC</t>
  </si>
  <si>
    <t xml:space="preserve">AAACGGTTTCAGTCTGCCTATATT</t>
  </si>
  <si>
    <t xml:space="preserve">PSPPH_2604</t>
  </si>
  <si>
    <t xml:space="preserve">TCGAGGGCCAGCAGGTTTTC</t>
  </si>
  <si>
    <t xml:space="preserve">TAGTTCGAGGGCCAGCAGGTTTTC</t>
  </si>
  <si>
    <t xml:space="preserve">AAACGAAAACCTGCTGGCCCTCGA</t>
  </si>
  <si>
    <t xml:space="preserve">AGGCATCTGGACGTCGAGGA</t>
  </si>
  <si>
    <t xml:space="preserve">TAGTAGGCATCTGGACGTCGAGGA</t>
  </si>
  <si>
    <t xml:space="preserve">AAACTCCTCGACGTCCAGATGCCT</t>
  </si>
  <si>
    <t xml:space="preserve">AGCTCGAACCCGTTCATTCC</t>
  </si>
  <si>
    <t xml:space="preserve">TAGTAGCTCGAACCCGTTCATTCC</t>
  </si>
  <si>
    <t xml:space="preserve">AAACGGAATGAACGGGTTCGAGCT</t>
  </si>
  <si>
    <t xml:space="preserve">CTCGGTGCTGCGCATCATCT</t>
  </si>
  <si>
    <t xml:space="preserve">TAGTCTCGGTGCTGCGCATCATCT</t>
  </si>
  <si>
    <t xml:space="preserve">AAACAGATGATGCGCAGCACCGAG</t>
  </si>
  <si>
    <t xml:space="preserve">PSPPH_2605</t>
  </si>
  <si>
    <t xml:space="preserve">ATTACGACCACGGCATGCAT</t>
  </si>
  <si>
    <t xml:space="preserve">TAGTATTACGACCACGGCATGCAT</t>
  </si>
  <si>
    <t xml:space="preserve">AAACATGCATGCCGTGGTCGTAAT</t>
  </si>
  <si>
    <t xml:space="preserve">GCCAGGAGCATCAGGATCAG</t>
  </si>
  <si>
    <t xml:space="preserve">TAGTGCCAGGAGCATCAGGATCAG</t>
  </si>
  <si>
    <t xml:space="preserve">AAACCTGATCCTGATGCTCCTGGC</t>
  </si>
  <si>
    <t xml:space="preserve">CCCCTCACCAGACAGATAAT</t>
  </si>
  <si>
    <t xml:space="preserve">TAGTCCCCTCACCAGACAGATAAT</t>
  </si>
  <si>
    <t xml:space="preserve">AAACATTATCTGTCTGGTGAGGGG</t>
  </si>
  <si>
    <t xml:space="preserve">GCTCACCATTCTCGGCTTTC</t>
  </si>
  <si>
    <t xml:space="preserve">TAGTGCTCACCATTCTCGGCTTTC</t>
  </si>
  <si>
    <t xml:space="preserve">AAACGAAAGCCGAGAATGGTGAGC</t>
  </si>
  <si>
    <t xml:space="preserve">PSPPH_2606</t>
  </si>
  <si>
    <t xml:space="preserve">CCAGGTAGCCGGCTTCATCG</t>
  </si>
  <si>
    <t xml:space="preserve">TAGTCCAGGTAGCCGGCTTCATCG</t>
  </si>
  <si>
    <t xml:space="preserve">AAACCGATGAAGCCGGCTACCTGG</t>
  </si>
  <si>
    <t xml:space="preserve">GACCAGTTCGAACAAGTCAT</t>
  </si>
  <si>
    <t xml:space="preserve">TAGTGACCAGTTCGAACAAGTCAT</t>
  </si>
  <si>
    <t xml:space="preserve">AAACATGACTTGTTCGAACTGGTC</t>
  </si>
  <si>
    <t xml:space="preserve">CCTCATCGGCGATGATTGCC</t>
  </si>
  <si>
    <t xml:space="preserve">TAGTCCTCATCGGCGATGATTGCC</t>
  </si>
  <si>
    <t xml:space="preserve">AAACGGCAATCATCGCCGATGAGG</t>
  </si>
  <si>
    <t xml:space="preserve">CGACTGATGAGGTCCAGCAG</t>
  </si>
  <si>
    <t xml:space="preserve">TAGTCGACTGATGAGGTCCAGCAG</t>
  </si>
  <si>
    <t xml:space="preserve">AAACCTGCTGGACCTCATCAGTCG</t>
  </si>
  <si>
    <t xml:space="preserve">PSPPH_2607</t>
  </si>
  <si>
    <t xml:space="preserve">GTCATCCAGACCTTCAATCC</t>
  </si>
  <si>
    <t xml:space="preserve">TAGTGTCATCCAGACCTTCAATCC</t>
  </si>
  <si>
    <t xml:space="preserve">AAACGGATTGAAGGTCTGGATGAC</t>
  </si>
  <si>
    <t xml:space="preserve">TGCGTGAAAGACCACCCGCA</t>
  </si>
  <si>
    <t xml:space="preserve">TAGTTGCGTGAAAGACCACCCGCA</t>
  </si>
  <si>
    <t xml:space="preserve">AAACTGCGGGTGGTCTTTCACGCA</t>
  </si>
  <si>
    <t xml:space="preserve">CGGTTCCGGGTTCTCCTTCA</t>
  </si>
  <si>
    <t xml:space="preserve">TAGTCGGTTCCGGGTTCTCCTTCA</t>
  </si>
  <si>
    <t xml:space="preserve">AAACTGAAGGAGAACCCGGAACCG</t>
  </si>
  <si>
    <t xml:space="preserve">CAGTGCCACGGTTGTCTTGC</t>
  </si>
  <si>
    <t xml:space="preserve">TAGTCAGTGCCACGGTTGTCTTGC</t>
  </si>
  <si>
    <t xml:space="preserve">AAACGCAAGACAACCGTGGCACTG</t>
  </si>
  <si>
    <t xml:space="preserve">PSPPH_2608</t>
  </si>
  <si>
    <t xml:space="preserve">GACCCGGAAACTTTGATAAT</t>
  </si>
  <si>
    <t xml:space="preserve">TAGTGACCCGGAAACTTTGATAAT</t>
  </si>
  <si>
    <t xml:space="preserve">AAACATTATCAAAGTTTCCGGGTC</t>
  </si>
  <si>
    <t xml:space="preserve">TTCATTGCGTTGAGCTTTTC</t>
  </si>
  <si>
    <t xml:space="preserve">TAGTTTCATTGCGTTGAGCTTTTC</t>
  </si>
  <si>
    <t xml:space="preserve">AAACGAAAAGCTCAACGCAATGAA</t>
  </si>
  <si>
    <t xml:space="preserve">GGCCTGGATCCTTGCCCATC</t>
  </si>
  <si>
    <t xml:space="preserve">TAGTGGCCTGGATCCTTGCCCATC</t>
  </si>
  <si>
    <t xml:space="preserve">AAACGATGGGCAAGGATCCAGGCC</t>
  </si>
  <si>
    <t xml:space="preserve">GCCTCAACAGCCGGGCATTA</t>
  </si>
  <si>
    <t xml:space="preserve">TAGTGCCTCAACAGCCGGGCATTA</t>
  </si>
  <si>
    <t xml:space="preserve">AAACTAATGCCCGGCTGTTGAGGC</t>
  </si>
  <si>
    <t xml:space="preserve">PSPPH_2609</t>
  </si>
  <si>
    <t xml:space="preserve">CCAACGCTCCGGGTGCGCCA</t>
  </si>
  <si>
    <t xml:space="preserve">TAGTCCAACGCTCCGGGTGCGCCA</t>
  </si>
  <si>
    <t xml:space="preserve">AAACTGGCGCACCCGGAGCGTTGG</t>
  </si>
  <si>
    <t xml:space="preserve">GACCACAGCCAAACCACCAT</t>
  </si>
  <si>
    <t xml:space="preserve">TAGTGACCACAGCCAAACCACCAT</t>
  </si>
  <si>
    <t xml:space="preserve">AAACATGGTGGTTTGGCTGTGGTC</t>
  </si>
  <si>
    <t xml:space="preserve">GCAAAAACCCCTGATCACTC</t>
  </si>
  <si>
    <t xml:space="preserve">TAGTGCAAAAACCCCTGATCACTC</t>
  </si>
  <si>
    <t xml:space="preserve">AAACGAGTGATCAGGGGTTTTTGC</t>
  </si>
  <si>
    <t xml:space="preserve">TCTGGGGAACATTGCCCCAT</t>
  </si>
  <si>
    <t xml:space="preserve">TAGTTCTGGGGAACATTGCCCCAT</t>
  </si>
  <si>
    <t xml:space="preserve">AAACATGGGGCAATGTTCCCCAGA</t>
  </si>
  <si>
    <t xml:space="preserve">PSPPH_2610</t>
  </si>
  <si>
    <t xml:space="preserve">GACGCTGAGTTCAAAAGGCA</t>
  </si>
  <si>
    <t xml:space="preserve">TAGTGACGCTGAGTTCAAAAGGCA</t>
  </si>
  <si>
    <t xml:space="preserve">AAACTGCCTTTTGAACTCAGCGTC</t>
  </si>
  <si>
    <t xml:space="preserve">CAAGAATGGCGAGGGTGGTC</t>
  </si>
  <si>
    <t xml:space="preserve">TAGTCAAGAATGGCGAGGGTGGTC</t>
  </si>
  <si>
    <t xml:space="preserve">AAACGACCACCCTCGCCATTCTTG</t>
  </si>
  <si>
    <t xml:space="preserve">CAGTCCGCCACCACCGGCGA</t>
  </si>
  <si>
    <t xml:space="preserve">TAGTCAGTCCGCCACCACCGGCGA</t>
  </si>
  <si>
    <t xml:space="preserve">AAACTCGCCGGTGGTGGCGGACTG</t>
  </si>
  <si>
    <t xml:space="preserve">AGACCGGCTGTCATCAGGGC</t>
  </si>
  <si>
    <t xml:space="preserve">TAGTAGACCGGCTGTCATCAGGGC</t>
  </si>
  <si>
    <t xml:space="preserve">AAACGCCCTGATGACAGCCGGTCT</t>
  </si>
  <si>
    <t xml:space="preserve">PSPPH_2612</t>
  </si>
  <si>
    <t xml:space="preserve">AAGGTCGAAAAGCTGGGTTC</t>
  </si>
  <si>
    <t xml:space="preserve">TAGTAAGGTCGAAAAGCTGGGTTC</t>
  </si>
  <si>
    <t xml:space="preserve">AAACGAACCCAGCTTTTCGACCTT</t>
  </si>
  <si>
    <t xml:space="preserve">CAATGGCTTCACCGATTCCC</t>
  </si>
  <si>
    <t xml:space="preserve">TAGTCAATGGCTTCACCGATTCCC</t>
  </si>
  <si>
    <t xml:space="preserve">AAACGGGAATCGGTGAAGCCATTG</t>
  </si>
  <si>
    <t xml:space="preserve">GCCCTGTTGAGCGAGCAGCC</t>
  </si>
  <si>
    <t xml:space="preserve">TAGTGCCCTGTTGAGCGAGCAGCC</t>
  </si>
  <si>
    <t xml:space="preserve">AAACGGCTGCTCGCTCAACAGGGC</t>
  </si>
  <si>
    <t xml:space="preserve">CCTGACACCCGTCGAGCTTG</t>
  </si>
  <si>
    <t xml:space="preserve">TAGTCCTGACACCCGTCGAGCTTG</t>
  </si>
  <si>
    <t xml:space="preserve">AAACCAAGCTCGACGGGTGTCAGG</t>
  </si>
  <si>
    <t xml:space="preserve">PSPPH_2613</t>
  </si>
  <si>
    <t xml:space="preserve">TTCGCCGCTGCGGATCCCGG</t>
  </si>
  <si>
    <t xml:space="preserve">TAGTTTCGCCGCTGCGGATCCCGG</t>
  </si>
  <si>
    <t xml:space="preserve">AAACCCGGGATCCGCAGCGGCGAA</t>
  </si>
  <si>
    <t xml:space="preserve">CAGGTACGGATCTATCAGGG</t>
  </si>
  <si>
    <t xml:space="preserve">TAGTCAGGTACGGATCTATCAGGG</t>
  </si>
  <si>
    <t xml:space="preserve">AAACCCCTGATAGATCCGTACCTG</t>
  </si>
  <si>
    <t xml:space="preserve">GGGGAACTGACTGATCGCCG</t>
  </si>
  <si>
    <t xml:space="preserve">TAGTGGGGAACTGACTGATCGCCG</t>
  </si>
  <si>
    <t xml:space="preserve">AAACCGGCGATCAGTCAGTTCCCC</t>
  </si>
  <si>
    <t xml:space="preserve">GTCAGGTTCGATGCGCCACC</t>
  </si>
  <si>
    <t xml:space="preserve">TAGTGTCAGGTTCGATGCGCCACC</t>
  </si>
  <si>
    <t xml:space="preserve">AAACGGTGGCGCATCGAACCTGAC</t>
  </si>
  <si>
    <t xml:space="preserve">PSPPH_2614</t>
  </si>
  <si>
    <t xml:space="preserve">TTGTACGGCGTCTGCTACTG</t>
  </si>
  <si>
    <t xml:space="preserve">TAGTTTGTACGGCGTCTGCTACTG</t>
  </si>
  <si>
    <t xml:space="preserve">AAACCAGTAGCAGACGCCGTACAA</t>
  </si>
  <si>
    <t xml:space="preserve">CGGGTTGAACTTGTTCTTCA</t>
  </si>
  <si>
    <t xml:space="preserve">TAGTCGGGTTGAACTTGTTCTTCA</t>
  </si>
  <si>
    <t xml:space="preserve">AAACTGAAGAACAAGTTCAACCCG</t>
  </si>
  <si>
    <t xml:space="preserve">TCCAGACCGGCAGCAGCAGC</t>
  </si>
  <si>
    <t xml:space="preserve">TAGTTCCAGACCGGCAGCAGCAGC</t>
  </si>
  <si>
    <t xml:space="preserve">AAACGCTGCTGCTGCCGGTCTGGA</t>
  </si>
  <si>
    <t xml:space="preserve">TAATATGGAAACCGAAGACC</t>
  </si>
  <si>
    <t xml:space="preserve">TAGTTAATATGGAAACCGAAGACC</t>
  </si>
  <si>
    <t xml:space="preserve">AAACGGTCTTCGGTTTCCATATTA</t>
  </si>
  <si>
    <t xml:space="preserve">PSPPH_2615</t>
  </si>
  <si>
    <t xml:space="preserve">TGTCTGCACCAAATGAGGCC</t>
  </si>
  <si>
    <t xml:space="preserve">TAGTTGTCTGCACCAAATGAGGCC</t>
  </si>
  <si>
    <t xml:space="preserve">AAACGGCCTCATTTGGTGCAGACA</t>
  </si>
  <si>
    <t xml:space="preserve">GACGAATGCCCGTGGGCGAC</t>
  </si>
  <si>
    <t xml:space="preserve">TAGTGACGAATGCCCGTGGGCGAC</t>
  </si>
  <si>
    <t xml:space="preserve">AAACGTCGCCCACGGGCATTCGTC</t>
  </si>
  <si>
    <t xml:space="preserve">AGGTCATGCCCGACTGCGCG</t>
  </si>
  <si>
    <t xml:space="preserve">TAGTAGGTCATGCCCGACTGCGCG</t>
  </si>
  <si>
    <t xml:space="preserve">AAACCGCGCAGTCGGGCATGACCT</t>
  </si>
  <si>
    <t xml:space="preserve">ACCCGATACACACCGGTCAA</t>
  </si>
  <si>
    <t xml:space="preserve">TAGTACCCGATACACACCGGTCAA</t>
  </si>
  <si>
    <t xml:space="preserve">AAACTTGACCGGTGTGTATCGGGT</t>
  </si>
  <si>
    <t xml:space="preserve">PSPPH_2616</t>
  </si>
  <si>
    <t xml:space="preserve">GATCACCAGCGTCACGGTTT</t>
  </si>
  <si>
    <t xml:space="preserve">TAGTGATCACCAGCGTCACGGTTT</t>
  </si>
  <si>
    <t xml:space="preserve">AAACAAACCGTGACGCTGGTGATC</t>
  </si>
  <si>
    <t xml:space="preserve">GGCAACCAGCACCACCACGA</t>
  </si>
  <si>
    <t xml:space="preserve">TAGTGGCAACCAGCACCACCACGA</t>
  </si>
  <si>
    <t xml:space="preserve">AAACTCGTGGTGGTGCTGGTTGCC</t>
  </si>
  <si>
    <t xml:space="preserve">CTTGCCACGCATGGACGCAA</t>
  </si>
  <si>
    <t xml:space="preserve">TAGTCTTGCCACGCATGGACGCAA</t>
  </si>
  <si>
    <t xml:space="preserve">AAACTTGCGTCCATGCGTGGCAAG</t>
  </si>
  <si>
    <t xml:space="preserve">TTTATAGAAATCATTGAGCC</t>
  </si>
  <si>
    <t xml:space="preserve">TAGTTTTATAGAAATCATTGAGCC</t>
  </si>
  <si>
    <t xml:space="preserve">AAACGGCTCAATGATTTCTATAAA</t>
  </si>
  <si>
    <t xml:space="preserve">PSPPH_2617</t>
  </si>
  <si>
    <t xml:space="preserve">TTCCTTCGGCAACAAGTGCC</t>
  </si>
  <si>
    <t xml:space="preserve">TAGTTTCCTTCGGCAACAAGTGCC</t>
  </si>
  <si>
    <t xml:space="preserve">AAACGGCACTTGTTGCCGAAGGAA</t>
  </si>
  <si>
    <t xml:space="preserve">GTTCGACAGGCTGTCAAAGG</t>
  </si>
  <si>
    <t xml:space="preserve">TAGTGTTCGACAGGCTGTCAAAGG</t>
  </si>
  <si>
    <t xml:space="preserve">AAACCCTTTGACAGCCTGTCGAAC</t>
  </si>
  <si>
    <t xml:space="preserve">ACAGTGCCAGCGGCACGATC</t>
  </si>
  <si>
    <t xml:space="preserve">TAGTACAGTGCCAGCGGCACGATC</t>
  </si>
  <si>
    <t xml:space="preserve">AAACGATCGTGCCGCTGGCACTGT</t>
  </si>
  <si>
    <t xml:space="preserve">CACATCTGCGCCAATCTCTT</t>
  </si>
  <si>
    <t xml:space="preserve">TAGTCACATCTGCGCCAATCTCTT</t>
  </si>
  <si>
    <t xml:space="preserve">AAACAAGAGATTGGCGCAGATGTG</t>
  </si>
  <si>
    <t xml:space="preserve">PSPPH_2618</t>
  </si>
  <si>
    <t xml:space="preserve">cysI</t>
  </si>
  <si>
    <t xml:space="preserve">GATCCCGGAACTGCTTTACG</t>
  </si>
  <si>
    <t xml:space="preserve">TAGTGATCCCGGAACTGCTTTACG</t>
  </si>
  <si>
    <t xml:space="preserve">AAACCGTAAAGCAGTTCCGGGATC</t>
  </si>
  <si>
    <t xml:space="preserve">TTCCCCGGCAAGGTAGCGTC</t>
  </si>
  <si>
    <t xml:space="preserve">TAGTTTCCCCGGCAAGGTAGCGTC</t>
  </si>
  <si>
    <t xml:space="preserve">AAACGACGCTACCTTGCCGGGGAA</t>
  </si>
  <si>
    <t xml:space="preserve">AGACCGTTTTGCAGGCGCAA</t>
  </si>
  <si>
    <t xml:space="preserve">TAGTAGACCGTTTTGCAGGCGCAA</t>
  </si>
  <si>
    <t xml:space="preserve">AAACTTGCGCCTGCAAAACGGTCT</t>
  </si>
  <si>
    <t xml:space="preserve">GGAACCGCCACACGCAACAT</t>
  </si>
  <si>
    <t xml:space="preserve">TAGTGGAACCGCCACACGCAACAT</t>
  </si>
  <si>
    <t xml:space="preserve">AAACATGTTGCGTGTGGCGGTTCC</t>
  </si>
  <si>
    <t xml:space="preserve">PSPPH_2619</t>
  </si>
  <si>
    <t xml:space="preserve">CGAGGCGGCACATGCGGATC</t>
  </si>
  <si>
    <t xml:space="preserve">TAGTCGAGGCGGCACATGCGGATC</t>
  </si>
  <si>
    <t xml:space="preserve">AAACGATCCGCATGTGCCGCCTCG</t>
  </si>
  <si>
    <t xml:space="preserve">TAGCCATCGGTTTCTGTACC</t>
  </si>
  <si>
    <t xml:space="preserve">TAGTTAGCCATCGGTTTCTGTACC</t>
  </si>
  <si>
    <t xml:space="preserve">AAACGGTACAGAAACCGATGGCTA</t>
  </si>
  <si>
    <t xml:space="preserve">CCGTCTGCATCACCCGGGCA</t>
  </si>
  <si>
    <t xml:space="preserve">TAGTCCGTCTGCATCACCCGGGCA</t>
  </si>
  <si>
    <t xml:space="preserve">AAACTGCCCGGGTGATGCAGACGG</t>
  </si>
  <si>
    <t xml:space="preserve">TGACATACCGGTGGTATCGG</t>
  </si>
  <si>
    <t xml:space="preserve">TAGTTGACATACCGGTGGTATCGG</t>
  </si>
  <si>
    <t xml:space="preserve">AAACCCGATACCACCGGTATGTCA</t>
  </si>
  <si>
    <t xml:space="preserve">PSPPH_2620</t>
  </si>
  <si>
    <t xml:space="preserve">metH</t>
  </si>
  <si>
    <t xml:space="preserve">CGGGCGCTGCGGTCAGACAT</t>
  </si>
  <si>
    <t xml:space="preserve">TAGTCGGGCGCTGCGGTCAGACAT</t>
  </si>
  <si>
    <t xml:space="preserve">AAACATGTCTGACCGCAGCGCCCG</t>
  </si>
  <si>
    <t xml:space="preserve">CAGTGAGAAAGGCTTGATGG</t>
  </si>
  <si>
    <t xml:space="preserve">TAGTCAGTGAGAAAGGCTTGATGG</t>
  </si>
  <si>
    <t xml:space="preserve">AAACCCATCAAGCCTTTCTCACTG</t>
  </si>
  <si>
    <t xml:space="preserve">TGGTGCCCATGCCGCCATCG</t>
  </si>
  <si>
    <t xml:space="preserve">TAGTTGGTGCCCATGCCGCCATCG</t>
  </si>
  <si>
    <t xml:space="preserve">AAACCGATGGCGGCATGGGCACCA</t>
  </si>
  <si>
    <t xml:space="preserve">AAGCCTGTAGCTCTGAATCA</t>
  </si>
  <si>
    <t xml:space="preserve">TAGTAAGCCTGTAGCTCTGAATCA</t>
  </si>
  <si>
    <t xml:space="preserve">AAACTGATTCAGAGCTACAGGCTT</t>
  </si>
  <si>
    <t xml:space="preserve">PSPPH_2621</t>
  </si>
  <si>
    <t xml:space="preserve">ATGCTTGCCAACAAACGGTG</t>
  </si>
  <si>
    <t xml:space="preserve">TAGTATGCTTGCCAACAAACGGTG</t>
  </si>
  <si>
    <t xml:space="preserve">AAACCACCGTTTGTTGGCAAGCAT</t>
  </si>
  <si>
    <t xml:space="preserve">AGCACAGCAGATAAAAAGCA</t>
  </si>
  <si>
    <t xml:space="preserve">TAGTAGCACAGCAGATAAAAAGCA</t>
  </si>
  <si>
    <t xml:space="preserve">AAACTGCTTTTTATCTGCTGTGCT</t>
  </si>
  <si>
    <t xml:space="preserve">GGGTGTGGCTGAGGGTGTCT</t>
  </si>
  <si>
    <t xml:space="preserve">TAGTGGGTGTGGCTGAGGGTGTCT</t>
  </si>
  <si>
    <t xml:space="preserve">AAACAGACACCCTCAGCCACACCC</t>
  </si>
  <si>
    <t xml:space="preserve">TAGGAAATAGCCGGGCTTGC</t>
  </si>
  <si>
    <t xml:space="preserve">TAGTTAGGAAATAGCCGGGCTTGC</t>
  </si>
  <si>
    <t xml:space="preserve">AAACGCAAGCCCGGCTATTTCCTA</t>
  </si>
  <si>
    <t xml:space="preserve">PSPPH_2622</t>
  </si>
  <si>
    <t xml:space="preserve">GAACTGTCCCACCGGGCCGC</t>
  </si>
  <si>
    <t xml:space="preserve">TAGTGAACTGTCCCACCGGGCCGC</t>
  </si>
  <si>
    <t xml:space="preserve">AAACGCGGCCCGGTGGGACAGTTC</t>
  </si>
  <si>
    <t xml:space="preserve">TGCAGAATGAAGCGCCGTGC</t>
  </si>
  <si>
    <t xml:space="preserve">TAGTTGCAGAATGAAGCGCCGTGC</t>
  </si>
  <si>
    <t xml:space="preserve">AAACGCACGGCGCTTCATTCTGCA</t>
  </si>
  <si>
    <t xml:space="preserve">GCGGTATACAGCCAATAGGC</t>
  </si>
  <si>
    <t xml:space="preserve">TAGTGCGGTATACAGCCAATAGGC</t>
  </si>
  <si>
    <t xml:space="preserve">AAACGCCTATTGGCTGTATACCGC</t>
  </si>
  <si>
    <t xml:space="preserve">CAGCAACAACAACGCCATGG</t>
  </si>
  <si>
    <t xml:space="preserve">TAGTCAGCAACAACAACGCCATGG</t>
  </si>
  <si>
    <t xml:space="preserve">AAACCCATGGCGTTGTTGTTGCTG</t>
  </si>
  <si>
    <t xml:space="preserve">PSPPH_2623</t>
  </si>
  <si>
    <t xml:space="preserve">GGCATCGGTAATAGTGATAG</t>
  </si>
  <si>
    <t xml:space="preserve">TAGTGGCATCGGTAATAGTGATAG</t>
  </si>
  <si>
    <t xml:space="preserve">AAACCTATCACTATTACCGATGCC</t>
  </si>
  <si>
    <t xml:space="preserve">ATCGGCCAGATAATCGTGGG</t>
  </si>
  <si>
    <t xml:space="preserve">TAGTATCGGCCAGATAATCGTGGG</t>
  </si>
  <si>
    <t xml:space="preserve">AAACCCCACGATTATCTGGCCGAT</t>
  </si>
  <si>
    <t xml:space="preserve">TACGCGGATGCCAATGCCCG</t>
  </si>
  <si>
    <t xml:space="preserve">TAGTTACGCGGATGCCAATGCCCG</t>
  </si>
  <si>
    <t xml:space="preserve">AAACCGGGCATTGGCATCCGCGTA</t>
  </si>
  <si>
    <t xml:space="preserve">GTTTCGGCGTACTGAGTGCC</t>
  </si>
  <si>
    <t xml:space="preserve">TAGTGTTTCGGCGTACTGAGTGCC</t>
  </si>
  <si>
    <t xml:space="preserve">AAACGGCACTCAGTACGCCGAAAC</t>
  </si>
  <si>
    <t xml:space="preserve">PSPPH_2624</t>
  </si>
  <si>
    <t xml:space="preserve">CGGCGAGCGAAGGTCAGGCA</t>
  </si>
  <si>
    <t xml:space="preserve">TAGTCGGCGAGCGAAGGTCAGGCA</t>
  </si>
  <si>
    <t xml:space="preserve">AAACTGCCTGACCTTCGCTCGCCG</t>
  </si>
  <si>
    <t xml:space="preserve">TGCGCAGCAGAGAACGGCTT</t>
  </si>
  <si>
    <t xml:space="preserve">TAGTTGCGCAGCAGAGAACGGCTT</t>
  </si>
  <si>
    <t xml:space="preserve">AAACAAGCCGTTCTCTGCTGCGCA</t>
  </si>
  <si>
    <t xml:space="preserve">GAAAACACCCTGAACAGTCA</t>
  </si>
  <si>
    <t xml:space="preserve">TAGTGAAAACACCCTGAACAGTCA</t>
  </si>
  <si>
    <t xml:space="preserve">AAACTGACTGTTCAGGGTGTTTTC</t>
  </si>
  <si>
    <t xml:space="preserve">PSPPH_2626</t>
  </si>
  <si>
    <t xml:space="preserve">CGCGAACGAGGTCGAAGTCA</t>
  </si>
  <si>
    <t xml:space="preserve">TAGTCGCGAACGAGGTCGAAGTCA</t>
  </si>
  <si>
    <t xml:space="preserve">AAACTGACTTCGACCTCGTTCGCG</t>
  </si>
  <si>
    <t xml:space="preserve">TGGGTCGGTGATCAACTCTA</t>
  </si>
  <si>
    <t xml:space="preserve">TAGTTGGGTCGGTGATCAACTCTA</t>
  </si>
  <si>
    <t xml:space="preserve">AAACTAGAGTTGATCACCGACCCA</t>
  </si>
  <si>
    <t xml:space="preserve">CACAGCGTGGCGAAACCACG</t>
  </si>
  <si>
    <t xml:space="preserve">TAGTCACAGCGTGGCGAAACCACG</t>
  </si>
  <si>
    <t xml:space="preserve">AAACCGTGGTTTCGCCACGCTGTG</t>
  </si>
  <si>
    <t xml:space="preserve">TTGAAGGCATTGTTCTTGTC</t>
  </si>
  <si>
    <t xml:space="preserve">TAGTTTGAAGGCATTGTTCTTGTC</t>
  </si>
  <si>
    <t xml:space="preserve">AAACGACAAGAACAATGCCTTCAA</t>
  </si>
  <si>
    <t xml:space="preserve">PSPPH_2627</t>
  </si>
  <si>
    <t xml:space="preserve">GCGAGTCTGCAGAATGGTCA</t>
  </si>
  <si>
    <t xml:space="preserve">TAGTGCGAGTCTGCAGAATGGTCA</t>
  </si>
  <si>
    <t xml:space="preserve">AAACTGACCATTCTGCAGACTCGC</t>
  </si>
  <si>
    <t xml:space="preserve">AAGGGCAAATTCCGGCGAGC</t>
  </si>
  <si>
    <t xml:space="preserve">TAGTAAGGGCAAATTCCGGCGAGC</t>
  </si>
  <si>
    <t xml:space="preserve">AAACGCTCGCCGGAATTTGCCCTT</t>
  </si>
  <si>
    <t xml:space="preserve">TTCGACCTGCTTGAGCAGCG</t>
  </si>
  <si>
    <t xml:space="preserve">TAGTTTCGACCTGCTTGAGCAGCG</t>
  </si>
  <si>
    <t xml:space="preserve">AAACCGCTGCTCAAGCAGGTCGAA</t>
  </si>
  <si>
    <t xml:space="preserve">GAACGATGCTCAGCAACATA</t>
  </si>
  <si>
    <t xml:space="preserve">TAGTGAACGATGCTCAGCAACATA</t>
  </si>
  <si>
    <t xml:space="preserve">AAACTATGTTGCTGAGCATCGTTC</t>
  </si>
  <si>
    <t xml:space="preserve">PSPPH_2629</t>
  </si>
  <si>
    <t xml:space="preserve">mvaB</t>
  </si>
  <si>
    <t xml:space="preserve">TACCTTTTGTGGAAGAGACA</t>
  </si>
  <si>
    <t xml:space="preserve">TAGTTACCTTTTGTGGAAGAGACA</t>
  </si>
  <si>
    <t xml:space="preserve">AAACTGTCTCTTCCACAAAAGGTA</t>
  </si>
  <si>
    <t xml:space="preserve">CATTCTGCAGGCCGTCACGC</t>
  </si>
  <si>
    <t xml:space="preserve">TAGTCATTCTGCAGGCCGTCACGC</t>
  </si>
  <si>
    <t xml:space="preserve">AAACGCGTGACGGCCTGCAGAATG</t>
  </si>
  <si>
    <t xml:space="preserve">ACCTTGTCGTCGATACTGAT</t>
  </si>
  <si>
    <t xml:space="preserve">TAGTACCTTGTCGTCGATACTGAT</t>
  </si>
  <si>
    <t xml:space="preserve">AAACATCAGTATCGACGACAAGGT</t>
  </si>
  <si>
    <t xml:space="preserve">GGCTCAGTCCGGCTGCCGTC</t>
  </si>
  <si>
    <t xml:space="preserve">TAGTGGCTCAGTCCGGCTGCCGTC</t>
  </si>
  <si>
    <t xml:space="preserve">AAACGACGGCAGCCGGACTGAGCC</t>
  </si>
  <si>
    <t xml:space="preserve">PSPPH_2630</t>
  </si>
  <si>
    <t xml:space="preserve">GCTGTAAGTCTGACTGCTCA</t>
  </si>
  <si>
    <t xml:space="preserve">TAGTGCTGTAAGTCTGACTGCTCA</t>
  </si>
  <si>
    <t xml:space="preserve">AAACTGAGCAGTCAGACTTACAGC</t>
  </si>
  <si>
    <t xml:space="preserve">ATCCAGCTCACGGGCGAGCT</t>
  </si>
  <si>
    <t xml:space="preserve">TAGTATCCAGCTCACGGGCGAGCT</t>
  </si>
  <si>
    <t xml:space="preserve">AAACAGCTCGCCCGTGAGCTGGAT</t>
  </si>
  <si>
    <t xml:space="preserve">GTAAAAGCGGATCGCGCGGG</t>
  </si>
  <si>
    <t xml:space="preserve">TAGTGTAAAAGCGGATCGCGCGGG</t>
  </si>
  <si>
    <t xml:space="preserve">AAACCCCGCGCGATCCGCTTTTAC</t>
  </si>
  <si>
    <t xml:space="preserve">GCTCCAGTCCCTTGCGTTCA</t>
  </si>
  <si>
    <t xml:space="preserve">TAGTGCTCCAGTCCCTTGCGTTCA</t>
  </si>
  <si>
    <t xml:space="preserve">AAACTGAACGCAAGGGACTGGAGC</t>
  </si>
  <si>
    <t xml:space="preserve">PSPPH_2631</t>
  </si>
  <si>
    <t xml:space="preserve">GATTGAGATCGACCTTGCTC</t>
  </si>
  <si>
    <t xml:space="preserve">TAGTGATTGAGATCGACCTTGCTC</t>
  </si>
  <si>
    <t xml:space="preserve">AAACGAGCAAGGTCGATCTCAATC</t>
  </si>
  <si>
    <t xml:space="preserve">CAGATTGGTTTCGGTGTAGA</t>
  </si>
  <si>
    <t xml:space="preserve">TAGTCAGATTGGTTTCGGTGTAGA</t>
  </si>
  <si>
    <t xml:space="preserve">AAACTCTACACCGAAACCAATCTG</t>
  </si>
  <si>
    <t xml:space="preserve">GCCGACGATCTGCCCGGCCC</t>
  </si>
  <si>
    <t xml:space="preserve">TAGTGCCGACGATCTGCCCGGCCC</t>
  </si>
  <si>
    <t xml:space="preserve">AAACGGGCCGGGCAGATCGTCGGC</t>
  </si>
  <si>
    <t xml:space="preserve">AGCGTTGGACACCGCAGGCT</t>
  </si>
  <si>
    <t xml:space="preserve">TAGTAGCGTTGGACACCGCAGGCT</t>
  </si>
  <si>
    <t xml:space="preserve">AAACAGCCTGCGGTGTCCAACGCT</t>
  </si>
  <si>
    <t xml:space="preserve">PSPPH_2632</t>
  </si>
  <si>
    <t xml:space="preserve">GGGGAATACGCGAAATCCAT</t>
  </si>
  <si>
    <t xml:space="preserve">TAGTGGGGAATACGCGAAATCCAT</t>
  </si>
  <si>
    <t xml:space="preserve">AAACATGGATTTCGCGTATTCCCC</t>
  </si>
  <si>
    <t xml:space="preserve">CACGCAATGCCTGCACCTTC</t>
  </si>
  <si>
    <t xml:space="preserve">TAGTCACGCAATGCCTGCACCTTC</t>
  </si>
  <si>
    <t xml:space="preserve">AAACGAAGGTGCAGGCATTGCGTG</t>
  </si>
  <si>
    <t xml:space="preserve">AACGTATGCATCCATGAACG</t>
  </si>
  <si>
    <t xml:space="preserve">TAGTAACGTATGCATCCATGAACG</t>
  </si>
  <si>
    <t xml:space="preserve">AAACCGTTCATGGATGCATACGTT</t>
  </si>
  <si>
    <t xml:space="preserve">TGTTCGAAAACCGGCTCGGC</t>
  </si>
  <si>
    <t xml:space="preserve">TAGTTGTTCGAAAACCGGCTCGGC</t>
  </si>
  <si>
    <t xml:space="preserve">AAACGCCGAGCCGGTTTTCGAACA</t>
  </si>
  <si>
    <t xml:space="preserve">PSPPH_2633</t>
  </si>
  <si>
    <t xml:space="preserve">GTTAGCAAAGCGCGCAACAT</t>
  </si>
  <si>
    <t xml:space="preserve">TAGTGTTAGCAAAGCGCGCAACAT</t>
  </si>
  <si>
    <t xml:space="preserve">AAACATGTTGCGCGCTTTGCTAAC</t>
  </si>
  <si>
    <t xml:space="preserve">CAGCGCAAGGGCGGGCAGGG</t>
  </si>
  <si>
    <t xml:space="preserve">TAGTCAGCGCAAGGGCGGGCAGGG</t>
  </si>
  <si>
    <t xml:space="preserve">AAACCCCTGCCCGCCCTTGCGCTG</t>
  </si>
  <si>
    <t xml:space="preserve">GGTATTTCACCTGCGGGCAG</t>
  </si>
  <si>
    <t xml:space="preserve">TAGTGGTATTTCACCTGCGGGCAG</t>
  </si>
  <si>
    <t xml:space="preserve">AAACCTGCCCGCAGGTGAAATACC</t>
  </si>
  <si>
    <t xml:space="preserve">GAGCCTTGAATGCGCAAGGC</t>
  </si>
  <si>
    <t xml:space="preserve">TAGTGAGCCTTGAATGCGCAAGGC</t>
  </si>
  <si>
    <t xml:space="preserve">AAACGCCTTGCGCATTCAAGGCTC</t>
  </si>
  <si>
    <t xml:space="preserve">PSPPH_2634</t>
  </si>
  <si>
    <t xml:space="preserve">xth</t>
  </si>
  <si>
    <t xml:space="preserve">ATCAGCGCCGCCAACTGATG</t>
  </si>
  <si>
    <t xml:space="preserve">TAGTATCAGCGCCGCCAACTGATG</t>
  </si>
  <si>
    <t xml:space="preserve">AAACCATCAGTTGGCGGCGCTGAT</t>
  </si>
  <si>
    <t xml:space="preserve">TCCTGAAGGCCGATTACGTC</t>
  </si>
  <si>
    <t xml:space="preserve">TAGTTCCTGAAGGCCGATTACGTC</t>
  </si>
  <si>
    <t xml:space="preserve">AAACGACGTAATCGGCCTTCAGGA</t>
  </si>
  <si>
    <t xml:space="preserve">GAACTGCTCGTCAGAAACCT</t>
  </si>
  <si>
    <t xml:space="preserve">TAGTGAACTGCTCGTCAGAAACCT</t>
  </si>
  <si>
    <t xml:space="preserve">AAACAGGTTTCTGACGAGCAGTTC</t>
  </si>
  <si>
    <t xml:space="preserve">GCGCTTCGACTTCCGCGTGG</t>
  </si>
  <si>
    <t xml:space="preserve">TAGTGCGCTTCGACTTCCGCGTGG</t>
  </si>
  <si>
    <t xml:space="preserve">AAACCCACGCGGAAGTCGAAGCGC</t>
  </si>
  <si>
    <t xml:space="preserve">PSPPH_2635</t>
  </si>
  <si>
    <t xml:space="preserve">ACCCGTGATGGCAGCAGGTA</t>
  </si>
  <si>
    <t xml:space="preserve">TAGTACCCGTGATGGCAGCAGGTA</t>
  </si>
  <si>
    <t xml:space="preserve">AAACTACCTGCTGCCATCACGGGT</t>
  </si>
  <si>
    <t xml:space="preserve">CAGCAAGGAGCGGGTTTCAC</t>
  </si>
  <si>
    <t xml:space="preserve">TAGTCAGCAAGGAGCGGGTTTCAC</t>
  </si>
  <si>
    <t xml:space="preserve">AAACGTGAAACCCGCTCCTTGCTG</t>
  </si>
  <si>
    <t xml:space="preserve">GAACGTCGGATCGTGCCGAT</t>
  </si>
  <si>
    <t xml:space="preserve">TAGTGAACGTCGGATCGTGCCGAT</t>
  </si>
  <si>
    <t xml:space="preserve">AAACATCGGCACGATCCGACGTTC</t>
  </si>
  <si>
    <t xml:space="preserve">GCGCTCGGCATTGAACAGAT</t>
  </si>
  <si>
    <t xml:space="preserve">TAGTGCGCTCGGCATTGAACAGAT</t>
  </si>
  <si>
    <t xml:space="preserve">AAACATCTGTTCAATGCCGAGCGC</t>
  </si>
  <si>
    <t xml:space="preserve">PSPPH_2636</t>
  </si>
  <si>
    <t xml:space="preserve">AATAGTCTGAAAAGCTTCAT</t>
  </si>
  <si>
    <t xml:space="preserve">TAGTAATAGTCTGAAAAGCTTCAT</t>
  </si>
  <si>
    <t xml:space="preserve">AAACATGAAGCTTTTCAGACTATT</t>
  </si>
  <si>
    <t xml:space="preserve">CACTCATGGTCATCAGAAAC</t>
  </si>
  <si>
    <t xml:space="preserve">TAGTCACTCATGGTCATCAGAAAC</t>
  </si>
  <si>
    <t xml:space="preserve">AAACGTTTCTGATGACCATGAGTG</t>
  </si>
  <si>
    <t xml:space="preserve">CTTGATCCTGACGTCGAGGC</t>
  </si>
  <si>
    <t xml:space="preserve">TAGTCTTGATCCTGACGTCGAGGC</t>
  </si>
  <si>
    <t xml:space="preserve">AAACGCCTCGACGTCAGGATCAAG</t>
  </si>
  <si>
    <t xml:space="preserve">GGCCTTGAGTTCCGGGTTGG</t>
  </si>
  <si>
    <t xml:space="preserve">TAGTGGCCTTGAGTTCCGGGTTGG</t>
  </si>
  <si>
    <t xml:space="preserve">AAACCCAACCCGGAACTCAAGGCC</t>
  </si>
  <si>
    <t xml:space="preserve">PSPPH_2637</t>
  </si>
  <si>
    <t xml:space="preserve">TAACGCGATCACGCTCAGTC</t>
  </si>
  <si>
    <t xml:space="preserve">TAGTTAACGCGATCACGCTCAGTC</t>
  </si>
  <si>
    <t xml:space="preserve">AAACGACTGAGCGTGATCGCGTTA</t>
  </si>
  <si>
    <t xml:space="preserve">CGCCCACCGGCTGCCTGCCT</t>
  </si>
  <si>
    <t xml:space="preserve">TAGTCGCCCACCGGCTGCCTGCCT</t>
  </si>
  <si>
    <t xml:space="preserve">AAACAGGCAGGCAGCCGGTGGGCG</t>
  </si>
  <si>
    <t xml:space="preserve">AAGTTTTCCAGTTGCACGCC</t>
  </si>
  <si>
    <t xml:space="preserve">TAGTAAGTTTTCCAGTTGCACGCC</t>
  </si>
  <si>
    <t xml:space="preserve">AAACGGCGTGCAACTGGAAAACTT</t>
  </si>
  <si>
    <t xml:space="preserve">CACTCCACTGCCCGCCCAGG</t>
  </si>
  <si>
    <t xml:space="preserve">TAGTCACTCCACTGCCCGCCCAGG</t>
  </si>
  <si>
    <t xml:space="preserve">AAACCCTGGGCGGGCAGTGGAGTG</t>
  </si>
  <si>
    <t xml:space="preserve">PSPPH_2638</t>
  </si>
  <si>
    <t xml:space="preserve">GATACGGGTGAACACGCGCA</t>
  </si>
  <si>
    <t xml:space="preserve">TAGTGATACGGGTGAACACGCGCA</t>
  </si>
  <si>
    <t xml:space="preserve">AAACTGCGCGTGTTCACCCGTATC</t>
  </si>
  <si>
    <t xml:space="preserve">GTGCAGGCTCTCGGCCGCCT</t>
  </si>
  <si>
    <t xml:space="preserve">TAGTGTGCAGGCTCTCGGCCGCCT</t>
  </si>
  <si>
    <t xml:space="preserve">AAACAGGCGGCCGAGAGCCTGCAC</t>
  </si>
  <si>
    <t xml:space="preserve">AGAATCGTCACGGATGCACG</t>
  </si>
  <si>
    <t xml:space="preserve">TAGTAGAATCGTCACGGATGCACG</t>
  </si>
  <si>
    <t xml:space="preserve">AAACCGTGCATCCGTGACGATTCT</t>
  </si>
  <si>
    <t xml:space="preserve">GCTGCAAGAGCTGCACCCCC</t>
  </si>
  <si>
    <t xml:space="preserve">TAGTGCTGCAAGAGCTGCACCCCC</t>
  </si>
  <si>
    <t xml:space="preserve">AAACGGGGGTGCAGCTCTTGCAGC</t>
  </si>
  <si>
    <t xml:space="preserve">PSPPH_2639</t>
  </si>
  <si>
    <t xml:space="preserve">tpx</t>
  </si>
  <si>
    <t xml:space="preserve">TTGAACAGGGCCGCCTTTGA</t>
  </si>
  <si>
    <t xml:space="preserve">TAGTTTGAACAGGGCCGCCTTTGA</t>
  </si>
  <si>
    <t xml:space="preserve">AAACTCAAAGGCGGCCCTGTTCAA</t>
  </si>
  <si>
    <t xml:space="preserve">GGTGCCTTGCTGCCGACTTC</t>
  </si>
  <si>
    <t xml:space="preserve">TAGTGGTGCCTTGCTGCCGACTTC</t>
  </si>
  <si>
    <t xml:space="preserve">AAACGAAGTCGGCAGCAAGGCACC</t>
  </si>
  <si>
    <t xml:space="preserve">TCACCCACCAGTGTGAAGGC</t>
  </si>
  <si>
    <t xml:space="preserve">TAGTTCACCCACCAGTGTGAAGGC</t>
  </si>
  <si>
    <t xml:space="preserve">AAACGCCTTCACACTGGTGGGTGA</t>
  </si>
  <si>
    <t xml:space="preserve">CTTGCCAGCGAAGTCAGCCA</t>
  </si>
  <si>
    <t xml:space="preserve">TAGTCTTGCCAGCGAAGTCAGCCA</t>
  </si>
  <si>
    <t xml:space="preserve">AAACTGGCTGACTTCGCTGGCAAG</t>
  </si>
  <si>
    <t xml:space="preserve">PSPPH_2640</t>
  </si>
  <si>
    <t xml:space="preserve">mdtA</t>
  </si>
  <si>
    <t xml:space="preserve">CAGGTGGGGGCTTCTTCAGA</t>
  </si>
  <si>
    <t xml:space="preserve">TAGTCAGGTGGGGGCTTCTTCAGA</t>
  </si>
  <si>
    <t xml:space="preserve">AAACTCTGAAGAAGCCCCCACCTG</t>
  </si>
  <si>
    <t xml:space="preserve">CAAACTGATCAACCAGCGAC</t>
  </si>
  <si>
    <t xml:space="preserve">TAGTCAAACTGATCAACCAGCGAC</t>
  </si>
  <si>
    <t xml:space="preserve">AAACGTCGCTGGTTGATCAGTTTG</t>
  </si>
  <si>
    <t xml:space="preserve">AAAGGGCAACAATGGCCAAC</t>
  </si>
  <si>
    <t xml:space="preserve">TAGTAAAGGGCAACAATGGCCAAC</t>
  </si>
  <si>
    <t xml:space="preserve">AAACGTTGGCCATTGTTGCCCTTT</t>
  </si>
  <si>
    <t xml:space="preserve">CCTTTGCCGGGAGTGGAGGC</t>
  </si>
  <si>
    <t xml:space="preserve">TAGTCCTTTGCCGGGAGTGGAGGC</t>
  </si>
  <si>
    <t xml:space="preserve">AAACGCCTCCACTCCCGGCAAAGG</t>
  </si>
  <si>
    <t xml:space="preserve">PSPPH_2641</t>
  </si>
  <si>
    <t xml:space="preserve">mdtB</t>
  </si>
  <si>
    <t xml:space="preserve">CAACCGGACGCAGGATGAAC</t>
  </si>
  <si>
    <t xml:space="preserve">TAGTCAACCGGACGCAGGATGAAC</t>
  </si>
  <si>
    <t xml:space="preserve">AAACGTTCATCCTGCGTCCGGTTG</t>
  </si>
  <si>
    <t xml:space="preserve">TGCCAGCATACTCAGCGTGG</t>
  </si>
  <si>
    <t xml:space="preserve">TAGTTGCCAGCATACTCAGCGTGG</t>
  </si>
  <si>
    <t xml:space="preserve">AAACCCACGCTGAGTATGCTGGCA</t>
  </si>
  <si>
    <t xml:space="preserve">TGTAGGCGATCAGACCCGCC</t>
  </si>
  <si>
    <t xml:space="preserve">TAGTTGTAGGCGATCAGACCCGCC</t>
  </si>
  <si>
    <t xml:space="preserve">AAACGGCGGGTCTGATCGCCTACA</t>
  </si>
  <si>
    <t xml:space="preserve">CAGCGCCGACACCGGCAGCA</t>
  </si>
  <si>
    <t xml:space="preserve">TAGTCAGCGCCGACACCGGCAGCA</t>
  </si>
  <si>
    <t xml:space="preserve">AAACTGCTGCCGGTGTCGGCGCTG</t>
  </si>
  <si>
    <t xml:space="preserve">PSPPH_2642</t>
  </si>
  <si>
    <t xml:space="preserve">mdtC</t>
  </si>
  <si>
    <t xml:space="preserve">GACGGATAAACGGCGCTGAC</t>
  </si>
  <si>
    <t xml:space="preserve">TAGTGACGGATAAACGGCGCTGAC</t>
  </si>
  <si>
    <t xml:space="preserve">AAACGTCAGCGCCGTTTATCCGTC</t>
  </si>
  <si>
    <t xml:space="preserve">TTAGCAGTACGGTCGCAACC</t>
  </si>
  <si>
    <t xml:space="preserve">TAGTTTAGCAGTACGGTCGCAACC</t>
  </si>
  <si>
    <t xml:space="preserve">AAACGGTTGCGACCGTACTGCTAA</t>
  </si>
  <si>
    <t xml:space="preserve">ACGGCGCGACCGGCAACAAG</t>
  </si>
  <si>
    <t xml:space="preserve">TAGTACGGCGCGACCGGCAACAAG</t>
  </si>
  <si>
    <t xml:space="preserve">AAACCTTGTTGCCGGTCGCGCCGT</t>
  </si>
  <si>
    <t xml:space="preserve">ATCACCGGGAAGTCCATATT</t>
  </si>
  <si>
    <t xml:space="preserve">TAGTATCACCGGGAAGTCCATATT</t>
  </si>
  <si>
    <t xml:space="preserve">AAACAATATGGACTTCCCGGTGAT</t>
  </si>
  <si>
    <t xml:space="preserve">PSPPH_2643</t>
  </si>
  <si>
    <t xml:space="preserve">GGATATAAAGGCCAGGTGTT</t>
  </si>
  <si>
    <t xml:space="preserve">TAGTGGATATAAAGGCCAGGTGTT</t>
  </si>
  <si>
    <t xml:space="preserve">AAACAACACCTGGCCTTTATATCC</t>
  </si>
  <si>
    <t xml:space="preserve">ACGAATCAGCCCTGTCGGGC</t>
  </si>
  <si>
    <t xml:space="preserve">TAGTACGAATCAGCCCTGTCGGGC</t>
  </si>
  <si>
    <t xml:space="preserve">AAACGCCCGACAGGGCTGATTCGT</t>
  </si>
  <si>
    <t xml:space="preserve">ACGCAGAGCCCCAGCGCGAG</t>
  </si>
  <si>
    <t xml:space="preserve">TAGTACGCAGAGCCCCAGCGCGAG</t>
  </si>
  <si>
    <t xml:space="preserve">AAACCTCGCGCTGGGGCTCTGCGT</t>
  </si>
  <si>
    <t xml:space="preserve">ATCGACGGCGTCTGGTAATC</t>
  </si>
  <si>
    <t xml:space="preserve">TAGTATCGACGGCGTCTGGTAATC</t>
  </si>
  <si>
    <t xml:space="preserve">AAACGATTACCAGACGCCGTCGAT</t>
  </si>
  <si>
    <t xml:space="preserve">PSPPH_2644</t>
  </si>
  <si>
    <t xml:space="preserve">AGCAACAATTGCGACGAGAA</t>
  </si>
  <si>
    <t xml:space="preserve">TAGTAGCAACAATTGCGACGAGAA</t>
  </si>
  <si>
    <t xml:space="preserve">AAACTTCTCGTCGCAATTGTTGCT</t>
  </si>
  <si>
    <t xml:space="preserve">GGCCCCTGGCCGAAATAATA</t>
  </si>
  <si>
    <t xml:space="preserve">TAGTGGCCCCTGGCCGAAATAATA</t>
  </si>
  <si>
    <t xml:space="preserve">AAACTATTATTTCGGCCAGGGGCC</t>
  </si>
  <si>
    <t xml:space="preserve">CAATCCATACATAAACGGCG</t>
  </si>
  <si>
    <t xml:space="preserve">TAGTCAATCCATACATAAACGGCG</t>
  </si>
  <si>
    <t xml:space="preserve">AAACCGCCGTTTATGTATGGATTG</t>
  </si>
  <si>
    <t xml:space="preserve">CATAGCCAACGTCGATAGGC</t>
  </si>
  <si>
    <t xml:space="preserve">TAGTCATAGCCAACGTCGATAGGC</t>
  </si>
  <si>
    <t xml:space="preserve">AAACGCCTATCGACGTTGGCTATG</t>
  </si>
  <si>
    <t xml:space="preserve">PSPPH_2645</t>
  </si>
  <si>
    <t xml:space="preserve">GCGAGCCACCGGTAATAATG</t>
  </si>
  <si>
    <t xml:space="preserve">TAGTGCGAGCCACCGGTAATAATG</t>
  </si>
  <si>
    <t xml:space="preserve">AAACCATTATTACCGGTGGCTCGC</t>
  </si>
  <si>
    <t xml:space="preserve">TACAGCGGCCAGACGCGCAG</t>
  </si>
  <si>
    <t xml:space="preserve">TAGTTACAGCGGCCAGACGCGCAG</t>
  </si>
  <si>
    <t xml:space="preserve">AAACCTGCGCGTCTGGCCGCTGTA</t>
  </si>
  <si>
    <t xml:space="preserve">CCGTCTTTTCGGCTGCGGCA</t>
  </si>
  <si>
    <t xml:space="preserve">TAGTCCGTCTTTTCGGCTGCGGCA</t>
  </si>
  <si>
    <t xml:space="preserve">AAACTGCCGCAGCCGAAAAGACGG</t>
  </si>
  <si>
    <t xml:space="preserve">GGTGATCGCCTGAGCACCCA</t>
  </si>
  <si>
    <t xml:space="preserve">TAGTGGTGATCGCCTGAGCACCCA</t>
  </si>
  <si>
    <t xml:space="preserve">AAACTGGGTGCTCAGGCGATCACC</t>
  </si>
  <si>
    <t xml:space="preserve">PSPPH_2646</t>
  </si>
  <si>
    <t xml:space="preserve">GCCAGGGAATCCGGACCGTA</t>
  </si>
  <si>
    <t xml:space="preserve">TAGTGCCAGGGAATCCGGACCGTA</t>
  </si>
  <si>
    <t xml:space="preserve">AAACTACGGTCCGGATTCCCTGGC</t>
  </si>
  <si>
    <t xml:space="preserve">GGTTGGGTGCGGTACATCGG</t>
  </si>
  <si>
    <t xml:space="preserve">TAGTGGTTGGGTGCGGTACATCGG</t>
  </si>
  <si>
    <t xml:space="preserve">AAACCCGATGTACCGCACCCAACC</t>
  </si>
  <si>
    <t xml:space="preserve">CTGGGTCAGTGACAAGGGTT</t>
  </si>
  <si>
    <t xml:space="preserve">TAGTCTGGGTCAGTGACAAGGGTT</t>
  </si>
  <si>
    <t xml:space="preserve">AAACAACCCTTGTCACTGACCCAG</t>
  </si>
  <si>
    <t xml:space="preserve">GTGTCTTCGATCACGATGCG</t>
  </si>
  <si>
    <t xml:space="preserve">TAGTGTGTCTTCGATCACGATGCG</t>
  </si>
  <si>
    <t xml:space="preserve">AAACCGCATCGTGATCGAAGACAC</t>
  </si>
  <si>
    <t xml:space="preserve">PSPPH_2647</t>
  </si>
  <si>
    <t xml:space="preserve">TGTCGCGTCACCGGGCTTCT</t>
  </si>
  <si>
    <t xml:space="preserve">TAGTTGTCGCGTCACCGGGCTTCT</t>
  </si>
  <si>
    <t xml:space="preserve">AAACAGAAGCCCGGTGACGCGACA</t>
  </si>
  <si>
    <t xml:space="preserve">CCGCATCCTTGTACCAGAGC</t>
  </si>
  <si>
    <t xml:space="preserve">TAGTCCGCATCCTTGTACCAGAGC</t>
  </si>
  <si>
    <t xml:space="preserve">AAACGCTCTGGTACAAGGATGCGG</t>
  </si>
  <si>
    <t xml:space="preserve">AGAACGATTTCACATGAACC</t>
  </si>
  <si>
    <t xml:space="preserve">TAGTAGAACGATTTCACATGAACC</t>
  </si>
  <si>
    <t xml:space="preserve">AAACGGTTCATGTGAAATCGTTCT</t>
  </si>
  <si>
    <t xml:space="preserve">ATCGCCGATCCCGTCGTTAT</t>
  </si>
  <si>
    <t xml:space="preserve">TAGTATCGCCGATCCCGTCGTTAT</t>
  </si>
  <si>
    <t xml:space="preserve">AAACATAACGACGGGATCGGCGAT</t>
  </si>
  <si>
    <t xml:space="preserve">PSPPH_2648</t>
  </si>
  <si>
    <t xml:space="preserve">glgB</t>
  </si>
  <si>
    <t xml:space="preserve">CGGCCTGTGCCGGTTTTGTG</t>
  </si>
  <si>
    <t xml:space="preserve">TAGTCGGCCTGTGCCGGTTTTGTG</t>
  </si>
  <si>
    <t xml:space="preserve">AAACCACAAAACCGGCACAGGCCG</t>
  </si>
  <si>
    <t xml:space="preserve">CAGCAGCGGGAATCGCGCGG</t>
  </si>
  <si>
    <t xml:space="preserve">TAGTCAGCAGCGGGAATCGCGCGG</t>
  </si>
  <si>
    <t xml:space="preserve">AAACCCGCGCGATTCCCGCTGCTG</t>
  </si>
  <si>
    <t xml:space="preserve">AAGGATCACGGTGTTCAGCG</t>
  </si>
  <si>
    <t xml:space="preserve">TAGTAAGGATCACGGTGTTCAGCG</t>
  </si>
  <si>
    <t xml:space="preserve">AAACCGCTGAACACCGTGATCCTT</t>
  </si>
  <si>
    <t xml:space="preserve">CGCCATCACCGTGCGGCCCC</t>
  </si>
  <si>
    <t xml:space="preserve">TAGTCGCCATCACCGTGCGGCCCC</t>
  </si>
  <si>
    <t xml:space="preserve">AAACGGGGCCGCACGGTGATGGCG</t>
  </si>
  <si>
    <t xml:space="preserve">PSPPH_2650</t>
  </si>
  <si>
    <t xml:space="preserve">GCGGTGGGAGTGCCTCATCA</t>
  </si>
  <si>
    <t xml:space="preserve">TAGTGCGGTGGGAGTGCCTCATCA</t>
  </si>
  <si>
    <t xml:space="preserve">AAACTGATGAGGCACTCCCACCGC</t>
  </si>
  <si>
    <t xml:space="preserve">GCATTGGGCTCTTCGCTGGC</t>
  </si>
  <si>
    <t xml:space="preserve">TAGTGCATTGGGCTCTTCGCTGGC</t>
  </si>
  <si>
    <t xml:space="preserve">AAACGCCAGCGAAGAGCCCAATGC</t>
  </si>
  <si>
    <t xml:space="preserve">ATGGAACCGGAGTGTGCGGC</t>
  </si>
  <si>
    <t xml:space="preserve">TAGTATGGAACCGGAGTGTGCGGC</t>
  </si>
  <si>
    <t xml:space="preserve">AAACGCCGCACACTCCGGTTCCAT</t>
  </si>
  <si>
    <t xml:space="preserve">AACGATGGAAACGATCTGCA</t>
  </si>
  <si>
    <t xml:space="preserve">TAGTAACGATGGAAACGATCTGCA</t>
  </si>
  <si>
    <t xml:space="preserve">AAACTGCAGATCGTTTCCATCGTT</t>
  </si>
  <si>
    <t xml:space="preserve">PSPPH_2651</t>
  </si>
  <si>
    <t xml:space="preserve">GGTGAACCTTTTTATTATTG</t>
  </si>
  <si>
    <t xml:space="preserve">TAGTGGTGAACCTTTTTATTATTG</t>
  </si>
  <si>
    <t xml:space="preserve">AAACCAATAATAAAAAGGTTCACC</t>
  </si>
  <si>
    <t xml:space="preserve">CAGCAACAGAATATTTCTCA</t>
  </si>
  <si>
    <t xml:space="preserve">TAGTCAGCAACAGAATATTTCTCA</t>
  </si>
  <si>
    <t xml:space="preserve">AAACTGAGAAATATTCTGTTGCTG</t>
  </si>
  <si>
    <t xml:space="preserve">AAACGAACAACCGACTGCAG</t>
  </si>
  <si>
    <t xml:space="preserve">TAGTAAACGAACAACCGACTGCAG</t>
  </si>
  <si>
    <t xml:space="preserve">AAACCTGCAGTCGGTTGTTCGTTT</t>
  </si>
  <si>
    <t xml:space="preserve">ACGTGGCTGCCTGGGCAGGC</t>
  </si>
  <si>
    <t xml:space="preserve">TAGTACGTGGCTGCCTGGGCAGGC</t>
  </si>
  <si>
    <t xml:space="preserve">AAACGCCTGCCCAGGCAGCCACGT</t>
  </si>
  <si>
    <t xml:space="preserve">PSPPH_2652</t>
  </si>
  <si>
    <t xml:space="preserve">CTGCATCGTGATGTTAGCTG</t>
  </si>
  <si>
    <t xml:space="preserve">TAGTCTGCATCGTGATGTTAGCTG</t>
  </si>
  <si>
    <t xml:space="preserve">AAACCAGCTAACATCACGATGCAG</t>
  </si>
  <si>
    <t xml:space="preserve">CATTCTCGAACAAGGGTTTG</t>
  </si>
  <si>
    <t xml:space="preserve">TAGTCATTCTCGAACAAGGGTTTG</t>
  </si>
  <si>
    <t xml:space="preserve">AAACCAAACCCTTGTTCGAGAATG</t>
  </si>
  <si>
    <t xml:space="preserve">AATCAGGCCGTAACGGTTAC</t>
  </si>
  <si>
    <t xml:space="preserve">TAGTAATCAGGCCGTAACGGTTAC</t>
  </si>
  <si>
    <t xml:space="preserve">AAACGTAACCGTTACGGCCTGATT</t>
  </si>
  <si>
    <t xml:space="preserve">ACCGAGGATTTTCATGAAGG</t>
  </si>
  <si>
    <t xml:space="preserve">TAGTACCGAGGATTTTCATGAAGG</t>
  </si>
  <si>
    <t xml:space="preserve">AAACCCTTCATGAAAATCCTCGGT</t>
  </si>
  <si>
    <t xml:space="preserve">PSPPH_2653</t>
  </si>
  <si>
    <t xml:space="preserve">AAGATAAGCAGTCGCATTGA</t>
  </si>
  <si>
    <t xml:space="preserve">TAGTAAGATAAGCAGTCGCATTGA</t>
  </si>
  <si>
    <t xml:space="preserve">AAACTCAATGCGACTGCTTATCTT</t>
  </si>
  <si>
    <t xml:space="preserve">CGCGGGTCGGCTTCGGAGTG</t>
  </si>
  <si>
    <t xml:space="preserve">TAGTCGCGGGTCGGCTTCGGAGTG</t>
  </si>
  <si>
    <t xml:space="preserve">AAACCACTCCGAAGCCGACCCGCG</t>
  </si>
  <si>
    <t xml:space="preserve">CAGAAGAACCGGGCCTTTTC</t>
  </si>
  <si>
    <t xml:space="preserve">TAGTCAGAAGAACCGGGCCTTTTC</t>
  </si>
  <si>
    <t xml:space="preserve">AAACGAAAAGGCCCGGTTCTTCTG</t>
  </si>
  <si>
    <t xml:space="preserve">ATCTTGAATCGGGAAGTTTC</t>
  </si>
  <si>
    <t xml:space="preserve">TAGTATCTTGAATCGGGAAGTTTC</t>
  </si>
  <si>
    <t xml:space="preserve">AAACGAAACTTCCCGATTCAAGAT</t>
  </si>
  <si>
    <t xml:space="preserve">PSPPH_2654</t>
  </si>
  <si>
    <t xml:space="preserve">CAGCAAGACTGGACGGAAAA</t>
  </si>
  <si>
    <t xml:space="preserve">TAGTCAGCAAGACTGGACGGAAAA</t>
  </si>
  <si>
    <t xml:space="preserve">AAACTTTTCCGTCCAGTCTTGCTG</t>
  </si>
  <si>
    <t xml:space="preserve">CCGCAGCCAGTCAGCAACAG</t>
  </si>
  <si>
    <t xml:space="preserve">TAGTCCGCAGCCAGTCAGCAACAG</t>
  </si>
  <si>
    <t xml:space="preserve">AAACCTGTTGCTGACTGGCTGCGG</t>
  </si>
  <si>
    <t xml:space="preserve">GTGAACGCAGTGCGTTGTTC</t>
  </si>
  <si>
    <t xml:space="preserve">TAGTGTGAACGCAGTGCGTTGTTC</t>
  </si>
  <si>
    <t xml:space="preserve">AAACGAACAACGCACTGCGTTCAC</t>
  </si>
  <si>
    <t xml:space="preserve">TGTCGATAATTCGGGTTTGC</t>
  </si>
  <si>
    <t xml:space="preserve">TAGTTGTCGATAATTCGGGTTTGC</t>
  </si>
  <si>
    <t xml:space="preserve">AAACGCAAACCCGAATTATCGACA</t>
  </si>
  <si>
    <t xml:space="preserve">PSPPH_2655</t>
  </si>
  <si>
    <t xml:space="preserve">AGGGCAATCGTCGATAAGAG</t>
  </si>
  <si>
    <t xml:space="preserve">TAGTAGGGCAATCGTCGATAAGAG</t>
  </si>
  <si>
    <t xml:space="preserve">AAACCTCTTATCGACGATTGCCCT</t>
  </si>
  <si>
    <t xml:space="preserve">CAGCGGGCACTGCTTCACGC</t>
  </si>
  <si>
    <t xml:space="preserve">TAGTCAGCGGGCACTGCTTCACGC</t>
  </si>
  <si>
    <t xml:space="preserve">AAACGCGTGAAGCAGTGCCCGCTG</t>
  </si>
  <si>
    <t xml:space="preserve">ACGGATGCCCTGCGTTGCGT</t>
  </si>
  <si>
    <t xml:space="preserve">TAGTACGGATGCCCTGCGTTGCGT</t>
  </si>
  <si>
    <t xml:space="preserve">AAACACGCAACGCAGGGCATCCGT</t>
  </si>
  <si>
    <t xml:space="preserve">GTCGAGGGCTTCGCGTGCGA</t>
  </si>
  <si>
    <t xml:space="preserve">TAGTGTCGAGGGCTTCGCGTGCGA</t>
  </si>
  <si>
    <t xml:space="preserve">AAACTCGCACGCGAAGCCCTCGAC</t>
  </si>
  <si>
    <t xml:space="preserve">PSPPH_2656</t>
  </si>
  <si>
    <t xml:space="preserve">GCCCGCGGTAATTTTGATGG</t>
  </si>
  <si>
    <t xml:space="preserve">TAGTGCCCGCGGTAATTTTGATGG</t>
  </si>
  <si>
    <t xml:space="preserve">AAACCCATCAAAATTACCGCGGGC</t>
  </si>
  <si>
    <t xml:space="preserve">CGGCGCATCCGGATTGGCTT</t>
  </si>
  <si>
    <t xml:space="preserve">TAGTCGGCGCATCCGGATTGGCTT</t>
  </si>
  <si>
    <t xml:space="preserve">AAACAAGCCAATCCGGATGCGCCG</t>
  </si>
  <si>
    <t xml:space="preserve">AGAAACGCTTCCACCGTTTG</t>
  </si>
  <si>
    <t xml:space="preserve">TAGTAGAAACGCTTCCACCGTTTG</t>
  </si>
  <si>
    <t xml:space="preserve">AAACCAAACGGTGGAAGCGTTTCT</t>
  </si>
  <si>
    <t xml:space="preserve">TGGATGAATTTCTGCCGATA</t>
  </si>
  <si>
    <t xml:space="preserve">TAGTTGGATGAATTTCTGCCGATA</t>
  </si>
  <si>
    <t xml:space="preserve">AAACTATCGGCAGAAATTCATCCA</t>
  </si>
  <si>
    <t xml:space="preserve">PSPPH_2657</t>
  </si>
  <si>
    <t xml:space="preserve">CCAGGTCGGCTTCCGGGAGC</t>
  </si>
  <si>
    <t xml:space="preserve">TAGTCCAGGTCGGCTTCCGGGAGC</t>
  </si>
  <si>
    <t xml:space="preserve">AAACGCTCCCGGAAGCCGACCTGG</t>
  </si>
  <si>
    <t xml:space="preserve">CAATGCTTCAAAGATATTCA</t>
  </si>
  <si>
    <t xml:space="preserve">TAGTCAATGCTTCAAAGATATTCA</t>
  </si>
  <si>
    <t xml:space="preserve">AAACTGAATATCTTTGAAGCATTG</t>
  </si>
  <si>
    <t xml:space="preserve">CGTAACCGCGCTGACGATCA</t>
  </si>
  <si>
    <t xml:space="preserve">TAGTCGTAACCGCGCTGACGATCA</t>
  </si>
  <si>
    <t xml:space="preserve">AAACTGATCGTCAGCGCGGTTACG</t>
  </si>
  <si>
    <t xml:space="preserve">CGACACTGTCGCCGCTGGTC</t>
  </si>
  <si>
    <t xml:space="preserve">TAGTCGACACTGTCGCCGCTGGTC</t>
  </si>
  <si>
    <t xml:space="preserve">AAACGACCAGCGGCGACAGTGTCG</t>
  </si>
  <si>
    <t xml:space="preserve">PSPPH_2658</t>
  </si>
  <si>
    <t xml:space="preserve">GTTTGAAGGCGCTGCGCACC</t>
  </si>
  <si>
    <t xml:space="preserve">TAGTGTTTGAAGGCGCTGCGCACC</t>
  </si>
  <si>
    <t xml:space="preserve">AAACGGTGCGCAGCGCCTTCAAAC</t>
  </si>
  <si>
    <t xml:space="preserve">GCACTCGACAGGACCTTGAA</t>
  </si>
  <si>
    <t xml:space="preserve">TAGTGCACTCGACAGGACCTTGAA</t>
  </si>
  <si>
    <t xml:space="preserve">AAACTTCAAGGTCCTGTCGAGTGC</t>
  </si>
  <si>
    <t xml:space="preserve">GGCAACGGCGGCATCCTGCT</t>
  </si>
  <si>
    <t xml:space="preserve">TAGTGGCAACGGCGGCATCCTGCT</t>
  </si>
  <si>
    <t xml:space="preserve">AAACAGCAGGATGCCGCCGTTGCC</t>
  </si>
  <si>
    <t xml:space="preserve">CCAGGTCACCTGAATGCACT</t>
  </si>
  <si>
    <t xml:space="preserve">TAGTCCAGGTCACCTGAATGCACT</t>
  </si>
  <si>
    <t xml:space="preserve">AAACAGTGCATTCAGGTGACCTGG</t>
  </si>
  <si>
    <t xml:space="preserve">PSPPH_2660</t>
  </si>
  <si>
    <t xml:space="preserve">GCACAAGCTTTCACAAAAGA</t>
  </si>
  <si>
    <t xml:space="preserve">TAGTGCACAAGCTTTCACAAAAGA</t>
  </si>
  <si>
    <t xml:space="preserve">AAACTCTTTTGTGAAAGCTTGTGC</t>
  </si>
  <si>
    <t xml:space="preserve">CCAGCGTGAATGAGGCTGCA</t>
  </si>
  <si>
    <t xml:space="preserve">TAGTCCAGCGTGAATGAGGCTGCA</t>
  </si>
  <si>
    <t xml:space="preserve">AAACTGCAGCCTCATTCACGCTGG</t>
  </si>
  <si>
    <t xml:space="preserve">TTCGGCGGCCTGAGCCGCGT</t>
  </si>
  <si>
    <t xml:space="preserve">TAGTTTCGGCGGCCTGAGCCGCGT</t>
  </si>
  <si>
    <t xml:space="preserve">AAACACGCGGCTCAGGCCGCCGAA</t>
  </si>
  <si>
    <t xml:space="preserve">CTGAAAATGCCATGGGGCAT</t>
  </si>
  <si>
    <t xml:space="preserve">TAGTCTGAAAATGCCATGGGGCAT</t>
  </si>
  <si>
    <t xml:space="preserve">AAACATGCCCCATGGCATTTTCAG</t>
  </si>
  <si>
    <t xml:space="preserve">PSPPH_2661</t>
  </si>
  <si>
    <t xml:space="preserve">GCTGGGGAAGTCACGCCATA</t>
  </si>
  <si>
    <t xml:space="preserve">TAGTGCTGGGGAAGTCACGCCATA</t>
  </si>
  <si>
    <t xml:space="preserve">AAACTATGGCGTGACTTCCCCAGC</t>
  </si>
  <si>
    <t xml:space="preserve">TCAGGGCCAGTTCCAGCCCC</t>
  </si>
  <si>
    <t xml:space="preserve">TAGTTCAGGGCCAGTTCCAGCCCC</t>
  </si>
  <si>
    <t xml:space="preserve">AAACGGGGCTGGAACTGGCCCTGA</t>
  </si>
  <si>
    <t xml:space="preserve">AATGGGCGTGTTGCGCACCA</t>
  </si>
  <si>
    <t xml:space="preserve">TAGTAATGGGCGTGTTGCGCACCA</t>
  </si>
  <si>
    <t xml:space="preserve">AAACTGGTGCGCAACACGCCCATT</t>
  </si>
  <si>
    <t xml:space="preserve">GCAAGGCGAAGTAGATCAGC</t>
  </si>
  <si>
    <t xml:space="preserve">TAGTGCAAGGCGAAGTAGATCAGC</t>
  </si>
  <si>
    <t xml:space="preserve">AAACGCTGATCTACTTCGCCTTGC</t>
  </si>
  <si>
    <t xml:space="preserve">PSPPH_2662</t>
  </si>
  <si>
    <t xml:space="preserve">AATTCCTGCAACCAGCCAGG</t>
  </si>
  <si>
    <t xml:space="preserve">TAGTAATTCCTGCAACCAGCCAGG</t>
  </si>
  <si>
    <t xml:space="preserve">AAACCCTGGCTGGTTGCAGGAATT</t>
  </si>
  <si>
    <t xml:space="preserve">GGACCAGAGCACTTCTCGCG</t>
  </si>
  <si>
    <t xml:space="preserve">TAGTGGACCAGAGCACTTCTCGCG</t>
  </si>
  <si>
    <t xml:space="preserve">AAACCGCGAGAAGTGCTCTGGTCC</t>
  </si>
  <si>
    <t xml:space="preserve">CTGGATACTGGTCAAAAAGC</t>
  </si>
  <si>
    <t xml:space="preserve">TAGTCTGGATACTGGTCAAAAAGC</t>
  </si>
  <si>
    <t xml:space="preserve">AAACGCTTTTTGACCAGTATCCAG</t>
  </si>
  <si>
    <t xml:space="preserve">CCGTGCGAAGAATCCGCCGT</t>
  </si>
  <si>
    <t xml:space="preserve">TAGTCCGTGCGAAGAATCCGCCGT</t>
  </si>
  <si>
    <t xml:space="preserve">AAACACGGCGGATTCTTCGCACGG</t>
  </si>
  <si>
    <t xml:space="preserve">PSPPH_2663</t>
  </si>
  <si>
    <t xml:space="preserve">CAGCGCCGGGCCGGGGGTTG</t>
  </si>
  <si>
    <t xml:space="preserve">TAGTCAGCGCCGGGCCGGGGGTTG</t>
  </si>
  <si>
    <t xml:space="preserve">AAACCAACCCCCGGCCCGGCGCTG</t>
  </si>
  <si>
    <t xml:space="preserve">CTGCGCCATAGGACTTGTGC</t>
  </si>
  <si>
    <t xml:space="preserve">TAGTCTGCGCCATAGGACTTGTGC</t>
  </si>
  <si>
    <t xml:space="preserve">AAACGCACAAGTCCTATGGCGCAG</t>
  </si>
  <si>
    <t xml:space="preserve">CGACCCACTGGAACCGATCA</t>
  </si>
  <si>
    <t xml:space="preserve">TAGTCGACCCACTGGAACCGATCA</t>
  </si>
  <si>
    <t xml:space="preserve">AAACTGATCGGTTCCAGTGGGTCG</t>
  </si>
  <si>
    <t xml:space="preserve">ATTGACGCAGCGCAGCAAGG</t>
  </si>
  <si>
    <t xml:space="preserve">TAGTATTGACGCAGCGCAGCAAGG</t>
  </si>
  <si>
    <t xml:space="preserve">AAACCCTTGCTGCGCTGCGTCAAT</t>
  </si>
  <si>
    <t xml:space="preserve">PSPPH_2664</t>
  </si>
  <si>
    <t xml:space="preserve">CGGTGCTGCCTGCGCCATAA</t>
  </si>
  <si>
    <t xml:space="preserve">TAGTCGGTGCTGCCTGCGCCATAA</t>
  </si>
  <si>
    <t xml:space="preserve">AAACTTATGGCGCAGGCAGCACCG</t>
  </si>
  <si>
    <t xml:space="preserve">ACGTGGCTGGCCGCCCCCTG</t>
  </si>
  <si>
    <t xml:space="preserve">TAGTACGTGGCTGGCCGCCCCCTG</t>
  </si>
  <si>
    <t xml:space="preserve">AAACCAGGGGGCGGCCAGCCACGT</t>
  </si>
  <si>
    <t xml:space="preserve">GCCTCGACTGCTCGGGCGAA</t>
  </si>
  <si>
    <t xml:space="preserve">TAGTGCCTCGACTGCTCGGGCGAA</t>
  </si>
  <si>
    <t xml:space="preserve">AAACTTCGCCCGAGCAGTCGAGGC</t>
  </si>
  <si>
    <t xml:space="preserve">AGAAACGTGCAACCAGCCGT</t>
  </si>
  <si>
    <t xml:space="preserve">TAGTAGAAACGTGCAACCAGCCGT</t>
  </si>
  <si>
    <t xml:space="preserve">AAACACGGCTGGTTGCACGTTTCT</t>
  </si>
  <si>
    <t xml:space="preserve">PSPPH_2665</t>
  </si>
  <si>
    <t xml:space="preserve">CTTGATTGTGTCTTCAGTCA</t>
  </si>
  <si>
    <t xml:space="preserve">TAGTCTTGATTGTGTCTTCAGTCA</t>
  </si>
  <si>
    <t xml:space="preserve">AAACTGACTGAAGACACAATCAAG</t>
  </si>
  <si>
    <t xml:space="preserve">CCCGGTCCAGTCCACGTGCC</t>
  </si>
  <si>
    <t xml:space="preserve">TAGTCCCGGTCCAGTCCACGTGCC</t>
  </si>
  <si>
    <t xml:space="preserve">AAACGGCACGTGGACTGGACCGGG</t>
  </si>
  <si>
    <t xml:space="preserve">TGGGTCTGGCCTTTTCCTTG</t>
  </si>
  <si>
    <t xml:space="preserve">TAGTTGGGTCTGGCCTTTTCCTTG</t>
  </si>
  <si>
    <t xml:space="preserve">AAACCAAGGAAAAGGCCAGACCCA</t>
  </si>
  <si>
    <t xml:space="preserve">GGCAATTTCGTTGGGACGCA</t>
  </si>
  <si>
    <t xml:space="preserve">TAGTGGCAATTTCGTTGGGACGCA</t>
  </si>
  <si>
    <t xml:space="preserve">AAACTGCGTCCCAACGAAATTGCC</t>
  </si>
  <si>
    <t xml:space="preserve">PSPPH_2666</t>
  </si>
  <si>
    <t xml:space="preserve">AATACCCTTGTCCATTACGG</t>
  </si>
  <si>
    <t xml:space="preserve">TAGTAATACCCTTGTCCATTACGG</t>
  </si>
  <si>
    <t xml:space="preserve">AAACCCGTAATGGACAAGGGTATT</t>
  </si>
  <si>
    <t xml:space="preserve">TCAGTGACCAGGCTGTCACC</t>
  </si>
  <si>
    <t xml:space="preserve">TAGTTCAGTGACCAGGCTGTCACC</t>
  </si>
  <si>
    <t xml:space="preserve">AAACGGTGACAGCCTGGTCACTGA</t>
  </si>
  <si>
    <t xml:space="preserve">GATGGATGACCAGTGCAGGC</t>
  </si>
  <si>
    <t xml:space="preserve">TAGTGATGGATGACCAGTGCAGGC</t>
  </si>
  <si>
    <t xml:space="preserve">AAACGCCTGCACTGGTCATCCATC</t>
  </si>
  <si>
    <t xml:space="preserve">ACCATGCTGGTCTTGCCATG</t>
  </si>
  <si>
    <t xml:space="preserve">TAGTACCATGCTGGTCTTGCCATG</t>
  </si>
  <si>
    <t xml:space="preserve">AAACCATGGCAAGACCAGCATGGT</t>
  </si>
  <si>
    <t xml:space="preserve">PSPPH_2667</t>
  </si>
  <si>
    <t xml:space="preserve">kdgK</t>
  </si>
  <si>
    <t xml:space="preserve">TCGCCGATCAGGGCGACCCG</t>
  </si>
  <si>
    <t xml:space="preserve">TAGTTCGCCGATCAGGGCGACCCG</t>
  </si>
  <si>
    <t xml:space="preserve">AAACCGGGTCGCCCTGATCGGCGA</t>
  </si>
  <si>
    <t xml:space="preserve">GCTCTGACGCAGGCTGCCGT</t>
  </si>
  <si>
    <t xml:space="preserve">TAGTGCTCTGACGCAGGCTGCCGT</t>
  </si>
  <si>
    <t xml:space="preserve">AAACACGGCAGCCTGCGTCAGAGC</t>
  </si>
  <si>
    <t xml:space="preserve">GCTCACCCAACAATCGGGCA</t>
  </si>
  <si>
    <t xml:space="preserve">TAGTGCTCACCCAACAATCGGGCA</t>
  </si>
  <si>
    <t xml:space="preserve">AAACTGCCCGATTGTTGGGTGAGC</t>
  </si>
  <si>
    <t xml:space="preserve">CGCCGTGACGTAATCCACCT</t>
  </si>
  <si>
    <t xml:space="preserve">TAGTCGCCGTGACGTAATCCACCT</t>
  </si>
  <si>
    <t xml:space="preserve">AAACAGGTGGATTACGTCACGGCG</t>
  </si>
  <si>
    <t xml:space="preserve">PSPPH_2668</t>
  </si>
  <si>
    <t xml:space="preserve">AGCGCAGAAGGAAGGTCGTC</t>
  </si>
  <si>
    <t xml:space="preserve">TAGTAGCGCAGAAGGAAGGTCGTC</t>
  </si>
  <si>
    <t xml:space="preserve">AAACGACGACCTTCCTTCTGCGCT</t>
  </si>
  <si>
    <t xml:space="preserve">AGATCGACATCCAGGTCATG</t>
  </si>
  <si>
    <t xml:space="preserve">TAGTAGATCGACATCCAGGTCATG</t>
  </si>
  <si>
    <t xml:space="preserve">AAACCATGACCTGGATGTCGATCT</t>
  </si>
  <si>
    <t xml:space="preserve">CTGAAAAACGGCAGTTGCCG</t>
  </si>
  <si>
    <t xml:space="preserve">TAGTCTGAAAAACGGCAGTTGCCG</t>
  </si>
  <si>
    <t xml:space="preserve">AAACCGGCAACTGCCGTTTTTCAG</t>
  </si>
  <si>
    <t xml:space="preserve">CTGTAAGGCCGCGGCCCATC</t>
  </si>
  <si>
    <t xml:space="preserve">TAGTCTGTAAGGCCGCGGCCCATC</t>
  </si>
  <si>
    <t xml:space="preserve">AAACGATGGGCCGCGGCCTTACAG</t>
  </si>
  <si>
    <t xml:space="preserve">PSPPH_2669</t>
  </si>
  <si>
    <t xml:space="preserve">GCATCAGTTGGCACGCATTG</t>
  </si>
  <si>
    <t xml:space="preserve">TAGTGCATCAGTTGGCACGCATTG</t>
  </si>
  <si>
    <t xml:space="preserve">AAACCAATGCGTGCCAACTGATGC</t>
  </si>
  <si>
    <t xml:space="preserve">AGGCTTCAAAGCCTACCGGA</t>
  </si>
  <si>
    <t xml:space="preserve">TAGTAGGCTTCAAAGCCTACCGGA</t>
  </si>
  <si>
    <t xml:space="preserve">AAACTCCGGTAGGCTTTGAAGCCT</t>
  </si>
  <si>
    <t xml:space="preserve">GCTGCCGGGAGCATCCATCG</t>
  </si>
  <si>
    <t xml:space="preserve">TAGTGCTGCCGGGAGCATCCATCG</t>
  </si>
  <si>
    <t xml:space="preserve">AAACCGATGGATGCTCCCGGCAGC</t>
  </si>
  <si>
    <t xml:space="preserve">CGACTGTTTCACCGCTGGCG</t>
  </si>
  <si>
    <t xml:space="preserve">TAGTCGACTGTTTCACCGCTGGCG</t>
  </si>
  <si>
    <t xml:space="preserve">AAACCGCCAGCGGTGAAACAGTCG</t>
  </si>
  <si>
    <t xml:space="preserve">PSPPH_2670</t>
  </si>
  <si>
    <t xml:space="preserve">CATCATCGCAAGGTATCAAT</t>
  </si>
  <si>
    <t xml:space="preserve">TAGTCATCATCGCAAGGTATCAAT</t>
  </si>
  <si>
    <t xml:space="preserve">AAACATTGATACCTTGCGATGATG</t>
  </si>
  <si>
    <t xml:space="preserve">GCACAAAAAAATCAGTTATA</t>
  </si>
  <si>
    <t xml:space="preserve">TAGTGCACAAAAAAATCAGTTATA</t>
  </si>
  <si>
    <t xml:space="preserve">AAACTATAACTGATTTTTTTGTGC</t>
  </si>
  <si>
    <t xml:space="preserve">AGCATTTGCCAGCACCGTTC</t>
  </si>
  <si>
    <t xml:space="preserve">TAGTAGCATTTGCCAGCACCGTTC</t>
  </si>
  <si>
    <t xml:space="preserve">AAACGAACGGTGCTGGCAAATGCT</t>
  </si>
  <si>
    <t xml:space="preserve">TTTCCAGCAGGATCGCTGAG</t>
  </si>
  <si>
    <t xml:space="preserve">TAGTTTTCCAGCAGGATCGCTGAG</t>
  </si>
  <si>
    <t xml:space="preserve">AAACCTCAGCGATCCTGCTGGAAA</t>
  </si>
  <si>
    <t xml:space="preserve">PSPPH_2671</t>
  </si>
  <si>
    <t xml:space="preserve">CAGCAACATCAGTGCAGCAA</t>
  </si>
  <si>
    <t xml:space="preserve">TAGTCAGCAACATCAGTGCAGCAA</t>
  </si>
  <si>
    <t xml:space="preserve">AAACTTGCTGCACTGATGTTGCTG</t>
  </si>
  <si>
    <t xml:space="preserve">GACCGTCTCCGCCGCATGGC</t>
  </si>
  <si>
    <t xml:space="preserve">TAGTGACCGTCTCCGCCGCATGGC</t>
  </si>
  <si>
    <t xml:space="preserve">AAACGCCATGCGGCGGAGACGGTC</t>
  </si>
  <si>
    <t xml:space="preserve">AAAATTTTTCAAAGTGTCCG</t>
  </si>
  <si>
    <t xml:space="preserve">TAGTAAAATTTTTCAAAGTGTCCG</t>
  </si>
  <si>
    <t xml:space="preserve">AAACCGGACACTTTGAAAAATTTT</t>
  </si>
  <si>
    <t xml:space="preserve">GTAAGAGGTCTTGAAACCGG</t>
  </si>
  <si>
    <t xml:space="preserve">TAGTGTAAGAGGTCTTGAAACCGG</t>
  </si>
  <si>
    <t xml:space="preserve">AAACCCGGTTTCAAGACCTCTTAC</t>
  </si>
  <si>
    <t xml:space="preserve">PSPPH_2672</t>
  </si>
  <si>
    <t xml:space="preserve">nrtC</t>
  </si>
  <si>
    <t xml:space="preserve">CGTATGTTCATCAACGATTC</t>
  </si>
  <si>
    <t xml:space="preserve">TAGTCGTATGTTCATCAACGATTC</t>
  </si>
  <si>
    <t xml:space="preserve">AAACGAATCGTTGATGAACATACG</t>
  </si>
  <si>
    <t xml:space="preserve">TATTGCCAGCGAATGCTTTG</t>
  </si>
  <si>
    <t xml:space="preserve">TAGTTATTGCCAGCGAATGCTTTG</t>
  </si>
  <si>
    <t xml:space="preserve">AAACCAAAGCATTCGCTGGCAATA</t>
  </si>
  <si>
    <t xml:space="preserve">CAGATCGATATCCTGCAGTA</t>
  </si>
  <si>
    <t xml:space="preserve">TAGTCAGATCGATATCCTGCAGTA</t>
  </si>
  <si>
    <t xml:space="preserve">AAACTACTGCAGGATATCGATCTG</t>
  </si>
  <si>
    <t xml:space="preserve">CGCAACCGCTTGGCCCCAGC</t>
  </si>
  <si>
    <t xml:space="preserve">TAGTCGCAACCGCTTGGCCCCAGC</t>
  </si>
  <si>
    <t xml:space="preserve">AAACGCTGGGGCCAAGCGGTTGCG</t>
  </si>
  <si>
    <t xml:space="preserve">PSPPH_2673</t>
  </si>
  <si>
    <t xml:space="preserve">GCGCTGCGCCCTTTCAGGCA</t>
  </si>
  <si>
    <t xml:space="preserve">TAGTGCGCTGCGCCCTTTCAGGCA</t>
  </si>
  <si>
    <t xml:space="preserve">AAACTGCCTGAAAGGGCGCAGCGC</t>
  </si>
  <si>
    <t xml:space="preserve">GGGACTACCAGGCCTTTGAG</t>
  </si>
  <si>
    <t xml:space="preserve">TAGTGGGACTACCAGGCCTTTGAG</t>
  </si>
  <si>
    <t xml:space="preserve">AAACCTCAAAGGCCTGGTAGTCCC</t>
  </si>
  <si>
    <t xml:space="preserve">GCAAAACAATGATTACAGCG</t>
  </si>
  <si>
    <t xml:space="preserve">TAGTGCAAAACAATGATTACAGCG</t>
  </si>
  <si>
    <t xml:space="preserve">AAACCGCTGTAATCATTGTTTTGC</t>
  </si>
  <si>
    <t xml:space="preserve">GGTGCTGGCATCTGGTAGGA</t>
  </si>
  <si>
    <t xml:space="preserve">TAGTGGTGCTGGCATCTGGTAGGA</t>
  </si>
  <si>
    <t xml:space="preserve">AAACTCCTACCAGATGCCAGCACC</t>
  </si>
  <si>
    <t xml:space="preserve">PSPPH_2674</t>
  </si>
  <si>
    <t xml:space="preserve">GGAGACAAGGGCTGCAAGAC</t>
  </si>
  <si>
    <t xml:space="preserve">TAGTGGAGACAAGGGCTGCAAGAC</t>
  </si>
  <si>
    <t xml:space="preserve">AAACGTCTTGCAGCCCTTGTCTCC</t>
  </si>
  <si>
    <t xml:space="preserve">GCATAGTGAGCGTCCAGATC</t>
  </si>
  <si>
    <t xml:space="preserve">TAGTGCATAGTGAGCGTCCAGATC</t>
  </si>
  <si>
    <t xml:space="preserve">AAACGATCTGGACGCTCACTATGC</t>
  </si>
  <si>
    <t xml:space="preserve">CAAAAAGAAATAGGGGGTTG</t>
  </si>
  <si>
    <t xml:space="preserve">TAGTCAAAAAGAAATAGGGGGTTG</t>
  </si>
  <si>
    <t xml:space="preserve">AAACCAACCCCCTATTTCTTTTTG</t>
  </si>
  <si>
    <t xml:space="preserve">ATCCAGCGAATCAGGGCTCG</t>
  </si>
  <si>
    <t xml:space="preserve">TAGTATCCAGCGAATCAGGGCTCG</t>
  </si>
  <si>
    <t xml:space="preserve">AAACCGAGCCCTGATTCGCTGGAT</t>
  </si>
  <si>
    <t xml:space="preserve">PSPPH_2675</t>
  </si>
  <si>
    <t xml:space="preserve">CGGGTGATCGAAGGCATTTT</t>
  </si>
  <si>
    <t xml:space="preserve">TAGTCGGGTGATCGAAGGCATTTT</t>
  </si>
  <si>
    <t xml:space="preserve">AAACAAAATGCCTTCGATCACCCG</t>
  </si>
  <si>
    <t xml:space="preserve">ATGCGATGCGGCGCTGGAGT</t>
  </si>
  <si>
    <t xml:space="preserve">TAGTATGCGATGCGGCGCTGGAGT</t>
  </si>
  <si>
    <t xml:space="preserve">AAACACTCCAGCGCCGCATCGCAT</t>
  </si>
  <si>
    <t xml:space="preserve">CCGAAGCCACCAGTAATGAT</t>
  </si>
  <si>
    <t xml:space="preserve">TAGTCCGAAGCCACCAGTAATGAT</t>
  </si>
  <si>
    <t xml:space="preserve">AAACATCATTACTGGTGGCTTCGG</t>
  </si>
  <si>
    <t xml:space="preserve">GCCCATGGTGAACAGGGCCA</t>
  </si>
  <si>
    <t xml:space="preserve">TAGTGCCCATGGTGAACAGGGCCA</t>
  </si>
  <si>
    <t xml:space="preserve">AAACTGGCCCTGTTCACCATGGGC</t>
  </si>
  <si>
    <t xml:space="preserve">PSPPH_2676</t>
  </si>
  <si>
    <t xml:space="preserve">GCGGACCGTGGTGACCCAGT</t>
  </si>
  <si>
    <t xml:space="preserve">TAGTGCGGACCGTGGTGACCCAGT</t>
  </si>
  <si>
    <t xml:space="preserve">AAACACTGGGTCACCACGGTCCGC</t>
  </si>
  <si>
    <t xml:space="preserve">TCCCATGCAGCCCAGCCCGA</t>
  </si>
  <si>
    <t xml:space="preserve">TAGTTCCCATGCAGCCCAGCCCGA</t>
  </si>
  <si>
    <t xml:space="preserve">AAACTCGGGCTGGGCTGCATGGGA</t>
  </si>
  <si>
    <t xml:space="preserve">TTCCTTTTCGTCGATGCCGG</t>
  </si>
  <si>
    <t xml:space="preserve">TAGTTTCCTTTTCGTCGATGCCGG</t>
  </si>
  <si>
    <t xml:space="preserve">AAACCCGGCATCGACGAAAAGGAA</t>
  </si>
  <si>
    <t xml:space="preserve">TGCGCGGTGCAAGGTGGCGA</t>
  </si>
  <si>
    <t xml:space="preserve">TAGTTGCGCGGTGCAAGGTGGCGA</t>
  </si>
  <si>
    <t xml:space="preserve">AAACTCGCCACCTTGCACCGCGCA</t>
  </si>
  <si>
    <t xml:space="preserve">PSPPH_2677</t>
  </si>
  <si>
    <t xml:space="preserve">lexA1</t>
  </si>
  <si>
    <t xml:space="preserve">ACGGGGAGATAATGTGCTCA</t>
  </si>
  <si>
    <t xml:space="preserve">TAGTACGGGGAGATAATGTGCTCA</t>
  </si>
  <si>
    <t xml:space="preserve">AAACTGAGCACATTATCTCCCCGT</t>
  </si>
  <si>
    <t xml:space="preserve">TGCGATCGCGGATGAAGGTA</t>
  </si>
  <si>
    <t xml:space="preserve">TAGTTGCGATCGCGGATGAAGGTA</t>
  </si>
  <si>
    <t xml:space="preserve">AAACTACCTTCATCCGCGATCGCA</t>
  </si>
  <si>
    <t xml:space="preserve">TCGGAAATTTCCGCCAGGCT</t>
  </si>
  <si>
    <t xml:space="preserve">TAGTTCGGAAATTTCCGCCAGGCT</t>
  </si>
  <si>
    <t xml:space="preserve">AAACAGCCTGGCGGAAATTTCCGA</t>
  </si>
  <si>
    <t xml:space="preserve">GATCAGACCGGCTTCAGTGA</t>
  </si>
  <si>
    <t xml:space="preserve">TAGTGATCAGACCGGCTTCAGTGA</t>
  </si>
  <si>
    <t xml:space="preserve">AAACTCACTGAAGCCGGTCTGATC</t>
  </si>
  <si>
    <t xml:space="preserve">PSPPH_2678</t>
  </si>
  <si>
    <t xml:space="preserve">GCTCATCCAGCAAGGCTTCA</t>
  </si>
  <si>
    <t xml:space="preserve">TAGTGCTCATCCAGCAAGGCTTCA</t>
  </si>
  <si>
    <t xml:space="preserve">AAACTGAAGCCTTGCTGGATGAGC</t>
  </si>
  <si>
    <t xml:space="preserve">CCTGCGGCGCGCCCTGCTGA</t>
  </si>
  <si>
    <t xml:space="preserve">TAGTCCTGCGGCGCGCCCTGCTGA</t>
  </si>
  <si>
    <t xml:space="preserve">AAACTCAGCAGGGCGCGCCGCAGG</t>
  </si>
  <si>
    <t xml:space="preserve">GCGCATGGCCACTGGGGTGC</t>
  </si>
  <si>
    <t xml:space="preserve">TAGTGCGCATGGCCACTGGGGTGC</t>
  </si>
  <si>
    <t xml:space="preserve">AAACGCACCCCAGTGGCCATGCGC</t>
  </si>
  <si>
    <t xml:space="preserve">AGGCCAGCCGCCAGTGGGCA</t>
  </si>
  <si>
    <t xml:space="preserve">TAGTAGGCCAGCCGCCAGTGGGCA</t>
  </si>
  <si>
    <t xml:space="preserve">AAACTGCCCACTGGCGGCTGGCCT</t>
  </si>
  <si>
    <t xml:space="preserve">PSPPH_2679</t>
  </si>
  <si>
    <t xml:space="preserve">CAGTTGCGGCAGCAAGACAC</t>
  </si>
  <si>
    <t xml:space="preserve">TAGTCAGTTGCGGCAGCAAGACAC</t>
  </si>
  <si>
    <t xml:space="preserve">AAACGTGTCTTGCTGCCGCAACTG</t>
  </si>
  <si>
    <t xml:space="preserve">ATCAGCGCCAGAGGTTCATC</t>
  </si>
  <si>
    <t xml:space="preserve">TAGTATCAGCGCCAGAGGTTCATC</t>
  </si>
  <si>
    <t xml:space="preserve">AAACGATGAACCTCTGGCGCTGAT</t>
  </si>
  <si>
    <t xml:space="preserve">CGCACGCGCCGCCGGATTGA</t>
  </si>
  <si>
    <t xml:space="preserve">TAGTCGCACGCGCCGCCGGATTGA</t>
  </si>
  <si>
    <t xml:space="preserve">AAACTCAATCCGGCGGCGCGTGCG</t>
  </si>
  <si>
    <t xml:space="preserve">AGCGGCCGTCAGCGACTGCC</t>
  </si>
  <si>
    <t xml:space="preserve">TAGTAGCGGCCGTCAGCGACTGCC</t>
  </si>
  <si>
    <t xml:space="preserve">AAACGGCAGTCGCTGACGGCCGCT</t>
  </si>
  <si>
    <t xml:space="preserve">PSPPH_2680</t>
  </si>
  <si>
    <t xml:space="preserve">ATGCAGCTCGGCGTATTCGC</t>
  </si>
  <si>
    <t xml:space="preserve">TAGTATGCAGCTCGGCGTATTCGC</t>
  </si>
  <si>
    <t xml:space="preserve">AAACGCGAATACGCCGAGCTGCAT</t>
  </si>
  <si>
    <t xml:space="preserve">GCTGAAAACTGAAGTTGGAC</t>
  </si>
  <si>
    <t xml:space="preserve">TAGTGCTGAAAACTGAAGTTGGAC</t>
  </si>
  <si>
    <t xml:space="preserve">AAACGTCCAACTTCAGTTTTCAGC</t>
  </si>
  <si>
    <t xml:space="preserve">GAACAGCTCACGGGCGCTTG</t>
  </si>
  <si>
    <t xml:space="preserve">TAGTGAACAGCTCACGGGCGCTTG</t>
  </si>
  <si>
    <t xml:space="preserve">AAACCAAGCGCCCGTGAGCTGTTC</t>
  </si>
  <si>
    <t xml:space="preserve">CGCCTGATAGCCGTGGCGCG</t>
  </si>
  <si>
    <t xml:space="preserve">TAGTCGCCTGATAGCCGTGGCGCG</t>
  </si>
  <si>
    <t xml:space="preserve">AAACCGCGCCACGGCTATCAGGCG</t>
  </si>
  <si>
    <t xml:space="preserve">PSPPH_2681</t>
  </si>
  <si>
    <t xml:space="preserve">TGCTGACCTGGTAAGCGGCT</t>
  </si>
  <si>
    <t xml:space="preserve">TAGTTGCTGACCTGGTAAGCGGCT</t>
  </si>
  <si>
    <t xml:space="preserve">AAACAGCCGCTTACCAGGTCAGCA</t>
  </si>
  <si>
    <t xml:space="preserve">CGTGCGGATACGCTCGTAAA</t>
  </si>
  <si>
    <t xml:space="preserve">TAGTCGTGCGGATACGCTCGTAAA</t>
  </si>
  <si>
    <t xml:space="preserve">AAACTTTACGAGCGTATCCGCACG</t>
  </si>
  <si>
    <t xml:space="preserve">CACTTCGAATTGCTCGACGA</t>
  </si>
  <si>
    <t xml:space="preserve">TAGTCACTTCGAATTGCTCGACGA</t>
  </si>
  <si>
    <t xml:space="preserve">AAACTCGTCGAGCAATTCGAAGTG</t>
  </si>
  <si>
    <t xml:space="preserve">CAGGCCCGCCCGGTACGAAT</t>
  </si>
  <si>
    <t xml:space="preserve">TAGTCAGGCCCGCCCGGTACGAAT</t>
  </si>
  <si>
    <t xml:space="preserve">AAACATTCGTACCGGGCGGGCCTG</t>
  </si>
  <si>
    <t xml:space="preserve">PSPPH_2682</t>
  </si>
  <si>
    <t xml:space="preserve">ACTGGTTGTTGTCGAGCTTC</t>
  </si>
  <si>
    <t xml:space="preserve">TAGTACTGGTTGTTGTCGAGCTTC</t>
  </si>
  <si>
    <t xml:space="preserve">AAACGAAGCTCGACAACAACCAGT</t>
  </si>
  <si>
    <t xml:space="preserve">ACAGCACCTGAGCCTTTTGT</t>
  </si>
  <si>
    <t xml:space="preserve">TAGTACAGCACCTGAGCCTTTTGT</t>
  </si>
  <si>
    <t xml:space="preserve">AAACACAAAAGGCTCAGGTGCTGT</t>
  </si>
  <si>
    <t xml:space="preserve">AATCTGCGTTCCCCGGCATC</t>
  </si>
  <si>
    <t xml:space="preserve">TAGTAATCTGCGTTCCCCGGCATC</t>
  </si>
  <si>
    <t xml:space="preserve">AAACGATGCCGGGGAACGCAGATT</t>
  </si>
  <si>
    <t xml:space="preserve">AGGCAACAGCATGCTCATCA</t>
  </si>
  <si>
    <t xml:space="preserve">TAGTAGGCAACAGCATGCTCATCA</t>
  </si>
  <si>
    <t xml:space="preserve">AAACTGATGAGCATGCTGTTGCCT</t>
  </si>
  <si>
    <t xml:space="preserve">PSPPH_2683</t>
  </si>
  <si>
    <t xml:space="preserve">GCGCCGCAAAAAGCGTTGTG</t>
  </si>
  <si>
    <t xml:space="preserve">TAGTGCGCCGCAAAAAGCGTTGTG</t>
  </si>
  <si>
    <t xml:space="preserve">AAACCACAACGCTTTTTGCGGCGC</t>
  </si>
  <si>
    <t xml:space="preserve">CGCTGATCAGGTTTTCGCTG</t>
  </si>
  <si>
    <t xml:space="preserve">TAGTCGCTGATCAGGTTTTCGCTG</t>
  </si>
  <si>
    <t xml:space="preserve">AAACCAGCGAAAACCTGATCAGCG</t>
  </si>
  <si>
    <t xml:space="preserve">CGGCTTTTCCAGATAATCCT</t>
  </si>
  <si>
    <t xml:space="preserve">TAGTCGGCTTTTCCAGATAATCCT</t>
  </si>
  <si>
    <t xml:space="preserve">AAACAGGATTATCTGGAAAAGCCG</t>
  </si>
  <si>
    <t xml:space="preserve">TTGCCTGCCGTGGCTTTCAG</t>
  </si>
  <si>
    <t xml:space="preserve">TAGTTTGCCTGCCGTGGCTTTCAG</t>
  </si>
  <si>
    <t xml:space="preserve">AAACCTGAAAGCCACGGCAGGCAA</t>
  </si>
  <si>
    <t xml:space="preserve">PSPPH_2684</t>
  </si>
  <si>
    <t xml:space="preserve">AAGCAGCAAGTCGTCGACAT</t>
  </si>
  <si>
    <t xml:space="preserve">TAGTAAGCAGCAAGTCGTCGACAT</t>
  </si>
  <si>
    <t xml:space="preserve">AAACATGTCGACGACTTGCTGCTT</t>
  </si>
  <si>
    <t xml:space="preserve">GACGGTCGCCGTCAAAGCAC</t>
  </si>
  <si>
    <t xml:space="preserve">TAGTGACGGTCGCCGTCAAAGCAC</t>
  </si>
  <si>
    <t xml:space="preserve">AAACGTGCTTTGACGGCGACCGTC</t>
  </si>
  <si>
    <t xml:space="preserve">CATCCAGTGAAAGCTGCGCG</t>
  </si>
  <si>
    <t xml:space="preserve">TAGTCATCCAGTGAAAGCTGCGCG</t>
  </si>
  <si>
    <t xml:space="preserve">AAACCGCGCAGCTTTCACTGGATG</t>
  </si>
  <si>
    <t xml:space="preserve">CGATCAGGCTGGCATTGGCG</t>
  </si>
  <si>
    <t xml:space="preserve">TAGTCGATCAGGCTGGCATTGGCG</t>
  </si>
  <si>
    <t xml:space="preserve">AAACCGCCAATGCCAGCCTGATCG</t>
  </si>
  <si>
    <t xml:space="preserve">PSPPH_2685</t>
  </si>
  <si>
    <t xml:space="preserve">AAGCTCAGCAGAAAGCGCAC</t>
  </si>
  <si>
    <t xml:space="preserve">TAGTAAGCTCAGCAGAAAGCGCAC</t>
  </si>
  <si>
    <t xml:space="preserve">AAACGTGCGCTTTCTGCTGAGCTT</t>
  </si>
  <si>
    <t xml:space="preserve">TGTAAAAAGTCGACGCACTG</t>
  </si>
  <si>
    <t xml:space="preserve">TAGTTGTAAAAAGTCGACGCACTG</t>
  </si>
  <si>
    <t xml:space="preserve">AAACCAGTGCGTCGACTTTTTACA</t>
  </si>
  <si>
    <t xml:space="preserve">TGTCGAGTACGGTGATACTG</t>
  </si>
  <si>
    <t xml:space="preserve">TAGTTGTCGAGTACGGTGATACTG</t>
  </si>
  <si>
    <t xml:space="preserve">AAACCAGTATCACCGTACTCGACA</t>
  </si>
  <si>
    <t xml:space="preserve">GCTGCAACGGATTGTCGGCC</t>
  </si>
  <si>
    <t xml:space="preserve">TAGTGCTGCAACGGATTGTCGGCC</t>
  </si>
  <si>
    <t xml:space="preserve">AAACGGCCGACAATCCGTTGCAGC</t>
  </si>
  <si>
    <t xml:space="preserve">PSPPH_2686</t>
  </si>
  <si>
    <t xml:space="preserve">TTGCGCAGGATCAGGCGTGT</t>
  </si>
  <si>
    <t xml:space="preserve">TAGTTTGCGCAGGATCAGGCGTGT</t>
  </si>
  <si>
    <t xml:space="preserve">AAACACACGCCTGATCCTGCGCAA</t>
  </si>
  <si>
    <t xml:space="preserve">CTTTTTGCAGGTCCAGCAGG</t>
  </si>
  <si>
    <t xml:space="preserve">TAGTCTTTTTGCAGGTCCAGCAGG</t>
  </si>
  <si>
    <t xml:space="preserve">AAACCCTGCTGGACCTGCAAAAAG</t>
  </si>
  <si>
    <t xml:space="preserve">CACCCTCGATCACGACTTCC</t>
  </si>
  <si>
    <t xml:space="preserve">TAGTCACCCTCGATCACGACTTCC</t>
  </si>
  <si>
    <t xml:space="preserve">AAACGGAAGTCGTGATCGAGGGTG</t>
  </si>
  <si>
    <t xml:space="preserve">AACCGGGCCAGGCTCGCCTT</t>
  </si>
  <si>
    <t xml:space="preserve">TAGTAACCGGGCCAGGCTCGCCTT</t>
  </si>
  <si>
    <t xml:space="preserve">AAACAAGGCGAGCCTGGCCCGGTT</t>
  </si>
  <si>
    <t xml:space="preserve">PSPPH_2687</t>
  </si>
  <si>
    <t xml:space="preserve">proP</t>
  </si>
  <si>
    <t xml:space="preserve">GAGGATCGTAATGTGCTCAC</t>
  </si>
  <si>
    <t xml:space="preserve">TAGTGAGGATCGTAATGTGCTCAC</t>
  </si>
  <si>
    <t xml:space="preserve">AAACGTGAGCACATTACGATCCTC</t>
  </si>
  <si>
    <t xml:space="preserve">GCGGCGTGCCTTTTGTTCAT</t>
  </si>
  <si>
    <t xml:space="preserve">TAGTGCGGCGTGCCTTTTGTTCAT</t>
  </si>
  <si>
    <t xml:space="preserve">AAACATGAACAAAAGGCACGCCGC</t>
  </si>
  <si>
    <t xml:space="preserve">GCCATTGCCGATCACCGTAG</t>
  </si>
  <si>
    <t xml:space="preserve">TAGTGCCATTGCCGATCACCGTAG</t>
  </si>
  <si>
    <t xml:space="preserve">AAACCTACGGTGATCGGCAATGGC</t>
  </si>
  <si>
    <t xml:space="preserve">CCGTGAAGTCAAACCATTCC</t>
  </si>
  <si>
    <t xml:space="preserve">TAGTCCGTGAAGTCAAACCATTCC</t>
  </si>
  <si>
    <t xml:space="preserve">AAACGGAATGGTTTGACTTCACGG</t>
  </si>
  <si>
    <t xml:space="preserve">PSPPH_2688</t>
  </si>
  <si>
    <t xml:space="preserve">AGGTTCTGCAAGGGTGGAAG</t>
  </si>
  <si>
    <t xml:space="preserve">TAGTAGGTTCTGCAAGGGTGGAAG</t>
  </si>
  <si>
    <t xml:space="preserve">AAACCTTCCACCCTTGCAGAACCT</t>
  </si>
  <si>
    <t xml:space="preserve">CGGCGGCTTCGAAGGCGATC</t>
  </si>
  <si>
    <t xml:space="preserve">TAGTCGGCGGCTTCGAAGGCGATC</t>
  </si>
  <si>
    <t xml:space="preserve">AAACGATCGCCTTCGAAGCCGCCG</t>
  </si>
  <si>
    <t xml:space="preserve">GGTAAAACTAGCGTGCCGAA</t>
  </si>
  <si>
    <t xml:space="preserve">TAGTGGTAAAACTAGCGTGCCGAA</t>
  </si>
  <si>
    <t xml:space="preserve">AAACTTCGGCACGCTAGTTTTACC</t>
  </si>
  <si>
    <t xml:space="preserve">GTTCAGTTCGCTGGCGGCAC</t>
  </si>
  <si>
    <t xml:space="preserve">TAGTGTTCAGTTCGCTGGCGGCAC</t>
  </si>
  <si>
    <t xml:space="preserve">AAACGTGCCGCCAGCGAACTGAAC</t>
  </si>
  <si>
    <t xml:space="preserve">PSPPH_2689</t>
  </si>
  <si>
    <t xml:space="preserve">CATGGAGGGCGTCAGTCTCC</t>
  </si>
  <si>
    <t xml:space="preserve">TAGTCATGGAGGGCGTCAGTCTCC</t>
  </si>
  <si>
    <t xml:space="preserve">AAACGGAGACTGACGCCCTCCATG</t>
  </si>
  <si>
    <t xml:space="preserve">GGTAAAGCTGCCATGCCGCG</t>
  </si>
  <si>
    <t xml:space="preserve">TAGTGGTAAAGCTGCCATGCCGCG</t>
  </si>
  <si>
    <t xml:space="preserve">AAACCGCGGCATGGCAGCTTTACC</t>
  </si>
  <si>
    <t xml:space="preserve">GGCCAGTTCGTCTGCGGCTT</t>
  </si>
  <si>
    <t xml:space="preserve">TAGTGGCCAGTTCGTCTGCGGCTT</t>
  </si>
  <si>
    <t xml:space="preserve">AAACAAGCCGCAGACGAACTGGCC</t>
  </si>
  <si>
    <t xml:space="preserve">GCTGACGGCGCTCTGGGTCA</t>
  </si>
  <si>
    <t xml:space="preserve">TAGTGCTGACGGCGCTCTGGGTCA</t>
  </si>
  <si>
    <t xml:space="preserve">AAACTGACCCAGAGCGCCGTCAGC</t>
  </si>
  <si>
    <t xml:space="preserve">PSPPH_2690</t>
  </si>
  <si>
    <t xml:space="preserve">CGGTTTCAACAGCGCAATCA</t>
  </si>
  <si>
    <t xml:space="preserve">TAGTCGGTTTCAACAGCGCAATCA</t>
  </si>
  <si>
    <t xml:space="preserve">AAACTGATTGCGCTGTTGAAACCG</t>
  </si>
  <si>
    <t xml:space="preserve">TGACCGACCTGCTCGGAGGT</t>
  </si>
  <si>
    <t xml:space="preserve">TAGTTGACCGACCTGCTCGGAGGT</t>
  </si>
  <si>
    <t xml:space="preserve">AAACACCTCCGAGCAGGTCGGTCA</t>
  </si>
  <si>
    <t xml:space="preserve">CCACCAGGGCGTTGAGGAAA</t>
  </si>
  <si>
    <t xml:space="preserve">TAGTCCACCAGGGCGTTGAGGAAA</t>
  </si>
  <si>
    <t xml:space="preserve">AAACTTTCCTCAACGCCCTGGTGG</t>
  </si>
  <si>
    <t xml:space="preserve">AGTACGCGAGCCGAGGTCCC</t>
  </si>
  <si>
    <t xml:space="preserve">TAGTAGTACGCGAGCCGAGGTCCC</t>
  </si>
  <si>
    <t xml:space="preserve">AAACGGGACCTCGGCTCGCGTACT</t>
  </si>
  <si>
    <t xml:space="preserve">PSPPH_2691</t>
  </si>
  <si>
    <t xml:space="preserve">GTAAAGCTCAAGCAATTCAG</t>
  </si>
  <si>
    <t xml:space="preserve">TAGTGTAAAGCTCAAGCAATTCAG</t>
  </si>
  <si>
    <t xml:space="preserve">AAACCTGAATTGCTTGAGCTTTAC</t>
  </si>
  <si>
    <t xml:space="preserve">GAAACTCGCGTCGATTGATC</t>
  </si>
  <si>
    <t xml:space="preserve">TAGTGAAACTCGCGTCGATTGATC</t>
  </si>
  <si>
    <t xml:space="preserve">AAACGATCAATCGACGCGAGTTTC</t>
  </si>
  <si>
    <t xml:space="preserve">GCTGGCGGTCAGGCCGCCGA</t>
  </si>
  <si>
    <t xml:space="preserve">TAGTGCTGGCGGTCAGGCCGCCGA</t>
  </si>
  <si>
    <t xml:space="preserve">AAACTCGGCGGCCTGACCGCCAGC</t>
  </si>
  <si>
    <t xml:space="preserve">CGCGTAGTTGGGGCTGAGGG</t>
  </si>
  <si>
    <t xml:space="preserve">TAGTCGCGTAGTTGGGGCTGAGGG</t>
  </si>
  <si>
    <t xml:space="preserve">AAACCCCTCAGCCCCAACTACGCG</t>
  </si>
  <si>
    <t xml:space="preserve">PSPPH_2692</t>
  </si>
  <si>
    <t xml:space="preserve">GGTGCGGTCTTCCGTCGGGA</t>
  </si>
  <si>
    <t xml:space="preserve">TAGTGGTGCGGTCTTCCGTCGGGA</t>
  </si>
  <si>
    <t xml:space="preserve">AAACTCCCGACGGAAGACCGCACC</t>
  </si>
  <si>
    <t xml:space="preserve">AGCCGTGTCCTTGAACAGCT</t>
  </si>
  <si>
    <t xml:space="preserve">TAGTAGCCGTGTCCTTGAACAGCT</t>
  </si>
  <si>
    <t xml:space="preserve">AAACAGCTGTTCAAGGACACGGCT</t>
  </si>
  <si>
    <t xml:space="preserve">GAGTGATGTGTTTCCAGAAC</t>
  </si>
  <si>
    <t xml:space="preserve">TAGTGAGTGATGTGTTTCCAGAAC</t>
  </si>
  <si>
    <t xml:space="preserve">AAACGTTCTGGAAACACATCACTC</t>
  </si>
  <si>
    <t xml:space="preserve">CCCAGCGCGACATACACGAT</t>
  </si>
  <si>
    <t xml:space="preserve">TAGTCCCAGCGCGACATACACGAT</t>
  </si>
  <si>
    <t xml:space="preserve">AAACATCGTGTATGTCGCGCTGGG</t>
  </si>
  <si>
    <t xml:space="preserve">PSPPH_2693</t>
  </si>
  <si>
    <t xml:space="preserve">TGCCGACATGACCGCCGCGA</t>
  </si>
  <si>
    <t xml:space="preserve">TAGTTGCCGACATGACCGCCGCGA</t>
  </si>
  <si>
    <t xml:space="preserve">AAACTCGCGGCGGTCATGTCGGCA</t>
  </si>
  <si>
    <t xml:space="preserve">AGAACGGCCAAGCATTTTCC</t>
  </si>
  <si>
    <t xml:space="preserve">TAGTAGAACGGCCAAGCATTTTCC</t>
  </si>
  <si>
    <t xml:space="preserve">AAACGGAAAATGCTTGGCCGTTCT</t>
  </si>
  <si>
    <t xml:space="preserve">TGAATGGCCCGTGTAACCGA</t>
  </si>
  <si>
    <t xml:space="preserve">TAGTTGAATGGCCCGTGTAACCGA</t>
  </si>
  <si>
    <t xml:space="preserve">AAACTCGGTTACACGGGCCATTCA</t>
  </si>
  <si>
    <t xml:space="preserve">CGGCCCGCTGCGCTCGAACA</t>
  </si>
  <si>
    <t xml:space="preserve">TAGTCGGCCCGCTGCGCTCGAACA</t>
  </si>
  <si>
    <t xml:space="preserve">AAACTGTTCGAGCGCAGCGGGCCG</t>
  </si>
  <si>
    <t xml:space="preserve">PSPPH_2694</t>
  </si>
  <si>
    <t xml:space="preserve">ACCAACAGGTGAATTTACAT</t>
  </si>
  <si>
    <t xml:space="preserve">TAGTACCAACAGGTGAATTTACAT</t>
  </si>
  <si>
    <t xml:space="preserve">AAACATGTAAATTCACCTGTTGGT</t>
  </si>
  <si>
    <t xml:space="preserve">CTGCTGCAAACGAGCTTCCA</t>
  </si>
  <si>
    <t xml:space="preserve">TAGTCTGCTGCAAACGAGCTTCCA</t>
  </si>
  <si>
    <t xml:space="preserve">AAACTGGAAGCTCGTTTGCAGCAG</t>
  </si>
  <si>
    <t xml:space="preserve">CTTGGCAGGCAGGTCCAGCC</t>
  </si>
  <si>
    <t xml:space="preserve">TAGTCTTGGCAGGCAGGTCCAGCC</t>
  </si>
  <si>
    <t xml:space="preserve">AAACGGCTGGACCTGCCTGCCAAG</t>
  </si>
  <si>
    <t xml:space="preserve">CTCATCCTGGCTTTGACCCA</t>
  </si>
  <si>
    <t xml:space="preserve">TAGTCTCATCCTGGCTTTGACCCA</t>
  </si>
  <si>
    <t xml:space="preserve">AAACTGGGTCAAAGCCAGGATGAG</t>
  </si>
  <si>
    <t xml:space="preserve">PSPPH_2695</t>
  </si>
  <si>
    <t xml:space="preserve">CCAGCAACGACTGAGTGAGC</t>
  </si>
  <si>
    <t xml:space="preserve">TAGTCCAGCAACGACTGAGTGAGC</t>
  </si>
  <si>
    <t xml:space="preserve">AAACGCTCACTCAGTCGTTGCTGG</t>
  </si>
  <si>
    <t xml:space="preserve">GAGGCCGACGAACACCACCA</t>
  </si>
  <si>
    <t xml:space="preserve">TAGTGAGGCCGACGAACACCACCA</t>
  </si>
  <si>
    <t xml:space="preserve">AAACTGGTGGTGTTCGTCGGCCTC</t>
  </si>
  <si>
    <t xml:space="preserve">AATATCCATCGGATTACCGA</t>
  </si>
  <si>
    <t xml:space="preserve">TAGTAATATCCATCGGATTACCGA</t>
  </si>
  <si>
    <t xml:space="preserve">AAACTCGGTAATCCGATGGATATT</t>
  </si>
  <si>
    <t xml:space="preserve">GCAGACGTTCGGCCTGATTG</t>
  </si>
  <si>
    <t xml:space="preserve">TAGTGCAGACGTTCGGCCTGATTG</t>
  </si>
  <si>
    <t xml:space="preserve">AAACCAATCAGGCCGAACGTCTGC</t>
  </si>
  <si>
    <t xml:space="preserve">PSPPH_2696</t>
  </si>
  <si>
    <t xml:space="preserve">CAACAGCGTGCTGCCGATCG</t>
  </si>
  <si>
    <t xml:space="preserve">TAGTCAACAGCGTGCTGCCGATCG</t>
  </si>
  <si>
    <t xml:space="preserve">AAACCGATCGGCAGCACGCTGTTG</t>
  </si>
  <si>
    <t xml:space="preserve">TCGGTCAGCACCCGCCGCCA</t>
  </si>
  <si>
    <t xml:space="preserve">TAGTTCGGTCAGCACCCGCCGCCA</t>
  </si>
  <si>
    <t xml:space="preserve">AAACTGGCGGCGGGTGCTGACCGA</t>
  </si>
  <si>
    <t xml:space="preserve">ATCAGGCCTGTCACCGCAGT</t>
  </si>
  <si>
    <t xml:space="preserve">TAGTATCAGGCCTGTCACCGCAGT</t>
  </si>
  <si>
    <t xml:space="preserve">AAACACTGCGGTGACAGGCCTGAT</t>
  </si>
  <si>
    <t xml:space="preserve">CCACCAGCACAATGACCAAA</t>
  </si>
  <si>
    <t xml:space="preserve">TAGTCCACCAGCACAATGACCAAA</t>
  </si>
  <si>
    <t xml:space="preserve">AAACTTTGGTCATTGTGCTGGTGG</t>
  </si>
  <si>
    <t xml:space="preserve">PSPPH_2697</t>
  </si>
  <si>
    <t xml:space="preserve">AGGCCACGCACATCAAGGGT</t>
  </si>
  <si>
    <t xml:space="preserve">TAGTAGGCCACGCACATCAAGGGT</t>
  </si>
  <si>
    <t xml:space="preserve">AAACACCCTTGATGTGCGTGGCCT</t>
  </si>
  <si>
    <t xml:space="preserve">GGGTATGGAACGAAGTGCAC</t>
  </si>
  <si>
    <t xml:space="preserve">TAGTGGGTATGGAACGAAGTGCAC</t>
  </si>
  <si>
    <t xml:space="preserve">AAACGTGCACTTCGTTCCATACCC</t>
  </si>
  <si>
    <t xml:space="preserve">CGCTGGCAGCACGCCTGCGC</t>
  </si>
  <si>
    <t xml:space="preserve">TAGTCGCTGGCAGCACGCCTGCGC</t>
  </si>
  <si>
    <t xml:space="preserve">AAACGCGCAGGCGTGCTGCCAGCG</t>
  </si>
  <si>
    <t xml:space="preserve">ACGCCCCGGCTGCACGCTCA</t>
  </si>
  <si>
    <t xml:space="preserve">TAGTACGCCCCGGCTGCACGCTCA</t>
  </si>
  <si>
    <t xml:space="preserve">AAACTGAGCGTGCAGCCGGGGCGT</t>
  </si>
  <si>
    <t xml:space="preserve">PSPPH_2698</t>
  </si>
  <si>
    <t xml:space="preserve">ACCTGGTGCAGCTCGATAAG</t>
  </si>
  <si>
    <t xml:space="preserve">TAGTACCTGGTGCAGCTCGATAAG</t>
  </si>
  <si>
    <t xml:space="preserve">AAACCTTATCGAGCTGCACCAGGT</t>
  </si>
  <si>
    <t xml:space="preserve">CTCGGCCACCGGTTTGCCGA</t>
  </si>
  <si>
    <t xml:space="preserve">TAGTCTCGGCCACCGGTTTGCCGA</t>
  </si>
  <si>
    <t xml:space="preserve">AAACTCGGCAAACCGGTGGCCGAG</t>
  </si>
  <si>
    <t xml:space="preserve">TCACCGGTTTCGGACGGGTC</t>
  </si>
  <si>
    <t xml:space="preserve">TAGTTCACCGGTTTCGGACGGGTC</t>
  </si>
  <si>
    <t xml:space="preserve">AAACGACCCGTCCGAAACCGGTGA</t>
  </si>
  <si>
    <t xml:space="preserve">ATCGACTCGATCCACAGCAT</t>
  </si>
  <si>
    <t xml:space="preserve">TAGTATCGACTCGATCCACAGCAT</t>
  </si>
  <si>
    <t xml:space="preserve">AAACATGCTGTGGATCGAGTCGAT</t>
  </si>
  <si>
    <t xml:space="preserve">PSPPH_2699</t>
  </si>
  <si>
    <t xml:space="preserve">GAACGAACGAGTGGTTTCAT</t>
  </si>
  <si>
    <t xml:space="preserve">TAGTGAACGAACGAGTGGTTTCAT</t>
  </si>
  <si>
    <t xml:space="preserve">AAACATGAAACCACTCGTTCGTTC</t>
  </si>
  <si>
    <t xml:space="preserve">ACTGCCAGCGGCCAGAACGA</t>
  </si>
  <si>
    <t xml:space="preserve">TAGTACTGCCAGCGGCCAGAACGA</t>
  </si>
  <si>
    <t xml:space="preserve">AAACTCGTTCTGGCCGCTGGCAGT</t>
  </si>
  <si>
    <t xml:space="preserve">ATCGAGCGACGATACCGGGT</t>
  </si>
  <si>
    <t xml:space="preserve">TAGTATCGAGCGACGATACCGGGT</t>
  </si>
  <si>
    <t xml:space="preserve">AAACACCCGGTATCGTCGCTCGAT</t>
  </si>
  <si>
    <t xml:space="preserve">CCGGCATAGTTGTTGAGCTG</t>
  </si>
  <si>
    <t xml:space="preserve">TAGTCCGGCATAGTTGTTGAGCTG</t>
  </si>
  <si>
    <t xml:space="preserve">AAACCAGCTCAACAACTATGCCGG</t>
  </si>
  <si>
    <t xml:space="preserve">PSPPH_2700</t>
  </si>
  <si>
    <t xml:space="preserve">AGAAGCGGCGCGTGAATGAA</t>
  </si>
  <si>
    <t xml:space="preserve">TAGTAGAAGCGGCGCGTGAATGAA</t>
  </si>
  <si>
    <t xml:space="preserve">AAACTTCATTCACGCGCCGCTTCT</t>
  </si>
  <si>
    <t xml:space="preserve">TGACAGGTCCTGCAATGCTG</t>
  </si>
  <si>
    <t xml:space="preserve">TAGTTGACAGGTCCTGCAATGCTG</t>
  </si>
  <si>
    <t xml:space="preserve">AAACCAGCATTGCAGGACCTGTCA</t>
  </si>
  <si>
    <t xml:space="preserve">CGGAGGCGTCGAATGTTCAG</t>
  </si>
  <si>
    <t xml:space="preserve">TAGTCGGAGGCGTCGAATGTTCAG</t>
  </si>
  <si>
    <t xml:space="preserve">AAACCTGAACATTCGACGCCTCCG</t>
  </si>
  <si>
    <t xml:space="preserve">AACAGGCTATCCAGAGTGTC</t>
  </si>
  <si>
    <t xml:space="preserve">TAGTAACAGGCTATCCAGAGTGTC</t>
  </si>
  <si>
    <t xml:space="preserve">AAACGACACTCTGGATAGCCTGTT</t>
  </si>
  <si>
    <t xml:space="preserve">PSPPH_2701</t>
  </si>
  <si>
    <t xml:space="preserve">TTTCCAGCTCAGTACCTGAT</t>
  </si>
  <si>
    <t xml:space="preserve">TAGTTTTCCAGCTCAGTACCTGAT</t>
  </si>
  <si>
    <t xml:space="preserve">AAACATCAGGTACTGAGCTGGAAA</t>
  </si>
  <si>
    <t xml:space="preserve">CAGGTCCACGGTTGGCAGCC</t>
  </si>
  <si>
    <t xml:space="preserve">TAGTCAGGTCCACGGTTGGCAGCC</t>
  </si>
  <si>
    <t xml:space="preserve">AAACGGCTGCCAACCGTGGACCTG</t>
  </si>
  <si>
    <t xml:space="preserve">AAGCACCGCAACCTGCCCGG</t>
  </si>
  <si>
    <t xml:space="preserve">TAGTAAGCACCGCAACCTGCCCGG</t>
  </si>
  <si>
    <t xml:space="preserve">AAACCCGGGCAGGTTGCGGTGCTT</t>
  </si>
  <si>
    <t xml:space="preserve">CCGAGGTCTTGGCCTGCGGG</t>
  </si>
  <si>
    <t xml:space="preserve">TAGTCCGAGGTCTTGGCCTGCGGG</t>
  </si>
  <si>
    <t xml:space="preserve">AAACCCCGCAGGCCAAGACCTCGG</t>
  </si>
  <si>
    <t xml:space="preserve">PSPPH_2702</t>
  </si>
  <si>
    <t xml:space="preserve">CCTTGATAGAGCAGCCCTCT</t>
  </si>
  <si>
    <t xml:space="preserve">TAGTCCTTGATAGAGCAGCCCTCT</t>
  </si>
  <si>
    <t xml:space="preserve">AAACAGAGGGCTGCTCTATCAAGG</t>
  </si>
  <si>
    <t xml:space="preserve">CAGGGCGTTTATCGTGTCGA</t>
  </si>
  <si>
    <t xml:space="preserve">TAGTCAGGGCGTTTATCGTGTCGA</t>
  </si>
  <si>
    <t xml:space="preserve">AAACTCGACACGATAAACGCCCTG</t>
  </si>
  <si>
    <t xml:space="preserve">AACAGGATCAGATCAGGCGC</t>
  </si>
  <si>
    <t xml:space="preserve">TAGTAACAGGATCAGATCAGGCGC</t>
  </si>
  <si>
    <t xml:space="preserve">AAACGCGCCTGATCTGATCCTGTT</t>
  </si>
  <si>
    <t xml:space="preserve">CGGGCCATTGCGTACTCCTC</t>
  </si>
  <si>
    <t xml:space="preserve">TAGTCGGGCCATTGCGTACTCCTC</t>
  </si>
  <si>
    <t xml:space="preserve">AAACGAGGAGTACGCAATGGCCCG</t>
  </si>
  <si>
    <t xml:space="preserve">PSPPH_2703</t>
  </si>
  <si>
    <t xml:space="preserve">CAAATAGGCTTTTATGAGCA</t>
  </si>
  <si>
    <t xml:space="preserve">TAGTCAAATAGGCTTTTATGAGCA</t>
  </si>
  <si>
    <t xml:space="preserve">AAACTGCTCATAAAAGCCTATTTG</t>
  </si>
  <si>
    <t xml:space="preserve">CAGCGACAATTCCTGCAAGC</t>
  </si>
  <si>
    <t xml:space="preserve">TAGTCAGCGACAATTCCTGCAAGC</t>
  </si>
  <si>
    <t xml:space="preserve">AAACGCTTGCAGGAATTGTCGCTG</t>
  </si>
  <si>
    <t xml:space="preserve">GTTACTTTCTTTCAGTGCGA</t>
  </si>
  <si>
    <t xml:space="preserve">TAGTGTTACTTTCTTTCAGTGCGA</t>
  </si>
  <si>
    <t xml:space="preserve">AAACTCGCACTGAAAGAAAGTAAC</t>
  </si>
  <si>
    <t xml:space="preserve">GGCAATAACCGGGACCCAAC</t>
  </si>
  <si>
    <t xml:space="preserve">TAGTGGCAATAACCGGGACCCAAC</t>
  </si>
  <si>
    <t xml:space="preserve">AAACGTTGGGTCCCGGTTATTGCC</t>
  </si>
  <si>
    <t xml:space="preserve">PSPPH_2704</t>
  </si>
  <si>
    <t xml:space="preserve">GAAGGTGTCGTTGGTGTCGT</t>
  </si>
  <si>
    <t xml:space="preserve">TAGTGAAGGTGTCGTTGGTGTCGT</t>
  </si>
  <si>
    <t xml:space="preserve">AAACACGACACCAACGACACCTTC</t>
  </si>
  <si>
    <t xml:space="preserve">GGTGATCCAGCGCGGGTCAA</t>
  </si>
  <si>
    <t xml:space="preserve">TAGTGGTGATCCAGCGCGGGTCAA</t>
  </si>
  <si>
    <t xml:space="preserve">AAACTTGACCCGCGCTGGATCACC</t>
  </si>
  <si>
    <t xml:space="preserve">ACTGAATTGCTGCGCATTCC</t>
  </si>
  <si>
    <t xml:space="preserve">TAGTACTGAATTGCTGCGCATTCC</t>
  </si>
  <si>
    <t xml:space="preserve">AAACGGAATGCGCAGCAATTCAGT</t>
  </si>
  <si>
    <t xml:space="preserve">ATTGCATACAGCACGGTACC</t>
  </si>
  <si>
    <t xml:space="preserve">TAGTATTGCATACAGCACGGTACC</t>
  </si>
  <si>
    <t xml:space="preserve">AAACGGTACCGTGCTGTATGCAAT</t>
  </si>
  <si>
    <t xml:space="preserve">PSPPH_2705</t>
  </si>
  <si>
    <t xml:space="preserve">ACTTCATTGGGGCTGCTATT</t>
  </si>
  <si>
    <t xml:space="preserve">TAGTACTTCATTGGGGCTGCTATT</t>
  </si>
  <si>
    <t xml:space="preserve">AAACAATAGCAGCCCCAATGAAGT</t>
  </si>
  <si>
    <t xml:space="preserve">GTACACCTTCCACTCGATAA</t>
  </si>
  <si>
    <t xml:space="preserve">TAGTGTACACCTTCCACTCGATAA</t>
  </si>
  <si>
    <t xml:space="preserve">AAACTTATCGAGTGGAAGGTGTAC</t>
  </si>
  <si>
    <t xml:space="preserve">GCGCGAGGCCAGAAACTGCA</t>
  </si>
  <si>
    <t xml:space="preserve">TAGTGCGCGAGGCCAGAAACTGCA</t>
  </si>
  <si>
    <t xml:space="preserve">AAACTGCAGTTTCTGGCCTCGCGC</t>
  </si>
  <si>
    <t xml:space="preserve">CCAGTTCAGAAAAAGCAAGT</t>
  </si>
  <si>
    <t xml:space="preserve">TAGTCCAGTTCAGAAAAAGCAAGT</t>
  </si>
  <si>
    <t xml:space="preserve">AAACACTTGCTTTTTCTGAACTGG</t>
  </si>
  <si>
    <t xml:space="preserve">PSPPH_2706</t>
  </si>
  <si>
    <t xml:space="preserve">CCGGGGAAACCACTGGCGAC</t>
  </si>
  <si>
    <t xml:space="preserve">TAGTCCGGGGAAACCACTGGCGAC</t>
  </si>
  <si>
    <t xml:space="preserve">AAACGTCGCCAGTGGTTTCCCCGG</t>
  </si>
  <si>
    <t xml:space="preserve">TTTGCGCGTAAGGCCCTGCC</t>
  </si>
  <si>
    <t xml:space="preserve">TAGTTTTGCGCGTAAGGCCCTGCC</t>
  </si>
  <si>
    <t xml:space="preserve">AAACGGCAGGGCCTTACGCGCAAA</t>
  </si>
  <si>
    <t xml:space="preserve">AAGCTCGGTCATCAGCAACC</t>
  </si>
  <si>
    <t xml:space="preserve">TAGTAAGCTCGGTCATCAGCAACC</t>
  </si>
  <si>
    <t xml:space="preserve">AAACGGTTGCTGATGACCGAGCTT</t>
  </si>
  <si>
    <t xml:space="preserve">GCCTTCGAGGTCCTCCAGAT</t>
  </si>
  <si>
    <t xml:space="preserve">TAGTGCCTTCGAGGTCCTCCAGAT</t>
  </si>
  <si>
    <t xml:space="preserve">AAACATCTGGAGGACCTCGAAGGC</t>
  </si>
  <si>
    <t xml:space="preserve">PSPPH_2707</t>
  </si>
  <si>
    <t xml:space="preserve">CACCGGCACACTTGCAGGCG</t>
  </si>
  <si>
    <t xml:space="preserve">TAGTCACCGGCACACTTGCAGGCG</t>
  </si>
  <si>
    <t xml:space="preserve">AAACCGCCTGCAAGTGTGCCGGTG</t>
  </si>
  <si>
    <t xml:space="preserve">GCAGCATCAGGCCTTGCTCG</t>
  </si>
  <si>
    <t xml:space="preserve">TAGTGCAGCATCAGGCCTTGCTCG</t>
  </si>
  <si>
    <t xml:space="preserve">AAACCGAGCAAGGCCTGATGCTGC</t>
  </si>
  <si>
    <t xml:space="preserve">CTGGGCCGAGTGCTCGGCTG</t>
  </si>
  <si>
    <t xml:space="preserve">TAGTCTGGGCCGAGTGCTCGGCTG</t>
  </si>
  <si>
    <t xml:space="preserve">AAACCAGCCGAGCACTCGGCCCAG</t>
  </si>
  <si>
    <t xml:space="preserve">CCAGCGCCGGCCGGTGTCAT</t>
  </si>
  <si>
    <t xml:space="preserve">TAGTCCAGCGCCGGCCGGTGTCAT</t>
  </si>
  <si>
    <t xml:space="preserve">AAACATGACACCGGCCGGCGCTGG</t>
  </si>
  <si>
    <t xml:space="preserve">PSPPH_2708</t>
  </si>
  <si>
    <t xml:space="preserve">CTGGTTGATACATCAGGCAT</t>
  </si>
  <si>
    <t xml:space="preserve">TAGTCTGGTTGATACATCAGGCAT</t>
  </si>
  <si>
    <t xml:space="preserve">AAACATGCCTGATGTATCAACCAG</t>
  </si>
  <si>
    <t xml:space="preserve">AGGATCGGCCACACTTCGCC</t>
  </si>
  <si>
    <t xml:space="preserve">TAGTAGGATCGGCCACACTTCGCC</t>
  </si>
  <si>
    <t xml:space="preserve">AAACGGCGAAGTGTGGCCGATCCT</t>
  </si>
  <si>
    <t xml:space="preserve">GATAGCGGGCGAAGTCCGAG</t>
  </si>
  <si>
    <t xml:space="preserve">TAGTGATAGCGGGCGAAGTCCGAG</t>
  </si>
  <si>
    <t xml:space="preserve">AAACCTCGGACTTCGCCCGCTATC</t>
  </si>
  <si>
    <t xml:space="preserve">AGCACATCACTCATGAAGTC</t>
  </si>
  <si>
    <t xml:space="preserve">TAGTAGCACATCACTCATGAAGTC</t>
  </si>
  <si>
    <t xml:space="preserve">AAACGACTTCATGAGTGATGTGCT</t>
  </si>
  <si>
    <t xml:space="preserve">PSPPH_2709</t>
  </si>
  <si>
    <t xml:space="preserve">GCCCAGTGCGCCGCTGGCAC</t>
  </si>
  <si>
    <t xml:space="preserve">TAGTGCCCAGTGCGCCGCTGGCAC</t>
  </si>
  <si>
    <t xml:space="preserve">AAACGTGCCAGCGGCGCACTGGGC</t>
  </si>
  <si>
    <t xml:space="preserve">GAGCCAGTCGCGCACGAACC</t>
  </si>
  <si>
    <t xml:space="preserve">TAGTGAGCCAGTCGCGCACGAACC</t>
  </si>
  <si>
    <t xml:space="preserve">AAACGGTTCGTGCGCGACTGGCTC</t>
  </si>
  <si>
    <t xml:space="preserve">AAGGCTATGACATGCGACTC</t>
  </si>
  <si>
    <t xml:space="preserve">TAGTAAGGCTATGACATGCGACTC</t>
  </si>
  <si>
    <t xml:space="preserve">AAACGAGTCGCATGTCATAGCCTT</t>
  </si>
  <si>
    <t xml:space="preserve">GCAGCGACTGGCAGCTTGCC</t>
  </si>
  <si>
    <t xml:space="preserve">TAGTGCAGCGACTGGCAGCTTGCC</t>
  </si>
  <si>
    <t xml:space="preserve">AAACGGCAAGCTGCCAGTCGCTGC</t>
  </si>
  <si>
    <t xml:space="preserve">PSPPH_2710</t>
  </si>
  <si>
    <t xml:space="preserve">ACCTGGCGCGCTCCGAGCGT</t>
  </si>
  <si>
    <t xml:space="preserve">TAGTACCTGGCGCGCTCCGAGCGT</t>
  </si>
  <si>
    <t xml:space="preserve">AAACACGCTCGGAGCGCGCCAGGT</t>
  </si>
  <si>
    <t xml:space="preserve">TGAGATCCGAGGTCAGTGAC</t>
  </si>
  <si>
    <t xml:space="preserve">TAGTTGAGATCCGAGGTCAGTGAC</t>
  </si>
  <si>
    <t xml:space="preserve">AAACGTCACTGACCTCGGATCTCA</t>
  </si>
  <si>
    <t xml:space="preserve">GACTTCAGCCAGCGTGACTG</t>
  </si>
  <si>
    <t xml:space="preserve">TAGTGACTTCAGCCAGCGTGACTG</t>
  </si>
  <si>
    <t xml:space="preserve">AAACCAGTCACGCTGGCTGAAGTC</t>
  </si>
  <si>
    <t xml:space="preserve">TCGCGTCGCAATGACGACTA</t>
  </si>
  <si>
    <t xml:space="preserve">TAGTTCGCGTCGCAATGACGACTA</t>
  </si>
  <si>
    <t xml:space="preserve">AAACTAGTCGTCATTGCGACGCGA</t>
  </si>
  <si>
    <t xml:space="preserve">PSPPH_2711</t>
  </si>
  <si>
    <t xml:space="preserve">TCAGAACCGGTCAGCATCAT</t>
  </si>
  <si>
    <t xml:space="preserve">TAGTTCAGAACCGGTCAGCATCAT</t>
  </si>
  <si>
    <t xml:space="preserve">AAACATGATGCTGACCGGTTCTGA</t>
  </si>
  <si>
    <t xml:space="preserve">TCGACATGAATGGGGTCGAA</t>
  </si>
  <si>
    <t xml:space="preserve">TAGTTCGACATGAATGGGGTCGAA</t>
  </si>
  <si>
    <t xml:space="preserve">AAACTTCGACCCCATTCATGTCGA</t>
  </si>
  <si>
    <t xml:space="preserve">ATCCGCCAGGTGACAGCCGT</t>
  </si>
  <si>
    <t xml:space="preserve">TAGTATCCGCCAGGTGACAGCCGT</t>
  </si>
  <si>
    <t xml:space="preserve">AAACACGGCTGTCACCTGGCGGAT</t>
  </si>
  <si>
    <t xml:space="preserve">GAGGATCGATGCGGTCGCTG</t>
  </si>
  <si>
    <t xml:space="preserve">TAGTGAGGATCGATGCGGTCGCTG</t>
  </si>
  <si>
    <t xml:space="preserve">AAACCAGCGACCGCATCGATCCTC</t>
  </si>
  <si>
    <t xml:space="preserve">PSPPH_2712</t>
  </si>
  <si>
    <t xml:space="preserve">dcd1</t>
  </si>
  <si>
    <t xml:space="preserve">TTCAATACCGGTCAGTATCA</t>
  </si>
  <si>
    <t xml:space="preserve">TAGTTTCAATACCGGTCAGTATCA</t>
  </si>
  <si>
    <t xml:space="preserve">AAACTGATACTGACCGGTATTGAA</t>
  </si>
  <si>
    <t xml:space="preserve">TTGACGTTCTCATGGGAAAA</t>
  </si>
  <si>
    <t xml:space="preserve">TAGTTTGACGTTCTCATGGGAAAA</t>
  </si>
  <si>
    <t xml:space="preserve">AAACTTTTCCCATGAGAACGTCAA</t>
  </si>
  <si>
    <t xml:space="preserve">AGGCGGAAGTTGTAACTGTT</t>
  </si>
  <si>
    <t xml:space="preserve">TAGTAGGCGGAAGTTGTAACTGTT</t>
  </si>
  <si>
    <t xml:space="preserve">AAACAACAGTTACAACTTCCGCCT</t>
  </si>
  <si>
    <t xml:space="preserve">AGACCTTCATCTGGTCATGC</t>
  </si>
  <si>
    <t xml:space="preserve">TAGTAGACCTTCATCTGGTCATGC</t>
  </si>
  <si>
    <t xml:space="preserve">AAACGCATGACCAGATGAAGGTCT</t>
  </si>
  <si>
    <t xml:space="preserve">PSPPH_2713</t>
  </si>
  <si>
    <t xml:space="preserve">TGTATCGGCAAGCTGTTGCA</t>
  </si>
  <si>
    <t xml:space="preserve">TAGTTGTATCGGCAAGCTGTTGCA</t>
  </si>
  <si>
    <t xml:space="preserve">AAACTGCAACAGCTTGCCGATACA</t>
  </si>
  <si>
    <t xml:space="preserve">AGTGCGCTCAGGGGCGGCAC</t>
  </si>
  <si>
    <t xml:space="preserve">TAGTAGTGCGCTCAGGGGCGGCAC</t>
  </si>
  <si>
    <t xml:space="preserve">AAACGTGCCGCCCCTGAGCGCACT</t>
  </si>
  <si>
    <t xml:space="preserve">CGAAGTCGTGCCAGAGCACG</t>
  </si>
  <si>
    <t xml:space="preserve">TAGTCGAAGTCGTGCCAGAGCACG</t>
  </si>
  <si>
    <t xml:space="preserve">AAACCGTGCTCTGGCACGACTTCG</t>
  </si>
  <si>
    <t xml:space="preserve">TGTCTTCAATAGCCTGCTTG</t>
  </si>
  <si>
    <t xml:space="preserve">TAGTTGTCTTCAATAGCCTGCTTG</t>
  </si>
  <si>
    <t xml:space="preserve">AAACCAAGCAGGCTATTGAAGACA</t>
  </si>
  <si>
    <t xml:space="preserve">PSPPH_2714</t>
  </si>
  <si>
    <t xml:space="preserve">AGGCTGCCGTTGAGGGTGTG</t>
  </si>
  <si>
    <t xml:space="preserve">TAGTAGGCTGCCGTTGAGGGTGTG</t>
  </si>
  <si>
    <t xml:space="preserve">AAACCACACCCTCAACGGCAGCCT</t>
  </si>
  <si>
    <t xml:space="preserve">TGGCAACCAGCGCAGAATCA</t>
  </si>
  <si>
    <t xml:space="preserve">TAGTTGGCAACCAGCGCAGAATCA</t>
  </si>
  <si>
    <t xml:space="preserve">AAACTGATTCTGCGCTGGTTGCCA</t>
  </si>
  <si>
    <t xml:space="preserve">CGCAGCCTCTGTGTCGACAA</t>
  </si>
  <si>
    <t xml:space="preserve">TAGTCGCAGCCTCTGTGTCGACAA</t>
  </si>
  <si>
    <t xml:space="preserve">AAACTTGTCGACACAGAGGCTGCG</t>
  </si>
  <si>
    <t xml:space="preserve">CAGACCGTTGTCCGAGTGAC</t>
  </si>
  <si>
    <t xml:space="preserve">TAGTCAGACCGTTGTCCGAGTGAC</t>
  </si>
  <si>
    <t xml:space="preserve">AAACGTCACTCGGACAACGGTCTG</t>
  </si>
  <si>
    <t xml:space="preserve">PSPPH_2715</t>
  </si>
  <si>
    <t xml:space="preserve">AATAGCCGTTTGCGTGGTCG</t>
  </si>
  <si>
    <t xml:space="preserve">TAGTAATAGCCGTTTGCGTGGTCG</t>
  </si>
  <si>
    <t xml:space="preserve">AAACCGACCACGCAAACGGCTATT</t>
  </si>
  <si>
    <t xml:space="preserve">TACCGAAAGGCTCCTGATGG</t>
  </si>
  <si>
    <t xml:space="preserve">TAGTTACCGAAAGGCTCCTGATGG</t>
  </si>
  <si>
    <t xml:space="preserve">AAACCCATCAGGAGCCTTTCGGTA</t>
  </si>
  <si>
    <t xml:space="preserve">CAGCGATGGCATACAACGTG</t>
  </si>
  <si>
    <t xml:space="preserve">TAGTCAGCGATGGCATACAACGTG</t>
  </si>
  <si>
    <t xml:space="preserve">AAACCACGTTGTATGCCATCGCTG</t>
  </si>
  <si>
    <t xml:space="preserve">GCCTCGCAGGTCAGCGACCG</t>
  </si>
  <si>
    <t xml:space="preserve">TAGTGCCTCGCAGGTCAGCGACCG</t>
  </si>
  <si>
    <t xml:space="preserve">AAACCGGTCGCTGACCTGCGAGGC</t>
  </si>
  <si>
    <t xml:space="preserve">PSPPH_2716</t>
  </si>
  <si>
    <t xml:space="preserve">AGCGTCCATTGCAAAGATAG</t>
  </si>
  <si>
    <t xml:space="preserve">TAGTAGCGTCCATTGCAAAGATAG</t>
  </si>
  <si>
    <t xml:space="preserve">AAACCTATCTTTGCAATGGACGCT</t>
  </si>
  <si>
    <t xml:space="preserve">CTGCGCCAGTGCGGAGCCCG</t>
  </si>
  <si>
    <t xml:space="preserve">TAGTCTGCGCCAGTGCGGAGCCCG</t>
  </si>
  <si>
    <t xml:space="preserve">AAACCGGGCTCCGCACTGGCGCAG</t>
  </si>
  <si>
    <t xml:space="preserve">CTTCGGCAAAATAAGGTGCG</t>
  </si>
  <si>
    <t xml:space="preserve">TAGTCTTCGGCAAAATAAGGTGCG</t>
  </si>
  <si>
    <t xml:space="preserve">AAACCGCACCTTATTTTGCCGAAG</t>
  </si>
  <si>
    <t xml:space="preserve">CCCTCAAGTCGACGGTGGTC</t>
  </si>
  <si>
    <t xml:space="preserve">TAGTCCCTCAAGTCGACGGTGGTC</t>
  </si>
  <si>
    <t xml:space="preserve">AAACGACCACCGTCGACTTGAGGG</t>
  </si>
  <si>
    <t xml:space="preserve">PSPPH_2717</t>
  </si>
  <si>
    <t xml:space="preserve">AATTGGGTAGCGTGGTTCAT</t>
  </si>
  <si>
    <t xml:space="preserve">TAGTAATTGGGTAGCGTGGTTCAT</t>
  </si>
  <si>
    <t xml:space="preserve">AAACATGAACCACGCTACCCAATT</t>
  </si>
  <si>
    <t xml:space="preserve">GGAGCCGCTGGGGGCCACCA</t>
  </si>
  <si>
    <t xml:space="preserve">TAGTGGAGCCGCTGGGGGCCACCA</t>
  </si>
  <si>
    <t xml:space="preserve">AAACTGGTGGCCCCCAGCGGCTCC</t>
  </si>
  <si>
    <t xml:space="preserve">CTGAGCGGTCGTGCTCTTCC</t>
  </si>
  <si>
    <t xml:space="preserve">TAGTCTGAGCGGTCGTGCTCTTCC</t>
  </si>
  <si>
    <t xml:space="preserve">AAACGGAAGAGCACGACCGCTCAG</t>
  </si>
  <si>
    <t xml:space="preserve">GATGACCTCTACCGACAGCC</t>
  </si>
  <si>
    <t xml:space="preserve">TAGTGATGACCTCTACCGACAGCC</t>
  </si>
  <si>
    <t xml:space="preserve">AAACGGCTGTCGGTAGAGGTCATC</t>
  </si>
  <si>
    <t xml:space="preserve">PSPPH_2718</t>
  </si>
  <si>
    <t xml:space="preserve">TCGATCAACAGCCAGATCAA</t>
  </si>
  <si>
    <t xml:space="preserve">TAGTTCGATCAACAGCCAGATCAA</t>
  </si>
  <si>
    <t xml:space="preserve">AAACTTGATCTGGCTGTTGATCGA</t>
  </si>
  <si>
    <t xml:space="preserve">CAGGTTTTCTTGTCCGATAA</t>
  </si>
  <si>
    <t xml:space="preserve">TAGTCAGGTTTTCTTGTCCGATAA</t>
  </si>
  <si>
    <t xml:space="preserve">AAACTTATCGGACAAGAAAACCTG</t>
  </si>
  <si>
    <t xml:space="preserve">TAGCACGGCCAGCGCGCAGA</t>
  </si>
  <si>
    <t xml:space="preserve">TAGTTAGCACGGCCAGCGCGCAGA</t>
  </si>
  <si>
    <t xml:space="preserve">AAACTCTGCGCGCTGGCCGTGCTA</t>
  </si>
  <si>
    <t xml:space="preserve">TGGGCGACAACGGCAACAGT</t>
  </si>
  <si>
    <t xml:space="preserve">TAGTTGGGCGACAACGGCAACAGT</t>
  </si>
  <si>
    <t xml:space="preserve">AAACACTGTTGCCGTTGTCGCCCA</t>
  </si>
  <si>
    <t xml:space="preserve">PSPPH_2719</t>
  </si>
  <si>
    <t xml:space="preserve">CAGCAGGCTGTCAAAATTCA</t>
  </si>
  <si>
    <t xml:space="preserve">TAGTCAGCAGGCTGTCAAAATTCA</t>
  </si>
  <si>
    <t xml:space="preserve">AAACTGAATTTTGACAGCCTGCTG</t>
  </si>
  <si>
    <t xml:space="preserve">CGGGTAAAGGCTGTCCCTTG</t>
  </si>
  <si>
    <t xml:space="preserve">TAGTCGGGTAAAGGCTGTCCCTTG</t>
  </si>
  <si>
    <t xml:space="preserve">AAACCAAGGGACAGCCTTTACCCG</t>
  </si>
  <si>
    <t xml:space="preserve">ACTCAGTGCCTCGGCTGCAC</t>
  </si>
  <si>
    <t xml:space="preserve">TAGTACTCAGTGCCTCGGCTGCAC</t>
  </si>
  <si>
    <t xml:space="preserve">AAACGTGCAGCCGAGGCACTGAGT</t>
  </si>
  <si>
    <t xml:space="preserve">CAGGCGCAGCCCCTGAGCCC</t>
  </si>
  <si>
    <t xml:space="preserve">TAGTCAGGCGCAGCCCCTGAGCCC</t>
  </si>
  <si>
    <t xml:space="preserve">AAACGGGCTCAGGGGCTGCGCCTG</t>
  </si>
  <si>
    <t xml:space="preserve">PSPPH_2720</t>
  </si>
  <si>
    <t xml:space="preserve">CGGGCGTTCTTTCGACTTTT</t>
  </si>
  <si>
    <t xml:space="preserve">TAGTCGGGCGTTCTTTCGACTTTT</t>
  </si>
  <si>
    <t xml:space="preserve">AAACAAAAGTCGAAAGAACGCCCG</t>
  </si>
  <si>
    <t xml:space="preserve">ATCCGCTCCGATATATTTTC</t>
  </si>
  <si>
    <t xml:space="preserve">TAGTATCCGCTCCGATATATTTTC</t>
  </si>
  <si>
    <t xml:space="preserve">AAACGAAAATATATCGGAGCGGAT</t>
  </si>
  <si>
    <t xml:space="preserve">GCCGGGTAATAGACGAAATT</t>
  </si>
  <si>
    <t xml:space="preserve">TAGTGCCGGGTAATAGACGAAATT</t>
  </si>
  <si>
    <t xml:space="preserve">AAACAATTTCGTCTATTACCCGGC</t>
  </si>
  <si>
    <t xml:space="preserve">ACGACTGGCCTGAACGCGTT</t>
  </si>
  <si>
    <t xml:space="preserve">TAGTACGACTGGCCTGAACGCGTT</t>
  </si>
  <si>
    <t xml:space="preserve">AAACAACGCGTTCAGGCCAGTCGT</t>
  </si>
  <si>
    <t xml:space="preserve">PSPPH_2721</t>
  </si>
  <si>
    <t xml:space="preserve">TTGGCGAACTCCCAGCGAGT</t>
  </si>
  <si>
    <t xml:space="preserve">TAGTTTGGCGAACTCCCAGCGAGT</t>
  </si>
  <si>
    <t xml:space="preserve">AAACACTCGCTGGGAGTTCGCCAA</t>
  </si>
  <si>
    <t xml:space="preserve">CCCGTTGAACGTGACCTGAC</t>
  </si>
  <si>
    <t xml:space="preserve">TAGTCCCGTTGAACGTGACCTGAC</t>
  </si>
  <si>
    <t xml:space="preserve">AAACGTCAGGTCACGTTCAACGGG</t>
  </si>
  <si>
    <t xml:space="preserve">TCGAGTGCAGCATCCAGCAG</t>
  </si>
  <si>
    <t xml:space="preserve">TAGTTCGAGTGCAGCATCCAGCAG</t>
  </si>
  <si>
    <t xml:space="preserve">AAACCTGCTGGATGCTGCACTCGA</t>
  </si>
  <si>
    <t xml:space="preserve">GGTCATGCGGGATGTAACTC</t>
  </si>
  <si>
    <t xml:space="preserve">TAGTGGTCATGCGGGATGTAACTC</t>
  </si>
  <si>
    <t xml:space="preserve">AAACGAGTTACATCCCGCATGACC</t>
  </si>
  <si>
    <t xml:space="preserve">PSPPH_2722</t>
  </si>
  <si>
    <t xml:space="preserve">TGACTACGGTGACTTTTCTC</t>
  </si>
  <si>
    <t xml:space="preserve">TAGTTGACTACGGTGACTTTTCTC</t>
  </si>
  <si>
    <t xml:space="preserve">AAACGAGAAAAGTCACCGTAGTCA</t>
  </si>
  <si>
    <t xml:space="preserve">CCGTGCTATGGCTTGCCCTA</t>
  </si>
  <si>
    <t xml:space="preserve">TAGTCCGTGCTATGGCTTGCCCTA</t>
  </si>
  <si>
    <t xml:space="preserve">AAACTAGGGCAAGCCATAGCACGG</t>
  </si>
  <si>
    <t xml:space="preserve">GGCGTTGTCCTGACGCAAAT</t>
  </si>
  <si>
    <t xml:space="preserve">TAGTGGCGTTGTCCTGACGCAAAT</t>
  </si>
  <si>
    <t xml:space="preserve">AAACATTTGCGTCAGGACAACGCC</t>
  </si>
  <si>
    <t xml:space="preserve">CGATTTCGATTTCATCGCCT</t>
  </si>
  <si>
    <t xml:space="preserve">TAGTCGATTTCGATTTCATCGCCT</t>
  </si>
  <si>
    <t xml:space="preserve">AAACAGGCGATGAAATCGAAATCG</t>
  </si>
  <si>
    <t xml:space="preserve">PSPPH_2723</t>
  </si>
  <si>
    <t xml:space="preserve">GGTAGAGAATTGCTCGCTCA</t>
  </si>
  <si>
    <t xml:space="preserve">TAGTGGTAGAGAATTGCTCGCTCA</t>
  </si>
  <si>
    <t xml:space="preserve">AAACTGAGCGAGCAATTCTCTACC</t>
  </si>
  <si>
    <t xml:space="preserve">AACGATGGCAGTGCCATGTT</t>
  </si>
  <si>
    <t xml:space="preserve">TAGTAACGATGGCAGTGCCATGTT</t>
  </si>
  <si>
    <t xml:space="preserve">AAACAACATGGCACTGCCATCGTT</t>
  </si>
  <si>
    <t xml:space="preserve">GACGATCACGCTCACCAGGT</t>
  </si>
  <si>
    <t xml:space="preserve">TAGTGACGATCACGCTCACCAGGT</t>
  </si>
  <si>
    <t xml:space="preserve">AAACACCTGGTGAGCGTGATCGTC</t>
  </si>
  <si>
    <t xml:space="preserve">TTCGCTGAGGTATTCGCGGT</t>
  </si>
  <si>
    <t xml:space="preserve">TAGTTTCGCTGAGGTATTCGCGGT</t>
  </si>
  <si>
    <t xml:space="preserve">AAACACCGCGAATACCTCAGCGAA</t>
  </si>
  <si>
    <t xml:space="preserve">PSPPH_2724</t>
  </si>
  <si>
    <t xml:space="preserve">GGTCCGGATCGTTTATCACT</t>
  </si>
  <si>
    <t xml:space="preserve">TAGTGGTCCGGATCGTTTATCACT</t>
  </si>
  <si>
    <t xml:space="preserve">AAACAGTGATAAACGATCCGGACC</t>
  </si>
  <si>
    <t xml:space="preserve">GCAGCATGTCCTCGACCACC</t>
  </si>
  <si>
    <t xml:space="preserve">TAGTGCAGCATGTCCTCGACCACC</t>
  </si>
  <si>
    <t xml:space="preserve">AAACGGTGGTCGAGGACATGCTGC</t>
  </si>
  <si>
    <t xml:space="preserve">TGTCACTCTGCGTCAGTTCG</t>
  </si>
  <si>
    <t xml:space="preserve">TAGTTGTCACTCTGCGTCAGTTCG</t>
  </si>
  <si>
    <t xml:space="preserve">AAACCGAACTGACGCAGAGTGACA</t>
  </si>
  <si>
    <t xml:space="preserve">CGGGTTTTGCTGATGACCCG</t>
  </si>
  <si>
    <t xml:space="preserve">TAGTCGGGTTTTGCTGATGACCCG</t>
  </si>
  <si>
    <t xml:space="preserve">AAACCGGGTCATCAGCAAAACCCG</t>
  </si>
  <si>
    <t xml:space="preserve">PSPPH_2725</t>
  </si>
  <si>
    <t xml:space="preserve">ATAGCAAACCACTGCCTGCA</t>
  </si>
  <si>
    <t xml:space="preserve">TAGTATAGCAAACCACTGCCTGCA</t>
  </si>
  <si>
    <t xml:space="preserve">AAACTGCAGGCAGTGGTTTGCTAT</t>
  </si>
  <si>
    <t xml:space="preserve">TCTCCAGCCGGTAGTCTTCC</t>
  </si>
  <si>
    <t xml:space="preserve">TAGTTCTCCAGCCGGTAGTCTTCC</t>
  </si>
  <si>
    <t xml:space="preserve">AAACGGAAGACTACCGGCTGGAGA</t>
  </si>
  <si>
    <t xml:space="preserve">GCCTGGCGTCGGCACATCGA</t>
  </si>
  <si>
    <t xml:space="preserve">TAGTGCCTGGCGTCGGCACATCGA</t>
  </si>
  <si>
    <t xml:space="preserve">AAACTCGATGTGCCGACGCCAGGC</t>
  </si>
  <si>
    <t xml:space="preserve">ACCTTGGTGAGGATTTCGTC</t>
  </si>
  <si>
    <t xml:space="preserve">TAGTACCTTGGTGAGGATTTCGTC</t>
  </si>
  <si>
    <t xml:space="preserve">AAACGACGAAATCCTCACCAAGGT</t>
  </si>
  <si>
    <t xml:space="preserve">PSPPH_2726</t>
  </si>
  <si>
    <t xml:space="preserve">GCAACGGCCATTGAGATCGA</t>
  </si>
  <si>
    <t xml:space="preserve">TAGTGCAACGGCCATTGAGATCGA</t>
  </si>
  <si>
    <t xml:space="preserve">AAACTCGATCTCAATGGCCGTTGC</t>
  </si>
  <si>
    <t xml:space="preserve">ACCAATCCCTGCGGCCCCGC</t>
  </si>
  <si>
    <t xml:space="preserve">TAGTACCAATCCCTGCGGCCCCGC</t>
  </si>
  <si>
    <t xml:space="preserve">AAACGCGGGGCCGCAGGGATTGGT</t>
  </si>
  <si>
    <t xml:space="preserve">CTCGGCCAGCAGGCGGGCAC</t>
  </si>
  <si>
    <t xml:space="preserve">TAGTCTCGGCCAGCAGGCGGGCAC</t>
  </si>
  <si>
    <t xml:space="preserve">AAACGTGCCCGCCTGCTGGCCGAG</t>
  </si>
  <si>
    <t xml:space="preserve">CGTCGACCACTGTAAGGTCG</t>
  </si>
  <si>
    <t xml:space="preserve">TAGTCGTCGACCACTGTAAGGTCG</t>
  </si>
  <si>
    <t xml:space="preserve">AAACCGACCTTACAGTGGTCGACG</t>
  </si>
  <si>
    <t xml:space="preserve">PSPPH_2727</t>
  </si>
  <si>
    <t xml:space="preserve">GAGCGCCGCAATAGCGGCCA</t>
  </si>
  <si>
    <t xml:space="preserve">TAGTGAGCGCCGCAATAGCGGCCA</t>
  </si>
  <si>
    <t xml:space="preserve">AAACTGGCCGCTATTGCGGCGCTC</t>
  </si>
  <si>
    <t xml:space="preserve">GGTGATGCTGCTGGCGAGCA</t>
  </si>
  <si>
    <t xml:space="preserve">TAGTGGTGATGCTGCTGGCGAGCA</t>
  </si>
  <si>
    <t xml:space="preserve">AAACTGCTCGCCAGCAGCATCACC</t>
  </si>
  <si>
    <t xml:space="preserve">GGTTTTGCCATCGGCGGCCA</t>
  </si>
  <si>
    <t xml:space="preserve">TAGTGGTTTTGCCATCGGCGGCCA</t>
  </si>
  <si>
    <t xml:space="preserve">AAACTGGCCGCCGATGGCAAAACC</t>
  </si>
  <si>
    <t xml:space="preserve">CACCGCCGCGCCGATTTTGT</t>
  </si>
  <si>
    <t xml:space="preserve">TAGTCACCGCCGCGCCGATTTTGT</t>
  </si>
  <si>
    <t xml:space="preserve">AAACACAAAATCGGCGCGGCGGTG</t>
  </si>
  <si>
    <t xml:space="preserve">PSPPH_2728</t>
  </si>
  <si>
    <t xml:space="preserve">CGCTCGCCAATCGCCGAGGT</t>
  </si>
  <si>
    <t xml:space="preserve">TAGTCGCTCGCCAATCGCCGAGGT</t>
  </si>
  <si>
    <t xml:space="preserve">AAACACCTCGGCGATTGGCGAGCG</t>
  </si>
  <si>
    <t xml:space="preserve">TCGGCGGATGGCCTTGAACA</t>
  </si>
  <si>
    <t xml:space="preserve">TAGTTCGGCGGATGGCCTTGAACA</t>
  </si>
  <si>
    <t xml:space="preserve">AAACTGTTCAAGGCCATCCGCCGA</t>
  </si>
  <si>
    <t xml:space="preserve">TCTGCGCCAGCTCGCTGAGG</t>
  </si>
  <si>
    <t xml:space="preserve">TAGTTCTGCGCCAGCTCGCTGAGG</t>
  </si>
  <si>
    <t xml:space="preserve">AAACCCTCAGCGAGCTGGCGCAGA</t>
  </si>
  <si>
    <t xml:space="preserve">GCGAAAGATGCTGTAGTCGT</t>
  </si>
  <si>
    <t xml:space="preserve">TAGTGCGAAAGATGCTGTAGTCGT</t>
  </si>
  <si>
    <t xml:space="preserve">AAACACGACTACAGCATCTTTCGC</t>
  </si>
  <si>
    <t xml:space="preserve">PSPPH_2731</t>
  </si>
  <si>
    <t xml:space="preserve">ATGTGGGGTAGTAGTGTGTG</t>
  </si>
  <si>
    <t xml:space="preserve">TAGTATGTGGGGTAGTAGTGTGTG</t>
  </si>
  <si>
    <t xml:space="preserve">AAACCACACACTACTACCCCACAT</t>
  </si>
  <si>
    <t xml:space="preserve">AAAATGGCCGCTGCCGATGC</t>
  </si>
  <si>
    <t xml:space="preserve">TAGTAAAATGGCCGCTGCCGATGC</t>
  </si>
  <si>
    <t xml:space="preserve">AAACGCATCGGCAGCGGCCATTTT</t>
  </si>
  <si>
    <t xml:space="preserve">GATAAGCTTGTGGAACATGC</t>
  </si>
  <si>
    <t xml:space="preserve">TAGTGATAAGCTTGTGGAACATGC</t>
  </si>
  <si>
    <t xml:space="preserve">AAACGCATGTTCCACAAGCTTATC</t>
  </si>
  <si>
    <t xml:space="preserve">GGAGAGGTGGGTGGCATCCA</t>
  </si>
  <si>
    <t xml:space="preserve">TAGTGGAGAGGTGGGTGGCATCCA</t>
  </si>
  <si>
    <t xml:space="preserve">AAACTGGATGCCACCCACCTCTCC</t>
  </si>
  <si>
    <t xml:space="preserve">PSPPH_2732</t>
  </si>
  <si>
    <t xml:space="preserve">calB</t>
  </si>
  <si>
    <t xml:space="preserve">GTAGTGGGCGTGATCCTTGC</t>
  </si>
  <si>
    <t xml:space="preserve">TAGTGTAGTGGGCGTGATCCTTGC</t>
  </si>
  <si>
    <t xml:space="preserve">AAACGCAAGGATCACGCCCACTAC</t>
  </si>
  <si>
    <t xml:space="preserve">GTTAGCCCCGGAGCGGGAGA</t>
  </si>
  <si>
    <t xml:space="preserve">TAGTGTTAGCCCCGGAGCGGGAGA</t>
  </si>
  <si>
    <t xml:space="preserve">AAACTCTCCCGCTCCGGGGCTAAC</t>
  </si>
  <si>
    <t xml:space="preserve">TTTCTGCGCCTCAAACAGCT</t>
  </si>
  <si>
    <t xml:space="preserve">TAGTTTTCTGCGCCTCAAACAGCT</t>
  </si>
  <si>
    <t xml:space="preserve">AAACAGCTGTTTGAGGCGCAGAAA</t>
  </si>
  <si>
    <t xml:space="preserve">GCGATTCTTTGAGCGTAAGA</t>
  </si>
  <si>
    <t xml:space="preserve">TAGTGCGATTCTTTGAGCGTAAGA</t>
  </si>
  <si>
    <t xml:space="preserve">AAACTCTTACGCTCAAAGAATCGC</t>
  </si>
  <si>
    <t xml:space="preserve">PSPPH_2733</t>
  </si>
  <si>
    <t xml:space="preserve">AAAGGGTTCAGTTTTCAGCC</t>
  </si>
  <si>
    <t xml:space="preserve">TAGTAAAGGGTTCAGTTTTCAGCC</t>
  </si>
  <si>
    <t xml:space="preserve">AAACGGCTGAAAACTGAACCCTTT</t>
  </si>
  <si>
    <t xml:space="preserve">GTTTTGCCTGCGACCTGCGC</t>
  </si>
  <si>
    <t xml:space="preserve">TAGTGTTTTGCCTGCGACCTGCGC</t>
  </si>
  <si>
    <t xml:space="preserve">AAACGCGCAGGTCGCAGGCAAAAC</t>
  </si>
  <si>
    <t xml:space="preserve">CGCAGGCAGCTTCTTGCGTT</t>
  </si>
  <si>
    <t xml:space="preserve">TAGTCGCAGGCAGCTTCTTGCGTT</t>
  </si>
  <si>
    <t xml:space="preserve">AAACAACGCAAGAAGCTGCCTGCG</t>
  </si>
  <si>
    <t xml:space="preserve">GGCGACCAGAATACGTTCGT</t>
  </si>
  <si>
    <t xml:space="preserve">TAGTGGCGACCAGAATACGTTCGT</t>
  </si>
  <si>
    <t xml:space="preserve">AAACACGAACGTATTCTGGTCGCC</t>
  </si>
  <si>
    <t xml:space="preserve">PSPPH_2734</t>
  </si>
  <si>
    <t xml:space="preserve">AGCACATCAGAACAGAAGAG</t>
  </si>
  <si>
    <t xml:space="preserve">TAGTAGCACATCAGAACAGAAGAG</t>
  </si>
  <si>
    <t xml:space="preserve">AAACCTCTTCTGTTCTGATGTGCT</t>
  </si>
  <si>
    <t xml:space="preserve">CGCAGCAGCATGAATACCGG</t>
  </si>
  <si>
    <t xml:space="preserve">TAGTCGCAGCAGCATGAATACCGG</t>
  </si>
  <si>
    <t xml:space="preserve">AAACCCGGTATTCATGCTGCTGCG</t>
  </si>
  <si>
    <t xml:space="preserve">CAAAGGCCCTTTGCCTCCAG</t>
  </si>
  <si>
    <t xml:space="preserve">TAGTCAAAGGCCCTTTGCCTCCAG</t>
  </si>
  <si>
    <t xml:space="preserve">AAACCTGGAGGCAAAGGGCCTTTG</t>
  </si>
  <si>
    <t xml:space="preserve">GCAGTCGTCAAGCTTGACCA</t>
  </si>
  <si>
    <t xml:space="preserve">TAGTGCAGTCGTCAAGCTTGACCA</t>
  </si>
  <si>
    <t xml:space="preserve">AAACTGGTCAAGCTTGACGACTGC</t>
  </si>
  <si>
    <t xml:space="preserve">PSPPH_2735</t>
  </si>
  <si>
    <t xml:space="preserve">AGCCAGGGTGCTGCCTGCTG</t>
  </si>
  <si>
    <t xml:space="preserve">TAGTAGCCAGGGTGCTGCCTGCTG</t>
  </si>
  <si>
    <t xml:space="preserve">AAACCAGCAGGCAGCACCCTGGCT</t>
  </si>
  <si>
    <t xml:space="preserve">CGCATAGCTCGACATTTCAT</t>
  </si>
  <si>
    <t xml:space="preserve">TAGTCGCATAGCTCGACATTTCAT</t>
  </si>
  <si>
    <t xml:space="preserve">AAACATGAAATGTCGAGCTATGCG</t>
  </si>
  <si>
    <t xml:space="preserve">AATGTCCGAGCTGGCCTTGG</t>
  </si>
  <si>
    <t xml:space="preserve">TAGTAATGTCCGAGCTGGCCTTGG</t>
  </si>
  <si>
    <t xml:space="preserve">AAACCCAAGGCCAGCTCGGACATT</t>
  </si>
  <si>
    <t xml:space="preserve">CAGGGAATCGGAAATGCCGC</t>
  </si>
  <si>
    <t xml:space="preserve">TAGTCAGGGAATCGGAAATGCCGC</t>
  </si>
  <si>
    <t xml:space="preserve">AAACGCGGCATTTCCGATTCCCTG</t>
  </si>
  <si>
    <t xml:space="preserve">PSPPH_2736</t>
  </si>
  <si>
    <t xml:space="preserve">GGTAACCGCCTCAGGCGTCC</t>
  </si>
  <si>
    <t xml:space="preserve">TAGTGGTAACCGCCTCAGGCGTCC</t>
  </si>
  <si>
    <t xml:space="preserve">AAACGGACGCCTGAGGCGGTTACC</t>
  </si>
  <si>
    <t xml:space="preserve">GAGGACGAGTTGCTCCAGGC</t>
  </si>
  <si>
    <t xml:space="preserve">TAGTGAGGACGAGTTGCTCCAGGC</t>
  </si>
  <si>
    <t xml:space="preserve">AAACGCCTGGAGCAACTCGTCCTC</t>
  </si>
  <si>
    <t xml:space="preserve">ACTTGCAGCCGGACGTTCCC</t>
  </si>
  <si>
    <t xml:space="preserve">TAGTACTTGCAGCCGGACGTTCCC</t>
  </si>
  <si>
    <t xml:space="preserve">AAACGGGAACGTCCGGCTGCAAGT</t>
  </si>
  <si>
    <t xml:space="preserve">GGAACGGATGTCTACCTCCA</t>
  </si>
  <si>
    <t xml:space="preserve">TAGTGGAACGGATGTCTACCTCCA</t>
  </si>
  <si>
    <t xml:space="preserve">AAACTGGAGGTAGACATCCGTTCC</t>
  </si>
  <si>
    <t xml:space="preserve">PSPPH_2737</t>
  </si>
  <si>
    <t xml:space="preserve">GGCGTGAGAGGTGCCGCGAC</t>
  </si>
  <si>
    <t xml:space="preserve">TAGTGGCGTGAGAGGTGCCGCGAC</t>
  </si>
  <si>
    <t xml:space="preserve">AAACGTCGCGGCACCTCTCACGCC</t>
  </si>
  <si>
    <t xml:space="preserve">CGGTGGCGGCGAAGAAGCCG</t>
  </si>
  <si>
    <t xml:space="preserve">TAGTCGGTGGCGGCGAAGAAGCCG</t>
  </si>
  <si>
    <t xml:space="preserve">AAACCGGCTTCTTCGCCGCCACCG</t>
  </si>
  <si>
    <t xml:space="preserve">ACGCAGCGCAAGGTTGCCGC</t>
  </si>
  <si>
    <t xml:space="preserve">TAGTACGCAGCGCAAGGTTGCCGC</t>
  </si>
  <si>
    <t xml:space="preserve">AAACGCGGCAACCTTGCGCTGCGT</t>
  </si>
  <si>
    <t xml:space="preserve">CTGAAATAATCGGTGGCCGA</t>
  </si>
  <si>
    <t xml:space="preserve">TAGTCTGAAATAATCGGTGGCCGA</t>
  </si>
  <si>
    <t xml:space="preserve">AAACTCGGCCACCGATTATTTCAG</t>
  </si>
  <si>
    <t xml:space="preserve">PSPPH_2738</t>
  </si>
  <si>
    <t xml:space="preserve">GGCATGCTGGCAGGATCAAG</t>
  </si>
  <si>
    <t xml:space="preserve">TAGTGGCATGCTGGCAGGATCAAG</t>
  </si>
  <si>
    <t xml:space="preserve">AAACCTTGATCCTGCCAGCATGCC</t>
  </si>
  <si>
    <t xml:space="preserve">ACAGCCGATTCGGGAATTGC</t>
  </si>
  <si>
    <t xml:space="preserve">TAGTACAGCCGATTCGGGAATTGC</t>
  </si>
  <si>
    <t xml:space="preserve">AAACGCAATTCCCGAATCGGCTGT</t>
  </si>
  <si>
    <t xml:space="preserve">CGGTAGAGGGAATCGACGTC</t>
  </si>
  <si>
    <t xml:space="preserve">TAGTCGGTAGAGGGAATCGACGTC</t>
  </si>
  <si>
    <t xml:space="preserve">AAACGACGTCGATTCCCTCTACCG</t>
  </si>
  <si>
    <t xml:space="preserve">TCACCAGTTCGTCGAACCGG</t>
  </si>
  <si>
    <t xml:space="preserve">TAGTTCACCAGTTCGTCGAACCGG</t>
  </si>
  <si>
    <t xml:space="preserve">AAACCCGGTTCGACGAACTGGTGA</t>
  </si>
  <si>
    <t xml:space="preserve">PSPPH_2739</t>
  </si>
  <si>
    <t xml:space="preserve">TTTTCGAAGTAAATCGCGCA</t>
  </si>
  <si>
    <t xml:space="preserve">TAGTTTTTCGAAGTAAATCGCGCA</t>
  </si>
  <si>
    <t xml:space="preserve">AAACTGCGCGATTTACTTCGAAAA</t>
  </si>
  <si>
    <t xml:space="preserve">AGCCACATGCCCTGTTCGCC</t>
  </si>
  <si>
    <t xml:space="preserve">TAGTAGCCACATGCCCTGTTCGCC</t>
  </si>
  <si>
    <t xml:space="preserve">AAACGGCGAACAGGGCATGTGGCT</t>
  </si>
  <si>
    <t xml:space="preserve">ACGCGACAGCCTGGGGTGCC</t>
  </si>
  <si>
    <t xml:space="preserve">TAGTACGCGACAGCCTGGGGTGCC</t>
  </si>
  <si>
    <t xml:space="preserve">AAACGGCACCCCAGGCTGTCGCGT</t>
  </si>
  <si>
    <t xml:space="preserve">GCGCTCGTCCTCTGCGGAAT</t>
  </si>
  <si>
    <t xml:space="preserve">TAGTGCGCTCGTCCTCTGCGGAAT</t>
  </si>
  <si>
    <t xml:space="preserve">AAACATTCCGCAGAGGACGAGCGC</t>
  </si>
  <si>
    <t xml:space="preserve">PSPPH_2740</t>
  </si>
  <si>
    <t xml:space="preserve">TACAGCGGACGACGTTTGCA</t>
  </si>
  <si>
    <t xml:space="preserve">TAGTTACAGCGGACGACGTTTGCA</t>
  </si>
  <si>
    <t xml:space="preserve">AAACTGCAAACGTCGTCCGCTGTA</t>
  </si>
  <si>
    <t xml:space="preserve">GACAGAGCCCAGTGCCAATG</t>
  </si>
  <si>
    <t xml:space="preserve">TAGTGACAGAGCCCAGTGCCAATG</t>
  </si>
  <si>
    <t xml:space="preserve">AAACCATTGGCACTGGGCTCTGTC</t>
  </si>
  <si>
    <t xml:space="preserve">CTACGCCCTCAAGCGACACA</t>
  </si>
  <si>
    <t xml:space="preserve">TAGTCTACGCCCTCAAGCGACACA</t>
  </si>
  <si>
    <t xml:space="preserve">AAACTGTGTCGCTTGAGGGCGTAG</t>
  </si>
  <si>
    <t xml:space="preserve">CAGCGCCACGATTTCGCCCA</t>
  </si>
  <si>
    <t xml:space="preserve">TAGTCAGCGCCACGATTTCGCCCA</t>
  </si>
  <si>
    <t xml:space="preserve">AAACTGGGCGAAATCGTGGCGCTG</t>
  </si>
  <si>
    <t xml:space="preserve">PSPPH_2741</t>
  </si>
  <si>
    <t xml:space="preserve">GGGGCGTTGCTGGAAGTCGT</t>
  </si>
  <si>
    <t xml:space="preserve">TAGTGGGGCGTTGCTGGAAGTCGT</t>
  </si>
  <si>
    <t xml:space="preserve">AAACACGACTTCCAGCAACGCCCC</t>
  </si>
  <si>
    <t xml:space="preserve">AGGAAGTCCCAGAGTGCGCA</t>
  </si>
  <si>
    <t xml:space="preserve">TAGTAGGAAGTCCCAGAGTGCGCA</t>
  </si>
  <si>
    <t xml:space="preserve">AAACTGCGCACTCTGGGACTTCCT</t>
  </si>
  <si>
    <t xml:space="preserve">TGGTGTCCATGTAGTTTTGC</t>
  </si>
  <si>
    <t xml:space="preserve">TAGTTGGTGTCCATGTAGTTTTGC</t>
  </si>
  <si>
    <t xml:space="preserve">AAACGCAAAACTACATGGACACCA</t>
  </si>
  <si>
    <t xml:space="preserve">GATGTCCGGAATCGGGCCGC</t>
  </si>
  <si>
    <t xml:space="preserve">TAGTGATGTCCGGAATCGGGCCGC</t>
  </si>
  <si>
    <t xml:space="preserve">AAACGCGGCCCGATTCCGGACATC</t>
  </si>
  <si>
    <t xml:space="preserve">PSPPH_2742</t>
  </si>
  <si>
    <t xml:space="preserve">ATCCGGGGGCGTTGCAGCCC</t>
  </si>
  <si>
    <t xml:space="preserve">TAGTATCCGGGGGCGTTGCAGCCC</t>
  </si>
  <si>
    <t xml:space="preserve">AAACGGGCTGCAACGCCCCCGGAT</t>
  </si>
  <si>
    <t xml:space="preserve">ACTTTCGGCGGGGTCCAGGC</t>
  </si>
  <si>
    <t xml:space="preserve">TAGTACTTTCGGCGGGGTCCAGGC</t>
  </si>
  <si>
    <t xml:space="preserve">AAACGCCTGGACCCCGCCGAAAGT</t>
  </si>
  <si>
    <t xml:space="preserve">ATTAGCCAGGGTGTTGGTCG</t>
  </si>
  <si>
    <t xml:space="preserve">TAGTATTAGCCAGGGTGTTGGTCG</t>
  </si>
  <si>
    <t xml:space="preserve">AAACCGACCAACACCCTGGCTAAT</t>
  </si>
  <si>
    <t xml:space="preserve">CTGGCCGGGTTCTGCCGGTC</t>
  </si>
  <si>
    <t xml:space="preserve">TAGTCTGGCCGGGTTCTGCCGGTC</t>
  </si>
  <si>
    <t xml:space="preserve">AAACGACCGGCAGAACCCGGCCAG</t>
  </si>
  <si>
    <t xml:space="preserve">PSPPH_2743</t>
  </si>
  <si>
    <t xml:space="preserve">dppB</t>
  </si>
  <si>
    <t xml:space="preserve">CGACAACGACAACAGTCCGC</t>
  </si>
  <si>
    <t xml:space="preserve">TAGTCGACAACGACAACAGTCCGC</t>
  </si>
  <si>
    <t xml:space="preserve">AAACGCGGACTGTTGTCGTTGTCG</t>
  </si>
  <si>
    <t xml:space="preserve">GCATGAATGTGAAGAACAAC</t>
  </si>
  <si>
    <t xml:space="preserve">TAGTGCATGAATGTGAAGAACAAC</t>
  </si>
  <si>
    <t xml:space="preserve">AAACGTTGTTCTTCACATTCATGC</t>
  </si>
  <si>
    <t xml:space="preserve">CGGATCGACTGGCGATAGAG</t>
  </si>
  <si>
    <t xml:space="preserve">TAGTCGGATCGACTGGCGATAGAG</t>
  </si>
  <si>
    <t xml:space="preserve">AAACCTCTATCGCCAGTCGATCCG</t>
  </si>
  <si>
    <t xml:space="preserve">TCGCCAGCAATCCGTAGCGC</t>
  </si>
  <si>
    <t xml:space="preserve">TAGTTCGCCAGCAATCCGTAGCGC</t>
  </si>
  <si>
    <t xml:space="preserve">AAACGCGCTACGGATTGCTGGCGA</t>
  </si>
  <si>
    <t xml:space="preserve">PSPPH_2744</t>
  </si>
  <si>
    <t xml:space="preserve">CACTATATTGTCGAACGCTA</t>
  </si>
  <si>
    <t xml:space="preserve">TAGTCACTATATTGTCGAACGCTA</t>
  </si>
  <si>
    <t xml:space="preserve">AAACTAGCGTTCGACAATATAGTG</t>
  </si>
  <si>
    <t xml:space="preserve">GACGCGCCGATGAGTAATGC</t>
  </si>
  <si>
    <t xml:space="preserve">TAGTGACGCGCCGATGAGTAATGC</t>
  </si>
  <si>
    <t xml:space="preserve">AAACGCATTACTCATCGGCGCGTC</t>
  </si>
  <si>
    <t xml:space="preserve">GGATCAAAACCACTCAACAG</t>
  </si>
  <si>
    <t xml:space="preserve">TAGTGGATCAAAACCACTCAACAG</t>
  </si>
  <si>
    <t xml:space="preserve">AAACCTGTTGAGTGGTTTTGATCC</t>
  </si>
  <si>
    <t xml:space="preserve">TCCTGAATATTCTGCGTATT</t>
  </si>
  <si>
    <t xml:space="preserve">TAGTTCCTGAATATTCTGCGTATT</t>
  </si>
  <si>
    <t xml:space="preserve">AAACAATACGCAGAATATTCAGGA</t>
  </si>
  <si>
    <t xml:space="preserve">PSPPH_2745</t>
  </si>
  <si>
    <t xml:space="preserve">ATCAGTTCCGGGCCCGAGCC</t>
  </si>
  <si>
    <t xml:space="preserve">TAGTATCAGTTCCGGGCCCGAGCC</t>
  </si>
  <si>
    <t xml:space="preserve">AAACGGCTCGGGCCCGGAACTGAT</t>
  </si>
  <si>
    <t xml:space="preserve">GGTGAGTGACTTGCCCGAGC</t>
  </si>
  <si>
    <t xml:space="preserve">TAGTGGTGAGTGACTTGCCCGAGC</t>
  </si>
  <si>
    <t xml:space="preserve">AAACGCTCGGGCAAGTCACTCACC</t>
  </si>
  <si>
    <t xml:space="preserve">AAGCCCCAGCAACGCACGCG</t>
  </si>
  <si>
    <t xml:space="preserve">TAGTAAGCCCCAGCAACGCACGCG</t>
  </si>
  <si>
    <t xml:space="preserve">AAACCGCGTGCGTTGCTGGGGCTT</t>
  </si>
  <si>
    <t xml:space="preserve">GTTCGGCGGTCACCTGACCG</t>
  </si>
  <si>
    <t xml:space="preserve">TAGTGTTCGGCGGTCACCTGACCG</t>
  </si>
  <si>
    <t xml:space="preserve">AAACCGGTCAGGTGACCGCCGAAC</t>
  </si>
  <si>
    <t xml:space="preserve">PSPPH_2746</t>
  </si>
  <si>
    <t xml:space="preserve">GCAGTGCAGTAAAGGCATGC</t>
  </si>
  <si>
    <t xml:space="preserve">TAGTGCAGTGCAGTAAAGGCATGC</t>
  </si>
  <si>
    <t xml:space="preserve">AAACGCATGCCTTTACTGCACTGC</t>
  </si>
  <si>
    <t xml:space="preserve">ATCAGGCCAAAGCATTCACC</t>
  </si>
  <si>
    <t xml:space="preserve">TAGTATCAGGCCAAAGCATTCACC</t>
  </si>
  <si>
    <t xml:space="preserve">AAACGGTGAATGCTTTGGCCTGAT</t>
  </si>
  <si>
    <t xml:space="preserve">CTGCCAGTCGCGCTGGAGGC</t>
  </si>
  <si>
    <t xml:space="preserve">TAGTCTGCCAGTCGCGCTGGAGGC</t>
  </si>
  <si>
    <t xml:space="preserve">AAACGCCTCCAGCGCGACTGGCAG</t>
  </si>
  <si>
    <t xml:space="preserve">CGTGAAGCGGCTGCCCGAAC</t>
  </si>
  <si>
    <t xml:space="preserve">TAGTCGTGAAGCGGCTGCCCGAAC</t>
  </si>
  <si>
    <t xml:space="preserve">AAACGTTCGGGCAGCCGCTTCACG</t>
  </si>
  <si>
    <t xml:space="preserve">PSPPH_2747</t>
  </si>
  <si>
    <t xml:space="preserve">TGTCAAAAGCCTTGAGCGAT</t>
  </si>
  <si>
    <t xml:space="preserve">TAGTTGTCAAAAGCCTTGAGCGAT</t>
  </si>
  <si>
    <t xml:space="preserve">AAACATCGCTCAAGGCTTTTGACA</t>
  </si>
  <si>
    <t xml:space="preserve">ATCGCGGTAAAGGGAATGCA</t>
  </si>
  <si>
    <t xml:space="preserve">TAGTATCGCGGTAAAGGGAATGCA</t>
  </si>
  <si>
    <t xml:space="preserve">AAACTGCATTCCCTTTACCGCGAT</t>
  </si>
  <si>
    <t xml:space="preserve">ACTCAGGTCCGCAGCATCCC</t>
  </si>
  <si>
    <t xml:space="preserve">TAGTACTCAGGTCCGCAGCATCCC</t>
  </si>
  <si>
    <t xml:space="preserve">AAACGGGATGCTGCGGACCTGAGT</t>
  </si>
  <si>
    <t xml:space="preserve">GAGAGCTGGACAGTACACGC</t>
  </si>
  <si>
    <t xml:space="preserve">TAGTGAGAGCTGGACAGTACACGC</t>
  </si>
  <si>
    <t xml:space="preserve">AAACGCGTGTACTGTCCAGCTCTC</t>
  </si>
  <si>
    <t xml:space="preserve">PSPPH_2748</t>
  </si>
  <si>
    <t xml:space="preserve">ACCTCGCGTTCTTCGTTAGA</t>
  </si>
  <si>
    <t xml:space="preserve">TAGTACCTCGCGTTCTTCGTTAGA</t>
  </si>
  <si>
    <t xml:space="preserve">AAACTCTAACGAAGAACGCGAGGT</t>
  </si>
  <si>
    <t xml:space="preserve">ATCTTCTTCGCTGGCACCGC</t>
  </si>
  <si>
    <t xml:space="preserve">TAGTATCTTCTTCGCTGGCACCGC</t>
  </si>
  <si>
    <t xml:space="preserve">AAACGCGGTGCCAGCGAAGAAGAT</t>
  </si>
  <si>
    <t xml:space="preserve">GTCGCGCCAGTGCTGCAGCA</t>
  </si>
  <si>
    <t xml:space="preserve">TAGTGTCGCGCCAGTGCTGCAGCA</t>
  </si>
  <si>
    <t xml:space="preserve">AAACTGCTGCAGCACTGGCGCGAC</t>
  </si>
  <si>
    <t xml:space="preserve">TTGCCAGGCACGCTCATGAC</t>
  </si>
  <si>
    <t xml:space="preserve">TAGTTTGCCAGGCACGCTCATGAC</t>
  </si>
  <si>
    <t xml:space="preserve">AAACGTCATGAGCGTGCCTGGCAA</t>
  </si>
  <si>
    <t xml:space="preserve">PSPPH_2749</t>
  </si>
  <si>
    <t xml:space="preserve">CAAACGGTAGGAAGACACTG</t>
  </si>
  <si>
    <t xml:space="preserve">TAGTCAAACGGTAGGAAGACACTG</t>
  </si>
  <si>
    <t xml:space="preserve">AAACCAGTGTCTTCCTACCGTTTG</t>
  </si>
  <si>
    <t xml:space="preserve">AACAGGCTGAAATGCAAAAG</t>
  </si>
  <si>
    <t xml:space="preserve">TAGTAACAGGCTGAAATGCAAAAG</t>
  </si>
  <si>
    <t xml:space="preserve">AAACCTTTTGCATTTCAGCCTGTT</t>
  </si>
  <si>
    <t xml:space="preserve">GGTCGATACAAACAACGGAC</t>
  </si>
  <si>
    <t xml:space="preserve">TAGTGGTCGATACAAACAACGGAC</t>
  </si>
  <si>
    <t xml:space="preserve">AAACGTCCGTTGTTTGTATCGACC</t>
  </si>
  <si>
    <t xml:space="preserve">GCCCGAGGTTTCGGCCCAAC</t>
  </si>
  <si>
    <t xml:space="preserve">TAGTGCCCGAGGTTTCGGCCCAAC</t>
  </si>
  <si>
    <t xml:space="preserve">AAACGTTGGGCCGAAACCTCGGGC</t>
  </si>
  <si>
    <t xml:space="preserve">PSPPH_2750</t>
  </si>
  <si>
    <t xml:space="preserve">AATAAGCCATTATTCAACAT</t>
  </si>
  <si>
    <t xml:space="preserve">TAGTAATAAGCCATTATTCAACAT</t>
  </si>
  <si>
    <t xml:space="preserve">AAACATGTTGAATAATGGCTTATT</t>
  </si>
  <si>
    <t xml:space="preserve">CCTGTCCAGATAGTTGGCAT</t>
  </si>
  <si>
    <t xml:space="preserve">TAGTCCTGTCCAGATAGTTGGCAT</t>
  </si>
  <si>
    <t xml:space="preserve">AAACATGCCAACTATCTGGACAGG</t>
  </si>
  <si>
    <t xml:space="preserve">TCGCGGGTAACTTCTTACAT</t>
  </si>
  <si>
    <t xml:space="preserve">TAGTTCGCGGGTAACTTCTTACAT</t>
  </si>
  <si>
    <t xml:space="preserve">AAACATGTAAGAAGTTACCCGCGA</t>
  </si>
  <si>
    <t xml:space="preserve">TACGCCATGTGCCTTGGCGA</t>
  </si>
  <si>
    <t xml:space="preserve">TAGTTACGCCATGTGCCTTGGCGA</t>
  </si>
  <si>
    <t xml:space="preserve">AAACTCGCCAAGGCACATGGCGTA</t>
  </si>
  <si>
    <t xml:space="preserve">PSPPH_2751</t>
  </si>
  <si>
    <t xml:space="preserve">GTTTGATAAAACGGTGCGAT</t>
  </si>
  <si>
    <t xml:space="preserve">TAGTGTTTGATAAAACGGTGCGAT</t>
  </si>
  <si>
    <t xml:space="preserve">AAACATCGCACCGTTTTATCAAAC</t>
  </si>
  <si>
    <t xml:space="preserve">GCAATTAAGTAATGCACGAG</t>
  </si>
  <si>
    <t xml:space="preserve">TAGTGCAATTAAGTAATGCACGAG</t>
  </si>
  <si>
    <t xml:space="preserve">AAACCTCGTGCATTACTTAATTGC</t>
  </si>
  <si>
    <t xml:space="preserve">GCAGTGCGAACTCCTTGATC</t>
  </si>
  <si>
    <t xml:space="preserve">TAGTGCAGTGCGAACTCCTTGATC</t>
  </si>
  <si>
    <t xml:space="preserve">AAACGATCAAGGAGTTCGCACTGC</t>
  </si>
  <si>
    <t xml:space="preserve">GTGTAATGAAGGCACTGTTC</t>
  </si>
  <si>
    <t xml:space="preserve">TAGTGTGTAATGAAGGCACTGTTC</t>
  </si>
  <si>
    <t xml:space="preserve">AAACGAACAGTGCCTTCATTACAC</t>
  </si>
  <si>
    <t xml:space="preserve">PSPPH_2752</t>
  </si>
  <si>
    <t xml:space="preserve">ATGGCGCCCAGTACGGTTTC</t>
  </si>
  <si>
    <t xml:space="preserve">TAGTATGGCGCCCAGTACGGTTTC</t>
  </si>
  <si>
    <t xml:space="preserve">AAACGAAACCGTACTGGGCGCCAT</t>
  </si>
  <si>
    <t xml:space="preserve">GACGAAAGCCGCCAGCGGGT</t>
  </si>
  <si>
    <t xml:space="preserve">TAGTGACGAAAGCCGCCAGCGGGT</t>
  </si>
  <si>
    <t xml:space="preserve">AAACACCCGCTGGCGGCTTTCGTC</t>
  </si>
  <si>
    <t xml:space="preserve">CTCTACGCCCGCAGGCAGCG</t>
  </si>
  <si>
    <t xml:space="preserve">TAGTCTCTACGCCCGCAGGCAGCG</t>
  </si>
  <si>
    <t xml:space="preserve">AAACCGCTGCCTGCGGGCGTAGAG</t>
  </si>
  <si>
    <t xml:space="preserve">CAGCATCAATGCTTCGCTGT</t>
  </si>
  <si>
    <t xml:space="preserve">TAGTCAGCATCAATGCTTCGCTGT</t>
  </si>
  <si>
    <t xml:space="preserve">AAACACAGCGAAGCATTGATGCTG</t>
  </si>
  <si>
    <t xml:space="preserve">PSPPH_2753</t>
  </si>
  <si>
    <t xml:space="preserve">TGAACACCACCCAACGGCGT</t>
  </si>
  <si>
    <t xml:space="preserve">TAGTTGAACACCACCCAACGGCGT</t>
  </si>
  <si>
    <t xml:space="preserve">AAACACGCCGTTGGGTGGTGTTCA</t>
  </si>
  <si>
    <t xml:space="preserve">GGTTGAGCGAGCTATTGCTA</t>
  </si>
  <si>
    <t xml:space="preserve">TAGTGGTTGAGCGAGCTATTGCTA</t>
  </si>
  <si>
    <t xml:space="preserve">AAACTAGCAATAGCTCGCTCAACC</t>
  </si>
  <si>
    <t xml:space="preserve">CCATGAAGGTTGGCAGCGCC</t>
  </si>
  <si>
    <t xml:space="preserve">TAGTCCATGAAGGTTGGCAGCGCC</t>
  </si>
  <si>
    <t xml:space="preserve">AAACGGCGCTGCCAACCTTCATGG</t>
  </si>
  <si>
    <t xml:space="preserve">ACGATCCAGGTGGCCAGCAA</t>
  </si>
  <si>
    <t xml:space="preserve">TAGTACGATCCAGGTGGCCAGCAA</t>
  </si>
  <si>
    <t xml:space="preserve">AAACTTGCTGGCCACCTGGATCGT</t>
  </si>
  <si>
    <t xml:space="preserve">PSPPH_2754</t>
  </si>
  <si>
    <t xml:space="preserve">GTTGCGTTTCAGCGGTAAAG</t>
  </si>
  <si>
    <t xml:space="preserve">TAGTGTTGCGTTTCAGCGGTAAAG</t>
  </si>
  <si>
    <t xml:space="preserve">AAACCTTTACCGCTGAAACGCAAC</t>
  </si>
  <si>
    <t xml:space="preserve">GGTGGCCGTTGAGGGTGAAA</t>
  </si>
  <si>
    <t xml:space="preserve">TAGTGGTGGCCGTTGAGGGTGAAA</t>
  </si>
  <si>
    <t xml:space="preserve">AAACTTTCACCCTCAACGGCCACC</t>
  </si>
  <si>
    <t xml:space="preserve">GATATCAGCCAGCCAGGCAC</t>
  </si>
  <si>
    <t xml:space="preserve">TAGTGATATCAGCCAGCCAGGCAC</t>
  </si>
  <si>
    <t xml:space="preserve">AAACGTGCCTGGCTGGCTGATATC</t>
  </si>
  <si>
    <t xml:space="preserve">GTACTTGTTGGTAGCGCTCG</t>
  </si>
  <si>
    <t xml:space="preserve">TAGTGTACTTGTTGGTAGCGCTCG</t>
  </si>
  <si>
    <t xml:space="preserve">AAACCGAGCGCTACCAACAAGTAC</t>
  </si>
  <si>
    <t xml:space="preserve">PSPPH_2755</t>
  </si>
  <si>
    <t xml:space="preserve">AAGTCTGCTCTTGAGTGTAT</t>
  </si>
  <si>
    <t xml:space="preserve">TAGTAAGTCTGCTCTTGAGTGTAT</t>
  </si>
  <si>
    <t xml:space="preserve">AAACATACACTCAAGAGCAGACTT</t>
  </si>
  <si>
    <t xml:space="preserve">GAACTGATTAGCCCGTACAC</t>
  </si>
  <si>
    <t xml:space="preserve">TAGTGAACTGATTAGCCCGTACAC</t>
  </si>
  <si>
    <t xml:space="preserve">AAACGTGTACGGGCTAATCAGTTC</t>
  </si>
  <si>
    <t xml:space="preserve">AACTCGATGGCGGCCGGGGC</t>
  </si>
  <si>
    <t xml:space="preserve">TAGTAACTCGATGGCGGCCGGGGC</t>
  </si>
  <si>
    <t xml:space="preserve">AAACGCCCCGGCCGCCATCGAGTT</t>
  </si>
  <si>
    <t xml:space="preserve">CACGAAGTCGAAACCGGCCT</t>
  </si>
  <si>
    <t xml:space="preserve">TAGTCACGAAGTCGAAACCGGCCT</t>
  </si>
  <si>
    <t xml:space="preserve">AAACAGGCCGGTTTCGACTTCGTG</t>
  </si>
  <si>
    <t xml:space="preserve">PSPPH_2756</t>
  </si>
  <si>
    <t xml:space="preserve">GCGAGTGAAGTGAAGTTCAT</t>
  </si>
  <si>
    <t xml:space="preserve">TAGTGCGAGTGAAGTGAAGTTCAT</t>
  </si>
  <si>
    <t xml:space="preserve">AAACATGAACTTCACTTCACTCGC</t>
  </si>
  <si>
    <t xml:space="preserve">ATCCTGCATGACCAGGTCAG</t>
  </si>
  <si>
    <t xml:space="preserve">TAGTATCCTGCATGACCAGGTCAG</t>
  </si>
  <si>
    <t xml:space="preserve">AAACCTGACCTGGTCATGCAGGAT</t>
  </si>
  <si>
    <t xml:space="preserve">CCTGCAGGCTCAATGGCTCG</t>
  </si>
  <si>
    <t xml:space="preserve">TAGTCCTGCAGGCTCAATGGCTCG</t>
  </si>
  <si>
    <t xml:space="preserve">AAACCGAGCCATTGAGCCTGCAGG</t>
  </si>
  <si>
    <t xml:space="preserve">GTGGCGCGCTTGCCAGTGAG</t>
  </si>
  <si>
    <t xml:space="preserve">TAGTGTGGCGCGCTTGCCAGTGAG</t>
  </si>
  <si>
    <t xml:space="preserve">AAACCTCACTGGCAAGCGCGCCAC</t>
  </si>
  <si>
    <t xml:space="preserve">PSPPH_2757</t>
  </si>
  <si>
    <t xml:space="preserve">cbrA</t>
  </si>
  <si>
    <t xml:space="preserve">GCCGCGAAGGATGCAAATGT</t>
  </si>
  <si>
    <t xml:space="preserve">TAGTGCCGCGAAGGATGCAAATGT</t>
  </si>
  <si>
    <t xml:space="preserve">AAACACATTTGCATCCTTCGCGGC</t>
  </si>
  <si>
    <t xml:space="preserve">GCGCCAGTAACCCCAATGAC</t>
  </si>
  <si>
    <t xml:space="preserve">TAGTGCGCCAGTAACCCCAATGAC</t>
  </si>
  <si>
    <t xml:space="preserve">AAACGTCATTGGGGTTACTGGCGC</t>
  </si>
  <si>
    <t xml:space="preserve">GGCTCTGCCCAGGCAATGCC</t>
  </si>
  <si>
    <t xml:space="preserve">TAGTGGCTCTGCCCAGGCAATGCC</t>
  </si>
  <si>
    <t xml:space="preserve">AAACGGCATTGCCTGGGCAGAGCC</t>
  </si>
  <si>
    <t xml:space="preserve">CTTGGTGGCGTTGCGCGCAA</t>
  </si>
  <si>
    <t xml:space="preserve">TAGTCTTGGTGGCGTTGCGCGCAA</t>
  </si>
  <si>
    <t xml:space="preserve">AAACTTGCGCGCAACGCCACCAAG</t>
  </si>
  <si>
    <t xml:space="preserve">PSPPH_2758</t>
  </si>
  <si>
    <t xml:space="preserve">cbrB</t>
  </si>
  <si>
    <t xml:space="preserve">CAGACCCAGTTTTACCGCAG</t>
  </si>
  <si>
    <t xml:space="preserve">TAGTCAGACCCAGTTTTACCGCAG</t>
  </si>
  <si>
    <t xml:space="preserve">AAACCTGCGGTAAAACTGGGTCTG</t>
  </si>
  <si>
    <t xml:space="preserve">TCCAGGTGGCTCCGGTTGCC</t>
  </si>
  <si>
    <t xml:space="preserve">TAGTTCCAGGTGGCTCCGGTTGCC</t>
  </si>
  <si>
    <t xml:space="preserve">AAACGGCAACCGGAGCCACCTGGA</t>
  </si>
  <si>
    <t xml:space="preserve">ACACTTCGGACAATCGCAGA</t>
  </si>
  <si>
    <t xml:space="preserve">TAGTACACTTCGGACAATCGCAGA</t>
  </si>
  <si>
    <t xml:space="preserve">AAACTCTGCGATTGTCCGAAGTGT</t>
  </si>
  <si>
    <t xml:space="preserve">TCGATAGCGCTAAGCGCATC</t>
  </si>
  <si>
    <t xml:space="preserve">TAGTTCGATAGCGCTAAGCGCATC</t>
  </si>
  <si>
    <t xml:space="preserve">AAACGATGCGCTTAGCGCTATCGA</t>
  </si>
  <si>
    <t xml:space="preserve">PSPPH_2759</t>
  </si>
  <si>
    <t xml:space="preserve">cbrC</t>
  </si>
  <si>
    <t xml:space="preserve">GGAAAAACCGCGGTAGCGCA</t>
  </si>
  <si>
    <t xml:space="preserve">TAGTGGAAAAACCGCGGTAGCGCA</t>
  </si>
  <si>
    <t xml:space="preserve">AAACTGCGCTACCGCGGTTTTTCC</t>
  </si>
  <si>
    <t xml:space="preserve">TGCAGTCAGGCTGAACTGCC</t>
  </si>
  <si>
    <t xml:space="preserve">TAGTTGCAGTCAGGCTGAACTGCC</t>
  </si>
  <si>
    <t xml:space="preserve">AAACGGCAGTTCAGCCTGACTGCA</t>
  </si>
  <si>
    <t xml:space="preserve">TCAAAAGGGTCGCGGGCGAC</t>
  </si>
  <si>
    <t xml:space="preserve">TAGTTCAAAAGGGTCGCGGGCGAC</t>
  </si>
  <si>
    <t xml:space="preserve">AAACGTCGCCCGCGACCCTTTTGA</t>
  </si>
  <si>
    <t xml:space="preserve">CAGAATTGCATCCGCCTGAC</t>
  </si>
  <si>
    <t xml:space="preserve">TAGTCAGAATTGCATCCGCCTGAC</t>
  </si>
  <si>
    <t xml:space="preserve">AAACGTCAGGCGGATGCAATTCTG</t>
  </si>
  <si>
    <t xml:space="preserve">PSPPH_2760</t>
  </si>
  <si>
    <t xml:space="preserve">cbrD</t>
  </si>
  <si>
    <t xml:space="preserve">GTAACTCAGGGTCAGGTCGT</t>
  </si>
  <si>
    <t xml:space="preserve">TAGTGTAACTCAGGGTCAGGTCGT</t>
  </si>
  <si>
    <t xml:space="preserve">AAACACGACCTGACCCTGAGTTAC</t>
  </si>
  <si>
    <t xml:space="preserve">TGTCGATGATCACCTGCCGT</t>
  </si>
  <si>
    <t xml:space="preserve">TAGTTGTCGATGATCACCTGCCGT</t>
  </si>
  <si>
    <t xml:space="preserve">AAACACGGCAGGTGATCATCGACA</t>
  </si>
  <si>
    <t xml:space="preserve">AGCACGCTTACCTCGCCCGC</t>
  </si>
  <si>
    <t xml:space="preserve">TAGTAGCACGCTTACCTCGCCCGC</t>
  </si>
  <si>
    <t xml:space="preserve">AAACGCGGGCGAGGTAAGCGTGCT</t>
  </si>
  <si>
    <t xml:space="preserve">ACGCGCCAGGGATTTGAGCA</t>
  </si>
  <si>
    <t xml:space="preserve">TAGTACGCGCCAGGGATTTGAGCA</t>
  </si>
  <si>
    <t xml:space="preserve">AAACTGCTCAAATCCCTGGCGCGT</t>
  </si>
  <si>
    <t xml:space="preserve">PSPPH_2761</t>
  </si>
  <si>
    <t xml:space="preserve">GTTCGCTGAAAGCCTGTGCC</t>
  </si>
  <si>
    <t xml:space="preserve">TAGTGTTCGCTGAAAGCCTGTGCC</t>
  </si>
  <si>
    <t xml:space="preserve">AAACGGCACAGGCTTTCAGCGAAC</t>
  </si>
  <si>
    <t xml:space="preserve">CCGGACAGTAGTGCCCATTC</t>
  </si>
  <si>
    <t xml:space="preserve">TAGTCCGGACAGTAGTGCCCATTC</t>
  </si>
  <si>
    <t xml:space="preserve">AAACGAATGGGCACTACTGTCCGG</t>
  </si>
  <si>
    <t xml:space="preserve">CGCGGTCAACTGCGTGTTTA</t>
  </si>
  <si>
    <t xml:space="preserve">TAGTCGCGGTCAACTGCGTGTTTA</t>
  </si>
  <si>
    <t xml:space="preserve">AAACTAAACACGCAGTTGACCGCG</t>
  </si>
  <si>
    <t xml:space="preserve">AGCACGGGCTGGCAACGAGC</t>
  </si>
  <si>
    <t xml:space="preserve">TAGTAGCACGGGCTGGCAACGAGC</t>
  </si>
  <si>
    <t xml:space="preserve">AAACGCTCGTTGCCAGCCCGTGCT</t>
  </si>
  <si>
    <t xml:space="preserve">PSPPH_2762</t>
  </si>
  <si>
    <t xml:space="preserve">CGTCACTGAGTTGTTGCTGA</t>
  </si>
  <si>
    <t xml:space="preserve">TAGTCGTCACTGAGTTGTTGCTGA</t>
  </si>
  <si>
    <t xml:space="preserve">AAACTCAGCAACAACTCAGTGACG</t>
  </si>
  <si>
    <t xml:space="preserve">GCCCCGGTATTGCTCTATCA</t>
  </si>
  <si>
    <t xml:space="preserve">TAGTGCCCCGGTATTGCTCTATCA</t>
  </si>
  <si>
    <t xml:space="preserve">AAACTGATAGAGCAATACCGGGGC</t>
  </si>
  <si>
    <t xml:space="preserve">CAGGTGGCCGATGGTGGAGG</t>
  </si>
  <si>
    <t xml:space="preserve">TAGTCAGGTGGCCGATGGTGGAGG</t>
  </si>
  <si>
    <t xml:space="preserve">AAACCCTCCACCATCGGCCACCTG</t>
  </si>
  <si>
    <t xml:space="preserve">TCGAACAGTGGTCTGATCCC</t>
  </si>
  <si>
    <t xml:space="preserve">TAGTTCGAACAGTGGTCTGATCCC</t>
  </si>
  <si>
    <t xml:space="preserve">AAACGGGATCAGACCACTGTTCGA</t>
  </si>
  <si>
    <t xml:space="preserve">PSPPH_2763</t>
  </si>
  <si>
    <t xml:space="preserve">AGAACGAGGGCACGAATGCG</t>
  </si>
  <si>
    <t xml:space="preserve">TAGTAGAACGAGGGCACGAATGCG</t>
  </si>
  <si>
    <t xml:space="preserve">AAACCGCATTCGTGCCCTCGTTCT</t>
  </si>
  <si>
    <t xml:space="preserve">TGACCAGTATTTTTCCCTGG</t>
  </si>
  <si>
    <t xml:space="preserve">TAGTTGACCAGTATTTTTCCCTGG</t>
  </si>
  <si>
    <t xml:space="preserve">AAACCCAGGGAAAAATACTGGTCA</t>
  </si>
  <si>
    <t xml:space="preserve">TTTGCTTTGCAACGACGTCG</t>
  </si>
  <si>
    <t xml:space="preserve">TAGTTTTGCTTTGCAACGACGTCG</t>
  </si>
  <si>
    <t xml:space="preserve">AAACCGACGTCGTTGCAAAGCAAA</t>
  </si>
  <si>
    <t xml:space="preserve">ATTCTATGCCTCCGCCAAGA</t>
  </si>
  <si>
    <t xml:space="preserve">TAGTATTCTATGCCTCCGCCAAGA</t>
  </si>
  <si>
    <t xml:space="preserve">AAACTCTTGGCGGAGGCATAGAAT</t>
  </si>
  <si>
    <t xml:space="preserve">PSPPH_2764</t>
  </si>
  <si>
    <t xml:space="preserve">GCGGCGCTCCAATGCCTTGT</t>
  </si>
  <si>
    <t xml:space="preserve">TAGTGCGGCGCTCCAATGCCTTGT</t>
  </si>
  <si>
    <t xml:space="preserve">AAACACAAGGCATTGGAGCGCCGC</t>
  </si>
  <si>
    <t xml:space="preserve">TTGCCCTGCTTGTTCAAGCA</t>
  </si>
  <si>
    <t xml:space="preserve">TAGTTTGCCCTGCTTGTTCAAGCA</t>
  </si>
  <si>
    <t xml:space="preserve">AAACTGCTTGAACAAGCAGGGCAA</t>
  </si>
  <si>
    <t xml:space="preserve">GCCCGCCCCGTCCAGAACGA</t>
  </si>
  <si>
    <t xml:space="preserve">TAGTGCCCGCCCCGTCCAGAACGA</t>
  </si>
  <si>
    <t xml:space="preserve">AAACTCGTTCTGGACGGGGCGGGC</t>
  </si>
  <si>
    <t xml:space="preserve">GCTCAGTTCTGTCTCGAACA</t>
  </si>
  <si>
    <t xml:space="preserve">TAGTGCTCAGTTCTGTCTCGAACA</t>
  </si>
  <si>
    <t xml:space="preserve">AAACTGTTCGAGACAGAACTGAGC</t>
  </si>
  <si>
    <t xml:space="preserve">PSPPH_2766</t>
  </si>
  <si>
    <t xml:space="preserve">CGATAACGTACAGGCAGGGC</t>
  </si>
  <si>
    <t xml:space="preserve">TAGTCGATAACGTACAGGCAGGGC</t>
  </si>
  <si>
    <t xml:space="preserve">AAACGCCCTGCCTGTACGTTATCG</t>
  </si>
  <si>
    <t xml:space="preserve">CGGCATTGGCCATAAGAACC</t>
  </si>
  <si>
    <t xml:space="preserve">TAGTCGGCATTGGCCATAAGAACC</t>
  </si>
  <si>
    <t xml:space="preserve">AAACGGTTCTTATGGCCAATGCCG</t>
  </si>
  <si>
    <t xml:space="preserve">ATTCTGGTTGATAGCGCCCA</t>
  </si>
  <si>
    <t xml:space="preserve">TAGTATTCTGGTTGATAGCGCCCA</t>
  </si>
  <si>
    <t xml:space="preserve">AAACTGGGCGCTATCAACCAGAAT</t>
  </si>
  <si>
    <t xml:space="preserve">GCAATACAGATGATATTGCG</t>
  </si>
  <si>
    <t xml:space="preserve">TAGTGCAATACAGATGATATTGCG</t>
  </si>
  <si>
    <t xml:space="preserve">AAACCGCAATATCATCTGTATTGC</t>
  </si>
  <si>
    <t xml:space="preserve">PSPPH_2768</t>
  </si>
  <si>
    <t xml:space="preserve">AGATGAGAATTTGAGCATGG</t>
  </si>
  <si>
    <t xml:space="preserve">TAGTAGATGAGAATTTGAGCATGG</t>
  </si>
  <si>
    <t xml:space="preserve">AAACCCATGCTCAAATTCTCATCT</t>
  </si>
  <si>
    <t xml:space="preserve">CAGCAAAGCCAACCCGGTCA</t>
  </si>
  <si>
    <t xml:space="preserve">TAGTCAGCAAAGCCAACCCGGTCA</t>
  </si>
  <si>
    <t xml:space="preserve">AAACTGACCGGGTTGGCTTTGCTG</t>
  </si>
  <si>
    <t xml:space="preserve">TAACGTCTGGTCCGCCATCG</t>
  </si>
  <si>
    <t xml:space="preserve">TAGTTAACGTCTGGTCCGCCATCG</t>
  </si>
  <si>
    <t xml:space="preserve">AAACCGATGGCGGACCAGACGTTA</t>
  </si>
  <si>
    <t xml:space="preserve">GGCTGCTGGAGCTGGAGGCA</t>
  </si>
  <si>
    <t xml:space="preserve">TAGTGGCTGCTGGAGCTGGAGGCA</t>
  </si>
  <si>
    <t xml:space="preserve">AAACTGCCTCCAGCTCCAGCAGCC</t>
  </si>
  <si>
    <t xml:space="preserve">PSPPH_2769</t>
  </si>
  <si>
    <t xml:space="preserve">GGGATGCGGGCTGATAGACA</t>
  </si>
  <si>
    <t xml:space="preserve">TAGTGGGATGCGGGCTGATAGACA</t>
  </si>
  <si>
    <t xml:space="preserve">AAACTGTCTATCAGCCCGCATCCC</t>
  </si>
  <si>
    <t xml:space="preserve">AGACTGCTGGGCGGTTGGTC</t>
  </si>
  <si>
    <t xml:space="preserve">TAGTAGACTGCTGGGCGGTTGGTC</t>
  </si>
  <si>
    <t xml:space="preserve">AAACGACCAACCGCCCAGCAGTCT</t>
  </si>
  <si>
    <t xml:space="preserve">TCAGCGAGCCGAATACAGCA</t>
  </si>
  <si>
    <t xml:space="preserve">TAGTTCAGCGAGCCGAATACAGCA</t>
  </si>
  <si>
    <t xml:space="preserve">AAACTGCTGTATTCGGCTCGCTGA</t>
  </si>
  <si>
    <t xml:space="preserve">CAGAATGGACAGAAAGGTCA</t>
  </si>
  <si>
    <t xml:space="preserve">TAGTCAGAATGGACAGAAAGGTCA</t>
  </si>
  <si>
    <t xml:space="preserve">AAACTGACCTTTCTGTCCATTCTG</t>
  </si>
  <si>
    <t xml:space="preserve">PSPPH_2770</t>
  </si>
  <si>
    <t xml:space="preserve">CGCCAGAAAAAGGATCAGCA</t>
  </si>
  <si>
    <t xml:space="preserve">TAGTCGCCAGAAAAAGGATCAGCA</t>
  </si>
  <si>
    <t xml:space="preserve">AAACTGCTGATCCTTTTTCTGGCG</t>
  </si>
  <si>
    <t xml:space="preserve">CCATCGCCCAGACAACTGGC</t>
  </si>
  <si>
    <t xml:space="preserve">TAGTCCATCGCCCAGACAACTGGC</t>
  </si>
  <si>
    <t xml:space="preserve">AAACGCCAGTTGTCTGGGCGATGG</t>
  </si>
  <si>
    <t xml:space="preserve">CAGGGCCGCGATACTGCCAC</t>
  </si>
  <si>
    <t xml:space="preserve">TAGTCAGGGCCGCGATACTGCCAC</t>
  </si>
  <si>
    <t xml:space="preserve">AAACGTGGCAGTATCGCGGCCCTG</t>
  </si>
  <si>
    <t xml:space="preserve">TGCTGGGCAATCCAGGCCAG</t>
  </si>
  <si>
    <t xml:space="preserve">TAGTTGCTGGGCAATCCAGGCCAG</t>
  </si>
  <si>
    <t xml:space="preserve">AAACCTGGCCTGGATTGCCCAGCA</t>
  </si>
  <si>
    <t xml:space="preserve">PSPPH_2771</t>
  </si>
  <si>
    <t xml:space="preserve">GGGCAAAGCGCGGCCGCCGC</t>
  </si>
  <si>
    <t xml:space="preserve">TAGTGGGCAAAGCGCGGCCGCCGC</t>
  </si>
  <si>
    <t xml:space="preserve">AAACGCGGCGGCCGCGCTTTGCCC</t>
  </si>
  <si>
    <t xml:space="preserve">AAAGCCTGGCCGTCGATTTC</t>
  </si>
  <si>
    <t xml:space="preserve">TAGTAAAGCCTGGCCGTCGATTTC</t>
  </si>
  <si>
    <t xml:space="preserve">AAACGAAATCGACGGCCAGGCTTT</t>
  </si>
  <si>
    <t xml:space="preserve">GTCCCACAGCCATGGCCCAT</t>
  </si>
  <si>
    <t xml:space="preserve">TAGTGTCCCACAGCCATGGCCCAT</t>
  </si>
  <si>
    <t xml:space="preserve">AAACATGGGCCATGGCTGTGGGAC</t>
  </si>
  <si>
    <t xml:space="preserve">GGTTGCACCAAAACCCATTG</t>
  </si>
  <si>
    <t xml:space="preserve">TAGTGGTTGCACCAAAACCCATTG</t>
  </si>
  <si>
    <t xml:space="preserve">AAACCAATGGGTTTTGGTGCAACC</t>
  </si>
  <si>
    <t xml:space="preserve">PSPPH_2772</t>
  </si>
  <si>
    <t xml:space="preserve">TCGGTATCGAGATGGCGCAT</t>
  </si>
  <si>
    <t xml:space="preserve">TAGTTCGGTATCGAGATGGCGCAT</t>
  </si>
  <si>
    <t xml:space="preserve">AAACATGCGCCATCTCGATACCGA</t>
  </si>
  <si>
    <t xml:space="preserve">TGACAGCAACAAAAGCAGCT</t>
  </si>
  <si>
    <t xml:space="preserve">TAGTTGACAGCAACAAAAGCAGCT</t>
  </si>
  <si>
    <t xml:space="preserve">AAACAGCTGCTTTTGTTGCTGTCA</t>
  </si>
  <si>
    <t xml:space="preserve">GCCGATACGCTCACCGGCAG</t>
  </si>
  <si>
    <t xml:space="preserve">TAGTGCCGATACGCTCACCGGCAG</t>
  </si>
  <si>
    <t xml:space="preserve">AAACCTGCCGGTGAGCGTATCGGC</t>
  </si>
  <si>
    <t xml:space="preserve">CATCAGGCTGACAGCTGCCT</t>
  </si>
  <si>
    <t xml:space="preserve">TAGTCATCAGGCTGACAGCTGCCT</t>
  </si>
  <si>
    <t xml:space="preserve">AAACAGGCAGCTGTCAGCCTGATG</t>
  </si>
  <si>
    <t xml:space="preserve">PSPPH_2773</t>
  </si>
  <si>
    <t xml:space="preserve">GGCCACAAAACCGCCACCCC</t>
  </si>
  <si>
    <t xml:space="preserve">TAGTGGCCACAAAACCGCCACCCC</t>
  </si>
  <si>
    <t xml:space="preserve">AAACGGGGTGGCGGTTTTGTGGCC</t>
  </si>
  <si>
    <t xml:space="preserve">CAGTTGCTGAATCAAGTGGC</t>
  </si>
  <si>
    <t xml:space="preserve">TAGTCAGTTGCTGAATCAAGTGGC</t>
  </si>
  <si>
    <t xml:space="preserve">AAACGCCACTTGATTCAGCAACTG</t>
  </si>
  <si>
    <t xml:space="preserve">GGTATTGACGACATTGCCGC</t>
  </si>
  <si>
    <t xml:space="preserve">TAGTGGTATTGACGACATTGCCGC</t>
  </si>
  <si>
    <t xml:space="preserve">AAACGCGGCAATGTCGTCAATACC</t>
  </si>
  <si>
    <t xml:space="preserve">GTTGGTGAGGTTGCGCACGG</t>
  </si>
  <si>
    <t xml:space="preserve">TAGTGTTGGTGAGGTTGCGCACGG</t>
  </si>
  <si>
    <t xml:space="preserve">AAACCCGTGCGCAACCTCACCAAC</t>
  </si>
  <si>
    <t xml:space="preserve">PSPPH_2774</t>
  </si>
  <si>
    <t xml:space="preserve">CCGAGGCTTCAGAGAACAGT</t>
  </si>
  <si>
    <t xml:space="preserve">TAGTCCGAGGCTTCAGAGAACAGT</t>
  </si>
  <si>
    <t xml:space="preserve">AAACACTGTTCTCTGAAGCCTCGG</t>
  </si>
  <si>
    <t xml:space="preserve">AGCATGCGCGATACCTGCGG</t>
  </si>
  <si>
    <t xml:space="preserve">TAGTAGCATGCGCGATACCTGCGG</t>
  </si>
  <si>
    <t xml:space="preserve">AAACCCGCAGGTATCGCGCATGCT</t>
  </si>
  <si>
    <t xml:space="preserve">CACGTTCGGTCGCGTACTGC</t>
  </si>
  <si>
    <t xml:space="preserve">TAGTCACGTTCGGTCGCGTACTGC</t>
  </si>
  <si>
    <t xml:space="preserve">AAACGCAGTACGCGACCGAACGTG</t>
  </si>
  <si>
    <t xml:space="preserve">CAGGCCACGGCATAACCACT</t>
  </si>
  <si>
    <t xml:space="preserve">TAGTCAGGCCACGGCATAACCACT</t>
  </si>
  <si>
    <t xml:space="preserve">AAACAGTGGTTATGCCGTGGCCTG</t>
  </si>
  <si>
    <t xml:space="preserve">PSPPH_2775</t>
  </si>
  <si>
    <t xml:space="preserve">TCGCCATACACAGCCCGCCC</t>
  </si>
  <si>
    <t xml:space="preserve">TAGTTCGCCATACACAGCCCGCCC</t>
  </si>
  <si>
    <t xml:space="preserve">AAACGGGCGGGCTGTGTATGGCGA</t>
  </si>
  <si>
    <t xml:space="preserve">GCTCGAACTGCTCGTAATCG</t>
  </si>
  <si>
    <t xml:space="preserve">TAGTGCTCGAACTGCTCGTAATCG</t>
  </si>
  <si>
    <t xml:space="preserve">AAACCGATTACGAGCAGTTCGAGC</t>
  </si>
  <si>
    <t xml:space="preserve">ATTGGTACATCGGGGTTCCG</t>
  </si>
  <si>
    <t xml:space="preserve">TAGTATTGGTACATCGGGGTTCCG</t>
  </si>
  <si>
    <t xml:space="preserve">AAACCGGAACCCCGATGTACCAAT</t>
  </si>
  <si>
    <t xml:space="preserve">AAACCCTGACTGATCGCGAG</t>
  </si>
  <si>
    <t xml:space="preserve">TAGTAAACCCTGACTGATCGCGAG</t>
  </si>
  <si>
    <t xml:space="preserve">AAACCTCGCGATCAGTCAGGGTTT</t>
  </si>
  <si>
    <t xml:space="preserve">PSPPH_2776</t>
  </si>
  <si>
    <t xml:space="preserve">bdh1</t>
  </si>
  <si>
    <t xml:space="preserve">CGCCGGCCGCGCCGGTAATC</t>
  </si>
  <si>
    <t xml:space="preserve">TAGTCGCCGGCCGCGCCGGTAATC</t>
  </si>
  <si>
    <t xml:space="preserve">AAACGATTACCGGCGCGGCCGGCG</t>
  </si>
  <si>
    <t xml:space="preserve">CATGCCCCTGCGGATCAGCT</t>
  </si>
  <si>
    <t xml:space="preserve">TAGTCATGCCCCTGCGGATCAGCT</t>
  </si>
  <si>
    <t xml:space="preserve">AAACAGCTGATCCGCAGGGGCATG</t>
  </si>
  <si>
    <t xml:space="preserve">AGGGAAAAGCATCTTCGCCG</t>
  </si>
  <si>
    <t xml:space="preserve">TAGTAGGGAAAAGCATCTTCGCCG</t>
  </si>
  <si>
    <t xml:space="preserve">AAACCGGCGAAGATGCTTTTCCCT</t>
  </si>
  <si>
    <t xml:space="preserve">GTTGGTCAGATCAACTACAT</t>
  </si>
  <si>
    <t xml:space="preserve">TAGTGTTGGTCAGATCAACTACAT</t>
  </si>
  <si>
    <t xml:space="preserve">AAACATGTAGTTGATCTGACCAAC</t>
  </si>
  <si>
    <t xml:space="preserve">PSPPH_2777</t>
  </si>
  <si>
    <t xml:space="preserve">GCTCCACGCAACAGTCCGTC</t>
  </si>
  <si>
    <t xml:space="preserve">TAGTGCTCCACGCAACAGTCCGTC</t>
  </si>
  <si>
    <t xml:space="preserve">AAACGACGGACTGTTGCGTGGAGC</t>
  </si>
  <si>
    <t xml:space="preserve">CACCTCCATCAGCGCGTTCC</t>
  </si>
  <si>
    <t xml:space="preserve">TAGTCACCTCCATCAGCGCGTTCC</t>
  </si>
  <si>
    <t xml:space="preserve">AAACGGAACGCGCTGATGGAGGTG</t>
  </si>
  <si>
    <t xml:space="preserve">AGACAAAGGACCAGCTCGCC</t>
  </si>
  <si>
    <t xml:space="preserve">TAGTAGACAAAGGACCAGCTCGCC</t>
  </si>
  <si>
    <t xml:space="preserve">AAACGGCGAGCTGGTCCTTTGTCT</t>
  </si>
  <si>
    <t xml:space="preserve">AGCGGCCAGCGCCACCCCGC</t>
  </si>
  <si>
    <t xml:space="preserve">TAGTAGCGGCCAGCGCCACCCCGC</t>
  </si>
  <si>
    <t xml:space="preserve">AAACGCGGGGTGGCGCTGGCCGCT</t>
  </si>
  <si>
    <t xml:space="preserve">PSPPH_2778</t>
  </si>
  <si>
    <t xml:space="preserve">TTTTTATGCGCGCAAGTAAT</t>
  </si>
  <si>
    <t xml:space="preserve">TAGTTTTTTATGCGCGCAAGTAAT</t>
  </si>
  <si>
    <t xml:space="preserve">AAACATTACTTGCGCGCATAAAAA</t>
  </si>
  <si>
    <t xml:space="preserve">ATGGAAAAAACAACCCGCTT</t>
  </si>
  <si>
    <t xml:space="preserve">TAGTATGGAAAAAACAACCCGCTT</t>
  </si>
  <si>
    <t xml:space="preserve">AAACAAGCGGGTTGTTTTTTCCAT</t>
  </si>
  <si>
    <t xml:space="preserve">TTGCCGGGATGGCTACCGAC</t>
  </si>
  <si>
    <t xml:space="preserve">TAGTTTGCCGGGATGGCTACCGAC</t>
  </si>
  <si>
    <t xml:space="preserve">AAACGTCGGTAGCCATCCCGGCAA</t>
  </si>
  <si>
    <t xml:space="preserve">PSPPH_2779</t>
  </si>
  <si>
    <t xml:space="preserve">GGGTCATTTGGCAGTGAAGC</t>
  </si>
  <si>
    <t xml:space="preserve">TAGTGGGTCATTTGGCAGTGAAGC</t>
  </si>
  <si>
    <t xml:space="preserve">AAACGCTTCACTGCCAAATGACCC</t>
  </si>
  <si>
    <t xml:space="preserve">CAGCGTCACGCAACGCTTGC</t>
  </si>
  <si>
    <t xml:space="preserve">TAGTCAGCGTCACGCAACGCTTGC</t>
  </si>
  <si>
    <t xml:space="preserve">AAACGCAAGCGTTGCGTGACGCTG</t>
  </si>
  <si>
    <t xml:space="preserve">CAGGCGCTCGTTTTCGATGA</t>
  </si>
  <si>
    <t xml:space="preserve">TAGTCAGGCGCTCGTTTTCGATGA</t>
  </si>
  <si>
    <t xml:space="preserve">AAACTCATCGAAAACGAGCGCCTG</t>
  </si>
  <si>
    <t xml:space="preserve">ATGCTCTGGGCACTGCTTAT</t>
  </si>
  <si>
    <t xml:space="preserve">TAGTATGCTCTGGGCACTGCTTAT</t>
  </si>
  <si>
    <t xml:space="preserve">AAACATAAGCAGTGCCCAGAGCAT</t>
  </si>
  <si>
    <t xml:space="preserve">PSPPH_2780</t>
  </si>
  <si>
    <t xml:space="preserve">TCATCGGAAAACCTTGAAGA</t>
  </si>
  <si>
    <t xml:space="preserve">TAGTTCATCGGAAAACCTTGAAGA</t>
  </si>
  <si>
    <t xml:space="preserve">AAACTCTTCAAGGTTTTCCGATGA</t>
  </si>
  <si>
    <t xml:space="preserve">TTGAGGCGTGTGTCGGGACG</t>
  </si>
  <si>
    <t xml:space="preserve">TAGTTTGAGGCGTGTGTCGGGACG</t>
  </si>
  <si>
    <t xml:space="preserve">AAACCGTCCCGACACACGCCTCAA</t>
  </si>
  <si>
    <t xml:space="preserve">CAGATTGCGCAGGTTGATGA</t>
  </si>
  <si>
    <t xml:space="preserve">TAGTCAGATTGCGCAGGTTGATGA</t>
  </si>
  <si>
    <t xml:space="preserve">AAACTCATCAACCTGCGCAATCTG</t>
  </si>
  <si>
    <t xml:space="preserve">AAGCCACTCATAGAACTGCG</t>
  </si>
  <si>
    <t xml:space="preserve">TAGTAAGCCACTCATAGAACTGCG</t>
  </si>
  <si>
    <t xml:space="preserve">AAACCGCAGTTCTATGAGTGGCTT</t>
  </si>
  <si>
    <t xml:space="preserve">PSPPH_2781</t>
  </si>
  <si>
    <t xml:space="preserve">AAGGAAGATCAAAAAGGTCA</t>
  </si>
  <si>
    <t xml:space="preserve">TAGTAAGGAAGATCAAAAAGGTCA</t>
  </si>
  <si>
    <t xml:space="preserve">AAACTGACCTTTTTGATCTTCCTT</t>
  </si>
  <si>
    <t xml:space="preserve">GATGATGCCGGTTGCTGCGG</t>
  </si>
  <si>
    <t xml:space="preserve">TAGTGATGATGCCGGTTGCTGCGG</t>
  </si>
  <si>
    <t xml:space="preserve">AAACCCGCAGCAACCGGCATCATC</t>
  </si>
  <si>
    <t xml:space="preserve">AGGGATTCGTACCAGGCTCC</t>
  </si>
  <si>
    <t xml:space="preserve">TAGTAGGGATTCGTACCAGGCTCC</t>
  </si>
  <si>
    <t xml:space="preserve">AAACGGAGCCTGGTACGAATCCCT</t>
  </si>
  <si>
    <t xml:space="preserve">GGGTGAAGCTCGGTTTCTGA</t>
  </si>
  <si>
    <t xml:space="preserve">TAGTGGGTGAAGCTCGGTTTCTGA</t>
  </si>
  <si>
    <t xml:space="preserve">AAACTCAGAAACCGAGCTTCACCC</t>
  </si>
  <si>
    <t xml:space="preserve">PSPPH_2783</t>
  </si>
  <si>
    <t xml:space="preserve">AGCGCGCCGAAGCGTAAGGT</t>
  </si>
  <si>
    <t xml:space="preserve">TAGTAGCGCGCCGAAGCGTAAGGT</t>
  </si>
  <si>
    <t xml:space="preserve">AAACACCTTACGCTTCGGCGCGCT</t>
  </si>
  <si>
    <t xml:space="preserve">ACCATGTTGTTGCCCATTAC</t>
  </si>
  <si>
    <t xml:space="preserve">TAGTACCATGTTGTTGCCCATTAC</t>
  </si>
  <si>
    <t xml:space="preserve">AAACGTAATGGGCAACAACATGGT</t>
  </si>
  <si>
    <t xml:space="preserve">AGCGGCCAATGGCTGAGAGC</t>
  </si>
  <si>
    <t xml:space="preserve">TAGTAGCGGCCAATGGCTGAGAGC</t>
  </si>
  <si>
    <t xml:space="preserve">AAACGCTCTCAGCCATTGGCCGCT</t>
  </si>
  <si>
    <t xml:space="preserve">ACGGCGCAGCATGTCCAGCC</t>
  </si>
  <si>
    <t xml:space="preserve">TAGTACGGCGCAGCATGTCCAGCC</t>
  </si>
  <si>
    <t xml:space="preserve">AAACGGCTGGACATGCTGCGCCGT</t>
  </si>
  <si>
    <t xml:space="preserve">PSPPH_2784</t>
  </si>
  <si>
    <t xml:space="preserve">GTGCGACAGTCTGGCGATAG</t>
  </si>
  <si>
    <t xml:space="preserve">TAGTGTGCGACAGTCTGGCGATAG</t>
  </si>
  <si>
    <t xml:space="preserve">AAACCTATCGCCAGACTGTCGCAC</t>
  </si>
  <si>
    <t xml:space="preserve">AAGGCGAGCGACTGCGGGGC</t>
  </si>
  <si>
    <t xml:space="preserve">TAGTAAGGCGAGCGACTGCGGGGC</t>
  </si>
  <si>
    <t xml:space="preserve">AAACGCCCCGCAGTCGCTCGCCTT</t>
  </si>
  <si>
    <t xml:space="preserve">TCACTGCGCCTTTGTTGGCC</t>
  </si>
  <si>
    <t xml:space="preserve">TAGTTCACTGCGCCTTTGTTGGCC</t>
  </si>
  <si>
    <t xml:space="preserve">AAACGGCCAACAAAGGCGCAGTGA</t>
  </si>
  <si>
    <t xml:space="preserve">AGGGCACCAGAACGGCCGCG</t>
  </si>
  <si>
    <t xml:space="preserve">TAGTAGGGCACCAGAACGGCCGCG</t>
  </si>
  <si>
    <t xml:space="preserve">AAACCGCGGCCGTTCTGGTGCCCT</t>
  </si>
  <si>
    <t xml:space="preserve">PSPPH_2785</t>
  </si>
  <si>
    <t xml:space="preserve">TCGAGCTGAGCAGGCGTCGC</t>
  </si>
  <si>
    <t xml:space="preserve">TAGTTCGAGCTGAGCAGGCGTCGC</t>
  </si>
  <si>
    <t xml:space="preserve">AAACGCGACGCCTGCTCAGCTCGA</t>
  </si>
  <si>
    <t xml:space="preserve">AGCGAAACCAGAATCAGCGT</t>
  </si>
  <si>
    <t xml:space="preserve">TAGTAGCGAAACCAGAATCAGCGT</t>
  </si>
  <si>
    <t xml:space="preserve">AAACACGCTGATTCTGGTTTCGCT</t>
  </si>
  <si>
    <t xml:space="preserve">ACCCGGCAGCAGCTTCTGCA</t>
  </si>
  <si>
    <t xml:space="preserve">TAGTACCCGGCAGCAGCTTCTGCA</t>
  </si>
  <si>
    <t xml:space="preserve">AAACTGCAGAAGCTGCTGCCGGGT</t>
  </si>
  <si>
    <t xml:space="preserve">CCCCGGCCATGGCCAGCACC</t>
  </si>
  <si>
    <t xml:space="preserve">TAGTCCCCGGCCATGGCCAGCACC</t>
  </si>
  <si>
    <t xml:space="preserve">AAACGGTGCTGGCCATGGCCGGGG</t>
  </si>
  <si>
    <t xml:space="preserve">PSPPH_2786</t>
  </si>
  <si>
    <t xml:space="preserve">TTCGGCAAAGGCAGCGTTGG</t>
  </si>
  <si>
    <t xml:space="preserve">TAGTTTCGGCAAAGGCAGCGTTGG</t>
  </si>
  <si>
    <t xml:space="preserve">AAACCCAACGCTGCCTTTGCCGAA</t>
  </si>
  <si>
    <t xml:space="preserve">CGATGCGGATCAAGCACGTC</t>
  </si>
  <si>
    <t xml:space="preserve">TAGTCGATGCGGATCAAGCACGTC</t>
  </si>
  <si>
    <t xml:space="preserve">AAACGACGTGCTTGATCCGCATCG</t>
  </si>
  <si>
    <t xml:space="preserve">GTAGACCAGGCGGCCGGAGT</t>
  </si>
  <si>
    <t xml:space="preserve">TAGTGTAGACCAGGCGGCCGGAGT</t>
  </si>
  <si>
    <t xml:space="preserve">AAACACTCCGGCCGCCTGGTCTAC</t>
  </si>
  <si>
    <t xml:space="preserve">CACCAGTTTGTCGCACAGCG</t>
  </si>
  <si>
    <t xml:space="preserve">TAGTCACCAGTTTGTCGCACAGCG</t>
  </si>
  <si>
    <t xml:space="preserve">AAACCGCTGTGCGACAAACTGGTG</t>
  </si>
  <si>
    <t xml:space="preserve">PSPPH_2787</t>
  </si>
  <si>
    <t xml:space="preserve">GTACCTATGGAATTCACCTC</t>
  </si>
  <si>
    <t xml:space="preserve">TAGTGTACCTATGGAATTCACCTC</t>
  </si>
  <si>
    <t xml:space="preserve">AAACGAGGTGAATTCCATAGGTAC</t>
  </si>
  <si>
    <t xml:space="preserve">CCATCAACGCCTGGGTGTAA</t>
  </si>
  <si>
    <t xml:space="preserve">TAGTCCATCAACGCCTGGGTGTAA</t>
  </si>
  <si>
    <t xml:space="preserve">AAACTTACACCCAGGCGTTGATGG</t>
  </si>
  <si>
    <t xml:space="preserve">CGCAGGTCCGGGTGGCTGAC</t>
  </si>
  <si>
    <t xml:space="preserve">TAGTCGCAGGTCCGGGTGGCTGAC</t>
  </si>
  <si>
    <t xml:space="preserve">AAACGTCAGCCACCCGGACCTGCG</t>
  </si>
  <si>
    <t xml:space="preserve">CGCCGAGCAAGGGACGCGGC</t>
  </si>
  <si>
    <t xml:space="preserve">TAGTCGCCGAGCAAGGGACGCGGC</t>
  </si>
  <si>
    <t xml:space="preserve">AAACGCCGCGTCCCTTGCTCGGCG</t>
  </si>
  <si>
    <t xml:space="preserve">PSPPH_2788</t>
  </si>
  <si>
    <t xml:space="preserve">GACGTTTTATATGATCCATT</t>
  </si>
  <si>
    <t xml:space="preserve">TAGTGACGTTTTATATGATCCATT</t>
  </si>
  <si>
    <t xml:space="preserve">AAACAATGGATCATATAAAACGTC</t>
  </si>
  <si>
    <t xml:space="preserve">AGCGTCATCCCAGACAGCAC</t>
  </si>
  <si>
    <t xml:space="preserve">TAGTAGCGTCATCCCAGACAGCAC</t>
  </si>
  <si>
    <t xml:space="preserve">AAACGTGCTGTCTGGGATGACGCT</t>
  </si>
  <si>
    <t xml:space="preserve">AATCGTCCAGCTTTGGCAGC</t>
  </si>
  <si>
    <t xml:space="preserve">TAGTAATCGTCCAGCTTTGGCAGC</t>
  </si>
  <si>
    <t xml:space="preserve">AAACGCTGCCAAAGCTGGACGATT</t>
  </si>
  <si>
    <t xml:space="preserve">GAAGATCAGGAAACAAGCTG</t>
  </si>
  <si>
    <t xml:space="preserve">TAGTGAAGATCAGGAAACAAGCTG</t>
  </si>
  <si>
    <t xml:space="preserve">AAACCAGCTTGTTTCCTGATCTTC</t>
  </si>
  <si>
    <t xml:space="preserve">PSPPH_2789</t>
  </si>
  <si>
    <t xml:space="preserve">AAAAGCCCTCAATAGTTTGA</t>
  </si>
  <si>
    <t xml:space="preserve">TAGTAAAAGCCCTCAATAGTTTGA</t>
  </si>
  <si>
    <t xml:space="preserve">AAACTCAAACTATTGAGGGCTTTT</t>
  </si>
  <si>
    <t xml:space="preserve">AATATAAATAAGAGAGCGCA</t>
  </si>
  <si>
    <t xml:space="preserve">TAGTAATATAAATAAGAGAGCGCA</t>
  </si>
  <si>
    <t xml:space="preserve">AAACTGCGCTCTCTTATTTATATT</t>
  </si>
  <si>
    <t xml:space="preserve">GAAAATGATAAAAAAAACAA</t>
  </si>
  <si>
    <t xml:space="preserve">TAGTGAAAATGATAAAAAAAACAA</t>
  </si>
  <si>
    <t xml:space="preserve">AAACTTGTTTTTTTTATCATTTTC</t>
  </si>
  <si>
    <t xml:space="preserve">GCTGAATAAGCGCTAGAGTA</t>
  </si>
  <si>
    <t xml:space="preserve">TAGTGCTGAATAAGCGCTAGAGTA</t>
  </si>
  <si>
    <t xml:space="preserve">AAACTACTCTAGCGCTTATTCAGC</t>
  </si>
  <si>
    <t xml:space="preserve">PSPPH_2790</t>
  </si>
  <si>
    <t xml:space="preserve">TACTTCGATAAGCAATGTCA</t>
  </si>
  <si>
    <t xml:space="preserve">TAGTTACTTCGATAAGCAATGTCA</t>
  </si>
  <si>
    <t xml:space="preserve">AAACTGACATTGCTTATCGAAGTA</t>
  </si>
  <si>
    <t xml:space="preserve">CGTGTACGGTTTTTGAGACT</t>
  </si>
  <si>
    <t xml:space="preserve">TAGTCGTGTACGGTTTTTGAGACT</t>
  </si>
  <si>
    <t xml:space="preserve">AAACAGTCTCAAAAACCGTACACG</t>
  </si>
  <si>
    <t xml:space="preserve">TTCTGAGGATAAGGAATATG</t>
  </si>
  <si>
    <t xml:space="preserve">TAGTTTCTGAGGATAAGGAATATG</t>
  </si>
  <si>
    <t xml:space="preserve">AAACCATATTCCTTATCCTCAGAA</t>
  </si>
  <si>
    <t xml:space="preserve">AGGAACTTCGGACGGAGTGG</t>
  </si>
  <si>
    <t xml:space="preserve">TAGTAGGAACTTCGGACGGAGTGG</t>
  </si>
  <si>
    <t xml:space="preserve">AAACCCACTCCGTCCGAAGTTCCT</t>
  </si>
  <si>
    <t xml:space="preserve">PSPPH_2791</t>
  </si>
  <si>
    <t xml:space="preserve">CACAGACGACCCGCAGATCG</t>
  </si>
  <si>
    <t xml:space="preserve">TAGTCACAGACGACCCGCAGATCG</t>
  </si>
  <si>
    <t xml:space="preserve">AAACCGATCTGCGGGTCGTCTGTG</t>
  </si>
  <si>
    <t xml:space="preserve">GCTGAGGACTTCGTTAGTGT</t>
  </si>
  <si>
    <t xml:space="preserve">TAGTGCTGAGGACTTCGTTAGTGT</t>
  </si>
  <si>
    <t xml:space="preserve">AAACACACTAACGAAGTCCTCAGC</t>
  </si>
  <si>
    <t xml:space="preserve">CCTTGTGCTTAAAGCGAGGC</t>
  </si>
  <si>
    <t xml:space="preserve">TAGTCCTTGTGCTTAAAGCGAGGC</t>
  </si>
  <si>
    <t xml:space="preserve">AAACGCCTCGCTTTAAGCACAAGG</t>
  </si>
  <si>
    <t xml:space="preserve">CGTTACGGATGTCGAATGGC</t>
  </si>
  <si>
    <t xml:space="preserve">TAGTCGTTACGGATGTCGAATGGC</t>
  </si>
  <si>
    <t xml:space="preserve">AAACGCCATTCGACATCCGTAACG</t>
  </si>
  <si>
    <t xml:space="preserve">PSPPH_2792</t>
  </si>
  <si>
    <t xml:space="preserve">AGATTTTCGCCGATGCTCAT</t>
  </si>
  <si>
    <t xml:space="preserve">TAGTAGATTTTCGCCGATGCTCAT</t>
  </si>
  <si>
    <t xml:space="preserve">AAACATGAGCATCGGCGAAAATCT</t>
  </si>
  <si>
    <t xml:space="preserve">GGCTTTTTGCGATAGCCCTG</t>
  </si>
  <si>
    <t xml:space="preserve">TAGTGGCTTTTTGCGATAGCCCTG</t>
  </si>
  <si>
    <t xml:space="preserve">AAACCAGGGCTATCGCAAAAAGCC</t>
  </si>
  <si>
    <t xml:space="preserve">TGTATCTATCAGACCCGCCA</t>
  </si>
  <si>
    <t xml:space="preserve">TAGTTGTATCTATCAGACCCGCCA</t>
  </si>
  <si>
    <t xml:space="preserve">AAACTGGCGGGTCTGATAGATACA</t>
  </si>
  <si>
    <t xml:space="preserve">GCAACCTTGTCTGCTGGCGG</t>
  </si>
  <si>
    <t xml:space="preserve">TAGTGCAACCTTGTCTGCTGGCGG</t>
  </si>
  <si>
    <t xml:space="preserve">AAACCCGCCAGCAGACAAGGTTGC</t>
  </si>
  <si>
    <t xml:space="preserve">PSPPH_2793</t>
  </si>
  <si>
    <t xml:space="preserve">ATGTCTTTCAAATGAATAAC</t>
  </si>
  <si>
    <t xml:space="preserve">TAGTATGTCTTTCAAATGAATAAC</t>
  </si>
  <si>
    <t xml:space="preserve">AAACGTTATTCATTTGAAAGACAT</t>
  </si>
  <si>
    <t xml:space="preserve">ACCAACGAGTCCGGAAGGCA</t>
  </si>
  <si>
    <t xml:space="preserve">TAGTACCAACGAGTCCGGAAGGCA</t>
  </si>
  <si>
    <t xml:space="preserve">AAACTGCCTTCCGGACTCGTTGGT</t>
  </si>
  <si>
    <t xml:space="preserve">GCGCGGTCGTCCACGGTCAT</t>
  </si>
  <si>
    <t xml:space="preserve">TAGTGCGCGGTCGTCCACGGTCAT</t>
  </si>
  <si>
    <t xml:space="preserve">AAACATGACCGTGGACGACCGCGC</t>
  </si>
  <si>
    <t xml:space="preserve">TAGTGTGGACGGCGCCAAGC</t>
  </si>
  <si>
    <t xml:space="preserve">TAGTTAGTGTGGACGGCGCCAAGC</t>
  </si>
  <si>
    <t xml:space="preserve">AAACGCTTGGCGCCGTCCACACTA</t>
  </si>
  <si>
    <t xml:space="preserve">PSPPH_2795</t>
  </si>
  <si>
    <t xml:space="preserve">CCAGTTGACGCCTTTGGAAG</t>
  </si>
  <si>
    <t xml:space="preserve">TAGTCCAGTTGACGCCTTTGGAAG</t>
  </si>
  <si>
    <t xml:space="preserve">AAACCTTCCAAAGGCGTCAACTGG</t>
  </si>
  <si>
    <t xml:space="preserve">ACGGTCCCATCAGGTCCAGT</t>
  </si>
  <si>
    <t xml:space="preserve">TAGTACGGTCCCATCAGGTCCAGT</t>
  </si>
  <si>
    <t xml:space="preserve">AAACACTGGACCTGATGGGACCGT</t>
  </si>
  <si>
    <t xml:space="preserve">TTCCCCGCCATACGGAACAG</t>
  </si>
  <si>
    <t xml:space="preserve">TAGTTTCCCCGCCATACGGAACAG</t>
  </si>
  <si>
    <t xml:space="preserve">AAACCTGTTCCGTATGGCGGGGAA</t>
  </si>
  <si>
    <t xml:space="preserve">GCAAGCCAATAAGGGATTCG</t>
  </si>
  <si>
    <t xml:space="preserve">TAGTGCAAGCCAATAAGGGATTCG</t>
  </si>
  <si>
    <t xml:space="preserve">AAACCGAATCCCTTATTGGCTTGC</t>
  </si>
  <si>
    <t xml:space="preserve">PSPPH_2796</t>
  </si>
  <si>
    <t xml:space="preserve">GCACTGACGGTGCGGCGGAC</t>
  </si>
  <si>
    <t xml:space="preserve">TAGTGCACTGACGGTGCGGCGGAC</t>
  </si>
  <si>
    <t xml:space="preserve">AAACGTCCGCCGCACCGTCAGTGC</t>
  </si>
  <si>
    <t xml:space="preserve">TTTCTCACCGCTGTCCAGCA</t>
  </si>
  <si>
    <t xml:space="preserve">TAGTTTTCTCACCGCTGTCCAGCA</t>
  </si>
  <si>
    <t xml:space="preserve">AAACTGCTGGACAGCGGTGAGAAA</t>
  </si>
  <si>
    <t xml:space="preserve">TTTACGCACAATGGCATGGG</t>
  </si>
  <si>
    <t xml:space="preserve">TAGTTTTACGCACAATGGCATGGG</t>
  </si>
  <si>
    <t xml:space="preserve">AAACCCCATGCCATTGTGCGTAAA</t>
  </si>
  <si>
    <t xml:space="preserve">GTCCCGGGTGAGACTGGAAA</t>
  </si>
  <si>
    <t xml:space="preserve">TAGTGTCCCGGGTGAGACTGGAAA</t>
  </si>
  <si>
    <t xml:space="preserve">AAACTTTCCAGTCTCACCCGGGAC</t>
  </si>
  <si>
    <t xml:space="preserve">PSPPH_2800</t>
  </si>
  <si>
    <t xml:space="preserve">GCGTAATCTCATATTCCGTA</t>
  </si>
  <si>
    <t xml:space="preserve">TAGTGCGTAATCTCATATTCCGTA</t>
  </si>
  <si>
    <t xml:space="preserve">AAACTACGGAATATGAGATTACGC</t>
  </si>
  <si>
    <t xml:space="preserve">TGTAGGTTCGGCTGCTGACC</t>
  </si>
  <si>
    <t xml:space="preserve">TAGTTGTAGGTTCGGCTGCTGACC</t>
  </si>
  <si>
    <t xml:space="preserve">AAACGGTCAGCAGCCGAACCTACA</t>
  </si>
  <si>
    <t xml:space="preserve">GAGCTGAGTCACCTTTTCCA</t>
  </si>
  <si>
    <t xml:space="preserve">TAGTGAGCTGAGTCACCTTTTCCA</t>
  </si>
  <si>
    <t xml:space="preserve">AAACTGGAAAAGGTGACTCAGCTC</t>
  </si>
  <si>
    <t xml:space="preserve">ATTCTACAAGCAGGCTTAGG</t>
  </si>
  <si>
    <t xml:space="preserve">TAGTATTCTACAAGCAGGCTTAGG</t>
  </si>
  <si>
    <t xml:space="preserve">AAACCCTAAGCCTGCTTGTAGAAT</t>
  </si>
  <si>
    <t xml:space="preserve">PSPPH_2801</t>
  </si>
  <si>
    <t xml:space="preserve">GCACGGATATGTTTTTGCCA</t>
  </si>
  <si>
    <t xml:space="preserve">TAGTGCACGGATATGTTTTTGCCA</t>
  </si>
  <si>
    <t xml:space="preserve">AAACTGGCAAAAACATATCCGTGC</t>
  </si>
  <si>
    <t xml:space="preserve">GAGCGATCGTTCCCTCCTTC</t>
  </si>
  <si>
    <t xml:space="preserve">TAGTGAGCGATCGTTCCCTCCTTC</t>
  </si>
  <si>
    <t xml:space="preserve">AAACGAAGGAGGGAACGATCGCTC</t>
  </si>
  <si>
    <t xml:space="preserve">CTGCTCTCGGATAATCAGAT</t>
  </si>
  <si>
    <t xml:space="preserve">TAGTCTGCTCTCGGATAATCAGAT</t>
  </si>
  <si>
    <t xml:space="preserve">AAACATCTGATTATCCGAGAGCAG</t>
  </si>
  <si>
    <t xml:space="preserve">GTCATGGGTGAACGAAAATG</t>
  </si>
  <si>
    <t xml:space="preserve">TAGTGTCATGGGTGAACGAAAATG</t>
  </si>
  <si>
    <t xml:space="preserve">AAACCATTTTCGTTCACCCATGAC</t>
  </si>
  <si>
    <t xml:space="preserve">PSPPH_2802</t>
  </si>
  <si>
    <t xml:space="preserve">CCAGACCATGAAATTTAAGT</t>
  </si>
  <si>
    <t xml:space="preserve">TAGTCCAGACCATGAAATTTAAGT</t>
  </si>
  <si>
    <t xml:space="preserve">AAACACTTAAATTTCATGGTCTGG</t>
  </si>
  <si>
    <t xml:space="preserve">ACCCAGCGTCAGCCGGTCGT</t>
  </si>
  <si>
    <t xml:space="preserve">TAGTACCCAGCGTCAGCCGGTCGT</t>
  </si>
  <si>
    <t xml:space="preserve">AAACACGACCGGCTGACGCTGGGT</t>
  </si>
  <si>
    <t xml:space="preserve">GGCTCCATGACTTCTGCCTG</t>
  </si>
  <si>
    <t xml:space="preserve">TAGTGGCTCCATGACTTCTGCCTG</t>
  </si>
  <si>
    <t xml:space="preserve">AAACCAGGCAGAAGTCATGGAGCC</t>
  </si>
  <si>
    <t xml:space="preserve">GCCAGATTGTATTTGAAGCC</t>
  </si>
  <si>
    <t xml:space="preserve">TAGTGCCAGATTGTATTTGAAGCC</t>
  </si>
  <si>
    <t xml:space="preserve">AAACGGCTTCAAATACAATCTGGC</t>
  </si>
  <si>
    <t xml:space="preserve">PSPPH_2803</t>
  </si>
  <si>
    <t xml:space="preserve">arnC</t>
  </si>
  <si>
    <t xml:space="preserve">GACACAAACTTGATTGGGTA</t>
  </si>
  <si>
    <t xml:space="preserve">TAGTGACACAAACTTGATTGGGTA</t>
  </si>
  <si>
    <t xml:space="preserve">AAACTACCCAATCAAGTTTGTGTC</t>
  </si>
  <si>
    <t xml:space="preserve">TCTGGCGCTCGTTGTAGACA</t>
  </si>
  <si>
    <t xml:space="preserve">TAGTTCTGGCGCTCGTTGTAGACA</t>
  </si>
  <si>
    <t xml:space="preserve">AAACTGTCTACAACGAGCGCCAGA</t>
  </si>
  <si>
    <t xml:space="preserve">TCAGTACGCCGTAGCAACTC</t>
  </si>
  <si>
    <t xml:space="preserve">TAGTTCAGTACGCCGTAGCAACTC</t>
  </si>
  <si>
    <t xml:space="preserve">AAACGAGTTGCTACGGCGTACTGA</t>
  </si>
  <si>
    <t xml:space="preserve">GCGGTGATTCAAGTGTTTAC</t>
  </si>
  <si>
    <t xml:space="preserve">TAGTGCGGTGATTCAAGTGTTTAC</t>
  </si>
  <si>
    <t xml:space="preserve">AAACGTAAACACTTGAATCACCGC</t>
  </si>
  <si>
    <t xml:space="preserve">PSPPH_2804</t>
  </si>
  <si>
    <t xml:space="preserve">arnA</t>
  </si>
  <si>
    <t xml:space="preserve">AGGCGAAAACGACAGCTTTA</t>
  </si>
  <si>
    <t xml:space="preserve">TAGTAGGCGAAAACGACAGCTTTA</t>
  </si>
  <si>
    <t xml:space="preserve">AAACTAAAGCTGTCGTTTTCGCCT</t>
  </si>
  <si>
    <t xml:space="preserve">GACACAGCCAATATCGTGAT</t>
  </si>
  <si>
    <t xml:space="preserve">TAGTGACACAGCCAATATCGTGAT</t>
  </si>
  <si>
    <t xml:space="preserve">AAACATCACGATATTGGCTGTGTC</t>
  </si>
  <si>
    <t xml:space="preserve">CTGCGCCCAGCAGCGCTTGC</t>
  </si>
  <si>
    <t xml:space="preserve">TAGTCTGCGCCCAGCAGCGCTTGC</t>
  </si>
  <si>
    <t xml:space="preserve">AAACGCAAGCGCTGCTGGGCGCAG</t>
  </si>
  <si>
    <t xml:space="preserve">GGTTTTTTCCTTGGGGTCGT</t>
  </si>
  <si>
    <t xml:space="preserve">TAGTGGTTTTTTCCTTGGGGTCGT</t>
  </si>
  <si>
    <t xml:space="preserve">AAACACGACCCCAAGGAAAAAACC</t>
  </si>
  <si>
    <t xml:space="preserve">PSPPH_2805</t>
  </si>
  <si>
    <t xml:space="preserve">CAACCTCGGCACGCCTTCAC</t>
  </si>
  <si>
    <t xml:space="preserve">TAGTCAACCTCGGCACGCCTTCAC</t>
  </si>
  <si>
    <t xml:space="preserve">AAACGTGAAGGCGTGCCGAGGTTG</t>
  </si>
  <si>
    <t xml:space="preserve">GGTGACGTCCCATGTTGTCG</t>
  </si>
  <si>
    <t xml:space="preserve">TAGTGGTGACGTCCCATGTTGTCG</t>
  </si>
  <si>
    <t xml:space="preserve">AAACCGACAACATGGGACGTCACC</t>
  </si>
  <si>
    <t xml:space="preserve">TGGGCCGTGCGAGACGCCAC</t>
  </si>
  <si>
    <t xml:space="preserve">TAGTTGGGCCGTGCGAGACGCCAC</t>
  </si>
  <si>
    <t xml:space="preserve">AAACGTGGCGTCTCGCACGGCCCA</t>
  </si>
  <si>
    <t xml:space="preserve">AAGCATCTTCCAGAAAAACG</t>
  </si>
  <si>
    <t xml:space="preserve">TAGTAAGCATCTTCCAGAAAAACG</t>
  </si>
  <si>
    <t xml:space="preserve">AAACCGTTTTTCTGGAAGATGCTT</t>
  </si>
  <si>
    <t xml:space="preserve">PSPPH_2806</t>
  </si>
  <si>
    <t xml:space="preserve">GAGTGCGCCATCACGGTATC</t>
  </si>
  <si>
    <t xml:space="preserve">TAGTGAGTGCGCCATCACGGTATC</t>
  </si>
  <si>
    <t xml:space="preserve">AAACGATACCGTGATGGCGCACTC</t>
  </si>
  <si>
    <t xml:space="preserve">CCAGCAAGAATGCCGCTAAC</t>
  </si>
  <si>
    <t xml:space="preserve">TAGTCCAGCAAGAATGCCGCTAAC</t>
  </si>
  <si>
    <t xml:space="preserve">AAACGTTAGCGGCATTCTTGCTGG</t>
  </si>
  <si>
    <t xml:space="preserve">GAAACCCAGCGGTAGCAGGT</t>
  </si>
  <si>
    <t xml:space="preserve">TAGTGAAACCCAGCGGTAGCAGGT</t>
  </si>
  <si>
    <t xml:space="preserve">AAACACCTGCTACCGCTGGGTTTC</t>
  </si>
  <si>
    <t xml:space="preserve">CATCGGGAATCCACAAACCA</t>
  </si>
  <si>
    <t xml:space="preserve">TAGTCATCGGGAATCCACAAACCA</t>
  </si>
  <si>
    <t xml:space="preserve">AAACTGGTTTGTGGATTCCCGATG</t>
  </si>
  <si>
    <t xml:space="preserve">PSPPH_2807</t>
  </si>
  <si>
    <t xml:space="preserve">CAGGAGCATCAGCCAGGTCA</t>
  </si>
  <si>
    <t xml:space="preserve">TAGTCAGGAGCATCAGCCAGGTCA</t>
  </si>
  <si>
    <t xml:space="preserve">AAACTGACCTGGCTGATGCTCCTG</t>
  </si>
  <si>
    <t xml:space="preserve">TCTGGCCCAGGCACGTCAGC</t>
  </si>
  <si>
    <t xml:space="preserve">TAGTTCTGGCCCAGGCACGTCAGC</t>
  </si>
  <si>
    <t xml:space="preserve">AAACGCTGACGTGCCTGGGCCAGA</t>
  </si>
  <si>
    <t xml:space="preserve">ACGCAGTGCAGCCAATACGC</t>
  </si>
  <si>
    <t xml:space="preserve">TAGTACGCAGTGCAGCCAATACGC</t>
  </si>
  <si>
    <t xml:space="preserve">AAACGCGTATTGGCTGCACTGCGT</t>
  </si>
  <si>
    <t xml:space="preserve">AGACCAGCAGACCCAGCCCG</t>
  </si>
  <si>
    <t xml:space="preserve">TAGTAGACCAGCAGACCCAGCCCG</t>
  </si>
  <si>
    <t xml:space="preserve">AAACCGGGCTGGGTCTGCTGGTCT</t>
  </si>
  <si>
    <t xml:space="preserve">PSPPH_2808</t>
  </si>
  <si>
    <t xml:space="preserve">GACCAGTGCAACGCTGGTCA</t>
  </si>
  <si>
    <t xml:space="preserve">TAGTGACCAGTGCAACGCTGGTCA</t>
  </si>
  <si>
    <t xml:space="preserve">AAACTGACCAGCGTTGCACTGGTC</t>
  </si>
  <si>
    <t xml:space="preserve">ATTGTCCAGGTGAGGGCAGG</t>
  </si>
  <si>
    <t xml:space="preserve">TAGTATTGTCCAGGTGAGGGCAGG</t>
  </si>
  <si>
    <t xml:space="preserve">AAACCCTGCCCTCACCTGGACAAT</t>
  </si>
  <si>
    <t xml:space="preserve">GCAGATGACGGCGATGGCAC</t>
  </si>
  <si>
    <t xml:space="preserve">TAGTGCAGATGACGGCGATGGCAC</t>
  </si>
  <si>
    <t xml:space="preserve">AAACGTGCCATCGCCGTCATCTGC</t>
  </si>
  <si>
    <t xml:space="preserve">GAGTGCATAGGCTGTGATTG</t>
  </si>
  <si>
    <t xml:space="preserve">TAGTGAGTGCATAGGCTGTGATTG</t>
  </si>
  <si>
    <t xml:space="preserve">AAACCAATCACAGCCTATGCACTC</t>
  </si>
  <si>
    <t xml:space="preserve">PSPPH_2809</t>
  </si>
  <si>
    <t xml:space="preserve">ATGGCCGACTTCGGCAAGTA</t>
  </si>
  <si>
    <t xml:space="preserve">TAGTATGGCCGACTTCGGCAAGTA</t>
  </si>
  <si>
    <t xml:space="preserve">AAACTACTTGCCGAAGTCGGCCAT</t>
  </si>
  <si>
    <t xml:space="preserve">GCAGTTGATCGATTTTGGCC</t>
  </si>
  <si>
    <t xml:space="preserve">TAGTGCAGTTGATCGATTTTGGCC</t>
  </si>
  <si>
    <t xml:space="preserve">AAACGGCCAAAATCGATCAACTGC</t>
  </si>
  <si>
    <t xml:space="preserve">CAGATTGTCACGCACGAGAT</t>
  </si>
  <si>
    <t xml:space="preserve">TAGTCAGATTGTCACGCACGAGAT</t>
  </si>
  <si>
    <t xml:space="preserve">AAACATCTCGTGCGTGACAATCTG</t>
  </si>
  <si>
    <t xml:space="preserve">CACCGCCAGTCGCTCGTCGG</t>
  </si>
  <si>
    <t xml:space="preserve">TAGTCACCGCCAGTCGCTCGTCGG</t>
  </si>
  <si>
    <t xml:space="preserve">AAACCCGACGAGCGACTGGCGGTG</t>
  </si>
  <si>
    <t xml:space="preserve">PSPPH_2810</t>
  </si>
  <si>
    <t xml:space="preserve">AGAGGATACCGACAGGCACA</t>
  </si>
  <si>
    <t xml:space="preserve">TAGTAGAGGATACCGACAGGCACA</t>
  </si>
  <si>
    <t xml:space="preserve">AAACTGTGCCTGTCGGTATCCTCT</t>
  </si>
  <si>
    <t xml:space="preserve">GACGTCATCAAGGAAGATAC</t>
  </si>
  <si>
    <t xml:space="preserve">TAGTGACGTCATCAAGGAAGATAC</t>
  </si>
  <si>
    <t xml:space="preserve">AAACGTATCTTCCTTGATGACGTC</t>
  </si>
  <si>
    <t xml:space="preserve">ACACACAGCAGCAACAGCAA</t>
  </si>
  <si>
    <t xml:space="preserve">TAGTACACACAGCAGCAACAGCAA</t>
  </si>
  <si>
    <t xml:space="preserve">AAACTTGCTGTTGCTGCTGTGTGT</t>
  </si>
  <si>
    <t xml:space="preserve">GCTCCGTCGAATTTTGCAAC</t>
  </si>
  <si>
    <t xml:space="preserve">TAGTGCTCCGTCGAATTTTGCAAC</t>
  </si>
  <si>
    <t xml:space="preserve">AAACGTTGCAAAATTCGACGGAGC</t>
  </si>
  <si>
    <t xml:space="preserve">PSPPH_2811</t>
  </si>
  <si>
    <t xml:space="preserve">AAGCGAAGATGCCCTGAACG</t>
  </si>
  <si>
    <t xml:space="preserve">TAGTAAGCGAAGATGCCCTGAACG</t>
  </si>
  <si>
    <t xml:space="preserve">AAACCGTTCAGGGCATCTTCGCTT</t>
  </si>
  <si>
    <t xml:space="preserve">GAGCAAGGAAATCACAATGG</t>
  </si>
  <si>
    <t xml:space="preserve">TAGTGAGCAAGGAAATCACAATGG</t>
  </si>
  <si>
    <t xml:space="preserve">AAACCCATTGTGATTTCCTTGCTC</t>
  </si>
  <si>
    <t xml:space="preserve">AACTGGCGAACGCGGCCAAT</t>
  </si>
  <si>
    <t xml:space="preserve">TAGTAACTGGCGAACGCGGCCAAT</t>
  </si>
  <si>
    <t xml:space="preserve">AAACATTGGCCGCGTTCGCCAGTT</t>
  </si>
  <si>
    <t xml:space="preserve">GCTGGCATACAAACCGGACA</t>
  </si>
  <si>
    <t xml:space="preserve">TAGTGCTGGCATACAAACCGGACA</t>
  </si>
  <si>
    <t xml:space="preserve">AAACTGTCCGGTTTGTATGCCAGC</t>
  </si>
  <si>
    <t xml:space="preserve">PSPPH_2812</t>
  </si>
  <si>
    <t xml:space="preserve">GTCAACAGCGCTATTGCCAT</t>
  </si>
  <si>
    <t xml:space="preserve">TAGTGTCAACAGCGCTATTGCCAT</t>
  </si>
  <si>
    <t xml:space="preserve">AAACATGGCAATAGCGCTGTTGAC</t>
  </si>
  <si>
    <t xml:space="preserve">AGTAAGATCAAAAACGACAA</t>
  </si>
  <si>
    <t xml:space="preserve">TAGTAGTAAGATCAAAAACGACAA</t>
  </si>
  <si>
    <t xml:space="preserve">AAACTTGTCGTTTTTGATCTTACT</t>
  </si>
  <si>
    <t xml:space="preserve">CAAACGGAAATACCTGAAGC</t>
  </si>
  <si>
    <t xml:space="preserve">TAGTCAAACGGAAATACCTGAAGC</t>
  </si>
  <si>
    <t xml:space="preserve">AAACGCTTCAGGTATTTCCGTTTG</t>
  </si>
  <si>
    <t xml:space="preserve">GGGTCAGATTTTCAAATCGG</t>
  </si>
  <si>
    <t xml:space="preserve">TAGTGGGTCAGATTTTCAAATCGG</t>
  </si>
  <si>
    <t xml:space="preserve">AAACCCGATTTGAAAATCTGACCC</t>
  </si>
  <si>
    <t xml:space="preserve">PSPPH_2813</t>
  </si>
  <si>
    <t xml:space="preserve">CAGGGGAGCCTGGAGCAATA</t>
  </si>
  <si>
    <t xml:space="preserve">TAGTCAGGGGAGCCTGGAGCAATA</t>
  </si>
  <si>
    <t xml:space="preserve">AAACTATTGCTCCAGGCTCCCCTG</t>
  </si>
  <si>
    <t xml:space="preserve">CAGGAAATTCGTTTAAGCAG</t>
  </si>
  <si>
    <t xml:space="preserve">TAGTCAGGAAATTCGTTTAAGCAG</t>
  </si>
  <si>
    <t xml:space="preserve">AAACCTGCTTAAACGAATTTCCTG</t>
  </si>
  <si>
    <t xml:space="preserve">AACCATGGCCAATACAACAC</t>
  </si>
  <si>
    <t xml:space="preserve">TAGTAACCATGGCCAATACAACAC</t>
  </si>
  <si>
    <t xml:space="preserve">AAACGTGTTGTATTGGCCATGGTT</t>
  </si>
  <si>
    <t xml:space="preserve">TTCCAATGGCAGTGCCCAAC</t>
  </si>
  <si>
    <t xml:space="preserve">TAGTTTCCAATGGCAGTGCCCAAC</t>
  </si>
  <si>
    <t xml:space="preserve">AAACGTTGGGCACTGCCATTGGAA</t>
  </si>
  <si>
    <t xml:space="preserve">PSPPH_2817</t>
  </si>
  <si>
    <t xml:space="preserve">ACGAAGCAGTCCGTGGGTGT</t>
  </si>
  <si>
    <t xml:space="preserve">TAGTACGAAGCAGTCCGTGGGTGT</t>
  </si>
  <si>
    <t xml:space="preserve">AAACACACCCACGGACTGCTTCGT</t>
  </si>
  <si>
    <t xml:space="preserve">TCAAGCGCCGTAATGGCTTC</t>
  </si>
  <si>
    <t xml:space="preserve">TAGTTCAAGCGCCGTAATGGCTTC</t>
  </si>
  <si>
    <t xml:space="preserve">AAACGAAGCCATTACGGCGCTTGA</t>
  </si>
  <si>
    <t xml:space="preserve">GATGTCACCGGCATGGATGA</t>
  </si>
  <si>
    <t xml:space="preserve">TAGTGATGTCACCGGCATGGATGA</t>
  </si>
  <si>
    <t xml:space="preserve">AAACTCATCCATGCCGGTGACATC</t>
  </si>
  <si>
    <t xml:space="preserve">TGAGTTGCTCGACGATGTTC</t>
  </si>
  <si>
    <t xml:space="preserve">TAGTTGAGTTGCTCGACGATGTTC</t>
  </si>
  <si>
    <t xml:space="preserve">AAACGAACATCGTCGAGCAACTCA</t>
  </si>
  <si>
    <t xml:space="preserve">PSPPH_2818</t>
  </si>
  <si>
    <t xml:space="preserve">TCGTATCGCTGTGATGCATG</t>
  </si>
  <si>
    <t xml:space="preserve">TAGTTCGTATCGCTGTGATGCATG</t>
  </si>
  <si>
    <t xml:space="preserve">AAACCATGCATCACAGCGATACGA</t>
  </si>
  <si>
    <t xml:space="preserve">CAACAACTCACCATCCTCCA</t>
  </si>
  <si>
    <t xml:space="preserve">TAGTCAACAACTCACCATCCTCCA</t>
  </si>
  <si>
    <t xml:space="preserve">AAACTGGAGGATGGTGAGTTGTTG</t>
  </si>
  <si>
    <t xml:space="preserve">ACGCTCAGCTAGATCGTCGC</t>
  </si>
  <si>
    <t xml:space="preserve">TAGTACGCTCAGCTAGATCGTCGC</t>
  </si>
  <si>
    <t xml:space="preserve">AAACGCGACGATCTAGCTGAGCGT</t>
  </si>
  <si>
    <t xml:space="preserve">CCCAGCCAAGGCCTCAGATT</t>
  </si>
  <si>
    <t xml:space="preserve">TAGTCCCAGCCAAGGCCTCAGATT</t>
  </si>
  <si>
    <t xml:space="preserve">AAACAATCTGAGGCCTTGGCTGGG</t>
  </si>
  <si>
    <t xml:space="preserve">PSPPH_2819</t>
  </si>
  <si>
    <t xml:space="preserve">TGTGCTCGATTGGATCATTA</t>
  </si>
  <si>
    <t xml:space="preserve">TAGTTGTGCTCGATTGGATCATTA</t>
  </si>
  <si>
    <t xml:space="preserve">AAACTAATGATCCAATCGAGCACA</t>
  </si>
  <si>
    <t xml:space="preserve">CACCAATTGCACCAATCGCA</t>
  </si>
  <si>
    <t xml:space="preserve">TAGTCACCAATTGCACCAATCGCA</t>
  </si>
  <si>
    <t xml:space="preserve">AAACTGCGATTGGTGCAATTGGTG</t>
  </si>
  <si>
    <t xml:space="preserve">AAACGCACCAACTATAGCAA</t>
  </si>
  <si>
    <t xml:space="preserve">TAGTAAACGCACCAACTATAGCAA</t>
  </si>
  <si>
    <t xml:space="preserve">AAACTTGCTATAGTTGGTGCGTTT</t>
  </si>
  <si>
    <t xml:space="preserve">CAGTTGGCCTACACCAGCCC</t>
  </si>
  <si>
    <t xml:space="preserve">TAGTCAGTTGGCCTACACCAGCCC</t>
  </si>
  <si>
    <t xml:space="preserve">AAACGGGCTGGTGTAGGCCAACTG</t>
  </si>
  <si>
    <t xml:space="preserve">PSPPH_2820</t>
  </si>
  <si>
    <t xml:space="preserve">GCATTAGGCTATTCCTTGTC</t>
  </si>
  <si>
    <t xml:space="preserve">TAGTGCATTAGGCTATTCCTTGTC</t>
  </si>
  <si>
    <t xml:space="preserve">AAACGACAAGGAATAGCCTAATGC</t>
  </si>
  <si>
    <t xml:space="preserve">GAATGCGGGCTTCTGAAATA</t>
  </si>
  <si>
    <t xml:space="preserve">TAGTGAATGCGGGCTTCTGAAATA</t>
  </si>
  <si>
    <t xml:space="preserve">AAACTATTTCAGAAGCCCGCATTC</t>
  </si>
  <si>
    <t xml:space="preserve">TCATTGGTATGAAACCGCTC</t>
  </si>
  <si>
    <t xml:space="preserve">TAGTTCATTGGTATGAAACCGCTC</t>
  </si>
  <si>
    <t xml:space="preserve">AAACGAGCGGTTTCATACCAATGA</t>
  </si>
  <si>
    <t xml:space="preserve">TCTTGTCCTTGAAACCCAGA</t>
  </si>
  <si>
    <t xml:space="preserve">TAGTTCTTGTCCTTGAAACCCAGA</t>
  </si>
  <si>
    <t xml:space="preserve">AAACTCTGGGTTTCAAGGACAAGA</t>
  </si>
  <si>
    <t xml:space="preserve">PSPPH_2822</t>
  </si>
  <si>
    <t xml:space="preserve">TTCTCCAACCGGCTTCGCGT</t>
  </si>
  <si>
    <t xml:space="preserve">TAGTTTCTCCAACCGGCTTCGCGT</t>
  </si>
  <si>
    <t xml:space="preserve">AAACACGCGAAGCCGGTTGGAGAA</t>
  </si>
  <si>
    <t xml:space="preserve">GAACAGTACTTCGTCGACGA</t>
  </si>
  <si>
    <t xml:space="preserve">TAGTGAACAGTACTTCGTCGACGA</t>
  </si>
  <si>
    <t xml:space="preserve">AAACTCGTCGACGAAGTACTGTTC</t>
  </si>
  <si>
    <t xml:space="preserve">ATACGGTGTGGAGAAAATTC</t>
  </si>
  <si>
    <t xml:space="preserve">TAGTATACGGTGTGGAGAAAATTC</t>
  </si>
  <si>
    <t xml:space="preserve">AAACGAATTTTCTCCACACCGTAT</t>
  </si>
  <si>
    <t xml:space="preserve">TCGGTGAACTCGGCGGTGGG</t>
  </si>
  <si>
    <t xml:space="preserve">TAGTTCGGTGAACTCGGCGGTGGG</t>
  </si>
  <si>
    <t xml:space="preserve">AAACCCCACCGCCGAGTTCACCGA</t>
  </si>
  <si>
    <t xml:space="preserve">PSPPH_2823</t>
  </si>
  <si>
    <t xml:space="preserve">CATGGGGCGGATATGGATCA</t>
  </si>
  <si>
    <t xml:space="preserve">TAGTCATGGGGCGGATATGGATCA</t>
  </si>
  <si>
    <t xml:space="preserve">AAACTGATCCATATCCGCCCCATG</t>
  </si>
  <si>
    <t xml:space="preserve">GAAGCGCTCGAAGTCTTCCG</t>
  </si>
  <si>
    <t xml:space="preserve">TAGTGAAGCGCTCGAAGTCTTCCG</t>
  </si>
  <si>
    <t xml:space="preserve">AAACCGGAAGACTTCGAGCGCTTC</t>
  </si>
  <si>
    <t xml:space="preserve">ATGACGACAGCCTGAAAGGT</t>
  </si>
  <si>
    <t xml:space="preserve">TAGTATGACGACAGCCTGAAAGGT</t>
  </si>
  <si>
    <t xml:space="preserve">AAACACCTTTCAGGCTGTCGTCAT</t>
  </si>
  <si>
    <t xml:space="preserve">GACGGCAGGGTCGTAGGCGT</t>
  </si>
  <si>
    <t xml:space="preserve">TAGTGACGGCAGGGTCGTAGGCGT</t>
  </si>
  <si>
    <t xml:space="preserve">AAACACGCCTACGACCCTGCCGTC</t>
  </si>
  <si>
    <t xml:space="preserve">PSPPH_2824</t>
  </si>
  <si>
    <t xml:space="preserve">GGGGTCAACGATCCATTCCA</t>
  </si>
  <si>
    <t xml:space="preserve">TAGTGGGGTCAACGATCCATTCCA</t>
  </si>
  <si>
    <t xml:space="preserve">AAACTGGAATGGATCGTTGACCCC</t>
  </si>
  <si>
    <t xml:space="preserve">AGCAGGCCAAGCCATGCCGT</t>
  </si>
  <si>
    <t xml:space="preserve">TAGTAGCAGGCCAAGCCATGCCGT</t>
  </si>
  <si>
    <t xml:space="preserve">AAACACGGCATGGCTTGGCCTGCT</t>
  </si>
  <si>
    <t xml:space="preserve">CACCAGTTCCAGCACGATGA</t>
  </si>
  <si>
    <t xml:space="preserve">TAGTCACCAGTTCCAGCACGATGA</t>
  </si>
  <si>
    <t xml:space="preserve">AAACTCATCGTGCTGGAACTGGTG</t>
  </si>
  <si>
    <t xml:space="preserve">CCAGAATGGCAATAAACACC</t>
  </si>
  <si>
    <t xml:space="preserve">TAGTCCAGAATGGCAATAAACACC</t>
  </si>
  <si>
    <t xml:space="preserve">AAACGGTGTTTATTGCCATTCTGG</t>
  </si>
  <si>
    <t xml:space="preserve">PSPPH_2825</t>
  </si>
  <si>
    <t xml:space="preserve">ACGACAACGATACGCAGCAT</t>
  </si>
  <si>
    <t xml:space="preserve">TAGTACGACAACGATACGCAGCAT</t>
  </si>
  <si>
    <t xml:space="preserve">AAACATGCTGCGTATCGTTGTCGT</t>
  </si>
  <si>
    <t xml:space="preserve">ACGATAGGCGCTTGAGCCAC</t>
  </si>
  <si>
    <t xml:space="preserve">TAGTACGATAGGCGCTTGAGCCAC</t>
  </si>
  <si>
    <t xml:space="preserve">AAACGTGGCTCAAGCGCCTATCGT</t>
  </si>
  <si>
    <t xml:space="preserve">GGCGCTGCGGAAGAACAGCG</t>
  </si>
  <si>
    <t xml:space="preserve">TAGTGGCGCTGCGGAAGAACAGCG</t>
  </si>
  <si>
    <t xml:space="preserve">AAACCGCTGTTCTTCCGCAGCGCC</t>
  </si>
  <si>
    <t xml:space="preserve">GCTACGGGAATAGTTGTCCT</t>
  </si>
  <si>
    <t xml:space="preserve">TAGTGCTACGGGAATAGTTGTCCT</t>
  </si>
  <si>
    <t xml:space="preserve">AAACAGGACAACTATTCCCGTAGC</t>
  </si>
  <si>
    <t xml:space="preserve">PSPPH_2826</t>
  </si>
  <si>
    <t xml:space="preserve">GTAATTCTTTGCTCATTACA</t>
  </si>
  <si>
    <t xml:space="preserve">TAGTGTAATTCTTTGCTCATTACA</t>
  </si>
  <si>
    <t xml:space="preserve">AAACTGTAATGAGCAAAGAATTAC</t>
  </si>
  <si>
    <t xml:space="preserve">CCTTGCCTTCGCCGGGATGC</t>
  </si>
  <si>
    <t xml:space="preserve">TAGTCCTTGCCTTCGCCGGGATGC</t>
  </si>
  <si>
    <t xml:space="preserve">AAACGCATCCCGGCGAAGGCAAGG</t>
  </si>
  <si>
    <t xml:space="preserve">GAGGGTTCCGGTGTAATGCG</t>
  </si>
  <si>
    <t xml:space="preserve">TAGTGAGGGTTCCGGTGTAATGCG</t>
  </si>
  <si>
    <t xml:space="preserve">AAACCGCATTACACCGGAACCCTC</t>
  </si>
  <si>
    <t xml:space="preserve">CGGCTTGCCACGCTGGTGAG</t>
  </si>
  <si>
    <t xml:space="preserve">TAGTCGGCTTGCCACGCTGGTGAG</t>
  </si>
  <si>
    <t xml:space="preserve">AAACCTCACCAGCGTGGCAAGCCG</t>
  </si>
  <si>
    <t xml:space="preserve">PSPPH_2827</t>
  </si>
  <si>
    <t xml:space="preserve">GATTGGTTGCTGTCCCTTTC</t>
  </si>
  <si>
    <t xml:space="preserve">TAGTGATTGGTTGCTGTCCCTTTC</t>
  </si>
  <si>
    <t xml:space="preserve">AAACGAAAGGGACAGCAACCAATC</t>
  </si>
  <si>
    <t xml:space="preserve">GTCGACATCTTTCATTTGCG</t>
  </si>
  <si>
    <t xml:space="preserve">TAGTGTCGACATCTTTCATTTGCG</t>
  </si>
  <si>
    <t xml:space="preserve">AAACCGCAAATGAAAGATGTCGAC</t>
  </si>
  <si>
    <t xml:space="preserve">GCTGATCGGCATCGCTGTAA</t>
  </si>
  <si>
    <t xml:space="preserve">TAGTGCTGATCGGCATCGCTGTAA</t>
  </si>
  <si>
    <t xml:space="preserve">AAACTTACAGCGATGCCGATCAGC</t>
  </si>
  <si>
    <t xml:space="preserve">TCGCTTGGCCCTGACCTCAT</t>
  </si>
  <si>
    <t xml:space="preserve">TAGTTCGCTTGGCCCTGACCTCAT</t>
  </si>
  <si>
    <t xml:space="preserve">AAACATGAGGTCAGGGCCAAGCGA</t>
  </si>
  <si>
    <t xml:space="preserve">PSPPH_2828</t>
  </si>
  <si>
    <t xml:space="preserve">GCGCTGATTCTGGCGGGCTG</t>
  </si>
  <si>
    <t xml:space="preserve">TAGTGCGCTGATTCTGGCGGGCTG</t>
  </si>
  <si>
    <t xml:space="preserve">AAACCAGCCCGCCAGAATCAGCGC</t>
  </si>
  <si>
    <t xml:space="preserve">CATGTTGAGGTGCCTGGGGC</t>
  </si>
  <si>
    <t xml:space="preserve">TAGTCATGTTGAGGTGCCTGGGGC</t>
  </si>
  <si>
    <t xml:space="preserve">AAACGCCCCAGGCACCTCAACATG</t>
  </si>
  <si>
    <t xml:space="preserve">CCACCAGGCACATGCCGACC</t>
  </si>
  <si>
    <t xml:space="preserve">TAGTCCACCAGGCACATGCCGACC</t>
  </si>
  <si>
    <t xml:space="preserve">AAACGGTCGGCATGTGCCTGGTGG</t>
  </si>
  <si>
    <t xml:space="preserve">TCATGCCCGCCAGAACCGAA</t>
  </si>
  <si>
    <t xml:space="preserve">TAGTTCATGCCCGCCAGAACCGAA</t>
  </si>
  <si>
    <t xml:space="preserve">AAACTTCGGTTCTGGCGGGCATGA</t>
  </si>
  <si>
    <t xml:space="preserve">PSPPH_2829</t>
  </si>
  <si>
    <t xml:space="preserve">CAGGATGGCGAGTGCTTCAG</t>
  </si>
  <si>
    <t xml:space="preserve">TAGTCAGGATGGCGAGTGCTTCAG</t>
  </si>
  <si>
    <t xml:space="preserve">AAACCTGAAGCACTCGCCATCCTG</t>
  </si>
  <si>
    <t xml:space="preserve">AGTCGGAACGTTGTTCAGGG</t>
  </si>
  <si>
    <t xml:space="preserve">TAGTAGTCGGAACGTTGTTCAGGG</t>
  </si>
  <si>
    <t xml:space="preserve">AAACCCCTGAACAACGTTCCGACT</t>
  </si>
  <si>
    <t xml:space="preserve">ACGGCCATGAAACAGGCGGC</t>
  </si>
  <si>
    <t xml:space="preserve">TAGTACGGCCATGAAACAGGCGGC</t>
  </si>
  <si>
    <t xml:space="preserve">AAACGCCGCCTGTTTCATGGCCGT</t>
  </si>
  <si>
    <t xml:space="preserve">ACGGTAATGTGCTCCAGCCC</t>
  </si>
  <si>
    <t xml:space="preserve">TAGTACGGTAATGTGCTCCAGCCC</t>
  </si>
  <si>
    <t xml:space="preserve">AAACGGGCTGGAGCACATTACCGT</t>
  </si>
  <si>
    <t xml:space="preserve">PSPPH_2831</t>
  </si>
  <si>
    <t xml:space="preserve">GATGATCTCTGGAGAAAAGC</t>
  </si>
  <si>
    <t xml:space="preserve">TAGTGATGATCTCTGGAGAAAAGC</t>
  </si>
  <si>
    <t xml:space="preserve">AAACGCTTTTCTCCAGAGATCATC</t>
  </si>
  <si>
    <t xml:space="preserve">GCCAAGGATTTGGAGCCTCA</t>
  </si>
  <si>
    <t xml:space="preserve">TAGTGCCAAGGATTTGGAGCCTCA</t>
  </si>
  <si>
    <t xml:space="preserve">AAACTGAGGCTCCAAATCCTTGGC</t>
  </si>
  <si>
    <t xml:space="preserve">ACCGGACAGGAAGTTGAAAC</t>
  </si>
  <si>
    <t xml:space="preserve">TAGTACCGGACAGGAAGTTGAAAC</t>
  </si>
  <si>
    <t xml:space="preserve">AAACGTTTCAACTTCCTGTCCGGT</t>
  </si>
  <si>
    <t xml:space="preserve">ACCTTCAAGAAGACTGCGAT</t>
  </si>
  <si>
    <t xml:space="preserve">TAGTACCTTCAAGAAGACTGCGAT</t>
  </si>
  <si>
    <t xml:space="preserve">AAACATCGCAGTCTTCTTGAAGGT</t>
  </si>
  <si>
    <t xml:space="preserve">PSPPH_2832</t>
  </si>
  <si>
    <t xml:space="preserve">ATCGCCCAGGCAACGCAATA</t>
  </si>
  <si>
    <t xml:space="preserve">TAGTATCGCCCAGGCAACGCAATA</t>
  </si>
  <si>
    <t xml:space="preserve">AAACTATTGCGTTGCCTGGGCGAT</t>
  </si>
  <si>
    <t xml:space="preserve">TTGCGAGAGCCCGACACGCT</t>
  </si>
  <si>
    <t xml:space="preserve">TAGTTTGCGAGAGCCCGACACGCT</t>
  </si>
  <si>
    <t xml:space="preserve">AAACAGCGTGTCGGGCTCTCGCAA</t>
  </si>
  <si>
    <t xml:space="preserve">CGCAGCAAGCGGTGCGTGGT</t>
  </si>
  <si>
    <t xml:space="preserve">TAGTCGCAGCAAGCGGTGCGTGGT</t>
  </si>
  <si>
    <t xml:space="preserve">AAACACCACGCACCGCTTGCTGCG</t>
  </si>
  <si>
    <t xml:space="preserve">CGACCATGCCCTCATCCATC</t>
  </si>
  <si>
    <t xml:space="preserve">TAGTCGACCATGCCCTCATCCATC</t>
  </si>
  <si>
    <t xml:space="preserve">AAACGATGGATGAGGGCATGGTCG</t>
  </si>
  <si>
    <t xml:space="preserve">PSPPH_2833</t>
  </si>
  <si>
    <t xml:space="preserve">GTCTATGGAACCGTAGCGTT</t>
  </si>
  <si>
    <t xml:space="preserve">TAGTGTCTATGGAACCGTAGCGTT</t>
  </si>
  <si>
    <t xml:space="preserve">AAACAACGCTACGGTTCCATAGAC</t>
  </si>
  <si>
    <t xml:space="preserve">CTTGTCGACGGCCAGGTTCG</t>
  </si>
  <si>
    <t xml:space="preserve">TAGTCTTGTCGACGGCCAGGTTCG</t>
  </si>
  <si>
    <t xml:space="preserve">AAACCGAACCTGGCCGTCGACAAG</t>
  </si>
  <si>
    <t xml:space="preserve">GGCGATCATTTGCAGAGTGG</t>
  </si>
  <si>
    <t xml:space="preserve">TAGTGGCGATCATTTGCAGAGTGG</t>
  </si>
  <si>
    <t xml:space="preserve">AAACCCACTCTGCAAATGATCGCC</t>
  </si>
  <si>
    <t xml:space="preserve">GTCACTGACTTCAACGAAGC</t>
  </si>
  <si>
    <t xml:space="preserve">TAGTGTCACTGACTTCAACGAAGC</t>
  </si>
  <si>
    <t xml:space="preserve">AAACGCTTCGTTGAAGTCAGTGAC</t>
  </si>
  <si>
    <t xml:space="preserve">PSPPH_2834</t>
  </si>
  <si>
    <t xml:space="preserve">CCTGACGCATTTCGCTCAGC</t>
  </si>
  <si>
    <t xml:space="preserve">TAGTCCTGACGCATTTCGCTCAGC</t>
  </si>
  <si>
    <t xml:space="preserve">AAACGCTGAGCGAAATGCGTCAGG</t>
  </si>
  <si>
    <t xml:space="preserve">CCGATATACAGCGCCAGCGC</t>
  </si>
  <si>
    <t xml:space="preserve">TAGTCCGATATACAGCGCCAGCGC</t>
  </si>
  <si>
    <t xml:space="preserve">AAACGCGCTGGCGCTGTATATCGG</t>
  </si>
  <si>
    <t xml:space="preserve">AGCACCAGAGTCAGCCCCAG</t>
  </si>
  <si>
    <t xml:space="preserve">TAGTAGCACCAGAGTCAGCCCCAG</t>
  </si>
  <si>
    <t xml:space="preserve">AAACCTGGGGCTGACTCTGGTGCT</t>
  </si>
  <si>
    <t xml:space="preserve">GGTGACCACGGCCATATAGT</t>
  </si>
  <si>
    <t xml:space="preserve">TAGTGGTGACCACGGCCATATAGT</t>
  </si>
  <si>
    <t xml:space="preserve">AAACACTATATGGCCGTGGTCACC</t>
  </si>
  <si>
    <t xml:space="preserve">PSPPH_2835</t>
  </si>
  <si>
    <t xml:space="preserve">CAAAGGACCGTTCTTGGACA</t>
  </si>
  <si>
    <t xml:space="preserve">TAGTCAAAGGACCGTTCTTGGACA</t>
  </si>
  <si>
    <t xml:space="preserve">AAACTGTCCAAGAACGGTCCTTTG</t>
  </si>
  <si>
    <t xml:space="preserve">TACCAGCGCATGAAACGACA</t>
  </si>
  <si>
    <t xml:space="preserve">TAGTTACCAGCGCATGAAACGACA</t>
  </si>
  <si>
    <t xml:space="preserve">AAACTGTCGTTTCATGCGCTGGTA</t>
  </si>
  <si>
    <t xml:space="preserve">CAGGCACACCACCACCAGCG</t>
  </si>
  <si>
    <t xml:space="preserve">TAGTCAGGCACACCACCACCAGCG</t>
  </si>
  <si>
    <t xml:space="preserve">AAACCGCTGGTGGTGGTGTGCCTG</t>
  </si>
  <si>
    <t xml:space="preserve">CAGGCTAAGGGTGTTTTCCG</t>
  </si>
  <si>
    <t xml:space="preserve">TAGTCAGGCTAAGGGTGTTTTCCG</t>
  </si>
  <si>
    <t xml:space="preserve">AAACCGGAAAACACCCTTAGCCTG</t>
  </si>
  <si>
    <t xml:space="preserve">PSPPH_2836</t>
  </si>
  <si>
    <t xml:space="preserve">CGAGGGTGAAGGGCAGAACG</t>
  </si>
  <si>
    <t xml:space="preserve">TAGTCGAGGGTGAAGGGCAGAACG</t>
  </si>
  <si>
    <t xml:space="preserve">AAACCGTTCTGCCCTTCACCCTCG</t>
  </si>
  <si>
    <t xml:space="preserve">TCGCCCAACAGACCATTGGC</t>
  </si>
  <si>
    <t xml:space="preserve">TAGTTCGCCCAACAGACCATTGGC</t>
  </si>
  <si>
    <t xml:space="preserve">AAACGCCAATGGTCTGTTGGGCGA</t>
  </si>
  <si>
    <t xml:space="preserve">GGTCAATAACGCAGTCAGCA</t>
  </si>
  <si>
    <t xml:space="preserve">TAGTGGTCAATAACGCAGTCAGCA</t>
  </si>
  <si>
    <t xml:space="preserve">AAACTGCTGACTGCGTTATTGACC</t>
  </si>
  <si>
    <t xml:space="preserve">GCCGCGCAGGTGCTCACTGG</t>
  </si>
  <si>
    <t xml:space="preserve">TAGTGCCGCGCAGGTGCTCACTGG</t>
  </si>
  <si>
    <t xml:space="preserve">AAACCCAGTGAGCACCTGCGCGGC</t>
  </si>
  <si>
    <t xml:space="preserve">PSPPH_2837</t>
  </si>
  <si>
    <t xml:space="preserve">CGGCGCCGATAATGGCAACG</t>
  </si>
  <si>
    <t xml:space="preserve">TAGTCGGCGCCGATAATGGCAACG</t>
  </si>
  <si>
    <t xml:space="preserve">AAACCGTTGCCATTATCGGCGCCG</t>
  </si>
  <si>
    <t xml:space="preserve">AGCGCGAATCCCGGCTGGGC</t>
  </si>
  <si>
    <t xml:space="preserve">TAGTAGCGCGAATCCCGGCTGGGC</t>
  </si>
  <si>
    <t xml:space="preserve">AAACGCCCAGCCGGGATTCGCGCT</t>
  </si>
  <si>
    <t xml:space="preserve">ACCGTGCTCCAGCAGCGTCT</t>
  </si>
  <si>
    <t xml:space="preserve">TAGTACCGTGCTCCAGCAGCGTCT</t>
  </si>
  <si>
    <t xml:space="preserve">AAACAGACGCTGCTGGAGCACGGT</t>
  </si>
  <si>
    <t xml:space="preserve">CAGACCTTCGTCGATCAGGC</t>
  </si>
  <si>
    <t xml:space="preserve">TAGTCAGACCTTCGTCGATCAGGC</t>
  </si>
  <si>
    <t xml:space="preserve">AAACGCCTGATCGACGAAGGTCTG</t>
  </si>
  <si>
    <t xml:space="preserve">PSPPH_2838</t>
  </si>
  <si>
    <t xml:space="preserve">GCCCTTCAGTGCAAGCGCCA</t>
  </si>
  <si>
    <t xml:space="preserve">TAGTGCCCTTCAGTGCAAGCGCCA</t>
  </si>
  <si>
    <t xml:space="preserve">AAACTGGCGCTTGCACTGAAGGGC</t>
  </si>
  <si>
    <t xml:space="preserve">GCAAAAGTCGCGCTCCAGCA</t>
  </si>
  <si>
    <t xml:space="preserve">TAGTGCAAAAGTCGCGCTCCAGCA</t>
  </si>
  <si>
    <t xml:space="preserve">AAACTGCTGGAGCGCGACTTTTGC</t>
  </si>
  <si>
    <t xml:space="preserve">GCCGCCATAATTGACGCCGC</t>
  </si>
  <si>
    <t xml:space="preserve">TAGTGCCGCCATAATTGACGCCGC</t>
  </si>
  <si>
    <t xml:space="preserve">AAACGCGGCGTCAATTATGGCGGC</t>
  </si>
  <si>
    <t xml:space="preserve">GCGACAAGGGCCTGCCCTGA</t>
  </si>
  <si>
    <t xml:space="preserve">TAGTGCGACAAGGGCCTGCCCTGA</t>
  </si>
  <si>
    <t xml:space="preserve">AAACTCAGGGCAGGCCCTTGTCGC</t>
  </si>
  <si>
    <t xml:space="preserve">PSPPH_2839</t>
  </si>
  <si>
    <t xml:space="preserve">GCCGGTGAGGGCGAGACGTT</t>
  </si>
  <si>
    <t xml:space="preserve">TAGTGCCGGTGAGGGCGAGACGTT</t>
  </si>
  <si>
    <t xml:space="preserve">AAACAACGTCTCGCCCTCACCGGC</t>
  </si>
  <si>
    <t xml:space="preserve">CGAGTGCGGCCGCCAAGGGC</t>
  </si>
  <si>
    <t xml:space="preserve">TAGTCGAGTGCGGCCGCCAAGGGC</t>
  </si>
  <si>
    <t xml:space="preserve">AAACGCCCTTGGCGGCCGCACTCG</t>
  </si>
  <si>
    <t xml:space="preserve">AGCGTGGTTTCGGCCTGGGC</t>
  </si>
  <si>
    <t xml:space="preserve">TAGTAGCGTGGTTTCGGCCTGGGC</t>
  </si>
  <si>
    <t xml:space="preserve">AAACGCCCAGGCCGAAACCACGCT</t>
  </si>
  <si>
    <t xml:space="preserve">TGGTTCCGCCGTTCATGCCC</t>
  </si>
  <si>
    <t xml:space="preserve">TAGTTGGTTCCGCCGTTCATGCCC</t>
  </si>
  <si>
    <t xml:space="preserve">AAACGGGCATGAACGGCGGAACCA</t>
  </si>
  <si>
    <t xml:space="preserve">PSPPH_2840</t>
  </si>
  <si>
    <t xml:space="preserve">CGGCATCCAGCGCAGGTACG</t>
  </si>
  <si>
    <t xml:space="preserve">TAGTCGGCATCCAGCGCAGGTACG</t>
  </si>
  <si>
    <t xml:space="preserve">AAACCGTACCTGCGCTGGATGCCG</t>
  </si>
  <si>
    <t xml:space="preserve">CACACCGCTGACGTGGTGAC</t>
  </si>
  <si>
    <t xml:space="preserve">TAGTCACACCGCTGACGTGGTGAC</t>
  </si>
  <si>
    <t xml:space="preserve">AAACGTCACCACGTCAGCGGTGTG</t>
  </si>
  <si>
    <t xml:space="preserve">CGATGCCAAAGCCGAATCCC</t>
  </si>
  <si>
    <t xml:space="preserve">TAGTCGATGCCAAAGCCGAATCCC</t>
  </si>
  <si>
    <t xml:space="preserve">AAACGGGATTCGGCTTTGGCATCG</t>
  </si>
  <si>
    <t xml:space="preserve">TTGACGATATCCAGGCCCAT</t>
  </si>
  <si>
    <t xml:space="preserve">TAGTTTGACGATATCCAGGCCCAT</t>
  </si>
  <si>
    <t xml:space="preserve">AAACATGGGCCTGGATATCGTCAA</t>
  </si>
  <si>
    <t xml:space="preserve">PSPPH_2841</t>
  </si>
  <si>
    <t xml:space="preserve">moaA</t>
  </si>
  <si>
    <t xml:space="preserve">GCAAAGCGGTCCATCAGGAC</t>
  </si>
  <si>
    <t xml:space="preserve">TAGTGCAAAGCGGTCCATCAGGAC</t>
  </si>
  <si>
    <t xml:space="preserve">AAACGTCCTGATGGACCGCTTTGC</t>
  </si>
  <si>
    <t xml:space="preserve">GCAGCGGAAATCGCACCGGT</t>
  </si>
  <si>
    <t xml:space="preserve">TAGTGCAGCGGAAATCGCACCGGT</t>
  </si>
  <si>
    <t xml:space="preserve">AAACACCGGTGCGATTTCCGCTGC</t>
  </si>
  <si>
    <t xml:space="preserve">AGGCAAAAACGTCATCTCTT</t>
  </si>
  <si>
    <t xml:space="preserve">TAGTAGGCAAAAACGTCATCTCTT</t>
  </si>
  <si>
    <t xml:space="preserve">AAACAAGAGATGACGTTTTTGCCT</t>
  </si>
  <si>
    <t xml:space="preserve">AGCGACAGAATCTGTTGCCG</t>
  </si>
  <si>
    <t xml:space="preserve">TAGTAGCGACAGAATCTGTTGCCG</t>
  </si>
  <si>
    <t xml:space="preserve">AAACCGGCAACAGATTCTGTCGCT</t>
  </si>
  <si>
    <t xml:space="preserve">PSPPH_2842</t>
  </si>
  <si>
    <t xml:space="preserve">TCCTGACTGTAACGGGTTAC</t>
  </si>
  <si>
    <t xml:space="preserve">TAGTTCCTGACTGTAACGGGTTAC</t>
  </si>
  <si>
    <t xml:space="preserve">AAACGTAACCCGTTACAGTCAGGA</t>
  </si>
  <si>
    <t xml:space="preserve">TAATGGCGCAGATCGAGCTT</t>
  </si>
  <si>
    <t xml:space="preserve">TAGTTAATGGCGCAGATCGAGCTT</t>
  </si>
  <si>
    <t xml:space="preserve">AAACAAGCTCGATCTGCGCCATTA</t>
  </si>
  <si>
    <t xml:space="preserve">TCCCCAGGCCTCGACACGCC</t>
  </si>
  <si>
    <t xml:space="preserve">TAGTTCCCCAGGCCTCGACACGCC</t>
  </si>
  <si>
    <t xml:space="preserve">AAACGGCGTGTCGAGGCCTGGGGA</t>
  </si>
  <si>
    <t xml:space="preserve">AAAGCGCTTGGTGACTTCAC</t>
  </si>
  <si>
    <t xml:space="preserve">TAGTAAAGCGCTTGGTGACTTCAC</t>
  </si>
  <si>
    <t xml:space="preserve">AAACGTGAAGTCACCAAGCGCTTT</t>
  </si>
  <si>
    <t xml:space="preserve">PSPPH_2843</t>
  </si>
  <si>
    <t xml:space="preserve">ATCACCGCCACCGACAATCT</t>
  </si>
  <si>
    <t xml:space="preserve">TAGTATCACCGCCACCGACAATCT</t>
  </si>
  <si>
    <t xml:space="preserve">AAACAGATTGTCGGTGGCGGTGAT</t>
  </si>
  <si>
    <t xml:space="preserve">CTTGGCGGGACTAAGCAACC</t>
  </si>
  <si>
    <t xml:space="preserve">TAGTCTTGGCGGGACTAAGCAACC</t>
  </si>
  <si>
    <t xml:space="preserve">AAACGGTTGCTTAGTCCCGCCAAG</t>
  </si>
  <si>
    <t xml:space="preserve">AGCGGCGCACTCGCTACAAA</t>
  </si>
  <si>
    <t xml:space="preserve">TAGTAGCGGCGCACTCGCTACAAA</t>
  </si>
  <si>
    <t xml:space="preserve">AAACTTTGTAGCGAGTGCGCCGCT</t>
  </si>
  <si>
    <t xml:space="preserve">CTTCGCGGTCAATATCGCGA</t>
  </si>
  <si>
    <t xml:space="preserve">TAGTCTTCGCGGTCAATATCGCGA</t>
  </si>
  <si>
    <t xml:space="preserve">AAACTCGCGATATTGACCGCGAAG</t>
  </si>
  <si>
    <t xml:space="preserve">PSPPH_2844</t>
  </si>
  <si>
    <t xml:space="preserve">CGCTTCGGCGGATTGGCGGG</t>
  </si>
  <si>
    <t xml:space="preserve">TAGTCGCTTCGGCGGATTGGCGGG</t>
  </si>
  <si>
    <t xml:space="preserve">AAACCCCGCCAATCCGCCGAAGCG</t>
  </si>
  <si>
    <t xml:space="preserve">TGCGCCACGATGGCTATGGT</t>
  </si>
  <si>
    <t xml:space="preserve">TAGTTGCGCCACGATGGCTATGGT</t>
  </si>
  <si>
    <t xml:space="preserve">AAACACCATAGCCATCGTGGCGCA</t>
  </si>
  <si>
    <t xml:space="preserve">CCTGCACCTGACCTACACAG</t>
  </si>
  <si>
    <t xml:space="preserve">TAGTCCTGCACCTGACCTACACAG</t>
  </si>
  <si>
    <t xml:space="preserve">AAACCTGTGTAGGTCAGGTGCAGG</t>
  </si>
  <si>
    <t xml:space="preserve">PSPPH_2845</t>
  </si>
  <si>
    <t xml:space="preserve">CGAGCCAGTTCATCAATAGT</t>
  </si>
  <si>
    <t xml:space="preserve">TAGTCGAGCCAGTTCATCAATAGT</t>
  </si>
  <si>
    <t xml:space="preserve">AAACACTATTGATGAACTGGCTCG</t>
  </si>
  <si>
    <t xml:space="preserve">AATCGGCAATCCATACGATG</t>
  </si>
  <si>
    <t xml:space="preserve">TAGTAATCGGCAATCCATACGATG</t>
  </si>
  <si>
    <t xml:space="preserve">AAACCATCGTATGGATTGCCGATT</t>
  </si>
  <si>
    <t xml:space="preserve">ATGGCGACATGGCGTCGACA</t>
  </si>
  <si>
    <t xml:space="preserve">TAGTATGGCGACATGGCGTCGACA</t>
  </si>
  <si>
    <t xml:space="preserve">AAACTGTCGACGCCATGTCGCCAT</t>
  </si>
  <si>
    <t xml:space="preserve">GTCACGGAATTCGTCTTCCT</t>
  </si>
  <si>
    <t xml:space="preserve">TAGTGTCACGGAATTCGTCTTCCT</t>
  </si>
  <si>
    <t xml:space="preserve">AAACAGGAAGACGAATTCCGTGAC</t>
  </si>
  <si>
    <t xml:space="preserve">PSPPH_2846</t>
  </si>
  <si>
    <t xml:space="preserve">GATCCATTACAAGCATCATG</t>
  </si>
  <si>
    <t xml:space="preserve">TAGTGATCCATTACAAGCATCATG</t>
  </si>
  <si>
    <t xml:space="preserve">AAACCATGATGCTTGTAATGGATC</t>
  </si>
  <si>
    <t xml:space="preserve">CCAAAGACCTGACCCAGGAT</t>
  </si>
  <si>
    <t xml:space="preserve">TAGTCCAAAGACCTGACCCAGGAT</t>
  </si>
  <si>
    <t xml:space="preserve">AAACATCCTGGGTCAGGTCTTTGG</t>
  </si>
  <si>
    <t xml:space="preserve">PSPPH_2847</t>
  </si>
  <si>
    <t xml:space="preserve">CGGCCAGTGACCCCAGCAGC</t>
  </si>
  <si>
    <t xml:space="preserve">TAGTCGGCCAGTGACCCCAGCAGC</t>
  </si>
  <si>
    <t xml:space="preserve">AAACGCTGCTGGGGTCACTGGCCG</t>
  </si>
  <si>
    <t xml:space="preserve">ATTTTCCAGTTGCACCCAGC</t>
  </si>
  <si>
    <t xml:space="preserve">TAGTATTTTCCAGTTGCACCCAGC</t>
  </si>
  <si>
    <t xml:space="preserve">AAACGCTGGGTGCAACTGGAAAAT</t>
  </si>
  <si>
    <t xml:space="preserve">GCTGGCGAAGATGCAGCGCC</t>
  </si>
  <si>
    <t xml:space="preserve">TAGTGCTGGCGAAGATGCAGCGCC</t>
  </si>
  <si>
    <t xml:space="preserve">AAACGGCGCTGCATCTTCGCCAGC</t>
  </si>
  <si>
    <t xml:space="preserve">CAGCTCGACGCCAGCCTCTG</t>
  </si>
  <si>
    <t xml:space="preserve">TAGTCAGCTCGACGCCAGCCTCTG</t>
  </si>
  <si>
    <t xml:space="preserve">AAACCAGAGGCTGGCGTCGAGCTG</t>
  </si>
  <si>
    <t xml:space="preserve">PSPPH_2848</t>
  </si>
  <si>
    <t xml:space="preserve">GGTAGCGCGCGGGGTCGGCT</t>
  </si>
  <si>
    <t xml:space="preserve">TAGTGGTAGCGCGCGGGGTCGGCT</t>
  </si>
  <si>
    <t xml:space="preserve">AAACAGCCGACCCCGCGCGCTACC</t>
  </si>
  <si>
    <t xml:space="preserve">CCAGCAAGGTGAACCCACGC</t>
  </si>
  <si>
    <t xml:space="preserve">TAGTCCAGCAAGGTGAACCCACGC</t>
  </si>
  <si>
    <t xml:space="preserve">AAACGCGTGGGTTCACCTTGCTGG</t>
  </si>
  <si>
    <t xml:space="preserve">AATGGCCATAAGGGTCAATG</t>
  </si>
  <si>
    <t xml:space="preserve">TAGTAATGGCCATAAGGGTCAATG</t>
  </si>
  <si>
    <t xml:space="preserve">AAACCATTGACCCTTATGGCCATT</t>
  </si>
  <si>
    <t xml:space="preserve">GGAATGCACGCTCTGGCCGA</t>
  </si>
  <si>
    <t xml:space="preserve">TAGTGGAATGCACGCTCTGGCCGA</t>
  </si>
  <si>
    <t xml:space="preserve">AAACTCGGCCAGAGCGTGCATTCC</t>
  </si>
  <si>
    <t xml:space="preserve">PSPPH_2849</t>
  </si>
  <si>
    <t xml:space="preserve">AGTAACACCAGTCGTTGAAG</t>
  </si>
  <si>
    <t xml:space="preserve">TAGTAGTAACACCAGTCGTTGAAG</t>
  </si>
  <si>
    <t xml:space="preserve">AAACCTTCAACGACTGGTGTTACT</t>
  </si>
  <si>
    <t xml:space="preserve">TGTCCTGTGCATAGCTCGCC</t>
  </si>
  <si>
    <t xml:space="preserve">TAGTTGTCCTGTGCATAGCTCGCC</t>
  </si>
  <si>
    <t xml:space="preserve">AAACGGCGAGCTATGCACAGGACA</t>
  </si>
  <si>
    <t xml:space="preserve">AGCCGAGTCTGTCGGCGTCG</t>
  </si>
  <si>
    <t xml:space="preserve">TAGTAGCCGAGTCTGTCGGCGTCG</t>
  </si>
  <si>
    <t xml:space="preserve">AAACCGACGCCGACAGACTCGGCT</t>
  </si>
  <si>
    <t xml:space="preserve">GTATCCGCTGCGCCGGTGGC</t>
  </si>
  <si>
    <t xml:space="preserve">TAGTGTATCCGCTGCGCCGGTGGC</t>
  </si>
  <si>
    <t xml:space="preserve">AAACGCCACCGGCGCAGCGGATAC</t>
  </si>
  <si>
    <t xml:space="preserve">PSPPH_2850</t>
  </si>
  <si>
    <t xml:space="preserve">tolr</t>
  </si>
  <si>
    <t xml:space="preserve">GTCGCCCTGGCTTGAGGAGA</t>
  </si>
  <si>
    <t xml:space="preserve">TAGTGTCGCCCTGGCTTGAGGAGA</t>
  </si>
  <si>
    <t xml:space="preserve">AAACTCTCCTCAAGCCAGGGCGAC</t>
  </si>
  <si>
    <t xml:space="preserve">GGCATTGGTCAATAACGGTG</t>
  </si>
  <si>
    <t xml:space="preserve">TAGTGGCATTGGTCAATAACGGTG</t>
  </si>
  <si>
    <t xml:space="preserve">AAACCACCGTTATTGACCAATGCC</t>
  </si>
  <si>
    <t xml:space="preserve">CTGCGGCAAATCAAGCGGTA</t>
  </si>
  <si>
    <t xml:space="preserve">TAGTCTGCGGCAAATCAAGCGGTA</t>
  </si>
  <si>
    <t xml:space="preserve">AAACTACCGCTTGATTTGCCGCAG</t>
  </si>
  <si>
    <t xml:space="preserve">GGCGTCGTCCAGAGGTGCGG</t>
  </si>
  <si>
    <t xml:space="preserve">TAGTGGCGTCGTCCAGAGGTGCGG</t>
  </si>
  <si>
    <t xml:space="preserve">AAACCCGCACCTCTGGACGACGCC</t>
  </si>
  <si>
    <t xml:space="preserve">PSPPH_2851</t>
  </si>
  <si>
    <t xml:space="preserve">TGTTGAATAGTCGATTGTCA</t>
  </si>
  <si>
    <t xml:space="preserve">TAGTTGTTGAATAGTCGATTGTCA</t>
  </si>
  <si>
    <t xml:space="preserve">AAACTGACAATCGACTATTCAACA</t>
  </si>
  <si>
    <t xml:space="preserve">GAACAGCAGCAGGATGCCCA</t>
  </si>
  <si>
    <t xml:space="preserve">TAGTGAACAGCAGCAGGATGCCCA</t>
  </si>
  <si>
    <t xml:space="preserve">AAACTGGGCATCCTGCTGCTGTTC</t>
  </si>
  <si>
    <t xml:space="preserve">TTTGAGCAGCAGCACTGCCC</t>
  </si>
  <si>
    <t xml:space="preserve">TAGTTTTGAGCAGCAGCACTGCCC</t>
  </si>
  <si>
    <t xml:space="preserve">AAACGGGCAGTGCTGCTGCTCAAA</t>
  </si>
  <si>
    <t xml:space="preserve">TTTCAGCCTCCCCTGCTGCC</t>
  </si>
  <si>
    <t xml:space="preserve">TAGTTTTCAGCCTCCCCTGCTGCC</t>
  </si>
  <si>
    <t xml:space="preserve">AAACGGCAGCAGGGGAGGCTGAAA</t>
  </si>
  <si>
    <t xml:space="preserve">PSPPH_2852</t>
  </si>
  <si>
    <t xml:space="preserve">CGACGAGATAGAAGTAACGC</t>
  </si>
  <si>
    <t xml:space="preserve">TAGTCGACGAGATAGAAGTAACGC</t>
  </si>
  <si>
    <t xml:space="preserve">AAACGCGTTACTTCTATCTCGTCG</t>
  </si>
  <si>
    <t xml:space="preserve">TCGTCGCGACAGGGTTGTGG</t>
  </si>
  <si>
    <t xml:space="preserve">TAGTTCGTCGCGACAGGGTTGTGG</t>
  </si>
  <si>
    <t xml:space="preserve">AAACCCACAACCCTGTCGCGACGA</t>
  </si>
  <si>
    <t xml:space="preserve">AACCTGCCTGCCGGCAACGC</t>
  </si>
  <si>
    <t xml:space="preserve">TAGTAACCTGCCTGCCGGCAACGC</t>
  </si>
  <si>
    <t xml:space="preserve">AAACGCGTTGCCGGCAGGCAGGTT</t>
  </si>
  <si>
    <t xml:space="preserve">TGCCGGTAACGGCACCGCCG</t>
  </si>
  <si>
    <t xml:space="preserve">TAGTTGCCGGTAACGGCACCGCCG</t>
  </si>
  <si>
    <t xml:space="preserve">AAACCGGCGGTGCCGTTACCGGCA</t>
  </si>
  <si>
    <t xml:space="preserve">PSPPH_2853</t>
  </si>
  <si>
    <t xml:space="preserve">GTAGCTGAAACTCTTGCCTG</t>
  </si>
  <si>
    <t xml:space="preserve">TAGTGTAGCTGAAACTCTTGCCTG</t>
  </si>
  <si>
    <t xml:space="preserve">AAACCAGGCAAGAGTTTCAGCTAC</t>
  </si>
  <si>
    <t xml:space="preserve">CAGGGCGGTAACAGGATCGT</t>
  </si>
  <si>
    <t xml:space="preserve">TAGTCAGGGCGGTAACAGGATCGT</t>
  </si>
  <si>
    <t xml:space="preserve">AAACACGATCCTGTTACCGCCCTG</t>
  </si>
  <si>
    <t xml:space="preserve">AAATCAGGCTGGTATTTCGA</t>
  </si>
  <si>
    <t xml:space="preserve">TAGTAAATCAGGCTGGTATTTCGA</t>
  </si>
  <si>
    <t xml:space="preserve">AAACTCGAAATACCAGCCTGATTT</t>
  </si>
  <si>
    <t xml:space="preserve">PSPPH_2854</t>
  </si>
  <si>
    <t xml:space="preserve">GTGCACAGTAGAACTATTTT</t>
  </si>
  <si>
    <t xml:space="preserve">TAGTGTGCACAGTAGAACTATTTT</t>
  </si>
  <si>
    <t xml:space="preserve">AAACAAAATAGTTCTACTGTGCAC</t>
  </si>
  <si>
    <t xml:space="preserve">TGCTCTGCCAATGCAATAGA</t>
  </si>
  <si>
    <t xml:space="preserve">TAGTTGCTCTGCCAATGCAATAGA</t>
  </si>
  <si>
    <t xml:space="preserve">AAACTCTATTGCATTGGCAGAGCA</t>
  </si>
  <si>
    <t xml:space="preserve">GACAATCGTCAGGTCGTTGT</t>
  </si>
  <si>
    <t xml:space="preserve">TAGTGACAATCGTCAGGTCGTTGT</t>
  </si>
  <si>
    <t xml:space="preserve">AAACACAACGACCTGACGATTGTC</t>
  </si>
  <si>
    <t xml:space="preserve">TGGCAGTGCCGTGCAGACCC</t>
  </si>
  <si>
    <t xml:space="preserve">TAGTTGGCAGTGCCGTGCAGACCC</t>
  </si>
  <si>
    <t xml:space="preserve">AAACGGGTCTGCACGGCACTGCCA</t>
  </si>
  <si>
    <t xml:space="preserve">PSPPH_2855</t>
  </si>
  <si>
    <t xml:space="preserve">CGCGAGACTCGCGCTCAGCA</t>
  </si>
  <si>
    <t xml:space="preserve">TAGTCGCGAGACTCGCGCTCAGCA</t>
  </si>
  <si>
    <t xml:space="preserve">AAACTGCTGAGCGCGAGTCTCGCG</t>
  </si>
  <si>
    <t xml:space="preserve">ATGACAGACTCGTCGTTGAC</t>
  </si>
  <si>
    <t xml:space="preserve">TAGTATGACAGACTCGTCGTTGAC</t>
  </si>
  <si>
    <t xml:space="preserve">AAACGTCAACGACGAGTCTGTCAT</t>
  </si>
  <si>
    <t xml:space="preserve">ACGCTTGACGAATTTGATGA</t>
  </si>
  <si>
    <t xml:space="preserve">TAGTACGCTTGACGAATTTGATGA</t>
  </si>
  <si>
    <t xml:space="preserve">AAACTCATCAAATTCGTCAAGCGT</t>
  </si>
  <si>
    <t xml:space="preserve">CCGGGTCAAAGCGCAAGCCT</t>
  </si>
  <si>
    <t xml:space="preserve">TAGTCCGGGTCAAAGCGCAAGCCT</t>
  </si>
  <si>
    <t xml:space="preserve">AAACAGGCTTGCGCTTTGACCCGG</t>
  </si>
  <si>
    <t xml:space="preserve">PSPPH_2856</t>
  </si>
  <si>
    <t xml:space="preserve">AGCAGCAGTTTCATACTCAA</t>
  </si>
  <si>
    <t xml:space="preserve">TAGTAGCAGCAGTTTCATACTCAA</t>
  </si>
  <si>
    <t xml:space="preserve">AAACTTGAGTATGAAACTGCTGCT</t>
  </si>
  <si>
    <t xml:space="preserve">AAGGCAAGAAAGCCCAGCAG</t>
  </si>
  <si>
    <t xml:space="preserve">TAGTAAGGCAAGAAAGCCCAGCAG</t>
  </si>
  <si>
    <t xml:space="preserve">AAACCTGCTGGGCTTTCTTGCCTT</t>
  </si>
  <si>
    <t xml:space="preserve">CTGCGCGCCTCATATCGCTG</t>
  </si>
  <si>
    <t xml:space="preserve">TAGTCTGCGCGCCTCATATCGCTG</t>
  </si>
  <si>
    <t xml:space="preserve">AAACCAGCGATATGAGGCGCGCAG</t>
  </si>
  <si>
    <t xml:space="preserve">GAGCTTCTGTGCGGCACTGG</t>
  </si>
  <si>
    <t xml:space="preserve">TAGTGAGCTTCTGTGCGGCACTGG</t>
  </si>
  <si>
    <t xml:space="preserve">AAACCCAGTGCCGCACAGAAGCTC</t>
  </si>
  <si>
    <t xml:space="preserve">PSPPH_2857</t>
  </si>
  <si>
    <t xml:space="preserve">poxB</t>
  </si>
  <si>
    <t xml:space="preserve">AAGATGGTCGGCGATGGTCT</t>
  </si>
  <si>
    <t xml:space="preserve">TAGTAAGATGGTCGGCGATGGTCT</t>
  </si>
  <si>
    <t xml:space="preserve">AAACAGACCATCGCCGACCATCTT</t>
  </si>
  <si>
    <t xml:space="preserve">GGAAACATCTGCCGCTGCGA</t>
  </si>
  <si>
    <t xml:space="preserve">TAGTGGAAACATCTGCCGCTGCGA</t>
  </si>
  <si>
    <t xml:space="preserve">AAACTCGCAGCGGCAGATGTTTCC</t>
  </si>
  <si>
    <t xml:space="preserve">ACCGGACACCCCCCAGATGT</t>
  </si>
  <si>
    <t xml:space="preserve">TAGTACCGGACACCCCCCAGATGT</t>
  </si>
  <si>
    <t xml:space="preserve">AAACACATCTGGGGGGTGTCCGGT</t>
  </si>
  <si>
    <t xml:space="preserve">GGCTGTCGGTCAGGCCGTTG</t>
  </si>
  <si>
    <t xml:space="preserve">TAGTGGCTGTCGGTCAGGCCGTTG</t>
  </si>
  <si>
    <t xml:space="preserve">AAACCAACGGCCTGACCGACAGCC</t>
  </si>
  <si>
    <t xml:space="preserve">PSPPH_2858</t>
  </si>
  <si>
    <t xml:space="preserve">TCTTTCAGGGGAATTGGATT</t>
  </si>
  <si>
    <t xml:space="preserve">TAGTTCTTTCAGGGGAATTGGATT</t>
  </si>
  <si>
    <t xml:space="preserve">AAACAATCCAATTCCCCTGAAAGA</t>
  </si>
  <si>
    <t xml:space="preserve">CCAGCCGCGTCTCTTTTTCG</t>
  </si>
  <si>
    <t xml:space="preserve">TAGTCCAGCCGCGTCTCTTTTTCG</t>
  </si>
  <si>
    <t xml:space="preserve">AAACCGAAAAAGAGACGCGGCTGG</t>
  </si>
  <si>
    <t xml:space="preserve">CCAGCACCGCGCAGGCAATC</t>
  </si>
  <si>
    <t xml:space="preserve">TAGTCCAGCACCGCGCAGGCAATC</t>
  </si>
  <si>
    <t xml:space="preserve">AAACGATTGCCTGCGCGGTGCTGG</t>
  </si>
  <si>
    <t xml:space="preserve">CGACCAGACAGGCAGCCAGC</t>
  </si>
  <si>
    <t xml:space="preserve">TAGTCGACCAGACAGGCAGCCAGC</t>
  </si>
  <si>
    <t xml:space="preserve">AAACGCTGGCTGCCTGTCTGGTCG</t>
  </si>
  <si>
    <t xml:space="preserve">PSPPH_2859</t>
  </si>
  <si>
    <t xml:space="preserve">CGTTTCAGACTGTGGACGCG</t>
  </si>
  <si>
    <t xml:space="preserve">TAGTCGTTTCAGACTGTGGACGCG</t>
  </si>
  <si>
    <t xml:space="preserve">AAACCGCGTCCACAGTCTGAAACG</t>
  </si>
  <si>
    <t xml:space="preserve">CTGACGAACGAAGGCCAGCA</t>
  </si>
  <si>
    <t xml:space="preserve">TAGTCTGACGAACGAAGGCCAGCA</t>
  </si>
  <si>
    <t xml:space="preserve">AAACTGCTGGCCTTCGTTCGTCAG</t>
  </si>
  <si>
    <t xml:space="preserve">AATCCGTGAAGGGCAATCAG</t>
  </si>
  <si>
    <t xml:space="preserve">TAGTAATCCGTGAAGGGCAATCAG</t>
  </si>
  <si>
    <t xml:space="preserve">AAACCTGATTGCCCTTCACGGATT</t>
  </si>
  <si>
    <t xml:space="preserve">CGCCCCAACGGCTGCAAACA</t>
  </si>
  <si>
    <t xml:space="preserve">TAGTCGCCCCAACGGCTGCAAACA</t>
  </si>
  <si>
    <t xml:space="preserve">AAACTGTTTGCAGCCGTTGGGGCG</t>
  </si>
  <si>
    <t xml:space="preserve">PSPPH_2860</t>
  </si>
  <si>
    <t xml:space="preserve">GGCACCGGTGACAACGATCA</t>
  </si>
  <si>
    <t xml:space="preserve">TAGTGGCACCGGTGACAACGATCA</t>
  </si>
  <si>
    <t xml:space="preserve">AAACTGATCGTTGTCACCGGTGCC</t>
  </si>
  <si>
    <t xml:space="preserve">GATACGGCCAAGCTGGCCAG</t>
  </si>
  <si>
    <t xml:space="preserve">TAGTGATACGGCCAAGCTGGCCAG</t>
  </si>
  <si>
    <t xml:space="preserve">AAACCTGGCCAGCTTGGCCGTATC</t>
  </si>
  <si>
    <t xml:space="preserve">GCGGCAATGATCTGCCCGGC</t>
  </si>
  <si>
    <t xml:space="preserve">TAGTGCGGCAATGATCTGCCCGGC</t>
  </si>
  <si>
    <t xml:space="preserve">AAACGCCGGGCAGATCATTGCCGC</t>
  </si>
  <si>
    <t xml:space="preserve">CATTGGCCTTTTCCGGGCTG</t>
  </si>
  <si>
    <t xml:space="preserve">TAGTCATTGGCCTTTTCCGGGCTG</t>
  </si>
  <si>
    <t xml:space="preserve">AAACCAGCCCGGAAAAGGCCAATG</t>
  </si>
  <si>
    <t xml:space="preserve">PSPPH_2861</t>
  </si>
  <si>
    <t xml:space="preserve">GCAGCCCAGCAAGGTCATGC</t>
  </si>
  <si>
    <t xml:space="preserve">TAGTGCAGCCCAGCAAGGTCATGC</t>
  </si>
  <si>
    <t xml:space="preserve">AAACGCATGACCTTGCTGGGCTGC</t>
  </si>
  <si>
    <t xml:space="preserve">GTGAGCGGGCAGGGTGACGG</t>
  </si>
  <si>
    <t xml:space="preserve">TAGTGTGAGCGGGCAGGGTGACGG</t>
  </si>
  <si>
    <t xml:space="preserve">AAACCCGTCACCCTGCCCGCTCAC</t>
  </si>
  <si>
    <t xml:space="preserve">CCTTGGATTCGGTGACTTTC</t>
  </si>
  <si>
    <t xml:space="preserve">TAGTCCTTGGATTCGGTGACTTTC</t>
  </si>
  <si>
    <t xml:space="preserve">AAACGAAAGTCACCGAATCCAAGG</t>
  </si>
  <si>
    <t xml:space="preserve">GGAGCCTACTTCCAGCTCAT</t>
  </si>
  <si>
    <t xml:space="preserve">TAGTGGAGCCTACTTCCAGCTCAT</t>
  </si>
  <si>
    <t xml:space="preserve">AAACATGAGCTGGAAGTAGGCTCC</t>
  </si>
  <si>
    <t xml:space="preserve">PSPPH_2862</t>
  </si>
  <si>
    <t xml:space="preserve">GGTCGAGTCGCTGGAGTGGA</t>
  </si>
  <si>
    <t xml:space="preserve">TAGTGGTCGAGTCGCTGGAGTGGA</t>
  </si>
  <si>
    <t xml:space="preserve">AAACTCCACTCCAGCGACTCGACC</t>
  </si>
  <si>
    <t xml:space="preserve">GCGCCAGAAAAAGGGGGTTG</t>
  </si>
  <si>
    <t xml:space="preserve">TAGTGCGCCAGAAAAAGGGGGTTG</t>
  </si>
  <si>
    <t xml:space="preserve">AAACCAACCCCCTTTTTCTGGCGC</t>
  </si>
  <si>
    <t xml:space="preserve">ACCGAGCGCGCCTCAATGAA</t>
  </si>
  <si>
    <t xml:space="preserve">TAGTACCGAGCGCGCCTCAATGAA</t>
  </si>
  <si>
    <t xml:space="preserve">AAACTTCATTGAGGCGCGCTCGGT</t>
  </si>
  <si>
    <t xml:space="preserve">GCGGGGCATAGCAGACCAGC</t>
  </si>
  <si>
    <t xml:space="preserve">TAGTGCGGGGCATAGCAGACCAGC</t>
  </si>
  <si>
    <t xml:space="preserve">AAACGCTGGTCTGCTATGCCCCGC</t>
  </si>
  <si>
    <t xml:space="preserve">PSPPH_2863</t>
  </si>
  <si>
    <t xml:space="preserve">GTTGACCGGTCCCGGCGTGA</t>
  </si>
  <si>
    <t xml:space="preserve">TAGTGTTGACCGGTCCCGGCGTGA</t>
  </si>
  <si>
    <t xml:space="preserve">AAACTCACGCCGGGACCGGTCAAC</t>
  </si>
  <si>
    <t xml:space="preserve">CCAGACCCCATAGCGCGCAC</t>
  </si>
  <si>
    <t xml:space="preserve">TAGTCCAGACCCCATAGCGCGCAC</t>
  </si>
  <si>
    <t xml:space="preserve">AAACGTGCGCGCTATGGGGTCTGG</t>
  </si>
  <si>
    <t xml:space="preserve">CCCAGCACGTGGCGCATGCC</t>
  </si>
  <si>
    <t xml:space="preserve">TAGTCCCAGCACGTGGCGCATGCC</t>
  </si>
  <si>
    <t xml:space="preserve">AAACGGCATGCGCCACGTGCTGGG</t>
  </si>
  <si>
    <t xml:space="preserve">ACCGATGAGCAGCAGCAATA</t>
  </si>
  <si>
    <t xml:space="preserve">TAGTACCGATGAGCAGCAGCAATA</t>
  </si>
  <si>
    <t xml:space="preserve">AAACTATTGCTGCTGCTCATCGGT</t>
  </si>
  <si>
    <t xml:space="preserve">PSPPH_2864</t>
  </si>
  <si>
    <t xml:space="preserve">CATTTTTGATCATGTTCAAG</t>
  </si>
  <si>
    <t xml:space="preserve">TAGTCATTTTTGATCATGTTCAAG</t>
  </si>
  <si>
    <t xml:space="preserve">AAACCTTGAACATGATCAAAAATG</t>
  </si>
  <si>
    <t xml:space="preserve">TTGCCGTCATTACCTTGAGC</t>
  </si>
  <si>
    <t xml:space="preserve">TAGTTTGCCGTCATTACCTTGAGC</t>
  </si>
  <si>
    <t xml:space="preserve">AAACGCTCAAGGTAATGACGGCAA</t>
  </si>
  <si>
    <t xml:space="preserve">PSPPH_2865</t>
  </si>
  <si>
    <t xml:space="preserve">GCATGCGGACAAAAAAGCAA</t>
  </si>
  <si>
    <t xml:space="preserve">TAGTGCATGCGGACAAAAAAGCAA</t>
  </si>
  <si>
    <t xml:space="preserve">AAACTTGCTTTTTTGTCCGCATGC</t>
  </si>
  <si>
    <t xml:space="preserve">CTGAGAACATTGCATTTGTA</t>
  </si>
  <si>
    <t xml:space="preserve">TAGTCTGAGAACATTGCATTTGTA</t>
  </si>
  <si>
    <t xml:space="preserve">AAACTACAAATGCAATGTTCTCAG</t>
  </si>
  <si>
    <t xml:space="preserve">TCGCAGAGAAGGTGGCAGTG</t>
  </si>
  <si>
    <t xml:space="preserve">TAGTTCGCAGAGAAGGTGGCAGTG</t>
  </si>
  <si>
    <t xml:space="preserve">AAACCACTGCCACCTTCTCTGCGA</t>
  </si>
  <si>
    <t xml:space="preserve">GACGGTTCTGGACATGGAGC</t>
  </si>
  <si>
    <t xml:space="preserve">TAGTGACGGTTCTGGACATGGAGC</t>
  </si>
  <si>
    <t xml:space="preserve">AAACGCTCCATGTCCAGAACCGTC</t>
  </si>
  <si>
    <t xml:space="preserve">PSPPH_2866</t>
  </si>
  <si>
    <t xml:space="preserve">CGATTGCTCAAAGGTATTCA</t>
  </si>
  <si>
    <t xml:space="preserve">TAGTCGATTGCTCAAAGGTATTCA</t>
  </si>
  <si>
    <t xml:space="preserve">AAACTGAATACCTTTGAGCAATCG</t>
  </si>
  <si>
    <t xml:space="preserve">ATCGGTGTTATTGGGCGTGG</t>
  </si>
  <si>
    <t xml:space="preserve">TAGTATCGGTGTTATTGGGCGTGG</t>
  </si>
  <si>
    <t xml:space="preserve">AAACCCACGCCCAATAACACCGAT</t>
  </si>
  <si>
    <t xml:space="preserve">AATTCTGGCAGCTTCGCGTT</t>
  </si>
  <si>
    <t xml:space="preserve">TAGTAATTCTGGCAGCTTCGCGTT</t>
  </si>
  <si>
    <t xml:space="preserve">AAACAACGCGAAGCTGCCAGAATT</t>
  </si>
  <si>
    <t xml:space="preserve">GATTTCGGCCACTGCCTGCG</t>
  </si>
  <si>
    <t xml:space="preserve">TAGTGATTTCGGCCACTGCCTGCG</t>
  </si>
  <si>
    <t xml:space="preserve">AAACCGCAGGCAGTGGCCGAAATC</t>
  </si>
  <si>
    <t xml:space="preserve">PSPPH_2867</t>
  </si>
  <si>
    <t xml:space="preserve">TGCACGGATGGTTCCCCTAT</t>
  </si>
  <si>
    <t xml:space="preserve">TAGTTGCACGGATGGTTCCCCTAT</t>
  </si>
  <si>
    <t xml:space="preserve">AAACATAGGGGAACCATCCGTGCA</t>
  </si>
  <si>
    <t xml:space="preserve">CGGTGCGCCTGACGTAGGCC</t>
  </si>
  <si>
    <t xml:space="preserve">TAGTCGGTGCGCCTGACGTAGGCC</t>
  </si>
  <si>
    <t xml:space="preserve">AAACGGCCTACGTCAGGCGCACCG</t>
  </si>
  <si>
    <t xml:space="preserve">GACGAGTTCAAGGTCGTCGG</t>
  </si>
  <si>
    <t xml:space="preserve">TAGTGACGAGTTCAAGGTCGTCGG</t>
  </si>
  <si>
    <t xml:space="preserve">AAACCCGACGACCTTGAACTCGTC</t>
  </si>
  <si>
    <t xml:space="preserve">CAAAAGATGTCCGGCAAGAT</t>
  </si>
  <si>
    <t xml:space="preserve">TAGTCAAAAGATGTCCGGCAAGAT</t>
  </si>
  <si>
    <t xml:space="preserve">AAACATCTTGCCGGACATCTTTTG</t>
  </si>
  <si>
    <t xml:space="preserve">PSPPH_2868</t>
  </si>
  <si>
    <t xml:space="preserve">TCCACCCTTTTCATCGGTTG</t>
  </si>
  <si>
    <t xml:space="preserve">TAGTTCCACCCTTTTCATCGGTTG</t>
  </si>
  <si>
    <t xml:space="preserve">AAACCAACCGATGAAAAGGGTGGA</t>
  </si>
  <si>
    <t xml:space="preserve">GTCCAGACGGGCCGGCAAAT</t>
  </si>
  <si>
    <t xml:space="preserve">TAGTGTCCAGACGGGCCGGCAAAT</t>
  </si>
  <si>
    <t xml:space="preserve">AAACATTTGCCGGCCCGTCTGGAC</t>
  </si>
  <si>
    <t xml:space="preserve">GAAACCGCCCCCAGGGCAAG</t>
  </si>
  <si>
    <t xml:space="preserve">TAGTGAAACCGCCCCCAGGGCAAG</t>
  </si>
  <si>
    <t xml:space="preserve">AAACCTTGCCCTGGGGGCGGTTTC</t>
  </si>
  <si>
    <t xml:space="preserve">ACCCAGCGCCACAACCAGTA</t>
  </si>
  <si>
    <t xml:space="preserve">TAGTACCCAGCGCCACAACCAGTA</t>
  </si>
  <si>
    <t xml:space="preserve">AAACTACTGGTTGTGGCGCTGGGT</t>
  </si>
  <si>
    <t xml:space="preserve">PSPPH_2869</t>
  </si>
  <si>
    <t xml:space="preserve">mntH</t>
  </si>
  <si>
    <t xml:space="preserve">GTGGGCAGTTTGTACGTCAC</t>
  </si>
  <si>
    <t xml:space="preserve">TAGTGTGGGCAGTTTGTACGTCAC</t>
  </si>
  <si>
    <t xml:space="preserve">AAACGTGACGTACAAACTGCCCAC</t>
  </si>
  <si>
    <t xml:space="preserve">GCAGAAAGGGGCTGTTGCAG</t>
  </si>
  <si>
    <t xml:space="preserve">TAGTGCAGAAAGGGGCTGTTGCAG</t>
  </si>
  <si>
    <t xml:space="preserve">AAACCTGCAACAGCCCCTTTCTGC</t>
  </si>
  <si>
    <t xml:space="preserve">CGCTGTCGGTGGTCGCCGAT</t>
  </si>
  <si>
    <t xml:space="preserve">TAGTCGCTGTCGGTGGTCGCCGAT</t>
  </si>
  <si>
    <t xml:space="preserve">AAACATCGGCGACCACCGACAGCG</t>
  </si>
  <si>
    <t xml:space="preserve">GCAGCAATGATGCGTTCGAC</t>
  </si>
  <si>
    <t xml:space="preserve">TAGTGCAGCAATGATGCGTTCGAC</t>
  </si>
  <si>
    <t xml:space="preserve">AAACGTCGAACGCATCATTGCTGC</t>
  </si>
  <si>
    <t xml:space="preserve">PSPPH_2870</t>
  </si>
  <si>
    <t xml:space="preserve">CCCTTGGGTGCACCTGTGCG</t>
  </si>
  <si>
    <t xml:space="preserve">TAGTCCCTTGGGTGCACCTGTGCG</t>
  </si>
  <si>
    <t xml:space="preserve">AAACCGCACAGGTGCACCCAAGGG</t>
  </si>
  <si>
    <t xml:space="preserve">TTCCAGATAGTGGCAACCGC</t>
  </si>
  <si>
    <t xml:space="preserve">TAGTTTCCAGATAGTGGCAACCGC</t>
  </si>
  <si>
    <t xml:space="preserve">AAACGCGGTTGCCACTATCTGGAA</t>
  </si>
  <si>
    <t xml:space="preserve">AAAACCGGCGACAGACAGCA</t>
  </si>
  <si>
    <t xml:space="preserve">TAGTAAAACCGGCGACAGACAGCA</t>
  </si>
  <si>
    <t xml:space="preserve">AAACTGCTGTCTGTCGCCGGTTTT</t>
  </si>
  <si>
    <t xml:space="preserve">TGATATAGGCCGTCTGAAAC</t>
  </si>
  <si>
    <t xml:space="preserve">TAGTTGATATAGGCCGTCTGAAAC</t>
  </si>
  <si>
    <t xml:space="preserve">AAACGTTTCAGACGGCCTATATCA</t>
  </si>
  <si>
    <t xml:space="preserve">PSPPH_2871</t>
  </si>
  <si>
    <t xml:space="preserve">TCAGCAGTGGCTTGAAGTAT</t>
  </si>
  <si>
    <t xml:space="preserve">TAGTTCAGCAGTGGCTTGAAGTAT</t>
  </si>
  <si>
    <t xml:space="preserve">AAACATACTTCAAGCCACTGCTGA</t>
  </si>
  <si>
    <t xml:space="preserve">TAATCAATGCGGTAATGCTT</t>
  </si>
  <si>
    <t xml:space="preserve">TAGTTAATCAATGCGGTAATGCTT</t>
  </si>
  <si>
    <t xml:space="preserve">AAACAAGCATTACCGCATTGATTA</t>
  </si>
  <si>
    <t xml:space="preserve">TTCAGCGTTGTCCATATTCT</t>
  </si>
  <si>
    <t xml:space="preserve">TAGTTTCAGCGTTGTCCATATTCT</t>
  </si>
  <si>
    <t xml:space="preserve">AAACAGAATATGGACAACGCTGAA</t>
  </si>
  <si>
    <t xml:space="preserve">ACTTTCTCCAAACGGTATTT</t>
  </si>
  <si>
    <t xml:space="preserve">TAGTACTTTCTCCAAACGGTATTT</t>
  </si>
  <si>
    <t xml:space="preserve">AAACAAATACCGTTTGGAGAAAGT</t>
  </si>
  <si>
    <t xml:space="preserve">PSPPH_2872</t>
  </si>
  <si>
    <t xml:space="preserve">CAGCTCACGCAACAGGGGGT</t>
  </si>
  <si>
    <t xml:space="preserve">TAGTCAGCTCACGCAACAGGGGGT</t>
  </si>
  <si>
    <t xml:space="preserve">AAACACCCCCTGTTGCGTGAGCTG</t>
  </si>
  <si>
    <t xml:space="preserve">CTGGACAGGTCGGACACCAA</t>
  </si>
  <si>
    <t xml:space="preserve">TAGTCTGGACAGGTCGGACACCAA</t>
  </si>
  <si>
    <t xml:space="preserve">AAACTTGGTGTCCGACCTGTCCAG</t>
  </si>
  <si>
    <t xml:space="preserve">CGCCGATAACGCTCTTCGTC</t>
  </si>
  <si>
    <t xml:space="preserve">TAGTCGCCGATAACGCTCTTCGTC</t>
  </si>
  <si>
    <t xml:space="preserve">AAACGACGAAGAGCGTTATCGGCG</t>
  </si>
  <si>
    <t xml:space="preserve">TAGCGTCGCAAGGCAGCCAG</t>
  </si>
  <si>
    <t xml:space="preserve">TAGTTAGCGTCGCAAGGCAGCCAG</t>
  </si>
  <si>
    <t xml:space="preserve">AAACCTGGCTGCCTTGCGACGCTA</t>
  </si>
  <si>
    <t xml:space="preserve">PSPPH_2873</t>
  </si>
  <si>
    <t xml:space="preserve">AGAGCTCTTCCTTGAGTGCC</t>
  </si>
  <si>
    <t xml:space="preserve">TAGTAGAGCTCTTCCTTGAGTGCC</t>
  </si>
  <si>
    <t xml:space="preserve">AAACGGCACTCAAGGAAGAGCTCT</t>
  </si>
  <si>
    <t xml:space="preserve">CCATCGAGGTCGACAACCAG</t>
  </si>
  <si>
    <t xml:space="preserve">TAGTCCATCGAGGTCGACAACCAG</t>
  </si>
  <si>
    <t xml:space="preserve">AAACCTGGTTGTCGACCTCGATGG</t>
  </si>
  <si>
    <t xml:space="preserve">GCCGCGGATAAAAGCTACTG</t>
  </si>
  <si>
    <t xml:space="preserve">TAGTGCCGCGGATAAAAGCTACTG</t>
  </si>
  <si>
    <t xml:space="preserve">AAACCAGTAGCTTTTATCCGCGGC</t>
  </si>
  <si>
    <t xml:space="preserve">GCCTGAATACCTGTAATGGT</t>
  </si>
  <si>
    <t xml:space="preserve">TAGTGCCTGAATACCTGTAATGGT</t>
  </si>
  <si>
    <t xml:space="preserve">AAACACCATTACAGGTATTCAGGC</t>
  </si>
  <si>
    <t xml:space="preserve">PSPPH_2875</t>
  </si>
  <si>
    <t xml:space="preserve">GATGATCAGAATTTTTTTCA</t>
  </si>
  <si>
    <t xml:space="preserve">TAGTGATGATCAGAATTTTTTTCA</t>
  </si>
  <si>
    <t xml:space="preserve">AAACTGAAAAAAATTCTGATCATC</t>
  </si>
  <si>
    <t xml:space="preserve">TCGGGCACAGGCGTGGGCGA</t>
  </si>
  <si>
    <t xml:space="preserve">TAGTTCGGGCACAGGCGTGGGCGA</t>
  </si>
  <si>
    <t xml:space="preserve">AAACTCGCCCACGCCTGTGCCCGA</t>
  </si>
  <si>
    <t xml:space="preserve">AAAAAAATCACAGCCCTGCG</t>
  </si>
  <si>
    <t xml:space="preserve">TAGTAAAAAAATCACAGCCCTGCG</t>
  </si>
  <si>
    <t xml:space="preserve">AAACCGCAGGGCTGTGATTTTTTT</t>
  </si>
  <si>
    <t xml:space="preserve">GGCACCGCGCGCCTTGAGAT</t>
  </si>
  <si>
    <t xml:space="preserve">TAGTGGCACCGCGCGCCTTGAGAT</t>
  </si>
  <si>
    <t xml:space="preserve">AAACATCTCAAGGCGCGCGGTGCC</t>
  </si>
  <si>
    <t xml:space="preserve">PSPPH_2876</t>
  </si>
  <si>
    <t xml:space="preserve">TAGCGCCAGCCTGACAGCAG</t>
  </si>
  <si>
    <t xml:space="preserve">TAGTTAGCGCCAGCCTGACAGCAG</t>
  </si>
  <si>
    <t xml:space="preserve">AAACCTGCTGTCAGGCTGGCGCTA</t>
  </si>
  <si>
    <t xml:space="preserve">TGCCTGCCAACCGCCCCACA</t>
  </si>
  <si>
    <t xml:space="preserve">TAGTTGCCTGCCAACCGCCCCACA</t>
  </si>
  <si>
    <t xml:space="preserve">AAACTGTGGGGCGGTTGGCAGGCA</t>
  </si>
  <si>
    <t xml:space="preserve">GCCCTGCACCCCGACCTTGC</t>
  </si>
  <si>
    <t xml:space="preserve">TAGTGCCCTGCACCCCGACCTTGC</t>
  </si>
  <si>
    <t xml:space="preserve">AAACGCAAGGTCGGGGTGCAGGGC</t>
  </si>
  <si>
    <t xml:space="preserve">GCGGATGCCCCAGCACCTCA</t>
  </si>
  <si>
    <t xml:space="preserve">TAGTGCGGATGCCCCAGCACCTCA</t>
  </si>
  <si>
    <t xml:space="preserve">AAACTGAGGTGCTGGGGCATCCGC</t>
  </si>
  <si>
    <t xml:space="preserve">PSPPH_2877</t>
  </si>
  <si>
    <t xml:space="preserve">ATCGAGGTGCGCGAATCGGG</t>
  </si>
  <si>
    <t xml:space="preserve">TAGTATCGAGGTGCGCGAATCGGG</t>
  </si>
  <si>
    <t xml:space="preserve">AAACCCCGATTCGCGCACCTCGAT</t>
  </si>
  <si>
    <t xml:space="preserve">ACCCAGCAGAAACAGGGGCA</t>
  </si>
  <si>
    <t xml:space="preserve">TAGTACCCAGCAGAAACAGGGGCA</t>
  </si>
  <si>
    <t xml:space="preserve">AAACTGCCCCTGTTTCTGCTGGGT</t>
  </si>
  <si>
    <t xml:space="preserve">CAGAAAACTTGCGGCGATGG</t>
  </si>
  <si>
    <t xml:space="preserve">TAGTCAGAAAACTTGCGGCGATGG</t>
  </si>
  <si>
    <t xml:space="preserve">AAACCCATCGCCGCAAGTTTTCTG</t>
  </si>
  <si>
    <t xml:space="preserve">CCATTGCACCGGCCCGCTGG</t>
  </si>
  <si>
    <t xml:space="preserve">TAGTCCATTGCACCGGCCCGCTGG</t>
  </si>
  <si>
    <t xml:space="preserve">AAACCCAGCGGGCCGGTGCAATGG</t>
  </si>
  <si>
    <t xml:space="preserve">PSPPH_2878</t>
  </si>
  <si>
    <t xml:space="preserve">ATACGGTTTTGCGCTTCTTG</t>
  </si>
  <si>
    <t xml:space="preserve">TAGTATACGGTTTTGCGCTTCTTG</t>
  </si>
  <si>
    <t xml:space="preserve">AAACCAAGAAGCGCAAAACCGTAT</t>
  </si>
  <si>
    <t xml:space="preserve">GCATGTCGCCGATGATGCCG</t>
  </si>
  <si>
    <t xml:space="preserve">TAGTGCATGTCGCCGATGATGCCG</t>
  </si>
  <si>
    <t xml:space="preserve">AAACCGGCATCATCGGCGACATGC</t>
  </si>
  <si>
    <t xml:space="preserve">GCCGGTGTTGGCGATCAACG</t>
  </si>
  <si>
    <t xml:space="preserve">TAGTGCCGGTGTTGGCGATCAACG</t>
  </si>
  <si>
    <t xml:space="preserve">AAACCGTTGATCGCCAACACCGGC</t>
  </si>
  <si>
    <t xml:space="preserve">ATTGACGGGCTGTCGAAGTC</t>
  </si>
  <si>
    <t xml:space="preserve">TAGTATTGACGGGCTGTCGAAGTC</t>
  </si>
  <si>
    <t xml:space="preserve">AAACGACTTCGACAGCCCGTCAAT</t>
  </si>
  <si>
    <t xml:space="preserve">PSPPH_2879</t>
  </si>
  <si>
    <t xml:space="preserve">GCCGAGACCGGAACTGGCTC</t>
  </si>
  <si>
    <t xml:space="preserve">TAGTGCCGAGACCGGAACTGGCTC</t>
  </si>
  <si>
    <t xml:space="preserve">AAACGAGCCAGTTCCGGTCTCGGC</t>
  </si>
  <si>
    <t xml:space="preserve">GGCGTCCGCCAGCGCTCGCG</t>
  </si>
  <si>
    <t xml:space="preserve">TAGTGGCGTCCGCCAGCGCTCGCG</t>
  </si>
  <si>
    <t xml:space="preserve">AAACCGCGAGCGCTGGCGGACGCC</t>
  </si>
  <si>
    <t xml:space="preserve">ATTGATCACCACCGCCGCCC</t>
  </si>
  <si>
    <t xml:space="preserve">TAGTATTGATCACCACCGCCGCCC</t>
  </si>
  <si>
    <t xml:space="preserve">AAACGGGCGGCGGTGGTGATCAAT</t>
  </si>
  <si>
    <t xml:space="preserve">CTTCTCGGCAGGTTCAGCCT</t>
  </si>
  <si>
    <t xml:space="preserve">TAGTCTTCTCGGCAGGTTCAGCCT</t>
  </si>
  <si>
    <t xml:space="preserve">AAACAGGCTGAACCTGCCGAGAAG</t>
  </si>
  <si>
    <t xml:space="preserve">PSPPH_2880</t>
  </si>
  <si>
    <t xml:space="preserve">tas</t>
  </si>
  <si>
    <t xml:space="preserve">GATCGCGCTGACCGACAGAT</t>
  </si>
  <si>
    <t xml:space="preserve">TAGTGATCGCGCTGACCGACAGAT</t>
  </si>
  <si>
    <t xml:space="preserve">AAACATCTGTCGGTCAGCGCGATC</t>
  </si>
  <si>
    <t xml:space="preserve">GTTCTGCTCGCCCCAGGTCA</t>
  </si>
  <si>
    <t xml:space="preserve">TAGTGTTCTGCTCGCCCCAGGTCA</t>
  </si>
  <si>
    <t xml:space="preserve">AAACTGACCTGGGGCGAGCAGAAC</t>
  </si>
  <si>
    <t xml:space="preserve">CTGTTCGAATGCTTCATCCT</t>
  </si>
  <si>
    <t xml:space="preserve">TAGTCTGTTCGAATGCTTCATCCT</t>
  </si>
  <si>
    <t xml:space="preserve">AAACAGGATGAAGCATTCGAACAG</t>
  </si>
  <si>
    <t xml:space="preserve">GAAGTTGACCTTGGCATCCT</t>
  </si>
  <si>
    <t xml:space="preserve">TAGTGAAGTTGACCTTGGCATCCT</t>
  </si>
  <si>
    <t xml:space="preserve">AAACAGGATGCCAAGGTCAACTTC</t>
  </si>
  <si>
    <t xml:space="preserve">PSPPH_2881</t>
  </si>
  <si>
    <t xml:space="preserve">CGTGGTCCAGACCAGATGCA</t>
  </si>
  <si>
    <t xml:space="preserve">TAGTCGTGGTCCAGACCAGATGCA</t>
  </si>
  <si>
    <t xml:space="preserve">AAACTGCATCTGGTCTGGACCACG</t>
  </si>
  <si>
    <t xml:space="preserve">CAAGCCAACGGACAGCGCTC</t>
  </si>
  <si>
    <t xml:space="preserve">TAGTCAAGCCAACGGACAGCGCTC</t>
  </si>
  <si>
    <t xml:space="preserve">AAACGAGCGCTGTCCGTTGGCTTG</t>
  </si>
  <si>
    <t xml:space="preserve">CAGCAAGCCTGCCACCAGCG</t>
  </si>
  <si>
    <t xml:space="preserve">TAGTCAGCAAGCCTGCCACCAGCG</t>
  </si>
  <si>
    <t xml:space="preserve">AAACCGCTGGTGGCAGGCTTGCTG</t>
  </si>
  <si>
    <t xml:space="preserve">CCCAGCCAGGCGGCCAGCGC</t>
  </si>
  <si>
    <t xml:space="preserve">TAGTCCCAGCCAGGCGGCCAGCGC</t>
  </si>
  <si>
    <t xml:space="preserve">AAACGCGCTGGCCGCCTGGCTGGG</t>
  </si>
  <si>
    <t xml:space="preserve">PSPPH_2882</t>
  </si>
  <si>
    <t xml:space="preserve">GCCTGTTCCGGGCTCAGTTC</t>
  </si>
  <si>
    <t xml:space="preserve">TAGTGCCTGTTCCGGGCTCAGTTC</t>
  </si>
  <si>
    <t xml:space="preserve">AAACGAACTGAGCCCGGAACAGGC</t>
  </si>
  <si>
    <t xml:space="preserve">CCGTAACAGTGGCAGGCATC</t>
  </si>
  <si>
    <t xml:space="preserve">TAGTCCGTAACAGTGGCAGGCATC</t>
  </si>
  <si>
    <t xml:space="preserve">AAACGATGCCTGCCACTGTTACGG</t>
  </si>
  <si>
    <t xml:space="preserve">TCTGCGCGGCAAATGCGGCA</t>
  </si>
  <si>
    <t xml:space="preserve">TAGTTCTGCGCGGCAAATGCGGCA</t>
  </si>
  <si>
    <t xml:space="preserve">AAACTGCCGCATTTGCCGCGCAGA</t>
  </si>
  <si>
    <t xml:space="preserve">CACAGGTTTTCGGTGGTCAT</t>
  </si>
  <si>
    <t xml:space="preserve">TAGTCACAGGTTTTCGGTGGTCAT</t>
  </si>
  <si>
    <t xml:space="preserve">AAACATGACCACCGAAAACCTGTG</t>
  </si>
  <si>
    <t xml:space="preserve">PSPPH_2883</t>
  </si>
  <si>
    <t xml:space="preserve">CATCGAGGATTTCGTTCAGC</t>
  </si>
  <si>
    <t xml:space="preserve">TAGTCATCGAGGATTTCGTTCAGC</t>
  </si>
  <si>
    <t xml:space="preserve">AAACGCTGAACGAAATCCTCGATG</t>
  </si>
  <si>
    <t xml:space="preserve">ACCTTGCCCTGACCAAGCAA</t>
  </si>
  <si>
    <t xml:space="preserve">TAGTACCTTGCCCTGACCAAGCAA</t>
  </si>
  <si>
    <t xml:space="preserve">AAACTTGCTTGGTCAGGGCAAGGT</t>
  </si>
  <si>
    <t xml:space="preserve">GCCCAGCGCCGGAATGTAAT</t>
  </si>
  <si>
    <t xml:space="preserve">TAGTGCCCAGCGCCGGAATGTAAT</t>
  </si>
  <si>
    <t xml:space="preserve">AAACATTACATTCCGGCGCTGGGC</t>
  </si>
  <si>
    <t xml:space="preserve">ACCGCAATGCCCAGTTGATC</t>
  </si>
  <si>
    <t xml:space="preserve">TAGTACCGCAATGCCCAGTTGATC</t>
  </si>
  <si>
    <t xml:space="preserve">AAACGATCAACTGGGCATTGCGGT</t>
  </si>
  <si>
    <t xml:space="preserve">PSPPH_2884</t>
  </si>
  <si>
    <t xml:space="preserve">GGCGTAGTACCTGGCTGGAG</t>
  </si>
  <si>
    <t xml:space="preserve">TAGTGGCGTAGTACCTGGCTGGAG</t>
  </si>
  <si>
    <t xml:space="preserve">AAACCTCCAGCCAGGTACTACGCC</t>
  </si>
  <si>
    <t xml:space="preserve">CGCACACTGCCGCCACCCGA</t>
  </si>
  <si>
    <t xml:space="preserve">TAGTCGCACACTGCCGCCACCCGA</t>
  </si>
  <si>
    <t xml:space="preserve">AAACTCGGGTGGCGGCAGTGTGCG</t>
  </si>
  <si>
    <t xml:space="preserve">ACCCGGACTTCCCATTCCTG</t>
  </si>
  <si>
    <t xml:space="preserve">TAGTACCCGGACTTCCCATTCCTG</t>
  </si>
  <si>
    <t xml:space="preserve">AAACCAGGAATGGGAAGTCCGGGT</t>
  </si>
  <si>
    <t xml:space="preserve">CTTGAGCGCGGCCAGCCGAT</t>
  </si>
  <si>
    <t xml:space="preserve">TAGTCTTGAGCGCGGCCAGCCGAT</t>
  </si>
  <si>
    <t xml:space="preserve">AAACATCGGCTGGCCGCGCTCAAG</t>
  </si>
  <si>
    <t xml:space="preserve">PSPPH_2885</t>
  </si>
  <si>
    <t xml:space="preserve">AAACGGGGTAGAAAGGGGGC</t>
  </si>
  <si>
    <t xml:space="preserve">TAGTAAACGGGGTAGAAAGGGGGC</t>
  </si>
  <si>
    <t xml:space="preserve">AAACGCCCCCTTTCTACCCCGTTT</t>
  </si>
  <si>
    <t xml:space="preserve">GCCCGATGGCCGCTGCCAGA</t>
  </si>
  <si>
    <t xml:space="preserve">TAGTGCCCGATGGCCGCTGCCAGA</t>
  </si>
  <si>
    <t xml:space="preserve">AAACTCTGGCAGCGGCCATCGGGC</t>
  </si>
  <si>
    <t xml:space="preserve">CAGCGTTCCGGTCAGTAGCG</t>
  </si>
  <si>
    <t xml:space="preserve">TAGTCAGCGTTCCGGTCAGTAGCG</t>
  </si>
  <si>
    <t xml:space="preserve">AAACCGCTACTGACCGGAACGCTG</t>
  </si>
  <si>
    <t xml:space="preserve">GCCTTCAGCCTGTGCGCTGG</t>
  </si>
  <si>
    <t xml:space="preserve">TAGTGCCTTCAGCCTGTGCGCTGG</t>
  </si>
  <si>
    <t xml:space="preserve">AAACCCAGCGCACAGGCTGAAGGC</t>
  </si>
  <si>
    <t xml:space="preserve">PSPPH_2887</t>
  </si>
  <si>
    <t xml:space="preserve">exbD2</t>
  </si>
  <si>
    <t xml:space="preserve">CACTTCATCGGTATCTTGTG</t>
  </si>
  <si>
    <t xml:space="preserve">TAGTCACTTCATCGGTATCTTGTG</t>
  </si>
  <si>
    <t xml:space="preserve">AAACCACAAGATACCGATGAAGTG</t>
  </si>
  <si>
    <t xml:space="preserve">GGAATCGAGTTGGTCAGCAG</t>
  </si>
  <si>
    <t xml:space="preserve">TAGTGGAATCGAGTTGGTCAGCAG</t>
  </si>
  <si>
    <t xml:space="preserve">AAACCTGCTGACCAACTCGATTCC</t>
  </si>
  <si>
    <t xml:space="preserve">TCGGTCTTGGGCAGGTTGAT</t>
  </si>
  <si>
    <t xml:space="preserve">TAGTTCGGTCTTGGGCAGGTTGAT</t>
  </si>
  <si>
    <t xml:space="preserve">AAACATCAACCTGCCCAAGACCGA</t>
  </si>
  <si>
    <t xml:space="preserve">AGCGGGTCTTTCTGTTCCAC</t>
  </si>
  <si>
    <t xml:space="preserve">TAGTAGCGGGTCTTTCTGTTCCAC</t>
  </si>
  <si>
    <t xml:space="preserve">AAACGTGGAACAGAAAGACCCGCT</t>
  </si>
  <si>
    <t xml:space="preserve">PSPPH_2888</t>
  </si>
  <si>
    <t xml:space="preserve">exbB2</t>
  </si>
  <si>
    <t xml:space="preserve">AGGCGAAGCAAGTAGGTTCA</t>
  </si>
  <si>
    <t xml:space="preserve">TAGTAGGCGAAGCAAGTAGGTTCA</t>
  </si>
  <si>
    <t xml:space="preserve">AAACTGAACCTACTTGCTTCGCCT</t>
  </si>
  <si>
    <t xml:space="preserve">GCGTGTTCGATGGATTCAAA</t>
  </si>
  <si>
    <t xml:space="preserve">TAGTGCGTGTTCGATGGATTCAAA</t>
  </si>
  <si>
    <t xml:space="preserve">AAACTTTGAATCCATCGAACACGC</t>
  </si>
  <si>
    <t xml:space="preserve">GGCCAGGCCCCAGGTGGCGA</t>
  </si>
  <si>
    <t xml:space="preserve">TAGTGGCCAGGCCCCAGGTGGCGA</t>
  </si>
  <si>
    <t xml:space="preserve">AAACTCGCCACCTGGGGCCTGGCC</t>
  </si>
  <si>
    <t xml:space="preserve">GAACTGCACACCTTTGAGCA</t>
  </si>
  <si>
    <t xml:space="preserve">TAGTGAACTGCACACCTTTGAGCA</t>
  </si>
  <si>
    <t xml:space="preserve">AAACTGCTCAAAGGTGTGCAGTTC</t>
  </si>
  <si>
    <t xml:space="preserve">PSPPH_2889</t>
  </si>
  <si>
    <t xml:space="preserve">tonB3</t>
  </si>
  <si>
    <t xml:space="preserve">CATGTGCGCTGGCTGCGGTC</t>
  </si>
  <si>
    <t xml:space="preserve">TAGTCATGTGCGCTGGCTGCGGTC</t>
  </si>
  <si>
    <t xml:space="preserve">AAACGACCGCAGCCAGCGCACATG</t>
  </si>
  <si>
    <t xml:space="preserve">CCACTCGGCGTCTGGCGCCA</t>
  </si>
  <si>
    <t xml:space="preserve">TAGTCCACTCGGCGTCTGGCGCCA</t>
  </si>
  <si>
    <t xml:space="preserve">AAACTGGCGCCAGACGCCGAGTGG</t>
  </si>
  <si>
    <t xml:space="preserve">AAGGACGCCCCAGATCGACC</t>
  </si>
  <si>
    <t xml:space="preserve">TAGTAAGGACGCCCCAGATCGACC</t>
  </si>
  <si>
    <t xml:space="preserve">AAACGGTCGATCTGGGGCGTCCTT</t>
  </si>
  <si>
    <t xml:space="preserve">GCGATAACGCCAGAGGCGCA</t>
  </si>
  <si>
    <t xml:space="preserve">TAGTGCGATAACGCCAGAGGCGCA</t>
  </si>
  <si>
    <t xml:space="preserve">AAACTGCGCCTCTGGCGTTATCGC</t>
  </si>
  <si>
    <t xml:space="preserve">PSPPH_2890</t>
  </si>
  <si>
    <t xml:space="preserve">TGCGACGTTACGAATCAGAA</t>
  </si>
  <si>
    <t xml:space="preserve">TAGTTGCGACGTTACGAATCAGAA</t>
  </si>
  <si>
    <t xml:space="preserve">AAACTTCTGATTCGTAACGTCGCA</t>
  </si>
  <si>
    <t xml:space="preserve">AGCGAAAGGGTCAGCAACAG</t>
  </si>
  <si>
    <t xml:space="preserve">TAGTAGCGAAAGGGTCAGCAACAG</t>
  </si>
  <si>
    <t xml:space="preserve">AAACCTGTTGCTGACCCTTTCGCT</t>
  </si>
  <si>
    <t xml:space="preserve">CGGCCAGCGCCTGAGCGCTC</t>
  </si>
  <si>
    <t xml:space="preserve">TAGTCGGCCAGCGCCTGAGCGCTC</t>
  </si>
  <si>
    <t xml:space="preserve">AAACGAGCGCTCAGGCGCTGGCCG</t>
  </si>
  <si>
    <t xml:space="preserve">GGCGTCATCGACTTTGGTTT</t>
  </si>
  <si>
    <t xml:space="preserve">TAGTGGCGTCATCGACTTTGGTTT</t>
  </si>
  <si>
    <t xml:space="preserve">AAACAAACCAAAGTCGATGACGCC</t>
  </si>
  <si>
    <t xml:space="preserve">PSPPH_2891</t>
  </si>
  <si>
    <t xml:space="preserve">CCACCTCGCGGCGGGTCGGT</t>
  </si>
  <si>
    <t xml:space="preserve">TAGTCCACCTCGCGGCGGGTCGGT</t>
  </si>
  <si>
    <t xml:space="preserve">AAACACCGACCCGCCGCGAGGTGG</t>
  </si>
  <si>
    <t xml:space="preserve">AGCCAAGGCTCAGCAAAGAT</t>
  </si>
  <si>
    <t xml:space="preserve">TAGTAGCCAAGGCTCAGCAAAGAT</t>
  </si>
  <si>
    <t xml:space="preserve">AAACATCTTTGCTGAGCCTTGGCT</t>
  </si>
  <si>
    <t xml:space="preserve">GTGCTTGAACGGCAAGGCAT</t>
  </si>
  <si>
    <t xml:space="preserve">TAGTGTGCTTGAACGGCAAGGCAT</t>
  </si>
  <si>
    <t xml:space="preserve">AAACATGCCTTGCCGTTCAAGCAC</t>
  </si>
  <si>
    <t xml:space="preserve">CATCCTTGAGTCGGAAGTTG</t>
  </si>
  <si>
    <t xml:space="preserve">TAGTCATCCTTGAGTCGGAAGTTG</t>
  </si>
  <si>
    <t xml:space="preserve">AAACCAACTTCCGACTCAAGGATG</t>
  </si>
  <si>
    <t xml:space="preserve">PSPPH_2892</t>
  </si>
  <si>
    <t xml:space="preserve">GCGGGGAGCGTGAGCGGGTA</t>
  </si>
  <si>
    <t xml:space="preserve">TAGTGCGGGGAGCGTGAGCGGGTA</t>
  </si>
  <si>
    <t xml:space="preserve">AAACTACCCGCTCACGCTCCCCGC</t>
  </si>
  <si>
    <t xml:space="preserve">TCAGCGGTTTGCGCAGGGCG</t>
  </si>
  <si>
    <t xml:space="preserve">TAGTTCAGCGGTTTGCGCAGGGCG</t>
  </si>
  <si>
    <t xml:space="preserve">AAACCGCCCTGCGCAAACCGCTGA</t>
  </si>
  <si>
    <t xml:space="preserve">CGGCCTGAGCGGGGTTCATC</t>
  </si>
  <si>
    <t xml:space="preserve">TAGTCGGCCTGAGCGGGGTTCATC</t>
  </si>
  <si>
    <t xml:space="preserve">AAACGATGAACCCCGCTCAGGCCG</t>
  </si>
  <si>
    <t xml:space="preserve">ACGGTCGAGGGTTTCATCGG</t>
  </si>
  <si>
    <t xml:space="preserve">TAGTACGGTCGAGGGTTTCATCGG</t>
  </si>
  <si>
    <t xml:space="preserve">AAACCCGATGAAACCCTCGACCGT</t>
  </si>
  <si>
    <t xml:space="preserve">PSPPH_2893</t>
  </si>
  <si>
    <t xml:space="preserve">CAATAATGATTGAGGCTCAT</t>
  </si>
  <si>
    <t xml:space="preserve">TAGTCAATAATGATTGAGGCTCAT</t>
  </si>
  <si>
    <t xml:space="preserve">AAACATGAGCCTCAATCATTATTG</t>
  </si>
  <si>
    <t xml:space="preserve">AGTTCATCTGTCAGGACCTT</t>
  </si>
  <si>
    <t xml:space="preserve">TAGTAGTTCATCTGTCAGGACCTT</t>
  </si>
  <si>
    <t xml:space="preserve">AAACAAGGTCCTGACAGATGAACT</t>
  </si>
  <si>
    <t xml:space="preserve">CGCAGAAGGCGTCCAGATGC</t>
  </si>
  <si>
    <t xml:space="preserve">TAGTCGCAGAAGGCGTCCAGATGC</t>
  </si>
  <si>
    <t xml:space="preserve">AAACGCATCTGGACGCCTTCTGCG</t>
  </si>
  <si>
    <t xml:space="preserve">GCCAGCCGGAGCAATTGGCG</t>
  </si>
  <si>
    <t xml:space="preserve">TAGTGCCAGCCGGAGCAATTGGCG</t>
  </si>
  <si>
    <t xml:space="preserve">AAACCGCCAATTGCTCCGGCTGGC</t>
  </si>
  <si>
    <t xml:space="preserve">PSPPH_2894</t>
  </si>
  <si>
    <t xml:space="preserve">AGGGAATGACCGCATTCTCT</t>
  </si>
  <si>
    <t xml:space="preserve">TAGTAGGGAATGACCGCATTCTCT</t>
  </si>
  <si>
    <t xml:space="preserve">AAACAGAGAATGCGGTCATTCCCT</t>
  </si>
  <si>
    <t xml:space="preserve">CATGAATAGACTCGGGTGAG</t>
  </si>
  <si>
    <t xml:space="preserve">TAGTCATGAATAGACTCGGGTGAG</t>
  </si>
  <si>
    <t xml:space="preserve">AAACCTCACCCGAGTCTATTCATG</t>
  </si>
  <si>
    <t xml:space="preserve">AGACTGCGAGCATGATTGCC</t>
  </si>
  <si>
    <t xml:space="preserve">TAGTAGACTGCGAGCATGATTGCC</t>
  </si>
  <si>
    <t xml:space="preserve">AAACGGCAATCATGCTCGCAGTCT</t>
  </si>
  <si>
    <t xml:space="preserve">GTCGTCGGCCAGCGCCTGAT</t>
  </si>
  <si>
    <t xml:space="preserve">TAGTGTCGTCGGCCAGCGCCTGAT</t>
  </si>
  <si>
    <t xml:space="preserve">AAACATCAGGCGCTGGCCGACGAC</t>
  </si>
  <si>
    <t xml:space="preserve">PSPPH_2895</t>
  </si>
  <si>
    <t xml:space="preserve">GTCGACAGCATCATGATCGC</t>
  </si>
  <si>
    <t xml:space="preserve">TAGTGTCGACAGCATCATGATCGC</t>
  </si>
  <si>
    <t xml:space="preserve">AAACGCGATCATGATGCTGTCGAC</t>
  </si>
  <si>
    <t xml:space="preserve">GTGAGTCAGTGGTCGGGTTG</t>
  </si>
  <si>
    <t xml:space="preserve">TAGTGTGAGTCAGTGGTCGGGTTG</t>
  </si>
  <si>
    <t xml:space="preserve">AAACCAACCCGACCACTGACTCAC</t>
  </si>
  <si>
    <t xml:space="preserve">CGGTGCCAGTTTCAACAACC</t>
  </si>
  <si>
    <t xml:space="preserve">TAGTCGGTGCCAGTTTCAACAACC</t>
  </si>
  <si>
    <t xml:space="preserve">AAACGGTTGTTGAAACTGGCACCG</t>
  </si>
  <si>
    <t xml:space="preserve">ATCGCCAGGGCGAACATGCC</t>
  </si>
  <si>
    <t xml:space="preserve">TAGTATCGCCAGGGCGAACATGCC</t>
  </si>
  <si>
    <t xml:space="preserve">AAACGGCATGTTCGCCCTGGCGAT</t>
  </si>
  <si>
    <t xml:space="preserve">PSPPH_2896</t>
  </si>
  <si>
    <t xml:space="preserve">TTCGCCCGCGCGTATCAGAC</t>
  </si>
  <si>
    <t xml:space="preserve">TAGTTTCGCCCGCGCGTATCAGAC</t>
  </si>
  <si>
    <t xml:space="preserve">AAACGTCTGATACGCGCGGGCGAA</t>
  </si>
  <si>
    <t xml:space="preserve">CGCAGCCCCTGATTCAGGCG</t>
  </si>
  <si>
    <t xml:space="preserve">TAGTCGCAGCCCCTGATTCAGGCG</t>
  </si>
  <si>
    <t xml:space="preserve">AAACCGCCTGAATCAGGGGCTGCG</t>
  </si>
  <si>
    <t xml:space="preserve">GCAAACCTTCAAGTACCGCA</t>
  </si>
  <si>
    <t xml:space="preserve">TAGTGCAAACCTTCAAGTACCGCA</t>
  </si>
  <si>
    <t xml:space="preserve">AAACTGCGGTACTTGAAGGTTTGC</t>
  </si>
  <si>
    <t xml:space="preserve">AGCCAGTACAGCAGCAGGTA</t>
  </si>
  <si>
    <t xml:space="preserve">TAGTAGCCAGTACAGCAGCAGGTA</t>
  </si>
  <si>
    <t xml:space="preserve">AAACTACCTGCTGCTGTACTGGCT</t>
  </si>
  <si>
    <t xml:space="preserve">PSPPH_2897</t>
  </si>
  <si>
    <t xml:space="preserve">TTTTCTGGTCGATGTGTACA</t>
  </si>
  <si>
    <t xml:space="preserve">TAGTTTTTCTGGTCGATGTGTACA</t>
  </si>
  <si>
    <t xml:space="preserve">AAACTGTACACATCGACCAGAAAA</t>
  </si>
  <si>
    <t xml:space="preserve">TGGCGTACCGCGAGCAGTCG</t>
  </si>
  <si>
    <t xml:space="preserve">TAGTTGGCGTACCGCGAGCAGTCG</t>
  </si>
  <si>
    <t xml:space="preserve">AAACCGACTGCTCGCGGTACGCCA</t>
  </si>
  <si>
    <t xml:space="preserve">GCAGGGTCGAATGCTTCAGG</t>
  </si>
  <si>
    <t xml:space="preserve">TAGTGCAGGGTCGAATGCTTCAGG</t>
  </si>
  <si>
    <t xml:space="preserve">AAACCCTGAAGCATTCGACCCTGC</t>
  </si>
  <si>
    <t xml:space="preserve">GGCGATTTCCTCGCCCAGCA</t>
  </si>
  <si>
    <t xml:space="preserve">TAGTGGCGATTTCCTCGCCCAGCA</t>
  </si>
  <si>
    <t xml:space="preserve">AAACTGCTGGGCGAGGAAATCGCC</t>
  </si>
  <si>
    <t xml:space="preserve">PSPPH_2898</t>
  </si>
  <si>
    <t xml:space="preserve">AACACCAATACGGCAGGTAG</t>
  </si>
  <si>
    <t xml:space="preserve">TAGTAACACCAATACGGCAGGTAG</t>
  </si>
  <si>
    <t xml:space="preserve">AAACCTACCTGCCGTATTGGTGTT</t>
  </si>
  <si>
    <t xml:space="preserve">CGGTGAGCATGCCCTGATGC</t>
  </si>
  <si>
    <t xml:space="preserve">TAGTCGGTGAGCATGCCCTGATGC</t>
  </si>
  <si>
    <t xml:space="preserve">AAACGCATCAGGGCATGCTCACCG</t>
  </si>
  <si>
    <t xml:space="preserve">CACACCCTGCAACATCAGCG</t>
  </si>
  <si>
    <t xml:space="preserve">TAGTCACACCCTGCAACATCAGCG</t>
  </si>
  <si>
    <t xml:space="preserve">AAACCGCTGATGTTGCAGGGTGTG</t>
  </si>
  <si>
    <t xml:space="preserve">CCAGGTCCAGCCCCTGATGG</t>
  </si>
  <si>
    <t xml:space="preserve">TAGTCCAGGTCCAGCCCCTGATGG</t>
  </si>
  <si>
    <t xml:space="preserve">AAACCCATCAGGGGCTGGACCTGG</t>
  </si>
  <si>
    <t xml:space="preserve">PSPPH_2899</t>
  </si>
  <si>
    <t xml:space="preserve">irp1</t>
  </si>
  <si>
    <t xml:space="preserve">GATGGGCTCGCTGGTGCCAT</t>
  </si>
  <si>
    <t xml:space="preserve">TAGTGATGGGCTCGCTGGTGCCAT</t>
  </si>
  <si>
    <t xml:space="preserve">AAACATGGCACCAGCGAGCCCATC</t>
  </si>
  <si>
    <t xml:space="preserve">CCTCGGGAAAACGGCAAGCC</t>
  </si>
  <si>
    <t xml:space="preserve">TAGTCCTCGGGAAAACGGCAAGCC</t>
  </si>
  <si>
    <t xml:space="preserve">AAACGGCTTGCCGTTTTCCCGAGG</t>
  </si>
  <si>
    <t xml:space="preserve">CCAGTACTGGGCGCTGTCGC</t>
  </si>
  <si>
    <t xml:space="preserve">TAGTCCAGTACTGGGCGCTGTCGC</t>
  </si>
  <si>
    <t xml:space="preserve">AAACGCGACAGCGCCCAGTACTGG</t>
  </si>
  <si>
    <t xml:space="preserve">GTGGCGGCTGCACTCGCGAC</t>
  </si>
  <si>
    <t xml:space="preserve">TAGTGTGGCGGCTGCACTCGCGAC</t>
  </si>
  <si>
    <t xml:space="preserve">AAACGTCGCGAGTGCAGCCGCCAC</t>
  </si>
  <si>
    <t xml:space="preserve">PSPPH_2900</t>
  </si>
  <si>
    <t xml:space="preserve">irp3</t>
  </si>
  <si>
    <t xml:space="preserve">CCGACAACAAGAACCTTCAG</t>
  </si>
  <si>
    <t xml:space="preserve">TAGTCCGACAACAAGAACCTTCAG</t>
  </si>
  <si>
    <t xml:space="preserve">AAACCTGAAGGTTCTTGTTGTCGG</t>
  </si>
  <si>
    <t xml:space="preserve">GAGGTACAGCTCCCCGAACT</t>
  </si>
  <si>
    <t xml:space="preserve">TAGTGAGGTACAGCTCCCCGAACT</t>
  </si>
  <si>
    <t xml:space="preserve">AAACAGTTCGGGGAGCTGTACCTC</t>
  </si>
  <si>
    <t xml:space="preserve">GCTGCAAGCCGGGCTGTTCG</t>
  </si>
  <si>
    <t xml:space="preserve">TAGTGCTGCAAGCCGGGCTGTTCG</t>
  </si>
  <si>
    <t xml:space="preserve">AAACCGAACAGCCCGGCTTGCAGC</t>
  </si>
  <si>
    <t xml:space="preserve">GCTGCCGTTGGCCAGCAGCC</t>
  </si>
  <si>
    <t xml:space="preserve">TAGTGCTGCCGTTGGCCAGCAGCC</t>
  </si>
  <si>
    <t xml:space="preserve">AAACGGCTGCTGGCCAACGGCAGC</t>
  </si>
  <si>
    <t xml:space="preserve">PSPPH_2901</t>
  </si>
  <si>
    <t xml:space="preserve">irp4</t>
  </si>
  <si>
    <t xml:space="preserve">ACTGATCGGCCTGCAGAAAG</t>
  </si>
  <si>
    <t xml:space="preserve">TAGTACTGATCGGCCTGCAGAAAG</t>
  </si>
  <si>
    <t xml:space="preserve">AAACCTTTCTGCAGGCCGATCAGT</t>
  </si>
  <si>
    <t xml:space="preserve">GGCACAGCAGCACATGGTTC</t>
  </si>
  <si>
    <t xml:space="preserve">TAGTGGCACAGCAGCACATGGTTC</t>
  </si>
  <si>
    <t xml:space="preserve">AAACGAACCATGTGCTGCTGTGCC</t>
  </si>
  <si>
    <t xml:space="preserve">CGCCGCTGGCCCCGGCGAAC</t>
  </si>
  <si>
    <t xml:space="preserve">TAGTCGCCGCTGGCCCCGGCGAAC</t>
  </si>
  <si>
    <t xml:space="preserve">AAACGTTCGCCGGGGCCAGCGGCG</t>
  </si>
  <si>
    <t xml:space="preserve">GCATGCGCTGGTCGCGACCC</t>
  </si>
  <si>
    <t xml:space="preserve">TAGTGCATGCGCTGGTCGCGACCC</t>
  </si>
  <si>
    <t xml:space="preserve">AAACGGGTCGCGACCAGCGCATGC</t>
  </si>
  <si>
    <t xml:space="preserve">PSPPH_2902</t>
  </si>
  <si>
    <t xml:space="preserve">irp5</t>
  </si>
  <si>
    <t xml:space="preserve">GAAGGCAAGTTCGGTGTGCA</t>
  </si>
  <si>
    <t xml:space="preserve">TAGTGAAGGCAAGTTCGGTGTGCA</t>
  </si>
  <si>
    <t xml:space="preserve">AAACTGCACACCGAACTTGCCTTC</t>
  </si>
  <si>
    <t xml:space="preserve">GGTCGGCGAAGGGGTGTAGC</t>
  </si>
  <si>
    <t xml:space="preserve">TAGTGGTCGGCGAAGGGGTGTAGC</t>
  </si>
  <si>
    <t xml:space="preserve">AAACGCTACACCCCTTCGCCGACC</t>
  </si>
  <si>
    <t xml:space="preserve">GCAAGCGTTGAGGGAGGGTC</t>
  </si>
  <si>
    <t xml:space="preserve">TAGTGCAAGCGTTGAGGGAGGGTC</t>
  </si>
  <si>
    <t xml:space="preserve">AAACGACCCTCCCTCAACGCTTGC</t>
  </si>
  <si>
    <t xml:space="preserve">GCGCTGTGCGTGAGCCGTGC</t>
  </si>
  <si>
    <t xml:space="preserve">TAGTGCGCTGTGCGTGAGCCGTGC</t>
  </si>
  <si>
    <t xml:space="preserve">AAACGCACGGCTCACGCACAGCGC</t>
  </si>
  <si>
    <t xml:space="preserve">PSPPH_2903</t>
  </si>
  <si>
    <t xml:space="preserve">pchB</t>
  </si>
  <si>
    <t xml:space="preserve">GCAGATTTCACAACACTCAT</t>
  </si>
  <si>
    <t xml:space="preserve">TAGTGCAGATTTCACAACACTCAT</t>
  </si>
  <si>
    <t xml:space="preserve">AAACATGAGTGTTGTGAAATCTGC</t>
  </si>
  <si>
    <t xml:space="preserve">TCGCCGAGGTTTTCACACTC</t>
  </si>
  <si>
    <t xml:space="preserve">TAGTTCGCCGAGGTTTTCACACTC</t>
  </si>
  <si>
    <t xml:space="preserve">AAACGAGTGTGAAAACCTCGGCGA</t>
  </si>
  <si>
    <t xml:space="preserve">GGTCGAGCTCATCAATGCCC</t>
  </si>
  <si>
    <t xml:space="preserve">TAGTGGTCGAGCTCATCAATGCCC</t>
  </si>
  <si>
    <t xml:space="preserve">AAACGGGCATTGATGAGCTCGACC</t>
  </si>
  <si>
    <t xml:space="preserve">CAAGAATTTGCACAATCTGC</t>
  </si>
  <si>
    <t xml:space="preserve">TAGTCAAGAATTTGCACAATCTGC</t>
  </si>
  <si>
    <t xml:space="preserve">AAACGCAGATTGTGCAAATTCTTG</t>
  </si>
  <si>
    <t xml:space="preserve">PSPPH_2904</t>
  </si>
  <si>
    <t xml:space="preserve">pchA</t>
  </si>
  <si>
    <t xml:space="preserve">GACCGCTGAACGATGGTAGT</t>
  </si>
  <si>
    <t xml:space="preserve">TAGTGACCGCTGAACGATGGTAGT</t>
  </si>
  <si>
    <t xml:space="preserve">AAACACTACCATCGTTCAGCGGTC</t>
  </si>
  <si>
    <t xml:space="preserve">CTTGCGCCTGAGCAGCCTGC</t>
  </si>
  <si>
    <t xml:space="preserve">TAGTCTTGCGCCTGAGCAGCCTGC</t>
  </si>
  <si>
    <t xml:space="preserve">AAACGCAGGCTGCTCAGGCGCAAG</t>
  </si>
  <si>
    <t xml:space="preserve">ACGAGGCCAGTATCCAGGGG</t>
  </si>
  <si>
    <t xml:space="preserve">TAGTACGAGGCCAGTATCCAGGGG</t>
  </si>
  <si>
    <t xml:space="preserve">AAACCCCCTGGATACTGGCCTCGT</t>
  </si>
  <si>
    <t xml:space="preserve">TTCGACCTGAAGTGAAGGCG</t>
  </si>
  <si>
    <t xml:space="preserve">TAGTTTCGACCTGAAGTGAAGGCG</t>
  </si>
  <si>
    <t xml:space="preserve">AAACCGCCTTCACTTCAGGTCGAA</t>
  </si>
  <si>
    <t xml:space="preserve">PSPPH_2905</t>
  </si>
  <si>
    <t xml:space="preserve">CAGCGGCAGGTAATTCCATC</t>
  </si>
  <si>
    <t xml:space="preserve">TAGTCAGCGGCAGGTAATTCCATC</t>
  </si>
  <si>
    <t xml:space="preserve">AAACGATGGAATTACCTGCCGCTG</t>
  </si>
  <si>
    <t xml:space="preserve">GTCAACCAGCGCAACGGCCA</t>
  </si>
  <si>
    <t xml:space="preserve">TAGTGTCAACCAGCGCAACGGCCA</t>
  </si>
  <si>
    <t xml:space="preserve">AAACTGGCCGTTGCGCTGGTTGAC</t>
  </si>
  <si>
    <t xml:space="preserve">CCTTGAGCGTACCGTTGGAG</t>
  </si>
  <si>
    <t xml:space="preserve">TAGTCCTTGAGCGTACCGTTGGAG</t>
  </si>
  <si>
    <t xml:space="preserve">AAACCTCCAACGGTACGCTCAAGG</t>
  </si>
  <si>
    <t xml:space="preserve">TGGCGCGGGTGCCGCAGAAA</t>
  </si>
  <si>
    <t xml:space="preserve">TAGTTGGCGCGGGTGCCGCAGAAA</t>
  </si>
  <si>
    <t xml:space="preserve">AAACTTTCTGCGGCACCCGCGCCA</t>
  </si>
  <si>
    <t xml:space="preserve">PSPPH_2906</t>
  </si>
  <si>
    <t xml:space="preserve">ACTGCCAGCAGCGCTACCGC</t>
  </si>
  <si>
    <t xml:space="preserve">TAGTACTGCCAGCAGCGCTACCGC</t>
  </si>
  <si>
    <t xml:space="preserve">AAACGCGGTAGCGCTGCTGGCAGT</t>
  </si>
  <si>
    <t xml:space="preserve">CTGCTGTTTCTGCTCGCACC</t>
  </si>
  <si>
    <t xml:space="preserve">TAGTCTGCTGTTTCTGCTCGCACC</t>
  </si>
  <si>
    <t xml:space="preserve">AAACGGTGCGAGCAGAAACAGCAG</t>
  </si>
  <si>
    <t xml:space="preserve">GCAATGGCCTCCACCTCTTT</t>
  </si>
  <si>
    <t xml:space="preserve">TAGTGCAATGGCCTCCACCTCTTT</t>
  </si>
  <si>
    <t xml:space="preserve">AAACAAAGAGGTGGAGGCCATTGC</t>
  </si>
  <si>
    <t xml:space="preserve">ATCAACGACCGTGAACGATT</t>
  </si>
  <si>
    <t xml:space="preserve">TAGTATCAACGACCGTGAACGATT</t>
  </si>
  <si>
    <t xml:space="preserve">AAACAATCGTTCACGGTCGTTGAT</t>
  </si>
  <si>
    <t xml:space="preserve">PSPPH_2907</t>
  </si>
  <si>
    <t xml:space="preserve">GCCAGCACCCAGGCAAAGTT</t>
  </si>
  <si>
    <t xml:space="preserve">TAGTGCCAGCACCCAGGCAAAGTT</t>
  </si>
  <si>
    <t xml:space="preserve">AAACAACTTTGCCTGGGTGCTGGC</t>
  </si>
  <si>
    <t xml:space="preserve">GCCTGCCAGCAGAATGAACA</t>
  </si>
  <si>
    <t xml:space="preserve">TAGTGCCTGCCAGCAGAATGAACA</t>
  </si>
  <si>
    <t xml:space="preserve">AAACTGTTCATTCTGCTGGCAGGC</t>
  </si>
  <si>
    <t xml:space="preserve">CGCCACTGGCAAGGAGGGCA</t>
  </si>
  <si>
    <t xml:space="preserve">TAGTCGCCACTGGCAAGGAGGGCA</t>
  </si>
  <si>
    <t xml:space="preserve">AAACTGCCCTCCTTGCCAGTGGCG</t>
  </si>
  <si>
    <t xml:space="preserve">TCTGCGGCGGTGCCACATCA</t>
  </si>
  <si>
    <t xml:space="preserve">TAGTTCTGCGGCGGTGCCACATCA</t>
  </si>
  <si>
    <t xml:space="preserve">AAACTGATGTGGCACCGCCGCAGA</t>
  </si>
  <si>
    <t xml:space="preserve">PSPPH_2908</t>
  </si>
  <si>
    <t xml:space="preserve">ATACGCAGACAGGCACGCAC</t>
  </si>
  <si>
    <t xml:space="preserve">TAGTATACGCAGACAGGCACGCAC</t>
  </si>
  <si>
    <t xml:space="preserve">AAACGTGCGTGCCTGTCTGCGTAT</t>
  </si>
  <si>
    <t xml:space="preserve">AGCGGTCTATTGGTTGATCG</t>
  </si>
  <si>
    <t xml:space="preserve">TAGTAGCGGTCTATTGGTTGATCG</t>
  </si>
  <si>
    <t xml:space="preserve">AAACCGATCAACCAATAGACCGCT</t>
  </si>
  <si>
    <t xml:space="preserve">TAATGAAGCATGCCAGAGAG</t>
  </si>
  <si>
    <t xml:space="preserve">TAGTTAATGAAGCATGCCAGAGAG</t>
  </si>
  <si>
    <t xml:space="preserve">AAACCTCTCTGGCATGCTTCATTA</t>
  </si>
  <si>
    <t xml:space="preserve">TTCGGCCGTACCTGAAGGCC</t>
  </si>
  <si>
    <t xml:space="preserve">TAGTTTCGGCCGTACCTGAAGGCC</t>
  </si>
  <si>
    <t xml:space="preserve">AAACGGCCTTCAGGTACGGCCGAA</t>
  </si>
  <si>
    <t xml:space="preserve">PSPPH_2909</t>
  </si>
  <si>
    <t xml:space="preserve">ACGCAAATTTTATGGAAGAT</t>
  </si>
  <si>
    <t xml:space="preserve">TAGTACGCAAATTTTATGGAAGAT</t>
  </si>
  <si>
    <t xml:space="preserve">AAACATCTTCCATAAAATTTGCGT</t>
  </si>
  <si>
    <t xml:space="preserve">ACCAGACCACCGCTGACGTT</t>
  </si>
  <si>
    <t xml:space="preserve">TAGTACCAGACCACCGCTGACGTT</t>
  </si>
  <si>
    <t xml:space="preserve">AAACAACGTCAGCGGTGGTCTGGT</t>
  </si>
  <si>
    <t xml:space="preserve">GTTGTAGTCGATGGTCCAAC</t>
  </si>
  <si>
    <t xml:space="preserve">TAGTGTTGTAGTCGATGGTCCAAC</t>
  </si>
  <si>
    <t xml:space="preserve">AAACGTTGGACCATCGACTACAAC</t>
  </si>
  <si>
    <t xml:space="preserve">ATATTCGAAACCGGATTGTT</t>
  </si>
  <si>
    <t xml:space="preserve">TAGTATATTCGAAACCGGATTGTT</t>
  </si>
  <si>
    <t xml:space="preserve">AAACAACAATCCGGTTTCGAATAT</t>
  </si>
  <si>
    <t xml:space="preserve">PSPPH_2910</t>
  </si>
  <si>
    <t xml:space="preserve">AACAGTTGACGCTGTCCTCC</t>
  </si>
  <si>
    <t xml:space="preserve">TAGTAACAGTTGACGCTGTCCTCC</t>
  </si>
  <si>
    <t xml:space="preserve">AAACGGAGGACAGCGTCAACTGTT</t>
  </si>
  <si>
    <t xml:space="preserve">CCGGCCAGACGCTGTTGCCC</t>
  </si>
  <si>
    <t xml:space="preserve">TAGTCCGGCCAGACGCTGTTGCCC</t>
  </si>
  <si>
    <t xml:space="preserve">AAACGGGCAACAGCGTCTGGCCGG</t>
  </si>
  <si>
    <t xml:space="preserve">CTGCGCGATCAGCCTTCCGT</t>
  </si>
  <si>
    <t xml:space="preserve">TAGTCTGCGCGATCAGCCTTCCGT</t>
  </si>
  <si>
    <t xml:space="preserve">AAACACGGAAGGCTGATCGCGCAG</t>
  </si>
  <si>
    <t xml:space="preserve">ATACCCTAGCCATTTGATTC</t>
  </si>
  <si>
    <t xml:space="preserve">TAGTATACCCTAGCCATTTGATTC</t>
  </si>
  <si>
    <t xml:space="preserve">AAACGAATCAAATGGCTAGGGTAT</t>
  </si>
  <si>
    <t xml:space="preserve">PSPPH_2911</t>
  </si>
  <si>
    <t xml:space="preserve">CGGTCAGGTCTTCAAAAAGC</t>
  </si>
  <si>
    <t xml:space="preserve">TAGTCGGTCAGGTCTTCAAAAAGC</t>
  </si>
  <si>
    <t xml:space="preserve">AAACGCTTTTTGAAGACCTGACCG</t>
  </si>
  <si>
    <t xml:space="preserve">CTCGGCCATCAGCGTCAGCT</t>
  </si>
  <si>
    <t xml:space="preserve">TAGTCTCGGCCATCAGCGTCAGCT</t>
  </si>
  <si>
    <t xml:space="preserve">AAACAGCTGACGCTGATGGCCGAG</t>
  </si>
  <si>
    <t xml:space="preserve">ATGGTGTTCGCCGATCCACA</t>
  </si>
  <si>
    <t xml:space="preserve">TAGTATGGTGTTCGCCGATCCACA</t>
  </si>
  <si>
    <t xml:space="preserve">AAACTGTGGATCGGCGAACACCAT</t>
  </si>
  <si>
    <t xml:space="preserve">GCCAGCAGCGGCATGGGGCT</t>
  </si>
  <si>
    <t xml:space="preserve">TAGTGCCAGCAGCGGCATGGGGCT</t>
  </si>
  <si>
    <t xml:space="preserve">AAACAGCCCCATGCCGCTGCTGGC</t>
  </si>
  <si>
    <t xml:space="preserve">PSPPH_2912</t>
  </si>
  <si>
    <t xml:space="preserve">amt1</t>
  </si>
  <si>
    <t xml:space="preserve">TGGCGCGAGTAAAGCTGTAA</t>
  </si>
  <si>
    <t xml:space="preserve">TAGTTGGCGCGAGTAAAGCTGTAA</t>
  </si>
  <si>
    <t xml:space="preserve">AAACTTACAGCTTTACTCGCGCCA</t>
  </si>
  <si>
    <t xml:space="preserve">GCAATCGGAGCGAAGGCGCC</t>
  </si>
  <si>
    <t xml:space="preserve">TAGTGCAATCGGAGCGAAGGCGCC</t>
  </si>
  <si>
    <t xml:space="preserve">AAACGGCGCCTTCGCTCCGATTGC</t>
  </si>
  <si>
    <t xml:space="preserve">GCTGCCGGTGTTCAAAACGG</t>
  </si>
  <si>
    <t xml:space="preserve">TAGTGCTGCCGGTGTTCAAAACGG</t>
  </si>
  <si>
    <t xml:space="preserve">AAACCCGTTTTGAACACCGGCAGC</t>
  </si>
  <si>
    <t xml:space="preserve">GAACAGCACCAGCACTGCTG</t>
  </si>
  <si>
    <t xml:space="preserve">TAGTGAACAGCACCAGCACTGCTG</t>
  </si>
  <si>
    <t xml:space="preserve">AAACCAGCAGTGCTGGTGCTGTTC</t>
  </si>
  <si>
    <t xml:space="preserve">PSPPH_2913</t>
  </si>
  <si>
    <t xml:space="preserve">GTTGCTGATAGGGTCGCTCA</t>
  </si>
  <si>
    <t xml:space="preserve">TAGTGTTGCTGATAGGGTCGCTCA</t>
  </si>
  <si>
    <t xml:space="preserve">AAACTGAGCGACCCTATCAGCAAC</t>
  </si>
  <si>
    <t xml:space="preserve">GACTCGCGCAGGACTGGAGC</t>
  </si>
  <si>
    <t xml:space="preserve">TAGTGACTCGCGCAGGACTGGAGC</t>
  </si>
  <si>
    <t xml:space="preserve">AAACGCTCCAGTCCTGCGCGAGTC</t>
  </si>
  <si>
    <t xml:space="preserve">AATGGTCAGGCGATCAAAGG</t>
  </si>
  <si>
    <t xml:space="preserve">TAGTAATGGTCAGGCGATCAAAGG</t>
  </si>
  <si>
    <t xml:space="preserve">AAACCCTTTGATCGCCTGACCATT</t>
  </si>
  <si>
    <t xml:space="preserve">TGCCGGTTTCCGCAGCACGC</t>
  </si>
  <si>
    <t xml:space="preserve">TAGTTGCCGGTTTCCGCAGCACGC</t>
  </si>
  <si>
    <t xml:space="preserve">AAACGCGTGCTGCGGAAACCGGCA</t>
  </si>
  <si>
    <t xml:space="preserve">PSPPH_2914</t>
  </si>
  <si>
    <t xml:space="preserve">GGTGGCGCTGGAAAGATCGA</t>
  </si>
  <si>
    <t xml:space="preserve">TAGTGGTGGCGCTGGAAAGATCGA</t>
  </si>
  <si>
    <t xml:space="preserve">AAACTCGATCTTTCCAGCGCCACC</t>
  </si>
  <si>
    <t xml:space="preserve">AGCCTGGTTGAGATCACGCA</t>
  </si>
  <si>
    <t xml:space="preserve">TAGTAGCCTGGTTGAGATCACGCA</t>
  </si>
  <si>
    <t xml:space="preserve">AAACTGCGTGATCTCAACCAGGCT</t>
  </si>
  <si>
    <t xml:space="preserve">GTTATGCGCGCCGTCAGGAT</t>
  </si>
  <si>
    <t xml:space="preserve">TAGTGTTATGCGCGCCGTCAGGAT</t>
  </si>
  <si>
    <t xml:space="preserve">AAACATCCTGACGGCGCGCATAAC</t>
  </si>
  <si>
    <t xml:space="preserve">CCTCGTTGACGCCGACCGCC</t>
  </si>
  <si>
    <t xml:space="preserve">TAGTCCTCGTTGACGCCGACCGCC</t>
  </si>
  <si>
    <t xml:space="preserve">AAACGGCGGTCGGCGTCAACGAGG</t>
  </si>
  <si>
    <t xml:space="preserve">PSPPH_2915</t>
  </si>
  <si>
    <t xml:space="preserve">CGAGTTGTGATTCCAGCGCC</t>
  </si>
  <si>
    <t xml:space="preserve">TAGTCGAGTTGTGATTCCAGCGCC</t>
  </si>
  <si>
    <t xml:space="preserve">AAACGGCGCTGGAATCACAACTCG</t>
  </si>
  <si>
    <t xml:space="preserve">TCCGTCATAGCCTCGAGCAT</t>
  </si>
  <si>
    <t xml:space="preserve">TAGTTCCGTCATAGCCTCGAGCAT</t>
  </si>
  <si>
    <t xml:space="preserve">AAACATGCTCGAGGCTATGACGGA</t>
  </si>
  <si>
    <t xml:space="preserve">ACCCGGCGCTGTCCGGCCCG</t>
  </si>
  <si>
    <t xml:space="preserve">TAGTACCCGGCGCTGTCCGGCCCG</t>
  </si>
  <si>
    <t xml:space="preserve">AAACCGGGCCGGACAGCGCCGGGT</t>
  </si>
  <si>
    <t xml:space="preserve">CGCCACTTCATCGCCATAAA</t>
  </si>
  <si>
    <t xml:space="preserve">TAGTCGCCACTTCATCGCCATAAA</t>
  </si>
  <si>
    <t xml:space="preserve">AAACTTTATGGCGATGAAGTGGCG</t>
  </si>
  <si>
    <t xml:space="preserve">PSPPH_2916</t>
  </si>
  <si>
    <t xml:space="preserve">glnT</t>
  </si>
  <si>
    <t xml:space="preserve">TGTGTTTCGGGTGGCAACAT</t>
  </si>
  <si>
    <t xml:space="preserve">TAGTTGTGTTTCGGGTGGCAACAT</t>
  </si>
  <si>
    <t xml:space="preserve">AAACATGTTGCCACCCGAAACACA</t>
  </si>
  <si>
    <t xml:space="preserve">TGATGCCGTGCTGTTCGATC</t>
  </si>
  <si>
    <t xml:space="preserve">TAGTTGATGCCGTGCTGTTCGATC</t>
  </si>
  <si>
    <t xml:space="preserve">AAACGATCGAACAGCACGGCATCA</t>
  </si>
  <si>
    <t xml:space="preserve">CACAGGAACCGACTTGGTCT</t>
  </si>
  <si>
    <t xml:space="preserve">TAGTCACAGGAACCGACTTGGTCT</t>
  </si>
  <si>
    <t xml:space="preserve">AAACAGACCAAGTCGGTTCCTGTG</t>
  </si>
  <si>
    <t xml:space="preserve">CGTCCTCTGCAACCATTTCC</t>
  </si>
  <si>
    <t xml:space="preserve">TAGTCGTCCTCTGCAACCATTTCC</t>
  </si>
  <si>
    <t xml:space="preserve">AAACGGAAATGGTTGCAGAGGACG</t>
  </si>
  <si>
    <t xml:space="preserve">PSPPH_2917</t>
  </si>
  <si>
    <t xml:space="preserve">GGCGTTTGATCTGAATACCC</t>
  </si>
  <si>
    <t xml:space="preserve">TAGTGGCGTTTGATCTGAATACCC</t>
  </si>
  <si>
    <t xml:space="preserve">AAACGGGTATTCAGATCAAACGCC</t>
  </si>
  <si>
    <t xml:space="preserve">TCAGCTCCTGAGCCTGGCGC</t>
  </si>
  <si>
    <t xml:space="preserve">TAGTTCAGCTCCTGAGCCTGGCGC</t>
  </si>
  <si>
    <t xml:space="preserve">AAACGCGCCAGGCTCAGGAGCTGA</t>
  </si>
  <si>
    <t xml:space="preserve">ACCGGCAATGCGCGCTACGT</t>
  </si>
  <si>
    <t xml:space="preserve">TAGTACCGGCAATGCGCGCTACGT</t>
  </si>
  <si>
    <t xml:space="preserve">AAACACGTAGCGCGCATTGCCGGT</t>
  </si>
  <si>
    <t xml:space="preserve">CGATCTTGCTCAGCATGCCC</t>
  </si>
  <si>
    <t xml:space="preserve">TAGTCGATCTTGCTCAGCATGCCC</t>
  </si>
  <si>
    <t xml:space="preserve">AAACGGGCATGCTGAGCAAGATCG</t>
  </si>
  <si>
    <t xml:space="preserve">PSPPH_2918</t>
  </si>
  <si>
    <t xml:space="preserve">CGTGATGCTGGCGCGCGGGT</t>
  </si>
  <si>
    <t xml:space="preserve">TAGTCGTGATGCTGGCGCGCGGGT</t>
  </si>
  <si>
    <t xml:space="preserve">AAACACCCGCGCGCCAGCATCACG</t>
  </si>
  <si>
    <t xml:space="preserve">GGAAGAAGGTTTCCCGCACG</t>
  </si>
  <si>
    <t xml:space="preserve">TAGTGGAAGAAGGTTTCCCGCACG</t>
  </si>
  <si>
    <t xml:space="preserve">AAACCGTGCGGGAAACCTTCTTCC</t>
  </si>
  <si>
    <t xml:space="preserve">GGTCGAGGACCTGGCGGTGC</t>
  </si>
  <si>
    <t xml:space="preserve">TAGTGGTCGAGGACCTGGCGGTGC</t>
  </si>
  <si>
    <t xml:space="preserve">AAACGCACCGCCAGGTCCTCGACC</t>
  </si>
  <si>
    <t xml:space="preserve">CGGTGCTCGCGACCTCCATC</t>
  </si>
  <si>
    <t xml:space="preserve">TAGTCGGTGCTCGCGACCTCCATC</t>
  </si>
  <si>
    <t xml:space="preserve">AAACGATGGAGGTCGCGAGCACCG</t>
  </si>
  <si>
    <t xml:space="preserve">PSPPH_2919</t>
  </si>
  <si>
    <t xml:space="preserve">GGAAGGATTTTTACGGATCA</t>
  </si>
  <si>
    <t xml:space="preserve">TAGTGGAAGGATTTTTACGGATCA</t>
  </si>
  <si>
    <t xml:space="preserve">AAACTGATCCGTAAAAATCCTTCC</t>
  </si>
  <si>
    <t xml:space="preserve">AGCAATGACCGGCAGATGGC</t>
  </si>
  <si>
    <t xml:space="preserve">TAGTAGCAATGACCGGCAGATGGC</t>
  </si>
  <si>
    <t xml:space="preserve">AAACGCCATCTGCCGGTCATTGCT</t>
  </si>
  <si>
    <t xml:space="preserve">CGCGGTCTTATCGATGTAGG</t>
  </si>
  <si>
    <t xml:space="preserve">TAGTCGCGGTCTTATCGATGTAGG</t>
  </si>
  <si>
    <t xml:space="preserve">AAACCCTACATCGATAAGACCGCG</t>
  </si>
  <si>
    <t xml:space="preserve">TCGGCGCGGATCACGGCATA</t>
  </si>
  <si>
    <t xml:space="preserve">TAGTTCGGCGCGGATCACGGCATA</t>
  </si>
  <si>
    <t xml:space="preserve">AAACTATGCCGTGATCCGCGCCGA</t>
  </si>
  <si>
    <t xml:space="preserve">PSPPH_2920</t>
  </si>
  <si>
    <t xml:space="preserve">TCAGGGCAACGTCTGGGAGG</t>
  </si>
  <si>
    <t xml:space="preserve">TAGTTCAGGGCAACGTCTGGGAGG</t>
  </si>
  <si>
    <t xml:space="preserve">AAACCCTCCCAGACGTTGCCCTGA</t>
  </si>
  <si>
    <t xml:space="preserve">GTCAAGTGAAACCAGGGCCG</t>
  </si>
  <si>
    <t xml:space="preserve">TAGTGTCAAGTGAAACCAGGGCCG</t>
  </si>
  <si>
    <t xml:space="preserve">AAACCGGCCCTGGTTTCACTTGAC</t>
  </si>
  <si>
    <t xml:space="preserve">CCCGCTTCGGCCAGCCTGAC</t>
  </si>
  <si>
    <t xml:space="preserve">TAGTCCCGCTTCGGCCAGCCTGAC</t>
  </si>
  <si>
    <t xml:space="preserve">AAACGTCAGGCTGGCCGAAGCGGG</t>
  </si>
  <si>
    <t xml:space="preserve">CATGCGCATGGACCGGATAC</t>
  </si>
  <si>
    <t xml:space="preserve">TAGTCATGCGCATGGACCGGATAC</t>
  </si>
  <si>
    <t xml:space="preserve">AAACGTATCCGGTCCATGCGCATG</t>
  </si>
  <si>
    <t xml:space="preserve">PSPPH_2921</t>
  </si>
  <si>
    <t xml:space="preserve">GAGGAAGTAGCGCAACGCGG</t>
  </si>
  <si>
    <t xml:space="preserve">TAGTGAGGAAGTAGCGCAACGCGG</t>
  </si>
  <si>
    <t xml:space="preserve">AAACCCGCGTTGCGCTACTTCCTC</t>
  </si>
  <si>
    <t xml:space="preserve">GATCTGTCGACTGACTGCCG</t>
  </si>
  <si>
    <t xml:space="preserve">TAGTGATCTGTCGACTGACTGCCG</t>
  </si>
  <si>
    <t xml:space="preserve">AAACCGGCAGTCAGTCGACAGATC</t>
  </si>
  <si>
    <t xml:space="preserve">TGCCTGGCGCTCGAACAGCA</t>
  </si>
  <si>
    <t xml:space="preserve">TAGTTGCCTGGCGCTCGAACAGCA</t>
  </si>
  <si>
    <t xml:space="preserve">AAACTGCTGTTCGAGCGCCAGGCA</t>
  </si>
  <si>
    <t xml:space="preserve">TGCGCGCATAGGCTGCCAGA</t>
  </si>
  <si>
    <t xml:space="preserve">TAGTTGCGCGCATAGGCTGCCAGA</t>
  </si>
  <si>
    <t xml:space="preserve">AAACTCTGGCAGCCTATGCGCGCA</t>
  </si>
  <si>
    <t xml:space="preserve">PSPPH_2922</t>
  </si>
  <si>
    <t xml:space="preserve">GGGCGGAAAAACTGCTGAAC</t>
  </si>
  <si>
    <t xml:space="preserve">TAGTGGGCGGAAAAACTGCTGAAC</t>
  </si>
  <si>
    <t xml:space="preserve">AAACGTTCAGCAGTTTTTCCGCCC</t>
  </si>
  <si>
    <t xml:space="preserve">GTCGTCGGCTTTGCCAGCCA</t>
  </si>
  <si>
    <t xml:space="preserve">TAGTGTCGTCGGCTTTGCCAGCCA</t>
  </si>
  <si>
    <t xml:space="preserve">AAACTGGCTGGCAAAGCCGACGAC</t>
  </si>
  <si>
    <t xml:space="preserve">GTTCTCCGGTTCGCTGTCGG</t>
  </si>
  <si>
    <t xml:space="preserve">TAGTGTTCTCCGGTTCGCTGTCGG</t>
  </si>
  <si>
    <t xml:space="preserve">AAACCCGACAGCGAACCGGAGAAC</t>
  </si>
  <si>
    <t xml:space="preserve">CGCGCAGGTCGTTGTGATAG</t>
  </si>
  <si>
    <t xml:space="preserve">TAGTCGCGCAGGTCGTTGTGATAG</t>
  </si>
  <si>
    <t xml:space="preserve">AAACCTATCACAACGACCTGCGCG</t>
  </si>
  <si>
    <t xml:space="preserve">PSPPH_2924</t>
  </si>
  <si>
    <t xml:space="preserve">ATGCATAGGAATTTATGCAT</t>
  </si>
  <si>
    <t xml:space="preserve">TAGTATGCATAGGAATTTATGCAT</t>
  </si>
  <si>
    <t xml:space="preserve">AAACATGCATAAATTCCTATGCAT</t>
  </si>
  <si>
    <t xml:space="preserve">GGCTCACTCCTCCGCAACTC</t>
  </si>
  <si>
    <t xml:space="preserve">TAGTGGCTCACTCCTCCGCAACTC</t>
  </si>
  <si>
    <t xml:space="preserve">AAACGAGTTGCGGAGGAGTGAGCC</t>
  </si>
  <si>
    <t xml:space="preserve">ATTACTCCCCGGAGCGGTGA</t>
  </si>
  <si>
    <t xml:space="preserve">TAGTATTACTCCCCGGAGCGGTGA</t>
  </si>
  <si>
    <t xml:space="preserve">AAACTCACCGCTCCGGGGAGTAAT</t>
  </si>
  <si>
    <t xml:space="preserve">GGGTGTAGTTGGCGGCTCTT</t>
  </si>
  <si>
    <t xml:space="preserve">TAGTGGGTGTAGTTGGCGGCTCTT</t>
  </si>
  <si>
    <t xml:space="preserve">AAACAAGAGCCGCCAACTACACCC</t>
  </si>
  <si>
    <t xml:space="preserve">PSPPH_2925</t>
  </si>
  <si>
    <t xml:space="preserve">GACTTGCAATAAAAAATAGA</t>
  </si>
  <si>
    <t xml:space="preserve">TAGTGACTTGCAATAAAAAATAGA</t>
  </si>
  <si>
    <t xml:space="preserve">AAACTCTATTTTTTATTGCAAGTC</t>
  </si>
  <si>
    <t xml:space="preserve">ACGATGCTTAAGGCGGAACC</t>
  </si>
  <si>
    <t xml:space="preserve">TAGTACGATGCTTAAGGCGGAACC</t>
  </si>
  <si>
    <t xml:space="preserve">AAACGGTTCCGCCTTAAGCATCGT</t>
  </si>
  <si>
    <t xml:space="preserve">TGGCGGTAGCCTCGTCCATA</t>
  </si>
  <si>
    <t xml:space="preserve">TAGTTGGCGGTAGCCTCGTCCATA</t>
  </si>
  <si>
    <t xml:space="preserve">AAACTATGGACGAGGCTACCGCCA</t>
  </si>
  <si>
    <t xml:space="preserve">TTTAGCCAAATGCAAAGCGT</t>
  </si>
  <si>
    <t xml:space="preserve">TAGTTTTAGCCAAATGCAAAGCGT</t>
  </si>
  <si>
    <t xml:space="preserve">AAACACGCTTTGCATTTGGCTAAA</t>
  </si>
  <si>
    <t xml:space="preserve">PSPPH_2926</t>
  </si>
  <si>
    <t xml:space="preserve">CATTCTCATTTGTCTTCATA</t>
  </si>
  <si>
    <t xml:space="preserve">TAGTCATTCTCATTTGTCTTCATA</t>
  </si>
  <si>
    <t xml:space="preserve">AAACTATGAAGACAAATGAGAATG</t>
  </si>
  <si>
    <t xml:space="preserve">TCATCGGCCACAGCGTCGGC</t>
  </si>
  <si>
    <t xml:space="preserve">TAGTTCATCGGCCACAGCGTCGGC</t>
  </si>
  <si>
    <t xml:space="preserve">AAACGCCGACGCTGTGGCCGATGA</t>
  </si>
  <si>
    <t xml:space="preserve">ATTTGTAGGAGTCAGGCAGT</t>
  </si>
  <si>
    <t xml:space="preserve">TAGTATTTGTAGGAGTCAGGCAGT</t>
  </si>
  <si>
    <t xml:space="preserve">AAACACTGCCTGACTCCTACAAAT</t>
  </si>
  <si>
    <t xml:space="preserve">GTAGATACTGCAAATCTCCT</t>
  </si>
  <si>
    <t xml:space="preserve">TAGTGTAGATACTGCAAATCTCCT</t>
  </si>
  <si>
    <t xml:space="preserve">AAACAGGAGATTTGCAGTATCTAC</t>
  </si>
  <si>
    <t xml:space="preserve">PSPPH_2927</t>
  </si>
  <si>
    <t xml:space="preserve">quiA</t>
  </si>
  <si>
    <t xml:space="preserve">TGCCAGACCGAGCCCGATCA</t>
  </si>
  <si>
    <t xml:space="preserve">TAGTTGCCAGACCGAGCCCGATCA</t>
  </si>
  <si>
    <t xml:space="preserve">AAACTGATCGGGCTCGGTCTGGCA</t>
  </si>
  <si>
    <t xml:space="preserve">GCATCGCCAGTCCCATCAGC</t>
  </si>
  <si>
    <t xml:space="preserve">TAGTGCATCGCCAGTCCCATCAGC</t>
  </si>
  <si>
    <t xml:space="preserve">AAACGCTGATGGGACTGGCGATGC</t>
  </si>
  <si>
    <t xml:space="preserve">GGCACCTTTGGGTTTGCGCA</t>
  </si>
  <si>
    <t xml:space="preserve">TAGTGGCACCTTTGGGTTTGCGCA</t>
  </si>
  <si>
    <t xml:space="preserve">AAACTGCGCAAACCCAAAGGTGCC</t>
  </si>
  <si>
    <t xml:space="preserve">CAGGGCGATGCCATACAACC</t>
  </si>
  <si>
    <t xml:space="preserve">TAGTCAGGGCGATGCCATACAACC</t>
  </si>
  <si>
    <t xml:space="preserve">AAACGGTTGTATGGCATCGCCCTG</t>
  </si>
  <si>
    <t xml:space="preserve">PSPPH_2928</t>
  </si>
  <si>
    <t xml:space="preserve">phnP</t>
  </si>
  <si>
    <t xml:space="preserve">TGCGTCACCGGTGCCCAGCA</t>
  </si>
  <si>
    <t xml:space="preserve">TAGTTGCGTCACCGGTGCCCAGCA</t>
  </si>
  <si>
    <t xml:space="preserve">AAACTGCTGGGCACCGGTGACGCA</t>
  </si>
  <si>
    <t xml:space="preserve">GGGCACTGGCAACCGTAGAC</t>
  </si>
  <si>
    <t xml:space="preserve">TAGTGGGCACTGGCAACCGTAGAC</t>
  </si>
  <si>
    <t xml:space="preserve">AAACGTCTACGGTTGCCAGTGCCC</t>
  </si>
  <si>
    <t xml:space="preserve">ATTCGCCCGCGCCGCCGAGC</t>
  </si>
  <si>
    <t xml:space="preserve">TAGTATTCGCCCGCGCCGCCGAGC</t>
  </si>
  <si>
    <t xml:space="preserve">AAACGCTCGGCGGCGCGGGCGAAT</t>
  </si>
  <si>
    <t xml:space="preserve">CACTGCACGGCAAGCGTCGC</t>
  </si>
  <si>
    <t xml:space="preserve">TAGTCACTGCACGGCAAGCGTCGC</t>
  </si>
  <si>
    <t xml:space="preserve">AAACGCGACGCTTGCCGTGCAGTG</t>
  </si>
  <si>
    <t xml:space="preserve">PSPPH_2929</t>
  </si>
  <si>
    <t xml:space="preserve">phnN</t>
  </si>
  <si>
    <t xml:space="preserve">CTGTCCTTGCCTGAACCGGA</t>
  </si>
  <si>
    <t xml:space="preserve">TAGTCTGTCCTTGCCTGAACCGGA</t>
  </si>
  <si>
    <t xml:space="preserve">AAACTCCGGTTCAGGCAAGGACAG</t>
  </si>
  <si>
    <t xml:space="preserve">TTTCACGGGCTGCATCCAGC</t>
  </si>
  <si>
    <t xml:space="preserve">TAGTTTTCACGGGCTGCATCCAGC</t>
  </si>
  <si>
    <t xml:space="preserve">AAACGCTGGATGCAGCCCGTGAAA</t>
  </si>
  <si>
    <t xml:space="preserve">GCCCACCGCTTCGGCAGAAC</t>
  </si>
  <si>
    <t xml:space="preserve">TAGTGCCCACCGCTTCGGCAGAAC</t>
  </si>
  <si>
    <t xml:space="preserve">AAACGTTCTGCCGAAGCGGTGGGC</t>
  </si>
  <si>
    <t xml:space="preserve">GCCATTGGCCTGCCAGCTCA</t>
  </si>
  <si>
    <t xml:space="preserve">TAGTGCCATTGGCCTGCCAGCTCA</t>
  </si>
  <si>
    <t xml:space="preserve">AAACTGAGCTGGCAGGCCAATGGC</t>
  </si>
  <si>
    <t xml:space="preserve">PSPPH_2930</t>
  </si>
  <si>
    <t xml:space="preserve">phnM</t>
  </si>
  <si>
    <t xml:space="preserve">CTGCTCGGCAGTCACCACAC</t>
  </si>
  <si>
    <t xml:space="preserve">TAGTCTGCTCGGCAGTCACCACAC</t>
  </si>
  <si>
    <t xml:space="preserve">AAACGTGTGGTGACTGCCGAGCAG</t>
  </si>
  <si>
    <t xml:space="preserve">CCTCGGCAATCAGGCCGTCG</t>
  </si>
  <si>
    <t xml:space="preserve">TAGTCCTCGGCAATCAGGCCGTCG</t>
  </si>
  <si>
    <t xml:space="preserve">AAACCGACGGCCTGATTGCCGAGG</t>
  </si>
  <si>
    <t xml:space="preserve">TGTCCTGAGCCTGTCTCAGT</t>
  </si>
  <si>
    <t xml:space="preserve">TAGTTGTCCTGAGCCTGTCTCAGT</t>
  </si>
  <si>
    <t xml:space="preserve">AAACACTGAGACAGGCTCAGGACA</t>
  </si>
  <si>
    <t xml:space="preserve">GTGTGCAACTCCACCAGGCC</t>
  </si>
  <si>
    <t xml:space="preserve">TAGTGTGTGCAACTCCACCAGGCC</t>
  </si>
  <si>
    <t xml:space="preserve">AAACGGCCTGGTGGAGTTGCACAC</t>
  </si>
  <si>
    <t xml:space="preserve">PSPPH_2931</t>
  </si>
  <si>
    <t xml:space="preserve">phnL</t>
  </si>
  <si>
    <t xml:space="preserve">ACCTCGATCAAGGTTGTCAT</t>
  </si>
  <si>
    <t xml:space="preserve">TAGTACCTCGATCAAGGTTGTCAT</t>
  </si>
  <si>
    <t xml:space="preserve">AAACATGACAACCTTGATCGAGGT</t>
  </si>
  <si>
    <t xml:space="preserve">TGAAGGTTTTCGACAGGTCA</t>
  </si>
  <si>
    <t xml:space="preserve">TAGTTGAAGGTTTTCGACAGGTCA</t>
  </si>
  <si>
    <t xml:space="preserve">AAACTGACCTGTCGAAAACCTTCA</t>
  </si>
  <si>
    <t xml:space="preserve">CACGCCGTTGTGCTGGTGCA</t>
  </si>
  <si>
    <t xml:space="preserve">TAGTCACGCCGTTGTGCTGGTGCA</t>
  </si>
  <si>
    <t xml:space="preserve">AAACTGCACCAGCACAACGGCGTG</t>
  </si>
  <si>
    <t xml:space="preserve">TGAGCCCGTGCAGCACATTG</t>
  </si>
  <si>
    <t xml:space="preserve">TAGTTGAGCCCGTGCAGCACATTG</t>
  </si>
  <si>
    <t xml:space="preserve">AAACCAATGTGCTGCACGGGCTCA</t>
  </si>
  <si>
    <t xml:space="preserve">PSPPH_2932</t>
  </si>
  <si>
    <t xml:space="preserve">phnK</t>
  </si>
  <si>
    <t xml:space="preserve">AGGCCGCGTACCTTGAGCAG</t>
  </si>
  <si>
    <t xml:space="preserve">TAGTAGGCCGCGTACCTTGAGCAG</t>
  </si>
  <si>
    <t xml:space="preserve">AAACCTGCTCAAGGTACGCGGCCT</t>
  </si>
  <si>
    <t xml:space="preserve">GCACACCGTACAGGCGAGTC</t>
  </si>
  <si>
    <t xml:space="preserve">TAGTGCACACCGTACAGGCGAGTC</t>
  </si>
  <si>
    <t xml:space="preserve">AAACGACTCGCCTGTACGGTGTGC</t>
  </si>
  <si>
    <t xml:space="preserve">ACGATGCCCAGCACTTCGCC</t>
  </si>
  <si>
    <t xml:space="preserve">TAGTACGATGCCCAGCACTTCGCC</t>
  </si>
  <si>
    <t xml:space="preserve">AAACGGCGAAGTGCTGGGCATCGT</t>
  </si>
  <si>
    <t xml:space="preserve">CAGCGTGGACTTCCCTGAGC</t>
  </si>
  <si>
    <t xml:space="preserve">TAGTCAGCGTGGACTTCCCTGAGC</t>
  </si>
  <si>
    <t xml:space="preserve">AAACGCTCAGGGAAGTCCACGCTG</t>
  </si>
  <si>
    <t xml:space="preserve">PSPPH_2933</t>
  </si>
  <si>
    <t xml:space="preserve">phnJ</t>
  </si>
  <si>
    <t xml:space="preserve">CTTTGCTCTGCGGTGTTCAT</t>
  </si>
  <si>
    <t xml:space="preserve">TAGTCTTTGCTCTGCGGTGTTCAT</t>
  </si>
  <si>
    <t xml:space="preserve">AAACATGAACACCGCAGAGCAAAG</t>
  </si>
  <si>
    <t xml:space="preserve">TTGTAGGCGTCATCCCGTGC</t>
  </si>
  <si>
    <t xml:space="preserve">TAGTTTGTAGGCGTCATCCCGTGC</t>
  </si>
  <si>
    <t xml:space="preserve">AAACGCACGGGATGACGCCTACAA</t>
  </si>
  <si>
    <t xml:space="preserve">GGCACGGCGAATCATGCGTT</t>
  </si>
  <si>
    <t xml:space="preserve">TAGTGGCACGGCGAATCATGCGTT</t>
  </si>
  <si>
    <t xml:space="preserve">AAACAACGCATGATTCGCCGTGCC</t>
  </si>
  <si>
    <t xml:space="preserve">AATCGCTACCGCCTTGAGCA</t>
  </si>
  <si>
    <t xml:space="preserve">TAGTAATCGCTACCGCCTTGAGCA</t>
  </si>
  <si>
    <t xml:space="preserve">AAACTGCTCAAGGCGGTAGCGATT</t>
  </si>
  <si>
    <t xml:space="preserve">PSPPH_2934</t>
  </si>
  <si>
    <t xml:space="preserve">phnI</t>
  </si>
  <si>
    <t xml:space="preserve">GGCCTGTTCGCCACCCTTCA</t>
  </si>
  <si>
    <t xml:space="preserve">TAGTGGCCTGTTCGCCACCCTTCA</t>
  </si>
  <si>
    <t xml:space="preserve">AAACTGAAGGGTGGCGAACAGGCC</t>
  </si>
  <si>
    <t xml:space="preserve">CAGGCGGTGGGCGTTATCGA</t>
  </si>
  <si>
    <t xml:space="preserve">TAGTCAGGCGGTGGGCGTTATCGA</t>
  </si>
  <si>
    <t xml:space="preserve">AAACTCGATAACGCCCACCGCCTG</t>
  </si>
  <si>
    <t xml:space="preserve">TGTATCGCCACGGCGCTTGT</t>
  </si>
  <si>
    <t xml:space="preserve">TAGTTGTATCGCCACGGCGCTTGT</t>
  </si>
  <si>
    <t xml:space="preserve">AAACACAAGCGCCGTGGCGATACA</t>
  </si>
  <si>
    <t xml:space="preserve">GATCTGCTCGACATCGAGCT</t>
  </si>
  <si>
    <t xml:space="preserve">TAGTGATCTGCTCGACATCGAGCT</t>
  </si>
  <si>
    <t xml:space="preserve">AAACAGCTCGATGTCGAGCAGATC</t>
  </si>
  <si>
    <t xml:space="preserve">PSPPH_2935</t>
  </si>
  <si>
    <t xml:space="preserve">phnH</t>
  </si>
  <si>
    <t xml:space="preserve">GAAGGCAGGTTGCAGAAGGA</t>
  </si>
  <si>
    <t xml:space="preserve">TAGTGAAGGCAGGTTGCAGAAGGA</t>
  </si>
  <si>
    <t xml:space="preserve">AAACTCCTTCTGCAACCTGCCTTC</t>
  </si>
  <si>
    <t xml:space="preserve">CTGGGCATCCAGCACCGGAT</t>
  </si>
  <si>
    <t xml:space="preserve">TAGTCTGGGCATCCAGCACCGGAT</t>
  </si>
  <si>
    <t xml:space="preserve">AAACATCCGGTGCTGGATGCCCAG</t>
  </si>
  <si>
    <t xml:space="preserve">GGTCTGGATCATACCCGGAC</t>
  </si>
  <si>
    <t xml:space="preserve">TAGTGGTCTGGATCATACCCGGAC</t>
  </si>
  <si>
    <t xml:space="preserve">AAACGTCCGGGTATGATCCAGACC</t>
  </si>
  <si>
    <t xml:space="preserve">CGGCTGATGTCTGGTGGGCA</t>
  </si>
  <si>
    <t xml:space="preserve">TAGTCGGCTGATGTCTGGTGGGCA</t>
  </si>
  <si>
    <t xml:space="preserve">AAACTGCCCACCAGACATCAGCCG</t>
  </si>
  <si>
    <t xml:space="preserve">PSPPH_2936</t>
  </si>
  <si>
    <t xml:space="preserve">phnG</t>
  </si>
  <si>
    <t xml:space="preserve">CGTTTCAGGGGTTGCTTGCA</t>
  </si>
  <si>
    <t xml:space="preserve">TAGTCGTTTCAGGGGTTGCTTGCA</t>
  </si>
  <si>
    <t xml:space="preserve">AAACTGCAAGCAACCCCTGAAACG</t>
  </si>
  <si>
    <t xml:space="preserve">GCCCATCCAGTGCTGCCGTG</t>
  </si>
  <si>
    <t xml:space="preserve">TAGTGCCCATCCAGTGCTGCCGTG</t>
  </si>
  <si>
    <t xml:space="preserve">AAACCACGGCAGCACTGGATGGGC</t>
  </si>
  <si>
    <t xml:space="preserve">CGCGGCTCGGCTCATCGACA</t>
  </si>
  <si>
    <t xml:space="preserve">TAGTCGCGGCTCGGCTCATCGACA</t>
  </si>
  <si>
    <t xml:space="preserve">AAACTGTCGATGAGCCGAGCCGCG</t>
  </si>
  <si>
    <t xml:space="preserve">GGCGCGGATCATCTGGTAAT</t>
  </si>
  <si>
    <t xml:space="preserve">TAGTGGCGCGGATCATCTGGTAAT</t>
  </si>
  <si>
    <t xml:space="preserve">AAACATTACCAGATGATCCGCGCC</t>
  </si>
  <si>
    <t xml:space="preserve">PSPPH_2937</t>
  </si>
  <si>
    <t xml:space="preserve">phnF</t>
  </si>
  <si>
    <t xml:space="preserve">TCAGCCAGTTCGAGGTACAT</t>
  </si>
  <si>
    <t xml:space="preserve">TAGTTCAGCCAGTTCGAGGTACAT</t>
  </si>
  <si>
    <t xml:space="preserve">AAACATGTACCTCGAACTGGCTGA</t>
  </si>
  <si>
    <t xml:space="preserve">CGAGACCAGCTCATCGCGCA</t>
  </si>
  <si>
    <t xml:space="preserve">TAGTCGAGACCAGCTCATCGCGCA</t>
  </si>
  <si>
    <t xml:space="preserve">AAACTGCGCGATGAGCTGGTCTCG</t>
  </si>
  <si>
    <t xml:space="preserve">TCGGCAGGCAGATAATCGCC</t>
  </si>
  <si>
    <t xml:space="preserve">TAGTTCGGCAGGCAGATAATCGCC</t>
  </si>
  <si>
    <t xml:space="preserve">AAACGGCGATTATCTGCCTGCCGA</t>
  </si>
  <si>
    <t xml:space="preserve">GCGGTTGACACAGAAGCGTT</t>
  </si>
  <si>
    <t xml:space="preserve">TAGTGCGGTTGACACAGAAGCGTT</t>
  </si>
  <si>
    <t xml:space="preserve">AAACAACGCTTCTGTGTCAACCGC</t>
  </si>
  <si>
    <t xml:space="preserve">PSPPH_2938</t>
  </si>
  <si>
    <t xml:space="preserve">phnE</t>
  </si>
  <si>
    <t xml:space="preserve">ATAGGCAACTTGAGTGGTCA</t>
  </si>
  <si>
    <t xml:space="preserve">TAGTATAGGCAACTTGAGTGGTCA</t>
  </si>
  <si>
    <t xml:space="preserve">AAACTGACCACTCAAGTTGCCTAT</t>
  </si>
  <si>
    <t xml:space="preserve">GTTGGGCTTGCCCGCAGCCT</t>
  </si>
  <si>
    <t xml:space="preserve">TAGTGTTGGGCTTGCCCGCAGCCT</t>
  </si>
  <si>
    <t xml:space="preserve">AAACAGGCTGCGGGCAAGCCCAAC</t>
  </si>
  <si>
    <t xml:space="preserve">CACCCCCCAACCCAGGTAAC</t>
  </si>
  <si>
    <t xml:space="preserve">TAGTCACCCCCCAACCCAGGTAAC</t>
  </si>
  <si>
    <t xml:space="preserve">AAACGTTACCTGGGTTGGGGGGTG</t>
  </si>
  <si>
    <t xml:space="preserve">TTCCGCGCCCTGCCAGGCCC</t>
  </si>
  <si>
    <t xml:space="preserve">TAGTTTCCGCGCCCTGCCAGGCCC</t>
  </si>
  <si>
    <t xml:space="preserve">AAACGGGCCTGGCAGGGCGCGGAA</t>
  </si>
  <si>
    <t xml:space="preserve">PSPPH_2939</t>
  </si>
  <si>
    <t xml:space="preserve">phnD</t>
  </si>
  <si>
    <t xml:space="preserve">GGCGGTCAGCAAGGCGGCAG</t>
  </si>
  <si>
    <t xml:space="preserve">TAGTGGCGGTCAGCAAGGCGGCAG</t>
  </si>
  <si>
    <t xml:space="preserve">AAACCTGCCGCCTTGCTGACCGCC</t>
  </si>
  <si>
    <t xml:space="preserve">CTGGACCGTGCCCAACGCGC</t>
  </si>
  <si>
    <t xml:space="preserve">TAGTCTGGACCGTGCCCAACGCGC</t>
  </si>
  <si>
    <t xml:space="preserve">AAACGCGCGTTGGGCACGGTCCAG</t>
  </si>
  <si>
    <t xml:space="preserve">GGACATGATGCCGAAATTGA</t>
  </si>
  <si>
    <t xml:space="preserve">TAGTGGACATGATGCCGAAATTGA</t>
  </si>
  <si>
    <t xml:space="preserve">AAACTCAATTTCGGCATCATGTCC</t>
  </si>
  <si>
    <t xml:space="preserve">CAGGTTCTGCGATGACTCGG</t>
  </si>
  <si>
    <t xml:space="preserve">TAGTCAGGTTCTGCGATGACTCGG</t>
  </si>
  <si>
    <t xml:space="preserve">AAACCCGAGTCATCGCAGAACCTG</t>
  </si>
  <si>
    <t xml:space="preserve">PSPPH_2940</t>
  </si>
  <si>
    <t xml:space="preserve">phnC</t>
  </si>
  <si>
    <t xml:space="preserve">GTTCAGGCCCTGTACATGAA</t>
  </si>
  <si>
    <t xml:space="preserve">TAGTGTTCAGGCCCTGTACATGAA</t>
  </si>
  <si>
    <t xml:space="preserve">AAACTTCATGTACAGGGCCTGAAC</t>
  </si>
  <si>
    <t xml:space="preserve">CAACGCACTTTTGTGCGAGA</t>
  </si>
  <si>
    <t xml:space="preserve">TAGTCAACGCACTTTTGTGCGAGA</t>
  </si>
  <si>
    <t xml:space="preserve">AAACTCTCGCACAAAAGTGCGTTG</t>
  </si>
  <si>
    <t xml:space="preserve">CAGGTTGTATAGACAATGCA</t>
  </si>
  <si>
    <t xml:space="preserve">TAGTCAGGTTGTATAGACAATGCA</t>
  </si>
  <si>
    <t xml:space="preserve">AAACTGCATTGTCTATACAACCTG</t>
  </si>
  <si>
    <t xml:space="preserve">CAAGGTTGACTTGCCAGAGC</t>
  </si>
  <si>
    <t xml:space="preserve">TAGTCAAGGTTGACTTGCCAGAGC</t>
  </si>
  <si>
    <t xml:space="preserve">AAACGCTCTGGCAAGTCAACCTTG</t>
  </si>
  <si>
    <t xml:space="preserve">PSPPH_2941</t>
  </si>
  <si>
    <t xml:space="preserve">GACAACCACAATCAATGCGG</t>
  </si>
  <si>
    <t xml:space="preserve">TAGTGACAACCACAATCAATGCGG</t>
  </si>
  <si>
    <t xml:space="preserve">AAACCCGCATTGATTGTGGTTGTC</t>
  </si>
  <si>
    <t xml:space="preserve">TTGCAACTCGGACCTGACGC</t>
  </si>
  <si>
    <t xml:space="preserve">TAGTTTGCAACTCGGACCTGACGC</t>
  </si>
  <si>
    <t xml:space="preserve">AAACGCGTCAGGTCCGAGTTGCAA</t>
  </si>
  <si>
    <t xml:space="preserve">CCAGGTCTGGATGTTCTGCG</t>
  </si>
  <si>
    <t xml:space="preserve">TAGTCCAGGTCTGGATGTTCTGCG</t>
  </si>
  <si>
    <t xml:space="preserve">AAACCGCAGAACATCCAGACCTGG</t>
  </si>
  <si>
    <t xml:space="preserve">TCGATTGCAGTAATTGCATG</t>
  </si>
  <si>
    <t xml:space="preserve">TAGTTCGATTGCAGTAATTGCATG</t>
  </si>
  <si>
    <t xml:space="preserve">AAACCATGCAATTACTGCAATCGA</t>
  </si>
  <si>
    <t xml:space="preserve">PSPPH_2942</t>
  </si>
  <si>
    <t xml:space="preserve">AAGTTTTTCGATACTCAGCA</t>
  </si>
  <si>
    <t xml:space="preserve">TAGTAAGTTTTTCGATACTCAGCA</t>
  </si>
  <si>
    <t xml:space="preserve">AAACTGCTGAGTATCGAAAAACTT</t>
  </si>
  <si>
    <t xml:space="preserve">GAGCCACCTTGGGAATGCTC</t>
  </si>
  <si>
    <t xml:space="preserve">TAGTGAGCCACCTTGGGAATGCTC</t>
  </si>
  <si>
    <t xml:space="preserve">AAACGAGCATTCCCAAGGTGGCTC</t>
  </si>
  <si>
    <t xml:space="preserve">TGCTTTCCAGGTTCGAGGAC</t>
  </si>
  <si>
    <t xml:space="preserve">TAGTTGCTTTCCAGGTTCGAGGAC</t>
  </si>
  <si>
    <t xml:space="preserve">AAACGTCCTCGAACCTGGAAAGCA</t>
  </si>
  <si>
    <t xml:space="preserve">GCACCTTGGCAGCAATCACC</t>
  </si>
  <si>
    <t xml:space="preserve">TAGTGCACCTTGGCAGCAATCACC</t>
  </si>
  <si>
    <t xml:space="preserve">AAACGGTGATTGCTGCCAAGGTGC</t>
  </si>
  <si>
    <t xml:space="preserve">PSPPH_2943</t>
  </si>
  <si>
    <t xml:space="preserve">topB1</t>
  </si>
  <si>
    <t xml:space="preserve">GCAATGTCTTTGGCCTGAGA</t>
  </si>
  <si>
    <t xml:space="preserve">TAGTGCAATGTCTTTGGCCTGAGA</t>
  </si>
  <si>
    <t xml:space="preserve">AAACTCTCAGGCCAAAGACATTGC</t>
  </si>
  <si>
    <t xml:space="preserve">CCAGCAGCCGTCGCCACGCC</t>
  </si>
  <si>
    <t xml:space="preserve">TAGTCCAGCAGCCGTCGCCACGCC</t>
  </si>
  <si>
    <t xml:space="preserve">AAACGGCGTGGCGACGGCTGCTGG</t>
  </si>
  <si>
    <t xml:space="preserve">GCACCAGGTTACGGTGGCAT</t>
  </si>
  <si>
    <t xml:space="preserve">TAGTGCACCAGGTTACGGTGGCAT</t>
  </si>
  <si>
    <t xml:space="preserve">AAACATGCCACCGTAACCTGGTGC</t>
  </si>
  <si>
    <t xml:space="preserve">GCGGGGCGGTTTCCAGCAAG</t>
  </si>
  <si>
    <t xml:space="preserve">TAGTGCGGGGCGGTTTCCAGCAAG</t>
  </si>
  <si>
    <t xml:space="preserve">AAACCTTGCTGGAAACCGCCCCGC</t>
  </si>
  <si>
    <t xml:space="preserve">PSPPH_2944</t>
  </si>
  <si>
    <t xml:space="preserve">TGGGCGGAACGATGATCTCT</t>
  </si>
  <si>
    <t xml:space="preserve">TAGTTGGGCGGAACGATGATCTCT</t>
  </si>
  <si>
    <t xml:space="preserve">AAACAGAGATCATCGTTCCGCCCA</t>
  </si>
  <si>
    <t xml:space="preserve">GTCCATGATCGGCTGCATGG</t>
  </si>
  <si>
    <t xml:space="preserve">TAGTGTCCATGATCGGCTGCATGG</t>
  </si>
  <si>
    <t xml:space="preserve">AAACCCATGCAGCCGATCATGGAC</t>
  </si>
  <si>
    <t xml:space="preserve">CTGCGGGTGCATAGCCTGCT</t>
  </si>
  <si>
    <t xml:space="preserve">TAGTCTGCGGGTGCATAGCCTGCT</t>
  </si>
  <si>
    <t xml:space="preserve">AAACAGCAGGCTATGCACCCGCAG</t>
  </si>
  <si>
    <t xml:space="preserve">CACCTGCCCGGCGCAGTAAA</t>
  </si>
  <si>
    <t xml:space="preserve">TAGTCACCTGCCCGGCGCAGTAAA</t>
  </si>
  <si>
    <t xml:space="preserve">AAACTTTACTGCGCCGGGCAGGTG</t>
  </si>
  <si>
    <t xml:space="preserve">PSPPH_2945</t>
  </si>
  <si>
    <t xml:space="preserve">CACATAGGAACCGCCCTCGA</t>
  </si>
  <si>
    <t xml:space="preserve">TAGTCACATAGGAACCGCCCTCGA</t>
  </si>
  <si>
    <t xml:space="preserve">AAACTCGAGGGCGGTTCCTATGTG</t>
  </si>
  <si>
    <t xml:space="preserve">ACTTGCCGTCCAGTTGTGCA</t>
  </si>
  <si>
    <t xml:space="preserve">TAGTACTTGCCGTCCAGTTGTGCA</t>
  </si>
  <si>
    <t xml:space="preserve">AAACTGCACAACTGGACGGCAAGT</t>
  </si>
  <si>
    <t xml:space="preserve">TTGCCAGTCGAGTCTTCCAC</t>
  </si>
  <si>
    <t xml:space="preserve">TAGTTTGCCAGTCGAGTCTTCCAC</t>
  </si>
  <si>
    <t xml:space="preserve">AAACGTGGAAGACTCGACTGGCAA</t>
  </si>
  <si>
    <t xml:space="preserve">TTCCACCGAGGCAACGTGCA</t>
  </si>
  <si>
    <t xml:space="preserve">TAGTTTCCACCGAGGCAACGTGCA</t>
  </si>
  <si>
    <t xml:space="preserve">AAACTGCACGTTGCCTCGGTGGAA</t>
  </si>
  <si>
    <t xml:space="preserve">PSPPH_2946</t>
  </si>
  <si>
    <t xml:space="preserve">AAAAAGGCTCGAGAGCTTTT</t>
  </si>
  <si>
    <t xml:space="preserve">TAGTAAAAAGGCTCGAGAGCTTTT</t>
  </si>
  <si>
    <t xml:space="preserve">AAACAAAAGCTCTCGAGCCTTTTT</t>
  </si>
  <si>
    <t xml:space="preserve">AGTACAGCAGCGCGCTGACC</t>
  </si>
  <si>
    <t xml:space="preserve">TAGTAGTACAGCAGCGCGCTGACC</t>
  </si>
  <si>
    <t xml:space="preserve">AAACGGTCAGCGCGCTGCTGTACT</t>
  </si>
  <si>
    <t xml:space="preserve">GTTGCAGCATGATGTCAGAG</t>
  </si>
  <si>
    <t xml:space="preserve">TAGTGTTGCAGCATGATGTCAGAG</t>
  </si>
  <si>
    <t xml:space="preserve">AAACCTCTGACATCATGCTGCAAC</t>
  </si>
  <si>
    <t xml:space="preserve">CCGCATCCAGTTGCGTACCG</t>
  </si>
  <si>
    <t xml:space="preserve">TAGTCCGCATCCAGTTGCGTACCG</t>
  </si>
  <si>
    <t xml:space="preserve">AAACCGGTACGCAACTGGATGCGG</t>
  </si>
  <si>
    <t xml:space="preserve">PSPPH_2947</t>
  </si>
  <si>
    <t xml:space="preserve">GATCAGAACCGTCAGCACGC</t>
  </si>
  <si>
    <t xml:space="preserve">TAGTGATCAGAACCGTCAGCACGC</t>
  </si>
  <si>
    <t xml:space="preserve">AAACGCGTGCTGACGGTTCTGATC</t>
  </si>
  <si>
    <t xml:space="preserve">TATTGCCCACATAGTTGACC</t>
  </si>
  <si>
    <t xml:space="preserve">TAGTTATTGCCCACATAGTTGACC</t>
  </si>
  <si>
    <t xml:space="preserve">AAACGGTCAACTATGTGGGCAATA</t>
  </si>
  <si>
    <t xml:space="preserve">GATCATCGCCGTCTCCGTGC</t>
  </si>
  <si>
    <t xml:space="preserve">TAGTGATCATCGCCGTCTCCGTGC</t>
  </si>
  <si>
    <t xml:space="preserve">AAACGCACGGAGACGGCGATGATC</t>
  </si>
  <si>
    <t xml:space="preserve">TTCCAGATGATTGCTGAGCG</t>
  </si>
  <si>
    <t xml:space="preserve">TAGTTTCCAGATGATTGCTGAGCG</t>
  </si>
  <si>
    <t xml:space="preserve">AAACCGCTCAGCAATCATCTGGAA</t>
  </si>
  <si>
    <t xml:space="preserve">PSPPH_2948</t>
  </si>
  <si>
    <t xml:space="preserve">CGGTAGGTGAGATCGATAGC</t>
  </si>
  <si>
    <t xml:space="preserve">TAGTCGGTAGGTGAGATCGATAGC</t>
  </si>
  <si>
    <t xml:space="preserve">AAACGCTATCGATCTCACCTACCG</t>
  </si>
  <si>
    <t xml:space="preserve">TGAGGTCGGCGAGGCGTGGT</t>
  </si>
  <si>
    <t xml:space="preserve">TAGTTGAGGTCGGCGAGGCGTGGT</t>
  </si>
  <si>
    <t xml:space="preserve">AAACACCACGCCTCGCCGACCTCA</t>
  </si>
  <si>
    <t xml:space="preserve">AATTCGGCCGAAGGGAGCAG</t>
  </si>
  <si>
    <t xml:space="preserve">TAGTAATTCGGCCGAAGGGAGCAG</t>
  </si>
  <si>
    <t xml:space="preserve">AAACCTGCTCCCTTCGGCCGAATT</t>
  </si>
  <si>
    <t xml:space="preserve">CGTGGCGATGCAAGAGGTTG</t>
  </si>
  <si>
    <t xml:space="preserve">TAGTCGTGGCGATGCAAGAGGTTG</t>
  </si>
  <si>
    <t xml:space="preserve">AAACCAACCTCTTGCATCGCCACG</t>
  </si>
  <si>
    <t xml:space="preserve">PSPPH_2949</t>
  </si>
  <si>
    <t xml:space="preserve">GACCAGCAGGCTTGCACTCA</t>
  </si>
  <si>
    <t xml:space="preserve">TAGTGACCAGCAGGCTTGCACTCA</t>
  </si>
  <si>
    <t xml:space="preserve">AAACTGAGTGCAAGCCTGCTGGTC</t>
  </si>
  <si>
    <t xml:space="preserve">ATGGCGTGGCCGCCTGTGCC</t>
  </si>
  <si>
    <t xml:space="preserve">TAGTATGGCGTGGCCGCCTGTGCC</t>
  </si>
  <si>
    <t xml:space="preserve">AAACGGCACAGGCGGCCACGCCAT</t>
  </si>
  <si>
    <t xml:space="preserve">CTGAAAATTGTCGTTGTACT</t>
  </si>
  <si>
    <t xml:space="preserve">TAGTCTGAAAATTGTCGTTGTACT</t>
  </si>
  <si>
    <t xml:space="preserve">AAACAGTACAACGACAATTTTCAG</t>
  </si>
  <si>
    <t xml:space="preserve">TTCCACGCCGTGGCGCAGAA</t>
  </si>
  <si>
    <t xml:space="preserve">TAGTTTCCACGCCGTGGCGCAGAA</t>
  </si>
  <si>
    <t xml:space="preserve">AAACTTCTGCGCCACGGCGTGGAA</t>
  </si>
  <si>
    <t xml:space="preserve">PSPPH_2950</t>
  </si>
  <si>
    <t xml:space="preserve">CACTCGCTGAAGAATGGTCA</t>
  </si>
  <si>
    <t xml:space="preserve">TAGTCACTCGCTGAAGAATGGTCA</t>
  </si>
  <si>
    <t xml:space="preserve">AAACTGACCATTCTTCAGCGAGTG</t>
  </si>
  <si>
    <t xml:space="preserve">GAGCAGCAGCACAACCAGTA</t>
  </si>
  <si>
    <t xml:space="preserve">TAGTGAGCAGCAGCACAACCAGTA</t>
  </si>
  <si>
    <t xml:space="preserve">AAACTACTGGTTGTGCTGCTGCTC</t>
  </si>
  <si>
    <t xml:space="preserve">TTGGTAGCTGATACCTGCCA</t>
  </si>
  <si>
    <t xml:space="preserve">TAGTTTGGTAGCTGATACCTGCCA</t>
  </si>
  <si>
    <t xml:space="preserve">AAACTGGCAGGTATCAGCTACCAA</t>
  </si>
  <si>
    <t xml:space="preserve">GATCCGGTCGCTTATGGAAT</t>
  </si>
  <si>
    <t xml:space="preserve">TAGTGATCCGGTCGCTTATGGAAT</t>
  </si>
  <si>
    <t xml:space="preserve">AAACATTCCATAAGCGACCGGATC</t>
  </si>
  <si>
    <t xml:space="preserve">PSPPH_2951</t>
  </si>
  <si>
    <t xml:space="preserve">CGCCTCGTGCAAGTAGAACA</t>
  </si>
  <si>
    <t xml:space="preserve">TAGTCGCCTCGTGCAAGTAGAACA</t>
  </si>
  <si>
    <t xml:space="preserve">AAACTGTTCTACTTGCACGAGGCG</t>
  </si>
  <si>
    <t xml:space="preserve">CAGATAAACAACACCACGGG</t>
  </si>
  <si>
    <t xml:space="preserve">TAGTCAGATAAACAACACCACGGG</t>
  </si>
  <si>
    <t xml:space="preserve">AAACCCCGTGGTGTTGTTTATCTG</t>
  </si>
  <si>
    <t xml:space="preserve">AGGCTGCTGTGGCTGTCGGC</t>
  </si>
  <si>
    <t xml:space="preserve">TAGTAGGCTGCTGTGGCTGTCGGC</t>
  </si>
  <si>
    <t xml:space="preserve">AAACGCCGACAGCCACAGCAGCCT</t>
  </si>
  <si>
    <t xml:space="preserve">GCTGGCTCAACAGGGCTTCA</t>
  </si>
  <si>
    <t xml:space="preserve">TAGTGCTGGCTCAACAGGGCTTCA</t>
  </si>
  <si>
    <t xml:space="preserve">AAACTGAAGCCCTGTTGAGCCAGC</t>
  </si>
  <si>
    <t xml:space="preserve">PSPPH_2952</t>
  </si>
  <si>
    <t xml:space="preserve">TGATCGGCTTTACTGCCTGA</t>
  </si>
  <si>
    <t xml:space="preserve">TAGTTGATCGGCTTTACTGCCTGA</t>
  </si>
  <si>
    <t xml:space="preserve">AAACTCAGGCAGTAAAGCCGATCA</t>
  </si>
  <si>
    <t xml:space="preserve">ATTGTTTCAGGAAGCCTCTA</t>
  </si>
  <si>
    <t xml:space="preserve">TAGTATTGTTTCAGGAAGCCTCTA</t>
  </si>
  <si>
    <t xml:space="preserve">AAACTAGAGGCTTCCTGAAACAAT</t>
  </si>
  <si>
    <t xml:space="preserve">TGCGCCAATGGCGGCGACCG</t>
  </si>
  <si>
    <t xml:space="preserve">TAGTTGCGCCAATGGCGGCGACCG</t>
  </si>
  <si>
    <t xml:space="preserve">AAACCGGTCGCCGCCATTGGCGCA</t>
  </si>
  <si>
    <t xml:space="preserve">GGCTGAGCGCTGGAAAGACG</t>
  </si>
  <si>
    <t xml:space="preserve">TAGTGGCTGAGCGCTGGAAAGACG</t>
  </si>
  <si>
    <t xml:space="preserve">AAACCGTCTTTCCAGCGCTCAGCC</t>
  </si>
  <si>
    <t xml:space="preserve">PSPPH_2953</t>
  </si>
  <si>
    <t xml:space="preserve">AGATACCTGATTGTTGGTTT</t>
  </si>
  <si>
    <t xml:space="preserve">TAGTAGATACCTGATTGTTGGTTT</t>
  </si>
  <si>
    <t xml:space="preserve">AAACAAACCAACAATCAGGTATCT</t>
  </si>
  <si>
    <t xml:space="preserve">TTGGAGGCCTTGGGTGTGGA</t>
  </si>
  <si>
    <t xml:space="preserve">TAGTTTGGAGGCCTTGGGTGTGGA</t>
  </si>
  <si>
    <t xml:space="preserve">AAACTCCACACCCAAGGCCTCCAA</t>
  </si>
  <si>
    <t xml:space="preserve">CTGGGCCTGTTCGCGTTTGC</t>
  </si>
  <si>
    <t xml:space="preserve">TAGTCTGGGCCTGTTCGCGTTTGC</t>
  </si>
  <si>
    <t xml:space="preserve">AAACGCAAACGCGAACAGGCCCAG</t>
  </si>
  <si>
    <t xml:space="preserve">TTCGGTTTTGGCTGTTTCGC</t>
  </si>
  <si>
    <t xml:space="preserve">TAGTTTCGGTTTTGGCTGTTTCGC</t>
  </si>
  <si>
    <t xml:space="preserve">AAACGCGAAACAGCCAAAACCGAA</t>
  </si>
  <si>
    <t xml:space="preserve">PSPPH_2954</t>
  </si>
  <si>
    <t xml:space="preserve">GCACGGGTTTTCGATGTCCT</t>
  </si>
  <si>
    <t xml:space="preserve">TAGTGCACGGGTTTTCGATGTCCT</t>
  </si>
  <si>
    <t xml:space="preserve">AAACAGGACATCGAAAACCCGTGC</t>
  </si>
  <si>
    <t xml:space="preserve">ATCGCCGCTGAGCTGGCACA</t>
  </si>
  <si>
    <t xml:space="preserve">TAGTATCGCCGCTGAGCTGGCACA</t>
  </si>
  <si>
    <t xml:space="preserve">AAACTGTGCCAGCTCAGCGGCGAT</t>
  </si>
  <si>
    <t xml:space="preserve">CCACTTGCGGATATCGTCCT</t>
  </si>
  <si>
    <t xml:space="preserve">TAGTCCACTTGCGGATATCGTCCT</t>
  </si>
  <si>
    <t xml:space="preserve">AAACAGGACGATATCCGCAAGTGG</t>
  </si>
  <si>
    <t xml:space="preserve">TGCACTGCGGCCATCTTTTC</t>
  </si>
  <si>
    <t xml:space="preserve">TAGTTGCACTGCGGCCATCTTTTC</t>
  </si>
  <si>
    <t xml:space="preserve">AAACGAAAAGATGGCCGCAGTGCA</t>
  </si>
  <si>
    <t xml:space="preserve">PSPPH_2955</t>
  </si>
  <si>
    <t xml:space="preserve">CAGCCCGGCGATACCTGCGA</t>
  </si>
  <si>
    <t xml:space="preserve">TAGTCAGCCCGGCGATACCTGCGA</t>
  </si>
  <si>
    <t xml:space="preserve">AAACTCGCAGGTATCGCCGGGCTG</t>
  </si>
  <si>
    <t xml:space="preserve">AAGCGCGCCAGCAGGGGTTT</t>
  </si>
  <si>
    <t xml:space="preserve">TAGTAAGCGCGCCAGCAGGGGTTT</t>
  </si>
  <si>
    <t xml:space="preserve">AAACAAACCCCTGCTGGCGCGCTT</t>
  </si>
  <si>
    <t xml:space="preserve">TGGCGCGCTTGTAAGGCGTC</t>
  </si>
  <si>
    <t xml:space="preserve">TAGTTGGCGCGCTTGTAAGGCGTC</t>
  </si>
  <si>
    <t xml:space="preserve">AAACGACGCCTTACAAGCGCGCCA</t>
  </si>
  <si>
    <t xml:space="preserve">CAGCGCCGCCACACCAATCA</t>
  </si>
  <si>
    <t xml:space="preserve">TAGTCAGCGCCGCCACACCAATCA</t>
  </si>
  <si>
    <t xml:space="preserve">AAACTGATTGGTGTGGCGGCGCTG</t>
  </si>
  <si>
    <t xml:space="preserve">PSPPH_2956</t>
  </si>
  <si>
    <t xml:space="preserve">AGCGAGTATCGGAAACTTCA</t>
  </si>
  <si>
    <t xml:space="preserve">TAGTAGCGAGTATCGGAAACTTCA</t>
  </si>
  <si>
    <t xml:space="preserve">AAACTGAAGTTTCCGATACTCGCT</t>
  </si>
  <si>
    <t xml:space="preserve">TGAACGCGAGGTGTCCGGCG</t>
  </si>
  <si>
    <t xml:space="preserve">TAGTTGAACGCGAGGTGTCCGGCG</t>
  </si>
  <si>
    <t xml:space="preserve">AAACCGCCGGACACCTCGCGTTCA</t>
  </si>
  <si>
    <t xml:space="preserve">GTAACTGGCCCGAAGATCAG</t>
  </si>
  <si>
    <t xml:space="preserve">TAGTGTAACTGGCCCGAAGATCAG</t>
  </si>
  <si>
    <t xml:space="preserve">AAACCTGATCTTCGGGCCAGTTAC</t>
  </si>
  <si>
    <t xml:space="preserve">ATGAGAGCTCGGGAAACAGC</t>
  </si>
  <si>
    <t xml:space="preserve">TAGTATGAGAGCTCGGGAAACAGC</t>
  </si>
  <si>
    <t xml:space="preserve">AAACGCTGTTTCCCGAGCTCTCAT</t>
  </si>
  <si>
    <t xml:space="preserve">PSPPH_2957</t>
  </si>
  <si>
    <t xml:space="preserve">TCTTTGAGAGACGGGGTATG</t>
  </si>
  <si>
    <t xml:space="preserve">TAGTTCTTTGAGAGACGGGGTATG</t>
  </si>
  <si>
    <t xml:space="preserve">AAACCATACCCCGTCTCTCAAAGA</t>
  </si>
  <si>
    <t xml:space="preserve">TTGAGACGAGGTTCGCTGGC</t>
  </si>
  <si>
    <t xml:space="preserve">TAGTTTGAGACGAGGTTCGCTGGC</t>
  </si>
  <si>
    <t xml:space="preserve">AAACGCCAGCGAACCTCGTCTCAA</t>
  </si>
  <si>
    <t xml:space="preserve">GATGCCGGGGCCGAGCAGTT</t>
  </si>
  <si>
    <t xml:space="preserve">TAGTGATGCCGGGGCCGAGCAGTT</t>
  </si>
  <si>
    <t xml:space="preserve">AAACAACTGCTCGGCCCCGGCATC</t>
  </si>
  <si>
    <t xml:space="preserve">CAGATCACCCGCGCCCAGCC</t>
  </si>
  <si>
    <t xml:space="preserve">TAGTCAGATCACCCGCGCCCAGCC</t>
  </si>
  <si>
    <t xml:space="preserve">AAACGGCTGGGCGCGGGTGATCTG</t>
  </si>
  <si>
    <t xml:space="preserve">PSPPH_2958</t>
  </si>
  <si>
    <t xml:space="preserve">CGGATGTTCCTCCGCATAGC</t>
  </si>
  <si>
    <t xml:space="preserve">TAGTCGGATGTTCCTCCGCATAGC</t>
  </si>
  <si>
    <t xml:space="preserve">AAACGCTATGCGGAGGAACATCCG</t>
  </si>
  <si>
    <t xml:space="preserve">CTTTCCAGTTCAATGGTTTG</t>
  </si>
  <si>
    <t xml:space="preserve">TAGTCTTTCCAGTTCAATGGTTTG</t>
  </si>
  <si>
    <t xml:space="preserve">AAACCAAACCATTGAACTGGAAAG</t>
  </si>
  <si>
    <t xml:space="preserve">TGTCTCGTACTGATAGTCGG</t>
  </si>
  <si>
    <t xml:space="preserve">TAGTTGTCTCGTACTGATAGTCGG</t>
  </si>
  <si>
    <t xml:space="preserve">AAACCCGACTATCAGTACGAGACA</t>
  </si>
  <si>
    <t xml:space="preserve">ATAGCCCTGAACCGGGCTGG</t>
  </si>
  <si>
    <t xml:space="preserve">TAGTATAGCCCTGAACCGGGCTGG</t>
  </si>
  <si>
    <t xml:space="preserve">AAACCCAGCCCGGTTCAGGGCTAT</t>
  </si>
  <si>
    <t xml:space="preserve">PSPPH_2959</t>
  </si>
  <si>
    <t xml:space="preserve">GAAAGGTTTTGTTGACAGCA</t>
  </si>
  <si>
    <t xml:space="preserve">TAGTGAAAGGTTTTGTTGACAGCA</t>
  </si>
  <si>
    <t xml:space="preserve">AAACTGCTGTCAACAAAACCTTTC</t>
  </si>
  <si>
    <t xml:space="preserve">TGGCGAACAATGCGCCGAGC</t>
  </si>
  <si>
    <t xml:space="preserve">TAGTTGGCGAACAATGCGCCGAGC</t>
  </si>
  <si>
    <t xml:space="preserve">AAACGCTCGGCGCATTGTTCGCCA</t>
  </si>
  <si>
    <t xml:space="preserve">GCCGTGTGCGTTTACTTGGC</t>
  </si>
  <si>
    <t xml:space="preserve">TAGTGCCGTGTGCGTTTACTTGGC</t>
  </si>
  <si>
    <t xml:space="preserve">AAACGCCAAGTAAACGCACACGGC</t>
  </si>
  <si>
    <t xml:space="preserve">CGCGCCGCTGTTCGGTCCAC</t>
  </si>
  <si>
    <t xml:space="preserve">TAGTCGCGCCGCTGTTCGGTCCAC</t>
  </si>
  <si>
    <t xml:space="preserve">AAACGTGGACCGAACAGCGGCGCG</t>
  </si>
  <si>
    <t xml:space="preserve">PSPPH_2960</t>
  </si>
  <si>
    <t xml:space="preserve">purU1</t>
  </si>
  <si>
    <t xml:space="preserve">ATGGTTCTTCTCGTGTTGCA</t>
  </si>
  <si>
    <t xml:space="preserve">TAGTATGGTTCTTCTCGTGTTGCA</t>
  </si>
  <si>
    <t xml:space="preserve">AAACTGCAACACGAGAAGAACCAT</t>
  </si>
  <si>
    <t xml:space="preserve">TCGCCGGGCAGCTGATCTTC</t>
  </si>
  <si>
    <t xml:space="preserve">TAGTTCGCCGGGCAGCTGATCTTC</t>
  </si>
  <si>
    <t xml:space="preserve">AAACGAAGATCAGCTGCCCGGCGA</t>
  </si>
  <si>
    <t xml:space="preserve">CACTGCCGCGACAATGCCGG</t>
  </si>
  <si>
    <t xml:space="preserve">TAGTCACTGCCGCGACAATGCCGG</t>
  </si>
  <si>
    <t xml:space="preserve">AAACCCGGCATTGTCGCGGCAGTG</t>
  </si>
  <si>
    <t xml:space="preserve">GCAGCCGTTGCCAGCCAGGC</t>
  </si>
  <si>
    <t xml:space="preserve">TAGTGCAGCCGTTGCCAGCCAGGC</t>
  </si>
  <si>
    <t xml:space="preserve">AAACGCCTGGCTGGCAACGGCTGC</t>
  </si>
  <si>
    <t xml:space="preserve">PSPPH_2961</t>
  </si>
  <si>
    <t xml:space="preserve">folD2</t>
  </si>
  <si>
    <t xml:space="preserve">TTGTTCCAGAACACGAGCGG</t>
  </si>
  <si>
    <t xml:space="preserve">TAGTTTGTTCCAGAACACGAGCGG</t>
  </si>
  <si>
    <t xml:space="preserve">AAACCCGCTCGTGTTCTGGAACAA</t>
  </si>
  <si>
    <t xml:space="preserve">GGCCTTCAAGATTTTCACTT</t>
  </si>
  <si>
    <t xml:space="preserve">TAGTGGCCTTCAAGATTTTCACTT</t>
  </si>
  <si>
    <t xml:space="preserve">AAACAAGTGAAAATCTTGAAGGCC</t>
  </si>
  <si>
    <t xml:space="preserve">CAGTGCCGGTTCGATGCCGT</t>
  </si>
  <si>
    <t xml:space="preserve">TAGTCAGTGCCGGTTCGATGCCGT</t>
  </si>
  <si>
    <t xml:space="preserve">AAACACGGCATCGAACCGGCACTG</t>
  </si>
  <si>
    <t xml:space="preserve">GCACATACACCTCACTGGCC</t>
  </si>
  <si>
    <t xml:space="preserve">TAGTGCACATACACCTCACTGGCC</t>
  </si>
  <si>
    <t xml:space="preserve">AAACGGCCAGTGAGGTGTATGTGC</t>
  </si>
  <si>
    <t xml:space="preserve">PSPPH_2962</t>
  </si>
  <si>
    <t xml:space="preserve">CCACCTCGACCGGATACTCC</t>
  </si>
  <si>
    <t xml:space="preserve">TAGTCCACCTCGACCGGATACTCC</t>
  </si>
  <si>
    <t xml:space="preserve">AAACGGAGTATCCGGTCGAGGTGG</t>
  </si>
  <si>
    <t xml:space="preserve">GGCTTGAGTTCCTTGGGCGC</t>
  </si>
  <si>
    <t xml:space="preserve">TAGTGGCTTGAGTTCCTTGGGCGC</t>
  </si>
  <si>
    <t xml:space="preserve">AAACGCGCCCAAGGAACTCAAGCC</t>
  </si>
  <si>
    <t xml:space="preserve">ATGATCACCACGTCGTAGGA</t>
  </si>
  <si>
    <t xml:space="preserve">TAGTATGATCACCACGTCGTAGGA</t>
  </si>
  <si>
    <t xml:space="preserve">AAACTCCTACGACGTGGTGATCAT</t>
  </si>
  <si>
    <t xml:space="preserve">ACAGGTAGTACGCGGTCGCC</t>
  </si>
  <si>
    <t xml:space="preserve">TAGTACAGGTAGTACGCGGTCGCC</t>
  </si>
  <si>
    <t xml:space="preserve">AAACGGCGACCGCGTACTACCTGT</t>
  </si>
  <si>
    <t xml:space="preserve">PSPPH_2963</t>
  </si>
  <si>
    <t xml:space="preserve">GCGCGGCCCGTTGAGCGGGC</t>
  </si>
  <si>
    <t xml:space="preserve">TAGTGCGCGGCCCGTTGAGCGGGC</t>
  </si>
  <si>
    <t xml:space="preserve">AAACGCCCGCTCAACGGGCCGCGC</t>
  </si>
  <si>
    <t xml:space="preserve">GTGCTTGAATTCGCCGCCGT</t>
  </si>
  <si>
    <t xml:space="preserve">TAGTGTGCTTGAATTCGCCGCCGT</t>
  </si>
  <si>
    <t xml:space="preserve">AAACACGGCGGCGAATTCAAGCAC</t>
  </si>
  <si>
    <t xml:space="preserve">TGCGCATCGCTGCAGGTTTG</t>
  </si>
  <si>
    <t xml:space="preserve">TAGTTGCGCATCGCTGCAGGTTTG</t>
  </si>
  <si>
    <t xml:space="preserve">AAACCAAACCTGCAGCGATGCGCA</t>
  </si>
  <si>
    <t xml:space="preserve">CTCACTGTTGAACACGTAAT</t>
  </si>
  <si>
    <t xml:space="preserve">TAGTCTCACTGTTGAACACGTAAT</t>
  </si>
  <si>
    <t xml:space="preserve">AAACATTACGTGTTCAACAGTGAG</t>
  </si>
  <si>
    <t xml:space="preserve">PSPPH_2964</t>
  </si>
  <si>
    <t xml:space="preserve">CTCGGGCAAGCGGGCTGGGG</t>
  </si>
  <si>
    <t xml:space="preserve">TAGTCTCGGGCAAGCGGGCTGGGG</t>
  </si>
  <si>
    <t xml:space="preserve">AAACCCCCAGCCCGCTTGCCCGAG</t>
  </si>
  <si>
    <t xml:space="preserve">CGATCGATCAGCAGGCCCAT</t>
  </si>
  <si>
    <t xml:space="preserve">TAGTCGATCGATCAGCAGGCCCAT</t>
  </si>
  <si>
    <t xml:space="preserve">AAACATGGGCCTGCTGATCGATCG</t>
  </si>
  <si>
    <t xml:space="preserve">CGAAGCTGAAGGTGAGCGGC</t>
  </si>
  <si>
    <t xml:space="preserve">TAGTCGAAGCTGAAGGTGAGCGGC</t>
  </si>
  <si>
    <t xml:space="preserve">AAACGCCGCTCACCTTCAGCTTCG</t>
  </si>
  <si>
    <t xml:space="preserve">ACCATTGGCCAGCAGTGCGC</t>
  </si>
  <si>
    <t xml:space="preserve">TAGTACCATTGGCCAGCAGTGCGC</t>
  </si>
  <si>
    <t xml:space="preserve">AAACGCGCACTGCTGGCCAATGGT</t>
  </si>
  <si>
    <t xml:space="preserve">PSPPH_2965</t>
  </si>
  <si>
    <t xml:space="preserve">GTCCTGGATAAGGCTATTCA</t>
  </si>
  <si>
    <t xml:space="preserve">TAGTGTCCTGGATAAGGCTATTCA</t>
  </si>
  <si>
    <t xml:space="preserve">AAACTGAATAGCCTTATCCAGGAC</t>
  </si>
  <si>
    <t xml:space="preserve">GCGCGCCAGCTCTGACCGGG</t>
  </si>
  <si>
    <t xml:space="preserve">TAGTGCGCGCCAGCTCTGACCGGG</t>
  </si>
  <si>
    <t xml:space="preserve">AAACCCCGGTCAGAGCTGGCGCGC</t>
  </si>
  <si>
    <t xml:space="preserve">TCTTGCAGTGTGCACAGTGA</t>
  </si>
  <si>
    <t xml:space="preserve">TAGTTCTTGCAGTGTGCACAGTGA</t>
  </si>
  <si>
    <t xml:space="preserve">AAACTCACTGTGCACACTGCAAGA</t>
  </si>
  <si>
    <t xml:space="preserve">CCACGCGCGGCAGATCGGTC</t>
  </si>
  <si>
    <t xml:space="preserve">TAGTCCACGCGCGGCAGATCGGTC</t>
  </si>
  <si>
    <t xml:space="preserve">AAACGACCGATCTGCCGCGCGTGG</t>
  </si>
  <si>
    <t xml:space="preserve">PSPPH_2966</t>
  </si>
  <si>
    <t xml:space="preserve">ATGGCGGCGACGACTAATAT</t>
  </si>
  <si>
    <t xml:space="preserve">TAGTATGGCGGCGACGACTAATAT</t>
  </si>
  <si>
    <t xml:space="preserve">AAACATATTAGTCGTCGCCGCCAT</t>
  </si>
  <si>
    <t xml:space="preserve">GCTGCTGTCCACGAAATCAC</t>
  </si>
  <si>
    <t xml:space="preserve">TAGTGCTGCTGTCCACGAAATCAC</t>
  </si>
  <si>
    <t xml:space="preserve">AAACGTGATTTCGTGGACAGCAGC</t>
  </si>
  <si>
    <t xml:space="preserve">GTTGCATGGCATTGTCGACC</t>
  </si>
  <si>
    <t xml:space="preserve">TAGTGTTGCATGGCATTGTCGACC</t>
  </si>
  <si>
    <t xml:space="preserve">AAACGGTCGACAATGCCATGCAAC</t>
  </si>
  <si>
    <t xml:space="preserve">CGCTCGCCCCGGCGATCAGC</t>
  </si>
  <si>
    <t xml:space="preserve">TAGTCGCTCGCCCCGGCGATCAGC</t>
  </si>
  <si>
    <t xml:space="preserve">AAACGCTGATCGCCGGGGCGAGCG</t>
  </si>
  <si>
    <t xml:space="preserve">PSPPH_2967</t>
  </si>
  <si>
    <t xml:space="preserve">GAGGCTGCCGCGTTCGTTGA</t>
  </si>
  <si>
    <t xml:space="preserve">TAGTGAGGCTGCCGCGTTCGTTGA</t>
  </si>
  <si>
    <t xml:space="preserve">AAACTCAACGAACGCGGCAGCCTC</t>
  </si>
  <si>
    <t xml:space="preserve">TGACATGTCCAGCGCCTCAG</t>
  </si>
  <si>
    <t xml:space="preserve">TAGTTGACATGTCCAGCGCCTCAG</t>
  </si>
  <si>
    <t xml:space="preserve">AAACCTGAGGCGCTGGACATGTCA</t>
  </si>
  <si>
    <t xml:space="preserve">TTTCCATCTGCGCCAGATAA</t>
  </si>
  <si>
    <t xml:space="preserve">TAGTTTTCCATCTGCGCCAGATAA</t>
  </si>
  <si>
    <t xml:space="preserve">AAACTTATCTGGCGCAGATGGAAA</t>
  </si>
  <si>
    <t xml:space="preserve">CAGCAAGCGCGCTCCCGCCC</t>
  </si>
  <si>
    <t xml:space="preserve">TAGTCAGCAAGCGCGCTCCCGCCC</t>
  </si>
  <si>
    <t xml:space="preserve">AAACGGGCGGGAGCGCGCTTGCTG</t>
  </si>
  <si>
    <t xml:space="preserve">PSPPH_2968</t>
  </si>
  <si>
    <t xml:space="preserve">AGCAGGGAATTGCGTAGCAT</t>
  </si>
  <si>
    <t xml:space="preserve">TAGTAGCAGGGAATTGCGTAGCAT</t>
  </si>
  <si>
    <t xml:space="preserve">AAACATGCTACGCAATTCCCTGCT</t>
  </si>
  <si>
    <t xml:space="preserve">CAGCGGCCTGGGCTGCAAGC</t>
  </si>
  <si>
    <t xml:space="preserve">TAGTCAGCGGCCTGGGCTGCAAGC</t>
  </si>
  <si>
    <t xml:space="preserve">AAACGCTTGCAGCCCAGGCCGCTG</t>
  </si>
  <si>
    <t xml:space="preserve">TTGTAGACCTCGATCGCCAG</t>
  </si>
  <si>
    <t xml:space="preserve">TAGTTTGTAGACCTCGATCGCCAG</t>
  </si>
  <si>
    <t xml:space="preserve">AAACCTGGCGATCGAGGTCTACAA</t>
  </si>
  <si>
    <t xml:space="preserve">GGGAAGACGGCTTTTTCGGC</t>
  </si>
  <si>
    <t xml:space="preserve">TAGTGGGAAGACGGCTTTTTCGGC</t>
  </si>
  <si>
    <t xml:space="preserve">AAACGCCGAAAAAGCCGTCTTCCC</t>
  </si>
  <si>
    <t xml:space="preserve">PSPPH_2969</t>
  </si>
  <si>
    <t xml:space="preserve">ATTTTGACAGGAGCATTCAT</t>
  </si>
  <si>
    <t xml:space="preserve">TAGTATTTTGACAGGAGCATTCAT</t>
  </si>
  <si>
    <t xml:space="preserve">AAACATGAATGCTCCTGTCAAAAT</t>
  </si>
  <si>
    <t xml:space="preserve">CGCCGGGCGGGCAGGGGTTA</t>
  </si>
  <si>
    <t xml:space="preserve">TAGTCGCCGGGCGGGCAGGGGTTA</t>
  </si>
  <si>
    <t xml:space="preserve">AAACTAACCCCTGCCCGCCCGGCG</t>
  </si>
  <si>
    <t xml:space="preserve">CAGCTTGAGGATGCGCAGGT</t>
  </si>
  <si>
    <t xml:space="preserve">TAGTCAGCTTGAGGATGCGCAGGT</t>
  </si>
  <si>
    <t xml:space="preserve">AAACACCTGCGCATCCTCAAGCTG</t>
  </si>
  <si>
    <t xml:space="preserve">CAGCGTGTTTTCCGCATCAC</t>
  </si>
  <si>
    <t xml:space="preserve">TAGTCAGCGTGTTTTCCGCATCAC</t>
  </si>
  <si>
    <t xml:space="preserve">AAACGTGATGCGGAAAACACGCTG</t>
  </si>
  <si>
    <t xml:space="preserve">PSPPH_2970</t>
  </si>
  <si>
    <t xml:space="preserve">CACGGCCTCCATCAGCGCTT</t>
  </si>
  <si>
    <t xml:space="preserve">TAGTCACGGCCTCCATCAGCGCTT</t>
  </si>
  <si>
    <t xml:space="preserve">AAACAAGCGCTGATGGAGGCCGTG</t>
  </si>
  <si>
    <t xml:space="preserve">GGATGGGGGTACAGGTCGGC</t>
  </si>
  <si>
    <t xml:space="preserve">TAGTGGATGGGGGTACAGGTCGGC</t>
  </si>
  <si>
    <t xml:space="preserve">AAACGCCGACCTGTACCCCCATCC</t>
  </si>
  <si>
    <t xml:space="preserve">CGCAACGCACCGCGAGTCAG</t>
  </si>
  <si>
    <t xml:space="preserve">TAGTCGCAACGCACCGCGAGTCAG</t>
  </si>
  <si>
    <t xml:space="preserve">AAACCTGACTCGCGGTGCGTTGCG</t>
  </si>
  <si>
    <t xml:space="preserve">AGGCACCGGTTTGCCGCGCA</t>
  </si>
  <si>
    <t xml:space="preserve">TAGTAGGCACCGGTTTGCCGCGCA</t>
  </si>
  <si>
    <t xml:space="preserve">AAACTGCGCGGCAAACCGGTGCCT</t>
  </si>
  <si>
    <t xml:space="preserve">PSPPH_2971</t>
  </si>
  <si>
    <t xml:space="preserve">CCTGGGAGTGCTTTCAATTG</t>
  </si>
  <si>
    <t xml:space="preserve">TAGTCCTGGGAGTGCTTTCAATTG</t>
  </si>
  <si>
    <t xml:space="preserve">AAACCAATTGAAAGCACTCCCAGG</t>
  </si>
  <si>
    <t xml:space="preserve">GGTCCATCTCTAGCTCGGCC</t>
  </si>
  <si>
    <t xml:space="preserve">TAGTGGTCCATCTCTAGCTCGGCC</t>
  </si>
  <si>
    <t xml:space="preserve">AAACGGCCGAGCTAGAGATGGACC</t>
  </si>
  <si>
    <t xml:space="preserve">TGGCCGCCATCAGCGAGTGC</t>
  </si>
  <si>
    <t xml:space="preserve">TAGTTGGCCGCCATCAGCGAGTGC</t>
  </si>
  <si>
    <t xml:space="preserve">AAACGCACTCGCTGATGGCGGCCA</t>
  </si>
  <si>
    <t xml:space="preserve">CATCGCCTGCGAACGGTCAA</t>
  </si>
  <si>
    <t xml:space="preserve">TAGTCATCGCCTGCGAACGGTCAA</t>
  </si>
  <si>
    <t xml:space="preserve">AAACTTGACCGTTCGCAGGCGATG</t>
  </si>
  <si>
    <t xml:space="preserve">PSPPH_2972</t>
  </si>
  <si>
    <t xml:space="preserve">GCCGACCACGTCCACTGCGC</t>
  </si>
  <si>
    <t xml:space="preserve">TAGTGCCGACCACGTCCACTGCGC</t>
  </si>
  <si>
    <t xml:space="preserve">AAACGCGCAGTGGACGTGGTCGGC</t>
  </si>
  <si>
    <t xml:space="preserve">GCAAATGCTCGGCAATGCCA</t>
  </si>
  <si>
    <t xml:space="preserve">TAGTGCAAATGCTCGGCAATGCCA</t>
  </si>
  <si>
    <t xml:space="preserve">AAACTGGCATTGCCGAGCATTTGC</t>
  </si>
  <si>
    <t xml:space="preserve">TTCAGCGCCAGAGCATCCCA</t>
  </si>
  <si>
    <t xml:space="preserve">TAGTTTCAGCGCCAGAGCATCCCA</t>
  </si>
  <si>
    <t xml:space="preserve">AAACTGGGATGCTCTGGCGCTGAA</t>
  </si>
  <si>
    <t xml:space="preserve">GGCAGCCAATCGCCAAGCAA</t>
  </si>
  <si>
    <t xml:space="preserve">TAGTGGCAGCCAATCGCCAAGCAA</t>
  </si>
  <si>
    <t xml:space="preserve">AAACTTGCTTGGCGATTGGCTGCC</t>
  </si>
  <si>
    <t xml:space="preserve">PSPPH_2973</t>
  </si>
  <si>
    <t xml:space="preserve">AAGGTGTCGTTGTCTGCTCA</t>
  </si>
  <si>
    <t xml:space="preserve">TAGTAAGGTGTCGTTGTCTGCTCA</t>
  </si>
  <si>
    <t xml:space="preserve">AAACTGAGCAGACAACGACACCTT</t>
  </si>
  <si>
    <t xml:space="preserve">CCCAGCCATGGCCGACCCCG</t>
  </si>
  <si>
    <t xml:space="preserve">TAGTCCCAGCCATGGCCGACCCCG</t>
  </si>
  <si>
    <t xml:space="preserve">AAACCGGGGTCGGCCATGGCTGGG</t>
  </si>
  <si>
    <t xml:space="preserve">CGTTGGCCAGTGCGTGCGGA</t>
  </si>
  <si>
    <t xml:space="preserve">TAGTCGTTGGCCAGTGCGTGCGGA</t>
  </si>
  <si>
    <t xml:space="preserve">AAACTCCGCACGCACTGGCCAACG</t>
  </si>
  <si>
    <t xml:space="preserve">ATAAAAGCCGAAATTCACAC</t>
  </si>
  <si>
    <t xml:space="preserve">TAGTATAAAAGCCGAAATTCACAC</t>
  </si>
  <si>
    <t xml:space="preserve">AAACGTGTGAATTTCGGCTTTTAT</t>
  </si>
  <si>
    <t xml:space="preserve">PSPPH_2974</t>
  </si>
  <si>
    <t xml:space="preserve">GAAATTATCATCCATCTGGC</t>
  </si>
  <si>
    <t xml:space="preserve">TAGTGAAATTATCATCCATCTGGC</t>
  </si>
  <si>
    <t xml:space="preserve">AAACGCCAGATGGATGATAATTTC</t>
  </si>
  <si>
    <t xml:space="preserve">GATGAGCCTGGCTTCAGGGT</t>
  </si>
  <si>
    <t xml:space="preserve">TAGTGATGAGCCTGGCTTCAGGGT</t>
  </si>
  <si>
    <t xml:space="preserve">AAACACCCTGAAGCCAGGCTCATC</t>
  </si>
  <si>
    <t xml:space="preserve">AGCAGAATGCTGACCTCGCC</t>
  </si>
  <si>
    <t xml:space="preserve">TAGTAGCAGAATGCTGACCTCGCC</t>
  </si>
  <si>
    <t xml:space="preserve">AAACGGCGAGGTCAGCATTCTGCT</t>
  </si>
  <si>
    <t xml:space="preserve">CATAACCACGCACGTTGATA</t>
  </si>
  <si>
    <t xml:space="preserve">TAGTCATAACCACGCACGTTGATA</t>
  </si>
  <si>
    <t xml:space="preserve">AAACTATCAACGTGCGTGGTTATG</t>
  </si>
  <si>
    <t xml:space="preserve">PSPPH_2975</t>
  </si>
  <si>
    <t xml:space="preserve">GTGTTTTATCGGTTTGGGCA</t>
  </si>
  <si>
    <t xml:space="preserve">TAGTGTGTTTTATCGGTTTGGGCA</t>
  </si>
  <si>
    <t xml:space="preserve">AAACTGCCCAAACCGATAAAACAC</t>
  </si>
  <si>
    <t xml:space="preserve">AGCAGCGGACGGCGGTAGCC</t>
  </si>
  <si>
    <t xml:space="preserve">TAGTAGCAGCGGACGGCGGTAGCC</t>
  </si>
  <si>
    <t xml:space="preserve">AAACGGCTACCGCCGTCCGCTGCT</t>
  </si>
  <si>
    <t xml:space="preserve">ACGTTTGCTGTGCCTCGACG</t>
  </si>
  <si>
    <t xml:space="preserve">TAGTACGTTTGCTGTGCCTCGACG</t>
  </si>
  <si>
    <t xml:space="preserve">AAACCGTCGAGGCACAGCAAACGT</t>
  </si>
  <si>
    <t xml:space="preserve">TGATCAGCGTGGAAGACTTC</t>
  </si>
  <si>
    <t xml:space="preserve">TAGTTGATCAGCGTGGAAGACTTC</t>
  </si>
  <si>
    <t xml:space="preserve">AAACGAAGTCTTCCACGCTGATCA</t>
  </si>
  <si>
    <t xml:space="preserve">PSPPH_2976</t>
  </si>
  <si>
    <t xml:space="preserve">GTCGGGGCGTTTTACGGACA</t>
  </si>
  <si>
    <t xml:space="preserve">TAGTGTCGGGGCGTTTTACGGACA</t>
  </si>
  <si>
    <t xml:space="preserve">AAACTGTCCGTAAAACGCCCCGAC</t>
  </si>
  <si>
    <t xml:space="preserve">CTGGGCGGCAATCAGAAAGT</t>
  </si>
  <si>
    <t xml:space="preserve">TAGTCTGGGCGGCAATCAGAAAGT</t>
  </si>
  <si>
    <t xml:space="preserve">AAACACTTTCTGATTGCCGCCCAG</t>
  </si>
  <si>
    <t xml:space="preserve">ATGCCATCTGGCTGTCTGAC</t>
  </si>
  <si>
    <t xml:space="preserve">TAGTATGCCATCTGGCTGTCTGAC</t>
  </si>
  <si>
    <t xml:space="preserve">AAACGTCAGACAGCCAGATGGCAT</t>
  </si>
  <si>
    <t xml:space="preserve">GGGTTTCGTCAGCAAGACTC</t>
  </si>
  <si>
    <t xml:space="preserve">TAGTGGGTTTCGTCAGCAAGACTC</t>
  </si>
  <si>
    <t xml:space="preserve">AAACGAGTCTTGCTGACGAAACCC</t>
  </si>
  <si>
    <t xml:space="preserve">PSPPH_2977</t>
  </si>
  <si>
    <t xml:space="preserve">ACGTTTCTTGGCGGCACGCA</t>
  </si>
  <si>
    <t xml:space="preserve">TAGTACGTTTCTTGGCGGCACGCA</t>
  </si>
  <si>
    <t xml:space="preserve">AAACTGCGTGCCGCCAAGAAACGT</t>
  </si>
  <si>
    <t xml:space="preserve">CCAGCACGCTGATGTCGCGC</t>
  </si>
  <si>
    <t xml:space="preserve">TAGTCCAGCACGCTGATGTCGCGC</t>
  </si>
  <si>
    <t xml:space="preserve">AAACGCGCGACATCAGCGTGCTGG</t>
  </si>
  <si>
    <t xml:space="preserve">TGCGACCGTCTTCATCATCG</t>
  </si>
  <si>
    <t xml:space="preserve">TAGTTGCGACCGTCTTCATCATCG</t>
  </si>
  <si>
    <t xml:space="preserve">AAACCGATGATGAAGACGGTCGCA</t>
  </si>
  <si>
    <t xml:space="preserve">TACGCTGCAACTGGGCGATC</t>
  </si>
  <si>
    <t xml:space="preserve">TAGTTACGCTGCAACTGGGCGATC</t>
  </si>
  <si>
    <t xml:space="preserve">AAACGATCGCCCAGTTGCAGCGTA</t>
  </si>
  <si>
    <t xml:space="preserve">PSPPH_2978</t>
  </si>
  <si>
    <t xml:space="preserve">GACCTCCTATGCGGATCGAC</t>
  </si>
  <si>
    <t xml:space="preserve">TAGTGACCTCCTATGCGGATCGAC</t>
  </si>
  <si>
    <t xml:space="preserve">AAACGTCGATCCGCATAGGAGGTC</t>
  </si>
  <si>
    <t xml:space="preserve">GGCAGCAGTAACGCCGGTAT</t>
  </si>
  <si>
    <t xml:space="preserve">TAGTGGCAGCAGTAACGCCGGTAT</t>
  </si>
  <si>
    <t xml:space="preserve">AAACATACCGGCGTTACTGCTGCC</t>
  </si>
  <si>
    <t xml:space="preserve">GCGCATTGTTGAACACTCAC</t>
  </si>
  <si>
    <t xml:space="preserve">TAGTGCGCATTGTTGAACACTCAC</t>
  </si>
  <si>
    <t xml:space="preserve">AAACGTGAGTGTTCAACAATGCGC</t>
  </si>
  <si>
    <t xml:space="preserve">CTCCTGCCGCGTTGATCTGA</t>
  </si>
  <si>
    <t xml:space="preserve">TAGTCTCCTGCCGCGTTGATCTGA</t>
  </si>
  <si>
    <t xml:space="preserve">AAACTCAGATCAACGCGGCAGGAG</t>
  </si>
  <si>
    <t xml:space="preserve">PSPPH_2980</t>
  </si>
  <si>
    <t xml:space="preserve">CACTCCTTGTTGGCGATGCC</t>
  </si>
  <si>
    <t xml:space="preserve">TAGTCACTCCTTGTTGGCGATGCC</t>
  </si>
  <si>
    <t xml:space="preserve">AAACGGCATCGCCAACAAGGAGTG</t>
  </si>
  <si>
    <t xml:space="preserve">GAAAAAGATGATGATCGGGA</t>
  </si>
  <si>
    <t xml:space="preserve">TAGTGAAAAAGATGATGATCGGGA</t>
  </si>
  <si>
    <t xml:space="preserve">AAACTCCCGATCATCATCTTTTTC</t>
  </si>
  <si>
    <t xml:space="preserve">GAACTGGCTGGAAAGCGGGC</t>
  </si>
  <si>
    <t xml:space="preserve">TAGTGAACTGGCTGGAAAGCGGGC</t>
  </si>
  <si>
    <t xml:space="preserve">AAACGCCCGCTTTCCAGCCAGTTC</t>
  </si>
  <si>
    <t xml:space="preserve">GCGCGTCTTGAAGTCGCCCT</t>
  </si>
  <si>
    <t xml:space="preserve">TAGTGCGCGTCTTGAAGTCGCCCT</t>
  </si>
  <si>
    <t xml:space="preserve">AAACAGGGCGACTTCAAGACGCGC</t>
  </si>
  <si>
    <t xml:space="preserve">PSPPH_2981</t>
  </si>
  <si>
    <t xml:space="preserve">CGGCGGAAATCATCGCCGGG</t>
  </si>
  <si>
    <t xml:space="preserve">TAGTCGGCGGAAATCATCGCCGGG</t>
  </si>
  <si>
    <t xml:space="preserve">AAACCCCGGCGATGATTTCCGCCG</t>
  </si>
  <si>
    <t xml:space="preserve">CAGTGCCATCGCACCTGTGG</t>
  </si>
  <si>
    <t xml:space="preserve">TAGTCAGTGCCATCGCACCTGTGG</t>
  </si>
  <si>
    <t xml:space="preserve">AAACCCACAGGTGCGATGGCACTG</t>
  </si>
  <si>
    <t xml:space="preserve">GAAGACCGTGCTCTTTCACC</t>
  </si>
  <si>
    <t xml:space="preserve">TAGTGAAGACCGTGCTCTTTCACC</t>
  </si>
  <si>
    <t xml:space="preserve">AAACGGTGAAAGAGCACGGTCTTC</t>
  </si>
  <si>
    <t xml:space="preserve">CAACACGCCGCACAACAAAG</t>
  </si>
  <si>
    <t xml:space="preserve">TAGTCAACACGCCGCACAACAAAG</t>
  </si>
  <si>
    <t xml:space="preserve">AAACCTTTGTTGTGCGGCGTGTTG</t>
  </si>
  <si>
    <t xml:space="preserve">PSPPH_2982</t>
  </si>
  <si>
    <t xml:space="preserve">TAGCTTTAATTTTTCGAGCA</t>
  </si>
  <si>
    <t xml:space="preserve">TAGTTAGCTTTAATTTTTCGAGCA</t>
  </si>
  <si>
    <t xml:space="preserve">AAACTGCTCGAAAAATTAAAGCTA</t>
  </si>
  <si>
    <t xml:space="preserve">CAGAACATCGGCCCGGACGC</t>
  </si>
  <si>
    <t xml:space="preserve">TAGTCAGAACATCGGCCCGGACGC</t>
  </si>
  <si>
    <t xml:space="preserve">AAACGCGTCCGGGCCGATGTTCTG</t>
  </si>
  <si>
    <t xml:space="preserve">GGCCAGTGCAACGACAAGCC</t>
  </si>
  <si>
    <t xml:space="preserve">TAGTGGCCAGTGCAACGACAAGCC</t>
  </si>
  <si>
    <t xml:space="preserve">AAACGGCTTGTCGTTGCACTGGCC</t>
  </si>
  <si>
    <t xml:space="preserve">PSPPH_2983</t>
  </si>
  <si>
    <t xml:space="preserve">AATCATTTCCGAAATGTCGG</t>
  </si>
  <si>
    <t xml:space="preserve">TAGTAATCATTTCCGAAATGTCGG</t>
  </si>
  <si>
    <t xml:space="preserve">AAACCCGACATTTCGGAAATGATT</t>
  </si>
  <si>
    <t xml:space="preserve">GAGGGCACTTTCTCACCGGC</t>
  </si>
  <si>
    <t xml:space="preserve">TAGTGAGGGCACTTTCTCACCGGC</t>
  </si>
  <si>
    <t xml:space="preserve">AAACGCCGGTGAGAAAGTGCCCTC</t>
  </si>
  <si>
    <t xml:space="preserve">GGTGCGACTGGCAACCCTGA</t>
  </si>
  <si>
    <t xml:space="preserve">TAGTGGTGCGACTGGCAACCCTGA</t>
  </si>
  <si>
    <t xml:space="preserve">AAACTCAGGGTTGCCAGTCGCACC</t>
  </si>
  <si>
    <t xml:space="preserve">GGTGGCGGGGCTCACCGAAT</t>
  </si>
  <si>
    <t xml:space="preserve">TAGTGGTGGCGGGGCTCACCGAAT</t>
  </si>
  <si>
    <t xml:space="preserve">AAACATTCGGTGAGCCCCGCCACC</t>
  </si>
  <si>
    <t xml:space="preserve">PSPPH_2984</t>
  </si>
  <si>
    <t xml:space="preserve">GCATAAACCAGTTGAGGCAG</t>
  </si>
  <si>
    <t xml:space="preserve">TAGTGCATAAACCAGTTGAGGCAG</t>
  </si>
  <si>
    <t xml:space="preserve">AAACCTGCCTCAACTGGTTTATGC</t>
  </si>
  <si>
    <t xml:space="preserve">GCACTATTTATAAAACCGCG</t>
  </si>
  <si>
    <t xml:space="preserve">TAGTGCACTATTTATAAAACCGCG</t>
  </si>
  <si>
    <t xml:space="preserve">AAACCGCGGTTTTATAAATAGTGC</t>
  </si>
  <si>
    <t xml:space="preserve">TGCTCGGTTTCCAGAAGCAG</t>
  </si>
  <si>
    <t xml:space="preserve">TAGTTGCTCGGTTTCCAGAAGCAG</t>
  </si>
  <si>
    <t xml:space="preserve">AAACCTGCTTCTGGAAACCGAGCA</t>
  </si>
  <si>
    <t xml:space="preserve">CCGTCAGCCCGGGTCTGGCA</t>
  </si>
  <si>
    <t xml:space="preserve">TAGTCCGTCAGCCCGGGTCTGGCA</t>
  </si>
  <si>
    <t xml:space="preserve">AAACTGCCAGACCCGGGCTGACGG</t>
  </si>
  <si>
    <t xml:space="preserve">PSPPH_2986</t>
  </si>
  <si>
    <t xml:space="preserve">AACGGTGCACGTGGTACGTC</t>
  </si>
  <si>
    <t xml:space="preserve">TAGTAACGGTGCACGTGGTACGTC</t>
  </si>
  <si>
    <t xml:space="preserve">AAACGACGTACCACGTGCACCGTT</t>
  </si>
  <si>
    <t xml:space="preserve">TCAGTACGTTCAAATGGGCT</t>
  </si>
  <si>
    <t xml:space="preserve">TAGTTCAGTACGTTCAAATGGGCT</t>
  </si>
  <si>
    <t xml:space="preserve">AAACAGCCCATTTGAACGTACTGA</t>
  </si>
  <si>
    <t xml:space="preserve">GGACTACCTGACCGAGGTGT</t>
  </si>
  <si>
    <t xml:space="preserve">TAGTGGACTACCTGACCGAGGTGT</t>
  </si>
  <si>
    <t xml:space="preserve">AAACACACCTCGGTCAGGTAGTCC</t>
  </si>
  <si>
    <t xml:space="preserve">TATACCTGAGCCGTGGGAAA</t>
  </si>
  <si>
    <t xml:space="preserve">TAGTTATACCTGAGCCGTGGGAAA</t>
  </si>
  <si>
    <t xml:space="preserve">AAACTTTCCCACGGCTCAGGTATA</t>
  </si>
  <si>
    <t xml:space="preserve">PSPPH_2987</t>
  </si>
  <si>
    <t xml:space="preserve">CGGGTGGTAATCGAGGGCCA</t>
  </si>
  <si>
    <t xml:space="preserve">TAGTCGGGTGGTAATCGAGGGCCA</t>
  </si>
  <si>
    <t xml:space="preserve">AAACTGGCCCTCGATTACCACCCG</t>
  </si>
  <si>
    <t xml:space="preserve">TTTACCCATTCGCGGCGCGG</t>
  </si>
  <si>
    <t xml:space="preserve">TAGTTTTACCCATTCGCGGCGCGG</t>
  </si>
  <si>
    <t xml:space="preserve">AAACCCGCGCCGCGAATGGGTAAA</t>
  </si>
  <si>
    <t xml:space="preserve">AGTCCATTGCTGCGCAGCCA</t>
  </si>
  <si>
    <t xml:space="preserve">TAGTAGTCCATTGCTGCGCAGCCA</t>
  </si>
  <si>
    <t xml:space="preserve">AAACTGGCTGCGCAGCAATGGACT</t>
  </si>
  <si>
    <t xml:space="preserve">CAATGCCAGTGCGACGGCAA</t>
  </si>
  <si>
    <t xml:space="preserve">TAGTCAATGCCAGTGCGACGGCAA</t>
  </si>
  <si>
    <t xml:space="preserve">AAACTTGCCGTCGCACTGGCATTG</t>
  </si>
  <si>
    <t xml:space="preserve">PSPPH_2988</t>
  </si>
  <si>
    <t xml:space="preserve">tolR1</t>
  </si>
  <si>
    <t xml:space="preserve">TTCGGGCCATGTTTGCGTTG</t>
  </si>
  <si>
    <t xml:space="preserve">TAGTTTCGGGCCATGTTTGCGTTG</t>
  </si>
  <si>
    <t xml:space="preserve">AAACCAACGCAAACATGGCCCGAA</t>
  </si>
  <si>
    <t xml:space="preserve">ATAGGGCACGACATTCATTT</t>
  </si>
  <si>
    <t xml:space="preserve">TAGTATAGGGCACGACATTCATTT</t>
  </si>
  <si>
    <t xml:space="preserve">AAACAAATGAATGTCGTGCCCTAT</t>
  </si>
  <si>
    <t xml:space="preserve">TTCACGCCTTGGGTCAGCAT</t>
  </si>
  <si>
    <t xml:space="preserve">TAGTTTCACGCCTTGGGTCAGCAT</t>
  </si>
  <si>
    <t xml:space="preserve">AAACATGCTGACCCAAGGCGTGAA</t>
  </si>
  <si>
    <t xml:space="preserve">AGTGCTTCGCTGGCGACTTT</t>
  </si>
  <si>
    <t xml:space="preserve">TAGTAGTGCTTCGCTGGCGACTTT</t>
  </si>
  <si>
    <t xml:space="preserve">AAACAAAGTCGCCAGCGAAGCACT</t>
  </si>
  <si>
    <t xml:space="preserve">PSPPH_2989</t>
  </si>
  <si>
    <t xml:space="preserve">tolQ1</t>
  </si>
  <si>
    <t xml:space="preserve">GATAGTCATGTGTTCGAGGG</t>
  </si>
  <si>
    <t xml:space="preserve">TAGTGATAGTCATGTGTTCGAGGG</t>
  </si>
  <si>
    <t xml:space="preserve">AAACCCCTCGAACACATGACTATC</t>
  </si>
  <si>
    <t xml:space="preserve">GCAGGCTGGCATCGCTGATC</t>
  </si>
  <si>
    <t xml:space="preserve">TAGTGCAGGCTGGCATCGCTGATC</t>
  </si>
  <si>
    <t xml:space="preserve">AAACGATCAGCGATGCCAGCCTGC</t>
  </si>
  <si>
    <t xml:space="preserve">GAGTAACAGAATCAGCATCA</t>
  </si>
  <si>
    <t xml:space="preserve">TAGTGAGTAACAGAATCAGCATCA</t>
  </si>
  <si>
    <t xml:space="preserve">AAACTGATGCTGATTCTGTTACTC</t>
  </si>
  <si>
    <t xml:space="preserve">CAAGACTGCGCTGGATGATC</t>
  </si>
  <si>
    <t xml:space="preserve">TAGTCAAGACTGCGCTGGATGATC</t>
  </si>
  <si>
    <t xml:space="preserve">AAACGATCATCCAGCGCAGTCTTG</t>
  </si>
  <si>
    <t xml:space="preserve">PSPPH_2990</t>
  </si>
  <si>
    <t xml:space="preserve">AGCGCCAGGCACGCTGGCTT</t>
  </si>
  <si>
    <t xml:space="preserve">TAGTAGCGCCAGGCACGCTGGCTT</t>
  </si>
  <si>
    <t xml:space="preserve">AAACAAGCCAGCGTGCCTGGCGCT</t>
  </si>
  <si>
    <t xml:space="preserve">CGGCGAAGCGTGCGCAGCCC</t>
  </si>
  <si>
    <t xml:space="preserve">TAGTCGGCGAAGCGTGCGCAGCCC</t>
  </si>
  <si>
    <t xml:space="preserve">AAACGGGCTGCGCACGCTTCGCCG</t>
  </si>
  <si>
    <t xml:space="preserve">GTCAGGTTCAGGTCCATCGG</t>
  </si>
  <si>
    <t xml:space="preserve">TAGTGTCAGGTTCAGGTCCATCGG</t>
  </si>
  <si>
    <t xml:space="preserve">AAACCCGATGGACCTGAACCTGAC</t>
  </si>
  <si>
    <t xml:space="preserve">CGGCGGGTGCCGTCACTGCC</t>
  </si>
  <si>
    <t xml:space="preserve">TAGTCGGCGGGTGCCGTCACTGCC</t>
  </si>
  <si>
    <t xml:space="preserve">AAACGGCAGTGACGGCACCCGCCG</t>
  </si>
  <si>
    <t xml:space="preserve">PSPPH_2991</t>
  </si>
  <si>
    <t xml:space="preserve">CTGTAAGCGTTCGCTGGCAA</t>
  </si>
  <si>
    <t xml:space="preserve">TAGTCTGTAAGCGTTCGCTGGCAA</t>
  </si>
  <si>
    <t xml:space="preserve">AAACTTGCCAGCGAACGCTTACAG</t>
  </si>
  <si>
    <t xml:space="preserve">GTGCTCGGTGGTATCGGCTT</t>
  </si>
  <si>
    <t xml:space="preserve">TAGTGTGCTCGGTGGTATCGGCTT</t>
  </si>
  <si>
    <t xml:space="preserve">AAACAAGCCGATACCACCGAGCAC</t>
  </si>
  <si>
    <t xml:space="preserve">CACGACGCTCTTGATGCTGT</t>
  </si>
  <si>
    <t xml:space="preserve">TAGTCACGACGCTCTTGATGCTGT</t>
  </si>
  <si>
    <t xml:space="preserve">AAACACAGCATCAAGAGCGTCGTG</t>
  </si>
  <si>
    <t xml:space="preserve">CGGTAGCTGCGCAACACCGT</t>
  </si>
  <si>
    <t xml:space="preserve">TAGTCGGTAGCTGCGCAACACCGT</t>
  </si>
  <si>
    <t xml:space="preserve">AAACACGGTGTTGCGCAGCTACCG</t>
  </si>
  <si>
    <t xml:space="preserve">PSPPH_2993</t>
  </si>
  <si>
    <t xml:space="preserve">CGAGTTTCCAGTGATGGGGT</t>
  </si>
  <si>
    <t xml:space="preserve">TAGTCGAGTTTCCAGTGATGGGGT</t>
  </si>
  <si>
    <t xml:space="preserve">AAACACCCCATCACTGGAAACTCG</t>
  </si>
  <si>
    <t xml:space="preserve">AAAGGCCAGCAGGCCCAGGT</t>
  </si>
  <si>
    <t xml:space="preserve">TAGTAAAGGCCAGCAGGCCCAGGT</t>
  </si>
  <si>
    <t xml:space="preserve">AAACACCTGGGCCTGCTGGCCTTT</t>
  </si>
  <si>
    <t xml:space="preserve">TGGTGACTCGACCGGCTGGT</t>
  </si>
  <si>
    <t xml:space="preserve">TAGTTGGTGACTCGACCGGCTGGT</t>
  </si>
  <si>
    <t xml:space="preserve">AAACACCAGCCGGTCGAGTCACCA</t>
  </si>
  <si>
    <t xml:space="preserve">GAGGCCTGTCGACAGGTAAT</t>
  </si>
  <si>
    <t xml:space="preserve">TAGTGAGGCCTGTCGACAGGTAAT</t>
  </si>
  <si>
    <t xml:space="preserve">AAACATTACCTGTCGACAGGCCTC</t>
  </si>
  <si>
    <t xml:space="preserve">PSPPH_2994</t>
  </si>
  <si>
    <t xml:space="preserve">CCAGTCACTTTTGAGAGTCA</t>
  </si>
  <si>
    <t xml:space="preserve">TAGTCCAGTCACTTTTGAGAGTCA</t>
  </si>
  <si>
    <t xml:space="preserve">AAACTGACTCTCAAAAGTGACTGG</t>
  </si>
  <si>
    <t xml:space="preserve">GGTAATGGCCGGGGATGAAG</t>
  </si>
  <si>
    <t xml:space="preserve">TAGTGGTAATGGCCGGGGATGAAG</t>
  </si>
  <si>
    <t xml:space="preserve">AAACCTTCATCCCCGGCCATTACC</t>
  </si>
  <si>
    <t xml:space="preserve">GATCAATCAGCGTAGCCGGC</t>
  </si>
  <si>
    <t xml:space="preserve">TAGTGATCAATCAGCGTAGCCGGC</t>
  </si>
  <si>
    <t xml:space="preserve">AAACGCCGGCTACGCTGATTGATC</t>
  </si>
  <si>
    <t xml:space="preserve">GCTGTCGATCCCGCGCGACA</t>
  </si>
  <si>
    <t xml:space="preserve">TAGTGCTGTCGATCCCGCGCGACA</t>
  </si>
  <si>
    <t xml:space="preserve">AAACTGTCGCGCGGGATCGACAGC</t>
  </si>
  <si>
    <t xml:space="preserve">PSPPH_2995</t>
  </si>
  <si>
    <t xml:space="preserve">GCAGGTTATCGTGAATGTCA</t>
  </si>
  <si>
    <t xml:space="preserve">TAGTGCAGGTTATCGTGAATGTCA</t>
  </si>
  <si>
    <t xml:space="preserve">AAACTGACATTCACGATAACCTGC</t>
  </si>
  <si>
    <t xml:space="preserve">CGGCCAGGTGCAGCCCGCTC</t>
  </si>
  <si>
    <t xml:space="preserve">TAGTCGGCCAGGTGCAGCCCGCTC</t>
  </si>
  <si>
    <t xml:space="preserve">AAACGAGCGGGCTGCACCTGGCCG</t>
  </si>
  <si>
    <t xml:space="preserve">TGCATCGAAGCGCTTCGAGG</t>
  </si>
  <si>
    <t xml:space="preserve">TAGTTGCATCGAAGCGCTTCGAGG</t>
  </si>
  <si>
    <t xml:space="preserve">AAACCCTCGAAGCGCTTCGATGCA</t>
  </si>
  <si>
    <t xml:space="preserve">TGCCCGGCAGCATGATGTCA</t>
  </si>
  <si>
    <t xml:space="preserve">TAGTTGCCCGGCAGCATGATGTCA</t>
  </si>
  <si>
    <t xml:space="preserve">AAACTGACATCATGCTGCCGGGCA</t>
  </si>
  <si>
    <t xml:space="preserve">PSPPH_2996</t>
  </si>
  <si>
    <t xml:space="preserve">ACTGTAGGTCAATACTGGTC</t>
  </si>
  <si>
    <t xml:space="preserve">TAGTACTGTAGGTCAATACTGGTC</t>
  </si>
  <si>
    <t xml:space="preserve">AAACGACCAGTATTGACCTACAGT</t>
  </si>
  <si>
    <t xml:space="preserve">CGGCTGCCGAATCAAAAAAC</t>
  </si>
  <si>
    <t xml:space="preserve">TAGTCGGCTGCCGAATCAAAAAAC</t>
  </si>
  <si>
    <t xml:space="preserve">AAACGTTTTTTGATTCGGCAGCCG</t>
  </si>
  <si>
    <t xml:space="preserve">CTGCCCGATGGGAAATACAC</t>
  </si>
  <si>
    <t xml:space="preserve">TAGTCTGCCCGATGGGAAATACAC</t>
  </si>
  <si>
    <t xml:space="preserve">AAACGTGTATTTCCCATCGGGCAG</t>
  </si>
  <si>
    <t xml:space="preserve">TCGCGCCCACTTGTGCGTGA</t>
  </si>
  <si>
    <t xml:space="preserve">TAGTTCGCGCCCACTTGTGCGTGA</t>
  </si>
  <si>
    <t xml:space="preserve">AAACTCACGCACAAGTGGGCGCGA</t>
  </si>
  <si>
    <t xml:space="preserve">PSPPH_2997</t>
  </si>
  <si>
    <t xml:space="preserve">GCGCTGCTGAATGCCCGAAT</t>
  </si>
  <si>
    <t xml:space="preserve">TAGTGCGCTGCTGAATGCCCGAAT</t>
  </si>
  <si>
    <t xml:space="preserve">AAACATTCGGGCATTCAGCAGCGC</t>
  </si>
  <si>
    <t xml:space="preserve">CGATGTGCTGATGCACTTTG</t>
  </si>
  <si>
    <t xml:space="preserve">TAGTCGATGTGCTGATGCACTTTG</t>
  </si>
  <si>
    <t xml:space="preserve">AAACCAAAGTGCATCAGCACATCG</t>
  </si>
  <si>
    <t xml:space="preserve">TGAGAACGCCGTATAAAACC</t>
  </si>
  <si>
    <t xml:space="preserve">TAGTTGAGAACGCCGTATAAAACC</t>
  </si>
  <si>
    <t xml:space="preserve">AAACGGTTTTATACGGCGTTCTCA</t>
  </si>
  <si>
    <t xml:space="preserve">CGCGAAGACCGGAAACCTTC</t>
  </si>
  <si>
    <t xml:space="preserve">TAGTCGCGAAGACCGGAAACCTTC</t>
  </si>
  <si>
    <t xml:space="preserve">AAACGAAGGTTTCCGGTCTTCGCG</t>
  </si>
  <si>
    <t xml:space="preserve">PSPPH_2998</t>
  </si>
  <si>
    <t xml:space="preserve">CACAGCGCGGCGTGAAGGGA</t>
  </si>
  <si>
    <t xml:space="preserve">TAGTCACAGCGCGGCGTGAAGGGA</t>
  </si>
  <si>
    <t xml:space="preserve">AAACTCCCTTCACGCCGCGCTGTG</t>
  </si>
  <si>
    <t xml:space="preserve">CGGTTTTTCTTCGCCTGGAT</t>
  </si>
  <si>
    <t xml:space="preserve">TAGTCGGTTTTTCTTCGCCTGGAT</t>
  </si>
  <si>
    <t xml:space="preserve">AAACATCCAGGCGAAGAAAAACCG</t>
  </si>
  <si>
    <t xml:space="preserve">CGCAGCATGGCCATTTTGAC</t>
  </si>
  <si>
    <t xml:space="preserve">TAGTCGCAGCATGGCCATTTTGAC</t>
  </si>
  <si>
    <t xml:space="preserve">AAACGTCAAAATGGCCATGCTGCG</t>
  </si>
  <si>
    <t xml:space="preserve">TCCTTCGCTGCCCTCGTCAC</t>
  </si>
  <si>
    <t xml:space="preserve">TAGTTCCTTCGCTGCCCTCGTCAC</t>
  </si>
  <si>
    <t xml:space="preserve">AAACGTGACGAGGGCAGCGAAGGA</t>
  </si>
  <si>
    <t xml:space="preserve">PSPPH_2999</t>
  </si>
  <si>
    <t xml:space="preserve">CGCTTGAGCCAGAGCTTCAT</t>
  </si>
  <si>
    <t xml:space="preserve">TAGTCGCTTGAGCCAGAGCTTCAT</t>
  </si>
  <si>
    <t xml:space="preserve">AAACATGAAGCTCTGGCTCAAGCG</t>
  </si>
  <si>
    <t xml:space="preserve">CGAGGCATAGCAGCCAGGGC</t>
  </si>
  <si>
    <t xml:space="preserve">TAGTCGAGGCATAGCAGCCAGGGC</t>
  </si>
  <si>
    <t xml:space="preserve">AAACGCCCTGGCTGCTATGCCTCG</t>
  </si>
  <si>
    <t xml:space="preserve">GTGCACGAGTGTCGCCGTCA</t>
  </si>
  <si>
    <t xml:space="preserve">TAGTGTGCACGAGTGTCGCCGTCA</t>
  </si>
  <si>
    <t xml:space="preserve">AAACTGACGGCGACACTCGTGCAC</t>
  </si>
  <si>
    <t xml:space="preserve">ACCGCGCGCCAGAGCGGGCG</t>
  </si>
  <si>
    <t xml:space="preserve">TAGTACCGCGCGCCAGAGCGGGCG</t>
  </si>
  <si>
    <t xml:space="preserve">AAACCGCCCGCTCTGGCGCGCGGT</t>
  </si>
  <si>
    <t xml:space="preserve">PSPPH_3000</t>
  </si>
  <si>
    <t xml:space="preserve">TGAAATTGATGCACTCGACA</t>
  </si>
  <si>
    <t xml:space="preserve">TAGTTGAAATTGATGCACTCGACA</t>
  </si>
  <si>
    <t xml:space="preserve">AAACTGTCGAGTGCATCAATTTCA</t>
  </si>
  <si>
    <t xml:space="preserve">TCCGCTGCGACGGGTACCGT</t>
  </si>
  <si>
    <t xml:space="preserve">TAGTTCCGCTGCGACGGGTACCGT</t>
  </si>
  <si>
    <t xml:space="preserve">AAACACGGTACCCGTCGCAGCGGA</t>
  </si>
  <si>
    <t xml:space="preserve">GAGCAACAGCAGGCCGAACA</t>
  </si>
  <si>
    <t xml:space="preserve">TAGTGAGCAACAGCAGGCCGAACA</t>
  </si>
  <si>
    <t xml:space="preserve">AAACTGTTCGGCCTGCTGTTGCTC</t>
  </si>
  <si>
    <t xml:space="preserve">CCGGGTCCAGCGGCATGACC</t>
  </si>
  <si>
    <t xml:space="preserve">TAGTCCGGGTCCAGCGGCATGACC</t>
  </si>
  <si>
    <t xml:space="preserve">AAACGGTCATGCCGCTGGACCCGG</t>
  </si>
  <si>
    <t xml:space="preserve">PSPPH_3001</t>
  </si>
  <si>
    <t xml:space="preserve">CATCAGGCGCGCACTGCTGG</t>
  </si>
  <si>
    <t xml:space="preserve">TAGTCATCAGGCGCGCACTGCTGG</t>
  </si>
  <si>
    <t xml:space="preserve">AAACCCAGCAGTGCGCGCCTGATG</t>
  </si>
  <si>
    <t xml:space="preserve">TCAGCCCCGCCAGCGTCATC</t>
  </si>
  <si>
    <t xml:space="preserve">TAGTTCAGCCCCGCCAGCGTCATC</t>
  </si>
  <si>
    <t xml:space="preserve">AAACGATGACGCTGGCGGGGCTGA</t>
  </si>
  <si>
    <t xml:space="preserve">GGGTCATGAGTTGCGATCCA</t>
  </si>
  <si>
    <t xml:space="preserve">TAGTGGGTCATGAGTTGCGATCCA</t>
  </si>
  <si>
    <t xml:space="preserve">AAACTGGATCGCAACTCATGACCC</t>
  </si>
  <si>
    <t xml:space="preserve">CCGACAGGTCCTGAGCCAGC</t>
  </si>
  <si>
    <t xml:space="preserve">TAGTCCGACAGGTCCTGAGCCAGC</t>
  </si>
  <si>
    <t xml:space="preserve">AAACGCTGGCTCAGGACCTGTCGG</t>
  </si>
  <si>
    <t xml:space="preserve">PSPPH_3002</t>
  </si>
  <si>
    <t xml:space="preserve">TGGCATGGCTGTGTGTGACA</t>
  </si>
  <si>
    <t xml:space="preserve">TAGTTGGCATGGCTGTGTGTGACA</t>
  </si>
  <si>
    <t xml:space="preserve">AAACTGTCACACACAGCCATGCCA</t>
  </si>
  <si>
    <t xml:space="preserve">TCTACTGCAAGCTTTATCTG</t>
  </si>
  <si>
    <t xml:space="preserve">TAGTTCTACTGCAAGCTTTATCTG</t>
  </si>
  <si>
    <t xml:space="preserve">AAACCAGATAAAGCTTGCAGTAGA</t>
  </si>
  <si>
    <t xml:space="preserve">GCTGAATGACACGTCGCGAA</t>
  </si>
  <si>
    <t xml:space="preserve">TAGTGCTGAATGACACGTCGCGAA</t>
  </si>
  <si>
    <t xml:space="preserve">AAACTTCGCGACGTGTCATTCAGC</t>
  </si>
  <si>
    <t xml:space="preserve">TCGCCAGCTTTTCCCGGCCA</t>
  </si>
  <si>
    <t xml:space="preserve">TAGTTCGCCAGCTTTTCCCGGCCA</t>
  </si>
  <si>
    <t xml:space="preserve">AAACTGGCCGGGAAAAGCTGGCGA</t>
  </si>
  <si>
    <t xml:space="preserve">PSPPH_3003</t>
  </si>
  <si>
    <t xml:space="preserve">GTCAGAGAGATCAGTGCGAG</t>
  </si>
  <si>
    <t xml:space="preserve">TAGTGTCAGAGAGATCAGTGCGAG</t>
  </si>
  <si>
    <t xml:space="preserve">AAACCTCGCACTGATCTCTCTGAC</t>
  </si>
  <si>
    <t xml:space="preserve">CGGCATGCGCCCAGGCGCCG</t>
  </si>
  <si>
    <t xml:space="preserve">TAGTCGGCATGCGCCCAGGCGCCG</t>
  </si>
  <si>
    <t xml:space="preserve">AAACCGGCGCCTGGGCGCATGCCG</t>
  </si>
  <si>
    <t xml:space="preserve">GTAGTTGATGTACGCGCTAT</t>
  </si>
  <si>
    <t xml:space="preserve">TAGTGTAGTTGATGTACGCGCTAT</t>
  </si>
  <si>
    <t xml:space="preserve">AAACATAGCGCGTACATCAACTAC</t>
  </si>
  <si>
    <t xml:space="preserve">TGCTTTCTGCATATTGGTGA</t>
  </si>
  <si>
    <t xml:space="preserve">TAGTTGCTTTCTGCATATTGGTGA</t>
  </si>
  <si>
    <t xml:space="preserve">AAACTCACCAATATGCAGAAAGCA</t>
  </si>
  <si>
    <t xml:space="preserve">PSPPH_3004</t>
  </si>
  <si>
    <t xml:space="preserve">TCTGTCCGATACGCGAGTAT</t>
  </si>
  <si>
    <t xml:space="preserve">TAGTTCTGTCCGATACGCGAGTAT</t>
  </si>
  <si>
    <t xml:space="preserve">AAACATACTCGCGTATCGGACAGA</t>
  </si>
  <si>
    <t xml:space="preserve">GCGTCGATGGTTCTTTTGCG</t>
  </si>
  <si>
    <t xml:space="preserve">TAGTGCGTCGATGGTTCTTTTGCG</t>
  </si>
  <si>
    <t xml:space="preserve">AAACCGCAAAAGAACCATCGACGC</t>
  </si>
  <si>
    <t xml:space="preserve">GGTCGACCAGGGTTTCTGCC</t>
  </si>
  <si>
    <t xml:space="preserve">TAGTGGTCGACCAGGGTTTCTGCC</t>
  </si>
  <si>
    <t xml:space="preserve">AAACGGCAGAAACCCTGGTCGACC</t>
  </si>
  <si>
    <t xml:space="preserve">CACGCATGCGCTGGGCGAAG</t>
  </si>
  <si>
    <t xml:space="preserve">TAGTCACGCATGCGCTGGGCGAAG</t>
  </si>
  <si>
    <t xml:space="preserve">AAACCTTCGCCCAGCGCATGCGTG</t>
  </si>
  <si>
    <t xml:space="preserve">PSPPH_3005</t>
  </si>
  <si>
    <t xml:space="preserve">GCTGAGTATAACCGTACTCA</t>
  </si>
  <si>
    <t xml:space="preserve">TAGTGCTGAGTATAACCGTACTCA</t>
  </si>
  <si>
    <t xml:space="preserve">AAACTGAGTACGGTTATACTCAGC</t>
  </si>
  <si>
    <t xml:space="preserve">GTGACCGGGTCCGTGTCGGG</t>
  </si>
  <si>
    <t xml:space="preserve">TAGTGTGACCGGGTCCGTGTCGGG</t>
  </si>
  <si>
    <t xml:space="preserve">AAACCCCGACACGGACCCGGTCAC</t>
  </si>
  <si>
    <t xml:space="preserve">GTGGAAGGTTGTTCCATGGC</t>
  </si>
  <si>
    <t xml:space="preserve">TAGTGTGGAAGGTTGTTCCATGGC</t>
  </si>
  <si>
    <t xml:space="preserve">AAACGCCATGGAACAACCTTCCAC</t>
  </si>
  <si>
    <t xml:space="preserve">GCTGAGTCAGGCTGGAGCGA</t>
  </si>
  <si>
    <t xml:space="preserve">TAGTGCTGAGTCAGGCTGGAGCGA</t>
  </si>
  <si>
    <t xml:space="preserve">AAACTCGCTCCAGCCTGACTCAGC</t>
  </si>
  <si>
    <t xml:space="preserve">PSPPH_3006</t>
  </si>
  <si>
    <t xml:space="preserve">AGGTCGGCAGGTCTCCTGAC</t>
  </si>
  <si>
    <t xml:space="preserve">TAGTAGGTCGGCAGGTCTCCTGAC</t>
  </si>
  <si>
    <t xml:space="preserve">AAACGTCAGGAGACCTGCCGACCT</t>
  </si>
  <si>
    <t xml:space="preserve">GCCGGTTAGTGGGTTGAAGC</t>
  </si>
  <si>
    <t xml:space="preserve">TAGTGCCGGTTAGTGGGTTGAAGC</t>
  </si>
  <si>
    <t xml:space="preserve">AAACGCTTCAACCCACTAACCGGC</t>
  </si>
  <si>
    <t xml:space="preserve">CCGCGTGCGGATGTCCTTCC</t>
  </si>
  <si>
    <t xml:space="preserve">TAGTCCGCGTGCGGATGTCCTTCC</t>
  </si>
  <si>
    <t xml:space="preserve">AAACGGAAGGACATCCGCACGCGG</t>
  </si>
  <si>
    <t xml:space="preserve">GGCAAATGACCGGGCACGAC</t>
  </si>
  <si>
    <t xml:space="preserve">TAGTGGCAAATGACCGGGCACGAC</t>
  </si>
  <si>
    <t xml:space="preserve">AAACGTCGTGCCCGGTCATTTGCC</t>
  </si>
  <si>
    <t xml:space="preserve">PSPPH_3007</t>
  </si>
  <si>
    <t xml:space="preserve">CTGCCGAGACCCAGAGCACA</t>
  </si>
  <si>
    <t xml:space="preserve">TAGTCTGCCGAGACCCAGAGCACA</t>
  </si>
  <si>
    <t xml:space="preserve">AAACTGTGCTCTGGGTCTCGGCAG</t>
  </si>
  <si>
    <t xml:space="preserve">AACCACCTTCAGGCTGATCG</t>
  </si>
  <si>
    <t xml:space="preserve">TAGTAACCACCTTCAGGCTGATCG</t>
  </si>
  <si>
    <t xml:space="preserve">AAACCGATCAGCCTGAAGGTGGTT</t>
  </si>
  <si>
    <t xml:space="preserve">GCCGGCAGCCCAGAGTTTGT</t>
  </si>
  <si>
    <t xml:space="preserve">TAGTGCCGGCAGCCCAGAGTTTGT</t>
  </si>
  <si>
    <t xml:space="preserve">AAACACAAACTCTGGGCTGCCGGC</t>
  </si>
  <si>
    <t xml:space="preserve">AGACGATGCCTTCGTCGATA</t>
  </si>
  <si>
    <t xml:space="preserve">TAGTAGACGATGCCTTCGTCGATA</t>
  </si>
  <si>
    <t xml:space="preserve">AAACTATCGACGAAGGCATCGTCT</t>
  </si>
  <si>
    <t xml:space="preserve">PSPPH_3008</t>
  </si>
  <si>
    <t xml:space="preserve">TGCGTTGACCAGATGAGGAA</t>
  </si>
  <si>
    <t xml:space="preserve">TAGTTGCGTTGACCAGATGAGGAA</t>
  </si>
  <si>
    <t xml:space="preserve">AAACTTCCTCATCTGGTCAACGCA</t>
  </si>
  <si>
    <t xml:space="preserve">ACGCACCGAATAACCCAGCC</t>
  </si>
  <si>
    <t xml:space="preserve">TAGTACGCACCGAATAACCCAGCC</t>
  </si>
  <si>
    <t xml:space="preserve">AAACGGCTGGGTTATTCGGTGCGT</t>
  </si>
  <si>
    <t xml:space="preserve">GACCACGGCCAGTGTCTCGC</t>
  </si>
  <si>
    <t xml:space="preserve">TAGTGACCACGGCCAGTGTCTCGC</t>
  </si>
  <si>
    <t xml:space="preserve">AAACGCGAGACACTGGCCGTGGTC</t>
  </si>
  <si>
    <t xml:space="preserve">TGGATTTTCCCGAACCGTTA</t>
  </si>
  <si>
    <t xml:space="preserve">TAGTTGGATTTTCCCGAACCGTTA</t>
  </si>
  <si>
    <t xml:space="preserve">AAACTAACGGTTCGGGAAAATCCA</t>
  </si>
  <si>
    <t xml:space="preserve">PSPPH_3009</t>
  </si>
  <si>
    <t xml:space="preserve">TCAGGCGACCGGCTGACCAT</t>
  </si>
  <si>
    <t xml:space="preserve">TAGTTCAGGCGACCGGCTGACCAT</t>
  </si>
  <si>
    <t xml:space="preserve">AAACATGGTCAGCCGGTCGCCTGA</t>
  </si>
  <si>
    <t xml:space="preserve">TTGTAGTGCTACAGGCCGCG</t>
  </si>
  <si>
    <t xml:space="preserve">TAGTTTGTAGTGCTACAGGCCGCG</t>
  </si>
  <si>
    <t xml:space="preserve">AAACCGCGGCCTGTAGCACTACAA</t>
  </si>
  <si>
    <t xml:space="preserve">TGGCAACGGGATCCTGCGGC</t>
  </si>
  <si>
    <t xml:space="preserve">TAGTTGGCAACGGGATCCTGCGGC</t>
  </si>
  <si>
    <t xml:space="preserve">AAACGCCGCAGGATCCCGTTGCCA</t>
  </si>
  <si>
    <t xml:space="preserve">GTGGTGCTTGGGTAACGACA</t>
  </si>
  <si>
    <t xml:space="preserve">TAGTGTGGTGCTTGGGTAACGACA</t>
  </si>
  <si>
    <t xml:space="preserve">AAACTGTCGTTACCCAAGCACCAC</t>
  </si>
  <si>
    <t xml:space="preserve">PSPPH_3010</t>
  </si>
  <si>
    <t xml:space="preserve">TAACTATAGAGCAGGCGGCG</t>
  </si>
  <si>
    <t xml:space="preserve">TAGTTAACTATAGAGCAGGCGGCG</t>
  </si>
  <si>
    <t xml:space="preserve">AAACCGCCGCCTGCTCTATAGTTA</t>
  </si>
  <si>
    <t xml:space="preserve">GAGATGGGCTTTTGGACGCA</t>
  </si>
  <si>
    <t xml:space="preserve">TAGTGAGATGGGCTTTTGGACGCA</t>
  </si>
  <si>
    <t xml:space="preserve">AAACTGCGTCCAAAAGCCCATCTC</t>
  </si>
  <si>
    <t xml:space="preserve">GACTTATTGGGGGAATTGCA</t>
  </si>
  <si>
    <t xml:space="preserve">TAGTGACTTATTGGGGGAATTGCA</t>
  </si>
  <si>
    <t xml:space="preserve">AAACTGCAATTCCCCCAATAAGTC</t>
  </si>
  <si>
    <t xml:space="preserve">AATAGTGATGTTCATGAGCA</t>
  </si>
  <si>
    <t xml:space="preserve">TAGTAATAGTGATGTTCATGAGCA</t>
  </si>
  <si>
    <t xml:space="preserve">AAACTGCTCATGAACATCACTATT</t>
  </si>
  <si>
    <t xml:space="preserve">PSPPH_3012</t>
  </si>
  <si>
    <t xml:space="preserve">nirD</t>
  </si>
  <si>
    <t xml:space="preserve">TTCGCCCGCCAATACGGTGT</t>
  </si>
  <si>
    <t xml:space="preserve">TAGTTTCGCCCGCCAATACGGTGT</t>
  </si>
  <si>
    <t xml:space="preserve">AAACACACCGTATTGGCGGGCGAA</t>
  </si>
  <si>
    <t xml:space="preserve">GTGCAGTTGCAGTGCAGAAT</t>
  </si>
  <si>
    <t xml:space="preserve">TAGTGTGCAGTTGCAGTGCAGAAT</t>
  </si>
  <si>
    <t xml:space="preserve">AAACATTCTGCACTGCAACTGCAC</t>
  </si>
  <si>
    <t xml:space="preserve">CAGATCCTTGCGTCCGCACA</t>
  </si>
  <si>
    <t xml:space="preserve">TAGTCAGATCCTTGCGTCCGCACA</t>
  </si>
  <si>
    <t xml:space="preserve">AAACTGTGCGGACGCAAGGATCTG</t>
  </si>
  <si>
    <t xml:space="preserve">CCACGCTACCACGCCGGAGT</t>
  </si>
  <si>
    <t xml:space="preserve">TAGTCCACGCTACCACGCCGGAGT</t>
  </si>
  <si>
    <t xml:space="preserve">AAACACTCCGGCGTGGTAGCGTGG</t>
  </si>
  <si>
    <t xml:space="preserve">PSPPH_3013</t>
  </si>
  <si>
    <t xml:space="preserve">CGTCAACGACATCAACATGC</t>
  </si>
  <si>
    <t xml:space="preserve">TAGTCGTCAACGACATCAACATGC</t>
  </si>
  <si>
    <t xml:space="preserve">AAACGCATGTTGATGTCGTTGACG</t>
  </si>
  <si>
    <t xml:space="preserve">TCCAGTTGCTGGCCATAACC</t>
  </si>
  <si>
    <t xml:space="preserve">TAGTTCCAGTTGCTGGCCATAACC</t>
  </si>
  <si>
    <t xml:space="preserve">AAACGGTTATGGCCAGCAACTGGA</t>
  </si>
  <si>
    <t xml:space="preserve">TGAATTTGTGCAGCGCGTGG</t>
  </si>
  <si>
    <t xml:space="preserve">TAGTTGAATTTGTGCAGCGCGTGG</t>
  </si>
  <si>
    <t xml:space="preserve">AAACCCACGCGCTGCACAAATTCA</t>
  </si>
  <si>
    <t xml:space="preserve">CATTTCCAGCGTCTGGCCCT</t>
  </si>
  <si>
    <t xml:space="preserve">TAGTCATTTCCAGCGTCTGGCCCT</t>
  </si>
  <si>
    <t xml:space="preserve">AAACAGGGCCAGACGCTGGAAATG</t>
  </si>
  <si>
    <t xml:space="preserve">PSPPH_3014</t>
  </si>
  <si>
    <t xml:space="preserve">GACCACCATCAGGTTGATGT</t>
  </si>
  <si>
    <t xml:space="preserve">TAGTGACCACCATCAGGTTGATGT</t>
  </si>
  <si>
    <t xml:space="preserve">AAACACATCAACCTGATGGTGGTC</t>
  </si>
  <si>
    <t xml:space="preserve">AAACAGCTTTTCGGCTGCCC</t>
  </si>
  <si>
    <t xml:space="preserve">TAGTAAACAGCTTTTCGGCTGCCC</t>
  </si>
  <si>
    <t xml:space="preserve">AAACGGGCAGCCGAAAAGCTGTTT</t>
  </si>
  <si>
    <t xml:space="preserve">GTGCGGCGCTTATCGTGGGT</t>
  </si>
  <si>
    <t xml:space="preserve">TAGTGTGCGGCGCTTATCGTGGGT</t>
  </si>
  <si>
    <t xml:space="preserve">AAACACCCACGATAAGCGCCGCAC</t>
  </si>
  <si>
    <t xml:space="preserve">TGAACAACGGGTCATTGAGC</t>
  </si>
  <si>
    <t xml:space="preserve">TAGTTGAACAACGGGTCATTGAGC</t>
  </si>
  <si>
    <t xml:space="preserve">AAACGCTCAATGACCCGTTGTTCA</t>
  </si>
  <si>
    <t xml:space="preserve">PSPPH_3015</t>
  </si>
  <si>
    <t xml:space="preserve">pstB1</t>
  </si>
  <si>
    <t xml:space="preserve">TCTTTTCGTTGGCCAGGGAA</t>
  </si>
  <si>
    <t xml:space="preserve">TAGTTCTTTTCGTTGGCCAGGGAA</t>
  </si>
  <si>
    <t xml:space="preserve">AAACTTCCCTGGCCAACGAAAAGA</t>
  </si>
  <si>
    <t xml:space="preserve">CAAACCGCGCACTTGGATCT</t>
  </si>
  <si>
    <t xml:space="preserve">TAGTCAAACCGCGCACTTGGATCT</t>
  </si>
  <si>
    <t xml:space="preserve">AAACAGATCCAAGTGCGCGGTTTG</t>
  </si>
  <si>
    <t xml:space="preserve">CGATGGACTTCAACGACTTC</t>
  </si>
  <si>
    <t xml:space="preserve">TAGTCGATGGACTTCAACGACTTC</t>
  </si>
  <si>
    <t xml:space="preserve">AAACGAAGTCGTTGAAGTCCATCG</t>
  </si>
  <si>
    <t xml:space="preserve">AGTGATGCGCTTCTCGGGGA</t>
  </si>
  <si>
    <t xml:space="preserve">TAGTAGTGATGCGCTTCTCGGGGA</t>
  </si>
  <si>
    <t xml:space="preserve">AAACTCCCCGAGAAGCGCATCACT</t>
  </si>
  <si>
    <t xml:space="preserve">PSPPH_3016</t>
  </si>
  <si>
    <t xml:space="preserve">pstA</t>
  </si>
  <si>
    <t xml:space="preserve">TGATGCTGCGAACCCGATAC</t>
  </si>
  <si>
    <t xml:space="preserve">TAGTTGATGCTGCGAACCCGATAC</t>
  </si>
  <si>
    <t xml:space="preserve">AAACGTATCGGGTTCGCAGCATCA</t>
  </si>
  <si>
    <t xml:space="preserve">CCACAGCAGGCCGAAGGCAG</t>
  </si>
  <si>
    <t xml:space="preserve">TAGTCCACAGCAGGCCGAAGGCAG</t>
  </si>
  <si>
    <t xml:space="preserve">AAACCTGCCTTCGGCCTGCTGTGG</t>
  </si>
  <si>
    <t xml:space="preserve">GTCGATACCCTTGATGATGG</t>
  </si>
  <si>
    <t xml:space="preserve">TAGTGTCGATACCCTTGATGATGG</t>
  </si>
  <si>
    <t xml:space="preserve">AAACCCATCATCAAGGGTATCGAC</t>
  </si>
  <si>
    <t xml:space="preserve">TCATACCGGTGAACAACTGC</t>
  </si>
  <si>
    <t xml:space="preserve">TAGTTCATACCGGTGAACAACTGC</t>
  </si>
  <si>
    <t xml:space="preserve">AAACGCAGTTGTTCACCGGTATGA</t>
  </si>
  <si>
    <t xml:space="preserve">PSPPH_3017</t>
  </si>
  <si>
    <t xml:space="preserve">pstC</t>
  </si>
  <si>
    <t xml:space="preserve">GACGTTAGCGGACAGGTATT</t>
  </si>
  <si>
    <t xml:space="preserve">TAGTGACGTTAGCGGACAGGTATT</t>
  </si>
  <si>
    <t xml:space="preserve">AAACAATACCTGTCCGCTAACGTC</t>
  </si>
  <si>
    <t xml:space="preserve">CTCGCCCTCGGACTCACCAG</t>
  </si>
  <si>
    <t xml:space="preserve">TAGTCTCGCCCTCGGACTCACCAG</t>
  </si>
  <si>
    <t xml:space="preserve">AAACCTGGTGAGTCCGAGGGCGAG</t>
  </si>
  <si>
    <t xml:space="preserve">GTCATGACGATGATCCCGTT</t>
  </si>
  <si>
    <t xml:space="preserve">TAGTGTCATGACGATGATCCCGTT</t>
  </si>
  <si>
    <t xml:space="preserve">AAACAACGGGATCATCGTCATGAC</t>
  </si>
  <si>
    <t xml:space="preserve">GCAATGAACGCTTGAACCAC</t>
  </si>
  <si>
    <t xml:space="preserve">TAGTGCAATGAACGCTTGAACCAC</t>
  </si>
  <si>
    <t xml:space="preserve">AAACGTGGTTCAAGCGTTCATTGC</t>
  </si>
  <si>
    <t xml:space="preserve">PSPPH_3018</t>
  </si>
  <si>
    <t xml:space="preserve">pstS</t>
  </si>
  <si>
    <t xml:space="preserve">TTTTTTAGTCAGCAGTATCA</t>
  </si>
  <si>
    <t xml:space="preserve">TAGTTTTTTTAGTCAGCAGTATCA</t>
  </si>
  <si>
    <t xml:space="preserve">AAACTGATACTGCTGACTAAAAAA</t>
  </si>
  <si>
    <t xml:space="preserve">TCGCATGGGCCACACCGCTG</t>
  </si>
  <si>
    <t xml:space="preserve">TAGTTCGCATGGGCCACACCGCTG</t>
  </si>
  <si>
    <t xml:space="preserve">AAACCAGCGGTGTGGCCCATGCGA</t>
  </si>
  <si>
    <t xml:space="preserve">GGGACCACGCTGAAATAACC</t>
  </si>
  <si>
    <t xml:space="preserve">TAGTGGGACCACGCTGAAATAACC</t>
  </si>
  <si>
    <t xml:space="preserve">AAACGGTTATTTCAGCGTGGTCCC</t>
  </si>
  <si>
    <t xml:space="preserve">CTTGGTTTTGCTGTAGTCCT</t>
  </si>
  <si>
    <t xml:space="preserve">TAGTCTTGGTTTTGCTGTAGTCCT</t>
  </si>
  <si>
    <t xml:space="preserve">AAACAGGACTACAGCAAAACCAAG</t>
  </si>
  <si>
    <t xml:space="preserve">PSPPH_3019</t>
  </si>
  <si>
    <t xml:space="preserve">CAGGGTGAGGGCAGTCAGTT</t>
  </si>
  <si>
    <t xml:space="preserve">TAGTCAGGGTGAGGGCAGTCAGTT</t>
  </si>
  <si>
    <t xml:space="preserve">AAACAACTGACTGCCCTCACCCTG</t>
  </si>
  <si>
    <t xml:space="preserve">CACCCGAAGCGACGGCCATC</t>
  </si>
  <si>
    <t xml:space="preserve">TAGTCACCCGAAGCGACGGCCATC</t>
  </si>
  <si>
    <t xml:space="preserve">AAACGATGGCCGTCGCTTCGGGTG</t>
  </si>
  <si>
    <t xml:space="preserve">GCTGGTGGTCGATTCGGCAA</t>
  </si>
  <si>
    <t xml:space="preserve">TAGTGCTGGTGGTCGATTCGGCAA</t>
  </si>
  <si>
    <t xml:space="preserve">AAACTTGCCGAATCGACCACCAGC</t>
  </si>
  <si>
    <t xml:space="preserve">TTGGTCGCATTCTTGTTGAT</t>
  </si>
  <si>
    <t xml:space="preserve">TAGTTTGGTCGCATTCTTGTTGAT</t>
  </si>
  <si>
    <t xml:space="preserve">AAACATCAACAAGAATGCGACCAA</t>
  </si>
  <si>
    <t xml:space="preserve">PSPPH_3020</t>
  </si>
  <si>
    <t xml:space="preserve">GTCGAGAGGAGCAGTATTCA</t>
  </si>
  <si>
    <t xml:space="preserve">TAGTGTCGAGAGGAGCAGTATTCA</t>
  </si>
  <si>
    <t xml:space="preserve">AAACTGAATACTGCTCCTCTCGAC</t>
  </si>
  <si>
    <t xml:space="preserve">AAGTTTTCCAGGTAATAGAA</t>
  </si>
  <si>
    <t xml:space="preserve">TAGTAAGTTTTCCAGGTAATAGAA</t>
  </si>
  <si>
    <t xml:space="preserve">AAACTTCTATTACCTGGAAAACTT</t>
  </si>
  <si>
    <t xml:space="preserve">CAATCCAGGCAAGGACCTGC</t>
  </si>
  <si>
    <t xml:space="preserve">TAGTCAATCCAGGCAAGGACCTGC</t>
  </si>
  <si>
    <t xml:space="preserve">AAACGCAGGTCCTTGCCTGGATTG</t>
  </si>
  <si>
    <t xml:space="preserve">GAGCAGGTCGTCGTAGCGCA</t>
  </si>
  <si>
    <t xml:space="preserve">TAGTGAGCAGGTCGTCGTAGCGCA</t>
  </si>
  <si>
    <t xml:space="preserve">AAACTGCGCTACGACGACCTGCTC</t>
  </si>
  <si>
    <t xml:space="preserve">PSPPH_3021</t>
  </si>
  <si>
    <t xml:space="preserve">AAGCCTGCGAGATAAACCAG</t>
  </si>
  <si>
    <t xml:space="preserve">TAGTAAGCCTGCGAGATAAACCAG</t>
  </si>
  <si>
    <t xml:space="preserve">AAACCTGGTTTATCTCGCAGGCTT</t>
  </si>
  <si>
    <t xml:space="preserve">CGTACTCGACGGCGTCTGGC</t>
  </si>
  <si>
    <t xml:space="preserve">TAGTCGTACTCGACGGCGTCTGGC</t>
  </si>
  <si>
    <t xml:space="preserve">AAACGCCAGACGCCGTCGAGTACG</t>
  </si>
  <si>
    <t xml:space="preserve">GTGCCGAGCATAACGCCTTG</t>
  </si>
  <si>
    <t xml:space="preserve">TAGTGTGCCGAGCATAACGCCTTG</t>
  </si>
  <si>
    <t xml:space="preserve">AAACCAAGGCGTTATGCTCGGCAC</t>
  </si>
  <si>
    <t xml:space="preserve">GCGTCACTTCATTGTCGAAG</t>
  </si>
  <si>
    <t xml:space="preserve">TAGTGCGTCACTTCATTGTCGAAG</t>
  </si>
  <si>
    <t xml:space="preserve">AAACCTTCGACAATGAAGTGACGC</t>
  </si>
  <si>
    <t xml:space="preserve">PSPPH_3022</t>
  </si>
  <si>
    <t xml:space="preserve">CAAAATAAGTGAGATCGCGC</t>
  </si>
  <si>
    <t xml:space="preserve">TAGTCAAAATAAGTGAGATCGCGC</t>
  </si>
  <si>
    <t xml:space="preserve">AAACGCGCGATCTCACTTATTTTG</t>
  </si>
  <si>
    <t xml:space="preserve">GAGGTGGCCCAGTTCGGCAA</t>
  </si>
  <si>
    <t xml:space="preserve">TAGTGAGGTGGCCCAGTTCGGCAA</t>
  </si>
  <si>
    <t xml:space="preserve">AAACTTGCCGAACTGGGCCACCTC</t>
  </si>
  <si>
    <t xml:space="preserve">ACTGCGATTGAGCTTTTCTG</t>
  </si>
  <si>
    <t xml:space="preserve">TAGTACTGCGATTGAGCTTTTCTG</t>
  </si>
  <si>
    <t xml:space="preserve">AAACCAGAAAAGCTCAATCGCAGT</t>
  </si>
  <si>
    <t xml:space="preserve">TGAATGCTTTTTGTCAGCGC</t>
  </si>
  <si>
    <t xml:space="preserve">TAGTTGAATGCTTTTTGTCAGCGC</t>
  </si>
  <si>
    <t xml:space="preserve">AAACGCGCTGACAAAAAGCATTCA</t>
  </si>
  <si>
    <t xml:space="preserve">PSPPH_3023</t>
  </si>
  <si>
    <t xml:space="preserve">AAAGCGTGAAGCGTGTGACA</t>
  </si>
  <si>
    <t xml:space="preserve">TAGTAAAGCGTGAAGCGTGTGACA</t>
  </si>
  <si>
    <t xml:space="preserve">AAACTGTCACACGCTTCACGCTTT</t>
  </si>
  <si>
    <t xml:space="preserve">TTGAGTCAACGGGGCAAGGG</t>
  </si>
  <si>
    <t xml:space="preserve">TAGTTTGAGTCAACGGGGCAAGGG</t>
  </si>
  <si>
    <t xml:space="preserve">AAACCCCTTGCCCCGTTGACTCAA</t>
  </si>
  <si>
    <t xml:space="preserve">GACCGGCAGCACCGGCCATC</t>
  </si>
  <si>
    <t xml:space="preserve">TAGTGACCGGCAGCACCGGCCATC</t>
  </si>
  <si>
    <t xml:space="preserve">AAACGATGGCCGGTGCTGCCGGTC</t>
  </si>
  <si>
    <t xml:space="preserve">GGGCCGAGGAACATCGCAGC</t>
  </si>
  <si>
    <t xml:space="preserve">TAGTGGGCCGAGGAACATCGCAGC</t>
  </si>
  <si>
    <t xml:space="preserve">AAACGCTGCGATGTTCCTCGGCCC</t>
  </si>
  <si>
    <t xml:space="preserve">PSPPH_3024</t>
  </si>
  <si>
    <t xml:space="preserve">CCGGAGGTCATTTCGACCGA</t>
  </si>
  <si>
    <t xml:space="preserve">TAGTCCGGAGGTCATTTCGACCGA</t>
  </si>
  <si>
    <t xml:space="preserve">AAACTCGGTCGAAATGACCTCCGG</t>
  </si>
  <si>
    <t xml:space="preserve">CGATGCCGCCCCCTTCGATA</t>
  </si>
  <si>
    <t xml:space="preserve">TAGTCGATGCCGCCCCCTTCGATA</t>
  </si>
  <si>
    <t xml:space="preserve">AAACTATCGAAGGGGGCGGCATCG</t>
  </si>
  <si>
    <t xml:space="preserve">CGAGCGCAGCCAACTGCTGA</t>
  </si>
  <si>
    <t xml:space="preserve">TAGTCGAGCGCAGCCAACTGCTGA</t>
  </si>
  <si>
    <t xml:space="preserve">AAACTCAGCAGTTGGCTGCGCTCG</t>
  </si>
  <si>
    <t xml:space="preserve">CCTTGGCGAAGGTCAACAGA</t>
  </si>
  <si>
    <t xml:space="preserve">TAGTCCTTGGCGAAGGTCAACAGA</t>
  </si>
  <si>
    <t xml:space="preserve">AAACTCTGTTGACCTTCGCCAAGG</t>
  </si>
  <si>
    <t xml:space="preserve">PSPPH_3025</t>
  </si>
  <si>
    <t xml:space="preserve">AATCAGGGTAAAACCCAGAC</t>
  </si>
  <si>
    <t xml:space="preserve">TAGTAATCAGGGTAAAACCCAGAC</t>
  </si>
  <si>
    <t xml:space="preserve">AAACGTCTGGGTTTTACCCTGATT</t>
  </si>
  <si>
    <t xml:space="preserve">TCCAAGTAAAGCCACCAACA</t>
  </si>
  <si>
    <t xml:space="preserve">TAGTTCCAAGTAAAGCCACCAACA</t>
  </si>
  <si>
    <t xml:space="preserve">AAACTGTTGGTGGCTTTACTTGGA</t>
  </si>
  <si>
    <t xml:space="preserve">TGCCACTTCGCTCTGGCGAA</t>
  </si>
  <si>
    <t xml:space="preserve">TAGTTGCCACTTCGCTCTGGCGAA</t>
  </si>
  <si>
    <t xml:space="preserve">AAACTTCGCCAGAGCGAAGTGGCA</t>
  </si>
  <si>
    <t xml:space="preserve">TCGTTGACCACTCGCATGCT</t>
  </si>
  <si>
    <t xml:space="preserve">TAGTTCGTTGACCACTCGCATGCT</t>
  </si>
  <si>
    <t xml:space="preserve">AAACAGCATGCGAGTGGTCAACGA</t>
  </si>
  <si>
    <t xml:space="preserve">PSPPH_3026</t>
  </si>
  <si>
    <t xml:space="preserve">garK</t>
  </si>
  <si>
    <t xml:space="preserve">GCTGTCCTTGAACGAGTCGG</t>
  </si>
  <si>
    <t xml:space="preserve">TAGTGCTGTCCTTGAACGAGTCGG</t>
  </si>
  <si>
    <t xml:space="preserve">AAACCCGACTCGTTCAAGGACAGC</t>
  </si>
  <si>
    <t xml:space="preserve">CGGCAACGGCCTGTGCACTG</t>
  </si>
  <si>
    <t xml:space="preserve">TAGTCGGCAACGGCCTGTGCACTG</t>
  </si>
  <si>
    <t xml:space="preserve">AAACCAGTGCACAGGCCGTTGCCG</t>
  </si>
  <si>
    <t xml:space="preserve">CAGACCACTGGCGATGGCGT</t>
  </si>
  <si>
    <t xml:space="preserve">TAGTCAGACCACTGGCGATGGCGT</t>
  </si>
  <si>
    <t xml:space="preserve">AAACACGCCATCGCCAGTGGTCTG</t>
  </si>
  <si>
    <t xml:space="preserve">TTGGGCATGCGGCCAGACCT</t>
  </si>
  <si>
    <t xml:space="preserve">TAGTTTGGGCATGCGGCCAGACCT</t>
  </si>
  <si>
    <t xml:space="preserve">AAACAGGTCTGGCCGCATGCCCAA</t>
  </si>
  <si>
    <t xml:space="preserve">PSPPH_3027</t>
  </si>
  <si>
    <t xml:space="preserve">ACGGTGGCCATGCGCAGCAC</t>
  </si>
  <si>
    <t xml:space="preserve">TAGTACGGTGGCCATGCGCAGCAC</t>
  </si>
  <si>
    <t xml:space="preserve">AAACGTGCTGCGCATGGCCACCGT</t>
  </si>
  <si>
    <t xml:space="preserve">GCACAGGCATGACGCAAGGC</t>
  </si>
  <si>
    <t xml:space="preserve">TAGTGCACAGGCATGACGCAAGGC</t>
  </si>
  <si>
    <t xml:space="preserve">AAACGCCTTGCGTCATGCCTGTGC</t>
  </si>
  <si>
    <t xml:space="preserve">TTGCCCCGGCAGAGCCTGAC</t>
  </si>
  <si>
    <t xml:space="preserve">TAGTTTGCCCCGGCAGAGCCTGAC</t>
  </si>
  <si>
    <t xml:space="preserve">AAACGTCAGGCTCTGCCGGGGCAA</t>
  </si>
  <si>
    <t xml:space="preserve">GCCAGAACAGCACCGGCAAA</t>
  </si>
  <si>
    <t xml:space="preserve">TAGTGCCAGAACAGCACCGGCAAA</t>
  </si>
  <si>
    <t xml:space="preserve">AAACTTTGCCGGTGCTGTTCTGGC</t>
  </si>
  <si>
    <t xml:space="preserve">PSPPH_3028</t>
  </si>
  <si>
    <t xml:space="preserve">avrB4-1</t>
  </si>
  <si>
    <t xml:space="preserve">ACAAATCGTTTACATGATGA</t>
  </si>
  <si>
    <t xml:space="preserve">TAGTACAAATCGTTTACATGATGA</t>
  </si>
  <si>
    <t xml:space="preserve">AAACTCATCATGTAAACGATTTGT</t>
  </si>
  <si>
    <t xml:space="preserve">GAACTATTCCACTTTTCATA</t>
  </si>
  <si>
    <t xml:space="preserve">TAGTGAACTATTCCACTTTTCATA</t>
  </si>
  <si>
    <t xml:space="preserve">AAACTATGAAAAGTGGAATAGTTC</t>
  </si>
  <si>
    <t xml:space="preserve">PSPPH_3030</t>
  </si>
  <si>
    <t xml:space="preserve">CACCTCGCGGCTTAGCTGTT</t>
  </si>
  <si>
    <t xml:space="preserve">TAGTCACCTCGCGGCTTAGCTGTT</t>
  </si>
  <si>
    <t xml:space="preserve">AAACAACAGCTAAGCCGCGAGGTG</t>
  </si>
  <si>
    <t xml:space="preserve">AAGCCCCCCAGATAGACTTT</t>
  </si>
  <si>
    <t xml:space="preserve">TAGTAAGCCCCCCAGATAGACTTT</t>
  </si>
  <si>
    <t xml:space="preserve">AAACAAAGTCTATCTGGGGGGCTT</t>
  </si>
  <si>
    <t xml:space="preserve">ATCGAGCACTAGGTTGGCCC</t>
  </si>
  <si>
    <t xml:space="preserve">TAGTATCGAGCACTAGGTTGGCCC</t>
  </si>
  <si>
    <t xml:space="preserve">AAACGGGCCAACCTAGTGCTCGAT</t>
  </si>
  <si>
    <t xml:space="preserve">GGCAATTTCTTCGTGGTCAT</t>
  </si>
  <si>
    <t xml:space="preserve">TAGTGGCAATTTCTTCGTGGTCAT</t>
  </si>
  <si>
    <t xml:space="preserve">AAACATGACCACGAAGAAATTGCC</t>
  </si>
  <si>
    <t xml:space="preserve">PSPPH_3031</t>
  </si>
  <si>
    <t xml:space="preserve">TGCGCTGACAGGCTCTTGCA</t>
  </si>
  <si>
    <t xml:space="preserve">TAGTTGCGCTGACAGGCTCTTGCA</t>
  </si>
  <si>
    <t xml:space="preserve">AAACTGCAAGAGCCTGTCAGCGCA</t>
  </si>
  <si>
    <t xml:space="preserve">AGGCTGTGCTGACGACGTTT</t>
  </si>
  <si>
    <t xml:space="preserve">TAGTAGGCTGTGCTGACGACGTTT</t>
  </si>
  <si>
    <t xml:space="preserve">AAACAAACGTCGTCAGCACAGCCT</t>
  </si>
  <si>
    <t xml:space="preserve">GCTAAGTTCGGTGACCAGAT</t>
  </si>
  <si>
    <t xml:space="preserve">TAGTGCTAAGTTCGGTGACCAGAT</t>
  </si>
  <si>
    <t xml:space="preserve">AAACATCTGGTCACCGAACTTAGC</t>
  </si>
  <si>
    <t xml:space="preserve">TTTTGCCCAGCAAAATACGC</t>
  </si>
  <si>
    <t xml:space="preserve">TAGTTTTTGCCCAGCAAAATACGC</t>
  </si>
  <si>
    <t xml:space="preserve">AAACGCGTATTTTGCTGGGCAAAA</t>
  </si>
  <si>
    <t xml:space="preserve">PSPPH_3032</t>
  </si>
  <si>
    <t xml:space="preserve">CAGAACCGAATCTGTGCCGT</t>
  </si>
  <si>
    <t xml:space="preserve">TAGTCAGAACCGAATCTGTGCCGT</t>
  </si>
  <si>
    <t xml:space="preserve">AAACACGGCACAGATTCGGTTCTG</t>
  </si>
  <si>
    <t xml:space="preserve">GTGACGTTTGACCTTCGATA</t>
  </si>
  <si>
    <t xml:space="preserve">TAGTGTGACGTTTGACCTTCGATA</t>
  </si>
  <si>
    <t xml:space="preserve">AAACTATCGAAGGTCAAACGTCAC</t>
  </si>
  <si>
    <t xml:space="preserve">ACATGATGACGAAAAGCGGC</t>
  </si>
  <si>
    <t xml:space="preserve">TAGTACATGATGACGAAAAGCGGC</t>
  </si>
  <si>
    <t xml:space="preserve">AAACGCCGCTTTTCGTCATCATGT</t>
  </si>
  <si>
    <t xml:space="preserve">GCACAAAGCCGATGTTCACC</t>
  </si>
  <si>
    <t xml:space="preserve">TAGTGCACAAAGCCGATGTTCACC</t>
  </si>
  <si>
    <t xml:space="preserve">AAACGGTGAACATCGGCTTTGTGC</t>
  </si>
  <si>
    <t xml:space="preserve">PSPPH_3034</t>
  </si>
  <si>
    <t xml:space="preserve">GAGGGCGGGTGCGGGCAAGA</t>
  </si>
  <si>
    <t xml:space="preserve">TAGTGAGGGCGGGTGCGGGCAAGA</t>
  </si>
  <si>
    <t xml:space="preserve">AAACTCTTGCCCGCACCCGCCCTC</t>
  </si>
  <si>
    <t xml:space="preserve">CAACCAGAGCTGCGAGCGTC</t>
  </si>
  <si>
    <t xml:space="preserve">TAGTCAACCAGAGCTGCGAGCGTC</t>
  </si>
  <si>
    <t xml:space="preserve">AAACGACGCTCGCAGCTCTGGTTG</t>
  </si>
  <si>
    <t xml:space="preserve">CCCAGGCAATGCCGGCGGTG</t>
  </si>
  <si>
    <t xml:space="preserve">TAGTCCCAGGCAATGCCGGCGGTG</t>
  </si>
  <si>
    <t xml:space="preserve">AAACCACCGCCGGCATTGCCTGGG</t>
  </si>
  <si>
    <t xml:space="preserve">TGTTGCGTGGGGGATCAGCC</t>
  </si>
  <si>
    <t xml:space="preserve">TAGTTGTTGCGTGGGGGATCAGCC</t>
  </si>
  <si>
    <t xml:space="preserve">AAACGGCTGATCCCCCACGCAACA</t>
  </si>
  <si>
    <t xml:space="preserve">PSPPH_3035</t>
  </si>
  <si>
    <t xml:space="preserve">GAGCACTGCGATTTTCAACG</t>
  </si>
  <si>
    <t xml:space="preserve">TAGTGAGCACTGCGATTTTCAACG</t>
  </si>
  <si>
    <t xml:space="preserve">AAACCGTTGAAAATCGCAGTGCTC</t>
  </si>
  <si>
    <t xml:space="preserve">CGACCAGTCCACCACATCGC</t>
  </si>
  <si>
    <t xml:space="preserve">TAGTCGACCAGTCCACCACATCGC</t>
  </si>
  <si>
    <t xml:space="preserve">AAACGCGATGTGGTGGACTGGTCG</t>
  </si>
  <si>
    <t xml:space="preserve">CCATGGTTGCGGTGTCGGCC</t>
  </si>
  <si>
    <t xml:space="preserve">TAGTCCATGGTTGCGGTGTCGGCC</t>
  </si>
  <si>
    <t xml:space="preserve">AAACGGCCGACACCGCAACCATGG</t>
  </si>
  <si>
    <t xml:space="preserve">AAATGATGTCGAAGCCTTGC</t>
  </si>
  <si>
    <t xml:space="preserve">TAGTAAATGATGTCGAAGCCTTGC</t>
  </si>
  <si>
    <t xml:space="preserve">AAACGCAAGGCTTCGACATCATTT</t>
  </si>
  <si>
    <t xml:space="preserve">PSPPH_3036</t>
  </si>
  <si>
    <t xml:space="preserve">hopAH2</t>
  </si>
  <si>
    <t xml:space="preserve">TTTCCCTGGCGGCCATGAGG</t>
  </si>
  <si>
    <t xml:space="preserve">TAGTTTTCCCTGGCGGCCATGAGG</t>
  </si>
  <si>
    <t xml:space="preserve">AAACCCTCATGGCCGCCAGGGAAA</t>
  </si>
  <si>
    <t xml:space="preserve">GTGGTTCTACCGGCCATTAC</t>
  </si>
  <si>
    <t xml:space="preserve">TAGTGTGGTTCTACCGGCCATTAC</t>
  </si>
  <si>
    <t xml:space="preserve">AAACGTAATGGCCGGTAGAACCAC</t>
  </si>
  <si>
    <t xml:space="preserve">TCGAGCTTCTCCTGCGTATC</t>
  </si>
  <si>
    <t xml:space="preserve">TAGTTCGAGCTTCTCCTGCGTATC</t>
  </si>
  <si>
    <t xml:space="preserve">AAACGATACGCAGGAGAAGCTCGA</t>
  </si>
  <si>
    <t xml:space="preserve">GCGGCTGTCAGAGGCGGTGT</t>
  </si>
  <si>
    <t xml:space="preserve">TAGTGCGGCTGTCAGAGGCGGTGT</t>
  </si>
  <si>
    <t xml:space="preserve">AAACACACCGCCTCTGACAGCCGC</t>
  </si>
  <si>
    <t xml:space="preserve">PSPPH_3037</t>
  </si>
  <si>
    <t xml:space="preserve">AGTAACCTGGTCAGCCCAGG</t>
  </si>
  <si>
    <t xml:space="preserve">TAGTAGTAACCTGGTCAGCCCAGG</t>
  </si>
  <si>
    <t xml:space="preserve">AAACCCTGGGCTGACCAGGTTACT</t>
  </si>
  <si>
    <t xml:space="preserve">CAACTCTACGGAAGGTTGCC</t>
  </si>
  <si>
    <t xml:space="preserve">TAGTCAACTCTACGGAAGGTTGCC</t>
  </si>
  <si>
    <t xml:space="preserve">AAACGGCAACCTTCCGTAGAGTTG</t>
  </si>
  <si>
    <t xml:space="preserve">TTTCGGCATTGGCAGCGCCC</t>
  </si>
  <si>
    <t xml:space="preserve">TAGTTTTCGGCATTGGCAGCGCCC</t>
  </si>
  <si>
    <t xml:space="preserve">AAACGGGCGCTGCCAATGCCGAAA</t>
  </si>
  <si>
    <t xml:space="preserve">GTGGCCCGATAGCCTTCGAC</t>
  </si>
  <si>
    <t xml:space="preserve">TAGTGTGGCCCGATAGCCTTCGAC</t>
  </si>
  <si>
    <t xml:space="preserve">AAACGTCGAAGGCTATCGGGCCAC</t>
  </si>
  <si>
    <t xml:space="preserve">PSPPH_3038</t>
  </si>
  <si>
    <t xml:space="preserve">pncA</t>
  </si>
  <si>
    <t xml:space="preserve">TCGGCGGGCTTGTTGGAAAG</t>
  </si>
  <si>
    <t xml:space="preserve">TAGTTCGGCGGGCTTGTTGGAAAG</t>
  </si>
  <si>
    <t xml:space="preserve">AAACCTTTCCAACAAGCCCGCCGA</t>
  </si>
  <si>
    <t xml:space="preserve">TCACCAGCAAAGCACAACGC</t>
  </si>
  <si>
    <t xml:space="preserve">TAGTTCACCAGCAAAGCACAACGC</t>
  </si>
  <si>
    <t xml:space="preserve">AAACGCGTTGTGCTTTGCTGGTGA</t>
  </si>
  <si>
    <t xml:space="preserve">GCCACCGCCAGTTGTCCGCC</t>
  </si>
  <si>
    <t xml:space="preserve">TAGTGCCACCGCCAGTTGTCCGCC</t>
  </si>
  <si>
    <t xml:space="preserve">AAACGGCGGACAACTGGCGGTGGC</t>
  </si>
  <si>
    <t xml:space="preserve">GCGCCCAGACGATTGATCAA</t>
  </si>
  <si>
    <t xml:space="preserve">TAGTGCGCCCAGACGATTGATCAA</t>
  </si>
  <si>
    <t xml:space="preserve">AAACTTGATCAATCGTCTGGGCGC</t>
  </si>
  <si>
    <t xml:space="preserve">PSPPH_3039</t>
  </si>
  <si>
    <t xml:space="preserve">TTCCTCGGCTGACAGGCCGG</t>
  </si>
  <si>
    <t xml:space="preserve">TAGTTTCCTCGGCTGACAGGCCGG</t>
  </si>
  <si>
    <t xml:space="preserve">AAACCCGGCCTGTCAGCCGAGGAA</t>
  </si>
  <si>
    <t xml:space="preserve">GCACCGCCGCGCGGGGCGGC</t>
  </si>
  <si>
    <t xml:space="preserve">TAGTGCACCGCCGCGCGGGGCGGC</t>
  </si>
  <si>
    <t xml:space="preserve">AAACGCCGCCCCGCGCGGCGGTGC</t>
  </si>
  <si>
    <t xml:space="preserve">GTGATCGCCCTGAATACGGA</t>
  </si>
  <si>
    <t xml:space="preserve">TAGTGTGATCGCCCTGAATACGGA</t>
  </si>
  <si>
    <t xml:space="preserve">AAACTCCGTATTCAGGGCGATCAC</t>
  </si>
  <si>
    <t xml:space="preserve">GAGTGCCGACCACCACAGGG</t>
  </si>
  <si>
    <t xml:space="preserve">TAGTGAGTGCCGACCACCACAGGG</t>
  </si>
  <si>
    <t xml:space="preserve">AAACCCCTGTGGTGGTCGGCACTC</t>
  </si>
  <si>
    <t xml:space="preserve">PSPPH_3040</t>
  </si>
  <si>
    <t xml:space="preserve">GATTGCCAGAATTCGGGTCA</t>
  </si>
  <si>
    <t xml:space="preserve">TAGTGATTGCCAGAATTCGGGTCA</t>
  </si>
  <si>
    <t xml:space="preserve">AAACTGACCCGAATTCTGGCAATC</t>
  </si>
  <si>
    <t xml:space="preserve">CACGATTTCCTTTGCTGTGA</t>
  </si>
  <si>
    <t xml:space="preserve">TAGTCACGATTTCCTTTGCTGTGA</t>
  </si>
  <si>
    <t xml:space="preserve">AAACTCACAGCAAAGGAAATCGTG</t>
  </si>
  <si>
    <t xml:space="preserve">CAGTCCGTGGTTGCTGAGTT</t>
  </si>
  <si>
    <t xml:space="preserve">TAGTCAGTCCGTGGTTGCTGAGTT</t>
  </si>
  <si>
    <t xml:space="preserve">AAACAACTCAGCAACCACGGACTG</t>
  </si>
  <si>
    <t xml:space="preserve">CTGCACGTGCAAGACCGTCA</t>
  </si>
  <si>
    <t xml:space="preserve">TAGTCTGCACGTGCAAGACCGTCA</t>
  </si>
  <si>
    <t xml:space="preserve">AAACTGACGGTCTTGCACGTGCAG</t>
  </si>
  <si>
    <t xml:space="preserve">PSPPH_3041</t>
  </si>
  <si>
    <t xml:space="preserve">AACTGTATAGCGCCAGTAAT</t>
  </si>
  <si>
    <t xml:space="preserve">TAGTAACTGTATAGCGCCAGTAAT</t>
  </si>
  <si>
    <t xml:space="preserve">AAACATTACTGGCGCTATACAGTT</t>
  </si>
  <si>
    <t xml:space="preserve">CACGCTCCAGGCGACAAACA</t>
  </si>
  <si>
    <t xml:space="preserve">TAGTCACGCTCCAGGCGACAAACA</t>
  </si>
  <si>
    <t xml:space="preserve">AAACTGTTTGTCGCCTGGAGCGTG</t>
  </si>
  <si>
    <t xml:space="preserve">AGGAGTTGACCTCCCAGTAG</t>
  </si>
  <si>
    <t xml:space="preserve">TAGTAGGAGTTGACCTCCCAGTAG</t>
  </si>
  <si>
    <t xml:space="preserve">AAACCTACTGGGAGGTCAACTCCT</t>
  </si>
  <si>
    <t xml:space="preserve">GCGGGCGAGGTTGTCCAGGT</t>
  </si>
  <si>
    <t xml:space="preserve">TAGTGCGGGCGAGGTTGTCCAGGT</t>
  </si>
  <si>
    <t xml:space="preserve">AAACACCTGGACAACCTCGCCCGC</t>
  </si>
  <si>
    <t xml:space="preserve">PSPPH_3042</t>
  </si>
  <si>
    <t xml:space="preserve">GCTGCCTTTCCAGTAAGTCT</t>
  </si>
  <si>
    <t xml:space="preserve">TAGTGCTGCCTTTCCAGTAAGTCT</t>
  </si>
  <si>
    <t xml:space="preserve">AAACAGACTTACTGGAAAGGCAGC</t>
  </si>
  <si>
    <t xml:space="preserve">GTTGACCAGCAAGATGGTCT</t>
  </si>
  <si>
    <t xml:space="preserve">TAGTGTTGACCAGCAAGATGGTCT</t>
  </si>
  <si>
    <t xml:space="preserve">AAACAGACCATCTTGCTGGTCAAC</t>
  </si>
  <si>
    <t xml:space="preserve">GGTCTGCCCGAAAGAGCCGG</t>
  </si>
  <si>
    <t xml:space="preserve">TAGTGGTCTGCCCGAAAGAGCCGG</t>
  </si>
  <si>
    <t xml:space="preserve">AAACCCGGCTCTTTCGGGCAGACC</t>
  </si>
  <si>
    <t xml:space="preserve">GTGCGGTTGCAGGTACTTGA</t>
  </si>
  <si>
    <t xml:space="preserve">TAGTGTGCGGTTGCAGGTACTTGA</t>
  </si>
  <si>
    <t xml:space="preserve">AAACTCAAGTACCTGCAACCGCAC</t>
  </si>
  <si>
    <t xml:space="preserve">PSPPH_3043</t>
  </si>
  <si>
    <t xml:space="preserve">CCGATCAAAGAAACCAACAC</t>
  </si>
  <si>
    <t xml:space="preserve">TAGTCCGATCAAAGAAACCAACAC</t>
  </si>
  <si>
    <t xml:space="preserve">AAACGTGTTGGTTTCTTTGATCGG</t>
  </si>
  <si>
    <t xml:space="preserve">CAACGCAAGCGCGTTGCAAA</t>
  </si>
  <si>
    <t xml:space="preserve">TAGTCAACGCAAGCGCGTTGCAAA</t>
  </si>
  <si>
    <t xml:space="preserve">AAACTTTGCAACGCGCTTGCGTTG</t>
  </si>
  <si>
    <t xml:space="preserve">GCCGGACATTTCCGGTAGCA</t>
  </si>
  <si>
    <t xml:space="preserve">TAGTGCCGGACATTTCCGGTAGCA</t>
  </si>
  <si>
    <t xml:space="preserve">AAACTGCTACCGGAAATGTCCGGC</t>
  </si>
  <si>
    <t xml:space="preserve">GGCCGGGCTGAACAGGTATG</t>
  </si>
  <si>
    <t xml:space="preserve">TAGTGGCCGGGCTGAACAGGTATG</t>
  </si>
  <si>
    <t xml:space="preserve">AAACCATACCTGTTCAGCCCGGCC</t>
  </si>
  <si>
    <t xml:space="preserve">PSPPH_3044</t>
  </si>
  <si>
    <t xml:space="preserve">TGTGTCGGTCGTGGTTCTGC</t>
  </si>
  <si>
    <t xml:space="preserve">TAGTTGTGTCGGTCGTGGTTCTGC</t>
  </si>
  <si>
    <t xml:space="preserve">AAACGCAGAACCACGACCGACACA</t>
  </si>
  <si>
    <t xml:space="preserve">AGCGGTTTGTCGCGGCAGCC</t>
  </si>
  <si>
    <t xml:space="preserve">TAGTAGCGGTTTGTCGCGGCAGCC</t>
  </si>
  <si>
    <t xml:space="preserve">AAACGGCTGCCGCGACAAACCGCT</t>
  </si>
  <si>
    <t xml:space="preserve">GCAATTTCGGTGAACAGCAC</t>
  </si>
  <si>
    <t xml:space="preserve">TAGTGCAATTTCGGTGAACAGCAC</t>
  </si>
  <si>
    <t xml:space="preserve">AAACGTGCTGTTCACCGAAATTGC</t>
  </si>
  <si>
    <t xml:space="preserve">ATAAGAGGCGCTGTGCTGAT</t>
  </si>
  <si>
    <t xml:space="preserve">TAGTATAAGAGGCGCTGTGCTGAT</t>
  </si>
  <si>
    <t xml:space="preserve">AAACATCAGCACAGCGCCTCTTAT</t>
  </si>
  <si>
    <t xml:space="preserve">PSPPH_3045</t>
  </si>
  <si>
    <t xml:space="preserve">CGTGCGATGCCTGAGCCCCC</t>
  </si>
  <si>
    <t xml:space="preserve">TAGTCGTGCGATGCCTGAGCCCCC</t>
  </si>
  <si>
    <t xml:space="preserve">AAACGGGGGCTCAGGCATCGCACG</t>
  </si>
  <si>
    <t xml:space="preserve">CAAAGGAAGGGTCTTCCTCG</t>
  </si>
  <si>
    <t xml:space="preserve">TAGTCAAAGGAAGGGTCTTCCTCG</t>
  </si>
  <si>
    <t xml:space="preserve">AAACCGAGGAAGACCCTTCCTTTG</t>
  </si>
  <si>
    <t xml:space="preserve">CCAACGCGCCTGAATGACCA</t>
  </si>
  <si>
    <t xml:space="preserve">TAGTCCAACGCGCCTGAATGACCA</t>
  </si>
  <si>
    <t xml:space="preserve">AAACTGGTCATTCAGGCGCGTTGG</t>
  </si>
  <si>
    <t xml:space="preserve">GTGTCGGGCAACGTAGCACC</t>
  </si>
  <si>
    <t xml:space="preserve">TAGTGTGTCGGGCAACGTAGCACC</t>
  </si>
  <si>
    <t xml:space="preserve">AAACGGTGCTACGTTGCCCGACAC</t>
  </si>
  <si>
    <t xml:space="preserve">PSPPH_3046</t>
  </si>
  <si>
    <t xml:space="preserve">GATTGGCGTGGTACAGGGGT</t>
  </si>
  <si>
    <t xml:space="preserve">TAGTGATTGGCGTGGTACAGGGGT</t>
  </si>
  <si>
    <t xml:space="preserve">AAACACCCCTGTACCACGCCAATC</t>
  </si>
  <si>
    <t xml:space="preserve">CTTGCTGAAGACATGAGCAT</t>
  </si>
  <si>
    <t xml:space="preserve">TAGTCTTGCTGAAGACATGAGCAT</t>
  </si>
  <si>
    <t xml:space="preserve">AAACATGCTCATGTCTTCAGCAAG</t>
  </si>
  <si>
    <t xml:space="preserve">GCACAGTGGCATCGTAGTCC</t>
  </si>
  <si>
    <t xml:space="preserve">TAGTGCACAGTGGCATCGTAGTCC</t>
  </si>
  <si>
    <t xml:space="preserve">AAACGGACTACGATGCCACTGTGC</t>
  </si>
  <si>
    <t xml:space="preserve">CAAACCATGTTCGTGCAGGT</t>
  </si>
  <si>
    <t xml:space="preserve">TAGTCAAACCATGTTCGTGCAGGT</t>
  </si>
  <si>
    <t xml:space="preserve">AAACACCTGCACGAACATGGTTTG</t>
  </si>
  <si>
    <t xml:space="preserve">PSPPH_3047</t>
  </si>
  <si>
    <t xml:space="preserve">TTCGCGATACCAGTTGAACA</t>
  </si>
  <si>
    <t xml:space="preserve">TAGTTTCGCGATACCAGTTGAACA</t>
  </si>
  <si>
    <t xml:space="preserve">AAACTGTTCAACTGGTATCGCGAA</t>
  </si>
  <si>
    <t xml:space="preserve">CAGAAGGTCTTGCGCTCCTT</t>
  </si>
  <si>
    <t xml:space="preserve">TAGTCAGAAGGTCTTGCGCTCCTT</t>
  </si>
  <si>
    <t xml:space="preserve">AAACAAGGAGCGCAAGACCTTCTG</t>
  </si>
  <si>
    <t xml:space="preserve">CAGCGACCAGCCGCCGAAAC</t>
  </si>
  <si>
    <t xml:space="preserve">TAGTCAGCGACCAGCCGCCGAAAC</t>
  </si>
  <si>
    <t xml:space="preserve">AAACGTTTCGGCGGCTGGTCGCTG</t>
  </si>
  <si>
    <t xml:space="preserve">GGCGGCAATCAAGGCCGGTA</t>
  </si>
  <si>
    <t xml:space="preserve">TAGTGGCGGCAATCAAGGCCGGTA</t>
  </si>
  <si>
    <t xml:space="preserve">AAACTACCGGCCTTGATTGCCGCC</t>
  </si>
  <si>
    <t xml:space="preserve">PSPPH_3048</t>
  </si>
  <si>
    <t xml:space="preserve">ACGTCGCCGTTGGGCGTCAA</t>
  </si>
  <si>
    <t xml:space="preserve">TAGTACGTCGCCGTTGGGCGTCAA</t>
  </si>
  <si>
    <t xml:space="preserve">AAACTTGACGCCCAACGGCGACGT</t>
  </si>
  <si>
    <t xml:space="preserve">TGAATATTTGAGCGGATTAT</t>
  </si>
  <si>
    <t xml:space="preserve">TAGTTGAATATTTGAGCGGATTAT</t>
  </si>
  <si>
    <t xml:space="preserve">AAACATAATCCGCTCAAATATTCA</t>
  </si>
  <si>
    <t xml:space="preserve">AAGCGGAAGGCGTTCGTCGC</t>
  </si>
  <si>
    <t xml:space="preserve">TAGTAAGCGGAAGGCGTTCGTCGC</t>
  </si>
  <si>
    <t xml:space="preserve">AAACGCGACGAACGCCTTCCGCTT</t>
  </si>
  <si>
    <t xml:space="preserve">GTTCGGCCAGACTGTCGCGC</t>
  </si>
  <si>
    <t xml:space="preserve">TAGTGTTCGGCCAGACTGTCGCGC</t>
  </si>
  <si>
    <t xml:space="preserve">AAACGCGCGACAGTCTGGCCGAAC</t>
  </si>
  <si>
    <t xml:space="preserve">PSPPH_3049</t>
  </si>
  <si>
    <t xml:space="preserve">CGCTTCCATTTTTCCAGCAC</t>
  </si>
  <si>
    <t xml:space="preserve">TAGTCGCTTCCATTTTTCCAGCAC</t>
  </si>
  <si>
    <t xml:space="preserve">AAACGTGCTGGAAAAATGGAAGCG</t>
  </si>
  <si>
    <t xml:space="preserve">ATCTTCACGCCCCACCAGGT</t>
  </si>
  <si>
    <t xml:space="preserve">TAGTATCTTCACGCCCCACCAGGT</t>
  </si>
  <si>
    <t xml:space="preserve">AAACACCTGGTGGGGCGTGAAGAT</t>
  </si>
  <si>
    <t xml:space="preserve">AGTGACACAGGCGTAGCGAA</t>
  </si>
  <si>
    <t xml:space="preserve">TAGTAGTGACACAGGCGTAGCGAA</t>
  </si>
  <si>
    <t xml:space="preserve">AAACTTCGCTACGCCTGTGTCACT</t>
  </si>
  <si>
    <t xml:space="preserve">ATTGCAGGCACTGCCTTTCT</t>
  </si>
  <si>
    <t xml:space="preserve">TAGTATTGCAGGCACTGCCTTTCT</t>
  </si>
  <si>
    <t xml:space="preserve">AAACAGAAAGGCAGTGCCTGCAAT</t>
  </si>
  <si>
    <t xml:space="preserve">PSPPH_3050</t>
  </si>
  <si>
    <t xml:space="preserve">TTCGACGCATGTCTTTCGGT</t>
  </si>
  <si>
    <t xml:space="preserve">TAGTTTCGACGCATGTCTTTCGGT</t>
  </si>
  <si>
    <t xml:space="preserve">AAACACCGAAAGACATGCGTCGAA</t>
  </si>
  <si>
    <t xml:space="preserve">CCCATTATTGCCGACCAGTA</t>
  </si>
  <si>
    <t xml:space="preserve">TAGTCCCATTATTGCCGACCAGTA</t>
  </si>
  <si>
    <t xml:space="preserve">AAACTACTGGTCGGCAATAATGGG</t>
  </si>
  <si>
    <t xml:space="preserve">ATACGACTGCCAGCACCTTT</t>
  </si>
  <si>
    <t xml:space="preserve">TAGTATACGACTGCCAGCACCTTT</t>
  </si>
  <si>
    <t xml:space="preserve">AAACAAAGGTGCTGGCAGTCGTAT</t>
  </si>
  <si>
    <t xml:space="preserve">AATGGTAATCGAGGATGTAG</t>
  </si>
  <si>
    <t xml:space="preserve">TAGTAATGGTAATCGAGGATGTAG</t>
  </si>
  <si>
    <t xml:space="preserve">AAACCTACATCCTCGATTACCATT</t>
  </si>
  <si>
    <t xml:space="preserve">PSPPH_3052</t>
  </si>
  <si>
    <t xml:space="preserve">GGTGCGAGAGAGAGCCAGAA</t>
  </si>
  <si>
    <t xml:space="preserve">TAGTGGTGCGAGAGAGAGCCAGAA</t>
  </si>
  <si>
    <t xml:space="preserve">AAACTTCTGGCTCTCTCTCGCACC</t>
  </si>
  <si>
    <t xml:space="preserve">TGCCGGATACGCGAGCCTTG</t>
  </si>
  <si>
    <t xml:space="preserve">TAGTTGCCGGATACGCGAGCCTTG</t>
  </si>
  <si>
    <t xml:space="preserve">AAACCAAGGCTCGCGTATCCGGCA</t>
  </si>
  <si>
    <t xml:space="preserve">GTTCAATCGCGCAGATCCAG</t>
  </si>
  <si>
    <t xml:space="preserve">TAGTGTTCAATCGCGCAGATCCAG</t>
  </si>
  <si>
    <t xml:space="preserve">AAACCTGGATCTGCGCGATTGAAC</t>
  </si>
  <si>
    <t xml:space="preserve">CGGGTGGGGGCCTTGGGATG</t>
  </si>
  <si>
    <t xml:space="preserve">TAGTCGGGTGGGGGCCTTGGGATG</t>
  </si>
  <si>
    <t xml:space="preserve">AAACCATCCCAAGGCCCCCACCCG</t>
  </si>
  <si>
    <t xml:space="preserve">PSPPH_3053</t>
  </si>
  <si>
    <t xml:space="preserve">GCCAGCAATGGCGAACAGCA</t>
  </si>
  <si>
    <t xml:space="preserve">TAGTGCCAGCAATGGCGAACAGCA</t>
  </si>
  <si>
    <t xml:space="preserve">AAACTGCTGTTCGCCATTGCTGGC</t>
  </si>
  <si>
    <t xml:space="preserve">CAGCGGCAGATCAGTGTGCA</t>
  </si>
  <si>
    <t xml:space="preserve">TAGTCAGCGGCAGATCAGTGTGCA</t>
  </si>
  <si>
    <t xml:space="preserve">AAACTGCACACTGATCTGCCGCTG</t>
  </si>
  <si>
    <t xml:space="preserve">TTTCGACGTTGACCTGTGCC</t>
  </si>
  <si>
    <t xml:space="preserve">TAGTTTTCGACGTTGACCTGTGCC</t>
  </si>
  <si>
    <t xml:space="preserve">AAACGGCACAGGTCAACGTCGAAA</t>
  </si>
  <si>
    <t xml:space="preserve">GATCACCAGCGGCCGGTTCG</t>
  </si>
  <si>
    <t xml:space="preserve">TAGTGATCACCAGCGGCCGGTTCG</t>
  </si>
  <si>
    <t xml:space="preserve">AAACCGAACCGGCCGCTGGTGATC</t>
  </si>
  <si>
    <t xml:space="preserve">PSPPH_3054</t>
  </si>
  <si>
    <t xml:space="preserve">gspD1</t>
  </si>
  <si>
    <t xml:space="preserve">GCGGTAGCCAGGCAAAGCAA</t>
  </si>
  <si>
    <t xml:space="preserve">TAGTGCGGTAGCCAGGCAAAGCAA</t>
  </si>
  <si>
    <t xml:space="preserve">AAACTTGCTTTGCCTGGCTACCGC</t>
  </si>
  <si>
    <t xml:space="preserve">CGCGCAGCCGCCTAGGGCGA</t>
  </si>
  <si>
    <t xml:space="preserve">TAGTCGCGCAGCCGCCTAGGGCGA</t>
  </si>
  <si>
    <t xml:space="preserve">AAACTCGCCCTAGGCGGCTGCGCG</t>
  </si>
  <si>
    <t xml:space="preserve">TTGTCGGGATCGAGAGTGTC</t>
  </si>
  <si>
    <t xml:space="preserve">TAGTTTGTCGGGATCGAGAGTGTC</t>
  </si>
  <si>
    <t xml:space="preserve">AAACGACACTCTCGATCCCGACAA</t>
  </si>
  <si>
    <t xml:space="preserve">GGCGTTGTGAACCGGTTCCC</t>
  </si>
  <si>
    <t xml:space="preserve">TAGTGGCGTTGTGAACCGGTTCCC</t>
  </si>
  <si>
    <t xml:space="preserve">AAACGGGAACCGGTTCACAACGCC</t>
  </si>
  <si>
    <t xml:space="preserve">PSPPH_3055</t>
  </si>
  <si>
    <t xml:space="preserve">CGACCACTCCAGCGGGCGTA</t>
  </si>
  <si>
    <t xml:space="preserve">TAGTCGACCACTCCAGCGGGCGTA</t>
  </si>
  <si>
    <t xml:space="preserve">AAACTACGCCCGCTGGAGTGGTCG</t>
  </si>
  <si>
    <t xml:space="preserve">GATCAGCCCCGCCAGCAGCG</t>
  </si>
  <si>
    <t xml:space="preserve">TAGTGATCAGCCCCGCCAGCAGCG</t>
  </si>
  <si>
    <t xml:space="preserve">AAACCGCTGCTGGCGGGGCTGATC</t>
  </si>
  <si>
    <t xml:space="preserve">GCCTGCTCCGGCAGCCAGTC</t>
  </si>
  <si>
    <t xml:space="preserve">TAGTGCCTGCTCCGGCAGCCAGTC</t>
  </si>
  <si>
    <t xml:space="preserve">AAACGACTGGCTGCCGGAGCAGGC</t>
  </si>
  <si>
    <t xml:space="preserve">TTCTGATCGATCGGGTTGCG</t>
  </si>
  <si>
    <t xml:space="preserve">TAGTTTCTGATCGATCGGGTTGCG</t>
  </si>
  <si>
    <t xml:space="preserve">AAACCGCAACCCGATCGATCAGAA</t>
  </si>
  <si>
    <t xml:space="preserve">PSPPH_3056</t>
  </si>
  <si>
    <t xml:space="preserve">CACCAAGGCAAGAATCATCA</t>
  </si>
  <si>
    <t xml:space="preserve">TAGTCACCAAGGCAAGAATCATCA</t>
  </si>
  <si>
    <t xml:space="preserve">AAACTGATGATTCTTGCCTTGGTG</t>
  </si>
  <si>
    <t xml:space="preserve">CGATCAACAGCCAATAAGCC</t>
  </si>
  <si>
    <t xml:space="preserve">TAGTCGATCAACAGCCAATAAGCC</t>
  </si>
  <si>
    <t xml:space="preserve">AAACGGCTTATTGGCTGTTGATCG</t>
  </si>
  <si>
    <t xml:space="preserve">GCTGATGTCGCGCAAGGGTC</t>
  </si>
  <si>
    <t xml:space="preserve">TAGTGCTGATGTCGCGCAAGGGTC</t>
  </si>
  <si>
    <t xml:space="preserve">AAACGACCCTTGCGCGACATCAGC</t>
  </si>
  <si>
    <t xml:space="preserve">CTGTTGTTCGCGCAACTGGT</t>
  </si>
  <si>
    <t xml:space="preserve">TAGTCTGTTGTTCGCGCAACTGGT</t>
  </si>
  <si>
    <t xml:space="preserve">AAACACCAGTTGCGCGAACAACAG</t>
  </si>
  <si>
    <t xml:space="preserve">PSPPH_3057</t>
  </si>
  <si>
    <t xml:space="preserve">TGTTCGCGTAACGCGTAGAC</t>
  </si>
  <si>
    <t xml:space="preserve">TAGTTGTTCGCGTAACGCGTAGAC</t>
  </si>
  <si>
    <t xml:space="preserve">AAACGTCTACGCGTTACGCGAACA</t>
  </si>
  <si>
    <t xml:space="preserve">CGGACTGCCACGCCACTGCC</t>
  </si>
  <si>
    <t xml:space="preserve">TAGTCGGACTGCCACGCCACTGCC</t>
  </si>
  <si>
    <t xml:space="preserve">AAACGGCAGTGGCGTGGCAGTCCG</t>
  </si>
  <si>
    <t xml:space="preserve">CATTGCCAACCGTGTTGCGC</t>
  </si>
  <si>
    <t xml:space="preserve">TAGTCATTGCCAACCGTGTTGCGC</t>
  </si>
  <si>
    <t xml:space="preserve">AAACGCGCAACACGGTTGGCAATG</t>
  </si>
  <si>
    <t xml:space="preserve">ACGCACACGCGGCGGCAGGC</t>
  </si>
  <si>
    <t xml:space="preserve">TAGTACGCACACGCGGCGGCAGGC</t>
  </si>
  <si>
    <t xml:space="preserve">AAACGCCTGCCGCCGCGTGTGCGT</t>
  </si>
  <si>
    <t xml:space="preserve">PSPPH_3058</t>
  </si>
  <si>
    <t xml:space="preserve">gspK1</t>
  </si>
  <si>
    <t xml:space="preserve">AACACCACGCTGCTGTCGAC</t>
  </si>
  <si>
    <t xml:space="preserve">TAGTAACACCACGCTGCTGTCGAC</t>
  </si>
  <si>
    <t xml:space="preserve">AAACGTCGACAGCAGCGTGGTGTT</t>
  </si>
  <si>
    <t xml:space="preserve">GGCGCAACCAGAGTGCCTGG</t>
  </si>
  <si>
    <t xml:space="preserve">TAGTGGCGCAACCAGAGTGCCTGG</t>
  </si>
  <si>
    <t xml:space="preserve">AAACCCAGGCACTCTGGTTGCGCC</t>
  </si>
  <si>
    <t xml:space="preserve">CATATTCATGCCAGCTTCGG</t>
  </si>
  <si>
    <t xml:space="preserve">TAGTCATATTCATGCCAGCTTCGG</t>
  </si>
  <si>
    <t xml:space="preserve">AAACCCGAAGCTGGCATGAATATG</t>
  </si>
  <si>
    <t xml:space="preserve">ATCCAGCGTTTGCGCTGCGC</t>
  </si>
  <si>
    <t xml:space="preserve">TAGTATCCAGCGTTTGCGCTGCGC</t>
  </si>
  <si>
    <t xml:space="preserve">AAACGCGCAGCGCAAACGCTGGAT</t>
  </si>
  <si>
    <t xml:space="preserve">PSPPH_3059</t>
  </si>
  <si>
    <t xml:space="preserve">gspJ</t>
  </si>
  <si>
    <t xml:space="preserve">CGTGAAACCACGCTGGGTGC</t>
  </si>
  <si>
    <t xml:space="preserve">TAGTCGTGAAACCACGCTGGGTGC</t>
  </si>
  <si>
    <t xml:space="preserve">AAACGCACCCAGCGTGGTTTCACG</t>
  </si>
  <si>
    <t xml:space="preserve">GGCCTCGAGCACCGCACGGT</t>
  </si>
  <si>
    <t xml:space="preserve">TAGTGGCCTCGAGCACCGCACGGT</t>
  </si>
  <si>
    <t xml:space="preserve">AAACACCGTGCGGTGCTCGAGGCC</t>
  </si>
  <si>
    <t xml:space="preserve">CAGGTTCACGGTGTAACGTT</t>
  </si>
  <si>
    <t xml:space="preserve">TAGTCAGGTTCACGGTGTAACGTT</t>
  </si>
  <si>
    <t xml:space="preserve">AAACAACGTTACACCGTGAACCTG</t>
  </si>
  <si>
    <t xml:space="preserve">GCAGAAACGCCTGCGCGGCG</t>
  </si>
  <si>
    <t xml:space="preserve">TAGTGCAGAAACGCCTGCGCGGCG</t>
  </si>
  <si>
    <t xml:space="preserve">AAACCGCCGCGCAGGCGTTTCTGC</t>
  </si>
  <si>
    <t xml:space="preserve">PSPPH_3060</t>
  </si>
  <si>
    <t xml:space="preserve">GCCGCTGCACACTGCCATGA</t>
  </si>
  <si>
    <t xml:space="preserve">TAGTGCCGCTGCACACTGCCATGA</t>
  </si>
  <si>
    <t xml:space="preserve">AAACTCATGGCAGTGTGCAGCGGC</t>
  </si>
  <si>
    <t xml:space="preserve">ACTGCGCGACACCTGTTGCA</t>
  </si>
  <si>
    <t xml:space="preserve">TAGTACTGCGCGACACCTGTTGCA</t>
  </si>
  <si>
    <t xml:space="preserve">AAACTGCAACAGGTGTCGCGCAGT</t>
  </si>
  <si>
    <t xml:space="preserve">TGCGTGCTGCATGGCTGATC</t>
  </si>
  <si>
    <t xml:space="preserve">TAGTTGCGTGCTGCATGGCTGATC</t>
  </si>
  <si>
    <t xml:space="preserve">AAACGATCAGCCATGCAGCACGCA</t>
  </si>
  <si>
    <t xml:space="preserve">CGTACCGTTTTCCAGCGGGC</t>
  </si>
  <si>
    <t xml:space="preserve">TAGTCGTACCGTTTTCCAGCGGGC</t>
  </si>
  <si>
    <t xml:space="preserve">AAACGCCCGCTGGAAAACGGTACG</t>
  </si>
  <si>
    <t xml:space="preserve">PSPPH_3061</t>
  </si>
  <si>
    <t xml:space="preserve">gspH1</t>
  </si>
  <si>
    <t xml:space="preserve">GTAAAACCCCGGCTTGCGAC</t>
  </si>
  <si>
    <t xml:space="preserve">TAGTGTAAAACCCCGGCTTGCGAC</t>
  </si>
  <si>
    <t xml:space="preserve">AAACGTCGCAAGCCGGGGTTTTAC</t>
  </si>
  <si>
    <t xml:space="preserve">CACTACCAGCATTTCCATGA</t>
  </si>
  <si>
    <t xml:space="preserve">TAGTCACTACCAGCATTTCCATGA</t>
  </si>
  <si>
    <t xml:space="preserve">AAACTCATGGAAATGCTGGTAGTG</t>
  </si>
  <si>
    <t xml:space="preserve">ACCGAAACCCACCAGACCGA</t>
  </si>
  <si>
    <t xml:space="preserve">TAGTACCGAAACCCACCAGACCGA</t>
  </si>
  <si>
    <t xml:space="preserve">AAACTCGGTCTGGTGGGTTTCGGT</t>
  </si>
  <si>
    <t xml:space="preserve">GACCGCGCGTCGCTCACTGG</t>
  </si>
  <si>
    <t xml:space="preserve">TAGTGACCGCGCGTCGCTCACTGG</t>
  </si>
  <si>
    <t xml:space="preserve">AAACCCAGTGAGCGACGCGCGGTC</t>
  </si>
  <si>
    <t xml:space="preserve">PSPPH_3062</t>
  </si>
  <si>
    <t xml:space="preserve">gspG1</t>
  </si>
  <si>
    <t xml:space="preserve">CGTGTGCGGCTAAAAGTCAT</t>
  </si>
  <si>
    <t xml:space="preserve">TAGTCGTGTGCGGCTAAAAGTCAT</t>
  </si>
  <si>
    <t xml:space="preserve">AAACATGACTTTTAGCCGCACACG</t>
  </si>
  <si>
    <t xml:space="preserve">AAACCGCCCTGTCGGCGTGC</t>
  </si>
  <si>
    <t xml:space="preserve">TAGTAAACCGCCCTGTCGGCGTGC</t>
  </si>
  <si>
    <t xml:space="preserve">AAACGCACGCCGACAGGGCGGTTT</t>
  </si>
  <si>
    <t xml:space="preserve">GCCTACCTGGCGTACGACGA</t>
  </si>
  <si>
    <t xml:space="preserve">TAGTGCCTACCTGGCGTACGACGA</t>
  </si>
  <si>
    <t xml:space="preserve">AAACTCGTCGTACGCCAGGTAGGC</t>
  </si>
  <si>
    <t xml:space="preserve">TTCGATCTTCATGCCCAGGC</t>
  </si>
  <si>
    <t xml:space="preserve">TAGTTTCGATCTTCATGCCCAGGC</t>
  </si>
  <si>
    <t xml:space="preserve">AAACGCCTGGGCATGAAGATCGAA</t>
  </si>
  <si>
    <t xml:space="preserve">PSPPH_3063</t>
  </si>
  <si>
    <t xml:space="preserve">gspF1</t>
  </si>
  <si>
    <t xml:space="preserve">CCAGCGCGCGGTACTTGAAC</t>
  </si>
  <si>
    <t xml:space="preserve">TAGTCCAGCGCGCGGTACTTGAAC</t>
  </si>
  <si>
    <t xml:space="preserve">AAACGTTCAAGTACCGCGCGCTGG</t>
  </si>
  <si>
    <t xml:space="preserve">GCTTCCAGCGTGCCGTTCTG</t>
  </si>
  <si>
    <t xml:space="preserve">TAGTGCTTCCAGCGTGCCGTTCTG</t>
  </si>
  <si>
    <t xml:space="preserve">AAACCAGAACGGCACGCTGGAAGC</t>
  </si>
  <si>
    <t xml:space="preserve">GATTGCAGCATCCTGGTCAC</t>
  </si>
  <si>
    <t xml:space="preserve">TAGTGATTGCAGCATCCTGGTCAC</t>
  </si>
  <si>
    <t xml:space="preserve">AAACGTGACCAGGATGCTGCAATC</t>
  </si>
  <si>
    <t xml:space="preserve">CAGACCACGTTTTTGTAGCG</t>
  </si>
  <si>
    <t xml:space="preserve">TAGTCAGACCACGTTTTTGTAGCG</t>
  </si>
  <si>
    <t xml:space="preserve">AAACCGCTACAAAAACGTGGTCTG</t>
  </si>
  <si>
    <t xml:space="preserve">PSPPH_3064</t>
  </si>
  <si>
    <t xml:space="preserve">gspE1</t>
  </si>
  <si>
    <t xml:space="preserve">GGGCATTTTGCTACTTCGGA</t>
  </si>
  <si>
    <t xml:space="preserve">TAGTGGGCATTTTGCTACTTCGGA</t>
  </si>
  <si>
    <t xml:space="preserve">AAACTCCGAAGTAGCAAAATGCCC</t>
  </si>
  <si>
    <t xml:space="preserve">GGAACTGGCGGCATGGATGA</t>
  </si>
  <si>
    <t xml:space="preserve">TAGTGGAACTGGCGGCATGGATGA</t>
  </si>
  <si>
    <t xml:space="preserve">AAACTCATCCATGCCGCCAGTTCC</t>
  </si>
  <si>
    <t xml:space="preserve">AGGAGGCGGGAAACATCGAC</t>
  </si>
  <si>
    <t xml:space="preserve">TAGTAGGAGGCGGGAAACATCGAC</t>
  </si>
  <si>
    <t xml:space="preserve">AAACGTCGATGTTTCCCGCCTCCT</t>
  </si>
  <si>
    <t xml:space="preserve">CCTGCGCGGCATCCGGAATG</t>
  </si>
  <si>
    <t xml:space="preserve">TAGTCCTGCGCGGCATCCGGAATG</t>
  </si>
  <si>
    <t xml:space="preserve">AAACCATTCCGGATGCCGCGCAGG</t>
  </si>
  <si>
    <t xml:space="preserve">PSPPH_3066</t>
  </si>
  <si>
    <t xml:space="preserve">CTGCCGTGCCCGTTTCCGTG</t>
  </si>
  <si>
    <t xml:space="preserve">TAGTCTGCCGTGCCCGTTTCCGTG</t>
  </si>
  <si>
    <t xml:space="preserve">AAACCACGGAAACGGGCACGGCAG</t>
  </si>
  <si>
    <t xml:space="preserve">CTTTGGCGCGCGCCTGTGTC</t>
  </si>
  <si>
    <t xml:space="preserve">TAGTCTTTGGCGCGCGCCTGTGTC</t>
  </si>
  <si>
    <t xml:space="preserve">AAACGACACAGGCGCGCGCCAAAG</t>
  </si>
  <si>
    <t xml:space="preserve">CCGCATCAAGCAGCTCTTTG</t>
  </si>
  <si>
    <t xml:space="preserve">TAGTCCGCATCAAGCAGCTCTTTG</t>
  </si>
  <si>
    <t xml:space="preserve">AAACCAAAGAGCTGCTTGATGCGG</t>
  </si>
  <si>
    <t xml:space="preserve">CTCAAGGGAAAACACTTGCA</t>
  </si>
  <si>
    <t xml:space="preserve">TAGTCTCAAGGGAAAACACTTGCA</t>
  </si>
  <si>
    <t xml:space="preserve">AAACTGCAAGTGTTTTCCCTTGAG</t>
  </si>
  <si>
    <t xml:space="preserve">PSPPH_3067</t>
  </si>
  <si>
    <t xml:space="preserve">CCAGCCTGGACAGATCAGCG</t>
  </si>
  <si>
    <t xml:space="preserve">TAGTCCAGCCTGGACAGATCAGCG</t>
  </si>
  <si>
    <t xml:space="preserve">AAACCGCTGATCTGTCCAGGCTGG</t>
  </si>
  <si>
    <t xml:space="preserve">ATCGCATTGCCGAAAGCCCC</t>
  </si>
  <si>
    <t xml:space="preserve">TAGTATCGCATTGCCGAAAGCCCC</t>
  </si>
  <si>
    <t xml:space="preserve">AAACGGGGCTTTCGGCAATGCGAT</t>
  </si>
  <si>
    <t xml:space="preserve">GCCGCTCCAGCCCAGGTCAT</t>
  </si>
  <si>
    <t xml:space="preserve">TAGTGCCGCTCCAGCCCAGGTCAT</t>
  </si>
  <si>
    <t xml:space="preserve">AAACATGACCTGGGCTGGAGCGGC</t>
  </si>
  <si>
    <t xml:space="preserve">ACAGCCCGGAAAAGACCTGC</t>
  </si>
  <si>
    <t xml:space="preserve">TAGTACAGCCCGGAAAAGACCTGC</t>
  </si>
  <si>
    <t xml:space="preserve">AAACGCAGGTCTTTTCCGGGCTGT</t>
  </si>
  <si>
    <t xml:space="preserve">PSPPH_3068</t>
  </si>
  <si>
    <t xml:space="preserve">ATCACGCAGGATAAAGGTCG</t>
  </si>
  <si>
    <t xml:space="preserve">TAGTATCACGCAGGATAAAGGTCG</t>
  </si>
  <si>
    <t xml:space="preserve">AAACCGACCTTTATCCTGCGTGAT</t>
  </si>
  <si>
    <t xml:space="preserve">GCGTAGATCGCCTGTACGGC</t>
  </si>
  <si>
    <t xml:space="preserve">TAGTGCGTAGATCGCCTGTACGGC</t>
  </si>
  <si>
    <t xml:space="preserve">AAACGCCGTACAGGCGATCTACGC</t>
  </si>
  <si>
    <t xml:space="preserve">AATGCCATGCAGCACATGAT</t>
  </si>
  <si>
    <t xml:space="preserve">TAGTAATGCCATGCAGCACATGAT</t>
  </si>
  <si>
    <t xml:space="preserve">AAACATCATGTGCTGCATGGCATT</t>
  </si>
  <si>
    <t xml:space="preserve">CGGCGGATCGAGTTCGAAAC</t>
  </si>
  <si>
    <t xml:space="preserve">TAGTCGGCGGATCGAGTTCGAAAC</t>
  </si>
  <si>
    <t xml:space="preserve">AAACGTTTCGAACTCGATCCGCCG</t>
  </si>
  <si>
    <t xml:space="preserve">PSPPH_3070</t>
  </si>
  <si>
    <t xml:space="preserve">TGGCCGAGAATGTTAGGCAT</t>
  </si>
  <si>
    <t xml:space="preserve">TAGTTGGCCGAGAATGTTAGGCAT</t>
  </si>
  <si>
    <t xml:space="preserve">AAACATGCCTAACATTCTCGGCCA</t>
  </si>
  <si>
    <t xml:space="preserve">GGCCGCCAGCGATGAAGTTC</t>
  </si>
  <si>
    <t xml:space="preserve">TAGTGGCCGCCAGCGATGAAGTTC</t>
  </si>
  <si>
    <t xml:space="preserve">AAACGAACTTCATCGCTGGCGGCC</t>
  </si>
  <si>
    <t xml:space="preserve">CCAGACTTTTTTGCAGGCTT</t>
  </si>
  <si>
    <t xml:space="preserve">TAGTCCAGACTTTTTTGCAGGCTT</t>
  </si>
  <si>
    <t xml:space="preserve">AAACAAGCCTGCAAAAAAGTCTGG</t>
  </si>
  <si>
    <t xml:space="preserve">AGGCAGTTCTTCGCCTGTTG</t>
  </si>
  <si>
    <t xml:space="preserve">TAGTAGGCAGTTCTTCGCCTGTTG</t>
  </si>
  <si>
    <t xml:space="preserve">AAACCAACAGGCGAAGAACTGCCT</t>
  </si>
  <si>
    <t xml:space="preserve">PSPPH_3071</t>
  </si>
  <si>
    <t xml:space="preserve">CATGGCACCCAGACCGAGCA</t>
  </si>
  <si>
    <t xml:space="preserve">TAGTCATGGCACCCAGACCGAGCA</t>
  </si>
  <si>
    <t xml:space="preserve">AAACTGCTCGGTCTGGGTGCCATG</t>
  </si>
  <si>
    <t xml:space="preserve">CTTCGCCAGTTGATAGACAG</t>
  </si>
  <si>
    <t xml:space="preserve">TAGTCTTCGCCAGTTGATAGACAG</t>
  </si>
  <si>
    <t xml:space="preserve">AAACCTGTCTATCAACTGGCGAAG</t>
  </si>
  <si>
    <t xml:space="preserve">GGAGCCTTGTGTGTGCGGAG</t>
  </si>
  <si>
    <t xml:space="preserve">TAGTGGAGCCTTGTGTGTGCGGAG</t>
  </si>
  <si>
    <t xml:space="preserve">AAACCTCCGCACACACAAGGCTCC</t>
  </si>
  <si>
    <t xml:space="preserve">GATGCGGGTATCGCCGTGGC</t>
  </si>
  <si>
    <t xml:space="preserve">TAGTGATGCGGGTATCGCCGTGGC</t>
  </si>
  <si>
    <t xml:space="preserve">AAACGCCACGGCGATACCCGCATC</t>
  </si>
  <si>
    <t xml:space="preserve">PSPPH_3072</t>
  </si>
  <si>
    <t xml:space="preserve">tliF</t>
  </si>
  <si>
    <t xml:space="preserve">GTCAGCAAAGCGGCTTTCAG</t>
  </si>
  <si>
    <t xml:space="preserve">TAGTGTCAGCAAAGCGGCTTTCAG</t>
  </si>
  <si>
    <t xml:space="preserve">AAACCTGAAAGCCGCTTTGCTGAC</t>
  </si>
  <si>
    <t xml:space="preserve">TGAAGCAGTGCCCAGCAGGA</t>
  </si>
  <si>
    <t xml:space="preserve">TAGTTGAAGCAGTGCCCAGCAGGA</t>
  </si>
  <si>
    <t xml:space="preserve">AAACTCCTGCTGGGCACTGCTTCA</t>
  </si>
  <si>
    <t xml:space="preserve">CCAGCTCATAGACCTGAAAC</t>
  </si>
  <si>
    <t xml:space="preserve">TAGTCCAGCTCATAGACCTGAAAC</t>
  </si>
  <si>
    <t xml:space="preserve">AAACGTTTCAGGTCTATGAGCTGG</t>
  </si>
  <si>
    <t xml:space="preserve">TGAGCGCGCCCAGGTAAGTC</t>
  </si>
  <si>
    <t xml:space="preserve">TAGTTGAGCGCGCCCAGGTAAGTC</t>
  </si>
  <si>
    <t xml:space="preserve">AAACGACTTACCTGGGCGCGCTCA</t>
  </si>
  <si>
    <t xml:space="preserve">PSPPH_3073</t>
  </si>
  <si>
    <t xml:space="preserve">tliE</t>
  </si>
  <si>
    <t xml:space="preserve">CTGATCCAGCGGGGCGAGAC</t>
  </si>
  <si>
    <t xml:space="preserve">TAGTCTGATCCAGCGGGGCGAGAC</t>
  </si>
  <si>
    <t xml:space="preserve">AAACGTCTCGCCCCGCTGGATCAG</t>
  </si>
  <si>
    <t xml:space="preserve">CACCACGACGGTGCCTTGCA</t>
  </si>
  <si>
    <t xml:space="preserve">TAGTCACCACGACGGTGCCTTGCA</t>
  </si>
  <si>
    <t xml:space="preserve">AAACTGCAAGGCACCGTCGTGGTG</t>
  </si>
  <si>
    <t xml:space="preserve">GCCGCCATCCAGCGACTGCA</t>
  </si>
  <si>
    <t xml:space="preserve">TAGTGCCGCCATCCAGCGACTGCA</t>
  </si>
  <si>
    <t xml:space="preserve">AAACTGCAGTCGCTGGATGGCGGC</t>
  </si>
  <si>
    <t xml:space="preserve">GCTCGCCCTCCTTTACCGAC</t>
  </si>
  <si>
    <t xml:space="preserve">TAGTGCTCGCCCTCCTTTACCGAC</t>
  </si>
  <si>
    <t xml:space="preserve">AAACGTCGGTAAAGGAGGGCGAGC</t>
  </si>
  <si>
    <t xml:space="preserve">PSPPH_3075</t>
  </si>
  <si>
    <t xml:space="preserve">CAAAAGCCACTGGCACGATT</t>
  </si>
  <si>
    <t xml:space="preserve">TAGTCAAAAGCCACTGGCACGATT</t>
  </si>
  <si>
    <t xml:space="preserve">AAACAATCGTGCCAGTGGCTTTTG</t>
  </si>
  <si>
    <t xml:space="preserve">ATCGGGCAGTTTCAAACTCA</t>
  </si>
  <si>
    <t xml:space="preserve">TAGTATCGGGCAGTTTCAAACTCA</t>
  </si>
  <si>
    <t xml:space="preserve">AAACTGAGTTTGAAACTGCCCGAT</t>
  </si>
  <si>
    <t xml:space="preserve">CATTTGCCGCTGAGTTCAGC</t>
  </si>
  <si>
    <t xml:space="preserve">TAGTCATTTGCCGCTGAGTTCAGC</t>
  </si>
  <si>
    <t xml:space="preserve">AAACGCTGAACTCAGCGGCAAATG</t>
  </si>
  <si>
    <t xml:space="preserve">GTTTAGGTACATCGATATTG</t>
  </si>
  <si>
    <t xml:space="preserve">TAGTGTTTAGGTACATCGATATTG</t>
  </si>
  <si>
    <t xml:space="preserve">AAACCAATATCGATGTACCTAAAC</t>
  </si>
  <si>
    <t xml:space="preserve">PSPPH_3077</t>
  </si>
  <si>
    <t xml:space="preserve">GCTGTAATCCTGTTCGCGCA</t>
  </si>
  <si>
    <t xml:space="preserve">TAGTGCTGTAATCCTGTTCGCGCA</t>
  </si>
  <si>
    <t xml:space="preserve">AAACTGCGCGAACAGGATTACAGC</t>
  </si>
  <si>
    <t xml:space="preserve">CGGCCTGCATGCCAGTTTTA</t>
  </si>
  <si>
    <t xml:space="preserve">TAGTCGGCCTGCATGCCAGTTTTA</t>
  </si>
  <si>
    <t xml:space="preserve">AAACTAAAACTGGCATGCAGGCCG</t>
  </si>
  <si>
    <t xml:space="preserve">ACGACTAACCTCTAGCTGGT</t>
  </si>
  <si>
    <t xml:space="preserve">TAGTACGACTAACCTCTAGCTGGT</t>
  </si>
  <si>
    <t xml:space="preserve">AAACACCAGCTAGAGGTTAGTCGT</t>
  </si>
  <si>
    <t xml:space="preserve">GAAGACCGTAAGTGTTGCGC</t>
  </si>
  <si>
    <t xml:space="preserve">TAGTGAAGACCGTAAGTGTTGCGC</t>
  </si>
  <si>
    <t xml:space="preserve">AAACGCGCAACACTTACGGTCTTC</t>
  </si>
  <si>
    <t xml:space="preserve">PSPPH_3079</t>
  </si>
  <si>
    <t xml:space="preserve">TCGTTGAGGTCGAAATTGAT</t>
  </si>
  <si>
    <t xml:space="preserve">TAGTTCGTTGAGGTCGAAATTGAT</t>
  </si>
  <si>
    <t xml:space="preserve">AAACATCAATTTCGACCTCAACGA</t>
  </si>
  <si>
    <t xml:space="preserve">CCACGGCACGAAATGCCTGG</t>
  </si>
  <si>
    <t xml:space="preserve">TAGTCCACGGCACGAAATGCCTGG</t>
  </si>
  <si>
    <t xml:space="preserve">AAACCCAGGCATTTCGTGCCGTGG</t>
  </si>
  <si>
    <t xml:space="preserve">GTACGGTTTCAGCGGCCTTG</t>
  </si>
  <si>
    <t xml:space="preserve">TAGTGTACGGTTTCAGCGGCCTTG</t>
  </si>
  <si>
    <t xml:space="preserve">AAACCAAGGCCGCTGAAACCGTAC</t>
  </si>
  <si>
    <t xml:space="preserve">ACGGCGGCTGAGTGCAGGCT</t>
  </si>
  <si>
    <t xml:space="preserve">TAGTACGGCGGCTGAGTGCAGGCT</t>
  </si>
  <si>
    <t xml:space="preserve">AAACAGCCTGCACTCAGCCGCCGT</t>
  </si>
  <si>
    <t xml:space="preserve">PSPPH_3080</t>
  </si>
  <si>
    <t xml:space="preserve">CCGGAAGACGTCGCGTATTG</t>
  </si>
  <si>
    <t xml:space="preserve">TAGTCCGGAAGACGTCGCGTATTG</t>
  </si>
  <si>
    <t xml:space="preserve">AAACCAATACGCGACGTCTTCCGG</t>
  </si>
  <si>
    <t xml:space="preserve">GCCCATCGACGGGCCAAGGA</t>
  </si>
  <si>
    <t xml:space="preserve">TAGTGCCCATCGACGGGCCAAGGA</t>
  </si>
  <si>
    <t xml:space="preserve">AAACTCCTTGGCCCGTCGATGGGC</t>
  </si>
  <si>
    <t xml:space="preserve">GCGGTTTGGAATGGCCTCGG</t>
  </si>
  <si>
    <t xml:space="preserve">TAGTGCGGTTTGGAATGGCCTCGG</t>
  </si>
  <si>
    <t xml:space="preserve">AAACCCGAGGCCATTCCAAACCGC</t>
  </si>
  <si>
    <t xml:space="preserve">CGGCATGCTCGCCACGAGCC</t>
  </si>
  <si>
    <t xml:space="preserve">TAGTCGGCATGCTCGCCACGAGCC</t>
  </si>
  <si>
    <t xml:space="preserve">AAACGGCTCGTGGCGAGCATGCCG</t>
  </si>
  <si>
    <t xml:space="preserve">PSPPH_3081</t>
  </si>
  <si>
    <t xml:space="preserve">GGTGTTGCCTGTTCCTGATG</t>
  </si>
  <si>
    <t xml:space="preserve">TAGTGGTGTTGCCTGTTCCTGATG</t>
  </si>
  <si>
    <t xml:space="preserve">AAACCATCAGGAACAGGCAACACC</t>
  </si>
  <si>
    <t xml:space="preserve">TACTGCTCCGGCCTTCGACC</t>
  </si>
  <si>
    <t xml:space="preserve">TAGTTACTGCTCCGGCCTTCGACC</t>
  </si>
  <si>
    <t xml:space="preserve">AAACGGTCGAAGGCCGGAGCAGTA</t>
  </si>
  <si>
    <t xml:space="preserve">GGAAGAAGTCGAATTGCTCG</t>
  </si>
  <si>
    <t xml:space="preserve">TAGTGGAAGAAGTCGAATTGCTCG</t>
  </si>
  <si>
    <t xml:space="preserve">AAACCGAGCAATTCGACTTCTTCC</t>
  </si>
  <si>
    <t xml:space="preserve">GGGTGGCGTAAAAGCCAAAC</t>
  </si>
  <si>
    <t xml:space="preserve">TAGTGGGTGGCGTAAAAGCCAAAC</t>
  </si>
  <si>
    <t xml:space="preserve">AAACGTTTGGCTTTTACGCCACCC</t>
  </si>
  <si>
    <t xml:space="preserve">PSPPH_3082</t>
  </si>
  <si>
    <t xml:space="preserve">GGCGGCGGAAAAAAGTGAGA</t>
  </si>
  <si>
    <t xml:space="preserve">TAGTGGCGGCGGAAAAAAGTGAGA</t>
  </si>
  <si>
    <t xml:space="preserve">AAACTCTCACTTTTTTCCGCCGCC</t>
  </si>
  <si>
    <t xml:space="preserve">TCTTCGCGAGGAGGGCGCAT</t>
  </si>
  <si>
    <t xml:space="preserve">TAGTTCTTCGCGAGGAGGGCGCAT</t>
  </si>
  <si>
    <t xml:space="preserve">AAACATGCGCCCTCCTCGCGAAGA</t>
  </si>
  <si>
    <t xml:space="preserve">TACGGCTTTGGCGAACAGCA</t>
  </si>
  <si>
    <t xml:space="preserve">TAGTTACGGCTTTGGCGAACAGCA</t>
  </si>
  <si>
    <t xml:space="preserve">AAACTGCTGTTCGCCAAAGCCGTA</t>
  </si>
  <si>
    <t xml:space="preserve">CGTCTTGATAAAAAAACAAC</t>
  </si>
  <si>
    <t xml:space="preserve">TAGTCGTCTTGATAAAAAAACAAC</t>
  </si>
  <si>
    <t xml:space="preserve">AAACGTTGTTTTTTTATCAAGACG</t>
  </si>
  <si>
    <t xml:space="preserve">PSPPH_3083</t>
  </si>
  <si>
    <t xml:space="preserve">CTGACTACCAATAATGATCT</t>
  </si>
  <si>
    <t xml:space="preserve">TAGTCTGACTACCAATAATGATCT</t>
  </si>
  <si>
    <t xml:space="preserve">AAACAGATCATTATTGGTAGTCAG</t>
  </si>
  <si>
    <t xml:space="preserve">GACCGGACCACGGCGACTGG</t>
  </si>
  <si>
    <t xml:space="preserve">TAGTGACCGGACCACGGCGACTGG</t>
  </si>
  <si>
    <t xml:space="preserve">AAACCCAGTCGCCGTGGTCCGGTC</t>
  </si>
  <si>
    <t xml:space="preserve">TCCAGCGCTTCACGGGCACC</t>
  </si>
  <si>
    <t xml:space="preserve">TAGTTCCAGCGCTTCACGGGCACC</t>
  </si>
  <si>
    <t xml:space="preserve">AAACGGTGCCCGTGAAGCGCTGGA</t>
  </si>
  <si>
    <t xml:space="preserve">GCAACTGCTGCGGCGACAAC</t>
  </si>
  <si>
    <t xml:space="preserve">TAGTGCAACTGCTGCGGCGACAAC</t>
  </si>
  <si>
    <t xml:space="preserve">AAACGTTGTCGCCGCAGCAGTTGC</t>
  </si>
  <si>
    <t xml:space="preserve">PSPPH_3084</t>
  </si>
  <si>
    <t xml:space="preserve">GGTGTCGGCAAAAGGCGAAT</t>
  </si>
  <si>
    <t xml:space="preserve">TAGTGGTGTCGGCAAAAGGCGAAT</t>
  </si>
  <si>
    <t xml:space="preserve">AAACATTCGCCTTTTGCCGACACC</t>
  </si>
  <si>
    <t xml:space="preserve">GCGCAGGCAGCTGTCCAGTC</t>
  </si>
  <si>
    <t xml:space="preserve">TAGTGCGCAGGCAGCTGTCCAGTC</t>
  </si>
  <si>
    <t xml:space="preserve">AAACGACTGGACAGCTGCCTGCGC</t>
  </si>
  <si>
    <t xml:space="preserve">CGCCGTCGTCACGGCCCAGC</t>
  </si>
  <si>
    <t xml:space="preserve">TAGTCGCCGTCGTCACGGCCCAGC</t>
  </si>
  <si>
    <t xml:space="preserve">AAACGCTGGGCCGTGACGACGGCG</t>
  </si>
  <si>
    <t xml:space="preserve">GATTTCAATGGTGCGCATGA</t>
  </si>
  <si>
    <t xml:space="preserve">TAGTGATTTCAATGGTGCGCATGA</t>
  </si>
  <si>
    <t xml:space="preserve">AAACTCATGCGCACCATTGAAATC</t>
  </si>
  <si>
    <t xml:space="preserve">PSPPH_3085</t>
  </si>
  <si>
    <t xml:space="preserve">CGTCCAGCGACCAGTCGTTG</t>
  </si>
  <si>
    <t xml:space="preserve">TAGTCGTCCAGCGACCAGTCGTTG</t>
  </si>
  <si>
    <t xml:space="preserve">AAACCAACGACTGGTCGCTGGACG</t>
  </si>
  <si>
    <t xml:space="preserve">CAGGACGATACCTTCCTCAG</t>
  </si>
  <si>
    <t xml:space="preserve">TAGTCAGGACGATACCTTCCTCAG</t>
  </si>
  <si>
    <t xml:space="preserve">AAACCTGAGGAAGGTATCGTCCTG</t>
  </si>
  <si>
    <t xml:space="preserve">CTGGAGGATTTCAATGTGCT</t>
  </si>
  <si>
    <t xml:space="preserve">TAGTCTGGAGGATTTCAATGTGCT</t>
  </si>
  <si>
    <t xml:space="preserve">AAACAGCACATTGAAATCCTCCAG</t>
  </si>
  <si>
    <t xml:space="preserve">GGCCGGCGAAAGCTGAAACT</t>
  </si>
  <si>
    <t xml:space="preserve">TAGTGGCCGGCGAAAGCTGAAACT</t>
  </si>
  <si>
    <t xml:space="preserve">AAACAGTTTCAGCTTTCGCCGGCC</t>
  </si>
  <si>
    <t xml:space="preserve">PSPPH_3086</t>
  </si>
  <si>
    <t xml:space="preserve">AGGTGTTTCGGTAACAAGCG</t>
  </si>
  <si>
    <t xml:space="preserve">TAGTAGGTGTTTCGGTAACAAGCG</t>
  </si>
  <si>
    <t xml:space="preserve">AAACCGCTTGTTACCGAAACACCT</t>
  </si>
  <si>
    <t xml:space="preserve">GTCGCAAAGGGATGTTCTTC</t>
  </si>
  <si>
    <t xml:space="preserve">TAGTGTCGCAAAGGGATGTTCTTC</t>
  </si>
  <si>
    <t xml:space="preserve">AAACGAAGAACATCCCTTTGCGAC</t>
  </si>
  <si>
    <t xml:space="preserve">CTCGCGCTTCTTCGCGCGTC</t>
  </si>
  <si>
    <t xml:space="preserve">TAGTCTCGCGCTTCTTCGCGCGTC</t>
  </si>
  <si>
    <t xml:space="preserve">AAACGACGCGCGAAGAAGCGCGAG</t>
  </si>
  <si>
    <t xml:space="preserve">TTCATCGAGCAACATACCCA</t>
  </si>
  <si>
    <t xml:space="preserve">TAGTTTCATCGAGCAACATACCCA</t>
  </si>
  <si>
    <t xml:space="preserve">AAACTGGGTATGTTGCTCGATGAA</t>
  </si>
  <si>
    <t xml:space="preserve">PSPPH_3088</t>
  </si>
  <si>
    <t xml:space="preserve">cysG</t>
  </si>
  <si>
    <t xml:space="preserve">CCACGCAGGTTATGGAACAG</t>
  </si>
  <si>
    <t xml:space="preserve">TAGTCCACGCAGGTTATGGAACAG</t>
  </si>
  <si>
    <t xml:space="preserve">AAACCTGTTCCATAACCTGCGTGG</t>
  </si>
  <si>
    <t xml:space="preserve">CACCGCCGACCACCAGCACC</t>
  </si>
  <si>
    <t xml:space="preserve">TAGTCACCGCCGACCACCAGCACC</t>
  </si>
  <si>
    <t xml:space="preserve">AAACGGTGCTGGTGGTCGGCGGTG</t>
  </si>
  <si>
    <t xml:space="preserve">AATCAGGCGTGATTTGCGCA</t>
  </si>
  <si>
    <t xml:space="preserve">TAGTAATCAGGCGTGATTTGCGCA</t>
  </si>
  <si>
    <t xml:space="preserve">AAACTGCGCAAATCACGCCTGATT</t>
  </si>
  <si>
    <t xml:space="preserve">GCGCAGCACTGCGCCAGCGT</t>
  </si>
  <si>
    <t xml:space="preserve">TAGTGCGCAGCACTGCGCCAGCGT</t>
  </si>
  <si>
    <t xml:space="preserve">AAACACGCTGGCGCAGTGCTGCGC</t>
  </si>
  <si>
    <t xml:space="preserve">PSPPH_3089</t>
  </si>
  <si>
    <t xml:space="preserve">serS</t>
  </si>
  <si>
    <t xml:space="preserve">AAGTTGAGTACGTAACAGTT</t>
  </si>
  <si>
    <t xml:space="preserve">TAGTAAGTTGAGTACGTAACAGTT</t>
  </si>
  <si>
    <t xml:space="preserve">AAACAACTGTTACGTACTCAACTT</t>
  </si>
  <si>
    <t xml:space="preserve">GTGTAAAGCCACGGGAAGCC</t>
  </si>
  <si>
    <t xml:space="preserve">TAGTGTGTAAAGCCACGGGAAGCC</t>
  </si>
  <si>
    <t xml:space="preserve">AAACGGCTTCCCGTGGCTTTACAC</t>
  </si>
  <si>
    <t xml:space="preserve">GGTCTGCACCACCTTGCGCT</t>
  </si>
  <si>
    <t xml:space="preserve">TAGTGGTCTGCACCACCTTGCGCT</t>
  </si>
  <si>
    <t xml:space="preserve">AAACAGCGCAAGGTGGTGCAGACC</t>
  </si>
  <si>
    <t xml:space="preserve">GGCCTGCAGCTGTTCGGTGC</t>
  </si>
  <si>
    <t xml:space="preserve">TAGTGGCCTGCAGCTGTTCGGTGC</t>
  </si>
  <si>
    <t xml:space="preserve">AAACGCACCGAACAGCTGCAGGCC</t>
  </si>
  <si>
    <t xml:space="preserve">PSPPH_3090</t>
  </si>
  <si>
    <t xml:space="preserve">GGCAATCGACACCGCAAGAA</t>
  </si>
  <si>
    <t xml:space="preserve">TAGTGGCAATCGACACCGCAAGAA</t>
  </si>
  <si>
    <t xml:space="preserve">AAACTTCTTGCGGTGTCGATTGCC</t>
  </si>
  <si>
    <t xml:space="preserve">CAATAATGTACCAGCGATCC</t>
  </si>
  <si>
    <t xml:space="preserve">TAGTCAATAATGTACCAGCGATCC</t>
  </si>
  <si>
    <t xml:space="preserve">AAACGGATCGCTGGTACATTATTG</t>
  </si>
  <si>
    <t xml:space="preserve">TGGCCAGTTGGCGCTTACCC</t>
  </si>
  <si>
    <t xml:space="preserve">TAGTTGGCCAGTTGGCGCTTACCC</t>
  </si>
  <si>
    <t xml:space="preserve">AAACGGGTAAGCGCCAACTGGCCA</t>
  </si>
  <si>
    <t xml:space="preserve">GTTGCTGCGTAAAAATGTCG</t>
  </si>
  <si>
    <t xml:space="preserve">TAGTGTTGCTGCGTAAAAATGTCG</t>
  </si>
  <si>
    <t xml:space="preserve">AAACCGACATTTTTACGCAGCAAC</t>
  </si>
  <si>
    <t xml:space="preserve">PSPPH_3091</t>
  </si>
  <si>
    <t xml:space="preserve">GAGGCTGAGCTATCGGTTCG</t>
  </si>
  <si>
    <t xml:space="preserve">TAGTGAGGCTGAGCTATCGGTTCG</t>
  </si>
  <si>
    <t xml:space="preserve">AAACCGAACCGATAGCTCAGCCTC</t>
  </si>
  <si>
    <t xml:space="preserve">ACCGACGTATTCATCCAGAT</t>
  </si>
  <si>
    <t xml:space="preserve">TAGTACCGACGTATTCATCCAGAT</t>
  </si>
  <si>
    <t xml:space="preserve">AAACATCTGGATGAATACGTCGGT</t>
  </si>
  <si>
    <t xml:space="preserve">CTCACGCAGAGGCTTGCCGT</t>
  </si>
  <si>
    <t xml:space="preserve">TAGTCTCACGCAGAGGCTTGCCGT</t>
  </si>
  <si>
    <t xml:space="preserve">AAACACGGCAAGCCTCTGCGTGAG</t>
  </si>
  <si>
    <t xml:space="preserve">TAGTCTTGCCCACACCGGGC</t>
  </si>
  <si>
    <t xml:space="preserve">TAGTTAGTCTTGCCCACACCGGGC</t>
  </si>
  <si>
    <t xml:space="preserve">AAACGCCCGGTGTGGGCAAGACTA</t>
  </si>
  <si>
    <t xml:space="preserve">PSPPH_3092</t>
  </si>
  <si>
    <t xml:space="preserve">lolA</t>
  </si>
  <si>
    <t xml:space="preserve">AGCATGCGGATAAGACGCAT</t>
  </si>
  <si>
    <t xml:space="preserve">TAGTAGCATGCGGATAAGACGCAT</t>
  </si>
  <si>
    <t xml:space="preserve">AAACATGCGTCTTATCCGCATGCT</t>
  </si>
  <si>
    <t xml:space="preserve">CACGGAGAAGGTCAGTGCGG</t>
  </si>
  <si>
    <t xml:space="preserve">TAGTCACGGAGAAGGTCAGTGCGG</t>
  </si>
  <si>
    <t xml:space="preserve">AAACCCGCACTGACCTTCTCCGTG</t>
  </si>
  <si>
    <t xml:space="preserve">GTCCTTGCTGTCGGCATGGG</t>
  </si>
  <si>
    <t xml:space="preserve">TAGTGTCCTTGCTGTCGGCATGGG</t>
  </si>
  <si>
    <t xml:space="preserve">AAACCCCATGCCGACAGCAAGGAC</t>
  </si>
  <si>
    <t xml:space="preserve">ATTTCTCCAGCAACTGGGTC</t>
  </si>
  <si>
    <t xml:space="preserve">TAGTATTTCTCCAGCAACTGGGTC</t>
  </si>
  <si>
    <t xml:space="preserve">AAACGACCCAGTTGCTGGAGAAAT</t>
  </si>
  <si>
    <t xml:space="preserve">PSPPH_3093</t>
  </si>
  <si>
    <t xml:space="preserve">AACAGCGCTGGGTGCTGGGG</t>
  </si>
  <si>
    <t xml:space="preserve">TAGTAACAGCGCTGGGTGCTGGGG</t>
  </si>
  <si>
    <t xml:space="preserve">AAACCCCCAGCACCCAGCGCTGTT</t>
  </si>
  <si>
    <t xml:space="preserve">TGCAATTGCTGCCGCCAAAG</t>
  </si>
  <si>
    <t xml:space="preserve">TAGTTGCAATTGCTGCCGCCAAAG</t>
  </si>
  <si>
    <t xml:space="preserve">AAACCTTTGGCGGCAGCAATTGCA</t>
  </si>
  <si>
    <t xml:space="preserve">TCAGGGCCCCTTCCTTGAGC</t>
  </si>
  <si>
    <t xml:space="preserve">TAGTTCAGGGCCCCTTCCTTGAGC</t>
  </si>
  <si>
    <t xml:space="preserve">AAACGCTCAAGGAAGGGGCCCTGA</t>
  </si>
  <si>
    <t xml:space="preserve">GTACAGGCACAGGGCGCCAA</t>
  </si>
  <si>
    <t xml:space="preserve">TAGTGTACAGGCACAGGGCGCCAA</t>
  </si>
  <si>
    <t xml:space="preserve">AAACTTGGCGCCCTGTGCCTGTAC</t>
  </si>
  <si>
    <t xml:space="preserve">PSPPH_3094</t>
  </si>
  <si>
    <t xml:space="preserve">aat</t>
  </si>
  <si>
    <t xml:space="preserve">GCGGTTCAACCAGGTCAGCA</t>
  </si>
  <si>
    <t xml:space="preserve">TAGTGCGGTTCAACCAGGTCAGCA</t>
  </si>
  <si>
    <t xml:space="preserve">AAACTGCTGACCTGGTTGAACCGC</t>
  </si>
  <si>
    <t xml:space="preserve">TCTCCAGTGGCGGGAAATCC</t>
  </si>
  <si>
    <t xml:space="preserve">TAGTTCTCCAGTGGCGGGAAATCC</t>
  </si>
  <si>
    <t xml:space="preserve">AAACGGATTTCCCGCCACTGGAGA</t>
  </si>
  <si>
    <t xml:space="preserve">TAATCCGTTGGGCTCGCGGA</t>
  </si>
  <si>
    <t xml:space="preserve">TAGTTAATCCGTTGGGCTCGCGGA</t>
  </si>
  <si>
    <t xml:space="preserve">AAACTCCGCGAGCCCAACGGATTA</t>
  </si>
  <si>
    <t xml:space="preserve">GGCCGACAGGTCTCCACCGG</t>
  </si>
  <si>
    <t xml:space="preserve">TAGTGGCCGACAGGTCTCCACCGG</t>
  </si>
  <si>
    <t xml:space="preserve">AAACCCGGTGGAGACCTGTCGGCC</t>
  </si>
  <si>
    <t xml:space="preserve">PSPPH_3095</t>
  </si>
  <si>
    <t xml:space="preserve">CAGCCTCGCCAGCTCTGTCA</t>
  </si>
  <si>
    <t xml:space="preserve">TAGTCAGCCTCGCCAGCTCTGTCA</t>
  </si>
  <si>
    <t xml:space="preserve">AAACTGACAGAGCTGGCGAGGCTG</t>
  </si>
  <si>
    <t xml:space="preserve">ACTGCAGGTGTGCGGTTGAG</t>
  </si>
  <si>
    <t xml:space="preserve">TAGTACTGCAGGTGTGCGGTTGAG</t>
  </si>
  <si>
    <t xml:space="preserve">AAACCTCAACCGCACACCTGCAGT</t>
  </si>
  <si>
    <t xml:space="preserve">TCGTCGCCTGCTCTTCAGGC</t>
  </si>
  <si>
    <t xml:space="preserve">TAGTTCGTCGCCTGCTCTTCAGGC</t>
  </si>
  <si>
    <t xml:space="preserve">AAACGCCTGAAGAGCAGGCGACGA</t>
  </si>
  <si>
    <t xml:space="preserve">CTGGCTGGGGTCCAGAAACA</t>
  </si>
  <si>
    <t xml:space="preserve">TAGTCTGGCTGGGGTCCAGAAACA</t>
  </si>
  <si>
    <t xml:space="preserve">AAACTGTTTCTGGACCCCAGCCAG</t>
  </si>
  <si>
    <t xml:space="preserve">PSPPH_3096</t>
  </si>
  <si>
    <t xml:space="preserve">infA</t>
  </si>
  <si>
    <t xml:space="preserve">GCGGAACATGGTGTTGGGCA</t>
  </si>
  <si>
    <t xml:space="preserve">TAGTGCGGAACATGGTGTTGGGCA</t>
  </si>
  <si>
    <t xml:space="preserve">AAACTGCCCAACACCATGTTCCGC</t>
  </si>
  <si>
    <t xml:space="preserve">CATCTTGCCGGAGATATGCG</t>
  </si>
  <si>
    <t xml:space="preserve">TAGTCATCTTGCCGGAGATATGCG</t>
  </si>
  <si>
    <t xml:space="preserve">AAACCGCATATCTCCGGCAAGATG</t>
  </si>
  <si>
    <t xml:space="preserve">CTTTGTCACCGGTCAGAATA</t>
  </si>
  <si>
    <t xml:space="preserve">TAGTCTTTGTCACCGGTCAGAATA</t>
  </si>
  <si>
    <t xml:space="preserve">AAACTATTCTGACCGGTGACAAAG</t>
  </si>
  <si>
    <t xml:space="preserve">CGCCCTTTGCTCAGGTCATA</t>
  </si>
  <si>
    <t xml:space="preserve">TAGTCGCCCTTTGCTCAGGTCATA</t>
  </si>
  <si>
    <t xml:space="preserve">AAACTATGACCTGAGCAAAGGGCG</t>
  </si>
  <si>
    <t xml:space="preserve">PSPPH_3097</t>
  </si>
  <si>
    <t xml:space="preserve">clpA</t>
  </si>
  <si>
    <t xml:space="preserve">TGAGGGTGACTTCGAGCTCA</t>
  </si>
  <si>
    <t xml:space="preserve">TAGTTGAGGGTGACTTCGAGCTCA</t>
  </si>
  <si>
    <t xml:space="preserve">AAACTGAGCTCGAAGTCACCCTCA</t>
  </si>
  <si>
    <t xml:space="preserve">CTTCGAACGTGCCTCCTTGA</t>
  </si>
  <si>
    <t xml:space="preserve">TAGTCTTCGAACGTGCCTCCTTGA</t>
  </si>
  <si>
    <t xml:space="preserve">AAACTCAAGGAGGCACGTTCGAAG</t>
  </si>
  <si>
    <t xml:space="preserve">TATCCAATAGAGCCAGCAGG</t>
  </si>
  <si>
    <t xml:space="preserve">TAGTTATCCAATAGAGCCAGCAGG</t>
  </si>
  <si>
    <t xml:space="preserve">AAACCCTGCTGGCTCTATTGGATA</t>
  </si>
  <si>
    <t xml:space="preserve">ACCGCAGGCACGCAGAACAG</t>
  </si>
  <si>
    <t xml:space="preserve">TAGTACCGCAGGCACGCAGAACAG</t>
  </si>
  <si>
    <t xml:space="preserve">AAACCTGTTCTGCGTGCCTGCGGT</t>
  </si>
  <si>
    <t xml:space="preserve">PSPPH_3098</t>
  </si>
  <si>
    <t xml:space="preserve">ATCTTGCTAAATGCATGCAT</t>
  </si>
  <si>
    <t xml:space="preserve">TAGTATCTTGCTAAATGCATGCAT</t>
  </si>
  <si>
    <t xml:space="preserve">AAACATGCATGCATTTAGCAAGAT</t>
  </si>
  <si>
    <t xml:space="preserve">GCGTCGTCCTCGTGCGACTG</t>
  </si>
  <si>
    <t xml:space="preserve">TAGTGCGTCGTCCTCGTGCGACTG</t>
  </si>
  <si>
    <t xml:space="preserve">AAACCAGTCGCACGAGGACGACGC</t>
  </si>
  <si>
    <t xml:space="preserve">TGGCGCCTGCAGGGTCGGCT</t>
  </si>
  <si>
    <t xml:space="preserve">TAGTTGGCGCCTGCAGGGTCGGCT</t>
  </si>
  <si>
    <t xml:space="preserve">AAACAGCCGACCCTGCAGGCGCCA</t>
  </si>
  <si>
    <t xml:space="preserve">AAAACCACCTTGTACATCGG</t>
  </si>
  <si>
    <t xml:space="preserve">TAGTAAAACCACCTTGTACATCGG</t>
  </si>
  <si>
    <t xml:space="preserve">AAACCCGATGTACAAGGTGGTTTT</t>
  </si>
  <si>
    <t xml:space="preserve">PSPPH_3099</t>
  </si>
  <si>
    <t xml:space="preserve">cspD</t>
  </si>
  <si>
    <t xml:space="preserve">TGGGCGAACAAGTCGTCATC</t>
  </si>
  <si>
    <t xml:space="preserve">TAGTTGGGCGAACAAGTCGTCATC</t>
  </si>
  <si>
    <t xml:space="preserve">AAACGATGACGACTTGTTCGCCCA</t>
  </si>
  <si>
    <t xml:space="preserve">CCATCTGGATGGTCGAAAAA</t>
  </si>
  <si>
    <t xml:space="preserve">TAGTCCATCTGGATGGTCGAAAAA</t>
  </si>
  <si>
    <t xml:space="preserve">AAACTTTTTCGACCATCCAGATGG</t>
  </si>
  <si>
    <t xml:space="preserve">GACCGGCTGGCCGGCTTTGA</t>
  </si>
  <si>
    <t xml:space="preserve">TAGTGACCGGCTGGCCGGCTTTGA</t>
  </si>
  <si>
    <t xml:space="preserve">AAACTCAAAGCCGGCCAGCCGGTC</t>
  </si>
  <si>
    <t xml:space="preserve">TTCACGGCATGCAGCCCTTT</t>
  </si>
  <si>
    <t xml:space="preserve">TAGTTTCACGGCATGCAGCCCTTT</t>
  </si>
  <si>
    <t xml:space="preserve">AAACAAAGGGCTGCATGCCGTGAA</t>
  </si>
  <si>
    <t xml:space="preserve">PSPPH_3100</t>
  </si>
  <si>
    <t xml:space="preserve">GTAGATGATCTTCGAGCGGT</t>
  </si>
  <si>
    <t xml:space="preserve">TAGTGTAGATGATCTTCGAGCGGT</t>
  </si>
  <si>
    <t xml:space="preserve">AAACACCGCTCGAAGATCATCTAC</t>
  </si>
  <si>
    <t xml:space="preserve">GGCCGGAGCTTCGTCGGTGA</t>
  </si>
  <si>
    <t xml:space="preserve">TAGTGGCCGGAGCTTCGTCGGTGA</t>
  </si>
  <si>
    <t xml:space="preserve">AAACTCACCGACGAAGCTCCGGCC</t>
  </si>
  <si>
    <t xml:space="preserve">CAGCAGCGAATAGGTGGCGA</t>
  </si>
  <si>
    <t xml:space="preserve">TAGTCAGCAGCGAATAGGTGGCGA</t>
  </si>
  <si>
    <t xml:space="preserve">AAACTCGCCACCTATTCGCTGCTG</t>
  </si>
  <si>
    <t xml:space="preserve">GCTGTGAAAGCTTCGATAAT</t>
  </si>
  <si>
    <t xml:space="preserve">TAGTGCTGTGAAAGCTTCGATAAT</t>
  </si>
  <si>
    <t xml:space="preserve">AAACATTATCGAAGCTTTCACAGC</t>
  </si>
  <si>
    <t xml:space="preserve">PSPPH_3101</t>
  </si>
  <si>
    <t xml:space="preserve">AACGTGGGCTTGCCAGGTCA</t>
  </si>
  <si>
    <t xml:space="preserve">TAGTAACGTGGGCTTGCCAGGTCA</t>
  </si>
  <si>
    <t xml:space="preserve">AAACTGACCTGGCAAGCCCACGTT</t>
  </si>
  <si>
    <t xml:space="preserve">ATCTTCGACGATGGTGGCGA</t>
  </si>
  <si>
    <t xml:space="preserve">TAGTATCTTCGACGATGGTGGCGA</t>
  </si>
  <si>
    <t xml:space="preserve">AAACTCGCCACCATCGTCGAAGAT</t>
  </si>
  <si>
    <t xml:space="preserve">CTTTCATTTCTTCGACGAAC</t>
  </si>
  <si>
    <t xml:space="preserve">TAGTCTTTCATTTCTTCGACGAAC</t>
  </si>
  <si>
    <t xml:space="preserve">AAACGTTCGTCGAAGAAATGAAAG</t>
  </si>
  <si>
    <t xml:space="preserve">CCCGGCGGGTTGGTTGAGTA</t>
  </si>
  <si>
    <t xml:space="preserve">TAGTCCCGGCGGGTTGGTTGAGTA</t>
  </si>
  <si>
    <t xml:space="preserve">AAACTACTCAACCAACCCGCCGGG</t>
  </si>
  <si>
    <t xml:space="preserve">PSPPH_3102</t>
  </si>
  <si>
    <t xml:space="preserve">trmU</t>
  </si>
  <si>
    <t xml:space="preserve">GAGGGGGCTGGATCACGCAT</t>
  </si>
  <si>
    <t xml:space="preserve">TAGTGAGGGGGCTGGATCACGCAT</t>
  </si>
  <si>
    <t xml:space="preserve">AAACATGCGTGATCCAGCCCCCTC</t>
  </si>
  <si>
    <t xml:space="preserve">AACGGAAGAGTCCACGCCGC</t>
  </si>
  <si>
    <t xml:space="preserve">TAGTAACGGAAGAGTCCACGCCGC</t>
  </si>
  <si>
    <t xml:space="preserve">AAACGCGGCGTGGACTCTTCCGTT</t>
  </si>
  <si>
    <t xml:space="preserve">CTGCTCCATGAGCAGTACGG</t>
  </si>
  <si>
    <t xml:space="preserve">TAGTCTGCTCCATGAGCAGTACGG</t>
  </si>
  <si>
    <t xml:space="preserve">AAACCCGTACTGCTCATGGAGCAG</t>
  </si>
  <si>
    <t xml:space="preserve">ATCTGCCAGGTCTTCGCGGG</t>
  </si>
  <si>
    <t xml:space="preserve">TAGTATCTGCCAGGTCTTCGCGGG</t>
  </si>
  <si>
    <t xml:space="preserve">AAACCCCGCGAAGACCTGGCAGAT</t>
  </si>
  <si>
    <t xml:space="preserve">PSPPH_3103</t>
  </si>
  <si>
    <t xml:space="preserve">GATCAGTTGTTCCTGAATCG</t>
  </si>
  <si>
    <t xml:space="preserve">TAGTGATCAGTTGTTCCTGAATCG</t>
  </si>
  <si>
    <t xml:space="preserve">AAACCGATTCAGGAACAACTGATC</t>
  </si>
  <si>
    <t xml:space="preserve">GGCGATCCGGTCGACCAGTA</t>
  </si>
  <si>
    <t xml:space="preserve">TAGTGGCGATCCGGTCGACCAGTA</t>
  </si>
  <si>
    <t xml:space="preserve">AAACTACTGGTCGACCGGATCGCC</t>
  </si>
  <si>
    <t xml:space="preserve">TTCGCTGACCTGTCCGGTCT</t>
  </si>
  <si>
    <t xml:space="preserve">TAGTTTCGCTGACCTGTCCGGTCT</t>
  </si>
  <si>
    <t xml:space="preserve">AAACAGACCGGACAGGTCAGCGAA</t>
  </si>
  <si>
    <t xml:space="preserve">GCCGAGCATGCAGCTCAGCG</t>
  </si>
  <si>
    <t xml:space="preserve">TAGTGCCGAGCATGCAGCTCAGCG</t>
  </si>
  <si>
    <t xml:space="preserve">AAACCGCTGAGCTGCATGCTCGGC</t>
  </si>
  <si>
    <t xml:space="preserve">PSPPH_3104</t>
  </si>
  <si>
    <t xml:space="preserve">purB</t>
  </si>
  <si>
    <t xml:space="preserve">GTGAGCGAAGAAAGCTGCAT</t>
  </si>
  <si>
    <t xml:space="preserve">TAGTGTGAGCGAAGAAAGCTGCAT</t>
  </si>
  <si>
    <t xml:space="preserve">AAACATGCAGCTTTCTTCGCTCAC</t>
  </si>
  <si>
    <t xml:space="preserve">GGCGTAGCGGCCATCAACAG</t>
  </si>
  <si>
    <t xml:space="preserve">TAGTGGCGTAGCGGCCATCAACAG</t>
  </si>
  <si>
    <t xml:space="preserve">AAACCTGTTGATGGCCGCTACGCC</t>
  </si>
  <si>
    <t xml:space="preserve">GCGCAAGGCCTGGGTTTTGC</t>
  </si>
  <si>
    <t xml:space="preserve">TAGTGCGCAAGGCCTGGGTTTTGC</t>
  </si>
  <si>
    <t xml:space="preserve">AAACGCAAAACCCAGGCCTTGCGC</t>
  </si>
  <si>
    <t xml:space="preserve">GGCCGTATTCGCTGAAAATA</t>
  </si>
  <si>
    <t xml:space="preserve">TAGTGGCCGTATTCGCTGAAAATA</t>
  </si>
  <si>
    <t xml:space="preserve">AAACTATTTTCAGCGAATACGGCC</t>
  </si>
  <si>
    <t xml:space="preserve">PSPPH_3105</t>
  </si>
  <si>
    <t xml:space="preserve">AGAAGTTGCAGAGGAATATC</t>
  </si>
  <si>
    <t xml:space="preserve">TAGTAGAAGTTGCAGAGGAATATC</t>
  </si>
  <si>
    <t xml:space="preserve">AAACGATATTCCTCTGCAACTTCT</t>
  </si>
  <si>
    <t xml:space="preserve">GAAAGTCCGGCAGAGCCTGG</t>
  </si>
  <si>
    <t xml:space="preserve">TAGTGAAAGTCCGGCAGAGCCTGG</t>
  </si>
  <si>
    <t xml:space="preserve">AAACCCAGGCTCTGCCGGACTTTC</t>
  </si>
  <si>
    <t xml:space="preserve">CCAGCTCGTCCGCATCGATC</t>
  </si>
  <si>
    <t xml:space="preserve">TAGTCCAGCTCGTCCGCATCGATC</t>
  </si>
  <si>
    <t xml:space="preserve">AAACGATCGATGCGGACGAGCTGG</t>
  </si>
  <si>
    <t xml:space="preserve">CGACTTCTTCCTCTAGAGCA</t>
  </si>
  <si>
    <t xml:space="preserve">TAGTCGACTTCTTCCTCTAGAGCA</t>
  </si>
  <si>
    <t xml:space="preserve">AAACTGCTCTAGAGGAAGAAGTCG</t>
  </si>
  <si>
    <t xml:space="preserve">PSPPH_3106</t>
  </si>
  <si>
    <t xml:space="preserve">CTGCCATTGTGCGACAGCTA</t>
  </si>
  <si>
    <t xml:space="preserve">TAGTCTGCCATTGTGCGACAGCTA</t>
  </si>
  <si>
    <t xml:space="preserve">AAACTAGCTGTCGCACAATGGCAG</t>
  </si>
  <si>
    <t xml:space="preserve">ATCGCGTATGCGCCGGATGT</t>
  </si>
  <si>
    <t xml:space="preserve">TAGTATCGCGTATGCGCCGGATGT</t>
  </si>
  <si>
    <t xml:space="preserve">AAACACATCCGGCGCATACGCGAT</t>
  </si>
  <si>
    <t xml:space="preserve">CTCCGGTGGCACCGATTGCT</t>
  </si>
  <si>
    <t xml:space="preserve">TAGTCTCCGGTGGCACCGATTGCT</t>
  </si>
  <si>
    <t xml:space="preserve">AAACAGCAATCGGTGCCACCGGAG</t>
  </si>
  <si>
    <t xml:space="preserve">TTCATAGGCGAGAAAATGCA</t>
  </si>
  <si>
    <t xml:space="preserve">TAGTTTCATAGGCGAGAAAATGCA</t>
  </si>
  <si>
    <t xml:space="preserve">AAACTGCATTTTCTCGCCTATGAA</t>
  </si>
  <si>
    <t xml:space="preserve">PSPPH_3107</t>
  </si>
  <si>
    <t xml:space="preserve">TTACCACGTTAAGCAGGTTA</t>
  </si>
  <si>
    <t xml:space="preserve">TAGTTTACCACGTTAAGCAGGTTA</t>
  </si>
  <si>
    <t xml:space="preserve">AAACTAACCTGCTTAACGTGGTAA</t>
  </si>
  <si>
    <t xml:space="preserve">GCTGAATGCGATCAGCACTG</t>
  </si>
  <si>
    <t xml:space="preserve">TAGTGCTGAATGCGATCAGCACTG</t>
  </si>
  <si>
    <t xml:space="preserve">AAACCAGTGCTGATCGCATTCAGC</t>
  </si>
  <si>
    <t xml:space="preserve">AACGACTTCGGTCGCTGAAA</t>
  </si>
  <si>
    <t xml:space="preserve">TAGTAACGACTTCGGTCGCTGAAA</t>
  </si>
  <si>
    <t xml:space="preserve">AAACTTTCAGCGACCGAAGTCGTT</t>
  </si>
  <si>
    <t xml:space="preserve">GCACTGGTGCGGTAATTGAG</t>
  </si>
  <si>
    <t xml:space="preserve">TAGTGCACTGGTGCGGTAATTGAG</t>
  </si>
  <si>
    <t xml:space="preserve">AAACCTCAATTACCGCACCAGTGC</t>
  </si>
  <si>
    <t xml:space="preserve">PSPPH_3108</t>
  </si>
  <si>
    <t xml:space="preserve">aceA</t>
  </si>
  <si>
    <t xml:space="preserve">GGCCCAGTCTTTTTCGAGAG</t>
  </si>
  <si>
    <t xml:space="preserve">TAGTGGCCCAGTCTTTTTCGAGAG</t>
  </si>
  <si>
    <t xml:space="preserve">AAACCTCTCGAAAAAGACTGGGCC</t>
  </si>
  <si>
    <t xml:space="preserve">GTTTTTCCAGCGCGGATTTT</t>
  </si>
  <si>
    <t xml:space="preserve">TAGTGTTTTTCCAGCGCGGATTTT</t>
  </si>
  <si>
    <t xml:space="preserve">AAACAAAATCCGCGCTGGAAAAAC</t>
  </si>
  <si>
    <t xml:space="preserve">CATCGGCTGCGGAGTAAGTA</t>
  </si>
  <si>
    <t xml:space="preserve">TAGTCATCGGCTGCGGAGTAAGTA</t>
  </si>
  <si>
    <t xml:space="preserve">AAACTACTTACTCCGCAGCCGATG</t>
  </si>
  <si>
    <t xml:space="preserve">GTTGAACCGAGCCACGCAAG</t>
  </si>
  <si>
    <t xml:space="preserve">TAGTGTTGAACCGAGCCACGCAAG</t>
  </si>
  <si>
    <t xml:space="preserve">AAACCTTGCGTGGCTCGGTTCAAC</t>
  </si>
  <si>
    <t xml:space="preserve">PSPPH_3109</t>
  </si>
  <si>
    <t xml:space="preserve">nuoA</t>
  </si>
  <si>
    <t xml:space="preserve">GCAATCAGACCTGTCGATTC</t>
  </si>
  <si>
    <t xml:space="preserve">TAGTGCAATCAGACCTGTCGATTC</t>
  </si>
  <si>
    <t xml:space="preserve">AAACGAATCGACAGGTCTGATTGC</t>
  </si>
  <si>
    <t xml:space="preserve">AATGGCGAAGCCCCAGTTGT</t>
  </si>
  <si>
    <t xml:space="preserve">TAGTAATGGCGAAGCCCCAGTTGT</t>
  </si>
  <si>
    <t xml:space="preserve">AAACACAACTGGGGCTTCGCCATT</t>
  </si>
  <si>
    <t xml:space="preserve">AGAGGCCGACAACACCCAAA</t>
  </si>
  <si>
    <t xml:space="preserve">TAGTAGAGGCCGACAACACCCAAA</t>
  </si>
  <si>
    <t xml:space="preserve">AAACTTTGGGTGTTGTCGGCCTCT</t>
  </si>
  <si>
    <t xml:space="preserve">GCTGGACAGGCCGAGCATGA</t>
  </si>
  <si>
    <t xml:space="preserve">TAGTGCTGGACAGGCCGAGCATGA</t>
  </si>
  <si>
    <t xml:space="preserve">AAACTCATGCTCGGCCTGTCCAGC</t>
  </si>
  <si>
    <t xml:space="preserve">PSPPH_3110</t>
  </si>
  <si>
    <t xml:space="preserve">nuoB</t>
  </si>
  <si>
    <t xml:space="preserve">AGGAGCGTCCGGGTCGATCC</t>
  </si>
  <si>
    <t xml:space="preserve">TAGTAGGAGCGTCCGGGTCGATCC</t>
  </si>
  <si>
    <t xml:space="preserve">AAACGGATCGACCCGGACGCTCCT</t>
  </si>
  <si>
    <t xml:space="preserve">CCGATGGGGTACTGCTCGTT</t>
  </si>
  <si>
    <t xml:space="preserve">TAGTCCGATGGGGTACTGCTCGTT</t>
  </si>
  <si>
    <t xml:space="preserve">AAACAACGAGCAGTACCCCATCGG</t>
  </si>
  <si>
    <t xml:space="preserve">ATCTTCTAACGGATCGGAAA</t>
  </si>
  <si>
    <t xml:space="preserve">TAGTATCTTCTAACGGATCGGAAA</t>
  </si>
  <si>
    <t xml:space="preserve">AAACTTTCCGATCCGTTAGAAGAT</t>
  </si>
  <si>
    <t xml:space="preserve">TGCCCATGTAGATGTTTTTG</t>
  </si>
  <si>
    <t xml:space="preserve">TAGTTGCCCATGTAGATGTTTTTG</t>
  </si>
  <si>
    <t xml:space="preserve">AAACCAAAAACATCTACATGGGCA</t>
  </si>
  <si>
    <t xml:space="preserve">PSPPH_3111</t>
  </si>
  <si>
    <t xml:space="preserve">nuoCD</t>
  </si>
  <si>
    <t xml:space="preserve">AGAGCGTTGTCTGCAGTCAT</t>
  </si>
  <si>
    <t xml:space="preserve">TAGTAGAGCGTTGTCTGCAGTCAT</t>
  </si>
  <si>
    <t xml:space="preserve">AAACATGACTGCAGACAACGCTCT</t>
  </si>
  <si>
    <t xml:space="preserve">GGTCGTCAGCCTTGTAAGGC</t>
  </si>
  <si>
    <t xml:space="preserve">TAGTGGTCGTCAGCCTTGTAAGGC</t>
  </si>
  <si>
    <t xml:space="preserve">AAACGCCTTACAAGGCTGACGACC</t>
  </si>
  <si>
    <t xml:space="preserve">TCAGTTCAACGACGACGTCT</t>
  </si>
  <si>
    <t xml:space="preserve">TAGTTCAGTTCAACGACGACGTCT</t>
  </si>
  <si>
    <t xml:space="preserve">AAACAGACGTCGTCGTTGAACTGA</t>
  </si>
  <si>
    <t xml:space="preserve">GAACGCCTCGGCGCCAAAAT</t>
  </si>
  <si>
    <t xml:space="preserve">TAGTGAACGCCTCGGCGCCAAAAT</t>
  </si>
  <si>
    <t xml:space="preserve">AAACATTTTGGCGCCGAGGCGTTC</t>
  </si>
  <si>
    <t xml:space="preserve">PSPPH_3112</t>
  </si>
  <si>
    <t xml:space="preserve">nuoE</t>
  </si>
  <si>
    <t xml:space="preserve">AACGGTCAGTCTGGATTAGC</t>
  </si>
  <si>
    <t xml:space="preserve">TAGTAACGGTCAGTCTGGATTAGC</t>
  </si>
  <si>
    <t xml:space="preserve">AAACGCTAATCCAGACTGACCGTT</t>
  </si>
  <si>
    <t xml:space="preserve">CGAGCGCTCGGTTTCGCTCA</t>
  </si>
  <si>
    <t xml:space="preserve">TAGTCGAGCGCTCGGTTTCGCTCA</t>
  </si>
  <si>
    <t xml:space="preserve">AAACTGAGCGAAACCGAGCGCTCG</t>
  </si>
  <si>
    <t xml:space="preserve">GTGATGCATCTCGTGCTCGA</t>
  </si>
  <si>
    <t xml:space="preserve">TAGTGTGATGCATCTCGTGCTCGA</t>
  </si>
  <si>
    <t xml:space="preserve">AAACTCGAGCACGAGATGCATCAC</t>
  </si>
  <si>
    <t xml:space="preserve">CCTCGATGGACGCCGCACGC</t>
  </si>
  <si>
    <t xml:space="preserve">TAGTCCTCGATGGACGCCGCACGC</t>
  </si>
  <si>
    <t xml:space="preserve">AAACGCGTGCGGCGTCCATCGAGG</t>
  </si>
  <si>
    <t xml:space="preserve">PSPPH_3113</t>
  </si>
  <si>
    <t xml:space="preserve">nuoF</t>
  </si>
  <si>
    <t xml:space="preserve">GGCAGGGCCGAAGGAAGTGA</t>
  </si>
  <si>
    <t xml:space="preserve">TAGTGGCAGGGCCGAAGGAAGTGA</t>
  </si>
  <si>
    <t xml:space="preserve">AAACTCACTTCCTTCGGCCCTGCC</t>
  </si>
  <si>
    <t xml:space="preserve">TGCCGTGCGCGCAATGCGGT</t>
  </si>
  <si>
    <t xml:space="preserve">TAGTTGCCGTGCGCGCAATGCGGT</t>
  </si>
  <si>
    <t xml:space="preserve">AAACACCGCATTGCGCGCACGGCA</t>
  </si>
  <si>
    <t xml:space="preserve">CAGACGCCAGGTCAGCGGGT</t>
  </si>
  <si>
    <t xml:space="preserve">TAGTCAGACGCCAGGTCAGCGGGT</t>
  </si>
  <si>
    <t xml:space="preserve">AAACACCCGCTGACCTGGCGTCTG</t>
  </si>
  <si>
    <t xml:space="preserve">TGATACTCGTCGAGCCAGAC</t>
  </si>
  <si>
    <t xml:space="preserve">TAGTTGATACTCGTCGAGCCAGAC</t>
  </si>
  <si>
    <t xml:space="preserve">AAACGTCTGGCTCGACGAGTATCA</t>
  </si>
  <si>
    <t xml:space="preserve">PSPPH_3114</t>
  </si>
  <si>
    <t xml:space="preserve">nuoG</t>
  </si>
  <si>
    <t xml:space="preserve">GTCTACGTGAATAGTAGCCA</t>
  </si>
  <si>
    <t xml:space="preserve">TAGTGTCTACGTGAATAGTAGCCA</t>
  </si>
  <si>
    <t xml:space="preserve">AAACTGGCTACTATTCACGTAGAC</t>
  </si>
  <si>
    <t xml:space="preserve">GCGACAGACATGCCTGTAAC</t>
  </si>
  <si>
    <t xml:space="preserve">TAGTGCGACAGACATGCCTGTAAC</t>
  </si>
  <si>
    <t xml:space="preserve">AAACGTTACAGGCATGTCTGTCGC</t>
  </si>
  <si>
    <t xml:space="preserve">AGCAGAAATAAGGGATATCG</t>
  </si>
  <si>
    <t xml:space="preserve">TAGTAGCAGAAATAAGGGATATCG</t>
  </si>
  <si>
    <t xml:space="preserve">AAACCGATATCCCTTATTTCTGCT</t>
  </si>
  <si>
    <t xml:space="preserve">CGCCAACGCTGCCAAGGGCG</t>
  </si>
  <si>
    <t xml:space="preserve">TAGTCGCCAACGCTGCCAAGGGCG</t>
  </si>
  <si>
    <t xml:space="preserve">AAACCGCCCTTGGCAGCGTTGGCG</t>
  </si>
  <si>
    <t xml:space="preserve">PSPPH_3115</t>
  </si>
  <si>
    <t xml:space="preserve">nuoH</t>
  </si>
  <si>
    <t xml:space="preserve">GATCACATCAGGGGTAAACC</t>
  </si>
  <si>
    <t xml:space="preserve">TAGTGATCACATCAGGGGTAAACC</t>
  </si>
  <si>
    <t xml:space="preserve">AAACGGTTTACCCCTGATGTGATC</t>
  </si>
  <si>
    <t xml:space="preserve">GACCGCCAGCAACACCACGA</t>
  </si>
  <si>
    <t xml:space="preserve">TAGTGACCGCCAGCAACACCACGA</t>
  </si>
  <si>
    <t xml:space="preserve">AAACTCGTGGTGTTGCTGGCGGTC</t>
  </si>
  <si>
    <t xml:space="preserve">ACGTTCGATAAAGCTCAGCA</t>
  </si>
  <si>
    <t xml:space="preserve">TAGTACGTTCGATAAAGCTCAGCA</t>
  </si>
  <si>
    <t xml:space="preserve">AAACTGCTGAGCTTTATCGAACGT</t>
  </si>
  <si>
    <t xml:space="preserve">CTACGCGGTTCGGACCATAA</t>
  </si>
  <si>
    <t xml:space="preserve">TAGTCTACGCGGTTCGGACCATAA</t>
  </si>
  <si>
    <t xml:space="preserve">AAACTTATGGTCCGAACCGCGTAG</t>
  </si>
  <si>
    <t xml:space="preserve">PSPPH_3116</t>
  </si>
  <si>
    <t xml:space="preserve">nuoI</t>
  </si>
  <si>
    <t xml:space="preserve">TCACCAATATATTTGAACAT</t>
  </si>
  <si>
    <t xml:space="preserve">TAGTTCACCAATATATTTGAACAT</t>
  </si>
  <si>
    <t xml:space="preserve">AAACATGTTCAAATATATTGGTGA</t>
  </si>
  <si>
    <t xml:space="preserve">CATGACCAGGCTGCGCAACT</t>
  </si>
  <si>
    <t xml:space="preserve">TAGTCATGACCAGGCTGCGCAACT</t>
  </si>
  <si>
    <t xml:space="preserve">AAACAGTTGCGCAGCCTGGTCATG</t>
  </si>
  <si>
    <t xml:space="preserve">TGTCGCGTTTGCGGAAGCCG</t>
  </si>
  <si>
    <t xml:space="preserve">TAGTTGTCGCGTTTGCGGAAGCCG</t>
  </si>
  <si>
    <t xml:space="preserve">AAACCGGCTTCCGCAAACGCGACA</t>
  </si>
  <si>
    <t xml:space="preserve">CTGTTCTTCGGGATATTGCA</t>
  </si>
  <si>
    <t xml:space="preserve">TAGTCTGTTCTTCGGGATATTGCA</t>
  </si>
  <si>
    <t xml:space="preserve">AAACTGCAATATCCCGAAGAACAG</t>
  </si>
  <si>
    <t xml:space="preserve">PSPPH_3117</t>
  </si>
  <si>
    <t xml:space="preserve">nuoJ</t>
  </si>
  <si>
    <t xml:space="preserve">GGTGGACACAACAGCGATAC</t>
  </si>
  <si>
    <t xml:space="preserve">TAGTGGTGGACACAACAGCGATAC</t>
  </si>
  <si>
    <t xml:space="preserve">AAACGTATCGCTGTTGTGTCCACC</t>
  </si>
  <si>
    <t xml:space="preserve">CGTGTTGGTGATCACCCGCA</t>
  </si>
  <si>
    <t xml:space="preserve">TAGTCGTGTTGGTGATCACCCGCA</t>
  </si>
  <si>
    <t xml:space="preserve">AAACTGCGGGTGATCACCAACACG</t>
  </si>
  <si>
    <t xml:space="preserve">AGGTAGAGCAGGGCATGCAC</t>
  </si>
  <si>
    <t xml:space="preserve">TAGTAGGTAGAGCAGGGCATGCAC</t>
  </si>
  <si>
    <t xml:space="preserve">AAACGTGCATGCCCTGCTCTACCT</t>
  </si>
  <si>
    <t xml:space="preserve">CAGCGATCAGCGAGATGATC</t>
  </si>
  <si>
    <t xml:space="preserve">TAGTCAGCGATCAGCGAGATGATC</t>
  </si>
  <si>
    <t xml:space="preserve">AAACGATCATCTCGCTGATCGCTG</t>
  </si>
  <si>
    <t xml:space="preserve">PSPPH_3118</t>
  </si>
  <si>
    <t xml:space="preserve">nouK</t>
  </si>
  <si>
    <t xml:space="preserve">CCGCCAGACCGTGCTCAAGA</t>
  </si>
  <si>
    <t xml:space="preserve">TAGTCCGCCAGACCGTGCTCAAGA</t>
  </si>
  <si>
    <t xml:space="preserve">AAACTCTTGAGCACGGTCTGGCGG</t>
  </si>
  <si>
    <t xml:space="preserve">ACCCAGGCAGAACAGGACCC</t>
  </si>
  <si>
    <t xml:space="preserve">TAGTACCCAGGCAGAACAGGACCC</t>
  </si>
  <si>
    <t xml:space="preserve">AAACGGGTCCTGTTCTGCCTGGGT</t>
  </si>
  <si>
    <t xml:space="preserve">GAATGTTACGGCGTACCATC</t>
  </si>
  <si>
    <t xml:space="preserve">TAGTGAATGTTACGGCGTACCATC</t>
  </si>
  <si>
    <t xml:space="preserve">AAACGATGGTACGCCGTAACATTC</t>
  </si>
  <si>
    <t xml:space="preserve">AACTACGAACGCCAGTGCAG</t>
  </si>
  <si>
    <t xml:space="preserve">TAGTAACTACGAACGCCAGTGCAG</t>
  </si>
  <si>
    <t xml:space="preserve">AAACCTGCACTGGCGTTCGTAGTT</t>
  </si>
  <si>
    <t xml:space="preserve">PSPPH_3119</t>
  </si>
  <si>
    <t xml:space="preserve">nuoL</t>
  </si>
  <si>
    <t xml:space="preserve">GCAACAGAAAGCCGATAAGG</t>
  </si>
  <si>
    <t xml:space="preserve">TAGTGCAACAGAAAGCCGATAAGG</t>
  </si>
  <si>
    <t xml:space="preserve">AAACCCTTATCGGCTTTCTGTTGC</t>
  </si>
  <si>
    <t xml:space="preserve">CGACGCCAATCAGCGCCGCG</t>
  </si>
  <si>
    <t xml:space="preserve">TAGTCGACGCCAATCAGCGCCGCG</t>
  </si>
  <si>
    <t xml:space="preserve">AAACCGCGGCGCTGATTGGCGTCG</t>
  </si>
  <si>
    <t xml:space="preserve">AGGCCGTGACAATGGCTGAC</t>
  </si>
  <si>
    <t xml:space="preserve">TAGTAGGCCGTGACAATGGCTGAC</t>
  </si>
  <si>
    <t xml:space="preserve">AAACGTCAGCCATTGTCACGGCCT</t>
  </si>
  <si>
    <t xml:space="preserve">GTTGAACTGCCAGATGACCC</t>
  </si>
  <si>
    <t xml:space="preserve">TAGTGTTGAACTGCCAGATGACCC</t>
  </si>
  <si>
    <t xml:space="preserve">AAACGGGTCATCTGGCAGTTCAAC</t>
  </si>
  <si>
    <t xml:space="preserve">PSPPH_3120</t>
  </si>
  <si>
    <t xml:space="preserve">nuoM</t>
  </si>
  <si>
    <t xml:space="preserve">AAGGGGATCAGGATTAGCCA</t>
  </si>
  <si>
    <t xml:space="preserve">TAGTAAGGGGATCAGGATTAGCCA</t>
  </si>
  <si>
    <t xml:space="preserve">AAACTGGCTAATCCTGATCCCCTT</t>
  </si>
  <si>
    <t xml:space="preserve">CAGCGCGATCCAGCGCGGCA</t>
  </si>
  <si>
    <t xml:space="preserve">TAGTCAGCGCGATCCAGCGCGGCA</t>
  </si>
  <si>
    <t xml:space="preserve">AAACTGCCGCGCTGGATCGCGCTG</t>
  </si>
  <si>
    <t xml:space="preserve">GAGGCCGAGAACCAGTTCGA</t>
  </si>
  <si>
    <t xml:space="preserve">TAGTGAGGCCGAGAACCAGTTCGA</t>
  </si>
  <si>
    <t xml:space="preserve">AAACTCGAACTGGTTCTCGGCCTC</t>
  </si>
  <si>
    <t xml:space="preserve">CGGCGCATAGCCGAAATTGC</t>
  </si>
  <si>
    <t xml:space="preserve">TAGTCGGCGCATAGCCGAAATTGC</t>
  </si>
  <si>
    <t xml:space="preserve">AAACGCAATTTCGGCTATGCGCCG</t>
  </si>
  <si>
    <t xml:space="preserve">PSPPH_3121</t>
  </si>
  <si>
    <t xml:space="preserve">nuoN</t>
  </si>
  <si>
    <t xml:space="preserve">CAATAAAGTGTTGAATCGTC</t>
  </si>
  <si>
    <t xml:space="preserve">TAGTCAATAAAGTGTTGAATCGTC</t>
  </si>
  <si>
    <t xml:space="preserve">AAACGACGATTCAACACTTTATTG</t>
  </si>
  <si>
    <t xml:space="preserve">GTGAGGCTGGTGATCAGCAG</t>
  </si>
  <si>
    <t xml:space="preserve">TAGTGTGAGGCTGGTGATCAGCAG</t>
  </si>
  <si>
    <t xml:space="preserve">AAACCTGCTGATCACCAGCCTCAC</t>
  </si>
  <si>
    <t xml:space="preserve">TGCCAGCATCACCACTACAA</t>
  </si>
  <si>
    <t xml:space="preserve">TAGTTGCCAGCATCACCACTACAA</t>
  </si>
  <si>
    <t xml:space="preserve">AAACTTGTAGTGGTGATGCTGGCA</t>
  </si>
  <si>
    <t xml:space="preserve">GGAACGTTTGCGAGTGATTG</t>
  </si>
  <si>
    <t xml:space="preserve">TAGTGGAACGTTTGCGAGTGATTG</t>
  </si>
  <si>
    <t xml:space="preserve">AAACCAATCACTCGCAAACGTTCC</t>
  </si>
  <si>
    <t xml:space="preserve">PSPPH_3122</t>
  </si>
  <si>
    <t xml:space="preserve">AGAGAGGCCACTTCGAGTTC</t>
  </si>
  <si>
    <t xml:space="preserve">TAGTAGAGAGGCCACTTCGAGTTC</t>
  </si>
  <si>
    <t xml:space="preserve">AAACGAACTCGAAGTGGCCTCTCT</t>
  </si>
  <si>
    <t xml:space="preserve">GTCATTTGACGGGGCTTGCA</t>
  </si>
  <si>
    <t xml:space="preserve">TAGTGTCATTTGACGGGGCTTGCA</t>
  </si>
  <si>
    <t xml:space="preserve">AAACTGCAAGCCCCGTCAAATGAC</t>
  </si>
  <si>
    <t xml:space="preserve">CGAGCAGCAGCTTGCTGATG</t>
  </si>
  <si>
    <t xml:space="preserve">TAGTCGAGCAGCAGCTTGCTGATG</t>
  </si>
  <si>
    <t xml:space="preserve">AAACCATCAGCAAGCTGCTGCTCG</t>
  </si>
  <si>
    <t xml:space="preserve">GCGGCACAACTTCCAGCCTG</t>
  </si>
  <si>
    <t xml:space="preserve">TAGTGCGGCACAACTTCCAGCCTG</t>
  </si>
  <si>
    <t xml:space="preserve">AAACCAGGCTGGAAGTTGTGCCGC</t>
  </si>
  <si>
    <t xml:space="preserve">PSPPH_3123</t>
  </si>
  <si>
    <t xml:space="preserve">CAAGCAAGGTATTGCGCAGC</t>
  </si>
  <si>
    <t xml:space="preserve">TAGTCAAGCAAGGTATTGCGCAGC</t>
  </si>
  <si>
    <t xml:space="preserve">AAACGCTGCGCAATACCTTGCTTG</t>
  </si>
  <si>
    <t xml:space="preserve">CAGGGCCAGTGACGATAGTC</t>
  </si>
  <si>
    <t xml:space="preserve">TAGTCAGGGCCAGTGACGATAGTC</t>
  </si>
  <si>
    <t xml:space="preserve">AAACGACTATCGTCACTGGCCCTG</t>
  </si>
  <si>
    <t xml:space="preserve">GACGCCGTCAGGGGCTGTGA</t>
  </si>
  <si>
    <t xml:space="preserve">TAGTGACGCCGTCAGGGGCTGTGA</t>
  </si>
  <si>
    <t xml:space="preserve">AAACTCACAGCCCCTGACGGCGTC</t>
  </si>
  <si>
    <t xml:space="preserve">AAAATCAGGGCTTGCCCGTT</t>
  </si>
  <si>
    <t xml:space="preserve">TAGTAAAATCAGGGCTTGCCCGTT</t>
  </si>
  <si>
    <t xml:space="preserve">AAACAACGGGCAAGCCCTGATTTT</t>
  </si>
  <si>
    <t xml:space="preserve">PSPPH_3124</t>
  </si>
  <si>
    <t xml:space="preserve">GAGGGTTTTATATTGCAACG</t>
  </si>
  <si>
    <t xml:space="preserve">TAGTGAGGGTTTTATATTGCAACG</t>
  </si>
  <si>
    <t xml:space="preserve">AAACCGTTGCAATATAAAACCCTC</t>
  </si>
  <si>
    <t xml:space="preserve">CAGAATCCATATGAAGGCAA</t>
  </si>
  <si>
    <t xml:space="preserve">TAGTCAGAATCCATATGAAGGCAA</t>
  </si>
  <si>
    <t xml:space="preserve">AAACTTGCCTTCATATGGATTCTG</t>
  </si>
  <si>
    <t xml:space="preserve">CAGAATACTGCGCCGTAAAA</t>
  </si>
  <si>
    <t xml:space="preserve">TAGTCAGAATACTGCGCCGTAAAA</t>
  </si>
  <si>
    <t xml:space="preserve">AAACTTTTACGGCGCAGTATTCTG</t>
  </si>
  <si>
    <t xml:space="preserve">ATCTGCAACCTGCGCTGCAC</t>
  </si>
  <si>
    <t xml:space="preserve">TAGTATCTGCAACCTGCGCTGCAC</t>
  </si>
  <si>
    <t xml:space="preserve">AAACGTGCAGCGCAGGTTGCAGAT</t>
  </si>
  <si>
    <t xml:space="preserve">PSPPH_3125</t>
  </si>
  <si>
    <t xml:space="preserve">AACTGCCAGCGACAGAACCT</t>
  </si>
  <si>
    <t xml:space="preserve">TAGTAACTGCCAGCGACAGAACCT</t>
  </si>
  <si>
    <t xml:space="preserve">AAACAGGTTCTGTCGCTGGCAGTT</t>
  </si>
  <si>
    <t xml:space="preserve">ACCAGCGCAAATATCAGAAC</t>
  </si>
  <si>
    <t xml:space="preserve">TAGTACCAGCGCAAATATCAGAAC</t>
  </si>
  <si>
    <t xml:space="preserve">AAACGTTCTGATATTTGCGCTGGT</t>
  </si>
  <si>
    <t xml:space="preserve">TCGGTGCAGCATGAACACCG</t>
  </si>
  <si>
    <t xml:space="preserve">TAGTTCGGTGCAGCATGAACACCG</t>
  </si>
  <si>
    <t xml:space="preserve">AAACCGGTGTTCATGCTGCACCGA</t>
  </si>
  <si>
    <t xml:space="preserve">CGTATCACTGACCTCGCGCT</t>
  </si>
  <si>
    <t xml:space="preserve">TAGTCGTATCACTGACCTCGCGCT</t>
  </si>
  <si>
    <t xml:space="preserve">AAACAGCGCGAGGTCAGTGATACG</t>
  </si>
  <si>
    <t xml:space="preserve">PSPPH_3126</t>
  </si>
  <si>
    <t xml:space="preserve">CAGGCTCAGACGCCGTTGTA</t>
  </si>
  <si>
    <t xml:space="preserve">TAGTCAGGCTCAGACGCCGTTGTA</t>
  </si>
  <si>
    <t xml:space="preserve">AAACTACAACGGCGTCTGAGCCTG</t>
  </si>
  <si>
    <t xml:space="preserve">CAGGCCGACAACGACCATAA</t>
  </si>
  <si>
    <t xml:space="preserve">TAGTCAGGCCGACAACGACCATAA</t>
  </si>
  <si>
    <t xml:space="preserve">AAACTTATGGTCGTTGTCGGCCTG</t>
  </si>
  <si>
    <t xml:space="preserve">CACTTCAAACAACCAGAGAC</t>
  </si>
  <si>
    <t xml:space="preserve">TAGTCACTTCAAACAACCAGAGAC</t>
  </si>
  <si>
    <t xml:space="preserve">AAACGTCTCTGGTTGTTTGAAGTG</t>
  </si>
  <si>
    <t xml:space="preserve">CAGACTCCAGATAGCGCTGC</t>
  </si>
  <si>
    <t xml:space="preserve">TAGTCAGACTCCAGATAGCGCTGC</t>
  </si>
  <si>
    <t xml:space="preserve">AAACGCAGCGCTATCTGGAGTCTG</t>
  </si>
  <si>
    <t xml:space="preserve">PSPPH_3127</t>
  </si>
  <si>
    <t xml:space="preserve">CATGGTCTTCAACCAGTAGC</t>
  </si>
  <si>
    <t xml:space="preserve">TAGTCATGGTCTTCAACCAGTAGC</t>
  </si>
  <si>
    <t xml:space="preserve">AAACGCTACTGGTTGAAGACCATG</t>
  </si>
  <si>
    <t xml:space="preserve">GCGAGTAACTCATCCGCGAG</t>
  </si>
  <si>
    <t xml:space="preserve">TAGTGCGAGTAACTCATCCGCGAG</t>
  </si>
  <si>
    <t xml:space="preserve">AAACCTCGCGGATGAGTTACTCGC</t>
  </si>
  <si>
    <t xml:space="preserve">AACAATGAGGTCGTAGGGCT</t>
  </si>
  <si>
    <t xml:space="preserve">TAGTAACAATGAGGTCGTAGGGCT</t>
  </si>
  <si>
    <t xml:space="preserve">AAACAGCCCTACGACCTCATTGTT</t>
  </si>
  <si>
    <t xml:space="preserve">ACCTCAAGCCCGGGCATGCC</t>
  </si>
  <si>
    <t xml:space="preserve">TAGTACCTCAAGCCCGGGCATGCC</t>
  </si>
  <si>
    <t xml:space="preserve">AAACGGCATGCCCGGGCTTGAGGT</t>
  </si>
  <si>
    <t xml:space="preserve">PSPPH_3128</t>
  </si>
  <si>
    <t xml:space="preserve">AGCAGGTCAGACTCAAACCA</t>
  </si>
  <si>
    <t xml:space="preserve">TAGTAGCAGGTCAGACTCAAACCA</t>
  </si>
  <si>
    <t xml:space="preserve">AAACTGGTTTGAGTCTGACCTGCT</t>
  </si>
  <si>
    <t xml:space="preserve">TTCATCCTGGTTCAGATCTC</t>
  </si>
  <si>
    <t xml:space="preserve">TAGTTTCATCCTGGTTCAGATCTC</t>
  </si>
  <si>
    <t xml:space="preserve">AAACGAGATCTGAACCAGGATGAA</t>
  </si>
  <si>
    <t xml:space="preserve">CGCTCGATAAACTGTTCGAG</t>
  </si>
  <si>
    <t xml:space="preserve">TAGTCGCTCGATAAACTGTTCGAG</t>
  </si>
  <si>
    <t xml:space="preserve">AAACCTCGAACAGTTTATCGAGCG</t>
  </si>
  <si>
    <t xml:space="preserve">GCCTCCAGCAGGCGAGCGCC</t>
  </si>
  <si>
    <t xml:space="preserve">TAGTGCCTCCAGCAGGCGAGCGCC</t>
  </si>
  <si>
    <t xml:space="preserve">AAACGGCGCTCGCCTGCTGGAGGC</t>
  </si>
  <si>
    <t xml:space="preserve">PSPPH_3129</t>
  </si>
  <si>
    <t xml:space="preserve">ACATGTCAGGGCCGTCAGCA</t>
  </si>
  <si>
    <t xml:space="preserve">TAGTACATGTCAGGGCCGTCAGCA</t>
  </si>
  <si>
    <t xml:space="preserve">AAACTGCTGACGGCCCTGACATGT</t>
  </si>
  <si>
    <t xml:space="preserve">GCGTATCGACACCACGCGCC</t>
  </si>
  <si>
    <t xml:space="preserve">TAGTGCGTATCGACACCACGCGCC</t>
  </si>
  <si>
    <t xml:space="preserve">AAACGGCGCGTGGTGTCGATACGC</t>
  </si>
  <si>
    <t xml:space="preserve">GGAGAGTGCCCGCATTACTG</t>
  </si>
  <si>
    <t xml:space="preserve">TAGTGGAGAGTGCCCGCATTACTG</t>
  </si>
  <si>
    <t xml:space="preserve">AAACCAGTAATGCGGGCACTCTCC</t>
  </si>
  <si>
    <t xml:space="preserve">CATCGAGCTTTTCAGCAGAC</t>
  </si>
  <si>
    <t xml:space="preserve">TAGTCATCGAGCTTTTCAGCAGAC</t>
  </si>
  <si>
    <t xml:space="preserve">AAACGTCTGCTGAAAAGCTCGATG</t>
  </si>
  <si>
    <t xml:space="preserve">PSPPH_3130</t>
  </si>
  <si>
    <t xml:space="preserve">GAGGCGGTGTGCTGACTCGA</t>
  </si>
  <si>
    <t xml:space="preserve">TAGTGAGGCGGTGTGCTGACTCGA</t>
  </si>
  <si>
    <t xml:space="preserve">AAACTCGAGTCAGCACACCGCCTC</t>
  </si>
  <si>
    <t xml:space="preserve">TGTGCCCCTCTGGTACGTGA</t>
  </si>
  <si>
    <t xml:space="preserve">TAGTTGTGCCCCTCTGGTACGTGA</t>
  </si>
  <si>
    <t xml:space="preserve">AAACTCACGTACCAGAGGGGCACA</t>
  </si>
  <si>
    <t xml:space="preserve">GTATGCCGACACGAAACGAA</t>
  </si>
  <si>
    <t xml:space="preserve">TAGTGTATGCCGACACGAAACGAA</t>
  </si>
  <si>
    <t xml:space="preserve">AAACTTCGTTTCGTGTCGGCATAC</t>
  </si>
  <si>
    <t xml:space="preserve">TCGCGAATCCAGCCTGTGTG</t>
  </si>
  <si>
    <t xml:space="preserve">TAGTTCGCGAATCCAGCCTGTGTG</t>
  </si>
  <si>
    <t xml:space="preserve">AAACCACACAGGCTGGATTCGCGA</t>
  </si>
  <si>
    <t xml:space="preserve">PSPPH_3136</t>
  </si>
  <si>
    <t xml:space="preserve">AATCACGAAACGGGCAATTT</t>
  </si>
  <si>
    <t xml:space="preserve">TAGTAATCACGAAACGGGCAATTT</t>
  </si>
  <si>
    <t xml:space="preserve">AAACAAATTGCCCGTTTCGTGATT</t>
  </si>
  <si>
    <t xml:space="preserve">CTTTGCTTTTCCTTCTATAT</t>
  </si>
  <si>
    <t xml:space="preserve">TAGTCTTTGCTTTTCCTTCTATAT</t>
  </si>
  <si>
    <t xml:space="preserve">AAACATATAGAAGGAAAAGCAAAG</t>
  </si>
  <si>
    <t xml:space="preserve">ATGCGCAACAATCGATGCAT</t>
  </si>
  <si>
    <t xml:space="preserve">TAGTATGCGCAACAATCGATGCAT</t>
  </si>
  <si>
    <t xml:space="preserve">AAACATGCATCGATTGTTGCGCAT</t>
  </si>
  <si>
    <t xml:space="preserve">GTATATCCTGGGTGTGATCC</t>
  </si>
  <si>
    <t xml:space="preserve">TAGTGTATATCCTGGGTGTGATCC</t>
  </si>
  <si>
    <t xml:space="preserve">AAACGGATCACACCCAGGATATAC</t>
  </si>
  <si>
    <t xml:space="preserve">PSPPH_3137</t>
  </si>
  <si>
    <t xml:space="preserve">CTGTAGGTCAGGTGTCAACA</t>
  </si>
  <si>
    <t xml:space="preserve">TAGTCTGTAGGTCAGGTGTCAACA</t>
  </si>
  <si>
    <t xml:space="preserve">AAACTGTTGACACCTGACCTACAG</t>
  </si>
  <si>
    <t xml:space="preserve">TCGCGATCCATCCGGATGAC</t>
  </si>
  <si>
    <t xml:space="preserve">TAGTTCGCGATCCATCCGGATGAC</t>
  </si>
  <si>
    <t xml:space="preserve">AAACGTCATCCGGATGGATCGCGA</t>
  </si>
  <si>
    <t xml:space="preserve">ACAACCTGCCACAGCCAACA</t>
  </si>
  <si>
    <t xml:space="preserve">TAGTACAACCTGCCACAGCCAACA</t>
  </si>
  <si>
    <t xml:space="preserve">AAACTGTTGGCTGTGGCAGGTTGT</t>
  </si>
  <si>
    <t xml:space="preserve">TTGCTTGACAGGCTTGGATG</t>
  </si>
  <si>
    <t xml:space="preserve">TAGTTTGCTTGACAGGCTTGGATG</t>
  </si>
  <si>
    <t xml:space="preserve">AAACCATCCAAGCCTGTCAAGCAA</t>
  </si>
  <si>
    <t xml:space="preserve">PSPPH_3138</t>
  </si>
  <si>
    <t xml:space="preserve">TGCCACTTCTGAACTGGCAT</t>
  </si>
  <si>
    <t xml:space="preserve">TAGTTGCCACTTCTGAACTGGCAT</t>
  </si>
  <si>
    <t xml:space="preserve">AAACATGCCAGTTCAGAAGTGGCA</t>
  </si>
  <si>
    <t xml:space="preserve">CTCCCTGCTCATCAAGGCGC</t>
  </si>
  <si>
    <t xml:space="preserve">TAGTCTCCCTGCTCATCAAGGCGC</t>
  </si>
  <si>
    <t xml:space="preserve">AAACGCGCCTTGATGAGCAGGGAG</t>
  </si>
  <si>
    <t xml:space="preserve">ATCCGCTGACGGCACCAGAT</t>
  </si>
  <si>
    <t xml:space="preserve">TAGTATCCGCTGACGGCACCAGAT</t>
  </si>
  <si>
    <t xml:space="preserve">AAACATCTGGTGCCGTCAGCGGAT</t>
  </si>
  <si>
    <t xml:space="preserve">GGCAGGTATTCGGAGAGGTG</t>
  </si>
  <si>
    <t xml:space="preserve">TAGTGGCAGGTATTCGGAGAGGTG</t>
  </si>
  <si>
    <t xml:space="preserve">AAACCACCTCTCCGAATACCTGCC</t>
  </si>
  <si>
    <t xml:space="preserve">PSPPH_3139</t>
  </si>
  <si>
    <t xml:space="preserve">GCGTAATCAAAATACAGCAC</t>
  </si>
  <si>
    <t xml:space="preserve">TAGTGCGTAATCAAAATACAGCAC</t>
  </si>
  <si>
    <t xml:space="preserve">AAACGTGCTGTATTTTGATTACGC</t>
  </si>
  <si>
    <t xml:space="preserve">CTCGTCCACAGGCGTAGTGG</t>
  </si>
  <si>
    <t xml:space="preserve">TAGTCTCGTCCACAGGCGTAGTGG</t>
  </si>
  <si>
    <t xml:space="preserve">AAACCCACTACGCCTGTGGACGAG</t>
  </si>
  <si>
    <t xml:space="preserve">ATGAATGAGCGCTGGATGCA</t>
  </si>
  <si>
    <t xml:space="preserve">TAGTATGAATGAGCGCTGGATGCA</t>
  </si>
  <si>
    <t xml:space="preserve">AAACTGCATCCAGCGCTCATTCAT</t>
  </si>
  <si>
    <t xml:space="preserve">GGCAATCTCTACCGCAACGC</t>
  </si>
  <si>
    <t xml:space="preserve">TAGTGGCAATCTCTACCGCAACGC</t>
  </si>
  <si>
    <t xml:space="preserve">AAACGCGTTGCGGTAGAGATTGCC</t>
  </si>
  <si>
    <t xml:space="preserve">PSPPH_3140</t>
  </si>
  <si>
    <t xml:space="preserve">GATATCACCCAGATAAGTCT</t>
  </si>
  <si>
    <t xml:space="preserve">TAGTGATATCACCCAGATAAGTCT</t>
  </si>
  <si>
    <t xml:space="preserve">AAACAGACTTATCTGGGTGATATC</t>
  </si>
  <si>
    <t xml:space="preserve">CTTCAACGTAGCGTTTGAAC</t>
  </si>
  <si>
    <t xml:space="preserve">TAGTCTTCAACGTAGCGTTTGAAC</t>
  </si>
  <si>
    <t xml:space="preserve">AAACGTTCAAACGCTACGTTGAAG</t>
  </si>
  <si>
    <t xml:space="preserve">GTGATTGGTCAGCCAGCCGC</t>
  </si>
  <si>
    <t xml:space="preserve">TAGTGTGATTGGTCAGCCAGCCGC</t>
  </si>
  <si>
    <t xml:space="preserve">AAACGCGGCTGGCTGACCAATCAC</t>
  </si>
  <si>
    <t xml:space="preserve">CCGTCAGATCCTTGGCCAGC</t>
  </si>
  <si>
    <t xml:space="preserve">TAGTCCGTCAGATCCTTGGCCAGC</t>
  </si>
  <si>
    <t xml:space="preserve">AAACGCTGGCCAAGGATCTGACGG</t>
  </si>
  <si>
    <t xml:space="preserve">PSPPH_3141</t>
  </si>
  <si>
    <t xml:space="preserve">TCGAGCGGCCGCGAATGACC</t>
  </si>
  <si>
    <t xml:space="preserve">TAGTTCGAGCGGCCGCGAATGACC</t>
  </si>
  <si>
    <t xml:space="preserve">AAACGGTCATTCGCGGCCGCTCGA</t>
  </si>
  <si>
    <t xml:space="preserve">CTGTCCGCTGTAGTTCAGGA</t>
  </si>
  <si>
    <t xml:space="preserve">TAGTCTGTCCGCTGTAGTTCAGGA</t>
  </si>
  <si>
    <t xml:space="preserve">AAACTCCTGAACTACAGCGGACAG</t>
  </si>
  <si>
    <t xml:space="preserve">AATCCCGACCAACATTACAT</t>
  </si>
  <si>
    <t xml:space="preserve">TAGTAATCCCGACCAACATTACAT</t>
  </si>
  <si>
    <t xml:space="preserve">AAACATGTAATGTTGGTCGGGATT</t>
  </si>
  <si>
    <t xml:space="preserve">CCCAGATGGCCCAGATAAAA</t>
  </si>
  <si>
    <t xml:space="preserve">TAGTCCCAGATGGCCCAGATAAAA</t>
  </si>
  <si>
    <t xml:space="preserve">AAACTTTTATCTGGGCCATCTGGG</t>
  </si>
  <si>
    <t xml:space="preserve">PSPPH_3142</t>
  </si>
  <si>
    <t xml:space="preserve">GGGCATATGATGCTCAGCAA</t>
  </si>
  <si>
    <t xml:space="preserve">TAGTGGGCATATGATGCTCAGCAA</t>
  </si>
  <si>
    <t xml:space="preserve">AAACTTGCTGAGCATCATATGCCC</t>
  </si>
  <si>
    <t xml:space="preserve">AGGCCTCCTGGTTGTAGGCG</t>
  </si>
  <si>
    <t xml:space="preserve">TAGTAGGCCTCCTGGTTGTAGGCG</t>
  </si>
  <si>
    <t xml:space="preserve">AAACCGCCTACAACCAGGAGGCCT</t>
  </si>
  <si>
    <t xml:space="preserve">TTCCAGTGCCTGAACAATGA</t>
  </si>
  <si>
    <t xml:space="preserve">TAGTTTCCAGTGCCTGAACAATGA</t>
  </si>
  <si>
    <t xml:space="preserve">AAACTCATTGTTCAGGCACTGGAA</t>
  </si>
  <si>
    <t xml:space="preserve">CAGGATTTCAAACCTGAAAT</t>
  </si>
  <si>
    <t xml:space="preserve">TAGTCAGGATTTCAAACCTGAAAT</t>
  </si>
  <si>
    <t xml:space="preserve">AAACATTTCAGGTTTGAAATCCTG</t>
  </si>
  <si>
    <t xml:space="preserve">PSPPH_3143</t>
  </si>
  <si>
    <t xml:space="preserve">GCAGTATCGCGACGGCCATC</t>
  </si>
  <si>
    <t xml:space="preserve">TAGTGCAGTATCGCGACGGCCATC</t>
  </si>
  <si>
    <t xml:space="preserve">AAACGATGGCCGTCGCGATACTGC</t>
  </si>
  <si>
    <t xml:space="preserve">CGCGTACCTGCGTGGCCTCC</t>
  </si>
  <si>
    <t xml:space="preserve">TAGTCGCGTACCTGCGTGGCCTCC</t>
  </si>
  <si>
    <t xml:space="preserve">AAACGGAGGCCACGCAGGTACGCG</t>
  </si>
  <si>
    <t xml:space="preserve">GATGGACGAACCTGACAGCG</t>
  </si>
  <si>
    <t xml:space="preserve">TAGTGATGGACGAACCTGACAGCG</t>
  </si>
  <si>
    <t xml:space="preserve">AAACCGCTGTCAGGTTCGTCCATC</t>
  </si>
  <si>
    <t xml:space="preserve">GCAGAACCTGCCGAGCCGCC</t>
  </si>
  <si>
    <t xml:space="preserve">TAGTGCAGAACCTGCCGAGCCGCC</t>
  </si>
  <si>
    <t xml:space="preserve">AAACGGCGGCTCGGCAGGTTCTGC</t>
  </si>
  <si>
    <t xml:space="preserve">PSPPH_3144</t>
  </si>
  <si>
    <t xml:space="preserve">CAGCGAAGGACGGTTCATGA</t>
  </si>
  <si>
    <t xml:space="preserve">TAGTCAGCGAAGGACGGTTCATGA</t>
  </si>
  <si>
    <t xml:space="preserve">AAACTCATGAACCGTCCTTCGCTG</t>
  </si>
  <si>
    <t xml:space="preserve">GATCAATCCGGGAGTCCTGG</t>
  </si>
  <si>
    <t xml:space="preserve">TAGTGATCAATCCGGGAGTCCTGG</t>
  </si>
  <si>
    <t xml:space="preserve">AAACCCAGGACTCCCGGATTGATC</t>
  </si>
  <si>
    <t xml:space="preserve">TGTGATCGAACAGCATGCGC</t>
  </si>
  <si>
    <t xml:space="preserve">TAGTTGTGATCGAACAGCATGCGC</t>
  </si>
  <si>
    <t xml:space="preserve">AAACGCGCATGCTGTTCGATCACA</t>
  </si>
  <si>
    <t xml:space="preserve">AAAACAGGCTGACGGTCCAC</t>
  </si>
  <si>
    <t xml:space="preserve">TAGTAAAACAGGCTGACGGTCCAC</t>
  </si>
  <si>
    <t xml:space="preserve">AAACGTGGACCGTCAGCCTGTTTT</t>
  </si>
  <si>
    <t xml:space="preserve">PSPPH_3145</t>
  </si>
  <si>
    <t xml:space="preserve">rfaH</t>
  </si>
  <si>
    <t xml:space="preserve">GCGAGCTTCCTGGGCGGAGA</t>
  </si>
  <si>
    <t xml:space="preserve">TAGTGCGAGCTTCCTGGGCGGAGA</t>
  </si>
  <si>
    <t xml:space="preserve">AAACTCTCCGCCCAGGAAGCTCGC</t>
  </si>
  <si>
    <t xml:space="preserve">CTTCCTGACGCGGTTTGGTC</t>
  </si>
  <si>
    <t xml:space="preserve">TAGTCTTCCTGACGCGGTTTGGTC</t>
  </si>
  <si>
    <t xml:space="preserve">AAACGACCAAACCGCGTCAGGAAG</t>
  </si>
  <si>
    <t xml:space="preserve">CTGGCGTCGCAAATGCTCTT</t>
  </si>
  <si>
    <t xml:space="preserve">TAGTCTGGCGTCGCAAATGCTCTT</t>
  </si>
  <si>
    <t xml:space="preserve">AAACAAGAGCATTTGCGACGCCAG</t>
  </si>
  <si>
    <t xml:space="preserve">CCTGCAGCGGTCGGTAGCAC</t>
  </si>
  <si>
    <t xml:space="preserve">TAGTCCTGCAGCGGTCGGTAGCAC</t>
  </si>
  <si>
    <t xml:space="preserve">AAACGTGCTACCGACCGCTGCAGG</t>
  </si>
  <si>
    <t xml:space="preserve">PSPPH_3146</t>
  </si>
  <si>
    <t xml:space="preserve">GGTTCCGGGGCTGGTTAAGC</t>
  </si>
  <si>
    <t xml:space="preserve">TAGTGGTTCCGGGGCTGGTTAAGC</t>
  </si>
  <si>
    <t xml:space="preserve">AAACGCTTAACCAGCCCCGGAACC</t>
  </si>
  <si>
    <t xml:space="preserve">TGGTCTGGTGGGGCATGGTG</t>
  </si>
  <si>
    <t xml:space="preserve">TAGTTGGTCTGGTGGGGCATGGTG</t>
  </si>
  <si>
    <t xml:space="preserve">AAACCACCATGCCCCACCAGACCA</t>
  </si>
  <si>
    <t xml:space="preserve">ATAGGTGAGCGTCACCAAGG</t>
  </si>
  <si>
    <t xml:space="preserve">TAGTATAGGTGAGCGTCACCAAGG</t>
  </si>
  <si>
    <t xml:space="preserve">AAACCCTTGGTGACGCTCACCTAT</t>
  </si>
  <si>
    <t xml:space="preserve">ATGTGTGCAGATAGCTGAAA</t>
  </si>
  <si>
    <t xml:space="preserve">TAGTATGTGTGCAGATAGCTGAAA</t>
  </si>
  <si>
    <t xml:space="preserve">AAACTTTCAGCTATCTGCACACAT</t>
  </si>
  <si>
    <t xml:space="preserve">PSPPH_3147</t>
  </si>
  <si>
    <t xml:space="preserve">CGCCGATATCGGGCGCATAA</t>
  </si>
  <si>
    <t xml:space="preserve">TAGTCGCCGATATCGGGCGCATAA</t>
  </si>
  <si>
    <t xml:space="preserve">AAACTTATGCGCCCGATATCGGCG</t>
  </si>
  <si>
    <t xml:space="preserve">CCGGTCGGTGGTGGCCAGCA</t>
  </si>
  <si>
    <t xml:space="preserve">TAGTCCGGTCGGTGGTGGCCAGCA</t>
  </si>
  <si>
    <t xml:space="preserve">AAACTGCTGGCCACCACCGACCGG</t>
  </si>
  <si>
    <t xml:space="preserve">ACCTCTGCCAACTGCAAACC</t>
  </si>
  <si>
    <t xml:space="preserve">TAGTACCTCTGCCAACTGCAAACC</t>
  </si>
  <si>
    <t xml:space="preserve">AAACGGTTTGCAGTTGGCAGAGGT</t>
  </si>
  <si>
    <t xml:space="preserve">AGTGCCAGTACCGGTTAAGC</t>
  </si>
  <si>
    <t xml:space="preserve">TAGTAGTGCCAGTACCGGTTAAGC</t>
  </si>
  <si>
    <t xml:space="preserve">AAACGCTTAACCGGTACTGGCACT</t>
  </si>
  <si>
    <t xml:space="preserve">PSPPH_3148</t>
  </si>
  <si>
    <t xml:space="preserve">CACCACTGACATCCTGGGTG</t>
  </si>
  <si>
    <t xml:space="preserve">TAGTCACCACTGACATCCTGGGTG</t>
  </si>
  <si>
    <t xml:space="preserve">AAACCACCCAGGATGTCAGTGGTG</t>
  </si>
  <si>
    <t xml:space="preserve">ATCGTCGCGCAGCCGCTTCA</t>
  </si>
  <si>
    <t xml:space="preserve">TAGTATCGTCGCGCAGCCGCTTCA</t>
  </si>
  <si>
    <t xml:space="preserve">AAACTGAAGCGGCTGCGCGACGAT</t>
  </si>
  <si>
    <t xml:space="preserve">TCATGCAGCCTGATGGTGCG</t>
  </si>
  <si>
    <t xml:space="preserve">TAGTTCATGCAGCCTGATGGTGCG</t>
  </si>
  <si>
    <t xml:space="preserve">AAACCGCACCATCAGGCTGCATGA</t>
  </si>
  <si>
    <t xml:space="preserve">GCACTGGGCCTCCAGTGCGC</t>
  </si>
  <si>
    <t xml:space="preserve">TAGTGCACTGGGCCTCCAGTGCGC</t>
  </si>
  <si>
    <t xml:space="preserve">AAACGCGCACTGGAGGCCCAGTGC</t>
  </si>
  <si>
    <t xml:space="preserve">PSPPH_3149</t>
  </si>
  <si>
    <t xml:space="preserve">TGGACAATAGCAATTCTCAT</t>
  </si>
  <si>
    <t xml:space="preserve">TAGTTGGACAATAGCAATTCTCAT</t>
  </si>
  <si>
    <t xml:space="preserve">AAACATGAGAATTGCTATTGTCCA</t>
  </si>
  <si>
    <t xml:space="preserve">CGTAACTCACCAGCCAGTCG</t>
  </si>
  <si>
    <t xml:space="preserve">TAGTCGTAACTCACCAGCCAGTCG</t>
  </si>
  <si>
    <t xml:space="preserve">AAACCGACTGGCTGGTGAGTTACG</t>
  </si>
  <si>
    <t xml:space="preserve">CAGGGAAGCAAGCACGCGCT</t>
  </si>
  <si>
    <t xml:space="preserve">TAGTCAGGGAAGCAAGCACGCGCT</t>
  </si>
  <si>
    <t xml:space="preserve">AAACAGCGCGTGCTTGCTTCCCTG</t>
  </si>
  <si>
    <t xml:space="preserve">ACTGCAAACAGATCCGCATC</t>
  </si>
  <si>
    <t xml:space="preserve">TAGTACTGCAAACAGATCCGCATC</t>
  </si>
  <si>
    <t xml:space="preserve">AAACGATGCGGATCTGTTTGCAGT</t>
  </si>
  <si>
    <t xml:space="preserve">PSPPH_3150</t>
  </si>
  <si>
    <t xml:space="preserve">CCGCGGACGGAAGTGCGCAT</t>
  </si>
  <si>
    <t xml:space="preserve">TAGTCCGCGGACGGAAGTGCGCAT</t>
  </si>
  <si>
    <t xml:space="preserve">AAACATGCGCACTTCCGTCCGCGG</t>
  </si>
  <si>
    <t xml:space="preserve">GAGCGACAGCGCTGACTGAT</t>
  </si>
  <si>
    <t xml:space="preserve">TAGTGAGCGACAGCGCTGACTGAT</t>
  </si>
  <si>
    <t xml:space="preserve">AAACATCAGTCAGCGCTGTCGCTC</t>
  </si>
  <si>
    <t xml:space="preserve">GATCAGGTCCAGCAGACGAT</t>
  </si>
  <si>
    <t xml:space="preserve">TAGTGATCAGGTCCAGCAGACGAT</t>
  </si>
  <si>
    <t xml:space="preserve">AAACATCGTCTGCTGGACCTGATC</t>
  </si>
  <si>
    <t xml:space="preserve">GCTGTCGGTGACCTGCAGCC</t>
  </si>
  <si>
    <t xml:space="preserve">TAGTGCTGTCGGTGACCTGCAGCC</t>
  </si>
  <si>
    <t xml:space="preserve">AAACGGCTGCAGGTCACCGACAGC</t>
  </si>
  <si>
    <t xml:space="preserve">PSPPH_3151</t>
  </si>
  <si>
    <t xml:space="preserve">AGCAGTAAAGCAACTAACCT</t>
  </si>
  <si>
    <t xml:space="preserve">TAGTAGCAGTAAAGCAACTAACCT</t>
  </si>
  <si>
    <t xml:space="preserve">AAACAGGTTAGTTGCTTTACTGCT</t>
  </si>
  <si>
    <t xml:space="preserve">GCAGCCATGCAGCGCCAGGC</t>
  </si>
  <si>
    <t xml:space="preserve">TAGTGCAGCCATGCAGCGCCAGGC</t>
  </si>
  <si>
    <t xml:space="preserve">AAACGCCTGGCGCTGCATGGCTGC</t>
  </si>
  <si>
    <t xml:space="preserve">CGGCGTCATGTGCTGCCCCG</t>
  </si>
  <si>
    <t xml:space="preserve">TAGTCGGCGTCATGTGCTGCCCCG</t>
  </si>
  <si>
    <t xml:space="preserve">AAACCGGGGCAGCACATGACGCCG</t>
  </si>
  <si>
    <t xml:space="preserve">TTGCCAGTGGTAACGTCGTC</t>
  </si>
  <si>
    <t xml:space="preserve">TAGTTTGCCAGTGGTAACGTCGTC</t>
  </si>
  <si>
    <t xml:space="preserve">AAACGACGACGTTACCACTGGCAA</t>
  </si>
  <si>
    <t xml:space="preserve">PSPPH_3153</t>
  </si>
  <si>
    <t xml:space="preserve">CCTGTCCAGATCAGTGAGTC</t>
  </si>
  <si>
    <t xml:space="preserve">TAGTCCTGTCCAGATCAGTGAGTC</t>
  </si>
  <si>
    <t xml:space="preserve">AAACGACTCACTGATCTGGACAGG</t>
  </si>
  <si>
    <t xml:space="preserve">GACGAACGCGAAGAGTGTGA</t>
  </si>
  <si>
    <t xml:space="preserve">TAGTGACGAACGCGAAGAGTGTGA</t>
  </si>
  <si>
    <t xml:space="preserve">AAACTCACACTCTTCGCGTTCGTC</t>
  </si>
  <si>
    <t xml:space="preserve">GTTCGGGCCGGGGGTAATAG</t>
  </si>
  <si>
    <t xml:space="preserve">TAGTGTTCGGGCCGGGGGTAATAG</t>
  </si>
  <si>
    <t xml:space="preserve">AAACCTATTACCCCCGGCCCGAAC</t>
  </si>
  <si>
    <t xml:space="preserve">GAAACCGAAATTGACGCCCG</t>
  </si>
  <si>
    <t xml:space="preserve">TAGTGAAACCGAAATTGACGCCCG</t>
  </si>
  <si>
    <t xml:space="preserve">AAACCGGGCGTCAATTTCGGTTTC</t>
  </si>
  <si>
    <t xml:space="preserve">PSPPH_3154</t>
  </si>
  <si>
    <t xml:space="preserve">CAAGCGCAAGGGCAAGTATA</t>
  </si>
  <si>
    <t xml:space="preserve">TAGTCAAGCGCAAGGGCAAGTATA</t>
  </si>
  <si>
    <t xml:space="preserve">AAACTATACTTGCCCTTGCGCTTG</t>
  </si>
  <si>
    <t xml:space="preserve">GCAGTGCAACGGTGAATGTG</t>
  </si>
  <si>
    <t xml:space="preserve">TAGTGCAGTGCAACGGTGAATGTG</t>
  </si>
  <si>
    <t xml:space="preserve">AAACCACATTCACCGTTGCACTGC</t>
  </si>
  <si>
    <t xml:space="preserve">AGCATGGTGGGTGGAGCAGC</t>
  </si>
  <si>
    <t xml:space="preserve">TAGTAGCATGGTGGGTGGAGCAGC</t>
  </si>
  <si>
    <t xml:space="preserve">AAACGCTGCTCCACCCACCATGCT</t>
  </si>
  <si>
    <t xml:space="preserve">TGGCTTTCTTCGGCGCTGAA</t>
  </si>
  <si>
    <t xml:space="preserve">TAGTTGGCTTTCTTCGGCGCTGAA</t>
  </si>
  <si>
    <t xml:space="preserve">AAACTTCAGCGCCGAAGAAAGCCA</t>
  </si>
  <si>
    <t xml:space="preserve">PSPPH_3155</t>
  </si>
  <si>
    <t xml:space="preserve">CCCCGGCCTGGGCGAAGCTC</t>
  </si>
  <si>
    <t xml:space="preserve">TAGTCCCCGGCCTGGGCGAAGCTC</t>
  </si>
  <si>
    <t xml:space="preserve">AAACGAGCTTCGCCCAGGCCGGGG</t>
  </si>
  <si>
    <t xml:space="preserve">TTGATGGTCAGGCTCAACGC</t>
  </si>
  <si>
    <t xml:space="preserve">TAGTTTGATGGTCAGGCTCAACGC</t>
  </si>
  <si>
    <t xml:space="preserve">AAACGCGTTGAGCCTGACCATCAA</t>
  </si>
  <si>
    <t xml:space="preserve">GCCCGCCAAGGTCCTCCTCC</t>
  </si>
  <si>
    <t xml:space="preserve">TAGTGCCCGCCAAGGTCCTCCTCC</t>
  </si>
  <si>
    <t xml:space="preserve">AAACGGAGGAGGACCTTGGCGGGC</t>
  </si>
  <si>
    <t xml:space="preserve">TGTCAGGCCGACGTTGCGAG</t>
  </si>
  <si>
    <t xml:space="preserve">TAGTTGTCAGGCCGACGTTGCGAG</t>
  </si>
  <si>
    <t xml:space="preserve">AAACCTCGCAACGTCGGCCTGACA</t>
  </si>
  <si>
    <t xml:space="preserve">PSPPH_3156</t>
  </si>
  <si>
    <t xml:space="preserve">dxnG</t>
  </si>
  <si>
    <t xml:space="preserve">CCCGGCAAGGGCTTCTTCGT</t>
  </si>
  <si>
    <t xml:space="preserve">TAGTCCCGGCAAGGGCTTCTTCGT</t>
  </si>
  <si>
    <t xml:space="preserve">AAACACGAAGAAGCCCTTGCCGGG</t>
  </si>
  <si>
    <t xml:space="preserve">GCAGAGTACCGTCATGTCGT</t>
  </si>
  <si>
    <t xml:space="preserve">TAGTGCAGAGTACCGTCATGTCGT</t>
  </si>
  <si>
    <t xml:space="preserve">AAACACGACATGACGGTACTCTGC</t>
  </si>
  <si>
    <t xml:space="preserve">ATCTGCGCGATGAGGTTTTC</t>
  </si>
  <si>
    <t xml:space="preserve">TAGTATCTGCGCGATGAGGTTTTC</t>
  </si>
  <si>
    <t xml:space="preserve">AAACGAAAACCTCATCGCGCAGAT</t>
  </si>
  <si>
    <t xml:space="preserve">AGTTGTTGGAAACGACGGTA</t>
  </si>
  <si>
    <t xml:space="preserve">TAGTAGTTGTTGGAAACGACGGTA</t>
  </si>
  <si>
    <t xml:space="preserve">AAACTACCGTCGTTTCCAACAACT</t>
  </si>
  <si>
    <t xml:space="preserve">PSPPH_3157</t>
  </si>
  <si>
    <t xml:space="preserve">dxnH</t>
  </si>
  <si>
    <t xml:space="preserve">TTGTTCGCGAGAAAGTGCCA</t>
  </si>
  <si>
    <t xml:space="preserve">TAGTTTGTTCGCGAGAAAGTGCCA</t>
  </si>
  <si>
    <t xml:space="preserve">AAACTGGCACTTTCTCGCGAACAA</t>
  </si>
  <si>
    <t xml:space="preserve">ATAACCGTCCTTGAGTTCAC</t>
  </si>
  <si>
    <t xml:space="preserve">TAGTATAACCGTCCTTGAGTTCAC</t>
  </si>
  <si>
    <t xml:space="preserve">AAACGTGAACTCAAGGACGGTTAT</t>
  </si>
  <si>
    <t xml:space="preserve">GGGTCGGAATGCCAATGCCC</t>
  </si>
  <si>
    <t xml:space="preserve">TAGTGGGTCGGAATGCCAATGCCC</t>
  </si>
  <si>
    <t xml:space="preserve">AAACGGGCATTGGCATTCCGACCC</t>
  </si>
  <si>
    <t xml:space="preserve">CGGTACATAGTTGGCCACCA</t>
  </si>
  <si>
    <t xml:space="preserve">TAGTCGGTACATAGTTGGCCACCA</t>
  </si>
  <si>
    <t xml:space="preserve">AAACTGGTGGCCAACTATGTACCG</t>
  </si>
  <si>
    <t xml:space="preserve">PSPPH_3158</t>
  </si>
  <si>
    <t xml:space="preserve">ATGTTGGCGTTGGCGGCCAT</t>
  </si>
  <si>
    <t xml:space="preserve">TAGTATGTTGGCGTTGGCGGCCAT</t>
  </si>
  <si>
    <t xml:space="preserve">AAACATGGCCGCCAACGCCAACAT</t>
  </si>
  <si>
    <t xml:space="preserve">GCAAGGCGAATCGGGCAGAG</t>
  </si>
  <si>
    <t xml:space="preserve">TAGTGCAAGGCGAATCGGGCAGAG</t>
  </si>
  <si>
    <t xml:space="preserve">AAACCTCTGCCCGATTCGCCTTGC</t>
  </si>
  <si>
    <t xml:space="preserve">AAACCAGCGTTCAGCCCATG</t>
  </si>
  <si>
    <t xml:space="preserve">TAGTAAACCAGCGTTCAGCCCATG</t>
  </si>
  <si>
    <t xml:space="preserve">AAACCATGGGCTGAACGCTGGTTT</t>
  </si>
  <si>
    <t xml:space="preserve">GCGGCAAATACCCATGAATC</t>
  </si>
  <si>
    <t xml:space="preserve">TAGTGCGGCAAATACCCATGAATC</t>
  </si>
  <si>
    <t xml:space="preserve">AAACGATTCATGGGTATTTGCCGC</t>
  </si>
  <si>
    <t xml:space="preserve">PSPPH_3159</t>
  </si>
  <si>
    <t xml:space="preserve">ACCACCGCAAAGTAGGGTGT</t>
  </si>
  <si>
    <t xml:space="preserve">TAGTACCACCGCAAAGTAGGGTGT</t>
  </si>
  <si>
    <t xml:space="preserve">AAACACACCCTACTTTGCGGTGGT</t>
  </si>
  <si>
    <t xml:space="preserve">CTCTTCAGACGTACGCAGTG</t>
  </si>
  <si>
    <t xml:space="preserve">TAGTCTCTTCAGACGTACGCAGTG</t>
  </si>
  <si>
    <t xml:space="preserve">AAACCACTGCGTACGTCTGAAGAG</t>
  </si>
  <si>
    <t xml:space="preserve">GATTCCACGCCCAGAAAGCC</t>
  </si>
  <si>
    <t xml:space="preserve">TAGTGATTCCACGCCCAGAAAGCC</t>
  </si>
  <si>
    <t xml:space="preserve">AAACGGCTTTCTGGGCGTGGAATC</t>
  </si>
  <si>
    <t xml:space="preserve">TTCGTCGCTCCAGTAGGACA</t>
  </si>
  <si>
    <t xml:space="preserve">TAGTTTCGTCGCTCCAGTAGGACA</t>
  </si>
  <si>
    <t xml:space="preserve">AAACTGTCCTACTGGAGCGACGAA</t>
  </si>
  <si>
    <t xml:space="preserve">PSPPH_3160</t>
  </si>
  <si>
    <t xml:space="preserve">GGCCTGATGGGCTGGCACAT</t>
  </si>
  <si>
    <t xml:space="preserve">TAGTGGCCTGATGGGCTGGCACAT</t>
  </si>
  <si>
    <t xml:space="preserve">AAACATGTGCCAGCCCATCAGGCC</t>
  </si>
  <si>
    <t xml:space="preserve">GCCGCCATCGCCAACGCCAG</t>
  </si>
  <si>
    <t xml:space="preserve">TAGTGCCGCCATCGCCAACGCCAG</t>
  </si>
  <si>
    <t xml:space="preserve">AAACCTGGCGTTGGCGATGGCGGC</t>
  </si>
  <si>
    <t xml:space="preserve">GAAGCTGACCGGCACGTGAA</t>
  </si>
  <si>
    <t xml:space="preserve">TAGTGAAGCTGACCGGCACGTGAA</t>
  </si>
  <si>
    <t xml:space="preserve">AAACTTCACGTGCCGGTCAGCTTC</t>
  </si>
  <si>
    <t xml:space="preserve">CCGCTGCCGATCCGTGGCGT</t>
  </si>
  <si>
    <t xml:space="preserve">TAGTCCGCTGCCGATCCGTGGCGT</t>
  </si>
  <si>
    <t xml:space="preserve">AAACACGCCACGGATCGGCAGCGG</t>
  </si>
  <si>
    <t xml:space="preserve">PSPPH_3161</t>
  </si>
  <si>
    <t xml:space="preserve">TAACCGCTGCTTTCCAGAAT</t>
  </si>
  <si>
    <t xml:space="preserve">TAGTTAACCGCTGCTTTCCAGAAT</t>
  </si>
  <si>
    <t xml:space="preserve">AAACATTCTGGAAAGCAGCGGTTA</t>
  </si>
  <si>
    <t xml:space="preserve">TGGGCGCGCAGTTCGGCCGT</t>
  </si>
  <si>
    <t xml:space="preserve">TAGTTGGGCGCGCAGTTCGGCCGT</t>
  </si>
  <si>
    <t xml:space="preserve">AAACACGGCCGAACTGCGCGCCCA</t>
  </si>
  <si>
    <t xml:space="preserve">TCCCGTGTGCAGCAATTGCC</t>
  </si>
  <si>
    <t xml:space="preserve">TAGTTCCCGTGTGCAGCAATTGCC</t>
  </si>
  <si>
    <t xml:space="preserve">AAACGGCAATTGCTGCACACGGGA</t>
  </si>
  <si>
    <t xml:space="preserve">CAGTGGCCCACGCGTCATCA</t>
  </si>
  <si>
    <t xml:space="preserve">TAGTCAGTGGCCCACGCGTCATCA</t>
  </si>
  <si>
    <t xml:space="preserve">AAACTGATGACGCGTGGGCCACTG</t>
  </si>
  <si>
    <t xml:space="preserve">PSPPH_3162</t>
  </si>
  <si>
    <t xml:space="preserve">glpQ</t>
  </si>
  <si>
    <t xml:space="preserve">GTGGCGGAAAATCCTTGCAT</t>
  </si>
  <si>
    <t xml:space="preserve">TAGTGTGGCGGAAAATCCTTGCAT</t>
  </si>
  <si>
    <t xml:space="preserve">AAACATGCAAGGATTTTCCGCCAC</t>
  </si>
  <si>
    <t xml:space="preserve">GGTCTTTTTCAACAGGGTTG</t>
  </si>
  <si>
    <t xml:space="preserve">TAGTGGTCTTTTTCAACAGGGTTG</t>
  </si>
  <si>
    <t xml:space="preserve">AAACCAACCCTGTTGAAAAAGACC</t>
  </si>
  <si>
    <t xml:space="preserve">CATGACCGCTGCGGCCAGGA</t>
  </si>
  <si>
    <t xml:space="preserve">TAGTCATGACCGCTGCGGCCAGGA</t>
  </si>
  <si>
    <t xml:space="preserve">AAACTCCTGGCCGCAGCGGTCATG</t>
  </si>
  <si>
    <t xml:space="preserve">CCATACCGGATGACAGCATC</t>
  </si>
  <si>
    <t xml:space="preserve">TAGTCCATACCGGATGACAGCATC</t>
  </si>
  <si>
    <t xml:space="preserve">AAACGATGCTGTCATCCGGTATGG</t>
  </si>
  <si>
    <t xml:space="preserve">PSPPH_3163</t>
  </si>
  <si>
    <t xml:space="preserve">GAGGCGCATCGGGATCGATG</t>
  </si>
  <si>
    <t xml:space="preserve">TAGTGAGGCGCATCGGGATCGATG</t>
  </si>
  <si>
    <t xml:space="preserve">AAACCATCGATCCCGATGCGCCTC</t>
  </si>
  <si>
    <t xml:space="preserve">GGTCCAGGCCGGAGAACCAA</t>
  </si>
  <si>
    <t xml:space="preserve">TAGTGGTCCAGGCCGGAGAACCAA</t>
  </si>
  <si>
    <t xml:space="preserve">AAACTTGGTTCTCCGGCCTGGACC</t>
  </si>
  <si>
    <t xml:space="preserve">CTGACTGGCGGCAGCAGTAG</t>
  </si>
  <si>
    <t xml:space="preserve">TAGTCTGACTGGCGGCAGCAGTAG</t>
  </si>
  <si>
    <t xml:space="preserve">AAACCTACTGCTGCCGCCAGTCAG</t>
  </si>
  <si>
    <t xml:space="preserve">CGGTCTCTCCGAGAACCATC</t>
  </si>
  <si>
    <t xml:space="preserve">TAGTCGGTCTCTCCGAGAACCATC</t>
  </si>
  <si>
    <t xml:space="preserve">AAACGATGGTTCTCGGAGAGACCG</t>
  </si>
  <si>
    <t xml:space="preserve">PSPPH_3165</t>
  </si>
  <si>
    <t xml:space="preserve">CGTGTATTCACTGGCGGGCT</t>
  </si>
  <si>
    <t xml:space="preserve">TAGTCGTGTATTCACTGGCGGGCT</t>
  </si>
  <si>
    <t xml:space="preserve">AAACAGCCCGCCAGTGAATACACG</t>
  </si>
  <si>
    <t xml:space="preserve">TTCGGCAGGCTCGGAGGTGA</t>
  </si>
  <si>
    <t xml:space="preserve">TAGTTTCGGCAGGCTCGGAGGTGA</t>
  </si>
  <si>
    <t xml:space="preserve">AAACTCACCTCCGAGCCTGCCGAA</t>
  </si>
  <si>
    <t xml:space="preserve">AATCACGAAACCCAGCGCCT</t>
  </si>
  <si>
    <t xml:space="preserve">TAGTAATCACGAAACCCAGCGCCT</t>
  </si>
  <si>
    <t xml:space="preserve">AAACAGGCGCTGGGTTTCGTGATT</t>
  </si>
  <si>
    <t xml:space="preserve">CCAGTCGAAAGTCGTAGTGC</t>
  </si>
  <si>
    <t xml:space="preserve">TAGTCCAGTCGAAAGTCGTAGTGC</t>
  </si>
  <si>
    <t xml:space="preserve">AAACGCACTACGACTTTCGACTGG</t>
  </si>
  <si>
    <t xml:space="preserve">PSPPH_3166</t>
  </si>
  <si>
    <t xml:space="preserve">TTTCCAGATTGCCCTTGCCA</t>
  </si>
  <si>
    <t xml:space="preserve">TAGTTTTCCAGATTGCCCTTGCCA</t>
  </si>
  <si>
    <t xml:space="preserve">AAACTGGCAAGGGCAATCTGGAAA</t>
  </si>
  <si>
    <t xml:space="preserve">GTCGCCGACACCAATGCGAC</t>
  </si>
  <si>
    <t xml:space="preserve">TAGTGTCGCCGACACCAATGCGAC</t>
  </si>
  <si>
    <t xml:space="preserve">AAACGTCGCATTGGTGTCGGCGAC</t>
  </si>
  <si>
    <t xml:space="preserve">GAGCCAGTCAAAGTCGACAC</t>
  </si>
  <si>
    <t xml:space="preserve">TAGTGAGCCAGTCAAAGTCGACAC</t>
  </si>
  <si>
    <t xml:space="preserve">AAACGTGTCGACTTTGACTGGCTC</t>
  </si>
  <si>
    <t xml:space="preserve">TGATTCGCTTGTAGCCAACC</t>
  </si>
  <si>
    <t xml:space="preserve">TAGTTGATTCGCTTGTAGCCAACC</t>
  </si>
  <si>
    <t xml:space="preserve">AAACGGTTGGCTACAAGCGAATCA</t>
  </si>
  <si>
    <t xml:space="preserve">PSPPH_3167</t>
  </si>
  <si>
    <t xml:space="preserve">TAATGGCCGTCGCCGTGAGT</t>
  </si>
  <si>
    <t xml:space="preserve">TAGTTAATGGCCGTCGCCGTGAGT</t>
  </si>
  <si>
    <t xml:space="preserve">AAACACTCACGGCGACGGCCATTA</t>
  </si>
  <si>
    <t xml:space="preserve">TTCAGGTAATTGAGGGTGAC</t>
  </si>
  <si>
    <t xml:space="preserve">TAGTTTCAGGTAATTGAGGGTGAC</t>
  </si>
  <si>
    <t xml:space="preserve">AAACGTCACCCTCAATTACCTGAA</t>
  </si>
  <si>
    <t xml:space="preserve">GTAATAGCCCAGATCATCGG</t>
  </si>
  <si>
    <t xml:space="preserve">TAGTGTAATAGCCCAGATCATCGG</t>
  </si>
  <si>
    <t xml:space="preserve">AAACCCGATGATCTGGGCTATTAC</t>
  </si>
  <si>
    <t xml:space="preserve">TCTTCGCAAGAGCGACCGGT</t>
  </si>
  <si>
    <t xml:space="preserve">TAGTTCTTCGCAAGAGCGACCGGT</t>
  </si>
  <si>
    <t xml:space="preserve">AAACACCGGTCGCTCTTGCGAAGA</t>
  </si>
  <si>
    <t xml:space="preserve">PSPPH_3168</t>
  </si>
  <si>
    <t xml:space="preserve">CAGCGCAGGCGAGTGCGGTA</t>
  </si>
  <si>
    <t xml:space="preserve">TAGTCAGCGCAGGCGAGTGCGGTA</t>
  </si>
  <si>
    <t xml:space="preserve">AAACTACCGCACTCGCCTGCGCTG</t>
  </si>
  <si>
    <t xml:space="preserve">CTGCGCAGTGGCTCTGATCG</t>
  </si>
  <si>
    <t xml:space="preserve">TAGTCTGCGCAGTGGCTCTGATCG</t>
  </si>
  <si>
    <t xml:space="preserve">AAACCGATCAGAGCCACTGCGCAG</t>
  </si>
  <si>
    <t xml:space="preserve">CGAGCAGATCCTTGGATTTG</t>
  </si>
  <si>
    <t xml:space="preserve">TAGTCGAGCAGATCCTTGGATTTG</t>
  </si>
  <si>
    <t xml:space="preserve">AAACCAAATCCAAGGATCTGCTCG</t>
  </si>
  <si>
    <t xml:space="preserve">TGGCATCGCTGGGCGCCACC</t>
  </si>
  <si>
    <t xml:space="preserve">TAGTTGGCATCGCTGGGCGCCACC</t>
  </si>
  <si>
    <t xml:space="preserve">AAACGGTGGCGCCCAGCGATGCCA</t>
  </si>
  <si>
    <t xml:space="preserve">PSPPH_3169</t>
  </si>
  <si>
    <t xml:space="preserve">GAATGTCAGCTGTCTGGTTA</t>
  </si>
  <si>
    <t xml:space="preserve">TAGTGAATGTCAGCTGTCTGGTTA</t>
  </si>
  <si>
    <t xml:space="preserve">AAACTAACCAGACAGCTGACATTC</t>
  </si>
  <si>
    <t xml:space="preserve">TAGCAACTGCGCCGCCAGCA</t>
  </si>
  <si>
    <t xml:space="preserve">TAGTTAGCAACTGCGCCGCCAGCA</t>
  </si>
  <si>
    <t xml:space="preserve">AAACTGCTGGCGGCGCAGTTGCTA</t>
  </si>
  <si>
    <t xml:space="preserve">ATCAGGATCCGGCGCTGGCC</t>
  </si>
  <si>
    <t xml:space="preserve">TAGTATCAGGATCCGGCGCTGGCC</t>
  </si>
  <si>
    <t xml:space="preserve">AAACGGCCAGCGCCGGATCCTGAT</t>
  </si>
  <si>
    <t xml:space="preserve">GCCCCGGCCAAGCTCGCTGC</t>
  </si>
  <si>
    <t xml:space="preserve">TAGTGCCCCGGCCAAGCTCGCTGC</t>
  </si>
  <si>
    <t xml:space="preserve">AAACGCAGCGAGCTTGGCCGGGGC</t>
  </si>
  <si>
    <t xml:space="preserve">PSPPH_3170</t>
  </si>
  <si>
    <t xml:space="preserve">CGGGGAATTTTCTTTGTGCA</t>
  </si>
  <si>
    <t xml:space="preserve">TAGTCGGGGAATTTTCTTTGTGCA</t>
  </si>
  <si>
    <t xml:space="preserve">AAACTGCACAAAGAAAATTCCCCG</t>
  </si>
  <si>
    <t xml:space="preserve">TGCTGCAACACGGCTGGGCG</t>
  </si>
  <si>
    <t xml:space="preserve">TAGTTGCTGCAACACGGCTGGGCG</t>
  </si>
  <si>
    <t xml:space="preserve">AAACCGCCCAGCCGTGTTGCAGCA</t>
  </si>
  <si>
    <t xml:space="preserve">TGCGCAAACGCCGTACGTTC</t>
  </si>
  <si>
    <t xml:space="preserve">TAGTTGCGCAAACGCCGTACGTTC</t>
  </si>
  <si>
    <t xml:space="preserve">AAACGAACGTACGGCGTTTGCGCA</t>
  </si>
  <si>
    <t xml:space="preserve">CTGCCAGGGCGGTCTGGCTG</t>
  </si>
  <si>
    <t xml:space="preserve">TAGTCTGCCAGGGCGGTCTGGCTG</t>
  </si>
  <si>
    <t xml:space="preserve">AAACCAGCCAGACCGCCCTGGCAG</t>
  </si>
  <si>
    <t xml:space="preserve">PSPPH_3171</t>
  </si>
  <si>
    <t xml:space="preserve">CCTTGCTGATGCGGGGTAAT</t>
  </si>
  <si>
    <t xml:space="preserve">TAGTCCTTGCTGATGCGGGGTAAT</t>
  </si>
  <si>
    <t xml:space="preserve">AAACATTACCCCGCATCAGCAAGG</t>
  </si>
  <si>
    <t xml:space="preserve">CATGGTAATCAGAATCAGAA</t>
  </si>
  <si>
    <t xml:space="preserve">TAGTCATGGTAATCAGAATCAGAA</t>
  </si>
  <si>
    <t xml:space="preserve">AAACTTCTGATTCTGATTACCATG</t>
  </si>
  <si>
    <t xml:space="preserve">GAAGAGCATAGGGCCGCTGA</t>
  </si>
  <si>
    <t xml:space="preserve">TAGTGAAGAGCATAGGGCCGCTGA</t>
  </si>
  <si>
    <t xml:space="preserve">AAACTCAGCGGCCCTATGCTCTTC</t>
  </si>
  <si>
    <t xml:space="preserve">CGCTACGATAAGCGCCGCTG</t>
  </si>
  <si>
    <t xml:space="preserve">TAGTCGCTACGATAAGCGCCGCTG</t>
  </si>
  <si>
    <t xml:space="preserve">AAACCAGCGGCGCTTATCGTAGCG</t>
  </si>
  <si>
    <t xml:space="preserve">PSPPH_3172</t>
  </si>
  <si>
    <t xml:space="preserve">AGTAGAACTATCAGGGACAT</t>
  </si>
  <si>
    <t xml:space="preserve">TAGTAGTAGAACTATCAGGGACAT</t>
  </si>
  <si>
    <t xml:space="preserve">AAACATGTCCCTGATAGTTCTACT</t>
  </si>
  <si>
    <t xml:space="preserve">GCCAGACAGCTGCCGATGAA</t>
  </si>
  <si>
    <t xml:space="preserve">TAGTGCCAGACAGCTGCCGATGAA</t>
  </si>
  <si>
    <t xml:space="preserve">AAACTTCATCGGCAGCTGTCTGGC</t>
  </si>
  <si>
    <t xml:space="preserve">ACGCGCGTTGTGCGGCAAAA</t>
  </si>
  <si>
    <t xml:space="preserve">TAGTACGCGCGTTGTGCGGCAAAA</t>
  </si>
  <si>
    <t xml:space="preserve">AAACTTTTGCCGCACAACGCGCGT</t>
  </si>
  <si>
    <t xml:space="preserve">GCCGATGAGGGCGACCAGAC</t>
  </si>
  <si>
    <t xml:space="preserve">TAGTGCCGATGAGGGCGACCAGAC</t>
  </si>
  <si>
    <t xml:space="preserve">AAACGTCTGGTCGCCCTCATCGGC</t>
  </si>
  <si>
    <t xml:space="preserve">PSPPH_3173</t>
  </si>
  <si>
    <t xml:space="preserve">CGAGGCGGCCAGCACGCCGA</t>
  </si>
  <si>
    <t xml:space="preserve">TAGTCGAGGCGGCCAGCACGCCGA</t>
  </si>
  <si>
    <t xml:space="preserve">AAACTCGGCGTGCTGGCCGCCTCG</t>
  </si>
  <si>
    <t xml:space="preserve">CCTGAAAGGTGCGTGGCCGC</t>
  </si>
  <si>
    <t xml:space="preserve">TAGTCCTGAAAGGTGCGTGGCCGC</t>
  </si>
  <si>
    <t xml:space="preserve">AAACGCGGCCACGCACCTTTCAGG</t>
  </si>
  <si>
    <t xml:space="preserve">GGTTGACCCCGTAAGACAGC</t>
  </si>
  <si>
    <t xml:space="preserve">TAGTGGTTGACCCCGTAAGACAGC</t>
  </si>
  <si>
    <t xml:space="preserve">AAACGCTGTCTTACGGGGTCAACC</t>
  </si>
  <si>
    <t xml:space="preserve">TGCCCATGCTGAAAATGAAC</t>
  </si>
  <si>
    <t xml:space="preserve">TAGTTGCCCATGCTGAAAATGAAC</t>
  </si>
  <si>
    <t xml:space="preserve">AAACGTTCATTTTCAGCATGGGCA</t>
  </si>
  <si>
    <t xml:space="preserve">PSPPH_3175</t>
  </si>
  <si>
    <t xml:space="preserve">AGCCGGAAACAGGCGCTTCA</t>
  </si>
  <si>
    <t xml:space="preserve">TAGTAGCCGGAAACAGGCGCTTCA</t>
  </si>
  <si>
    <t xml:space="preserve">AAACTGAAGCGCCTGTTTCCGGCT</t>
  </si>
  <si>
    <t xml:space="preserve">CACAGTGCCAGAGAAAGCAG</t>
  </si>
  <si>
    <t xml:space="preserve">TAGTCACAGTGCCAGAGAAAGCAG</t>
  </si>
  <si>
    <t xml:space="preserve">AAACCTGCTTTCTCTGGCACTGTG</t>
  </si>
  <si>
    <t xml:space="preserve">GGTGGCCGGGGCTGATCGAC</t>
  </si>
  <si>
    <t xml:space="preserve">TAGTGGTGGCCGGGGCTGATCGAC</t>
  </si>
  <si>
    <t xml:space="preserve">AAACGTCGATCAGCCCCGGCCACC</t>
  </si>
  <si>
    <t xml:space="preserve">CCAGCACCGCACCCAGTAGC</t>
  </si>
  <si>
    <t xml:space="preserve">TAGTCCAGCACCGCACCCAGTAGC</t>
  </si>
  <si>
    <t xml:space="preserve">AAACGCTACTGGGTGCGGTGCTGG</t>
  </si>
  <si>
    <t xml:space="preserve">PSPPH_3176</t>
  </si>
  <si>
    <t xml:space="preserve">CGAAGATCAGCAGGCTGATC</t>
  </si>
  <si>
    <t xml:space="preserve">TAGTCGAAGATCAGCAGGCTGATC</t>
  </si>
  <si>
    <t xml:space="preserve">AAACGATCAGCCTGCTGATCTTCG</t>
  </si>
  <si>
    <t xml:space="preserve">CAGGGTGATCACCATCGCCA</t>
  </si>
  <si>
    <t xml:space="preserve">TAGTCAGGGTGATCACCATCGCCA</t>
  </si>
  <si>
    <t xml:space="preserve">AAACTGGCGATGGTGATCACCCTG</t>
  </si>
  <si>
    <t xml:space="preserve">GGGCTGAGGGACCCTTGAGC</t>
  </si>
  <si>
    <t xml:space="preserve">TAGTGGGCTGAGGGACCCTTGAGC</t>
  </si>
  <si>
    <t xml:space="preserve">AAACGCTCAAGGGTCCCTCAGCCC</t>
  </si>
  <si>
    <t xml:space="preserve">CAGCGCCAGCACCCGGTCCT</t>
  </si>
  <si>
    <t xml:space="preserve">TAGTCAGCGCCAGCACCCGGTCCT</t>
  </si>
  <si>
    <t xml:space="preserve">AAACAGGACCGGGTGCTGGCGCTG</t>
  </si>
  <si>
    <t xml:space="preserve">PSPPH_3177</t>
  </si>
  <si>
    <t xml:space="preserve">GGGCACGGTGTTCGGCAGTC</t>
  </si>
  <si>
    <t xml:space="preserve">TAGTGGGCACGGTGTTCGGCAGTC</t>
  </si>
  <si>
    <t xml:space="preserve">AAACGACTGCCGAACACCGTGCCC</t>
  </si>
  <si>
    <t xml:space="preserve">GTCAGTATCTCAGCCCAGAA</t>
  </si>
  <si>
    <t xml:space="preserve">TAGTGTCAGTATCTCAGCCCAGAA</t>
  </si>
  <si>
    <t xml:space="preserve">AAACTTCTGGGCTGAGATACTGAC</t>
  </si>
  <si>
    <t xml:space="preserve">GCTGGCGATCAGCAGCCCGG</t>
  </si>
  <si>
    <t xml:space="preserve">TAGTGCTGGCGATCAGCAGCCCGG</t>
  </si>
  <si>
    <t xml:space="preserve">AAACCCGGGCTGCTGATCGCCAGC</t>
  </si>
  <si>
    <t xml:space="preserve">CAGCCCGAGGGCACCGGTCA</t>
  </si>
  <si>
    <t xml:space="preserve">TAGTCAGCCCGAGGGCACCGGTCA</t>
  </si>
  <si>
    <t xml:space="preserve">AAACTGACCGGTGCCCTCGGGCTG</t>
  </si>
  <si>
    <t xml:space="preserve">PSPPH_3178</t>
  </si>
  <si>
    <t xml:space="preserve">GCCGAGCACGAACAAGGCAT</t>
  </si>
  <si>
    <t xml:space="preserve">TAGTGCCGAGCACGAACAAGGCAT</t>
  </si>
  <si>
    <t xml:space="preserve">AAACATGCCTTGTTCGTGCTCGGC</t>
  </si>
  <si>
    <t xml:space="preserve">ACTGCTTGACCAACTGTGCG</t>
  </si>
  <si>
    <t xml:space="preserve">TAGTACTGCTTGACCAACTGTGCG</t>
  </si>
  <si>
    <t xml:space="preserve">AAACCGCACAGTTGGTCAAGCAGT</t>
  </si>
  <si>
    <t xml:space="preserve">CTCGGTGATGTAGACAAAAC</t>
  </si>
  <si>
    <t xml:space="preserve">TAGTCTCGGTGATGTAGACAAAAC</t>
  </si>
  <si>
    <t xml:space="preserve">AAACGTTTTGTCTACATCACCGAG</t>
  </si>
  <si>
    <t xml:space="preserve">TTCAGCGATATAAATACCTT</t>
  </si>
  <si>
    <t xml:space="preserve">TAGTTTCAGCGATATAAATACCTT</t>
  </si>
  <si>
    <t xml:space="preserve">AAACAAGGTATTTATATCGCTGAA</t>
  </si>
  <si>
    <t xml:space="preserve">PSPPH_3179</t>
  </si>
  <si>
    <t xml:space="preserve">TTCATCAGTTCTTATGGGAG</t>
  </si>
  <si>
    <t xml:space="preserve">TAGTTTCATCAGTTCTTATGGGAG</t>
  </si>
  <si>
    <t xml:space="preserve">AAACCTCCCATAAGAACTGATGAA</t>
  </si>
  <si>
    <t xml:space="preserve">CCATGTCATCTCCTCGCCGG</t>
  </si>
  <si>
    <t xml:space="preserve">TAGTCCATGTCATCTCCTCGCCGG</t>
  </si>
  <si>
    <t xml:space="preserve">AAACCCGGCGAGGAGATGACATGG</t>
  </si>
  <si>
    <t xml:space="preserve">TTGGGTGAACAGGTCGTTGA</t>
  </si>
  <si>
    <t xml:space="preserve">TAGTTTGGGTGAACAGGTCGTTGA</t>
  </si>
  <si>
    <t xml:space="preserve">AAACTCAACGACCTGTTCACCCAA</t>
  </si>
  <si>
    <t xml:space="preserve">GTCGTCAGGCAGTGGGTGCT</t>
  </si>
  <si>
    <t xml:space="preserve">TAGTGTCGTCAGGCAGTGGGTGCT</t>
  </si>
  <si>
    <t xml:space="preserve">AAACAGCACCCACTGCCTGACGAC</t>
  </si>
  <si>
    <t xml:space="preserve">PSPPH_3180</t>
  </si>
  <si>
    <t xml:space="preserve">GAAGAAAATTCCGATCCGTG</t>
  </si>
  <si>
    <t xml:space="preserve">TAGTGAAGAAAATTCCGATCCGTG</t>
  </si>
  <si>
    <t xml:space="preserve">AAACCACGGATCGGAATTTTCTTC</t>
  </si>
  <si>
    <t xml:space="preserve">CCTGACAGTCAGCCCCGATC</t>
  </si>
  <si>
    <t xml:space="preserve">TAGTCCTGACAGTCAGCCCCGATC</t>
  </si>
  <si>
    <t xml:space="preserve">AAACGATCGGGGCTGACTGTCAGG</t>
  </si>
  <si>
    <t xml:space="preserve">TCATTACTATAACTACTGCC</t>
  </si>
  <si>
    <t xml:space="preserve">TAGTTCATTACTATAACTACTGCC</t>
  </si>
  <si>
    <t xml:space="preserve">AAACGGCAGTAGTTATAGTAATGA</t>
  </si>
  <si>
    <t xml:space="preserve">CCGATAAAGATCAACCAGCC</t>
  </si>
  <si>
    <t xml:space="preserve">TAGTCCGATAAAGATCAACCAGCC</t>
  </si>
  <si>
    <t xml:space="preserve">AAACGGCTGGTTGATCTTTATCGG</t>
  </si>
  <si>
    <t xml:space="preserve">PSPPH_3181</t>
  </si>
  <si>
    <t xml:space="preserve">GGCTGCCATGGATAGGTTCT</t>
  </si>
  <si>
    <t xml:space="preserve">TAGTGGCTGCCATGGATAGGTTCT</t>
  </si>
  <si>
    <t xml:space="preserve">AAACAGAACCTATCCATGGCAGCC</t>
  </si>
  <si>
    <t xml:space="preserve">AGCATCGGCCAGTGGTAATC</t>
  </si>
  <si>
    <t xml:space="preserve">TAGTAGCATCGGCCAGTGGTAATC</t>
  </si>
  <si>
    <t xml:space="preserve">AAACGATTACCACTGGCCGATGCT</t>
  </si>
  <si>
    <t xml:space="preserve">AACACGACACTTTGCACCGC</t>
  </si>
  <si>
    <t xml:space="preserve">TAGTAACACGACACTTTGCACCGC</t>
  </si>
  <si>
    <t xml:space="preserve">AAACGCGGTGCAAAGTGTCGTGTT</t>
  </si>
  <si>
    <t xml:space="preserve">CGCTCATGGCGGCGAAGAGC</t>
  </si>
  <si>
    <t xml:space="preserve">TAGTCGCTCATGGCGGCGAAGAGC</t>
  </si>
  <si>
    <t xml:space="preserve">AAACGCTCTTCGCCGCCATGAGCG</t>
  </si>
  <si>
    <t xml:space="preserve">PSPPH_3182</t>
  </si>
  <si>
    <t xml:space="preserve">GCGTTCATGTAGTCATCGGC</t>
  </si>
  <si>
    <t xml:space="preserve">TAGTGCGTTCATGTAGTCATCGGC</t>
  </si>
  <si>
    <t xml:space="preserve">AAACGCCGATGACTACATGAACGC</t>
  </si>
  <si>
    <t xml:space="preserve">GACGAAGAAAGCGTGCTGCT</t>
  </si>
  <si>
    <t xml:space="preserve">TAGTGACGAAGAAAGCGTGCTGCT</t>
  </si>
  <si>
    <t xml:space="preserve">AAACAGCAGCACGCTTTCTTCGTC</t>
  </si>
  <si>
    <t xml:space="preserve">GGCTCTGCTCGATTCGCTCG</t>
  </si>
  <si>
    <t xml:space="preserve">TAGTGGCTCTGCTCGATTCGCTCG</t>
  </si>
  <si>
    <t xml:space="preserve">AAACCGAGCGAATCGAGCAGAGCC</t>
  </si>
  <si>
    <t xml:space="preserve">CCAGGCTCTCGATCGCAATA</t>
  </si>
  <si>
    <t xml:space="preserve">TAGTCCAGGCTCTCGATCGCAATA</t>
  </si>
  <si>
    <t xml:space="preserve">AAACTATTGCGATCGAGAGCCTGG</t>
  </si>
  <si>
    <t xml:space="preserve">PSPPH_3183</t>
  </si>
  <si>
    <t xml:space="preserve">TTCCTGGTCGGTGCCAAGGC</t>
  </si>
  <si>
    <t xml:space="preserve">TAGTTTCCTGGTCGGTGCCAAGGC</t>
  </si>
  <si>
    <t xml:space="preserve">AAACGCCTTGGCACCGACCAGGAA</t>
  </si>
  <si>
    <t xml:space="preserve">AGAAAAATACTCAGCTCGGT</t>
  </si>
  <si>
    <t xml:space="preserve">TAGTAGAAAAATACTCAGCTCGGT</t>
  </si>
  <si>
    <t xml:space="preserve">AAACACCGAGCTGAGTATTTTTCT</t>
  </si>
  <si>
    <t xml:space="preserve">TGAGCAGAAAGCTCTGATCA</t>
  </si>
  <si>
    <t xml:space="preserve">TAGTTGAGCAGAAAGCTCTGATCA</t>
  </si>
  <si>
    <t xml:space="preserve">AAACTGATCAGAGCTTTCTGCTCA</t>
  </si>
  <si>
    <t xml:space="preserve">GATCATCAGTACCAGACGCT</t>
  </si>
  <si>
    <t xml:space="preserve">TAGTGATCATCAGTACCAGACGCT</t>
  </si>
  <si>
    <t xml:space="preserve">AAACAGCGTCTGGTACTGATGATC</t>
  </si>
  <si>
    <t xml:space="preserve">PSPPH_3184</t>
  </si>
  <si>
    <t xml:space="preserve">ATCGCGTTGTGCGGGCGGGT</t>
  </si>
  <si>
    <t xml:space="preserve">TAGTATCGCGTTGTGCGGGCGGGT</t>
  </si>
  <si>
    <t xml:space="preserve">AAACACCCGCCCGCACAACGCGAT</t>
  </si>
  <si>
    <t xml:space="preserve">GGGCTATCGCTGTCACTGGA</t>
  </si>
  <si>
    <t xml:space="preserve">TAGTGGGCTATCGCTGTCACTGGA</t>
  </si>
  <si>
    <t xml:space="preserve">AAACTCCAGTGACAGCGATAGCCC</t>
  </si>
  <si>
    <t xml:space="preserve">GCGGCTGGGCATCCGGCGTC</t>
  </si>
  <si>
    <t xml:space="preserve">TAGTGCGGCTGGGCATCCGGCGTC</t>
  </si>
  <si>
    <t xml:space="preserve">AAACGACGCCGGATGCCCAGCCGC</t>
  </si>
  <si>
    <t xml:space="preserve">TGGCTGATTTCAAGCAGATA</t>
  </si>
  <si>
    <t xml:space="preserve">TAGTTGGCTGATTTCAAGCAGATA</t>
  </si>
  <si>
    <t xml:space="preserve">AAACTATCTGCTTGAAATCAGCCA</t>
  </si>
  <si>
    <t xml:space="preserve">PSPPH_3185</t>
  </si>
  <si>
    <t xml:space="preserve">CATCAGCGCCATGGCCAATG</t>
  </si>
  <si>
    <t xml:space="preserve">TAGTCATCAGCGCCATGGCCAATG</t>
  </si>
  <si>
    <t xml:space="preserve">AAACCATTGGCCATGGCGCTGATG</t>
  </si>
  <si>
    <t xml:space="preserve">GGCCACACCGATCTTGATAT</t>
  </si>
  <si>
    <t xml:space="preserve">TAGTGGCCACACCGATCTTGATAT</t>
  </si>
  <si>
    <t xml:space="preserve">AAACATATCAAGATCGGTGTGGCC</t>
  </si>
  <si>
    <t xml:space="preserve">GGTGTCATCGAACTGCGACA</t>
  </si>
  <si>
    <t xml:space="preserve">TAGTGGTGTCATCGAACTGCGACA</t>
  </si>
  <si>
    <t xml:space="preserve">AAACTGTCGCAGTTCGATGACACC</t>
  </si>
  <si>
    <t xml:space="preserve">ATTCATGTCGTCACGCAGGT</t>
  </si>
  <si>
    <t xml:space="preserve">TAGTATTCATGTCGTCACGCAGGT</t>
  </si>
  <si>
    <t xml:space="preserve">AAACACCTGCGTGACGACATGAAT</t>
  </si>
  <si>
    <t xml:space="preserve">PSPPH_3186</t>
  </si>
  <si>
    <t xml:space="preserve">GCCCACCAGCCCTGCTCGCA</t>
  </si>
  <si>
    <t xml:space="preserve">TAGTGCCCACCAGCCCTGCTCGCA</t>
  </si>
  <si>
    <t xml:space="preserve">AAACTGCGAGCAGGGCTGGTGGGC</t>
  </si>
  <si>
    <t xml:space="preserve">ACGCCTGCAAATGTGGCACC</t>
  </si>
  <si>
    <t xml:space="preserve">TAGTACGCCTGCAAATGTGGCACC</t>
  </si>
  <si>
    <t xml:space="preserve">AAACGGTGCCACATTTGCAGGCGT</t>
  </si>
  <si>
    <t xml:space="preserve">CTGTTTTCGCTCGGGTGAAC</t>
  </si>
  <si>
    <t xml:space="preserve">TAGTCTGTTTTCGCTCGGGTGAAC</t>
  </si>
  <si>
    <t xml:space="preserve">AAACGTTCACCCGAGCGAAAACAG</t>
  </si>
  <si>
    <t xml:space="preserve">GTGTCGAAGGTTGCCACGCC</t>
  </si>
  <si>
    <t xml:space="preserve">TAGTGTGTCGAAGGTTGCCACGCC</t>
  </si>
  <si>
    <t xml:space="preserve">AAACGGCGTGGCAACCTTCGACAC</t>
  </si>
  <si>
    <t xml:space="preserve">PSPPH_3187</t>
  </si>
  <si>
    <t xml:space="preserve">GACAGGTGGCGATACATATA</t>
  </si>
  <si>
    <t xml:space="preserve">TAGTGACAGGTGGCGATACATATA</t>
  </si>
  <si>
    <t xml:space="preserve">AAACTATATGTATCGCCACCTGTC</t>
  </si>
  <si>
    <t xml:space="preserve">AACGGCATGAAATCTTCGCG</t>
  </si>
  <si>
    <t xml:space="preserve">TAGTAACGGCATGAAATCTTCGCG</t>
  </si>
  <si>
    <t xml:space="preserve">AAACCGCGAAGATTTCATGCCGTT</t>
  </si>
  <si>
    <t xml:space="preserve">TTCGCGCACGATCCACGCGC</t>
  </si>
  <si>
    <t xml:space="preserve">TAGTTTCGCGCACGATCCACGCGC</t>
  </si>
  <si>
    <t xml:space="preserve">AAACGCGCGTGGATCGTGCGCGAA</t>
  </si>
  <si>
    <t xml:space="preserve">TTTCACACCAGCATCGCTCA</t>
  </si>
  <si>
    <t xml:space="preserve">TAGTTTTCACACCAGCATCGCTCA</t>
  </si>
  <si>
    <t xml:space="preserve">AAACTGAGCGATGCTGGTGTGAAA</t>
  </si>
  <si>
    <t xml:space="preserve">PSPPH_3188</t>
  </si>
  <si>
    <t xml:space="preserve">iolG</t>
  </si>
  <si>
    <t xml:space="preserve">CCAGCGTTTTGCTGCAACGC</t>
  </si>
  <si>
    <t xml:space="preserve">TAGTCCAGCGTTTTGCTGCAACGC</t>
  </si>
  <si>
    <t xml:space="preserve">AAACGCGTTGCAGCAAAACGCTGG</t>
  </si>
  <si>
    <t xml:space="preserve">TGCCTGCTCCAGGTTGATGT</t>
  </si>
  <si>
    <t xml:space="preserve">TAGTTGCCTGCTCCAGGTTGATGT</t>
  </si>
  <si>
    <t xml:space="preserve">AAACACATCAACCTGGAGCAGGCA</t>
  </si>
  <si>
    <t xml:space="preserve">GTCCAGCTCGCGCACCACTT</t>
  </si>
  <si>
    <t xml:space="preserve">TAGTGTCCAGCTCGCGCACCACTT</t>
  </si>
  <si>
    <t xml:space="preserve">AAACAAGTGGTGCGCGAGCTGGAC</t>
  </si>
  <si>
    <t xml:space="preserve">GTGGCCATCGGCATACACTT</t>
  </si>
  <si>
    <t xml:space="preserve">TAGTGTGGCCATCGGCATACACTT</t>
  </si>
  <si>
    <t xml:space="preserve">AAACAAGTGTATGCCGATGGCCAC</t>
  </si>
  <si>
    <t xml:space="preserve">PSPPH_3189</t>
  </si>
  <si>
    <t xml:space="preserve">GGCCTGGGCCATGGTCAGTC</t>
  </si>
  <si>
    <t xml:space="preserve">TAGTGGCCTGGGCCATGGTCAGTC</t>
  </si>
  <si>
    <t xml:space="preserve">AAACGACTGACCATGGCCCAGGCC</t>
  </si>
  <si>
    <t xml:space="preserve">ATTATCGAGAAACTTCACCA</t>
  </si>
  <si>
    <t xml:space="preserve">TAGTATTATCGAGAAACTTCACCA</t>
  </si>
  <si>
    <t xml:space="preserve">AAACTGGTGAAGTTTCTCGATAAT</t>
  </si>
  <si>
    <t xml:space="preserve">CACGTTGCCATGCCCGAAAA</t>
  </si>
  <si>
    <t xml:space="preserve">TAGTCACGTTGCCATGCCCGAAAA</t>
  </si>
  <si>
    <t xml:space="preserve">AAACTTTTCGGGCATGGCAACGTG</t>
  </si>
  <si>
    <t xml:space="preserve">TACGGCCTTGATGAACCACC</t>
  </si>
  <si>
    <t xml:space="preserve">TAGTTACGGCCTTGATGAACCACC</t>
  </si>
  <si>
    <t xml:space="preserve">AAACGGTGGTTCATCAAGGCCGTA</t>
  </si>
  <si>
    <t xml:space="preserve">PSPPH_3190</t>
  </si>
  <si>
    <t xml:space="preserve">TAAGGGCGAAACGCAGAGGT</t>
  </si>
  <si>
    <t xml:space="preserve">TAGTTAAGGGCGAAACGCAGAGGT</t>
  </si>
  <si>
    <t xml:space="preserve">AAACACCTCTGCGTTTCGCCCTTA</t>
  </si>
  <si>
    <t xml:space="preserve">AAACCTTCCAGAGACAGGCG</t>
  </si>
  <si>
    <t xml:space="preserve">TAGTAAACCTTCCAGAGACAGGCG</t>
  </si>
  <si>
    <t xml:space="preserve">AAACCGCCTGTCTCTGGAAGGTTT</t>
  </si>
  <si>
    <t xml:space="preserve">GTTGCGAATCTCGATGGCAT</t>
  </si>
  <si>
    <t xml:space="preserve">TAGTGTTGCGAATCTCGATGGCAT</t>
  </si>
  <si>
    <t xml:space="preserve">AAACATGCCATCGAGATTCGCAAC</t>
  </si>
  <si>
    <t xml:space="preserve">CAAAGGTCACGAACGACCTG</t>
  </si>
  <si>
    <t xml:space="preserve">TAGTCAAAGGTCACGAACGACCTG</t>
  </si>
  <si>
    <t xml:space="preserve">AAACCAGGTCGTTCGTGACCTTTG</t>
  </si>
  <si>
    <t xml:space="preserve">PSPPH_3191</t>
  </si>
  <si>
    <t xml:space="preserve">mmsA1</t>
  </si>
  <si>
    <t xml:space="preserve">TTGATGTAATGGCCGATTAC</t>
  </si>
  <si>
    <t xml:space="preserve">TAGTTTGATGTAATGGCCGATTAC</t>
  </si>
  <si>
    <t xml:space="preserve">AAACGTAATCGGCCATTACATCAA</t>
  </si>
  <si>
    <t xml:space="preserve">GCTCACCATCGCCGTCATTC</t>
  </si>
  <si>
    <t xml:space="preserve">TAGTGCTCACCATCGCCGTCATTC</t>
  </si>
  <si>
    <t xml:space="preserve">AAACGAATGACGGCGATGGTGAGC</t>
  </si>
  <si>
    <t xml:space="preserve">CTTGAACAGTGCCGATTGCC</t>
  </si>
  <si>
    <t xml:space="preserve">TAGTCTTGAACAGTGCCGATTGCC</t>
  </si>
  <si>
    <t xml:space="preserve">AAACGGCAATCGGCACTGTTCAAG</t>
  </si>
  <si>
    <t xml:space="preserve">TTCATCCACGGTTTTCACGC</t>
  </si>
  <si>
    <t xml:space="preserve">TAGTTTCATCCACGGTTTTCACGC</t>
  </si>
  <si>
    <t xml:space="preserve">AAACGCGTGAAAACCGTGGATGAA</t>
  </si>
  <si>
    <t xml:space="preserve">PSPPH_3192</t>
  </si>
  <si>
    <t xml:space="preserve">GCTCTTGGTCAGCAGATTCA</t>
  </si>
  <si>
    <t xml:space="preserve">TAGTGCTCTTGGTCAGCAGATTCA</t>
  </si>
  <si>
    <t xml:space="preserve">AAACTGAATCTGCTGACCAAGAGC</t>
  </si>
  <si>
    <t xml:space="preserve">GCCACGATGTCACGGCCCTG</t>
  </si>
  <si>
    <t xml:space="preserve">TAGTGCCACGATGTCACGGCCCTG</t>
  </si>
  <si>
    <t xml:space="preserve">AAACCAGGGCCGTGACATCGTGGC</t>
  </si>
  <si>
    <t xml:space="preserve">TTCACGTACTCGAGCGAGCC</t>
  </si>
  <si>
    <t xml:space="preserve">TAGTTTCACGTACTCGAGCGAGCC</t>
  </si>
  <si>
    <t xml:space="preserve">AAACGGCTCGCTCGAGTACGTGAA</t>
  </si>
  <si>
    <t xml:space="preserve">ACCGCCCTCCAGTCGGTAGG</t>
  </si>
  <si>
    <t xml:space="preserve">TAGTACCGCCCTCCAGTCGGTAGG</t>
  </si>
  <si>
    <t xml:space="preserve">AAACCCTACCGACTGGAGGGCGGT</t>
  </si>
  <si>
    <t xml:space="preserve">PSPPH_3195</t>
  </si>
  <si>
    <t xml:space="preserve">CAGAGTGGGCTGATCGGCGC</t>
  </si>
  <si>
    <t xml:space="preserve">TAGTCAGAGTGGGCTGATCGGCGC</t>
  </si>
  <si>
    <t xml:space="preserve">AAACGCGCCGATCAGCCCACTCTG</t>
  </si>
  <si>
    <t xml:space="preserve">GGCATGTCGACGCTCGTCTC</t>
  </si>
  <si>
    <t xml:space="preserve">TAGTGGCATGTCGACGCTCGTCTC</t>
  </si>
  <si>
    <t xml:space="preserve">AAACGAGACGAGCGTCGACATGCC</t>
  </si>
  <si>
    <t xml:space="preserve">AGGCCTTCGGCATTGGTCGG</t>
  </si>
  <si>
    <t xml:space="preserve">TAGTAGGCCTTCGGCATTGGTCGG</t>
  </si>
  <si>
    <t xml:space="preserve">AAACCCGACCAATGCCGAAGGCCT</t>
  </si>
  <si>
    <t xml:space="preserve">CATCAGTGATCAGCCTTAGC</t>
  </si>
  <si>
    <t xml:space="preserve">TAGTCATCAGTGATCAGCCTTAGC</t>
  </si>
  <si>
    <t xml:space="preserve">AAACGCTAAGGCTGATCACTGATG</t>
  </si>
  <si>
    <t xml:space="preserve">PSPPH_3196</t>
  </si>
  <si>
    <t xml:space="preserve">ACTTCGCGGCGCTGCATTTG</t>
  </si>
  <si>
    <t xml:space="preserve">TAGTACTTCGCGGCGCTGCATTTG</t>
  </si>
  <si>
    <t xml:space="preserve">AAACCAAATGCAGCGCCGCGAAGT</t>
  </si>
  <si>
    <t xml:space="preserve">CCGCTTTGCCCATTTCCATT</t>
  </si>
  <si>
    <t xml:space="preserve">TAGTCCGCTTTGCCCATTTCCATT</t>
  </si>
  <si>
    <t xml:space="preserve">AAACAATGGAAATGGGCAAAGCGG</t>
  </si>
  <si>
    <t xml:space="preserve">CCAGCAGAAACAACAGGACC</t>
  </si>
  <si>
    <t xml:space="preserve">TAGTCCAGCAGAAACAACAGGACC</t>
  </si>
  <si>
    <t xml:space="preserve">AAACGGTCCTGTTGTTTCTGCTGG</t>
  </si>
  <si>
    <t xml:space="preserve">GCTTGACCTCTTGCCAGTCA</t>
  </si>
  <si>
    <t xml:space="preserve">TAGTGCTTGACCTCTTGCCAGTCA</t>
  </si>
  <si>
    <t xml:space="preserve">AAACTGACTGGCAAGAGGTCAAGC</t>
  </si>
  <si>
    <t xml:space="preserve">PSPPH_3197</t>
  </si>
  <si>
    <t xml:space="preserve">CCGTATGCACTCGAACACCC</t>
  </si>
  <si>
    <t xml:space="preserve">TAGTCCGTATGCACTCGAACACCC</t>
  </si>
  <si>
    <t xml:space="preserve">AAACGGGTGTTCGAGTGCATACGG</t>
  </si>
  <si>
    <t xml:space="preserve">GATCAACACCTCTTTGCGCG</t>
  </si>
  <si>
    <t xml:space="preserve">TAGTGATCAACACCTCTTTGCGCG</t>
  </si>
  <si>
    <t xml:space="preserve">AAACCGCGCAAAGAGGTGTTGATC</t>
  </si>
  <si>
    <t xml:space="preserve">GTTGCAAGCCCTCGCCAATC</t>
  </si>
  <si>
    <t xml:space="preserve">TAGTGTTGCAAGCCCTCGCCAATC</t>
  </si>
  <si>
    <t xml:space="preserve">AAACGATTGGCGAGGGCTTGCAAC</t>
  </si>
  <si>
    <t xml:space="preserve">TCGCGCCGTTGGCCGCAGCT</t>
  </si>
  <si>
    <t xml:space="preserve">TAGTTCGCGCCGTTGGCCGCAGCT</t>
  </si>
  <si>
    <t xml:space="preserve">AAACAGCTGCGGCCAACGGCGCGA</t>
  </si>
  <si>
    <t xml:space="preserve">PSPPH_3198</t>
  </si>
  <si>
    <t xml:space="preserve">AAAGCCCATGTGCATGTTCA</t>
  </si>
  <si>
    <t xml:space="preserve">TAGTAAAGCCCATGTGCATGTTCA</t>
  </si>
  <si>
    <t xml:space="preserve">AAACTGAACATGCACATGGGCTTT</t>
  </si>
  <si>
    <t xml:space="preserve">GCAACTCCGGCAAAATGAAG</t>
  </si>
  <si>
    <t xml:space="preserve">TAGTGCAACTCCGGCAAAATGAAG</t>
  </si>
  <si>
    <t xml:space="preserve">AAACCTTCATTTTGCCGGAGTTGC</t>
  </si>
  <si>
    <t xml:space="preserve">TTCCTGAAGAAACACGATAT</t>
  </si>
  <si>
    <t xml:space="preserve">TAGTTTCCTGAAGAAACACGATAT</t>
  </si>
  <si>
    <t xml:space="preserve">AAACATATCGTGTTTCTTCAGGAA</t>
  </si>
  <si>
    <t xml:space="preserve">TGACGCTGCGCGCATGGCTC</t>
  </si>
  <si>
    <t xml:space="preserve">TAGTTGACGCTGCGCGCATGGCTC</t>
  </si>
  <si>
    <t xml:space="preserve">AAACGAGCCATGCGCGCAGCGTCA</t>
  </si>
  <si>
    <t xml:space="preserve">PSPPH_3199</t>
  </si>
  <si>
    <t xml:space="preserve">TTGAGAAGTCGGTGCATCCA</t>
  </si>
  <si>
    <t xml:space="preserve">TAGTTTGAGAAGTCGGTGCATCCA</t>
  </si>
  <si>
    <t xml:space="preserve">AAACTGGATGCACCGACTTCTCAA</t>
  </si>
  <si>
    <t xml:space="preserve">GTGCAGCCATCTGGCTCGTG</t>
  </si>
  <si>
    <t xml:space="preserve">TAGTGTGCAGCCATCTGGCTCGTG</t>
  </si>
  <si>
    <t xml:space="preserve">AAACCACGAGCCAGATGGCTGCAC</t>
  </si>
  <si>
    <t xml:space="preserve">ATACGCCAGCACAATCAGTA</t>
  </si>
  <si>
    <t xml:space="preserve">TAGTATACGCCAGCACAATCAGTA</t>
  </si>
  <si>
    <t xml:space="preserve">AAACTACTGATTGTGCTGGCGTAT</t>
  </si>
  <si>
    <t xml:space="preserve">CTGACTGCGGCTCAGAATCA</t>
  </si>
  <si>
    <t xml:space="preserve">TAGTCTGACTGCGGCTCAGAATCA</t>
  </si>
  <si>
    <t xml:space="preserve">AAACTGATTCTGAGCCGCAGTCAG</t>
  </si>
  <si>
    <t xml:space="preserve">PSPPH_3200</t>
  </si>
  <si>
    <t xml:space="preserve">mtaP</t>
  </si>
  <si>
    <t xml:space="preserve">AATGTTCAGGCCTTCCAGCT</t>
  </si>
  <si>
    <t xml:space="preserve">TAGTAATGTTCAGGCCTTCCAGCT</t>
  </si>
  <si>
    <t xml:space="preserve">AAACAGCTGGAAGGCCTGAACATT</t>
  </si>
  <si>
    <t xml:space="preserve">ATAAGGCGTGTTCATCGACA</t>
  </si>
  <si>
    <t xml:space="preserve">TAGTATAAGGCGTGTTCATCGACA</t>
  </si>
  <si>
    <t xml:space="preserve">AAACTGTCGATGAACACGCCTTAT</t>
  </si>
  <si>
    <t xml:space="preserve">CCGATCTGGATTTCGCCGGA</t>
  </si>
  <si>
    <t xml:space="preserve">TAGTCCGATCTGGATTTCGCCGGA</t>
  </si>
  <si>
    <t xml:space="preserve">AAACTCCGGCGAAATCCAGATCGG</t>
  </si>
  <si>
    <t xml:space="preserve">TGATGCGGTGGCAAACGGTG</t>
  </si>
  <si>
    <t xml:space="preserve">TAGTTGATGCGGTGGCAAACGGTG</t>
  </si>
  <si>
    <t xml:space="preserve">AAACCACCGTTTGCCACCGCATCA</t>
  </si>
  <si>
    <t xml:space="preserve">PSPPH_3201</t>
  </si>
  <si>
    <t xml:space="preserve">nagZ</t>
  </si>
  <si>
    <t xml:space="preserve">CGACCATCAGGGAGCCTTGC</t>
  </si>
  <si>
    <t xml:space="preserve">TAGTCGACCATCAGGGAGCCTTGC</t>
  </si>
  <si>
    <t xml:space="preserve">AAACGCAAGGCTCCCTGATGGTCG</t>
  </si>
  <si>
    <t xml:space="preserve">TTCGCTGGTCAGCCAGGTGC</t>
  </si>
  <si>
    <t xml:space="preserve">TAGTTTCGCTGGTCAGCCAGGTGC</t>
  </si>
  <si>
    <t xml:space="preserve">AAACGCACCTGGCTGACCAGCGAA</t>
  </si>
  <si>
    <t xml:space="preserve">CGGGCTGACGCAGAAAATGA</t>
  </si>
  <si>
    <t xml:space="preserve">TAGTCGGGCTGACGCAGAAAATGA</t>
  </si>
  <si>
    <t xml:space="preserve">AAACTCATTTTCTGCGTCAGCCCG</t>
  </si>
  <si>
    <t xml:space="preserve">GATAATCAAACCGCCCACTT</t>
  </si>
  <si>
    <t xml:space="preserve">TAGTGATAATCAAACCGCCCACTT</t>
  </si>
  <si>
    <t xml:space="preserve">AAACAAGTGGGCGGTTTGATTATC</t>
  </si>
  <si>
    <t xml:space="preserve">PSPPH_3202</t>
  </si>
  <si>
    <t xml:space="preserve">psrA</t>
  </si>
  <si>
    <t xml:space="preserve">AACGGTTTCCGACTGGGCCA</t>
  </si>
  <si>
    <t xml:space="preserve">TAGTAACGGTTTCCGACTGGGCCA</t>
  </si>
  <si>
    <t xml:space="preserve">AAACTGGCCCAGTCGGAAACCGTT</t>
  </si>
  <si>
    <t xml:space="preserve">CTTTTCTGCGAACAACTGCT</t>
  </si>
  <si>
    <t xml:space="preserve">TAGTCTTTTCTGCGAACAACTGCT</t>
  </si>
  <si>
    <t xml:space="preserve">AAACAGCAGTTGTTCGCAGAAAAG</t>
  </si>
  <si>
    <t xml:space="preserve">GCTGGTGATGAGACGCAAGG</t>
  </si>
  <si>
    <t xml:space="preserve">TAGTGCTGGTGATGAGACGCAAGG</t>
  </si>
  <si>
    <t xml:space="preserve">AAACCCTTGCGTCTCATCACCAGC</t>
  </si>
  <si>
    <t xml:space="preserve">GCGCCTTTTTCGAGCCGAAG</t>
  </si>
  <si>
    <t xml:space="preserve">TAGTGCGCCTTTTTCGAGCCGAAG</t>
  </si>
  <si>
    <t xml:space="preserve">AAACCTTCGGCTCGAAAAAGGCGC</t>
  </si>
  <si>
    <t xml:space="preserve">PSPPH_3203</t>
  </si>
  <si>
    <t xml:space="preserve">lexA2</t>
  </si>
  <si>
    <t xml:space="preserve">CCCAGGATTTCAGCCTGGCG</t>
  </si>
  <si>
    <t xml:space="preserve">TAGTCCCAGGATTTCAGCCTGGCG</t>
  </si>
  <si>
    <t xml:space="preserve">AAACCGCCAGGCTGAAATCCTGGG</t>
  </si>
  <si>
    <t xml:space="preserve">GTGGAAAGCCGTTGTCTTCC</t>
  </si>
  <si>
    <t xml:space="preserve">TAGTGTGGAAAGCCGTTGTCTTCC</t>
  </si>
  <si>
    <t xml:space="preserve">AAACGGAAGACAACGGCTTTCCAC</t>
  </si>
  <si>
    <t xml:space="preserve">TGGGCGATTTCCGCACGTGT</t>
  </si>
  <si>
    <t xml:space="preserve">TAGTTGGGCGATTTCCGCACGTGT</t>
  </si>
  <si>
    <t xml:space="preserve">AAACACACGTGCGGAAATCGCCCA</t>
  </si>
  <si>
    <t xml:space="preserve">GCGATTTGAAACCCAGCTCC</t>
  </si>
  <si>
    <t xml:space="preserve">TAGTGCGATTTGAAACCCAGCTCC</t>
  </si>
  <si>
    <t xml:space="preserve">AAACGGAGCTGGGTTTCAAATCGC</t>
  </si>
  <si>
    <t xml:space="preserve">PSPPH_3204</t>
  </si>
  <si>
    <t xml:space="preserve">ATTGTGAATGCGGTGCTTGA</t>
  </si>
  <si>
    <t xml:space="preserve">TAGTATTGTGAATGCGGTGCTTGA</t>
  </si>
  <si>
    <t xml:space="preserve">AAACTCAAGCACCGCATTCACAAT</t>
  </si>
  <si>
    <t xml:space="preserve">GCCAGAAACGCCTCGAACAG</t>
  </si>
  <si>
    <t xml:space="preserve">TAGTGCCAGAAACGCCTCGAACAG</t>
  </si>
  <si>
    <t xml:space="preserve">AAACCTGTTCGAGGCGTTTCTGGC</t>
  </si>
  <si>
    <t xml:space="preserve">TCGGCAAGCAGCGGGGCGAT</t>
  </si>
  <si>
    <t xml:space="preserve">TAGTTCGGCAAGCAGCGGGGCGAT</t>
  </si>
  <si>
    <t xml:space="preserve">AAACATCGCCCCGCTGCTTGCCGA</t>
  </si>
  <si>
    <t xml:space="preserve">AGTTCTGGCTCGTTGCCCCA</t>
  </si>
  <si>
    <t xml:space="preserve">TAGTAGTTCTGGCTCGTTGCCCCA</t>
  </si>
  <si>
    <t xml:space="preserve">AAACTGGGGCAACGAGCCAGAACT</t>
  </si>
  <si>
    <t xml:space="preserve">PSPPH_3205</t>
  </si>
  <si>
    <t xml:space="preserve">ACAATTTCCAGGAAAGAGGT</t>
  </si>
  <si>
    <t xml:space="preserve">TAGTACAATTTCCAGGAAAGAGGT</t>
  </si>
  <si>
    <t xml:space="preserve">AAACACCTCTTTCCTGGAAATTGT</t>
  </si>
  <si>
    <t xml:space="preserve">CGCAGTTCAATACGTCCGTC</t>
  </si>
  <si>
    <t xml:space="preserve">TAGTCGCAGTTCAATACGTCCGTC</t>
  </si>
  <si>
    <t xml:space="preserve">AAACGACGGACGTATTGAACTGCG</t>
  </si>
  <si>
    <t xml:space="preserve">CACCAGAGAACCCTCGTCAT</t>
  </si>
  <si>
    <t xml:space="preserve">TAGTCACCAGAGAACCCTCGTCAT</t>
  </si>
  <si>
    <t xml:space="preserve">AAACATGACGAGGGTTCTCTGGTG</t>
  </si>
  <si>
    <t xml:space="preserve">CTGACCTTGCATGAACGCTT</t>
  </si>
  <si>
    <t xml:space="preserve">TAGTCTGACCTTGCATGAACGCTT</t>
  </si>
  <si>
    <t xml:space="preserve">AAACAAGCGTTCATGCAAGGTCAG</t>
  </si>
  <si>
    <t xml:space="preserve">PSPPH_3206</t>
  </si>
  <si>
    <t xml:space="preserve">GGTATAGAGCTCATGAGCCA</t>
  </si>
  <si>
    <t xml:space="preserve">TAGTGGTATAGAGCTCATGAGCCA</t>
  </si>
  <si>
    <t xml:space="preserve">AAACTGGCTCATGAGCTCTATACC</t>
  </si>
  <si>
    <t xml:space="preserve">ATAGATCTTCTGGTTGGTAC</t>
  </si>
  <si>
    <t xml:space="preserve">TAGTATAGATCTTCTGGTTGGTAC</t>
  </si>
  <si>
    <t xml:space="preserve">AAACGTACCAACCAGAAGATCTAT</t>
  </si>
  <si>
    <t xml:space="preserve">CGCTCGGCCTGCAACAATGC</t>
  </si>
  <si>
    <t xml:space="preserve">TAGTCGCTCGGCCTGCAACAATGC</t>
  </si>
  <si>
    <t xml:space="preserve">AAACGCATTGTTGCAGGCCGAGCG</t>
  </si>
  <si>
    <t xml:space="preserve">GCCATACAGATGAAACAAGG</t>
  </si>
  <si>
    <t xml:space="preserve">TAGTGCCATACAGATGAAACAAGG</t>
  </si>
  <si>
    <t xml:space="preserve">AAACCCTTGTTTCATCTGTATGGC</t>
  </si>
  <si>
    <t xml:space="preserve">PSPPH_3207</t>
  </si>
  <si>
    <t xml:space="preserve">topA</t>
  </si>
  <si>
    <t xml:space="preserve">GATGACCAGCGATTTGCCCA</t>
  </si>
  <si>
    <t xml:space="preserve">TAGTGATGACCAGCGATTTGCCCA</t>
  </si>
  <si>
    <t xml:space="preserve">AAACTGGGCAAATCGCTGGTCATC</t>
  </si>
  <si>
    <t xml:space="preserve">GATGGTCTTGGCCTTAGCCG</t>
  </si>
  <si>
    <t xml:space="preserve">TAGTGATGGTCTTGGCCTTAGCCG</t>
  </si>
  <si>
    <t xml:space="preserve">AAACCGGCTAAGGCCAAGACCATC</t>
  </si>
  <si>
    <t xml:space="preserve">TACTCGACTTCACCACGTAC</t>
  </si>
  <si>
    <t xml:space="preserve">TAGTTACTCGACTTCACCACGTAC</t>
  </si>
  <si>
    <t xml:space="preserve">AAACGTACGTGGTGAAGTCGAGTA</t>
  </si>
  <si>
    <t xml:space="preserve">TGGTGGGCAGGTCTCGGATA</t>
  </si>
  <si>
    <t xml:space="preserve">TAGTTGGTGGGCAGGTCTCGGATA</t>
  </si>
  <si>
    <t xml:space="preserve">AAACTATCCGAGACCTGCCCACCA</t>
  </si>
  <si>
    <t xml:space="preserve">PSPPH_3208</t>
  </si>
  <si>
    <t xml:space="preserve">AAAGCCGGGGCACCAAGCCC</t>
  </si>
  <si>
    <t xml:space="preserve">TAGTAAAGCCGGGGCACCAAGCCC</t>
  </si>
  <si>
    <t xml:space="preserve">AAACGGGCTTGGTGCCCCGGCTTT</t>
  </si>
  <si>
    <t xml:space="preserve">TGTAACACGTTCAAAAAATT</t>
  </si>
  <si>
    <t xml:space="preserve">TAGTTGTAACACGTTCAAAAAATT</t>
  </si>
  <si>
    <t xml:space="preserve">AAACAATTTTTTGAACGTGTTACA</t>
  </si>
  <si>
    <t xml:space="preserve">CTGGTTGCAGTTGCATGCTG</t>
  </si>
  <si>
    <t xml:space="preserve">TAGTCTGGTTGCAGTTGCATGCTG</t>
  </si>
  <si>
    <t xml:space="preserve">AAACCAGCATGCAACTGCAACCAG</t>
  </si>
  <si>
    <t xml:space="preserve">GGTACTGCGGGCCTTTGTAA</t>
  </si>
  <si>
    <t xml:space="preserve">TAGTGGTACTGCGGGCCTTTGTAA</t>
  </si>
  <si>
    <t xml:space="preserve">AAACTTACAAAGGCCCGCAGTACC</t>
  </si>
  <si>
    <t xml:space="preserve">PSPPH_3209</t>
  </si>
  <si>
    <t xml:space="preserve">fadA</t>
  </si>
  <si>
    <t xml:space="preserve">TCACGACGTCTCTTGGATTA</t>
  </si>
  <si>
    <t xml:space="preserve">TAGTTCACGACGTCTCTTGGATTA</t>
  </si>
  <si>
    <t xml:space="preserve">AAACTAATCCAAGAGACGTCGTGA</t>
  </si>
  <si>
    <t xml:space="preserve">GCCCTTGGAGCGACCCATCG</t>
  </si>
  <si>
    <t xml:space="preserve">TAGTGCCCTTGGAGCGACCCATCG</t>
  </si>
  <si>
    <t xml:space="preserve">AAACCGATGGGTCGCTCCAAGGGC</t>
  </si>
  <si>
    <t xml:space="preserve">CGCGGACATGTCTTCAGCGC</t>
  </si>
  <si>
    <t xml:space="preserve">TAGTCGCGGACATGTCTTCAGCGC</t>
  </si>
  <si>
    <t xml:space="preserve">AAACGCGCTGAAGACATGTCCGCG</t>
  </si>
  <si>
    <t xml:space="preserve">ATCACGTCCTCGACTTCAGC</t>
  </si>
  <si>
    <t xml:space="preserve">TAGTATCACGTCCTCGACTTCAGC</t>
  </si>
  <si>
    <t xml:space="preserve">AAACGCTGAAGTCGAGGACGTGAT</t>
  </si>
  <si>
    <t xml:space="preserve">PSPPH_3210</t>
  </si>
  <si>
    <t xml:space="preserve">fadB</t>
  </si>
  <si>
    <t xml:space="preserve">TTCAAGAGCCTTAACCGTGA</t>
  </si>
  <si>
    <t xml:space="preserve">TAGTTTCAAGAGCCTTAACCGTGA</t>
  </si>
  <si>
    <t xml:space="preserve">AAACTCACGGTTAAGGCTCTTGAA</t>
  </si>
  <si>
    <t xml:space="preserve">GAGGCGGTTGAACTTGTTGA</t>
  </si>
  <si>
    <t xml:space="preserve">TAGTGAGGCGGTTGAACTTGTTGA</t>
  </si>
  <si>
    <t xml:space="preserve">AAACTCAACAAGTTCAACCGCCTC</t>
  </si>
  <si>
    <t xml:space="preserve">TGCCTGACGCAATTCATTGA</t>
  </si>
  <si>
    <t xml:space="preserve">TAGTTGCCTGACGCAATTCATTGA</t>
  </si>
  <si>
    <t xml:space="preserve">AAACTCAATGAATTGCGTCAGGCA</t>
  </si>
  <si>
    <t xml:space="preserve">CACGCCCTTGACCGAGGCAT</t>
  </si>
  <si>
    <t xml:space="preserve">TAGTCACGCCCTTGACCGAGGCAT</t>
  </si>
  <si>
    <t xml:space="preserve">AAACATGCCTCGGTCAAGGGCGTG</t>
  </si>
  <si>
    <t xml:space="preserve">PSPPH_3211</t>
  </si>
  <si>
    <t xml:space="preserve">ACAGGCTTTCGCCGCCATGT</t>
  </si>
  <si>
    <t xml:space="preserve">TAGTACAGGCTTTCGCCGCCATGT</t>
  </si>
  <si>
    <t xml:space="preserve">AAACACATGGCGGCGAAAGCCTGT</t>
  </si>
  <si>
    <t xml:space="preserve">CGGGCCGGGGTTGGCCAGGC</t>
  </si>
  <si>
    <t xml:space="preserve">TAGTCGGGCCGGGGTTGGCCAGGC</t>
  </si>
  <si>
    <t xml:space="preserve">AAACGCCTGGCCAACCCCGGCCCG</t>
  </si>
  <si>
    <t xml:space="preserve">AAAAAGCCCGATAACAACAT</t>
  </si>
  <si>
    <t xml:space="preserve">TAGTAAAAAGCCCGATAACAACAT</t>
  </si>
  <si>
    <t xml:space="preserve">AAACATGTTGTTATCGGGCTTTTT</t>
  </si>
  <si>
    <t xml:space="preserve">PSPPH_3212</t>
  </si>
  <si>
    <t xml:space="preserve">GAAAACAATGGCTTGCACAA</t>
  </si>
  <si>
    <t xml:space="preserve">TAGTGAAAACAATGGCTTGCACAA</t>
  </si>
  <si>
    <t xml:space="preserve">AAACTTGTGCAAGCCATTGTTTTC</t>
  </si>
  <si>
    <t xml:space="preserve">TCTTGCCCCCCACCCGATCT</t>
  </si>
  <si>
    <t xml:space="preserve">TAGTTCTTGCCCCCCACCCGATCT</t>
  </si>
  <si>
    <t xml:space="preserve">AAACAGATCGGGTGGGGGGCAAGA</t>
  </si>
  <si>
    <t xml:space="preserve">GCATCACACCAATGATTGAC</t>
  </si>
  <si>
    <t xml:space="preserve">TAGTGCATCACACCAATGATTGAC</t>
  </si>
  <si>
    <t xml:space="preserve">AAACGTCAATCATTGGTGTGATGC</t>
  </si>
  <si>
    <t xml:space="preserve">ACGGGCGCAACCACACAAGC</t>
  </si>
  <si>
    <t xml:space="preserve">TAGTACGGGCGCAACCACACAAGC</t>
  </si>
  <si>
    <t xml:space="preserve">AAACGCTTGTGTGGTTGCGCCCGT</t>
  </si>
  <si>
    <t xml:space="preserve">PSPPH_3213</t>
  </si>
  <si>
    <t xml:space="preserve">GCAACCAGAATGTGTTCGTA</t>
  </si>
  <si>
    <t xml:space="preserve">TAGTGCAACCAGAATGTGTTCGTA</t>
  </si>
  <si>
    <t xml:space="preserve">AAACTACGAACACATTCTGGTTGC</t>
  </si>
  <si>
    <t xml:space="preserve">CCGGGTCACACTCATCGGTG</t>
  </si>
  <si>
    <t xml:space="preserve">TAGTCCGGGTCACACTCATCGGTG</t>
  </si>
  <si>
    <t xml:space="preserve">AAACCACCGATGAGTGTGACCCGG</t>
  </si>
  <si>
    <t xml:space="preserve">TGGCCAGCAAGCTGGCGCGA</t>
  </si>
  <si>
    <t xml:space="preserve">TAGTTGGCCAGCAAGCTGGCGCGA</t>
  </si>
  <si>
    <t xml:space="preserve">AAACTCGCGCCAGCTTGCTGGCCA</t>
  </si>
  <si>
    <t xml:space="preserve">CAGTTTTGCTTCGCTGGCCT</t>
  </si>
  <si>
    <t xml:space="preserve">TAGTCAGTTTTGCTTCGCTGGCCT</t>
  </si>
  <si>
    <t xml:space="preserve">AAACAGGCCAGCGAAGCAAAACTG</t>
  </si>
  <si>
    <t xml:space="preserve">PSPPH_3214</t>
  </si>
  <si>
    <t xml:space="preserve">CACATCGCTGAATTTGAGCA</t>
  </si>
  <si>
    <t xml:space="preserve">TAGTCACATCGCTGAATTTGAGCA</t>
  </si>
  <si>
    <t xml:space="preserve">AAACTGCTCAAATTCAGCGATGTG</t>
  </si>
  <si>
    <t xml:space="preserve">CGGCATGGCGCCGAAAGCAA</t>
  </si>
  <si>
    <t xml:space="preserve">TAGTCGGCATGGCGCCGAAAGCAA</t>
  </si>
  <si>
    <t xml:space="preserve">AAACTTGCTTTCGGCGCCATGCCG</t>
  </si>
  <si>
    <t xml:space="preserve">CAGGACACCTTGTCCAATAA</t>
  </si>
  <si>
    <t xml:space="preserve">TAGTCAGGACACCTTGTCCAATAA</t>
  </si>
  <si>
    <t xml:space="preserve">AAACTTATTGGACAAGGTGTCCTG</t>
  </si>
  <si>
    <t xml:space="preserve">GATGCACACCCGCTCACCAC</t>
  </si>
  <si>
    <t xml:space="preserve">TAGTGATGCACACCCGCTCACCAC</t>
  </si>
  <si>
    <t xml:space="preserve">AAACGTGGTGAGCGGGTGTGCATC</t>
  </si>
  <si>
    <t xml:space="preserve">PSPPH_3215</t>
  </si>
  <si>
    <t xml:space="preserve">CTTAGCCTTTTGCCAGCTCA</t>
  </si>
  <si>
    <t xml:space="preserve">TAGTCTTAGCCTTTTGCCAGCTCA</t>
  </si>
  <si>
    <t xml:space="preserve">AAACTGAGCTGGCAAAAGGCTAAG</t>
  </si>
  <si>
    <t xml:space="preserve">TGGCGGTGGTGGAGAGGAGC</t>
  </si>
  <si>
    <t xml:space="preserve">TAGTTGGCGGTGGTGGAGAGGAGC</t>
  </si>
  <si>
    <t xml:space="preserve">AAACGCTCCTCTCCACCACCGCCA</t>
  </si>
  <si>
    <t xml:space="preserve">GGTCTACCGCATGAGCAGTC</t>
  </si>
  <si>
    <t xml:space="preserve">TAGTGGTCTACCGCATGAGCAGTC</t>
  </si>
  <si>
    <t xml:space="preserve">AAACGACTGCTCATGCGGTAGACC</t>
  </si>
  <si>
    <t xml:space="preserve">AATACTTGCGTTGTTGGTTG</t>
  </si>
  <si>
    <t xml:space="preserve">TAGTAATACTTGCGTTGTTGGTTG</t>
  </si>
  <si>
    <t xml:space="preserve">AAACCAACCAACAACGCAAGTATT</t>
  </si>
  <si>
    <t xml:space="preserve">PSPPH_3216</t>
  </si>
  <si>
    <t xml:space="preserve">CCGCCTTGCAGGATTTGAGA</t>
  </si>
  <si>
    <t xml:space="preserve">TAGTCCGCCTTGCAGGATTTGAGA</t>
  </si>
  <si>
    <t xml:space="preserve">AAACTCTCAAATCCTGCAAGGCGG</t>
  </si>
  <si>
    <t xml:space="preserve">GGTCCCCCGCCAACCCCAAC</t>
  </si>
  <si>
    <t xml:space="preserve">TAGTGGTCCCCCGCCAACCCCAAC</t>
  </si>
  <si>
    <t xml:space="preserve">AAACGTTGGGGTTGGCGGGGGACC</t>
  </si>
  <si>
    <t xml:space="preserve">CGTCGACCAGCATCCAGCGT</t>
  </si>
  <si>
    <t xml:space="preserve">TAGTCGTCGACCAGCATCCAGCGT</t>
  </si>
  <si>
    <t xml:space="preserve">AAACACGCTGGATGCTGGTCGACG</t>
  </si>
  <si>
    <t xml:space="preserve">CATGTGCGACAGGGCGCGCT</t>
  </si>
  <si>
    <t xml:space="preserve">TAGTCATGTGCGACAGGGCGCGCT</t>
  </si>
  <si>
    <t xml:space="preserve">AAACAGCGCGCCCTGTCGCACATG</t>
  </si>
  <si>
    <t xml:space="preserve">PSPPH_3217</t>
  </si>
  <si>
    <t xml:space="preserve">GGCGAAACATGAGGATTTCC</t>
  </si>
  <si>
    <t xml:space="preserve">TAGTGGCGAAACATGAGGATTTCC</t>
  </si>
  <si>
    <t xml:space="preserve">AAACGGAAATCCTCATGTTTCGCC</t>
  </si>
  <si>
    <t xml:space="preserve">CAAACAATTGCCGACCGGCA</t>
  </si>
  <si>
    <t xml:space="preserve">TAGTCAAACAATTGCCGACCGGCA</t>
  </si>
  <si>
    <t xml:space="preserve">AAACTGCCGGTCGGCAATTGTTTG</t>
  </si>
  <si>
    <t xml:space="preserve">TGGGTAGCTGCAATACTTCC</t>
  </si>
  <si>
    <t xml:space="preserve">TAGTTGGGTAGCTGCAATACTTCC</t>
  </si>
  <si>
    <t xml:space="preserve">AAACGGAAGTATTGCAGCTACCCA</t>
  </si>
  <si>
    <t xml:space="preserve">TTGCGGCATGAGGGTAAGCT</t>
  </si>
  <si>
    <t xml:space="preserve">TAGTTTGCGGCATGAGGGTAAGCT</t>
  </si>
  <si>
    <t xml:space="preserve">AAACAGCTTACCCTCATGCCGCAA</t>
  </si>
  <si>
    <t xml:space="preserve">PSPPH_3218</t>
  </si>
  <si>
    <t xml:space="preserve">TGAACATACCCAGTCGCTCA</t>
  </si>
  <si>
    <t xml:space="preserve">TAGTTGAACATACCCAGTCGCTCA</t>
  </si>
  <si>
    <t xml:space="preserve">AAACTGAGCGACTGGGTATGTTCA</t>
  </si>
  <si>
    <t xml:space="preserve">ATACGACGATGAGCGCGTTC</t>
  </si>
  <si>
    <t xml:space="preserve">TAGTATACGACGATGAGCGCGTTC</t>
  </si>
  <si>
    <t xml:space="preserve">AAACGAACGCGCTCATCGTCGTAT</t>
  </si>
  <si>
    <t xml:space="preserve">PSPPH_3219</t>
  </si>
  <si>
    <t xml:space="preserve">CCTGAGAGGTGCTCAGGAAC</t>
  </si>
  <si>
    <t xml:space="preserve">TAGTCCTGAGAGGTGCTCAGGAAC</t>
  </si>
  <si>
    <t xml:space="preserve">AAACGTTCCTGAGCACCTCTCAGG</t>
  </si>
  <si>
    <t xml:space="preserve">CGTCGTTGGGGATCAACTCC</t>
  </si>
  <si>
    <t xml:space="preserve">TAGTCGTCGTTGGGGATCAACTCC</t>
  </si>
  <si>
    <t xml:space="preserve">AAACGGAGTTGATCCCCAACGACG</t>
  </si>
  <si>
    <t xml:space="preserve">GGTGGTCAGAAGGCAGCCGG</t>
  </si>
  <si>
    <t xml:space="preserve">TAGTGGTGGTCAGAAGGCAGCCGG</t>
  </si>
  <si>
    <t xml:space="preserve">AAACCCGGCTGCCTTCTGACCACC</t>
  </si>
  <si>
    <t xml:space="preserve">CTCCTGGGCCAGCGTGCGCA</t>
  </si>
  <si>
    <t xml:space="preserve">TAGTCTCCTGGGCCAGCGTGCGCA</t>
  </si>
  <si>
    <t xml:space="preserve">AAACTGCGCACGCTGGCCCAGGAG</t>
  </si>
  <si>
    <t xml:space="preserve">PSPPH_3220</t>
  </si>
  <si>
    <t xml:space="preserve">GTCGACCAGTAACAGATTGC</t>
  </si>
  <si>
    <t xml:space="preserve">TAGTGTCGACCAGTAACAGATTGC</t>
  </si>
  <si>
    <t xml:space="preserve">AAACGCAATCTGTTACTGGTCGAC</t>
  </si>
  <si>
    <t xml:space="preserve">CGCCGGCTCTGATCAGGGAG</t>
  </si>
  <si>
    <t xml:space="preserve">TAGTCGCCGGCTCTGATCAGGGAG</t>
  </si>
  <si>
    <t xml:space="preserve">AAACCTCCCTGATCAGAGCCGGCG</t>
  </si>
  <si>
    <t xml:space="preserve">TCACCGATAATGGCGTAGCC</t>
  </si>
  <si>
    <t xml:space="preserve">TAGTTCACCGATAATGGCGTAGCC</t>
  </si>
  <si>
    <t xml:space="preserve">AAACGGCTACGCCATTATCGGTGA</t>
  </si>
  <si>
    <t xml:space="preserve">CGGGCTTGAGTCGCTGCGCC</t>
  </si>
  <si>
    <t xml:space="preserve">TAGTCGGGCTTGAGTCGCTGCGCC</t>
  </si>
  <si>
    <t xml:space="preserve">AAACGGCGCAGCGACTCAAGCCCG</t>
  </si>
  <si>
    <t xml:space="preserve">PSPPH_3221</t>
  </si>
  <si>
    <t xml:space="preserve">CTGCTTGCGCTTGTCTGCAA</t>
  </si>
  <si>
    <t xml:space="preserve">TAGTCTGCTTGCGCTTGTCTGCAA</t>
  </si>
  <si>
    <t xml:space="preserve">AAACTTGCAGACAAGCGCAAGCAG</t>
  </si>
  <si>
    <t xml:space="preserve">CGCTTCGCCAACCAGGCGCC</t>
  </si>
  <si>
    <t xml:space="preserve">TAGTCGCTTCGCCAACCAGGCGCC</t>
  </si>
  <si>
    <t xml:space="preserve">AAACGGCGCCTGGTTGGCGAAGCG</t>
  </si>
  <si>
    <t xml:space="preserve">CACGATATGCCGATGCCCGG</t>
  </si>
  <si>
    <t xml:space="preserve">TAGTCACGATATGCCGATGCCCGG</t>
  </si>
  <si>
    <t xml:space="preserve">AAACCCGGGCATCGGCATATCGTG</t>
  </si>
  <si>
    <t xml:space="preserve">GGCCTCGGCGATATCTCGCA</t>
  </si>
  <si>
    <t xml:space="preserve">TAGTGGCCTCGGCGATATCTCGCA</t>
  </si>
  <si>
    <t xml:space="preserve">AAACTGCGAGATATCGCCGAGGCC</t>
  </si>
  <si>
    <t xml:space="preserve">PSPPH_3222</t>
  </si>
  <si>
    <t xml:space="preserve">GTGAGCGAAAGACTGTCGAC</t>
  </si>
  <si>
    <t xml:space="preserve">TAGTGTGAGCGAAAGACTGTCGAC</t>
  </si>
  <si>
    <t xml:space="preserve">AAACGTCGACAGTCTTTCGCTCAC</t>
  </si>
  <si>
    <t xml:space="preserve">GTATTCGACCAGACTGGTGC</t>
  </si>
  <si>
    <t xml:space="preserve">TAGTGTATTCGACCAGACTGGTGC</t>
  </si>
  <si>
    <t xml:space="preserve">AAACGCACCAGTCTGGTCGAATAC</t>
  </si>
  <si>
    <t xml:space="preserve">CAGAATGCAGGCAATGCCAT</t>
  </si>
  <si>
    <t xml:space="preserve">TAGTCAGAATGCAGGCAATGCCAT</t>
  </si>
  <si>
    <t xml:space="preserve">AAACATGGCATTGCCTGCATTCTG</t>
  </si>
  <si>
    <t xml:space="preserve">AGCATCATGATTGCAAGGCC</t>
  </si>
  <si>
    <t xml:space="preserve">TAGTAGCATCATGATTGCAAGGCC</t>
  </si>
  <si>
    <t xml:space="preserve">AAACGGCCTTGCAATCATGATGCT</t>
  </si>
  <si>
    <t xml:space="preserve">PSPPH_3223</t>
  </si>
  <si>
    <t xml:space="preserve">GAGCCACCGGCGATGATGCA</t>
  </si>
  <si>
    <t xml:space="preserve">TAGTGAGCCACCGGCGATGATGCA</t>
  </si>
  <si>
    <t xml:space="preserve">AAACTGCATCATCGCCGGTGGCTC</t>
  </si>
  <si>
    <t xml:space="preserve">GACCGGCCACAGACGGGTGC</t>
  </si>
  <si>
    <t xml:space="preserve">TAGTGACCGGCCACAGACGGGTGC</t>
  </si>
  <si>
    <t xml:space="preserve">AAACGCACCCGTCTGTGGCCGGTC</t>
  </si>
  <si>
    <t xml:space="preserve">GCGCATGAACGGCTTGGGCA</t>
  </si>
  <si>
    <t xml:space="preserve">TAGTGCGCATGAACGGCTTGGGCA</t>
  </si>
  <si>
    <t xml:space="preserve">AAACTGCCCAAGCCGTTCATGCGC</t>
  </si>
  <si>
    <t xml:space="preserve">GCAGGCTCTGGCCGTCGGGA</t>
  </si>
  <si>
    <t xml:space="preserve">TAGTGCAGGCTCTGGCCGTCGGGA</t>
  </si>
  <si>
    <t xml:space="preserve">AAACTCCCGACGGCCAGAGCCTGC</t>
  </si>
  <si>
    <t xml:space="preserve">PSPPH_3224</t>
  </si>
  <si>
    <t xml:space="preserve">ATCAGCATCATGCTTTTCAT</t>
  </si>
  <si>
    <t xml:space="preserve">TAGTATCAGCATCATGCTTTTCAT</t>
  </si>
  <si>
    <t xml:space="preserve">AAACATGAAAAGCATGATGCTGAT</t>
  </si>
  <si>
    <t xml:space="preserve">TCCGGTAAGCCCACCCTGGA</t>
  </si>
  <si>
    <t xml:space="preserve">TAGTTCCGGTAAGCCCACCCTGGA</t>
  </si>
  <si>
    <t xml:space="preserve">AAACTCCAGGGTGGGCTTACCGGA</t>
  </si>
  <si>
    <t xml:space="preserve">GACCGGCTTCAATTTGCGCA</t>
  </si>
  <si>
    <t xml:space="preserve">TAGTGACCGGCTTCAATTTGCGCA</t>
  </si>
  <si>
    <t xml:space="preserve">AAACTGCGCAAATTGAAGCCGGTC</t>
  </si>
  <si>
    <t xml:space="preserve">CGGATTCTTTCCGGCGGCAG</t>
  </si>
  <si>
    <t xml:space="preserve">TAGTCGGATTCTTTCCGGCGGCAG</t>
  </si>
  <si>
    <t xml:space="preserve">AAACCTGCCGCCGGAAAGAATCCG</t>
  </si>
  <si>
    <t xml:space="preserve">PSPPH_3225</t>
  </si>
  <si>
    <t xml:space="preserve">GCAGCAGGTCGCGGAATGAG</t>
  </si>
  <si>
    <t xml:space="preserve">TAGTGCAGCAGGTCGCGGAATGAG</t>
  </si>
  <si>
    <t xml:space="preserve">AAACCTCATTCCGCGACCTGCTGC</t>
  </si>
  <si>
    <t xml:space="preserve">CGCGCTTGAAAATGAACAGC</t>
  </si>
  <si>
    <t xml:space="preserve">TAGTCGCGCTTGAAAATGAACAGC</t>
  </si>
  <si>
    <t xml:space="preserve">AAACGCTGTTCATTTTCAAGCGCG</t>
  </si>
  <si>
    <t xml:space="preserve">GATGACGAAGGTCGCCAGCA</t>
  </si>
  <si>
    <t xml:space="preserve">TAGTGATGACGAAGGTCGCCAGCA</t>
  </si>
  <si>
    <t xml:space="preserve">AAACTGCTGGCGACCTTCGTCATC</t>
  </si>
  <si>
    <t xml:space="preserve">GGAGCAGAAACGCGCCCAGA</t>
  </si>
  <si>
    <t xml:space="preserve">TAGTGGAGCAGAAACGCGCCCAGA</t>
  </si>
  <si>
    <t xml:space="preserve">AAACTCTGGGCGCGTTTCTGCTCC</t>
  </si>
  <si>
    <t xml:space="preserve">PSPPH_3226</t>
  </si>
  <si>
    <t xml:space="preserve">GGGTGGCAGCGGCGCAAGCA</t>
  </si>
  <si>
    <t xml:space="preserve">TAGTGGGTGGCAGCGGCGCAAGCA</t>
  </si>
  <si>
    <t xml:space="preserve">AAACTGCTTGCGCCGCTGCCACCC</t>
  </si>
  <si>
    <t xml:space="preserve">TCGGCGATGCCGTTCTGCTC</t>
  </si>
  <si>
    <t xml:space="preserve">TAGTTCGGCGATGCCGTTCTGCTC</t>
  </si>
  <si>
    <t xml:space="preserve">AAACGAGCAGAACGGCATCGCCGA</t>
  </si>
  <si>
    <t xml:space="preserve">GAGCGCATGCCGCAGGTGAC</t>
  </si>
  <si>
    <t xml:space="preserve">TAGTGAGCGCATGCCGCAGGTGAC</t>
  </si>
  <si>
    <t xml:space="preserve">AAACGTCACCTGCGGCATGCGCTC</t>
  </si>
  <si>
    <t xml:space="preserve">GTGTACTGACCTGCAGGCCG</t>
  </si>
  <si>
    <t xml:space="preserve">TAGTGTGTACTGACCTGCAGGCCG</t>
  </si>
  <si>
    <t xml:space="preserve">AAACCGGCCTGCAGGTCAGTACAC</t>
  </si>
  <si>
    <t xml:space="preserve">PSPPH_3227</t>
  </si>
  <si>
    <t xml:space="preserve">ACGATTTGCCGGAATCTGGA</t>
  </si>
  <si>
    <t xml:space="preserve">TAGTACGATTTGCCGGAATCTGGA</t>
  </si>
  <si>
    <t xml:space="preserve">AAACTCCAGATTCCGGCAAATCGT</t>
  </si>
  <si>
    <t xml:space="preserve">CTTGAGGACCGTTGCTGCCT</t>
  </si>
  <si>
    <t xml:space="preserve">TAGTCTTGAGGACCGTTGCTGCCT</t>
  </si>
  <si>
    <t xml:space="preserve">AAACAGGCAGCAACGGTCCTCAAG</t>
  </si>
  <si>
    <t xml:space="preserve">TCCGCCCATACCACCTCGCG</t>
  </si>
  <si>
    <t xml:space="preserve">TAGTTCCGCCCATACCACCTCGCG</t>
  </si>
  <si>
    <t xml:space="preserve">AAACCGCGAGGTGGTATGGGCGGA</t>
  </si>
  <si>
    <t xml:space="preserve">ATCTGTTGTTGATAGATATC</t>
  </si>
  <si>
    <t xml:space="preserve">TAGTATCTGTTGTTGATAGATATC</t>
  </si>
  <si>
    <t xml:space="preserve">AAACGATATCTATCAACAACAGAT</t>
  </si>
  <si>
    <t xml:space="preserve">PSPPH_3228</t>
  </si>
  <si>
    <t xml:space="preserve">TGGTAGGCCAGGGCAGGTAA</t>
  </si>
  <si>
    <t xml:space="preserve">TAGTTGGTAGGCCAGGGCAGGTAA</t>
  </si>
  <si>
    <t xml:space="preserve">AAACTTACCTGCCCTGGCCTACCA</t>
  </si>
  <si>
    <t xml:space="preserve">CCGGGTTTTGCCGCCGCTGG</t>
  </si>
  <si>
    <t xml:space="preserve">TAGTCCGGGTTTTGCCGCCGCTGG</t>
  </si>
  <si>
    <t xml:space="preserve">AAACCCAGCGGCGGCAAAACCCGG</t>
  </si>
  <si>
    <t xml:space="preserve">GCACCAGCAGGGTGATGCGA</t>
  </si>
  <si>
    <t xml:space="preserve">TAGTGCACCAGCAGGGTGATGCGA</t>
  </si>
  <si>
    <t xml:space="preserve">AAACTCGCATCACCCTGCTGGTGC</t>
  </si>
  <si>
    <t xml:space="preserve">GCTATCGTCCAGCGCGTTCT</t>
  </si>
  <si>
    <t xml:space="preserve">TAGTGCTATCGTCCAGCGCGTTCT</t>
  </si>
  <si>
    <t xml:space="preserve">AAACAGAACGCGCTGGACGATAGC</t>
  </si>
  <si>
    <t xml:space="preserve">PSPPH_3229</t>
  </si>
  <si>
    <t xml:space="preserve">TGGGGTAACCGGCTGCCGCG</t>
  </si>
  <si>
    <t xml:space="preserve">TAGTTGGGGTAACCGGCTGCCGCG</t>
  </si>
  <si>
    <t xml:space="preserve">AAACCGCGGCAGCCGGTTACCCCA</t>
  </si>
  <si>
    <t xml:space="preserve">CTGGCGACCGATGCCGCTGA</t>
  </si>
  <si>
    <t xml:space="preserve">TAGTCTGGCGACCGATGCCGCTGA</t>
  </si>
  <si>
    <t xml:space="preserve">AAACTCAGCGGCATCGGTCGCCAG</t>
  </si>
  <si>
    <t xml:space="preserve">AACAGCTGCAATTGCACGTC</t>
  </si>
  <si>
    <t xml:space="preserve">TAGTAACAGCTGCAATTGCACGTC</t>
  </si>
  <si>
    <t xml:space="preserve">AAACGACGTGCAATTGCAGCTGTT</t>
  </si>
  <si>
    <t xml:space="preserve">GCGTACCGGATGATCGTAGG</t>
  </si>
  <si>
    <t xml:space="preserve">TAGTGCGTACCGGATGATCGTAGG</t>
  </si>
  <si>
    <t xml:space="preserve">AAACCCTACGATCATCCGGTACGC</t>
  </si>
  <si>
    <t xml:space="preserve">PSPPH_3230</t>
  </si>
  <si>
    <t xml:space="preserve">AGCCCCAGGGGTAAGGCCAG</t>
  </si>
  <si>
    <t xml:space="preserve">TAGTAGCCCCAGGGGTAAGGCCAG</t>
  </si>
  <si>
    <t xml:space="preserve">AAACCTGGCCTTACCCCTGGGGCT</t>
  </si>
  <si>
    <t xml:space="preserve">AGATCATCACACCGAATATC</t>
  </si>
  <si>
    <t xml:space="preserve">TAGTAGATCATCACACCGAATATC</t>
  </si>
  <si>
    <t xml:space="preserve">AAACGATATTCGGTGTGATGATCT</t>
  </si>
  <si>
    <t xml:space="preserve">GCCGCCACGACGAACGGTGC</t>
  </si>
  <si>
    <t xml:space="preserve">TAGTGCCGCCACGACGAACGGTGC</t>
  </si>
  <si>
    <t xml:space="preserve">AAACGCACCGTTCGTCGTGGCGGC</t>
  </si>
  <si>
    <t xml:space="preserve">GACCGGGCGGCGAATGATCG</t>
  </si>
  <si>
    <t xml:space="preserve">TAGTGACCGGGCGGCGAATGATCG</t>
  </si>
  <si>
    <t xml:space="preserve">AAACCGATCATTCGCCGCCCGGTC</t>
  </si>
  <si>
    <t xml:space="preserve">PSPPH_3231</t>
  </si>
  <si>
    <t xml:space="preserve">GATTATGAGAATGCATCATG</t>
  </si>
  <si>
    <t xml:space="preserve">TAGTGATTATGAGAATGCATCATG</t>
  </si>
  <si>
    <t xml:space="preserve">AAACCATGATGCATTCTCATAATC</t>
  </si>
  <si>
    <t xml:space="preserve">GCCATCTTGCGCGCGTAGTC</t>
  </si>
  <si>
    <t xml:space="preserve">TAGTGCCATCTTGCGCGCGTAGTC</t>
  </si>
  <si>
    <t xml:space="preserve">AAACGACTACGCGCGCAAGATGGC</t>
  </si>
  <si>
    <t xml:space="preserve">GCGGCTTCCAGCTCTTCGAG</t>
  </si>
  <si>
    <t xml:space="preserve">TAGTGCGGCTTCCAGCTCTTCGAG</t>
  </si>
  <si>
    <t xml:space="preserve">AAACCTCGAAGAGCTGGAAGCCGC</t>
  </si>
  <si>
    <t xml:space="preserve">GTTGTCCAGCATCCACTGGT</t>
  </si>
  <si>
    <t xml:space="preserve">TAGTGTTGTCCAGCATCCACTGGT</t>
  </si>
  <si>
    <t xml:space="preserve">AAACACCAGTGGATGCTGGACAAC</t>
  </si>
  <si>
    <t xml:space="preserve">PSPPH_3232</t>
  </si>
  <si>
    <t xml:space="preserve">GGCTGCCAGGCCGGTGAGGG</t>
  </si>
  <si>
    <t xml:space="preserve">TAGTGGCTGCCAGGCCGGTGAGGG</t>
  </si>
  <si>
    <t xml:space="preserve">AAACCCCTCACCGGCCTGGCAGCC</t>
  </si>
  <si>
    <t xml:space="preserve">CAGCCATTCACGGGCAAAAC</t>
  </si>
  <si>
    <t xml:space="preserve">TAGTCAGCCATTCACGGGCAAAAC</t>
  </si>
  <si>
    <t xml:space="preserve">AAACGTTTTGCCCGTGAATGGCTG</t>
  </si>
  <si>
    <t xml:space="preserve">GCTCTGACTGCCGGCACCCC</t>
  </si>
  <si>
    <t xml:space="preserve">TAGTGCTCTGACTGCCGGCACCCC</t>
  </si>
  <si>
    <t xml:space="preserve">AAACGGGGTGCCGGCAGTCAGAGC</t>
  </si>
  <si>
    <t xml:space="preserve">CAAAAACATCGAGACCAGAA</t>
  </si>
  <si>
    <t xml:space="preserve">TAGTCAAAAACATCGAGACCAGAA</t>
  </si>
  <si>
    <t xml:space="preserve">AAACTTCTGGTCTCGATGTTTTTG</t>
  </si>
  <si>
    <t xml:space="preserve">PSPPH_3233</t>
  </si>
  <si>
    <t xml:space="preserve">AAAAAATCTGTAGTTGACGC</t>
  </si>
  <si>
    <t xml:space="preserve">TAGTAAAAAATCTGTAGTTGACGC</t>
  </si>
  <si>
    <t xml:space="preserve">AAACGCGTCAACTACAGATTTTTT</t>
  </si>
  <si>
    <t xml:space="preserve">GCTGGTGGTACTGCCACAGC</t>
  </si>
  <si>
    <t xml:space="preserve">TAGTGCTGGTGGTACTGCCACAGC</t>
  </si>
  <si>
    <t xml:space="preserve">AAACGCTGTGGCAGTACCACCAGC</t>
  </si>
  <si>
    <t xml:space="preserve">AGCCGACTGGGACAAAGACA</t>
  </si>
  <si>
    <t xml:space="preserve">TAGTAGCCGACTGGGACAAAGACA</t>
  </si>
  <si>
    <t xml:space="preserve">AAACTGTCTTTGTCCCAGTCGGCT</t>
  </si>
  <si>
    <t xml:space="preserve">CAACTCGTTCAATGCCGCAC</t>
  </si>
  <si>
    <t xml:space="preserve">TAGTCAACTCGTTCAATGCCGCAC</t>
  </si>
  <si>
    <t xml:space="preserve">AAACGTGCGGCATTGAACGAGTTG</t>
  </si>
  <si>
    <t xml:space="preserve">PSPPH_3235</t>
  </si>
  <si>
    <t xml:space="preserve">mae1</t>
  </si>
  <si>
    <t xml:space="preserve">GATAATAGCGAACCTGCTCA</t>
  </si>
  <si>
    <t xml:space="preserve">TAGTGATAATAGCGAACCTGCTCA</t>
  </si>
  <si>
    <t xml:space="preserve">AAACTGAGCAGGTTCGCTATTATC</t>
  </si>
  <si>
    <t xml:space="preserve">GGGCTCGTCAGCGCTGCAAG</t>
  </si>
  <si>
    <t xml:space="preserve">TAGTGGGCTCGTCAGCGCTGCAAG</t>
  </si>
  <si>
    <t xml:space="preserve">AAACCTTGCAGCGCTGACGAGCCC</t>
  </si>
  <si>
    <t xml:space="preserve">ATTGTCGAACGGCCTCCAGC</t>
  </si>
  <si>
    <t xml:space="preserve">TAGTATTGTCGAACGGCCTCCAGC</t>
  </si>
  <si>
    <t xml:space="preserve">AAACGCTGGAGGCCGTTCGACAAT</t>
  </si>
  <si>
    <t xml:space="preserve">GGTCACTGCGAACCAATTGG</t>
  </si>
  <si>
    <t xml:space="preserve">TAGTGGTCACTGCGAACCAATTGG</t>
  </si>
  <si>
    <t xml:space="preserve">AAACCCAATTGGTTCGCAGTGACC</t>
  </si>
  <si>
    <t xml:space="preserve">PSPPH_3236</t>
  </si>
  <si>
    <t xml:space="preserve">ATCGCGAGCGCCGTAGTTAC</t>
  </si>
  <si>
    <t xml:space="preserve">TAGTATCGCGAGCGCCGTAGTTAC</t>
  </si>
  <si>
    <t xml:space="preserve">AAACGTAACTACGGCGCTCGCGAT</t>
  </si>
  <si>
    <t xml:space="preserve">GCCGTTCCTGCGCAACACCG</t>
  </si>
  <si>
    <t xml:space="preserve">TAGTGCCGTTCCTGCGCAACACCG</t>
  </si>
  <si>
    <t xml:space="preserve">AAACCGGTGTTGCGCAGGAACGGC</t>
  </si>
  <si>
    <t xml:space="preserve">TAGGTGGCGAATAAGTCATG</t>
  </si>
  <si>
    <t xml:space="preserve">TAGTTAGGTGGCGAATAAGTCATG</t>
  </si>
  <si>
    <t xml:space="preserve">AAACCATGACTTATTCGCCACCTA</t>
  </si>
  <si>
    <t xml:space="preserve">GCCTCGCGCACAGAGGGCCG</t>
  </si>
  <si>
    <t xml:space="preserve">TAGTGCCTCGCGCACAGAGGGCCG</t>
  </si>
  <si>
    <t xml:space="preserve">AAACCGGCCCTCTGTGCGCGAGGC</t>
  </si>
  <si>
    <t xml:space="preserve">PSPPH_3237</t>
  </si>
  <si>
    <t xml:space="preserve">CGAGTCGTCAGAGCTTTCAC</t>
  </si>
  <si>
    <t xml:space="preserve">TAGTCGAGTCGTCAGAGCTTTCAC</t>
  </si>
  <si>
    <t xml:space="preserve">AAACGTGAAAGCTCTGACGACTCG</t>
  </si>
  <si>
    <t xml:space="preserve">CTTTTGCAGCCCGAAGCCGG</t>
  </si>
  <si>
    <t xml:space="preserve">TAGTCTTTTGCAGCCCGAAGCCGG</t>
  </si>
  <si>
    <t xml:space="preserve">AAACCCGGCTTCGGGCTGCAAAAG</t>
  </si>
  <si>
    <t xml:space="preserve">ACAGCGCGTCGGGCTGCCAT</t>
  </si>
  <si>
    <t xml:space="preserve">TAGTACAGCGCGTCGGGCTGCCAT</t>
  </si>
  <si>
    <t xml:space="preserve">AAACATGGCAGCCCGACGCGCTGT</t>
  </si>
  <si>
    <t xml:space="preserve">AACGAGCCCTCCCGGCCTTG</t>
  </si>
  <si>
    <t xml:space="preserve">TAGTAACGAGCCCTCCCGGCCTTG</t>
  </si>
  <si>
    <t xml:space="preserve">AAACCAAGGCCGGGAGGGCTCGTT</t>
  </si>
  <si>
    <t xml:space="preserve">PSPPH_3238</t>
  </si>
  <si>
    <t xml:space="preserve">GAGCAGGGGAAGGGATTTCA</t>
  </si>
  <si>
    <t xml:space="preserve">TAGTGAGCAGGGGAAGGGATTTCA</t>
  </si>
  <si>
    <t xml:space="preserve">AAACTGAAATCCCTTCCCCTGCTC</t>
  </si>
  <si>
    <t xml:space="preserve">AAGCGGCTGTGAGGGCACCG</t>
  </si>
  <si>
    <t xml:space="preserve">TAGTAAGCGGCTGTGAGGGCACCG</t>
  </si>
  <si>
    <t xml:space="preserve">AAACCGGTGCCCTCACAGCCGCTT</t>
  </si>
  <si>
    <t xml:space="preserve">GTAATCCCAGGCAAACACAC</t>
  </si>
  <si>
    <t xml:space="preserve">TAGTGTAATCCCAGGCAAACACAC</t>
  </si>
  <si>
    <t xml:space="preserve">AAACGTGTGTTTGCCTGGGATTAC</t>
  </si>
  <si>
    <t xml:space="preserve">CTGATTCTGCGCAGCCTTGT</t>
  </si>
  <si>
    <t xml:space="preserve">TAGTCTGATTCTGCGCAGCCTTGT</t>
  </si>
  <si>
    <t xml:space="preserve">AAACACAAGGCTGCGCAGAATCAG</t>
  </si>
  <si>
    <t xml:space="preserve">PSPPH_3239</t>
  </si>
  <si>
    <t xml:space="preserve">CATGGGATGTCAAAACCATC</t>
  </si>
  <si>
    <t xml:space="preserve">TAGTCATGGGATGTCAAAACCATC</t>
  </si>
  <si>
    <t xml:space="preserve">AAACGATGGTTTTGACATCCCATG</t>
  </si>
  <si>
    <t xml:space="preserve">TCTTGCCGGTGTCGCCCAGT</t>
  </si>
  <si>
    <t xml:space="preserve">TAGTTCTTGCCGGTGTCGCCCAGT</t>
  </si>
  <si>
    <t xml:space="preserve">AAACACTGGGCGACACCGGCAAGA</t>
  </si>
  <si>
    <t xml:space="preserve">GAACTCTTCGAGCCAGAAAC</t>
  </si>
  <si>
    <t xml:space="preserve">TAGTGAACTCTTCGAGCCAGAAAC</t>
  </si>
  <si>
    <t xml:space="preserve">AAACGTTTCTGGCTCGAAGAGTTC</t>
  </si>
  <si>
    <t xml:space="preserve">GCCTCTTTGAATGCGTAATA</t>
  </si>
  <si>
    <t xml:space="preserve">TAGTGCCTCTTTGAATGCGTAATA</t>
  </si>
  <si>
    <t xml:space="preserve">AAACTATTACGCATTCAAAGAGGC</t>
  </si>
  <si>
    <t xml:space="preserve">PSPPH_3240</t>
  </si>
  <si>
    <t xml:space="preserve">GTGCTCGAGGTCTTCGCGTT</t>
  </si>
  <si>
    <t xml:space="preserve">TAGTGTGCTCGAGGTCTTCGCGTT</t>
  </si>
  <si>
    <t xml:space="preserve">AAACAACGCGAAGACCTCGAGCAC</t>
  </si>
  <si>
    <t xml:space="preserve">CCCACCTTGCCGGCGTTTTC</t>
  </si>
  <si>
    <t xml:space="preserve">TAGTCCCACCTTGCCGGCGTTTTC</t>
  </si>
  <si>
    <t xml:space="preserve">AAACGAAAACGCCGGCAAGGTGGG</t>
  </si>
  <si>
    <t xml:space="preserve">TCTGGCGAAGTACCAGGCCG</t>
  </si>
  <si>
    <t xml:space="preserve">TAGTTCTGGCGAAGTACCAGGCCG</t>
  </si>
  <si>
    <t xml:space="preserve">AAACCGGCCTGGTACTTCGCCAGA</t>
  </si>
  <si>
    <t xml:space="preserve">TTGCCAGACTTGTCTTTCTG</t>
  </si>
  <si>
    <t xml:space="preserve">TAGTTTGCCAGACTTGTCTTTCTG</t>
  </si>
  <si>
    <t xml:space="preserve">AAACCAGAAAGACAAGTCTGGCAA</t>
  </si>
  <si>
    <t xml:space="preserve">PSPPH_3241</t>
  </si>
  <si>
    <t xml:space="preserve">CTGCATGTCCAGCTTTCTCA</t>
  </si>
  <si>
    <t xml:space="preserve">TAGTCTGCATGTCCAGCTTTCTCA</t>
  </si>
  <si>
    <t xml:space="preserve">AAACTGAGAAAGCTGGACATGCAG</t>
  </si>
  <si>
    <t xml:space="preserve">ACACCGAGACAAAGACCATC</t>
  </si>
  <si>
    <t xml:space="preserve">TAGTACACCGAGACAAAGACCATC</t>
  </si>
  <si>
    <t xml:space="preserve">AAACGATGGTCTTTGTCTCGGTGT</t>
  </si>
  <si>
    <t xml:space="preserve">GCGCATCTGCGACCAGGGTC</t>
  </si>
  <si>
    <t xml:space="preserve">TAGTGCGCATCTGCGACCAGGGTC</t>
  </si>
  <si>
    <t xml:space="preserve">AAACGACCCTGGTCGCAGATGCGC</t>
  </si>
  <si>
    <t xml:space="preserve">AGTTGGCGCGCAGCTTTTTC</t>
  </si>
  <si>
    <t xml:space="preserve">TAGTAGTTGGCGCGCAGCTTTTTC</t>
  </si>
  <si>
    <t xml:space="preserve">AAACGAAAAAGCTGCGCGCCAACT</t>
  </si>
  <si>
    <t xml:space="preserve">PSPPH_3242</t>
  </si>
  <si>
    <t xml:space="preserve">CCGCCGCCATCGATGGGCGC</t>
  </si>
  <si>
    <t xml:space="preserve">TAGTCCGCCGCCATCGATGGGCGC</t>
  </si>
  <si>
    <t xml:space="preserve">AAACGCGCCCATCGATGGCGGCGG</t>
  </si>
  <si>
    <t xml:space="preserve">AGGCGAATCGCCGCAAGCAA</t>
  </si>
  <si>
    <t xml:space="preserve">TAGTAGGCGAATCGCCGCAAGCAA</t>
  </si>
  <si>
    <t xml:space="preserve">AAACTTGCTTGCGGCGATTCGCCT</t>
  </si>
  <si>
    <t xml:space="preserve">CGAAGCCCAGCGGCACCTCC</t>
  </si>
  <si>
    <t xml:space="preserve">TAGTCGAAGCCCAGCGGCACCTCC</t>
  </si>
  <si>
    <t xml:space="preserve">AAACGGAGGTGCCGCTGGGCTTCG</t>
  </si>
  <si>
    <t xml:space="preserve">CATGGCCATGATCGGCAGCA</t>
  </si>
  <si>
    <t xml:space="preserve">TAGTCATGGCCATGATCGGCAGCA</t>
  </si>
  <si>
    <t xml:space="preserve">AAACTGCTGCCGATCATGGCCATG</t>
  </si>
  <si>
    <t xml:space="preserve">PSPPH_3243</t>
  </si>
  <si>
    <t xml:space="preserve">TTTCTGATGTGTCGAGGCCA</t>
  </si>
  <si>
    <t xml:space="preserve">TAGTTTTCTGATGTGTCGAGGCCA</t>
  </si>
  <si>
    <t xml:space="preserve">AAACTGGCCTCGACACATCAGAAA</t>
  </si>
  <si>
    <t xml:space="preserve">CCCTCATGACGGGACAGGAC</t>
  </si>
  <si>
    <t xml:space="preserve">TAGTCCCTCATGACGGGACAGGAC</t>
  </si>
  <si>
    <t xml:space="preserve">AAACGTCCTGTCCCGTCATGAGGG</t>
  </si>
  <si>
    <t xml:space="preserve">AGCGTTCGCAGCAGACTCGC</t>
  </si>
  <si>
    <t xml:space="preserve">TAGTAGCGTTCGCAGCAGACTCGC</t>
  </si>
  <si>
    <t xml:space="preserve">AAACGCGAGTCTGCTGCGAACGCT</t>
  </si>
  <si>
    <t xml:space="preserve">ATGCCTGATCCCAGAAAATG</t>
  </si>
  <si>
    <t xml:space="preserve">TAGTATGCCTGATCCCAGAAAATG</t>
  </si>
  <si>
    <t xml:space="preserve">AAACCATTTTCTGGGATCAGGCAT</t>
  </si>
  <si>
    <t xml:space="preserve">PSPPH_3244</t>
  </si>
  <si>
    <t xml:space="preserve">AGGCGCATGGGTGCGGTCAT</t>
  </si>
  <si>
    <t xml:space="preserve">TAGTAGGCGCATGGGTGCGGTCAT</t>
  </si>
  <si>
    <t xml:space="preserve">AAACATGACCGCACCCATGCGCCT</t>
  </si>
  <si>
    <t xml:space="preserve">ATTCGCGTTTCTGATCGGTG</t>
  </si>
  <si>
    <t xml:space="preserve">TAGTATTCGCGTTTCTGATCGGTG</t>
  </si>
  <si>
    <t xml:space="preserve">AAACCACCGATCAGAAACGCGAAT</t>
  </si>
  <si>
    <t xml:space="preserve">GGCAATAGCTGCCTGGACGA</t>
  </si>
  <si>
    <t xml:space="preserve">TAGTGGCAATAGCTGCCTGGACGA</t>
  </si>
  <si>
    <t xml:space="preserve">AAACTCGTCCAGGCAGCTATTGCC</t>
  </si>
  <si>
    <t xml:space="preserve">GAAACCACGATCGCCAAATT</t>
  </si>
  <si>
    <t xml:space="preserve">TAGTGAAACCACGATCGCCAAATT</t>
  </si>
  <si>
    <t xml:space="preserve">AAACAATTTGGCGATCGTGGTTTC</t>
  </si>
  <si>
    <t xml:space="preserve">PSPPH_3245</t>
  </si>
  <si>
    <t xml:space="preserve">fahA</t>
  </si>
  <si>
    <t xml:space="preserve">CGGAAAATCAGCGTGCTCGT</t>
  </si>
  <si>
    <t xml:space="preserve">TAGTCGGAAAATCAGCGTGCTCGT</t>
  </si>
  <si>
    <t xml:space="preserve">AAACACGAGCACGCTGATTTTCCG</t>
  </si>
  <si>
    <t xml:space="preserve">CCCAGCGGCAGGTTCTGCAA</t>
  </si>
  <si>
    <t xml:space="preserve">TAGTCCCAGCGGCAGGTTCTGCAA</t>
  </si>
  <si>
    <t xml:space="preserve">AAACTTGCAGAACCTGCCGCTGGG</t>
  </si>
  <si>
    <t xml:space="preserve">CACGCGGGCCGGTAGTGCCA</t>
  </si>
  <si>
    <t xml:space="preserve">TAGTCACGCGGGCCGGTAGTGCCA</t>
  </si>
  <si>
    <t xml:space="preserve">AAACTGGCACTACCGGCCCGCGTG</t>
  </si>
  <si>
    <t xml:space="preserve">CTGCCCGTGAAAAACCCCCG</t>
  </si>
  <si>
    <t xml:space="preserve">TAGTCTGCCCGTGAAAAACCCCCG</t>
  </si>
  <si>
    <t xml:space="preserve">AAACCGGGGGTTTTTCACGGGCAG</t>
  </si>
  <si>
    <t xml:space="preserve">PSPPH_3246</t>
  </si>
  <si>
    <t xml:space="preserve">hmgA</t>
  </si>
  <si>
    <t xml:space="preserve">CCAATGCGTCGGAACGGGAG</t>
  </si>
  <si>
    <t xml:space="preserve">TAGTCCAATGCGTCGGAACGGGAG</t>
  </si>
  <si>
    <t xml:space="preserve">AAACCTCCCGTTCCGACGCATTGG</t>
  </si>
  <si>
    <t xml:space="preserve">GCAGCGCCTCGCTGCTGAAC</t>
  </si>
  <si>
    <t xml:space="preserve">TAGTGCAGCGCCTCGCTGCTGAAC</t>
  </si>
  <si>
    <t xml:space="preserve">AAACGTTCAGCAGCGAGGCGCTGC</t>
  </si>
  <si>
    <t xml:space="preserve">TGGCCAATCGGCAATGCTCC</t>
  </si>
  <si>
    <t xml:space="preserve">TAGTTGGCCAATCGGCAATGCTCC</t>
  </si>
  <si>
    <t xml:space="preserve">AAACGGAGCATTGCCGATTGGCCA</t>
  </si>
  <si>
    <t xml:space="preserve">GGTGCTTCTGCGGAGAGTTC</t>
  </si>
  <si>
    <t xml:space="preserve">TAGTGGTGCTTCTGCGGAGAGTTC</t>
  </si>
  <si>
    <t xml:space="preserve">AAACGAACTCTCCGCAGAAGCACC</t>
  </si>
  <si>
    <t xml:space="preserve">PSPPH_3247</t>
  </si>
  <si>
    <t xml:space="preserve">iclR</t>
  </si>
  <si>
    <t xml:space="preserve">CTTTCGATGTCCTGAGTCAT</t>
  </si>
  <si>
    <t xml:space="preserve">TAGTCTTTCGATGTCCTGAGTCAT</t>
  </si>
  <si>
    <t xml:space="preserve">AAACATGACTCAGGACATCGAAAG</t>
  </si>
  <si>
    <t xml:space="preserve">TTTGCTGACGTCCGCCTGTC</t>
  </si>
  <si>
    <t xml:space="preserve">TAGTTTTGCTGACGTCCGCCTGTC</t>
  </si>
  <si>
    <t xml:space="preserve">AAACGACAGGCGGACGTCAGCAAA</t>
  </si>
  <si>
    <t xml:space="preserve">CACGCCCAGCCCAACTTCGG</t>
  </si>
  <si>
    <t xml:space="preserve">TAGTCACGCCCAGCCCAACTTCGG</t>
  </si>
  <si>
    <t xml:space="preserve">AAACCCGAAGTTGGGCTGGGCGTG</t>
  </si>
  <si>
    <t xml:space="preserve">GGAAGTGGAGGGCGACAGAT</t>
  </si>
  <si>
    <t xml:space="preserve">TAGTGGAAGTGGAGGGCGACAGAT</t>
  </si>
  <si>
    <t xml:space="preserve">AAACATCTGTCGCCCTCCACTTCC</t>
  </si>
  <si>
    <t xml:space="preserve">PSPPH_3248</t>
  </si>
  <si>
    <t xml:space="preserve">ATAAAGGAAAGCCGTTTCAT</t>
  </si>
  <si>
    <t xml:space="preserve">TAGTATAAAGGAAAGCCGTTTCAT</t>
  </si>
  <si>
    <t xml:space="preserve">AAACATGAAACGGCTTTCCTTTAT</t>
  </si>
  <si>
    <t xml:space="preserve">AACGCTTTGCTGAGCGCCGA</t>
  </si>
  <si>
    <t xml:space="preserve">TAGTAACGCTTTGCTGAGCGCCGA</t>
  </si>
  <si>
    <t xml:space="preserve">AAACTCGGCGCTCAGCAAAGCGTT</t>
  </si>
  <si>
    <t xml:space="preserve">GGCCAGCGATAGACAAACCA</t>
  </si>
  <si>
    <t xml:space="preserve">TAGTGGCCAGCGATAGACAAACCA</t>
  </si>
  <si>
    <t xml:space="preserve">AAACTGGTTTGTCTATCGCTGGCC</t>
  </si>
  <si>
    <t xml:space="preserve">CATCTGCCAGACGGTAGCCA</t>
  </si>
  <si>
    <t xml:space="preserve">TAGTCATCTGCCAGACGGTAGCCA</t>
  </si>
  <si>
    <t xml:space="preserve">AAACTGGCTACCGTCTGGCAGATG</t>
  </si>
  <si>
    <t xml:space="preserve">PSPPH_3249</t>
  </si>
  <si>
    <t xml:space="preserve">CTTCGTCGTCATCGCCGACT</t>
  </si>
  <si>
    <t xml:space="preserve">TAGTCTTCGTCGTCATCGCCGACT</t>
  </si>
  <si>
    <t xml:space="preserve">AAACAGTCGGCGATGACGACGAAG</t>
  </si>
  <si>
    <t xml:space="preserve">ATCGTATTCGTGCTCAGGTG</t>
  </si>
  <si>
    <t xml:space="preserve">TAGTATCGTATTCGTGCTCAGGTG</t>
  </si>
  <si>
    <t xml:space="preserve">AAACCACCTGAGCACGAATACGAT</t>
  </si>
  <si>
    <t xml:space="preserve">ACCAGCGAAATCAGCACAAT</t>
  </si>
  <si>
    <t xml:space="preserve">TAGTACCAGCGAAATCAGCACAAT</t>
  </si>
  <si>
    <t xml:space="preserve">AAACATTGTGCTGATTTCGCTGGT</t>
  </si>
  <si>
    <t xml:space="preserve">GGCCCGTTTCGCAGACATCG</t>
  </si>
  <si>
    <t xml:space="preserve">TAGTGGCCCGTTTCGCAGACATCG</t>
  </si>
  <si>
    <t xml:space="preserve">AAACCGATGTCTGCGAAACGGGCC</t>
  </si>
  <si>
    <t xml:space="preserve">PSPPH_3250</t>
  </si>
  <si>
    <t xml:space="preserve">hppD</t>
  </si>
  <si>
    <t xml:space="preserve">CAAAGCCCATCAGGCCCATG</t>
  </si>
  <si>
    <t xml:space="preserve">TAGTCAAAGCCCATCAGGCCCATG</t>
  </si>
  <si>
    <t xml:space="preserve">AAACCATGGGCCTGATGGGCTTTG</t>
  </si>
  <si>
    <t xml:space="preserve">GGCTCCAGGCTGTTGGGGGT</t>
  </si>
  <si>
    <t xml:space="preserve">TAGTGGCTCCAGGCTGTTGGGGGT</t>
  </si>
  <si>
    <t xml:space="preserve">AAACACCCCCAACAGCCTGGAGCC</t>
  </si>
  <si>
    <t xml:space="preserve">AAACCCATCATCTGAAACAC</t>
  </si>
  <si>
    <t xml:space="preserve">TAGTAAACCCATCATCTGAAACAC</t>
  </si>
  <si>
    <t xml:space="preserve">AAACGTGTTTCAGATGATGGGTTT</t>
  </si>
  <si>
    <t xml:space="preserve">GGAGCGATGGGTTGCGACTT</t>
  </si>
  <si>
    <t xml:space="preserve">TAGTGGAGCGATGGGTTGCGACTT</t>
  </si>
  <si>
    <t xml:space="preserve">AAACAAGTCGCAACCCATCGCTCC</t>
  </si>
  <si>
    <t xml:space="preserve">PSPPH_3251</t>
  </si>
  <si>
    <t xml:space="preserve">maiA</t>
  </si>
  <si>
    <t xml:space="preserve">GTAGTAACTGAATAGGTCCA</t>
  </si>
  <si>
    <t xml:space="preserve">TAGTGTAGTAACTGAATAGGTCCA</t>
  </si>
  <si>
    <t xml:space="preserve">AAACTGGACCTATTCAGTTACTAC</t>
  </si>
  <si>
    <t xml:space="preserve">CACGGTAACTTGAAGTCGAG</t>
  </si>
  <si>
    <t xml:space="preserve">TAGTCACGGTAACTTGAAGTCGAG</t>
  </si>
  <si>
    <t xml:space="preserve">AAACCTCGACTTCAAGTTACCGTG</t>
  </si>
  <si>
    <t xml:space="preserve">GGTGTAATCCAGCCCTTTGA</t>
  </si>
  <si>
    <t xml:space="preserve">TAGTGGTGTAATCCAGCCCTTTGA</t>
  </si>
  <si>
    <t xml:space="preserve">AAACTCAAAGGGCTGGATTACACC</t>
  </si>
  <si>
    <t xml:space="preserve">CAGCAGGTTGACCGGGATCG</t>
  </si>
  <si>
    <t xml:space="preserve">TAGTCAGCAGGTTGACCGGGATCG</t>
  </si>
  <si>
    <t xml:space="preserve">AAACCGATCCCGGTCAACCTGCTG</t>
  </si>
  <si>
    <t xml:space="preserve">PSPPH_3252</t>
  </si>
  <si>
    <t xml:space="preserve">glcD</t>
  </si>
  <si>
    <t xml:space="preserve">AATTGTTGCTTGTCGACTGC</t>
  </si>
  <si>
    <t xml:space="preserve">TAGTAATTGTTGCTTGTCGACTGC</t>
  </si>
  <si>
    <t xml:space="preserve">AAACGCAGTCGACAAGCAACAATT</t>
  </si>
  <si>
    <t xml:space="preserve">GAATGTCCAGGTCGGGCAGT</t>
  </si>
  <si>
    <t xml:space="preserve">TAGTGAATGTCCAGGTCGGGCAGT</t>
  </si>
  <si>
    <t xml:space="preserve">AAACACTGCCCGACCTGGACATTC</t>
  </si>
  <si>
    <t xml:space="preserve">AGGGCCGAAGCTCTTCGGCG</t>
  </si>
  <si>
    <t xml:space="preserve">TAGTAGGGCCGAAGCTCTTCGGCG</t>
  </si>
  <si>
    <t xml:space="preserve">AAACCGCCGAAGAGCTTCGGCCCT</t>
  </si>
  <si>
    <t xml:space="preserve">CGATAACCCGTCGCACTCGT</t>
  </si>
  <si>
    <t xml:space="preserve">TAGTCGATAACCCGTCGCACTCGT</t>
  </si>
  <si>
    <t xml:space="preserve">AAACACGAGTGCGACGGGTTATCG</t>
  </si>
  <si>
    <t xml:space="preserve">PSPPH_3253</t>
  </si>
  <si>
    <t xml:space="preserve">glcE</t>
  </si>
  <si>
    <t xml:space="preserve">CGACCCGTTCGAGCAGAGCC</t>
  </si>
  <si>
    <t xml:space="preserve">TAGTCGACCCGTTCGAGCAGAGCC</t>
  </si>
  <si>
    <t xml:space="preserve">AAACGGCTCTGCTCGAACGGGTCG</t>
  </si>
  <si>
    <t xml:space="preserve">TTGCCACCCTGAATACGCAA</t>
  </si>
  <si>
    <t xml:space="preserve">TAGTTTGCCACCCTGAATACGCAA</t>
  </si>
  <si>
    <t xml:space="preserve">AAACTTGCGTATTCAGGGTGGCAA</t>
  </si>
  <si>
    <t xml:space="preserve">TGTTGTCTCACGTCCAAGCA</t>
  </si>
  <si>
    <t xml:space="preserve">TAGTTGTTGTCTCACGTCCAAGCA</t>
  </si>
  <si>
    <t xml:space="preserve">AAACTGCTTGGACGTGAGACAACA</t>
  </si>
  <si>
    <t xml:space="preserve">GACGATGCCACGGTGTTCGC</t>
  </si>
  <si>
    <t xml:space="preserve">TAGTGACGATGCCACGGTGTTCGC</t>
  </si>
  <si>
    <t xml:space="preserve">AAACGCGAACACCGTGGCATCGTC</t>
  </si>
  <si>
    <t xml:space="preserve">PSPPH_3254</t>
  </si>
  <si>
    <t xml:space="preserve">glcF</t>
  </si>
  <si>
    <t xml:space="preserve">TCTGGCGTGTTCACTCAATG</t>
  </si>
  <si>
    <t xml:space="preserve">TAGTTCTGGCGTGTTCACTCAATG</t>
  </si>
  <si>
    <t xml:space="preserve">AAACCATTGAGTGAACACGCCAGA</t>
  </si>
  <si>
    <t xml:space="preserve">GGCCTCTTCGGCGCGGGGCA</t>
  </si>
  <si>
    <t xml:space="preserve">TAGTGGCCTCTTCGGCGCGGGGCA</t>
  </si>
  <si>
    <t xml:space="preserve">AAACTGCCCCGCGCCGAAGAGGCC</t>
  </si>
  <si>
    <t xml:space="preserve">GCAACTGCGCAGGATGTGTT</t>
  </si>
  <si>
    <t xml:space="preserve">TAGTGCAACTGCGCAGGATGTGTT</t>
  </si>
  <si>
    <t xml:space="preserve">AAACAACACATCCTGCGCAGTTGC</t>
  </si>
  <si>
    <t xml:space="preserve">CAGTTGATAGGTCGGGCAGG</t>
  </si>
  <si>
    <t xml:space="preserve">TAGTCAGTTGATAGGTCGGGCAGG</t>
  </si>
  <si>
    <t xml:space="preserve">AAACCCTGCCCGACCTATCAACTG</t>
  </si>
  <si>
    <t xml:space="preserve">PSPPH_3255</t>
  </si>
  <si>
    <t xml:space="preserve">AGGACGGCTTTGATTTTCAT</t>
  </si>
  <si>
    <t xml:space="preserve">TAGTAGGACGGCTTTGATTTTCAT</t>
  </si>
  <si>
    <t xml:space="preserve">AAACATGAAAATCAAAGCCGTCCT</t>
  </si>
  <si>
    <t xml:space="preserve">GGCTCACTTCGGTTTGGGTA</t>
  </si>
  <si>
    <t xml:space="preserve">TAGTGGCTCACTTCGGTTTGGGTA</t>
  </si>
  <si>
    <t xml:space="preserve">AAACTACCCAAACCGAAGTGAGCC</t>
  </si>
  <si>
    <t xml:space="preserve">CGCGTGCGGCACCGAGCATC</t>
  </si>
  <si>
    <t xml:space="preserve">TAGTCGCGTGCGGCACCGAGCATC</t>
  </si>
  <si>
    <t xml:space="preserve">AAACGATGCTCGGTGCCGCACGCG</t>
  </si>
  <si>
    <t xml:space="preserve">CACAGCCCAGCCATTGGCCT</t>
  </si>
  <si>
    <t xml:space="preserve">TAGTCACAGCCCAGCCATTGGCCT</t>
  </si>
  <si>
    <t xml:space="preserve">AAACAGGCCAATGGCTGGGCTGTG</t>
  </si>
  <si>
    <t xml:space="preserve">PSPPH_3256</t>
  </si>
  <si>
    <t xml:space="preserve">GAGGGACTCCTGAACCGACC</t>
  </si>
  <si>
    <t xml:space="preserve">TAGTGAGGGACTCCTGAACCGACC</t>
  </si>
  <si>
    <t xml:space="preserve">AAACGGTCGGTTCAGGAGTCCCTC</t>
  </si>
  <si>
    <t xml:space="preserve">CAGCGGGTACAAAGCCCAGC</t>
  </si>
  <si>
    <t xml:space="preserve">TAGTCAGCGGGTACAAAGCCCAGC</t>
  </si>
  <si>
    <t xml:space="preserve">AAACGCTGGGCTTTGTACCCGCTG</t>
  </si>
  <si>
    <t xml:space="preserve">ACATACAGCGTAGTTTCATC</t>
  </si>
  <si>
    <t xml:space="preserve">TAGTACATACAGCGTAGTTTCATC</t>
  </si>
  <si>
    <t xml:space="preserve">AAACGATGAAACTACGCTGTATGT</t>
  </si>
  <si>
    <t xml:space="preserve">TGTCGACCACGCTGACTTCG</t>
  </si>
  <si>
    <t xml:space="preserve">TAGTTGTCGACCACGCTGACTTCG</t>
  </si>
  <si>
    <t xml:space="preserve">AAACCGAAGTCAGCGTGGTCGACA</t>
  </si>
  <si>
    <t xml:space="preserve">PSPPH_3257</t>
  </si>
  <si>
    <t xml:space="preserve">gntR</t>
  </si>
  <si>
    <t xml:space="preserve">CAGTAGAGCGGGAACCAATG</t>
  </si>
  <si>
    <t xml:space="preserve">TAGTCAGTAGAGCGGGAACCAATG</t>
  </si>
  <si>
    <t xml:space="preserve">AAACCATTGGTTCCCGCTCTACTG</t>
  </si>
  <si>
    <t xml:space="preserve">TCGCCACCTCATTGAGCGTA</t>
  </si>
  <si>
    <t xml:space="preserve">TAGTTCGCCACCTCATTGAGCGTA</t>
  </si>
  <si>
    <t xml:space="preserve">AAACTACGCTCAATGAGGTGGCGA</t>
  </si>
  <si>
    <t xml:space="preserve">GGAGGCCGTGATCGGCGACA</t>
  </si>
  <si>
    <t xml:space="preserve">TAGTGGAGGCCGTGATCGGCGACA</t>
  </si>
  <si>
    <t xml:space="preserve">AAACTGTCGCCGATCACGGCCTCC</t>
  </si>
  <si>
    <t xml:space="preserve">GGTAACGCCGCGCAGCGCCC</t>
  </si>
  <si>
    <t xml:space="preserve">TAGTGGTAACGCCGCGCAGCGCCC</t>
  </si>
  <si>
    <t xml:space="preserve">AAACGGGCGCTGCGCGGCGTTACC</t>
  </si>
  <si>
    <t xml:space="preserve">PSPPH_3258</t>
  </si>
  <si>
    <t xml:space="preserve">GACACCCATTACCACAAGGG</t>
  </si>
  <si>
    <t xml:space="preserve">TAGTGACACCCATTACCACAAGGG</t>
  </si>
  <si>
    <t xml:space="preserve">AAACCCCTTGTGGTAATGGGTGTC</t>
  </si>
  <si>
    <t xml:space="preserve">GCGGGCGATCTCGGCACCGA</t>
  </si>
  <si>
    <t xml:space="preserve">TAGTGCGGGCGATCTCGGCACCGA</t>
  </si>
  <si>
    <t xml:space="preserve">AAACTCGGTGCCGAGATCGCCCGC</t>
  </si>
  <si>
    <t xml:space="preserve">GGAACGCATCGCCTTCGATC</t>
  </si>
  <si>
    <t xml:space="preserve">TAGTGGAACGCATCGCCTTCGATC</t>
  </si>
  <si>
    <t xml:space="preserve">AAACGATCGAAGGCGATGCGTTCC</t>
  </si>
  <si>
    <t xml:space="preserve">TTTCGATATTGGCGGGAGGG</t>
  </si>
  <si>
    <t xml:space="preserve">TAGTTTTCGATATTGGCGGGAGGG</t>
  </si>
  <si>
    <t xml:space="preserve">AAACCCCTCCCGCCAATATCGAAA</t>
  </si>
  <si>
    <t xml:space="preserve">PSPPH_3259</t>
  </si>
  <si>
    <t xml:space="preserve">TCATGGGTCATACCGAACAT</t>
  </si>
  <si>
    <t xml:space="preserve">TAGTTCATGGGTCATACCGAACAT</t>
  </si>
  <si>
    <t xml:space="preserve">AAACATGTTCGGTATGACCCATGA</t>
  </si>
  <si>
    <t xml:space="preserve">TCACCAGCGCATCGACGAGC</t>
  </si>
  <si>
    <t xml:space="preserve">TAGTTCACCAGCGCATCGACGAGC</t>
  </si>
  <si>
    <t xml:space="preserve">AAACGCTCGTCGATGCGCTGGTGA</t>
  </si>
  <si>
    <t xml:space="preserve">CAACAGTACAAGGCCGACGA</t>
  </si>
  <si>
    <t xml:space="preserve">TAGTCAACAGTACAAGGCCGACGA</t>
  </si>
  <si>
    <t xml:space="preserve">AAACTCGTCGGCCTTGTACTGTTG</t>
  </si>
  <si>
    <t xml:space="preserve">GAAAGGGTGTACCTTGAAGG</t>
  </si>
  <si>
    <t xml:space="preserve">TAGTGAAAGGGTGTACCTTGAAGG</t>
  </si>
  <si>
    <t xml:space="preserve">AAACCCTTCAAGGTACACCCTTTC</t>
  </si>
  <si>
    <t xml:space="preserve">PSPPH_3260</t>
  </si>
  <si>
    <t xml:space="preserve">csrA1</t>
  </si>
  <si>
    <t xml:space="preserve">TTGGTGCATTGATGCCCAGG</t>
  </si>
  <si>
    <t xml:space="preserve">TAGTTTGGTGCATTGATGCCCAGG</t>
  </si>
  <si>
    <t xml:space="preserve">AAACCCTGGGCATCAATGCACCAA</t>
  </si>
  <si>
    <t xml:space="preserve">GGTTCGGAGCCAGTTCTGCC</t>
  </si>
  <si>
    <t xml:space="preserve">TAGTGGTTCGGAGCCAGTTCTGCC</t>
  </si>
  <si>
    <t xml:space="preserve">AAACGGCAGAACTGGCTCCGAACC</t>
  </si>
  <si>
    <t xml:space="preserve">PSPPH_3261</t>
  </si>
  <si>
    <t xml:space="preserve">CCCTCCGACGACGCAGCCGC</t>
  </si>
  <si>
    <t xml:space="preserve">TAGTCCCTCCGACGACGCAGCCGC</t>
  </si>
  <si>
    <t xml:space="preserve">AAACGCGGCTGCGTCGTCGGAGGG</t>
  </si>
  <si>
    <t xml:space="preserve">AAAACCCATGCCGGCGAGAC</t>
  </si>
  <si>
    <t xml:space="preserve">TAGTAAAACCCATGCCGGCGAGAC</t>
  </si>
  <si>
    <t xml:space="preserve">AAACGTCTCGCCGGCATGGGTTTT</t>
  </si>
  <si>
    <t xml:space="preserve">TTGGCATTGCGCCGGTCTTC</t>
  </si>
  <si>
    <t xml:space="preserve">TAGTTTGGCATTGCGCCGGTCTTC</t>
  </si>
  <si>
    <t xml:space="preserve">AAACGAAGACCGGCGCAATGCCAA</t>
  </si>
  <si>
    <t xml:space="preserve">AATGACGACCAATCCTTTCG</t>
  </si>
  <si>
    <t xml:space="preserve">TAGTAATGACGACCAATCCTTTCG</t>
  </si>
  <si>
    <t xml:space="preserve">AAACCGAAAGGATTGGTCGTCATT</t>
  </si>
  <si>
    <t xml:space="preserve">PSPPH_3262</t>
  </si>
  <si>
    <t xml:space="preserve">TGCAGGTGCAACGCAACGGC</t>
  </si>
  <si>
    <t xml:space="preserve">TAGTTGCAGGTGCAACGCAACGGC</t>
  </si>
  <si>
    <t xml:space="preserve">AAACGCCGTTGCGTTGCACCTGCA</t>
  </si>
  <si>
    <t xml:space="preserve">CGTCATCTGATCGTTGGCAA</t>
  </si>
  <si>
    <t xml:space="preserve">TAGTCGTCATCTGATCGTTGGCAA</t>
  </si>
  <si>
    <t xml:space="preserve">AAACTTGCCAACGATCAGATGACG</t>
  </si>
  <si>
    <t xml:space="preserve">CGATGGGTACGCCCGGACAC</t>
  </si>
  <si>
    <t xml:space="preserve">TAGTCGATGGGTACGCCCGGACAC</t>
  </si>
  <si>
    <t xml:space="preserve">AAACGTGTCCGGGCGTACCCATCG</t>
  </si>
  <si>
    <t xml:space="preserve">TCTTGATACGGCTGAGCGGG</t>
  </si>
  <si>
    <t xml:space="preserve">TAGTTCTTGATACGGCTGAGCGGG</t>
  </si>
  <si>
    <t xml:space="preserve">AAACCCCGCTCAGCCGTATCAAGA</t>
  </si>
  <si>
    <t xml:space="preserve">PSPPH_3263</t>
  </si>
  <si>
    <t xml:space="preserve">TTTCTTCCAGGGGGCGGTGA</t>
  </si>
  <si>
    <t xml:space="preserve">TAGTTTTCTTCCAGGGGGCGGTGA</t>
  </si>
  <si>
    <t xml:space="preserve">AAACTCACCGCCCCCTGGAAGAAA</t>
  </si>
  <si>
    <t xml:space="preserve">GCGGCAGTTCGCAAATTGTG</t>
  </si>
  <si>
    <t xml:space="preserve">TAGTGCGGCAGTTCGCAAATTGTG</t>
  </si>
  <si>
    <t xml:space="preserve">AAACCACAATTTGCGAACTGCCGC</t>
  </si>
  <si>
    <t xml:space="preserve">GAACATGTAGAACAGTTCGT</t>
  </si>
  <si>
    <t xml:space="preserve">TAGTGAACATGTAGAACAGTTCGT</t>
  </si>
  <si>
    <t xml:space="preserve">AAACACGAACTGTTCTACATGTTC</t>
  </si>
  <si>
    <t xml:space="preserve">TCAGCGGGTAAGTCGCTCTG</t>
  </si>
  <si>
    <t xml:space="preserve">TAGTTCAGCGGGTAAGTCGCTCTG</t>
  </si>
  <si>
    <t xml:space="preserve">AAACCAGAGCGACTTACCCGCTGA</t>
  </si>
  <si>
    <t xml:space="preserve">PSPPH_3264</t>
  </si>
  <si>
    <t xml:space="preserve">AAGCGAGCCAGGGGCGAAAT</t>
  </si>
  <si>
    <t xml:space="preserve">TAGTAAGCGAGCCAGGGGCGAAAT</t>
  </si>
  <si>
    <t xml:space="preserve">AAACATTTCGCCCCTGGCTCGCTT</t>
  </si>
  <si>
    <t xml:space="preserve">AACATGCAGACCCATTTGAT</t>
  </si>
  <si>
    <t xml:space="preserve">TAGTAACATGCAGACCCATTTGAT</t>
  </si>
  <si>
    <t xml:space="preserve">AAACATCAAATGGGTCTGCATGTT</t>
  </si>
  <si>
    <t xml:space="preserve">GACCGGGAGGCCAATAATGA</t>
  </si>
  <si>
    <t xml:space="preserve">TAGTGACCGGGAGGCCAATAATGA</t>
  </si>
  <si>
    <t xml:space="preserve">AAACTCATTATTGGCCTCCCGGTC</t>
  </si>
  <si>
    <t xml:space="preserve">CTGTACCAGCTTGCGGTGCC</t>
  </si>
  <si>
    <t xml:space="preserve">TAGTCTGTACCAGCTTGCGGTGCC</t>
  </si>
  <si>
    <t xml:space="preserve">AAACGGCACCGCAAGCTGGTACAG</t>
  </si>
  <si>
    <t xml:space="preserve">PSPPH_3265</t>
  </si>
  <si>
    <t xml:space="preserve">ATGACGGCAAGGCGGTGATG</t>
  </si>
  <si>
    <t xml:space="preserve">TAGTATGACGGCAAGGCGGTGATG</t>
  </si>
  <si>
    <t xml:space="preserve">AAACCATCACCGCCTTGCCGTCAT</t>
  </si>
  <si>
    <t xml:space="preserve">CGGCATGGGGTCATTGAAGA</t>
  </si>
  <si>
    <t xml:space="preserve">TAGTCGGCATGGGGTCATTGAAGA</t>
  </si>
  <si>
    <t xml:space="preserve">AAACTCTTCAATGACCCCATGCCG</t>
  </si>
  <si>
    <t xml:space="preserve">GACAACTCCGGACGGTTATG</t>
  </si>
  <si>
    <t xml:space="preserve">TAGTGACAACTCCGGACGGTTATG</t>
  </si>
  <si>
    <t xml:space="preserve">AAACCATAACCGTCCGGAGTTGTC</t>
  </si>
  <si>
    <t xml:space="preserve">GGTCACGCGGGCGTCCATGA</t>
  </si>
  <si>
    <t xml:space="preserve">TAGTGGTCACGCGGGCGTCCATGA</t>
  </si>
  <si>
    <t xml:space="preserve">AAACTCATGGACGCCCGCGTGACC</t>
  </si>
  <si>
    <t xml:space="preserve">PSPPH_3266</t>
  </si>
  <si>
    <t xml:space="preserve">AGCAGCATGCACTGCGCCGC</t>
  </si>
  <si>
    <t xml:space="preserve">TAGTAGCAGCATGCACTGCGCCGC</t>
  </si>
  <si>
    <t xml:space="preserve">AAACGCGGCGCAGTGCATGCTGCT</t>
  </si>
  <si>
    <t xml:space="preserve">CTGGGTGGCAGGCAAGGTTG</t>
  </si>
  <si>
    <t xml:space="preserve">TAGTCTGGGTGGCAGGCAAGGTTG</t>
  </si>
  <si>
    <t xml:space="preserve">AAACCAACCTTGCCTGCCACCCAG</t>
  </si>
  <si>
    <t xml:space="preserve">CCGGCCTTCGGTAGCGGCGG</t>
  </si>
  <si>
    <t xml:space="preserve">TAGTCCGGCCTTCGGTAGCGGCGG</t>
  </si>
  <si>
    <t xml:space="preserve">AAACCCGCCGCTACCGAAGGCCGG</t>
  </si>
  <si>
    <t xml:space="preserve">ATCACTTTTGCTCGCGGTAC</t>
  </si>
  <si>
    <t xml:space="preserve">TAGTATCACTTTTGCTCGCGGTAC</t>
  </si>
  <si>
    <t xml:space="preserve">AAACGTACCGCGAGCAAAAGTGAT</t>
  </si>
  <si>
    <t xml:space="preserve">PSPPH_3267</t>
  </si>
  <si>
    <t xml:space="preserve">GGATGGCTGGGCCCAGCCAT</t>
  </si>
  <si>
    <t xml:space="preserve">TAGTGGATGGCTGGGCCCAGCCAT</t>
  </si>
  <si>
    <t xml:space="preserve">AAACATGGCTGGGCCCAGCCATCC</t>
  </si>
  <si>
    <t xml:space="preserve">CGTTGAATGAATTCGGGCAA</t>
  </si>
  <si>
    <t xml:space="preserve">TAGTCGTTGAATGAATTCGGGCAA</t>
  </si>
  <si>
    <t xml:space="preserve">AAACTTGCCCGAATTCATTCAACG</t>
  </si>
  <si>
    <t xml:space="preserve">CTTGAAATCGATGATGTTCA</t>
  </si>
  <si>
    <t xml:space="preserve">TAGTCTTGAAATCGATGATGTTCA</t>
  </si>
  <si>
    <t xml:space="preserve">AAACTGAACATCATCGATTTCAAG</t>
  </si>
  <si>
    <t xml:space="preserve">CCACGAAAAGAGCGTTTGAC</t>
  </si>
  <si>
    <t xml:space="preserve">TAGTCCACGAAAAGAGCGTTTGAC</t>
  </si>
  <si>
    <t xml:space="preserve">AAACGTCAAACGCTCTTTTCGTGG</t>
  </si>
  <si>
    <t xml:space="preserve">PSPPH_3268</t>
  </si>
  <si>
    <t xml:space="preserve">TTCAAGGAAGACACTTGCTG</t>
  </si>
  <si>
    <t xml:space="preserve">TAGTTTCAAGGAAGACACTTGCTG</t>
  </si>
  <si>
    <t xml:space="preserve">AAACCAGCAAGTGTCTTCCTTGAA</t>
  </si>
  <si>
    <t xml:space="preserve">TTTGGAGCCGCCCATCCGTT</t>
  </si>
  <si>
    <t xml:space="preserve">TAGTTTTGGAGCCGCCCATCCGTT</t>
  </si>
  <si>
    <t xml:space="preserve">AAACAACGGATGGGCGGCTCCAAA</t>
  </si>
  <si>
    <t xml:space="preserve">TGAACAGCTCCTCCTTGGAG</t>
  </si>
  <si>
    <t xml:space="preserve">TAGTTGAACAGCTCCTCCTTGGAG</t>
  </si>
  <si>
    <t xml:space="preserve">AAACCTCCAAGGAGGAGCTGTTCA</t>
  </si>
  <si>
    <t xml:space="preserve">GGTTGCAACCCTGTTGACCA</t>
  </si>
  <si>
    <t xml:space="preserve">TAGTGGTTGCAACCCTGTTGACCA</t>
  </si>
  <si>
    <t xml:space="preserve">AAACTGGTCAACAGGGTTGCAACC</t>
  </si>
  <si>
    <t xml:space="preserve">PSPPH_3269</t>
  </si>
  <si>
    <t xml:space="preserve">CCGAAGCATAAAGCCGAACG</t>
  </si>
  <si>
    <t xml:space="preserve">TAGTCCGAAGCATAAAGCCGAACG</t>
  </si>
  <si>
    <t xml:space="preserve">AAACCGTTCGGCTTTATGCTTCGG</t>
  </si>
  <si>
    <t xml:space="preserve">GGCCCAGTGCAACGATCATC</t>
  </si>
  <si>
    <t xml:space="preserve">TAGTGGCCCAGTGCAACGATCATC</t>
  </si>
  <si>
    <t xml:space="preserve">AAACGATGATCGTTGCACTGGGCC</t>
  </si>
  <si>
    <t xml:space="preserve">CTGCCTGACGCAAAGCCAGC</t>
  </si>
  <si>
    <t xml:space="preserve">TAGTCTGCCTGACGCAAAGCCAGC</t>
  </si>
  <si>
    <t xml:space="preserve">AAACGCTGGCTTTGCGTCAGGCAG</t>
  </si>
  <si>
    <t xml:space="preserve">TTTTACGCTGGGTAGCACGT</t>
  </si>
  <si>
    <t xml:space="preserve">TAGTTTTTACGCTGGGTAGCACGT</t>
  </si>
  <si>
    <t xml:space="preserve">AAACACGTGCTACCCAGCGTAAAA</t>
  </si>
  <si>
    <t xml:space="preserve">PSPPH_3270</t>
  </si>
  <si>
    <t xml:space="preserve">CAGCGGCGTAGCCGGTAAAC</t>
  </si>
  <si>
    <t xml:space="preserve">TAGTCAGCGGCGTAGCCGGTAAAC</t>
  </si>
  <si>
    <t xml:space="preserve">AAACGTTTACCGGCTACGCCGCTG</t>
  </si>
  <si>
    <t xml:space="preserve">CGTGAGCTTGTCTACCGCCT</t>
  </si>
  <si>
    <t xml:space="preserve">TAGTCGTGAGCTTGTCTACCGCCT</t>
  </si>
  <si>
    <t xml:space="preserve">AAACAGGCGGTAGACAAGCTCACG</t>
  </si>
  <si>
    <t xml:space="preserve">CTTTATGTCCTTGTGCCACA</t>
  </si>
  <si>
    <t xml:space="preserve">TAGTCTTTATGTCCTTGTGCCACA</t>
  </si>
  <si>
    <t xml:space="preserve">AAACTGTGGCACAAGGACATAAAG</t>
  </si>
  <si>
    <t xml:space="preserve">TCCATACGTGAGGTTGTCGG</t>
  </si>
  <si>
    <t xml:space="preserve">TAGTTCCATACGTGAGGTTGTCGG</t>
  </si>
  <si>
    <t xml:space="preserve">AAACCCGACAACCTCACGTATGGA</t>
  </si>
  <si>
    <t xml:space="preserve">PSPPH_3271</t>
  </si>
  <si>
    <t xml:space="preserve">CGCAGGGTGTTGAAAATGAC</t>
  </si>
  <si>
    <t xml:space="preserve">TAGTCGCAGGGTGTTGAAAATGAC</t>
  </si>
  <si>
    <t xml:space="preserve">AAACGTCATTTTCAACACCCTGCG</t>
  </si>
  <si>
    <t xml:space="preserve">ACGATACTCTCGGGAGCGAC</t>
  </si>
  <si>
    <t xml:space="preserve">TAGTACGATACTCTCGGGAGCGAC</t>
  </si>
  <si>
    <t xml:space="preserve">AAACGTCGCTCCCGAGAGTATCGT</t>
  </si>
  <si>
    <t xml:space="preserve">AAAGATTGCAGAGTACAGCA</t>
  </si>
  <si>
    <t xml:space="preserve">TAGTAAAGATTGCAGAGTACAGCA</t>
  </si>
  <si>
    <t xml:space="preserve">AAACTGCTGTACTCTGCAATCTTT</t>
  </si>
  <si>
    <t xml:space="preserve">GTCGCTGGCCAACGCAGCAC</t>
  </si>
  <si>
    <t xml:space="preserve">TAGTGTCGCTGGCCAACGCAGCAC</t>
  </si>
  <si>
    <t xml:space="preserve">AAACGTGCTGCGTTGGCCAGCGAC</t>
  </si>
  <si>
    <t xml:space="preserve">PSPPH_3272</t>
  </si>
  <si>
    <t xml:space="preserve">GACTGACGCAGGAAATTCAT</t>
  </si>
  <si>
    <t xml:space="preserve">TAGTGACTGACGCAGGAAATTCAT</t>
  </si>
  <si>
    <t xml:space="preserve">AAACATGAATTTCCTGCGTCAGTC</t>
  </si>
  <si>
    <t xml:space="preserve">AAGAAGCTTGGTCGAAAACT</t>
  </si>
  <si>
    <t xml:space="preserve">TAGTAAGAAGCTTGGTCGAAAACT</t>
  </si>
  <si>
    <t xml:space="preserve">AAACAGTTTTCGACCAAGCTTCTT</t>
  </si>
  <si>
    <t xml:space="preserve">GACCATGCCCAGGCCGCCAA</t>
  </si>
  <si>
    <t xml:space="preserve">TAGTGACCATGCCCAGGCCGCCAA</t>
  </si>
  <si>
    <t xml:space="preserve">AAACTTGGCGGCCTGGGCATGGTC</t>
  </si>
  <si>
    <t xml:space="preserve">CTCAAGCGCGTTGCCCAAGC</t>
  </si>
  <si>
    <t xml:space="preserve">TAGTCTCAAGCGCGTTGCCCAAGC</t>
  </si>
  <si>
    <t xml:space="preserve">AAACGCTTGGGCAACGCGCTTGAG</t>
  </si>
  <si>
    <t xml:space="preserve">PSPPH_3273</t>
  </si>
  <si>
    <t xml:space="preserve">GTTTGTAGCAACATGATGGT</t>
  </si>
  <si>
    <t xml:space="preserve">TAGTGTTTGTAGCAACATGATGGT</t>
  </si>
  <si>
    <t xml:space="preserve">AAACACCATCATGTTGCTACAAAC</t>
  </si>
  <si>
    <t xml:space="preserve">ACGGATGAACTCCGGTGGCG</t>
  </si>
  <si>
    <t xml:space="preserve">TAGTACGGATGAACTCCGGTGGCG</t>
  </si>
  <si>
    <t xml:space="preserve">AAACCGCCACCGGAGTTCATCCGT</t>
  </si>
  <si>
    <t xml:space="preserve">CCACGACCATCTGCTGGATC</t>
  </si>
  <si>
    <t xml:space="preserve">TAGTCCACGACCATCTGCTGGATC</t>
  </si>
  <si>
    <t xml:space="preserve">AAACGATCCAGCAGATGGTCGTGG</t>
  </si>
  <si>
    <t xml:space="preserve">AATGGCTACCATGCTGATGT</t>
  </si>
  <si>
    <t xml:space="preserve">TAGTAATGGCTACCATGCTGATGT</t>
  </si>
  <si>
    <t xml:space="preserve">AAACACATCAGCATGGTAGCCATT</t>
  </si>
  <si>
    <t xml:space="preserve">PSPPH_3274</t>
  </si>
  <si>
    <t xml:space="preserve">katB</t>
  </si>
  <si>
    <t xml:space="preserve">TGTCTGGACCAGTTTAATAA</t>
  </si>
  <si>
    <t xml:space="preserve">TAGTTGTCTGGACCAGTTTAATAA</t>
  </si>
  <si>
    <t xml:space="preserve">AAACTTATTAAACTGGTCCAGACA</t>
  </si>
  <si>
    <t xml:space="preserve">GTGTCTGCTGCATAGGCGGT</t>
  </si>
  <si>
    <t xml:space="preserve">TAGTGTGTCTGCTGCATAGGCGGT</t>
  </si>
  <si>
    <t xml:space="preserve">AAACACCGCCTATGCAGCAGACAC</t>
  </si>
  <si>
    <t xml:space="preserve">GGCACCATTGTCGCGGGTCA</t>
  </si>
  <si>
    <t xml:space="preserve">TAGTGGCACCATTGTCGCGGGTCA</t>
  </si>
  <si>
    <t xml:space="preserve">AAACTGACCCGCGACAATGGTGCC</t>
  </si>
  <si>
    <t xml:space="preserve">GTTCTGATTGTCGCCGACGA</t>
  </si>
  <si>
    <t xml:space="preserve">TAGTGTTCTGATTGTCGCCGACGA</t>
  </si>
  <si>
    <t xml:space="preserve">AAACTCGTCGGCGACAATCAGAAC</t>
  </si>
  <si>
    <t xml:space="preserve">PSPPH_3275</t>
  </si>
  <si>
    <t xml:space="preserve">GCATAGATCAGATTTTTCAC</t>
  </si>
  <si>
    <t xml:space="preserve">TAGTGCATAGATCAGATTTTTCAC</t>
  </si>
  <si>
    <t xml:space="preserve">AAACGTGAAAAATCTGATCTATGC</t>
  </si>
  <si>
    <t xml:space="preserve">GGCGGGTGGGGTTGCGTTTG</t>
  </si>
  <si>
    <t xml:space="preserve">TAGTGGCGGGTGGGGTTGCGTTTG</t>
  </si>
  <si>
    <t xml:space="preserve">AAACCAAACGCAACCCCACCCGCC</t>
  </si>
  <si>
    <t xml:space="preserve">CAGTTCGGAAGCGGGTACAG</t>
  </si>
  <si>
    <t xml:space="preserve">TAGTCAGTTCGGAAGCGGGTACAG</t>
  </si>
  <si>
    <t xml:space="preserve">AAACCTGTACCCGCTTCCGAACTG</t>
  </si>
  <si>
    <t xml:space="preserve">CTGGCTGGCGGTCTGTTCAG</t>
  </si>
  <si>
    <t xml:space="preserve">TAGTCTGGCTGGCGGTCTGTTCAG</t>
  </si>
  <si>
    <t xml:space="preserve">AAACCTGAACAGACCGCCAGCCAG</t>
  </si>
  <si>
    <t xml:space="preserve">PSPPH_3276</t>
  </si>
  <si>
    <t xml:space="preserve">TTGTAGATCTGTCGGGGTCA</t>
  </si>
  <si>
    <t xml:space="preserve">TAGTTTGTAGATCTGTCGGGGTCA</t>
  </si>
  <si>
    <t xml:space="preserve">AAACTGACCCCGACAGATCTACAA</t>
  </si>
  <si>
    <t xml:space="preserve">CCAGAGCCGATAATCGGCTA</t>
  </si>
  <si>
    <t xml:space="preserve">TAGTCCAGAGCCGATAATCGGCTA</t>
  </si>
  <si>
    <t xml:space="preserve">AAACTAGCCGATTATCGGCTCTGG</t>
  </si>
  <si>
    <t xml:space="preserve">GCTCAGGCGATCTTTAAGCG</t>
  </si>
  <si>
    <t xml:space="preserve">TAGTGCTCAGGCGATCTTTAAGCG</t>
  </si>
  <si>
    <t xml:space="preserve">AAACCGCTTAAAGATCGCCTGAGC</t>
  </si>
  <si>
    <t xml:space="preserve">AGAGTGCGCCAGGGCGTTTT</t>
  </si>
  <si>
    <t xml:space="preserve">TAGTAGAGTGCGCCAGGGCGTTTT</t>
  </si>
  <si>
    <t xml:space="preserve">AAACAAAACGCCCTGGCGCACTCT</t>
  </si>
  <si>
    <t xml:space="preserve">PSPPH_3277</t>
  </si>
  <si>
    <t xml:space="preserve">GGTATCACGTGTAACAGGAT</t>
  </si>
  <si>
    <t xml:space="preserve">TAGTGGTATCACGTGTAACAGGAT</t>
  </si>
  <si>
    <t xml:space="preserve">AAACATCCTGTTACACGTGATACC</t>
  </si>
  <si>
    <t xml:space="preserve">TCGGTAGCGGTCGTCCACCG</t>
  </si>
  <si>
    <t xml:space="preserve">TAGTTCGGTAGCGGTCGTCCACCG</t>
  </si>
  <si>
    <t xml:space="preserve">AAACCGGTGGACGACCGCTACCGA</t>
  </si>
  <si>
    <t xml:space="preserve">GAACGACGGCCCGCATTGTC</t>
  </si>
  <si>
    <t xml:space="preserve">TAGTGAACGACGGCCCGCATTGTC</t>
  </si>
  <si>
    <t xml:space="preserve">AAACGACAATGCGGGCCGTCGTTC</t>
  </si>
  <si>
    <t xml:space="preserve">TGATCCACGCCATGAATGGT</t>
  </si>
  <si>
    <t xml:space="preserve">TAGTTGATCCACGCCATGAATGGT</t>
  </si>
  <si>
    <t xml:space="preserve">AAACACCATTCATGGCGTGGATCA</t>
  </si>
  <si>
    <t xml:space="preserve">PSPPH_3278</t>
  </si>
  <si>
    <t xml:space="preserve">AGAGGTCTGCGCGGGCGCTC</t>
  </si>
  <si>
    <t xml:space="preserve">TAGTAGAGGTCTGCGCGGGCGCTC</t>
  </si>
  <si>
    <t xml:space="preserve">AAACGAGCGCCCGCGCAGACCTCT</t>
  </si>
  <si>
    <t xml:space="preserve">CAGGTGTGAGGTGCCTTGAG</t>
  </si>
  <si>
    <t xml:space="preserve">TAGTCAGGTGTGAGGTGCCTTGAG</t>
  </si>
  <si>
    <t xml:space="preserve">AAACCTCAAGGCACCTCACACCTG</t>
  </si>
  <si>
    <t xml:space="preserve">ACGTGTAGTGCAGCGGCGTA</t>
  </si>
  <si>
    <t xml:space="preserve">TAGTACGTGTAGTGCAGCGGCGTA</t>
  </si>
  <si>
    <t xml:space="preserve">AAACTACGCCGCTGCACTACACGT</t>
  </si>
  <si>
    <t xml:space="preserve">TTACACCATGCTGTTCAATT</t>
  </si>
  <si>
    <t xml:space="preserve">TAGTTTACACCATGCTGTTCAATT</t>
  </si>
  <si>
    <t xml:space="preserve">AAACAATTGAACAGCATGGTGTAA</t>
  </si>
  <si>
    <t xml:space="preserve">PSPPH_3279</t>
  </si>
  <si>
    <t xml:space="preserve">CGCCAATCCAGACGCCTGCC</t>
  </si>
  <si>
    <t xml:space="preserve">TAGTCGCCAATCCAGACGCCTGCC</t>
  </si>
  <si>
    <t xml:space="preserve">AAACGGCAGGCGTCTGGATTGGCG</t>
  </si>
  <si>
    <t xml:space="preserve">TGCTGCATGACGAGGTCATC</t>
  </si>
  <si>
    <t xml:space="preserve">TAGTTGCTGCATGACGAGGTCATC</t>
  </si>
  <si>
    <t xml:space="preserve">AAACGATGACCTCGTCATGCAGCA</t>
  </si>
  <si>
    <t xml:space="preserve">TTCGGAAAAGCCGACCTCGG</t>
  </si>
  <si>
    <t xml:space="preserve">TAGTTTCGGAAAAGCCGACCTCGG</t>
  </si>
  <si>
    <t xml:space="preserve">AAACCCGAGGTCGGCTTTTCCGAA</t>
  </si>
  <si>
    <t xml:space="preserve">TTCCACAGGAGCGGCAAACA</t>
  </si>
  <si>
    <t xml:space="preserve">TAGTTTCCACAGGAGCGGCAAACA</t>
  </si>
  <si>
    <t xml:space="preserve">AAACTGTTTGCCGCTCCTGTGGAA</t>
  </si>
  <si>
    <t xml:space="preserve">PSPPH_3280</t>
  </si>
  <si>
    <t xml:space="preserve">CTGGGCTGCGGTGCTGAAAG</t>
  </si>
  <si>
    <t xml:space="preserve">TAGTCTGGGCTGCGGTGCTGAAAG</t>
  </si>
  <si>
    <t xml:space="preserve">AAACCTTTCAGCACCGCAGCCCAG</t>
  </si>
  <si>
    <t xml:space="preserve">AGACTGCTCCGCCCGAGCCT</t>
  </si>
  <si>
    <t xml:space="preserve">TAGTAGACTGCTCCGCCCGAGCCT</t>
  </si>
  <si>
    <t xml:space="preserve">AAACAGGCTCGGGCGGAGCAGTCT</t>
  </si>
  <si>
    <t xml:space="preserve">CCAAGAGGCGACACTGAAAC</t>
  </si>
  <si>
    <t xml:space="preserve">TAGTCCAAGAGGCGACACTGAAAC</t>
  </si>
  <si>
    <t xml:space="preserve">AAACGTTTCAGTGTCGCCTCTTGG</t>
  </si>
  <si>
    <t xml:space="preserve">TGTTTGACGTAAGGCACCAG</t>
  </si>
  <si>
    <t xml:space="preserve">TAGTTGTTTGACGTAAGGCACCAG</t>
  </si>
  <si>
    <t xml:space="preserve">AAACCTGGTGCCTTACGTCAAACA</t>
  </si>
  <si>
    <t xml:space="preserve">PSPPH_3282</t>
  </si>
  <si>
    <t xml:space="preserve">GTAGGCTTGCAGCGGGGAAA</t>
  </si>
  <si>
    <t xml:space="preserve">TAGTGTAGGCTTGCAGCGGGGAAA</t>
  </si>
  <si>
    <t xml:space="preserve">AAACTTTCCCCGCTGCAAGCCTAC</t>
  </si>
  <si>
    <t xml:space="preserve">AGGCTGAAAACCACGCTGGA</t>
  </si>
  <si>
    <t xml:space="preserve">TAGTAGGCTGAAAACCACGCTGGA</t>
  </si>
  <si>
    <t xml:space="preserve">AAACTCCAGCGTGGTTTTCAGCCT</t>
  </si>
  <si>
    <t xml:space="preserve">ATAGCACGCCTGCAACTGTC</t>
  </si>
  <si>
    <t xml:space="preserve">TAGTATAGCACGCCTGCAACTGTC</t>
  </si>
  <si>
    <t xml:space="preserve">AAACGACAGTTGCAGGCGTGCTAT</t>
  </si>
  <si>
    <t xml:space="preserve">CCGACCCCGCGCATCGGCCA</t>
  </si>
  <si>
    <t xml:space="preserve">TAGTCCGACCCCGCGCATCGGCCA</t>
  </si>
  <si>
    <t xml:space="preserve">AAACTGGCCGATGCGCGGGGTCGG</t>
  </si>
  <si>
    <t xml:space="preserve">PSPPH_3283</t>
  </si>
  <si>
    <t xml:space="preserve">CGTATACGGATTGATTTCAT</t>
  </si>
  <si>
    <t xml:space="preserve">TAGTCGTATACGGATTGATTTCAT</t>
  </si>
  <si>
    <t xml:space="preserve">AAACATGAAATCAATCCGTATACG</t>
  </si>
  <si>
    <t xml:space="preserve">CGTGAGCCCGGCCAGGACTT</t>
  </si>
  <si>
    <t xml:space="preserve">TAGTCGTGAGCCCGGCCAGGACTT</t>
  </si>
  <si>
    <t xml:space="preserve">AAACAAGTCCTGGCCGGGCTCACG</t>
  </si>
  <si>
    <t xml:space="preserve">GGCAATGCACTCGGGCACCA</t>
  </si>
  <si>
    <t xml:space="preserve">TAGTGGCAATGCACTCGGGCACCA</t>
  </si>
  <si>
    <t xml:space="preserve">AAACTGGTGCCCGAGTGCATTGCC</t>
  </si>
  <si>
    <t xml:space="preserve">GAGATGGGCCACCAGTGCAA</t>
  </si>
  <si>
    <t xml:space="preserve">TAGTGAGATGGGCCACCAGTGCAA</t>
  </si>
  <si>
    <t xml:space="preserve">AAACTTGCACTGGTGGCCCATCTC</t>
  </si>
  <si>
    <t xml:space="preserve">PSPPH_3284</t>
  </si>
  <si>
    <t xml:space="preserve">CATAACAGTGTCTTATTCCA</t>
  </si>
  <si>
    <t xml:space="preserve">TAGTCATAACAGTGTCTTATTCCA</t>
  </si>
  <si>
    <t xml:space="preserve">AAACTGGAATAAGACACTGTTATG</t>
  </si>
  <si>
    <t xml:space="preserve">CGGGTCTTGAGCGCAGGCAA</t>
  </si>
  <si>
    <t xml:space="preserve">TAGTCGGGTCTTGAGCGCAGGCAA</t>
  </si>
  <si>
    <t xml:space="preserve">AAACTTGCCTGCGCTCAAGACCCG</t>
  </si>
  <si>
    <t xml:space="preserve">ACGGCATCAAGGTCAGGTGC</t>
  </si>
  <si>
    <t xml:space="preserve">TAGTACGGCATCAAGGTCAGGTGC</t>
  </si>
  <si>
    <t xml:space="preserve">AAACGCACCTGACCTTGATGCCGT</t>
  </si>
  <si>
    <t xml:space="preserve">ACCGTTGCGGGTGATGGCGA</t>
  </si>
  <si>
    <t xml:space="preserve">TAGTACCGTTGCGGGTGATGGCGA</t>
  </si>
  <si>
    <t xml:space="preserve">AAACTCGCCATCACCCGCAACGGT</t>
  </si>
  <si>
    <t xml:space="preserve">PSPPH_3285</t>
  </si>
  <si>
    <t xml:space="preserve">ada</t>
  </si>
  <si>
    <t xml:space="preserve">CGCGGGTCCTCTTCGGTTCG</t>
  </si>
  <si>
    <t xml:space="preserve">TAGTCGCGGGTCCTCTTCGGTTCG</t>
  </si>
  <si>
    <t xml:space="preserve">AAACCGAACCGAAGAGGACCCGCG</t>
  </si>
  <si>
    <t xml:space="preserve">CGCCTGAACGACGATTGAGC</t>
  </si>
  <si>
    <t xml:space="preserve">TAGTCGCCTGAACGACGATTGAGC</t>
  </si>
  <si>
    <t xml:space="preserve">AAACGCTCAATCGTCGTTCAGGCG</t>
  </si>
  <si>
    <t xml:space="preserve">GCCGGGCTTGCAATAGATAC</t>
  </si>
  <si>
    <t xml:space="preserve">TAGTGCCGGGCTTGCAATAGATAC</t>
  </si>
  <si>
    <t xml:space="preserve">AAACGTATCTATTGCAAGCCCGGC</t>
  </si>
  <si>
    <t xml:space="preserve">CCGGCCTTGGAAGTTTGCTA</t>
  </si>
  <si>
    <t xml:space="preserve">TAGTCCGGCCTTGGAAGTTTGCTA</t>
  </si>
  <si>
    <t xml:space="preserve">AAACTAGCAAACTTCCAAGGCCGG</t>
  </si>
  <si>
    <t xml:space="preserve">PSPPH_3286</t>
  </si>
  <si>
    <t xml:space="preserve">TAATTCCCATCGCCTGTCGA</t>
  </si>
  <si>
    <t xml:space="preserve">TAGTTAATTCCCATCGCCTGTCGA</t>
  </si>
  <si>
    <t xml:space="preserve">AAACTCGACAGGCGATGGGAATTA</t>
  </si>
  <si>
    <t xml:space="preserve">CAGTGACCGGGTGCAGGCAG</t>
  </si>
  <si>
    <t xml:space="preserve">TAGTCAGTGACCGGGTGCAGGCAG</t>
  </si>
  <si>
    <t xml:space="preserve">AAACCTGCCTGCACCCGGTCACTG</t>
  </si>
  <si>
    <t xml:space="preserve">CGCCTGAAATGGATCCTGCG</t>
  </si>
  <si>
    <t xml:space="preserve">TAGTCGCCTGAAATGGATCCTGCG</t>
  </si>
  <si>
    <t xml:space="preserve">AAACCGCAGGATCCATTTCAGGCG</t>
  </si>
  <si>
    <t xml:space="preserve">ATGCAGTTGCTGATAGGCGA</t>
  </si>
  <si>
    <t xml:space="preserve">TAGTATGCAGTTGCTGATAGGCGA</t>
  </si>
  <si>
    <t xml:space="preserve">AAACTCGCCTATCAGCAACTGCAT</t>
  </si>
  <si>
    <t xml:space="preserve">PSPPH_3287</t>
  </si>
  <si>
    <t xml:space="preserve">TCGCGCAGCATGATCAAAAA</t>
  </si>
  <si>
    <t xml:space="preserve">TAGTTCGCGCAGCATGATCAAAAA</t>
  </si>
  <si>
    <t xml:space="preserve">AAACTTTTTGATCATGCTGCGCGA</t>
  </si>
  <si>
    <t xml:space="preserve">GATAATGCCAACAATCAGCG</t>
  </si>
  <si>
    <t xml:space="preserve">TAGTGATAATGCCAACAATCAGCG</t>
  </si>
  <si>
    <t xml:space="preserve">AAACCGCTGATTGTTGGCATTATC</t>
  </si>
  <si>
    <t xml:space="preserve">GCCGGTCTGCTTCAGGTAAC</t>
  </si>
  <si>
    <t xml:space="preserve">TAGTGCCGGTCTGCTTCAGGTAAC</t>
  </si>
  <si>
    <t xml:space="preserve">AAACGTTACCTGAAGCAGACCGGC</t>
  </si>
  <si>
    <t xml:space="preserve">CCGCAGGCATCCACTCGCCG</t>
  </si>
  <si>
    <t xml:space="preserve">TAGTCCGCAGGCATCCACTCGCCG</t>
  </si>
  <si>
    <t xml:space="preserve">AAACCGGCGAGTGGATGCCTGCGG</t>
  </si>
  <si>
    <t xml:space="preserve">PSPPH_3288</t>
  </si>
  <si>
    <t xml:space="preserve">CCTAGGGTACGGATAGACAT</t>
  </si>
  <si>
    <t xml:space="preserve">TAGTCCTAGGGTACGGATAGACAT</t>
  </si>
  <si>
    <t xml:space="preserve">AAACATGTCTATCCGTACCCTAGG</t>
  </si>
  <si>
    <t xml:space="preserve">GGCGGCCGGGCGTTCTCGGA</t>
  </si>
  <si>
    <t xml:space="preserve">TAGTGGCGGCCGGGCGTTCTCGGA</t>
  </si>
  <si>
    <t xml:space="preserve">AAACTCCGAGAACGCCCGGCCGCC</t>
  </si>
  <si>
    <t xml:space="preserve">ACAGCCAATTGCAGGACACG</t>
  </si>
  <si>
    <t xml:space="preserve">TAGTACAGCCAATTGCAGGACACG</t>
  </si>
  <si>
    <t xml:space="preserve">AAACCGTGTCCTGCAATTGGCTGT</t>
  </si>
  <si>
    <t xml:space="preserve">AATCATCAGGATCACCGAAC</t>
  </si>
  <si>
    <t xml:space="preserve">TAGTAATCATCAGGATCACCGAAC</t>
  </si>
  <si>
    <t xml:space="preserve">AAACGTTCGGTGATCCTGATGATT</t>
  </si>
  <si>
    <t xml:space="preserve">PSPPH_3289</t>
  </si>
  <si>
    <t xml:space="preserve">TGGCTTCTGGACTGTTGTCT</t>
  </si>
  <si>
    <t xml:space="preserve">TAGTTGGCTTCTGGACTGTTGTCT</t>
  </si>
  <si>
    <t xml:space="preserve">AAACAGACAACAGTCCAGAAGCCA</t>
  </si>
  <si>
    <t xml:space="preserve">TATTGAAGCGGGGGCGTTAG</t>
  </si>
  <si>
    <t xml:space="preserve">TAGTTATTGAAGCGGGGGCGTTAG</t>
  </si>
  <si>
    <t xml:space="preserve">AAACCTAACGCCCCCGCTTCAATA</t>
  </si>
  <si>
    <t xml:space="preserve">CACCGAGACCCATCAGGACA</t>
  </si>
  <si>
    <t xml:space="preserve">TAGTCACCGAGACCCATCAGGACA</t>
  </si>
  <si>
    <t xml:space="preserve">AAACTGTCCTGATGGGTCTCGGTG</t>
  </si>
  <si>
    <t xml:space="preserve">GCTGCCAGCCAGCGCGGCAC</t>
  </si>
  <si>
    <t xml:space="preserve">TAGTGCTGCCAGCCAGCGCGGCAC</t>
  </si>
  <si>
    <t xml:space="preserve">AAACGTGCCGCGCTGGCTGGCAGC</t>
  </si>
  <si>
    <t xml:space="preserve">PSPPH_3290</t>
  </si>
  <si>
    <t xml:space="preserve">GCCAGGGGCGTCTTTTTCAT</t>
  </si>
  <si>
    <t xml:space="preserve">TAGTGCCAGGGGCGTCTTTTTCAT</t>
  </si>
  <si>
    <t xml:space="preserve">AAACATGAAAAAGACGCCCCTGGC</t>
  </si>
  <si>
    <t xml:space="preserve">TGGCGTCTGGAGCAGGCCAA</t>
  </si>
  <si>
    <t xml:space="preserve">TAGTTGGCGTCTGGAGCAGGCCAA</t>
  </si>
  <si>
    <t xml:space="preserve">AAACTTGGCCTGCTCCAGACGCCA</t>
  </si>
  <si>
    <t xml:space="preserve">GTGGCGGCAAAGGCAGCCAG</t>
  </si>
  <si>
    <t xml:space="preserve">TAGTGTGGCGGCAAAGGCAGCCAG</t>
  </si>
  <si>
    <t xml:space="preserve">AAACCTGGCTGCCTTTGCCGCCAC</t>
  </si>
  <si>
    <t xml:space="preserve">ACCTACCAGGTCCAGCGGCG</t>
  </si>
  <si>
    <t xml:space="preserve">TAGTACCTACCAGGTCCAGCGGCG</t>
  </si>
  <si>
    <t xml:space="preserve">AAACCGCCGCTGGACCTGGTAGGT</t>
  </si>
  <si>
    <t xml:space="preserve">PSPPH_3291</t>
  </si>
  <si>
    <t xml:space="preserve">GCCATCCTGCAGGTTGCAGC</t>
  </si>
  <si>
    <t xml:space="preserve">TAGTGCCATCCTGCAGGTTGCAGC</t>
  </si>
  <si>
    <t xml:space="preserve">AAACGCTGCAACCTGCAGGATGGC</t>
  </si>
  <si>
    <t xml:space="preserve">CCGGTCATTCCAGCGCGACA</t>
  </si>
  <si>
    <t xml:space="preserve">TAGTCCGGTCATTCCAGCGCGACA</t>
  </si>
  <si>
    <t xml:space="preserve">AAACTGTCGCGCTGGAATGACCGG</t>
  </si>
  <si>
    <t xml:space="preserve">TTTCTGGCCGTTGAACAGCC</t>
  </si>
  <si>
    <t xml:space="preserve">TAGTTTTCTGGCCGTTGAACAGCC</t>
  </si>
  <si>
    <t xml:space="preserve">AAACGGCTGTTCAACGGCCAGAAA</t>
  </si>
  <si>
    <t xml:space="preserve">CTGCGCCTTGCTGTAGGTCG</t>
  </si>
  <si>
    <t xml:space="preserve">TAGTCTGCGCCTTGCTGTAGGTCG</t>
  </si>
  <si>
    <t xml:space="preserve">AAACCGACCTACAGCAAGGCGCAG</t>
  </si>
  <si>
    <t xml:space="preserve">PSPPH_3292</t>
  </si>
  <si>
    <t xml:space="preserve">CGGCCACGGGTGGATAGGGC</t>
  </si>
  <si>
    <t xml:space="preserve">TAGTCGGCCACGGGTGGATAGGGC</t>
  </si>
  <si>
    <t xml:space="preserve">AAACGCCCTATCCACCCGTGGCCG</t>
  </si>
  <si>
    <t xml:space="preserve">ACCCAATGCGTCAGGCGCAC</t>
  </si>
  <si>
    <t xml:space="preserve">TAGTACCCAATGCGTCAGGCGCAC</t>
  </si>
  <si>
    <t xml:space="preserve">AAACGTGCGCCTGACGCATTGGGT</t>
  </si>
  <si>
    <t xml:space="preserve">GGAAAGGTGAATGGCATCAG</t>
  </si>
  <si>
    <t xml:space="preserve">TAGTGGAAAGGTGAATGGCATCAG</t>
  </si>
  <si>
    <t xml:space="preserve">AAACCTGATGCCATTCACCTTTCC</t>
  </si>
  <si>
    <t xml:space="preserve">CCGCCGAGTGTCAGGAATTT</t>
  </si>
  <si>
    <t xml:space="preserve">TAGTCCGCCGAGTGTCAGGAATTT</t>
  </si>
  <si>
    <t xml:space="preserve">AAACAAATTCCTGACACTCGGCGG</t>
  </si>
  <si>
    <t xml:space="preserve">PSPPH_3293</t>
  </si>
  <si>
    <t xml:space="preserve">GTAGAGAGTGCAGTCTTCAT</t>
  </si>
  <si>
    <t xml:space="preserve">TAGTGTAGAGAGTGCAGTCTTCAT</t>
  </si>
  <si>
    <t xml:space="preserve">AAACATGAAGACTGCACTCTCTAC</t>
  </si>
  <si>
    <t xml:space="preserve">CAGCAGCGCTGAGCAACAGC</t>
  </si>
  <si>
    <t xml:space="preserve">TAGTCAGCAGCGCTGAGCAACAGC</t>
  </si>
  <si>
    <t xml:space="preserve">AAACGCTGTTGCTCAGCGCTGCTG</t>
  </si>
  <si>
    <t xml:space="preserve">CTGTCGACGGTCCCGCGCAT</t>
  </si>
  <si>
    <t xml:space="preserve">TAGTCTGTCGACGGTCCCGCGCAT</t>
  </si>
  <si>
    <t xml:space="preserve">AAACATGCGCGGGACCGTCGACAG</t>
  </si>
  <si>
    <t xml:space="preserve">GGTGGTGAAGTCAAGTGTGT</t>
  </si>
  <si>
    <t xml:space="preserve">TAGTGGTGGTGAAGTCAAGTGTGT</t>
  </si>
  <si>
    <t xml:space="preserve">AAACACACACTTGACTTCACCACC</t>
  </si>
  <si>
    <t xml:space="preserve">PSPPH_3294</t>
  </si>
  <si>
    <t xml:space="preserve">TGGTGTCGTCTTCAATCAGC</t>
  </si>
  <si>
    <t xml:space="preserve">TAGTTGGTGTCGTCTTCAATCAGC</t>
  </si>
  <si>
    <t xml:space="preserve">AAACGCTGATTGAAGACGACACCA</t>
  </si>
  <si>
    <t xml:space="preserve">CTTCAGGTATTCACCGGTTT</t>
  </si>
  <si>
    <t xml:space="preserve">TAGTCTTCAGGTATTCACCGGTTT</t>
  </si>
  <si>
    <t xml:space="preserve">AAACAAACCGGTGAATACCTGAAG</t>
  </si>
  <si>
    <t xml:space="preserve">CCTTGTAGCCGGATTCACCC</t>
  </si>
  <si>
    <t xml:space="preserve">TAGTCCTTGTAGCCGGATTCACCC</t>
  </si>
  <si>
    <t xml:space="preserve">AAACGGGTGAATCCGGCTACAAGG</t>
  </si>
  <si>
    <t xml:space="preserve">CAGGCCGTCGGCCCCGTGCT</t>
  </si>
  <si>
    <t xml:space="preserve">TAGTCAGGCCGTCGGCCCCGTGCT</t>
  </si>
  <si>
    <t xml:space="preserve">AAACAGCACGGGGCCGACGGCCTG</t>
  </si>
  <si>
    <t xml:space="preserve">PSPPH_3295</t>
  </si>
  <si>
    <t xml:space="preserve">GAAGGCGAGGGTAGAACGCA</t>
  </si>
  <si>
    <t xml:space="preserve">TAGTGAAGGCGAGGGTAGAACGCA</t>
  </si>
  <si>
    <t xml:space="preserve">AAACTGCGTTCTACCCTCGCCTTC</t>
  </si>
  <si>
    <t xml:space="preserve">TGACCGTTTCTTCTATGGAC</t>
  </si>
  <si>
    <t xml:space="preserve">TAGTTGACCGTTTCTTCTATGGAC</t>
  </si>
  <si>
    <t xml:space="preserve">AAACGTCCATAGAAGAAACGGTCA</t>
  </si>
  <si>
    <t xml:space="preserve">GGTCATAGCGCAACAGCTTG</t>
  </si>
  <si>
    <t xml:space="preserve">TAGTGGTCATAGCGCAACAGCTTG</t>
  </si>
  <si>
    <t xml:space="preserve">AAACCAAGCTGTTGCGCTATGACC</t>
  </si>
  <si>
    <t xml:space="preserve">CTTTGAGGTTGTCCATCGTC</t>
  </si>
  <si>
    <t xml:space="preserve">TAGTCTTTGAGGTTGTCCATCGTC</t>
  </si>
  <si>
    <t xml:space="preserve">AAACGACGATGGACAACCTCAAAG</t>
  </si>
  <si>
    <t xml:space="preserve">PSPPH_3296</t>
  </si>
  <si>
    <t xml:space="preserve">CCAGGTGGCAAGGTCGATCA</t>
  </si>
  <si>
    <t xml:space="preserve">TAGTCCAGGTGGCAAGGTCGATCA</t>
  </si>
  <si>
    <t xml:space="preserve">AAACTGATCGACCTTGCCACCTGG</t>
  </si>
  <si>
    <t xml:space="preserve">CGCGGGACTTCCGACAGGGA</t>
  </si>
  <si>
    <t xml:space="preserve">TAGTCGCGGGACTTCCGACAGGGA</t>
  </si>
  <si>
    <t xml:space="preserve">AAACTCCCTGTCGGAAGTCCCGCG</t>
  </si>
  <si>
    <t xml:space="preserve">CAACTTGGGGGTTTCGATGA</t>
  </si>
  <si>
    <t xml:space="preserve">TAGTCAACTTGGGGGTTTCGATGA</t>
  </si>
  <si>
    <t xml:space="preserve">AAACTCATCGAAACCCCCAAGTTG</t>
  </si>
  <si>
    <t xml:space="preserve">CCAGAAAAACAGCGTATCCC</t>
  </si>
  <si>
    <t xml:space="preserve">TAGTCCAGAAAAACAGCGTATCCC</t>
  </si>
  <si>
    <t xml:space="preserve">AAACGGGATACGCTGTTTTTCTGG</t>
  </si>
  <si>
    <t xml:space="preserve">PSPPH_3297</t>
  </si>
  <si>
    <t xml:space="preserve">TACTGACAGCGCGATGCAGT</t>
  </si>
  <si>
    <t xml:space="preserve">TAGTTACTGACAGCGCGATGCAGT</t>
  </si>
  <si>
    <t xml:space="preserve">AAACACTGCATCGCGCTGTCAGTA</t>
  </si>
  <si>
    <t xml:space="preserve">ATTGGCGAGAGGCGGCTACC</t>
  </si>
  <si>
    <t xml:space="preserve">TAGTATTGGCGAGAGGCGGCTACC</t>
  </si>
  <si>
    <t xml:space="preserve">AAACGGTAGCCGCCTCTCGCCAAT</t>
  </si>
  <si>
    <t xml:space="preserve">CATAGGTGACCAGTGTGTTC</t>
  </si>
  <si>
    <t xml:space="preserve">TAGTCATAGGTGACCAGTGTGTTC</t>
  </si>
  <si>
    <t xml:space="preserve">AAACGAACACACTGGTCACCTATG</t>
  </si>
  <si>
    <t xml:space="preserve">AGGCGCGCAATGGCCAGCAG</t>
  </si>
  <si>
    <t xml:space="preserve">TAGTAGGCGCGCAATGGCCAGCAG</t>
  </si>
  <si>
    <t xml:space="preserve">AAACCTGCTGGCCATTGCGCGCCT</t>
  </si>
  <si>
    <t xml:space="preserve">PSPPH_3298</t>
  </si>
  <si>
    <t xml:space="preserve">GTCGCGTGCCGGTGGGACGC</t>
  </si>
  <si>
    <t xml:space="preserve">TAGTGTCGCGTGCCGGTGGGACGC</t>
  </si>
  <si>
    <t xml:space="preserve">AAACGCGTCCCACCGGCACGCGAC</t>
  </si>
  <si>
    <t xml:space="preserve">CGCCAGCATCGACGCGCCGA</t>
  </si>
  <si>
    <t xml:space="preserve">TAGTCGCCAGCATCGACGCGCCGA</t>
  </si>
  <si>
    <t xml:space="preserve">AAACTCGGCGCGTCGATGCTGGCG</t>
  </si>
  <si>
    <t xml:space="preserve">GCCATGGCCCAATAGGGGCG</t>
  </si>
  <si>
    <t xml:space="preserve">TAGTGCCATGGCCCAATAGGGGCG</t>
  </si>
  <si>
    <t xml:space="preserve">AAACCGCCCCTATTGGGCCATGGC</t>
  </si>
  <si>
    <t xml:space="preserve">GCTGGAGACAATGTACACCG</t>
  </si>
  <si>
    <t xml:space="preserve">TAGTGCTGGAGACAATGTACACCG</t>
  </si>
  <si>
    <t xml:space="preserve">AAACCGGTGTACATTGTCTCCAGC</t>
  </si>
  <si>
    <t xml:space="preserve">PSPPH_3299</t>
  </si>
  <si>
    <t xml:space="preserve">CCATCATCGCCAGGAACGTG</t>
  </si>
  <si>
    <t xml:space="preserve">TAGTCCATCATCGCCAGGAACGTG</t>
  </si>
  <si>
    <t xml:space="preserve">AAACCACGTTCCTGGCGATGATGG</t>
  </si>
  <si>
    <t xml:space="preserve">CACGGCGAGAAACAGCAGAT</t>
  </si>
  <si>
    <t xml:space="preserve">TAGTCACGGCGAGAAACAGCAGAT</t>
  </si>
  <si>
    <t xml:space="preserve">AAACATCTGCTGTTTCTCGCCGTG</t>
  </si>
  <si>
    <t xml:space="preserve">CCAGACCAGACGGTAGAAGT</t>
  </si>
  <si>
    <t xml:space="preserve">TAGTCCAGACCAGACGGTAGAAGT</t>
  </si>
  <si>
    <t xml:space="preserve">AAACACTTCTACCGTCTGGTCTGG</t>
  </si>
  <si>
    <t xml:space="preserve">GACCTACGTTGAACAAAGCC</t>
  </si>
  <si>
    <t xml:space="preserve">TAGTGACCTACGTTGAACAAAGCC</t>
  </si>
  <si>
    <t xml:space="preserve">AAACGGCTTTGTTCAACGTAGGTC</t>
  </si>
  <si>
    <t xml:space="preserve">PSPPH_3300</t>
  </si>
  <si>
    <t xml:space="preserve">ACGCGGCCCAGTGTCAGTAT</t>
  </si>
  <si>
    <t xml:space="preserve">TAGTACGCGGCCCAGTGTCAGTAT</t>
  </si>
  <si>
    <t xml:space="preserve">AAACATACTGACACTGGGCCGCGT</t>
  </si>
  <si>
    <t xml:space="preserve">GAGTGACAACCAGCAGGGTC</t>
  </si>
  <si>
    <t xml:space="preserve">TAGTGAGTGACAACCAGCAGGGTC</t>
  </si>
  <si>
    <t xml:space="preserve">AAACGACCCTGCTGGTTGTCACTC</t>
  </si>
  <si>
    <t xml:space="preserve">CACCATGCGCCATACAACGA</t>
  </si>
  <si>
    <t xml:space="preserve">TAGTCACCATGCGCCATACAACGA</t>
  </si>
  <si>
    <t xml:space="preserve">AAACTCGTTGTATGGCGCATGGTG</t>
  </si>
  <si>
    <t xml:space="preserve">ATATGCCCATCGCGGGTCCA</t>
  </si>
  <si>
    <t xml:space="preserve">TAGTATATGCCCATCGCGGGTCCA</t>
  </si>
  <si>
    <t xml:space="preserve">AAACTGGACCCGCGATGGGCATAT</t>
  </si>
  <si>
    <t xml:space="preserve">PSPPH_3301</t>
  </si>
  <si>
    <t xml:space="preserve">ACCGAGTGCGGCCACGCGTA</t>
  </si>
  <si>
    <t xml:space="preserve">TAGTACCGAGTGCGGCCACGCGTA</t>
  </si>
  <si>
    <t xml:space="preserve">AAACTACGCGTGGCCGCACTCGGT</t>
  </si>
  <si>
    <t xml:space="preserve">TACCTGACAGGCCGACAACA</t>
  </si>
  <si>
    <t xml:space="preserve">TAGTTACCTGACAGGCCGACAACA</t>
  </si>
  <si>
    <t xml:space="preserve">AAACTGTTGTCGGCCTGTCAGGTA</t>
  </si>
  <si>
    <t xml:space="preserve">TCCTTGGGCGGTTGGTAATC</t>
  </si>
  <si>
    <t xml:space="preserve">TAGTTCCTTGGGCGGTTGGTAATC</t>
  </si>
  <si>
    <t xml:space="preserve">AAACGATTACCAACCGCCCAAGGA</t>
  </si>
  <si>
    <t xml:space="preserve">GCCAGTTCGCCCTGTAAATC</t>
  </si>
  <si>
    <t xml:space="preserve">TAGTGCCAGTTCGCCCTGTAAATC</t>
  </si>
  <si>
    <t xml:space="preserve">AAACGATTTACAGGGCGAACTGGC</t>
  </si>
  <si>
    <t xml:space="preserve">PSPPH_3302</t>
  </si>
  <si>
    <t xml:space="preserve">rimJ</t>
  </si>
  <si>
    <t xml:space="preserve">TGCGATTGGCCTTTTCGTAC</t>
  </si>
  <si>
    <t xml:space="preserve">TAGTTGCGATTGGCCTTTTCGTAC</t>
  </si>
  <si>
    <t xml:space="preserve">AAACGTACGAAAAGGCCAATCGCA</t>
  </si>
  <si>
    <t xml:space="preserve">TCGTCCCTGAACGGTTCCCA</t>
  </si>
  <si>
    <t xml:space="preserve">TAGTTCGTCCCTGAACGGTTCCCA</t>
  </si>
  <si>
    <t xml:space="preserve">AAACTGGGAACCGTTCAGGGACGA</t>
  </si>
  <si>
    <t xml:space="preserve">CTGCTGCTGAACCCTGGATC</t>
  </si>
  <si>
    <t xml:space="preserve">TAGTCTGCTGCTGAACCCTGGATC</t>
  </si>
  <si>
    <t xml:space="preserve">AAACGATCCAGGGTTCAGCAGCAG</t>
  </si>
  <si>
    <t xml:space="preserve">GAGGAAGAAAACCGCGCTGC</t>
  </si>
  <si>
    <t xml:space="preserve">TAGTGAGGAAGAAAACCGCGCTGC</t>
  </si>
  <si>
    <t xml:space="preserve">AAACGCAGCGCGGTTTTCTTCCTC</t>
  </si>
  <si>
    <t xml:space="preserve">PSPPH_3303</t>
  </si>
  <si>
    <t xml:space="preserve">GCGGCTGAGAGAGGTGTCCA</t>
  </si>
  <si>
    <t xml:space="preserve">TAGTGCGGCTGAGAGAGGTGTCCA</t>
  </si>
  <si>
    <t xml:space="preserve">AAACTGGACACCTCTCTCAGCCGC</t>
  </si>
  <si>
    <t xml:space="preserve">TAACGATATGCAATCGCTCG</t>
  </si>
  <si>
    <t xml:space="preserve">TAGTTAACGATATGCAATCGCTCG</t>
  </si>
  <si>
    <t xml:space="preserve">AAACCGAGCGATTGCATATCGTTA</t>
  </si>
  <si>
    <t xml:space="preserve">TTGTCAAACGTTCTGCCGGC</t>
  </si>
  <si>
    <t xml:space="preserve">TAGTTTGTCAAACGTTCTGCCGGC</t>
  </si>
  <si>
    <t xml:space="preserve">AAACGCCGGCAGAACGTTTGACAA</t>
  </si>
  <si>
    <t xml:space="preserve">TGTCAATGACCGTGACCAGC</t>
  </si>
  <si>
    <t xml:space="preserve">TAGTTGTCAATGACCGTGACCAGC</t>
  </si>
  <si>
    <t xml:space="preserve">AAACGCTGGTCACGGTCATTGACA</t>
  </si>
  <si>
    <t xml:space="preserve">PSPPH_3304</t>
  </si>
  <si>
    <t xml:space="preserve">GCCAGCGGCCAGTAGCGAGG</t>
  </si>
  <si>
    <t xml:space="preserve">TAGTGCCAGCGGCCAGTAGCGAGG</t>
  </si>
  <si>
    <t xml:space="preserve">AAACCCTCGCTACTGGCCGCTGGC</t>
  </si>
  <si>
    <t xml:space="preserve">GGGCAGCGCTGGCAAAGGCC</t>
  </si>
  <si>
    <t xml:space="preserve">TAGTGGGCAGCGCTGGCAAAGGCC</t>
  </si>
  <si>
    <t xml:space="preserve">AAACGGCCTTTGCCAGCGCTGCCC</t>
  </si>
  <si>
    <t xml:space="preserve">GAGCAGCGTCGGGGCTGCCT</t>
  </si>
  <si>
    <t xml:space="preserve">TAGTGAGCAGCGTCGGGGCTGCCT</t>
  </si>
  <si>
    <t xml:space="preserve">AAACAGGCAGCCCCGACGCTGCTC</t>
  </si>
  <si>
    <t xml:space="preserve">GAAATCACGCATCACGTCGT</t>
  </si>
  <si>
    <t xml:space="preserve">TAGTGAAATCACGCATCACGTCGT</t>
  </si>
  <si>
    <t xml:space="preserve">AAACACGACGTGATGCGTGATTTC</t>
  </si>
  <si>
    <t xml:space="preserve">PSPPH_3305</t>
  </si>
  <si>
    <t xml:space="preserve">ACAAGGTGATGCGTGCGGTA</t>
  </si>
  <si>
    <t xml:space="preserve">TAGTACAAGGTGATGCGTGCGGTA</t>
  </si>
  <si>
    <t xml:space="preserve">AAACTACCGCACGCATCACCTTGT</t>
  </si>
  <si>
    <t xml:space="preserve">GCTGGACAGCACAGGCACTC</t>
  </si>
  <si>
    <t xml:space="preserve">TAGTGCTGGACAGCACAGGCACTC</t>
  </si>
  <si>
    <t xml:space="preserve">AAACGAGTGCCTGTGCTGTCCAGC</t>
  </si>
  <si>
    <t xml:space="preserve">TCCTGGCTGTGAGGCGGTGC</t>
  </si>
  <si>
    <t xml:space="preserve">TAGTTCCTGGCTGTGAGGCGGTGC</t>
  </si>
  <si>
    <t xml:space="preserve">AAACGCACCGCCTCACAGCCAGGA</t>
  </si>
  <si>
    <t xml:space="preserve">CCGCCCGGCAGGTTAAGGAT</t>
  </si>
  <si>
    <t xml:space="preserve">TAGTCCGCCCGGCAGGTTAAGGAT</t>
  </si>
  <si>
    <t xml:space="preserve">AAACATCCTTAACCTGCCGGGCGG</t>
  </si>
  <si>
    <t xml:space="preserve">PSPPH_3306</t>
  </si>
  <si>
    <t xml:space="preserve">cycH</t>
  </si>
  <si>
    <t xml:space="preserve">CCCGGTCGCGATCCAGAAAT</t>
  </si>
  <si>
    <t xml:space="preserve">TAGTCCCGGTCGCGATCCAGAAAT</t>
  </si>
  <si>
    <t xml:space="preserve">AAACATTTCTGGATCGCGACCGGG</t>
  </si>
  <si>
    <t xml:space="preserve">CTTCTTCACGTTGCGCACGA</t>
  </si>
  <si>
    <t xml:space="preserve">TAGTCTTCTTCACGTTGCGCACGA</t>
  </si>
  <si>
    <t xml:space="preserve">AAACTCGTGCGCAACGTGAAGAAG</t>
  </si>
  <si>
    <t xml:space="preserve">CTGATACAACGCCACGTTCA</t>
  </si>
  <si>
    <t xml:space="preserve">TAGTCTGATACAACGCCACGTTCA</t>
  </si>
  <si>
    <t xml:space="preserve">AAACTGAACGTGGCGTTGTATCAG</t>
  </si>
  <si>
    <t xml:space="preserve">GAGCAGCTCGCGCGCAGCTT</t>
  </si>
  <si>
    <t xml:space="preserve">TAGTGAGCAGCTCGCGCGCAGCTT</t>
  </si>
  <si>
    <t xml:space="preserve">AAACAAGCTGCGCGCGAGCTGCTC</t>
  </si>
  <si>
    <t xml:space="preserve">PSPPH_3307</t>
  </si>
  <si>
    <t xml:space="preserve">cycL</t>
  </si>
  <si>
    <t xml:space="preserve">CGCTGAGCAGTACAATCATC</t>
  </si>
  <si>
    <t xml:space="preserve">TAGTCGCTGAGCAGTACAATCATC</t>
  </si>
  <si>
    <t xml:space="preserve">AAACGATGATTGTACTGCTCAGCG</t>
  </si>
  <si>
    <t xml:space="preserve">GTAGGCGTCGATGGCAGCGT</t>
  </si>
  <si>
    <t xml:space="preserve">TAGTGTAGGCGTCGATGGCAGCGT</t>
  </si>
  <si>
    <t xml:space="preserve">AAACACGCTGCCATCGACGCCTAC</t>
  </si>
  <si>
    <t xml:space="preserve">TTCGCTGTAGCGGGCACGCT</t>
  </si>
  <si>
    <t xml:space="preserve">TAGTTTCGCTGTAGCGGGCACGCT</t>
  </si>
  <si>
    <t xml:space="preserve">AAACAGCGTGCCCGCTACAGCGAA</t>
  </si>
  <si>
    <t xml:space="preserve">TTTGGGGCAGCGCAGTTCCT</t>
  </si>
  <si>
    <t xml:space="preserve">TAGTTTTGGGGCAGCGCAGTTCCT</t>
  </si>
  <si>
    <t xml:space="preserve">AAACAGGAACTGCGCTGCCCCAAA</t>
  </si>
  <si>
    <t xml:space="preserve">PSPPH_3308</t>
  </si>
  <si>
    <t xml:space="preserve">dsbE</t>
  </si>
  <si>
    <t xml:space="preserve">CGAGAAACAACGCCAGCGGC</t>
  </si>
  <si>
    <t xml:space="preserve">TAGTCGAGAAACAACGCCAGCGGC</t>
  </si>
  <si>
    <t xml:space="preserve">AAACGCCGCTGGCGTTGTTTCTCG</t>
  </si>
  <si>
    <t xml:space="preserve">CCAGATACAAACCGCGATAC</t>
  </si>
  <si>
    <t xml:space="preserve">TAGTCCAGATACAAACCGCGATAC</t>
  </si>
  <si>
    <t xml:space="preserve">AAACGTATCGCGGTTTGTATCTGG</t>
  </si>
  <si>
    <t xml:space="preserve">GCGCCGACGGCAGCTCGGCG</t>
  </si>
  <si>
    <t xml:space="preserve">TAGTGCGCCGACGGCAGCTCGGCG</t>
  </si>
  <si>
    <t xml:space="preserve">AAACCGCCGAGCTGCCGTCGGCGC</t>
  </si>
  <si>
    <t xml:space="preserve">GACAGCGAAAACTGCGGAAA</t>
  </si>
  <si>
    <t xml:space="preserve">TAGTGACAGCGAAAACTGCGGAAA</t>
  </si>
  <si>
    <t xml:space="preserve">AAACTTTCCGCAGTTTTCGCTGTC</t>
  </si>
  <si>
    <t xml:space="preserve">PSPPH_3309</t>
  </si>
  <si>
    <t xml:space="preserve">ccmF</t>
  </si>
  <si>
    <t xml:space="preserve">ATCGCCAGATGGCCGAGTTC</t>
  </si>
  <si>
    <t xml:space="preserve">TAGTATCGCCAGATGGCCGAGTTC</t>
  </si>
  <si>
    <t xml:space="preserve">AAACGAACTCGGCCATCTGGCGAT</t>
  </si>
  <si>
    <t xml:space="preserve">TGCACCGATCAGCGGAATAA</t>
  </si>
  <si>
    <t xml:space="preserve">TAGTTGCACCGATCAGCGGAATAA</t>
  </si>
  <si>
    <t xml:space="preserve">AAACTTATTCCGCTGATCGGTGCA</t>
  </si>
  <si>
    <t xml:space="preserve">GCGCCAGGCTCATCCACAGG</t>
  </si>
  <si>
    <t xml:space="preserve">TAGTGCGCCAGGCTCATCCACAGG</t>
  </si>
  <si>
    <t xml:space="preserve">AAACCCTGTGGATGAGCCTGGCGC</t>
  </si>
  <si>
    <t xml:space="preserve">CTGAACTGGCCCCACGCCGC</t>
  </si>
  <si>
    <t xml:space="preserve">TAGTCTGAACTGGCCCCACGCCGC</t>
  </si>
  <si>
    <t xml:space="preserve">AAACGCGGCGTGGGGCCAGTTCAG</t>
  </si>
  <si>
    <t xml:space="preserve">PSPPH_3310</t>
  </si>
  <si>
    <t xml:space="preserve">ccmE</t>
  </si>
  <si>
    <t xml:space="preserve">ACAGACGTTTTTTGCGCAAC</t>
  </si>
  <si>
    <t xml:space="preserve">TAGTACAGACGTTTTTTGCGCAAC</t>
  </si>
  <si>
    <t xml:space="preserve">AAACGTTGCGCAAAAAACGTCTGT</t>
  </si>
  <si>
    <t xml:space="preserve">CCCGACGCCAGCCAGCAGGG</t>
  </si>
  <si>
    <t xml:space="preserve">TAGTCCCGACGCCAGCCAGCAGGG</t>
  </si>
  <si>
    <t xml:space="preserve">AAACCCCTGCTGGCTGGCGTCGGG</t>
  </si>
  <si>
    <t xml:space="preserve">CGCACCGAGCGCCAGGGTCA</t>
  </si>
  <si>
    <t xml:space="preserve">TAGTCGCACCGAGCGCCAGGGTCA</t>
  </si>
  <si>
    <t xml:space="preserve">AAACTGACCCTGGCGCTCGGTGCG</t>
  </si>
  <si>
    <t xml:space="preserve">TCGCCGTTGGCGATCTGGCT</t>
  </si>
  <si>
    <t xml:space="preserve">TAGTTCGCCGTTGGCGATCTGGCT</t>
  </si>
  <si>
    <t xml:space="preserve">AAACAGCCAGATCGCCAACGGCGA</t>
  </si>
  <si>
    <t xml:space="preserve">PSPPH_3311</t>
  </si>
  <si>
    <t xml:space="preserve">ccmD</t>
  </si>
  <si>
    <t xml:space="preserve">AAACAGCCCGTGGCGGCCCA</t>
  </si>
  <si>
    <t xml:space="preserve">TAGTAAACAGCCCGTGGCGGCCCA</t>
  </si>
  <si>
    <t xml:space="preserve">AAACTGGGCCGCCACGGGCTGTTT</t>
  </si>
  <si>
    <t xml:space="preserve">CACCAACAGGCACAGACCGT</t>
  </si>
  <si>
    <t xml:space="preserve">TAGTCACCAACAGGCACAGACCGT</t>
  </si>
  <si>
    <t xml:space="preserve">AAACACGGTCTGTGCCTGTTGGTG</t>
  </si>
  <si>
    <t xml:space="preserve">AACCGCTGGCGCGCCACCAG</t>
  </si>
  <si>
    <t xml:space="preserve">TAGTAACCGCTGGCGCGCCACCAG</t>
  </si>
  <si>
    <t xml:space="preserve">AAACCTGGTGGCGCGCCAGCGGTT</t>
  </si>
  <si>
    <t xml:space="preserve">GGCGACGCGCCTGTTGTTTC</t>
  </si>
  <si>
    <t xml:space="preserve">TAGTGGCGACGCGCCTGTTGTTTC</t>
  </si>
  <si>
    <t xml:space="preserve">AAACGAAACAACAGGCGCGTCGCC</t>
  </si>
  <si>
    <t xml:space="preserve">PSPPH_3312</t>
  </si>
  <si>
    <t xml:space="preserve">ccmC</t>
  </si>
  <si>
    <t xml:space="preserve">CCAACCGATGCTGCTTTTCA</t>
  </si>
  <si>
    <t xml:space="preserve">TAGTCCAACCGATGCTGCTTTTCA</t>
  </si>
  <si>
    <t xml:space="preserve">AAACTGAAAAGCAGCATCGGTTGG</t>
  </si>
  <si>
    <t xml:space="preserve">TGAGCCGAGTGTGTGCAGCC</t>
  </si>
  <si>
    <t xml:space="preserve">TAGTTGAGCCGAGTGTGTGCAGCC</t>
  </si>
  <si>
    <t xml:space="preserve">AAACGGCTGCACACACTCGGCTCA</t>
  </si>
  <si>
    <t xml:space="preserve">CTGACGCGGTAAAACCCTTT</t>
  </si>
  <si>
    <t xml:space="preserve">TAGTCTGACGCGGTAAAACCCTTT</t>
  </si>
  <si>
    <t xml:space="preserve">AAACAAAGGGTTTTACCGCGTCAG</t>
  </si>
  <si>
    <t xml:space="preserve">GCAGCGGACACACTCAGCCA</t>
  </si>
  <si>
    <t xml:space="preserve">TAGTGCAGCGGACACACTCAGCCA</t>
  </si>
  <si>
    <t xml:space="preserve">AAACTGGCTGAGTGTGTCCGCTGC</t>
  </si>
  <si>
    <t xml:space="preserve">PSPPH_3313</t>
  </si>
  <si>
    <t xml:space="preserve">ccmB</t>
  </si>
  <si>
    <t xml:space="preserve">AAACTCACGGGCGATCAGCA</t>
  </si>
  <si>
    <t xml:space="preserve">TAGTAAACTCACGGGCGATCAGCA</t>
  </si>
  <si>
    <t xml:space="preserve">AAACTGCTGATCGCCCGTGAGTTT</t>
  </si>
  <si>
    <t xml:space="preserve">CTGCCGGACGCCTGGCCAGC</t>
  </si>
  <si>
    <t xml:space="preserve">TAGTCTGCCGGACGCCTGGCCAGC</t>
  </si>
  <si>
    <t xml:space="preserve">AAACGCTGGCCAGGCGTCCGGCAG</t>
  </si>
  <si>
    <t xml:space="preserve">CGCAAAGAACACCAGCGGGT</t>
  </si>
  <si>
    <t xml:space="preserve">TAGTCGCAAAGAACACCAGCGGGT</t>
  </si>
  <si>
    <t xml:space="preserve">AAACACCCGCTGGTGTTCTTTGCG</t>
  </si>
  <si>
    <t xml:space="preserve">CCCCAGTGCCAGCGGGAACA</t>
  </si>
  <si>
    <t xml:space="preserve">TAGTCCCCAGTGCCAGCGGGAACA</t>
  </si>
  <si>
    <t xml:space="preserve">AAACTGTTCCCGCTGGCACTGGGG</t>
  </si>
  <si>
    <t xml:space="preserve">PSPPH_3314</t>
  </si>
  <si>
    <t xml:space="preserve">ccmA</t>
  </si>
  <si>
    <t xml:space="preserve">TCATCGGGCGTTTCCAGTGC</t>
  </si>
  <si>
    <t xml:space="preserve">TAGTTCATCGGGCGTTTCCAGTGC</t>
  </si>
  <si>
    <t xml:space="preserve">AAACGCACTGGAAACGCCCGATGA</t>
  </si>
  <si>
    <t xml:space="preserve">CTTGCAAAAATGGGGGGGCT</t>
  </si>
  <si>
    <t xml:space="preserve">TAGTCTTGCAAAAATGGGGGGGCT</t>
  </si>
  <si>
    <t xml:space="preserve">AAACAGCCCCCCCATTTTTGCAAG</t>
  </si>
  <si>
    <t xml:space="preserve">GCCCGCACAACAGGCGCAGC</t>
  </si>
  <si>
    <t xml:space="preserve">TAGTGCCCGCACAACAGGCGCAGC</t>
  </si>
  <si>
    <t xml:space="preserve">AAACGCTGCGCCTGTTGTGCGGGC</t>
  </si>
  <si>
    <t xml:space="preserve">AGCAGCACGTGCCCGGCCGT</t>
  </si>
  <si>
    <t xml:space="preserve">TAGTAGCAGCACGTGCCCGGCCGT</t>
  </si>
  <si>
    <t xml:space="preserve">AAACACGGCCGGGCACGTGCTGCT</t>
  </si>
  <si>
    <t xml:space="preserve">PSPPH_3315</t>
  </si>
  <si>
    <t xml:space="preserve">AGGGATTGTCGCCGGGACGC</t>
  </si>
  <si>
    <t xml:space="preserve">TAGTAGGGATTGTCGCCGGGACGC</t>
  </si>
  <si>
    <t xml:space="preserve">AAACGCGTCCCGGCGACAATCCCT</t>
  </si>
  <si>
    <t xml:space="preserve">GCGCGCAGCAGTGTTGTGGT</t>
  </si>
  <si>
    <t xml:space="preserve">TAGTGCGCGCAGCAGTGTTGTGGT</t>
  </si>
  <si>
    <t xml:space="preserve">AAACACCACAACACTGCTGCGCGC</t>
  </si>
  <si>
    <t xml:space="preserve">CACCTGCGCAGGGGAGATGC</t>
  </si>
  <si>
    <t xml:space="preserve">TAGTCACCTGCGCAGGGGAGATGC</t>
  </si>
  <si>
    <t xml:space="preserve">AAACGCATCTCCCCTGCGCAGGTG</t>
  </si>
  <si>
    <t xml:space="preserve">ATTATCCGCCGATTGCAGCA</t>
  </si>
  <si>
    <t xml:space="preserve">TAGTATTATCCGCCGATTGCAGCA</t>
  </si>
  <si>
    <t xml:space="preserve">AAACTGCTGCAATCGGCGGATAAT</t>
  </si>
  <si>
    <t xml:space="preserve">PSPPH_3316</t>
  </si>
  <si>
    <t xml:space="preserve">GCGCGGGACATGGTCGGGTA</t>
  </si>
  <si>
    <t xml:space="preserve">TAGTGCGCGGGACATGGTCGGGTA</t>
  </si>
  <si>
    <t xml:space="preserve">AAACTACCCGACCATGTCCCGCGC</t>
  </si>
  <si>
    <t xml:space="preserve">CGTAGCTCAGGGCAATAGCC</t>
  </si>
  <si>
    <t xml:space="preserve">TAGTCGTAGCTCAGGGCAATAGCC</t>
  </si>
  <si>
    <t xml:space="preserve">AAACGGCTATTGCCCTGAGCTACG</t>
  </si>
  <si>
    <t xml:space="preserve">CGCTGAGCGTCGGGGCCTGT</t>
  </si>
  <si>
    <t xml:space="preserve">TAGTCGCTGAGCGTCGGGGCCTGT</t>
  </si>
  <si>
    <t xml:space="preserve">AAACACAGGCCCCGACGCTCAGCG</t>
  </si>
  <si>
    <t xml:space="preserve">GGCAATGGCCAGAATGGCCT</t>
  </si>
  <si>
    <t xml:space="preserve">TAGTGGCAATGGCCAGAATGGCCT</t>
  </si>
  <si>
    <t xml:space="preserve">AAACAGGCCATTCTGGCCATTGCC</t>
  </si>
  <si>
    <t xml:space="preserve">PSPPH_3317</t>
  </si>
  <si>
    <t xml:space="preserve">TAATTGAGTTCTGCCGGCAC</t>
  </si>
  <si>
    <t xml:space="preserve">TAGTTAATTGAGTTCTGCCGGCAC</t>
  </si>
  <si>
    <t xml:space="preserve">AAACGTGCCGGCAGAACTCAATTA</t>
  </si>
  <si>
    <t xml:space="preserve">CATGGATATCAGGCCATCCT</t>
  </si>
  <si>
    <t xml:space="preserve">TAGTCATGGATATCAGGCCATCCT</t>
  </si>
  <si>
    <t xml:space="preserve">AAACAGGATGGCCTGATATCCATG</t>
  </si>
  <si>
    <t xml:space="preserve">ACTTCAGGTCTCTGCGCACC</t>
  </si>
  <si>
    <t xml:space="preserve">TAGTACTTCAGGTCTCTGCGCACC</t>
  </si>
  <si>
    <t xml:space="preserve">AAACGGTGCGCAGAGACCTGAAGT</t>
  </si>
  <si>
    <t xml:space="preserve">CGGTAATGCGATCCGCCGGC</t>
  </si>
  <si>
    <t xml:space="preserve">TAGTCGGTAATGCGATCCGCCGGC</t>
  </si>
  <si>
    <t xml:space="preserve">AAACGCCGGCGGATCGCATTACCG</t>
  </si>
  <si>
    <t xml:space="preserve">PSPPH_3318</t>
  </si>
  <si>
    <t xml:space="preserve">recR</t>
  </si>
  <si>
    <t xml:space="preserve">AATCAGGGGGCTGAAGCTCA</t>
  </si>
  <si>
    <t xml:space="preserve">TAGTAATCAGGGGGCTGAAGCTCA</t>
  </si>
  <si>
    <t xml:space="preserve">AAACTGAGCTTCAGCCCCCTGATT</t>
  </si>
  <si>
    <t xml:space="preserve">CGCGGAAGGCATCGATCAAC</t>
  </si>
  <si>
    <t xml:space="preserve">TAGTCGCGGAAGGCATCGATCAAC</t>
  </si>
  <si>
    <t xml:space="preserve">AAACGTTGATCGATGCCTTCCGCG</t>
  </si>
  <si>
    <t xml:space="preserve">GCGGTTTTCTGACCGACGCC</t>
  </si>
  <si>
    <t xml:space="preserve">TAGTGCGGTTTTCTGACCGACGCC</t>
  </si>
  <si>
    <t xml:space="preserve">AAACGGCGTCGGTCAGAAAACCGC</t>
  </si>
  <si>
    <t xml:space="preserve">CCAGCCGTGAGCCGCCGCTG</t>
  </si>
  <si>
    <t xml:space="preserve">TAGTCCAGCCGTGAGCCGCCGCTG</t>
  </si>
  <si>
    <t xml:space="preserve">AAACCAGCGGCGGCTCACGGCTGG</t>
  </si>
  <si>
    <t xml:space="preserve">PSPPH_3320</t>
  </si>
  <si>
    <t xml:space="preserve">AGAAGACAAGAGGGCAGACA</t>
  </si>
  <si>
    <t xml:space="preserve">TAGTAGAAGACAAGAGGGCAGACA</t>
  </si>
  <si>
    <t xml:space="preserve">AAACTGTCTGCCCTCTTGTCTTCT</t>
  </si>
  <si>
    <t xml:space="preserve">GGCACATCAAGCAACGCGAC</t>
  </si>
  <si>
    <t xml:space="preserve">TAGTGGCACATCAAGCAACGCGAC</t>
  </si>
  <si>
    <t xml:space="preserve">AAACGTCGCGTTGCTTGATGTGCC</t>
  </si>
  <si>
    <t xml:space="preserve">TGGATATTGCGCTGCATACG</t>
  </si>
  <si>
    <t xml:space="preserve">TAGTTGGATATTGCGCTGCATACG</t>
  </si>
  <si>
    <t xml:space="preserve">AAACCGTATGCAGCGCAATATCCA</t>
  </si>
  <si>
    <t xml:space="preserve">TTATGCGGTGTTGCATGCGC</t>
  </si>
  <si>
    <t xml:space="preserve">TAGTTTATGCGGTGTTGCATGCGC</t>
  </si>
  <si>
    <t xml:space="preserve">AAACGCGCATGCAACACCGCATAA</t>
  </si>
  <si>
    <t xml:space="preserve">PSPPH_3321</t>
  </si>
  <si>
    <t xml:space="preserve">CCGCCCGGCGCGGCGGCCAG</t>
  </si>
  <si>
    <t xml:space="preserve">TAGTCCGCCCGGCGCGGCGGCCAG</t>
  </si>
  <si>
    <t xml:space="preserve">AAACCTGGCCGCCGCGCCGGGCGG</t>
  </si>
  <si>
    <t xml:space="preserve">GCCTTCATGCAACACTGCCT</t>
  </si>
  <si>
    <t xml:space="preserve">TAGTGCCTTCATGCAACACTGCCT</t>
  </si>
  <si>
    <t xml:space="preserve">AAACAGGCAGTGTTGCATGAAGGC</t>
  </si>
  <si>
    <t xml:space="preserve">AGCGCGCACCGGCAGTTGCC</t>
  </si>
  <si>
    <t xml:space="preserve">TAGTAGCGCGCACCGGCAGTTGCC</t>
  </si>
  <si>
    <t xml:space="preserve">AAACGGCAACTGCCGGTGCGCGCT</t>
  </si>
  <si>
    <t xml:space="preserve">CGAATGGCTCGTCGACGCTG</t>
  </si>
  <si>
    <t xml:space="preserve">TAGTCGAATGGCTCGTCGACGCTG</t>
  </si>
  <si>
    <t xml:space="preserve">AAACCAGCGTCGACGAGCCATTCG</t>
  </si>
  <si>
    <t xml:space="preserve">PSPPH_3322</t>
  </si>
  <si>
    <t xml:space="preserve">CAGAACGTCGCTTTTTTGCG</t>
  </si>
  <si>
    <t xml:space="preserve">TAGTCAGAACGTCGCTTTTTTGCG</t>
  </si>
  <si>
    <t xml:space="preserve">AAACCGCAAAAAAGCGACGTTCTG</t>
  </si>
  <si>
    <t xml:space="preserve">CCGAGCGCCCGTGCTGGCGC</t>
  </si>
  <si>
    <t xml:space="preserve">TAGTCCGAGCGCCCGTGCTGGCGC</t>
  </si>
  <si>
    <t xml:space="preserve">AAACGCGCCAGCACGGGCGCTCGG</t>
  </si>
  <si>
    <t xml:space="preserve">GGCCGAGAAAGCGGCCCTGG</t>
  </si>
  <si>
    <t xml:space="preserve">TAGTGGCCGAGAAAGCGGCCCTGG</t>
  </si>
  <si>
    <t xml:space="preserve">AAACCCAGGGCCGCTTTCTCGGCC</t>
  </si>
  <si>
    <t xml:space="preserve">AGCGATTGGAGAGTTCCAGC</t>
  </si>
  <si>
    <t xml:space="preserve">TAGTAGCGATTGGAGAGTTCCAGC</t>
  </si>
  <si>
    <t xml:space="preserve">AAACGCTGGAACTCTCCAATCGCT</t>
  </si>
  <si>
    <t xml:space="preserve">PSPPH_3323</t>
  </si>
  <si>
    <t xml:space="preserve">GGTATCTGGGGTCGCGTGCA</t>
  </si>
  <si>
    <t xml:space="preserve">TAGTGGTATCTGGGGTCGCGTGCA</t>
  </si>
  <si>
    <t xml:space="preserve">AAACTGCACGCGACCCCAGATACC</t>
  </si>
  <si>
    <t xml:space="preserve">CACCGGGCGATATCGATAGA</t>
  </si>
  <si>
    <t xml:space="preserve">TAGTCACCGGGCGATATCGATAGA</t>
  </si>
  <si>
    <t xml:space="preserve">AAACTCTATCGATATCGCCCGGTG</t>
  </si>
  <si>
    <t xml:space="preserve">ACCGAGAGGGCATGGGCCGC</t>
  </si>
  <si>
    <t xml:space="preserve">TAGTACCGAGAGGGCATGGGCCGC</t>
  </si>
  <si>
    <t xml:space="preserve">AAACGCGGCCCATGCCCTCTCGGT</t>
  </si>
  <si>
    <t xml:space="preserve">CTTGGCGGTGCGGCCATTTG</t>
  </si>
  <si>
    <t xml:space="preserve">TAGTCTTGGCGGTGCGGCCATTTG</t>
  </si>
  <si>
    <t xml:space="preserve">AAACCAAATGGCCGCACCGCCAAG</t>
  </si>
  <si>
    <t xml:space="preserve">PSPPH_3324</t>
  </si>
  <si>
    <t xml:space="preserve">ATGGCTGTTCAAGGACTGTG</t>
  </si>
  <si>
    <t xml:space="preserve">TAGTATGGCTGTTCAAGGACTGTG</t>
  </si>
  <si>
    <t xml:space="preserve">AAACCACAGTCCTTGAACAGCCAT</t>
  </si>
  <si>
    <t xml:space="preserve">TAGAATTTCTGCGCGGTGTC</t>
  </si>
  <si>
    <t xml:space="preserve">TAGTTAGAATTTCTGCGCGGTGTC</t>
  </si>
  <si>
    <t xml:space="preserve">AAACGACACCGCGCAGAAATTCTA</t>
  </si>
  <si>
    <t xml:space="preserve">GCAATGCTGGCCGGGTTGAG</t>
  </si>
  <si>
    <t xml:space="preserve">TAGTGCAATGCTGGCCGGGTTGAG</t>
  </si>
  <si>
    <t xml:space="preserve">AAACCTCAACCCGGCCAGCATTGC</t>
  </si>
  <si>
    <t xml:space="preserve">GCCACCACTTCTTCGGTCGC</t>
  </si>
  <si>
    <t xml:space="preserve">TAGTGCCACCACTTCTTCGGTCGC</t>
  </si>
  <si>
    <t xml:space="preserve">AAACGCGACCGAAGAAGTGGTGGC</t>
  </si>
  <si>
    <t xml:space="preserve">PSPPH_3325</t>
  </si>
  <si>
    <t xml:space="preserve">TGCATAAACAGTGTATTCAT</t>
  </si>
  <si>
    <t xml:space="preserve">TAGTTGCATAAACAGTGTATTCAT</t>
  </si>
  <si>
    <t xml:space="preserve">AAACATGAATACACTGTTTATGCA</t>
  </si>
  <si>
    <t xml:space="preserve">CAGACTTCACCTTCAAAACC</t>
  </si>
  <si>
    <t xml:space="preserve">TAGTCAGACTTCACCTTCAAAACC</t>
  </si>
  <si>
    <t xml:space="preserve">AAACGGTTTTGAAGGTGAAGTCTG</t>
  </si>
  <si>
    <t xml:space="preserve">GTCCAGGCACGCAGCGTGAT</t>
  </si>
  <si>
    <t xml:space="preserve">TAGTGTCCAGGCACGCAGCGTGAT</t>
  </si>
  <si>
    <t xml:space="preserve">AAACATCACGCTGCGTGCCTGGAC</t>
  </si>
  <si>
    <t xml:space="preserve">GGCTGTATCGGGGCGTGCCT</t>
  </si>
  <si>
    <t xml:space="preserve">TAGTGGCTGTATCGGGGCGTGCCT</t>
  </si>
  <si>
    <t xml:space="preserve">AAACAGGCACGCCCCGATACAGCC</t>
  </si>
  <si>
    <t xml:space="preserve">PSPPH_3326</t>
  </si>
  <si>
    <t xml:space="preserve">acnA</t>
  </si>
  <si>
    <t xml:space="preserve">CTCTTCAGGCTATCGAGGGA</t>
  </si>
  <si>
    <t xml:space="preserve">TAGTCTCTTCAGGCTATCGAGGGA</t>
  </si>
  <si>
    <t xml:space="preserve">AAACTCCCTCGATAGCCTGAAGAG</t>
  </si>
  <si>
    <t xml:space="preserve">TGTCGATTTCGAGCGTTTTC</t>
  </si>
  <si>
    <t xml:space="preserve">TAGTTGTCGATTTCGAGCGTTTTC</t>
  </si>
  <si>
    <t xml:space="preserve">AAACGAAAACGCTCGAAATCGACA</t>
  </si>
  <si>
    <t xml:space="preserve">CGGCAGGCTGAAATAATGGT</t>
  </si>
  <si>
    <t xml:space="preserve">TAGTCGGCAGGCTGAAATAATGGT</t>
  </si>
  <si>
    <t xml:space="preserve">AAACACCATTATTTCAGCCTGCCG</t>
  </si>
  <si>
    <t xml:space="preserve">CCAAGGGAGCGGGCAGCTTC</t>
  </si>
  <si>
    <t xml:space="preserve">TAGTCCAAGGGAGCGGGCAGCTTC</t>
  </si>
  <si>
    <t xml:space="preserve">AAACGAAGCTGCCCGCTCCCTTGG</t>
  </si>
  <si>
    <t xml:space="preserve">PSPPH_3327</t>
  </si>
  <si>
    <t xml:space="preserve">AGAAGGGGCAAGGCTGCCAT</t>
  </si>
  <si>
    <t xml:space="preserve">TAGTAGAAGGGGCAAGGCTGCCAT</t>
  </si>
  <si>
    <t xml:space="preserve">AAACATGGCAGCCTTGCCCCTTCT</t>
  </si>
  <si>
    <t xml:space="preserve">GAGCAACGGGCCGAAACTTG</t>
  </si>
  <si>
    <t xml:space="preserve">TAGTGAGCAACGGGCCGAAACTTG</t>
  </si>
  <si>
    <t xml:space="preserve">AAACCAAGTTTCGGCCCGTTGCTC</t>
  </si>
  <si>
    <t xml:space="preserve">GGGCAACGCTACGCATAACC</t>
  </si>
  <si>
    <t xml:space="preserve">TAGTGGGCAACGCTACGCATAACC</t>
  </si>
  <si>
    <t xml:space="preserve">AAACGGTTATGCGTAGCGTTGCCC</t>
  </si>
  <si>
    <t xml:space="preserve">AGGCGGATGTATTGATGGGA</t>
  </si>
  <si>
    <t xml:space="preserve">TAGTAGGCGGATGTATTGATGGGA</t>
  </si>
  <si>
    <t xml:space="preserve">AAACTCCCATCAATACATCCGCCT</t>
  </si>
  <si>
    <t xml:space="preserve">PSPPH_3328</t>
  </si>
  <si>
    <t xml:space="preserve">aer2</t>
  </si>
  <si>
    <t xml:space="preserve">ATGGGCTGGTTGTTGCGCAT</t>
  </si>
  <si>
    <t xml:space="preserve">TAGTATGGGCTGGTTGTTGCGCAT</t>
  </si>
  <si>
    <t xml:space="preserve">AAACATGCGCAACAACCAGCCCAT</t>
  </si>
  <si>
    <t xml:space="preserve">GAGATCAGTCGCTGCTCGGC</t>
  </si>
  <si>
    <t xml:space="preserve">TAGTGAGATCAGTCGCTGCTCGGC</t>
  </si>
  <si>
    <t xml:space="preserve">AAACGCCGAGCAGCGACTGATCTC</t>
  </si>
  <si>
    <t xml:space="preserve">CGTACCGCGGGTGTCGGTGG</t>
  </si>
  <si>
    <t xml:space="preserve">TAGTCGTACCGCGGGTGTCGGTGG</t>
  </si>
  <si>
    <t xml:space="preserve">AAACCCACCGACACCCGCGGTACG</t>
  </si>
  <si>
    <t xml:space="preserve">GTAACCACTGATGTCGACGA</t>
  </si>
  <si>
    <t xml:space="preserve">TAGTGTAACCACTGATGTCGACGA</t>
  </si>
  <si>
    <t xml:space="preserve">AAACTCGTCGACATCAGTGGTTAC</t>
  </si>
  <si>
    <t xml:space="preserve">PSPPH_3331</t>
  </si>
  <si>
    <t xml:space="preserve">GGTGCGCGCCACTACATCCG</t>
  </si>
  <si>
    <t xml:space="preserve">TAGTGGTGCGCGCCACTACATCCG</t>
  </si>
  <si>
    <t xml:space="preserve">AAACCGGATGTAGTGGCGCGCACC</t>
  </si>
  <si>
    <t xml:space="preserve">GGGGTTGTTTTTTTCTTTTT</t>
  </si>
  <si>
    <t xml:space="preserve">TAGTGGGGTTGTTTTTTTCTTTTT</t>
  </si>
  <si>
    <t xml:space="preserve">AAACAAAAAGAAAAAAACAACCCC</t>
  </si>
  <si>
    <t xml:space="preserve">TGAACAGCACTCGCGCTTTT</t>
  </si>
  <si>
    <t xml:space="preserve">TAGTTGAACAGCACTCGCGCTTTT</t>
  </si>
  <si>
    <t xml:space="preserve">AAACAAAAGCGCGAGTGCTGTTCA</t>
  </si>
  <si>
    <t xml:space="preserve">GTAGAGGCTCTCGTGGGGTG</t>
  </si>
  <si>
    <t xml:space="preserve">TAGTGTAGAGGCTCTCGTGGGGTG</t>
  </si>
  <si>
    <t xml:space="preserve">AAACCACCCCACGAGAGCCTCTAC</t>
  </si>
  <si>
    <t xml:space="preserve">PSPPH_3332</t>
  </si>
  <si>
    <t xml:space="preserve">TAGAGCACCAAAGGCAATCA</t>
  </si>
  <si>
    <t xml:space="preserve">TAGTTAGAGCACCAAAGGCAATCA</t>
  </si>
  <si>
    <t xml:space="preserve">AAACTGATTGCCTTTGGTGCTCTA</t>
  </si>
  <si>
    <t xml:space="preserve">CTCTTCATCCGGCCACAATC</t>
  </si>
  <si>
    <t xml:space="preserve">TAGTCTCTTCATCCGGCCACAATC</t>
  </si>
  <si>
    <t xml:space="preserve">AAACGATTGTGGCCGGATGAAGAG</t>
  </si>
  <si>
    <t xml:space="preserve">GCCCGTCTAACGGTTTCATC</t>
  </si>
  <si>
    <t xml:space="preserve">TAGTGCCCGTCTAACGGTTTCATC</t>
  </si>
  <si>
    <t xml:space="preserve">AAACGATGAAACCGTTAGACGGGC</t>
  </si>
  <si>
    <t xml:space="preserve">AGGACCTACGGTAATGATTT</t>
  </si>
  <si>
    <t xml:space="preserve">TAGTAGGACCTACGGTAATGATTT</t>
  </si>
  <si>
    <t xml:space="preserve">AAACAAATCATTACCGTAGGTCCT</t>
  </si>
  <si>
    <t xml:space="preserve">PSPPH_3333</t>
  </si>
  <si>
    <t xml:space="preserve">CGGAAACTGAAACAGGTGTT</t>
  </si>
  <si>
    <t xml:space="preserve">TAGTCGGAAACTGAAACAGGTGTT</t>
  </si>
  <si>
    <t xml:space="preserve">AAACAACACCTGTTTCAGTTTCCG</t>
  </si>
  <si>
    <t xml:space="preserve">CAAGTTTCGATGCCTGTTTC</t>
  </si>
  <si>
    <t xml:space="preserve">TAGTCAAGTTTCGATGCCTGTTTC</t>
  </si>
  <si>
    <t xml:space="preserve">AAACGAAACAGGCATCGAAACTTG</t>
  </si>
  <si>
    <t xml:space="preserve">TGAAATGCGACTGCAATATC</t>
  </si>
  <si>
    <t xml:space="preserve">TAGTTGAAATGCGACTGCAATATC</t>
  </si>
  <si>
    <t xml:space="preserve">AAACGATATTGCAGTCGCATTTCA</t>
  </si>
  <si>
    <t xml:space="preserve">TCAGCGACCGGTATGAGCCC</t>
  </si>
  <si>
    <t xml:space="preserve">TAGTTCAGCGACCGGTATGAGCCC</t>
  </si>
  <si>
    <t xml:space="preserve">AAACGGGCTCATACCGGTCGCTGA</t>
  </si>
  <si>
    <t xml:space="preserve">PSPPH_3334</t>
  </si>
  <si>
    <t xml:space="preserve">TCAGTCGCAAGGTTATACAT</t>
  </si>
  <si>
    <t xml:space="preserve">TAGTTCAGTCGCAAGGTTATACAT</t>
  </si>
  <si>
    <t xml:space="preserve">AAACATGTATAACCTTGCGACTGA</t>
  </si>
  <si>
    <t xml:space="preserve">GATGACTGGCGCAGTCAGCA</t>
  </si>
  <si>
    <t xml:space="preserve">TAGTGATGACTGGCGCAGTCAGCA</t>
  </si>
  <si>
    <t xml:space="preserve">AAACTGCTGACTGCGCCAGTCATC</t>
  </si>
  <si>
    <t xml:space="preserve">TAATAGCCCATCGTTCAAGG</t>
  </si>
  <si>
    <t xml:space="preserve">TAGTTAATAGCCCATCGTTCAAGG</t>
  </si>
  <si>
    <t xml:space="preserve">AAACCCTTGAACGATGGGCTATTA</t>
  </si>
  <si>
    <t xml:space="preserve">GGCGTGTTCAAACTGTCGAT</t>
  </si>
  <si>
    <t xml:space="preserve">TAGTGGCGTGTTCAAACTGTCGAT</t>
  </si>
  <si>
    <t xml:space="preserve">AAACATCGACAGTTTGAACACGCC</t>
  </si>
  <si>
    <t xml:space="preserve">PSPPH_3335</t>
  </si>
  <si>
    <t xml:space="preserve">TGGGGATGTGGTGTGGTGCA</t>
  </si>
  <si>
    <t xml:space="preserve">TAGTTGGGGATGTGGTGTGGTGCA</t>
  </si>
  <si>
    <t xml:space="preserve">AAACTGCACCACACCACATCCCCA</t>
  </si>
  <si>
    <t xml:space="preserve">GCACGAACAAAGCGTTTGGC</t>
  </si>
  <si>
    <t xml:space="preserve">TAGTGCACGAACAAAGCGTTTGGC</t>
  </si>
  <si>
    <t xml:space="preserve">AAACGCCAAACGCTTTGTTCGTGC</t>
  </si>
  <si>
    <t xml:space="preserve">AAAGCTGCCTTCACACGACG</t>
  </si>
  <si>
    <t xml:space="preserve">TAGTAAAGCTGCCTTCACACGACG</t>
  </si>
  <si>
    <t xml:space="preserve">AAACCGTCGTGTGAAGGCAGCTTT</t>
  </si>
  <si>
    <t xml:space="preserve">GAACGGTCGCTTATTGACGC</t>
  </si>
  <si>
    <t xml:space="preserve">TAGTGAACGGTCGCTTATTGACGC</t>
  </si>
  <si>
    <t xml:space="preserve">AAACGCGTCAATAAGCGACCGTTC</t>
  </si>
  <si>
    <t xml:space="preserve">PSPPH_3336</t>
  </si>
  <si>
    <t xml:space="preserve">CCAAACCTGACACCGCCGGG</t>
  </si>
  <si>
    <t xml:space="preserve">TAGTCCAAACCTGACACCGCCGGG</t>
  </si>
  <si>
    <t xml:space="preserve">AAACCCCGGCGGTGTCAGGTTTGG</t>
  </si>
  <si>
    <t xml:space="preserve">TGCACAAGGTAAAAGTACCA</t>
  </si>
  <si>
    <t xml:space="preserve">TAGTTGCACAAGGTAAAAGTACCA</t>
  </si>
  <si>
    <t xml:space="preserve">AAACTGGTACTTTTACCTTGTGCA</t>
  </si>
  <si>
    <t xml:space="preserve">TCCGCCCGGTTAATCTGCCA</t>
  </si>
  <si>
    <t xml:space="preserve">TAGTTCCGCCCGGTTAATCTGCCA</t>
  </si>
  <si>
    <t xml:space="preserve">AAACTGGCAGATTAACCGGGCGGA</t>
  </si>
  <si>
    <t xml:space="preserve">CTGCCGGACAGCCACCATTC</t>
  </si>
  <si>
    <t xml:space="preserve">TAGTCTGCCGGACAGCCACCATTC</t>
  </si>
  <si>
    <t xml:space="preserve">AAACGAATGGTGGCTGTCCGGCAG</t>
  </si>
  <si>
    <t xml:space="preserve">PSPPH_3337</t>
  </si>
  <si>
    <t xml:space="preserve">ccoN</t>
  </si>
  <si>
    <t xml:space="preserve">GTAGTTGTAGGTCGTCGGAC</t>
  </si>
  <si>
    <t xml:space="preserve">TAGTGTAGTTGTAGGTCGTCGGAC</t>
  </si>
  <si>
    <t xml:space="preserve">AAACGTCCGACGACCTACAACTAC</t>
  </si>
  <si>
    <t xml:space="preserve">CCACGGTCATGATGGCAAAC</t>
  </si>
  <si>
    <t xml:space="preserve">TAGTCCACGGTCATGATGGCAAAC</t>
  </si>
  <si>
    <t xml:space="preserve">AAACGTTTGCCATCATGACCGTGG</t>
  </si>
  <si>
    <t xml:space="preserve">GCGAAGCGATGAACACGCCC</t>
  </si>
  <si>
    <t xml:space="preserve">TAGTGCGAAGCGATGAACACGCCC</t>
  </si>
  <si>
    <t xml:space="preserve">AAACGGGCGTGTTCATCGCTTCGC</t>
  </si>
  <si>
    <t xml:space="preserve">TCAAGTTCCAGGTTCAGTCC</t>
  </si>
  <si>
    <t xml:space="preserve">TAGTTCAAGTTCCAGGTTCAGTCC</t>
  </si>
  <si>
    <t xml:space="preserve">AAACGGACTGAACCTGGAACTTGA</t>
  </si>
  <si>
    <t xml:space="preserve">PSPPH_3338</t>
  </si>
  <si>
    <t xml:space="preserve">ccoO</t>
  </si>
  <si>
    <t xml:space="preserve">TAACCATAAAGAACGCCAGC</t>
  </si>
  <si>
    <t xml:space="preserve">TAGTTAACCATAAAGAACGCCAGC</t>
  </si>
  <si>
    <t xml:space="preserve">AAACGCTGGCGTTCTTTATGGTTA</t>
  </si>
  <si>
    <t xml:space="preserve">CGTCAGCCCGCCGATGCTCA</t>
  </si>
  <si>
    <t xml:space="preserve">TAGTCGTCAGCCCGCCGATGCTCA</t>
  </si>
  <si>
    <t xml:space="preserve">AAACTGAGCATCGGCGGGCTGACG</t>
  </si>
  <si>
    <t xml:space="preserve">TCACATCCTGAAAAAACAGC</t>
  </si>
  <si>
    <t xml:space="preserve">TAGTTCACATCCTGAAAAAACAGC</t>
  </si>
  <si>
    <t xml:space="preserve">AAACGCTGTTTTTTCAGGATGTGA</t>
  </si>
  <si>
    <t xml:space="preserve">CATGCCTTCGATCGGTTGAT</t>
  </si>
  <si>
    <t xml:space="preserve">TAGTCATGCCTTCGATCGGTTGAT</t>
  </si>
  <si>
    <t xml:space="preserve">AAACATCAACCGATCGAAGGCATG</t>
  </si>
  <si>
    <t xml:space="preserve">PSPPH_3339</t>
  </si>
  <si>
    <t xml:space="preserve">ccoQ</t>
  </si>
  <si>
    <t xml:space="preserve">CCATCACGACCAGTGTGCCA</t>
  </si>
  <si>
    <t xml:space="preserve">TAGTCCATCACGACCAGTGTGCCA</t>
  </si>
  <si>
    <t xml:space="preserve">AAACTGGCACACTGGTCGTGATGG</t>
  </si>
  <si>
    <t xml:space="preserve">GGCTGAACACCCACAGCATC</t>
  </si>
  <si>
    <t xml:space="preserve">TAGTGGCTGAACACCCACAGCATC</t>
  </si>
  <si>
    <t xml:space="preserve">AAACGATGCTGTGGGTGTTCAGCC</t>
  </si>
  <si>
    <t xml:space="preserve">CGAAGTGCGCCTTGCGGGCA</t>
  </si>
  <si>
    <t xml:space="preserve">TAGTCGAAGTGCGCCTTGCGGGCA</t>
  </si>
  <si>
    <t xml:space="preserve">AAACTGCCCGCAAGGCGCACTTCG</t>
  </si>
  <si>
    <t xml:space="preserve">GTCATCCGCGAAAGGCAACA</t>
  </si>
  <si>
    <t xml:space="preserve">TAGTGTCATCCGCGAAAGGCAACA</t>
  </si>
  <si>
    <t xml:space="preserve">AAACTGTTGCCTTTCGCGGATGAC</t>
  </si>
  <si>
    <t xml:space="preserve">PSPPH_3340</t>
  </si>
  <si>
    <t xml:space="preserve">ccoP</t>
  </si>
  <si>
    <t xml:space="preserve">GCGTCAGGACCGCGACGTAC</t>
  </si>
  <si>
    <t xml:space="preserve">TAGTGCGTCAGGACCGCGACGTAC</t>
  </si>
  <si>
    <t xml:space="preserve">AAACGTACGTCGCGGTCCTGACGC</t>
  </si>
  <si>
    <t xml:space="preserve">GTCGGGCTGACCTTTGCGCG</t>
  </si>
  <si>
    <t xml:space="preserve">TAGTGTCGGGCTGACCTTTGCGCG</t>
  </si>
  <si>
    <t xml:space="preserve">AAACCGCGCAAAGGTCAGCCCGAC</t>
  </si>
  <si>
    <t xml:space="preserve">TGGCCGACGGTCTCATCTGT</t>
  </si>
  <si>
    <t xml:space="preserve">TAGTTGGCCGACGGTCTCATCTGT</t>
  </si>
  <si>
    <t xml:space="preserve">AAACACAGATGAGACCGTCGGCCA</t>
  </si>
  <si>
    <t xml:space="preserve">CCTCAATGCCGTCGAACGCA</t>
  </si>
  <si>
    <t xml:space="preserve">TAGTCCTCAATGCCGTCGAACGCA</t>
  </si>
  <si>
    <t xml:space="preserve">AAACTGCGTTCGACGGCATTGAGG</t>
  </si>
  <si>
    <t xml:space="preserve">PSPPH_3341</t>
  </si>
  <si>
    <t xml:space="preserve">TACCGCCCATCCGGCCTGCA</t>
  </si>
  <si>
    <t xml:space="preserve">TAGTTACCGCCCATCCGGCCTGCA</t>
  </si>
  <si>
    <t xml:space="preserve">AAACTGCAGGCCGGATGGGCGGTA</t>
  </si>
  <si>
    <t xml:space="preserve">GCTTCCTGAATACTTTTTGG</t>
  </si>
  <si>
    <t xml:space="preserve">TAGTGCTTCCTGAATACTTTTTGG</t>
  </si>
  <si>
    <t xml:space="preserve">AAACCCAAAAAGTATTCAGGAAGC</t>
  </si>
  <si>
    <t xml:space="preserve">TAAAACCAGTTTGTATACGA</t>
  </si>
  <si>
    <t xml:space="preserve">TAGTTAAAACCAGTTTGTATACGA</t>
  </si>
  <si>
    <t xml:space="preserve">AAACTCGTATACAAACTGGTTTTA</t>
  </si>
  <si>
    <t xml:space="preserve">TCCAGCCAGCCATTCTCAAC</t>
  </si>
  <si>
    <t xml:space="preserve">TAGTTCCAGCCAGCCATTCTCAAC</t>
  </si>
  <si>
    <t xml:space="preserve">AAACGTTGAGAATGGCTGGCTGGA</t>
  </si>
  <si>
    <t xml:space="preserve">PSPPH_3342</t>
  </si>
  <si>
    <t xml:space="preserve">AGATGTAACTACAATGCGTG</t>
  </si>
  <si>
    <t xml:space="preserve">TAGTAGATGTAACTACAATGCGTG</t>
  </si>
  <si>
    <t xml:space="preserve">AAACCACGCATTGTAGTTACATCT</t>
  </si>
  <si>
    <t xml:space="preserve">ATGAAAGCGACCTCCGGAAT</t>
  </si>
  <si>
    <t xml:space="preserve">TAGTATGAAAGCGACCTCCGGAAT</t>
  </si>
  <si>
    <t xml:space="preserve">AAACATTCCGGAGGTCGCTTTCAT</t>
  </si>
  <si>
    <t xml:space="preserve">GTTGAATTCGCGGCTTGAGA</t>
  </si>
  <si>
    <t xml:space="preserve">TAGTGTTGAATTCGCGGCTTGAGA</t>
  </si>
  <si>
    <t xml:space="preserve">AAACTCTCAAGCCGCGAATTCAAC</t>
  </si>
  <si>
    <t xml:space="preserve">TCTTGGCCCCGCTGGTGTCT</t>
  </si>
  <si>
    <t xml:space="preserve">TAGTTCTTGGCCCCGCTGGTGTCT</t>
  </si>
  <si>
    <t xml:space="preserve">AAACAGACACCAGCGGGGCCAAGA</t>
  </si>
  <si>
    <t xml:space="preserve">PSPPH_3343</t>
  </si>
  <si>
    <t xml:space="preserve">ACACCACGTCGGTGTCGAGC</t>
  </si>
  <si>
    <t xml:space="preserve">TAGTACACCACGTCGGTGTCGAGC</t>
  </si>
  <si>
    <t xml:space="preserve">AAACGCTCGACACCGACGTGGTGT</t>
  </si>
  <si>
    <t xml:space="preserve">GGCGTTGCGTTTTCTGAGTT</t>
  </si>
  <si>
    <t xml:space="preserve">TAGTGGCGTTGCGTTTTCTGAGTT</t>
  </si>
  <si>
    <t xml:space="preserve">AAACAACTCAGAAAACGCAACGCC</t>
  </si>
  <si>
    <t xml:space="preserve">CCAACGGAGCACGTGCGCAT</t>
  </si>
  <si>
    <t xml:space="preserve">TAGTCCAACGGAGCACGTGCGCAT</t>
  </si>
  <si>
    <t xml:space="preserve">AAACATGCGCACGTGCTCCGTTGG</t>
  </si>
  <si>
    <t xml:space="preserve">GAACAGGCTGGACGCCATCT</t>
  </si>
  <si>
    <t xml:space="preserve">TAGTGAACAGGCTGGACGCCATCT</t>
  </si>
  <si>
    <t xml:space="preserve">AAACAGATGGCGTCCAGCCTGTTC</t>
  </si>
  <si>
    <t xml:space="preserve">PSPPH_3344</t>
  </si>
  <si>
    <t xml:space="preserve">TGATGTCGTGTACTGGAATC</t>
  </si>
  <si>
    <t xml:space="preserve">TAGTTGATGTCGTGTACTGGAATC</t>
  </si>
  <si>
    <t xml:space="preserve">AAACGATTCCAGTACACGACATCA</t>
  </si>
  <si>
    <t xml:space="preserve">TCGCCGCTTTTTTCGGATGG</t>
  </si>
  <si>
    <t xml:space="preserve">TAGTTCGCCGCTTTTTTCGGATGG</t>
  </si>
  <si>
    <t xml:space="preserve">AAACCCATCCGAAAAAAGCGGCGA</t>
  </si>
  <si>
    <t xml:space="preserve">TTTTTGCGCGCGAGGCATAG</t>
  </si>
  <si>
    <t xml:space="preserve">TAGTTTTTTGCGCGCGAGGCATAG</t>
  </si>
  <si>
    <t xml:space="preserve">AAACCTATGCCTCGCGCGCAAAAA</t>
  </si>
  <si>
    <t xml:space="preserve">GACCTTTGAACGCGCGGGTG</t>
  </si>
  <si>
    <t xml:space="preserve">TAGTGACCTTTGAACGCGCGGGTG</t>
  </si>
  <si>
    <t xml:space="preserve">AAACCACCCGCGCGTTCAAAGGTC</t>
  </si>
  <si>
    <t xml:space="preserve">PSPPH_3345</t>
  </si>
  <si>
    <t xml:space="preserve">GGGCTTGCAGCAGTCGCAAC</t>
  </si>
  <si>
    <t xml:space="preserve">TAGTGGGCTTGCAGCAGTCGCAAC</t>
  </si>
  <si>
    <t xml:space="preserve">AAACGTTGCGACTGCTGCAAGCCC</t>
  </si>
  <si>
    <t xml:space="preserve">GCCAGAGGTGCCTGTACCAA</t>
  </si>
  <si>
    <t xml:space="preserve">TAGTGCCAGAGGTGCCTGTACCAA</t>
  </si>
  <si>
    <t xml:space="preserve">AAACTTGGTACAGGCACCTCTGGC</t>
  </si>
  <si>
    <t xml:space="preserve">AGAATGGCGATGATGATCCA</t>
  </si>
  <si>
    <t xml:space="preserve">TAGTAGAATGGCGATGATGATCCA</t>
  </si>
  <si>
    <t xml:space="preserve">AAACTGGATCATCATCGCCATTCT</t>
  </si>
  <si>
    <t xml:space="preserve">CAGGCTCAACGTCACCGAGC</t>
  </si>
  <si>
    <t xml:space="preserve">TAGTCAGGCTCAACGTCACCGAGC</t>
  </si>
  <si>
    <t xml:space="preserve">AAACGCTCGGTGACGTTGAGCCTG</t>
  </si>
  <si>
    <t xml:space="preserve">PSPPH_3346</t>
  </si>
  <si>
    <t xml:space="preserve">CAGCGCATTGGAGTGGCGGG</t>
  </si>
  <si>
    <t xml:space="preserve">TAGTCAGCGCATTGGAGTGGCGGG</t>
  </si>
  <si>
    <t xml:space="preserve">AAACCCCGCCACTCCAATGCGCTG</t>
  </si>
  <si>
    <t xml:space="preserve">CCGGCACGGGCAGGTCGCAG</t>
  </si>
  <si>
    <t xml:space="preserve">TAGTCCGGCACGGGCAGGTCGCAG</t>
  </si>
  <si>
    <t xml:space="preserve">AAACCTGCGACCTGCCCGTGCCGG</t>
  </si>
  <si>
    <t xml:space="preserve">AACCGCCGTGAAACGGCCGC</t>
  </si>
  <si>
    <t xml:space="preserve">TAGTAACCGCCGTGAAACGGCCGC</t>
  </si>
  <si>
    <t xml:space="preserve">AAACGCGGCCGTTTCACGGCGGTT</t>
  </si>
  <si>
    <t xml:space="preserve">CCGGGGCAGCACAGCTCCCG</t>
  </si>
  <si>
    <t xml:space="preserve">TAGTCCGGGGCAGCACAGCTCCCG</t>
  </si>
  <si>
    <t xml:space="preserve">AAACCGGGAGCTGTGCTGCCCCGG</t>
  </si>
  <si>
    <t xml:space="preserve">PSPPH_3347</t>
  </si>
  <si>
    <t xml:space="preserve">ccoS</t>
  </si>
  <si>
    <t xml:space="preserve">CCACCAGCAGCAGCGCAGCA</t>
  </si>
  <si>
    <t xml:space="preserve">TAGTCCACCAGCAGCAGCGCAGCA</t>
  </si>
  <si>
    <t xml:space="preserve">AAACTGCTGCGCTGCTGCTGGTGG</t>
  </si>
  <si>
    <t xml:space="preserve">GGCCTTCCATATCGTCGTAC</t>
  </si>
  <si>
    <t xml:space="preserve">TAGTGGCCTTCCATATCGTCGTAC</t>
  </si>
  <si>
    <t xml:space="preserve">AAACGTACGACGATATGGAAGGCC</t>
  </si>
  <si>
    <t xml:space="preserve">CGAACAATATGCTGTGCGCC</t>
  </si>
  <si>
    <t xml:space="preserve">TAGTCGAACAATATGCTGTGCGCC</t>
  </si>
  <si>
    <t xml:space="preserve">AAACGGCGCACAGCATATTGTTCG</t>
  </si>
  <si>
    <t xml:space="preserve">CGGGCATGATCCACTGACGG</t>
  </si>
  <si>
    <t xml:space="preserve">TAGTCGGGCATGATCCACTGACGG</t>
  </si>
  <si>
    <t xml:space="preserve">AAACCCGTCAGTGGATCATGCCCG</t>
  </si>
  <si>
    <t xml:space="preserve">PSPPH_3348</t>
  </si>
  <si>
    <t xml:space="preserve">CGCCACACATCCCCAGGCAA</t>
  </si>
  <si>
    <t xml:space="preserve">TAGTCGCCACACATCCCCAGGCAA</t>
  </si>
  <si>
    <t xml:space="preserve">AAACTTGCCTGGGGATGTGTGGCG</t>
  </si>
  <si>
    <t xml:space="preserve">CCAGTGTCAGCGCTCCCATG</t>
  </si>
  <si>
    <t xml:space="preserve">TAGTCCAGTGTCAGCGCTCCCATG</t>
  </si>
  <si>
    <t xml:space="preserve">AAACCATGGGAGCGCTGACACTGG</t>
  </si>
  <si>
    <t xml:space="preserve">GCTGCGCTGTTCCTTGGGAA</t>
  </si>
  <si>
    <t xml:space="preserve">TAGTGCTGCGCTGTTCCTTGGGAA</t>
  </si>
  <si>
    <t xml:space="preserve">AAACTTCCCAAGGAACAGCGCAGC</t>
  </si>
  <si>
    <t xml:space="preserve">CCAGCAGCAGCCGGAATCGA</t>
  </si>
  <si>
    <t xml:space="preserve">TAGTCCAGCAGCAGCCGGAATCGA</t>
  </si>
  <si>
    <t xml:space="preserve">AAACTCGATTCCGGCTGCTGCTGG</t>
  </si>
  <si>
    <t xml:space="preserve">PSPPH_3349</t>
  </si>
  <si>
    <t xml:space="preserve">hemN</t>
  </si>
  <si>
    <t xml:space="preserve">CAGGTCTGAATCCCAACGAA</t>
  </si>
  <si>
    <t xml:space="preserve">TAGTCAGGTCTGAATCCCAACGAA</t>
  </si>
  <si>
    <t xml:space="preserve">AAACTTCGTTGGGATTCAGACCTG</t>
  </si>
  <si>
    <t xml:space="preserve">GTCCTGCCACATCATAGCGA</t>
  </si>
  <si>
    <t xml:space="preserve">TAGTGTCCTGCCACATCATAGCGA</t>
  </si>
  <si>
    <t xml:space="preserve">AAACTCGCTATGATGTGGCAGGAC</t>
  </si>
  <si>
    <t xml:space="preserve">GTCGGATAGGACGTATAGCG</t>
  </si>
  <si>
    <t xml:space="preserve">TAGTGTCGGATAGGACGTATAGCG</t>
  </si>
  <si>
    <t xml:space="preserve">AAACCGCTATACGTCCTATCCGAC</t>
  </si>
  <si>
    <t xml:space="preserve">TTTCCCGCAGAGCATGCAAC</t>
  </si>
  <si>
    <t xml:space="preserve">TAGTTTTCCCGCAGAGCATGCAAC</t>
  </si>
  <si>
    <t xml:space="preserve">AAACGTTGCATGCTCTGCGGGAAA</t>
  </si>
  <si>
    <t xml:space="preserve">PSPPH_3350</t>
  </si>
  <si>
    <t xml:space="preserve">ATCGTAATACTGTTGATCAA</t>
  </si>
  <si>
    <t xml:space="preserve">TAGTATCGTAATACTGTTGATCAA</t>
  </si>
  <si>
    <t xml:space="preserve">AAACTTGATCAACAGTATTACGAT</t>
  </si>
  <si>
    <t xml:space="preserve">GCTGCTGTACGTAATCTGCG</t>
  </si>
  <si>
    <t xml:space="preserve">TAGTGCTGCTGTACGTAATCTGCG</t>
  </si>
  <si>
    <t xml:space="preserve">AAACCGCAGATTACGTACAGCAGC</t>
  </si>
  <si>
    <t xml:space="preserve">CGTCTCGACGCTGCTTTCGC</t>
  </si>
  <si>
    <t xml:space="preserve">TAGTCGTCTCGACGCTGCTTTCGC</t>
  </si>
  <si>
    <t xml:space="preserve">AAACGCGAAAGCAGCGTCGAGACG</t>
  </si>
  <si>
    <t xml:space="preserve">ACGCCCTTTGCCTCACCGGC</t>
  </si>
  <si>
    <t xml:space="preserve">TAGTACGCCCTTTGCCTCACCGGC</t>
  </si>
  <si>
    <t xml:space="preserve">AAACGCCGGTGAGGCAAAGGGCGT</t>
  </si>
  <si>
    <t xml:space="preserve">PSPPH_3351</t>
  </si>
  <si>
    <t xml:space="preserve">anr</t>
  </si>
  <si>
    <t xml:space="preserve">AGCGCGCAACTTTACTGGCT</t>
  </si>
  <si>
    <t xml:space="preserve">TAGTAGCGCGCAACTTTACTGGCT</t>
  </si>
  <si>
    <t xml:space="preserve">AAACAGCCAGTAAAGTTGCGCGCT</t>
  </si>
  <si>
    <t xml:space="preserve">AACGAGAGGGGCAGGCAGAG</t>
  </si>
  <si>
    <t xml:space="preserve">TAGTAACGAGAGGGGCAGGCAGAG</t>
  </si>
  <si>
    <t xml:space="preserve">AAACCTCTGCCTGCCCCTCTCGTT</t>
  </si>
  <si>
    <t xml:space="preserve">GACGGCCCCGTTTGACGATC</t>
  </si>
  <si>
    <t xml:space="preserve">TAGTGACGGCCCCGTTTGACGATC</t>
  </si>
  <si>
    <t xml:space="preserve">AAACGATCGTCAAACGGGGCCGTC</t>
  </si>
  <si>
    <t xml:space="preserve">AGAAACTCGCCTTTTTTCAG</t>
  </si>
  <si>
    <t xml:space="preserve">TAGTAGAAACTCGCCTTTTTTCAG</t>
  </si>
  <si>
    <t xml:space="preserve">AAACCTGAAAAAAGGCGAGTTTCT</t>
  </si>
  <si>
    <t xml:space="preserve">PSPPH_3352</t>
  </si>
  <si>
    <t xml:space="preserve">apt</t>
  </si>
  <si>
    <t xml:space="preserve">GTCTATGACCGGGCGTATCA</t>
  </si>
  <si>
    <t xml:space="preserve">TAGTGTCTATGACCGGGCGTATCA</t>
  </si>
  <si>
    <t xml:space="preserve">AAACTGATACGCCCGGTCATAGAC</t>
  </si>
  <si>
    <t xml:space="preserve">CGAAAGACCACGCCCGGCTT</t>
  </si>
  <si>
    <t xml:space="preserve">TAGTCGAAAGACCACGCCCGGCTT</t>
  </si>
  <si>
    <t xml:space="preserve">AAACAAGCCGGGCGTGGTCTTTCG</t>
  </si>
  <si>
    <t xml:space="preserve">CTTGGGCGACTGAAAGAGGG</t>
  </si>
  <si>
    <t xml:space="preserve">TAGTCTTGGGCGACTGAAAGAGGG</t>
  </si>
  <si>
    <t xml:space="preserve">AAACCCCTCTTTCAGTCGCCCAAG</t>
  </si>
  <si>
    <t xml:space="preserve">GAAGCTGTCGATTACCTGAC</t>
  </si>
  <si>
    <t xml:space="preserve">TAGTGAAGCTGTCGATTACCTGAC</t>
  </si>
  <si>
    <t xml:space="preserve">AAACGTCAGGTAATCGACAGCTTC</t>
  </si>
  <si>
    <t xml:space="preserve">PSPPH_3353</t>
  </si>
  <si>
    <t xml:space="preserve">TGACTACCCAGAGAATGCCC</t>
  </si>
  <si>
    <t xml:space="preserve">TAGTTGACTACCCAGAGAATGCCC</t>
  </si>
  <si>
    <t xml:space="preserve">AAACGGGCATTCTCTGGGTAGTCA</t>
  </si>
  <si>
    <t xml:space="preserve">ATGGGCCAGGAACATAAACA</t>
  </si>
  <si>
    <t xml:space="preserve">TAGTATGGGCCAGGAACATAAACA</t>
  </si>
  <si>
    <t xml:space="preserve">AAACTGTTTATGTTCCTGGCCCAT</t>
  </si>
  <si>
    <t xml:space="preserve">ATCGAGCTTGCGCTGACGCC</t>
  </si>
  <si>
    <t xml:space="preserve">TAGTATCGAGCTTGCGCTGACGCC</t>
  </si>
  <si>
    <t xml:space="preserve">AAACGGCGTCAGCGCAAGCTCGAT</t>
  </si>
  <si>
    <t xml:space="preserve">GGCAGCCGCCTCATCACGCT</t>
  </si>
  <si>
    <t xml:space="preserve">TAGTGGCAGCCGCCTCATCACGCT</t>
  </si>
  <si>
    <t xml:space="preserve">AAACAGCGTGATGAGGCGGCTGCC</t>
  </si>
  <si>
    <t xml:space="preserve">PSPPH_3354</t>
  </si>
  <si>
    <t xml:space="preserve">cheW2</t>
  </si>
  <si>
    <t xml:space="preserve">CCATTGCAGGATAGGATCTT</t>
  </si>
  <si>
    <t xml:space="preserve">TAGTCCATTGCAGGATAGGATCTT</t>
  </si>
  <si>
    <t xml:space="preserve">AAACAAGATCCTATCCTGCAATGG</t>
  </si>
  <si>
    <t xml:space="preserve">CATAGGACTCGTTGTCCAGG</t>
  </si>
  <si>
    <t xml:space="preserve">TAGTCATAGGACTCGTTGTCCAGG</t>
  </si>
  <si>
    <t xml:space="preserve">AAACCCTGGACAACGAGTCCTATG</t>
  </si>
  <si>
    <t xml:space="preserve">GCTTGGCGCACCCGGGACCG</t>
  </si>
  <si>
    <t xml:space="preserve">TAGTGCTTGGCGCACCCGGGACCG</t>
  </si>
  <si>
    <t xml:space="preserve">AAACCGGTCCCGGGTGCGCCAAGC</t>
  </si>
  <si>
    <t xml:space="preserve">CGGTGACCACGTTACCGCGC</t>
  </si>
  <si>
    <t xml:space="preserve">TAGTCGGTGACCACGTTACCGCGC</t>
  </si>
  <si>
    <t xml:space="preserve">AAACGCGCGGTAACGTGGTCACCG</t>
  </si>
  <si>
    <t xml:space="preserve">PSPPH_3355</t>
  </si>
  <si>
    <t xml:space="preserve">GTGTTGCTACTTCTACAGGG</t>
  </si>
  <si>
    <t xml:space="preserve">TAGTGTGTTGCTACTTCTACAGGG</t>
  </si>
  <si>
    <t xml:space="preserve">AAACCCCTGTAGAAGTAGCAACAC</t>
  </si>
  <si>
    <t xml:space="preserve">TAGGACTGCAACGCCAGCTT</t>
  </si>
  <si>
    <t xml:space="preserve">TAGTTAGGACTGCAACGCCAGCTT</t>
  </si>
  <si>
    <t xml:space="preserve">AAACAAGCTGGCGTTGCAGTCCTA</t>
  </si>
  <si>
    <t xml:space="preserve">AATTCATCGATGCTGCTGAC</t>
  </si>
  <si>
    <t xml:space="preserve">TAGTAATTCATCGATGCTGCTGAC</t>
  </si>
  <si>
    <t xml:space="preserve">AAACGTCAGCAGCATCGATGAATT</t>
  </si>
  <si>
    <t xml:space="preserve">CGCTTGCATCCGCGCATCAA</t>
  </si>
  <si>
    <t xml:space="preserve">TAGTCGCTTGCATCCGCGCATCAA</t>
  </si>
  <si>
    <t xml:space="preserve">AAACTTGATGCGCGGATGCAAGCG</t>
  </si>
  <si>
    <t xml:space="preserve">PSPPH_3356</t>
  </si>
  <si>
    <t xml:space="preserve">GGCCAGGGCGATGGTCGTGG</t>
  </si>
  <si>
    <t xml:space="preserve">TAGTGGCCAGGGCGATGGTCGTGG</t>
  </si>
  <si>
    <t xml:space="preserve">AAACCCACGACCATCGCCCTGGCC</t>
  </si>
  <si>
    <t xml:space="preserve">GCTTGCCCGCATCGGCCAGC</t>
  </si>
  <si>
    <t xml:space="preserve">TAGTGCTTGCCCGCATCGGCCAGC</t>
  </si>
  <si>
    <t xml:space="preserve">AAACGCTGGCCGATGCGGGCAAGC</t>
  </si>
  <si>
    <t xml:space="preserve">AGCTGGTCATGGAGCCGTGG</t>
  </si>
  <si>
    <t xml:space="preserve">TAGTAGCTGGTCATGGAGCCGTGG</t>
  </si>
  <si>
    <t xml:space="preserve">AAACCCACGGCTCCATGACCAGCT</t>
  </si>
  <si>
    <t xml:space="preserve">CACTGTGTTCCAGTTCGTCC</t>
  </si>
  <si>
    <t xml:space="preserve">TAGTCACTGTGTTCCAGTTCGTCC</t>
  </si>
  <si>
    <t xml:space="preserve">AAACGGACGAACTGGAACACAGTG</t>
  </si>
  <si>
    <t xml:space="preserve">PSPPH_3357</t>
  </si>
  <si>
    <t xml:space="preserve">motB</t>
  </si>
  <si>
    <t xml:space="preserve">CGTGTTCTTCGGCCTGACGT</t>
  </si>
  <si>
    <t xml:space="preserve">TAGTCGTGTTCTTCGGCCTGACGT</t>
  </si>
  <si>
    <t xml:space="preserve">AAACACGTCAGGCCGAAGAACACG</t>
  </si>
  <si>
    <t xml:space="preserve">GAACAGCAGGGTAATGAAGT</t>
  </si>
  <si>
    <t xml:space="preserve">TAGTGAACAGCAGGGTAATGAAGT</t>
  </si>
  <si>
    <t xml:space="preserve">AAACACTTCATTACCCTGCTGTTC</t>
  </si>
  <si>
    <t xml:space="preserve">GTATTTGCCTTCGTTGACCG</t>
  </si>
  <si>
    <t xml:space="preserve">TAGTGTATTTGCCTTCGTTGACCG</t>
  </si>
  <si>
    <t xml:space="preserve">AAACCGGTCAACGAAGGCAAATAC</t>
  </si>
  <si>
    <t xml:space="preserve">GAATACGCCAACCAGTGCCT</t>
  </si>
  <si>
    <t xml:space="preserve">TAGTGAATACGCCAACCAGTGCCT</t>
  </si>
  <si>
    <t xml:space="preserve">AAACAGGCACTGGTTGGCGTATTC</t>
  </si>
  <si>
    <t xml:space="preserve">PSPPH_3358</t>
  </si>
  <si>
    <t xml:space="preserve">motA</t>
  </si>
  <si>
    <t xml:space="preserve">TCGCGACAAACGCCAGGATC</t>
  </si>
  <si>
    <t xml:space="preserve">TAGTTCGCGACAAACGCCAGGATC</t>
  </si>
  <si>
    <t xml:space="preserve">AAACGATCCTGGCGTTTGTCGCGA</t>
  </si>
  <si>
    <t xml:space="preserve">GGCCATTGAGCAACGCACCT</t>
  </si>
  <si>
    <t xml:space="preserve">TAGTGGCCATTGAGCAACGCACCT</t>
  </si>
  <si>
    <t xml:space="preserve">AAACAGGTGCGTTGCTCAATGGCC</t>
  </si>
  <si>
    <t xml:space="preserve">CCAGTACAATCAGGGCTGCC</t>
  </si>
  <si>
    <t xml:space="preserve">TAGTCCAGTACAATCAGGGCTGCC</t>
  </si>
  <si>
    <t xml:space="preserve">AAACGGCAGCCCTGATTGTACTGG</t>
  </si>
  <si>
    <t xml:space="preserve">GCACGCATGAACGCGCTCAT</t>
  </si>
  <si>
    <t xml:space="preserve">TAGTGCACGCATGAACGCGCTCAT</t>
  </si>
  <si>
    <t xml:space="preserve">AAACATGAGCGCGTTCATGCGTGC</t>
  </si>
  <si>
    <t xml:space="preserve">PSPPH_3359</t>
  </si>
  <si>
    <t xml:space="preserve">cheB3</t>
  </si>
  <si>
    <t xml:space="preserve">AACCGGAATCATCCACCACC</t>
  </si>
  <si>
    <t xml:space="preserve">TAGTAACCGGAATCATCCACCACC</t>
  </si>
  <si>
    <t xml:space="preserve">AAACGGTGGTGGATGATTCCGGTT</t>
  </si>
  <si>
    <t xml:space="preserve">GAATTTCCGTAACACGGCGG</t>
  </si>
  <si>
    <t xml:space="preserve">TAGTGAATTTCCGTAACACGGCGG</t>
  </si>
  <si>
    <t xml:space="preserve">AAACCCGCCGTGTTACGGAAATTC</t>
  </si>
  <si>
    <t xml:space="preserve">TGCCAACCACTACAATGTTG</t>
  </si>
  <si>
    <t xml:space="preserve">TAGTTGCCAACCACTACAATGTTG</t>
  </si>
  <si>
    <t xml:space="preserve">AAACCAACATTGTAGTGGTTGGCA</t>
  </si>
  <si>
    <t xml:space="preserve">CGCTTCCTTGCCGTTGGTGG</t>
  </si>
  <si>
    <t xml:space="preserve">TAGTCGCTTCCTTGCCGTTGGTGG</t>
  </si>
  <si>
    <t xml:space="preserve">AAACCCACCAACGGCAAGGAAGCG</t>
  </si>
  <si>
    <t xml:space="preserve">PSPPH_3360</t>
  </si>
  <si>
    <t xml:space="preserve">cheA2</t>
  </si>
  <si>
    <t xml:space="preserve">TCATCGGCGCCGAAGCTCAT</t>
  </si>
  <si>
    <t xml:space="preserve">TAGTTCATCGGCGCCGAAGCTCAT</t>
  </si>
  <si>
    <t xml:space="preserve">AAACATGAGCTTCGGCGCCGATGA</t>
  </si>
  <si>
    <t xml:space="preserve">CCTCTACCAGAAAATCCTGA</t>
  </si>
  <si>
    <t xml:space="preserve">TAGTCCTCTACCAGAAAATCCTGA</t>
  </si>
  <si>
    <t xml:space="preserve">AAACTCAGGATTTTCTGGTAGAGG</t>
  </si>
  <si>
    <t xml:space="preserve">CAACTGCTCCAGAATTTCGC</t>
  </si>
  <si>
    <t xml:space="preserve">TAGTCAACTGCTCCAGAATTTCGC</t>
  </si>
  <si>
    <t xml:space="preserve">AAACGCGAAATTCTGGAGCAGTTG</t>
  </si>
  <si>
    <t xml:space="preserve">GCAGATCAGCATCATCCGGT</t>
  </si>
  <si>
    <t xml:space="preserve">TAGTGCAGATCAGCATCATCCGGT</t>
  </si>
  <si>
    <t xml:space="preserve">AAACACCGGATGATGCTGATCTGC</t>
  </si>
  <si>
    <t xml:space="preserve">PSPPH_3361</t>
  </si>
  <si>
    <t xml:space="preserve">cheZ</t>
  </si>
  <si>
    <t xml:space="preserve">CTTTAAGGTCGACTCAAAGT</t>
  </si>
  <si>
    <t xml:space="preserve">TAGTCTTTAAGGTCGACTCAAAGT</t>
  </si>
  <si>
    <t xml:space="preserve">AAACACTTTGAGTCGACCTTAAAG</t>
  </si>
  <si>
    <t xml:space="preserve">GAAGCGGCCCTTTTCAAGGC</t>
  </si>
  <si>
    <t xml:space="preserve">TAGTGAAGCGGCCCTTTTCAAGGC</t>
  </si>
  <si>
    <t xml:space="preserve">AAACGCCTTGAAAAGGGCCGCTTC</t>
  </si>
  <si>
    <t xml:space="preserve">CGCGTGTCTGGTTGAGTTCA</t>
  </si>
  <si>
    <t xml:space="preserve">TAGTCGCGTGTCTGGTTGAGTTCA</t>
  </si>
  <si>
    <t xml:space="preserve">AAACTGAACTCAACCAGACACGCG</t>
  </si>
  <si>
    <t xml:space="preserve">CCACTTCCTGATAAAGGCCG</t>
  </si>
  <si>
    <t xml:space="preserve">TAGTCCACTTCCTGATAAAGGCCG</t>
  </si>
  <si>
    <t xml:space="preserve">AAACCGGCCTTTATCAGGAAGTGG</t>
  </si>
  <si>
    <t xml:space="preserve">PSPPH_3362</t>
  </si>
  <si>
    <t xml:space="preserve">cheY2</t>
  </si>
  <si>
    <t xml:space="preserve">TTGAGAAGTCATCAACGATG</t>
  </si>
  <si>
    <t xml:space="preserve">TAGTTTGAGAAGTCATCAACGATG</t>
  </si>
  <si>
    <t xml:space="preserve">AAACCATCGTTGATGACTTCTCAA</t>
  </si>
  <si>
    <t xml:space="preserve">GTCATCCGCTTCAGATGTGT</t>
  </si>
  <si>
    <t xml:space="preserve">TAGTGTCATCCGCTTCAGATGTGT</t>
  </si>
  <si>
    <t xml:space="preserve">AAACACACATCTGAAGCGGATGAC</t>
  </si>
  <si>
    <t xml:space="preserve">ACTCTGCAGCATCGGCAATG</t>
  </si>
  <si>
    <t xml:space="preserve">TAGTACTCTGCAGCATCGGCAATG</t>
  </si>
  <si>
    <t xml:space="preserve">AAACCATTGCCGATGCTGCAGAGT</t>
  </si>
  <si>
    <t xml:space="preserve">GTCCGTCACCAGAAAGTCAA</t>
  </si>
  <si>
    <t xml:space="preserve">TAGTGTCCGTCACCAGAAAGTCAA</t>
  </si>
  <si>
    <t xml:space="preserve">AAACTTGACTTTCTGGTGACGGAC</t>
  </si>
  <si>
    <t xml:space="preserve">PSPPH_3363</t>
  </si>
  <si>
    <t xml:space="preserve">fliA</t>
  </si>
  <si>
    <t xml:space="preserve">CAACTCGTATTGCGAATTAC</t>
  </si>
  <si>
    <t xml:space="preserve">TAGTCAACTCGTATTGCGAATTAC</t>
  </si>
  <si>
    <t xml:space="preserve">AAACGTAATTCGCAATACGAGTTG</t>
  </si>
  <si>
    <t xml:space="preserve">TAAGCGATACGCTTGACCAA</t>
  </si>
  <si>
    <t xml:space="preserve">TAGTTAAGCGATACGCTTGACCAA</t>
  </si>
  <si>
    <t xml:space="preserve">AAACTTGGTCAAGCGTATCGCTTA</t>
  </si>
  <si>
    <t xml:space="preserve">TCCTCGACCTGCACGCTGGC</t>
  </si>
  <si>
    <t xml:space="preserve">TAGTTCCTCGACCTGCACGCTGGC</t>
  </si>
  <si>
    <t xml:space="preserve">AAACGCCAGCGTGCAGGTCGAGGA</t>
  </si>
  <si>
    <t xml:space="preserve">GCAGACCGATCATGCCAGCC</t>
  </si>
  <si>
    <t xml:space="preserve">TAGTGCAGACCGATCATGCCAGCC</t>
  </si>
  <si>
    <t xml:space="preserve">AAACGGCTGGCATGATCGGTCTGC</t>
  </si>
  <si>
    <t xml:space="preserve">PSPPH_3364</t>
  </si>
  <si>
    <t xml:space="preserve">fleN</t>
  </si>
  <si>
    <t xml:space="preserve">GTCACCGCGATAACCTGTAC</t>
  </si>
  <si>
    <t xml:space="preserve">TAGTGTCACCGCGATAACCTGTAC</t>
  </si>
  <si>
    <t xml:space="preserve">AAACGTACAGGTTATCGCGGTGAC</t>
  </si>
  <si>
    <t xml:space="preserve">ACCGACGCCACCTTTGCCAC</t>
  </si>
  <si>
    <t xml:space="preserve">TAGTACCGACGCCACCTTTGCCAC</t>
  </si>
  <si>
    <t xml:space="preserve">AAACGTGGCAAAGGTGGCGTCGGT</t>
  </si>
  <si>
    <t xml:space="preserve">ACGACGGCCAAGCTCGGCAA</t>
  </si>
  <si>
    <t xml:space="preserve">TAGTACGACGGCCAAGCTCGGCAA</t>
  </si>
  <si>
    <t xml:space="preserve">AAACTTGCCGAGCTTGGCCGTCGT</t>
  </si>
  <si>
    <t xml:space="preserve">GACATTGGCCAGACCCAGAT</t>
  </si>
  <si>
    <t xml:space="preserve">TAGTGACATTGGCCAGACCCAGAT</t>
  </si>
  <si>
    <t xml:space="preserve">AAACATCTGGGTCTGGCCAATGTC</t>
  </si>
  <si>
    <t xml:space="preserve">PSPPH_3365</t>
  </si>
  <si>
    <t xml:space="preserve">flhF</t>
  </si>
  <si>
    <t xml:space="preserve">CATGGCTTGACGCATATCGG</t>
  </si>
  <si>
    <t xml:space="preserve">TAGTCATGGCTTGACGCATATCGG</t>
  </si>
  <si>
    <t xml:space="preserve">AAACCCGATATGCGTCAAGCCATG</t>
  </si>
  <si>
    <t xml:space="preserve">GTTACCGATGATGGCCGCCT</t>
  </si>
  <si>
    <t xml:space="preserve">TAGTGTTACCGATGATGGCCGCCT</t>
  </si>
  <si>
    <t xml:space="preserve">AAACAGGCGGCCATCATCGGTAAC</t>
  </si>
  <si>
    <t xml:space="preserve">CTACGCCACCGGCAATGCGC</t>
  </si>
  <si>
    <t xml:space="preserve">TAGTCTACGCCACCGGCAATGCGC</t>
  </si>
  <si>
    <t xml:space="preserve">AAACGCGCATTGCCGGTGGCGTAG</t>
  </si>
  <si>
    <t xml:space="preserve">GGACAGCTTGTAATCCAGAG</t>
  </si>
  <si>
    <t xml:space="preserve">TAGTGGACAGCTTGTAATCCAGAG</t>
  </si>
  <si>
    <t xml:space="preserve">AAACCTCTGGATTACAAGCTGTCC</t>
  </si>
  <si>
    <t xml:space="preserve">PSPPH_3366</t>
  </si>
  <si>
    <t xml:space="preserve">flhA</t>
  </si>
  <si>
    <t xml:space="preserve">CGCCCAACTGACCACGGCCC</t>
  </si>
  <si>
    <t xml:space="preserve">TAGTCGCCCAACTGACCACGGCCC</t>
  </si>
  <si>
    <t xml:space="preserve">AAACGGGCCGTGGTCAGTTGGGCG</t>
  </si>
  <si>
    <t xml:space="preserve">TCCAGCAGGAACGGCGGCAT</t>
  </si>
  <si>
    <t xml:space="preserve">TAGTTCCAGCAGGAACGGCGGCAT</t>
  </si>
  <si>
    <t xml:space="preserve">AAACATGCCGCCGTTCCTGCTGGA</t>
  </si>
  <si>
    <t xml:space="preserve">CAGCAACACGACGATGGACA</t>
  </si>
  <si>
    <t xml:space="preserve">TAGTCAGCAACACGACGATGGACA</t>
  </si>
  <si>
    <t xml:space="preserve">AAACTGTCCATCGTCGTGTTGCTG</t>
  </si>
  <si>
    <t xml:space="preserve">GGAAACACCGAGAAGTCCAG</t>
  </si>
  <si>
    <t xml:space="preserve">TAGTGGAAACACCGAGAAGTCCAG</t>
  </si>
  <si>
    <t xml:space="preserve">AAACCTGGACTTCTCGGTGTTTCC</t>
  </si>
  <si>
    <t xml:space="preserve">PSPPH_3367</t>
  </si>
  <si>
    <t xml:space="preserve">flhB</t>
  </si>
  <si>
    <t xml:space="preserve">TGGGGTCTTCTGTCTTGTCC</t>
  </si>
  <si>
    <t xml:space="preserve">TAGTTGGGGTCTTCTGTCTTGTCC</t>
  </si>
  <si>
    <t xml:space="preserve">AAACGGACAAGACAGAAGACCCCA</t>
  </si>
  <si>
    <t xml:space="preserve">GTCCTTGACCTTTTTTTCCG</t>
  </si>
  <si>
    <t xml:space="preserve">TAGTGTCCTTGACCTTTTTTTCCG</t>
  </si>
  <si>
    <t xml:space="preserve">AAACCGGAAAAAAAGGTCAAGGAC</t>
  </si>
  <si>
    <t xml:space="preserve">CGCAATCTGCCCATCCGCTC</t>
  </si>
  <si>
    <t xml:space="preserve">TAGTCGCAATCTGCCCATCCGCTC</t>
  </si>
  <si>
    <t xml:space="preserve">AAACGAGCGGATGGGCAGATTGCG</t>
  </si>
  <si>
    <t xml:space="preserve">CACCAACGTGGTCAGCTCCT</t>
  </si>
  <si>
    <t xml:space="preserve">TAGTCACCAACGTGGTCAGCTCCT</t>
  </si>
  <si>
    <t xml:space="preserve">AAACAGGAGCTGACCACGTTGGTG</t>
  </si>
  <si>
    <t xml:space="preserve">PSPPH_3368</t>
  </si>
  <si>
    <t xml:space="preserve">fliR</t>
  </si>
  <si>
    <t xml:space="preserve">ATATCGGTCAGCGCAAGCAT</t>
  </si>
  <si>
    <t xml:space="preserve">TAGTATATCGGTCAGCGCAAGCAT</t>
  </si>
  <si>
    <t xml:space="preserve">AAACATGCTTGCGCTGACCGATAT</t>
  </si>
  <si>
    <t xml:space="preserve">TCGCTACCCAGGTACTGATC</t>
  </si>
  <si>
    <t xml:space="preserve">TAGTTCGCTACCCAGGTACTGATC</t>
  </si>
  <si>
    <t xml:space="preserve">AAACGATCAGTACCTGGGTAGCGA</t>
  </si>
  <si>
    <t xml:space="preserve">AACGCGACGATACGAAACAT</t>
  </si>
  <si>
    <t xml:space="preserve">TAGTAACGCGACGATACGAAACAT</t>
  </si>
  <si>
    <t xml:space="preserve">AAACATGTTTCGTATCGTCGCGTT</t>
  </si>
  <si>
    <t xml:space="preserve">CGTGGTGCCAATCACCGGCA</t>
  </si>
  <si>
    <t xml:space="preserve">TAGTCGTGGTGCCAATCACCGGCA</t>
  </si>
  <si>
    <t xml:space="preserve">AAACTGCCGGTGATTGGCACCACG</t>
  </si>
  <si>
    <t xml:space="preserve">PSPPH_3369</t>
  </si>
  <si>
    <t xml:space="preserve">fliQ</t>
  </si>
  <si>
    <t xml:space="preserve">ACAGCTACTTCCGGCGTCAT</t>
  </si>
  <si>
    <t xml:space="preserve">TAGTACAGCTACTTCCGGCGTCAT</t>
  </si>
  <si>
    <t xml:space="preserve">AAACATGACGCCGGAAGTAGCTGT</t>
  </si>
  <si>
    <t xml:space="preserve">AAGAATCGCGACCAGCACGG</t>
  </si>
  <si>
    <t xml:space="preserve">TAGTAAGAATCGCGACCAGCACGG</t>
  </si>
  <si>
    <t xml:space="preserve">AAACCCGTGCTGGTCGCGATTCTT</t>
  </si>
  <si>
    <t xml:space="preserve">AGCAGACCGCACAACAGGCT</t>
  </si>
  <si>
    <t xml:space="preserve">TAGTAGCAGACCGCACAACAGGCT</t>
  </si>
  <si>
    <t xml:space="preserve">AAACAGCCTGTTGTGCGGTCTGCT</t>
  </si>
  <si>
    <t xml:space="preserve">GGTCTGTTCGTTGATCTGCG</t>
  </si>
  <si>
    <t xml:space="preserve">TAGTGGTCTGTTCGTTGATCTGCG</t>
  </si>
  <si>
    <t xml:space="preserve">AAACCGCAGATCAACGAACAGACC</t>
  </si>
  <si>
    <t xml:space="preserve">PSPPH_3370</t>
  </si>
  <si>
    <t xml:space="preserve">fliP</t>
  </si>
  <si>
    <t xml:space="preserve">GGATCGGCTGCCAGTACAGC</t>
  </si>
  <si>
    <t xml:space="preserve">TAGTGGATCGGCTGCCAGTACAGC</t>
  </si>
  <si>
    <t xml:space="preserve">AAACGCTGTACTGGCAGCCGATCC</t>
  </si>
  <si>
    <t xml:space="preserve">GTGATCGCCGGTATCGATAG</t>
  </si>
  <si>
    <t xml:space="preserve">TAGTGTGATCGCCGGTATCGATAG</t>
  </si>
  <si>
    <t xml:space="preserve">AAACCTATCGATACCGGCGATCAC</t>
  </si>
  <si>
    <t xml:space="preserve">CTGCTGACCATCCGCACCAT</t>
  </si>
  <si>
    <t xml:space="preserve">TAGTCTGCTGACCATCCGCACCAT</t>
  </si>
  <si>
    <t xml:space="preserve">AAACATGGTGCGGATGGTCAGCAG</t>
  </si>
  <si>
    <t xml:space="preserve">TCAGCGCAGTCATGATCAGC</t>
  </si>
  <si>
    <t xml:space="preserve">TAGTTCAGCGCAGTCATGATCAGC</t>
  </si>
  <si>
    <t xml:space="preserve">AAACGCTGATCATGACTGCGCTGA</t>
  </si>
  <si>
    <t xml:space="preserve">PSPPH_3371</t>
  </si>
  <si>
    <t xml:space="preserve">fliO</t>
  </si>
  <si>
    <t xml:space="preserve">AGCCCAGGCCAGCGACGGCA</t>
  </si>
  <si>
    <t xml:space="preserve">TAGTAGCCCAGGCCAGCGACGGCA</t>
  </si>
  <si>
    <t xml:space="preserve">AAACTGCCGTCGCTGGCCTGGGCT</t>
  </si>
  <si>
    <t xml:space="preserve">TGCGGCCTGAGCAGCGGGCT</t>
  </si>
  <si>
    <t xml:space="preserve">TAGTTGCGGCCTGAGCAGCGGGCT</t>
  </si>
  <si>
    <t xml:space="preserve">AAACAGCCCGCTGCTCAGGCCGCA</t>
  </si>
  <si>
    <t xml:space="preserve">ACCGTATTGGCTACCTGCGC</t>
  </si>
  <si>
    <t xml:space="preserve">TAGTACCGTATTGGCTACCTGCGC</t>
  </si>
  <si>
    <t xml:space="preserve">AAACGCGCAGGTAGCCAATACGGT</t>
  </si>
  <si>
    <t xml:space="preserve">CACCTGCCCGCCCATACCGC</t>
  </si>
  <si>
    <t xml:space="preserve">TAGTCACCTGCCCGCCCATACCGC</t>
  </si>
  <si>
    <t xml:space="preserve">AAACGCGGTATGGGCGGGCAGGTG</t>
  </si>
  <si>
    <t xml:space="preserve">PSPPH_3372</t>
  </si>
  <si>
    <t xml:space="preserve">fliN</t>
  </si>
  <si>
    <t xml:space="preserve">CAATGCAGCAGCCCACTCGT</t>
  </si>
  <si>
    <t xml:space="preserve">TAGTCAATGCAGCAGCCCACTCGT</t>
  </si>
  <si>
    <t xml:space="preserve">AAACACGAGTGGGCTGCTGCATTG</t>
  </si>
  <si>
    <t xml:space="preserve">CGAACTCTTCCATGGTCATC</t>
  </si>
  <si>
    <t xml:space="preserve">TAGTCGAACTCTTCCATGGTCATC</t>
  </si>
  <si>
    <t xml:space="preserve">AAACGATGACCATGGAAGAGTTCG</t>
  </si>
  <si>
    <t xml:space="preserve">GAAACCGGACCCGTGCTTTT</t>
  </si>
  <si>
    <t xml:space="preserve">TAGTGAAACCGGACCCGTGCTTTT</t>
  </si>
  <si>
    <t xml:space="preserve">AAACAAAAGCACGGGTCCGGTTTC</t>
  </si>
  <si>
    <t xml:space="preserve">TCGAGAATCACATCCAGGTT</t>
  </si>
  <si>
    <t xml:space="preserve">TAGTTCGAGAATCACATCCAGGTT</t>
  </si>
  <si>
    <t xml:space="preserve">AAACAACCTGGATGTGATTCTCGA</t>
  </si>
  <si>
    <t xml:space="preserve">PSPPH_3373</t>
  </si>
  <si>
    <t xml:space="preserve">fliM</t>
  </si>
  <si>
    <t xml:space="preserve">CTGGGAGAGCAGGTCTTGCA</t>
  </si>
  <si>
    <t xml:space="preserve">TAGTCTGGGAGAGCAGGTCTTGCA</t>
  </si>
  <si>
    <t xml:space="preserve">AAACTGCAAGACCTGCTCTCCCAG</t>
  </si>
  <si>
    <t xml:space="preserve">GCTCGCTGACGGTGTCGGTC</t>
  </si>
  <si>
    <t xml:space="preserve">TAGTGCTCGCTGACGGTGTCGGTC</t>
  </si>
  <si>
    <t xml:space="preserve">AAACGACCGACACCGTCAGCGAGC</t>
  </si>
  <si>
    <t xml:space="preserve">TCGTAGCTTTTGACGCTGCC</t>
  </si>
  <si>
    <t xml:space="preserve">TAGTTCGTAGCTTTTGACGCTGCC</t>
  </si>
  <si>
    <t xml:space="preserve">AAACGGCAGCGTCAAAAGCTACGA</t>
  </si>
  <si>
    <t xml:space="preserve">CAATCCGGTCCTGACTGGTC</t>
  </si>
  <si>
    <t xml:space="preserve">TAGTCAATCCGGTCCTGACTGGTC</t>
  </si>
  <si>
    <t xml:space="preserve">AAACGACCAGTCAGGACCGGATTG</t>
  </si>
  <si>
    <t xml:space="preserve">PSPPH_3374</t>
  </si>
  <si>
    <t xml:space="preserve">fliL</t>
  </si>
  <si>
    <t xml:space="preserve">TGAGTTTGCCTTTGGTTGCC</t>
  </si>
  <si>
    <t xml:space="preserve">TAGTTGAGTTTGCCTTTGGTTGCC</t>
  </si>
  <si>
    <t xml:space="preserve">AAACGGCAACCAAAGGCAAACTCA</t>
  </si>
  <si>
    <t xml:space="preserve">GCAGCAACGCCACAACGGCG</t>
  </si>
  <si>
    <t xml:space="preserve">TAGTGCAGCAACGCCACAACGGCG</t>
  </si>
  <si>
    <t xml:space="preserve">AAACCGCCGTTGTGGCGTTGCTGC</t>
  </si>
  <si>
    <t xml:space="preserve">GCTCTTGTGCATGAGGAACC</t>
  </si>
  <si>
    <t xml:space="preserve">TAGTGCTCTTGTGCATGAGGAACC</t>
  </si>
  <si>
    <t xml:space="preserve">AAACGGTTCCTCATGCACAAGAGC</t>
  </si>
  <si>
    <t xml:space="preserve">GCAGCGGCAGCAGCCGGGTC</t>
  </si>
  <si>
    <t xml:space="preserve">TAGTGCAGCGGCAGCAGCCGGGTC</t>
  </si>
  <si>
    <t xml:space="preserve">AAACGACCCGGCTGCTGCCGCTGC</t>
  </si>
  <si>
    <t xml:space="preserve">PSPPH_3375</t>
  </si>
  <si>
    <t xml:space="preserve">fliK</t>
  </si>
  <si>
    <t xml:space="preserve">AGAAGCGCATTGGTAGCGAG</t>
  </si>
  <si>
    <t xml:space="preserve">TAGTAGAAGCGCATTGGTAGCGAG</t>
  </si>
  <si>
    <t xml:space="preserve">AAACCTCGCTACCAATGCGCTTCT</t>
  </si>
  <si>
    <t xml:space="preserve">CCTTGAGGTCGCAGTGCTTG</t>
  </si>
  <si>
    <t xml:space="preserve">TAGTCCTTGAGGTCGCAGTGCTTG</t>
  </si>
  <si>
    <t xml:space="preserve">AAACCAAGCACTGCGACCTCAAGG</t>
  </si>
  <si>
    <t xml:space="preserve">GACCGCATTATTGGCCGTAC</t>
  </si>
  <si>
    <t xml:space="preserve">TAGTGACCGCATTATTGGCCGTAC</t>
  </si>
  <si>
    <t xml:space="preserve">AAACGTACGGCCAATAATGCGGTC</t>
  </si>
  <si>
    <t xml:space="preserve">ATAGACGTTGGAAAAGCTGG</t>
  </si>
  <si>
    <t xml:space="preserve">TAGTATAGACGTTGGAAAAGCTGG</t>
  </si>
  <si>
    <t xml:space="preserve">AAACCCAGCTTTTCCAACGTCTAT</t>
  </si>
  <si>
    <t xml:space="preserve">PSPPH_3376</t>
  </si>
  <si>
    <t xml:space="preserve">GTCCTCCATGACTTCCTGCA</t>
  </si>
  <si>
    <t xml:space="preserve">TAGTGTCCTCCATGACTTCCTGCA</t>
  </si>
  <si>
    <t xml:space="preserve">AAACTGCAGGAAGTCATGGAGGAC</t>
  </si>
  <si>
    <t xml:space="preserve">AGGAACACATCCAGCAAGGT</t>
  </si>
  <si>
    <t xml:space="preserve">TAGTAGGAACACATCCAGCAAGGT</t>
  </si>
  <si>
    <t xml:space="preserve">AAACACCTTGCTGGATGTGTTCCT</t>
  </si>
  <si>
    <t xml:space="preserve">TACGCTGCTCGGAATCCTTG</t>
  </si>
  <si>
    <t xml:space="preserve">TAGTTACGCTGCTCGGAATCCTTG</t>
  </si>
  <si>
    <t xml:space="preserve">AAACCAAGGATTCCGAGCAGCGTA</t>
  </si>
  <si>
    <t xml:space="preserve">TCAATTCCTGAAAGTCAGGA</t>
  </si>
  <si>
    <t xml:space="preserve">TAGTTCAATTCCTGAAAGTCAGGA</t>
  </si>
  <si>
    <t xml:space="preserve">AAACTCCTGACTTTCAGGAATTGA</t>
  </si>
  <si>
    <t xml:space="preserve">PSPPH_3377</t>
  </si>
  <si>
    <t xml:space="preserve">TGAAAGCAGCAACCGGTCAC</t>
  </si>
  <si>
    <t xml:space="preserve">TAGTTGAAAGCAGCAACCGGTCAC</t>
  </si>
  <si>
    <t xml:space="preserve">AAACGTGACCGGTTGCTGCTTTCA</t>
  </si>
  <si>
    <t xml:space="preserve">GTGGCCCTGCCGCGCAACGA</t>
  </si>
  <si>
    <t xml:space="preserve">TAGTGTGGCCCTGCCGCGCAACGA</t>
  </si>
  <si>
    <t xml:space="preserve">AAACTCGTTGCGCGGCAGGGCCAC</t>
  </si>
  <si>
    <t xml:space="preserve">CGGACTTTCAGCCTTGAAGA</t>
  </si>
  <si>
    <t xml:space="preserve">TAGTCGGACTTTCAGCCTTGAAGA</t>
  </si>
  <si>
    <t xml:space="preserve">AAACTCTTCAAGGCTGAAAGTCCG</t>
  </si>
  <si>
    <t xml:space="preserve">GCGTCCATCAGAATCAACTG</t>
  </si>
  <si>
    <t xml:space="preserve">TAGTGCGTCCATCAGAATCAACTG</t>
  </si>
  <si>
    <t xml:space="preserve">AAACCAGTTGATTCTGATGGACGC</t>
  </si>
  <si>
    <t xml:space="preserve">PSPPH_3378</t>
  </si>
  <si>
    <t xml:space="preserve">CGTTCGGAAGTGACTGTCAT</t>
  </si>
  <si>
    <t xml:space="preserve">TAGTCGTTCGGAAGTGACTGTCAT</t>
  </si>
  <si>
    <t xml:space="preserve">AAACATGACAGTCACTTCCGAACG</t>
  </si>
  <si>
    <t xml:space="preserve">AAGGGTCAGCGTCTGGCCAT</t>
  </si>
  <si>
    <t xml:space="preserve">TAGTAAGGGTCAGCGTCTGGCCAT</t>
  </si>
  <si>
    <t xml:space="preserve">AAACATGGCCAGACGCTGACCCTT</t>
  </si>
  <si>
    <t xml:space="preserve">GGCTGCGCGAAACGCCTGAT</t>
  </si>
  <si>
    <t xml:space="preserve">TAGTGGCTGCGCGAAACGCCTGAT</t>
  </si>
  <si>
    <t xml:space="preserve">AAACATCAGGCGTTTCGCGCAGCC</t>
  </si>
  <si>
    <t xml:space="preserve">CGTCTGCGGGTAATCCTCGT</t>
  </si>
  <si>
    <t xml:space="preserve">TAGTCGTCTGCGGGTAATCCTCGT</t>
  </si>
  <si>
    <t xml:space="preserve">AAACACGAGGATTACCCGCAGACG</t>
  </si>
  <si>
    <t xml:space="preserve">PSPPH_3379</t>
  </si>
  <si>
    <t xml:space="preserve">fliJ</t>
  </si>
  <si>
    <t xml:space="preserve">GCTTCCGCCATCTCGACCAC</t>
  </si>
  <si>
    <t xml:space="preserve">TAGTGCTTCCGCCATCTCGACCAC</t>
  </si>
  <si>
    <t xml:space="preserve">AAACGTGGTCGAGATGGCGGAAGC</t>
  </si>
  <si>
    <t xml:space="preserve">CTGAGCCGCCGTTCGCTCGG</t>
  </si>
  <si>
    <t xml:space="preserve">TAGTCTGAGCCGCCGTTCGCTCGG</t>
  </si>
  <si>
    <t xml:space="preserve">AAACCCGAGCGAACGGCGGCTCAG</t>
  </si>
  <si>
    <t xml:space="preserve">AAGCTCCTGCAGCTTGTTGT</t>
  </si>
  <si>
    <t xml:space="preserve">TAGTAAGCTCCTGCAGCTTGTTGT</t>
  </si>
  <si>
    <t xml:space="preserve">AAACACAACAAGCTGCAGGAGCTT</t>
  </si>
  <si>
    <t xml:space="preserve">GCTGATAATCCTGACGAAAC</t>
  </si>
  <si>
    <t xml:space="preserve">TAGTGCTGATAATCCTGACGAAAC</t>
  </si>
  <si>
    <t xml:space="preserve">AAACGTTTCGTCAGGATTATCAGC</t>
  </si>
  <si>
    <t xml:space="preserve">PSPPH_3380</t>
  </si>
  <si>
    <t xml:space="preserve">fliI</t>
  </si>
  <si>
    <t xml:space="preserve">GCCGAGGCGCTTGCCGAAAC</t>
  </si>
  <si>
    <t xml:space="preserve">TAGTGCCGAGGCGCTTGCCGAAAC</t>
  </si>
  <si>
    <t xml:space="preserve">AAACGTTTCGGCAAGCGCCTCGGC</t>
  </si>
  <si>
    <t xml:space="preserve">CAGACTGATCGACTCGGCGT</t>
  </si>
  <si>
    <t xml:space="preserve">TAGTCAGACTGATCGACTCGGCGT</t>
  </si>
  <si>
    <t xml:space="preserve">AAACACGCCGAGTCGATCAGTCTG</t>
  </si>
  <si>
    <t xml:space="preserve">CCCTCTACAACGGGCTGGGC</t>
  </si>
  <si>
    <t xml:space="preserve">TAGTCCCTCTACAACGGGCTGGGC</t>
  </si>
  <si>
    <t xml:space="preserve">AAACGCCCAGCCCGTTGTAGAGGG</t>
  </si>
  <si>
    <t xml:space="preserve">GACCAACCATACGCAGCAGG</t>
  </si>
  <si>
    <t xml:space="preserve">TAGTGACCAACCATACGCAGCAGG</t>
  </si>
  <si>
    <t xml:space="preserve">AAACCCTGCTGCGTATGGTTGGTC</t>
  </si>
  <si>
    <t xml:space="preserve">PSPPH_3381</t>
  </si>
  <si>
    <t xml:space="preserve">fliH</t>
  </si>
  <si>
    <t xml:space="preserve">GGCCGATTCTTTATTGGAAC</t>
  </si>
  <si>
    <t xml:space="preserve">TAGTGGCCGATTCTTTATTGGAAC</t>
  </si>
  <si>
    <t xml:space="preserve">AAACGTTCCAATAAAGAATCGGCC</t>
  </si>
  <si>
    <t xml:space="preserve">CTTGGCGCGAATGAGGTCGC</t>
  </si>
  <si>
    <t xml:space="preserve">TAGTCTTGGCGCGAATGAGGTCGC</t>
  </si>
  <si>
    <t xml:space="preserve">AAACGCGACCTCATTCGCGCCAAG</t>
  </si>
  <si>
    <t xml:space="preserve">CGACCAGATATCGAGTAACC</t>
  </si>
  <si>
    <t xml:space="preserve">TAGTCGACCAGATATCGAGTAACC</t>
  </si>
  <si>
    <t xml:space="preserve">AAACGGTTACTCGATATCTGGTCG</t>
  </si>
  <si>
    <t xml:space="preserve">TCCACATGTGGATCGAAGCT</t>
  </si>
  <si>
    <t xml:space="preserve">TAGTTCCACATGTGGATCGAAGCT</t>
  </si>
  <si>
    <t xml:space="preserve">AAACAGCTTCGATCCACATGTGGA</t>
  </si>
  <si>
    <t xml:space="preserve">PSPPH_3382</t>
  </si>
  <si>
    <t xml:space="preserve">fliG</t>
  </si>
  <si>
    <t xml:space="preserve">TTTGGAGAGTTTGGCTACCA</t>
  </si>
  <si>
    <t xml:space="preserve">TAGTTTTGGAGAGTTTGGCTACCA</t>
  </si>
  <si>
    <t xml:space="preserve">AAACTGGTAGCCAAACTCTCCAAA</t>
  </si>
  <si>
    <t xml:space="preserve">CCGGAGCACCTGAGCAGCGT</t>
  </si>
  <si>
    <t xml:space="preserve">TAGTCCGGAGCACCTGAGCAGCGT</t>
  </si>
  <si>
    <t xml:space="preserve">AAACACGCTGCTCAGGTGCTCCGG</t>
  </si>
  <si>
    <t xml:space="preserve">CCCACTTTCTGGACTTCCTT</t>
  </si>
  <si>
    <t xml:space="preserve">TAGTCCCACTTTCTGGACTTCCTT</t>
  </si>
  <si>
    <t xml:space="preserve">AAACAAGGAAGTCCAGAAAGTGGG</t>
  </si>
  <si>
    <t xml:space="preserve">AACCGACGCCAAGGCTGGTC</t>
  </si>
  <si>
    <t xml:space="preserve">TAGTAACCGACGCCAAGGCTGGTC</t>
  </si>
  <si>
    <t xml:space="preserve">AAACGACCAGCCTTGGCGTCGGTT</t>
  </si>
  <si>
    <t xml:space="preserve">PSPPH_3383</t>
  </si>
  <si>
    <t xml:space="preserve">fliF</t>
  </si>
  <si>
    <t xml:space="preserve">AACGGGATCGGCAGTTGCTT</t>
  </si>
  <si>
    <t xml:space="preserve">TAGTAACGGGATCGGCAGTTGCTT</t>
  </si>
  <si>
    <t xml:space="preserve">AAACAAGCAACTGCCGATCCCGTT</t>
  </si>
  <si>
    <t xml:space="preserve">TCGGAAGCGCCCGCTCTTGC</t>
  </si>
  <si>
    <t xml:space="preserve">TAGTTCGGAAGCGCCCGCTCTTGC</t>
  </si>
  <si>
    <t xml:space="preserve">AAACGCAAGAGCGGGCGCTTCCGA</t>
  </si>
  <si>
    <t xml:space="preserve">AGAAAAGACAAACCGAACAA</t>
  </si>
  <si>
    <t xml:space="preserve">TAGTAGAAAAGACAAACCGAACAA</t>
  </si>
  <si>
    <t xml:space="preserve">AAACTTGTTCGGTTTGTCTTTTCT</t>
  </si>
  <si>
    <t xml:space="preserve">GCAGCATGGTCATTTCGGAA</t>
  </si>
  <si>
    <t xml:space="preserve">TAGTGCAGCATGGTCATTTCGGAA</t>
  </si>
  <si>
    <t xml:space="preserve">AAACTTCCGAAATGACCATGCTGC</t>
  </si>
  <si>
    <t xml:space="preserve">PSPPH_3384</t>
  </si>
  <si>
    <t xml:space="preserve">fliE</t>
  </si>
  <si>
    <t xml:space="preserve">AAATTCAACACCTTTGCTCA</t>
  </si>
  <si>
    <t xml:space="preserve">TAGTAAATTCAACACCTTTGCTCA</t>
  </si>
  <si>
    <t xml:space="preserve">AAACTGAGCAAAGGTGTTGAATTT</t>
  </si>
  <si>
    <t xml:space="preserve">AGACATCGCATCCATCTGCA</t>
  </si>
  <si>
    <t xml:space="preserve">TAGTAGACATCGCATCCATCTGCA</t>
  </si>
  <si>
    <t xml:space="preserve">AAACTGCAGATGGATGCGATGTCT</t>
  </si>
  <si>
    <t xml:space="preserve">TGCGCGCCGGACACGGGCTT</t>
  </si>
  <si>
    <t xml:space="preserve">TAGTTGCGCGCCGGACACGGGCTT</t>
  </si>
  <si>
    <t xml:space="preserve">AAACAAGCCCGTGTCCGGCGCGCA</t>
  </si>
  <si>
    <t xml:space="preserve">AAGCATGTCGGCAAAGCTGC</t>
  </si>
  <si>
    <t xml:space="preserve">TAGTAAGCATGTCGGCAAAGCTGC</t>
  </si>
  <si>
    <t xml:space="preserve">AAACGCAGCTTTGCCGACATGCTT</t>
  </si>
  <si>
    <t xml:space="preserve">PSPPH_3385</t>
  </si>
  <si>
    <t xml:space="preserve">fleR</t>
  </si>
  <si>
    <t xml:space="preserve">CAAGTGCCTCGCGCAGCGAA</t>
  </si>
  <si>
    <t xml:space="preserve">TAGTCAAGTGCCTCGCGCAGCGAA</t>
  </si>
  <si>
    <t xml:space="preserve">AAACTTCGCTGCGCGAGGCACTTG</t>
  </si>
  <si>
    <t xml:space="preserve">TCCATAGCCAGCCAATTCCA</t>
  </si>
  <si>
    <t xml:space="preserve">TAGTTCCATAGCCAGCCAATTCCA</t>
  </si>
  <si>
    <t xml:space="preserve">AAACTGGAATTGGCTGGCTATGGA</t>
  </si>
  <si>
    <t xml:space="preserve">CTTCAGCAGAGCCGACCGCC</t>
  </si>
  <si>
    <t xml:space="preserve">TAGTCTTCAGCAGAGCCGACCGCC</t>
  </si>
  <si>
    <t xml:space="preserve">AAACGGCGGTCGGCTCTGCTGAAG</t>
  </si>
  <si>
    <t xml:space="preserve">CAGACTGAACGGTTGCGCCT</t>
  </si>
  <si>
    <t xml:space="preserve">TAGTCAGACTGAACGGTTGCGCCT</t>
  </si>
  <si>
    <t xml:space="preserve">AAACAGGCGCAACCGTTCAGTCTG</t>
  </si>
  <si>
    <t xml:space="preserve">PSPPH_3386</t>
  </si>
  <si>
    <t xml:space="preserve">fleS</t>
  </si>
  <si>
    <t xml:space="preserve">GGAAGTCAGTTGGGCGGCCT</t>
  </si>
  <si>
    <t xml:space="preserve">TAGTGGAAGTCAGTTGGGCGGCCT</t>
  </si>
  <si>
    <t xml:space="preserve">AAACAGGCCGCCCAACTGACTTCC</t>
  </si>
  <si>
    <t xml:space="preserve">TTGAGCCTGAGCAGATAGGG</t>
  </si>
  <si>
    <t xml:space="preserve">TAGTTTGAGCCTGAGCAGATAGGG</t>
  </si>
  <si>
    <t xml:space="preserve">AAACCCCTATCTGCTCAGGCTCAA</t>
  </si>
  <si>
    <t xml:space="preserve">CTGACGACTTTCCAGCTCCG</t>
  </si>
  <si>
    <t xml:space="preserve">TAGTCTGACGACTTTCCAGCTCCG</t>
  </si>
  <si>
    <t xml:space="preserve">AAACCGGAGCTGGAAAGTCGTCAG</t>
  </si>
  <si>
    <t xml:space="preserve">TTCGAGCAGACCATAGGAGT</t>
  </si>
  <si>
    <t xml:space="preserve">TAGTTTCGAGCAGACCATAGGAGT</t>
  </si>
  <si>
    <t xml:space="preserve">AAACACTCCTATGGTCTGCTCGAA</t>
  </si>
  <si>
    <t xml:space="preserve">PSPPH_3387</t>
  </si>
  <si>
    <t xml:space="preserve">fleQ</t>
  </si>
  <si>
    <t xml:space="preserve">GGATAACCGCCAGATCCCGG</t>
  </si>
  <si>
    <t xml:space="preserve">TAGTGGATAACCGCCAGATCCCGG</t>
  </si>
  <si>
    <t xml:space="preserve">AAACCCGGGATCTGGCGGTTATCC</t>
  </si>
  <si>
    <t xml:space="preserve">TTTCTTCGCCAAGAAAATTC</t>
  </si>
  <si>
    <t xml:space="preserve">TAGTTTTCTTCGCCAAGAAAATTC</t>
  </si>
  <si>
    <t xml:space="preserve">AAACGAATTTTCTTGGCGAAGAAA</t>
  </si>
  <si>
    <t xml:space="preserve">AGTCCTGGCTTGAACAGGAG</t>
  </si>
  <si>
    <t xml:space="preserve">TAGTAGTCCTGGCTTGAACAGGAG</t>
  </si>
  <si>
    <t xml:space="preserve">AAACCTCCTGTTCAAGCCAGGACT</t>
  </si>
  <si>
    <t xml:space="preserve">AGCACACAAAGGACTTCTCG</t>
  </si>
  <si>
    <t xml:space="preserve">TAGTAGCACACAAAGGACTTCTCG</t>
  </si>
  <si>
    <t xml:space="preserve">AAACCGAGAAGTCCTTTGTGTGCT</t>
  </si>
  <si>
    <t xml:space="preserve">PSPPH_3388</t>
  </si>
  <si>
    <t xml:space="preserve">fliT</t>
  </si>
  <si>
    <t xml:space="preserve">CGCCCCCACCAGGGCTTCCC</t>
  </si>
  <si>
    <t xml:space="preserve">TAGTCGCCCCCACCAGGGCTTCCC</t>
  </si>
  <si>
    <t xml:space="preserve">AAACGGGAAGCCCTGGTGGGGGCG</t>
  </si>
  <si>
    <t xml:space="preserve">GATAGCCTCCCAGTCGCGTT</t>
  </si>
  <si>
    <t xml:space="preserve">TAGTGATAGCCTCCCAGTCGCGTT</t>
  </si>
  <si>
    <t xml:space="preserve">AAACAACGCGACTGGGAGGCTATC</t>
  </si>
  <si>
    <t xml:space="preserve">CGACACATTCGCGACACGCC</t>
  </si>
  <si>
    <t xml:space="preserve">TAGTCGACACATTCGCGACACGCC</t>
  </si>
  <si>
    <t xml:space="preserve">AAACGGCGTGTCGCGAATGTGTCG</t>
  </si>
  <si>
    <t xml:space="preserve">CGCAGAGCCGGTTCGTCAGC</t>
  </si>
  <si>
    <t xml:space="preserve">TAGTCGCAGAGCCGGTTCGTCAGC</t>
  </si>
  <si>
    <t xml:space="preserve">AAACGCTGACGAACCGGCTCTGCG</t>
  </si>
  <si>
    <t xml:space="preserve">PSPPH_3389</t>
  </si>
  <si>
    <t xml:space="preserve">fliS</t>
  </si>
  <si>
    <t xml:space="preserve">TACTGCCGCAACGCTAACAT</t>
  </si>
  <si>
    <t xml:space="preserve">TAGTTACTGCCGCAACGCTAACAT</t>
  </si>
  <si>
    <t xml:space="preserve">AAACATGTTAGCGTTGCGGCAGTA</t>
  </si>
  <si>
    <t xml:space="preserve">GGCTTCCGAGGTCTGAGCCT</t>
  </si>
  <si>
    <t xml:space="preserve">TAGTGGCTTCCGAGGTCTGAGCCT</t>
  </si>
  <si>
    <t xml:space="preserve">AAACAGGCTCAGACCTCGGAAGCC</t>
  </si>
  <si>
    <t xml:space="preserve">TTGAACCAGACGGTGAGGAC</t>
  </si>
  <si>
    <t xml:space="preserve">TAGTTTGAACCAGACGGTGAGGAC</t>
  </si>
  <si>
    <t xml:space="preserve">AAACGTCCTCACCGTCTGGTTCAA</t>
  </si>
  <si>
    <t xml:space="preserve">TGGCTTGAGCGATACGGTCG</t>
  </si>
  <si>
    <t xml:space="preserve">TAGTTGGCTTGAGCGATACGGTCG</t>
  </si>
  <si>
    <t xml:space="preserve">AAACCGACCGTATCGCTCAAGCCA</t>
  </si>
  <si>
    <t xml:space="preserve">PSPPH_3390</t>
  </si>
  <si>
    <t xml:space="preserve">fliD</t>
  </si>
  <si>
    <t xml:space="preserve">AGGCCTGTTGTAGATGTAAT</t>
  </si>
  <si>
    <t xml:space="preserve">TAGTAGGCCTGTTGTAGATGTAAT</t>
  </si>
  <si>
    <t xml:space="preserve">AAACATTACATCTACAACAGGCCT</t>
  </si>
  <si>
    <t xml:space="preserve">TGATTGCCAGACCCGAACCC</t>
  </si>
  <si>
    <t xml:space="preserve">TAGTTGATTGCCAGACCCGAACCC</t>
  </si>
  <si>
    <t xml:space="preserve">AAACGGGTTCGGGTCTGGCAATCA</t>
  </si>
  <si>
    <t xml:space="preserve">ACCCACCAGACCTTCAACGA</t>
  </si>
  <si>
    <t xml:space="preserve">TAGTACCCACCAGACCTTCAACGA</t>
  </si>
  <si>
    <t xml:space="preserve">AAACTCGTTGAAGGTCTGGTGGGT</t>
  </si>
  <si>
    <t xml:space="preserve">GTTTTGCTTGGGTGCCTTCT</t>
  </si>
  <si>
    <t xml:space="preserve">TAGTGTTTTGCTTGGGTGCCTTCT</t>
  </si>
  <si>
    <t xml:space="preserve">AAACAGAAGGCACCCAAGCAAAAC</t>
  </si>
  <si>
    <t xml:space="preserve">PSPPH_3391</t>
  </si>
  <si>
    <t xml:space="preserve">flaG</t>
  </si>
  <si>
    <t xml:space="preserve">TGACTCGCCGGTTGAGCGGC</t>
  </si>
  <si>
    <t xml:space="preserve">TAGTTGACTCGCCGGTTGAGCGGC</t>
  </si>
  <si>
    <t xml:space="preserve">AAACGCCGCTCAACCGGCGAGTCA</t>
  </si>
  <si>
    <t xml:space="preserve">TCAACAGACTTGTCTGGCAC</t>
  </si>
  <si>
    <t xml:space="preserve">TAGTTCAACAGACTTGTCTGGCAC</t>
  </si>
  <si>
    <t xml:space="preserve">AAACGTGCCAGACAAGTCTGTTGA</t>
  </si>
  <si>
    <t xml:space="preserve">TCGACTGACGGCGTATCGGC</t>
  </si>
  <si>
    <t xml:space="preserve">TAGTTCGACTGACGGCGTATCGGC</t>
  </si>
  <si>
    <t xml:space="preserve">AAACGCCGATACGCCGTCAGTCGA</t>
  </si>
  <si>
    <t xml:space="preserve">GCCTTTACTTTCCGCCGTGG</t>
  </si>
  <si>
    <t xml:space="preserve">TAGTGCCTTTACTTTCCGCCGTGG</t>
  </si>
  <si>
    <t xml:space="preserve">AAACCCACGGCGGAAAGTAAAGGC</t>
  </si>
  <si>
    <t xml:space="preserve">PSPPH_3392</t>
  </si>
  <si>
    <t xml:space="preserve">fliC</t>
  </si>
  <si>
    <t xml:space="preserve">GACGTTCAACGATGCTACGT</t>
  </si>
  <si>
    <t xml:space="preserve">TAGTGACGTTCAACGATGCTACGT</t>
  </si>
  <si>
    <t xml:space="preserve">AAACACGTAGCATCGTTGAACGTC</t>
  </si>
  <si>
    <t xml:space="preserve">AAGCGCGACCCAGGTTCTTC</t>
  </si>
  <si>
    <t xml:space="preserve">TAGTAAGCGCGACCCAGGTTCTTC</t>
  </si>
  <si>
    <t xml:space="preserve">AAACGAAGAACCTGGGTCGCGCTT</t>
  </si>
  <si>
    <t xml:space="preserve">CATCGAGGTCGAAAGGGCGT</t>
  </si>
  <si>
    <t xml:space="preserve">TAGTCATCGAGGTCGAAAGGGCGT</t>
  </si>
  <si>
    <t xml:space="preserve">AAACACGCCCTTTCGACCTCGATG</t>
  </si>
  <si>
    <t xml:space="preserve">GGCGCTGTTGATTTTCAGAC</t>
  </si>
  <si>
    <t xml:space="preserve">TAGTGGCGCTGTTGATTTTCAGAC</t>
  </si>
  <si>
    <t xml:space="preserve">AAACGTCTGAAAATCAACAGCGCC</t>
  </si>
  <si>
    <t xml:space="preserve">PSPPH_3393</t>
  </si>
  <si>
    <t xml:space="preserve">TAGTTATCCACGCCAGCAGT</t>
  </si>
  <si>
    <t xml:space="preserve">TAGTTAGTTATCCACGCCAGCAGT</t>
  </si>
  <si>
    <t xml:space="preserve">AAACACTGCTGGCGTGGATAACTA</t>
  </si>
  <si>
    <t xml:space="preserve">ATCTTCATCCTTGCCGAAAC</t>
  </si>
  <si>
    <t xml:space="preserve">TAGTATCTTCATCCTTGCCGAAAC</t>
  </si>
  <si>
    <t xml:space="preserve">AAACGTTTCGGCAAGGATGAAGAT</t>
  </si>
  <si>
    <t xml:space="preserve">ACGTGGAACCGATTTTCCCG</t>
  </si>
  <si>
    <t xml:space="preserve">TAGTACGTGGAACCGATTTTCCCG</t>
  </si>
  <si>
    <t xml:space="preserve">AAACCGGGAAAATCGGTTCCACGT</t>
  </si>
  <si>
    <t xml:space="preserve">GGCCAGCGTCTTTACGCGGC</t>
  </si>
  <si>
    <t xml:space="preserve">TAGTGGCCAGCGTCTTTACGCGGC</t>
  </si>
  <si>
    <t xml:space="preserve">AAACGCCGCGTAAAGACGCTGGCC</t>
  </si>
  <si>
    <t xml:space="preserve">PSPPH_3394</t>
  </si>
  <si>
    <t xml:space="preserve">GGGTGGTTTCATTTCCAGAA</t>
  </si>
  <si>
    <t xml:space="preserve">TAGTGGGTGGTTTCATTTCCAGAA</t>
  </si>
  <si>
    <t xml:space="preserve">AAACTTCTGGAAATGAAACCACCC</t>
  </si>
  <si>
    <t xml:space="preserve">GGTCAAACGCTGGCTCAACG</t>
  </si>
  <si>
    <t xml:space="preserve">TAGTGGTCAAACGCTGGCTCAACG</t>
  </si>
  <si>
    <t xml:space="preserve">AAACCGTTGAGCCAGCGTTTGACC</t>
  </si>
  <si>
    <t xml:space="preserve">GATTCTCGGTGAGCAACAGC</t>
  </si>
  <si>
    <t xml:space="preserve">TAGTGATTCTCGGTGAGCAACAGC</t>
  </si>
  <si>
    <t xml:space="preserve">AAACGCTGTTGCTCACCGAGAATC</t>
  </si>
  <si>
    <t xml:space="preserve">AGCGCACGACGCAGGAAATC</t>
  </si>
  <si>
    <t xml:space="preserve">TAGTAGCGCACGACGCAGGAAATC</t>
  </si>
  <si>
    <t xml:space="preserve">AAACGATTTCCTGCGTCGTGCGCT</t>
  </si>
  <si>
    <t xml:space="preserve">PSPPH_3395</t>
  </si>
  <si>
    <t xml:space="preserve">AATGACGATACTGACGAGGG</t>
  </si>
  <si>
    <t xml:space="preserve">TAGTAATGACGATACTGACGAGGG</t>
  </si>
  <si>
    <t xml:space="preserve">AAACCCCTCGTCAGTATCGTCATT</t>
  </si>
  <si>
    <t xml:space="preserve">AAGAACCGGGGATTGAGGGC</t>
  </si>
  <si>
    <t xml:space="preserve">TAGTAAGAACCGGGGATTGAGGGC</t>
  </si>
  <si>
    <t xml:space="preserve">AAACGCCCTCAATCCCCGGTTCTT</t>
  </si>
  <si>
    <t xml:space="preserve">AGGCACTTTGTAGCGCGGCG</t>
  </si>
  <si>
    <t xml:space="preserve">TAGTAGGCACTTTGTAGCGCGGCG</t>
  </si>
  <si>
    <t xml:space="preserve">AAACCGCCGCGCTACAAAGTGCCT</t>
  </si>
  <si>
    <t xml:space="preserve">GTTGTCGTAAACCTGATTCA</t>
  </si>
  <si>
    <t xml:space="preserve">TAGTGTTGTCGTAAACCTGATTCA</t>
  </si>
  <si>
    <t xml:space="preserve">AAACTGAATCAGGTTTACGACAAC</t>
  </si>
  <si>
    <t xml:space="preserve">PSPPH_3396</t>
  </si>
  <si>
    <t xml:space="preserve">flgL</t>
  </si>
  <si>
    <t xml:space="preserve">CTGGGTAGTTGAGATCCGCA</t>
  </si>
  <si>
    <t xml:space="preserve">TAGTCTGGGTAGTTGAGATCCGCA</t>
  </si>
  <si>
    <t xml:space="preserve">AAACTGCGGATCTCAACTACCCAG</t>
  </si>
  <si>
    <t xml:space="preserve">ACGCTGATAGTTGGTGTTGG</t>
  </si>
  <si>
    <t xml:space="preserve">TAGTACGCTGATAGTTGGTGTTGG</t>
  </si>
  <si>
    <t xml:space="preserve">AAACCCAACACCAACTATCAGCGT</t>
  </si>
  <si>
    <t xml:space="preserve">GCCGCTGGAGACCTCTTCAC</t>
  </si>
  <si>
    <t xml:space="preserve">TAGTGCCGCTGGAGACCTCTTCAC</t>
  </si>
  <si>
    <t xml:space="preserve">AAACGTGAAGAGGTCTCCAGCGGC</t>
  </si>
  <si>
    <t xml:space="preserve">GCCTACCGGATCATCGCTGG</t>
  </si>
  <si>
    <t xml:space="preserve">TAGTGCCTACCGGATCATCGCTGG</t>
  </si>
  <si>
    <t xml:space="preserve">AAACCCAGCGATGATCCGGTAGGC</t>
  </si>
  <si>
    <t xml:space="preserve">PSPPH_3397</t>
  </si>
  <si>
    <t xml:space="preserve">flgK</t>
  </si>
  <si>
    <t xml:space="preserve">GTTGGCCGTGTTGTTACCGA</t>
  </si>
  <si>
    <t xml:space="preserve">TAGTGTTGGCCGTGTTGTTACCGA</t>
  </si>
  <si>
    <t xml:space="preserve">AAACTCGGTAACAACACGGCCAAC</t>
  </si>
  <si>
    <t xml:space="preserve">CTGCTGACGCGAGTAACCGG</t>
  </si>
  <si>
    <t xml:space="preserve">TAGTCTGCTGACGCGAGTAACCGG</t>
  </si>
  <si>
    <t xml:space="preserve">AAACCCGGTTACTCGCGTCAGCAG</t>
  </si>
  <si>
    <t xml:space="preserve">ATTGATCTGTGCCGAAGCCG</t>
  </si>
  <si>
    <t xml:space="preserve">TAGTATTGATCTGTGCCGAAGCCG</t>
  </si>
  <si>
    <t xml:space="preserve">AAACCGGCTTCGGCACAGATCAAT</t>
  </si>
  <si>
    <t xml:space="preserve">TGCCTATGTAACCGACACCC</t>
  </si>
  <si>
    <t xml:space="preserve">TAGTTGCCTATGTAACCGACACCC</t>
  </si>
  <si>
    <t xml:space="preserve">AAACGGGTGTCGGTTACATAGGCA</t>
  </si>
  <si>
    <t xml:space="preserve">PSPPH_3398</t>
  </si>
  <si>
    <t xml:space="preserve">flgJ</t>
  </si>
  <si>
    <t xml:space="preserve">GCTGACGAAATTCCGCTCTT</t>
  </si>
  <si>
    <t xml:space="preserve">TAGTGCTGACGAAATTCCGCTCTT</t>
  </si>
  <si>
    <t xml:space="preserve">AAACAAGAGCGGAATTTCGTCAGC</t>
  </si>
  <si>
    <t xml:space="preserve">GTTGACGTCGGTGTAGGCAC</t>
  </si>
  <si>
    <t xml:space="preserve">TAGTGTTGACGTCGGTGTAGGCAC</t>
  </si>
  <si>
    <t xml:space="preserve">AAACGTGCCTACACCGACGTCAAC</t>
  </si>
  <si>
    <t xml:space="preserve">CATGCTTCAACGCTGCCAGA</t>
  </si>
  <si>
    <t xml:space="preserve">TAGTCATGCTTCAACGCTGCCAGA</t>
  </si>
  <si>
    <t xml:space="preserve">AAACTCTGGCAGCGTTGAAGCATG</t>
  </si>
  <si>
    <t xml:space="preserve">CTGGGCCACCTTCTTCTGGT</t>
  </si>
  <si>
    <t xml:space="preserve">TAGTCTGGGCCACCTTCTTCTGGT</t>
  </si>
  <si>
    <t xml:space="preserve">AAACACCAGAAGAAGGTGGCCCAG</t>
  </si>
  <si>
    <t xml:space="preserve">PSPPH_3399</t>
  </si>
  <si>
    <t xml:space="preserve">flgI</t>
  </si>
  <si>
    <t xml:space="preserve">GAACGCTGTGGACAACAACA</t>
  </si>
  <si>
    <t xml:space="preserve">TAGTGAACGCTGTGGACAACAACA</t>
  </si>
  <si>
    <t xml:space="preserve">AAACTGTTGTTGTCCACAGCGTTC</t>
  </si>
  <si>
    <t xml:space="preserve">TGCGATGTCCTTCAAACGCT</t>
  </si>
  <si>
    <t xml:space="preserve">TAGTTGCGATGTCCTTCAAACGCT</t>
  </si>
  <si>
    <t xml:space="preserve">AAACAGCGTTTGAAGGACATCGCA</t>
  </si>
  <si>
    <t xml:space="preserve">CAACTGGTTGGCCCGCACGC</t>
  </si>
  <si>
    <t xml:space="preserve">TAGTCAACTGGTTGGCCCGCACGC</t>
  </si>
  <si>
    <t xml:space="preserve">AAACGCGTGCGGGCCAACCAGTTG</t>
  </si>
  <si>
    <t xml:space="preserve">TGAACGGGGTCTGGGTGGTC</t>
  </si>
  <si>
    <t xml:space="preserve">TAGTTGAACGGGGTCTGGGTGGTC</t>
  </si>
  <si>
    <t xml:space="preserve">AAACGACCACCCAGACCCCGTTCA</t>
  </si>
  <si>
    <t xml:space="preserve">PSPPH_3400</t>
  </si>
  <si>
    <t xml:space="preserve">flgH</t>
  </si>
  <si>
    <t xml:space="preserve">AAAAACGCGGAACACTAATG</t>
  </si>
  <si>
    <t xml:space="preserve">TAGTAAAAACGCGGAACACTAATG</t>
  </si>
  <si>
    <t xml:space="preserve">AAACCATTAGTGTTCCGCGTTTTT</t>
  </si>
  <si>
    <t xml:space="preserve">CGCAACACAGCCAGACAGCA</t>
  </si>
  <si>
    <t xml:space="preserve">TAGTCGCAACACAGCCAGACAGCA</t>
  </si>
  <si>
    <t xml:space="preserve">AAACTGCTGTCTGGCTGTGTTGCG</t>
  </si>
  <si>
    <t xml:space="preserve">GGGTCATTGGGCTTGGCCGT</t>
  </si>
  <si>
    <t xml:space="preserve">TAGTGGGTCATTGGGCTTGGCCGT</t>
  </si>
  <si>
    <t xml:space="preserve">AAACACGGCCAAGCCCAATGACCC</t>
  </si>
  <si>
    <t xml:space="preserve">GCAACACCGGAGCGTAATAA</t>
  </si>
  <si>
    <t xml:space="preserve">TAGTGCAACACCGGAGCGTAATAA</t>
  </si>
  <si>
    <t xml:space="preserve">AAACTTATTACGCTCCGGTGTTGC</t>
  </si>
  <si>
    <t xml:space="preserve">PSPPH_3401</t>
  </si>
  <si>
    <t xml:space="preserve">flgG</t>
  </si>
  <si>
    <t xml:space="preserve">GTTTTAGCGACGTATAGTGC</t>
  </si>
  <si>
    <t xml:space="preserve">TAGTGTTTTAGCGACGTATAGTGC</t>
  </si>
  <si>
    <t xml:space="preserve">AAACGCACTATACGTCGCTAAAAC</t>
  </si>
  <si>
    <t xml:space="preserve">GGTGTCCTGAGCGGCAAGAC</t>
  </si>
  <si>
    <t xml:space="preserve">TAGTGGTGTCCTGAGCGGCAAGAC</t>
  </si>
  <si>
    <t xml:space="preserve">AAACGTCTTGCCGCTCAGGACACC</t>
  </si>
  <si>
    <t xml:space="preserve">GGTTGTTGGAGATGGTGGTC</t>
  </si>
  <si>
    <t xml:space="preserve">TAGTGGTTGTTGGAGATGGTGGTC</t>
  </si>
  <si>
    <t xml:space="preserve">AAACGACCACCATCTCCAACAACC</t>
  </si>
  <si>
    <t xml:space="preserve">CTGTGGTCGAAACGTTCGCC</t>
  </si>
  <si>
    <t xml:space="preserve">TAGTCTGTGGTCGAAACGTTCGCC</t>
  </si>
  <si>
    <t xml:space="preserve">AAACGGCGAACGTTTCGACCACAG</t>
  </si>
  <si>
    <t xml:space="preserve">PSPPH_3402</t>
  </si>
  <si>
    <t xml:space="preserve">flgF</t>
  </si>
  <si>
    <t xml:space="preserve">GCATCGAGCGGGCCTGTTCA</t>
  </si>
  <si>
    <t xml:space="preserve">TAGTGCATCGAGCGGGCCTGTTCA</t>
  </si>
  <si>
    <t xml:space="preserve">AAACTGAACAGGCCCGCTCGATGC</t>
  </si>
  <si>
    <t xml:space="preserve">GGCATGACCTCGCCAAACAC</t>
  </si>
  <si>
    <t xml:space="preserve">TAGTGGCATGACCTCGCCAAACAC</t>
  </si>
  <si>
    <t xml:space="preserve">AAACGTGTTTGGCGAGGTCATGCC</t>
  </si>
  <si>
    <t xml:space="preserve">CTCATCGCATAGGCACGCGA</t>
  </si>
  <si>
    <t xml:space="preserve">TAGTCTCATCGCATAGGCACGCGA</t>
  </si>
  <si>
    <t xml:space="preserve">AAACTCGCGTGCCTATGCGATGAG</t>
  </si>
  <si>
    <t xml:space="preserve">CCGGCGGAAAAGTCGGTCCC</t>
  </si>
  <si>
    <t xml:space="preserve">TAGTCCGGCGGAAAAGTCGGTCCC</t>
  </si>
  <si>
    <t xml:space="preserve">AAACGGGACCGACTTTTCCGCCGG</t>
  </si>
  <si>
    <t xml:space="preserve">PSPPH_3403</t>
  </si>
  <si>
    <t xml:space="preserve">CCTGGCTGGACACGGCTGAA</t>
  </si>
  <si>
    <t xml:space="preserve">TAGTCCTGGCTGGACACGGCTGAA</t>
  </si>
  <si>
    <t xml:space="preserve">AAACTTCAGCCGTGTCCAGCCAGG</t>
  </si>
  <si>
    <t xml:space="preserve">TCTGCGCCCAGACCAGCCCC</t>
  </si>
  <si>
    <t xml:space="preserve">TAGTTCTGCGCCCAGACCAGCCCC</t>
  </si>
  <si>
    <t xml:space="preserve">AAACGGGGCTGGTCTGGGCGCAGA</t>
  </si>
  <si>
    <t xml:space="preserve">ACAAATGGCAGGGCGACAGC</t>
  </si>
  <si>
    <t xml:space="preserve">TAGTACAAATGGCAGGGCGACAGC</t>
  </si>
  <si>
    <t xml:space="preserve">AAACGCTGTCGCCCTGCCATTTGT</t>
  </si>
  <si>
    <t xml:space="preserve">GACCCTCGCCCTCCTCGCCC</t>
  </si>
  <si>
    <t xml:space="preserve">TAGTGACCCTCGCCCTCCTCGCCC</t>
  </si>
  <si>
    <t xml:space="preserve">AAACGGGCGAGGAGGGCGAGGGTC</t>
  </si>
  <si>
    <t xml:space="preserve">PSPPH_3404</t>
  </si>
  <si>
    <t xml:space="preserve">CACCTCCAGCCTTTTGTTCG</t>
  </si>
  <si>
    <t xml:space="preserve">TAGTCACCTCCAGCCTTTTGTTCG</t>
  </si>
  <si>
    <t xml:space="preserve">AAACCGAACAAAAGGCTGGAGGTG</t>
  </si>
  <si>
    <t xml:space="preserve">GGAGTTGGCAATATTGTTAC</t>
  </si>
  <si>
    <t xml:space="preserve">TAGTGGAGTTGGCAATATTGTTAC</t>
  </si>
  <si>
    <t xml:space="preserve">AAACGTAACAATATTGCCAACTCC</t>
  </si>
  <si>
    <t xml:space="preserve">CGACTTGAACCCGATAGTGC</t>
  </si>
  <si>
    <t xml:space="preserve">TAGTCGACTTGAACCCGATAGTGC</t>
  </si>
  <si>
    <t xml:space="preserve">AAACGCACTATCGGGTTCAAGTCG</t>
  </si>
  <si>
    <t xml:space="preserve">GCGACCACTGCCCAACTGGC</t>
  </si>
  <si>
    <t xml:space="preserve">TAGTGCGACCACTGCCCAACTGGC</t>
  </si>
  <si>
    <t xml:space="preserve">AAACGCCAGTTGGGCAGTGGTCGC</t>
  </si>
  <si>
    <t xml:space="preserve">PSPPH_3405</t>
  </si>
  <si>
    <t xml:space="preserve">flgE</t>
  </si>
  <si>
    <t xml:space="preserve">TTGCAGCATAGAGCCCACTA</t>
  </si>
  <si>
    <t xml:space="preserve">TAGTTTGCAGCATAGAGCCCACTA</t>
  </si>
  <si>
    <t xml:space="preserve">AAACTAGTGGGCTCTATGCTGCAA</t>
  </si>
  <si>
    <t xml:space="preserve">AACGTTGGCAATGTTGTTGC</t>
  </si>
  <si>
    <t xml:space="preserve">TAGTAACGTTGGCAATGTTGTTGC</t>
  </si>
  <si>
    <t xml:space="preserve">AAACGCAACAACATTGCCAACGTT</t>
  </si>
  <si>
    <t xml:space="preserve">GCGCGACGATTTGAAGCCAG</t>
  </si>
  <si>
    <t xml:space="preserve">TAGTGCGCGACGATTTGAAGCCAG</t>
  </si>
  <si>
    <t xml:space="preserve">AAACCTGGCTTCAAATCGTCGCGC</t>
  </si>
  <si>
    <t xml:space="preserve">AATCGATTGAGCGTATTGAT</t>
  </si>
  <si>
    <t xml:space="preserve">TAGTAATCGATTGAGCGTATTGAT</t>
  </si>
  <si>
    <t xml:space="preserve">AAACATCAATACGCTCAATCGATT</t>
  </si>
  <si>
    <t xml:space="preserve">PSPPH_3406</t>
  </si>
  <si>
    <t xml:space="preserve">flgD</t>
  </si>
  <si>
    <t xml:space="preserve">GCTGCTTGCTGTGGTGTTAT</t>
  </si>
  <si>
    <t xml:space="preserve">TAGTGCTGCTTGCTGTGGTGTTAT</t>
  </si>
  <si>
    <t xml:space="preserve">AAACATAACACCACAGCAAGCAGC</t>
  </si>
  <si>
    <t xml:space="preserve">GAATTCGTCGCGGTGGGCGT</t>
  </si>
  <si>
    <t xml:space="preserve">TAGTGAATTCGTCGCGGTGGGCGT</t>
  </si>
  <si>
    <t xml:space="preserve">AAACACGCCCACCGCGACGAATTC</t>
  </si>
  <si>
    <t xml:space="preserve">GTCCTTGCCTAGCGTACCGG</t>
  </si>
  <si>
    <t xml:space="preserve">TAGTGTCCTTGCCTAGCGTACCGG</t>
  </si>
  <si>
    <t xml:space="preserve">AAACCCGGTACGCTAGGCAAGGAC</t>
  </si>
  <si>
    <t xml:space="preserve">TCTGCGTCACGAGCAGCTGC</t>
  </si>
  <si>
    <t xml:space="preserve">TAGTTCTGCGTCACGAGCAGCTGC</t>
  </si>
  <si>
    <t xml:space="preserve">AAACGCAGCTGCTCGTGACGCAGA</t>
  </si>
  <si>
    <t xml:space="preserve">PSPPH_3407</t>
  </si>
  <si>
    <t xml:space="preserve">flgC</t>
  </si>
  <si>
    <t xml:space="preserve">ACCGGCAATGTTGAACACAT</t>
  </si>
  <si>
    <t xml:space="preserve">TAGTACCGGCAATGTTGAACACAT</t>
  </si>
  <si>
    <t xml:space="preserve">AAACATGTGTTCAACATTGCCGGT</t>
  </si>
  <si>
    <t xml:space="preserve">ACGCGTGGTCTGGGCACTCA</t>
  </si>
  <si>
    <t xml:space="preserve">TAGTACGCGTGGTCTGGGCACTCA</t>
  </si>
  <si>
    <t xml:space="preserve">AAACTGAGTGCCCAGACCACGCGT</t>
  </si>
  <si>
    <t xml:space="preserve">CTCGGCGTTGGCGATGTTAC</t>
  </si>
  <si>
    <t xml:space="preserve">TAGTCTCGGCGTTGGCGATGTTAC</t>
  </si>
  <si>
    <t xml:space="preserve">AAACGTAACATCGCCAACGCCGAG</t>
  </si>
  <si>
    <t xml:space="preserve">CTGGTCCATGCTCGAAGACA</t>
  </si>
  <si>
    <t xml:space="preserve">TAGTCTGGTCCATGCTCGAAGACA</t>
  </si>
  <si>
    <t xml:space="preserve">AAACTGTCTTCGAGCATGGACCAG</t>
  </si>
  <si>
    <t xml:space="preserve">PSPPH_3408</t>
  </si>
  <si>
    <t xml:space="preserve">flgB</t>
  </si>
  <si>
    <t xml:space="preserve">ACACCTCTGCACGCTGAGCC</t>
  </si>
  <si>
    <t xml:space="preserve">TAGTACACCTCTGCACGCTGAGCC</t>
  </si>
  <si>
    <t xml:space="preserve">AAACGGCTCAGCGTGCAGAGGTGT</t>
  </si>
  <si>
    <t xml:space="preserve">ATCGGCGTTGGAGATGTTGT</t>
  </si>
  <si>
    <t xml:space="preserve">TAGTATCGGCGTTGGAGATGTTGT</t>
  </si>
  <si>
    <t xml:space="preserve">AAACACAACATCTCCAACGCCGAT</t>
  </si>
  <si>
    <t xml:space="preserve">ATCGCGAGCCTTGAAGTTCG</t>
  </si>
  <si>
    <t xml:space="preserve">TAGTATCGCGAGCCTTGAAGTTCG</t>
  </si>
  <si>
    <t xml:space="preserve">AAACCGAACTTCAAGGCTCGCGAT</t>
  </si>
  <si>
    <t xml:space="preserve">GTTCTGCACCTTGTCGTTTT</t>
  </si>
  <si>
    <t xml:space="preserve">TAGTGTTCTGCACCTTGTCGTTTT</t>
  </si>
  <si>
    <t xml:space="preserve">AAACAAAACGACAAGGTGCAGAAC</t>
  </si>
  <si>
    <t xml:space="preserve">PSPPH_3409</t>
  </si>
  <si>
    <t xml:space="preserve">AGGGTAAAGGGTGGAAATGG</t>
  </si>
  <si>
    <t xml:space="preserve">TAGTAGGGTAAAGGGTGGAAATGG</t>
  </si>
  <si>
    <t xml:space="preserve">AAACCCATTTCCACCCTTTACCCT</t>
  </si>
  <si>
    <t xml:space="preserve">CTTTCTGGACAGCCGTCTCC</t>
  </si>
  <si>
    <t xml:space="preserve">TAGTCTTTCTGGACAGCCGTCTCC</t>
  </si>
  <si>
    <t xml:space="preserve">AAACGGAGACGGCTGTCCAGAAAG</t>
  </si>
  <si>
    <t xml:space="preserve">TCCAGCCATCCTCGGCGCCA</t>
  </si>
  <si>
    <t xml:space="preserve">TAGTTCCAGCCATCCTCGGCGCCA</t>
  </si>
  <si>
    <t xml:space="preserve">AAACTGGCGCCGAGGATGGCTGGA</t>
  </si>
  <si>
    <t xml:space="preserve">CCAATACGTGTCTTCGGTGT</t>
  </si>
  <si>
    <t xml:space="preserve">TAGTCCAATACGTGTCTTCGGTGT</t>
  </si>
  <si>
    <t xml:space="preserve">AAACACACCGAAGACACGTATTGG</t>
  </si>
  <si>
    <t xml:space="preserve">PSPPH_3410</t>
  </si>
  <si>
    <t xml:space="preserve">cynS</t>
  </si>
  <si>
    <t xml:space="preserve">GAAATGTTGCTGTGCGGCAT</t>
  </si>
  <si>
    <t xml:space="preserve">TAGTGAAATGTTGCTGTGCGGCAT</t>
  </si>
  <si>
    <t xml:space="preserve">AAACATGCCGCACAGCAACATTTC</t>
  </si>
  <si>
    <t xml:space="preserve">CAGATTCTGGCGCGGCGCTC</t>
  </si>
  <si>
    <t xml:space="preserve">TAGTCAGATTCTGGCGCGGCGCTC</t>
  </si>
  <si>
    <t xml:space="preserve">AAACGAGCGCCGCGCCAGAATCTG</t>
  </si>
  <si>
    <t xml:space="preserve">CGTCAGGTTCTTTGCGGTCT</t>
  </si>
  <si>
    <t xml:space="preserve">TAGTCGTCAGGTTCTTTGCGGTCT</t>
  </si>
  <si>
    <t xml:space="preserve">AAACAGACCGCAAAGAACCTGACG</t>
  </si>
  <si>
    <t xml:space="preserve">GAGACGCTCGGCGACCACCT</t>
  </si>
  <si>
    <t xml:space="preserve">TAGTGAGACGCTCGGCGACCACCT</t>
  </si>
  <si>
    <t xml:space="preserve">AAACAGGTGGTCGCCGAGCGTCTC</t>
  </si>
  <si>
    <t xml:space="preserve">PSPPH_3411</t>
  </si>
  <si>
    <t xml:space="preserve">ACGTATATGGCGTAACAGCA</t>
  </si>
  <si>
    <t xml:space="preserve">TAGTACGTATATGGCGTAACAGCA</t>
  </si>
  <si>
    <t xml:space="preserve">AAACTGCTGTTACGCCATATACGT</t>
  </si>
  <si>
    <t xml:space="preserve">CCGGGTGAAATTGCCGTGGT</t>
  </si>
  <si>
    <t xml:space="preserve">TAGTCCGGGTGAAATTGCCGTGGT</t>
  </si>
  <si>
    <t xml:space="preserve">AAACACCACGGCAATTTCACCCGG</t>
  </si>
  <si>
    <t xml:space="preserve">TTGCGAGACATGCAGGGCCT</t>
  </si>
  <si>
    <t xml:space="preserve">TAGTTTGCGAGACATGCAGGGCCT</t>
  </si>
  <si>
    <t xml:space="preserve">AAACAGGCCCTGCATGTCTCGCAA</t>
  </si>
  <si>
    <t xml:space="preserve">CTGATCTGTTGCGATAACGC</t>
  </si>
  <si>
    <t xml:space="preserve">TAGTCTGATCTGTTGCGATAACGC</t>
  </si>
  <si>
    <t xml:space="preserve">AAACGCGTTATCGCAACAGATCAG</t>
  </si>
  <si>
    <t xml:space="preserve">PSPPH_3412</t>
  </si>
  <si>
    <t xml:space="preserve">cheR3</t>
  </si>
  <si>
    <t xml:space="preserve">ATCCAAATTACCCGTAGACA</t>
  </si>
  <si>
    <t xml:space="preserve">TAGTATCCAAATTACCCGTAGACA</t>
  </si>
  <si>
    <t xml:space="preserve">AAACTGTCTACGGGTAATTTGGAT</t>
  </si>
  <si>
    <t xml:space="preserve">AGGCTTTTTCCAGAAATACC</t>
  </si>
  <si>
    <t xml:space="preserve">TAGTAGGCTTTTTCCAGAAATACC</t>
  </si>
  <si>
    <t xml:space="preserve">AAACGGTATTTCTGGAAAAAGCCT</t>
  </si>
  <si>
    <t xml:space="preserve">TTCCCCAAGCAAGATGCCAC</t>
  </si>
  <si>
    <t xml:space="preserve">TAGTTTCCCCAAGCAAGATGCCAC</t>
  </si>
  <si>
    <t xml:space="preserve">AAACGTGGCATCTTGCTTGGGGAA</t>
  </si>
  <si>
    <t xml:space="preserve">CATCAGTTTGTTGAGGCGGC</t>
  </si>
  <si>
    <t xml:space="preserve">TAGTCATCAGTTTGTTGAGGCGGC</t>
  </si>
  <si>
    <t xml:space="preserve">AAACGCCGCCTCAACAAACTGATG</t>
  </si>
  <si>
    <t xml:space="preserve">PSPPH_3413</t>
  </si>
  <si>
    <t xml:space="preserve">GACCCACCAGCTGAGTTCGC</t>
  </si>
  <si>
    <t xml:space="preserve">TAGTGACCCACCAGCTGAGTTCGC</t>
  </si>
  <si>
    <t xml:space="preserve">AAACGCGAACTCAGCTGGTGGGTC</t>
  </si>
  <si>
    <t xml:space="preserve">GACGGAACAAGAGCAGCTCC</t>
  </si>
  <si>
    <t xml:space="preserve">TAGTGACGGAACAAGAGCAGCTCC</t>
  </si>
  <si>
    <t xml:space="preserve">AAACGGAGCTGCTCTTGTTCCGTC</t>
  </si>
  <si>
    <t xml:space="preserve">TGGGCATGATGGTGAGTTTC</t>
  </si>
  <si>
    <t xml:space="preserve">TAGTTGGGCATGATGGTGAGTTTC</t>
  </si>
  <si>
    <t xml:space="preserve">AAACGAAACTCACCATCATGCCCA</t>
  </si>
  <si>
    <t xml:space="preserve">CCGGACGATCTTGCTCGATT</t>
  </si>
  <si>
    <t xml:space="preserve">TAGTCCGGACGATCTTGCTCGATT</t>
  </si>
  <si>
    <t xml:space="preserve">AAACAATCGAGCAAGATCGTCCGG</t>
  </si>
  <si>
    <t xml:space="preserve">PSPPH_3414</t>
  </si>
  <si>
    <t xml:space="preserve">GCCTGCGGGTTTCTAATGCG</t>
  </si>
  <si>
    <t xml:space="preserve">TAGTGCCTGCGGGTTTCTAATGCG</t>
  </si>
  <si>
    <t xml:space="preserve">AAACCGCATTAGAAACCCGCAGGC</t>
  </si>
  <si>
    <t xml:space="preserve">CAAGGCTCACCGTGCCACAA</t>
  </si>
  <si>
    <t xml:space="preserve">TAGTCAAGGCTCACCGTGCCACAA</t>
  </si>
  <si>
    <t xml:space="preserve">AAACTTGTGGCACGGTGAGCCTTG</t>
  </si>
  <si>
    <t xml:space="preserve">GTGACGCCGATAAGCTGTTC</t>
  </si>
  <si>
    <t xml:space="preserve">TAGTGTGACGCCGATAAGCTGTTC</t>
  </si>
  <si>
    <t xml:space="preserve">AAACGAACAGCTTATCGGCGTCAC</t>
  </si>
  <si>
    <t xml:space="preserve">TGTGAACTCAAGAAACCCTT</t>
  </si>
  <si>
    <t xml:space="preserve">TAGTTGTGAACTCAAGAAACCCTT</t>
  </si>
  <si>
    <t xml:space="preserve">AAACAAGGGTTTCTTGAGTTCACA</t>
  </si>
  <si>
    <t xml:space="preserve">PSPPH_3415</t>
  </si>
  <si>
    <t xml:space="preserve">CAACAGACTGTGAATTGTTA</t>
  </si>
  <si>
    <t xml:space="preserve">TAGTCAACAGACTGTGAATTGTTA</t>
  </si>
  <si>
    <t xml:space="preserve">AAACTAACAATTCACAGTCTGTTG</t>
  </si>
  <si>
    <t xml:space="preserve">GGCACTGGTACGTGTTGTAC</t>
  </si>
  <si>
    <t xml:space="preserve">TAGTGGCACTGGTACGTGTTGTAC</t>
  </si>
  <si>
    <t xml:space="preserve">AAACGTACAACACGTACCAGTGCC</t>
  </si>
  <si>
    <t xml:space="preserve">GGTTTTGACGGTGTCTTTAC</t>
  </si>
  <si>
    <t xml:space="preserve">TAGTGGTTTTGACGGTGTCTTTAC</t>
  </si>
  <si>
    <t xml:space="preserve">AAACGTAAAGACACCGTCAAAACC</t>
  </si>
  <si>
    <t xml:space="preserve">GGCTGCAGGAGCTGTCGCAT</t>
  </si>
  <si>
    <t xml:space="preserve">TAGTGGCTGCAGGAGCTGTCGCAT</t>
  </si>
  <si>
    <t xml:space="preserve">AAACATGCGACAGCTCCTGCAGCC</t>
  </si>
  <si>
    <t xml:space="preserve">PSPPH_3416</t>
  </si>
  <si>
    <t xml:space="preserve">CAGCAGCTCTAGAAGCTGTC</t>
  </si>
  <si>
    <t xml:space="preserve">TAGTCAGCAGCTCTAGAAGCTGTC</t>
  </si>
  <si>
    <t xml:space="preserve">AAACGACAGCTTCTAGAGCTGCTG</t>
  </si>
  <si>
    <t xml:space="preserve">GCCGTGAAGAATCAGGGATT</t>
  </si>
  <si>
    <t xml:space="preserve">TAGTGCCGTGAAGAATCAGGGATT</t>
  </si>
  <si>
    <t xml:space="preserve">AAACAATCCCTGATTCTTCACGGC</t>
  </si>
  <si>
    <t xml:space="preserve">GCTCCATCTCGCCCATGTCG</t>
  </si>
  <si>
    <t xml:space="preserve">TAGTGCTCCATCTCGCCCATGTCG</t>
  </si>
  <si>
    <t xml:space="preserve">AAACCGACATGGGCGAGATGGAGC</t>
  </si>
  <si>
    <t xml:space="preserve">GCCCCATGCCCGCAAGCACC</t>
  </si>
  <si>
    <t xml:space="preserve">TAGTGCCCCATGCCCGCAAGCACC</t>
  </si>
  <si>
    <t xml:space="preserve">AAACGGTGCTTGCGGGCATGGGGC</t>
  </si>
  <si>
    <t xml:space="preserve">PSPPH_3417</t>
  </si>
  <si>
    <t xml:space="preserve">TTGAGGACCTTCGGGGGCTG</t>
  </si>
  <si>
    <t xml:space="preserve">TAGTTTGAGGACCTTCGGGGGCTG</t>
  </si>
  <si>
    <t xml:space="preserve">AAACCAGCCCCCGAAGGTCCTCAA</t>
  </si>
  <si>
    <t xml:space="preserve">AGGTTAGCGGCAATTTCCAA</t>
  </si>
  <si>
    <t xml:space="preserve">TAGTAGGTTAGCGGCAATTTCCAA</t>
  </si>
  <si>
    <t xml:space="preserve">AAACTTGGAAATTGCCGCTAACCT</t>
  </si>
  <si>
    <t xml:space="preserve">GACTCTCGAGTAGCAACCGC</t>
  </si>
  <si>
    <t xml:space="preserve">TAGTGACTCTCGAGTAGCAACCGC</t>
  </si>
  <si>
    <t xml:space="preserve">AAACGCGGTTGCTACTCGAGAGTC</t>
  </si>
  <si>
    <t xml:space="preserve">TCATGGAAGGTAATGATCAG</t>
  </si>
  <si>
    <t xml:space="preserve">TAGTTCATGGAAGGTAATGATCAG</t>
  </si>
  <si>
    <t xml:space="preserve">AAACCTGATCATTACCTTCCATGA</t>
  </si>
  <si>
    <t xml:space="preserve">PSPPH_3418</t>
  </si>
  <si>
    <t xml:space="preserve">CTCGAAAGGACTTCCAGATT</t>
  </si>
  <si>
    <t xml:space="preserve">TAGTCTCGAAAGGACTTCCAGATT</t>
  </si>
  <si>
    <t xml:space="preserve">AAACAATCTGGAAGTCCTTTCGAG</t>
  </si>
  <si>
    <t xml:space="preserve">ACCGATCAACATCATCAACG</t>
  </si>
  <si>
    <t xml:space="preserve">TAGTACCGATCAACATCATCAACG</t>
  </si>
  <si>
    <t xml:space="preserve">AAACCGTTGATGATGTTGATCGGT</t>
  </si>
  <si>
    <t xml:space="preserve">CTGATCGGCCGCCAGGCGCA</t>
  </si>
  <si>
    <t xml:space="preserve">TAGTCTGATCGGCCGCCAGGCGCA</t>
  </si>
  <si>
    <t xml:space="preserve">AAACTGCGCCTGGCGGCCGATCAG</t>
  </si>
  <si>
    <t xml:space="preserve">CCATCAGCGCACCGACCCAC</t>
  </si>
  <si>
    <t xml:space="preserve">TAGTCCATCAGCGCACCGACCCAC</t>
  </si>
  <si>
    <t xml:space="preserve">AAACGTGGGTCGGTGCGCTGATGG</t>
  </si>
  <si>
    <t xml:space="preserve">PSPPH_3419</t>
  </si>
  <si>
    <t xml:space="preserve">ATGGGGGTCATTGCGTGTCA</t>
  </si>
  <si>
    <t xml:space="preserve">TAGTATGGGGGTCATTGCGTGTCA</t>
  </si>
  <si>
    <t xml:space="preserve">AAACTGACACGCAATGACCCCCAT</t>
  </si>
  <si>
    <t xml:space="preserve">CCCATCAGCAGCTGTGCCAG</t>
  </si>
  <si>
    <t xml:space="preserve">TAGTCCCATCAGCAGCTGTGCCAG</t>
  </si>
  <si>
    <t xml:space="preserve">AAACCTGGCACAGCTGCTGATGGG</t>
  </si>
  <si>
    <t xml:space="preserve">AGGCACGCCGTTCAGGTCCG</t>
  </si>
  <si>
    <t xml:space="preserve">TAGTAGGCACGCCGTTCAGGTCCG</t>
  </si>
  <si>
    <t xml:space="preserve">AAACCGGACCTGAACGGCGTGCCT</t>
  </si>
  <si>
    <t xml:space="preserve">GCGGTCATCACCTTGCCGCG</t>
  </si>
  <si>
    <t xml:space="preserve">TAGTGCGGTCATCACCTTGCCGCG</t>
  </si>
  <si>
    <t xml:space="preserve">AAACCGCGGCAAGGTGATGACCGC</t>
  </si>
  <si>
    <t xml:space="preserve">PSPPH_3420</t>
  </si>
  <si>
    <t xml:space="preserve">TACTGGAATCGGTGCGCTCA</t>
  </si>
  <si>
    <t xml:space="preserve">TAGTTACTGGAATCGGTGCGCTCA</t>
  </si>
  <si>
    <t xml:space="preserve">AAACTGAGCGCACCGATTCCAGTA</t>
  </si>
  <si>
    <t xml:space="preserve">TCCTCCAGAGGCGGTAACAG</t>
  </si>
  <si>
    <t xml:space="preserve">TAGTTCCTCCAGAGGCGGTAACAG</t>
  </si>
  <si>
    <t xml:space="preserve">AAACCTGTTACCGCCTCTGGAGGA</t>
  </si>
  <si>
    <t xml:space="preserve">TCCCATATGTGTTCGAGGTA</t>
  </si>
  <si>
    <t xml:space="preserve">TAGTTCCCATATGTGTTCGAGGTA</t>
  </si>
  <si>
    <t xml:space="preserve">AAACTACCTCGAACACATATGGGA</t>
  </si>
  <si>
    <t xml:space="preserve">GACCGCCATTGGTGAGCTGG</t>
  </si>
  <si>
    <t xml:space="preserve">TAGTGACCGCCATTGGTGAGCTGG</t>
  </si>
  <si>
    <t xml:space="preserve">AAACCCAGCTCACCAATGGCGGTC</t>
  </si>
  <si>
    <t xml:space="preserve">PSPPH_3421</t>
  </si>
  <si>
    <t xml:space="preserve">GAAAACGACAGGAGCAGACC</t>
  </si>
  <si>
    <t xml:space="preserve">TAGTGAAAACGACAGGAGCAGACC</t>
  </si>
  <si>
    <t xml:space="preserve">AAACGGTCTGCTCCTGTCGTTTTC</t>
  </si>
  <si>
    <t xml:space="preserve">CTACCCAGCGGATAGAAATT</t>
  </si>
  <si>
    <t xml:space="preserve">TAGTCTACCCAGCGGATAGAAATT</t>
  </si>
  <si>
    <t xml:space="preserve">AAACAATTTCTATCCGCTGGGTAG</t>
  </si>
  <si>
    <t xml:space="preserve">GGCGGTGGAGGATTTCCAGA</t>
  </si>
  <si>
    <t xml:space="preserve">TAGTGGCGGTGGAGGATTTCCAGA</t>
  </si>
  <si>
    <t xml:space="preserve">AAACTCTGGAAATCCTCCACCGCC</t>
  </si>
  <si>
    <t xml:space="preserve">CGATGCAGTAGTGGACGTTC</t>
  </si>
  <si>
    <t xml:space="preserve">TAGTCGATGCAGTAGTGGACGTTC</t>
  </si>
  <si>
    <t xml:space="preserve">AAACGAACGTCCACTACTGCATCG</t>
  </si>
  <si>
    <t xml:space="preserve">PSPPH_3422</t>
  </si>
  <si>
    <t xml:space="preserve">CGGGGATGACAATACTGACC</t>
  </si>
  <si>
    <t xml:space="preserve">TAGTCGGGGATGACAATACTGACC</t>
  </si>
  <si>
    <t xml:space="preserve">AAACGGTCAGTATTGTCATCCCCG</t>
  </si>
  <si>
    <t xml:space="preserve">GAAGAAAGCCGGTTTGTAAG</t>
  </si>
  <si>
    <t xml:space="preserve">TAGTGAAGAAAGCCGGTTTGTAAG</t>
  </si>
  <si>
    <t xml:space="preserve">AAACCTTACAAACCGGCTTTCTTC</t>
  </si>
  <si>
    <t xml:space="preserve">GTGGTTCTGGCGCAGCGCGC</t>
  </si>
  <si>
    <t xml:space="preserve">TAGTGTGGTTCTGGCGCAGCGCGC</t>
  </si>
  <si>
    <t xml:space="preserve">AAACGCGCGCTGCGCCAGAACCAC</t>
  </si>
  <si>
    <t xml:space="preserve">GCCATCGTCACGGCAGTCGT</t>
  </si>
  <si>
    <t xml:space="preserve">TAGTGCCATCGTCACGGCAGTCGT</t>
  </si>
  <si>
    <t xml:space="preserve">AAACACGACTGCCGTGACGATGGC</t>
  </si>
  <si>
    <t xml:space="preserve">PSPPH_3423</t>
  </si>
  <si>
    <t xml:space="preserve">ATATTCTATGTTCACGATCC</t>
  </si>
  <si>
    <t xml:space="preserve">TAGTATATTCTATGTTCACGATCC</t>
  </si>
  <si>
    <t xml:space="preserve">AAACGGATCGTGAACATAGAATAT</t>
  </si>
  <si>
    <t xml:space="preserve">TCATTGTCCAGCGAATGAGC</t>
  </si>
  <si>
    <t xml:space="preserve">TAGTTCATTGTCCAGCGAATGAGC</t>
  </si>
  <si>
    <t xml:space="preserve">AAACGCTCATTCGCTGGACAATGA</t>
  </si>
  <si>
    <t xml:space="preserve">ATTTTCTCGACATCCCATTC</t>
  </si>
  <si>
    <t xml:space="preserve">TAGTATTTTCTCGACATCCCATTC</t>
  </si>
  <si>
    <t xml:space="preserve">AAACGAATGGGATGTCGAGAAAAT</t>
  </si>
  <si>
    <t xml:space="preserve">GATGCGCCGCTCGCCAATAC</t>
  </si>
  <si>
    <t xml:space="preserve">TAGTGATGCGCCGCTCGCCAATAC</t>
  </si>
  <si>
    <t xml:space="preserve">AAACGTATTGGCGAGCGGCGCATC</t>
  </si>
  <si>
    <t xml:space="preserve">PSPPH_3424</t>
  </si>
  <si>
    <t xml:space="preserve">ACCTACGATGAGCAATCTAT</t>
  </si>
  <si>
    <t xml:space="preserve">TAGTACCTACGATGAGCAATCTAT</t>
  </si>
  <si>
    <t xml:space="preserve">AAACATAGATTGCTCATCGTAGGT</t>
  </si>
  <si>
    <t xml:space="preserve">CACTTCACGGCCGAAAGCGC</t>
  </si>
  <si>
    <t xml:space="preserve">TAGTCACTTCACGGCCGAAAGCGC</t>
  </si>
  <si>
    <t xml:space="preserve">AAACGCGCTTTCGGCCGTGAAGTG</t>
  </si>
  <si>
    <t xml:space="preserve">AATCCGGCGATGAGCCATCC</t>
  </si>
  <si>
    <t xml:space="preserve">TAGTAATCCGGCGATGAGCCATCC</t>
  </si>
  <si>
    <t xml:space="preserve">AAACGGATGGCTCATCGCCGGATT</t>
  </si>
  <si>
    <t xml:space="preserve">CGAAGCGCTCGGTTGAGCCC</t>
  </si>
  <si>
    <t xml:space="preserve">TAGTCGAAGCGCTCGGTTGAGCCC</t>
  </si>
  <si>
    <t xml:space="preserve">AAACGGGCTCAACCGAGCGCTTCG</t>
  </si>
  <si>
    <t xml:space="preserve">PSPPH_3425</t>
  </si>
  <si>
    <t xml:space="preserve">AATTTGCCGCTTAATGAAAA</t>
  </si>
  <si>
    <t xml:space="preserve">TAGTAATTTGCCGCTTAATGAAAA</t>
  </si>
  <si>
    <t xml:space="preserve">AAACTTTTCATTAAGCGGCAAATT</t>
  </si>
  <si>
    <t xml:space="preserve">CTGGCTGCCGATGCCGGAAG</t>
  </si>
  <si>
    <t xml:space="preserve">TAGTCTGGCTGCCGATGCCGGAAG</t>
  </si>
  <si>
    <t xml:space="preserve">AAACCTTCCGGCATCGGCAGCCAG</t>
  </si>
  <si>
    <t xml:space="preserve">GTACCACCCGGGCGCCCTGC</t>
  </si>
  <si>
    <t xml:space="preserve">TAGTGTACCACCCGGGCGCCCTGC</t>
  </si>
  <si>
    <t xml:space="preserve">AAACGCAGGGCGCCCGGGTGGTAC</t>
  </si>
  <si>
    <t xml:space="preserve">TTCAAGCCGTTCGGTGTTCC</t>
  </si>
  <si>
    <t xml:space="preserve">TAGTTTCAAGCCGTTCGGTGTTCC</t>
  </si>
  <si>
    <t xml:space="preserve">AAACGGAACACCGAACGGCTTGAA</t>
  </si>
  <si>
    <t xml:space="preserve">PSPPH_3426</t>
  </si>
  <si>
    <t xml:space="preserve">CAGACTTTGTCCTTTGCTCA</t>
  </si>
  <si>
    <t xml:space="preserve">TAGTCAGACTTTGTCCTTTGCTCA</t>
  </si>
  <si>
    <t xml:space="preserve">AAACTGAGCAAAGGACAAAGTCTG</t>
  </si>
  <si>
    <t xml:space="preserve">CATGAAGGTCAGGACCGCAA</t>
  </si>
  <si>
    <t xml:space="preserve">TAGTCATGAAGGTCAGGACCGCAA</t>
  </si>
  <si>
    <t xml:space="preserve">AAACTTGCGGTCCTGACCTTCATG</t>
  </si>
  <si>
    <t xml:space="preserve">CGTTGAGACGGTTGGCCGAC</t>
  </si>
  <si>
    <t xml:space="preserve">TAGTCGTTGAGACGGTTGGCCGAC</t>
  </si>
  <si>
    <t xml:space="preserve">AAACGTCGGCCAACCGTCTCAACG</t>
  </si>
  <si>
    <t xml:space="preserve">PSPPH_3427</t>
  </si>
  <si>
    <t xml:space="preserve">CGATCACCATGGAAAAGTCG</t>
  </si>
  <si>
    <t xml:space="preserve">TAGTCGATCACCATGGAAAAGTCG</t>
  </si>
  <si>
    <t xml:space="preserve">AAACCGACTTTTCCATGGTGATCG</t>
  </si>
  <si>
    <t xml:space="preserve">TTTCATGTCATGTACGGTGG</t>
  </si>
  <si>
    <t xml:space="preserve">TAGTTTTCATGTCATGTACGGTGG</t>
  </si>
  <si>
    <t xml:space="preserve">AAACCCACCGTACATGACATGAAA</t>
  </si>
  <si>
    <t xml:space="preserve">CTCGCTGTGCGCCTGTGTCA</t>
  </si>
  <si>
    <t xml:space="preserve">TAGTCTCGCTGTGCGCCTGTGTCA</t>
  </si>
  <si>
    <t xml:space="preserve">AAACTGACACAGGCGCACAGCGAG</t>
  </si>
  <si>
    <t xml:space="preserve">CGGCATGTCACGCTGATGAC</t>
  </si>
  <si>
    <t xml:space="preserve">TAGTCGGCATGTCACGCTGATGAC</t>
  </si>
  <si>
    <t xml:space="preserve">AAACGTCATCAGCGTGACATGCCG</t>
  </si>
  <si>
    <t xml:space="preserve">PSPPH_3428</t>
  </si>
  <si>
    <t xml:space="preserve">CAACGATAAGAAAGCTTTTT</t>
  </si>
  <si>
    <t xml:space="preserve">TAGTCAACGATAAGAAAGCTTTTT</t>
  </si>
  <si>
    <t xml:space="preserve">AAACAAAAAGCTTTCTTATCGTTG</t>
  </si>
  <si>
    <t xml:space="preserve">CGCCTGCTCGCCGGTGTCGG</t>
  </si>
  <si>
    <t xml:space="preserve">TAGTCGCCTGCTCGCCGGTGTCGG</t>
  </si>
  <si>
    <t xml:space="preserve">AAACCCGACACCGGCGAGCAGGCG</t>
  </si>
  <si>
    <t xml:space="preserve">GCACCTGCTGGCCATTCTTG</t>
  </si>
  <si>
    <t xml:space="preserve">TAGTGCACCTGCTGGCCATTCTTG</t>
  </si>
  <si>
    <t xml:space="preserve">AAACCAAGAATGGCCAGCAGGTGC</t>
  </si>
  <si>
    <t xml:space="preserve">GACCATCGCCTGACTGTTTT</t>
  </si>
  <si>
    <t xml:space="preserve">TAGTGACCATCGCCTGACTGTTTT</t>
  </si>
  <si>
    <t xml:space="preserve">AAACAAAACAGTCAGGCGATGGTC</t>
  </si>
  <si>
    <t xml:space="preserve">PSPPH_3429</t>
  </si>
  <si>
    <t xml:space="preserve">TGCGGAGAAATGACGAGACA</t>
  </si>
  <si>
    <t xml:space="preserve">TAGTTGCGGAGAAATGACGAGACA</t>
  </si>
  <si>
    <t xml:space="preserve">AAACTGTCTCGTCATTTCTCCGCA</t>
  </si>
  <si>
    <t xml:space="preserve">AGCGAACAGGCCAGGGGCTC</t>
  </si>
  <si>
    <t xml:space="preserve">TAGTAGCGAACAGGCCAGGGGCTC</t>
  </si>
  <si>
    <t xml:space="preserve">AAACGAGCCCCTGGCCTGTTCGCT</t>
  </si>
  <si>
    <t xml:space="preserve">CGGTCAATGCAGCGCCAAAC</t>
  </si>
  <si>
    <t xml:space="preserve">TAGTCGGTCAATGCAGCGCCAAAC</t>
  </si>
  <si>
    <t xml:space="preserve">AAACGTTTGGCGCTGCATTGACCG</t>
  </si>
  <si>
    <t xml:space="preserve">CGCGTTGCCAGGAACGACAA</t>
  </si>
  <si>
    <t xml:space="preserve">TAGTCGCGTTGCCAGGAACGACAA</t>
  </si>
  <si>
    <t xml:space="preserve">AAACTTGTCGTTCCTGGCAACGCG</t>
  </si>
  <si>
    <t xml:space="preserve">PSPPH_3430</t>
  </si>
  <si>
    <t xml:space="preserve">GATGCAGTCGAGCATCAGGA</t>
  </si>
  <si>
    <t xml:space="preserve">TAGTGATGCAGTCGAGCATCAGGA</t>
  </si>
  <si>
    <t xml:space="preserve">AAACTCCTGATGCTCGACTGCATC</t>
  </si>
  <si>
    <t xml:space="preserve">TGGCGTTAATCACTTGTCTT</t>
  </si>
  <si>
    <t xml:space="preserve">TAGTTGGCGTTAATCACTTGTCTT</t>
  </si>
  <si>
    <t xml:space="preserve">AAACAAGACAAGTGATTAACGCCA</t>
  </si>
  <si>
    <t xml:space="preserve">GCTGCCTTTCGGGCTTACGG</t>
  </si>
  <si>
    <t xml:space="preserve">TAGTGCTGCCTTTCGGGCTTACGG</t>
  </si>
  <si>
    <t xml:space="preserve">AAACCCGTAAGCCCGAAAGGCAGC</t>
  </si>
  <si>
    <t xml:space="preserve">CACGCTGGGACAGGGTTTCA</t>
  </si>
  <si>
    <t xml:space="preserve">TAGTCACGCTGGGACAGGGTTTCA</t>
  </si>
  <si>
    <t xml:space="preserve">AAACTGAAACCCTGTCCCAGCGTG</t>
  </si>
  <si>
    <t xml:space="preserve">PSPPH_3431</t>
  </si>
  <si>
    <t xml:space="preserve">pobR</t>
  </si>
  <si>
    <t xml:space="preserve">TATCGTTGCAGTGGCAGGTC</t>
  </si>
  <si>
    <t xml:space="preserve">TAGTTATCGTTGCAGTGGCAGGTC</t>
  </si>
  <si>
    <t xml:space="preserve">AAACGACCTGCCACTGCAACGATA</t>
  </si>
  <si>
    <t xml:space="preserve">TCCCCGTAAAGCTTGAACAC</t>
  </si>
  <si>
    <t xml:space="preserve">TAGTTCCCCGTAAAGCTTGAACAC</t>
  </si>
  <si>
    <t xml:space="preserve">AAACGTGTTCAAGCTTTACGGGGA</t>
  </si>
  <si>
    <t xml:space="preserve">GTCCGGGGTCGGCCAGGCAG</t>
  </si>
  <si>
    <t xml:space="preserve">TAGTGTCCGGGGTCGGCCAGGCAG</t>
  </si>
  <si>
    <t xml:space="preserve">AAACCTGCCTGGCCGACCCCGGAC</t>
  </si>
  <si>
    <t xml:space="preserve">GGATCGACTCGCAATGGATC</t>
  </si>
  <si>
    <t xml:space="preserve">TAGTGGATCGACTCGCAATGGATC</t>
  </si>
  <si>
    <t xml:space="preserve">AAACGATCCATTGCGAGTCGATCC</t>
  </si>
  <si>
    <t xml:space="preserve">PSPPH_3432</t>
  </si>
  <si>
    <t xml:space="preserve">pobA</t>
  </si>
  <si>
    <t xml:space="preserve">AATTGCAACCTGGGTTTTCA</t>
  </si>
  <si>
    <t xml:space="preserve">TAGTAATTGCAACCTGGGTTTTCA</t>
  </si>
  <si>
    <t xml:space="preserve">AAACTGAAAACCCAGGTTGCAATT</t>
  </si>
  <si>
    <t xml:space="preserve">GGCCCAGCAGCAGCCCTGAA</t>
  </si>
  <si>
    <t xml:space="preserve">TAGTGGCCCAGCAGCAGCCCTGAA</t>
  </si>
  <si>
    <t xml:space="preserve">AAACTTCAGGGCTGCTGCTGGGCC</t>
  </si>
  <si>
    <t xml:space="preserve">TGCCGGCACGCTGCAGCAGT</t>
  </si>
  <si>
    <t xml:space="preserve">TAGTTGCCGGCACGCTGCAGCAGT</t>
  </si>
  <si>
    <t xml:space="preserve">AAACACTGCTGCAGCGTGCCGGCA</t>
  </si>
  <si>
    <t xml:space="preserve">TGCGCGAGAGGATGTAATCG</t>
  </si>
  <si>
    <t xml:space="preserve">TAGTTGCGCGAGAGGATGTAATCG</t>
  </si>
  <si>
    <t xml:space="preserve">AAACCGATTACATCCTCTCGCGCA</t>
  </si>
  <si>
    <t xml:space="preserve">PSPPH_3433</t>
  </si>
  <si>
    <t xml:space="preserve">GTGGGTCGAGGTAGCGGTCA</t>
  </si>
  <si>
    <t xml:space="preserve">TAGTGTGGGTCGAGGTAGCGGTCA</t>
  </si>
  <si>
    <t xml:space="preserve">AAACTGACCGCTACCTCGACCCAC</t>
  </si>
  <si>
    <t xml:space="preserve">TAAGGCGCAGGGTGATACGA</t>
  </si>
  <si>
    <t xml:space="preserve">TAGTTAAGGCGCAGGGTGATACGA</t>
  </si>
  <si>
    <t xml:space="preserve">AAACTCGTATCACCCTGCGCCTTA</t>
  </si>
  <si>
    <t xml:space="preserve">GGTAGCAGATGAAGATAAAC</t>
  </si>
  <si>
    <t xml:space="preserve">TAGTGGTAGCAGATGAAGATAAAC</t>
  </si>
  <si>
    <t xml:space="preserve">AAACGTTTATCTTCATCTGCTACC</t>
  </si>
  <si>
    <t xml:space="preserve">CGCGGTCCAGGTAATTGAAC</t>
  </si>
  <si>
    <t xml:space="preserve">TAGTCGCGGTCCAGGTAATTGAAC</t>
  </si>
  <si>
    <t xml:space="preserve">AAACGTTCAATTACCTGGACCGCG</t>
  </si>
  <si>
    <t xml:space="preserve">PSPPH_3434</t>
  </si>
  <si>
    <t xml:space="preserve">AACCGGCATGGGTCAGGGCG</t>
  </si>
  <si>
    <t xml:space="preserve">TAGTAACCGGCATGGGTCAGGGCG</t>
  </si>
  <si>
    <t xml:space="preserve">AAACCGCCCTGACCCATGCCGGTT</t>
  </si>
  <si>
    <t xml:space="preserve">TCTGGCGGTTTCGCCACCGG</t>
  </si>
  <si>
    <t xml:space="preserve">TAGTTCTGGCGGTTTCGCCACCGG</t>
  </si>
  <si>
    <t xml:space="preserve">AAACCCGGTGGCGAAACCGCCAGA</t>
  </si>
  <si>
    <t xml:space="preserve">GATATCCGCTGCAATCAGAA</t>
  </si>
  <si>
    <t xml:space="preserve">TAGTGATATCCGCTGCAATCAGAA</t>
  </si>
  <si>
    <t xml:space="preserve">AAACTTCTGATTGCAGCGGATATC</t>
  </si>
  <si>
    <t xml:space="preserve">CTCGGCCAGAACCACGCCGG</t>
  </si>
  <si>
    <t xml:space="preserve">TAGTCTCGGCCAGAACCACGCCGG</t>
  </si>
  <si>
    <t xml:space="preserve">AAACCCGGCGTGGTTCTGGCCGAG</t>
  </si>
  <si>
    <t xml:space="preserve">PSPPH_3435</t>
  </si>
  <si>
    <t xml:space="preserve">pdxA2</t>
  </si>
  <si>
    <t xml:space="preserve">CCCATGGTGATACCAATGAC</t>
  </si>
  <si>
    <t xml:space="preserve">TAGTCCCATGGTGATACCAATGAC</t>
  </si>
  <si>
    <t xml:space="preserve">AAACGTCATTGGTATCACCATGGG</t>
  </si>
  <si>
    <t xml:space="preserve">GATTTCCGGTCCCACCCCGG</t>
  </si>
  <si>
    <t xml:space="preserve">TAGTGATTTCCGGTCCCACCCCGG</t>
  </si>
  <si>
    <t xml:space="preserve">AAACCCGGGGTGGGACCGGAAATC</t>
  </si>
  <si>
    <t xml:space="preserve">GGTGGCGTACACCGAGGCGT</t>
  </si>
  <si>
    <t xml:space="preserve">TAGTGGTGGCGTACACCGAGGCGT</t>
  </si>
  <si>
    <t xml:space="preserve">AAACACGCCTCGGTGTACGCCACC</t>
  </si>
  <si>
    <t xml:space="preserve">GCCGATCACCAGCGGACGGC</t>
  </si>
  <si>
    <t xml:space="preserve">TAGTGCCGATCACCAGCGGACGGC</t>
  </si>
  <si>
    <t xml:space="preserve">AAACGCCGTCCGCTGGTGATCGGC</t>
  </si>
  <si>
    <t xml:space="preserve">PSPPH_3436</t>
  </si>
  <si>
    <t xml:space="preserve">CGAGGTGTCTTGCGCGTTGA</t>
  </si>
  <si>
    <t xml:space="preserve">TAGTCGAGGTGTCTTGCGCGTTGA</t>
  </si>
  <si>
    <t xml:space="preserve">AAACTCAACGCGCAAGACACCTCG</t>
  </si>
  <si>
    <t xml:space="preserve">CAGGCGCATGCTCATCCAGG</t>
  </si>
  <si>
    <t xml:space="preserve">TAGTCAGGCGCATGCTCATCCAGG</t>
  </si>
  <si>
    <t xml:space="preserve">AAACCCTGGATGAGCATGCGCCTG</t>
  </si>
  <si>
    <t xml:space="preserve">GGCGACCATGTATTGCTCGC</t>
  </si>
  <si>
    <t xml:space="preserve">TAGTGGCGACCATGTATTGCTCGC</t>
  </si>
  <si>
    <t xml:space="preserve">AAACGCGAGCAATACATGGTCGCC</t>
  </si>
  <si>
    <t xml:space="preserve">GAAGGCGGGCATGGTGCGCG</t>
  </si>
  <si>
    <t xml:space="preserve">TAGTGAAGGCGGGCATGGTGCGCG</t>
  </si>
  <si>
    <t xml:space="preserve">AAACCGCGCACCATGCCCGCCTTC</t>
  </si>
  <si>
    <t xml:space="preserve">PSPPH_3437</t>
  </si>
  <si>
    <t xml:space="preserve">TGGCAGGAACGCGTCCTGGC</t>
  </si>
  <si>
    <t xml:space="preserve">TAGTTGGCAGGAACGCGTCCTGGC</t>
  </si>
  <si>
    <t xml:space="preserve">AAACGCCAGGACGCGTTCCTGCCA</t>
  </si>
  <si>
    <t xml:space="preserve">TGGTTCTGCGCGTAAGGCGT</t>
  </si>
  <si>
    <t xml:space="preserve">TAGTTGGTTCTGCGCGTAAGGCGT</t>
  </si>
  <si>
    <t xml:space="preserve">AAACACGCCTTACGCGCAGAACCA</t>
  </si>
  <si>
    <t xml:space="preserve">GCTCGTGCAGGTTCGCGGCA</t>
  </si>
  <si>
    <t xml:space="preserve">TAGTGCTCGTGCAGGTTCGCGGCA</t>
  </si>
  <si>
    <t xml:space="preserve">AAACTGCCGCGAACCTGCACGAGC</t>
  </si>
  <si>
    <t xml:space="preserve">GGTGCACAGCAGGGTGCCGT</t>
  </si>
  <si>
    <t xml:space="preserve">TAGTGGTGCACAGCAGGGTGCCGT</t>
  </si>
  <si>
    <t xml:space="preserve">AAACACGGCACCCTGCTGTGCACC</t>
  </si>
  <si>
    <t xml:space="preserve">PSPPH_3438</t>
  </si>
  <si>
    <t xml:space="preserve">AGTACGGACTGAATCGGTTC</t>
  </si>
  <si>
    <t xml:space="preserve">TAGTAGTACGGACTGAATCGGTTC</t>
  </si>
  <si>
    <t xml:space="preserve">AAACGAACCGATTCAGTCCGTACT</t>
  </si>
  <si>
    <t xml:space="preserve">GCCGATGCCGGAGCTGGCAC</t>
  </si>
  <si>
    <t xml:space="preserve">TAGTGCCGATGCCGGAGCTGGCAC</t>
  </si>
  <si>
    <t xml:space="preserve">AAACGTGCCAGCTCCGGCATCGGC</t>
  </si>
  <si>
    <t xml:space="preserve">TTCCAGCAGGCGCGTGACAA</t>
  </si>
  <si>
    <t xml:space="preserve">TAGTTTCCAGCAGGCGCGTGACAA</t>
  </si>
  <si>
    <t xml:space="preserve">AAACTTGTCACGCGCCTGCTGGAA</t>
  </si>
  <si>
    <t xml:space="preserve">GGCTCAGACAGGTGACCTGC</t>
  </si>
  <si>
    <t xml:space="preserve">TAGTGGCTCAGACAGGTGACCTGC</t>
  </si>
  <si>
    <t xml:space="preserve">AAACGCAGGTCACCTGTCTGAGCC</t>
  </si>
  <si>
    <t xml:space="preserve">PSPPH_3439</t>
  </si>
  <si>
    <t xml:space="preserve">srl</t>
  </si>
  <si>
    <t xml:space="preserve">GAGTATCGCTTGACGACGGT</t>
  </si>
  <si>
    <t xml:space="preserve">TAGTGAGTATCGCTTGACGACGGT</t>
  </si>
  <si>
    <t xml:space="preserve">AAACACCGTCGTCAAGCGATACTC</t>
  </si>
  <si>
    <t xml:space="preserve">CTCGTCCACGTTGGATTTGC</t>
  </si>
  <si>
    <t xml:space="preserve">TAGTCTCGTCCACGTTGGATTTGC</t>
  </si>
  <si>
    <t xml:space="preserve">AAACGCAAATCCAACGTGGACGAG</t>
  </si>
  <si>
    <t xml:space="preserve">GGCTTCCGAGACGCCGAGTT</t>
  </si>
  <si>
    <t xml:space="preserve">TAGTGGCTTCCGAGACGCCGAGTT</t>
  </si>
  <si>
    <t xml:space="preserve">AAACAACTCGGCGTCTCGGAAGCC</t>
  </si>
  <si>
    <t xml:space="preserve">TGTGAGGTCGCGGCGTACAG</t>
  </si>
  <si>
    <t xml:space="preserve">TAGTTGTGAGGTCGCGGCGTACAG</t>
  </si>
  <si>
    <t xml:space="preserve">AAACCTGTACGCCGCGACCTCACA</t>
  </si>
  <si>
    <t xml:space="preserve">PSPPH_3443</t>
  </si>
  <si>
    <t xml:space="preserve">TTTTTTGGACTGATCGGGTG</t>
  </si>
  <si>
    <t xml:space="preserve">TAGTTTTTTTGGACTGATCGGGTG</t>
  </si>
  <si>
    <t xml:space="preserve">AAACCACCCGATCAGTCCAAAAAA</t>
  </si>
  <si>
    <t xml:space="preserve">CTTACCATTTTGATAATGTT</t>
  </si>
  <si>
    <t xml:space="preserve">TAGTCTTACCATTTTGATAATGTT</t>
  </si>
  <si>
    <t xml:space="preserve">AAACAACATTATCAAAATGGTAAG</t>
  </si>
  <si>
    <t xml:space="preserve">TTCTTTTGGCGGCCTTGCGA</t>
  </si>
  <si>
    <t xml:space="preserve">TAGTTTCTTTTGGCGGCCTTGCGA</t>
  </si>
  <si>
    <t xml:space="preserve">AAACTCGCAAGGCCGCCAAAAGAA</t>
  </si>
  <si>
    <t xml:space="preserve">AAAATTCCCAACCTGCCCAT</t>
  </si>
  <si>
    <t xml:space="preserve">TAGTAAAATTCCCAACCTGCCCAT</t>
  </si>
  <si>
    <t xml:space="preserve">AAACATGGGCAGGTTGGGAATTTT</t>
  </si>
  <si>
    <t xml:space="preserve">PSPPH_3444</t>
  </si>
  <si>
    <t xml:space="preserve">GCTTATTAAGATCTGCAGCG</t>
  </si>
  <si>
    <t xml:space="preserve">TAGTGCTTATTAAGATCTGCAGCG</t>
  </si>
  <si>
    <t xml:space="preserve">AAACCGCTGCAGATCTTAATAAGC</t>
  </si>
  <si>
    <t xml:space="preserve">CGTGGTTCGGCCTAAAGTGA</t>
  </si>
  <si>
    <t xml:space="preserve">TAGTCGTGGTTCGGCCTAAAGTGA</t>
  </si>
  <si>
    <t xml:space="preserve">AAACTCACTTTAGGCCGAACCACG</t>
  </si>
  <si>
    <t xml:space="preserve">GCCAGATAAGGTGAATACCA</t>
  </si>
  <si>
    <t xml:space="preserve">TAGTGCCAGATAAGGTGAATACCA</t>
  </si>
  <si>
    <t xml:space="preserve">AAACTGGTATTCACCTTATCTGGC</t>
  </si>
  <si>
    <t xml:space="preserve">GAATCTCGTCCTGCAACCAC</t>
  </si>
  <si>
    <t xml:space="preserve">TAGTGAATCTCGTCCTGCAACCAC</t>
  </si>
  <si>
    <t xml:space="preserve">AAACGTGGTTGCAGGACGAGATTC</t>
  </si>
  <si>
    <t xml:space="preserve">PSPPH_3445</t>
  </si>
  <si>
    <t xml:space="preserve">CTTACCTTTCGGCAGAGCCA</t>
  </si>
  <si>
    <t xml:space="preserve">TAGTCTTACCTTTCGGCAGAGCCA</t>
  </si>
  <si>
    <t xml:space="preserve">AAACTGGCTCTGCCGAAAGGTAAG</t>
  </si>
  <si>
    <t xml:space="preserve">GTGTTTTGATTTTCCAGTTC</t>
  </si>
  <si>
    <t xml:space="preserve">TAGTGTGTTTTGATTTTCCAGTTC</t>
  </si>
  <si>
    <t xml:space="preserve">AAACGAACTGGAAAATCAAAACAC</t>
  </si>
  <si>
    <t xml:space="preserve">TGCGTGATCATGATCTCTTT</t>
  </si>
  <si>
    <t xml:space="preserve">TAGTTGCGTGATCATGATCTCTTT</t>
  </si>
  <si>
    <t xml:space="preserve">AAACAAAGAGATCATGATCACGCA</t>
  </si>
  <si>
    <t xml:space="preserve">GCTTGCCATCACATGGAAGG</t>
  </si>
  <si>
    <t xml:space="preserve">TAGTGCTTGCCATCACATGGAAGG</t>
  </si>
  <si>
    <t xml:space="preserve">AAACCCTTCCATGTGATGGCAAGC</t>
  </si>
  <si>
    <t xml:space="preserve">PSPPH_3446</t>
  </si>
  <si>
    <t xml:space="preserve">bphP</t>
  </si>
  <si>
    <t xml:space="preserve">CAAAAGCGTCCTTGTCGAGT</t>
  </si>
  <si>
    <t xml:space="preserve">TAGTCAAAAGCGTCCTTGTCGAGT</t>
  </si>
  <si>
    <t xml:space="preserve">AAACACTCGACAAGGACGCTTTTG</t>
  </si>
  <si>
    <t xml:space="preserve">CATCCGCACAATTGGCCAGG</t>
  </si>
  <si>
    <t xml:space="preserve">TAGTCATCCGCACAATTGGCCAGG</t>
  </si>
  <si>
    <t xml:space="preserve">AAACCCTGGCCAATTGTGCGGATG</t>
  </si>
  <si>
    <t xml:space="preserve">ATGGCTCCGGGAAACTGAAT</t>
  </si>
  <si>
    <t xml:space="preserve">TAGTATGGCTCCGGGAAACTGAAT</t>
  </si>
  <si>
    <t xml:space="preserve">AAACATTCAGTTTCCCGGAGCCAT</t>
  </si>
  <si>
    <t xml:space="preserve">AGAGTAAACAACAGACCGTG</t>
  </si>
  <si>
    <t xml:space="preserve">TAGTAGAGTAAACAACAGACCGTG</t>
  </si>
  <si>
    <t xml:space="preserve">AAACCACGGTCTGTTGTTTACTCT</t>
  </si>
  <si>
    <t xml:space="preserve">PSPPH_3447</t>
  </si>
  <si>
    <t xml:space="preserve">bphO</t>
  </si>
  <si>
    <t xml:space="preserve">GTAACACATGAAAAACTTGC</t>
  </si>
  <si>
    <t xml:space="preserve">TAGTGTAACACATGAAAAACTTGC</t>
  </si>
  <si>
    <t xml:space="preserve">AAACGCAAGTTTTTCATGTGTTAC</t>
  </si>
  <si>
    <t xml:space="preserve">TGCAGCAAGCAATTTCGGCG</t>
  </si>
  <si>
    <t xml:space="preserve">TAGTTGCAGCAAGCAATTTCGGCG</t>
  </si>
  <si>
    <t xml:space="preserve">AAACCGCCGAAATTGCTTGCTGCA</t>
  </si>
  <si>
    <t xml:space="preserve">TCCAGCGCGGGTGAAAAAAA</t>
  </si>
  <si>
    <t xml:space="preserve">TAGTTCCAGCGCGGGTGAAAAAAA</t>
  </si>
  <si>
    <t xml:space="preserve">AAACTTTTTTTCACCCGCGCTGGA</t>
  </si>
  <si>
    <t xml:space="preserve">AATAAGCCTTAAGCAAGCGA</t>
  </si>
  <si>
    <t xml:space="preserve">TAGTAATAAGCCTTAAGCAAGCGA</t>
  </si>
  <si>
    <t xml:space="preserve">AAACTCGCTTGCTTAAGGCTTATT</t>
  </si>
  <si>
    <t xml:space="preserve">PSPPH_3448</t>
  </si>
  <si>
    <t xml:space="preserve">CCGCGCCCAGCCAATAGTGC</t>
  </si>
  <si>
    <t xml:space="preserve">TAGTCCGCGCCCAGCCAATAGTGC</t>
  </si>
  <si>
    <t xml:space="preserve">AAACGCACTATTGGCTGGGCGCGG</t>
  </si>
  <si>
    <t xml:space="preserve">CCCTCAGTAACGCCGACAGC</t>
  </si>
  <si>
    <t xml:space="preserve">TAGTCCCTCAGTAACGCCGACAGC</t>
  </si>
  <si>
    <t xml:space="preserve">AAACGCTGTCGGCGTTACTGAGGG</t>
  </si>
  <si>
    <t xml:space="preserve">CCATGGGTAAACAGGGCGCC</t>
  </si>
  <si>
    <t xml:space="preserve">TAGTCCATGGGTAAACAGGGCGCC</t>
  </si>
  <si>
    <t xml:space="preserve">AAACGGCGCCCTGTTTACCCATGG</t>
  </si>
  <si>
    <t xml:space="preserve">GTATCAGCAGCGCCAGACGC</t>
  </si>
  <si>
    <t xml:space="preserve">TAGTGTATCAGCAGCGCCAGACGC</t>
  </si>
  <si>
    <t xml:space="preserve">AAACGCGTCTGGCGCTGCTGATAC</t>
  </si>
  <si>
    <t xml:space="preserve">PSPPH_3449</t>
  </si>
  <si>
    <t xml:space="preserve">CAATAGCACAAACAGGGTCC</t>
  </si>
  <si>
    <t xml:space="preserve">TAGTCAATAGCACAAACAGGGTCC</t>
  </si>
  <si>
    <t xml:space="preserve">AAACGGACCCTGTTTGTGCTATTG</t>
  </si>
  <si>
    <t xml:space="preserve">CACCATAACGATGCGATCAG</t>
  </si>
  <si>
    <t xml:space="preserve">TAGTCACCATAACGATGCGATCAG</t>
  </si>
  <si>
    <t xml:space="preserve">AAACCTGATCGCATCGTTATGGTG</t>
  </si>
  <si>
    <t xml:space="preserve">ACAGCGAGGTCGCTGCCAGC</t>
  </si>
  <si>
    <t xml:space="preserve">TAGTACAGCGAGGTCGCTGCCAGC</t>
  </si>
  <si>
    <t xml:space="preserve">AAACGCTGGCAGCGACCTCGCTGT</t>
  </si>
  <si>
    <t xml:space="preserve">TGATTGCCAGATCGTCGGTC</t>
  </si>
  <si>
    <t xml:space="preserve">TAGTTGATTGCCAGATCGTCGGTC</t>
  </si>
  <si>
    <t xml:space="preserve">AAACGACCGACGATCTGGCAATCA</t>
  </si>
  <si>
    <t xml:space="preserve">PSPPH_3450</t>
  </si>
  <si>
    <t xml:space="preserve">GCTCCATGCGGTCAGGTTTT</t>
  </si>
  <si>
    <t xml:space="preserve">TAGTGCTCCATGCGGTCAGGTTTT</t>
  </si>
  <si>
    <t xml:space="preserve">AAACAAAACCTGACCGCATGGAGC</t>
  </si>
  <si>
    <t xml:space="preserve">GAAAAATCACTACAACAATC</t>
  </si>
  <si>
    <t xml:space="preserve">TAGTGAAAAATCACTACAACAATC</t>
  </si>
  <si>
    <t xml:space="preserve">AAACGATTGTTGTAGTGATTTTTC</t>
  </si>
  <si>
    <t xml:space="preserve">CAGATATCCGGTGCTGTGGA</t>
  </si>
  <si>
    <t xml:space="preserve">TAGTCAGATATCCGGTGCTGTGGA</t>
  </si>
  <si>
    <t xml:space="preserve">AAACTCCACAGCACCGGATATCTG</t>
  </si>
  <si>
    <t xml:space="preserve">CGGTGCGGTGCTCACGACAA</t>
  </si>
  <si>
    <t xml:space="preserve">TAGTCGGTGCGGTGCTCACGACAA</t>
  </si>
  <si>
    <t xml:space="preserve">AAACTTGTCGTGAGCACCGCACCG</t>
  </si>
  <si>
    <t xml:space="preserve">PSPPH_3451</t>
  </si>
  <si>
    <t xml:space="preserve">CCCACAGGCGCAGGGAAACC</t>
  </si>
  <si>
    <t xml:space="preserve">TAGTCCCACAGGCGCAGGGAAACC</t>
  </si>
  <si>
    <t xml:space="preserve">AAACGGTTTCCCTGCGCCTGTGGG</t>
  </si>
  <si>
    <t xml:space="preserve">CGCCTCATTGAAGAAGTAAT</t>
  </si>
  <si>
    <t xml:space="preserve">TAGTCGCCTCATTGAAGAAGTAAT</t>
  </si>
  <si>
    <t xml:space="preserve">AAACATTACTTCTTCAATGAGGCG</t>
  </si>
  <si>
    <t xml:space="preserve">CACCACTCGCACCGCCAGCC</t>
  </si>
  <si>
    <t xml:space="preserve">TAGTCACCACTCGCACCGCCAGCC</t>
  </si>
  <si>
    <t xml:space="preserve">AAACGGCTGGCGGTGCGAGTGGTG</t>
  </si>
  <si>
    <t xml:space="preserve">TCGCTCCAGCGCGCGCTGGC</t>
  </si>
  <si>
    <t xml:space="preserve">TAGTTCGCTCCAGCGCGCGCTGGC</t>
  </si>
  <si>
    <t xml:space="preserve">AAACGCCAGCGCGCGCTGGAGCGA</t>
  </si>
  <si>
    <t xml:space="preserve">PSPPH_3452</t>
  </si>
  <si>
    <t xml:space="preserve">CCAGCAACAGGGAAACCAGC</t>
  </si>
  <si>
    <t xml:space="preserve">TAGTCCAGCAACAGGGAAACCAGC</t>
  </si>
  <si>
    <t xml:space="preserve">AAACGCTGGTTTCCCTGTTGCTGG</t>
  </si>
  <si>
    <t xml:space="preserve">ACCGGCAAGGGCCAGCGGAC</t>
  </si>
  <si>
    <t xml:space="preserve">TAGTACCGGCAAGGGCCAGCGGAC</t>
  </si>
  <si>
    <t xml:space="preserve">AAACGTCCGCTGGCCCTTGCCGGT</t>
  </si>
  <si>
    <t xml:space="preserve">TTTTCAGCGGTGGTGCATTG</t>
  </si>
  <si>
    <t xml:space="preserve">TAGTTTTTCAGCGGTGGTGCATTG</t>
  </si>
  <si>
    <t xml:space="preserve">AAACCAATGCACCACCGCTGAAAA</t>
  </si>
  <si>
    <t xml:space="preserve">TTTGGCCTGATCCTGCCATT</t>
  </si>
  <si>
    <t xml:space="preserve">TAGTTTTGGCCTGATCCTGCCATT</t>
  </si>
  <si>
    <t xml:space="preserve">AAACAATGGCAGGATCAGGCCAAA</t>
  </si>
  <si>
    <t xml:space="preserve">PSPPH_3453</t>
  </si>
  <si>
    <t xml:space="preserve">TCGACAAGAAGCAGGCGCAT</t>
  </si>
  <si>
    <t xml:space="preserve">TAGTTCGACAAGAAGCAGGCGCAT</t>
  </si>
  <si>
    <t xml:space="preserve">AAACATGCGCCTGCTTCTTGTCGA</t>
  </si>
  <si>
    <t xml:space="preserve">TAAGGGCCACACGGATGCCT</t>
  </si>
  <si>
    <t xml:space="preserve">TAGTTAAGGGCCACACGGATGCCT</t>
  </si>
  <si>
    <t xml:space="preserve">AAACAGGCATCCGTGTGGCCCTTA</t>
  </si>
  <si>
    <t xml:space="preserve">CCAGTCCAGCGTGTAGCCCT</t>
  </si>
  <si>
    <t xml:space="preserve">TAGTCCAGTCCAGCGTGTAGCCCT</t>
  </si>
  <si>
    <t xml:space="preserve">AAACAGGGCTACACGCTGGACTGG</t>
  </si>
  <si>
    <t xml:space="preserve">GGTCGAAGGGTTCGCTGCGC</t>
  </si>
  <si>
    <t xml:space="preserve">TAGTGGTCGAAGGGTTCGCTGCGC</t>
  </si>
  <si>
    <t xml:space="preserve">AAACGCGCAGCGAACCCTTCGACC</t>
  </si>
  <si>
    <t xml:space="preserve">PSPPH_3454</t>
  </si>
  <si>
    <t xml:space="preserve">CAGAATGCGCGCGCGTACCG</t>
  </si>
  <si>
    <t xml:space="preserve">TAGTCAGAATGCGCGCGCGTACCG</t>
  </si>
  <si>
    <t xml:space="preserve">AAACCGGTACGCGCGCGCATTCTG</t>
  </si>
  <si>
    <t xml:space="preserve">AGCAGCAACAGCAACAGGAC</t>
  </si>
  <si>
    <t xml:space="preserve">TAGTAGCAGCAACAGCAACAGGAC</t>
  </si>
  <si>
    <t xml:space="preserve">AAACGTCCTGTTGCTGTTGCTGCT</t>
  </si>
  <si>
    <t xml:space="preserve">GCGCGAGCAGGCTGATCGCC</t>
  </si>
  <si>
    <t xml:space="preserve">TAGTGCGCGAGCAGGCTGATCGCC</t>
  </si>
  <si>
    <t xml:space="preserve">AAACGGCGATCAGCCTGCTCGCGC</t>
  </si>
  <si>
    <t xml:space="preserve">AGACTTCTTCTATTTCGTGA</t>
  </si>
  <si>
    <t xml:space="preserve">TAGTAGACTTCTTCTATTTCGTGA</t>
  </si>
  <si>
    <t xml:space="preserve">AAACTCACGAAATAGAAGAAGTCT</t>
  </si>
  <si>
    <t xml:space="preserve">PSPPH_3455</t>
  </si>
  <si>
    <t xml:space="preserve">GCCGGACTGACCGGTCGTTG</t>
  </si>
  <si>
    <t xml:space="preserve">TAGTGCCGGACTGACCGGTCGTTG</t>
  </si>
  <si>
    <t xml:space="preserve">AAACCAACGACCGGTCAGTCCGGC</t>
  </si>
  <si>
    <t xml:space="preserve">GGCGCTTCGTTCCCCAATCA</t>
  </si>
  <si>
    <t xml:space="preserve">TAGTGGCGCTTCGTTCCCCAATCA</t>
  </si>
  <si>
    <t xml:space="preserve">AAACTGATTGGGGAACGAAGCGCC</t>
  </si>
  <si>
    <t xml:space="preserve">CGTTGCGCCCGGAGCCGCCA</t>
  </si>
  <si>
    <t xml:space="preserve">TAGTCGTTGCGCCCGGAGCCGCCA</t>
  </si>
  <si>
    <t xml:space="preserve">AAACTGGCGGCTCCGGGCGCAACG</t>
  </si>
  <si>
    <t xml:space="preserve">CAGTTCGTCGGGTGCCACCC</t>
  </si>
  <si>
    <t xml:space="preserve">TAGTCAGTTCGTCGGGTGCCACCC</t>
  </si>
  <si>
    <t xml:space="preserve">AAACGGGTGGCACCCGACGAACTG</t>
  </si>
  <si>
    <t xml:space="preserve">PSPPH_3456</t>
  </si>
  <si>
    <t xml:space="preserve">pcd</t>
  </si>
  <si>
    <t xml:space="preserve">GCCCAGACGTGCTAATAACT</t>
  </si>
  <si>
    <t xml:space="preserve">TAGTGCCCAGACGTGCTAATAACT</t>
  </si>
  <si>
    <t xml:space="preserve">AAACAGTTATTAGCACGTCTGGGC</t>
  </si>
  <si>
    <t xml:space="preserve">CGGATAGTCCCCTTGTGTGT</t>
  </si>
  <si>
    <t xml:space="preserve">TAGTCGGATAGTCCCCTTGTGTGT</t>
  </si>
  <si>
    <t xml:space="preserve">AAACACACACAAGGGGACTATCCG</t>
  </si>
  <si>
    <t xml:space="preserve">CCATCAATCGGGGTGTAAAC</t>
  </si>
  <si>
    <t xml:space="preserve">TAGTCCATCAATCGGGGTGTAAAC</t>
  </si>
  <si>
    <t xml:space="preserve">AAACGTTTACACCCCGATTGATGG</t>
  </si>
  <si>
    <t xml:space="preserve">CAAGCGTAACCGAGGCAATC</t>
  </si>
  <si>
    <t xml:space="preserve">TAGTCAAGCGTAACCGAGGCAATC</t>
  </si>
  <si>
    <t xml:space="preserve">AAACGATTGCCTCGGTTACGCTTG</t>
  </si>
  <si>
    <t xml:space="preserve">PSPPH_3458</t>
  </si>
  <si>
    <t xml:space="preserve">CGCGCGGATCTGGTCCGGGT</t>
  </si>
  <si>
    <t xml:space="preserve">TAGTCGCGCGGATCTGGTCCGGGT</t>
  </si>
  <si>
    <t xml:space="preserve">AAACACCCGGACCAGATCCGCGCG</t>
  </si>
  <si>
    <t xml:space="preserve">CGTACAGCGGCACTTCGTGC</t>
  </si>
  <si>
    <t xml:space="preserve">TAGTCGTACAGCGGCACTTCGTGC</t>
  </si>
  <si>
    <t xml:space="preserve">AAACGCACGAAGTGCCGCTGTACG</t>
  </si>
  <si>
    <t xml:space="preserve">TGTTCAGCACCTGGCTGTCG</t>
  </si>
  <si>
    <t xml:space="preserve">TAGTTGTTCAGCACCTGGCTGTCG</t>
  </si>
  <si>
    <t xml:space="preserve">AAACCGACAGCCAGGTGCTGAACA</t>
  </si>
  <si>
    <t xml:space="preserve">GGATCTCGCCGGTCTGGCGC</t>
  </si>
  <si>
    <t xml:space="preserve">TAGTGGATCTCGCCGGTCTGGCGC</t>
  </si>
  <si>
    <t xml:space="preserve">AAACGCGCCAGACCGGCGAGATCC</t>
  </si>
  <si>
    <t xml:space="preserve">PSPPH_3459</t>
  </si>
  <si>
    <t xml:space="preserve">CAGCTTCACCGTCGATGAAA</t>
  </si>
  <si>
    <t xml:space="preserve">TAGTCAGCTTCACCGTCGATGAAA</t>
  </si>
  <si>
    <t xml:space="preserve">AAACTTTCATCGACGGTGAAGCTG</t>
  </si>
  <si>
    <t xml:space="preserve">GGCAATGATCAGGATAACGG</t>
  </si>
  <si>
    <t xml:space="preserve">TAGTGGCAATGATCAGGATAACGG</t>
  </si>
  <si>
    <t xml:space="preserve">AAACCCGTTATCCTGATCATTGCC</t>
  </si>
  <si>
    <t xml:space="preserve">ACTGATGGCACCGATCATCT</t>
  </si>
  <si>
    <t xml:space="preserve">TAGTACTGATGGCACCGATCATCT</t>
  </si>
  <si>
    <t xml:space="preserve">AAACAGATGATCGGTGCCATCAGT</t>
  </si>
  <si>
    <t xml:space="preserve">CCACCTTGCCTGGGCCCAGA</t>
  </si>
  <si>
    <t xml:space="preserve">TAGTCCACCTTGCCTGGGCCCAGA</t>
  </si>
  <si>
    <t xml:space="preserve">AAACTCTGGGCCCAGGCAAGGTGG</t>
  </si>
  <si>
    <t xml:space="preserve">PSPPH_3460</t>
  </si>
  <si>
    <t xml:space="preserve">GCAGGCGAACACCTGTAACC</t>
  </si>
  <si>
    <t xml:space="preserve">TAGTGCAGGCGAACACCTGTAACC</t>
  </si>
  <si>
    <t xml:space="preserve">AAACGGTTACAGGTGTTCGCCTGC</t>
  </si>
  <si>
    <t xml:space="preserve">CCGGGTGAAGGAAAGATGTC</t>
  </si>
  <si>
    <t xml:space="preserve">TAGTCCGGGTGAAGGAAAGATGTC</t>
  </si>
  <si>
    <t xml:space="preserve">AAACGACATCTTTCCTTCACCCGG</t>
  </si>
  <si>
    <t xml:space="preserve">GGGAGTGACGTGCAGCTCTT</t>
  </si>
  <si>
    <t xml:space="preserve">TAGTGGGAGTGACGTGCAGCTCTT</t>
  </si>
  <si>
    <t xml:space="preserve">AAACAAGAGCTGCACGTCACTCCC</t>
  </si>
  <si>
    <t xml:space="preserve">ATCTGCTGGCTGATCGCGCC</t>
  </si>
  <si>
    <t xml:space="preserve">TAGTATCTGCTGGCTGATCGCGCC</t>
  </si>
  <si>
    <t xml:space="preserve">AAACGGCGCGATCAGCCAGCAGAT</t>
  </si>
  <si>
    <t xml:space="preserve">PSPPH_3461</t>
  </si>
  <si>
    <t xml:space="preserve">sdaA</t>
  </si>
  <si>
    <t xml:space="preserve">CCGACGGTGTGAGAACTGGA</t>
  </si>
  <si>
    <t xml:space="preserve">TAGTCCGACGGTGTGAGAACTGGA</t>
  </si>
  <si>
    <t xml:space="preserve">AAACTCCAGTTCTCACACCGTCGG</t>
  </si>
  <si>
    <t xml:space="preserve">AACAGTGCCCCGGCGCGCAT</t>
  </si>
  <si>
    <t xml:space="preserve">TAGTAACAGTGCCCCGGCGCGCAT</t>
  </si>
  <si>
    <t xml:space="preserve">AAACATGCGCGCCGGGGCACTGTT</t>
  </si>
  <si>
    <t xml:space="preserve">CCGGTTCTGGTTGCGCAGCT</t>
  </si>
  <si>
    <t xml:space="preserve">TAGTCCGGTTCTGGTTGCGCAGCT</t>
  </si>
  <si>
    <t xml:space="preserve">AAACAGCTGCGCAACCAGAACCGG</t>
  </si>
  <si>
    <t xml:space="preserve">GCTGCCGTGTCCGATGCTGG</t>
  </si>
  <si>
    <t xml:space="preserve">TAGTGCTGCCGTGTCCGATGCTGG</t>
  </si>
  <si>
    <t xml:space="preserve">AAACCCAGCATCGGACACGGCAGC</t>
  </si>
  <si>
    <t xml:space="preserve">PSPPH_3462</t>
  </si>
  <si>
    <t xml:space="preserve">AGCAGCAACGATATATCCAT</t>
  </si>
  <si>
    <t xml:space="preserve">TAGTAGCAGCAACGATATATCCAT</t>
  </si>
  <si>
    <t xml:space="preserve">AAACATGGATATATCGTTGCTGCT</t>
  </si>
  <si>
    <t xml:space="preserve">CAGTGCCACCACCGGACCAG</t>
  </si>
  <si>
    <t xml:space="preserve">TAGTCAGTGCCACCACCGGACCAG</t>
  </si>
  <si>
    <t xml:space="preserve">AAACCTGGTCCGGTGGTGGCACTG</t>
  </si>
  <si>
    <t xml:space="preserve">TTTCGGCCCGCACGCCAGGC</t>
  </si>
  <si>
    <t xml:space="preserve">TAGTTTTCGGCCCGCACGCCAGGC</t>
  </si>
  <si>
    <t xml:space="preserve">AAACGCCTGGCGTGCGGGCCGAAA</t>
  </si>
  <si>
    <t xml:space="preserve">CGATGAAGAAACAGCCCACC</t>
  </si>
  <si>
    <t xml:space="preserve">TAGTCGATGAAGAAACAGCCCACC</t>
  </si>
  <si>
    <t xml:space="preserve">AAACGGTGGGCTGTTTCTTCATCG</t>
  </si>
  <si>
    <t xml:space="preserve">PSPPH_3464</t>
  </si>
  <si>
    <t xml:space="preserve">GCTCTCAGCGCGTAAAGAGG</t>
  </si>
  <si>
    <t xml:space="preserve">TAGTGCTCTCAGCGCGTAAAGAGG</t>
  </si>
  <si>
    <t xml:space="preserve">AAACCCTCTTTACGCGCTGAGAGC</t>
  </si>
  <si>
    <t xml:space="preserve">ACTGATGGCACTCTGGGTAA</t>
  </si>
  <si>
    <t xml:space="preserve">TAGTACTGATGGCACTCTGGGTAA</t>
  </si>
  <si>
    <t xml:space="preserve">AAACTTACCCAGAGTGCCATCAGT</t>
  </si>
  <si>
    <t xml:space="preserve">ACAGCCAAGGGTTTCTTCCA</t>
  </si>
  <si>
    <t xml:space="preserve">TAGTACAGCCAAGGGTTTCTTCCA</t>
  </si>
  <si>
    <t xml:space="preserve">AAACTGGAAGAAACCCTTGGCTGT</t>
  </si>
  <si>
    <t xml:space="preserve">CGTCACTGAGCGAAAGGCGC</t>
  </si>
  <si>
    <t xml:space="preserve">TAGTCGTCACTGAGCGAAAGGCGC</t>
  </si>
  <si>
    <t xml:space="preserve">AAACGCGCCTTTCGCTCAGTGACG</t>
  </si>
  <si>
    <t xml:space="preserve">PSPPH_3465</t>
  </si>
  <si>
    <t xml:space="preserve">TCGATCAGTGTCTTTGAAAT</t>
  </si>
  <si>
    <t xml:space="preserve">TAGTTCGATCAGTGTCTTTGAAAT</t>
  </si>
  <si>
    <t xml:space="preserve">AAACATTTCAAAGACACTGATCGA</t>
  </si>
  <si>
    <t xml:space="preserve">CCGGCGCAGCGTGGATCGTG</t>
  </si>
  <si>
    <t xml:space="preserve">TAGTCCGGCGCAGCGTGGATCGTG</t>
  </si>
  <si>
    <t xml:space="preserve">AAACCACGATCCACGCTGCGCCGG</t>
  </si>
  <si>
    <t xml:space="preserve">CAGATCAGCCACCTTGTCCG</t>
  </si>
  <si>
    <t xml:space="preserve">TAGTCAGATCAGCCACCTTGTCCG</t>
  </si>
  <si>
    <t xml:space="preserve">AAACCGGACAAGGTGGCTGATCTG</t>
  </si>
  <si>
    <t xml:space="preserve">CGCCAGTACCGCCCAGACCG</t>
  </si>
  <si>
    <t xml:space="preserve">TAGTCGCCAGTACCGCCCAGACCG</t>
  </si>
  <si>
    <t xml:space="preserve">AAACCGGTCTGGGCGGTACTGGCG</t>
  </si>
  <si>
    <t xml:space="preserve">PSPPH_3466</t>
  </si>
  <si>
    <t xml:space="preserve">ACACTGCGATCGCCCCAGTA</t>
  </si>
  <si>
    <t xml:space="preserve">TAGTACACTGCGATCGCCCCAGTA</t>
  </si>
  <si>
    <t xml:space="preserve">AAACTACTGGGGCGATCGCAGTGT</t>
  </si>
  <si>
    <t xml:space="preserve">GAACTGGCCGCCGACGTAGC</t>
  </si>
  <si>
    <t xml:space="preserve">TAGTGAACTGGCCGCCGACGTAGC</t>
  </si>
  <si>
    <t xml:space="preserve">AAACGCTACGTCGGCGGCCAGTTC</t>
  </si>
  <si>
    <t xml:space="preserve">GCACTTCAACCGGCGCGCCG</t>
  </si>
  <si>
    <t xml:space="preserve">TAGTGCACTTCAACCGGCGCGCCG</t>
  </si>
  <si>
    <t xml:space="preserve">AAACCGGCGCGCCGGTTGAAGTGC</t>
  </si>
  <si>
    <t xml:space="preserve">CAGCAACAGGCTGTCGTCAT</t>
  </si>
  <si>
    <t xml:space="preserve">TAGTCAGCAACAGGCTGTCGTCAT</t>
  </si>
  <si>
    <t xml:space="preserve">AAACATGACGACAGCCTGTTGCTG</t>
  </si>
  <si>
    <t xml:space="preserve">PSPPH_3467</t>
  </si>
  <si>
    <t xml:space="preserve">AAAGCCCTTGCCCGCCAGCG</t>
  </si>
  <si>
    <t xml:space="preserve">TAGTAAAGCCCTTGCCCGCCAGCG</t>
  </si>
  <si>
    <t xml:space="preserve">AAACCGCTGGCGGGCAAGGGCTTT</t>
  </si>
  <si>
    <t xml:space="preserve">GGGCCAGCGCAGCCTGCGAC</t>
  </si>
  <si>
    <t xml:space="preserve">TAGTGGGCCAGCGCAGCCTGCGAC</t>
  </si>
  <si>
    <t xml:space="preserve">AAACGTCGCAGGCTGCGCTGGCCC</t>
  </si>
  <si>
    <t xml:space="preserve">GACGCCTTTGCTTTCAGCCT</t>
  </si>
  <si>
    <t xml:space="preserve">TAGTGACGCCTTTGCTTTCAGCCT</t>
  </si>
  <si>
    <t xml:space="preserve">AAACAGGCTGAAAGCAAAGGCGTC</t>
  </si>
  <si>
    <t xml:space="preserve">AGTTGTTTGCGGTCGGCAAC</t>
  </si>
  <si>
    <t xml:space="preserve">TAGTAGTTGTTTGCGGTCGGCAAC</t>
  </si>
  <si>
    <t xml:space="preserve">AAACGTTGCCGACCGCAAACAACT</t>
  </si>
  <si>
    <t xml:space="preserve">PSPPH_3468</t>
  </si>
  <si>
    <t xml:space="preserve">GGATGCGTCGATCTTGCACC</t>
  </si>
  <si>
    <t xml:space="preserve">TAGTGGATGCGTCGATCTTGCACC</t>
  </si>
  <si>
    <t xml:space="preserve">AAACGGTGCAAGATCGACGCATCC</t>
  </si>
  <si>
    <t xml:space="preserve">GCACGGCTTCGAAGAAATAC</t>
  </si>
  <si>
    <t xml:space="preserve">TAGTGCACGGCTTCGAAGAAATAC</t>
  </si>
  <si>
    <t xml:space="preserve">AAACGTATTTCTTCGAAGCCGTGC</t>
  </si>
  <si>
    <t xml:space="preserve">CGCGACGTTGAGGAAGTCGG</t>
  </si>
  <si>
    <t xml:space="preserve">TAGTCGCGACGTTGAGGAAGTCGG</t>
  </si>
  <si>
    <t xml:space="preserve">AAACCCGACTTCCTCAACGTCGCG</t>
  </si>
  <si>
    <t xml:space="preserve">ATCTGGCGGCTGACCGCCGA</t>
  </si>
  <si>
    <t xml:space="preserve">TAGTATCTGGCGGCTGACCGCCGA</t>
  </si>
  <si>
    <t xml:space="preserve">AAACTCGGCGGTCAGCCGCCAGAT</t>
  </si>
  <si>
    <t xml:space="preserve">PSPPH_3469</t>
  </si>
  <si>
    <t xml:space="preserve">fdh</t>
  </si>
  <si>
    <t xml:space="preserve">CCTTCACACTGTTCGCGCCG</t>
  </si>
  <si>
    <t xml:space="preserve">TAGTCCTTCACACTGTTCGCGCCG</t>
  </si>
  <si>
    <t xml:space="preserve">AAACCGGCGCGAACAGTGTGAAGG</t>
  </si>
  <si>
    <t xml:space="preserve">GCTTCTTGTATTTCCGGGTC</t>
  </si>
  <si>
    <t xml:space="preserve">TAGTGCTTCTTGTATTTCCGGGTC</t>
  </si>
  <si>
    <t xml:space="preserve">AAACGACCCGGAAATACAAGAAGC</t>
  </si>
  <si>
    <t xml:space="preserve">AGAGCCGCAGATTGCGGTCG</t>
  </si>
  <si>
    <t xml:space="preserve">TAGTAGAGCCGCAGATTGCGGTCG</t>
  </si>
  <si>
    <t xml:space="preserve">AAACCGACCGCAATCTGCGGCTCT</t>
  </si>
  <si>
    <t xml:space="preserve">ATGTCGCCGTGTTCCACCGT</t>
  </si>
  <si>
    <t xml:space="preserve">TAGTATGTCGCCGTGTTCCACCGT</t>
  </si>
  <si>
    <t xml:space="preserve">AAACACGGTGGAACACGGCGACAT</t>
  </si>
  <si>
    <t xml:space="preserve">PSPPH_3470</t>
  </si>
  <si>
    <t xml:space="preserve">hyuE</t>
  </si>
  <si>
    <t xml:space="preserve">TTGATCACTTGAATACGCAC</t>
  </si>
  <si>
    <t xml:space="preserve">TAGTTTGATCACTTGAATACGCAC</t>
  </si>
  <si>
    <t xml:space="preserve">AAACGTGCGTATTCAAGTGATCAA</t>
  </si>
  <si>
    <t xml:space="preserve">TCATGGCTTCGCTGGTGTTG</t>
  </si>
  <si>
    <t xml:space="preserve">TAGTTCATGGCTTCGCTGGTGTTG</t>
  </si>
  <si>
    <t xml:space="preserve">AAACCAACACCAGCGAAGCCATGA</t>
  </si>
  <si>
    <t xml:space="preserve">CGCCGCGAGGCCAATCTTGT</t>
  </si>
  <si>
    <t xml:space="preserve">TAGTCGCCGCGAGGCCAATCTTGT</t>
  </si>
  <si>
    <t xml:space="preserve">AAACACAAGATTGGCCTCGCGGCG</t>
  </si>
  <si>
    <t xml:space="preserve">CTGCGTACCGGGGCGTGCAA</t>
  </si>
  <si>
    <t xml:space="preserve">TAGTCTGCGTACCGGGGCGTGCAA</t>
  </si>
  <si>
    <t xml:space="preserve">AAACTTGCACGCCCCGGTACGCAG</t>
  </si>
  <si>
    <t xml:space="preserve">PSPPH_3471</t>
  </si>
  <si>
    <t xml:space="preserve">AGCGCTGGCAGTTCGAGTCA</t>
  </si>
  <si>
    <t xml:space="preserve">TAGTAGCGCTGGCAGTTCGAGTCA</t>
  </si>
  <si>
    <t xml:space="preserve">AAACTGACTCGAACTGCCAGCGCT</t>
  </si>
  <si>
    <t xml:space="preserve">GCAGCGGGCGTCAGGAACAA</t>
  </si>
  <si>
    <t xml:space="preserve">TAGTGCAGCGGGCGTCAGGAACAA</t>
  </si>
  <si>
    <t xml:space="preserve">AAACTTGTTCCTGACGCCCGCTGC</t>
  </si>
  <si>
    <t xml:space="preserve">CTCGTCGCGGCCTTTTTCAT</t>
  </si>
  <si>
    <t xml:space="preserve">TAGTCTCGTCGCGGCCTTTTTCAT</t>
  </si>
  <si>
    <t xml:space="preserve">AAACATGAAAAAGGCCGCGACGAG</t>
  </si>
  <si>
    <t xml:space="preserve">AACGCGTGCCTGGCGCAAGC</t>
  </si>
  <si>
    <t xml:space="preserve">TAGTAACGCGTGCCTGGCGCAAGC</t>
  </si>
  <si>
    <t xml:space="preserve">AAACGCTTGCGCCAGGCACGCGTT</t>
  </si>
  <si>
    <t xml:space="preserve">PSPPH_3472</t>
  </si>
  <si>
    <t xml:space="preserve">GGCTGTATCCGGCCGGGCGT</t>
  </si>
  <si>
    <t xml:space="preserve">TAGTGGCTGTATCCGGCCGGGCGT</t>
  </si>
  <si>
    <t xml:space="preserve">AAACACGCCCGGCCGGATACAGCC</t>
  </si>
  <si>
    <t xml:space="preserve">GATCATGGTTGTGCAGGCGC</t>
  </si>
  <si>
    <t xml:space="preserve">TAGTGATCATGGTTGTGCAGGCGC</t>
  </si>
  <si>
    <t xml:space="preserve">AAACGCGCCTGCACAACCATGATC</t>
  </si>
  <si>
    <t xml:space="preserve">CAGGTCCACTTCTGCGGCAC</t>
  </si>
  <si>
    <t xml:space="preserve">TAGTCAGGTCCACTTCTGCGGCAC</t>
  </si>
  <si>
    <t xml:space="preserve">AAACGTGCCGCAGAAGTGGACCTG</t>
  </si>
  <si>
    <t xml:space="preserve">GCCGAGCGCGAAGAGGCTGG</t>
  </si>
  <si>
    <t xml:space="preserve">TAGTGCCGAGCGCGAAGAGGCTGG</t>
  </si>
  <si>
    <t xml:space="preserve">AAACCCAGCCTCTTCGCGCTCGGC</t>
  </si>
  <si>
    <t xml:space="preserve">PSPPH_3473</t>
  </si>
  <si>
    <t xml:space="preserve">GGGGGCGAATGGCATGCCGC</t>
  </si>
  <si>
    <t xml:space="preserve">TAGTGGGGGCGAATGGCATGCCGC</t>
  </si>
  <si>
    <t xml:space="preserve">AAACGCGGCATGCCATTCGCCCCC</t>
  </si>
  <si>
    <t xml:space="preserve">TCTGAAGGCGGGAGTGGCTG</t>
  </si>
  <si>
    <t xml:space="preserve">TAGTTCTGAAGGCGGGAGTGGCTG</t>
  </si>
  <si>
    <t xml:space="preserve">AAACCAGCCACTCCCGCCTTCAGA</t>
  </si>
  <si>
    <t xml:space="preserve">GACAACTGCCCCTGAATCAA</t>
  </si>
  <si>
    <t xml:space="preserve">TAGTGACAACTGCCCCTGAATCAA</t>
  </si>
  <si>
    <t xml:space="preserve">AAACTTGATTCAGGGGCAGTTGTC</t>
  </si>
  <si>
    <t xml:space="preserve">CTCATCGCCGGTCAACTGAT</t>
  </si>
  <si>
    <t xml:space="preserve">TAGTCTCATCGCCGGTCAACTGAT</t>
  </si>
  <si>
    <t xml:space="preserve">AAACATCAGTTGACCGGCGATGAG</t>
  </si>
  <si>
    <t xml:space="preserve">PSPPH_3474</t>
  </si>
  <si>
    <t xml:space="preserve">ACCGGCCATCGGGTGTCGTA</t>
  </si>
  <si>
    <t xml:space="preserve">TAGTACCGGCCATCGGGTGTCGTA</t>
  </si>
  <si>
    <t xml:space="preserve">AAACTACGACACCCGATGGCCGGT</t>
  </si>
  <si>
    <t xml:space="preserve">CTCTTCGCTCAGGGACGGAT</t>
  </si>
  <si>
    <t xml:space="preserve">TAGTCTCTTCGCTCAGGGACGGAT</t>
  </si>
  <si>
    <t xml:space="preserve">AAACATCCGTCCCTGAGCGAAGAG</t>
  </si>
  <si>
    <t xml:space="preserve">GGCTGCCTTGACCTCGCGCC</t>
  </si>
  <si>
    <t xml:space="preserve">TAGTGGCTGCCTTGACCTCGCGCC</t>
  </si>
  <si>
    <t xml:space="preserve">AAACGGCGCGAGGTCAAGGCAGCC</t>
  </si>
  <si>
    <t xml:space="preserve">ATCTGAATCCGCGCTTGCCT</t>
  </si>
  <si>
    <t xml:space="preserve">TAGTATCTGAATCCGCGCTTGCCT</t>
  </si>
  <si>
    <t xml:space="preserve">AAACAGGCAAGCGCGGATTCAGAT</t>
  </si>
  <si>
    <t xml:space="preserve">PSPPH_3475</t>
  </si>
  <si>
    <t xml:space="preserve">ACGCCGCCAACAGGATTTTA</t>
  </si>
  <si>
    <t xml:space="preserve">TAGTACGCCGCCAACAGGATTTTA</t>
  </si>
  <si>
    <t xml:space="preserve">AAACTAAAATCCTGTTGGCGGCGT</t>
  </si>
  <si>
    <t xml:space="preserve">AAACGTGAACAGGGTGAATG</t>
  </si>
  <si>
    <t xml:space="preserve">TAGTAAACGTGAACAGGGTGAATG</t>
  </si>
  <si>
    <t xml:space="preserve">AAACCATTCACCCTGTTCACGTTT</t>
  </si>
  <si>
    <t xml:space="preserve">CTCCTTCAATTGCAGACGCA</t>
  </si>
  <si>
    <t xml:space="preserve">TAGTCTCCTTCAATTGCAGACGCA</t>
  </si>
  <si>
    <t xml:space="preserve">AAACTGCGTCTGCAATTGAAGGAG</t>
  </si>
  <si>
    <t xml:space="preserve">TGCTGTCACCCGTCTGATTC</t>
  </si>
  <si>
    <t xml:space="preserve">TAGTTGCTGTCACCCGTCTGATTC</t>
  </si>
  <si>
    <t xml:space="preserve">AAACGAATCAGACGGGTGACAGCA</t>
  </si>
  <si>
    <t xml:space="preserve">PSPPH_3476</t>
  </si>
  <si>
    <t xml:space="preserve">GACAGGGTCACAATTCGTTC</t>
  </si>
  <si>
    <t xml:space="preserve">TAGTGACAGGGTCACAATTCGTTC</t>
  </si>
  <si>
    <t xml:space="preserve">AAACGAACGAATTGTGACCCTGTC</t>
  </si>
  <si>
    <t xml:space="preserve">TGCCAGAGATTCCACTTCAC</t>
  </si>
  <si>
    <t xml:space="preserve">TAGTTGCCAGAGATTCCACTTCAC</t>
  </si>
  <si>
    <t xml:space="preserve">AAACGTGAAGTGGAATCTCTGGCA</t>
  </si>
  <si>
    <t xml:space="preserve">TGCCAGCAATCGAGTCTGGC</t>
  </si>
  <si>
    <t xml:space="preserve">TAGTTGCCAGCAATCGAGTCTGGC</t>
  </si>
  <si>
    <t xml:space="preserve">AAACGCCAGACTCGATTGCTGGCA</t>
  </si>
  <si>
    <t xml:space="preserve">GGAGATATTCTTCACCTCCT</t>
  </si>
  <si>
    <t xml:space="preserve">TAGTGGAGATATTCTTCACCTCCT</t>
  </si>
  <si>
    <t xml:space="preserve">AAACAGGAGGTGAAGAATATCTCC</t>
  </si>
  <si>
    <t xml:space="preserve">PSPPH_3477</t>
  </si>
  <si>
    <t xml:space="preserve">GCTGTCAACGATCTCCAGCA</t>
  </si>
  <si>
    <t xml:space="preserve">TAGTGCTGTCAACGATCTCCAGCA</t>
  </si>
  <si>
    <t xml:space="preserve">AAACTGCTGGAGATCGTTGACAGC</t>
  </si>
  <si>
    <t xml:space="preserve">CTTTCCAGGGCGGAAAAAAT</t>
  </si>
  <si>
    <t xml:space="preserve">TAGTCTTTCCAGGGCGGAAAAAAT</t>
  </si>
  <si>
    <t xml:space="preserve">AAACATTTTTTCCGCCCTGGAAAG</t>
  </si>
  <si>
    <t xml:space="preserve">GCTGGAGACGAATCAAACTC</t>
  </si>
  <si>
    <t xml:space="preserve">TAGTGCTGGAGACGAATCAAACTC</t>
  </si>
  <si>
    <t xml:space="preserve">AAACGAGTTTGATTCGTCTCCAGC</t>
  </si>
  <si>
    <t xml:space="preserve">TCCCCTATTGCCGGAACCGC</t>
  </si>
  <si>
    <t xml:space="preserve">TAGTTCCCCTATTGCCGGAACCGC</t>
  </si>
  <si>
    <t xml:space="preserve">AAACGCGGTTCCGGCAATAGGGGA</t>
  </si>
  <si>
    <t xml:space="preserve">PSPPH_3478</t>
  </si>
  <si>
    <t xml:space="preserve">CTGTTGGTAAGTTTGCTCAT</t>
  </si>
  <si>
    <t xml:space="preserve">TAGTCTGTTGGTAAGTTTGCTCAT</t>
  </si>
  <si>
    <t xml:space="preserve">AAACATGAGCAAACTTACCAACAG</t>
  </si>
  <si>
    <t xml:space="preserve">AATACGGCTGGCAAGCATGA</t>
  </si>
  <si>
    <t xml:space="preserve">TAGTAATACGGCTGGCAAGCATGA</t>
  </si>
  <si>
    <t xml:space="preserve">AAACTCATGCTTGCCAGCCGTATT</t>
  </si>
  <si>
    <t xml:space="preserve">AGGTATCTTCCGGTGGGGCC</t>
  </si>
  <si>
    <t xml:space="preserve">TAGTAGGTATCTTCCGGTGGGGCC</t>
  </si>
  <si>
    <t xml:space="preserve">AAACGGCCCCACCGGAAGATACCT</t>
  </si>
  <si>
    <t xml:space="preserve">GTGTAACGAAACGTCGGGCA</t>
  </si>
  <si>
    <t xml:space="preserve">TAGTGTGTAACGAAACGTCGGGCA</t>
  </si>
  <si>
    <t xml:space="preserve">AAACTGCCCGACGTTTCGTTACAC</t>
  </si>
  <si>
    <t xml:space="preserve">PSPPH_3479</t>
  </si>
  <si>
    <t xml:space="preserve">GTAAGTACGCGGGGTATCTG</t>
  </si>
  <si>
    <t xml:space="preserve">TAGTGTAAGTACGCGGGGTATCTG</t>
  </si>
  <si>
    <t xml:space="preserve">AAACCAGATACCCCGCGTACTTAC</t>
  </si>
  <si>
    <t xml:space="preserve">CGGTCGGCAAGTTGCCATGG</t>
  </si>
  <si>
    <t xml:space="preserve">TAGTCGGTCGGCAAGTTGCCATGG</t>
  </si>
  <si>
    <t xml:space="preserve">AAACCCATGGCAACTTGCCGACCG</t>
  </si>
  <si>
    <t xml:space="preserve">CCAGGCCGCCTGCCGCAAGA</t>
  </si>
  <si>
    <t xml:space="preserve">TAGTCCAGGCCGCCTGCCGCAAGA</t>
  </si>
  <si>
    <t xml:space="preserve">AAACTCTTGCGGCAGGCGGCCTGG</t>
  </si>
  <si>
    <t xml:space="preserve">GCCGAAATGGTGCGCAGGTG</t>
  </si>
  <si>
    <t xml:space="preserve">TAGTGCCGAAATGGTGCGCAGGTG</t>
  </si>
  <si>
    <t xml:space="preserve">AAACCACCTGCGCACCATTTCGGC</t>
  </si>
  <si>
    <t xml:space="preserve">PSPPH_3480</t>
  </si>
  <si>
    <t xml:space="preserve">GTCGACATCAAAATATGGCG</t>
  </si>
  <si>
    <t xml:space="preserve">TAGTGTCGACATCAAAATATGGCG</t>
  </si>
  <si>
    <t xml:space="preserve">AAACCGCCATATTTTGATGTCGAC</t>
  </si>
  <si>
    <t xml:space="preserve">AAATGTCAACGTATTGATGT</t>
  </si>
  <si>
    <t xml:space="preserve">TAGTAAATGTCAACGTATTGATGT</t>
  </si>
  <si>
    <t xml:space="preserve">AAACACATCAATACGTTGACATTT</t>
  </si>
  <si>
    <t xml:space="preserve">AGGCCCTGCCAATTGATCCT</t>
  </si>
  <si>
    <t xml:space="preserve">TAGTAGGCCCTGCCAATTGATCCT</t>
  </si>
  <si>
    <t xml:space="preserve">AAACAGGATCAATTGGCAGGGCCT</t>
  </si>
  <si>
    <t xml:space="preserve">CCTTCGACGCTGACGCTGAA</t>
  </si>
  <si>
    <t xml:space="preserve">TAGTCCTTCGACGCTGACGCTGAA</t>
  </si>
  <si>
    <t xml:space="preserve">AAACTTCAGCGTCAGCGTCGAAGG</t>
  </si>
  <si>
    <t xml:space="preserve">PSPPH_3481</t>
  </si>
  <si>
    <t xml:space="preserve">ACAGTGGGGAGAGTAGTCAT</t>
  </si>
  <si>
    <t xml:space="preserve">TAGTACAGTGGGGAGAGTAGTCAT</t>
  </si>
  <si>
    <t xml:space="preserve">AAACATGACTACTCTCCCCACTGT</t>
  </si>
  <si>
    <t xml:space="preserve">ATAAATGGCACCAATACCGC</t>
  </si>
  <si>
    <t xml:space="preserve">TAGTATAAATGGCACCAATACCGC</t>
  </si>
  <si>
    <t xml:space="preserve">AAACGCGGTATTGGTGCCATTTAT</t>
  </si>
  <si>
    <t xml:space="preserve">CACCAGGTTGTGGCCGCGAC</t>
  </si>
  <si>
    <t xml:space="preserve">TAGTCACCAGGTTGTGGCCGCGAC</t>
  </si>
  <si>
    <t xml:space="preserve">AAACGTCGCGGCCACAACCTGGTG</t>
  </si>
  <si>
    <t xml:space="preserve">GCTGCCAGAGCATCGAGGCG</t>
  </si>
  <si>
    <t xml:space="preserve">TAGTGCTGCCAGAGCATCGAGGCG</t>
  </si>
  <si>
    <t xml:space="preserve">AAACCGCCTCGATGCTCTGGCAGC</t>
  </si>
  <si>
    <t xml:space="preserve">PSPPH_3482</t>
  </si>
  <si>
    <t xml:space="preserve">TTGCGATTTTATTAGGCGCC</t>
  </si>
  <si>
    <t xml:space="preserve">TAGTTTGCGATTTTATTAGGCGCC</t>
  </si>
  <si>
    <t xml:space="preserve">AAACGGCGCCTAATAAAATCGCAA</t>
  </si>
  <si>
    <t xml:space="preserve">ACCTGACTCGCGATAGGCGA</t>
  </si>
  <si>
    <t xml:space="preserve">TAGTACCTGACTCGCGATAGGCGA</t>
  </si>
  <si>
    <t xml:space="preserve">AAACTCGCCTATCGCGAGTCAGGT</t>
  </si>
  <si>
    <t xml:space="preserve">CAGTAGTTGAGCAACAAGAG</t>
  </si>
  <si>
    <t xml:space="preserve">TAGTCAGTAGTTGAGCAACAAGAG</t>
  </si>
  <si>
    <t xml:space="preserve">AAACCTCTTGTTGCTCAACTACTG</t>
  </si>
  <si>
    <t xml:space="preserve">CAAGACCATCAACAATGCGC</t>
  </si>
  <si>
    <t xml:space="preserve">TAGTCAAGACCATCAACAATGCGC</t>
  </si>
  <si>
    <t xml:space="preserve">AAACGCGCATTGTTGATGGTCTTG</t>
  </si>
  <si>
    <t xml:space="preserve">PSPPH_3483</t>
  </si>
  <si>
    <t xml:space="preserve">CGACTTGCCATAGCTTTCGA</t>
  </si>
  <si>
    <t xml:space="preserve">TAGTCGACTTGCCATAGCTTTCGA</t>
  </si>
  <si>
    <t xml:space="preserve">AAACTCGAAAGCTATGGCAAGTCG</t>
  </si>
  <si>
    <t xml:space="preserve">ACATGCGTTATCGCAATTTC</t>
  </si>
  <si>
    <t xml:space="preserve">TAGTACATGCGTTATCGCAATTTC</t>
  </si>
  <si>
    <t xml:space="preserve">AAACGAAATTGCGATAACGCATGT</t>
  </si>
  <si>
    <t xml:space="preserve">TCAGGCTTGATGGTCGGCAG</t>
  </si>
  <si>
    <t xml:space="preserve">TAGTTCAGGCTTGATGGTCGGCAG</t>
  </si>
  <si>
    <t xml:space="preserve">AAACCTGCCGACCATCAAGCCTGA</t>
  </si>
  <si>
    <t xml:space="preserve">GTTGTCGATCGGGTTCAACC</t>
  </si>
  <si>
    <t xml:space="preserve">TAGTGTTGTCGATCGGGTTCAACC</t>
  </si>
  <si>
    <t xml:space="preserve">AAACGGTTGAACCCGATCGACAAC</t>
  </si>
  <si>
    <t xml:space="preserve">PSPPH_3484</t>
  </si>
  <si>
    <t xml:space="preserve">GGTGACAATGGCCGTTTTTC</t>
  </si>
  <si>
    <t xml:space="preserve">TAGTGGTGACAATGGCCGTTTTTC</t>
  </si>
  <si>
    <t xml:space="preserve">AAACGAAAAACGGCCATTGTCACC</t>
  </si>
  <si>
    <t xml:space="preserve">GCCGATACCGGATGATGCAC</t>
  </si>
  <si>
    <t xml:space="preserve">TAGTGCCGATACCGGATGATGCAC</t>
  </si>
  <si>
    <t xml:space="preserve">AAACGTGCATCATCCGGTATCGGC</t>
  </si>
  <si>
    <t xml:space="preserve">CCAGCGCCTCGGCCGTTGCG</t>
  </si>
  <si>
    <t xml:space="preserve">TAGTCCAGCGCCTCGGCCGTTGCG</t>
  </si>
  <si>
    <t xml:space="preserve">AAACCGCAACGGCCGAGGCGCTGG</t>
  </si>
  <si>
    <t xml:space="preserve">CTTGCGGCTGGTGCCGAATA</t>
  </si>
  <si>
    <t xml:space="preserve">TAGTCTTGCGGCTGGTGCCGAATA</t>
  </si>
  <si>
    <t xml:space="preserve">AAACTATTCGGCACCAGCCGCAAG</t>
  </si>
  <si>
    <t xml:space="preserve">PSPPH_3485</t>
  </si>
  <si>
    <t xml:space="preserve">ACGCCATAAACAATGCCCTT</t>
  </si>
  <si>
    <t xml:space="preserve">TAGTACGCCATAAACAATGCCCTT</t>
  </si>
  <si>
    <t xml:space="preserve">AAACAAGGGCATTGTTTATGGCGT</t>
  </si>
  <si>
    <t xml:space="preserve">AATCACGCCCCAGCACAGAC</t>
  </si>
  <si>
    <t xml:space="preserve">TAGTAATCACGCCCCAGCACAGAC</t>
  </si>
  <si>
    <t xml:space="preserve">AAACGTCTGTGCTGGGGCGTGATT</t>
  </si>
  <si>
    <t xml:space="preserve">CTGGAGTCAGCTGCGGGCCC</t>
  </si>
  <si>
    <t xml:space="preserve">TAGTCTGGAGTCAGCTGCGGGCCC</t>
  </si>
  <si>
    <t xml:space="preserve">AAACGGGCCCGCAGCTGACTCCAG</t>
  </si>
  <si>
    <t xml:space="preserve">GCCGCCAACGCAGCATCAGC</t>
  </si>
  <si>
    <t xml:space="preserve">TAGTGCCGCCAACGCAGCATCAGC</t>
  </si>
  <si>
    <t xml:space="preserve">AAACGCTGATGCTGCGTTGGCGGC</t>
  </si>
  <si>
    <t xml:space="preserve">PSPPH_3486</t>
  </si>
  <si>
    <t xml:space="preserve">TCTTGTAGCTGCGAACTTCA</t>
  </si>
  <si>
    <t xml:space="preserve">TAGTTCTTGTAGCTGCGAACTTCA</t>
  </si>
  <si>
    <t xml:space="preserve">AAACTGAAGTTCGCAGCTACAAGA</t>
  </si>
  <si>
    <t xml:space="preserve">TATGGTCGTGGCAGTGCTGA</t>
  </si>
  <si>
    <t xml:space="preserve">TAGTTATGGTCGTGGCAGTGCTGA</t>
  </si>
  <si>
    <t xml:space="preserve">AAACTCAGCACTGCCACGACCATA</t>
  </si>
  <si>
    <t xml:space="preserve">ATTTCCATTCGGCCACGAAT</t>
  </si>
  <si>
    <t xml:space="preserve">TAGTATTTCCATTCGGCCACGAAT</t>
  </si>
  <si>
    <t xml:space="preserve">AAACATTCGTGGCCGAATGGAAAT</t>
  </si>
  <si>
    <t xml:space="preserve">TCCTGCGAGTGCCGCGAACC</t>
  </si>
  <si>
    <t xml:space="preserve">TAGTTCCTGCGAGTGCCGCGAACC</t>
  </si>
  <si>
    <t xml:space="preserve">AAACGGTTCGCGGCACTCGCAGGA</t>
  </si>
  <si>
    <t xml:space="preserve">PSPPH_3487</t>
  </si>
  <si>
    <t xml:space="preserve">AATGGCCTCTCGTGCGTTGA</t>
  </si>
  <si>
    <t xml:space="preserve">TAGTAATGGCCTCTCGTGCGTTGA</t>
  </si>
  <si>
    <t xml:space="preserve">AAACTCAACGCACGAGAGGCCATT</t>
  </si>
  <si>
    <t xml:space="preserve">AGACTGAGCGATGTTTCTCG</t>
  </si>
  <si>
    <t xml:space="preserve">TAGTAGACTGAGCGATGTTTCTCG</t>
  </si>
  <si>
    <t xml:space="preserve">AAACCGAGAAACATCGCTCAGTCT</t>
  </si>
  <si>
    <t xml:space="preserve">CCGCCAGATCGCGAAAGTTC</t>
  </si>
  <si>
    <t xml:space="preserve">TAGTCCGCCAGATCGCGAAAGTTC</t>
  </si>
  <si>
    <t xml:space="preserve">AAACGAACTTTCGCGATCTGGCGG</t>
  </si>
  <si>
    <t xml:space="preserve">AAGTGGTAGTAAATACTGGC</t>
  </si>
  <si>
    <t xml:space="preserve">TAGTAAGTGGTAGTAAATACTGGC</t>
  </si>
  <si>
    <t xml:space="preserve">AAACGCCAGTATTTACTACCACTT</t>
  </si>
  <si>
    <t xml:space="preserve">PSPPH_3488</t>
  </si>
  <si>
    <t xml:space="preserve">TCGGGCCTGTGAAATGGAGT</t>
  </si>
  <si>
    <t xml:space="preserve">TAGTTCGGGCCTGTGAAATGGAGT</t>
  </si>
  <si>
    <t xml:space="preserve">AAACACTCCATTTCACAGGCCCGA</t>
  </si>
  <si>
    <t xml:space="preserve">AAGTCGCAATCTGGAGGTCA</t>
  </si>
  <si>
    <t xml:space="preserve">TAGTAAGTCGCAATCTGGAGGTCA</t>
  </si>
  <si>
    <t xml:space="preserve">AAACTGACCTCCAGATTGCGACTT</t>
  </si>
  <si>
    <t xml:space="preserve">TGGGGGTTTGGAAAAGCCGA</t>
  </si>
  <si>
    <t xml:space="preserve">TAGTTGGGGGTTTGGAAAAGCCGA</t>
  </si>
  <si>
    <t xml:space="preserve">AAACTCGGCTTTTCCAAACCCCCA</t>
  </si>
  <si>
    <t xml:space="preserve">GGATGAACAGGCGCAGGCGC</t>
  </si>
  <si>
    <t xml:space="preserve">TAGTGGATGAACAGGCGCAGGCGC</t>
  </si>
  <si>
    <t xml:space="preserve">AAACGCGCCTGCGCCTGTTCATCC</t>
  </si>
  <si>
    <t xml:space="preserve">PSPPH_3489</t>
  </si>
  <si>
    <t xml:space="preserve">CGAGCAGCCCAGTATGAAAA</t>
  </si>
  <si>
    <t xml:space="preserve">TAGTCGAGCAGCCCAGTATGAAAA</t>
  </si>
  <si>
    <t xml:space="preserve">AAACTTTTCATACTGGGCTGCTCG</t>
  </si>
  <si>
    <t xml:space="preserve">GGTCACGCACAGCAAAAGCA</t>
  </si>
  <si>
    <t xml:space="preserve">TAGTGGTCACGCACAGCAAAAGCA</t>
  </si>
  <si>
    <t xml:space="preserve">AAACTGCTTTTGCTGTGCGTGACC</t>
  </si>
  <si>
    <t xml:space="preserve">ATTCTGGGCCAGGGCTGGCA</t>
  </si>
  <si>
    <t xml:space="preserve">TAGTATTCTGGGCCAGGGCTGGCA</t>
  </si>
  <si>
    <t xml:space="preserve">AAACTGCCAGCCCTGGCCCAGAAT</t>
  </si>
  <si>
    <t xml:space="preserve">TGCTATCGGTTTGAGGCGCC</t>
  </si>
  <si>
    <t xml:space="preserve">TAGTTGCTATCGGTTTGAGGCGCC</t>
  </si>
  <si>
    <t xml:space="preserve">AAACGGCGCCTCAAACCGATAGCA</t>
  </si>
  <si>
    <t xml:space="preserve">PSPPH_3490</t>
  </si>
  <si>
    <t xml:space="preserve">AGGACCGCCAACCTGGCCGA</t>
  </si>
  <si>
    <t xml:space="preserve">TAGTAGGACCGCCAACCTGGCCGA</t>
  </si>
  <si>
    <t xml:space="preserve">AAACTCGGCCAGGTTGGCGGTCCT</t>
  </si>
  <si>
    <t xml:space="preserve">CGAAGGGTGCTTGCAACCTC</t>
  </si>
  <si>
    <t xml:space="preserve">TAGTCGAAGGGTGCTTGCAACCTC</t>
  </si>
  <si>
    <t xml:space="preserve">AAACGAGGTTGCAAGCACCCTTCG</t>
  </si>
  <si>
    <t xml:space="preserve">CGGTCTCAAGCGCTCCATAC</t>
  </si>
  <si>
    <t xml:space="preserve">TAGTCGGTCTCAAGCGCTCCATAC</t>
  </si>
  <si>
    <t xml:space="preserve">AAACGTATGGAGCGCTTGAGACCG</t>
  </si>
  <si>
    <t xml:space="preserve">GACAGGACTAATCAGGTCTG</t>
  </si>
  <si>
    <t xml:space="preserve">TAGTGACAGGACTAATCAGGTCTG</t>
  </si>
  <si>
    <t xml:space="preserve">AAACCAGACCTGATTAGTCCTGTC</t>
  </si>
  <si>
    <t xml:space="preserve">PSPPH_3491</t>
  </si>
  <si>
    <t xml:space="preserve">CAGTGATCGATTAAGACCTG</t>
  </si>
  <si>
    <t xml:space="preserve">TAGTCAGTGATCGATTAAGACCTG</t>
  </si>
  <si>
    <t xml:space="preserve">AAACCAGGTCTTAATCGATCACTG</t>
  </si>
  <si>
    <t xml:space="preserve">GGCATCTGTACTGTGGCGGT</t>
  </si>
  <si>
    <t xml:space="preserve">TAGTGGCATCTGTACTGTGGCGGT</t>
  </si>
  <si>
    <t xml:space="preserve">AAACACCGCCACAGTACAGATGCC</t>
  </si>
  <si>
    <t xml:space="preserve">AGAATCAAACCTAGAGCGCC</t>
  </si>
  <si>
    <t xml:space="preserve">TAGTAGAATCAAACCTAGAGCGCC</t>
  </si>
  <si>
    <t xml:space="preserve">AAACGGCGCTCTAGGTTTGATTCT</t>
  </si>
  <si>
    <t xml:space="preserve">GGCGAAGGGCAATGCGGCTA</t>
  </si>
  <si>
    <t xml:space="preserve">TAGTGGCGAAGGGCAATGCGGCTA</t>
  </si>
  <si>
    <t xml:space="preserve">AAACTAGCCGCATTGCCCTTCGCC</t>
  </si>
  <si>
    <t xml:space="preserve">PSPPH_3495</t>
  </si>
  <si>
    <t xml:space="preserve">ATCGGAGGGCACGGACATCA</t>
  </si>
  <si>
    <t xml:space="preserve">TAGTATCGGAGGGCACGGACATCA</t>
  </si>
  <si>
    <t xml:space="preserve">AAACTGATGTCCGTGCCCTCCGAT</t>
  </si>
  <si>
    <t xml:space="preserve">TATTGAGCTTGCAGCAGCCG</t>
  </si>
  <si>
    <t xml:space="preserve">TAGTTATTGAGCTTGCAGCAGCCG</t>
  </si>
  <si>
    <t xml:space="preserve">AAACCGGCTGCTGCAAGCTCAATA</t>
  </si>
  <si>
    <t xml:space="preserve">GTACATCAGCGGCAGTTGTC</t>
  </si>
  <si>
    <t xml:space="preserve">TAGTGTACATCAGCGGCAGTTGTC</t>
  </si>
  <si>
    <t xml:space="preserve">AAACGACAACTGCCGCTGATGTAC</t>
  </si>
  <si>
    <t xml:space="preserve">ATGGGTAACGGCAAGCGCCC</t>
  </si>
  <si>
    <t xml:space="preserve">TAGTATGGGTAACGGCAAGCGCCC</t>
  </si>
  <si>
    <t xml:space="preserve">AAACGGGCGCTTGCCGTTACCCAT</t>
  </si>
  <si>
    <t xml:space="preserve">PSPPH_3497</t>
  </si>
  <si>
    <t xml:space="preserve">AGTCCACCGGCGTGGGGTAG</t>
  </si>
  <si>
    <t xml:space="preserve">TAGTAGTCCACCGGCGTGGGGTAG</t>
  </si>
  <si>
    <t xml:space="preserve">AAACCTACCCCACGCCGGTGGACT</t>
  </si>
  <si>
    <t xml:space="preserve">CAGTGCGGCAAGGCCGTCGA</t>
  </si>
  <si>
    <t xml:space="preserve">TAGTCAGTGCGGCAAGGCCGTCGA</t>
  </si>
  <si>
    <t xml:space="preserve">AAACTCGACGGCCTTGCCGCACTG</t>
  </si>
  <si>
    <t xml:space="preserve">AGAAAGCACGGGGTCGAACA</t>
  </si>
  <si>
    <t xml:space="preserve">TAGTAGAAAGCACGGGGTCGAACA</t>
  </si>
  <si>
    <t xml:space="preserve">AAACTGTTCGACCCCGTGCTTTCT</t>
  </si>
  <si>
    <t xml:space="preserve">AAAGGATTTTCACCCGGTTA</t>
  </si>
  <si>
    <t xml:space="preserve">TAGTAAAGGATTTTCACCCGGTTA</t>
  </si>
  <si>
    <t xml:space="preserve">AAACTAACCGGGTGAAAATCCTTT</t>
  </si>
  <si>
    <t xml:space="preserve">PSPPH_3498</t>
  </si>
  <si>
    <t xml:space="preserve">hopF3</t>
  </si>
  <si>
    <t xml:space="preserve">GGATGATGCACATATGCCCA</t>
  </si>
  <si>
    <t xml:space="preserve">TAGTGGATGATGCACATATGCCCA</t>
  </si>
  <si>
    <t xml:space="preserve">AAACTGGGCATATGTGCATCATCC</t>
  </si>
  <si>
    <t xml:space="preserve">TGGACTATATTGGTTGCGAC</t>
  </si>
  <si>
    <t xml:space="preserve">TAGTTGGACTATATTGGTTGCGAC</t>
  </si>
  <si>
    <t xml:space="preserve">AAACGTCGCAACCAATATAGTCCA</t>
  </si>
  <si>
    <t xml:space="preserve">GAACAGGTATTAGATACTGC</t>
  </si>
  <si>
    <t xml:space="preserve">TAGTGAACAGGTATTAGATACTGC</t>
  </si>
  <si>
    <t xml:space="preserve">AAACGCAGTATCTAATACCTGTTC</t>
  </si>
  <si>
    <t xml:space="preserve">CCGTGCGACGCGACATGCTG</t>
  </si>
  <si>
    <t xml:space="preserve">TAGTCCGTGCGACGCGACATGCTG</t>
  </si>
  <si>
    <t xml:space="preserve">AAACCAGCATGTCGCGTCGCACGG</t>
  </si>
  <si>
    <t xml:space="preserve">PSPPH_3499</t>
  </si>
  <si>
    <t xml:space="preserve">AACTGCTTTCCGGGTGGCGT</t>
  </si>
  <si>
    <t xml:space="preserve">TAGTAACTGCTTTCCGGGTGGCGT</t>
  </si>
  <si>
    <t xml:space="preserve">AAACACGCCACCCGGAAAGCAGTT</t>
  </si>
  <si>
    <t xml:space="preserve">CGTTCCCCATAAATCTTAAC</t>
  </si>
  <si>
    <t xml:space="preserve">TAGTCGTTCCCCATAAATCTTAAC</t>
  </si>
  <si>
    <t xml:space="preserve">AAACGTTAAGATTTATGGGGAACG</t>
  </si>
  <si>
    <t xml:space="preserve">ATATCAGGCAGGGTTTTTTT</t>
  </si>
  <si>
    <t xml:space="preserve">TAGTATATCAGGCAGGGTTTTTTT</t>
  </si>
  <si>
    <t xml:space="preserve">AAACAAAAAAACCCTGCCTGATAT</t>
  </si>
  <si>
    <t xml:space="preserve">TGTGCGCCTTCGATGTCCGC</t>
  </si>
  <si>
    <t xml:space="preserve">TAGTTGTGCGCCTTCGATGTCCGC</t>
  </si>
  <si>
    <t xml:space="preserve">AAACGCGGACATCGAAGGCGCACA</t>
  </si>
  <si>
    <t xml:space="preserve">PSPPH_3502</t>
  </si>
  <si>
    <t xml:space="preserve">TGCGTTGACCTGCGTGTCAC</t>
  </si>
  <si>
    <t xml:space="preserve">TAGTTGCGTTGACCTGCGTGTCAC</t>
  </si>
  <si>
    <t xml:space="preserve">AAACGTGACACGCAGGTCAACGCA</t>
  </si>
  <si>
    <t xml:space="preserve">ATCTGGTGATGGACAGGAGC</t>
  </si>
  <si>
    <t xml:space="preserve">TAGTATCTGGTGATGGACAGGAGC</t>
  </si>
  <si>
    <t xml:space="preserve">AAACGCTCCTGTCCATCACCAGAT</t>
  </si>
  <si>
    <t xml:space="preserve">TGATGGCCAACTGAGGCGCA</t>
  </si>
  <si>
    <t xml:space="preserve">TAGTTGATGGCCAACTGAGGCGCA</t>
  </si>
  <si>
    <t xml:space="preserve">AAACTGCGCCTCAGTTGGCCATCA</t>
  </si>
  <si>
    <t xml:space="preserve">ATACCGCTGCGCTAGCAATG</t>
  </si>
  <si>
    <t xml:space="preserve">TAGTATACCGCTGCGCTAGCAATG</t>
  </si>
  <si>
    <t xml:space="preserve">AAACCATTGCTAGCGCAGCGGTAT</t>
  </si>
  <si>
    <t xml:space="preserve">PSPPH_3503</t>
  </si>
  <si>
    <t xml:space="preserve">CTCTCTCTATAAAAAATGGC</t>
  </si>
  <si>
    <t xml:space="preserve">TAGTCTCTCTCTATAAAAAATGGC</t>
  </si>
  <si>
    <t xml:space="preserve">AAACGCCATTTTTTATAGAGAGAG</t>
  </si>
  <si>
    <t xml:space="preserve">TGACAACGCGGATTTTGACA</t>
  </si>
  <si>
    <t xml:space="preserve">TAGTTGACAACGCGGATTTTGACA</t>
  </si>
  <si>
    <t xml:space="preserve">AAACTGTCAAAATCCGCGTTGTCA</t>
  </si>
  <si>
    <t xml:space="preserve">CGATCACAGCCATAATCGCC</t>
  </si>
  <si>
    <t xml:space="preserve">TAGTCGATCACAGCCATAATCGCC</t>
  </si>
  <si>
    <t xml:space="preserve">AAACGGCGATTATGGCTGTGATCG</t>
  </si>
  <si>
    <t xml:space="preserve">GCGCTTGAACAGGGAGCAAC</t>
  </si>
  <si>
    <t xml:space="preserve">TAGTGCGCTTGAACAGGGAGCAAC</t>
  </si>
  <si>
    <t xml:space="preserve">AAACGTTGCTCCCTGTTCAAGCGC</t>
  </si>
  <si>
    <t xml:space="preserve">PSPPH_3504</t>
  </si>
  <si>
    <t xml:space="preserve">AATAAGTAGCCTGTTTCATA</t>
  </si>
  <si>
    <t xml:space="preserve">TAGTAATAAGTAGCCTGTTTCATA</t>
  </si>
  <si>
    <t xml:space="preserve">AAACTATGAAACAGGCTACTTATT</t>
  </si>
  <si>
    <t xml:space="preserve">GAACTTGTCAGCCGTGCGGC</t>
  </si>
  <si>
    <t xml:space="preserve">TAGTGAACTTGTCAGCCGTGCGGC</t>
  </si>
  <si>
    <t xml:space="preserve">AAACGCCGCACGGCTGACAAGTTC</t>
  </si>
  <si>
    <t xml:space="preserve">GATTACGCATGCCGTCTGGT</t>
  </si>
  <si>
    <t xml:space="preserve">TAGTGATTACGCATGCCGTCTGGT</t>
  </si>
  <si>
    <t xml:space="preserve">AAACACCAGACGGCATGCGTAATC</t>
  </si>
  <si>
    <t xml:space="preserve">CATGCTGCGGTGATGATTCT</t>
  </si>
  <si>
    <t xml:space="preserve">TAGTCATGCTGCGGTGATGATTCT</t>
  </si>
  <si>
    <t xml:space="preserve">AAACAGAATCATCACCGCAGCATG</t>
  </si>
  <si>
    <t xml:space="preserve">PSPPH_3505</t>
  </si>
  <si>
    <t xml:space="preserve">mgtE</t>
  </si>
  <si>
    <t xml:space="preserve">TTTACTTCTCTTTCGGTCAT</t>
  </si>
  <si>
    <t xml:space="preserve">TAGTTTTACTTCTCTTTCGGTCAT</t>
  </si>
  <si>
    <t xml:space="preserve">AAACATGACCGAAAGAGAAGTAAA</t>
  </si>
  <si>
    <t xml:space="preserve">GCAGATCGACAACCTGAGCC</t>
  </si>
  <si>
    <t xml:space="preserve">TAGTGCAGATCGACAACCTGAGCC</t>
  </si>
  <si>
    <t xml:space="preserve">AAACGGCTCAGGTTGTCGATCTGC</t>
  </si>
  <si>
    <t xml:space="preserve">TCAGGTCTTCAACAATACGC</t>
  </si>
  <si>
    <t xml:space="preserve">TAGTTCAGGTCTTCAACAATACGC</t>
  </si>
  <si>
    <t xml:space="preserve">AAACGCGTATTGTTGAAGACCTGA</t>
  </si>
  <si>
    <t xml:space="preserve">ATGCTGACCTTCCTGACGAT</t>
  </si>
  <si>
    <t xml:space="preserve">TAGTATGCTGACCTTCCTGACGAT</t>
  </si>
  <si>
    <t xml:space="preserve">AAACATCGTCAGGAAGGTCAGCAT</t>
  </si>
  <si>
    <t xml:space="preserve">PSPPH_3506</t>
  </si>
  <si>
    <t xml:space="preserve">GCTCCACAGGGATAGATGAA</t>
  </si>
  <si>
    <t xml:space="preserve">TAGTGCTCCACAGGGATAGATGAA</t>
  </si>
  <si>
    <t xml:space="preserve">AAACTTCATCTATCCCTGTGGAGC</t>
  </si>
  <si>
    <t xml:space="preserve">GTGCTGGCGGTCGCCGGTGC</t>
  </si>
  <si>
    <t xml:space="preserve">TAGTGTGCTGGCGGTCGCCGGTGC</t>
  </si>
  <si>
    <t xml:space="preserve">AAACGCACCGGCGACCGCCAGCAC</t>
  </si>
  <si>
    <t xml:space="preserve">AGTGGTGAACATGATTTTTC</t>
  </si>
  <si>
    <t xml:space="preserve">TAGTAGTGGTGAACATGATTTTTC</t>
  </si>
  <si>
    <t xml:space="preserve">AAACGAAAAATCATGTTCACCACT</t>
  </si>
  <si>
    <t xml:space="preserve">TGCTGGTGCTGTGACCTTCG</t>
  </si>
  <si>
    <t xml:space="preserve">TAGTTGCTGGTGCTGTGACCTTCG</t>
  </si>
  <si>
    <t xml:space="preserve">AAACCGAAGGTCACAGCACCAGCA</t>
  </si>
  <si>
    <t xml:space="preserve">PSPPH_3510</t>
  </si>
  <si>
    <t xml:space="preserve">csrA2</t>
  </si>
  <si>
    <t xml:space="preserve">TCTCACCGTCACCAATGATC</t>
  </si>
  <si>
    <t xml:space="preserve">TAGTTCTCACCGTCACCAATGATC</t>
  </si>
  <si>
    <t xml:space="preserve">AAACGATCATTGGTGACGGTGAGA</t>
  </si>
  <si>
    <t xml:space="preserve">CTTCACTCCGAGCACGGTCA</t>
  </si>
  <si>
    <t xml:space="preserve">TAGTCTTCACTCCGAGCACGGTCA</t>
  </si>
  <si>
    <t xml:space="preserve">AAACTGACCGTGCTCGGAGTGAAG</t>
  </si>
  <si>
    <t xml:space="preserve">CGATGGACAGCGACTTCCTT</t>
  </si>
  <si>
    <t xml:space="preserve">TAGTCGATGGACAGCGACTTCCTT</t>
  </si>
  <si>
    <t xml:space="preserve">AAACAAGGAAGTCGCTGTCCATCG</t>
  </si>
  <si>
    <t xml:space="preserve">CCTTCTCTTTCTTGATGCGA</t>
  </si>
  <si>
    <t xml:space="preserve">TAGTCCTTCTCTTTCTTGATGCGA</t>
  </si>
  <si>
    <t xml:space="preserve">AAACTCGCATCAAGAAAGAGAAGG</t>
  </si>
  <si>
    <t xml:space="preserve">PSPPH_3511</t>
  </si>
  <si>
    <t xml:space="preserve">GCGCTCTACAGAGCCCACCG</t>
  </si>
  <si>
    <t xml:space="preserve">TAGTGCGCTCTACAGAGCCCACCG</t>
  </si>
  <si>
    <t xml:space="preserve">AAACCGGTGGGCTCTGTAGAGCGC</t>
  </si>
  <si>
    <t xml:space="preserve">ACGGAATTTCTTGACCTTGT</t>
  </si>
  <si>
    <t xml:space="preserve">TAGTACGGAATTTCTTGACCTTGT</t>
  </si>
  <si>
    <t xml:space="preserve">AAACACAAGGTCAAGAAATTCCGT</t>
  </si>
  <si>
    <t xml:space="preserve">ACGGTTGGTTTCGCCGCTCA</t>
  </si>
  <si>
    <t xml:space="preserve">TAGTACGGTTGGTTTCGCCGCTCA</t>
  </si>
  <si>
    <t xml:space="preserve">AAACTGAGCGGCGAAACCAACCGT</t>
  </si>
  <si>
    <t xml:space="preserve">CGGCTGATCACTGATCTGCC</t>
  </si>
  <si>
    <t xml:space="preserve">TAGTCGGCTGATCACTGATCTGCC</t>
  </si>
  <si>
    <t xml:space="preserve">AAACGGCAGATCAGTGATCAGCCG</t>
  </si>
  <si>
    <t xml:space="preserve">PSPPH_3512</t>
  </si>
  <si>
    <t xml:space="preserve">alaS</t>
  </si>
  <si>
    <t xml:space="preserve">CGGATTTCTGCGCTTTTCAT</t>
  </si>
  <si>
    <t xml:space="preserve">TAGTCGGATTTCTGCGCTTTTCAT</t>
  </si>
  <si>
    <t xml:space="preserve">AAACATGAAAAGCGCAGAAATCCG</t>
  </si>
  <si>
    <t xml:space="preserve">AGAAGCCAAGGAAGGCTTCA</t>
  </si>
  <si>
    <t xml:space="preserve">TAGTAGAAGCCAAGGAAGGCTTCA</t>
  </si>
  <si>
    <t xml:space="preserve">AAACTGAAGCCTTCCTTGGCTTCT</t>
  </si>
  <si>
    <t xml:space="preserve">AGCTTGAAGCAACACGGGTG</t>
  </si>
  <si>
    <t xml:space="preserve">TAGTAGCTTGAAGCAACACGGGTG</t>
  </si>
  <si>
    <t xml:space="preserve">AAACCACCCGTGTTGCTTCAAGCT</t>
  </si>
  <si>
    <t xml:space="preserve">TGGGTCATTGCCCGGAATCA</t>
  </si>
  <si>
    <t xml:space="preserve">TAGTTGGGTCATTGCCCGGAATCA</t>
  </si>
  <si>
    <t xml:space="preserve">AAACTGATTCCGGGCAATGACCCA</t>
  </si>
  <si>
    <t xml:space="preserve">PSPPH_3513</t>
  </si>
  <si>
    <t xml:space="preserve">GCATCCCGCATACCGGGCGT</t>
  </si>
  <si>
    <t xml:space="preserve">TAGTGCATCCCGCATACCGGGCGT</t>
  </si>
  <si>
    <t xml:space="preserve">AAACACGCCCGGTATGCGGGATGC</t>
  </si>
  <si>
    <t xml:space="preserve">GCCGACGGGCGCACGCGCCA</t>
  </si>
  <si>
    <t xml:space="preserve">TAGTGCCGACGGGCGCACGCGCCA</t>
  </si>
  <si>
    <t xml:space="preserve">AAACTGGCGCGTGCGCCCGTCGGC</t>
  </si>
  <si>
    <t xml:space="preserve">GCTTCGAGCAGGTTGACGGT</t>
  </si>
  <si>
    <t xml:space="preserve">TAGTGCTTCGAGCAGGTTGACGGT</t>
  </si>
  <si>
    <t xml:space="preserve">AAACACCGTCAACCTGCTCGAAGC</t>
  </si>
  <si>
    <t xml:space="preserve">GGCATCAAACCCGAGGCGCT</t>
  </si>
  <si>
    <t xml:space="preserve">TAGTGGCATCAAACCCGAGGCGCT</t>
  </si>
  <si>
    <t xml:space="preserve">AAACAGCGCCTCGGGTTTGATGCC</t>
  </si>
  <si>
    <t xml:space="preserve">PSPPH_3514</t>
  </si>
  <si>
    <t xml:space="preserve">ribH</t>
  </si>
  <si>
    <t xml:space="preserve">GTCGGCCCCGGAATCACACC</t>
  </si>
  <si>
    <t xml:space="preserve">TAGTGTCGGCCCCGGAATCACACC</t>
  </si>
  <si>
    <t xml:space="preserve">AAACGGTGTGATTCCGGGGCCGAC</t>
  </si>
  <si>
    <t xml:space="preserve">AATCCCGCTCTCTCTTCATC</t>
  </si>
  <si>
    <t xml:space="preserve">TAGTAATCCCGCTCTCTCTTCATC</t>
  </si>
  <si>
    <t xml:space="preserve">AAACGATGAAGAGAGAGCGGGATT</t>
  </si>
  <si>
    <t xml:space="preserve">GAACGATGTCGTTCATGATG</t>
  </si>
  <si>
    <t xml:space="preserve">TAGTGAACGATGTCGTTCATGATG</t>
  </si>
  <si>
    <t xml:space="preserve">AAACCATCATGAACGACATCGTTC</t>
  </si>
  <si>
    <t xml:space="preserve">GAAAGGGATTCAAGTCGCGT</t>
  </si>
  <si>
    <t xml:space="preserve">TAGTGAAAGGGATTCAAGTCGCGT</t>
  </si>
  <si>
    <t xml:space="preserve">AAACACGCGACTTGAATCCCTTTC</t>
  </si>
  <si>
    <t xml:space="preserve">PSPPH_3515</t>
  </si>
  <si>
    <t xml:space="preserve">astE</t>
  </si>
  <si>
    <t xml:space="preserve">CAGTTCAAGCAATTTGCCGA</t>
  </si>
  <si>
    <t xml:space="preserve">TAGTCAGTTCAAGCAATTTGCCGA</t>
  </si>
  <si>
    <t xml:space="preserve">AAACTCGGCAAATTGCTTGAACTG</t>
  </si>
  <si>
    <t xml:space="preserve">CGCTGGCTCACGTCCAGCCA</t>
  </si>
  <si>
    <t xml:space="preserve">TAGTCGCTGGCTCACGTCCAGCCA</t>
  </si>
  <si>
    <t xml:space="preserve">AAACTGGCTGGACGTGAGCCAGCG</t>
  </si>
  <si>
    <t xml:space="preserve">TCGCATTCGCACGCCTTCGA</t>
  </si>
  <si>
    <t xml:space="preserve">TAGTTCGCATTCGCACGCCTTCGA</t>
  </si>
  <si>
    <t xml:space="preserve">AAACTCGAAGGCGTGCGAATGCGA</t>
  </si>
  <si>
    <t xml:space="preserve">TGTCACGGACCTGCGGCGGG</t>
  </si>
  <si>
    <t xml:space="preserve">TAGTTGTCACGGACCTGCGGCGGG</t>
  </si>
  <si>
    <t xml:space="preserve">AAACCCCGCCGCAGGTCCGTGACA</t>
  </si>
  <si>
    <t xml:space="preserve">PSPPH_3516</t>
  </si>
  <si>
    <t xml:space="preserve">TGTCTTCAAGGATCAGTTGC</t>
  </si>
  <si>
    <t xml:space="preserve">TAGTTGTCTTCAAGGATCAGTTGC</t>
  </si>
  <si>
    <t xml:space="preserve">AAACGCAACTGATCCTTGAAGACA</t>
  </si>
  <si>
    <t xml:space="preserve">GGTTTCCAGCTGGGTGCCAT</t>
  </si>
  <si>
    <t xml:space="preserve">TAGTGGTTTCCAGCTGGGTGCCAT</t>
  </si>
  <si>
    <t xml:space="preserve">AAACATGGCACCCAGCTGGAAACC</t>
  </si>
  <si>
    <t xml:space="preserve">AATGGCAACGCGGGTGCAAG</t>
  </si>
  <si>
    <t xml:space="preserve">TAGTAATGGCAACGCGGGTGCAAG</t>
  </si>
  <si>
    <t xml:space="preserve">AAACCTTGCACCCGCGTTGCCATT</t>
  </si>
  <si>
    <t xml:space="preserve">CACCGATCAGCAATTGGCCA</t>
  </si>
  <si>
    <t xml:space="preserve">TAGTCACCGATCAGCAATTGGCCA</t>
  </si>
  <si>
    <t xml:space="preserve">AAACTGGCCAATTGCTGATCGGTG</t>
  </si>
  <si>
    <t xml:space="preserve">PSPPH_3517</t>
  </si>
  <si>
    <t xml:space="preserve">astB</t>
  </si>
  <si>
    <t xml:space="preserve">TTCACTTCACAGGACTTCAT</t>
  </si>
  <si>
    <t xml:space="preserve">TAGTTTCACTTCACAGGACTTCAT</t>
  </si>
  <si>
    <t xml:space="preserve">AAACATGAAGTCCTGTGAAGTGAA</t>
  </si>
  <si>
    <t xml:space="preserve">AACCCGCCGTAGTTGTGGGT</t>
  </si>
  <si>
    <t xml:space="preserve">TAGTAACCCGCCGTAGTTGTGGGT</t>
  </si>
  <si>
    <t xml:space="preserve">AAACACCCACAACTACGGCGGGTT</t>
  </si>
  <si>
    <t xml:space="preserve">CTGGGAGGCGACATTACCGT</t>
  </si>
  <si>
    <t xml:space="preserve">TAGTCTGGGAGGCGACATTACCGT</t>
  </si>
  <si>
    <t xml:space="preserve">AAACACGGTAATGTCGCCTCCCAG</t>
  </si>
  <si>
    <t xml:space="preserve">CACGCGGGTTCGCGCATTGC</t>
  </si>
  <si>
    <t xml:space="preserve">TAGTCACGCGGGTTCGCGCATTGC</t>
  </si>
  <si>
    <t xml:space="preserve">AAACGCAATGCGCGAACCCGCGTG</t>
  </si>
  <si>
    <t xml:space="preserve">PSPPH_3518</t>
  </si>
  <si>
    <t xml:space="preserve">astD</t>
  </si>
  <si>
    <t xml:space="preserve">CCATGCACCTGCAATGTAGA</t>
  </si>
  <si>
    <t xml:space="preserve">TAGTCCATGCACCTGCAATGTAGA</t>
  </si>
  <si>
    <t xml:space="preserve">AAACTCTACATTGCAGGTGCATGG</t>
  </si>
  <si>
    <t xml:space="preserve">ATGGAACAGCTCGCCCTGCC</t>
  </si>
  <si>
    <t xml:space="preserve">TAGTATGGAACAGCTCGCCCTGCC</t>
  </si>
  <si>
    <t xml:space="preserve">AAACGGCAGGGCGAGCTGTTCCAT</t>
  </si>
  <si>
    <t xml:space="preserve">AGAGCGTTTGCTGGCTCACC</t>
  </si>
  <si>
    <t xml:space="preserve">TAGTAGAGCGTTTGCTGGCTCACC</t>
  </si>
  <si>
    <t xml:space="preserve">AAACGGTGAGCCAGCAAACGCTCT</t>
  </si>
  <si>
    <t xml:space="preserve">TTCTGGCGTAGCAGCCTGCC</t>
  </si>
  <si>
    <t xml:space="preserve">TAGTTTCTGGCGTAGCAGCCTGCC</t>
  </si>
  <si>
    <t xml:space="preserve">AAACGGCAGGCTGCTACGCCAGAA</t>
  </si>
  <si>
    <t xml:space="preserve">PSPPH_3519</t>
  </si>
  <si>
    <t xml:space="preserve">aruG</t>
  </si>
  <si>
    <t xml:space="preserve">GGCAGGTCACTGCTGCGTAC</t>
  </si>
  <si>
    <t xml:space="preserve">TAGTGGCAGGTCACTGCTGCGTAC</t>
  </si>
  <si>
    <t xml:space="preserve">AAACGTACGCAGCAGTGACCTGCC</t>
  </si>
  <si>
    <t xml:space="preserve">CGCGCCAGCTCAATCAGCGC</t>
  </si>
  <si>
    <t xml:space="preserve">TAGTCGCGCCAGCTCAATCAGCGC</t>
  </si>
  <si>
    <t xml:space="preserve">AAACGCGCTGATTGAGCTGGCGCG</t>
  </si>
  <si>
    <t xml:space="preserve">CAGGGTCGTCAGACCGGCAC</t>
  </si>
  <si>
    <t xml:space="preserve">TAGTCAGGGTCGTCAGACCGGCAC</t>
  </si>
  <si>
    <t xml:space="preserve">AAACGTGCCGGTCTGACGACCCTG</t>
  </si>
  <si>
    <t xml:space="preserve">GCGAGACGCTGCTCATTGGC</t>
  </si>
  <si>
    <t xml:space="preserve">TAGTGCGAGACGCTGCTCATTGGC</t>
  </si>
  <si>
    <t xml:space="preserve">AAACGCCAATGAGCAGCGTCTCGC</t>
  </si>
  <si>
    <t xml:space="preserve">PSPPH_3520</t>
  </si>
  <si>
    <t xml:space="preserve">aruF</t>
  </si>
  <si>
    <t xml:space="preserve">CGCAGGGCGCATCACCAGCA</t>
  </si>
  <si>
    <t xml:space="preserve">TAGTCGCAGGGCGCATCACCAGCA</t>
  </si>
  <si>
    <t xml:space="preserve">AAACTGCTGGTGATGCGCCCTGCG</t>
  </si>
  <si>
    <t xml:space="preserve">GGCAGCGAGGCGTTGAACCT</t>
  </si>
  <si>
    <t xml:space="preserve">TAGTGGCAGCGAGGCGTTGAACCT</t>
  </si>
  <si>
    <t xml:space="preserve">AAACAGGTTCAACGCCTCGCTGCC</t>
  </si>
  <si>
    <t xml:space="preserve">CGTGACACCGATAGGGCTGT</t>
  </si>
  <si>
    <t xml:space="preserve">TAGTCGTGACACCGATAGGGCTGT</t>
  </si>
  <si>
    <t xml:space="preserve">AAACACAGCCCTATCGGTGTCACG</t>
  </si>
  <si>
    <t xml:space="preserve">GCGGCCAGCATCGTCGGGCA</t>
  </si>
  <si>
    <t xml:space="preserve">TAGTGCGGCCAGCATCGTCGGGCA</t>
  </si>
  <si>
    <t xml:space="preserve">AAACTGCCCGACGATGCTGGCCGC</t>
  </si>
  <si>
    <t xml:space="preserve">PSPPH_3521</t>
  </si>
  <si>
    <t xml:space="preserve">argD2</t>
  </si>
  <si>
    <t xml:space="preserve">GCAGCATGCTCAACGGACAT</t>
  </si>
  <si>
    <t xml:space="preserve">TAGTGCAGCATGCTCAACGGACAT</t>
  </si>
  <si>
    <t xml:space="preserve">AAACATGTCCGTTGAGCATGCTGC</t>
  </si>
  <si>
    <t xml:space="preserve">GACCATTACCTGGTCGAAAT</t>
  </si>
  <si>
    <t xml:space="preserve">TAGTGACCATTACCTGGTCGAAAT</t>
  </si>
  <si>
    <t xml:space="preserve">AAACATTTCGACCAGGTAATGGTC</t>
  </si>
  <si>
    <t xml:space="preserve">ACCCGGCCGGGGCGTAATTG</t>
  </si>
  <si>
    <t xml:space="preserve">TAGTACCCGGCCGGGGCGTAATTG</t>
  </si>
  <si>
    <t xml:space="preserve">AAACCAATTACGCCCCGGCCGGGT</t>
  </si>
  <si>
    <t xml:space="preserve">CGGGAACCCGCACCGCGCAC</t>
  </si>
  <si>
    <t xml:space="preserve">TAGTCGGGAACCCGCACCGCGCAC</t>
  </si>
  <si>
    <t xml:space="preserve">AAACGTGCGCGGTGCGGGTTCCCG</t>
  </si>
  <si>
    <t xml:space="preserve">PSPPH_3522</t>
  </si>
  <si>
    <t xml:space="preserve">argR</t>
  </si>
  <si>
    <t xml:space="preserve">CGTCAGAAGATGGCTCGATC</t>
  </si>
  <si>
    <t xml:space="preserve">TAGTCGTCAGAAGATGGCTCGATC</t>
  </si>
  <si>
    <t xml:space="preserve">AAACGATCGAGCCATCTTCTGACG</t>
  </si>
  <si>
    <t xml:space="preserve">CTATTCGATGGGCAGTCATT</t>
  </si>
  <si>
    <t xml:space="preserve">TAGTCTATTCGATGGGCAGTCATT</t>
  </si>
  <si>
    <t xml:space="preserve">AAACAATGACTGCCCATCGAATAG</t>
  </si>
  <si>
    <t xml:space="preserve">AGAGTCAGGGCTTTGGTGCC</t>
  </si>
  <si>
    <t xml:space="preserve">TAGTAGAGTCAGGGCTTTGGTGCC</t>
  </si>
  <si>
    <t xml:space="preserve">AAACGGCACCAAAGCCCTGACTCT</t>
  </si>
  <si>
    <t xml:space="preserve">AGCGACACGCAAGGCTTCCT</t>
  </si>
  <si>
    <t xml:space="preserve">TAGTAGCGACACGCAAGGCTTCCT</t>
  </si>
  <si>
    <t xml:space="preserve">AAACAGGAAGCCTTGCGTGTCGCT</t>
  </si>
  <si>
    <t xml:space="preserve">PSPPH_3523</t>
  </si>
  <si>
    <t xml:space="preserve">hisP</t>
  </si>
  <si>
    <t xml:space="preserve">GACTGCCATAGCGCTTGTGC</t>
  </si>
  <si>
    <t xml:space="preserve">TAGTGACTGCCATAGCGCTTGTGC</t>
  </si>
  <si>
    <t xml:space="preserve">AAACGCACAAGCGCTATGGCAGTC</t>
  </si>
  <si>
    <t xml:space="preserve">ATCGCCAGCTTTGGCGGTCA</t>
  </si>
  <si>
    <t xml:space="preserve">TAGTATCGCCAGCTTTGGCGGTCA</t>
  </si>
  <si>
    <t xml:space="preserve">AAACTGACCGCCAAAGCTGGCGAT</t>
  </si>
  <si>
    <t xml:space="preserve">CGGCATGGGGCTGTTCGAGC</t>
  </si>
  <si>
    <t xml:space="preserve">TAGTCGGCATGGGGCTGTTCGAGC</t>
  </si>
  <si>
    <t xml:space="preserve">AAACGCTCGAACAGCCCCATGCCG</t>
  </si>
  <si>
    <t xml:space="preserve">GTTGTTGAGCAGGATCTTGC</t>
  </si>
  <si>
    <t xml:space="preserve">TAGTGTTGTTGAGCAGGATCTTGC</t>
  </si>
  <si>
    <t xml:space="preserve">AAACGCAAGATCCTGCTCAACAAC</t>
  </si>
  <si>
    <t xml:space="preserve">PSPPH_3524</t>
  </si>
  <si>
    <t xml:space="preserve">TCGGTGCCGAGGGTGCTCCA</t>
  </si>
  <si>
    <t xml:space="preserve">TAGTTCGGTGCCGAGGGTGCTCCA</t>
  </si>
  <si>
    <t xml:space="preserve">AAACTGGAGCACCCTCGGCACCGA</t>
  </si>
  <si>
    <t xml:space="preserve">GTGCAGACTGGCCTGAATGT</t>
  </si>
  <si>
    <t xml:space="preserve">TAGTGTGCAGACTGGCCTGAATGT</t>
  </si>
  <si>
    <t xml:space="preserve">AAACACATTCAGGCCAGTCTGCAC</t>
  </si>
  <si>
    <t xml:space="preserve">CTCCCAGGCGGTGCGCATGC</t>
  </si>
  <si>
    <t xml:space="preserve">TAGTCTCCCAGGCGGTGCGCATGC</t>
  </si>
  <si>
    <t xml:space="preserve">AAACGCATGCGCACCGCCTGGGAG</t>
  </si>
  <si>
    <t xml:space="preserve">CGCGCCTTGCTGTTCCAGCT</t>
  </si>
  <si>
    <t xml:space="preserve">TAGTCGCGCCTTGCTGTTCCAGCT</t>
  </si>
  <si>
    <t xml:space="preserve">AAACAGCTGGAACAGCAAGGCGCG</t>
  </si>
  <si>
    <t xml:space="preserve">PSPPH_3525</t>
  </si>
  <si>
    <t xml:space="preserve">AACCGCCGAAGTACAGCGGC</t>
  </si>
  <si>
    <t xml:space="preserve">TAGTAACCGCCGAAGTACAGCGGC</t>
  </si>
  <si>
    <t xml:space="preserve">AAACGCCGCTGTACTTCGGCGGTT</t>
  </si>
  <si>
    <t xml:space="preserve">CGAAATCGCCAGCAGTTTCA</t>
  </si>
  <si>
    <t xml:space="preserve">TAGTCGAAATCGCCAGCAGTTTCA</t>
  </si>
  <si>
    <t xml:space="preserve">AAACTGAAACTGCTGGCGATTTCG</t>
  </si>
  <si>
    <t xml:space="preserve">GAGACCCGCATCAGGCCCAG</t>
  </si>
  <si>
    <t xml:space="preserve">TAGTGAGACCCGCATCAGGCCCAG</t>
  </si>
  <si>
    <t xml:space="preserve">AAACCTGGGCCTGATGCGGGTCTC</t>
  </si>
  <si>
    <t xml:space="preserve">AGGCCGGCATATTGACCCAA</t>
  </si>
  <si>
    <t xml:space="preserve">TAGTAGGCCGGCATATTGACCCAA</t>
  </si>
  <si>
    <t xml:space="preserve">AAACTTGGGTCAATATGCCGGCCT</t>
  </si>
  <si>
    <t xml:space="preserve">PSPPH_3526</t>
  </si>
  <si>
    <t xml:space="preserve">ACGTCAGCCAGGCACCTTCG</t>
  </si>
  <si>
    <t xml:space="preserve">TAGTACGTCAGCCAGGCACCTTCG</t>
  </si>
  <si>
    <t xml:space="preserve">AAACCGAAGGTGCCTGGCTGACGT</t>
  </si>
  <si>
    <t xml:space="preserve">CGCCAGAGCCATCGACGACA</t>
  </si>
  <si>
    <t xml:space="preserve">TAGTCGCCAGAGCCATCGACGACA</t>
  </si>
  <si>
    <t xml:space="preserve">AAACTGTCGTCGATGGCTCTGGCG</t>
  </si>
  <si>
    <t xml:space="preserve">AGCCAGGCAATCCAGCGTAC</t>
  </si>
  <si>
    <t xml:space="preserve">TAGTAGCCAGGCAATCCAGCGTAC</t>
  </si>
  <si>
    <t xml:space="preserve">AAACGTACGCTGGATTGCCTGGCT</t>
  </si>
  <si>
    <t xml:space="preserve">AGCAATATCAGGACCAGATC</t>
  </si>
  <si>
    <t xml:space="preserve">TAGTAGCAATATCAGGACCAGATC</t>
  </si>
  <si>
    <t xml:space="preserve">AAACGATCTGGTCCTGATATTGCT</t>
  </si>
  <si>
    <t xml:space="preserve">PSPPH_3527</t>
  </si>
  <si>
    <t xml:space="preserve">AAAGATCGGCTGGGCGAGCA</t>
  </si>
  <si>
    <t xml:space="preserve">TAGTAAAGATCGGCTGGGCGAGCA</t>
  </si>
  <si>
    <t xml:space="preserve">AAACTGCTCGCCCAGCCGATCTTT</t>
  </si>
  <si>
    <t xml:space="preserve">GCTTCGATGCCGATTTTCAG</t>
  </si>
  <si>
    <t xml:space="preserve">TAGTGCTTCGATGCCGATTTTCAG</t>
  </si>
  <si>
    <t xml:space="preserve">AAACCTGAAAATCGGCATCGAAGC</t>
  </si>
  <si>
    <t xml:space="preserve">GAGCCTTGGAAGCGAACGGA</t>
  </si>
  <si>
    <t xml:space="preserve">TAGTGAGCCTTGGAAGCGAACGGA</t>
  </si>
  <si>
    <t xml:space="preserve">AAACTCCGTTCGCTTCCAAGGCTC</t>
  </si>
  <si>
    <t xml:space="preserve">AAACCGACGATGCTGCCATC</t>
  </si>
  <si>
    <t xml:space="preserve">TAGTAAACCGACGATGCTGCCATC</t>
  </si>
  <si>
    <t xml:space="preserve">AAACGATGGCAGCATCGTCGGTTT</t>
  </si>
  <si>
    <t xml:space="preserve">PSPPH_3528</t>
  </si>
  <si>
    <t xml:space="preserve">acsA</t>
  </si>
  <si>
    <t xml:space="preserve">TTCTGGGCGGACGGGGTACA</t>
  </si>
  <si>
    <t xml:space="preserve">TAGTTTCTGGGCGGACGGGGTACA</t>
  </si>
  <si>
    <t xml:space="preserve">AAACTGTACCCCGTCCGCCCAGAA</t>
  </si>
  <si>
    <t xml:space="preserve">CTGCTGGTACATGGCCTTGT</t>
  </si>
  <si>
    <t xml:space="preserve">TAGTCTGCTGGTACATGGCCTTGT</t>
  </si>
  <si>
    <t xml:space="preserve">AAACACAAGGCCATGTACCAGCAG</t>
  </si>
  <si>
    <t xml:space="preserve">GTTCACGCCAGAAACCATCA</t>
  </si>
  <si>
    <t xml:space="preserve">TAGTGTTCACGCCAGAAACCATCA</t>
  </si>
  <si>
    <t xml:space="preserve">AAACTGATGGTTTCTGGCGTGAAC</t>
  </si>
  <si>
    <t xml:space="preserve">TGAAAGGTTTGATCCAGTCG</t>
  </si>
  <si>
    <t xml:space="preserve">TAGTTGAAAGGTTTGATCCAGTCG</t>
  </si>
  <si>
    <t xml:space="preserve">AAACCGACTGGATCAAACCTTTCA</t>
  </si>
  <si>
    <t xml:space="preserve">PSPPH_3529</t>
  </si>
  <si>
    <t xml:space="preserve">GGTCTGCGATTCTTCGGCCA</t>
  </si>
  <si>
    <t xml:space="preserve">TAGTGGTCTGCGATTCTTCGGCCA</t>
  </si>
  <si>
    <t xml:space="preserve">AAACTGGCCGAAGAATCGCAGACC</t>
  </si>
  <si>
    <t xml:space="preserve">GGCTTGCTGGGCAGCAACTT</t>
  </si>
  <si>
    <t xml:space="preserve">TAGTGGCTTGCTGGGCAGCAACTT</t>
  </si>
  <si>
    <t xml:space="preserve">AAACAAGTTGCTGCCCAGCAAGCC</t>
  </si>
  <si>
    <t xml:space="preserve">ATACGTGTATTGCTCGACAC</t>
  </si>
  <si>
    <t xml:space="preserve">TAGTATACGTGTATTGCTCGACAC</t>
  </si>
  <si>
    <t xml:space="preserve">AAACGTGTCGAGCAATACACGTAT</t>
  </si>
  <si>
    <t xml:space="preserve">CTCGCTGATGGAAATAACCC</t>
  </si>
  <si>
    <t xml:space="preserve">TAGTCTCGCTGATGGAAATAACCC</t>
  </si>
  <si>
    <t xml:space="preserve">AAACGGGTTATTTCCATCAGCGAG</t>
  </si>
  <si>
    <t xml:space="preserve">PSPPH_3530</t>
  </si>
  <si>
    <t xml:space="preserve">phhR</t>
  </si>
  <si>
    <t xml:space="preserve">GAAGAATGCCGATCCGGTTC</t>
  </si>
  <si>
    <t xml:space="preserve">TAGTGAAGAATGCCGATCCGGTTC</t>
  </si>
  <si>
    <t xml:space="preserve">AAACGAACCGGATCGGCATTCTTC</t>
  </si>
  <si>
    <t xml:space="preserve">ACGCGCCACGTTGACGCCGT</t>
  </si>
  <si>
    <t xml:space="preserve">TAGTACGCGCCACGTTGACGCCGT</t>
  </si>
  <si>
    <t xml:space="preserve">AAACACGGCGTCAACGTGGCGCGT</t>
  </si>
  <si>
    <t xml:space="preserve">ACTGCAGATTGATCAGGTTC</t>
  </si>
  <si>
    <t xml:space="preserve">TAGTACTGCAGATTGATCAGGTTC</t>
  </si>
  <si>
    <t xml:space="preserve">AAACGAACCTGATCAATCTGCAGT</t>
  </si>
  <si>
    <t xml:space="preserve">CGCCTCAAACTTCGGGCGCA</t>
  </si>
  <si>
    <t xml:space="preserve">TAGTCGCCTCAAACTTCGGGCGCA</t>
  </si>
  <si>
    <t xml:space="preserve">AAACTGCGCCCGAAGTTTGAGGCG</t>
  </si>
  <si>
    <t xml:space="preserve">PSPPH_3531</t>
  </si>
  <si>
    <t xml:space="preserve">phhA</t>
  </si>
  <si>
    <t xml:space="preserve">GCGTGCCACGTAAAGCGTCT</t>
  </si>
  <si>
    <t xml:space="preserve">TAGTGCGTGCCACGTAAAGCGTCT</t>
  </si>
  <si>
    <t xml:space="preserve">AAACAGACGCTTTACGTGGCACGC</t>
  </si>
  <si>
    <t xml:space="preserve">TCAATGAAGCCCGAAGCGTC</t>
  </si>
  <si>
    <t xml:space="preserve">TAGTTCAATGAAGCCCGAAGCGTC</t>
  </si>
  <si>
    <t xml:space="preserve">AAACGACGCTTCGGGCTTCATTGA</t>
  </si>
  <si>
    <t xml:space="preserve">GGTGTTCCATACCGCATGTT</t>
  </si>
  <si>
    <t xml:space="preserve">TAGTGGTGTTCCATACCGCATGTT</t>
  </si>
  <si>
    <t xml:space="preserve">AAACAACATGCGGTATGGAACACC</t>
  </si>
  <si>
    <t xml:space="preserve">CGTCATCTGCCGGGTAATCA</t>
  </si>
  <si>
    <t xml:space="preserve">TAGTCGTCATCTGCCGGGTAATCA</t>
  </si>
  <si>
    <t xml:space="preserve">AAACTGATTACCCGGCAGATGACG</t>
  </si>
  <si>
    <t xml:space="preserve">PSPPH_3532</t>
  </si>
  <si>
    <t xml:space="preserve">phhB</t>
  </si>
  <si>
    <t xml:space="preserve">TTCGCAATGGGCTTGATTCA</t>
  </si>
  <si>
    <t xml:space="preserve">TAGTTTCGCAATGGGCTTGATTCA</t>
  </si>
  <si>
    <t xml:space="preserve">AAACTGAATCAAGCCCATTGCGAA</t>
  </si>
  <si>
    <t xml:space="preserve">TTGTGGGGCGTCTGCTCGGC</t>
  </si>
  <si>
    <t xml:space="preserve">TAGTTTGTGGGGCGTCTGCTCGGC</t>
  </si>
  <si>
    <t xml:space="preserve">AAACGCCGAGCAGACGCCCCACAA</t>
  </si>
  <si>
    <t xml:space="preserve">GGGATCTGCTTGAGCAGTTC</t>
  </si>
  <si>
    <t xml:space="preserve">TAGTGGGATCTGCTTGAGCAGTTC</t>
  </si>
  <si>
    <t xml:space="preserve">AAACGAACTGCTCAAGCAGATCCC</t>
  </si>
  <si>
    <t xml:space="preserve">GCACTTCAATGTTCCAGTCG</t>
  </si>
  <si>
    <t xml:space="preserve">TAGTGCACTTCAATGTTCCAGTCG</t>
  </si>
  <si>
    <t xml:space="preserve">AAACCGACTGGAACATTGAAGTGC</t>
  </si>
  <si>
    <t xml:space="preserve">PSPPH_3533</t>
  </si>
  <si>
    <t xml:space="preserve">GGCGGTGCCAATCAGGGCAT</t>
  </si>
  <si>
    <t xml:space="preserve">TAGTGGCGGTGCCAATCAGGGCAT</t>
  </si>
  <si>
    <t xml:space="preserve">AAACATGCCCTGATTGGCACCGCC</t>
  </si>
  <si>
    <t xml:space="preserve">CCAGATTTCGATCATTTTCT</t>
  </si>
  <si>
    <t xml:space="preserve">TAGTCCAGATTTCGATCATTTTCT</t>
  </si>
  <si>
    <t xml:space="preserve">AAACAGAAAATGATCGAAATCTGG</t>
  </si>
  <si>
    <t xml:space="preserve">CGCTCTGTTTTTCCGGGCTG</t>
  </si>
  <si>
    <t xml:space="preserve">TAGTCGCTCTGTTTTTCCGGGCTG</t>
  </si>
  <si>
    <t xml:space="preserve">AAACCAGCCCGGAAAAACAGAGCG</t>
  </si>
  <si>
    <t xml:space="preserve">AGTACCGAAACGGGCGAGCA</t>
  </si>
  <si>
    <t xml:space="preserve">TAGTAGTACCGAAACGGGCGAGCA</t>
  </si>
  <si>
    <t xml:space="preserve">AAACTGCTCGCCCGTTTCGGTACT</t>
  </si>
  <si>
    <t xml:space="preserve">PSPPH_3534</t>
  </si>
  <si>
    <t xml:space="preserve">CTGTGGCTCGGGCATGGGGC</t>
  </si>
  <si>
    <t xml:space="preserve">TAGTCTGTGGCTCGGGCATGGGGC</t>
  </si>
  <si>
    <t xml:space="preserve">AAACGCCCCATGCCCGAGCCACAG</t>
  </si>
  <si>
    <t xml:space="preserve">AGCCATAGGGGTTTGCGGCG</t>
  </si>
  <si>
    <t xml:space="preserve">TAGTAGCCATAGGGGTTTGCGGCG</t>
  </si>
  <si>
    <t xml:space="preserve">AAACCGCCGCAAACCCCTATGGCT</t>
  </si>
  <si>
    <t xml:space="preserve">CACAATGGAAATGACGGTTT</t>
  </si>
  <si>
    <t xml:space="preserve">TAGTCACAATGGAAATGACGGTTT</t>
  </si>
  <si>
    <t xml:space="preserve">AAACAAACCGTCATTTCCATTGTG</t>
  </si>
  <si>
    <t xml:space="preserve">CAAGCGGAATACCGATATTC</t>
  </si>
  <si>
    <t xml:space="preserve">TAGTCAAGCGGAATACCGATATTC</t>
  </si>
  <si>
    <t xml:space="preserve">AAACGAATATCGGTATTCCGCTTG</t>
  </si>
  <si>
    <t xml:space="preserve">PSPPH_3535</t>
  </si>
  <si>
    <t xml:space="preserve">CTTCTTTTCTGCTCCAGGCA</t>
  </si>
  <si>
    <t xml:space="preserve">TAGTCTTCTTTTCTGCTCCAGGCA</t>
  </si>
  <si>
    <t xml:space="preserve">AAACTGCCTGGAGCAGAAAAGAAG</t>
  </si>
  <si>
    <t xml:space="preserve">GTTGGAAATCACCAGCATCG</t>
  </si>
  <si>
    <t xml:space="preserve">TAGTGTTGGAAATCACCAGCATCG</t>
  </si>
  <si>
    <t xml:space="preserve">AAACCGATGCTGGTGATTTCCAAC</t>
  </si>
  <si>
    <t xml:space="preserve">GTCAGCTCGATCTCGGCGTC</t>
  </si>
  <si>
    <t xml:space="preserve">TAGTGTCAGCTCGATCTCGGCGTC</t>
  </si>
  <si>
    <t xml:space="preserve">AAACGACGCCGAGATCGAGCTGAC</t>
  </si>
  <si>
    <t xml:space="preserve">GCCCGCGCCCTGGGCGCGAA</t>
  </si>
  <si>
    <t xml:space="preserve">TAGTGCCCGCGCCCTGGGCGCGAA</t>
  </si>
  <si>
    <t xml:space="preserve">AAACTTCGCGCCCAGGGCGCGGGC</t>
  </si>
  <si>
    <t xml:space="preserve">PSPPH_3536</t>
  </si>
  <si>
    <t xml:space="preserve">CCGCGCTTCAATTCACCCGA</t>
  </si>
  <si>
    <t xml:space="preserve">TAGTCCGCGCTTCAATTCACCCGA</t>
  </si>
  <si>
    <t xml:space="preserve">AAACTCGGGTGAATTGAAGCGCGG</t>
  </si>
  <si>
    <t xml:space="preserve">ACCGAGAATCATCGAAGGCC</t>
  </si>
  <si>
    <t xml:space="preserve">TAGTACCGAGAATCATCGAAGGCC</t>
  </si>
  <si>
    <t xml:space="preserve">AAACGGCCTTCGATGATTCTCGGT</t>
  </si>
  <si>
    <t xml:space="preserve">CGACGATCATCTCGCCAAGC</t>
  </si>
  <si>
    <t xml:space="preserve">TAGTCGACGATCATCTCGCCAAGC</t>
  </si>
  <si>
    <t xml:space="preserve">AAACGCTTGGCGAGATGATCGTCG</t>
  </si>
  <si>
    <t xml:space="preserve">TGGCTGAACGACCCGGCGAC</t>
  </si>
  <si>
    <t xml:space="preserve">TAGTTGGCTGAACGACCCGGCGAC</t>
  </si>
  <si>
    <t xml:space="preserve">AAACGTCGCCGGGTCGTTCAGCCA</t>
  </si>
  <si>
    <t xml:space="preserve">PSPPH_3537</t>
  </si>
  <si>
    <t xml:space="preserve">ACAACGCCAGCCCTGGGGGC</t>
  </si>
  <si>
    <t xml:space="preserve">TAGTACAACGCCAGCCCTGGGGGC</t>
  </si>
  <si>
    <t xml:space="preserve">AAACGCCCCCAGGGCTGGCGTTGT</t>
  </si>
  <si>
    <t xml:space="preserve">TGCAGCGGGGCTGTATGACA</t>
  </si>
  <si>
    <t xml:space="preserve">TAGTTGCAGCGGGGCTGTATGACA</t>
  </si>
  <si>
    <t xml:space="preserve">AAACTGTCATACAGCCCCGCTGCA</t>
  </si>
  <si>
    <t xml:space="preserve">GTACACCTGCATCCAGGTTG</t>
  </si>
  <si>
    <t xml:space="preserve">TAGTGTACACCTGCATCCAGGTTG</t>
  </si>
  <si>
    <t xml:space="preserve">AAACCAACCTGGATGCAGGTGTAC</t>
  </si>
  <si>
    <t xml:space="preserve">ATGATTCACAGAAAAAAGCG</t>
  </si>
  <si>
    <t xml:space="preserve">TAGTATGATTCACAGAAAAAAGCG</t>
  </si>
  <si>
    <t xml:space="preserve">AAACCGCTTTTTTCTGTGAATCAT</t>
  </si>
  <si>
    <t xml:space="preserve">PSPPH_3538</t>
  </si>
  <si>
    <t xml:space="preserve">rluB</t>
  </si>
  <si>
    <t xml:space="preserve">CGCCTGCGGGTCCGATTTCC</t>
  </si>
  <si>
    <t xml:space="preserve">TAGTCGCCTGCGGGTCCGATTTCC</t>
  </si>
  <si>
    <t xml:space="preserve">AAACGGAAATCGGACCCGCAGGCG</t>
  </si>
  <si>
    <t xml:space="preserve">TAATCCAGGCTTCTACGTCA</t>
  </si>
  <si>
    <t xml:space="preserve">TAGTTAATCCAGGCTTCTACGTCA</t>
  </si>
  <si>
    <t xml:space="preserve">AAACTGACGTAGAAGCCTGGATTA</t>
  </si>
  <si>
    <t xml:space="preserve">ATTGACCTTGATGCGGCCTT</t>
  </si>
  <si>
    <t xml:space="preserve">TAGTATTGACCTTGATGCGGCCTT</t>
  </si>
  <si>
    <t xml:space="preserve">AAACAAGGCCGCATCAAGGTCAAT</t>
  </si>
  <si>
    <t xml:space="preserve">CAGGTCGACGCGTTGACCGA</t>
  </si>
  <si>
    <t xml:space="preserve">TAGTCAGGTCGACGCGTTGACCGA</t>
  </si>
  <si>
    <t xml:space="preserve">AAACTCGGTCAACGCGTCGACCTG</t>
  </si>
  <si>
    <t xml:space="preserve">PSPPH_3539</t>
  </si>
  <si>
    <t xml:space="preserve">GGGTTCTTGGTCGAACTCAT</t>
  </si>
  <si>
    <t xml:space="preserve">TAGTGGGTTCTTGGTCGAACTCAT</t>
  </si>
  <si>
    <t xml:space="preserve">AAACATGAGTTCGACCAAGAACCC</t>
  </si>
  <si>
    <t xml:space="preserve">ACTTGCACAGGCTGATGCAG</t>
  </si>
  <si>
    <t xml:space="preserve">TAGTACTTGCACAGGCTGATGCAG</t>
  </si>
  <si>
    <t xml:space="preserve">AAACCTGCATCAGCCTGTGCAAGT</t>
  </si>
  <si>
    <t xml:space="preserve">GCTTGCTGCGGCCACAGCCC</t>
  </si>
  <si>
    <t xml:space="preserve">TAGTGCTTGCTGCGGCCACAGCCC</t>
  </si>
  <si>
    <t xml:space="preserve">AAACGGGCTGTGGCCGCAGCAAGC</t>
  </si>
  <si>
    <t xml:space="preserve">ATCCTTGTCGAGTTTCTTCC</t>
  </si>
  <si>
    <t xml:space="preserve">TAGTATCCTTGTCGAGTTTCTTCC</t>
  </si>
  <si>
    <t xml:space="preserve">AAACGGAAGAAACTCGACAAGGAT</t>
  </si>
  <si>
    <t xml:space="preserve">PSPPH_3540</t>
  </si>
  <si>
    <t xml:space="preserve">scpB</t>
  </si>
  <si>
    <t xml:space="preserve">CGCGGTTCGTTGAGGTTCAT</t>
  </si>
  <si>
    <t xml:space="preserve">TAGTCGCGGTTCGTTGAGGTTCAT</t>
  </si>
  <si>
    <t xml:space="preserve">AAACATGAACCTCAACGAACCGCG</t>
  </si>
  <si>
    <t xml:space="preserve">CAGAAAGGCTTCAAGCAACG</t>
  </si>
  <si>
    <t xml:space="preserve">TAGTCAGAAAGGCTTCAAGCAACG</t>
  </si>
  <si>
    <t xml:space="preserve">AAACCGTTGCTTGAAGCCTTTCTG</t>
  </si>
  <si>
    <t xml:space="preserve">CAGTGTCTGCGGCTTTCCGG</t>
  </si>
  <si>
    <t xml:space="preserve">TAGTCAGTGTCTGCGGCTTTCCGG</t>
  </si>
  <si>
    <t xml:space="preserve">AAACCCGGAAAGCCGCAGACACTG</t>
  </si>
  <si>
    <t xml:space="preserve">TTTTTGAAAATCGGCGGTTC</t>
  </si>
  <si>
    <t xml:space="preserve">TAGTTTTTTGAAAATCGGCGGTTC</t>
  </si>
  <si>
    <t xml:space="preserve">AAACGAACCGCCGATTTTCAAAAA</t>
  </si>
  <si>
    <t xml:space="preserve">PSPPH_3541</t>
  </si>
  <si>
    <t xml:space="preserve">scpA</t>
  </si>
  <si>
    <t xml:space="preserve">GGCGGGATGTACAGGTCCAG</t>
  </si>
  <si>
    <t xml:space="preserve">TAGTGGCGGGATGTACAGGTCCAG</t>
  </si>
  <si>
    <t xml:space="preserve">AAACCTGGACCTGTACATCCCGCC</t>
  </si>
  <si>
    <t xml:space="preserve">AGAAAGACCTCAAGCGCATC</t>
  </si>
  <si>
    <t xml:space="preserve">TAGTAGAAAGACCTCAAGCGCATC</t>
  </si>
  <si>
    <t xml:space="preserve">AAACGATGCGCTTGAGGTCTTTCT</t>
  </si>
  <si>
    <t xml:space="preserve">AGGTACAGCAGCAGGTCGAG</t>
  </si>
  <si>
    <t xml:space="preserve">TAGTAGGTACAGCAGCAGGTCGAG</t>
  </si>
  <si>
    <t xml:space="preserve">AAACCTCGACCTGCTGCTGTACCT</t>
  </si>
  <si>
    <t xml:space="preserve">CGATGTTCTGTTTGCGGATC</t>
  </si>
  <si>
    <t xml:space="preserve">TAGTCGATGTTCTGTTTGCGGATC</t>
  </si>
  <si>
    <t xml:space="preserve">AAACGATCCGCAAACAGAACATCG</t>
  </si>
  <si>
    <t xml:space="preserve">PSPPH_3542</t>
  </si>
  <si>
    <t xml:space="preserve">GACCTGGAAAAATTGACTCA</t>
  </si>
  <si>
    <t xml:space="preserve">TAGTGACCTGGAAAAATTGACTCA</t>
  </si>
  <si>
    <t xml:space="preserve">AAACTGAGTCAATTTTTCCAGGTC</t>
  </si>
  <si>
    <t xml:space="preserve">GCGGCTGCGGGTTTTCCGGA</t>
  </si>
  <si>
    <t xml:space="preserve">TAGTGCGGCTGCGGGTTTTCCGGA</t>
  </si>
  <si>
    <t xml:space="preserve">AAACTCCGGAAAACCCGCAGCCGC</t>
  </si>
  <si>
    <t xml:space="preserve">TTTCCGCGGCCTGTTTGATC</t>
  </si>
  <si>
    <t xml:space="preserve">TAGTTTTCCGCGGCCTGTTTGATC</t>
  </si>
  <si>
    <t xml:space="preserve">AAACGATCAAACAGGCCGCGGAAA</t>
  </si>
  <si>
    <t xml:space="preserve">CGGGTACACCACCAGCCCGC</t>
  </si>
  <si>
    <t xml:space="preserve">TAGTCGGGTACACCACCAGCCCGC</t>
  </si>
  <si>
    <t xml:space="preserve">AAACGCGGGCTGGTGGTGTACCCG</t>
  </si>
  <si>
    <t xml:space="preserve">PSPPH_3543</t>
  </si>
  <si>
    <t xml:space="preserve">AAGCGGTGCTGTGGCAGTGC</t>
  </si>
  <si>
    <t xml:space="preserve">TAGTAAGCGGTGCTGTGGCAGTGC</t>
  </si>
  <si>
    <t xml:space="preserve">AAACGCACTGCCACAGCACCGCTT</t>
  </si>
  <si>
    <t xml:space="preserve">GCACGGGCAACCAGTGCCGT</t>
  </si>
  <si>
    <t xml:space="preserve">TAGTGCACGGGCAACCAGTGCCGT</t>
  </si>
  <si>
    <t xml:space="preserve">AAACACGGCACTGGTTGCCCGTGC</t>
  </si>
  <si>
    <t xml:space="preserve">TGTCGTGGTCGGTCAGCGAA</t>
  </si>
  <si>
    <t xml:space="preserve">TAGTTGTCGTGGTCGGTCAGCGAA</t>
  </si>
  <si>
    <t xml:space="preserve">AAACTTCGCTGACCGACCACGACA</t>
  </si>
  <si>
    <t xml:space="preserve">GGCTTCTTCAAGCCCTTCGA</t>
  </si>
  <si>
    <t xml:space="preserve">TAGTGGCTTCTTCAAGCCCTTCGA</t>
  </si>
  <si>
    <t xml:space="preserve">AAACTCGAAGGGCTTGAAGAAGCC</t>
  </si>
  <si>
    <t xml:space="preserve">PSPPH_3544</t>
  </si>
  <si>
    <t xml:space="preserve">ispZ</t>
  </si>
  <si>
    <t xml:space="preserve">CGATGAAAAACAGGAGCAGC</t>
  </si>
  <si>
    <t xml:space="preserve">TAGTCGATGAAAAACAGGAGCAGC</t>
  </si>
  <si>
    <t xml:space="preserve">AAACGCTGCTCCTGTTTTTCATCG</t>
  </si>
  <si>
    <t xml:space="preserve">GATATCCACGGCACGCGGCT</t>
  </si>
  <si>
    <t xml:space="preserve">TAGTGATATCCACGGCACGCGGCT</t>
  </si>
  <si>
    <t xml:space="preserve">AAACAGCCGCGTGCCGTGGATATC</t>
  </si>
  <si>
    <t xml:space="preserve">CTACCATATAGGTATTGCCG</t>
  </si>
  <si>
    <t xml:space="preserve">TAGTCTACCATATAGGTATTGCCG</t>
  </si>
  <si>
    <t xml:space="preserve">AAACCGGCAATACCTATATGGTAG</t>
  </si>
  <si>
    <t xml:space="preserve">TTTCCAGCTTGCGCTGTTTG</t>
  </si>
  <si>
    <t xml:space="preserve">TAGTTTTCCAGCTTGCGCTGTTTG</t>
  </si>
  <si>
    <t xml:space="preserve">AAACCAAACAGCGCAAGCTGGAAA</t>
  </si>
  <si>
    <t xml:space="preserve">PSPPH_3545</t>
  </si>
  <si>
    <t xml:space="preserve">CAGCGAGTTTTCGACGTCGG</t>
  </si>
  <si>
    <t xml:space="preserve">TAGTCAGCGAGTTTTCGACGTCGG</t>
  </si>
  <si>
    <t xml:space="preserve">AAACCCGACGTCGAAAACTCGCTG</t>
  </si>
  <si>
    <t xml:space="preserve">GGTGTGCCGGGCGCACGCTG</t>
  </si>
  <si>
    <t xml:space="preserve">TAGTGGTGTGCCGGGCGCACGCTG</t>
  </si>
  <si>
    <t xml:space="preserve">AAACCAGCGTGCGCCCGGCACACC</t>
  </si>
  <si>
    <t xml:space="preserve">TGAGCGCGTTTAGGCGCTCA</t>
  </si>
  <si>
    <t xml:space="preserve">TAGTTGAGCGCGTTTAGGCGCTCA</t>
  </si>
  <si>
    <t xml:space="preserve">AAACTGAGCGCCTAAACGCGCTCA</t>
  </si>
  <si>
    <t xml:space="preserve">GTGGGCCGGCCAGCACCAGA</t>
  </si>
  <si>
    <t xml:space="preserve">TAGTGTGGGCCGGCCAGCACCAGA</t>
  </si>
  <si>
    <t xml:space="preserve">AAACTCTGGTGCTGGCCGGCCCAC</t>
  </si>
  <si>
    <t xml:space="preserve">PSPPH_3546</t>
  </si>
  <si>
    <t xml:space="preserve">GCCGCTCTCATTGACCGTCT</t>
  </si>
  <si>
    <t xml:space="preserve">TAGTGCCGCTCTCATTGACCGTCT</t>
  </si>
  <si>
    <t xml:space="preserve">AAACAGACGGTCAATGAGAGCGGC</t>
  </si>
  <si>
    <t xml:space="preserve">GCGGGGCTGGGCAGGTGCAA</t>
  </si>
  <si>
    <t xml:space="preserve">TAGTGCGGGGCTGGGCAGGTGCAA</t>
  </si>
  <si>
    <t xml:space="preserve">AAACTTGCACCTGCCCAGCCCCGC</t>
  </si>
  <si>
    <t xml:space="preserve">CTGAAGGTCGGCAATCTGAT</t>
  </si>
  <si>
    <t xml:space="preserve">TAGTCTGAAGGTCGGCAATCTGAT</t>
  </si>
  <si>
    <t xml:space="preserve">AAACATCAGATTGCCGACCTTCAG</t>
  </si>
  <si>
    <t xml:space="preserve">AACAAGGCGTTGTCGCGTTC</t>
  </si>
  <si>
    <t xml:space="preserve">TAGTAACAAGGCGTTGTCGCGTTC</t>
  </si>
  <si>
    <t xml:space="preserve">AAACGAACGCGACAACGCCTTGTT</t>
  </si>
  <si>
    <t xml:space="preserve">PSPPH_3547</t>
  </si>
  <si>
    <t xml:space="preserve">CGCGCACCTGAAAGCCTTCC</t>
  </si>
  <si>
    <t xml:space="preserve">TAGTCGCGCACCTGAAAGCCTTCC</t>
  </si>
  <si>
    <t xml:space="preserve">AAACGGAAGGCTTTCAGGTGCGCG</t>
  </si>
  <si>
    <t xml:space="preserve">CGCACTGGCCCCGTCGTGAC</t>
  </si>
  <si>
    <t xml:space="preserve">TAGTCGCACTGGCCCCGTCGTGAC</t>
  </si>
  <si>
    <t xml:space="preserve">AAACGTCACGACGGGGCCAGTGCG</t>
  </si>
  <si>
    <t xml:space="preserve">CACGGCCGTCGGAGCTGCAT</t>
  </si>
  <si>
    <t xml:space="preserve">TAGTCACGGCCGTCGGAGCTGCAT</t>
  </si>
  <si>
    <t xml:space="preserve">AAACATGCAGCTCCGACGGCCGTG</t>
  </si>
  <si>
    <t xml:space="preserve">AGTTCCAGGCCGCTGCCATC</t>
  </si>
  <si>
    <t xml:space="preserve">TAGTAGTTCCAGGCCGCTGCCATC</t>
  </si>
  <si>
    <t xml:space="preserve">AAACGATGGCAGCGGCCTGGAACT</t>
  </si>
  <si>
    <t xml:space="preserve">PSPPH_3548</t>
  </si>
  <si>
    <t xml:space="preserve">AGCGATCAGGGTCTTGCGCA</t>
  </si>
  <si>
    <t xml:space="preserve">TAGTAGCGATCAGGGTCTTGCGCA</t>
  </si>
  <si>
    <t xml:space="preserve">AAACTGCGCAAGACCCTGATCGCT</t>
  </si>
  <si>
    <t xml:space="preserve">GGCAATGGTCGGCAGGGCAG</t>
  </si>
  <si>
    <t xml:space="preserve">TAGTGGCAATGGTCGGCAGGGCAG</t>
  </si>
  <si>
    <t xml:space="preserve">AAACCTGCCCTGCCGACCATTGCC</t>
  </si>
  <si>
    <t xml:space="preserve">TGGCGCTGGTGGTGCGGCCA</t>
  </si>
  <si>
    <t xml:space="preserve">TAGTTGGCGCTGGTGGTGCGGCCA</t>
  </si>
  <si>
    <t xml:space="preserve">AAACTGGCCGCACCACCAGCGCCA</t>
  </si>
  <si>
    <t xml:space="preserve">GCATCCGGGCCACCGGCAGG</t>
  </si>
  <si>
    <t xml:space="preserve">TAGTGCATCCGGGCCACCGGCAGG</t>
  </si>
  <si>
    <t xml:space="preserve">AAACCCTGCCGGTGGCCCGGATGC</t>
  </si>
  <si>
    <t xml:space="preserve">PSPPH_3549</t>
  </si>
  <si>
    <t xml:space="preserve">GGGCTTTTTTACTGAGACCG</t>
  </si>
  <si>
    <t xml:space="preserve">TAGTGGGCTTTTTTACTGAGACCG</t>
  </si>
  <si>
    <t xml:space="preserve">AAACCGGTCTCAGTAAAAAAGCCC</t>
  </si>
  <si>
    <t xml:space="preserve">CCGATGAGCTGAACACAACC</t>
  </si>
  <si>
    <t xml:space="preserve">TAGTCCGATGAGCTGAACACAACC</t>
  </si>
  <si>
    <t xml:space="preserve">AAACGGTTGTGTTCAGCTCATCGG</t>
  </si>
  <si>
    <t xml:space="preserve">PSPPH_3550</t>
  </si>
  <si>
    <t xml:space="preserve">TGAGCACCGGGTGACGACTG</t>
  </si>
  <si>
    <t xml:space="preserve">TAGTTGAGCACCGGGTGACGACTG</t>
  </si>
  <si>
    <t xml:space="preserve">AAACCAGTCGTCACCCGGTGCTCA</t>
  </si>
  <si>
    <t xml:space="preserve">AAGCGTTGCGTCCACTGCTC</t>
  </si>
  <si>
    <t xml:space="preserve">TAGTAAGCGTTGCGTCCACTGCTC</t>
  </si>
  <si>
    <t xml:space="preserve">AAACGAGCAGTGGACGCAACGCTT</t>
  </si>
  <si>
    <t xml:space="preserve">GGGAAAGTGCCACGCACCAT</t>
  </si>
  <si>
    <t xml:space="preserve">TAGTGGGAAAGTGCCACGCACCAT</t>
  </si>
  <si>
    <t xml:space="preserve">AAACATGGTGCGTGGCACTTTCCC</t>
  </si>
  <si>
    <t xml:space="preserve">CCAGCGCGGCTGCGCGTGGC</t>
  </si>
  <si>
    <t xml:space="preserve">TAGTCCAGCGCGGCTGCGCGTGGC</t>
  </si>
  <si>
    <t xml:space="preserve">AAACGCCACGCGCAGCCGCGCTGG</t>
  </si>
  <si>
    <t xml:space="preserve">PSPPH_3551</t>
  </si>
  <si>
    <t xml:space="preserve">AAAACGTAGAGCGCCTGCAT</t>
  </si>
  <si>
    <t xml:space="preserve">TAGTAAAACGTAGAGCGCCTGCAT</t>
  </si>
  <si>
    <t xml:space="preserve">AAACATGCAGGCGCTCTACGTTTT</t>
  </si>
  <si>
    <t xml:space="preserve">GGGGCCGGGTCGACCAGTCG</t>
  </si>
  <si>
    <t xml:space="preserve">TAGTGGGGCCGGGTCGACCAGTCG</t>
  </si>
  <si>
    <t xml:space="preserve">AAACCGACTGGTCGACCCGGCCCC</t>
  </si>
  <si>
    <t xml:space="preserve">TTTCCCGCTGCGCAGCATCC</t>
  </si>
  <si>
    <t xml:space="preserve">TAGTTTTCCCGCTGCGCAGCATCC</t>
  </si>
  <si>
    <t xml:space="preserve">AAACGGATGCTGCGCAGCGGGAAA</t>
  </si>
  <si>
    <t xml:space="preserve">GGCTTGAGCTGTCCATGATC</t>
  </si>
  <si>
    <t xml:space="preserve">TAGTGGCTTGAGCTGTCCATGATC</t>
  </si>
  <si>
    <t xml:space="preserve">AAACGATCATGGACAGCTCAAGCC</t>
  </si>
  <si>
    <t xml:space="preserve">PSPPH_3552</t>
  </si>
  <si>
    <t xml:space="preserve">trkH</t>
  </si>
  <si>
    <t xml:space="preserve">AAACCGATGATGCGAAAGGT</t>
  </si>
  <si>
    <t xml:space="preserve">TAGTAAACCGATGATGCGAAAGGT</t>
  </si>
  <si>
    <t xml:space="preserve">AAACACCTTTCGCATCATCGGTTT</t>
  </si>
  <si>
    <t xml:space="preserve">TGGCGACAGCCAGGGTGATC</t>
  </si>
  <si>
    <t xml:space="preserve">TAGTTGGCGACAGCCAGGGTGATC</t>
  </si>
  <si>
    <t xml:space="preserve">AAACGATCACCCTGGCTGTCGCCA</t>
  </si>
  <si>
    <t xml:space="preserve">CGTAGCCATAGGCACGATCA</t>
  </si>
  <si>
    <t xml:space="preserve">TAGTCGTAGCCATAGGCACGATCA</t>
  </si>
  <si>
    <t xml:space="preserve">AAACTGATCGTGCCTATGGCTACG</t>
  </si>
  <si>
    <t xml:space="preserve">ACTCGCGCAGGTCCTCGAAA</t>
  </si>
  <si>
    <t xml:space="preserve">TAGTACTCGCGCAGGTCCTCGAAA</t>
  </si>
  <si>
    <t xml:space="preserve">AAACTTTCGAGGACCTGCGCGAGT</t>
  </si>
  <si>
    <t xml:space="preserve">PSPPH_3553</t>
  </si>
  <si>
    <t xml:space="preserve">TGGCGGGGTAAAAGAAGCGG</t>
  </si>
  <si>
    <t xml:space="preserve">TAGTTGGCGGGGTAAAAGAAGCGG</t>
  </si>
  <si>
    <t xml:space="preserve">AAACCCGCTTCTTTTACCCCGCCA</t>
  </si>
  <si>
    <t xml:space="preserve">ATGGTGCACAGCAACAGGCT</t>
  </si>
  <si>
    <t xml:space="preserve">TAGTATGGTGCACAGCAACAGGCT</t>
  </si>
  <si>
    <t xml:space="preserve">AAACAGCCTGTTGCTGTGCACCAT</t>
  </si>
  <si>
    <t xml:space="preserve">GGTATCGAGCACCTGCATGA</t>
  </si>
  <si>
    <t xml:space="preserve">TAGTGGTATCGAGCACCTGCATGA</t>
  </si>
  <si>
    <t xml:space="preserve">AAACTCATGCAGGTGCTCGATACC</t>
  </si>
  <si>
    <t xml:space="preserve">GATGGTCGGCAACGCCACGT</t>
  </si>
  <si>
    <t xml:space="preserve">TAGTGATGGTCGGCAACGCCACGT</t>
  </si>
  <si>
    <t xml:space="preserve">AAACACGTGGCGTTGCCGACCATC</t>
  </si>
  <si>
    <t xml:space="preserve">PSPPH_3554</t>
  </si>
  <si>
    <t xml:space="preserve">TTCAGTGGCGGCAGTGGCCA</t>
  </si>
  <si>
    <t xml:space="preserve">TAGTTTCAGTGGCGGCAGTGGCCA</t>
  </si>
  <si>
    <t xml:space="preserve">AAACTGGCCACTGCCGCCACTGAA</t>
  </si>
  <si>
    <t xml:space="preserve">CGGCGTTTGCTGTGAGGACG</t>
  </si>
  <si>
    <t xml:space="preserve">TAGTCGGCGTTTGCTGTGAGGACG</t>
  </si>
  <si>
    <t xml:space="preserve">AAACCGTCCTCACAGCAAACGCCG</t>
  </si>
  <si>
    <t xml:space="preserve">AACTTGCGCTTGCCGGGCTT</t>
  </si>
  <si>
    <t xml:space="preserve">TAGTAACTTGCGCTTGCCGGGCTT</t>
  </si>
  <si>
    <t xml:space="preserve">AAACAAGCCCGGCAAGCGCAAGTT</t>
  </si>
  <si>
    <t xml:space="preserve">TGACGGCGAGCCCGATCAGC</t>
  </si>
  <si>
    <t xml:space="preserve">TAGTTGACGGCGAGCCCGATCAGC</t>
  </si>
  <si>
    <t xml:space="preserve">AAACGCTGATCGGGCTCGCCGTCA</t>
  </si>
  <si>
    <t xml:space="preserve">PSPPH_3555</t>
  </si>
  <si>
    <t xml:space="preserve">marR</t>
  </si>
  <si>
    <t xml:space="preserve">GGCTGGAATCGAAATTGTCG</t>
  </si>
  <si>
    <t xml:space="preserve">TAGTGGCTGGAATCGAAATTGTCG</t>
  </si>
  <si>
    <t xml:space="preserve">AAACCGACAATTTCGATTCCAGCC</t>
  </si>
  <si>
    <t xml:space="preserve">GACCGACCAGCAGCCCGATC</t>
  </si>
  <si>
    <t xml:space="preserve">TAGTGACCGACCAGCAGCCCGATC</t>
  </si>
  <si>
    <t xml:space="preserve">AAACGATCGGGCTGCTGGTCGGTC</t>
  </si>
  <si>
    <t xml:space="preserve">CATGCGGTCTTTGAGCGCAT</t>
  </si>
  <si>
    <t xml:space="preserve">TAGTCATGCGGTCTTTGAGCGCAT</t>
  </si>
  <si>
    <t xml:space="preserve">AAACATGCGCTCAAAGACCGCATG</t>
  </si>
  <si>
    <t xml:space="preserve">ACGTCACGTCATAAGGCAGC</t>
  </si>
  <si>
    <t xml:space="preserve">TAGTACGTCACGTCATAAGGCAGC</t>
  </si>
  <si>
    <t xml:space="preserve">AAACGCTGCCTTATGACGTGACGT</t>
  </si>
  <si>
    <t xml:space="preserve">PSPPH_3556</t>
  </si>
  <si>
    <t xml:space="preserve">miaE</t>
  </si>
  <si>
    <t xml:space="preserve">AATGACAGAGAGACAAAGCC</t>
  </si>
  <si>
    <t xml:space="preserve">TAGTAATGACAGAGAGACAAAGCC</t>
  </si>
  <si>
    <t xml:space="preserve">AAACGGCTTTGTCTCTCTGTCATT</t>
  </si>
  <si>
    <t xml:space="preserve">AGGCTTCGATTTCGGGGATC</t>
  </si>
  <si>
    <t xml:space="preserve">TAGTAGGCTTCGATTTCGGGGATC</t>
  </si>
  <si>
    <t xml:space="preserve">AAACGATCCCCGAAATCGAAGCCT</t>
  </si>
  <si>
    <t xml:space="preserve">GGGGGTGCGGCAAAGCAGGA</t>
  </si>
  <si>
    <t xml:space="preserve">TAGTGGGGGTGCGGCAAAGCAGGA</t>
  </si>
  <si>
    <t xml:space="preserve">AAACTCCTGCTTTGCCGCACCCCC</t>
  </si>
  <si>
    <t xml:space="preserve">CGCGGCCTGAACCCAACTGT</t>
  </si>
  <si>
    <t xml:space="preserve">TAGTCGCGGCCTGAACCCAACTGT</t>
  </si>
  <si>
    <t xml:space="preserve">AAACACAGTTGGGTTCAGGCCGCG</t>
  </si>
  <si>
    <t xml:space="preserve">PSPPH_3557</t>
  </si>
  <si>
    <t xml:space="preserve">GGGGTTTTGATAATGTAATC</t>
  </si>
  <si>
    <t xml:space="preserve">TAGTGGGGTTTTGATAATGTAATC</t>
  </si>
  <si>
    <t xml:space="preserve">AAACGATTACATTATCAAAACCCC</t>
  </si>
  <si>
    <t xml:space="preserve">TGGAGCAAAGGCCGACGCAG</t>
  </si>
  <si>
    <t xml:space="preserve">TAGTTGGAGCAAAGGCCGACGCAG</t>
  </si>
  <si>
    <t xml:space="preserve">AAACCTGCGTCGGCCTTTGCTCCA</t>
  </si>
  <si>
    <t xml:space="preserve">CACCAGGTCCCCGTAAACAG</t>
  </si>
  <si>
    <t xml:space="preserve">TAGTCACCAGGTCCCCGTAAACAG</t>
  </si>
  <si>
    <t xml:space="preserve">AAACCTGTTTACGGGGACCTGGTG</t>
  </si>
  <si>
    <t xml:space="preserve">GGTGGAACCGCTTGCAGCCA</t>
  </si>
  <si>
    <t xml:space="preserve">TAGTGGTGGAACCGCTTGCAGCCA</t>
  </si>
  <si>
    <t xml:space="preserve">AAACTGGCTGCAAGCGGTTCCACC</t>
  </si>
  <si>
    <t xml:space="preserve">PSPPH_3558</t>
  </si>
  <si>
    <t xml:space="preserve">acnB</t>
  </si>
  <si>
    <t xml:space="preserve">CTCTTCGATGTGTTTACGGT</t>
  </si>
  <si>
    <t xml:space="preserve">TAGTCTCTTCGATGTGTTTACGGT</t>
  </si>
  <si>
    <t xml:space="preserve">AAACACCGTAAACACATCGAAGAG</t>
  </si>
  <si>
    <t xml:space="preserve">CTGGGGCACGATGCCCTGGG</t>
  </si>
  <si>
    <t xml:space="preserve">TAGTCTGGGGCACGATGCCCTGGG</t>
  </si>
  <si>
    <t xml:space="preserve">AAACCCCAGGGCATCGTGCCCCAG</t>
  </si>
  <si>
    <t xml:space="preserve">GCAGTTTGTTCGGCGTTAAG</t>
  </si>
  <si>
    <t xml:space="preserve">TAGTGCAGTTTGTTCGGCGTTAAG</t>
  </si>
  <si>
    <t xml:space="preserve">AAACCTTAACGCCGAACAAACTGC</t>
  </si>
  <si>
    <t xml:space="preserve">GATTCTTCAGCAGCTCGACC</t>
  </si>
  <si>
    <t xml:space="preserve">TAGTGATTCTTCAGCAGCTCGACC</t>
  </si>
  <si>
    <t xml:space="preserve">AAACGGTCGAGCTGCTGAAGAATC</t>
  </si>
  <si>
    <t xml:space="preserve">PSPPH_3559</t>
  </si>
  <si>
    <t xml:space="preserve">GAGGAGGGAAATCGGGTTCA</t>
  </si>
  <si>
    <t xml:space="preserve">TAGTGAGGAGGGAAATCGGGTTCA</t>
  </si>
  <si>
    <t xml:space="preserve">AAACTGAACCCGATTTCCCTCCTC</t>
  </si>
  <si>
    <t xml:space="preserve">AGCAAAAGCGTCCGTGGACA</t>
  </si>
  <si>
    <t xml:space="preserve">TAGTAGCAAAAGCGTCCGTGGACA</t>
  </si>
  <si>
    <t xml:space="preserve">AAACTGTCCACGGACGCTTTTGCT</t>
  </si>
  <si>
    <t xml:space="preserve">CAGGCTTGCTCCTTTACCAA</t>
  </si>
  <si>
    <t xml:space="preserve">TAGTCAGGCTTGCTCCTTTACCAA</t>
  </si>
  <si>
    <t xml:space="preserve">AAACTTGGTAAAGGAGCAAGCCTG</t>
  </si>
  <si>
    <t xml:space="preserve">CGCAACGCTTCGATAAAGCG</t>
  </si>
  <si>
    <t xml:space="preserve">TAGTCGCAACGCTTCGATAAAGCG</t>
  </si>
  <si>
    <t xml:space="preserve">AAACCGCTTTATCGAAGCGTTGCG</t>
  </si>
  <si>
    <t xml:space="preserve">PSPPH_3560</t>
  </si>
  <si>
    <t xml:space="preserve">ATGCTGGAAGTCGGCCTTGC</t>
  </si>
  <si>
    <t xml:space="preserve">TAGTATGCTGGAAGTCGGCCTTGC</t>
  </si>
  <si>
    <t xml:space="preserve">AAACGCAAGGCCGACTTCCAGCAT</t>
  </si>
  <si>
    <t xml:space="preserve">AATGATGCCGAAGAATTGCT</t>
  </si>
  <si>
    <t xml:space="preserve">TAGTAATGATGCCGAAGAATTGCT</t>
  </si>
  <si>
    <t xml:space="preserve">AAACAGCAATTCTTCGGCATCATT</t>
  </si>
  <si>
    <t xml:space="preserve">CCGCTGGGTGAGTTCGTCGA</t>
  </si>
  <si>
    <t xml:space="preserve">TAGTCCGCTGGGTGAGTTCGTCGA</t>
  </si>
  <si>
    <t xml:space="preserve">AAACTCGACGAACTCACCCAGCGG</t>
  </si>
  <si>
    <t xml:space="preserve">CGGACAAGGTGCAGCCTGCC</t>
  </si>
  <si>
    <t xml:space="preserve">TAGTCGGACAAGGTGCAGCCTGCC</t>
  </si>
  <si>
    <t xml:space="preserve">AAACGGCAGGCTGCACCTTGTCCG</t>
  </si>
  <si>
    <t xml:space="preserve">PSPPH_3561</t>
  </si>
  <si>
    <t xml:space="preserve">CGGGCCAGCGATGAGGCTGG</t>
  </si>
  <si>
    <t xml:space="preserve">TAGTCGGGCCAGCGATGAGGCTGG</t>
  </si>
  <si>
    <t xml:space="preserve">AAACCCAGCCTCATCGCTGGCCCG</t>
  </si>
  <si>
    <t xml:space="preserve">TCGTCGTATTCGTCGTCGCA</t>
  </si>
  <si>
    <t xml:space="preserve">TAGTTCGTCGTATTCGTCGTCGCA</t>
  </si>
  <si>
    <t xml:space="preserve">AAACTGCGACGACGAATACGACGA</t>
  </si>
  <si>
    <t xml:space="preserve">ACAGCATGCCGTTCTCTGCG</t>
  </si>
  <si>
    <t xml:space="preserve">TAGTACAGCATGCCGTTCTCTGCG</t>
  </si>
  <si>
    <t xml:space="preserve">AAACCGCAGAGAACGGCATGCTGT</t>
  </si>
  <si>
    <t xml:space="preserve">CTCGTCCGGGAAGCGGGTCA</t>
  </si>
  <si>
    <t xml:space="preserve">TAGTCTCGTCCGGGAAGCGGGTCA</t>
  </si>
  <si>
    <t xml:space="preserve">AAACTGACCCGCTTCCCGGACGAG</t>
  </si>
  <si>
    <t xml:space="preserve">PSPPH_3562</t>
  </si>
  <si>
    <t xml:space="preserve">GGCAGTGGGCGTCGAAAATG</t>
  </si>
  <si>
    <t xml:space="preserve">TAGTGGCAGTGGGCGTCGAAAATG</t>
  </si>
  <si>
    <t xml:space="preserve">AAACCATTTTCGACGCCCACTGCC</t>
  </si>
  <si>
    <t xml:space="preserve">GGAATTGCGGGTCGATGATA</t>
  </si>
  <si>
    <t xml:space="preserve">TAGTGGAATTGCGGGTCGATGATA</t>
  </si>
  <si>
    <t xml:space="preserve">AAACTATCATCGACCCGCAATTCC</t>
  </si>
  <si>
    <t xml:space="preserve">AGCCGTTATTGGCGATCAGC</t>
  </si>
  <si>
    <t xml:space="preserve">TAGTAGCCGTTATTGGCGATCAGC</t>
  </si>
  <si>
    <t xml:space="preserve">AAACGCTGATCGCCAATAACGGCT</t>
  </si>
  <si>
    <t xml:space="preserve">CGACGCCGAACGGGTCCGGC</t>
  </si>
  <si>
    <t xml:space="preserve">TAGTCGACGCCGAACGGGTCCGGC</t>
  </si>
  <si>
    <t xml:space="preserve">AAACGCCGGACCCGTTCGGCGTCG</t>
  </si>
  <si>
    <t xml:space="preserve">PSPPH_3563</t>
  </si>
  <si>
    <t xml:space="preserve">moxR</t>
  </si>
  <si>
    <t xml:space="preserve">AGCGCTTCACGATGTTCCAT</t>
  </si>
  <si>
    <t xml:space="preserve">TAGTAGCGCTTCACGATGTTCCAT</t>
  </si>
  <si>
    <t xml:space="preserve">AAACATGGAACATCGTGAAGCGCT</t>
  </si>
  <si>
    <t xml:space="preserve">AAGGATCTGCGTTGAAAGAA</t>
  </si>
  <si>
    <t xml:space="preserve">TAGTAAGGATCTGCGTTGAAAGAA</t>
  </si>
  <si>
    <t xml:space="preserve">AAACTTCTTTCAACGCAGATCCTT</t>
  </si>
  <si>
    <t xml:space="preserve">GGCGTTCGATCAGCTTTTCC</t>
  </si>
  <si>
    <t xml:space="preserve">TAGTGGCGTTCGATCAGCTTTTCC</t>
  </si>
  <si>
    <t xml:space="preserve">AAACGGAAAAGCTGATCGAACGCC</t>
  </si>
  <si>
    <t xml:space="preserve">CATGTGACCGTCGGCAAGCA</t>
  </si>
  <si>
    <t xml:space="preserve">TAGTCATGTGACCGTCGGCAAGCA</t>
  </si>
  <si>
    <t xml:space="preserve">AAACTGCTTGCCGACGGTCACATG</t>
  </si>
  <si>
    <t xml:space="preserve">PSPPH_3564</t>
  </si>
  <si>
    <t xml:space="preserve">GGAATCAGGTAGGGTTGCAT</t>
  </si>
  <si>
    <t xml:space="preserve">TAGTGGAATCAGGTAGGGTTGCAT</t>
  </si>
  <si>
    <t xml:space="preserve">AAACATGCAACCCTACCTGATTCC</t>
  </si>
  <si>
    <t xml:space="preserve">CTGACGCGGACGCCCGGCTG</t>
  </si>
  <si>
    <t xml:space="preserve">TAGTCTGACGCGGACGCCCGGCTG</t>
  </si>
  <si>
    <t xml:space="preserve">AAACCAGCCGGGCGTCCGCGTCAG</t>
  </si>
  <si>
    <t xml:space="preserve">GCATTTCGATCAGCTCGCTG</t>
  </si>
  <si>
    <t xml:space="preserve">TAGTGCATTTCGATCAGCTCGCTG</t>
  </si>
  <si>
    <t xml:space="preserve">AAACCAGCGAGCTGATCGAAATGC</t>
  </si>
  <si>
    <t xml:space="preserve">CGGGCTGCGTTGGCTGGGCG</t>
  </si>
  <si>
    <t xml:space="preserve">TAGTCGGGCTGCGTTGGCTGGGCG</t>
  </si>
  <si>
    <t xml:space="preserve">AAACCGCCCAGCCAACGCAGCCCG</t>
  </si>
  <si>
    <t xml:space="preserve">PSPPH_3565</t>
  </si>
  <si>
    <t xml:space="preserve">AGCGGCTCGAGCTGATCAAG</t>
  </si>
  <si>
    <t xml:space="preserve">TAGTAGCGGCTCGAGCTGATCAAG</t>
  </si>
  <si>
    <t xml:space="preserve">AAACCTTGATCAGCTCGAGCCGCT</t>
  </si>
  <si>
    <t xml:space="preserve">GGCCAAAAGCCGACGGCCTC</t>
  </si>
  <si>
    <t xml:space="preserve">TAGTGGCCAAAAGCCGACGGCCTC</t>
  </si>
  <si>
    <t xml:space="preserve">AAACGAGGCCGTCGGCTTTTGGCC</t>
  </si>
  <si>
    <t xml:space="preserve">AGCCACCACCCTGGGGCAAG</t>
  </si>
  <si>
    <t xml:space="preserve">TAGTAGCCACCACCCTGGGGCAAG</t>
  </si>
  <si>
    <t xml:space="preserve">AAACCTTGCCCCAGGGTGGTGGCT</t>
  </si>
  <si>
    <t xml:space="preserve">ACAGGCCCCAGCCTGCTGCC</t>
  </si>
  <si>
    <t xml:space="preserve">TAGTACAGGCCCCAGCCTGCTGCC</t>
  </si>
  <si>
    <t xml:space="preserve">AAACGGCAGCAGGCTGGGGCCTGT</t>
  </si>
  <si>
    <t xml:space="preserve">PSPPH_3566</t>
  </si>
  <si>
    <t xml:space="preserve">vWA</t>
  </si>
  <si>
    <t xml:space="preserve">GGCAGCAGGGCAAAAACCCA</t>
  </si>
  <si>
    <t xml:space="preserve">TAGTGGCAGCAGGGCAAAAACCCA</t>
  </si>
  <si>
    <t xml:space="preserve">AAACTGGGTTTTTGCCCTGCTGCC</t>
  </si>
  <si>
    <t xml:space="preserve">GCGCGCATCAGCCACGGCAG</t>
  </si>
  <si>
    <t xml:space="preserve">TAGTGCGCGCATCAGCCACGGCAG</t>
  </si>
  <si>
    <t xml:space="preserve">AAACCTGCCGTGGCTGATGCGCGC</t>
  </si>
  <si>
    <t xml:space="preserve">GCTGTCGGCCATGGGCAGCA</t>
  </si>
  <si>
    <t xml:space="preserve">TAGTGCTGTCGGCCATGGGCAGCA</t>
  </si>
  <si>
    <t xml:space="preserve">AAACTGCTGCCCATGGCCGACAGC</t>
  </si>
  <si>
    <t xml:space="preserve">AGAAAACTGACCTTTAGCGC</t>
  </si>
  <si>
    <t xml:space="preserve">TAGTAGAAAACTGACCTTTAGCGC</t>
  </si>
  <si>
    <t xml:space="preserve">AAACGCGCTAAAGGTCAGTTTTCT</t>
  </si>
  <si>
    <t xml:space="preserve">PSPPH_3567</t>
  </si>
  <si>
    <t xml:space="preserve">AAACCAGTGCGGCCACAGAG</t>
  </si>
  <si>
    <t xml:space="preserve">TAGTAAACCAGTGCGGCCACAGAG</t>
  </si>
  <si>
    <t xml:space="preserve">AAACCTCTGTGGCCGCACTGGTTT</t>
  </si>
  <si>
    <t xml:space="preserve">GCAGGATCAGCAGCCACTCG</t>
  </si>
  <si>
    <t xml:space="preserve">TAGTGCAGGATCAGCAGCCACTCG</t>
  </si>
  <si>
    <t xml:space="preserve">AAACCGAGTGGCTGCTGATCCTGC</t>
  </si>
  <si>
    <t xml:space="preserve">CAGATCAACAGTGCCAGCAG</t>
  </si>
  <si>
    <t xml:space="preserve">TAGTCAGATCAACAGTGCCAGCAG</t>
  </si>
  <si>
    <t xml:space="preserve">AAACCTGCTGGCACTGTTGATCTG</t>
  </si>
  <si>
    <t xml:space="preserve">CAGAAGCATTTGCCAGCGTC</t>
  </si>
  <si>
    <t xml:space="preserve">TAGTCAGAAGCATTTGCCAGCGTC</t>
  </si>
  <si>
    <t xml:space="preserve">AAACGACGCTGGCAAATGCTTCTG</t>
  </si>
  <si>
    <t xml:space="preserve">PSPPH_3568</t>
  </si>
  <si>
    <t xml:space="preserve">CAGCAGCAGGCCGATCAATA</t>
  </si>
  <si>
    <t xml:space="preserve">TAGTCAGCAGCAGGCCGATCAATA</t>
  </si>
  <si>
    <t xml:space="preserve">AAACTATTGATCGGCCTGCTGCTG</t>
  </si>
  <si>
    <t xml:space="preserve">CCTGCAATGACAAGCTGATC</t>
  </si>
  <si>
    <t xml:space="preserve">TAGTCCTGCAATGACAAGCTGATC</t>
  </si>
  <si>
    <t xml:space="preserve">AAACGATCAGCTTGTCATTGCAGG</t>
  </si>
  <si>
    <t xml:space="preserve">GCGCGTGCGGTCGACGCTGG</t>
  </si>
  <si>
    <t xml:space="preserve">TAGTGCGCGTGCGGTCGACGCTGG</t>
  </si>
  <si>
    <t xml:space="preserve">AAACCCAGCGTCGACCGCACGCGC</t>
  </si>
  <si>
    <t xml:space="preserve">CGACAGTTTCCCCGGCGTTC</t>
  </si>
  <si>
    <t xml:space="preserve">TAGTCGACAGTTTCCCCGGCGTTC</t>
  </si>
  <si>
    <t xml:space="preserve">AAACGAACGCCGGGGAAACTGTCG</t>
  </si>
  <si>
    <t xml:space="preserve">PSPPH_3569</t>
  </si>
  <si>
    <t xml:space="preserve">sbcD</t>
  </si>
  <si>
    <t xml:space="preserve">GAGGTGTGAAACAGACGCAT</t>
  </si>
  <si>
    <t xml:space="preserve">TAGTGAGGTGTGAAACAGACGCAT</t>
  </si>
  <si>
    <t xml:space="preserve">AAACATGCGTCTGTTTCACACCTC</t>
  </si>
  <si>
    <t xml:space="preserve">AATCCCGCTCCTGACCGTGC</t>
  </si>
  <si>
    <t xml:space="preserve">TAGTAATCCCGCTCCTGACCGTGC</t>
  </si>
  <si>
    <t xml:space="preserve">AAACGCACGGTCAGGAGCGGGATT</t>
  </si>
  <si>
    <t xml:space="preserve">CAGCAGCCAGGTCAGAAAGC</t>
  </si>
  <si>
    <t xml:space="preserve">TAGTCAGCAGCCAGGTCAGAAAGC</t>
  </si>
  <si>
    <t xml:space="preserve">AAACGCTTTCTGACCTGGCTGCTG</t>
  </si>
  <si>
    <t xml:space="preserve">AGGTTTTCGTTCGGCCAGAC</t>
  </si>
  <si>
    <t xml:space="preserve">TAGTAGGTTTTCGTTCGGCCAGAC</t>
  </si>
  <si>
    <t xml:space="preserve">AAACGTCTGGCCGAACGAAAACCT</t>
  </si>
  <si>
    <t xml:space="preserve">PSPPH_3570</t>
  </si>
  <si>
    <t xml:space="preserve">sbcC</t>
  </si>
  <si>
    <t xml:space="preserve">GGTTTTTCAGGCGAATGGCA</t>
  </si>
  <si>
    <t xml:space="preserve">TAGTGGTTTTTCAGGCGAATGGCA</t>
  </si>
  <si>
    <t xml:space="preserve">AAACTGCCATTCGCCTGAAAAACC</t>
  </si>
  <si>
    <t xml:space="preserve">ACGGCCCGGCCAGCGAGGCA</t>
  </si>
  <si>
    <t xml:space="preserve">TAGTACGGCCCGGCCAGCGAGGCA</t>
  </si>
  <si>
    <t xml:space="preserve">AAACTGCCTCGCTGGCCGGGCCGT</t>
  </si>
  <si>
    <t xml:space="preserve">ACCGGCGCTGGCCAGCGGCT</t>
  </si>
  <si>
    <t xml:space="preserve">TAGTACCGGCGCTGGCCAGCGGCT</t>
  </si>
  <si>
    <t xml:space="preserve">AAACAGCCGCTGGCCAGCGCCGGT</t>
  </si>
  <si>
    <t xml:space="preserve">TGCGCCGGTCGGGCCGGTAA</t>
  </si>
  <si>
    <t xml:space="preserve">TAGTTGCGCCGGTCGGGCCGGTAA</t>
  </si>
  <si>
    <t xml:space="preserve">AAACTTACCGGCCCGACCGGCGCA</t>
  </si>
  <si>
    <t xml:space="preserve">PSPPH_3571</t>
  </si>
  <si>
    <t xml:space="preserve">GGCTGGAAGCGCAACGCTTG</t>
  </si>
  <si>
    <t xml:space="preserve">TAGTGGCTGGAAGCGCAACGCTTG</t>
  </si>
  <si>
    <t xml:space="preserve">AAACCAAGCGTTGCGCTTCCAGCC</t>
  </si>
  <si>
    <t xml:space="preserve">AGTTACATCGACACTGGCAC</t>
  </si>
  <si>
    <t xml:space="preserve">TAGTAGTTACATCGACACTGGCAC</t>
  </si>
  <si>
    <t xml:space="preserve">AAACGTGCCAGTGTCGATGTAACT</t>
  </si>
  <si>
    <t xml:space="preserve">GGTGTAGGTCTGAGCAGCGT</t>
  </si>
  <si>
    <t xml:space="preserve">TAGTGGTGTAGGTCTGAGCAGCGT</t>
  </si>
  <si>
    <t xml:space="preserve">AAACACGCTGCTCAGACCTACACC</t>
  </si>
  <si>
    <t xml:space="preserve">GCTCTGTTGCAGATATTTCG</t>
  </si>
  <si>
    <t xml:space="preserve">TAGTGCTCTGTTGCAGATATTTCG</t>
  </si>
  <si>
    <t xml:space="preserve">AAACCGAAATATCTGCAACAGAGC</t>
  </si>
  <si>
    <t xml:space="preserve">PSPPH_3572</t>
  </si>
  <si>
    <t xml:space="preserve">GGCAGAAATTTATGGGGCAT</t>
  </si>
  <si>
    <t xml:space="preserve">TAGTGGCAGAAATTTATGGGGCAT</t>
  </si>
  <si>
    <t xml:space="preserve">AAACATGCCCCATAAATTTCTGCC</t>
  </si>
  <si>
    <t xml:space="preserve">GCACTGGCAATCGCCAGCCA</t>
  </si>
  <si>
    <t xml:space="preserve">TAGTGCACTGGCAATCGCCAGCCA</t>
  </si>
  <si>
    <t xml:space="preserve">AAACTGGCTGGCGATTGCCAGTGC</t>
  </si>
  <si>
    <t xml:space="preserve">CTGCAGGGTAAACGCGCTCA</t>
  </si>
  <si>
    <t xml:space="preserve">TAGTCTGCAGGGTAAACGCGCTCA</t>
  </si>
  <si>
    <t xml:space="preserve">AAACTGAGCGCGTTTACCCTGCAG</t>
  </si>
  <si>
    <t xml:space="preserve">TTCAGTATCGGGCATGGCTT</t>
  </si>
  <si>
    <t xml:space="preserve">TAGTTTCAGTATCGGGCATGGCTT</t>
  </si>
  <si>
    <t xml:space="preserve">AAACAAGCCATGCCCGATACTGAA</t>
  </si>
  <si>
    <t xml:space="preserve">PSPPH_3573</t>
  </si>
  <si>
    <t xml:space="preserve">ACCAGCGCCGAGCGCTGGCA</t>
  </si>
  <si>
    <t xml:space="preserve">TAGTACCAGCGCCGAGCGCTGGCA</t>
  </si>
  <si>
    <t xml:space="preserve">AAACTGCCAGCGCTCGGCGCTGGT</t>
  </si>
  <si>
    <t xml:space="preserve">AAGGCAGGCGTAGATACAGT</t>
  </si>
  <si>
    <t xml:space="preserve">TAGTAAGGCAGGCGTAGATACAGT</t>
  </si>
  <si>
    <t xml:space="preserve">AAACACTGTATCTACGCCTGCCTT</t>
  </si>
  <si>
    <t xml:space="preserve">CAGCAAAAGCGCGAATGATA</t>
  </si>
  <si>
    <t xml:space="preserve">TAGTCAGCAAAAGCGCGAATGATA</t>
  </si>
  <si>
    <t xml:space="preserve">AAACTATCATTCGCGCTTTTGCTG</t>
  </si>
  <si>
    <t xml:space="preserve">TGGTAGTCATGAAATTCATC</t>
  </si>
  <si>
    <t xml:space="preserve">TAGTTGGTAGTCATGAAATTCATC</t>
  </si>
  <si>
    <t xml:space="preserve">AAACGATGAATTTCATGACTACCA</t>
  </si>
  <si>
    <t xml:space="preserve">PSPPH_3574</t>
  </si>
  <si>
    <t xml:space="preserve">CACCGTCGACCAGACCGACC</t>
  </si>
  <si>
    <t xml:space="preserve">TAGTCACCGTCGACCAGACCGACC</t>
  </si>
  <si>
    <t xml:space="preserve">AAACGGTCGGTCTGGTCGACGGTG</t>
  </si>
  <si>
    <t xml:space="preserve">CGCGAACACTTTCGACACCC</t>
  </si>
  <si>
    <t xml:space="preserve">TAGTCGCGAACACTTTCGACACCC</t>
  </si>
  <si>
    <t xml:space="preserve">AAACGGGTGTCGAAAGTGTTCGCG</t>
  </si>
  <si>
    <t xml:space="preserve">CAACGCCACGCTGCTCGACC</t>
  </si>
  <si>
    <t xml:space="preserve">TAGTCAACGCCACGCTGCTCGACC</t>
  </si>
  <si>
    <t xml:space="preserve">AAACGGTCGAGCAGCGTGGCGTTG</t>
  </si>
  <si>
    <t xml:space="preserve">CAGGATGGTCGAGCGGCGGC</t>
  </si>
  <si>
    <t xml:space="preserve">TAGTCAGGATGGTCGAGCGGCGGC</t>
  </si>
  <si>
    <t xml:space="preserve">AAACGCCGCCGCTCGACCATCCTG</t>
  </si>
  <si>
    <t xml:space="preserve">PSPPH_3575</t>
  </si>
  <si>
    <t xml:space="preserve">GGCGTATAAGCCGCAGTTCC</t>
  </si>
  <si>
    <t xml:space="preserve">TAGTGGCGTATAAGCCGCAGTTCC</t>
  </si>
  <si>
    <t xml:space="preserve">AAACGGAACTGCGGCTTATACGCC</t>
  </si>
  <si>
    <t xml:space="preserve">GAATCAGTTTGAACGTAATG</t>
  </si>
  <si>
    <t xml:space="preserve">TAGTGAATCAGTTTGAACGTAATG</t>
  </si>
  <si>
    <t xml:space="preserve">AAACCATTACGTTCAAACTGATTC</t>
  </si>
  <si>
    <t xml:space="preserve">AGGTAAAGCAGGATAAGAAA</t>
  </si>
  <si>
    <t xml:space="preserve">TAGTAGGTAAAGCAGGATAAGAAA</t>
  </si>
  <si>
    <t xml:space="preserve">AAACTTTCTTATCCTGCTTTACCT</t>
  </si>
  <si>
    <t xml:space="preserve">AGCGGTCCACATAAGCGATC</t>
  </si>
  <si>
    <t xml:space="preserve">TAGTAGCGGTCCACATAAGCGATC</t>
  </si>
  <si>
    <t xml:space="preserve">AAACGATCGCTTATGTGGACCGCT</t>
  </si>
  <si>
    <t xml:space="preserve">PSPPH_3576</t>
  </si>
  <si>
    <t xml:space="preserve">ACGGAGGGTCGGTTTTTTAT</t>
  </si>
  <si>
    <t xml:space="preserve">TAGTACGGAGGGTCGGTTTTTTAT</t>
  </si>
  <si>
    <t xml:space="preserve">AAACATAAAAAACCGACCCTCCGT</t>
  </si>
  <si>
    <t xml:space="preserve">GTCAGCGGTGCCAAACCACT</t>
  </si>
  <si>
    <t xml:space="preserve">TAGTGTCAGCGGTGCCAAACCACT</t>
  </si>
  <si>
    <t xml:space="preserve">AAACAGTGGTTTGGCACCGCTGAC</t>
  </si>
  <si>
    <t xml:space="preserve">CCTGATTCTTCATCCAGCTA</t>
  </si>
  <si>
    <t xml:space="preserve">TAGTCCTGATTCTTCATCCAGCTA</t>
  </si>
  <si>
    <t xml:space="preserve">AAACTAGCTGGATGAAGAATCAGG</t>
  </si>
  <si>
    <t xml:space="preserve">TTTGCCCTGGAACTGATGGT</t>
  </si>
  <si>
    <t xml:space="preserve">TAGTTTTGCCCTGGAACTGATGGT</t>
  </si>
  <si>
    <t xml:space="preserve">AAACACCATCAGTTCCAGGGCAAA</t>
  </si>
  <si>
    <t xml:space="preserve">PSPPH_3577</t>
  </si>
  <si>
    <t xml:space="preserve">GGGTCCTGGCAGTGATTGCT</t>
  </si>
  <si>
    <t xml:space="preserve">TAGTGGGTCCTGGCAGTGATTGCT</t>
  </si>
  <si>
    <t xml:space="preserve">AAACAGCAATCACTGCCAGGACCC</t>
  </si>
  <si>
    <t xml:space="preserve">TAATCCATGAGAGCGCAATT</t>
  </si>
  <si>
    <t xml:space="preserve">TAGTTAATCCATGAGAGCGCAATT</t>
  </si>
  <si>
    <t xml:space="preserve">AAACAATTGCGCTCTCATGGATTA</t>
  </si>
  <si>
    <t xml:space="preserve">TGCATGCTTTTTCGGTCGGA</t>
  </si>
  <si>
    <t xml:space="preserve">TAGTTGCATGCTTTTTCGGTCGGA</t>
  </si>
  <si>
    <t xml:space="preserve">AAACTCCGACCGAAAAAGCATGCA</t>
  </si>
  <si>
    <t xml:space="preserve">CGATTTGCATGCCCAGTTCC</t>
  </si>
  <si>
    <t xml:space="preserve">TAGTCGATTTGCATGCCCAGTTCC</t>
  </si>
  <si>
    <t xml:space="preserve">AAACGGAACTGGGCATGCAAATCG</t>
  </si>
  <si>
    <t xml:space="preserve">PSPPH_3578</t>
  </si>
  <si>
    <t xml:space="preserve">CGTTGATAACAGACCCTCCG</t>
  </si>
  <si>
    <t xml:space="preserve">TAGTCGTTGATAACAGACCCTCCG</t>
  </si>
  <si>
    <t xml:space="preserve">AAACCGGAGGGTCTGTTATCAACG</t>
  </si>
  <si>
    <t xml:space="preserve">CACAGCCCCTGTGCGCCACG</t>
  </si>
  <si>
    <t xml:space="preserve">TAGTCACAGCCCCTGTGCGCCACG</t>
  </si>
  <si>
    <t xml:space="preserve">AAACCGTGGCGCACAGGGGCTGTG</t>
  </si>
  <si>
    <t xml:space="preserve">TTTTGCTGGCACCATGCAGT</t>
  </si>
  <si>
    <t xml:space="preserve">TAGTTTTTGCTGGCACCATGCAGT</t>
  </si>
  <si>
    <t xml:space="preserve">AAACACTGCATGGTGCCAGCAAAA</t>
  </si>
  <si>
    <t xml:space="preserve">ACCGAGCCCCGCAACTGGTC</t>
  </si>
  <si>
    <t xml:space="preserve">TAGTACCGAGCCCCGCAACTGGTC</t>
  </si>
  <si>
    <t xml:space="preserve">AAACGACCAGTTGCGGGGCTCGGT</t>
  </si>
  <si>
    <t xml:space="preserve">PSPPH_3580</t>
  </si>
  <si>
    <t xml:space="preserve">CATGACCGGCCAAGGGGCGG</t>
  </si>
  <si>
    <t xml:space="preserve">TAGTCATGACCGGCCAAGGGGCGG</t>
  </si>
  <si>
    <t xml:space="preserve">AAACCCGCCCCTTGGCCGGTCATG</t>
  </si>
  <si>
    <t xml:space="preserve">GAAATCGTTCAGAGACATTG</t>
  </si>
  <si>
    <t xml:space="preserve">TAGTGAAATCGTTCAGAGACATTG</t>
  </si>
  <si>
    <t xml:space="preserve">AAACCAATGTCTCTGAACGATTTC</t>
  </si>
  <si>
    <t xml:space="preserve">GCCCCAAGGCGTTGGTACGC</t>
  </si>
  <si>
    <t xml:space="preserve">TAGTGCCCCAAGGCGTTGGTACGC</t>
  </si>
  <si>
    <t xml:space="preserve">AAACGCGTACCAACGCCTTGGGGC</t>
  </si>
  <si>
    <t xml:space="preserve">GGCAAGGCGAAGTAAGTGTC</t>
  </si>
  <si>
    <t xml:space="preserve">TAGTGGCAAGGCGAAGTAAGTGTC</t>
  </si>
  <si>
    <t xml:space="preserve">AAACGACACTTACTTCGCCTTGCC</t>
  </si>
  <si>
    <t xml:space="preserve">PSPPH_3583</t>
  </si>
  <si>
    <t xml:space="preserve">TCGCTTCGGTGGTATTTTCA</t>
  </si>
  <si>
    <t xml:space="preserve">TAGTTCGCTTCGGTGGTATTTTCA</t>
  </si>
  <si>
    <t xml:space="preserve">AAACTGAAAATACCACCGAAGCGA</t>
  </si>
  <si>
    <t xml:space="preserve">CGCTTTTTCCCACCATTCGG</t>
  </si>
  <si>
    <t xml:space="preserve">TAGTCGCTTTTTCCCACCATTCGG</t>
  </si>
  <si>
    <t xml:space="preserve">AAACCCGAATGGTGGGAAAAAGCG</t>
  </si>
  <si>
    <t xml:space="preserve">TAGTGGAGAACCTGATCTTT</t>
  </si>
  <si>
    <t xml:space="preserve">TAGTTAGTGGAGAACCTGATCTTT</t>
  </si>
  <si>
    <t xml:space="preserve">AAACAAAGATCAGGTTCTCCACTA</t>
  </si>
  <si>
    <t xml:space="preserve">TCCAATCGATAGCAACCGCC</t>
  </si>
  <si>
    <t xml:space="preserve">TAGTTCCAATCGATAGCAACCGCC</t>
  </si>
  <si>
    <t xml:space="preserve">AAACGGCGGTTGCTATCGATTGGA</t>
  </si>
  <si>
    <t xml:space="preserve">PSPPH_3584</t>
  </si>
  <si>
    <t xml:space="preserve">ACTGCCTGCGATGGTTATGT</t>
  </si>
  <si>
    <t xml:space="preserve">TAGTACTGCCTGCGATGGTTATGT</t>
  </si>
  <si>
    <t xml:space="preserve">AAACACATAACCATCGCAGGCAGT</t>
  </si>
  <si>
    <t xml:space="preserve">CCCTTTTTCCAACCACTCGG</t>
  </si>
  <si>
    <t xml:space="preserve">TAGTCCCTTTTTCCAACCACTCGG</t>
  </si>
  <si>
    <t xml:space="preserve">AAACCCGAGTGGTTGGAAAAAGGG</t>
  </si>
  <si>
    <t xml:space="preserve">CAGCCTCCAGGGCTTATGTC</t>
  </si>
  <si>
    <t xml:space="preserve">TAGTCAGCCTCCAGGGCTTATGTC</t>
  </si>
  <si>
    <t xml:space="preserve">AAACGACATAAGCCCTGGAGGCTG</t>
  </si>
  <si>
    <t xml:space="preserve">ATCATCGGGAGAACCCAGAG</t>
  </si>
  <si>
    <t xml:space="preserve">TAGTATCATCGGGAGAACCCAGAG</t>
  </si>
  <si>
    <t xml:space="preserve">AAACCTCTGGGTTCTCCCGATGAT</t>
  </si>
  <si>
    <t xml:space="preserve">PSPPH_3585</t>
  </si>
  <si>
    <t xml:space="preserve">GAAAATCAGGCGTTCAAGGA</t>
  </si>
  <si>
    <t xml:space="preserve">TAGTGAAAATCAGGCGTTCAAGGA</t>
  </si>
  <si>
    <t xml:space="preserve">AAACTCCTTGAACGCCTGATTTTC</t>
  </si>
  <si>
    <t xml:space="preserve">GACAAAGGATAATCACCGCA</t>
  </si>
  <si>
    <t xml:space="preserve">TAGTGACAAAGGATAATCACCGCA</t>
  </si>
  <si>
    <t xml:space="preserve">AAACTGCGGTGATTATCCTTTGTC</t>
  </si>
  <si>
    <t xml:space="preserve">GGTGGAAGGCCGAACCTGCG</t>
  </si>
  <si>
    <t xml:space="preserve">TAGTGGTGGAAGGCCGAACCTGCG</t>
  </si>
  <si>
    <t xml:space="preserve">AAACCGCAGGTTCGGCCTTCCACC</t>
  </si>
  <si>
    <t xml:space="preserve">GGGGATCATTTTTTCGAAAC</t>
  </si>
  <si>
    <t xml:space="preserve">TAGTGGGGATCATTTTTTCGAAAC</t>
  </si>
  <si>
    <t xml:space="preserve">AAACGTTTCGAAAAAATGATCCCC</t>
  </si>
  <si>
    <t xml:space="preserve">PSPPH_3586</t>
  </si>
  <si>
    <t xml:space="preserve">CCGGATGCGTCGATGGAAAG</t>
  </si>
  <si>
    <t xml:space="preserve">TAGTCCGGATGCGTCGATGGAAAG</t>
  </si>
  <si>
    <t xml:space="preserve">AAACCTTTCCATCGACGCATCCGG</t>
  </si>
  <si>
    <t xml:space="preserve">AAGTAAAAATCGCCAGGGGC</t>
  </si>
  <si>
    <t xml:space="preserve">TAGTAAGTAAAAATCGCCAGGGGC</t>
  </si>
  <si>
    <t xml:space="preserve">AAACGCCCCTGGCGATTTTTACTT</t>
  </si>
  <si>
    <t xml:space="preserve">GGACCCGGCCGTTGCAGAGA</t>
  </si>
  <si>
    <t xml:space="preserve">TAGTGGACCCGGCCGTTGCAGAGA</t>
  </si>
  <si>
    <t xml:space="preserve">AAACTCTCTGCAACGGCCGGGTCC</t>
  </si>
  <si>
    <t xml:space="preserve">GACTGATGTCGATGCAGAGT</t>
  </si>
  <si>
    <t xml:space="preserve">TAGTGACTGATGTCGATGCAGAGT</t>
  </si>
  <si>
    <t xml:space="preserve">AAACACTCTGCATCGACATCAGTC</t>
  </si>
  <si>
    <t xml:space="preserve">PSPPH_3587</t>
  </si>
  <si>
    <t xml:space="preserve">AGCATCGCCAGCGCGAACCC</t>
  </si>
  <si>
    <t xml:space="preserve">TAGTAGCATCGCCAGCGCGAACCC</t>
  </si>
  <si>
    <t xml:space="preserve">AAACGGGTTCGCGCTGGCGATGCT</t>
  </si>
  <si>
    <t xml:space="preserve">CGTAGCGTCAGCTGCCAGAC</t>
  </si>
  <si>
    <t xml:space="preserve">TAGTCGTAGCGTCAGCTGCCAGAC</t>
  </si>
  <si>
    <t xml:space="preserve">AAACGTCTGGCAGCTGACGCTACG</t>
  </si>
  <si>
    <t xml:space="preserve">CGCCTCCCAGCGGTGTCAGG</t>
  </si>
  <si>
    <t xml:space="preserve">TAGTCGCCTCCCAGCGGTGTCAGG</t>
  </si>
  <si>
    <t xml:space="preserve">AAACCCTGACACCGCTGGGAGGCG</t>
  </si>
  <si>
    <t xml:space="preserve">TCCGCCGCGCCATGGCGGGA</t>
  </si>
  <si>
    <t xml:space="preserve">TAGTTCCGCCGCGCCATGGCGGGA</t>
  </si>
  <si>
    <t xml:space="preserve">AAACTCCCGCCATGGCGCGGCGGA</t>
  </si>
  <si>
    <t xml:space="preserve">PSPPH_3588</t>
  </si>
  <si>
    <t xml:space="preserve">CTCGATACTGATCTTTTTCA</t>
  </si>
  <si>
    <t xml:space="preserve">TAGTCTCGATACTGATCTTTTTCA</t>
  </si>
  <si>
    <t xml:space="preserve">AAACTGAAAAAGATCAGTATCGAG</t>
  </si>
  <si>
    <t xml:space="preserve">CCGCCGTTGCGCGCCAGTCC</t>
  </si>
  <si>
    <t xml:space="preserve">TAGTCCGCCGTTGCGCGCCAGTCC</t>
  </si>
  <si>
    <t xml:space="preserve">AAACGGACTGGCGCGCAACGGCGG</t>
  </si>
  <si>
    <t xml:space="preserve">CCAATAGCGCTCGCCGTCGA</t>
  </si>
  <si>
    <t xml:space="preserve">TAGTCCAATAGCGCTCGCCGTCGA</t>
  </si>
  <si>
    <t xml:space="preserve">AAACTCGACGGCGAGCGCTATTGG</t>
  </si>
  <si>
    <t xml:space="preserve">GTCGCGGGTAATCTGCTGCT</t>
  </si>
  <si>
    <t xml:space="preserve">TAGTGTCGCGGGTAATCTGCTGCT</t>
  </si>
  <si>
    <t xml:space="preserve">AAACAGCAGCAGATTACCCGCGAC</t>
  </si>
  <si>
    <t xml:space="preserve">PSPPH_3589</t>
  </si>
  <si>
    <t xml:space="preserve">AAGGGCCAGCGGAAGCGTGC</t>
  </si>
  <si>
    <t xml:space="preserve">TAGTAAGGGCCAGCGGAAGCGTGC</t>
  </si>
  <si>
    <t xml:space="preserve">AAACGCACGCTTCCGCTGGCCCTT</t>
  </si>
  <si>
    <t xml:space="preserve">GTCTTCCGACGGGCCACACC</t>
  </si>
  <si>
    <t xml:space="preserve">TAGTGTCTTCCGACGGGCCACACC</t>
  </si>
  <si>
    <t xml:space="preserve">AAACGGTGTGGCCCGTCGGAAGAC</t>
  </si>
  <si>
    <t xml:space="preserve">CTCCTGCACCGAACTGAAGT</t>
  </si>
  <si>
    <t xml:space="preserve">TAGTCTCCTGCACCGAACTGAAGT</t>
  </si>
  <si>
    <t xml:space="preserve">AAACACTTCAGTTCGGTGCAGGAG</t>
  </si>
  <si>
    <t xml:space="preserve">ACAGACATTTACCGGCACTT</t>
  </si>
  <si>
    <t xml:space="preserve">TAGTACAGACATTTACCGGCACTT</t>
  </si>
  <si>
    <t xml:space="preserve">AAACAAGTGCCGGTAAATGTCTGT</t>
  </si>
  <si>
    <t xml:space="preserve">PSPPH_3590</t>
  </si>
  <si>
    <t xml:space="preserve">GATGAAGCCAATCACGGCAG</t>
  </si>
  <si>
    <t xml:space="preserve">TAGTGATGAAGCCAATCACGGCAG</t>
  </si>
  <si>
    <t xml:space="preserve">AAACCTGCCGTGATTGGCTTCATC</t>
  </si>
  <si>
    <t xml:space="preserve">CTGGAACAGGGCGAACAGAA</t>
  </si>
  <si>
    <t xml:space="preserve">TAGTCTGGAACAGGGCGAACAGAA</t>
  </si>
  <si>
    <t xml:space="preserve">AAACTTCTGTTCGCCCTGTTCCAG</t>
  </si>
  <si>
    <t xml:space="preserve">ATCAGCGCAAATTCCTTGTG</t>
  </si>
  <si>
    <t xml:space="preserve">TAGTATCAGCGCAAATTCCTTGTG</t>
  </si>
  <si>
    <t xml:space="preserve">AAACCACAAGGAATTTGCGCTGAT</t>
  </si>
  <si>
    <t xml:space="preserve">CGGCAGCACTGTTGTTCTCG</t>
  </si>
  <si>
    <t xml:space="preserve">TAGTCGGCAGCACTGTTGTTCTCG</t>
  </si>
  <si>
    <t xml:space="preserve">AAACCGAGAACAACAGTGCTGCCG</t>
  </si>
  <si>
    <t xml:space="preserve">PSPPH_3591</t>
  </si>
  <si>
    <t xml:space="preserve">CTTGGGTGCTTCCAGCCCCA</t>
  </si>
  <si>
    <t xml:space="preserve">TAGTCTTGGGTGCTTCCAGCCCCA</t>
  </si>
  <si>
    <t xml:space="preserve">AAACTGGGGCTGGAAGCACCCAAG</t>
  </si>
  <si>
    <t xml:space="preserve">TAACGGGCTGACCGTGTTGA</t>
  </si>
  <si>
    <t xml:space="preserve">TAGTTAACGGGCTGACCGTGTTGA</t>
  </si>
  <si>
    <t xml:space="preserve">AAACTCAACACGGTCAGCCCGTTA</t>
  </si>
  <si>
    <t xml:space="preserve">GTCCAGACACAACATGCGAC</t>
  </si>
  <si>
    <t xml:space="preserve">TAGTGTCCAGACACAACATGCGAC</t>
  </si>
  <si>
    <t xml:space="preserve">AAACGTCGCATGTTGTGTCTGGAC</t>
  </si>
  <si>
    <t xml:space="preserve">GCCCAGATCTACGCGCCCCA</t>
  </si>
  <si>
    <t xml:space="preserve">TAGTGCCCAGATCTACGCGCCCCA</t>
  </si>
  <si>
    <t xml:space="preserve">AAACTGGGGCGCGTAGATCTGGGC</t>
  </si>
  <si>
    <t xml:space="preserve">PSPPH_3592</t>
  </si>
  <si>
    <t xml:space="preserve">GAGGATGACCTTGAGTCGTT</t>
  </si>
  <si>
    <t xml:space="preserve">TAGTGAGGATGACCTTGAGTCGTT</t>
  </si>
  <si>
    <t xml:space="preserve">AAACAACGACTCAAGGTCATCCTC</t>
  </si>
  <si>
    <t xml:space="preserve">CGCAATCATAACTGCTGCCA</t>
  </si>
  <si>
    <t xml:space="preserve">TAGTCGCAATCATAACTGCTGCCA</t>
  </si>
  <si>
    <t xml:space="preserve">AAACTGGCAGCAGTTATGATTGCG</t>
  </si>
  <si>
    <t xml:space="preserve">GAAATGAATCAGGCCGTTGC</t>
  </si>
  <si>
    <t xml:space="preserve">TAGTGAAATGAATCAGGCCGTTGC</t>
  </si>
  <si>
    <t xml:space="preserve">AAACGCAACGGCCTGATTCATTTC</t>
  </si>
  <si>
    <t xml:space="preserve">CGCAACCCGGTCGCATTGCG</t>
  </si>
  <si>
    <t xml:space="preserve">TAGTCGCAACCCGGTCGCATTGCG</t>
  </si>
  <si>
    <t xml:space="preserve">AAACCGCAATGCGACCGGGTTGCG</t>
  </si>
  <si>
    <t xml:space="preserve">PSPPH_3593</t>
  </si>
  <si>
    <t xml:space="preserve">GGAAGCGCCACCACGAACGG</t>
  </si>
  <si>
    <t xml:space="preserve">TAGTGGAAGCGCCACCACGAACGG</t>
  </si>
  <si>
    <t xml:space="preserve">AAACCCGTTCGTGGTGGCGCTTCC</t>
  </si>
  <si>
    <t xml:space="preserve">GGCAATCGACTCGCCCACTT</t>
  </si>
  <si>
    <t xml:space="preserve">TAGTGGCAATCGACTCGCCCACTT</t>
  </si>
  <si>
    <t xml:space="preserve">AAACAAGTGGGCGAGTCGATTGCC</t>
  </si>
  <si>
    <t xml:space="preserve">AATGCGGATGGCATTGGCAT</t>
  </si>
  <si>
    <t xml:space="preserve">TAGTAATGCGGATGGCATTGGCAT</t>
  </si>
  <si>
    <t xml:space="preserve">AAACATGCCAATGCCATCCGCATT</t>
  </si>
  <si>
    <t xml:space="preserve">GGCCTTGACCAGCGCATTGT</t>
  </si>
  <si>
    <t xml:space="preserve">TAGTGGCCTTGACCAGCGCATTGT</t>
  </si>
  <si>
    <t xml:space="preserve">AAACACAATGCGCTGGTCAAGGCC</t>
  </si>
  <si>
    <t xml:space="preserve">PSPPH_3594</t>
  </si>
  <si>
    <t xml:space="preserve">CCCTGGGTTTTACGAGGCAT</t>
  </si>
  <si>
    <t xml:space="preserve">TAGTCCCTGGGTTTTACGAGGCAT</t>
  </si>
  <si>
    <t xml:space="preserve">AAACATGCCTCGTAAAACCCAGGG</t>
  </si>
  <si>
    <t xml:space="preserve">AGCTCTTCGAAGCCTTGGCC</t>
  </si>
  <si>
    <t xml:space="preserve">TAGTAGCTCTTCGAAGCCTTGGCC</t>
  </si>
  <si>
    <t xml:space="preserve">AAACGGCCAAGGCTTCGAAGAGCT</t>
  </si>
  <si>
    <t xml:space="preserve">CATTTCACGCATGTAATCGG</t>
  </si>
  <si>
    <t xml:space="preserve">TAGTCATTTCACGCATGTAATCGG</t>
  </si>
  <si>
    <t xml:space="preserve">AAACCCGATTACATGCGTGAAATG</t>
  </si>
  <si>
    <t xml:space="preserve">GGGCATCGACGTTCTCGGGC</t>
  </si>
  <si>
    <t xml:space="preserve">TAGTGGGCATCGACGTTCTCGGGC</t>
  </si>
  <si>
    <t xml:space="preserve">AAACGCCCGAGAACGTCGATGCCC</t>
  </si>
  <si>
    <t xml:space="preserve">PSPPH_3595</t>
  </si>
  <si>
    <t xml:space="preserve">pepN</t>
  </si>
  <si>
    <t xml:space="preserve">GTAAATCATTTTCGGTTGCT</t>
  </si>
  <si>
    <t xml:space="preserve">TAGTGTAAATCATTTTCGGTTGCT</t>
  </si>
  <si>
    <t xml:space="preserve">AAACAGCAACCGAAAATGATTTAC</t>
  </si>
  <si>
    <t xml:space="preserve">CGGGAGCCTGATAGTCCTTC</t>
  </si>
  <si>
    <t xml:space="preserve">TAGTCGGGAGCCTGATAGTCCTTC</t>
  </si>
  <si>
    <t xml:space="preserve">AAACGAAGGACTATCAGGCTCCCG</t>
  </si>
  <si>
    <t xml:space="preserve">CGTCTCATCGATGAGGTACT</t>
  </si>
  <si>
    <t xml:space="preserve">TAGTCGTCTCATCGATGAGGTACT</t>
  </si>
  <si>
    <t xml:space="preserve">AAACAGTACCTCATCGATGAGACG</t>
  </si>
  <si>
    <t xml:space="preserve">CGTCGAACAGTTCGAAGGTC</t>
  </si>
  <si>
    <t xml:space="preserve">TAGTCGTCGAACAGTTCGAAGGTC</t>
  </si>
  <si>
    <t xml:space="preserve">AAACGACCTTCGAACTGTTCGACG</t>
  </si>
  <si>
    <t xml:space="preserve">PSPPH_3596</t>
  </si>
  <si>
    <t xml:space="preserve">CCGCAATCTCGGTCTCGCCC</t>
  </si>
  <si>
    <t xml:space="preserve">TAGTCCGCAATCTCGGTCTCGCCC</t>
  </si>
  <si>
    <t xml:space="preserve">AAACGGGCGAGACCGAGATTGCGG</t>
  </si>
  <si>
    <t xml:space="preserve">GCAGCGTCTTGCCGATCAGC</t>
  </si>
  <si>
    <t xml:space="preserve">TAGTGCAGCGTCTTGCCGATCAGC</t>
  </si>
  <si>
    <t xml:space="preserve">AAACGCTGATCGGCAAGACGCTGC</t>
  </si>
  <si>
    <t xml:space="preserve">CCCGCAATGACTGCAATGAA</t>
  </si>
  <si>
    <t xml:space="preserve">TAGTCCCGCAATGACTGCAATGAA</t>
  </si>
  <si>
    <t xml:space="preserve">AAACTTCATTGCAGTCATTGCGGG</t>
  </si>
  <si>
    <t xml:space="preserve">GCCCTGGCTGTAGCTGGACT</t>
  </si>
  <si>
    <t xml:space="preserve">TAGTGCCCTGGCTGTAGCTGGACT</t>
  </si>
  <si>
    <t xml:space="preserve">AAACAGTCCAGCTACAGCCAGGGC</t>
  </si>
  <si>
    <t xml:space="preserve">PSPPH_3597</t>
  </si>
  <si>
    <t xml:space="preserve">CATTTCTATAAAAGACGACA</t>
  </si>
  <si>
    <t xml:space="preserve">TAGTCATTTCTATAAAAGACGACA</t>
  </si>
  <si>
    <t xml:space="preserve">AAACTGTCGTCTTTTATAGAAATG</t>
  </si>
  <si>
    <t xml:space="preserve">CAGGCTTTCGTAGATATCCG</t>
  </si>
  <si>
    <t xml:space="preserve">TAGTCAGGCTTTCGTAGATATCCG</t>
  </si>
  <si>
    <t xml:space="preserve">AAACCGGATATCTACGAAAGCCTG</t>
  </si>
  <si>
    <t xml:space="preserve">GGACCATTTGCCGATTTCCA</t>
  </si>
  <si>
    <t xml:space="preserve">TAGTGGACCATTTGCCGATTTCCA</t>
  </si>
  <si>
    <t xml:space="preserve">AAACTGGAAATCGGCAAATGGTCC</t>
  </si>
  <si>
    <t xml:space="preserve">CTGAGTAAGCTTGCGGCCAT</t>
  </si>
  <si>
    <t xml:space="preserve">TAGTCTGAGTAAGCTTGCGGCCAT</t>
  </si>
  <si>
    <t xml:space="preserve">AAACATGGCCGCAAGCTTACTCAG</t>
  </si>
  <si>
    <t xml:space="preserve">PSPPH_3598</t>
  </si>
  <si>
    <t xml:space="preserve">TGGTGGTCAACGGCAACCGC</t>
  </si>
  <si>
    <t xml:space="preserve">TAGTTGGTGGTCAACGGCAACCGC</t>
  </si>
  <si>
    <t xml:space="preserve">AAACGCGGTTGCCGTTGACCACCA</t>
  </si>
  <si>
    <t xml:space="preserve">GCTGACAAACCCGCTCAGGT</t>
  </si>
  <si>
    <t xml:space="preserve">TAGTGCTGACAAACCCGCTCAGGT</t>
  </si>
  <si>
    <t xml:space="preserve">AAACACCTGAGCGGGTTTGTCAGC</t>
  </si>
  <si>
    <t xml:space="preserve">GAATCCGCAAGCGCTGCAAC</t>
  </si>
  <si>
    <t xml:space="preserve">TAGTGAATCCGCAAGCGCTGCAAC</t>
  </si>
  <si>
    <t xml:space="preserve">AAACGTTGCAGCGCTTGCGGATTC</t>
  </si>
  <si>
    <t xml:space="preserve">GACTCTTCGCTGACCCTGTG</t>
  </si>
  <si>
    <t xml:space="preserve">TAGTGACTCTTCGCTGACCCTGTG</t>
  </si>
  <si>
    <t xml:space="preserve">AAACCACAGGGTCAGCGAAGAGTC</t>
  </si>
  <si>
    <t xml:space="preserve">PSPPH_3599</t>
  </si>
  <si>
    <t xml:space="preserve">ATCAGATCGTAGCCACGCGC</t>
  </si>
  <si>
    <t xml:space="preserve">TAGTATCAGATCGTAGCCACGCGC</t>
  </si>
  <si>
    <t xml:space="preserve">AAACGCGCGTGGCTACGATCTGAT</t>
  </si>
  <si>
    <t xml:space="preserve">CAGCAAGTGCTCCAGGGTAT</t>
  </si>
  <si>
    <t xml:space="preserve">TAGTCAGCAAGTGCTCCAGGGTAT</t>
  </si>
  <si>
    <t xml:space="preserve">AAACATACCCTGGAGCACTTGCTG</t>
  </si>
  <si>
    <t xml:space="preserve">GCCAGACGCCAGCCTGCAGA</t>
  </si>
  <si>
    <t xml:space="preserve">TAGTGCCAGACGCCAGCCTGCAGA</t>
  </si>
  <si>
    <t xml:space="preserve">AAACTCTGCAGGCTGGCGTCTGGC</t>
  </si>
  <si>
    <t xml:space="preserve">GGAAAATTGCAACGCGCTCA</t>
  </si>
  <si>
    <t xml:space="preserve">TAGTGGAAAATTGCAACGCGCTCA</t>
  </si>
  <si>
    <t xml:space="preserve">AAACTGAGCGCGTTGCAATTTTCC</t>
  </si>
  <si>
    <t xml:space="preserve">PSPPH_3600</t>
  </si>
  <si>
    <t xml:space="preserve">ppnK</t>
  </si>
  <si>
    <t xml:space="preserve">CGAGCACCTGAACACTGCCC</t>
  </si>
  <si>
    <t xml:space="preserve">TAGTCGAGCACCTGAACACTGCCC</t>
  </si>
  <si>
    <t xml:space="preserve">AAACGGGCAGTGTTCAGGTGCTCG</t>
  </si>
  <si>
    <t xml:space="preserve">GAATCTCTTGAGTCGGCGAA</t>
  </si>
  <si>
    <t xml:space="preserve">TAGTGAATCTCTTGAGTCGGCGAA</t>
  </si>
  <si>
    <t xml:space="preserve">AAACTTCGCCGACTCAAGAGATTC</t>
  </si>
  <si>
    <t xml:space="preserve">CGTGCAGGTGGCGGTCCAGC</t>
  </si>
  <si>
    <t xml:space="preserve">TAGTCGTGCAGGTGGCGGTCCAGC</t>
  </si>
  <si>
    <t xml:space="preserve">AAACGCTGGACCGCCACCTGCACG</t>
  </si>
  <si>
    <t xml:space="preserve">GCCATGACCGGGCAGGACTT</t>
  </si>
  <si>
    <t xml:space="preserve">TAGTGCCATGACCGGGCAGGACTT</t>
  </si>
  <si>
    <t xml:space="preserve">AAACAAGTCCTGCCCGGTCATGGC</t>
  </si>
  <si>
    <t xml:space="preserve">PSPPH_3601</t>
  </si>
  <si>
    <t xml:space="preserve">ATGTCGCCCTGGCGGCCTGA</t>
  </si>
  <si>
    <t xml:space="preserve">TAGTATGTCGCCCTGGCGGCCTGA</t>
  </si>
  <si>
    <t xml:space="preserve">AAACTCAGGCCGCCAGGGCGACAT</t>
  </si>
  <si>
    <t xml:space="preserve">CGTGGCCCGGCAACGGGCAG</t>
  </si>
  <si>
    <t xml:space="preserve">TAGTCGTGGCCCGGCAACGGGCAG</t>
  </si>
  <si>
    <t xml:space="preserve">AAACCTGCCCGTTGCCGGGCCACG</t>
  </si>
  <si>
    <t xml:space="preserve">GGAGGAGGCTGTGACAATCG</t>
  </si>
  <si>
    <t xml:space="preserve">TAGTGGAGGAGGCTGTGACAATCG</t>
  </si>
  <si>
    <t xml:space="preserve">AAACCGATTGTCACAGCCTCCTCC</t>
  </si>
  <si>
    <t xml:space="preserve">CATGCCGTTGATCAGGGTGT</t>
  </si>
  <si>
    <t xml:space="preserve">TAGTCATGCCGTTGATCAGGGTGT</t>
  </si>
  <si>
    <t xml:space="preserve">AAACACACCCTGATCAACGGCATG</t>
  </si>
  <si>
    <t xml:space="preserve">PSPPH_3602</t>
  </si>
  <si>
    <t xml:space="preserve">GTCGATCAGGCTTGGGAATA</t>
  </si>
  <si>
    <t xml:space="preserve">TAGTGTCGATCAGGCTTGGGAATA</t>
  </si>
  <si>
    <t xml:space="preserve">AAACTATTCCCAAGCCTGATCGAC</t>
  </si>
  <si>
    <t xml:space="preserve">AGTGCCGTAGTTGGCGGGGG</t>
  </si>
  <si>
    <t xml:space="preserve">TAGTAGTGCCGTAGTTGGCGGGGG</t>
  </si>
  <si>
    <t xml:space="preserve">AAACCCCCCGCCAACTACGGCACT</t>
  </si>
  <si>
    <t xml:space="preserve">CCAGGCAAGGTCGCGCACTT</t>
  </si>
  <si>
    <t xml:space="preserve">TAGTCCAGGCAAGGTCGCGCACTT</t>
  </si>
  <si>
    <t xml:space="preserve">AAACAAGTGCGCGACCTTGCCTGG</t>
  </si>
  <si>
    <t xml:space="preserve">CTTCCAGCATGGGCGGCGCG</t>
  </si>
  <si>
    <t xml:space="preserve">TAGTCTTCCAGCATGGGCGGCGCG</t>
  </si>
  <si>
    <t xml:space="preserve">AAACCGCGCCGCCCATGCTGGAAG</t>
  </si>
  <si>
    <t xml:space="preserve">PSPPH_3603</t>
  </si>
  <si>
    <t xml:space="preserve">arsB</t>
  </si>
  <si>
    <t xml:space="preserve">TGACCAGCGTAATGGTGAAC</t>
  </si>
  <si>
    <t xml:space="preserve">TAGTTGACCAGCGTAATGGTGAAC</t>
  </si>
  <si>
    <t xml:space="preserve">AAACGTTCACCATTACGCTGGTCA</t>
  </si>
  <si>
    <t xml:space="preserve">CAGCCTACGCTCAGGCCTTT</t>
  </si>
  <si>
    <t xml:space="preserve">TAGTCAGCCTACGCTCAGGCCTTT</t>
  </si>
  <si>
    <t xml:space="preserve">AAACAAAGGCCTGAGCGTAGGCTG</t>
  </si>
  <si>
    <t xml:space="preserve">ACACCACAGCGATGTCGCTG</t>
  </si>
  <si>
    <t xml:space="preserve">TAGTACACCACAGCGATGTCGCTG</t>
  </si>
  <si>
    <t xml:space="preserve">AAACCAGCGACATCGCTGTGGTGT</t>
  </si>
  <si>
    <t xml:space="preserve">CAGCGAAATGAACGTCGCCG</t>
  </si>
  <si>
    <t xml:space="preserve">TAGTCAGCGAAATGAACGTCGCCG</t>
  </si>
  <si>
    <t xml:space="preserve">AAACCGGCGACGTTCATTTCGCTG</t>
  </si>
  <si>
    <t xml:space="preserve">PSPPH_3605</t>
  </si>
  <si>
    <t xml:space="preserve">GAAACGCTTGATGTTATCCA</t>
  </si>
  <si>
    <t xml:space="preserve">TAGTGAAACGCTTGATGTTATCCA</t>
  </si>
  <si>
    <t xml:space="preserve">AAACTGGATAACATCAAGCGTTTC</t>
  </si>
  <si>
    <t xml:space="preserve">GAGGTAGAAAGGATAGAACT</t>
  </si>
  <si>
    <t xml:space="preserve">TAGTGAGGTAGAAAGGATAGAACT</t>
  </si>
  <si>
    <t xml:space="preserve">AAACAGTTCTATCCTTTCTACCTC</t>
  </si>
  <si>
    <t xml:space="preserve">ACTGGTACTGCTGCTGTGCT</t>
  </si>
  <si>
    <t xml:space="preserve">TAGTACTGGTACTGCTGCTGTGCT</t>
  </si>
  <si>
    <t xml:space="preserve">AAACAGCACAGCAGCAGTACCAGT</t>
  </si>
  <si>
    <t xml:space="preserve">ATGAGGTGCCCACAAAGTGC</t>
  </si>
  <si>
    <t xml:space="preserve">TAGTATGAGGTGCCCACAAAGTGC</t>
  </si>
  <si>
    <t xml:space="preserve">AAACGCACTTTGTGGGCACCTCAT</t>
  </si>
  <si>
    <t xml:space="preserve">PSPPH_3606</t>
  </si>
  <si>
    <t xml:space="preserve">GCGAGCTGAGCACTGGTCAT</t>
  </si>
  <si>
    <t xml:space="preserve">TAGTGCGAGCTGAGCACTGGTCAT</t>
  </si>
  <si>
    <t xml:space="preserve">AAACATGACCAGTGCTCAGCTCGC</t>
  </si>
  <si>
    <t xml:space="preserve">GCGTTGTTTGCGGCTGGGTG</t>
  </si>
  <si>
    <t xml:space="preserve">TAGTGCGTTGTTTGCGGCTGGGTG</t>
  </si>
  <si>
    <t xml:space="preserve">AAACCACCCAGCCGCAAACAACGC</t>
  </si>
  <si>
    <t xml:space="preserve">GTGAACGTCGGAAATCCACA</t>
  </si>
  <si>
    <t xml:space="preserve">TAGTGTGAACGTCGGAAATCCACA</t>
  </si>
  <si>
    <t xml:space="preserve">AAACTGTGGATTTCCGACGTTCAC</t>
  </si>
  <si>
    <t xml:space="preserve">CCTGGCAATCGCGCGTGCCC</t>
  </si>
  <si>
    <t xml:space="preserve">TAGTCCTGGCAATCGCGCGTGCCC</t>
  </si>
  <si>
    <t xml:space="preserve">AAACGGGCACGCGCGATTGCCAGG</t>
  </si>
  <si>
    <t xml:space="preserve">PSPPH_3607</t>
  </si>
  <si>
    <t xml:space="preserve">TTCGGGCTTTTCGGCAGACA</t>
  </si>
  <si>
    <t xml:space="preserve">TAGTTTCGGGCTTTTCGGCAGACA</t>
  </si>
  <si>
    <t xml:space="preserve">AAACTGTCTGCCGAAAAGCCCGAA</t>
  </si>
  <si>
    <t xml:space="preserve">CCACTGGCATTGAATGCAAT</t>
  </si>
  <si>
    <t xml:space="preserve">TAGTCCACTGGCATTGAATGCAAT</t>
  </si>
  <si>
    <t xml:space="preserve">AAACATTGCATTCAATGCCAGTGG</t>
  </si>
  <si>
    <t xml:space="preserve">CAGCTCCTGGGCGAGCCAGG</t>
  </si>
  <si>
    <t xml:space="preserve">TAGTCAGCTCCTGGGCGAGCCAGG</t>
  </si>
  <si>
    <t xml:space="preserve">AAACCCTGGCTCGCCCAGGAGCTG</t>
  </si>
  <si>
    <t xml:space="preserve">GCTGCAACGAGACCTTGCCC</t>
  </si>
  <si>
    <t xml:space="preserve">TAGTGCTGCAACGAGACCTTGCCC</t>
  </si>
  <si>
    <t xml:space="preserve">AAACGGGCAAGGTCTCGTTGCAGC</t>
  </si>
  <si>
    <t xml:space="preserve">PSPPH_3608</t>
  </si>
  <si>
    <t xml:space="preserve">TGAAGTGTTACGCAACTCAA</t>
  </si>
  <si>
    <t xml:space="preserve">TAGTTGAAGTGTTACGCAACTCAA</t>
  </si>
  <si>
    <t xml:space="preserve">AAACTTGAGTTGCGTAACACTTCA</t>
  </si>
  <si>
    <t xml:space="preserve">ACGTTACGCAACTGAACCGG</t>
  </si>
  <si>
    <t xml:space="preserve">TAGTACGTTACGCAACTGAACCGG</t>
  </si>
  <si>
    <t xml:space="preserve">AAACCCGGTTCAGTTGCGTAACGT</t>
  </si>
  <si>
    <t xml:space="preserve">TCACCCGTTGTGGGCCAAAC</t>
  </si>
  <si>
    <t xml:space="preserve">TAGTTCACCCGTTGTGGGCCAAAC</t>
  </si>
  <si>
    <t xml:space="preserve">AAACGTTTGGCCCACAACGGGTGA</t>
  </si>
  <si>
    <t xml:space="preserve">ACTCGCCCGCGGCAATGTCC</t>
  </si>
  <si>
    <t xml:space="preserve">TAGTACTCGCCCGCGGCAATGTCC</t>
  </si>
  <si>
    <t xml:space="preserve">AAACGGACATTGCCGCGGGCGAGT</t>
  </si>
  <si>
    <t xml:space="preserve">PSPPH_3609</t>
  </si>
  <si>
    <t xml:space="preserve">TTGAGCGTTGTGTCAGACAT</t>
  </si>
  <si>
    <t xml:space="preserve">TAGTTTGAGCGTTGTGTCAGACAT</t>
  </si>
  <si>
    <t xml:space="preserve">AAACATGTCTGACACAACGCTCAA</t>
  </si>
  <si>
    <t xml:space="preserve">GCAGAAAACCGGAGTCGGCG</t>
  </si>
  <si>
    <t xml:space="preserve">TAGTGCAGAAAACCGGAGTCGGCG</t>
  </si>
  <si>
    <t xml:space="preserve">AAACCGCCGACTCCGGTTTTCTGC</t>
  </si>
  <si>
    <t xml:space="preserve">TCAGAGGCACGACGCTGTTC</t>
  </si>
  <si>
    <t xml:space="preserve">TAGTTCAGAGGCACGACGCTGTTC</t>
  </si>
  <si>
    <t xml:space="preserve">AAACGAACAGCGTCGTGCCTCTGA</t>
  </si>
  <si>
    <t xml:space="preserve">AGCCCGGCACTTGCCGACGC</t>
  </si>
  <si>
    <t xml:space="preserve">TAGTAGCCCGGCACTTGCCGACGC</t>
  </si>
  <si>
    <t xml:space="preserve">AAACGCGTCGGCAAGTGCCGGGCT</t>
  </si>
  <si>
    <t xml:space="preserve">PSPPH_3610</t>
  </si>
  <si>
    <t xml:space="preserve">GATTTCAGAACCGGGTTGCG</t>
  </si>
  <si>
    <t xml:space="preserve">TAGTGATTTCAGAACCGGGTTGCG</t>
  </si>
  <si>
    <t xml:space="preserve">AAACCGCAACCCGGTTCTGAAATC</t>
  </si>
  <si>
    <t xml:space="preserve">TGGTCGCGCCGCTGCGCGGG</t>
  </si>
  <si>
    <t xml:space="preserve">TAGTTGGTCGCGCCGCTGCGCGGG</t>
  </si>
  <si>
    <t xml:space="preserve">AAACCCCGCGCAGCGGCGCGACCA</t>
  </si>
  <si>
    <t xml:space="preserve">CTTCACGTAGTCGGGCTGGA</t>
  </si>
  <si>
    <t xml:space="preserve">TAGTCTTCACGTAGTCGGGCTGGA</t>
  </si>
  <si>
    <t xml:space="preserve">AAACTCCAGCCCGACTACGTGAAG</t>
  </si>
  <si>
    <t xml:space="preserve">ACCTGCGTCTTCATGAGCCT</t>
  </si>
  <si>
    <t xml:space="preserve">TAGTACCTGCGTCTTCATGAGCCT</t>
  </si>
  <si>
    <t xml:space="preserve">AAACAGGCTCATGAAGACGCAGGT</t>
  </si>
  <si>
    <t xml:space="preserve">PSPPH_3611</t>
  </si>
  <si>
    <t xml:space="preserve">CATGGCTGATCGACTGACAG</t>
  </si>
  <si>
    <t xml:space="preserve">TAGTCATGGCTGATCGACTGACAG</t>
  </si>
  <si>
    <t xml:space="preserve">AAACCTGTCAGTCGATCAGCCATG</t>
  </si>
  <si>
    <t xml:space="preserve">GGTCAGATCCAGCGATTCAG</t>
  </si>
  <si>
    <t xml:space="preserve">TAGTGGTCAGATCCAGCGATTCAG</t>
  </si>
  <si>
    <t xml:space="preserve">AAACCTGAATCGCTGGATCTGACC</t>
  </si>
  <si>
    <t xml:space="preserve">CCGGCGAGTAATCGCCGGCT</t>
  </si>
  <si>
    <t xml:space="preserve">TAGTCCGGCGAGTAATCGCCGGCT</t>
  </si>
  <si>
    <t xml:space="preserve">AAACAGCCGGCGATTACTCGCCGG</t>
  </si>
  <si>
    <t xml:space="preserve">ATCGAACAGCTCGACCCCAA</t>
  </si>
  <si>
    <t xml:space="preserve">TAGTATCGAACAGCTCGACCCCAA</t>
  </si>
  <si>
    <t xml:space="preserve">AAACTTGGGGTCGAGCTGTTCGAT</t>
  </si>
  <si>
    <t xml:space="preserve">PSPPH_3612</t>
  </si>
  <si>
    <t xml:space="preserve">CTTCTGCCAACCAGTCATCG</t>
  </si>
  <si>
    <t xml:space="preserve">TAGTCTTCTGCCAACCAGTCATCG</t>
  </si>
  <si>
    <t xml:space="preserve">AAACCGATGACTGGTTGGCAGAAG</t>
  </si>
  <si>
    <t xml:space="preserve">ATAACGGTCGGGGTCGGGTA</t>
  </si>
  <si>
    <t xml:space="preserve">TAGTATAACGGTCGGGGTCGGGTA</t>
  </si>
  <si>
    <t xml:space="preserve">AAACTACCCGACCCCGACCGTTAT</t>
  </si>
  <si>
    <t xml:space="preserve">TGAAAAGCGCTGCTGCGGGT</t>
  </si>
  <si>
    <t xml:space="preserve">TAGTTGAAAAGCGCTGCTGCGGGT</t>
  </si>
  <si>
    <t xml:space="preserve">AAACACCCGCAGCAGCGCTTTTCA</t>
  </si>
  <si>
    <t xml:space="preserve">TGAATCGGCGTGCGTTGCCC</t>
  </si>
  <si>
    <t xml:space="preserve">TAGTTGAATCGGCGTGCGTTGCCC</t>
  </si>
  <si>
    <t xml:space="preserve">AAACGGGCAACGCACGCCGATTCA</t>
  </si>
  <si>
    <t xml:space="preserve">PSPPH_3613</t>
  </si>
  <si>
    <t xml:space="preserve">GAATGATCGGGTGGCGGGGG</t>
  </si>
  <si>
    <t xml:space="preserve">TAGTGAATGATCGGGTGGCGGGGG</t>
  </si>
  <si>
    <t xml:space="preserve">AAACCCCCCGCCACCCGATCATTC</t>
  </si>
  <si>
    <t xml:space="preserve">CAGCAATGCCTGACGAACGT</t>
  </si>
  <si>
    <t xml:space="preserve">TAGTCAGCAATGCCTGACGAACGT</t>
  </si>
  <si>
    <t xml:space="preserve">AAACACGTTCGTCAGGCATTGCTG</t>
  </si>
  <si>
    <t xml:space="preserve">CTACCAAGGCCAGTTCCTGG</t>
  </si>
  <si>
    <t xml:space="preserve">TAGTCTACCAAGGCCAGTTCCTGG</t>
  </si>
  <si>
    <t xml:space="preserve">AAACCCAGGAACTGGCCTTGGTAG</t>
  </si>
  <si>
    <t xml:space="preserve">GGGCAAAGGGTGCTTCTTCG</t>
  </si>
  <si>
    <t xml:space="preserve">TAGTGGGCAAAGGGTGCTTCTTCG</t>
  </si>
  <si>
    <t xml:space="preserve">AAACCGAAGAAGCACCCTTTGCCC</t>
  </si>
  <si>
    <t xml:space="preserve">PSPPH_3614</t>
  </si>
  <si>
    <t xml:space="preserve">GGTAGAGGTGATTTGAAAAA</t>
  </si>
  <si>
    <t xml:space="preserve">TAGTGGTAGAGGTGATTTGAAAAA</t>
  </si>
  <si>
    <t xml:space="preserve">AAACTTTTTCAAATCACCTCTACC</t>
  </si>
  <si>
    <t xml:space="preserve">CCCAGCAGCAGGCTTTTGAG</t>
  </si>
  <si>
    <t xml:space="preserve">TAGTCCCAGCAGCAGGCTTTTGAG</t>
  </si>
  <si>
    <t xml:space="preserve">AAACCTCAAAAGCCTGCTGCTGGG</t>
  </si>
  <si>
    <t xml:space="preserve">GCTCGGCAGCGACCACTTGC</t>
  </si>
  <si>
    <t xml:space="preserve">TAGTGCTCGGCAGCGACCACTTGC</t>
  </si>
  <si>
    <t xml:space="preserve">AAACGCAAGTGGTCGCTGCCGAGC</t>
  </si>
  <si>
    <t xml:space="preserve">TTCTGATTGGCGACCAACAG</t>
  </si>
  <si>
    <t xml:space="preserve">TAGTTTCTGATTGGCGACCAACAG</t>
  </si>
  <si>
    <t xml:space="preserve">AAACCTGTTGGTCGCCAATCAGAA</t>
  </si>
  <si>
    <t xml:space="preserve">PSPPH_3615</t>
  </si>
  <si>
    <t xml:space="preserve">CTGGCGCGGGGTAGGGCGCA</t>
  </si>
  <si>
    <t xml:space="preserve">TAGTCTGGCGCGGGGTAGGGCGCA</t>
  </si>
  <si>
    <t xml:space="preserve">AAACTGCGCCCTACCCCGCGCCAG</t>
  </si>
  <si>
    <t xml:space="preserve">TCTTCGGCCGACTCGGCTGC</t>
  </si>
  <si>
    <t xml:space="preserve">TAGTTCTTCGGCCGACTCGGCTGC</t>
  </si>
  <si>
    <t xml:space="preserve">AAACGCAGCCGAGTCGGCCGAAGA</t>
  </si>
  <si>
    <t xml:space="preserve">GGCAGTTTCAGCCAGTGTGG</t>
  </si>
  <si>
    <t xml:space="preserve">TAGTGGCAGTTTCAGCCAGTGTGG</t>
  </si>
  <si>
    <t xml:space="preserve">AAACCCACACTGGCTGAAACTGCC</t>
  </si>
  <si>
    <t xml:space="preserve">GGCGCTGATGTCGTACTGCT</t>
  </si>
  <si>
    <t xml:space="preserve">TAGTGGCGCTGATGTCGTACTGCT</t>
  </si>
  <si>
    <t xml:space="preserve">AAACAGCAGTACGACATCAGCGCC</t>
  </si>
  <si>
    <t xml:space="preserve">PSPPH_3616</t>
  </si>
  <si>
    <t xml:space="preserve">ATGCAATGACGTAAAACTCA</t>
  </si>
  <si>
    <t xml:space="preserve">TAGTATGCAATGACGTAAAACTCA</t>
  </si>
  <si>
    <t xml:space="preserve">AAACTGAGTTTTACGTCATTGCAT</t>
  </si>
  <si>
    <t xml:space="preserve">AACTTGCCTTCCTCGACCTG</t>
  </si>
  <si>
    <t xml:space="preserve">TAGTAACTTGCCTTCCTCGACCTG</t>
  </si>
  <si>
    <t xml:space="preserve">AAACCAGGTCGAGGAAGGCAAGTT</t>
  </si>
  <si>
    <t xml:space="preserve">GTCCCACTCCCCAGGCAGCA</t>
  </si>
  <si>
    <t xml:space="preserve">TAGTGTCCCACTCCCCAGGCAGCA</t>
  </si>
  <si>
    <t xml:space="preserve">AAACTGCTGCCTGGGGAGTGGGAC</t>
  </si>
  <si>
    <t xml:space="preserve">CCGAATCGCCAATCGGTGAA</t>
  </si>
  <si>
    <t xml:space="preserve">TAGTCCGAATCGCCAATCGGTGAA</t>
  </si>
  <si>
    <t xml:space="preserve">AAACTTCACCGATTGGCGATTCGG</t>
  </si>
  <si>
    <t xml:space="preserve">PSPPH_3617</t>
  </si>
  <si>
    <t xml:space="preserve">GGCAGGGTCTCCAGAAGCAT</t>
  </si>
  <si>
    <t xml:space="preserve">TAGTGGCAGGGTCTCCAGAAGCAT</t>
  </si>
  <si>
    <t xml:space="preserve">AAACATGCTTCTGGAGACCCTGCC</t>
  </si>
  <si>
    <t xml:space="preserve">CAGATGATAGTTGTCGGCAC</t>
  </si>
  <si>
    <t xml:space="preserve">TAGTCAGATGATAGTTGTCGGCAC</t>
  </si>
  <si>
    <t xml:space="preserve">AAACGTGCCGACAACTATCATCTG</t>
  </si>
  <si>
    <t xml:space="preserve">CCAGGCCCGTCAGCAGGCGT</t>
  </si>
  <si>
    <t xml:space="preserve">TAGTCCAGGCCCGTCAGCAGGCGT</t>
  </si>
  <si>
    <t xml:space="preserve">AAACACGCCTGCTGACGGGCCTGG</t>
  </si>
  <si>
    <t xml:space="preserve">GGGTGTTCAGCGTGGCCACA</t>
  </si>
  <si>
    <t xml:space="preserve">TAGTGGGTGTTCAGCGTGGCCACA</t>
  </si>
  <si>
    <t xml:space="preserve">AAACTGTGGCCACGCTGAACACCC</t>
  </si>
  <si>
    <t xml:space="preserve">PSPPH_3618</t>
  </si>
  <si>
    <t xml:space="preserve">AAATCCGCATGTCTTCAAAA</t>
  </si>
  <si>
    <t xml:space="preserve">TAGTAAATCCGCATGTCTTCAAAA</t>
  </si>
  <si>
    <t xml:space="preserve">AAACTTTTGAAGACATGCGGATTT</t>
  </si>
  <si>
    <t xml:space="preserve">AGCTGCCGGATTCCATGACC</t>
  </si>
  <si>
    <t xml:space="preserve">TAGTAGCTGCCGGATTCCATGACC</t>
  </si>
  <si>
    <t xml:space="preserve">AAACGGTCATGGAATCCGGCAGCT</t>
  </si>
  <si>
    <t xml:space="preserve">CTTGGACAGGCCCAGCTTGT</t>
  </si>
  <si>
    <t xml:space="preserve">TAGTCTTGGACAGGCCCAGCTTGT</t>
  </si>
  <si>
    <t xml:space="preserve">AAACACAAGCTGGGCCTGTCCAAG</t>
  </si>
  <si>
    <t xml:space="preserve">GCCGTTCCTCCAGTTGCATC</t>
  </si>
  <si>
    <t xml:space="preserve">TAGTGCCGTTCCTCCAGTTGCATC</t>
  </si>
  <si>
    <t xml:space="preserve">AAACGATGCAACTGGAGGAACGGC</t>
  </si>
  <si>
    <t xml:space="preserve">PSPPH_3619</t>
  </si>
  <si>
    <t xml:space="preserve">ATGGTTGGCAGCGCCGCGGT</t>
  </si>
  <si>
    <t xml:space="preserve">TAGTATGGTTGGCAGCGCCGCGGT</t>
  </si>
  <si>
    <t xml:space="preserve">AAACACCGCGGCGCTGCCAACCAT</t>
  </si>
  <si>
    <t xml:space="preserve">GGCAAAGGAAAAGGTATGAA</t>
  </si>
  <si>
    <t xml:space="preserve">TAGTGGCAAAGGAAAAGGTATGAA</t>
  </si>
  <si>
    <t xml:space="preserve">AAACTTCATACCTTTTCCTTTGCC</t>
  </si>
  <si>
    <t xml:space="preserve">CTCCTGAGGGTTGCGATAAC</t>
  </si>
  <si>
    <t xml:space="preserve">TAGTCTCCTGAGGGTTGCGATAAC</t>
  </si>
  <si>
    <t xml:space="preserve">AAACGTTATCGCAACCCTCAGGAG</t>
  </si>
  <si>
    <t xml:space="preserve">AACCTTTGCCCGCAATCACG</t>
  </si>
  <si>
    <t xml:space="preserve">TAGTAACCTTTGCCCGCAATCACG</t>
  </si>
  <si>
    <t xml:space="preserve">AAACCGTGATTGCGGGCAAAGGTT</t>
  </si>
  <si>
    <t xml:space="preserve">PSPPH_3620</t>
  </si>
  <si>
    <t xml:space="preserve">ATCAAGTTGATCACTGGCCA</t>
  </si>
  <si>
    <t xml:space="preserve">TAGTATCAAGTTGATCACTGGCCA</t>
  </si>
  <si>
    <t xml:space="preserve">AAACTGGCCAGTGATCAACTTGAT</t>
  </si>
  <si>
    <t xml:space="preserve">AGGGTTTGGCGGGTTTCAAA</t>
  </si>
  <si>
    <t xml:space="preserve">TAGTAGGGTTTGGCGGGTTTCAAA</t>
  </si>
  <si>
    <t xml:space="preserve">AAACTTTGAAACCCGCCAAACCCT</t>
  </si>
  <si>
    <t xml:space="preserve">CATACCCTGCTTGCCTTGAG</t>
  </si>
  <si>
    <t xml:space="preserve">TAGTCATACCCTGCTTGCCTTGAG</t>
  </si>
  <si>
    <t xml:space="preserve">AAACCTCAAGGCAAGCAGGGTATG</t>
  </si>
  <si>
    <t xml:space="preserve">TCGGGCACCTGCACTTTGTG</t>
  </si>
  <si>
    <t xml:space="preserve">TAGTTCGGGCACCTGCACTTTGTG</t>
  </si>
  <si>
    <t xml:space="preserve">AAACCACAAAGTGCAGGTGCCCGA</t>
  </si>
  <si>
    <t xml:space="preserve">PSPPH_3625</t>
  </si>
  <si>
    <t xml:space="preserve">ACCATCAGCGTGATCATGAG</t>
  </si>
  <si>
    <t xml:space="preserve">TAGTACCATCAGCGTGATCATGAG</t>
  </si>
  <si>
    <t xml:space="preserve">AAACCTCATGATCACGCTGATGGT</t>
  </si>
  <si>
    <t xml:space="preserve">CGTTTTCAGCGACGTGATTC</t>
  </si>
  <si>
    <t xml:space="preserve">TAGTCGTTTTCAGCGACGTGATTC</t>
  </si>
  <si>
    <t xml:space="preserve">AAACGAATCACGTCGCTGAAAACG</t>
  </si>
  <si>
    <t xml:space="preserve">ACTGAGTTCGACCTTGGTGC</t>
  </si>
  <si>
    <t xml:space="preserve">TAGTACTGAGTTCGACCTTGGTGC</t>
  </si>
  <si>
    <t xml:space="preserve">AAACGCACCAAGGTCGAACTCAGT</t>
  </si>
  <si>
    <t xml:space="preserve">CAACTGGCCGGGGAATACTT</t>
  </si>
  <si>
    <t xml:space="preserve">TAGTCAACTGGCCGGGGAATACTT</t>
  </si>
  <si>
    <t xml:space="preserve">AAACAAGTATTCCCCGGCCAGTTG</t>
  </si>
  <si>
    <t xml:space="preserve">PSPPH_3626</t>
  </si>
  <si>
    <t xml:space="preserve">GTAGCCATTGAGGCCGGCAC</t>
  </si>
  <si>
    <t xml:space="preserve">TAGTGTAGCCATTGAGGCCGGCAC</t>
  </si>
  <si>
    <t xml:space="preserve">AAACGTGCCGGCCTCAATGGCTAC</t>
  </si>
  <si>
    <t xml:space="preserve">CAGCAATGCCTCAAGCTGGG</t>
  </si>
  <si>
    <t xml:space="preserve">TAGTCAGCAATGCCTCAAGCTGGG</t>
  </si>
  <si>
    <t xml:space="preserve">AAACCCCAGCTTGAGGCATTGCTG</t>
  </si>
  <si>
    <t xml:space="preserve">GGCGATGGAGTCGCGCTCGT</t>
  </si>
  <si>
    <t xml:space="preserve">TAGTGGCGATGGAGTCGCGCTCGT</t>
  </si>
  <si>
    <t xml:space="preserve">AAACACGAGCGCGACTCCATCGCC</t>
  </si>
  <si>
    <t xml:space="preserve">TGCCGAGAACTGCGCCGCAT</t>
  </si>
  <si>
    <t xml:space="preserve">TAGTTGCCGAGAACTGCGCCGCAT</t>
  </si>
  <si>
    <t xml:space="preserve">AAACATGCGGCGCAGTTCTCGGCA</t>
  </si>
  <si>
    <t xml:space="preserve">PSPPH_3627</t>
  </si>
  <si>
    <t xml:space="preserve">GCATCCAACCGAGAATCCAC</t>
  </si>
  <si>
    <t xml:space="preserve">TAGTGCATCCAACCGAGAATCCAC</t>
  </si>
  <si>
    <t xml:space="preserve">AAACGTGGATTCTCGGTTGGATGC</t>
  </si>
  <si>
    <t xml:space="preserve">CAGCCGGGCCAGCACGGCAT</t>
  </si>
  <si>
    <t xml:space="preserve">TAGTCAGCCGGGCCAGCACGGCAT</t>
  </si>
  <si>
    <t xml:space="preserve">AAACATGCCGTGCTGGCCCGGCTG</t>
  </si>
  <si>
    <t xml:space="preserve">TCGCGCACGGCTGGCAACAG</t>
  </si>
  <si>
    <t xml:space="preserve">TAGTTCGCGCACGGCTGGCAACAG</t>
  </si>
  <si>
    <t xml:space="preserve">AAACCTGTTGCCAGCCGTGCGCGA</t>
  </si>
  <si>
    <t xml:space="preserve">AGCGTCTGTGACCAGTCGAC</t>
  </si>
  <si>
    <t xml:space="preserve">TAGTAGCGTCTGTGACCAGTCGAC</t>
  </si>
  <si>
    <t xml:space="preserve">AAACGTCGACTGGTCACAGACGCT</t>
  </si>
  <si>
    <t xml:space="preserve">PSPPH_3628</t>
  </si>
  <si>
    <t xml:space="preserve">CGAAGCCGATCAATACAGCC</t>
  </si>
  <si>
    <t xml:space="preserve">TAGTCGAAGCCGATCAATACAGCC</t>
  </si>
  <si>
    <t xml:space="preserve">AAACGGCTGTATTGATCGGCTTCG</t>
  </si>
  <si>
    <t xml:space="preserve">AATCTGGAACAGGCTCAGCA</t>
  </si>
  <si>
    <t xml:space="preserve">TAGTAATCTGGAACAGGCTCAGCA</t>
  </si>
  <si>
    <t xml:space="preserve">AAACTGCTGAGCCTGTTCCAGATT</t>
  </si>
  <si>
    <t xml:space="preserve">ATTGATGGACGCGTCTTCGC</t>
  </si>
  <si>
    <t xml:space="preserve">TAGTATTGATGGACGCGTCTTCGC</t>
  </si>
  <si>
    <t xml:space="preserve">AAACGCGAAGACGCGTCCATCAAT</t>
  </si>
  <si>
    <t xml:space="preserve">CAATGCGCGATGCCGGGTTC</t>
  </si>
  <si>
    <t xml:space="preserve">TAGTCAATGCGCGATGCCGGGTTC</t>
  </si>
  <si>
    <t xml:space="preserve">AAACGAACCCGGCATCGCGCATTG</t>
  </si>
  <si>
    <t xml:space="preserve">PSPPH_3629</t>
  </si>
  <si>
    <t xml:space="preserve">CGTTAGCCTGCAACGGCGTG</t>
  </si>
  <si>
    <t xml:space="preserve">TAGTCGTTAGCCTGCAACGGCGTG</t>
  </si>
  <si>
    <t xml:space="preserve">AAACCACGCCGTTGCAGGCTAACG</t>
  </si>
  <si>
    <t xml:space="preserve">AGACCAGGCGGTGGCTGGAT</t>
  </si>
  <si>
    <t xml:space="preserve">TAGTAGACCAGGCGGTGGCTGGAT</t>
  </si>
  <si>
    <t xml:space="preserve">AAACATCCAGCCACCGCCTGGTCT</t>
  </si>
  <si>
    <t xml:space="preserve">AGGTTTTCGCTCATCAAAAG</t>
  </si>
  <si>
    <t xml:space="preserve">TAGTAGGTTTTCGCTCATCAAAAG</t>
  </si>
  <si>
    <t xml:space="preserve">AAACCTTTTGATGAGCGAAAACCT</t>
  </si>
  <si>
    <t xml:space="preserve">TAGTGACCGGGATACTCAGC</t>
  </si>
  <si>
    <t xml:space="preserve">TAGTTAGTGACCGGGATACTCAGC</t>
  </si>
  <si>
    <t xml:space="preserve">AAACGCTGAGTATCCCGGTCACTA</t>
  </si>
  <si>
    <t xml:space="preserve">PSPPH_3630</t>
  </si>
  <si>
    <t xml:space="preserve">msrB</t>
  </si>
  <si>
    <t xml:space="preserve">GTTTTCTGCAACTTGTCCAC</t>
  </si>
  <si>
    <t xml:space="preserve">TAGTGTTTTCTGCAACTTGTCCAC</t>
  </si>
  <si>
    <t xml:space="preserve">AAACGTGGACAAGTTGCAGAAAAC</t>
  </si>
  <si>
    <t xml:space="preserve">GGCAAACCTGATACTGCGCC</t>
  </si>
  <si>
    <t xml:space="preserve">TAGTGGCAAACCTGATACTGCGCC</t>
  </si>
  <si>
    <t xml:space="preserve">AAACGGCGCAGTATCAGGTTTGCC</t>
  </si>
  <si>
    <t xml:space="preserve">GCCGCTCGGTGCCTTTCAGG</t>
  </si>
  <si>
    <t xml:space="preserve">TAGTGCCGCTCGGTGCCTTTCAGG</t>
  </si>
  <si>
    <t xml:space="preserve">AAACCCTGAAAGGCACCGAGCGGC</t>
  </si>
  <si>
    <t xml:space="preserve">TCGTTGTACTTACCGGAAAA</t>
  </si>
  <si>
    <t xml:space="preserve">TAGTTCGTTGTACTTACCGGAAAA</t>
  </si>
  <si>
    <t xml:space="preserve">AAACTTTTCCGGTAAGTACAACGA</t>
  </si>
  <si>
    <t xml:space="preserve">PSPPH_3631</t>
  </si>
  <si>
    <t xml:space="preserve">GTTCGATTTGTTGAACTGCA</t>
  </si>
  <si>
    <t xml:space="preserve">TAGTGTTCGATTTGTTGAACTGCA</t>
  </si>
  <si>
    <t xml:space="preserve">AAACTGCAGTTCAACAAATCGAAC</t>
  </si>
  <si>
    <t xml:space="preserve">CGTTTGGCGTGCTTGAGCAC</t>
  </si>
  <si>
    <t xml:space="preserve">TAGTCGTTTGGCGTGCTTGAGCAC</t>
  </si>
  <si>
    <t xml:space="preserve">AAACGTGCTCAAGCACGCCAAACG</t>
  </si>
  <si>
    <t xml:space="preserve">TGCGATGGCCTTCCTCTTCC</t>
  </si>
  <si>
    <t xml:space="preserve">TAGTTGCGATGGCCTTCCTCTTCC</t>
  </si>
  <si>
    <t xml:space="preserve">AAACGGAAGAGGAAGGCCATCGCA</t>
  </si>
  <si>
    <t xml:space="preserve">GGTTGCCGATGTTCAGCTTG</t>
  </si>
  <si>
    <t xml:space="preserve">TAGTGGTTGCCGATGTTCAGCTTG</t>
  </si>
  <si>
    <t xml:space="preserve">AAACCAAGCTGAACATCGGCAACC</t>
  </si>
  <si>
    <t xml:space="preserve">PSPPH_3632</t>
  </si>
  <si>
    <t xml:space="preserve">htpX</t>
  </si>
  <si>
    <t xml:space="preserve">AAACAGCAAAATGCGCATCA</t>
  </si>
  <si>
    <t xml:space="preserve">TAGTAAACAGCAAAATGCGCATCA</t>
  </si>
  <si>
    <t xml:space="preserve">AAACTGATGCGCATTTTGCTGTTT</t>
  </si>
  <si>
    <t xml:space="preserve">CAGCACGACCGCAAGGTTAG</t>
  </si>
  <si>
    <t xml:space="preserve">TAGTCAGCACGACCGCAAGGTTAG</t>
  </si>
  <si>
    <t xml:space="preserve">AAACCTAACCTTGCGGTCGTGCTG</t>
  </si>
  <si>
    <t xml:space="preserve">AAAAAGGCTCAGGGTGATGC</t>
  </si>
  <si>
    <t xml:space="preserve">TAGTAAAAAGGCTCAGGGTGATGC</t>
  </si>
  <si>
    <t xml:space="preserve">AAACGCATCACCCTGAGCCTTTTT</t>
  </si>
  <si>
    <t xml:space="preserve">GAGGTTCAGATCAACCCCGT</t>
  </si>
  <si>
    <t xml:space="preserve">TAGTGAGGTTCAGATCAACCCCGT</t>
  </si>
  <si>
    <t xml:space="preserve">AAACACGGGGTTGATCTGAACCTC</t>
  </si>
  <si>
    <t xml:space="preserve">PSPPH_3633</t>
  </si>
  <si>
    <t xml:space="preserve">CATGGGAAATAAACAGGCTT</t>
  </si>
  <si>
    <t xml:space="preserve">TAGTCATGGGAAATAAACAGGCTT</t>
  </si>
  <si>
    <t xml:space="preserve">AAACAAGCCTGTTTATTTCCCATG</t>
  </si>
  <si>
    <t xml:space="preserve">CCGGGCTCCAGCGCGAGCAT</t>
  </si>
  <si>
    <t xml:space="preserve">TAGTCCGGGCTCCAGCGCGAGCAT</t>
  </si>
  <si>
    <t xml:space="preserve">AAACATGCTCGCGCTGGAGCCCGG</t>
  </si>
  <si>
    <t xml:space="preserve">CGGCCAATCGCGTCAGGGCG</t>
  </si>
  <si>
    <t xml:space="preserve">TAGTCGGCCAATCGCGTCAGGGCG</t>
  </si>
  <si>
    <t xml:space="preserve">AAACCGCCCTGACGCGATTGGCCG</t>
  </si>
  <si>
    <t xml:space="preserve">GCTAGGCCTGGGCAGGCTGG</t>
  </si>
  <si>
    <t xml:space="preserve">TAGTGCTAGGCCTGGGCAGGCTGG</t>
  </si>
  <si>
    <t xml:space="preserve">AAACCCAGCCTGCCCAGGCCTAGC</t>
  </si>
  <si>
    <t xml:space="preserve">PSPPH_3634</t>
  </si>
  <si>
    <t xml:space="preserve">CCGCCGATTTCCTGGGTCAT</t>
  </si>
  <si>
    <t xml:space="preserve">TAGTCCGCCGATTTCCTGGGTCAT</t>
  </si>
  <si>
    <t xml:space="preserve">AAACATGACCCAGGAAATCGGCGG</t>
  </si>
  <si>
    <t xml:space="preserve">ATTTGGATGAAGTTCGAGAG</t>
  </si>
  <si>
    <t xml:space="preserve">TAGTATTTGGATGAAGTTCGAGAG</t>
  </si>
  <si>
    <t xml:space="preserve">AAACCTCTCGAACTTCATCCAAAT</t>
  </si>
  <si>
    <t xml:space="preserve">CGAAGGCTCTTCGTAGCCAG</t>
  </si>
  <si>
    <t xml:space="preserve">TAGTCGAAGGCTCTTCGTAGCCAG</t>
  </si>
  <si>
    <t xml:space="preserve">AAACCTGGCTACGAAGAGCCTTCG</t>
  </si>
  <si>
    <t xml:space="preserve">CGGGATCGATTGCTGCTGAA</t>
  </si>
  <si>
    <t xml:space="preserve">TAGTCGGGATCGATTGCTGCTGAA</t>
  </si>
  <si>
    <t xml:space="preserve">AAACTTCAGCAGCAATCGATCCCG</t>
  </si>
  <si>
    <t xml:space="preserve">PSPPH_3635</t>
  </si>
  <si>
    <t xml:space="preserve">GCCGAAGTCGTCGTGGACCT</t>
  </si>
  <si>
    <t xml:space="preserve">TAGTGCCGAAGTCGTCGTGGACCT</t>
  </si>
  <si>
    <t xml:space="preserve">AAACAGGTCCACGACGACTTCGGC</t>
  </si>
  <si>
    <t xml:space="preserve">AATCCTCTACTTCCAGCACG</t>
  </si>
  <si>
    <t xml:space="preserve">TAGTAATCCTCTACTTCCAGCACG</t>
  </si>
  <si>
    <t xml:space="preserve">AAACCGTGCTGGAAGTAGAGGATT</t>
  </si>
  <si>
    <t xml:space="preserve">AAACGTGCAGCTCTGCTCGA</t>
  </si>
  <si>
    <t xml:space="preserve">TAGTAAACGTGCAGCTCTGCTCGA</t>
  </si>
  <si>
    <t xml:space="preserve">AAACTCGAGCAGAGCTGCACGTTT</t>
  </si>
  <si>
    <t xml:space="preserve">AGTCGTATTCCAGCCAGCTC</t>
  </si>
  <si>
    <t xml:space="preserve">TAGTAGTCGTATTCCAGCCAGCTC</t>
  </si>
  <si>
    <t xml:space="preserve">AAACGAGCTGGCTGGAATACGACT</t>
  </si>
  <si>
    <t xml:space="preserve">PSPPH_3636</t>
  </si>
  <si>
    <t xml:space="preserve">AGCTGTCGGGGCTCCAGGGT</t>
  </si>
  <si>
    <t xml:space="preserve">TAGTAGCTGTCGGGGCTCCAGGGT</t>
  </si>
  <si>
    <t xml:space="preserve">AAACACCCTGGAGCCCCGACAGCT</t>
  </si>
  <si>
    <t xml:space="preserve">TAGTGAGGTTGCTGCTGAAT</t>
  </si>
  <si>
    <t xml:space="preserve">TAGTTAGTGAGGTTGCTGCTGAAT</t>
  </si>
  <si>
    <t xml:space="preserve">AAACATTCAGCAGCAACCTCACTA</t>
  </si>
  <si>
    <t xml:space="preserve">TCAACAGATGCGCGGCATCA</t>
  </si>
  <si>
    <t xml:space="preserve">TAGTTCAACAGATGCGCGGCATCA</t>
  </si>
  <si>
    <t xml:space="preserve">AAACTGATGCCGCGCATCTGTTGA</t>
  </si>
  <si>
    <t xml:space="preserve">CAGCGGCGGATAGCTGGCCA</t>
  </si>
  <si>
    <t xml:space="preserve">TAGTCAGCGGCGGATAGCTGGCCA</t>
  </si>
  <si>
    <t xml:space="preserve">AAACTGGCCAGCTATCCGCCGCTG</t>
  </si>
  <si>
    <t xml:space="preserve">PSPPH_3637</t>
  </si>
  <si>
    <t xml:space="preserve">CCAGGCTGAGCATGCCCGGC</t>
  </si>
  <si>
    <t xml:space="preserve">TAGTCCAGGCTGAGCATGCCCGGC</t>
  </si>
  <si>
    <t xml:space="preserve">AAACGCCGGGCATGCTCAGCCTGG</t>
  </si>
  <si>
    <t xml:space="preserve">GCTCCAGCCAGCGCTGCAAG</t>
  </si>
  <si>
    <t xml:space="preserve">TAGTGCTCCAGCCAGCGCTGCAAG</t>
  </si>
  <si>
    <t xml:space="preserve">AAACCTTGCAGCGCTGGCTGGAGC</t>
  </si>
  <si>
    <t xml:space="preserve">GCGCCAGATAGCGGCGCTGA</t>
  </si>
  <si>
    <t xml:space="preserve">TAGTGCGCCAGATAGCGGCGCTGA</t>
  </si>
  <si>
    <t xml:space="preserve">AAACTCAGCGCCGCTATCTGGCGC</t>
  </si>
  <si>
    <t xml:space="preserve">TGTCGGCCCTGCTCAGCCCC</t>
  </si>
  <si>
    <t xml:space="preserve">TAGTTGTCGGCCCTGCTCAGCCCC</t>
  </si>
  <si>
    <t xml:space="preserve">AAACGGGGCTGAGCAGGGCCGACA</t>
  </si>
  <si>
    <t xml:space="preserve">PSPPH_3641</t>
  </si>
  <si>
    <t xml:space="preserve">GTTCTTCGATGCGGGGCCAG</t>
  </si>
  <si>
    <t xml:space="preserve">TAGTGTTCTTCGATGCGGGGCCAG</t>
  </si>
  <si>
    <t xml:space="preserve">AAACCTGGCCCCGCATCGAAGAAC</t>
  </si>
  <si>
    <t xml:space="preserve">CAATATAAAGCAAGCGAGGG</t>
  </si>
  <si>
    <t xml:space="preserve">TAGTCAATATAAAGCAAGCGAGGG</t>
  </si>
  <si>
    <t xml:space="preserve">AAACCCCTCGCTTGCTTTATATTG</t>
  </si>
  <si>
    <t xml:space="preserve">AACTACGCCTATAAAGTTCT</t>
  </si>
  <si>
    <t xml:space="preserve">TAGTAACTACGCCTATAAAGTTCT</t>
  </si>
  <si>
    <t xml:space="preserve">AAACAGAACTTTATAGGCGTAGTT</t>
  </si>
  <si>
    <t xml:space="preserve">TGGCTCGGGATGTGATGGGC</t>
  </si>
  <si>
    <t xml:space="preserve">TAGTTGGCTCGGGATGTGATGGGC</t>
  </si>
  <si>
    <t xml:space="preserve">AAACGCCCATCACATCCCGAGCCA</t>
  </si>
  <si>
    <t xml:space="preserve">PSPPH_3642</t>
  </si>
  <si>
    <t xml:space="preserve">CTCGAACAAAGGGGCAACCT</t>
  </si>
  <si>
    <t xml:space="preserve">TAGTCTCGAACAAAGGGGCAACCT</t>
  </si>
  <si>
    <t xml:space="preserve">AAACAGGTTGCCCCTTTGTTCGAG</t>
  </si>
  <si>
    <t xml:space="preserve">TACCTCCGTAGCGTTGAGGC</t>
  </si>
  <si>
    <t xml:space="preserve">TAGTTACCTCCGTAGCGTTGAGGC</t>
  </si>
  <si>
    <t xml:space="preserve">AAACGCCTCAACGCTACGGAGGTA</t>
  </si>
  <si>
    <t xml:space="preserve">AACAAGTGCCTCAGTGAGGT</t>
  </si>
  <si>
    <t xml:space="preserve">TAGTAACAAGTGCCTCAGTGAGGT</t>
  </si>
  <si>
    <t xml:space="preserve">AAACACCTCACTGAGGCACTTGTT</t>
  </si>
  <si>
    <t xml:space="preserve">TGGCGAACAACGTCACTTGG</t>
  </si>
  <si>
    <t xml:space="preserve">TAGTTGGCGAACAACGTCACTTGG</t>
  </si>
  <si>
    <t xml:space="preserve">AAACCCAAGTGACGTTGTTCGCCA</t>
  </si>
  <si>
    <t xml:space="preserve">PSPPH_3643</t>
  </si>
  <si>
    <t xml:space="preserve">TGTATCGATGCCTGGATAGT</t>
  </si>
  <si>
    <t xml:space="preserve">TAGTTGTATCGATGCCTGGATAGT</t>
  </si>
  <si>
    <t xml:space="preserve">AAACACTATCCAGGCATCGATACA</t>
  </si>
  <si>
    <t xml:space="preserve">GTGGTCGGCAATTGCCACAA</t>
  </si>
  <si>
    <t xml:space="preserve">TAGTGTGGTCGGCAATTGCCACAA</t>
  </si>
  <si>
    <t xml:space="preserve">AAACTTGTGGCAATTGCCGACCAC</t>
  </si>
  <si>
    <t xml:space="preserve">GTTCACGGCTTCACCTGCGC</t>
  </si>
  <si>
    <t xml:space="preserve">TAGTGTTCACGGCTTCACCTGCGC</t>
  </si>
  <si>
    <t xml:space="preserve">AAACGCGCAGGTGAAGCCGTGAAC</t>
  </si>
  <si>
    <t xml:space="preserve">TGCTGACCGCCGATTGAGTG</t>
  </si>
  <si>
    <t xml:space="preserve">TAGTTGCTGACCGCCGATTGAGTG</t>
  </si>
  <si>
    <t xml:space="preserve">AAACCACTCAATCGGCGGTCAGCA</t>
  </si>
  <si>
    <t xml:space="preserve">PSPPH_3644</t>
  </si>
  <si>
    <t xml:space="preserve">GATTCCGAACAGCCCCCCCA</t>
  </si>
  <si>
    <t xml:space="preserve">TAGTGATTCCGAACAGCCCCCCCA</t>
  </si>
  <si>
    <t xml:space="preserve">AAACTGGGGGGGCTGTTCGGAATC</t>
  </si>
  <si>
    <t xml:space="preserve">CCGAACAGCACACCCAGCGC</t>
  </si>
  <si>
    <t xml:space="preserve">TAGTCCGAACAGCACACCCAGCGC</t>
  </si>
  <si>
    <t xml:space="preserve">AAACGCGCTGGGTGTGCTGTTCGG</t>
  </si>
  <si>
    <t xml:space="preserve">CACAAGGCGAGTAACACGTT</t>
  </si>
  <si>
    <t xml:space="preserve">TAGTCACAAGGCGAGTAACACGTT</t>
  </si>
  <si>
    <t xml:space="preserve">AAACAACGTGTTACTCGCCTTGTG</t>
  </si>
  <si>
    <t xml:space="preserve">GCAGCAAAATCCGGTTGCGC</t>
  </si>
  <si>
    <t xml:space="preserve">TAGTGCAGCAAAATCCGGTTGCGC</t>
  </si>
  <si>
    <t xml:space="preserve">AAACGCGCAACCGGATTTTGCTGC</t>
  </si>
  <si>
    <t xml:space="preserve">PSPPH_3645</t>
  </si>
  <si>
    <t xml:space="preserve">AGCGTGGGCAGGGTTTTCTT</t>
  </si>
  <si>
    <t xml:space="preserve">TAGTAGCGTGGGCAGGGTTTTCTT</t>
  </si>
  <si>
    <t xml:space="preserve">AAACAAGAAAACCCTGCCCACGCT</t>
  </si>
  <si>
    <t xml:space="preserve">AGCAGCGAATCGCAATCGGC</t>
  </si>
  <si>
    <t xml:space="preserve">TAGTAGCAGCGAATCGCAATCGGC</t>
  </si>
  <si>
    <t xml:space="preserve">AAACGCCGATTGCGATTCGCTGCT</t>
  </si>
  <si>
    <t xml:space="preserve">AATACAGGGCGAAGCACAAT</t>
  </si>
  <si>
    <t xml:space="preserve">TAGTAATACAGGGCGAAGCACAAT</t>
  </si>
  <si>
    <t xml:space="preserve">AAACATTGTGCTTCGCCCTGTATT</t>
  </si>
  <si>
    <t xml:space="preserve">CTTGGTCATCATCAATGAGG</t>
  </si>
  <si>
    <t xml:space="preserve">TAGTCTTGGTCATCATCAATGAGG</t>
  </si>
  <si>
    <t xml:space="preserve">AAACCCTCATTGATGATGACCAAG</t>
  </si>
  <si>
    <t xml:space="preserve">PSPPH_3646</t>
  </si>
  <si>
    <t xml:space="preserve">ohr</t>
  </si>
  <si>
    <t xml:space="preserve">TGCGGGGCAAAGGTAGTCCA</t>
  </si>
  <si>
    <t xml:space="preserve">TAGTTGCGGGGCAAAGGTAGTCCA</t>
  </si>
  <si>
    <t xml:space="preserve">AAACTGGACTACCTTTGCCCCGCA</t>
  </si>
  <si>
    <t xml:space="preserve">TGATTTTTCCTCGTTCGGTA</t>
  </si>
  <si>
    <t xml:space="preserve">TAGTTGATTTTTCCTCGTTCGGTA</t>
  </si>
  <si>
    <t xml:space="preserve">AAACTACCGAACGAGGAAAAATCA</t>
  </si>
  <si>
    <t xml:space="preserve">GCCTGTGGCGGTTGCAACTG</t>
  </si>
  <si>
    <t xml:space="preserve">TAGTGCCTGTGGCGGTTGCAACTG</t>
  </si>
  <si>
    <t xml:space="preserve">AAACCAGTTGCAACCGCCACAGGC</t>
  </si>
  <si>
    <t xml:space="preserve">TGGATACGGCACGACCATCA</t>
  </si>
  <si>
    <t xml:space="preserve">TAGTTGGATACGGCACGACCATCA</t>
  </si>
  <si>
    <t xml:space="preserve">AAACTGATGGTCGTGCCGTATCCA</t>
  </si>
  <si>
    <t xml:space="preserve">PSPPH_3647</t>
  </si>
  <si>
    <t xml:space="preserve">ACCCGTCATGACTTTGCTGA</t>
  </si>
  <si>
    <t xml:space="preserve">TAGTACCCGTCATGACTTTGCTGA</t>
  </si>
  <si>
    <t xml:space="preserve">AAACTCAGCAAAGTCATGACGGGT</t>
  </si>
  <si>
    <t xml:space="preserve">CTCGATGACAGGATCGCCTG</t>
  </si>
  <si>
    <t xml:space="preserve">TAGTCTCGATGACAGGATCGCCTG</t>
  </si>
  <si>
    <t xml:space="preserve">AAACCAGGCGATCCTGTCATCGAG</t>
  </si>
  <si>
    <t xml:space="preserve">CTTGCCAGTGCCCGAATTCA</t>
  </si>
  <si>
    <t xml:space="preserve">TAGTCTTGCCAGTGCCCGAATTCA</t>
  </si>
  <si>
    <t xml:space="preserve">AAACTGAATTCGGGCACTGGCAAG</t>
  </si>
  <si>
    <t xml:space="preserve">TTCGGCGACAACTGCTCAAT</t>
  </si>
  <si>
    <t xml:space="preserve">TAGTTTCGGCGACAACTGCTCAAT</t>
  </si>
  <si>
    <t xml:space="preserve">AAACATTGAGCAGTTGTCGCCGAA</t>
  </si>
  <si>
    <t xml:space="preserve">PSPPH_3648</t>
  </si>
  <si>
    <t xml:space="preserve">efp</t>
  </si>
  <si>
    <t xml:space="preserve">TCGAGACGGATCACGGTACC</t>
  </si>
  <si>
    <t xml:space="preserve">TAGTTCGAGACGGATCACGGTACC</t>
  </si>
  <si>
    <t xml:space="preserve">AAACGGTACCGTGATCCGTCTCGA</t>
  </si>
  <si>
    <t xml:space="preserve">TCAGCTTTCTGAACCAGCCA</t>
  </si>
  <si>
    <t xml:space="preserve">TAGTTCAGCTTTCTGAACCAGCCA</t>
  </si>
  <si>
    <t xml:space="preserve">AAACTGGCTGGTTCAGAAAGCTGA</t>
  </si>
  <si>
    <t xml:space="preserve">CGCGCTGTTACGACCGGATT</t>
  </si>
  <si>
    <t xml:space="preserve">TAGTCGCGCTGTTACGACCGGATT</t>
  </si>
  <si>
    <t xml:space="preserve">AAACAATCCGGTCGTAACAGCGCG</t>
  </si>
  <si>
    <t xml:space="preserve">GGTCAGCAGGTTTTTCAGCT</t>
  </si>
  <si>
    <t xml:space="preserve">TAGTGGTCAGCAGGTTTTTCAGCT</t>
  </si>
  <si>
    <t xml:space="preserve">AAACAGCTGAAAAACCTGCTGACC</t>
  </si>
  <si>
    <t xml:space="preserve">PSPPH_3649</t>
  </si>
  <si>
    <t xml:space="preserve">TGCCAGACGCCAGGTCACGC</t>
  </si>
  <si>
    <t xml:space="preserve">TAGTTGCCAGACGCCAGGTCACGC</t>
  </si>
  <si>
    <t xml:space="preserve">AAACGCGTGACCTGGCGTCTGGCA</t>
  </si>
  <si>
    <t xml:space="preserve">GCCCCTGCTCGGCAACCAGT</t>
  </si>
  <si>
    <t xml:space="preserve">TAGTGCCCCTGCTCGGCAACCAGT</t>
  </si>
  <si>
    <t xml:space="preserve">AAACACTGGTTGCCGAGCAGGGGC</t>
  </si>
  <si>
    <t xml:space="preserve">ACAGGCGAACGAAAGCCGAC</t>
  </si>
  <si>
    <t xml:space="preserve">TAGTACAGGCGAACGAAAGCCGAC</t>
  </si>
  <si>
    <t xml:space="preserve">AAACGTCGGCTTTCGTTCGCCTGT</t>
  </si>
  <si>
    <t xml:space="preserve">GAGCCTGAGGATCAGCGTTG</t>
  </si>
  <si>
    <t xml:space="preserve">TAGTGAGCCTGAGGATCAGCGTTG</t>
  </si>
  <si>
    <t xml:space="preserve">AAACCAACGCTGATCCTCAGGCTC</t>
  </si>
  <si>
    <t xml:space="preserve">PSPPH_3650</t>
  </si>
  <si>
    <t xml:space="preserve">ACGGCGGGTAGTGGATGACA</t>
  </si>
  <si>
    <t xml:space="preserve">TAGTACGGCGGGTAGTGGATGACA</t>
  </si>
  <si>
    <t xml:space="preserve">AAACTGTCATCCACTACCCGCCGT</t>
  </si>
  <si>
    <t xml:space="preserve">TCAATTTCAACGACACGTAC</t>
  </si>
  <si>
    <t xml:space="preserve">TAGTTCAATTTCAACGACACGTAC</t>
  </si>
  <si>
    <t xml:space="preserve">AAACGTACGTGTCGTTGAAATTGA</t>
  </si>
  <si>
    <t xml:space="preserve">TGCGCCCAGCCAGATACCCA</t>
  </si>
  <si>
    <t xml:space="preserve">TAGTTGCGCCCAGCCAGATACCCA</t>
  </si>
  <si>
    <t xml:space="preserve">AAACTGGGTATCTGGCTGGGCGCA</t>
  </si>
  <si>
    <t xml:space="preserve">GCTTTTGTAATACAGCAGGG</t>
  </si>
  <si>
    <t xml:space="preserve">TAGTGCTTTTGTAATACAGCAGGG</t>
  </si>
  <si>
    <t xml:space="preserve">AAACCCCTGCTGTATTACAAAAGC</t>
  </si>
  <si>
    <t xml:space="preserve">PSPPH_3651</t>
  </si>
  <si>
    <t xml:space="preserve">CAGCACGTCCTGCTTGTTCA</t>
  </si>
  <si>
    <t xml:space="preserve">TAGTCAGCACGTCCTGCTTGTTCA</t>
  </si>
  <si>
    <t xml:space="preserve">AAACTGAACAAGCAGGACGTGCTG</t>
  </si>
  <si>
    <t xml:space="preserve">GTGGGTTGCCGTTTCGTAGG</t>
  </si>
  <si>
    <t xml:space="preserve">TAGTGTGGGTTGCCGTTTCGTAGG</t>
  </si>
  <si>
    <t xml:space="preserve">AAACCCTACGAAACGGCAACCCAC</t>
  </si>
  <si>
    <t xml:space="preserve">CAGTGTGTCGTATTTGTTCT</t>
  </si>
  <si>
    <t xml:space="preserve">TAGTCAGTGTGTCGTATTTGTTCT</t>
  </si>
  <si>
    <t xml:space="preserve">AAACAGAACAAATACGACACACTG</t>
  </si>
  <si>
    <t xml:space="preserve">TCTCCTCGACACGTCGTGCC</t>
  </si>
  <si>
    <t xml:space="preserve">TAGTTCTCCTCGACACGTCGTGCC</t>
  </si>
  <si>
    <t xml:space="preserve">AAACGGCACGACGTGTCGAGGAGA</t>
  </si>
  <si>
    <t xml:space="preserve">PSPPH_3652</t>
  </si>
  <si>
    <t xml:space="preserve">GATCACGTTCATGGGCGTCA</t>
  </si>
  <si>
    <t xml:space="preserve">TAGTGATCACGTTCATGGGCGTCA</t>
  </si>
  <si>
    <t xml:space="preserve">AAACTGACGCCCATGAACGTGATC</t>
  </si>
  <si>
    <t xml:space="preserve">CCGGATCTTGACTGGACTTC</t>
  </si>
  <si>
    <t xml:space="preserve">TAGTCCGGATCTTGACTGGACTTC</t>
  </si>
  <si>
    <t xml:space="preserve">AAACGAAGTCCAGTCAAGATCCGG</t>
  </si>
  <si>
    <t xml:space="preserve">GCTGTCGCTCTTTCTTGTTC</t>
  </si>
  <si>
    <t xml:space="preserve">TAGTGCTGTCGCTCTTTCTTGTTC</t>
  </si>
  <si>
    <t xml:space="preserve">AAACGAACAAGAAAGAGCGACAGC</t>
  </si>
  <si>
    <t xml:space="preserve">CATGGCTGGTGGAACGCAGT</t>
  </si>
  <si>
    <t xml:space="preserve">TAGTCATGGCTGGTGGAACGCAGT</t>
  </si>
  <si>
    <t xml:space="preserve">AAACACTGCGTTCCACCAGCCATG</t>
  </si>
  <si>
    <t xml:space="preserve">PSPPH_3653</t>
  </si>
  <si>
    <t xml:space="preserve">TGCTCTCGGGAGCTACATCC</t>
  </si>
  <si>
    <t xml:space="preserve">TAGTTGCTCTCGGGAGCTACATCC</t>
  </si>
  <si>
    <t xml:space="preserve">AAACGGATGTAGCTCCCGAGAGCA</t>
  </si>
  <si>
    <t xml:space="preserve">GGTGTCATTACGGTTCCAAG</t>
  </si>
  <si>
    <t xml:space="preserve">TAGTGGTGTCATTACGGTTCCAAG</t>
  </si>
  <si>
    <t xml:space="preserve">AAACCTTGGAACCGTAATGACACC</t>
  </si>
  <si>
    <t xml:space="preserve">GAACAGTCCGAGCATCCAGG</t>
  </si>
  <si>
    <t xml:space="preserve">TAGTGAACAGTCCGAGCATCCAGG</t>
  </si>
  <si>
    <t xml:space="preserve">AAACCCTGGATGCTCGGACTGTTC</t>
  </si>
  <si>
    <t xml:space="preserve">GAACAGCGTACCTGCGCCAA</t>
  </si>
  <si>
    <t xml:space="preserve">TAGTGAACAGCGTACCTGCGCCAA</t>
  </si>
  <si>
    <t xml:space="preserve">AAACTTGGCGCAGGTACGCTGTTC</t>
  </si>
  <si>
    <t xml:space="preserve">PSPPH_3654</t>
  </si>
  <si>
    <t xml:space="preserve">GACGATACGTTGATGGGTTT</t>
  </si>
  <si>
    <t xml:space="preserve">TAGTGACGATACGTTGATGGGTTT</t>
  </si>
  <si>
    <t xml:space="preserve">AAACAAACCCATCAACGTATCGTC</t>
  </si>
  <si>
    <t xml:space="preserve">GCCATCGCGACGAAAGCGCA</t>
  </si>
  <si>
    <t xml:space="preserve">TAGTGCCATCGCGACGAAAGCGCA</t>
  </si>
  <si>
    <t xml:space="preserve">AAACTGCGCTTTCGTCGCGATGGC</t>
  </si>
  <si>
    <t xml:space="preserve">AAGCCTAGTGCCTTCATCAA</t>
  </si>
  <si>
    <t xml:space="preserve">TAGTAAGCCTAGTGCCTTCATCAA</t>
  </si>
  <si>
    <t xml:space="preserve">AAACTTGATGAAGGCACTAGGCTT</t>
  </si>
  <si>
    <t xml:space="preserve">ATGCGCGTAGAAACCGCCAT</t>
  </si>
  <si>
    <t xml:space="preserve">TAGTATGCGCGTAGAAACCGCCAT</t>
  </si>
  <si>
    <t xml:space="preserve">AAACATGGCGGTTTCTACGCGCAT</t>
  </si>
  <si>
    <t xml:space="preserve">PSPPH_3655</t>
  </si>
  <si>
    <t xml:space="preserve">GATCAAAGCACTGAAGATAC</t>
  </si>
  <si>
    <t xml:space="preserve">TAGTGATCAAAGCACTGAAGATAC</t>
  </si>
  <si>
    <t xml:space="preserve">AAACGTATCTTCAGTGCTTTGATC</t>
  </si>
  <si>
    <t xml:space="preserve">AACCGAGGCACTGGTAAGCA</t>
  </si>
  <si>
    <t xml:space="preserve">TAGTAACCGAGGCACTGGTAAGCA</t>
  </si>
  <si>
    <t xml:space="preserve">AAACTGCTTACCAGTGCCTCGGTT</t>
  </si>
  <si>
    <t xml:space="preserve">GGAGGAAGACGGTGCCGCAG</t>
  </si>
  <si>
    <t xml:space="preserve">TAGTGGAGGAAGACGGTGCCGCAG</t>
  </si>
  <si>
    <t xml:space="preserve">AAACCTGCGGCACCGTCTTCCTCC</t>
  </si>
  <si>
    <t xml:space="preserve">CATGGTGGCGGGCGACACGG</t>
  </si>
  <si>
    <t xml:space="preserve">TAGTCATGGTGGCGGGCGACACGG</t>
  </si>
  <si>
    <t xml:space="preserve">AAACCCGTGTCGCCCGCCACCATG</t>
  </si>
  <si>
    <t xml:space="preserve">PSPPH_3656</t>
  </si>
  <si>
    <t xml:space="preserve">GCGTGGTAGAGCCAGCAAAC</t>
  </si>
  <si>
    <t xml:space="preserve">TAGTGCGTGGTAGAGCCAGCAAAC</t>
  </si>
  <si>
    <t xml:space="preserve">AAACGTTTGCTGGCTCTACCACGC</t>
  </si>
  <si>
    <t xml:space="preserve">CCTGAATTATTCGCTTTTTG</t>
  </si>
  <si>
    <t xml:space="preserve">TAGTCCTGAATTATTCGCTTTTTG</t>
  </si>
  <si>
    <t xml:space="preserve">AAACCAAAAAGCGAATAATTCAGG</t>
  </si>
  <si>
    <t xml:space="preserve">AGCCAGGTATGTTTTTCCAA</t>
  </si>
  <si>
    <t xml:space="preserve">TAGTAGCCAGGTATGTTTTTCCAA</t>
  </si>
  <si>
    <t xml:space="preserve">AAACTTGGAAAAACATACCTGGCT</t>
  </si>
  <si>
    <t xml:space="preserve">AACAATGGGATAGCAGCCAG</t>
  </si>
  <si>
    <t xml:space="preserve">TAGTAACAATGGGATAGCAGCCAG</t>
  </si>
  <si>
    <t xml:space="preserve">AAACCTGGCTGCTATCCCATTGTT</t>
  </si>
  <si>
    <t xml:space="preserve">PSPPH_3657</t>
  </si>
  <si>
    <t xml:space="preserve">CGTCAGAAGCAGAGACACAA</t>
  </si>
  <si>
    <t xml:space="preserve">TAGTCGTCAGAAGCAGAGACACAA</t>
  </si>
  <si>
    <t xml:space="preserve">AAACTTGTGTCTCTGCTTCTGACG</t>
  </si>
  <si>
    <t xml:space="preserve">GTCGATCAAACTTCTGGCGA</t>
  </si>
  <si>
    <t xml:space="preserve">TAGTGTCGATCAAACTTCTGGCGA</t>
  </si>
  <si>
    <t xml:space="preserve">AAACTCGCCAGAAGTTTGATCGAC</t>
  </si>
  <si>
    <t xml:space="preserve">GAATGTGAGCTGCGGGCATT</t>
  </si>
  <si>
    <t xml:space="preserve">TAGTGAATGTGAGCTGCGGGCATT</t>
  </si>
  <si>
    <t xml:space="preserve">AAACAATGCCCGCAGCTCACATTC</t>
  </si>
  <si>
    <t xml:space="preserve">ACCGCCCCTGGGTGTAGGTG</t>
  </si>
  <si>
    <t xml:space="preserve">TAGTACCGCCCCTGGGTGTAGGTG</t>
  </si>
  <si>
    <t xml:space="preserve">AAACCACCTACACCCAGGGGCGGT</t>
  </si>
  <si>
    <t xml:space="preserve">PSPPH_3658</t>
  </si>
  <si>
    <t xml:space="preserve">GACCGGTGTGCTTGATCAAT</t>
  </si>
  <si>
    <t xml:space="preserve">TAGTGACCGGTGTGCTTGATCAAT</t>
  </si>
  <si>
    <t xml:space="preserve">AAACATTGATCAAGCACACCGGTC</t>
  </si>
  <si>
    <t xml:space="preserve">ACGTTCTGAAGAGCAGCTAT</t>
  </si>
  <si>
    <t xml:space="preserve">TAGTACGTTCTGAAGAGCAGCTAT</t>
  </si>
  <si>
    <t xml:space="preserve">AAACATAGCTGCTCTTCAGAACGT</t>
  </si>
  <si>
    <t xml:space="preserve">ATCAGACCATTGGTTATCCG</t>
  </si>
  <si>
    <t xml:space="preserve">TAGTATCAGACCATTGGTTATCCG</t>
  </si>
  <si>
    <t xml:space="preserve">AAACCGGATAACCAATGGTCTGAT</t>
  </si>
  <si>
    <t xml:space="preserve">ATGAATAACTACATGCGCCC</t>
  </si>
  <si>
    <t xml:space="preserve">TAGTATGAATAACTACATGCGCCC</t>
  </si>
  <si>
    <t xml:space="preserve">AAACGGGCGCATGTAGTTATTCAT</t>
  </si>
  <si>
    <t xml:space="preserve">PSPPH_3659</t>
  </si>
  <si>
    <t xml:space="preserve">GCACCATGATGAATAATTTC</t>
  </si>
  <si>
    <t xml:space="preserve">TAGTGCACCATGATGAATAATTTC</t>
  </si>
  <si>
    <t xml:space="preserve">AAACGAAATTATTCATCATGGTGC</t>
  </si>
  <si>
    <t xml:space="preserve">AGACATCCATACACAGTTGA</t>
  </si>
  <si>
    <t xml:space="preserve">TAGTAGACATCCATACACAGTTGA</t>
  </si>
  <si>
    <t xml:space="preserve">AAACTCAACTGTGTATGGATGTCT</t>
  </si>
  <si>
    <t xml:space="preserve">CCGAGCCGCAGTCGATCAAC</t>
  </si>
  <si>
    <t xml:space="preserve">TAGTCCGAGCCGCAGTCGATCAAC</t>
  </si>
  <si>
    <t xml:space="preserve">AAACGTTGATCGACTGCGGCTCGG</t>
  </si>
  <si>
    <t xml:space="preserve">GGGATCGAACCCGAACGAGG</t>
  </si>
  <si>
    <t xml:space="preserve">TAGTGGGATCGAACCCGAACGAGG</t>
  </si>
  <si>
    <t xml:space="preserve">AAACCCTCGTTCGGGTTCGATCCC</t>
  </si>
  <si>
    <t xml:space="preserve">PSPPH_3660</t>
  </si>
  <si>
    <t xml:space="preserve">CCGTGTTCGTTCTTGAAAAC</t>
  </si>
  <si>
    <t xml:space="preserve">TAGTCCGTGTTCGTTCTTGAAAAC</t>
  </si>
  <si>
    <t xml:space="preserve">AAACGTTTTCAAGAACGAACACGG</t>
  </si>
  <si>
    <t xml:space="preserve">CGCCGTGTTGCTTGCTGTTT</t>
  </si>
  <si>
    <t xml:space="preserve">TAGTCGCCGTGTTGCTTGCTGTTT</t>
  </si>
  <si>
    <t xml:space="preserve">AAACAAACAGCAAGCAACACGGCG</t>
  </si>
  <si>
    <t xml:space="preserve">PSPPH_3661</t>
  </si>
  <si>
    <t xml:space="preserve">ihfB</t>
  </si>
  <si>
    <t xml:space="preserve">GGATGAGAGCAGCCCTTGAT</t>
  </si>
  <si>
    <t xml:space="preserve">TAGTGGATGAGAGCAGCCCTTGAT</t>
  </si>
  <si>
    <t xml:space="preserve">AAACATCAAGGGCTGCTCTCATCC</t>
  </si>
  <si>
    <t xml:space="preserve">GATGGCCAGCTCGACATCCT</t>
  </si>
  <si>
    <t xml:space="preserve">TAGTGATGGCCAGCTCGACATCCT</t>
  </si>
  <si>
    <t xml:space="preserve">AAACAGGATGTCGAGCTGGCCATC</t>
  </si>
  <si>
    <t xml:space="preserve">CTGGGACATTTGTTCAAGCA</t>
  </si>
  <si>
    <t xml:space="preserve">TAGTCTGGGACATTTGTTCAAGCA</t>
  </si>
  <si>
    <t xml:space="preserve">AAACTGCTTGAACAAATGTCCCAG</t>
  </si>
  <si>
    <t xml:space="preserve">CAATTCGGTCACCGGTCGCC</t>
  </si>
  <si>
    <t xml:space="preserve">TAGTCAATTCGGTCACCGGTCGCC</t>
  </si>
  <si>
    <t xml:space="preserve">AAACGGCGACCGGTGACCGAATTG</t>
  </si>
  <si>
    <t xml:space="preserve">PSPPH_3662</t>
  </si>
  <si>
    <t xml:space="preserve">rpsA</t>
  </si>
  <si>
    <t xml:space="preserve">CCTGAAGGTTGAGGGTCTTT</t>
  </si>
  <si>
    <t xml:space="preserve">TAGTCCTGAAGGTTGAGGGTCTTT</t>
  </si>
  <si>
    <t xml:space="preserve">AAACAAAGACCCTCAACCTTCAGG</t>
  </si>
  <si>
    <t xml:space="preserve">GTCGATATCCACGATGATAG</t>
  </si>
  <si>
    <t xml:space="preserve">TAGTGTCGATATCCACGATGATAG</t>
  </si>
  <si>
    <t xml:space="preserve">AAACCTATCATCGTGGATATCGAC</t>
  </si>
  <si>
    <t xml:space="preserve">GAACCGTAACCCAACCTGCC</t>
  </si>
  <si>
    <t xml:space="preserve">TAGTGAACCGTAACCCAACCTGCC</t>
  </si>
  <si>
    <t xml:space="preserve">AAACGGCAGGTTGGGTTACGGTTC</t>
  </si>
  <si>
    <t xml:space="preserve">GAGGCCTTCAGATTTCAGAC</t>
  </si>
  <si>
    <t xml:space="preserve">TAGTGAGGCCTTCAGATTTCAGAC</t>
  </si>
  <si>
    <t xml:space="preserve">AAACGTCTGAAATCTGAAGGCCTC</t>
  </si>
  <si>
    <t xml:space="preserve">PSPPH_3663</t>
  </si>
  <si>
    <t xml:space="preserve">cmk</t>
  </si>
  <si>
    <t xml:space="preserve">GGTCCGTCGATGGTGATAAC</t>
  </si>
  <si>
    <t xml:space="preserve">TAGTGGTCCGTCGATGGTGATAAC</t>
  </si>
  <si>
    <t xml:space="preserve">AAACGTTATCACCATCGACGGACC</t>
  </si>
  <si>
    <t xml:space="preserve">GTGCCCTTTCCGGAACCGCT</t>
  </si>
  <si>
    <t xml:space="preserve">TAGTGTGCCCTTTCCGGAACCGCT</t>
  </si>
  <si>
    <t xml:space="preserve">AAACAGCGGTTCCGGAAAGGGCAC</t>
  </si>
  <si>
    <t xml:space="preserve">GAGTTTTCTGGCCAGCAACC</t>
  </si>
  <si>
    <t xml:space="preserve">TAGTGAGTTTTCTGGCCAGCAACC</t>
  </si>
  <si>
    <t xml:space="preserve">AAACGGTTGCTGGCCAGAAAACTC</t>
  </si>
  <si>
    <t xml:space="preserve">ACAGCGCACCGGAATCAAGC</t>
  </si>
  <si>
    <t xml:space="preserve">TAGTACAGCGCACCGGAATCAAGC</t>
  </si>
  <si>
    <t xml:space="preserve">AAACGCTTGATTCCGGTGCGCTGT</t>
  </si>
  <si>
    <t xml:space="preserve">PSPPH_3664</t>
  </si>
  <si>
    <t xml:space="preserve">CGCCCAAGGCAGACCACAAC</t>
  </si>
  <si>
    <t xml:space="preserve">TAGTCGCCCAAGGCAGACCACAAC</t>
  </si>
  <si>
    <t xml:space="preserve">AAACGTTGTGGTCTGCCTTGGGCG</t>
  </si>
  <si>
    <t xml:space="preserve">GACCTGCATGTGCTCGACAT</t>
  </si>
  <si>
    <t xml:space="preserve">TAGTGACCTGCATGTGCTCGACAT</t>
  </si>
  <si>
    <t xml:space="preserve">AAACATGTCGAGCACATGCAGGTC</t>
  </si>
  <si>
    <t xml:space="preserve">CAGCAAATGCGGCAGATGGC</t>
  </si>
  <si>
    <t xml:space="preserve">TAGTCAGCAAATGCGGCAGATGGC</t>
  </si>
  <si>
    <t xml:space="preserve">AAACGCCATCTGCCGCATTTGCTG</t>
  </si>
  <si>
    <t xml:space="preserve">GTCCAGGTTTTCATTACGCT</t>
  </si>
  <si>
    <t xml:space="preserve">TAGTGTCCAGGTTTTCATTACGCT</t>
  </si>
  <si>
    <t xml:space="preserve">AAACAGCGTAATGAAAACCTGGAC</t>
  </si>
  <si>
    <t xml:space="preserve">PSPPH_3665</t>
  </si>
  <si>
    <t xml:space="preserve">pheA</t>
  </si>
  <si>
    <t xml:space="preserve">AAGCGCCTTGAGTTCTTGCT</t>
  </si>
  <si>
    <t xml:space="preserve">TAGTAAGCGCCTTGAGTTCTTGCT</t>
  </si>
  <si>
    <t xml:space="preserve">AAACAGCAAGAACTCAAGGCGCTT</t>
  </si>
  <si>
    <t xml:space="preserve">TCTCATCGAGGCTGTCGATA</t>
  </si>
  <si>
    <t xml:space="preserve">TAGTTCTCATCGAGGCTGTCGATA</t>
  </si>
  <si>
    <t xml:space="preserve">AAACTATCGACAGCCTCGATGAGA</t>
  </si>
  <si>
    <t xml:space="preserve">GGCCACTTCCTGGGCGCAGC</t>
  </si>
  <si>
    <t xml:space="preserve">TAGTGGCCACTTCCTGGGCGCAGC</t>
  </si>
  <si>
    <t xml:space="preserve">AAACGCTGCGCCCAGGAAGTGGCC</t>
  </si>
  <si>
    <t xml:space="preserve">CACTTCACCTTCGGCCAGCG</t>
  </si>
  <si>
    <t xml:space="preserve">TAGTCACTTCACCTTCGGCCAGCG</t>
  </si>
  <si>
    <t xml:space="preserve">AAACCGCTGGCCGAAGGTGAAGTG</t>
  </si>
  <si>
    <t xml:space="preserve">PSPPH_3666</t>
  </si>
  <si>
    <t xml:space="preserve">serC</t>
  </si>
  <si>
    <t xml:space="preserve">GGTCTGTACGCGCTTGTTTC</t>
  </si>
  <si>
    <t xml:space="preserve">TAGTGGTCTGTACGCGCTTGTTTC</t>
  </si>
  <si>
    <t xml:space="preserve">AAACGAAACAAGCGCGTACAGACC</t>
  </si>
  <si>
    <t xml:space="preserve">CCACTCTCGTCAAATACGTT</t>
  </si>
  <si>
    <t xml:space="preserve">TAGTCCACTCTCGTCAAATACGTT</t>
  </si>
  <si>
    <t xml:space="preserve">AAACAACGTATTTGACGAGAGTGG</t>
  </si>
  <si>
    <t xml:space="preserve">AGGACCTGCGCAGAAGTTAA</t>
  </si>
  <si>
    <t xml:space="preserve">TAGTAGGACCTGCGCAGAAGTTAA</t>
  </si>
  <si>
    <t xml:space="preserve">AAACTTAACTTCTGCGCAGGTCCT</t>
  </si>
  <si>
    <t xml:space="preserve">CCAGTCGAGGAGTTCCGCCT</t>
  </si>
  <si>
    <t xml:space="preserve">TAGTCCAGTCGAGGAGTTCCGCCT</t>
  </si>
  <si>
    <t xml:space="preserve">AAACAGGCGGAACTCCTCGACTGG</t>
  </si>
  <si>
    <t xml:space="preserve">PSPPH_3667</t>
  </si>
  <si>
    <t xml:space="preserve">gyrA</t>
  </si>
  <si>
    <t xml:space="preserve">ATTGACCGGGAGGATTTCTT</t>
  </si>
  <si>
    <t xml:space="preserve">TAGTATTGACCGGGAGGATTTCTT</t>
  </si>
  <si>
    <t xml:space="preserve">AAACAAGAAATCCTCCCGGTCAAT</t>
  </si>
  <si>
    <t xml:space="preserve">GCTCATCGCGTAGTCGAGGT</t>
  </si>
  <si>
    <t xml:space="preserve">TAGTGCTCATCGCGTAGTCGAGGT</t>
  </si>
  <si>
    <t xml:space="preserve">AAACACCTCGACTACGCGATGAGC</t>
  </si>
  <si>
    <t xml:space="preserve">CTTCAAGCCGTCGCGCGCAT</t>
  </si>
  <si>
    <t xml:space="preserve">TAGTCTTCAAGCCGTCGCGCGCAT</t>
  </si>
  <si>
    <t xml:space="preserve">AAACATGCGCGCGACGGCTTGAAG</t>
  </si>
  <si>
    <t xml:space="preserve">AACAACACGCGCCGGTGCAC</t>
  </si>
  <si>
    <t xml:space="preserve">TAGTAACAACACGCGCCGGTGCAC</t>
  </si>
  <si>
    <t xml:space="preserve">AAACGTGCACCGGCGCGTGTTGTT</t>
  </si>
  <si>
    <t xml:space="preserve">PSPPH_3668</t>
  </si>
  <si>
    <t xml:space="preserve">AGCGTCGTCTCGCCAATCGA</t>
  </si>
  <si>
    <t xml:space="preserve">TAGTAGCGTCGTCTCGCCAATCGA</t>
  </si>
  <si>
    <t xml:space="preserve">AAACTCGATTGGCGAGACGACGCT</t>
  </si>
  <si>
    <t xml:space="preserve">GCAGTACCCGCTGGTCCAGC</t>
  </si>
  <si>
    <t xml:space="preserve">TAGTGCAGTACCCGCTGGTCCAGC</t>
  </si>
  <si>
    <t xml:space="preserve">AAACGCTGGACCAGCGGGTACTGC</t>
  </si>
  <si>
    <t xml:space="preserve">CGGTGCCAGACTTCCTCGAA</t>
  </si>
  <si>
    <t xml:space="preserve">TAGTCGGTGCCAGACTTCCTCGAA</t>
  </si>
  <si>
    <t xml:space="preserve">AAACTTCGAGGAAGTCTGGCACCG</t>
  </si>
  <si>
    <t xml:space="preserve">CTCCCTCGGCGGTGGTATAG</t>
  </si>
  <si>
    <t xml:space="preserve">TAGTCTCCCTCGGCGGTGGTATAG</t>
  </si>
  <si>
    <t xml:space="preserve">AAACCTATACCACCGCCGAGGGAG</t>
  </si>
  <si>
    <t xml:space="preserve">PSPPH_3669</t>
  </si>
  <si>
    <t xml:space="preserve">GGCAGGAGCAAAAGGTCGAG</t>
  </si>
  <si>
    <t xml:space="preserve">TAGTGGCAGGAGCAAAAGGTCGAG</t>
  </si>
  <si>
    <t xml:space="preserve">AAACCTCGACCTTTTGCTCCTGCC</t>
  </si>
  <si>
    <t xml:space="preserve">TCGACCGGCACCAGCCAGGC</t>
  </si>
  <si>
    <t xml:space="preserve">TAGTTCGACCGGCACCAGCCAGGC</t>
  </si>
  <si>
    <t xml:space="preserve">AAACGCCTGGCTGGTGCCGGTCGA</t>
  </si>
  <si>
    <t xml:space="preserve">TCCTTGAGCACCACGCCTGC</t>
  </si>
  <si>
    <t xml:space="preserve">TAGTTCCTTGAGCACCACGCCTGC</t>
  </si>
  <si>
    <t xml:space="preserve">AAACGCAGGCGTGGTGCTCAAGGA</t>
  </si>
  <si>
    <t xml:space="preserve">CGTCGCGCACGCCGATGCCG</t>
  </si>
  <si>
    <t xml:space="preserve">TAGTCGTCGCGCACGCCGATGCCG</t>
  </si>
  <si>
    <t xml:space="preserve">AAACCGGCATCGGCGTGCGCGACG</t>
  </si>
  <si>
    <t xml:space="preserve">PSPPH_3670</t>
  </si>
  <si>
    <t xml:space="preserve">ubiG</t>
  </si>
  <si>
    <t xml:space="preserve">GCGCGGTCGACGTTGCTCAT</t>
  </si>
  <si>
    <t xml:space="preserve">TAGTGCGCGGTCGACGTTGCTCAT</t>
  </si>
  <si>
    <t xml:space="preserve">AAACATGAGCAACGTCGACCGCGC</t>
  </si>
  <si>
    <t xml:space="preserve">GTCCCACCAGCGATGGGCCA</t>
  </si>
  <si>
    <t xml:space="preserve">TAGTGTCCCACCAGCGATGGGCCA</t>
  </si>
  <si>
    <t xml:space="preserve">AAACTGGCCCATCGCTGGTGGGAC</t>
  </si>
  <si>
    <t xml:space="preserve">GCGGCTTGAATTCGCTTTCG</t>
  </si>
  <si>
    <t xml:space="preserve">TAGTGCGGCTTGAATTCGCTTTCG</t>
  </si>
  <si>
    <t xml:space="preserve">AAACCGAAAGCGAATTCAAGCCGC</t>
  </si>
  <si>
    <t xml:space="preserve">TCGATCCAGTTGACGCGCAG</t>
  </si>
  <si>
    <t xml:space="preserve">TAGTTCGATCCAGTTGACGCGCAG</t>
  </si>
  <si>
    <t xml:space="preserve">AAACCTGCGCGTCAACTGGATCGA</t>
  </si>
  <si>
    <t xml:space="preserve">PSPPH_3671</t>
  </si>
  <si>
    <t xml:space="preserve">gph2</t>
  </si>
  <si>
    <t xml:space="preserve">TGTCGAATAAAACCGCTCTC</t>
  </si>
  <si>
    <t xml:space="preserve">TAGTTGTCGAATAAAACCGCTCTC</t>
  </si>
  <si>
    <t xml:space="preserve">AAACGAGAGCGGTTTTATTCGACA</t>
  </si>
  <si>
    <t xml:space="preserve">GTCCGGTGCGGTGTCGAGCA</t>
  </si>
  <si>
    <t xml:space="preserve">TAGTGTCCGGTGCGGTGTCGAGCA</t>
  </si>
  <si>
    <t xml:space="preserve">AAACTGCTCGACACCGCACCGGAC</t>
  </si>
  <si>
    <t xml:space="preserve">GGCCAGCATTGCCTGGGCAA</t>
  </si>
  <si>
    <t xml:space="preserve">TAGTGGCCAGCATTGCCTGGGCAA</t>
  </si>
  <si>
    <t xml:space="preserve">AAACTTGCCCAGGCAATGCTGGCC</t>
  </si>
  <si>
    <t xml:space="preserve">TACCGCAGGCAGGTTGCGGT</t>
  </si>
  <si>
    <t xml:space="preserve">TAGTTACCGCAGGCAGGTTGCGGT</t>
  </si>
  <si>
    <t xml:space="preserve">AAACACCGCAACCTGCCTGCGGTA</t>
  </si>
  <si>
    <t xml:space="preserve">PSPPH_3672</t>
  </si>
  <si>
    <t xml:space="preserve">TCCGGCCCTTGAGCAGTTCC</t>
  </si>
  <si>
    <t xml:space="preserve">TAGTTCCGGCCCTTGAGCAGTTCC</t>
  </si>
  <si>
    <t xml:space="preserve">AAACGGAACTGCTCAAGGGCCGGA</t>
  </si>
  <si>
    <t xml:space="preserve">TGCAGCACCGATGCCGCGAG</t>
  </si>
  <si>
    <t xml:space="preserve">TAGTTGCAGCACCGATGCCGCGAG</t>
  </si>
  <si>
    <t xml:space="preserve">AAACCTCGCGGCATCGGTGCTGCA</t>
  </si>
  <si>
    <t xml:space="preserve">ATGCGCTGCGTAGGTTTTTG</t>
  </si>
  <si>
    <t xml:space="preserve">TAGTATGCGCTGCGTAGGTTTTTG</t>
  </si>
  <si>
    <t xml:space="preserve">AAACCAAAAACCTACGCAGCGCAT</t>
  </si>
  <si>
    <t xml:space="preserve">GTCATGGACCTGAGCCAGGC</t>
  </si>
  <si>
    <t xml:space="preserve">TAGTGTCATGGACCTGAGCCAGGC</t>
  </si>
  <si>
    <t xml:space="preserve">AAACGCCTGGCTCAGGTCCATGAC</t>
  </si>
  <si>
    <t xml:space="preserve">PSPPH_3673</t>
  </si>
  <si>
    <t xml:space="preserve">TCGATTGCATGGGTCTGGGT</t>
  </si>
  <si>
    <t xml:space="preserve">TAGTTCGATTGCATGGGTCTGGGT</t>
  </si>
  <si>
    <t xml:space="preserve">AAACACCCAGACCCATGCAATCGA</t>
  </si>
  <si>
    <t xml:space="preserve">CGGGTCGATTTCGAAAACCC</t>
  </si>
  <si>
    <t xml:space="preserve">TAGTCGGGTCGATTTCGAAAACCC</t>
  </si>
  <si>
    <t xml:space="preserve">AAACGGGTTTTCGAAATCGACCCG</t>
  </si>
  <si>
    <t xml:space="preserve">CGGGGGTGGAAGTATGGCGT</t>
  </si>
  <si>
    <t xml:space="preserve">TAGTCGGGGGTGGAAGTATGGCGT</t>
  </si>
  <si>
    <t xml:space="preserve">AAACACGCCATACTTCCACCCCCG</t>
  </si>
  <si>
    <t xml:space="preserve">TAAACCAGCTCGGGCAGTGA</t>
  </si>
  <si>
    <t xml:space="preserve">TAGTTAAACCAGCTCGGGCAGTGA</t>
  </si>
  <si>
    <t xml:space="preserve">AAACTCACTGCCCGAGCTGGTTTA</t>
  </si>
  <si>
    <t xml:space="preserve">PSPPH_3674</t>
  </si>
  <si>
    <t xml:space="preserve">CTCTCGAAAGTGTCGATCAC</t>
  </si>
  <si>
    <t xml:space="preserve">TAGTCTCTCGAAAGTGTCGATCAC</t>
  </si>
  <si>
    <t xml:space="preserve">AAACGTGATCGACACTTTCGAGAG</t>
  </si>
  <si>
    <t xml:space="preserve">TAACTGCTGGCTTCCATGAG</t>
  </si>
  <si>
    <t xml:space="preserve">TAGTTAACTGCTGGCTTCCATGAG</t>
  </si>
  <si>
    <t xml:space="preserve">AAACCTCATGGAAGCCAGCAGTTA</t>
  </si>
  <si>
    <t xml:space="preserve">ATCAACTGCTGCGCCCAGGC</t>
  </si>
  <si>
    <t xml:space="preserve">TAGTATCAACTGCTGCGCCCAGGC</t>
  </si>
  <si>
    <t xml:space="preserve">AAACGCCTGGGCGCAGCAGTTGAT</t>
  </si>
  <si>
    <t xml:space="preserve">GCTTCGCGTCACGCATCTGC</t>
  </si>
  <si>
    <t xml:space="preserve">TAGTGCTTCGCGTCACGCATCTGC</t>
  </si>
  <si>
    <t xml:space="preserve">AAACGCAGATGCGTGACGCGAAGC</t>
  </si>
  <si>
    <t xml:space="preserve">PSPPH_3675</t>
  </si>
  <si>
    <t xml:space="preserve">AAGGTCCATGGTTGTTTCAT</t>
  </si>
  <si>
    <t xml:space="preserve">TAGTAAGGTCCATGGTTGTTTCAT</t>
  </si>
  <si>
    <t xml:space="preserve">AAACATGAAACAACCATGGACCTT</t>
  </si>
  <si>
    <t xml:space="preserve">GATGCCCAACAGACGGGGCT</t>
  </si>
  <si>
    <t xml:space="preserve">TAGTGATGCCCAACAGACGGGGCT</t>
  </si>
  <si>
    <t xml:space="preserve">AAACAGCCCCGTCTGTTGGGCATC</t>
  </si>
  <si>
    <t xml:space="preserve">AACAGCGCGACGGCAATGAA</t>
  </si>
  <si>
    <t xml:space="preserve">TAGTAACAGCGCGACGGCAATGAA</t>
  </si>
  <si>
    <t xml:space="preserve">AAACTTCATTGCCGTCGCGCTGTT</t>
  </si>
  <si>
    <t xml:space="preserve">GCACCGCAGACATGGTGTAG</t>
  </si>
  <si>
    <t xml:space="preserve">TAGTGCACCGCAGACATGGTGTAG</t>
  </si>
  <si>
    <t xml:space="preserve">AAACCTACACCATGTCTGCGGTGC</t>
  </si>
  <si>
    <t xml:space="preserve">PSPPH_3676</t>
  </si>
  <si>
    <t xml:space="preserve">TGCGACTGCCGGGCGGCATC</t>
  </si>
  <si>
    <t xml:space="preserve">TAGTTGCGACTGCCGGGCGGCATC</t>
  </si>
  <si>
    <t xml:space="preserve">AAACGATGCCGCCCGGCAGTCGCA</t>
  </si>
  <si>
    <t xml:space="preserve">ACTCAACGCATCGCCATGCT</t>
  </si>
  <si>
    <t xml:space="preserve">TAGTACTCAACGCATCGCCATGCT</t>
  </si>
  <si>
    <t xml:space="preserve">AAACAGCATGGCGATGCGTTGAGT</t>
  </si>
  <si>
    <t xml:space="preserve">CAACGCAAGACGCCGGATCT</t>
  </si>
  <si>
    <t xml:space="preserve">TAGTCAACGCAAGACGCCGGATCT</t>
  </si>
  <si>
    <t xml:space="preserve">AAACAGATCCGGCGTCTTGCGTTG</t>
  </si>
  <si>
    <t xml:space="preserve">GACACCATTGGCCAGCCACA</t>
  </si>
  <si>
    <t xml:space="preserve">TAGTGACACCATTGGCCAGCCACA</t>
  </si>
  <si>
    <t xml:space="preserve">AAACTGTGGCTGGCCAATGGTGTC</t>
  </si>
  <si>
    <t xml:space="preserve">PSPPH_3677</t>
  </si>
  <si>
    <t xml:space="preserve">ATAGATCAGGCGGGCAGACA</t>
  </si>
  <si>
    <t xml:space="preserve">TAGTATAGATCAGGCGGGCAGACA</t>
  </si>
  <si>
    <t xml:space="preserve">AAACTGTCTGCCCGCCTGATCTAT</t>
  </si>
  <si>
    <t xml:space="preserve">CCCAGCACCAGGAGCACATA</t>
  </si>
  <si>
    <t xml:space="preserve">TAGTCCCAGCACCAGGAGCACATA</t>
  </si>
  <si>
    <t xml:space="preserve">AAACTATGTGCTCCTGGTGCTGGG</t>
  </si>
  <si>
    <t xml:space="preserve">TGCACCAACGCGTCGGCAAC</t>
  </si>
  <si>
    <t xml:space="preserve">TAGTTGCACCAACGCGTCGGCAAC</t>
  </si>
  <si>
    <t xml:space="preserve">AAACGTTGCCGACGCGTTGGTGCA</t>
  </si>
  <si>
    <t xml:space="preserve">CCGCCCATGACCAGATGCAG</t>
  </si>
  <si>
    <t xml:space="preserve">TAGTCCGCCCATGACCAGATGCAG</t>
  </si>
  <si>
    <t xml:space="preserve">AAACCTGCATCTGGTCATGGGCGG</t>
  </si>
  <si>
    <t xml:space="preserve">PSPPH_3678</t>
  </si>
  <si>
    <t xml:space="preserve">ACGACGATCGGCTGAGTCAT</t>
  </si>
  <si>
    <t xml:space="preserve">TAGTACGACGATCGGCTGAGTCAT</t>
  </si>
  <si>
    <t xml:space="preserve">AAACATGACTCAGCCGATCGTCGT</t>
  </si>
  <si>
    <t xml:space="preserve">GGTGACGAACTTGTACAGCG</t>
  </si>
  <si>
    <t xml:space="preserve">TAGTGGTGACGAACTTGTACAGCG</t>
  </si>
  <si>
    <t xml:space="preserve">AAACCGCTGTACAAGTTCGTCACC</t>
  </si>
  <si>
    <t xml:space="preserve">CAGTTCCACGTAATCGCTGA</t>
  </si>
  <si>
    <t xml:space="preserve">TAGTCAGTTCCACGTAATCGCTGA</t>
  </si>
  <si>
    <t xml:space="preserve">AAACTCAGCGATTACGTGGAACTG</t>
  </si>
  <si>
    <t xml:space="preserve">TCGACCATCGCCTGCAATAG</t>
  </si>
  <si>
    <t xml:space="preserve">TAGTTCGACCATCGCCTGCAATAG</t>
  </si>
  <si>
    <t xml:space="preserve">AAACCTATTGCAGGCGATGGTCGA</t>
  </si>
  <si>
    <t xml:space="preserve">PSPPH_3679</t>
  </si>
  <si>
    <t xml:space="preserve">bolA</t>
  </si>
  <si>
    <t xml:space="preserve">GATTCGTTGTTGCATGGTCA</t>
  </si>
  <si>
    <t xml:space="preserve">TAGTGATTCGTTGTTGCATGGTCA</t>
  </si>
  <si>
    <t xml:space="preserve">AAACTGACCATGCAACAACGAATC</t>
  </si>
  <si>
    <t xml:space="preserve">TCGAGCACTTGCAGATGGTG</t>
  </si>
  <si>
    <t xml:space="preserve">TAGTTCGAGCACTTGCAGATGGTG</t>
  </si>
  <si>
    <t xml:space="preserve">AAACCACCATCTGCAAGTGCTCGA</t>
  </si>
  <si>
    <t xml:space="preserve">GCTGACCACGACTATGCATG</t>
  </si>
  <si>
    <t xml:space="preserve">TAGTGCTGACCACGACTATGCATG</t>
  </si>
  <si>
    <t xml:space="preserve">AAACCATGCATAGTCGTGGTCAGC</t>
  </si>
  <si>
    <t xml:space="preserve">GACCAGAACAGCCTTGTAAT</t>
  </si>
  <si>
    <t xml:space="preserve">TAGTGACCAGAACAGCCTTGTAAT</t>
  </si>
  <si>
    <t xml:space="preserve">AAACATTACAAGGCTGTTCTGGTC</t>
  </si>
  <si>
    <t xml:space="preserve">PSPPH_3680</t>
  </si>
  <si>
    <t xml:space="preserve">GGTACAAATGGCACGAAGAC</t>
  </si>
  <si>
    <t xml:space="preserve">TAGTGGTACAAATGGCACGAAGAC</t>
  </si>
  <si>
    <t xml:space="preserve">AAACGTCTTCGTGCCATTTGTACC</t>
  </si>
  <si>
    <t xml:space="preserve">GGCACAGACCAGGGCTACCG</t>
  </si>
  <si>
    <t xml:space="preserve">TAGTGGCACAGACCAGGGCTACCG</t>
  </si>
  <si>
    <t xml:space="preserve">AAACCGGTAGCCCTGGTCTGTGCC</t>
  </si>
  <si>
    <t xml:space="preserve">GTCGGCGAAGACCTGGCCGC</t>
  </si>
  <si>
    <t xml:space="preserve">TAGTGTCGGCGAAGACCTGGCCGC</t>
  </si>
  <si>
    <t xml:space="preserve">AAACGCGGCCAGGTCTTCGCCGAC</t>
  </si>
  <si>
    <t xml:space="preserve">GGCGCTCGCGTTGTGACTGG</t>
  </si>
  <si>
    <t xml:space="preserve">TAGTGGCGCTCGCGTTGTGACTGG</t>
  </si>
  <si>
    <t xml:space="preserve">AAACCCAGTCACAACGCGAGCGCC</t>
  </si>
  <si>
    <t xml:space="preserve">PSPPH_3681</t>
  </si>
  <si>
    <t xml:space="preserve">fumC1</t>
  </si>
  <si>
    <t xml:space="preserve">CAATGCTGTCGGTTTCGGTG</t>
  </si>
  <si>
    <t xml:space="preserve">TAGTCAATGCTGTCGGTTTCGGTG</t>
  </si>
  <si>
    <t xml:space="preserve">AAACCACCGAAACCGACAGCATTG</t>
  </si>
  <si>
    <t xml:space="preserve">CATCTTCGGGGACTTCGATC</t>
  </si>
  <si>
    <t xml:space="preserve">TAGTCATCTTCGGGGACTTCGATC</t>
  </si>
  <si>
    <t xml:space="preserve">AAACGATCGAAGTCCCCGAAGATG</t>
  </si>
  <si>
    <t xml:space="preserve">TTGGGTCTGCGCGCCCCAGT</t>
  </si>
  <si>
    <t xml:space="preserve">TAGTTTGGGTCTGCGCGCCCCAGT</t>
  </si>
  <si>
    <t xml:space="preserve">AAACACTGGGGCGCGCAGACCCAA</t>
  </si>
  <si>
    <t xml:space="preserve">AGCGCGTGCAGAACGGGCAG</t>
  </si>
  <si>
    <t xml:space="preserve">TAGTAGCGCGTGCAGAACGGGCAG</t>
  </si>
  <si>
    <t xml:space="preserve">AAACCTGCCCGTTCTGCACGCGCT</t>
  </si>
  <si>
    <t xml:space="preserve">PSPPH_3682</t>
  </si>
  <si>
    <t xml:space="preserve">CAGTGGCGTTGCGCCGCTTC</t>
  </si>
  <si>
    <t xml:space="preserve">TAGTCAGTGGCGTTGCGCCGCTTC</t>
  </si>
  <si>
    <t xml:space="preserve">AAACGAAGCGGCGCAACGCCACTG</t>
  </si>
  <si>
    <t xml:space="preserve">TGGGAGAGGCTGATGGCTTT</t>
  </si>
  <si>
    <t xml:space="preserve">TAGTTGGGAGAGGCTGATGGCTTT</t>
  </si>
  <si>
    <t xml:space="preserve">AAACAAAGCCATCAGCCTCTCCCA</t>
  </si>
  <si>
    <t xml:space="preserve">CATAGGCTTCGCCAAGGGCA</t>
  </si>
  <si>
    <t xml:space="preserve">TAGTCATAGGCTTCGCCAAGGGCA</t>
  </si>
  <si>
    <t xml:space="preserve">AAACTGCCCTTGGCGAAGCCTATG</t>
  </si>
  <si>
    <t xml:space="preserve">TCGTAGCCGTTGTGCAGAAT</t>
  </si>
  <si>
    <t xml:space="preserve">TAGTTCGTAGCCGTTGTGCAGAAT</t>
  </si>
  <si>
    <t xml:space="preserve">AAACATTCTGCACAACGGCTACGA</t>
  </si>
  <si>
    <t xml:space="preserve">PSPPH_3683</t>
  </si>
  <si>
    <t xml:space="preserve">CAGTCAACAGCGACAGACAA</t>
  </si>
  <si>
    <t xml:space="preserve">TAGTCAGTCAACAGCGACAGACAA</t>
  </si>
  <si>
    <t xml:space="preserve">AAACTTGTCTGTCGCTGTTGACTG</t>
  </si>
  <si>
    <t xml:space="preserve">AGAACCTGCTTGAGCTTGAT</t>
  </si>
  <si>
    <t xml:space="preserve">TAGTAGAACCTGCTTGAGCTTGAT</t>
  </si>
  <si>
    <t xml:space="preserve">AAACATCAAGCTCAAGCAGGTTCT</t>
  </si>
  <si>
    <t xml:space="preserve">GAAACCAGGTCACAGTGACA</t>
  </si>
  <si>
    <t xml:space="preserve">TAGTGAAACCAGGTCACAGTGACA</t>
  </si>
  <si>
    <t xml:space="preserve">AAACTGTCACTGTGACCTGGTTTC</t>
  </si>
  <si>
    <t xml:space="preserve">ACAGCGCGCCGGAAACAGCC</t>
  </si>
  <si>
    <t xml:space="preserve">TAGTACAGCGCGCCGGAAACAGCC</t>
  </si>
  <si>
    <t xml:space="preserve">AAACGGCTGTTTCCGGCGCGCTGT</t>
  </si>
  <si>
    <t xml:space="preserve">PSPPH_3684</t>
  </si>
  <si>
    <t xml:space="preserve">CAACGTTTACAGCGGGCGCG</t>
  </si>
  <si>
    <t xml:space="preserve">TAGTCAACGTTTACAGCGGGCGCG</t>
  </si>
  <si>
    <t xml:space="preserve">AAACCGCGCCCGCTGTAAACGTTG</t>
  </si>
  <si>
    <t xml:space="preserve">GACAGTGCGGGACGGGACGC</t>
  </si>
  <si>
    <t xml:space="preserve">TAGTGACAGTGCGGGACGGGACGC</t>
  </si>
  <si>
    <t xml:space="preserve">AAACGCGTCCCGTCCCGCACTGTC</t>
  </si>
  <si>
    <t xml:space="preserve">GCTGTCCAGTTGCGGAATCA</t>
  </si>
  <si>
    <t xml:space="preserve">TAGTGCTGTCCAGTTGCGGAATCA</t>
  </si>
  <si>
    <t xml:space="preserve">AAACTGATTCCGCAACTGGACAGC</t>
  </si>
  <si>
    <t xml:space="preserve">GCAGGATCAACACTCGCGTG</t>
  </si>
  <si>
    <t xml:space="preserve">TAGTGCAGGATCAACACTCGCGTG</t>
  </si>
  <si>
    <t xml:space="preserve">AAACCACGCGAGTGTTGATCCTGC</t>
  </si>
  <si>
    <t xml:space="preserve">PSPPH_3685</t>
  </si>
  <si>
    <t xml:space="preserve">AAAAGCCAGGTCGATGAAGG</t>
  </si>
  <si>
    <t xml:space="preserve">TAGTAAAAGCCAGGTCGATGAAGG</t>
  </si>
  <si>
    <t xml:space="preserve">AAACCCTTCATCGACCTGGCTTTT</t>
  </si>
  <si>
    <t xml:space="preserve">CGTCCCCCAGCGCCGCGAAC</t>
  </si>
  <si>
    <t xml:space="preserve">TAGTCGTCCCCCAGCGCCGCGAAC</t>
  </si>
  <si>
    <t xml:space="preserve">AAACGTTCGCGGCGCTGGGGGACG</t>
  </si>
  <si>
    <t xml:space="preserve">GCCTGTTCCTTGATCTGATC</t>
  </si>
  <si>
    <t xml:space="preserve">TAGTGCCTGTTCCTTGATCTGATC</t>
  </si>
  <si>
    <t xml:space="preserve">AAACGATCAGATCAAGGAACAGGC</t>
  </si>
  <si>
    <t xml:space="preserve">GAAGTCCTCGGGATTTGTGA</t>
  </si>
  <si>
    <t xml:space="preserve">TAGTGAAGTCCTCGGGATTTGTGA</t>
  </si>
  <si>
    <t xml:space="preserve">AAACTCACAAATCCCGAGGACTTC</t>
  </si>
  <si>
    <t xml:space="preserve">PSPPH_3686</t>
  </si>
  <si>
    <t xml:space="preserve">CTGCAGCAAGCCCCAGTAAA</t>
  </si>
  <si>
    <t xml:space="preserve">TAGTCTGCAGCAAGCCCCAGTAAA</t>
  </si>
  <si>
    <t xml:space="preserve">AAACTTTACTGGGGCTTGCTGCAG</t>
  </si>
  <si>
    <t xml:space="preserve">TGCCAGAGCAATGCCAACAA</t>
  </si>
  <si>
    <t xml:space="preserve">TAGTTGCCAGAGCAATGCCAACAA</t>
  </si>
  <si>
    <t xml:space="preserve">AAACTTGTTGGCATTGCTCTGGCA</t>
  </si>
  <si>
    <t xml:space="preserve">CTCGTCCAGCAGCGTGCTCT</t>
  </si>
  <si>
    <t xml:space="preserve">TAGTCTCGTCCAGCAGCGTGCTCT</t>
  </si>
  <si>
    <t xml:space="preserve">AAACAGAGCACGCTGCTGGACGAG</t>
  </si>
  <si>
    <t xml:space="preserve">GCGCCATCTGCGCCATGCTC</t>
  </si>
  <si>
    <t xml:space="preserve">TAGTGCGCCATCTGCGCCATGCTC</t>
  </si>
  <si>
    <t xml:space="preserve">AAACGAGCATGGCGCAGATGGCGC</t>
  </si>
  <si>
    <t xml:space="preserve">PSPPH_3687</t>
  </si>
  <si>
    <t xml:space="preserve">CGGCGACAGGTCGATCCCAA</t>
  </si>
  <si>
    <t xml:space="preserve">TAGTCGGCGACAGGTCGATCCCAA</t>
  </si>
  <si>
    <t xml:space="preserve">AAACTTGGGATCGACCTGTCGCCG</t>
  </si>
  <si>
    <t xml:space="preserve">TGGTGAGGTGTGGACTGCGT</t>
  </si>
  <si>
    <t xml:space="preserve">TAGTTGGTGAGGTGTGGACTGCGT</t>
  </si>
  <si>
    <t xml:space="preserve">AAACACGCAGTCCACACCTCACCA</t>
  </si>
  <si>
    <t xml:space="preserve">TGCATTGTTTTCAAGGCGTC</t>
  </si>
  <si>
    <t xml:space="preserve">TAGTTGCATTGTTTTCAAGGCGTC</t>
  </si>
  <si>
    <t xml:space="preserve">AAACGACGCCTTGAAAACAATGCA</t>
  </si>
  <si>
    <t xml:space="preserve">TGGTCTTTTTTGGCAGTGTT</t>
  </si>
  <si>
    <t xml:space="preserve">TAGTTGGTCTTTTTTGGCAGTGTT</t>
  </si>
  <si>
    <t xml:space="preserve">AAACAACACTGCCAAAAAAGACCA</t>
  </si>
  <si>
    <t xml:space="preserve">PSPPH_3688</t>
  </si>
  <si>
    <t xml:space="preserve">ATAAAGATTCCAGTAAACGC</t>
  </si>
  <si>
    <t xml:space="preserve">TAGTATAAAGATTCCAGTAAACGC</t>
  </si>
  <si>
    <t xml:space="preserve">AAACGCGTTTACTGGAATCTTTAT</t>
  </si>
  <si>
    <t xml:space="preserve">AGGTGTTTCCTGAAACAACA</t>
  </si>
  <si>
    <t xml:space="preserve">TAGTAGGTGTTTCCTGAAACAACA</t>
  </si>
  <si>
    <t xml:space="preserve">AAACTGTTGTTTCAGGAAACACCT</t>
  </si>
  <si>
    <t xml:space="preserve">GGTTTGAGTATTCATATTCA</t>
  </si>
  <si>
    <t xml:space="preserve">TAGTGGTTTGAGTATTCATATTCA</t>
  </si>
  <si>
    <t xml:space="preserve">AAACTGAATATGAATACTCAAACC</t>
  </si>
  <si>
    <t xml:space="preserve">CAATGTGTGAATTGCGTGTT</t>
  </si>
  <si>
    <t xml:space="preserve">TAGTCAATGTGTGAATTGCGTGTT</t>
  </si>
  <si>
    <t xml:space="preserve">AAACAACACGCAATTCACACATTG</t>
  </si>
  <si>
    <t xml:space="preserve">PSPPH_3689</t>
  </si>
  <si>
    <t xml:space="preserve">GGGCGAGTCCAAGTGTTGTC</t>
  </si>
  <si>
    <t xml:space="preserve">TAGTGGGCGAGTCCAAGTGTTGTC</t>
  </si>
  <si>
    <t xml:space="preserve">AAACGACAACACTTGGACTCGCCC</t>
  </si>
  <si>
    <t xml:space="preserve">TTGAGAAGAAGCCAGACCCA</t>
  </si>
  <si>
    <t xml:space="preserve">TAGTTTGAGAAGAAGCCAGACCCA</t>
  </si>
  <si>
    <t xml:space="preserve">AAACTGGGTCTGGCTTCTTCTCAA</t>
  </si>
  <si>
    <t xml:space="preserve">TTGTTCGTTTAGGGCAAAAC</t>
  </si>
  <si>
    <t xml:space="preserve">TAGTTTGTTCGTTTAGGGCAAAAC</t>
  </si>
  <si>
    <t xml:space="preserve">AAACGTTTTGCCCTAAACGAACAA</t>
  </si>
  <si>
    <t xml:space="preserve">GCTTGCATCATCGGCTGACG</t>
  </si>
  <si>
    <t xml:space="preserve">TAGTGCTTGCATCATCGGCTGACG</t>
  </si>
  <si>
    <t xml:space="preserve">AAACCGTCAGCCGATGATGCAAGC</t>
  </si>
  <si>
    <t xml:space="preserve">PSPPH_3690</t>
  </si>
  <si>
    <t xml:space="preserve">CTCATGGCCAGCAGCAGAAG</t>
  </si>
  <si>
    <t xml:space="preserve">TAGTCTCATGGCCAGCAGCAGAAG</t>
  </si>
  <si>
    <t xml:space="preserve">AAACCTTCTGCTGCTGGCCATGAG</t>
  </si>
  <si>
    <t xml:space="preserve">CTGCAGCAGCGGCGGACAGT</t>
  </si>
  <si>
    <t xml:space="preserve">TAGTCTGCAGCAGCGGCGGACAGT</t>
  </si>
  <si>
    <t xml:space="preserve">AAACACTGTCCGCCGCTGCTGCAG</t>
  </si>
  <si>
    <t xml:space="preserve">TTTTCCTTGGCGCGCAGCTT</t>
  </si>
  <si>
    <t xml:space="preserve">TAGTTTTTCCTTGGCGCGCAGCTT</t>
  </si>
  <si>
    <t xml:space="preserve">AAACAAGCTGCGCGCCAAGGAAAA</t>
  </si>
  <si>
    <t xml:space="preserve">TGCCGGCAAAGCGTTTGCAC</t>
  </si>
  <si>
    <t xml:space="preserve">TAGTTGCCGGCAAAGCGTTTGCAC</t>
  </si>
  <si>
    <t xml:space="preserve">AAACGTGCAAACGCTTTGCCGGCA</t>
  </si>
  <si>
    <t xml:space="preserve">PSPPH_3691</t>
  </si>
  <si>
    <t xml:space="preserve">CCGTCAGTAGAGGCCAGCGA</t>
  </si>
  <si>
    <t xml:space="preserve">TAGTCCGTCAGTAGAGGCCAGCGA</t>
  </si>
  <si>
    <t xml:space="preserve">AAACTCGCTGGCCTCTACTGACGG</t>
  </si>
  <si>
    <t xml:space="preserve">PSPPH_3692</t>
  </si>
  <si>
    <t xml:space="preserve">GGTACGCCAGATCGATGTCA</t>
  </si>
  <si>
    <t xml:space="preserve">TAGTGGTACGCCAGATCGATGTCA</t>
  </si>
  <si>
    <t xml:space="preserve">AAACTGACATCGATCTGGCGTACC</t>
  </si>
  <si>
    <t xml:space="preserve">GCCCAGCAGAACCCAGCCGC</t>
  </si>
  <si>
    <t xml:space="preserve">TAGTGCCCAGCAGAACCCAGCCGC</t>
  </si>
  <si>
    <t xml:space="preserve">AAACGCGGCTGGGTTCTGCTGGGC</t>
  </si>
  <si>
    <t xml:space="preserve">GCGTGCCCAGCGAAAGCGCA</t>
  </si>
  <si>
    <t xml:space="preserve">TAGTGCGTGCCCAGCGAAAGCGCA</t>
  </si>
  <si>
    <t xml:space="preserve">AAACTGCGCTTTCGCTGGGCACGC</t>
  </si>
  <si>
    <t xml:space="preserve">CAGCCAAAATCCGCGCTCAT</t>
  </si>
  <si>
    <t xml:space="preserve">TAGTCAGCCAAAATCCGCGCTCAT</t>
  </si>
  <si>
    <t xml:space="preserve">AAACATGAGCGCGGATTTTGGCTG</t>
  </si>
  <si>
    <t xml:space="preserve">PSPPH_3693</t>
  </si>
  <si>
    <t xml:space="preserve">cobS</t>
  </si>
  <si>
    <t xml:space="preserve">AATTGCAGGGCGATCCAGAA</t>
  </si>
  <si>
    <t xml:space="preserve">TAGTAATTGCAGGGCGATCCAGAA</t>
  </si>
  <si>
    <t xml:space="preserve">AAACTTCTGGATCGCCCTGCAATT</t>
  </si>
  <si>
    <t xml:space="preserve">TGCCGGGCAGACGAATCGGC</t>
  </si>
  <si>
    <t xml:space="preserve">TAGTTGCCGGGCAGACGAATCGGC</t>
  </si>
  <si>
    <t xml:space="preserve">AAACGCCGATTCGTCTGCCCGGCA</t>
  </si>
  <si>
    <t xml:space="preserve">CGCCCAAGCTCTTCCGGGCG</t>
  </si>
  <si>
    <t xml:space="preserve">TAGTCGCCCAAGCTCTTCCGGGCG</t>
  </si>
  <si>
    <t xml:space="preserve">AAACCGCCCGGAAGAGCTTGGGCG</t>
  </si>
  <si>
    <t xml:space="preserve">CGAACACCACGCCTACCAGC</t>
  </si>
  <si>
    <t xml:space="preserve">TAGTCGAACACCACGCCTACCAGC</t>
  </si>
  <si>
    <t xml:space="preserve">AAACGCTGGTAGGCGTGGTGTTCG</t>
  </si>
  <si>
    <t xml:space="preserve">PSPPH_3694</t>
  </si>
  <si>
    <t xml:space="preserve">ACGCAGCAAGTCCAGACGCA</t>
  </si>
  <si>
    <t xml:space="preserve">TAGTACGCAGCAAGTCCAGACGCA</t>
  </si>
  <si>
    <t xml:space="preserve">AAACTGCGTCTGGACTTGCTGCGT</t>
  </si>
  <si>
    <t xml:space="preserve">GTTCGGTCAGAGCATCGTCG</t>
  </si>
  <si>
    <t xml:space="preserve">TAGTGTTCGGTCAGAGCATCGTCG</t>
  </si>
  <si>
    <t xml:space="preserve">AAACCGACGATGCTCTGACCGAAC</t>
  </si>
  <si>
    <t xml:space="preserve">CCGTTCCCAGGGACCGCCAT</t>
  </si>
  <si>
    <t xml:space="preserve">TAGTCCGTTCCCAGGGACCGCCAT</t>
  </si>
  <si>
    <t xml:space="preserve">AAACATGGCGGTCCCTGGGAACGG</t>
  </si>
  <si>
    <t xml:space="preserve">AAACGTGCACAGCGCTGCAA</t>
  </si>
  <si>
    <t xml:space="preserve">TAGTAAACGTGCACAGCGCTGCAA</t>
  </si>
  <si>
    <t xml:space="preserve">AAACTTGCAGCGCTGTGCACGTTT</t>
  </si>
  <si>
    <t xml:space="preserve">PSPPH_3695</t>
  </si>
  <si>
    <t xml:space="preserve">cobT</t>
  </si>
  <si>
    <t xml:space="preserve">CTGTGCGGGCTTGAGCCACC</t>
  </si>
  <si>
    <t xml:space="preserve">TAGTCTGTGCGGGCTTGAGCCACC</t>
  </si>
  <si>
    <t xml:space="preserve">AAACGGTGGCTCAAGCCCGCACAG</t>
  </si>
  <si>
    <t xml:space="preserve">GCCAGTGCCGCCTCGCGCAT</t>
  </si>
  <si>
    <t xml:space="preserve">TAGTGCCAGTGCCGCCTCGCGCAT</t>
  </si>
  <si>
    <t xml:space="preserve">AAACATGCGCGAGGCGGCACTGGC</t>
  </si>
  <si>
    <t xml:space="preserve">CTTGGTCAACTGTTGCTGAC</t>
  </si>
  <si>
    <t xml:space="preserve">TAGTCTTGGTCAACTGTTGCTGAC</t>
  </si>
  <si>
    <t xml:space="preserve">AAACGTCAGCAACAGTTGACCAAG</t>
  </si>
  <si>
    <t xml:space="preserve">AGTTGTGCCAGCGAACCCGC</t>
  </si>
  <si>
    <t xml:space="preserve">TAGTAGTTGTGCCAGCGAACCCGC</t>
  </si>
  <si>
    <t xml:space="preserve">AAACGCGGGTTCGCTGGCACAACT</t>
  </si>
  <si>
    <t xml:space="preserve">PSPPH_3696</t>
  </si>
  <si>
    <t xml:space="preserve">cobP</t>
  </si>
  <si>
    <t xml:space="preserve">TGCCGGAACGCGCGCCGCCG</t>
  </si>
  <si>
    <t xml:space="preserve">TAGTTGCCGGAACGCGCGCCGCCG</t>
  </si>
  <si>
    <t xml:space="preserve">AAACCGGCGGCGCGCGTTCCGGCA</t>
  </si>
  <si>
    <t xml:space="preserve">CGGCGGCCAGTTTTTCCGCC</t>
  </si>
  <si>
    <t xml:space="preserve">TAGTCGGCGGCCAGTTTTTCCGCC</t>
  </si>
  <si>
    <t xml:space="preserve">AAACGGCGGAAAAACTGGCCGCCG</t>
  </si>
  <si>
    <t xml:space="preserve">GGTCACCTTCAGCGTGCTGT</t>
  </si>
  <si>
    <t xml:space="preserve">TAGTGGTCACCTTCAGCGTGCTGT</t>
  </si>
  <si>
    <t xml:space="preserve">AAACACAGCACGCTGAAGGTGACC</t>
  </si>
  <si>
    <t xml:space="preserve">GCCGTCCAGAGGCTGACTGG</t>
  </si>
  <si>
    <t xml:space="preserve">TAGTGCCGTCCAGAGGCTGACTGG</t>
  </si>
  <si>
    <t xml:space="preserve">AAACCCAGTCAGCCTCTGGACGGC</t>
  </si>
  <si>
    <t xml:space="preserve">PSPPH_3697</t>
  </si>
  <si>
    <t xml:space="preserve">cobQ</t>
  </si>
  <si>
    <t xml:space="preserve">GGTGCCTTGTACCATCAGCG</t>
  </si>
  <si>
    <t xml:space="preserve">TAGTGGTGCCTTGTACCATCAGCG</t>
  </si>
  <si>
    <t xml:space="preserve">AAACCGCTGATGGTACAAGGCACC</t>
  </si>
  <si>
    <t xml:space="preserve">GCTTTTGCCGGCATCGGAGG</t>
  </si>
  <si>
    <t xml:space="preserve">TAGTGCTTTTGCCGGCATCGGAGG</t>
  </si>
  <si>
    <t xml:space="preserve">AAACCCTCCGATGCCGGCAAAAGC</t>
  </si>
  <si>
    <t xml:space="preserve">ACGAGTCAGCCAGCGGCACA</t>
  </si>
  <si>
    <t xml:space="preserve">TAGTACGAGTCAGCCAGCGGCACA</t>
  </si>
  <si>
    <t xml:space="preserve">AAACTGTGCCGCTGGCTGACTCGT</t>
  </si>
  <si>
    <t xml:space="preserve">GCCATGTTCTGCGGCTTGAA</t>
  </si>
  <si>
    <t xml:space="preserve">TAGTGCCATGTTCTGCGGCTTGAA</t>
  </si>
  <si>
    <t xml:space="preserve">AAACTTCAAGCCGCAGAACATGGC</t>
  </si>
  <si>
    <t xml:space="preserve">PSPPH_3698</t>
  </si>
  <si>
    <t xml:space="preserve">GATACCGTAATGCTGCGCTG</t>
  </si>
  <si>
    <t xml:space="preserve">TAGTGATACCGTAATGCTGCGCTG</t>
  </si>
  <si>
    <t xml:space="preserve">AAACCAGCGCAGCATTACGGTATC</t>
  </si>
  <si>
    <t xml:space="preserve">AGGGTGCAATGCCCGTGGAC</t>
  </si>
  <si>
    <t xml:space="preserve">TAGTAGGGTGCAATGCCCGTGGAC</t>
  </si>
  <si>
    <t xml:space="preserve">AAACGTCCACGGGCATTGCACCCT</t>
  </si>
  <si>
    <t xml:space="preserve">CTCCGGGATGGGCCACGACC</t>
  </si>
  <si>
    <t xml:space="preserve">TAGTCTCCGGGATGGGCCACGACC</t>
  </si>
  <si>
    <t xml:space="preserve">AAACGGTCGTGGCCCATCCCGGAG</t>
  </si>
  <si>
    <t xml:space="preserve">AAACGCGCCCATGCACGCGT</t>
  </si>
  <si>
    <t xml:space="preserve">TAGTAAACGCGCCCATGCACGCGT</t>
  </si>
  <si>
    <t xml:space="preserve">AAACACGCGTGCATGGGCGCGTTT</t>
  </si>
  <si>
    <t xml:space="preserve">PSPPH_3699</t>
  </si>
  <si>
    <t xml:space="preserve">cobD</t>
  </si>
  <si>
    <t xml:space="preserve">CAGCGCATCCAGCGCGACCC</t>
  </si>
  <si>
    <t xml:space="preserve">TAGTCAGCGCATCCAGCGCGACCC</t>
  </si>
  <si>
    <t xml:space="preserve">AAACGGGTCGCGCTGGATGCGCTG</t>
  </si>
  <si>
    <t xml:space="preserve">ACCAGCGGATGCCATCGTTT</t>
  </si>
  <si>
    <t xml:space="preserve">TAGTACCAGCGGATGCCATCGTTT</t>
  </si>
  <si>
    <t xml:space="preserve">AAACAAACGATGGCATCCGCTGGT</t>
  </si>
  <si>
    <t xml:space="preserve">GAAACGCTGCTCGACCCGAT</t>
  </si>
  <si>
    <t xml:space="preserve">TAGTGAAACGCTGCTCGACCCGAT</t>
  </si>
  <si>
    <t xml:space="preserve">AAACATCGGGTCGAGCAGCGTTTC</t>
  </si>
  <si>
    <t xml:space="preserve">CGCCATGACTGCGCCAGCCA</t>
  </si>
  <si>
    <t xml:space="preserve">TAGTCGCCATGACTGCGCCAGCCA</t>
  </si>
  <si>
    <t xml:space="preserve">AAACTGGCTGGCGCAGTCATGGCG</t>
  </si>
  <si>
    <t xml:space="preserve">PSPPH_3700</t>
  </si>
  <si>
    <t xml:space="preserve">TTCAGGGCTGAACGCTTGTT</t>
  </si>
  <si>
    <t xml:space="preserve">TAGTTTCAGGGCTGAACGCTTGTT</t>
  </si>
  <si>
    <t xml:space="preserve">AAACAACAAGCGTTCAGCCCTGAA</t>
  </si>
  <si>
    <t xml:space="preserve">CATGTCGCGACGCTCGGCGA</t>
  </si>
  <si>
    <t xml:space="preserve">TAGTCATGTCGCGACGCTCGGCGA</t>
  </si>
  <si>
    <t xml:space="preserve">AAACTCGCCGAGCGTCGCGACATG</t>
  </si>
  <si>
    <t xml:space="preserve">CCACCGTGCCGCCGACGAAG</t>
  </si>
  <si>
    <t xml:space="preserve">TAGTCCACCGTGCCGCCGACGAAG</t>
  </si>
  <si>
    <t xml:space="preserve">AAACCTTCGTCGGCGGCACGGTGG</t>
  </si>
  <si>
    <t xml:space="preserve">AGCAAGCGCGCCAGCAACTC</t>
  </si>
  <si>
    <t xml:space="preserve">TAGTAGCAAGCGCGCCAGCAACTC</t>
  </si>
  <si>
    <t xml:space="preserve">AAACGAGTTGCTGGCGCGCTTGCT</t>
  </si>
  <si>
    <t xml:space="preserve">PSPPH_3701</t>
  </si>
  <si>
    <t xml:space="preserve">AAAACCGCCGGGCAATCGCG</t>
  </si>
  <si>
    <t xml:space="preserve">TAGTAAAACCGCCGGGCAATCGCG</t>
  </si>
  <si>
    <t xml:space="preserve">AAACCGCGATTGCCCGGCGGTTTT</t>
  </si>
  <si>
    <t xml:space="preserve">ACCTTGCCCGGAGGCAGGCG</t>
  </si>
  <si>
    <t xml:space="preserve">TAGTACCTTGCCCGGAGGCAGGCG</t>
  </si>
  <si>
    <t xml:space="preserve">AAACCGCCTGCCTCCGGGCAAGGT</t>
  </si>
  <si>
    <t xml:space="preserve">ACGTGCCAGTGCCGCGGTGA</t>
  </si>
  <si>
    <t xml:space="preserve">TAGTACGTGCCAGTGCCGCGGTGA</t>
  </si>
  <si>
    <t xml:space="preserve">AAACTCACCGCGGCACTGGCACGT</t>
  </si>
  <si>
    <t xml:space="preserve">GGACCTTGCGGCCCTGGTTG</t>
  </si>
  <si>
    <t xml:space="preserve">TAGTGGACCTTGCGGCCCTGGTTG</t>
  </si>
  <si>
    <t xml:space="preserve">AAACCAACCAGGGCCGCAAGGTCC</t>
  </si>
  <si>
    <t xml:space="preserve">PSPPH_3702</t>
  </si>
  <si>
    <t xml:space="preserve">cobO</t>
  </si>
  <si>
    <t xml:space="preserve">ATGGCGTTCGTCGCGTTCGG</t>
  </si>
  <si>
    <t xml:space="preserve">TAGTATGGCGTTCGTCGCGTTCGG</t>
  </si>
  <si>
    <t xml:space="preserve">AAACCCGAACGCGACGAACGCCAT</t>
  </si>
  <si>
    <t xml:space="preserve">GGCAATGCGCTCGTACATCA</t>
  </si>
  <si>
    <t xml:space="preserve">TAGTGGCAATGCGCTCGTACATCA</t>
  </si>
  <si>
    <t xml:space="preserve">AAACTGATGTACGAGCGCATTGCC</t>
  </si>
  <si>
    <t xml:space="preserve">GCCGCACTCGTTGGGTGAGC</t>
  </si>
  <si>
    <t xml:space="preserve">TAGTGCCGCACTCGTTGGGTGAGC</t>
  </si>
  <si>
    <t xml:space="preserve">AAACGCTCACCCAACGAGTGCGGC</t>
  </si>
  <si>
    <t xml:space="preserve">TGCCGGTCAAGACCAGCAGC</t>
  </si>
  <si>
    <t xml:space="preserve">TAGTTGCCGGTCAAGACCAGCAGC</t>
  </si>
  <si>
    <t xml:space="preserve">AAACGCTGCTGGTCTTGACCGGCA</t>
  </si>
  <si>
    <t xml:space="preserve">PSPPH_3703</t>
  </si>
  <si>
    <t xml:space="preserve">GTGGGGTCTGAGTCTGAACA</t>
  </si>
  <si>
    <t xml:space="preserve">TAGTGTGGGGTCTGAGTCTGAACA</t>
  </si>
  <si>
    <t xml:space="preserve">AAACTGTTCAGACTCAGACCCCAC</t>
  </si>
  <si>
    <t xml:space="preserve">GCCGCAGGCAGCGAGGCCAC</t>
  </si>
  <si>
    <t xml:space="preserve">TAGTGCCGCAGGCAGCGAGGCCAC</t>
  </si>
  <si>
    <t xml:space="preserve">AAACGTGGCCTCGCTGCCTGCGGC</t>
  </si>
  <si>
    <t xml:space="preserve">TGTTCCATCCGAGACTTGCA</t>
  </si>
  <si>
    <t xml:space="preserve">TAGTTGTTCCATCCGAGACTTGCA</t>
  </si>
  <si>
    <t xml:space="preserve">AAACTGCAAGTCTCGGATGGAACA</t>
  </si>
  <si>
    <t xml:space="preserve">GCTCCGGCAGTTTGGGCGAG</t>
  </si>
  <si>
    <t xml:space="preserve">TAGTGCTCCGGCAGTTTGGGCGAG</t>
  </si>
  <si>
    <t xml:space="preserve">AAACCTCGCCCAAACTGCCGGAGC</t>
  </si>
  <si>
    <t xml:space="preserve">PSPPH_3704</t>
  </si>
  <si>
    <t xml:space="preserve">CAGCAACAGAAATAACTATC</t>
  </si>
  <si>
    <t xml:space="preserve">TAGTCAGCAACAGAAATAACTATC</t>
  </si>
  <si>
    <t xml:space="preserve">AAACGATAGTTATTTCTGTTGCTG</t>
  </si>
  <si>
    <t xml:space="preserve">CGGTGGCGGCGCACTGGCGC</t>
  </si>
  <si>
    <t xml:space="preserve">TAGTCGGTGGCGGCGCACTGGCGC</t>
  </si>
  <si>
    <t xml:space="preserve">AAACGCGCCAGTGCGCCGCCACCG</t>
  </si>
  <si>
    <t xml:space="preserve">ACGACCCGGGGTGCTTTGGG</t>
  </si>
  <si>
    <t xml:space="preserve">TAGTACGACCCGGGGTGCTTTGGG</t>
  </si>
  <si>
    <t xml:space="preserve">AAACCCCAAAGCACCCCGGGTCGT</t>
  </si>
  <si>
    <t xml:space="preserve">TGAGGGGGAGCAGTGACCAC</t>
  </si>
  <si>
    <t xml:space="preserve">TAGTTGAGGGGGAGCAGTGACCAC</t>
  </si>
  <si>
    <t xml:space="preserve">AAACGTGGTCACTGCTCCCCCTCA</t>
  </si>
  <si>
    <t xml:space="preserve">PSPPH_3705</t>
  </si>
  <si>
    <t xml:space="preserve">GCGAAGCGAACAACCTGCAT</t>
  </si>
  <si>
    <t xml:space="preserve">TAGTGCGAAGCGAACAACCTGCAT</t>
  </si>
  <si>
    <t xml:space="preserve">AAACATGCAGGTTGTTCGCTTCGC</t>
  </si>
  <si>
    <t xml:space="preserve">ACGAGTGCGAGAGGCACGAG</t>
  </si>
  <si>
    <t xml:space="preserve">TAGTACGAGTGCGAGAGGCACGAG</t>
  </si>
  <si>
    <t xml:space="preserve">AAACCTCGTGCCTCTCGCACTCGT</t>
  </si>
  <si>
    <t xml:space="preserve">TATTGGCCGAGCAACCGAAG</t>
  </si>
  <si>
    <t xml:space="preserve">TAGTTATTGGCCGAGCAACCGAAG</t>
  </si>
  <si>
    <t xml:space="preserve">AAACCTTCGGTTGCTCGGCCAATA</t>
  </si>
  <si>
    <t xml:space="preserve">GCCTGTTCTTGCTGTGCGAC</t>
  </si>
  <si>
    <t xml:space="preserve">TAGTGCCTGTTCTTGCTGTGCGAC</t>
  </si>
  <si>
    <t xml:space="preserve">AAACGTCGCACAGCAAGAACAGGC</t>
  </si>
  <si>
    <t xml:space="preserve">PSPPH_3706</t>
  </si>
  <si>
    <t xml:space="preserve">TCACCAGAATCCGTTGTGCA</t>
  </si>
  <si>
    <t xml:space="preserve">TAGTTCACCAGAATCCGTTGTGCA</t>
  </si>
  <si>
    <t xml:space="preserve">AAACTGCACAACGGATTCTGGTGA</t>
  </si>
  <si>
    <t xml:space="preserve">ATCAGCCGACAGGCCTGCCC</t>
  </si>
  <si>
    <t xml:space="preserve">TAGTATCAGCCGACAGGCCTGCCC</t>
  </si>
  <si>
    <t xml:space="preserve">AAACGGGCAGGCCTGTCGGCTGAT</t>
  </si>
  <si>
    <t xml:space="preserve">CGACGCCGCGATAGGTCGGC</t>
  </si>
  <si>
    <t xml:space="preserve">TAGTCGACGCCGCGATAGGTCGGC</t>
  </si>
  <si>
    <t xml:space="preserve">AAACGCCGACCTATCGCGGCGTCG</t>
  </si>
  <si>
    <t xml:space="preserve">CTCTATAGGCAGGCCCTCGT</t>
  </si>
  <si>
    <t xml:space="preserve">TAGTCTCTATAGGCAGGCCCTCGT</t>
  </si>
  <si>
    <t xml:space="preserve">AAACACGAGGGCCTGCCTATAGAG</t>
  </si>
  <si>
    <t xml:space="preserve">PSPPH_3707</t>
  </si>
  <si>
    <t xml:space="preserve">ACACTCAGGGGCAGCTGAAT</t>
  </si>
  <si>
    <t xml:space="preserve">TAGTACACTCAGGGGCAGCTGAAT</t>
  </si>
  <si>
    <t xml:space="preserve">AAACATTCAGCTGCCCCTGAGTGT</t>
  </si>
  <si>
    <t xml:space="preserve">TGGATAGTAATTGACGAAAG</t>
  </si>
  <si>
    <t xml:space="preserve">TAGTTGGATAGTAATTGACGAAAG</t>
  </si>
  <si>
    <t xml:space="preserve">AAACCTTTCGTCAATTACTATCCA</t>
  </si>
  <si>
    <t xml:space="preserve">AGTGCAGCGGCATTGGCGCC</t>
  </si>
  <si>
    <t xml:space="preserve">TAGTAGTGCAGCGGCATTGGCGCC</t>
  </si>
  <si>
    <t xml:space="preserve">AAACGGCGCCAATGCCGCTGCACT</t>
  </si>
  <si>
    <t xml:space="preserve">GCTTTCCGTCCACCCAGCGT</t>
  </si>
  <si>
    <t xml:space="preserve">TAGTGCTTTCCGTCCACCCAGCGT</t>
  </si>
  <si>
    <t xml:space="preserve">AAACACGCTGGGTGGACGGAAAGC</t>
  </si>
  <si>
    <t xml:space="preserve">PSPPH_3708</t>
  </si>
  <si>
    <t xml:space="preserve">CGAATGCGACCAGCAAGGCC</t>
  </si>
  <si>
    <t xml:space="preserve">TAGTCGAATGCGACCAGCAAGGCC</t>
  </si>
  <si>
    <t xml:space="preserve">AAACGGCCTTGCTGGTCGCATTCG</t>
  </si>
  <si>
    <t xml:space="preserve">GCGCCACCAGAAAAGGGGTG</t>
  </si>
  <si>
    <t xml:space="preserve">TAGTGCGCCACCAGAAAAGGGGTG</t>
  </si>
  <si>
    <t xml:space="preserve">AAACCACCCCTTTTCTGGTGGCGC</t>
  </si>
  <si>
    <t xml:space="preserve">CACCAGCGGATCGCCCATGT</t>
  </si>
  <si>
    <t xml:space="preserve">TAGTCACCAGCGGATCGCCCATGT</t>
  </si>
  <si>
    <t xml:space="preserve">AAACACATGGGCGATCCGCTGGTG</t>
  </si>
  <si>
    <t xml:space="preserve">GCTCAAGGTTCTGGACAGCC</t>
  </si>
  <si>
    <t xml:space="preserve">TAGTGCTCAAGGTTCTGGACAGCC</t>
  </si>
  <si>
    <t xml:space="preserve">AAACGGCTGTCCAGAACCTTGAGC</t>
  </si>
  <si>
    <t xml:space="preserve">PSPPH_3709</t>
  </si>
  <si>
    <t xml:space="preserve">AAGAACTCTGGAAAAACGCA</t>
  </si>
  <si>
    <t xml:space="preserve">TAGTAAGAACTCTGGAAAAACGCA</t>
  </si>
  <si>
    <t xml:space="preserve">AAACTGCGTTTTTCCAGAGTTCTT</t>
  </si>
  <si>
    <t xml:space="preserve">CAAGGCTGGGGAGGCTGATC</t>
  </si>
  <si>
    <t xml:space="preserve">TAGTCAAGGCTGGGGAGGCTGATC</t>
  </si>
  <si>
    <t xml:space="preserve">AAACGATCAGCCTCCCCAGCCTTG</t>
  </si>
  <si>
    <t xml:space="preserve">ATAAAGGTTGCTGACCGTTT</t>
  </si>
  <si>
    <t xml:space="preserve">TAGTATAAAGGTTGCTGACCGTTT</t>
  </si>
  <si>
    <t xml:space="preserve">AAACAAACGGTCAGCAACCTTTAT</t>
  </si>
  <si>
    <t xml:space="preserve">ACTGGCCAGTCACCGGCTCG</t>
  </si>
  <si>
    <t xml:space="preserve">TAGTACTGGCCAGTCACCGGCTCG</t>
  </si>
  <si>
    <t xml:space="preserve">AAACCGAGCCGGTGACTGGCCAGT</t>
  </si>
  <si>
    <t xml:space="preserve">PSPPH_3710</t>
  </si>
  <si>
    <t xml:space="preserve">purM</t>
  </si>
  <si>
    <t xml:space="preserve">GCGTCTTTATAGCTCAGGGA</t>
  </si>
  <si>
    <t xml:space="preserve">TAGTGCGTCTTTATAGCTCAGGGA</t>
  </si>
  <si>
    <t xml:space="preserve">AAACTCCCTGAGCTATAAAGACGC</t>
  </si>
  <si>
    <t xml:space="preserve">ACCGGCGTCGATGTCTACAC</t>
  </si>
  <si>
    <t xml:space="preserve">TAGTACCGGCGTCGATGTCTACAC</t>
  </si>
  <si>
    <t xml:space="preserve">AAACGTGTAGACATCGACGCCGGT</t>
  </si>
  <si>
    <t xml:space="preserve">TTCCGGACGCTTGGTGCGCT</t>
  </si>
  <si>
    <t xml:space="preserve">TAGTTTCCGGACGCTTGGTGCGCT</t>
  </si>
  <si>
    <t xml:space="preserve">AAACAGCGCACCAAGCGTCCGGAA</t>
  </si>
  <si>
    <t xml:space="preserve">AGAGGGCGCCGAAGCCTCCC</t>
  </si>
  <si>
    <t xml:space="preserve">TAGTAGAGGGCGCCGAAGCCTCCC</t>
  </si>
  <si>
    <t xml:space="preserve">AAACGGGAGGCTTCGGCGCCCTCT</t>
  </si>
  <si>
    <t xml:space="preserve">PSPPH_3711</t>
  </si>
  <si>
    <t xml:space="preserve">purN</t>
  </si>
  <si>
    <t xml:space="preserve">ACCACGACTTCGCAGATGGC</t>
  </si>
  <si>
    <t xml:space="preserve">TAGTACCACGACTTCGCAGATGGC</t>
  </si>
  <si>
    <t xml:space="preserve">AAACGCCATCTGCGAAGTCGTGGT</t>
  </si>
  <si>
    <t xml:space="preserve">TTGCAGGTTGCCGCCGGTGC</t>
  </si>
  <si>
    <t xml:space="preserve">TAGTTTGCAGGTTGCCGCCGGTGC</t>
  </si>
  <si>
    <t xml:space="preserve">AAACGCACCGGCGGCAACCTGCAA</t>
  </si>
  <si>
    <t xml:space="preserve">CGCGCGGATGCGGACGGGGC</t>
  </si>
  <si>
    <t xml:space="preserve">TAGTCGCGCGGATGCGGACGGGGC</t>
  </si>
  <si>
    <t xml:space="preserve">AAACGCCCCGTCCGCATCCGCGCG</t>
  </si>
  <si>
    <t xml:space="preserve">GCCGAACGCATCGGCGCGGT</t>
  </si>
  <si>
    <t xml:space="preserve">TAGTGCCGAACGCATCGGCGCGGT</t>
  </si>
  <si>
    <t xml:space="preserve">AAACACCGCGCCGATGCGTTCGGC</t>
  </si>
  <si>
    <t xml:space="preserve">PSPPH_3712</t>
  </si>
  <si>
    <t xml:space="preserve">TGCGGCCTGTACGGCAGGCA</t>
  </si>
  <si>
    <t xml:space="preserve">TAGTTGCGGCCTGTACGGCAGGCA</t>
  </si>
  <si>
    <t xml:space="preserve">AAACTGCCTGCCGTACAGGCCGCA</t>
  </si>
  <si>
    <t xml:space="preserve">AGCTGGCGGAGAAAGGTTGA</t>
  </si>
  <si>
    <t xml:space="preserve">TAGTAGCTGGCGGAGAAAGGTTGA</t>
  </si>
  <si>
    <t xml:space="preserve">AAACTCAACCTTTCTCCGCCAGCT</t>
  </si>
  <si>
    <t xml:space="preserve">GGGCAGCTGTTTCCAGTCGG</t>
  </si>
  <si>
    <t xml:space="preserve">TAGTGGGCAGCTGTTTCCAGTCGG</t>
  </si>
  <si>
    <t xml:space="preserve">AAACCCGACTGGAAACAGCTGCCC</t>
  </si>
  <si>
    <t xml:space="preserve">CGTTCAGCGGTGCCACTCAT</t>
  </si>
  <si>
    <t xml:space="preserve">TAGTCGTTCAGCGGTGCCACTCAT</t>
  </si>
  <si>
    <t xml:space="preserve">AAACATGAGTGGCACCGCTGAACG</t>
  </si>
  <si>
    <t xml:space="preserve">PSPPH_3713</t>
  </si>
  <si>
    <t xml:space="preserve">AACGGCTTCGTGAGAGAGGT</t>
  </si>
  <si>
    <t xml:space="preserve">TAGTAACGGCTTCGTGAGAGAGGT</t>
  </si>
  <si>
    <t xml:space="preserve">AAACACCTCTCTCACGAAGCCGTT</t>
  </si>
  <si>
    <t xml:space="preserve">GTCCCAGATCTGGATGCCGT</t>
  </si>
  <si>
    <t xml:space="preserve">TAGTGTCCCAGATCTGGATGCCGT</t>
  </si>
  <si>
    <t xml:space="preserve">AAACACGGCATCCAGATCTGGGAC</t>
  </si>
  <si>
    <t xml:space="preserve">CGTGAAACATGCCTACAAGT</t>
  </si>
  <si>
    <t xml:space="preserve">TAGTCGTGAAACATGCCTACAAGT</t>
  </si>
  <si>
    <t xml:space="preserve">AAACACTTGTAGGCATGTTTCACG</t>
  </si>
  <si>
    <t xml:space="preserve">TTCCTTATAGCGTAGAGCAT</t>
  </si>
  <si>
    <t xml:space="preserve">TAGTTTCCTTATAGCGTAGAGCAT</t>
  </si>
  <si>
    <t xml:space="preserve">AAACATGCTCTACGCTATAAGGAA</t>
  </si>
  <si>
    <t xml:space="preserve">PSPPH_3714</t>
  </si>
  <si>
    <t xml:space="preserve">GCAACTGATCGCGAAGGGAA</t>
  </si>
  <si>
    <t xml:space="preserve">TAGTGCAACTGATCGCGAAGGGAA</t>
  </si>
  <si>
    <t xml:space="preserve">AAACTTCCCTTCGCGATCAGTTGC</t>
  </si>
  <si>
    <t xml:space="preserve">CGACCTGCTTGGCCTGCTTT</t>
  </si>
  <si>
    <t xml:space="preserve">TAGTCGACCTGCTTGGCCTGCTTT</t>
  </si>
  <si>
    <t xml:space="preserve">AAACAAAGCAGGCCAAGCAGGTCG</t>
  </si>
  <si>
    <t xml:space="preserve">TTTTTGCGAGTCGTCGGCCC</t>
  </si>
  <si>
    <t xml:space="preserve">TAGTTTTTTGCGAGTCGTCGGCCC</t>
  </si>
  <si>
    <t xml:space="preserve">AAACGGGCCGACGACTCGCAAAAA</t>
  </si>
  <si>
    <t xml:space="preserve">ACGCTTGGCCTTCTCGGCCA</t>
  </si>
  <si>
    <t xml:space="preserve">TAGTACGCTTGGCCTTCTCGGCCA</t>
  </si>
  <si>
    <t xml:space="preserve">AAACTGGCCGAGAAGGCCAAGCGT</t>
  </si>
  <si>
    <t xml:space="preserve">PSPPH_3715</t>
  </si>
  <si>
    <t xml:space="preserve">mazG</t>
  </si>
  <si>
    <t xml:space="preserve">AGGTCTTGAACTGTATACAT</t>
  </si>
  <si>
    <t xml:space="preserve">TAGTAGGTCTTGAACTGTATACAT</t>
  </si>
  <si>
    <t xml:space="preserve">AAACATGTATACAGTTCAAGACCT</t>
  </si>
  <si>
    <t xml:space="preserve">GCCGGGCCATGAGGTTCAGC</t>
  </si>
  <si>
    <t xml:space="preserve">TAGTGCCGGGCCATGAGGTTCAGC</t>
  </si>
  <si>
    <t xml:space="preserve">AAACGCTGAACCTCATGGCCCGGC</t>
  </si>
  <si>
    <t xml:space="preserve">TCCCACGGGCAACCAGACTG</t>
  </si>
  <si>
    <t xml:space="preserve">TAGTTCCCACGGGCAACCAGACTG</t>
  </si>
  <si>
    <t xml:space="preserve">AAACCAGTCTGGTTGCCCGTGGGA</t>
  </si>
  <si>
    <t xml:space="preserve">TGCTGGCGTAGGTCTGCTTC</t>
  </si>
  <si>
    <t xml:space="preserve">TAGTTGCTGGCGTAGGTCTGCTTC</t>
  </si>
  <si>
    <t xml:space="preserve">AAACGAAGCAGACCTACGCCAGCA</t>
  </si>
  <si>
    <t xml:space="preserve">PSPPH_3716</t>
  </si>
  <si>
    <t xml:space="preserve">relA</t>
  </si>
  <si>
    <t xml:space="preserve">TGCCGTCTGTGTTTATCGGC</t>
  </si>
  <si>
    <t xml:space="preserve">TAGTTGCCGTCTGTGTTTATCGGC</t>
  </si>
  <si>
    <t xml:space="preserve">AAACGCCGATAAACACAGACGGCA</t>
  </si>
  <si>
    <t xml:space="preserve">TGACTTCCCGGTCCAGGACC</t>
  </si>
  <si>
    <t xml:space="preserve">TAGTTGACTTCCCGGTCCAGGACC</t>
  </si>
  <si>
    <t xml:space="preserve">AAACGGTCCTGGACCGGGAAGTCA</t>
  </si>
  <si>
    <t xml:space="preserve">GGCTTGCCGGGCAAACTCAC</t>
  </si>
  <si>
    <t xml:space="preserve">TAGTGGCTTGCCGGGCAAACTCAC</t>
  </si>
  <si>
    <t xml:space="preserve">AAACGTGAGTTTGCCCGGCAAGCC</t>
  </si>
  <si>
    <t xml:space="preserve">GTGGGCCTTGTCGTTCTGCT</t>
  </si>
  <si>
    <t xml:space="preserve">TAGTGTGGGCCTTGTCGTTCTGCT</t>
  </si>
  <si>
    <t xml:space="preserve">AAACAGCAGAACGACAAGGCCCAC</t>
  </si>
  <si>
    <t xml:space="preserve">PSPPH_3717</t>
  </si>
  <si>
    <t xml:space="preserve">rumA</t>
  </si>
  <si>
    <t xml:space="preserve">GCGCAAACCTCTTTCGTGCT</t>
  </si>
  <si>
    <t xml:space="preserve">TAGTGCGCAAACCTCTTTCGTGCT</t>
  </si>
  <si>
    <t xml:space="preserve">AAACAGCACGAAAGAGGTTTGCGC</t>
  </si>
  <si>
    <t xml:space="preserve">ACGGTTTTAACGCCGCCCGC</t>
  </si>
  <si>
    <t xml:space="preserve">TAGTACGGTTTTAACGCCGCCCGC</t>
  </si>
  <si>
    <t xml:space="preserve">AAACGCGGGCGGCGTTAAAACCGT</t>
  </si>
  <si>
    <t xml:space="preserve">GGTCAGCCGCTGCTTTTTAC</t>
  </si>
  <si>
    <t xml:space="preserve">TAGTGGTCAGCCGCTGCTTTTTAC</t>
  </si>
  <si>
    <t xml:space="preserve">AAACGTAAAAAGCAGCGGCTGACC</t>
  </si>
  <si>
    <t xml:space="preserve">GTCGTCGGACAGCCGCTCGA</t>
  </si>
  <si>
    <t xml:space="preserve">TAGTGTCGTCGGACAGCCGCTCGA</t>
  </si>
  <si>
    <t xml:space="preserve">AAACTCGAGCGGCTGTCCGACGAC</t>
  </si>
  <si>
    <t xml:space="preserve">PSPPH_3718</t>
  </si>
  <si>
    <t xml:space="preserve">cysM</t>
  </si>
  <si>
    <t xml:space="preserve">TTCGCAATCCAGACTGCGGG</t>
  </si>
  <si>
    <t xml:space="preserve">TAGTTTCGCAATCCAGACTGCGGG</t>
  </si>
  <si>
    <t xml:space="preserve">AAACCCCGCAGTCTGGATTGCGAA</t>
  </si>
  <si>
    <t xml:space="preserve">GGTTTGATACTGCAGGGTCA</t>
  </si>
  <si>
    <t xml:space="preserve">TAGTGGTTTGATACTGCAGGGTCA</t>
  </si>
  <si>
    <t xml:space="preserve">AAACTGACCCTGCAGTATCAAACC</t>
  </si>
  <si>
    <t xml:space="preserve">GTTGCCGACGCAATCGGCAA</t>
  </si>
  <si>
    <t xml:space="preserve">TAGTGTTGCCGACGCAATCGGCAA</t>
  </si>
  <si>
    <t xml:space="preserve">AAACTTGCCGATTGCGTCGGCAAC</t>
  </si>
  <si>
    <t xml:space="preserve">GCGTTGCAGACGCACCAGCG</t>
  </si>
  <si>
    <t xml:space="preserve">TAGTGCGTTGCAGACGCACCAGCG</t>
  </si>
  <si>
    <t xml:space="preserve">AAACCGCTGGTGCGTCTGCAACGC</t>
  </si>
  <si>
    <t xml:space="preserve">PSPPH_3719</t>
  </si>
  <si>
    <t xml:space="preserve">gacS</t>
  </si>
  <si>
    <t xml:space="preserve">ACGGCCTTTTATACCCAGCT</t>
  </si>
  <si>
    <t xml:space="preserve">TAGTACGGCCTTTTATACCCAGCT</t>
  </si>
  <si>
    <t xml:space="preserve">AAACAGCTGGGTATAAAAGGCCGT</t>
  </si>
  <si>
    <t xml:space="preserve">ATCGCCGCCATCAGGCTGGC</t>
  </si>
  <si>
    <t xml:space="preserve">TAGTATCGCCGCCATCAGGCTGGC</t>
  </si>
  <si>
    <t xml:space="preserve">AAACGCCAGCCTGATGGCGGCGAT</t>
  </si>
  <si>
    <t xml:space="preserve">CAGTTCGCTCAACTGCATCC</t>
  </si>
  <si>
    <t xml:space="preserve">TAGTCAGTTCGCTCAACTGCATCC</t>
  </si>
  <si>
    <t xml:space="preserve">AAACGGATGCAGTTGAGCGAACTG</t>
  </si>
  <si>
    <t xml:space="preserve">TTTCGCCGCGTTGCAGCAAC</t>
  </si>
  <si>
    <t xml:space="preserve">TAGTTTTCGCCGCGTTGCAGCAAC</t>
  </si>
  <si>
    <t xml:space="preserve">AAACGTTGCTGCAACGCGGCGAAA</t>
  </si>
  <si>
    <t xml:space="preserve">PSPPH_3720</t>
  </si>
  <si>
    <t xml:space="preserve">CGAAAATCGTGTTCGACCAT</t>
  </si>
  <si>
    <t xml:space="preserve">TAGTCGAAAATCGTGTTCGACCAT</t>
  </si>
  <si>
    <t xml:space="preserve">AAACATGGTCGAACACGATTTTCG</t>
  </si>
  <si>
    <t xml:space="preserve">ATTCGGTCAAGGTGTGCTGC</t>
  </si>
  <si>
    <t xml:space="preserve">TAGTATTCGGTCAAGGTGTGCTGC</t>
  </si>
  <si>
    <t xml:space="preserve">AAACGCAGCACACCTTGACCGAAT</t>
  </si>
  <si>
    <t xml:space="preserve">AGCGACCGGGCGCCAAAGTG</t>
  </si>
  <si>
    <t xml:space="preserve">TAGTAGCGACCGGGCGCCAAAGTG</t>
  </si>
  <si>
    <t xml:space="preserve">AAACCACTTTGGCGCCCGGTCGCT</t>
  </si>
  <si>
    <t xml:space="preserve">GTGAATCGAGCCGCCGTTAC</t>
  </si>
  <si>
    <t xml:space="preserve">TAGTGTGAATCGAGCCGCCGTTAC</t>
  </si>
  <si>
    <t xml:space="preserve">AAACGTAACGGCGGCTCGATTCAC</t>
  </si>
  <si>
    <t xml:space="preserve">PSPPH_3721</t>
  </si>
  <si>
    <t xml:space="preserve">GCGCGCCGCCGATCAGGCTC</t>
  </si>
  <si>
    <t xml:space="preserve">TAGTGCGCGCCGCCGATCAGGCTC</t>
  </si>
  <si>
    <t xml:space="preserve">AAACGAGCCTGATCGGCGGCGCGC</t>
  </si>
  <si>
    <t xml:space="preserve">CAGCGGGTCAGCGGTACAAC</t>
  </si>
  <si>
    <t xml:space="preserve">TAGTCAGCGGGTCAGCGGTACAAC</t>
  </si>
  <si>
    <t xml:space="preserve">AAACGTTGTACCGCTGACCCGCTG</t>
  </si>
  <si>
    <t xml:space="preserve">TAGCTGTGGTCCTGACGGAT</t>
  </si>
  <si>
    <t xml:space="preserve">TAGTTAGCTGTGGTCCTGACGGAT</t>
  </si>
  <si>
    <t xml:space="preserve">AAACATCCGTCAGGACCACAGCTA</t>
  </si>
  <si>
    <t xml:space="preserve">AGGCGGCTGTTGTCGATGAG</t>
  </si>
  <si>
    <t xml:space="preserve">TAGTAGGCGGCTGTTGTCGATGAG</t>
  </si>
  <si>
    <t xml:space="preserve">AAACCTCATCGACAACAGCCGCCT</t>
  </si>
  <si>
    <t xml:space="preserve">PSPPH_3722</t>
  </si>
  <si>
    <t xml:space="preserve">GGCCGTTCTGGTCATTGCCC</t>
  </si>
  <si>
    <t xml:space="preserve">TAGTGGCCGTTCTGGTCATTGCCC</t>
  </si>
  <si>
    <t xml:space="preserve">AAACGGGCAATGACCAGAACGGCC</t>
  </si>
  <si>
    <t xml:space="preserve">TTCGCTCGCTGGCCACCTTC</t>
  </si>
  <si>
    <t xml:space="preserve">TAGTTTCGCTCGCTGGCCACCTTC</t>
  </si>
  <si>
    <t xml:space="preserve">AAACGAAGGTGGCCAGCGAGCGAA</t>
  </si>
  <si>
    <t xml:space="preserve">ACGGCACGGGCCACACCATT</t>
  </si>
  <si>
    <t xml:space="preserve">TAGTACGGCACGGGCCACACCATT</t>
  </si>
  <si>
    <t xml:space="preserve">AAACAATGGTGTGGCCCGTGCCGT</t>
  </si>
  <si>
    <t xml:space="preserve">TGCGTTGAATTCCGGCACCT</t>
  </si>
  <si>
    <t xml:space="preserve">TAGTTGCGTTGAATTCCGGCACCT</t>
  </si>
  <si>
    <t xml:space="preserve">AAACAGGTGCCGGAATTCAACGCA</t>
  </si>
  <si>
    <t xml:space="preserve">PSPPH_3723</t>
  </si>
  <si>
    <t xml:space="preserve">arsC</t>
  </si>
  <si>
    <t xml:space="preserve">GTTGTGATACAGCGTCAGAT</t>
  </si>
  <si>
    <t xml:space="preserve">TAGTGTTGTGATACAGCGTCAGAT</t>
  </si>
  <si>
    <t xml:space="preserve">AAACATCTGACGCTGTATCACAAC</t>
  </si>
  <si>
    <t xml:space="preserve">CGCGGGATTTGCTGCAGCGC</t>
  </si>
  <si>
    <t xml:space="preserve">TAGTCGCGGGATTTGCTGCAGCGC</t>
  </si>
  <si>
    <t xml:space="preserve">AAACGCGCTGCAGCAAATCCCGCG</t>
  </si>
  <si>
    <t xml:space="preserve">GATATCGGGCGTCAGGCCGC</t>
  </si>
  <si>
    <t xml:space="preserve">TAGTGATATCGGGCGTCAGGCCGC</t>
  </si>
  <si>
    <t xml:space="preserve">AAACGCGGCCTGACGCCCGATATC</t>
  </si>
  <si>
    <t xml:space="preserve">CGGGCGGGGTTTCCAGGTAC</t>
  </si>
  <si>
    <t xml:space="preserve">TAGTCGGGCGGGGTTTCCAGGTAC</t>
  </si>
  <si>
    <t xml:space="preserve">AAACGTACCTGGAAACCCCGCCCG</t>
  </si>
  <si>
    <t xml:space="preserve">PSPPH_3724</t>
  </si>
  <si>
    <t xml:space="preserve">TAATAGAGGACCAGAATGTA</t>
  </si>
  <si>
    <t xml:space="preserve">TAGTTAATAGAGGACCAGAATGTA</t>
  </si>
  <si>
    <t xml:space="preserve">AAACTACATTCTGGTCCTCTATTA</t>
  </si>
  <si>
    <t xml:space="preserve">TTTCGCTGGTGGAACCGTTG</t>
  </si>
  <si>
    <t xml:space="preserve">TAGTTTTCGCTGGTGGAACCGTTG</t>
  </si>
  <si>
    <t xml:space="preserve">AAACCAACGGTTCCACCAGCGAAA</t>
  </si>
  <si>
    <t xml:space="preserve">GATACCGCGGGCAATCTGCC</t>
  </si>
  <si>
    <t xml:space="preserve">TAGTGATACCGCGGGCAATCTGCC</t>
  </si>
  <si>
    <t xml:space="preserve">AAACGGCAGATTGCCCGCGGTATC</t>
  </si>
  <si>
    <t xml:space="preserve">TCGCAGTCGGCGGAAACGGC</t>
  </si>
  <si>
    <t xml:space="preserve">TAGTTCGCAGTCGGCGGAAACGGC</t>
  </si>
  <si>
    <t xml:space="preserve">AAACGCCGTTTCCGCCGACTGCGA</t>
  </si>
  <si>
    <t xml:space="preserve">PSPPH_3725</t>
  </si>
  <si>
    <t xml:space="preserve">AGCCATTTGTAGTCTTGCAT</t>
  </si>
  <si>
    <t xml:space="preserve">TAGTAGCCATTTGTAGTCTTGCAT</t>
  </si>
  <si>
    <t xml:space="preserve">AAACATGCAAGACTACAAATGGCT</t>
  </si>
  <si>
    <t xml:space="preserve">TGGCGGAGCCGAATCGATTC</t>
  </si>
  <si>
    <t xml:space="preserve">TAGTTGGCGGAGCCGAATCGATTC</t>
  </si>
  <si>
    <t xml:space="preserve">AAACGAATCGATTCGGCTCCGCCA</t>
  </si>
  <si>
    <t xml:space="preserve">CAGGTGGGCTTCCAGTGCTT</t>
  </si>
  <si>
    <t xml:space="preserve">TAGTCAGGTGGGCTTCCAGTGCTT</t>
  </si>
  <si>
    <t xml:space="preserve">AAACAAGCACTGGAAGCCCACCTG</t>
  </si>
  <si>
    <t xml:space="preserve">TGTTTCGGTGTCTTCGGGGT</t>
  </si>
  <si>
    <t xml:space="preserve">TAGTTGTTTCGGTGTCTTCGGGGT</t>
  </si>
  <si>
    <t xml:space="preserve">AAACACCCCGAAGACACCGAAACA</t>
  </si>
  <si>
    <t xml:space="preserve">PSPPH_3726</t>
  </si>
  <si>
    <t xml:space="preserve">TTTGTTCTGATTGACTGAAA</t>
  </si>
  <si>
    <t xml:space="preserve">TAGTTTTGTTCTGATTGACTGAAA</t>
  </si>
  <si>
    <t xml:space="preserve">AAACTTTCAGTCAATCAGAACAAA</t>
  </si>
  <si>
    <t xml:space="preserve">GAAGTCGGCAACCGCCTCGC</t>
  </si>
  <si>
    <t xml:space="preserve">TAGTGAAGTCGGCAACCGCCTCGC</t>
  </si>
  <si>
    <t xml:space="preserve">AAACGCGAGGCGGTTGCCGACTTC</t>
  </si>
  <si>
    <t xml:space="preserve">AACTGTCCTTGCCGCCGGAC</t>
  </si>
  <si>
    <t xml:space="preserve">TAGTAACTGTCCTTGCCGCCGGAC</t>
  </si>
  <si>
    <t xml:space="preserve">AAACGTCCGGCGGCAAGGACAGTT</t>
  </si>
  <si>
    <t xml:space="preserve">GTGCATCAGCACATCGAGCA</t>
  </si>
  <si>
    <t xml:space="preserve">TAGTGTGCATCAGCACATCGAGCA</t>
  </si>
  <si>
    <t xml:space="preserve">AAACTGCTCGATGTGCTGATGCAC</t>
  </si>
  <si>
    <t xml:space="preserve">PSPPH_3727</t>
  </si>
  <si>
    <t xml:space="preserve">ACGCGTGAATTGAGTTGGTC</t>
  </si>
  <si>
    <t xml:space="preserve">TAGTACGCGTGAATTGAGTTGGTC</t>
  </si>
  <si>
    <t xml:space="preserve">AAACGACCAACTCAATTCACGCGT</t>
  </si>
  <si>
    <t xml:space="preserve">GGTTTCGGCTTGTTGGTAAC</t>
  </si>
  <si>
    <t xml:space="preserve">TAGTGGTTTCGGCTTGTTGGTAAC</t>
  </si>
  <si>
    <t xml:space="preserve">AAACGTTACCAACAAGCCGAAACC</t>
  </si>
  <si>
    <t xml:space="preserve">TTTGAAGGTGCGCTTGAAGA</t>
  </si>
  <si>
    <t xml:space="preserve">TAGTTTTGAAGGTGCGCTTGAAGA</t>
  </si>
  <si>
    <t xml:space="preserve">AAACTCTTCAAGCGCACCTTCAAA</t>
  </si>
  <si>
    <t xml:space="preserve">GCAACTGGAAACTGACCATT</t>
  </si>
  <si>
    <t xml:space="preserve">TAGTGCAACTGGAAACTGACCATT</t>
  </si>
  <si>
    <t xml:space="preserve">AAACAATGGTCAGTTTCCAGTTGC</t>
  </si>
  <si>
    <t xml:space="preserve">PSPPH_3728</t>
  </si>
  <si>
    <t xml:space="preserve">dctA</t>
  </si>
  <si>
    <t xml:space="preserve">GTTTTCCTCAAGGGCGTCGT</t>
  </si>
  <si>
    <t xml:space="preserve">TAGTGTTTTCCTCAAGGGCGTCGT</t>
  </si>
  <si>
    <t xml:space="preserve">AAACACGACGCCCTTGAGGAAAAC</t>
  </si>
  <si>
    <t xml:space="preserve">AAATAGAGGGATTTGTAGAT</t>
  </si>
  <si>
    <t xml:space="preserve">TAGTAAATAGAGGGATTTGTAGAT</t>
  </si>
  <si>
    <t xml:space="preserve">AAACATCTACAAATCCCTCTATTT</t>
  </si>
  <si>
    <t xml:space="preserve">CCGGGTAGAAGTGACCGATC</t>
  </si>
  <si>
    <t xml:space="preserve">TAGTCCGGGTAGAAGTGACCGATC</t>
  </si>
  <si>
    <t xml:space="preserve">AAACGATCGGTCACTTCTACCCGG</t>
  </si>
  <si>
    <t xml:space="preserve">CAGCGGCTTTAGAGCCTTGC</t>
  </si>
  <si>
    <t xml:space="preserve">TAGTCAGCGGCTTTAGAGCCTTGC</t>
  </si>
  <si>
    <t xml:space="preserve">AAACGCAAGGCTCTAAAGCCGCTG</t>
  </si>
  <si>
    <t xml:space="preserve">PSPPH_3729</t>
  </si>
  <si>
    <t xml:space="preserve">GAGTGGCGGCACCCAGCATC</t>
  </si>
  <si>
    <t xml:space="preserve">TAGTGAGTGGCGGCACCCAGCATC</t>
  </si>
  <si>
    <t xml:space="preserve">AAACGATGCTGGGTGCCGCCACTC</t>
  </si>
  <si>
    <t xml:space="preserve">CTGAACGCCCCCTGCAAAGC</t>
  </si>
  <si>
    <t xml:space="preserve">TAGTCTGAACGCCCCCTGCAAAGC</t>
  </si>
  <si>
    <t xml:space="preserve">AAACGCTTTGCAGGGGGCGTTCAG</t>
  </si>
  <si>
    <t xml:space="preserve">CTATCGCCCCGCGCAGCGCC</t>
  </si>
  <si>
    <t xml:space="preserve">TAGTCTATCGCCCCGCGCAGCGCC</t>
  </si>
  <si>
    <t xml:space="preserve">AAACGGCGCTGCGCGGGGCGATAG</t>
  </si>
  <si>
    <t xml:space="preserve">TGGTGGTCACGTCGGAAGCC</t>
  </si>
  <si>
    <t xml:space="preserve">TAGTTGGTGGTCACGTCGGAAGCC</t>
  </si>
  <si>
    <t xml:space="preserve">AAACGGCTTCCGACGTGACCACCA</t>
  </si>
  <si>
    <t xml:space="preserve">PSPPH_3730</t>
  </si>
  <si>
    <t xml:space="preserve">phoP</t>
  </si>
  <si>
    <t xml:space="preserve">TCAGACGGGTTCGCAGGTGG</t>
  </si>
  <si>
    <t xml:space="preserve">TAGTTCAGACGGGTTCGCAGGTGG</t>
  </si>
  <si>
    <t xml:space="preserve">AAACCCACCTGCGAACCCGTCTGA</t>
  </si>
  <si>
    <t xml:space="preserve">TTCCACCACATGTCCCGCTT</t>
  </si>
  <si>
    <t xml:space="preserve">TAGTTTCCACCACATGTCCCGCTT</t>
  </si>
  <si>
    <t xml:space="preserve">AAACAAGCGGGACATGTGGTGGAA</t>
  </si>
  <si>
    <t xml:space="preserve">ATACAACGCTTCCTCAGCGT</t>
  </si>
  <si>
    <t xml:space="preserve">TAGTATACAACGCTTCCTCAGCGT</t>
  </si>
  <si>
    <t xml:space="preserve">AAACACGCTGAGGAAGCGTTGTAT</t>
  </si>
  <si>
    <t xml:space="preserve">AGCCCAGATCGATCACGGCC</t>
  </si>
  <si>
    <t xml:space="preserve">TAGTAGCCCAGATCGATCACGGCC</t>
  </si>
  <si>
    <t xml:space="preserve">AAACGGCCGTGATCGATCTGGGCT</t>
  </si>
  <si>
    <t xml:space="preserve">PSPPH_3731</t>
  </si>
  <si>
    <t xml:space="preserve">CACCCAGAAAAGCCAAGGCC</t>
  </si>
  <si>
    <t xml:space="preserve">TAGTCACCCAGAAAAGCCAAGGCC</t>
  </si>
  <si>
    <t xml:space="preserve">AAACGGCCTTGGCTTTTCTGGGTG</t>
  </si>
  <si>
    <t xml:space="preserve">ACCATCGCCCACCTGCGCTG</t>
  </si>
  <si>
    <t xml:space="preserve">TAGTACCATCGCCCACCTGCGCTG</t>
  </si>
  <si>
    <t xml:space="preserve">AAACCAGCGCAGGTGGGCGATGGT</t>
  </si>
  <si>
    <t xml:space="preserve">GGCGTCATCAAGCCTTTCGC</t>
  </si>
  <si>
    <t xml:space="preserve">TAGTGGCGTCATCAAGCCTTTCGC</t>
  </si>
  <si>
    <t xml:space="preserve">AAACGCGAAAGGCTTGATGACGCC</t>
  </si>
  <si>
    <t xml:space="preserve">GAGCGCATGCCCCCAGCTGT</t>
  </si>
  <si>
    <t xml:space="preserve">TAGTGAGCGCATGCCCCCAGCTGT</t>
  </si>
  <si>
    <t xml:space="preserve">AAACACAGCTGGGGGCATGCGCTC</t>
  </si>
  <si>
    <t xml:space="preserve">PSPPH_3732</t>
  </si>
  <si>
    <t xml:space="preserve">CTGCCTGAGCGAGTCCGGTC</t>
  </si>
  <si>
    <t xml:space="preserve">TAGTCTGCCTGAGCGAGTCCGGTC</t>
  </si>
  <si>
    <t xml:space="preserve">AAACGACCGGACTCGCTCAGGCAG</t>
  </si>
  <si>
    <t xml:space="preserve">ACTCTTGTAATCGATCTGCT</t>
  </si>
  <si>
    <t xml:space="preserve">TAGTACTCTTGTAATCGATCTGCT</t>
  </si>
  <si>
    <t xml:space="preserve">AAACAGCAGATCGATTACAAGAGT</t>
  </si>
  <si>
    <t xml:space="preserve">ACCCACCAGTTTGGTTCCGT</t>
  </si>
  <si>
    <t xml:space="preserve">TAGTACCCACCAGTTTGGTTCCGT</t>
  </si>
  <si>
    <t xml:space="preserve">AAACACGGAACCAAACTGGTGGGT</t>
  </si>
  <si>
    <t xml:space="preserve">ACCACCAGAACACCGGGGCG</t>
  </si>
  <si>
    <t xml:space="preserve">TAGTACCACCAGAACACCGGGGCG</t>
  </si>
  <si>
    <t xml:space="preserve">AAACCGCCCCGGTGTTCTGGTGGT</t>
  </si>
  <si>
    <t xml:space="preserve">PSPPH_3733</t>
  </si>
  <si>
    <t xml:space="preserve">CGGTGATGGTGTACCGGCTT</t>
  </si>
  <si>
    <t xml:space="preserve">TAGTCGGTGATGGTGTACCGGCTT</t>
  </si>
  <si>
    <t xml:space="preserve">AAACAAGCCGGTACACCATCACCG</t>
  </si>
  <si>
    <t xml:space="preserve">AAAGTGGGGTTTTTCAGGTT</t>
  </si>
  <si>
    <t xml:space="preserve">TAGTAAAGTGGGGTTTTTCAGGTT</t>
  </si>
  <si>
    <t xml:space="preserve">AAACAACCTGAAAAACCCCACTTT</t>
  </si>
  <si>
    <t xml:space="preserve">TAACCACTCCACCACCGTAC</t>
  </si>
  <si>
    <t xml:space="preserve">TAGTTAACCACTCCACCACCGTAC</t>
  </si>
  <si>
    <t xml:space="preserve">AAACGTACGGTGGTGGAGTGGTTA</t>
  </si>
  <si>
    <t xml:space="preserve">AGAACAGGCCGGGTAAAAAG</t>
  </si>
  <si>
    <t xml:space="preserve">TAGTAGAACAGGCCGGGTAAAAAG</t>
  </si>
  <si>
    <t xml:space="preserve">AAACCTTTTTACCCGGCCTGTTCT</t>
  </si>
  <si>
    <t xml:space="preserve">PSPPH_3734</t>
  </si>
  <si>
    <t xml:space="preserve">TCGCCGTCAACCAGCTTGAG</t>
  </si>
  <si>
    <t xml:space="preserve">TAGTTCGCCGTCAACCAGCTTGAG</t>
  </si>
  <si>
    <t xml:space="preserve">AAACCTCAAGCTGGTTGACGGCGA</t>
  </si>
  <si>
    <t xml:space="preserve">ACCGAGCGCTGAATGCTCGC</t>
  </si>
  <si>
    <t xml:space="preserve">TAGTACCGAGCGCTGAATGCTCGC</t>
  </si>
  <si>
    <t xml:space="preserve">AAACGCGAGCATTCAGCGCTCGGT</t>
  </si>
  <si>
    <t xml:space="preserve">GAGAAATTCGGCCTGACGCT</t>
  </si>
  <si>
    <t xml:space="preserve">TAGTGAGAAATTCGGCCTGACGCT</t>
  </si>
  <si>
    <t xml:space="preserve">AAACAGCGTCAGGCCGAATTTCTC</t>
  </si>
  <si>
    <t xml:space="preserve">TTCGCGGGCACAGAGCCGAC</t>
  </si>
  <si>
    <t xml:space="preserve">TAGTTTCGCGGGCACAGAGCCGAC</t>
  </si>
  <si>
    <t xml:space="preserve">AAACGTCGGCTCTGTGCCCGCGAA</t>
  </si>
  <si>
    <t xml:space="preserve">PSPPH_3735</t>
  </si>
  <si>
    <t xml:space="preserve">GTCTGCCCGAAGCGCTCAAG</t>
  </si>
  <si>
    <t xml:space="preserve">TAGTGTCTGCCCGAAGCGCTCAAG</t>
  </si>
  <si>
    <t xml:space="preserve">AAACCTTGAGCGCTTCGGGCAGAC</t>
  </si>
  <si>
    <t xml:space="preserve">CCACTACAGGGCGCGAATCA</t>
  </si>
  <si>
    <t xml:space="preserve">TAGTCCACTACAGGGCGCGAATCA</t>
  </si>
  <si>
    <t xml:space="preserve">AAACTGATTCGCGCCCTGTAGTGG</t>
  </si>
  <si>
    <t xml:space="preserve">CGCTCGGCTTGCAGCAGATC</t>
  </si>
  <si>
    <t xml:space="preserve">TAGTCGCTCGGCTTGCAGCAGATC</t>
  </si>
  <si>
    <t xml:space="preserve">AAACGATCTGCTGCAAGCCGAGCG</t>
  </si>
  <si>
    <t xml:space="preserve">AATTGGCTGGGCATCAACTG</t>
  </si>
  <si>
    <t xml:space="preserve">TAGTAATTGGCTGGGCATCAACTG</t>
  </si>
  <si>
    <t xml:space="preserve">AAACCAGTTGATGCCCAGCCAATT</t>
  </si>
  <si>
    <t xml:space="preserve">PSPPH_3736</t>
  </si>
  <si>
    <t xml:space="preserve">GCGACTGATTGAGCACGTGC</t>
  </si>
  <si>
    <t xml:space="preserve">TAGTGCGACTGATTGAGCACGTGC</t>
  </si>
  <si>
    <t xml:space="preserve">AAACGCACGTGCTCAATCAGTCGC</t>
  </si>
  <si>
    <t xml:space="preserve">TGCCGTGGGCCAGACGTTCG</t>
  </si>
  <si>
    <t xml:space="preserve">TAGTTGCCGTGGGCCAGACGTTCG</t>
  </si>
  <si>
    <t xml:space="preserve">AAACCGAACGTCTGGCCCACGGCA</t>
  </si>
  <si>
    <t xml:space="preserve">GTTATCGGCCATCACCGTAA</t>
  </si>
  <si>
    <t xml:space="preserve">TAGTGTTATCGGCCATCACCGTAA</t>
  </si>
  <si>
    <t xml:space="preserve">AAACTTACGGTGATGGCCGATAAC</t>
  </si>
  <si>
    <t xml:space="preserve">CGGCGCTCGATGTCGTTGAG</t>
  </si>
  <si>
    <t xml:space="preserve">TAGTCGGCGCTCGATGTCGTTGAG</t>
  </si>
  <si>
    <t xml:space="preserve">AAACCTCAACGACATCGAGCGCCG</t>
  </si>
  <si>
    <t xml:space="preserve">PSPPH_3737</t>
  </si>
  <si>
    <t xml:space="preserve">rstA</t>
  </si>
  <si>
    <t xml:space="preserve">ATCAGTACATGCCAGGTGTG</t>
  </si>
  <si>
    <t xml:space="preserve">TAGTATCAGTACATGCCAGGTGTG</t>
  </si>
  <si>
    <t xml:space="preserve">AAACCACACCTGGCATGTACTGAT</t>
  </si>
  <si>
    <t xml:space="preserve">TGGTCAGCTCGGCCAGTCGC</t>
  </si>
  <si>
    <t xml:space="preserve">TAGTTGGTCAGCTCGGCCAGTCGC</t>
  </si>
  <si>
    <t xml:space="preserve">AAACGCGACTGGCCGAGCTGACCA</t>
  </si>
  <si>
    <t xml:space="preserve">GTTGTTGTGCAGGTAATCGC</t>
  </si>
  <si>
    <t xml:space="preserve">TAGTGTTGTTGTGCAGGTAATCGC</t>
  </si>
  <si>
    <t xml:space="preserve">AAACGCGATTACCTGCACAACAAC</t>
  </si>
  <si>
    <t xml:space="preserve">TGCCCTCAATGCTCACGCGC</t>
  </si>
  <si>
    <t xml:space="preserve">TAGTTGCCCTCAATGCTCACGCGC</t>
  </si>
  <si>
    <t xml:space="preserve">AAACGCGCGTGAGCATTGAGGGCA</t>
  </si>
  <si>
    <t xml:space="preserve">PSPPH_3738</t>
  </si>
  <si>
    <t xml:space="preserve">nrdA</t>
  </si>
  <si>
    <t xml:space="preserve">CTGGCCTGCGGCGCGCCGGT</t>
  </si>
  <si>
    <t xml:space="preserve">TAGTCTGGCCTGCGGCGCGCCGGT</t>
  </si>
  <si>
    <t xml:space="preserve">AAACACCGGCGCGCCGCAGGCCAG</t>
  </si>
  <si>
    <t xml:space="preserve">CAGACAGGTCCTGTGGGGTC</t>
  </si>
  <si>
    <t xml:space="preserve">TAGTCAGACAGGTCCTGTGGGGTC</t>
  </si>
  <si>
    <t xml:space="preserve">AAACGACCCCACAGGACCTGTCTG</t>
  </si>
  <si>
    <t xml:space="preserve">GCGCAGTTGACCGGGAGCAG</t>
  </si>
  <si>
    <t xml:space="preserve">TAGTGCGCAGTTGACCGGGAGCAG</t>
  </si>
  <si>
    <t xml:space="preserve">AAACCTGCTCCCGGTCAACTGCGC</t>
  </si>
  <si>
    <t xml:space="preserve">GTGATCTTGTCATCCGTGTA</t>
  </si>
  <si>
    <t xml:space="preserve">TAGTGTGATCTTGTCATCCGTGTA</t>
  </si>
  <si>
    <t xml:space="preserve">AAACTACACGGATGACAAGATCAC</t>
  </si>
  <si>
    <t xml:space="preserve">PSPPH_3741</t>
  </si>
  <si>
    <t xml:space="preserve">CCGATCAAGGCGAAGGAAGA</t>
  </si>
  <si>
    <t xml:space="preserve">TAGTCCGATCAAGGCGAAGGAAGA</t>
  </si>
  <si>
    <t xml:space="preserve">AAACTCTTCCTTCGCCTTGATCGG</t>
  </si>
  <si>
    <t xml:space="preserve">ATTGGATCTCACTTCCAGAG</t>
  </si>
  <si>
    <t xml:space="preserve">TAGTATTGGATCTCACTTCCAGAG</t>
  </si>
  <si>
    <t xml:space="preserve">AAACCTCTGGAAGTGAGATCCAAT</t>
  </si>
  <si>
    <t xml:space="preserve">CAATGTCCGCTCTGGGGTGG</t>
  </si>
  <si>
    <t xml:space="preserve">TAGTCAATGTCCGCTCTGGGGTGG</t>
  </si>
  <si>
    <t xml:space="preserve">AAACCCACCCCAGAGCGGACATTG</t>
  </si>
  <si>
    <t xml:space="preserve">CCGGTAGCCACCTTCGACTG</t>
  </si>
  <si>
    <t xml:space="preserve">TAGTCCGGTAGCCACCTTCGACTG</t>
  </si>
  <si>
    <t xml:space="preserve">AAACCAGTCGAAGGTGGCTACCGG</t>
  </si>
  <si>
    <t xml:space="preserve">PSPPH_3742</t>
  </si>
  <si>
    <t xml:space="preserve">GCCATCGCGATCCAAGATGC</t>
  </si>
  <si>
    <t xml:space="preserve">TAGTGCCATCGCGATCCAAGATGC</t>
  </si>
  <si>
    <t xml:space="preserve">AAACGCATCTTGGATCGCGATGGC</t>
  </si>
  <si>
    <t xml:space="preserve">GATGTCGAAGCGCAGAGGGT</t>
  </si>
  <si>
    <t xml:space="preserve">TAGTGATGTCGAAGCGCAGAGGGT</t>
  </si>
  <si>
    <t xml:space="preserve">AAACACCCTCTGCGCTTCGACATC</t>
  </si>
  <si>
    <t xml:space="preserve">CTTTCGTGTAGCCTGTTCCC</t>
  </si>
  <si>
    <t xml:space="preserve">TAGTCTTTCGTGTAGCCTGTTCCC</t>
  </si>
  <si>
    <t xml:space="preserve">AAACGGGAACAGGCTACACGAAAG</t>
  </si>
  <si>
    <t xml:space="preserve">AAGTAGTGGCGTTGTAGGAA</t>
  </si>
  <si>
    <t xml:space="preserve">TAGTAAGTAGTGGCGTTGTAGGAA</t>
  </si>
  <si>
    <t xml:space="preserve">AAACTTCCTACAACGCCACTACTT</t>
  </si>
  <si>
    <t xml:space="preserve">PSPPH_3743</t>
  </si>
  <si>
    <t xml:space="preserve">CATGCTCTATATAGGGGTTC</t>
  </si>
  <si>
    <t xml:space="preserve">TAGTCATGCTCTATATAGGGGTTC</t>
  </si>
  <si>
    <t xml:space="preserve">AAACGAACCCCTATATAGAGCATG</t>
  </si>
  <si>
    <t xml:space="preserve">TTCCACTCAATATTGGCGAA</t>
  </si>
  <si>
    <t xml:space="preserve">TAGTTTCCACTCAATATTGGCGAA</t>
  </si>
  <si>
    <t xml:space="preserve">AAACTTCGCCAATATTGAGTGGAA</t>
  </si>
  <si>
    <t xml:space="preserve">CTGGGCTCTGCCGATGACAA</t>
  </si>
  <si>
    <t xml:space="preserve">TAGTCTGGGCTCTGCCGATGACAA</t>
  </si>
  <si>
    <t xml:space="preserve">AAACTTGTCATCGGCAGAGCCCAG</t>
  </si>
  <si>
    <t xml:space="preserve">ATCCCGTAGGGACTTAAAGT</t>
  </si>
  <si>
    <t xml:space="preserve">TAGTATCCCGTAGGGACTTAAAGT</t>
  </si>
  <si>
    <t xml:space="preserve">AAACACTTTAAGTCCCTACGGGAT</t>
  </si>
  <si>
    <t xml:space="preserve">PSPPH_3744</t>
  </si>
  <si>
    <t xml:space="preserve">ATCGACAAGGGGTAGCGACC</t>
  </si>
  <si>
    <t xml:space="preserve">TAGTATCGACAAGGGGTAGCGACC</t>
  </si>
  <si>
    <t xml:space="preserve">AAACGGTCGCTACCCCTTGTCGAT</t>
  </si>
  <si>
    <t xml:space="preserve">CTTCAGCCCGGATAAGCTTG</t>
  </si>
  <si>
    <t xml:space="preserve">TAGTCTTCAGCCCGGATAAGCTTG</t>
  </si>
  <si>
    <t xml:space="preserve">AAACCAAGCTTATCCGGGCTGAAG</t>
  </si>
  <si>
    <t xml:space="preserve">PSPPH_3745</t>
  </si>
  <si>
    <t xml:space="preserve">nrdB</t>
  </si>
  <si>
    <t xml:space="preserve">GAATTCGTCCCAGCTCAGCA</t>
  </si>
  <si>
    <t xml:space="preserve">TAGTGAATTCGTCCCAGCTCAGCA</t>
  </si>
  <si>
    <t xml:space="preserve">AAACTGCTGAGCTGGGACGAATTC</t>
  </si>
  <si>
    <t xml:space="preserve">TTCGTTGGCGTGACCGGCGT</t>
  </si>
  <si>
    <t xml:space="preserve">TAGTTTCGTTGGCGTGACCGGCGT</t>
  </si>
  <si>
    <t xml:space="preserve">AAACACGCCGGTCACGCCAACGAA</t>
  </si>
  <si>
    <t xml:space="preserve">GCTGTCGAGGCGGTCCATGT</t>
  </si>
  <si>
    <t xml:space="preserve">TAGTGCTGTCGAGGCGGTCCATGT</t>
  </si>
  <si>
    <t xml:space="preserve">AAACACATGGACCGCCTCGACAGC</t>
  </si>
  <si>
    <t xml:space="preserve">TTCTTGTGCAGCCAGGCCAC</t>
  </si>
  <si>
    <t xml:space="preserve">TAGTTTCTTGTGCAGCCAGGCCAC</t>
  </si>
  <si>
    <t xml:space="preserve">AAACGTGGCCTGGCTGCACAAGAA</t>
  </si>
  <si>
    <t xml:space="preserve">PSPPH_3746</t>
  </si>
  <si>
    <t xml:space="preserve">TCAACAACATTTATGGAAAT</t>
  </si>
  <si>
    <t xml:space="preserve">TAGTTCAACAACATTTATGGAAAT</t>
  </si>
  <si>
    <t xml:space="preserve">AAACATTTCCATAAATGTTGTTGA</t>
  </si>
  <si>
    <t xml:space="preserve">AAATTTATTTTGAATGTCAC</t>
  </si>
  <si>
    <t xml:space="preserve">TAGTAAATTTATTTTGAATGTCAC</t>
  </si>
  <si>
    <t xml:space="preserve">AAACGTGACATTCAAAATAAATTT</t>
  </si>
  <si>
    <t xml:space="preserve">AATCGCTCAAACACTCGGGT</t>
  </si>
  <si>
    <t xml:space="preserve">TAGTAATCGCTCAAACACTCGGGT</t>
  </si>
  <si>
    <t xml:space="preserve">AAACACCCGAGTGTTTGAGCGATT</t>
  </si>
  <si>
    <t xml:space="preserve">CTTTCCCAATCCTTTTTTTC</t>
  </si>
  <si>
    <t xml:space="preserve">TAGTCTTTCCCAATCCTTTTTTTC</t>
  </si>
  <si>
    <t xml:space="preserve">AAACGAAAAAAAGGATTGGGAAAG</t>
  </si>
  <si>
    <t xml:space="preserve">PSPPH_3748</t>
  </si>
  <si>
    <t xml:space="preserve">GCCATAACTGCGACCCATCA</t>
  </si>
  <si>
    <t xml:space="preserve">TAGTGCCATAACTGCGACCCATCA</t>
  </si>
  <si>
    <t xml:space="preserve">AAACTGATGGGTCGCAGTTATGGC</t>
  </si>
  <si>
    <t xml:space="preserve">ATAAGTGAGGTATTGCGGGC</t>
  </si>
  <si>
    <t xml:space="preserve">TAGTATAAGTGAGGTATTGCGGGC</t>
  </si>
  <si>
    <t xml:space="preserve">AAACGCCCGCAATACCTCACTTAT</t>
  </si>
  <si>
    <t xml:space="preserve">ATGATTGTCTTTACGTCTGC</t>
  </si>
  <si>
    <t xml:space="preserve">TAGTATGATTGTCTTTACGTCTGC</t>
  </si>
  <si>
    <t xml:space="preserve">AAACGCAGACGTAAAGACAATCAT</t>
  </si>
  <si>
    <t xml:space="preserve">GTATAAAATTCGGTAATGTC</t>
  </si>
  <si>
    <t xml:space="preserve">TAGTGTATAAAATTCGGTAATGTC</t>
  </si>
  <si>
    <t xml:space="preserve">AAACGACATTACCGAATTTTATAC</t>
  </si>
  <si>
    <t xml:space="preserve">PSPPH_3749</t>
  </si>
  <si>
    <t xml:space="preserve">GTCAAGGGTCTCAGGTGACA</t>
  </si>
  <si>
    <t xml:space="preserve">TAGTGTCAAGGGTCTCAGGTGACA</t>
  </si>
  <si>
    <t xml:space="preserve">AAACTGTCACCTGAGACCCTTGAC</t>
  </si>
  <si>
    <t xml:space="preserve">TGTTCTCGGGAGCGCGCAAG</t>
  </si>
  <si>
    <t xml:space="preserve">TAGTTGTTCTCGGGAGCGCGCAAG</t>
  </si>
  <si>
    <t xml:space="preserve">AAACCTTGCGCGCTCCCGAGAACA</t>
  </si>
  <si>
    <t xml:space="preserve">CAGAGTCGAACAGATCGCCT</t>
  </si>
  <si>
    <t xml:space="preserve">TAGTCAGAGTCGAACAGATCGCCT</t>
  </si>
  <si>
    <t xml:space="preserve">AAACAGGCGATCTGTTCGACTCTG</t>
  </si>
  <si>
    <t xml:space="preserve">GGTCAACGAATGGGCTACCG</t>
  </si>
  <si>
    <t xml:space="preserve">TAGTGGTCAACGAATGGGCTACCG</t>
  </si>
  <si>
    <t xml:space="preserve">AAACCGGTAGCCCATTCGTTGACC</t>
  </si>
  <si>
    <t xml:space="preserve">PSPPH_3750</t>
  </si>
  <si>
    <t xml:space="preserve">CGTTCAATAATCGTATTCAT</t>
  </si>
  <si>
    <t xml:space="preserve">TAGTCGTTCAATAATCGTATTCAT</t>
  </si>
  <si>
    <t xml:space="preserve">AAACATGAATACGATTATTGAACG</t>
  </si>
  <si>
    <t xml:space="preserve">TTCGTTCGGGTAGCGCTGAA</t>
  </si>
  <si>
    <t xml:space="preserve">TAGTTTCGTTCGGGTAGCGCTGAA</t>
  </si>
  <si>
    <t xml:space="preserve">AAACTTCAGCGCTACCCGAACGAA</t>
  </si>
  <si>
    <t xml:space="preserve">ATAGCTGAGTTGCGTATCGT</t>
  </si>
  <si>
    <t xml:space="preserve">TAGTATAGCTGAGTTGCGTATCGT</t>
  </si>
  <si>
    <t xml:space="preserve">AAACACGATACGCAACTCAGCTAT</t>
  </si>
  <si>
    <t xml:space="preserve">ATTGACGTGTGCGAGCAACC</t>
  </si>
  <si>
    <t xml:space="preserve">TAGTATTGACGTGTGCGAGCAACC</t>
  </si>
  <si>
    <t xml:space="preserve">AAACGGTTGCTCGCACACGTCAAT</t>
  </si>
  <si>
    <t xml:space="preserve">PSPPH_3751</t>
  </si>
  <si>
    <t xml:space="preserve">GGTGAGGCCGACGTGGTTCA</t>
  </si>
  <si>
    <t xml:space="preserve">TAGTGGTGAGGCCGACGTGGTTCA</t>
  </si>
  <si>
    <t xml:space="preserve">AAACTGAACCACGTCGGCCTCACC</t>
  </si>
  <si>
    <t xml:space="preserve">GGTGTCATCGATATTCAAAA</t>
  </si>
  <si>
    <t xml:space="preserve">TAGTGGTGTCATCGATATTCAAAA</t>
  </si>
  <si>
    <t xml:space="preserve">AAACTTTTGAATATCGATGACACC</t>
  </si>
  <si>
    <t xml:space="preserve">TAACTGGCGGTAAAACGCCA</t>
  </si>
  <si>
    <t xml:space="preserve">TAGTTAACTGGCGGTAAAACGCCA</t>
  </si>
  <si>
    <t xml:space="preserve">AAACTGGCGTTTTACCGCCAGTTA</t>
  </si>
  <si>
    <t xml:space="preserve">CGCCTCCTCGTAAACTTCCA</t>
  </si>
  <si>
    <t xml:space="preserve">TAGTCGCCTCCTCGTAAACTTCCA</t>
  </si>
  <si>
    <t xml:space="preserve">AAACTGGAAGTTTACGAGGAGGCG</t>
  </si>
  <si>
    <t xml:space="preserve">PSPPH_3752</t>
  </si>
  <si>
    <t xml:space="preserve">ACAGGTACGCCGCTGCGTCC</t>
  </si>
  <si>
    <t xml:space="preserve">TAGTACAGGTACGCCGCTGCGTCC</t>
  </si>
  <si>
    <t xml:space="preserve">AAACGGACGCAGCGGCGTACCTGT</t>
  </si>
  <si>
    <t xml:space="preserve">CGGCCTCTTGATAGAACATA</t>
  </si>
  <si>
    <t xml:space="preserve">TAGTCGGCCTCTTGATAGAACATA</t>
  </si>
  <si>
    <t xml:space="preserve">AAACTATGTTCTATCAAGAGGCCG</t>
  </si>
  <si>
    <t xml:space="preserve">ACGAGCCGTTGGCAGGTCGT</t>
  </si>
  <si>
    <t xml:space="preserve">TAGTACGAGCCGTTGGCAGGTCGT</t>
  </si>
  <si>
    <t xml:space="preserve">AAACACGACCTGCCAACGGCTCGT</t>
  </si>
  <si>
    <t xml:space="preserve">CGACGTCTGGTTATCGAGAT</t>
  </si>
  <si>
    <t xml:space="preserve">TAGTCGACGTCTGGTTATCGAGAT</t>
  </si>
  <si>
    <t xml:space="preserve">AAACATCTCGATAACCAGACGTCG</t>
  </si>
  <si>
    <t xml:space="preserve">PSPPH_3753</t>
  </si>
  <si>
    <t xml:space="preserve">iucD</t>
  </si>
  <si>
    <t xml:space="preserve">AACACAGCCCGAGGTTGAAA</t>
  </si>
  <si>
    <t xml:space="preserve">TAGTAACACAGCCCGAGGTTGAAA</t>
  </si>
  <si>
    <t xml:space="preserve">AAACTTTCAACCTCGGGCTGTGTT</t>
  </si>
  <si>
    <t xml:space="preserve">AGGCTGTCAATACCGTCCAG</t>
  </si>
  <si>
    <t xml:space="preserve">TAGTAGGCTGTCAATACCGTCCAG</t>
  </si>
  <si>
    <t xml:space="preserve">AAACCTGGACGGTATTGACAGCCT</t>
  </si>
  <si>
    <t xml:space="preserve">GTGGCTTGGCTTCGAAAAAC</t>
  </si>
  <si>
    <t xml:space="preserve">TAGTGTGGCTTGGCTTCGAAAAAC</t>
  </si>
  <si>
    <t xml:space="preserve">AAACGTTTTTCGAAGCCAAGCCAC</t>
  </si>
  <si>
    <t xml:space="preserve">GTGACTAGGTCGGCCATAAA</t>
  </si>
  <si>
    <t xml:space="preserve">TAGTGTGACTAGGTCGGCCATAAA</t>
  </si>
  <si>
    <t xml:space="preserve">AAACTTTATGGCCGACCTAGTCAC</t>
  </si>
  <si>
    <t xml:space="preserve">PSPPH_3754</t>
  </si>
  <si>
    <t xml:space="preserve">TTGAAGGTACTGATAGCCGT</t>
  </si>
  <si>
    <t xml:space="preserve">TAGTTTGAAGGTACTGATAGCCGT</t>
  </si>
  <si>
    <t xml:space="preserve">AAACACGGCTATCAGTACCTTCAA</t>
  </si>
  <si>
    <t xml:space="preserve">TCTTTCGTAAAGTGGTAAAG</t>
  </si>
  <si>
    <t xml:space="preserve">TAGTTCTTTCGTAAAGTGGTAAAG</t>
  </si>
  <si>
    <t xml:space="preserve">AAACCTTTACCACTTTACGAAAGA</t>
  </si>
  <si>
    <t xml:space="preserve">ACGAGCGAACCTGCGACTCC</t>
  </si>
  <si>
    <t xml:space="preserve">TAGTACGAGCGAACCTGCGACTCC</t>
  </si>
  <si>
    <t xml:space="preserve">AAACGGAGTCGCAGGTTCGCTCGT</t>
  </si>
  <si>
    <t xml:space="preserve">TGGTGAACGGAAAGCGCCGT</t>
  </si>
  <si>
    <t xml:space="preserve">TAGTTGGTGAACGGAAAGCGCCGT</t>
  </si>
  <si>
    <t xml:space="preserve">AAACACGGCGCTTTCCGTTCACCA</t>
  </si>
  <si>
    <t xml:space="preserve">PSPPH_3755</t>
  </si>
  <si>
    <t xml:space="preserve">TTGTACGAAGTGGTGGCTCC</t>
  </si>
  <si>
    <t xml:space="preserve">TAGTTTGTACGAAGTGGTGGCTCC</t>
  </si>
  <si>
    <t xml:space="preserve">AAACGGAGCCACCACTTCGTACAA</t>
  </si>
  <si>
    <t xml:space="preserve">GCGACTGTGCCTTGAGACGA</t>
  </si>
  <si>
    <t xml:space="preserve">TAGTGCGACTGTGCCTTGAGACGA</t>
  </si>
  <si>
    <t xml:space="preserve">AAACTCGTCTCAAGGCACAGTCGC</t>
  </si>
  <si>
    <t xml:space="preserve">GGCGCAGTTTTCAATTATTC</t>
  </si>
  <si>
    <t xml:space="preserve">TAGTGGCGCAGTTTTCAATTATTC</t>
  </si>
  <si>
    <t xml:space="preserve">AAACGAATAATTGAAAACTGCGCC</t>
  </si>
  <si>
    <t xml:space="preserve">TGCAAGACCAGAATAAGGAC</t>
  </si>
  <si>
    <t xml:space="preserve">TAGTTGCAAGACCAGAATAAGGAC</t>
  </si>
  <si>
    <t xml:space="preserve">AAACGTCCTTATTCTGGTCTTGCA</t>
  </si>
  <si>
    <t xml:space="preserve">PSPPH_3756</t>
  </si>
  <si>
    <t xml:space="preserve">AGTGTTAATCCAGTTCAGCT</t>
  </si>
  <si>
    <t xml:space="preserve">TAGTAGTGTTAATCCAGTTCAGCT</t>
  </si>
  <si>
    <t xml:space="preserve">AAACAGCTGAACTGGATTAACACT</t>
  </si>
  <si>
    <t xml:space="preserve">TCGGTAATCGAGAAACTCTC</t>
  </si>
  <si>
    <t xml:space="preserve">TAGTTCGGTAATCGAGAAACTCTC</t>
  </si>
  <si>
    <t xml:space="preserve">AAACGAGAGTTTCTCGATTACCGA</t>
  </si>
  <si>
    <t xml:space="preserve">AGTCAGTATCAGGTGACGTA</t>
  </si>
  <si>
    <t xml:space="preserve">TAGTAGTCAGTATCAGGTGACGTA</t>
  </si>
  <si>
    <t xml:space="preserve">AAACTACGTCACCTGATACTGACT</t>
  </si>
  <si>
    <t xml:space="preserve">ATTGTATTCAAGACCATAAT</t>
  </si>
  <si>
    <t xml:space="preserve">TAGTATTGTATTCAAGACCATAAT</t>
  </si>
  <si>
    <t xml:space="preserve">AAACATTATGGTCTTGAATACAAT</t>
  </si>
  <si>
    <t xml:space="preserve">PSPPH_3757</t>
  </si>
  <si>
    <t xml:space="preserve">GGTCACGCCGTGGCGCAAAC</t>
  </si>
  <si>
    <t xml:space="preserve">TAGTGGTCACGCCGTGGCGCAAAC</t>
  </si>
  <si>
    <t xml:space="preserve">AAACGTTTGCGCCACGGCGTGACC</t>
  </si>
  <si>
    <t xml:space="preserve">TGACAGATCTTTTTCAGAAA</t>
  </si>
  <si>
    <t xml:space="preserve">TAGTTGACAGATCTTTTTCAGAAA</t>
  </si>
  <si>
    <t xml:space="preserve">AAACTTTCTGAAAAAGATCTGTCA</t>
  </si>
  <si>
    <t xml:space="preserve">CTGTCCCATCAGGTGGTCGA</t>
  </si>
  <si>
    <t xml:space="preserve">TAGTCTGTCCCATCAGGTGGTCGA</t>
  </si>
  <si>
    <t xml:space="preserve">AAACTCGACCACCTGATGGGACAG</t>
  </si>
  <si>
    <t xml:space="preserve">AAGCGCCTCCACGCCAGGCA</t>
  </si>
  <si>
    <t xml:space="preserve">TAGTAAGCGCCTCCACGCCAGGCA</t>
  </si>
  <si>
    <t xml:space="preserve">AAACTGCCTGGCGTGGAGGCGCTT</t>
  </si>
  <si>
    <t xml:space="preserve">PSPPH_3758</t>
  </si>
  <si>
    <t xml:space="preserve">GTTCTGAAACAACGGCTTGC</t>
  </si>
  <si>
    <t xml:space="preserve">TAGTGTTCTGAAACAACGGCTTGC</t>
  </si>
  <si>
    <t xml:space="preserve">AAACGCAAGCCGTTGTTTCAGAAC</t>
  </si>
  <si>
    <t xml:space="preserve">CTACTTCACCGCGGAATTTA</t>
  </si>
  <si>
    <t xml:space="preserve">TAGTCTACTTCACCGCGGAATTTA</t>
  </si>
  <si>
    <t xml:space="preserve">AAACTAAATTCCGCGGTGAAGTAG</t>
  </si>
  <si>
    <t xml:space="preserve">TCATAGCGATTGGTCAATTG</t>
  </si>
  <si>
    <t xml:space="preserve">TAGTTCATAGCGATTGGTCAATTG</t>
  </si>
  <si>
    <t xml:space="preserve">AAACCAATTGACCAATCGCTATGA</t>
  </si>
  <si>
    <t xml:space="preserve">TGGTGGGAATGATACGTATT</t>
  </si>
  <si>
    <t xml:space="preserve">TAGTTGGTGGGAATGATACGTATT</t>
  </si>
  <si>
    <t xml:space="preserve">AAACAATACGTATCATTCCCACCA</t>
  </si>
  <si>
    <t xml:space="preserve">PSPPH_3759</t>
  </si>
  <si>
    <t xml:space="preserve">AATCCACAAGCTCAAGCCTC</t>
  </si>
  <si>
    <t xml:space="preserve">TAGTAATCCACAAGCTCAAGCCTC</t>
  </si>
  <si>
    <t xml:space="preserve">AAACGAGGCTTGAGCTTGTGGATT</t>
  </si>
  <si>
    <t xml:space="preserve">CCGTCAGGAGCAAGCATGAC</t>
  </si>
  <si>
    <t xml:space="preserve">TAGTCCGTCAGGAGCAAGCATGAC</t>
  </si>
  <si>
    <t xml:space="preserve">AAACGTCATGCTTGCTCCTGACGG</t>
  </si>
  <si>
    <t xml:space="preserve">TGCCCACCTCTCCACCTTCA</t>
  </si>
  <si>
    <t xml:space="preserve">TAGTTGCCCACCTCTCCACCTTCA</t>
  </si>
  <si>
    <t xml:space="preserve">AAACTGAAGGTGGAGAGGTGGGCA</t>
  </si>
  <si>
    <t xml:space="preserve">CCACCCGCATCCCTTTTTGT</t>
  </si>
  <si>
    <t xml:space="preserve">TAGTCCACCCGCATCCCTTTTTGT</t>
  </si>
  <si>
    <t xml:space="preserve">AAACACAAAAAGGGATGCGGGTGG</t>
  </si>
  <si>
    <t xml:space="preserve">PSPPH_3760</t>
  </si>
  <si>
    <t xml:space="preserve">GTAGCAGTATTGGACGATAT</t>
  </si>
  <si>
    <t xml:space="preserve">TAGTGTAGCAGTATTGGACGATAT</t>
  </si>
  <si>
    <t xml:space="preserve">AAACATATCGTCCAATACTGCTAC</t>
  </si>
  <si>
    <t xml:space="preserve">AGCAACCCATCGGGAGACTC</t>
  </si>
  <si>
    <t xml:space="preserve">TAGTAGCAACCCATCGGGAGACTC</t>
  </si>
  <si>
    <t xml:space="preserve">AAACGAGTCTCCCGATGGGTTGCT</t>
  </si>
  <si>
    <t xml:space="preserve">GCCAGATGTTTTCAATGAGC</t>
  </si>
  <si>
    <t xml:space="preserve">TAGTGCCAGATGTTTTCAATGAGC</t>
  </si>
  <si>
    <t xml:space="preserve">AAACGCTCATTGAAAACATCTGGC</t>
  </si>
  <si>
    <t xml:space="preserve">GAACTGTTCTCGGGGGAGAG</t>
  </si>
  <si>
    <t xml:space="preserve">TAGTGAACTGTTCTCGGGGGAGAG</t>
  </si>
  <si>
    <t xml:space="preserve">AAACCTCTCCCCCGAGAACAGTTC</t>
  </si>
  <si>
    <t xml:space="preserve">PSPPH_3763</t>
  </si>
  <si>
    <t xml:space="preserve">CACGGCTCTTTTTTCGGTAT</t>
  </si>
  <si>
    <t xml:space="preserve">TAGTCACGGCTCTTTTTTCGGTAT</t>
  </si>
  <si>
    <t xml:space="preserve">AAACATACCGAAAAAAGAGCCGTG</t>
  </si>
  <si>
    <t xml:space="preserve">AATCCAGCCCACCGGACAGC</t>
  </si>
  <si>
    <t xml:space="preserve">TAGTAATCCAGCCCACCGGACAGC</t>
  </si>
  <si>
    <t xml:space="preserve">AAACGCTGTCCGGTGGGCTGGATT</t>
  </si>
  <si>
    <t xml:space="preserve">TGCGCGGGCCATGGCGACGA</t>
  </si>
  <si>
    <t xml:space="preserve">TAGTTGCGCGGGCCATGGCGACGA</t>
  </si>
  <si>
    <t xml:space="preserve">AAACTCGTCGCCATGGCCCGCGCA</t>
  </si>
  <si>
    <t xml:space="preserve">GTCGAAGCTCATGGTGTAGC</t>
  </si>
  <si>
    <t xml:space="preserve">TAGTGTCGAAGCTCATGGTGTAGC</t>
  </si>
  <si>
    <t xml:space="preserve">AAACGCTACACCATGAGCTTCGAC</t>
  </si>
  <si>
    <t xml:space="preserve">PSPPH_3764</t>
  </si>
  <si>
    <t xml:space="preserve">CTGCAACGAGTGAAAGATTT</t>
  </si>
  <si>
    <t xml:space="preserve">TAGTCTGCAACGAGTGAAAGATTT</t>
  </si>
  <si>
    <t xml:space="preserve">AAACAAATCTTTCACTCGTTGCAG</t>
  </si>
  <si>
    <t xml:space="preserve">GGTAGGCAGGCCAGCCGTAC</t>
  </si>
  <si>
    <t xml:space="preserve">TAGTGGTAGGCAGGCCAGCCGTAC</t>
  </si>
  <si>
    <t xml:space="preserve">AAACGTACGGCTGGCCTGCCTACC</t>
  </si>
  <si>
    <t xml:space="preserve">GCCGGTCAGGCGGACGAATA</t>
  </si>
  <si>
    <t xml:space="preserve">TAGTGCCGGTCAGGCGGACGAATA</t>
  </si>
  <si>
    <t xml:space="preserve">AAACTATTCGTCCGCCTGACCGGC</t>
  </si>
  <si>
    <t xml:space="preserve">CGCAATACTGACAGCGCAAT</t>
  </si>
  <si>
    <t xml:space="preserve">TAGTCGCAATACTGACAGCGCAAT</t>
  </si>
  <si>
    <t xml:space="preserve">AAACATTGCGCTGTCAGTATTGCG</t>
  </si>
  <si>
    <t xml:space="preserve">PSPPH_3765</t>
  </si>
  <si>
    <t xml:space="preserve">CCAAAACGGTTAGAGCACGT</t>
  </si>
  <si>
    <t xml:space="preserve">TAGTCCAAAACGGTTAGAGCACGT</t>
  </si>
  <si>
    <t xml:space="preserve">AAACACGTGCTCTAACCGTTTTGG</t>
  </si>
  <si>
    <t xml:space="preserve">CGCTGAAAGCGGGAGGGCGA</t>
  </si>
  <si>
    <t xml:space="preserve">TAGTCGCTGAAAGCGGGAGGGCGA</t>
  </si>
  <si>
    <t xml:space="preserve">AAACTCGCCCTCCCGCTTTCAGCG</t>
  </si>
  <si>
    <t xml:space="preserve">CCAGAATTGTTATCGACCAC</t>
  </si>
  <si>
    <t xml:space="preserve">TAGTCCAGAATTGTTATCGACCAC</t>
  </si>
  <si>
    <t xml:space="preserve">AAACGTGGTCGATAACAATTCTGG</t>
  </si>
  <si>
    <t xml:space="preserve">GACGTGCCATAACCCGCTGG</t>
  </si>
  <si>
    <t xml:space="preserve">TAGTGACGTGCCATAACCCGCTGG</t>
  </si>
  <si>
    <t xml:space="preserve">AAACCCAGCGGGTTATGGCACGTC</t>
  </si>
  <si>
    <t xml:space="preserve">PSPPH_3766</t>
  </si>
  <si>
    <t xml:space="preserve">pal</t>
  </si>
  <si>
    <t xml:space="preserve">GCAACCTACAGCTACAGCCA</t>
  </si>
  <si>
    <t xml:space="preserve">TAGTGCAACCTACAGCTACAGCCA</t>
  </si>
  <si>
    <t xml:space="preserve">AAACTGGCTGTAGCTGTAGGTTGC</t>
  </si>
  <si>
    <t xml:space="preserve">ACCGGCATTGTCGCCGCCTT</t>
  </si>
  <si>
    <t xml:space="preserve">TAGTACCGGCATTGTCGCCGCCTT</t>
  </si>
  <si>
    <t xml:space="preserve">AAACAAGGCGGCGACAATGCCGGT</t>
  </si>
  <si>
    <t xml:space="preserve">TGGCGCCGTAACCAGCGTTA</t>
  </si>
  <si>
    <t xml:space="preserve">TAGTTGGCGCCGTAACCAGCGTTA</t>
  </si>
  <si>
    <t xml:space="preserve">AAACTAACGCTGGTTACGGCGCCA</t>
  </si>
  <si>
    <t xml:space="preserve">GCCGTCAACTGCACCAGTGT</t>
  </si>
  <si>
    <t xml:space="preserve">TAGTGCCGTCAACTGCACCAGTGT</t>
  </si>
  <si>
    <t xml:space="preserve">AAACACACTGGTGCAGTTGACGGC</t>
  </si>
  <si>
    <t xml:space="preserve">PSPPH_3767</t>
  </si>
  <si>
    <t xml:space="preserve">tolB</t>
  </si>
  <si>
    <t xml:space="preserve">CGACCAGCAGTCCTCGAAAA</t>
  </si>
  <si>
    <t xml:space="preserve">TAGTCGACCAGCAGTCCTCGAAAA</t>
  </si>
  <si>
    <t xml:space="preserve">AAACTTTTCGAGGACTGCTGGTCG</t>
  </si>
  <si>
    <t xml:space="preserve">TTCTTCTGCCGACACCATTG</t>
  </si>
  <si>
    <t xml:space="preserve">TAGTTTCTTCTGCCGACACCATTG</t>
  </si>
  <si>
    <t xml:space="preserve">AAACCAATGGTGTCGGCAGAAGAA</t>
  </si>
  <si>
    <t xml:space="preserve">TGCTGCACGGTCACTGCCGC</t>
  </si>
  <si>
    <t xml:space="preserve">TAGTTGCTGCACGGTCACTGCCGC</t>
  </si>
  <si>
    <t xml:space="preserve">AAACGCGGCAGTGACCGTGCAGCA</t>
  </si>
  <si>
    <t xml:space="preserve">CCGAATGGCACAACAGCAAT</t>
  </si>
  <si>
    <t xml:space="preserve">TAGTCCGAATGGCACAACAGCAAT</t>
  </si>
  <si>
    <t xml:space="preserve">AAACATTGCTGTTGTGCCATTCGG</t>
  </si>
  <si>
    <t xml:space="preserve">PSPPH_3768</t>
  </si>
  <si>
    <t xml:space="preserve">tolA</t>
  </si>
  <si>
    <t xml:space="preserve">GAGGCGAACGGCTCTCGAAT</t>
  </si>
  <si>
    <t xml:space="preserve">TAGTGAGGCGAACGGCTCTCGAAT</t>
  </si>
  <si>
    <t xml:space="preserve">AAACATTCGAGAGCCGTTCGCCTC</t>
  </si>
  <si>
    <t xml:space="preserve">AATGCCACAGCCCAGACACT</t>
  </si>
  <si>
    <t xml:space="preserve">TAGTAATGCCACAGCCCAGACACT</t>
  </si>
  <si>
    <t xml:space="preserve">AAACAGTGTCTGGGCTGTGGCATT</t>
  </si>
  <si>
    <t xml:space="preserve">TTCGGGCAGATCCGGAGTCA</t>
  </si>
  <si>
    <t xml:space="preserve">TAGTTTCGGGCAGATCCGGAGTCA</t>
  </si>
  <si>
    <t xml:space="preserve">AAACTGACTCCGGATCTGCCCGAA</t>
  </si>
  <si>
    <t xml:space="preserve">CGTTGCCTGAACGATAGGCT</t>
  </si>
  <si>
    <t xml:space="preserve">TAGTCGTTGCCTGAACGATAGGCT</t>
  </si>
  <si>
    <t xml:space="preserve">AAACAGCCTATCGTTCAGGCAACG</t>
  </si>
  <si>
    <t xml:space="preserve">PSPPH_3769</t>
  </si>
  <si>
    <t xml:space="preserve">tolR2</t>
  </si>
  <si>
    <t xml:space="preserve">TCTCGAGCGATTAAAGCCAT</t>
  </si>
  <si>
    <t xml:space="preserve">TAGTTCTCGAGCGATTAAAGCCAT</t>
  </si>
  <si>
    <t xml:space="preserve">AAACATGGCTTTAATCGCTCGAGA</t>
  </si>
  <si>
    <t xml:space="preserve">ACTACGTTCATTTCGGCGAC</t>
  </si>
  <si>
    <t xml:space="preserve">TAGTACTACGTTCATTTCGGCGAC</t>
  </si>
  <si>
    <t xml:space="preserve">AAACGTCGCCGAAATGAACGTAGT</t>
  </si>
  <si>
    <t xml:space="preserve">TTCACGCCCTGGTTGATCAT</t>
  </si>
  <si>
    <t xml:space="preserve">TAGTTTCACGCCCTGGTTGATCAT</t>
  </si>
  <si>
    <t xml:space="preserve">AAACATGATCAACCAGGGCGTGAA</t>
  </si>
  <si>
    <t xml:space="preserve">AAAGCCTCGCTGGAGACCTT</t>
  </si>
  <si>
    <t xml:space="preserve">TAGTAAAGCCTCGCTGGAGACCTT</t>
  </si>
  <si>
    <t xml:space="preserve">AAACAAGGTCTCCAGCGAGGCTTT</t>
  </si>
  <si>
    <t xml:space="preserve">PSPPH_3770</t>
  </si>
  <si>
    <t xml:space="preserve">tolQ2</t>
  </si>
  <si>
    <t xml:space="preserve">CCAAACTCCACATGGAGGAA</t>
  </si>
  <si>
    <t xml:space="preserve">TAGTCCAAACTCCACATGGAGGAA</t>
  </si>
  <si>
    <t xml:space="preserve">AAACTTCCTCCATGTGGAGTTTGG</t>
  </si>
  <si>
    <t xml:space="preserve">TACCAACTGAACAACAATGC</t>
  </si>
  <si>
    <t xml:space="preserve">TAGTTACCAACTGAACAACAATGC</t>
  </si>
  <si>
    <t xml:space="preserve">AAACGCATTGTTGTTCAGTTGGTA</t>
  </si>
  <si>
    <t xml:space="preserve">GCCCGCCTGACGGTACAGTT</t>
  </si>
  <si>
    <t xml:space="preserve">TAGTGCCCGCCTGACGGTACAGTT</t>
  </si>
  <si>
    <t xml:space="preserve">AAACAACTGTACCGTCAGGCGGGC</t>
  </si>
  <si>
    <t xml:space="preserve">TCTACGCCAGAGTCCGGATC</t>
  </si>
  <si>
    <t xml:space="preserve">TAGTTCTACGCCAGAGTCCGGATC</t>
  </si>
  <si>
    <t xml:space="preserve">AAACGATCCGGACTCTGGCGTAGA</t>
  </si>
  <si>
    <t xml:space="preserve">PSPPH_3771</t>
  </si>
  <si>
    <t xml:space="preserve">GTAGACGATGCCGCCGGCAT</t>
  </si>
  <si>
    <t xml:space="preserve">TAGTGTAGACGATGCCGCCGGCAT</t>
  </si>
  <si>
    <t xml:space="preserve">AAACATGCCGGCGGCATCGTCTAC</t>
  </si>
  <si>
    <t xml:space="preserve">GCCCAATTCCCGCAGCCGCT</t>
  </si>
  <si>
    <t xml:space="preserve">TAGTGCCCAATTCCCGCAGCCGCT</t>
  </si>
  <si>
    <t xml:space="preserve">AAACAGCGGCTGCGGGAATTGGGC</t>
  </si>
  <si>
    <t xml:space="preserve">TTCCTGCGCCAGTTCGGATT</t>
  </si>
  <si>
    <t xml:space="preserve">TAGTTTCCTGCGCCAGTTCGGATT</t>
  </si>
  <si>
    <t xml:space="preserve">AAACAATCCGAACTGGCGCAGGAA</t>
  </si>
  <si>
    <t xml:space="preserve">TGGAGTGCACGACAAATAAA</t>
  </si>
  <si>
    <t xml:space="preserve">TAGTTGGAGTGCACGACAAATAAA</t>
  </si>
  <si>
    <t xml:space="preserve">AAACTTTATTTGTCGTGCACTCCA</t>
  </si>
  <si>
    <t xml:space="preserve">PSPPH_3772</t>
  </si>
  <si>
    <t xml:space="preserve">ruvB</t>
  </si>
  <si>
    <t xml:space="preserve">AGCGGCGGTTATCAGACGGT</t>
  </si>
  <si>
    <t xml:space="preserve">TAGTAGCGGCGGTTATCAGACGGT</t>
  </si>
  <si>
    <t xml:space="preserve">AAACACCGTCTGATAACCGCCGCT</t>
  </si>
  <si>
    <t xml:space="preserve">CCATCTGTTCATCACGATCA</t>
  </si>
  <si>
    <t xml:space="preserve">TAGTCCATCTGTTCATCACGATCA</t>
  </si>
  <si>
    <t xml:space="preserve">AAACTGATCGTGATGAACAGATGG</t>
  </si>
  <si>
    <t xml:space="preserve">GGCTTAGTGGCCGAATCGCA</t>
  </si>
  <si>
    <t xml:space="preserve">TAGTGGCTTAGTGGCCGAATCGCA</t>
  </si>
  <si>
    <t xml:space="preserve">AAACTGCGATTCGGCCACTAAGCC</t>
  </si>
  <si>
    <t xml:space="preserve">GCTGGCCGATGTAGTCCGCA</t>
  </si>
  <si>
    <t xml:space="preserve">TAGTGCTGGCCGATGTAGTCCGCA</t>
  </si>
  <si>
    <t xml:space="preserve">AAACTGCGGACTACATCGGCCAGC</t>
  </si>
  <si>
    <t xml:space="preserve">PSPPH_3773</t>
  </si>
  <si>
    <t xml:space="preserve">ruvA</t>
  </si>
  <si>
    <t xml:space="preserve">CAGATGCGGAGGCTGTTTTT</t>
  </si>
  <si>
    <t xml:space="preserve">TAGTCAGATGCGGAGGCTGTTTTT</t>
  </si>
  <si>
    <t xml:space="preserve">AAACAAAAACAGCCTCCGCATCTG</t>
  </si>
  <si>
    <t xml:space="preserve">AACCGATACAGTGTCGTCAT</t>
  </si>
  <si>
    <t xml:space="preserve">TAGTAACCGATACAGTGTCGTCAT</t>
  </si>
  <si>
    <t xml:space="preserve">AAACATGACGACACTGTATCGGTT</t>
  </si>
  <si>
    <t xml:space="preserve">GTCACTGTTTCGCCGACATG</t>
  </si>
  <si>
    <t xml:space="preserve">TAGTGTCACTGTTTCGCCGACATG</t>
  </si>
  <si>
    <t xml:space="preserve">AAACCATGTCGGCGAAACAGTGAC</t>
  </si>
  <si>
    <t xml:space="preserve">GTCCTCGCGGACCACCAGAT</t>
  </si>
  <si>
    <t xml:space="preserve">TAGTGTCCTCGCGGACCACCAGAT</t>
  </si>
  <si>
    <t xml:space="preserve">AAACATCTGGTGGTCCGCGAGGAC</t>
  </si>
  <si>
    <t xml:space="preserve">PSPPH_3774</t>
  </si>
  <si>
    <t xml:space="preserve">ruvC</t>
  </si>
  <si>
    <t xml:space="preserve">AGCCGGTGATTCGCGAACCG</t>
  </si>
  <si>
    <t xml:space="preserve">TAGTAGCCGGTGATTCGCGAACCG</t>
  </si>
  <si>
    <t xml:space="preserve">AAACCGGTTCGCGAATCACCGGCT</t>
  </si>
  <si>
    <t xml:space="preserve">GACGTAGACACAACCGCGCC</t>
  </si>
  <si>
    <t xml:space="preserve">TAGTGACGTAGACACAACCGCGCC</t>
  </si>
  <si>
    <t xml:space="preserve">AAACGGCGCGGTTGTGTCTACGTC</t>
  </si>
  <si>
    <t xml:space="preserve">ACTGCCGGTACGAATGCACC</t>
  </si>
  <si>
    <t xml:space="preserve">TAGTACTGCCGGTACGAATGCACC</t>
  </si>
  <si>
    <t xml:space="preserve">AAACGGTGCATTCGTACCGGCAGT</t>
  </si>
  <si>
    <t xml:space="preserve">GCCCATCGTCACCGGCCCGT</t>
  </si>
  <si>
    <t xml:space="preserve">TAGTGCCCATCGTCACCGGCCCGT</t>
  </si>
  <si>
    <t xml:space="preserve">AAACACGGGCCGGTGACGATGGGC</t>
  </si>
  <si>
    <t xml:space="preserve">PSPPH_3775</t>
  </si>
  <si>
    <t xml:space="preserve">TGGCATCCTGACGCTCTTTG</t>
  </si>
  <si>
    <t xml:space="preserve">TAGTTGGCATCCTGACGCTCTTTG</t>
  </si>
  <si>
    <t xml:space="preserve">AAACCAAAGAGCGTCAGGATGCCA</t>
  </si>
  <si>
    <t xml:space="preserve">GGTGAAAATCTTGCCTTTCT</t>
  </si>
  <si>
    <t xml:space="preserve">TAGTGGTGAAAATCTTGCCTTTCT</t>
  </si>
  <si>
    <t xml:space="preserve">AAACAGAAAGGCAAGATTTTCACC</t>
  </si>
  <si>
    <t xml:space="preserve">GGTCAGCTCACGAATCCACT</t>
  </si>
  <si>
    <t xml:space="preserve">TAGTGGTCAGCTCACGAATCCACT</t>
  </si>
  <si>
    <t xml:space="preserve">AAACAGTGGATTCGTGAGCTGACC</t>
  </si>
  <si>
    <t xml:space="preserve">CGCAGACGCGGGTTGGAACC</t>
  </si>
  <si>
    <t xml:space="preserve">TAGTCGCAGACGCGGGTTGGAACC</t>
  </si>
  <si>
    <t xml:space="preserve">AAACGGTTCCAACCCGCGTCTGCG</t>
  </si>
  <si>
    <t xml:space="preserve">PSPPH_3776</t>
  </si>
  <si>
    <t xml:space="preserve">aspS</t>
  </si>
  <si>
    <t xml:space="preserve">CGTTCAGTTGGCCGCAATAA</t>
  </si>
  <si>
    <t xml:space="preserve">TAGTCGTTCAGTTGGCCGCAATAA</t>
  </si>
  <si>
    <t xml:space="preserve">AAACTTATTGCGGCCAACTGAACG</t>
  </si>
  <si>
    <t xml:space="preserve">ATCCGCAAAGGGTAATTTCC</t>
  </si>
  <si>
    <t xml:space="preserve">TAGTATCCGCAAAGGGTAATTTCC</t>
  </si>
  <si>
    <t xml:space="preserve">AAACGGAAATTACCCTTTGCGGAT</t>
  </si>
  <si>
    <t xml:space="preserve">CTCCGTGGTCACGACGACGG</t>
  </si>
  <si>
    <t xml:space="preserve">TAGTCTCCGTGGTCACGACGACGG</t>
  </si>
  <si>
    <t xml:space="preserve">AAACCCGTCGTCGTGACCACGGAG</t>
  </si>
  <si>
    <t xml:space="preserve">CTTCACGGTCGCGGATATCG</t>
  </si>
  <si>
    <t xml:space="preserve">TAGTCTTCACGGTCGCGGATATCG</t>
  </si>
  <si>
    <t xml:space="preserve">AAACCGATATCCGCGACCGTGAAG</t>
  </si>
  <si>
    <t xml:space="preserve">PSPPH_3777</t>
  </si>
  <si>
    <t xml:space="preserve">AATCTTCGACAAAGGGGTCA</t>
  </si>
  <si>
    <t xml:space="preserve">TAGTAATCTTCGACAAAGGGGTCA</t>
  </si>
  <si>
    <t xml:space="preserve">AAACTGACCCCTTTGTCGAAGATT</t>
  </si>
  <si>
    <t xml:space="preserve">TTTGGAATGAGGCTGCGCTA</t>
  </si>
  <si>
    <t xml:space="preserve">TAGTTTTGGAATGAGGCTGCGCTA</t>
  </si>
  <si>
    <t xml:space="preserve">AAACTAGCGCAGCCTCATTCCAAA</t>
  </si>
  <si>
    <t xml:space="preserve">AGCCAGACCATTGAGCCGAA</t>
  </si>
  <si>
    <t xml:space="preserve">TAGTAGCCAGACCATTGAGCCGAA</t>
  </si>
  <si>
    <t xml:space="preserve">AAACTTCGGCTCAATGGTCTGGCT</t>
  </si>
  <si>
    <t xml:space="preserve">AATACACGTTCTCCAGGCGC</t>
  </si>
  <si>
    <t xml:space="preserve">TAGTAATACACGTTCTCCAGGCGC</t>
  </si>
  <si>
    <t xml:space="preserve">AAACGCGCCTGGAGAACGTGTATT</t>
  </si>
  <si>
    <t xml:space="preserve">PSPPH_3778</t>
  </si>
  <si>
    <t xml:space="preserve">AGTGAAAGTTGTGAGTCTTG</t>
  </si>
  <si>
    <t xml:space="preserve">TAGTAGTGAAAGTTGTGAGTCTTG</t>
  </si>
  <si>
    <t xml:space="preserve">AAACCAAGACTCACAACTTTCACT</t>
  </si>
  <si>
    <t xml:space="preserve">AAATGCAGCGTGCGAAACAT</t>
  </si>
  <si>
    <t xml:space="preserve">TAGTAAATGCAGCGTGCGAAACAT</t>
  </si>
  <si>
    <t xml:space="preserve">AAACATGTTTCGCACGCTGCATTT</t>
  </si>
  <si>
    <t xml:space="preserve">GCCCAACGCACGAATACGCT</t>
  </si>
  <si>
    <t xml:space="preserve">TAGTGCCCAACGCACGAATACGCT</t>
  </si>
  <si>
    <t xml:space="preserve">AAACAGCGTATTCGTGCGTTGGGC</t>
  </si>
  <si>
    <t xml:space="preserve">GTCGAATAAGTGCCAGGAGC</t>
  </si>
  <si>
    <t xml:space="preserve">TAGTGTCGAATAAGTGCCAGGAGC</t>
  </si>
  <si>
    <t xml:space="preserve">AAACGCTCCTGGCACTTATTCGAC</t>
  </si>
  <si>
    <t xml:space="preserve">PSPPH_3779</t>
  </si>
  <si>
    <t xml:space="preserve">GGAGGTGTTGAACCACTTTA</t>
  </si>
  <si>
    <t xml:space="preserve">TAGTGGAGGTGTTGAACCACTTTA</t>
  </si>
  <si>
    <t xml:space="preserve">AAACTAAAGTGGTTCAACACCTCC</t>
  </si>
  <si>
    <t xml:space="preserve">GGAGATAAAGCCGAAGCCCT</t>
  </si>
  <si>
    <t xml:space="preserve">TAGTGGAGATAAAGCCGAAGCCCT</t>
  </si>
  <si>
    <t xml:space="preserve">AAACAGGGCTTCGGCTTTATCTCC</t>
  </si>
  <si>
    <t xml:space="preserve">AATATCGTCGCCGGAATCCC</t>
  </si>
  <si>
    <t xml:space="preserve">TAGTAATATCGTCGCCGGAATCCC</t>
  </si>
  <si>
    <t xml:space="preserve">AAACGGGATTCCGGCGACGATATT</t>
  </si>
  <si>
    <t xml:space="preserve">GCGATGGCCTTCACCGCGAA</t>
  </si>
  <si>
    <t xml:space="preserve">TAGTGCGATGGCCTTCACCGCGAA</t>
  </si>
  <si>
    <t xml:space="preserve">AAACTTCGCGGTGAAGGCCATCGC</t>
  </si>
  <si>
    <t xml:space="preserve">PSPPH_3780</t>
  </si>
  <si>
    <t xml:space="preserve">GCTCCATGACTCGCTCTTCA</t>
  </si>
  <si>
    <t xml:space="preserve">TAGTGCTCCATGACTCGCTCTTCA</t>
  </si>
  <si>
    <t xml:space="preserve">AAACTGAAGAGCGAGTCATGGAGC</t>
  </si>
  <si>
    <t xml:space="preserve">TATCGTCCTGAAAGGCCATA</t>
  </si>
  <si>
    <t xml:space="preserve">TAGTTATCGTCCTGAAAGGCCATA</t>
  </si>
  <si>
    <t xml:space="preserve">AAACTATGGCCTTTCAGGACGATA</t>
  </si>
  <si>
    <t xml:space="preserve">TGGCGGCGCTTCTTCCTCGA</t>
  </si>
  <si>
    <t xml:space="preserve">TAGTTGGCGGCGCTTCTTCCTCGA</t>
  </si>
  <si>
    <t xml:space="preserve">AAACTCGAGGAAGAAGCGCCGCCA</t>
  </si>
  <si>
    <t xml:space="preserve">PSPPH_3781</t>
  </si>
  <si>
    <t xml:space="preserve">CGGAAAGTCGCCAATGGGCA</t>
  </si>
  <si>
    <t xml:space="preserve">TAGTCGGAAAGTCGCCAATGGGCA</t>
  </si>
  <si>
    <t xml:space="preserve">AAACTGCCCATTGGCGACTTTCCG</t>
  </si>
  <si>
    <t xml:space="preserve">GAGAGCAGTAACCGGCACAG</t>
  </si>
  <si>
    <t xml:space="preserve">TAGTGAGAGCAGTAACCGGCACAG</t>
  </si>
  <si>
    <t xml:space="preserve">AAACCTGTGCCGGTTACTGCTCTC</t>
  </si>
  <si>
    <t xml:space="preserve">CCACGGGTAATGACTGTCAT</t>
  </si>
  <si>
    <t xml:space="preserve">TAGTCCACGGGTAATGACTGTCAT</t>
  </si>
  <si>
    <t xml:space="preserve">AAACATGACAGTCATTACCCGTGG</t>
  </si>
  <si>
    <t xml:space="preserve">TCAGTGATATCAGCCCGACG</t>
  </si>
  <si>
    <t xml:space="preserve">TAGTTCAGTGATATCAGCCCGACG</t>
  </si>
  <si>
    <t xml:space="preserve">AAACCGTCGGGCTGATATCACTGA</t>
  </si>
  <si>
    <t xml:space="preserve">PSPPH_3782</t>
  </si>
  <si>
    <t xml:space="preserve">TTGGGTGCTGGCTGCCGTAA</t>
  </si>
  <si>
    <t xml:space="preserve">TAGTTTGGGTGCTGGCTGCCGTAA</t>
  </si>
  <si>
    <t xml:space="preserve">AAACTTACGGCAGCCAGCACCCAA</t>
  </si>
  <si>
    <t xml:space="preserve">TCAGCCTGATCGCTGACGAA</t>
  </si>
  <si>
    <t xml:space="preserve">TAGTTCAGCCTGATCGCTGACGAA</t>
  </si>
  <si>
    <t xml:space="preserve">AAACTTCGTCAGCGATCAGGCTGA</t>
  </si>
  <si>
    <t xml:space="preserve">GCTGCCTTCCACAAAGCCCT</t>
  </si>
  <si>
    <t xml:space="preserve">TAGTGCTGCCTTCCACAAAGCCCT</t>
  </si>
  <si>
    <t xml:space="preserve">AAACAGGGCTTTGTGGAAGGCAGC</t>
  </si>
  <si>
    <t xml:space="preserve">AATAGTAATTGCGCAACTTC</t>
  </si>
  <si>
    <t xml:space="preserve">TAGTAATAGTAATTGCGCAACTTC</t>
  </si>
  <si>
    <t xml:space="preserve">AAACGAAGTTGCGCAATTACTATT</t>
  </si>
  <si>
    <t xml:space="preserve">PSPPH_3783</t>
  </si>
  <si>
    <t xml:space="preserve">proS</t>
  </si>
  <si>
    <t xml:space="preserve">CAAAAATTGACTGGTGCGCA</t>
  </si>
  <si>
    <t xml:space="preserve">TAGTCAAAAATTGACTGGTGCGCA</t>
  </si>
  <si>
    <t xml:space="preserve">AAACTGCGCACCAGTCAATTTTTG</t>
  </si>
  <si>
    <t xml:space="preserve">GGAAGGGGTTTCTTTCTGTG</t>
  </si>
  <si>
    <t xml:space="preserve">TAGTGGAAGGGGTTTCTTTCTGTG</t>
  </si>
  <si>
    <t xml:space="preserve">AAACCACAGAAAGAAACCCCTTCC</t>
  </si>
  <si>
    <t xml:space="preserve">ATGGCTGACCACGACCGCAT</t>
  </si>
  <si>
    <t xml:space="preserve">TAGTATGGCTGACCACGACCGCAT</t>
  </si>
  <si>
    <t xml:space="preserve">AAACATGCGGTCGTGGTCAGCCAT</t>
  </si>
  <si>
    <t xml:space="preserve">GGGCAGCCAGGTGTAAAGAC</t>
  </si>
  <si>
    <t xml:space="preserve">TAGTGGGCAGCCAGGTGTAAAGAC</t>
  </si>
  <si>
    <t xml:space="preserve">AAACGTCTTTACACCTGGCTGCCC</t>
  </si>
  <si>
    <t xml:space="preserve">PSPPH_3784</t>
  </si>
  <si>
    <t xml:space="preserve">AAGGTGCTTCGTTTGAGCAT</t>
  </si>
  <si>
    <t xml:space="preserve">TAGTAAGGTGCTTCGTTTGAGCAT</t>
  </si>
  <si>
    <t xml:space="preserve">AAACATGCTCAAACGAAGCACCTT</t>
  </si>
  <si>
    <t xml:space="preserve">CGCAAAGGACGGCGCTGCCG</t>
  </si>
  <si>
    <t xml:space="preserve">TAGTCGCAAAGGACGGCGCTGCCG</t>
  </si>
  <si>
    <t xml:space="preserve">AAACCGGCAGCGCCGTCCTTTGCG</t>
  </si>
  <si>
    <t xml:space="preserve">ACTGCGTTGTGATAGCTGAT</t>
  </si>
  <si>
    <t xml:space="preserve">TAGTACTGCGTTGTGATAGCTGAT</t>
  </si>
  <si>
    <t xml:space="preserve">AAACATCAGCTATCACAACGCAGT</t>
  </si>
  <si>
    <t xml:space="preserve">TGCGGTAACTCCAGCGTTTT</t>
  </si>
  <si>
    <t xml:space="preserve">TAGTTGCGGTAACTCCAGCGTTTT</t>
  </si>
  <si>
    <t xml:space="preserve">AAACAAAACGCTGGAGTTACCGCA</t>
  </si>
  <si>
    <t xml:space="preserve">PSPPH_3785</t>
  </si>
  <si>
    <t xml:space="preserve">dinP</t>
  </si>
  <si>
    <t xml:space="preserve">AAAAGCAGTCACAGTCGATA</t>
  </si>
  <si>
    <t xml:space="preserve">TAGTAAAAGCAGTCACAGTCGATA</t>
  </si>
  <si>
    <t xml:space="preserve">AAACTATCGACTGTGACTGCTTTT</t>
  </si>
  <si>
    <t xml:space="preserve">GGGCTCGTCACGCATTTCAA</t>
  </si>
  <si>
    <t xml:space="preserve">TAGTGGGCTCGTCACGCATTTCAA</t>
  </si>
  <si>
    <t xml:space="preserve">AAACTTGAAATGCGTGACGAGCCC</t>
  </si>
  <si>
    <t xml:space="preserve">AGCGGCTTGCCAGCGAGTTC</t>
  </si>
  <si>
    <t xml:space="preserve">TAGTAGCGGCTTGCCAGCGAGTTC</t>
  </si>
  <si>
    <t xml:space="preserve">AAACGAACTCGCTGGCAAGCCGCT</t>
  </si>
  <si>
    <t xml:space="preserve">AGCGCGCGCCTCATAATTAC</t>
  </si>
  <si>
    <t xml:space="preserve">TAGTAGCGCGCGCCTCATAATTAC</t>
  </si>
  <si>
    <t xml:space="preserve">AAACGTAATTATGAGGCGCGCGCT</t>
  </si>
  <si>
    <t xml:space="preserve">PSPPH_3788</t>
  </si>
  <si>
    <t xml:space="preserve">ATCAACGGTTTCATTGGAAT</t>
  </si>
  <si>
    <t xml:space="preserve">TAGTATCAACGGTTTCATTGGAAT</t>
  </si>
  <si>
    <t xml:space="preserve">AAACATTCCAATGAAACCGTTGAT</t>
  </si>
  <si>
    <t xml:space="preserve">TTCTGGCGTGGCGGGCTGCC</t>
  </si>
  <si>
    <t xml:space="preserve">TAGTTTCTGGCGTGGCGGGCTGCC</t>
  </si>
  <si>
    <t xml:space="preserve">AAACGGCAGCCCGCCACGCCAGAA</t>
  </si>
  <si>
    <t xml:space="preserve">CCGCCAGCCCGATAGGCTGC</t>
  </si>
  <si>
    <t xml:space="preserve">TAGTCCGCCAGCCCGATAGGCTGC</t>
  </si>
  <si>
    <t xml:space="preserve">AAACGCAGCCTATCGGGCTGGCGG</t>
  </si>
  <si>
    <t xml:space="preserve">GGCGGCAGGCAATAAGGGCC</t>
  </si>
  <si>
    <t xml:space="preserve">TAGTGGCGGCAGGCAATAAGGGCC</t>
  </si>
  <si>
    <t xml:space="preserve">AAACGGCCCTTATTGCCTGCCGCC</t>
  </si>
  <si>
    <t xml:space="preserve">PSPPH_3789</t>
  </si>
  <si>
    <t xml:space="preserve">AGCTGCAAGCAAAAGGCGCC</t>
  </si>
  <si>
    <t xml:space="preserve">TAGTAGCTGCAAGCAAAAGGCGCC</t>
  </si>
  <si>
    <t xml:space="preserve">AAACGGCGCCTTTTGCTTGCAGCT</t>
  </si>
  <si>
    <t xml:space="preserve">GCGATGCGGGCGGGGCAGGG</t>
  </si>
  <si>
    <t xml:space="preserve">TAGTGCGATGCGGGCGGGGCAGGG</t>
  </si>
  <si>
    <t xml:space="preserve">AAACCCCTGCCCCGCCCGCATCGC</t>
  </si>
  <si>
    <t xml:space="preserve">TCAGTGGCGCGCCACCGTCA</t>
  </si>
  <si>
    <t xml:space="preserve">TAGTTCAGTGGCGCGCCACCGTCA</t>
  </si>
  <si>
    <t xml:space="preserve">AAACTGACGGTGGCGCGCCACTGA</t>
  </si>
  <si>
    <t xml:space="preserve">GCTGGTGGCCGGTGTCACGC</t>
  </si>
  <si>
    <t xml:space="preserve">TAGTGCTGGTGGCCGGTGTCACGC</t>
  </si>
  <si>
    <t xml:space="preserve">AAACGCGTGACACCGGCCACCAGC</t>
  </si>
  <si>
    <t xml:space="preserve">PSPPH_3790</t>
  </si>
  <si>
    <t xml:space="preserve">kup</t>
  </si>
  <si>
    <t xml:space="preserve">GATAGGCTTGGCAGTGCCTG</t>
  </si>
  <si>
    <t xml:space="preserve">TAGTGATAGGCTTGGCAGTGCCTG</t>
  </si>
  <si>
    <t xml:space="preserve">AAACCAGGCACTGCCAAGCCTATC</t>
  </si>
  <si>
    <t xml:space="preserve">CTTCCTTGAGGGTGTACAGC</t>
  </si>
  <si>
    <t xml:space="preserve">TAGTCTTCCTTGAGGGTGTACAGC</t>
  </si>
  <si>
    <t xml:space="preserve">AAACGCTGTACACCCTCAAGGAAG</t>
  </si>
  <si>
    <t xml:space="preserve">CCATGATGCCGCCCTCGCCC</t>
  </si>
  <si>
    <t xml:space="preserve">TAGTCCATGATGCCGCCCTCGCCC</t>
  </si>
  <si>
    <t xml:space="preserve">AAACGGGCGAGGGCGGCATCATGG</t>
  </si>
  <si>
    <t xml:space="preserve">CATTTGCAGTTTGGGGTGTT</t>
  </si>
  <si>
    <t xml:space="preserve">TAGTCATTTGCAGTTTGGGGTGTT</t>
  </si>
  <si>
    <t xml:space="preserve">AAACAACACCCCAAACTGCAAATG</t>
  </si>
  <si>
    <t xml:space="preserve">PSPPH_3791</t>
  </si>
  <si>
    <t xml:space="preserve">AATGAAGGCTGGAAGCGTAA</t>
  </si>
  <si>
    <t xml:space="preserve">TAGTAATGAAGGCTGGAAGCGTAA</t>
  </si>
  <si>
    <t xml:space="preserve">AAACTTACGCTTCCAGCCTTCATT</t>
  </si>
  <si>
    <t xml:space="preserve">CTGGTTTGCGCTTCATCGTC</t>
  </si>
  <si>
    <t xml:space="preserve">TAGTCTGGTTTGCGCTTCATCGTC</t>
  </si>
  <si>
    <t xml:space="preserve">AAACGACGATGAAGCGCAAACCAG</t>
  </si>
  <si>
    <t xml:space="preserve">GGTTTCAAGAATGGAATGCA</t>
  </si>
  <si>
    <t xml:space="preserve">TAGTGGTTTCAAGAATGGAATGCA</t>
  </si>
  <si>
    <t xml:space="preserve">AAACTGCATTCCATTCTTGAAACC</t>
  </si>
  <si>
    <t xml:space="preserve">GTGCCCGGTGTCTTGCAGAG</t>
  </si>
  <si>
    <t xml:space="preserve">TAGTGTGCCCGGTGTCTTGCAGAG</t>
  </si>
  <si>
    <t xml:space="preserve">AAACCTCTGCAAGACACCGGGCAC</t>
  </si>
  <si>
    <t xml:space="preserve">PSPPH_3792</t>
  </si>
  <si>
    <t xml:space="preserve">CGGCGTGGTGACGGTGGACA</t>
  </si>
  <si>
    <t xml:space="preserve">TAGTCGGCGTGGTGACGGTGGACA</t>
  </si>
  <si>
    <t xml:space="preserve">AAACTGTCCACCGTCACCACGCCG</t>
  </si>
  <si>
    <t xml:space="preserve">AATCCGACCTTTGGGGCGGA</t>
  </si>
  <si>
    <t xml:space="preserve">TAGTAATCCGACCTTTGGGGCGGA</t>
  </si>
  <si>
    <t xml:space="preserve">AAACTCCGCCCCAAAGGTCGGATT</t>
  </si>
  <si>
    <t xml:space="preserve">CGGAATCAACGAGTGCCTTC</t>
  </si>
  <si>
    <t xml:space="preserve">TAGTCGGAATCAACGAGTGCCTTC</t>
  </si>
  <si>
    <t xml:space="preserve">AAACGAAGGCACTCGTTGATTCCG</t>
  </si>
  <si>
    <t xml:space="preserve">CAGCTGGGTCAGGATGCGTT</t>
  </si>
  <si>
    <t xml:space="preserve">TAGTCAGCTGGGTCAGGATGCGTT</t>
  </si>
  <si>
    <t xml:space="preserve">AAACAACGCATCCTGACCCAGCTG</t>
  </si>
  <si>
    <t xml:space="preserve">PSPPH_3793</t>
  </si>
  <si>
    <t xml:space="preserve">CGGGTAATCGTTGGTGTCCG</t>
  </si>
  <si>
    <t xml:space="preserve">TAGTCGGGTAATCGTTGGTGTCCG</t>
  </si>
  <si>
    <t xml:space="preserve">AAACCGGACACCAACGATTACCCG</t>
  </si>
  <si>
    <t xml:space="preserve">TCCCACACCTCGCTCATCTC</t>
  </si>
  <si>
    <t xml:space="preserve">TAGTTCCCACACCTCGCTCATCTC</t>
  </si>
  <si>
    <t xml:space="preserve">AAACGAGATGAGCGAGGTGTGGGA</t>
  </si>
  <si>
    <t xml:space="preserve">GTCCGGTAGAAAGTCATGGG</t>
  </si>
  <si>
    <t xml:space="preserve">TAGTGTCCGGTAGAAAGTCATGGG</t>
  </si>
  <si>
    <t xml:space="preserve">AAACCCCATGACTTTCTACCGGAC</t>
  </si>
  <si>
    <t xml:space="preserve">GATGTTGAGCTGCTCATCCC</t>
  </si>
  <si>
    <t xml:space="preserve">TAGTGATGTTGAGCTGCTCATCCC</t>
  </si>
  <si>
    <t xml:space="preserve">AAACGGGATGAGCAGCTCAACATC</t>
  </si>
  <si>
    <t xml:space="preserve">PSPPH_3794</t>
  </si>
  <si>
    <t xml:space="preserve">GGCGTTTGGAAAGGCGAATG</t>
  </si>
  <si>
    <t xml:space="preserve">TAGTGGCGTTTGGAAAGGCGAATG</t>
  </si>
  <si>
    <t xml:space="preserve">AAACCATTCGCCTTTCCAAACGCC</t>
  </si>
  <si>
    <t xml:space="preserve">AGCAACCGACCAGCTCGATA</t>
  </si>
  <si>
    <t xml:space="preserve">TAGTAGCAACCGACCAGCTCGATA</t>
  </si>
  <si>
    <t xml:space="preserve">AAACTATCGAGCTGGTCGGTTGCT</t>
  </si>
  <si>
    <t xml:space="preserve">AAACAGTTCGGCCTCCCGGC</t>
  </si>
  <si>
    <t xml:space="preserve">TAGTAAACAGTTCGGCCTCCCGGC</t>
  </si>
  <si>
    <t xml:space="preserve">AAACGCCGGGAGGCCGAACTGTTT</t>
  </si>
  <si>
    <t xml:space="preserve">TGGGTGCTGACCTTGAAGTG</t>
  </si>
  <si>
    <t xml:space="preserve">TAGTTGGGTGCTGACCTTGAAGTG</t>
  </si>
  <si>
    <t xml:space="preserve">AAACCACTTCAAGGTCAGCACCCA</t>
  </si>
  <si>
    <t xml:space="preserve">PSPPH_3795</t>
  </si>
  <si>
    <t xml:space="preserve">GCTTTTGGACACTTCAAAAC</t>
  </si>
  <si>
    <t xml:space="preserve">TAGTGCTTTTGGACACTTCAAAAC</t>
  </si>
  <si>
    <t xml:space="preserve">AAACGTTTTGAAGTGTCCAAAAGC</t>
  </si>
  <si>
    <t xml:space="preserve">TGCCACGCTTGAAGTAGACC</t>
  </si>
  <si>
    <t xml:space="preserve">TAGTTGCCACGCTTGAAGTAGACC</t>
  </si>
  <si>
    <t xml:space="preserve">AAACGGTCTACTTCAAGCGTGGCA</t>
  </si>
  <si>
    <t xml:space="preserve">GATCAATCGGCTGCGGCGGA</t>
  </si>
  <si>
    <t xml:space="preserve">TAGTGATCAATCGGCTGCGGCGGA</t>
  </si>
  <si>
    <t xml:space="preserve">AAACTCCGCCGCAGCCGATTGATC</t>
  </si>
  <si>
    <t xml:space="preserve">AGAACAATGTTGTTGGTAAT</t>
  </si>
  <si>
    <t xml:space="preserve">TAGTAGAACAATGTTGTTGGTAAT</t>
  </si>
  <si>
    <t xml:space="preserve">AAACATTACCAACAACATTGTTCT</t>
  </si>
  <si>
    <t xml:space="preserve">PSPPH_3796</t>
  </si>
  <si>
    <t xml:space="preserve">AGGGGAGACGTTGTAACTCA</t>
  </si>
  <si>
    <t xml:space="preserve">TAGTAGGGGAGACGTTGTAACTCA</t>
  </si>
  <si>
    <t xml:space="preserve">AAACTGAGTTACAACGTCTCCCCT</t>
  </si>
  <si>
    <t xml:space="preserve">CAGGAGCGTACGAAGCCGAC</t>
  </si>
  <si>
    <t xml:space="preserve">TAGTCAGGAGCGTACGAAGCCGAC</t>
  </si>
  <si>
    <t xml:space="preserve">AAACGTCGGCTTCGTACGCTCCTG</t>
  </si>
  <si>
    <t xml:space="preserve">CAGCTGTGGCTGGCGGGGGA</t>
  </si>
  <si>
    <t xml:space="preserve">TAGTCAGCTGTGGCTGGCGGGGGA</t>
  </si>
  <si>
    <t xml:space="preserve">AAACTCCCCCGCCAGCCACAGCTG</t>
  </si>
  <si>
    <t xml:space="preserve">CAGCACTCCACGTGCTGCCG</t>
  </si>
  <si>
    <t xml:space="preserve">TAGTCAGCACTCCACGTGCTGCCG</t>
  </si>
  <si>
    <t xml:space="preserve">AAACCGGCAGCACGTGGAGTGCTG</t>
  </si>
  <si>
    <t xml:space="preserve">PSPPH_3797</t>
  </si>
  <si>
    <t xml:space="preserve">fpr1</t>
  </si>
  <si>
    <t xml:space="preserve">GGACGCTGAGGACACGCTCG</t>
  </si>
  <si>
    <t xml:space="preserve">TAGTGGACGCTGAGGACACGCTCG</t>
  </si>
  <si>
    <t xml:space="preserve">AAACCGAGCGTGTCCTCAGCGTCC</t>
  </si>
  <si>
    <t xml:space="preserve">AGAGGGTGTCGTTCCAATGG</t>
  </si>
  <si>
    <t xml:space="preserve">TAGTAGAGGGTGTCGTTCCAATGG</t>
  </si>
  <si>
    <t xml:space="preserve">AAACCCATTGGAACGACACCCTCT</t>
  </si>
  <si>
    <t xml:space="preserve">GAAACGCAAACCAGGGTCGC</t>
  </si>
  <si>
    <t xml:space="preserve">TAGTGAAACGCAAACCAGGGTCGC</t>
  </si>
  <si>
    <t xml:space="preserve">AAACGCGACCCTGGTTTGCGTTTC</t>
  </si>
  <si>
    <t xml:space="preserve">CGCATGAGCGGACGACCGTT</t>
  </si>
  <si>
    <t xml:space="preserve">TAGTCGCATGAGCGGACGACCGTT</t>
  </si>
  <si>
    <t xml:space="preserve">AAACAACGGTCGTCCGCTCATGCG</t>
  </si>
  <si>
    <t xml:space="preserve">PSPPH_3798</t>
  </si>
  <si>
    <t xml:space="preserve">CAACGAACACTTGGAGCTGG</t>
  </si>
  <si>
    <t xml:space="preserve">TAGTCAACGAACACTTGGAGCTGG</t>
  </si>
  <si>
    <t xml:space="preserve">AAACCCAGCTCCAAGTGTTCGTTG</t>
  </si>
  <si>
    <t xml:space="preserve">GACGCTTTCCTGCCGGGCGA</t>
  </si>
  <si>
    <t xml:space="preserve">TAGTGACGCTTTCCTGCCGGGCGA</t>
  </si>
  <si>
    <t xml:space="preserve">AAACTCGCCCGGCAGGAAAGCGTC</t>
  </si>
  <si>
    <t xml:space="preserve">CGAAAGCAGCACGGCTGCTT</t>
  </si>
  <si>
    <t xml:space="preserve">TAGTCGAAAGCAGCACGGCTGCTT</t>
  </si>
  <si>
    <t xml:space="preserve">AAACAAGCAGCCGTGCTGCTTTCG</t>
  </si>
  <si>
    <t xml:space="preserve">CAGCTCGGTGATGGAGGTGC</t>
  </si>
  <si>
    <t xml:space="preserve">TAGTCAGCTCGGTGATGGAGGTGC</t>
  </si>
  <si>
    <t xml:space="preserve">AAACGCACCTCCATCACCGAGCTG</t>
  </si>
  <si>
    <t xml:space="preserve">PSPPH_3799</t>
  </si>
  <si>
    <t xml:space="preserve">dgkA</t>
  </si>
  <si>
    <t xml:space="preserve">AGACCGGTTTGGCCTTTGAA</t>
  </si>
  <si>
    <t xml:space="preserve">TAGTAGACCGGTTTGGCCTTTGAA</t>
  </si>
  <si>
    <t xml:space="preserve">AAACTTCAAAGGCCAAACCGGTCT</t>
  </si>
  <si>
    <t xml:space="preserve">GAGAATAGCCTGCAGCATTG</t>
  </si>
  <si>
    <t xml:space="preserve">TAGTGAGAATAGCCTGCAGCATTG</t>
  </si>
  <si>
    <t xml:space="preserve">AAACCAATGCTGCAGGCTATTCTC</t>
  </si>
  <si>
    <t xml:space="preserve">CAGTACCAGCTGGCGGAAAG</t>
  </si>
  <si>
    <t xml:space="preserve">TAGTCAGTACCAGCTGGCGGAAAG</t>
  </si>
  <si>
    <t xml:space="preserve">AAACCTTTCCGCCAGCTGGTACTG</t>
  </si>
  <si>
    <t xml:space="preserve">CGTGCAGGAAAAACGATAGC</t>
  </si>
  <si>
    <t xml:space="preserve">TAGTCGTGCAGGAAAAACGATAGC</t>
  </si>
  <si>
    <t xml:space="preserve">AAACGCTATCGTTTTTCCTGCACG</t>
  </si>
  <si>
    <t xml:space="preserve">PSPPH_3800</t>
  </si>
  <si>
    <t xml:space="preserve">ATCAGCGATCAGGATGTCGT</t>
  </si>
  <si>
    <t xml:space="preserve">TAGTATCAGCGATCAGGATGTCGT</t>
  </si>
  <si>
    <t xml:space="preserve">AAACACGACATCCTGATCGCTGAT</t>
  </si>
  <si>
    <t xml:space="preserve">TGCAGCGCACTGCGAAACAG</t>
  </si>
  <si>
    <t xml:space="preserve">TAGTTGCAGCGCACTGCGAAACAG</t>
  </si>
  <si>
    <t xml:space="preserve">AAACCTGTTTCGCAGTGCGCTGCA</t>
  </si>
  <si>
    <t xml:space="preserve">CGAGCCGCGCTTCAGGCCCC</t>
  </si>
  <si>
    <t xml:space="preserve">TAGTCGAGCCGCGCTTCAGGCCCC</t>
  </si>
  <si>
    <t xml:space="preserve">AAACGGGGCCTGAAGCGCGGCTCG</t>
  </si>
  <si>
    <t xml:space="preserve">TCCCAGACGGGATTCAAGCT</t>
  </si>
  <si>
    <t xml:space="preserve">TAGTTCCCAGACGGGATTCAAGCT</t>
  </si>
  <si>
    <t xml:space="preserve">AAACAGCTTGAATCCCGTCTGGGA</t>
  </si>
  <si>
    <t xml:space="preserve">PSPPH_3801</t>
  </si>
  <si>
    <t xml:space="preserve">CTCGTCACGCAGACGGGAAA</t>
  </si>
  <si>
    <t xml:space="preserve">TAGTCTCGTCACGCAGACGGGAAA</t>
  </si>
  <si>
    <t xml:space="preserve">AAACTTTCCCGTCTGCGTGACGAG</t>
  </si>
  <si>
    <t xml:space="preserve">AATAAAGGGCTTGGTACTGC</t>
  </si>
  <si>
    <t xml:space="preserve">TAGTAATAAAGGGCTTGGTACTGC</t>
  </si>
  <si>
    <t xml:space="preserve">AAACGCAGTACCAAGCCCTTTATT</t>
  </si>
  <si>
    <t xml:space="preserve">ACCCGGCAATCCGGACAGCG</t>
  </si>
  <si>
    <t xml:space="preserve">TAGTACCCGGCAATCCGGACAGCG</t>
  </si>
  <si>
    <t xml:space="preserve">AAACCGCTGTCCGGATTGCCGGGT</t>
  </si>
  <si>
    <t xml:space="preserve">CCACGCGCACAGGCAATAAC</t>
  </si>
  <si>
    <t xml:space="preserve">TAGTCCACGCGCACAGGCAATAAC</t>
  </si>
  <si>
    <t xml:space="preserve">AAACGTTATTGCCTGTGCGCGTGG</t>
  </si>
  <si>
    <t xml:space="preserve">PSPPH_3802</t>
  </si>
  <si>
    <t xml:space="preserve">GCGTAAGGGTGGGTACGATA</t>
  </si>
  <si>
    <t xml:space="preserve">TAGTGCGTAAGGGTGGGTACGATA</t>
  </si>
  <si>
    <t xml:space="preserve">AAACTATCGTACCCACCCTTACGC</t>
  </si>
  <si>
    <t xml:space="preserve">GACGCCGCCTGGGCGCATAG</t>
  </si>
  <si>
    <t xml:space="preserve">TAGTGACGCCGCCTGGGCGCATAG</t>
  </si>
  <si>
    <t xml:space="preserve">AAACCTATGCGCCCAGGCGGCGTC</t>
  </si>
  <si>
    <t xml:space="preserve">ATGTCTTCGTTGATCGCTCT</t>
  </si>
  <si>
    <t xml:space="preserve">TAGTATGTCTTCGTTGATCGCTCT</t>
  </si>
  <si>
    <t xml:space="preserve">AAACAGAGCGATCAACGAAGACAT</t>
  </si>
  <si>
    <t xml:space="preserve">TGACGGTATAGCCCTGATCG</t>
  </si>
  <si>
    <t xml:space="preserve">TAGTTGACGGTATAGCCCTGATCG</t>
  </si>
  <si>
    <t xml:space="preserve">AAACCGATCAGGGCTATACCGTCA</t>
  </si>
  <si>
    <t xml:space="preserve">PSPPH_3803</t>
  </si>
  <si>
    <t xml:space="preserve">AGAAGATCGTCAGGTACATA</t>
  </si>
  <si>
    <t xml:space="preserve">TAGTAGAAGATCGTCAGGTACATA</t>
  </si>
  <si>
    <t xml:space="preserve">AAACTATGTACCTGACGATCTTCT</t>
  </si>
  <si>
    <t xml:space="preserve">CCCGTTGCTTTGAAAGTGTC</t>
  </si>
  <si>
    <t xml:space="preserve">TAGTCCCGTTGCTTTGAAAGTGTC</t>
  </si>
  <si>
    <t xml:space="preserve">AAACGACACTTTCAAAGCAACGGG</t>
  </si>
  <si>
    <t xml:space="preserve">GCTCTTCAATTTTGCTGGTC</t>
  </si>
  <si>
    <t xml:space="preserve">TAGTGCTCTTCAATTTTGCTGGTC</t>
  </si>
  <si>
    <t xml:space="preserve">AAACGACCAGCAAAATTGAAGAGC</t>
  </si>
  <si>
    <t xml:space="preserve">AGCGGCAGGTTTCTGGTACC</t>
  </si>
  <si>
    <t xml:space="preserve">TAGTAGCGGCAGGTTTCTGGTACC</t>
  </si>
  <si>
    <t xml:space="preserve">AAACGGTACCAGAAACCTGCCGCT</t>
  </si>
  <si>
    <t xml:space="preserve">PSPPH_3804</t>
  </si>
  <si>
    <t xml:space="preserve">recX</t>
  </si>
  <si>
    <t xml:space="preserve">ACAGGTGTATCAAGTACGAC</t>
  </si>
  <si>
    <t xml:space="preserve">TAGTACAGGTGTATCAAGTACGAC</t>
  </si>
  <si>
    <t xml:space="preserve">AAACGTCGTACTTGATACACCTGT</t>
  </si>
  <si>
    <t xml:space="preserve">GTCCATTGCAGTGCGCCTTA</t>
  </si>
  <si>
    <t xml:space="preserve">TAGTGTCCATTGCAGTGCGCCTTA</t>
  </si>
  <si>
    <t xml:space="preserve">AAACTAAGGCGCACTGCAATGGAC</t>
  </si>
  <si>
    <t xml:space="preserve">CGTGCTCGCGACGTGCGAGC</t>
  </si>
  <si>
    <t xml:space="preserve">TAGTCGTGCTCGCGACGTGCGAGC</t>
  </si>
  <si>
    <t xml:space="preserve">AAACGCTCGCACGTCGCGAGCACG</t>
  </si>
  <si>
    <t xml:space="preserve">GCTGCATCGATAAGCTCAGG</t>
  </si>
  <si>
    <t xml:space="preserve">TAGTGCTGCATCGATAAGCTCAGG</t>
  </si>
  <si>
    <t xml:space="preserve">AAACCCTGAGCTTATCGATGCAGC</t>
  </si>
  <si>
    <t xml:space="preserve">PSPPH_3805</t>
  </si>
  <si>
    <t xml:space="preserve">recA</t>
  </si>
  <si>
    <t xml:space="preserve">CTGACCCAAGGCCGCAGCCA</t>
  </si>
  <si>
    <t xml:space="preserve">TAGTCTGACCCAAGGCCGCAGCCA</t>
  </si>
  <si>
    <t xml:space="preserve">AAACTGGCTGCGGCCTTGGGTCAG</t>
  </si>
  <si>
    <t xml:space="preserve">ATGGTCGCCCATGCGCATCA</t>
  </si>
  <si>
    <t xml:space="preserve">TAGTATGGTCGCCCATGCGCATCA</t>
  </si>
  <si>
    <t xml:space="preserve">AAACTGATGCGCATGGGCGACCAT</t>
  </si>
  <si>
    <t xml:space="preserve">TGGAGATGGCAGGAATAGCC</t>
  </si>
  <si>
    <t xml:space="preserve">TAGTTGGAGATGGCAGGAATAGCC</t>
  </si>
  <si>
    <t xml:space="preserve">AAACGGCTATTCCTGCCATCTCCA</t>
  </si>
  <si>
    <t xml:space="preserve">ATCCAGACCCAGCGAACCAG</t>
  </si>
  <si>
    <t xml:space="preserve">TAGTATCCAGACCCAGCGAACCAG</t>
  </si>
  <si>
    <t xml:space="preserve">AAACCTGGTTCGCTGGGTCTGGAT</t>
  </si>
  <si>
    <t xml:space="preserve">PSPPH_3806</t>
  </si>
  <si>
    <t xml:space="preserve">CCCGGTCACCAATAAGCGGA</t>
  </si>
  <si>
    <t xml:space="preserve">TAGTCCCGGTCACCAATAAGCGGA</t>
  </si>
  <si>
    <t xml:space="preserve">AAACTCCGCTTATTGGTGACCGGG</t>
  </si>
  <si>
    <t xml:space="preserve">AATCGAGGTTCATGGCTGTC</t>
  </si>
  <si>
    <t xml:space="preserve">TAGTAATCGAGGTTCATGGCTGTC</t>
  </si>
  <si>
    <t xml:space="preserve">AAACGACAGCCATGAACCTCGATT</t>
  </si>
  <si>
    <t xml:space="preserve">CTTTTTTATAGCGTGCCGCC</t>
  </si>
  <si>
    <t xml:space="preserve">TAGTCTTTTTTATAGCGTGCCGCC</t>
  </si>
  <si>
    <t xml:space="preserve">AAACGGCGGCACGCTATAAAAAAG</t>
  </si>
  <si>
    <t xml:space="preserve">CGGGATGAAGCGACCGTTGA</t>
  </si>
  <si>
    <t xml:space="preserve">TAGTCGGGATGAAGCGACCGTTGA</t>
  </si>
  <si>
    <t xml:space="preserve">AAACTCAACGGTCGCTTCATCCCG</t>
  </si>
  <si>
    <t xml:space="preserve">PSPPH_3807</t>
  </si>
  <si>
    <t xml:space="preserve">mutS</t>
  </si>
  <si>
    <t xml:space="preserve">GGGGGTATGTGAGGAGAGGT</t>
  </si>
  <si>
    <t xml:space="preserve">TAGTGGGGGTATGTGAGGAGAGGT</t>
  </si>
  <si>
    <t xml:space="preserve">AAACACCTCTCCTCACATACCCCC</t>
  </si>
  <si>
    <t xml:space="preserve">TTCCAGTACTGCTGCATCAT</t>
  </si>
  <si>
    <t xml:space="preserve">TAGTTTCCAGTACTGCTGCATCAT</t>
  </si>
  <si>
    <t xml:space="preserve">AAACATGATGCAGCAGTACTGGAA</t>
  </si>
  <si>
    <t xml:space="preserve">ACATCAGTTGATCCAGGTGC</t>
  </si>
  <si>
    <t xml:space="preserve">TAGTACATCAGTTGATCCAGGTGC</t>
  </si>
  <si>
    <t xml:space="preserve">AAACGCACCTGGATCAACTGATGT</t>
  </si>
  <si>
    <t xml:space="preserve">GGTGATGTCCAGCAACTTGG</t>
  </si>
  <si>
    <t xml:space="preserve">TAGTGGTGATGTCCAGCAACTTGG</t>
  </si>
  <si>
    <t xml:space="preserve">AAACCCAAGTTGCTGGACATCACC</t>
  </si>
  <si>
    <t xml:space="preserve">PSPPH_3808</t>
  </si>
  <si>
    <t xml:space="preserve">fdxA</t>
  </si>
  <si>
    <t xml:space="preserve">GCAGTTGTCGGTGACGACGA</t>
  </si>
  <si>
    <t xml:space="preserve">TAGTGCAGTTGTCGGTGACGACGA</t>
  </si>
  <si>
    <t xml:space="preserve">AAACTCGTCGTCACCGACAACTGC</t>
  </si>
  <si>
    <t xml:space="preserve">CGGACAGACTTCTACGCAGT</t>
  </si>
  <si>
    <t xml:space="preserve">TAGTCGGACAGACTTCTACGCAGT</t>
  </si>
  <si>
    <t xml:space="preserve">AAACACTGCGTAGAAGTCTGTCCG</t>
  </si>
  <si>
    <t xml:space="preserve">CCTTCGTAAAAGCAGTCCAC</t>
  </si>
  <si>
    <t xml:space="preserve">TAGTCCTTCGTAAAAGCAGTCCAC</t>
  </si>
  <si>
    <t xml:space="preserve">AAACGTGGACTGCTTTTACGAAGG</t>
  </si>
  <si>
    <t xml:space="preserve">GGTGGATCACCAGGAAATTC</t>
  </si>
  <si>
    <t xml:space="preserve">TAGTGGTGGATCACCAGGAAATTC</t>
  </si>
  <si>
    <t xml:space="preserve">AAACGAATTTCCTGGTGATCCACC</t>
  </si>
  <si>
    <t xml:space="preserve">PSPPH_3809</t>
  </si>
  <si>
    <t xml:space="preserve">rpoS</t>
  </si>
  <si>
    <t xml:space="preserve">TCATCATCGATGTCAAACTC</t>
  </si>
  <si>
    <t xml:space="preserve">TAGTTCATCATCGATGTCAAACTC</t>
  </si>
  <si>
    <t xml:space="preserve">AAACGAGTTTGACATCGATGATGA</t>
  </si>
  <si>
    <t xml:space="preserve">GGACAATGCCGGCTTCCATA</t>
  </si>
  <si>
    <t xml:space="preserve">TAGTGGACAATGCCGGCTTCCATA</t>
  </si>
  <si>
    <t xml:space="preserve">AAACTATGGAAGCCGGCATTGTCC</t>
  </si>
  <si>
    <t xml:space="preserve">TCTCGTTTGACGCTTCCTTC</t>
  </si>
  <si>
    <t xml:space="preserve">TAGTTCTCGTTTGACGCTTCCTTC</t>
  </si>
  <si>
    <t xml:space="preserve">AAACGAAGGAAGCGTCAAACGAGA</t>
  </si>
  <si>
    <t xml:space="preserve">GTGCGTCCGGAGGCAGCGGG</t>
  </si>
  <si>
    <t xml:space="preserve">TAGTGTGCGTCCGGAGGCAGCGGG</t>
  </si>
  <si>
    <t xml:space="preserve">AAACCCCGCTGCCTCCGGACGCAC</t>
  </si>
  <si>
    <t xml:space="preserve">PSPPH_3810</t>
  </si>
  <si>
    <t xml:space="preserve">TGCTGGAGCAGCCGACCAAA</t>
  </si>
  <si>
    <t xml:space="preserve">TAGTTGCTGGAGCAGCCGACCAAA</t>
  </si>
  <si>
    <t xml:space="preserve">AAACTTTGGTCGGCTGCTCCAGCA</t>
  </si>
  <si>
    <t xml:space="preserve">ACGACACGAACACCGCCTGA</t>
  </si>
  <si>
    <t xml:space="preserve">TAGTACGACACGAACACCGCCTGA</t>
  </si>
  <si>
    <t xml:space="preserve">AAACTCAGGCGGTGTTCGTGTCGT</t>
  </si>
  <si>
    <t xml:space="preserve">TACCGTCGGGCGCTGGGCAA</t>
  </si>
  <si>
    <t xml:space="preserve">TAGTTACCGTCGGGCGCTGGGCAA</t>
  </si>
  <si>
    <t xml:space="preserve">AAACTTGCCCAGCGCCCGACGGTA</t>
  </si>
  <si>
    <t xml:space="preserve">CCTGACCACGTATTGGCCGG</t>
  </si>
  <si>
    <t xml:space="preserve">TAGTCCTGACCACGTATTGGCCGG</t>
  </si>
  <si>
    <t xml:space="preserve">AAACCCGGCCAATACGTGGTCAGG</t>
  </si>
  <si>
    <t xml:space="preserve">PSPPH_3811</t>
  </si>
  <si>
    <t xml:space="preserve">pcm</t>
  </si>
  <si>
    <t xml:space="preserve">ACGTTCACGGGTGCGCTGCG</t>
  </si>
  <si>
    <t xml:space="preserve">TAGTACGTTCACGGGTGCGCTGCG</t>
  </si>
  <si>
    <t xml:space="preserve">AAACCGCAGCGCACCCGTGAACGT</t>
  </si>
  <si>
    <t xml:space="preserve">TACCCTCTTCGCAGAGGCGC</t>
  </si>
  <si>
    <t xml:space="preserve">TAGTTACCCTCTTCGCAGAGGCGC</t>
  </si>
  <si>
    <t xml:space="preserve">AAACGCGCCTCTGCGAAGAGGGTA</t>
  </si>
  <si>
    <t xml:space="preserve">GACGTCCAGCACCCGCTGGT</t>
  </si>
  <si>
    <t xml:space="preserve">TAGTGACGTCCAGCACCCGCTGGT</t>
  </si>
  <si>
    <t xml:space="preserve">AAACACCAGCGGGTGCTGGACGTC</t>
  </si>
  <si>
    <t xml:space="preserve">TCATCGACAAACAGATGCCG</t>
  </si>
  <si>
    <t xml:space="preserve">TAGTTCATCGACAAACAGATGCCG</t>
  </si>
  <si>
    <t xml:space="preserve">AAACCGGCATCTGTTTGTCGATGA</t>
  </si>
  <si>
    <t xml:space="preserve">PSPPH_3812</t>
  </si>
  <si>
    <t xml:space="preserve">surE</t>
  </si>
  <si>
    <t xml:space="preserve">GCATGGAGCGCGACAAGACC</t>
  </si>
  <si>
    <t xml:space="preserve">TAGTGCATGGAGCGCGACAAGACC</t>
  </si>
  <si>
    <t xml:space="preserve">AAACGGTCTTGTCGCGCTCCATGC</t>
  </si>
  <si>
    <t xml:space="preserve">AGGGGCGATCACCACGCACT</t>
  </si>
  <si>
    <t xml:space="preserve">TAGTAGGGGCGATCACCACGCACT</t>
  </si>
  <si>
    <t xml:space="preserve">AAACAGTGCGTGGTGATCGCCCCT</t>
  </si>
  <si>
    <t xml:space="preserve">GCACCGCTTTTGTCCTGATC</t>
  </si>
  <si>
    <t xml:space="preserve">TAGTGCACCGCTTTTGTCCTGATC</t>
  </si>
  <si>
    <t xml:space="preserve">AAACGATCAGGACAAAAGCGGTGC</t>
  </si>
  <si>
    <t xml:space="preserve">GTCGAGTGTCAGGGAACTGC</t>
  </si>
  <si>
    <t xml:space="preserve">TAGTGTCGAGTGTCAGGGAACTGC</t>
  </si>
  <si>
    <t xml:space="preserve">AAACGCAGTTCCCTGACACTCGAC</t>
  </si>
  <si>
    <t xml:space="preserve">PSPPH_3813</t>
  </si>
  <si>
    <t xml:space="preserve">truD</t>
  </si>
  <si>
    <t xml:space="preserve">GTGCATCGCCGTAGGCCCTG</t>
  </si>
  <si>
    <t xml:space="preserve">TAGTGTGCATCGCCGTAGGCCCTG</t>
  </si>
  <si>
    <t xml:space="preserve">AAACCAGGGCCTACGGCGATGCAC</t>
  </si>
  <si>
    <t xml:space="preserve">GTCTTCGGCAGTCGCCTTGA</t>
  </si>
  <si>
    <t xml:space="preserve">TAGTGTCTTCGGCAGTCGCCTTGA</t>
  </si>
  <si>
    <t xml:space="preserve">AAACTCAAGGCGACTGCCGAAGAC</t>
  </si>
  <si>
    <t xml:space="preserve">TGCTCGCCATCGCCTGAAAG</t>
  </si>
  <si>
    <t xml:space="preserve">TAGTTGCTCGCCATCGCCTGAAAG</t>
  </si>
  <si>
    <t xml:space="preserve">AAACCTTTCAGGCGATGGCGAGCA</t>
  </si>
  <si>
    <t xml:space="preserve">CAGCCGACGTGCCGCCTCTT</t>
  </si>
  <si>
    <t xml:space="preserve">TAGTCAGCCGACGTGCCGCCTCTT</t>
  </si>
  <si>
    <t xml:space="preserve">AAACAAGAGGCGGCACGTCGGCTG</t>
  </si>
  <si>
    <t xml:space="preserve">PSPPH_3814</t>
  </si>
  <si>
    <t xml:space="preserve">ispF</t>
  </si>
  <si>
    <t xml:space="preserve">AACGGTGCACATCATAGCCA</t>
  </si>
  <si>
    <t xml:space="preserve">TAGTAACGGTGCACATCATAGCCA</t>
  </si>
  <si>
    <t xml:space="preserve">AAACTGGCTATGATGTGCACCGTT</t>
  </si>
  <si>
    <t xml:space="preserve">TGCAATCCGCACGCCGCCCA</t>
  </si>
  <si>
    <t xml:space="preserve">TAGTTGCAATCCGCACGCCGCCCA</t>
  </si>
  <si>
    <t xml:space="preserve">AAACTGGGCGGCGTGCGGATTGCA</t>
  </si>
  <si>
    <t xml:space="preserve">CGCCATCGGAATGGGCCAGC</t>
  </si>
  <si>
    <t xml:space="preserve">TAGTCGCCATCGGAATGGGCCAGC</t>
  </si>
  <si>
    <t xml:space="preserve">AAACGCTGGCCCATTCCGATGGCG</t>
  </si>
  <si>
    <t xml:space="preserve">CATCGCTCAGGGCATGCAGC</t>
  </si>
  <si>
    <t xml:space="preserve">TAGTCATCGCTCAGGGCATGCAGC</t>
  </si>
  <si>
    <t xml:space="preserve">AAACGCTGCATGCCCTGAGCGATG</t>
  </si>
  <si>
    <t xml:space="preserve">PSPPH_3815</t>
  </si>
  <si>
    <t xml:space="preserve">TGGCAGGAAATATTTTCCAA</t>
  </si>
  <si>
    <t xml:space="preserve">TAGTTGGCAGGAAATATTTTCCAA</t>
  </si>
  <si>
    <t xml:space="preserve">AAACTTGGAAAATATTTCCTGCCA</t>
  </si>
  <si>
    <t xml:space="preserve">GCCAGCCGCCGAAGCTTTTC</t>
  </si>
  <si>
    <t xml:space="preserve">TAGTGCCAGCCGCCGAAGCTTTTC</t>
  </si>
  <si>
    <t xml:space="preserve">AAACGAAAAGCTTCGGCGGCTGGC</t>
  </si>
  <si>
    <t xml:space="preserve">CACAACCCAGTACTTGAGAG</t>
  </si>
  <si>
    <t xml:space="preserve">TAGTCACAACCCAGTACTTGAGAG</t>
  </si>
  <si>
    <t xml:space="preserve">AAACCTCTCAAGTACTGGGTTGTG</t>
  </si>
  <si>
    <t xml:space="preserve">CTGCCCTGCTCTGCCTGGGG</t>
  </si>
  <si>
    <t xml:space="preserve">TAGTCTGCCCTGCTCTGCCTGGGG</t>
  </si>
  <si>
    <t xml:space="preserve">AAACCCCCAGGCAGAGCAGGGCAG</t>
  </si>
  <si>
    <t xml:space="preserve">PSPPH_3816</t>
  </si>
  <si>
    <t xml:space="preserve">adhC</t>
  </si>
  <si>
    <t xml:space="preserve">AACGATCTCCAATGGCTTTT</t>
  </si>
  <si>
    <t xml:space="preserve">TAGTAACGATCTCCAATGGCTTTT</t>
  </si>
  <si>
    <t xml:space="preserve">AAACAAAAGCCATTGGAGATCGTT</t>
  </si>
  <si>
    <t xml:space="preserve">CACTTCTCCCGCCTTGGGCA</t>
  </si>
  <si>
    <t xml:space="preserve">TAGTCACTTCTCCCGCCTTGGGCA</t>
  </si>
  <si>
    <t xml:space="preserve">AAACTGCCCAAGGCGGGAGAAGTG</t>
  </si>
  <si>
    <t xml:space="preserve">ATCGGTATGGCAGACGCCGG</t>
  </si>
  <si>
    <t xml:space="preserve">TAGTATCGGTATGGCAGACGCCGG</t>
  </si>
  <si>
    <t xml:space="preserve">AAACCCGGCGTCTGCCATACCGAT</t>
  </si>
  <si>
    <t xml:space="preserve">ATCGGCACCGGAAAGTGTGT</t>
  </si>
  <si>
    <t xml:space="preserve">TAGTATCGGCACCGGAAAGTGTGT</t>
  </si>
  <si>
    <t xml:space="preserve">AAACACACACTTTCCGGTGCCGAT</t>
  </si>
  <si>
    <t xml:space="preserve">PSPPH_3817</t>
  </si>
  <si>
    <t xml:space="preserve">TTCCCAGAGATTGATGTGCA</t>
  </si>
  <si>
    <t xml:space="preserve">TAGTTTCCCAGAGATTGATGTGCA</t>
  </si>
  <si>
    <t xml:space="preserve">AAACTGCACATCAATCTCTGGGAA</t>
  </si>
  <si>
    <t xml:space="preserve">GAACTGCCCGCATTCTGCAA</t>
  </si>
  <si>
    <t xml:space="preserve">TAGTGAACTGCCCGCATTCTGCAA</t>
  </si>
  <si>
    <t xml:space="preserve">AAACTTGCAGAATGCGGGCAGTTC</t>
  </si>
  <si>
    <t xml:space="preserve">CTGACGGCTGATATGTGACG</t>
  </si>
  <si>
    <t xml:space="preserve">TAGTCTGACGGCTGATATGTGACG</t>
  </si>
  <si>
    <t xml:space="preserve">AAACCGTCACATATCAGCCGTCAG</t>
  </si>
  <si>
    <t xml:space="preserve">GGGTTTGCAGTCGTTCTTCA</t>
  </si>
  <si>
    <t xml:space="preserve">TAGTGGGTTTGCAGTCGTTCTTCA</t>
  </si>
  <si>
    <t xml:space="preserve">AAACTGAAGAACGACTGCAAACCC</t>
  </si>
  <si>
    <t xml:space="preserve">PSPPH_3818</t>
  </si>
  <si>
    <t xml:space="preserve">ispD</t>
  </si>
  <si>
    <t xml:space="preserve">GGCAGGAAGAAAGTCTTTCA</t>
  </si>
  <si>
    <t xml:space="preserve">TAGTGGCAGGAAGAAAGTCTTTCA</t>
  </si>
  <si>
    <t xml:space="preserve">AAACTGAAAGACTTTCTTCCTGCC</t>
  </si>
  <si>
    <t xml:space="preserve">TGCAGGTATCACTGCCCAGA</t>
  </si>
  <si>
    <t xml:space="preserve">TAGTTGCAGGTATCACTGCCCAGA</t>
  </si>
  <si>
    <t xml:space="preserve">AAACTCTGGGCAGTGATACCTGCA</t>
  </si>
  <si>
    <t xml:space="preserve">GTTGCAAATATTGCTTGGGA</t>
  </si>
  <si>
    <t xml:space="preserve">TAGTGTTGCAAATATTGCTTGGGA</t>
  </si>
  <si>
    <t xml:space="preserve">AAACTCCCAAGCAATATTTGCAAC</t>
  </si>
  <si>
    <t xml:space="preserve">GGCTGTGTTCAAGAATTGTC</t>
  </si>
  <si>
    <t xml:space="preserve">TAGTGGCTGTGTTCAAGAATTGTC</t>
  </si>
  <si>
    <t xml:space="preserve">AAACGACAATTCTTGAACACAGCC</t>
  </si>
  <si>
    <t xml:space="preserve">PSPPH_3819</t>
  </si>
  <si>
    <t xml:space="preserve">ftsB</t>
  </si>
  <si>
    <t xml:space="preserve">AGGACGAGGAACAACCAGTT</t>
  </si>
  <si>
    <t xml:space="preserve">TAGTAGGACGAGGAACAACCAGTT</t>
  </si>
  <si>
    <t xml:space="preserve">AAACAACTGGTTGTTCCTCGTCCT</t>
  </si>
  <si>
    <t xml:space="preserve">AGCCAGCCAGCAACAGGAGC</t>
  </si>
  <si>
    <t xml:space="preserve">TAGTAGCCAGCCAGCAACAGGAGC</t>
  </si>
  <si>
    <t xml:space="preserve">AAACGCTCCTGTTGCTGGCTGGCT</t>
  </si>
  <si>
    <t xml:space="preserve">TTCCGTTACCGACCCAAAGG</t>
  </si>
  <si>
    <t xml:space="preserve">TAGTTTCCGTTACCGACCCAAAGG</t>
  </si>
  <si>
    <t xml:space="preserve">AAACCCTTTGGGTCGGTAACGGAA</t>
  </si>
  <si>
    <t xml:space="preserve">TCAGGCTGGCCACTTGCGCA</t>
  </si>
  <si>
    <t xml:space="preserve">TAGTTCAGGCTGGCCACTTGCGCA</t>
  </si>
  <si>
    <t xml:space="preserve">AAACTGCGCAAGTGGCCAGCCTGA</t>
  </si>
  <si>
    <t xml:space="preserve">PSPPH_3820</t>
  </si>
  <si>
    <t xml:space="preserve">eno</t>
  </si>
  <si>
    <t xml:space="preserve">TTCTACAGTGGGATTGCCAC</t>
  </si>
  <si>
    <t xml:space="preserve">TAGTTTCTACAGTGGGATTGCCAC</t>
  </si>
  <si>
    <t xml:space="preserve">AAACGTGGCAATCCCACTGTAGAA</t>
  </si>
  <si>
    <t xml:space="preserve">TGCCAACGATGCCGTTATCG</t>
  </si>
  <si>
    <t xml:space="preserve">TAGTTGCCAACGATGCCGTTATCG</t>
  </si>
  <si>
    <t xml:space="preserve">AAACCGATAACGGCATCGTTGGCA</t>
  </si>
  <si>
    <t xml:space="preserve">TGAAGCACCAGACGGCGCGC</t>
  </si>
  <si>
    <t xml:space="preserve">TAGTTGAAGCACCAGACGGCGCGC</t>
  </si>
  <si>
    <t xml:space="preserve">AAACGCGCGCCGTCTGGTGCTTCA</t>
  </si>
  <si>
    <t xml:space="preserve">CTCCAGCGCTTCGCGCGAGC</t>
  </si>
  <si>
    <t xml:space="preserve">TAGTCTCCAGCGCTTCGCGCGAGC</t>
  </si>
  <si>
    <t xml:space="preserve">AAACGCTCGCGCGAAGCGCTGGAG</t>
  </si>
  <si>
    <t xml:space="preserve">PSPPH_3821</t>
  </si>
  <si>
    <t xml:space="preserve">kdsA</t>
  </si>
  <si>
    <t xml:space="preserve">AGACCTGCATGGCCATATCC</t>
  </si>
  <si>
    <t xml:space="preserve">TAGTAGACCTGCATGGCCATATCC</t>
  </si>
  <si>
    <t xml:space="preserve">AAACGGATATGGCCATGCAGGTCT</t>
  </si>
  <si>
    <t xml:space="preserve">ATAAGGGATACCGAGCTTTT</t>
  </si>
  <si>
    <t xml:space="preserve">TAGTATAAGGGATACCGAGCTTTT</t>
  </si>
  <si>
    <t xml:space="preserve">AAACAAAAGCTCGGTATCCCTTAT</t>
  </si>
  <si>
    <t xml:space="preserve">GCGGTTGGCCTTGTCGAAGC</t>
  </si>
  <si>
    <t xml:space="preserve">TAGTGCGGTTGGCCTTGTCGAAGC</t>
  </si>
  <si>
    <t xml:space="preserve">AAACGCTTCGACAAGGCCAACCGC</t>
  </si>
  <si>
    <t xml:space="preserve">TTCAAGGCCCGGCCCGCGGT</t>
  </si>
  <si>
    <t xml:space="preserve">TAGTTTCAAGGCCCGGCCCGCGGT</t>
  </si>
  <si>
    <t xml:space="preserve">AAACACCGCGGGCCGGGCCTTGAA</t>
  </si>
  <si>
    <t xml:space="preserve">PSPPH_3822</t>
  </si>
  <si>
    <t xml:space="preserve">pyrG</t>
  </si>
  <si>
    <t xml:space="preserve">GATGGCCGCCAATGAAGCCG</t>
  </si>
  <si>
    <t xml:space="preserve">TAGTGATGGCCGCCAATGAAGCCG</t>
  </si>
  <si>
    <t xml:space="preserve">AAACCGGCTTCATTGGCGGCCATC</t>
  </si>
  <si>
    <t xml:space="preserve">CCTTGAGTCCCCGCGCCTCC</t>
  </si>
  <si>
    <t xml:space="preserve">TAGTCCTTGAGTCCCCGCGCCTCC</t>
  </si>
  <si>
    <t xml:space="preserve">AAACGGAGGCGCGGGGACTCAAGG</t>
  </si>
  <si>
    <t xml:space="preserve">ATAGGGATCCAGTTTGAGCA</t>
  </si>
  <si>
    <t xml:space="preserve">TAGTATAGGGATCCAGTTTGAGCA</t>
  </si>
  <si>
    <t xml:space="preserve">AAACTGCTCAAACTGGATCCCTAT</t>
  </si>
  <si>
    <t xml:space="preserve">TGGAACGGGCTCATGGTGCC</t>
  </si>
  <si>
    <t xml:space="preserve">TAGTTGGAACGGGCTCATGGTGCC</t>
  </si>
  <si>
    <t xml:space="preserve">AAACGGCACCATGAGCCCGTTCCA</t>
  </si>
  <si>
    <t xml:space="preserve">PSPPH_3823</t>
  </si>
  <si>
    <t xml:space="preserve">tilS</t>
  </si>
  <si>
    <t xml:space="preserve">CTGTGTGTGGAGGTGGTCAT</t>
  </si>
  <si>
    <t xml:space="preserve">TAGTCTGTGTGTGGAGGTGGTCAT</t>
  </si>
  <si>
    <t xml:space="preserve">AAACATGACCACCTCCACACACAG</t>
  </si>
  <si>
    <t xml:space="preserve">CCTGAAGGAGCCTGGCAGGA</t>
  </si>
  <si>
    <t xml:space="preserve">TAGTCCTGAAGGAGCCTGGCAGGA</t>
  </si>
  <si>
    <t xml:space="preserve">AAACTCCTGCCAGGCTCCTTCAGG</t>
  </si>
  <si>
    <t xml:space="preserve">CCAGGTTGGCGCGTTGCGCC</t>
  </si>
  <si>
    <t xml:space="preserve">TAGTCCAGGTTGGCGCGTTGCGCC</t>
  </si>
  <si>
    <t xml:space="preserve">AAACGGCGCAACGCGCCAACCTGG</t>
  </si>
  <si>
    <t xml:space="preserve">CACCGTGGAATCGAGGCCAC</t>
  </si>
  <si>
    <t xml:space="preserve">TAGTCACCGTGGAATCGAGGCCAC</t>
  </si>
  <si>
    <t xml:space="preserve">AAACGTGGCCTCGATTCCACGGTG</t>
  </si>
  <si>
    <t xml:space="preserve">PSPPH_3824</t>
  </si>
  <si>
    <t xml:space="preserve">accA</t>
  </si>
  <si>
    <t xml:space="preserve">TCAAGAAAATTCGGGTTCAT</t>
  </si>
  <si>
    <t xml:space="preserve">TAGTTCAAGAAAATTCGGGTTCAT</t>
  </si>
  <si>
    <t xml:space="preserve">AAACATGAACCCGAATTTTCTTGA</t>
  </si>
  <si>
    <t xml:space="preserve">TTGGCCTGCAAGTCAGCGAT</t>
  </si>
  <si>
    <t xml:space="preserve">TAGTTTGGCCTGCAAGTCAGCGAT</t>
  </si>
  <si>
    <t xml:space="preserve">AAACATCGCTGACTTGCAGGCCAA</t>
  </si>
  <si>
    <t xml:space="preserve">CTTGCTCTTGTCTTGCAGCC</t>
  </si>
  <si>
    <t xml:space="preserve">TAGTCTTGCTCTTGTCTTGCAGCC</t>
  </si>
  <si>
    <t xml:space="preserve">AAACGGCTGCAAGACAAGAGCAAG</t>
  </si>
  <si>
    <t xml:space="preserve">CAGGTTGCCGAAGATGCTTT</t>
  </si>
  <si>
    <t xml:space="preserve">TAGTCAGGTTGCCGAAGATGCTTT</t>
  </si>
  <si>
    <t xml:space="preserve">AAACAAAGCATCTTCGGCAACCTG</t>
  </si>
  <si>
    <t xml:space="preserve">PSPPH_3825</t>
  </si>
  <si>
    <t xml:space="preserve">dnaE</t>
  </si>
  <si>
    <t xml:space="preserve">ATGAACGAAAGAAGCCGGCA</t>
  </si>
  <si>
    <t xml:space="preserve">TAGTATGAACGAAAGAAGCCGGCA</t>
  </si>
  <si>
    <t xml:space="preserve">AAACTGCCGGCTTCTTTCGTTCAT</t>
  </si>
  <si>
    <t xml:space="preserve">ACCGTCAACCAGCGAGTATT</t>
  </si>
  <si>
    <t xml:space="preserve">TAGTACCGTCAACCAGCGAGTATT</t>
  </si>
  <si>
    <t xml:space="preserve">AAACAATACTCGCTGGTTGACGGT</t>
  </si>
  <si>
    <t xml:space="preserve">CCTTGATCAACGGTTTGACC</t>
  </si>
  <si>
    <t xml:space="preserve">TAGTCCTTGATCAACGGTTTGACC</t>
  </si>
  <si>
    <t xml:space="preserve">AAACGGTCAAACCGTTGATCAAGG</t>
  </si>
  <si>
    <t xml:space="preserve">CACGGCAGGCATGTTCATGC</t>
  </si>
  <si>
    <t xml:space="preserve">TAGTCACGGCAGGCATGTTCATGC</t>
  </si>
  <si>
    <t xml:space="preserve">AAACGCATGAACATGCCTGCCGTG</t>
  </si>
  <si>
    <t xml:space="preserve">PSPPH_3826</t>
  </si>
  <si>
    <t xml:space="preserve">rnhB</t>
  </si>
  <si>
    <t xml:space="preserve">TCCAGACCTGTTTGCATGAT</t>
  </si>
  <si>
    <t xml:space="preserve">TAGTTCCAGACCTGTTTGCATGAT</t>
  </si>
  <si>
    <t xml:space="preserve">AAACATCATGCAAACAGGTCTGGA</t>
  </si>
  <si>
    <t xml:space="preserve">CCGCGCCGCACAGCGGGCCA</t>
  </si>
  <si>
    <t xml:space="preserve">TAGTCCGCGCCGCACAGCGGGCCA</t>
  </si>
  <si>
    <t xml:space="preserve">AAACTGGCCCGCTGTGCGGCGCGG</t>
  </si>
  <si>
    <t xml:space="preserve">GCCCGAGAATAGGTCGGGCA</t>
  </si>
  <si>
    <t xml:space="preserve">TAGTGCCCGAGAATAGGTCGGGCA</t>
  </si>
  <si>
    <t xml:space="preserve">AAACTGCCCGACCTATTCTCGGGC</t>
  </si>
  <si>
    <t xml:space="preserve">GACGTAGAGTTTTTCGCGCC</t>
  </si>
  <si>
    <t xml:space="preserve">TAGTGACGTAGAGTTTTTCGCGCC</t>
  </si>
  <si>
    <t xml:space="preserve">AAACGGCGCGAAAAACTCTACGTC</t>
  </si>
  <si>
    <t xml:space="preserve">PSPPH_3827</t>
  </si>
  <si>
    <t xml:space="preserve">lpxB</t>
  </si>
  <si>
    <t xml:space="preserve">CAGAGCGATACATAATGGCT</t>
  </si>
  <si>
    <t xml:space="preserve">TAGTCAGAGCGATACATAATGGCT</t>
  </si>
  <si>
    <t xml:space="preserve">AAACAGCCATTATGTATCGCTCTG</t>
  </si>
  <si>
    <t xml:space="preserve">GCCGGACCCGAGGATATCGC</t>
  </si>
  <si>
    <t xml:space="preserve">TAGTGCCGGACCCGAGGATATCGC</t>
  </si>
  <si>
    <t xml:space="preserve">AAACGCGATATCCTCGGGTCCGGC</t>
  </si>
  <si>
    <t xml:space="preserve">GCACCTTGAGGGCGCGCATC</t>
  </si>
  <si>
    <t xml:space="preserve">TAGTGCACCTTGAGGGCGCGCATC</t>
  </si>
  <si>
    <t xml:space="preserve">AAACGATGCGCGCCCTCAAGGTGC</t>
  </si>
  <si>
    <t xml:space="preserve">CGATGAAACGGATATCGGGA</t>
  </si>
  <si>
    <t xml:space="preserve">TAGTCGATGAAACGGATATCGGGA</t>
  </si>
  <si>
    <t xml:space="preserve">AAACTCCCGATATCCGTTTCATCG</t>
  </si>
  <si>
    <t xml:space="preserve">PSPPH_3828</t>
  </si>
  <si>
    <t xml:space="preserve">lpxA</t>
  </si>
  <si>
    <t xml:space="preserve">TCGGATCGATGATTGCGCGA</t>
  </si>
  <si>
    <t xml:space="preserve">TAGTTCGGATCGATGATTGCGCGA</t>
  </si>
  <si>
    <t xml:space="preserve">AAACTCGCGCAATCATCGATCCGA</t>
  </si>
  <si>
    <t xml:space="preserve">GGGGCCAACCTCAACGTTGT</t>
  </si>
  <si>
    <t xml:space="preserve">TAGTGGGGCCAACCTCAACGTTGT</t>
  </si>
  <si>
    <t xml:space="preserve">AAACACAACGTTGAGGTTGGCCCC</t>
  </si>
  <si>
    <t xml:space="preserve">CCGGCTCCGATGATCGACCA</t>
  </si>
  <si>
    <t xml:space="preserve">TAGTCCGGCTCCGATGATCGACCA</t>
  </si>
  <si>
    <t xml:space="preserve">AAACTGGTCGATCATCGGAGCCGG</t>
  </si>
  <si>
    <t xml:space="preserve">GGTCCCTTAAGGACAACATG</t>
  </si>
  <si>
    <t xml:space="preserve">TAGTGGTCCCTTAAGGACAACATG</t>
  </si>
  <si>
    <t xml:space="preserve">AAACCATGTTGTCCTTAAGGGACC</t>
  </si>
  <si>
    <t xml:space="preserve">PSPPH_3829</t>
  </si>
  <si>
    <t xml:space="preserve">fabZ</t>
  </si>
  <si>
    <t xml:space="preserve">GGAACGGGTAACGATGAGGC</t>
  </si>
  <si>
    <t xml:space="preserve">TAGTGGAACGGGTAACGATGAGGC</t>
  </si>
  <si>
    <t xml:space="preserve">AAACGCCTCATCGTTACCCGTTCC</t>
  </si>
  <si>
    <t xml:space="preserve">CGGTCACGCGGTCCACCAGC</t>
  </si>
  <si>
    <t xml:space="preserve">TAGTCGGTCACGCGGTCCACCAGC</t>
  </si>
  <si>
    <t xml:space="preserve">AAACGCTGGTGGACCGCGTGACCG</t>
  </si>
  <si>
    <t xml:space="preserve">CTTGTTCTCGATATCCAGCT</t>
  </si>
  <si>
    <t xml:space="preserve">TAGTCTTGTTCTCGATATCCAGCT</t>
  </si>
  <si>
    <t xml:space="preserve">AAACAGCTGGATATCGAGAACAAG</t>
  </si>
  <si>
    <t xml:space="preserve">GTTGACGCTGACATTCTTGT</t>
  </si>
  <si>
    <t xml:space="preserve">TAGTGTTGACGCTGACATTCTTGT</t>
  </si>
  <si>
    <t xml:space="preserve">AAACACAAGAATGTCAGCGTCAAC</t>
  </si>
  <si>
    <t xml:space="preserve">PSPPH_3830</t>
  </si>
  <si>
    <t xml:space="preserve">lpxD</t>
  </si>
  <si>
    <t xml:space="preserve">GAGCTTGATGGTTATGCTCA</t>
  </si>
  <si>
    <t xml:space="preserve">TAGTGAGCTTGATGGTTATGCTCA</t>
  </si>
  <si>
    <t xml:space="preserve">AAACTGAGCATAACCATCAAGCTC</t>
  </si>
  <si>
    <t xml:space="preserve">CGCCAAGGAACTCGGCCAAT</t>
  </si>
  <si>
    <t xml:space="preserve">TAGTCGCCAAGGAACTCGGCCAAT</t>
  </si>
  <si>
    <t xml:space="preserve">AAACATTGGCCGAGTTCCTTGGCG</t>
  </si>
  <si>
    <t xml:space="preserve">CTCTTGTAAAGCGGCCAGCC</t>
  </si>
  <si>
    <t xml:space="preserve">TAGTCTCTTGTAAAGCGGCCAGCC</t>
  </si>
  <si>
    <t xml:space="preserve">AAACGGCTGGCCGCTTTACAAGAG</t>
  </si>
  <si>
    <t xml:space="preserve">GAAACTGATTTGACCAGGGC</t>
  </si>
  <si>
    <t xml:space="preserve">TAGTGAAACTGATTTGACCAGGGC</t>
  </si>
  <si>
    <t xml:space="preserve">AAACGCCCTGGTCAAATCAGTTTC</t>
  </si>
  <si>
    <t xml:space="preserve">PSPPH_3831</t>
  </si>
  <si>
    <t xml:space="preserve">TGCAGGGCTTGCGACCAGAA</t>
  </si>
  <si>
    <t xml:space="preserve">TAGTTGCAGGGCTTGCGACCAGAA</t>
  </si>
  <si>
    <t xml:space="preserve">AAACTTCTGGTCGCAAGCCCTGCA</t>
  </si>
  <si>
    <t xml:space="preserve">CAGCACAGCAATTTTCATGT</t>
  </si>
  <si>
    <t xml:space="preserve">TAGTCAGCACAGCAATTTTCATGT</t>
  </si>
  <si>
    <t xml:space="preserve">AAACACATGAAAATTGCTGTGCTG</t>
  </si>
  <si>
    <t xml:space="preserve">GGCAGCGTCAGATTCCAGCA</t>
  </si>
  <si>
    <t xml:space="preserve">TAGTGGCAGCGTCAGATTCCAGCA</t>
  </si>
  <si>
    <t xml:space="preserve">AAACTGCTGGAATCTGACGCTGCC</t>
  </si>
  <si>
    <t xml:space="preserve">GGCATCAACAGCGTATTTCT</t>
  </si>
  <si>
    <t xml:space="preserve">TAGTGGCATCAACAGCGTATTTCT</t>
  </si>
  <si>
    <t xml:space="preserve">AAACAGAAATACGCTGTTGATGCC</t>
  </si>
  <si>
    <t xml:space="preserve">PSPPH_3832</t>
  </si>
  <si>
    <t xml:space="preserve">AACTTCAGCGATCATCAGTG</t>
  </si>
  <si>
    <t xml:space="preserve">TAGTAACTTCAGCGATCATCAGTG</t>
  </si>
  <si>
    <t xml:space="preserve">AAACCACTGATGATCGCTGAAGTT</t>
  </si>
  <si>
    <t xml:space="preserve">ATCGGAGATGGTGAAGGACT</t>
  </si>
  <si>
    <t xml:space="preserve">TAGTATCGGAGATGGTGAAGGACT</t>
  </si>
  <si>
    <t xml:space="preserve">AAACAGTCCTTCACCATCTCCGAT</t>
  </si>
  <si>
    <t xml:space="preserve">TGCCGGCGGATACCCGCTGG</t>
  </si>
  <si>
    <t xml:space="preserve">TAGTTGCCGGCGGATACCCGCTGG</t>
  </si>
  <si>
    <t xml:space="preserve">AAACCCAGCGGGTATCCGCCGGCA</t>
  </si>
  <si>
    <t xml:space="preserve">GCCTGCTCGCCTACGTTCAG</t>
  </si>
  <si>
    <t xml:space="preserve">TAGTGCCTGCTCGCCTACGTTCAG</t>
  </si>
  <si>
    <t xml:space="preserve">AAACCTGAACGTAGGCGAGCAGGC</t>
  </si>
  <si>
    <t xml:space="preserve">PSPPH_3833</t>
  </si>
  <si>
    <t xml:space="preserve">CAGCACGCCCAACGCAATCA</t>
  </si>
  <si>
    <t xml:space="preserve">TAGTCAGCACGCCCAACGCAATCA</t>
  </si>
  <si>
    <t xml:space="preserve">AAACTGATTGCGTTGGGCGTGCTG</t>
  </si>
  <si>
    <t xml:space="preserve">GAAGTGGCCGAATTCGTGGA</t>
  </si>
  <si>
    <t xml:space="preserve">TAGTGAAGTGGCCGAATTCGTGGA</t>
  </si>
  <si>
    <t xml:space="preserve">AAACTCCACGAATTCGGCCACTTC</t>
  </si>
  <si>
    <t xml:space="preserve">CACCTTGACGCCACAACGCC</t>
  </si>
  <si>
    <t xml:space="preserve">TAGTCACCTTGACGCCACAACGCC</t>
  </si>
  <si>
    <t xml:space="preserve">AAACGGCGTTGTGGCGTCAAGGTG</t>
  </si>
  <si>
    <t xml:space="preserve">CGATCACTCCAACGCAGAAG</t>
  </si>
  <si>
    <t xml:space="preserve">TAGTCGATCACTCCAACGCAGAAG</t>
  </si>
  <si>
    <t xml:space="preserve">AAACCTTCTGCGTTGGAGTGATCG</t>
  </si>
  <si>
    <t xml:space="preserve">PSPPH_3834</t>
  </si>
  <si>
    <t xml:space="preserve">dxr</t>
  </si>
  <si>
    <t xml:space="preserve">CCCAGAATGGTGATGTGTTG</t>
  </si>
  <si>
    <t xml:space="preserve">TAGTCCCAGAATGGTGATGTGTTG</t>
  </si>
  <si>
    <t xml:space="preserve">AAACCAACACATCACCATTCTGGG</t>
  </si>
  <si>
    <t xml:space="preserve">GCTCAGACCAATAGAGCCTG</t>
  </si>
  <si>
    <t xml:space="preserve">TAGTGCTCAGACCAATAGAGCCTG</t>
  </si>
  <si>
    <t xml:space="preserve">AAACCAGGCTCTATTGGTCTGAGC</t>
  </si>
  <si>
    <t xml:space="preserve">GCGAACACCTGATAACGCGA</t>
  </si>
  <si>
    <t xml:space="preserve">TAGTGCGAACACCTGATAACGCGA</t>
  </si>
  <si>
    <t xml:space="preserve">AAACTCGCGTTATCAGGTGTTCGC</t>
  </si>
  <si>
    <t xml:space="preserve">CGGGGTATGCCGGACGCACA</t>
  </si>
  <si>
    <t xml:space="preserve">TAGTCGGGGTATGCCGGACGCACA</t>
  </si>
  <si>
    <t xml:space="preserve">AAACTGTGCGTCCGGCATACCCCG</t>
  </si>
  <si>
    <t xml:space="preserve">PSPPH_3835</t>
  </si>
  <si>
    <t xml:space="preserve">cdsA</t>
  </si>
  <si>
    <t xml:space="preserve">AAAAAACCACACAAGGCGAT</t>
  </si>
  <si>
    <t xml:space="preserve">TAGTAAAAAACCACACAAGGCGAT</t>
  </si>
  <si>
    <t xml:space="preserve">AAACATCGCCTTGTGTGGTTTTTT</t>
  </si>
  <si>
    <t xml:space="preserve">CGAAATACATGCCGGTCAGC</t>
  </si>
  <si>
    <t xml:space="preserve">TAGTCGAAATACATGCCGGTCAGC</t>
  </si>
  <si>
    <t xml:space="preserve">AAACGCTGACCGGCATGTATTTCG</t>
  </si>
  <si>
    <t xml:space="preserve">GACAACAACCCCGATGAACA</t>
  </si>
  <si>
    <t xml:space="preserve">TAGTGACAACAACCCCGATGAACA</t>
  </si>
  <si>
    <t xml:space="preserve">AAACTGTTCATCGGGGTTGTTGTC</t>
  </si>
  <si>
    <t xml:space="preserve">TGCGAGCCGCGCCCATTCCC</t>
  </si>
  <si>
    <t xml:space="preserve">TAGTTGCGAGCCGCGCCCATTCCC</t>
  </si>
  <si>
    <t xml:space="preserve">AAACGGGAATGGGCGCGGCTCGCA</t>
  </si>
  <si>
    <t xml:space="preserve">PSPPH_3836</t>
  </si>
  <si>
    <t xml:space="preserve">uppS</t>
  </si>
  <si>
    <t xml:space="preserve">GGTACCGAAGACGGCACGGC</t>
  </si>
  <si>
    <t xml:space="preserve">TAGTGGTACCGAAGACGGCACGGC</t>
  </si>
  <si>
    <t xml:space="preserve">AAACGCCGTGCCGTCTTCGGTACC</t>
  </si>
  <si>
    <t xml:space="preserve">ATGATAATCGCGACATGGCG</t>
  </si>
  <si>
    <t xml:space="preserve">TAGTATGATAATCGCGACATGGCG</t>
  </si>
  <si>
    <t xml:space="preserve">AAACCGCCATGTCGCGATTATCAT</t>
  </si>
  <si>
    <t xml:space="preserve">GCCTGGCAGCAGGCGCTTCT</t>
  </si>
  <si>
    <t xml:space="preserve">TAGTGCCTGGCAGCAGGCGCTTCT</t>
  </si>
  <si>
    <t xml:space="preserve">AAACAGAAGCGCCTGCTGCCAGGC</t>
  </si>
  <si>
    <t xml:space="preserve">CAGCGTCGACGCCCGCCTTA</t>
  </si>
  <si>
    <t xml:space="preserve">TAGTCAGCGTCGACGCCCGCCTTA</t>
  </si>
  <si>
    <t xml:space="preserve">AAACTAAGGCGGGCGTCGACGCTG</t>
  </si>
  <si>
    <t xml:space="preserve">PSPPH_3837</t>
  </si>
  <si>
    <t xml:space="preserve">frr</t>
  </si>
  <si>
    <t xml:space="preserve">CTCCAGACTCTTCTGCATGC</t>
  </si>
  <si>
    <t xml:space="preserve">TAGTCTCCAGACTCTTCTGCATGC</t>
  </si>
  <si>
    <t xml:space="preserve">AAACGCATGCAGAAGAGTCTGGAG</t>
  </si>
  <si>
    <t xml:space="preserve">CGCCTTGCCGGTGCGGATTC</t>
  </si>
  <si>
    <t xml:space="preserve">TAGTCGCCTTGCCGGTGCGGATTC</t>
  </si>
  <si>
    <t xml:space="preserve">AAACGAATCCGCACCGGCAAGGCG</t>
  </si>
  <si>
    <t xml:space="preserve">TGACACCACCCAGAATGCTC</t>
  </si>
  <si>
    <t xml:space="preserve">TAGTTGACACCACCCAGAATGCTC</t>
  </si>
  <si>
    <t xml:space="preserve">AAACGAGCATTCTGGGTGGTGTCA</t>
  </si>
  <si>
    <t xml:space="preserve">GCGTGTCGGCACCGTAATAA</t>
  </si>
  <si>
    <t xml:space="preserve">TAGTGCGTGTCGGCACCGTAATAA</t>
  </si>
  <si>
    <t xml:space="preserve">AAACTTATTACGGTGCCGACACGC</t>
  </si>
  <si>
    <t xml:space="preserve">PSPPH_3838</t>
  </si>
  <si>
    <t xml:space="preserve">pyrH</t>
  </si>
  <si>
    <t xml:space="preserve">GAACTCTTCCGAGCCCATGA</t>
  </si>
  <si>
    <t xml:space="preserve">TAGTGAACTCTTCCGAGCCCATGA</t>
  </si>
  <si>
    <t xml:space="preserve">AAACTCATGGGCTCGGAAGAGTTC</t>
  </si>
  <si>
    <t xml:space="preserve">GCCATACGGTCCAGCACCTT</t>
  </si>
  <si>
    <t xml:space="preserve">TAGTGCCATACGGTCCAGCACCTT</t>
  </si>
  <si>
    <t xml:space="preserve">AAACAAGGTGCTGGACCGTATGGC</t>
  </si>
  <si>
    <t xml:space="preserve">GAACACCGATACCGACCAGC</t>
  </si>
  <si>
    <t xml:space="preserve">TAGTGAACACCGATACCGACCAGC</t>
  </si>
  <si>
    <t xml:space="preserve">AAACGCTGGTCGGTATCGGTGTTC</t>
  </si>
  <si>
    <t xml:space="preserve">TCAAGGCTGCGCCACGGAAA</t>
  </si>
  <si>
    <t xml:space="preserve">TAGTTCAAGGCTGCGCCACGGAAA</t>
  </si>
  <si>
    <t xml:space="preserve">AAACTTTCCGTGGCGCAGCCTTGA</t>
  </si>
  <si>
    <t xml:space="preserve">PSPPH_3839</t>
  </si>
  <si>
    <t xml:space="preserve">tsf</t>
  </si>
  <si>
    <t xml:space="preserve">GCAGTCCATCATGCCTTCGC</t>
  </si>
  <si>
    <t xml:space="preserve">TAGTGCAGTCCATCATGCCTTCGC</t>
  </si>
  <si>
    <t xml:space="preserve">AAACGCGAAGGCATGATGGACTGC</t>
  </si>
  <si>
    <t xml:space="preserve">TTCGATGTCGCCGCCAGCCT</t>
  </si>
  <si>
    <t xml:space="preserve">TAGTTTCGATGTCGCCGCCAGCCT</t>
  </si>
  <si>
    <t xml:space="preserve">AAACAGGCTGGCGGCGACATCGAA</t>
  </si>
  <si>
    <t xml:space="preserve">CTTGGCGGCTTTGATCGCGC</t>
  </si>
  <si>
    <t xml:space="preserve">TAGTCTTGGCGGCTTTGATCGCGC</t>
  </si>
  <si>
    <t xml:space="preserve">AAACGCGCGATCAAAGCCGCCAAG</t>
  </si>
  <si>
    <t xml:space="preserve">AGCCTTGCCGTCATCCTTGA</t>
  </si>
  <si>
    <t xml:space="preserve">TAGTAGCCTTGCCGTCATCCTTGA</t>
  </si>
  <si>
    <t xml:space="preserve">AAACTCAAGGATGACGGCAAGGCT</t>
  </si>
  <si>
    <t xml:space="preserve">PSPPH_3840</t>
  </si>
  <si>
    <t xml:space="preserve">rpsB</t>
  </si>
  <si>
    <t xml:space="preserve">CATATCGCGCATATTGACTT</t>
  </si>
  <si>
    <t xml:space="preserve">TAGTCATATCGCGCATATTGACTT</t>
  </si>
  <si>
    <t xml:space="preserve">AAACAAGTCAATATGCGCGATATG</t>
  </si>
  <si>
    <t xml:space="preserve">TTGGTGACCGAAGTGCACAC</t>
  </si>
  <si>
    <t xml:space="preserve">TAGTTTGGTGACCGAAGTGCACAC</t>
  </si>
  <si>
    <t xml:space="preserve">AAACGTGTGCACTTCGGTCACCAA</t>
  </si>
  <si>
    <t xml:space="preserve">CATTTTCGGGTTCCAGTAAC</t>
  </si>
  <si>
    <t xml:space="preserve">TAGTCATTTTCGGGTTCCAGTAAC</t>
  </si>
  <si>
    <t xml:space="preserve">AAACGTTACTGGAACCCGAAAATG</t>
  </si>
  <si>
    <t xml:space="preserve">ACATAGGCAGGGTTTTTTCA</t>
  </si>
  <si>
    <t xml:space="preserve">TAGTACATAGGCAGGGTTTTTTCA</t>
  </si>
  <si>
    <t xml:space="preserve">AAACTGAAAAAACCCTGCCTATGT</t>
  </si>
  <si>
    <t xml:space="preserve">PSPPH_3841</t>
  </si>
  <si>
    <t xml:space="preserve">map2</t>
  </si>
  <si>
    <t xml:space="preserve">TTCCGGGGTTTTGAGGGTGA</t>
  </si>
  <si>
    <t xml:space="preserve">TAGTTTCCGGGGTTTTGAGGGTGA</t>
  </si>
  <si>
    <t xml:space="preserve">AAACTCACCCTCAAAACCCCGGAA</t>
  </si>
  <si>
    <t xml:space="preserve">TTTCCAGAACATCGGCGGCC</t>
  </si>
  <si>
    <t xml:space="preserve">TAGTTTTCCAGAACATCGGCGGCC</t>
  </si>
  <si>
    <t xml:space="preserve">AAACGGCCGCCGATGTTCTGGAAA</t>
  </si>
  <si>
    <t xml:space="preserve">GTTACACCGGGCTTTACGTG</t>
  </si>
  <si>
    <t xml:space="preserve">TAGTGTTACACCGGGCTTTACGTG</t>
  </si>
  <si>
    <t xml:space="preserve">AAACCACGTAAAGCCCGGTGTAAC</t>
  </si>
  <si>
    <t xml:space="preserve">GAGGCGGTCCAGCTCTTCGG</t>
  </si>
  <si>
    <t xml:space="preserve">TAGTGAGGCGGTCCAGCTCTTCGG</t>
  </si>
  <si>
    <t xml:space="preserve">AAACCCGAAGAGCTGGACCGCCTC</t>
  </si>
  <si>
    <t xml:space="preserve">PSPPH_3842</t>
  </si>
  <si>
    <t xml:space="preserve">glnD</t>
  </si>
  <si>
    <t xml:space="preserve">GTCTGGATCTACTTGCGGCA</t>
  </si>
  <si>
    <t xml:space="preserve">TAGTGTCTGGATCTACTTGCGGCA</t>
  </si>
  <si>
    <t xml:space="preserve">AAACTGCCGCAAGTAGATCCAGAC</t>
  </si>
  <si>
    <t xml:space="preserve">AGGCCAGTTCGGCCTGGAAC</t>
  </si>
  <si>
    <t xml:space="preserve">TAGTAGGCCAGTTCGGCCTGGAAC</t>
  </si>
  <si>
    <t xml:space="preserve">AAACGTTCCAGGCCGAACTGGCCT</t>
  </si>
  <si>
    <t xml:space="preserve">TGCGATGGGGCTGGCTTTCA</t>
  </si>
  <si>
    <t xml:space="preserve">TAGTTGCGATGGGGCTGGCTTTCA</t>
  </si>
  <si>
    <t xml:space="preserve">AAACTGAAAGCCAGCCCCATCGCA</t>
  </si>
  <si>
    <t xml:space="preserve">CGAGGACGTCTTTCGCCCTG</t>
  </si>
  <si>
    <t xml:space="preserve">TAGTCGAGGACGTCTTTCGCCCTG</t>
  </si>
  <si>
    <t xml:space="preserve">AAACCAGGGCGAAAGACGTCCTCG</t>
  </si>
  <si>
    <t xml:space="preserve">PSPPH_3843</t>
  </si>
  <si>
    <t xml:space="preserve">dapC</t>
  </si>
  <si>
    <t xml:space="preserve">AGTTGCATGGCGTTATTCAT</t>
  </si>
  <si>
    <t xml:space="preserve">TAGTAGTTGCATGGCGTTATTCAT</t>
  </si>
  <si>
    <t xml:space="preserve">AAACATGAATAACGCCATGCAACT</t>
  </si>
  <si>
    <t xml:space="preserve">CGCAGCTTCTCGAAAGGGTA</t>
  </si>
  <si>
    <t xml:space="preserve">TAGTCGCAGCTTCTCGAAAGGGTA</t>
  </si>
  <si>
    <t xml:space="preserve">AAACTACCCTTTCGAGAAGCTGCG</t>
  </si>
  <si>
    <t xml:space="preserve">GGGCGTTACGCCGGCCAGCA</t>
  </si>
  <si>
    <t xml:space="preserve">TAGTGGGCGTTACGCCGGCCAGCA</t>
  </si>
  <si>
    <t xml:space="preserve">AAACTGCTGGCCGGCGTAACGCCC</t>
  </si>
  <si>
    <t xml:space="preserve">ACAGGGCGCTTTTCCGGGTT</t>
  </si>
  <si>
    <t xml:space="preserve">TAGTACAGGGCGCTTTTCCGGGTT</t>
  </si>
  <si>
    <t xml:space="preserve">AAACAACCCGGAAAAGCGCCCTGT</t>
  </si>
  <si>
    <t xml:space="preserve">PSPPH_3844</t>
  </si>
  <si>
    <t xml:space="preserve">TTTGTGCAAGGTGTAGCAGG</t>
  </si>
  <si>
    <t xml:space="preserve">TAGTTTTGTGCAAGGTGTAGCAGG</t>
  </si>
  <si>
    <t xml:space="preserve">AAACCCTGCTACACCTTGCACAAA</t>
  </si>
  <si>
    <t xml:space="preserve">GGCTGGAAAATGAAGGTTGA</t>
  </si>
  <si>
    <t xml:space="preserve">TAGTGGCTGGAAAATGAAGGTTGA</t>
  </si>
  <si>
    <t xml:space="preserve">AAACTCAACCTTCATTTTCCAGCC</t>
  </si>
  <si>
    <t xml:space="preserve">TAGTTCGCTTCCTTTCAGGA</t>
  </si>
  <si>
    <t xml:space="preserve">TAGTTAGTTCGCTTCCTTTCAGGA</t>
  </si>
  <si>
    <t xml:space="preserve">AAACTCCTGAAAGGAAGCGAACTA</t>
  </si>
  <si>
    <t xml:space="preserve">CAGGCTCTGTGTGGTGGGTG</t>
  </si>
  <si>
    <t xml:space="preserve">TAGTCAGGCTCTGTGTGGTGGGTG</t>
  </si>
  <si>
    <t xml:space="preserve">AAACCACCCACCACACAGAGCCTG</t>
  </si>
  <si>
    <t xml:space="preserve">PSPPH_3845</t>
  </si>
  <si>
    <t xml:space="preserve">GGCCTTCTTCATGGTGTCGC</t>
  </si>
  <si>
    <t xml:space="preserve">TAGTGGCCTTCTTCATGGTGTCGC</t>
  </si>
  <si>
    <t xml:space="preserve">AAACGCGACACCATGAAGAAGGCC</t>
  </si>
  <si>
    <t xml:space="preserve">ATTATCGTCGAGCCAGGTGC</t>
  </si>
  <si>
    <t xml:space="preserve">TAGTATTATCGTCGAGCCAGGTGC</t>
  </si>
  <si>
    <t xml:space="preserve">AAACGCACCTGGCTCGACGATAAT</t>
  </si>
  <si>
    <t xml:space="preserve">GTCATGAAAATCGTAGCTCA</t>
  </si>
  <si>
    <t xml:space="preserve">TAGTGTCATGAAAATCGTAGCTCA</t>
  </si>
  <si>
    <t xml:space="preserve">AAACTGAGCTACGATTTTCATGAC</t>
  </si>
  <si>
    <t xml:space="preserve">ACCACTGCGCGAGGTGTTCC</t>
  </si>
  <si>
    <t xml:space="preserve">TAGTACCACTGCGCGAGGTGTTCC</t>
  </si>
  <si>
    <t xml:space="preserve">AAACGGAACACCTCGCGCAGTGGT</t>
  </si>
  <si>
    <t xml:space="preserve">PSPPH_3846</t>
  </si>
  <si>
    <t xml:space="preserve">GGCCAGGCTGAACAGGGTAG</t>
  </si>
  <si>
    <t xml:space="preserve">TAGTGGCCAGGCTGAACAGGGTAG</t>
  </si>
  <si>
    <t xml:space="preserve">AAACCTACCCTGTTCAGCCTGGCC</t>
  </si>
  <si>
    <t xml:space="preserve">ATTTTGAGTGCCGACGCCGA</t>
  </si>
  <si>
    <t xml:space="preserve">TAGTATTTTGAGTGCCGACGCCGA</t>
  </si>
  <si>
    <t xml:space="preserve">AAACTCGGCGTCGGCACTCAAAAT</t>
  </si>
  <si>
    <t xml:space="preserve">TCTACGGAAGGATTGATCAG</t>
  </si>
  <si>
    <t xml:space="preserve">TAGTTCTACGGAAGGATTGATCAG</t>
  </si>
  <si>
    <t xml:space="preserve">AAACCTGATCAATCCTTCCGTAGA</t>
  </si>
  <si>
    <t xml:space="preserve">GTAACCCAGAACAGGCGCGA</t>
  </si>
  <si>
    <t xml:space="preserve">TAGTGTAACCCAGAACAGGCGCGA</t>
  </si>
  <si>
    <t xml:space="preserve">AAACTCGCGCCTGTTCTGGGTTAC</t>
  </si>
  <si>
    <t xml:space="preserve">PSPPH_3847</t>
  </si>
  <si>
    <t xml:space="preserve">AGCGTGTGGAGGCGGGTTCA</t>
  </si>
  <si>
    <t xml:space="preserve">TAGTAGCGTGTGGAGGCGGGTTCA</t>
  </si>
  <si>
    <t xml:space="preserve">AAACTGAACCCGCCTCCACACGCT</t>
  </si>
  <si>
    <t xml:space="preserve">CCACGCCAGGGAGAAATGAG</t>
  </si>
  <si>
    <t xml:space="preserve">TAGTCCACGCCAGGGAGAAATGAG</t>
  </si>
  <si>
    <t xml:space="preserve">AAACCTCATTTCTCCCTGGCGTGG</t>
  </si>
  <si>
    <t xml:space="preserve">GTTGCAGGGCGGCGATAGCG</t>
  </si>
  <si>
    <t xml:space="preserve">TAGTGTTGCAGGGCGGCGATAGCG</t>
  </si>
  <si>
    <t xml:space="preserve">AAACCGCTATCGCCGCCCTGCAAC</t>
  </si>
  <si>
    <t xml:space="preserve">CGGCGTTGTCCAGATAGGTC</t>
  </si>
  <si>
    <t xml:space="preserve">TAGTCGGCGTTGTCCAGATAGGTC</t>
  </si>
  <si>
    <t xml:space="preserve">AAACGACCTATCTGGACAACGCCG</t>
  </si>
  <si>
    <t xml:space="preserve">PSPPH_3848</t>
  </si>
  <si>
    <t xml:space="preserve">AGCGCGGTCTGCGCCAATGC</t>
  </si>
  <si>
    <t xml:space="preserve">TAGTAGCGCGGTCTGCGCCAATGC</t>
  </si>
  <si>
    <t xml:space="preserve">AAACGCATTGGCGCAGACCGCGCT</t>
  </si>
  <si>
    <t xml:space="preserve">CTGTTCCCAGCTCTGTGGCT</t>
  </si>
  <si>
    <t xml:space="preserve">TAGTCTGTTCCCAGCTCTGTGGCT</t>
  </si>
  <si>
    <t xml:space="preserve">AAACAGCCACAGAGCTGGGAACAG</t>
  </si>
  <si>
    <t xml:space="preserve">GATCCCCCCATTGCATGAGC</t>
  </si>
  <si>
    <t xml:space="preserve">TAGTGATCCCCCCATTGCATGAGC</t>
  </si>
  <si>
    <t xml:space="preserve">AAACGCTCATGCAATGGGGGGATC</t>
  </si>
  <si>
    <t xml:space="preserve">CTTCGTCGCTCAACGAGGGG</t>
  </si>
  <si>
    <t xml:space="preserve">TAGTCTTCGTCGCTCAACGAGGGG</t>
  </si>
  <si>
    <t xml:space="preserve">AAACCCCCTCGTTGAGCGACGAAG</t>
  </si>
  <si>
    <t xml:space="preserve">PSPPH_3849</t>
  </si>
  <si>
    <t xml:space="preserve">CGGGCGATGCCAGCGAAACG</t>
  </si>
  <si>
    <t xml:space="preserve">TAGTCGGGCGATGCCAGCGAAACG</t>
  </si>
  <si>
    <t xml:space="preserve">AAACCGTTTCGCTGGCATCGCCCG</t>
  </si>
  <si>
    <t xml:space="preserve">GGCCTTCAATGCCGTACAAA</t>
  </si>
  <si>
    <t xml:space="preserve">TAGTGGCCTTCAATGCCGTACAAA</t>
  </si>
  <si>
    <t xml:space="preserve">AAACTTTGTACGGCATTGAAGGCC</t>
  </si>
  <si>
    <t xml:space="preserve">GAGCCGCGCGCAGGCGCGCC</t>
  </si>
  <si>
    <t xml:space="preserve">TAGTGAGCCGCGCGCAGGCGCGCC</t>
  </si>
  <si>
    <t xml:space="preserve">AAACGGCGCGCCTGCGCGCGGCTC</t>
  </si>
  <si>
    <t xml:space="preserve">GCCCACACCACTGCGTGCCA</t>
  </si>
  <si>
    <t xml:space="preserve">TAGTGCCCACACCACTGCGTGCCA</t>
  </si>
  <si>
    <t xml:space="preserve">AAACTGGCACGCAGTGGTGTGGGC</t>
  </si>
  <si>
    <t xml:space="preserve">PSPPH_3850</t>
  </si>
  <si>
    <t xml:space="preserve">dapE</t>
  </si>
  <si>
    <t xml:space="preserve">GGTGGGCGACAGGTCGGTAG</t>
  </si>
  <si>
    <t xml:space="preserve">TAGTGGTGGGCGACAGGTCGGTAG</t>
  </si>
  <si>
    <t xml:space="preserve">AAACCTACCGACCTGTCGCCCACC</t>
  </si>
  <si>
    <t xml:space="preserve">CAGATCGCAGGCAAGTTGAA</t>
  </si>
  <si>
    <t xml:space="preserve">TAGTCAGATCGCAGGCAAGTTGAA</t>
  </si>
  <si>
    <t xml:space="preserve">AAACTTCAACTTGCCTGCGATCTG</t>
  </si>
  <si>
    <t xml:space="preserve">CCGGCGTCACTGATGGGCGG</t>
  </si>
  <si>
    <t xml:space="preserve">TAGTCCGGCGTCACTGATGGGCGG</t>
  </si>
  <si>
    <t xml:space="preserve">AAACCCGCCCATCAGTGACGCCGG</t>
  </si>
  <si>
    <t xml:space="preserve">CATCATCACTGCCTGACAGT</t>
  </si>
  <si>
    <t xml:space="preserve">TAGTCATCATCACTGCCTGACAGT</t>
  </si>
  <si>
    <t xml:space="preserve">AAACACTGTCAGGCAGTGATGATG</t>
  </si>
  <si>
    <t xml:space="preserve">PSPPH_3851</t>
  </si>
  <si>
    <t xml:space="preserve">rrmA</t>
  </si>
  <si>
    <t xml:space="preserve">CGGCGCAGAGCAGATCGGGC</t>
  </si>
  <si>
    <t xml:space="preserve">TAGTCGGCGCAGAGCAGATCGGGC</t>
  </si>
  <si>
    <t xml:space="preserve">AAACGCCCGATCTGCTCTGCGCCG</t>
  </si>
  <si>
    <t xml:space="preserve">GCATACCACGCCGTTGTCGG</t>
  </si>
  <si>
    <t xml:space="preserve">TAGTGCATACCACGCCGTTGTCGG</t>
  </si>
  <si>
    <t xml:space="preserve">AAACCCGACAACGGCGTGGTATGC</t>
  </si>
  <si>
    <t xml:space="preserve">GGTCGAAGCGGTGGTTGGCC</t>
  </si>
  <si>
    <t xml:space="preserve">TAGTGGTCGAAGCGGTGGTTGGCC</t>
  </si>
  <si>
    <t xml:space="preserve">AAACGGCCAACCACCGCTTCGACC</t>
  </si>
  <si>
    <t xml:space="preserve">TCAGATACCCCTGACGTGCA</t>
  </si>
  <si>
    <t xml:space="preserve">TAGTTCAGATACCCCTGACGTGCA</t>
  </si>
  <si>
    <t xml:space="preserve">AAACTGCACGTCAGGGGTATCTGA</t>
  </si>
  <si>
    <t xml:space="preserve">PSPPH_3852</t>
  </si>
  <si>
    <t xml:space="preserve">TCGATATCGGGTTGGCGCAT</t>
  </si>
  <si>
    <t xml:space="preserve">TAGTTCGATATCGGGTTGGCGCAT</t>
  </si>
  <si>
    <t xml:space="preserve">AAACATGCGCCAACCCGATATCGA</t>
  </si>
  <si>
    <t xml:space="preserve">GGTCGACGTCTTCGTCTTTC</t>
  </si>
  <si>
    <t xml:space="preserve">TAGTGGTCGACGTCTTCGTCTTTC</t>
  </si>
  <si>
    <t xml:space="preserve">AAACGAAAGACGAAGACGTCGACC</t>
  </si>
  <si>
    <t xml:space="preserve">ACCATTGGGCGATGGCCTTG</t>
  </si>
  <si>
    <t xml:space="preserve">TAGTACCATTGGGCGATGGCCTTG</t>
  </si>
  <si>
    <t xml:space="preserve">AAACCAAGGCCATCGCCCAATGGT</t>
  </si>
  <si>
    <t xml:space="preserve">CCAGTCACTGCACGGGCCCA</t>
  </si>
  <si>
    <t xml:space="preserve">TAGTCCAGTCACTGCACGGGCCCA</t>
  </si>
  <si>
    <t xml:space="preserve">AAACTGGGCCCGTGCAGTGACTGG</t>
  </si>
  <si>
    <t xml:space="preserve">PSPPH_3853</t>
  </si>
  <si>
    <t xml:space="preserve">plsB</t>
  </si>
  <si>
    <t xml:space="preserve">AAGACGACGGAACGGAGAAC</t>
  </si>
  <si>
    <t xml:space="preserve">TAGTAAGACGACGGAACGGAGAAC</t>
  </si>
  <si>
    <t xml:space="preserve">AAACGTTCTCCGTTCCGTCGTCTT</t>
  </si>
  <si>
    <t xml:space="preserve">GAGATACAACAATCGGCGCA</t>
  </si>
  <si>
    <t xml:space="preserve">TAGTGAGATACAACAATCGGCGCA</t>
  </si>
  <si>
    <t xml:space="preserve">AAACTGCGCCGATTGTTGTATCTC</t>
  </si>
  <si>
    <t xml:space="preserve">CGTAAAAGACGACTGATTGA</t>
  </si>
  <si>
    <t xml:space="preserve">TAGTCGTAAAAGACGACTGATTGA</t>
  </si>
  <si>
    <t xml:space="preserve">AAACTCAATCAGTCGTCTTTTACG</t>
  </si>
  <si>
    <t xml:space="preserve">ACACCGGACGGCTACGGTCC</t>
  </si>
  <si>
    <t xml:space="preserve">TAGTACACCGGACGGCTACGGTCC</t>
  </si>
  <si>
    <t xml:space="preserve">AAACGGACCGTAGCCGTCCGGTGT</t>
  </si>
  <si>
    <t xml:space="preserve">PSPPH_3854</t>
  </si>
  <si>
    <t xml:space="preserve">AAGACGTACCAGGGGTTCGC</t>
  </si>
  <si>
    <t xml:space="preserve">TAGTAAGACGTACCAGGGGTTCGC</t>
  </si>
  <si>
    <t xml:space="preserve">AAACGCGAACCCCTGGTACGTCTT</t>
  </si>
  <si>
    <t xml:space="preserve">TTGGCAGAGAGCGGCGTGGC</t>
  </si>
  <si>
    <t xml:space="preserve">TAGTTTGGCAGAGAGCGGCGTGGC</t>
  </si>
  <si>
    <t xml:space="preserve">AAACGCCACGCCGCTCTCTGCCAA</t>
  </si>
  <si>
    <t xml:space="preserve">AGCCAGGTTGATGTCACTCA</t>
  </si>
  <si>
    <t xml:space="preserve">TAGTAGCCAGGTTGATGTCACTCA</t>
  </si>
  <si>
    <t xml:space="preserve">AAACTGAGTGACATCAACCTGGCT</t>
  </si>
  <si>
    <t xml:space="preserve">CGGGCGTCAATGACAGTGGC</t>
  </si>
  <si>
    <t xml:space="preserve">TAGTCGGGCGTCAATGACAGTGGC</t>
  </si>
  <si>
    <t xml:space="preserve">AAACGCCACTGTCATTGACGCCCG</t>
  </si>
  <si>
    <t xml:space="preserve">PSPPH_3855</t>
  </si>
  <si>
    <t xml:space="preserve">GCACGCCGCATCATTTCCAT</t>
  </si>
  <si>
    <t xml:space="preserve">TAGTGCACGCCGCATCATTTCCAT</t>
  </si>
  <si>
    <t xml:space="preserve">AAACATGGAAATGATGCGGCGTGC</t>
  </si>
  <si>
    <t xml:space="preserve">GCTGCGAAGGCTTTCATCAA</t>
  </si>
  <si>
    <t xml:space="preserve">TAGTGCTGCGAAGGCTTTCATCAA</t>
  </si>
  <si>
    <t xml:space="preserve">AAACTTGATGAAAGCCTTCGCAGC</t>
  </si>
  <si>
    <t xml:space="preserve">PSPPH_3856</t>
  </si>
  <si>
    <t xml:space="preserve">GCGAAGGTGAACGAAAAGCG</t>
  </si>
  <si>
    <t xml:space="preserve">TAGTGCGAAGGTGAACGAAAAGCG</t>
  </si>
  <si>
    <t xml:space="preserve">AAACCGCTTTTCGTTCACCTTCGC</t>
  </si>
  <si>
    <t xml:space="preserve">GTTGGCCGACAGCAGCAGAC</t>
  </si>
  <si>
    <t xml:space="preserve">TAGTGTTGGCCGACAGCAGCAGAC</t>
  </si>
  <si>
    <t xml:space="preserve">AAACGTCTGCTGCTGTCGGCCAAC</t>
  </si>
  <si>
    <t xml:space="preserve">CGAGAGGTCGTTCAGCGACA</t>
  </si>
  <si>
    <t xml:space="preserve">TAGTCGAGAGGTCGTTCAGCGACA</t>
  </si>
  <si>
    <t xml:space="preserve">AAACTGTCGCTGAACGACCTCTCG</t>
  </si>
  <si>
    <t xml:space="preserve">CAGCGCGTCTTTGAGACCAC</t>
  </si>
  <si>
    <t xml:space="preserve">TAGTCAGCGCGTCTTTGAGACCAC</t>
  </si>
  <si>
    <t xml:space="preserve">AAACGTGGTCTCAAAGACGCGCTG</t>
  </si>
  <si>
    <t xml:space="preserve">PSPPH_3857</t>
  </si>
  <si>
    <t xml:space="preserve">CGACCGCGAGCGCTTCGACC</t>
  </si>
  <si>
    <t xml:space="preserve">TAGTCGACCGCGAGCGCTTCGACC</t>
  </si>
  <si>
    <t xml:space="preserve">AAACGGTCGAAGCGCTCGCGGTCG</t>
  </si>
  <si>
    <t xml:space="preserve">TCAGCTTCCGCGTCGTGCAA</t>
  </si>
  <si>
    <t xml:space="preserve">TAGTTCAGCTTCCGCGTCGTGCAA</t>
  </si>
  <si>
    <t xml:space="preserve">AAACTTGCACGACGCGGAAGCTGA</t>
  </si>
  <si>
    <t xml:space="preserve">CTGCAATTGCAGGCCATCGT</t>
  </si>
  <si>
    <t xml:space="preserve">TAGTCTGCAATTGCAGGCCATCGT</t>
  </si>
  <si>
    <t xml:space="preserve">AAACACGATGGCCTGCAATTGCAG</t>
  </si>
  <si>
    <t xml:space="preserve">TGGCTGAATACCGACGGCCT</t>
  </si>
  <si>
    <t xml:space="preserve">TAGTTGGCTGAATACCGACGGCCT</t>
  </si>
  <si>
    <t xml:space="preserve">AAACAGGCCGTCGGTATTCAGCCA</t>
  </si>
  <si>
    <t xml:space="preserve">PSPPH_3858</t>
  </si>
  <si>
    <t xml:space="preserve">ATCAGTACTGGCCTTGGGTC</t>
  </si>
  <si>
    <t xml:space="preserve">TAGTATCAGTACTGGCCTTGGGTC</t>
  </si>
  <si>
    <t xml:space="preserve">AAACGACCCAAGGCCAGTACTGAT</t>
  </si>
  <si>
    <t xml:space="preserve">TGAGTGCGACAAATAGCCGA</t>
  </si>
  <si>
    <t xml:space="preserve">TAGTTGAGTGCGACAAATAGCCGA</t>
  </si>
  <si>
    <t xml:space="preserve">AAACTCGGCTATTTGTCGCACTCA</t>
  </si>
  <si>
    <t xml:space="preserve">GCGTCACACCACCCAGTGTG</t>
  </si>
  <si>
    <t xml:space="preserve">TAGTGCGTCACACCACCCAGTGTG</t>
  </si>
  <si>
    <t xml:space="preserve">AAACCACACTGGGTGGTGTGACGC</t>
  </si>
  <si>
    <t xml:space="preserve">GACCTGATCCGCCATCGCTC</t>
  </si>
  <si>
    <t xml:space="preserve">TAGTGACCTGATCCGCCATCGCTC</t>
  </si>
  <si>
    <t xml:space="preserve">AAACGAGCGATGGCGGATCAGGTC</t>
  </si>
  <si>
    <t xml:space="preserve">PSPPH_3859</t>
  </si>
  <si>
    <t xml:space="preserve">AACACACGCATGCTCAGCCC</t>
  </si>
  <si>
    <t xml:space="preserve">TAGTAACACACGCATGCTCAGCCC</t>
  </si>
  <si>
    <t xml:space="preserve">AAACGGGCTGAGCATGCGTGTGTT</t>
  </si>
  <si>
    <t xml:space="preserve">CCCCCATTACACAGATCAGC</t>
  </si>
  <si>
    <t xml:space="preserve">TAGTCCCCCATTACACAGATCAGC</t>
  </si>
  <si>
    <t xml:space="preserve">AAACGCTGATCTGTGTAATGGGGG</t>
  </si>
  <si>
    <t xml:space="preserve">GTCCAGGGGTTCCAGCGCGC</t>
  </si>
  <si>
    <t xml:space="preserve">TAGTGTCCAGGGGTTCCAGCGCGC</t>
  </si>
  <si>
    <t xml:space="preserve">AAACGCGCGCTGGAACCCCTGGAC</t>
  </si>
  <si>
    <t xml:space="preserve">GGCTCGGCCCGCACATCCAG</t>
  </si>
  <si>
    <t xml:space="preserve">TAGTGGCTCGGCCCGCACATCCAG</t>
  </si>
  <si>
    <t xml:space="preserve">AAACCTGGATGTGCGGGCCGAGCC</t>
  </si>
  <si>
    <t xml:space="preserve">PSPPH_3860</t>
  </si>
  <si>
    <t xml:space="preserve">GACAACCGAGGTAGTAAGGC</t>
  </si>
  <si>
    <t xml:space="preserve">TAGTGACAACCGAGGTAGTAAGGC</t>
  </si>
  <si>
    <t xml:space="preserve">AAACGCCTTACTACCTCGGTTGTC</t>
  </si>
  <si>
    <t xml:space="preserve">CAGGCGTTTTCACTCCATGA</t>
  </si>
  <si>
    <t xml:space="preserve">TAGTCAGGCGTTTTCACTCCATGA</t>
  </si>
  <si>
    <t xml:space="preserve">AAACTCATGGAGTGAAAACGCCTG</t>
  </si>
  <si>
    <t xml:space="preserve">CATTGGGGCGGGCGTCTTCC</t>
  </si>
  <si>
    <t xml:space="preserve">TAGTCATTGGGGCGGGCGTCTTCC</t>
  </si>
  <si>
    <t xml:space="preserve">AAACGGAAGACGCCCGCCCCAATG</t>
  </si>
  <si>
    <t xml:space="preserve">ATACCTGAGTGTAGAGATTC</t>
  </si>
  <si>
    <t xml:space="preserve">TAGTATACCTGAGTGTAGAGATTC</t>
  </si>
  <si>
    <t xml:space="preserve">AAACGAATCTCTACACTCAGGTAT</t>
  </si>
  <si>
    <t xml:space="preserve">PSPPH_3861</t>
  </si>
  <si>
    <t xml:space="preserve">GATGGGGTAAGAGCGTGATG</t>
  </si>
  <si>
    <t xml:space="preserve">TAGTGATGGGGTAAGAGCGTGATG</t>
  </si>
  <si>
    <t xml:space="preserve">AAACCATCACGCTCTTACCCCATC</t>
  </si>
  <si>
    <t xml:space="preserve">ACGGTCGAAGGCGTTTTCTG</t>
  </si>
  <si>
    <t xml:space="preserve">TAGTACGGTCGAAGGCGTTTTCTG</t>
  </si>
  <si>
    <t xml:space="preserve">AAACCAGAAAACGCCTTCGACCGT</t>
  </si>
  <si>
    <t xml:space="preserve">CGCCGGAGGCGGCGGCAACT</t>
  </si>
  <si>
    <t xml:space="preserve">TAGTCGCCGGAGGCGGCGGCAACT</t>
  </si>
  <si>
    <t xml:space="preserve">AAACAGTTGCCGCCGCCTCCGGCG</t>
  </si>
  <si>
    <t xml:space="preserve">ACATTGGCAGTGCTGCCAAT</t>
  </si>
  <si>
    <t xml:space="preserve">TAGTACATTGGCAGTGCTGCCAAT</t>
  </si>
  <si>
    <t xml:space="preserve">AAACATTGGCAGCACTGCCAATGT</t>
  </si>
  <si>
    <t xml:space="preserve">PSPPH_3862</t>
  </si>
  <si>
    <t xml:space="preserve">CGGTGTTTCCGTCATGGTCA</t>
  </si>
  <si>
    <t xml:space="preserve">TAGTCGGTGTTTCCGTCATGGTCA</t>
  </si>
  <si>
    <t xml:space="preserve">AAACTGACCATGACGGAAACACCG</t>
  </si>
  <si>
    <t xml:space="preserve">AGGGCCAGCAAGGTGGTCAT</t>
  </si>
  <si>
    <t xml:space="preserve">TAGTAGGGCCAGCAAGGTGGTCAT</t>
  </si>
  <si>
    <t xml:space="preserve">AAACATGACCACCTTGCTGGCCCT</t>
  </si>
  <si>
    <t xml:space="preserve">AGGCTTCAGTGGCGGTGTCC</t>
  </si>
  <si>
    <t xml:space="preserve">TAGTAGGCTTCAGTGGCGGTGTCC</t>
  </si>
  <si>
    <t xml:space="preserve">AAACGGACACCGCCACTGAAGCCT</t>
  </si>
  <si>
    <t xml:space="preserve">GGCGCGGGATCACCTCGTAG</t>
  </si>
  <si>
    <t xml:space="preserve">TAGTGGCGCGGGATCACCTCGTAG</t>
  </si>
  <si>
    <t xml:space="preserve">AAACCTACGAGGTGATCCCGCGCC</t>
  </si>
  <si>
    <t xml:space="preserve">PSPPH_3863</t>
  </si>
  <si>
    <t xml:space="preserve">adk</t>
  </si>
  <si>
    <t xml:space="preserve">TGAGTACCTTTACCGGCCCC</t>
  </si>
  <si>
    <t xml:space="preserve">TAGTTGAGTACCTTTACCGGCCCC</t>
  </si>
  <si>
    <t xml:space="preserve">AAACGGGGCCGGTAAAGGTACTCA</t>
  </si>
  <si>
    <t xml:space="preserve">TGTCGCCTGTCGAAACCTGC</t>
  </si>
  <si>
    <t xml:space="preserve">TAGTTGTCGCCTGTCGAAACCTGC</t>
  </si>
  <si>
    <t xml:space="preserve">AAACGCAGGTTTCGACAGGCGACA</t>
  </si>
  <si>
    <t xml:space="preserve">CTTGGCTTTCAGGCCAAGCT</t>
  </si>
  <si>
    <t xml:space="preserve">TAGTCTTGGCTTTCAGGCCAAGCT</t>
  </si>
  <si>
    <t xml:space="preserve">AAACAGCTTGGCCTGAAAGCCAAG</t>
  </si>
  <si>
    <t xml:space="preserve">CAGACCAATGATCAGGTCAT</t>
  </si>
  <si>
    <t xml:space="preserve">TAGTCAGACCAATGATCAGGTCAT</t>
  </si>
  <si>
    <t xml:space="preserve">AAACATGACCTGATCATTGGTCTG</t>
  </si>
  <si>
    <t xml:space="preserve">PSPPH_3864</t>
  </si>
  <si>
    <t xml:space="preserve">GACAATCGGGGCGCGCAAGC</t>
  </si>
  <si>
    <t xml:space="preserve">TAGTGACAATCGGGGCGCGCAAGC</t>
  </si>
  <si>
    <t xml:space="preserve">AAACGCTTGCGCGCCCCGATTGTC</t>
  </si>
  <si>
    <t xml:space="preserve">GGGTTTGCAGGTTGGCCTGC</t>
  </si>
  <si>
    <t xml:space="preserve">TAGTGGGTTTGCAGGTTGGCCTGC</t>
  </si>
  <si>
    <t xml:space="preserve">AAACGCAGGCCAACCTGCAAACCC</t>
  </si>
  <si>
    <t xml:space="preserve">GGCCCGGCATTGACAAGACC</t>
  </si>
  <si>
    <t xml:space="preserve">TAGTGGCCCGGCATTGACAAGACC</t>
  </si>
  <si>
    <t xml:space="preserve">AAACGGTCTTGTCAATGCCGGGCC</t>
  </si>
  <si>
    <t xml:space="preserve">CTTTAATTGCCGGGCCGTTT</t>
  </si>
  <si>
    <t xml:space="preserve">TAGTCTTTAATTGCCGGGCCGTTT</t>
  </si>
  <si>
    <t xml:space="preserve">AAACAAACGGCCCGGCAATTAAAG</t>
  </si>
  <si>
    <t xml:space="preserve">PSPPH_3865</t>
  </si>
  <si>
    <t xml:space="preserve">ppc</t>
  </si>
  <si>
    <t xml:space="preserve">GCGCAGACGCGCATCGATAT</t>
  </si>
  <si>
    <t xml:space="preserve">TAGTGCGCAGACGCGCATCGATAT</t>
  </si>
  <si>
    <t xml:space="preserve">AAACATATCGATGCGCGTCTGCGC</t>
  </si>
  <si>
    <t xml:space="preserve">TACCCAACAGCTCACCCAGC</t>
  </si>
  <si>
    <t xml:space="preserve">TAGTTACCCAACAGCTCACCCAGC</t>
  </si>
  <si>
    <t xml:space="preserve">AAACGCTGGGTGAGCTGTTGGGTA</t>
  </si>
  <si>
    <t xml:space="preserve">GAATACGTTCGATCTTGTCG</t>
  </si>
  <si>
    <t xml:space="preserve">TAGTGAATACGTTCGATCTTGTCG</t>
  </si>
  <si>
    <t xml:space="preserve">AAACCGACAAGATCGAACGTATTC</t>
  </si>
  <si>
    <t xml:space="preserve">AGAACCGCGCCTGCCCGCCT</t>
  </si>
  <si>
    <t xml:space="preserve">TAGTAGAACCGCGCCTGCCCGCCT</t>
  </si>
  <si>
    <t xml:space="preserve">AAACAGGCGGGCAGGCGCGGTTCT</t>
  </si>
  <si>
    <t xml:space="preserve">PSPPH_3866</t>
  </si>
  <si>
    <t xml:space="preserve">GTACGCCCGCGCTGTTTTGC</t>
  </si>
  <si>
    <t xml:space="preserve">TAGTGTACGCCCGCGCTGTTTTGC</t>
  </si>
  <si>
    <t xml:space="preserve">AAACGCAAAACAGCGCGGGCGTAC</t>
  </si>
  <si>
    <t xml:space="preserve">TTGGTGCACTGTTGGCAATG</t>
  </si>
  <si>
    <t xml:space="preserve">TAGTTTGGTGCACTGTTGGCAATG</t>
  </si>
  <si>
    <t xml:space="preserve">AAACCATTGCCAACAGTGCACCAA</t>
  </si>
  <si>
    <t xml:space="preserve">TGAACCATTTGTCCAATTGC</t>
  </si>
  <si>
    <t xml:space="preserve">TAGTTGAACCATTTGTCCAATTGC</t>
  </si>
  <si>
    <t xml:space="preserve">AAACGCAATTGGACAAATGGTTCA</t>
  </si>
  <si>
    <t xml:space="preserve">PSPPH_3867</t>
  </si>
  <si>
    <t xml:space="preserve">TTTGGCAGTTAAGGTGTTCA</t>
  </si>
  <si>
    <t xml:space="preserve">TAGTTTTGGCAGTTAAGGTGTTCA</t>
  </si>
  <si>
    <t xml:space="preserve">AAACTGAACACCTTAACTGCCAAA</t>
  </si>
  <si>
    <t xml:space="preserve">ACCGCGCAGGCCTTTGAACT</t>
  </si>
  <si>
    <t xml:space="preserve">TAGTACCGCGCAGGCCTTTGAACT</t>
  </si>
  <si>
    <t xml:space="preserve">AAACAGTTCAAAGGCCTGCGCGGT</t>
  </si>
  <si>
    <t xml:space="preserve">TGCGCAACCGGCGAGGATAA</t>
  </si>
  <si>
    <t xml:space="preserve">TAGTTGCGCAACCGGCGAGGATAA</t>
  </si>
  <si>
    <t xml:space="preserve">AAACTTATCCTCGCCGGTTGCGCA</t>
  </si>
  <si>
    <t xml:space="preserve">CTGCATATTGCTCGGATGGC</t>
  </si>
  <si>
    <t xml:space="preserve">TAGTCTGCATATTGCTCGGATGGC</t>
  </si>
  <si>
    <t xml:space="preserve">AAACGCCATCCGAGCAATATGCAG</t>
  </si>
  <si>
    <t xml:space="preserve">PSPPH_3868</t>
  </si>
  <si>
    <t xml:space="preserve">CGCTCATGGCCAGCAGAGCA</t>
  </si>
  <si>
    <t xml:space="preserve">TAGTCGCTCATGGCCAGCAGAGCA</t>
  </si>
  <si>
    <t xml:space="preserve">AAACTGCTCTGCTGGCCATGAGCG</t>
  </si>
  <si>
    <t xml:space="preserve">CTTGGTTGCACAGGCTGCCA</t>
  </si>
  <si>
    <t xml:space="preserve">TAGTCTTGGTTGCACAGGCTGCCA</t>
  </si>
  <si>
    <t xml:space="preserve">AAACTGGCAGCCTGTGCAACCAAG</t>
  </si>
  <si>
    <t xml:space="preserve">GCCTGTTCCAGATTAGGGTT</t>
  </si>
  <si>
    <t xml:space="preserve">TAGTGCCTGTTCCAGATTAGGGTT</t>
  </si>
  <si>
    <t xml:space="preserve">AAACAACCCTAATCTGGAACAGGC</t>
  </si>
  <si>
    <t xml:space="preserve">CAGCGCGGTGAAGTTGCTGC</t>
  </si>
  <si>
    <t xml:space="preserve">TAGTCAGCGCGGTGAAGTTGCTGC</t>
  </si>
  <si>
    <t xml:space="preserve">AAACGCAGCAACTTCACCGCGCTG</t>
  </si>
  <si>
    <t xml:space="preserve">PSPPH_3869</t>
  </si>
  <si>
    <t xml:space="preserve">TGCCGTTGACGTTACGGTCG</t>
  </si>
  <si>
    <t xml:space="preserve">TAGTTGCCGTTGACGTTACGGTCG</t>
  </si>
  <si>
    <t xml:space="preserve">AAACCGACCGTAACGTCAACGGCA</t>
  </si>
  <si>
    <t xml:space="preserve">GGTGCCGATGACTGCACCGA</t>
  </si>
  <si>
    <t xml:space="preserve">TAGTGGTGCCGATGACTGCACCGA</t>
  </si>
  <si>
    <t xml:space="preserve">AAACTCGGTGCAGTCATCGGCACC</t>
  </si>
  <si>
    <t xml:space="preserve">GTAAAACCACAGACAGCCGA</t>
  </si>
  <si>
    <t xml:space="preserve">TAGTGTAAAACCACAGACAGCCGA</t>
  </si>
  <si>
    <t xml:space="preserve">AAACTCGGCTGTCTGTGGTTTTAC</t>
  </si>
  <si>
    <t xml:space="preserve">CCTCAGGCTTTGCGAAGTGC</t>
  </si>
  <si>
    <t xml:space="preserve">TAGTCCTCAGGCTTTGCGAAGTGC</t>
  </si>
  <si>
    <t xml:space="preserve">AAACGCACTTCGCAAAGCCTGAGG</t>
  </si>
  <si>
    <t xml:space="preserve">PSPPH_3870</t>
  </si>
  <si>
    <t xml:space="preserve">ATGCCGAGCAGTTTCAAATG</t>
  </si>
  <si>
    <t xml:space="preserve">TAGTATGCCGAGCAGTTTCAAATG</t>
  </si>
  <si>
    <t xml:space="preserve">AAACCATTTGAAACTGCTCGGCAT</t>
  </si>
  <si>
    <t xml:space="preserve">GCCTGTGAGCGCGAGGACCA</t>
  </si>
  <si>
    <t xml:space="preserve">TAGTGCCTGTGAGCGCGAGGACCA</t>
  </si>
  <si>
    <t xml:space="preserve">AAACTGGTCCTCGCGCTCACAGGC</t>
  </si>
  <si>
    <t xml:space="preserve">GTGAACGGAACACCTTGCTC</t>
  </si>
  <si>
    <t xml:space="preserve">TAGTGTGAACGGAACACCTTGCTC</t>
  </si>
  <si>
    <t xml:space="preserve">AAACGAGCAAGGTGTTCCGTTCAC</t>
  </si>
  <si>
    <t xml:space="preserve">TACTGTAAACGAGCCTTGTC</t>
  </si>
  <si>
    <t xml:space="preserve">TAGTTACTGTAAACGAGCCTTGTC</t>
  </si>
  <si>
    <t xml:space="preserve">AAACGACAAGGCTCGTTTACAGTA</t>
  </si>
  <si>
    <t xml:space="preserve">PSPPH_3871</t>
  </si>
  <si>
    <t xml:space="preserve">GCTGTTTCGCTACTGCTCGG</t>
  </si>
  <si>
    <t xml:space="preserve">TAGTGCTGTTTCGCTACTGCTCGG</t>
  </si>
  <si>
    <t xml:space="preserve">AAACCCGAGCAGTAGCGAAACAGC</t>
  </si>
  <si>
    <t xml:space="preserve">GTCCACCGGTACTCCTTGGC</t>
  </si>
  <si>
    <t xml:space="preserve">TAGTGTCCACCGGTACTCCTTGGC</t>
  </si>
  <si>
    <t xml:space="preserve">AAACGCCAAGGAGTACCGGTGGAC</t>
  </si>
  <si>
    <t xml:space="preserve">ACTGCATCCAGAATGCGAAT</t>
  </si>
  <si>
    <t xml:space="preserve">TAGTACTGCATCCAGAATGCGAAT</t>
  </si>
  <si>
    <t xml:space="preserve">AAACATTCGCATTCTGGATGCAGT</t>
  </si>
  <si>
    <t xml:space="preserve">AGGAAGCGCCTTGCCCTTGG</t>
  </si>
  <si>
    <t xml:space="preserve">TAGTAGGAAGCGCCTTGCCCTTGG</t>
  </si>
  <si>
    <t xml:space="preserve">AAACCCAAGGGCAAGGCGCTTCCT</t>
  </si>
  <si>
    <t xml:space="preserve">PSPPH_3872</t>
  </si>
  <si>
    <t xml:space="preserve">TACCCCGGCGGCCCCTTCTC</t>
  </si>
  <si>
    <t xml:space="preserve">TAGTTACCCCGGCGGCCCCTTCTC</t>
  </si>
  <si>
    <t xml:space="preserve">AAACGAGAAGGGGCCGCCGGGGTA</t>
  </si>
  <si>
    <t xml:space="preserve">GCCTTGATACTTGACACTTT</t>
  </si>
  <si>
    <t xml:space="preserve">TAGTGCCTTGATACTTGACACTTT</t>
  </si>
  <si>
    <t xml:space="preserve">AAACAAAGTGTCAAGTATCAAGGC</t>
  </si>
  <si>
    <t xml:space="preserve">TGCCTTCGCGGGCCGCCTTG</t>
  </si>
  <si>
    <t xml:space="preserve">TAGTTGCCTTCGCGGGCCGCCTTG</t>
  </si>
  <si>
    <t xml:space="preserve">AAACCAAGGCGGCCCGCGAAGGCA</t>
  </si>
  <si>
    <t xml:space="preserve">GTCGCGCACCACAATACGCA</t>
  </si>
  <si>
    <t xml:space="preserve">TAGTGTCGCGCACCACAATACGCA</t>
  </si>
  <si>
    <t xml:space="preserve">AAACTGCGTATTGTGGTGCGCGAC</t>
  </si>
  <si>
    <t xml:space="preserve">PSPPH_3873</t>
  </si>
  <si>
    <t xml:space="preserve">lysS</t>
  </si>
  <si>
    <t xml:space="preserve">GGGCTTGCGGGTCGAGTTGT</t>
  </si>
  <si>
    <t xml:space="preserve">TAGTGGGCTTGCGGGTCGAGTTGT</t>
  </si>
  <si>
    <t xml:space="preserve">AAACACAACTCGACCCGCAAGCCC</t>
  </si>
  <si>
    <t xml:space="preserve">GGTGTTTTCTTCCTGTTGCA</t>
  </si>
  <si>
    <t xml:space="preserve">TAGTGGTGTTTTCTTCCTGTTGCA</t>
  </si>
  <si>
    <t xml:space="preserve">AAACTGCAACAGGAAGAAAACACC</t>
  </si>
  <si>
    <t xml:space="preserve">TTCCTTGCGCAGGGCGATCA</t>
  </si>
  <si>
    <t xml:space="preserve">TAGTTTCCTTGCGCAGGGCGATCA</t>
  </si>
  <si>
    <t xml:space="preserve">AAACTGATCGCCCTGCGCAAGGAA</t>
  </si>
  <si>
    <t xml:space="preserve">GGAAGGCCTGACCCTTGGCA</t>
  </si>
  <si>
    <t xml:space="preserve">TAGTGGAAGGCCTGACCCTTGGCA</t>
  </si>
  <si>
    <t xml:space="preserve">AAACTGCCAAGGGTCAGGCCTTCC</t>
  </si>
  <si>
    <t xml:space="preserve">PSPPH_3874</t>
  </si>
  <si>
    <t xml:space="preserve">prfB</t>
  </si>
  <si>
    <t xml:space="preserve">TTCGAGCTCGCGGTTGACTT</t>
  </si>
  <si>
    <t xml:space="preserve">TAGTTTCGAGCTCGCGGTTGACTT</t>
  </si>
  <si>
    <t xml:space="preserve">AAACAAGTCAACCGCGAGCTCGAA</t>
  </si>
  <si>
    <t xml:space="preserve">GTCGGGTTGTTCCAGACGTT</t>
  </si>
  <si>
    <t xml:space="preserve">TAGTGTCGGGTTGTTCCAGACGTT</t>
  </si>
  <si>
    <t xml:space="preserve">AAACAACGTCTGGAACAACCCGAC</t>
  </si>
  <si>
    <t xml:space="preserve">ACGCCCCAGTTCCTGGGCGT</t>
  </si>
  <si>
    <t xml:space="preserve">TAGTACGCCCCAGTTCCTGGGCGT</t>
  </si>
  <si>
    <t xml:space="preserve">AAACACGCCCAGGAACTGGGGCGT</t>
  </si>
  <si>
    <t xml:space="preserve">TTCTACGATCTGCGCCAGCA</t>
  </si>
  <si>
    <t xml:space="preserve">TAGTTTCTACGATCTGCGCCAGCA</t>
  </si>
  <si>
    <t xml:space="preserve">AAACTGCTGGCGCAGATCGTAGAA</t>
  </si>
  <si>
    <t xml:space="preserve">PSPPH_3875</t>
  </si>
  <si>
    <t xml:space="preserve">wspR</t>
  </si>
  <si>
    <t xml:space="preserve">TCTTGATCTCATCCGTCTGC</t>
  </si>
  <si>
    <t xml:space="preserve">TAGTTCTTGATCTCATCCGTCTGC</t>
  </si>
  <si>
    <t xml:space="preserve">AAACGCAGACGGATGAGATCAAGA</t>
  </si>
  <si>
    <t xml:space="preserve">CATGGCGGTGTTCTCATCCG</t>
  </si>
  <si>
    <t xml:space="preserve">TAGTCATGGCGGTGTTCTCATCCG</t>
  </si>
  <si>
    <t xml:space="preserve">AAACCGGATGAGAACACCGCCATG</t>
  </si>
  <si>
    <t xml:space="preserve">CCGGACAGCCTCGCCAATCA</t>
  </si>
  <si>
    <t xml:space="preserve">TAGTCCGGACAGCCTCGCCAATCA</t>
  </si>
  <si>
    <t xml:space="preserve">AAACTGATTGGCGAGGCTGTCCGG</t>
  </si>
  <si>
    <t xml:space="preserve">AGTGGAAGTCGATCGATTCG</t>
  </si>
  <si>
    <t xml:space="preserve">TAGTAGTGGAAGTCGATCGATTCG</t>
  </si>
  <si>
    <t xml:space="preserve">AAACCGAATCGATCGACTTCCACT</t>
  </si>
  <si>
    <t xml:space="preserve">PSPPH_3876</t>
  </si>
  <si>
    <t xml:space="preserve">CATGGGCATGTCGTTGACGA</t>
  </si>
  <si>
    <t xml:space="preserve">TAGTCATGGGCATGTCGTTGACGA</t>
  </si>
  <si>
    <t xml:space="preserve">AAACTCGTCAACGACATGCCCATG</t>
  </si>
  <si>
    <t xml:space="preserve">CGCGCGACGCAGGGCTTCGA</t>
  </si>
  <si>
    <t xml:space="preserve">TAGTCGCGCGACGCAGGGCTTCGA</t>
  </si>
  <si>
    <t xml:space="preserve">AAACTCGAAGCCCTGCGTCGCGCG</t>
  </si>
  <si>
    <t xml:space="preserve">GATCTGGTGCGCGGGCTCGA</t>
  </si>
  <si>
    <t xml:space="preserve">TAGTGATCTGGTGCGCGGGCTCGA</t>
  </si>
  <si>
    <t xml:space="preserve">AAACTCGAGCCCGCGCACCAGATC</t>
  </si>
  <si>
    <t xml:space="preserve">CTGCACGGCATCGGCACCAT</t>
  </si>
  <si>
    <t xml:space="preserve">TAGTCTGCACGGCATCGGCACCAT</t>
  </si>
  <si>
    <t xml:space="preserve">AAACATGGTGCCGATGCCGTGCAG</t>
  </si>
  <si>
    <t xml:space="preserve">PSPPH_3877</t>
  </si>
  <si>
    <t xml:space="preserve">GAGGCGTCACGCATTTGATC</t>
  </si>
  <si>
    <t xml:space="preserve">TAGTGAGGCGTCACGCATTTGATC</t>
  </si>
  <si>
    <t xml:space="preserve">AAACGATCAAATGCGTGACGCCTC</t>
  </si>
  <si>
    <t xml:space="preserve">CAATACTTGGGTCTGCGCAT</t>
  </si>
  <si>
    <t xml:space="preserve">TAGTCAATACTTGGGTCTGCGCAT</t>
  </si>
  <si>
    <t xml:space="preserve">AAACATGCGCAGACCCAAGTATTG</t>
  </si>
  <si>
    <t xml:space="preserve">GGTTACGCTCAAGCGCCAGC</t>
  </si>
  <si>
    <t xml:space="preserve">TAGTGGTTACGCTCAAGCGCCAGC</t>
  </si>
  <si>
    <t xml:space="preserve">AAACGCTGGCGCTTGAGCGTAACC</t>
  </si>
  <si>
    <t xml:space="preserve">CCAGCTGATCCGCCTGGGTC</t>
  </si>
  <si>
    <t xml:space="preserve">TAGTCCAGCTGATCCGCCTGGGTC</t>
  </si>
  <si>
    <t xml:space="preserve">AAACGACCCAGGCGGATCAGCTGG</t>
  </si>
  <si>
    <t xml:space="preserve">PSPPH_3878</t>
  </si>
  <si>
    <t xml:space="preserve">wspD</t>
  </si>
  <si>
    <t xml:space="preserve">ATGGGTAAGACTGGAAAAAC</t>
  </si>
  <si>
    <t xml:space="preserve">TAGTATGGGTAAGACTGGAAAAAC</t>
  </si>
  <si>
    <t xml:space="preserve">AAACGTTTTTCCAGTCTTACCCAT</t>
  </si>
  <si>
    <t xml:space="preserve">AGTCATCGATATCCAGGGCT</t>
  </si>
  <si>
    <t xml:space="preserve">TAGTAGTCATCGATATCCAGGGCT</t>
  </si>
  <si>
    <t xml:space="preserve">AAACAGCCCTGGATATCGATGACT</t>
  </si>
  <si>
    <t xml:space="preserve">GATCACCGTGAATACCGATG</t>
  </si>
  <si>
    <t xml:space="preserve">TAGTGATCACCGTGAATACCGATG</t>
  </si>
  <si>
    <t xml:space="preserve">AAACCATCGGTATTCACGGTGATC</t>
  </si>
  <si>
    <t xml:space="preserve">GTGCTCTTCAAGCAACGGGC</t>
  </si>
  <si>
    <t xml:space="preserve">TAGTGTGCTCTTCAAGCAACGGGC</t>
  </si>
  <si>
    <t xml:space="preserve">AAACGCCCGTTGCTTGAAGAGCAC</t>
  </si>
  <si>
    <t xml:space="preserve">PSPPH_3879</t>
  </si>
  <si>
    <t xml:space="preserve">wspC</t>
  </si>
  <si>
    <t xml:space="preserve">GGCCGTCGCACGCTGACGCA</t>
  </si>
  <si>
    <t xml:space="preserve">TAGTGGCCGTCGCACGCTGACGCA</t>
  </si>
  <si>
    <t xml:space="preserve">AAACTGCGTCAGCGTGCGACGGCC</t>
  </si>
  <si>
    <t xml:space="preserve">ATCACTGTCGGGGCAATGGG</t>
  </si>
  <si>
    <t xml:space="preserve">TAGTATCACTGTCGGGGCAATGGG</t>
  </si>
  <si>
    <t xml:space="preserve">AAACCCCATTGCCCCGACAGTGAT</t>
  </si>
  <si>
    <t xml:space="preserve">ATCAGCGCCTGCTGTTCTTG</t>
  </si>
  <si>
    <t xml:space="preserve">TAGTATCAGCGCCTGCTGTTCTTG</t>
  </si>
  <si>
    <t xml:space="preserve">AAACCAAGAACAGCAGGCGCTGAT</t>
  </si>
  <si>
    <t xml:space="preserve">TAGCGAAAAAACCAGGTTTC</t>
  </si>
  <si>
    <t xml:space="preserve">TAGTTAGCGAAAAAACCAGGTTTC</t>
  </si>
  <si>
    <t xml:space="preserve">AAACGAAACCTGGTTTTTTCGCTA</t>
  </si>
  <si>
    <t xml:space="preserve">PSPPH_3880</t>
  </si>
  <si>
    <t xml:space="preserve">wspB</t>
  </si>
  <si>
    <t xml:space="preserve">AAGAGTTTGCTGGTGGTCAG</t>
  </si>
  <si>
    <t xml:space="preserve">TAGTAAGAGTTTGCTGGTGGTCAG</t>
  </si>
  <si>
    <t xml:space="preserve">AAACCTGACCACCAGCAAACTCTT</t>
  </si>
  <si>
    <t xml:space="preserve">CTGTCGCGTCCAGTGCATAG</t>
  </si>
  <si>
    <t xml:space="preserve">TAGTCTGTCGCGTCCAGTGCATAG</t>
  </si>
  <si>
    <t xml:space="preserve">AAACCTATGCACTGGACGCGACAG</t>
  </si>
  <si>
    <t xml:space="preserve">TTTCACGCGAGGCAGGATCT</t>
  </si>
  <si>
    <t xml:space="preserve">TAGTTTTCACGCGAGGCAGGATCT</t>
  </si>
  <si>
    <t xml:space="preserve">AAACAGATCCTGCCTCGCGTGAAA</t>
  </si>
  <si>
    <t xml:space="preserve">CGCCACCCAGTGCGGAGCCT</t>
  </si>
  <si>
    <t xml:space="preserve">TAGTCGCCACCCAGTGCGGAGCCT</t>
  </si>
  <si>
    <t xml:space="preserve">AAACAGGCTCCGCACTGGGTGGCG</t>
  </si>
  <si>
    <t xml:space="preserve">PSPPH_3881</t>
  </si>
  <si>
    <t xml:space="preserve">wspA</t>
  </si>
  <si>
    <t xml:space="preserve">CGAAACTCGCCAGAATCCGT</t>
  </si>
  <si>
    <t xml:space="preserve">TAGTCGAAACTCGCCAGAATCCGT</t>
  </si>
  <si>
    <t xml:space="preserve">AAACACGGATTCTGGCGAGTTTCG</t>
  </si>
  <si>
    <t xml:space="preserve">CAGCATGATTGCGATGATGA</t>
  </si>
  <si>
    <t xml:space="preserve">TAGTCAGCATGATTGCGATGATGA</t>
  </si>
  <si>
    <t xml:space="preserve">AAACTCATCATCGCAATCATGCTG</t>
  </si>
  <si>
    <t xml:space="preserve">CTCTTCCTCACTGGACTCGA</t>
  </si>
  <si>
    <t xml:space="preserve">TAGTCTCTTCCTCACTGGACTCGA</t>
  </si>
  <si>
    <t xml:space="preserve">AAACTCGAGTCCAGTGAGGAAGAG</t>
  </si>
  <si>
    <t xml:space="preserve">CGCCAGGCAGCGCATCGAGA</t>
  </si>
  <si>
    <t xml:space="preserve">TAGTCGCCAGGCAGCGCATCGAGA</t>
  </si>
  <si>
    <t xml:space="preserve">AAACTCTCGATGCGCTGCCTGGCG</t>
  </si>
  <si>
    <t xml:space="preserve">PSPPH_3883</t>
  </si>
  <si>
    <t xml:space="preserve">GTCCTGCAACATGCTTTGTC</t>
  </si>
  <si>
    <t xml:space="preserve">TAGTGTCCTGCAACATGCTTTGTC</t>
  </si>
  <si>
    <t xml:space="preserve">AAACGACAAAGCATGTTGCAGGAC</t>
  </si>
  <si>
    <t xml:space="preserve">GCTGCCCGAAGACTGCTTGG</t>
  </si>
  <si>
    <t xml:space="preserve">TAGTGCTGCCCGAAGACTGCTTGG</t>
  </si>
  <si>
    <t xml:space="preserve">AAACCCAAGCAGTCTTCGGGCAGC</t>
  </si>
  <si>
    <t xml:space="preserve">GACCGCTCTGAGAGGTCCCT</t>
  </si>
  <si>
    <t xml:space="preserve">TAGTGACCGCTCTGAGAGGTCCCT</t>
  </si>
  <si>
    <t xml:space="preserve">AAACAGGGACCTCTCAGAGCGGTC</t>
  </si>
  <si>
    <t xml:space="preserve">TGCAGCCAGCGCACCGCCAC</t>
  </si>
  <si>
    <t xml:space="preserve">TAGTTGCAGCCAGCGCACCGCCAC</t>
  </si>
  <si>
    <t xml:space="preserve">AAACGTGGCGGTGCGCTGGCTGCA</t>
  </si>
  <si>
    <t xml:space="preserve">PSPPH_3885</t>
  </si>
  <si>
    <t xml:space="preserve">GACTGCAATAATACCGCCTT</t>
  </si>
  <si>
    <t xml:space="preserve">TAGTGACTGCAATAATACCGCCTT</t>
  </si>
  <si>
    <t xml:space="preserve">AAACAAGGCGGTATTATTGCAGTC</t>
  </si>
  <si>
    <t xml:space="preserve">GCGCCTGCCATCTCTCCATC</t>
  </si>
  <si>
    <t xml:space="preserve">TAGTGCGCCTGCCATCTCTCCATC</t>
  </si>
  <si>
    <t xml:space="preserve">AAACGATGGAGAGATGGCAGGCGC</t>
  </si>
  <si>
    <t xml:space="preserve">GTGCTGTATCAGTTGAGGAA</t>
  </si>
  <si>
    <t xml:space="preserve">TAGTGTGCTGTATCAGTTGAGGAA</t>
  </si>
  <si>
    <t xml:space="preserve">AAACTTCCTCAACTGATACAGCAC</t>
  </si>
  <si>
    <t xml:space="preserve">TCAGGCCCGTCTGGCAGGGT</t>
  </si>
  <si>
    <t xml:space="preserve">TAGTTCAGGCCCGTCTGGCAGGGT</t>
  </si>
  <si>
    <t xml:space="preserve">AAACACCCTGCCAGACGGGCCTGA</t>
  </si>
  <si>
    <t xml:space="preserve">PSPPH_3886</t>
  </si>
  <si>
    <t xml:space="preserve">argG</t>
  </si>
  <si>
    <t xml:space="preserve">TACCGAAGTATCCAGGCCAC</t>
  </si>
  <si>
    <t xml:space="preserve">TAGTTACCGAAGTATCCAGGCCAC</t>
  </si>
  <si>
    <t xml:space="preserve">AAACGTGGCCTGGATACTTCGGTA</t>
  </si>
  <si>
    <t xml:space="preserve">ACGTATCTTGCAGCCACTTG</t>
  </si>
  <si>
    <t xml:space="preserve">TAGTACGTATCTTGCAGCCACTTG</t>
  </si>
  <si>
    <t xml:space="preserve">AAACCAAGTGGCTGCAAGATACGT</t>
  </si>
  <si>
    <t xml:space="preserve">CTGACCCAGGTCAGCGGTAA</t>
  </si>
  <si>
    <t xml:space="preserve">TAGTCTGACCCAGGTCAGCGGTAA</t>
  </si>
  <si>
    <t xml:space="preserve">AAACTTACCGCTGACCTGGGTCAG</t>
  </si>
  <si>
    <t xml:space="preserve">GCCTGAGCCTTGGCGCGCGC</t>
  </si>
  <si>
    <t xml:space="preserve">TAGTGCCTGAGCCTTGGCGCGCGC</t>
  </si>
  <si>
    <t xml:space="preserve">AAACGCGCGCGCCAAGGCTCAGGC</t>
  </si>
  <si>
    <t xml:space="preserve">PSPPH_3887</t>
  </si>
  <si>
    <t xml:space="preserve">GCTAAATATCGCTGGCGCAC</t>
  </si>
  <si>
    <t xml:space="preserve">TAGTGCTAAATATCGCTGGCGCAC</t>
  </si>
  <si>
    <t xml:space="preserve">AAACGTGCGCCAGCGATATTTAGC</t>
  </si>
  <si>
    <t xml:space="preserve">GCTGGCAAACATGCTGAGCA</t>
  </si>
  <si>
    <t xml:space="preserve">TAGTGCTGGCAAACATGCTGAGCA</t>
  </si>
  <si>
    <t xml:space="preserve">AAACTGCTCAGCATGTTTGCCAGC</t>
  </si>
  <si>
    <t xml:space="preserve">AACTGATAGCCATCGCCGGG</t>
  </si>
  <si>
    <t xml:space="preserve">TAGTAACTGATAGCCATCGCCGGG</t>
  </si>
  <si>
    <t xml:space="preserve">AAACCCCGGCGATGGCTATCAGTT</t>
  </si>
  <si>
    <t xml:space="preserve">CGATGCTCTCCAGACGTGTC</t>
  </si>
  <si>
    <t xml:space="preserve">TAGTCGATGCTCTCCAGACGTGTC</t>
  </si>
  <si>
    <t xml:space="preserve">AAACGACACGTCTGGAGAGCATCG</t>
  </si>
  <si>
    <t xml:space="preserve">PSPPH_3888</t>
  </si>
  <si>
    <t xml:space="preserve">pyrC</t>
  </si>
  <si>
    <t xml:space="preserve">AGGGTCAGGCGGTCAGACAT</t>
  </si>
  <si>
    <t xml:space="preserve">TAGTAGGGTCAGGCGGTCAGACAT</t>
  </si>
  <si>
    <t xml:space="preserve">AAACATGTCTGACCGCCTGACCCT</t>
  </si>
  <si>
    <t xml:space="preserve">GCCAGTCGTCGGGACGCAGG</t>
  </si>
  <si>
    <t xml:space="preserve">TAGTGCCAGTCGTCGGGACGCAGG</t>
  </si>
  <si>
    <t xml:space="preserve">AAACCCTGCGTCCCGACGACTGGC</t>
  </si>
  <si>
    <t xml:space="preserve">GCAAGACAGCTCCGTCACGG</t>
  </si>
  <si>
    <t xml:space="preserve">TAGTGCAAGACAGCTCCGTCACGG</t>
  </si>
  <si>
    <t xml:space="preserve">AAACCCGTGACGGAGCTGTCTTGC</t>
  </si>
  <si>
    <t xml:space="preserve">GCTACGTCAGCAACGGTATG</t>
  </si>
  <si>
    <t xml:space="preserve">TAGTGCTACGTCAGCAACGGTATG</t>
  </si>
  <si>
    <t xml:space="preserve">AAACCATACCGTTGCTGACGTAGC</t>
  </si>
  <si>
    <t xml:space="preserve">PSPPH_3889</t>
  </si>
  <si>
    <t xml:space="preserve">rnt</t>
  </si>
  <si>
    <t xml:space="preserve">GAGAACCGCCGCCACCGCCG</t>
  </si>
  <si>
    <t xml:space="preserve">TAGTGAGAACCGCCGCCACCGCCG</t>
  </si>
  <si>
    <t xml:space="preserve">AAACCGGCGGTGGCGGCGGTTCTC</t>
  </si>
  <si>
    <t xml:space="preserve">CGCGAAAGCGTGCTGCCATC</t>
  </si>
  <si>
    <t xml:space="preserve">TAGTCGCGAAAGCGTGCTGCCATC</t>
  </si>
  <si>
    <t xml:space="preserve">AAACGATGGCAGCACGCTTTCGCG</t>
  </si>
  <si>
    <t xml:space="preserve">CTACGTCGACGACCACGGGC</t>
  </si>
  <si>
    <t xml:space="preserve">TAGTCTACGTCGACGACCACGGGC</t>
  </si>
  <si>
    <t xml:space="preserve">AAACGCCCGTGGTCGTCGACGTAG</t>
  </si>
  <si>
    <t xml:space="preserve">GGTGGCTGAGTTGAAACCGC</t>
  </si>
  <si>
    <t xml:space="preserve">TAGTGGTGGCTGAGTTGAAACCGC</t>
  </si>
  <si>
    <t xml:space="preserve">AAACGCGGTTTCAACTCAGCCACC</t>
  </si>
  <si>
    <t xml:space="preserve">PSPPH_3890</t>
  </si>
  <si>
    <t xml:space="preserve">TTTGACCGTCTGTGACACCT</t>
  </si>
  <si>
    <t xml:space="preserve">TAGTTTTGACCGTCTGTGACACCT</t>
  </si>
  <si>
    <t xml:space="preserve">AAACAGGTGTCACAGACGGTCAAA</t>
  </si>
  <si>
    <t xml:space="preserve">AGCCTTCCAGAATTGCATCC</t>
  </si>
  <si>
    <t xml:space="preserve">TAGTAGCCTTCCAGAATTGCATCC</t>
  </si>
  <si>
    <t xml:space="preserve">AAACGGATGCAATTCTGGAAGGCT</t>
  </si>
  <si>
    <t xml:space="preserve">TCGCAACACCCAGCGTTTCA</t>
  </si>
  <si>
    <t xml:space="preserve">TAGTTCGCAACACCCAGCGTTTCA</t>
  </si>
  <si>
    <t xml:space="preserve">AAACTGAAACGCTGGGTGTTGCGA</t>
  </si>
  <si>
    <t xml:space="preserve">CACCACTTCCTTCGCAAGGC</t>
  </si>
  <si>
    <t xml:space="preserve">TAGTCACCACTTCCTTCGCAAGGC</t>
  </si>
  <si>
    <t xml:space="preserve">AAACGCCTTGCGAAGGAAGTGGTG</t>
  </si>
  <si>
    <t xml:space="preserve">PSPPH_3891</t>
  </si>
  <si>
    <t xml:space="preserve">bfr1</t>
  </si>
  <si>
    <t xml:space="preserve">CGAGGATCTTGTTGAGATGC</t>
  </si>
  <si>
    <t xml:space="preserve">TAGTCGAGGATCTTGTTGAGATGC</t>
  </si>
  <si>
    <t xml:space="preserve">AAACGCATCTCAACAAGATCCTCG</t>
  </si>
  <si>
    <t xml:space="preserve">ATGCAGGAAATACTGATTGA</t>
  </si>
  <si>
    <t xml:space="preserve">TAGTATGCAGGAAATACTGATTGA</t>
  </si>
  <si>
    <t xml:space="preserve">AAACTCAATCAGTATTTCCTGCAT</t>
  </si>
  <si>
    <t xml:space="preserve">GGATGGATTCTTTGTACTCA</t>
  </si>
  <si>
    <t xml:space="preserve">TAGTGGATGGATTCTTTGTACTCA</t>
  </si>
  <si>
    <t xml:space="preserve">AAACTGAGTACAAAGAATCCATCC</t>
  </si>
  <si>
    <t xml:space="preserve">TGTCGGCATACTTCATCGCA</t>
  </si>
  <si>
    <t xml:space="preserve">TAGTTGTCGGCATACTTCATCGCA</t>
  </si>
  <si>
    <t xml:space="preserve">AAACTGCGATGAAGTATGCCGACA</t>
  </si>
  <si>
    <t xml:space="preserve">PSPPH_3892</t>
  </si>
  <si>
    <t xml:space="preserve">GATCGTTTCGATGATATCCA</t>
  </si>
  <si>
    <t xml:space="preserve">TAGTGATCGTTTCGATGATATCCA</t>
  </si>
  <si>
    <t xml:space="preserve">AAACTGGATATCATCGAAACGATC</t>
  </si>
  <si>
    <t xml:space="preserve">GTAAAGCAGAATGGTGTTGT</t>
  </si>
  <si>
    <t xml:space="preserve">TAGTGTAAAGCAGAATGGTGTTGT</t>
  </si>
  <si>
    <t xml:space="preserve">AAACACAACACCATTCTGCTTTAC</t>
  </si>
  <si>
    <t xml:space="preserve">AAGCCGCATTGAGGGGCATT</t>
  </si>
  <si>
    <t xml:space="preserve">TAGTAAGCCGCATTGAGGGGCATT</t>
  </si>
  <si>
    <t xml:space="preserve">AAACAATGCCCCTCAATGCGGCTT</t>
  </si>
  <si>
    <t xml:space="preserve">CATCAATGCCTGGGAAGCCT</t>
  </si>
  <si>
    <t xml:space="preserve">TAGTCATCAATGCCTGGGAAGCCT</t>
  </si>
  <si>
    <t xml:space="preserve">AAACAGGCTTCCCAGGCATTGATG</t>
  </si>
  <si>
    <t xml:space="preserve">PSPPH_3893</t>
  </si>
  <si>
    <t xml:space="preserve">TGATTGCCTGACAAGCACTA</t>
  </si>
  <si>
    <t xml:space="preserve">TAGTTGATTGCCTGACAAGCACTA</t>
  </si>
  <si>
    <t xml:space="preserve">AAACTAGTGCTTGTCAGGCAATCA</t>
  </si>
  <si>
    <t xml:space="preserve">CAGATCTTGTCGTGGCAATC</t>
  </si>
  <si>
    <t xml:space="preserve">TAGTCAGATCTTGTCGTGGCAATC</t>
  </si>
  <si>
    <t xml:space="preserve">AAACGATTGCCACGACAAGATCTG</t>
  </si>
  <si>
    <t xml:space="preserve">GGCGCGGTAGTGTTCAGTCC</t>
  </si>
  <si>
    <t xml:space="preserve">TAGTGGCGCGGTAGTGTTCAGTCC</t>
  </si>
  <si>
    <t xml:space="preserve">AAACGGACTGAACACTACCGCGCC</t>
  </si>
  <si>
    <t xml:space="preserve">AATGGCCTCGCACAGGTGGC</t>
  </si>
  <si>
    <t xml:space="preserve">TAGTAATGGCCTCGCACAGGTGGC</t>
  </si>
  <si>
    <t xml:space="preserve">AAACGCCACCTGTGCGAGGCCATT</t>
  </si>
  <si>
    <t xml:space="preserve">PSPPH_3894</t>
  </si>
  <si>
    <t xml:space="preserve">CAAATGGGTAAGCGTGCGGG</t>
  </si>
  <si>
    <t xml:space="preserve">TAGTCAAATGGGTAAGCGTGCGGG</t>
  </si>
  <si>
    <t xml:space="preserve">AAACCCCGCACGCTTACCCATTTG</t>
  </si>
  <si>
    <t xml:space="preserve">GGACATCGAGGTCATTGAGG</t>
  </si>
  <si>
    <t xml:space="preserve">TAGTGGACATCGAGGTCATTGAGG</t>
  </si>
  <si>
    <t xml:space="preserve">AAACCCTCAATGACCTCGATGTCC</t>
  </si>
  <si>
    <t xml:space="preserve">CTCGCTGCGCAGCAACTCAA</t>
  </si>
  <si>
    <t xml:space="preserve">TAGTCTCGCTGCGCAGCAACTCAA</t>
  </si>
  <si>
    <t xml:space="preserve">AAACTTGAGTTGCTGCGCAGCGAG</t>
  </si>
  <si>
    <t xml:space="preserve">CTCGTCGAGCCCTGAGCTGA</t>
  </si>
  <si>
    <t xml:space="preserve">TAGTCTCGTCGAGCCCTGAGCTGA</t>
  </si>
  <si>
    <t xml:space="preserve">AAACTCAGCTCAGGGCTCGACGAG</t>
  </si>
  <si>
    <t xml:space="preserve">PSPPH_3895</t>
  </si>
  <si>
    <t xml:space="preserve">argF</t>
  </si>
  <si>
    <t xml:space="preserve">CATCATCGAGAGAAAGTGCC</t>
  </si>
  <si>
    <t xml:space="preserve">TAGTCATCATCGAGAGAAAGTGCC</t>
  </si>
  <si>
    <t xml:space="preserve">AAACGGCACTTTCTCTCGATGATG</t>
  </si>
  <si>
    <t xml:space="preserve">CAAGCCCAAGAGTTCATCTG</t>
  </si>
  <si>
    <t xml:space="preserve">TAGTCAAGCCCAAGAGTTCATCTG</t>
  </si>
  <si>
    <t xml:space="preserve">AAACCAGATGAACTCTTGGGCTTG</t>
  </si>
  <si>
    <t xml:space="preserve">CTTTGAGCTCTACTCCACGA</t>
  </si>
  <si>
    <t xml:space="preserve">TAGTCTTTGAGCTCTACTCCACGA</t>
  </si>
  <si>
    <t xml:space="preserve">AAACTCGTGGAGTAGAGCTCAAAG</t>
  </si>
  <si>
    <t xml:space="preserve">AAAGCTCACCGCGAATTCGC</t>
  </si>
  <si>
    <t xml:space="preserve">TAGTAAAGCTCACCGCGAATTCGC</t>
  </si>
  <si>
    <t xml:space="preserve">AAACGCGAATTCGCGGTGAGCTTT</t>
  </si>
  <si>
    <t xml:space="preserve">PSPPH_3896</t>
  </si>
  <si>
    <t xml:space="preserve">AGCCGCACGCCAGATTGCGC</t>
  </si>
  <si>
    <t xml:space="preserve">TAGTAGCCGCACGCCAGATTGCGC</t>
  </si>
  <si>
    <t xml:space="preserve">AAACGCGCAATCTGGCGTGCGGCT</t>
  </si>
  <si>
    <t xml:space="preserve">TATCGCCCGCGTTAAGGTGC</t>
  </si>
  <si>
    <t xml:space="preserve">TAGTTATCGCCCGCGTTAAGGTGC</t>
  </si>
  <si>
    <t xml:space="preserve">AAACGCACCTTAACGCGGGCGATA</t>
  </si>
  <si>
    <t xml:space="preserve">CGCAGCCCGATGAACCCAGC</t>
  </si>
  <si>
    <t xml:space="preserve">TAGTCGCAGCCCGATGAACCCAGC</t>
  </si>
  <si>
    <t xml:space="preserve">AAACGCTGGGTTCATCGGGCTGCG</t>
  </si>
  <si>
    <t xml:space="preserve">GGCAATCGCACGCAGTGTGG</t>
  </si>
  <si>
    <t xml:space="preserve">TAGTGGCAATCGCACGCAGTGTGG</t>
  </si>
  <si>
    <t xml:space="preserve">AAACCCACACTGCGTGCGATTGCC</t>
  </si>
  <si>
    <t xml:space="preserve">PSPPH_3897</t>
  </si>
  <si>
    <t xml:space="preserve">ybaK</t>
  </si>
  <si>
    <t xml:space="preserve">TTTCAGTAAATCCAGTGCAG</t>
  </si>
  <si>
    <t xml:space="preserve">TAGTTTTCAGTAAATCCAGTGCAG</t>
  </si>
  <si>
    <t xml:space="preserve">AAACCTGCACTGGATTTACTGAAA</t>
  </si>
  <si>
    <t xml:space="preserve">GTAACTGTGGATACGATGTT</t>
  </si>
  <si>
    <t xml:space="preserve">TAGTGTAACTGTGGATACGATGTT</t>
  </si>
  <si>
    <t xml:space="preserve">AAACAACATCGTATCCACAGTTAC</t>
  </si>
  <si>
    <t xml:space="preserve">AGCCCATATGACGCTGCTTT</t>
  </si>
  <si>
    <t xml:space="preserve">TAGTAGCCCATATGACGCTGCTTT</t>
  </si>
  <si>
    <t xml:space="preserve">AAACAAAGCAGCGTCATATGGGCT</t>
  </si>
  <si>
    <t xml:space="preserve">AATGTCCTGAAAACCCGCGC</t>
  </si>
  <si>
    <t xml:space="preserve">TAGTAATGTCCTGAAAACCCGCGC</t>
  </si>
  <si>
    <t xml:space="preserve">AAACGCGCGGGTTTTCAGGACATT</t>
  </si>
  <si>
    <t xml:space="preserve">PSPPH_3898</t>
  </si>
  <si>
    <t xml:space="preserve">glpF</t>
  </si>
  <si>
    <t xml:space="preserve">CGGCACCCTGAGACAGGCAT</t>
  </si>
  <si>
    <t xml:space="preserve">TAGTCGGCACCCTGAGACAGGCAT</t>
  </si>
  <si>
    <t xml:space="preserve">AAACATGCCTGTCTCAGGGTGCCG</t>
  </si>
  <si>
    <t xml:space="preserve">CCTCATTTTTGTTTTTGTCT</t>
  </si>
  <si>
    <t xml:space="preserve">TAGTCCTCATTTTTGTTTTTGTCT</t>
  </si>
  <si>
    <t xml:space="preserve">AAACAGACAAAAACAAAAATGAGG</t>
  </si>
  <si>
    <t xml:space="preserve">TTGTTTTAGTGCGATGGTCA</t>
  </si>
  <si>
    <t xml:space="preserve">TAGTTTGTTTTAGTGCGATGGTCA</t>
  </si>
  <si>
    <t xml:space="preserve">AAACTGACCATCGCACTAAAACAA</t>
  </si>
  <si>
    <t xml:space="preserve">ACACATTGCCCGGTGAGTGT</t>
  </si>
  <si>
    <t xml:space="preserve">TAGTACACATTGCCCGGTGAGTGT</t>
  </si>
  <si>
    <t xml:space="preserve">AAACACACTCACCGGGCAATGTGT</t>
  </si>
  <si>
    <t xml:space="preserve">PSPPH_3899</t>
  </si>
  <si>
    <t xml:space="preserve">glpK</t>
  </si>
  <si>
    <t xml:space="preserve">CGCGCGAGCTGGTGGTGCCC</t>
  </si>
  <si>
    <t xml:space="preserve">TAGTCGCGCGAGCTGGTGGTGCCC</t>
  </si>
  <si>
    <t xml:space="preserve">AAACGGGCACCACCAGCTCGCGCG</t>
  </si>
  <si>
    <t xml:space="preserve">GGCATCGCGGTCGAAAATAA</t>
  </si>
  <si>
    <t xml:space="preserve">TAGTGGCATCGCGGTCGAAAATAA</t>
  </si>
  <si>
    <t xml:space="preserve">AAACTTATTTTCGACCGCGATGCC</t>
  </si>
  <si>
    <t xml:space="preserve">TTGGGCAGTGCTCACCACGT</t>
  </si>
  <si>
    <t xml:space="preserve">TAGTTTGGGCAGTGCTCACCACGT</t>
  </si>
  <si>
    <t xml:space="preserve">AAACACGTGGTGAGCACTGCCCAA</t>
  </si>
  <si>
    <t xml:space="preserve">TGCTCGACCCAGCCTGCCTG</t>
  </si>
  <si>
    <t xml:space="preserve">TAGTTGCTCGACCCAGCCTGCCTG</t>
  </si>
  <si>
    <t xml:space="preserve">AAACCAGGCAGGCTGGGTCGAGCA</t>
  </si>
  <si>
    <t xml:space="preserve">PSPPH_3900</t>
  </si>
  <si>
    <t xml:space="preserve">glpR</t>
  </si>
  <si>
    <t xml:space="preserve">TCTGTTGTTGGCGGGGAGGC</t>
  </si>
  <si>
    <t xml:space="preserve">TAGTTCTGTTGTTGGCGGGGAGGC</t>
  </si>
  <si>
    <t xml:space="preserve">AAACGCCTCCCCGCCAACAACAGA</t>
  </si>
  <si>
    <t xml:space="preserve">CACGGTCACGGACCAGTTCG</t>
  </si>
  <si>
    <t xml:space="preserve">TAGTCACGGTCACGGACCAGTTCG</t>
  </si>
  <si>
    <t xml:space="preserve">AAACCGAACTGGTCCGTGACCGTG</t>
  </si>
  <si>
    <t xml:space="preserve">ATCACGGCGGATGGTTTGTG</t>
  </si>
  <si>
    <t xml:space="preserve">TAGTATCACGGCGGATGGTTTGTG</t>
  </si>
  <si>
    <t xml:space="preserve">AAACCACAAACCATCCGCCGTGAT</t>
  </si>
  <si>
    <t xml:space="preserve">AGTCATAGGCCGCGCCGCCG</t>
  </si>
  <si>
    <t xml:space="preserve">TAGTAGTCATAGGCCGCGCCGCCG</t>
  </si>
  <si>
    <t xml:space="preserve">AAACCGGCGGCGCGGCCTATGACT</t>
  </si>
  <si>
    <t xml:space="preserve">PSPPH_3901</t>
  </si>
  <si>
    <t xml:space="preserve">glpD</t>
  </si>
  <si>
    <t xml:space="preserve">GGCACGGTAGTGTGGGGCAT</t>
  </si>
  <si>
    <t xml:space="preserve">TAGTGGCACGGTAGTGTGGGGCAT</t>
  </si>
  <si>
    <t xml:space="preserve">AAACATGCCCCACACTACCGTGCC</t>
  </si>
  <si>
    <t xml:space="preserve">ACCTCGGAGAGGGGTTGGGT</t>
  </si>
  <si>
    <t xml:space="preserve">TAGTACCTCGGAGAGGGGTTGGGT</t>
  </si>
  <si>
    <t xml:space="preserve">AAACACCCAACCCCTCTCCGAGGT</t>
  </si>
  <si>
    <t xml:space="preserve">ATTGATGCCACCGCCAATAA</t>
  </si>
  <si>
    <t xml:space="preserve">TAGTATTGATGCCACCGCCAATAA</t>
  </si>
  <si>
    <t xml:space="preserve">AAACTTATTGGCGGTGGCATCAAT</t>
  </si>
  <si>
    <t xml:space="preserve">AACCGACAGGCCGCGGCCGG</t>
  </si>
  <si>
    <t xml:space="preserve">TAGTAACCGACAGGCCGCGGCCGG</t>
  </si>
  <si>
    <t xml:space="preserve">AAACCCGGCCGCGGCCTGTCGGTT</t>
  </si>
  <si>
    <t xml:space="preserve">PSPPH_3902</t>
  </si>
  <si>
    <t xml:space="preserve">CAAGCAGCTTGAATCAATCA</t>
  </si>
  <si>
    <t xml:space="preserve">TAGTCAAGCAGCTTGAATCAATCA</t>
  </si>
  <si>
    <t xml:space="preserve">AAACTGATTGATTCAAGCTGCTTG</t>
  </si>
  <si>
    <t xml:space="preserve">ACACGCCCTGTCGAAACGCT</t>
  </si>
  <si>
    <t xml:space="preserve">TAGTACACGCCCTGTCGAAACGCT</t>
  </si>
  <si>
    <t xml:space="preserve">AAACAGCGTTTCGACAGGGCGTGT</t>
  </si>
  <si>
    <t xml:space="preserve">CTTCTTGGCGAATGCTTCAA</t>
  </si>
  <si>
    <t xml:space="preserve">TAGTCTTCTTGGCGAATGCTTCAA</t>
  </si>
  <si>
    <t xml:space="preserve">AAACTTGAAGCATTCGCCAAGAAG</t>
  </si>
  <si>
    <t xml:space="preserve">ATTGATGGGGCCGCAATGGG</t>
  </si>
  <si>
    <t xml:space="preserve">TAGTATTGATGGGGCCGCAATGGG</t>
  </si>
  <si>
    <t xml:space="preserve">AAACCCCATTGCGGCCCCATCAAT</t>
  </si>
  <si>
    <t xml:space="preserve">PSPPH_3903</t>
  </si>
  <si>
    <t xml:space="preserve">ATAGGTCTCGCTGCCGACGC</t>
  </si>
  <si>
    <t xml:space="preserve">TAGTATAGGTCTCGCTGCCGACGC</t>
  </si>
  <si>
    <t xml:space="preserve">AAACGCGTCGGCAGCGAGACCTAT</t>
  </si>
  <si>
    <t xml:space="preserve">GGCGATGGTCCAGCCCAGGC</t>
  </si>
  <si>
    <t xml:space="preserve">TAGTGGCGATGGTCCAGCCCAGGC</t>
  </si>
  <si>
    <t xml:space="preserve">AAACGCCTGGGCTGGACCATCGCC</t>
  </si>
  <si>
    <t xml:space="preserve">GATCCATGCAACGACAGCAA</t>
  </si>
  <si>
    <t xml:space="preserve">TAGTGATCCATGCAACGACAGCAA</t>
  </si>
  <si>
    <t xml:space="preserve">AAACTTGCTGTCGTTGCATGGATC</t>
  </si>
  <si>
    <t xml:space="preserve">CAGTACCGAACCCAGTATCA</t>
  </si>
  <si>
    <t xml:space="preserve">TAGTCAGTACCGAACCCAGTATCA</t>
  </si>
  <si>
    <t xml:space="preserve">AAACTGATACTGGGTTCGGTACTG</t>
  </si>
  <si>
    <t xml:space="preserve">PSPPH_3904</t>
  </si>
  <si>
    <t xml:space="preserve">TTCCACAGGCCGGGAATGGC</t>
  </si>
  <si>
    <t xml:space="preserve">TAGTTTCCACAGGCCGGGAATGGC</t>
  </si>
  <si>
    <t xml:space="preserve">AAACGCCATTCCCGGCCTGTGGAA</t>
  </si>
  <si>
    <t xml:space="preserve">ACCCATTGCCATCAGCTTGA</t>
  </si>
  <si>
    <t xml:space="preserve">TAGTACCCATTGCCATCAGCTTGA</t>
  </si>
  <si>
    <t xml:space="preserve">AAACTCAAGCTGATGGCAATGGGT</t>
  </si>
  <si>
    <t xml:space="preserve">CCAGCAAAGTGCCAAGCACC</t>
  </si>
  <si>
    <t xml:space="preserve">TAGTCCAGCAAAGTGCCAAGCACC</t>
  </si>
  <si>
    <t xml:space="preserve">AAACGGTGCTTGGCACTTTGCTGG</t>
  </si>
  <si>
    <t xml:space="preserve">CCAGCAGCTTGTTTGATGAC</t>
  </si>
  <si>
    <t xml:space="preserve">TAGTCCAGCAGCTTGTTTGATGAC</t>
  </si>
  <si>
    <t xml:space="preserve">AAACGTCATCAAACAAGCTGCTGG</t>
  </si>
  <si>
    <t xml:space="preserve">PSPPH_3905</t>
  </si>
  <si>
    <t xml:space="preserve">CCATTTGTTGACGTTTTTGA</t>
  </si>
  <si>
    <t xml:space="preserve">TAGTCCATTTGTTGACGTTTTTGA</t>
  </si>
  <si>
    <t xml:space="preserve">AAACTCAAAAACGTCAACAAATGG</t>
  </si>
  <si>
    <t xml:space="preserve">TGCTGCAATCGGTCAGCACC</t>
  </si>
  <si>
    <t xml:space="preserve">TAGTTGCTGCAATCGGTCAGCACC</t>
  </si>
  <si>
    <t xml:space="preserve">AAACGGTGCTGACCGATTGCAGCA</t>
  </si>
  <si>
    <t xml:space="preserve">CACTTCACCTTTGCTGACCT</t>
  </si>
  <si>
    <t xml:space="preserve">TAGTCACTTCACCTTTGCTGACCT</t>
  </si>
  <si>
    <t xml:space="preserve">AAACAGGTCAGCAAAGGTGAAGTG</t>
  </si>
  <si>
    <t xml:space="preserve">CGCATTCACGCATTTGATCA</t>
  </si>
  <si>
    <t xml:space="preserve">TAGTCGCATTCACGCATTTGATCA</t>
  </si>
  <si>
    <t xml:space="preserve">AAACTGATCAAATGCGTGAATGCG</t>
  </si>
  <si>
    <t xml:space="preserve">PSPPH_3906</t>
  </si>
  <si>
    <t xml:space="preserve">GCGCGGCGCGATACAGAGTG</t>
  </si>
  <si>
    <t xml:space="preserve">TAGTGCGCGGCGCGATACAGAGTG</t>
  </si>
  <si>
    <t xml:space="preserve">AAACCACTCTGTATCGCGCCGCGC</t>
  </si>
  <si>
    <t xml:space="preserve">GGTTTCACGGCGAGTGATGG</t>
  </si>
  <si>
    <t xml:space="preserve">TAGTGGTTTCACGGCGAGTGATGG</t>
  </si>
  <si>
    <t xml:space="preserve">AAACCCATCACTCGCCGTGAAACC</t>
  </si>
  <si>
    <t xml:space="preserve">AACAGTTGGCGTATCAGACG</t>
  </si>
  <si>
    <t xml:space="preserve">TAGTAACAGTTGGCGTATCAGACG</t>
  </si>
  <si>
    <t xml:space="preserve">AAACCGTCTGATACGCCAACTGTT</t>
  </si>
  <si>
    <t xml:space="preserve">ATCAGCATGAGGATCAGTGG</t>
  </si>
  <si>
    <t xml:space="preserve">TAGTATCAGCATGAGGATCAGTGG</t>
  </si>
  <si>
    <t xml:space="preserve">AAACCCACTGATCCTCATGCTGAT</t>
  </si>
  <si>
    <t xml:space="preserve">PSPPH_3907</t>
  </si>
  <si>
    <t xml:space="preserve">AGGTCGCTGTTGATGCTCAT</t>
  </si>
  <si>
    <t xml:space="preserve">TAGTAGGTCGCTGTTGATGCTCAT</t>
  </si>
  <si>
    <t xml:space="preserve">AAACATGAGCATCAACAGCGACCT</t>
  </si>
  <si>
    <t xml:space="preserve">CTTCGACGATCAGCACGGTC</t>
  </si>
  <si>
    <t xml:space="preserve">TAGTCTTCGACGATCAGCACGGTC</t>
  </si>
  <si>
    <t xml:space="preserve">AAACGACCGTGCTGATCGTCGAAG</t>
  </si>
  <si>
    <t xml:space="preserve">GGCAGCCGAGCAACACATGC</t>
  </si>
  <si>
    <t xml:space="preserve">TAGTGGCAGCCGAGCAACACATGC</t>
  </si>
  <si>
    <t xml:space="preserve">AAACGCATGTGTTGCTCGGCTGCC</t>
  </si>
  <si>
    <t xml:space="preserve">CTTCCAGCGCCAGCGCCTGC</t>
  </si>
  <si>
    <t xml:space="preserve">TAGTCTTCCAGCGCCAGCGCCTGC</t>
  </si>
  <si>
    <t xml:space="preserve">AAACGCAGGCGCTGGCGCTGGAAG</t>
  </si>
  <si>
    <t xml:space="preserve">PSPPH_3908</t>
  </si>
  <si>
    <t xml:space="preserve">ACACCAGGGGCAGGAAACAT</t>
  </si>
  <si>
    <t xml:space="preserve">TAGTACACCAGGGGCAGGAAACAT</t>
  </si>
  <si>
    <t xml:space="preserve">AAACATGTTTCCTGCCCCTGGTGT</t>
  </si>
  <si>
    <t xml:space="preserve">GCGCCTGATCCAGCGCGCGC</t>
  </si>
  <si>
    <t xml:space="preserve">TAGTGCGCCTGATCCAGCGCGCGC</t>
  </si>
  <si>
    <t xml:space="preserve">AAACGCGCGCGCTGGATCAGGCGC</t>
  </si>
  <si>
    <t xml:space="preserve">TCAACTCGAAAGGCTGGAAG</t>
  </si>
  <si>
    <t xml:space="preserve">TAGTTCAACTCGAAAGGCTGGAAG</t>
  </si>
  <si>
    <t xml:space="preserve">AAACCTTCCAGCCTTTCGAGTTGA</t>
  </si>
  <si>
    <t xml:space="preserve">GCCCTTCGGCAGGCATGTTC</t>
  </si>
  <si>
    <t xml:space="preserve">TAGTGCCCTTCGGCAGGCATGTTC</t>
  </si>
  <si>
    <t xml:space="preserve">AAACGAACATGCCTGCCGAAGGGC</t>
  </si>
  <si>
    <t xml:space="preserve">PSPPH_3910</t>
  </si>
  <si>
    <t xml:space="preserve">ATGCGTCCTCCATAAAAGAT</t>
  </si>
  <si>
    <t xml:space="preserve">TAGTATGCGTCCTCCATAAAAGAT</t>
  </si>
  <si>
    <t xml:space="preserve">AAACATCTTTTATGGAGGACGCAT</t>
  </si>
  <si>
    <t xml:space="preserve">ATAGTCAGGGTGTTGAGTCA</t>
  </si>
  <si>
    <t xml:space="preserve">TAGTATAGTCAGGGTGTTGAGTCA</t>
  </si>
  <si>
    <t xml:space="preserve">AAACTGACTCAACACCCTGACTAT</t>
  </si>
  <si>
    <t xml:space="preserve">GCAGAGCGTACTGCAATTCA</t>
  </si>
  <si>
    <t xml:space="preserve">TAGTGCAGAGCGTACTGCAATTCA</t>
  </si>
  <si>
    <t xml:space="preserve">AAACTGAATTGCAGTACGCTCTGC</t>
  </si>
  <si>
    <t xml:space="preserve">CATCAACCAGCTGCGCAGTT</t>
  </si>
  <si>
    <t xml:space="preserve">TAGTCATCAACCAGCTGCGCAGTT</t>
  </si>
  <si>
    <t xml:space="preserve">AAACAACTGCGCAGCTGGTTGATG</t>
  </si>
  <si>
    <t xml:space="preserve">PSPPH_3911</t>
  </si>
  <si>
    <t xml:space="preserve">metR</t>
  </si>
  <si>
    <t xml:space="preserve">GGGCGTGCAGGGTTTTGAGG</t>
  </si>
  <si>
    <t xml:space="preserve">TAGTGGGCGTGCAGGGTTTTGAGG</t>
  </si>
  <si>
    <t xml:space="preserve">AAACCCTCAAAACCCTGCACGCCC</t>
  </si>
  <si>
    <t xml:space="preserve">AAGGCTGTCGGCCTCGCGCA</t>
  </si>
  <si>
    <t xml:space="preserve">TAGTAAGGCTGTCGGCCTCGCGCA</t>
  </si>
  <si>
    <t xml:space="preserve">AAACTGCGCGAGGCCGACAGCCTT</t>
  </si>
  <si>
    <t xml:space="preserve">CGTCAGATGCAGGCGGTCGG</t>
  </si>
  <si>
    <t xml:space="preserve">TAGTCGTCAGATGCAGGCGGTCGG</t>
  </si>
  <si>
    <t xml:space="preserve">AAACCCGACCGCCTGCATCTGACG</t>
  </si>
  <si>
    <t xml:space="preserve">TTCCAGTTCCTTGAACTGAT</t>
  </si>
  <si>
    <t xml:space="preserve">TAGTTTCCAGTTCCTTGAACTGAT</t>
  </si>
  <si>
    <t xml:space="preserve">AAACATCAGTTCAAGGAACTGGAA</t>
  </si>
  <si>
    <t xml:space="preserve">PSPPH_3912</t>
  </si>
  <si>
    <t xml:space="preserve">TCAGCAGCGCCGCCGCGATA</t>
  </si>
  <si>
    <t xml:space="preserve">TAGTTCAGCAGCGCCGCCGCGATA</t>
  </si>
  <si>
    <t xml:space="preserve">AAACTATCGCGGCGGCGCTGCTGA</t>
  </si>
  <si>
    <t xml:space="preserve">GCTTGCGCACCAGCAGGGTC</t>
  </si>
  <si>
    <t xml:space="preserve">TAGTGCTTGCGCACCAGCAGGGTC</t>
  </si>
  <si>
    <t xml:space="preserve">AAACGACCCTGCTGGTGCGCAAGC</t>
  </si>
  <si>
    <t xml:space="preserve">CCAGGTTCGATCTTGCCGCC</t>
  </si>
  <si>
    <t xml:space="preserve">TAGTCCAGGTTCGATCTTGCCGCC</t>
  </si>
  <si>
    <t xml:space="preserve">AAACGGCGGCAAGATCGAACCTGG</t>
  </si>
  <si>
    <t xml:space="preserve">CTGGCCAGCGCCCGCGGTGC</t>
  </si>
  <si>
    <t xml:space="preserve">TAGTCTGGCCAGCGCCCGCGGTGC</t>
  </si>
  <si>
    <t xml:space="preserve">AAACGCACCGCGGGCGCTGGCCAG</t>
  </si>
  <si>
    <t xml:space="preserve">PSPPH_3913</t>
  </si>
  <si>
    <t xml:space="preserve">ddlA</t>
  </si>
  <si>
    <t xml:space="preserve">GGATTGCCCACCGAAAACGA</t>
  </si>
  <si>
    <t xml:space="preserve">TAGTGGATTGCCCACCGAAAACGA</t>
  </si>
  <si>
    <t xml:space="preserve">AAACTCGTTTTCGGTGGGCAATCC</t>
  </si>
  <si>
    <t xml:space="preserve">CAACGAAACCTCATGCTCGC</t>
  </si>
  <si>
    <t xml:space="preserve">TAGTCAACGAAACCTCATGCTCGC</t>
  </si>
  <si>
    <t xml:space="preserve">AAACGCGAGCATGAGGTTTCGTTG</t>
  </si>
  <si>
    <t xml:space="preserve">CAGCTTGTCGACGCCGATCA</t>
  </si>
  <si>
    <t xml:space="preserve">TAGTCAGCTTGTCGACGCCGATCA</t>
  </si>
  <si>
    <t xml:space="preserve">AAACTGATCGGCGTCGACAAGCTG</t>
  </si>
  <si>
    <t xml:space="preserve">CCTCGTCGAAGCGCAACCAG</t>
  </si>
  <si>
    <t xml:space="preserve">TAGTCCTCGTCGAAGCGCAACCAG</t>
  </si>
  <si>
    <t xml:space="preserve">AAACCTGGTTGCGCTTCGACGAGG</t>
  </si>
  <si>
    <t xml:space="preserve">PSPPH_3914</t>
  </si>
  <si>
    <t xml:space="preserve">CCATGCGAAATGCCCATCAC</t>
  </si>
  <si>
    <t xml:space="preserve">TAGTCCATGCGAAATGCCCATCAC</t>
  </si>
  <si>
    <t xml:space="preserve">AAACGTGATGGGCATTTCGCATGG</t>
  </si>
  <si>
    <t xml:space="preserve">GGCAAAAAAAACCCGGTGGT</t>
  </si>
  <si>
    <t xml:space="preserve">TAGTGGCAAAAAAAACCCGGTGGT</t>
  </si>
  <si>
    <t xml:space="preserve">AAACACCACCGGGTTTTTTTTGCC</t>
  </si>
  <si>
    <t xml:space="preserve">TGGCCATACGCCTGGAATTC</t>
  </si>
  <si>
    <t xml:space="preserve">TAGTTGGCCATACGCCTGGAATTC</t>
  </si>
  <si>
    <t xml:space="preserve">AAACGAATTCCAGGCGTATGGCCA</t>
  </si>
  <si>
    <t xml:space="preserve">CTGTTAGTCCAGCAGATGAT</t>
  </si>
  <si>
    <t xml:space="preserve">TAGTCTGTTAGTCCAGCAGATGAT</t>
  </si>
  <si>
    <t xml:space="preserve">AAACATCATCTGCTGGACTAACAG</t>
  </si>
  <si>
    <t xml:space="preserve">PSPPH_3915</t>
  </si>
  <si>
    <t xml:space="preserve">ATACATCGGGTGCGAGGCGC</t>
  </si>
  <si>
    <t xml:space="preserve">TAGTATACATCGGGTGCGAGGCGC</t>
  </si>
  <si>
    <t xml:space="preserve">AAACGCGCCTCGCACCCGATGTAT</t>
  </si>
  <si>
    <t xml:space="preserve">GGTGGTCTTGCGCTGCTGCC</t>
  </si>
  <si>
    <t xml:space="preserve">TAGTGGTGGTCTTGCGCTGCTGCC</t>
  </si>
  <si>
    <t xml:space="preserve">AAACGGCAGCAGCGCAAGACCACC</t>
  </si>
  <si>
    <t xml:space="preserve">ACCCGCGATCCGGCCCTCGT</t>
  </si>
  <si>
    <t xml:space="preserve">TAGTACCCGCGATCCGGCCCTCGT</t>
  </si>
  <si>
    <t xml:space="preserve">AAACACGAGGGCCGGATCGCGGGT</t>
  </si>
  <si>
    <t xml:space="preserve">CTTGCCGCCAGAGCCGAAGG</t>
  </si>
  <si>
    <t xml:space="preserve">TAGTCTTGCCGCCAGAGCCGAAGG</t>
  </si>
  <si>
    <t xml:space="preserve">AAACCCTTCGGCTCTGGCGGCAAG</t>
  </si>
  <si>
    <t xml:space="preserve">PSPPH_3916</t>
  </si>
  <si>
    <t xml:space="preserve">AGAATATGAAGATCAGCGCC</t>
  </si>
  <si>
    <t xml:space="preserve">TAGTAGAATATGAAGATCAGCGCC</t>
  </si>
  <si>
    <t xml:space="preserve">AAACGGCGCTGATCTTCATATTCT</t>
  </si>
  <si>
    <t xml:space="preserve">AACTGCGCGAGCGGGTTGTC</t>
  </si>
  <si>
    <t xml:space="preserve">TAGTAACTGCGCGAGCGGGTTGTC</t>
  </si>
  <si>
    <t xml:space="preserve">AAACGACAACCCGCTCGCGCAGTT</t>
  </si>
  <si>
    <t xml:space="preserve">GCTGAAGCCGAAGTTGCGGA</t>
  </si>
  <si>
    <t xml:space="preserve">TAGTGCTGAAGCCGAAGTTGCGGA</t>
  </si>
  <si>
    <t xml:space="preserve">AAACTCCGCAACTTCGGCTTCAGC</t>
  </si>
  <si>
    <t xml:space="preserve">GGCCAGGATCGATGCGTAAC</t>
  </si>
  <si>
    <t xml:space="preserve">TAGTGGCCAGGATCGATGCGTAAC</t>
  </si>
  <si>
    <t xml:space="preserve">AAACGTTACGCATCGATCCTGGCC</t>
  </si>
  <si>
    <t xml:space="preserve">PSPPH_3917</t>
  </si>
  <si>
    <t xml:space="preserve">TTCAAAACGTTGCCCTCCAT</t>
  </si>
  <si>
    <t xml:space="preserve">TAGTTTCAAAACGTTGCCCTCCAT</t>
  </si>
  <si>
    <t xml:space="preserve">AAACATGGAGGGCAACGTTTTGAA</t>
  </si>
  <si>
    <t xml:space="preserve">TGCAGGGTGTTTGCCTGATT</t>
  </si>
  <si>
    <t xml:space="preserve">TAGTTGCAGGGTGTTTGCCTGATT</t>
  </si>
  <si>
    <t xml:space="preserve">AAACAATCAGGCAAACACCCTGCA</t>
  </si>
  <si>
    <t xml:space="preserve">GGATCGCCATTTTTGGTGCC</t>
  </si>
  <si>
    <t xml:space="preserve">TAGTGGATCGCCATTTTTGGTGCC</t>
  </si>
  <si>
    <t xml:space="preserve">AAACGGCACCAAAAATGGCGATCC</t>
  </si>
  <si>
    <t xml:space="preserve">TCCAAGCCAGCATCTAATGT</t>
  </si>
  <si>
    <t xml:space="preserve">TAGTTCCAAGCCAGCATCTAATGT</t>
  </si>
  <si>
    <t xml:space="preserve">AAACACATTAGATGCTGGCTTGGA</t>
  </si>
  <si>
    <t xml:space="preserve">PSPPH_3918</t>
  </si>
  <si>
    <t xml:space="preserve">TCAGGATTGGTATACCCACT</t>
  </si>
  <si>
    <t xml:space="preserve">TAGTTCAGGATTGGTATACCCACT</t>
  </si>
  <si>
    <t xml:space="preserve">AAACAGTGGGTATACCAATCCTGA</t>
  </si>
  <si>
    <t xml:space="preserve">AGCCTCTTTATAAATCTGGG</t>
  </si>
  <si>
    <t xml:space="preserve">TAGTAGCCTCTTTATAAATCTGGG</t>
  </si>
  <si>
    <t xml:space="preserve">AAACCCCAGATTTATAAAGAGGCT</t>
  </si>
  <si>
    <t xml:space="preserve">CAAAGGCGAGCCTTTAGTGT</t>
  </si>
  <si>
    <t xml:space="preserve">TAGTCAAAGGCGAGCCTTTAGTGT</t>
  </si>
  <si>
    <t xml:space="preserve">AAACACACTAAAGGCTCGCCTTTG</t>
  </si>
  <si>
    <t xml:space="preserve">ACTGCAATATGCTCAATTGA</t>
  </si>
  <si>
    <t xml:space="preserve">TAGTACTGCAATATGCTCAATTGA</t>
  </si>
  <si>
    <t xml:space="preserve">AAACTCAATTGAGCATATTGCAGT</t>
  </si>
  <si>
    <t xml:space="preserve">PSPPH_3919</t>
  </si>
  <si>
    <t xml:space="preserve">ATCTCTTTTGCTTGCTTCTC</t>
  </si>
  <si>
    <t xml:space="preserve">TAGTATCTCTTTTGCTTGCTTCTC</t>
  </si>
  <si>
    <t xml:space="preserve">AAACGAGAAGCAAGCAAAAGAGAT</t>
  </si>
  <si>
    <t xml:space="preserve">GGTTTTCCAGATACCTGCCT</t>
  </si>
  <si>
    <t xml:space="preserve">TAGTGGTTTTCCAGATACCTGCCT</t>
  </si>
  <si>
    <t xml:space="preserve">AAACAGGCAGGTATCTGGAAAACC</t>
  </si>
  <si>
    <t xml:space="preserve">TTTGGTCAAAATCCTTAATG</t>
  </si>
  <si>
    <t xml:space="preserve">TAGTTTTGGTCAAAATCCTTAATG</t>
  </si>
  <si>
    <t xml:space="preserve">AAACCATTAAGGATTTTGACCAAA</t>
  </si>
  <si>
    <t xml:space="preserve">ATTGTCGTACATACGGCATA</t>
  </si>
  <si>
    <t xml:space="preserve">TAGTATTGTCGTACATACGGCATA</t>
  </si>
  <si>
    <t xml:space="preserve">AAACTATGCCGTATGTACGACAAT</t>
  </si>
  <si>
    <t xml:space="preserve">PSPPH_3920</t>
  </si>
  <si>
    <t xml:space="preserve">GGGTTCAAGGGACGTGATGG</t>
  </si>
  <si>
    <t xml:space="preserve">TAGTGGGTTCAAGGGACGTGATGG</t>
  </si>
  <si>
    <t xml:space="preserve">AAACCCATCACGTCCCTTGAACCC</t>
  </si>
  <si>
    <t xml:space="preserve">TGAGGGGTTCTGTTTGGAGG</t>
  </si>
  <si>
    <t xml:space="preserve">TAGTTGAGGGGTTCTGTTTGGAGG</t>
  </si>
  <si>
    <t xml:space="preserve">AAACCCTCCAAACAGAACCCCTCA</t>
  </si>
  <si>
    <t xml:space="preserve">CTCAGTGCCGGTTTATCCTC</t>
  </si>
  <si>
    <t xml:space="preserve">TAGTCTCAGTGCCGGTTTATCCTC</t>
  </si>
  <si>
    <t xml:space="preserve">AAACGAGGATAAACCGGCACTGAG</t>
  </si>
  <si>
    <t xml:space="preserve">TTGGAGGTGAATTGCAGCCA</t>
  </si>
  <si>
    <t xml:space="preserve">TAGTTTGGAGGTGAATTGCAGCCA</t>
  </si>
  <si>
    <t xml:space="preserve">AAACTGGCTGCAATTCACCTCCAA</t>
  </si>
  <si>
    <t xml:space="preserve">PSPPH_3921</t>
  </si>
  <si>
    <t xml:space="preserve">ACAGCCTGTTCCTGCAACAT</t>
  </si>
  <si>
    <t xml:space="preserve">TAGTACAGCCTGTTCCTGCAACAT</t>
  </si>
  <si>
    <t xml:space="preserve">AAACATGTTGCAGGAACAGGCTGT</t>
  </si>
  <si>
    <t xml:space="preserve">CCACAGGATTCGAATGGCTT</t>
  </si>
  <si>
    <t xml:space="preserve">TAGTCCACAGGATTCGAATGGCTT</t>
  </si>
  <si>
    <t xml:space="preserve">AAACAAGCCATTCGAATCCTGTGG</t>
  </si>
  <si>
    <t xml:space="preserve">ATTATACTGATGAACTGCCG</t>
  </si>
  <si>
    <t xml:space="preserve">TAGTATTATACTGATGAACTGCCG</t>
  </si>
  <si>
    <t xml:space="preserve">AAACCGGCAGTTCATCAGTATAAT</t>
  </si>
  <si>
    <t xml:space="preserve">TACATTCTGGCCGCGCGCAG</t>
  </si>
  <si>
    <t xml:space="preserve">TAGTTACATTCTGGCCGCGCGCAG</t>
  </si>
  <si>
    <t xml:space="preserve">AAACCTGCGCGCGGCCAGAATGTA</t>
  </si>
  <si>
    <t xml:space="preserve">PSPPH_3922</t>
  </si>
  <si>
    <t xml:space="preserve">TACGCCCATAGTCGATTGTC</t>
  </si>
  <si>
    <t xml:space="preserve">TAGTTACGCCCATAGTCGATTGTC</t>
  </si>
  <si>
    <t xml:space="preserve">AAACGACAATCGACTATGGGCGTA</t>
  </si>
  <si>
    <t xml:space="preserve">CAGCGCTTCATGCTTGCTAT</t>
  </si>
  <si>
    <t xml:space="preserve">TAGTCAGCGCTTCATGCTTGCTAT</t>
  </si>
  <si>
    <t xml:space="preserve">AAACATAGCAAGCATGAAGCGCTG</t>
  </si>
  <si>
    <t xml:space="preserve">GCGCGCGTGGGTCATCCTGG</t>
  </si>
  <si>
    <t xml:space="preserve">TAGTGCGCGCGTGGGTCATCCTGG</t>
  </si>
  <si>
    <t xml:space="preserve">AAACCCAGGATGACCCACGCGCGC</t>
  </si>
  <si>
    <t xml:space="preserve">CGCTTGCGACGCGGACGCTT</t>
  </si>
  <si>
    <t xml:space="preserve">TAGTCGCTTGCGACGCGGACGCTT</t>
  </si>
  <si>
    <t xml:space="preserve">AAACAAGCGTCCGCGTCGCAAGCG</t>
  </si>
  <si>
    <t xml:space="preserve">PSPPH_3923</t>
  </si>
  <si>
    <t xml:space="preserve">GCGGCGGACGATGGTGGGGA</t>
  </si>
  <si>
    <t xml:space="preserve">TAGTGCGGCGGACGATGGTGGGGA</t>
  </si>
  <si>
    <t xml:space="preserve">AAACTCCCCACCATCGTCCGCCGC</t>
  </si>
  <si>
    <t xml:space="preserve">AAACCGTCGCGATCTTCACC</t>
  </si>
  <si>
    <t xml:space="preserve">TAGTAAACCGTCGCGATCTTCACC</t>
  </si>
  <si>
    <t xml:space="preserve">AAACGGTGAAGATCGCGACGGTTT</t>
  </si>
  <si>
    <t xml:space="preserve">GTCCACCGCGTTCACGGCCT</t>
  </si>
  <si>
    <t xml:space="preserve">TAGTGTCCACCGCGTTCACGGCCT</t>
  </si>
  <si>
    <t xml:space="preserve">AAACAGGCCGTGAACGCGGTGGAC</t>
  </si>
  <si>
    <t xml:space="preserve">CGCCAGGGGCGAAAACCCGA</t>
  </si>
  <si>
    <t xml:space="preserve">TAGTCGCCAGGGGCGAAAACCCGA</t>
  </si>
  <si>
    <t xml:space="preserve">AAACTCGGGTTTTCGCCCCTGGCG</t>
  </si>
  <si>
    <t xml:space="preserve">PSPPH_3924</t>
  </si>
  <si>
    <t xml:space="preserve">ATGACGCGATGGATTGACTG</t>
  </si>
  <si>
    <t xml:space="preserve">TAGTATGACGCGATGGATTGACTG</t>
  </si>
  <si>
    <t xml:space="preserve">AAACCAGTCAATCCATCGCGTCAT</t>
  </si>
  <si>
    <t xml:space="preserve">AAGGTAATGCGGCGCATCAG</t>
  </si>
  <si>
    <t xml:space="preserve">TAGTAAGGTAATGCGGCGCATCAG</t>
  </si>
  <si>
    <t xml:space="preserve">AAACCTGATGCGCCGCATTACCTT</t>
  </si>
  <si>
    <t xml:space="preserve">TGATGAAGCCTGCCAGTTCC</t>
  </si>
  <si>
    <t xml:space="preserve">TAGTTGATGAAGCCTGCCAGTTCC</t>
  </si>
  <si>
    <t xml:space="preserve">AAACGGAACTGGCAGGCTTCATCA</t>
  </si>
  <si>
    <t xml:space="preserve">GCGGGAAAAACAGTTTAACG</t>
  </si>
  <si>
    <t xml:space="preserve">TAGTGCGGGAAAAACAGTTTAACG</t>
  </si>
  <si>
    <t xml:space="preserve">AAACCGTTAAACTGTTTTTCCCGC</t>
  </si>
  <si>
    <t xml:space="preserve">PSPPH_3925</t>
  </si>
  <si>
    <t xml:space="preserve">CCTGCGCAGTTGAATGTTCG</t>
  </si>
  <si>
    <t xml:space="preserve">TAGTCCTGCGCAGTTGAATGTTCG</t>
  </si>
  <si>
    <t xml:space="preserve">AAACCGAACATTCAACTGCGCAGG</t>
  </si>
  <si>
    <t xml:space="preserve">GCCGAGGCAGGCTGCAACAA</t>
  </si>
  <si>
    <t xml:space="preserve">TAGTGCCGAGGCAGGCTGCAACAA</t>
  </si>
  <si>
    <t xml:space="preserve">AAACTTGTTGCAGCCTGCCTCGGC</t>
  </si>
  <si>
    <t xml:space="preserve">CAATGAAGATCAGGTACAGC</t>
  </si>
  <si>
    <t xml:space="preserve">TAGTCAATGAAGATCAGGTACAGC</t>
  </si>
  <si>
    <t xml:space="preserve">AAACGCTGTACCTGATCTTCATTG</t>
  </si>
  <si>
    <t xml:space="preserve">GACTGGCGTGATCGGCATAA</t>
  </si>
  <si>
    <t xml:space="preserve">TAGTGACTGGCGTGATCGGCATAA</t>
  </si>
  <si>
    <t xml:space="preserve">AAACTTATGCCGATCACGCCAGTC</t>
  </si>
  <si>
    <t xml:space="preserve">PSPPH_3926</t>
  </si>
  <si>
    <t xml:space="preserve">AACAGCTTCCTGGAGCGCGC</t>
  </si>
  <si>
    <t xml:space="preserve">TAGTAACAGCTTCCTGGAGCGCGC</t>
  </si>
  <si>
    <t xml:space="preserve">AAACGCGCGCTCCAGGAAGCTGTT</t>
  </si>
  <si>
    <t xml:space="preserve">AGCCTTGAATCTGATGAAGA</t>
  </si>
  <si>
    <t xml:space="preserve">TAGTAGCCTTGAATCTGATGAAGA</t>
  </si>
  <si>
    <t xml:space="preserve">AAACTCTTCATCAGATTCAAGGCT</t>
  </si>
  <si>
    <t xml:space="preserve">CCGTGCAGCGGATCGGAATT</t>
  </si>
  <si>
    <t xml:space="preserve">TAGTCCGTGCAGCGGATCGGAATT</t>
  </si>
  <si>
    <t xml:space="preserve">AAACAATTCCGATCCGCTGCACGG</t>
  </si>
  <si>
    <t xml:space="preserve">GTCGATGCGCTCGGCCAGGC</t>
  </si>
  <si>
    <t xml:space="preserve">TAGTGTCGATGCGCTCGGCCAGGC</t>
  </si>
  <si>
    <t xml:space="preserve">AAACGCCTGGCCGAGCGCATCGAC</t>
  </si>
  <si>
    <t xml:space="preserve">PSPPH_3927</t>
  </si>
  <si>
    <t xml:space="preserve">gcd</t>
  </si>
  <si>
    <t xml:space="preserve">GCCCGAGCAGGGTCGGCAAC</t>
  </si>
  <si>
    <t xml:space="preserve">TAGTGCCCGAGCAGGGTCGGCAAC</t>
  </si>
  <si>
    <t xml:space="preserve">AAACGTTGCCGACCCTGCTCGGGC</t>
  </si>
  <si>
    <t xml:space="preserve">GCAAGGCCAGCCCCATCAAC</t>
  </si>
  <si>
    <t xml:space="preserve">TAGTGCAAGGCCAGCCCCATCAAC</t>
  </si>
  <si>
    <t xml:space="preserve">AAACGTTGATGGGGCTGGCCTTGC</t>
  </si>
  <si>
    <t xml:space="preserve">GCCATCCAGTTGCAGCAGTC</t>
  </si>
  <si>
    <t xml:space="preserve">TAGTGCCATCCAGTTGCAGCAGTC</t>
  </si>
  <si>
    <t xml:space="preserve">AAACGACTGCTGCAACTGGATGGC</t>
  </si>
  <si>
    <t xml:space="preserve">CGAAGCCGATACCGGCCAAC</t>
  </si>
  <si>
    <t xml:space="preserve">TAGTCGAAGCCGATACCGGCCAAC</t>
  </si>
  <si>
    <t xml:space="preserve">AAACGTTGGCCGGTATCGGCTTCG</t>
  </si>
  <si>
    <t xml:space="preserve">PSPPH_3928</t>
  </si>
  <si>
    <t xml:space="preserve">ACCCAGTACACGCAAGGTAA</t>
  </si>
  <si>
    <t xml:space="preserve">TAGTACCCAGTACACGCAAGGTAA</t>
  </si>
  <si>
    <t xml:space="preserve">AAACTTACCTTGCGTGTACTGGGT</t>
  </si>
  <si>
    <t xml:space="preserve">CAAGGACTCCAGCAAGGTCA</t>
  </si>
  <si>
    <t xml:space="preserve">TAGTCAAGGACTCCAGCAAGGTCA</t>
  </si>
  <si>
    <t xml:space="preserve">AAACTGACCTTGCTGGAGTCCTTG</t>
  </si>
  <si>
    <t xml:space="preserve">CTTGATGCCCAGTTCCTGCT</t>
  </si>
  <si>
    <t xml:space="preserve">TAGTCTTGATGCCCAGTTCCTGCT</t>
  </si>
  <si>
    <t xml:space="preserve">AAACAGCAGGAACTGGGCATCAAG</t>
  </si>
  <si>
    <t xml:space="preserve">GTTGCGCGGTCTGCACGTCA</t>
  </si>
  <si>
    <t xml:space="preserve">TAGTGTTGCGCGGTCTGCACGTCA</t>
  </si>
  <si>
    <t xml:space="preserve">AAACTGACGTGCAGACCGCGCAAC</t>
  </si>
  <si>
    <t xml:space="preserve">PSPPH_3929</t>
  </si>
  <si>
    <t xml:space="preserve">CTTGCCGCTGCCGAGAAAGC</t>
  </si>
  <si>
    <t xml:space="preserve">TAGTCTTGCCGCTGCCGAGAAAGC</t>
  </si>
  <si>
    <t xml:space="preserve">AAACGCTTTCTCGGCAGCGGCAAG</t>
  </si>
  <si>
    <t xml:space="preserve">CAGCAGGCGTTTGAGCAACG</t>
  </si>
  <si>
    <t xml:space="preserve">TAGTCAGCAGGCGTTTGAGCAACG</t>
  </si>
  <si>
    <t xml:space="preserve">AAACCGTTGCTCAAACGCCTGCTG</t>
  </si>
  <si>
    <t xml:space="preserve">AGTTTCGCCCATGTCTTCAT</t>
  </si>
  <si>
    <t xml:space="preserve">TAGTAGTTTCGCCCATGTCTTCAT</t>
  </si>
  <si>
    <t xml:space="preserve">AAACATGAAGACATGGGCGAAACT</t>
  </si>
  <si>
    <t xml:space="preserve">CTGGGCAGCAGAACGGTATC</t>
  </si>
  <si>
    <t xml:space="preserve">TAGTCTGGGCAGCAGAACGGTATC</t>
  </si>
  <si>
    <t xml:space="preserve">AAACGATACCGTTCTGCTGCCCAG</t>
  </si>
  <si>
    <t xml:space="preserve">PSPPH_3930</t>
  </si>
  <si>
    <t xml:space="preserve">GGGGCAGTTCGGCAGCCAGT</t>
  </si>
  <si>
    <t xml:space="preserve">TAGTGGGGCAGTTCGGCAGCCAGT</t>
  </si>
  <si>
    <t xml:space="preserve">AAACACTGGCTGCCGAACTGCCCC</t>
  </si>
  <si>
    <t xml:space="preserve">CCGCAAACGCTCACGCCGCC</t>
  </si>
  <si>
    <t xml:space="preserve">TAGTCCGCAAACGCTCACGCCGCC</t>
  </si>
  <si>
    <t xml:space="preserve">AAACGGCGGCGTGAGCGTTTGCGG</t>
  </si>
  <si>
    <t xml:space="preserve">AGCCACCACCTTGTTGATCG</t>
  </si>
  <si>
    <t xml:space="preserve">TAGTAGCCACCACCTTGTTGATCG</t>
  </si>
  <si>
    <t xml:space="preserve">AAACCGATCAACAAGGTGGTGGCT</t>
  </si>
  <si>
    <t xml:space="preserve">TCCTCGACCTTAAGGCGAAA</t>
  </si>
  <si>
    <t xml:space="preserve">TAGTTCCTCGACCTTAAGGCGAAA</t>
  </si>
  <si>
    <t xml:space="preserve">AAACTTTCGCCTTAAGGTCGAGGA</t>
  </si>
  <si>
    <t xml:space="preserve">PSPPH_3931</t>
  </si>
  <si>
    <t xml:space="preserve">TTTTGTTTGAGCTGTTGCAT</t>
  </si>
  <si>
    <t xml:space="preserve">TAGTTTTTGTTTGAGCTGTTGCAT</t>
  </si>
  <si>
    <t xml:space="preserve">AAACATGCAACAGCTCAAACAAAA</t>
  </si>
  <si>
    <t xml:space="preserve">ACCAATGCCGCTGCCTGCAC</t>
  </si>
  <si>
    <t xml:space="preserve">TAGTACCAATGCCGCTGCCTGCAC</t>
  </si>
  <si>
    <t xml:space="preserve">AAACGTGCAGGCAGCGGCATTGGT</t>
  </si>
  <si>
    <t xml:space="preserve">ACTCGCGTAGGCAAGCGCGA</t>
  </si>
  <si>
    <t xml:space="preserve">TAGTACTCGCGTAGGCAAGCGCGA</t>
  </si>
  <si>
    <t xml:space="preserve">AAACTCGCGCTTGCCTACGCGAGT</t>
  </si>
  <si>
    <t xml:space="preserve">GCAACCTTGGCCAGAGTGAC</t>
  </si>
  <si>
    <t xml:space="preserve">TAGTGCAACCTTGGCCAGAGTGAC</t>
  </si>
  <si>
    <t xml:space="preserve">AAACGTCACTCTGGCCAAGGTTGC</t>
  </si>
  <si>
    <t xml:space="preserve">PSPPH_3932</t>
  </si>
  <si>
    <t xml:space="preserve">GCCGATGCCGCTGGCGGCAC</t>
  </si>
  <si>
    <t xml:space="preserve">TAGTGCCGATGCCGCTGGCGGCAC</t>
  </si>
  <si>
    <t xml:space="preserve">AAACGTGCCGCCAGCGGCATCGGC</t>
  </si>
  <si>
    <t xml:space="preserve">CTGCCACCGCCACATCGTGC</t>
  </si>
  <si>
    <t xml:space="preserve">TAGTCTGCCACCGCCACATCGTGC</t>
  </si>
  <si>
    <t xml:space="preserve">AAACGCACGATGTGGCGGTGGCAG</t>
  </si>
  <si>
    <t xml:space="preserve">TTCGGATCATGCGGGTCAGC</t>
  </si>
  <si>
    <t xml:space="preserve">TAGTTTCGGATCATGCGGGTCAGC</t>
  </si>
  <si>
    <t xml:space="preserve">AAACGCTGACCCGCATGATCCGAA</t>
  </si>
  <si>
    <t xml:space="preserve">CGCCGCCTCCACCAGCCTGC</t>
  </si>
  <si>
    <t xml:space="preserve">TAGTCGCCGCCTCCACCAGCCTGC</t>
  </si>
  <si>
    <t xml:space="preserve">AAACGCAGGCTGGTGGAGGCGGCG</t>
  </si>
  <si>
    <t xml:space="preserve">PSPPH_3933</t>
  </si>
  <si>
    <t xml:space="preserve">CAGGTCGAGCTTGTTGTAAA</t>
  </si>
  <si>
    <t xml:space="preserve">TAGTCAGGTCGAGCTTGTTGTAAA</t>
  </si>
  <si>
    <t xml:space="preserve">AAACTTTACAACAAGCTCGACCTG</t>
  </si>
  <si>
    <t xml:space="preserve">CAATTGCTCAGGTTTCCAGC</t>
  </si>
  <si>
    <t xml:space="preserve">TAGTCAATTGCTCAGGTTTCCAGC</t>
  </si>
  <si>
    <t xml:space="preserve">AAACGCTGGAAACCTGAGCAATTG</t>
  </si>
  <si>
    <t xml:space="preserve">GTGGCGAACCGTACTTGCTC</t>
  </si>
  <si>
    <t xml:space="preserve">TAGTGTGGCGAACCGTACTTGCTC</t>
  </si>
  <si>
    <t xml:space="preserve">AAACGAGCAAGTACGGTTCGCCAC</t>
  </si>
  <si>
    <t xml:space="preserve">CTGAAGTGCCGACCGATTTC</t>
  </si>
  <si>
    <t xml:space="preserve">TAGTCTGAAGTGCCGACCGATTTC</t>
  </si>
  <si>
    <t xml:space="preserve">AAACGAAATCGGTCGGCACTTCAG</t>
  </si>
  <si>
    <t xml:space="preserve">PSPPH_3934</t>
  </si>
  <si>
    <t xml:space="preserve">AAACGCACACAGAATTTCTT</t>
  </si>
  <si>
    <t xml:space="preserve">TAGTAAACGCACACAGAATTTCTT</t>
  </si>
  <si>
    <t xml:space="preserve">AAACAAGAAATTCTGTGTGCGTTT</t>
  </si>
  <si>
    <t xml:space="preserve">AGGCCGCGGGAAATGTCGTC</t>
  </si>
  <si>
    <t xml:space="preserve">TAGTAGGCCGCGGGAAATGTCGTC</t>
  </si>
  <si>
    <t xml:space="preserve">AAACGACGACATTTCCCGCGGCCT</t>
  </si>
  <si>
    <t xml:space="preserve">CGCCGACTTCACCGGCGAAC</t>
  </si>
  <si>
    <t xml:space="preserve">TAGTCGCCGACTTCACCGGCGAAC</t>
  </si>
  <si>
    <t xml:space="preserve">AAACGTTCGCCGGTGAAGTCGGCG</t>
  </si>
  <si>
    <t xml:space="preserve">TCGAACAGCTTGAGCAGACG</t>
  </si>
  <si>
    <t xml:space="preserve">TAGTTCGAACAGCTTGAGCAGACG</t>
  </si>
  <si>
    <t xml:space="preserve">AAACCGTCTGCTCAAGCTGTTCGA</t>
  </si>
  <si>
    <t xml:space="preserve">PSPPH_3935</t>
  </si>
  <si>
    <t xml:space="preserve">GTGACTCCCGGTATCGGTCA</t>
  </si>
  <si>
    <t xml:space="preserve">TAGTGTGACTCCCGGTATCGGTCA</t>
  </si>
  <si>
    <t xml:space="preserve">AAACTGACCGATACCGGGAGTCAC</t>
  </si>
  <si>
    <t xml:space="preserve">GGCCAGTGCGCAGGCATCAC</t>
  </si>
  <si>
    <t xml:space="preserve">TAGTGGCCAGTGCGCAGGCATCAC</t>
  </si>
  <si>
    <t xml:space="preserve">AAACGTGATGCCTGCGCACTGGCC</t>
  </si>
  <si>
    <t xml:space="preserve">GCGCCCTTGGGCAAAATCCT</t>
  </si>
  <si>
    <t xml:space="preserve">TAGTGCGCCCTTGGGCAAAATCCT</t>
  </si>
  <si>
    <t xml:space="preserve">AAACAGGATTTTGCCCAAGGGCGC</t>
  </si>
  <si>
    <t xml:space="preserve">CCTTGTCCAGAGCCTGCACA</t>
  </si>
  <si>
    <t xml:space="preserve">TAGTCCTTGTCCAGAGCCTGCACA</t>
  </si>
  <si>
    <t xml:space="preserve">AAACTGTGCAGGCTCTGGACAAGG</t>
  </si>
  <si>
    <t xml:space="preserve">PSPPH_3936</t>
  </si>
  <si>
    <t xml:space="preserve">CGCGTGTCCTCTTCTGACAT</t>
  </si>
  <si>
    <t xml:space="preserve">TAGTCGCGTGTCCTCTTCTGACAT</t>
  </si>
  <si>
    <t xml:space="preserve">AAACATGTCAGAAGAGGACACGCG</t>
  </si>
  <si>
    <t xml:space="preserve">GATCGTGGCGTAACGCGACG</t>
  </si>
  <si>
    <t xml:space="preserve">TAGTGATCGTGGCGTAACGCGACG</t>
  </si>
  <si>
    <t xml:space="preserve">AAACCGTCGCGTTACGCCACGATC</t>
  </si>
  <si>
    <t xml:space="preserve">TTGCGTTACGCAACACCTCA</t>
  </si>
  <si>
    <t xml:space="preserve">TAGTTTGCGTTACGCAACACCTCA</t>
  </si>
  <si>
    <t xml:space="preserve">AAACTGAGGTGTTGCGTAACGCAA</t>
  </si>
  <si>
    <t xml:space="preserve">TTCAAGCAGCACCAGTCCAT</t>
  </si>
  <si>
    <t xml:space="preserve">TAGTTTCAAGCAGCACCAGTCCAT</t>
  </si>
  <si>
    <t xml:space="preserve">AAACATGGACTGGTGCTGCTTGAA</t>
  </si>
  <si>
    <t xml:space="preserve">PSPPH_3937</t>
  </si>
  <si>
    <t xml:space="preserve">CTGTTGCTGTTGGGCGCAAC</t>
  </si>
  <si>
    <t xml:space="preserve">TAGTCTGTTGCTGTTGGGCGCAAC</t>
  </si>
  <si>
    <t xml:space="preserve">AAACGTTGCGCCCAACAGCAACAG</t>
  </si>
  <si>
    <t xml:space="preserve">TAAAGACTGTCATCCTTGGG</t>
  </si>
  <si>
    <t xml:space="preserve">TAGTTAAAGACTGTCATCCTTGGG</t>
  </si>
  <si>
    <t xml:space="preserve">AAACCCCAAGGATGACAGTCTTTA</t>
  </si>
  <si>
    <t xml:space="preserve">GGATGCCGGCACGCTGGCCA</t>
  </si>
  <si>
    <t xml:space="preserve">TAGTGGATGCCGGCACGCTGGCCA</t>
  </si>
  <si>
    <t xml:space="preserve">AAACTGGCCAGCGTGCCGGCATCC</t>
  </si>
  <si>
    <t xml:space="preserve">GCATGCCTTCAACGATGCGC</t>
  </si>
  <si>
    <t xml:space="preserve">TAGTGCATGCCTTCAACGATGCGC</t>
  </si>
  <si>
    <t xml:space="preserve">AAACGCGCATCGTTGAAGGCATGC</t>
  </si>
  <si>
    <t xml:space="preserve">PSPPH_3938</t>
  </si>
  <si>
    <t xml:space="preserve">TAATGATGTCTTGTAGGACA</t>
  </si>
  <si>
    <t xml:space="preserve">TAGTTAATGATGTCTTGTAGGACA</t>
  </si>
  <si>
    <t xml:space="preserve">AAACTGTCCTACAAGACATCATTA</t>
  </si>
  <si>
    <t xml:space="preserve">GTCGCCCAGCGCGAGCGCCG</t>
  </si>
  <si>
    <t xml:space="preserve">TAGTGTCGCCCAGCGCGAGCGCCG</t>
  </si>
  <si>
    <t xml:space="preserve">AAACCGGCGCTCGCGCTGGGCGAC</t>
  </si>
  <si>
    <t xml:space="preserve">CGCCACCCGTGGCGATAAGT</t>
  </si>
  <si>
    <t xml:space="preserve">TAGTCGCCACCCGTGGCGATAAGT</t>
  </si>
  <si>
    <t xml:space="preserve">AAACACTTATCGCCACGGGTGGCG</t>
  </si>
  <si>
    <t xml:space="preserve">ACCGGCGCTGCCCTCAATAC</t>
  </si>
  <si>
    <t xml:space="preserve">TAGTACCGGCGCTGCCCTCAATAC</t>
  </si>
  <si>
    <t xml:space="preserve">AAACGTATTGAGGGCAGCGCCGGT</t>
  </si>
  <si>
    <t xml:space="preserve">PSPPH_3939</t>
  </si>
  <si>
    <t xml:space="preserve">GGCAATGCGTGCCTGAAAGC</t>
  </si>
  <si>
    <t xml:space="preserve">TAGTGGCAATGCGTGCCTGAAAGC</t>
  </si>
  <si>
    <t xml:space="preserve">AAACGCTTTCAGGCACGCATTGCC</t>
  </si>
  <si>
    <t xml:space="preserve">CAACAGGACAATCAGAACCC</t>
  </si>
  <si>
    <t xml:space="preserve">TAGTCAACAGGACAATCAGAACCC</t>
  </si>
  <si>
    <t xml:space="preserve">AAACGGGTTCTGATTGTCCTGTTG</t>
  </si>
  <si>
    <t xml:space="preserve">CTGAGTGCGCACCGCGTCGT</t>
  </si>
  <si>
    <t xml:space="preserve">TAGTCTGAGTGCGCACCGCGTCGT</t>
  </si>
  <si>
    <t xml:space="preserve">AAACACGACGCGGTGCGCACTCAG</t>
  </si>
  <si>
    <t xml:space="preserve">ACCCACTTCCAGCTGCGCCT</t>
  </si>
  <si>
    <t xml:space="preserve">TAGTACCCACTTCCAGCTGCGCCT</t>
  </si>
  <si>
    <t xml:space="preserve">AAACAGGCGCAGCTGGAAGTGGGT</t>
  </si>
  <si>
    <t xml:space="preserve">PSPPH_3940</t>
  </si>
  <si>
    <t xml:space="preserve">CAGCGCTGGCCAGCACGGAC</t>
  </si>
  <si>
    <t xml:space="preserve">TAGTCAGCGCTGGCCAGCACGGAC</t>
  </si>
  <si>
    <t xml:space="preserve">AAACGTCCGTGCTGGCCAGCGCTG</t>
  </si>
  <si>
    <t xml:space="preserve">ATACCTGATTCAACCCATAA</t>
  </si>
  <si>
    <t xml:space="preserve">TAGTATACCTGATTCAACCCATAA</t>
  </si>
  <si>
    <t xml:space="preserve">AAACTTATGGGTTGAATCAGGTAT</t>
  </si>
  <si>
    <t xml:space="preserve">TAATGCCGAAATAAATACGT</t>
  </si>
  <si>
    <t xml:space="preserve">TAGTTAATGCCGAAATAAATACGT</t>
  </si>
  <si>
    <t xml:space="preserve">AAACACGTATTTATTTCGGCATTA</t>
  </si>
  <si>
    <t xml:space="preserve">GTCGAGTACCTGCGCGGTAA</t>
  </si>
  <si>
    <t xml:space="preserve">TAGTGTCGAGTACCTGCGCGGTAA</t>
  </si>
  <si>
    <t xml:space="preserve">AAACTTACCGCGCAGGTACTCGAC</t>
  </si>
  <si>
    <t xml:space="preserve">PSPPH_3941</t>
  </si>
  <si>
    <t xml:space="preserve">lon2</t>
  </si>
  <si>
    <t xml:space="preserve">TCTGTCTGCTGGTCGCTCAT</t>
  </si>
  <si>
    <t xml:space="preserve">TAGTTCTGTCTGCTGGTCGCTCAT</t>
  </si>
  <si>
    <t xml:space="preserve">AAACATGAGCGACCAGCAGACAGA</t>
  </si>
  <si>
    <t xml:space="preserve">TCTGCGTCATCGGGCAAATC</t>
  </si>
  <si>
    <t xml:space="preserve">TAGTTCTGCGTCATCGGGCAAATC</t>
  </si>
  <si>
    <t xml:space="preserve">AAACGATTTGCCCGATGACGCAGA</t>
  </si>
  <si>
    <t xml:space="preserve">CAAGGCAAGCGAGGTGCTGT</t>
  </si>
  <si>
    <t xml:space="preserve">TAGTCAAGGCAAGCGAGGTGCTGT</t>
  </si>
  <si>
    <t xml:space="preserve">AAACACAGCACCTCGCTTGCCTTG</t>
  </si>
  <si>
    <t xml:space="preserve">TTGTCGGGCAGGTTCTGGCC</t>
  </si>
  <si>
    <t xml:space="preserve">TAGTTTGTCGGGCAGGTTCTGGCC</t>
  </si>
  <si>
    <t xml:space="preserve">AAACGGCCAGAACCTGCCCGACAA</t>
  </si>
  <si>
    <t xml:space="preserve">PSPPH_3942</t>
  </si>
  <si>
    <t xml:space="preserve">AAGGAAACGGGCAGGGGTCA</t>
  </si>
  <si>
    <t xml:space="preserve">TAGTAAGGAAACGGGCAGGGGTCA</t>
  </si>
  <si>
    <t xml:space="preserve">AAACTGACCCCTGCCCGTTTCCTT</t>
  </si>
  <si>
    <t xml:space="preserve">GTCAGCAGCGCAAGGCTCAA</t>
  </si>
  <si>
    <t xml:space="preserve">TAGTGTCAGCAGCGCAAGGCTCAA</t>
  </si>
  <si>
    <t xml:space="preserve">AAACTTGAGCCTTGCGCTGCTGAC</t>
  </si>
  <si>
    <t xml:space="preserve">TCGATGGACACGATGTTTTT</t>
  </si>
  <si>
    <t xml:space="preserve">TAGTTCGATGGACACGATGTTTTT</t>
  </si>
  <si>
    <t xml:space="preserve">AAACAAAAACATCGTGTCCATCGA</t>
  </si>
  <si>
    <t xml:space="preserve">GTCCGCTCTGGAGCGTCAGT</t>
  </si>
  <si>
    <t xml:space="preserve">TAGTGTCCGCTCTGGAGCGTCAGT</t>
  </si>
  <si>
    <t xml:space="preserve">AAACACTGACGCTCCAGAGCGGAC</t>
  </si>
  <si>
    <t xml:space="preserve">PSPPH_3943</t>
  </si>
  <si>
    <t xml:space="preserve">CGTGCCTTCGGACAAGCCGC</t>
  </si>
  <si>
    <t xml:space="preserve">TAGTCGTGCCTTCGGACAAGCCGC</t>
  </si>
  <si>
    <t xml:space="preserve">AAACGCGGCTTGTCCGAAGGCACG</t>
  </si>
  <si>
    <t xml:space="preserve">CAAGTTGTCGCCGTGATGCA</t>
  </si>
  <si>
    <t xml:space="preserve">TAGTCAAGTTGTCGCCGTGATGCA</t>
  </si>
  <si>
    <t xml:space="preserve">AAACTGCATCACGGCGACAACTTG</t>
  </si>
  <si>
    <t xml:space="preserve">CGGCGAAGGCTTTGAAAAGC</t>
  </si>
  <si>
    <t xml:space="preserve">TAGTCGGCGAAGGCTTTGAAAAGC</t>
  </si>
  <si>
    <t xml:space="preserve">AAACGCTTTTCAAAGCCTTCGCCG</t>
  </si>
  <si>
    <t xml:space="preserve">TTCTTTGCTCACGGCGGTTC</t>
  </si>
  <si>
    <t xml:space="preserve">TAGTTTCTTTGCTCACGGCGGTTC</t>
  </si>
  <si>
    <t xml:space="preserve">AAACGAACCGCCGTGAGCAAAGAA</t>
  </si>
  <si>
    <t xml:space="preserve">PSPPH_3944</t>
  </si>
  <si>
    <t xml:space="preserve">CCCGCCAGACGGCGGGCAAG</t>
  </si>
  <si>
    <t xml:space="preserve">TAGTCCCGCCAGACGGCGGGCAAG</t>
  </si>
  <si>
    <t xml:space="preserve">AAACCTTGCCCGCCGTCTGGCGGG</t>
  </si>
  <si>
    <t xml:space="preserve">GTTTGCCCAATCAGCCAGAG</t>
  </si>
  <si>
    <t xml:space="preserve">TAGTGTTTGCCCAATCAGCCAGAG</t>
  </si>
  <si>
    <t xml:space="preserve">AAACCTCTGGCTGATTGGGCAAAC</t>
  </si>
  <si>
    <t xml:space="preserve">GGCCATTTTCGTATCAAGCT</t>
  </si>
  <si>
    <t xml:space="preserve">TAGTGGCCATTTTCGTATCAAGCT</t>
  </si>
  <si>
    <t xml:space="preserve">AAACAGCTTGATACGAAAATGGCC</t>
  </si>
  <si>
    <t xml:space="preserve">CTGCAAGTCACCATGACCCT</t>
  </si>
  <si>
    <t xml:space="preserve">TAGTCTGCAAGTCACCATGACCCT</t>
  </si>
  <si>
    <t xml:space="preserve">AAACAGGGTCATGGTGACTTGCAG</t>
  </si>
  <si>
    <t xml:space="preserve">PSPPH_3945</t>
  </si>
  <si>
    <t xml:space="preserve">pdxJ</t>
  </si>
  <si>
    <t xml:space="preserve">GATGCGAGTGCTTTGGGTCA</t>
  </si>
  <si>
    <t xml:space="preserve">TAGTGATGCGAGTGCTTTGGGTCA</t>
  </si>
  <si>
    <t xml:space="preserve">AAACTGACCCAAAGCACTCGCATC</t>
  </si>
  <si>
    <t xml:space="preserve">GGTCGATATTCACGCCGAGA</t>
  </si>
  <si>
    <t xml:space="preserve">TAGTGGTCGATATTCACGCCGAGA</t>
  </si>
  <si>
    <t xml:space="preserve">AAACTCTCGGCGTGAATATCGACC</t>
  </si>
  <si>
    <t xml:space="preserve">CCTGACGCAAGGTGGCTACA</t>
  </si>
  <si>
    <t xml:space="preserve">TAGTCCTGACGCAAGGTGGCTACA</t>
  </si>
  <si>
    <t xml:space="preserve">AAACTGTAGCCACCTTGCGTCAGG</t>
  </si>
  <si>
    <t xml:space="preserve">AGTGCTGCCTTGACCGGGTC</t>
  </si>
  <si>
    <t xml:space="preserve">TAGTAGTGCTGCCTTGACCGGGTC</t>
  </si>
  <si>
    <t xml:space="preserve">AAACGACCCGGTCAAGGCAGCACT</t>
  </si>
  <si>
    <t xml:space="preserve">PSPPH_3946</t>
  </si>
  <si>
    <t xml:space="preserve">recO</t>
  </si>
  <si>
    <t xml:space="preserve">ACATAAGCAGGTTGGCCGGT</t>
  </si>
  <si>
    <t xml:space="preserve">TAGTACATAAGCAGGTTGGCCGGT</t>
  </si>
  <si>
    <t xml:space="preserve">AAACACCGGCCAACCTGCTTATGT</t>
  </si>
  <si>
    <t xml:space="preserve">TTTCGCGATACGCACGGCTA</t>
  </si>
  <si>
    <t xml:space="preserve">TAGTTTTCGCGATACGCACGGCTA</t>
  </si>
  <si>
    <t xml:space="preserve">AAACTAGCCGTGCGTATCGCGAAA</t>
  </si>
  <si>
    <t xml:space="preserve">GTAGCCGCCCTTGGGGCGTG</t>
  </si>
  <si>
    <t xml:space="preserve">TAGTGTAGCCGCCCTTGGGGCGTG</t>
  </si>
  <si>
    <t xml:space="preserve">AAACCACGCCCCAAGGGCGGCTAC</t>
  </si>
  <si>
    <t xml:space="preserve">GCCTTTGGCACTGCGTAGCA</t>
  </si>
  <si>
    <t xml:space="preserve">TAGTGCCTTTGGCACTGCGTAGCA</t>
  </si>
  <si>
    <t xml:space="preserve">AAACTGCTACGCAGTGCCAAAGGC</t>
  </si>
  <si>
    <t xml:space="preserve">PSPPH_3947</t>
  </si>
  <si>
    <t xml:space="preserve">era</t>
  </si>
  <si>
    <t xml:space="preserve">AACATAGCCACAGCGTGTTG</t>
  </si>
  <si>
    <t xml:space="preserve">TAGTAACATAGCCACAGCGTGTTG</t>
  </si>
  <si>
    <t xml:space="preserve">AAACCAACACGCTGTGGCTATGTT</t>
  </si>
  <si>
    <t xml:space="preserve">TACGTTGGGACGGCCGACAA</t>
  </si>
  <si>
    <t xml:space="preserve">TAGTTACGTTGGGACGGCCGACAA</t>
  </si>
  <si>
    <t xml:space="preserve">AAACTTGTCGGCCGTCCCAACGTA</t>
  </si>
  <si>
    <t xml:space="preserve">CAGAATATGGTTGAGCAGCG</t>
  </si>
  <si>
    <t xml:space="preserve">TAGTCAGAATATGGTTGAGCAGCG</t>
  </si>
  <si>
    <t xml:space="preserve">AAACCGCTGCTCAACCATATTCTG</t>
  </si>
  <si>
    <t xml:space="preserve">CGTGGTCTGCGGCTTGCGCG</t>
  </si>
  <si>
    <t xml:space="preserve">TAGTCGTGGTCTGCGGCTTGCGCG</t>
  </si>
  <si>
    <t xml:space="preserve">AAACCGCGCAAGCCGCAGACCACG</t>
  </si>
  <si>
    <t xml:space="preserve">PSPPH_3948</t>
  </si>
  <si>
    <t xml:space="preserve">rnc</t>
  </si>
  <si>
    <t xml:space="preserve">CTGACGCTCAAGGCGGCTCA</t>
  </si>
  <si>
    <t xml:space="preserve">TAGTCTGACGCTCAAGGCGGCTCA</t>
  </si>
  <si>
    <t xml:space="preserve">AAACTGAGCCGCCTTGAGCGTCAG</t>
  </si>
  <si>
    <t xml:space="preserve">CATCAGTTCCTGATCCTTGA</t>
  </si>
  <si>
    <t xml:space="preserve">TAGTCATCAGTTCCTGATCCTTGA</t>
  </si>
  <si>
    <t xml:space="preserve">AAACTCAAGGATCAGGAACTGATG</t>
  </si>
  <si>
    <t xml:space="preserve">AACTGCGATGGGTCAGGGCC</t>
  </si>
  <si>
    <t xml:space="preserve">TAGTAACTGCGATGGGTCAGGGCC</t>
  </si>
  <si>
    <t xml:space="preserve">AAACGGCCCTGACCCATCGCAGTT</t>
  </si>
  <si>
    <t xml:space="preserve">CAGACGCTCGTTGTTGCGAC</t>
  </si>
  <si>
    <t xml:space="preserve">TAGTCAGACGCTCGTTGTTGCGAC</t>
  </si>
  <si>
    <t xml:space="preserve">AAACGTCGCAACAACGAGCGTCTG</t>
  </si>
  <si>
    <t xml:space="preserve">PSPPH_3949</t>
  </si>
  <si>
    <t xml:space="preserve">GTAATGCGGGACCAGCTTGA</t>
  </si>
  <si>
    <t xml:space="preserve">TAGTGTAATGCGGGACCAGCTTGA</t>
  </si>
  <si>
    <t xml:space="preserve">AAACTCAAGCTGGTCCCGCATTAC</t>
  </si>
  <si>
    <t xml:space="preserve">TCTTCATCGTCATATAGTCG</t>
  </si>
  <si>
    <t xml:space="preserve">TAGTTCTTCATCGTCATATAGTCG</t>
  </si>
  <si>
    <t xml:space="preserve">AAACCGACTATATGACGATGAAGA</t>
  </si>
  <si>
    <t xml:space="preserve">GGTAATGTCCAGGGCCTGAT</t>
  </si>
  <si>
    <t xml:space="preserve">TAGTGGTAATGTCCAGGGCCTGAT</t>
  </si>
  <si>
    <t xml:space="preserve">AAACATCAGGCCCTGGACATTACC</t>
  </si>
  <si>
    <t xml:space="preserve">ACCGTAGAAATCGTCGACCG</t>
  </si>
  <si>
    <t xml:space="preserve">TAGTACCGTAGAAATCGTCGACCG</t>
  </si>
  <si>
    <t xml:space="preserve">AAACCGGTCGACGATTTCTACGGT</t>
  </si>
  <si>
    <t xml:space="preserve">PSPPH_3950</t>
  </si>
  <si>
    <t xml:space="preserve">lepB</t>
  </si>
  <si>
    <t xml:space="preserve">AGCGGAAAATTTAGTGACAT</t>
  </si>
  <si>
    <t xml:space="preserve">TAGTAGCGGAAAATTTAGTGACAT</t>
  </si>
  <si>
    <t xml:space="preserve">AAACATGTCACTAAATTTTCCGCT</t>
  </si>
  <si>
    <t xml:space="preserve">CAGCCCGGCGACGAGGCGCC</t>
  </si>
  <si>
    <t xml:space="preserve">TAGTCAGCCCGGCGACGAGGCGCC</t>
  </si>
  <si>
    <t xml:space="preserve">AAACGGCGCCTCGTCGCCGGGCTG</t>
  </si>
  <si>
    <t xml:space="preserve">GCTTCCCTGATAGTTCGAAA</t>
  </si>
  <si>
    <t xml:space="preserve">TAGTGCTTCCCTGATAGTTCGAAA</t>
  </si>
  <si>
    <t xml:space="preserve">AAACTTTCGAACTATCAGGGAAGC</t>
  </si>
  <si>
    <t xml:space="preserve">CGCTCTACGACAGCAATGTC</t>
  </si>
  <si>
    <t xml:space="preserve">TAGTCGCTCTACGACAGCAATGTC</t>
  </si>
  <si>
    <t xml:space="preserve">AAACGACATTGCTGTCGTAGAGCG</t>
  </si>
  <si>
    <t xml:space="preserve">PSPPH_3951</t>
  </si>
  <si>
    <t xml:space="preserve">lepA</t>
  </si>
  <si>
    <t xml:space="preserve">GGGCGATGATGGAGAAATTG</t>
  </si>
  <si>
    <t xml:space="preserve">TAGTGGGCGATGATGGAGAAATTG</t>
  </si>
  <si>
    <t xml:space="preserve">AAACCAATTTCTCCATCATCGCCC</t>
  </si>
  <si>
    <t xml:space="preserve">CGACTTGCCATGGTCAATGT</t>
  </si>
  <si>
    <t xml:space="preserve">TAGTCGACTTGCCATGGTCAATGT</t>
  </si>
  <si>
    <t xml:space="preserve">AAACACATTGACCATGGCAAGTCG</t>
  </si>
  <si>
    <t xml:space="preserve">GCACATTTGAATGAAGCGGT</t>
  </si>
  <si>
    <t xml:space="preserve">TAGTGCACATTTGAATGAAGCGGT</t>
  </si>
  <si>
    <t xml:space="preserve">AAACACCGCTTCATTCAAATGTGC</t>
  </si>
  <si>
    <t xml:space="preserve">CTTCCATTTCGCGCTCGGAC</t>
  </si>
  <si>
    <t xml:space="preserve">TAGTCTTCCATTTCGCGCTCGGAC</t>
  </si>
  <si>
    <t xml:space="preserve">AAACGTCCGAGCGCGAAATGGAAG</t>
  </si>
  <si>
    <t xml:space="preserve">PSPPH_3952</t>
  </si>
  <si>
    <t xml:space="preserve">mucD</t>
  </si>
  <si>
    <t xml:space="preserve">GAAAAGTAGGACTTCATGCG</t>
  </si>
  <si>
    <t xml:space="preserve">TAGTGAAAAGTAGGACTTCATGCG</t>
  </si>
  <si>
    <t xml:space="preserve">AAACCGCATGAAGTCCTACTTTTC</t>
  </si>
  <si>
    <t xml:space="preserve">CTGGCCGAGCATGAGCACAG</t>
  </si>
  <si>
    <t xml:space="preserve">TAGTCTGGCCGAGCATGAGCACAG</t>
  </si>
  <si>
    <t xml:space="preserve">AAACCTGTGCTCATGCTCGGCCAG</t>
  </si>
  <si>
    <t xml:space="preserve">GGTAAAATCCGGCAGGTTCT</t>
  </si>
  <si>
    <t xml:space="preserve">TAGTGGTAAAATCCGGCAGGTTCT</t>
  </si>
  <si>
    <t xml:space="preserve">AAACAGAACCTGCCGGATTTTACC</t>
  </si>
  <si>
    <t xml:space="preserve">GATATTCACCACTGCTGGCG</t>
  </si>
  <si>
    <t xml:space="preserve">TAGTGATATTCACCACTGCTGGCG</t>
  </si>
  <si>
    <t xml:space="preserve">AAACCGCCAGCAGTGGTGAATATC</t>
  </si>
  <si>
    <t xml:space="preserve">PSPPH_3953</t>
  </si>
  <si>
    <t xml:space="preserve">mucB</t>
  </si>
  <si>
    <t xml:space="preserve">CAGTAATGGCAGTAGAGGGA</t>
  </si>
  <si>
    <t xml:space="preserve">TAGTCAGTAATGGCAGTAGAGGGA</t>
  </si>
  <si>
    <t xml:space="preserve">AAACTCCCTCTACTGCCATTACTG</t>
  </si>
  <si>
    <t xml:space="preserve">ATCATCAGCCTGTACCGGGA</t>
  </si>
  <si>
    <t xml:space="preserve">TAGTATCATCAGCCTGTACCGGGA</t>
  </si>
  <si>
    <t xml:space="preserve">AAACTCCCGGTACAGGCTGATGAT</t>
  </si>
  <si>
    <t xml:space="preserve">GCTCTGCTGCTGATCAACCT</t>
  </si>
  <si>
    <t xml:space="preserve">TAGTGCTCTGCTGCTGATCAACCT</t>
  </si>
  <si>
    <t xml:space="preserve">AAACAGGTTGATCAGCAGCAGAGC</t>
  </si>
  <si>
    <t xml:space="preserve">TATGCGGTGCCAGATTCGAT</t>
  </si>
  <si>
    <t xml:space="preserve">TAGTTATGCGGTGCCAGATTCGAT</t>
  </si>
  <si>
    <t xml:space="preserve">AAACATCGAATCTGGCACCGCATA</t>
  </si>
  <si>
    <t xml:space="preserve">PSPPH_3954</t>
  </si>
  <si>
    <t xml:space="preserve">mucA</t>
  </si>
  <si>
    <t xml:space="preserve">CTGCAGGGCTTCACGACTCA</t>
  </si>
  <si>
    <t xml:space="preserve">TAGTCTGCAGGGCTTCACGACTCA</t>
  </si>
  <si>
    <t xml:space="preserve">AAACTGAGTCGTGAAGCCCTGCAG</t>
  </si>
  <si>
    <t xml:space="preserve">CGCTTCGTTATCCAGTACCG</t>
  </si>
  <si>
    <t xml:space="preserve">TAGTCGCTTCGTTATCCAGTACCG</t>
  </si>
  <si>
    <t xml:space="preserve">AAACCGGTACTGGATAACGAAGCG</t>
  </si>
  <si>
    <t xml:space="preserve">GCGAGTATCGGCATCGTCAA</t>
  </si>
  <si>
    <t xml:space="preserve">TAGTGCGAGTATCGGCATCGTCAA</t>
  </si>
  <si>
    <t xml:space="preserve">AAACTTGACGATGCCGATACTCGC</t>
  </si>
  <si>
    <t xml:space="preserve">AGCAACTTGGTAACGCGACC</t>
  </si>
  <si>
    <t xml:space="preserve">TAGTAGCAACTTGGTAACGCGACC</t>
  </si>
  <si>
    <t xml:space="preserve">AAACGGTCGCGTTACCAAGTTGCT</t>
  </si>
  <si>
    <t xml:space="preserve">PSPPH_3955</t>
  </si>
  <si>
    <t xml:space="preserve">rpoE</t>
  </si>
  <si>
    <t xml:space="preserve">AAGCTGCTGATCCTCTTCCT</t>
  </si>
  <si>
    <t xml:space="preserve">TAGTAAGCTGCTGATCCTCTTCCT</t>
  </si>
  <si>
    <t xml:space="preserve">AAACAGGAAGAGGATCAGCAGCTT</t>
  </si>
  <si>
    <t xml:space="preserve">TGCAACGTCCTGAGCCTCAT</t>
  </si>
  <si>
    <t xml:space="preserve">TAGTTGCAACGTCCTGAGCCTCAT</t>
  </si>
  <si>
    <t xml:space="preserve">AAACATGAGGCTCAGGACGTTGCA</t>
  </si>
  <si>
    <t xml:space="preserve">AGCACGGTAAGCCTTGATAA</t>
  </si>
  <si>
    <t xml:space="preserve">TAGTAGCACGGTAAGCCTTGATAA</t>
  </si>
  <si>
    <t xml:space="preserve">AAACTTATCAAGGCTTACCGTGCT</t>
  </si>
  <si>
    <t xml:space="preserve">ATAGTTTTTCGCCGTGTTAA</t>
  </si>
  <si>
    <t xml:space="preserve">TAGTATAGTTTTTCGCCGTGTTAA</t>
  </si>
  <si>
    <t xml:space="preserve">AAACTTAACACGGCGAAAAACTAT</t>
  </si>
  <si>
    <t xml:space="preserve">PSPPH_3956</t>
  </si>
  <si>
    <t xml:space="preserve">nadB</t>
  </si>
  <si>
    <t xml:space="preserve">CGTCAGTGCCAGGCTCAATC</t>
  </si>
  <si>
    <t xml:space="preserve">TAGTCGTCAGTGCCAGGCTCAATC</t>
  </si>
  <si>
    <t xml:space="preserve">AAACGATTGAGCCTGGCACTGACG</t>
  </si>
  <si>
    <t xml:space="preserve">ACTGCGATGCTCAGGTGTCC</t>
  </si>
  <si>
    <t xml:space="preserve">TAGTACTGCGATGCTCAGGTGTCC</t>
  </si>
  <si>
    <t xml:space="preserve">AAACGGACACCTGAGCATCGCAGT</t>
  </si>
  <si>
    <t xml:space="preserve">GGCCCAGAATGTCGAGCCAT</t>
  </si>
  <si>
    <t xml:space="preserve">TAGTGGCCCAGAATGTCGAGCCAT</t>
  </si>
  <si>
    <t xml:space="preserve">AAACATGGCTCGACATTCTGGGCC</t>
  </si>
  <si>
    <t xml:space="preserve">TACTGCTGCCACACCGCCCT</t>
  </si>
  <si>
    <t xml:space="preserve">TAGTTACTGCTGCCACACCGCCCT</t>
  </si>
  <si>
    <t xml:space="preserve">AAACAGGGCGGTGTGGCAGCAGTA</t>
  </si>
  <si>
    <t xml:space="preserve">PSPPH_3957</t>
  </si>
  <si>
    <t xml:space="preserve">CGCCGTCAATAGCAGGCGCG</t>
  </si>
  <si>
    <t xml:space="preserve">TAGTCGCCGTCAATAGCAGGCGCG</t>
  </si>
  <si>
    <t xml:space="preserve">AAACCGCGCCTGCTATTGACGGCG</t>
  </si>
  <si>
    <t xml:space="preserve">GATCAGCGCCAGCAGCTGAA</t>
  </si>
  <si>
    <t xml:space="preserve">TAGTGATCAGCGCCAGCAGCTGAA</t>
  </si>
  <si>
    <t xml:space="preserve">AAACTTCAGCTGCTGGCGCTGATC</t>
  </si>
  <si>
    <t xml:space="preserve">CAACGAAGCGATGTTCAGCC</t>
  </si>
  <si>
    <t xml:space="preserve">TAGTCAACGAAGCGATGTTCAGCC</t>
  </si>
  <si>
    <t xml:space="preserve">AAACGGCTGAACATCGCTTCGTTG</t>
  </si>
  <si>
    <t xml:space="preserve">GATCGAGCGCGGCAACGTCC</t>
  </si>
  <si>
    <t xml:space="preserve">TAGTGATCGAGCGCGGCAACGTCC</t>
  </si>
  <si>
    <t xml:space="preserve">AAACGGACGTTGCCGCGCTCGATC</t>
  </si>
  <si>
    <t xml:space="preserve">PSPPH_3958</t>
  </si>
  <si>
    <t xml:space="preserve">GAGTTCGACGTCTTCGACCA</t>
  </si>
  <si>
    <t xml:space="preserve">TAGTGAGTTCGACGTCTTCGACCA</t>
  </si>
  <si>
    <t xml:space="preserve">AAACTGGTCGAAGACGTCGAACTC</t>
  </si>
  <si>
    <t xml:space="preserve">GGCGGCTGTGCCAGTAAAGG</t>
  </si>
  <si>
    <t xml:space="preserve">TAGTGGCGGCTGTGCCAGTAAAGG</t>
  </si>
  <si>
    <t xml:space="preserve">AAACCCTTTACTGGCACAGCCGCC</t>
  </si>
  <si>
    <t xml:space="preserve">CGTCCAGTTCAAGCATGCCA</t>
  </si>
  <si>
    <t xml:space="preserve">TAGTCGTCCAGTTCAAGCATGCCA</t>
  </si>
  <si>
    <t xml:space="preserve">AAACTGGCATGCTTGAACTGGACG</t>
  </si>
  <si>
    <t xml:space="preserve">GGATAGACCTCCCGGACAAA</t>
  </si>
  <si>
    <t xml:space="preserve">TAGTGGATAGACCTCCCGGACAAA</t>
  </si>
  <si>
    <t xml:space="preserve">AAACTTTGTCCGGGAGGTCTATCC</t>
  </si>
  <si>
    <t xml:space="preserve">PSPPH_3959</t>
  </si>
  <si>
    <t xml:space="preserve">GAAAAAAGCTTTTTGGGTCA</t>
  </si>
  <si>
    <t xml:space="preserve">TAGTGAAAAAAGCTTTTTGGGTCA</t>
  </si>
  <si>
    <t xml:space="preserve">AAACTGACCCAAAAAGCTTTTTTC</t>
  </si>
  <si>
    <t xml:space="preserve">AACGGCGAGAACGCCCTCAT</t>
  </si>
  <si>
    <t xml:space="preserve">TAGTAACGGCGAGAACGCCCTCAT</t>
  </si>
  <si>
    <t xml:space="preserve">AAACATGAGGGCGTTCTCGCCGTT</t>
  </si>
  <si>
    <t xml:space="preserve">CTGACCCTGAAGAAACTTGC</t>
  </si>
  <si>
    <t xml:space="preserve">TAGTCTGACCCTGAAGAAACTTGC</t>
  </si>
  <si>
    <t xml:space="preserve">AAACGCAAGTTTCTTCAGGGTCAG</t>
  </si>
  <si>
    <t xml:space="preserve">TGTCTTCATTAAGGTAATTT</t>
  </si>
  <si>
    <t xml:space="preserve">TAGTTGTCTTCATTAAGGTAATTT</t>
  </si>
  <si>
    <t xml:space="preserve">AAACAAATTACCTTAATGAAGACA</t>
  </si>
  <si>
    <t xml:space="preserve">PSPPH_3960</t>
  </si>
  <si>
    <t xml:space="preserve">AAACAAGGCATCTCTGTCGA</t>
  </si>
  <si>
    <t xml:space="preserve">TAGTAAACAAGGCATCTCTGTCGA</t>
  </si>
  <si>
    <t xml:space="preserve">AAACTCGACAGAGATGCCTTGTTT</t>
  </si>
  <si>
    <t xml:space="preserve">AGTGCTACTTCCGGCAGGGT</t>
  </si>
  <si>
    <t xml:space="preserve">TAGTAGTGCTACTTCCGGCAGGGT</t>
  </si>
  <si>
    <t xml:space="preserve">AAACACCCTGCCGGAAGTAGCACT</t>
  </si>
  <si>
    <t xml:space="preserve">GCTGATTTCGGTGTCTTCGG</t>
  </si>
  <si>
    <t xml:space="preserve">TAGTGCTGATTTCGGTGTCTTCGG</t>
  </si>
  <si>
    <t xml:space="preserve">AAACCCGAAGACACCGAAATCAGC</t>
  </si>
  <si>
    <t xml:space="preserve">GCTACCGATGACCTTGCTCA</t>
  </si>
  <si>
    <t xml:space="preserve">TAGTGCTACCGATGACCTTGCTCA</t>
  </si>
  <si>
    <t xml:space="preserve">AAACTGAGCAAGGTCATCGGTAGC</t>
  </si>
  <si>
    <t xml:space="preserve">PSPPH_3961</t>
  </si>
  <si>
    <t xml:space="preserve">TCCACAACAGCCGCCAGCGC</t>
  </si>
  <si>
    <t xml:space="preserve">TAGTTCCACAACAGCCGCCAGCGC</t>
  </si>
  <si>
    <t xml:space="preserve">AAACGCGCTGGCGGCTGTTGTGGA</t>
  </si>
  <si>
    <t xml:space="preserve">ACACCACCAGCAGCAACGCC</t>
  </si>
  <si>
    <t xml:space="preserve">TAGTACACCACCAGCAGCAACGCC</t>
  </si>
  <si>
    <t xml:space="preserve">AAACGGCGTTGCTGCTGGTGGTGT</t>
  </si>
  <si>
    <t xml:space="preserve">CCAGTAAGCGCTCATGCCGC</t>
  </si>
  <si>
    <t xml:space="preserve">TAGTCCAGTAAGCGCTCATGCCGC</t>
  </si>
  <si>
    <t xml:space="preserve">AAACGCGGCATGAGCGCTTACTGG</t>
  </si>
  <si>
    <t xml:space="preserve">AGGCGGTATCGGCCACTTCG</t>
  </si>
  <si>
    <t xml:space="preserve">TAGTAGGCGGTATCGGCCACTTCG</t>
  </si>
  <si>
    <t xml:space="preserve">AAACCGAAGTGGCCGATACCGCCT</t>
  </si>
  <si>
    <t xml:space="preserve">PSPPH_3962</t>
  </si>
  <si>
    <t xml:space="preserve">tctD</t>
  </si>
  <si>
    <t xml:space="preserve">GCCATCATGCAGTACATCAA</t>
  </si>
  <si>
    <t xml:space="preserve">TAGTGCCATCATGCAGTACATCAA</t>
  </si>
  <si>
    <t xml:space="preserve">AAACTTGATGTACTGCATGATGGC</t>
  </si>
  <si>
    <t xml:space="preserve">GCTGCTCAACGCCAGGTCGG</t>
  </si>
  <si>
    <t xml:space="preserve">TAGTGCTGCTCAACGCCAGGTCGG</t>
  </si>
  <si>
    <t xml:space="preserve">AAACCCGACCTGGCGTTGAGCAGC</t>
  </si>
  <si>
    <t xml:space="preserve">GCCGACGTCGAGAATGGCGA</t>
  </si>
  <si>
    <t xml:space="preserve">TAGTGCCGACGTCGAGAATGGCGA</t>
  </si>
  <si>
    <t xml:space="preserve">AAACTCGCCATTCTCGACGTCGGC</t>
  </si>
  <si>
    <t xml:space="preserve">CGGTCAGCATCAACACCGGA</t>
  </si>
  <si>
    <t xml:space="preserve">TAGTCGGTCAGCATCAACACCGGA</t>
  </si>
  <si>
    <t xml:space="preserve">AAACTCCGGTGTTGATGCTGACCG</t>
  </si>
  <si>
    <t xml:space="preserve">PSPPH_3963</t>
  </si>
  <si>
    <t xml:space="preserve">TGGCGGCTATCTGACGCAGA</t>
  </si>
  <si>
    <t xml:space="preserve">TAGTTGGCGGCTATCTGACGCAGA</t>
  </si>
  <si>
    <t xml:space="preserve">AAACTCTGCGTCAGATAGCCGCCA</t>
  </si>
  <si>
    <t xml:space="preserve">AACCAGCATGCAGGCGGCGG</t>
  </si>
  <si>
    <t xml:space="preserve">TAGTAACCAGCATGCAGGCGGCGG</t>
  </si>
  <si>
    <t xml:space="preserve">AAACCCGCCGCCTGCATGCTGGTT</t>
  </si>
  <si>
    <t xml:space="preserve">CTCGGCAGCAAACAACTGGC</t>
  </si>
  <si>
    <t xml:space="preserve">TAGTCTCGGCAGCAAACAACTGGC</t>
  </si>
  <si>
    <t xml:space="preserve">AAACGCCAGTTGTTTGCTGCCGAG</t>
  </si>
  <si>
    <t xml:space="preserve">GCAATGCATTCCGGACGCTT</t>
  </si>
  <si>
    <t xml:space="preserve">TAGTGCAATGCATTCCGGACGCTT</t>
  </si>
  <si>
    <t xml:space="preserve">AAACAAGCGTCCGGAATGCATTGC</t>
  </si>
  <si>
    <t xml:space="preserve">PSPPH_3964</t>
  </si>
  <si>
    <t xml:space="preserve">TGCGCATGCCAGTAGCAGTA</t>
  </si>
  <si>
    <t xml:space="preserve">TAGTTGCGCATGCCAGTAGCAGTA</t>
  </si>
  <si>
    <t xml:space="preserve">AAACTACTGCTACTGGCATGCGCA</t>
  </si>
  <si>
    <t xml:space="preserve">TTGATAAGGCCAGGCCATAA</t>
  </si>
  <si>
    <t xml:space="preserve">TAGTTTGATAAGGCCAGGCCATAA</t>
  </si>
  <si>
    <t xml:space="preserve">AAACTTATGGCCTGGCCTTATCAA</t>
  </si>
  <si>
    <t xml:space="preserve">CCGACCGGTTCATAGGAGAA</t>
  </si>
  <si>
    <t xml:space="preserve">TAGTCCGACCGGTTCATAGGAGAA</t>
  </si>
  <si>
    <t xml:space="preserve">AAACTTCTCCTATGAACCGGTCGG</t>
  </si>
  <si>
    <t xml:space="preserve">ATCAGCAGCGGGAAAGCGCG</t>
  </si>
  <si>
    <t xml:space="preserve">TAGTATCAGCAGCGGGAAAGCGCG</t>
  </si>
  <si>
    <t xml:space="preserve">AAACCGCGCTTTCCCGCTGCTGAT</t>
  </si>
  <si>
    <t xml:space="preserve">PSPPH_3966</t>
  </si>
  <si>
    <t xml:space="preserve">CCGCCGAGCAGACCGACCAG</t>
  </si>
  <si>
    <t xml:space="preserve">TAGTCCGCCGAGCAGACCGACCAG</t>
  </si>
  <si>
    <t xml:space="preserve">AAACCTGGTCGGTCTGCTCGGCGG</t>
  </si>
  <si>
    <t xml:space="preserve">GCCAGCCAACCTGGCTGGCG</t>
  </si>
  <si>
    <t xml:space="preserve">TAGTGCCAGCCAACCTGGCTGGCG</t>
  </si>
  <si>
    <t xml:space="preserve">AAACCGCCAGCCAGGTTGGCTGGC</t>
  </si>
  <si>
    <t xml:space="preserve">GAGCCAACCATCCACGGCAG</t>
  </si>
  <si>
    <t xml:space="preserve">TAGTGAGCCAACCATCCACGGCAG</t>
  </si>
  <si>
    <t xml:space="preserve">AAACCTGCCGTGGATGGTTGGCTC</t>
  </si>
  <si>
    <t xml:space="preserve">AGGGTGTCAGGCAGCGCACC</t>
  </si>
  <si>
    <t xml:space="preserve">TAGTAGGGTGTCAGGCAGCGCACC</t>
  </si>
  <si>
    <t xml:space="preserve">AAACGGTGCGCTGCCTGACACCCT</t>
  </si>
  <si>
    <t xml:space="preserve">PSPPH_3967</t>
  </si>
  <si>
    <t xml:space="preserve">ung</t>
  </si>
  <si>
    <t xml:space="preserve">GATGCGGTCGTCGCTAGTCA</t>
  </si>
  <si>
    <t xml:space="preserve">TAGTGATGCGGTCGTCGCTAGTCA</t>
  </si>
  <si>
    <t xml:space="preserve">AAACTGACTAGCGACGACCGCATC</t>
  </si>
  <si>
    <t xml:space="preserve">CGCAGCGCTTCCTTCCAGAT</t>
  </si>
  <si>
    <t xml:space="preserve">TAGTCGCAGCGCTTCCTTCCAGAT</t>
  </si>
  <si>
    <t xml:space="preserve">AAACATCTGGAAGGAAGCGCTGCG</t>
  </si>
  <si>
    <t xml:space="preserve">TCGCGCAACTGCGCCATATA</t>
  </si>
  <si>
    <t xml:space="preserve">TAGTTCGCGCAACTGCGCCATATA</t>
  </si>
  <si>
    <t xml:space="preserve">AAACTATATGGCGCAGTTGCGCGA</t>
  </si>
  <si>
    <t xml:space="preserve">CTTTACCCGCGGCATGCTCC</t>
  </si>
  <si>
    <t xml:space="preserve">TAGTCTTTACCCGCGGCATGCTCC</t>
  </si>
  <si>
    <t xml:space="preserve">AAACGGAGCATGCCGCGGGTAAAG</t>
  </si>
  <si>
    <t xml:space="preserve">PSPPH_3968</t>
  </si>
  <si>
    <t xml:space="preserve">TCCAGAAAGAAGTGCCGACG</t>
  </si>
  <si>
    <t xml:space="preserve">TAGTTCCAGAAAGAAGTGCCGACG</t>
  </si>
  <si>
    <t xml:space="preserve">AAACCGTCGGCACTTCTTTCTGGA</t>
  </si>
  <si>
    <t xml:space="preserve">TCTACATGCGCCTTTACGAT</t>
  </si>
  <si>
    <t xml:space="preserve">TAGTTCTACATGCGCCTTTACGAT</t>
  </si>
  <si>
    <t xml:space="preserve">AAACATCGTAAAGGCGCATGTAGA</t>
  </si>
  <si>
    <t xml:space="preserve">CCCGGCAGCAAAGTCAATGC</t>
  </si>
  <si>
    <t xml:space="preserve">TAGTCCCGGCAGCAAAGTCAATGC</t>
  </si>
  <si>
    <t xml:space="preserve">AAACGCATTGACTTTGCTGCCGGG</t>
  </si>
  <si>
    <t xml:space="preserve">PSPPH_3969</t>
  </si>
  <si>
    <t xml:space="preserve">AAGCAAGGGTCTTCGATACA</t>
  </si>
  <si>
    <t xml:space="preserve">TAGTAAGCAAGGGTCTTCGATACA</t>
  </si>
  <si>
    <t xml:space="preserve">AAACTGTATCGAAGACCCTTGCTT</t>
  </si>
  <si>
    <t xml:space="preserve">GTAGCAACCGGTAAGGAAAA</t>
  </si>
  <si>
    <t xml:space="preserve">TAGTGTAGCAACCGGTAAGGAAAA</t>
  </si>
  <si>
    <t xml:space="preserve">AAACTTTTCCTTACCGGTTGCTAC</t>
  </si>
  <si>
    <t xml:space="preserve">CATCGGATTCGTAGTAACCA</t>
  </si>
  <si>
    <t xml:space="preserve">TAGTCATCGGATTCGTAGTAACCA</t>
  </si>
  <si>
    <t xml:space="preserve">AAACTGGTTACTACGAATCCGATG</t>
  </si>
  <si>
    <t xml:space="preserve">GCGCCACCGACGACGGTTGT</t>
  </si>
  <si>
    <t xml:space="preserve">TAGTGCGCCACCGACGACGGTTGT</t>
  </si>
  <si>
    <t xml:space="preserve">AAACACAACCGTCGTCGGTGGCGC</t>
  </si>
  <si>
    <t xml:space="preserve">PSPPH_3970</t>
  </si>
  <si>
    <t xml:space="preserve">CAGTGGTGTCACGTTGCTCC</t>
  </si>
  <si>
    <t xml:space="preserve">TAGTCAGTGGTGTCACGTTGCTCC</t>
  </si>
  <si>
    <t xml:space="preserve">AAACGGAGCAACGTGACACCACTG</t>
  </si>
  <si>
    <t xml:space="preserve">GGACAAAAGCCCGGGAGACA</t>
  </si>
  <si>
    <t xml:space="preserve">TAGTGGACAAAAGCCCGGGAGACA</t>
  </si>
  <si>
    <t xml:space="preserve">AAACTGTCTCCCGGGCTTTTGTCC</t>
  </si>
  <si>
    <t xml:space="preserve">TCCAGTAGAGGTTACACGGC</t>
  </si>
  <si>
    <t xml:space="preserve">TAGTTCCAGTAGAGGTTACACGGC</t>
  </si>
  <si>
    <t xml:space="preserve">AAACGCCGTGTAACCTCTACTGGA</t>
  </si>
  <si>
    <t xml:space="preserve">CAAGTGGCTGGTCCGAGAGT</t>
  </si>
  <si>
    <t xml:space="preserve">TAGTCAAGTGGCTGGTCCGAGAGT</t>
  </si>
  <si>
    <t xml:space="preserve">AAACACTCTCGGACCAGCCACTTG</t>
  </si>
  <si>
    <t xml:space="preserve">PSPPH_3971</t>
  </si>
  <si>
    <t xml:space="preserve">AGAGGCTCAACGCAGCAAGC</t>
  </si>
  <si>
    <t xml:space="preserve">TAGTAGAGGCTCAACGCAGCAAGC</t>
  </si>
  <si>
    <t xml:space="preserve">AAACGCTTGCTGCGTTGAGCCTCT</t>
  </si>
  <si>
    <t xml:space="preserve">ATTGAAGTGATCTTTTTGGG</t>
  </si>
  <si>
    <t xml:space="preserve">TAGTATTGAAGTGATCTTTTTGGG</t>
  </si>
  <si>
    <t xml:space="preserve">AAACCCCAAAAAGATCACTTCAAT</t>
  </si>
  <si>
    <t xml:space="preserve">CGGCATCCAGCCTGCGTAAA</t>
  </si>
  <si>
    <t xml:space="preserve">TAGTCGGCATCCAGCCTGCGTAAA</t>
  </si>
  <si>
    <t xml:space="preserve">AAACTTTACGCAGGCTGGATGCCG</t>
  </si>
  <si>
    <t xml:space="preserve">TGGCTACCAGCGTATTCCCA</t>
  </si>
  <si>
    <t xml:space="preserve">TAGTTGGCTACCAGCGTATTCCCA</t>
  </si>
  <si>
    <t xml:space="preserve">AAACTGGGAATACGCTGGTAGCCA</t>
  </si>
  <si>
    <t xml:space="preserve">PSPPH_3972</t>
  </si>
  <si>
    <t xml:space="preserve">ATGGCGGTTTATCAAACGCA</t>
  </si>
  <si>
    <t xml:space="preserve">TAGTATGGCGGTTTATCAAACGCA</t>
  </si>
  <si>
    <t xml:space="preserve">AAACTGCGTTTGATAAACCGCCAT</t>
  </si>
  <si>
    <t xml:space="preserve">ATCAGGCGACCGGCACGGTC</t>
  </si>
  <si>
    <t xml:space="preserve">TAGTATCAGGCGACCGGCACGGTC</t>
  </si>
  <si>
    <t xml:space="preserve">AAACGACCGTGCCGGTCGCCTGAT</t>
  </si>
  <si>
    <t xml:space="preserve">ATAGCAACAGGGCGAACGGC</t>
  </si>
  <si>
    <t xml:space="preserve">TAGTATAGCAACAGGGCGAACGGC</t>
  </si>
  <si>
    <t xml:space="preserve">AAACGCCGTTCGCCCTGTTGCTAT</t>
  </si>
  <si>
    <t xml:space="preserve">GGTGGCCGAGCCCATGAAGT</t>
  </si>
  <si>
    <t xml:space="preserve">TAGTGGTGGCCGAGCCCATGAAGT</t>
  </si>
  <si>
    <t xml:space="preserve">AAACACTTCATGGGCTCGGCCACC</t>
  </si>
  <si>
    <t xml:space="preserve">PSPPH_3973</t>
  </si>
  <si>
    <t xml:space="preserve">CTTCTGCTACGTCCAGATTC</t>
  </si>
  <si>
    <t xml:space="preserve">TAGTCTTCTGCTACGTCCAGATTC</t>
  </si>
  <si>
    <t xml:space="preserve">AAACGAATCTGGACGTAGCAGAAG</t>
  </si>
  <si>
    <t xml:space="preserve">GCGTTTCCTGACCCAGCAGC</t>
  </si>
  <si>
    <t xml:space="preserve">TAGTGCGTTTCCTGACCCAGCAGC</t>
  </si>
  <si>
    <t xml:space="preserve">AAACGCTGCTGGGTCAGGAAACGC</t>
  </si>
  <si>
    <t xml:space="preserve">AGCGTGATCAGTCCACGGCT</t>
  </si>
  <si>
    <t xml:space="preserve">TAGTAGCGTGATCAGTCCACGGCT</t>
  </si>
  <si>
    <t xml:space="preserve">AAACAGCCGTGGACTGATCACGCT</t>
  </si>
  <si>
    <t xml:space="preserve">GGCGTCTGGCTCATTGCGCA</t>
  </si>
  <si>
    <t xml:space="preserve">TAGTGGCGTCTGGCTCATTGCGCA</t>
  </si>
  <si>
    <t xml:space="preserve">AAACTGCGCAATGAGCCAGACGCC</t>
  </si>
  <si>
    <t xml:space="preserve">PSPPH_3974</t>
  </si>
  <si>
    <t xml:space="preserve">GAACGGCTCGCCTGCCGGTA</t>
  </si>
  <si>
    <t xml:space="preserve">TAGTGAACGGCTCGCCTGCCGGTA</t>
  </si>
  <si>
    <t xml:space="preserve">AAACTACCGGCAGGCGAGCCGTTC</t>
  </si>
  <si>
    <t xml:space="preserve">GTCCGGCCTTGACTTCGGCC</t>
  </si>
  <si>
    <t xml:space="preserve">TAGTGTCCGGCCTTGACTTCGGCC</t>
  </si>
  <si>
    <t xml:space="preserve">AAACGGCCGAAGTCAAGGCCGGAC</t>
  </si>
  <si>
    <t xml:space="preserve">TTGCAGATCGAGGATGCGCA</t>
  </si>
  <si>
    <t xml:space="preserve">TAGTTTGCAGATCGAGGATGCGCA</t>
  </si>
  <si>
    <t xml:space="preserve">AAACTGCGCATCCTCGATCTGCAA</t>
  </si>
  <si>
    <t xml:space="preserve">AAAACAGCGTATCGACCGCC</t>
  </si>
  <si>
    <t xml:space="preserve">TAGTAAAACAGCGTATCGACCGCC</t>
  </si>
  <si>
    <t xml:space="preserve">AAACGGCGGTCGATACGCTGTTTT</t>
  </si>
  <si>
    <t xml:space="preserve">PSPPH_3975</t>
  </si>
  <si>
    <t xml:space="preserve">GATCAGCAGTTTGTCGAACA</t>
  </si>
  <si>
    <t xml:space="preserve">TAGTGATCAGCAGTTTGTCGAACA</t>
  </si>
  <si>
    <t xml:space="preserve">AAACTGTTCGACAAACTGCTGATC</t>
  </si>
  <si>
    <t xml:space="preserve">GCAGGCAATGGCGCCACGGT</t>
  </si>
  <si>
    <t xml:space="preserve">TAGTGCAGGCAATGGCGCCACGGT</t>
  </si>
  <si>
    <t xml:space="preserve">AAACACCGTGGCGCCATTGCCTGC</t>
  </si>
  <si>
    <t xml:space="preserve">TGCGCAGGGTCCGCAGGATA</t>
  </si>
  <si>
    <t xml:space="preserve">TAGTTGCGCAGGGTCCGCAGGATA</t>
  </si>
  <si>
    <t xml:space="preserve">AAACTATCCTGCGGACCCTGCGCA</t>
  </si>
  <si>
    <t xml:space="preserve">CAGGCTTGCGGCGTCGGCTT</t>
  </si>
  <si>
    <t xml:space="preserve">TAGTCAGGCTTGCGGCGTCGGCTT</t>
  </si>
  <si>
    <t xml:space="preserve">AAACAAGCCGACGCCGCAAGCCTG</t>
  </si>
  <si>
    <t xml:space="preserve">PSPPH_3976</t>
  </si>
  <si>
    <t xml:space="preserve">GTATCCAGGCGCAGGTCGTT</t>
  </si>
  <si>
    <t xml:space="preserve">TAGTGTATCCAGGCGCAGGTCGTT</t>
  </si>
  <si>
    <t xml:space="preserve">AAACAACGACCTGCGCCTGGATAC</t>
  </si>
  <si>
    <t xml:space="preserve">GGACAGGTAAGCAGTGCGTA</t>
  </si>
  <si>
    <t xml:space="preserve">TAGTGGACAGGTAAGCAGTGCGTA</t>
  </si>
  <si>
    <t xml:space="preserve">AAACTACGCACTGCTTACCTGTCC</t>
  </si>
  <si>
    <t xml:space="preserve">CTGGCGTGGGGAAATCTGGC</t>
  </si>
  <si>
    <t xml:space="preserve">TAGTCTGGCGTGGGGAAATCTGGC</t>
  </si>
  <si>
    <t xml:space="preserve">AAACGCCAGATTTCCCCACGCCAG</t>
  </si>
  <si>
    <t xml:space="preserve">GTAATCCGCATTGAGCGTTG</t>
  </si>
  <si>
    <t xml:space="preserve">TAGTGTAATCCGCATTGAGCGTTG</t>
  </si>
  <si>
    <t xml:space="preserve">AAACCAACGCTCAATGCGGATTAC</t>
  </si>
  <si>
    <t xml:space="preserve">PSPPH_3978</t>
  </si>
  <si>
    <t xml:space="preserve">CAACCGCGACAAGGTGCGGC</t>
  </si>
  <si>
    <t xml:space="preserve">TAGTCAACCGCGACAAGGTGCGGC</t>
  </si>
  <si>
    <t xml:space="preserve">AAACGCCGCACCTTGTCGCGGTTG</t>
  </si>
  <si>
    <t xml:space="preserve">TGATGTGCCCGTGGAAGAAC</t>
  </si>
  <si>
    <t xml:space="preserve">TAGTTGATGTGCCCGTGGAAGAAC</t>
  </si>
  <si>
    <t xml:space="preserve">AAACGTTCTTCCACGGGCACATCA</t>
  </si>
  <si>
    <t xml:space="preserve">GCGTCAGGAAATAGCCGTCG</t>
  </si>
  <si>
    <t xml:space="preserve">TAGTGCGTCAGGAAATAGCCGTCG</t>
  </si>
  <si>
    <t xml:space="preserve">AAACCGACGGCTATTTCCTGACGC</t>
  </si>
  <si>
    <t xml:space="preserve">CCAGTGTCGCTACGTCGGCA</t>
  </si>
  <si>
    <t xml:space="preserve">TAGTCCAGTGTCGCTACGTCGGCA</t>
  </si>
  <si>
    <t xml:space="preserve">AAACTGCCGACGTAGCGACACTGG</t>
  </si>
  <si>
    <t xml:space="preserve">PSPPH_3979</t>
  </si>
  <si>
    <t xml:space="preserve">GCAAAGGCGGGTGTCTTTCA</t>
  </si>
  <si>
    <t xml:space="preserve">TAGTGCAAAGGCGGGTGTCTTTCA</t>
  </si>
  <si>
    <t xml:space="preserve">AAACTGAAAGACACCCGCCTTTGC</t>
  </si>
  <si>
    <t xml:space="preserve">GGTTGTTGAAGCCGCACAGA</t>
  </si>
  <si>
    <t xml:space="preserve">TAGTGGTTGTTGAAGCCGCACAGA</t>
  </si>
  <si>
    <t xml:space="preserve">AAACTCTGTGCGGCTTCAACAACC</t>
  </si>
  <si>
    <t xml:space="preserve">GCGGGTCAGCCAGGCTGCAC</t>
  </si>
  <si>
    <t xml:space="preserve">TAGTGCGGGTCAGCCAGGCTGCAC</t>
  </si>
  <si>
    <t xml:space="preserve">AAACGTGCAGCCTGGCTGACCCGC</t>
  </si>
  <si>
    <t xml:space="preserve">GCTTTCCGAAAAGCACCAGC</t>
  </si>
  <si>
    <t xml:space="preserve">TAGTGCTTTCCGAAAAGCACCAGC</t>
  </si>
  <si>
    <t xml:space="preserve">AAACGCTGGTGCTTTTCGGAAAGC</t>
  </si>
  <si>
    <t xml:space="preserve">PSPPH_3980</t>
  </si>
  <si>
    <t xml:space="preserve">rsuA</t>
  </si>
  <si>
    <t xml:space="preserve">GAGGAAGCGATCAAGACGCA</t>
  </si>
  <si>
    <t xml:space="preserve">TAGTGAGGAAGCGATCAAGACGCA</t>
  </si>
  <si>
    <t xml:space="preserve">AAACTGCGTCTTGATCGCTTCCTC</t>
  </si>
  <si>
    <t xml:space="preserve">TTTTGCGATTGAGGCTTGGC</t>
  </si>
  <si>
    <t xml:space="preserve">TAGTTTTTGCGATTGAGGCTTGGC</t>
  </si>
  <si>
    <t xml:space="preserve">AAACGCCAAGCCTCAATCGCAAAA</t>
  </si>
  <si>
    <t xml:space="preserve">CCCGCCCGCTGGCCAGCGCC</t>
  </si>
  <si>
    <t xml:space="preserve">TAGTCCCGCCCGCTGGCCAGCGCC</t>
  </si>
  <si>
    <t xml:space="preserve">AAACGGCGCTGGCCAGCGGGCGGG</t>
  </si>
  <si>
    <t xml:space="preserve">CACTTCGTGGTGCGGGTCGC</t>
  </si>
  <si>
    <t xml:space="preserve">TAGTCACTTCGTGGTGCGGGTCGC</t>
  </si>
  <si>
    <t xml:space="preserve">AAACGCGACCCGCACCACGAAGTG</t>
  </si>
  <si>
    <t xml:space="preserve">PSPPH_3981</t>
  </si>
  <si>
    <t xml:space="preserve">ACTGCTTTTTCTGGCGACAT</t>
  </si>
  <si>
    <t xml:space="preserve">TAGTACTGCTTTTTCTGGCGACAT</t>
  </si>
  <si>
    <t xml:space="preserve">AAACATGTCGCCAGAAAAAGCAGT</t>
  </si>
  <si>
    <t xml:space="preserve">GGCATCGGTGTGATAGAACT</t>
  </si>
  <si>
    <t xml:space="preserve">TAGTGGCATCGGTGTGATAGAACT</t>
  </si>
  <si>
    <t xml:space="preserve">AAACAGTTCTATCACACCGATGCC</t>
  </si>
  <si>
    <t xml:space="preserve">CAGAATGATGGTCTTTGCGG</t>
  </si>
  <si>
    <t xml:space="preserve">TAGTCAGAATGATGGTCTTTGCGG</t>
  </si>
  <si>
    <t xml:space="preserve">AAACCCGCAAAGACCATCATTCTG</t>
  </si>
  <si>
    <t xml:space="preserve">CTGAGCAAATGACGCGGTGG</t>
  </si>
  <si>
    <t xml:space="preserve">TAGTCTGAGCAAATGACGCGGTGG</t>
  </si>
  <si>
    <t xml:space="preserve">AAACCCACCGCGTCATTTGCTCAG</t>
  </si>
  <si>
    <t xml:space="preserve">PSPPH_3983</t>
  </si>
  <si>
    <t xml:space="preserve">ATCGTCGACGGGGGAGGGAG</t>
  </si>
  <si>
    <t xml:space="preserve">TAGTATCGTCGACGGGGGAGGGAG</t>
  </si>
  <si>
    <t xml:space="preserve">AAACCTCCCTCCCCCGTCGACGAT</t>
  </si>
  <si>
    <t xml:space="preserve">ACGCGGTTTCACTCGGATTG</t>
  </si>
  <si>
    <t xml:space="preserve">TAGTACGCGGTTTCACTCGGATTG</t>
  </si>
  <si>
    <t xml:space="preserve">AAACCAATCCGAGTGAAACCGCGT</t>
  </si>
  <si>
    <t xml:space="preserve">CTGCCGCGAGAATTCTGACC</t>
  </si>
  <si>
    <t xml:space="preserve">TAGTCTGCCGCGAGAATTCTGACC</t>
  </si>
  <si>
    <t xml:space="preserve">AAACGGTCAGAATTCTCGCGGCAG</t>
  </si>
  <si>
    <t xml:space="preserve">GCGGGTGACCGCTGCTGCCT</t>
  </si>
  <si>
    <t xml:space="preserve">TAGTGCGGGTGACCGCTGCTGCCT</t>
  </si>
  <si>
    <t xml:space="preserve">AAACAGGCAGCAGCGGTCACCCGC</t>
  </si>
  <si>
    <t xml:space="preserve">PSPPH_3985</t>
  </si>
  <si>
    <t xml:space="preserve">bdh2</t>
  </si>
  <si>
    <t xml:space="preserve">ACTACCGGTACCAGTCACCA</t>
  </si>
  <si>
    <t xml:space="preserve">TAGTACTACCGGTACCAGTCACCA</t>
  </si>
  <si>
    <t xml:space="preserve">AAACTGGTGACTGGTACCGGTAGT</t>
  </si>
  <si>
    <t xml:space="preserve">GGCCAGAAGCCGGAGCGCTG</t>
  </si>
  <si>
    <t xml:space="preserve">TAGTGGCCAGAAGCCGGAGCGCTG</t>
  </si>
  <si>
    <t xml:space="preserve">AAACCAGCGCTCCGGCTTCTGGCC</t>
  </si>
  <si>
    <t xml:space="preserve">CCCAAAAACTTTCCAACCAT</t>
  </si>
  <si>
    <t xml:space="preserve">TAGTCCCAAAAACTTTCCAACCAT</t>
  </si>
  <si>
    <t xml:space="preserve">AAACATGGTTGGAAAGTTTTTGGG</t>
  </si>
  <si>
    <t xml:space="preserve">GGTTAAGTCGACCTGTGCAT</t>
  </si>
  <si>
    <t xml:space="preserve">TAGTGGTTAAGTCGACCTGTGCAT</t>
  </si>
  <si>
    <t xml:space="preserve">AAACATGCACAGGTCGACTTAACC</t>
  </si>
  <si>
    <t xml:space="preserve">PSPPH_3986</t>
  </si>
  <si>
    <t xml:space="preserve">CGGCCCGCATAATACTCTCC</t>
  </si>
  <si>
    <t xml:space="preserve">TAGTCGGCCCGCATAATACTCTCC</t>
  </si>
  <si>
    <t xml:space="preserve">AAACGGAGAGTATTATGCGGGCCG</t>
  </si>
  <si>
    <t xml:space="preserve">TGCTGAGTTCACCGGCGAAA</t>
  </si>
  <si>
    <t xml:space="preserve">TAGTTGCTGAGTTCACCGGCGAAA</t>
  </si>
  <si>
    <t xml:space="preserve">AAACTTTCGCCGGTGAACTCAGCA</t>
  </si>
  <si>
    <t xml:space="preserve">GTCTCTAATAAGCTCAGCAT</t>
  </si>
  <si>
    <t xml:space="preserve">TAGTGTCTCTAATAAGCTCAGCAT</t>
  </si>
  <si>
    <t xml:space="preserve">AAACATGCTGAGCTTATTAGAGAC</t>
  </si>
  <si>
    <t xml:space="preserve">ACCTATTTCCTGGTGAGTAG</t>
  </si>
  <si>
    <t xml:space="preserve">TAGTACCTATTTCCTGGTGAGTAG</t>
  </si>
  <si>
    <t xml:space="preserve">AAACCTACTCACCAGGAAATAGGT</t>
  </si>
  <si>
    <t xml:space="preserve">PSPPH_3987</t>
  </si>
  <si>
    <t xml:space="preserve">GATAGCCAGTTGTTGATCGA</t>
  </si>
  <si>
    <t xml:space="preserve">TAGTGATAGCCAGTTGTTGATCGA</t>
  </si>
  <si>
    <t xml:space="preserve">AAACTCGATCAACAACTGGCTATC</t>
  </si>
  <si>
    <t xml:space="preserve">TGGATGACTCTAGAATAGAG</t>
  </si>
  <si>
    <t xml:space="preserve">TAGTTGGATGACTCTAGAATAGAG</t>
  </si>
  <si>
    <t xml:space="preserve">AAACCTCTATTCTAGAGTCATCCA</t>
  </si>
  <si>
    <t xml:space="preserve">AAACATGTCCAAGGTGATGG</t>
  </si>
  <si>
    <t xml:space="preserve">TAGTAAACATGTCCAAGGTGATGG</t>
  </si>
  <si>
    <t xml:space="preserve">AAACCCATCACCTTGGACATGTTT</t>
  </si>
  <si>
    <t xml:space="preserve">GCTGCTCCAGACTTCTGGTG</t>
  </si>
  <si>
    <t xml:space="preserve">TAGTGCTGCTCCAGACTTCTGGTG</t>
  </si>
  <si>
    <t xml:space="preserve">AAACCACCAGAAGTCTGGAGCAGC</t>
  </si>
  <si>
    <t xml:space="preserve">PSPPH_3988</t>
  </si>
  <si>
    <t xml:space="preserve">GTTCTTTTTGCTAAAATAGG</t>
  </si>
  <si>
    <t xml:space="preserve">TAGTGTTCTTTTTGCTAAAATAGG</t>
  </si>
  <si>
    <t xml:space="preserve">AAACCCTATTTTAGCAAAAAGAAC</t>
  </si>
  <si>
    <t xml:space="preserve">CCCCCAAAGAAGACTAAGAA</t>
  </si>
  <si>
    <t xml:space="preserve">TAGTCCCCCAAAGAAGACTAAGAA</t>
  </si>
  <si>
    <t xml:space="preserve">AAACTTCTTAGTCTTCTTTGGGGG</t>
  </si>
  <si>
    <t xml:space="preserve">TACCAATCGATGCTTACTAA</t>
  </si>
  <si>
    <t xml:space="preserve">TAGTTACCAATCGATGCTTACTAA</t>
  </si>
  <si>
    <t xml:space="preserve">AAACTTAGTAAGCATCGATTGGTA</t>
  </si>
  <si>
    <t xml:space="preserve">TATCTTGGCTTTCACCACCA</t>
  </si>
  <si>
    <t xml:space="preserve">TAGTTATCTTGGCTTTCACCACCA</t>
  </si>
  <si>
    <t xml:space="preserve">AAACTGGTGGTGAAAGCCAAGATA</t>
  </si>
  <si>
    <t xml:space="preserve">PSPPH_3989</t>
  </si>
  <si>
    <t xml:space="preserve">TTTTAGATGATAGTCCAATG</t>
  </si>
  <si>
    <t xml:space="preserve">TAGTTTTTAGATGATAGTCCAATG</t>
  </si>
  <si>
    <t xml:space="preserve">AAACCATTGGACTATCATCTAAAA</t>
  </si>
  <si>
    <t xml:space="preserve">CGACGGAAACCGCCCTCGCC</t>
  </si>
  <si>
    <t xml:space="preserve">TAGTCGACGGAAACCGCCCTCGCC</t>
  </si>
  <si>
    <t xml:space="preserve">AAACGGCGAGGGCGGTTTCCGTCG</t>
  </si>
  <si>
    <t xml:space="preserve">GAGGAAAATACTCAATACAC</t>
  </si>
  <si>
    <t xml:space="preserve">TAGTGAGGAAAATACTCAATACAC</t>
  </si>
  <si>
    <t xml:space="preserve">AAACGTGTATTGAGTATTTTCCTC</t>
  </si>
  <si>
    <t xml:space="preserve">CGCCATCGAACAACATCGGG</t>
  </si>
  <si>
    <t xml:space="preserve">TAGTCGCCATCGAACAACATCGGG</t>
  </si>
  <si>
    <t xml:space="preserve">AAACCCCGATGTTGTTCGATGGCG</t>
  </si>
  <si>
    <t xml:space="preserve">PSPPH_3990</t>
  </si>
  <si>
    <t xml:space="preserve">TGCCAGGGATTATCTCAGAT</t>
  </si>
  <si>
    <t xml:space="preserve">TAGTTGCCAGGGATTATCTCAGAT</t>
  </si>
  <si>
    <t xml:space="preserve">AAACATCTGAGATAATCCCTGGCA</t>
  </si>
  <si>
    <t xml:space="preserve">AGCTGCCGGAGACTACGACT</t>
  </si>
  <si>
    <t xml:space="preserve">TAGTAGCTGCCGGAGACTACGACT</t>
  </si>
  <si>
    <t xml:space="preserve">AAACAGTCGTAGTCTCCGGCAGCT</t>
  </si>
  <si>
    <t xml:space="preserve">TTGGCGGCTTACAGCTGACG</t>
  </si>
  <si>
    <t xml:space="preserve">TAGTTTGGCGGCTTACAGCTGACG</t>
  </si>
  <si>
    <t xml:space="preserve">AAACCGTCAGCTGTAAGCCGCCAA</t>
  </si>
  <si>
    <t xml:space="preserve">CGTTCAAGATCCGCTCCAGC</t>
  </si>
  <si>
    <t xml:space="preserve">TAGTCGTTCAAGATCCGCTCCAGC</t>
  </si>
  <si>
    <t xml:space="preserve">AAACGCTGGAGCGGATCTTGAACG</t>
  </si>
  <si>
    <t xml:space="preserve">PSPPH_3992</t>
  </si>
  <si>
    <t xml:space="preserve">pnlA</t>
  </si>
  <si>
    <t xml:space="preserve">ATTGCGCACCCGACAGCATC</t>
  </si>
  <si>
    <t xml:space="preserve">TAGTATTGCGCACCCGACAGCATC</t>
  </si>
  <si>
    <t xml:space="preserve">AAACGATGCTGTCGGGTGCGCAAT</t>
  </si>
  <si>
    <t xml:space="preserve">CCGGCAAGTCCGCTGCCTCC</t>
  </si>
  <si>
    <t xml:space="preserve">TAGTCCGGCAAGTCCGCTGCCTCC</t>
  </si>
  <si>
    <t xml:space="preserve">AAACGGAGGCAGCGGACTTGCCGG</t>
  </si>
  <si>
    <t xml:space="preserve">TCCGCCACCCGTAACCCCTT</t>
  </si>
  <si>
    <t xml:space="preserve">TAGTTCCGCCACCCGTAACCCCTT</t>
  </si>
  <si>
    <t xml:space="preserve">AAACAAGGGGTTACGGGTGGCGGA</t>
  </si>
  <si>
    <t xml:space="preserve">TGAAGGGTGTACTGCCGCGG</t>
  </si>
  <si>
    <t xml:space="preserve">TAGTTGAAGGGTGTACTGCCGCGG</t>
  </si>
  <si>
    <t xml:space="preserve">AAACCCGCGGCAGTACACCCTTCA</t>
  </si>
  <si>
    <t xml:space="preserve">PSPPH_3993</t>
  </si>
  <si>
    <t xml:space="preserve">TTCCGGGCCGAAAGTGTGTA</t>
  </si>
  <si>
    <t xml:space="preserve">TAGTTTCCGGGCCGAAAGTGTGTA</t>
  </si>
  <si>
    <t xml:space="preserve">AAACTACACACTTTCGGCCCGGAA</t>
  </si>
  <si>
    <t xml:space="preserve">TCCGCAGGATCAAAGTAACG</t>
  </si>
  <si>
    <t xml:space="preserve">TAGTTCCGCAGGATCAAAGTAACG</t>
  </si>
  <si>
    <t xml:space="preserve">AAACCGTTACTTTGATCCTGCGGA</t>
  </si>
  <si>
    <t xml:space="preserve">CAACGGTGCCATCAGGAAGC</t>
  </si>
  <si>
    <t xml:space="preserve">TAGTCAACGGTGCCATCAGGAAGC</t>
  </si>
  <si>
    <t xml:space="preserve">AAACGCTTCCTGATGGCACCGTTG</t>
  </si>
  <si>
    <t xml:space="preserve">CTGACGGGTCTGACAGCACG</t>
  </si>
  <si>
    <t xml:space="preserve">TAGTCTGACGGGTCTGACAGCACG</t>
  </si>
  <si>
    <t xml:space="preserve">AAACCGTGCTGTCAGACCCGTCAG</t>
  </si>
  <si>
    <t xml:space="preserve">PSPPH_3994</t>
  </si>
  <si>
    <t xml:space="preserve">adhB</t>
  </si>
  <si>
    <t xml:space="preserve">GTTCACTGCGGGGATGAAAA</t>
  </si>
  <si>
    <t xml:space="preserve">TAGTGTTCACTGCGGGGATGAAAA</t>
  </si>
  <si>
    <t xml:space="preserve">AAACTTTTCATCCCCGCAGTGAAC</t>
  </si>
  <si>
    <t xml:space="preserve">GTATTTGCGAATGGCGAGCA</t>
  </si>
  <si>
    <t xml:space="preserve">TAGTGTATTTGCGAATGGCGAGCA</t>
  </si>
  <si>
    <t xml:space="preserve">AAACTGCTCGCCATTCGCAAATAC</t>
  </si>
  <si>
    <t xml:space="preserve">GGCCTTGGCCAGCCCTGCGT</t>
  </si>
  <si>
    <t xml:space="preserve">TAGTGGCCTTGGCCAGCCCTGCGT</t>
  </si>
  <si>
    <t xml:space="preserve">AAACACGCAGGGCTGGCCAAGGCC</t>
  </si>
  <si>
    <t xml:space="preserve">CGCGACCTGACTGGCCACAC</t>
  </si>
  <si>
    <t xml:space="preserve">TAGTCGCGACCTGACTGGCCACAC</t>
  </si>
  <si>
    <t xml:space="preserve">AAACGTGTGGCCAGTCAGGTCGCG</t>
  </si>
  <si>
    <t xml:space="preserve">PSPPH_3995</t>
  </si>
  <si>
    <t xml:space="preserve">CGCAGTGTTGGATGACGTGG</t>
  </si>
  <si>
    <t xml:space="preserve">TAGTCGCAGTGTTGGATGACGTGG</t>
  </si>
  <si>
    <t xml:space="preserve">AAACCCACGTCATCCAACACTGCG</t>
  </si>
  <si>
    <t xml:space="preserve">GAGAAACTGCGCGCGGTGAT</t>
  </si>
  <si>
    <t xml:space="preserve">TAGTGAGAAACTGCGCGCGGTGAT</t>
  </si>
  <si>
    <t xml:space="preserve">AAACATCACCGCGCGCAGTTTCTC</t>
  </si>
  <si>
    <t xml:space="preserve">GCGACAGGCTGGTGTCCAGC</t>
  </si>
  <si>
    <t xml:space="preserve">TAGTGCGACAGGCTGGTGTCCAGC</t>
  </si>
  <si>
    <t xml:space="preserve">AAACGCTGGACACCAGCCTGTCGC</t>
  </si>
  <si>
    <t xml:space="preserve">GGCCTCGCTGCCCACGTATT</t>
  </si>
  <si>
    <t xml:space="preserve">TAGTGGCCTCGCTGCCCACGTATT</t>
  </si>
  <si>
    <t xml:space="preserve">AAACAATACGTGGGCAGCGAGGCC</t>
  </si>
  <si>
    <t xml:space="preserve">PSPPH_3996</t>
  </si>
  <si>
    <t xml:space="preserve">ATGACGCTCAAGTACTCTAC</t>
  </si>
  <si>
    <t xml:space="preserve">TAGTATGACGCTCAAGTACTCTAC</t>
  </si>
  <si>
    <t xml:space="preserve">AAACGTAGAGTACTTGAGCGTCAT</t>
  </si>
  <si>
    <t xml:space="preserve">TCAGAATAAGTGCCGCGCTC</t>
  </si>
  <si>
    <t xml:space="preserve">TAGTTCAGAATAAGTGCCGCGCTC</t>
  </si>
  <si>
    <t xml:space="preserve">AAACGAGCGCGGCACTTATTCTGA</t>
  </si>
  <si>
    <t xml:space="preserve">AAGACTGAGGATGTCTTCCC</t>
  </si>
  <si>
    <t xml:space="preserve">TAGTAAGACTGAGGATGTCTTCCC</t>
  </si>
  <si>
    <t xml:space="preserve">AAACGGGAAGACATCCTCAGTCTT</t>
  </si>
  <si>
    <t xml:space="preserve">AAGCGAGGTGGGAATGTTCA</t>
  </si>
  <si>
    <t xml:space="preserve">TAGTAAGCGAGGTGGGAATGTTCA</t>
  </si>
  <si>
    <t xml:space="preserve">AAACTGAACATTCCCACCTCGCTT</t>
  </si>
  <si>
    <t xml:space="preserve">PSPPH_3998</t>
  </si>
  <si>
    <t xml:space="preserve">CTCGACGCGATCAATCGCTT</t>
  </si>
  <si>
    <t xml:space="preserve">TAGTCTCGACGCGATCAATCGCTT</t>
  </si>
  <si>
    <t xml:space="preserve">AAACAAGCGATTGATCGCGTCGAG</t>
  </si>
  <si>
    <t xml:space="preserve">TACCGTAACCAGTTCGGCAT</t>
  </si>
  <si>
    <t xml:space="preserve">TAGTTACCGTAACCAGTTCGGCAT</t>
  </si>
  <si>
    <t xml:space="preserve">AAACATGCCGAACTGGTTACGGTA</t>
  </si>
  <si>
    <t xml:space="preserve">CGGCATGTACGCGTAGTCGT</t>
  </si>
  <si>
    <t xml:space="preserve">TAGTCGGCATGTACGCGTAGTCGT</t>
  </si>
  <si>
    <t xml:space="preserve">AAACACGACTACGCGTACATGCCG</t>
  </si>
  <si>
    <t xml:space="preserve">ATCAACCCGGCCCAGATCAG</t>
  </si>
  <si>
    <t xml:space="preserve">TAGTATCAACCCGGCCCAGATCAG</t>
  </si>
  <si>
    <t xml:space="preserve">AAACCTGATCTGGGCCGGGTTGAT</t>
  </si>
  <si>
    <t xml:space="preserve">PSPPH_3999</t>
  </si>
  <si>
    <t xml:space="preserve">CAGCGCGGTTGGCTCCGCCT</t>
  </si>
  <si>
    <t xml:space="preserve">TAGTCAGCGCGGTTGGCTCCGCCT</t>
  </si>
  <si>
    <t xml:space="preserve">AAACAGGCGGAGCCAACCGCGCTG</t>
  </si>
  <si>
    <t xml:space="preserve">ACCACACTGCCGGTCATTGG</t>
  </si>
  <si>
    <t xml:space="preserve">TAGTACCACACTGCCGGTCATTGG</t>
  </si>
  <si>
    <t xml:space="preserve">AAACCCAATGACCGGCAGTGTGGT</t>
  </si>
  <si>
    <t xml:space="preserve">TGGCCAGACGAACTGTGGTC</t>
  </si>
  <si>
    <t xml:space="preserve">TAGTTGGCCAGACGAACTGTGGTC</t>
  </si>
  <si>
    <t xml:space="preserve">AAACGACCACAGTTCGTCTGGCCA</t>
  </si>
  <si>
    <t xml:space="preserve">CTCGTGGGCACGCAGAAGTC</t>
  </si>
  <si>
    <t xml:space="preserve">TAGTCTCGTGGGCACGCAGAAGTC</t>
  </si>
  <si>
    <t xml:space="preserve">AAACGACTTCTGCGTGCCCACGAG</t>
  </si>
  <si>
    <t xml:space="preserve">PSPPH_4000</t>
  </si>
  <si>
    <t xml:space="preserve">bglX</t>
  </si>
  <si>
    <t xml:space="preserve">TTGGGCCATCACCGACTGAC</t>
  </si>
  <si>
    <t xml:space="preserve">TAGTTTGGGCCATCACCGACTGAC</t>
  </si>
  <si>
    <t xml:space="preserve">AAACGTCAGTCGGTGATGGCCCAA</t>
  </si>
  <si>
    <t xml:space="preserve">AAGCGTTGTATTGTCCGTGG</t>
  </si>
  <si>
    <t xml:space="preserve">TAGTAAGCGTTGTATTGTCCGTGG</t>
  </si>
  <si>
    <t xml:space="preserve">AAACCCACGGACAATACAACGCTT</t>
  </si>
  <si>
    <t xml:space="preserve">TTTGCCGATGAAGGCATTCT</t>
  </si>
  <si>
    <t xml:space="preserve">TAGTTTTGCCGATGAAGGCATTCT</t>
  </si>
  <si>
    <t xml:space="preserve">AAACAGAATGCCTTCATCGGCAAA</t>
  </si>
  <si>
    <t xml:space="preserve">CTGGCCGATCTTTTCGTCCA</t>
  </si>
  <si>
    <t xml:space="preserve">TAGTCTGGCCGATCTTTTCGTCCA</t>
  </si>
  <si>
    <t xml:space="preserve">AAACTGGACGAAAAGATCGGCCAG</t>
  </si>
  <si>
    <t xml:space="preserve">PSPPH_4001</t>
  </si>
  <si>
    <t xml:space="preserve">CATAATCAGCAGCATGTTTA</t>
  </si>
  <si>
    <t xml:space="preserve">TAGTCATAATCAGCAGCATGTTTA</t>
  </si>
  <si>
    <t xml:space="preserve">AAACTAAACATGCTGCTGATTATG</t>
  </si>
  <si>
    <t xml:space="preserve">CCCGGCGCACAGCACCGCAC</t>
  </si>
  <si>
    <t xml:space="preserve">TAGTCCCGGCGCACAGCACCGCAC</t>
  </si>
  <si>
    <t xml:space="preserve">AAACGTGCGGTGCTGTGCGCCGGG</t>
  </si>
  <si>
    <t xml:space="preserve">TTCTGATAGCGCGTGACGCT</t>
  </si>
  <si>
    <t xml:space="preserve">TAGTTTCTGATAGCGCGTGACGCT</t>
  </si>
  <si>
    <t xml:space="preserve">AAACAGCGTCACGCGCTATCAGAA</t>
  </si>
  <si>
    <t xml:space="preserve">ATACAATGCCAATTGCCCTT</t>
  </si>
  <si>
    <t xml:space="preserve">TAGTATACAATGCCAATTGCCCTT</t>
  </si>
  <si>
    <t xml:space="preserve">AAACAAGGGCAATTGGCATTGTAT</t>
  </si>
  <si>
    <t xml:space="preserve">PSPPH_4002</t>
  </si>
  <si>
    <t xml:space="preserve">TGCTCGACGGCTTGCCGAAT</t>
  </si>
  <si>
    <t xml:space="preserve">TAGTTGCTCGACGGCTTGCCGAAT</t>
  </si>
  <si>
    <t xml:space="preserve">AAACATTCGGCAAGCCGTCGAGCA</t>
  </si>
  <si>
    <t xml:space="preserve">TGCCAGGCATTCCTCGGCAC</t>
  </si>
  <si>
    <t xml:space="preserve">TAGTTGCCAGGCATTCCTCGGCAC</t>
  </si>
  <si>
    <t xml:space="preserve">AAACGTGCCGAGGAATGCCTGGCA</t>
  </si>
  <si>
    <t xml:space="preserve">ACCACACCGGGGAAATGTTC</t>
  </si>
  <si>
    <t xml:space="preserve">TAGTACCACACCGGGGAAATGTTC</t>
  </si>
  <si>
    <t xml:space="preserve">AAACGAACATTTCCCCGGTGTGGT</t>
  </si>
  <si>
    <t xml:space="preserve">CATGCCCGGCATGCGGACGT</t>
  </si>
  <si>
    <t xml:space="preserve">TAGTCATGCCCGGCATGCGGACGT</t>
  </si>
  <si>
    <t xml:space="preserve">AAACACGTCCGCATGCCGGGCATG</t>
  </si>
  <si>
    <t xml:space="preserve">PSPPH_4003</t>
  </si>
  <si>
    <t xml:space="preserve">AGTCTGTCTCTCGGATAAGC</t>
  </si>
  <si>
    <t xml:space="preserve">TAGTAGTCTGTCTCTCGGATAAGC</t>
  </si>
  <si>
    <t xml:space="preserve">AAACGCTTATCCGAGAGACAGACT</t>
  </si>
  <si>
    <t xml:space="preserve">GCTGCAGGCCATGCTTGCTT</t>
  </si>
  <si>
    <t xml:space="preserve">TAGTGCTGCAGGCCATGCTTGCTT</t>
  </si>
  <si>
    <t xml:space="preserve">AAACAAGCAAGCATGGCCTGCAGC</t>
  </si>
  <si>
    <t xml:space="preserve">TGTCAGGGCAACTGAGCATC</t>
  </si>
  <si>
    <t xml:space="preserve">TAGTTGTCAGGGCAACTGAGCATC</t>
  </si>
  <si>
    <t xml:space="preserve">AAACGATGCTCAGTTGCCCTGACA</t>
  </si>
  <si>
    <t xml:space="preserve">CAAAGTCCGTCCCCCAAAGC</t>
  </si>
  <si>
    <t xml:space="preserve">TAGTCAAAGTCCGTCCCCCAAAGC</t>
  </si>
  <si>
    <t xml:space="preserve">AAACGCTTTGGGGGACGGACTTTG</t>
  </si>
  <si>
    <t xml:space="preserve">PSPPH_4004</t>
  </si>
  <si>
    <t xml:space="preserve">hscC</t>
  </si>
  <si>
    <t xml:space="preserve">CCAGACAGCCACCAGGCTGT</t>
  </si>
  <si>
    <t xml:space="preserve">TAGTCCAGACAGCCACCAGGCTGT</t>
  </si>
  <si>
    <t xml:space="preserve">AAACACAGCCTGGTGGCTGTCTGG</t>
  </si>
  <si>
    <t xml:space="preserve">CAGCGTCTCTCCCAACGCAT</t>
  </si>
  <si>
    <t xml:space="preserve">TAGTCAGCGTCTCTCCCAACGCAT</t>
  </si>
  <si>
    <t xml:space="preserve">AAACATGCGTTGGGAGAGACGCTG</t>
  </si>
  <si>
    <t xml:space="preserve">TCGTCCAGTCCGACAACGCT</t>
  </si>
  <si>
    <t xml:space="preserve">TAGTTCGTCCAGTCCGACAACGCT</t>
  </si>
  <si>
    <t xml:space="preserve">AAACAGCGTTGTCGGACTGGACGA</t>
  </si>
  <si>
    <t xml:space="preserve">ACAGCGCCGTGGTTTTTTCC</t>
  </si>
  <si>
    <t xml:space="preserve">TAGTACAGCGCCGTGGTTTTTTCC</t>
  </si>
  <si>
    <t xml:space="preserve">AAACGGAAAAAACCACGGCGCTGT</t>
  </si>
  <si>
    <t xml:space="preserve">PSPPH_4005</t>
  </si>
  <si>
    <t xml:space="preserve">TGCTGCGCTCGTCGGCATCA</t>
  </si>
  <si>
    <t xml:space="preserve">TAGTTGCTGCGCTCGTCGGCATCA</t>
  </si>
  <si>
    <t xml:space="preserve">AAACTGATGCCGACGAGCGCAGCA</t>
  </si>
  <si>
    <t xml:space="preserve">TTTTCAACAGCCTGGCGTAT</t>
  </si>
  <si>
    <t xml:space="preserve">TAGTTTTTCAACAGCCTGGCGTAT</t>
  </si>
  <si>
    <t xml:space="preserve">AAACATACGCCAGGCTGTTGAAAA</t>
  </si>
  <si>
    <t xml:space="preserve">CGGGTCGTCGTCGGGACGCG</t>
  </si>
  <si>
    <t xml:space="preserve">TAGTCGGGTCGTCGTCGGGACGCG</t>
  </si>
  <si>
    <t xml:space="preserve">AAACCGCGTCCCGACGACGACCCG</t>
  </si>
  <si>
    <t xml:space="preserve">CGCAGCGCCTGAAAGGCAGC</t>
  </si>
  <si>
    <t xml:space="preserve">TAGTCGCAGCGCCTGAAAGGCAGC</t>
  </si>
  <si>
    <t xml:space="preserve">AAACGCTGCCTTTCAGGCGCTGCG</t>
  </si>
  <si>
    <t xml:space="preserve">PSPPH_4007</t>
  </si>
  <si>
    <t xml:space="preserve">CAGGCCGAAGATCAATTTAG</t>
  </si>
  <si>
    <t xml:space="preserve">TAGTCAGGCCGAAGATCAATTTAG</t>
  </si>
  <si>
    <t xml:space="preserve">AAACCTAAATTGATCTTCGGCCTG</t>
  </si>
  <si>
    <t xml:space="preserve">AGTTGTGACTGGAAGTGCAA</t>
  </si>
  <si>
    <t xml:space="preserve">TAGTAGTTGTGACTGGAAGTGCAA</t>
  </si>
  <si>
    <t xml:space="preserve">AAACTTGCACTTCCAGTCACAACT</t>
  </si>
  <si>
    <t xml:space="preserve">TTCAGCAACGATGGTCGAGC</t>
  </si>
  <si>
    <t xml:space="preserve">TAGTTTCAGCAACGATGGTCGAGC</t>
  </si>
  <si>
    <t xml:space="preserve">AAACGCTCGACCATCGTTGCTGAA</t>
  </si>
  <si>
    <t xml:space="preserve">TGAACCGACGTTAGTGTGTT</t>
  </si>
  <si>
    <t xml:space="preserve">TAGTTGAACCGACGTTAGTGTGTT</t>
  </si>
  <si>
    <t xml:space="preserve">AAACAACACACTAACGTCGGTTCA</t>
  </si>
  <si>
    <t xml:space="preserve">PSPPH_4008</t>
  </si>
  <si>
    <t xml:space="preserve">GTGACCCTTGGACGGCTCGT</t>
  </si>
  <si>
    <t xml:space="preserve">TAGTGTGACCCTTGGACGGCTCGT</t>
  </si>
  <si>
    <t xml:space="preserve">AAACACGAGCCGTCCAAGGGTCAC</t>
  </si>
  <si>
    <t xml:space="preserve">CGTTGAACGGGTCATGCGGC</t>
  </si>
  <si>
    <t xml:space="preserve">TAGTCGTTGAACGGGTCATGCGGC</t>
  </si>
  <si>
    <t xml:space="preserve">AAACGCCGCATGACCCGTTCAACG</t>
  </si>
  <si>
    <t xml:space="preserve">AAATCCAGCCGATCGGGCGT</t>
  </si>
  <si>
    <t xml:space="preserve">TAGTAAATCCAGCCGATCGGGCGT</t>
  </si>
  <si>
    <t xml:space="preserve">AAACACGCCCGATCGGCTGGATTT</t>
  </si>
  <si>
    <t xml:space="preserve">TGCGAGATTCAATTTGCCGT</t>
  </si>
  <si>
    <t xml:space="preserve">TAGTTGCGAGATTCAATTTGCCGT</t>
  </si>
  <si>
    <t xml:space="preserve">AAACACGGCAAATTGAATCTCGCA</t>
  </si>
  <si>
    <t xml:space="preserve">PSPPH_4009</t>
  </si>
  <si>
    <t xml:space="preserve">GCGTTGTACCCCTGCTCGGC</t>
  </si>
  <si>
    <t xml:space="preserve">TAGTGCGTTGTACCCCTGCTCGGC</t>
  </si>
  <si>
    <t xml:space="preserve">AAACGCCGAGCAGGGGTACAACGC</t>
  </si>
  <si>
    <t xml:space="preserve">ATGAAAGCGCGGCGCTCCGC</t>
  </si>
  <si>
    <t xml:space="preserve">TAGTATGAAAGCGCGGCGCTCCGC</t>
  </si>
  <si>
    <t xml:space="preserve">AAACGCGGAGCGCCGCGCTTTCAT</t>
  </si>
  <si>
    <t xml:space="preserve">GCGGTCTTGAATTTCTGGTC</t>
  </si>
  <si>
    <t xml:space="preserve">TAGTGCGGTCTTGAATTTCTGGTC</t>
  </si>
  <si>
    <t xml:space="preserve">AAACGACCAGAAATTCAAGACCGC</t>
  </si>
  <si>
    <t xml:space="preserve">AGCAGCCAGGTCGGCATCAT</t>
  </si>
  <si>
    <t xml:space="preserve">TAGTAGCAGCCAGGTCGGCATCAT</t>
  </si>
  <si>
    <t xml:space="preserve">AAACATGATGCCGACCTGGCTGCT</t>
  </si>
  <si>
    <t xml:space="preserve">PSPPH_4010</t>
  </si>
  <si>
    <t xml:space="preserve">CGTTTGAGTAAGACTGGTCA</t>
  </si>
  <si>
    <t xml:space="preserve">TAGTCGTTTGAGTAAGACTGGTCA</t>
  </si>
  <si>
    <t xml:space="preserve">AAACTGACCAGTCTTACTCAAACG</t>
  </si>
  <si>
    <t xml:space="preserve">AGAATGCTGCGAATGGCCGG</t>
  </si>
  <si>
    <t xml:space="preserve">TAGTAGAATGCTGCGAATGGCCGG</t>
  </si>
  <si>
    <t xml:space="preserve">AAACCCGGCCATTCGCAGCATTCT</t>
  </si>
  <si>
    <t xml:space="preserve">AGGCATCGAAACAGCAACGA</t>
  </si>
  <si>
    <t xml:space="preserve">TAGTAGGCATCGAAACAGCAACGA</t>
  </si>
  <si>
    <t xml:space="preserve">AAACTCGTTGCTGTTTCGATGCCT</t>
  </si>
  <si>
    <t xml:space="preserve">CTGAACTGGGCGGAAATGGC</t>
  </si>
  <si>
    <t xml:space="preserve">TAGTCTGAACTGGGCGGAAATGGC</t>
  </si>
  <si>
    <t xml:space="preserve">AAACGCCATTTCCGCCCAGTTCAG</t>
  </si>
  <si>
    <t xml:space="preserve">PSPPH_4011</t>
  </si>
  <si>
    <t xml:space="preserve">TTCGGATTGCTGCGCGACTC</t>
  </si>
  <si>
    <t xml:space="preserve">TAGTTTCGGATTGCTGCGCGACTC</t>
  </si>
  <si>
    <t xml:space="preserve">AAACGAGTCGCGCAGCAATCCGAA</t>
  </si>
  <si>
    <t xml:space="preserve">CGTCCCCAATTCAGAATCCA</t>
  </si>
  <si>
    <t xml:space="preserve">TAGTCGTCCCCAATTCAGAATCCA</t>
  </si>
  <si>
    <t xml:space="preserve">AAACTGGATTCTGAATTGGGGACG</t>
  </si>
  <si>
    <t xml:space="preserve">ATCAACCCAAGTCGAATGAC</t>
  </si>
  <si>
    <t xml:space="preserve">TAGTATCAACCCAAGTCGAATGAC</t>
  </si>
  <si>
    <t xml:space="preserve">AAACGTCATTCGACTTGGGTTGAT</t>
  </si>
  <si>
    <t xml:space="preserve">GCCATTGCGGAAATACAGCG</t>
  </si>
  <si>
    <t xml:space="preserve">TAGTGCCATTGCGGAAATACAGCG</t>
  </si>
  <si>
    <t xml:space="preserve">AAACCGCTGTATTTCCGCAATGGC</t>
  </si>
  <si>
    <t xml:space="preserve">PSPPH_4012</t>
  </si>
  <si>
    <t xml:space="preserve">ttgR</t>
  </si>
  <si>
    <t xml:space="preserve">CTCTTTGGTGCGACGAACCA</t>
  </si>
  <si>
    <t xml:space="preserve">TAGTCTCTTTGGTGCGACGAACCA</t>
  </si>
  <si>
    <t xml:space="preserve">AAACTGGTTCGTCGCACCAAAGAG</t>
  </si>
  <si>
    <t xml:space="preserve">GCTCGGCAGCCTCCAGAATC</t>
  </si>
  <si>
    <t xml:space="preserve">TAGTGCTCGGCAGCCTCCAGAATC</t>
  </si>
  <si>
    <t xml:space="preserve">AAACGATTCTGGAGGCTGCCGAGC</t>
  </si>
  <si>
    <t xml:space="preserve">GATGTCAGCCAGCGTGGTGC</t>
  </si>
  <si>
    <t xml:space="preserve">TAGTGATGTCAGCCAGCGTGGTGC</t>
  </si>
  <si>
    <t xml:space="preserve">AAACGCACCACGCTGGCTGACATC</t>
  </si>
  <si>
    <t xml:space="preserve">TCCTCGCGTCACACCAGCAA</t>
  </si>
  <si>
    <t xml:space="preserve">TAGTTCCTCGCGTCACACCAGCAA</t>
  </si>
  <si>
    <t xml:space="preserve">AAACTTGCTGGTGTGACGCGAGGA</t>
  </si>
  <si>
    <t xml:space="preserve">PSPPH_4013</t>
  </si>
  <si>
    <t xml:space="preserve">TGCATGAAGATCCTCGGGGC</t>
  </si>
  <si>
    <t xml:space="preserve">TAGTTGCATGAAGATCCTCGGGGC</t>
  </si>
  <si>
    <t xml:space="preserve">AAACGCCCCGAGGATCTTCATGCA</t>
  </si>
  <si>
    <t xml:space="preserve">GTGACCAGAACGGTAACAGC</t>
  </si>
  <si>
    <t xml:space="preserve">TAGTGTGACCAGAACGGTAACAGC</t>
  </si>
  <si>
    <t xml:space="preserve">AAACGCTGTTACCGTTCTGGTCAC</t>
  </si>
  <si>
    <t xml:space="preserve">GAGCAGGGTTGCCAGGGCGA</t>
  </si>
  <si>
    <t xml:space="preserve">TAGTGAGCAGGGTTGCCAGGGCGA</t>
  </si>
  <si>
    <t xml:space="preserve">AAACTCGCCCTGGCAACCCTGCTC</t>
  </si>
  <si>
    <t xml:space="preserve">CTGAGGGGTTTGCGCAGGCG</t>
  </si>
  <si>
    <t xml:space="preserve">TAGTCTGAGGGGTTTGCGCAGGCG</t>
  </si>
  <si>
    <t xml:space="preserve">AAACCGCCTGCGCAAACCCCTCAG</t>
  </si>
  <si>
    <t xml:space="preserve">PSPPH_4014</t>
  </si>
  <si>
    <t xml:space="preserve">TCAATAAAGAATTTCGACAT</t>
  </si>
  <si>
    <t xml:space="preserve">TAGTTCAATAAAGAATTTCGACAT</t>
  </si>
  <si>
    <t xml:space="preserve">AAACATGTCGAAATTCTTTATTGA</t>
  </si>
  <si>
    <t xml:space="preserve">GCAATAACCCAGGCAAAAAT</t>
  </si>
  <si>
    <t xml:space="preserve">TAGTGCAATAACCCAGGCAAAAAT</t>
  </si>
  <si>
    <t xml:space="preserve">AAACATTTTTGCCTGGGTTATTGC</t>
  </si>
  <si>
    <t xml:space="preserve">ACCGACCAGCATGATCACGA</t>
  </si>
  <si>
    <t xml:space="preserve">TAGTACCGACCAGCATGATCACGA</t>
  </si>
  <si>
    <t xml:space="preserve">AAACTCGTGATCATGCTGGTCGGT</t>
  </si>
  <si>
    <t xml:space="preserve">GTACTGGTTGATCGGCAGGC</t>
  </si>
  <si>
    <t xml:space="preserve">TAGTGTACTGGTTGATCGGCAGGC</t>
  </si>
  <si>
    <t xml:space="preserve">AAACGCCTGCCGATCAACCAGTAC</t>
  </si>
  <si>
    <t xml:space="preserve">PSPPH_4015</t>
  </si>
  <si>
    <t xml:space="preserve">GCAGCCGCCGAGAATGAACG</t>
  </si>
  <si>
    <t xml:space="preserve">TAGTGCAGCCGCCGAGAATGAACG</t>
  </si>
  <si>
    <t xml:space="preserve">AAACCGTTCATTCTCGGCGGCTGC</t>
  </si>
  <si>
    <t xml:space="preserve">CTTCCGGCTGCTTGTACTCG</t>
  </si>
  <si>
    <t xml:space="preserve">TAGTCTTCCGGCTGCTTGTACTCG</t>
  </si>
  <si>
    <t xml:space="preserve">AAACCGAGTACAAGCAGCCGGAAG</t>
  </si>
  <si>
    <t xml:space="preserve">TGCGGGTATTGAGCGGCGAC</t>
  </si>
  <si>
    <t xml:space="preserve">TAGTTGCGGGTATTGAGCGGCGAC</t>
  </si>
  <si>
    <t xml:space="preserve">AAACGTCGCCGCTCAATACCCGCA</t>
  </si>
  <si>
    <t xml:space="preserve">CCTTCGACCGGCGAGTACGC</t>
  </si>
  <si>
    <t xml:space="preserve">TAGTCCTTCGACCGGCGAGTACGC</t>
  </si>
  <si>
    <t xml:space="preserve">AAACGCGTACTCGCCGGTCGAAGG</t>
  </si>
  <si>
    <t xml:space="preserve">PSPPH_4016</t>
  </si>
  <si>
    <t xml:space="preserve">pcaT</t>
  </si>
  <si>
    <t xml:space="preserve">CGCTCCTCGCCGGTGTAATG</t>
  </si>
  <si>
    <t xml:space="preserve">TAGTCGCTCCTCGCCGGTGTAATG</t>
  </si>
  <si>
    <t xml:space="preserve">AAACCATTACACCGGCGAGGAGCG</t>
  </si>
  <si>
    <t xml:space="preserve">GCCGGATGAAGCACCGACAA</t>
  </si>
  <si>
    <t xml:space="preserve">TAGTGCCGGATGAAGCACCGACAA</t>
  </si>
  <si>
    <t xml:space="preserve">AAACTTGTCGGTGCTTCATCCGGC</t>
  </si>
  <si>
    <t xml:space="preserve">AAAAGTCGAACCATTCGACC</t>
  </si>
  <si>
    <t xml:space="preserve">TAGTAAAAGTCGAACCATTCGACC</t>
  </si>
  <si>
    <t xml:space="preserve">AAACGGTCGAATGGTTCGACTTTT</t>
  </si>
  <si>
    <t xml:space="preserve">TGCGAAATAGATCGCGCAGA</t>
  </si>
  <si>
    <t xml:space="preserve">TAGTTGCGAAATAGATCGCGCAGA</t>
  </si>
  <si>
    <t xml:space="preserve">AAACTCTGCGCGATCTATTTCGCA</t>
  </si>
  <si>
    <t xml:space="preserve">PSPPH_4017</t>
  </si>
  <si>
    <t xml:space="preserve">pcaF</t>
  </si>
  <si>
    <t xml:space="preserve">CCCCCGCCAAAGCGACCGAT</t>
  </si>
  <si>
    <t xml:space="preserve">TAGTCCCCCGCCAAAGCGACCGAT</t>
  </si>
  <si>
    <t xml:space="preserve">AAACATCGGTCGCTTTGGCGGGGG</t>
  </si>
  <si>
    <t xml:space="preserve">CGGCACAGCGGCCAGGTCGT</t>
  </si>
  <si>
    <t xml:space="preserve">TAGTCGGCACAGCGGCCAGGTCGT</t>
  </si>
  <si>
    <t xml:space="preserve">AAACACGACCTGGCCGCTGTGCCG</t>
  </si>
  <si>
    <t xml:space="preserve">TCTCCTCCCAGTTGACCGAT</t>
  </si>
  <si>
    <t xml:space="preserve">TAGTTCTCCTCCCAGTTGACCGAT</t>
  </si>
  <si>
    <t xml:space="preserve">AAACATCGGTCAACTGGGAGGAGA</t>
  </si>
  <si>
    <t xml:space="preserve">GTTGTCCTCACCGGCCTGGT</t>
  </si>
  <si>
    <t xml:space="preserve">TAGTGTTGTCCTCACCGGCCTGGT</t>
  </si>
  <si>
    <t xml:space="preserve">AAACACCAGGCCGGTGAGGACAAC</t>
  </si>
  <si>
    <t xml:space="preserve">PSPPH_4018</t>
  </si>
  <si>
    <t xml:space="preserve">catJ</t>
  </si>
  <si>
    <t xml:space="preserve">AACGGTCATCATTTCACTGG</t>
  </si>
  <si>
    <t xml:space="preserve">TAGTAACGGTCATCATTTCACTGG</t>
  </si>
  <si>
    <t xml:space="preserve">AAACCCAGTGAAATGATGACCGTT</t>
  </si>
  <si>
    <t xml:space="preserve">CGAGCCATTACGCAGACGAC</t>
  </si>
  <si>
    <t xml:space="preserve">TAGTCGAGCCATTACGCAGACGAC</t>
  </si>
  <si>
    <t xml:space="preserve">AAACGTCGTCTGCGTAATGGCTCG</t>
  </si>
  <si>
    <t xml:space="preserve">GCCAGGTTCGCAGCCTTGGA</t>
  </si>
  <si>
    <t xml:space="preserve">TAGTGCCAGGTTCGCAGCCTTGGA</t>
  </si>
  <si>
    <t xml:space="preserve">AAACTCCAAGGCTGCGAACCTGGC</t>
  </si>
  <si>
    <t xml:space="preserve">TCGTAGATCAGCACCACGTC</t>
  </si>
  <si>
    <t xml:space="preserve">TAGTTCGTAGATCAGCACCACGTC</t>
  </si>
  <si>
    <t xml:space="preserve">AAACGACGTGGTGCTGATCTACGA</t>
  </si>
  <si>
    <t xml:space="preserve">PSPPH_4019</t>
  </si>
  <si>
    <t xml:space="preserve">catI</t>
  </si>
  <si>
    <t xml:space="preserve">TTTCATGACCAGCGGCCGTG</t>
  </si>
  <si>
    <t xml:space="preserve">TAGTTTTCATGACCAGCGGCCGTG</t>
  </si>
  <si>
    <t xml:space="preserve">AAACCACGGCCGCTGGTCATGAAA</t>
  </si>
  <si>
    <t xml:space="preserve">TCAGGTCTTTTTTACCCTGA</t>
  </si>
  <si>
    <t xml:space="preserve">TAGTTCAGGTCTTTTTTACCCTGA</t>
  </si>
  <si>
    <t xml:space="preserve">AAACTCAGGGTAAAAAAGACCTGA</t>
  </si>
  <si>
    <t xml:space="preserve">GTCGGGCGTCATGCGCACAA</t>
  </si>
  <si>
    <t xml:space="preserve">TAGTGTCGGGCGTCATGCGCACAA</t>
  </si>
  <si>
    <t xml:space="preserve">AAACTTGTGCGCATGACGCCCGAC</t>
  </si>
  <si>
    <t xml:space="preserve">CGATCAACTGGTCGTAGATC</t>
  </si>
  <si>
    <t xml:space="preserve">TAGTCGATCAACTGGTCGTAGATC</t>
  </si>
  <si>
    <t xml:space="preserve">AAACGATCTACGACCAGTTGATCG</t>
  </si>
  <si>
    <t xml:space="preserve">PSPPH_4020</t>
  </si>
  <si>
    <t xml:space="preserve">pcaR</t>
  </si>
  <si>
    <t xml:space="preserve">CACGATGGGCGGTGCCAATG</t>
  </si>
  <si>
    <t xml:space="preserve">TAGTCACGATGGGCGGTGCCAATG</t>
  </si>
  <si>
    <t xml:space="preserve">AAACCATTGGCACCGCCCATCGTG</t>
  </si>
  <si>
    <t xml:space="preserve">AGCGCCTGAATGCGCTTTGC</t>
  </si>
  <si>
    <t xml:space="preserve">TAGTAGCGCCTGAATGCGCTTTGC</t>
  </si>
  <si>
    <t xml:space="preserve">AAACGCAAAGCGCATTCAGGCGCT</t>
  </si>
  <si>
    <t xml:space="preserve">AGTCATGAAATCCGGGTCAC</t>
  </si>
  <si>
    <t xml:space="preserve">TAGTAGTCATGAAATCCGGGTCAC</t>
  </si>
  <si>
    <t xml:space="preserve">AAACGTGACCCGGATTTCATGACT</t>
  </si>
  <si>
    <t xml:space="preserve">CTCCTGAAAAGCATGAATAA</t>
  </si>
  <si>
    <t xml:space="preserve">TAGTCTCCTGAAAAGCATGAATAA</t>
  </si>
  <si>
    <t xml:space="preserve">AAACTTATTCATGCTTTTCAGGAG</t>
  </si>
  <si>
    <t xml:space="preserve">PSPPH_4021</t>
  </si>
  <si>
    <t xml:space="preserve">ATACAGCCAGAGACCTGCTC</t>
  </si>
  <si>
    <t xml:space="preserve">TAGTATACAGCCAGAGACCTGCTC</t>
  </si>
  <si>
    <t xml:space="preserve">AAACGAGCAGGTCTCTGGCTGTAT</t>
  </si>
  <si>
    <t xml:space="preserve">GCAAGTATGTTCACGCCATT</t>
  </si>
  <si>
    <t xml:space="preserve">TAGTGCAAGTATGTTCACGCCATT</t>
  </si>
  <si>
    <t xml:space="preserve">AAACAATGGCGTGAACATACTTGC</t>
  </si>
  <si>
    <t xml:space="preserve">TGATCGAGTCGATTGAGTTC</t>
  </si>
  <si>
    <t xml:space="preserve">TAGTTGATCGAGTCGATTGAGTTC</t>
  </si>
  <si>
    <t xml:space="preserve">AAACGAACTCAATCGACTCGATCA</t>
  </si>
  <si>
    <t xml:space="preserve">CATCCTTGTAACGTTGTTCC</t>
  </si>
  <si>
    <t xml:space="preserve">TAGTCATCCTTGTAACGTTGTTCC</t>
  </si>
  <si>
    <t xml:space="preserve">AAACGGAACAACGTTACAAGGATG</t>
  </si>
  <si>
    <t xml:space="preserve">PSPPH_4022</t>
  </si>
  <si>
    <t xml:space="preserve">CAAAAGGCTCACAAGCACCC</t>
  </si>
  <si>
    <t xml:space="preserve">TAGTCAAAAGGCTCACAAGCACCC</t>
  </si>
  <si>
    <t xml:space="preserve">AAACGGGTGCTTGTGAGCCTTTTG</t>
  </si>
  <si>
    <t xml:space="preserve">GAAGGTGAGGACAAAAGCCA</t>
  </si>
  <si>
    <t xml:space="preserve">TAGTGAAGGTGAGGACAAAAGCCA</t>
  </si>
  <si>
    <t xml:space="preserve">AAACTGGCTTTTGTCCTCACCTTC</t>
  </si>
  <si>
    <t xml:space="preserve">GACTGTCGCCACCGCGTTGG</t>
  </si>
  <si>
    <t xml:space="preserve">TAGTGACTGTCGCCACCGCGTTGG</t>
  </si>
  <si>
    <t xml:space="preserve">AAACCCAACGCGGTGGCGACAGTC</t>
  </si>
  <si>
    <t xml:space="preserve">CAGATGAGGCGGCATGGCTT</t>
  </si>
  <si>
    <t xml:space="preserve">TAGTCAGATGAGGCGGCATGGCTT</t>
  </si>
  <si>
    <t xml:space="preserve">AAACAAGCCATGCCGCCTCATCTG</t>
  </si>
  <si>
    <t xml:space="preserve">PSPPH_4023</t>
  </si>
  <si>
    <t xml:space="preserve">TTTTCGAAAGGATCGGTCAT</t>
  </si>
  <si>
    <t xml:space="preserve">TAGTTTTTCGAAAGGATCGGTCAT</t>
  </si>
  <si>
    <t xml:space="preserve">AAACATGACCGATCCTTTCGAAAA</t>
  </si>
  <si>
    <t xml:space="preserve">CGTGGCGGGAGCGGTGGATG</t>
  </si>
  <si>
    <t xml:space="preserve">TAGTCGTGGCGGGAGCGGTGGATG</t>
  </si>
  <si>
    <t xml:space="preserve">AAACCATCCACCGCTCCCGCCACG</t>
  </si>
  <si>
    <t xml:space="preserve">TCAGGGCGGCGGGGTCATAG</t>
  </si>
  <si>
    <t xml:space="preserve">TAGTTCAGGGCGGCGGGGTCATAG</t>
  </si>
  <si>
    <t xml:space="preserve">AAACCTATGACCCCGCCGCCCTGA</t>
  </si>
  <si>
    <t xml:space="preserve">TCGAAATTGGCACCGTTTTC</t>
  </si>
  <si>
    <t xml:space="preserve">TAGTTCGAAATTGGCACCGTTTTC</t>
  </si>
  <si>
    <t xml:space="preserve">AAACGAAAACGGTGCCAATTTCGA</t>
  </si>
  <si>
    <t xml:space="preserve">PSPPH_4024</t>
  </si>
  <si>
    <t xml:space="preserve">purU2</t>
  </si>
  <si>
    <t xml:space="preserve">ACCAGACGAAAAGTGCGCAT</t>
  </si>
  <si>
    <t xml:space="preserve">TAGTACCAGACGAAAAGTGCGCAT</t>
  </si>
  <si>
    <t xml:space="preserve">AAACATGCGCACTTTTCGTCTGGT</t>
  </si>
  <si>
    <t xml:space="preserve">CAACGATGCCTACACGGTCC</t>
  </si>
  <si>
    <t xml:space="preserve">TAGTCAACGATGCCTACACGGTCC</t>
  </si>
  <si>
    <t xml:space="preserve">AAACGGACCGTGTAGGCATCGTTG</t>
  </si>
  <si>
    <t xml:space="preserve">CGCCAGAAAGTTACTGACTT</t>
  </si>
  <si>
    <t xml:space="preserve">TAGTCGCCAGAAAGTTACTGACTT</t>
  </si>
  <si>
    <t xml:space="preserve">AAACAAGTCAGTAACTTTCTGGCG</t>
  </si>
  <si>
    <t xml:space="preserve">TTCGGTGATCCAGCCGTTAT</t>
  </si>
  <si>
    <t xml:space="preserve">TAGTTTCGGTGATCCAGCCGTTAT</t>
  </si>
  <si>
    <t xml:space="preserve">AAACATAACGGCTGGATCACCGAA</t>
  </si>
  <si>
    <t xml:space="preserve">PSPPH_4025</t>
  </si>
  <si>
    <t xml:space="preserve">GGCGCGGTATTCGTTGATCA</t>
  </si>
  <si>
    <t xml:space="preserve">TAGTGGCGCGGTATTCGTTGATCA</t>
  </si>
  <si>
    <t xml:space="preserve">AAACTGATCAACGAATACCGCGCC</t>
  </si>
  <si>
    <t xml:space="preserve">TTCTTTGATGGCTTCTTCTG</t>
  </si>
  <si>
    <t xml:space="preserve">TAGTTTCTTTGATGGCTTCTTCTG</t>
  </si>
  <si>
    <t xml:space="preserve">AAACCAGAAGAAGCCATCAAAGAA</t>
  </si>
  <si>
    <t xml:space="preserve">TTGCGACAGGTTCTTCAAAC</t>
  </si>
  <si>
    <t xml:space="preserve">TAGTTTGCGACAGGTTCTTCAAAC</t>
  </si>
  <si>
    <t xml:space="preserve">AAACGTTTGAAGAACCTGTCGCAA</t>
  </si>
  <si>
    <t xml:space="preserve">CTTGCCTTCGAATTCCAGCT</t>
  </si>
  <si>
    <t xml:space="preserve">TAGTCTTGCCTTCGAATTCCAGCT</t>
  </si>
  <si>
    <t xml:space="preserve">AAACAGCTGGAATTCGAAGGCAAG</t>
  </si>
  <si>
    <t xml:space="preserve">PSPPH_4026</t>
  </si>
  <si>
    <t xml:space="preserve">sbcB</t>
  </si>
  <si>
    <t xml:space="preserve">CAGAAAATGCTGGAAGTCAC</t>
  </si>
  <si>
    <t xml:space="preserve">TAGTCAGAAAATGCTGGAAGTCAC</t>
  </si>
  <si>
    <t xml:space="preserve">AAACGTGACTTCCAGCATTTTCTG</t>
  </si>
  <si>
    <t xml:space="preserve">ATTGCGCGGGTTGATGCCGG</t>
  </si>
  <si>
    <t xml:space="preserve">TAGTATTGCGCGGGTTGATGCCGG</t>
  </si>
  <si>
    <t xml:space="preserve">AAACCCGGCATCAACCCGCGCAAT</t>
  </si>
  <si>
    <t xml:space="preserve">TGCCGGCCATCTGCAGCGCA</t>
  </si>
  <si>
    <t xml:space="preserve">TAGTTGCCGGCCATCTGCAGCGCA</t>
  </si>
  <si>
    <t xml:space="preserve">AAACTGCGCTGCAGATGGCCGGCA</t>
  </si>
  <si>
    <t xml:space="preserve">CATTGAGTTCGGTATCGGTG</t>
  </si>
  <si>
    <t xml:space="preserve">TAGTCATTGAGTTCGGTATCGGTG</t>
  </si>
  <si>
    <t xml:space="preserve">AAACCACCGATACCGAACTCAATG</t>
  </si>
  <si>
    <t xml:space="preserve">PSPPH_4027</t>
  </si>
  <si>
    <t xml:space="preserve">ATTCCTTGGCGAAGCGGGAA</t>
  </si>
  <si>
    <t xml:space="preserve">TAGTATTCCTTGGCGAAGCGGGAA</t>
  </si>
  <si>
    <t xml:space="preserve">AAACTTCCCGCTTCGCCAAGGAAT</t>
  </si>
  <si>
    <t xml:space="preserve">ATGCGGGTGTCCAGTGGCGT</t>
  </si>
  <si>
    <t xml:space="preserve">TAGTATGCGGGTGTCCAGTGGCGT</t>
  </si>
  <si>
    <t xml:space="preserve">AAACACGCCACTGGACACCCGCAT</t>
  </si>
  <si>
    <t xml:space="preserve">AGAACCATATCGATGCCTTC</t>
  </si>
  <si>
    <t xml:space="preserve">TAGTAGAACCATATCGATGCCTTC</t>
  </si>
  <si>
    <t xml:space="preserve">AAACGAAGGCATCGATATGGTTCT</t>
  </si>
  <si>
    <t xml:space="preserve">CGCGGGAAACCAGTCCGGCA</t>
  </si>
  <si>
    <t xml:space="preserve">TAGTCGCGGGAAACCAGTCCGGCA</t>
  </si>
  <si>
    <t xml:space="preserve">AAACTGCCGGACTGGTTTCCCGCG</t>
  </si>
  <si>
    <t xml:space="preserve">PSPPH_4028</t>
  </si>
  <si>
    <t xml:space="preserve">CTTTATGGCGGGTTTCAAAG</t>
  </si>
  <si>
    <t xml:space="preserve">TAGTCTTTATGGCGGGTTTCAAAG</t>
  </si>
  <si>
    <t xml:space="preserve">AAACCTTTGAAACCCGCCATAAAG</t>
  </si>
  <si>
    <t xml:space="preserve">TGCCGTTTTCCAGCGCATCA</t>
  </si>
  <si>
    <t xml:space="preserve">TAGTTGCCGTTTTCCAGCGCATCA</t>
  </si>
  <si>
    <t xml:space="preserve">AAACTGATGCGCTGGAAAACGGCA</t>
  </si>
  <si>
    <t xml:space="preserve">TGTTTCGCAAGCATTGACAT</t>
  </si>
  <si>
    <t xml:space="preserve">TAGTTGTTTCGCAAGCATTGACAT</t>
  </si>
  <si>
    <t xml:space="preserve">AAACATGTCAATGCTTGCGAAACA</t>
  </si>
  <si>
    <t xml:space="preserve">AGACGCGTCGATAATCACCG</t>
  </si>
  <si>
    <t xml:space="preserve">TAGTAGACGCGTCGATAATCACCG</t>
  </si>
  <si>
    <t xml:space="preserve">AAACCGGTGATTATCGACGCGTCT</t>
  </si>
  <si>
    <t xml:space="preserve">PSPPH_4029</t>
  </si>
  <si>
    <t xml:space="preserve">CCAAGGGGATCGAGGGCGTA</t>
  </si>
  <si>
    <t xml:space="preserve">TAGTCCAAGGGGATCGAGGGCGTA</t>
  </si>
  <si>
    <t xml:space="preserve">AAACTACGCCCTCGATCCCCTTGG</t>
  </si>
  <si>
    <t xml:space="preserve">GAGCAGCCCGCCCAGGTCTA</t>
  </si>
  <si>
    <t xml:space="preserve">TAGTGAGCAGCCCGCCCAGGTCTA</t>
  </si>
  <si>
    <t xml:space="preserve">AAACTAGACCTGGGCGGGCTGCTC</t>
  </si>
  <si>
    <t xml:space="preserve">AACTGCTCATCAGCAGACCG</t>
  </si>
  <si>
    <t xml:space="preserve">TAGTAACTGCTCATCAGCAGACCG</t>
  </si>
  <si>
    <t xml:space="preserve">AAACCGGTCTGCTGATGAGCAGTT</t>
  </si>
  <si>
    <t xml:space="preserve">GAGCAGGCAGAAAACGGGCA</t>
  </si>
  <si>
    <t xml:space="preserve">TAGTGAGCAGGCAGAAAACGGGCA</t>
  </si>
  <si>
    <t xml:space="preserve">AAACTGCCCGTTTTCTGCCTGCTC</t>
  </si>
  <si>
    <t xml:space="preserve">PSPPH_4030</t>
  </si>
  <si>
    <t xml:space="preserve">CGATCAGTATTCCGCTACGG</t>
  </si>
  <si>
    <t xml:space="preserve">TAGTCGATCAGTATTCCGCTACGG</t>
  </si>
  <si>
    <t xml:space="preserve">AAACCCGTAGCGGAATACTGATCG</t>
  </si>
  <si>
    <t xml:space="preserve">TGCGCCTGCCAGCAGTAAAA</t>
  </si>
  <si>
    <t xml:space="preserve">TAGTTGCGCCTGCCAGCAGTAAAA</t>
  </si>
  <si>
    <t xml:space="preserve">AAACTTTTACTGCTGGCAGGCGCA</t>
  </si>
  <si>
    <t xml:space="preserve">AGCGCTCCAGGTGACGGCTC</t>
  </si>
  <si>
    <t xml:space="preserve">TAGTAGCGCTCCAGGTGACGGCTC</t>
  </si>
  <si>
    <t xml:space="preserve">AAACGAGCCGTCACCTGGAGCGCT</t>
  </si>
  <si>
    <t xml:space="preserve">TGGCGAGGGGCCCTGATCCA</t>
  </si>
  <si>
    <t xml:space="preserve">TAGTTGGCGAGGGGCCCTGATCCA</t>
  </si>
  <si>
    <t xml:space="preserve">AAACTGGATCAGGGCCCCTCGCCA</t>
  </si>
  <si>
    <t xml:space="preserve">PSPPH_4031</t>
  </si>
  <si>
    <t xml:space="preserve">CATTAGAAGCTGTATATCTA</t>
  </si>
  <si>
    <t xml:space="preserve">TAGTCATTAGAAGCTGTATATCTA</t>
  </si>
  <si>
    <t xml:space="preserve">AAACTAGATATACAGCTTCTAATG</t>
  </si>
  <si>
    <t xml:space="preserve">TACCACGACGCTGACAAGCG</t>
  </si>
  <si>
    <t xml:space="preserve">TAGTTACCACGACGCTGACAAGCG</t>
  </si>
  <si>
    <t xml:space="preserve">AAACCGCTTGTCAGCGTCGTGGTA</t>
  </si>
  <si>
    <t xml:space="preserve">CCAAAAGCGGGTGCATCTTG</t>
  </si>
  <si>
    <t xml:space="preserve">TAGTCCAAAAGCGGGTGCATCTTG</t>
  </si>
  <si>
    <t xml:space="preserve">AAACCAAGATGCACCCGCTTTTGG</t>
  </si>
  <si>
    <t xml:space="preserve">ACCAACAGAAACTACCATCA</t>
  </si>
  <si>
    <t xml:space="preserve">TAGTACCAACAGAAACTACCATCA</t>
  </si>
  <si>
    <t xml:space="preserve">AAACTGATGGTAGTTTCTGTTGGT</t>
  </si>
  <si>
    <t xml:space="preserve">PSPPH_4033</t>
  </si>
  <si>
    <t xml:space="preserve">GTGTGCGCCGCTGACGATAT</t>
  </si>
  <si>
    <t xml:space="preserve">TAGTGTGTGCGCCGCTGACGATAT</t>
  </si>
  <si>
    <t xml:space="preserve">AAACATATCGTCAGCGGCGCACAC</t>
  </si>
  <si>
    <t xml:space="preserve">AAGGTCGCGGATCGACAATC</t>
  </si>
  <si>
    <t xml:space="preserve">TAGTAAGGTCGCGGATCGACAATC</t>
  </si>
  <si>
    <t xml:space="preserve">AAACGATTGTCGATCCGCGACCTT</t>
  </si>
  <si>
    <t xml:space="preserve">CTGATTTCCGGAATCGGCCC</t>
  </si>
  <si>
    <t xml:space="preserve">TAGTCTGATTTCCGGAATCGGCCC</t>
  </si>
  <si>
    <t xml:space="preserve">AAACGGGCCGATTCCGGAAATCAG</t>
  </si>
  <si>
    <t xml:space="preserve">GAAGTCCGCCACTTTACTCC</t>
  </si>
  <si>
    <t xml:space="preserve">TAGTGAAGTCCGCCACTTTACTCC</t>
  </si>
  <si>
    <t xml:space="preserve">AAACGGAGTAAAGTGGCGGACTTC</t>
  </si>
  <si>
    <t xml:space="preserve">PSPPH_4034</t>
  </si>
  <si>
    <t xml:space="preserve">ACTCCTGAATAAAGCCGGAG</t>
  </si>
  <si>
    <t xml:space="preserve">TAGTACTCCTGAATAAAGCCGGAG</t>
  </si>
  <si>
    <t xml:space="preserve">AAACCTCCGGCTTTATTCAGGAGT</t>
  </si>
  <si>
    <t xml:space="preserve">ATAGGCTTGAGCCTGTTGAG</t>
  </si>
  <si>
    <t xml:space="preserve">TAGTATAGGCTTGAGCCTGTTGAG</t>
  </si>
  <si>
    <t xml:space="preserve">AAACCTCAACAGGCTCAAGCCTAT</t>
  </si>
  <si>
    <t xml:space="preserve">AACTCAAACGCTGCCAGGCG</t>
  </si>
  <si>
    <t xml:space="preserve">TAGTAACTCAAACGCTGCCAGGCG</t>
  </si>
  <si>
    <t xml:space="preserve">AAACCGCCTGGCAGCGTTTGAGTT</t>
  </si>
  <si>
    <t xml:space="preserve">CATCTTCAGGTGCGCAGCCA</t>
  </si>
  <si>
    <t xml:space="preserve">TAGTCATCTTCAGGTGCGCAGCCA</t>
  </si>
  <si>
    <t xml:space="preserve">AAACTGGCTGCGCACCTGAAGATG</t>
  </si>
  <si>
    <t xml:space="preserve">PSPPH_4036</t>
  </si>
  <si>
    <t xml:space="preserve">GGTTTCAGAACCTGATTCAC</t>
  </si>
  <si>
    <t xml:space="preserve">TAGTGGTTTCAGAACCTGATTCAC</t>
  </si>
  <si>
    <t xml:space="preserve">AAACGTGAATCAGGTTCTGAAACC</t>
  </si>
  <si>
    <t xml:space="preserve">CAGCGCAGCATCGGAACCGA</t>
  </si>
  <si>
    <t xml:space="preserve">TAGTCAGCGCAGCATCGGAACCGA</t>
  </si>
  <si>
    <t xml:space="preserve">AAACTCGGTTCCGATGCTGCGCTG</t>
  </si>
  <si>
    <t xml:space="preserve">GATACTCGATGTCCAGCGCA</t>
  </si>
  <si>
    <t xml:space="preserve">TAGTGATACTCGATGTCCAGCGCA</t>
  </si>
  <si>
    <t xml:space="preserve">AAACTGCGCTGGACATCGAGTATC</t>
  </si>
  <si>
    <t xml:space="preserve">TAAAACTCGTCGATTTTTGC</t>
  </si>
  <si>
    <t xml:space="preserve">TAGTTAAAACTCGTCGATTTTTGC</t>
  </si>
  <si>
    <t xml:space="preserve">AAACGCAAAAATCGACGAGTTTTA</t>
  </si>
  <si>
    <t xml:space="preserve">PSPPH_4037</t>
  </si>
  <si>
    <t xml:space="preserve">TATTTTCCGCTCTTTATACA</t>
  </si>
  <si>
    <t xml:space="preserve">TAGTTATTTTCCGCTCTTTATACA</t>
  </si>
  <si>
    <t xml:space="preserve">AAACTGTATAAAGAGCGGAAAATA</t>
  </si>
  <si>
    <t xml:space="preserve">CCTGCAGGTAATCCTGCAAT</t>
  </si>
  <si>
    <t xml:space="preserve">TAGTCCTGCAGGTAATCCTGCAAT</t>
  </si>
  <si>
    <t xml:space="preserve">AAACATTGCAGGATTACCTGCAGG</t>
  </si>
  <si>
    <t xml:space="preserve">GATCAGCATCAGCCCTTCCC</t>
  </si>
  <si>
    <t xml:space="preserve">TAGTGATCAGCATCAGCCCTTCCC</t>
  </si>
  <si>
    <t xml:space="preserve">AAACGGGAAGGGCTGATGCTGATC</t>
  </si>
  <si>
    <t xml:space="preserve">AACCTGGCCCCTACCAGAAC</t>
  </si>
  <si>
    <t xml:space="preserve">TAGTAACCTGGCCCCTACCAGAAC</t>
  </si>
  <si>
    <t xml:space="preserve">AAACGTTCTGGTAGGGGCCAGGTT</t>
  </si>
  <si>
    <t xml:space="preserve">PSPPH_4038</t>
  </si>
  <si>
    <t xml:space="preserve">TCCTGTTCTCTGCCCTGTAT</t>
  </si>
  <si>
    <t xml:space="preserve">TAGTTCCTGTTCTCTGCCCTGTAT</t>
  </si>
  <si>
    <t xml:space="preserve">AAACATACAGGGCAGAGAACAGGA</t>
  </si>
  <si>
    <t xml:space="preserve">ACAATCGTTACAATACGCAT</t>
  </si>
  <si>
    <t xml:space="preserve">TAGTACAATCGTTACAATACGCAT</t>
  </si>
  <si>
    <t xml:space="preserve">AAACATGCGTATTGTAACGATTGT</t>
  </si>
  <si>
    <t xml:space="preserve">GTTGGAATTCATCGCCCAGC</t>
  </si>
  <si>
    <t xml:space="preserve">TAGTGTTGGAATTCATCGCCCAGC</t>
  </si>
  <si>
    <t xml:space="preserve">AAACGCTGGGCGATGAATTCCAAC</t>
  </si>
  <si>
    <t xml:space="preserve">AGGCACGGTAAGCGTGATCG</t>
  </si>
  <si>
    <t xml:space="preserve">TAGTAGGCACGGTAAGCGTGATCG</t>
  </si>
  <si>
    <t xml:space="preserve">AAACCGATCACGCTTACCGTGCCT</t>
  </si>
  <si>
    <t xml:space="preserve">PSPPH_4039</t>
  </si>
  <si>
    <t xml:space="preserve">pyk</t>
  </si>
  <si>
    <t xml:space="preserve">GACGATTTTGGTGCGGCGAA</t>
  </si>
  <si>
    <t xml:space="preserve">TAGTGACGATTTTGGTGCGGCGAA</t>
  </si>
  <si>
    <t xml:space="preserve">AAACTTCGCCGCACCAAAATCGTC</t>
  </si>
  <si>
    <t xml:space="preserve">GTTGCTGGCAGGGCCAAGTG</t>
  </si>
  <si>
    <t xml:space="preserve">TAGTGTTGCTGGCAGGGCCAAGTG</t>
  </si>
  <si>
    <t xml:space="preserve">AAACCACTTGGCCCTGCCAGCAAC</t>
  </si>
  <si>
    <t xml:space="preserve">ATCAGTTGTTCGATGACTTC</t>
  </si>
  <si>
    <t xml:space="preserve">TAGTATCAGTTGTTCGATGACTTC</t>
  </si>
  <si>
    <t xml:space="preserve">AAACGAAGTCATCGAACAACTGAT</t>
  </si>
  <si>
    <t xml:space="preserve">GAGCAACGTCCAGACCCGAA</t>
  </si>
  <si>
    <t xml:space="preserve">TAGTGAGCAACGTCCAGACCCGAA</t>
  </si>
  <si>
    <t xml:space="preserve">AAACTTCGGGTCTGGACGTTGCTC</t>
  </si>
  <si>
    <t xml:space="preserve">PSPPH_4040</t>
  </si>
  <si>
    <t xml:space="preserve">CGCTCACCAACATGCAATTG</t>
  </si>
  <si>
    <t xml:space="preserve">TAGTCGCTCACCAACATGCAATTG</t>
  </si>
  <si>
    <t xml:space="preserve">AAACCAATTGCATGTTGGTGAGCG</t>
  </si>
  <si>
    <t xml:space="preserve">CGGCACACTGGCATGGTTCA</t>
  </si>
  <si>
    <t xml:space="preserve">TAGTCGGCACACTGGCATGGTTCA</t>
  </si>
  <si>
    <t xml:space="preserve">AAACTGAACCATGCCAGTGTGCCG</t>
  </si>
  <si>
    <t xml:space="preserve">GCACGACAGCTATAGGGAAC</t>
  </si>
  <si>
    <t xml:space="preserve">TAGTGCACGACAGCTATAGGGAAC</t>
  </si>
  <si>
    <t xml:space="preserve">AAACGTTCCCTATAGCTGTCGTGC</t>
  </si>
  <si>
    <t xml:space="preserve">CAGACACGCATGGCAACTGC</t>
  </si>
  <si>
    <t xml:space="preserve">TAGTCAGACACGCATGGCAACTGC</t>
  </si>
  <si>
    <t xml:space="preserve">AAACGCAGTTGCCATGCGTGTCTG</t>
  </si>
  <si>
    <t xml:space="preserve">PSPPH_4041</t>
  </si>
  <si>
    <t xml:space="preserve">CAGGTCGTCTTGCTTGATCA</t>
  </si>
  <si>
    <t xml:space="preserve">TAGTCAGGTCGTCTTGCTTGATCA</t>
  </si>
  <si>
    <t xml:space="preserve">AAACTGATCAAGCAAGACGACCTG</t>
  </si>
  <si>
    <t xml:space="preserve">GAAATCCACGGGGTGGTAGT</t>
  </si>
  <si>
    <t xml:space="preserve">TAGTGAAATCCACGGGGTGGTAGT</t>
  </si>
  <si>
    <t xml:space="preserve">AAACACTACCACCCCGTGGATTTC</t>
  </si>
  <si>
    <t xml:space="preserve">GATACGCCTCGTGCATGGCC</t>
  </si>
  <si>
    <t xml:space="preserve">TAGTGATACGCCTCGTGCATGGCC</t>
  </si>
  <si>
    <t xml:space="preserve">AAACGGCCATGCACGAGGCGTATC</t>
  </si>
  <si>
    <t xml:space="preserve">GCGATGGAGTCGCGAGCGGC</t>
  </si>
  <si>
    <t xml:space="preserve">TAGTGCGATGGAGTCGCGAGCGGC</t>
  </si>
  <si>
    <t xml:space="preserve">AAACGCCGCTCGCGACTCCATCGC</t>
  </si>
  <si>
    <t xml:space="preserve">PSPPH_4042</t>
  </si>
  <si>
    <t xml:space="preserve">GGATCAACGACCGACAATAA</t>
  </si>
  <si>
    <t xml:space="preserve">TAGTGGATCAACGACCGACAATAA</t>
  </si>
  <si>
    <t xml:space="preserve">AAACTTATTGTCGGTCGTTGATCC</t>
  </si>
  <si>
    <t xml:space="preserve">CTACGCACGGCCAGCGAGCG</t>
  </si>
  <si>
    <t xml:space="preserve">TAGTCTACGCACGGCCAGCGAGCG</t>
  </si>
  <si>
    <t xml:space="preserve">AAACCGCTCGCTGGCCGTGCGTAG</t>
  </si>
  <si>
    <t xml:space="preserve">TGCGTTACCCGAGCTACCTC</t>
  </si>
  <si>
    <t xml:space="preserve">TAGTTGCGTTACCCGAGCTACCTC</t>
  </si>
  <si>
    <t xml:space="preserve">AAACGAGGTAGCTCGGGTAACGCA</t>
  </si>
  <si>
    <t xml:space="preserve">ACGACACAGAAACGGGCGCC</t>
  </si>
  <si>
    <t xml:space="preserve">TAGTACGACACAGAAACGGGCGCC</t>
  </si>
  <si>
    <t xml:space="preserve">AAACGGCGCCCGTTTCTGTGTCGT</t>
  </si>
  <si>
    <t xml:space="preserve">PSPPH_4043</t>
  </si>
  <si>
    <t xml:space="preserve">ACCTCGGAAACGATCAATTC</t>
  </si>
  <si>
    <t xml:space="preserve">TAGTACCTCGGAAACGATCAATTC</t>
  </si>
  <si>
    <t xml:space="preserve">AAACGAATTGATCGTTTCCGAGGT</t>
  </si>
  <si>
    <t xml:space="preserve">CGGCTCGATGTAAAAGGACT</t>
  </si>
  <si>
    <t xml:space="preserve">TAGTCGGCTCGATGTAAAAGGACT</t>
  </si>
  <si>
    <t xml:space="preserve">AAACAGTCCTTTTACATCGAGCCG</t>
  </si>
  <si>
    <t xml:space="preserve">TGCTGCCGCTTGCGTGGCTT</t>
  </si>
  <si>
    <t xml:space="preserve">TAGTTGCTGCCGCTTGCGTGGCTT</t>
  </si>
  <si>
    <t xml:space="preserve">AAACAAGCCACGCAAGCGGCAGCA</t>
  </si>
  <si>
    <t xml:space="preserve">TGCCGGGTCGAAACGCTGCC</t>
  </si>
  <si>
    <t xml:space="preserve">TAGTTGCCGGGTCGAAACGCTGCC</t>
  </si>
  <si>
    <t xml:space="preserve">AAACGGCAGCGTTTCGACCCGGCA</t>
  </si>
  <si>
    <t xml:space="preserve">PSPPH_4047</t>
  </si>
  <si>
    <t xml:space="preserve">TTTATCTGGGATTCGGCCAA</t>
  </si>
  <si>
    <t xml:space="preserve">TAGTTTTATCTGGGATTCGGCCAA</t>
  </si>
  <si>
    <t xml:space="preserve">AAACTTGGCCGAATCCCAGATAAA</t>
  </si>
  <si>
    <t xml:space="preserve">ACATGTCCAGGCATTTCAGC</t>
  </si>
  <si>
    <t xml:space="preserve">TAGTACATGTCCAGGCATTTCAGC</t>
  </si>
  <si>
    <t xml:space="preserve">AAACGCTGAAATGCCTGGACATGT</t>
  </si>
  <si>
    <t xml:space="preserve">TCTGCATGTAGGTATGATTA</t>
  </si>
  <si>
    <t xml:space="preserve">TAGTTCTGCATGTAGGTATGATTA</t>
  </si>
  <si>
    <t xml:space="preserve">AAACTAATCATACCTACATGCAGA</t>
  </si>
  <si>
    <t xml:space="preserve">PSPPH_4048</t>
  </si>
  <si>
    <t xml:space="preserve">GGGTCGGGGACGATTTTATG</t>
  </si>
  <si>
    <t xml:space="preserve">TAGTGGGTCGGGGACGATTTTATG</t>
  </si>
  <si>
    <t xml:space="preserve">AAACCATAAAATCGTCCCCGACCC</t>
  </si>
  <si>
    <t xml:space="preserve">CGGTGAACAGGGCGGTGGGC</t>
  </si>
  <si>
    <t xml:space="preserve">TAGTCGGTGAACAGGGCGGTGGGC</t>
  </si>
  <si>
    <t xml:space="preserve">AAACGCCCACCGCCCTGTTCACCG</t>
  </si>
  <si>
    <t xml:space="preserve">CTGGCTGACGGATGCGTTGA</t>
  </si>
  <si>
    <t xml:space="preserve">TAGTCTGGCTGACGGATGCGTTGA</t>
  </si>
  <si>
    <t xml:space="preserve">AAACTCAACGCATCCGTCAGCCAG</t>
  </si>
  <si>
    <t xml:space="preserve">AGTGCTGTCGCCGGACTCAT</t>
  </si>
  <si>
    <t xml:space="preserve">TAGTAGTGCTGTCGCCGGACTCAT</t>
  </si>
  <si>
    <t xml:space="preserve">AAACATGAGTCCGGCGACAGCACT</t>
  </si>
  <si>
    <t xml:space="preserve">PSPPH_4049</t>
  </si>
  <si>
    <t xml:space="preserve">AGCGGTTGTTTTCACGCCAC</t>
  </si>
  <si>
    <t xml:space="preserve">TAGTAGCGGTTGTTTTCACGCCAC</t>
  </si>
  <si>
    <t xml:space="preserve">AAACGTGGCGTGAAAACAACCGCT</t>
  </si>
  <si>
    <t xml:space="preserve">ATCATGCGCGGGAAGAACGC</t>
  </si>
  <si>
    <t xml:space="preserve">TAGTATCATGCGCGGGAAGAACGC</t>
  </si>
  <si>
    <t xml:space="preserve">AAACGCGTTCTTCCCGCGCATGAT</t>
  </si>
  <si>
    <t xml:space="preserve">CTGCTCGGCCCGGTCAATGG</t>
  </si>
  <si>
    <t xml:space="preserve">TAGTCTGCTCGGCCCGGTCAATGG</t>
  </si>
  <si>
    <t xml:space="preserve">AAACCCATTGACCGGGCCGAGCAG</t>
  </si>
  <si>
    <t xml:space="preserve">CTTCGACCAGGTACAGCTCC</t>
  </si>
  <si>
    <t xml:space="preserve">TAGTCTTCGACCAGGTACAGCTCC</t>
  </si>
  <si>
    <t xml:space="preserve">AAACGGAGCTGTACCTGGTCGAAG</t>
  </si>
  <si>
    <t xml:space="preserve">PSPPH_4050</t>
  </si>
  <si>
    <t xml:space="preserve">CGGCCAGCATGACCAGCAGC</t>
  </si>
  <si>
    <t xml:space="preserve">TAGTCGGCCAGCATGACCAGCAGC</t>
  </si>
  <si>
    <t xml:space="preserve">AAACGCTGCTGGTCATGCTGGCCG</t>
  </si>
  <si>
    <t xml:space="preserve">ATGGGCAGGTAACGCCACTG</t>
  </si>
  <si>
    <t xml:space="preserve">TAGTATGGGCAGGTAACGCCACTG</t>
  </si>
  <si>
    <t xml:space="preserve">AAACCAGTGGCGTTACCTGCCCAT</t>
  </si>
  <si>
    <t xml:space="preserve">CTCGGCAATATCGGCATTTT</t>
  </si>
  <si>
    <t xml:space="preserve">TAGTCTCGGCAATATCGGCATTTT</t>
  </si>
  <si>
    <t xml:space="preserve">AAACAAAATGCCGATATTGCCGAG</t>
  </si>
  <si>
    <t xml:space="preserve">CGACCTTGCCATGCAGCACG</t>
  </si>
  <si>
    <t xml:space="preserve">TAGTCGACCTTGCCATGCAGCACG</t>
  </si>
  <si>
    <t xml:space="preserve">AAACCGTGCTGCATGGCAAGGTCG</t>
  </si>
  <si>
    <t xml:space="preserve">PSPPH_4051</t>
  </si>
  <si>
    <t xml:space="preserve">GTCGACGCAGGATGAACATT</t>
  </si>
  <si>
    <t xml:space="preserve">TAGTGTCGACGCAGGATGAACATT</t>
  </si>
  <si>
    <t xml:space="preserve">AAACAATGTTCATCCTGCGTCGAC</t>
  </si>
  <si>
    <t xml:space="preserve">AGCAACAGCAGGCTGCTGAA</t>
  </si>
  <si>
    <t xml:space="preserve">TAGTAGCAACAGCAGGCTGCTGAA</t>
  </si>
  <si>
    <t xml:space="preserve">AAACTTCAGCAGCCTGCTGTTGCT</t>
  </si>
  <si>
    <t xml:space="preserve">CAAGTAACGCGAGCGCAGCA</t>
  </si>
  <si>
    <t xml:space="preserve">TAGTCAAGTAACGCGAGCGCAGCA</t>
  </si>
  <si>
    <t xml:space="preserve">AAACTGCTGCGCTCGCGTTACTTG</t>
  </si>
  <si>
    <t xml:space="preserve">CAGGTTAATGCGGTACTGCC</t>
  </si>
  <si>
    <t xml:space="preserve">TAGTCAGGTTAATGCGGTACTGCC</t>
  </si>
  <si>
    <t xml:space="preserve">AAACGGCAGTACCGCATTAACCTG</t>
  </si>
  <si>
    <t xml:space="preserve">PSPPH_4052</t>
  </si>
  <si>
    <t xml:space="preserve">CACAGGCGGAAAGATCTACG</t>
  </si>
  <si>
    <t xml:space="preserve">TAGTCACAGGCGGAAAGATCTACG</t>
  </si>
  <si>
    <t xml:space="preserve">AAACCGTAGATCTTTCCGCCTGTG</t>
  </si>
  <si>
    <t xml:space="preserve">CGCCCTGGGCACTGAAGCCC</t>
  </si>
  <si>
    <t xml:space="preserve">TAGTCGCCCTGGGCACTGAAGCCC</t>
  </si>
  <si>
    <t xml:space="preserve">AAACGGGCTTCAGTGCCCAGGGCG</t>
  </si>
  <si>
    <t xml:space="preserve">TGAGATGACCATTGCTCTGT</t>
  </si>
  <si>
    <t xml:space="preserve">TAGTTGAGATGACCATTGCTCTGT</t>
  </si>
  <si>
    <t xml:space="preserve">AAACACAGAGCAATGGTCATCTCA</t>
  </si>
  <si>
    <t xml:space="preserve">ATTGCCGCAGATCGCGGCGC</t>
  </si>
  <si>
    <t xml:space="preserve">TAGTATTGCCGCAGATCGCGGCGC</t>
  </si>
  <si>
    <t xml:space="preserve">AAACGCGCCGCGATCTGCGGCAAT</t>
  </si>
  <si>
    <t xml:space="preserve">PSPPH_4053</t>
  </si>
  <si>
    <t xml:space="preserve">GTATGCGGATTACTCTGTAG</t>
  </si>
  <si>
    <t xml:space="preserve">TAGTGTATGCGGATTACTCTGTAG</t>
  </si>
  <si>
    <t xml:space="preserve">AAACCTACAGAGTAATCCGCATAC</t>
  </si>
  <si>
    <t xml:space="preserve">ACTGTCACGAAGCCCTGATA</t>
  </si>
  <si>
    <t xml:space="preserve">TAGTACTGTCACGAAGCCCTGATA</t>
  </si>
  <si>
    <t xml:space="preserve">AAACTATCAGGGCTTCGTGACAGT</t>
  </si>
  <si>
    <t xml:space="preserve">TGCGTCCTGTCCCGGGGTAA</t>
  </si>
  <si>
    <t xml:space="preserve">TAGTTGCGTCCTGTCCCGGGGTAA</t>
  </si>
  <si>
    <t xml:space="preserve">AAACTTACCCCGGGACAGGACGCA</t>
  </si>
  <si>
    <t xml:space="preserve">GAGGAGCGAGCGGCGTACGA</t>
  </si>
  <si>
    <t xml:space="preserve">TAGTGAGGAGCGAGCGGCGTACGA</t>
  </si>
  <si>
    <t xml:space="preserve">AAACTCGTACGCCGCTCGCTCCTC</t>
  </si>
  <si>
    <t xml:space="preserve">PSPPH_4054</t>
  </si>
  <si>
    <t xml:space="preserve">CGCGGGCATAGCCGCGTGCC</t>
  </si>
  <si>
    <t xml:space="preserve">TAGTCGCGGGCATAGCCGCGTGCC</t>
  </si>
  <si>
    <t xml:space="preserve">AAACGGCACGCGGCTATGCCCGCG</t>
  </si>
  <si>
    <t xml:space="preserve">TTCCAGAACCGCGAACGTTC</t>
  </si>
  <si>
    <t xml:space="preserve">TAGTTTCCAGAACCGCGAACGTTC</t>
  </si>
  <si>
    <t xml:space="preserve">AAACGAACGTTCGCGGTTCTGGAA</t>
  </si>
  <si>
    <t xml:space="preserve">CTCCATCGACCCACCGATTC</t>
  </si>
  <si>
    <t xml:space="preserve">TAGTCTCCATCGACCCACCGATTC</t>
  </si>
  <si>
    <t xml:space="preserve">AAACGAATCGGTGGGTCGATGGAG</t>
  </si>
  <si>
    <t xml:space="preserve">TCAGGCGCGCCATGAACCAA</t>
  </si>
  <si>
    <t xml:space="preserve">TAGTTCAGGCGCGCCATGAACCAA</t>
  </si>
  <si>
    <t xml:space="preserve">AAACTTGGTTCATGGCGCGCCTGA</t>
  </si>
  <si>
    <t xml:space="preserve">PSPPH_4055</t>
  </si>
  <si>
    <t xml:space="preserve">AGGCTGCCAAGCAATTGAGC</t>
  </si>
  <si>
    <t xml:space="preserve">TAGTAGGCTGCCAAGCAATTGAGC</t>
  </si>
  <si>
    <t xml:space="preserve">AAACGCTCAATTGCTTGGCAGCCT</t>
  </si>
  <si>
    <t xml:space="preserve">CTTTGACGAAGTCGCCATAC</t>
  </si>
  <si>
    <t xml:space="preserve">TAGTCTTTGACGAAGTCGCCATAC</t>
  </si>
  <si>
    <t xml:space="preserve">AAACGTATGGCGACTTCGTCAAAG</t>
  </si>
  <si>
    <t xml:space="preserve">GCAGGAAAACGTCCCGACAG</t>
  </si>
  <si>
    <t xml:space="preserve">TAGTGCAGGAAAACGTCCCGACAG</t>
  </si>
  <si>
    <t xml:space="preserve">AAACCTGTCGGGACGTTTTCCTGC</t>
  </si>
  <si>
    <t xml:space="preserve">AATGCTGCGATGCAGCCGAA</t>
  </si>
  <si>
    <t xml:space="preserve">TAGTAATGCTGCGATGCAGCCGAA</t>
  </si>
  <si>
    <t xml:space="preserve">AAACTTCGGCTGCATCGCAGCATT</t>
  </si>
  <si>
    <t xml:space="preserve">PSPPH_4056</t>
  </si>
  <si>
    <t xml:space="preserve">ATTATGTCGTCGAGGTCGAT</t>
  </si>
  <si>
    <t xml:space="preserve">TAGTATTATGTCGTCGAGGTCGAT</t>
  </si>
  <si>
    <t xml:space="preserve">AAACATCGACCTCGACGACATAAT</t>
  </si>
  <si>
    <t xml:space="preserve">TCGGCGGACCGGATGGGCCA</t>
  </si>
  <si>
    <t xml:space="preserve">TAGTTCGGCGGACCGGATGGGCCA</t>
  </si>
  <si>
    <t xml:space="preserve">AAACTGGCCCATCCGGTCCGCCGA</t>
  </si>
  <si>
    <t xml:space="preserve">GGGGGTCCTTCAACCAGGTC</t>
  </si>
  <si>
    <t xml:space="preserve">TAGTGGGGGTCCTTCAACCAGGTC</t>
  </si>
  <si>
    <t xml:space="preserve">AAACGACCTGGTTGAAGGACCCCC</t>
  </si>
  <si>
    <t xml:space="preserve">CTGAGCAGGAAAGCTCGCGC</t>
  </si>
  <si>
    <t xml:space="preserve">TAGTCTGAGCAGGAAAGCTCGCGC</t>
  </si>
  <si>
    <t xml:space="preserve">AAACGCGCGAGCTTTCCTGCTCAG</t>
  </si>
  <si>
    <t xml:space="preserve">PSPPH_4057</t>
  </si>
  <si>
    <t xml:space="preserve">ATAAGTAGCGAAAGAGGCAC</t>
  </si>
  <si>
    <t xml:space="preserve">TAGTATAAGTAGCGAAAGAGGCAC</t>
  </si>
  <si>
    <t xml:space="preserve">AAACGTGCCTCTTTCGCTACTTAT</t>
  </si>
  <si>
    <t xml:space="preserve">GCCGATGGCAAAGGCGCTCA</t>
  </si>
  <si>
    <t xml:space="preserve">TAGTGCCGATGGCAAAGGCGCTCA</t>
  </si>
  <si>
    <t xml:space="preserve">AAACTGAGCGCCTTTGCCATCGGC</t>
  </si>
  <si>
    <t xml:space="preserve">GCCCATGATGACGAATTCGG</t>
  </si>
  <si>
    <t xml:space="preserve">TAGTGCCCATGATGACGAATTCGG</t>
  </si>
  <si>
    <t xml:space="preserve">AAACCCGAATTCGTCATCATGGGC</t>
  </si>
  <si>
    <t xml:space="preserve">CAGCCGCCACATCGGGCAGC</t>
  </si>
  <si>
    <t xml:space="preserve">TAGTCAGCCGCCACATCGGGCAGC</t>
  </si>
  <si>
    <t xml:space="preserve">AAACGCTGCCCGATGTGGCGGCTG</t>
  </si>
  <si>
    <t xml:space="preserve">PSPPH_4058</t>
  </si>
  <si>
    <t xml:space="preserve">xenB</t>
  </si>
  <si>
    <t xml:space="preserve">GCAGATCGCCAATGGTGATC</t>
  </si>
  <si>
    <t xml:space="preserve">TAGTGCAGATCGCCAATGGTGATC</t>
  </si>
  <si>
    <t xml:space="preserve">AAACGATCACCATTGGCGATCTGC</t>
  </si>
  <si>
    <t xml:space="preserve">GGCGCCATGATGATGCGGTT</t>
  </si>
  <si>
    <t xml:space="preserve">TAGTGGCGCCATGATGATGCGGTT</t>
  </si>
  <si>
    <t xml:space="preserve">AAACAACCGCATCATCATGGCGCC</t>
  </si>
  <si>
    <t xml:space="preserve">TCGGCGCGGCAGCGCGTCAG</t>
  </si>
  <si>
    <t xml:space="preserve">TAGTTCGGCGCGGCAGCGCGTCAG</t>
  </si>
  <si>
    <t xml:space="preserve">AAACCTGACGCGCTGCCGCGCCGA</t>
  </si>
  <si>
    <t xml:space="preserve">TACTCGGACATCAATGCATT</t>
  </si>
  <si>
    <t xml:space="preserve">TAGTTACTCGGACATCAATGCATT</t>
  </si>
  <si>
    <t xml:space="preserve">AAACAATGCATTGATGTCCGAGTA</t>
  </si>
  <si>
    <t xml:space="preserve">PSPPH_4059</t>
  </si>
  <si>
    <t xml:space="preserve">GGTCGTTTCTTGCGGGGCAT</t>
  </si>
  <si>
    <t xml:space="preserve">TAGTGGTCGTTTCTTGCGGGGCAT</t>
  </si>
  <si>
    <t xml:space="preserve">AAACATGCCCCGCAAGAAACGACC</t>
  </si>
  <si>
    <t xml:space="preserve">TTCAGCCGGGATGTAATTTT</t>
  </si>
  <si>
    <t xml:space="preserve">TAGTTTCAGCCGGGATGTAATTTT</t>
  </si>
  <si>
    <t xml:space="preserve">AAACAAAATTACATCCCGGCTGAA</t>
  </si>
  <si>
    <t xml:space="preserve">TGGAAACTTCGTCTACTCCC</t>
  </si>
  <si>
    <t xml:space="preserve">TAGTTGGAAACTTCGTCTACTCCC</t>
  </si>
  <si>
    <t xml:space="preserve">AAACGGGAGTAGACGAAGTTTCCA</t>
  </si>
  <si>
    <t xml:space="preserve">GTAAGTGGGCAACGGCGTCC</t>
  </si>
  <si>
    <t xml:space="preserve">TAGTGTAAGTGGGCAACGGCGTCC</t>
  </si>
  <si>
    <t xml:space="preserve">AAACGGACGCCGTTGCCCACTTAC</t>
  </si>
  <si>
    <t xml:space="preserve">PSPPH_4060</t>
  </si>
  <si>
    <t xml:space="preserve">ACGTCATCGACGTCGTCGTA</t>
  </si>
  <si>
    <t xml:space="preserve">TAGTACGTCATCGACGTCGTCGTA</t>
  </si>
  <si>
    <t xml:space="preserve">AAACTACGACGACGTCGATGACGT</t>
  </si>
  <si>
    <t xml:space="preserve">TCGTCCTTGGCGCTCAGGCT</t>
  </si>
  <si>
    <t xml:space="preserve">TAGTTCGTCCTTGGCGCTCAGGCT</t>
  </si>
  <si>
    <t xml:space="preserve">AAACAGCCTGAGCGCCAAGGACGA</t>
  </si>
  <si>
    <t xml:space="preserve">TGTGGTACGCGAATAGACCG</t>
  </si>
  <si>
    <t xml:space="preserve">TAGTTGTGGTACGCGAATAGACCG</t>
  </si>
  <si>
    <t xml:space="preserve">AAACCGGTCTATTCGCGTACCACA</t>
  </si>
  <si>
    <t xml:space="preserve">GGGCCCTTTACCTTGACCAC</t>
  </si>
  <si>
    <t xml:space="preserve">TAGTGGGCCCTTTACCTTGACCAC</t>
  </si>
  <si>
    <t xml:space="preserve">AAACGTGGTCAAGGTAAAGGGCCC</t>
  </si>
  <si>
    <t xml:space="preserve">PSPPH_4061</t>
  </si>
  <si>
    <t xml:space="preserve">GCCGATGAAGCCGCTCGCGC</t>
  </si>
  <si>
    <t xml:space="preserve">TAGTGCCGATGAAGCCGCTCGCGC</t>
  </si>
  <si>
    <t xml:space="preserve">AAACGCGCGAGCGGCTTCATCGGC</t>
  </si>
  <si>
    <t xml:space="preserve">CACGCTCATGCCCTGCTCAA</t>
  </si>
  <si>
    <t xml:space="preserve">TAGTCACGCTCATGCCCTGCTCAA</t>
  </si>
  <si>
    <t xml:space="preserve">AAACTTGAGCAGGGCATGAGCGTG</t>
  </si>
  <si>
    <t xml:space="preserve">GCTCGACACCTTCGGCACGA</t>
  </si>
  <si>
    <t xml:space="preserve">TAGTGCTCGACACCTTCGGCACGA</t>
  </si>
  <si>
    <t xml:space="preserve">AAACTCGTGCCGAAGGTGTCGAGC</t>
  </si>
  <si>
    <t xml:space="preserve">ACTCGGCGCCACGCCTGACC</t>
  </si>
  <si>
    <t xml:space="preserve">TAGTACTCGGCGCCACGCCTGACC</t>
  </si>
  <si>
    <t xml:space="preserve">AAACGGTCAGGCGTGGCGCCGAGT</t>
  </si>
  <si>
    <t xml:space="preserve">PSPPH_4062</t>
  </si>
  <si>
    <t xml:space="preserve">iciA</t>
  </si>
  <si>
    <t xml:space="preserve">CTGAGCGGCACGCTCGAAAC</t>
  </si>
  <si>
    <t xml:space="preserve">TAGTCTGAGCGGCACGCTCGAAAC</t>
  </si>
  <si>
    <t xml:space="preserve">AAACGTTTCGAGCGTGCCGCTCAG</t>
  </si>
  <si>
    <t xml:space="preserve">GGCGTCGCGCGCACCAGCAC</t>
  </si>
  <si>
    <t xml:space="preserve">TAGTGGCGTCGCGCGCACCAGCAC</t>
  </si>
  <si>
    <t xml:space="preserve">AAACGTGCTGGTGCGCGCGACGCC</t>
  </si>
  <si>
    <t xml:space="preserve">CCGATGTCGGTCGGGCTCGG</t>
  </si>
  <si>
    <t xml:space="preserve">TAGTCCGATGTCGGTCGGGCTCGG</t>
  </si>
  <si>
    <t xml:space="preserve">AAACCCGAGCCCGACCGACATCGG</t>
  </si>
  <si>
    <t xml:space="preserve">GCTGTACATGATTGAGCAGG</t>
  </si>
  <si>
    <t xml:space="preserve">TAGTGCTGTACATGATTGAGCAGG</t>
  </si>
  <si>
    <t xml:space="preserve">AAACCCTGCTCAATCATGTACAGC</t>
  </si>
  <si>
    <t xml:space="preserve">PSPPH_4063</t>
  </si>
  <si>
    <t xml:space="preserve">TCAGGCCTGCCGCGATCAGC</t>
  </si>
  <si>
    <t xml:space="preserve">TAGTTCAGGCCTGCCGCGATCAGC</t>
  </si>
  <si>
    <t xml:space="preserve">AAACGCTGATCGCGGCAGGCCTGA</t>
  </si>
  <si>
    <t xml:space="preserve">GCACGTGATGTTCACGGCGC</t>
  </si>
  <si>
    <t xml:space="preserve">TAGTGCACGTGATGTTCACGGCGC</t>
  </si>
  <si>
    <t xml:space="preserve">AAACGCGCCGTGAACATCACGTGC</t>
  </si>
  <si>
    <t xml:space="preserve">ACAATGCACAGCAACGCCAC</t>
  </si>
  <si>
    <t xml:space="preserve">TAGTACAATGCACAGCAACGCCAC</t>
  </si>
  <si>
    <t xml:space="preserve">AAACGTGGCGTTGCTGTGCATTGT</t>
  </si>
  <si>
    <t xml:space="preserve">GACGCCTGCCGCTACCAGAA</t>
  </si>
  <si>
    <t xml:space="preserve">TAGTGACGCCTGCCGCTACCAGAA</t>
  </si>
  <si>
    <t xml:space="preserve">AAACTTCTGGTAGCGGCAGGCGTC</t>
  </si>
  <si>
    <t xml:space="preserve">PSPPH_4064</t>
  </si>
  <si>
    <t xml:space="preserve">sodB</t>
  </si>
  <si>
    <t xml:space="preserve">TGGCGGCAATTCAAAAGCCA</t>
  </si>
  <si>
    <t xml:space="preserve">TAGTTGGCGGCAATTCAAAAGCCA</t>
  </si>
  <si>
    <t xml:space="preserve">AAACTGGCTTTTGAATTGCCGCCA</t>
  </si>
  <si>
    <t xml:space="preserve">GCGTCTTTGGCGTAGGGCAG</t>
  </si>
  <si>
    <t xml:space="preserve">TAGTGCGTCTTTGGCGTAGGGCAG</t>
  </si>
  <si>
    <t xml:space="preserve">AAACCTGCCCTACGCCAAAGACGC</t>
  </si>
  <si>
    <t xml:space="preserve">AGAGTCTCCGCAGAAATGTG</t>
  </si>
  <si>
    <t xml:space="preserve">TAGTAGAGTCTCCGCAGAAATGTG</t>
  </si>
  <si>
    <t xml:space="preserve">AAACCACATTTCTGCGGAGACTCT</t>
  </si>
  <si>
    <t xml:space="preserve">AGGTGTTGTGGTGCTTGTCG</t>
  </si>
  <si>
    <t xml:space="preserve">TAGTAGGTGTTGTGGTGCTTGTCG</t>
  </si>
  <si>
    <t xml:space="preserve">AAACCGACAAGCACCACAACACCT</t>
  </si>
  <si>
    <t xml:space="preserve">PSPPH_4065</t>
  </si>
  <si>
    <t xml:space="preserve">TTCTTGAGTTCCAGCTTCAA</t>
  </si>
  <si>
    <t xml:space="preserve">TAGTTTCTTGAGTTCCAGCTTCAA</t>
  </si>
  <si>
    <t xml:space="preserve">AAACTTGAAGCTGGAACTCAAGAA</t>
  </si>
  <si>
    <t xml:space="preserve">CGCGCAGCAACTTTACCGAA</t>
  </si>
  <si>
    <t xml:space="preserve">TAGTCGCGCAGCAACTTTACCGAA</t>
  </si>
  <si>
    <t xml:space="preserve">AAACTTCGGTAAAGTTGCTGCGCG</t>
  </si>
  <si>
    <t xml:space="preserve">CACGGCCTGACGCGTCTTGT</t>
  </si>
  <si>
    <t xml:space="preserve">TAGTCACGGCCTGACGCGTCTTGT</t>
  </si>
  <si>
    <t xml:space="preserve">AAACACAAGACGCGTCAGGCCGTG</t>
  </si>
  <si>
    <t xml:space="preserve">GAACATTCCGAGAATTCGTT</t>
  </si>
  <si>
    <t xml:space="preserve">TAGTGAACATTCCGAGAATTCGTT</t>
  </si>
  <si>
    <t xml:space="preserve">AAACAACGAATTCTCGGAATGTTC</t>
  </si>
  <si>
    <t xml:space="preserve">PSPPH_4066</t>
  </si>
  <si>
    <t xml:space="preserve">AACAGACTAGCGGTTGCCAG</t>
  </si>
  <si>
    <t xml:space="preserve">TAGTAACAGACTAGCGGTTGCCAG</t>
  </si>
  <si>
    <t xml:space="preserve">AAACCTGGCAACCGCTAGTCTGTT</t>
  </si>
  <si>
    <t xml:space="preserve">ACTGGCGAGAGAGATAGCGA</t>
  </si>
  <si>
    <t xml:space="preserve">TAGTACTGGCGAGAGAGATAGCGA</t>
  </si>
  <si>
    <t xml:space="preserve">AAACTCGCTATCTCTCTCGCCAGT</t>
  </si>
  <si>
    <t xml:space="preserve">GGCTGGCGCGGGTGCCGGGG</t>
  </si>
  <si>
    <t xml:space="preserve">TAGTGGCTGGCGCGGGTGCCGGGG</t>
  </si>
  <si>
    <t xml:space="preserve">AAACCCCCGGCACCCGCGCCAGCC</t>
  </si>
  <si>
    <t xml:space="preserve">CGCGGGAGTCGCAGGAGCAG</t>
  </si>
  <si>
    <t xml:space="preserve">TAGTCGCGGGAGTCGCAGGAGCAG</t>
  </si>
  <si>
    <t xml:space="preserve">AAACCTGCTCCTGCGACTCCCGCG</t>
  </si>
  <si>
    <t xml:space="preserve">PSPPH_4067</t>
  </si>
  <si>
    <t xml:space="preserve">TCACGAGCGCGCTGTTTTCC</t>
  </si>
  <si>
    <t xml:space="preserve">TAGTTCACGAGCGCGCTGTTTTCC</t>
  </si>
  <si>
    <t xml:space="preserve">AAACGGAAAACAGCGCGCTCGTGA</t>
  </si>
  <si>
    <t xml:space="preserve">CGCTTCCAGCGTCTCGATTG</t>
  </si>
  <si>
    <t xml:space="preserve">TAGTCGCTTCCAGCGTCTCGATTG</t>
  </si>
  <si>
    <t xml:space="preserve">AAACCAATCGAGACGCTGGAAGCG</t>
  </si>
  <si>
    <t xml:space="preserve">TCATGGAAGGAGGAGCAATC</t>
  </si>
  <si>
    <t xml:space="preserve">TAGTTCATGGAAGGAGGAGCAATC</t>
  </si>
  <si>
    <t xml:space="preserve">AAACGATTGCTCCTCCTTCCATGA</t>
  </si>
  <si>
    <t xml:space="preserve">GCCGGTAAACCGCGTGAATA</t>
  </si>
  <si>
    <t xml:space="preserve">TAGTGCCGGTAAACCGCGTGAATA</t>
  </si>
  <si>
    <t xml:space="preserve">AAACTATTCACGCGGTTTACCGGC</t>
  </si>
  <si>
    <t xml:space="preserve">PSPPH_4068</t>
  </si>
  <si>
    <t xml:space="preserve">TAAGCAAGGCGAGGGATAGA</t>
  </si>
  <si>
    <t xml:space="preserve">TAGTTAAGCAAGGCGAGGGATAGA</t>
  </si>
  <si>
    <t xml:space="preserve">AAACTCTATCCCTCGCCTTGCTTA</t>
  </si>
  <si>
    <t xml:space="preserve">GGCGTCATCGCATGCACTCA</t>
  </si>
  <si>
    <t xml:space="preserve">TAGTGGCGTCATCGCATGCACTCA</t>
  </si>
  <si>
    <t xml:space="preserve">AAACTGAGTGCATGCGATGACGCC</t>
  </si>
  <si>
    <t xml:space="preserve">CTCGGCATGAGTGAAACGCG</t>
  </si>
  <si>
    <t xml:space="preserve">TAGTCTCGGCATGAGTGAAACGCG</t>
  </si>
  <si>
    <t xml:space="preserve">AAACCGCGTTTCACTCATGCCGAG</t>
  </si>
  <si>
    <t xml:space="preserve">CCTCCGGACAAGGCTTCTCC</t>
  </si>
  <si>
    <t xml:space="preserve">TAGTCCTCCGGACAAGGCTTCTCC</t>
  </si>
  <si>
    <t xml:space="preserve">AAACGGAGAAGCCTTGTCCGGAGG</t>
  </si>
  <si>
    <t xml:space="preserve">PSPPH_4069</t>
  </si>
  <si>
    <t xml:space="preserve">TGGTCAGCAACAACTTGGGT</t>
  </si>
  <si>
    <t xml:space="preserve">TAGTTGGTCAGCAACAACTTGGGT</t>
  </si>
  <si>
    <t xml:space="preserve">AAACACCCAAGTTGTTGCTGACCA</t>
  </si>
  <si>
    <t xml:space="preserve">CAATGCAAGCGCCGCAAGGC</t>
  </si>
  <si>
    <t xml:space="preserve">TAGTCAATGCAAGCGCCGCAAGGC</t>
  </si>
  <si>
    <t xml:space="preserve">AAACGCCTTGCGGCGCTTGCATTG</t>
  </si>
  <si>
    <t xml:space="preserve">CTGAGGGTCGGATGGCGAGC</t>
  </si>
  <si>
    <t xml:space="preserve">TAGTCTGAGGGTCGGATGGCGAGC</t>
  </si>
  <si>
    <t xml:space="preserve">AAACGCTCGCCATCCGACCCTCAG</t>
  </si>
  <si>
    <t xml:space="preserve">TACCTGTTTGGCAATGGCTG</t>
  </si>
  <si>
    <t xml:space="preserve">TAGTTACCTGTTTGGCAATGGCTG</t>
  </si>
  <si>
    <t xml:space="preserve">AAACCAGCCATTGCCAAACAGGTA</t>
  </si>
  <si>
    <t xml:space="preserve">PSPPH_4070</t>
  </si>
  <si>
    <t xml:space="preserve">CAAGAGACTGCCGAGGGCCA</t>
  </si>
  <si>
    <t xml:space="preserve">TAGTCAAGAGACTGCCGAGGGCCA</t>
  </si>
  <si>
    <t xml:space="preserve">AAACTGGCCCTCGGCAGTCTCTTG</t>
  </si>
  <si>
    <t xml:space="preserve">CGAGCGGAGAGCAGCAGAGG</t>
  </si>
  <si>
    <t xml:space="preserve">TAGTCGAGCGGAGAGCAGCAGAGG</t>
  </si>
  <si>
    <t xml:space="preserve">AAACCCTCTGCTGCTCTCCGCTCG</t>
  </si>
  <si>
    <t xml:space="preserve">ATACCTGCGTTCCGTCGAGC</t>
  </si>
  <si>
    <t xml:space="preserve">TAGTATACCTGCGTTCCGTCGAGC</t>
  </si>
  <si>
    <t xml:space="preserve">AAACGCTCGACGGAACGCAGGTAT</t>
  </si>
  <si>
    <t xml:space="preserve">GCAGCGCTGGCCCACCCGGG</t>
  </si>
  <si>
    <t xml:space="preserve">TAGTGCAGCGCTGGCCCACCCGGG</t>
  </si>
  <si>
    <t xml:space="preserve">AAACCCCGGGTGGGCCAGCGCTGC</t>
  </si>
  <si>
    <t xml:space="preserve">PSPPH_4071</t>
  </si>
  <si>
    <t xml:space="preserve">AAGCGCTGCCACTGCGACGG</t>
  </si>
  <si>
    <t xml:space="preserve">TAGTAAGCGCTGCCACTGCGACGG</t>
  </si>
  <si>
    <t xml:space="preserve">AAACCCGTCGCAGTGGCAGCGCTT</t>
  </si>
  <si>
    <t xml:space="preserve">GTCGTGAGTATCTGGGTAGA</t>
  </si>
  <si>
    <t xml:space="preserve">TAGTGTCGTGAGTATCTGGGTAGA</t>
  </si>
  <si>
    <t xml:space="preserve">AAACTCTACCCAGATACTCACGAC</t>
  </si>
  <si>
    <t xml:space="preserve">TCTTGGCCACACGCGGCAAC</t>
  </si>
  <si>
    <t xml:space="preserve">TAGTTCTTGGCCACACGCGGCAAC</t>
  </si>
  <si>
    <t xml:space="preserve">AAACGTTGCCGCGTGTGGCCAAGA</t>
  </si>
  <si>
    <t xml:space="preserve">AACAGCAACAGGTCATGATC</t>
  </si>
  <si>
    <t xml:space="preserve">TAGTAACAGCAACAGGTCATGATC</t>
  </si>
  <si>
    <t xml:space="preserve">AAACGATCATGACCTGTTGCTGTT</t>
  </si>
  <si>
    <t xml:space="preserve">PSPPH_4072</t>
  </si>
  <si>
    <t xml:space="preserve">GTTCATAACTGGCTCTTTCA</t>
  </si>
  <si>
    <t xml:space="preserve">TAGTGTTCATAACTGGCTCTTTCA</t>
  </si>
  <si>
    <t xml:space="preserve">AAACTGAAAGAGCCAGTTATGAAC</t>
  </si>
  <si>
    <t xml:space="preserve">CGCCGTGCTGACTCCAGAAA</t>
  </si>
  <si>
    <t xml:space="preserve">TAGTCGCCGTGCTGACTCCAGAAA</t>
  </si>
  <si>
    <t xml:space="preserve">AAACTTTCTGGAGTCAGCACGGCG</t>
  </si>
  <si>
    <t xml:space="preserve">TCTCCACCTCGACGGGAATT</t>
  </si>
  <si>
    <t xml:space="preserve">TAGTTCTCCACCTCGACGGGAATT</t>
  </si>
  <si>
    <t xml:space="preserve">AAACAATTCCCGTCGAGGTGGAGA</t>
  </si>
  <si>
    <t xml:space="preserve">TATATGCCCTGTCTGACGCT</t>
  </si>
  <si>
    <t xml:space="preserve">TAGTTATATGCCCTGTCTGACGCT</t>
  </si>
  <si>
    <t xml:space="preserve">AAACAGCGTCAGACAGGGCATATA</t>
  </si>
  <si>
    <t xml:space="preserve">PSPPH_4073</t>
  </si>
  <si>
    <t xml:space="preserve">GTTGATGCGGGCCAAACTAA</t>
  </si>
  <si>
    <t xml:space="preserve">TAGTGTTGATGCGGGCCAAACTAA</t>
  </si>
  <si>
    <t xml:space="preserve">AAACTTAGTTTGGCCCGCATCAAC</t>
  </si>
  <si>
    <t xml:space="preserve">GGGAAAACTCGAGTTCTATG</t>
  </si>
  <si>
    <t xml:space="preserve">TAGTGGGAAAACTCGAGTTCTATG</t>
  </si>
  <si>
    <t xml:space="preserve">AAACCATAGAACTCGAGTTTTCCC</t>
  </si>
  <si>
    <t xml:space="preserve">ATGCGACTTGTCGTACTTGC</t>
  </si>
  <si>
    <t xml:space="preserve">TAGTATGCGACTTGTCGTACTTGC</t>
  </si>
  <si>
    <t xml:space="preserve">AAACGCAAGTACGACAAGTCGCAT</t>
  </si>
  <si>
    <t xml:space="preserve">GACCGTCCTGATGCTTTTCA</t>
  </si>
  <si>
    <t xml:space="preserve">TAGTGACCGTCCTGATGCTTTTCA</t>
  </si>
  <si>
    <t xml:space="preserve">AAACTGAAAAGCATCAGGACGGTC</t>
  </si>
  <si>
    <t xml:space="preserve">PSPPH_4074</t>
  </si>
  <si>
    <t xml:space="preserve">colS</t>
  </si>
  <si>
    <t xml:space="preserve">AAAGGCAATGATGATCCGTT</t>
  </si>
  <si>
    <t xml:space="preserve">TAGTAAAGGCAATGATGATCCGTT</t>
  </si>
  <si>
    <t xml:space="preserve">AAACAACGGATCATCATTGCCTTT</t>
  </si>
  <si>
    <t xml:space="preserve">AATGCCGATGGCGAAAGACC</t>
  </si>
  <si>
    <t xml:space="preserve">TAGTAATGCCGATGGCGAAAGACC</t>
  </si>
  <si>
    <t xml:space="preserve">AAACGGTCTTTCGCCATCGGCATT</t>
  </si>
  <si>
    <t xml:space="preserve">TTCTTCGACCAGATGGACCG</t>
  </si>
  <si>
    <t xml:space="preserve">TAGTTTCTTCGACCAGATGGACCG</t>
  </si>
  <si>
    <t xml:space="preserve">AAACCGGTCCATCTGGTCGAAGAA</t>
  </si>
  <si>
    <t xml:space="preserve">ATTAAGGTCGCCGCCAAGAC</t>
  </si>
  <si>
    <t xml:space="preserve">TAGTATTAAGGTCGCCGCCAAGAC</t>
  </si>
  <si>
    <t xml:space="preserve">AAACGTCTTGGCGGCGACCTTAAT</t>
  </si>
  <si>
    <t xml:space="preserve">PSPPH_4075</t>
  </si>
  <si>
    <t xml:space="preserve">colR</t>
  </si>
  <si>
    <t xml:space="preserve">CCATGTTCGCCAGGATGTCG</t>
  </si>
  <si>
    <t xml:space="preserve">TAGTCCATGTTCGCCAGGATGTCG</t>
  </si>
  <si>
    <t xml:space="preserve">AAACCGACATCCTGGCGAACATGG</t>
  </si>
  <si>
    <t xml:space="preserve">GCCTTTCATGCCCAGGTAAT</t>
  </si>
  <si>
    <t xml:space="preserve">TAGTGCCTTTCATGCCCAGGTAAT</t>
  </si>
  <si>
    <t xml:space="preserve">AAACATTACCTGGGCATGAAAGGC</t>
  </si>
  <si>
    <t xml:space="preserve">GCCATCCTGAGCGCAGTCGA</t>
  </si>
  <si>
    <t xml:space="preserve">TAGTGCCATCCTGAGCGCAGTCGA</t>
  </si>
  <si>
    <t xml:space="preserve">AAACTCGACTGCGCTCAGGATGGC</t>
  </si>
  <si>
    <t xml:space="preserve">CTGCCAGGTGCAGTCCTGAG</t>
  </si>
  <si>
    <t xml:space="preserve">TAGTCTGCCAGGTGCAGTCCTGAG</t>
  </si>
  <si>
    <t xml:space="preserve">AAACCTCAGGACTGCACCTGGCAG</t>
  </si>
  <si>
    <t xml:space="preserve">PSPPH_4076</t>
  </si>
  <si>
    <t xml:space="preserve">GCGAGAATAGGGTGGGGCGA</t>
  </si>
  <si>
    <t xml:space="preserve">TAGTGCGAGAATAGGGTGGGGCGA</t>
  </si>
  <si>
    <t xml:space="preserve">AAACTCGCCCCACCCTATTCTCGC</t>
  </si>
  <si>
    <t xml:space="preserve">GGGATACCCAGATAAATCCA</t>
  </si>
  <si>
    <t xml:space="preserve">TAGTGGGATACCCAGATAAATCCA</t>
  </si>
  <si>
    <t xml:space="preserve">AAACTGGATTTATCTGGGTATCCC</t>
  </si>
  <si>
    <t xml:space="preserve">GGATCAGCGCGACAACAGCG</t>
  </si>
  <si>
    <t xml:space="preserve">TAGTGGATCAGCGCGACAACAGCG</t>
  </si>
  <si>
    <t xml:space="preserve">AAACCGCTGTTGTCGCGCTGATCC</t>
  </si>
  <si>
    <t xml:space="preserve">AAGTCAGCTCAAGGAGTACG</t>
  </si>
  <si>
    <t xml:space="preserve">TAGTAAGTCAGCTCAAGGAGTACG</t>
  </si>
  <si>
    <t xml:space="preserve">AAACCGTACTCCTTGAGCTGACTT</t>
  </si>
  <si>
    <t xml:space="preserve">PSPPH_4077</t>
  </si>
  <si>
    <t xml:space="preserve">groEL</t>
  </si>
  <si>
    <t xml:space="preserve">CACCGGCGAGCATTTTTTTG</t>
  </si>
  <si>
    <t xml:space="preserve">TAGTCACCGGCGAGCATTTTTTTG</t>
  </si>
  <si>
    <t xml:space="preserve">AAACCAAAAAAATGCTCGCCGGTG</t>
  </si>
  <si>
    <t xml:space="preserve">TCGCTTTAACTGCGTCAGCC</t>
  </si>
  <si>
    <t xml:space="preserve">TAGTTCGCTTTAACTGCGTCAGCC</t>
  </si>
  <si>
    <t xml:space="preserve">AAACGGCTGACGCAGTTAAAGCGA</t>
  </si>
  <si>
    <t xml:space="preserve">GTTACGGCCTTTAGGGCCCA</t>
  </si>
  <si>
    <t xml:space="preserve">TAGTGTTACGGCCTTTAGGGCCCA</t>
  </si>
  <si>
    <t xml:space="preserve">AAACTGGGCCCTAAAGGCCGTAAC</t>
  </si>
  <si>
    <t xml:space="preserve">ACACCGTCTTTGGTGATCAG</t>
  </si>
  <si>
    <t xml:space="preserve">TAGTACACCGTCTTTGGTGATCAG</t>
  </si>
  <si>
    <t xml:space="preserve">AAACCTGATCACCAAAGACGGTGT</t>
  </si>
  <si>
    <t xml:space="preserve">PSPPH_4078</t>
  </si>
  <si>
    <t xml:space="preserve">groES</t>
  </si>
  <si>
    <t xml:space="preserve">ATTACGACGCGGTCATGCAG</t>
  </si>
  <si>
    <t xml:space="preserve">TAGTATTACGACGCGGTCATGCAG</t>
  </si>
  <si>
    <t xml:space="preserve">AAACCTGCATGACCGCGTCGTAAT</t>
  </si>
  <si>
    <t xml:space="preserve">TCGTTTCTTCTTCACTGCGA</t>
  </si>
  <si>
    <t xml:space="preserve">TAGTTCGTTTCTTCTTCACTGCGA</t>
  </si>
  <si>
    <t xml:space="preserve">AAACTCGCAGTGAAGAAGAAACGA</t>
  </si>
  <si>
    <t xml:space="preserve">ACCTGGCAGAACTATACCGC</t>
  </si>
  <si>
    <t xml:space="preserve">TAGTACCTGGCAGAACTATACCGC</t>
  </si>
  <si>
    <t xml:space="preserve">AAACGCGGTATAGTTCTGCCAGGT</t>
  </si>
  <si>
    <t xml:space="preserve">CTACAGCAACGATCTCGCCG</t>
  </si>
  <si>
    <t xml:space="preserve">TAGTCTACAGCAACGATCTCGCCG</t>
  </si>
  <si>
    <t xml:space="preserve">AAACCGGCGAGATCGTTGCTGTAG</t>
  </si>
  <si>
    <t xml:space="preserve">PSPPH_4079</t>
  </si>
  <si>
    <t xml:space="preserve">GCAGAAACAGCTCAAGTACC</t>
  </si>
  <si>
    <t xml:space="preserve">TAGTGCAGAAACAGCTCAAGTACC</t>
  </si>
  <si>
    <t xml:space="preserve">AAACGGTACTTGAGCTGTTTCTGC</t>
  </si>
  <si>
    <t xml:space="preserve">GAAGGTCCAGAGAAAGCCGA</t>
  </si>
  <si>
    <t xml:space="preserve">TAGTGAAGGTCCAGAGAAAGCCGA</t>
  </si>
  <si>
    <t xml:space="preserve">AAACTCGGCTTTCTCTGGACCTTC</t>
  </si>
  <si>
    <t xml:space="preserve">TCGACGTCGCGACGACCAGC</t>
  </si>
  <si>
    <t xml:space="preserve">TAGTTCGACGTCGCGACGACCAGC</t>
  </si>
  <si>
    <t xml:space="preserve">AAACGCTGGTCGTCGCGACGTCGA</t>
  </si>
  <si>
    <t xml:space="preserve">ACGCAGCGCCGTTGCAAAAC</t>
  </si>
  <si>
    <t xml:space="preserve">TAGTACGCAGCGCCGTTGCAAAAC</t>
  </si>
  <si>
    <t xml:space="preserve">AAACGTTTTGCAACGGCGCTGCGT</t>
  </si>
  <si>
    <t xml:space="preserve">PSPPH_4080</t>
  </si>
  <si>
    <t xml:space="preserve">GCCTAGCCCCTGGCATCCGC</t>
  </si>
  <si>
    <t xml:space="preserve">TAGTGCCTAGCCCCTGGCATCCGC</t>
  </si>
  <si>
    <t xml:space="preserve">AAACGCGGATGCCAGGGGCTAGGC</t>
  </si>
  <si>
    <t xml:space="preserve">GCCAGCCAGATATTCGGCCA</t>
  </si>
  <si>
    <t xml:space="preserve">TAGTGCCAGCCAGATATTCGGCCA</t>
  </si>
  <si>
    <t xml:space="preserve">AAACTGGCCGAATATCTGGCTGGC</t>
  </si>
  <si>
    <t xml:space="preserve">GATTCAGGTCCAGCAGTGCC</t>
  </si>
  <si>
    <t xml:space="preserve">TAGTGATTCAGGTCCAGCAGTGCC</t>
  </si>
  <si>
    <t xml:space="preserve">AAACGGCACTGCTGGACCTGAATC</t>
  </si>
  <si>
    <t xml:space="preserve">GAGCGCCTCACAGGCTACGA</t>
  </si>
  <si>
    <t xml:space="preserve">TAGTGAGCGCCTCACAGGCTACGA</t>
  </si>
  <si>
    <t xml:space="preserve">AAACTCGTAGCCTGTGAGGCGCTC</t>
  </si>
  <si>
    <t xml:space="preserve">PSPPH_4081</t>
  </si>
  <si>
    <t xml:space="preserve">TGCGAGGCACAGCAGGGTTC</t>
  </si>
  <si>
    <t xml:space="preserve">TAGTTGCGAGGCACAGCAGGGTTC</t>
  </si>
  <si>
    <t xml:space="preserve">AAACGAACCCTGCTGTGCCTCGCA</t>
  </si>
  <si>
    <t xml:space="preserve">AGTGTCGGCAAGCAATGGAG</t>
  </si>
  <si>
    <t xml:space="preserve">TAGTAGTGTCGGCAAGCAATGGAG</t>
  </si>
  <si>
    <t xml:space="preserve">AAACCTCCATTGCTTGCCGACACT</t>
  </si>
  <si>
    <t xml:space="preserve">CGGAATAGCGCCGCCGTATT</t>
  </si>
  <si>
    <t xml:space="preserve">TAGTCGGAATAGCGCCGCCGTATT</t>
  </si>
  <si>
    <t xml:space="preserve">AAACAATACGGCGGCGCTATTCCG</t>
  </si>
  <si>
    <t xml:space="preserve">TTGACCTGCTTCCAGTCCAA</t>
  </si>
  <si>
    <t xml:space="preserve">TAGTTTGACCTGCTTCCAGTCCAA</t>
  </si>
  <si>
    <t xml:space="preserve">AAACTTGGACTGGAAGCAGGTCAA</t>
  </si>
  <si>
    <t xml:space="preserve">PSPPH_4082</t>
  </si>
  <si>
    <t xml:space="preserve">AAGAAGTGTCAAGTCCGGGT</t>
  </si>
  <si>
    <t xml:space="preserve">TAGTAAGAAGTGTCAAGTCCGGGT</t>
  </si>
  <si>
    <t xml:space="preserve">AAACACCCGGACTTGACACTTCTT</t>
  </si>
  <si>
    <t xml:space="preserve">CGGCAGCTGACGGCTCGCCA</t>
  </si>
  <si>
    <t xml:space="preserve">TAGTCGGCAGCTGACGGCTCGCCA</t>
  </si>
  <si>
    <t xml:space="preserve">AAACTGGCGAGCCGTCAGCTGCCG</t>
  </si>
  <si>
    <t xml:space="preserve">GAGGGCCGTACGTCGCATTT</t>
  </si>
  <si>
    <t xml:space="preserve">TAGTGAGGGCCGTACGTCGCATTT</t>
  </si>
  <si>
    <t xml:space="preserve">AAACAAATGCGACGTACGGCCCTC</t>
  </si>
  <si>
    <t xml:space="preserve">CCGGTATTTGCGCCATCGTC</t>
  </si>
  <si>
    <t xml:space="preserve">TAGTCCGGTATTTGCGCCATCGTC</t>
  </si>
  <si>
    <t xml:space="preserve">AAACGACGATGGCGCAAATACCGG</t>
  </si>
  <si>
    <t xml:space="preserve">PSPPH_4083</t>
  </si>
  <si>
    <t xml:space="preserve">CGCCAGGTTTTACGGGGCAT</t>
  </si>
  <si>
    <t xml:space="preserve">TAGTCGCCAGGTTTTACGGGGCAT</t>
  </si>
  <si>
    <t xml:space="preserve">AAACATGCCCCGTAAAACCTGGCG</t>
  </si>
  <si>
    <t xml:space="preserve">GCTGGCATATGCGGCGAGCG</t>
  </si>
  <si>
    <t xml:space="preserve">TAGTGCTGGCATATGCGGCGAGCG</t>
  </si>
  <si>
    <t xml:space="preserve">AAACCGCTCGCCGCATATGCCAGC</t>
  </si>
  <si>
    <t xml:space="preserve">GCAGTAACACTAATGTCGAC</t>
  </si>
  <si>
    <t xml:space="preserve">TAGTGCAGTAACACTAATGTCGAC</t>
  </si>
  <si>
    <t xml:space="preserve">AAACGTCGACATTAGTGTTACTGC</t>
  </si>
  <si>
    <t xml:space="preserve">GTCGAAAAGACCAGCATATA</t>
  </si>
  <si>
    <t xml:space="preserve">TAGTGTCGAAAAGACCAGCATATA</t>
  </si>
  <si>
    <t xml:space="preserve">AAACTATATGCTGGTCTTTTCGAC</t>
  </si>
  <si>
    <t xml:space="preserve">PSPPH_4084</t>
  </si>
  <si>
    <t xml:space="preserve">GAAAGGGCGTGTTTGGTTTT</t>
  </si>
  <si>
    <t xml:space="preserve">TAGTGAAAGGGCGTGTTTGGTTTT</t>
  </si>
  <si>
    <t xml:space="preserve">AAACAAAACCAAACACGCCCTTTC</t>
  </si>
  <si>
    <t xml:space="preserve">TGATAAGAATCAGTGGGATG</t>
  </si>
  <si>
    <t xml:space="preserve">TAGTTGATAAGAATCAGTGGGATG</t>
  </si>
  <si>
    <t xml:space="preserve">AAACCATCCCACTGATTCTTATCA</t>
  </si>
  <si>
    <t xml:space="preserve">TGATGGGTAGCCAGATCCCC</t>
  </si>
  <si>
    <t xml:space="preserve">TAGTTGATGGGTAGCCAGATCCCC</t>
  </si>
  <si>
    <t xml:space="preserve">AAACGGGGATCTGGCTACCCATCA</t>
  </si>
  <si>
    <t xml:space="preserve">CGACAGATAATATGTCAGCA</t>
  </si>
  <si>
    <t xml:space="preserve">TAGTCGACAGATAATATGTCAGCA</t>
  </si>
  <si>
    <t xml:space="preserve">AAACTGCTGACATATTATCTGTCG</t>
  </si>
  <si>
    <t xml:space="preserve">PSPPH_4089</t>
  </si>
  <si>
    <t xml:space="preserve">GTAGTGAGATTTTCGGTTGA</t>
  </si>
  <si>
    <t xml:space="preserve">TAGTGTAGTGAGATTTTCGGTTGA</t>
  </si>
  <si>
    <t xml:space="preserve">AAACTCAACCGAAAATCTCACTAC</t>
  </si>
  <si>
    <t xml:space="preserve">AGATATACGCCTTCAGCTTG</t>
  </si>
  <si>
    <t xml:space="preserve">TAGTAGATATACGCCTTCAGCTTG</t>
  </si>
  <si>
    <t xml:space="preserve">AAACCAAGCTGAAGGCGTATATCT</t>
  </si>
  <si>
    <t xml:space="preserve">GTGCTTTAAAGTAGGCAAGT</t>
  </si>
  <si>
    <t xml:space="preserve">TAGTGTGCTTTAAAGTAGGCAAGT</t>
  </si>
  <si>
    <t xml:space="preserve">AAACACTTGCCTACTTTAAAGCAC</t>
  </si>
  <si>
    <t xml:space="preserve">CAGCAGTAAAGTGCCCAAAA</t>
  </si>
  <si>
    <t xml:space="preserve">TAGTCAGCAGTAAAGTGCCCAAAA</t>
  </si>
  <si>
    <t xml:space="preserve">AAACTTTTGGGCACTTTACTGCTG</t>
  </si>
  <si>
    <t xml:space="preserve">PSPPH_4090</t>
  </si>
  <si>
    <t xml:space="preserve">GTGGCGTCGCCCAGGCAGAC</t>
  </si>
  <si>
    <t xml:space="preserve">TAGTGTGGCGTCGCCCAGGCAGAC</t>
  </si>
  <si>
    <t xml:space="preserve">AAACGTCTGCCTGGGCGACGCCAC</t>
  </si>
  <si>
    <t xml:space="preserve">CACCACTCGGCCACCACTGC</t>
  </si>
  <si>
    <t xml:space="preserve">TAGTCACCACTCGGCCACCACTGC</t>
  </si>
  <si>
    <t xml:space="preserve">AAACGCAGTGGTGGCCGAGTGGTG</t>
  </si>
  <si>
    <t xml:space="preserve">GTGAGTGCCTGCCAATTGGC</t>
  </si>
  <si>
    <t xml:space="preserve">TAGTGTGAGTGCCTGCCAATTGGC</t>
  </si>
  <si>
    <t xml:space="preserve">AAACGCCAATTGGCAGGCACTCAC</t>
  </si>
  <si>
    <t xml:space="preserve">TTGTCGCCCAGTACGGCCGG</t>
  </si>
  <si>
    <t xml:space="preserve">TAGTTTGTCGCCCAGTACGGCCGG</t>
  </si>
  <si>
    <t xml:space="preserve">AAACCCGGCCGTACTGGGCGACAA</t>
  </si>
  <si>
    <t xml:space="preserve">PSPPH_4091</t>
  </si>
  <si>
    <t xml:space="preserve">CTTCCTTGTTCCAATTGAGG</t>
  </si>
  <si>
    <t xml:space="preserve">TAGTCTTCCTTGTTCCAATTGAGG</t>
  </si>
  <si>
    <t xml:space="preserve">AAACCCTCAATTGGAACAAGGAAG</t>
  </si>
  <si>
    <t xml:space="preserve">GACTAAATGCATCCCTACGA</t>
  </si>
  <si>
    <t xml:space="preserve">TAGTGACTAAATGCATCCCTACGA</t>
  </si>
  <si>
    <t xml:space="preserve">AAACTCGTAGGGATGCATTTAGTC</t>
  </si>
  <si>
    <t xml:space="preserve">GCCCGCTAATAGAACCATCC</t>
  </si>
  <si>
    <t xml:space="preserve">TAGTGCCCGCTAATAGAACCATCC</t>
  </si>
  <si>
    <t xml:space="preserve">AAACGGATGGTTCTATTAGCGGGC</t>
  </si>
  <si>
    <t xml:space="preserve">ACCAATCAACTCGTCACACG</t>
  </si>
  <si>
    <t xml:space="preserve">TAGTACCAATCAACTCGTCACACG</t>
  </si>
  <si>
    <t xml:space="preserve">AAACCGTGTGACGAGTTGATTGGT</t>
  </si>
  <si>
    <t xml:space="preserve">PSPPH_4092</t>
  </si>
  <si>
    <t xml:space="preserve">CTCCATGATCATCGAAATCC</t>
  </si>
  <si>
    <t xml:space="preserve">TAGTCTCCATGATCATCGAAATCC</t>
  </si>
  <si>
    <t xml:space="preserve">AAACGGATTTCGATGATCATGGAG</t>
  </si>
  <si>
    <t xml:space="preserve">TTACGACTGCCAGCAGCAAG</t>
  </si>
  <si>
    <t xml:space="preserve">TAGTTTACGACTGCCAGCAGCAAG</t>
  </si>
  <si>
    <t xml:space="preserve">AAACCTTGCTGCTGGCAGTCGTAA</t>
  </si>
  <si>
    <t xml:space="preserve">CGCCCAGTTTTCCGGTCAGC</t>
  </si>
  <si>
    <t xml:space="preserve">TAGTCGCCCAGTTTTCCGGTCAGC</t>
  </si>
  <si>
    <t xml:space="preserve">AAACGCTGACCGGAAAACTGGGCG</t>
  </si>
  <si>
    <t xml:space="preserve">GGCCAGGTCGGCGTGTCGCA</t>
  </si>
  <si>
    <t xml:space="preserve">TAGTGGCCAGGTCGGCGTGTCGCA</t>
  </si>
  <si>
    <t xml:space="preserve">AAACTGCGACACGCCGACCTGGCC</t>
  </si>
  <si>
    <t xml:space="preserve">PSPPH_4093</t>
  </si>
  <si>
    <t xml:space="preserve">TCGGACACTACGTCGAACGA</t>
  </si>
  <si>
    <t xml:space="preserve">TAGTTCGGACACTACGTCGAACGA</t>
  </si>
  <si>
    <t xml:space="preserve">AAACTCGTTCGACGTAGTGTCCGA</t>
  </si>
  <si>
    <t xml:space="preserve">CTCTTTGATGGCATTGTCGA</t>
  </si>
  <si>
    <t xml:space="preserve">TAGTCTCTTTGATGGCATTGTCGA</t>
  </si>
  <si>
    <t xml:space="preserve">AAACTCGACAATGCCATCAAAGAG</t>
  </si>
  <si>
    <t xml:space="preserve">TGCCTTTGAGGTCATAGCGA</t>
  </si>
  <si>
    <t xml:space="preserve">TAGTTGCCTTTGAGGTCATAGCGA</t>
  </si>
  <si>
    <t xml:space="preserve">AAACTCGCTATGACCTCAAAGGCA</t>
  </si>
  <si>
    <t xml:space="preserve">CAGCTGAAAGTCTGCTTCTG</t>
  </si>
  <si>
    <t xml:space="preserve">TAGTCAGCTGAAAGTCTGCTTCTG</t>
  </si>
  <si>
    <t xml:space="preserve">AAACCAGAAGCAGACTTTCAGCTG</t>
  </si>
  <si>
    <t xml:space="preserve">PSPPH_4095</t>
  </si>
  <si>
    <t xml:space="preserve">AGGCGTTGGCGCAAAGGCAT</t>
  </si>
  <si>
    <t xml:space="preserve">TAGTAGGCGTTGGCGCAAAGGCAT</t>
  </si>
  <si>
    <t xml:space="preserve">AAACATGCCTTTGCGCCAACGCCT</t>
  </si>
  <si>
    <t xml:space="preserve">GACCTACCGGCAGGTTTTCC</t>
  </si>
  <si>
    <t xml:space="preserve">TAGTGACCTACCGGCAGGTTTTCC</t>
  </si>
  <si>
    <t xml:space="preserve">AAACGGAAAACCTGCCGGTAGGTC</t>
  </si>
  <si>
    <t xml:space="preserve">GGTCATCAGGACCAGCAGGG</t>
  </si>
  <si>
    <t xml:space="preserve">TAGTGGTCATCAGGACCAGCAGGG</t>
  </si>
  <si>
    <t xml:space="preserve">AAACCCCTGCTGGTCCTGATGACC</t>
  </si>
  <si>
    <t xml:space="preserve">GTTCGCAACCAGCAGCACGG</t>
  </si>
  <si>
    <t xml:space="preserve">TAGTGTTCGCAACCAGCAGCACGG</t>
  </si>
  <si>
    <t xml:space="preserve">AAACCCGTGCTGCTGGTTGCGAAC</t>
  </si>
  <si>
    <t xml:space="preserve">PSPPH_4096</t>
  </si>
  <si>
    <t xml:space="preserve">ACCGGTCTCTCCGGCATCAC</t>
  </si>
  <si>
    <t xml:space="preserve">TAGTACCGGTCTCTCCGGCATCAC</t>
  </si>
  <si>
    <t xml:space="preserve">AAACGTGATGCCGGAGAGACCGGT</t>
  </si>
  <si>
    <t xml:space="preserve">CTCGACGCGCGGATGATCCT</t>
  </si>
  <si>
    <t xml:space="preserve">TAGTCTCGACGCGCGGATGATCCT</t>
  </si>
  <si>
    <t xml:space="preserve">AAACAGGATCATCCGCGCGTCGAG</t>
  </si>
  <si>
    <t xml:space="preserve">GAGCGTATCGACCTCACCAA</t>
  </si>
  <si>
    <t xml:space="preserve">TAGTGAGCGTATCGACCTCACCAA</t>
  </si>
  <si>
    <t xml:space="preserve">AAACTTGGTGAGGTCGATACGCTC</t>
  </si>
  <si>
    <t xml:space="preserve">CGATCAGCCCGGCCAGCAAC</t>
  </si>
  <si>
    <t xml:space="preserve">TAGTCGATCAGCCCGGCCAGCAAC</t>
  </si>
  <si>
    <t xml:space="preserve">AAACGTTGCTGGCCGGGCTGATCG</t>
  </si>
  <si>
    <t xml:space="preserve">PSPPH_4097</t>
  </si>
  <si>
    <t xml:space="preserve">GTCAGCGCCACGAATGACGG</t>
  </si>
  <si>
    <t xml:space="preserve">TAGTGTCAGCGCCACGAATGACGG</t>
  </si>
  <si>
    <t xml:space="preserve">AAACCCGTCATTCGTGGCGCTGAC</t>
  </si>
  <si>
    <t xml:space="preserve">ATGCTGAGTGTCGGCACGTC</t>
  </si>
  <si>
    <t xml:space="preserve">TAGTATGCTGAGTGTCGGCACGTC</t>
  </si>
  <si>
    <t xml:space="preserve">AAACGACGTGCCGACACTCAGCAT</t>
  </si>
  <si>
    <t xml:space="preserve">TGCCACCGGGAAACTCCCAG</t>
  </si>
  <si>
    <t xml:space="preserve">TAGTTGCCACCGGGAAACTCCCAG</t>
  </si>
  <si>
    <t xml:space="preserve">AAACCTGGGAGTTTCCCGGTGGCA</t>
  </si>
  <si>
    <t xml:space="preserve">ACGTGCGAGTGCGGCCTGAA</t>
  </si>
  <si>
    <t xml:space="preserve">TAGTACGTGCGAGTGCGGCCTGAA</t>
  </si>
  <si>
    <t xml:space="preserve">AAACTTCAGGCCGCACTCGCACGT</t>
  </si>
  <si>
    <t xml:space="preserve">PSPPH_4098</t>
  </si>
  <si>
    <t xml:space="preserve">GATAATCAGATGCAGGCTCA</t>
  </si>
  <si>
    <t xml:space="preserve">TAGTGATAATCAGATGCAGGCTCA</t>
  </si>
  <si>
    <t xml:space="preserve">AAACTGAGCCTGCATCTGATTATC</t>
  </si>
  <si>
    <t xml:space="preserve">CCAGGGACGCAGCGACCAGG</t>
  </si>
  <si>
    <t xml:space="preserve">TAGTCCAGGGACGCAGCGACCAGG</t>
  </si>
  <si>
    <t xml:space="preserve">AAACCCTGGTCGCTGCGTCCCTGG</t>
  </si>
  <si>
    <t xml:space="preserve">TTGATCGGTGAACGCAGCAC</t>
  </si>
  <si>
    <t xml:space="preserve">TAGTTTGATCGGTGAACGCAGCAC</t>
  </si>
  <si>
    <t xml:space="preserve">AAACGTGCTGCGTTCACCGATCAA</t>
  </si>
  <si>
    <t xml:space="preserve">GGGTGTCCGGCAGGTTCAGG</t>
  </si>
  <si>
    <t xml:space="preserve">TAGTGGGTGTCCGGCAGGTTCAGG</t>
  </si>
  <si>
    <t xml:space="preserve">AAACCCTGAACCTGCCGGACACCC</t>
  </si>
  <si>
    <t xml:space="preserve">PSPPH_4099</t>
  </si>
  <si>
    <t xml:space="preserve">argJ</t>
  </si>
  <si>
    <t xml:space="preserve">GGACCAAGACCAACAGCCAT</t>
  </si>
  <si>
    <t xml:space="preserve">TAGTGGACCAAGACCAACAGCCAT</t>
  </si>
  <si>
    <t xml:space="preserve">AAACATGGCTGTTGGTCTTGGTCC</t>
  </si>
  <si>
    <t xml:space="preserve">ACCGGGTGCAACGCAGGCAA</t>
  </si>
  <si>
    <t xml:space="preserve">TAGTACCGGGTGCAACGCAGGCAA</t>
  </si>
  <si>
    <t xml:space="preserve">AAACTTGCCTGCGTTGCACCCGGT</t>
  </si>
  <si>
    <t xml:space="preserve">GAAATGCCAAGTTCAAAACC</t>
  </si>
  <si>
    <t xml:space="preserve">TAGTGAAATGCCAAGTTCAAAACC</t>
  </si>
  <si>
    <t xml:space="preserve">AAACGGTTTTGAACTTGGCATTTC</t>
  </si>
  <si>
    <t xml:space="preserve">GCGCCCCGGGCGTTTGATGC</t>
  </si>
  <si>
    <t xml:space="preserve">TAGTGCGCCCCGGGCGTTTGATGC</t>
  </si>
  <si>
    <t xml:space="preserve">AAACGCATCAAACGCCCGGGGCGC</t>
  </si>
  <si>
    <t xml:space="preserve">PSPPH_4100</t>
  </si>
  <si>
    <t xml:space="preserve">secA</t>
  </si>
  <si>
    <t xml:space="preserve">CCAAAAAGTTTTTTCAACAA</t>
  </si>
  <si>
    <t xml:space="preserve">TAGTCCAAAAAGTTTTTTCAACAA</t>
  </si>
  <si>
    <t xml:space="preserve">AAACTTGTTGAAAAAACTTTTTGG</t>
  </si>
  <si>
    <t xml:space="preserve">GGCCACCATTTGCTCTTCGA</t>
  </si>
  <si>
    <t xml:space="preserve">TAGTGGCCACCATTTGCTCTTCGA</t>
  </si>
  <si>
    <t xml:space="preserve">AAACTCGAAGAGCAAATGGTGGCC</t>
  </si>
  <si>
    <t xml:space="preserve">GCGCAATTGCTCGTCCGAAA</t>
  </si>
  <si>
    <t xml:space="preserve">TAGTGCGCAATTGCTCGTCCGAAA</t>
  </si>
  <si>
    <t xml:space="preserve">AAACTTTCGGACGAGCAATTGCGC</t>
  </si>
  <si>
    <t xml:space="preserve">GGCCTTGAACTCTTCGGTCT</t>
  </si>
  <si>
    <t xml:space="preserve">TAGTGGCCTTGAACTCTTCGGTCT</t>
  </si>
  <si>
    <t xml:space="preserve">AAACAGACCGAAGAGTTCAAGGCC</t>
  </si>
  <si>
    <t xml:space="preserve">PSPPH_4101</t>
  </si>
  <si>
    <t xml:space="preserve">GTTCAGAGGACGAAAGGCCA</t>
  </si>
  <si>
    <t xml:space="preserve">TAGTGTTCAGAGGACGAAAGGCCA</t>
  </si>
  <si>
    <t xml:space="preserve">AAACTGGCCTTTCGTCCTCTGAAC</t>
  </si>
  <si>
    <t xml:space="preserve">CAGCAGAACCGCGGGCGGGC</t>
  </si>
  <si>
    <t xml:space="preserve">TAGTCAGCAGAACCGCGGGCGGGC</t>
  </si>
  <si>
    <t xml:space="preserve">AAACGCCCGCCCGCGGTTCTGCTG</t>
  </si>
  <si>
    <t xml:space="preserve">AAAGATAGCCTTCAGAGGCT</t>
  </si>
  <si>
    <t xml:space="preserve">TAGTAAAGATAGCCTTCAGAGGCT</t>
  </si>
  <si>
    <t xml:space="preserve">AAACAGCCTCTGAAGGCTATCTTT</t>
  </si>
  <si>
    <t xml:space="preserve">CTGCAAATGGCTAAGGCGTT</t>
  </si>
  <si>
    <t xml:space="preserve">TAGTCTGCAAATGGCTAAGGCGTT</t>
  </si>
  <si>
    <t xml:space="preserve">AAACAACGCCTTAGCCATTTGCAG</t>
  </si>
  <si>
    <t xml:space="preserve">PSPPH_4102</t>
  </si>
  <si>
    <t xml:space="preserve">lpxC</t>
  </si>
  <si>
    <t xml:space="preserve">CAGGGTGCGTTGTTTAATCA</t>
  </si>
  <si>
    <t xml:space="preserve">TAGTCAGGGTGCGTTGTTTAATCA</t>
  </si>
  <si>
    <t xml:space="preserve">AAACTGATTAAACAACGCACCCTG</t>
  </si>
  <si>
    <t xml:space="preserve">GCAGGCCTACACCTGTGGCA</t>
  </si>
  <si>
    <t xml:space="preserve">TAGTGCAGGCCTACACCTGTGGCA</t>
  </si>
  <si>
    <t xml:space="preserve">AAACTGCCACAGGTGTAGGCCTGC</t>
  </si>
  <si>
    <t xml:space="preserve">GGTCAGGTAAACCTTCTCCC</t>
  </si>
  <si>
    <t xml:space="preserve">TAGTGGTCAGGTAAACCTTCTCCC</t>
  </si>
  <si>
    <t xml:space="preserve">AAACGGGAGAAGGTTTACCTGACC</t>
  </si>
  <si>
    <t xml:space="preserve">ATTCACAGGTGCGGGCTTGA</t>
  </si>
  <si>
    <t xml:space="preserve">TAGTATTCACAGGTGCGGGCTTGA</t>
  </si>
  <si>
    <t xml:space="preserve">AAACTCAAGCCCGCACCTGTGAAT</t>
  </si>
  <si>
    <t xml:space="preserve">PSPPH_4103</t>
  </si>
  <si>
    <t xml:space="preserve">ftsZ</t>
  </si>
  <si>
    <t xml:space="preserve">ACTTTGATAACCGGGCTTTG</t>
  </si>
  <si>
    <t xml:space="preserve">TAGTACTTTGATAACCGGGCTTTG</t>
  </si>
  <si>
    <t xml:space="preserve">AAACCAAAGCCCGGTTATCAAAGT</t>
  </si>
  <si>
    <t xml:space="preserve">CAGCGCTTGAGCATCTGTGT</t>
  </si>
  <si>
    <t xml:space="preserve">TAGTCAGCGCTTGAGCATCTGTGT</t>
  </si>
  <si>
    <t xml:space="preserve">AAACACACAGATGCTCAAGCGCTG</t>
  </si>
  <si>
    <t xml:space="preserve">GCCGGTGCCCAGTTGCAGAA</t>
  </si>
  <si>
    <t xml:space="preserve">TAGTGCCGGTGCCCAGTTGCAGAA</t>
  </si>
  <si>
    <t xml:space="preserve">AAACTTCTGCAACTGGGCACCGGC</t>
  </si>
  <si>
    <t xml:space="preserve">GGCGCCAGCGCCAAGGCCTT</t>
  </si>
  <si>
    <t xml:space="preserve">TAGTGGCGCCAGCGCCAAGGCCTT</t>
  </si>
  <si>
    <t xml:space="preserve">AAACAAGGCCTTGGCGCTGGCGCC</t>
  </si>
  <si>
    <t xml:space="preserve">PSPPH_4104</t>
  </si>
  <si>
    <t xml:space="preserve">ftsA</t>
  </si>
  <si>
    <t xml:space="preserve">GCCGCTTTGCACGTTTGCCA</t>
  </si>
  <si>
    <t xml:space="preserve">TAGTGCCGCTTTGCACGTTTGCCA</t>
  </si>
  <si>
    <t xml:space="preserve">AAACTGGCAAACGTGCAAAGCGGC</t>
  </si>
  <si>
    <t xml:space="preserve">TACCAGTGCCACCACCTTGG</t>
  </si>
  <si>
    <t xml:space="preserve">TAGTTACCAGTGCCACCACCTTGG</t>
  </si>
  <si>
    <t xml:space="preserve">AAACCCAAGGTGGTGGCACTGGTA</t>
  </si>
  <si>
    <t xml:space="preserve">CACTATTTCCAGCGAGCCAT</t>
  </si>
  <si>
    <t xml:space="preserve">TAGTCACTATTTCCAGCGAGCCAT</t>
  </si>
  <si>
    <t xml:space="preserve">AAACATGGCTCGCTGGAAATAGTG</t>
  </si>
  <si>
    <t xml:space="preserve">CTTCAGGCCGCGGGAGGGAT</t>
  </si>
  <si>
    <t xml:space="preserve">TAGTCTTCAGGCCGCGGGAGGGAT</t>
  </si>
  <si>
    <t xml:space="preserve">AAACATCCCTCCCGCGGCCTGAAG</t>
  </si>
  <si>
    <t xml:space="preserve">PSPPH_4105</t>
  </si>
  <si>
    <t xml:space="preserve">CGGCCGGGTGCAGGTGGCTG</t>
  </si>
  <si>
    <t xml:space="preserve">TAGTCGGCCGGGTGCAGGTGGCTG</t>
  </si>
  <si>
    <t xml:space="preserve">AAACCAGCCACCTGCACCCGGCCG</t>
  </si>
  <si>
    <t xml:space="preserve">CACGCGGCACCGGCTTGTTG</t>
  </si>
  <si>
    <t xml:space="preserve">TAGTCACGCGGCACCGGCTTGTTG</t>
  </si>
  <si>
    <t xml:space="preserve">AAACCAACAAGCCGGTGCCGCGTG</t>
  </si>
  <si>
    <t xml:space="preserve">CTCCTTGGCCACCATTCGGC</t>
  </si>
  <si>
    <t xml:space="preserve">TAGTCTCCTTGGCCACCATTCGGC</t>
  </si>
  <si>
    <t xml:space="preserve">AAACGCCGAATGGTGGCCAAGGAG</t>
  </si>
  <si>
    <t xml:space="preserve">TTGGGCAAGCGCGCCGACAG</t>
  </si>
  <si>
    <t xml:space="preserve">TAGTTTGGGCAAGCGCGCCGACAG</t>
  </si>
  <si>
    <t xml:space="preserve">AAACCTGTCGGCGCGCTTGCCCAA</t>
  </si>
  <si>
    <t xml:space="preserve">PSPPH_4106</t>
  </si>
  <si>
    <t xml:space="preserve">ddlB</t>
  </si>
  <si>
    <t xml:space="preserve">GCGCAGGGAAGACAGGGTGA</t>
  </si>
  <si>
    <t xml:space="preserve">TAGTGCGCAGGGAAGACAGGGTGA</t>
  </si>
  <si>
    <t xml:space="preserve">AAACTCACCCTGTCTTCCCTGCGC</t>
  </si>
  <si>
    <t xml:space="preserve">GCGACACGACCGAAGCTTTT</t>
  </si>
  <si>
    <t xml:space="preserve">TAGTGCGACACGACCGAAGCTTTT</t>
  </si>
  <si>
    <t xml:space="preserve">AAACAAAAGCTTCGGTCGTGTCGC</t>
  </si>
  <si>
    <t xml:space="preserve">ACTCTTGCCACCAAAGAGCA</t>
  </si>
  <si>
    <t xml:space="preserve">TAGTACTCTTGCCACCAAAGAGCA</t>
  </si>
  <si>
    <t xml:space="preserve">AAACTGCTCTTTGGTGGCAAGAGT</t>
  </si>
  <si>
    <t xml:space="preserve">GTTCAGGGAGACTGCACGCT</t>
  </si>
  <si>
    <t xml:space="preserve">TAGTGTTCAGGGAGACTGCACGCT</t>
  </si>
  <si>
    <t xml:space="preserve">AAACAGCGTGCAGTCTCCCTGAAC</t>
  </si>
  <si>
    <t xml:space="preserve">PSPPH_4107</t>
  </si>
  <si>
    <t xml:space="preserve">murC</t>
  </si>
  <si>
    <t xml:space="preserve">GCGCATTTCAGGTTGTGGCA</t>
  </si>
  <si>
    <t xml:space="preserve">TAGTGCGCATTTCAGGTTGTGGCA</t>
  </si>
  <si>
    <t xml:space="preserve">AAACTGCCACAACCTGAAATGCGC</t>
  </si>
  <si>
    <t xml:space="preserve">CGAAGTGGATGCGACGGATA</t>
  </si>
  <si>
    <t xml:space="preserve">TAGTCGAAGTGGATGCGACGGATA</t>
  </si>
  <si>
    <t xml:space="preserve">AAACTATCCGTCGCATCCACTTCG</t>
  </si>
  <si>
    <t xml:space="preserve">GCCCAGGTTCAACAATACTT</t>
  </si>
  <si>
    <t xml:space="preserve">TAGTGCCCAGGTTCAACAATACTT</t>
  </si>
  <si>
    <t xml:space="preserve">AAACAAGTATTGTTGAACCTGGGC</t>
  </si>
  <si>
    <t xml:space="preserve">CACGGCCGAGCCCTTGAGGT</t>
  </si>
  <si>
    <t xml:space="preserve">TAGTCACGGCCGAGCCCTTGAGGT</t>
  </si>
  <si>
    <t xml:space="preserve">AAACACCTCAAGGGCTCGGCCGTG</t>
  </si>
  <si>
    <t xml:space="preserve">PSPPH_4108</t>
  </si>
  <si>
    <t xml:space="preserve">murG</t>
  </si>
  <si>
    <t xml:space="preserve">CGCCGGGAATACATGCCCGC</t>
  </si>
  <si>
    <t xml:space="preserve">TAGTCGCCGGGAATACATGCCCGC</t>
  </si>
  <si>
    <t xml:space="preserve">AAACGCGGGCATGTATTCCCGGCG</t>
  </si>
  <si>
    <t xml:space="preserve">CGCGTGGCGTGCCCAGCCAG</t>
  </si>
  <si>
    <t xml:space="preserve">TAGTCGCGTGGCGTGCCCAGCCAG</t>
  </si>
  <si>
    <t xml:space="preserve">AAACCTGGCTGGGCACGCCACGCG</t>
  </si>
  <si>
    <t xml:space="preserve">TGCAGCGTCAAACCGGCCTG</t>
  </si>
  <si>
    <t xml:space="preserve">TAGTTGCAGCGTCAAACCGGCCTG</t>
  </si>
  <si>
    <t xml:space="preserve">AAACCAGGCCGGTTTGACGCTGCA</t>
  </si>
  <si>
    <t xml:space="preserve">GCAGCCCGGTGACATTGATC</t>
  </si>
  <si>
    <t xml:space="preserve">TAGTGCAGCCCGGTGACATTGATC</t>
  </si>
  <si>
    <t xml:space="preserve">AAACGATCAATGTCACCGGGCTGC</t>
  </si>
  <si>
    <t xml:space="preserve">PSPPH_4109</t>
  </si>
  <si>
    <t xml:space="preserve">ftsW</t>
  </si>
  <si>
    <t xml:space="preserve">CTGATCAGTGGCGATGGATA</t>
  </si>
  <si>
    <t xml:space="preserve">TAGTCTGATCAGTGGCGATGGATA</t>
  </si>
  <si>
    <t xml:space="preserve">AAACTATCCATCGCCACTGATCAG</t>
  </si>
  <si>
    <t xml:space="preserve">CGACCAGCATCGGGAAGTCG</t>
  </si>
  <si>
    <t xml:space="preserve">TAGTCGACCAGCATCGGGAAGTCG</t>
  </si>
  <si>
    <t xml:space="preserve">AAACCGACTTCCCGATGCTGGTCG</t>
  </si>
  <si>
    <t xml:space="preserve">GCCCAAGGCCCAGCAACGCC</t>
  </si>
  <si>
    <t xml:space="preserve">TAGTGCCCAAGGCCCAGCAACGCC</t>
  </si>
  <si>
    <t xml:space="preserve">AAACGGCGTTGCTGGGCCTTGGGC</t>
  </si>
  <si>
    <t xml:space="preserve">GGCAACTTCCGACGAGGCCG</t>
  </si>
  <si>
    <t xml:space="preserve">TAGTGGCAACTTCCGACGAGGCCG</t>
  </si>
  <si>
    <t xml:space="preserve">AAACCGGCCTCGTCGGAAGTTGCC</t>
  </si>
  <si>
    <t xml:space="preserve">PSPPH_4110</t>
  </si>
  <si>
    <t xml:space="preserve">murD</t>
  </si>
  <si>
    <t xml:space="preserve">GAAGCGGTCGGAAACGATCA</t>
  </si>
  <si>
    <t xml:space="preserve">TAGTGAAGCGGTCGGAAACGATCA</t>
  </si>
  <si>
    <t xml:space="preserve">AAACTGATCGTTTCCGACCGCTTC</t>
  </si>
  <si>
    <t xml:space="preserve">TGCCAAGCCCCACAACAATG</t>
  </si>
  <si>
    <t xml:space="preserve">TAGTTGCCAAGCCCCACAACAATG</t>
  </si>
  <si>
    <t xml:space="preserve">AAACCATTGTTGTGGGGCTTGGCA</t>
  </si>
  <si>
    <t xml:space="preserve">GTTCGCCAGGAAGCGAACCA</t>
  </si>
  <si>
    <t xml:space="preserve">TAGTGTTCGCCAGGAAGCGAACCA</t>
  </si>
  <si>
    <t xml:space="preserve">AAACTGGTTCGCTTCCTGGCGAAC</t>
  </si>
  <si>
    <t xml:space="preserve">CCACGGCAAAGGACACGCCC</t>
  </si>
  <si>
    <t xml:space="preserve">TAGTCCACGGCAAAGGACACGCCC</t>
  </si>
  <si>
    <t xml:space="preserve">AAACGGGCGTGTCCTTTGCCGTGG</t>
  </si>
  <si>
    <t xml:space="preserve">PSPPH_4111</t>
  </si>
  <si>
    <t xml:space="preserve">mraY</t>
  </si>
  <si>
    <t xml:space="preserve">GTAGAACTGTTGTAAAAACT</t>
  </si>
  <si>
    <t xml:space="preserve">TAGTGTAGAACTGTTGTAAAAACT</t>
  </si>
  <si>
    <t xml:space="preserve">AAACAGTTTTTACAACAGTTCTAC</t>
  </si>
  <si>
    <t xml:space="preserve">CAAGGATCCCGCGCAAGGAC</t>
  </si>
  <si>
    <t xml:space="preserve">TAGTCAAGGATCCCGCGCAAGGAC</t>
  </si>
  <si>
    <t xml:space="preserve">AAACGTCCTTGCGCGGGATCCTTG</t>
  </si>
  <si>
    <t xml:space="preserve">TGCGGATCATCCACGGCCCC</t>
  </si>
  <si>
    <t xml:space="preserve">TAGTTGCGGATCATCCACGGCCCC</t>
  </si>
  <si>
    <t xml:space="preserve">AAACGGGGCCGTGGATGATCCGCA</t>
  </si>
  <si>
    <t xml:space="preserve">GACCGTCGTTGCGGACCGAT</t>
  </si>
  <si>
    <t xml:space="preserve">TAGTGACCGTCGTTGCGGACCGAT</t>
  </si>
  <si>
    <t xml:space="preserve">AAACATCGGTCCGCAACGACGGTC</t>
  </si>
  <si>
    <t xml:space="preserve">PSPPH_4112</t>
  </si>
  <si>
    <t xml:space="preserve">murF</t>
  </si>
  <si>
    <t xml:space="preserve">GCGACCAGACGGGCGTCAAG</t>
  </si>
  <si>
    <t xml:space="preserve">TAGTGCGACCAGACGGGCGTCAAG</t>
  </si>
  <si>
    <t xml:space="preserve">AAACCTTGACGCCCGTCTGGTCGC</t>
  </si>
  <si>
    <t xml:space="preserve">CGGCTGGATACCACGGCTGT</t>
  </si>
  <si>
    <t xml:space="preserve">TAGTCGGCTGGATACCACGGCTGT</t>
  </si>
  <si>
    <t xml:space="preserve">AAACACAGCCGTGGTATCCAGCCG</t>
  </si>
  <si>
    <t xml:space="preserve">AGGGCCACAAACAGCTGGCC</t>
  </si>
  <si>
    <t xml:space="preserve">TAGTAGGGCCACAAACAGCTGGCC</t>
  </si>
  <si>
    <t xml:space="preserve">AAACGGCCAGCTGTTTGTGGCCCT</t>
  </si>
  <si>
    <t xml:space="preserve">CGTCGAAGCGCGGCCCGGTC</t>
  </si>
  <si>
    <t xml:space="preserve">TAGTCGTCGAAGCGCGGCCCGGTC</t>
  </si>
  <si>
    <t xml:space="preserve">AAACGACCGGGCCGCGCTTCGACG</t>
  </si>
  <si>
    <t xml:space="preserve">PSPPH_4113</t>
  </si>
  <si>
    <t xml:space="preserve">murE</t>
  </si>
  <si>
    <t xml:space="preserve">GAAAATCTTGCTCAGATTAA</t>
  </si>
  <si>
    <t xml:space="preserve">TAGTGAAAATCTTGCTCAGATTAA</t>
  </si>
  <si>
    <t xml:space="preserve">AAACTTAATCTGAGCAAGATTTTC</t>
  </si>
  <si>
    <t xml:space="preserve">GCGAATCAAGGGGTCGCGGT</t>
  </si>
  <si>
    <t xml:space="preserve">TAGTGCGAATCAAGGGGTCGCGGT</t>
  </si>
  <si>
    <t xml:space="preserve">AAACACCGCGACCCCTTGATTCGC</t>
  </si>
  <si>
    <t xml:space="preserve">GATCACCCGGACGGACATTG</t>
  </si>
  <si>
    <t xml:space="preserve">TAGTGATCACCCGGACGGACATTG</t>
  </si>
  <si>
    <t xml:space="preserve">AAACCAATGTCCGTCCGGGTGATC</t>
  </si>
  <si>
    <t xml:space="preserve">ATCGACCTTGATACCCGGCA</t>
  </si>
  <si>
    <t xml:space="preserve">TAGTATCGACCTTGATACCCGGCA</t>
  </si>
  <si>
    <t xml:space="preserve">AAACTGCCGGGTATCAAGGTCGAT</t>
  </si>
  <si>
    <t xml:space="preserve">PSPPH_4114</t>
  </si>
  <si>
    <t xml:space="preserve">ftsI</t>
  </si>
  <si>
    <t xml:space="preserve">ACGACCACGCGAAAACGCCA</t>
  </si>
  <si>
    <t xml:space="preserve">TAGTACGACCACGCGAAAACGCCA</t>
  </si>
  <si>
    <t xml:space="preserve">AAACTGGCGTTTTCGCGTGGTCGT</t>
  </si>
  <si>
    <t xml:space="preserve">CCAGCAAATGGCGAGCACAA</t>
  </si>
  <si>
    <t xml:space="preserve">TAGTCCAGCAAATGGCGAGCACAA</t>
  </si>
  <si>
    <t xml:space="preserve">AAACTTGTGCTCGCCATTTGCTGG</t>
  </si>
  <si>
    <t xml:space="preserve">AGGTGTGGTCGATAACCTGC</t>
  </si>
  <si>
    <t xml:space="preserve">TAGTAGGTGTGGTCGATAACCTGC</t>
  </si>
  <si>
    <t xml:space="preserve">AAACGCAGGTTATCGACCACACCT</t>
  </si>
  <si>
    <t xml:space="preserve">ATCGCCCTGCTCCTTGAGAA</t>
  </si>
  <si>
    <t xml:space="preserve">TAGTATCGCCCTGCTCCTTGAGAA</t>
  </si>
  <si>
    <t xml:space="preserve">AAACTTCTCAAGGAGCAGGGCGAT</t>
  </si>
  <si>
    <t xml:space="preserve">PSPPH_4115</t>
  </si>
  <si>
    <t xml:space="preserve">ftsL</t>
  </si>
  <si>
    <t xml:space="preserve">GCAAAGGTTTCAGAAACAGA</t>
  </si>
  <si>
    <t xml:space="preserve">TAGTGCAAAGGTTTCAGAAACAGA</t>
  </si>
  <si>
    <t xml:space="preserve">AAACTCTGTTTCTGAAACCTTTGC</t>
  </si>
  <si>
    <t xml:space="preserve">AGCATAATGAAGCTGCCGCC</t>
  </si>
  <si>
    <t xml:space="preserve">TAGTAGCATAATGAAGCTGCCGCC</t>
  </si>
  <si>
    <t xml:space="preserve">AAACGGCGGCAGCTTCATTATGCT</t>
  </si>
  <si>
    <t xml:space="preserve">AAACGCCAATCGCTGAAATC</t>
  </si>
  <si>
    <t xml:space="preserve">TAGTAAACGCCAATCGCTGAAATC</t>
  </si>
  <si>
    <t xml:space="preserve">AAACGATTTCAGCGATTGGCGTTT</t>
  </si>
  <si>
    <t xml:space="preserve">ACGATTCCAATGTGCGCTAT</t>
  </si>
  <si>
    <t xml:space="preserve">TAGTACGATTCCAATGTGCGCTAT</t>
  </si>
  <si>
    <t xml:space="preserve">AAACATAGCGCACATTGGAATCGT</t>
  </si>
  <si>
    <t xml:space="preserve">PSPPH_4116</t>
  </si>
  <si>
    <t xml:space="preserve">mraW</t>
  </si>
  <si>
    <t xml:space="preserve">TTCAAGCAGCACGGTGATGT</t>
  </si>
  <si>
    <t xml:space="preserve">TAGTTTCAAGCAGCACGGTGATGT</t>
  </si>
  <si>
    <t xml:space="preserve">AAACACATCACCGTGCTGCTTGAA</t>
  </si>
  <si>
    <t xml:space="preserve">ACGCACCTCGAGAGCCTCCA</t>
  </si>
  <si>
    <t xml:space="preserve">TAGTACGCACCTCGAGAGCCTCCA</t>
  </si>
  <si>
    <t xml:space="preserve">AAACTGGAGGCTCTCGAGGTGCGT</t>
  </si>
  <si>
    <t xml:space="preserve">GCCGTCCAGATAGCAGCCAT</t>
  </si>
  <si>
    <t xml:space="preserve">TAGTGCCGTCCAGATAGCAGCCAT</t>
  </si>
  <si>
    <t xml:space="preserve">AAACATGGCTGCTATCTGGACGGC</t>
  </si>
  <si>
    <t xml:space="preserve">GCCGACCATCAGGGCCAAGC</t>
  </si>
  <si>
    <t xml:space="preserve">TAGTGCCGACCATCAGGGCCAAGC</t>
  </si>
  <si>
    <t xml:space="preserve">AAACGCTTGGCCCTGATGGTCGGC</t>
  </si>
  <si>
    <t xml:space="preserve">PSPPH_4117</t>
  </si>
  <si>
    <t xml:space="preserve">mraZ</t>
  </si>
  <si>
    <t xml:space="preserve">GCGTTGGCACCACGGAACAC</t>
  </si>
  <si>
    <t xml:space="preserve">TAGTGCGTTGGCACCACGGAACAC</t>
  </si>
  <si>
    <t xml:space="preserve">AAACGTGTTCCGTGGTGCCAACGC</t>
  </si>
  <si>
    <t xml:space="preserve">CGGCATAGCGAGACGGCCCT</t>
  </si>
  <si>
    <t xml:space="preserve">TAGTCGGCATAGCGAGACGGCCCT</t>
  </si>
  <si>
    <t xml:space="preserve">AAACAGGGCCGTCTCGCTATGCCG</t>
  </si>
  <si>
    <t xml:space="preserve">AACTCGTCACGGTACCGGCT</t>
  </si>
  <si>
    <t xml:space="preserve">TAGTAACTCGTCACGGTACCGGCT</t>
  </si>
  <si>
    <t xml:space="preserve">AAACAGCCGGTACCGTGACGAGTT</t>
  </si>
  <si>
    <t xml:space="preserve">AATGGTCACGATAAGTTGCC</t>
  </si>
  <si>
    <t xml:space="preserve">TAGTAATGGTCACGATAAGTTGCC</t>
  </si>
  <si>
    <t xml:space="preserve">AAACGGCAACTTATCGTGACCATT</t>
  </si>
  <si>
    <t xml:space="preserve">PSPPH_4118</t>
  </si>
  <si>
    <t xml:space="preserve">AATAAATACATGATCAAGGC</t>
  </si>
  <si>
    <t xml:space="preserve">TAGTAATAAATACATGATCAAGGC</t>
  </si>
  <si>
    <t xml:space="preserve">AAACGCCTTGATCATGTATTTATT</t>
  </si>
  <si>
    <t xml:space="preserve">ATCAGGGATGCCGATAAAAA</t>
  </si>
  <si>
    <t xml:space="preserve">TAGTATCAGGGATGCCGATAAAAA</t>
  </si>
  <si>
    <t xml:space="preserve">AAACTTTTTATCGGCATCCCTGAT</t>
  </si>
  <si>
    <t xml:space="preserve">CAGGCTGAAGCACGGCCGAG</t>
  </si>
  <si>
    <t xml:space="preserve">TAGTCAGGCTGAAGCACGGCCGAG</t>
  </si>
  <si>
    <t xml:space="preserve">AAACCTCGGCCGTGCTTCAGCCTG</t>
  </si>
  <si>
    <t xml:space="preserve">CACAGGTTAAAGCTGATACT</t>
  </si>
  <si>
    <t xml:space="preserve">TAGTCACAGGTTAAAGCTGATACT</t>
  </si>
  <si>
    <t xml:space="preserve">AAACAGTATCAGCTTTAACCTGTG</t>
  </si>
  <si>
    <t xml:space="preserve">PSPPH_4119</t>
  </si>
  <si>
    <t xml:space="preserve">AGCCGCAGACAAGCGATCAT</t>
  </si>
  <si>
    <t xml:space="preserve">TAGTAGCCGCAGACAAGCGATCAT</t>
  </si>
  <si>
    <t xml:space="preserve">AAACATGATCGCTTGTCTGCGGCT</t>
  </si>
  <si>
    <t xml:space="preserve">GAGAAGGGCAGCGAGGCAGA</t>
  </si>
  <si>
    <t xml:space="preserve">TAGTGAGAAGGGCAGCGAGGCAGA</t>
  </si>
  <si>
    <t xml:space="preserve">AAACTCTGCCTCGCTGCCCTTCTC</t>
  </si>
  <si>
    <t xml:space="preserve">GGACGAGGGCGAGCTGGCAC</t>
  </si>
  <si>
    <t xml:space="preserve">TAGTGGACGAGGGCGAGCTGGCAC</t>
  </si>
  <si>
    <t xml:space="preserve">AAACGTGCCAGCTCGCCCTCGTCC</t>
  </si>
  <si>
    <t xml:space="preserve">TCGAGGCAGCTCGCCAAGGC</t>
  </si>
  <si>
    <t xml:space="preserve">TAGTTCGAGGCAGCTCGCCAAGGC</t>
  </si>
  <si>
    <t xml:space="preserve">AAACGCCTTGGCGAGCTGCCTCGA</t>
  </si>
  <si>
    <t xml:space="preserve">PSPPH_4120</t>
  </si>
  <si>
    <t xml:space="preserve">GCTTGTTGGCGGCTGCTGCG</t>
  </si>
  <si>
    <t xml:space="preserve">TAGTGCTTGTTGGCGGCTGCTGCG</t>
  </si>
  <si>
    <t xml:space="preserve">AAACCGCAGCAGCCGCCAACAAGC</t>
  </si>
  <si>
    <t xml:space="preserve">TTGCAAAAACTGCAGGGCGA</t>
  </si>
  <si>
    <t xml:space="preserve">TAGTTTGCAAAAACTGCAGGGCGA</t>
  </si>
  <si>
    <t xml:space="preserve">AAACTCGCCCTGCAGTTTTTGCAA</t>
  </si>
  <si>
    <t xml:space="preserve">ATAACCAGTTTTGTTCAATC</t>
  </si>
  <si>
    <t xml:space="preserve">TAGTATAACCAGTTTTGTTCAATC</t>
  </si>
  <si>
    <t xml:space="preserve">AAACGATTGAACAAAACTGGTTAT</t>
  </si>
  <si>
    <t xml:space="preserve">CACCCCAGCCTGAATGGCGC</t>
  </si>
  <si>
    <t xml:space="preserve">TAGTCACCCCAGCCTGAATGGCGC</t>
  </si>
  <si>
    <t xml:space="preserve">AAACGCGCCATTCAGGCTGGGGTG</t>
  </si>
  <si>
    <t xml:space="preserve">PSPPH_4121</t>
  </si>
  <si>
    <t xml:space="preserve">gmhA</t>
  </si>
  <si>
    <t xml:space="preserve">CTGGAACAGCCGGCGAATTC</t>
  </si>
  <si>
    <t xml:space="preserve">TAGTCTGGAACAGCCGGCGAATTC</t>
  </si>
  <si>
    <t xml:space="preserve">AAACGAATTCGCCGGCTGTTCCAG</t>
  </si>
  <si>
    <t xml:space="preserve">CTGTTGCTTGGTTTCGATGC</t>
  </si>
  <si>
    <t xml:space="preserve">TAGTCTGTTGCTTGGTTTCGATGC</t>
  </si>
  <si>
    <t xml:space="preserve">AAACGCATCGAAACCAAGCAACAG</t>
  </si>
  <si>
    <t xml:space="preserve">CTTGCTCGATATAGGGTGCA</t>
  </si>
  <si>
    <t xml:space="preserve">TAGTCTTGCTCGATATAGGGTGCA</t>
  </si>
  <si>
    <t xml:space="preserve">AAACTGCACCCTATATCGAGCAAG</t>
  </si>
  <si>
    <t xml:space="preserve">GGCATTGACCATGACCTGAC</t>
  </si>
  <si>
    <t xml:space="preserve">TAGTGGCATTGACCATGACCTGAC</t>
  </si>
  <si>
    <t xml:space="preserve">AAACGTCAGGTCATGGTCAATGCC</t>
  </si>
  <si>
    <t xml:space="preserve">PSPPH_4122</t>
  </si>
  <si>
    <t xml:space="preserve">CAATAGGCTGAGACGATTAG</t>
  </si>
  <si>
    <t xml:space="preserve">TAGTCAATAGGCTGAGACGATTAG</t>
  </si>
  <si>
    <t xml:space="preserve">AAACCTAATCGTCTCAGCCTATTG</t>
  </si>
  <si>
    <t xml:space="preserve">AGCTGCATCCGGTGACACTC</t>
  </si>
  <si>
    <t xml:space="preserve">TAGTAGCTGCATCCGGTGACACTC</t>
  </si>
  <si>
    <t xml:space="preserve">AAACGAGTGTCACCGGATGCAGCT</t>
  </si>
  <si>
    <t xml:space="preserve">TTCGATCGGCTTGTCGCGAG</t>
  </si>
  <si>
    <t xml:space="preserve">TAGTTTCGATCGGCTTGTCGCGAG</t>
  </si>
  <si>
    <t xml:space="preserve">AAACCTCGCGACAAGCCGATCGAA</t>
  </si>
  <si>
    <t xml:space="preserve">GATCTTGCTGCCGAAGGTGC</t>
  </si>
  <si>
    <t xml:space="preserve">TAGTGATCTTGCTGCCGAAGGTGC</t>
  </si>
  <si>
    <t xml:space="preserve">AAACGCACCTTCGGCAGCAAGATC</t>
  </si>
  <si>
    <t xml:space="preserve">PSPPH_4123</t>
  </si>
  <si>
    <t xml:space="preserve">sspB</t>
  </si>
  <si>
    <t xml:space="preserve">GCGAACAAGATAAGGGCGAC</t>
  </si>
  <si>
    <t xml:space="preserve">TAGTGCGAACAAGATAAGGGCGAC</t>
  </si>
  <si>
    <t xml:space="preserve">AAACGTCGCCCTTATCTTGTTCGC</t>
  </si>
  <si>
    <t xml:space="preserve">CGCATTGACCAGCACGTGCG</t>
  </si>
  <si>
    <t xml:space="preserve">TAGTCGCATTGACCAGCACGTGCG</t>
  </si>
  <si>
    <t xml:space="preserve">AAACCGCACGTGCTGGTCAATGCG</t>
  </si>
  <si>
    <t xml:space="preserve">CTTGCGGGACCTGCACCGAG</t>
  </si>
  <si>
    <t xml:space="preserve">TAGTCTTGCGGGACCTGCACCGAG</t>
  </si>
  <si>
    <t xml:space="preserve">AAACCTCGGTGCAGGTCCCGCAAG</t>
  </si>
  <si>
    <t xml:space="preserve">CAGGACAATCTGCCCGTCAT</t>
  </si>
  <si>
    <t xml:space="preserve">TAGTCAGGACAATCTGCCCGTCAT</t>
  </si>
  <si>
    <t xml:space="preserve">AAACATGACGGGCAGATTGTCCTG</t>
  </si>
  <si>
    <t xml:space="preserve">PSPPH_4124</t>
  </si>
  <si>
    <t xml:space="preserve">sspA</t>
  </si>
  <si>
    <t xml:space="preserve">CAACCGGTTGGTCACGCCCA</t>
  </si>
  <si>
    <t xml:space="preserve">TAGTCAACCGGTTGGTCACGCCCA</t>
  </si>
  <si>
    <t xml:space="preserve">AAACTGGGCGTGACCAACCGGTTG</t>
  </si>
  <si>
    <t xml:space="preserve">GTCGGCGGGGTCGGAGTAGC</t>
  </si>
  <si>
    <t xml:space="preserve">TAGTGTCGGCGGGGTCGGAGTAGC</t>
  </si>
  <si>
    <t xml:space="preserve">AAACGCTACTCCGACCCCGCCGAC</t>
  </si>
  <si>
    <t xml:space="preserve">TGCGCACACGATGAGAATAG</t>
  </si>
  <si>
    <t xml:space="preserve">TAGTTGCGCACACGATGAGAATAG</t>
  </si>
  <si>
    <t xml:space="preserve">AAACCTATTCTCATCGTGTGCGCA</t>
  </si>
  <si>
    <t xml:space="preserve">TTCGGCGCTGACACCCTTCT</t>
  </si>
  <si>
    <t xml:space="preserve">TAGTTTCGGCGCTGACACCCTTCT</t>
  </si>
  <si>
    <t xml:space="preserve">AAACAGAAGGGTGTCAGCGCCGAA</t>
  </si>
  <si>
    <t xml:space="preserve">PSPPH_4125</t>
  </si>
  <si>
    <t xml:space="preserve">rpsI</t>
  </si>
  <si>
    <t xml:space="preserve">GAGCGGTTGCGGTCTTGCGA</t>
  </si>
  <si>
    <t xml:space="preserve">TAGTGAGCGGTTGCGGTCTTGCGA</t>
  </si>
  <si>
    <t xml:space="preserve">AAACTCGCAAGACCGCAACCGCTC</t>
  </si>
  <si>
    <t xml:space="preserve">TGTTACCAGTACCCGGACGC</t>
  </si>
  <si>
    <t xml:space="preserve">TAGTTGTTACCAGTACCCGGACGC</t>
  </si>
  <si>
    <t xml:space="preserve">AAACGCGTCCGGGTACTGGTAACA</t>
  </si>
  <si>
    <t xml:space="preserve">CGAAGAAATTGTCCAAGGAG</t>
  </si>
  <si>
    <t xml:space="preserve">TAGTCGAAGAAATTGTCCAAGGAG</t>
  </si>
  <si>
    <t xml:space="preserve">AAACCTCCTTGGACAATTTCTTCG</t>
  </si>
  <si>
    <t xml:space="preserve">CGGCTGACGAACTACCATGC</t>
  </si>
  <si>
    <t xml:space="preserve">TAGTCGGCTGACGAACTACCATGC</t>
  </si>
  <si>
    <t xml:space="preserve">AAACGCATGGTAGTTCGTCAGCCG</t>
  </si>
  <si>
    <t xml:space="preserve">PSPPH_4126</t>
  </si>
  <si>
    <t xml:space="preserve">rplM</t>
  </si>
  <si>
    <t xml:space="preserve">CAGTCGCGCTTAACTGTTTC</t>
  </si>
  <si>
    <t xml:space="preserve">TAGTCAGTCGCGCTTAACTGTTTC</t>
  </si>
  <si>
    <t xml:space="preserve">AAACGAAACAGTTAAGCGCGACTG</t>
  </si>
  <si>
    <t xml:space="preserve">TTCGGTGGCCAGACGACCCA</t>
  </si>
  <si>
    <t xml:space="preserve">TAGTTTCGGTGGCCAGACGACCCA</t>
  </si>
  <si>
    <t xml:space="preserve">AAACTGGGTCGTCTGGCCACCGAA</t>
  </si>
  <si>
    <t xml:space="preserve">GTTTGTGCTTGCCACGCAGA</t>
  </si>
  <si>
    <t xml:space="preserve">TAGTGTTTGTGCTTGCCACGCAGA</t>
  </si>
  <si>
    <t xml:space="preserve">AAACTCTGCGTGGCAAGCACAAAC</t>
  </si>
  <si>
    <t xml:space="preserve">TCAACGTGCGGAGTGTATTC</t>
  </si>
  <si>
    <t xml:space="preserve">TAGTTCAACGTGCGGAGTGTATTC</t>
  </si>
  <si>
    <t xml:space="preserve">AAACGAATACACTCCGCACGTTGA</t>
  </si>
  <si>
    <t xml:space="preserve">PSPPH_4127</t>
  </si>
  <si>
    <t xml:space="preserve">AGCAGAGTGGCGTGTTGGAT</t>
  </si>
  <si>
    <t xml:space="preserve">TAGTAGCAGAGTGGCGTGTTGGAT</t>
  </si>
  <si>
    <t xml:space="preserve">AAACATCCAACACGCCACTCTGCT</t>
  </si>
  <si>
    <t xml:space="preserve">CGGTGGTCAGAATGCTTACG</t>
  </si>
  <si>
    <t xml:space="preserve">TAGTCGGTGGTCAGAATGCTTACG</t>
  </si>
  <si>
    <t xml:space="preserve">AAACCGTAAGCATTCTGACCACCG</t>
  </si>
  <si>
    <t xml:space="preserve">CGTCGAGGCAAACATCTTGT</t>
  </si>
  <si>
    <t xml:space="preserve">TAGTCGTCGAGGCAAACATCTTGT</t>
  </si>
  <si>
    <t xml:space="preserve">AAACACAAGATGTTTGCCTCGACG</t>
  </si>
  <si>
    <t xml:space="preserve">GGCTAAGTGGAAGAAGTCTT</t>
  </si>
  <si>
    <t xml:space="preserve">TAGTGGCTAAGTGGAAGAAGTCTT</t>
  </si>
  <si>
    <t xml:space="preserve">AAACAAGACTTCTTCCACTTAGCC</t>
  </si>
  <si>
    <t xml:space="preserve">PSPPH_4128</t>
  </si>
  <si>
    <t xml:space="preserve">TCAGATTGATATCGTTCTAG</t>
  </si>
  <si>
    <t xml:space="preserve">TAGTTCAGATTGATATCGTTCTAG</t>
  </si>
  <si>
    <t xml:space="preserve">AAACCTAGAACGATATCAATCTGA</t>
  </si>
  <si>
    <t xml:space="preserve">CGGCATCGTGAAAGAAGTCC</t>
  </si>
  <si>
    <t xml:space="preserve">TAGTCGGCATCGTGAAAGAAGTCC</t>
  </si>
  <si>
    <t xml:space="preserve">AAACGGACTTCTTTCACGATGCCG</t>
  </si>
  <si>
    <t xml:space="preserve">GCGCACAGCGTTTTCCTGCG</t>
  </si>
  <si>
    <t xml:space="preserve">TAGTGCGCACAGCGTTTTCCTGCG</t>
  </si>
  <si>
    <t xml:space="preserve">AAACCGCAGGAAAACGCTGTGCGC</t>
  </si>
  <si>
    <t xml:space="preserve">CGTCATACAGGCGCTGCAAA</t>
  </si>
  <si>
    <t xml:space="preserve">TAGTCGTCATACAGGCGCTGCAAA</t>
  </si>
  <si>
    <t xml:space="preserve">AAACTTTGCAGCGCCTGTATGACG</t>
  </si>
  <si>
    <t xml:space="preserve">PSPPH_4129</t>
  </si>
  <si>
    <t xml:space="preserve">trpS</t>
  </si>
  <si>
    <t xml:space="preserve">GGTCAGGATACGAGTGGTCA</t>
  </si>
  <si>
    <t xml:space="preserve">TAGTGGTCAGGATACGAGTGGTCA</t>
  </si>
  <si>
    <t xml:space="preserve">AAACTGACCACTCGTATCCTGACC</t>
  </si>
  <si>
    <t xml:space="preserve">AGTGCCGGTGGTCGTGATAC</t>
  </si>
  <si>
    <t xml:space="preserve">TAGTAGTGCCGGTGGTCGTGATAC</t>
  </si>
  <si>
    <t xml:space="preserve">AAACGTATCACGACCACCGGCACT</t>
  </si>
  <si>
    <t xml:space="preserve">CCCGCGTAGTTACCCAGATG</t>
  </si>
  <si>
    <t xml:space="preserve">TAGTCCCGCGTAGTTACCCAGATG</t>
  </si>
  <si>
    <t xml:space="preserve">AAACCATCTGGGTAACTACGCGGG</t>
  </si>
  <si>
    <t xml:space="preserve">GGCGACTGGCAACAATGGCC</t>
  </si>
  <si>
    <t xml:space="preserve">TAGTGGCGACTGGCAACAATGGCC</t>
  </si>
  <si>
    <t xml:space="preserve">AAACGGCCATTGTTGCCAGTCGCC</t>
  </si>
  <si>
    <t xml:space="preserve">PSPPH_4130</t>
  </si>
  <si>
    <t xml:space="preserve">TGGGCCATCGATAAATAATG</t>
  </si>
  <si>
    <t xml:space="preserve">TAGTTGGGCCATCGATAAATAATG</t>
  </si>
  <si>
    <t xml:space="preserve">AAACCATTATTTATCGATGGCCCA</t>
  </si>
  <si>
    <t xml:space="preserve">AGCGCTTCGAGCTGGCCTTC</t>
  </si>
  <si>
    <t xml:space="preserve">TAGTAGCGCTTCGAGCTGGCCTTC</t>
  </si>
  <si>
    <t xml:space="preserve">AAACGAAGGCCAGCTCGAAGCGCT</t>
  </si>
  <si>
    <t xml:space="preserve">AGTGCAACGCCTCGGGCGTC</t>
  </si>
  <si>
    <t xml:space="preserve">TAGTAGTGCAACGCCTCGGGCGTC</t>
  </si>
  <si>
    <t xml:space="preserve">AAACGACGCCCGAGGCGTTGCACT</t>
  </si>
  <si>
    <t xml:space="preserve">CGCCCTGTATCGGGTTAGGA</t>
  </si>
  <si>
    <t xml:space="preserve">TAGTCGCCCTGTATCGGGTTAGGA</t>
  </si>
  <si>
    <t xml:space="preserve">AAACTCCTAACCCGATACAGGGCG</t>
  </si>
  <si>
    <t xml:space="preserve">PSPPH_4131</t>
  </si>
  <si>
    <t xml:space="preserve">CCGGCCACCAGGGCGAGCGT</t>
  </si>
  <si>
    <t xml:space="preserve">TAGTCCGGCCACCAGGGCGAGCGT</t>
  </si>
  <si>
    <t xml:space="preserve">AAACACGCTCGCCCTGGTGGCCGG</t>
  </si>
  <si>
    <t xml:space="preserve">TCGGAACGGTGTTGGGCAGC</t>
  </si>
  <si>
    <t xml:space="preserve">TAGTTCGGAACGGTGTTGGGCAGC</t>
  </si>
  <si>
    <t xml:space="preserve">AAACGCTGCCCAACACCGTTCCGA</t>
  </si>
  <si>
    <t xml:space="preserve">AATGTTGTCCAGCTGGCGCT</t>
  </si>
  <si>
    <t xml:space="preserve">TAGTAATGTTGTCCAGCTGGCGCT</t>
  </si>
  <si>
    <t xml:space="preserve">AAACAGCGCCAGCTGGACAACATT</t>
  </si>
  <si>
    <t xml:space="preserve">CGTGACTACCTCGTTCTGAT</t>
  </si>
  <si>
    <t xml:space="preserve">TAGTCGTGACTACCTCGTTCTGAT</t>
  </si>
  <si>
    <t xml:space="preserve">AAACATCAGAACGAGGTAGTCACG</t>
  </si>
  <si>
    <t xml:space="preserve">PSPPH_4132</t>
  </si>
  <si>
    <t xml:space="preserve">cysNC</t>
  </si>
  <si>
    <t xml:space="preserve">CGTGCTGGCCCAGATAGGCG</t>
  </si>
  <si>
    <t xml:space="preserve">TAGTCGTGCTGGCCCAGATAGGCG</t>
  </si>
  <si>
    <t xml:space="preserve">AAACCGCCTATCTGGGCCAGCACG</t>
  </si>
  <si>
    <t xml:space="preserve">GCCGTCATCGACGTTGCCAC</t>
  </si>
  <si>
    <t xml:space="preserve">TAGTGCCGTCATCGACGTTGCCAC</t>
  </si>
  <si>
    <t xml:space="preserve">AAACGTGGCAACGTCGATGACGGC</t>
  </si>
  <si>
    <t xml:space="preserve">CTTCTTCGAGTCCCGGGTGA</t>
  </si>
  <si>
    <t xml:space="preserve">TAGTCTTCTTCGAGTCCCGGGTGA</t>
  </si>
  <si>
    <t xml:space="preserve">AAACTCACCCGGGACTCGAAGAAG</t>
  </si>
  <si>
    <t xml:space="preserve">CAGATCGACGTCATCGCCGG</t>
  </si>
  <si>
    <t xml:space="preserve">TAGTCAGATCGACGTCATCGCCGG</t>
  </si>
  <si>
    <t xml:space="preserve">AAACCCGGCGATGACGTCGATCTG</t>
  </si>
  <si>
    <t xml:space="preserve">PSPPH_4133</t>
  </si>
  <si>
    <t xml:space="preserve">cysD</t>
  </si>
  <si>
    <t xml:space="preserve">ATGCGTCAGTTTGTCAACCA</t>
  </si>
  <si>
    <t xml:space="preserve">TAGTATGCGTCAGTTTGTCAACCA</t>
  </si>
  <si>
    <t xml:space="preserve">AAACTGGTTGACAAACTGACGCAT</t>
  </si>
  <si>
    <t xml:space="preserve">CGGCGACCTCGCGGATGATG</t>
  </si>
  <si>
    <t xml:space="preserve">TAGTCGGCGACCTCGCGGATGATG</t>
  </si>
  <si>
    <t xml:space="preserve">AAACCATCATCCGCGAGGTCGCCG</t>
  </si>
  <si>
    <t xml:space="preserve">CACCGGGTTATCGAACTCGG</t>
  </si>
  <si>
    <t xml:space="preserve">TAGTCACCGGGTTATCGAACTCGG</t>
  </si>
  <si>
    <t xml:space="preserve">AAACCCGAGTTCGATAACCCGGTG</t>
  </si>
  <si>
    <t xml:space="preserve">CGCCAGGTGCAGCATCACGG</t>
  </si>
  <si>
    <t xml:space="preserve">TAGTCGCCAGGTGCAGCATCACGG</t>
  </si>
  <si>
    <t xml:space="preserve">AAACCCGTGATGCTGCACCTGGCG</t>
  </si>
  <si>
    <t xml:space="preserve">PSPPH_4134</t>
  </si>
  <si>
    <t xml:space="preserve">TTCTTCGACCAGGGTGCTCA</t>
  </si>
  <si>
    <t xml:space="preserve">TAGTTTCTTCGACCAGGGTGCTCA</t>
  </si>
  <si>
    <t xml:space="preserve">AAACTGAGCACCCTGGTCGAAGAA</t>
  </si>
  <si>
    <t xml:space="preserve">GGCACTGTTCAGATAGCGGT</t>
  </si>
  <si>
    <t xml:space="preserve">TAGTGGCACTGTTCAGATAGCGGT</t>
  </si>
  <si>
    <t xml:space="preserve">AAACACCGCTATCTGAACAGTGCC</t>
  </si>
  <si>
    <t xml:space="preserve">AGGGCAATAATCCTGAATCC</t>
  </si>
  <si>
    <t xml:space="preserve">TAGTAGGGCAATAATCCTGAATCC</t>
  </si>
  <si>
    <t xml:space="preserve">AAACGGATTCAGGATTATTGCCCT</t>
  </si>
  <si>
    <t xml:space="preserve">CCCTCGACCTGAAGGCCATT</t>
  </si>
  <si>
    <t xml:space="preserve">TAGTCCCTCGACCTGAAGGCCATT</t>
  </si>
  <si>
    <t xml:space="preserve">AAACAATGGCCTTCAGGTCGAGGG</t>
  </si>
  <si>
    <t xml:space="preserve">PSPPH_4135</t>
  </si>
  <si>
    <t xml:space="preserve">ATAAGCACGCCAGCCAGCAA</t>
  </si>
  <si>
    <t xml:space="preserve">TAGTATAAGCACGCCAGCCAGCAA</t>
  </si>
  <si>
    <t xml:space="preserve">AAACTTGCTGGCTGGCGTGCTTAT</t>
  </si>
  <si>
    <t xml:space="preserve">ATAGCGCTGAATAATCAGCA</t>
  </si>
  <si>
    <t xml:space="preserve">TAGTATAGCGCTGAATAATCAGCA</t>
  </si>
  <si>
    <t xml:space="preserve">AAACTGCTGATTATTCAGCGCTAT</t>
  </si>
  <si>
    <t xml:space="preserve">CTCGGCAGGCCGACCCACTG</t>
  </si>
  <si>
    <t xml:space="preserve">TAGTCTCGGCAGGCCGACCCACTG</t>
  </si>
  <si>
    <t xml:space="preserve">AAACCAGTGGGTCGGCCTGCCGAG</t>
  </si>
  <si>
    <t xml:space="preserve">CCTGTTGCAGATTGACATCC</t>
  </si>
  <si>
    <t xml:space="preserve">TAGTCCTGTTGCAGATTGACATCC</t>
  </si>
  <si>
    <t xml:space="preserve">AAACGGATGTCAATCTGCAACAGG</t>
  </si>
  <si>
    <t xml:space="preserve">PSPPH_4136</t>
  </si>
  <si>
    <t xml:space="preserve">hisC</t>
  </si>
  <si>
    <t xml:space="preserve">GCACCAGGCCGCTGACAAAA</t>
  </si>
  <si>
    <t xml:space="preserve">TAGTGCACCAGGCCGCTGACAAAA</t>
  </si>
  <si>
    <t xml:space="preserve">AAACTTTTGTCAGCGGCCTGGTGC</t>
  </si>
  <si>
    <t xml:space="preserve">GGCTGCTCGCCCGGCACGTA</t>
  </si>
  <si>
    <t xml:space="preserve">TAGTGGCTGCTCGCCCGGCACGTA</t>
  </si>
  <si>
    <t xml:space="preserve">AAACTACGTGCCGGGCGAGCAGCC</t>
  </si>
  <si>
    <t xml:space="preserve">TTGACCAGCCGGGTCAGCTT</t>
  </si>
  <si>
    <t xml:space="preserve">TAGTTTGACCAGCCGGGTCAGCTT</t>
  </si>
  <si>
    <t xml:space="preserve">AAACAAGCTGACCCGGCTGGTCAA</t>
  </si>
  <si>
    <t xml:space="preserve">CGGGCCATACGGGTTTTCAT</t>
  </si>
  <si>
    <t xml:space="preserve">TAGTCGGGCCATACGGGTTTTCAT</t>
  </si>
  <si>
    <t xml:space="preserve">AAACATGAAAACCCGTATGGCCCG</t>
  </si>
  <si>
    <t xml:space="preserve">PSPPH_4137</t>
  </si>
  <si>
    <t xml:space="preserve">hisD</t>
  </si>
  <si>
    <t xml:space="preserve">TCGGCGAATTGCAGTGGGCG</t>
  </si>
  <si>
    <t xml:space="preserve">TAGTTCGGCGAATTGCAGTGGGCG</t>
  </si>
  <si>
    <t xml:space="preserve">AAACCGCCCACTGCAATTCGCCGA</t>
  </si>
  <si>
    <t xml:space="preserve">CCAGATGTCGTGCGAAATCC</t>
  </si>
  <si>
    <t xml:space="preserve">TAGTCCAGATGTCGTGCGAAATCC</t>
  </si>
  <si>
    <t xml:space="preserve">AAACGGATTTCGCACGACATCTGG</t>
  </si>
  <si>
    <t xml:space="preserve">ACACGCTTTCCCAGCTCAGC</t>
  </si>
  <si>
    <t xml:space="preserve">TAGTACACGCTTTCCCAGCTCAGC</t>
  </si>
  <si>
    <t xml:space="preserve">AAACGCTGAGCTGGGAAAGCGTGT</t>
  </si>
  <si>
    <t xml:space="preserve">TGATGATGTCGAGCACGCGC</t>
  </si>
  <si>
    <t xml:space="preserve">TAGTTGATGATGTCGAGCACGCGC</t>
  </si>
  <si>
    <t xml:space="preserve">AAACGCGCGTGCTCGACATCATCA</t>
  </si>
  <si>
    <t xml:space="preserve">PSPPH_4138</t>
  </si>
  <si>
    <t xml:space="preserve">hisG</t>
  </si>
  <si>
    <t xml:space="preserve">GACAGTGCGATGGTCAACAT</t>
  </si>
  <si>
    <t xml:space="preserve">TAGTGACAGTGCGATGGTCAACAT</t>
  </si>
  <si>
    <t xml:space="preserve">AAACATGTTGACCATCGCACTGTC</t>
  </si>
  <si>
    <t xml:space="preserve">GTCGTCAAGAATGCGGCCCT</t>
  </si>
  <si>
    <t xml:space="preserve">TAGTGTCGTCAAGAATGCGGCCCT</t>
  </si>
  <si>
    <t xml:space="preserve">AAACAGGGCCGCATTCTTGACGAC</t>
  </si>
  <si>
    <t xml:space="preserve">CGCTTCAGCGAGAAGCGGCA</t>
  </si>
  <si>
    <t xml:space="preserve">TAGTCGCTTCAGCGAGAAGCGGCA</t>
  </si>
  <si>
    <t xml:space="preserve">AAACTGCCGCTTCTCGCTGAAGCG</t>
  </si>
  <si>
    <t xml:space="preserve">CTCTTGTCCGGATTCTCGGT</t>
  </si>
  <si>
    <t xml:space="preserve">TAGTCTCTTGTCCGGATTCTCGGT</t>
  </si>
  <si>
    <t xml:space="preserve">AAACACCGAGAATCCGGACAAGAG</t>
  </si>
  <si>
    <t xml:space="preserve">PSPPH_4139</t>
  </si>
  <si>
    <t xml:space="preserve">murA</t>
  </si>
  <si>
    <t xml:space="preserve">GCCATCAAGACGAACGCCGC</t>
  </si>
  <si>
    <t xml:space="preserve">TAGTGCCATCAAGACGAACGCCGC</t>
  </si>
  <si>
    <t xml:space="preserve">AAACGCGGCGTTCGTCTTGATGGC</t>
  </si>
  <si>
    <t xml:space="preserve">CAAGGCAGAGTTCTTTGCCC</t>
  </si>
  <si>
    <t xml:space="preserve">TAGTCAAGGCAGAGTTCTTTGCCC</t>
  </si>
  <si>
    <t xml:space="preserve">AAACGGGCAAAGAACTCTGCCTTG</t>
  </si>
  <si>
    <t xml:space="preserve">AGCAACGTGGCGGCAAGGAT</t>
  </si>
  <si>
    <t xml:space="preserve">TAGTAGCAACGTGGCGGCAAGGAT</t>
  </si>
  <si>
    <t xml:space="preserve">AAACATCCTTGCCGCCACGTTGCT</t>
  </si>
  <si>
    <t xml:space="preserve">GGCAGGTTCTGAACAGTAAC</t>
  </si>
  <si>
    <t xml:space="preserve">TAGTGGCAGGTTCTGAACAGTAAC</t>
  </si>
  <si>
    <t xml:space="preserve">AAACGTTACTGTTCAGAACCTGCC</t>
  </si>
  <si>
    <t xml:space="preserve">PSPPH_4140</t>
  </si>
  <si>
    <t xml:space="preserve">AAGGAAGCTTTTAACTTCTA</t>
  </si>
  <si>
    <t xml:space="preserve">TAGTAAGGAAGCTTTTAACTTCTA</t>
  </si>
  <si>
    <t xml:space="preserve">AAACTAGAAGTTAAAAGCTTCCTT</t>
  </si>
  <si>
    <t xml:space="preserve">TCGACTTCCACTTTGATTTC</t>
  </si>
  <si>
    <t xml:space="preserve">TAGTTCGACTTCCACTTTGATTTC</t>
  </si>
  <si>
    <t xml:space="preserve">AAACGAAATCAAAGTGGAAGTCGA</t>
  </si>
  <si>
    <t xml:space="preserve">CGTCGCTGATAATATTCAGC</t>
  </si>
  <si>
    <t xml:space="preserve">TAGTCGTCGCTGATAATATTCAGC</t>
  </si>
  <si>
    <t xml:space="preserve">AAACGCTGAATATTATCAGCGACG</t>
  </si>
  <si>
    <t xml:space="preserve">ACGCTTGACCGGACTCAGGC</t>
  </si>
  <si>
    <t xml:space="preserve">TAGTACGCTTGACCGGACTCAGGC</t>
  </si>
  <si>
    <t xml:space="preserve">AAACGCCTGAGTCCGGTCAAGCGT</t>
  </si>
  <si>
    <t xml:space="preserve">PSPPH_4141</t>
  </si>
  <si>
    <t xml:space="preserve">AGGCCCGACGAGGCAGACGG</t>
  </si>
  <si>
    <t xml:space="preserve">TAGTAGGCCCGACGAGGCAGACGG</t>
  </si>
  <si>
    <t xml:space="preserve">AAACCCGTCTGCCTCGTCGGGCCT</t>
  </si>
  <si>
    <t xml:space="preserve">TGCGCAGCTGTGGCCCGGTG</t>
  </si>
  <si>
    <t xml:space="preserve">TAGTTGCGCAGCTGTGGCCCGGTG</t>
  </si>
  <si>
    <t xml:space="preserve">AAACCACCGGGCCACAGCTGCGCA</t>
  </si>
  <si>
    <t xml:space="preserve">CGAGCAATCAAGTGTCAGAT</t>
  </si>
  <si>
    <t xml:space="preserve">TAGTCGAGCAATCAAGTGTCAGAT</t>
  </si>
  <si>
    <t xml:space="preserve">AAACATCTGACACTTGATTGCTCG</t>
  </si>
  <si>
    <t xml:space="preserve">CAAGGCGAGGCCTACGCTGC</t>
  </si>
  <si>
    <t xml:space="preserve">TAGTCAAGGCGAGGCCTACGCTGC</t>
  </si>
  <si>
    <t xml:space="preserve">AAACGCAGCGTAGGCCTCGCCTTG</t>
  </si>
  <si>
    <t xml:space="preserve">PSPPH_4142</t>
  </si>
  <si>
    <t xml:space="preserve">ttg2D</t>
  </si>
  <si>
    <t xml:space="preserve">CCAGCAATACCAGCAGGCCA</t>
  </si>
  <si>
    <t xml:space="preserve">TAGTCCAGCAATACCAGCAGGCCA</t>
  </si>
  <si>
    <t xml:space="preserve">AAACTGGCCTGCTGGTATTGCTGG</t>
  </si>
  <si>
    <t xml:space="preserve">ATTCGCCAGCATTGGCAGAG</t>
  </si>
  <si>
    <t xml:space="preserve">TAGTATTCGCCAGCATTGGCAGAG</t>
  </si>
  <si>
    <t xml:space="preserve">AAACCTCTGCCAATGCTGGCGAAT</t>
  </si>
  <si>
    <t xml:space="preserve">ATGAGCCGACGGGGTCGCCG</t>
  </si>
  <si>
    <t xml:space="preserve">TAGTATGAGCCGACGGGGTCGCCG</t>
  </si>
  <si>
    <t xml:space="preserve">AAACCGGCGACCCCGTCGGCTCAT</t>
  </si>
  <si>
    <t xml:space="preserve">CCTTGGTGGTGCGCTCCACC</t>
  </si>
  <si>
    <t xml:space="preserve">TAGTCCTTGGTGGTGCGCTCCACC</t>
  </si>
  <si>
    <t xml:space="preserve">AAACGGTGGAGCGCACCACCAAGG</t>
  </si>
  <si>
    <t xml:space="preserve">PSPPH_4143</t>
  </si>
  <si>
    <t xml:space="preserve">CGACTCCGGTTTCGATGGCA</t>
  </si>
  <si>
    <t xml:space="preserve">TAGTCGACTCCGGTTTCGATGGCA</t>
  </si>
  <si>
    <t xml:space="preserve">AAACTGCCATCGAAACCGGAGTCG</t>
  </si>
  <si>
    <t xml:space="preserve">GAGCCAGTATCCCCGCCAGC</t>
  </si>
  <si>
    <t xml:space="preserve">TAGTGAGCCAGTATCCCCGCCAGC</t>
  </si>
  <si>
    <t xml:space="preserve">AAACGCTGGCGGGGATACTGGCTC</t>
  </si>
  <si>
    <t xml:space="preserve">CACTGACTCGCAGGGCCAGC</t>
  </si>
  <si>
    <t xml:space="preserve">TAGTCACTGACTCGCAGGGCCAGC</t>
  </si>
  <si>
    <t xml:space="preserve">AAACGCTGGCCCTGCGAGTCAGTG</t>
  </si>
  <si>
    <t xml:space="preserve">GGCATAAAGTTTATAAGTGT</t>
  </si>
  <si>
    <t xml:space="preserve">TAGTGGCATAAAGTTTATAAGTGT</t>
  </si>
  <si>
    <t xml:space="preserve">AAACACACTTATAAACTTTATGCC</t>
  </si>
  <si>
    <t xml:space="preserve">PSPPH_4144</t>
  </si>
  <si>
    <t xml:space="preserve">AACGCCCTAACAGGCGTACC</t>
  </si>
  <si>
    <t xml:space="preserve">TAGTAACGCCCTAACAGGCGTACC</t>
  </si>
  <si>
    <t xml:space="preserve">AAACGGTACGCCTGTTAGGGCGTT</t>
  </si>
  <si>
    <t xml:space="preserve">CAGAACAGTAACAATATCAA</t>
  </si>
  <si>
    <t xml:space="preserve">TAGTCAGAACAGTAACAATATCAA</t>
  </si>
  <si>
    <t xml:space="preserve">AAACTTGATATTGTTACTGTTCTG</t>
  </si>
  <si>
    <t xml:space="preserve">TTACCAGAAACAGACCGGAA</t>
  </si>
  <si>
    <t xml:space="preserve">TAGTTTACCAGAAACAGACCGGAA</t>
  </si>
  <si>
    <t xml:space="preserve">AAACTTCCGGTCTGTTTCTGGTAA</t>
  </si>
  <si>
    <t xml:space="preserve">CGCACCGCCGCGGCCAAGCA</t>
  </si>
  <si>
    <t xml:space="preserve">TAGTCGCACCGCCGCGGCCAAGCA</t>
  </si>
  <si>
    <t xml:space="preserve">AAACTGCTTGGCCGCGGCGGTGCG</t>
  </si>
  <si>
    <t xml:space="preserve">PSPPH_4145</t>
  </si>
  <si>
    <t xml:space="preserve">TCGACCGCATAGGCGTCATC</t>
  </si>
  <si>
    <t xml:space="preserve">TAGTTCGACCGCATAGGCGTCATC</t>
  </si>
  <si>
    <t xml:space="preserve">AAACGATGACGCCTATGCGGTCGA</t>
  </si>
  <si>
    <t xml:space="preserve">ATCCCGGTGACCTTGCCCCG</t>
  </si>
  <si>
    <t xml:space="preserve">TAGTATCCCGGTGACCTTGCCCCG</t>
  </si>
  <si>
    <t xml:space="preserve">AAACCGGGGCAAGGTCACCGGGAT</t>
  </si>
  <si>
    <t xml:space="preserve">ACCCACACCTGCCCTTCGCT</t>
  </si>
  <si>
    <t xml:space="preserve">TAGTACCCACACCTGCCCTTCGCT</t>
  </si>
  <si>
    <t xml:space="preserve">AAACAGCGAAGGGCAGGTGTGGGT</t>
  </si>
  <si>
    <t xml:space="preserve">CACTGCGCGACAGCTCAGGC</t>
  </si>
  <si>
    <t xml:space="preserve">TAGTCACTGCGCGACAGCTCAGGC</t>
  </si>
  <si>
    <t xml:space="preserve">AAACGCCTGAGCTGTCGCGCAGTG</t>
  </si>
  <si>
    <t xml:space="preserve">PSPPH_4146</t>
  </si>
  <si>
    <t xml:space="preserve">kdsD</t>
  </si>
  <si>
    <t xml:space="preserve">ATTGGATCAGGTCACTGGAT</t>
  </si>
  <si>
    <t xml:space="preserve">TAGTATTGGATCAGGTCACTGGAT</t>
  </si>
  <si>
    <t xml:space="preserve">AAACATCCAGTGACCTGATCCAAT</t>
  </si>
  <si>
    <t xml:space="preserve">GGCTTCTATCTCAAGGCGAA</t>
  </si>
  <si>
    <t xml:space="preserve">TAGTGGCTTCTATCTCAAGGCGAA</t>
  </si>
  <si>
    <t xml:space="preserve">AAACTTCGCCTTGAGATAGAAGCC</t>
  </si>
  <si>
    <t xml:space="preserve">ACGTTCAAGCAAGCCTTGTA</t>
  </si>
  <si>
    <t xml:space="preserve">TAGTACGTTCAAGCAAGCCTTGTA</t>
  </si>
  <si>
    <t xml:space="preserve">AAACTACAAGGCTTGCTTGAACGT</t>
  </si>
  <si>
    <t xml:space="preserve">CAACTCGGCCTTTGCTGGCG</t>
  </si>
  <si>
    <t xml:space="preserve">TAGTCAACTCGGCCTTTGCTGGCG</t>
  </si>
  <si>
    <t xml:space="preserve">AAACCGCCAGCAAAGGCCGAGTTG</t>
  </si>
  <si>
    <t xml:space="preserve">PSPPH_4147</t>
  </si>
  <si>
    <t xml:space="preserve">GAGGTCCTGGCTCATCGTTT</t>
  </si>
  <si>
    <t xml:space="preserve">TAGTGAGGTCCTGGCTCATCGTTT</t>
  </si>
  <si>
    <t xml:space="preserve">AAACAAACGATGAGCCAGGACCTC</t>
  </si>
  <si>
    <t xml:space="preserve">TACGCCATCGACGTCGAAAA</t>
  </si>
  <si>
    <t xml:space="preserve">TAGTTACGCCATCGACGTCGAAAA</t>
  </si>
  <si>
    <t xml:space="preserve">AAACTTTTCGACGTCGATGGCGTA</t>
  </si>
  <si>
    <t xml:space="preserve">CATGAAGTAAAGGCGGCCGT</t>
  </si>
  <si>
    <t xml:space="preserve">TAGTCATGAAGTAAAGGCGGCCGT</t>
  </si>
  <si>
    <t xml:space="preserve">AAACACGGCCGCCTTTACTTCATG</t>
  </si>
  <si>
    <t xml:space="preserve">CTATCAGCATTTTTATGCCT</t>
  </si>
  <si>
    <t xml:space="preserve">TAGTCTATCAGCATTTTTATGCCT</t>
  </si>
  <si>
    <t xml:space="preserve">AAACAGGCATAAAAATGCTGATAG</t>
  </si>
  <si>
    <t xml:space="preserve">PSPPH_4148</t>
  </si>
  <si>
    <t xml:space="preserve">GCGCCAGTACCCCGAGCAGC</t>
  </si>
  <si>
    <t xml:space="preserve">TAGTGCGCCAGTACCCCGAGCAGC</t>
  </si>
  <si>
    <t xml:space="preserve">AAACGCTGCTCGGGGTACTGGCGC</t>
  </si>
  <si>
    <t xml:space="preserve">GCTGATCCATAAAACTTTCC</t>
  </si>
  <si>
    <t xml:space="preserve">TAGTGCTGATCCATAAAACTTTCC</t>
  </si>
  <si>
    <t xml:space="preserve">AAACGGAAAGTTTTATGGATCAGC</t>
  </si>
  <si>
    <t xml:space="preserve">GTGTCGTCAACGGTCGACAC</t>
  </si>
  <si>
    <t xml:space="preserve">TAGTGTGTCGTCAACGGTCGACAC</t>
  </si>
  <si>
    <t xml:space="preserve">AAACGTGTCGACCGTTGACGACAC</t>
  </si>
  <si>
    <t xml:space="preserve">GGGCAGGTACTGCACGCTGT</t>
  </si>
  <si>
    <t xml:space="preserve">TAGTGGGCAGGTACTGCACGCTGT</t>
  </si>
  <si>
    <t xml:space="preserve">AAACACAGCGTGCAGTACCTGCCC</t>
  </si>
  <si>
    <t xml:space="preserve">PSPPH_4149</t>
  </si>
  <si>
    <t xml:space="preserve">GCGCCCAGGCCGAGCAATAA</t>
  </si>
  <si>
    <t xml:space="preserve">TAGTGCGCCCAGGCCGAGCAATAA</t>
  </si>
  <si>
    <t xml:space="preserve">AAACTTATTGCTCGGCCTGGGCGC</t>
  </si>
  <si>
    <t xml:space="preserve">GCGGTCGGTTGGCAGGGACC</t>
  </si>
  <si>
    <t xml:space="preserve">TAGTGCGGTCGGTTGGCAGGGACC</t>
  </si>
  <si>
    <t xml:space="preserve">AAACGGTCCCTGCCAACCGACCGC</t>
  </si>
  <si>
    <t xml:space="preserve">TCGTCAGACTGGATGTGGAT</t>
  </si>
  <si>
    <t xml:space="preserve">TAGTTCGTCAGACTGGATGTGGAT</t>
  </si>
  <si>
    <t xml:space="preserve">AAACATCCACATCCAGTCTGACGA</t>
  </si>
  <si>
    <t xml:space="preserve">GATGATGACGTTGCCCTTGT</t>
  </si>
  <si>
    <t xml:space="preserve">TAGTGATGATGACGTTGCCCTTGT</t>
  </si>
  <si>
    <t xml:space="preserve">AAACACAAGGGCAACGTCATCATC</t>
  </si>
  <si>
    <t xml:space="preserve">PSPPH_4150</t>
  </si>
  <si>
    <t xml:space="preserve">GTAGCTTTTAGCCAGATGCT</t>
  </si>
  <si>
    <t xml:space="preserve">TAGTGTAGCTTTTAGCCAGATGCT</t>
  </si>
  <si>
    <t xml:space="preserve">AAACAGCATCTGGCTAAAAGCTAC</t>
  </si>
  <si>
    <t xml:space="preserve">TCACATCGCGCACGACCTGC</t>
  </si>
  <si>
    <t xml:space="preserve">TAGTTCACATCGCGCACGACCTGC</t>
  </si>
  <si>
    <t xml:space="preserve">AAACGCAGGTCGTGCGCGATGTGA</t>
  </si>
  <si>
    <t xml:space="preserve">GACGATCTGGCCGCTGTCGA</t>
  </si>
  <si>
    <t xml:space="preserve">TAGTGACGATCTGGCCGCTGTCGA</t>
  </si>
  <si>
    <t xml:space="preserve">AAACTCGACAGCGGCCAGATCGTC</t>
  </si>
  <si>
    <t xml:space="preserve">TGGTCTTGCCGGCACCGTTG</t>
  </si>
  <si>
    <t xml:space="preserve">TAGTTGGTCTTGCCGGCACCGTTG</t>
  </si>
  <si>
    <t xml:space="preserve">AAACCAACGGTGCCGGCAAGACCA</t>
  </si>
  <si>
    <t xml:space="preserve">PSPPH_4151</t>
  </si>
  <si>
    <t xml:space="preserve">rpoN</t>
  </si>
  <si>
    <t xml:space="preserve">CAAGACTAGCGATGGTTTCA</t>
  </si>
  <si>
    <t xml:space="preserve">TAGTCAAGACTAGCGATGGTTTCA</t>
  </si>
  <si>
    <t xml:space="preserve">AAACTGAAACCATCGCTAGTCTTG</t>
  </si>
  <si>
    <t xml:space="preserve">GCGGTGTCATCGTCAGCTGC</t>
  </si>
  <si>
    <t xml:space="preserve">TAGTGCGGTGTCATCGTCAGCTGC</t>
  </si>
  <si>
    <t xml:space="preserve">AAACGCAGCTGACGATGACACCGC</t>
  </si>
  <si>
    <t xml:space="preserve">GTGTGGAAAGCTGGAGTAAG</t>
  </si>
  <si>
    <t xml:space="preserve">TAGTGTGTGGAAAGCTGGAGTAAG</t>
  </si>
  <si>
    <t xml:space="preserve">AAACCTTACTCCAGCTTTCCACAC</t>
  </si>
  <si>
    <t xml:space="preserve">CCTCCTGGATCTCCTGCTGG</t>
  </si>
  <si>
    <t xml:space="preserve">TAGTCCTCCTGGATCTCCTGCTGG</t>
  </si>
  <si>
    <t xml:space="preserve">AAACCCAGCAGGAGATCCAGGAGG</t>
  </si>
  <si>
    <t xml:space="preserve">PSPPH_4152</t>
  </si>
  <si>
    <t xml:space="preserve">yfiA</t>
  </si>
  <si>
    <t xml:space="preserve">GGGGTTTGGTCACTTCCAGT</t>
  </si>
  <si>
    <t xml:space="preserve">TAGTGGGGTTTGGTCACTTCCAGT</t>
  </si>
  <si>
    <t xml:space="preserve">AAACACTGGAAGTGACCAAACCCC</t>
  </si>
  <si>
    <t xml:space="preserve">GAGCTCAACGTATTCACGAA</t>
  </si>
  <si>
    <t xml:space="preserve">TAGTGAGCTCAACGTATTCACGAA</t>
  </si>
  <si>
    <t xml:space="preserve">AAACTTCGTGAATACGTTGAGCTC</t>
  </si>
  <si>
    <t xml:space="preserve">CGTCATCGTGACCTGCACGT</t>
  </si>
  <si>
    <t xml:space="preserve">TAGTCGTCATCGTGACCTGCACGT</t>
  </si>
  <si>
    <t xml:space="preserve">AAACACGTGCAGGTCACGATGACG</t>
  </si>
  <si>
    <t xml:space="preserve">TCCACCATGGATGTGCAACG</t>
  </si>
  <si>
    <t xml:space="preserve">TAGTTCCACCATGGATGTGCAACG</t>
  </si>
  <si>
    <t xml:space="preserve">AAACCGTTGCACATCCATGGTGGA</t>
  </si>
  <si>
    <t xml:space="preserve">PSPPH_4153</t>
  </si>
  <si>
    <t xml:space="preserve">ptsN</t>
  </si>
  <si>
    <t xml:space="preserve">GGGTCAGGATATTTTCGATT</t>
  </si>
  <si>
    <t xml:space="preserve">TAGTGGGTCAGGATATTTTCGATT</t>
  </si>
  <si>
    <t xml:space="preserve">AAACAATCGAAAATATCCTGACCC</t>
  </si>
  <si>
    <t xml:space="preserve">GTTCACAAGGGAGCGGCCGG</t>
  </si>
  <si>
    <t xml:space="preserve">TAGTGTTCACAAGGGAGCGGCCGG</t>
  </si>
  <si>
    <t xml:space="preserve">AAACCCGGCCGCTCCCTTGTGAAC</t>
  </si>
  <si>
    <t xml:space="preserve">ACACGCTTTTTACTGCCACC</t>
  </si>
  <si>
    <t xml:space="preserve">TAGTACACGCTTTTTACTGCCACC</t>
  </si>
  <si>
    <t xml:space="preserve">AAACGGTGGCAGTAAAAAGCGTGT</t>
  </si>
  <si>
    <t xml:space="preserve">TACTTCACGACCGATCAGGT</t>
  </si>
  <si>
    <t xml:space="preserve">TAGTTACTTCACGACCGATCAGGT</t>
  </si>
  <si>
    <t xml:space="preserve">AAACACCTGATCGGTCGTGAAGTA</t>
  </si>
  <si>
    <t xml:space="preserve">PSPPH_4154</t>
  </si>
  <si>
    <t xml:space="preserve">TACTTTTACCCGAGCCGGAA</t>
  </si>
  <si>
    <t xml:space="preserve">TAGTTACTTTTACCCGAGCCGGAA</t>
  </si>
  <si>
    <t xml:space="preserve">AAACTTCCGGCTCGGGTAAAAGTA</t>
  </si>
  <si>
    <t xml:space="preserve">GTTGTCTTCCAGCACGTCGA</t>
  </si>
  <si>
    <t xml:space="preserve">TAGTGTTGTCTTCCAGCACGTCGA</t>
  </si>
  <si>
    <t xml:space="preserve">AAACTCGACGTGCTGGAAGACAAC</t>
  </si>
  <si>
    <t xml:space="preserve">CCGGCAGCAGTCCGGCAGGC</t>
  </si>
  <si>
    <t xml:space="preserve">TAGTCCGGCAGCAGTCCGGCAGGC</t>
  </si>
  <si>
    <t xml:space="preserve">AAACGCCTGCCGGACTGCTGCCGG</t>
  </si>
  <si>
    <t xml:space="preserve">AGTATTGATCAGCGCTCGCT</t>
  </si>
  <si>
    <t xml:space="preserve">TAGTAGTATTGATCAGCGCTCGCT</t>
  </si>
  <si>
    <t xml:space="preserve">AAACAGCGAGCGCTGATCAATACT</t>
  </si>
  <si>
    <t xml:space="preserve">PSPPH_4155</t>
  </si>
  <si>
    <t xml:space="preserve">ptsH</t>
  </si>
  <si>
    <t xml:space="preserve">ATGATGGTGATTTGACGAGC</t>
  </si>
  <si>
    <t xml:space="preserve">TAGTATGATGGTGATTTGACGAGC</t>
  </si>
  <si>
    <t xml:space="preserve">AAACGCTCGTCAAATCACCATCAT</t>
  </si>
  <si>
    <t xml:space="preserve">TGGCGGCAGCGCGGGCATGC</t>
  </si>
  <si>
    <t xml:space="preserve">TAGTTGGCGGCAGCGCGGGCATGC</t>
  </si>
  <si>
    <t xml:space="preserve">AAACGCATGCCCGCGCTGCCGCCA</t>
  </si>
  <si>
    <t xml:space="preserve">GCCTGCGACTCCGACGAATT</t>
  </si>
  <si>
    <t xml:space="preserve">TAGTGCCTGCGACTCCGACGAATT</t>
  </si>
  <si>
    <t xml:space="preserve">AAACAATTCGTCGGAGTCGCAGGC</t>
  </si>
  <si>
    <t xml:space="preserve">GGCCAACCCTGATCGTGCAA</t>
  </si>
  <si>
    <t xml:space="preserve">TAGTGGCCAACCCTGATCGTGCAA</t>
  </si>
  <si>
    <t xml:space="preserve">AAACTTGCACGATCAGGGTTGGCC</t>
  </si>
  <si>
    <t xml:space="preserve">PSPPH_4156</t>
  </si>
  <si>
    <t xml:space="preserve">sodA</t>
  </si>
  <si>
    <t xml:space="preserve">GGCAGTGCAGGCAAGGTATA</t>
  </si>
  <si>
    <t xml:space="preserve">TAGTGGCAGTGCAGGCAAGGTATA</t>
  </si>
  <si>
    <t xml:space="preserve">AAACTATACCTTGCCTGCACTGCC</t>
  </si>
  <si>
    <t xml:space="preserve">TCCAGGGCATCGTATGCGTA</t>
  </si>
  <si>
    <t xml:space="preserve">TAGTTCCAGGGCATCGTATGCGTA</t>
  </si>
  <si>
    <t xml:space="preserve">AAACTACGCATACGATGCCCTGGA</t>
  </si>
  <si>
    <t xml:space="preserve">ATGGTTTGCGCATCGATGTG</t>
  </si>
  <si>
    <t xml:space="preserve">TAGTATGGTTTGCGCATCGATGTG</t>
  </si>
  <si>
    <t xml:space="preserve">AAACCACATCGATGCGCAAACCAT</t>
  </si>
  <si>
    <t xml:space="preserve">TCTGGTGATGCTTGGTGTAA</t>
  </si>
  <si>
    <t xml:space="preserve">TAGTTCTGGTGATGCTTGGTGTAA</t>
  </si>
  <si>
    <t xml:space="preserve">AAACTTACACCAAGCATCACCAGA</t>
  </si>
  <si>
    <t xml:space="preserve">PSPPH_4158</t>
  </si>
  <si>
    <t xml:space="preserve">TATTCAGCGCTTTCCTCAGA</t>
  </si>
  <si>
    <t xml:space="preserve">TAGTTATTCAGCGCTTTCCTCAGA</t>
  </si>
  <si>
    <t xml:space="preserve">AAACTCTGAGGAAAGCGCTGAATA</t>
  </si>
  <si>
    <t xml:space="preserve">TCCGCAACAGAACAGCACAC</t>
  </si>
  <si>
    <t xml:space="preserve">TAGTTCCGCAACAGAACAGCACAC</t>
  </si>
  <si>
    <t xml:space="preserve">AAACGTGTGCTGTTCTGTTGCGGA</t>
  </si>
  <si>
    <t xml:space="preserve">AGGAAGACGCTGATCCTGCA</t>
  </si>
  <si>
    <t xml:space="preserve">TAGTAGGAAGACGCTGATCCTGCA</t>
  </si>
  <si>
    <t xml:space="preserve">AAACTGCAGGATCAGCGTCTTCCT</t>
  </si>
  <si>
    <t xml:space="preserve">GCTGCCTCACGGAGCGCTGG</t>
  </si>
  <si>
    <t xml:space="preserve">TAGTGCTGCCTCACGGAGCGCTGG</t>
  </si>
  <si>
    <t xml:space="preserve">AAACCCAGCGCTCCGTGAGGCAGC</t>
  </si>
  <si>
    <t xml:space="preserve">PSPPH_4160</t>
  </si>
  <si>
    <t xml:space="preserve">fumC2</t>
  </si>
  <si>
    <t xml:space="preserve">CATGCTGTCGCGTTCGATAC</t>
  </si>
  <si>
    <t xml:space="preserve">TAGTCATGCTGTCGCGTTCGATAC</t>
  </si>
  <si>
    <t xml:space="preserve">AAACGTATCGAACGCGACAGCATG</t>
  </si>
  <si>
    <t xml:space="preserve">CCTCGGCCGGGACCTGTAGC</t>
  </si>
  <si>
    <t xml:space="preserve">TAGTCCTCGGCCGGGACCTGTAGC</t>
  </si>
  <si>
    <t xml:space="preserve">AAACGCTACAGGTCCCGGCCGAGG</t>
  </si>
  <si>
    <t xml:space="preserve">CTGAGTCTGCGCGCCGTAAA</t>
  </si>
  <si>
    <t xml:space="preserve">TAGTCTGAGTCTGCGCGCCGTAAA</t>
  </si>
  <si>
    <t xml:space="preserve">AAACTTTACGGCGCGCAGACTCAG</t>
  </si>
  <si>
    <t xml:space="preserve">GGCATGCGTTGATGACTGAT</t>
  </si>
  <si>
    <t xml:space="preserve">TAGTGGCATGCGTTGATGACTGAT</t>
  </si>
  <si>
    <t xml:space="preserve">AAACATCAGTCATCAACGCATGCC</t>
  </si>
  <si>
    <t xml:space="preserve">PSPPH_4161</t>
  </si>
  <si>
    <t xml:space="preserve">CCGAGGCTCGTCGGGCTCAA</t>
  </si>
  <si>
    <t xml:space="preserve">TAGTCCGAGGCTCGTCGGGCTCAA</t>
  </si>
  <si>
    <t xml:space="preserve">AAACTTGAGCCCGACGAGCCTCGG</t>
  </si>
  <si>
    <t xml:space="preserve">CCAGATAGCGCCCTTCGGCG</t>
  </si>
  <si>
    <t xml:space="preserve">TAGTCCAGATAGCGCCCTTCGGCG</t>
  </si>
  <si>
    <t xml:space="preserve">AAACCGCCGAAGGGCGCTATCTGG</t>
  </si>
  <si>
    <t xml:space="preserve">AATCATGGGCTGGGGCGTGG</t>
  </si>
  <si>
    <t xml:space="preserve">TAGTAATCATGGGCTGGGGCGTGG</t>
  </si>
  <si>
    <t xml:space="preserve">AAACCCACGCCCCAGCCCATGATT</t>
  </si>
  <si>
    <t xml:space="preserve">CAAAAGACGGAAAGTGGTTT</t>
  </si>
  <si>
    <t xml:space="preserve">TAGTCAAAAGACGGAAAGTGGTTT</t>
  </si>
  <si>
    <t xml:space="preserve">AAACAAACCACTTTCCGTCTTTTG</t>
  </si>
  <si>
    <t xml:space="preserve">PSPPH_4162</t>
  </si>
  <si>
    <t xml:space="preserve">pmbA</t>
  </si>
  <si>
    <t xml:space="preserve">GGCTTGCGGACCGACGCTTT</t>
  </si>
  <si>
    <t xml:space="preserve">TAGTGGCTTGCGGACCGACGCTTT</t>
  </si>
  <si>
    <t xml:space="preserve">AAACAAAGCGTCGGTCCGCAAGCC</t>
  </si>
  <si>
    <t xml:space="preserve">CTGTTCCTGCAGTTCGGGCA</t>
  </si>
  <si>
    <t xml:space="preserve">TAGTCTGTTCCTGCAGTTCGGGCA</t>
  </si>
  <si>
    <t xml:space="preserve">AAACTGCCCGAACTGCAGGAACAG</t>
  </si>
  <si>
    <t xml:space="preserve">GGCGCCCTGACGCCGGGCTT</t>
  </si>
  <si>
    <t xml:space="preserve">TAGTGGCGCCCTGACGCCGGGCTT</t>
  </si>
  <si>
    <t xml:space="preserve">AAACAAGCCCGGCGTCAGGGCGCC</t>
  </si>
  <si>
    <t xml:space="preserve">CACTGCGACCTCGCAGGCGC</t>
  </si>
  <si>
    <t xml:space="preserve">TAGTCACTGCGACCTCGCAGGCGC</t>
  </si>
  <si>
    <t xml:space="preserve">AAACGCGCCTGCGAGGTCGCAGTG</t>
  </si>
  <si>
    <t xml:space="preserve">PSPPH_4163</t>
  </si>
  <si>
    <t xml:space="preserve">TCGTCGTAAGAATCAACCAT</t>
  </si>
  <si>
    <t xml:space="preserve">TAGTTCGTCGTAAGAATCAACCAT</t>
  </si>
  <si>
    <t xml:space="preserve">AAACATGGTTGATTCTTACGACGA</t>
  </si>
  <si>
    <t xml:space="preserve">TTTGCTTTTCTCCCCGTCGA</t>
  </si>
  <si>
    <t xml:space="preserve">TAGTTTTGCTTTTCTCCCCGTCGA</t>
  </si>
  <si>
    <t xml:space="preserve">AAACTCGACGGGGAGAAAAGCAAA</t>
  </si>
  <si>
    <t xml:space="preserve">ATGCAGCTCTCGTTTGACCT</t>
  </si>
  <si>
    <t xml:space="preserve">TAGTATGCAGCTCTCGTTTGACCT</t>
  </si>
  <si>
    <t xml:space="preserve">AAACAGGTCAAACGAGAGCTGCAT</t>
  </si>
  <si>
    <t xml:space="preserve">GTGTTGTCAGTCGCTCGCCG</t>
  </si>
  <si>
    <t xml:space="preserve">TAGTGTGTTGTCAGTCGCTCGCCG</t>
  </si>
  <si>
    <t xml:space="preserve">AAACCGGCGAGCGACTGACAACAC</t>
  </si>
  <si>
    <t xml:space="preserve">PSPPH_4164</t>
  </si>
  <si>
    <t xml:space="preserve">tldD</t>
  </si>
  <si>
    <t xml:space="preserve">CAGAAGATGTTCGCTGACTG</t>
  </si>
  <si>
    <t xml:space="preserve">TAGTCAGAAGATGTTCGCTGACTG</t>
  </si>
  <si>
    <t xml:space="preserve">AAACCAGTCAGCGAACATCTTCTG</t>
  </si>
  <si>
    <t xml:space="preserve">GTCGAGGCTCAGGCCACCAG</t>
  </si>
  <si>
    <t xml:space="preserve">TAGTGTCGAGGCTCAGGCCACCAG</t>
  </si>
  <si>
    <t xml:space="preserve">AAACCTGGTGGCCTGAGCCTCGAC</t>
  </si>
  <si>
    <t xml:space="preserve">GCTCTCCGAGCACCGATTGC</t>
  </si>
  <si>
    <t xml:space="preserve">TAGTGCTCTCCGAGCACCGATTGC</t>
  </si>
  <si>
    <t xml:space="preserve">AAACGCAATCGGTGCTCGGAGAGC</t>
  </si>
  <si>
    <t xml:space="preserve">AGCCGCGTCGATACCCGGCC</t>
  </si>
  <si>
    <t xml:space="preserve">TAGTAGCCGCGTCGATACCCGGCC</t>
  </si>
  <si>
    <t xml:space="preserve">AAACGGCCGGGTATCGACGCGGCT</t>
  </si>
  <si>
    <t xml:space="preserve">PSPPH_4165</t>
  </si>
  <si>
    <t xml:space="preserve">CTGAATCACAGCAAAGGACA</t>
  </si>
  <si>
    <t xml:space="preserve">TAGTCTGAATCACAGCAAAGGACA</t>
  </si>
  <si>
    <t xml:space="preserve">AAACTGTCCTTTGCTGTGATTCAG</t>
  </si>
  <si>
    <t xml:space="preserve">GATTAGCCTGGACATCGCTT</t>
  </si>
  <si>
    <t xml:space="preserve">TAGTGATTAGCCTGGACATCGCTT</t>
  </si>
  <si>
    <t xml:space="preserve">AAACAAGCGATGTCCAGGCTAATC</t>
  </si>
  <si>
    <t xml:space="preserve">CGGCTGCCTGCTCCAGCAAG</t>
  </si>
  <si>
    <t xml:space="preserve">TAGTCGGCTGCCTGCTCCAGCAAG</t>
  </si>
  <si>
    <t xml:space="preserve">AAACCTTGCTGGAGCAGGCAGCCG</t>
  </si>
  <si>
    <t xml:space="preserve">CGCGAGCCGCGCGCCACCTT</t>
  </si>
  <si>
    <t xml:space="preserve">TAGTCGCGAGCCGCGCGCCACCTT</t>
  </si>
  <si>
    <t xml:space="preserve">AAACAAGGTGGCGCGCGGCTCGCG</t>
  </si>
  <si>
    <t xml:space="preserve">PSPPH_4166</t>
  </si>
  <si>
    <t xml:space="preserve">GTCAGGGTTGCAACAAGGCG</t>
  </si>
  <si>
    <t xml:space="preserve">TAGTGTCAGGGTTGCAACAAGGCG</t>
  </si>
  <si>
    <t xml:space="preserve">AAACCGCCTTGTTGCAACCCTGAC</t>
  </si>
  <si>
    <t xml:space="preserve">GCACCAAAACCAGTGCGCAC</t>
  </si>
  <si>
    <t xml:space="preserve">TAGTGCACCAAAACCAGTGCGCAC</t>
  </si>
  <si>
    <t xml:space="preserve">AAACGTGCGCACTGGTTTTGGTGC</t>
  </si>
  <si>
    <t xml:space="preserve">GCGGCGTTAGCTGACGCCCG</t>
  </si>
  <si>
    <t xml:space="preserve">TAGTGCGGCGTTAGCTGACGCCCG</t>
  </si>
  <si>
    <t xml:space="preserve">AAACCGGGCGTCAGCTAACGCCGC</t>
  </si>
  <si>
    <t xml:space="preserve">TTCCACATCCACACGGTATT</t>
  </si>
  <si>
    <t xml:space="preserve">TAGTTTCCACATCCACACGGTATT</t>
  </si>
  <si>
    <t xml:space="preserve">AAACAATACCGTGTGGATGTGGAA</t>
  </si>
  <si>
    <t xml:space="preserve">PSPPH_4167</t>
  </si>
  <si>
    <t xml:space="preserve">ATACCTGCCAGAAACCCGAA</t>
  </si>
  <si>
    <t xml:space="preserve">TAGTATACCTGCCAGAAACCCGAA</t>
  </si>
  <si>
    <t xml:space="preserve">AAACTTCGGGTTTCTGGCAGGTAT</t>
  </si>
  <si>
    <t xml:space="preserve">ACGCATCATTCTCGATAAAA</t>
  </si>
  <si>
    <t xml:space="preserve">TAGTACGCATCATTCTCGATAAAA</t>
  </si>
  <si>
    <t xml:space="preserve">AAACTTTTATCGAGAATGATGCGT</t>
  </si>
  <si>
    <t xml:space="preserve">PSPPH_4168</t>
  </si>
  <si>
    <t xml:space="preserve">cafA</t>
  </si>
  <si>
    <t xml:space="preserve">CCATCGGGGTGATGTTGATC</t>
  </si>
  <si>
    <t xml:space="preserve">TAGTCCATCGGGGTGATGTTGATC</t>
  </si>
  <si>
    <t xml:space="preserve">AAACGATCAACATCACCCCGATGG</t>
  </si>
  <si>
    <t xml:space="preserve">GCCGACGATGCCGCGGCGCT</t>
  </si>
  <si>
    <t xml:space="preserve">TAGTGCCGACGATGCCGCGGCGCT</t>
  </si>
  <si>
    <t xml:space="preserve">AAACAGCGCCGCGGCATCGTCGGC</t>
  </si>
  <si>
    <t xml:space="preserve">AGGCATGAATGAATGCAGCG</t>
  </si>
  <si>
    <t xml:space="preserve">TAGTAGGCATGAATGAATGCAGCG</t>
  </si>
  <si>
    <t xml:space="preserve">AAACCGCTGCATTCATTCATGCCT</t>
  </si>
  <si>
    <t xml:space="preserve">TTCACGCATGGATATTTCCG</t>
  </si>
  <si>
    <t xml:space="preserve">TAGTTTCACGCATGGATATTTCCG</t>
  </si>
  <si>
    <t xml:space="preserve">AAACCGGAAATATCCATGCGTGAA</t>
  </si>
  <si>
    <t xml:space="preserve">PSPPH_4169</t>
  </si>
  <si>
    <t xml:space="preserve">maf2</t>
  </si>
  <si>
    <t xml:space="preserve">CCAGAAGCCAGATAAAGCGA</t>
  </si>
  <si>
    <t xml:space="preserve">TAGTCCAGAAGCCAGATAAAGCGA</t>
  </si>
  <si>
    <t xml:space="preserve">AAACTCGCTTTATCTGGCTTCTGG</t>
  </si>
  <si>
    <t xml:space="preserve">GTCAGAAGTTCGCGGCGGCG</t>
  </si>
  <si>
    <t xml:space="preserve">TAGTGTCAGAAGTTCGCGGCGGCG</t>
  </si>
  <si>
    <t xml:space="preserve">AAACCGCCGCCGCGAACTTCTGAC</t>
  </si>
  <si>
    <t xml:space="preserve">CTGAGCGTTCAGTACGGTAA</t>
  </si>
  <si>
    <t xml:space="preserve">TAGTCTGAGCGTTCAGTACGGTAA</t>
  </si>
  <si>
    <t xml:space="preserve">AAACTTACCGTACTGAACGCTCAG</t>
  </si>
  <si>
    <t xml:space="preserve">GCCGGGGTTTCGTGGTCGAA</t>
  </si>
  <si>
    <t xml:space="preserve">TAGTGCCGGGGTTTCGTGGTCGAA</t>
  </si>
  <si>
    <t xml:space="preserve">AAACTTCGACCACGAAACCCCGGC</t>
  </si>
  <si>
    <t xml:space="preserve">PSPPH_4170</t>
  </si>
  <si>
    <t xml:space="preserve">mreD</t>
  </si>
  <si>
    <t xml:space="preserve">GACCACCCAGCCATTGCGCC</t>
  </si>
  <si>
    <t xml:space="preserve">TAGTGACCACCCAGCCATTGCGCC</t>
  </si>
  <si>
    <t xml:space="preserve">AAACGGCGCAATGGCTGGGTGGTC</t>
  </si>
  <si>
    <t xml:space="preserve">ATTTCCATGAATTGCGGCAG</t>
  </si>
  <si>
    <t xml:space="preserve">TAGTATTTCCATGAATTGCGGCAG</t>
  </si>
  <si>
    <t xml:space="preserve">AAACCTGCCGCAATTCATGGAAAT</t>
  </si>
  <si>
    <t xml:space="preserve">ACAGGGCCAGCCACAAGGGC</t>
  </si>
  <si>
    <t xml:space="preserve">TAGTACAGGGCCAGCCACAAGGGC</t>
  </si>
  <si>
    <t xml:space="preserve">AAACGCCCTTGTGGCTGGCCCTGT</t>
  </si>
  <si>
    <t xml:space="preserve">GTGGTCATACCGTATTTGTG</t>
  </si>
  <si>
    <t xml:space="preserve">TAGTGTGGTCATACCGTATTTGTG</t>
  </si>
  <si>
    <t xml:space="preserve">AAACCACAAATACGGTATGACCAC</t>
  </si>
  <si>
    <t xml:space="preserve">PSPPH_4171</t>
  </si>
  <si>
    <t xml:space="preserve">mreC</t>
  </si>
  <si>
    <t xml:space="preserve">CATCAACGCAACCGACAGAA</t>
  </si>
  <si>
    <t xml:space="preserve">TAGTCATCAACGCAACCGACAGAA</t>
  </si>
  <si>
    <t xml:space="preserve">AAACTTCTGTCGGTTGCGTTGATG</t>
  </si>
  <si>
    <t xml:space="preserve">GGGCTTGAGGATCGTAAAGC</t>
  </si>
  <si>
    <t xml:space="preserve">TAGTGGGCTTGAGGATCGTAAAGC</t>
  </si>
  <si>
    <t xml:space="preserve">AAACGCTTTACGATCCTCAAGCCC</t>
  </si>
  <si>
    <t xml:space="preserve">ATCGACATCTGGCTGCGCAC</t>
  </si>
  <si>
    <t xml:space="preserve">TAGTATCGACATCTGGCTGCGCAC</t>
  </si>
  <si>
    <t xml:space="preserve">AAACGTGCGCAGCCAGATGTCGAT</t>
  </si>
  <si>
    <t xml:space="preserve">TGGCAGATCAACGATCCAGT</t>
  </si>
  <si>
    <t xml:space="preserve">TAGTTGGCAGATCAACGATCCAGT</t>
  </si>
  <si>
    <t xml:space="preserve">AAACACTGGATCGTTGATCTGCCA</t>
  </si>
  <si>
    <t xml:space="preserve">PSPPH_4172</t>
  </si>
  <si>
    <t xml:space="preserve">mreB</t>
  </si>
  <si>
    <t xml:space="preserve">CCACGCAGTTTCTTGAACAT</t>
  </si>
  <si>
    <t xml:space="preserve">TAGTCCACGCAGTTTCTTGAACAT</t>
  </si>
  <si>
    <t xml:space="preserve">AAACATGTTCAAGAAACTGCGTGG</t>
  </si>
  <si>
    <t xml:space="preserve">CAGGTCGATGGATAGATCAC</t>
  </si>
  <si>
    <t xml:space="preserve">TAGTCAGGTCGATGGATAGATCAC</t>
  </si>
  <si>
    <t xml:space="preserve">AAACGTGATCTATCCATCGACCTG</t>
  </si>
  <si>
    <t xml:space="preserve">ACGCACGTAGATAAGGGTGT</t>
  </si>
  <si>
    <t xml:space="preserve">TAGTACGCACGTAGATAAGGGTGT</t>
  </si>
  <si>
    <t xml:space="preserve">AAACACACCCTTATCTACGTGCGT</t>
  </si>
  <si>
    <t xml:space="preserve">GTACGAATGGCAACGACAGA</t>
  </si>
  <si>
    <t xml:space="preserve">TAGTGTACGAATGGCAACGACAGA</t>
  </si>
  <si>
    <t xml:space="preserve">AAACTCTGTCGTTGCCATTCGTAC</t>
  </si>
  <si>
    <t xml:space="preserve">PSPPH_4173</t>
  </si>
  <si>
    <t xml:space="preserve">gatC</t>
  </si>
  <si>
    <t xml:space="preserve">TCGGAGCGTTCAAGCGCCAT</t>
  </si>
  <si>
    <t xml:space="preserve">TAGTTCGGAGCGTTCAAGCGCCAT</t>
  </si>
  <si>
    <t xml:space="preserve">AAACATGGCGCTTGAACGCTCCGA</t>
  </si>
  <si>
    <t xml:space="preserve">GGCGTCATTGAGACCCAGTC</t>
  </si>
  <si>
    <t xml:space="preserve">TAGTGGCGTCATTGAGACCCAGTC</t>
  </si>
  <si>
    <t xml:space="preserve">AAACGACTGGGTCTCAATGACGCC</t>
  </si>
  <si>
    <t xml:space="preserve">TTCGGTGGTACGCGGGATAT</t>
  </si>
  <si>
    <t xml:space="preserve">TAGTTTCGGTGGTACGCGGGATAT</t>
  </si>
  <si>
    <t xml:space="preserve">AAACATATCCCGCGTACCACCGAA</t>
  </si>
  <si>
    <t xml:space="preserve">GGCCAGAGGTTCGATGCCAG</t>
  </si>
  <si>
    <t xml:space="preserve">TAGTGGCCAGAGGTTCGATGCCAG</t>
  </si>
  <si>
    <t xml:space="preserve">AAACCTGGCATCGAACCTCTGGCC</t>
  </si>
  <si>
    <t xml:space="preserve">PSPPH_4174</t>
  </si>
  <si>
    <t xml:space="preserve">gatA</t>
  </si>
  <si>
    <t xml:space="preserve">GGCGAGTCCGCGAGCGATCT</t>
  </si>
  <si>
    <t xml:space="preserve">TAGTGGCGAGTCCGCGAGCGATCT</t>
  </si>
  <si>
    <t xml:space="preserve">AAACAGATCGCTCGCGGACTCGCC</t>
  </si>
  <si>
    <t xml:space="preserve">TTCAGAAGAAAACTTTTTTT</t>
  </si>
  <si>
    <t xml:space="preserve">TAGTTTCAGAAGAAAACTTTTTTT</t>
  </si>
  <si>
    <t xml:space="preserve">AAACAAAAAAAGTTTTCTTCTGAA</t>
  </si>
  <si>
    <t xml:space="preserve">GATACGCGACAGCAGAACGC</t>
  </si>
  <si>
    <t xml:space="preserve">TAGTGATACGCGACAGCAGAACGC</t>
  </si>
  <si>
    <t xml:space="preserve">AAACGCGTTCTGCTGTCGCGTATC</t>
  </si>
  <si>
    <t xml:space="preserve">TGATGAAGCTGTTGAGCTGC</t>
  </si>
  <si>
    <t xml:space="preserve">TAGTTGATGAAGCTGTTGAGCTGC</t>
  </si>
  <si>
    <t xml:space="preserve">AAACGCAGCTCAACAGCTTCATCA</t>
  </si>
  <si>
    <t xml:space="preserve">PSPPH_4175</t>
  </si>
  <si>
    <t xml:space="preserve">gatB</t>
  </si>
  <si>
    <t xml:space="preserve">CTTTGATTGGGTCGAAAGCT</t>
  </si>
  <si>
    <t xml:space="preserve">TAGTCTTTGATTGGGTCGAAAGCT</t>
  </si>
  <si>
    <t xml:space="preserve">AAACAGCTTTCGACCCAATCAAAG</t>
  </si>
  <si>
    <t xml:space="preserve">GCCGAACGTGGTGGCGCTAC</t>
  </si>
  <si>
    <t xml:space="preserve">TAGTGCCGAACGTGGTGGCGCTAC</t>
  </si>
  <si>
    <t xml:space="preserve">AAACGTAGCGCCACCACGTTCGGC</t>
  </si>
  <si>
    <t xml:space="preserve">GCTGGCCTGGGTGTTGGGCT</t>
  </si>
  <si>
    <t xml:space="preserve">TAGTGCTGGCCTGGGTGTTGGGCT</t>
  </si>
  <si>
    <t xml:space="preserve">AAACAGCCCAACACCCAGGCCAGC</t>
  </si>
  <si>
    <t xml:space="preserve">CGGGCATGCCCAGATCGACG</t>
  </si>
  <si>
    <t xml:space="preserve">TAGTCGGGCATGCCCAGATCGACG</t>
  </si>
  <si>
    <t xml:space="preserve">AAACCGTCGATCTGGGCATGCCCG</t>
  </si>
  <si>
    <t xml:space="preserve">PSPPH_4176</t>
  </si>
  <si>
    <t xml:space="preserve">ATGTGAATAAAGATCTCTGT</t>
  </si>
  <si>
    <t xml:space="preserve">TAGTATGTGAATAAAGATCTCTGT</t>
  </si>
  <si>
    <t xml:space="preserve">AAACACAGAGATCTTTATTCACAT</t>
  </si>
  <si>
    <t xml:space="preserve">TCATGAAGAGCCCAAAAAGC</t>
  </si>
  <si>
    <t xml:space="preserve">TAGTTCATGAAGAGCCCAAAAAGC</t>
  </si>
  <si>
    <t xml:space="preserve">AAACGCTTTTTGGGCTCTTCATGA</t>
  </si>
  <si>
    <t xml:space="preserve">TCGCAGCGCGCACGCAACAG</t>
  </si>
  <si>
    <t xml:space="preserve">TAGTTCGCAGCGCGCACGCAACAG</t>
  </si>
  <si>
    <t xml:space="preserve">AAACCTGTTGCGTGCGCGCTGCGA</t>
  </si>
  <si>
    <t xml:space="preserve">TGACGCTCCGCGTCGCAACT</t>
  </si>
  <si>
    <t xml:space="preserve">TAGTTGACGCTCCGCGTCGCAACT</t>
  </si>
  <si>
    <t xml:space="preserve">AAACAGTTGCGACGCGGAGCGTCA</t>
  </si>
  <si>
    <t xml:space="preserve">PSPPH_4177</t>
  </si>
  <si>
    <t xml:space="preserve">CCCCGATCAACAGCAATAGC</t>
  </si>
  <si>
    <t xml:space="preserve">TAGTCCCCGATCAACAGCAATAGC</t>
  </si>
  <si>
    <t xml:space="preserve">AAACGCTATTGCTGTTGATCGGGG</t>
  </si>
  <si>
    <t xml:space="preserve">ACGGTCAGGCCAATGAGCAA</t>
  </si>
  <si>
    <t xml:space="preserve">TAGTACGGTCAGGCCAATGAGCAA</t>
  </si>
  <si>
    <t xml:space="preserve">AAACTTGCTCATTGGCCTGACCGT</t>
  </si>
  <si>
    <t xml:space="preserve">TACCGCCATTTGCGGCGCGC</t>
  </si>
  <si>
    <t xml:space="preserve">TAGTTACCGCCATTTGCGGCGCGC</t>
  </si>
  <si>
    <t xml:space="preserve">AAACGCGCGCCGCAAATGGCGGTA</t>
  </si>
  <si>
    <t xml:space="preserve">TATCGGCAAACGCAGCTTGC</t>
  </si>
  <si>
    <t xml:space="preserve">TAGTTATCGGCAAACGCAGCTTGC</t>
  </si>
  <si>
    <t xml:space="preserve">AAACGCAAGCTGCGTTTGCCGATA</t>
  </si>
  <si>
    <t xml:space="preserve">PSPPH_4178</t>
  </si>
  <si>
    <t xml:space="preserve">pcaC2</t>
  </si>
  <si>
    <t xml:space="preserve">GCTGATTGTCTTGTCTGTCA</t>
  </si>
  <si>
    <t xml:space="preserve">TAGTGCTGATTGTCTTGTCTGTCA</t>
  </si>
  <si>
    <t xml:space="preserve">AAACTGACAGACAAGACAATCAGC</t>
  </si>
  <si>
    <t xml:space="preserve">CATCGCCCATTACCTGACGA</t>
  </si>
  <si>
    <t xml:space="preserve">TAGTCATCGCCCATTACCTGACGA</t>
  </si>
  <si>
    <t xml:space="preserve">AAACTCGTCAGGTAATGGGCGATG</t>
  </si>
  <si>
    <t xml:space="preserve">TACCCAGCGCACGGTCGACG</t>
  </si>
  <si>
    <t xml:space="preserve">TAGTTACCCAGCGCACGGTCGACG</t>
  </si>
  <si>
    <t xml:space="preserve">AAACCGTCGACCGTGCGCTGGGTA</t>
  </si>
  <si>
    <t xml:space="preserve">CTGCAGCGGCTGGCTGAACT</t>
  </si>
  <si>
    <t xml:space="preserve">TAGTCTGCAGCGGCTGGCTGAACT</t>
  </si>
  <si>
    <t xml:space="preserve">AAACAGTTCAGCCAGCCGCTGCAG</t>
  </si>
  <si>
    <t xml:space="preserve">PSPPH_4179</t>
  </si>
  <si>
    <t xml:space="preserve">GGGCGGTGATGTTCAGGGTT</t>
  </si>
  <si>
    <t xml:space="preserve">TAGTGGGCGGTGATGTTCAGGGTT</t>
  </si>
  <si>
    <t xml:space="preserve">AAACAACCCTGAACATCACCGCCC</t>
  </si>
  <si>
    <t xml:space="preserve">AAACAGCATGGCAAACACCG</t>
  </si>
  <si>
    <t xml:space="preserve">TAGTAAACAGCATGGCAAACACCG</t>
  </si>
  <si>
    <t xml:space="preserve">AAACCGGTGTTTGCCATGCTGTTT</t>
  </si>
  <si>
    <t xml:space="preserve">CGTGACGTTGAACACCAGCC</t>
  </si>
  <si>
    <t xml:space="preserve">TAGTCGTGACGTTGAACACCAGCC</t>
  </si>
  <si>
    <t xml:space="preserve">AAACGGCTGGTGTTCAACGTCACG</t>
  </si>
  <si>
    <t xml:space="preserve">ATGCCCAGAAACAGCAGCGC</t>
  </si>
  <si>
    <t xml:space="preserve">TAGTATGCCCAGAAACAGCAGCGC</t>
  </si>
  <si>
    <t xml:space="preserve">AAACGCGCTGCTGTTTCTGGGCAT</t>
  </si>
  <si>
    <t xml:space="preserve">PSPPH_4180</t>
  </si>
  <si>
    <t xml:space="preserve">CTTGAGATCGAACTGGCTCA</t>
  </si>
  <si>
    <t xml:space="preserve">TAGTCTTGAGATCGAACTGGCTCA</t>
  </si>
  <si>
    <t xml:space="preserve">AAACTGAGCCAGTTCGATCTCAAG</t>
  </si>
  <si>
    <t xml:space="preserve">CCCCCACGGCCTGGATGACA</t>
  </si>
  <si>
    <t xml:space="preserve">TAGTCCCCCACGGCCTGGATGACA</t>
  </si>
  <si>
    <t xml:space="preserve">AAACTGTCATCCAGGCCGTGGGGG</t>
  </si>
  <si>
    <t xml:space="preserve">AAGCCCCGGCAACAGCAAAC</t>
  </si>
  <si>
    <t xml:space="preserve">TAGTAAGCCCCGGCAACAGCAAAC</t>
  </si>
  <si>
    <t xml:space="preserve">AAACGTTTGCTGTTGCCGGGGCTT</t>
  </si>
  <si>
    <t xml:space="preserve">TGCACCGAAGCGATCACCGC</t>
  </si>
  <si>
    <t xml:space="preserve">TAGTTGCACCGAAGCGATCACCGC</t>
  </si>
  <si>
    <t xml:space="preserve">AAACGCGGTGATCGCTTCGGTGCA</t>
  </si>
  <si>
    <t xml:space="preserve">PSPPH_4181</t>
  </si>
  <si>
    <t xml:space="preserve">GACGCTGAGCGCCTGATTCA</t>
  </si>
  <si>
    <t xml:space="preserve">TAGTGACGCTGAGCGCCTGATTCA</t>
  </si>
  <si>
    <t xml:space="preserve">AAACTGAATCAGGCGCTCAGCGTC</t>
  </si>
  <si>
    <t xml:space="preserve">CAACGATTGACGATTATCGA</t>
  </si>
  <si>
    <t xml:space="preserve">TAGTCAACGATTGACGATTATCGA</t>
  </si>
  <si>
    <t xml:space="preserve">AAACTCGATAATCGTCAATCGTTG</t>
  </si>
  <si>
    <t xml:space="preserve">GCGGTCGATGGTCAGCCCGC</t>
  </si>
  <si>
    <t xml:space="preserve">TAGTGCGGTCGATGGTCAGCCCGC</t>
  </si>
  <si>
    <t xml:space="preserve">AAACGCGGGCTGACCATCGACCGC</t>
  </si>
  <si>
    <t xml:space="preserve">AGCTTTGTACCAGCAACTGC</t>
  </si>
  <si>
    <t xml:space="preserve">TAGTAGCTTTGTACCAGCAACTGC</t>
  </si>
  <si>
    <t xml:space="preserve">AAACGCAGTTGCTGGTACAAAGCT</t>
  </si>
  <si>
    <t xml:space="preserve">PSPPH_4182</t>
  </si>
  <si>
    <t xml:space="preserve">TTTTGGAAGCCCTTGGAGTA</t>
  </si>
  <si>
    <t xml:space="preserve">TAGTTTTTGGAAGCCCTTGGAGTA</t>
  </si>
  <si>
    <t xml:space="preserve">AAACTACTCCAAGGGCTTCCAAAA</t>
  </si>
  <si>
    <t xml:space="preserve">AATCCTCTGGACATGGGCAG</t>
  </si>
  <si>
    <t xml:space="preserve">TAGTAATCCTCTGGACATGGGCAG</t>
  </si>
  <si>
    <t xml:space="preserve">AAACCTGCCCATGTCCAGAGGATT</t>
  </si>
  <si>
    <t xml:space="preserve">GAGCACGATCACAGTCAGCA</t>
  </si>
  <si>
    <t xml:space="preserve">TAGTGAGCACGATCACAGTCAGCA</t>
  </si>
  <si>
    <t xml:space="preserve">AAACTGCTGACTGTGATCGTGCTC</t>
  </si>
  <si>
    <t xml:space="preserve">GTGATCCGCAGAGCGACACC</t>
  </si>
  <si>
    <t xml:space="preserve">TAGTGTGATCCGCAGAGCGACACC</t>
  </si>
  <si>
    <t xml:space="preserve">AAACGGTGTCGCTCTGCGGATCAC</t>
  </si>
  <si>
    <t xml:space="preserve">PSPPH_4183</t>
  </si>
  <si>
    <t xml:space="preserve">TTTGATTCGGGTACGTGCCA</t>
  </si>
  <si>
    <t xml:space="preserve">TAGTTTTGATTCGGGTACGTGCCA</t>
  </si>
  <si>
    <t xml:space="preserve">AAACTGGCACGTACCCGAATCAAA</t>
  </si>
  <si>
    <t xml:space="preserve">CGGCCATAGCGGCAAGGGTC</t>
  </si>
  <si>
    <t xml:space="preserve">TAGTCGGCCATAGCGGCAAGGGTC</t>
  </si>
  <si>
    <t xml:space="preserve">AAACGACCCTTGCCGCTATGGCCG</t>
  </si>
  <si>
    <t xml:space="preserve">TGAAGAGGCAGCAACTGACC</t>
  </si>
  <si>
    <t xml:space="preserve">TAGTTGAAGAGGCAGCAACTGACC</t>
  </si>
  <si>
    <t xml:space="preserve">AAACGGTCAGTTGCTGCCTCTTCA</t>
  </si>
  <si>
    <t xml:space="preserve">GCCGCAGCGCAGCGTTGACG</t>
  </si>
  <si>
    <t xml:space="preserve">TAGTGCCGCAGCGCAGCGTTGACG</t>
  </si>
  <si>
    <t xml:space="preserve">AAACCGTCAACGCTGCGCTGCGGC</t>
  </si>
  <si>
    <t xml:space="preserve">PSPPH_4184</t>
  </si>
  <si>
    <t xml:space="preserve">CAGGGCAGTAGCGGTAGCAG</t>
  </si>
  <si>
    <t xml:space="preserve">TAGTCAGGGCAGTAGCGGTAGCAG</t>
  </si>
  <si>
    <t xml:space="preserve">AAACCTGCTACCGCTACTGCCCTG</t>
  </si>
  <si>
    <t xml:space="preserve">TGCGAAAGCAGCGTTGGCCA</t>
  </si>
  <si>
    <t xml:space="preserve">TAGTTGCGAAAGCAGCGTTGGCCA</t>
  </si>
  <si>
    <t xml:space="preserve">AAACTGGCCAACGCTGCTTTCGCA</t>
  </si>
  <si>
    <t xml:space="preserve">AACCATTGGCGCTTGGGCCG</t>
  </si>
  <si>
    <t xml:space="preserve">TAGTAACCATTGGCGCTTGGGCCG</t>
  </si>
  <si>
    <t xml:space="preserve">AAACCGGCCCAAGCGCCAATGGTT</t>
  </si>
  <si>
    <t xml:space="preserve">GACTTCTTGAGTAGTGGTGT</t>
  </si>
  <si>
    <t xml:space="preserve">TAGTGACTTCTTGAGTAGTGGTGT</t>
  </si>
  <si>
    <t xml:space="preserve">AAACACACCACTACTCAAGAAGTC</t>
  </si>
  <si>
    <t xml:space="preserve">PSPPH_4185</t>
  </si>
  <si>
    <t xml:space="preserve">pnp</t>
  </si>
  <si>
    <t xml:space="preserve">CTTTTTGATTACCGGGTTCA</t>
  </si>
  <si>
    <t xml:space="preserve">TAGTCTTTTTGATTACCGGGTTCA</t>
  </si>
  <si>
    <t xml:space="preserve">AAACTGAACCCGGTAATCAAAAAG</t>
  </si>
  <si>
    <t xml:space="preserve">ACGGCCTGTCTCGAGGGTTA</t>
  </si>
  <si>
    <t xml:space="preserve">TAGTACGGCCTGTCTCGAGGGTTA</t>
  </si>
  <si>
    <t xml:space="preserve">AAACTAACCCTCGAGACAGGCCGT</t>
  </si>
  <si>
    <t xml:space="preserve">TACTGCGCCAGAGGCTTGAC</t>
  </si>
  <si>
    <t xml:space="preserve">TAGTTACTGCGCCAGAGGCTTGAC</t>
  </si>
  <si>
    <t xml:space="preserve">AAACGTCAAGCCTCTGGCGCAGTA</t>
  </si>
  <si>
    <t xml:space="preserve">TACGCTGACGTCGTCGTCAA</t>
  </si>
  <si>
    <t xml:space="preserve">TAGTTACGCTGACGTCGTCGTCAA</t>
  </si>
  <si>
    <t xml:space="preserve">AAACTTGACGACGACGTCAGCGTA</t>
  </si>
  <si>
    <t xml:space="preserve">PSPPH_4186</t>
  </si>
  <si>
    <t xml:space="preserve">rpsO</t>
  </si>
  <si>
    <t xml:space="preserve">ACCAACAGCTTGCTGGTAGT</t>
  </si>
  <si>
    <t xml:space="preserve">TAGTACCAACAGCTTGCTGGTAGT</t>
  </si>
  <si>
    <t xml:space="preserve">AAACACTACCAGCAAGCTGTTGGT</t>
  </si>
  <si>
    <t xml:space="preserve">AGCAGTGCAACTTGCACTTC</t>
  </si>
  <si>
    <t xml:space="preserve">TAGTAGCAGTGCAACTTGCACTTC</t>
  </si>
  <si>
    <t xml:space="preserve">AAACGAAGTGCAAGTTGCACTGCT</t>
  </si>
  <si>
    <t xml:space="preserve">TTGCAGTTTGTTGATGTTGG</t>
  </si>
  <si>
    <t xml:space="preserve">TAGTTTGCAGTTTGTTGATGTTGG</t>
  </si>
  <si>
    <t xml:space="preserve">AAACCCAACATCAACAAACTGCAA</t>
  </si>
  <si>
    <t xml:space="preserve">CCTTACCGTTGGCCTTGAAG</t>
  </si>
  <si>
    <t xml:space="preserve">TAGTCCTTACCGTTGGCCTTGAAG</t>
  </si>
  <si>
    <t xml:space="preserve">AAACCTTCAAGGCCAACGGTAAGG</t>
  </si>
  <si>
    <t xml:space="preserve">PSPPH_4187</t>
  </si>
  <si>
    <t xml:space="preserve">truB</t>
  </si>
  <si>
    <t xml:space="preserve">GGATGATCCCGCTGACGTTG</t>
  </si>
  <si>
    <t xml:space="preserve">TAGTGGATGATCCCGCTGACGTTG</t>
  </si>
  <si>
    <t xml:space="preserve">AAACCAACGTCAGCGGGATCATCC</t>
  </si>
  <si>
    <t xml:space="preserve">AACCCAGTGGCTTGTCGAGC</t>
  </si>
  <si>
    <t xml:space="preserve">TAGTAACCCAGTGGCTTGTCGAGC</t>
  </si>
  <si>
    <t xml:space="preserve">AAACGCTCGACAAGCCACTGGGTT</t>
  </si>
  <si>
    <t xml:space="preserve">AACCTTTTGCAAAGCGGCGT</t>
  </si>
  <si>
    <t xml:space="preserve">TAGTAACCTTTTGCAAAGCGGCGT</t>
  </si>
  <si>
    <t xml:space="preserve">AAACACGCCGCTTTGCAAAAGGTT</t>
  </si>
  <si>
    <t xml:space="preserve">GCCCGTATGCCCGGCTTTCT</t>
  </si>
  <si>
    <t xml:space="preserve">TAGTGCCCGTATGCCCGGCTTTCT</t>
  </si>
  <si>
    <t xml:space="preserve">AAACAGAAAGCCGGGCATACGGGC</t>
  </si>
  <si>
    <t xml:space="preserve">PSPPH_4188</t>
  </si>
  <si>
    <t xml:space="preserve">rbfA</t>
  </si>
  <si>
    <t xml:space="preserve">GATCGCCAATGCGTTGGGTA</t>
  </si>
  <si>
    <t xml:space="preserve">TAGTGATCGCCAATGCGTTGGGTA</t>
  </si>
  <si>
    <t xml:space="preserve">AAACTACCCAACGCATTGGCGATC</t>
  </si>
  <si>
    <t xml:space="preserve">GTGGGTCCTTGATTTCGCGA</t>
  </si>
  <si>
    <t xml:space="preserve">TAGTGTGGGTCCTTGATTTCGCGA</t>
  </si>
  <si>
    <t xml:space="preserve">AAACTCGCGAAATCAAGGACCCAC</t>
  </si>
  <si>
    <t xml:space="preserve">GTCACGGCTGACGTCTACGG</t>
  </si>
  <si>
    <t xml:space="preserve">TAGTGTCACGGCTGACGTCTACGG</t>
  </si>
  <si>
    <t xml:space="preserve">AAACCCGTAGACGTCAGCCGTGAC</t>
  </si>
  <si>
    <t xml:space="preserve">CGCGCTGTCCTGGCCCATGA</t>
  </si>
  <si>
    <t xml:space="preserve">TAGTCGCGCTGTCCTGGCCCATGA</t>
  </si>
  <si>
    <t xml:space="preserve">AAACTCATGGGCCAGGACAGCGCG</t>
  </si>
  <si>
    <t xml:space="preserve">PSPPH_4189</t>
  </si>
  <si>
    <t xml:space="preserve">infB</t>
  </si>
  <si>
    <t xml:space="preserve">TACCGGTGTGTCGACCACTT</t>
  </si>
  <si>
    <t xml:space="preserve">TAGTTACCGGTGTGTCGACCACTT</t>
  </si>
  <si>
    <t xml:space="preserve">AAACAAGTGGTCGACACACCGGTA</t>
  </si>
  <si>
    <t xml:space="preserve">CCTCACGCATCTGCTGTAAC</t>
  </si>
  <si>
    <t xml:space="preserve">TAGTCCTCACGCATCTGCTGTAAC</t>
  </si>
  <si>
    <t xml:space="preserve">AAACGTTACAGCAGATGCGTGAGG</t>
  </si>
  <si>
    <t xml:space="preserve">ACTTGCTCGGCGGCGGTGTG</t>
  </si>
  <si>
    <t xml:space="preserve">TAGTACTTGCTCGGCGGCGGTGTG</t>
  </si>
  <si>
    <t xml:space="preserve">AAACCACACCGCCGCCGAGCAAGT</t>
  </si>
  <si>
    <t xml:space="preserve">CAAGGCTTGTTTTTCGTTAT</t>
  </si>
  <si>
    <t xml:space="preserve">TAGTCAAGGCTTGTTTTTCGTTAT</t>
  </si>
  <si>
    <t xml:space="preserve">AAACATAACGAAAAACAAGCCTTG</t>
  </si>
  <si>
    <t xml:space="preserve">PSPPH_4190</t>
  </si>
  <si>
    <t xml:space="preserve">nusA</t>
  </si>
  <si>
    <t xml:space="preserve">TGCCGGAACGCCCTTTTCAT</t>
  </si>
  <si>
    <t xml:space="preserve">TAGTTGCCGGAACGCCCTTTTCAT</t>
  </si>
  <si>
    <t xml:space="preserve">AAACATGAAAAGGGCGTTCCGGCA</t>
  </si>
  <si>
    <t xml:space="preserve">AAAACGTTTCTTGGTAGCGG</t>
  </si>
  <si>
    <t xml:space="preserve">TAGTAAAACGTTTCTTGGTAGCGG</t>
  </si>
  <si>
    <t xml:space="preserve">AAACCCGCTACCAAGAAACGTTTT</t>
  </si>
  <si>
    <t xml:space="preserve">AAGTCTCGTAGTTGCCTGTC</t>
  </si>
  <si>
    <t xml:space="preserve">TAGTAAGTCTCGTAGTTGCCTGTC</t>
  </si>
  <si>
    <t xml:space="preserve">AAACGACAGGCAACTACGAGACTT</t>
  </si>
  <si>
    <t xml:space="preserve">CTTCGACAACTGTCCAGCGA</t>
  </si>
  <si>
    <t xml:space="preserve">TAGTCTTCGACAACTGTCCAGCGA</t>
  </si>
  <si>
    <t xml:space="preserve">AAACTCGCTGGACAGTTGTCGAAG</t>
  </si>
  <si>
    <t xml:space="preserve">PSPPH_4191</t>
  </si>
  <si>
    <t xml:space="preserve">GCCAAGGGCCACGACCACCG</t>
  </si>
  <si>
    <t xml:space="preserve">TAGTGCCAAGGGCCACGACCACCG</t>
  </si>
  <si>
    <t xml:space="preserve">AAACCGGTGGTCGTGGCCCTTGGC</t>
  </si>
  <si>
    <t xml:space="preserve">CAGCACCGAATGCTTGCCCT</t>
  </si>
  <si>
    <t xml:space="preserve">TAGTCAGCACCGAATGCTTGCCCT</t>
  </si>
  <si>
    <t xml:space="preserve">AAACAGGGCAAGCATTCGGTGCTG</t>
  </si>
  <si>
    <t xml:space="preserve">CGTCCAATACACCGCTGATC</t>
  </si>
  <si>
    <t xml:space="preserve">TAGTCGTCCAATACACCGCTGATC</t>
  </si>
  <si>
    <t xml:space="preserve">AAACGATCAGCGGTGTATTGGACG</t>
  </si>
  <si>
    <t xml:space="preserve">AGGGTGTATTCAGTGCTGAT</t>
  </si>
  <si>
    <t xml:space="preserve">TAGTAGGGTGTATTCAGTGCTGAT</t>
  </si>
  <si>
    <t xml:space="preserve">AAACATCAGCACTGAATACACCCT</t>
  </si>
  <si>
    <t xml:space="preserve">PSPPH_4194</t>
  </si>
  <si>
    <t xml:space="preserve">secG</t>
  </si>
  <si>
    <t xml:space="preserve">CAACGCCCAGAGCGCCCAAC</t>
  </si>
  <si>
    <t xml:space="preserve">TAGTCAACGCCCAGAGCGCCCAAC</t>
  </si>
  <si>
    <t xml:space="preserve">AAACGTTGGGCGCTCTGGGCGTTG</t>
  </si>
  <si>
    <t xml:space="preserve">ACCTGCTCCGAACGACGCAC</t>
  </si>
  <si>
    <t xml:space="preserve">TAGTACCTGCTCCGAACGACGCAC</t>
  </si>
  <si>
    <t xml:space="preserve">AAACGTGCGTCGTTCGGAGCAGGT</t>
  </si>
  <si>
    <t xml:space="preserve">AAACTTACTGAGAAAGGTAG</t>
  </si>
  <si>
    <t xml:space="preserve">TAGTAAACTTACTGAGAAAGGTAG</t>
  </si>
  <si>
    <t xml:space="preserve">AAACCTACCTTTCTCAGTAAGTTT</t>
  </si>
  <si>
    <t xml:space="preserve">AAAGTAACCTAACCCCAAGC</t>
  </si>
  <si>
    <t xml:space="preserve">TAGTAAAGTAACCTAACCCCAAGC</t>
  </si>
  <si>
    <t xml:space="preserve">AAACGCTTGGGGTTAGGTTACTTT</t>
  </si>
  <si>
    <t xml:space="preserve">PSPPH_4195</t>
  </si>
  <si>
    <t xml:space="preserve">tpiA</t>
  </si>
  <si>
    <t xml:space="preserve">TCCAGTTACCAGCTACCATT</t>
  </si>
  <si>
    <t xml:space="preserve">TAGTTCCAGTTACCAGCTACCATT</t>
  </si>
  <si>
    <t xml:space="preserve">AAACAATGGTAGCTGGTAACTGGA</t>
  </si>
  <si>
    <t xml:space="preserve">CAGCTCAGCGACGCTGGCGC</t>
  </si>
  <si>
    <t xml:space="preserve">TAGTCAGCTCAGCGACGCTGGCGC</t>
  </si>
  <si>
    <t xml:space="preserve">AAACGCGCCAGCGTCGCTGAGCTG</t>
  </si>
  <si>
    <t xml:space="preserve">ACGGCGATATCGACGCTGCC</t>
  </si>
  <si>
    <t xml:space="preserve">TAGTACGGCGATATCGACGCTGCC</t>
  </si>
  <si>
    <t xml:space="preserve">AAACGGCAGCGTCGATATCGCCGT</t>
  </si>
  <si>
    <t xml:space="preserve">TGATTGGTAAACAGACTTGC</t>
  </si>
  <si>
    <t xml:space="preserve">TAGTTGATTGGTAAACAGACTTGC</t>
  </si>
  <si>
    <t xml:space="preserve">AAACGCAAGTCTGTTTACCAATCA</t>
  </si>
  <si>
    <t xml:space="preserve">PSPPH_4196</t>
  </si>
  <si>
    <t xml:space="preserve">glmM</t>
  </si>
  <si>
    <t xml:space="preserve">GAAATATTTTCTGGTAGTCA</t>
  </si>
  <si>
    <t xml:space="preserve">TAGTGAAATATTTTCTGGTAGTCA</t>
  </si>
  <si>
    <t xml:space="preserve">AAACTGACTACCAGAAAATATTTC</t>
  </si>
  <si>
    <t xml:space="preserve">TACACGACCGCGAATGCCGT</t>
  </si>
  <si>
    <t xml:space="preserve">TAGTTACACGACCGCGAATGCCGT</t>
  </si>
  <si>
    <t xml:space="preserve">AAACACGGCATTCGCGGTCGTGTA</t>
  </si>
  <si>
    <t xml:space="preserve">AGCATGAACTCGGGCGTAAT</t>
  </si>
  <si>
    <t xml:space="preserve">TAGTAGCATGAACTCGGGCGTAAT</t>
  </si>
  <si>
    <t xml:space="preserve">AAACATTACGCCCGAGTTCATGCT</t>
  </si>
  <si>
    <t xml:space="preserve">GCAGGCGCCCATCTTGCGAA</t>
  </si>
  <si>
    <t xml:space="preserve">TAGTGCAGGCGCCCATCTTGCGAA</t>
  </si>
  <si>
    <t xml:space="preserve">AAACTTCGCAAGATGGGCGCCTGC</t>
  </si>
  <si>
    <t xml:space="preserve">PSPPH_4197</t>
  </si>
  <si>
    <t xml:space="preserve">folP</t>
  </si>
  <si>
    <t xml:space="preserve">TTGCCGCAAGGCAACCGGGT</t>
  </si>
  <si>
    <t xml:space="preserve">TAGTTTGCCGCAAGGCAACCGGGT</t>
  </si>
  <si>
    <t xml:space="preserve">AAACACCCGGTTGCCTTGCGGCAA</t>
  </si>
  <si>
    <t xml:space="preserve">TATGGGCCAAATCAAGAACC</t>
  </si>
  <si>
    <t xml:space="preserve">TAGTTATGGGCCAAATCAAGAACC</t>
  </si>
  <si>
    <t xml:space="preserve">AAACGGTTCTTGATTTGGCCCATA</t>
  </si>
  <si>
    <t xml:space="preserve">AGGAGTCCGGGGTTGCGTTG</t>
  </si>
  <si>
    <t xml:space="preserve">TAGTAGGAGTCCGGGGTTGCGTTG</t>
  </si>
  <si>
    <t xml:space="preserve">AAACCAACGCAACCCCGGACTCCT</t>
  </si>
  <si>
    <t xml:space="preserve">GTAGCGGCCGCCATCGGAAA</t>
  </si>
  <si>
    <t xml:space="preserve">TAGTGTAGCGGCCGCCATCGGAAA</t>
  </si>
  <si>
    <t xml:space="preserve">AAACTTTCCGATGGCGGCCGCTAC</t>
  </si>
  <si>
    <t xml:space="preserve">PSPPH_4198</t>
  </si>
  <si>
    <t xml:space="preserve">ftsH</t>
  </si>
  <si>
    <t xml:space="preserve">CAGCCGCGATGATCAACCAC</t>
  </si>
  <si>
    <t xml:space="preserve">TAGTCAGCCGCGATGATCAACCAC</t>
  </si>
  <si>
    <t xml:space="preserve">AAACGTGGTTGATCATCGCGGCTG</t>
  </si>
  <si>
    <t xml:space="preserve">AGTTGTTCATCACCGTCACC</t>
  </si>
  <si>
    <t xml:space="preserve">TAGTAGTTGTTCATCACCGTCACC</t>
  </si>
  <si>
    <t xml:space="preserve">AAACGGTGACGGTGATGAACAACT</t>
  </si>
  <si>
    <t xml:space="preserve">GTTCTGCGGCTCGTTAGGGC</t>
  </si>
  <si>
    <t xml:space="preserve">TAGTGTTCTGCGGCTCGTTAGGGC</t>
  </si>
  <si>
    <t xml:space="preserve">AAACGCCCTAACGAGCCGCAGAAC</t>
  </si>
  <si>
    <t xml:space="preserve">GGATGAACTCGGAATAGTTG</t>
  </si>
  <si>
    <t xml:space="preserve">TAGTGGATGAACTCGGAATAGTTG</t>
  </si>
  <si>
    <t xml:space="preserve">AAACCAACTATTCCGAGTTCATCC</t>
  </si>
  <si>
    <t xml:space="preserve">PSPPH_4199</t>
  </si>
  <si>
    <t xml:space="preserve">rrmJ</t>
  </si>
  <si>
    <t xml:space="preserve">CTTGTCTTGGAACGGGCCAC</t>
  </si>
  <si>
    <t xml:space="preserve">TAGTCTTGTCTTGGAACGGGCCAC</t>
  </si>
  <si>
    <t xml:space="preserve">AAACGTGGCCCGTTCCAAGACAAG</t>
  </si>
  <si>
    <t xml:space="preserve">AGTGTTCTTTGAGCCAGTTA</t>
  </si>
  <si>
    <t xml:space="preserve">TAGTAGTGTTCTTTGAGCCAGTTA</t>
  </si>
  <si>
    <t xml:space="preserve">AAACTAACTGGCTCAAAGAACACT</t>
  </si>
  <si>
    <t xml:space="preserve">AATCTCGAGCAGCTTGTAGC</t>
  </si>
  <si>
    <t xml:space="preserve">TAGTAATCTCGAGCAGCTTGTAGC</t>
  </si>
  <si>
    <t xml:space="preserve">AAACGCTACAAGCTGCTCGAGATT</t>
  </si>
  <si>
    <t xml:space="preserve">CGATAACGGTCATGCCCGGA</t>
  </si>
  <si>
    <t xml:space="preserve">TAGTCGATAACGGTCATGCCCGGA</t>
  </si>
  <si>
    <t xml:space="preserve">AAACTCCGGGCATGACCGTTATCG</t>
  </si>
  <si>
    <t xml:space="preserve">PSPPH_4200</t>
  </si>
  <si>
    <t xml:space="preserve">TTCTTCTGCTCTGGAGTGAG</t>
  </si>
  <si>
    <t xml:space="preserve">TAGTTTCTTCTGCTCTGGAGTGAG</t>
  </si>
  <si>
    <t xml:space="preserve">AAACCTCACTCCAGAGCAGAAGAA</t>
  </si>
  <si>
    <t xml:space="preserve">CGGTTTCAGATGGTGGCCAA</t>
  </si>
  <si>
    <t xml:space="preserve">TAGTCGGTTTCAGATGGTGGCCAA</t>
  </si>
  <si>
    <t xml:space="preserve">AAACTTGGCCACCATCTGAAACCG</t>
  </si>
  <si>
    <t xml:space="preserve">TTGTCAGCCACGATCAACAC</t>
  </si>
  <si>
    <t xml:space="preserve">TAGTTTGTCAGCCACGATCAACAC</t>
  </si>
  <si>
    <t xml:space="preserve">AAACGTGTTGATCGTGGCTGACAA</t>
  </si>
  <si>
    <t xml:space="preserve">CCAGGCGGCTCTCGCGATCA</t>
  </si>
  <si>
    <t xml:space="preserve">TAGTCCAGGCGGCTCTCGCGATCA</t>
  </si>
  <si>
    <t xml:space="preserve">AAACTGATCGCGAGAGCCGCCTGG</t>
  </si>
  <si>
    <t xml:space="preserve">PSPPH_4201</t>
  </si>
  <si>
    <t xml:space="preserve">greA</t>
  </si>
  <si>
    <t xml:space="preserve">GAGCGCCCTGAACAGTCATT</t>
  </si>
  <si>
    <t xml:space="preserve">TAGTGAGCGCCCTGAACAGTCATT</t>
  </si>
  <si>
    <t xml:space="preserve">AAACAATGACTGTTCAGGGCGCTC</t>
  </si>
  <si>
    <t xml:space="preserve">GTGAGTCAGCTCTTCTTCCA</t>
  </si>
  <si>
    <t xml:space="preserve">TAGTGTGAGTCAGCTCTTCTTCCA</t>
  </si>
  <si>
    <t xml:space="preserve">AAACTGGAAGAAGAGCTGACTCAC</t>
  </si>
  <si>
    <t xml:space="preserve">TGGGACGGATCACCTTGGTC</t>
  </si>
  <si>
    <t xml:space="preserve">TAGTTGGGACGGATCACCTTGGTC</t>
  </si>
  <si>
    <t xml:space="preserve">AAACGACCAAGGTGATCCGTCCCA</t>
  </si>
  <si>
    <t xml:space="preserve">CGCGCGCAGTACCGATGTCC</t>
  </si>
  <si>
    <t xml:space="preserve">TAGTCGCGCGCAGTACCGATGTCC</t>
  </si>
  <si>
    <t xml:space="preserve">AAACGGACATCGGTACTGCGCGCG</t>
  </si>
  <si>
    <t xml:space="preserve">PSPPH_4202</t>
  </si>
  <si>
    <t xml:space="preserve">carB</t>
  </si>
  <si>
    <t xml:space="preserve">ATATCTGTACGTTTTGGCAT</t>
  </si>
  <si>
    <t xml:space="preserve">TAGTATATCTGTACGTTTTGGCAT</t>
  </si>
  <si>
    <t xml:space="preserve">AAACATGCCAAAACGTACAGATAT</t>
  </si>
  <si>
    <t xml:space="preserve">TAGGGCCGGCGCCGAGAATC</t>
  </si>
  <si>
    <t xml:space="preserve">TAGTTAGGGCCGGCGCCGAGAATC</t>
  </si>
  <si>
    <t xml:space="preserve">AAACGATTCTCGGCGCCGGCCCTA</t>
  </si>
  <si>
    <t xml:space="preserve">AGTAGTCGAATTCACAGGCC</t>
  </si>
  <si>
    <t xml:space="preserve">TAGTAGTAGTCGAATTCACAGGCC</t>
  </si>
  <si>
    <t xml:space="preserve">AAACGGCCTGTGAATTCGACTACT</t>
  </si>
  <si>
    <t xml:space="preserve">TGCCTTGCAGGCCTGGGCGC</t>
  </si>
  <si>
    <t xml:space="preserve">TAGTTGCCTTGCAGGCCTGGGCGC</t>
  </si>
  <si>
    <t xml:space="preserve">AAACGCGCCCAGGCCTGCAAGGCA</t>
  </si>
  <si>
    <t xml:space="preserve">PSPPH_4203</t>
  </si>
  <si>
    <t xml:space="preserve">carA</t>
  </si>
  <si>
    <t xml:space="preserve">TCAGCAAGGGCGAGTATGGC</t>
  </si>
  <si>
    <t xml:space="preserve">TAGTTCAGCAAGGGCGAGTATGGC</t>
  </si>
  <si>
    <t xml:space="preserve">AAACGCCATACTCGCCCTTGCTGA</t>
  </si>
  <si>
    <t xml:space="preserve">GGTCTGACCGTCGGCTCCAA</t>
  </si>
  <si>
    <t xml:space="preserve">TAGTGGTCTGACCGTCGGCTCCAA</t>
  </si>
  <si>
    <t xml:space="preserve">AAACTTGGAGCCGACGGTCAGACC</t>
  </si>
  <si>
    <t xml:space="preserve">GTTGAACACCACCTCACCAA</t>
  </si>
  <si>
    <t xml:space="preserve">TAGTGTTGAACACCACCTCACCAA</t>
  </si>
  <si>
    <t xml:space="preserve">AAACTTGGTGAGGTGGTGTTCAAC</t>
  </si>
  <si>
    <t xml:space="preserve">TTCCTGATAGCCTGTCATTG</t>
  </si>
  <si>
    <t xml:space="preserve">TAGTTTCCTGATAGCCTGTCATTG</t>
  </si>
  <si>
    <t xml:space="preserve">AAACCAATGACAGGCTATCAGGAA</t>
  </si>
  <si>
    <t xml:space="preserve">PSPPH_4204</t>
  </si>
  <si>
    <t xml:space="preserve">dapB</t>
  </si>
  <si>
    <t xml:space="preserve">AGTCTTGCCCATGCGCCCGG</t>
  </si>
  <si>
    <t xml:space="preserve">TAGTAGTCTTGCCCATGCGCCCGG</t>
  </si>
  <si>
    <t xml:space="preserve">AAACCCGGGCGCATGGGCAAGACT</t>
  </si>
  <si>
    <t xml:space="preserve">GCGGCGGTCAACCCGGCACC</t>
  </si>
  <si>
    <t xml:space="preserve">TAGTGCGGCGGTCAACCCGGCACC</t>
  </si>
  <si>
    <t xml:space="preserve">AAACGGTGCCGGGTTGACCGCCGC</t>
  </si>
  <si>
    <t xml:space="preserve">GCACCCACCAGCGTGCTGTC</t>
  </si>
  <si>
    <t xml:space="preserve">TAGTGCACCCACCAGCGTGCTGTC</t>
  </si>
  <si>
    <t xml:space="preserve">AAACGACAGCACGCTGGTGGGTGC</t>
  </si>
  <si>
    <t xml:space="preserve">TTTGCCAGGTCGCCCGACAA</t>
  </si>
  <si>
    <t xml:space="preserve">TAGTTTTGCCAGGTCGCCCGACAA</t>
  </si>
  <si>
    <t xml:space="preserve">AAACTTGTCGGGCGACCTGGCAAA</t>
  </si>
  <si>
    <t xml:space="preserve">PSPPH_4205</t>
  </si>
  <si>
    <t xml:space="preserve">dnaJ</t>
  </si>
  <si>
    <t xml:space="preserve">CTTTTTCAGGTCCGCCTCGC</t>
  </si>
  <si>
    <t xml:space="preserve">TAGTCTTTTTCAGGTCCGCCTCGC</t>
  </si>
  <si>
    <t xml:space="preserve">AAACGCGAGGCGGACCTGAAAAAG</t>
  </si>
  <si>
    <t xml:space="preserve">GGTGATGCTTCATCGCCAGA</t>
  </si>
  <si>
    <t xml:space="preserve">TAGTGGTGATGCTTCATCGCCAGA</t>
  </si>
  <si>
    <t xml:space="preserve">AAACTCTGGCGATGAAGCATCACC</t>
  </si>
  <si>
    <t xml:space="preserve">TGTCATCAGGGTTACGGTCG</t>
  </si>
  <si>
    <t xml:space="preserve">TAGTTGTCATCAGGGTTACGGTCG</t>
  </si>
  <si>
    <t xml:space="preserve">AAACCGACCGTAACCCTGATGACA</t>
  </si>
  <si>
    <t xml:space="preserve">CTCTTTGAACAGCTCTTCCG</t>
  </si>
  <si>
    <t xml:space="preserve">TAGTCTCTTTGAACAGCTCTTCCG</t>
  </si>
  <si>
    <t xml:space="preserve">AAACCGGAAGAGCTGTTCAAAGAG</t>
  </si>
  <si>
    <t xml:space="preserve">PSPPH_4206</t>
  </si>
  <si>
    <t xml:space="preserve">dnaK</t>
  </si>
  <si>
    <t xml:space="preserve">CGCAGGAGTTGGTAGTCCCC</t>
  </si>
  <si>
    <t xml:space="preserve">TAGTCGCAGGAGTTGGTAGTCCCC</t>
  </si>
  <si>
    <t xml:space="preserve">AAACGGGGACTACCAACTCCTGCG</t>
  </si>
  <si>
    <t xml:space="preserve">GACGTTACCGTTTTCCAGAA</t>
  </si>
  <si>
    <t xml:space="preserve">TAGTGACGTTACCGTTTTCCAGAA</t>
  </si>
  <si>
    <t xml:space="preserve">AAACTTCTGGAAAACGGTAACGTC</t>
  </si>
  <si>
    <t xml:space="preserve">TTGGCATAAGCAATGATCGA</t>
  </si>
  <si>
    <t xml:space="preserve">TAGTTTGGCATAAGCAATGATCGA</t>
  </si>
  <si>
    <t xml:space="preserve">AAACTCGATCATTGCTTATGCCAA</t>
  </si>
  <si>
    <t xml:space="preserve">GCTTGGCGGACTGACCGACC</t>
  </si>
  <si>
    <t xml:space="preserve">TAGTGCTTGGCGGACTGACCGACC</t>
  </si>
  <si>
    <t xml:space="preserve">AAACGGTCGGTCAGTCCGCCAAGC</t>
  </si>
  <si>
    <t xml:space="preserve">PSPPH_4207</t>
  </si>
  <si>
    <t xml:space="preserve">grpE</t>
  </si>
  <si>
    <t xml:space="preserve">TTCTTCACCCGCGCCCGCCT</t>
  </si>
  <si>
    <t xml:space="preserve">TAGTTTCTTCACCCGCGCCCGCCT</t>
  </si>
  <si>
    <t xml:space="preserve">AAACAGGCGGGCGCGGGTGAAGAA</t>
  </si>
  <si>
    <t xml:space="preserve">CTCTTCGAGCACCTGCACAC</t>
  </si>
  <si>
    <t xml:space="preserve">TAGTCTCTTCGAGCACCTGCACAC</t>
  </si>
  <si>
    <t xml:space="preserve">AAACGTGTGCAGGTGCTCGAAGAG</t>
  </si>
  <si>
    <t xml:space="preserve">CCGCAGCCACGCGAAGGGAT</t>
  </si>
  <si>
    <t xml:space="preserve">TAGTCCGCAGCCACGCGAAGGGAT</t>
  </si>
  <si>
    <t xml:space="preserve">AAACATCCCTTCGCGTGGCTGCGG</t>
  </si>
  <si>
    <t xml:space="preserve">CATCCTGCTCGGCACGGCGG</t>
  </si>
  <si>
    <t xml:space="preserve">TAGTCATCCTGCTCGGCACGGCGG</t>
  </si>
  <si>
    <t xml:space="preserve">AAACCCGCCGTGCCGAGCAGGATG</t>
  </si>
  <si>
    <t xml:space="preserve">PSPPH_4208</t>
  </si>
  <si>
    <t xml:space="preserve">recN</t>
  </si>
  <si>
    <t xml:space="preserve">TGGCGTAGTTGTGTACGGAA</t>
  </si>
  <si>
    <t xml:space="preserve">TAGTTGGCGTAGTTGTGTACGGAA</t>
  </si>
  <si>
    <t xml:space="preserve">AAACTTCCGTACACAACTACGCCA</t>
  </si>
  <si>
    <t xml:space="preserve">GAGGTCAAGGTGTTCGACAA</t>
  </si>
  <si>
    <t xml:space="preserve">TAGTGAGGTCAAGGTGTTCGACAA</t>
  </si>
  <si>
    <t xml:space="preserve">AAACTTGTCGAACACCTTGACCTC</t>
  </si>
  <si>
    <t xml:space="preserve">CTTGCCAGCGCCGGTTTCGC</t>
  </si>
  <si>
    <t xml:space="preserve">TAGTCTTGCCAGCGCCGGTTTCGC</t>
  </si>
  <si>
    <t xml:space="preserve">AAACGCGAAACCGGCGCTGGCAAG</t>
  </si>
  <si>
    <t xml:space="preserve">GTCGCCCAGGGTCAGGCCCA</t>
  </si>
  <si>
    <t xml:space="preserve">TAGTGTCGCCCAGGGTCAGGCCCA</t>
  </si>
  <si>
    <t xml:space="preserve">AAACTGGGCCTGACCCTGGGCGAC</t>
  </si>
  <si>
    <t xml:space="preserve">PSPPH_4209</t>
  </si>
  <si>
    <t xml:space="preserve">fur</t>
  </si>
  <si>
    <t xml:space="preserve">CGTTGTCCCAGCCAAGATAG</t>
  </si>
  <si>
    <t xml:space="preserve">TAGTCGTTGTCCCAGCCAAGATAG</t>
  </si>
  <si>
    <t xml:space="preserve">AAACCTATCTTGGCTGGGACAACG</t>
  </si>
  <si>
    <t xml:space="preserve">TCTTAATGCAGGTATGATCG</t>
  </si>
  <si>
    <t xml:space="preserve">TAGTTCTTAATGCAGGTATGATCG</t>
  </si>
  <si>
    <t xml:space="preserve">AAACCGATCATACCTGCATTAAGA</t>
  </si>
  <si>
    <t xml:space="preserve">TAGTTCGCTATTTTCAACCA</t>
  </si>
  <si>
    <t xml:space="preserve">TAGTTAGTTCGCTATTTTCAACCA</t>
  </si>
  <si>
    <t xml:space="preserve">AAACTGGTTGAAAATAGCGAACTA</t>
  </si>
  <si>
    <t xml:space="preserve">GAGTATTTTAACCCTGGGTA</t>
  </si>
  <si>
    <t xml:space="preserve">TAGTGAGTATTTTAACCCTGGGTA</t>
  </si>
  <si>
    <t xml:space="preserve">AAACTACCCAGGGTTAAAATACTC</t>
  </si>
  <si>
    <t xml:space="preserve">PSPPH_4210</t>
  </si>
  <si>
    <t xml:space="preserve">omlA</t>
  </si>
  <si>
    <t xml:space="preserve">AAGAGCTTGGTGTTTTGCAT</t>
  </si>
  <si>
    <t xml:space="preserve">TAGTAAGAGCTTGGTGTTTTGCAT</t>
  </si>
  <si>
    <t xml:space="preserve">AAACATGCAAAACACCAAGCTCTT</t>
  </si>
  <si>
    <t xml:space="preserve">CAGTCCCACGAAGGTGAAAC</t>
  </si>
  <si>
    <t xml:space="preserve">TAGTCAGTCCCACGAAGGTGAAAC</t>
  </si>
  <si>
    <t xml:space="preserve">AAACGTTTCACCTTCGTGGGACTG</t>
  </si>
  <si>
    <t xml:space="preserve">AACCCCGGGGAATGAACAAC</t>
  </si>
  <si>
    <t xml:space="preserve">TAGTAACCCCGGGGAATGAACAAC</t>
  </si>
  <si>
    <t xml:space="preserve">AAACGTTGTTCATTCCCCGGGGTT</t>
  </si>
  <si>
    <t xml:space="preserve">GCGTGACGACATTACCCTGC</t>
  </si>
  <si>
    <t xml:space="preserve">TAGTGCGTGACGACATTACCCTGC</t>
  </si>
  <si>
    <t xml:space="preserve">AAACGCAGGGTAATGTCGTCACGC</t>
  </si>
  <si>
    <t xml:space="preserve">PSPPH_4211</t>
  </si>
  <si>
    <t xml:space="preserve">TAACACCTGACGCTGCACAG</t>
  </si>
  <si>
    <t xml:space="preserve">TAGTTAACACCTGACGCTGCACAG</t>
  </si>
  <si>
    <t xml:space="preserve">AAACCTGTGCAGCGTCAGGTGTTA</t>
  </si>
  <si>
    <t xml:space="preserve">TGACGCACCGAGGAGCCCGC</t>
  </si>
  <si>
    <t xml:space="preserve">TAGTTGACGCACCGAGGAGCCCGC</t>
  </si>
  <si>
    <t xml:space="preserve">AAACGCGGGCTCCTCGGTGCGTCA</t>
  </si>
  <si>
    <t xml:space="preserve">ACACTGCGCCAGATCCAGCT</t>
  </si>
  <si>
    <t xml:space="preserve">TAGTACACTGCGCCAGATCCAGCT</t>
  </si>
  <si>
    <t xml:space="preserve">AAACAGCTGGATCTGGCGCAGTGT</t>
  </si>
  <si>
    <t xml:space="preserve">CACCTTGCCGAAGATGCCTA</t>
  </si>
  <si>
    <t xml:space="preserve">TAGTCACCTTGCCGAAGATGCCTA</t>
  </si>
  <si>
    <t xml:space="preserve">AAACTAGGCATCTTCGGCAAGGTG</t>
  </si>
  <si>
    <t xml:space="preserve">PSPPH_4212</t>
  </si>
  <si>
    <t xml:space="preserve">TAAAGGAACCCGGCCGGGTA</t>
  </si>
  <si>
    <t xml:space="preserve">TAGTTAAAGGAACCCGGCCGGGTA</t>
  </si>
  <si>
    <t xml:space="preserve">AAACTACCCGGCCGGGTTCCTTTA</t>
  </si>
  <si>
    <t xml:space="preserve">AACGAGCCACATCATTGACC</t>
  </si>
  <si>
    <t xml:space="preserve">TAGTAACGAGCCACATCATTGACC</t>
  </si>
  <si>
    <t xml:space="preserve">AAACGGTCAATGATGTGGCTCGTT</t>
  </si>
  <si>
    <t xml:space="preserve">GAGCACCACGGCAGAAACTC</t>
  </si>
  <si>
    <t xml:space="preserve">TAGTGAGCACCACGGCAGAAACTC</t>
  </si>
  <si>
    <t xml:space="preserve">AAACGAGTTTCTGCCGTGGTGCTC</t>
  </si>
  <si>
    <t xml:space="preserve">GCTGGACTCGAGCACGGTAG</t>
  </si>
  <si>
    <t xml:space="preserve">TAGTGCTGGACTCGAGCACGGTAG</t>
  </si>
  <si>
    <t xml:space="preserve">AAACCTACCGTGCTCGAGTCCAGC</t>
  </si>
  <si>
    <t xml:space="preserve">PSPPH_4213</t>
  </si>
  <si>
    <t xml:space="preserve">AGCGGCTTGCCCAGCTACCG</t>
  </si>
  <si>
    <t xml:space="preserve">TAGTAGCGGCTTGCCCAGCTACCG</t>
  </si>
  <si>
    <t xml:space="preserve">AAACCGGTAGCTGGGCAAGCCGCT</t>
  </si>
  <si>
    <t xml:space="preserve">CGGCAGAACCTGTGGCAGCC</t>
  </si>
  <si>
    <t xml:space="preserve">TAGTCGGCAGAACCTGTGGCAGCC</t>
  </si>
  <si>
    <t xml:space="preserve">AAACGGCTGCCACAGGTTCTGCCG</t>
  </si>
  <si>
    <t xml:space="preserve">CCATATGCTGCCCAGCCCCA</t>
  </si>
  <si>
    <t xml:space="preserve">TAGTCCATATGCTGCCCAGCCCCA</t>
  </si>
  <si>
    <t xml:space="preserve">AAACTGGGGCTGGGCAGCATATGG</t>
  </si>
  <si>
    <t xml:space="preserve">CCATAGGCGCCGACCATGTA</t>
  </si>
  <si>
    <t xml:space="preserve">TAGTCCATAGGCGCCGACCATGTA</t>
  </si>
  <si>
    <t xml:space="preserve">AAACTACATGGTCGGCGCCTATGG</t>
  </si>
  <si>
    <t xml:space="preserve">PSPPH_4214</t>
  </si>
  <si>
    <t xml:space="preserve">smpB</t>
  </si>
  <si>
    <t xml:space="preserve">TTTTTCTTGAGCTTAGCCAT</t>
  </si>
  <si>
    <t xml:space="preserve">TAGTTTTTTCTTGAGCTTAGCCAT</t>
  </si>
  <si>
    <t xml:space="preserve">AAACATGGCTAAGCTCAAGAAAAA</t>
  </si>
  <si>
    <t xml:space="preserve">TTTGCGCGATGGTCCCTGTA</t>
  </si>
  <si>
    <t xml:space="preserve">TAGTTTTGCGCGATGGTCCCTGTA</t>
  </si>
  <si>
    <t xml:space="preserve">AAACTACAGGGACCATCGCGCAAA</t>
  </si>
  <si>
    <t xml:space="preserve">CCAGCCAGCCAGGACCAGAC</t>
  </si>
  <si>
    <t xml:space="preserve">TAGTCCAGCCAGCCAGGACCAGAC</t>
  </si>
  <si>
    <t xml:space="preserve">AAACGTCTGGTCCTGGCTGGCTGG</t>
  </si>
  <si>
    <t xml:space="preserve">GCTGTACCTTGGTGGCACGC</t>
  </si>
  <si>
    <t xml:space="preserve">TAGTGCTGTACCTTGGTGGCACGC</t>
  </si>
  <si>
    <t xml:space="preserve">AAACGCGTGCCACCAAGGTACAGC</t>
  </si>
  <si>
    <t xml:space="preserve">PSPPH_4215</t>
  </si>
  <si>
    <t xml:space="preserve">GAGGAACAATCCAGTGAGGG</t>
  </si>
  <si>
    <t xml:space="preserve">TAGTGAGGAACAATCCAGTGAGGG</t>
  </si>
  <si>
    <t xml:space="preserve">AAACCCCTCACTGGATTGTTCCTC</t>
  </si>
  <si>
    <t xml:space="preserve">AACCGGCGAAGCCAACAGGG</t>
  </si>
  <si>
    <t xml:space="preserve">TAGTAACCGGCGAAGCCAACAGGG</t>
  </si>
  <si>
    <t xml:space="preserve">AAACCCCTGTTGGCTTCGCCGGTT</t>
  </si>
  <si>
    <t xml:space="preserve">TGCAGCGCACAAATCATCGG</t>
  </si>
  <si>
    <t xml:space="preserve">TAGTTGCAGCGCACAAATCATCGG</t>
  </si>
  <si>
    <t xml:space="preserve">AAACCCGATGATTTGTGCGCTGCA</t>
  </si>
  <si>
    <t xml:space="preserve">TTCCGGGCTCAGGTTGGTGC</t>
  </si>
  <si>
    <t xml:space="preserve">TAGTTTCCGGGCTCAGGTTGGTGC</t>
  </si>
  <si>
    <t xml:space="preserve">AAACGCACCAACCTGAGCCCGGAA</t>
  </si>
  <si>
    <t xml:space="preserve">PSPPH_4217</t>
  </si>
  <si>
    <t xml:space="preserve">GTAAGAAGGGTTGCGCTGCA</t>
  </si>
  <si>
    <t xml:space="preserve">TAGTGTAAGAAGGGTTGCGCTGCA</t>
  </si>
  <si>
    <t xml:space="preserve">AAACTGCAGCGCAACCCTTCTTAC</t>
  </si>
  <si>
    <t xml:space="preserve">TTCTGTGGCGGTTCAGGGTC</t>
  </si>
  <si>
    <t xml:space="preserve">TAGTTTCTGTGGCGGTTCAGGGTC</t>
  </si>
  <si>
    <t xml:space="preserve">AAACGACCCTGAACCGCCACAGAA</t>
  </si>
  <si>
    <t xml:space="preserve">GATAACGATACGGAAGTAGA</t>
  </si>
  <si>
    <t xml:space="preserve">TAGTGATAACGATACGGAAGTAGA</t>
  </si>
  <si>
    <t xml:space="preserve">AAACTCTACTTCCGTATCGTTATC</t>
  </si>
  <si>
    <t xml:space="preserve">CGAGAAAGCGCAGGTGCTGA</t>
  </si>
  <si>
    <t xml:space="preserve">TAGTCGAGAAAGCGCAGGTGCTGA</t>
  </si>
  <si>
    <t xml:space="preserve">AAACTCAGCACCTGCGCTTTCTCG</t>
  </si>
  <si>
    <t xml:space="preserve">PSPPH_4218</t>
  </si>
  <si>
    <t xml:space="preserve">CTGAGCATCCTCTACAAGAG</t>
  </si>
  <si>
    <t xml:space="preserve">TAGTCTGAGCATCCTCTACAAGAG</t>
  </si>
  <si>
    <t xml:space="preserve">AAACCTCTTGTAGAGGATGCTCAG</t>
  </si>
  <si>
    <t xml:space="preserve">TTTTCCGCGAACAGCTTTGT</t>
  </si>
  <si>
    <t xml:space="preserve">TAGTTTTTCCGCGAACAGCTTTGT</t>
  </si>
  <si>
    <t xml:space="preserve">AAACACAAAGCTGTTCGCGGAAAA</t>
  </si>
  <si>
    <t xml:space="preserve">GGCACTCCGCAACCAACTCT</t>
  </si>
  <si>
    <t xml:space="preserve">TAGTGGCACTCCGCAACCAACTCT</t>
  </si>
  <si>
    <t xml:space="preserve">AAACAGAGTTGGTTGCGGAGTGCC</t>
  </si>
  <si>
    <t xml:space="preserve">CTTTTGTGATTTTTTGTGCT</t>
  </si>
  <si>
    <t xml:space="preserve">TAGTCTTTTGTGATTTTTTGTGCT</t>
  </si>
  <si>
    <t xml:space="preserve">AAACAGCACAAAAAATCACAAAAG</t>
  </si>
  <si>
    <t xml:space="preserve">PSPPH_4219</t>
  </si>
  <si>
    <t xml:space="preserve">AAGCTTATCTTCTCCTAGAT</t>
  </si>
  <si>
    <t xml:space="preserve">TAGTAAGCTTATCTTCTCCTAGAT</t>
  </si>
  <si>
    <t xml:space="preserve">AAACATCTAGGAGAAGATAAGCTT</t>
  </si>
  <si>
    <t xml:space="preserve">GTCGTGGCAGATTATTTCTG</t>
  </si>
  <si>
    <t xml:space="preserve">TAGTGTCGTGGCAGATTATTTCTG</t>
  </si>
  <si>
    <t xml:space="preserve">AAACCAGAAATAATCTGCCACGAC</t>
  </si>
  <si>
    <t xml:space="preserve">TGAGTGGAAGAGAATATTCT</t>
  </si>
  <si>
    <t xml:space="preserve">TAGTTGAGTGGAAGAGAATATTCT</t>
  </si>
  <si>
    <t xml:space="preserve">AAACAGAATATTCTCTTCCACTCA</t>
  </si>
  <si>
    <t xml:space="preserve">TCAATGTCAGTCACGGTTAT</t>
  </si>
  <si>
    <t xml:space="preserve">TAGTTCAATGTCAGTCACGGTTAT</t>
  </si>
  <si>
    <t xml:space="preserve">AAACATAACCGTGACTGACATTGA</t>
  </si>
  <si>
    <t xml:space="preserve">PSPPH_4220</t>
  </si>
  <si>
    <t xml:space="preserve">TGCGACATACATTCCTTCGT</t>
  </si>
  <si>
    <t xml:space="preserve">TAGTTGCGACATACATTCCTTCGT</t>
  </si>
  <si>
    <t xml:space="preserve">AAACACGAAGGAATGTATGTCGCA</t>
  </si>
  <si>
    <t xml:space="preserve">GCGGAAAATAGGCAACGTGC</t>
  </si>
  <si>
    <t xml:space="preserve">TAGTGCGGAAAATAGGCAACGTGC</t>
  </si>
  <si>
    <t xml:space="preserve">AAACGCACGTTGCCTATTTTCCGC</t>
  </si>
  <si>
    <t xml:space="preserve">GAGGGTCGATTTTCGGCGGC</t>
  </si>
  <si>
    <t xml:space="preserve">TAGTGAGGGTCGATTTTCGGCGGC</t>
  </si>
  <si>
    <t xml:space="preserve">AAACGCCGCCGAAAATCGACCCTC</t>
  </si>
  <si>
    <t xml:space="preserve">CATCGACATAGAGCTCTGGG</t>
  </si>
  <si>
    <t xml:space="preserve">TAGTCATCGACATAGAGCTCTGGG</t>
  </si>
  <si>
    <t xml:space="preserve">AAACCCCAGAGCTCTATGTCGATG</t>
  </si>
  <si>
    <t xml:space="preserve">PSPPH_4221</t>
  </si>
  <si>
    <t xml:space="preserve">pin</t>
  </si>
  <si>
    <t xml:space="preserve">CGCGGCAGTATGCGAACGGG</t>
  </si>
  <si>
    <t xml:space="preserve">TAGTCGCGGCAGTATGCGAACGGG</t>
  </si>
  <si>
    <t xml:space="preserve">AAACCCCGTTCGCATACTGCCGCG</t>
  </si>
  <si>
    <t xml:space="preserve">ATTCAGTGTGGTTTGATCGG</t>
  </si>
  <si>
    <t xml:space="preserve">TAGTATTCAGTGTGGTTTGATCGG</t>
  </si>
  <si>
    <t xml:space="preserve">AAACCCGATCAAACCACACTGAAT</t>
  </si>
  <si>
    <t xml:space="preserve">GACGATGCGGTGAGGCTCGA</t>
  </si>
  <si>
    <t xml:space="preserve">TAGTGACGATGCGGTGAGGCTCGA</t>
  </si>
  <si>
    <t xml:space="preserve">AAACTCGAGCCTCACCGCATCGTC</t>
  </si>
  <si>
    <t xml:space="preserve">GACAGATCCGCTGATGGTTT</t>
  </si>
  <si>
    <t xml:space="preserve">TAGTGACAGATCCGCTGATGGTTT</t>
  </si>
  <si>
    <t xml:space="preserve">AAACAAACCATCAGCGGATCTGTC</t>
  </si>
  <si>
    <t xml:space="preserve">PSPPH_4222</t>
  </si>
  <si>
    <t xml:space="preserve">CGACCACAAACGCCAGACGA</t>
  </si>
  <si>
    <t xml:space="preserve">TAGTCGACCACAAACGCCAGACGA</t>
  </si>
  <si>
    <t xml:space="preserve">AAACTCGTCTGGCGTTTGTGGTCG</t>
  </si>
  <si>
    <t xml:space="preserve">GTGCAGCAGCGGGCCAGCCA</t>
  </si>
  <si>
    <t xml:space="preserve">TAGTGTGCAGCAGCGGGCCAGCCA</t>
  </si>
  <si>
    <t xml:space="preserve">AAACTGGCTGGCCCGCTGCTGCAC</t>
  </si>
  <si>
    <t xml:space="preserve">CAGGTGTGTGGTCTTGCCGC</t>
  </si>
  <si>
    <t xml:space="preserve">TAGTCAGGTGTGTGGTCTTGCCGC</t>
  </si>
  <si>
    <t xml:space="preserve">AAACGCGGCAAGACCACACACCTG</t>
  </si>
  <si>
    <t xml:space="preserve">CCTGGCGCTGCGGTCCAACG</t>
  </si>
  <si>
    <t xml:space="preserve">TAGTCCTGGCGCTGCGGTCCAACG</t>
  </si>
  <si>
    <t xml:space="preserve">AAACCGTTGGACCGCAGCGCCAGG</t>
  </si>
  <si>
    <t xml:space="preserve">PSPPH_4223</t>
  </si>
  <si>
    <t xml:space="preserve">GTGGCCAAACGGCCAAGATA</t>
  </si>
  <si>
    <t xml:space="preserve">TAGTGTGGCCAAACGGCCAAGATA</t>
  </si>
  <si>
    <t xml:space="preserve">AAACTATCTTGGCCGTTTGGCCAC</t>
  </si>
  <si>
    <t xml:space="preserve">ATCCACCAGCGGTCGTAGTA</t>
  </si>
  <si>
    <t xml:space="preserve">TAGTATCCACCAGCGGTCGTAGTA</t>
  </si>
  <si>
    <t xml:space="preserve">AAACTACTACGACCGCTGGTGGAT</t>
  </si>
  <si>
    <t xml:space="preserve">ACCCTCCTTGCCCGCCACCC</t>
  </si>
  <si>
    <t xml:space="preserve">TAGTACCCTCCTTGCCCGCCACCC</t>
  </si>
  <si>
    <t xml:space="preserve">AAACGGGTGGCGGGCAAGGAGGGT</t>
  </si>
  <si>
    <t xml:space="preserve">AGCGCGTACGCGCCCCTTCT</t>
  </si>
  <si>
    <t xml:space="preserve">TAGTAGCGCGTACGCGCCCCTTCT</t>
  </si>
  <si>
    <t xml:space="preserve">AAACAGAAGGGGCGCGTACGCGCT</t>
  </si>
  <si>
    <t xml:space="preserve">PSPPH_4224</t>
  </si>
  <si>
    <t xml:space="preserve">CCTTCTGATAGGGTCTCGCC</t>
  </si>
  <si>
    <t xml:space="preserve">TAGTCCTTCTGATAGGGTCTCGCC</t>
  </si>
  <si>
    <t xml:space="preserve">AAACGGCGAGACCCTATCAGAAGG</t>
  </si>
  <si>
    <t xml:space="preserve">AGGCCGTCTGACTAGCCGAA</t>
  </si>
  <si>
    <t xml:space="preserve">TAGTAGGCCGTCTGACTAGCCGAA</t>
  </si>
  <si>
    <t xml:space="preserve">AAACTTCGGCTAGTCAGACGGCCT</t>
  </si>
  <si>
    <t xml:space="preserve">GGCTGACGTGGAGGTGGCTG</t>
  </si>
  <si>
    <t xml:space="preserve">TAGTGGCTGACGTGGAGGTGGCTG</t>
  </si>
  <si>
    <t xml:space="preserve">AAACCAGCCACCTCCACGTCAGCC</t>
  </si>
  <si>
    <t xml:space="preserve">CCTGCCCGAGGTTGCGCCGC</t>
  </si>
  <si>
    <t xml:space="preserve">TAGTCCTGCCCGAGGTTGCGCCGC</t>
  </si>
  <si>
    <t xml:space="preserve">AAACGCGGCGCAACCTCGGGCAGG</t>
  </si>
  <si>
    <t xml:space="preserve">PSPPH_4225</t>
  </si>
  <si>
    <t xml:space="preserve">AATCTAAAGTTAGTATCCTT</t>
  </si>
  <si>
    <t xml:space="preserve">TAGTAATCTAAAGTTAGTATCCTT</t>
  </si>
  <si>
    <t xml:space="preserve">AAACAAGGATACTAACTTTAGATT</t>
  </si>
  <si>
    <t xml:space="preserve">CGTCACTACCGAAATCAAAA</t>
  </si>
  <si>
    <t xml:space="preserve">TAGTCGTCACTACCGAAATCAAAA</t>
  </si>
  <si>
    <t xml:space="preserve">AAACTTTTGATTTCGGTAGTGACG</t>
  </si>
  <si>
    <t xml:space="preserve">ATATACAGCCAATCACCCTG</t>
  </si>
  <si>
    <t xml:space="preserve">TAGTATATACAGCCAATCACCCTG</t>
  </si>
  <si>
    <t xml:space="preserve">AAACCAGGGTGATTGGCTGTATAT</t>
  </si>
  <si>
    <t xml:space="preserve">TGTGTCCACGTCAGTAGCCA</t>
  </si>
  <si>
    <t xml:space="preserve">TAGTTGTGTCCACGTCAGTAGCCA</t>
  </si>
  <si>
    <t xml:space="preserve">AAACTGGCTACTGACGTGGACACA</t>
  </si>
  <si>
    <t xml:space="preserve">PSPPH_4226</t>
  </si>
  <si>
    <t xml:space="preserve">GTGTCCGCCTGCCCTGGCTG</t>
  </si>
  <si>
    <t xml:space="preserve">TAGTGTGTCCGCCTGCCCTGGCTG</t>
  </si>
  <si>
    <t xml:space="preserve">AAACCAGCCAGGGCAGGCGGACAC</t>
  </si>
  <si>
    <t xml:space="preserve">ATAGGTCGCTTCTTCCTCTT</t>
  </si>
  <si>
    <t xml:space="preserve">TAGTATAGGTCGCTTCTTCCTCTT</t>
  </si>
  <si>
    <t xml:space="preserve">AAACAAGAGGAAGAAGCGACCTAT</t>
  </si>
  <si>
    <t xml:space="preserve">CTTCGGATCAGCTTCCTTGT</t>
  </si>
  <si>
    <t xml:space="preserve">TAGTCTTCGGATCAGCTTCCTTGT</t>
  </si>
  <si>
    <t xml:space="preserve">AAACACAAGGAAGCTGATCCGAAG</t>
  </si>
  <si>
    <t xml:space="preserve">GTGCCGGCGTCCTCCCGGTA</t>
  </si>
  <si>
    <t xml:space="preserve">TAGTGTGCCGGCGTCCTCCCGGTA</t>
  </si>
  <si>
    <t xml:space="preserve">AAACTACCGGGAGGACGCCGGCAC</t>
  </si>
  <si>
    <t xml:space="preserve">PSPPH_4228</t>
  </si>
  <si>
    <t xml:space="preserve">ATGCTGCGAATCGTGATCAC</t>
  </si>
  <si>
    <t xml:space="preserve">TAGTATGCTGCGAATCGTGATCAC</t>
  </si>
  <si>
    <t xml:space="preserve">AAACGTGATCACGATTCGCAGCAT</t>
  </si>
  <si>
    <t xml:space="preserve">GCATCGCGCAGAGAGATGCC</t>
  </si>
  <si>
    <t xml:space="preserve">TAGTGCATCGCGCAGAGAGATGCC</t>
  </si>
  <si>
    <t xml:space="preserve">AAACGGCATCTCTCTGCGCGATGC</t>
  </si>
  <si>
    <t xml:space="preserve">TGCCGTCGATTCATGCGAAT</t>
  </si>
  <si>
    <t xml:space="preserve">TAGTTGCCGTCGATTCATGCGAAT</t>
  </si>
  <si>
    <t xml:space="preserve">AAACATTCGCATGAATCGACGGCA</t>
  </si>
  <si>
    <t xml:space="preserve">TCATATCGGGGTTTCTGTCG</t>
  </si>
  <si>
    <t xml:space="preserve">TAGTTCATATCGGGGTTTCTGTCG</t>
  </si>
  <si>
    <t xml:space="preserve">AAACCGACAGAAACCCCGATATGA</t>
  </si>
  <si>
    <t xml:space="preserve">PSPPH_4229</t>
  </si>
  <si>
    <t xml:space="preserve">katG</t>
  </si>
  <si>
    <t xml:space="preserve">CGCCAGCAGCGTGGTTGAAG</t>
  </si>
  <si>
    <t xml:space="preserve">TAGTCGCCAGCAGCGTGGTTGAAG</t>
  </si>
  <si>
    <t xml:space="preserve">AAACCTTCAACCACGCTGCTGGCG</t>
  </si>
  <si>
    <t xml:space="preserve">GGGCCACCAGTCACGGTTGG</t>
  </si>
  <si>
    <t xml:space="preserve">TAGTGGGCCACCAGTCACGGTTGG</t>
  </si>
  <si>
    <t xml:space="preserve">AAACCCAACCGTGACTGGTGGCCC</t>
  </si>
  <si>
    <t xml:space="preserve">ATCTTCAGATTCAGCTGCTT</t>
  </si>
  <si>
    <t xml:space="preserve">TAGTATCTTCAGATTCAGCTGCTT</t>
  </si>
  <si>
    <t xml:space="preserve">AAACAAGCAGCTGAATCTGAAGAT</t>
  </si>
  <si>
    <t xml:space="preserve">GCCCATCGGGTCGGAGAGTG</t>
  </si>
  <si>
    <t xml:space="preserve">TAGTGCCCATCGGGTCGGAGAGTG</t>
  </si>
  <si>
    <t xml:space="preserve">AAACCACTCTCCGACCCGATGGGC</t>
  </si>
  <si>
    <t xml:space="preserve">PSPPH_4230</t>
  </si>
  <si>
    <t xml:space="preserve">CTTTTCTGTCACGACGTGGT</t>
  </si>
  <si>
    <t xml:space="preserve">TAGTCTTTTCTGTCACGACGTGGT</t>
  </si>
  <si>
    <t xml:space="preserve">AAACACCACGTCGTGACAGAAAAG</t>
  </si>
  <si>
    <t xml:space="preserve">AGAGGCAATAAGTTGTTGAA</t>
  </si>
  <si>
    <t xml:space="preserve">TAGTAGAGGCAATAAGTTGTTGAA</t>
  </si>
  <si>
    <t xml:space="preserve">AAACTTCAACAACTTATTGCCTCT</t>
  </si>
  <si>
    <t xml:space="preserve">TCAGCGCAGCCTCTTACCAC</t>
  </si>
  <si>
    <t xml:space="preserve">TAGTTCAGCGCAGCCTCTTACCAC</t>
  </si>
  <si>
    <t xml:space="preserve">AAACGTGGTAAGAGGCTGCGCTGA</t>
  </si>
  <si>
    <t xml:space="preserve">TTGCTCGTCAAGACGACGCT</t>
  </si>
  <si>
    <t xml:space="preserve">TAGTTTGCTCGTCAAGACGACGCT</t>
  </si>
  <si>
    <t xml:space="preserve">AAACAGCGTCGTCTTGACGAGCAA</t>
  </si>
  <si>
    <t xml:space="preserve">PSPPH_4231</t>
  </si>
  <si>
    <t xml:space="preserve">TGTTTCGGGTCCTCAAGCGA</t>
  </si>
  <si>
    <t xml:space="preserve">TAGTTGTTTCGGGTCCTCAAGCGA</t>
  </si>
  <si>
    <t xml:space="preserve">AAACTCGCTTGAGGACCCGAAACA</t>
  </si>
  <si>
    <t xml:space="preserve">CGGATGTGTCGACACTGAAT</t>
  </si>
  <si>
    <t xml:space="preserve">TAGTCGGATGTGTCGACACTGAAT</t>
  </si>
  <si>
    <t xml:space="preserve">AAACATTCAGTGTCGACACATCCG</t>
  </si>
  <si>
    <t xml:space="preserve">ACAGAACGGTTTATCGGCTC</t>
  </si>
  <si>
    <t xml:space="preserve">TAGTACAGAACGGTTTATCGGCTC</t>
  </si>
  <si>
    <t xml:space="preserve">AAACGAGCCGATAAACCGTTCTGT</t>
  </si>
  <si>
    <t xml:space="preserve">ACCCCGCTCAGCATGCCCGC</t>
  </si>
  <si>
    <t xml:space="preserve">TAGTACCCCGCTCAGCATGCCCGC</t>
  </si>
  <si>
    <t xml:space="preserve">AAACGCGGGCATGCTGAGCGGGGT</t>
  </si>
  <si>
    <t xml:space="preserve">PSPPH_4232</t>
  </si>
  <si>
    <t xml:space="preserve">nhaA2</t>
  </si>
  <si>
    <t xml:space="preserve">GGGATTCGGTACGGGGGGTG</t>
  </si>
  <si>
    <t xml:space="preserve">TAGTGGGATTCGGTACGGGGGGTG</t>
  </si>
  <si>
    <t xml:space="preserve">AAACCACCCCCCGTACCGAATCCC</t>
  </si>
  <si>
    <t xml:space="preserve">GATGAACGCCAGCGCGCTCG</t>
  </si>
  <si>
    <t xml:space="preserve">TAGTGATGAACGCCAGCGCGCTCG</t>
  </si>
  <si>
    <t xml:space="preserve">AAACCGAGCGCGCTGGCGTTCATC</t>
  </si>
  <si>
    <t xml:space="preserve">CAGACCGCCAGCGGCCTCAG</t>
  </si>
  <si>
    <t xml:space="preserve">TAGTCAGACCGCCAGCGGCCTCAG</t>
  </si>
  <si>
    <t xml:space="preserve">AAACCTGAGGCCGCTGGCGGTCTG</t>
  </si>
  <si>
    <t xml:space="preserve">CTGCAAGCGCAGCCGCCATC</t>
  </si>
  <si>
    <t xml:space="preserve">TAGTCTGCAAGCGCAGCCGCCATC</t>
  </si>
  <si>
    <t xml:space="preserve">AAACGATGGCGGCTGCGCTTGCAG</t>
  </si>
  <si>
    <t xml:space="preserve">PSPPH_4234</t>
  </si>
  <si>
    <t xml:space="preserve">TGAAGCCTGATCCGGGGGCC</t>
  </si>
  <si>
    <t xml:space="preserve">TAGTTGAAGCCTGATCCGGGGGCC</t>
  </si>
  <si>
    <t xml:space="preserve">AAACGGCCCCCGGATCAGGCTTCA</t>
  </si>
  <si>
    <t xml:space="preserve">CATGCACCCAACGCTTGTTG</t>
  </si>
  <si>
    <t xml:space="preserve">TAGTCATGCACCCAACGCTTGTTG</t>
  </si>
  <si>
    <t xml:space="preserve">AAACCAACAAGCGTTGGGTGCATG</t>
  </si>
  <si>
    <t xml:space="preserve">GCTCAGCGACACACCGTTGA</t>
  </si>
  <si>
    <t xml:space="preserve">TAGTGCTCAGCGACACACCGTTGA</t>
  </si>
  <si>
    <t xml:space="preserve">AAACTCAACGGTGTGTCGCTGAGC</t>
  </si>
  <si>
    <t xml:space="preserve">AATGTCGTTCAGACGCAGAA</t>
  </si>
  <si>
    <t xml:space="preserve">TAGTAATGTCGTTCAGACGCAGAA</t>
  </si>
  <si>
    <t xml:space="preserve">AAACTTCTGCGTCTGAACGACATT</t>
  </si>
  <si>
    <t xml:space="preserve">PSPPH_4235</t>
  </si>
  <si>
    <t xml:space="preserve">ATCTCGCTGACTTTCAGCAC</t>
  </si>
  <si>
    <t xml:space="preserve">TAGTATCTCGCTGACTTTCAGCAC</t>
  </si>
  <si>
    <t xml:space="preserve">AAACGTGCTGAAAGTCAGCGAGAT</t>
  </si>
  <si>
    <t xml:space="preserve">GCTGCAGATCGAACGACAAC</t>
  </si>
  <si>
    <t xml:space="preserve">TAGTGCTGCAGATCGAACGACAAC</t>
  </si>
  <si>
    <t xml:space="preserve">AAACGTTGTCGTTCGATCTGCAGC</t>
  </si>
  <si>
    <t xml:space="preserve">CATCAATGCCCGGCAAGCCA</t>
  </si>
  <si>
    <t xml:space="preserve">TAGTCATCAATGCCCGGCAAGCCA</t>
  </si>
  <si>
    <t xml:space="preserve">AAACTGGCTTGCCGGGCATTGATG</t>
  </si>
  <si>
    <t xml:space="preserve">CGCACGTGCAGGTCCGGCGA</t>
  </si>
  <si>
    <t xml:space="preserve">TAGTCGCACGTGCAGGTCCGGCGA</t>
  </si>
  <si>
    <t xml:space="preserve">AAACTCGCCGGACCTGCACGTGCG</t>
  </si>
  <si>
    <t xml:space="preserve">PSPPH_4236</t>
  </si>
  <si>
    <t xml:space="preserve">GCGCAGATGGGCGTGGGCGA</t>
  </si>
  <si>
    <t xml:space="preserve">TAGTGCGCAGATGGGCGTGGGCGA</t>
  </si>
  <si>
    <t xml:space="preserve">AAACTCGCCCACGCCCATCTGCGC</t>
  </si>
  <si>
    <t xml:space="preserve">GAAGCCGCGAACGCCAGTGT</t>
  </si>
  <si>
    <t xml:space="preserve">TAGTGAAGCCGCGAACGCCAGTGT</t>
  </si>
  <si>
    <t xml:space="preserve">AAACACACTGGCGTTCGCGGCTTC</t>
  </si>
  <si>
    <t xml:space="preserve">CGCCCAGCAGCATCGCCAGT</t>
  </si>
  <si>
    <t xml:space="preserve">TAGTCGCCCAGCAGCATCGCCAGT</t>
  </si>
  <si>
    <t xml:space="preserve">AAACACTGGCGATGCTGCTGGGCG</t>
  </si>
  <si>
    <t xml:space="preserve">GGGTCATAAGGTGCCAGCCA</t>
  </si>
  <si>
    <t xml:space="preserve">TAGTGGGTCATAAGGTGCCAGCCA</t>
  </si>
  <si>
    <t xml:space="preserve">AAACTGGCTGGCACCTTATGACCC</t>
  </si>
  <si>
    <t xml:space="preserve">PSPPH_4237</t>
  </si>
  <si>
    <t xml:space="preserve">GCAGCAACTGCAACGGACGC</t>
  </si>
  <si>
    <t xml:space="preserve">TAGTGCAGCAACTGCAACGGACGC</t>
  </si>
  <si>
    <t xml:space="preserve">AAACGCGTCCGTTGCAGTTGCTGC</t>
  </si>
  <si>
    <t xml:space="preserve">GATCGAGCGCACCAGAATGA</t>
  </si>
  <si>
    <t xml:space="preserve">TAGTGATCGAGCGCACCAGAATGA</t>
  </si>
  <si>
    <t xml:space="preserve">AAACTCATTCTGGTGCGCTCGATC</t>
  </si>
  <si>
    <t xml:space="preserve">GAATGCGCGCCGGGTCACCG</t>
  </si>
  <si>
    <t xml:space="preserve">TAGTGAATGCGCGCCGGGTCACCG</t>
  </si>
  <si>
    <t xml:space="preserve">AAACCGGTGACCCGGCGCGCATTC</t>
  </si>
  <si>
    <t xml:space="preserve">GTTGGCCAGTGCCTGCGGTG</t>
  </si>
  <si>
    <t xml:space="preserve">TAGTGTTGGCCAGTGCCTGCGGTG</t>
  </si>
  <si>
    <t xml:space="preserve">AAACCACCGCAGGCACTGGCCAAC</t>
  </si>
  <si>
    <t xml:space="preserve">PSPPH_4238</t>
  </si>
  <si>
    <t xml:space="preserve">ATCCGACAACCTGATATGCA</t>
  </si>
  <si>
    <t xml:space="preserve">TAGTATCCGACAACCTGATATGCA</t>
  </si>
  <si>
    <t xml:space="preserve">AAACTGCATATCAGGTTGTCGGAT</t>
  </si>
  <si>
    <t xml:space="preserve">CATCATGGGACACAGGCACC</t>
  </si>
  <si>
    <t xml:space="preserve">TAGTCATCATGGGACACAGGCACC</t>
  </si>
  <si>
    <t xml:space="preserve">AAACGGTGCCTGTGTCCCATGATG</t>
  </si>
  <si>
    <t xml:space="preserve">TTGCGCAATGAAAGCAACGA</t>
  </si>
  <si>
    <t xml:space="preserve">TAGTTTGCGCAATGAAAGCAACGA</t>
  </si>
  <si>
    <t xml:space="preserve">AAACTCGTTGCTTTCATTGCGCAA</t>
  </si>
  <si>
    <t xml:space="preserve">GAGTGCGTGCCAATCGGCCG</t>
  </si>
  <si>
    <t xml:space="preserve">TAGTGAGTGCGTGCCAATCGGCCG</t>
  </si>
  <si>
    <t xml:space="preserve">AAACCGGCCGATTGGCACGCACTC</t>
  </si>
  <si>
    <t xml:space="preserve">PSPPH_4239</t>
  </si>
  <si>
    <t xml:space="preserve">CACGTCTGATAGTCGCCGAA</t>
  </si>
  <si>
    <t xml:space="preserve">TAGTCACGTCTGATAGTCGCCGAA</t>
  </si>
  <si>
    <t xml:space="preserve">AAACTTCGGCGACTATCAGACGTG</t>
  </si>
  <si>
    <t xml:space="preserve">ACGCGGGCCTTGCAAGTTGC</t>
  </si>
  <si>
    <t xml:space="preserve">TAGTACGCGGGCCTTGCAAGTTGC</t>
  </si>
  <si>
    <t xml:space="preserve">AAACGCAACTTGCAAGGCCCGCGT</t>
  </si>
  <si>
    <t xml:space="preserve">CCGCCGTGCAGAATGACCAA</t>
  </si>
  <si>
    <t xml:space="preserve">TAGTCCGCCGTGCAGAATGACCAA</t>
  </si>
  <si>
    <t xml:space="preserve">AAACTTGGTCATTCTGCACGGCGG</t>
  </si>
  <si>
    <t xml:space="preserve">CGTAATCATGGGTACAGCCG</t>
  </si>
  <si>
    <t xml:space="preserve">TAGTCGTAATCATGGGTACAGCCG</t>
  </si>
  <si>
    <t xml:space="preserve">AAACCGGCTGTACCCATGATTACG</t>
  </si>
  <si>
    <t xml:space="preserve">PSPPH_4240</t>
  </si>
  <si>
    <t xml:space="preserve">ATTCAGCGATCTGATGTTCA</t>
  </si>
  <si>
    <t xml:space="preserve">TAGTATTCAGCGATCTGATGTTCA</t>
  </si>
  <si>
    <t xml:space="preserve">AAACTGAACATCAGATCGCTGAAT</t>
  </si>
  <si>
    <t xml:space="preserve">GGTAATAACGCCAAAAAACA</t>
  </si>
  <si>
    <t xml:space="preserve">TAGTGGTAATAACGCCAAAAAACA</t>
  </si>
  <si>
    <t xml:space="preserve">AAACTGTTTTTTGGCGTTATTACC</t>
  </si>
  <si>
    <t xml:space="preserve">TCCGAGGCCAATCAGCAGCA</t>
  </si>
  <si>
    <t xml:space="preserve">TAGTTCCGAGGCCAATCAGCAGCA</t>
  </si>
  <si>
    <t xml:space="preserve">AAACTGCTGCTGATTGGCCTCGGA</t>
  </si>
  <si>
    <t xml:space="preserve">CAGATGGTCTATCTGCACGT</t>
  </si>
  <si>
    <t xml:space="preserve">TAGTCAGATGGTCTATCTGCACGT</t>
  </si>
  <si>
    <t xml:space="preserve">AAACACGTGCAGATAGACCATCTG</t>
  </si>
  <si>
    <t xml:space="preserve">PSPPH_4241</t>
  </si>
  <si>
    <t xml:space="preserve">TCGGCCACAATGATTCTGCA</t>
  </si>
  <si>
    <t xml:space="preserve">TAGTTCGGCCACAATGATTCTGCA</t>
  </si>
  <si>
    <t xml:space="preserve">AAACTGCAGAATCATTGTGGCCGA</t>
  </si>
  <si>
    <t xml:space="preserve">TGCCCTCACGAAACAGCGGG</t>
  </si>
  <si>
    <t xml:space="preserve">TAGTTGCCCTCACGAAACAGCGGG</t>
  </si>
  <si>
    <t xml:space="preserve">AAACCCCGCTGTTTCGTGAGGGCA</t>
  </si>
  <si>
    <t xml:space="preserve">GCTTCTTCAATAATCGCTTC</t>
  </si>
  <si>
    <t xml:space="preserve">TAGTGCTTCTTCAATAATCGCTTC</t>
  </si>
  <si>
    <t xml:space="preserve">AAACGAAGCGATTATTGAAGAAGC</t>
  </si>
  <si>
    <t xml:space="preserve">CTCATCACCCCGGCGTGCGA</t>
  </si>
  <si>
    <t xml:space="preserve">TAGTCTCATCACCCCGGCGTGCGA</t>
  </si>
  <si>
    <t xml:space="preserve">AAACTCGCACGCCGGGGTGATGAG</t>
  </si>
  <si>
    <t xml:space="preserve">PSPPH_4242</t>
  </si>
  <si>
    <t xml:space="preserve">CAGTGCGTAAAGGATCGATG</t>
  </si>
  <si>
    <t xml:space="preserve">TAGTCAGTGCGTAAAGGATCGATG</t>
  </si>
  <si>
    <t xml:space="preserve">AAACCATCGATCCTTTACGCACTG</t>
  </si>
  <si>
    <t xml:space="preserve">CGAAGCCCATGCAATAAGCC</t>
  </si>
  <si>
    <t xml:space="preserve">TAGTCGAAGCCCATGCAATAAGCC</t>
  </si>
  <si>
    <t xml:space="preserve">AAACGGCTTATTGCATGGGCTTCG</t>
  </si>
  <si>
    <t xml:space="preserve">GCCGGAGGCATCCGGGCGCT</t>
  </si>
  <si>
    <t xml:space="preserve">TAGTGCCGGAGGCATCCGGGCGCT</t>
  </si>
  <si>
    <t xml:space="preserve">AAACAGCGCCCGGATGCCTCCGGC</t>
  </si>
  <si>
    <t xml:space="preserve">CGCCAGATTATCGGTCACCA</t>
  </si>
  <si>
    <t xml:space="preserve">TAGTCGCCAGATTATCGGTCACCA</t>
  </si>
  <si>
    <t xml:space="preserve">AAACTGGTGACCGATAATCTGGCG</t>
  </si>
  <si>
    <t xml:space="preserve">PSPPH_4243</t>
  </si>
  <si>
    <t xml:space="preserve">ACCGGTCGAACAGGCCGTCA</t>
  </si>
  <si>
    <t xml:space="preserve">TAGTACCGGTCGAACAGGCCGTCA</t>
  </si>
  <si>
    <t xml:space="preserve">AAACTGACGGCCTGTTCGACCGGT</t>
  </si>
  <si>
    <t xml:space="preserve">CACCGGTCAGGGTATCGAGC</t>
  </si>
  <si>
    <t xml:space="preserve">TAGTCACCGGTCAGGGTATCGAGC</t>
  </si>
  <si>
    <t xml:space="preserve">AAACGCTCGATACCCTGACCGGTG</t>
  </si>
  <si>
    <t xml:space="preserve">ATGTTGGCTTTTATATAGTC</t>
  </si>
  <si>
    <t xml:space="preserve">TAGTATGTTGGCTTTTATATAGTC</t>
  </si>
  <si>
    <t xml:space="preserve">AAACGACTATATAAAAGCCAACAT</t>
  </si>
  <si>
    <t xml:space="preserve">CTGTTCCTTGGTCGACTTGC</t>
  </si>
  <si>
    <t xml:space="preserve">TAGTCTGTTCCTTGGTCGACTTGC</t>
  </si>
  <si>
    <t xml:space="preserve">AAACGCAAGTCGACCAAGGAACAG</t>
  </si>
  <si>
    <t xml:space="preserve">PSPPH_4244</t>
  </si>
  <si>
    <t xml:space="preserve">TAAGTCCTTAACGTTGACAA</t>
  </si>
  <si>
    <t xml:space="preserve">TAGTTAAGTCCTTAACGTTGACAA</t>
  </si>
  <si>
    <t xml:space="preserve">AAACTTGTCAACGTTAAGGACTTA</t>
  </si>
  <si>
    <t xml:space="preserve">CCCTATAGTACACACCTCGT</t>
  </si>
  <si>
    <t xml:space="preserve">TAGTCCCTATAGTACACACCTCGT</t>
  </si>
  <si>
    <t xml:space="preserve">AAACACGAGGTGTGTACTATAGGG</t>
  </si>
  <si>
    <t xml:space="preserve">GATTTTATCAACGCAAAAAT</t>
  </si>
  <si>
    <t xml:space="preserve">TAGTGATTTTATCAACGCAAAAAT</t>
  </si>
  <si>
    <t xml:space="preserve">AAACATTTTTGCGTTGATAAAATC</t>
  </si>
  <si>
    <t xml:space="preserve">TTTTCAGGCATTCCATGCGC</t>
  </si>
  <si>
    <t xml:space="preserve">TAGTTTTTCAGGCATTCCATGCGC</t>
  </si>
  <si>
    <t xml:space="preserve">AAACGCGCATGGAATGCCTGAAAA</t>
  </si>
  <si>
    <t xml:space="preserve">PSPPH_4245</t>
  </si>
  <si>
    <t xml:space="preserve">CAGCCTTAACAGGCTGGAAG</t>
  </si>
  <si>
    <t xml:space="preserve">TAGTCAGCCTTAACAGGCTGGAAG</t>
  </si>
  <si>
    <t xml:space="preserve">AAACCTTCCAGCCTGTTAAGGCTG</t>
  </si>
  <si>
    <t xml:space="preserve">GAATCTCAGGCCGGTCAGCC</t>
  </si>
  <si>
    <t xml:space="preserve">TAGTGAATCTCAGGCCGGTCAGCC</t>
  </si>
  <si>
    <t xml:space="preserve">AAACGGCTGACCGGCCTGAGATTC</t>
  </si>
  <si>
    <t xml:space="preserve">CCAGCTGGTTTCGGTTACTT</t>
  </si>
  <si>
    <t xml:space="preserve">TAGTCCAGCTGGTTTCGGTTACTT</t>
  </si>
  <si>
    <t xml:space="preserve">AAACAAGTAACCGAAACCAGCTGG</t>
  </si>
  <si>
    <t xml:space="preserve">TTCCAGTTTGAGCTCGTGAC</t>
  </si>
  <si>
    <t xml:space="preserve">TAGTTTCCAGTTTGAGCTCGTGAC</t>
  </si>
  <si>
    <t xml:space="preserve">AAACGTCACGAGCTCAAACTGGAA</t>
  </si>
  <si>
    <t xml:space="preserve">PSPPH_4246</t>
  </si>
  <si>
    <t xml:space="preserve">TCAGCGTCTGCTCTCCGTGC</t>
  </si>
  <si>
    <t xml:space="preserve">TAGTTCAGCGTCTGCTCTCCGTGC</t>
  </si>
  <si>
    <t xml:space="preserve">AAACGCACGGAGAGCAGACGCTGA</t>
  </si>
  <si>
    <t xml:space="preserve">AGCCAGCACCACTCGACTGA</t>
  </si>
  <si>
    <t xml:space="preserve">TAGTAGCCAGCACCACTCGACTGA</t>
  </si>
  <si>
    <t xml:space="preserve">AAACTCAGTCGAGTGGTGCTGGCT</t>
  </si>
  <si>
    <t xml:space="preserve">CCTGGCATTGCTGGTGCGCA</t>
  </si>
  <si>
    <t xml:space="preserve">TAGTCCTGGCATTGCTGGTGCGCA</t>
  </si>
  <si>
    <t xml:space="preserve">AAACTGCGCACCAGCAATGCCAGG</t>
  </si>
  <si>
    <t xml:space="preserve">CGCGCTCGATCACACTGACC</t>
  </si>
  <si>
    <t xml:space="preserve">TAGTCGCGCTCGATCACACTGACC</t>
  </si>
  <si>
    <t xml:space="preserve">AAACGGTCAGTGTGATCGAGCGCG</t>
  </si>
  <si>
    <t xml:space="preserve">PSPPH_4247</t>
  </si>
  <si>
    <t xml:space="preserve">TAAAATTCTCGATGGGTGTT</t>
  </si>
  <si>
    <t xml:space="preserve">TAGTTAAAATTCTCGATGGGTGTT</t>
  </si>
  <si>
    <t xml:space="preserve">AAACAACACCCATCGAGAATTTTA</t>
  </si>
  <si>
    <t xml:space="preserve">ATTCAGCGGAATGGGGGCAC</t>
  </si>
  <si>
    <t xml:space="preserve">TAGTATTCAGCGGAATGGGGGCAC</t>
  </si>
  <si>
    <t xml:space="preserve">AAACGTGCCCCCATTCCGCTGAAT</t>
  </si>
  <si>
    <t xml:space="preserve">TTCATCGAACACGTCGTCAG</t>
  </si>
  <si>
    <t xml:space="preserve">TAGTTTCATCGAACACGTCGTCAG</t>
  </si>
  <si>
    <t xml:space="preserve">AAACCTGACGACGTGTTCGATGAA</t>
  </si>
  <si>
    <t xml:space="preserve">CGGCGTCTGGAAGAAATCGG</t>
  </si>
  <si>
    <t xml:space="preserve">TAGTCGGCGTCTGGAAGAAATCGG</t>
  </si>
  <si>
    <t xml:space="preserve">AAACCCGATTTCTTCCAGACGCCG</t>
  </si>
  <si>
    <t xml:space="preserve">PSPPH_4248</t>
  </si>
  <si>
    <t xml:space="preserve">CAGCGAGCCGCCGCCGACTC</t>
  </si>
  <si>
    <t xml:space="preserve">TAGTCAGCGAGCCGCCGCCGACTC</t>
  </si>
  <si>
    <t xml:space="preserve">AAACGAGTCGGCGGCGGCTCGCTG</t>
  </si>
  <si>
    <t xml:space="preserve">ATGCCGAACCACAACAGAAT</t>
  </si>
  <si>
    <t xml:space="preserve">TAGTATGCCGAACCACAACAGAAT</t>
  </si>
  <si>
    <t xml:space="preserve">AAACATTCTGTTGTGGTTCGGCAT</t>
  </si>
  <si>
    <t xml:space="preserve">CCGTGCCGACCGCTGTGGCC</t>
  </si>
  <si>
    <t xml:space="preserve">TAGTCCGTGCCGACCGCTGTGGCC</t>
  </si>
  <si>
    <t xml:space="preserve">AAACGGCCACAGCGGTCGGCACGG</t>
  </si>
  <si>
    <t xml:space="preserve">TGGTAATCGCTGCGTACAAA</t>
  </si>
  <si>
    <t xml:space="preserve">TAGTTGGTAATCGCTGCGTACAAA</t>
  </si>
  <si>
    <t xml:space="preserve">AAACTTTGTACGCAGCGATTACCA</t>
  </si>
  <si>
    <t xml:space="preserve">PSPPH_4249</t>
  </si>
  <si>
    <t xml:space="preserve">CAACACGCCAGCAATCGGCA</t>
  </si>
  <si>
    <t xml:space="preserve">TAGTCAACACGCCAGCAATCGGCA</t>
  </si>
  <si>
    <t xml:space="preserve">AAACTGCCGATTGCTGGCGTGTTG</t>
  </si>
  <si>
    <t xml:space="preserve">GGCGCGGACCAGCGACCAGC</t>
  </si>
  <si>
    <t xml:space="preserve">TAGTGGCGCGGACCAGCGACCAGC</t>
  </si>
  <si>
    <t xml:space="preserve">AAACGCTGGTCGCTGGTCCGCGCC</t>
  </si>
  <si>
    <t xml:space="preserve">GCCTGGCAGGCGTGTCCACA</t>
  </si>
  <si>
    <t xml:space="preserve">TAGTGCCTGGCAGGCGTGTCCACA</t>
  </si>
  <si>
    <t xml:space="preserve">AAACTGTGGACACGCCTGCCAGGC</t>
  </si>
  <si>
    <t xml:space="preserve">TACTTGGTGCTTTGCTGCTC</t>
  </si>
  <si>
    <t xml:space="preserve">TAGTTACTTGGTGCTTTGCTGCTC</t>
  </si>
  <si>
    <t xml:space="preserve">AAACGAGCAGCAAAGCACCAAGTA</t>
  </si>
  <si>
    <t xml:space="preserve">PSPPH_4250</t>
  </si>
  <si>
    <t xml:space="preserve">garD</t>
  </si>
  <si>
    <t xml:space="preserve">GCGAATCGGCATGTTGAATC</t>
  </si>
  <si>
    <t xml:space="preserve">TAGTGCGAATCGGCATGTTGAATC</t>
  </si>
  <si>
    <t xml:space="preserve">AAACGATTCAACATGCCGATTCGC</t>
  </si>
  <si>
    <t xml:space="preserve">GGATGCAGCCGGATATAGCG</t>
  </si>
  <si>
    <t xml:space="preserve">TAGTGGATGCAGCCGGATATAGCG</t>
  </si>
  <si>
    <t xml:space="preserve">AAACCGCTATATCCGGCTGCATCC</t>
  </si>
  <si>
    <t xml:space="preserve">ACGACCACGACGTTATCCAG</t>
  </si>
  <si>
    <t xml:space="preserve">TAGTACGACCACGACGTTATCCAG</t>
  </si>
  <si>
    <t xml:space="preserve">AAACCTGGATAACGTCGTGGTCGT</t>
  </si>
  <si>
    <t xml:space="preserve">CGGTTCCGGCCGGCACGCCC</t>
  </si>
  <si>
    <t xml:space="preserve">TAGTCGGTTCCGGCCGGCACGCCC</t>
  </si>
  <si>
    <t xml:space="preserve">AAACGGGCGTGCCGGCCGGAACCG</t>
  </si>
  <si>
    <t xml:space="preserve">PSPPH_4251</t>
  </si>
  <si>
    <t xml:space="preserve">CGTCGGCTTGGACTTTTGCA</t>
  </si>
  <si>
    <t xml:space="preserve">TAGTCGTCGGCTTGGACTTTTGCA</t>
  </si>
  <si>
    <t xml:space="preserve">AAACTGCAAAAGTCCAAGCCGACG</t>
  </si>
  <si>
    <t xml:space="preserve">GCATCAACAGAATCAAATAG</t>
  </si>
  <si>
    <t xml:space="preserve">TAGTGCATCAACAGAATCAAATAG</t>
  </si>
  <si>
    <t xml:space="preserve">AAACCTATTTGATTCTGTTGATGC</t>
  </si>
  <si>
    <t xml:space="preserve">ACGGTCGGCGTAGTTGATCG</t>
  </si>
  <si>
    <t xml:space="preserve">TAGTACGGTCGGCGTAGTTGATCG</t>
  </si>
  <si>
    <t xml:space="preserve">AAACCGATCAACTACGCCGACCGT</t>
  </si>
  <si>
    <t xml:space="preserve">GGAACCAGCGATAGCGATGG</t>
  </si>
  <si>
    <t xml:space="preserve">TAGTGGAACCAGCGATAGCGATGG</t>
  </si>
  <si>
    <t xml:space="preserve">AAACCCATCGCTATCGCTGGTTCC</t>
  </si>
  <si>
    <t xml:space="preserve">PSPPH_4252</t>
  </si>
  <si>
    <t xml:space="preserve">AGGATGGACTTCAGTTCTTG</t>
  </si>
  <si>
    <t xml:space="preserve">TAGTAGGATGGACTTCAGTTCTTG</t>
  </si>
  <si>
    <t xml:space="preserve">AAACCAAGAACTGAAGTCCATCCT</t>
  </si>
  <si>
    <t xml:space="preserve">AAGACAGCAGACCGGATGAG</t>
  </si>
  <si>
    <t xml:space="preserve">TAGTAAGACAGCAGACCGGATGAG</t>
  </si>
  <si>
    <t xml:space="preserve">AAACCTCATCCGGTCTGCTGTCTT</t>
  </si>
  <si>
    <t xml:space="preserve">GAGCGTTGAAATCGGTAACC</t>
  </si>
  <si>
    <t xml:space="preserve">TAGTGAGCGTTGAAATCGGTAACC</t>
  </si>
  <si>
    <t xml:space="preserve">AAACGGTTACCGATTTCAACGCTC</t>
  </si>
  <si>
    <t xml:space="preserve">GTTTGATATAGCCCGCGCGA</t>
  </si>
  <si>
    <t xml:space="preserve">TAGTGTTTGATATAGCCCGCGCGA</t>
  </si>
  <si>
    <t xml:space="preserve">AAACTCGCGCGGGCTATATCAAAC</t>
  </si>
  <si>
    <t xml:space="preserve">PSPPH_4253</t>
  </si>
  <si>
    <t xml:space="preserve">TGTTTTCTACGGGCGCGGGG</t>
  </si>
  <si>
    <t xml:space="preserve">TAGTTGTTTTCTACGGGCGCGGGG</t>
  </si>
  <si>
    <t xml:space="preserve">AAACCCCCGCGCCCGTAGAAAACA</t>
  </si>
  <si>
    <t xml:space="preserve">CCAACTCCTGCGCGAGGCTG</t>
  </si>
  <si>
    <t xml:space="preserve">TAGTCCAACTCCTGCGCGAGGCTG</t>
  </si>
  <si>
    <t xml:space="preserve">AAACCAGCCTCGCGCAGGAGTTGG</t>
  </si>
  <si>
    <t xml:space="preserve">CTGACCGCTGCGAATTCGCT</t>
  </si>
  <si>
    <t xml:space="preserve">TAGTCTGACCGCTGCGAATTCGCT</t>
  </si>
  <si>
    <t xml:space="preserve">AAACAGCGAATTCGCAGCGGTCAG</t>
  </si>
  <si>
    <t xml:space="preserve">TCCATGATTGCGGATTCGGT</t>
  </si>
  <si>
    <t xml:space="preserve">TAGTTCCATGATTGCGGATTCGGT</t>
  </si>
  <si>
    <t xml:space="preserve">AAACACCGAATCCGCAATCATGGA</t>
  </si>
  <si>
    <t xml:space="preserve">PSPPH_4254</t>
  </si>
  <si>
    <t xml:space="preserve">CCCTTTCACAGTGTCGTTGA</t>
  </si>
  <si>
    <t xml:space="preserve">TAGTCCCTTTCACAGTGTCGTTGA</t>
  </si>
  <si>
    <t xml:space="preserve">AAACTCAACGACACTGTGAAAGGG</t>
  </si>
  <si>
    <t xml:space="preserve">GCGTTATCAGCTTCCAGACG</t>
  </si>
  <si>
    <t xml:space="preserve">TAGTGCGTTATCAGCTTCCAGACG</t>
  </si>
  <si>
    <t xml:space="preserve">AAACCGTCTGGAAGCTGATAACGC</t>
  </si>
  <si>
    <t xml:space="preserve">TTTTCCTCACTGCGCCAATA</t>
  </si>
  <si>
    <t xml:space="preserve">TAGTTTTTCCTCACTGCGCCAATA</t>
  </si>
  <si>
    <t xml:space="preserve">AAACTATTGGCGCAGTGAGGAAAA</t>
  </si>
  <si>
    <t xml:space="preserve">CGAAACCAGCAACAGCCAGG</t>
  </si>
  <si>
    <t xml:space="preserve">TAGTCGAAACCAGCAACAGCCAGG</t>
  </si>
  <si>
    <t xml:space="preserve">AAACCCTGGCTGTTGCTGGTTTCG</t>
  </si>
  <si>
    <t xml:space="preserve">PSPPH_4255</t>
  </si>
  <si>
    <t xml:space="preserve">GCAGCTCTTCGCCTTCAACC</t>
  </si>
  <si>
    <t xml:space="preserve">TAGTGCAGCTCTTCGCCTTCAACC</t>
  </si>
  <si>
    <t xml:space="preserve">AAACGGTTGAAGGCGAAGAGCTGC</t>
  </si>
  <si>
    <t xml:space="preserve">CGTCGTCATCGACCAGCAAC</t>
  </si>
  <si>
    <t xml:space="preserve">TAGTCGTCGTCATCGACCAGCAAC</t>
  </si>
  <si>
    <t xml:space="preserve">AAACGTTGCTGGTCGATGACGACG</t>
  </si>
  <si>
    <t xml:space="preserve">CATGGCCCTCGCCATTACAC</t>
  </si>
  <si>
    <t xml:space="preserve">TAGTCATGGCCCTCGCCATTACAC</t>
  </si>
  <si>
    <t xml:space="preserve">AAACGTGTAATGGCGAGGGCCATG</t>
  </si>
  <si>
    <t xml:space="preserve">TGCTCACGCGAAAACCACGA</t>
  </si>
  <si>
    <t xml:space="preserve">TAGTTGCTCACGCGAAAACCACGA</t>
  </si>
  <si>
    <t xml:space="preserve">AAACTCGTGGTTTTCGCGTGAGCA</t>
  </si>
  <si>
    <t xml:space="preserve">PSPPH_4256</t>
  </si>
  <si>
    <t xml:space="preserve">GGCCGAAAGCATTTGAACGG</t>
  </si>
  <si>
    <t xml:space="preserve">TAGTGGCCGAAAGCATTTGAACGG</t>
  </si>
  <si>
    <t xml:space="preserve">AAACCCGTTCAAATGCTTTCGGCC</t>
  </si>
  <si>
    <t xml:space="preserve">GCGCCACAGGTTTTGACGTG</t>
  </si>
  <si>
    <t xml:space="preserve">TAGTGCGCCACAGGTTTTGACGTG</t>
  </si>
  <si>
    <t xml:space="preserve">AAACCACGTCAAAACCTGTGGCGC</t>
  </si>
  <si>
    <t xml:space="preserve">CCAGAATACGGATGAATGTC</t>
  </si>
  <si>
    <t xml:space="preserve">TAGTCCAGAATACGGATGAATGTC</t>
  </si>
  <si>
    <t xml:space="preserve">AAACGACATTCATCCGTATTCTGG</t>
  </si>
  <si>
    <t xml:space="preserve">ACCTACCGAGCCGGCTTGCG</t>
  </si>
  <si>
    <t xml:space="preserve">TAGTACCTACCGAGCCGGCTTGCG</t>
  </si>
  <si>
    <t xml:space="preserve">AAACCGCAAGCCGGCTCGGTAGGT</t>
  </si>
  <si>
    <t xml:space="preserve">PSPPH_4257</t>
  </si>
  <si>
    <t xml:space="preserve">GCGCGACGAGCGTGGCAGCA</t>
  </si>
  <si>
    <t xml:space="preserve">TAGTGCGCGACGAGCGTGGCAGCA</t>
  </si>
  <si>
    <t xml:space="preserve">AAACTGCTGCCACGCTCGTCGCGC</t>
  </si>
  <si>
    <t xml:space="preserve">CGGCAGGCTGGACAGGGCGG</t>
  </si>
  <si>
    <t xml:space="preserve">TAGTCGGCAGGCTGGACAGGGCGG</t>
  </si>
  <si>
    <t xml:space="preserve">AAACCCGCCCTGTCCAGCCTGCCG</t>
  </si>
  <si>
    <t xml:space="preserve">CGGGCTTCTTCAGCCAGGGC</t>
  </si>
  <si>
    <t xml:space="preserve">TAGTCGGGCTTCTTCAGCCAGGGC</t>
  </si>
  <si>
    <t xml:space="preserve">AAACGCCCTGGCTGAAGAAGCCCG</t>
  </si>
  <si>
    <t xml:space="preserve">GCAAGGAAATCTGGTTGTAG</t>
  </si>
  <si>
    <t xml:space="preserve">TAGTGCAAGGAAATCTGGTTGTAG</t>
  </si>
  <si>
    <t xml:space="preserve">AAACCTACAACCAGATTTCCTTGC</t>
  </si>
  <si>
    <t xml:space="preserve">PSPPH_4258</t>
  </si>
  <si>
    <t xml:space="preserve">TGAGCTCCGGTTTCCGGGCT</t>
  </si>
  <si>
    <t xml:space="preserve">TAGTTGAGCTCCGGTTTCCGGGCT</t>
  </si>
  <si>
    <t xml:space="preserve">AAACAGCCCGGAAACCGGAGCTCA</t>
  </si>
  <si>
    <t xml:space="preserve">TAGTGCTGCGTTCTCAATAT</t>
  </si>
  <si>
    <t xml:space="preserve">TAGTTAGTGCTGCGTTCTCAATAT</t>
  </si>
  <si>
    <t xml:space="preserve">AAACATATTGAGAACGCAGCACTA</t>
  </si>
  <si>
    <t xml:space="preserve">TTTGAAGAGTGTGTGTCCCA</t>
  </si>
  <si>
    <t xml:space="preserve">TAGTTTTGAAGAGTGTGTGTCCCA</t>
  </si>
  <si>
    <t xml:space="preserve">AAACTGGGACACACACTCTTCAAA</t>
  </si>
  <si>
    <t xml:space="preserve">AGAGCGGAGGTCAGCAGCAG</t>
  </si>
  <si>
    <t xml:space="preserve">TAGTAGAGCGGAGGTCAGCAGCAG</t>
  </si>
  <si>
    <t xml:space="preserve">AAACCTGCTGCTGACCTCCGCTCT</t>
  </si>
  <si>
    <t xml:space="preserve">PSPPH_4259</t>
  </si>
  <si>
    <t xml:space="preserve">TCCATCCGATACTTATGCAG</t>
  </si>
  <si>
    <t xml:space="preserve">TAGTTCCATCCGATACTTATGCAG</t>
  </si>
  <si>
    <t xml:space="preserve">AAACCTGCATAAGTATCGGATGGA</t>
  </si>
  <si>
    <t xml:space="preserve">TTGTTGTCATTTTGATTAGA</t>
  </si>
  <si>
    <t xml:space="preserve">TAGTTTGTTGTCATTTTGATTAGA</t>
  </si>
  <si>
    <t xml:space="preserve">AAACTCTAATCAAAATGACAACAA</t>
  </si>
  <si>
    <t xml:space="preserve">AATGACCGCGTGTTTGAGCA</t>
  </si>
  <si>
    <t xml:space="preserve">TAGTAATGACCGCGTGTTTGAGCA</t>
  </si>
  <si>
    <t xml:space="preserve">AAACTGCTCAAACACGCGGTCATT</t>
  </si>
  <si>
    <t xml:space="preserve">AGGAGCACTGGCGAGCAGGC</t>
  </si>
  <si>
    <t xml:space="preserve">TAGTAGGAGCACTGGCGAGCAGGC</t>
  </si>
  <si>
    <t xml:space="preserve">AAACGCCTGCTCGCCAGTGCTCCT</t>
  </si>
  <si>
    <t xml:space="preserve">PSPPH_4260</t>
  </si>
  <si>
    <t xml:space="preserve">GGGCAAGTGCAAACAGCCCC</t>
  </si>
  <si>
    <t xml:space="preserve">TAGTGGGCAAGTGCAAACAGCCCC</t>
  </si>
  <si>
    <t xml:space="preserve">AAACGGGGCTGTTTGCACTTGCCC</t>
  </si>
  <si>
    <t xml:space="preserve">GCTTGCCGCCTGGGCAAACG</t>
  </si>
  <si>
    <t xml:space="preserve">TAGTGCTTGCCGCCTGGGCAAACG</t>
  </si>
  <si>
    <t xml:space="preserve">AAACCGTTTGCCCAGGCGGCAAGC</t>
  </si>
  <si>
    <t xml:space="preserve">GAAGCCAGCCGGACTTGCTT</t>
  </si>
  <si>
    <t xml:space="preserve">TAGTGAAGCCAGCCGGACTTGCTT</t>
  </si>
  <si>
    <t xml:space="preserve">AAACAAGCAAGTCCGGCTGGCTTC</t>
  </si>
  <si>
    <t xml:space="preserve">TGCATCGTTATCCGTGGATG</t>
  </si>
  <si>
    <t xml:space="preserve">TAGTTGCATCGTTATCCGTGGATG</t>
  </si>
  <si>
    <t xml:space="preserve">AAACCATCCACGGATAACGATGCA</t>
  </si>
  <si>
    <t xml:space="preserve">PSPPH_4261</t>
  </si>
  <si>
    <t xml:space="preserve">GCCGAACGACGAGAGAGATA</t>
  </si>
  <si>
    <t xml:space="preserve">TAGTGCCGAACGACGAGAGAGATA</t>
  </si>
  <si>
    <t xml:space="preserve">AAACTATCTCTCTCGTCGTTCGGC</t>
  </si>
  <si>
    <t xml:space="preserve">GGTATGAACGTCTGGCTGGC</t>
  </si>
  <si>
    <t xml:space="preserve">TAGTGGTATGAACGTCTGGCTGGC</t>
  </si>
  <si>
    <t xml:space="preserve">AAACGCCAGCCAGACGTTCATACC</t>
  </si>
  <si>
    <t xml:space="preserve">TTCTTCGAACTTAGCTCGGT</t>
  </si>
  <si>
    <t xml:space="preserve">TAGTTTCTTCGAACTTAGCTCGGT</t>
  </si>
  <si>
    <t xml:space="preserve">AAACACCGAGCTAAGTTCGAAGAA</t>
  </si>
  <si>
    <t xml:space="preserve">TTCGATAAAGCCATTGGCGT</t>
  </si>
  <si>
    <t xml:space="preserve">TAGTTTCGATAAAGCCATTGGCGT</t>
  </si>
  <si>
    <t xml:space="preserve">AAACACGCCAATGGCTTTATCGAA</t>
  </si>
  <si>
    <t xml:space="preserve">PSPPH_4262</t>
  </si>
  <si>
    <t xml:space="preserve">GGCGACGCTGAGCAGGGCCA</t>
  </si>
  <si>
    <t xml:space="preserve">TAGTGGCGACGCTGAGCAGGGCCA</t>
  </si>
  <si>
    <t xml:space="preserve">AAACTGGCCCTGCTCAGCGTCGCC</t>
  </si>
  <si>
    <t xml:space="preserve">GGGGTTTGCCGAAACACTGA</t>
  </si>
  <si>
    <t xml:space="preserve">TAGTGGGGTTTGCCGAAACACTGA</t>
  </si>
  <si>
    <t xml:space="preserve">AAACTCAGTGTTTCGGCAAACCCC</t>
  </si>
  <si>
    <t xml:space="preserve">GCTTCGGTGCAGAGCACCGG</t>
  </si>
  <si>
    <t xml:space="preserve">TAGTGCTTCGGTGCAGAGCACCGG</t>
  </si>
  <si>
    <t xml:space="preserve">AAACCCGGTGCTCTGCACCGAAGC</t>
  </si>
  <si>
    <t xml:space="preserve">CATGTCGAAGCCTTCGGGGC</t>
  </si>
  <si>
    <t xml:space="preserve">TAGTCATGTCGAAGCCTTCGGGGC</t>
  </si>
  <si>
    <t xml:space="preserve">AAACGCCCCGAAGGCTTCGACATG</t>
  </si>
  <si>
    <t xml:space="preserve">PSPPH_4263</t>
  </si>
  <si>
    <t xml:space="preserve">TATCAGCAACCCCACTCGGC</t>
  </si>
  <si>
    <t xml:space="preserve">TAGTTATCAGCAACCCCACTCGGC</t>
  </si>
  <si>
    <t xml:space="preserve">AAACGCCGAGTGGGGTTGCTGATA</t>
  </si>
  <si>
    <t xml:space="preserve">AAGGTGATGCCGAAGAAAGT</t>
  </si>
  <si>
    <t xml:space="preserve">TAGTAAGGTGATGCCGAAGAAAGT</t>
  </si>
  <si>
    <t xml:space="preserve">AAACACTTTCTTCGGCATCACCTT</t>
  </si>
  <si>
    <t xml:space="preserve">AATCAGGCGAATCAGGGCGA</t>
  </si>
  <si>
    <t xml:space="preserve">TAGTAATCAGGCGAATCAGGGCGA</t>
  </si>
  <si>
    <t xml:space="preserve">AAACTCGCCCTGATTCGCCTGATT</t>
  </si>
  <si>
    <t xml:space="preserve">ATGACTTCGACCGGGTCGCC</t>
  </si>
  <si>
    <t xml:space="preserve">TAGTATGACTTCGACCGGGTCGCC</t>
  </si>
  <si>
    <t xml:space="preserve">AAACGGCGACCCGGTCGAAGTCAT</t>
  </si>
  <si>
    <t xml:space="preserve">PSPPH_4264</t>
  </si>
  <si>
    <t xml:space="preserve">dppC</t>
  </si>
  <si>
    <t xml:space="preserve">GACTGCTACCGCAGGAGTAG</t>
  </si>
  <si>
    <t xml:space="preserve">TAGTGACTGCTACCGCAGGAGTAG</t>
  </si>
  <si>
    <t xml:space="preserve">AAACCTACTCCTGCGGTAGCAGTC</t>
  </si>
  <si>
    <t xml:space="preserve">TGTACGGGGATGGGTAAAGC</t>
  </si>
  <si>
    <t xml:space="preserve">TAGTTGTACGGGGATGGGTAAAGC</t>
  </si>
  <si>
    <t xml:space="preserve">AAACGCTTTACCCATCCCCGTACA</t>
  </si>
  <si>
    <t xml:space="preserve">CAGGATCATGAACAGCAGGC</t>
  </si>
  <si>
    <t xml:space="preserve">TAGTCAGGATCATGAACAGCAGGC</t>
  </si>
  <si>
    <t xml:space="preserve">AAACGCCTGCTGTTCATGATCCTG</t>
  </si>
  <si>
    <t xml:space="preserve">CGCAACCCACGGGGCGAACA</t>
  </si>
  <si>
    <t xml:space="preserve">TAGTCGCAACCCACGGGGCGAACA</t>
  </si>
  <si>
    <t xml:space="preserve">AAACTGTTCGCCCCGTGGGTTGCG</t>
  </si>
  <si>
    <t xml:space="preserve">PSPPH_4265</t>
  </si>
  <si>
    <t xml:space="preserve">CGGCCTTGGCGTCGCCGAAG</t>
  </si>
  <si>
    <t xml:space="preserve">TAGTCGGCCTTGGCGTCGCCGAAG</t>
  </si>
  <si>
    <t xml:space="preserve">AAACCTTCGGCGACGCCAAGGCCG</t>
  </si>
  <si>
    <t xml:space="preserve">CAGGCCGTCCACAACAGGTA</t>
  </si>
  <si>
    <t xml:space="preserve">TAGTCAGGCCGTCCACAACAGGTA</t>
  </si>
  <si>
    <t xml:space="preserve">AAACTACCTGTTGTGGACGGCCTG</t>
  </si>
  <si>
    <t xml:space="preserve">TTCGCCTTTTTCGACGCTCA</t>
  </si>
  <si>
    <t xml:space="preserve">TAGTTTCGCCTTTTTCGACGCTCA</t>
  </si>
  <si>
    <t xml:space="preserve">AAACTGAGCGTCGAAAAAGGCGAA</t>
  </si>
  <si>
    <t xml:space="preserve">CATCATGGTCACGGATTTAC</t>
  </si>
  <si>
    <t xml:space="preserve">TAGTCATCATGGTCACGGATTTAC</t>
  </si>
  <si>
    <t xml:space="preserve">AAACGTAAATCCGTGACCATGATG</t>
  </si>
  <si>
    <t xml:space="preserve">PSPPH_4266</t>
  </si>
  <si>
    <t xml:space="preserve">GTGACGGGTAAGGTCGCGGG</t>
  </si>
  <si>
    <t xml:space="preserve">TAGTGTGACGGGTAAGGTCGCGGG</t>
  </si>
  <si>
    <t xml:space="preserve">AAACCCCGCGACCTTACCCGTCAC</t>
  </si>
  <si>
    <t xml:space="preserve">TGTGCCTTTGAACAGGCCTC</t>
  </si>
  <si>
    <t xml:space="preserve">TAGTTGTGCCTTTGAACAGGCCTC</t>
  </si>
  <si>
    <t xml:space="preserve">AAACGAGGCCTGTTCAAAGGCACA</t>
  </si>
  <si>
    <t xml:space="preserve">CTTGCCGGCTTCCAGTTCGA</t>
  </si>
  <si>
    <t xml:space="preserve">TAGTCTTGCCGGCTTCCAGTTCGA</t>
  </si>
  <si>
    <t xml:space="preserve">AAACTCGAACTGGAAGCCGGCAAG</t>
  </si>
  <si>
    <t xml:space="preserve">TTCAATCAGTGTCAGCGCGC</t>
  </si>
  <si>
    <t xml:space="preserve">TAGTTTCAATCAGTGTCAGCGCGC</t>
  </si>
  <si>
    <t xml:space="preserve">AAACGCGCGCTGACACTGATTGAA</t>
  </si>
  <si>
    <t xml:space="preserve">PSPPH_4268</t>
  </si>
  <si>
    <t xml:space="preserve">TCCCGAAGAACCAGTGCAGT</t>
  </si>
  <si>
    <t xml:space="preserve">TAGTTCCCGAAGAACCAGTGCAGT</t>
  </si>
  <si>
    <t xml:space="preserve">AAACACTGCACTGGTTCTTCGGGA</t>
  </si>
  <si>
    <t xml:space="preserve">CGCGCCGGTAATCCCCATGA</t>
  </si>
  <si>
    <t xml:space="preserve">TAGTCGCGCCGGTAATCCCCATGA</t>
  </si>
  <si>
    <t xml:space="preserve">AAACTCATGGGGATTACCGGCGCG</t>
  </si>
  <si>
    <t xml:space="preserve">TCCTGCACGAGCAGAACGTG</t>
  </si>
  <si>
    <t xml:space="preserve">TAGTTCCTGCACGAGCAGAACGTG</t>
  </si>
  <si>
    <t xml:space="preserve">AAACCACGTTCTGCTCGTGCAGGA</t>
  </si>
  <si>
    <t xml:space="preserve">AAGCTCAATCGGTGGCAAGG</t>
  </si>
  <si>
    <t xml:space="preserve">TAGTAAGCTCAATCGGTGGCAAGG</t>
  </si>
  <si>
    <t xml:space="preserve">AAACCCTTGCCACCGATTGAGCTT</t>
  </si>
  <si>
    <t xml:space="preserve">PSPPH_4269</t>
  </si>
  <si>
    <t xml:space="preserve">TTGTAAAACATTGGGTTCAT</t>
  </si>
  <si>
    <t xml:space="preserve">TAGTTTGTAAAACATTGGGTTCAT</t>
  </si>
  <si>
    <t xml:space="preserve">AAACATGAACCCAATGTTTTACAA</t>
  </si>
  <si>
    <t xml:space="preserve">GCCTTGAGGTCTCCGGATAA</t>
  </si>
  <si>
    <t xml:space="preserve">TAGTGCCTTGAGGTCTCCGGATAA</t>
  </si>
  <si>
    <t xml:space="preserve">AAACTTATCCGGAGACCTCAAGGC</t>
  </si>
  <si>
    <t xml:space="preserve">CGACATCGTACTGAACAGTT</t>
  </si>
  <si>
    <t xml:space="preserve">TAGTCGACATCGTACTGAACAGTT</t>
  </si>
  <si>
    <t xml:space="preserve">AAACAACTGTTCAGTACGATGTCG</t>
  </si>
  <si>
    <t xml:space="preserve">ACGGGTGACGTGCTTATCAT</t>
  </si>
  <si>
    <t xml:space="preserve">TAGTACGGGTGACGTGCTTATCAT</t>
  </si>
  <si>
    <t xml:space="preserve">AAACATGATAAGCACGTCACCCGT</t>
  </si>
  <si>
    <t xml:space="preserve">PSPPH_4271</t>
  </si>
  <si>
    <t xml:space="preserve">CCAGCGAAGGCTGTGTCATT</t>
  </si>
  <si>
    <t xml:space="preserve">TAGTCCAGCGAAGGCTGTGTCATT</t>
  </si>
  <si>
    <t xml:space="preserve">AAACAATGACACAGCCTTCGCTGG</t>
  </si>
  <si>
    <t xml:space="preserve">CGAGTCATGATGTCGCGGTC</t>
  </si>
  <si>
    <t xml:space="preserve">TAGTCGAGTCATGATGTCGCGGTC</t>
  </si>
  <si>
    <t xml:space="preserve">AAACGACCGCGACATCATGACTCG</t>
  </si>
  <si>
    <t xml:space="preserve">TTACCAGACTGTTACGCATG</t>
  </si>
  <si>
    <t xml:space="preserve">TAGTTTACCAGACTGTTACGCATG</t>
  </si>
  <si>
    <t xml:space="preserve">AAACCATGCGTAACAGTCTGGTAA</t>
  </si>
  <si>
    <t xml:space="preserve">AGTGGGTCTTGGCAAACAGA</t>
  </si>
  <si>
    <t xml:space="preserve">TAGTAGTGGGTCTTGGCAAACAGA</t>
  </si>
  <si>
    <t xml:space="preserve">AAACTCTGTTTGCCAAGACCCACT</t>
  </si>
  <si>
    <t xml:space="preserve">PSPPH_4272</t>
  </si>
  <si>
    <t xml:space="preserve">TACTGGCGGCGGTGTAGGCG</t>
  </si>
  <si>
    <t xml:space="preserve">TAGTTACTGGCGGCGGTGTAGGCG</t>
  </si>
  <si>
    <t xml:space="preserve">AAACCGCCTACACCGCCGCCAGTA</t>
  </si>
  <si>
    <t xml:space="preserve">TGCCCACATTCGCGACAGGT</t>
  </si>
  <si>
    <t xml:space="preserve">TAGTTGCCCACATTCGCGACAGGT</t>
  </si>
  <si>
    <t xml:space="preserve">AAACACCTGTCGCGAATGTGGGCA</t>
  </si>
  <si>
    <t xml:space="preserve">TCTGATAATGCCGCCTGCAC</t>
  </si>
  <si>
    <t xml:space="preserve">TAGTTCTGATAATGCCGCCTGCAC</t>
  </si>
  <si>
    <t xml:space="preserve">AAACGTGCAGGCGGCATTATCAGA</t>
  </si>
  <si>
    <t xml:space="preserve">GACTCCAGGCGGCAACGCAA</t>
  </si>
  <si>
    <t xml:space="preserve">TAGTGACTCCAGGCGGCAACGCAA</t>
  </si>
  <si>
    <t xml:space="preserve">AAACTTGCGTTGCCGCCTGGAGTC</t>
  </si>
  <si>
    <t xml:space="preserve">PSPPH_4273</t>
  </si>
  <si>
    <t xml:space="preserve">CTTCATTTTCTTGAAGGTTT</t>
  </si>
  <si>
    <t xml:space="preserve">TAGTCTTCATTTTCTTGAAGGTTT</t>
  </si>
  <si>
    <t xml:space="preserve">AAACAAACCTTCAAGAAAATGAAG</t>
  </si>
  <si>
    <t xml:space="preserve">GCGGTATCAATGACCACGAA</t>
  </si>
  <si>
    <t xml:space="preserve">TAGTGCGGTATCAATGACCACGAA</t>
  </si>
  <si>
    <t xml:space="preserve">AAACTTCGTGGTCATTGATACCGC</t>
  </si>
  <si>
    <t xml:space="preserve">GTCGTAGGCTTTACTGATGA</t>
  </si>
  <si>
    <t xml:space="preserve">TAGTGTCGTAGGCTTTACTGATGA</t>
  </si>
  <si>
    <t xml:space="preserve">AAACTCATCAGTAAAGCCTACGAC</t>
  </si>
  <si>
    <t xml:space="preserve">CAAACTCGAAGCCCGCACGC</t>
  </si>
  <si>
    <t xml:space="preserve">TAGTCAAACTCGAAGCCCGCACGC</t>
  </si>
  <si>
    <t xml:space="preserve">AAACGCGTGCGGGCTTCGAGTTTG</t>
  </si>
  <si>
    <t xml:space="preserve">PSPPH_4274</t>
  </si>
  <si>
    <t xml:space="preserve">TTTTCACTGTAACCATAAGA</t>
  </si>
  <si>
    <t xml:space="preserve">TAGTTTTTCACTGTAACCATAAGA</t>
  </si>
  <si>
    <t xml:space="preserve">AAACTCTTATGGTTACAGTGAAAA</t>
  </si>
  <si>
    <t xml:space="preserve">CATTGAAGCCCGGTACCTCT</t>
  </si>
  <si>
    <t xml:space="preserve">TAGTCATTGAAGCCCGGTACCTCT</t>
  </si>
  <si>
    <t xml:space="preserve">AAACAGAGGTACCGGGCTTCAATG</t>
  </si>
  <si>
    <t xml:space="preserve">GTTGCCAAGCAGGTAGTGAC</t>
  </si>
  <si>
    <t xml:space="preserve">TAGTGTTGCCAAGCAGGTAGTGAC</t>
  </si>
  <si>
    <t xml:space="preserve">AAACGTCACTACCTGCTTGGCAAC</t>
  </si>
  <si>
    <t xml:space="preserve">TCAAGACCGGATTGTAGGCC</t>
  </si>
  <si>
    <t xml:space="preserve">TAGTTCAAGACCGGATTGTAGGCC</t>
  </si>
  <si>
    <t xml:space="preserve">AAACGGCCTACAATCCGGTCTTGA</t>
  </si>
  <si>
    <t xml:space="preserve">PSPPH_4276</t>
  </si>
  <si>
    <t xml:space="preserve">GGAAAGTCTTGGAGAGGCTC</t>
  </si>
  <si>
    <t xml:space="preserve">TAGTGGAAAGTCTTGGAGAGGCTC</t>
  </si>
  <si>
    <t xml:space="preserve">AAACGAGCCTCTCCAAGACTTTCC</t>
  </si>
  <si>
    <t xml:space="preserve">TCACTTCTTTGCCGTTGCTC</t>
  </si>
  <si>
    <t xml:space="preserve">TAGTTCACTTCTTTGCCGTTGCTC</t>
  </si>
  <si>
    <t xml:space="preserve">AAACGAGCAACGGCAAAGAAGTGA</t>
  </si>
  <si>
    <t xml:space="preserve">TTTCGCCTTCGTTGACCGTG</t>
  </si>
  <si>
    <t xml:space="preserve">TAGTTTTCGCCTTCGTTGACCGTG</t>
  </si>
  <si>
    <t xml:space="preserve">AAACCACGGTCAACGAAGGCGAAA</t>
  </si>
  <si>
    <t xml:space="preserve">GCGGTTGATCATTTTCAGCG</t>
  </si>
  <si>
    <t xml:space="preserve">TAGTGCGGTTGATCATTTTCAGCG</t>
  </si>
  <si>
    <t xml:space="preserve">AAACCGCTGAAAATGATCAACCGC</t>
  </si>
  <si>
    <t xml:space="preserve">PSPPH_4277</t>
  </si>
  <si>
    <t xml:space="preserve">CACCTGAGCCCAGTCGATCT</t>
  </si>
  <si>
    <t xml:space="preserve">TAGTCACCTGAGCCCAGTCGATCT</t>
  </si>
  <si>
    <t xml:space="preserve">AAACAGATCGACTGGGCTCAGGTG</t>
  </si>
  <si>
    <t xml:space="preserve">GACCAGGGTGATGTGCTGCG</t>
  </si>
  <si>
    <t xml:space="preserve">TAGTGACCAGGGTGATGTGCTGCG</t>
  </si>
  <si>
    <t xml:space="preserve">AAACCGCAGCACATCACCCTGGTC</t>
  </si>
  <si>
    <t xml:space="preserve">GACCAGAATGGCCAGGGTCA</t>
  </si>
  <si>
    <t xml:space="preserve">TAGTGACCAGAATGGCCAGGGTCA</t>
  </si>
  <si>
    <t xml:space="preserve">AAACTGACCCTGGCCATTCTGGTC</t>
  </si>
  <si>
    <t xml:space="preserve">GGGTCATCAGTACGCCCAGC</t>
  </si>
  <si>
    <t xml:space="preserve">TAGTGGGTCATCAGTACGCCCAGC</t>
  </si>
  <si>
    <t xml:space="preserve">AAACGCTGGGCGTACTGATGACCC</t>
  </si>
  <si>
    <t xml:space="preserve">PSPPH_4278</t>
  </si>
  <si>
    <t xml:space="preserve">GGCAAATGCCGGAAACAGCA</t>
  </si>
  <si>
    <t xml:space="preserve">TAGTGGCAAATGCCGGAAACAGCA</t>
  </si>
  <si>
    <t xml:space="preserve">AAACTGCTGTTTCCGGCATTTGCC</t>
  </si>
  <si>
    <t xml:space="preserve">CAACGGCTTTTCCGCTGCCT</t>
  </si>
  <si>
    <t xml:space="preserve">TAGTCAACGGCTTTTCCGCTGCCT</t>
  </si>
  <si>
    <t xml:space="preserve">AAACAGGCAGCGGAAAAGCCGTTG</t>
  </si>
  <si>
    <t xml:space="preserve">TTCAGACAGGATGGTTTGCT</t>
  </si>
  <si>
    <t xml:space="preserve">TAGTTTCAGACAGGATGGTTTGCT</t>
  </si>
  <si>
    <t xml:space="preserve">AAACAGCAAACCATCCTGTCTGAA</t>
  </si>
  <si>
    <t xml:space="preserve">CGTCATAACCCTTTGTACGC</t>
  </si>
  <si>
    <t xml:space="preserve">TAGTCGTCATAACCCTTTGTACGC</t>
  </si>
  <si>
    <t xml:space="preserve">AAACGCGTACAAAGGGTTATGACG</t>
  </si>
  <si>
    <t xml:space="preserve">PSPPH_4279</t>
  </si>
  <si>
    <t xml:space="preserve">TTGCCATAGCGATTAGCCAC</t>
  </si>
  <si>
    <t xml:space="preserve">TAGTTTGCCATAGCGATTAGCCAC</t>
  </si>
  <si>
    <t xml:space="preserve">AAACGTGGCTAATCGCTATGGCAA</t>
  </si>
  <si>
    <t xml:space="preserve">TCCAGTGGATCAGCAGGGCC</t>
  </si>
  <si>
    <t xml:space="preserve">TAGTTCCAGTGGATCAGCAGGGCC</t>
  </si>
  <si>
    <t xml:space="preserve">AAACGGCCCTGCTGATCCACTGGA</t>
  </si>
  <si>
    <t xml:space="preserve">GGTAGAACAGCAGGTCATCC</t>
  </si>
  <si>
    <t xml:space="preserve">TAGTGGTAGAACAGCAGGTCATCC</t>
  </si>
  <si>
    <t xml:space="preserve">AAACGGATGACCTGCTGTTCTACC</t>
  </si>
  <si>
    <t xml:space="preserve">CCAGAATCAGGTGAGCCTGA</t>
  </si>
  <si>
    <t xml:space="preserve">TAGTCCAGAATCAGGTGAGCCTGA</t>
  </si>
  <si>
    <t xml:space="preserve">AAACTCAGGCTCACCTGATTCTGG</t>
  </si>
  <si>
    <t xml:space="preserve">PSPPH_4280</t>
  </si>
  <si>
    <t xml:space="preserve">prfC</t>
  </si>
  <si>
    <t xml:space="preserve">TCGGCGGCCTGTTGGGTCAT</t>
  </si>
  <si>
    <t xml:space="preserve">TAGTTCGGCGGCCTGTTGGGTCAT</t>
  </si>
  <si>
    <t xml:space="preserve">AAACATGACCCAACAGGCCGCCGA</t>
  </si>
  <si>
    <t xml:space="preserve">GGGAAATAATGGCGAAAGTG</t>
  </si>
  <si>
    <t xml:space="preserve">TAGTGGGAAATAATGGCGAAAGTG</t>
  </si>
  <si>
    <t xml:space="preserve">AAACCACTTTCGCCATTATTTCCC</t>
  </si>
  <si>
    <t xml:space="preserve">GGTTTTACCCGCATCCGGGT</t>
  </si>
  <si>
    <t xml:space="preserve">TAGTGGTTTTACCCGCATCCGGGT</t>
  </si>
  <si>
    <t xml:space="preserve">AAACACCCGGATGCGGGTAAAACC</t>
  </si>
  <si>
    <t xml:space="preserve">CAGGAGTTTTTCCGTGATGG</t>
  </si>
  <si>
    <t xml:space="preserve">TAGTCAGGAGTTTTTCCGTGATGG</t>
  </si>
  <si>
    <t xml:space="preserve">AAACCCATCACGGAAAAACTCCTG</t>
  </si>
  <si>
    <t xml:space="preserve">PSPPH_4281</t>
  </si>
  <si>
    <t xml:space="preserve">CAGCCATGCATCGATCAAAT</t>
  </si>
  <si>
    <t xml:space="preserve">TAGTCAGCCATGCATCGATCAAAT</t>
  </si>
  <si>
    <t xml:space="preserve">AAACATTTGATCGATGCATGGCTG</t>
  </si>
  <si>
    <t xml:space="preserve">TTCTCAGGTAAGGGTGGGGC</t>
  </si>
  <si>
    <t xml:space="preserve">TAGTTTCTCAGGTAAGGGTGGGGC</t>
  </si>
  <si>
    <t xml:space="preserve">AAACGCCCCACCCTTACCTGAGAA</t>
  </si>
  <si>
    <t xml:space="preserve">CTTAAGCACCAATGGTTCGC</t>
  </si>
  <si>
    <t xml:space="preserve">TAGTCTTAAGCACCAATGGTTCGC</t>
  </si>
  <si>
    <t xml:space="preserve">AAACGCGAACCATTGGTGCTTAAG</t>
  </si>
  <si>
    <t xml:space="preserve">GCGCATAGCAGAACAGAAAC</t>
  </si>
  <si>
    <t xml:space="preserve">TAGTGCGCATAGCAGAACAGAAAC</t>
  </si>
  <si>
    <t xml:space="preserve">AAACGTTTCTGTTCTGCTATGCGC</t>
  </si>
  <si>
    <t xml:space="preserve">PSPPH_4282</t>
  </si>
  <si>
    <t xml:space="preserve">TCCGCAGAGGGGCACGCAGT</t>
  </si>
  <si>
    <t xml:space="preserve">TAGTTCCGCAGAGGGGCACGCAGT</t>
  </si>
  <si>
    <t xml:space="preserve">AAACACTGCGTGCCCCTCTGCGGA</t>
  </si>
  <si>
    <t xml:space="preserve">ATCGGTGGACAGATTGACTT</t>
  </si>
  <si>
    <t xml:space="preserve">TAGTATCGGTGGACAGATTGACTT</t>
  </si>
  <si>
    <t xml:space="preserve">AAACAAGTCAATCTGTCCACCGAT</t>
  </si>
  <si>
    <t xml:space="preserve">GCCAATGCCGTAGCTGACGC</t>
  </si>
  <si>
    <t xml:space="preserve">TAGTGCCAATGCCGTAGCTGACGC</t>
  </si>
  <si>
    <t xml:space="preserve">AAACGCGTCAGCTACGGCATTGGC</t>
  </si>
  <si>
    <t xml:space="preserve">GCAACTGGTCGCCCAACTGA</t>
  </si>
  <si>
    <t xml:space="preserve">TAGTGCAACTGGTCGCCCAACTGA</t>
  </si>
  <si>
    <t xml:space="preserve">AAACTCAGTTGGGCGACCAGTTGC</t>
  </si>
  <si>
    <t xml:space="preserve">PSPPH_4283</t>
  </si>
  <si>
    <t xml:space="preserve">GCTCATCGACCCGCCCGGCC</t>
  </si>
  <si>
    <t xml:space="preserve">TAGTGCTCATCGACCCGCCCGGCC</t>
  </si>
  <si>
    <t xml:space="preserve">AAACGGCCGGGCGGGTCGATGAGC</t>
  </si>
  <si>
    <t xml:space="preserve">TGCCGCCTTCGATGGAGATC</t>
  </si>
  <si>
    <t xml:space="preserve">TAGTTGCCGCCTTCGATGGAGATC</t>
  </si>
  <si>
    <t xml:space="preserve">AAACGATCTCCATCGAAGGCGGCA</t>
  </si>
  <si>
    <t xml:space="preserve">GATGCAGGGTCTTGCCTGCC</t>
  </si>
  <si>
    <t xml:space="preserve">TAGTGATGCAGGGTCTTGCCTGCC</t>
  </si>
  <si>
    <t xml:space="preserve">AAACGGCAGGCAAGACCCTGCATC</t>
  </si>
  <si>
    <t xml:space="preserve">ACCAGGTAAAAAGGCACCAC</t>
  </si>
  <si>
    <t xml:space="preserve">TAGTACCAGGTAAAAAGGCACCAC</t>
  </si>
  <si>
    <t xml:space="preserve">AAACGTGGTGCCTTTTTACCTGGT</t>
  </si>
  <si>
    <t xml:space="preserve">PSPPH_4284</t>
  </si>
  <si>
    <t xml:space="preserve">GGATGACGTGAAAGATTTCC</t>
  </si>
  <si>
    <t xml:space="preserve">TAGTGGATGACGTGAAAGATTTCC</t>
  </si>
  <si>
    <t xml:space="preserve">AAACGGAAATCTTTCACGTCATCC</t>
  </si>
  <si>
    <t xml:space="preserve">CGGCCAGCGAGAAAATGTTG</t>
  </si>
  <si>
    <t xml:space="preserve">TAGTCGGCCAGCGAGAAAATGTTG</t>
  </si>
  <si>
    <t xml:space="preserve">AAACCAACATTTTCTCGCTGGCCG</t>
  </si>
  <si>
    <t xml:space="preserve">CACCAGAATCAGATCAGCTT</t>
  </si>
  <si>
    <t xml:space="preserve">TAGTCACCAGAATCAGATCAGCTT</t>
  </si>
  <si>
    <t xml:space="preserve">AAACAAGCTGATCTGATTCTGGTG</t>
  </si>
  <si>
    <t xml:space="preserve">CGATACGAAGTTCTCGTAAC</t>
  </si>
  <si>
    <t xml:space="preserve">TAGTCGATACGAAGTTCTCGTAAC</t>
  </si>
  <si>
    <t xml:space="preserve">AAACGTTACGAGAACTTCGTATCG</t>
  </si>
  <si>
    <t xml:space="preserve">PSPPH_4286</t>
  </si>
  <si>
    <t xml:space="preserve">CAGCCAGCGCGATGCGTACA</t>
  </si>
  <si>
    <t xml:space="preserve">TAGTCAGCCAGCGCGATGCGTACA</t>
  </si>
  <si>
    <t xml:space="preserve">AAACTGTACGCATCGCGCTGGCTG</t>
  </si>
  <si>
    <t xml:space="preserve">AGGGAAAGACCGAAATAGAT</t>
  </si>
  <si>
    <t xml:space="preserve">TAGTAGGGAAAGACCGAAATAGAT</t>
  </si>
  <si>
    <t xml:space="preserve">AAACATCTATTTCGGTCTTTCCCT</t>
  </si>
  <si>
    <t xml:space="preserve">PSPPH_4287</t>
  </si>
  <si>
    <t xml:space="preserve">TGCATTCTCGGGTAAGGCAA</t>
  </si>
  <si>
    <t xml:space="preserve">TAGTTGCATTCTCGGGTAAGGCAA</t>
  </si>
  <si>
    <t xml:space="preserve">AAACTTGCCTTACCCGAGAATGCA</t>
  </si>
  <si>
    <t xml:space="preserve">CCGAATGACACATTCGATGC</t>
  </si>
  <si>
    <t xml:space="preserve">TAGTCCGAATGACACATTCGATGC</t>
  </si>
  <si>
    <t xml:space="preserve">AAACGCATCGAATGTGTCATTCGG</t>
  </si>
  <si>
    <t xml:space="preserve">TGTCCACCATCGTGGGGAAG</t>
  </si>
  <si>
    <t xml:space="preserve">TAGTTGTCCACCATCGTGGGGAAG</t>
  </si>
  <si>
    <t xml:space="preserve">AAACCTTCCCCACGATGGTGGACA</t>
  </si>
  <si>
    <t xml:space="preserve">GGGCTGTTCTTCAGCCATGC</t>
  </si>
  <si>
    <t xml:space="preserve">TAGTGGGCTGTTCTTCAGCCATGC</t>
  </si>
  <si>
    <t xml:space="preserve">AAACGCATGGCTGAAGAACAGCCC</t>
  </si>
  <si>
    <t xml:space="preserve">PSPPH_4288</t>
  </si>
  <si>
    <t xml:space="preserve">GTTGTAACCGGGGCGCGGCA</t>
  </si>
  <si>
    <t xml:space="preserve">TAGTGTTGTAACCGGGGCGCGGCA</t>
  </si>
  <si>
    <t xml:space="preserve">AAACTGCCGCGCCCCGGTTACAAC</t>
  </si>
  <si>
    <t xml:space="preserve">AACGAAAAGCGGCCAGTACC</t>
  </si>
  <si>
    <t xml:space="preserve">TAGTAACGAAAAGCGGCCAGTACC</t>
  </si>
  <si>
    <t xml:space="preserve">AAACGGTACTGGCCGCTTTTCGTT</t>
  </si>
  <si>
    <t xml:space="preserve">TCCGCTTGCCTTCGGCCTTG</t>
  </si>
  <si>
    <t xml:space="preserve">TAGTTCCGCTTGCCTTCGGCCTTG</t>
  </si>
  <si>
    <t xml:space="preserve">AAACCAAGGCCGAAGGCAAGCGGA</t>
  </si>
  <si>
    <t xml:space="preserve">TTGACGTAAACCCAGTCCGA</t>
  </si>
  <si>
    <t xml:space="preserve">TAGTTTGACGTAAACCCAGTCCGA</t>
  </si>
  <si>
    <t xml:space="preserve">AAACTCGGACTGGGTTTACGTCAA</t>
  </si>
  <si>
    <t xml:space="preserve">PSPPH_4289</t>
  </si>
  <si>
    <t xml:space="preserve">CATAGCGTTGATGGATACAG</t>
  </si>
  <si>
    <t xml:space="preserve">TAGTCATAGCGTTGATGGATACAG</t>
  </si>
  <si>
    <t xml:space="preserve">AAACCTGTATCCATCAACGCTATG</t>
  </si>
  <si>
    <t xml:space="preserve">CAGCCGCAGTCCGGACCGCC</t>
  </si>
  <si>
    <t xml:space="preserve">TAGTCAGCCGCAGTCCGGACCGCC</t>
  </si>
  <si>
    <t xml:space="preserve">AAACGGCGGTCCGGACTGCGGCTG</t>
  </si>
  <si>
    <t xml:space="preserve">GTTGAGGCCAGGAAATGAGC</t>
  </si>
  <si>
    <t xml:space="preserve">TAGTGTTGAGGCCAGGAAATGAGC</t>
  </si>
  <si>
    <t xml:space="preserve">AAACGCTCATTTCCTGGCCTCAAC</t>
  </si>
  <si>
    <t xml:space="preserve">GTTACCCGAGGTGCCGTTGG</t>
  </si>
  <si>
    <t xml:space="preserve">TAGTGTTACCCGAGGTGCCGTTGG</t>
  </si>
  <si>
    <t xml:space="preserve">AAACCCAACGGCACCTCGGGTAAC</t>
  </si>
  <si>
    <t xml:space="preserve">PSPPH_4290</t>
  </si>
  <si>
    <t xml:space="preserve">ATGAGGTGCCGCAGACAAGG</t>
  </si>
  <si>
    <t xml:space="preserve">TAGTATGAGGTGCCGCAGACAAGG</t>
  </si>
  <si>
    <t xml:space="preserve">AAACCCTTGTCTGCGGCACCTCAT</t>
  </si>
  <si>
    <t xml:space="preserve">CAATTGCTGCAAACGGTCCG</t>
  </si>
  <si>
    <t xml:space="preserve">TAGTCAATTGCTGCAAACGGTCCG</t>
  </si>
  <si>
    <t xml:space="preserve">AAACCGGACCGTTTGCAGCAATTG</t>
  </si>
  <si>
    <t xml:space="preserve">TGAAATCCAGAATGGCTCAT</t>
  </si>
  <si>
    <t xml:space="preserve">TAGTTGAAATCCAGAATGGCTCAT</t>
  </si>
  <si>
    <t xml:space="preserve">AAACATGAGCCATTCTGGATTTCA</t>
  </si>
  <si>
    <t xml:space="preserve">CCGCAGCGAGAAAGAATTTC</t>
  </si>
  <si>
    <t xml:space="preserve">TAGTCCGCAGCGAGAAAGAATTTC</t>
  </si>
  <si>
    <t xml:space="preserve">AAACGAAATTCTTTCTCGCTGCGG</t>
  </si>
  <si>
    <t xml:space="preserve">PSPPH_4291</t>
  </si>
  <si>
    <t xml:space="preserve">CAACACCCAATACCGCTTCA</t>
  </si>
  <si>
    <t xml:space="preserve">TAGTCAACACCCAATACCGCTTCA</t>
  </si>
  <si>
    <t xml:space="preserve">AAACTGAAGCGGTATTGGGTGTTG</t>
  </si>
  <si>
    <t xml:space="preserve">CTGACAACCTGCCAGCACGA</t>
  </si>
  <si>
    <t xml:space="preserve">TAGTCTGACAACCTGCCAGCACGA</t>
  </si>
  <si>
    <t xml:space="preserve">AAACTCGTGCTGGCAGGTTGTCAG</t>
  </si>
  <si>
    <t xml:space="preserve">GGCCAACATCTGGTCACGGG</t>
  </si>
  <si>
    <t xml:space="preserve">TAGTGGCCAACATCTGGTCACGGG</t>
  </si>
  <si>
    <t xml:space="preserve">AAACCCCGTGACCAGATGTTGGCC</t>
  </si>
  <si>
    <t xml:space="preserve">AAAACCCGGCGGATAACCCT</t>
  </si>
  <si>
    <t xml:space="preserve">TAGTAAAACCCGGCGGATAACCCT</t>
  </si>
  <si>
    <t xml:space="preserve">AAACAGGGTTATCCGCCGGGTTTT</t>
  </si>
  <si>
    <t xml:space="preserve">PSPPH_4292</t>
  </si>
  <si>
    <t xml:space="preserve">greB2</t>
  </si>
  <si>
    <t xml:space="preserve">TGTCTTCGTTTACAAATGCG</t>
  </si>
  <si>
    <t xml:space="preserve">TAGTTGTCTTCGTTTACAAATGCG</t>
  </si>
  <si>
    <t xml:space="preserve">AAACCGCATTTGTAAACGAAGACA</t>
  </si>
  <si>
    <t xml:space="preserve">TACCGGTTGCTCGGCATCGG</t>
  </si>
  <si>
    <t xml:space="preserve">TAGTTACCGGTTGCTCGGCATCGG</t>
  </si>
  <si>
    <t xml:space="preserve">AAACCCGATGCCGAGCAACCGGTA</t>
  </si>
  <si>
    <t xml:space="preserve">GCCCTCGGCGGTGACGTAAT</t>
  </si>
  <si>
    <t xml:space="preserve">TAGTGCCCTCGGCGGTGACGTAAT</t>
  </si>
  <si>
    <t xml:space="preserve">AAACATTACGTCACCGCCGAGGGC</t>
  </si>
  <si>
    <t xml:space="preserve">CGTGCTTCTTGAGCAACTTC</t>
  </si>
  <si>
    <t xml:space="preserve">TAGTCGTGCTTCTTGAGCAACTTC</t>
  </si>
  <si>
    <t xml:space="preserve">AAACGAAGTTGCTCAAGAAGCACG</t>
  </si>
  <si>
    <t xml:space="preserve">PSPPH_4293</t>
  </si>
  <si>
    <t xml:space="preserve">CGCTTTGTCAGTTTTGGACA</t>
  </si>
  <si>
    <t xml:space="preserve">TAGTCGCTTTGTCAGTTTTGGACA</t>
  </si>
  <si>
    <t xml:space="preserve">AAACTGTCCAAAACTGACAAAGCG</t>
  </si>
  <si>
    <t xml:space="preserve">AACTTTGCTCAGCCGATGCA</t>
  </si>
  <si>
    <t xml:space="preserve">TAGTAACTTTGCTCAGCCGATGCA</t>
  </si>
  <si>
    <t xml:space="preserve">AAACTGCATCGGCTGAGCAAAGTT</t>
  </si>
  <si>
    <t xml:space="preserve">TTCAGGATTTCACGCTTCGG</t>
  </si>
  <si>
    <t xml:space="preserve">TAGTTTCAGGATTTCACGCTTCGG</t>
  </si>
  <si>
    <t xml:space="preserve">AAACCCGAAGCGTGAAATCCTGAA</t>
  </si>
  <si>
    <t xml:space="preserve">ACACGCCGATCTTGGCGCCG</t>
  </si>
  <si>
    <t xml:space="preserve">TAGTACACGCCGATCTTGGCGCCG</t>
  </si>
  <si>
    <t xml:space="preserve">AAACCGGCGCCAAGATCGGCGTGT</t>
  </si>
  <si>
    <t xml:space="preserve">PSPPH_4294</t>
  </si>
  <si>
    <t xml:space="preserve">TCACCACCTGCTCTATGACC</t>
  </si>
  <si>
    <t xml:space="preserve">TAGTTCACCACCTGCTCTATGACC</t>
  </si>
  <si>
    <t xml:space="preserve">AAACGGTCATAGAGCAGGTGGTGA</t>
  </si>
  <si>
    <t xml:space="preserve">TATAGGTTGGGGTAGTACAC</t>
  </si>
  <si>
    <t xml:space="preserve">TAGTTATAGGTTGGGGTAGTACAC</t>
  </si>
  <si>
    <t xml:space="preserve">AAACGTGTACTACCCCAACCTATA</t>
  </si>
  <si>
    <t xml:space="preserve">GGCTCTGCCCGAGTGCTCCA</t>
  </si>
  <si>
    <t xml:space="preserve">TAGTGGCTCTGCCCGAGTGCTCCA</t>
  </si>
  <si>
    <t xml:space="preserve">AAACTGGAGCACTCGGGCAGAGCC</t>
  </si>
  <si>
    <t xml:space="preserve">GTACTTCTTGGTCGTTTCGA</t>
  </si>
  <si>
    <t xml:space="preserve">TAGTGTACTTCTTGGTCGTTTCGA</t>
  </si>
  <si>
    <t xml:space="preserve">AAACTCGAAACGACCAAGAAGTAC</t>
  </si>
  <si>
    <t xml:space="preserve">PSPPH_4295</t>
  </si>
  <si>
    <t xml:space="preserve">GGTGCCTGAAGTGCTTCGAC</t>
  </si>
  <si>
    <t xml:space="preserve">TAGTGGTGCCTGAAGTGCTTCGAC</t>
  </si>
  <si>
    <t xml:space="preserve">AAACGTCGAAGCACTTCAGGCACC</t>
  </si>
  <si>
    <t xml:space="preserve">GCATCTAGAGTGCTCTCCTT</t>
  </si>
  <si>
    <t xml:space="preserve">TAGTGCATCTAGAGTGCTCTCCTT</t>
  </si>
  <si>
    <t xml:space="preserve">AAACAAGGAGAGCACTCTAGATGC</t>
  </si>
  <si>
    <t xml:space="preserve">TCCCCACATTTCGCCAGGCG</t>
  </si>
  <si>
    <t xml:space="preserve">TAGTTCCCCACATTTCGCCAGGCG</t>
  </si>
  <si>
    <t xml:space="preserve">AAACCGCCTGGCGAAATGTGGGGA</t>
  </si>
  <si>
    <t xml:space="preserve">GGTTTCCACATGGGGTCAGC</t>
  </si>
  <si>
    <t xml:space="preserve">TAGTGGTTTCCACATGGGGTCAGC</t>
  </si>
  <si>
    <t xml:space="preserve">AAACGCTGACCCCATGTGGAAACC</t>
  </si>
  <si>
    <t xml:space="preserve">PSPPH_4296</t>
  </si>
  <si>
    <t xml:space="preserve">AAATCAACAATGTTATTCGG</t>
  </si>
  <si>
    <t xml:space="preserve">TAGTAAATCAACAATGTTATTCGG</t>
  </si>
  <si>
    <t xml:space="preserve">AAACCCGAATAACATTGTTGATTT</t>
  </si>
  <si>
    <t xml:space="preserve">TCCGGATCCAGCTGGCTCTT</t>
  </si>
  <si>
    <t xml:space="preserve">TAGTTCCGGATCCAGCTGGCTCTT</t>
  </si>
  <si>
    <t xml:space="preserve">AAACAAGAGCCAGCTGGATCCGGA</t>
  </si>
  <si>
    <t xml:space="preserve">CCCATTCGATAAACGCCACG</t>
  </si>
  <si>
    <t xml:space="preserve">TAGTCCCATTCGATAAACGCCACG</t>
  </si>
  <si>
    <t xml:space="preserve">AAACCGTGGCGTTTATCGAATGGG</t>
  </si>
  <si>
    <t xml:space="preserve">ACTCGATTGGGAATGCCTTT</t>
  </si>
  <si>
    <t xml:space="preserve">TAGTACTCGATTGGGAATGCCTTT</t>
  </si>
  <si>
    <t xml:space="preserve">AAACAAAGGCATTCCCAATCGAGT</t>
  </si>
  <si>
    <t xml:space="preserve">PSPPH_4297</t>
  </si>
  <si>
    <t xml:space="preserve">ATGATGCGCTTCTCATCCTT</t>
  </si>
  <si>
    <t xml:space="preserve">TAGTATGATGCGCTTCTCATCCTT</t>
  </si>
  <si>
    <t xml:space="preserve">AAACAAGGATGAGAAGCGCATCAT</t>
  </si>
  <si>
    <t xml:space="preserve">AGCAAAGGCCAGGTCAGCTT</t>
  </si>
  <si>
    <t xml:space="preserve">TAGTAGCAAAGGCCAGGTCAGCTT</t>
  </si>
  <si>
    <t xml:space="preserve">AAACAAGCTGACCTGGCCTTTGCT</t>
  </si>
  <si>
    <t xml:space="preserve">GATACCCAGTTTTTCTTTGC</t>
  </si>
  <si>
    <t xml:space="preserve">TAGTGATACCCAGTTTTTCTTTGC</t>
  </si>
  <si>
    <t xml:space="preserve">AAACGCAAAGAAAAACTGGGTATC</t>
  </si>
  <si>
    <t xml:space="preserve">CAGGTAGATTCATCAGGGAC</t>
  </si>
  <si>
    <t xml:space="preserve">TAGTCAGGTAGATTCATCAGGGAC</t>
  </si>
  <si>
    <t xml:space="preserve">AAACGTCCCTGATGAATCTACCTG</t>
  </si>
  <si>
    <t xml:space="preserve">PSPPH_4298</t>
  </si>
  <si>
    <t xml:space="preserve">TTTGGCATCGGGTCGCATCA</t>
  </si>
  <si>
    <t xml:space="preserve">TAGTTTTGGCATCGGGTCGCATCA</t>
  </si>
  <si>
    <t xml:space="preserve">AAACTGATGCGACCCGATGCCAAA</t>
  </si>
  <si>
    <t xml:space="preserve">TTCGGAAGTCGACGGGCTTG</t>
  </si>
  <si>
    <t xml:space="preserve">TAGTTTCGGAAGTCGACGGGCTTG</t>
  </si>
  <si>
    <t xml:space="preserve">AAACCAAGCCCGTCGACTTCCGAA</t>
  </si>
  <si>
    <t xml:space="preserve">GAAAAGCACTGGATCAAAGA</t>
  </si>
  <si>
    <t xml:space="preserve">TAGTGAAAAGCACTGGATCAAAGA</t>
  </si>
  <si>
    <t xml:space="preserve">AAACTCTTTGATCCAGTGCTTTTC</t>
  </si>
  <si>
    <t xml:space="preserve">CTTCAAGCAGGCGCGTCGGT</t>
  </si>
  <si>
    <t xml:space="preserve">TAGTCTTCAAGCAGGCGCGTCGGT</t>
  </si>
  <si>
    <t xml:space="preserve">AAACACCGACGCGCCTGCTTGAAG</t>
  </si>
  <si>
    <t xml:space="preserve">PSPPH_4299</t>
  </si>
  <si>
    <t xml:space="preserve">ATCAATATTATTTTTTTCAT</t>
  </si>
  <si>
    <t xml:space="preserve">TAGTATCAATATTATTTTTTTCAT</t>
  </si>
  <si>
    <t xml:space="preserve">AAACATGAAAAAAATAATATTGAT</t>
  </si>
  <si>
    <t xml:space="preserve">GTAGCGGGTTGCTACGTCAC</t>
  </si>
  <si>
    <t xml:space="preserve">TAGTGTAGCGGGTTGCTACGTCAC</t>
  </si>
  <si>
    <t xml:space="preserve">AAACGTGACGTAGCAACCCGCTAC</t>
  </si>
  <si>
    <t xml:space="preserve">GCACTGCCGATGATAAACAA</t>
  </si>
  <si>
    <t xml:space="preserve">TAGTGCACTGCCGATGATAAACAA</t>
  </si>
  <si>
    <t xml:space="preserve">AAACTTGTTTATCATCGGCAGTGC</t>
  </si>
  <si>
    <t xml:space="preserve">GGTATCACCTTGATAATATC</t>
  </si>
  <si>
    <t xml:space="preserve">TAGTGGTATCACCTTGATAATATC</t>
  </si>
  <si>
    <t xml:space="preserve">AAACGATATTATCAAGGTGATACC</t>
  </si>
  <si>
    <t xml:space="preserve">PSPPH_4300</t>
  </si>
  <si>
    <t xml:space="preserve">ATCACCCTTGCCGATACTGC</t>
  </si>
  <si>
    <t xml:space="preserve">TAGTATCACCCTTGCCGATACTGC</t>
  </si>
  <si>
    <t xml:space="preserve">AAACGCAGTATCGGCAAGGGTGAT</t>
  </si>
  <si>
    <t xml:space="preserve">CCACCCGATCAATAAAAATC</t>
  </si>
  <si>
    <t xml:space="preserve">TAGTCCACCCGATCAATAAAAATC</t>
  </si>
  <si>
    <t xml:space="preserve">AAACGATTTTTATTGATCGGGTGG</t>
  </si>
  <si>
    <t xml:space="preserve">GGAAATGACGATGGTCATCA</t>
  </si>
  <si>
    <t xml:space="preserve">TAGTGGAAATGACGATGGTCATCA</t>
  </si>
  <si>
    <t xml:space="preserve">AAACTGATGACCATCGTCATTTCC</t>
  </si>
  <si>
    <t xml:space="preserve">ACGCTCCACCCCAAACTGTA</t>
  </si>
  <si>
    <t xml:space="preserve">TAGTACGCTCCACCCCAAACTGTA</t>
  </si>
  <si>
    <t xml:space="preserve">AAACTACAGTTTGGGGTGGAGCGT</t>
  </si>
  <si>
    <t xml:space="preserve">PSPPH_4301</t>
  </si>
  <si>
    <t xml:space="preserve">cysC1</t>
  </si>
  <si>
    <t xml:space="preserve">GTTACGGTGACGCTCGACAG</t>
  </si>
  <si>
    <t xml:space="preserve">TAGTGTTACGGTGACGCTCGACAG</t>
  </si>
  <si>
    <t xml:space="preserve">AAACCTGTCGAGCGTCACCGTAAC</t>
  </si>
  <si>
    <t xml:space="preserve">GCGTCATTGGGGCCTGGTTC</t>
  </si>
  <si>
    <t xml:space="preserve">TAGTGCGTCATTGGGGCCTGGTTC</t>
  </si>
  <si>
    <t xml:space="preserve">AAACGAACCAGGCCCCAATGACGC</t>
  </si>
  <si>
    <t xml:space="preserve">GAACGCCAGTGTACTTTTAC</t>
  </si>
  <si>
    <t xml:space="preserve">TAGTGAACGCCAGTGTACTTTTAC</t>
  </si>
  <si>
    <t xml:space="preserve">AAACGTAAAAGTACACTGGCGTTC</t>
  </si>
  <si>
    <t xml:space="preserve">TATATTCTCAGCCCGGCTCT</t>
  </si>
  <si>
    <t xml:space="preserve">TAGTTATATTCTCAGCCCGGCTCT</t>
  </si>
  <si>
    <t xml:space="preserve">AAACAGAGCCGGGCTGAGAATATA</t>
  </si>
  <si>
    <t xml:space="preserve">PSPPH_4302</t>
  </si>
  <si>
    <t xml:space="preserve">ATTATAACCAATCTGCCTGG</t>
  </si>
  <si>
    <t xml:space="preserve">TAGTATTATAACCAATCTGCCTGG</t>
  </si>
  <si>
    <t xml:space="preserve">AAACCCAGGCAGATTGGTTATAAT</t>
  </si>
  <si>
    <t xml:space="preserve">CCTCAAACGCCACAAGATCG</t>
  </si>
  <si>
    <t xml:space="preserve">TAGTCCTCAAACGCCACAAGATCG</t>
  </si>
  <si>
    <t xml:space="preserve">AAACCGATCTTGTGGCGTTTGAGG</t>
  </si>
  <si>
    <t xml:space="preserve">GGCGTAAACATGACGCTCAA</t>
  </si>
  <si>
    <t xml:space="preserve">TAGTGGCGTAAACATGACGCTCAA</t>
  </si>
  <si>
    <t xml:space="preserve">AAACTTGAGCGTCATGTTTACGCC</t>
  </si>
  <si>
    <t xml:space="preserve">GACTCGACAATATCCTCCAG</t>
  </si>
  <si>
    <t xml:space="preserve">TAGTGACTCGACAATATCCTCCAG</t>
  </si>
  <si>
    <t xml:space="preserve">AAACCTGGAGGATATTGTCGAGTC</t>
  </si>
  <si>
    <t xml:space="preserve">PSPPH_4303</t>
  </si>
  <si>
    <t xml:space="preserve">AGTGTAGGAACACACGGGCG</t>
  </si>
  <si>
    <t xml:space="preserve">TAGTAGTGTAGGAACACACGGGCG</t>
  </si>
  <si>
    <t xml:space="preserve">AAACCGCCCGTGTGTTCCTACACT</t>
  </si>
  <si>
    <t xml:space="preserve">CCATGGCGGCGTGCCAAGGT</t>
  </si>
  <si>
    <t xml:space="preserve">TAGTCCATGGCGGCGTGCCAAGGT</t>
  </si>
  <si>
    <t xml:space="preserve">AAACACCTTGGCACGCCGCCATGG</t>
  </si>
  <si>
    <t xml:space="preserve">TGCTGCTGAGTCGGCAGGCA</t>
  </si>
  <si>
    <t xml:space="preserve">TAGTTGCTGCTGAGTCGGCAGGCA</t>
  </si>
  <si>
    <t xml:space="preserve">AAACTGCCTGCCGACTCAGCAGCA</t>
  </si>
  <si>
    <t xml:space="preserve">TTCCTGAGGAAAAGGTTTGC</t>
  </si>
  <si>
    <t xml:space="preserve">TAGTTTCCTGAGGAAAAGGTTTGC</t>
  </si>
  <si>
    <t xml:space="preserve">AAACGCAAACCTTTTCCTCAGGAA</t>
  </si>
  <si>
    <t xml:space="preserve">PSPPH_4304</t>
  </si>
  <si>
    <t xml:space="preserve">GGCCTCGGCAGCGCCGGGAA</t>
  </si>
  <si>
    <t xml:space="preserve">TAGTGGCCTCGGCAGCGCCGGGAA</t>
  </si>
  <si>
    <t xml:space="preserve">AAACTTCCCGGCGCTGCCGAGGCC</t>
  </si>
  <si>
    <t xml:space="preserve">GGCCATCCGTGCCGCCTCGA</t>
  </si>
  <si>
    <t xml:space="preserve">TAGTGGCCATCCGTGCCGCCTCGA</t>
  </si>
  <si>
    <t xml:space="preserve">AAACTCGAGGCGGCACGGATGGCC</t>
  </si>
  <si>
    <t xml:space="preserve">CAAAAAACGAAGTTGAAGTC</t>
  </si>
  <si>
    <t xml:space="preserve">TAGTCAAAAAACGAAGTTGAAGTC</t>
  </si>
  <si>
    <t xml:space="preserve">AAACGACTTCAACTTCGTTTTTTG</t>
  </si>
  <si>
    <t xml:space="preserve">AGGTAGCTGGCCTGTGATGT</t>
  </si>
  <si>
    <t xml:space="preserve">TAGTAGGTAGCTGGCCTGTGATGT</t>
  </si>
  <si>
    <t xml:space="preserve">AAACACATCACAGGCCAGCTACCT</t>
  </si>
  <si>
    <t xml:space="preserve">PSPPH_4305</t>
  </si>
  <si>
    <t xml:space="preserve">GCTGGTAGAGATCTCGCGAA</t>
  </si>
  <si>
    <t xml:space="preserve">TAGTGCTGGTAGAGATCTCGCGAA</t>
  </si>
  <si>
    <t xml:space="preserve">AAACTTCGCGAGATCTCTACCAGC</t>
  </si>
  <si>
    <t xml:space="preserve">GATTCGCTTGGATGCCCATG</t>
  </si>
  <si>
    <t xml:space="preserve">TAGTGATTCGCTTGGATGCCCATG</t>
  </si>
  <si>
    <t xml:space="preserve">AAACCATGGGCATCCAAGCGAATC</t>
  </si>
  <si>
    <t xml:space="preserve">GTCTGGCAATTGGGGAACAG</t>
  </si>
  <si>
    <t xml:space="preserve">TAGTGTCTGGCAATTGGGGAACAG</t>
  </si>
  <si>
    <t xml:space="preserve">AAACCTGTTCCCCAATTGCCAGAC</t>
  </si>
  <si>
    <t xml:space="preserve">CAGATGCTGAACAACGAAGG</t>
  </si>
  <si>
    <t xml:space="preserve">TAGTCAGATGCTGAACAACGAAGG</t>
  </si>
  <si>
    <t xml:space="preserve">AAACCCTTCGTTGTTCAGCATCTG</t>
  </si>
  <si>
    <t xml:space="preserve">PSPPH_4306</t>
  </si>
  <si>
    <t xml:space="preserve">ACCTGCAAAGCTGATCTGAA</t>
  </si>
  <si>
    <t xml:space="preserve">TAGTACCTGCAAAGCTGATCTGAA</t>
  </si>
  <si>
    <t xml:space="preserve">AAACTTCAGATCAGCTTTGCAGGT</t>
  </si>
  <si>
    <t xml:space="preserve">CATATAACTTCCTTGAATTA</t>
  </si>
  <si>
    <t xml:space="preserve">TAGTCATATAACTTCCTTGAATTA</t>
  </si>
  <si>
    <t xml:space="preserve">AAACTAATTCAAGGAAGTTATATG</t>
  </si>
  <si>
    <t xml:space="preserve">CTTCGACCTGAAGCGATAAC</t>
  </si>
  <si>
    <t xml:space="preserve">TAGTCTTCGACCTGAAGCGATAAC</t>
  </si>
  <si>
    <t xml:space="preserve">AAACGTTATCGCTTCAGGTCGAAG</t>
  </si>
  <si>
    <t xml:space="preserve">CGGGACCAGCCCTGCCGGAT</t>
  </si>
  <si>
    <t xml:space="preserve">TAGTCGGGACCAGCCCTGCCGGAT</t>
  </si>
  <si>
    <t xml:space="preserve">AAACATCCGGCAGGGCTGGTCCCG</t>
  </si>
  <si>
    <t xml:space="preserve">PSPPH_4307</t>
  </si>
  <si>
    <t xml:space="preserve">GTCAGATATTTTCCAGACAC</t>
  </si>
  <si>
    <t xml:space="preserve">TAGTGTCAGATATTTTCCAGACAC</t>
  </si>
  <si>
    <t xml:space="preserve">AAACGTGTCTGGAAAATATCTGAC</t>
  </si>
  <si>
    <t xml:space="preserve">ACGCTGCGCAAGCGTTTTCA</t>
  </si>
  <si>
    <t xml:space="preserve">TAGTACGCTGCGCAAGCGTTTTCA</t>
  </si>
  <si>
    <t xml:space="preserve">AAACTGAAAACGCTTGCGCAGCGT</t>
  </si>
  <si>
    <t xml:space="preserve">CTTGCAGCCCCACTAATGTC</t>
  </si>
  <si>
    <t xml:space="preserve">TAGTCTTGCAGCCCCACTAATGTC</t>
  </si>
  <si>
    <t xml:space="preserve">AAACGACATTAGTGGGGCTGCAAG</t>
  </si>
  <si>
    <t xml:space="preserve">ACTGTTCGAGATGTTTGTCG</t>
  </si>
  <si>
    <t xml:space="preserve">TAGTACTGTTCGAGATGTTTGTCG</t>
  </si>
  <si>
    <t xml:space="preserve">AAACCGACAAACATCTCGAACAGT</t>
  </si>
  <si>
    <t xml:space="preserve">PSPPH_4308</t>
  </si>
  <si>
    <t xml:space="preserve">dcd2</t>
  </si>
  <si>
    <t xml:space="preserve">ATCCCCTGCAATAACGCGAT</t>
  </si>
  <si>
    <t xml:space="preserve">TAGTATCCCCTGCAATAACGCGAT</t>
  </si>
  <si>
    <t xml:space="preserve">AAACATCGCGTTATTGCAGGGGAT</t>
  </si>
  <si>
    <t xml:space="preserve">TTGATGCTATTCTTTGAGAA</t>
  </si>
  <si>
    <t xml:space="preserve">TAGTTTGATGCTATTCTTTGAGAA</t>
  </si>
  <si>
    <t xml:space="preserve">AAACTTCTCAAAGAATAGCATCAA</t>
  </si>
  <si>
    <t xml:space="preserve">AGGCGAAAATTATAGCTATT</t>
  </si>
  <si>
    <t xml:space="preserve">TAGTAGGCGAAAATTATAGCTATT</t>
  </si>
  <si>
    <t xml:space="preserve">AAACAATAGCTATAATTTTCGCCT</t>
  </si>
  <si>
    <t xml:space="preserve">AGACTTTCATATGATTATGC</t>
  </si>
  <si>
    <t xml:space="preserve">TAGTAGACTTTCATATGATTATGC</t>
  </si>
  <si>
    <t xml:space="preserve">AAACGCATAATCATATGAAAGTCT</t>
  </si>
  <si>
    <t xml:space="preserve">PSPPH_4309</t>
  </si>
  <si>
    <t xml:space="preserve">TCTATCAAACGGGGATCGAA</t>
  </si>
  <si>
    <t xml:space="preserve">TAGTTCTATCAAACGGGGATCGAA</t>
  </si>
  <si>
    <t xml:space="preserve">AAACTTCGATCCCCGTTTGATAGA</t>
  </si>
  <si>
    <t xml:space="preserve">AATCTCGCTCCCCAAATGGC</t>
  </si>
  <si>
    <t xml:space="preserve">TAGTAATCTCGCTCCCCAAATGGC</t>
  </si>
  <si>
    <t xml:space="preserve">AAACGCCATTTGGGGAGCGAGATT</t>
  </si>
  <si>
    <t xml:space="preserve">CTCATGAGGATCGATCTGTT</t>
  </si>
  <si>
    <t xml:space="preserve">TAGTCTCATGAGGATCGATCTGTT</t>
  </si>
  <si>
    <t xml:space="preserve">AAACAACAGATCGATCCTCATGAG</t>
  </si>
  <si>
    <t xml:space="preserve">TAGTGTGCTGAATAGTTCCC</t>
  </si>
  <si>
    <t xml:space="preserve">TAGTTAGTGTGCTGAATAGTTCCC</t>
  </si>
  <si>
    <t xml:space="preserve">AAACGGGAACTATTCAGCACACTA</t>
  </si>
  <si>
    <t xml:space="preserve">PSPPH_4310</t>
  </si>
  <si>
    <t xml:space="preserve">TTTTCTTTCGCAAACTACCG</t>
  </si>
  <si>
    <t xml:space="preserve">TAGTTTTTCTTTCGCAAACTACCG</t>
  </si>
  <si>
    <t xml:space="preserve">AAACCGGTAGTTTGCGAAAGAAAA</t>
  </si>
  <si>
    <t xml:space="preserve">ATCAAGTCGTGGACTACGTG</t>
  </si>
  <si>
    <t xml:space="preserve">TAGTATCAAGTCGTGGACTACGTG</t>
  </si>
  <si>
    <t xml:space="preserve">AAACCACGTAGTCCACGACTTGAT</t>
  </si>
  <si>
    <t xml:space="preserve">ATCTGTATGAAACATTTACC</t>
  </si>
  <si>
    <t xml:space="preserve">TAGTATCTGTATGAAACATTTACC</t>
  </si>
  <si>
    <t xml:space="preserve">AAACGGTAAATGTTTCATACAGAT</t>
  </si>
  <si>
    <t xml:space="preserve">GGCCCACTTAGCGAAAAAAA</t>
  </si>
  <si>
    <t xml:space="preserve">TAGTGGCCCACTTAGCGAAAAAAA</t>
  </si>
  <si>
    <t xml:space="preserve">AAACTTTTTTTCGCTAAGTGGGCC</t>
  </si>
  <si>
    <t xml:space="preserve">PSPPH_4311</t>
  </si>
  <si>
    <t xml:space="preserve">AGTCAGTATCAATTGCAAAG</t>
  </si>
  <si>
    <t xml:space="preserve">TAGTAGTCAGTATCAATTGCAAAG</t>
  </si>
  <si>
    <t xml:space="preserve">AAACCTTTGCAATTGATACTGACT</t>
  </si>
  <si>
    <t xml:space="preserve">TGGAATGCCGAGGGTGCCGT</t>
  </si>
  <si>
    <t xml:space="preserve">TAGTTGGAATGCCGAGGGTGCCGT</t>
  </si>
  <si>
    <t xml:space="preserve">AAACACGGCACCCTCGGCATTCCA</t>
  </si>
  <si>
    <t xml:space="preserve">TGGAGTAACGAACGAACCAA</t>
  </si>
  <si>
    <t xml:space="preserve">TAGTTGGAGTAACGAACGAACCAA</t>
  </si>
  <si>
    <t xml:space="preserve">AAACTTGGTTCGTTCGTTACTCCA</t>
  </si>
  <si>
    <t xml:space="preserve">GTTGAAGCTGCAGGCTCTGC</t>
  </si>
  <si>
    <t xml:space="preserve">TAGTGTTGAAGCTGCAGGCTCTGC</t>
  </si>
  <si>
    <t xml:space="preserve">AAACGCAGAGCCTGCAGCTTCAAC</t>
  </si>
  <si>
    <t xml:space="preserve">PSPPH_4312</t>
  </si>
  <si>
    <t xml:space="preserve">ATAACGCTGAAACTCACAAA</t>
  </si>
  <si>
    <t xml:space="preserve">TAGTATAACGCTGAAACTCACAAA</t>
  </si>
  <si>
    <t xml:space="preserve">AAACTTTGTGAGTTTCAGCGTTAT</t>
  </si>
  <si>
    <t xml:space="preserve">AGTACGTCCTTCATGAATTC</t>
  </si>
  <si>
    <t xml:space="preserve">TAGTAGTACGTCCTTCATGAATTC</t>
  </si>
  <si>
    <t xml:space="preserve">AAACGAATTCATGAAGGACGTACT</t>
  </si>
  <si>
    <t xml:space="preserve">GGTGCTGATGATTTCGTTTC</t>
  </si>
  <si>
    <t xml:space="preserve">TAGTGGTGCTGATGATTTCGTTTC</t>
  </si>
  <si>
    <t xml:space="preserve">AAACGAAACGAAATCATCAGCACC</t>
  </si>
  <si>
    <t xml:space="preserve">TCCGTTTAGCAATACACGCC</t>
  </si>
  <si>
    <t xml:space="preserve">TAGTTCCGTTTAGCAATACACGCC</t>
  </si>
  <si>
    <t xml:space="preserve">AAACGGCGTGTATTGCTAAACGGA</t>
  </si>
  <si>
    <t xml:space="preserve">PSPPH_4313</t>
  </si>
  <si>
    <t xml:space="preserve">argD</t>
  </si>
  <si>
    <t xml:space="preserve">GCTCGGATTGCTTCGGCACC</t>
  </si>
  <si>
    <t xml:space="preserve">TAGTGCTCGGATTGCTTCGGCACC</t>
  </si>
  <si>
    <t xml:space="preserve">AAACGGTGCCGAAGCAATCCGAGC</t>
  </si>
  <si>
    <t xml:space="preserve">AGCACCATAGCGATCAACGA</t>
  </si>
  <si>
    <t xml:space="preserve">TAGTAGCACCATAGCGATCAACGA</t>
  </si>
  <si>
    <t xml:space="preserve">AAACTCGTTGATCGCTATGGTGCT</t>
  </si>
  <si>
    <t xml:space="preserve">ACCCCGACATCTTCAACATC</t>
  </si>
  <si>
    <t xml:space="preserve">TAGTACCCCGACATCTTCAACATC</t>
  </si>
  <si>
    <t xml:space="preserve">AAACGATGTTGAAGATGTCGGGGT</t>
  </si>
  <si>
    <t xml:space="preserve">GTCGCCACGCGCTTCGGATG</t>
  </si>
  <si>
    <t xml:space="preserve">TAGTGTCGCCACGCGCTTCGGATG</t>
  </si>
  <si>
    <t xml:space="preserve">AAACCATCCGAAGCGCGTGGCGAC</t>
  </si>
  <si>
    <t xml:space="preserve">PSPPH_4314</t>
  </si>
  <si>
    <t xml:space="preserve">CAGCCGAGGAAACCAACGCA</t>
  </si>
  <si>
    <t xml:space="preserve">TAGTCAGCCGAGGAAACCAACGCA</t>
  </si>
  <si>
    <t xml:space="preserve">AAACTGCGTTGGTTTCCTCGGCTG</t>
  </si>
  <si>
    <t xml:space="preserve">GCCCTCCACCCCCACGCCTC</t>
  </si>
  <si>
    <t xml:space="preserve">TAGTGCCCTCCACCCCCACGCCTC</t>
  </si>
  <si>
    <t xml:space="preserve">AAACGAGGCGTGGGGGTGGAGGGC</t>
  </si>
  <si>
    <t xml:space="preserve">TGCCGCGCTGACGATGGCGC</t>
  </si>
  <si>
    <t xml:space="preserve">TAGTTGCCGCGCTGACGATGGCGC</t>
  </si>
  <si>
    <t xml:space="preserve">AAACGCGCCATCGTCAGCGCGGCA</t>
  </si>
  <si>
    <t xml:space="preserve">TTCGAGGTAGGCATACAGTT</t>
  </si>
  <si>
    <t xml:space="preserve">TAGTTTCGAGGTAGGCATACAGTT</t>
  </si>
  <si>
    <t xml:space="preserve">AAACAACTGTATGCCTACCTCGAA</t>
  </si>
  <si>
    <t xml:space="preserve">PSPPH_4315</t>
  </si>
  <si>
    <t xml:space="preserve">TTTAACGAAATCTTGCACAG</t>
  </si>
  <si>
    <t xml:space="preserve">TAGTTTTAACGAAATCTTGCACAG</t>
  </si>
  <si>
    <t xml:space="preserve">AAACCTGTGCAAGATTTCGTTAAA</t>
  </si>
  <si>
    <t xml:space="preserve">GACGGGAAGCAACTTCATTG</t>
  </si>
  <si>
    <t xml:space="preserve">TAGTGACGGGAAGCAACTTCATTG</t>
  </si>
  <si>
    <t xml:space="preserve">AAACCAATGAAGTTGCTTCCCGTC</t>
  </si>
  <si>
    <t xml:space="preserve">CTGGTGAGTAGAAGTGTTCC</t>
  </si>
  <si>
    <t xml:space="preserve">TAGTCTGGTGAGTAGAAGTGTTCC</t>
  </si>
  <si>
    <t xml:space="preserve">AAACGGAACACTTCTACTCACCAG</t>
  </si>
  <si>
    <t xml:space="preserve">TGGCCATGGTGGCAATACCA</t>
  </si>
  <si>
    <t xml:space="preserve">TAGTTGGCCATGGTGGCAATACCA</t>
  </si>
  <si>
    <t xml:space="preserve">AAACTGGTATTGCCACCATGGCCA</t>
  </si>
  <si>
    <t xml:space="preserve">PSPPH_4316</t>
  </si>
  <si>
    <t xml:space="preserve">CTTCGGGCTCTCCAACTCGC</t>
  </si>
  <si>
    <t xml:space="preserve">TAGTCTTCGGGCTCTCCAACTCGC</t>
  </si>
  <si>
    <t xml:space="preserve">AAACGCGAGTTGGAGAGCCCGAAG</t>
  </si>
  <si>
    <t xml:space="preserve">AAATCAATAGGGGCATCCAC</t>
  </si>
  <si>
    <t xml:space="preserve">TAGTAAATCAATAGGGGCATCCAC</t>
  </si>
  <si>
    <t xml:space="preserve">AAACGTGGATGCCCCTATTGATTT</t>
  </si>
  <si>
    <t xml:space="preserve">CGCAAATCGACAAGTGTCAT</t>
  </si>
  <si>
    <t xml:space="preserve">TAGTCGCAAATCGACAAGTGTCAT</t>
  </si>
  <si>
    <t xml:space="preserve">AAACATGACACTTGTCGATTTGCG</t>
  </si>
  <si>
    <t xml:space="preserve">GCCAAGTTATTCAGGCCGTA</t>
  </si>
  <si>
    <t xml:space="preserve">TAGTGCCAAGTTATTCAGGCCGTA</t>
  </si>
  <si>
    <t xml:space="preserve">AAACTACGGCCTGAATAACTTGGC</t>
  </si>
  <si>
    <t xml:space="preserve">PSPPH_4317</t>
  </si>
  <si>
    <t xml:space="preserve">AGTTTTCGGTTGCATACTCG</t>
  </si>
  <si>
    <t xml:space="preserve">TAGTAGTTTTCGGTTGCATACTCG</t>
  </si>
  <si>
    <t xml:space="preserve">AAACCGAGTATGCAACCGAAAACT</t>
  </si>
  <si>
    <t xml:space="preserve">ATATAAAAAGGATTCTTCTT</t>
  </si>
  <si>
    <t xml:space="preserve">TAGTATATAAAAAGGATTCTTCTT</t>
  </si>
  <si>
    <t xml:space="preserve">AAACAAGAAGAATCCTTTTTATAT</t>
  </si>
  <si>
    <t xml:space="preserve">CGCCCCGTTAGAACAAGGGG</t>
  </si>
  <si>
    <t xml:space="preserve">TAGTCGCCCCGTTAGAACAAGGGG</t>
  </si>
  <si>
    <t xml:space="preserve">AAACCCCCTTGTTCTAACGGGGCG</t>
  </si>
  <si>
    <t xml:space="preserve">CGCTATTCGCCTCGACAAGC</t>
  </si>
  <si>
    <t xml:space="preserve">TAGTCGCTATTCGCCTCGACAAGC</t>
  </si>
  <si>
    <t xml:space="preserve">AAACGCTTGTCGAGGCGAATAGCG</t>
  </si>
  <si>
    <t xml:space="preserve">PSPPH_4318</t>
  </si>
  <si>
    <t xml:space="preserve">GGCTTTCAAAAGTAAAAGCC</t>
  </si>
  <si>
    <t xml:space="preserve">TAGTGGCTTTCAAAAGTAAAAGCC</t>
  </si>
  <si>
    <t xml:space="preserve">AAACGGCTTTTACTTTTGAAAGCC</t>
  </si>
  <si>
    <t xml:space="preserve">GGCACGAAGTTTTTTTTCAT</t>
  </si>
  <si>
    <t xml:space="preserve">TAGTGGCACGAAGTTTTTTTTCAT</t>
  </si>
  <si>
    <t xml:space="preserve">AAACATGAAAAAAAACTTCGTGCC</t>
  </si>
  <si>
    <t xml:space="preserve">CGGAAACAGGGAAAGTATTG</t>
  </si>
  <si>
    <t xml:space="preserve">TAGTCGGAAACAGGGAAAGTATTG</t>
  </si>
  <si>
    <t xml:space="preserve">AAACCAATACTTTCCCTGTTTCCG</t>
  </si>
  <si>
    <t xml:space="preserve">GCAATGGCGACAGCCTCTTC</t>
  </si>
  <si>
    <t xml:space="preserve">TAGTGCAATGGCGACAGCCTCTTC</t>
  </si>
  <si>
    <t xml:space="preserve">AAACGAAGAGGCTGTCGCCATTGC</t>
  </si>
  <si>
    <t xml:space="preserve">PSPPH_4319</t>
  </si>
  <si>
    <t xml:space="preserve">argK</t>
  </si>
  <si>
    <t xml:space="preserve">TCAGCAAATTGCGGTTTTTC</t>
  </si>
  <si>
    <t xml:space="preserve">TAGTTCAGCAAATTGCGGTTTTTC</t>
  </si>
  <si>
    <t xml:space="preserve">AAACGAAAAACCGCAATTTGCTGA</t>
  </si>
  <si>
    <t xml:space="preserve">TATGGCGCGATCAATGAGGT</t>
  </si>
  <si>
    <t xml:space="preserve">TAGTTATGGCGCGATCAATGAGGT</t>
  </si>
  <si>
    <t xml:space="preserve">AAACACCTCATTGATCGCGCCATA</t>
  </si>
  <si>
    <t xml:space="preserve">TATTCAAATGATTTAAGCCG</t>
  </si>
  <si>
    <t xml:space="preserve">TAGTTATTCAAATGATTTAAGCCG</t>
  </si>
  <si>
    <t xml:space="preserve">AAACCGGCTTAAATCATTTGAATA</t>
  </si>
  <si>
    <t xml:space="preserve">TGGTACGACCTGAAGGCTTT</t>
  </si>
  <si>
    <t xml:space="preserve">TAGTTGGTACGACCTGAAGGCTTT</t>
  </si>
  <si>
    <t xml:space="preserve">AAACAAAGCCTTCAGGTCGTACCA</t>
  </si>
  <si>
    <t xml:space="preserve">PSPPH_4320</t>
  </si>
  <si>
    <t xml:space="preserve">TGAGTTCGATCGTTTCTTCA</t>
  </si>
  <si>
    <t xml:space="preserve">TAGTTGAGTTCGATCGTTTCTTCA</t>
  </si>
  <si>
    <t xml:space="preserve">AAACTGAAGAAACGATCGAACTCA</t>
  </si>
  <si>
    <t xml:space="preserve">ACCCTCTCGCTGAGGGATGG</t>
  </si>
  <si>
    <t xml:space="preserve">TAGTACCCTCTCGCTGAGGGATGG</t>
  </si>
  <si>
    <t xml:space="preserve">AAACCCATCCCTCAGCGAGAGGGT</t>
  </si>
  <si>
    <t xml:space="preserve">GTTGTCTCGGGTTTCGCCTT</t>
  </si>
  <si>
    <t xml:space="preserve">TAGTGTTGTCTCGGGTTTCGCCTT</t>
  </si>
  <si>
    <t xml:space="preserve">AAACAAGGCGAAACCCGAGACAAC</t>
  </si>
  <si>
    <t xml:space="preserve">CCAGAGAGTGATCGTTGGGC</t>
  </si>
  <si>
    <t xml:space="preserve">TAGTCCAGAGAGTGATCGTTGGGC</t>
  </si>
  <si>
    <t xml:space="preserve">AAACGCCCAACGATCACTCTCTGG</t>
  </si>
  <si>
    <t xml:space="preserve">PSPPH_4321</t>
  </si>
  <si>
    <t xml:space="preserve">GCGTGTCCGCTCATAGGCAG</t>
  </si>
  <si>
    <t xml:space="preserve">TAGTGCGTGTCCGCTCATAGGCAG</t>
  </si>
  <si>
    <t xml:space="preserve">AAACCTGCCTATGAGCGGACACGC</t>
  </si>
  <si>
    <t xml:space="preserve">GTCGGGCAAGGTTTTATCTC</t>
  </si>
  <si>
    <t xml:space="preserve">TAGTGTCGGGCAAGGTTTTATCTC</t>
  </si>
  <si>
    <t xml:space="preserve">AAACGAGATAAAACCTTGCCCGAC</t>
  </si>
  <si>
    <t xml:space="preserve">GCCTAGCTTGCTCGCGGACG</t>
  </si>
  <si>
    <t xml:space="preserve">TAGTGCCTAGCTTGCTCGCGGACG</t>
  </si>
  <si>
    <t xml:space="preserve">AAACCGTCCGCGAGCAAGCTAGGC</t>
  </si>
  <si>
    <t xml:space="preserve">AGTCTTACAGCTTCTGCCGT</t>
  </si>
  <si>
    <t xml:space="preserve">TAGTAGTCTTACAGCTTCTGCCGT</t>
  </si>
  <si>
    <t xml:space="preserve">AAACACGGCAGAAGCTGTAAGACT</t>
  </si>
  <si>
    <t xml:space="preserve">PSPPH_4322</t>
  </si>
  <si>
    <t xml:space="preserve">TTCGCGGCGTTTCTAAATTC</t>
  </si>
  <si>
    <t xml:space="preserve">TAGTTTCGCGGCGTTTCTAAATTC</t>
  </si>
  <si>
    <t xml:space="preserve">AAACGAATTTAGAAACGCCGCGAA</t>
  </si>
  <si>
    <t xml:space="preserve">AATCTCGGGGGCGTCCAACA</t>
  </si>
  <si>
    <t xml:space="preserve">TAGTAATCTCGGGGGCGTCCAACA</t>
  </si>
  <si>
    <t xml:space="preserve">AAACTGTTGGACGCCCCCGAGATT</t>
  </si>
  <si>
    <t xml:space="preserve">GGTCAATGGATCGCCGTACG</t>
  </si>
  <si>
    <t xml:space="preserve">TAGTGGTCAATGGATCGCCGTACG</t>
  </si>
  <si>
    <t xml:space="preserve">AAACCGTACGGCGATCCATTGACC</t>
  </si>
  <si>
    <t xml:space="preserve">ATCGTATGAAGCCCAAATAC</t>
  </si>
  <si>
    <t xml:space="preserve">TAGTATCGTATGAAGCCCAAATAC</t>
  </si>
  <si>
    <t xml:space="preserve">AAACGTATTTGGGCTTCATACGAT</t>
  </si>
  <si>
    <t xml:space="preserve">PSPPH_4323</t>
  </si>
  <si>
    <t xml:space="preserve">TGAAGACAGTCCGTTCTGCA</t>
  </si>
  <si>
    <t xml:space="preserve">TAGTTGAAGACAGTCCGTTCTGCA</t>
  </si>
  <si>
    <t xml:space="preserve">AAACTGCAGAACGGACTGTCTTCA</t>
  </si>
  <si>
    <t xml:space="preserve">ATCCAACTCACAGTGTGTCC</t>
  </si>
  <si>
    <t xml:space="preserve">TAGTATCCAACTCACAGTGTGTCC</t>
  </si>
  <si>
    <t xml:space="preserve">AAACGGACACACTGTGAGTTGGAT</t>
  </si>
  <si>
    <t xml:space="preserve">ACACATCCCAGTCTGAGTGG</t>
  </si>
  <si>
    <t xml:space="preserve">TAGTACACATCCCAGTCTGAGTGG</t>
  </si>
  <si>
    <t xml:space="preserve">AAACCCACTCAGACTGGGATGTGT</t>
  </si>
  <si>
    <t xml:space="preserve">ACTGATTTCCACATTCGAGG</t>
  </si>
  <si>
    <t xml:space="preserve">TAGTACTGATTTCCACATTCGAGG</t>
  </si>
  <si>
    <t xml:space="preserve">AAACCCTCGAATGTGGAAATCAGT</t>
  </si>
  <si>
    <t xml:space="preserve">PSPPH_4324</t>
  </si>
  <si>
    <t xml:space="preserve">GGCAGGCTTTCCTCTGCGTT</t>
  </si>
  <si>
    <t xml:space="preserve">TAGTGGCAGGCTTTCCTCTGCGTT</t>
  </si>
  <si>
    <t xml:space="preserve">AAACAACGCAGAGGAAAGCCTGCC</t>
  </si>
  <si>
    <t xml:space="preserve">CCAGTGCATCCTGAGAAATC</t>
  </si>
  <si>
    <t xml:space="preserve">TAGTCCAGTGCATCCTGAGAAATC</t>
  </si>
  <si>
    <t xml:space="preserve">AAACGATTTCTCAGGATGCACTGG</t>
  </si>
  <si>
    <t xml:space="preserve">CGATCCGGCCCATATAGCTG</t>
  </si>
  <si>
    <t xml:space="preserve">TAGTCGATCCGGCCCATATAGCTG</t>
  </si>
  <si>
    <t xml:space="preserve">AAACCAGCTATATGGGCCGGATCG</t>
  </si>
  <si>
    <t xml:space="preserve">GATGCGATAAAGTTTCTCGA</t>
  </si>
  <si>
    <t xml:space="preserve">TAGTGATGCGATAAAGTTTCTCGA</t>
  </si>
  <si>
    <t xml:space="preserve">AAACTCGAGAAACTTTATCGCATC</t>
  </si>
  <si>
    <t xml:space="preserve">PSPPH_4326</t>
  </si>
  <si>
    <t xml:space="preserve">hopAE1</t>
  </si>
  <si>
    <t xml:space="preserve">CGTGATCTGAGAGGGCATCA</t>
  </si>
  <si>
    <t xml:space="preserve">TAGTCGTGATCTGAGAGGGCATCA</t>
  </si>
  <si>
    <t xml:space="preserve">AAACTGATGCCCTCTCAGATCACG</t>
  </si>
  <si>
    <t xml:space="preserve">CTCCGGCAATGAGGAATGAG</t>
  </si>
  <si>
    <t xml:space="preserve">TAGTCTCCGGCAATGAGGAATGAG</t>
  </si>
  <si>
    <t xml:space="preserve">AAACCTCATTCCTCATTGCCGGAG</t>
  </si>
  <si>
    <t xml:space="preserve">CCGGTTGCATCGCCGGACGC</t>
  </si>
  <si>
    <t xml:space="preserve">TAGTCCGGTTGCATCGCCGGACGC</t>
  </si>
  <si>
    <t xml:space="preserve">AAACGCGTCCGGCGATGCAACCGG</t>
  </si>
  <si>
    <t xml:space="preserve">GCTACGGTACGAGCCTGCTG</t>
  </si>
  <si>
    <t xml:space="preserve">TAGTGCTACGGTACGAGCCTGCTG</t>
  </si>
  <si>
    <t xml:space="preserve">AAACCAGCAGGCTCGTACCGTAGC</t>
  </si>
  <si>
    <t xml:space="preserve">PSPPH_4327</t>
  </si>
  <si>
    <t xml:space="preserve">glyA1</t>
  </si>
  <si>
    <t xml:space="preserve">AGTCAAATCACGGCTGAACA</t>
  </si>
  <si>
    <t xml:space="preserve">TAGTAGTCAAATCACGGCTGAACA</t>
  </si>
  <si>
    <t xml:space="preserve">AAACTGTTCAGCCGTGATTTGACT</t>
  </si>
  <si>
    <t xml:space="preserve">AAACAGATCGGCGTCGTACT</t>
  </si>
  <si>
    <t xml:space="preserve">TAGTAAACAGATCGGCGTCGTACT</t>
  </si>
  <si>
    <t xml:space="preserve">AAACAGTACGACGCCGATCTGTTT</t>
  </si>
  <si>
    <t xml:space="preserve">CAGAGCTTCTTGCTCCATGG</t>
  </si>
  <si>
    <t xml:space="preserve">TAGTCAGAGCTTCTTGCTCCATGG</t>
  </si>
  <si>
    <t xml:space="preserve">AAACCCATGGAGCAAGAAGCTCTG</t>
  </si>
  <si>
    <t xml:space="preserve">CGGACTGGTGTAGTTTTCCG</t>
  </si>
  <si>
    <t xml:space="preserve">TAGTCGGACTGGTGTAGTTTTCCG</t>
  </si>
  <si>
    <t xml:space="preserve">AAACCGGAAAACTACACCAGTCCG</t>
  </si>
  <si>
    <t xml:space="preserve">PSPPH_4328</t>
  </si>
  <si>
    <t xml:space="preserve">GTCAGCACGGTCACGGGGAT</t>
  </si>
  <si>
    <t xml:space="preserve">TAGTGTCAGCACGGTCACGGGGAT</t>
  </si>
  <si>
    <t xml:space="preserve">AAACATCCCCGTGACCGTGCTGAC</t>
  </si>
  <si>
    <t xml:space="preserve">GAGCAGGTGGCGCAGCAAAG</t>
  </si>
  <si>
    <t xml:space="preserve">TAGTGAGCAGGTGGCGCAGCAAAG</t>
  </si>
  <si>
    <t xml:space="preserve">AAACCTTTGCTGCGCCACCTGCTC</t>
  </si>
  <si>
    <t xml:space="preserve">GGCGATTTTCAGGCCGTGCT</t>
  </si>
  <si>
    <t xml:space="preserve">TAGTGGCGATTTTCAGGCCGTGCT</t>
  </si>
  <si>
    <t xml:space="preserve">AAACAGCACGGCCTGAAAATCGCC</t>
  </si>
  <si>
    <t xml:space="preserve">GCTGAATTCGTTTTCAATCA</t>
  </si>
  <si>
    <t xml:space="preserve">TAGTGCTGAATTCGTTTTCAATCA</t>
  </si>
  <si>
    <t xml:space="preserve">AAACTGATTGAAAACGAATTCAGC</t>
  </si>
  <si>
    <t xml:space="preserve">PSPPH_4329</t>
  </si>
  <si>
    <t xml:space="preserve">CGACTCAGGTCATTGAACAT</t>
  </si>
  <si>
    <t xml:space="preserve">TAGTCGACTCAGGTCATTGAACAT</t>
  </si>
  <si>
    <t xml:space="preserve">AAACATGTTCAATGACCTGAGTCG</t>
  </si>
  <si>
    <t xml:space="preserve">CCTGACCGAGGTATTTCCCG</t>
  </si>
  <si>
    <t xml:space="preserve">TAGTCCTGACCGAGGTATTTCCCG</t>
  </si>
  <si>
    <t xml:space="preserve">AAACCGGGAAATACCTCGGTCAGG</t>
  </si>
  <si>
    <t xml:space="preserve">CATGCCCACCATCAGACGCG</t>
  </si>
  <si>
    <t xml:space="preserve">TAGTCATGCCCACCATCAGACGCG</t>
  </si>
  <si>
    <t xml:space="preserve">AAACCGCGTCTGATGGTGGGCATG</t>
  </si>
  <si>
    <t xml:space="preserve">TCTACGTACGTGTCGTAGTC</t>
  </si>
  <si>
    <t xml:space="preserve">TAGTTCTACGTACGTGTCGTAGTC</t>
  </si>
  <si>
    <t xml:space="preserve">AAACGACTACGACACGTACGTAGA</t>
  </si>
  <si>
    <t xml:space="preserve">PSPPH_4330</t>
  </si>
  <si>
    <t xml:space="preserve">cstA</t>
  </si>
  <si>
    <t xml:space="preserve">CGACGATGAGCCAGGGAACA</t>
  </si>
  <si>
    <t xml:space="preserve">TAGTCGACGATGAGCCAGGGAACA</t>
  </si>
  <si>
    <t xml:space="preserve">AAACTGTTCCCTGGCTCATCGTCG</t>
  </si>
  <si>
    <t xml:space="preserve">ACGCAAGGCCACGACCCCAA</t>
  </si>
  <si>
    <t xml:space="preserve">TAGTACGCAAGGCCACGACCCCAA</t>
  </si>
  <si>
    <t xml:space="preserve">AAACTTGGGGTCGTGGCCTTGCGT</t>
  </si>
  <si>
    <t xml:space="preserve">GAACAGACTGTAGTAACGAT</t>
  </si>
  <si>
    <t xml:space="preserve">TAGTGAACAGACTGTAGTAACGAT</t>
  </si>
  <si>
    <t xml:space="preserve">AAACATCGTTACTACAGTCTGTTC</t>
  </si>
  <si>
    <t xml:space="preserve">ATCGAGCTGCATGACATGGG</t>
  </si>
  <si>
    <t xml:space="preserve">TAGTATCGAGCTGCATGACATGGG</t>
  </si>
  <si>
    <t xml:space="preserve">AAACCCCATGTCATGCAGCTCGAT</t>
  </si>
  <si>
    <t xml:space="preserve">PSPPH_4331</t>
  </si>
  <si>
    <t xml:space="preserve">ACGGCGATCTGCAGGTGAGT</t>
  </si>
  <si>
    <t xml:space="preserve">TAGTACGGCGATCTGCAGGTGAGT</t>
  </si>
  <si>
    <t xml:space="preserve">AAACACTCACCTGCAGATCGCCGT</t>
  </si>
  <si>
    <t xml:space="preserve">TAAATCGGTTTTGGCGTCGA</t>
  </si>
  <si>
    <t xml:space="preserve">TAGTTAAATCGGTTTTGGCGTCGA</t>
  </si>
  <si>
    <t xml:space="preserve">AAACTCGACGCCAAAACCGATTTA</t>
  </si>
  <si>
    <t xml:space="preserve">ATCGACCAGTTGAACCTTCC</t>
  </si>
  <si>
    <t xml:space="preserve">TAGTATCGACCAGTTGAACCTTCC</t>
  </si>
  <si>
    <t xml:space="preserve">AAACGGAAGGTTCAACTGGTCGAT</t>
  </si>
  <si>
    <t xml:space="preserve">TTCGATGAGCAACCCTTTCA</t>
  </si>
  <si>
    <t xml:space="preserve">TAGTTTCGATGAGCAACCCTTTCA</t>
  </si>
  <si>
    <t xml:space="preserve">AAACTGAAAGGGTTGCTCATCGAA</t>
  </si>
  <si>
    <t xml:space="preserve">PSPPH_4332</t>
  </si>
  <si>
    <t xml:space="preserve">radA</t>
  </si>
  <si>
    <t xml:space="preserve">GCCGTACAAGCGTTTGGCCT</t>
  </si>
  <si>
    <t xml:space="preserve">TAGTGCCGTACAAGCGTTTGGCCT</t>
  </si>
  <si>
    <t xml:space="preserve">AAACAGGCCAAACGCTTGTACGGC</t>
  </si>
  <si>
    <t xml:space="preserve">GGGAAATGTCGCGCCGCACT</t>
  </si>
  <si>
    <t xml:space="preserve">TAGTGGGAAATGTCGCGCCGCACT</t>
  </si>
  <si>
    <t xml:space="preserve">AAACAGTGCGGCGCGACATTTCCC</t>
  </si>
  <si>
    <t xml:space="preserve">CTGCACTGGCCCGCCCACTT</t>
  </si>
  <si>
    <t xml:space="preserve">TAGTCTGCACTGGCCCGCCCACTT</t>
  </si>
  <si>
    <t xml:space="preserve">AAACAAGTGGGCGGGCCAGTGCAG</t>
  </si>
  <si>
    <t xml:space="preserve">CGTTTCGACCAGTGTGTTCC</t>
  </si>
  <si>
    <t xml:space="preserve">TAGTCGTTTCGACCAGTGTGTTCC</t>
  </si>
  <si>
    <t xml:space="preserve">AAACGGAACACACTGGTCGAAACG</t>
  </si>
  <si>
    <t xml:space="preserve">PSPPH_4333</t>
  </si>
  <si>
    <t xml:space="preserve">mscL</t>
  </si>
  <si>
    <t xml:space="preserve">AACTCGCTAAGTACGCTCAT</t>
  </si>
  <si>
    <t xml:space="preserve">TAGTAACTCGCTAAGTACGCTCAT</t>
  </si>
  <si>
    <t xml:space="preserve">AAACATGAGCGTACTTAGCGAGTT</t>
  </si>
  <si>
    <t xml:space="preserve">CACGTTACCTTTGACCGCGA</t>
  </si>
  <si>
    <t xml:space="preserve">TAGTCACGTTACCTTTGACCGCGA</t>
  </si>
  <si>
    <t xml:space="preserve">AAACTCGCGGTCAAAGGTAACGTG</t>
  </si>
  <si>
    <t xml:space="preserve">CGCGCCAATGATGATACCGA</t>
  </si>
  <si>
    <t xml:space="preserve">TAGTCGCGCCAATGATGATACCGA</t>
  </si>
  <si>
    <t xml:space="preserve">AAACTCGGTATCATCATTGGCGCG</t>
  </si>
  <si>
    <t xml:space="preserve">CCGATCAGCAAGCCTAACGG</t>
  </si>
  <si>
    <t xml:space="preserve">TAGTCCGATCAGCAAGCCTAACGG</t>
  </si>
  <si>
    <t xml:space="preserve">AAACCCGTTAGGCTTGCTGATCGG</t>
  </si>
  <si>
    <t xml:space="preserve">PSPPH_4334</t>
  </si>
  <si>
    <t xml:space="preserve">fpr2</t>
  </si>
  <si>
    <t xml:space="preserve">TTTGTCGTCACTGACGGTCA</t>
  </si>
  <si>
    <t xml:space="preserve">TAGTTTTGTCGTCACTGACGGTCA</t>
  </si>
  <si>
    <t xml:space="preserve">AAACTGACCGTCAGTGACGACAAA</t>
  </si>
  <si>
    <t xml:space="preserve">GACACGCTGCAGTGTCTGTC</t>
  </si>
  <si>
    <t xml:space="preserve">TAGTGACACGCTGCAGTGTCTGTC</t>
  </si>
  <si>
    <t xml:space="preserve">AAACGACAGACACTGCAGCGTGTC</t>
  </si>
  <si>
    <t xml:space="preserve">GTGAACAGGTTGGTGGTCAG</t>
  </si>
  <si>
    <t xml:space="preserve">TAGTGTGAACAGGTTGGTGGTCAG</t>
  </si>
  <si>
    <t xml:space="preserve">AAACCTGACCACCAACCTGTTCAC</t>
  </si>
  <si>
    <t xml:space="preserve">AGGGTCGCGCGTGGTGCGCA</t>
  </si>
  <si>
    <t xml:space="preserve">TAGTAGGGTCGCGCGTGGTGCGCA</t>
  </si>
  <si>
    <t xml:space="preserve">AAACTGCGCACCACGCGCGACCCT</t>
  </si>
  <si>
    <t xml:space="preserve">PSPPH_4336</t>
  </si>
  <si>
    <t xml:space="preserve">AGTGGATGGTGCGCTCCTTC</t>
  </si>
  <si>
    <t xml:space="preserve">TAGTAGTGGATGGTGCGCTCCTTC</t>
  </si>
  <si>
    <t xml:space="preserve">AAACGAAGGAGCGCACCATCCACT</t>
  </si>
  <si>
    <t xml:space="preserve">GCCCATTTTCTGAATGGCGC</t>
  </si>
  <si>
    <t xml:space="preserve">TAGTGCCCATTTTCTGAATGGCGC</t>
  </si>
  <si>
    <t xml:space="preserve">AAACGCGCCATTCAGAAAATGGGC</t>
  </si>
  <si>
    <t xml:space="preserve">CCCGCTCAGTGCGGCCTGTA</t>
  </si>
  <si>
    <t xml:space="preserve">TAGTCCCGCTCAGTGCGGCCTGTA</t>
  </si>
  <si>
    <t xml:space="preserve">AAACTACAGGCCGCACTGAGCGGG</t>
  </si>
  <si>
    <t xml:space="preserve">PSPPH_4337</t>
  </si>
  <si>
    <t xml:space="preserve">GCAGCATCGAATGCCTGCAA</t>
  </si>
  <si>
    <t xml:space="preserve">TAGTGCAGCATCGAATGCCTGCAA</t>
  </si>
  <si>
    <t xml:space="preserve">AAACTTGCAGGCATTCGATGCTGC</t>
  </si>
  <si>
    <t xml:space="preserve">TTTCTGCAACATGATTGAGC</t>
  </si>
  <si>
    <t xml:space="preserve">TAGTTTTCTGCAACATGATTGAGC</t>
  </si>
  <si>
    <t xml:space="preserve">AAACGCTCAATCATGTTGCAGAAA</t>
  </si>
  <si>
    <t xml:space="preserve">CCGGCTTTGCAGGCTCAGCC</t>
  </si>
  <si>
    <t xml:space="preserve">TAGTCCGGCTTTGCAGGCTCAGCC</t>
  </si>
  <si>
    <t xml:space="preserve">AAACGGCTGAGCCTGCAAAGCCGG</t>
  </si>
  <si>
    <t xml:space="preserve">CGTGGCATGAGACGCCAGAC</t>
  </si>
  <si>
    <t xml:space="preserve">TAGTCGTGGCATGAGACGCCAGAC</t>
  </si>
  <si>
    <t xml:space="preserve">AAACGTCTGGCGTCTCATGCCACG</t>
  </si>
  <si>
    <t xml:space="preserve">PSPPH_4338</t>
  </si>
  <si>
    <t xml:space="preserve">GGTTTGCTCAGTGCCGGATC</t>
  </si>
  <si>
    <t xml:space="preserve">TAGTGGTTTGCTCAGTGCCGGATC</t>
  </si>
  <si>
    <t xml:space="preserve">AAACGATCCGGCACTGAGCAAACC</t>
  </si>
  <si>
    <t xml:space="preserve">CAGGCCAGGCGTTGCCAGAG</t>
  </si>
  <si>
    <t xml:space="preserve">TAGTCAGGCCAGGCGTTGCCAGAG</t>
  </si>
  <si>
    <t xml:space="preserve">AAACCTCTGGCAACGCCTGGCCTG</t>
  </si>
  <si>
    <t xml:space="preserve">CATGAACATGCGCATCAGGC</t>
  </si>
  <si>
    <t xml:space="preserve">TAGTCATGAACATGCGCATCAGGC</t>
  </si>
  <si>
    <t xml:space="preserve">AAACGCCTGATGCGCATGTTCATG</t>
  </si>
  <si>
    <t xml:space="preserve">PSPPH_4339</t>
  </si>
  <si>
    <t xml:space="preserve">cydB</t>
  </si>
  <si>
    <t xml:space="preserve">CAGCGGAAGATCGATACCCA</t>
  </si>
  <si>
    <t xml:space="preserve">TAGTCAGCGGAAGATCGATACCCA</t>
  </si>
  <si>
    <t xml:space="preserve">AAACTGGGTATCGATCTTCCGCTG</t>
  </si>
  <si>
    <t xml:space="preserve">GATGCCGAAGACGATGATGA</t>
  </si>
  <si>
    <t xml:space="preserve">TAGTGATGCCGAAGACGATGATGA</t>
  </si>
  <si>
    <t xml:space="preserve">AAACTCATCATCGTCTTCGGCATC</t>
  </si>
  <si>
    <t xml:space="preserve">CGGAACTGTCTTTCATGAAC</t>
  </si>
  <si>
    <t xml:space="preserve">TAGTCGGAACTGTCTTTCATGAAC</t>
  </si>
  <si>
    <t xml:space="preserve">AAACGTTCATGAAAGACAGTTCCG</t>
  </si>
  <si>
    <t xml:space="preserve">ATTCATCATCACGTCACGGT</t>
  </si>
  <si>
    <t xml:space="preserve">TAGTATTCATCATCACGTCACGGT</t>
  </si>
  <si>
    <t xml:space="preserve">AAACACCGTGACGTGATGATGAAT</t>
  </si>
  <si>
    <t xml:space="preserve">PSPPH_4340</t>
  </si>
  <si>
    <t xml:space="preserve">cydA</t>
  </si>
  <si>
    <t xml:space="preserve">GGTGAATGCGAACTGAATTC</t>
  </si>
  <si>
    <t xml:space="preserve">TAGTGGTGAATGCGAACTGAATTC</t>
  </si>
  <si>
    <t xml:space="preserve">AAACGAATTCAGTTCGCATTCACC</t>
  </si>
  <si>
    <t xml:space="preserve">AAACAGGATGTGAAACGAAA</t>
  </si>
  <si>
    <t xml:space="preserve">TAGTAAACAGGATGTGAAACGAAA</t>
  </si>
  <si>
    <t xml:space="preserve">AAACTTTCGTTTCACATCCTGTTT</t>
  </si>
  <si>
    <t xml:space="preserve">GCCAGACCAATAGTGATGGC</t>
  </si>
  <si>
    <t xml:space="preserve">TAGTGCCAGACCAATAGTGATGGC</t>
  </si>
  <si>
    <t xml:space="preserve">AAACGCCATCACTATTGGTCTGGC</t>
  </si>
  <si>
    <t xml:space="preserve">ACAGACCTTCGAGCACAGCC</t>
  </si>
  <si>
    <t xml:space="preserve">TAGTACAGACCTTCGAGCACAGCC</t>
  </si>
  <si>
    <t xml:space="preserve">AAACGGCTGTGCTCGAAGGTCTGT</t>
  </si>
  <si>
    <t xml:space="preserve">PSPPH_4342</t>
  </si>
  <si>
    <t xml:space="preserve">GTCGGCTTGCTGTAGGTAAA</t>
  </si>
  <si>
    <t xml:space="preserve">TAGTGTCGGCTTGCTGTAGGTAAA</t>
  </si>
  <si>
    <t xml:space="preserve">AAACTTTACCTACAGCAAGCCGAC</t>
  </si>
  <si>
    <t xml:space="preserve">GTTGACCGCTGCGGTGATGT</t>
  </si>
  <si>
    <t xml:space="preserve">TAGTGTTGACCGCTGCGGTGATGT</t>
  </si>
  <si>
    <t xml:space="preserve">AAACACATCACCGCAGCGGTCAAC</t>
  </si>
  <si>
    <t xml:space="preserve">AACGCGTGGCAGGCCCGCTC</t>
  </si>
  <si>
    <t xml:space="preserve">TAGTAACGCGTGGCAGGCCCGCTC</t>
  </si>
  <si>
    <t xml:space="preserve">AAACGAGCGGGCCTGCCACGCGTT</t>
  </si>
  <si>
    <t xml:space="preserve">TTTCATCAGATCGAGCAGGT</t>
  </si>
  <si>
    <t xml:space="preserve">TAGTTTTCATCAGATCGAGCAGGT</t>
  </si>
  <si>
    <t xml:space="preserve">AAACACCTGCTCGATCTGATGAAA</t>
  </si>
  <si>
    <t xml:space="preserve">PSPPH_4343</t>
  </si>
  <si>
    <t xml:space="preserve">GTTCGGGGTCGTTGCACTCA</t>
  </si>
  <si>
    <t xml:space="preserve">TAGTGTTCGGGGTCGTTGCACTCA</t>
  </si>
  <si>
    <t xml:space="preserve">AAACTGAGTGCAACGACCCCGAAC</t>
  </si>
  <si>
    <t xml:space="preserve">CGTGGGTCGCGAAATCCTTC</t>
  </si>
  <si>
    <t xml:space="preserve">TAGTCGTGGGTCGCGAAATCCTTC</t>
  </si>
  <si>
    <t xml:space="preserve">AAACGAAGGATTTCGCGACCCACG</t>
  </si>
  <si>
    <t xml:space="preserve">CTGGCGCTGCTGCCCGTTCA</t>
  </si>
  <si>
    <t xml:space="preserve">TAGTCTGGCGCTGCTGCCCGTTCA</t>
  </si>
  <si>
    <t xml:space="preserve">AAACTGAACGGGCAGCAGCGCCAG</t>
  </si>
  <si>
    <t xml:space="preserve">AGGTCCAGCAGGGTGGTCCA</t>
  </si>
  <si>
    <t xml:space="preserve">TAGTAGGTCCAGCAGGGTGGTCCA</t>
  </si>
  <si>
    <t xml:space="preserve">AAACTGGACCACCCTGCTGGACCT</t>
  </si>
  <si>
    <t xml:space="preserve">PSPPH_4344</t>
  </si>
  <si>
    <t xml:space="preserve">GAGAATCTCGGTCCGCACGT</t>
  </si>
  <si>
    <t xml:space="preserve">TAGTGAGAATCTCGGTCCGCACGT</t>
  </si>
  <si>
    <t xml:space="preserve">AAACACGTGCGGACCGAGATTCTC</t>
  </si>
  <si>
    <t xml:space="preserve">ACAGGATGTAGGCCATCGCC</t>
  </si>
  <si>
    <t xml:space="preserve">TAGTACAGGATGTAGGCCATCGCC</t>
  </si>
  <si>
    <t xml:space="preserve">AAACGGCGATGGCCTACATCCTGT</t>
  </si>
  <si>
    <t xml:space="preserve">CGGTTTCGCCGAGGATGCTC</t>
  </si>
  <si>
    <t xml:space="preserve">TAGTCGGTTTCGCCGAGGATGCTC</t>
  </si>
  <si>
    <t xml:space="preserve">AAACGAGCATCCTCGGCGAAACCG</t>
  </si>
  <si>
    <t xml:space="preserve">TACCGCGCCCTTGTCCATGC</t>
  </si>
  <si>
    <t xml:space="preserve">TAGTTACCGCGCCCTTGTCCATGC</t>
  </si>
  <si>
    <t xml:space="preserve">AAACGCATGGACAAGGGCGCGGTA</t>
  </si>
  <si>
    <t xml:space="preserve">PSPPH_4345</t>
  </si>
  <si>
    <t xml:space="preserve">trmA</t>
  </si>
  <si>
    <t xml:space="preserve">TCGTAGCTCGCAGGGTCGAA</t>
  </si>
  <si>
    <t xml:space="preserve">TAGTTCGTAGCTCGCAGGGTCGAA</t>
  </si>
  <si>
    <t xml:space="preserve">AAACTTCGACCCTGCGAGCTACGA</t>
  </si>
  <si>
    <t xml:space="preserve">CGGTTTTTTCTTCGAGCTGA</t>
  </si>
  <si>
    <t xml:space="preserve">TAGTCGGTTTTTTCTTCGAGCTGA</t>
  </si>
  <si>
    <t xml:space="preserve">AAACTCAGCTCGAAGAAAAAACCG</t>
  </si>
  <si>
    <t xml:space="preserve">CAGCAACTCGCGCAGGCGAA</t>
  </si>
  <si>
    <t xml:space="preserve">TAGTCAGCAACTCGCGCAGGCGAA</t>
  </si>
  <si>
    <t xml:space="preserve">AAACTTCGCCTGCGCGAGTTGCTG</t>
  </si>
  <si>
    <t xml:space="preserve">CGGCTCAGGTGCATCGAACG</t>
  </si>
  <si>
    <t xml:space="preserve">TAGTCGGCTCAGGTGCATCGAACG</t>
  </si>
  <si>
    <t xml:space="preserve">AAACCGTTCGATGCACCTGAGCCG</t>
  </si>
  <si>
    <t xml:space="preserve">PSPPH_4346</t>
  </si>
  <si>
    <t xml:space="preserve">ACTGACGAAACCGGGCTGGC</t>
  </si>
  <si>
    <t xml:space="preserve">TAGTACTGACGAAACCGGGCTGGC</t>
  </si>
  <si>
    <t xml:space="preserve">AAACGCCAGCCCGGTTTCGTCAGT</t>
  </si>
  <si>
    <t xml:space="preserve">ACACTGCCATCAGGCGCGAG</t>
  </si>
  <si>
    <t xml:space="preserve">TAGTACACTGCCATCAGGCGCGAG</t>
  </si>
  <si>
    <t xml:space="preserve">AAACCTCGCGCCTGATGGCAGTGT</t>
  </si>
  <si>
    <t xml:space="preserve">GGTCATGTCATAGACCTGCC</t>
  </si>
  <si>
    <t xml:space="preserve">TAGTGGTCATGTCATAGACCTGCC</t>
  </si>
  <si>
    <t xml:space="preserve">AAACGGCAGGTCTATGACATGACC</t>
  </si>
  <si>
    <t xml:space="preserve">CGCCAGTGCCATTGGCTCGC</t>
  </si>
  <si>
    <t xml:space="preserve">TAGTCGCCAGTGCCATTGGCTCGC</t>
  </si>
  <si>
    <t xml:space="preserve">AAACGCGAGCCAATGGCACTGGCG</t>
  </si>
  <si>
    <t xml:space="preserve">PSPPH_4347</t>
  </si>
  <si>
    <t xml:space="preserve">CGACTACGTTGTCGCTACGT</t>
  </si>
  <si>
    <t xml:space="preserve">TAGTCGACTACGTTGTCGCTACGT</t>
  </si>
  <si>
    <t xml:space="preserve">AAACACGTAGCGACAACGTAGTCG</t>
  </si>
  <si>
    <t xml:space="preserve">CGATGATCACAATGCCGCCC</t>
  </si>
  <si>
    <t xml:space="preserve">TAGTCGATGATCACAATGCCGCCC</t>
  </si>
  <si>
    <t xml:space="preserve">AAACGGGCGGCATTGTGATCATCG</t>
  </si>
  <si>
    <t xml:space="preserve">TCGGGTCCTGACCGGTCAGC</t>
  </si>
  <si>
    <t xml:space="preserve">TAGTTCGGGTCCTGACCGGTCAGC</t>
  </si>
  <si>
    <t xml:space="preserve">AAACGCTGACCGGTCAGGACCCGA</t>
  </si>
  <si>
    <t xml:space="preserve">GCTTTGCTCGGTGCCTTGCC</t>
  </si>
  <si>
    <t xml:space="preserve">TAGTGCTTTGCTCGGTGCCTTGCC</t>
  </si>
  <si>
    <t xml:space="preserve">AAACGGCAAGGCACCGAGCAAAGC</t>
  </si>
  <si>
    <t xml:space="preserve">PSPPH_4348</t>
  </si>
  <si>
    <t xml:space="preserve">CTCAACAACAGGACCAGAAG</t>
  </si>
  <si>
    <t xml:space="preserve">TAGTCTCAACAACAGGACCAGAAG</t>
  </si>
  <si>
    <t xml:space="preserve">AAACCTTCTGGTCCTGTTGTTGAG</t>
  </si>
  <si>
    <t xml:space="preserve">ATGCGCCCCGAGGCTCGCGA</t>
  </si>
  <si>
    <t xml:space="preserve">TAGTATGCGCCCCGAGGCTCGCGA</t>
  </si>
  <si>
    <t xml:space="preserve">AAACTCGCGAGCCTCGGGGCGCAT</t>
  </si>
  <si>
    <t xml:space="preserve">AGACGTAACCGCTTGATCCT</t>
  </si>
  <si>
    <t xml:space="preserve">TAGTAGACGTAACCGCTTGATCCT</t>
  </si>
  <si>
    <t xml:space="preserve">AAACAGGATCAAGCGGTTACGTCT</t>
  </si>
  <si>
    <t xml:space="preserve">CCATTGATGGCCAGGCGATC</t>
  </si>
  <si>
    <t xml:space="preserve">TAGTCCATTGATGGCCAGGCGATC</t>
  </si>
  <si>
    <t xml:space="preserve">AAACGATCGCCTGGCCATCAATGG</t>
  </si>
  <si>
    <t xml:space="preserve">PSPPH_4349</t>
  </si>
  <si>
    <t xml:space="preserve">GTCGTGGACCGGGATGGTCA</t>
  </si>
  <si>
    <t xml:space="preserve">TAGTGTCGTGGACCGGGATGGTCA</t>
  </si>
  <si>
    <t xml:space="preserve">AAACTGACCATCCCGGTCCACGAC</t>
  </si>
  <si>
    <t xml:space="preserve">CCAGTTCACGCTTGATTGCC</t>
  </si>
  <si>
    <t xml:space="preserve">TAGTCCAGTTCACGCTTGATTGCC</t>
  </si>
  <si>
    <t xml:space="preserve">AAACGGCAATCAAGCGTGAACTGG</t>
  </si>
  <si>
    <t xml:space="preserve">CCAGGATGTCGTCGTCCTGA</t>
  </si>
  <si>
    <t xml:space="preserve">TAGTCCAGGATGTCGTCGTCCTGA</t>
  </si>
  <si>
    <t xml:space="preserve">AAACTCAGGACGACGACATCCTGG</t>
  </si>
  <si>
    <t xml:space="preserve">CGATTCCTCAGCGGGCAACG</t>
  </si>
  <si>
    <t xml:space="preserve">TAGTCGATTCCTCAGCGGGCAACG</t>
  </si>
  <si>
    <t xml:space="preserve">AAACCGTTGCCCGCTGAGGAATCG</t>
  </si>
  <si>
    <t xml:space="preserve">PSPPH_4350</t>
  </si>
  <si>
    <t xml:space="preserve">tesB</t>
  </si>
  <si>
    <t xml:space="preserve">CAACCAGATCATCCAGCACT</t>
  </si>
  <si>
    <t xml:space="preserve">TAGTCAACCAGATCATCCAGCACT</t>
  </si>
  <si>
    <t xml:space="preserve">AAACAGTGCTGGATGATCTGGTTG</t>
  </si>
  <si>
    <t xml:space="preserve">GCGAAAAAGATTTTCTTCAA</t>
  </si>
  <si>
    <t xml:space="preserve">TAGTGCGAAAAAGATTTTCTTCAA</t>
  </si>
  <si>
    <t xml:space="preserve">AAACTTGAAGAAAATCTTTTTCGC</t>
  </si>
  <si>
    <t xml:space="preserve">GAAAACCCAGGTCCTGACTG</t>
  </si>
  <si>
    <t xml:space="preserve">TAGTGAAAACCCAGGTCCTGACTG</t>
  </si>
  <si>
    <t xml:space="preserve">AAACCAGTCAGGACCTGGGTTTTC</t>
  </si>
  <si>
    <t xml:space="preserve">GCACCTGGCCGCCAAACAGC</t>
  </si>
  <si>
    <t xml:space="preserve">TAGTGCACCTGGCCGCCAAACAGC</t>
  </si>
  <si>
    <t xml:space="preserve">AAACGCTGTTTGGCGGCCAGGTGC</t>
  </si>
  <si>
    <t xml:space="preserve">PSPPH_4351</t>
  </si>
  <si>
    <t xml:space="preserve">GCGCTGTCTAGCTTGAGTAT</t>
  </si>
  <si>
    <t xml:space="preserve">TAGTGCGCTGTCTAGCTTGAGTAT</t>
  </si>
  <si>
    <t xml:space="preserve">AAACATACTCAAGCTAGACAGCGC</t>
  </si>
  <si>
    <t xml:space="preserve">CCACTGCCGCATCAGCAGCC</t>
  </si>
  <si>
    <t xml:space="preserve">TAGTCCACTGCCGCATCAGCAGCC</t>
  </si>
  <si>
    <t xml:space="preserve">AAACGGCTGCTGATGCGGCAGTGG</t>
  </si>
  <si>
    <t xml:space="preserve">GCGCACATCTCGGCGAATGC</t>
  </si>
  <si>
    <t xml:space="preserve">TAGTGCGCACATCTCGGCGAATGC</t>
  </si>
  <si>
    <t xml:space="preserve">AAACGCATTCGCCGAGATGTGCGC</t>
  </si>
  <si>
    <t xml:space="preserve">CGGGGAAATAACGCATGACG</t>
  </si>
  <si>
    <t xml:space="preserve">TAGTCGGGGAAATAACGCATGACG</t>
  </si>
  <si>
    <t xml:space="preserve">AAACCGTCATGCGTTATTTCCCCG</t>
  </si>
  <si>
    <t xml:space="preserve">PSPPH_4352</t>
  </si>
  <si>
    <t xml:space="preserve">TTCATGGTAGATAAGCGGTA</t>
  </si>
  <si>
    <t xml:space="preserve">TAGTTTCATGGTAGATAAGCGGTA</t>
  </si>
  <si>
    <t xml:space="preserve">AAACTACCGCTTATCTACCATGAA</t>
  </si>
  <si>
    <t xml:space="preserve">GGTGATCCGCCGGGAAGTCC</t>
  </si>
  <si>
    <t xml:space="preserve">TAGTGGTGATCCGCCGGGAAGTCC</t>
  </si>
  <si>
    <t xml:space="preserve">AAACGGACTTCCCGGCGGATCACC</t>
  </si>
  <si>
    <t xml:space="preserve">GGAACTTGTCCATCGGGAAG</t>
  </si>
  <si>
    <t xml:space="preserve">TAGTGGAACTTGTCCATCGGGAAG</t>
  </si>
  <si>
    <t xml:space="preserve">AAACCTTCCCGATGGACAAGTTCC</t>
  </si>
  <si>
    <t xml:space="preserve">CCAAGTAGTCACGTAACAGA</t>
  </si>
  <si>
    <t xml:space="preserve">TAGTCCAAGTAGTCACGTAACAGA</t>
  </si>
  <si>
    <t xml:space="preserve">AAACTCTGTTACGTGACTACTTGG</t>
  </si>
  <si>
    <t xml:space="preserve">PSPPH_4353</t>
  </si>
  <si>
    <t xml:space="preserve">AGGAGAGGCGAGGTCGGTCA</t>
  </si>
  <si>
    <t xml:space="preserve">TAGTAGGAGAGGCGAGGTCGGTCA</t>
  </si>
  <si>
    <t xml:space="preserve">AAACTGACCGACCTCGCCTCTCCT</t>
  </si>
  <si>
    <t xml:space="preserve">ATGGCGACGGTTCGGGAAGC</t>
  </si>
  <si>
    <t xml:space="preserve">TAGTATGGCGACGGTTCGGGAAGC</t>
  </si>
  <si>
    <t xml:space="preserve">AAACGCTTCCCGAACCGTCGCCAT</t>
  </si>
  <si>
    <t xml:space="preserve">CTGCTGCTATCAACCCCGCA</t>
  </si>
  <si>
    <t xml:space="preserve">TAGTCTGCTGCTATCAACCCCGCA</t>
  </si>
  <si>
    <t xml:space="preserve">AAACTGCGGGGTTGATAGCAGCAG</t>
  </si>
  <si>
    <t xml:space="preserve">GATCGACGTTCAGCCCTGCC</t>
  </si>
  <si>
    <t xml:space="preserve">TAGTGATCGACGTTCAGCCCTGCC</t>
  </si>
  <si>
    <t xml:space="preserve">AAACGGCAGGGCTGAACGTCGATC</t>
  </si>
  <si>
    <t xml:space="preserve">PSPPH_4354</t>
  </si>
  <si>
    <t xml:space="preserve">GAATGTCATGGAAATACCGT</t>
  </si>
  <si>
    <t xml:space="preserve">TAGTGAATGTCATGGAAATACCGT</t>
  </si>
  <si>
    <t xml:space="preserve">AAACACGGTATTTCCATGACATTC</t>
  </si>
  <si>
    <t xml:space="preserve">GGGTTCGATCAGGCCGAGAG</t>
  </si>
  <si>
    <t xml:space="preserve">TAGTGGGTTCGATCAGGCCGAGAG</t>
  </si>
  <si>
    <t xml:space="preserve">AAACCTCTCGGCCTGATCGAACCC</t>
  </si>
  <si>
    <t xml:space="preserve">GCTTCGAGGGCGCGCAGCAA</t>
  </si>
  <si>
    <t xml:space="preserve">TAGTGCTTCGAGGGCGCGCAGCAA</t>
  </si>
  <si>
    <t xml:space="preserve">AAACTTGCTGCGCGCCCTCGAAGC</t>
  </si>
  <si>
    <t xml:space="preserve">TCTGTACAGGCGTCGGAGTC</t>
  </si>
  <si>
    <t xml:space="preserve">TAGTTCTGTACAGGCGTCGGAGTC</t>
  </si>
  <si>
    <t xml:space="preserve">AAACGACTCCGACGCCTGTACAGA</t>
  </si>
  <si>
    <t xml:space="preserve">PSPPH_4355</t>
  </si>
  <si>
    <t xml:space="preserve">AACACGAACGGACTGAGGCA</t>
  </si>
  <si>
    <t xml:space="preserve">TAGTAACACGAACGGACTGAGGCA</t>
  </si>
  <si>
    <t xml:space="preserve">AAACTGCCTCAGTCCGTTCGTGTT</t>
  </si>
  <si>
    <t xml:space="preserve">AGAAAAGCACCAATGAGCAA</t>
  </si>
  <si>
    <t xml:space="preserve">TAGTAGAAAAGCACCAATGAGCAA</t>
  </si>
  <si>
    <t xml:space="preserve">AAACTTGCTCATTGGTGCTTTTCT</t>
  </si>
  <si>
    <t xml:space="preserve">AGAGCCCCAAATCAGGTACA</t>
  </si>
  <si>
    <t xml:space="preserve">TAGTAGAGCCCCAAATCAGGTACA</t>
  </si>
  <si>
    <t xml:space="preserve">AAACTGTACCTGATTTGGGGCTCT</t>
  </si>
  <si>
    <t xml:space="preserve">GCCAATACGGATGACCAGAT</t>
  </si>
  <si>
    <t xml:space="preserve">TAGTGCCAATACGGATGACCAGAT</t>
  </si>
  <si>
    <t xml:space="preserve">AAACATCTGGTCATCCGTATTGGC</t>
  </si>
  <si>
    <t xml:space="preserve">PSPPH_4356</t>
  </si>
  <si>
    <t xml:space="preserve">CCAGCTGCGCAAAAGACGCC</t>
  </si>
  <si>
    <t xml:space="preserve">TAGTCCAGCTGCGCAAAAGACGCC</t>
  </si>
  <si>
    <t xml:space="preserve">AAACGGCGTCTTTTGCGCAGCTGG</t>
  </si>
  <si>
    <t xml:space="preserve">CGGCCACGGCGGGCGCGGAC</t>
  </si>
  <si>
    <t xml:space="preserve">TAGTCGGCCACGGCGGGCGCGGAC</t>
  </si>
  <si>
    <t xml:space="preserve">AAACGTCCGCGCCCGCCGTGGCCG</t>
  </si>
  <si>
    <t xml:space="preserve">CTCAAGCTTGGCGACCCGCT</t>
  </si>
  <si>
    <t xml:space="preserve">TAGTCTCAAGCTTGGCGACCCGCT</t>
  </si>
  <si>
    <t xml:space="preserve">AAACAGCGGGTCGCCAAGCTTGAG</t>
  </si>
  <si>
    <t xml:space="preserve">GTAACCGGTAATCACTCCGC</t>
  </si>
  <si>
    <t xml:space="preserve">TAGTGTAACCGGTAATCACTCCGC</t>
  </si>
  <si>
    <t xml:space="preserve">AAACGCGGAGTGATTACCGGTTAC</t>
  </si>
  <si>
    <t xml:space="preserve">PSPPH_4357</t>
  </si>
  <si>
    <t xml:space="preserve">ACTGCAATACGTTCCAACAC</t>
  </si>
  <si>
    <t xml:space="preserve">TAGTACTGCAATACGTTCCAACAC</t>
  </si>
  <si>
    <t xml:space="preserve">AAACGTGTTGGAACGTATTGCAGT</t>
  </si>
  <si>
    <t xml:space="preserve">ATGGCCCGGGGAGATGCCGG</t>
  </si>
  <si>
    <t xml:space="preserve">TAGTATGGCCCGGGGAGATGCCGG</t>
  </si>
  <si>
    <t xml:space="preserve">AAACCCGGCATCTCCCCGGGCCAT</t>
  </si>
  <si>
    <t xml:space="preserve">CCACGGCAATCTCGGTTGCC</t>
  </si>
  <si>
    <t xml:space="preserve">TAGTCCACGGCAATCTCGGTTGCC</t>
  </si>
  <si>
    <t xml:space="preserve">AAACGGCAACCGAGATTGCCGTGG</t>
  </si>
  <si>
    <t xml:space="preserve">TACGCACCCCGGCATTCATC</t>
  </si>
  <si>
    <t xml:space="preserve">TAGTTACGCACCCCGGCATTCATC</t>
  </si>
  <si>
    <t xml:space="preserve">AAACGATGAATGCCGGGGTGCGTA</t>
  </si>
  <si>
    <t xml:space="preserve">PSPPH_4358</t>
  </si>
  <si>
    <t xml:space="preserve">GTAATACAGGTTCTGCACGT</t>
  </si>
  <si>
    <t xml:space="preserve">TAGTGTAATACAGGTTCTGCACGT</t>
  </si>
  <si>
    <t xml:space="preserve">AAACACGTGCAGAACCTGTATTAC</t>
  </si>
  <si>
    <t xml:space="preserve">ACAGCCATGCGCCTGGCGCA</t>
  </si>
  <si>
    <t xml:space="preserve">TAGTACAGCCATGCGCCTGGCGCA</t>
  </si>
  <si>
    <t xml:space="preserve">AAACTGCGCCAGGCGCATGGCTGT</t>
  </si>
  <si>
    <t xml:space="preserve">GCTGATATCCGCCCACAAGG</t>
  </si>
  <si>
    <t xml:space="preserve">TAGTGCTGATATCCGCCCACAAGG</t>
  </si>
  <si>
    <t xml:space="preserve">AAACCCTTGTGGGCGGATATCAGC</t>
  </si>
  <si>
    <t xml:space="preserve">GTCGCCACGATCGATGGCGT</t>
  </si>
  <si>
    <t xml:space="preserve">TAGTGTCGCCACGATCGATGGCGT</t>
  </si>
  <si>
    <t xml:space="preserve">AAACACGCCATCGATCGTGGCGAC</t>
  </si>
  <si>
    <t xml:space="preserve">PSPPH_4359</t>
  </si>
  <si>
    <t xml:space="preserve">CGAGAAAAGACCATCAATCA</t>
  </si>
  <si>
    <t xml:space="preserve">TAGTCGAGAAAAGACCATCAATCA</t>
  </si>
  <si>
    <t xml:space="preserve">AAACTGATTGATGGTCTTTTCTCG</t>
  </si>
  <si>
    <t xml:space="preserve">TCGCGGAGCGGATGCCGTTT</t>
  </si>
  <si>
    <t xml:space="preserve">TAGTTCGCGGAGCGGATGCCGTTT</t>
  </si>
  <si>
    <t xml:space="preserve">AAACAAACGGCATCCGCTCCGCGA</t>
  </si>
  <si>
    <t xml:space="preserve">ATGCTCTTTGATGCGCGCCT</t>
  </si>
  <si>
    <t xml:space="preserve">TAGTATGCTCTTTGATGCGCGCCT</t>
  </si>
  <si>
    <t xml:space="preserve">AAACAGGCGCGCATCAAAGAGCAT</t>
  </si>
  <si>
    <t xml:space="preserve">TGTAATACGGCGCAGCGGGC</t>
  </si>
  <si>
    <t xml:space="preserve">TAGTTGTAATACGGCGCAGCGGGC</t>
  </si>
  <si>
    <t xml:space="preserve">AAACGCCCGCTGCGCCGTATTACA</t>
  </si>
  <si>
    <t xml:space="preserve">PSPPH_4360</t>
  </si>
  <si>
    <t xml:space="preserve">AATCCTGGATGACGGTCAAC</t>
  </si>
  <si>
    <t xml:space="preserve">TAGTAATCCTGGATGACGGTCAAC</t>
  </si>
  <si>
    <t xml:space="preserve">AAACGTTGACCGTCATCCAGGATT</t>
  </si>
  <si>
    <t xml:space="preserve">AGCACCTCGAGTATCACGAC</t>
  </si>
  <si>
    <t xml:space="preserve">TAGTAGCACCTCGAGTATCACGAC</t>
  </si>
  <si>
    <t xml:space="preserve">AAACGTCGTGATACTCGAGGTGCT</t>
  </si>
  <si>
    <t xml:space="preserve">GGCGTTGCTCAACGCTTGTT</t>
  </si>
  <si>
    <t xml:space="preserve">TAGTGGCGTTGCTCAACGCTTGTT</t>
  </si>
  <si>
    <t xml:space="preserve">AAACAACAAGCGTTGAGCAACGCC</t>
  </si>
  <si>
    <t xml:space="preserve">AGGCGACGTGTCGGCGGACA</t>
  </si>
  <si>
    <t xml:space="preserve">TAGTAGGCGACGTGTCGGCGGACA</t>
  </si>
  <si>
    <t xml:space="preserve">AAACTGTCCGCCGACACGTCGCCT</t>
  </si>
  <si>
    <t xml:space="preserve">PSPPH_4361</t>
  </si>
  <si>
    <t xml:space="preserve">CGTAGCAGTAGACGTGGCAT</t>
  </si>
  <si>
    <t xml:space="preserve">TAGTCGTAGCAGTAGACGTGGCAT</t>
  </si>
  <si>
    <t xml:space="preserve">AAACATGCCACGTCTACTGCTACG</t>
  </si>
  <si>
    <t xml:space="preserve">CGACCAGCAGCAGGCTGTAC</t>
  </si>
  <si>
    <t xml:space="preserve">TAGTCGACCAGCAGCAGGCTGTAC</t>
  </si>
  <si>
    <t xml:space="preserve">AAACGTACAGCCTGCTGCTGGTCG</t>
  </si>
  <si>
    <t xml:space="preserve">GTAAACCATTACCAGCAATA</t>
  </si>
  <si>
    <t xml:space="preserve">TAGTGTAAACCATTACCAGCAATA</t>
  </si>
  <si>
    <t xml:space="preserve">AAACTATTGCTGGTAATGGTTTAC</t>
  </si>
  <si>
    <t xml:space="preserve">CTGGAGGGCGCCACGTCAGT</t>
  </si>
  <si>
    <t xml:space="preserve">TAGTCTGGAGGGCGCCACGTCAGT</t>
  </si>
  <si>
    <t xml:space="preserve">AAACACTGACGTGGCGCCCTCCAG</t>
  </si>
  <si>
    <t xml:space="preserve">PSPPH_4363</t>
  </si>
  <si>
    <t xml:space="preserve">TAGCCTGTGGGAGTATCCAC</t>
  </si>
  <si>
    <t xml:space="preserve">TAGTTAGCCTGTGGGAGTATCCAC</t>
  </si>
  <si>
    <t xml:space="preserve">AAACGTGGATACTCCCACAGGCTA</t>
  </si>
  <si>
    <t xml:space="preserve">CCCTTTGGGTATGCCGGTAT</t>
  </si>
  <si>
    <t xml:space="preserve">TAGTCCCTTTGGGTATGCCGGTAT</t>
  </si>
  <si>
    <t xml:space="preserve">AAACATACCGGCATACCCAAAGGG</t>
  </si>
  <si>
    <t xml:space="preserve">CAGATCCTTGCTGGCTTTCG</t>
  </si>
  <si>
    <t xml:space="preserve">TAGTCAGATCCTTGCTGGCTTTCG</t>
  </si>
  <si>
    <t xml:space="preserve">AAACCGAAAGCCAGCAAGGATCTG</t>
  </si>
  <si>
    <t xml:space="preserve">GCCGCTTCAGATTTCTTGGC</t>
  </si>
  <si>
    <t xml:space="preserve">TAGTGCCGCTTCAGATTTCTTGGC</t>
  </si>
  <si>
    <t xml:space="preserve">AAACGCCAAGAAATCTGAAGCGGC</t>
  </si>
  <si>
    <t xml:space="preserve">PSPPH_4364</t>
  </si>
  <si>
    <t xml:space="preserve">ATCGCGCTCGCCCAACAGTG</t>
  </si>
  <si>
    <t xml:space="preserve">TAGTATCGCGCTCGCCCAACAGTG</t>
  </si>
  <si>
    <t xml:space="preserve">AAACCACTGTTGGGCGAGCGCGAT</t>
  </si>
  <si>
    <t xml:space="preserve">GGTCAGGCGGCTGTGCAGAT</t>
  </si>
  <si>
    <t xml:space="preserve">TAGTGGTCAGGCGGCTGTGCAGAT</t>
  </si>
  <si>
    <t xml:space="preserve">AAACATCTGCACAGCCGCCTGACC</t>
  </si>
  <si>
    <t xml:space="preserve">ACGCTCGGTGCCCGCCAGCA</t>
  </si>
  <si>
    <t xml:space="preserve">TAGTACGCTCGGTGCCCGCCAGCA</t>
  </si>
  <si>
    <t xml:space="preserve">AAACTGCTGGCGGGCACCGAGCGT</t>
  </si>
  <si>
    <t xml:space="preserve">ATCGATGACCGGGCTTTTCG</t>
  </si>
  <si>
    <t xml:space="preserve">TAGTATCGATGACCGGGCTTTTCG</t>
  </si>
  <si>
    <t xml:space="preserve">AAACCGAAAAGCCCGGTCATCGAT</t>
  </si>
  <si>
    <t xml:space="preserve">PSPPH_4366</t>
  </si>
  <si>
    <t xml:space="preserve">hopI1</t>
  </si>
  <si>
    <t xml:space="preserve">ACGAGGATGCAATGCTGGTG</t>
  </si>
  <si>
    <t xml:space="preserve">TAGTACGAGGATGCAATGCTGGTG</t>
  </si>
  <si>
    <t xml:space="preserve">AAACCACCAGCATTGCATCCTCGT</t>
  </si>
  <si>
    <t xml:space="preserve">TTCAGCGCGCGGTCTATCGT</t>
  </si>
  <si>
    <t xml:space="preserve">TAGTTTCAGCGCGCGGTCTATCGT</t>
  </si>
  <si>
    <t xml:space="preserve">AAACACGATAGACCGCGCGCTGAA</t>
  </si>
  <si>
    <t xml:space="preserve">ACGCCACTTTGCCAGCGATA</t>
  </si>
  <si>
    <t xml:space="preserve">TAGTACGCCACTTTGCCAGCGATA</t>
  </si>
  <si>
    <t xml:space="preserve">AAACTATCGCTGGCAAAGTGGCGT</t>
  </si>
  <si>
    <t xml:space="preserve">TCTGCTGGCGCTCGTTGAGC</t>
  </si>
  <si>
    <t xml:space="preserve">TAGTTCTGCTGGCGCTCGTTGAGC</t>
  </si>
  <si>
    <t xml:space="preserve">AAACGCTCAACGAGCGCCAGCAGA</t>
  </si>
  <si>
    <t xml:space="preserve">PSPPH_4367</t>
  </si>
  <si>
    <t xml:space="preserve">GGAGTCCGCATCGGGATCGG</t>
  </si>
  <si>
    <t xml:space="preserve">TAGTGGAGTCCGCATCGGGATCGG</t>
  </si>
  <si>
    <t xml:space="preserve">AAACCCGATCCCGATGCGGACTCC</t>
  </si>
  <si>
    <t xml:space="preserve">GTCGGCGACGTCCGAGGAGA</t>
  </si>
  <si>
    <t xml:space="preserve">TAGTGTCGGCGACGTCCGAGGAGA</t>
  </si>
  <si>
    <t xml:space="preserve">AAACTCTCCTCGGACGTCGCCGAC</t>
  </si>
  <si>
    <t xml:space="preserve">GTCCGGATGGGTCGGGATCT</t>
  </si>
  <si>
    <t xml:space="preserve">TAGTGTCCGGATGGGTCGGGATCT</t>
  </si>
  <si>
    <t xml:space="preserve">AAACAGATCCCGACCCATCCGGAC</t>
  </si>
  <si>
    <t xml:space="preserve">TGCATCTTTCAGGGCCCGCA</t>
  </si>
  <si>
    <t xml:space="preserve">TAGTTGCATCTTTCAGGGCCCGCA</t>
  </si>
  <si>
    <t xml:space="preserve">AAACTGCGGGCCCTGAAAGATGCA</t>
  </si>
  <si>
    <t xml:space="preserve">PSPPH_4368</t>
  </si>
  <si>
    <t xml:space="preserve">GACAATCTCTGTTCGTTCAA</t>
  </si>
  <si>
    <t xml:space="preserve">TAGTGACAATCTCTGTTCGTTCAA</t>
  </si>
  <si>
    <t xml:space="preserve">AAACTTGAACGAACAGAGATTGTC</t>
  </si>
  <si>
    <t xml:space="preserve">CGCCACGCGCTCAAGGCGCA</t>
  </si>
  <si>
    <t xml:space="preserve">TAGTCGCCACGCGCTCAAGGCGCA</t>
  </si>
  <si>
    <t xml:space="preserve">AAACTGCGCCTTGAGCGCGTGGCG</t>
  </si>
  <si>
    <t xml:space="preserve">GATATCAGCCAGCCGCGCAC</t>
  </si>
  <si>
    <t xml:space="preserve">TAGTGATATCAGCCAGCCGCGCAC</t>
  </si>
  <si>
    <t xml:space="preserve">AAACGTGCGCGGCTGGCTGATATC</t>
  </si>
  <si>
    <t xml:space="preserve">CCACGGTTCAGCAGCGCCAC</t>
  </si>
  <si>
    <t xml:space="preserve">TAGTCCACGGTTCAGCAGCGCCAC</t>
  </si>
  <si>
    <t xml:space="preserve">AAACGTGGCGCTGCTGAACCGTGG</t>
  </si>
  <si>
    <t xml:space="preserve">PSPPH_4369</t>
  </si>
  <si>
    <t xml:space="preserve">GGAAAGTACGTCTGAATACA</t>
  </si>
  <si>
    <t xml:space="preserve">TAGTGGAAAGTACGTCTGAATACA</t>
  </si>
  <si>
    <t xml:space="preserve">AAACTGTATTCAGACGTACTTTCC</t>
  </si>
  <si>
    <t xml:space="preserve">CAGACGAGGCCCGTGGCCCC</t>
  </si>
  <si>
    <t xml:space="preserve">TAGTCAGACGAGGCCCGTGGCCCC</t>
  </si>
  <si>
    <t xml:space="preserve">AAACGGGGCCACGGGCCTCGTCTG</t>
  </si>
  <si>
    <t xml:space="preserve">AAAAAGGGCAGGTTGGCTCA</t>
  </si>
  <si>
    <t xml:space="preserve">TAGTAAAAAGGGCAGGTTGGCTCA</t>
  </si>
  <si>
    <t xml:space="preserve">AAACTGAGCCAACCTGCCCTTTTT</t>
  </si>
  <si>
    <t xml:space="preserve">GACAGTGATTTTGTCTTCTC</t>
  </si>
  <si>
    <t xml:space="preserve">TAGTGACAGTGATTTTGTCTTCTC</t>
  </si>
  <si>
    <t xml:space="preserve">AAACGAGAAGACAAAATCACTGTC</t>
  </si>
  <si>
    <t xml:space="preserve">PSPPH_4370</t>
  </si>
  <si>
    <t xml:space="preserve">CGATTGCGAATCTGGAAACG</t>
  </si>
  <si>
    <t xml:space="preserve">TAGTCGATTGCGAATCTGGAAACG</t>
  </si>
  <si>
    <t xml:space="preserve">AAACCGTTTCCAGATTCGCAATCG</t>
  </si>
  <si>
    <t xml:space="preserve">AATAACGCCTGAATCAGCCG</t>
  </si>
  <si>
    <t xml:space="preserve">TAGTAATAACGCCTGAATCAGCCG</t>
  </si>
  <si>
    <t xml:space="preserve">AAACCGGCTGATTCAGGCGTTATT</t>
  </si>
  <si>
    <t xml:space="preserve">GTCGTGGCCTCCCGGTTTCA</t>
  </si>
  <si>
    <t xml:space="preserve">TAGTGTCGTGGCCTCCCGGTTTCA</t>
  </si>
  <si>
    <t xml:space="preserve">AAACTGAAACCGGGAGGCCACGAC</t>
  </si>
  <si>
    <t xml:space="preserve">CCGTTCTTTTCTCGATGCGC</t>
  </si>
  <si>
    <t xml:space="preserve">TAGTCCGTTCTTTTCTCGATGCGC</t>
  </si>
  <si>
    <t xml:space="preserve">AAACGCGCATCGAGAAAAGAACGG</t>
  </si>
  <si>
    <t xml:space="preserve">PSPPH_4371</t>
  </si>
  <si>
    <t xml:space="preserve">gal</t>
  </si>
  <si>
    <t xml:space="preserve">CCCACCAGACCGAGACGAAT</t>
  </si>
  <si>
    <t xml:space="preserve">TAGTCCCACCAGACCGAGACGAAT</t>
  </si>
  <si>
    <t xml:space="preserve">AAACATTCGTCTCGGTCTGGTGGG</t>
  </si>
  <si>
    <t xml:space="preserve">CGGGGTTGGCGTGGATGGCA</t>
  </si>
  <si>
    <t xml:space="preserve">TAGTCGGGGTTGGCGTGGATGGCA</t>
  </si>
  <si>
    <t xml:space="preserve">AAACTGCCATCCACGCCAACCCCG</t>
  </si>
  <si>
    <t xml:space="preserve">GACAGCCACCAGCTCAAATG</t>
  </si>
  <si>
    <t xml:space="preserve">TAGTGACAGCCACCAGCTCAAATG</t>
  </si>
  <si>
    <t xml:space="preserve">AAACCATTTGAGCTGGTGGCTGTC</t>
  </si>
  <si>
    <t xml:space="preserve">AAGTTCTCCACCCCGGCACA</t>
  </si>
  <si>
    <t xml:space="preserve">TAGTAAGTTCTCCACCCCGGCACA</t>
  </si>
  <si>
    <t xml:space="preserve">AAACTGTGCCGGGGTGGAGAACTT</t>
  </si>
  <si>
    <t xml:space="preserve">PSPPH_4372</t>
  </si>
  <si>
    <t xml:space="preserve">kptA</t>
  </si>
  <si>
    <t xml:space="preserve">GTCACGTTGCTTTTTGTTCA</t>
  </si>
  <si>
    <t xml:space="preserve">TAGTGTCACGTTGCTTTTTGTTCA</t>
  </si>
  <si>
    <t xml:space="preserve">AAACTGAACAAAAAGCAACGTGAC</t>
  </si>
  <si>
    <t xml:space="preserve">ATTCGGGGGCGTGGCGCAGC</t>
  </si>
  <si>
    <t xml:space="preserve">TAGTATTCGGGGGCGTGGCGCAGC</t>
  </si>
  <si>
    <t xml:space="preserve">AAACGCTGCGCCACGCCCCCGAAT</t>
  </si>
  <si>
    <t xml:space="preserve">AGCCGTCGCGGTCCAGGGTC</t>
  </si>
  <si>
    <t xml:space="preserve">TAGTAGCCGTCGCGGTCCAGGGTC</t>
  </si>
  <si>
    <t xml:space="preserve">AAACGACCCTGGACCGCGACGGCT</t>
  </si>
  <si>
    <t xml:space="preserve">AGCCATGCGCGTTTGCTTTC</t>
  </si>
  <si>
    <t xml:space="preserve">TAGTAGCCATGCGCGTTTGCTTTC</t>
  </si>
  <si>
    <t xml:space="preserve">AAACGAAAGCAAACGCGCATGGCT</t>
  </si>
  <si>
    <t xml:space="preserve">PSPPH_4373</t>
  </si>
  <si>
    <t xml:space="preserve">TTCAGGTAGCGGGACATCCT</t>
  </si>
  <si>
    <t xml:space="preserve">TAGTTTCAGGTAGCGGGACATCCT</t>
  </si>
  <si>
    <t xml:space="preserve">AAACAGGATGTCCCGCTACCTGAA</t>
  </si>
  <si>
    <t xml:space="preserve">CTGCGGCTCGGTCCTTGTCT</t>
  </si>
  <si>
    <t xml:space="preserve">TAGTCTGCGGCTCGGTCCTTGTCT</t>
  </si>
  <si>
    <t xml:space="preserve">AAACAGACAAGGACCGAGCCGCAG</t>
  </si>
  <si>
    <t xml:space="preserve">ACTCGGCAATTTTCATATTG</t>
  </si>
  <si>
    <t xml:space="preserve">TAGTACTCGGCAATTTTCATATTG</t>
  </si>
  <si>
    <t xml:space="preserve">AAACCAATATGAAAATTGCCGAGT</t>
  </si>
  <si>
    <t xml:space="preserve">GTCATCCCGGCCGTACTCCA</t>
  </si>
  <si>
    <t xml:space="preserve">TAGTGTCATCCCGGCCGTACTCCA</t>
  </si>
  <si>
    <t xml:space="preserve">AAACTGGAGTACGGCCGGGATGAC</t>
  </si>
  <si>
    <t xml:space="preserve">PSPPH_4374</t>
  </si>
  <si>
    <t xml:space="preserve">CAAGCGAGAAGGAATGCGCA</t>
  </si>
  <si>
    <t xml:space="preserve">TAGTCAAGCGAGAAGGAATGCGCA</t>
  </si>
  <si>
    <t xml:space="preserve">AAACTGCGCATTCCTTCTCGCTTG</t>
  </si>
  <si>
    <t xml:space="preserve">AGAAATCTGAGTCAGCAACG</t>
  </si>
  <si>
    <t xml:space="preserve">TAGTAGAAATCTGAGTCAGCAACG</t>
  </si>
  <si>
    <t xml:space="preserve">AAACCGTTGCTGACTCAGATTTCT</t>
  </si>
  <si>
    <t xml:space="preserve">AGGATAGAAAATACTGCCGC</t>
  </si>
  <si>
    <t xml:space="preserve">TAGTAGGATAGAAAATACTGCCGC</t>
  </si>
  <si>
    <t xml:space="preserve">AAACGCGGCAGTATTTTCTATCCT</t>
  </si>
  <si>
    <t xml:space="preserve">TCAATCTGACCGCGACGGTC</t>
  </si>
  <si>
    <t xml:space="preserve">TAGTTCAATCTGACCGCGACGGTC</t>
  </si>
  <si>
    <t xml:space="preserve">AAACGACCGTCGCGGTCAGATTGA</t>
  </si>
  <si>
    <t xml:space="preserve">PSPPH_4375</t>
  </si>
  <si>
    <t xml:space="preserve">CAGTCGGGAATGTTCGGCAG</t>
  </si>
  <si>
    <t xml:space="preserve">TAGTCAGTCGGGAATGTTCGGCAG</t>
  </si>
  <si>
    <t xml:space="preserve">AAACCTGCCGAACATTCCCGACTG</t>
  </si>
  <si>
    <t xml:space="preserve">CGTCACGGCAACCGCCAGCG</t>
  </si>
  <si>
    <t xml:space="preserve">TAGTCGTCACGGCAACCGCCAGCG</t>
  </si>
  <si>
    <t xml:space="preserve">AAACCGCTGGCGGTTGCCGTGACG</t>
  </si>
  <si>
    <t xml:space="preserve">ACCAGGCAACGCCCTTGGCC</t>
  </si>
  <si>
    <t xml:space="preserve">TAGTACCAGGCAACGCCCTTGGCC</t>
  </si>
  <si>
    <t xml:space="preserve">AAACGGCCAAGGGCGTTGCCTGGT</t>
  </si>
  <si>
    <t xml:space="preserve">AATCGGTAAGGCCGGCCAAC</t>
  </si>
  <si>
    <t xml:space="preserve">TAGTAATCGGTAAGGCCGGCCAAC</t>
  </si>
  <si>
    <t xml:space="preserve">AAACGTTGGCCGGCCTTACCGATT</t>
  </si>
  <si>
    <t xml:space="preserve">PSPPH_4376</t>
  </si>
  <si>
    <t xml:space="preserve">TGCTTTCCTCACTAGAGCGC</t>
  </si>
  <si>
    <t xml:space="preserve">TAGTTGCTTTCCTCACTAGAGCGC</t>
  </si>
  <si>
    <t xml:space="preserve">AAACGCGCTCTAGTGAGGAAAGCA</t>
  </si>
  <si>
    <t xml:space="preserve">CGGCGAATCATCACGTTCGT</t>
  </si>
  <si>
    <t xml:space="preserve">TAGTCGGCGAATCATCACGTTCGT</t>
  </si>
  <si>
    <t xml:space="preserve">AAACACGAACGTGATGATTCGCCG</t>
  </si>
  <si>
    <t xml:space="preserve">CTGTTGTACAACTGATTGCG</t>
  </si>
  <si>
    <t xml:space="preserve">TAGTCTGTTGTACAACTGATTGCG</t>
  </si>
  <si>
    <t xml:space="preserve">AAACCGCAATCAGTTGTACAACAG</t>
  </si>
  <si>
    <t xml:space="preserve">GCTGCTGATTATTCTGTTCC</t>
  </si>
  <si>
    <t xml:space="preserve">TAGTGCTGCTGATTATTCTGTTCC</t>
  </si>
  <si>
    <t xml:space="preserve">AAACGGAACAGAATAATCAGCAGC</t>
  </si>
  <si>
    <t xml:space="preserve">PSPPH_4377</t>
  </si>
  <si>
    <t xml:space="preserve">GCAATTCAGCCAAAATGCTC</t>
  </si>
  <si>
    <t xml:space="preserve">TAGTGCAATTCAGCCAAAATGCTC</t>
  </si>
  <si>
    <t xml:space="preserve">AAACGAGCATTTTGGCTGAATTGC</t>
  </si>
  <si>
    <t xml:space="preserve">GAGTTCGGCCAATTCCTGGT</t>
  </si>
  <si>
    <t xml:space="preserve">TAGTGAGTTCGGCCAATTCCTGGT</t>
  </si>
  <si>
    <t xml:space="preserve">AAACACCAGGAATTGGCCGAACTC</t>
  </si>
  <si>
    <t xml:space="preserve">ACCCGGCGCGAGCAGGGTGA</t>
  </si>
  <si>
    <t xml:space="preserve">TAGTACCCGGCGCGAGCAGGGTGA</t>
  </si>
  <si>
    <t xml:space="preserve">AAACTCACCCTGCTCGCGCCGGGT</t>
  </si>
  <si>
    <t xml:space="preserve">TGCGATCCAGCAGGGCCACC</t>
  </si>
  <si>
    <t xml:space="preserve">TAGTTGCGATCCAGCAGGGCCACC</t>
  </si>
  <si>
    <t xml:space="preserve">AAACGGTGGCCCTGCTGGATCGCA</t>
  </si>
  <si>
    <t xml:space="preserve">PSPPH_4378</t>
  </si>
  <si>
    <t xml:space="preserve">rluE</t>
  </si>
  <si>
    <t xml:space="preserve">GGGCGTTGGGTGCGGGACAT</t>
  </si>
  <si>
    <t xml:space="preserve">TAGTGGGCGTTGGGTGCGGGACAT</t>
  </si>
  <si>
    <t xml:space="preserve">AAACATGTCCCGCACCCAACGCCC</t>
  </si>
  <si>
    <t xml:space="preserve">AGGCAGGACGGCGGGAAACG</t>
  </si>
  <si>
    <t xml:space="preserve">TAGTAGGCAGGACGGCGGGAAACG</t>
  </si>
  <si>
    <t xml:space="preserve">AAACCGTTTCCCGCCGTCCTGCCT</t>
  </si>
  <si>
    <t xml:space="preserve">GGCAGCGCCTGCCGGATTGG</t>
  </si>
  <si>
    <t xml:space="preserve">TAGTGGCAGCGCCTGCCGGATTGG</t>
  </si>
  <si>
    <t xml:space="preserve">AAACCCAATCCGGCAGGCGCTGCC</t>
  </si>
  <si>
    <t xml:space="preserve">TGGCGCTTTGGCGACACGCC</t>
  </si>
  <si>
    <t xml:space="preserve">TAGTTGGCGCTTTGGCGACACGCC</t>
  </si>
  <si>
    <t xml:space="preserve">AAACGGCGTGTCGCCAAAGCGCCA</t>
  </si>
  <si>
    <t xml:space="preserve">PSPPH_4379</t>
  </si>
  <si>
    <t xml:space="preserve">amn</t>
  </si>
  <si>
    <t xml:space="preserve">GTCGACAATAACAAAGGCTT</t>
  </si>
  <si>
    <t xml:space="preserve">TAGTGTCGACAATAACAAAGGCTT</t>
  </si>
  <si>
    <t xml:space="preserve">AAACAAGCCTTTGTTATTGTCGAC</t>
  </si>
  <si>
    <t xml:space="preserve">CCGCTCTACGGCCTGCTCGG</t>
  </si>
  <si>
    <t xml:space="preserve">TAGTCCGCTCTACGGCCTGCTCGG</t>
  </si>
  <si>
    <t xml:space="preserve">AAACCCGAGCAGGCCGTAGAGCGG</t>
  </si>
  <si>
    <t xml:space="preserve">GGTCGCGCGCTCATGCAGCT</t>
  </si>
  <si>
    <t xml:space="preserve">TAGTGGTCGCGCGCTCATGCAGCT</t>
  </si>
  <si>
    <t xml:space="preserve">AAACAGCTGCATGAGCGCGCGACC</t>
  </si>
  <si>
    <t xml:space="preserve">GAGCGCCTGGCTCAGCGCGC</t>
  </si>
  <si>
    <t xml:space="preserve">TAGTGAGCGCCTGGCTCAGCGCGC</t>
  </si>
  <si>
    <t xml:space="preserve">AAACGCGCGCTGAGCCAGGCGCTC</t>
  </si>
  <si>
    <t xml:space="preserve">PSPPH_4380</t>
  </si>
  <si>
    <t xml:space="preserve">GGGTTTCGGCGAATTGATTC</t>
  </si>
  <si>
    <t xml:space="preserve">TAGTGGGTTTCGGCGAATTGATTC</t>
  </si>
  <si>
    <t xml:space="preserve">AAACGAATCAATTCGCCGAAACCC</t>
  </si>
  <si>
    <t xml:space="preserve">CGGTTGATTGGTGACTTCGT</t>
  </si>
  <si>
    <t xml:space="preserve">TAGTCGGTTGATTGGTGACTTCGT</t>
  </si>
  <si>
    <t xml:space="preserve">AAACACGAAGTCACCAATCAACCG</t>
  </si>
  <si>
    <t xml:space="preserve">TTCGCCCCGTCCAGCGGTGG</t>
  </si>
  <si>
    <t xml:space="preserve">TAGTTTCGCCCCGTCCAGCGGTGG</t>
  </si>
  <si>
    <t xml:space="preserve">AAACCCACCGCTGGACGGGGCGAA</t>
  </si>
  <si>
    <t xml:space="preserve">GCGGCACGTCGATACGGTAG</t>
  </si>
  <si>
    <t xml:space="preserve">TAGTGCGGCACGTCGATACGGTAG</t>
  </si>
  <si>
    <t xml:space="preserve">AAACCTACCGTATCGACGTGCCGC</t>
  </si>
  <si>
    <t xml:space="preserve">PSPPH_4381</t>
  </si>
  <si>
    <t xml:space="preserve">TCGACTGCATGACTCTGCAA</t>
  </si>
  <si>
    <t xml:space="preserve">TAGTTCGACTGCATGACTCTGCAA</t>
  </si>
  <si>
    <t xml:space="preserve">AAACTTGCAGAGTCATGCAGTCGA</t>
  </si>
  <si>
    <t xml:space="preserve">ACCTGAATGGCACGACCCAA</t>
  </si>
  <si>
    <t xml:space="preserve">TAGTACCTGAATGGCACGACCCAA</t>
  </si>
  <si>
    <t xml:space="preserve">AAACTTGGGTCGTGCCATTCAGGT</t>
  </si>
  <si>
    <t xml:space="preserve">CAATTGTCGCATCGCCGGTC</t>
  </si>
  <si>
    <t xml:space="preserve">TAGTCAATTGTCGCATCGCCGGTC</t>
  </si>
  <si>
    <t xml:space="preserve">AAACGACCGGCGATGCGACAATTG</t>
  </si>
  <si>
    <t xml:space="preserve">AAAGGCACCGGCGTGAGCGG</t>
  </si>
  <si>
    <t xml:space="preserve">TAGTAAAGGCACCGGCGTGAGCGG</t>
  </si>
  <si>
    <t xml:space="preserve">AAACCCGCTCACGCCGGTGCCTTT</t>
  </si>
  <si>
    <t xml:space="preserve">PSPPH_4382</t>
  </si>
  <si>
    <t xml:space="preserve">TCTTGCTGGTGATGGTCCGT</t>
  </si>
  <si>
    <t xml:space="preserve">TAGTTCTTGCTGGTGATGGTCCGT</t>
  </si>
  <si>
    <t xml:space="preserve">AAACACGGACCATCACCAGCAAGA</t>
  </si>
  <si>
    <t xml:space="preserve">CGCGGGCCGCTCGGGGTGCC</t>
  </si>
  <si>
    <t xml:space="preserve">TAGTCGCGGGCCGCTCGGGGTGCC</t>
  </si>
  <si>
    <t xml:space="preserve">AAACGGCACCCCGAGCGGCCCGCG</t>
  </si>
  <si>
    <t xml:space="preserve">GCGGGAGCTATAGATATTCA</t>
  </si>
  <si>
    <t xml:space="preserve">TAGTGCGGGAGCTATAGATATTCA</t>
  </si>
  <si>
    <t xml:space="preserve">AAACTGAATATCTATAGCTCCCGC</t>
  </si>
  <si>
    <t xml:space="preserve">CGGAGAGGCAAAGGACAACG</t>
  </si>
  <si>
    <t xml:space="preserve">TAGTCGGAGAGGCAAAGGACAACG</t>
  </si>
  <si>
    <t xml:space="preserve">AAACCGTTGTCCTTTGCCTCTCCG</t>
  </si>
  <si>
    <t xml:space="preserve">PSPPH_4383</t>
  </si>
  <si>
    <t xml:space="preserve">thiE</t>
  </si>
  <si>
    <t xml:space="preserve">GACTGTCGGTAATGGCATAC</t>
  </si>
  <si>
    <t xml:space="preserve">TAGTGACTGTCGGTAATGGCATAC</t>
  </si>
  <si>
    <t xml:space="preserve">AAACGTATGCCATTACCGACAGTC</t>
  </si>
  <si>
    <t xml:space="preserve">ACTCGTCACTGGTCTTGTCG</t>
  </si>
  <si>
    <t xml:space="preserve">TAGTACTCGTCACTGGTCTTGTCG</t>
  </si>
  <si>
    <t xml:space="preserve">AAACCGACAAGACCAGTGACGAGT</t>
  </si>
  <si>
    <t xml:space="preserve">GGTCGCTTCGCGCAGACGGC</t>
  </si>
  <si>
    <t xml:space="preserve">TAGTGGTCGCTTCGCGCAGACGGC</t>
  </si>
  <si>
    <t xml:space="preserve">AAACGCCGTCTGCGCGAAGCGACC</t>
  </si>
  <si>
    <t xml:space="preserve">TTCGCAGAGTTTGAGCAGCT</t>
  </si>
  <si>
    <t xml:space="preserve">TAGTTTCGCAGAGTTTGAGCAGCT</t>
  </si>
  <si>
    <t xml:space="preserve">AAACAGCTGCTCAAACTCTGCGAA</t>
  </si>
  <si>
    <t xml:space="preserve">PSPPH_4384</t>
  </si>
  <si>
    <t xml:space="preserve">hemL</t>
  </si>
  <si>
    <t xml:space="preserve">GGCGAACAGTGTTTCGGAAC</t>
  </si>
  <si>
    <t xml:space="preserve">TAGTGGCGAACAGTGTTTCGGAAC</t>
  </si>
  <si>
    <t xml:space="preserve">AAACGTTCCGAAACACTGTTCGCC</t>
  </si>
  <si>
    <t xml:space="preserve">GGGGATGTGTTTTTGGGCGT</t>
  </si>
  <si>
    <t xml:space="preserve">TAGTGGGGATGTGTTTTTGGGCGT</t>
  </si>
  <si>
    <t xml:space="preserve">AAACACGCCCAAAAACACATCCCC</t>
  </si>
  <si>
    <t xml:space="preserve">ACCGGCGAATTGACGCCACC</t>
  </si>
  <si>
    <t xml:space="preserve">TAGTACCGGCGAATTGACGCCACC</t>
  </si>
  <si>
    <t xml:space="preserve">AAACGGTGGCGTCAATTCGCCGGT</t>
  </si>
  <si>
    <t xml:space="preserve">GCAGCATGTTTGAAGAACAG</t>
  </si>
  <si>
    <t xml:space="preserve">TAGTGCAGCATGTTTGAAGAACAG</t>
  </si>
  <si>
    <t xml:space="preserve">AAACCTGTTCTTCAAACATGCTGC</t>
  </si>
  <si>
    <t xml:space="preserve">PSPPH_4385</t>
  </si>
  <si>
    <t xml:space="preserve">GTGCGGCCGGTGCGGTTCAT</t>
  </si>
  <si>
    <t xml:space="preserve">TAGTGTGCGGCCGGTGCGGTTCAT</t>
  </si>
  <si>
    <t xml:space="preserve">AAACATGAACCGCACCGGCCGCAC</t>
  </si>
  <si>
    <t xml:space="preserve">CAACAGGCAGCCCAATACAA</t>
  </si>
  <si>
    <t xml:space="preserve">TAGTCAACAGGCAGCCCAATACAA</t>
  </si>
  <si>
    <t xml:space="preserve">AAACTTGTATTGGGCTGCCTGTTG</t>
  </si>
  <si>
    <t xml:space="preserve">CCGCCAGCAGTCGCCAGCAG</t>
  </si>
  <si>
    <t xml:space="preserve">TAGTCCGCCAGCAGTCGCCAGCAG</t>
  </si>
  <si>
    <t xml:space="preserve">AAACCTGCTGGCGACTGCTGGCGG</t>
  </si>
  <si>
    <t xml:space="preserve">GGGTGCAACGACCCATCGCC</t>
  </si>
  <si>
    <t xml:space="preserve">TAGTGGGTGCAACGACCCATCGCC</t>
  </si>
  <si>
    <t xml:space="preserve">AAACGGCGATGGGTCGTTGCACCC</t>
  </si>
  <si>
    <t xml:space="preserve">PSPPH_4386</t>
  </si>
  <si>
    <t xml:space="preserve">ACGGACTATAGCATGTCCAT</t>
  </si>
  <si>
    <t xml:space="preserve">TAGTACGGACTATAGCATGTCCAT</t>
  </si>
  <si>
    <t xml:space="preserve">AAACATGGACATGCTATAGTCCGT</t>
  </si>
  <si>
    <t xml:space="preserve">AACGATCGGAGATGAAAAAG</t>
  </si>
  <si>
    <t xml:space="preserve">TAGTAACGATCGGAGATGAAAAAG</t>
  </si>
  <si>
    <t xml:space="preserve">AAACCTTTTTCATCTCCGATCGTT</t>
  </si>
  <si>
    <t xml:space="preserve">CGCGTTTGGTCATAACGGGC</t>
  </si>
  <si>
    <t xml:space="preserve">TAGTCGCGTTTGGTCATAACGGGC</t>
  </si>
  <si>
    <t xml:space="preserve">AAACGCCCGTTATGACCAAACGCG</t>
  </si>
  <si>
    <t xml:space="preserve">AGGAAAATCACCTTGTAGAT</t>
  </si>
  <si>
    <t xml:space="preserve">TAGTAGGAAAATCACCTTGTAGAT</t>
  </si>
  <si>
    <t xml:space="preserve">AAACATCTACAAGGTGATTTTCCT</t>
  </si>
  <si>
    <t xml:space="preserve">PSPPH_4387</t>
  </si>
  <si>
    <t xml:space="preserve">miaB</t>
  </si>
  <si>
    <t xml:space="preserve">GGTTTCGATATAAAGCTTCT</t>
  </si>
  <si>
    <t xml:space="preserve">TAGTGGTTTCGATATAAAGCTTCT</t>
  </si>
  <si>
    <t xml:space="preserve">AAACAGAAGCTTTATATCGAAACC</t>
  </si>
  <si>
    <t xml:space="preserve">CTCGTTCATCTGGCAACCGT</t>
  </si>
  <si>
    <t xml:space="preserve">TAGTCTCGTTCATCTGGCAACCGT</t>
  </si>
  <si>
    <t xml:space="preserve">AAACACGGTTGCCAGATGAACGAG</t>
  </si>
  <si>
    <t xml:space="preserve">CGCGCGAGCGGTGACTTCCA</t>
  </si>
  <si>
    <t xml:space="preserve">TAGTCGCGCGAGCGGTGACTTCCA</t>
  </si>
  <si>
    <t xml:space="preserve">AAACTGGAAGTCACCGCTCGCGCG</t>
  </si>
  <si>
    <t xml:space="preserve">GGTATTGAGCAGGATCACGT</t>
  </si>
  <si>
    <t xml:space="preserve">TAGTGGTATTGAGCAGGATCACGT</t>
  </si>
  <si>
    <t xml:space="preserve">AAACACGTGATCCTGCTCAATACC</t>
  </si>
  <si>
    <t xml:space="preserve">PSPPH_4388</t>
  </si>
  <si>
    <t xml:space="preserve">AGGTTCTATGGGTGCGTTCA</t>
  </si>
  <si>
    <t xml:space="preserve">TAGTAGGTTCTATGGGTGCGTTCA</t>
  </si>
  <si>
    <t xml:space="preserve">AAACTGAACGCACCCATAGAACCT</t>
  </si>
  <si>
    <t xml:space="preserve">GGCTCGAGGGTGAAGCGATG</t>
  </si>
  <si>
    <t xml:space="preserve">TAGTGGCTCGAGGGTGAAGCGATG</t>
  </si>
  <si>
    <t xml:space="preserve">AAACCATCGCTTCACCCTCGAGCC</t>
  </si>
  <si>
    <t xml:space="preserve">GCGAAACGATGGGCCTCGAA</t>
  </si>
  <si>
    <t xml:space="preserve">TAGTGCGAAACGATGGGCCTCGAA</t>
  </si>
  <si>
    <t xml:space="preserve">AAACTTCGAGGCCCATCGTTTCGC</t>
  </si>
  <si>
    <t xml:space="preserve">GTCGAGTTGCCCGCACAGGT</t>
  </si>
  <si>
    <t xml:space="preserve">TAGTGTCGAGTTGCCCGCACAGGT</t>
  </si>
  <si>
    <t xml:space="preserve">AAACACCTGTGCGGGCAACTCGAC</t>
  </si>
  <si>
    <t xml:space="preserve">PSPPH_4389</t>
  </si>
  <si>
    <t xml:space="preserve">TTGTTTCGCTGGCAATCTGC</t>
  </si>
  <si>
    <t xml:space="preserve">TAGTTTGTTTCGCTGGCAATCTGC</t>
  </si>
  <si>
    <t xml:space="preserve">AAACGCAGATTGCCAGCGAAACAA</t>
  </si>
  <si>
    <t xml:space="preserve">GCGGAATCGGGCTTCGTCGG</t>
  </si>
  <si>
    <t xml:space="preserve">TAGTGCGGAATCGGGCTTCGTCGG</t>
  </si>
  <si>
    <t xml:space="preserve">AAACCCGACGAAGCCCGATTCCGC</t>
  </si>
  <si>
    <t xml:space="preserve">GCAAGCCCATTTCACACCAG</t>
  </si>
  <si>
    <t xml:space="preserve">TAGTGCAAGCCCATTTCACACCAG</t>
  </si>
  <si>
    <t xml:space="preserve">AAACCTGGTGTGAAATGGGCTTGC</t>
  </si>
  <si>
    <t xml:space="preserve">GCGGATGGTCAGCTCGGAAT</t>
  </si>
  <si>
    <t xml:space="preserve">TAGTGCGGATGGTCAGCTCGGAAT</t>
  </si>
  <si>
    <t xml:space="preserve">AAACATTCCGAGCTGACCATCCGC</t>
  </si>
  <si>
    <t xml:space="preserve">PSPPH_4390</t>
  </si>
  <si>
    <t xml:space="preserve">ACTTTTGCCCGTTGCTCGAT</t>
  </si>
  <si>
    <t xml:space="preserve">TAGTACTTTTGCCCGTTGCTCGAT</t>
  </si>
  <si>
    <t xml:space="preserve">AAACATCGAGCAACGGGCAAAAGT</t>
  </si>
  <si>
    <t xml:space="preserve">CGGCTCATGGACAAAGGCCT</t>
  </si>
  <si>
    <t xml:space="preserve">TAGTCGGCTCATGGACAAAGGCCT</t>
  </si>
  <si>
    <t xml:space="preserve">AAACAGGCCTTTGTCCATGAGCCG</t>
  </si>
  <si>
    <t xml:space="preserve">AGCAGCTCCTGGCGGTTTTT</t>
  </si>
  <si>
    <t xml:space="preserve">TAGTAGCAGCTCCTGGCGGTTTTT</t>
  </si>
  <si>
    <t xml:space="preserve">AAACAAAAACCGCCAGGAGCTGCT</t>
  </si>
  <si>
    <t xml:space="preserve">GTCCAGCAGTTTGTTCTGGT</t>
  </si>
  <si>
    <t xml:space="preserve">TAGTGTCCAGCAGTTTGTTCTGGT</t>
  </si>
  <si>
    <t xml:space="preserve">AAACACCAGAACAAACTGCTGGAC</t>
  </si>
  <si>
    <t xml:space="preserve">PSPPH_4391</t>
  </si>
  <si>
    <t xml:space="preserve">cutE</t>
  </si>
  <si>
    <t xml:space="preserve">GTTACCGGGCCAGCCGGGGC</t>
  </si>
  <si>
    <t xml:space="preserve">TAGTGTTACCGGGCCAGCCGGGGC</t>
  </si>
  <si>
    <t xml:space="preserve">AAACGCCCCGGCTGGCCCGGTAAC</t>
  </si>
  <si>
    <t xml:space="preserve">CGCCAGCCGCCAGGGCCAGC</t>
  </si>
  <si>
    <t xml:space="preserve">TAGTCGCCAGCCGCCAGGGCCAGC</t>
  </si>
  <si>
    <t xml:space="preserve">AAACGCTGGCCCTGGCGGCTGGCG</t>
  </si>
  <si>
    <t xml:space="preserve">GTCGAAGGGCGCCAGGGCCA</t>
  </si>
  <si>
    <t xml:space="preserve">TAGTGTCGAAGGGCGCCAGGGCCA</t>
  </si>
  <si>
    <t xml:space="preserve">AAACTGGCCCTGGCGCCCTTCGAC</t>
  </si>
  <si>
    <t xml:space="preserve">GCGCAGCCCCAGATAGAAGA</t>
  </si>
  <si>
    <t xml:space="preserve">TAGTGCGCAGCCCCAGATAGAAGA</t>
  </si>
  <si>
    <t xml:space="preserve">AAACTCTTCTATCTGGGGCTGCGC</t>
  </si>
  <si>
    <t xml:space="preserve">PSPPH_4392</t>
  </si>
  <si>
    <t xml:space="preserve">AGCAGGTAGCGCAAAGGCAT</t>
  </si>
  <si>
    <t xml:space="preserve">TAGTAGCAGGTAGCGCAAAGGCAT</t>
  </si>
  <si>
    <t xml:space="preserve">AAACATGCCTTTGCGCTACCTGCT</t>
  </si>
  <si>
    <t xml:space="preserve">GACACCGGGCGGCAAAAGGA</t>
  </si>
  <si>
    <t xml:space="preserve">TAGTGACACCGGGCGGCAAAAGGA</t>
  </si>
  <si>
    <t xml:space="preserve">AAACTCCTTTTGCCGCCCGGTGTC</t>
  </si>
  <si>
    <t xml:space="preserve">CAAGAATGAGCAGAACAAAC</t>
  </si>
  <si>
    <t xml:space="preserve">TAGTCAAGAATGAGCAGAACAAAC</t>
  </si>
  <si>
    <t xml:space="preserve">AAACGTTTGTTCTGCTCATTCTTG</t>
  </si>
  <si>
    <t xml:space="preserve">TGCCGTTGCCAGGCGCGGAC</t>
  </si>
  <si>
    <t xml:space="preserve">TAGTTGCCGTTGCCAGGCGCGGAC</t>
  </si>
  <si>
    <t xml:space="preserve">AAACGTCCGCGCCTGGCAACGGCA</t>
  </si>
  <si>
    <t xml:space="preserve">PSPPH_4393</t>
  </si>
  <si>
    <t xml:space="preserve">GCTTACTACATGCTGCAACT</t>
  </si>
  <si>
    <t xml:space="preserve">TAGTGCTTACTACATGCTGCAACT</t>
  </si>
  <si>
    <t xml:space="preserve">AAACAGTTGCAGCATGTAGTAAGC</t>
  </si>
  <si>
    <t xml:space="preserve">GACGCTCATACAGTTCGGAC</t>
  </si>
  <si>
    <t xml:space="preserve">TAGTGACGCTCATACAGTTCGGAC</t>
  </si>
  <si>
    <t xml:space="preserve">AAACGTCCGAACTGTATGAGCGTC</t>
  </si>
  <si>
    <t xml:space="preserve">TCTCGAGCGCAAGCCCGAGG</t>
  </si>
  <si>
    <t xml:space="preserve">TAGTTCTCGAGCGCAAGCCCGAGG</t>
  </si>
  <si>
    <t xml:space="preserve">AAACCCTCGGGCTTGCGCTCGAGA</t>
  </si>
  <si>
    <t xml:space="preserve">CTCGTTTCGGAGCCGGACCG</t>
  </si>
  <si>
    <t xml:space="preserve">TAGTCTCGTTTCGGAGCCGGACCG</t>
  </si>
  <si>
    <t xml:space="preserve">AAACCGGTCCGGCTCCGAAACGAG</t>
  </si>
  <si>
    <t xml:space="preserve">PSPPH_4394</t>
  </si>
  <si>
    <t xml:space="preserve">leuS</t>
  </si>
  <si>
    <t xml:space="preserve">GGGCTGATAGAGTTCGTGCA</t>
  </si>
  <si>
    <t xml:space="preserve">TAGTGGGCTGATAGAGTTCGTGCA</t>
  </si>
  <si>
    <t xml:space="preserve">AAACTGCACGAACTCTATCAGCCC</t>
  </si>
  <si>
    <t xml:space="preserve">GCAGCGGCTTCGATTTCGCG</t>
  </si>
  <si>
    <t xml:space="preserve">TAGTGCAGCGGCTTCGATTTCGCG</t>
  </si>
  <si>
    <t xml:space="preserve">AAACCGCGAAATCGAAGCCGCTGC</t>
  </si>
  <si>
    <t xml:space="preserve">TTGCTCATCCCAGAATGTCT</t>
  </si>
  <si>
    <t xml:space="preserve">TAGTTTGCTCATCCCAGAATGTCT</t>
  </si>
  <si>
    <t xml:space="preserve">AAACAGACATTCTGGGATGAGCAA</t>
  </si>
  <si>
    <t xml:space="preserve">CAATAGAAAGTGTCCTTGCC</t>
  </si>
  <si>
    <t xml:space="preserve">TAGTCAATAGAAAGTGTCCTTGCC</t>
  </si>
  <si>
    <t xml:space="preserve">AAACGGCAAGGACACTTTCTATTG</t>
  </si>
  <si>
    <t xml:space="preserve">PSPPH_4395</t>
  </si>
  <si>
    <t xml:space="preserve">AGGCACTCAACAGAACAGCC</t>
  </si>
  <si>
    <t xml:space="preserve">TAGTAGGCACTCAACAGAACAGCC</t>
  </si>
  <si>
    <t xml:space="preserve">AAACGGCTGTTCTGTTGAGTGCCT</t>
  </si>
  <si>
    <t xml:space="preserve">GCCGCGCAGCTGGAAGCCAC</t>
  </si>
  <si>
    <t xml:space="preserve">TAGTGCCGCGCAGCTGGAAGCCAC</t>
  </si>
  <si>
    <t xml:space="preserve">AAACGTGGCTTCCAGCTGCGCGGC</t>
  </si>
  <si>
    <t xml:space="preserve">GATGGCCAGCTCGGTGGTGC</t>
  </si>
  <si>
    <t xml:space="preserve">TAGTGATGGCCAGCTCGGTGGTGC</t>
  </si>
  <si>
    <t xml:space="preserve">AAACGCACCACCGAGCTGGCCATC</t>
  </si>
  <si>
    <t xml:space="preserve">CAGGCGAGTGAGTTGGGTTA</t>
  </si>
  <si>
    <t xml:space="preserve">TAGTCAGGCGAGTGAGTTGGGTTA</t>
  </si>
  <si>
    <t xml:space="preserve">AAACTAACCCAACTCACTCGCCTG</t>
  </si>
  <si>
    <t xml:space="preserve">PSPPH_4396</t>
  </si>
  <si>
    <t xml:space="preserve">holA</t>
  </si>
  <si>
    <t xml:space="preserve">GTGTTTACCCAGTTGGGCGG</t>
  </si>
  <si>
    <t xml:space="preserve">TAGTGTGTTTACCCAGTTGGGCGG</t>
  </si>
  <si>
    <t xml:space="preserve">AAACCCGCCCAACTGGGTAAACAC</t>
  </si>
  <si>
    <t xml:space="preserve">CAGGCGCAAGCGTACCTTGC</t>
  </si>
  <si>
    <t xml:space="preserve">TAGTCAGGCGCAAGCGTACCTTGC</t>
  </si>
  <si>
    <t xml:space="preserve">AAACGCAAGGTACGCTTGCGCCTG</t>
  </si>
  <si>
    <t xml:space="preserve">CAGCTTCCTGGCAGAGCAAC</t>
  </si>
  <si>
    <t xml:space="preserve">TAGTCAGCTTCCTGGCAGAGCAAC</t>
  </si>
  <si>
    <t xml:space="preserve">AAACGTTGCTCTGCCAGGAAGCTG</t>
  </si>
  <si>
    <t xml:space="preserve">CTGGCGCGCAGCAGCACGCA</t>
  </si>
  <si>
    <t xml:space="preserve">TAGTCTGGCGCGCAGCAGCACGCA</t>
  </si>
  <si>
    <t xml:space="preserve">AAACTGCGTGCTGCTGCGCGCCAG</t>
  </si>
  <si>
    <t xml:space="preserve">PSPPH_4397</t>
  </si>
  <si>
    <t xml:space="preserve">CGGCCGCTTTGGCTTGCTCA</t>
  </si>
  <si>
    <t xml:space="preserve">TAGTCGGCCGCTTTGGCTTGCTCA</t>
  </si>
  <si>
    <t xml:space="preserve">AAACTGAGCAAGCCAAAGCGGCCG</t>
  </si>
  <si>
    <t xml:space="preserve">ATGATGGATTTGGCCTTGTT</t>
  </si>
  <si>
    <t xml:space="preserve">TAGTATGATGGATTTGGCCTTGTT</t>
  </si>
  <si>
    <t xml:space="preserve">AAACAACAAGGCCAAATCCATCAT</t>
  </si>
  <si>
    <t xml:space="preserve">ACGACTGCGGAACAATGGCT</t>
  </si>
  <si>
    <t xml:space="preserve">TAGTACGACTGCGGAACAATGGCT</t>
  </si>
  <si>
    <t xml:space="preserve">AAACAGCCATTGTTCCGCAGTCGT</t>
  </si>
  <si>
    <t xml:space="preserve">TAGCTGCCTTTGCCCTTGGC</t>
  </si>
  <si>
    <t xml:space="preserve">TAGTTAGCTGCCTTTGCCCTTGGC</t>
  </si>
  <si>
    <t xml:space="preserve">AAACGCCAAGGGCAAAGGCAGCTA</t>
  </si>
  <si>
    <t xml:space="preserve">PSPPH_4398</t>
  </si>
  <si>
    <t xml:space="preserve">GGGCGATGGGTAAAACGAGA</t>
  </si>
  <si>
    <t xml:space="preserve">TAGTGGGCGATGGGTAAAACGAGA</t>
  </si>
  <si>
    <t xml:space="preserve">AAACTCTCGTTTTACCCATCGCCC</t>
  </si>
  <si>
    <t xml:space="preserve">GCGATGAGTTGGCGCAGCTG</t>
  </si>
  <si>
    <t xml:space="preserve">TAGTGCGATGAGTTGGCGCAGCTG</t>
  </si>
  <si>
    <t xml:space="preserve">AAACCAGCTGCGCCAACTCATCGC</t>
  </si>
  <si>
    <t xml:space="preserve">TACCAATGCAACAAGGCTGG</t>
  </si>
  <si>
    <t xml:space="preserve">TAGTTACCAATGCAACAAGGCTGG</t>
  </si>
  <si>
    <t xml:space="preserve">AAACCCAGCCTTGTTGCATTGGTA</t>
  </si>
  <si>
    <t xml:space="preserve">TGCAGTGGGTTTTTCTGCGC</t>
  </si>
  <si>
    <t xml:space="preserve">TAGTTGCAGTGGGTTTTTCTGCGC</t>
  </si>
  <si>
    <t xml:space="preserve">AAACGCGCAGAAAAACCCACTGCA</t>
  </si>
  <si>
    <t xml:space="preserve">PSPPH_4399</t>
  </si>
  <si>
    <t xml:space="preserve">lipA</t>
  </si>
  <si>
    <t xml:space="preserve">CGTCGGGATCAGGGTTTGCA</t>
  </si>
  <si>
    <t xml:space="preserve">TAGTCGTCGGGATCAGGGTTTGCA</t>
  </si>
  <si>
    <t xml:space="preserve">AAACTGCAAACCCTGATCCCGACG</t>
  </si>
  <si>
    <t xml:space="preserve">TTTCGGACGGGCCACTCGCT</t>
  </si>
  <si>
    <t xml:space="preserve">TAGTTTTCGGACGGGCCACTCGCT</t>
  </si>
  <si>
    <t xml:space="preserve">AAACAGCGAGTGGCCCGTCCGAAA</t>
  </si>
  <si>
    <t xml:space="preserve">CCGTTGGAATGATCTTGACC</t>
  </si>
  <si>
    <t xml:space="preserve">TAGTCCGTTGGAATGATCTTGACC</t>
  </si>
  <si>
    <t xml:space="preserve">AAACGGTCAAGATCATTCCAACGG</t>
  </si>
  <si>
    <t xml:space="preserve">CGAATCCAGTCGGGTTTCTT</t>
  </si>
  <si>
    <t xml:space="preserve">TAGTCGAATCCAGTCGGGTTTCTT</t>
  </si>
  <si>
    <t xml:space="preserve">AAACAAGAAACCCGACTGGATTCG</t>
  </si>
  <si>
    <t xml:space="preserve">PSPPH_4400</t>
  </si>
  <si>
    <t xml:space="preserve">lipB</t>
  </si>
  <si>
    <t xml:space="preserve">AGGCGGTTTCGTAATCGATC</t>
  </si>
  <si>
    <t xml:space="preserve">TAGTAGGCGGTTTCGTAATCGATC</t>
  </si>
  <si>
    <t xml:space="preserve">AAACGATCGATTACGAAACCGCCT</t>
  </si>
  <si>
    <t xml:space="preserve">AAAGCGCTGCATGGCGTGCC</t>
  </si>
  <si>
    <t xml:space="preserve">TAGTAAAGCGCTGCATGGCGTGCC</t>
  </si>
  <si>
    <t xml:space="preserve">AAACGGCACGCCATGCAGCGCTTT</t>
  </si>
  <si>
    <t xml:space="preserve">AGCCTCGCGGCCACGCCCAT</t>
  </si>
  <si>
    <t xml:space="preserve">TAGTAGCCTCGCGGCCACGCCCAT</t>
  </si>
  <si>
    <t xml:space="preserve">AAACATGGGCGTGGCCGCGAGGCT</t>
  </si>
  <si>
    <t xml:space="preserve">CTGGACCAGCCAGACCTCAT</t>
  </si>
  <si>
    <t xml:space="preserve">TAGTCTGGACCAGCCAGACCTCAT</t>
  </si>
  <si>
    <t xml:space="preserve">AAACATGAGGTCTGGCTGGTCCAG</t>
  </si>
  <si>
    <t xml:space="preserve">PSPPH_4401</t>
  </si>
  <si>
    <t xml:space="preserve">GGTCTCACAAGCCGTGACGA</t>
  </si>
  <si>
    <t xml:space="preserve">TAGTGGTCTCACAAGCCGTGACGA</t>
  </si>
  <si>
    <t xml:space="preserve">AAACTCGTCACGGCTTGTGAGACC</t>
  </si>
  <si>
    <t xml:space="preserve">GGTATCAGTCATGGCAGTAA</t>
  </si>
  <si>
    <t xml:space="preserve">TAGTGGTATCAGTCATGGCAGTAA</t>
  </si>
  <si>
    <t xml:space="preserve">AAACTTACTGCCATGACTGATACC</t>
  </si>
  <si>
    <t xml:space="preserve">GATTTTGTGCGACTTGATGT</t>
  </si>
  <si>
    <t xml:space="preserve">TAGTGATTTTGTGCGACTTGATGT</t>
  </si>
  <si>
    <t xml:space="preserve">AAACACATCAAGTCGCACAAAATC</t>
  </si>
  <si>
    <t xml:space="preserve">TGATCGGATAGTCATCGCAG</t>
  </si>
  <si>
    <t xml:space="preserve">TAGTTGATCGGATAGTCATCGCAG</t>
  </si>
  <si>
    <t xml:space="preserve">AAACCTGCGATGACTATCCGATCA</t>
  </si>
  <si>
    <t xml:space="preserve">PSPPH_4402</t>
  </si>
  <si>
    <t xml:space="preserve">GCACAAACGTTTTGCAAAGG</t>
  </si>
  <si>
    <t xml:space="preserve">TAGTGCACAAACGTTTTGCAAAGG</t>
  </si>
  <si>
    <t xml:space="preserve">AAACCCTTTGCAAAACGTTTGTGC</t>
  </si>
  <si>
    <t xml:space="preserve">TAATAATCAGTGGAACAAGC</t>
  </si>
  <si>
    <t xml:space="preserve">TAGTTAATAATCAGTGGAACAAGC</t>
  </si>
  <si>
    <t xml:space="preserve">AAACGCTTGTTCCACTGATTATTA</t>
  </si>
  <si>
    <t xml:space="preserve">CTCTGCCGCCCAGACGGTCG</t>
  </si>
  <si>
    <t xml:space="preserve">TAGTCTCTGCCGCCCAGACGGTCG</t>
  </si>
  <si>
    <t xml:space="preserve">AAACCGACCGTCTGGGCGGCAGAG</t>
  </si>
  <si>
    <t xml:space="preserve">GCTGCCAGTTGCGGCGCAGC</t>
  </si>
  <si>
    <t xml:space="preserve">TAGTGCTGCCAGTTGCGGCGCAGC</t>
  </si>
  <si>
    <t xml:space="preserve">AAACGCTGCGCCGCAACTGGCAGC</t>
  </si>
  <si>
    <t xml:space="preserve">PSPPH_4403</t>
  </si>
  <si>
    <t xml:space="preserve">ACCTGCAACGCTGGCCCTGA</t>
  </si>
  <si>
    <t xml:space="preserve">TAGTACCTGCAACGCTGGCCCTGA</t>
  </si>
  <si>
    <t xml:space="preserve">AAACTCAGGGCCAGCGTTGCAGGT</t>
  </si>
  <si>
    <t xml:space="preserve">TGTTCGACACACGACCTTGT</t>
  </si>
  <si>
    <t xml:space="preserve">TAGTTGTTCGACACACGACCTTGT</t>
  </si>
  <si>
    <t xml:space="preserve">AAACACAAGGTCGTGTGTCGAACA</t>
  </si>
  <si>
    <t xml:space="preserve">GTGGCGCCAGGCTGTAACCC</t>
  </si>
  <si>
    <t xml:space="preserve">TAGTGTGGCGCCAGGCTGTAACCC</t>
  </si>
  <si>
    <t xml:space="preserve">AAACGGGTTACAGCCTGGCGCCAC</t>
  </si>
  <si>
    <t xml:space="preserve">GAGGCGAAAACGCCTCGGTA</t>
  </si>
  <si>
    <t xml:space="preserve">TAGTGAGGCGAAAACGCCTCGGTA</t>
  </si>
  <si>
    <t xml:space="preserve">AAACTACCGAGGCGTTTTCGCCTC</t>
  </si>
  <si>
    <t xml:space="preserve">PSPPH_4404</t>
  </si>
  <si>
    <t xml:space="preserve">AGCTTGAATGTTTGCAGAAT</t>
  </si>
  <si>
    <t xml:space="preserve">TAGTAGCTTGAATGTTTGCAGAAT</t>
  </si>
  <si>
    <t xml:space="preserve">AAACATTCTGCAAACATTCAAGCT</t>
  </si>
  <si>
    <t xml:space="preserve">GGCAACCAGCACTGCGAGGC</t>
  </si>
  <si>
    <t xml:space="preserve">TAGTGGCAACCAGCACTGCGAGGC</t>
  </si>
  <si>
    <t xml:space="preserve">AAACGCCTCGCAGTGCTGGTTGCC</t>
  </si>
  <si>
    <t xml:space="preserve">GCGTGACGGCGACGAGCAAC</t>
  </si>
  <si>
    <t xml:space="preserve">TAGTGCGTGACGGCGACGAGCAAC</t>
  </si>
  <si>
    <t xml:space="preserve">AAACGTTGCTCGTCGCCGTCACGC</t>
  </si>
  <si>
    <t xml:space="preserve">GCCTTTTGGCGACTGCGACG</t>
  </si>
  <si>
    <t xml:space="preserve">TAGTGCCTTTTGGCGACTGCGACG</t>
  </si>
  <si>
    <t xml:space="preserve">AAACCGTCGCAGTCGCCAAAAGGC</t>
  </si>
  <si>
    <t xml:space="preserve">PSPPH_4405</t>
  </si>
  <si>
    <t xml:space="preserve">mltB</t>
  </si>
  <si>
    <t xml:space="preserve">GCGCCTCTTGCACCGATCCA</t>
  </si>
  <si>
    <t xml:space="preserve">TAGTGCGCCTCTTGCACCGATCCA</t>
  </si>
  <si>
    <t xml:space="preserve">AAACTGGATCGGTGCAAGAGGCGC</t>
  </si>
  <si>
    <t xml:space="preserve">GGGCGAACCCTCATAGTGGC</t>
  </si>
  <si>
    <t xml:space="preserve">TAGTGGGCGAACCCTCATAGTGGC</t>
  </si>
  <si>
    <t xml:space="preserve">AAACGCCACTATGAGGGTTCGCCC</t>
  </si>
  <si>
    <t xml:space="preserve">CCAACGAATTCCGCTACCTG</t>
  </si>
  <si>
    <t xml:space="preserve">TAGTCCAACGAATTCCGCTACCTG</t>
  </si>
  <si>
    <t xml:space="preserve">AAACCAGGTAGCGGAATTCGTTGG</t>
  </si>
  <si>
    <t xml:space="preserve">ACCGGCAAAACCGTGATCGC</t>
  </si>
  <si>
    <t xml:space="preserve">TAGTACCGGCAAAACCGTGATCGC</t>
  </si>
  <si>
    <t xml:space="preserve">AAACGCGATCACGGTTTTGCCGGT</t>
  </si>
  <si>
    <t xml:space="preserve">PSPPH_4406</t>
  </si>
  <si>
    <t xml:space="preserve">rodA</t>
  </si>
  <si>
    <t xml:space="preserve">TGCGCTGCAAAAAAGTGGCA</t>
  </si>
  <si>
    <t xml:space="preserve">TAGTTGCGCTGCAAAAAAGTGGCA</t>
  </si>
  <si>
    <t xml:space="preserve">AAACTGCCACTTTTTTGCAGCGCA</t>
  </si>
  <si>
    <t xml:space="preserve">TCAGCAACAGGATCAACAAC</t>
  </si>
  <si>
    <t xml:space="preserve">TAGTTCAGCAACAGGATCAACAAC</t>
  </si>
  <si>
    <t xml:space="preserve">AAACGTTGTTGATCCTGTTGCTGA</t>
  </si>
  <si>
    <t xml:space="preserve">GAACAGGCTGCCGGCCGCAA</t>
  </si>
  <si>
    <t xml:space="preserve">TAGTGAACAGGCTGCCGGCCGCAA</t>
  </si>
  <si>
    <t xml:space="preserve">AAACTTGCGGCCGGCAGCCTGTTC</t>
  </si>
  <si>
    <t xml:space="preserve">TCTTGCCGCTGGCCGAATAC</t>
  </si>
  <si>
    <t xml:space="preserve">TAGTTCTTGCCGCTGGCCGAATAC</t>
  </si>
  <si>
    <t xml:space="preserve">AAACGTATTCGGCCAGCGGCAAGA</t>
  </si>
  <si>
    <t xml:space="preserve">PSPPH_4407</t>
  </si>
  <si>
    <t xml:space="preserve">mrdA</t>
  </si>
  <si>
    <t xml:space="preserve">TCGTGGTCTTTGAGGCGGAT</t>
  </si>
  <si>
    <t xml:space="preserve">TAGTTCGTGGTCTTTGAGGCGGAT</t>
  </si>
  <si>
    <t xml:space="preserve">AAACATCCGCCTCAAAGACCACGA</t>
  </si>
  <si>
    <t xml:space="preserve">ACACGACCCTGCCGCGCACC</t>
  </si>
  <si>
    <t xml:space="preserve">TAGTACACGACCCTGCCGCGCACC</t>
  </si>
  <si>
    <t xml:space="preserve">AAACGGTGCGCGGCAGGGTCGTGT</t>
  </si>
  <si>
    <t xml:space="preserve">CACCAGCAACACCACCGCCA</t>
  </si>
  <si>
    <t xml:space="preserve">TAGTCACCAGCAACACCACCGCCA</t>
  </si>
  <si>
    <t xml:space="preserve">AAACTGGCGGTGGTGTTGCTGGTG</t>
  </si>
  <si>
    <t xml:space="preserve">GACCTGCAGGTAATACAGCC</t>
  </si>
  <si>
    <t xml:space="preserve">TAGTGACCTGCAGGTAATACAGCC</t>
  </si>
  <si>
    <t xml:space="preserve">AAACGGCTGTATTACCTGCAGGTC</t>
  </si>
  <si>
    <t xml:space="preserve">PSPPH_4408</t>
  </si>
  <si>
    <t xml:space="preserve">CAACCTTCTTCCACCCACTT</t>
  </si>
  <si>
    <t xml:space="preserve">TAGTCAACCTTCTTCCACCCACTT</t>
  </si>
  <si>
    <t xml:space="preserve">AAACAAGTGGGTGGAAGAAGGTTG</t>
  </si>
  <si>
    <t xml:space="preserve">AAGCTCGGAGGGCATCCGCT</t>
  </si>
  <si>
    <t xml:space="preserve">TAGTAAGCTCGGAGGGCATCCGCT</t>
  </si>
  <si>
    <t xml:space="preserve">AAACAGCGGATGCCCTCCGAGCTT</t>
  </si>
  <si>
    <t xml:space="preserve">TCTTGCCCCGGGTATTGAGC</t>
  </si>
  <si>
    <t xml:space="preserve">TAGTTCTTGCCCCGGGTATTGAGC</t>
  </si>
  <si>
    <t xml:space="preserve">AAACGCTCAATACCCGGGGCAAGA</t>
  </si>
  <si>
    <t xml:space="preserve">GCATCGCCTCGCCTTCCTGA</t>
  </si>
  <si>
    <t xml:space="preserve">TAGTGCATCGCCTCGCCTTCCTGA</t>
  </si>
  <si>
    <t xml:space="preserve">AAACTCAGGAAGGCGAGGCGATGC</t>
  </si>
  <si>
    <t xml:space="preserve">PSPPH_4409</t>
  </si>
  <si>
    <t xml:space="preserve">TGCACCCTTGACTTCTTCAA</t>
  </si>
  <si>
    <t xml:space="preserve">TAGTTGCACCCTTGACTTCTTCAA</t>
  </si>
  <si>
    <t xml:space="preserve">AAACTTGAAGAAGTCAAGGGTGCA</t>
  </si>
  <si>
    <t xml:space="preserve">GGTCTTGTCACGCACATCGA</t>
  </si>
  <si>
    <t xml:space="preserve">TAGTGGTCTTGTCACGCACATCGA</t>
  </si>
  <si>
    <t xml:space="preserve">AAACTCGATGTGCGTGACAAGACC</t>
  </si>
  <si>
    <t xml:space="preserve">CAGCATGTAGTCAGCGATGC</t>
  </si>
  <si>
    <t xml:space="preserve">TAGTCAGCATGTAGTCAGCGATGC</t>
  </si>
  <si>
    <t xml:space="preserve">AAACGCATCGCTGACTACATGCTG</t>
  </si>
  <si>
    <t xml:space="preserve">CAACTGACGGTTGGACGTAC</t>
  </si>
  <si>
    <t xml:space="preserve">TAGTCAACTGACGGTTGGACGTAC</t>
  </si>
  <si>
    <t xml:space="preserve">AAACGTACGTCCAACCGTCAGTTG</t>
  </si>
  <si>
    <t xml:space="preserve">PSPPH_4410</t>
  </si>
  <si>
    <t xml:space="preserve">nadD</t>
  </si>
  <si>
    <t xml:space="preserve">GTCTGGGCAGCGCTGTCGTG</t>
  </si>
  <si>
    <t xml:space="preserve">TAGTGTCTGGGCAGCGCTGTCGTG</t>
  </si>
  <si>
    <t xml:space="preserve">AAACCACGACAGCGCTGCCCAGAC</t>
  </si>
  <si>
    <t xml:space="preserve">GCAAGTGACCGATATGAACC</t>
  </si>
  <si>
    <t xml:space="preserve">TAGTGCAAGTGACCGATATGAACC</t>
  </si>
  <si>
    <t xml:space="preserve">AAACGGTTCATATCGGTCACTTGC</t>
  </si>
  <si>
    <t xml:space="preserve">CTCATCGAGTTCCAGCAGTT</t>
  </si>
  <si>
    <t xml:space="preserve">TAGTCTCATCGAGTTCCAGCAGTT</t>
  </si>
  <si>
    <t xml:space="preserve">AAACAACTGCTGGAACTCGATGAG</t>
  </si>
  <si>
    <t xml:space="preserve">GAGGCCTGGCGCTGGGCGTC</t>
  </si>
  <si>
    <t xml:space="preserve">TAGTGAGGCCTGGCGCTGGGCGTC</t>
  </si>
  <si>
    <t xml:space="preserve">AAACGACGCCCAGCGCCAGGCCTC</t>
  </si>
  <si>
    <t xml:space="preserve">PSPPH_4411</t>
  </si>
  <si>
    <t xml:space="preserve">proA</t>
  </si>
  <si>
    <t xml:space="preserve">GTCAAGAACGGACTCAGTCA</t>
  </si>
  <si>
    <t xml:space="preserve">TAGTGTCAAGAACGGACTCAGTCA</t>
  </si>
  <si>
    <t xml:space="preserve">AAACTGACTGAGTCCGTTCTTGAC</t>
  </si>
  <si>
    <t xml:space="preserve">GCGGGCGGCGCGACCCAGGC</t>
  </si>
  <si>
    <t xml:space="preserve">TAGTGCGGGCGGCGCGACCCAGGC</t>
  </si>
  <si>
    <t xml:space="preserve">AAACGCCTGGGTCGCGCCGCCCGC</t>
  </si>
  <si>
    <t xml:space="preserve">GGCACGACCGATCACTCGCG</t>
  </si>
  <si>
    <t xml:space="preserve">TAGTGGCACGACCGATCACTCGCG</t>
  </si>
  <si>
    <t xml:space="preserve">AAACCGCGAGTGATCGGTCGTGCC</t>
  </si>
  <si>
    <t xml:space="preserve">GCGGTTCTTCTGCGCAGTGC</t>
  </si>
  <si>
    <t xml:space="preserve">TAGTGCGGTTCTTCTGCGCAGTGC</t>
  </si>
  <si>
    <t xml:space="preserve">AAACGCACTGCGCAGAAGAACCGC</t>
  </si>
  <si>
    <t xml:space="preserve">PSPPH_4412</t>
  </si>
  <si>
    <t xml:space="preserve">TGTCTGCGCTGTCGTTCGTG</t>
  </si>
  <si>
    <t xml:space="preserve">TAGTTGTCTGCGCTGTCGTTCGTG</t>
  </si>
  <si>
    <t xml:space="preserve">AAACCACGAACGACAGCGCAGACA</t>
  </si>
  <si>
    <t xml:space="preserve">GGGCTGAGGGGGATAGGCAT</t>
  </si>
  <si>
    <t xml:space="preserve">TAGTGGGCTGAGGGGGATAGGCAT</t>
  </si>
  <si>
    <t xml:space="preserve">AAACATGCCTATCCCCCTCAGCCC</t>
  </si>
  <si>
    <t xml:space="preserve">GACTTTGTATGTAACGATGA</t>
  </si>
  <si>
    <t xml:space="preserve">TAGTGACTTTGTATGTAACGATGA</t>
  </si>
  <si>
    <t xml:space="preserve">AAACTCATCGTTACATACAAAGTC</t>
  </si>
  <si>
    <t xml:space="preserve">CCCGGAAAATGGGGGTGTTC</t>
  </si>
  <si>
    <t xml:space="preserve">TAGTCCCGGAAAATGGGGGTGTTC</t>
  </si>
  <si>
    <t xml:space="preserve">AAACGAACACCCCCATTTTCCGGG</t>
  </si>
  <si>
    <t xml:space="preserve">PSPPH_4413</t>
  </si>
  <si>
    <t xml:space="preserve">AAATGATCCGGAAGAGCAGC</t>
  </si>
  <si>
    <t xml:space="preserve">TAGTAAATGATCCGGAAGAGCAGC</t>
  </si>
  <si>
    <t xml:space="preserve">AAACGCTGCTCTTCCGGATCATTT</t>
  </si>
  <si>
    <t xml:space="preserve">CCAGCAACTGGGCATCGCGA</t>
  </si>
  <si>
    <t xml:space="preserve">TAGTCCAGCAACTGGGCATCGCGA</t>
  </si>
  <si>
    <t xml:space="preserve">AAACTCGCGATGCCCAGTTGCTGG</t>
  </si>
  <si>
    <t xml:space="preserve">GACCTTGCCCAGCAGATCGC</t>
  </si>
  <si>
    <t xml:space="preserve">TAGTGACCTTGCCCAGCAGATCGC</t>
  </si>
  <si>
    <t xml:space="preserve">AAACGCGATCTGCTGGGCAAGGTC</t>
  </si>
  <si>
    <t xml:space="preserve">TTCTGTTTCGATGATGCGGG</t>
  </si>
  <si>
    <t xml:space="preserve">TAGTTTCTGTTTCGATGATGCGGG</t>
  </si>
  <si>
    <t xml:space="preserve">AAACCCCGCATCATCGAAACAGAA</t>
  </si>
  <si>
    <t xml:space="preserve">PSPPH_4414</t>
  </si>
  <si>
    <t xml:space="preserve">CCATTGAGCAGATCGCCCAT</t>
  </si>
  <si>
    <t xml:space="preserve">TAGTCCATTGAGCAGATCGCCCAT</t>
  </si>
  <si>
    <t xml:space="preserve">AAACATGGGCGATCTGCTCAATGG</t>
  </si>
  <si>
    <t xml:space="preserve">AGGATTCGCTGTCAGCCAGC</t>
  </si>
  <si>
    <t xml:space="preserve">TAGTAGGATTCGCTGTCAGCCAGC</t>
  </si>
  <si>
    <t xml:space="preserve">AAACGCTGGCTGACAGCGAATCCT</t>
  </si>
  <si>
    <t xml:space="preserve">ATCGCGACAGCCACCCAGGA</t>
  </si>
  <si>
    <t xml:space="preserve">TAGTATCGCGACAGCCACCCAGGA</t>
  </si>
  <si>
    <t xml:space="preserve">AAACTCCTGGGTGGCTGTCGCGAT</t>
  </si>
  <si>
    <t xml:space="preserve">GATCGCGACGCATTCAGTGA</t>
  </si>
  <si>
    <t xml:space="preserve">TAGTGATCGCGACGCATTCAGTGA</t>
  </si>
  <si>
    <t xml:space="preserve">AAACTCACTGAATGCGTCGCGATC</t>
  </si>
  <si>
    <t xml:space="preserve">PSPPH_4415</t>
  </si>
  <si>
    <t xml:space="preserve">TGCCGTATAACCATCCAGTG</t>
  </si>
  <si>
    <t xml:space="preserve">TAGTTGCCGTATAACCATCCAGTG</t>
  </si>
  <si>
    <t xml:space="preserve">AAACCACTGGATGGTTATACGGCA</t>
  </si>
  <si>
    <t xml:space="preserve">TATGGCGCCGCGTTGCCGGG</t>
  </si>
  <si>
    <t xml:space="preserve">TAGTTATGGCGCCGCGTTGCCGGG</t>
  </si>
  <si>
    <t xml:space="preserve">AAACCCCGGCAACGCGGCGCCATA</t>
  </si>
  <si>
    <t xml:space="preserve">CGCCAATCCCAATGTGAGCG</t>
  </si>
  <si>
    <t xml:space="preserve">TAGTCGCCAATCCCAATGTGAGCG</t>
  </si>
  <si>
    <t xml:space="preserve">AAACCGCTCACATTGGGATTGGCG</t>
  </si>
  <si>
    <t xml:space="preserve">GCGCCCCGCAGCTTCCAGGG</t>
  </si>
  <si>
    <t xml:space="preserve">TAGTGCGCCCCGCAGCTTCCAGGG</t>
  </si>
  <si>
    <t xml:space="preserve">AAACCCCTGGAAGCTGCGGGGCGC</t>
  </si>
  <si>
    <t xml:space="preserve">PSPPH_4416</t>
  </si>
  <si>
    <t xml:space="preserve">ATACCGGCGGCGCTTCACCA</t>
  </si>
  <si>
    <t xml:space="preserve">TAGTATACCGGCGGCGCTTCACCA</t>
  </si>
  <si>
    <t xml:space="preserve">AAACTGGTGAAGCGCCGCCGGTAT</t>
  </si>
  <si>
    <t xml:space="preserve">GCTCGAAACGGGCACAGCTT</t>
  </si>
  <si>
    <t xml:space="preserve">TAGTGCTCGAAACGGGCACAGCTT</t>
  </si>
  <si>
    <t xml:space="preserve">AAACAAGCTGTGCCCGTTTCGAGC</t>
  </si>
  <si>
    <t xml:space="preserve">AGGTCGACCCCGACCGGTCC</t>
  </si>
  <si>
    <t xml:space="preserve">TAGTAGGTCGACCCCGACCGGTCC</t>
  </si>
  <si>
    <t xml:space="preserve">AAACGGACCGGTCGGGGTCGACCT</t>
  </si>
  <si>
    <t xml:space="preserve">CGTCATCGAGCAGCACATAA</t>
  </si>
  <si>
    <t xml:space="preserve">TAGTCGTCATCGAGCAGCACATAA</t>
  </si>
  <si>
    <t xml:space="preserve">AAACTTATGTGCTGCTCGATGACG</t>
  </si>
  <si>
    <t xml:space="preserve">PSPPH_4417</t>
  </si>
  <si>
    <t xml:space="preserve">AGGCAAGGCATGCTGCAGAA</t>
  </si>
  <si>
    <t xml:space="preserve">TAGTAGGCAAGGCATGCTGCAGAA</t>
  </si>
  <si>
    <t xml:space="preserve">AAACTTCTGCAGCATGCCTTGCCT</t>
  </si>
  <si>
    <t xml:space="preserve">CGCAGCGAACTCAATAGCGG</t>
  </si>
  <si>
    <t xml:space="preserve">TAGTCGCAGCGAACTCAATAGCGG</t>
  </si>
  <si>
    <t xml:space="preserve">AAACCCGCTATTGAGTTCGCTGCG</t>
  </si>
  <si>
    <t xml:space="preserve">ACTCACCACGCCATAGAACA</t>
  </si>
  <si>
    <t xml:space="preserve">TAGTACTCACCACGCCATAGAACA</t>
  </si>
  <si>
    <t xml:space="preserve">AAACTGTTCTATGGCGTGGTGAGT</t>
  </si>
  <si>
    <t xml:space="preserve">ACTGCATCATAAGCAACGGC</t>
  </si>
  <si>
    <t xml:space="preserve">TAGTACTGCATCATAAGCAACGGC</t>
  </si>
  <si>
    <t xml:space="preserve">AAACGCCGTTGCTTATGATGCAGT</t>
  </si>
  <si>
    <t xml:space="preserve">PSPPH_4418</t>
  </si>
  <si>
    <t xml:space="preserve">CTTGCGTCGCGCATCCTGTT</t>
  </si>
  <si>
    <t xml:space="preserve">TAGTCTTGCGTCGCGCATCCTGTT</t>
  </si>
  <si>
    <t xml:space="preserve">AAACAACAGGATGCGCGACGCAAG</t>
  </si>
  <si>
    <t xml:space="preserve">TCCGGTGCCTGCCAGCCAGG</t>
  </si>
  <si>
    <t xml:space="preserve">TAGTTCCGGTGCCTGCCAGCCAGG</t>
  </si>
  <si>
    <t xml:space="preserve">AAACCCTGGCTGGCAGGCACCGGA</t>
  </si>
  <si>
    <t xml:space="preserve">CAGTGGCGGGGCGCCTAGCC</t>
  </si>
  <si>
    <t xml:space="preserve">TAGTCAGTGGCGGGGCGCCTAGCC</t>
  </si>
  <si>
    <t xml:space="preserve">AAACGGCTAGGCGCCCCGCCACTG</t>
  </si>
  <si>
    <t xml:space="preserve">TTCCAGCGCCAGTGCCAGCG</t>
  </si>
  <si>
    <t xml:space="preserve">TAGTTTCCAGCGCCAGTGCCAGCG</t>
  </si>
  <si>
    <t xml:space="preserve">AAACCGCTGGCACTGGCGCTGGAA</t>
  </si>
  <si>
    <t xml:space="preserve">PSPPH_4419</t>
  </si>
  <si>
    <t xml:space="preserve">CCACCAGAAATTTCGTGACC</t>
  </si>
  <si>
    <t xml:space="preserve">TAGTCCACCAGAAATTTCGTGACC</t>
  </si>
  <si>
    <t xml:space="preserve">AAACGGTCACGAAATTTCTGGTGG</t>
  </si>
  <si>
    <t xml:space="preserve">GTTCTTCAACAATAAGAGGC</t>
  </si>
  <si>
    <t xml:space="preserve">TAGTGTTCTTCAACAATAAGAGGC</t>
  </si>
  <si>
    <t xml:space="preserve">AAACGCCTCTTATTGTTGAAGAAC</t>
  </si>
  <si>
    <t xml:space="preserve">CGATGGCCTCAAGGCTTGAA</t>
  </si>
  <si>
    <t xml:space="preserve">TAGTCGATGGCCTCAAGGCTTGAA</t>
  </si>
  <si>
    <t xml:space="preserve">AAACTTCAAGCCTTGAGGCCATCG</t>
  </si>
  <si>
    <t xml:space="preserve">CATTCATGCCTGGCATTTCC</t>
  </si>
  <si>
    <t xml:space="preserve">TAGTCATTCATGCCTGGCATTTCC</t>
  </si>
  <si>
    <t xml:space="preserve">AAACGGAAATGCCAGGCATGAATG</t>
  </si>
  <si>
    <t xml:space="preserve">PSPPH_4420</t>
  </si>
  <si>
    <t xml:space="preserve">TCGGCTAGGGTCTTCTGGCT</t>
  </si>
  <si>
    <t xml:space="preserve">TAGTTCGGCTAGGGTCTTCTGGCT</t>
  </si>
  <si>
    <t xml:space="preserve">AAACAGCCAGAAGACCCTAGCCGA</t>
  </si>
  <si>
    <t xml:space="preserve">TTTGGGCAAAATGATGCTTC</t>
  </si>
  <si>
    <t xml:space="preserve">TAGTTTTGGGCAAAATGATGCTTC</t>
  </si>
  <si>
    <t xml:space="preserve">AAACGAAGCATCATTTTGCCCAAA</t>
  </si>
  <si>
    <t xml:space="preserve">CCAGAATCTGGCGTGCCTGG</t>
  </si>
  <si>
    <t xml:space="preserve">TAGTCCAGAATCTGGCGTGCCTGG</t>
  </si>
  <si>
    <t xml:space="preserve">AAACCCAGGCACGCCAGATTCTGG</t>
  </si>
  <si>
    <t xml:space="preserve">CATGTCGCCAGCCGACCACT</t>
  </si>
  <si>
    <t xml:space="preserve">TAGTCATGTCGCCAGCCGACCACT</t>
  </si>
  <si>
    <t xml:space="preserve">AAACAGTGGTCGGCTGGCGACATG</t>
  </si>
  <si>
    <t xml:space="preserve">PSPPH_4421</t>
  </si>
  <si>
    <t xml:space="preserve">GCGGTTCTTCCAATCCAGCA</t>
  </si>
  <si>
    <t xml:space="preserve">TAGTGCGGTTCTTCCAATCCAGCA</t>
  </si>
  <si>
    <t xml:space="preserve">AAACTGCTGGATTGGAAGAACCGC</t>
  </si>
  <si>
    <t xml:space="preserve">TTTGACCGATGAAGTGTCAG</t>
  </si>
  <si>
    <t xml:space="preserve">TAGTTTTGACCGATGAAGTGTCAG</t>
  </si>
  <si>
    <t xml:space="preserve">AAACCTGACACTTCATCGGTCAAA</t>
  </si>
  <si>
    <t xml:space="preserve">ACAGGTTACCCAGGTAACCG</t>
  </si>
  <si>
    <t xml:space="preserve">TAGTACAGGTTACCCAGGTAACCG</t>
  </si>
  <si>
    <t xml:space="preserve">AAACCGGTTACCTGGGTAACCTGT</t>
  </si>
  <si>
    <t xml:space="preserve">AGATCAAGGCGCCCAGAGCG</t>
  </si>
  <si>
    <t xml:space="preserve">TAGTAGATCAAGGCGCCCAGAGCG</t>
  </si>
  <si>
    <t xml:space="preserve">AAACCGCTCTGGGCGCCTTGATCT</t>
  </si>
  <si>
    <t xml:space="preserve">PSPPH_4422</t>
  </si>
  <si>
    <t xml:space="preserve">CGGTGCGCGGCCTCGTTGGC</t>
  </si>
  <si>
    <t xml:space="preserve">TAGTCGGTGCGCGGCCTCGTTGGC</t>
  </si>
  <si>
    <t xml:space="preserve">AAACGCCAACGAGGCCGCGCACCG</t>
  </si>
  <si>
    <t xml:space="preserve">GCTCGGCATCCGAGGCGGCA</t>
  </si>
  <si>
    <t xml:space="preserve">TAGTGCTCGGCATCCGAGGCGGCA</t>
  </si>
  <si>
    <t xml:space="preserve">AAACTGCCGCCTCGGATGCCGAGC</t>
  </si>
  <si>
    <t xml:space="preserve">TCGGTCCTGCTCGTCGACCC</t>
  </si>
  <si>
    <t xml:space="preserve">TAGTTCGGTCCTGCTCGTCGACCC</t>
  </si>
  <si>
    <t xml:space="preserve">AAACGGGTCGACGAGCAGGACCGA</t>
  </si>
  <si>
    <t xml:space="preserve">CGCGCTCGCGCAAGTCGGCG</t>
  </si>
  <si>
    <t xml:space="preserve">TAGTCGCGCTCGCGCAAGTCGGCG</t>
  </si>
  <si>
    <t xml:space="preserve">AAACCGCCGACTTGCGCGAGCGCG</t>
  </si>
  <si>
    <t xml:space="preserve">PSPPH_4423</t>
  </si>
  <si>
    <t xml:space="preserve">ACCAAGGGCGGCGAGAGAAG</t>
  </si>
  <si>
    <t xml:space="preserve">TAGTACCAAGGGCGGCGAGAGAAG</t>
  </si>
  <si>
    <t xml:space="preserve">AAACCTTCTCTCGCCGCCCTTGGT</t>
  </si>
  <si>
    <t xml:space="preserve">CGGGCAGTGACGCCCTGCGT</t>
  </si>
  <si>
    <t xml:space="preserve">TAGTCGGGCAGTGACGCCCTGCGT</t>
  </si>
  <si>
    <t xml:space="preserve">AAACACGCAGGGCGTCACTGCCCG</t>
  </si>
  <si>
    <t xml:space="preserve">GCAACGGGCTGACGACAATC</t>
  </si>
  <si>
    <t xml:space="preserve">TAGTGCAACGGGCTGACGACAATC</t>
  </si>
  <si>
    <t xml:space="preserve">AAACGATTGTCGTCAGCCCGTTGC</t>
  </si>
  <si>
    <t xml:space="preserve">GGTCTGTTTGCAGGTGCAGT</t>
  </si>
  <si>
    <t xml:space="preserve">TAGTGGTCTGTTTGCAGGTGCAGT</t>
  </si>
  <si>
    <t xml:space="preserve">AAACACTGCACCTGCAAACAGACC</t>
  </si>
  <si>
    <t xml:space="preserve">PSPPH_4424</t>
  </si>
  <si>
    <t xml:space="preserve">speA</t>
  </si>
  <si>
    <t xml:space="preserve">GTCTTTGCGTGTGCGTCGTA</t>
  </si>
  <si>
    <t xml:space="preserve">TAGTGTCTTTGCGTGTGCGTCGTA</t>
  </si>
  <si>
    <t xml:space="preserve">AAACTACGACGCACACGCAAAGAC</t>
  </si>
  <si>
    <t xml:space="preserve">GGCTGTCCGCAACTGTCCAT</t>
  </si>
  <si>
    <t xml:space="preserve">TAGTGGCTGTCCGCAACTGTCCAT</t>
  </si>
  <si>
    <t xml:space="preserve">AAACATGGACAGTTGCGGACAGCC</t>
  </si>
  <si>
    <t xml:space="preserve">GGCGAATACCATAAACGCTG</t>
  </si>
  <si>
    <t xml:space="preserve">TAGTGGCGAATACCATAAACGCTG</t>
  </si>
  <si>
    <t xml:space="preserve">AAACCAGCGTTTATGGTATTCGCC</t>
  </si>
  <si>
    <t xml:space="preserve">CAAAATAACCCGCGCCCCAA</t>
  </si>
  <si>
    <t xml:space="preserve">TAGTCAAAATAACCCGCGCCCCAA</t>
  </si>
  <si>
    <t xml:space="preserve">AAACTTGGGGCGCGGGTTATTTTG</t>
  </si>
  <si>
    <t xml:space="preserve">PSPPH_4425</t>
  </si>
  <si>
    <t xml:space="preserve">AGCGGCGCGCTGGTGGGGTC</t>
  </si>
  <si>
    <t xml:space="preserve">TAGTAGCGGCGCGCTGGTGGGGTC</t>
  </si>
  <si>
    <t xml:space="preserve">AAACGACCCCACCAGCGCGCCGCT</t>
  </si>
  <si>
    <t xml:space="preserve">AGTGAAGCAGCGCTGCAGGC</t>
  </si>
  <si>
    <t xml:space="preserve">TAGTAGTGAAGCAGCGCTGCAGGC</t>
  </si>
  <si>
    <t xml:space="preserve">AAACGCCTGCAGCGCTGCTTCACT</t>
  </si>
  <si>
    <t xml:space="preserve">CCTCGCTTGCGCTGAACGAT</t>
  </si>
  <si>
    <t xml:space="preserve">TAGTCCTCGCTTGCGCTGAACGAT</t>
  </si>
  <si>
    <t xml:space="preserve">AAACATCGTTCAGCGCAAGCGAGG</t>
  </si>
  <si>
    <t xml:space="preserve">CCAGTTCAAATGTAAAAGGC</t>
  </si>
  <si>
    <t xml:space="preserve">TAGTCCAGTTCAAATGTAAAAGGC</t>
  </si>
  <si>
    <t xml:space="preserve">AAACGCCTTTTACATTTGAACTGG</t>
  </si>
  <si>
    <t xml:space="preserve">PSPPH_4426</t>
  </si>
  <si>
    <t xml:space="preserve">CAGCTTCAAGGGCGAGCAAC</t>
  </si>
  <si>
    <t xml:space="preserve">TAGTCAGCTTCAAGGGCGAGCAAC</t>
  </si>
  <si>
    <t xml:space="preserve">AAACGTTGCTCGCCCTTGAAGCTG</t>
  </si>
  <si>
    <t xml:space="preserve">ACATGATCGACAGGGCCGGT</t>
  </si>
  <si>
    <t xml:space="preserve">TAGTACATGATCGACAGGGCCGGT</t>
  </si>
  <si>
    <t xml:space="preserve">AAACACCGGCCCTGTCGATCATGT</t>
  </si>
  <si>
    <t xml:space="preserve">GTTGCGTGGATCCTGCCCGT</t>
  </si>
  <si>
    <t xml:space="preserve">TAGTGTTGCGTGGATCCTGCCCGT</t>
  </si>
  <si>
    <t xml:space="preserve">AAACACGGGCAGGATCCACGCAAC</t>
  </si>
  <si>
    <t xml:space="preserve">ATTTGCCGGTTTAGTCTGTG</t>
  </si>
  <si>
    <t xml:space="preserve">TAGTATTTGCCGGTTTAGTCTGTG</t>
  </si>
  <si>
    <t xml:space="preserve">AAACCACAGACTAAACCGGCAAAT</t>
  </si>
  <si>
    <t xml:space="preserve">PSPPH_4427</t>
  </si>
  <si>
    <t xml:space="preserve">dinF</t>
  </si>
  <si>
    <t xml:space="preserve">ACGCCAATCGTTGAGCAACG</t>
  </si>
  <si>
    <t xml:space="preserve">TAGTACGCCAATCGTTGAGCAACG</t>
  </si>
  <si>
    <t xml:space="preserve">AAACCGTTGCTCAACGATTGGCGT</t>
  </si>
  <si>
    <t xml:space="preserve">CAGCGCCCAGACACGACGAT</t>
  </si>
  <si>
    <t xml:space="preserve">TAGTCAGCGCCCAGACACGACGAT</t>
  </si>
  <si>
    <t xml:space="preserve">AAACATCGTCGTGTCTGGGCGCTG</t>
  </si>
  <si>
    <t xml:space="preserve">GAAATATTCGACAGAATCAT</t>
  </si>
  <si>
    <t xml:space="preserve">TAGTGAAATATTCGACAGAATCAT</t>
  </si>
  <si>
    <t xml:space="preserve">AAACATGATTCTGTCGAATATTTC</t>
  </si>
  <si>
    <t xml:space="preserve">GACCAGCGCTACAAGCGGAA</t>
  </si>
  <si>
    <t xml:space="preserve">TAGTGACCAGCGCTACAAGCGGAA</t>
  </si>
  <si>
    <t xml:space="preserve">AAACTTCCGCTTGTAGCGCTGGTC</t>
  </si>
  <si>
    <t xml:space="preserve">PSPPH_4428</t>
  </si>
  <si>
    <t xml:space="preserve">CCAGCGCAGGACGTAGAGCC</t>
  </si>
  <si>
    <t xml:space="preserve">TAGTCCAGCGCAGGACGTAGAGCC</t>
  </si>
  <si>
    <t xml:space="preserve">AAACGGCTCTACGTCCTGCGCTGG</t>
  </si>
  <si>
    <t xml:space="preserve">CAGATTGAACAGGTAGTCCC</t>
  </si>
  <si>
    <t xml:space="preserve">TAGTCAGATTGAACAGGTAGTCCC</t>
  </si>
  <si>
    <t xml:space="preserve">AAACGGGACTACCTGTTCAATCTG</t>
  </si>
  <si>
    <t xml:space="preserve">CTCATCGGCAACGGTAGAGA</t>
  </si>
  <si>
    <t xml:space="preserve">TAGTCTCATCGGCAACGGTAGAGA</t>
  </si>
  <si>
    <t xml:space="preserve">AAACTCTCTACCGTTGCCGATGAG</t>
  </si>
  <si>
    <t xml:space="preserve">CAATCCTTTGTTGAACATGG</t>
  </si>
  <si>
    <t xml:space="preserve">TAGTCAATCCTTTGTTGAACATGG</t>
  </si>
  <si>
    <t xml:space="preserve">AAACCCATGTTCAACAAAGGATTG</t>
  </si>
  <si>
    <t xml:space="preserve">PSPPH_4429</t>
  </si>
  <si>
    <t xml:space="preserve">TGTCCGCTTTGGCCGTCGCA</t>
  </si>
  <si>
    <t xml:space="preserve">TAGTTGTCCGCTTTGGCCGTCGCA</t>
  </si>
  <si>
    <t xml:space="preserve">AAACTGCGACGGCCAAAGCGGACA</t>
  </si>
  <si>
    <t xml:space="preserve">GCATATGTACGTCCTGATTG</t>
  </si>
  <si>
    <t xml:space="preserve">TAGTGCATATGTACGTCCTGATTG</t>
  </si>
  <si>
    <t xml:space="preserve">AAACCAATCAGGACGTACATATGC</t>
  </si>
  <si>
    <t xml:space="preserve">GAAGCGAATCACCGCGCCGA</t>
  </si>
  <si>
    <t xml:space="preserve">TAGTGAAGCGAATCACCGCGCCGA</t>
  </si>
  <si>
    <t xml:space="preserve">AAACTCGGCGCGGTGATTCGCTTC</t>
  </si>
  <si>
    <t xml:space="preserve">GACAAAATTTCCTCCAGCAT</t>
  </si>
  <si>
    <t xml:space="preserve">TAGTGACAAAATTTCCTCCAGCAT</t>
  </si>
  <si>
    <t xml:space="preserve">AAACATGCTGGAGGAAATTTTGTC</t>
  </si>
  <si>
    <t xml:space="preserve">PSPPH_4430</t>
  </si>
  <si>
    <t xml:space="preserve">pbpC</t>
  </si>
  <si>
    <t xml:space="preserve">CGCAGGCGCAGAAGAAATTC</t>
  </si>
  <si>
    <t xml:space="preserve">TAGTCGCAGGCGCAGAAGAAATTC</t>
  </si>
  <si>
    <t xml:space="preserve">AAACGAATTTCTTCTGCGCCTGCG</t>
  </si>
  <si>
    <t xml:space="preserve">GCGATCCGCCAGGCAAAGCA</t>
  </si>
  <si>
    <t xml:space="preserve">TAGTGCGATCCGCCAGGCAAAGCA</t>
  </si>
  <si>
    <t xml:space="preserve">AAACTGCTTTGCCTGGCGGATCGC</t>
  </si>
  <si>
    <t xml:space="preserve">TCGTCTTTGGGCAGTGGCAA</t>
  </si>
  <si>
    <t xml:space="preserve">TAGTTCGTCTTTGGGCAGTGGCAA</t>
  </si>
  <si>
    <t xml:space="preserve">AAACTTGCCACTGCCCAAAGACGA</t>
  </si>
  <si>
    <t xml:space="preserve">GTCCTCGGCCAGTACGACGC</t>
  </si>
  <si>
    <t xml:space="preserve">TAGTGTCCTCGGCCAGTACGACGC</t>
  </si>
  <si>
    <t xml:space="preserve">AAACGCGTCGTACTGGCCGAGGAC</t>
  </si>
  <si>
    <t xml:space="preserve">PSPPH_4431</t>
  </si>
  <si>
    <t xml:space="preserve">GCAGCTGTTGGCGGGTAGGA</t>
  </si>
  <si>
    <t xml:space="preserve">TAGTGCAGCTGTTGGCGGGTAGGA</t>
  </si>
  <si>
    <t xml:space="preserve">AAACTCCTACCCGCCAACAGCTGC</t>
  </si>
  <si>
    <t xml:space="preserve">CTGGTGCAGGGCCATTTTCA</t>
  </si>
  <si>
    <t xml:space="preserve">TAGTCTGGTGCAGGGCCATTTTCA</t>
  </si>
  <si>
    <t xml:space="preserve">AAACTGAAAATGGCCCTGCACCAG</t>
  </si>
  <si>
    <t xml:space="preserve">CACCAGCGCGATGTCCGGAT</t>
  </si>
  <si>
    <t xml:space="preserve">TAGTCACCAGCGCGATGTCCGGAT</t>
  </si>
  <si>
    <t xml:space="preserve">AAACATCCGGACATCGCGCTGGTG</t>
  </si>
  <si>
    <t xml:space="preserve">TTCCTCCGGCATCCGCAGAT</t>
  </si>
  <si>
    <t xml:space="preserve">TAGTTTCCTCCGGCATCCGCAGAT</t>
  </si>
  <si>
    <t xml:space="preserve">AAACATCTGCGGATGCCGGAGGAA</t>
  </si>
  <si>
    <t xml:space="preserve">PSPPH_4432</t>
  </si>
  <si>
    <t xml:space="preserve">ACCTACGTATAGCCGTGTAA</t>
  </si>
  <si>
    <t xml:space="preserve">TAGTACCTACGTATAGCCGTGTAA</t>
  </si>
  <si>
    <t xml:space="preserve">AAACTTACACGGCTATACGTAGGT</t>
  </si>
  <si>
    <t xml:space="preserve">AAAGGATTTAACCCGGATAT</t>
  </si>
  <si>
    <t xml:space="preserve">TAGTAAAGGATTTAACCCGGATAT</t>
  </si>
  <si>
    <t xml:space="preserve">AAACATATCCGGGTTAAATCCTTT</t>
  </si>
  <si>
    <t xml:space="preserve">CTATACCCGAAGCGGCTTCA</t>
  </si>
  <si>
    <t xml:space="preserve">TAGTCTATACCCGAAGCGGCTTCA</t>
  </si>
  <si>
    <t xml:space="preserve">AAACTGAAGCCGCTTCGGGTATAG</t>
  </si>
  <si>
    <t xml:space="preserve">TGCAACCATCGCTGCGATCA</t>
  </si>
  <si>
    <t xml:space="preserve">TAGTTGCAACCATCGCTGCGATCA</t>
  </si>
  <si>
    <t xml:space="preserve">AAACTGATCGCAGCGATGGTTGCA</t>
  </si>
  <si>
    <t xml:space="preserve">PSPPH_4433</t>
  </si>
  <si>
    <t xml:space="preserve">AAACAGGACAGCAAGCACCA</t>
  </si>
  <si>
    <t xml:space="preserve">TAGTAAACAGGACAGCAAGCACCA</t>
  </si>
  <si>
    <t xml:space="preserve">AAACTGGTGCTTGCTGTCCTGTTT</t>
  </si>
  <si>
    <t xml:space="preserve">GACGGCGATTCCCAGATAAC</t>
  </si>
  <si>
    <t xml:space="preserve">TAGTGACGGCGATTCCCAGATAAC</t>
  </si>
  <si>
    <t xml:space="preserve">AAACGTTATCTGGGAATCGCCGTC</t>
  </si>
  <si>
    <t xml:space="preserve">ACAACTGCAGGTGCCTCGGC</t>
  </si>
  <si>
    <t xml:space="preserve">TAGTACAACTGCAGGTGCCTCGGC</t>
  </si>
  <si>
    <t xml:space="preserve">AAACGCCGAGGCACCTGCAGTTGT</t>
  </si>
  <si>
    <t xml:space="preserve">GTGGCGTCAGGCACCGTGGG</t>
  </si>
  <si>
    <t xml:space="preserve">TAGTGTGGCGTCAGGCACCGTGGG</t>
  </si>
  <si>
    <t xml:space="preserve">AAACCCCACGGTGCCTGACGCCAC</t>
  </si>
  <si>
    <t xml:space="preserve">PSPPH_4434</t>
  </si>
  <si>
    <t xml:space="preserve">CCGGGGTTTTGTTACTGGCA</t>
  </si>
  <si>
    <t xml:space="preserve">TAGTCCGGGGTTTTGTTACTGGCA</t>
  </si>
  <si>
    <t xml:space="preserve">AAACTGCCAGTAACAAAACCCCGG</t>
  </si>
  <si>
    <t xml:space="preserve">ACAACTGCCGGAAGCGGCCC</t>
  </si>
  <si>
    <t xml:space="preserve">TAGTACAACTGCCGGAAGCGGCCC</t>
  </si>
  <si>
    <t xml:space="preserve">AAACGGGCCGCTTCCGGCAGTTGT</t>
  </si>
  <si>
    <t xml:space="preserve">TGATCGATTTCCACAGCCGC</t>
  </si>
  <si>
    <t xml:space="preserve">TAGTTGATCGATTTCCACAGCCGC</t>
  </si>
  <si>
    <t xml:space="preserve">AAACGCGGCTGTGGAAATCGATCA</t>
  </si>
  <si>
    <t xml:space="preserve">GCAATGCGGGTGATGGCCAC</t>
  </si>
  <si>
    <t xml:space="preserve">TAGTGCAATGCGGGTGATGGCCAC</t>
  </si>
  <si>
    <t xml:space="preserve">AAACGTGGCCATCACCCGCATTGC</t>
  </si>
  <si>
    <t xml:space="preserve">PSPPH_4435</t>
  </si>
  <si>
    <t xml:space="preserve">GGAAGGTCTGGCTCAGGCTC</t>
  </si>
  <si>
    <t xml:space="preserve">TAGTGGAAGGTCTGGCTCAGGCTC</t>
  </si>
  <si>
    <t xml:space="preserve">AAACGAGCCTGAGCCAGACCTTCC</t>
  </si>
  <si>
    <t xml:space="preserve">TATTGTTTCGAGTGATTGCC</t>
  </si>
  <si>
    <t xml:space="preserve">TAGTTATTGTTTCGAGTGATTGCC</t>
  </si>
  <si>
    <t xml:space="preserve">AAACGGCAATCACTCGAAACAATA</t>
  </si>
  <si>
    <t xml:space="preserve">CACCTGGCCCAGTGAGCCAA</t>
  </si>
  <si>
    <t xml:space="preserve">TAGTCACCTGGCCCAGTGAGCCAA</t>
  </si>
  <si>
    <t xml:space="preserve">AAACTTGGCTCACTGGGCCAGGTG</t>
  </si>
  <si>
    <t xml:space="preserve">CAGCAGATCGTCGAGGCTGC</t>
  </si>
  <si>
    <t xml:space="preserve">TAGTCAGCAGATCGTCGAGGCTGC</t>
  </si>
  <si>
    <t xml:space="preserve">AAACGCAGCCTCGACGATCTGCTG</t>
  </si>
  <si>
    <t xml:space="preserve">PSPPH_4436</t>
  </si>
  <si>
    <t xml:space="preserve">TTTCAGGCCTTGGCCGTCAT</t>
  </si>
  <si>
    <t xml:space="preserve">TAGTTTTCAGGCCTTGGCCGTCAT</t>
  </si>
  <si>
    <t xml:space="preserve">AAACATGACGGCCAAGGCCTGAAA</t>
  </si>
  <si>
    <t xml:space="preserve">CGATGCCGTCGATGATGTAA</t>
  </si>
  <si>
    <t xml:space="preserve">TAGTCGATGCCGTCGATGATGTAA</t>
  </si>
  <si>
    <t xml:space="preserve">AAACTTACATCATCGACGGCATCG</t>
  </si>
  <si>
    <t xml:space="preserve">CCGGTCGTGAGCCTTCGAGC</t>
  </si>
  <si>
    <t xml:space="preserve">TAGTCCGGTCGTGAGCCTTCGAGC</t>
  </si>
  <si>
    <t xml:space="preserve">AAACGCTCGAAGGCTCACGACCGG</t>
  </si>
  <si>
    <t xml:space="preserve">CCGCAGTCGCGCAACGTATT</t>
  </si>
  <si>
    <t xml:space="preserve">TAGTCCGCAGTCGCGCAACGTATT</t>
  </si>
  <si>
    <t xml:space="preserve">AAACAATACGTTGCGCGACTGCGG</t>
  </si>
  <si>
    <t xml:space="preserve">PSPPH_4437</t>
  </si>
  <si>
    <t xml:space="preserve">TCAGCAGCAGCAAGGAGATC</t>
  </si>
  <si>
    <t xml:space="preserve">TAGTTCAGCAGCAGCAAGGAGATC</t>
  </si>
  <si>
    <t xml:space="preserve">AAACGATCTCCTTGCTGCTGCTGA</t>
  </si>
  <si>
    <t xml:space="preserve">CGCGAGGTAGAACATGCGAA</t>
  </si>
  <si>
    <t xml:space="preserve">TAGTCGCGAGGTAGAACATGCGAA</t>
  </si>
  <si>
    <t xml:space="preserve">AAACTTCGCATGTTCTACCTCGCG</t>
  </si>
  <si>
    <t xml:space="preserve">ACGCTGCCTGACCCGTTCGC</t>
  </si>
  <si>
    <t xml:space="preserve">TAGTACGCTGCCTGACCCGTTCGC</t>
  </si>
  <si>
    <t xml:space="preserve">AAACGCGAACGGGTCAGGCAGCGT</t>
  </si>
  <si>
    <t xml:space="preserve">CACAGGCTGAACCTGTCCGG</t>
  </si>
  <si>
    <t xml:space="preserve">TAGTCACAGGCTGAACCTGTCCGG</t>
  </si>
  <si>
    <t xml:space="preserve">AAACCCGGACAGGTTCAGCCTGTG</t>
  </si>
  <si>
    <t xml:space="preserve">PSPPH_4438</t>
  </si>
  <si>
    <t xml:space="preserve">TGCGGCAGCGGCGAGCATCA</t>
  </si>
  <si>
    <t xml:space="preserve">TAGTTGCGGCAGCGGCGAGCATCA</t>
  </si>
  <si>
    <t xml:space="preserve">AAACTGATGCTCGCCGCTGCCGCA</t>
  </si>
  <si>
    <t xml:space="preserve">ACGGCGTTGCCGAGCCATGC</t>
  </si>
  <si>
    <t xml:space="preserve">TAGTACGGCGTTGCCGAGCCATGC</t>
  </si>
  <si>
    <t xml:space="preserve">AAACGCATGGCTCGGCAACGCCGT</t>
  </si>
  <si>
    <t xml:space="preserve">TGCGGCTTTCGCGAATCACC</t>
  </si>
  <si>
    <t xml:space="preserve">TAGTTGCGGCTTTCGCGAATCACC</t>
  </si>
  <si>
    <t xml:space="preserve">AAACGGTGATTCGCGAAAGCCGCA</t>
  </si>
  <si>
    <t xml:space="preserve">TATCGCCGAGCAACCGCAAC</t>
  </si>
  <si>
    <t xml:space="preserve">TAGTTATCGCCGAGCAACCGCAAC</t>
  </si>
  <si>
    <t xml:space="preserve">AAACGTTGCGGTTGCTCGGCGATA</t>
  </si>
  <si>
    <t xml:space="preserve">PSPPH_4439</t>
  </si>
  <si>
    <t xml:space="preserve">CCAGAGCGCGCTGCCATCAC</t>
  </si>
  <si>
    <t xml:space="preserve">TAGTCCAGAGCGCGCTGCCATCAC</t>
  </si>
  <si>
    <t xml:space="preserve">AAACGTGATGGCAGCGCGCTCTGG</t>
  </si>
  <si>
    <t xml:space="preserve">GCATTGGCCGGACTGAGCCG</t>
  </si>
  <si>
    <t xml:space="preserve">TAGTGCATTGGCCGGACTGAGCCG</t>
  </si>
  <si>
    <t xml:space="preserve">AAACCGGCTCAGTCCGGCCAATGC</t>
  </si>
  <si>
    <t xml:space="preserve">CCTGATCCGATGTCAGTTTG</t>
  </si>
  <si>
    <t xml:space="preserve">TAGTCCTGATCCGATGTCAGTTTG</t>
  </si>
  <si>
    <t xml:space="preserve">AAACCAAACTGACATCGGATCAGG</t>
  </si>
  <si>
    <t xml:space="preserve">CATGTTCTGAGCCAGATTCA</t>
  </si>
  <si>
    <t xml:space="preserve">TAGTCATGTTCTGAGCCAGATTCA</t>
  </si>
  <si>
    <t xml:space="preserve">AAACTGAATCTGGCTCAGAACATG</t>
  </si>
  <si>
    <t xml:space="preserve">PSPPH_4440</t>
  </si>
  <si>
    <t xml:space="preserve">AGGCGCTGCTGACGATGAAC</t>
  </si>
  <si>
    <t xml:space="preserve">TAGTAGGCGCTGCTGACGATGAAC</t>
  </si>
  <si>
    <t xml:space="preserve">AAACGTTCATCGTCAGCAGCGCCT</t>
  </si>
  <si>
    <t xml:space="preserve">TTGCTCGTCGCTCGCAGCCC</t>
  </si>
  <si>
    <t xml:space="preserve">TAGTTTGCTCGTCGCTCGCAGCCC</t>
  </si>
  <si>
    <t xml:space="preserve">AAACGGGCTGCGAGCGACGAGCAA</t>
  </si>
  <si>
    <t xml:space="preserve">TCAGTCTGTTTCTGCGCGTA</t>
  </si>
  <si>
    <t xml:space="preserve">TAGTTCAGTCTGTTTCTGCGCGTA</t>
  </si>
  <si>
    <t xml:space="preserve">AAACTACGCGCAGAAACAGACTGA</t>
  </si>
  <si>
    <t xml:space="preserve">GCTGGCTTGCAGTTGCAGCC</t>
  </si>
  <si>
    <t xml:space="preserve">TAGTGCTGGCTTGCAGTTGCAGCC</t>
  </si>
  <si>
    <t xml:space="preserve">AAACGGCTGCAACTGCAAGCCAGC</t>
  </si>
  <si>
    <t xml:space="preserve">PSPPH_4441</t>
  </si>
  <si>
    <t xml:space="preserve">dsbD</t>
  </si>
  <si>
    <t xml:space="preserve">CAGGCATAACAAACGGCGCA</t>
  </si>
  <si>
    <t xml:space="preserve">TAGTCAGGCATAACAAACGGCGCA</t>
  </si>
  <si>
    <t xml:space="preserve">AAACTGCGCCGTTTGTTATGCCTG</t>
  </si>
  <si>
    <t xml:space="preserve">CACCGAAGGCGGGCAGGGCC</t>
  </si>
  <si>
    <t xml:space="preserve">TAGTCACCGAAGGCGGGCAGGGCC</t>
  </si>
  <si>
    <t xml:space="preserve">AAACGGCCCTGCCCGCCTTCGGTG</t>
  </si>
  <si>
    <t xml:space="preserve">CGGGCGGCTGTCCAGCAGAC</t>
  </si>
  <si>
    <t xml:space="preserve">TAGTCGGGCGGCTGTCCAGCAGAC</t>
  </si>
  <si>
    <t xml:space="preserve">AAACGTCTGCTGGACAGCCGCCCG</t>
  </si>
  <si>
    <t xml:space="preserve">CCACCGCCCAGGGTTGACGA</t>
  </si>
  <si>
    <t xml:space="preserve">TAGTCCACCGCCCAGGGTTGACGA</t>
  </si>
  <si>
    <t xml:space="preserve">AAACTCGTCAACCCTGGGCGGTGG</t>
  </si>
  <si>
    <t xml:space="preserve">PSPPH_4442</t>
  </si>
  <si>
    <t xml:space="preserve">aroQ</t>
  </si>
  <si>
    <t xml:space="preserve">GGTTGGGTCCGTGAAGGACC</t>
  </si>
  <si>
    <t xml:space="preserve">TAGTGGTTGGGTCCGTGAAGGACC</t>
  </si>
  <si>
    <t xml:space="preserve">AAACGGTCCTTCACGGACCCAACC</t>
  </si>
  <si>
    <t xml:space="preserve">CGGGTTCCCGAGTGCCCAGC</t>
  </si>
  <si>
    <t xml:space="preserve">TAGTCGGGTTCCCGAGTGCCCAGC</t>
  </si>
  <si>
    <t xml:space="preserve">AAACGCTGGGCACTCGGGAACCCG</t>
  </si>
  <si>
    <t xml:space="preserve">CGTGATGGTGCCGTAGACCC</t>
  </si>
  <si>
    <t xml:space="preserve">TAGTCGTGATGGTGCCGTAGACCC</t>
  </si>
  <si>
    <t xml:space="preserve">AAACGGGTCTACGGCACCATCACG</t>
  </si>
  <si>
    <t xml:space="preserve">TCCAGGTCCTGATTGATCTG</t>
  </si>
  <si>
    <t xml:space="preserve">TAGTTCCAGGTCCTGATTGATCTG</t>
  </si>
  <si>
    <t xml:space="preserve">AAACCAGATCAATCAGGACCTGGA</t>
  </si>
  <si>
    <t xml:space="preserve">PSPPH_4443</t>
  </si>
  <si>
    <t xml:space="preserve">accB2</t>
  </si>
  <si>
    <t xml:space="preserve">AATTTCCAGCTCGTCGATGC</t>
  </si>
  <si>
    <t xml:space="preserve">TAGTAATTTCCAGCTCGTCGATGC</t>
  </si>
  <si>
    <t xml:space="preserve">AAACGCATCGACGAGCTGGAAATT</t>
  </si>
  <si>
    <t xml:space="preserve">GCTGTGACGGCTGATCCGTA</t>
  </si>
  <si>
    <t xml:space="preserve">TAGTGCTGTGACGGCTGATCCGTA</t>
  </si>
  <si>
    <t xml:space="preserve">AAACTACGGATCAGCCGTCACAGC</t>
  </si>
  <si>
    <t xml:space="preserve">GGCGCGTAGTAAGGCTGCGC</t>
  </si>
  <si>
    <t xml:space="preserve">TAGTGGCGCGTAGTAAGGCTGCGC</t>
  </si>
  <si>
    <t xml:space="preserve">AAACGCGCAGCCTTACTACGCGCC</t>
  </si>
  <si>
    <t xml:space="preserve">ACAGGCGCAGCAACCGGGGC</t>
  </si>
  <si>
    <t xml:space="preserve">TAGTACAGGCGCAGCAACCGGGGC</t>
  </si>
  <si>
    <t xml:space="preserve">AAACGCCCCGGTTGCTGCGCCTGT</t>
  </si>
  <si>
    <t xml:space="preserve">PSPPH_4444</t>
  </si>
  <si>
    <t xml:space="preserve">accC2</t>
  </si>
  <si>
    <t xml:space="preserve">ACAGGCACGCAAGATGCGCA</t>
  </si>
  <si>
    <t xml:space="preserve">TAGTACAGGCACGCAAGATGCGCA</t>
  </si>
  <si>
    <t xml:space="preserve">AAACTGCGCATCTTGCGTGCCTGT</t>
  </si>
  <si>
    <t xml:space="preserve">TGCCGTGGAGTGTACAGCGA</t>
  </si>
  <si>
    <t xml:space="preserve">TAGTTGCCGTGGAGTGTACAGCGA</t>
  </si>
  <si>
    <t xml:space="preserve">AAACTCGCTGTACACTCCACGGCA</t>
  </si>
  <si>
    <t xml:space="preserve">CGGTTTCGTCTGCCAGGCCC</t>
  </si>
  <si>
    <t xml:space="preserve">TAGTCGGTTTCGTCTGCCAGGCCC</t>
  </si>
  <si>
    <t xml:space="preserve">AAACGGGCCTGGCAGACGAAACCG</t>
  </si>
  <si>
    <t xml:space="preserve">TGGTGCCGGACCAATGCAGA</t>
  </si>
  <si>
    <t xml:space="preserve">TAGTTGGTGCCGGACCAATGCAGA</t>
  </si>
  <si>
    <t xml:space="preserve">AAACTCTGCATTGGTCCGGCACCA</t>
  </si>
  <si>
    <t xml:space="preserve">PSPPH_4445</t>
  </si>
  <si>
    <t xml:space="preserve">prmA</t>
  </si>
  <si>
    <t xml:space="preserve">ACGGACTTGCAGCCAAGGCA</t>
  </si>
  <si>
    <t xml:space="preserve">TAGTACGGACTTGCAGCCAAGGCA</t>
  </si>
  <si>
    <t xml:space="preserve">AAACTGCCTTGGCTGCAAGTCCGT</t>
  </si>
  <si>
    <t xml:space="preserve">TTCGGCTTGTTCTGGGCTGA</t>
  </si>
  <si>
    <t xml:space="preserve">TAGTTTCGGCTTGTTCTGGGCTGA</t>
  </si>
  <si>
    <t xml:space="preserve">AAACTCAGCCCAGAACAAGCCGAA</t>
  </si>
  <si>
    <t xml:space="preserve">TTCAAGAAGGGCGTCTTCGT</t>
  </si>
  <si>
    <t xml:space="preserve">TAGTTTCAAGAAGGGCGTCTTCGT</t>
  </si>
  <si>
    <t xml:space="preserve">AAACACGAAGACGCCCTTCTTGAA</t>
  </si>
  <si>
    <t xml:space="preserve">GTCCATGAATGTCACGGACA</t>
  </si>
  <si>
    <t xml:space="preserve">TAGTGTCCATGAATGTCACGGACA</t>
  </si>
  <si>
    <t xml:space="preserve">AAACTGTCCGTGACATTCATGGAC</t>
  </si>
  <si>
    <t xml:space="preserve">PSPPH_4446</t>
  </si>
  <si>
    <t xml:space="preserve">GCACTGGGTGACAAAACTGT</t>
  </si>
  <si>
    <t xml:space="preserve">TAGTGCACTGGGTGACAAAACTGT</t>
  </si>
  <si>
    <t xml:space="preserve">AAACACAGTTTTGTCACCCAGTGC</t>
  </si>
  <si>
    <t xml:space="preserve">TGAAACTGGTCTGGCAGTGC</t>
  </si>
  <si>
    <t xml:space="preserve">TAGTTGAAACTGGTCTGGCAGTGC</t>
  </si>
  <si>
    <t xml:space="preserve">AAACGCACTGCCAGACCAGTTTCA</t>
  </si>
  <si>
    <t xml:space="preserve">GGGCCACGCTCAGTTGAGCG</t>
  </si>
  <si>
    <t xml:space="preserve">TAGTGGGCCACGCTCAGTTGAGCG</t>
  </si>
  <si>
    <t xml:space="preserve">AAACCGCTCAACTGAGCGTGGCCC</t>
  </si>
  <si>
    <t xml:space="preserve">GCCACATCGCACCACGCCGC</t>
  </si>
  <si>
    <t xml:space="preserve">TAGTGCCACATCGCACCACGCCGC</t>
  </si>
  <si>
    <t xml:space="preserve">AAACGCGGCGTGGTGCGATGTGGC</t>
  </si>
  <si>
    <t xml:space="preserve">PSPPH_4447</t>
  </si>
  <si>
    <t xml:space="preserve">dusB</t>
  </si>
  <si>
    <t xml:space="preserve">AGCCGTTTTGCACTGTATAT</t>
  </si>
  <si>
    <t xml:space="preserve">TAGTAGCCGTTTTGCACTGTATAT</t>
  </si>
  <si>
    <t xml:space="preserve">AAACATATACAGTGCAAAACGGCT</t>
  </si>
  <si>
    <t xml:space="preserve">TGACGCCCGCCATCGGGGCG</t>
  </si>
  <si>
    <t xml:space="preserve">TAGTTGACGCCCGCCATCGGGGCG</t>
  </si>
  <si>
    <t xml:space="preserve">AAACCGCCCCGATGGCGGGCGTCA</t>
  </si>
  <si>
    <t xml:space="preserve">CAGCTGGCGGAAAGGCTGGT</t>
  </si>
  <si>
    <t xml:space="preserve">TAGTCAGCTGGCGGAAAGGCTGGT</t>
  </si>
  <si>
    <t xml:space="preserve">AAACACCAGCCTTTCCGCCAGCTG</t>
  </si>
  <si>
    <t xml:space="preserve">CCAGGCCGGCACCGAGTCGT</t>
  </si>
  <si>
    <t xml:space="preserve">TAGTCCAGGCCGGCACCGAGTCGT</t>
  </si>
  <si>
    <t xml:space="preserve">AAACACGACTCGGTGCCGGCCTGG</t>
  </si>
  <si>
    <t xml:space="preserve">PSPPH_4448</t>
  </si>
  <si>
    <t xml:space="preserve">fis</t>
  </si>
  <si>
    <t xml:space="preserve">TGTTCCACTCACTAAAGTCT</t>
  </si>
  <si>
    <t xml:space="preserve">TAGTTGTTCCACTCACTAAAGTCT</t>
  </si>
  <si>
    <t xml:space="preserve">AAACAGACTTTAGTGAGTGGAACA</t>
  </si>
  <si>
    <t xml:space="preserve">AAATTGACGTTGTCGCTCAC</t>
  </si>
  <si>
    <t xml:space="preserve">TAGTAAATTGACGTTGTCGCTCAC</t>
  </si>
  <si>
    <t xml:space="preserve">AAACGTGAGCGACAACGTCAATTT</t>
  </si>
  <si>
    <t xml:space="preserve">CCTCTTCGCTCGGCGTGTTG</t>
  </si>
  <si>
    <t xml:space="preserve">TAGTCCTCTTCGCTCGGCGTGTTG</t>
  </si>
  <si>
    <t xml:space="preserve">AAACCAACACGCCGAGCGAAGAGG</t>
  </si>
  <si>
    <t xml:space="preserve">CTTCTCGACACTTCCGCGCA</t>
  </si>
  <si>
    <t xml:space="preserve">TAGTCTTCTCGACACTTCCGCGCA</t>
  </si>
  <si>
    <t xml:space="preserve">AAACTGCGCGGAAGTGTCGAGAAG</t>
  </si>
  <si>
    <t xml:space="preserve">PSPPH_4449</t>
  </si>
  <si>
    <t xml:space="preserve">purH</t>
  </si>
  <si>
    <t xml:space="preserve">AGGCAGGCGGGTAGTCTGGT</t>
  </si>
  <si>
    <t xml:space="preserve">TAGTAGGCAGGCGGGTAGTCTGGT</t>
  </si>
  <si>
    <t xml:space="preserve">AAACACCAGACTACCCGCCTGCCT</t>
  </si>
  <si>
    <t xml:space="preserve">CTGATCAGGGCGCGACGGAT</t>
  </si>
  <si>
    <t xml:space="preserve">TAGTCTGATCAGGGCGCGACGGAT</t>
  </si>
  <si>
    <t xml:space="preserve">AAACATCCGTCGCGCCCTGATCAG</t>
  </si>
  <si>
    <t xml:space="preserve">CTCAAGGATTCCTGTCTTGT</t>
  </si>
  <si>
    <t xml:space="preserve">TAGTCTCAAGGATTCCTGTCTTGT</t>
  </si>
  <si>
    <t xml:space="preserve">AAACACAAGACAGGAATCCTTGAG</t>
  </si>
  <si>
    <t xml:space="preserve">GCCCAGCGCTTCAAGCTCGC</t>
  </si>
  <si>
    <t xml:space="preserve">TAGTGCCCAGCGCTTCAAGCTCGC</t>
  </si>
  <si>
    <t xml:space="preserve">AAACGCGAGCTTGAAGCGCTGGGC</t>
  </si>
  <si>
    <t xml:space="preserve">PSPPH_4450</t>
  </si>
  <si>
    <t xml:space="preserve">purD</t>
  </si>
  <si>
    <t xml:space="preserve">TGGAGTACGCGGTGTGCCTG</t>
  </si>
  <si>
    <t xml:space="preserve">TAGTTGGAGTACGCGGTGTGCCTG</t>
  </si>
  <si>
    <t xml:space="preserve">AAACCAGGCACACCGCGTACTCCA</t>
  </si>
  <si>
    <t xml:space="preserve">AACCTCGATGACGCTGATTC</t>
  </si>
  <si>
    <t xml:space="preserve">TAGTAACCTCGATGACGCTGATTC</t>
  </si>
  <si>
    <t xml:space="preserve">AAACGAATCAGCGTCATCGAGGTT</t>
  </si>
  <si>
    <t xml:space="preserve">CTGAGCGACTTTCCATGCCA</t>
  </si>
  <si>
    <t xml:space="preserve">TAGTCTGAGCGACTTTCCATGCCA</t>
  </si>
  <si>
    <t xml:space="preserve">AAACTGGCATGGAAAGTCGCTCAG</t>
  </si>
  <si>
    <t xml:space="preserve">CGAACACCTTCTGCACACGT</t>
  </si>
  <si>
    <t xml:space="preserve">TAGTCGAACACCTTCTGCACACGT</t>
  </si>
  <si>
    <t xml:space="preserve">AAACACGTGTGCAGAAGGTGTTCG</t>
  </si>
  <si>
    <t xml:space="preserve">PSPPH_4451</t>
  </si>
  <si>
    <t xml:space="preserve">CAGTCCGACGGTTGAGGCTA</t>
  </si>
  <si>
    <t xml:space="preserve">TAGTCAGTCCGACGGTTGAGGCTA</t>
  </si>
  <si>
    <t xml:space="preserve">AAACTAGCCTCAACCGTCGGACTG</t>
  </si>
  <si>
    <t xml:space="preserve">CGCCGAAAGCATGAACAGCA</t>
  </si>
  <si>
    <t xml:space="preserve">TAGTCGCCGAAAGCATGAACAGCA</t>
  </si>
  <si>
    <t xml:space="preserve">AAACTGCTGTTCATGCTTTCGGCG</t>
  </si>
  <si>
    <t xml:space="preserve">CGACCAGCCTGCACCATGCT</t>
  </si>
  <si>
    <t xml:space="preserve">TAGTCGACCAGCCTGCACCATGCT</t>
  </si>
  <si>
    <t xml:space="preserve">AAACAGCATGGTGCAGGCTGGTCG</t>
  </si>
  <si>
    <t xml:space="preserve">GATTTCATCCAGCGTCAGAT</t>
  </si>
  <si>
    <t xml:space="preserve">TAGTGATTTCATCCAGCGTCAGAT</t>
  </si>
  <si>
    <t xml:space="preserve">AAACATCTGACGCTGGATGAAATC</t>
  </si>
  <si>
    <t xml:space="preserve">PSPPH_4452</t>
  </si>
  <si>
    <t xml:space="preserve">GCTGAACAACACGTGAAGCA</t>
  </si>
  <si>
    <t xml:space="preserve">TAGTGCTGAACAACACGTGAAGCA</t>
  </si>
  <si>
    <t xml:space="preserve">AAACTGCTTCACGTGTTGTTCAGC</t>
  </si>
  <si>
    <t xml:space="preserve">AGCAGGAAAGAACGAAAAAC</t>
  </si>
  <si>
    <t xml:space="preserve">TAGTAGCAGGAAAGAACGAAAAAC</t>
  </si>
  <si>
    <t xml:space="preserve">AAACGTTTTTCGTTCTTTCCTGCT</t>
  </si>
  <si>
    <t xml:space="preserve">TGCGCGAGTGACCGCGGGTC</t>
  </si>
  <si>
    <t xml:space="preserve">TAGTTGCGCGAGTGACCGCGGGTC</t>
  </si>
  <si>
    <t xml:space="preserve">AAACGACCCGCGGTCACTCGCGCA</t>
  </si>
  <si>
    <t xml:space="preserve">TGTCGCCAGCGCCACCTTCC</t>
  </si>
  <si>
    <t xml:space="preserve">TAGTTGTCGCCAGCGCCACCTTCC</t>
  </si>
  <si>
    <t xml:space="preserve">AAACGGAAGGTGGCGCTGGCGACA</t>
  </si>
  <si>
    <t xml:space="preserve">PSPPH_4453</t>
  </si>
  <si>
    <t xml:space="preserve">GAAGAAACGTCACCATACTG</t>
  </si>
  <si>
    <t xml:space="preserve">TAGTGAAGAAACGTCACCATACTG</t>
  </si>
  <si>
    <t xml:space="preserve">AAACCAGTATGGTGACGTTTCTTC</t>
  </si>
  <si>
    <t xml:space="preserve">CGCTCCTCACTTGTAAGCCC</t>
  </si>
  <si>
    <t xml:space="preserve">TAGTCGCTCCTCACTTGTAAGCCC</t>
  </si>
  <si>
    <t xml:space="preserve">AAACGGGCTTACAAGTGAGGAGCG</t>
  </si>
  <si>
    <t xml:space="preserve">CACGTGTCTTGAGCCGGCTG</t>
  </si>
  <si>
    <t xml:space="preserve">TAGTCACGTGTCTTGAGCCGGCTG</t>
  </si>
  <si>
    <t xml:space="preserve">AAACCAGCCGGCTCAAGACACGTG</t>
  </si>
  <si>
    <t xml:space="preserve">CGCTGGACTGCTGACCTTGA</t>
  </si>
  <si>
    <t xml:space="preserve">TAGTCGCTGGACTGCTGACCTTGA</t>
  </si>
  <si>
    <t xml:space="preserve">AAACTCAAGGTCAGCAGTCCAGCG</t>
  </si>
  <si>
    <t xml:space="preserve">PSPPH_4454</t>
  </si>
  <si>
    <t xml:space="preserve">GAGATTGGCCCCTGCCAGCA</t>
  </si>
  <si>
    <t xml:space="preserve">TAGTGAGATTGGCCCCTGCCAGCA</t>
  </si>
  <si>
    <t xml:space="preserve">AAACTGCTGGCAGGGGCCAATCTC</t>
  </si>
  <si>
    <t xml:space="preserve">CGACGTTACGGGCGAACGAC</t>
  </si>
  <si>
    <t xml:space="preserve">TAGTCGACGTTACGGGCGAACGAC</t>
  </si>
  <si>
    <t xml:space="preserve">AAACGTCGTTCGCCCGTAACGTCG</t>
  </si>
  <si>
    <t xml:space="preserve">TGTACGTCCTGACGCAAACC</t>
  </si>
  <si>
    <t xml:space="preserve">TAGTTGTACGTCCTGACGCAAACC</t>
  </si>
  <si>
    <t xml:space="preserve">AAACGGTTTGCGTCAGGACGTACA</t>
  </si>
  <si>
    <t xml:space="preserve">GCGCGGGGAATGCTGGTCAT</t>
  </si>
  <si>
    <t xml:space="preserve">TAGTGCGCGGGGAATGCTGGTCAT</t>
  </si>
  <si>
    <t xml:space="preserve">AAACATGACCAGCATTCCCCGCGC</t>
  </si>
  <si>
    <t xml:space="preserve">PSPPH_4455</t>
  </si>
  <si>
    <t xml:space="preserve">GCATCCAATTCCTGCATCAT</t>
  </si>
  <si>
    <t xml:space="preserve">TAGTGCATCCAATTCCTGCATCAT</t>
  </si>
  <si>
    <t xml:space="preserve">AAACATGATGCAGGAATTGGATGC</t>
  </si>
  <si>
    <t xml:space="preserve">ACAGCCGGCGTTGACGACTG</t>
  </si>
  <si>
    <t xml:space="preserve">TAGTACAGCCGGCGTTGACGACTG</t>
  </si>
  <si>
    <t xml:space="preserve">AAACCAGTCGTCAACGCCGGCTGT</t>
  </si>
  <si>
    <t xml:space="preserve">GCGCGACCTGCTGCGACGTG</t>
  </si>
  <si>
    <t xml:space="preserve">TAGTGCGCGACCTGCTGCGACGTG</t>
  </si>
  <si>
    <t xml:space="preserve">AAACCACGTCGCAGCAGGTCGCGC</t>
  </si>
  <si>
    <t xml:space="preserve">GAGTCCAGCACATCGTTTTT</t>
  </si>
  <si>
    <t xml:space="preserve">TAGTGAGTCCAGCACATCGTTTTT</t>
  </si>
  <si>
    <t xml:space="preserve">AAACAAAAACGATGTGCTGGACTC</t>
  </si>
  <si>
    <t xml:space="preserve">PSPPH_4456</t>
  </si>
  <si>
    <t xml:space="preserve">GGCAATGTAATCAAGGTTGT</t>
  </si>
  <si>
    <t xml:space="preserve">TAGTGGCAATGTAATCAAGGTTGT</t>
  </si>
  <si>
    <t xml:space="preserve">AAACACAACCTTGATTACATTGCC</t>
  </si>
  <si>
    <t xml:space="preserve">GCATTCAGCCAGCTCACAAG</t>
  </si>
  <si>
    <t xml:space="preserve">TAGTGCATTCAGCCAGCTCACAAG</t>
  </si>
  <si>
    <t xml:space="preserve">AAACCTTGTGAGCTGGCTGAATGC</t>
  </si>
  <si>
    <t xml:space="preserve">TATGGCTGCTGCGTGGGCGA</t>
  </si>
  <si>
    <t xml:space="preserve">TAGTTATGGCTGCTGCGTGGGCGA</t>
  </si>
  <si>
    <t xml:space="preserve">AAACTCGCCCACGCAGCAGCCATA</t>
  </si>
  <si>
    <t xml:space="preserve">TCACTGGCCAGAAGCAATTC</t>
  </si>
  <si>
    <t xml:space="preserve">TAGTTCACTGGCCAGAAGCAATTC</t>
  </si>
  <si>
    <t xml:space="preserve">AAACGAATTGCTTCTGGCCAGTGA</t>
  </si>
  <si>
    <t xml:space="preserve">PSPPH_4457</t>
  </si>
  <si>
    <t xml:space="preserve">GCCATTGCCGAGAATGACGA</t>
  </si>
  <si>
    <t xml:space="preserve">TAGTGCCATTGCCGAGAATGACGA</t>
  </si>
  <si>
    <t xml:space="preserve">AAACTCGTCATTCTCGGCAATGGC</t>
  </si>
  <si>
    <t xml:space="preserve">GAATGCGCCGCGCGGTAGCC</t>
  </si>
  <si>
    <t xml:space="preserve">TAGTGAATGCGCCGCGCGGTAGCC</t>
  </si>
  <si>
    <t xml:space="preserve">AAACGGCTACCGCGCGGCGCATTC</t>
  </si>
  <si>
    <t xml:space="preserve">AGGCCATGAATCTGCGCATC</t>
  </si>
  <si>
    <t xml:space="preserve">TAGTAGGCCATGAATCTGCGCATC</t>
  </si>
  <si>
    <t xml:space="preserve">AAACGATGCGCAGATTCATGGCCT</t>
  </si>
  <si>
    <t xml:space="preserve">CGTTCTGCACACGCTCGGCC</t>
  </si>
  <si>
    <t xml:space="preserve">TAGTCGTTCTGCACACGCTCGGCC</t>
  </si>
  <si>
    <t xml:space="preserve">AAACGGCCGAGCGTGTGCAGAACG</t>
  </si>
  <si>
    <t xml:space="preserve">PSPPH_4458</t>
  </si>
  <si>
    <t xml:space="preserve">cobI</t>
  </si>
  <si>
    <t xml:space="preserve">GGTCGCCGGGGCCGACGCCC</t>
  </si>
  <si>
    <t xml:space="preserve">TAGTGGTCGCCGGGGCCGACGCCC</t>
  </si>
  <si>
    <t xml:space="preserve">AAACGGGCGTCGGCCCCGGCGACC</t>
  </si>
  <si>
    <t xml:space="preserve">CCTTGACGGTAATCAGCTCC</t>
  </si>
  <si>
    <t xml:space="preserve">TAGTCCTTGACGGTAATCAGCTCC</t>
  </si>
  <si>
    <t xml:space="preserve">AAACGGAGCTGATTACCGTCAAGG</t>
  </si>
  <si>
    <t xml:space="preserve">CCACAGGCGACTCCCGCAGC</t>
  </si>
  <si>
    <t xml:space="preserve">TAGTCCACAGGCGACTCCCGCAGC</t>
  </si>
  <si>
    <t xml:space="preserve">AAACGCTGCGGGAGTCGCCTGTGG</t>
  </si>
  <si>
    <t xml:space="preserve">TGCGTTGCCCTTTTTACCCT</t>
  </si>
  <si>
    <t xml:space="preserve">TAGTTGCGTTGCCCTTTTTACCCT</t>
  </si>
  <si>
    <t xml:space="preserve">AAACAGGGTAAAAAGGGCAACGCA</t>
  </si>
  <si>
    <t xml:space="preserve">PSPPH_4459</t>
  </si>
  <si>
    <t xml:space="preserve">cobH</t>
  </si>
  <si>
    <t xml:space="preserve">GATATATCTCCTGACCATCG</t>
  </si>
  <si>
    <t xml:space="preserve">TAGTGATATATCTCCTGACCATCG</t>
  </si>
  <si>
    <t xml:space="preserve">AAACCGATGGTCAGGAGATATATC</t>
  </si>
  <si>
    <t xml:space="preserve">TTCGGCGCGAATGATCGAGA</t>
  </si>
  <si>
    <t xml:space="preserve">TAGTTTCGGCGCGAATGATCGAGA</t>
  </si>
  <si>
    <t xml:space="preserve">AAACTCTCGATCATTCGCGCCGAA</t>
  </si>
  <si>
    <t xml:space="preserve">GGTCGGCGGGGATCGTGTCC</t>
  </si>
  <si>
    <t xml:space="preserve">TAGTGGTCGGCGGGGATCGTGTCC</t>
  </si>
  <si>
    <t xml:space="preserve">AAACGGACACGATCCCCGCCGACC</t>
  </si>
  <si>
    <t xml:space="preserve">CGCGCACGGCGAGTTTTTCC</t>
  </si>
  <si>
    <t xml:space="preserve">TAGTCGCGCACGGCGAGTTTTTCC</t>
  </si>
  <si>
    <t xml:space="preserve">AAACGGAAAAACTCGCCGTGCGCG</t>
  </si>
  <si>
    <t xml:space="preserve">PSPPH_4460</t>
  </si>
  <si>
    <t xml:space="preserve">GCGGACTGCGGCTCGTTCAA</t>
  </si>
  <si>
    <t xml:space="preserve">TAGTGCGGACTGCGGCTCGTTCAA</t>
  </si>
  <si>
    <t xml:space="preserve">AAACTTGAACGAGCCGCAGTCCGC</t>
  </si>
  <si>
    <t xml:space="preserve">CGAGGGGCGTAGCGTTGCAG</t>
  </si>
  <si>
    <t xml:space="preserve">TAGTCGAGGGGCGTAGCGTTGCAG</t>
  </si>
  <si>
    <t xml:space="preserve">AAACCTGCAACGCTACGCCCCTCG</t>
  </si>
  <si>
    <t xml:space="preserve">GATACGCAGCAACCCCGGAC</t>
  </si>
  <si>
    <t xml:space="preserve">TAGTGATACGCAGCAACCCCGGAC</t>
  </si>
  <si>
    <t xml:space="preserve">AAACGTCCGGGGTTGCTGCGTATC</t>
  </si>
  <si>
    <t xml:space="preserve">AGATCCCGCCGTCCAGTGCC</t>
  </si>
  <si>
    <t xml:space="preserve">TAGTAGATCCCGCCGTCCAGTGCC</t>
  </si>
  <si>
    <t xml:space="preserve">AAACGGCACTGGACGGCGGGATCT</t>
  </si>
  <si>
    <t xml:space="preserve">PSPPH_4461</t>
  </si>
  <si>
    <t xml:space="preserve">cobL</t>
  </si>
  <si>
    <t xml:space="preserve">ATTCCCACGACTGTCAGCCA</t>
  </si>
  <si>
    <t xml:space="preserve">TAGTATTCCCACGACTGTCAGCCA</t>
  </si>
  <si>
    <t xml:space="preserve">AAACTGGCTGACAGTCGTGGGAAT</t>
  </si>
  <si>
    <t xml:space="preserve">CGTGCCGGGCGTTCTTGCCC</t>
  </si>
  <si>
    <t xml:space="preserve">TAGTCGTGCCGGGCGTTCTTGCCC</t>
  </si>
  <si>
    <t xml:space="preserve">AAACGGGCAAGAACGCCCGGCACG</t>
  </si>
  <si>
    <t xml:space="preserve">GGCAGCAATGCCAGCTGGCG</t>
  </si>
  <si>
    <t xml:space="preserve">TAGTGGCAGCAATGCCAGCTGGCG</t>
  </si>
  <si>
    <t xml:space="preserve">AAACCGCCAGCTGGCATTGCTGCC</t>
  </si>
  <si>
    <t xml:space="preserve">CGCTCGGCGCGAATGCACGG</t>
  </si>
  <si>
    <t xml:space="preserve">TAGTCGCTCGGCGCGAATGCACGG</t>
  </si>
  <si>
    <t xml:space="preserve">AAACCCGTGCATTCGCGCCGAGCG</t>
  </si>
  <si>
    <t xml:space="preserve">PSPPH_4462</t>
  </si>
  <si>
    <t xml:space="preserve">cbiD</t>
  </si>
  <si>
    <t xml:space="preserve">TAGCGGAGCAGGCTGTTCGG</t>
  </si>
  <si>
    <t xml:space="preserve">TAGTTAGCGGAGCAGGCTGTTCGG</t>
  </si>
  <si>
    <t xml:space="preserve">AAACCCGAACAGCCTGCTCCGCTA</t>
  </si>
  <si>
    <t xml:space="preserve">TGGCGCAGCTGCCGGTGGTC</t>
  </si>
  <si>
    <t xml:space="preserve">TAGTTGGCGCAGCTGCCGGTGGTC</t>
  </si>
  <si>
    <t xml:space="preserve">AAACGACCACCGGCAGCTGCGCCA</t>
  </si>
  <si>
    <t xml:space="preserve">CGCCGCGAGGCTGGTTGCGG</t>
  </si>
  <si>
    <t xml:space="preserve">TAGTCGCCGCGAGGCTGGTTGCGG</t>
  </si>
  <si>
    <t xml:space="preserve">AAACCCGCAACCAGCCTCGCGGCG</t>
  </si>
  <si>
    <t xml:space="preserve">ATCTGCACCTGTTTGCCCTT</t>
  </si>
  <si>
    <t xml:space="preserve">TAGTATCTGCACCTGTTTGCCCTT</t>
  </si>
  <si>
    <t xml:space="preserve">AAACAAGGGCAAACAGGTGCAGAT</t>
  </si>
  <si>
    <t xml:space="preserve">PSPPH_4463</t>
  </si>
  <si>
    <t xml:space="preserve">GCGTGCAATCGCCAGCGCTT</t>
  </si>
  <si>
    <t xml:space="preserve">TAGTGCGTGCAATCGCCAGCGCTT</t>
  </si>
  <si>
    <t xml:space="preserve">AAACAAGCGCTGGCGATTGCACGC</t>
  </si>
  <si>
    <t xml:space="preserve">GCCAGGCTATAGATGTGCTC</t>
  </si>
  <si>
    <t xml:space="preserve">TAGTGCCAGGCTATAGATGTGCTC</t>
  </si>
  <si>
    <t xml:space="preserve">AAACGAGCACATCTATAGCCTGGC</t>
  </si>
  <si>
    <t xml:space="preserve">AACTGACAGGCCAGATCTGC</t>
  </si>
  <si>
    <t xml:space="preserve">TAGTAACTGACAGGCCAGATCTGC</t>
  </si>
  <si>
    <t xml:space="preserve">AAACGCAGATCTGGCCTGTCAGTT</t>
  </si>
  <si>
    <t xml:space="preserve">CCAGCAGCAAATCGACGCCC</t>
  </si>
  <si>
    <t xml:space="preserve">TAGTCCAGCAGCAAATCGACGCCC</t>
  </si>
  <si>
    <t xml:space="preserve">AAACGGGCGTCGATTTGCTGCTGG</t>
  </si>
  <si>
    <t xml:space="preserve">PSPPH_4464</t>
  </si>
  <si>
    <t xml:space="preserve">CAGATAAATCTGGCCTGTAC</t>
  </si>
  <si>
    <t xml:space="preserve">TAGTCAGATAAATCTGGCCTGTAC</t>
  </si>
  <si>
    <t xml:space="preserve">AAACGTACAGGCCAGATTTATCTG</t>
  </si>
  <si>
    <t xml:space="preserve">TTTTCTCTGGAGTGTTTTCG</t>
  </si>
  <si>
    <t xml:space="preserve">TAGTTTTTCTCTGGAGTGTTTTCG</t>
  </si>
  <si>
    <t xml:space="preserve">AAACCGAAAACACTCCAGAGAAAA</t>
  </si>
  <si>
    <t xml:space="preserve">ATGCGCCAGTCAGAAAAAGC</t>
  </si>
  <si>
    <t xml:space="preserve">TAGTATGCGCCAGTCAGAAAAAGC</t>
  </si>
  <si>
    <t xml:space="preserve">AAACGCTTTTTCTGACTGGCGCAT</t>
  </si>
  <si>
    <t xml:space="preserve">AATCGGCCAGTTGCTGCTCC</t>
  </si>
  <si>
    <t xml:space="preserve">TAGTAATCGGCCAGTTGCTGCTCC</t>
  </si>
  <si>
    <t xml:space="preserve">AAACGGAGCAGCAACTGGCCGATT</t>
  </si>
  <si>
    <t xml:space="preserve">PSPPH_4465</t>
  </si>
  <si>
    <t xml:space="preserve">GCAGCAGTAATGCGGCCAGC</t>
  </si>
  <si>
    <t xml:space="preserve">TAGTGCAGCAGTAATGCGGCCAGC</t>
  </si>
  <si>
    <t xml:space="preserve">AAACGCTGGCCGCATTACTGCTGC</t>
  </si>
  <si>
    <t xml:space="preserve">TGGGCCTGGGCAAAGCAGGC</t>
  </si>
  <si>
    <t xml:space="preserve">TAGTTGGGCCTGGGCAAAGCAGGC</t>
  </si>
  <si>
    <t xml:space="preserve">AAACGCCTGCTTTGCCCAGGCCCA</t>
  </si>
  <si>
    <t xml:space="preserve">ACGGCCCAGCCTTGTACTCA</t>
  </si>
  <si>
    <t xml:space="preserve">TAGTACGGCCCAGCCTTGTACTCA</t>
  </si>
  <si>
    <t xml:space="preserve">AAACTGAGTACAAGGCTGGGCCGT</t>
  </si>
  <si>
    <t xml:space="preserve">GCAGCTCCATTGACCAGGGA</t>
  </si>
  <si>
    <t xml:space="preserve">TAGTGCAGCTCCATTGACCAGGGA</t>
  </si>
  <si>
    <t xml:space="preserve">AAACTCCCTGGTCAATGGAGCTGC</t>
  </si>
  <si>
    <t xml:space="preserve">PSPPH_4466</t>
  </si>
  <si>
    <t xml:space="preserve">TGGCTGATCTGTCGCGAACG</t>
  </si>
  <si>
    <t xml:space="preserve">TAGTTGGCTGATCTGTCGCGAACG</t>
  </si>
  <si>
    <t xml:space="preserve">AAACCGTTCGCGACAGATCAGCCA</t>
  </si>
  <si>
    <t xml:space="preserve">TGCGCCCCGCTTGTTACGGG</t>
  </si>
  <si>
    <t xml:space="preserve">TAGTTGCGCCCCGCTTGTTACGGG</t>
  </si>
  <si>
    <t xml:space="preserve">AAACCCCGTAACAAGCGGGGCGCA</t>
  </si>
  <si>
    <t xml:space="preserve">AGATCATCAACATGGCGAAC</t>
  </si>
  <si>
    <t xml:space="preserve">TAGTAGATCATCAACATGGCGAAC</t>
  </si>
  <si>
    <t xml:space="preserve">AAACGTTCGCCATGTTGATGATCT</t>
  </si>
  <si>
    <t xml:space="preserve">GGCATCGACTGGGAAACCAG</t>
  </si>
  <si>
    <t xml:space="preserve">TAGTGGCATCGACTGGGAAACCAG</t>
  </si>
  <si>
    <t xml:space="preserve">AAACCTGGTTTCCCAGTCGATGCC</t>
  </si>
  <si>
    <t xml:space="preserve">PSPPH_4467</t>
  </si>
  <si>
    <t xml:space="preserve">GTAAAAAGAGACATCAGGTT</t>
  </si>
  <si>
    <t xml:space="preserve">TAGTGTAAAAAGAGACATCAGGTT</t>
  </si>
  <si>
    <t xml:space="preserve">AAACAACCTGATGTCTCTTTTTAC</t>
  </si>
  <si>
    <t xml:space="preserve">AGAAATGCCATCGCCAGGCA</t>
  </si>
  <si>
    <t xml:space="preserve">TAGTAGAAATGCCATCGCCAGGCA</t>
  </si>
  <si>
    <t xml:space="preserve">AAACTGCCTGGCGATGGCATTTCT</t>
  </si>
  <si>
    <t xml:space="preserve">AGCGATAACAGGATCATGAA</t>
  </si>
  <si>
    <t xml:space="preserve">TAGTAGCGATAACAGGATCATGAA</t>
  </si>
  <si>
    <t xml:space="preserve">AAACTTCATGATCCTGTTATCGCT</t>
  </si>
  <si>
    <t xml:space="preserve">CTTGAACAGGTAAATGATGC</t>
  </si>
  <si>
    <t xml:space="preserve">TAGTCTTGAACAGGTAAATGATGC</t>
  </si>
  <si>
    <t xml:space="preserve">AAACGCATCATTTACCTGTTCAAG</t>
  </si>
  <si>
    <t xml:space="preserve">PSPPH_4468</t>
  </si>
  <si>
    <t xml:space="preserve">TGTTATGAGCGGTAGGTTCA</t>
  </si>
  <si>
    <t xml:space="preserve">TAGTTGTTATGAGCGGTAGGTTCA</t>
  </si>
  <si>
    <t xml:space="preserve">AAACTGAACCTACCGCTCATAACA</t>
  </si>
  <si>
    <t xml:space="preserve">GCAAGTGAACGTTGTGGAGG</t>
  </si>
  <si>
    <t xml:space="preserve">TAGTGCAAGTGAACGTTGTGGAGG</t>
  </si>
  <si>
    <t xml:space="preserve">AAACCCTCCACAACGTTCACTTGC</t>
  </si>
  <si>
    <t xml:space="preserve">ACCAGGTGGATACGTGTCGC</t>
  </si>
  <si>
    <t xml:space="preserve">TAGTACCAGGTGGATACGTGTCGC</t>
  </si>
  <si>
    <t xml:space="preserve">AAACGCGACACGTATCCACCTGGT</t>
  </si>
  <si>
    <t xml:space="preserve">GCAGGGTACTGGCCAGCTCC</t>
  </si>
  <si>
    <t xml:space="preserve">TAGTGCAGGGTACTGGCCAGCTCC</t>
  </si>
  <si>
    <t xml:space="preserve">AAACGGAGCTGGCCAGTACCCTGC</t>
  </si>
  <si>
    <t xml:space="preserve">PSPPH_4469</t>
  </si>
  <si>
    <t xml:space="preserve">ACAGGGTAAAGGCTTTGGTC</t>
  </si>
  <si>
    <t xml:space="preserve">TAGTACAGGGTAAAGGCTTTGGTC</t>
  </si>
  <si>
    <t xml:space="preserve">AAACGACCAAAGCCTTTACCCTGT</t>
  </si>
  <si>
    <t xml:space="preserve">CCCCATGGCGGCGATCGATG</t>
  </si>
  <si>
    <t xml:space="preserve">TAGTCCCCATGGCGGCGATCGATG</t>
  </si>
  <si>
    <t xml:space="preserve">AAACCATCGATCGCCGCCATGGGG</t>
  </si>
  <si>
    <t xml:space="preserve">TTCGGCAGCCTGAACGGTCC</t>
  </si>
  <si>
    <t xml:space="preserve">TAGTTTCGGCAGCCTGAACGGTCC</t>
  </si>
  <si>
    <t xml:space="preserve">AAACGGACCGTTCAGGCTGCCGAA</t>
  </si>
  <si>
    <t xml:space="preserve">ATGCAGAATACCGACCTTGA</t>
  </si>
  <si>
    <t xml:space="preserve">TAGTATGCAGAATACCGACCTTGA</t>
  </si>
  <si>
    <t xml:space="preserve">AAACTCAAGGTCGGTATTCTGCAT</t>
  </si>
  <si>
    <t xml:space="preserve">PSPPH_4470</t>
  </si>
  <si>
    <t xml:space="preserve">ATGAAACGGTAGAAGTAGGA</t>
  </si>
  <si>
    <t xml:space="preserve">TAGTATGAAACGGTAGAAGTAGGA</t>
  </si>
  <si>
    <t xml:space="preserve">AAACTCCTACTTCTACCGTTTCAT</t>
  </si>
  <si>
    <t xml:space="preserve">GCAGCAGCAGGCTGATAGCG</t>
  </si>
  <si>
    <t xml:space="preserve">TAGTGCAGCAGCAGGCTGATAGCG</t>
  </si>
  <si>
    <t xml:space="preserve">AAACCGCTATCAGCCTGCTGCTGC</t>
  </si>
  <si>
    <t xml:space="preserve">TCGCTGGCCTGAGCTGCAAG</t>
  </si>
  <si>
    <t xml:space="preserve">TAGTTCGCTGGCCTGAGCTGCAAG</t>
  </si>
  <si>
    <t xml:space="preserve">AAACCTTGCAGCTCAGGCCAGCGA</t>
  </si>
  <si>
    <t xml:space="preserve">ACTGGCTGCGACAAAATCAC</t>
  </si>
  <si>
    <t xml:space="preserve">TAGTACTGGCTGCGACAAAATCAC</t>
  </si>
  <si>
    <t xml:space="preserve">AAACGTGATTTTGTCGCAGCCAGT</t>
  </si>
  <si>
    <t xml:space="preserve">PSPPH_4471</t>
  </si>
  <si>
    <t xml:space="preserve">CGGCAGTTACCATCAATGGC</t>
  </si>
  <si>
    <t xml:space="preserve">TAGTCGGCAGTTACCATCAATGGC</t>
  </si>
  <si>
    <t xml:space="preserve">AAACGCCATTGATGGTAACTGCCG</t>
  </si>
  <si>
    <t xml:space="preserve">TTTGGGGCCGACTTTTTGTG</t>
  </si>
  <si>
    <t xml:space="preserve">TAGTTTTGGGGCCGACTTTTTGTG</t>
  </si>
  <si>
    <t xml:space="preserve">AAACCACAAAAAGTCGGCCCCAAA</t>
  </si>
  <si>
    <t xml:space="preserve">AGCCAGTATCACAATGCCTG</t>
  </si>
  <si>
    <t xml:space="preserve">TAGTAGCCAGTATCACAATGCCTG</t>
  </si>
  <si>
    <t xml:space="preserve">AAACCAGGCATTGTGATACTGGCT</t>
  </si>
  <si>
    <t xml:space="preserve">GCAGGCAACAACGACAGCAA</t>
  </si>
  <si>
    <t xml:space="preserve">TAGTGCAGGCAACAACGACAGCAA</t>
  </si>
  <si>
    <t xml:space="preserve">AAACTTGCTGTCGTTGTTGCCTGC</t>
  </si>
  <si>
    <t xml:space="preserve">PSPPH_4472</t>
  </si>
  <si>
    <t xml:space="preserve">CATGAACGACGGGGTAGGAG</t>
  </si>
  <si>
    <t xml:space="preserve">TAGTCATGAACGACGGGGTAGGAG</t>
  </si>
  <si>
    <t xml:space="preserve">AAACCTCCTACCCCGTCGTTCATG</t>
  </si>
  <si>
    <t xml:space="preserve">TCAGAGTTGGGTGCCAGAAC</t>
  </si>
  <si>
    <t xml:space="preserve">TAGTTCAGAGTTGGGTGCCAGAAC</t>
  </si>
  <si>
    <t xml:space="preserve">AAACGTTCTGGCACCCAACTCTGA</t>
  </si>
  <si>
    <t xml:space="preserve">AAGGCCTACCGCATCGCGGC</t>
  </si>
  <si>
    <t xml:space="preserve">TAGTAAGGCCTACCGCATCGCGGC</t>
  </si>
  <si>
    <t xml:space="preserve">AAACGCCGCGATGCGGTAGGCCTT</t>
  </si>
  <si>
    <t xml:space="preserve">CGCTGATGTCTTCCAGCGTC</t>
  </si>
  <si>
    <t xml:space="preserve">TAGTCGCTGATGTCTTCCAGCGTC</t>
  </si>
  <si>
    <t xml:space="preserve">AAACGACGCTGGAAGACATCAGCG</t>
  </si>
  <si>
    <t xml:space="preserve">PSPPH_4473</t>
  </si>
  <si>
    <t xml:space="preserve">AAGCTTTTCGACCTGGAGCA</t>
  </si>
  <si>
    <t xml:space="preserve">TAGTAAGCTTTTCGACCTGGAGCA</t>
  </si>
  <si>
    <t xml:space="preserve">AAACTGCTCCAGGTCGAAAAGCTT</t>
  </si>
  <si>
    <t xml:space="preserve">ACGACAGACCGCGAAGAATG</t>
  </si>
  <si>
    <t xml:space="preserve">TAGTACGACAGACCGCGAAGAATG</t>
  </si>
  <si>
    <t xml:space="preserve">AAACCATTCTTCGCGGTCTGTCGT</t>
  </si>
  <si>
    <t xml:space="preserve">TGCACCGAGCCTTCCTTCGA</t>
  </si>
  <si>
    <t xml:space="preserve">TAGTTGCACCGAGCCTTCCTTCGA</t>
  </si>
  <si>
    <t xml:space="preserve">AAACTCGAAGGAAGGCTCGGTGCA</t>
  </si>
  <si>
    <t xml:space="preserve">ATGCGTCTTGAACTGGGTGA</t>
  </si>
  <si>
    <t xml:space="preserve">TAGTATGCGTCTTGAACTGGGTGA</t>
  </si>
  <si>
    <t xml:space="preserve">AAACTCACCCAGTTCAAGACGCAT</t>
  </si>
  <si>
    <t xml:space="preserve">PSPPH_4474</t>
  </si>
  <si>
    <t xml:space="preserve">ureD</t>
  </si>
  <si>
    <t xml:space="preserve">GGTGTTGGCAGGCAGATTCA</t>
  </si>
  <si>
    <t xml:space="preserve">TAGTGGTGTTGGCAGGCAGATTCA</t>
  </si>
  <si>
    <t xml:space="preserve">AAACTGAATCTGCCTGCCAACACC</t>
  </si>
  <si>
    <t xml:space="preserve">CCAGCTGGGGGTAAAAAGGG</t>
  </si>
  <si>
    <t xml:space="preserve">TAGTCCAGCTGGGGGTAAAAAGGG</t>
  </si>
  <si>
    <t xml:space="preserve">AAACCCCTTTTTACCCCCAGCTGG</t>
  </si>
  <si>
    <t xml:space="preserve">GCCATAACCCAATTCCAGCT</t>
  </si>
  <si>
    <t xml:space="preserve">TAGTGCCATAACCCAATTCCAGCT</t>
  </si>
  <si>
    <t xml:space="preserve">AAACAGCTGGAATTGGGTTATGGC</t>
  </si>
  <si>
    <t xml:space="preserve">GGCGTGTGCAGTCATCGAAA</t>
  </si>
  <si>
    <t xml:space="preserve">TAGTGGCGTGTGCAGTCATCGAAA</t>
  </si>
  <si>
    <t xml:space="preserve">AAACTTTCGATGACTGCACACGCC</t>
  </si>
  <si>
    <t xml:space="preserve">PSPPH_4475</t>
  </si>
  <si>
    <t xml:space="preserve">ureA</t>
  </si>
  <si>
    <t xml:space="preserve">TCGCGTGGTGTCAGGTCCAT</t>
  </si>
  <si>
    <t xml:space="preserve">TAGTTCGCGTGGTGTCAGGTCCAT</t>
  </si>
  <si>
    <t xml:space="preserve">AAACATGGACCTGACACCACGCGA</t>
  </si>
  <si>
    <t xml:space="preserve">CCGTTCGGCGACCAGTCCGG</t>
  </si>
  <si>
    <t xml:space="preserve">TAGTCCGTTCGGCGACCAGTCCGG</t>
  </si>
  <si>
    <t xml:space="preserve">AAACCCGGACTGGTCGCCGAACGG</t>
  </si>
  <si>
    <t xml:space="preserve">AGATGTAGGCCATGGCTTCC</t>
  </si>
  <si>
    <t xml:space="preserve">TAGTAGATGTAGGCCATGGCTTCC</t>
  </si>
  <si>
    <t xml:space="preserve">AAACGGAAGCCATGGCCTACATCT</t>
  </si>
  <si>
    <t xml:space="preserve">GTAGTGCATGAGCTCAGCGA</t>
  </si>
  <si>
    <t xml:space="preserve">TAGTGTAGTGCATGAGCTCAGCGA</t>
  </si>
  <si>
    <t xml:space="preserve">AAACTCGCTGAGCTCATGCACTAC</t>
  </si>
  <si>
    <t xml:space="preserve">PSPPH_4476</t>
  </si>
  <si>
    <t xml:space="preserve">GCCCGGCAGATCGTCCGGCA</t>
  </si>
  <si>
    <t xml:space="preserve">TAGTGCCCGGCAGATCGTCCGGCA</t>
  </si>
  <si>
    <t xml:space="preserve">AAACTGCCGGACGATCTGCCGGGC</t>
  </si>
  <si>
    <t xml:space="preserve">TCGTTCATTCCAGATAGCCG</t>
  </si>
  <si>
    <t xml:space="preserve">TAGTTCGTTCATTCCAGATAGCCG</t>
  </si>
  <si>
    <t xml:space="preserve">AAACCGGCTATCTGGAATGAACGA</t>
  </si>
  <si>
    <t xml:space="preserve">TGGCGGTTGGCCAAGTCGAC</t>
  </si>
  <si>
    <t xml:space="preserve">TAGTTGGCGGTTGGCCAAGTCGAC</t>
  </si>
  <si>
    <t xml:space="preserve">AAACGTCGACTTGGCCAACCGCCA</t>
  </si>
  <si>
    <t xml:space="preserve">GGCGAGCTGCGTACCAGGCC</t>
  </si>
  <si>
    <t xml:space="preserve">TAGTGGCGAGCTGCGTACCAGGCC</t>
  </si>
  <si>
    <t xml:space="preserve">AAACGGCCTGGTACGCAGCTCGCC</t>
  </si>
  <si>
    <t xml:space="preserve">PSPPH_4477</t>
  </si>
  <si>
    <t xml:space="preserve">ttr</t>
  </si>
  <si>
    <t xml:space="preserve">TCGCAGTTGTGCATGGTTCA</t>
  </si>
  <si>
    <t xml:space="preserve">TAGTTCGCAGTTGTGCATGGTTCA</t>
  </si>
  <si>
    <t xml:space="preserve">AAACTGAACCATGCACAACTGCGA</t>
  </si>
  <si>
    <t xml:space="preserve">ATAATGGGCGAAGCTTTCAG</t>
  </si>
  <si>
    <t xml:space="preserve">TAGTATAATGGGCGAAGCTTTCAG</t>
  </si>
  <si>
    <t xml:space="preserve">AAACCTGAAAGCTTCGCCCATTAT</t>
  </si>
  <si>
    <t xml:space="preserve">ACAGCAACTGCGCCAGACCA</t>
  </si>
  <si>
    <t xml:space="preserve">TAGTACAGCAACTGCGCCAGACCA</t>
  </si>
  <si>
    <t xml:space="preserve">AAACTGGTCTGGCGCAGTTGCTGT</t>
  </si>
  <si>
    <t xml:space="preserve">CTGCGGCGATATCGGCCTTC</t>
  </si>
  <si>
    <t xml:space="preserve">TAGTCTGCGGCGATATCGGCCTTC</t>
  </si>
  <si>
    <t xml:space="preserve">AAACGAAGGCCGATATCGCCGCAG</t>
  </si>
  <si>
    <t xml:space="preserve">PSPPH_4478</t>
  </si>
  <si>
    <t xml:space="preserve">ureB</t>
  </si>
  <si>
    <t xml:space="preserve">GCTGGATCTGGTATTGACCA</t>
  </si>
  <si>
    <t xml:space="preserve">TAGTGCTGGATCTGGTATTGACCA</t>
  </si>
  <si>
    <t xml:space="preserve">AAACTGGTCAATACCAGATCCAGC</t>
  </si>
  <si>
    <t xml:space="preserve">TCGTTGAGTTCGATATCGCC</t>
  </si>
  <si>
    <t xml:space="preserve">TAGTTCGTTGAGTTCGATATCGCC</t>
  </si>
  <si>
    <t xml:space="preserve">AAACGGCGATATCGAACTCAACGA</t>
  </si>
  <si>
    <t xml:space="preserve">CAACCGCCAGGCTGAGGGTA</t>
  </si>
  <si>
    <t xml:space="preserve">TAGTCAACCGCCAGGCTGAGGGTA</t>
  </si>
  <si>
    <t xml:space="preserve">AAACTACCCTCAGCCTGGCGGTTG</t>
  </si>
  <si>
    <t xml:space="preserve">AATCGGCCGGTCGCCACTGT</t>
  </si>
  <si>
    <t xml:space="preserve">TAGTAATCGGCCGGTCGCCACTGT</t>
  </si>
  <si>
    <t xml:space="preserve">AAACACAGTGGCGACCGGCCGATT</t>
  </si>
  <si>
    <t xml:space="preserve">PSPPH_4479</t>
  </si>
  <si>
    <t xml:space="preserve">ureC</t>
  </si>
  <si>
    <t xml:space="preserve">ACATGTCTGCGTAGGCTTGT</t>
  </si>
  <si>
    <t xml:space="preserve">TAGTACATGTCTGCGTAGGCTTGT</t>
  </si>
  <si>
    <t xml:space="preserve">AAACACAAGCCTACGCAGACATGT</t>
  </si>
  <si>
    <t xml:space="preserve">GAACCTTGTCGCCGACGGTG</t>
  </si>
  <si>
    <t xml:space="preserve">TAGTGAACCTTGTCGCCGACGGTG</t>
  </si>
  <si>
    <t xml:space="preserve">AAACCACCGTCGGCGACAAGGTTC</t>
  </si>
  <si>
    <t xml:space="preserve">TCCACAGTTCGGTGTCGGCC</t>
  </si>
  <si>
    <t xml:space="preserve">TAGTTCCACAGTTCGGTGTCGGCC</t>
  </si>
  <si>
    <t xml:space="preserve">AAACGGCCGACACCGAACTGTGGA</t>
  </si>
  <si>
    <t xml:space="preserve">CTTCACTTCTTCGCCATAGG</t>
  </si>
  <si>
    <t xml:space="preserve">TAGTCTTCACTTCTTCGCCATAGG</t>
  </si>
  <si>
    <t xml:space="preserve">AAACCCTATGGCGAAGAAGTGAAG</t>
  </si>
  <si>
    <t xml:space="preserve">PSPPH_4480</t>
  </si>
  <si>
    <t xml:space="preserve">TGCAAACTCTGTCTTCAACA</t>
  </si>
  <si>
    <t xml:space="preserve">TAGTTGCAAACTCTGTCTTCAACA</t>
  </si>
  <si>
    <t xml:space="preserve">AAACTGTTGAAGACAGAGTTTGCA</t>
  </si>
  <si>
    <t xml:space="preserve">ATGCCCAGATCCTGTTCAGT</t>
  </si>
  <si>
    <t xml:space="preserve">TAGTATGCCCAGATCCTGTTCAGT</t>
  </si>
  <si>
    <t xml:space="preserve">AAACACTGAACAGGATCTGGGCAT</t>
  </si>
  <si>
    <t xml:space="preserve">CGACTGCAGCGAGTCGTTGA</t>
  </si>
  <si>
    <t xml:space="preserve">TAGTCGACTGCAGCGAGTCGTTGA</t>
  </si>
  <si>
    <t xml:space="preserve">AAACTCAACGACTCGCTGCAGTCG</t>
  </si>
  <si>
    <t xml:space="preserve">PSPPH_4481</t>
  </si>
  <si>
    <t xml:space="preserve">GAACAACGATGAACTCGGAA</t>
  </si>
  <si>
    <t xml:space="preserve">TAGTGAACAACGATGAACTCGGAA</t>
  </si>
  <si>
    <t xml:space="preserve">AAACTTCCGAGTTCATCGTTGTTC</t>
  </si>
  <si>
    <t xml:space="preserve">GGCGGCAGGTTTCAGAGTCC</t>
  </si>
  <si>
    <t xml:space="preserve">TAGTGGCGGCAGGTTTCAGAGTCC</t>
  </si>
  <si>
    <t xml:space="preserve">AAACGGACTCTGAAACCTGCCGCC</t>
  </si>
  <si>
    <t xml:space="preserve">CTCTAGCTTGCTCATCGAGT</t>
  </si>
  <si>
    <t xml:space="preserve">TAGTCTCTAGCTTGCTCATCGAGT</t>
  </si>
  <si>
    <t xml:space="preserve">AAACACTCGATGAGCAAGCTAGAG</t>
  </si>
  <si>
    <t xml:space="preserve">AGCTGCGAGCAGAATCGATT</t>
  </si>
  <si>
    <t xml:space="preserve">TAGTAGCTGCGAGCAGAATCGATT</t>
  </si>
  <si>
    <t xml:space="preserve">AAACAATCGATTCTGCTCGCAGCT</t>
  </si>
  <si>
    <t xml:space="preserve">PSPPH_4482</t>
  </si>
  <si>
    <t xml:space="preserve">ATCGCCTTGTCGTCCGCAGT</t>
  </si>
  <si>
    <t xml:space="preserve">TAGTATCGCCTTGTCGTCCGCAGT</t>
  </si>
  <si>
    <t xml:space="preserve">AAACACTGCGGACGACAAGGCGAT</t>
  </si>
  <si>
    <t xml:space="preserve">GCGCGCCAGTTTGCGATAGG</t>
  </si>
  <si>
    <t xml:space="preserve">TAGTGCGCGCCAGTTTGCGATAGG</t>
  </si>
  <si>
    <t xml:space="preserve">AAACCCTATCGCAAACTGGCGCGC</t>
  </si>
  <si>
    <t xml:space="preserve">CTGCTTCCTTGCTGACGTCA</t>
  </si>
  <si>
    <t xml:space="preserve">TAGTCTGCTTCCTTGCTGACGTCA</t>
  </si>
  <si>
    <t xml:space="preserve">AAACTGACGTCAGCAAGGAAGCAG</t>
  </si>
  <si>
    <t xml:space="preserve">GCTGAGCACTTCATAGGCTT</t>
  </si>
  <si>
    <t xml:space="preserve">TAGTGCTGAGCACTTCATAGGCTT</t>
  </si>
  <si>
    <t xml:space="preserve">AAACAAGCCTATGAAGTGCTCAGC</t>
  </si>
  <si>
    <t xml:space="preserve">PSPPH_4483</t>
  </si>
  <si>
    <t xml:space="preserve">CCTGACTGTATTTACCGTCA</t>
  </si>
  <si>
    <t xml:space="preserve">TAGTCCTGACTGTATTTACCGTCA</t>
  </si>
  <si>
    <t xml:space="preserve">AAACTGACGGTAAATACAGTCAGG</t>
  </si>
  <si>
    <t xml:space="preserve">PSPPH_4484</t>
  </si>
  <si>
    <t xml:space="preserve">CGCAGGCACGGGCCGGGGAT</t>
  </si>
  <si>
    <t xml:space="preserve">TAGTCGCAGGCACGGGCCGGGGAT</t>
  </si>
  <si>
    <t xml:space="preserve">AAACATCCCCGGCCCGTGCCTGCG</t>
  </si>
  <si>
    <t xml:space="preserve">TTGCCAGCCGACGGTGGAAT</t>
  </si>
  <si>
    <t xml:space="preserve">TAGTTTGCCAGCCGACGGTGGAAT</t>
  </si>
  <si>
    <t xml:space="preserve">AAACATTCCACCGTCGGCTGGCAA</t>
  </si>
  <si>
    <t xml:space="preserve">GCGATCAACGATTCCACGCC</t>
  </si>
  <si>
    <t xml:space="preserve">TAGTGCGATCAACGATTCCACGCC</t>
  </si>
  <si>
    <t xml:space="preserve">AAACGGCGTGGAATCGTTGATCGC</t>
  </si>
  <si>
    <t xml:space="preserve">ATATTGAAGAACACCACCGA</t>
  </si>
  <si>
    <t xml:space="preserve">TAGTATATTGAAGAACACCACCGA</t>
  </si>
  <si>
    <t xml:space="preserve">AAACTCGGTGGTGTTCTTCAATAT</t>
  </si>
  <si>
    <t xml:space="preserve">PSPPH_4485</t>
  </si>
  <si>
    <t xml:space="preserve">ACCTGACGCGCAGAAAACGT</t>
  </si>
  <si>
    <t xml:space="preserve">TAGTACCTGACGCGCAGAAAACGT</t>
  </si>
  <si>
    <t xml:space="preserve">AAACACGTTTTCTGCGCGTCAGGT</t>
  </si>
  <si>
    <t xml:space="preserve">GCCAAATACAAGAATCCAGC</t>
  </si>
  <si>
    <t xml:space="preserve">TAGTGCCAAATACAAGAATCCAGC</t>
  </si>
  <si>
    <t xml:space="preserve">AAACGCTGGATTCTTGTATTTGGC</t>
  </si>
  <si>
    <t xml:space="preserve">AGGCTGGGCAGCAACTTGAA</t>
  </si>
  <si>
    <t xml:space="preserve">TAGTAGGCTGGGCAGCAACTTGAA</t>
  </si>
  <si>
    <t xml:space="preserve">AAACTTCAAGTTGCTGCCCAGCCT</t>
  </si>
  <si>
    <t xml:space="preserve">CAGTTCGAACACCAACAGTC</t>
  </si>
  <si>
    <t xml:space="preserve">TAGTCAGTTCGAACACCAACAGTC</t>
  </si>
  <si>
    <t xml:space="preserve">AAACGACTGTTGGTGTTCGAACTG</t>
  </si>
  <si>
    <t xml:space="preserve">PSPPH_4486</t>
  </si>
  <si>
    <t xml:space="preserve">ATCAAGCCAACGAGCAATAA</t>
  </si>
  <si>
    <t xml:space="preserve">TAGTATCAAGCCAACGAGCAATAA</t>
  </si>
  <si>
    <t xml:space="preserve">AAACTTATTGCTCGTTGGCTTGAT</t>
  </si>
  <si>
    <t xml:space="preserve">GCTGGCGTCGGCATTACAAG</t>
  </si>
  <si>
    <t xml:space="preserve">TAGTGCTGGCGTCGGCATTACAAG</t>
  </si>
  <si>
    <t xml:space="preserve">AAACCTTGTAATGCCGACGCCAGC</t>
  </si>
  <si>
    <t xml:space="preserve">CTCATCGCCCTTAAGCGATT</t>
  </si>
  <si>
    <t xml:space="preserve">TAGTCTCATCGCCCTTAAGCGATT</t>
  </si>
  <si>
    <t xml:space="preserve">AAACAATCGCTTAAGGGCGATGAG</t>
  </si>
  <si>
    <t xml:space="preserve">CCGGCGTTGGTGCCGCTTTC</t>
  </si>
  <si>
    <t xml:space="preserve">TAGTCCGGCGTTGGTGCCGCTTTC</t>
  </si>
  <si>
    <t xml:space="preserve">AAACGAAAGCGGCACCAACGCCGG</t>
  </si>
  <si>
    <t xml:space="preserve">PSPPH_4487</t>
  </si>
  <si>
    <t xml:space="preserve">CAGATAAGGACTGTAATCAG</t>
  </si>
  <si>
    <t xml:space="preserve">TAGTCAGATAAGGACTGTAATCAG</t>
  </si>
  <si>
    <t xml:space="preserve">AAACCTGATTACAGTCCTTATCTG</t>
  </si>
  <si>
    <t xml:space="preserve">TCCGGCAGACGCCTTGGTGA</t>
  </si>
  <si>
    <t xml:space="preserve">TAGTTCCGGCAGACGCCTTGGTGA</t>
  </si>
  <si>
    <t xml:space="preserve">AAACTCACCAAGGCGTCTGCCGGA</t>
  </si>
  <si>
    <t xml:space="preserve">CGATAAAAGCCTATTTCAGC</t>
  </si>
  <si>
    <t xml:space="preserve">TAGTCGATAAAAGCCTATTTCAGC</t>
  </si>
  <si>
    <t xml:space="preserve">AAACGCTGAAATAGGCTTTTATCG</t>
  </si>
  <si>
    <t xml:space="preserve">CAGACAGGCCTGAGCATGAA</t>
  </si>
  <si>
    <t xml:space="preserve">TAGTCAGACAGGCCTGAGCATGAA</t>
  </si>
  <si>
    <t xml:space="preserve">AAACTTCATGCTCAGGCCTGTCTG</t>
  </si>
  <si>
    <t xml:space="preserve">PSPPH_4488</t>
  </si>
  <si>
    <t xml:space="preserve">TACGTGGTGCTCGCCCAGCA</t>
  </si>
  <si>
    <t xml:space="preserve">TAGTTACGTGGTGCTCGCCCAGCA</t>
  </si>
  <si>
    <t xml:space="preserve">AAACTGCTGGGCGAGCACCACGTA</t>
  </si>
  <si>
    <t xml:space="preserve">TCGTGTACCACTTCGATGAT</t>
  </si>
  <si>
    <t xml:space="preserve">TAGTTCGTGTACCACTTCGATGAT</t>
  </si>
  <si>
    <t xml:space="preserve">AAACATCATCGAAGTGGTACACGA</t>
  </si>
  <si>
    <t xml:space="preserve">CAAGATCGTCCAGCTCGACA</t>
  </si>
  <si>
    <t xml:space="preserve">TAGTCAAGATCGTCCAGCTCGACA</t>
  </si>
  <si>
    <t xml:space="preserve">AAACTGTCGAGCTGGACGATCTTG</t>
  </si>
  <si>
    <t xml:space="preserve">TCCGGCGGCGTGAGCCATGC</t>
  </si>
  <si>
    <t xml:space="preserve">TAGTTCCGGCGGCGTGAGCCATGC</t>
  </si>
  <si>
    <t xml:space="preserve">AAACGCATGGCTCACGCCGCCGGA</t>
  </si>
  <si>
    <t xml:space="preserve">PSPPH_4489</t>
  </si>
  <si>
    <t xml:space="preserve">osmE</t>
  </si>
  <si>
    <t xml:space="preserve">CACGGTTGTGTTGCTGCAGC</t>
  </si>
  <si>
    <t xml:space="preserve">TAGTCACGGTTGTGTTGCTGCAGC</t>
  </si>
  <si>
    <t xml:space="preserve">AAACGCTGCAGCAACACAACCGTG</t>
  </si>
  <si>
    <t xml:space="preserve">GATAAGTGACGTAATCCACC</t>
  </si>
  <si>
    <t xml:space="preserve">TAGTGATAAGTGACGTAATCCACC</t>
  </si>
  <si>
    <t xml:space="preserve">AAACGGTGGATTACGTCACTTATC</t>
  </si>
  <si>
    <t xml:space="preserve">TTCTCAACCTGCTTGACCAG</t>
  </si>
  <si>
    <t xml:space="preserve">TAGTTTCTCAACCTGCTTGACCAG</t>
  </si>
  <si>
    <t xml:space="preserve">AAACCTGGTCAAGCAGGTTGAGAA</t>
  </si>
  <si>
    <t xml:space="preserve">CGCCGATGGTCAGGACCTGC</t>
  </si>
  <si>
    <t xml:space="preserve">TAGTCGCCGATGGTCAGGACCTGC</t>
  </si>
  <si>
    <t xml:space="preserve">AAACGCAGGTCCTGACCATCGGCG</t>
  </si>
  <si>
    <t xml:space="preserve">PSPPH_4490</t>
  </si>
  <si>
    <t xml:space="preserve">TTCTCGTCCAGCGCCTCGCC</t>
  </si>
  <si>
    <t xml:space="preserve">TAGTTTCTCGTCCAGCGCCTCGCC</t>
  </si>
  <si>
    <t xml:space="preserve">AAACGGCGAGGCGCTGGACGAGAA</t>
  </si>
  <si>
    <t xml:space="preserve">GTTGACGCCAAAGTTATAGC</t>
  </si>
  <si>
    <t xml:space="preserve">TAGTGTTGACGCCAAAGTTATAGC</t>
  </si>
  <si>
    <t xml:space="preserve">AAACGCTATAACTTTGGCGTCAAC</t>
  </si>
  <si>
    <t xml:space="preserve">CGAGGAACTGGCGGTGGCAG</t>
  </si>
  <si>
    <t xml:space="preserve">TAGTCGAGGAACTGGCGGTGGCAG</t>
  </si>
  <si>
    <t xml:space="preserve">AAACCTGCCACCGCCAGTTCCTCG</t>
  </si>
  <si>
    <t xml:space="preserve">GTTGGTCATGGTGGTGCGAC</t>
  </si>
  <si>
    <t xml:space="preserve">TAGTGTTGGTCATGGTGGTGCGAC</t>
  </si>
  <si>
    <t xml:space="preserve">AAACGTCGCACCACCATGACCAAC</t>
  </si>
  <si>
    <t xml:space="preserve">PSPPH_4491</t>
  </si>
  <si>
    <t xml:space="preserve">GAAGGATCGTGCTTCGGCCA</t>
  </si>
  <si>
    <t xml:space="preserve">TAGTGAAGGATCGTGCTTCGGCCA</t>
  </si>
  <si>
    <t xml:space="preserve">AAACTGGCCGAAGCACGATCCTTC</t>
  </si>
  <si>
    <t xml:space="preserve">AGAATCGAAGGTCTGTGTTC</t>
  </si>
  <si>
    <t xml:space="preserve">TAGTAGAATCGAAGGTCTGTGTTC</t>
  </si>
  <si>
    <t xml:space="preserve">AAACGAACACAGACCTTCGATTCT</t>
  </si>
  <si>
    <t xml:space="preserve">AATTTGGCTTTGGCATTCTT</t>
  </si>
  <si>
    <t xml:space="preserve">TAGTAATTTGGCTTTGGCATTCTT</t>
  </si>
  <si>
    <t xml:space="preserve">AAACAAGAATGCCAAAGCCAAATT</t>
  </si>
  <si>
    <t xml:space="preserve">GCCGACGATGACCAGCTCAC</t>
  </si>
  <si>
    <t xml:space="preserve">TAGTGCCGACGATGACCAGCTCAC</t>
  </si>
  <si>
    <t xml:space="preserve">AAACGTGAGCTGGTCATCGTCGGC</t>
  </si>
  <si>
    <t xml:space="preserve">PSPPH_4493</t>
  </si>
  <si>
    <t xml:space="preserve">ACATCGGAAAGCTGTGATTG</t>
  </si>
  <si>
    <t xml:space="preserve">TAGTACATCGGAAAGCTGTGATTG</t>
  </si>
  <si>
    <t xml:space="preserve">AAACCAATCACAGCTTTCCGATGT</t>
  </si>
  <si>
    <t xml:space="preserve">CAACGTTCTGGCGCGCACGC</t>
  </si>
  <si>
    <t xml:space="preserve">TAGTCAACGTTCTGGCGCGCACGC</t>
  </si>
  <si>
    <t xml:space="preserve">AAACGCGTGCGCGCCAGAACGTTG</t>
  </si>
  <si>
    <t xml:space="preserve">GCAGGCGCAGCACGGTTTCG</t>
  </si>
  <si>
    <t xml:space="preserve">TAGTGCAGGCGCAGCACGGTTTCG</t>
  </si>
  <si>
    <t xml:space="preserve">AAACCGAAACCGTGCTGCGCCTGC</t>
  </si>
  <si>
    <t xml:space="preserve">GCGCAGCACACAGACCAGCT</t>
  </si>
  <si>
    <t xml:space="preserve">TAGTGCGCAGCACACAGACCAGCT</t>
  </si>
  <si>
    <t xml:space="preserve">AAACAGCTGGTCTGTGTGCTGCGC</t>
  </si>
  <si>
    <t xml:space="preserve">PSPPH_4494</t>
  </si>
  <si>
    <t xml:space="preserve">TCGACTGACAAACGCGCCGA</t>
  </si>
  <si>
    <t xml:space="preserve">TAGTTCGACTGACAAACGCGCCGA</t>
  </si>
  <si>
    <t xml:space="preserve">AAACTCGGCGCGTTTGTCAGTCGA</t>
  </si>
  <si>
    <t xml:space="preserve">AGAAAACAGCGCCCCGACCC</t>
  </si>
  <si>
    <t xml:space="preserve">TAGTAGAAAACAGCGCCCCGACCC</t>
  </si>
  <si>
    <t xml:space="preserve">AAACGGGTCGGGGCGCTGTTTTCT</t>
  </si>
  <si>
    <t xml:space="preserve">CTGTCCAGGCGAAAATCTTG</t>
  </si>
  <si>
    <t xml:space="preserve">TAGTCTGTCCAGGCGAAAATCTTG</t>
  </si>
  <si>
    <t xml:space="preserve">AAACCAAGATTTTCGCCTGGACAG</t>
  </si>
  <si>
    <t xml:space="preserve">GGCCAGCACCACCAACAACG</t>
  </si>
  <si>
    <t xml:space="preserve">TAGTGGCCAGCACCACCAACAACG</t>
  </si>
  <si>
    <t xml:space="preserve">AAACCGTTGTTGGTGGTGCTGGCC</t>
  </si>
  <si>
    <t xml:space="preserve">PSPPH_4495</t>
  </si>
  <si>
    <t xml:space="preserve">CTGTTCGGCGCGGGGCAGCA</t>
  </si>
  <si>
    <t xml:space="preserve">TAGTCTGTTCGGCGCGGGGCAGCA</t>
  </si>
  <si>
    <t xml:space="preserve">AAACTGCTGCCCCGCGCCGAACAG</t>
  </si>
  <si>
    <t xml:space="preserve">AGCGTCAAGCAAGGCTCTTC</t>
  </si>
  <si>
    <t xml:space="preserve">TAGTAGCGTCAAGCAAGGCTCTTC</t>
  </si>
  <si>
    <t xml:space="preserve">AAACGAAGAGCCTTGCTTGACGCT</t>
  </si>
  <si>
    <t xml:space="preserve">CCCGCTTTCCATCAACTGAT</t>
  </si>
  <si>
    <t xml:space="preserve">TAGTCCCGCTTTCCATCAACTGAT</t>
  </si>
  <si>
    <t xml:space="preserve">AAACATCAGTTGATGGAAAGCGGG</t>
  </si>
  <si>
    <t xml:space="preserve">GTGCCACTTCCCGCAGGCTA</t>
  </si>
  <si>
    <t xml:space="preserve">TAGTGTGCCACTTCCCGCAGGCTA</t>
  </si>
  <si>
    <t xml:space="preserve">AAACTAGCCTGCGGGAAGTGGCAC</t>
  </si>
  <si>
    <t xml:space="preserve">PSPPH_4496</t>
  </si>
  <si>
    <t xml:space="preserve">ureE</t>
  </si>
  <si>
    <t xml:space="preserve">ATTCGGCCTGAGGTTCGATT</t>
  </si>
  <si>
    <t xml:space="preserve">TAGTATTCGGCCTGAGGTTCGATT</t>
  </si>
  <si>
    <t xml:space="preserve">AAACAATCGAACCTCAGGCCGAAT</t>
  </si>
  <si>
    <t xml:space="preserve">GAAATTCAAATGCAACTCGG</t>
  </si>
  <si>
    <t xml:space="preserve">TAGTGAAATTCAAATGCAACTCGG</t>
  </si>
  <si>
    <t xml:space="preserve">AAACCCGAGTTGCATTTGAATTTC</t>
  </si>
  <si>
    <t xml:space="preserve">TTTCCGCACTGAAGCAGCGC</t>
  </si>
  <si>
    <t xml:space="preserve">TAGTTTTCCGCACTGAAGCAGCGC</t>
  </si>
  <si>
    <t xml:space="preserve">AAACGCGCTGCTTCAGTGCGGAAA</t>
  </si>
  <si>
    <t xml:space="preserve">ATTGACCGCGTTGCAGAAAC</t>
  </si>
  <si>
    <t xml:space="preserve">TAGTATTGACCGCGTTGCAGAAAC</t>
  </si>
  <si>
    <t xml:space="preserve">AAACGTTTCTGCAACGCGGTCAAT</t>
  </si>
  <si>
    <t xml:space="preserve">PSPPH_4497</t>
  </si>
  <si>
    <t xml:space="preserve">ureF</t>
  </si>
  <si>
    <t xml:space="preserve">GGCCAGACGCAAAAGCGCCC</t>
  </si>
  <si>
    <t xml:space="preserve">TAGTGGCCAGACGCAAAAGCGCCC</t>
  </si>
  <si>
    <t xml:space="preserve">AAACGGGCGCTTTTGCGTCTGGCC</t>
  </si>
  <si>
    <t xml:space="preserve">ACCAATCGGCAGCTGCGGGC</t>
  </si>
  <si>
    <t xml:space="preserve">TAGTACCAATCGGCAGCTGCGGGC</t>
  </si>
  <si>
    <t xml:space="preserve">AAACGCCCGCAGCTGCCGATTGGT</t>
  </si>
  <si>
    <t xml:space="preserve">TACCACGATGGATTGCTCCA</t>
  </si>
  <si>
    <t xml:space="preserve">TAGTTACCACGATGGATTGCTCCA</t>
  </si>
  <si>
    <t xml:space="preserve">AAACTGGAGCAATCCATCGTGGTA</t>
  </si>
  <si>
    <t xml:space="preserve">TCCAGCGCCCTGCAGTCTGC</t>
  </si>
  <si>
    <t xml:space="preserve">TAGTTCCAGCGCCCTGCAGTCTGC</t>
  </si>
  <si>
    <t xml:space="preserve">AAACGCAGACTGCAGGGCGCTGGA</t>
  </si>
  <si>
    <t xml:space="preserve">PSPPH_4498</t>
  </si>
  <si>
    <t xml:space="preserve">ureG</t>
  </si>
  <si>
    <t xml:space="preserve">CGATGCCGACGCGCAGAGGT</t>
  </si>
  <si>
    <t xml:space="preserve">TAGTCGATGCCGACGCGCAGAGGT</t>
  </si>
  <si>
    <t xml:space="preserve">AAACACCTCTGCGCGTCGGCATCG</t>
  </si>
  <si>
    <t xml:space="preserve">CTGTCTTGCCGGACCCTACC</t>
  </si>
  <si>
    <t xml:space="preserve">TAGTCTGTCTTGCCGGACCCTACC</t>
  </si>
  <si>
    <t xml:space="preserve">AAACGGTAGGGTCCGGCAAGACAG</t>
  </si>
  <si>
    <t xml:space="preserve">TATAGCGGTCGCGCAATGCC</t>
  </si>
  <si>
    <t xml:space="preserve">TAGTTATAGCGGTCGCGCAATGCC</t>
  </si>
  <si>
    <t xml:space="preserve">AAACGGCATTGCGCGACCGCTATA</t>
  </si>
  <si>
    <t xml:space="preserve">TATCGTTGGTCACGACCGCC</t>
  </si>
  <si>
    <t xml:space="preserve">TAGTTATCGTTGGTCACGACCGCC</t>
  </si>
  <si>
    <t xml:space="preserve">AAACGGCGGTCGTGACCAACGATA</t>
  </si>
  <si>
    <t xml:space="preserve">PSPPH_4499</t>
  </si>
  <si>
    <t xml:space="preserve">CAGCAGCGCGAGGGCACCAA</t>
  </si>
  <si>
    <t xml:space="preserve">TAGTCAGCAGCGCGAGGGCACCAA</t>
  </si>
  <si>
    <t xml:space="preserve">AAACTTGGTGCCCTCGCGCTGCTG</t>
  </si>
  <si>
    <t xml:space="preserve">GGTGGGCCAGCGCCAGGGTC</t>
  </si>
  <si>
    <t xml:space="preserve">TAGTGGTGGGCCAGCGCCAGGGTC</t>
  </si>
  <si>
    <t xml:space="preserve">AAACGACCCTGGCGCTGGCCCACC</t>
  </si>
  <si>
    <t xml:space="preserve">GACCGTTATCGCCATGACCG</t>
  </si>
  <si>
    <t xml:space="preserve">TAGTGACCGTTATCGCCATGACCG</t>
  </si>
  <si>
    <t xml:space="preserve">AAACCGGTCATGGCGATAACGGTC</t>
  </si>
  <si>
    <t xml:space="preserve">GATCCAGACCGCCAATCGGG</t>
  </si>
  <si>
    <t xml:space="preserve">TAGTGATCCAGACCGCCAATCGGG</t>
  </si>
  <si>
    <t xml:space="preserve">AAACCCCGATTGGCGGTCTGGATC</t>
  </si>
  <si>
    <t xml:space="preserve">PSPPH_4500</t>
  </si>
  <si>
    <t xml:space="preserve">AACACACAGACCACCAGCAA</t>
  </si>
  <si>
    <t xml:space="preserve">TAGTAACACACAGACCACCAGCAA</t>
  </si>
  <si>
    <t xml:space="preserve">AAACTTGCTGGTGGTCTGTGTGTT</t>
  </si>
  <si>
    <t xml:space="preserve">CACAGGAATGAGCGGCTCGC</t>
  </si>
  <si>
    <t xml:space="preserve">TAGTCACAGGAATGAGCGGCTCGC</t>
  </si>
  <si>
    <t xml:space="preserve">AAACGCGAGCCGCTCATTCCTGTG</t>
  </si>
  <si>
    <t xml:space="preserve">CCTATCCCGGCAATGAACAG</t>
  </si>
  <si>
    <t xml:space="preserve">TAGTCCTATCCCGGCAATGAACAG</t>
  </si>
  <si>
    <t xml:space="preserve">AAACCTGTTCATTGCCGGGATAGG</t>
  </si>
  <si>
    <t xml:space="preserve">TGTAAGCCCCGAAGGGCTTC</t>
  </si>
  <si>
    <t xml:space="preserve">TAGTTGTAAGCCCCGAAGGGCTTC</t>
  </si>
  <si>
    <t xml:space="preserve">AAACGAAGCCCTTCGGGGCTTACA</t>
  </si>
  <si>
    <t xml:space="preserve">PSPPH_4501</t>
  </si>
  <si>
    <t xml:space="preserve">ribA</t>
  </si>
  <si>
    <t xml:space="preserve">CTCCTGATCAGTATGAAGAC</t>
  </si>
  <si>
    <t xml:space="preserve">TAGTCTCCTGATCAGTATGAAGAC</t>
  </si>
  <si>
    <t xml:space="preserve">AAACGTCTTCATACTGATCAGGAG</t>
  </si>
  <si>
    <t xml:space="preserve">GAAGCGGCGACAAATACGAC</t>
  </si>
  <si>
    <t xml:space="preserve">TAGTGAAGCGGCGACAAATACGAC</t>
  </si>
  <si>
    <t xml:space="preserve">AAACGTCGTATTTGTCGCCGCTTC</t>
  </si>
  <si>
    <t xml:space="preserve">TGCAAAGGGGGTGGGCAGTT</t>
  </si>
  <si>
    <t xml:space="preserve">TAGTTGCAAAGGGGGTGGGCAGTT</t>
  </si>
  <si>
    <t xml:space="preserve">AAACAACTGCCCACCCCCTTTGCA</t>
  </si>
  <si>
    <t xml:space="preserve">CGACTCGATAAAGCCGTGCA</t>
  </si>
  <si>
    <t xml:space="preserve">TAGTCGACTCGATAAAGCCGTGCA</t>
  </si>
  <si>
    <t xml:space="preserve">AAACTGCACGGCTTTATCGAGTCG</t>
  </si>
  <si>
    <t xml:space="preserve">PSPPH_4502</t>
  </si>
  <si>
    <t xml:space="preserve">thiL</t>
  </si>
  <si>
    <t xml:space="preserve">GCGCGGCGGCGAAGTAATTG</t>
  </si>
  <si>
    <t xml:space="preserve">TAGTGCGCGGCGGCGAAGTAATTG</t>
  </si>
  <si>
    <t xml:space="preserve">AAACCAATTACTTCGCCGCCGCGC</t>
  </si>
  <si>
    <t xml:space="preserve">TCCTCGCCCACCTGCGCACA</t>
  </si>
  <si>
    <t xml:space="preserve">TAGTTCCTCGCCCACCTGCGCACA</t>
  </si>
  <si>
    <t xml:space="preserve">AAACTGTGCGCAGGTGGGCGAGGA</t>
  </si>
  <si>
    <t xml:space="preserve">GCAGTCGTCGCCGATCCCCA</t>
  </si>
  <si>
    <t xml:space="preserve">TAGTGCAGTCGTCGCCGATCCCCA</t>
  </si>
  <si>
    <t xml:space="preserve">AAACTGGGGATCGGCGACGACTGC</t>
  </si>
  <si>
    <t xml:space="preserve">GAGATCGCCAGCTGCTCGCC</t>
  </si>
  <si>
    <t xml:space="preserve">TAGTGAGATCGCCAGCTGCTCGCC</t>
  </si>
  <si>
    <t xml:space="preserve">AAACGGCGAGCAGCTGGCGATCTC</t>
  </si>
  <si>
    <t xml:space="preserve">PSPPH_4503</t>
  </si>
  <si>
    <t xml:space="preserve">nusB</t>
  </si>
  <si>
    <t xml:space="preserve">GTTGAACTGGTCGGTATCGT</t>
  </si>
  <si>
    <t xml:space="preserve">TAGTGTTGAACTGGTCGGTATCGT</t>
  </si>
  <si>
    <t xml:space="preserve">AAACACGATACCGACCAGTTCAAC</t>
  </si>
  <si>
    <t xml:space="preserve">CCGGCGATTTGGCGTCGCGC</t>
  </si>
  <si>
    <t xml:space="preserve">TAGTCCGGCGATTTGGCGTCGCGC</t>
  </si>
  <si>
    <t xml:space="preserve">AAACGCGCGACGCCAAATCGCCGG</t>
  </si>
  <si>
    <t xml:space="preserve">ACGTTTGGCACTTTTGCCCT</t>
  </si>
  <si>
    <t xml:space="preserve">TAGTACGTTTGGCACTTTTGCCCT</t>
  </si>
  <si>
    <t xml:space="preserve">AAACAGGGCAAAAGTGCCAAACGT</t>
  </si>
  <si>
    <t xml:space="preserve">AGCCATGTGCCACTGATAAA</t>
  </si>
  <si>
    <t xml:space="preserve">TAGTAGCCATGTGCCACTGATAAA</t>
  </si>
  <si>
    <t xml:space="preserve">AAACTTTATCAGTGGCACATGGCT</t>
  </si>
  <si>
    <t xml:space="preserve">PSPPH_4504</t>
  </si>
  <si>
    <t xml:space="preserve">GGTACCTTCGATGGTCTTCA</t>
  </si>
  <si>
    <t xml:space="preserve">TAGTGGTACCTTCGATGGTCTTCA</t>
  </si>
  <si>
    <t xml:space="preserve">AAACTGAAGACCATCGAAGGTACC</t>
  </si>
  <si>
    <t xml:space="preserve">GCGGCCTTGTGGGGCGATGA</t>
  </si>
  <si>
    <t xml:space="preserve">TAGTGCGGCCTTGTGGGGCGATGA</t>
  </si>
  <si>
    <t xml:space="preserve">AAACTCATCGCCCCACAAGGCCGC</t>
  </si>
  <si>
    <t xml:space="preserve">GTTGAAACGGCCCACTACCA</t>
  </si>
  <si>
    <t xml:space="preserve">TAGTGTTGAAACGGCCCACTACCA</t>
  </si>
  <si>
    <t xml:space="preserve">AAACTGGTAGTGGGCCGTTTCAAC</t>
  </si>
  <si>
    <t xml:space="preserve">CATCAACGGCACCGCTAACC</t>
  </si>
  <si>
    <t xml:space="preserve">TAGTCATCAACGGCACCGCTAACC</t>
  </si>
  <si>
    <t xml:space="preserve">AAACGGTTAGCGGTGCCGTTGATG</t>
  </si>
  <si>
    <t xml:space="preserve">PSPPH_4505</t>
  </si>
  <si>
    <t xml:space="preserve">ribBA2</t>
  </si>
  <si>
    <t xml:space="preserve">TGAGGATGACCATCTTGCCC</t>
  </si>
  <si>
    <t xml:space="preserve">TAGTTGAGGATGACCATCTTGCCC</t>
  </si>
  <si>
    <t xml:space="preserve">AAACGGGCAAGATGGTCATCCTCA</t>
  </si>
  <si>
    <t xml:space="preserve">TCAGGTCGCCTTCGTTCTCA</t>
  </si>
  <si>
    <t xml:space="preserve">TAGTTCAGGTCGCCTTCGTTCTCA</t>
  </si>
  <si>
    <t xml:space="preserve">AAACTGAGAACGAAGGCGACCTGA</t>
  </si>
  <si>
    <t xml:space="preserve">CTCGGGCTGCACGCATTCGG</t>
  </si>
  <si>
    <t xml:space="preserve">TAGTCTCGGGCTGCACGCATTCGG</t>
  </si>
  <si>
    <t xml:space="preserve">AAACCCGAATGCGTGCAGCCCGAG</t>
  </si>
  <si>
    <t xml:space="preserve">CGGCATGCAGATCAGGCCAC</t>
  </si>
  <si>
    <t xml:space="preserve">TAGTCGGCATGCAGATCAGGCCAC</t>
  </si>
  <si>
    <t xml:space="preserve">AAACGTGGCCTGATCTGCATGCCG</t>
  </si>
  <si>
    <t xml:space="preserve">PSPPH_4506</t>
  </si>
  <si>
    <t xml:space="preserve">ribE</t>
  </si>
  <si>
    <t xml:space="preserve">TCGATAATGCCGGTAAACAT</t>
  </si>
  <si>
    <t xml:space="preserve">TAGTTCGATAATGCCGGTAAACAT</t>
  </si>
  <si>
    <t xml:space="preserve">AAACATGTTTACCGGCATTATCGA</t>
  </si>
  <si>
    <t xml:space="preserve">CAGGGCGCGGATGCTGCCGA</t>
  </si>
  <si>
    <t xml:space="preserve">TAGTCAGGGCGCGGATGCTGCCGA</t>
  </si>
  <si>
    <t xml:space="preserve">AAACTCGGCAGCATCCGCGCCCTG</t>
  </si>
  <si>
    <t xml:space="preserve">ACGCGGACGTCGCCGCCCTT</t>
  </si>
  <si>
    <t xml:space="preserve">TAGTACGCGGACGTCGCCGCCCTT</t>
  </si>
  <si>
    <t xml:space="preserve">AAACAAGGGCGGCGACGTCCGCGT</t>
  </si>
  <si>
    <t xml:space="preserve">GTCGCTCAGGTCGAGCTTGC</t>
  </si>
  <si>
    <t xml:space="preserve">TAGTGTCGCTCAGGTCGAGCTTGC</t>
  </si>
  <si>
    <t xml:space="preserve">AAACGCAAGCTCGACCTGAGCGAC</t>
  </si>
  <si>
    <t xml:space="preserve">PSPPH_4507</t>
  </si>
  <si>
    <t xml:space="preserve">ribD</t>
  </si>
  <si>
    <t xml:space="preserve">GACGCGCGGGTTGGGGTGCG</t>
  </si>
  <si>
    <t xml:space="preserve">TAGTGACGCGCGGGTTGGGGTGCG</t>
  </si>
  <si>
    <t xml:space="preserve">AAACCGCACCCCAACCCGCGCGTC</t>
  </si>
  <si>
    <t xml:space="preserve">GCCAGCCCTCACCGACGATC</t>
  </si>
  <si>
    <t xml:space="preserve">TAGTGCCAGCCCTCACCGACGATC</t>
  </si>
  <si>
    <t xml:space="preserve">AAACGATCGTCGGTGAGGGCTGGC</t>
  </si>
  <si>
    <t xml:space="preserve">AGGGCATGCACTTCGGCATG</t>
  </si>
  <si>
    <t xml:space="preserve">TAGTAGGGCATGCACTTCGGCATG</t>
  </si>
  <si>
    <t xml:space="preserve">AAACCATGCCGAAGTGCATGCCCT</t>
  </si>
  <si>
    <t xml:space="preserve">CAAGTTCGCCGGCCTGGCGC</t>
  </si>
  <si>
    <t xml:space="preserve">TAGTCAAGTTCGCCGGCCTGGCGC</t>
  </si>
  <si>
    <t xml:space="preserve">AAACGCGCCAGGCCGGCGAACTTG</t>
  </si>
  <si>
    <t xml:space="preserve">PSPPH_4508</t>
  </si>
  <si>
    <t xml:space="preserve">ACCGCAGAAGGGACAGTGCA</t>
  </si>
  <si>
    <t xml:space="preserve">TAGTACCGCAGAAGGGACAGTGCA</t>
  </si>
  <si>
    <t xml:space="preserve">AAACTGCACTGTCCCTTCTGCGGT</t>
  </si>
  <si>
    <t xml:space="preserve">GTCGATGACTTTGGTGTCAT</t>
  </si>
  <si>
    <t xml:space="preserve">TAGTGTCGATGACTTTGGTGTCAT</t>
  </si>
  <si>
    <t xml:space="preserve">AAACATGACACCAAAGTCATCGAC</t>
  </si>
  <si>
    <t xml:space="preserve">CTCGCCTTCGGCGACGAGGC</t>
  </si>
  <si>
    <t xml:space="preserve">TAGTCTCGCCTTCGGCGACGAGGC</t>
  </si>
  <si>
    <t xml:space="preserve">AAACGCCTCGTCGCCGAAGGCGAG</t>
  </si>
  <si>
    <t xml:space="preserve">AGGCCAGACACTCGCGTCGG</t>
  </si>
  <si>
    <t xml:space="preserve">TAGTAGGCCAGACACTCGCGTCGG</t>
  </si>
  <si>
    <t xml:space="preserve">AAACCCGACGCGAGTGTCTGGCCT</t>
  </si>
  <si>
    <t xml:space="preserve">PSPPH_4509</t>
  </si>
  <si>
    <t xml:space="preserve">TGAGGCCGAGTAGAATAACG</t>
  </si>
  <si>
    <t xml:space="preserve">TAGTTGAGGCCGAGTAGAATAACG</t>
  </si>
  <si>
    <t xml:space="preserve">AAACCGTTATTCTACTCGGCCTCA</t>
  </si>
  <si>
    <t xml:space="preserve">CGCGTCATTGCTGCTGCACG</t>
  </si>
  <si>
    <t xml:space="preserve">TAGTCGCGTCATTGCTGCTGCACG</t>
  </si>
  <si>
    <t xml:space="preserve">AAACCGTGCAGCAGCAATGACGCG</t>
  </si>
  <si>
    <t xml:space="preserve">GGCGGTGCCGCAGCCGGTTT</t>
  </si>
  <si>
    <t xml:space="preserve">TAGTGGCGGTGCCGCAGCCGGTTT</t>
  </si>
  <si>
    <t xml:space="preserve">AAACAAACCGGCTGCGGCACCGCC</t>
  </si>
  <si>
    <t xml:space="preserve">ACTTTGATTGCCGGGGCGAC</t>
  </si>
  <si>
    <t xml:space="preserve">TAGTACTTTGATTGCCGGGGCGAC</t>
  </si>
  <si>
    <t xml:space="preserve">AAACGTCGCCCCGGCAATCAAAGT</t>
  </si>
  <si>
    <t xml:space="preserve">PSPPH_4510</t>
  </si>
  <si>
    <t xml:space="preserve">AGCGCGTCCTGAAGATGTCG</t>
  </si>
  <si>
    <t xml:space="preserve">TAGTAGCGCGTCCTGAAGATGTCG</t>
  </si>
  <si>
    <t xml:space="preserve">AAACCGACATCTTCAGGACGCGCT</t>
  </si>
  <si>
    <t xml:space="preserve">CAACGTTGTGACAACCAGCC</t>
  </si>
  <si>
    <t xml:space="preserve">TAGTCAACGTTGTGACAACCAGCC</t>
  </si>
  <si>
    <t xml:space="preserve">AAACGGCTGGTTGTCACAACGTTG</t>
  </si>
  <si>
    <t xml:space="preserve">GCTGAAGGCACGGTCCATGT</t>
  </si>
  <si>
    <t xml:space="preserve">TAGTGCTGAAGGCACGGTCCATGT</t>
  </si>
  <si>
    <t xml:space="preserve">AAACACATGGACCGTGCCTTCAGC</t>
  </si>
  <si>
    <t xml:space="preserve">GAATGCGGCTCGTTTCATCC</t>
  </si>
  <si>
    <t xml:space="preserve">TAGTGAATGCGGCTCGTTTCATCC</t>
  </si>
  <si>
    <t xml:space="preserve">AAACGGATGAAACGAGCCGCATTC</t>
  </si>
  <si>
    <t xml:space="preserve">PSPPH_4511</t>
  </si>
  <si>
    <t xml:space="preserve">CGAAGATGTAAGCAGTTTCC</t>
  </si>
  <si>
    <t xml:space="preserve">TAGTCGAAGATGTAAGCAGTTTCC</t>
  </si>
  <si>
    <t xml:space="preserve">AAACGGAAACTGCTTACATCTTCG</t>
  </si>
  <si>
    <t xml:space="preserve">CATTTGATCAAAGTTCGCGG</t>
  </si>
  <si>
    <t xml:space="preserve">TAGTCATTTGATCAAAGTTCGCGG</t>
  </si>
  <si>
    <t xml:space="preserve">AAACCCGCGAACTTTGATCAAATG</t>
  </si>
  <si>
    <t xml:space="preserve">AGAAATCGACCAGCACGGGC</t>
  </si>
  <si>
    <t xml:space="preserve">TAGTAGAAATCGACCAGCACGGGC</t>
  </si>
  <si>
    <t xml:space="preserve">AAACGCCCGTGCTGGTCGATTTCT</t>
  </si>
  <si>
    <t xml:space="preserve">CTTGCAGGGCGCACACCACT</t>
  </si>
  <si>
    <t xml:space="preserve">TAGTCTTGCAGGGCGCACACCACT</t>
  </si>
  <si>
    <t xml:space="preserve">AAACAGTGGTGTGCGCCCTGCAAG</t>
  </si>
  <si>
    <t xml:space="preserve">PSPPH_4512</t>
  </si>
  <si>
    <t xml:space="preserve">ATGTGTACCTGCTGACAGTC</t>
  </si>
  <si>
    <t xml:space="preserve">TAGTATGTGTACCTGCTGACAGTC</t>
  </si>
  <si>
    <t xml:space="preserve">AAACGACTGTCAGCAGGTACACAT</t>
  </si>
  <si>
    <t xml:space="preserve">ATCCACCGGCCACTGGCCTA</t>
  </si>
  <si>
    <t xml:space="preserve">TAGTATCCACCGGCCACTGGCCTA</t>
  </si>
  <si>
    <t xml:space="preserve">AAACTAGGCCAGTGGCCGGTGGAT</t>
  </si>
  <si>
    <t xml:space="preserve">ACCACGGCGGCCGATAAGTC</t>
  </si>
  <si>
    <t xml:space="preserve">TAGTACCACGGCGGCCGATAAGTC</t>
  </si>
  <si>
    <t xml:space="preserve">AAACGACTTATCGGCCGCCGTGGT</t>
  </si>
  <si>
    <t xml:space="preserve">AGCCTGTCGTCCTGGTTGAG</t>
  </si>
  <si>
    <t xml:space="preserve">TAGTAGCCTGTCGTCCTGGTTGAG</t>
  </si>
  <si>
    <t xml:space="preserve">AAACCTCAACCAGGACGACAGGCT</t>
  </si>
  <si>
    <t xml:space="preserve">PSPPH_4513</t>
  </si>
  <si>
    <t xml:space="preserve">GCAGGATTTCTCTATTCGGA</t>
  </si>
  <si>
    <t xml:space="preserve">TAGTGCAGGATTTCTCTATTCGGA</t>
  </si>
  <si>
    <t xml:space="preserve">AAACTCCGAATAGAGAAATCCTGC</t>
  </si>
  <si>
    <t xml:space="preserve">GCGAATTCGGTAATTCGAGT</t>
  </si>
  <si>
    <t xml:space="preserve">TAGTGCGAATTCGGTAATTCGAGT</t>
  </si>
  <si>
    <t xml:space="preserve">AAACACTCGAATTACCGAATTCGC</t>
  </si>
  <si>
    <t xml:space="preserve">GTGCAGCACAATGTCAGCGT</t>
  </si>
  <si>
    <t xml:space="preserve">TAGTGTGCAGCACAATGTCAGCGT</t>
  </si>
  <si>
    <t xml:space="preserve">AAACACGCTGACATTGTGCTGCAC</t>
  </si>
  <si>
    <t xml:space="preserve">GCCACCACCAGCGCCCTGAT</t>
  </si>
  <si>
    <t xml:space="preserve">TAGTGCCACCACCAGCGCCCTGAT</t>
  </si>
  <si>
    <t xml:space="preserve">AAACATCAGGGCGCTGGTGGTGGC</t>
  </si>
  <si>
    <t xml:space="preserve">PSPPH_4514</t>
  </si>
  <si>
    <t xml:space="preserve">AAGGCAAGGCGAGTAGCAAA</t>
  </si>
  <si>
    <t xml:space="preserve">TAGTAAGGCAAGGCGAGTAGCAAA</t>
  </si>
  <si>
    <t xml:space="preserve">AAACTTTGCTACTCGCCTTGCCTT</t>
  </si>
  <si>
    <t xml:space="preserve">AGCAGCAACGAGTGGCAACA</t>
  </si>
  <si>
    <t xml:space="preserve">TAGTAGCAGCAACGAGTGGCAACA</t>
  </si>
  <si>
    <t xml:space="preserve">AAACTGTTGCCACTCGTTGCTGCT</t>
  </si>
  <si>
    <t xml:space="preserve">GTGATCATGGGCATGTACTT</t>
  </si>
  <si>
    <t xml:space="preserve">TAGTGTGATCATGGGCATGTACTT</t>
  </si>
  <si>
    <t xml:space="preserve">AAACAAGTACATGCCCATGATCAC</t>
  </si>
  <si>
    <t xml:space="preserve">ACGTCCTACGCCATGCTCGT</t>
  </si>
  <si>
    <t xml:space="preserve">TAGTACGTCCTACGCCATGCTCGT</t>
  </si>
  <si>
    <t xml:space="preserve">AAACACGAGCATGGCGTAGGACGT</t>
  </si>
  <si>
    <t xml:space="preserve">PSPPH_4515</t>
  </si>
  <si>
    <t xml:space="preserve">TCGATCAGTGCTTGGGTCAT</t>
  </si>
  <si>
    <t xml:space="preserve">TAGTTCGATCAGTGCTTGGGTCAT</t>
  </si>
  <si>
    <t xml:space="preserve">AAACATGACCCAAGCACTGATCGA</t>
  </si>
  <si>
    <t xml:space="preserve">GGCCTGGCCAGTTGAAGCTC</t>
  </si>
  <si>
    <t xml:space="preserve">TAGTGGCCTGGCCAGTTGAAGCTC</t>
  </si>
  <si>
    <t xml:space="preserve">AAACGAGCTTCAACTGGCCAGGCC</t>
  </si>
  <si>
    <t xml:space="preserve">GGATGTCCAGTAACTGCGGA</t>
  </si>
  <si>
    <t xml:space="preserve">TAGTGGATGTCCAGTAACTGCGGA</t>
  </si>
  <si>
    <t xml:space="preserve">AAACTCCGCAGTTACTGGACATCC</t>
  </si>
  <si>
    <t xml:space="preserve">CGGTTTGCAGGCGAAATTCA</t>
  </si>
  <si>
    <t xml:space="preserve">TAGTCGGTTTGCAGGCGAAATTCA</t>
  </si>
  <si>
    <t xml:space="preserve">AAACTGAATTTCGCCTGCAAACCG</t>
  </si>
  <si>
    <t xml:space="preserve">PSPPH_4516</t>
  </si>
  <si>
    <t xml:space="preserve">GAAACGGCGGTTGGCCAGGC</t>
  </si>
  <si>
    <t xml:space="preserve">TAGTGAAACGGCGGTTGGCCAGGC</t>
  </si>
  <si>
    <t xml:space="preserve">AAACGCCTGGCCAACCGCCGTTTC</t>
  </si>
  <si>
    <t xml:space="preserve">GGCGAAGGCAGTGAGAAACG</t>
  </si>
  <si>
    <t xml:space="preserve">TAGTGGCGAAGGCAGTGAGAAACG</t>
  </si>
  <si>
    <t xml:space="preserve">AAACCGTTTCTCACTGCCTTCGCC</t>
  </si>
  <si>
    <t xml:space="preserve">CAGGCACACCGACAGCGCAA</t>
  </si>
  <si>
    <t xml:space="preserve">TAGTCAGGCACACCGACAGCGCAA</t>
  </si>
  <si>
    <t xml:space="preserve">AAACTTGCGCTGTCGGTGTGCCTG</t>
  </si>
  <si>
    <t xml:space="preserve">TTCGGTGCGCACCCGCTCTA</t>
  </si>
  <si>
    <t xml:space="preserve">TAGTTTCGGTGCGCACCCGCTCTA</t>
  </si>
  <si>
    <t xml:space="preserve">AAACTAGAGCGGGTGCGCACCGAA</t>
  </si>
  <si>
    <t xml:space="preserve">PSPPH_4517</t>
  </si>
  <si>
    <t xml:space="preserve">CTCGGCGGCCCACAGTTGAG</t>
  </si>
  <si>
    <t xml:space="preserve">TAGTCTCGGCGGCCCACAGTTGAG</t>
  </si>
  <si>
    <t xml:space="preserve">AAACCTCAACTGTGGGCCGCCGAG</t>
  </si>
  <si>
    <t xml:space="preserve">TCATTCCAGGTCAGTTCACG</t>
  </si>
  <si>
    <t xml:space="preserve">TAGTTCATTCCAGGTCAGTTCACG</t>
  </si>
  <si>
    <t xml:space="preserve">AAACCGTGAACTGACCTGGAATGA</t>
  </si>
  <si>
    <t xml:space="preserve">TTCACCACGGGTGCATCGGG</t>
  </si>
  <si>
    <t xml:space="preserve">TAGTTTCACCACGGGTGCATCGGG</t>
  </si>
  <si>
    <t xml:space="preserve">AAACCCCGATGCACCCGTGGTGAA</t>
  </si>
  <si>
    <t xml:space="preserve">TCGTGTATCGGAGCCGTTAC</t>
  </si>
  <si>
    <t xml:space="preserve">TAGTTCGTGTATCGGAGCCGTTAC</t>
  </si>
  <si>
    <t xml:space="preserve">AAACGTAACGGCTCCGATACACGA</t>
  </si>
  <si>
    <t xml:space="preserve">PSPPH_4518</t>
  </si>
  <si>
    <t xml:space="preserve">GCGTAGCAAGTGCTTGTTCA</t>
  </si>
  <si>
    <t xml:space="preserve">TAGTGCGTAGCAAGTGCTTGTTCA</t>
  </si>
  <si>
    <t xml:space="preserve">AAACTGAACAAGCACTTGCTACGC</t>
  </si>
  <si>
    <t xml:space="preserve">GGCGATGGCAAGCGCGACAA</t>
  </si>
  <si>
    <t xml:space="preserve">TAGTGGCGATGGCAAGCGCGACAA</t>
  </si>
  <si>
    <t xml:space="preserve">AAACTTGTCGCGCTTGCCATCGCC</t>
  </si>
  <si>
    <t xml:space="preserve">GGCATGTGCCGCGACCGGGG</t>
  </si>
  <si>
    <t xml:space="preserve">TAGTGGCATGTGCCGCGACCGGGG</t>
  </si>
  <si>
    <t xml:space="preserve">AAACCCCCGGTCGCGGCACATGCC</t>
  </si>
  <si>
    <t xml:space="preserve">GATGAAGTCGCCAGGCTCGT</t>
  </si>
  <si>
    <t xml:space="preserve">TAGTGATGAAGTCGCCAGGCTCGT</t>
  </si>
  <si>
    <t xml:space="preserve">AAACACGAGCCTGGCGACTTCATC</t>
  </si>
  <si>
    <t xml:space="preserve">PSPPH_4519</t>
  </si>
  <si>
    <t xml:space="preserve">ACCTCCCGCAATCAGAACAG</t>
  </si>
  <si>
    <t xml:space="preserve">TAGTACCTCCCGCAATCAGAACAG</t>
  </si>
  <si>
    <t xml:space="preserve">AAACCTGTTCTGATTGCGGGAGGT</t>
  </si>
  <si>
    <t xml:space="preserve">CGGCAAGCAATGCATCGGTC</t>
  </si>
  <si>
    <t xml:space="preserve">TAGTCGGCAAGCAATGCATCGGTC</t>
  </si>
  <si>
    <t xml:space="preserve">AAACGACCGATGCATTGCTTGCCG</t>
  </si>
  <si>
    <t xml:space="preserve">GATACGCACGCAATGCCCGT</t>
  </si>
  <si>
    <t xml:space="preserve">TAGTGATACGCACGCAATGCCCGT</t>
  </si>
  <si>
    <t xml:space="preserve">AAACACGGGCATTGCGTGCGTATC</t>
  </si>
  <si>
    <t xml:space="preserve">TGCCCGCCGAGAGGTTGTCG</t>
  </si>
  <si>
    <t xml:space="preserve">TAGTTGCCCGCCGAGAGGTTGTCG</t>
  </si>
  <si>
    <t xml:space="preserve">AAACCGACAACCTCTCGGCGGGCA</t>
  </si>
  <si>
    <t xml:space="preserve">PSPPH_4520</t>
  </si>
  <si>
    <t xml:space="preserve">TCCCGCCGCCCAACAGCATA</t>
  </si>
  <si>
    <t xml:space="preserve">TAGTTCCCGCCGCCCAACAGCATA</t>
  </si>
  <si>
    <t xml:space="preserve">AAACTATGCTGTTGGGCGGCGGGA</t>
  </si>
  <si>
    <t xml:space="preserve">ACGAATCAGCGCCTGCCCGA</t>
  </si>
  <si>
    <t xml:space="preserve">TAGTACGAATCAGCGCCTGCCCGA</t>
  </si>
  <si>
    <t xml:space="preserve">AAACTCGGGCAGGCGCTGATTCGT</t>
  </si>
  <si>
    <t xml:space="preserve">GAGGAAACCAATGTCTTCCT</t>
  </si>
  <si>
    <t xml:space="preserve">TAGTGAGGAAACCAATGTCTTCCT</t>
  </si>
  <si>
    <t xml:space="preserve">AAACAGGAAGACATTGGTTTCCTC</t>
  </si>
  <si>
    <t xml:space="preserve">CAGCCGTCTTGCGGTGGACG</t>
  </si>
  <si>
    <t xml:space="preserve">TAGTCAGCCGTCTTGCGGTGGACG</t>
  </si>
  <si>
    <t xml:space="preserve">AAACCGTCCACCGCAAGACGGCTG</t>
  </si>
  <si>
    <t xml:space="preserve">PSPPH_4521</t>
  </si>
  <si>
    <t xml:space="preserve">CGAATAGCAGCAGACCCGAC</t>
  </si>
  <si>
    <t xml:space="preserve">TAGTCGAATAGCAGCAGACCCGAC</t>
  </si>
  <si>
    <t xml:space="preserve">AAACGTCGGGTCTGCTGCTATTCG</t>
  </si>
  <si>
    <t xml:space="preserve">GCGCAGGTACATCGGCTGCC</t>
  </si>
  <si>
    <t xml:space="preserve">TAGTGCGCAGGTACATCGGCTGCC</t>
  </si>
  <si>
    <t xml:space="preserve">AAACGGCAGCCGATGTACCTGCGC</t>
  </si>
  <si>
    <t xml:space="preserve">GTCGGCACCGCAGCACCCAT</t>
  </si>
  <si>
    <t xml:space="preserve">TAGTGTCGGCACCGCAGCACCCAT</t>
  </si>
  <si>
    <t xml:space="preserve">AAACATGGGTGCTGCGGTGCCGAC</t>
  </si>
  <si>
    <t xml:space="preserve">CTTTTCGGCTGCCTTGTCGT</t>
  </si>
  <si>
    <t xml:space="preserve">TAGTCTTTTCGGCTGCCTTGTCGT</t>
  </si>
  <si>
    <t xml:space="preserve">AAACACGACAAGGCAGCCGAAAAG</t>
  </si>
  <si>
    <t xml:space="preserve">PSPPH_4522</t>
  </si>
  <si>
    <t xml:space="preserve">cpoF</t>
  </si>
  <si>
    <t xml:space="preserve">AGCGCGCTTTGGCCTGTGCA</t>
  </si>
  <si>
    <t xml:space="preserve">TAGTAGCGCGCTTTGGCCTGTGCA</t>
  </si>
  <si>
    <t xml:space="preserve">AAACTGCACAGGCCAAAGCGCGCT</t>
  </si>
  <si>
    <t xml:space="preserve">CATAAGGGAATCAGTTCCTT</t>
  </si>
  <si>
    <t xml:space="preserve">TAGTCATAAGGGAATCAGTTCCTT</t>
  </si>
  <si>
    <t xml:space="preserve">AAACAAGGAACTGATTCCCTTATG</t>
  </si>
  <si>
    <t xml:space="preserve">CTGCCGGAACCGAACTTGCC</t>
  </si>
  <si>
    <t xml:space="preserve">TAGTCTGCCGGAACCGAACTTGCC</t>
  </si>
  <si>
    <t xml:space="preserve">AAACGGCAAGTTCGGTTCCGGCAG</t>
  </si>
  <si>
    <t xml:space="preserve">GGCGTAATTTTTTGAAACAT</t>
  </si>
  <si>
    <t xml:space="preserve">TAGTGGCGTAATTTTTTGAAACAT</t>
  </si>
  <si>
    <t xml:space="preserve">AAACATGTTTCAAAAAATTACGCC</t>
  </si>
  <si>
    <t xml:space="preserve">PSPPH_4523</t>
  </si>
  <si>
    <t xml:space="preserve">CAAGCAGGCCTGGCTTTTCC</t>
  </si>
  <si>
    <t xml:space="preserve">TAGTCAAGCAGGCCTGGCTTTTCC</t>
  </si>
  <si>
    <t xml:space="preserve">AAACGGAAAAGCCAGGCCTGCTTG</t>
  </si>
  <si>
    <t xml:space="preserve">GTGCGGACAGATCGCGGATC</t>
  </si>
  <si>
    <t xml:space="preserve">TAGTGTGCGGACAGATCGCGGATC</t>
  </si>
  <si>
    <t xml:space="preserve">AAACGATCCGCGATCTGTCCGCAC</t>
  </si>
  <si>
    <t xml:space="preserve">CCAGGCTGGCAAGGCCTGCC</t>
  </si>
  <si>
    <t xml:space="preserve">TAGTCCAGGCTGGCAAGGCCTGCC</t>
  </si>
  <si>
    <t xml:space="preserve">AAACGGCAGGCCTTGCCAGCCTGG</t>
  </si>
  <si>
    <t xml:space="preserve">CAGGCTTTCGGGATCAAGCG</t>
  </si>
  <si>
    <t xml:space="preserve">TAGTCAGGCTTTCGGGATCAAGCG</t>
  </si>
  <si>
    <t xml:space="preserve">AAACCGCTTGATCCCGAAAGCCTG</t>
  </si>
  <si>
    <t xml:space="preserve">PSPPH_4524</t>
  </si>
  <si>
    <t xml:space="preserve">ATCGGGAATCGAGAAGCACG</t>
  </si>
  <si>
    <t xml:space="preserve">TAGTATCGGGAATCGAGAAGCACG</t>
  </si>
  <si>
    <t xml:space="preserve">AAACCGTGCTTCTCGATTCCCGAT</t>
  </si>
  <si>
    <t xml:space="preserve">TCAATGAAACCAGCAACGCA</t>
  </si>
  <si>
    <t xml:space="preserve">TAGTTCAATGAAACCAGCAACGCA</t>
  </si>
  <si>
    <t xml:space="preserve">AAACTGCGTTGCTGGTTTCATTGA</t>
  </si>
  <si>
    <t xml:space="preserve">CCTGAATGAACGGGCTGATC</t>
  </si>
  <si>
    <t xml:space="preserve">TAGTCCTGAATGAACGGGCTGATC</t>
  </si>
  <si>
    <t xml:space="preserve">AAACGATCAGCCCGTTCATTCAGG</t>
  </si>
  <si>
    <t xml:space="preserve">TGAGGTGGGCACATCGTCAT</t>
  </si>
  <si>
    <t xml:space="preserve">TAGTTGAGGTGGGCACATCGTCAT</t>
  </si>
  <si>
    <t xml:space="preserve">AAACATGACGATGTGCCCACCTCA</t>
  </si>
  <si>
    <t xml:space="preserve">PSPPH_4525</t>
  </si>
  <si>
    <t xml:space="preserve">AGTTCTGCGTTGGGTGTCAT</t>
  </si>
  <si>
    <t xml:space="preserve">TAGTAGTTCTGCGTTGGGTGTCAT</t>
  </si>
  <si>
    <t xml:space="preserve">AAACATGACACCCAACGCAGAACT</t>
  </si>
  <si>
    <t xml:space="preserve">TGTCGGCATATTCGGTGGAC</t>
  </si>
  <si>
    <t xml:space="preserve">TAGTTGTCGGCATATTCGGTGGAC</t>
  </si>
  <si>
    <t xml:space="preserve">AAACGTCCACCGAATATGCCGACA</t>
  </si>
  <si>
    <t xml:space="preserve">ATGCGTTTTGCGATCCACGA</t>
  </si>
  <si>
    <t xml:space="preserve">TAGTATGCGTTTTGCGATCCACGA</t>
  </si>
  <si>
    <t xml:space="preserve">AAACTCGTGGATCGCAAAACGCAT</t>
  </si>
  <si>
    <t xml:space="preserve">CGGCGTGGTTTCGCCTTTGA</t>
  </si>
  <si>
    <t xml:space="preserve">TAGTCGGCGTGGTTTCGCCTTTGA</t>
  </si>
  <si>
    <t xml:space="preserve">AAACTCAAAGGCGAAACCACGCCG</t>
  </si>
  <si>
    <t xml:space="preserve">PSPPH_4526</t>
  </si>
  <si>
    <t xml:space="preserve">ACGTCAGTGATTTGGGCAGC</t>
  </si>
  <si>
    <t xml:space="preserve">TAGTACGTCAGTGATTTGGGCAGC</t>
  </si>
  <si>
    <t xml:space="preserve">AAACGCTGCCCAAATCACTGACGT</t>
  </si>
  <si>
    <t xml:space="preserve">CAAAAAAGTCAGTATCAGAA</t>
  </si>
  <si>
    <t xml:space="preserve">TAGTCAAAAAAGTCAGTATCAGAA</t>
  </si>
  <si>
    <t xml:space="preserve">AAACTTCTGATACTGACTTTTTTG</t>
  </si>
  <si>
    <t xml:space="preserve">CTTCAATATGCTGAAGCAGC</t>
  </si>
  <si>
    <t xml:space="preserve">TAGTCTTCAATATGCTGAAGCAGC</t>
  </si>
  <si>
    <t xml:space="preserve">AAACGCTGCTTCAGCATATTGAAG</t>
  </si>
  <si>
    <t xml:space="preserve">GACCTCGATCAGCATGTTAG</t>
  </si>
  <si>
    <t xml:space="preserve">TAGTGACCTCGATCAGCATGTTAG</t>
  </si>
  <si>
    <t xml:space="preserve">AAACCTAACATGCTGATCGAGGTC</t>
  </si>
  <si>
    <t xml:space="preserve">PSPPH_4527</t>
  </si>
  <si>
    <t xml:space="preserve">CATTTGACAAGGCAAACGAC</t>
  </si>
  <si>
    <t xml:space="preserve">TAGTCATTTGACAAGGCAAACGAC</t>
  </si>
  <si>
    <t xml:space="preserve">AAACGTCGTTTGCCTTGTCAAATG</t>
  </si>
  <si>
    <t xml:space="preserve">AACCTTAAGTTCTTCAGACG</t>
  </si>
  <si>
    <t xml:space="preserve">TAGTAACCTTAAGTTCTTCAGACG</t>
  </si>
  <si>
    <t xml:space="preserve">AAACCGTCTGAAGAACTTAAGGTT</t>
  </si>
  <si>
    <t xml:space="preserve">TTAAGATTGTACTGATTGAC</t>
  </si>
  <si>
    <t xml:space="preserve">TAGTTTAAGATTGTACTGATTGAC</t>
  </si>
  <si>
    <t xml:space="preserve">AAACGTCAATCAGTACAATCTTAA</t>
  </si>
  <si>
    <t xml:space="preserve">TATGATTGGATTCCAAAAAC</t>
  </si>
  <si>
    <t xml:space="preserve">TAGTTATGATTGGATTCCAAAAAC</t>
  </si>
  <si>
    <t xml:space="preserve">AAACGTTTTTGGAATCCAATCATA</t>
  </si>
  <si>
    <t xml:space="preserve">PSPPH_4528</t>
  </si>
  <si>
    <t xml:space="preserve">TTGCTGCATGACCATTGCCT</t>
  </si>
  <si>
    <t xml:space="preserve">TAGTTTGCTGCATGACCATTGCCT</t>
  </si>
  <si>
    <t xml:space="preserve">AAACAGGCAATGGTCATGCAGCAA</t>
  </si>
  <si>
    <t xml:space="preserve">TTGAACTGGACAGGCCAAGG</t>
  </si>
  <si>
    <t xml:space="preserve">TAGTTTGAACTGGACAGGCCAAGG</t>
  </si>
  <si>
    <t xml:space="preserve">AAACCCTTGGCCTGTCCAGTTCAA</t>
  </si>
  <si>
    <t xml:space="preserve">CTGCATGAAGAAATATTAAT</t>
  </si>
  <si>
    <t xml:space="preserve">TAGTCTGCATGAAGAAATATTAAT</t>
  </si>
  <si>
    <t xml:space="preserve">AAACATTAATATTTCTTCATGCAG</t>
  </si>
  <si>
    <t xml:space="preserve">PSPPH_4529</t>
  </si>
  <si>
    <t xml:space="preserve">AGTGGCGTATCGAGGTCGAG</t>
  </si>
  <si>
    <t xml:space="preserve">TAGTAGTGGCGTATCGAGGTCGAG</t>
  </si>
  <si>
    <t xml:space="preserve">AAACCTCGACCTCGATACGCCACT</t>
  </si>
  <si>
    <t xml:space="preserve">GTTCATTCATGCTCAGCGGT</t>
  </si>
  <si>
    <t xml:space="preserve">TAGTGTTCATTCATGCTCAGCGGT</t>
  </si>
  <si>
    <t xml:space="preserve">AAACACCGCTGAGCATGAATGAAC</t>
  </si>
  <si>
    <t xml:space="preserve">TGATCACACCTCGACGGCGA</t>
  </si>
  <si>
    <t xml:space="preserve">TAGTTGATCACACCTCGACGGCGA</t>
  </si>
  <si>
    <t xml:space="preserve">AAACTCGCCGTCGAGGTGTGATCA</t>
  </si>
  <si>
    <t xml:space="preserve">CTCGGTCGAAACCGTGGCGC</t>
  </si>
  <si>
    <t xml:space="preserve">TAGTCTCGGTCGAAACCGTGGCGC</t>
  </si>
  <si>
    <t xml:space="preserve">AAACGCGCCACGGTTTCGACCGAG</t>
  </si>
  <si>
    <t xml:space="preserve">PSPPH_4530</t>
  </si>
  <si>
    <t xml:space="preserve">ugpB</t>
  </si>
  <si>
    <t xml:space="preserve">GAAAGCGTCTTACTGATGAA</t>
  </si>
  <si>
    <t xml:space="preserve">TAGTGAAAGCGTCTTACTGATGAA</t>
  </si>
  <si>
    <t xml:space="preserve">AAACTTCATCAGTAAGACGCTTTC</t>
  </si>
  <si>
    <t xml:space="preserve">GAACGGCAGCAGCGCCAGCA</t>
  </si>
  <si>
    <t xml:space="preserve">TAGTGAACGGCAGCAGCGCCAGCA</t>
  </si>
  <si>
    <t xml:space="preserve">AAACTGCTGGCGCTGCTGCCGTTC</t>
  </si>
  <si>
    <t xml:space="preserve">ATACCAGAACTCGGCGGGGG</t>
  </si>
  <si>
    <t xml:space="preserve">TAGTATACCAGAACTCGGCGGGGG</t>
  </si>
  <si>
    <t xml:space="preserve">AAACCCCCCGCCGAGTTCTGGTAT</t>
  </si>
  <si>
    <t xml:space="preserve">CACTTCCGGTCGCGCCGCCG</t>
  </si>
  <si>
    <t xml:space="preserve">TAGTCACTTCCGGTCGCGCCGCCG</t>
  </si>
  <si>
    <t xml:space="preserve">AAACCGGCGGCGCGACCGGAAGTG</t>
  </si>
  <si>
    <t xml:space="preserve">PSPPH_4531</t>
  </si>
  <si>
    <t xml:space="preserve">ugpA</t>
  </si>
  <si>
    <t xml:space="preserve">GGTTGCGGAAAATGCGCACG</t>
  </si>
  <si>
    <t xml:space="preserve">TAGTGGTTGCGGAAAATGCGCACG</t>
  </si>
  <si>
    <t xml:space="preserve">AAACCGTGCGCATTTTCCGCAACC</t>
  </si>
  <si>
    <t xml:space="preserve">GCAGGGCAAACAGCAGCGCC</t>
  </si>
  <si>
    <t xml:space="preserve">TAGTGCAGGGCAAACAGCAGCGCC</t>
  </si>
  <si>
    <t xml:space="preserve">AAACGGCGCTGCTGTTTGCCCTGC</t>
  </si>
  <si>
    <t xml:space="preserve">AACCCGAGTGCCAGCAATTG</t>
  </si>
  <si>
    <t xml:space="preserve">TAGTAACCCGAGTGCCAGCAATTG</t>
  </si>
  <si>
    <t xml:space="preserve">AAACCAATTGCTGGCACTCGGGTT</t>
  </si>
  <si>
    <t xml:space="preserve">CACCAGATTGCCTGGACTGC</t>
  </si>
  <si>
    <t xml:space="preserve">TAGTCACCAGATTGCCTGGACTGC</t>
  </si>
  <si>
    <t xml:space="preserve">AAACGCAGTCCAGGCAATCTGGTG</t>
  </si>
  <si>
    <t xml:space="preserve">PSPPH_4532</t>
  </si>
  <si>
    <t xml:space="preserve">ugpE</t>
  </si>
  <si>
    <t xml:space="preserve">AAGCGCCCGCGTCGATCAGC</t>
  </si>
  <si>
    <t xml:space="preserve">TAGTAAGCGCCCGCGTCGATCAGC</t>
  </si>
  <si>
    <t xml:space="preserve">AAACGCTGATCGACGCGGGCGCTT</t>
  </si>
  <si>
    <t xml:space="preserve">GAGCAGACTGCGACGTACAG</t>
  </si>
  <si>
    <t xml:space="preserve">TAGTGAGCAGACTGCGACGTACAG</t>
  </si>
  <si>
    <t xml:space="preserve">AAACCTGTACGTCGCAGTCTGCTC</t>
  </si>
  <si>
    <t xml:space="preserve">GGCCGTGGGCGAACAGTTGT</t>
  </si>
  <si>
    <t xml:space="preserve">TAGTGGCCGTGGGCGAACAGTTGT</t>
  </si>
  <si>
    <t xml:space="preserve">AAACACAACTGTTCGCCCACGGCC</t>
  </si>
  <si>
    <t xml:space="preserve">GGTCGCCGGGTATCAGCGCA</t>
  </si>
  <si>
    <t xml:space="preserve">TAGTGGTCGCCGGGTATCAGCGCA</t>
  </si>
  <si>
    <t xml:space="preserve">AAACTGCGCTGATACCCGGCGACC</t>
  </si>
  <si>
    <t xml:space="preserve">PSPPH_4533</t>
  </si>
  <si>
    <t xml:space="preserve">ugpC</t>
  </si>
  <si>
    <t xml:space="preserve">ATCCGGCGCGCAGGCAATAG</t>
  </si>
  <si>
    <t xml:space="preserve">TAGTATCCGGCGCGCAGGCAATAG</t>
  </si>
  <si>
    <t xml:space="preserve">AAACCTATTGCCTGCGCGCCGGAT</t>
  </si>
  <si>
    <t xml:space="preserve">AGGTTTTGTGCAGGCCCTTG</t>
  </si>
  <si>
    <t xml:space="preserve">TAGTAGGTTTTGTGCAGGCCCTTG</t>
  </si>
  <si>
    <t xml:space="preserve">AAACCAAGGGCCTGCACAAAACCT</t>
  </si>
  <si>
    <t xml:space="preserve">AAGGATGTGCCCTGAGCCAT</t>
  </si>
  <si>
    <t xml:space="preserve">TAGTAAGGATGTGCCCTGAGCCAT</t>
  </si>
  <si>
    <t xml:space="preserve">AAACATGGCTCAGGGCACATCCTT</t>
  </si>
  <si>
    <t xml:space="preserve">TGCCACACCCGGACGGGCCG</t>
  </si>
  <si>
    <t xml:space="preserve">TAGTTGCCACACCCGGACGGGCCG</t>
  </si>
  <si>
    <t xml:space="preserve">AAACCGGCCCGTCCGGGTGTGGCA</t>
  </si>
  <si>
    <t xml:space="preserve">PSPPH_4534</t>
  </si>
  <si>
    <t xml:space="preserve">GAGGGGCGCAGGTTTGAGCA</t>
  </si>
  <si>
    <t xml:space="preserve">TAGTGAGGGGCGCAGGTTTGAGCA</t>
  </si>
  <si>
    <t xml:space="preserve">AAACTGCTCAAACCTGCGCCCCTC</t>
  </si>
  <si>
    <t xml:space="preserve">GATGGGCAATCAGGGACGAG</t>
  </si>
  <si>
    <t xml:space="preserve">TAGTGATGGGCAATCAGGGACGAG</t>
  </si>
  <si>
    <t xml:space="preserve">AAACCTCGTCCCTGATTGCCCATC</t>
  </si>
  <si>
    <t xml:space="preserve">ATTTTCCGGCACGTAAGCCT</t>
  </si>
  <si>
    <t xml:space="preserve">TAGTATTTTCCGGCACGTAAGCCT</t>
  </si>
  <si>
    <t xml:space="preserve">AAACAGGCTTACGTGCCGGAAAAT</t>
  </si>
  <si>
    <t xml:space="preserve">CGGCTTTCTCCAGGGCCAGC</t>
  </si>
  <si>
    <t xml:space="preserve">TAGTCGGCTTTCTCCAGGGCCAGC</t>
  </si>
  <si>
    <t xml:space="preserve">AAACGCTGGCCCTGGAGAAAGCCG</t>
  </si>
  <si>
    <t xml:space="preserve">PSPPH_4535</t>
  </si>
  <si>
    <t xml:space="preserve">CGTGCATGGCGACACTGAGT</t>
  </si>
  <si>
    <t xml:space="preserve">TAGTCGTGCATGGCGACACTGAGT</t>
  </si>
  <si>
    <t xml:space="preserve">AAACACTCAGTGTCGCCATGCACG</t>
  </si>
  <si>
    <t xml:space="preserve">CAGGCCGGTGGCCTGTTCTA</t>
  </si>
  <si>
    <t xml:space="preserve">TAGTCAGGCCGGTGGCCTGTTCTA</t>
  </si>
  <si>
    <t xml:space="preserve">AAACTAGAACAGGCCACCGGCCTG</t>
  </si>
  <si>
    <t xml:space="preserve">GCGGTCGTTGAAATACGCCA</t>
  </si>
  <si>
    <t xml:space="preserve">TAGTGCGGTCGTTGAAATACGCCA</t>
  </si>
  <si>
    <t xml:space="preserve">AAACTGGCGTATTTCAACGACCGC</t>
  </si>
  <si>
    <t xml:space="preserve">TGGTGGTGATGTCGAGGGTG</t>
  </si>
  <si>
    <t xml:space="preserve">TAGTTGGTGGTGATGTCGAGGGTG</t>
  </si>
  <si>
    <t xml:space="preserve">AAACCACCCTCGACATCACCACCA</t>
  </si>
  <si>
    <t xml:space="preserve">PSPPH_4536</t>
  </si>
  <si>
    <t xml:space="preserve">GAAAACTGCGTCGATTAGCC</t>
  </si>
  <si>
    <t xml:space="preserve">TAGTGAAAACTGCGTCGATTAGCC</t>
  </si>
  <si>
    <t xml:space="preserve">AAACGGCTAATCGACGCAGTTTTC</t>
  </si>
  <si>
    <t xml:space="preserve">AGGGCAGGCACGCCAGCAGG</t>
  </si>
  <si>
    <t xml:space="preserve">TAGTAGGGCAGGCACGCCAGCAGG</t>
  </si>
  <si>
    <t xml:space="preserve">AAACCCTGCTGGCGTGCCTGCCCT</t>
  </si>
  <si>
    <t xml:space="preserve">AGGCTGGCGCAATGTGGCAA</t>
  </si>
  <si>
    <t xml:space="preserve">TAGTAGGCTGGCGCAATGTGGCAA</t>
  </si>
  <si>
    <t xml:space="preserve">AAACTTGCCACATTGCGCCAGCCT</t>
  </si>
  <si>
    <t xml:space="preserve">CGGATACCTTTCTCGGCTGC</t>
  </si>
  <si>
    <t xml:space="preserve">TAGTCGGATACCTTTCTCGGCTGC</t>
  </si>
  <si>
    <t xml:space="preserve">AAACGCAGCCGAGAAAGGTATCCG</t>
  </si>
  <si>
    <t xml:space="preserve">PSPPH_4537</t>
  </si>
  <si>
    <t xml:space="preserve">TATGACTTTGTTAACCCCAC</t>
  </si>
  <si>
    <t xml:space="preserve">TAGTTATGACTTTGTTAACCCCAC</t>
  </si>
  <si>
    <t xml:space="preserve">AAACGTGGGGTTAACAAAGTCATA</t>
  </si>
  <si>
    <t xml:space="preserve">AGTAGCGAACTTCGGGATCC</t>
  </si>
  <si>
    <t xml:space="preserve">TAGTAGTAGCGAACTTCGGGATCC</t>
  </si>
  <si>
    <t xml:space="preserve">AAACGGATCCCGAAGTTCGCTACT</t>
  </si>
  <si>
    <t xml:space="preserve">TTGGTCACGGCGTTACCGTT</t>
  </si>
  <si>
    <t xml:space="preserve">TAGTTTGGTCACGGCGTTACCGTT</t>
  </si>
  <si>
    <t xml:space="preserve">AAACAACGGTAACGCCGTGACCAA</t>
  </si>
  <si>
    <t xml:space="preserve">GTTCGCTGGTTGCCAGACTC</t>
  </si>
  <si>
    <t xml:space="preserve">TAGTGTTCGCTGGTTGCCAGACTC</t>
  </si>
  <si>
    <t xml:space="preserve">AAACGAGTCTGGCAACCAGCGAAC</t>
  </si>
  <si>
    <t xml:space="preserve">PSPPH_4538</t>
  </si>
  <si>
    <t xml:space="preserve">GTCCACCAAATCTGGATTTG</t>
  </si>
  <si>
    <t xml:space="preserve">TAGTGTCCACCAAATCTGGATTTG</t>
  </si>
  <si>
    <t xml:space="preserve">AAACCAAATCCAGATTTGGTGGAC</t>
  </si>
  <si>
    <t xml:space="preserve">GCCATCACCCTGCCCGTAAC</t>
  </si>
  <si>
    <t xml:space="preserve">TAGTGCCATCACCCTGCCCGTAAC</t>
  </si>
  <si>
    <t xml:space="preserve">AAACGTTACGGGCAGGGTGATGGC</t>
  </si>
  <si>
    <t xml:space="preserve">GTACATGAACGGCTTATAAC</t>
  </si>
  <si>
    <t xml:space="preserve">TAGTGTACATGAACGGCTTATAAC</t>
  </si>
  <si>
    <t xml:space="preserve">AAACGTTATAAGCCGTTCATGTAC</t>
  </si>
  <si>
    <t xml:space="preserve">TCCCGGTGGATGGAACGTCT</t>
  </si>
  <si>
    <t xml:space="preserve">TAGTTCCCGGTGGATGGAACGTCT</t>
  </si>
  <si>
    <t xml:space="preserve">AAACAGACGTTCCATCCACCGGGA</t>
  </si>
  <si>
    <t xml:space="preserve">PSPPH_4539</t>
  </si>
  <si>
    <t xml:space="preserve">GTCGAACACATTGGATGGCG</t>
  </si>
  <si>
    <t xml:space="preserve">TAGTGTCGAACACATTGGATGGCG</t>
  </si>
  <si>
    <t xml:space="preserve">AAACCGCCATCCAATGTGTTCGAC</t>
  </si>
  <si>
    <t xml:space="preserve">TGGTTTCTAACACTCTAACC</t>
  </si>
  <si>
    <t xml:space="preserve">TAGTTGGTTTCTAACACTCTAACC</t>
  </si>
  <si>
    <t xml:space="preserve">AAACGGTTAGAGTGTTAGAAACCA</t>
  </si>
  <si>
    <t xml:space="preserve">TATGACTTTTTTCAGGGCAA</t>
  </si>
  <si>
    <t xml:space="preserve">TAGTTATGACTTTTTTCAGGGCAA</t>
  </si>
  <si>
    <t xml:space="preserve">AAACTTGCCCTGAAAAAAGTCATA</t>
  </si>
  <si>
    <t xml:space="preserve">TCTGAATAGTCAACGCTGAA</t>
  </si>
  <si>
    <t xml:space="preserve">TAGTTCTGAATAGTCAACGCTGAA</t>
  </si>
  <si>
    <t xml:space="preserve">AAACTTCAGCGTTGACTATTCAGA</t>
  </si>
  <si>
    <t xml:space="preserve">PSPPH_4541</t>
  </si>
  <si>
    <t xml:space="preserve">GGAAATCCTGGGGCTTTCAT</t>
  </si>
  <si>
    <t xml:space="preserve">TAGTGGAAATCCTGGGGCTTTCAT</t>
  </si>
  <si>
    <t xml:space="preserve">AAACATGAAAGCCCCAGGATTTCC</t>
  </si>
  <si>
    <t xml:space="preserve">AATTCACCCTCCACTGGTGT</t>
  </si>
  <si>
    <t xml:space="preserve">TAGTAATTCACCCTCCACTGGTGT</t>
  </si>
  <si>
    <t xml:space="preserve">AAACACACCAGTGGAGGGTGAATT</t>
  </si>
  <si>
    <t xml:space="preserve">GCTTGGTATAACCAGCAGTG</t>
  </si>
  <si>
    <t xml:space="preserve">TAGTGCTTGGTATAACCAGCAGTG</t>
  </si>
  <si>
    <t xml:space="preserve">AAACCACTGCTGGTTATACCAAGC</t>
  </si>
  <si>
    <t xml:space="preserve">CGCTATCGGCACTATAGCTG</t>
  </si>
  <si>
    <t xml:space="preserve">TAGTCGCTATCGGCACTATAGCTG</t>
  </si>
  <si>
    <t xml:space="preserve">AAACCAGCTATAGTGCCGATAGCG</t>
  </si>
  <si>
    <t xml:space="preserve">PSPPH_4542</t>
  </si>
  <si>
    <t xml:space="preserve">AACTACGAAGCCTTTAGCTT</t>
  </si>
  <si>
    <t xml:space="preserve">TAGTAACTACGAAGCCTTTAGCTT</t>
  </si>
  <si>
    <t xml:space="preserve">AAACAAGCTAAAGGCTTCGTAGTT</t>
  </si>
  <si>
    <t xml:space="preserve">GCGGTAAAGCTATTTGATGA</t>
  </si>
  <si>
    <t xml:space="preserve">TAGTGCGGTAAAGCTATTTGATGA</t>
  </si>
  <si>
    <t xml:space="preserve">AAACTCATCAAATAGCTTTACCGC</t>
  </si>
  <si>
    <t xml:space="preserve">GTAGCAGGTGCCAACCGATT</t>
  </si>
  <si>
    <t xml:space="preserve">TAGTGTAGCAGGTGCCAACCGATT</t>
  </si>
  <si>
    <t xml:space="preserve">AAACAATCGGTTGGCACCTGCTAC</t>
  </si>
  <si>
    <t xml:space="preserve">CGCAGAGAAGAAGAGGGGGT</t>
  </si>
  <si>
    <t xml:space="preserve">TAGTCGCAGAGAAGAAGAGGGGGT</t>
  </si>
  <si>
    <t xml:space="preserve">AAACACCCCCTCTTCTTCTCTGCG</t>
  </si>
  <si>
    <t xml:space="preserve">PSPPH_4543</t>
  </si>
  <si>
    <t xml:space="preserve">TTATATCCATTGTGATGCGC</t>
  </si>
  <si>
    <t xml:space="preserve">TAGTTTATATCCATTGTGATGCGC</t>
  </si>
  <si>
    <t xml:space="preserve">AAACGCGCATCACAATGGATATAA</t>
  </si>
  <si>
    <t xml:space="preserve">CAATAAAAGTAAATGCGTTC</t>
  </si>
  <si>
    <t xml:space="preserve">TAGTCAATAAAAGTAAATGCGTTC</t>
  </si>
  <si>
    <t xml:space="preserve">AAACGAACGCATTTACTTTTATTG</t>
  </si>
  <si>
    <t xml:space="preserve">GTCTGCGTAGCCTTTCGCAC</t>
  </si>
  <si>
    <t xml:space="preserve">TAGTGTCTGCGTAGCCTTTCGCAC</t>
  </si>
  <si>
    <t xml:space="preserve">AAACGTGCGAAAGGCTACGCAGAC</t>
  </si>
  <si>
    <t xml:space="preserve">CTCCAGGGTATTTTTCCTGT</t>
  </si>
  <si>
    <t xml:space="preserve">TAGTCTCCAGGGTATTTTTCCTGT</t>
  </si>
  <si>
    <t xml:space="preserve">AAACACAGGAAAAATACCCTGGAG</t>
  </si>
  <si>
    <t xml:space="preserve">PSPPH_4544</t>
  </si>
  <si>
    <t xml:space="preserve">TAACAGTCCTTTCTCCCCGC</t>
  </si>
  <si>
    <t xml:space="preserve">TAGTTAACAGTCCTTTCTCCCCGC</t>
  </si>
  <si>
    <t xml:space="preserve">AAACGCGGGGAGAAAGGACTGTTA</t>
  </si>
  <si>
    <t xml:space="preserve">CCATGCATTGAACATGTAGC</t>
  </si>
  <si>
    <t xml:space="preserve">TAGTCCATGCATTGAACATGTAGC</t>
  </si>
  <si>
    <t xml:space="preserve">AAACGCTACATGTTCAATGCATGG</t>
  </si>
  <si>
    <t xml:space="preserve">TGAAAGTGAATGAGCGAGAG</t>
  </si>
  <si>
    <t xml:space="preserve">TAGTTGAAAGTGAATGAGCGAGAG</t>
  </si>
  <si>
    <t xml:space="preserve">AAACCTCTCGCTCATTCACTTTCA</t>
  </si>
  <si>
    <t xml:space="preserve">GTCGATACAAAATACCCGGT</t>
  </si>
  <si>
    <t xml:space="preserve">TAGTGTCGATACAAAATACCCGGT</t>
  </si>
  <si>
    <t xml:space="preserve">AAACACCGGGTATTTTGTATCGAC</t>
  </si>
  <si>
    <t xml:space="preserve">PSPPH_4545</t>
  </si>
  <si>
    <t xml:space="preserve">AGCTTGCTTGAACAGTTGCT</t>
  </si>
  <si>
    <t xml:space="preserve">TAGTAGCTTGCTTGAACAGTTGCT</t>
  </si>
  <si>
    <t xml:space="preserve">AAACAGCAACTGTTCAAGCAAGCT</t>
  </si>
  <si>
    <t xml:space="preserve">CAAGGCGTAATTCAGGGCTC</t>
  </si>
  <si>
    <t xml:space="preserve">TAGTCAAGGCGTAATTCAGGGCTC</t>
  </si>
  <si>
    <t xml:space="preserve">AAACGAGCCCTGAATTACGCCTTG</t>
  </si>
  <si>
    <t xml:space="preserve">AGCTTCGTAGGGCTGGGCGA</t>
  </si>
  <si>
    <t xml:space="preserve">TAGTAGCTTCGTAGGGCTGGGCGA</t>
  </si>
  <si>
    <t xml:space="preserve">AAACTCGCCCAGCCCTACGAAGCT</t>
  </si>
  <si>
    <t xml:space="preserve">TGAATCAGATGCTGGTTGGT</t>
  </si>
  <si>
    <t xml:space="preserve">TAGTTGAATCAGATGCTGGTTGGT</t>
  </si>
  <si>
    <t xml:space="preserve">AAACACCAACCAGCATCTGATTCA</t>
  </si>
  <si>
    <t xml:space="preserve">PSPPH_4546</t>
  </si>
  <si>
    <t xml:space="preserve">ATTTCTTGGCGGAGCGCTCA</t>
  </si>
  <si>
    <t xml:space="preserve">TAGTATTTCTTGGCGGAGCGCTCA</t>
  </si>
  <si>
    <t xml:space="preserve">AAACTGAGCGCTCCGCCAAGAAAT</t>
  </si>
  <si>
    <t xml:space="preserve">CCTGTACAGCGACTTTTTCG</t>
  </si>
  <si>
    <t xml:space="preserve">TAGTCCTGTACAGCGACTTTTTCG</t>
  </si>
  <si>
    <t xml:space="preserve">AAACCGAAAAAGTCGCTGTACAGG</t>
  </si>
  <si>
    <t xml:space="preserve">TAATGGCCTCGATGTGGCCG</t>
  </si>
  <si>
    <t xml:space="preserve">TAGTTAATGGCCTCGATGTGGCCG</t>
  </si>
  <si>
    <t xml:space="preserve">AAACCGGCCACATCGAGGCCATTA</t>
  </si>
  <si>
    <t xml:space="preserve">GAACGTATTCAGCTCGGCGT</t>
  </si>
  <si>
    <t xml:space="preserve">TAGTGAACGTATTCAGCTCGGCGT</t>
  </si>
  <si>
    <t xml:space="preserve">AAACACGCCGAGCTGAATACGTTC</t>
  </si>
  <si>
    <t xml:space="preserve">PSPPH_4547</t>
  </si>
  <si>
    <t xml:space="preserve">AGCTTATTGCTTTTTTGAAG</t>
  </si>
  <si>
    <t xml:space="preserve">TAGTAGCTTATTGCTTTTTTGAAG</t>
  </si>
  <si>
    <t xml:space="preserve">AAACCTTCAAAAAAGCAATAAGCT</t>
  </si>
  <si>
    <t xml:space="preserve">TCATCCGCGTTATCGGCGTT</t>
  </si>
  <si>
    <t xml:space="preserve">TAGTTCATCCGCGTTATCGGCGTT</t>
  </si>
  <si>
    <t xml:space="preserve">AAACAACGCCGATAACGCGGATGA</t>
  </si>
  <si>
    <t xml:space="preserve">GTCATTCGTAACAGTCGAGA</t>
  </si>
  <si>
    <t xml:space="preserve">TAGTGTCATTCGTAACAGTCGAGA</t>
  </si>
  <si>
    <t xml:space="preserve">AAACTCTCGACTGTTACGAATGAC</t>
  </si>
  <si>
    <t xml:space="preserve">AATAGGACGCCATATCCCAG</t>
  </si>
  <si>
    <t xml:space="preserve">TAGTAATAGGACGCCATATCCCAG</t>
  </si>
  <si>
    <t xml:space="preserve">AAACCTGGGATATGGCGTCCTATT</t>
  </si>
  <si>
    <t xml:space="preserve">PSPPH_4548</t>
  </si>
  <si>
    <t xml:space="preserve">GGCCATCTCGCGAATGTCGG</t>
  </si>
  <si>
    <t xml:space="preserve">TAGTGGCCATCTCGCGAATGTCGG</t>
  </si>
  <si>
    <t xml:space="preserve">AAACCCGACATTCGCGAGATGGCC</t>
  </si>
  <si>
    <t xml:space="preserve">GCCAGTGATCTCGGCTTGCT</t>
  </si>
  <si>
    <t xml:space="preserve">TAGTGCCAGTGATCTCGGCTTGCT</t>
  </si>
  <si>
    <t xml:space="preserve">AAACAGCAAGCCGAGATCACTGGC</t>
  </si>
  <si>
    <t xml:space="preserve">TCGCCAGCAGCGACCTGACC</t>
  </si>
  <si>
    <t xml:space="preserve">TAGTTCGCCAGCAGCGACCTGACC</t>
  </si>
  <si>
    <t xml:space="preserve">AAACGGTCAGGTCGCTGCTGGCGA</t>
  </si>
  <si>
    <t xml:space="preserve">GTAAAGGAACTGACACGCAC</t>
  </si>
  <si>
    <t xml:space="preserve">TAGTGTAAAGGAACTGACACGCAC</t>
  </si>
  <si>
    <t xml:space="preserve">AAACGTGCGTGTCAGTTCCTTTAC</t>
  </si>
  <si>
    <t xml:space="preserve">PSPPH_4549</t>
  </si>
  <si>
    <t xml:space="preserve">AAGCTGTCTGTAGGATCGCG</t>
  </si>
  <si>
    <t xml:space="preserve">TAGTAAGCTGTCTGTAGGATCGCG</t>
  </si>
  <si>
    <t xml:space="preserve">AAACCGCGATCCTACAGACAGCTT</t>
  </si>
  <si>
    <t xml:space="preserve">TGTGAGGGAGGCCGACTGTA</t>
  </si>
  <si>
    <t xml:space="preserve">TAGTTGTGAGGGAGGCCGACTGTA</t>
  </si>
  <si>
    <t xml:space="preserve">AAACTACAGTCGGCCTCCCTCACA</t>
  </si>
  <si>
    <t xml:space="preserve">TTTCAACCAACTCTTTCTGC</t>
  </si>
  <si>
    <t xml:space="preserve">TAGTTTTCAACCAACTCTTTCTGC</t>
  </si>
  <si>
    <t xml:space="preserve">AAACGCAGAAAGAGTTGGTTGAAA</t>
  </si>
  <si>
    <t xml:space="preserve">AGAGATACCATCAATGATGT</t>
  </si>
  <si>
    <t xml:space="preserve">TAGTAGAGATACCATCAATGATGT</t>
  </si>
  <si>
    <t xml:space="preserve">AAACACATCATTGATGGTATCTCT</t>
  </si>
  <si>
    <t xml:space="preserve">PSPPH_4550</t>
  </si>
  <si>
    <t xml:space="preserve">GATAATACTCAGTATGGGTA</t>
  </si>
  <si>
    <t xml:space="preserve">TAGTGATAATACTCAGTATGGGTA</t>
  </si>
  <si>
    <t xml:space="preserve">AAACTACCCATACTGAGTATTATC</t>
  </si>
  <si>
    <t xml:space="preserve">TCCACTAATGCTATGGTGTC</t>
  </si>
  <si>
    <t xml:space="preserve">TAGTTCCACTAATGCTATGGTGTC</t>
  </si>
  <si>
    <t xml:space="preserve">AAACGACACCATAGCATTAGTGGA</t>
  </si>
  <si>
    <t xml:space="preserve">GGCATTACGATAGCTAACGC</t>
  </si>
  <si>
    <t xml:space="preserve">TAGTGGCATTACGATAGCTAACGC</t>
  </si>
  <si>
    <t xml:space="preserve">AAACGCGTTAGCTATCGTAATGCC</t>
  </si>
  <si>
    <t xml:space="preserve">AACAGTTTCAATATGGATGA</t>
  </si>
  <si>
    <t xml:space="preserve">TAGTAACAGTTTCAATATGGATGA</t>
  </si>
  <si>
    <t xml:space="preserve">AAACTCATCCATATTGAAACTGTT</t>
  </si>
  <si>
    <t xml:space="preserve">PSPPH_4551</t>
  </si>
  <si>
    <t xml:space="preserve">GAAGAAAAAGCTGGCTCTTG</t>
  </si>
  <si>
    <t xml:space="preserve">TAGTGAAGAAAAAGCTGGCTCTTG</t>
  </si>
  <si>
    <t xml:space="preserve">AAACCAAGAGCCAGCTTTTTCTTC</t>
  </si>
  <si>
    <t xml:space="preserve">ATGGTAGTTGCCGAACCCCA</t>
  </si>
  <si>
    <t xml:space="preserve">TAGTATGGTAGTTGCCGAACCCCA</t>
  </si>
  <si>
    <t xml:space="preserve">AAACTGGGGTTCGGCAACTACCAT</t>
  </si>
  <si>
    <t xml:space="preserve">ACGGTGGCCATATTTCGATA</t>
  </si>
  <si>
    <t xml:space="preserve">TAGTACGGTGGCCATATTTCGATA</t>
  </si>
  <si>
    <t xml:space="preserve">AAACTATCGAAATATGGCCACCGT</t>
  </si>
  <si>
    <t xml:space="preserve">ATCAGCAGATCTATCTCGTC</t>
  </si>
  <si>
    <t xml:space="preserve">TAGTATCAGCAGATCTATCTCGTC</t>
  </si>
  <si>
    <t xml:space="preserve">AAACGACGAGATAGATCTGCTGAT</t>
  </si>
  <si>
    <t xml:space="preserve">PSPPH_4552</t>
  </si>
  <si>
    <t xml:space="preserve">GATCAAACACCGATTTATCA</t>
  </si>
  <si>
    <t xml:space="preserve">TAGTGATCAAACACCGATTTATCA</t>
  </si>
  <si>
    <t xml:space="preserve">AAACTGATAAATCGGTGTTTGATC</t>
  </si>
  <si>
    <t xml:space="preserve">GGTACGGTTAAAAATCTCAT</t>
  </si>
  <si>
    <t xml:space="preserve">TAGTGGTACGGTTAAAAATCTCAT</t>
  </si>
  <si>
    <t xml:space="preserve">AAACATGAGATTTTTAACCGTACC</t>
  </si>
  <si>
    <t xml:space="preserve">TTTCCACTCCAGCCTGGTCT</t>
  </si>
  <si>
    <t xml:space="preserve">TAGTTTTCCACTCCAGCCTGGTCT</t>
  </si>
  <si>
    <t xml:space="preserve">AAACAGACCAGGCTGGAGTGGAAA</t>
  </si>
  <si>
    <t xml:space="preserve">CAAGGTTTCGTTCAATGTCG</t>
  </si>
  <si>
    <t xml:space="preserve">TAGTCAAGGTTTCGTTCAATGTCG</t>
  </si>
  <si>
    <t xml:space="preserve">AAACCGACATTGAACGAAACCTTG</t>
  </si>
  <si>
    <t xml:space="preserve">PSPPH_4553</t>
  </si>
  <si>
    <t xml:space="preserve">CCTTTTTTGCCATTCTGATT</t>
  </si>
  <si>
    <t xml:space="preserve">TAGTCCTTTTTTGCCATTCTGATT</t>
  </si>
  <si>
    <t xml:space="preserve">AAACAATCAGAATGGCAAAAAAGG</t>
  </si>
  <si>
    <t xml:space="preserve">GTGCAGTAAGACCGTTGATC</t>
  </si>
  <si>
    <t xml:space="preserve">TAGTGTGCAGTAAGACCGTTGATC</t>
  </si>
  <si>
    <t xml:space="preserve">AAACGATCAACGGTCTTACTGCAC</t>
  </si>
  <si>
    <t xml:space="preserve">GAAAGGTGCTCATCACCGGT</t>
  </si>
  <si>
    <t xml:space="preserve">TAGTGAAAGGTGCTCATCACCGGT</t>
  </si>
  <si>
    <t xml:space="preserve">AAACACCGGTGATGAGCACCTTTC</t>
  </si>
  <si>
    <t xml:space="preserve">TGTAAACCGGTGGCGCGTTA</t>
  </si>
  <si>
    <t xml:space="preserve">TAGTTGTAAACCGGTGGCGCGTTA</t>
  </si>
  <si>
    <t xml:space="preserve">AAACTAACGCGCCACCGGTTTACA</t>
  </si>
  <si>
    <t xml:space="preserve">PSPPH_4554</t>
  </si>
  <si>
    <t xml:space="preserve">CCACACGCGCTACGAAGTGC</t>
  </si>
  <si>
    <t xml:space="preserve">TAGTCCACACGCGCTACGAAGTGC</t>
  </si>
  <si>
    <t xml:space="preserve">AAACGCACTTCGTAGCGCGTGTGG</t>
  </si>
  <si>
    <t xml:space="preserve">CCAGCAAGTTTTGCTCGATA</t>
  </si>
  <si>
    <t xml:space="preserve">TAGTCCAGCAAGTTTTGCTCGATA</t>
  </si>
  <si>
    <t xml:space="preserve">AAACTATCGAGCAAAACTTGCTGG</t>
  </si>
  <si>
    <t xml:space="preserve">ATGATCAGATCAACATAGTA</t>
  </si>
  <si>
    <t xml:space="preserve">TAGTATGATCAGATCAACATAGTA</t>
  </si>
  <si>
    <t xml:space="preserve">AAACTACTATGTTGATCTGATCAT</t>
  </si>
  <si>
    <t xml:space="preserve">CACAGCGGATGCTCAGTGAC</t>
  </si>
  <si>
    <t xml:space="preserve">TAGTCACAGCGGATGCTCAGTGAC</t>
  </si>
  <si>
    <t xml:space="preserve">AAACGTCACTGAGCATCCGCTGTG</t>
  </si>
  <si>
    <t xml:space="preserve">PSPPH_4555</t>
  </si>
  <si>
    <t xml:space="preserve">CGTCATCGATATCAATAAAT</t>
  </si>
  <si>
    <t xml:space="preserve">TAGTCGTCATCGATATCAATAAAT</t>
  </si>
  <si>
    <t xml:space="preserve">AAACATTTATTGATATCGATGACG</t>
  </si>
  <si>
    <t xml:space="preserve">GGTAGCTATAACGAACACAG</t>
  </si>
  <si>
    <t xml:space="preserve">TAGTGGTAGCTATAACGAACACAG</t>
  </si>
  <si>
    <t xml:space="preserve">AAACCTGTGTTCGTTATAGCTACC</t>
  </si>
  <si>
    <t xml:space="preserve">CAGCAGTAAAGTGCGGTTCA</t>
  </si>
  <si>
    <t xml:space="preserve">TAGTCAGCAGTAAAGTGCGGTTCA</t>
  </si>
  <si>
    <t xml:space="preserve">AAACTGAACCGCACTTTACTGCTG</t>
  </si>
  <si>
    <t xml:space="preserve">CACCAGCGGTCAAACACTTG</t>
  </si>
  <si>
    <t xml:space="preserve">TAGTCACCAGCGGTCAAACACTTG</t>
  </si>
  <si>
    <t xml:space="preserve">AAACCAAGTGTTTGACCGCTGGTG</t>
  </si>
  <si>
    <t xml:space="preserve">PSPPH_4556</t>
  </si>
  <si>
    <t xml:space="preserve">AACTTTTCGATATGTCCGAG</t>
  </si>
  <si>
    <t xml:space="preserve">TAGTAACTTTTCGATATGTCCGAG</t>
  </si>
  <si>
    <t xml:space="preserve">AAACCTCGGACATATCGAAAAGTT</t>
  </si>
  <si>
    <t xml:space="preserve">TGGATCAGCTTACAAAAGTC</t>
  </si>
  <si>
    <t xml:space="preserve">TAGTTGGATCAGCTTACAAAAGTC</t>
  </si>
  <si>
    <t xml:space="preserve">AAACGACTTTTGTAAGCTGATCCA</t>
  </si>
  <si>
    <t xml:space="preserve">CCGCATCCTCAGGTGCGAAG</t>
  </si>
  <si>
    <t xml:space="preserve">TAGTCCGCATCCTCAGGTGCGAAG</t>
  </si>
  <si>
    <t xml:space="preserve">AAACCTTCGCACCTGAGGATGCGG</t>
  </si>
  <si>
    <t xml:space="preserve">GCACCAAGTTTGACCAGTAC</t>
  </si>
  <si>
    <t xml:space="preserve">TAGTGCACCAAGTTTGACCAGTAC</t>
  </si>
  <si>
    <t xml:space="preserve">AAACGTACTGGTCAAACTTGGTGC</t>
  </si>
  <si>
    <t xml:space="preserve">PSPPH_4557</t>
  </si>
  <si>
    <t xml:space="preserve">TGAAAGCGCTAGAGTACACT</t>
  </si>
  <si>
    <t xml:space="preserve">TAGTTGAAAGCGCTAGAGTACACT</t>
  </si>
  <si>
    <t xml:space="preserve">AAACAGTGTACTCTAGCGCTTTCA</t>
  </si>
  <si>
    <t xml:space="preserve">GCCGAAATCAGATGCGCCTC</t>
  </si>
  <si>
    <t xml:space="preserve">TAGTGCCGAAATCAGATGCGCCTC</t>
  </si>
  <si>
    <t xml:space="preserve">AAACGAGGCGCATCTGATTTCGGC</t>
  </si>
  <si>
    <t xml:space="preserve">CACTGACAAATACCACGCTC</t>
  </si>
  <si>
    <t xml:space="preserve">TAGTCACTGACAAATACCACGCTC</t>
  </si>
  <si>
    <t xml:space="preserve">AAACGAGCGTGGTATTTGTCAGTG</t>
  </si>
  <si>
    <t xml:space="preserve">TACGCCACCGGCGACTCTGC</t>
  </si>
  <si>
    <t xml:space="preserve">TAGTTACGCCACCGGCGACTCTGC</t>
  </si>
  <si>
    <t xml:space="preserve">AAACGCAGAGTCGCCGGTGGCGTA</t>
  </si>
  <si>
    <t xml:space="preserve">PSPPH_4558</t>
  </si>
  <si>
    <t xml:space="preserve">TTGTCCAGCTCAAATTCCAT</t>
  </si>
  <si>
    <t xml:space="preserve">TAGTTTGTCCAGCTCAAATTCCAT</t>
  </si>
  <si>
    <t xml:space="preserve">AAACATGGAATTTGAGCTGGACAA</t>
  </si>
  <si>
    <t xml:space="preserve">CTGGACGCCGGCAATGACGT</t>
  </si>
  <si>
    <t xml:space="preserve">TAGTCTGGACGCCGGCAATGACGT</t>
  </si>
  <si>
    <t xml:space="preserve">AAACACGTCATTGCCGGCGTCCAG</t>
  </si>
  <si>
    <t xml:space="preserve">GGTAGTCAAGTGCTCGAGCG</t>
  </si>
  <si>
    <t xml:space="preserve">TAGTGGTAGTCAAGTGCTCGAGCG</t>
  </si>
  <si>
    <t xml:space="preserve">AAACCGCTCGAGCACTTGACTACC</t>
  </si>
  <si>
    <t xml:space="preserve">TTTTTGCTCATGGTCCTGCC</t>
  </si>
  <si>
    <t xml:space="preserve">TAGTTTTTTGCTCATGGTCCTGCC</t>
  </si>
  <si>
    <t xml:space="preserve">AAACGGCAGGACCATGAGCAAAAA</t>
  </si>
  <si>
    <t xml:space="preserve">PSPPH_4559</t>
  </si>
  <si>
    <t xml:space="preserve">CGTGCAGGTAGTCCTTGAAG</t>
  </si>
  <si>
    <t xml:space="preserve">TAGTCGTGCAGGTAGTCCTTGAAG</t>
  </si>
  <si>
    <t xml:space="preserve">AAACCTTCAAGGACTACCTGCACG</t>
  </si>
  <si>
    <t xml:space="preserve">CGGTCGCCGGAATCCAGTGT</t>
  </si>
  <si>
    <t xml:space="preserve">TAGTCGGTCGCCGGAATCCAGTGT</t>
  </si>
  <si>
    <t xml:space="preserve">AAACACACTGGATTCCGGCGACCG</t>
  </si>
  <si>
    <t xml:space="preserve">CGTGATCTCACGCAGCAGGA</t>
  </si>
  <si>
    <t xml:space="preserve">TAGTCGTGATCTCACGCAGCAGGA</t>
  </si>
  <si>
    <t xml:space="preserve">AAACTCCTGCTGCGTGAGATCACG</t>
  </si>
  <si>
    <t xml:space="preserve">PSPPH_4560</t>
  </si>
  <si>
    <t xml:space="preserve">CGCTCGGCTACTGCAGCAGA</t>
  </si>
  <si>
    <t xml:space="preserve">TAGTCGCTCGGCTACTGCAGCAGA</t>
  </si>
  <si>
    <t xml:space="preserve">AAACTCTGCTGCAGTAGCCGAGCG</t>
  </si>
  <si>
    <t xml:space="preserve">AGCAACGCCAGCAGGCGCTT</t>
  </si>
  <si>
    <t xml:space="preserve">TAGTAGCAACGCCAGCAGGCGCTT</t>
  </si>
  <si>
    <t xml:space="preserve">AAACAAGCGCCTGCTGGCGTTGCT</t>
  </si>
  <si>
    <t xml:space="preserve">CGGTTGCCAGAACATGACGT</t>
  </si>
  <si>
    <t xml:space="preserve">TAGTCGGTTGCCAGAACATGACGT</t>
  </si>
  <si>
    <t xml:space="preserve">AAACACGTCATGTTCTGGCAACCG</t>
  </si>
  <si>
    <t xml:space="preserve">CCATCGGCCTGCGCCCAGAT</t>
  </si>
  <si>
    <t xml:space="preserve">TAGTCCATCGGCCTGCGCCCAGAT</t>
  </si>
  <si>
    <t xml:space="preserve">AAACATCTGGGCGCAGGCCGATGG</t>
  </si>
  <si>
    <t xml:space="preserve">PSPPH_4562</t>
  </si>
  <si>
    <t xml:space="preserve">CTCGCTGTGGGTATCTTGCA</t>
  </si>
  <si>
    <t xml:space="preserve">TAGTCTCGCTGTGGGTATCTTGCA</t>
  </si>
  <si>
    <t xml:space="preserve">AAACTGCAAGATACCCACAGCGAG</t>
  </si>
  <si>
    <t xml:space="preserve">GGCCAGACCGCCTGCTGCGC</t>
  </si>
  <si>
    <t xml:space="preserve">TAGTGGCCAGACCGCCTGCTGCGC</t>
  </si>
  <si>
    <t xml:space="preserve">AAACGCGCAGCAGGCGGTCTGGCC</t>
  </si>
  <si>
    <t xml:space="preserve">CATGCGGAACGCGAACACCA</t>
  </si>
  <si>
    <t xml:space="preserve">TAGTCATGCGGAACGCGAACACCA</t>
  </si>
  <si>
    <t xml:space="preserve">AAACTGGTGTTCGCGTTCCGCATG</t>
  </si>
  <si>
    <t xml:space="preserve">ATGCCGTAGGTTGCCAGAAC</t>
  </si>
  <si>
    <t xml:space="preserve">TAGTATGCCGTAGGTTGCCAGAAC</t>
  </si>
  <si>
    <t xml:space="preserve">AAACGTTCTGGCAACCTACGGCAT</t>
  </si>
  <si>
    <t xml:space="preserve">PSPPH_4563</t>
  </si>
  <si>
    <t xml:space="preserve">uvrA</t>
  </si>
  <si>
    <t xml:space="preserve">GGGTTCGTGCCCCACGTATC</t>
  </si>
  <si>
    <t xml:space="preserve">TAGTGGGTTCGTGCCCCACGTATC</t>
  </si>
  <si>
    <t xml:space="preserve">AAACGATACGTGGGGCACGAACCC</t>
  </si>
  <si>
    <t xml:space="preserve">GTCAATATTTTTCAGGTTGT</t>
  </si>
  <si>
    <t xml:space="preserve">TAGTGTCAATATTTTTCAGGTTGT</t>
  </si>
  <si>
    <t xml:space="preserve">AAACACAACCTGAAAAATATTGAC</t>
  </si>
  <si>
    <t xml:space="preserve">GTTTGTCGCGGGGAAGTGTC</t>
  </si>
  <si>
    <t xml:space="preserve">TAGTGTTTGTCGCGGGGAAGTGTC</t>
  </si>
  <si>
    <t xml:space="preserve">AAACGACACTTCCCCGCGACAAAC</t>
  </si>
  <si>
    <t xml:space="preserve">CTTGCCTGAGCCGGAGAGCC</t>
  </si>
  <si>
    <t xml:space="preserve">TAGTCTTGCCTGAGCCGGAGAGCC</t>
  </si>
  <si>
    <t xml:space="preserve">AAACGGCTCTCCGGCTCAGGCAAG</t>
  </si>
  <si>
    <t xml:space="preserve">PSPPH_4564</t>
  </si>
  <si>
    <t xml:space="preserve">bfr2</t>
  </si>
  <si>
    <t xml:space="preserve">GATAATCGATTACTTCGGGG</t>
  </si>
  <si>
    <t xml:space="preserve">TAGTGATAATCGATTACTTCGGGG</t>
  </si>
  <si>
    <t xml:space="preserve">AAACCCCCGAAGTAATCGATTATC</t>
  </si>
  <si>
    <t xml:space="preserve">TGCGTGAGTGAACGAAATAT</t>
  </si>
  <si>
    <t xml:space="preserve">TAGTTGCGTGAGTGAACGAAATAT</t>
  </si>
  <si>
    <t xml:space="preserve">AAACATATTTCGTTCACTCACGCA</t>
  </si>
  <si>
    <t xml:space="preserve">GCGCCTCTTCTTCCATCTCG</t>
  </si>
  <si>
    <t xml:space="preserve">TAGTGCGCCTCTTCTTCCATCTCG</t>
  </si>
  <si>
    <t xml:space="preserve">AAACCGAGATGGAAGAAGAGGCGC</t>
  </si>
  <si>
    <t xml:space="preserve">GTGGCGTACCTTCAAGCATC</t>
  </si>
  <si>
    <t xml:space="preserve">TAGTGTGGCGTACCTTCAAGCATC</t>
  </si>
  <si>
    <t xml:space="preserve">AAACGATGCTTGAAGGTACGCCAC</t>
  </si>
  <si>
    <t xml:space="preserve">PSPPH_4565</t>
  </si>
  <si>
    <t xml:space="preserve">katA</t>
  </si>
  <si>
    <t xml:space="preserve">TGCACCGCTGGCGGTCGTAA</t>
  </si>
  <si>
    <t xml:space="preserve">TAGTTGCACCGCTGGCGGTCGTAA</t>
  </si>
  <si>
    <t xml:space="preserve">AAACTTACGACCGCCAGCGGTGCA</t>
  </si>
  <si>
    <t xml:space="preserve">GAATTCTGATTGTCGGCGAC</t>
  </si>
  <si>
    <t xml:space="preserve">TAGTGAATTCTGATTGTCGGCGAC</t>
  </si>
  <si>
    <t xml:space="preserve">AAACGTCGCCGACAATCAGAATTC</t>
  </si>
  <si>
    <t xml:space="preserve">CGAGCAGTAAAGGACCACGC</t>
  </si>
  <si>
    <t xml:space="preserve">TAGTCGAGCAGTAAAGGACCACGC</t>
  </si>
  <si>
    <t xml:space="preserve">AAACGCGTGGTCCTTTACTGCTCG</t>
  </si>
  <si>
    <t xml:space="preserve">GAGCGAGCTTTTCGATCAGG</t>
  </si>
  <si>
    <t xml:space="preserve">TAGTGAGCGAGCTTTTCGATCAGG</t>
  </si>
  <si>
    <t xml:space="preserve">AAACCCTGATCGAAAAGCTCGCTC</t>
  </si>
  <si>
    <t xml:space="preserve">PSPPH_4566</t>
  </si>
  <si>
    <t xml:space="preserve">rplQ</t>
  </si>
  <si>
    <t xml:space="preserve">TCCACTTTTACGATGACGCA</t>
  </si>
  <si>
    <t xml:space="preserve">TAGTTCCACTTTTACGATGACGCA</t>
  </si>
  <si>
    <t xml:space="preserve">AAACTGCGTCATCGTAAAAGTGGA</t>
  </si>
  <si>
    <t xml:space="preserve">GGTGAGAGCTGGTACGGCTC</t>
  </si>
  <si>
    <t xml:space="preserve">TAGTGGTGAGAGCTGGTACGGCTC</t>
  </si>
  <si>
    <t xml:space="preserve">AAACGAGCCGTACCAGCTCTCACC</t>
  </si>
  <si>
    <t xml:space="preserve">TGTTTTGAAACATGGCTTTA</t>
  </si>
  <si>
    <t xml:space="preserve">TAGTTGTTTTGAAACATGGCTTTA</t>
  </si>
  <si>
    <t xml:space="preserve">AAACTAAAGCCATGTTTCAAAACA</t>
  </si>
  <si>
    <t xml:space="preserve">CAGTTCCTTGGCTTTCGGCA</t>
  </si>
  <si>
    <t xml:space="preserve">TAGTCAGTTCCTTGGCTTTCGGCA</t>
  </si>
  <si>
    <t xml:space="preserve">AAACTGCCGAAAGCCAAGGAACTG</t>
  </si>
  <si>
    <t xml:space="preserve">PSPPH_4567</t>
  </si>
  <si>
    <t xml:space="preserve">rpoA</t>
  </si>
  <si>
    <t xml:space="preserve">CTCATTTACCGAAATCTGCA</t>
  </si>
  <si>
    <t xml:space="preserve">TAGTCTCATTTACCGAAATCTGCA</t>
  </si>
  <si>
    <t xml:space="preserve">AAACTGCAGATTTCGGTAAATGAG</t>
  </si>
  <si>
    <t xml:space="preserve">CATCAATATGGCGGGGTGTC</t>
  </si>
  <si>
    <t xml:space="preserve">TAGTCATCAATATGGCGGGGTGTC</t>
  </si>
  <si>
    <t xml:space="preserve">AAACGACACCCCGCCATATTGATG</t>
  </si>
  <si>
    <t xml:space="preserve">AGAGTGATCTTGGCGCGGGT</t>
  </si>
  <si>
    <t xml:space="preserve">TAGTAGAGTGATCTTGGCGCGGGT</t>
  </si>
  <si>
    <t xml:space="preserve">AAACACCCGCGCCAAGATCACTCT</t>
  </si>
  <si>
    <t xml:space="preserve">TGGCCGAAACCACGCTCGAG</t>
  </si>
  <si>
    <t xml:space="preserve">TAGTTGGCCGAAACCACGCTCGAG</t>
  </si>
  <si>
    <t xml:space="preserve">AAACCTCGAGCGTGGTTTCGGCCA</t>
  </si>
  <si>
    <t xml:space="preserve">PSPPH_4568</t>
  </si>
  <si>
    <t xml:space="preserve">rpsD</t>
  </si>
  <si>
    <t xml:space="preserve">CGACGAGCAAGTTTGCATTT</t>
  </si>
  <si>
    <t xml:space="preserve">TAGTCGACGAGCAAGTTTGCATTT</t>
  </si>
  <si>
    <t xml:space="preserve">AAACAAATGCAAACTTGCTCGTCG</t>
  </si>
  <si>
    <t xml:space="preserve">GCCGCTCTTCAGAAAGAGAT</t>
  </si>
  <si>
    <t xml:space="preserve">TAGTGCCGCTCTTCAGAAAGAGAT</t>
  </si>
  <si>
    <t xml:space="preserve">AAACATCTCTTTCTGAAGAGCGGC</t>
  </si>
  <si>
    <t xml:space="preserve">AGCTGCTTCGATGTTGCACT</t>
  </si>
  <si>
    <t xml:space="preserve">TAGTAGCTGCTTCGATGTTGCACT</t>
  </si>
  <si>
    <t xml:space="preserve">AAACAGTGCAACATCGAAGCAGCT</t>
  </si>
  <si>
    <t xml:space="preserve">CGGCGTTGGCCGTGGATACC</t>
  </si>
  <si>
    <t xml:space="preserve">TAGTCGGCGTTGGCCGTGGATACC</t>
  </si>
  <si>
    <t xml:space="preserve">AAACGGTATCCACGGCCAACGCCG</t>
  </si>
  <si>
    <t xml:space="preserve">PSPPH_4569</t>
  </si>
  <si>
    <t xml:space="preserve">rpsK</t>
  </si>
  <si>
    <t xml:space="preserve">TTTTTACGAGGACGAGCAGC</t>
  </si>
  <si>
    <t xml:space="preserve">TAGTTTTTTACGAGGACGAGCAGC</t>
  </si>
  <si>
    <t xml:space="preserve">AAACGCTGCTCGTCCTCGTAAAAA</t>
  </si>
  <si>
    <t xml:space="preserve">GTTAAACGACGCGTGGATGT</t>
  </si>
  <si>
    <t xml:space="preserve">TAGTGTTAAACGACGCGTGGATGT</t>
  </si>
  <si>
    <t xml:space="preserve">AAACACATCCACGCGTCGTTTAAC</t>
  </si>
  <si>
    <t xml:space="preserve">GTTACCTTGACGATCGGTAA</t>
  </si>
  <si>
    <t xml:space="preserve">TAGTGTTACCTTGACGATCGGTAA</t>
  </si>
  <si>
    <t xml:space="preserve">AAACTTACCGATCGTCAAGGTAAC</t>
  </si>
  <si>
    <t xml:space="preserve">ACGGAAACCCGAACCGCCGG</t>
  </si>
  <si>
    <t xml:space="preserve">TAGTACGGAAACCCGAACCGCCGG</t>
  </si>
  <si>
    <t xml:space="preserve">AAACCCGGCGGTTCGGGTTTCCGT</t>
  </si>
  <si>
    <t xml:space="preserve">PSPPH_4570</t>
  </si>
  <si>
    <t xml:space="preserve">rpsM</t>
  </si>
  <si>
    <t xml:space="preserve">AATGTTAACGCCTGCAATAC</t>
  </si>
  <si>
    <t xml:space="preserve">TAGTAATGTTAACGCCTGCAATAC</t>
  </si>
  <si>
    <t xml:space="preserve">AAACGTATTGCAGGCGTTAACATT</t>
  </si>
  <si>
    <t xml:space="preserve">ATAACAGTATGCTTGTTATC</t>
  </si>
  <si>
    <t xml:space="preserve">TAGTATAACAGTATGCTTGTTATC</t>
  </si>
  <si>
    <t xml:space="preserve">AAACGATAACAAGCATACTGTTAT</t>
  </si>
  <si>
    <t xml:space="preserve">GCGACCAACACCATAGATGT</t>
  </si>
  <si>
    <t xml:space="preserve">TAGTGCGACCAACACCATAGATGT</t>
  </si>
  <si>
    <t xml:space="preserve">AAACACATCTATGGTGTTGGTCGC</t>
  </si>
  <si>
    <t xml:space="preserve">TGCACAAATTTTCTGTGCAG</t>
  </si>
  <si>
    <t xml:space="preserve">TAGTTGCACAAATTTTCTGTGCAG</t>
  </si>
  <si>
    <t xml:space="preserve">AAACCTGCACAGAAAATTTGTGCA</t>
  </si>
  <si>
    <t xml:space="preserve">PSPPH_4571</t>
  </si>
  <si>
    <t xml:space="preserve">rpmJ</t>
  </si>
  <si>
    <t xml:space="preserve">GGCGAATAATCTTGCAGTTA</t>
  </si>
  <si>
    <t xml:space="preserve">TAGTGGCGAATAATCTTGCAGTTA</t>
  </si>
  <si>
    <t xml:space="preserve">AAACTAACTGCAAGATTATTCGCC</t>
  </si>
  <si>
    <t xml:space="preserve">TTACTCGAACCACACCTTCG</t>
  </si>
  <si>
    <t xml:space="preserve">TAGTTTACTCGAACCACACCTTCG</t>
  </si>
  <si>
    <t xml:space="preserve">AAACCGAAGGTGTGGTTCGAGTAA</t>
  </si>
  <si>
    <t xml:space="preserve">CCTTGGCGCTGCTTATGACG</t>
  </si>
  <si>
    <t xml:space="preserve">TAGTCCTTGGCGCTGCTTATGACG</t>
  </si>
  <si>
    <t xml:space="preserve">AAACCGTCATAAGCAGCGCCAAGG</t>
  </si>
  <si>
    <t xml:space="preserve">PSPPH_4572</t>
  </si>
  <si>
    <t xml:space="preserve">secY</t>
  </si>
  <si>
    <t xml:space="preserve">TTCGGTAGACGATAATCGCC</t>
  </si>
  <si>
    <t xml:space="preserve">TAGTTTCGGTAGACGATAATCGCC</t>
  </si>
  <si>
    <t xml:space="preserve">AAACGGCGATTATCGTCTACCGAA</t>
  </si>
  <si>
    <t xml:space="preserve">CAGGGTTAATACCTGGAACC</t>
  </si>
  <si>
    <t xml:space="preserve">TAGTCAGGGTTAATACCTGGAACC</t>
  </si>
  <si>
    <t xml:space="preserve">AAACGGTTCCAGGTATTAACCCTG</t>
  </si>
  <si>
    <t xml:space="preserve">GTCGAAACAGTTCTGCGAGT</t>
  </si>
  <si>
    <t xml:space="preserve">TAGTGTCGAAACAGTTCTGCGAGT</t>
  </si>
  <si>
    <t xml:space="preserve">AAACACTCGCAGAACTGTTTCGAC</t>
  </si>
  <si>
    <t xml:space="preserve">CATGTTGAACAAGCTAAGAA</t>
  </si>
  <si>
    <t xml:space="preserve">TAGTCATGTTGAACAAGCTAAGAA</t>
  </si>
  <si>
    <t xml:space="preserve">AAACTTCTTAGCTTGTTCAACATG</t>
  </si>
  <si>
    <t xml:space="preserve">PSPPH_4573</t>
  </si>
  <si>
    <t xml:space="preserve">rplO</t>
  </si>
  <si>
    <t xml:space="preserve">TCGCGACGGGAACCCGGCGC</t>
  </si>
  <si>
    <t xml:space="preserve">TAGTTCGCGACGGGAACCCGGCGC</t>
  </si>
  <si>
    <t xml:space="preserve">AAACGCGCCGGGTTCCCGTCGCGA</t>
  </si>
  <si>
    <t xml:space="preserve">CCGCTACCGATACCACGGCC</t>
  </si>
  <si>
    <t xml:space="preserve">TAGTCCGCTACCGATACCACGGCC</t>
  </si>
  <si>
    <t xml:space="preserve">AAACGGCCGTGGTATCGGTAGCGG</t>
  </si>
  <si>
    <t xml:space="preserve">ACCTTTGTGGCCACGGCCAC</t>
  </si>
  <si>
    <t xml:space="preserve">TAGTACCTTTGTGGCCACGGCCAC</t>
  </si>
  <si>
    <t xml:space="preserve">AAACGTGGCCGTGGCCACAAAGGT</t>
  </si>
  <si>
    <t xml:space="preserve">AGCAATAGTGCCACCGGAGC</t>
  </si>
  <si>
    <t xml:space="preserve">TAGTAGCAATAGTGCCACCGGAGC</t>
  </si>
  <si>
    <t xml:space="preserve">AAACGCTCCGGTGGCACTATTGCT</t>
  </si>
  <si>
    <t xml:space="preserve">PSPPH_4574</t>
  </si>
  <si>
    <t xml:space="preserve">rpmD</t>
  </si>
  <si>
    <t xml:space="preserve">TTTGATCAGCGTTACTTTAA</t>
  </si>
  <si>
    <t xml:space="preserve">TAGTTTTGATCAGCGTTACTTTAA</t>
  </si>
  <si>
    <t xml:space="preserve">AAACTTAAAGTAACGCTGATCAAA</t>
  </si>
  <si>
    <t xml:space="preserve">TCTGTGATTAGGGATGCGGC</t>
  </si>
  <si>
    <t xml:space="preserve">TAGTTCTGTGATTAGGGATGCGGC</t>
  </si>
  <si>
    <t xml:space="preserve">AAACGCCGCATCCCTAATCACAGA</t>
  </si>
  <si>
    <t xml:space="preserve">CGCGATTTTCGGGAGTATCC</t>
  </si>
  <si>
    <t xml:space="preserve">TAGTCGCGATTTTCGGGAGTATCC</t>
  </si>
  <si>
    <t xml:space="preserve">AAACGGATACTCCCGAAAATCGCG</t>
  </si>
  <si>
    <t xml:space="preserve">PSPPH_4575</t>
  </si>
  <si>
    <t xml:space="preserve">rpsE</t>
  </si>
  <si>
    <t xml:space="preserve">TGTAGCCTTCGTCGCGTTTT</t>
  </si>
  <si>
    <t xml:space="preserve">TAGTTGTAGCCTTCGTCGCGTTTT</t>
  </si>
  <si>
    <t xml:space="preserve">AAACAAAACGCGACGAAGGCTACA</t>
  </si>
  <si>
    <t xml:space="preserve">CTTTTACGGTTTTGGCCACG</t>
  </si>
  <si>
    <t xml:space="preserve">TAGTCTTTTACGGTTTTGGCCACG</t>
  </si>
  <si>
    <t xml:space="preserve">AAACCGTGGCCAAAACCGTAAAAG</t>
  </si>
  <si>
    <t xml:space="preserve">ACGCAGTGAAAGTGAAGATA</t>
  </si>
  <si>
    <t xml:space="preserve">TAGTACGCAGTGAAAGTGAAGATA</t>
  </si>
  <si>
    <t xml:space="preserve">AAACTATCTTCACTTTCACTGCGT</t>
  </si>
  <si>
    <t xml:space="preserve">CCCTTTACCATCACCCACTA</t>
  </si>
  <si>
    <t xml:space="preserve">TAGTCCCTTTACCATCACCCACTA</t>
  </si>
  <si>
    <t xml:space="preserve">AAACTAGTGGGTGATGGTAAAGGG</t>
  </si>
  <si>
    <t xml:space="preserve">PSPPH_4576</t>
  </si>
  <si>
    <t xml:space="preserve">rplR</t>
  </si>
  <si>
    <t xml:space="preserve">CAGTCGGGTAACTTTTTTGA</t>
  </si>
  <si>
    <t xml:space="preserve">TAGTCAGTCGGGTAACTTTTTTGA</t>
  </si>
  <si>
    <t xml:space="preserve">AAACTCAAAAAAGTTACCCGACTG</t>
  </si>
  <si>
    <t xml:space="preserve">CTTCTAGCTCGTGCATTTTC</t>
  </si>
  <si>
    <t xml:space="preserve">TAGTCTTCTAGCTCGTGCATTTTC</t>
  </si>
  <si>
    <t xml:space="preserve">AAACGAAAATGCACGAGCTAGAAG</t>
  </si>
  <si>
    <t xml:space="preserve">CATAAATGTGCTGCGAAGAG</t>
  </si>
  <si>
    <t xml:space="preserve">TAGTCATAAATGTGCTGCGAAGAG</t>
  </si>
  <si>
    <t xml:space="preserve">AAACCTCTTCGCAGCACATTTATG</t>
  </si>
  <si>
    <t xml:space="preserve">GCCGTCGGCCGAGATGACCT</t>
  </si>
  <si>
    <t xml:space="preserve">TAGTGCCGTCGGCCGAGATGACCT</t>
  </si>
  <si>
    <t xml:space="preserve">AAACAGGTCATCTCGGCCGACGGC</t>
  </si>
  <si>
    <t xml:space="preserve">PSPPH_4577</t>
  </si>
  <si>
    <t xml:space="preserve">rplF</t>
  </si>
  <si>
    <t xml:space="preserve">CGCCGGATGGCAGCTTAACG</t>
  </si>
  <si>
    <t xml:space="preserve">TAGTCGCCGGATGGCAGCTTAACG</t>
  </si>
  <si>
    <t xml:space="preserve">AAACCGTTAAGCTGCCATCCGGCG</t>
  </si>
  <si>
    <t xml:space="preserve">GACCCTTCACCGAAAGCAGC</t>
  </si>
  <si>
    <t xml:space="preserve">TAGTGACCCTTCACCGAAAGCAGC</t>
  </si>
  <si>
    <t xml:space="preserve">AAACGCTGCTTTCGGTGAAGGGTC</t>
  </si>
  <si>
    <t xml:space="preserve">ATCAGTTCTAGAGTGCCCTT</t>
  </si>
  <si>
    <t xml:space="preserve">TAGTATCAGTTCTAGAGTGCCCTT</t>
  </si>
  <si>
    <t xml:space="preserve">AAACAAGGGCACTCTAGAACTGAT</t>
  </si>
  <si>
    <t xml:space="preserve">TCTCAACCTCAACGGACGAA</t>
  </si>
  <si>
    <t xml:space="preserve">TAGTTCTCAACCTCAACGGACGAA</t>
  </si>
  <si>
    <t xml:space="preserve">AAACTTCGTCCGTTGAGGTTGAGA</t>
  </si>
  <si>
    <t xml:space="preserve">PSPPH_4578</t>
  </si>
  <si>
    <t xml:space="preserve">rpsH</t>
  </si>
  <si>
    <t xml:space="preserve">AACGGGTCCTGCATACTCAT</t>
  </si>
  <si>
    <t xml:space="preserve">TAGTAACGGGTCCTGCATACTCAT</t>
  </si>
  <si>
    <t xml:space="preserve">AAACATGAGTATGCAGGACCCGTT</t>
  </si>
  <si>
    <t xml:space="preserve">TTTCAGCCATCTGGGCATTA</t>
  </si>
  <si>
    <t xml:space="preserve">TAGTTTTCAGCCATCTGGGCATTA</t>
  </si>
  <si>
    <t xml:space="preserve">AAACTAATGCCCAGATGGCTGAAA</t>
  </si>
  <si>
    <t xml:space="preserve">GAAGATGGCATGCTCACGAC</t>
  </si>
  <si>
    <t xml:space="preserve">TAGTGAAGATGGCATGCTCACGAC</t>
  </si>
  <si>
    <t xml:space="preserve">AAACGTCGTGAGCATGCCATCTTC</t>
  </si>
  <si>
    <t xml:space="preserve">TGCTACAGCAACCTTCAACG</t>
  </si>
  <si>
    <t xml:space="preserve">TAGTTGCTACAGCAACCTTCAACG</t>
  </si>
  <si>
    <t xml:space="preserve">AAACCGTTGAAGGTTGCTGTAGCA</t>
  </si>
  <si>
    <t xml:space="preserve">PSPPH_4579</t>
  </si>
  <si>
    <t xml:space="preserve">rpsN</t>
  </si>
  <si>
    <t xml:space="preserve">ACGGTTTTTCATGCTCTTCT</t>
  </si>
  <si>
    <t xml:space="preserve">TAGTACGGTTTTTCATGCTCTTCT</t>
  </si>
  <si>
    <t xml:space="preserve">AAACAGAAGAGCATGAAAAACCGT</t>
  </si>
  <si>
    <t xml:space="preserve">CTTCTTGGCGTACTTGGCAA</t>
  </si>
  <si>
    <t xml:space="preserve">TAGTCTTCTTGGCGTACTTGGCAA</t>
  </si>
  <si>
    <t xml:space="preserve">AAACTTGCCAAGTACGCCAAGAAG</t>
  </si>
  <si>
    <t xml:space="preserve">GTCGCTTCCCAACGCGCTTC</t>
  </si>
  <si>
    <t xml:space="preserve">TAGTGTCGCTTCCCAACGCGCTTC</t>
  </si>
  <si>
    <t xml:space="preserve">AAACGAAGCGCGTTGGGAAGCGAC</t>
  </si>
  <si>
    <t xml:space="preserve">TGGTTGCTTCTGCAGGGCTA</t>
  </si>
  <si>
    <t xml:space="preserve">TAGTTGGTTGCTTCTGCAGGGCTA</t>
  </si>
  <si>
    <t xml:space="preserve">AAACTAGCCCTGCAGAAGCAACCA</t>
  </si>
  <si>
    <t xml:space="preserve">PSPPH_4580</t>
  </si>
  <si>
    <t xml:space="preserve">rplE</t>
  </si>
  <si>
    <t xml:space="preserve">AATCTCTTTTAGTCGTGCCA</t>
  </si>
  <si>
    <t xml:space="preserve">TAGTAATCTCTTTTAGTCGTGCCA</t>
  </si>
  <si>
    <t xml:space="preserve">AAACTGGCACGACTAAAAGAGATT</t>
  </si>
  <si>
    <t xml:space="preserve">GTTTCGGAGCGATTTCCTTC</t>
  </si>
  <si>
    <t xml:space="preserve">TAGTGTTTCGGAGCGATTTCCTTC</t>
  </si>
  <si>
    <t xml:space="preserve">AAACGAAGGAAATCGCTCCGAAAC</t>
  </si>
  <si>
    <t xml:space="preserve">AGGGTGATTTTGGTAACGCG</t>
  </si>
  <si>
    <t xml:space="preserve">TAGTAGGGTGATTTTGGTAACGCG</t>
  </si>
  <si>
    <t xml:space="preserve">AAACCGCGTTACCAAAATCACCCT</t>
  </si>
  <si>
    <t xml:space="preserve">CTTCGCCCAGACCCATGTTC</t>
  </si>
  <si>
    <t xml:space="preserve">TAGTCTTCGCCCAGACCCATGTTC</t>
  </si>
  <si>
    <t xml:space="preserve">AAACGAACATGGGTCTGGGCGAAG</t>
  </si>
  <si>
    <t xml:space="preserve">PSPPH_4581</t>
  </si>
  <si>
    <t xml:space="preserve">rplX</t>
  </si>
  <si>
    <t xml:space="preserve">GCGCTTACCTTTGTCTTTGC</t>
  </si>
  <si>
    <t xml:space="preserve">TAGTGCGCTTACCTTTGTCTTTGC</t>
  </si>
  <si>
    <t xml:space="preserve">AAACGCAAAGACAAAGGTAAGCGC</t>
  </si>
  <si>
    <t xml:space="preserve">TGATCCCACCAACGACCAGA</t>
  </si>
  <si>
    <t xml:space="preserve">TAGTTGATCCCACCAACGACCAGA</t>
  </si>
  <si>
    <t xml:space="preserve">AAACTCTGGTCGTTGGTGGGATCA</t>
  </si>
  <si>
    <t xml:space="preserve">GCTTGGTATGACGCTTCACC</t>
  </si>
  <si>
    <t xml:space="preserve">TAGTGCTTGGTATGACGCTTCACC</t>
  </si>
  <si>
    <t xml:space="preserve">AAACGGTGAAGCGTCATACCAAGC</t>
  </si>
  <si>
    <t xml:space="preserve">TGTACGCCCGACATCGGGTT</t>
  </si>
  <si>
    <t xml:space="preserve">TAGTTGTACGCCCGACATCGGGTT</t>
  </si>
  <si>
    <t xml:space="preserve">AAACAACCCGATGTCGGGCGTACA</t>
  </si>
  <si>
    <t xml:space="preserve">PSPPH_4582</t>
  </si>
  <si>
    <t xml:space="preserve">rplN</t>
  </si>
  <si>
    <t xml:space="preserve">GTTATCGGCCACATCGAGCA</t>
  </si>
  <si>
    <t xml:space="preserve">TAGTGTTATCGGCCACATCGAGCA</t>
  </si>
  <si>
    <t xml:space="preserve">AAACTGCTCGATGTGGCCGATAAC</t>
  </si>
  <si>
    <t xml:space="preserve">GCACCTTGATGCACATAACG</t>
  </si>
  <si>
    <t xml:space="preserve">TAGTGCACCTTGATGCACATAACG</t>
  </si>
  <si>
    <t xml:space="preserve">AAACCGTTATGTGCATCAAGGTGC</t>
  </si>
  <si>
    <t xml:space="preserve">GATACCAGCGTAACGACGAT</t>
  </si>
  <si>
    <t xml:space="preserve">TAGTGATACCAGCGTAACGACGAT</t>
  </si>
  <si>
    <t xml:space="preserve">AAACATCGTCGTTACGCTGGTATC</t>
  </si>
  <si>
    <t xml:space="preserve">GCGCGGAATTGCTTCCTTGA</t>
  </si>
  <si>
    <t xml:space="preserve">TAGTGCGCGGAATTGCTTCCTTGA</t>
  </si>
  <si>
    <t xml:space="preserve">AAACTCAAGGAAGCAATTCCGCGC</t>
  </si>
  <si>
    <t xml:space="preserve">PSPPH_4583</t>
  </si>
  <si>
    <t xml:space="preserve">rpsQ</t>
  </si>
  <si>
    <t xml:space="preserve">CAGCGTACGGACAGTTTTTT</t>
  </si>
  <si>
    <t xml:space="preserve">TAGTCAGCGTACGGACAGTTTTTT</t>
  </si>
  <si>
    <t xml:space="preserve">AAACAAAAAACTGTCCGTACGCTG</t>
  </si>
  <si>
    <t xml:space="preserve">CCATCTTGTCGCTGACAACA</t>
  </si>
  <si>
    <t xml:space="preserve">TAGTCCATCTTGTCGCTGACAACA</t>
  </si>
  <si>
    <t xml:space="preserve">AAACTGTTGTCAGCGACAAGATGG</t>
  </si>
  <si>
    <t xml:space="preserve">ACGCTCGATCAGAACGGTGA</t>
  </si>
  <si>
    <t xml:space="preserve">TAGTACGCTCGATCAGAACGGTGA</t>
  </si>
  <si>
    <t xml:space="preserve">AAACTCACCGTTCTGATCGAGCGT</t>
  </si>
  <si>
    <t xml:space="preserve">TAACGTATTTACCGTAGATC</t>
  </si>
  <si>
    <t xml:space="preserve">TAGTTAACGTATTTACCGTAGATC</t>
  </si>
  <si>
    <t xml:space="preserve">AAACGATCTACGGTAAATACGTTA</t>
  </si>
  <si>
    <t xml:space="preserve">PSPPH_4584</t>
  </si>
  <si>
    <t xml:space="preserve">rpmC</t>
  </si>
  <si>
    <t xml:space="preserve">GATTGAACTGGTCGCGCAGC</t>
  </si>
  <si>
    <t xml:space="preserve">TAGTGATTGAACTGGTCGCGCAGC</t>
  </si>
  <si>
    <t xml:space="preserve">AAACGCTGCGCGACCAGTTCAATC</t>
  </si>
  <si>
    <t xml:space="preserve">GCAGATGAGACTGCCCCAAC</t>
  </si>
  <si>
    <t xml:space="preserve">TAGTGCAGATGAGACTGCCCCAAC</t>
  </si>
  <si>
    <t xml:space="preserve">AAACGTTGGGGCAGTCTCATCTGC</t>
  </si>
  <si>
    <t xml:space="preserve">PSPPH_4585</t>
  </si>
  <si>
    <t xml:space="preserve">rplP</t>
  </si>
  <si>
    <t xml:space="preserve">TTGCGGAACTTCGTACGCTT</t>
  </si>
  <si>
    <t xml:space="preserve">TAGTTTGCGGAACTTCGTACGCTT</t>
  </si>
  <si>
    <t xml:space="preserve">AAACAAGCGTACGAAGTTCCGCAA</t>
  </si>
  <si>
    <t xml:space="preserve">TGCCAGACCACGGTTGTGGC</t>
  </si>
  <si>
    <t xml:space="preserve">TAGTTGCCAGACCACGGTTGTGGC</t>
  </si>
  <si>
    <t xml:space="preserve">AAACGCCACAACCGTGGTCTGGCA</t>
  </si>
  <si>
    <t xml:space="preserve">CGCTGACTCGATTTGACGAG</t>
  </si>
  <si>
    <t xml:space="preserve">TAGTCGCTGACTCGATTTGACGAG</t>
  </si>
  <si>
    <t xml:space="preserve">AAACCTCGTCAAATCGAGTCAGCG</t>
  </si>
  <si>
    <t xml:space="preserve">GCCGCCACGTTTAACGTGAC</t>
  </si>
  <si>
    <t xml:space="preserve">TAGTGCCGCCACGTTTAACGTGAC</t>
  </si>
  <si>
    <t xml:space="preserve">AAACGTCACGTTAAACGTGGCGGC</t>
  </si>
  <si>
    <t xml:space="preserve">PSPPH_4586</t>
  </si>
  <si>
    <t xml:space="preserve">rpsC</t>
  </si>
  <si>
    <t xml:space="preserve">ATTCCCAGGCGAATGCCAAT</t>
  </si>
  <si>
    <t xml:space="preserve">TAGTATTCCCAGGCGAATGCCAAT</t>
  </si>
  <si>
    <t xml:space="preserve">AAACATTGGCATTCGCCTGGGAAT</t>
  </si>
  <si>
    <t xml:space="preserve">ACCGTCTGCGTACCAGACGG</t>
  </si>
  <si>
    <t xml:space="preserve">TAGTACCGTCTGCGTACCAGACGG</t>
  </si>
  <si>
    <t xml:space="preserve">AAACCCGTCTGGTACGCAGACGGT</t>
  </si>
  <si>
    <t xml:space="preserve">CGCTTTTTAATTTGTCTTGG</t>
  </si>
  <si>
    <t xml:space="preserve">TAGTCGCTTTTTAATTTGTCTTGG</t>
  </si>
  <si>
    <t xml:space="preserve">AAACCCAAGACAAATTAAAAAGCG</t>
  </si>
  <si>
    <t xml:space="preserve">ATGGATATCGATACGGCTGA</t>
  </si>
  <si>
    <t xml:space="preserve">TAGTATGGATATCGATACGGCTGA</t>
  </si>
  <si>
    <t xml:space="preserve">AAACTCAGCCGTATCGATATCCAT</t>
  </si>
  <si>
    <t xml:space="preserve">PSPPH_4587</t>
  </si>
  <si>
    <t xml:space="preserve">rplV</t>
  </si>
  <si>
    <t xml:space="preserve">TCGAGCGCCCGACAACTTAG</t>
  </si>
  <si>
    <t xml:space="preserve">TAGTTCGAGCGCCCGACAACTTAG</t>
  </si>
  <si>
    <t xml:space="preserve">AAACCTAAGTTGTCGGGCGCTCGA</t>
  </si>
  <si>
    <t xml:space="preserve">GACCAAGCGGGCTTTCTGGG</t>
  </si>
  <si>
    <t xml:space="preserve">TAGTGACCAAGCGGGCTTTCTGGG</t>
  </si>
  <si>
    <t xml:space="preserve">AAACCCCAGAAAGCCCGCTTGGTC</t>
  </si>
  <si>
    <t xml:space="preserve">CTTCTTCCCGCGGATCTGGT</t>
  </si>
  <si>
    <t xml:space="preserve">TAGTCTTCTTCCCGCGGATCTGGT</t>
  </si>
  <si>
    <t xml:space="preserve">AAACACCAGATCCGCGGGAAGAAG</t>
  </si>
  <si>
    <t xml:space="preserve">TCTTACTGCTGAAAGCCAAC</t>
  </si>
  <si>
    <t xml:space="preserve">TAGTTCTTACTGCTGAAAGCCAAC</t>
  </si>
  <si>
    <t xml:space="preserve">AAACGTTGGCTTTCAGCAGTAAGA</t>
  </si>
  <si>
    <t xml:space="preserve">PSPPH_4588</t>
  </si>
  <si>
    <t xml:space="preserve">rpsS</t>
  </si>
  <si>
    <t xml:space="preserve">GGACCTTTTTTCAGAGAACG</t>
  </si>
  <si>
    <t xml:space="preserve">TAGTGGACCTTTTTTCAGAGAACG</t>
  </si>
  <si>
    <t xml:space="preserve">AAACCGTTCTCTGAAAAAAGGTCC</t>
  </si>
  <si>
    <t xml:space="preserve">AGTAGGTGAAGATCAATAAA</t>
  </si>
  <si>
    <t xml:space="preserve">TAGTAGTAGGTGAAGATCAATAAA</t>
  </si>
  <si>
    <t xml:space="preserve">AAACTTTATTGATCTTCACCTACT</t>
  </si>
  <si>
    <t xml:space="preserve">CGACGCGACCAGGTTTTAAC</t>
  </si>
  <si>
    <t xml:space="preserve">TAGTCGACGCGACCAGGTTTTAAC</t>
  </si>
  <si>
    <t xml:space="preserve">AAACGTTAAAACCTGGTCGCGTCG</t>
  </si>
  <si>
    <t xml:space="preserve">TCAGACCGACCATTTGTGGC</t>
  </si>
  <si>
    <t xml:space="preserve">TAGTTCAGACCGACCATTTGTGGC</t>
  </si>
  <si>
    <t xml:space="preserve">AAACGCCACAAATGGTCGGTCTGA</t>
  </si>
  <si>
    <t xml:space="preserve">PSPPH_4589</t>
  </si>
  <si>
    <t xml:space="preserve">rplB</t>
  </si>
  <si>
    <t xml:space="preserve">AAACGGCGGCCAGGGGAAGT</t>
  </si>
  <si>
    <t xml:space="preserve">TAGTAAACGGCGGCCAGGGGAAGT</t>
  </si>
  <si>
    <t xml:space="preserve">AAACACTTCCCCTGGCCGCCGTTT</t>
  </si>
  <si>
    <t xml:space="preserve">GAGCGCCTTTATGCAGCTCC</t>
  </si>
  <si>
    <t xml:space="preserve">TAGTGAGCGCCTTTATGCAGCTCC</t>
  </si>
  <si>
    <t xml:space="preserve">AAACGGAGCTGCATAAAGGCGCTC</t>
  </si>
  <si>
    <t xml:space="preserve">TTCTCGAGCAGCGGTGCGTG</t>
  </si>
  <si>
    <t xml:space="preserve">TAGTTTCTCGAGCAGCGGTGCGTG</t>
  </si>
  <si>
    <t xml:space="preserve">AAACCACGCACCGCTGCTCGAGAA</t>
  </si>
  <si>
    <t xml:space="preserve">ATGGCCACCACCGATATGAC</t>
  </si>
  <si>
    <t xml:space="preserve">TAGTATGGCCACCACCGATATGAC</t>
  </si>
  <si>
    <t xml:space="preserve">AAACGTCATATCGGTGGTGGCCAT</t>
  </si>
  <si>
    <t xml:space="preserve">PSPPH_4590</t>
  </si>
  <si>
    <t xml:space="preserve">rplW</t>
  </si>
  <si>
    <t xml:space="preserve">GAACTTTAAATACGCGTTCC</t>
  </si>
  <si>
    <t xml:space="preserve">TAGTGAACTTTAAATACGCGTTCC</t>
  </si>
  <si>
    <t xml:space="preserve">AAACGGAACGCGTATTTAAAGTTC</t>
  </si>
  <si>
    <t xml:space="preserve">TAGCCTTTTCGGAAACGTGC</t>
  </si>
  <si>
    <t xml:space="preserve">TAGTTAGCCTTTTCGGAAACGTGC</t>
  </si>
  <si>
    <t xml:space="preserve">AAACGCACGTTTCCGAAAAGGCTA</t>
  </si>
  <si>
    <t xml:space="preserve">GGCCTTCTTGATTTCCAGCT</t>
  </si>
  <si>
    <t xml:space="preserve">TAGTGGCCTTCTTGATTTCCAGCT</t>
  </si>
  <si>
    <t xml:space="preserve">AAACAGCTGGAAATCAAGAAGGCC</t>
  </si>
  <si>
    <t xml:space="preserve">CACGCTGAACAGGCTTTCGA</t>
  </si>
  <si>
    <t xml:space="preserve">TAGTCACGCTGAACAGGCTTTCGA</t>
  </si>
  <si>
    <t xml:space="preserve">AAACTCGAAAGCCTGTTCAGCGTG</t>
  </si>
  <si>
    <t xml:space="preserve">PSPPH_4591</t>
  </si>
  <si>
    <t xml:space="preserve">rplD</t>
  </si>
  <si>
    <t xml:space="preserve">TTCGCCGCCAAATGTCAGTT</t>
  </si>
  <si>
    <t xml:space="preserve">TAGTTTCGCCGCCAAATGTCAGTT</t>
  </si>
  <si>
    <t xml:space="preserve">AAACAACTGACATTTGGCGGCGAA</t>
  </si>
  <si>
    <t xml:space="preserve">CCATGTAGGCCACGACTGCC</t>
  </si>
  <si>
    <t xml:space="preserve">TAGTCCATGTAGGCCACGACTGCC</t>
  </si>
  <si>
    <t xml:space="preserve">AAACGGCAGTCGTGGCCTACATGG</t>
  </si>
  <si>
    <t xml:space="preserve">GCCACCACGAACGTCGGAAC</t>
  </si>
  <si>
    <t xml:space="preserve">TAGTGCCACCACGAACGTCGGAAC</t>
  </si>
  <si>
    <t xml:space="preserve">AAACGTTCCGACGTTCGTGGTGGC</t>
  </si>
  <si>
    <t xml:space="preserve">CAGTACCTTTCTGACGCCAA</t>
  </si>
  <si>
    <t xml:space="preserve">TAGTCAGTACCTTTCTGACGCCAA</t>
  </si>
  <si>
    <t xml:space="preserve">AAACTTGGCGTCAGAAAGGTACTG</t>
  </si>
  <si>
    <t xml:space="preserve">PSPPH_4592</t>
  </si>
  <si>
    <t xml:space="preserve">rplC</t>
  </si>
  <si>
    <t xml:space="preserve">ACCTTCTTCGGTGAAAATAC</t>
  </si>
  <si>
    <t xml:space="preserve">TAGTACCTTCTTCGGTGAAAATAC</t>
  </si>
  <si>
    <t xml:space="preserve">AAACGTATTTTCACCGAAGAAGGT</t>
  </si>
  <si>
    <t xml:space="preserve">CTCAATGACCGTGACCGGAA</t>
  </si>
  <si>
    <t xml:space="preserve">TAGTCTCAATGACCGTGACCGGAA</t>
  </si>
  <si>
    <t xml:space="preserve">AAACTTCCGGTCACGGTCATTGAG</t>
  </si>
  <si>
    <t xml:space="preserve">TTGAACTGAGTGACGCGATT</t>
  </si>
  <si>
    <t xml:space="preserve">TAGTTTGAACTGAGTGACGCGATT</t>
  </si>
  <si>
    <t xml:space="preserve">AAACAATCGCGTCACTCAGTTCAA</t>
  </si>
  <si>
    <t xml:space="preserve">ACGATAGCCATCGGTTTCTT</t>
  </si>
  <si>
    <t xml:space="preserve">TAGTACGATAGCCATCGGTTTCTT</t>
  </si>
  <si>
    <t xml:space="preserve">AAACAAGAAACCGATGGCTATCGT</t>
  </si>
  <si>
    <t xml:space="preserve">PSPPH_4593</t>
  </si>
  <si>
    <t xml:space="preserve">rpsJ</t>
  </si>
  <si>
    <t xml:space="preserve">GCAATACGCCCGTTAAAAGG</t>
  </si>
  <si>
    <t xml:space="preserve">TAGTGCAATACGCCCGTTAAAAGG</t>
  </si>
  <si>
    <t xml:space="preserve">AAACCCTTTTAACGGGCGTATTGC</t>
  </si>
  <si>
    <t xml:space="preserve">CGGATTTGCTGGTTTTGCAT</t>
  </si>
  <si>
    <t xml:space="preserve">TAGTCGGATTTGCTGGTTTTGCAT</t>
  </si>
  <si>
    <t xml:space="preserve">AAACATGCAAAACCAGCAAATCCG</t>
  </si>
  <si>
    <t xml:space="preserve">CAAAAGCCTTCAACCTGATA</t>
  </si>
  <si>
    <t xml:space="preserve">TAGTCAAAAGCCTTCAACCTGATA</t>
  </si>
  <si>
    <t xml:space="preserve">AAACTATCAGGTTGAAGGCTTTTG</t>
  </si>
  <si>
    <t xml:space="preserve">TTGATTGGTCGATCAGGCGA</t>
  </si>
  <si>
    <t xml:space="preserve">TAGTTTGATTGGTCGATCAGGCGA</t>
  </si>
  <si>
    <t xml:space="preserve">AAACTCGCCTGATCGACCAATCAA</t>
  </si>
  <si>
    <t xml:space="preserve">PSPPH_4594</t>
  </si>
  <si>
    <t xml:space="preserve">tuf</t>
  </si>
  <si>
    <t xml:space="preserve">GCCAACGTTGACGTGCGGGA</t>
  </si>
  <si>
    <t xml:space="preserve">TAGTGCCAACGTTGACGTGCGGGA</t>
  </si>
  <si>
    <t xml:space="preserve">AAACTCCCGCACGTCAACGTTGGC</t>
  </si>
  <si>
    <t xml:space="preserve">ACCGTGGTCAACGTGACCAA</t>
  </si>
  <si>
    <t xml:space="preserve">TAGTACCGTGGTCAACGTGACCAA</t>
  </si>
  <si>
    <t xml:space="preserve">AAACTTGGTCACGTTGACCACGGT</t>
  </si>
  <si>
    <t xml:space="preserve">GCAGACGCGAGTCAGAGCAG</t>
  </si>
  <si>
    <t xml:space="preserve">TAGTGCAGACGCGAGTCAGAGCAG</t>
  </si>
  <si>
    <t xml:space="preserve">AAACCTGCTCTGACTCGCGTCTGC</t>
  </si>
  <si>
    <t xml:space="preserve">ACGAGCCGAACCGAAAACTT</t>
  </si>
  <si>
    <t xml:space="preserve">TAGTACGAGCCGAACCGAAAACTT</t>
  </si>
  <si>
    <t xml:space="preserve">AAACAAGTTTTCGGTTCGGCTCGT</t>
  </si>
  <si>
    <t xml:space="preserve">PSPPH_4595</t>
  </si>
  <si>
    <t xml:space="preserve">fusA</t>
  </si>
  <si>
    <t xml:space="preserve">ATGTTACGGTAGCGGCCAAT</t>
  </si>
  <si>
    <t xml:space="preserve">TAGTATGTTACGGTAGCGGCCAAT</t>
  </si>
  <si>
    <t xml:space="preserve">AAACATTGGCCGCTACCGTAACAT</t>
  </si>
  <si>
    <t xml:space="preserve">AAGGACGCGCTCGGTGGTGG</t>
  </si>
  <si>
    <t xml:space="preserve">TAGTAAGGACGCGCTCGGTGGTGG</t>
  </si>
  <si>
    <t xml:space="preserve">AAACCCACCACCGAGCGCGTCCTT</t>
  </si>
  <si>
    <t xml:space="preserve">GCCCATTTTGTGGCTTTTGC</t>
  </si>
  <si>
    <t xml:space="preserve">TAGTGCCCATTTTGTGGCTTTTGC</t>
  </si>
  <si>
    <t xml:space="preserve">AAACGCAAAAGCCACAAAATGGGC</t>
  </si>
  <si>
    <t xml:space="preserve">AACCATCCAGTCCGTGGTCG</t>
  </si>
  <si>
    <t xml:space="preserve">TAGTAACCATCCAGTCCGTGGTCG</t>
  </si>
  <si>
    <t xml:space="preserve">AAACCGACCACGGACTGGATGGTT</t>
  </si>
  <si>
    <t xml:space="preserve">PSPPH_4596</t>
  </si>
  <si>
    <t xml:space="preserve">rpsG</t>
  </si>
  <si>
    <t xml:space="preserve">TGCTACGCGTCTTCTTGGCA</t>
  </si>
  <si>
    <t xml:space="preserve">TAGTTGCTACGCGTCTTCTTGGCA</t>
  </si>
  <si>
    <t xml:space="preserve">AAACTGCCAAGAAGACGCGTAGCA</t>
  </si>
  <si>
    <t xml:space="preserve">ATCGTCAAGCACTTCGCGCT</t>
  </si>
  <si>
    <t xml:space="preserve">TAGTATCGTCAAGCACTTCGCGCT</t>
  </si>
  <si>
    <t xml:space="preserve">AAACAGCGCGAAGTGCTTGACGAT</t>
  </si>
  <si>
    <t xml:space="preserve">AGGATCTGGCTGCCGTATTT</t>
  </si>
  <si>
    <t xml:space="preserve">TAGTAGGATCTGGCTGCCGTATTT</t>
  </si>
  <si>
    <t xml:space="preserve">AAACAAATACGGCAGCCAGATCCT</t>
  </si>
  <si>
    <t xml:space="preserve">CGTGGTTCATGAACTTGGCC</t>
  </si>
  <si>
    <t xml:space="preserve">TAGTCGTGGTTCATGAACTTGGCC</t>
  </si>
  <si>
    <t xml:space="preserve">AAACGGCCAAGTTCATGAACCACG</t>
  </si>
  <si>
    <t xml:space="preserve">PSPPH_4597</t>
  </si>
  <si>
    <t xml:space="preserve">rpsL</t>
  </si>
  <si>
    <t xml:space="preserve">TACGCGGCTGACGTACCAGC</t>
  </si>
  <si>
    <t xml:space="preserve">TAGTTACGCGGCTGACGTACCAGC</t>
  </si>
  <si>
    <t xml:space="preserve">AAACGCTGGTACGTCAGCCGCGTA</t>
  </si>
  <si>
    <t xml:space="preserve">GTTCTGCAGCGCAGGCACGT</t>
  </si>
  <si>
    <t xml:space="preserve">TAGTGTTCTGCAGCGCAGGCACGT</t>
  </si>
  <si>
    <t xml:space="preserve">AAACACGTGCCTGCGCTGCAGAAC</t>
  </si>
  <si>
    <t xml:space="preserve">TGCACACACCGCGACGTTGC</t>
  </si>
  <si>
    <t xml:space="preserve">TAGTTGCACACACCGCGACGTTGC</t>
  </si>
  <si>
    <t xml:space="preserve">AAACGCAACGTCGCGGTGTGTGCA</t>
  </si>
  <si>
    <t xml:space="preserve">GTTAGGTTTTTTCGGCGTGG</t>
  </si>
  <si>
    <t xml:space="preserve">TAGTGTTAGGTTTTTTCGGCGTGG</t>
  </si>
  <si>
    <t xml:space="preserve">AAACCCACGCCGAAAAAACCTAAC</t>
  </si>
  <si>
    <t xml:space="preserve">PSPPH_4598</t>
  </si>
  <si>
    <t xml:space="preserve">rpoC</t>
  </si>
  <si>
    <t xml:space="preserve">CAAATTCAGTAGGTCTTTCA</t>
  </si>
  <si>
    <t xml:space="preserve">TAGTCAAATTCAGTAGGTCTTTCA</t>
  </si>
  <si>
    <t xml:space="preserve">AAACTGAAAGACCTACTGAATTTG</t>
  </si>
  <si>
    <t xml:space="preserve">CGAACTCTTCGACTTGACCC</t>
  </si>
  <si>
    <t xml:space="preserve">TAGTCGAACTCTTCGACTTGACCC</t>
  </si>
  <si>
    <t xml:space="preserve">AAACGGGTCAAGTCGAAGAGTTCG</t>
  </si>
  <si>
    <t xml:space="preserve">CAGGCGATGCAAGTCCGATA</t>
  </si>
  <si>
    <t xml:space="preserve">TAGTCAGGCGATGCAAGTCCGATA</t>
  </si>
  <si>
    <t xml:space="preserve">AAACTATCGGACTTGCATCGCCTG</t>
  </si>
  <si>
    <t xml:space="preserve">CTTCACCAAACGACCAAGAG</t>
  </si>
  <si>
    <t xml:space="preserve">TAGTCTTCACCAAACGACCAAGAG</t>
  </si>
  <si>
    <t xml:space="preserve">AAACCTCTTGGTCGTTTGGTGAAG</t>
  </si>
  <si>
    <t xml:space="preserve">PSPPH_4599</t>
  </si>
  <si>
    <t xml:space="preserve">rpoB</t>
  </si>
  <si>
    <t xml:space="preserve">GCAACTTGCTAAAGTCCTTG</t>
  </si>
  <si>
    <t xml:space="preserve">TAGTGCAACTTGCTAAAGTCCTTG</t>
  </si>
  <si>
    <t xml:space="preserve">AAACCAAGGACTTTAGCAAGTTGC</t>
  </si>
  <si>
    <t xml:space="preserve">TACGGCACATCCATTACGTC</t>
  </si>
  <si>
    <t xml:space="preserve">TAGTTACGGCACATCCATTACGTC</t>
  </si>
  <si>
    <t xml:space="preserve">AAACGACGTAATGGATGTGCCGTA</t>
  </si>
  <si>
    <t xml:space="preserve">GCGATACGAATCCAGCTGGA</t>
  </si>
  <si>
    <t xml:space="preserve">TAGTGCGATACGAATCCAGCTGGA</t>
  </si>
  <si>
    <t xml:space="preserve">AAACTCCAGCTGGATTCGTATCGC</t>
  </si>
  <si>
    <t xml:space="preserve">CTTTGGTCGCTCCCGCCTGC</t>
  </si>
  <si>
    <t xml:space="preserve">TAGTCTTTGGTCGCTCCCGCCTGC</t>
  </si>
  <si>
    <t xml:space="preserve">AAACGCAGGCGGGAGCGACCAAAG</t>
  </si>
  <si>
    <t xml:space="preserve">PSPPH_4600</t>
  </si>
  <si>
    <t xml:space="preserve">rplL</t>
  </si>
  <si>
    <t xml:space="preserve">AAGGATATCGTCTTGAGAGA</t>
  </si>
  <si>
    <t xml:space="preserve">TAGTAAGGATATCGTCTTGAGAGA</t>
  </si>
  <si>
    <t xml:space="preserve">AAACTCTCTCAAGACGATATCCTT</t>
  </si>
  <si>
    <t xml:space="preserve">CAGAACGGACATTTCAGCTA</t>
  </si>
  <si>
    <t xml:space="preserve">TAGTCAGAACGGACATTTCAGCTA</t>
  </si>
  <si>
    <t xml:space="preserve">AAACTAGCTGAAATGTCCGTTCTG</t>
  </si>
  <si>
    <t xml:space="preserve">ACCAGCCGAACCGGCAGCAG</t>
  </si>
  <si>
    <t xml:space="preserve">TAGTACCAGCCGAACCGGCAGCAG</t>
  </si>
  <si>
    <t xml:space="preserve">AAACCTGCTGCCGGTTCGGCTGGT</t>
  </si>
  <si>
    <t xml:space="preserve">ACAACAGCAGCAGCAACAGC</t>
  </si>
  <si>
    <t xml:space="preserve">TAGTACAACAGCAGCAGCAACAGC</t>
  </si>
  <si>
    <t xml:space="preserve">AAACGCTGTTGCTGCTGCTGTTGT</t>
  </si>
  <si>
    <t xml:space="preserve">PSPPH_4601</t>
  </si>
  <si>
    <t xml:space="preserve">rplJ</t>
  </si>
  <si>
    <t xml:space="preserve">TCTTCGAGTTTAATTGCCAC</t>
  </si>
  <si>
    <t xml:space="preserve">TAGTTCTTCGAGTTTAATTGCCAC</t>
  </si>
  <si>
    <t xml:space="preserve">AAACGTGGCAATTAAACTCGAAGA</t>
  </si>
  <si>
    <t xml:space="preserve">CTCGTTGACTTCAGCGACGA</t>
  </si>
  <si>
    <t xml:space="preserve">TAGTCTCGTTGACTTCAGCGACGA</t>
  </si>
  <si>
    <t xml:space="preserve">AAACTCGTCGCTGAAGTCAACGAG</t>
  </si>
  <si>
    <t xml:space="preserve">GACAGCGGACAGACCAGCTT</t>
  </si>
  <si>
    <t xml:space="preserve">TAGTGACAGCGGACAGACCAGCTT</t>
  </si>
  <si>
    <t xml:space="preserve">AAACAAGCTGGTCTGTCCGCTGTC</t>
  </si>
  <si>
    <t xml:space="preserve">AGCGCCGACCGTCACACCAC</t>
  </si>
  <si>
    <t xml:space="preserve">TAGTAGCGCCGACCGTCACACCAC</t>
  </si>
  <si>
    <t xml:space="preserve">AAACGTGGTGTGACGGTCGGCGCT</t>
  </si>
  <si>
    <t xml:space="preserve">PSPPH_4602</t>
  </si>
  <si>
    <t xml:space="preserve">rplA</t>
  </si>
  <si>
    <t xml:space="preserve">GGCGATTGCCTTTTGACGCT</t>
  </si>
  <si>
    <t xml:space="preserve">TAGTGGCGATTGCCTTTTGACGCT</t>
  </si>
  <si>
    <t xml:space="preserve">AAACAGCGTCAAAAGGCAATCGCC</t>
  </si>
  <si>
    <t xml:space="preserve">CTTACCAGCTTCGATCTTGC</t>
  </si>
  <si>
    <t xml:space="preserve">TAGTCTTACCAGCTTCGATCTTGC</t>
  </si>
  <si>
    <t xml:space="preserve">AAACGCAAGATCGAAGCTGGTAAG</t>
  </si>
  <si>
    <t xml:space="preserve">CAGCTCGGTCAGCAGGGCTG</t>
  </si>
  <si>
    <t xml:space="preserve">TAGTCAGCTCGGTCAGCAGGGCTG</t>
  </si>
  <si>
    <t xml:space="preserve">AAACCAGCCCTGCTGACCGAGCTG</t>
  </si>
  <si>
    <t xml:space="preserve">TACAGACTCGCTGAACTTGA</t>
  </si>
  <si>
    <t xml:space="preserve">TAGTTACAGACTCGCTGAACTTGA</t>
  </si>
  <si>
    <t xml:space="preserve">AAACTCAAGTTCAGCGAGTCTGTA</t>
  </si>
  <si>
    <t xml:space="preserve">PSPPH_4603</t>
  </si>
  <si>
    <t xml:space="preserve">rplK</t>
  </si>
  <si>
    <t xml:space="preserve">GATGTATGCGGTTATCTTCT</t>
  </si>
  <si>
    <t xml:space="preserve">TAGTGATGTATGCGGTTATCTTCT</t>
  </si>
  <si>
    <t xml:space="preserve">AAACAGAAGATAACCGCATACATC</t>
  </si>
  <si>
    <t xml:space="preserve">CGGGCTTGGGTTAGCCTGAG</t>
  </si>
  <si>
    <t xml:space="preserve">TAGTCGGGCTTGGGTTAGCCTGAG</t>
  </si>
  <si>
    <t xml:space="preserve">AAACCTCAGGCTAACCCAAGCCCG</t>
  </si>
  <si>
    <t xml:space="preserve">CCCAGAGCAGGACCAACTGG</t>
  </si>
  <si>
    <t xml:space="preserve">TAGTCCCAGAGCAGGACCAACTGG</t>
  </si>
  <si>
    <t xml:space="preserve">AAACCCAGTTGGTCCTGCTCTGGG</t>
  </si>
  <si>
    <t xml:space="preserve">AGGCTCAATACCCTGAGTAC</t>
  </si>
  <si>
    <t xml:space="preserve">TAGTAGGCTCAATACCCTGAGTAC</t>
  </si>
  <si>
    <t xml:space="preserve">AAACGTACTCAGGGTATTGAGCCT</t>
  </si>
  <si>
    <t xml:space="preserve">PSPPH_4604</t>
  </si>
  <si>
    <t xml:space="preserve">nusG</t>
  </si>
  <si>
    <t xml:space="preserve">ACGTACCAACGCTTAGCCAC</t>
  </si>
  <si>
    <t xml:space="preserve">TAGTACGTACCAACGCTTAGCCAC</t>
  </si>
  <si>
    <t xml:space="preserve">AAACGTGGCTAAGCGTTGGTACGT</t>
  </si>
  <si>
    <t xml:space="preserve">ATTTCAACCACTTCTTCAGT</t>
  </si>
  <si>
    <t xml:space="preserve">TAGTATTTCAACCACTTCTTCAGT</t>
  </si>
  <si>
    <t xml:space="preserve">AAACACTGAAGAAGTGGTTGAAAT</t>
  </si>
  <si>
    <t xml:space="preserve">TGCGTTCGCTTTTGCGCTTC</t>
  </si>
  <si>
    <t xml:space="preserve">TAGTTGCGTTCGCTTTTGCGCTTC</t>
  </si>
  <si>
    <t xml:space="preserve">AAACGAAGCGCAAAAGCGAACGCA</t>
  </si>
  <si>
    <t xml:space="preserve">TCTGAACAAGCACATAACCT</t>
  </si>
  <si>
    <t xml:space="preserve">TAGTTCTGAACAAGCACATAACCT</t>
  </si>
  <si>
    <t xml:space="preserve">AAACAGGTTATGTGCTTGTTCAGA</t>
  </si>
  <si>
    <t xml:space="preserve">PSPPH_4605</t>
  </si>
  <si>
    <t xml:space="preserve">secE</t>
  </si>
  <si>
    <t xml:space="preserve">GAGTCTGATGCTTCAGCCTT</t>
  </si>
  <si>
    <t xml:space="preserve">TAGTGAGTCTGATGCTTCAGCCTT</t>
  </si>
  <si>
    <t xml:space="preserve">AAACAAGGCTGAAGCATCAGACTC</t>
  </si>
  <si>
    <t xml:space="preserve">CGACAACCAAAACGACTACC</t>
  </si>
  <si>
    <t xml:space="preserve">TAGTCGACAACCAAAACGACTACC</t>
  </si>
  <si>
    <t xml:space="preserve">AAACGGTAGTCGTTTTGGTTGTCG</t>
  </si>
  <si>
    <t xml:space="preserve">GCAAGAACGCGGTACAGGAT</t>
  </si>
  <si>
    <t xml:space="preserve">TAGTGCAAGAACGCGGTACAGGAT</t>
  </si>
  <si>
    <t xml:space="preserve">AAACATCCTGTACCGCGTTCTTGC</t>
  </si>
  <si>
    <t xml:space="preserve">CAGCTGCAGCAGCAATCACA</t>
  </si>
  <si>
    <t xml:space="preserve">TAGTCAGCTGCAGCAGCAATCACA</t>
  </si>
  <si>
    <t xml:space="preserve">AAACTGTGATTGCTGCTGCAGCTG</t>
  </si>
  <si>
    <t xml:space="preserve">PSPPH_4610</t>
  </si>
  <si>
    <t xml:space="preserve">CTGATGCCAGAGGTAATAAA</t>
  </si>
  <si>
    <t xml:space="preserve">TAGTCTGATGCCAGAGGTAATAAA</t>
  </si>
  <si>
    <t xml:space="preserve">AAACTTTATTACCTCTGGCATCAG</t>
  </si>
  <si>
    <t xml:space="preserve">ATGACCTCTTTAGCCCTGAG</t>
  </si>
  <si>
    <t xml:space="preserve">TAGTATGACCTCTTTAGCCCTGAG</t>
  </si>
  <si>
    <t xml:space="preserve">AAACCTCAGGGCTAAAGAGGTCAT</t>
  </si>
  <si>
    <t xml:space="preserve">GGAGCGCGATGCAACGACAA</t>
  </si>
  <si>
    <t xml:space="preserve">TAGTGGAGCGCGATGCAACGACAA</t>
  </si>
  <si>
    <t xml:space="preserve">AAACTTGTCGTTGCATCGCGCTCC</t>
  </si>
  <si>
    <t xml:space="preserve">AGCAGGCGAATATCCTGCTG</t>
  </si>
  <si>
    <t xml:space="preserve">TAGTAGCAGGCGAATATCCTGCTG</t>
  </si>
  <si>
    <t xml:space="preserve">AAACCAGCAGGATATTCGCCTGCT</t>
  </si>
  <si>
    <t xml:space="preserve">PSPPH_4611</t>
  </si>
  <si>
    <t xml:space="preserve">GTGCATCAGCAAGGCAGCAT</t>
  </si>
  <si>
    <t xml:space="preserve">TAGTGTGCATCAGCAAGGCAGCAT</t>
  </si>
  <si>
    <t xml:space="preserve">AAACATGCTGCCTTGCTGATGCAC</t>
  </si>
  <si>
    <t xml:space="preserve">CAGTCAGTGAATGATGTGTC</t>
  </si>
  <si>
    <t xml:space="preserve">TAGTCAGTCAGTGAATGATGTGTC</t>
  </si>
  <si>
    <t xml:space="preserve">AAACGACACATCATTCACTGACTG</t>
  </si>
  <si>
    <t xml:space="preserve">CACTACGCACACTCACCAGA</t>
  </si>
  <si>
    <t xml:space="preserve">TAGTCACTACGCACACTCACCAGA</t>
  </si>
  <si>
    <t xml:space="preserve">AAACTCTGGTGAGTGTGCGTAGTG</t>
  </si>
  <si>
    <t xml:space="preserve">GACAAGCCTCGCCGTTTCTT</t>
  </si>
  <si>
    <t xml:space="preserve">TAGTGACAAGCCTCGCCGTTTCTT</t>
  </si>
  <si>
    <t xml:space="preserve">AAACAAGAAACGGCGAGGCTTGTC</t>
  </si>
  <si>
    <t xml:space="preserve">PSPPH_4612</t>
  </si>
  <si>
    <t xml:space="preserve">ATCGGCAAGAAGCTTTAACA</t>
  </si>
  <si>
    <t xml:space="preserve">TAGTATCGGCAAGAAGCTTTAACA</t>
  </si>
  <si>
    <t xml:space="preserve">AAACTGTTAAAGCTTCTTGCCGAT</t>
  </si>
  <si>
    <t xml:space="preserve">CGCACTGCGGCTTATGCCGA</t>
  </si>
  <si>
    <t xml:space="preserve">TAGTCGCACTGCGGCTTATGCCGA</t>
  </si>
  <si>
    <t xml:space="preserve">AAACTCGGCATAAGCCGCAGTGCG</t>
  </si>
  <si>
    <t xml:space="preserve">CTTTATGCACCTCTATGCCC</t>
  </si>
  <si>
    <t xml:space="preserve">TAGTCTTTATGCACCTCTATGCCC</t>
  </si>
  <si>
    <t xml:space="preserve">AAACGGGCATAGAGGTGCATAAAG</t>
  </si>
  <si>
    <t xml:space="preserve">GCGGGGCTTAAAAGCGAAAT</t>
  </si>
  <si>
    <t xml:space="preserve">TAGTGCGGGGCTTAAAAGCGAAAT</t>
  </si>
  <si>
    <t xml:space="preserve">AAACATTTCGCTTTTAAGCCCCGC</t>
  </si>
  <si>
    <t xml:space="preserve">PSPPH_4618</t>
  </si>
  <si>
    <t xml:space="preserve">mmsA2</t>
  </si>
  <si>
    <t xml:space="preserve">CAGGTGTTGAATGCTGCTCA</t>
  </si>
  <si>
    <t xml:space="preserve">TAGTCAGGTGTTGAATGCTGCTCA</t>
  </si>
  <si>
    <t xml:space="preserve">AAACTGAGCAGCATTCAACACCTG</t>
  </si>
  <si>
    <t xml:space="preserve">CTTCAGAAATGAACTCGCCG</t>
  </si>
  <si>
    <t xml:space="preserve">TAGTCTTCAGAAATGAACTCGCCG</t>
  </si>
  <si>
    <t xml:space="preserve">AAACCGGCGAGTTCATTTCTGAAG</t>
  </si>
  <si>
    <t xml:space="preserve">GATTGAACACATCTGCGGTG</t>
  </si>
  <si>
    <t xml:space="preserve">TAGTGATTGAACACATCTGCGGTG</t>
  </si>
  <si>
    <t xml:space="preserve">AAACCACCGCAGATGTGTTCAATC</t>
  </si>
  <si>
    <t xml:space="preserve">TGGACAACCTGGCCGGTCGA</t>
  </si>
  <si>
    <t xml:space="preserve">TAGTTGGACAACCTGGCCGGTCGA</t>
  </si>
  <si>
    <t xml:space="preserve">AAACTCGACCGGCCAGGTTGTCCA</t>
  </si>
  <si>
    <t xml:space="preserve">PSPPH_4619</t>
  </si>
  <si>
    <t xml:space="preserve">GACGCTTCGAACATATTCAT</t>
  </si>
  <si>
    <t xml:space="preserve">TAGTGACGCTTCGAACATATTCAT</t>
  </si>
  <si>
    <t xml:space="preserve">AAACATGAATATGTTCGAAGCGTC</t>
  </si>
  <si>
    <t xml:space="preserve">AGCTTCAACTGACTGGCTAC</t>
  </si>
  <si>
    <t xml:space="preserve">TAGTAGCTTCAACTGACTGGCTAC</t>
  </si>
  <si>
    <t xml:space="preserve">AAACGTAGCCAGTCAGTTGAAGCT</t>
  </si>
  <si>
    <t xml:space="preserve">CGCCGTGTAAGGCATCCAGT</t>
  </si>
  <si>
    <t xml:space="preserve">TAGTCGCCGTGTAAGGCATCCAGT</t>
  </si>
  <si>
    <t xml:space="preserve">AAACACTGGATGCCTTACACGGCG</t>
  </si>
  <si>
    <t xml:space="preserve">CGACCATGCGCGGGTCACGC</t>
  </si>
  <si>
    <t xml:space="preserve">TAGTCGACCATGCGCGGGTCACGC</t>
  </si>
  <si>
    <t xml:space="preserve">AAACGCGTGACCCGCGCATGGTCG</t>
  </si>
  <si>
    <t xml:space="preserve">PSPPH_4620</t>
  </si>
  <si>
    <t xml:space="preserve">GCGACAGCGGATCGGGGCGA</t>
  </si>
  <si>
    <t xml:space="preserve">TAGTGCGACAGCGGATCGGGGCGA</t>
  </si>
  <si>
    <t xml:space="preserve">AAACTCGCCCCGATCCGCTGTCGC</t>
  </si>
  <si>
    <t xml:space="preserve">TTTTGAAAATACGCAGCAGG</t>
  </si>
  <si>
    <t xml:space="preserve">TAGTTTTTGAAAATACGCAGCAGG</t>
  </si>
  <si>
    <t xml:space="preserve">AAACCCTGCTGCGTATTTTCAAAA</t>
  </si>
  <si>
    <t xml:space="preserve">GCCGAGCACGCTTTCGGCCG</t>
  </si>
  <si>
    <t xml:space="preserve">TAGTGCCGAGCACGCTTTCGGCCG</t>
  </si>
  <si>
    <t xml:space="preserve">AAACCGGCCGAAAGCGTGCTCGGC</t>
  </si>
  <si>
    <t xml:space="preserve">TTTGCTGGCTGATCGCCGAC</t>
  </si>
  <si>
    <t xml:space="preserve">TAGTTTTGCTGGCTGATCGCCGAC</t>
  </si>
  <si>
    <t xml:space="preserve">AAACGTCGGCGATCAGCCAGCAAA</t>
  </si>
  <si>
    <t xml:space="preserve">PSPPH_4621</t>
  </si>
  <si>
    <t xml:space="preserve">GTCGAGTGTTTCAGGCTGCA</t>
  </si>
  <si>
    <t xml:space="preserve">TAGTGTCGAGTGTTTCAGGCTGCA</t>
  </si>
  <si>
    <t xml:space="preserve">AAACTGCAGCCTGAAACACTCGAC</t>
  </si>
  <si>
    <t xml:space="preserve">GATCATTCAGGCCGTAAATC</t>
  </si>
  <si>
    <t xml:space="preserve">TAGTGATCATTCAGGCCGTAAATC</t>
  </si>
  <si>
    <t xml:space="preserve">AAACGATTTACGGCCTGAATGATC</t>
  </si>
  <si>
    <t xml:space="preserve">ATATGGCCGTTAAAGGTCTT</t>
  </si>
  <si>
    <t xml:space="preserve">TAGTATATGGCCGTTAAAGGTCTT</t>
  </si>
  <si>
    <t xml:space="preserve">AAACAAGACCTTTAACGGCCATAT</t>
  </si>
  <si>
    <t xml:space="preserve">CGAAGCTAGCGAGGACATGC</t>
  </si>
  <si>
    <t xml:space="preserve">TAGTCGAAGCTAGCGAGGACATGC</t>
  </si>
  <si>
    <t xml:space="preserve">AAACGCATGTCCTCGCTAGCTTCG</t>
  </si>
  <si>
    <t xml:space="preserve">PSPPH_4622</t>
  </si>
  <si>
    <t xml:space="preserve">GCGGGGACTTCAAGGGTCAT</t>
  </si>
  <si>
    <t xml:space="preserve">TAGTGCGGGGACTTCAAGGGTCAT</t>
  </si>
  <si>
    <t xml:space="preserve">AAACATGACCCTTGAAGTCCCCGC</t>
  </si>
  <si>
    <t xml:space="preserve">ACGAATACGGCTTGCGGGCT</t>
  </si>
  <si>
    <t xml:space="preserve">TAGTACGAATACGGCTTGCGGGCT</t>
  </si>
  <si>
    <t xml:space="preserve">AAACAGCCCGCAAGCCGTATTCGT</t>
  </si>
  <si>
    <t xml:space="preserve">CAAATTCATCTTCGGCTGCC</t>
  </si>
  <si>
    <t xml:space="preserve">TAGTCAAATTCATCTTCGGCTGCC</t>
  </si>
  <si>
    <t xml:space="preserve">AAACGGCAGCCGAAGATGAATTTG</t>
  </si>
  <si>
    <t xml:space="preserve">GGTGCCCTTGAAGCCGTGGC</t>
  </si>
  <si>
    <t xml:space="preserve">TAGTGGTGCCCTTGAAGCCGTGGC</t>
  </si>
  <si>
    <t xml:space="preserve">AAACGCCACGGCTTCAAGGGCACC</t>
  </si>
  <si>
    <t xml:space="preserve">PSPPH_4623</t>
  </si>
  <si>
    <t xml:space="preserve">CAAGGGCCGACCAGGGTAAA</t>
  </si>
  <si>
    <t xml:space="preserve">TAGTCAAGGGCCGACCAGGGTAAA</t>
  </si>
  <si>
    <t xml:space="preserve">AAACTTTACCCTGGTCGGCCCTTG</t>
  </si>
  <si>
    <t xml:space="preserve">GGGTGATGAAGCGGCTCTTG</t>
  </si>
  <si>
    <t xml:space="preserve">TAGTGGGTGATGAAGCGGCTCTTG</t>
  </si>
  <si>
    <t xml:space="preserve">AAACCAAGAGCCGCTTCATCACCC</t>
  </si>
  <si>
    <t xml:space="preserve">GCTGGCGATGGGGGCGGCGA</t>
  </si>
  <si>
    <t xml:space="preserve">TAGTGCTGGCGATGGGGGCGGCGA</t>
  </si>
  <si>
    <t xml:space="preserve">AAACTCGCCGCCCCCATCGCCAGC</t>
  </si>
  <si>
    <t xml:space="preserve">TAAACGCCTGGGCGTCGGCC</t>
  </si>
  <si>
    <t xml:space="preserve">TAGTTAAACGCCTGGGCGTCGGCC</t>
  </si>
  <si>
    <t xml:space="preserve">AAACGGCCGACGCCCAGGCGTTTA</t>
  </si>
  <si>
    <t xml:space="preserve">PSPPH_4624</t>
  </si>
  <si>
    <t xml:space="preserve">GTAGACGCGCAGGTATCGCG</t>
  </si>
  <si>
    <t xml:space="preserve">TAGTGTAGACGCGCAGGTATCGCG</t>
  </si>
  <si>
    <t xml:space="preserve">AAACCGCGATACCTGCGCGTCTAC</t>
  </si>
  <si>
    <t xml:space="preserve">CGGGATACCGTTTAGTGATG</t>
  </si>
  <si>
    <t xml:space="preserve">TAGTCGGGATACCGTTTAGTGATG</t>
  </si>
  <si>
    <t xml:space="preserve">AAACCATCACTAAACGGTATCCCG</t>
  </si>
  <si>
    <t xml:space="preserve">AGCGTCGTTGGCCAGGCAGC</t>
  </si>
  <si>
    <t xml:space="preserve">TAGTAGCGTCGTTGGCCAGGCAGC</t>
  </si>
  <si>
    <t xml:space="preserve">AAACGCTGCCTGGCCAACGACGCT</t>
  </si>
  <si>
    <t xml:space="preserve">TTTCGCCGGGCTGAATCGTC</t>
  </si>
  <si>
    <t xml:space="preserve">TAGTTTTCGCCGGGCTGAATCGTC</t>
  </si>
  <si>
    <t xml:space="preserve">AAACGACGATTCAGCCCGGCGAAA</t>
  </si>
  <si>
    <t xml:space="preserve">PSPPH_4625</t>
  </si>
  <si>
    <t xml:space="preserve">GCGCGCGATTGCTGGCCGCG</t>
  </si>
  <si>
    <t xml:space="preserve">TAGTGCGCGCGATTGCTGGCCGCG</t>
  </si>
  <si>
    <t xml:space="preserve">AAACCGCGGCCAGCAATCGCGCGC</t>
  </si>
  <si>
    <t xml:space="preserve">TAAAGGGGAACACCACAACA</t>
  </si>
  <si>
    <t xml:space="preserve">TAGTTAAAGGGGAACACCACAACA</t>
  </si>
  <si>
    <t xml:space="preserve">AAACTGTTGTGGTGTTCCCCTTTA</t>
  </si>
  <si>
    <t xml:space="preserve">GCCGCAGACCAGTGTCAGGA</t>
  </si>
  <si>
    <t xml:space="preserve">TAGTGCCGCAGACCAGTGTCAGGA</t>
  </si>
  <si>
    <t xml:space="preserve">AAACTCCTGACACTGGTCTGCGGC</t>
  </si>
  <si>
    <t xml:space="preserve">TCACCCAAGGGTTGAGCCCC</t>
  </si>
  <si>
    <t xml:space="preserve">TAGTTCACCCAAGGGTTGAGCCCC</t>
  </si>
  <si>
    <t xml:space="preserve">AAACGGGGCTCAACCCTTGGGTGA</t>
  </si>
  <si>
    <t xml:space="preserve">PSPPH_4626</t>
  </si>
  <si>
    <t xml:space="preserve">CATAGAAAATGTTGCTCAGC</t>
  </si>
  <si>
    <t xml:space="preserve">TAGTCATAGAAAATGTTGCTCAGC</t>
  </si>
  <si>
    <t xml:space="preserve">AAACGCTGAGCAACATTTTCTATG</t>
  </si>
  <si>
    <t xml:space="preserve">GGGGGTTCCGCAGCGGACCA</t>
  </si>
  <si>
    <t xml:space="preserve">TAGTGGGGGTTCCGCAGCGGACCA</t>
  </si>
  <si>
    <t xml:space="preserve">AAACTGGTCCGCTGCGGAACCCCC</t>
  </si>
  <si>
    <t xml:space="preserve">CCCAGCGCCACCAGCAGCAA</t>
  </si>
  <si>
    <t xml:space="preserve">TAGTCCCAGCGCCACCAGCAGCAA</t>
  </si>
  <si>
    <t xml:space="preserve">AAACTTGCTGCTGGTGGCGCTGGG</t>
  </si>
  <si>
    <t xml:space="preserve">GCATCATGCCTTCCTGACCC</t>
  </si>
  <si>
    <t xml:space="preserve">TAGTGCATCATGCCTTCCTGACCC</t>
  </si>
  <si>
    <t xml:space="preserve">AAACGGGTCAGGAAGGCATGATGC</t>
  </si>
  <si>
    <t xml:space="preserve">PSPPH_4627</t>
  </si>
  <si>
    <t xml:space="preserve">CAGGGCGGTTTTCTTGGTAG</t>
  </si>
  <si>
    <t xml:space="preserve">TAGTCAGGGCGGTTTTCTTGGTAG</t>
  </si>
  <si>
    <t xml:space="preserve">AAACCTACCAAGAAAACCGCCCTG</t>
  </si>
  <si>
    <t xml:space="preserve">GCTGCACCAGCCCGAGGCCC</t>
  </si>
  <si>
    <t xml:space="preserve">TAGTGCTGCACCAGCCCGAGGCCC</t>
  </si>
  <si>
    <t xml:space="preserve">AAACGGGCCTCGGGCTGGTGCAGC</t>
  </si>
  <si>
    <t xml:space="preserve">GGTGACCTGCCAGCCCTGTT</t>
  </si>
  <si>
    <t xml:space="preserve">TAGTGGTGACCTGCCAGCCCTGTT</t>
  </si>
  <si>
    <t xml:space="preserve">AAACAACAGGGCTGGCAGGTCACC</t>
  </si>
  <si>
    <t xml:space="preserve">CTGCGGATCACGCACCGTGG</t>
  </si>
  <si>
    <t xml:space="preserve">TAGTCTGCGGATCACGCACCGTGG</t>
  </si>
  <si>
    <t xml:space="preserve">AAACCCACGGTGCGTGATCCGCAG</t>
  </si>
  <si>
    <t xml:space="preserve">PSPPH_4628</t>
  </si>
  <si>
    <t xml:space="preserve">CAGATACGGATCGCAGGCAT</t>
  </si>
  <si>
    <t xml:space="preserve">TAGTCAGATACGGATCGCAGGCAT</t>
  </si>
  <si>
    <t xml:space="preserve">AAACATGCCTGCGATCCGTATCTG</t>
  </si>
  <si>
    <t xml:space="preserve">TTGGCAGTGAACACGGCAAG</t>
  </si>
  <si>
    <t xml:space="preserve">TAGTTTGGCAGTGAACACGGCAAG</t>
  </si>
  <si>
    <t xml:space="preserve">AAACCTTGCCGTGTTCACTGCCAA</t>
  </si>
  <si>
    <t xml:space="preserve">CCAGACCGCCACGGGCGTCC</t>
  </si>
  <si>
    <t xml:space="preserve">TAGTCCAGACCGCCACGGGCGTCC</t>
  </si>
  <si>
    <t xml:space="preserve">AAACGGACGCCCGTGGCGGTCTGG</t>
  </si>
  <si>
    <t xml:space="preserve">CTTTGACGGGAGCTGCCCGG</t>
  </si>
  <si>
    <t xml:space="preserve">TAGTCTTTGACGGGAGCTGCCCGG</t>
  </si>
  <si>
    <t xml:space="preserve">AAACCCGGGCAGCTCCCGTCAAAG</t>
  </si>
  <si>
    <t xml:space="preserve">PSPPH_4629</t>
  </si>
  <si>
    <t xml:space="preserve">CAGCACATGCTCCAGCGGAT</t>
  </si>
  <si>
    <t xml:space="preserve">TAGTCAGCACATGCTCCAGCGGAT</t>
  </si>
  <si>
    <t xml:space="preserve">AAACATCCGCTGGAGCATGTGCTG</t>
  </si>
  <si>
    <t xml:space="preserve">GTGATGCGCGACGCGCATCG</t>
  </si>
  <si>
    <t xml:space="preserve">TAGTGTGATGCGCGACGCGCATCG</t>
  </si>
  <si>
    <t xml:space="preserve">AAACCGATGCGCGTCGCGCATCAC</t>
  </si>
  <si>
    <t xml:space="preserve">GACCTTTTCCGCGAGCATCT</t>
  </si>
  <si>
    <t xml:space="preserve">TAGTGACCTTTTCCGCGAGCATCT</t>
  </si>
  <si>
    <t xml:space="preserve">AAACAGATGCTCGCGGAAAAGGTC</t>
  </si>
  <si>
    <t xml:space="preserve">TGAGGATCATCGTCCCGTAG</t>
  </si>
  <si>
    <t xml:space="preserve">TAGTTGAGGATCATCGTCCCGTAG</t>
  </si>
  <si>
    <t xml:space="preserve">AAACCTACGGGACGATGATCCTCA</t>
  </si>
  <si>
    <t xml:space="preserve">PSPPH_4630</t>
  </si>
  <si>
    <t xml:space="preserve">fecB</t>
  </si>
  <si>
    <t xml:space="preserve">CGGAAGTCGAAAAGCACGCA</t>
  </si>
  <si>
    <t xml:space="preserve">TAGTCGGAAGTCGAAAAGCACGCA</t>
  </si>
  <si>
    <t xml:space="preserve">AAACTGCGTGCTTTTCGACTTCCG</t>
  </si>
  <si>
    <t xml:space="preserve">AGGCCGCAAGCCAATAAATG</t>
  </si>
  <si>
    <t xml:space="preserve">TAGTAGGCCGCAAGCCAATAAATG</t>
  </si>
  <si>
    <t xml:space="preserve">AAACCATTTATTGGCTTGCGGCCT</t>
  </si>
  <si>
    <t xml:space="preserve">CGCTCGCCAGCAGAGTGAGC</t>
  </si>
  <si>
    <t xml:space="preserve">TAGTCGCTCGCCAGCAGAGTGAGC</t>
  </si>
  <si>
    <t xml:space="preserve">AAACGCTCACTCTGCTGGCGAGCG</t>
  </si>
  <si>
    <t xml:space="preserve">GTCGATAGGTGCGGCCTGGG</t>
  </si>
  <si>
    <t xml:space="preserve">TAGTGTCGATAGGTGCGGCCTGGG</t>
  </si>
  <si>
    <t xml:space="preserve">AAACCCCAGGCCGCACCTATCGAC</t>
  </si>
  <si>
    <t xml:space="preserve">PSPPH_4631</t>
  </si>
  <si>
    <t xml:space="preserve">fecC</t>
  </si>
  <si>
    <t xml:space="preserve">GAACAGTCCCAGGCAGGTCG</t>
  </si>
  <si>
    <t xml:space="preserve">TAGTGAACAGTCCCAGGCAGGTCG</t>
  </si>
  <si>
    <t xml:space="preserve">AAACCGACCTGCCTGGGACTGTTC</t>
  </si>
  <si>
    <t xml:space="preserve">ACGAATACTGAACGACGACA</t>
  </si>
  <si>
    <t xml:space="preserve">TAGTACGAATACTGAACGACGACA</t>
  </si>
  <si>
    <t xml:space="preserve">AAACTGTCGTCGTTCAGTATTCGT</t>
  </si>
  <si>
    <t xml:space="preserve">CTGCGTGATCAGTCCGTTCC</t>
  </si>
  <si>
    <t xml:space="preserve">TAGTCTGCGTGATCAGTCCGTTCC</t>
  </si>
  <si>
    <t xml:space="preserve">AAACGGAACGGACTGATCACGCAG</t>
  </si>
  <si>
    <t xml:space="preserve">AAGCGATGTTGCCGCCCTCG</t>
  </si>
  <si>
    <t xml:space="preserve">TAGTAAGCGATGTTGCCGCCCTCG</t>
  </si>
  <si>
    <t xml:space="preserve">AAACCGAGGGCGGCAACATCGCTT</t>
  </si>
  <si>
    <t xml:space="preserve">PSPPH_4632</t>
  </si>
  <si>
    <t xml:space="preserve">fecD</t>
  </si>
  <si>
    <t xml:space="preserve">ACAACAGCCGTTGGCGGGGC</t>
  </si>
  <si>
    <t xml:space="preserve">TAGTACAACAGCCGTTGGCGGGGC</t>
  </si>
  <si>
    <t xml:space="preserve">AAACGCCCCGCCAACGGCTGTTGT</t>
  </si>
  <si>
    <t xml:space="preserve">CGCGCTGAGGCTCAGCAGCA</t>
  </si>
  <si>
    <t xml:space="preserve">TAGTCGCGCTGAGGCTCAGCAGCA</t>
  </si>
  <si>
    <t xml:space="preserve">AAACTGCTGCTGAGCCTCAGCGCG</t>
  </si>
  <si>
    <t xml:space="preserve">TGCACCGGGCGTCAGCCAGA</t>
  </si>
  <si>
    <t xml:space="preserve">TAGTTGCACCGGGCGTCAGCCAGA</t>
  </si>
  <si>
    <t xml:space="preserve">AAACTCTGGCTGACGCCCGGTGCA</t>
  </si>
  <si>
    <t xml:space="preserve">CCTTGCTGTCGTGGGCGATC</t>
  </si>
  <si>
    <t xml:space="preserve">TAGTCCTTGCTGTCGTGGGCGATC</t>
  </si>
  <si>
    <t xml:space="preserve">AAACGATCGCCCACGACAGCAAGG</t>
  </si>
  <si>
    <t xml:space="preserve">PSPPH_4633</t>
  </si>
  <si>
    <t xml:space="preserve">TGCGCCTTCAGAATACTCAT</t>
  </si>
  <si>
    <t xml:space="preserve">TAGTTGCGCCTTCAGAATACTCAT</t>
  </si>
  <si>
    <t xml:space="preserve">AAACATGAGTATTCTGAAGGCGCA</t>
  </si>
  <si>
    <t xml:space="preserve">CGGGCGGCGGGCTGAATGAC</t>
  </si>
  <si>
    <t xml:space="preserve">TAGTCGGGCGGCGGGCTGAATGAC</t>
  </si>
  <si>
    <t xml:space="preserve">AAACGTCATTCAGCCCGCCGCCCG</t>
  </si>
  <si>
    <t xml:space="preserve">GATCAGCGCCGTGACCTGCG</t>
  </si>
  <si>
    <t xml:space="preserve">TAGTGATCAGCGCCGTGACCTGCG</t>
  </si>
  <si>
    <t xml:space="preserve">AAACCGCAGGTCACGGCGCTGATC</t>
  </si>
  <si>
    <t xml:space="preserve">TGGATTTGCCGCAACCGTTG</t>
  </si>
  <si>
    <t xml:space="preserve">TAGTTGGATTTGCCGCAACCGTTG</t>
  </si>
  <si>
    <t xml:space="preserve">AAACCAACGGTTGCGGCAAATCCA</t>
  </si>
  <si>
    <t xml:space="preserve">PSPPH_4634</t>
  </si>
  <si>
    <t xml:space="preserve">CGTGGGTTGGTCAGGTGCAT</t>
  </si>
  <si>
    <t xml:space="preserve">TAGTCGTGGGTTGGTCAGGTGCAT</t>
  </si>
  <si>
    <t xml:space="preserve">AAACATGCACCTGACCAACCCACG</t>
  </si>
  <si>
    <t xml:space="preserve">GCACACAGTAGTTTTTTCAG</t>
  </si>
  <si>
    <t xml:space="preserve">TAGTGCACACAGTAGTTTTTTCAG</t>
  </si>
  <si>
    <t xml:space="preserve">AAACCTGAAAAAACTACTGTGTGC</t>
  </si>
  <si>
    <t xml:space="preserve">AATGCCGACAACGGCGGCCA</t>
  </si>
  <si>
    <t xml:space="preserve">TAGTAATGCCGACAACGGCGGCCA</t>
  </si>
  <si>
    <t xml:space="preserve">AAACTGGCCGCCGTTGTCGGCATT</t>
  </si>
  <si>
    <t xml:space="preserve">GGCTGCCGAGGCGAGCAGGC</t>
  </si>
  <si>
    <t xml:space="preserve">TAGTGGCTGCCGAGGCGAGCAGGC</t>
  </si>
  <si>
    <t xml:space="preserve">AAACGCCTGCTCGCCTCGGCAGCC</t>
  </si>
  <si>
    <t xml:space="preserve">PSPPH_4635</t>
  </si>
  <si>
    <t xml:space="preserve">CTATGTCGATGACGGGAAGC</t>
  </si>
  <si>
    <t xml:space="preserve">TAGTCTATGTCGATGACGGGAAGC</t>
  </si>
  <si>
    <t xml:space="preserve">AAACGCTTCCCGTCATCGACATAG</t>
  </si>
  <si>
    <t xml:space="preserve">AAGGTCGGTGCCGTAGAGCG</t>
  </si>
  <si>
    <t xml:space="preserve">TAGTAAGGTCGGTGCCGTAGAGCG</t>
  </si>
  <si>
    <t xml:space="preserve">AAACCGCTCTACGGCACCGACCTT</t>
  </si>
  <si>
    <t xml:space="preserve">CTGCCGGGCGACATCCTGCC</t>
  </si>
  <si>
    <t xml:space="preserve">TAGTCTGCCGGGCGACATCCTGCC</t>
  </si>
  <si>
    <t xml:space="preserve">AAACGGCAGGATGTCGCCCGGCAG</t>
  </si>
  <si>
    <t xml:space="preserve">AAAGAAGCCCCATTGCCGAC</t>
  </si>
  <si>
    <t xml:space="preserve">TAGTAAAGAAGCCCCATTGCCGAC</t>
  </si>
  <si>
    <t xml:space="preserve">AAACGTCGGCAATGGGGCTTCTTT</t>
  </si>
  <si>
    <t xml:space="preserve">PSPPH_4636</t>
  </si>
  <si>
    <t xml:space="preserve">add</t>
  </si>
  <si>
    <t xml:space="preserve">GTGCAGTTCTGCCTTGGGCA</t>
  </si>
  <si>
    <t xml:space="preserve">TAGTGTGCAGTTCTGCCTTGGGCA</t>
  </si>
  <si>
    <t xml:space="preserve">AAACTGCCCAAGGCAGAACTGCAC</t>
  </si>
  <si>
    <t xml:space="preserve">CGGGTTCCAGCGAACCTTCG</t>
  </si>
  <si>
    <t xml:space="preserve">TAGTCGGGTTCCAGCGAACCTTCG</t>
  </si>
  <si>
    <t xml:space="preserve">AAACCGAAGGTTCGCTGGAACCCG</t>
  </si>
  <si>
    <t xml:space="preserve">TGCCAGGGCGAACAGCAACT</t>
  </si>
  <si>
    <t xml:space="preserve">TAGTTGCCAGGGCGAACAGCAACT</t>
  </si>
  <si>
    <t xml:space="preserve">AAACAGTTGCTGTTCGCCCTGGCA</t>
  </si>
  <si>
    <t xml:space="preserve">TTCGACGTCATTCCACGGCA</t>
  </si>
  <si>
    <t xml:space="preserve">TAGTTTCGACGTCATTCCACGGCA</t>
  </si>
  <si>
    <t xml:space="preserve">AAACTGCCGTGGAATGACGTCGAA</t>
  </si>
  <si>
    <t xml:space="preserve">PSPPH_4637</t>
  </si>
  <si>
    <t xml:space="preserve">GTTGCGATCTGGCTGATGCA</t>
  </si>
  <si>
    <t xml:space="preserve">TAGTGTTGCGATCTGGCTGATGCA</t>
  </si>
  <si>
    <t xml:space="preserve">AAACTGCATCAGCCAGATCGCAAC</t>
  </si>
  <si>
    <t xml:space="preserve">CATTGCGCTGCGCTTGGGGT</t>
  </si>
  <si>
    <t xml:space="preserve">TAGTCATTGCGCTGCGCTTGGGGT</t>
  </si>
  <si>
    <t xml:space="preserve">AAACACCCCAAGCGCAGCGCAATG</t>
  </si>
  <si>
    <t xml:space="preserve">AAAATCGCCAACTCATCGGC</t>
  </si>
  <si>
    <t xml:space="preserve">TAGTAAAATCGCCAACTCATCGGC</t>
  </si>
  <si>
    <t xml:space="preserve">AAACGCCGATGAGTTGGCGATTTT</t>
  </si>
  <si>
    <t xml:space="preserve">CAGGTGCGCGCCGGCAGAGG</t>
  </si>
  <si>
    <t xml:space="preserve">TAGTCAGGTGCGCGCCGGCAGAGG</t>
  </si>
  <si>
    <t xml:space="preserve">AAACCCTCTGCCGGCGCGCACCTG</t>
  </si>
  <si>
    <t xml:space="preserve">PSPPH_4638</t>
  </si>
  <si>
    <t xml:space="preserve">CCGCAGCAGAAAGACTGCCC</t>
  </si>
  <si>
    <t xml:space="preserve">TAGTCCGCAGCAGAAAGACTGCCC</t>
  </si>
  <si>
    <t xml:space="preserve">AAACGGGCAGTCTTTCTGCTGCGG</t>
  </si>
  <si>
    <t xml:space="preserve">AATGCGTTTGAGCGCCGCGC</t>
  </si>
  <si>
    <t xml:space="preserve">TAGTAATGCGTTTGAGCGCCGCGC</t>
  </si>
  <si>
    <t xml:space="preserve">AAACGCGCGGCGCTCAAACGCATT</t>
  </si>
  <si>
    <t xml:space="preserve">GGCGGTCAGACGCAGGCTGC</t>
  </si>
  <si>
    <t xml:space="preserve">TAGTGGCGGTCAGACGCAGGCTGC</t>
  </si>
  <si>
    <t xml:space="preserve">AAACGCAGCCTGCGTCTGACCGCC</t>
  </si>
  <si>
    <t xml:space="preserve">CTCCAGAAACCCCTCGCCTT</t>
  </si>
  <si>
    <t xml:space="preserve">TAGTCTCCAGAAACCCCTCGCCTT</t>
  </si>
  <si>
    <t xml:space="preserve">AAACAAGGCGAGGGGTTTCTGGAG</t>
  </si>
  <si>
    <t xml:space="preserve">PSPPH_4639</t>
  </si>
  <si>
    <t xml:space="preserve">CGTCGCTGATCGGCAGCGAG</t>
  </si>
  <si>
    <t xml:space="preserve">TAGTCGTCGCTGATCGGCAGCGAG</t>
  </si>
  <si>
    <t xml:space="preserve">AAACCTCGCTGCCGATCAGCGACG</t>
  </si>
  <si>
    <t xml:space="preserve">CGAGCGCCAGCCACCGGTTC</t>
  </si>
  <si>
    <t xml:space="preserve">TAGTCGAGCGCCAGCCACCGGTTC</t>
  </si>
  <si>
    <t xml:space="preserve">AAACGAACCGGTGGCTGGCGCTCG</t>
  </si>
  <si>
    <t xml:space="preserve">GTCCACCGGGTTGACGGAGA</t>
  </si>
  <si>
    <t xml:space="preserve">TAGTGTCCACCGGGTTGACGGAGA</t>
  </si>
  <si>
    <t xml:space="preserve">AAACTCTCCGTCAACCCGGTGGAC</t>
  </si>
  <si>
    <t xml:space="preserve">CTGTACGTTCTGGCGGATTT</t>
  </si>
  <si>
    <t xml:space="preserve">TAGTCTGTACGTTCTGGCGGATTT</t>
  </si>
  <si>
    <t xml:space="preserve">AAACAAATCCGCCAGAACGTACAG</t>
  </si>
  <si>
    <t xml:space="preserve">PSPPH_4640</t>
  </si>
  <si>
    <t xml:space="preserve">AGGATTGTGCGTAGATTCAT</t>
  </si>
  <si>
    <t xml:space="preserve">TAGTAGGATTGTGCGTAGATTCAT</t>
  </si>
  <si>
    <t xml:space="preserve">AAACATGAATCTACGCACAATCCT</t>
  </si>
  <si>
    <t xml:space="preserve">CACTCAATGAGCCAAGAATA</t>
  </si>
  <si>
    <t xml:space="preserve">TAGTCACTCAATGAGCCAAGAATA</t>
  </si>
  <si>
    <t xml:space="preserve">AAACTATTCTTGGCTCATTGAGTG</t>
  </si>
  <si>
    <t xml:space="preserve">GTCGATGGCCAGAGGGCCGA</t>
  </si>
  <si>
    <t xml:space="preserve">TAGTGTCGATGGCCAGAGGGCCGA</t>
  </si>
  <si>
    <t xml:space="preserve">AAACTCGGCCCTCTGGCCATCGAC</t>
  </si>
  <si>
    <t xml:space="preserve">GAGGCCATGGCCGGAAAGCC</t>
  </si>
  <si>
    <t xml:space="preserve">TAGTGAGGCCATGGCCGGAAAGCC</t>
  </si>
  <si>
    <t xml:space="preserve">AAACGGCTTTCCGGCCATGGCCTC</t>
  </si>
  <si>
    <t xml:space="preserve">PSPPH_4641</t>
  </si>
  <si>
    <t xml:space="preserve">TTGAACATTGAATAACTGCA</t>
  </si>
  <si>
    <t xml:space="preserve">TAGTTTGAACATTGAATAACTGCA</t>
  </si>
  <si>
    <t xml:space="preserve">AAACTGCAGTTATTCAATGTTCAA</t>
  </si>
  <si>
    <t xml:space="preserve">CGCACGAACACAGTGCCCGC</t>
  </si>
  <si>
    <t xml:space="preserve">TAGTCGCACGAACACAGTGCCCGC</t>
  </si>
  <si>
    <t xml:space="preserve">AAACGCGGGCACTGTGTTCGTGCG</t>
  </si>
  <si>
    <t xml:space="preserve">CAACCTGAACATCAGCGCCT</t>
  </si>
  <si>
    <t xml:space="preserve">TAGTCAACCTGAACATCAGCGCCT</t>
  </si>
  <si>
    <t xml:space="preserve">AAACAGGCGCTGATGTTCAGGTTG</t>
  </si>
  <si>
    <t xml:space="preserve">TTGCACCTTCACCTGCTTGC</t>
  </si>
  <si>
    <t xml:space="preserve">TAGTTTGCACCTTCACCTGCTTGC</t>
  </si>
  <si>
    <t xml:space="preserve">AAACGCAAGCAGGTGAAGGTGCAA</t>
  </si>
  <si>
    <t xml:space="preserve">PSPPH_4642</t>
  </si>
  <si>
    <t xml:space="preserve">AGAAACCGAGAATGCTGAAG</t>
  </si>
  <si>
    <t xml:space="preserve">TAGTAGAAACCGAGAATGCTGAAG</t>
  </si>
  <si>
    <t xml:space="preserve">AAACCTTCAGCATTCTCGGTTTCT</t>
  </si>
  <si>
    <t xml:space="preserve">TCCTGATCGGCCTGAGTGGC</t>
  </si>
  <si>
    <t xml:space="preserve">TAGTTCCTGATCGGCCTGAGTGGC</t>
  </si>
  <si>
    <t xml:space="preserve">AAACGCCACTCAGGCCGATCAGGA</t>
  </si>
  <si>
    <t xml:space="preserve">GGCGCTCTCGGGAAATGATC</t>
  </si>
  <si>
    <t xml:space="preserve">TAGTGGCGCTCTCGGGAAATGATC</t>
  </si>
  <si>
    <t xml:space="preserve">AAACGATCATTTCCCGAGAGCGCC</t>
  </si>
  <si>
    <t xml:space="preserve">CACAGGAGGTCGCGACTTCC</t>
  </si>
  <si>
    <t xml:space="preserve">TAGTCACAGGAGGTCGCGACTTCC</t>
  </si>
  <si>
    <t xml:space="preserve">AAACGGAAGTCGCGACCTCCTGTG</t>
  </si>
  <si>
    <t xml:space="preserve">PSPPH_4643</t>
  </si>
  <si>
    <t xml:space="preserve">GATCGGCAGGTCGAAGGTGG</t>
  </si>
  <si>
    <t xml:space="preserve">TAGTGATCGGCAGGTCGAAGGTGG</t>
  </si>
  <si>
    <t xml:space="preserve">AAACCCACCTTCGACCTGCCGATC</t>
  </si>
  <si>
    <t xml:space="preserve">CCGACCCGCACAACTGGCGC</t>
  </si>
  <si>
    <t xml:space="preserve">TAGTCCGACCCGCACAACTGGCGC</t>
  </si>
  <si>
    <t xml:space="preserve">AAACGCGCCAGTTGTGCGGGTCGG</t>
  </si>
  <si>
    <t xml:space="preserve">ACTGTTGACCCCCGGCACTT</t>
  </si>
  <si>
    <t xml:space="preserve">TAGTACTGTTGACCCCCGGCACTT</t>
  </si>
  <si>
    <t xml:space="preserve">AAACAAGTGCCGGGGGTCAACAGT</t>
  </si>
  <si>
    <t xml:space="preserve">CATGGGCGCGTTCATTGGCC</t>
  </si>
  <si>
    <t xml:space="preserve">TAGTCATGGGCGCGTTCATTGGCC</t>
  </si>
  <si>
    <t xml:space="preserve">AAACGGCCAATGAACGCGCCCATG</t>
  </si>
  <si>
    <t xml:space="preserve">PSPPH_4644</t>
  </si>
  <si>
    <t xml:space="preserve">cueR</t>
  </si>
  <si>
    <t xml:space="preserve">GGCCGATGGATTCGTAGTAG</t>
  </si>
  <si>
    <t xml:space="preserve">TAGTGGCCGATGGATTCGTAGTAG</t>
  </si>
  <si>
    <t xml:space="preserve">AAACCTACTACGAATCCATCGGCC</t>
  </si>
  <si>
    <t xml:space="preserve">TGCGATGCGCCGCTTGCAGC</t>
  </si>
  <si>
    <t xml:space="preserve">TAGTTGCGATGCGCCGCTTGCAGC</t>
  </si>
  <si>
    <t xml:space="preserve">AAACGCTGCAAGCGGCGCATCGCA</t>
  </si>
  <si>
    <t xml:space="preserve">GTAAATCGTCGGCGCTGTAC</t>
  </si>
  <si>
    <t xml:space="preserve">TAGTGTAAATCGTCGGCGCTGTAC</t>
  </si>
  <si>
    <t xml:space="preserve">AAACGTACAGCGCCGACGATTTAC</t>
  </si>
  <si>
    <t xml:space="preserve">CTTCCTCCAGCGAGAACCCC</t>
  </si>
  <si>
    <t xml:space="preserve">TAGTCTTCCTCCAGCGAGAACCCC</t>
  </si>
  <si>
    <t xml:space="preserve">AAACGGGGTTCTCGCTGGAGGAAG</t>
  </si>
  <si>
    <t xml:space="preserve">PSPPH_4645</t>
  </si>
  <si>
    <t xml:space="preserve">ATCAGGGGTTCAATGCGTTT</t>
  </si>
  <si>
    <t xml:space="preserve">TAGTATCAGGGGTTCAATGCGTTT</t>
  </si>
  <si>
    <t xml:space="preserve">AAACAAACGCATTGAACCCCTGAT</t>
  </si>
  <si>
    <t xml:space="preserve">CCTCTTTACCACTCATGAGC</t>
  </si>
  <si>
    <t xml:space="preserve">TAGTCCTCTTTACCACTCATGAGC</t>
  </si>
  <si>
    <t xml:space="preserve">AAACGCTCATGAGTGGTAAAGAGG</t>
  </si>
  <si>
    <t xml:space="preserve">GTTAGCCTCCTTGTAAACCT</t>
  </si>
  <si>
    <t xml:space="preserve">TAGTGTTAGCCTCCTTGTAAACCT</t>
  </si>
  <si>
    <t xml:space="preserve">AAACAGGTTTACAAGGAGGCTAAC</t>
  </si>
  <si>
    <t xml:space="preserve">CCTGATACTCGGCCGCCTGA</t>
  </si>
  <si>
    <t xml:space="preserve">TAGTCCTGATACTCGGCCGCCTGA</t>
  </si>
  <si>
    <t xml:space="preserve">AAACTCAGGCGGCCGAGTATCAGG</t>
  </si>
  <si>
    <t xml:space="preserve">PSPPH_4646</t>
  </si>
  <si>
    <t xml:space="preserve">TGATCTATTTGTCCGTTAGT</t>
  </si>
  <si>
    <t xml:space="preserve">TAGTTGATCTATTTGTCCGTTAGT</t>
  </si>
  <si>
    <t xml:space="preserve">AAACACTAACGGACAAATAGATCA</t>
  </si>
  <si>
    <t xml:space="preserve">GGTATCTGCCGCTCGCCAGT</t>
  </si>
  <si>
    <t xml:space="preserve">TAGTGGTATCTGCCGCTCGCCAGT</t>
  </si>
  <si>
    <t xml:space="preserve">AAACACTGGCGAGCGGCAGATACC</t>
  </si>
  <si>
    <t xml:space="preserve">CGCGGCAGACCGGACAGTGC</t>
  </si>
  <si>
    <t xml:space="preserve">TAGTCGCGGCAGACCGGACAGTGC</t>
  </si>
  <si>
    <t xml:space="preserve">AAACGCACTGTCCGGTCTGCCGCG</t>
  </si>
  <si>
    <t xml:space="preserve">TTTCAGCGCGGGCATATAAC</t>
  </si>
  <si>
    <t xml:space="preserve">TAGTTTTCAGCGCGGGCATATAAC</t>
  </si>
  <si>
    <t xml:space="preserve">AAACGTTATATGCCCGCGCTGAAA</t>
  </si>
  <si>
    <t xml:space="preserve">PSPPH_4647</t>
  </si>
  <si>
    <t xml:space="preserve">CATGCCCCAGAGGAACCAGT</t>
  </si>
  <si>
    <t xml:space="preserve">TAGTCATGCCCCAGAGGAACCAGT</t>
  </si>
  <si>
    <t xml:space="preserve">AAACACTGGTTCCTCTGGGGCATG</t>
  </si>
  <si>
    <t xml:space="preserve">GCCGAAACGCGGGAAGAAGT</t>
  </si>
  <si>
    <t xml:space="preserve">TAGTGCCGAAACGCGGGAAGAAGT</t>
  </si>
  <si>
    <t xml:space="preserve">AAACACTTCTTCCCGCGTTTCGGC</t>
  </si>
  <si>
    <t xml:space="preserve">TTCAGCGTGCATGCTGCCGC</t>
  </si>
  <si>
    <t xml:space="preserve">TAGTTTCAGCGTGCATGCTGCCGC</t>
  </si>
  <si>
    <t xml:space="preserve">AAACGCGGCAGCATGCACGCTGAA</t>
  </si>
  <si>
    <t xml:space="preserve">TCTTGATCTGCTCGCTGGAC</t>
  </si>
  <si>
    <t xml:space="preserve">TAGTTCTTGATCTGCTCGCTGGAC</t>
  </si>
  <si>
    <t xml:space="preserve">AAACGTCCAGCGAGCAGATCAAGA</t>
  </si>
  <si>
    <t xml:space="preserve">PSPPH_4648</t>
  </si>
  <si>
    <t xml:space="preserve">CTCGCCCGATGTCTTGGGCA</t>
  </si>
  <si>
    <t xml:space="preserve">TAGTCTCGCCCGATGTCTTGGGCA</t>
  </si>
  <si>
    <t xml:space="preserve">AAACTGCCCAAGACATCGGGCGAG</t>
  </si>
  <si>
    <t xml:space="preserve">ATAGCCGTGAATGAAGACGT</t>
  </si>
  <si>
    <t xml:space="preserve">TAGTATAGCCGTGAATGAAGACGT</t>
  </si>
  <si>
    <t xml:space="preserve">AAACACGTCTTCATTCACGGCTAT</t>
  </si>
  <si>
    <t xml:space="preserve">TACTGTTGGCCAGCATGCGC</t>
  </si>
  <si>
    <t xml:space="preserve">TAGTTACTGTTGGCCAGCATGCGC</t>
  </si>
  <si>
    <t xml:space="preserve">AAACGCGCATGCTGGCCAACAGTA</t>
  </si>
  <si>
    <t xml:space="preserve">ACGCTTTGGCGCAAGGCACC</t>
  </si>
  <si>
    <t xml:space="preserve">TAGTACGCTTTGGCGCAAGGCACC</t>
  </si>
  <si>
    <t xml:space="preserve">AAACGGTGCCTTGCGCCAAAGCGT</t>
  </si>
  <si>
    <t xml:space="preserve">PSPPH_4649</t>
  </si>
  <si>
    <t xml:space="preserve">GATGTAGGGCCGTAGCCAGC</t>
  </si>
  <si>
    <t xml:space="preserve">TAGTGATGTAGGGCCGTAGCCAGC</t>
  </si>
  <si>
    <t xml:space="preserve">AAACGCTGGCTACGGCCCTACATC</t>
  </si>
  <si>
    <t xml:space="preserve">GAAATAACTTTCGATTTCAT</t>
  </si>
  <si>
    <t xml:space="preserve">TAGTGAAATAACTTTCGATTTCAT</t>
  </si>
  <si>
    <t xml:space="preserve">AAACATGAAATCGAAAGTTATTTC</t>
  </si>
  <si>
    <t xml:space="preserve">TCACCCATTTGGCAACCAGC</t>
  </si>
  <si>
    <t xml:space="preserve">TAGTTCACCCATTTGGCAACCAGC</t>
  </si>
  <si>
    <t xml:space="preserve">AAACGCTGGTTGCCAAATGGGTGA</t>
  </si>
  <si>
    <t xml:space="preserve">CCGCAGGCAAAACATGATAC</t>
  </si>
  <si>
    <t xml:space="preserve">TAGTCCGCAGGCAAAACATGATAC</t>
  </si>
  <si>
    <t xml:space="preserve">AAACGTATCATGTTTTGCCTGCGG</t>
  </si>
  <si>
    <t xml:space="preserve">PSPPH_4650</t>
  </si>
  <si>
    <t xml:space="preserve">GACCCGACGAGGATGCGTCA</t>
  </si>
  <si>
    <t xml:space="preserve">TAGTGACCCGACGAGGATGCGTCA</t>
  </si>
  <si>
    <t xml:space="preserve">AAACTGACGCATCCTCGTCGGGTC</t>
  </si>
  <si>
    <t xml:space="preserve">AATGCGGTTACCGCCAACGA</t>
  </si>
  <si>
    <t xml:space="preserve">TAGTAATGCGGTTACCGCCAACGA</t>
  </si>
  <si>
    <t xml:space="preserve">AAACTCGTTGGCGGTAACCGCATT</t>
  </si>
  <si>
    <t xml:space="preserve">GGGCCATTGGAGCGGGCGAA</t>
  </si>
  <si>
    <t xml:space="preserve">TAGTGGGCCATTGGAGCGGGCGAA</t>
  </si>
  <si>
    <t xml:space="preserve">AAACTTCGCCCGCTCCAATGGCCC</t>
  </si>
  <si>
    <t xml:space="preserve">GATTGCTGGCAGTGGCGTAA</t>
  </si>
  <si>
    <t xml:space="preserve">TAGTGATTGCTGGCAGTGGCGTAA</t>
  </si>
  <si>
    <t xml:space="preserve">AAACTTACGCCACTGCCAGCAATC</t>
  </si>
  <si>
    <t xml:space="preserve">PSPPH_4651</t>
  </si>
  <si>
    <t xml:space="preserve">AATATAGCGATCTGACGGCA</t>
  </si>
  <si>
    <t xml:space="preserve">TAGTAATATAGCGATCTGACGGCA</t>
  </si>
  <si>
    <t xml:space="preserve">AAACTGCCGTCAGATCGCTATATT</t>
  </si>
  <si>
    <t xml:space="preserve">GCGCCGACCCATGTCGGAAT</t>
  </si>
  <si>
    <t xml:space="preserve">TAGTGCGCCGACCCATGTCGGAAT</t>
  </si>
  <si>
    <t xml:space="preserve">AAACATTCCGACATGGGTCGGCGC</t>
  </si>
  <si>
    <t xml:space="preserve">CGTGGGGGCGGGCAGACCGA</t>
  </si>
  <si>
    <t xml:space="preserve">TAGTCGTGGGGGCGGGCAGACCGA</t>
  </si>
  <si>
    <t xml:space="preserve">AAACTCGGTCTGCCCGCCCCCACG</t>
  </si>
  <si>
    <t xml:space="preserve">GGCCGGCCTGCCAGCGCTCC</t>
  </si>
  <si>
    <t xml:space="preserve">TAGTGGCCGGCCTGCCAGCGCTCC</t>
  </si>
  <si>
    <t xml:space="preserve">AAACGGAGCGCTGGCAGGCCGGCC</t>
  </si>
  <si>
    <t xml:space="preserve">PSPPH_4652</t>
  </si>
  <si>
    <t xml:space="preserve">ACAGGGGCTGCAGAGAATTG</t>
  </si>
  <si>
    <t xml:space="preserve">TAGTACAGGGGCTGCAGAGAATTG</t>
  </si>
  <si>
    <t xml:space="preserve">AAACCAATTCTCTGCAGCCCCTGT</t>
  </si>
  <si>
    <t xml:space="preserve">CGCTGCCTGGATGAACAGGT</t>
  </si>
  <si>
    <t xml:space="preserve">TAGTCGCTGCCTGGATGAACAGGT</t>
  </si>
  <si>
    <t xml:space="preserve">AAACACCTGTTCATCCAGGCAGCG</t>
  </si>
  <si>
    <t xml:space="preserve">CAGCTTCGCAATCCCAGATC</t>
  </si>
  <si>
    <t xml:space="preserve">TAGTCAGCTTCGCAATCCCAGATC</t>
  </si>
  <si>
    <t xml:space="preserve">AAACGATCTGGGATTGCGAAGCTG</t>
  </si>
  <si>
    <t xml:space="preserve">GCGGTAGGCATCAAGCTTGT</t>
  </si>
  <si>
    <t xml:space="preserve">TAGTGCGGTAGGCATCAAGCTTGT</t>
  </si>
  <si>
    <t xml:space="preserve">AAACACAAGCTTGATGCCTACCGC</t>
  </si>
  <si>
    <t xml:space="preserve">PSPPH_4653</t>
  </si>
  <si>
    <t xml:space="preserve">GCGGATGCGGTGCAGGCGTT</t>
  </si>
  <si>
    <t xml:space="preserve">TAGTGCGGATGCGGTGCAGGCGTT</t>
  </si>
  <si>
    <t xml:space="preserve">AAACAACGCCTGCACCGCATCCGC</t>
  </si>
  <si>
    <t xml:space="preserve">GAAATTGCTTCCAGTCATTC</t>
  </si>
  <si>
    <t xml:space="preserve">TAGTGAAATTGCTTCCAGTCATTC</t>
  </si>
  <si>
    <t xml:space="preserve">AAACGAATGACTGGAAGCAATTTC</t>
  </si>
  <si>
    <t xml:space="preserve">CAGCCATGGCCAGATTTTTC</t>
  </si>
  <si>
    <t xml:space="preserve">TAGTCAGCCATGGCCAGATTTTTC</t>
  </si>
  <si>
    <t xml:space="preserve">AAACGAAAAATCTGGCCATGGCTG</t>
  </si>
  <si>
    <t xml:space="preserve">CAGCTCGGCCATTTCCACGC</t>
  </si>
  <si>
    <t xml:space="preserve">TAGTCAGCTCGGCCATTTCCACGC</t>
  </si>
  <si>
    <t xml:space="preserve">AAACGCGTGGAAATGGCCGAGCTG</t>
  </si>
  <si>
    <t xml:space="preserve">PSPPH_4654</t>
  </si>
  <si>
    <t xml:space="preserve">CTGCAAAGCGGGTCGCCAGC</t>
  </si>
  <si>
    <t xml:space="preserve">TAGTCTGCAAAGCGGGTCGCCAGC</t>
  </si>
  <si>
    <t xml:space="preserve">AAACGCTGGCGACCCGCTTTGCAG</t>
  </si>
  <si>
    <t xml:space="preserve">CGCCAGACGAATGGCTCCCT</t>
  </si>
  <si>
    <t xml:space="preserve">TAGTCGCCAGACGAATGGCTCCCT</t>
  </si>
  <si>
    <t xml:space="preserve">AAACAGGGAGCCATTCGTCTGGCG</t>
  </si>
  <si>
    <t xml:space="preserve">GGGTAGCGTCTCGGTCAAAT</t>
  </si>
  <si>
    <t xml:space="preserve">TAGTGGGTAGCGTCTCGGTCAAAT</t>
  </si>
  <si>
    <t xml:space="preserve">AAACATTTGACCGAGACGCTACCC</t>
  </si>
  <si>
    <t xml:space="preserve">AGCACGCGAAGCGGTCGTGC</t>
  </si>
  <si>
    <t xml:space="preserve">TAGTAGCACGCGAAGCGGTCGTGC</t>
  </si>
  <si>
    <t xml:space="preserve">AAACGCACGACCGCTTCGCGTGCT</t>
  </si>
  <si>
    <t xml:space="preserve">PSPPH_4655</t>
  </si>
  <si>
    <t xml:space="preserve">CAAGGCAGAACGGTGTTTCA</t>
  </si>
  <si>
    <t xml:space="preserve">TAGTCAAGGCAGAACGGTGTTTCA</t>
  </si>
  <si>
    <t xml:space="preserve">AAACTGAAACACCGTTCTGCCTTG</t>
  </si>
  <si>
    <t xml:space="preserve">CAGGCCAGTCCCCAGAAGCA</t>
  </si>
  <si>
    <t xml:space="preserve">TAGTCAGGCCAGTCCCCAGAAGCA</t>
  </si>
  <si>
    <t xml:space="preserve">AAACTGCTTCTGGGGACTGGCCTG</t>
  </si>
  <si>
    <t xml:space="preserve">CCACATACGGATTATCGCTC</t>
  </si>
  <si>
    <t xml:space="preserve">TAGTCCACATACGGATTATCGCTC</t>
  </si>
  <si>
    <t xml:space="preserve">AAACGAGCGATAATCCGTATGTGG</t>
  </si>
  <si>
    <t xml:space="preserve">AGGCGGCATGGGCAGAGAAC</t>
  </si>
  <si>
    <t xml:space="preserve">TAGTAGGCGGCATGGGCAGAGAAC</t>
  </si>
  <si>
    <t xml:space="preserve">AAACGTTCTCTGCCCATGCCGCCT</t>
  </si>
  <si>
    <t xml:space="preserve">PSPPH_4656</t>
  </si>
  <si>
    <t xml:space="preserve">CAGGACGATACGGCGAAACA</t>
  </si>
  <si>
    <t xml:space="preserve">TAGTCAGGACGATACGGCGAAACA</t>
  </si>
  <si>
    <t xml:space="preserve">AAACTGTTTCGCCGTATCGTCCTG</t>
  </si>
  <si>
    <t xml:space="preserve">GGCAGCCAGCAGCAAGGCAC</t>
  </si>
  <si>
    <t xml:space="preserve">TAGTGGCAGCCAGCAGCAAGGCAC</t>
  </si>
  <si>
    <t xml:space="preserve">AAACGTGCCTTGCTGCTGGCTGCC</t>
  </si>
  <si>
    <t xml:space="preserve">ATTGATCGAATTGCTCTGAC</t>
  </si>
  <si>
    <t xml:space="preserve">TAGTATTGATCGAATTGCTCTGAC</t>
  </si>
  <si>
    <t xml:space="preserve">AAACGTCAGAGCAATTCGATCAAT</t>
  </si>
  <si>
    <t xml:space="preserve">ATAGCCGCCGAAATCACGCT</t>
  </si>
  <si>
    <t xml:space="preserve">TAGTATAGCCGCCGAAATCACGCT</t>
  </si>
  <si>
    <t xml:space="preserve">AAACAGCGTGATTTCGGCGGCTAT</t>
  </si>
  <si>
    <t xml:space="preserve">PSPPH_4657</t>
  </si>
  <si>
    <t xml:space="preserve">CGGAAACAACGGCAACGTCA</t>
  </si>
  <si>
    <t xml:space="preserve">TAGTCGGAAACAACGGCAACGTCA</t>
  </si>
  <si>
    <t xml:space="preserve">AAACTGACGTTGCCGTTGTTTCCG</t>
  </si>
  <si>
    <t xml:space="preserve">GGAAACAGCACAGCGTTCAA</t>
  </si>
  <si>
    <t xml:space="preserve">TAGTGGAAACAGCACAGCGTTCAA</t>
  </si>
  <si>
    <t xml:space="preserve">AAACTTGAACGCTGTGCTGTTTCC</t>
  </si>
  <si>
    <t xml:space="preserve">TGCAGATCAAGCACGCAACC</t>
  </si>
  <si>
    <t xml:space="preserve">TAGTTGCAGATCAAGCACGCAACC</t>
  </si>
  <si>
    <t xml:space="preserve">AAACGGTTGCGTGCTTGATCTGCA</t>
  </si>
  <si>
    <t xml:space="preserve">CTTCACCCTGCTTCATGCAG</t>
  </si>
  <si>
    <t xml:space="preserve">TAGTCTTCACCCTGCTTCATGCAG</t>
  </si>
  <si>
    <t xml:space="preserve">AAACCTGCATGAAGCAGGGTGAAG</t>
  </si>
  <si>
    <t xml:space="preserve">PSPPH_4658</t>
  </si>
  <si>
    <t xml:space="preserve">TCGCGATGCCAAAAAGCGGA</t>
  </si>
  <si>
    <t xml:space="preserve">TAGTTCGCGATGCCAAAAAGCGGA</t>
  </si>
  <si>
    <t xml:space="preserve">AAACTCCGCTTTTTGGCATCGCGA</t>
  </si>
  <si>
    <t xml:space="preserve">CGCCAGTTGATAGGCACCCA</t>
  </si>
  <si>
    <t xml:space="preserve">TAGTCGCCAGTTGATAGGCACCCA</t>
  </si>
  <si>
    <t xml:space="preserve">AAACTGGGTGCCTATCAACTGGCG</t>
  </si>
  <si>
    <t xml:space="preserve">CGGCTGCAGAAACAGCCAAC</t>
  </si>
  <si>
    <t xml:space="preserve">TAGTCGGCTGCAGAAACAGCCAAC</t>
  </si>
  <si>
    <t xml:space="preserve">AAACGTTGGCTGTTTCTGCAGCCG</t>
  </si>
  <si>
    <t xml:space="preserve">ACCACCATCGAGACCAGCAC</t>
  </si>
  <si>
    <t xml:space="preserve">TAGTACCACCATCGAGACCAGCAC</t>
  </si>
  <si>
    <t xml:space="preserve">AAACGTGCTGGTCTCGATGGTGGT</t>
  </si>
  <si>
    <t xml:space="preserve">PSPPH_4659</t>
  </si>
  <si>
    <t xml:space="preserve">GAGGCAGTTGCTTGACCAAC</t>
  </si>
  <si>
    <t xml:space="preserve">TAGTGAGGCAGTTGCTTGACCAAC</t>
  </si>
  <si>
    <t xml:space="preserve">AAACGTTGGTCAAGCAACTGCCTC</t>
  </si>
  <si>
    <t xml:space="preserve">CCGCGTCGCAGGTCATGAGC</t>
  </si>
  <si>
    <t xml:space="preserve">TAGTCCGCGTCGCAGGTCATGAGC</t>
  </si>
  <si>
    <t xml:space="preserve">AAACGCTCATGACCTGCGACGCGG</t>
  </si>
  <si>
    <t xml:space="preserve">AAACGAATCCAGCGAATTAT</t>
  </si>
  <si>
    <t xml:space="preserve">TAGTAAACGAATCCAGCGAATTAT</t>
  </si>
  <si>
    <t xml:space="preserve">AAACATAATTCGCTGGATTCGTTT</t>
  </si>
  <si>
    <t xml:space="preserve">CCGTAACAACATGAGGACCC</t>
  </si>
  <si>
    <t xml:space="preserve">TAGTCCGTAACAACATGAGGACCC</t>
  </si>
  <si>
    <t xml:space="preserve">AAACGGGTCCTCATGTTGTTACGG</t>
  </si>
  <si>
    <t xml:space="preserve">PSPPH_4660</t>
  </si>
  <si>
    <t xml:space="preserve">maoC2</t>
  </si>
  <si>
    <t xml:space="preserve">AGCTCTGTGACGGGTACAGA</t>
  </si>
  <si>
    <t xml:space="preserve">TAGTAGCTCTGTGACGGGTACAGA</t>
  </si>
  <si>
    <t xml:space="preserve">AAACTCTGTACCCGTCACAGAGCT</t>
  </si>
  <si>
    <t xml:space="preserve">GTTGATGCGCTCCTGGTCGA</t>
  </si>
  <si>
    <t xml:space="preserve">TAGTGTTGATGCGCTCCTGGTCGA</t>
  </si>
  <si>
    <t xml:space="preserve">AAACTCGACCAGGAGCGCATCAAC</t>
  </si>
  <si>
    <t xml:space="preserve">CCCCTGTGGCTTCAGCGAAC</t>
  </si>
  <si>
    <t xml:space="preserve">TAGTCCCCTGTGGCTTCAGCGAAC</t>
  </si>
  <si>
    <t xml:space="preserve">AAACGTTCGCTGAAGCCACAGGGG</t>
  </si>
  <si>
    <t xml:space="preserve">CCGGGTCGACATGAATGAAC</t>
  </si>
  <si>
    <t xml:space="preserve">TAGTCCGGGTCGACATGAATGAAC</t>
  </si>
  <si>
    <t xml:space="preserve">AAACGTTCATTCATGTCGACCCGG</t>
  </si>
  <si>
    <t xml:space="preserve">PSPPH_4661</t>
  </si>
  <si>
    <t xml:space="preserve">ATCAAGAGTGTCAAAGCCAA</t>
  </si>
  <si>
    <t xml:space="preserve">TAGTATCAAGAGTGTCAAAGCCAA</t>
  </si>
  <si>
    <t xml:space="preserve">AAACTTGGCTTTGACACTCTTGAT</t>
  </si>
  <si>
    <t xml:space="preserve">TCGGACAGGCGGCCGTCGGG</t>
  </si>
  <si>
    <t xml:space="preserve">TAGTTCGGACAGGCGGCCGTCGGG</t>
  </si>
  <si>
    <t xml:space="preserve">AAACCCCGACGGCCGCCTGTCCGA</t>
  </si>
  <si>
    <t xml:space="preserve">TGGGGTAGTCGATACGCCCC</t>
  </si>
  <si>
    <t xml:space="preserve">TAGTTGGGGTAGTCGATACGCCCC</t>
  </si>
  <si>
    <t xml:space="preserve">AAACGGGGCGTATCGACTACCCCA</t>
  </si>
  <si>
    <t xml:space="preserve">ACCTGCGTACCAACTGCCGT</t>
  </si>
  <si>
    <t xml:space="preserve">TAGTACCTGCGTACCAACTGCCGT</t>
  </si>
  <si>
    <t xml:space="preserve">AAACACGGCAGTTGGTACGCAGGT</t>
  </si>
  <si>
    <t xml:space="preserve">PSPPH_4662</t>
  </si>
  <si>
    <t xml:space="preserve">CCTGCAAGCAGGATGTGTTG</t>
  </si>
  <si>
    <t xml:space="preserve">TAGTCCTGCAAGCAGGATGTGTTG</t>
  </si>
  <si>
    <t xml:space="preserve">AAACCAACACATCCTGCTTGCAGG</t>
  </si>
  <si>
    <t xml:space="preserve">GTGTTCGCCCGTCAGGCCGG</t>
  </si>
  <si>
    <t xml:space="preserve">TAGTGTGTTCGCCCGTCAGGCCGG</t>
  </si>
  <si>
    <t xml:space="preserve">AAACCCGGCCTGACGGGCGAACAC</t>
  </si>
  <si>
    <t xml:space="preserve">CTGTCGGTTCGTTGAGCAGG</t>
  </si>
  <si>
    <t xml:space="preserve">TAGTCTGTCGGTTCGTTGAGCAGG</t>
  </si>
  <si>
    <t xml:space="preserve">AAACCCTGCTCAACGAACCGACAG</t>
  </si>
  <si>
    <t xml:space="preserve">TGCGCGTTGGTGCCAGCACG</t>
  </si>
  <si>
    <t xml:space="preserve">TAGTTGCGCGTTGGTGCCAGCACG</t>
  </si>
  <si>
    <t xml:space="preserve">AAACCGTGCTGGCACCAACGCGCA</t>
  </si>
  <si>
    <t xml:space="preserve">PSPPH_4663</t>
  </si>
  <si>
    <t xml:space="preserve">CGCATTGAGCGTGCGCGCGG</t>
  </si>
  <si>
    <t xml:space="preserve">TAGTCGCATTGAGCGTGCGCGCGG</t>
  </si>
  <si>
    <t xml:space="preserve">AAACCCGCGCGCACGCTCAATGCG</t>
  </si>
  <si>
    <t xml:space="preserve">GCATACACCACCGGCGCGCC</t>
  </si>
  <si>
    <t xml:space="preserve">TAGTGCATACACCACCGGCGCGCC</t>
  </si>
  <si>
    <t xml:space="preserve">AAACGGCGCGCCGGTGGTGTATGC</t>
  </si>
  <si>
    <t xml:space="preserve">TCGGTGCTTCGGCACCGAAA</t>
  </si>
  <si>
    <t xml:space="preserve">TAGTTCGGTGCTTCGGCACCGAAA</t>
  </si>
  <si>
    <t xml:space="preserve">AAACTTTCGGTGCCGAAGCACCGA</t>
  </si>
  <si>
    <t xml:space="preserve">CTGCCCGGCAGGTCCAGGCC</t>
  </si>
  <si>
    <t xml:space="preserve">TAGTCTGCCCGGCAGGTCCAGGCC</t>
  </si>
  <si>
    <t xml:space="preserve">AAACGGCCTGGACCTGCCGGGCAG</t>
  </si>
  <si>
    <t xml:space="preserve">PSPPH_4664</t>
  </si>
  <si>
    <t xml:space="preserve">TCGCAACCGTAACGCGCTCC</t>
  </si>
  <si>
    <t xml:space="preserve">TAGTTCGCAACCGTAACGCGCTCC</t>
  </si>
  <si>
    <t xml:space="preserve">AAACGGAGCGCGTTACGGTTGCGA</t>
  </si>
  <si>
    <t xml:space="preserve">ATATTGCGCGCCAGAAGCGC</t>
  </si>
  <si>
    <t xml:space="preserve">TAGTATATTGCGCGCCAGAAGCGC</t>
  </si>
  <si>
    <t xml:space="preserve">AAACGCGCTTCTGGCGCGCAATAT</t>
  </si>
  <si>
    <t xml:space="preserve">AGATCAGGAAGTGCACCTCC</t>
  </si>
  <si>
    <t xml:space="preserve">TAGTAGATCAGGAAGTGCACCTCC</t>
  </si>
  <si>
    <t xml:space="preserve">AAACGGAGGTGCACTTCCTGATCT</t>
  </si>
  <si>
    <t xml:space="preserve">GGTGGCCATTACCAACTGCG</t>
  </si>
  <si>
    <t xml:space="preserve">TAGTGGTGGCCATTACCAACTGCG</t>
  </si>
  <si>
    <t xml:space="preserve">AAACCGCAGTTGGTAATGGCCACC</t>
  </si>
  <si>
    <t xml:space="preserve">PSPPH_4665</t>
  </si>
  <si>
    <t xml:space="preserve">mpl</t>
  </si>
  <si>
    <t xml:space="preserve">TTAACGTAGGGACGGTGAAA</t>
  </si>
  <si>
    <t xml:space="preserve">TAGTTTAACGTAGGGACGGTGAAA</t>
  </si>
  <si>
    <t xml:space="preserve">AAACTTTCACCGTCCCTACGTTAA</t>
  </si>
  <si>
    <t xml:space="preserve">ACCTCTCAGAACATCTGCGC</t>
  </si>
  <si>
    <t xml:space="preserve">TAGTACCTCTCAGAACATCTGCGC</t>
  </si>
  <si>
    <t xml:space="preserve">AAACGCGCAGATGTTCTGAGAGGT</t>
  </si>
  <si>
    <t xml:space="preserve">TGAACGTGCCGCAGATACCA</t>
  </si>
  <si>
    <t xml:space="preserve">TAGTTGAACGTGCCGCAGATACCA</t>
  </si>
  <si>
    <t xml:space="preserve">AAACTGGTATCTGCGGCACGTTCA</t>
  </si>
  <si>
    <t xml:space="preserve">GACCCGGTGCCCCGACTCTT</t>
  </si>
  <si>
    <t xml:space="preserve">TAGTGACCCGGTGCCCCGACTCTT</t>
  </si>
  <si>
    <t xml:space="preserve">AAACAAGAGTCGGGGCACCGGGTC</t>
  </si>
  <si>
    <t xml:space="preserve">PSPPH_4666</t>
  </si>
  <si>
    <t xml:space="preserve">ACGATAGCGCCTTCGGTACC</t>
  </si>
  <si>
    <t xml:space="preserve">TAGTACGATAGCGCCTTCGGTACC</t>
  </si>
  <si>
    <t xml:space="preserve">AAACGGTACCGAAGGCGCTATCGT</t>
  </si>
  <si>
    <t xml:space="preserve">GTGAAGTACTGGCCTTTGAC</t>
  </si>
  <si>
    <t xml:space="preserve">TAGTGTGAAGTACTGGCCTTTGAC</t>
  </si>
  <si>
    <t xml:space="preserve">AAACGTCAAAGGCCAGTACTTCAC</t>
  </si>
  <si>
    <t xml:space="preserve">GCCGGTGACGGGCGAGGTGT</t>
  </si>
  <si>
    <t xml:space="preserve">TAGTGCCGGTGACGGGCGAGGTGT</t>
  </si>
  <si>
    <t xml:space="preserve">AAACACACCTCGCCCGTCACCGGC</t>
  </si>
  <si>
    <t xml:space="preserve">GGAGCGCGGAAATTCGGCGA</t>
  </si>
  <si>
    <t xml:space="preserve">TAGTGGAGCGCGGAAATTCGGCGA</t>
  </si>
  <si>
    <t xml:space="preserve">AAACTCGCCGAATTTCCGCGCTCC</t>
  </si>
  <si>
    <t xml:space="preserve">PSPPH_4667</t>
  </si>
  <si>
    <t xml:space="preserve">eutB</t>
  </si>
  <si>
    <t xml:space="preserve">CGTCTGCGCACCGACAGAAT</t>
  </si>
  <si>
    <t xml:space="preserve">TAGTCGTCTGCGCACCGACAGAAT</t>
  </si>
  <si>
    <t xml:space="preserve">AAACATTCTGTCGGTGCGCAGACG</t>
  </si>
  <si>
    <t xml:space="preserve">CTTCTTTGAGGCTGTCGAAG</t>
  </si>
  <si>
    <t xml:space="preserve">TAGTCTTCTTTGAGGCTGTCGAAG</t>
  </si>
  <si>
    <t xml:space="preserve">AAACCTTCGACAGCCTCAAAGAAG</t>
  </si>
  <si>
    <t xml:space="preserve">GGAGCGCGCGGGGCTGGCCT</t>
  </si>
  <si>
    <t xml:space="preserve">TAGTGGAGCGCGCGGGGCTGGCCT</t>
  </si>
  <si>
    <t xml:space="preserve">AAACAGGCCAGCCCCGCGCGCTCC</t>
  </si>
  <si>
    <t xml:space="preserve">AACCTCGGCCAGATAATCAC</t>
  </si>
  <si>
    <t xml:space="preserve">TAGTAACCTCGGCCAGATAATCAC</t>
  </si>
  <si>
    <t xml:space="preserve">AAACGTGATTATCTGGCCGAGGTT</t>
  </si>
  <si>
    <t xml:space="preserve">PSPPH_4668</t>
  </si>
  <si>
    <t xml:space="preserve">eutC</t>
  </si>
  <si>
    <t xml:space="preserve">TTGTCTTGTATTTCGTTCAT</t>
  </si>
  <si>
    <t xml:space="preserve">TAGTTTGTCTTGTATTTCGTTCAT</t>
  </si>
  <si>
    <t xml:space="preserve">AAACATGAACGAAATACAAGACAA</t>
  </si>
  <si>
    <t xml:space="preserve">CAGCCAGGGATTGGCTGGTG</t>
  </si>
  <si>
    <t xml:space="preserve">TAGTCAGCCAGGGATTGGCTGGTG</t>
  </si>
  <si>
    <t xml:space="preserve">AAACCACCAGCCAATCCCTGGCTG</t>
  </si>
  <si>
    <t xml:space="preserve">CGATGCGTGCGGAGGTCAGG</t>
  </si>
  <si>
    <t xml:space="preserve">TAGTCGATGCGTGCGGAGGTCAGG</t>
  </si>
  <si>
    <t xml:space="preserve">AAACCCTGACCTCCGCACGCATCG</t>
  </si>
  <si>
    <t xml:space="preserve">GGAGGTGGGCAGGCTGGTGC</t>
  </si>
  <si>
    <t xml:space="preserve">TAGTGGAGGTGGGCAGGCTGGTGC</t>
  </si>
  <si>
    <t xml:space="preserve">AAACGCACCAGCCTGCCCACCTCC</t>
  </si>
  <si>
    <t xml:space="preserve">PSPPH_4669</t>
  </si>
  <si>
    <t xml:space="preserve">AGTCGCTTTGATGATCCGCA</t>
  </si>
  <si>
    <t xml:space="preserve">TAGTAGTCGCTTTGATGATCCGCA</t>
  </si>
  <si>
    <t xml:space="preserve">AAACTGCGGATCATCAAAGCGACT</t>
  </si>
  <si>
    <t xml:space="preserve">ACAATGGGCAGAGCAGGTCC</t>
  </si>
  <si>
    <t xml:space="preserve">TAGTACAATGGGCAGAGCAGGTCC</t>
  </si>
  <si>
    <t xml:space="preserve">AAACGGACCTGCTCTGCCCATTGT</t>
  </si>
  <si>
    <t xml:space="preserve">GTGACTCACCGTAGAACTCG</t>
  </si>
  <si>
    <t xml:space="preserve">TAGTGTGACTCACCGTAGAACTCG</t>
  </si>
  <si>
    <t xml:space="preserve">AAACCGAGTTCTACGGTGAGTCAC</t>
  </si>
  <si>
    <t xml:space="preserve">TCCCGTGAGGAGTCCGGGAA</t>
  </si>
  <si>
    <t xml:space="preserve">TAGTTCCCGTGAGGAGTCCGGGAA</t>
  </si>
  <si>
    <t xml:space="preserve">AAACTTCCCGGACTCCTCACGGGA</t>
  </si>
  <si>
    <t xml:space="preserve">PSPPH_4670</t>
  </si>
  <si>
    <t xml:space="preserve">AGATGCAGAATAAGGTCAAG</t>
  </si>
  <si>
    <t xml:space="preserve">TAGTAGATGCAGAATAAGGTCAAG</t>
  </si>
  <si>
    <t xml:space="preserve">AAACCTTGACCTTATTCTGCATCT</t>
  </si>
  <si>
    <t xml:space="preserve">AGTTGGTCACCAACAGGTCA</t>
  </si>
  <si>
    <t xml:space="preserve">TAGTAGTTGGTCACCAACAGGTCA</t>
  </si>
  <si>
    <t xml:space="preserve">AAACTGACCTGTTGGTGACCAACT</t>
  </si>
  <si>
    <t xml:space="preserve">GAAGGGCATGATCACCAGCC</t>
  </si>
  <si>
    <t xml:space="preserve">TAGTGAAGGGCATGATCACCAGCC</t>
  </si>
  <si>
    <t xml:space="preserve">AAACGGCTGGTGATCATGCCCTTC</t>
  </si>
  <si>
    <t xml:space="preserve">ACAGCAGCGAGTCGCCCGGC</t>
  </si>
  <si>
    <t xml:space="preserve">TAGTACAGCAGCGAGTCGCCCGGC</t>
  </si>
  <si>
    <t xml:space="preserve">AAACGCCGGGCGACTCGCTGCTGT</t>
  </si>
  <si>
    <t xml:space="preserve">PSPPH_4671</t>
  </si>
  <si>
    <t xml:space="preserve">CTCGTCAGCAACCGGGTGTC</t>
  </si>
  <si>
    <t xml:space="preserve">TAGTCTCGTCAGCAACCGGGTGTC</t>
  </si>
  <si>
    <t xml:space="preserve">AAACGACACCCGGTTGCTGACGAG</t>
  </si>
  <si>
    <t xml:space="preserve">CTGCTCAGCCCATCGAGGAT</t>
  </si>
  <si>
    <t xml:space="preserve">TAGTCTGCTCAGCCCATCGAGGAT</t>
  </si>
  <si>
    <t xml:space="preserve">AAACATCCTCGATGGGCTGAGCAG</t>
  </si>
  <si>
    <t xml:space="preserve">GTCATTCAGAAACAGTACGC</t>
  </si>
  <si>
    <t xml:space="preserve">TAGTGTCATTCAGAAACAGTACGC</t>
  </si>
  <si>
    <t xml:space="preserve">AAACGCGTACTGTTTCTGAATGAC</t>
  </si>
  <si>
    <t xml:space="preserve">CAACGCCCGGCAGTGCACTG</t>
  </si>
  <si>
    <t xml:space="preserve">TAGTCAACGCCCGGCAGTGCACTG</t>
  </si>
  <si>
    <t xml:space="preserve">AAACCAGTGCACTGCCGGGCGTTG</t>
  </si>
  <si>
    <t xml:space="preserve">PSPPH_4672</t>
  </si>
  <si>
    <t xml:space="preserve">ppa</t>
  </si>
  <si>
    <t xml:space="preserve">GGAATCTTGCTGTAGCTCAT</t>
  </si>
  <si>
    <t xml:space="preserve">TAGTGGAATCTTGCTGTAGCTCAT</t>
  </si>
  <si>
    <t xml:space="preserve">AAACATGAGCTACAGCAAGATTCC</t>
  </si>
  <si>
    <t xml:space="preserve">TTCGGAAGGTCTTTGCCTGC</t>
  </si>
  <si>
    <t xml:space="preserve">TAGTTTCGGAAGGTCTTTGCCTGC</t>
  </si>
  <si>
    <t xml:space="preserve">AAACGCAGGCAAAGACCTTCCGAA</t>
  </si>
  <si>
    <t xml:space="preserve">TGATCGGCGCGTGGTTGGCC</t>
  </si>
  <si>
    <t xml:space="preserve">TAGTTGATCGGCGCGTGGTTGGCC</t>
  </si>
  <si>
    <t xml:space="preserve">AAACGGCCAACCACGCGCCGATCA</t>
  </si>
  <si>
    <t xml:space="preserve">ACGGTCAACGAACAGGCAAT</t>
  </si>
  <si>
    <t xml:space="preserve">TAGTACGGTCAACGAACAGGCAAT</t>
  </si>
  <si>
    <t xml:space="preserve">AAACATTGCCTGTTCGTTGACCGT</t>
  </si>
  <si>
    <t xml:space="preserve">PSPPH_4673</t>
  </si>
  <si>
    <t xml:space="preserve">CGATCGCCTGATGTATTCAT</t>
  </si>
  <si>
    <t xml:space="preserve">TAGTCGATCGCCTGATGTATTCAT</t>
  </si>
  <si>
    <t xml:space="preserve">AAACATGAATACATCAGGCGATCG</t>
  </si>
  <si>
    <t xml:space="preserve">GGCACTCCCGAAGGAGGATG</t>
  </si>
  <si>
    <t xml:space="preserve">TAGTGGCACTCCCGAAGGAGGATG</t>
  </si>
  <si>
    <t xml:space="preserve">AAACCATCCTCCTTCGGGAGTGCC</t>
  </si>
  <si>
    <t xml:space="preserve">CAAAGTCAGTCGCTGTGAGA</t>
  </si>
  <si>
    <t xml:space="preserve">TAGTCAAAGTCAGTCGCTGTGAGA</t>
  </si>
  <si>
    <t xml:space="preserve">AAACTCTCACAGCGACTGACTTTG</t>
  </si>
  <si>
    <t xml:space="preserve">TTGCGGCGTGATTTTGCGGT</t>
  </si>
  <si>
    <t xml:space="preserve">TAGTTTGCGGCGTGATTTTGCGGT</t>
  </si>
  <si>
    <t xml:space="preserve">AAACACCGCAAAATCACGCCGCAA</t>
  </si>
  <si>
    <t xml:space="preserve">PSPPH_4674</t>
  </si>
  <si>
    <t xml:space="preserve">TTGGTAGCGGGCGTTATGGA</t>
  </si>
  <si>
    <t xml:space="preserve">TAGTTTGGTAGCGGGCGTTATGGA</t>
  </si>
  <si>
    <t xml:space="preserve">AAACTCCATAACGCCCGCTACCAA</t>
  </si>
  <si>
    <t xml:space="preserve">CAATTCTTTTTGCGTCATAC</t>
  </si>
  <si>
    <t xml:space="preserve">TAGTCAATTCTTTTTGCGTCATAC</t>
  </si>
  <si>
    <t xml:space="preserve">AAACGTATGACGCAAAAAGAATTG</t>
  </si>
  <si>
    <t xml:space="preserve">CTGCGGCCGCCCTAGCCTGA</t>
  </si>
  <si>
    <t xml:space="preserve">TAGTCTGCGGCCGCCCTAGCCTGA</t>
  </si>
  <si>
    <t xml:space="preserve">AAACTCAGGCTAGGGCGGCCGCAG</t>
  </si>
  <si>
    <t xml:space="preserve">AATGACATCGAGCCTGCGCT</t>
  </si>
  <si>
    <t xml:space="preserve">TAGTAATGACATCGAGCCTGCGCT</t>
  </si>
  <si>
    <t xml:space="preserve">AAACAGCGCAGGCTCGATGTCATT</t>
  </si>
  <si>
    <t xml:space="preserve">PSPPH_4675</t>
  </si>
  <si>
    <t xml:space="preserve">GAATCAACGGCCACAAGATG</t>
  </si>
  <si>
    <t xml:space="preserve">TAGTGAATCAACGGCCACAAGATG</t>
  </si>
  <si>
    <t xml:space="preserve">AAACCATCTTGTGGCCGTTGATTC</t>
  </si>
  <si>
    <t xml:space="preserve">GATAACCACGCTGATTTTTC</t>
  </si>
  <si>
    <t xml:space="preserve">TAGTGATAACCACGCTGATTTTTC</t>
  </si>
  <si>
    <t xml:space="preserve">AAACGAAAAATCAGCGTGGTTATC</t>
  </si>
  <si>
    <t xml:space="preserve">GGTTGCGATAAAGAGGCCCC</t>
  </si>
  <si>
    <t xml:space="preserve">TAGTGGTTGCGATAAAGAGGCCCC</t>
  </si>
  <si>
    <t xml:space="preserve">AAACGGGGCCTCTTTATCGCAACC</t>
  </si>
  <si>
    <t xml:space="preserve">AGATATTCCGCTGGGGGCTC</t>
  </si>
  <si>
    <t xml:space="preserve">TAGTAGATATTCCGCTGGGGGCTC</t>
  </si>
  <si>
    <t xml:space="preserve">AAACGAGCCCCCAGCGGAATATCT</t>
  </si>
  <si>
    <t xml:space="preserve">PSPPH_4676</t>
  </si>
  <si>
    <t xml:space="preserve">GCTCATGACTGGCCGGCCTG</t>
  </si>
  <si>
    <t xml:space="preserve">TAGTGCTCATGACTGGCCGGCCTG</t>
  </si>
  <si>
    <t xml:space="preserve">AAACCAGGCCGGCCAGTCATGAGC</t>
  </si>
  <si>
    <t xml:space="preserve">TCTATACGCGTGCTGGATGT</t>
  </si>
  <si>
    <t xml:space="preserve">TAGTTCTATACGCGTGCTGGATGT</t>
  </si>
  <si>
    <t xml:space="preserve">AAACACATCCAGCACGCGTATAGA</t>
  </si>
  <si>
    <t xml:space="preserve">GGTCATCGATGACAAGCACC</t>
  </si>
  <si>
    <t xml:space="preserve">TAGTGGTCATCGATGACAAGCACC</t>
  </si>
  <si>
    <t xml:space="preserve">AAACGGTGCTTGTCATCGATGACC</t>
  </si>
  <si>
    <t xml:space="preserve">GCAGTTCGGTCAGGTTGTAG</t>
  </si>
  <si>
    <t xml:space="preserve">TAGTGCAGTTCGGTCAGGTTGTAG</t>
  </si>
  <si>
    <t xml:space="preserve">AAACCTACAACCTGACCGAACTGC</t>
  </si>
  <si>
    <t xml:space="preserve">PSPPH_4677</t>
  </si>
  <si>
    <t xml:space="preserve">CTGGAGATGGGTCGTTTTCA</t>
  </si>
  <si>
    <t xml:space="preserve">TAGTCTGGAGATGGGTCGTTTTCA</t>
  </si>
  <si>
    <t xml:space="preserve">AAACTGAAAACGACCCATCTCCAG</t>
  </si>
  <si>
    <t xml:space="preserve">CCAGGTAACCAAGGCTTGGA</t>
  </si>
  <si>
    <t xml:space="preserve">TAGTCCAGGTAACCAAGGCTTGGA</t>
  </si>
  <si>
    <t xml:space="preserve">AAACTCCAAGCCTTGGTTACCTGG</t>
  </si>
  <si>
    <t xml:space="preserve">GGCCAACCGGGAGCTTACGC</t>
  </si>
  <si>
    <t xml:space="preserve">TAGTGGCCAACCGGGAGCTTACGC</t>
  </si>
  <si>
    <t xml:space="preserve">AAACGCGTAAGCTCCCGGTTGGCC</t>
  </si>
  <si>
    <t xml:space="preserve">AACATTCATGGGGCAGCAGC</t>
  </si>
  <si>
    <t xml:space="preserve">TAGTAACATTCATGGGGCAGCAGC</t>
  </si>
  <si>
    <t xml:space="preserve">AAACGCTGCTGCCCCATGAATGTT</t>
  </si>
  <si>
    <t xml:space="preserve">PSPPH_4678</t>
  </si>
  <si>
    <t xml:space="preserve">GACTCGGTATTGAAAGCAGC</t>
  </si>
  <si>
    <t xml:space="preserve">TAGTGACTCGGTATTGAAAGCAGC</t>
  </si>
  <si>
    <t xml:space="preserve">AAACGCTGCTTTCAATACCGAGTC</t>
  </si>
  <si>
    <t xml:space="preserve">AATCTTGACCCCGACCTCAC</t>
  </si>
  <si>
    <t xml:space="preserve">TAGTAATCTTGACCCCGACCTCAC</t>
  </si>
  <si>
    <t xml:space="preserve">AAACGTGAGGTCGGGGTCAAGATT</t>
  </si>
  <si>
    <t xml:space="preserve">CAGCTTCCTTTTCGCCTGCC</t>
  </si>
  <si>
    <t xml:space="preserve">TAGTCAGCTTCCTTTTCGCCTGCC</t>
  </si>
  <si>
    <t xml:space="preserve">AAACGGCAGGCGAAAAGGAAGCTG</t>
  </si>
  <si>
    <t xml:space="preserve">TGTGGCAACCTTATGATAAT</t>
  </si>
  <si>
    <t xml:space="preserve">TAGTTGTGGCAACCTTATGATAAT</t>
  </si>
  <si>
    <t xml:space="preserve">AAACATTATCATAAGGTTGCCACA</t>
  </si>
  <si>
    <t xml:space="preserve">PSPPH_4679</t>
  </si>
  <si>
    <t xml:space="preserve">TGCATTCGCACAGATATTCG</t>
  </si>
  <si>
    <t xml:space="preserve">TAGTTGCATTCGCACAGATATTCG</t>
  </si>
  <si>
    <t xml:space="preserve">AAACCGAATATCTGTGCGAATGCA</t>
  </si>
  <si>
    <t xml:space="preserve">TCGATCAGCGTATGGATCAG</t>
  </si>
  <si>
    <t xml:space="preserve">TAGTTCGATCAGCGTATGGATCAG</t>
  </si>
  <si>
    <t xml:space="preserve">AAACCTGATCCATACGCTGATCGA</t>
  </si>
  <si>
    <t xml:space="preserve">AATGTGCAGATGATCCTGCG</t>
  </si>
  <si>
    <t xml:space="preserve">TAGTAATGTGCAGATGATCCTGCG</t>
  </si>
  <si>
    <t xml:space="preserve">AAACCGCAGGATCATCTGCACATT</t>
  </si>
  <si>
    <t xml:space="preserve">TTTGCTGGACCATGTTGCGA</t>
  </si>
  <si>
    <t xml:space="preserve">TAGTTTTGCTGGACCATGTTGCGA</t>
  </si>
  <si>
    <t xml:space="preserve">AAACTCGCAACATGGTCCAGCAAA</t>
  </si>
  <si>
    <t xml:space="preserve">PSPPH_4680</t>
  </si>
  <si>
    <t xml:space="preserve">GCCATTCCTTGGCTTCAATG</t>
  </si>
  <si>
    <t xml:space="preserve">TAGTGCCATTCCTTGGCTTCAATG</t>
  </si>
  <si>
    <t xml:space="preserve">AAACCATTGAAGCCAAGGAATGGC</t>
  </si>
  <si>
    <t xml:space="preserve">GTTGTAACCGAACAGGCTGA</t>
  </si>
  <si>
    <t xml:space="preserve">TAGTGTTGTAACCGAACAGGCTGA</t>
  </si>
  <si>
    <t xml:space="preserve">AAACTCAGCCTGTTCGGTTACAAC</t>
  </si>
  <si>
    <t xml:space="preserve">CGTAGGCGGTGAGGTGTTCA</t>
  </si>
  <si>
    <t xml:space="preserve">TAGTCGTAGGCGGTGAGGTGTTCA</t>
  </si>
  <si>
    <t xml:space="preserve">AAACTGAACACCTCACCGCCTACG</t>
  </si>
  <si>
    <t xml:space="preserve">ATGTCGAGTTTGCGCGAGGT</t>
  </si>
  <si>
    <t xml:space="preserve">TAGTATGTCGAGTTTGCGCGAGGT</t>
  </si>
  <si>
    <t xml:space="preserve">AAACACCTCGCGCAAACTCGACAT</t>
  </si>
  <si>
    <t xml:space="preserve">PSPPH_4681</t>
  </si>
  <si>
    <t xml:space="preserve">TTTGCAGCCAATAGCCACGA</t>
  </si>
  <si>
    <t xml:space="preserve">TAGTTTTGCAGCCAATAGCCACGA</t>
  </si>
  <si>
    <t xml:space="preserve">AAACTCGTGGCTATTGGCTGCAAA</t>
  </si>
  <si>
    <t xml:space="preserve">GCTTCGGGCAAATTGCGCTG</t>
  </si>
  <si>
    <t xml:space="preserve">TAGTGCTTCGGGCAAATTGCGCTG</t>
  </si>
  <si>
    <t xml:space="preserve">AAACCAGCGCAATTTGCCCGAAGC</t>
  </si>
  <si>
    <t xml:space="preserve">CGAAACCAAGGTCGAATGAT</t>
  </si>
  <si>
    <t xml:space="preserve">TAGTCGAAACCAAGGTCGAATGAT</t>
  </si>
  <si>
    <t xml:space="preserve">AAACATCATTCGACCTTGGTTTCG</t>
  </si>
  <si>
    <t xml:space="preserve">ACCCGCTACATCACGGACGT</t>
  </si>
  <si>
    <t xml:space="preserve">TAGTACCCGCTACATCACGGACGT</t>
  </si>
  <si>
    <t xml:space="preserve">AAACACGTCCGTGATGTAGCGGGT</t>
  </si>
  <si>
    <t xml:space="preserve">PSPPH_4682</t>
  </si>
  <si>
    <t xml:space="preserve">CGACTCCCGGCACCCGCCAT</t>
  </si>
  <si>
    <t xml:space="preserve">TAGTCGACTCCCGGCACCCGCCAT</t>
  </si>
  <si>
    <t xml:space="preserve">AAACATGGCGGGTGCCGGGAGTCG</t>
  </si>
  <si>
    <t xml:space="preserve">AGGGATCAACGGCTTGGGAT</t>
  </si>
  <si>
    <t xml:space="preserve">TAGTAGGGATCAACGGCTTGGGAT</t>
  </si>
  <si>
    <t xml:space="preserve">AAACATCCCAAGCCGTTGATCCCT</t>
  </si>
  <si>
    <t xml:space="preserve">ATCATCGGTACGCCATGTAC</t>
  </si>
  <si>
    <t xml:space="preserve">TAGTATCATCGGTACGCCATGTAC</t>
  </si>
  <si>
    <t xml:space="preserve">AAACGTACATGGCGTACCGATGAT</t>
  </si>
  <si>
    <t xml:space="preserve">GGTGCGGACAATTCGGCGTC</t>
  </si>
  <si>
    <t xml:space="preserve">TAGTGGTGCGGACAATTCGGCGTC</t>
  </si>
  <si>
    <t xml:space="preserve">AAACGACGCCGAATTGTCCGCACC</t>
  </si>
  <si>
    <t xml:space="preserve">PSPPH_4683</t>
  </si>
  <si>
    <t xml:space="preserve">TTTCCGCCTTGATGACGACG</t>
  </si>
  <si>
    <t xml:space="preserve">TAGTTTTCCGCCTTGATGACGACG</t>
  </si>
  <si>
    <t xml:space="preserve">AAACCGTCGTCATCAAGGCGGAAA</t>
  </si>
  <si>
    <t xml:space="preserve">GAAGAGTGAACTGCTTGGTA</t>
  </si>
  <si>
    <t xml:space="preserve">TAGTGAAGAGTGAACTGCTTGGTA</t>
  </si>
  <si>
    <t xml:space="preserve">AAACTACCAAGCAGTTCACTCTTC</t>
  </si>
  <si>
    <t xml:space="preserve">TTTTCAAACCGCCCCTGTTG</t>
  </si>
  <si>
    <t xml:space="preserve">TAGTTTTTCAAACCGCCCCTGTTG</t>
  </si>
  <si>
    <t xml:space="preserve">AAACCAACAGGGGCGGTTTGAAAA</t>
  </si>
  <si>
    <t xml:space="preserve">CACGGTATTGAGCATCGAAC</t>
  </si>
  <si>
    <t xml:space="preserve">TAGTCACGGTATTGAGCATCGAAC</t>
  </si>
  <si>
    <t xml:space="preserve">AAACGTTCGATGCTCAATACCGTG</t>
  </si>
  <si>
    <t xml:space="preserve">PSPPH_4684</t>
  </si>
  <si>
    <t xml:space="preserve">GGCGTCAACCAGAACAGCAA</t>
  </si>
  <si>
    <t xml:space="preserve">TAGTGGCGTCAACCAGAACAGCAA</t>
  </si>
  <si>
    <t xml:space="preserve">AAACTTGCTGTTCTGGTTGACGCC</t>
  </si>
  <si>
    <t xml:space="preserve">GCAGAGGTGACCCACACAAT</t>
  </si>
  <si>
    <t xml:space="preserve">TAGTGCAGAGGTGACCCACACAAT</t>
  </si>
  <si>
    <t xml:space="preserve">AAACATTGTGTGGGTCACCTCTGC</t>
  </si>
  <si>
    <t xml:space="preserve">GCTATGCTGGCGACACCCTC</t>
  </si>
  <si>
    <t xml:space="preserve">TAGTGCTATGCTGGCGACACCCTC</t>
  </si>
  <si>
    <t xml:space="preserve">AAACGAGGGTGTCGCCAGCATAGC</t>
  </si>
  <si>
    <t xml:space="preserve">ATAAAGAGCTACCGGGTTGT</t>
  </si>
  <si>
    <t xml:space="preserve">TAGTATAAAGAGCTACCGGGTTGT</t>
  </si>
  <si>
    <t xml:space="preserve">AAACACAACCCGGTAGCTCTTTAT</t>
  </si>
  <si>
    <t xml:space="preserve">PSPPH_4686</t>
  </si>
  <si>
    <t xml:space="preserve">TGGTCTGCATGATGTTATTG</t>
  </si>
  <si>
    <t xml:space="preserve">TAGTTGGTCTGCATGATGTTATTG</t>
  </si>
  <si>
    <t xml:space="preserve">AAACCAATAACATCATGCAGACCA</t>
  </si>
  <si>
    <t xml:space="preserve">ATCACGCGGATTGAGGGAGT</t>
  </si>
  <si>
    <t xml:space="preserve">TAGTATCACGCGGATTGAGGGAGT</t>
  </si>
  <si>
    <t xml:space="preserve">AAACACTCCCTCAATCCGCGTGAT</t>
  </si>
  <si>
    <t xml:space="preserve">ACCTTTGAAGCTTTGACTTG</t>
  </si>
  <si>
    <t xml:space="preserve">TAGTACCTTTGAAGCTTTGACTTG</t>
  </si>
  <si>
    <t xml:space="preserve">AAACCAAGTCAAAGCTTCAAAGGT</t>
  </si>
  <si>
    <t xml:space="preserve">TTGACTTACCGCCGCCGTTG</t>
  </si>
  <si>
    <t xml:space="preserve">TAGTTTGACTTACCGCCGCCGTTG</t>
  </si>
  <si>
    <t xml:space="preserve">AAACCAACGGCGGCGGTAAGTCAA</t>
  </si>
  <si>
    <t xml:space="preserve">PSPPH_4689</t>
  </si>
  <si>
    <t xml:space="preserve">CCCCTCAACGGCCTGGAGCC</t>
  </si>
  <si>
    <t xml:space="preserve">TAGTCCCCTCAACGGCCTGGAGCC</t>
  </si>
  <si>
    <t xml:space="preserve">AAACGGCTCCAGGCCGTTGAGGGG</t>
  </si>
  <si>
    <t xml:space="preserve">PSPPH_4690</t>
  </si>
  <si>
    <t xml:space="preserve">CTGCGGGGTGTTCAGAGACA</t>
  </si>
  <si>
    <t xml:space="preserve">TAGTCTGCGGGGTGTTCAGAGACA</t>
  </si>
  <si>
    <t xml:space="preserve">AAACTGTCTCTGAACACCCCGCAG</t>
  </si>
  <si>
    <t xml:space="preserve">TTTCTTGACGCCGCTTTCGA</t>
  </si>
  <si>
    <t xml:space="preserve">TAGTTTTCTTGACGCCGCTTTCGA</t>
  </si>
  <si>
    <t xml:space="preserve">AAACTCGAAAGCGGCGTCAAGAAA</t>
  </si>
  <si>
    <t xml:space="preserve">CAACGACGACAGGCCCAAGT</t>
  </si>
  <si>
    <t xml:space="preserve">TAGTCAACGACGACAGGCCCAAGT</t>
  </si>
  <si>
    <t xml:space="preserve">AAACACTTGGGCCTGTCGTCGTTG</t>
  </si>
  <si>
    <t xml:space="preserve">AAGCCCCTGCCAGAAAGCCC</t>
  </si>
  <si>
    <t xml:space="preserve">TAGTAAGCCCCTGCCAGAAAGCCC</t>
  </si>
  <si>
    <t xml:space="preserve">AAACGGGCTTTCTGGCAGGGGCTT</t>
  </si>
  <si>
    <t xml:space="preserve">PSPPH_4691</t>
  </si>
  <si>
    <t xml:space="preserve">CCCATGCTGCGACATACCAC</t>
  </si>
  <si>
    <t xml:space="preserve">TAGTCCCATGCTGCGACATACCAC</t>
  </si>
  <si>
    <t xml:space="preserve">AAACGTGGTATGTCGCAGCATGGG</t>
  </si>
  <si>
    <t xml:space="preserve">GCAGCATGATCGGCAATCCA</t>
  </si>
  <si>
    <t xml:space="preserve">TAGTGCAGCATGATCGGCAATCCA</t>
  </si>
  <si>
    <t xml:space="preserve">AAACTGGATTGCCGATCATGCTGC</t>
  </si>
  <si>
    <t xml:space="preserve">ACGAAGGCGTACATAATGAA</t>
  </si>
  <si>
    <t xml:space="preserve">TAGTACGAAGGCGTACATAATGAA</t>
  </si>
  <si>
    <t xml:space="preserve">AAACTTCATTATGTACGCCTTCGT</t>
  </si>
  <si>
    <t xml:space="preserve">GGTGGGGCCGGGGGTAATCG</t>
  </si>
  <si>
    <t xml:space="preserve">TAGTGGTGGGGCCGGGGGTAATCG</t>
  </si>
  <si>
    <t xml:space="preserve">AAACCGATTACCCCCGGCCCCACC</t>
  </si>
  <si>
    <t xml:space="preserve">PSPPH_4692</t>
  </si>
  <si>
    <t xml:space="preserve">AGGTCTATCCAGTGTGTGGA</t>
  </si>
  <si>
    <t xml:space="preserve">TAGTAGGTCTATCCAGTGTGTGGA</t>
  </si>
  <si>
    <t xml:space="preserve">AAACTCCACACACTGGATAGACCT</t>
  </si>
  <si>
    <t xml:space="preserve">CTGTATCAAGGTCGCGAGCG</t>
  </si>
  <si>
    <t xml:space="preserve">TAGTCTGTATCAAGGTCGCGAGCG</t>
  </si>
  <si>
    <t xml:space="preserve">AAACCGCTCGCGACCTTGATACAG</t>
  </si>
  <si>
    <t xml:space="preserve">GTCATGCCAATGGGGATCAT</t>
  </si>
  <si>
    <t xml:space="preserve">TAGTGTCATGCCAATGGGGATCAT</t>
  </si>
  <si>
    <t xml:space="preserve">AAACATGATCCCCATTGGCATGAC</t>
  </si>
  <si>
    <t xml:space="preserve">GAACTGCTGCACACCTTGCC</t>
  </si>
  <si>
    <t xml:space="preserve">TAGTGAACTGCTGCACACCTTGCC</t>
  </si>
  <si>
    <t xml:space="preserve">AAACGGCAAGGTGTGCAGCAGTTC</t>
  </si>
  <si>
    <t xml:space="preserve">PSPPH_4693</t>
  </si>
  <si>
    <t xml:space="preserve">GGTCACGATGGCGAATAGCT</t>
  </si>
  <si>
    <t xml:space="preserve">TAGTGGTCACGATGGCGAATAGCT</t>
  </si>
  <si>
    <t xml:space="preserve">AAACAGCTATTCGCCATCGTGACC</t>
  </si>
  <si>
    <t xml:space="preserve">GTTGCCGACAATACAGCTCA</t>
  </si>
  <si>
    <t xml:space="preserve">TAGTGTTGCCGACAATACAGCTCA</t>
  </si>
  <si>
    <t xml:space="preserve">AAACTGAGCTGTATTGTCGGCAAC</t>
  </si>
  <si>
    <t xml:space="preserve">CAGACCGAAGTTTTTCAGGT</t>
  </si>
  <si>
    <t xml:space="preserve">TAGTCAGACCGAAGTTTTTCAGGT</t>
  </si>
  <si>
    <t xml:space="preserve">AAACACCTGAAAAACTTCGGTCTG</t>
  </si>
  <si>
    <t xml:space="preserve">TGCATCTCGCTGGGTGGGGT</t>
  </si>
  <si>
    <t xml:space="preserve">TAGTTGCATCTCGCTGGGTGGGGT</t>
  </si>
  <si>
    <t xml:space="preserve">AAACACCCCACCCAGCGAGATGCA</t>
  </si>
  <si>
    <t xml:space="preserve">PSPPH_4694</t>
  </si>
  <si>
    <t xml:space="preserve">GCCAAGACGCGTTGTGATGA</t>
  </si>
  <si>
    <t xml:space="preserve">TAGTGCCAAGACGCGTTGTGATGA</t>
  </si>
  <si>
    <t xml:space="preserve">AAACTCATCACAACGCGTCTTGGC</t>
  </si>
  <si>
    <t xml:space="preserve">GCGTAAGCCCTCGATTGAGG</t>
  </si>
  <si>
    <t xml:space="preserve">TAGTGCGTAAGCCCTCGATTGAGG</t>
  </si>
  <si>
    <t xml:space="preserve">AAACCCTCAATCGAGGGCTTACGC</t>
  </si>
  <si>
    <t xml:space="preserve">GGCTGCCATCGCGGCGAGCC</t>
  </si>
  <si>
    <t xml:space="preserve">TAGTGGCTGCCATCGCGGCGAGCC</t>
  </si>
  <si>
    <t xml:space="preserve">AAACGGCTCGCCGCGATGGCAGCC</t>
  </si>
  <si>
    <t xml:space="preserve">GATTATCTTTTGCCGGGTGA</t>
  </si>
  <si>
    <t xml:space="preserve">TAGTGATTATCTTTTGCCGGGTGA</t>
  </si>
  <si>
    <t xml:space="preserve">AAACTCACCCGGCAAAAGATAATC</t>
  </si>
  <si>
    <t xml:space="preserve">PSPPH_4695</t>
  </si>
  <si>
    <t xml:space="preserve">TCAAATGTCCAGCTCGCTCC</t>
  </si>
  <si>
    <t xml:space="preserve">TAGTTCAAATGTCCAGCTCGCTCC</t>
  </si>
  <si>
    <t xml:space="preserve">AAACGGAGCGAGCTGGACATTTGA</t>
  </si>
  <si>
    <t xml:space="preserve">AAGACTTGGGAGGGGCAAGC</t>
  </si>
  <si>
    <t xml:space="preserve">TAGTAAGACTTGGGAGGGGCAAGC</t>
  </si>
  <si>
    <t xml:space="preserve">AAACGCTTGCCCCTCCCAAGTCTT</t>
  </si>
  <si>
    <t xml:space="preserve">CCAGCAATACACCGTGGTGC</t>
  </si>
  <si>
    <t xml:space="preserve">TAGTCCAGCAATACACCGTGGTGC</t>
  </si>
  <si>
    <t xml:space="preserve">AAACGCACCACGGTGTATTGCTGG</t>
  </si>
  <si>
    <t xml:space="preserve">ATCTCTTGCAGAGCCAGGCC</t>
  </si>
  <si>
    <t xml:space="preserve">TAGTATCTCTTGCAGAGCCAGGCC</t>
  </si>
  <si>
    <t xml:space="preserve">AAACGGCCTGGCTCTGCAAGAGAT</t>
  </si>
  <si>
    <t xml:space="preserve">PSPPH_4696</t>
  </si>
  <si>
    <t xml:space="preserve">GATCGGGAAGCACACCACTG</t>
  </si>
  <si>
    <t xml:space="preserve">TAGTGATCGGGAAGCACACCACTG</t>
  </si>
  <si>
    <t xml:space="preserve">AAACCAGTGGTGTGCTTCCCGATC</t>
  </si>
  <si>
    <t xml:space="preserve">CAGGATGCCCTTGGGCTTGC</t>
  </si>
  <si>
    <t xml:space="preserve">TAGTCAGGATGCCCTTGGGCTTGC</t>
  </si>
  <si>
    <t xml:space="preserve">AAACGCAAGCCCAAGGGCATCCTG</t>
  </si>
  <si>
    <t xml:space="preserve">GAAATGGCAGATGCTGCGCT</t>
  </si>
  <si>
    <t xml:space="preserve">TAGTGAAATGGCAGATGCTGCGCT</t>
  </si>
  <si>
    <t xml:space="preserve">AAACAGCGCAGCATCTGCCATTTC</t>
  </si>
  <si>
    <t xml:space="preserve">GTACCGCGTTTTCGCTGCGC</t>
  </si>
  <si>
    <t xml:space="preserve">TAGTGTACCGCGTTTTCGCTGCGC</t>
  </si>
  <si>
    <t xml:space="preserve">AAACGCGCAGCGAAAACGCGGTAC</t>
  </si>
  <si>
    <t xml:space="preserve">PSPPH_4697</t>
  </si>
  <si>
    <t xml:space="preserve">GGGGGGTTGTTTACCGTTAT</t>
  </si>
  <si>
    <t xml:space="preserve">TAGTGGGGGGTTGTTTACCGTTAT</t>
  </si>
  <si>
    <t xml:space="preserve">AAACATAACGGTAAACAACCCCCC</t>
  </si>
  <si>
    <t xml:space="preserve">TCTGCCAACCCCTCGCTGCG</t>
  </si>
  <si>
    <t xml:space="preserve">TAGTTCTGCCAACCCCTCGCTGCG</t>
  </si>
  <si>
    <t xml:space="preserve">AAACCGCAGCGAGGGGTTGGCAGA</t>
  </si>
  <si>
    <t xml:space="preserve">CGGTTGATCGTGCCTGCGTG</t>
  </si>
  <si>
    <t xml:space="preserve">TAGTCGGTTGATCGTGCCTGCGTG</t>
  </si>
  <si>
    <t xml:space="preserve">AAACCACGCAGGCACGATCAACCG</t>
  </si>
  <si>
    <t xml:space="preserve">TACAGGCGTTGCAGGTCAAG</t>
  </si>
  <si>
    <t xml:space="preserve">TAGTTACAGGCGTTGCAGGTCAAG</t>
  </si>
  <si>
    <t xml:space="preserve">AAACCTTGACCTGCAACGCCTGTA</t>
  </si>
  <si>
    <t xml:space="preserve">PSPPH_4699</t>
  </si>
  <si>
    <t xml:space="preserve">AGAACAGGGCGAAGCCAGGA</t>
  </si>
  <si>
    <t xml:space="preserve">TAGTAGAACAGGGCGAAGCCAGGA</t>
  </si>
  <si>
    <t xml:space="preserve">AAACTCCTGGCTTCGCCCTGTTCT</t>
  </si>
  <si>
    <t xml:space="preserve">CGGCGATACGGGTCCAGCAG</t>
  </si>
  <si>
    <t xml:space="preserve">TAGTCGGCGATACGGGTCCAGCAG</t>
  </si>
  <si>
    <t xml:space="preserve">AAACCTGCTGGACCCGTATCGCCG</t>
  </si>
  <si>
    <t xml:space="preserve">TCAGCCGCGCATGCCGATAA</t>
  </si>
  <si>
    <t xml:space="preserve">TAGTTCAGCCGCGCATGCCGATAA</t>
  </si>
  <si>
    <t xml:space="preserve">AAACTTATCGGCATGCGCGGCTGA</t>
  </si>
  <si>
    <t xml:space="preserve">CCACCGCAATCCGCGCCGCG</t>
  </si>
  <si>
    <t xml:space="preserve">TAGTCCACCGCAATCCGCGCCGCG</t>
  </si>
  <si>
    <t xml:space="preserve">AAACCGCGGCGCGGATTGCGGTGG</t>
  </si>
  <si>
    <t xml:space="preserve">PSPPH_4700</t>
  </si>
  <si>
    <t xml:space="preserve">GGCGGGCGGGTATCGGGCAC</t>
  </si>
  <si>
    <t xml:space="preserve">TAGTGGCGGGCGGGTATCGGGCAC</t>
  </si>
  <si>
    <t xml:space="preserve">AAACGTGCCCGATACCCGCCCGCC</t>
  </si>
  <si>
    <t xml:space="preserve">CGATCAATTTCGTCCAGCAC</t>
  </si>
  <si>
    <t xml:space="preserve">TAGTCGATCAATTTCGTCCAGCAC</t>
  </si>
  <si>
    <t xml:space="preserve">AAACGTGCTGGACGAAATTGATCG</t>
  </si>
  <si>
    <t xml:space="preserve">GCCCAGTTGACGGGCGAGCA</t>
  </si>
  <si>
    <t xml:space="preserve">TAGTGCCCAGTTGACGGGCGAGCA</t>
  </si>
  <si>
    <t xml:space="preserve">AAACTGCTCGCCCGTCAACTGGGC</t>
  </si>
  <si>
    <t xml:space="preserve">CCGGGAGGTGACGGTGGTAC</t>
  </si>
  <si>
    <t xml:space="preserve">TAGTCCGGGAGGTGACGGTGGTAC</t>
  </si>
  <si>
    <t xml:space="preserve">AAACGTACCACCGTCACCTCCCGG</t>
  </si>
  <si>
    <t xml:space="preserve">PSPPH_4701</t>
  </si>
  <si>
    <t xml:space="preserve">CGAAGGCGAAGGGGAAGTCG</t>
  </si>
  <si>
    <t xml:space="preserve">TAGTCGAAGGCGAAGGGGAAGTCG</t>
  </si>
  <si>
    <t xml:space="preserve">AAACCGACTTCCCCTTCGCCTTCG</t>
  </si>
  <si>
    <t xml:space="preserve">GGATACTGCCCAGACCTTTC</t>
  </si>
  <si>
    <t xml:space="preserve">TAGTGGATACTGCCCAGACCTTTC</t>
  </si>
  <si>
    <t xml:space="preserve">AAACGAAAGGTCTGGGCAGTATCC</t>
  </si>
  <si>
    <t xml:space="preserve">CCGCGCCATGATTTTCAGCC</t>
  </si>
  <si>
    <t xml:space="preserve">TAGTCCGCGCCATGATTTTCAGCC</t>
  </si>
  <si>
    <t xml:space="preserve">AAACGGCTGAAAATCATGGCGCGG</t>
  </si>
  <si>
    <t xml:space="preserve">CGCCACCAGCCCCGCGATAC</t>
  </si>
  <si>
    <t xml:space="preserve">TAGTCGCCACCAGCCCCGCGATAC</t>
  </si>
  <si>
    <t xml:space="preserve">AAACGTATCGCGGGGCTGGTGGCG</t>
  </si>
  <si>
    <t xml:space="preserve">PSPPH_4702</t>
  </si>
  <si>
    <t xml:space="preserve">TTGATACAGCGCAATGCGCA</t>
  </si>
  <si>
    <t xml:space="preserve">TAGTTTGATACAGCGCAATGCGCA</t>
  </si>
  <si>
    <t xml:space="preserve">AAACTGCGCATTGCGCTGTATCAA</t>
  </si>
  <si>
    <t xml:space="preserve">CCGCTTATATCCAGCGGCAA</t>
  </si>
  <si>
    <t xml:space="preserve">TAGTCCGCTTATATCCAGCGGCAA</t>
  </si>
  <si>
    <t xml:space="preserve">AAACTTGCCGCTGGATATAAGCGG</t>
  </si>
  <si>
    <t xml:space="preserve">CCTGTTTTTCCAGACGCGTC</t>
  </si>
  <si>
    <t xml:space="preserve">TAGTCCTGTTTTTCCAGACGCGTC</t>
  </si>
  <si>
    <t xml:space="preserve">AAACGACGCGTCTGGAAAAACAGG</t>
  </si>
  <si>
    <t xml:space="preserve">CCCTTGCTCTGCGGCAGCCT</t>
  </si>
  <si>
    <t xml:space="preserve">TAGTCCCTTGCTCTGCGGCAGCCT</t>
  </si>
  <si>
    <t xml:space="preserve">AAACAGGCTGCCGCAGAGCAAGGG</t>
  </si>
  <si>
    <t xml:space="preserve">PSPPH_4703</t>
  </si>
  <si>
    <t xml:space="preserve">pqqF</t>
  </si>
  <si>
    <t xml:space="preserve">GGCAGGCATGAGGGTGTCCA</t>
  </si>
  <si>
    <t xml:space="preserve">TAGTGGCAGGCATGAGGGTGTCCA</t>
  </si>
  <si>
    <t xml:space="preserve">AAACTGGACACCCTCATGCCTGCC</t>
  </si>
  <si>
    <t xml:space="preserve">TTTGATGTCAGAGGAAGGCG</t>
  </si>
  <si>
    <t xml:space="preserve">TAGTTTTGATGTCAGAGGAAGGCG</t>
  </si>
  <si>
    <t xml:space="preserve">AAACCGCCTTCCTCTGACATCAAA</t>
  </si>
  <si>
    <t xml:space="preserve">TCAGGCCGTTGGCCAGCGTG</t>
  </si>
  <si>
    <t xml:space="preserve">TAGTTCAGGCCGTTGGCCAGCGTG</t>
  </si>
  <si>
    <t xml:space="preserve">AAACCACGCTGGCCAACGGCCTGA</t>
  </si>
  <si>
    <t xml:space="preserve">GCTGCGCAGCGCTTGAGGCG</t>
  </si>
  <si>
    <t xml:space="preserve">TAGTGCTGCGCAGCGCTTGAGGCG</t>
  </si>
  <si>
    <t xml:space="preserve">AAACCGCCTCAAGCGCTGCGCAGC</t>
  </si>
  <si>
    <t xml:space="preserve">PSPPH_4704</t>
  </si>
  <si>
    <t xml:space="preserve">pqqA</t>
  </si>
  <si>
    <t xml:space="preserve">ATACGCAGATCAGTGTAAGC</t>
  </si>
  <si>
    <t xml:space="preserve">TAGTATACGCAGATCAGTGTAAGC</t>
  </si>
  <si>
    <t xml:space="preserve">AAACGCTTACACTGATCTGCGTAT</t>
  </si>
  <si>
    <t xml:space="preserve">TCAACGGCTTGCGAAGTACA</t>
  </si>
  <si>
    <t xml:space="preserve">TAGTTCAACGGCTTGCGAAGTACA</t>
  </si>
  <si>
    <t xml:space="preserve">AAACTGTACTTCGCAAGCCGTTGA</t>
  </si>
  <si>
    <t xml:space="preserve">PSPPH_4705</t>
  </si>
  <si>
    <t xml:space="preserve">pqqB</t>
  </si>
  <si>
    <t xml:space="preserve">CAGCAGCAGAACCTAGAATC</t>
  </si>
  <si>
    <t xml:space="preserve">TAGTCAGCAGCAGAACCTAGAATC</t>
  </si>
  <si>
    <t xml:space="preserve">AAACGATTCTAGGTTCTGCTGCTG</t>
  </si>
  <si>
    <t xml:space="preserve">CGCAGTTGCAGTTCCACTGG</t>
  </si>
  <si>
    <t xml:space="preserve">TAGTCGCAGTTGCAGTTCCACTGG</t>
  </si>
  <si>
    <t xml:space="preserve">AAACCCAGTGGAACTGCAACTGCG</t>
  </si>
  <si>
    <t xml:space="preserve">GGGTCCGCGCCTGAGCACGC</t>
  </si>
  <si>
    <t xml:space="preserve">TAGTGGGTCCGCGCCTGAGCACGC</t>
  </si>
  <si>
    <t xml:space="preserve">AAACGCGTGCTCAGGCGCGGACCC</t>
  </si>
  <si>
    <t xml:space="preserve">GGACAGCGCAATCGACGACT</t>
  </si>
  <si>
    <t xml:space="preserve">TAGTGGACAGCGCAATCGACGACT</t>
  </si>
  <si>
    <t xml:space="preserve">AAACAGTCGTCGATTGCGCTGTCC</t>
  </si>
  <si>
    <t xml:space="preserve">PSPPH_4706</t>
  </si>
  <si>
    <t xml:space="preserve">pqqC</t>
  </si>
  <si>
    <t xml:space="preserve">AGGCCTGTTCGAATTCGGCG</t>
  </si>
  <si>
    <t xml:space="preserve">TAGTAGGCCTGTTCGAATTCGGCG</t>
  </si>
  <si>
    <t xml:space="preserve">AAACCGCCGAATTCGAACAGGCCT</t>
  </si>
  <si>
    <t xml:space="preserve">ATAGGCACCCTTGGCGCGCA</t>
  </si>
  <si>
    <t xml:space="preserve">TAGTATAGGCACCCTTGGCGCGCA</t>
  </si>
  <si>
    <t xml:space="preserve">AAACTGCGCGCCAAGGGTGCCTAT</t>
  </si>
  <si>
    <t xml:space="preserve">CATGGTACGGGTGATAGATG</t>
  </si>
  <si>
    <t xml:space="preserve">TAGTCATGGTACGGGTGATAGATG</t>
  </si>
  <si>
    <t xml:space="preserve">AAACCATCTATCACCCGTACCATG</t>
  </si>
  <si>
    <t xml:space="preserve">CCAGCCCTGAATCTGCTCGC</t>
  </si>
  <si>
    <t xml:space="preserve">TAGTCCAGCCCTGAATCTGCTCGC</t>
  </si>
  <si>
    <t xml:space="preserve">AAACGCGAGCAGATTCAGGGCTGG</t>
  </si>
  <si>
    <t xml:space="preserve">PSPPH_4707</t>
  </si>
  <si>
    <t xml:space="preserve">ppqD</t>
  </si>
  <si>
    <t xml:space="preserve">GGTGTCAACGCTCGGAACTG</t>
  </si>
  <si>
    <t xml:space="preserve">TAGTGGTGTCAACGCTCGGAACTG</t>
  </si>
  <si>
    <t xml:space="preserve">AAACCAGTTCCGAGCGTTGACACC</t>
  </si>
  <si>
    <t xml:space="preserve">CGATAGCCTTGATGCCATTT</t>
  </si>
  <si>
    <t xml:space="preserve">TAGTCGATAGCCTTGATGCCATTT</t>
  </si>
  <si>
    <t xml:space="preserve">AAACAAATGGCATCAAGGCTATCG</t>
  </si>
  <si>
    <t xml:space="preserve">ACCACATGCGCCTTTTGCGC</t>
  </si>
  <si>
    <t xml:space="preserve">TAGTACCACATGCGCCTTTTGCGC</t>
  </si>
  <si>
    <t xml:space="preserve">AAACGCGCAAAAGGCGCATGTGGT</t>
  </si>
  <si>
    <t xml:space="preserve">TTGAGTTTGATCATGCCTTC</t>
  </si>
  <si>
    <t xml:space="preserve">TAGTTTGAGTTTGATCATGCCTTC</t>
  </si>
  <si>
    <t xml:space="preserve">AAACGAAGGCATGATCAAACTCAA</t>
  </si>
  <si>
    <t xml:space="preserve">PSPPH_4708</t>
  </si>
  <si>
    <t xml:space="preserve">pqqE</t>
  </si>
  <si>
    <t xml:space="preserve">GTAGGGTGTATTGGTAACGG</t>
  </si>
  <si>
    <t xml:space="preserve">TAGTGTAGGGTGTATTGGTAACGG</t>
  </si>
  <si>
    <t xml:space="preserve">AAACCCGTTACCAATACACCCTAC</t>
  </si>
  <si>
    <t xml:space="preserve">AGCCCGACCTCGGGAGTGGG</t>
  </si>
  <si>
    <t xml:space="preserve">TAGTAGCCCGACCTCGGGAGTGGG</t>
  </si>
  <si>
    <t xml:space="preserve">AAACCCCACTCCCGAGGTCGGGCT</t>
  </si>
  <si>
    <t xml:space="preserve">AGCTCGGCGAGCAGCCACAG</t>
  </si>
  <si>
    <t xml:space="preserve">TAGTAGCTCGGCGAGCAGCCACAG</t>
  </si>
  <si>
    <t xml:space="preserve">AAACCTGTGGCTGCTCGCCGAGCT</t>
  </si>
  <si>
    <t xml:space="preserve">GCATTGCAATGGGCAGCGAT</t>
  </si>
  <si>
    <t xml:space="preserve">TAGTGCATTGCAATGGGCAGCGAT</t>
  </si>
  <si>
    <t xml:space="preserve">AAACATCGCTGCCCATTGCAATGC</t>
  </si>
  <si>
    <t xml:space="preserve">PSPPH_4709</t>
  </si>
  <si>
    <t xml:space="preserve">CGACCGCTTGGGCGGCGCTC</t>
  </si>
  <si>
    <t xml:space="preserve">TAGTCGACCGCTTGGGCGGCGCTC</t>
  </si>
  <si>
    <t xml:space="preserve">AAACGAGCGCCGCCCAAGCGGTCG</t>
  </si>
  <si>
    <t xml:space="preserve">CGCCGAGCTGACATCCAGTT</t>
  </si>
  <si>
    <t xml:space="preserve">TAGTCGCCGAGCTGACATCCAGTT</t>
  </si>
  <si>
    <t xml:space="preserve">AAACAACTGGATGTCAGCTCGGCG</t>
  </si>
  <si>
    <t xml:space="preserve">GGCGGTATTCGTTCCAGAAC</t>
  </si>
  <si>
    <t xml:space="preserve">TAGTGGCGGTATTCGTTCCAGAAC</t>
  </si>
  <si>
    <t xml:space="preserve">AAACGTTCTGGAACGAATACCGCC</t>
  </si>
  <si>
    <t xml:space="preserve">TACGACAGGCACCGTCTTCG</t>
  </si>
  <si>
    <t xml:space="preserve">TAGTTACGACAGGCACCGTCTTCG</t>
  </si>
  <si>
    <t xml:space="preserve">AAACCGAAGACGGTGCCTGTCGTA</t>
  </si>
  <si>
    <t xml:space="preserve">PSPPH_4710</t>
  </si>
  <si>
    <t xml:space="preserve">CTGATTGAATTGGCTCTGAT</t>
  </si>
  <si>
    <t xml:space="preserve">TAGTCTGATTGAATTGGCTCTGAT</t>
  </si>
  <si>
    <t xml:space="preserve">AAACATCAGAGCCAATTCAATCAG</t>
  </si>
  <si>
    <t xml:space="preserve">GCCTACCGGAGGCAGCAGAA</t>
  </si>
  <si>
    <t xml:space="preserve">TAGTGCCTACCGGAGGCAGCAGAA</t>
  </si>
  <si>
    <t xml:space="preserve">AAACTTCTGCTGCCTCCGGTAGGC</t>
  </si>
  <si>
    <t xml:space="preserve">TATAACCCAGCAGGGTCAGC</t>
  </si>
  <si>
    <t xml:space="preserve">TAGTTATAACCCAGCAGGGTCAGC</t>
  </si>
  <si>
    <t xml:space="preserve">AAACGCTGACCCTGCTGGGTTATA</t>
  </si>
  <si>
    <t xml:space="preserve">AGATCGCGTGGATGATGCCC</t>
  </si>
  <si>
    <t xml:space="preserve">TAGTAGATCGCGTGGATGATGCCC</t>
  </si>
  <si>
    <t xml:space="preserve">AAACGGGCATCATCCACGCGATCT</t>
  </si>
  <si>
    <t xml:space="preserve">PSPPH_4711</t>
  </si>
  <si>
    <t xml:space="preserve">TTTCACCCCGCCATCCTGGC</t>
  </si>
  <si>
    <t xml:space="preserve">TAGTTTTCACCCCGCCATCCTGGC</t>
  </si>
  <si>
    <t xml:space="preserve">AAACGCCAGGATGGCGGGGTGAAA</t>
  </si>
  <si>
    <t xml:space="preserve">AAGAAAACCCCGCCGAAGCG</t>
  </si>
  <si>
    <t xml:space="preserve">TAGTAAGAAAACCCCGCCGAAGCG</t>
  </si>
  <si>
    <t xml:space="preserve">AAACCGCTTCGGCGGGGTTTTCTT</t>
  </si>
  <si>
    <t xml:space="preserve">ACAGCATCGTGTGCTGCGAG</t>
  </si>
  <si>
    <t xml:space="preserve">TAGTACAGCATCGTGTGCTGCGAG</t>
  </si>
  <si>
    <t xml:space="preserve">AAACCTCGCAGCACACGATGCTGT</t>
  </si>
  <si>
    <t xml:space="preserve">CAGGACAAGCGTTGCACTGC</t>
  </si>
  <si>
    <t xml:space="preserve">TAGTCAGGACAAGCGTTGCACTGC</t>
  </si>
  <si>
    <t xml:space="preserve">AAACGCAGTGCAACGCTTGTCCTG</t>
  </si>
  <si>
    <t xml:space="preserve">PSPPH_4712</t>
  </si>
  <si>
    <t xml:space="preserve">TGGCGCTTTGTAGTCAGCCA</t>
  </si>
  <si>
    <t xml:space="preserve">TAGTTGGCGCTTTGTAGTCAGCCA</t>
  </si>
  <si>
    <t xml:space="preserve">AAACTGGCTGACTACAAAGCGCCA</t>
  </si>
  <si>
    <t xml:space="preserve">ACGAAGCGCATATCGCGCAG</t>
  </si>
  <si>
    <t xml:space="preserve">TAGTACGAAGCGCATATCGCGCAG</t>
  </si>
  <si>
    <t xml:space="preserve">AAACCTGCGCGATATGCGCTTCGT</t>
  </si>
  <si>
    <t xml:space="preserve">AAACCTCGAAGACTTCATTG</t>
  </si>
  <si>
    <t xml:space="preserve">TAGTAAACCTCGAAGACTTCATTG</t>
  </si>
  <si>
    <t xml:space="preserve">AAACCAATGAAGTCTTCGAGGTTT</t>
  </si>
  <si>
    <t xml:space="preserve">TCGACTGTTTCGGCCAGCTC</t>
  </si>
  <si>
    <t xml:space="preserve">TAGTTCGACTGTTTCGGCCAGCTC</t>
  </si>
  <si>
    <t xml:space="preserve">AAACGAGCTGGCCGAAACAGTCGA</t>
  </si>
  <si>
    <t xml:space="preserve">PSPPH_4713</t>
  </si>
  <si>
    <t xml:space="preserve">TGACTCAATCGCGCAGCTGA</t>
  </si>
  <si>
    <t xml:space="preserve">TAGTTGACTCAATCGCGCAGCTGA</t>
  </si>
  <si>
    <t xml:space="preserve">AAACTCAGCTGCGCGATTGAGTCA</t>
  </si>
  <si>
    <t xml:space="preserve">GCGATGTGAAGAAGACGGTC</t>
  </si>
  <si>
    <t xml:space="preserve">TAGTGCGATGTGAAGAAGACGGTC</t>
  </si>
  <si>
    <t xml:space="preserve">AAACGACCGTCTTCTTCACATCGC</t>
  </si>
  <si>
    <t xml:space="preserve">AATACGCACCGCCCAACAGC</t>
  </si>
  <si>
    <t xml:space="preserve">TAGTAATACGCACCGCCCAACAGC</t>
  </si>
  <si>
    <t xml:space="preserve">AAACGCTGTTGGGCGGTGCGTATT</t>
  </si>
  <si>
    <t xml:space="preserve">CTGGGTATCCAGCAGGTAGT</t>
  </si>
  <si>
    <t xml:space="preserve">TAGTCTGGGTATCCAGCAGGTAGT</t>
  </si>
  <si>
    <t xml:space="preserve">AAACACTACCTGCTGGATACCCAG</t>
  </si>
  <si>
    <t xml:space="preserve">PSPPH_4715</t>
  </si>
  <si>
    <t xml:space="preserve">CGCAAGGGGGCCTTGTAGTC</t>
  </si>
  <si>
    <t xml:space="preserve">TAGTCGCAAGGGGGCCTTGTAGTC</t>
  </si>
  <si>
    <t xml:space="preserve">AAACGACTACAAGGCCCCCTTGCG</t>
  </si>
  <si>
    <t xml:space="preserve">CATAACCGAGCAGCTCATCA</t>
  </si>
  <si>
    <t xml:space="preserve">TAGTCATAACCGAGCAGCTCATCA</t>
  </si>
  <si>
    <t xml:space="preserve">AAACTGATGAGCTGCTCGGTTATG</t>
  </si>
  <si>
    <t xml:space="preserve">GGGGTGGCGTCATGACAGGC</t>
  </si>
  <si>
    <t xml:space="preserve">TAGTGGGGTGGCGTCATGACAGGC</t>
  </si>
  <si>
    <t xml:space="preserve">AAACGCCTGTCATGACGCCACCCC</t>
  </si>
  <si>
    <t xml:space="preserve">GAATGGCGTCGACCATGTCC</t>
  </si>
  <si>
    <t xml:space="preserve">TAGTGAATGGCGTCGACCATGTCC</t>
  </si>
  <si>
    <t xml:space="preserve">AAACGGACATGGTCGACGCCATTC</t>
  </si>
  <si>
    <t xml:space="preserve">PSPPH_4716</t>
  </si>
  <si>
    <t xml:space="preserve">CGGATAAAGGGTGTTGTTCA</t>
  </si>
  <si>
    <t xml:space="preserve">TAGTCGGATAAAGGGTGTTGTTCA</t>
  </si>
  <si>
    <t xml:space="preserve">AAACTGAACAACACCCTTTATCCG</t>
  </si>
  <si>
    <t xml:space="preserve">ACCTGCATAGCGCTCAGGCC</t>
  </si>
  <si>
    <t xml:space="preserve">TAGTACCTGCATAGCGCTCAGGCC</t>
  </si>
  <si>
    <t xml:space="preserve">AAACGGCCTGAGCGCTATGCAGGT</t>
  </si>
  <si>
    <t xml:space="preserve">GATATTGGAGCTGGCGATCT</t>
  </si>
  <si>
    <t xml:space="preserve">TAGTGATATTGGAGCTGGCGATCT</t>
  </si>
  <si>
    <t xml:space="preserve">AAACAGATCGCCAGCTCCAATATC</t>
  </si>
  <si>
    <t xml:space="preserve">CGAGCTGAAAGTCGGAAGAC</t>
  </si>
  <si>
    <t xml:space="preserve">TAGTCGAGCTGAAAGTCGGAAGAC</t>
  </si>
  <si>
    <t xml:space="preserve">AAACGTCTTCCGACTTTCAGCTCG</t>
  </si>
  <si>
    <t xml:space="preserve">PSPPH_4717</t>
  </si>
  <si>
    <t xml:space="preserve">GCCAGCATCGGTATCGGTTC</t>
  </si>
  <si>
    <t xml:space="preserve">TAGTGCCAGCATCGGTATCGGTTC</t>
  </si>
  <si>
    <t xml:space="preserve">AAACGAACCGATACCGATGCTGGC</t>
  </si>
  <si>
    <t xml:space="preserve">CAGCAAACCGGCAGCTACCG</t>
  </si>
  <si>
    <t xml:space="preserve">TAGTCAGCAAACCGGCAGCTACCG</t>
  </si>
  <si>
    <t xml:space="preserve">AAACCGGTAGCTGCCGGTTTGCTG</t>
  </si>
  <si>
    <t xml:space="preserve">GCTCAAGCCCTTCAAGCGGG</t>
  </si>
  <si>
    <t xml:space="preserve">TAGTGCTCAAGCCCTTCAAGCGGG</t>
  </si>
  <si>
    <t xml:space="preserve">AAACCCCGCTTGAAGGGCTTGAGC</t>
  </si>
  <si>
    <t xml:space="preserve">TGCCACAGGCTTGCCCGCTG</t>
  </si>
  <si>
    <t xml:space="preserve">TAGTTGCCACAGGCTTGCCCGCTG</t>
  </si>
  <si>
    <t xml:space="preserve">AAACCAGCGGGCAAGCCTGTGGCA</t>
  </si>
  <si>
    <t xml:space="preserve">PSPPH_4718</t>
  </si>
  <si>
    <t xml:space="preserve">bioC</t>
  </si>
  <si>
    <t xml:space="preserve">GGCAGGACAGAGGGCGGTTT</t>
  </si>
  <si>
    <t xml:space="preserve">TAGTGGCAGGACAGAGGGCGGTTT</t>
  </si>
  <si>
    <t xml:space="preserve">AAACAAACCGCCCTCTGTCCTGCC</t>
  </si>
  <si>
    <t xml:space="preserve">GCGGCGACCTGTCGTTTGTC</t>
  </si>
  <si>
    <t xml:space="preserve">TAGTGCGGCGACCTGTCGTTTGTC</t>
  </si>
  <si>
    <t xml:space="preserve">AAACGACAAACGACAGGTCGCCGC</t>
  </si>
  <si>
    <t xml:space="preserve">CTCATAGCTGCCCGCGGCCC</t>
  </si>
  <si>
    <t xml:space="preserve">TAGTCTCATAGCTGCCCGCGGCCC</t>
  </si>
  <si>
    <t xml:space="preserve">AAACGGGCCGCGGGCAGCTATGAG</t>
  </si>
  <si>
    <t xml:space="preserve">GCCGACGCTGCGCTGTAGTT</t>
  </si>
  <si>
    <t xml:space="preserve">TAGTGCCGACGCTGCGCTGTAGTT</t>
  </si>
  <si>
    <t xml:space="preserve">AAACAACTACAGCGCAGCGTCGGC</t>
  </si>
  <si>
    <t xml:space="preserve">PSPPH_4719</t>
  </si>
  <si>
    <t xml:space="preserve">bioH</t>
  </si>
  <si>
    <t xml:space="preserve">GAAACGCCCAAGCCCCAGCC</t>
  </si>
  <si>
    <t xml:space="preserve">TAGTGAAACGCCCAAGCCCCAGCC</t>
  </si>
  <si>
    <t xml:space="preserve">AAACGGCTGGGGCTTGGGCGTTTC</t>
  </si>
  <si>
    <t xml:space="preserve">GCGGCGGCAAGCGGCTCCAG</t>
  </si>
  <si>
    <t xml:space="preserve">TAGTGCGGCGGCAAGCGGCTCCAG</t>
  </si>
  <si>
    <t xml:space="preserve">AAACCTGGAGCCGCTTGCCGCCGC</t>
  </si>
  <si>
    <t xml:space="preserve">ACGGCTCGATTTCGACCCGC</t>
  </si>
  <si>
    <t xml:space="preserve">TAGTACGGCTCGATTTCGACCCGC</t>
  </si>
  <si>
    <t xml:space="preserve">AAACGCGGGTCGAAATCGAGCCGT</t>
  </si>
  <si>
    <t xml:space="preserve">GTTCGTCGAGCCAGTCAGGC</t>
  </si>
  <si>
    <t xml:space="preserve">TAGTGTTCGTCGAGCCAGTCAGGC</t>
  </si>
  <si>
    <t xml:space="preserve">AAACGCCTGACTGGCTCGACGAAC</t>
  </si>
  <si>
    <t xml:space="preserve">PSPPH_4720</t>
  </si>
  <si>
    <t xml:space="preserve">bioF</t>
  </si>
  <si>
    <t xml:space="preserve">GACGGGCGTCGAGGCGCGTG</t>
  </si>
  <si>
    <t xml:space="preserve">TAGTGACGGGCGTCGAGGCGCGTG</t>
  </si>
  <si>
    <t xml:space="preserve">AAACCACGCGCCTCGACGCCCGTC</t>
  </si>
  <si>
    <t xml:space="preserve">GCGCTGACGGTAGAGATGTT</t>
  </si>
  <si>
    <t xml:space="preserve">TAGTGCGCTGACGGTAGAGATGTT</t>
  </si>
  <si>
    <t xml:space="preserve">AAACAACATCTCTACCGTCAGCGC</t>
  </si>
  <si>
    <t xml:space="preserve">CTTGCGGGCTTTGCAGCAAG</t>
  </si>
  <si>
    <t xml:space="preserve">TAGTCTTGCGGGCTTTGCAGCAAG</t>
  </si>
  <si>
    <t xml:space="preserve">AAACCTTGCTGCAAAGCCCGCAAG</t>
  </si>
  <si>
    <t xml:space="preserve">GACCGTCGACAACCACCTGC</t>
  </si>
  <si>
    <t xml:space="preserve">TAGTGACCGTCGACAACCACCTGC</t>
  </si>
  <si>
    <t xml:space="preserve">AAACGCAGGTGGTTGTCGACGGTC</t>
  </si>
  <si>
    <t xml:space="preserve">PSPPH_4721</t>
  </si>
  <si>
    <t xml:space="preserve">bioB</t>
  </si>
  <si>
    <t xml:space="preserve">TCGGTGGTGCTGGCGCTCAT</t>
  </si>
  <si>
    <t xml:space="preserve">TAGTTCGGTGGTGCTGGCGCTCAT</t>
  </si>
  <si>
    <t xml:space="preserve">AAACATGAGCGCCAGCACCACCGA</t>
  </si>
  <si>
    <t xml:space="preserve">TACGAACAGCGCCCTGACCT</t>
  </si>
  <si>
    <t xml:space="preserve">TAGTTACGAACAGCGCCCTGACCT</t>
  </si>
  <si>
    <t xml:space="preserve">AAACAGGTCAGGGCGCTGTTCGTA</t>
  </si>
  <si>
    <t xml:space="preserve">TGAAACAGCAGGTCATTGAA</t>
  </si>
  <si>
    <t xml:space="preserve">TAGTTGAAACAGCAGGTCATTGAA</t>
  </si>
  <si>
    <t xml:space="preserve">AAACTTCAATGACCTGCTGTTTCA</t>
  </si>
  <si>
    <t xml:space="preserve">GGTTGGCGTCGAAATGAGCG</t>
  </si>
  <si>
    <t xml:space="preserve">TAGTGGTTGGCGTCGAAATGAGCG</t>
  </si>
  <si>
    <t xml:space="preserve">AAACCGCTCATTTCGACGCCAACC</t>
  </si>
  <si>
    <t xml:space="preserve">PSPPH_4722</t>
  </si>
  <si>
    <t xml:space="preserve">comF</t>
  </si>
  <si>
    <t xml:space="preserve">GCGGTTGGGTTGACAGCGCA</t>
  </si>
  <si>
    <t xml:space="preserve">TAGTGCGGTTGGGTTGACAGCGCA</t>
  </si>
  <si>
    <t xml:space="preserve">AAACTGCGCTGTCAACCCAACCGC</t>
  </si>
  <si>
    <t xml:space="preserve">ACCAGATGTAAACCTCGTAT</t>
  </si>
  <si>
    <t xml:space="preserve">TAGTACCAGATGTAAACCTCGTAT</t>
  </si>
  <si>
    <t xml:space="preserve">AAACATACGAGGTTTACATCTGGT</t>
  </si>
  <si>
    <t xml:space="preserve">CACGGCACGCAGACAGGCAT</t>
  </si>
  <si>
    <t xml:space="preserve">TAGTCACGGCACGCAGACAGGCAT</t>
  </si>
  <si>
    <t xml:space="preserve">AAACATGCCTGTCTGCGTGCCGTG</t>
  </si>
  <si>
    <t xml:space="preserve">GCTGCCCAGCCATGGCAGCT</t>
  </si>
  <si>
    <t xml:space="preserve">TAGTGCTGCCCAGCCATGGCAGCT</t>
  </si>
  <si>
    <t xml:space="preserve">AAACAGCTGCCATGGCTGGGCAGC</t>
  </si>
  <si>
    <t xml:space="preserve">PSPPH_4723</t>
  </si>
  <si>
    <t xml:space="preserve">GTCAAGGTCGCTGCTGTCTT</t>
  </si>
  <si>
    <t xml:space="preserve">TAGTGTCAAGGTCGCTGCTGTCTT</t>
  </si>
  <si>
    <t xml:space="preserve">AAACAAGACAGCAGCGACCTTGAC</t>
  </si>
  <si>
    <t xml:space="preserve">GCAAGGTCAGACGATTGAGC</t>
  </si>
  <si>
    <t xml:space="preserve">TAGTGCAAGGTCAGACGATTGAGC</t>
  </si>
  <si>
    <t xml:space="preserve">AAACGCTCAATCGTCTGACCTTGC</t>
  </si>
  <si>
    <t xml:space="preserve">CAGCAACTGGTTGCGTGCGC</t>
  </si>
  <si>
    <t xml:space="preserve">TAGTCAGCAACTGGTTGCGTGCGC</t>
  </si>
  <si>
    <t xml:space="preserve">AAACGCGCACGCAACCAGTTGCTG</t>
  </si>
  <si>
    <t xml:space="preserve">CTGATCGTTGTGTCCCTGAC</t>
  </si>
  <si>
    <t xml:space="preserve">TAGTCTGATCGTTGTGTCCCTGAC</t>
  </si>
  <si>
    <t xml:space="preserve">AAACGTCAGGGACACAACGATCAG</t>
  </si>
  <si>
    <t xml:space="preserve">PSPPH_4724</t>
  </si>
  <si>
    <t xml:space="preserve">GACCAGGTTTTCCAGATCGG</t>
  </si>
  <si>
    <t xml:space="preserve">TAGTGACCAGGTTTTCCAGATCGG</t>
  </si>
  <si>
    <t xml:space="preserve">AAACCCGATCTGGAAAACCTGGTC</t>
  </si>
  <si>
    <t xml:space="preserve">TAATGAAGCCCCGGCGGGTG</t>
  </si>
  <si>
    <t xml:space="preserve">TAGTTAATGAAGCCCCGGCGGGTG</t>
  </si>
  <si>
    <t xml:space="preserve">AAACCACCCGCCGGGGCTTCATTA</t>
  </si>
  <si>
    <t xml:space="preserve">AAACATCGCTGCGCCGCACA</t>
  </si>
  <si>
    <t xml:space="preserve">TAGTAAACATCGCTGCGCCGCACA</t>
  </si>
  <si>
    <t xml:space="preserve">AAACTGTGCGGCGCAGCGATGTTT</t>
  </si>
  <si>
    <t xml:space="preserve">CGAGAACCGTGCGGCTCAAC</t>
  </si>
  <si>
    <t xml:space="preserve">TAGTCGAGAACCGTGCGGCTCAAC</t>
  </si>
  <si>
    <t xml:space="preserve">AAACGTTGAGCCGCACGGTTCTCG</t>
  </si>
  <si>
    <t xml:space="preserve">PSPPH_4725</t>
  </si>
  <si>
    <t xml:space="preserve">CTGATCTGGGCAATAAGAAA</t>
  </si>
  <si>
    <t xml:space="preserve">TAGTCTGATCTGGGCAATAAGAAA</t>
  </si>
  <si>
    <t xml:space="preserve">AAACTTTCTTATTGCCCAGATCAG</t>
  </si>
  <si>
    <t xml:space="preserve">TCAGACGCCCGTCGGCTTTG</t>
  </si>
  <si>
    <t xml:space="preserve">TAGTTCAGACGCCCGTCGGCTTTG</t>
  </si>
  <si>
    <t xml:space="preserve">AAACCAAAGCCGACGGGCGTCTGA</t>
  </si>
  <si>
    <t xml:space="preserve">CAGTGTATCGACCACGCCAT</t>
  </si>
  <si>
    <t xml:space="preserve">TAGTCAGTGTATCGACCACGCCAT</t>
  </si>
  <si>
    <t xml:space="preserve">AAACATGGCGTGGTCGATACACTG</t>
  </si>
  <si>
    <t xml:space="preserve">CGTTGATGTGTTCGACTGCG</t>
  </si>
  <si>
    <t xml:space="preserve">TAGTCGTTGATGTGTTCGACTGCG</t>
  </si>
  <si>
    <t xml:space="preserve">AAACCGCAGTCGAACACATCAACG</t>
  </si>
  <si>
    <t xml:space="preserve">PSPPH_4726</t>
  </si>
  <si>
    <t xml:space="preserve">GCGGCAGCCTTTCAGGCGAA</t>
  </si>
  <si>
    <t xml:space="preserve">TAGTGCGGCAGCCTTTCAGGCGAA</t>
  </si>
  <si>
    <t xml:space="preserve">AAACTTCGCCTGAAAGGCTGCCGC</t>
  </si>
  <si>
    <t xml:space="preserve">CTGTACAGCAACGGTGCCGT</t>
  </si>
  <si>
    <t xml:space="preserve">TAGTCTGTACAGCAACGGTGCCGT</t>
  </si>
  <si>
    <t xml:space="preserve">AAACACGGCACCGTTGCTGTACAG</t>
  </si>
  <si>
    <t xml:space="preserve">AGAATCGCCAGCGTTTCGCC</t>
  </si>
  <si>
    <t xml:space="preserve">TAGTAGAATCGCCAGCGTTTCGCC</t>
  </si>
  <si>
    <t xml:space="preserve">AAACGGCGAAACGCTGGCGATTCT</t>
  </si>
  <si>
    <t xml:space="preserve">GGTAGTGGTCTTGCCGCAAC</t>
  </si>
  <si>
    <t xml:space="preserve">TAGTGGTAGTGGTCTTGCCGCAAC</t>
  </si>
  <si>
    <t xml:space="preserve">AAACGTTGCGGCAAGACCACTACC</t>
  </si>
  <si>
    <t xml:space="preserve">PSPPH_4727</t>
  </si>
  <si>
    <t xml:space="preserve">GCCAGTTGCGCAGCAAACAA</t>
  </si>
  <si>
    <t xml:space="preserve">TAGTGCCAGTTGCGCAGCAAACAA</t>
  </si>
  <si>
    <t xml:space="preserve">AAACTTGTTTGCTGCGCAACTGGC</t>
  </si>
  <si>
    <t xml:space="preserve">CAAGCAGCGAAAGCACTACC</t>
  </si>
  <si>
    <t xml:space="preserve">TAGTCAAGCAGCGAAAGCACTACC</t>
  </si>
  <si>
    <t xml:space="preserve">AAACGGTAGTGCTTTCGCTGCTTG</t>
  </si>
  <si>
    <t xml:space="preserve">AAAATAATTGCGGGTCAGCC</t>
  </si>
  <si>
    <t xml:space="preserve">TAGTAAAATAATTGCGGGTCAGCC</t>
  </si>
  <si>
    <t xml:space="preserve">AAACGGCTGACCCGCAATTATTTT</t>
  </si>
  <si>
    <t xml:space="preserve">CGAAGGTCAAACCGCTCGAC</t>
  </si>
  <si>
    <t xml:space="preserve">TAGTCGAAGGTCAAACCGCTCGAC</t>
  </si>
  <si>
    <t xml:space="preserve">AAACGTCGAGCGGTTTGACCTTCG</t>
  </si>
  <si>
    <t xml:space="preserve">PSPPH_4728</t>
  </si>
  <si>
    <t xml:space="preserve">AGCCAGCGCGTGTCCCGGCG</t>
  </si>
  <si>
    <t xml:space="preserve">TAGTAGCCAGCGCGTGTCCCGGCG</t>
  </si>
  <si>
    <t xml:space="preserve">AAACCGCCGGGACACGCGCTGGCT</t>
  </si>
  <si>
    <t xml:space="preserve">CAAGTGCCACCGCAGCGGTC</t>
  </si>
  <si>
    <t xml:space="preserve">TAGTCAAGTGCCACCGCAGCGGTC</t>
  </si>
  <si>
    <t xml:space="preserve">AAACGACCGCTGCGGTGGCACTTG</t>
  </si>
  <si>
    <t xml:space="preserve">GCCAGCAACACCGCCAGCGC</t>
  </si>
  <si>
    <t xml:space="preserve">TAGTGCCAGCAACACCGCCAGCGC</t>
  </si>
  <si>
    <t xml:space="preserve">AAACGCGCTGGCGGTGTTGCTGGC</t>
  </si>
  <si>
    <t xml:space="preserve">AGCAGGATCAGGTGGGTCAG</t>
  </si>
  <si>
    <t xml:space="preserve">TAGTAGCAGGATCAGGTGGGTCAG</t>
  </si>
  <si>
    <t xml:space="preserve">AAACCTGACCCACCTGATCCTGCT</t>
  </si>
  <si>
    <t xml:space="preserve">PSPPH_4729</t>
  </si>
  <si>
    <t xml:space="preserve">CACATAACAGCAGTGCCGCG</t>
  </si>
  <si>
    <t xml:space="preserve">TAGTCACATAACAGCAGTGCCGCG</t>
  </si>
  <si>
    <t xml:space="preserve">AAACCGCGGCACTGCTGTTATGTG</t>
  </si>
  <si>
    <t xml:space="preserve">TTCGGCGGCCTGGGCGAGGC</t>
  </si>
  <si>
    <t xml:space="preserve">TAGTTTCGGCGGCCTGGGCGAGGC</t>
  </si>
  <si>
    <t xml:space="preserve">AAACGCCTCGCCCAGGCCGCCGAA</t>
  </si>
  <si>
    <t xml:space="preserve">CGGGCAGTTGTAGCAGATGG</t>
  </si>
  <si>
    <t xml:space="preserve">TAGTCGGGCAGTTGTAGCAGATGG</t>
  </si>
  <si>
    <t xml:space="preserve">AAACCCATCTGCTACAACTGCCCG</t>
  </si>
  <si>
    <t xml:space="preserve">CCCCAGTCGGCCCATTCGGG</t>
  </si>
  <si>
    <t xml:space="preserve">TAGTCCCCAGTCGGCCCATTCGGG</t>
  </si>
  <si>
    <t xml:space="preserve">AAACCCCGAATGGGCCGACTGGGG</t>
  </si>
  <si>
    <t xml:space="preserve">PSPPH_4730</t>
  </si>
  <si>
    <t xml:space="preserve">GGGGTTTAGCGAACCGGGAC</t>
  </si>
  <si>
    <t xml:space="preserve">TAGTGGGGTTTAGCGAACCGGGAC</t>
  </si>
  <si>
    <t xml:space="preserve">AAACGTCCCGGTTCGCTAAACCCC</t>
  </si>
  <si>
    <t xml:space="preserve">CTTGGGCACTTTAAACAGAA</t>
  </si>
  <si>
    <t xml:space="preserve">TAGTCTTGGGCACTTTAAACAGAA</t>
  </si>
  <si>
    <t xml:space="preserve">AAACTTCTGTTTAAAGTGCCCAAG</t>
  </si>
  <si>
    <t xml:space="preserve">GCGACCGGAGGATGACCGTT</t>
  </si>
  <si>
    <t xml:space="preserve">TAGTGCGACCGGAGGATGACCGTT</t>
  </si>
  <si>
    <t xml:space="preserve">AAACAACGGTCATCCTCCGGTCGC</t>
  </si>
  <si>
    <t xml:space="preserve">GCAACTGTAAGTGCCGAACA</t>
  </si>
  <si>
    <t xml:space="preserve">TAGTGCAACTGTAAGTGCCGAACA</t>
  </si>
  <si>
    <t xml:space="preserve">AAACTGTTCGGCACTTACAGTTGC</t>
  </si>
  <si>
    <t xml:space="preserve">PSPPH_4731</t>
  </si>
  <si>
    <t xml:space="preserve">CGGGAGTGAGTGTTGCAAAC</t>
  </si>
  <si>
    <t xml:space="preserve">TAGTCGGGAGTGAGTGTTGCAAAC</t>
  </si>
  <si>
    <t xml:space="preserve">AAACGTTTGCAACACTCACTCCCG</t>
  </si>
  <si>
    <t xml:space="preserve">AACGGCATCGAGCACCAGAT</t>
  </si>
  <si>
    <t xml:space="preserve">TAGTAACGGCATCGAGCACCAGAT</t>
  </si>
  <si>
    <t xml:space="preserve">AAACATCTGGTGCTCGATGCCGTT</t>
  </si>
  <si>
    <t xml:space="preserve">GCTGTTGAGTGCCAGGATGC</t>
  </si>
  <si>
    <t xml:space="preserve">TAGTGCTGTTGAGTGCCAGGATGC</t>
  </si>
  <si>
    <t xml:space="preserve">AAACGCATCCTGGCACTCAACAGC</t>
  </si>
  <si>
    <t xml:space="preserve">CGATACCGACCTGATACACG</t>
  </si>
  <si>
    <t xml:space="preserve">TAGTCGATACCGACCTGATACACG</t>
  </si>
  <si>
    <t xml:space="preserve">AAACCGTGTATCAGGTCGGTATCG</t>
  </si>
  <si>
    <t xml:space="preserve">PSPPH_4732</t>
  </si>
  <si>
    <t xml:space="preserve">rarD</t>
  </si>
  <si>
    <t xml:space="preserve">GCGTGGATTGGCAGCTTGCA</t>
  </si>
  <si>
    <t xml:space="preserve">TAGTGCGTGGATTGGCAGCTTGCA</t>
  </si>
  <si>
    <t xml:space="preserve">AAACTGCAAGCTGCCAATCCACGC</t>
  </si>
  <si>
    <t xml:space="preserve">TCAGGCCCAGGATGTATCCA</t>
  </si>
  <si>
    <t xml:space="preserve">TAGTTCAGGCCCAGGATGTATCCA</t>
  </si>
  <si>
    <t xml:space="preserve">AAACTGGATACATCCTGGGCCTGA</t>
  </si>
  <si>
    <t xml:space="preserve">GATGGGGAACAGGCCCCAGA</t>
  </si>
  <si>
    <t xml:space="preserve">TAGTGATGGGGAACAGGCCCCAGA</t>
  </si>
  <si>
    <t xml:space="preserve">AAACTCTGGGGCCTGTTCCCCATC</t>
  </si>
  <si>
    <t xml:space="preserve">GATGGCCGGAACGGCTGAGA</t>
  </si>
  <si>
    <t xml:space="preserve">TAGTGATGGCCGGAACGGCTGAGA</t>
  </si>
  <si>
    <t xml:space="preserve">AAACTCTCAGCCGTTCCGGCCATC</t>
  </si>
  <si>
    <t xml:space="preserve">PSPPH_4733</t>
  </si>
  <si>
    <t xml:space="preserve">GCGACGTTTTCACGCAACGG</t>
  </si>
  <si>
    <t xml:space="preserve">TAGTGCGACGTTTTCACGCAACGG</t>
  </si>
  <si>
    <t xml:space="preserve">AAACCCGTTGCGTGAAAACGTCGC</t>
  </si>
  <si>
    <t xml:space="preserve">GAACAATCACGAGCGCTTTT</t>
  </si>
  <si>
    <t xml:space="preserve">TAGTGAACAATCACGAGCGCTTTT</t>
  </si>
  <si>
    <t xml:space="preserve">AAACAAAAGCGCTCGTGATTGTTC</t>
  </si>
  <si>
    <t xml:space="preserve">GTACCGTTTGCCACGCTTTA</t>
  </si>
  <si>
    <t xml:space="preserve">TAGTGTACCGTTTGCCACGCTTTA</t>
  </si>
  <si>
    <t xml:space="preserve">AAACTAAAGCGTGGCAAACGGTAC</t>
  </si>
  <si>
    <t xml:space="preserve">CCCCGAAGGCAGCCCGTGCG</t>
  </si>
  <si>
    <t xml:space="preserve">TAGTCCCCGAAGGCAGCCCGTGCG</t>
  </si>
  <si>
    <t xml:space="preserve">AAACCGCACGGGCTGCCTTCGGGG</t>
  </si>
  <si>
    <t xml:space="preserve">PSPPH_4734</t>
  </si>
  <si>
    <t xml:space="preserve">glcB</t>
  </si>
  <si>
    <t xml:space="preserve">ACAGGACTCTGGCGACTTGC</t>
  </si>
  <si>
    <t xml:space="preserve">TAGTACAGGACTCTGGCGACTTGC</t>
  </si>
  <si>
    <t xml:space="preserve">AAACGCAAGTCGCCAGAGTCCTGT</t>
  </si>
  <si>
    <t xml:space="preserve">GTCGATGCCGGTTCCGGGTG</t>
  </si>
  <si>
    <t xml:space="preserve">TAGTGTCGATGCCGGTTCCGGGTG</t>
  </si>
  <si>
    <t xml:space="preserve">AAACCACCCGGAACCGGCATCGAC</t>
  </si>
  <si>
    <t xml:space="preserve">CGCACCCGCCCAGAACGAAG</t>
  </si>
  <si>
    <t xml:space="preserve">TAGTCGCACCCGCCCAGAACGAAG</t>
  </si>
  <si>
    <t xml:space="preserve">AAACCTTCGTTCTGGGCGGGTGCG</t>
  </si>
  <si>
    <t xml:space="preserve">GCGCAAGGTCGTGGATCAGT</t>
  </si>
  <si>
    <t xml:space="preserve">TAGTGCGCAAGGTCGTGGATCAGT</t>
  </si>
  <si>
    <t xml:space="preserve">AAACACTGATCCACGACCTTGCGC</t>
  </si>
  <si>
    <t xml:space="preserve">PSPPH_4736</t>
  </si>
  <si>
    <t xml:space="preserve">hopAS1</t>
  </si>
  <si>
    <t xml:space="preserve">AGAACGAGTATTGATTCTTA</t>
  </si>
  <si>
    <t xml:space="preserve">TAGTAGAACGAGTATTGATTCTTA</t>
  </si>
  <si>
    <t xml:space="preserve">AAACTAAGAATCAATACTCGTTCT</t>
  </si>
  <si>
    <t xml:space="preserve">TGTTTCCAGAGGCACAACCG</t>
  </si>
  <si>
    <t xml:space="preserve">TAGTTGTTTCCAGAGGCACAACCG</t>
  </si>
  <si>
    <t xml:space="preserve">AAACCGGTTGTGCCTCTGGAAACA</t>
  </si>
  <si>
    <t xml:space="preserve">GCCGTGACAGACGGTACTTC</t>
  </si>
  <si>
    <t xml:space="preserve">TAGTGCCGTGACAGACGGTACTTC</t>
  </si>
  <si>
    <t xml:space="preserve">AAACGAAGTACCGTCTGTCACGGC</t>
  </si>
  <si>
    <t xml:space="preserve">GCGACTGGCGGAGGCTCAGT</t>
  </si>
  <si>
    <t xml:space="preserve">TAGTGCGACTGGCGGAGGCTCAGT</t>
  </si>
  <si>
    <t xml:space="preserve">AAACACTGAGCCTCCGCCAGTCGC</t>
  </si>
  <si>
    <t xml:space="preserve">PSPPH_4737</t>
  </si>
  <si>
    <t xml:space="preserve">CGTTGCGGTGCGTCACGGGC</t>
  </si>
  <si>
    <t xml:space="preserve">TAGTCGTTGCGGTGCGTCACGGGC</t>
  </si>
  <si>
    <t xml:space="preserve">AAACGCCCGTGACGCACCGCAACG</t>
  </si>
  <si>
    <t xml:space="preserve">GTCATTGAGGCTCAGAATTT</t>
  </si>
  <si>
    <t xml:space="preserve">TAGTGTCATTGAGGCTCAGAATTT</t>
  </si>
  <si>
    <t xml:space="preserve">AAACAAATTCTGAGCCTCAATGAC</t>
  </si>
  <si>
    <t xml:space="preserve">CGCGCTGTCGCCACCGGGTG</t>
  </si>
  <si>
    <t xml:space="preserve">TAGTCGCGCTGTCGCCACCGGGTG</t>
  </si>
  <si>
    <t xml:space="preserve">AAACCACCCGGTGGCGACAGCGCG</t>
  </si>
  <si>
    <t xml:space="preserve">GTCCGATGGACTGACGCGTC</t>
  </si>
  <si>
    <t xml:space="preserve">TAGTGTCCGATGGACTGACGCGTC</t>
  </si>
  <si>
    <t xml:space="preserve">AAACGACGCGTCAGTCCATCGGAC</t>
  </si>
  <si>
    <t xml:space="preserve">PSPPH_4738</t>
  </si>
  <si>
    <t xml:space="preserve">ATTGCGAGCGAAGACTGGCC</t>
  </si>
  <si>
    <t xml:space="preserve">TAGTATTGCGAGCGAAGACTGGCC</t>
  </si>
  <si>
    <t xml:space="preserve">AAACGGCCAGTCTTCGCTCGCAAT</t>
  </si>
  <si>
    <t xml:space="preserve">AACTGATTTGACGAACGCAA</t>
  </si>
  <si>
    <t xml:space="preserve">TAGTAACTGATTTGACGAACGCAA</t>
  </si>
  <si>
    <t xml:space="preserve">AAACTTGCGTTCGTCAAATCAGTT</t>
  </si>
  <si>
    <t xml:space="preserve">PSPPH_4739</t>
  </si>
  <si>
    <t xml:space="preserve">GAATTTTTGCAGAAACTGCA</t>
  </si>
  <si>
    <t xml:space="preserve">TAGTGAATTTTTGCAGAAACTGCA</t>
  </si>
  <si>
    <t xml:space="preserve">AAACTGCAGTTTCTGCAAAAATTC</t>
  </si>
  <si>
    <t xml:space="preserve">TTTCCATCTGGTTGAAAGGC</t>
  </si>
  <si>
    <t xml:space="preserve">TAGTTTTCCATCTGGTTGAAAGGC</t>
  </si>
  <si>
    <t xml:space="preserve">AAACGCCTTTCAACCAGATGGAAA</t>
  </si>
  <si>
    <t xml:space="preserve">GGAGCTGACACTGCTCTACG</t>
  </si>
  <si>
    <t xml:space="preserve">TAGTGGAGCTGACACTGCTCTACG</t>
  </si>
  <si>
    <t xml:space="preserve">AAACCGTAGAGCAGTGTCAGCTCC</t>
  </si>
  <si>
    <t xml:space="preserve">TTTCATCCGCAGCATAGAAC</t>
  </si>
  <si>
    <t xml:space="preserve">TAGTTTTCATCCGCAGCATAGAAC</t>
  </si>
  <si>
    <t xml:space="preserve">AAACGTTCTATGCTGCGGATGAAA</t>
  </si>
  <si>
    <t xml:space="preserve">PSPPH_4740</t>
  </si>
  <si>
    <t xml:space="preserve">GCGGCTTGAGCCATTCGAAC</t>
  </si>
  <si>
    <t xml:space="preserve">TAGTGCGGCTTGAGCCATTCGAAC</t>
  </si>
  <si>
    <t xml:space="preserve">AAACGTTCGAATGGCTCAAGCCGC</t>
  </si>
  <si>
    <t xml:space="preserve">TCCAGTTGATGCGCTTGCAA</t>
  </si>
  <si>
    <t xml:space="preserve">TAGTTCCAGTTGATGCGCTTGCAA</t>
  </si>
  <si>
    <t xml:space="preserve">AAACTTGCAAGCGCATCAACTGGA</t>
  </si>
  <si>
    <t xml:space="preserve">CGCAGACCGGCAGCTTTTTG</t>
  </si>
  <si>
    <t xml:space="preserve">TAGTCGCAGACCGGCAGCTTTTTG</t>
  </si>
  <si>
    <t xml:space="preserve">AAACCAAAAAGCTGCCGGTCTGCG</t>
  </si>
  <si>
    <t xml:space="preserve">GGCGCAAAGGCTTGTCGCTG</t>
  </si>
  <si>
    <t xml:space="preserve">TAGTGGCGCAAAGGCTTGTCGCTG</t>
  </si>
  <si>
    <t xml:space="preserve">AAACCAGCGACAAGCCTTTGCGCC</t>
  </si>
  <si>
    <t xml:space="preserve">PSPPH_4741</t>
  </si>
  <si>
    <t xml:space="preserve">ATTGCCCAGAATAGTGAGGA</t>
  </si>
  <si>
    <t xml:space="preserve">TAGTATTGCCCAGAATAGTGAGGA</t>
  </si>
  <si>
    <t xml:space="preserve">AAACTCCTCACTATTCTGGGCAAT</t>
  </si>
  <si>
    <t xml:space="preserve">AGGGTCAGGTCTTCGCCAGC</t>
  </si>
  <si>
    <t xml:space="preserve">TAGTAGGGTCAGGTCTTCGCCAGC</t>
  </si>
  <si>
    <t xml:space="preserve">AAACGCTGGCGAAGACCTGACCCT</t>
  </si>
  <si>
    <t xml:space="preserve">GCATCGCGGCGGCCTTCATG</t>
  </si>
  <si>
    <t xml:space="preserve">TAGTGCATCGCGGCGGCCTTCATG</t>
  </si>
  <si>
    <t xml:space="preserve">AAACCATGAAGGCCGCCGCGATGC</t>
  </si>
  <si>
    <t xml:space="preserve">CGGGTATTTGCGCTTGGTGT</t>
  </si>
  <si>
    <t xml:space="preserve">TAGTCGGGTATTTGCGCTTGGTGT</t>
  </si>
  <si>
    <t xml:space="preserve">AAACACACCAAGCGCAAATACCCG</t>
  </si>
  <si>
    <t xml:space="preserve">PSPPH_4742</t>
  </si>
  <si>
    <t xml:space="preserve">glyA2</t>
  </si>
  <si>
    <t xml:space="preserve">ATTTCTCGAGCAAATTTCAA</t>
  </si>
  <si>
    <t xml:space="preserve">TAGTATTTCTCGAGCAAATTTCAA</t>
  </si>
  <si>
    <t xml:space="preserve">AAACTTGAAATTTGCTCGAGAAAT</t>
  </si>
  <si>
    <t xml:space="preserve">TTGTTCCAATTGGCTAAGGG</t>
  </si>
  <si>
    <t xml:space="preserve">TAGTTTGTTCCAATTGGCTAAGGG</t>
  </si>
  <si>
    <t xml:space="preserve">AAACCCCTTAGCCAATTGGAACAA</t>
  </si>
  <si>
    <t xml:space="preserve">CATTTGTTTCCTGAAGGGCC</t>
  </si>
  <si>
    <t xml:space="preserve">TAGTCATTTGTTTCCTGAAGGGCC</t>
  </si>
  <si>
    <t xml:space="preserve">AAACGGCCCTTCAGGAAACAAATG</t>
  </si>
  <si>
    <t xml:space="preserve">GTCCTTGGCTTTTGCCAGCT</t>
  </si>
  <si>
    <t xml:space="preserve">TAGTGTCCTTGGCTTTTGCCAGCT</t>
  </si>
  <si>
    <t xml:space="preserve">AAACAGCTGGCAAAAGCCAAGGAC</t>
  </si>
  <si>
    <t xml:space="preserve">PSPPH_4743</t>
  </si>
  <si>
    <t xml:space="preserve">CGCGATGTTCATATTTCGCA</t>
  </si>
  <si>
    <t xml:space="preserve">TAGTCGCGATGTTCATATTTCGCA</t>
  </si>
  <si>
    <t xml:space="preserve">AAACTGCGAAATATGAACATCGCG</t>
  </si>
  <si>
    <t xml:space="preserve">GCAAATCCAAGAAACGCTCG</t>
  </si>
  <si>
    <t xml:space="preserve">TAGTGCAAATCCAAGAAACGCTCG</t>
  </si>
  <si>
    <t xml:space="preserve">AAACCGAGCGTTTCTTGGATTTGC</t>
  </si>
  <si>
    <t xml:space="preserve">CAACATGAGTGTGCCGATCA</t>
  </si>
  <si>
    <t xml:space="preserve">TAGTCAACATGAGTGTGCCGATCA</t>
  </si>
  <si>
    <t xml:space="preserve">AAACTGATCGGCACACTCATGTTG</t>
  </si>
  <si>
    <t xml:space="preserve">CCAGCACTTCAGTGGCGCCA</t>
  </si>
  <si>
    <t xml:space="preserve">TAGTCCAGCACTTCAGTGGCGCCA</t>
  </si>
  <si>
    <t xml:space="preserve">AAACTGGCGCCACTGAAGTGCTGG</t>
  </si>
  <si>
    <t xml:space="preserve">PSPPH_4744</t>
  </si>
  <si>
    <t xml:space="preserve">GATTGTGGCGCGCTGTTCTG</t>
  </si>
  <si>
    <t xml:space="preserve">TAGTGATTGTGGCGCGCTGTTCTG</t>
  </si>
  <si>
    <t xml:space="preserve">AAACCAGAACAGCGCGCCACAATC</t>
  </si>
  <si>
    <t xml:space="preserve">ATCCAGCAGCAGAAAGCCGA</t>
  </si>
  <si>
    <t xml:space="preserve">TAGTATCCAGCAGCAGAAAGCCGA</t>
  </si>
  <si>
    <t xml:space="preserve">AAACTCGGCTTTCTGCTGCTGGAT</t>
  </si>
  <si>
    <t xml:space="preserve">CGCCGATGCGAGGGAGATCA</t>
  </si>
  <si>
    <t xml:space="preserve">TAGTCGCCGATGCGAGGGAGATCA</t>
  </si>
  <si>
    <t xml:space="preserve">AAACTGATCTCCCTCGCATCGGCG</t>
  </si>
  <si>
    <t xml:space="preserve">AGCTGGTTAGCCATGCGAAG</t>
  </si>
  <si>
    <t xml:space="preserve">TAGTAGCTGGTTAGCCATGCGAAG</t>
  </si>
  <si>
    <t xml:space="preserve">AAACCTTCGCATGGCTAACCAGCT</t>
  </si>
  <si>
    <t xml:space="preserve">PSPPH_4746</t>
  </si>
  <si>
    <t xml:space="preserve">CTAAAAGGTGGCGGCCATCA</t>
  </si>
  <si>
    <t xml:space="preserve">TAGTCTAAAAGGTGGCGGCCATCA</t>
  </si>
  <si>
    <t xml:space="preserve">AAACTGATGGCCGCCACCTTTTAG</t>
  </si>
  <si>
    <t xml:space="preserve">TGAAAAATCAGGTCGTCAGC</t>
  </si>
  <si>
    <t xml:space="preserve">TAGTTGAAAAATCAGGTCGTCAGC</t>
  </si>
  <si>
    <t xml:space="preserve">AAACGCTGACGACCTGATTTTTCA</t>
  </si>
  <si>
    <t xml:space="preserve">PSPPH_4747</t>
  </si>
  <si>
    <t xml:space="preserve">AACGATTTGGAACCTTTCAT</t>
  </si>
  <si>
    <t xml:space="preserve">TAGTAACGATTTGGAACCTTTCAT</t>
  </si>
  <si>
    <t xml:space="preserve">AAACATGAAAGGTTCCAAATCGTT</t>
  </si>
  <si>
    <t xml:space="preserve">CACCGGCATACAGAGCGTAG</t>
  </si>
  <si>
    <t xml:space="preserve">TAGTCACCGGCATACAGAGCGTAG</t>
  </si>
  <si>
    <t xml:space="preserve">AAACCTACGCTCTGTATGCCGGTG</t>
  </si>
  <si>
    <t xml:space="preserve">CGTATGACAGGCCTCTGGCT</t>
  </si>
  <si>
    <t xml:space="preserve">TAGTCGTATGACAGGCCTCTGGCT</t>
  </si>
  <si>
    <t xml:space="preserve">AAACAGCCAGAGGCCTGTCATACG</t>
  </si>
  <si>
    <t xml:space="preserve">AATGTCAGTCCAGCCTACGT</t>
  </si>
  <si>
    <t xml:space="preserve">TAGTAATGTCAGTCCAGCCTACGT</t>
  </si>
  <si>
    <t xml:space="preserve">AAACACGTAGGCTGGACTGACATT</t>
  </si>
  <si>
    <t xml:space="preserve">PSPPH_4748</t>
  </si>
  <si>
    <t xml:space="preserve">ACTCGCCCAGAGGGATTTTA</t>
  </si>
  <si>
    <t xml:space="preserve">TAGTACTCGCCCAGAGGGATTTTA</t>
  </si>
  <si>
    <t xml:space="preserve">AAACTAAAATCCCTCTGGGCGAGT</t>
  </si>
  <si>
    <t xml:space="preserve">CGTCAACCAATCGACAAATG</t>
  </si>
  <si>
    <t xml:space="preserve">TAGTCGTCAACCAATCGACAAATG</t>
  </si>
  <si>
    <t xml:space="preserve">AAACCATTTGTCGATTGGTTGACG</t>
  </si>
  <si>
    <t xml:space="preserve">GTCGAAGTAATCGGCGCCGT</t>
  </si>
  <si>
    <t xml:space="preserve">TAGTGTCGAAGTAATCGGCGCCGT</t>
  </si>
  <si>
    <t xml:space="preserve">AAACACGGCGCCGATTACTTCGAC</t>
  </si>
  <si>
    <t xml:space="preserve">GATCATCATTTCCAGTGTCG</t>
  </si>
  <si>
    <t xml:space="preserve">TAGTGATCATCATTTCCAGTGTCG</t>
  </si>
  <si>
    <t xml:space="preserve">AAACCGACACTGGAAATGATGATC</t>
  </si>
  <si>
    <t xml:space="preserve">PSPPH_4749</t>
  </si>
  <si>
    <t xml:space="preserve">GAGGGCTTCACGCGGGTCCC</t>
  </si>
  <si>
    <t xml:space="preserve">TAGTGAGGGCTTCACGCGGGTCCC</t>
  </si>
  <si>
    <t xml:space="preserve">AAACGGGACCCGCGTGAAGCCCTC</t>
  </si>
  <si>
    <t xml:space="preserve">GCCCGGTTTTCTTCAGAATC</t>
  </si>
  <si>
    <t xml:space="preserve">TAGTGCCCGGTTTTCTTCAGAATC</t>
  </si>
  <si>
    <t xml:space="preserve">AAACGATTCTGAAGAAAACCGGGC</t>
  </si>
  <si>
    <t xml:space="preserve">GCCTTTCTCGATGTCCAGAC</t>
  </si>
  <si>
    <t xml:space="preserve">TAGTGCCTTTCTCGATGTCCAGAC</t>
  </si>
  <si>
    <t xml:space="preserve">AAACGTCTGGACATCGAGAAAGGC</t>
  </si>
  <si>
    <t xml:space="preserve">GTTGATGCAGCGCAACAGGC</t>
  </si>
  <si>
    <t xml:space="preserve">TAGTGTTGATGCAGCGCAACAGGC</t>
  </si>
  <si>
    <t xml:space="preserve">AAACGCCTGTTGCGCTGCATCAAC</t>
  </si>
  <si>
    <t xml:space="preserve">PSPPH_4750</t>
  </si>
  <si>
    <t xml:space="preserve">glyA</t>
  </si>
  <si>
    <t xml:space="preserve">CGTCGTCATAACCCTGGATC</t>
  </si>
  <si>
    <t xml:space="preserve">TAGTCGTCGTCATAACCCTGGATC</t>
  </si>
  <si>
    <t xml:space="preserve">AAACGATCCAGGGTTATGACGACG</t>
  </si>
  <si>
    <t xml:space="preserve">CCGAGGCGATCAGCTCGATA</t>
  </si>
  <si>
    <t xml:space="preserve">TAGTCCGAGGCGATCAGCTCGATA</t>
  </si>
  <si>
    <t xml:space="preserve">AAACTATCGAGCTGATCGCCTCGG</t>
  </si>
  <si>
    <t xml:space="preserve">CGCCGTAGTAACGCTTGCCA</t>
  </si>
  <si>
    <t xml:space="preserve">TAGTCGCCGTAGTAACGCTTGCCA</t>
  </si>
  <si>
    <t xml:space="preserve">AAACTGGCAAGCGTTACTACGGCG</t>
  </si>
  <si>
    <t xml:space="preserve">CAGCTGTTTGGCGCGCTCGA</t>
  </si>
  <si>
    <t xml:space="preserve">TAGTCAGCTGTTTGGCGCGCTCGA</t>
  </si>
  <si>
    <t xml:space="preserve">AAACTCGAGCGCGCCAAACAGCTG</t>
  </si>
  <si>
    <t xml:space="preserve">PSPPH_4751</t>
  </si>
  <si>
    <t xml:space="preserve">soxB</t>
  </si>
  <si>
    <t xml:space="preserve">GGCTGAGGGAATGCTTGAGA</t>
  </si>
  <si>
    <t xml:space="preserve">TAGTGGCTGAGGGAATGCTTGAGA</t>
  </si>
  <si>
    <t xml:space="preserve">AAACTCTCAAGCATTCCCTCAGCC</t>
  </si>
  <si>
    <t xml:space="preserve">TGCGCTGCCAGTTTTCGTGA</t>
  </si>
  <si>
    <t xml:space="preserve">TAGTTGCGCTGCCAGTTTTCGTGA</t>
  </si>
  <si>
    <t xml:space="preserve">AAACTCACGAAAACTGGCAGCGCA</t>
  </si>
  <si>
    <t xml:space="preserve">TCGTAGACCTTTTTCGGGGT</t>
  </si>
  <si>
    <t xml:space="preserve">TAGTTCGTAGACCTTTTTCGGGGT</t>
  </si>
  <si>
    <t xml:space="preserve">AAACACCCCGAAAAAGGTCTACGA</t>
  </si>
  <si>
    <t xml:space="preserve">GTGCTCCTTGGCTAGATAGT</t>
  </si>
  <si>
    <t xml:space="preserve">TAGTGTGCTCCTTGGCTAGATAGT</t>
  </si>
  <si>
    <t xml:space="preserve">AAACACTATCTAGCCAAGGAGCAC</t>
  </si>
  <si>
    <t xml:space="preserve">PSPPH_4752</t>
  </si>
  <si>
    <t xml:space="preserve">soxD</t>
  </si>
  <si>
    <t xml:space="preserve">AGGACAGAAGATATGCAGCA</t>
  </si>
  <si>
    <t xml:space="preserve">TAGTAGGACAGAAGATATGCAGCA</t>
  </si>
  <si>
    <t xml:space="preserve">AAACTGCTGCATATCTTCTGTCCT</t>
  </si>
  <si>
    <t xml:space="preserve">GAGCGCAGTTCGCCACAGTG</t>
  </si>
  <si>
    <t xml:space="preserve">TAGTGAGCGCAGTTCGCCACAGTG</t>
  </si>
  <si>
    <t xml:space="preserve">AAACCACTGTGGCGAACTGCGCTC</t>
  </si>
  <si>
    <t xml:space="preserve">GGACGGGTGGAATTCCTCTT</t>
  </si>
  <si>
    <t xml:space="preserve">TAGTGGACGGGTGGAATTCCTCTT</t>
  </si>
  <si>
    <t xml:space="preserve">AAACAAGAGGAATTCCACCCGTCC</t>
  </si>
  <si>
    <t xml:space="preserve">GCGTGGAATATGCGCCTGGC</t>
  </si>
  <si>
    <t xml:space="preserve">TAGTGCGTGGAATATGCGCCTGGC</t>
  </si>
  <si>
    <t xml:space="preserve">AAACGCCAGGCGCATATTCCACGC</t>
  </si>
  <si>
    <t xml:space="preserve">PSPPH_4753</t>
  </si>
  <si>
    <t xml:space="preserve">soxA</t>
  </si>
  <si>
    <t xml:space="preserve">CGTTGGGCAAGCGCTGGGTC</t>
  </si>
  <si>
    <t xml:space="preserve">TAGTCGTTGGGCAAGCGCTGGGTC</t>
  </si>
  <si>
    <t xml:space="preserve">AAACGACCCAGCGCTTGCCCAACG</t>
  </si>
  <si>
    <t xml:space="preserve">GCACCTTGCTGCGATTGATA</t>
  </si>
  <si>
    <t xml:space="preserve">TAGTGCACCTTGCTGCGATTGATA</t>
  </si>
  <si>
    <t xml:space="preserve">AAACTATCAATCGCAGCAAGGTGC</t>
  </si>
  <si>
    <t xml:space="preserve">CTGATAGGTCTGGCCGTTGA</t>
  </si>
  <si>
    <t xml:space="preserve">TAGTCTGATAGGTCTGGCCGTTGA</t>
  </si>
  <si>
    <t xml:space="preserve">AAACTCAACGGCCAGACCTATCAG</t>
  </si>
  <si>
    <t xml:space="preserve">GCCATTGGCCAGCAGGGCAG</t>
  </si>
  <si>
    <t xml:space="preserve">TAGTGCCATTGGCCAGCAGGGCAG</t>
  </si>
  <si>
    <t xml:space="preserve">AAACCTGCCCTGCTGGCCAATGGC</t>
  </si>
  <si>
    <t xml:space="preserve">PSPPH_4754</t>
  </si>
  <si>
    <t xml:space="preserve">soxG</t>
  </si>
  <si>
    <t xml:space="preserve">CTGCTGGTAAACGTTCGCTG</t>
  </si>
  <si>
    <t xml:space="preserve">TAGTCTGCTGGTAAACGTTCGCTG</t>
  </si>
  <si>
    <t xml:space="preserve">AAACCAGCGAACGTTTACCAGCAG</t>
  </si>
  <si>
    <t xml:space="preserve">CGGCTTTGACATCGGTGGTC</t>
  </si>
  <si>
    <t xml:space="preserve">TAGTCGGCTTTGACATCGGTGGTC</t>
  </si>
  <si>
    <t xml:space="preserve">AAACGACCACCGATGTCAAAGCCG</t>
  </si>
  <si>
    <t xml:space="preserve">TGCGTGGAACAGCGGCGACT</t>
  </si>
  <si>
    <t xml:space="preserve">TAGTTGCGTGGAACAGCGGCGACT</t>
  </si>
  <si>
    <t xml:space="preserve">AAACAGTCGCCGCTGTTCCACGCA</t>
  </si>
  <si>
    <t xml:space="preserve">CCTTGCCGATCAGGCTGTCG</t>
  </si>
  <si>
    <t xml:space="preserve">TAGTCCTTGCCGATCAGGCTGTCG</t>
  </si>
  <si>
    <t xml:space="preserve">AAACCGACAGCCTGATCGGCAAGG</t>
  </si>
  <si>
    <t xml:space="preserve">PSPPH_4755</t>
  </si>
  <si>
    <t xml:space="preserve">purU3</t>
  </si>
  <si>
    <t xml:space="preserve">AAATCCACGTATCGGGCGCG</t>
  </si>
  <si>
    <t xml:space="preserve">TAGTAAATCCACGTATCGGGCGCG</t>
  </si>
  <si>
    <t xml:space="preserve">AAACCGCGCCCGATACGTGGATTT</t>
  </si>
  <si>
    <t xml:space="preserve">CAGTACACTGGGGCAGTCGG</t>
  </si>
  <si>
    <t xml:space="preserve">TAGTCAGTACACTGGGGCAGTCGG</t>
  </si>
  <si>
    <t xml:space="preserve">AAACCCGACTGCCCCAGTGTACTG</t>
  </si>
  <si>
    <t xml:space="preserve">GCCCTGCTCGAACAGGAAGC</t>
  </si>
  <si>
    <t xml:space="preserve">TAGTGCCCTGCTCGAACAGGAAGC</t>
  </si>
  <si>
    <t xml:space="preserve">AAACGCTTCCTGTTCGAGCAGGGC</t>
  </si>
  <si>
    <t xml:space="preserve">ACAGGCGATCATCGAAGGAG</t>
  </si>
  <si>
    <t xml:space="preserve">TAGTACAGGCGATCATCGAAGGAG</t>
  </si>
  <si>
    <t xml:space="preserve">AAACCTCCTTCGATGATCGCCTGT</t>
  </si>
  <si>
    <t xml:space="preserve">PSPPH_4756</t>
  </si>
  <si>
    <t xml:space="preserve">fdhA2</t>
  </si>
  <si>
    <t xml:space="preserve">GGTCTTCCATTTTCGGGAAG</t>
  </si>
  <si>
    <t xml:space="preserve">TAGTGGTCTTCCATTTTCGGGAAG</t>
  </si>
  <si>
    <t xml:space="preserve">AAACCTTCCCGAAAATGGAAGACC</t>
  </si>
  <si>
    <t xml:space="preserve">GTTCGATGCGCTTGCCGCGT</t>
  </si>
  <si>
    <t xml:space="preserve">TAGTGTTCGATGCGCTTGCCGCGT</t>
  </si>
  <si>
    <t xml:space="preserve">AAACACGCGGCAAGCGCATCGAAC</t>
  </si>
  <si>
    <t xml:space="preserve">TATTGGTGGAGACTACGCGC</t>
  </si>
  <si>
    <t xml:space="preserve">TAGTTATTGGTGGAGACTACGCGC</t>
  </si>
  <si>
    <t xml:space="preserve">AAACGCGCGTAGTCTCCACCAATA</t>
  </si>
  <si>
    <t xml:space="preserve">TGCGACCACGCACCATGTGT</t>
  </si>
  <si>
    <t xml:space="preserve">TAGTTGCGACCACGCACCATGTGT</t>
  </si>
  <si>
    <t xml:space="preserve">AAACACACATGGTGCGTGGTCGCA</t>
  </si>
  <si>
    <t xml:space="preserve">PSPPH_4758</t>
  </si>
  <si>
    <t xml:space="preserve">TCGGCTCTGGCAGACGAGGT</t>
  </si>
  <si>
    <t xml:space="preserve">TAGTTCGGCTCTGGCAGACGAGGT</t>
  </si>
  <si>
    <t xml:space="preserve">AAACACCTCGTCTGCCAGAGCCGA</t>
  </si>
  <si>
    <t xml:space="preserve">GTTCCCAACGCGCTGAAGAC</t>
  </si>
  <si>
    <t xml:space="preserve">TAGTGTTCCCAACGCGCTGAAGAC</t>
  </si>
  <si>
    <t xml:space="preserve">AAACGTCTTCAGCGCGTTGGGAAC</t>
  </si>
  <si>
    <t xml:space="preserve">GGTTTGACTGTGAGCAACAG</t>
  </si>
  <si>
    <t xml:space="preserve">TAGTGGTTTGACTGTGAGCAACAG</t>
  </si>
  <si>
    <t xml:space="preserve">AAACCTGTTGCTCACAGTCAAACC</t>
  </si>
  <si>
    <t xml:space="preserve">TGAGTGGGCGGTAAAGCAGA</t>
  </si>
  <si>
    <t xml:space="preserve">TAGTTGAGTGGGCGGTAAAGCAGA</t>
  </si>
  <si>
    <t xml:space="preserve">AAACTCTGCTTTACCGCCCACTCA</t>
  </si>
  <si>
    <t xml:space="preserve">PSPPH_4759</t>
  </si>
  <si>
    <t xml:space="preserve">GCCGGTGAGCAGACGGCGCA</t>
  </si>
  <si>
    <t xml:space="preserve">TAGTGCCGGTGAGCAGACGGCGCA</t>
  </si>
  <si>
    <t xml:space="preserve">AAACTGCGCCGTCTGCTCACCGGC</t>
  </si>
  <si>
    <t xml:space="preserve">AGCAAGGCAAAAACCAATAA</t>
  </si>
  <si>
    <t xml:space="preserve">TAGTAGCAAGGCAAAAACCAATAA</t>
  </si>
  <si>
    <t xml:space="preserve">AAACTTATTGGTTTTTGCCTTGCT</t>
  </si>
  <si>
    <t xml:space="preserve">CTGAACAGCGATCGCGCATT</t>
  </si>
  <si>
    <t xml:space="preserve">TAGTCTGAACAGCGATCGCGCATT</t>
  </si>
  <si>
    <t xml:space="preserve">AAACAATGCGCGATCGCTGTTCAG</t>
  </si>
  <si>
    <t xml:space="preserve">GGTTTCGGCAATCCACATAA</t>
  </si>
  <si>
    <t xml:space="preserve">TAGTGGTTTCGGCAATCCACATAA</t>
  </si>
  <si>
    <t xml:space="preserve">AAACTTATGTGGATTGCCGAAACC</t>
  </si>
  <si>
    <t xml:space="preserve">PSPPH_4760</t>
  </si>
  <si>
    <t xml:space="preserve">AACGACAATAGCGCCAGGAT</t>
  </si>
  <si>
    <t xml:space="preserve">TAGTAACGACAATAGCGCCAGGAT</t>
  </si>
  <si>
    <t xml:space="preserve">AAACATCCTGGCGCTATTGTCGTT</t>
  </si>
  <si>
    <t xml:space="preserve">TTCAGCAGCCATGACCGGCA</t>
  </si>
  <si>
    <t xml:space="preserve">TAGTTTCAGCAGCCATGACCGGCA</t>
  </si>
  <si>
    <t xml:space="preserve">AAACTGCCGGTCATGGCTGCTGAA</t>
  </si>
  <si>
    <t xml:space="preserve">TCGTAGCGGCCATACAGCGT</t>
  </si>
  <si>
    <t xml:space="preserve">TAGTTCGTAGCGGCCATACAGCGT</t>
  </si>
  <si>
    <t xml:space="preserve">AAACACGCTGTATGGCCGCTACGA</t>
  </si>
  <si>
    <t xml:space="preserve">CCATCTTGGCCTTGAAGGTC</t>
  </si>
  <si>
    <t xml:space="preserve">TAGTCCATCTTGGCCTTGAAGGTC</t>
  </si>
  <si>
    <t xml:space="preserve">AAACGACCTTCAAGGCCAAGATGG</t>
  </si>
  <si>
    <t xml:space="preserve">PSPPH_4761</t>
  </si>
  <si>
    <t xml:space="preserve">CTTGCGGGCAAAAGGCGAGG</t>
  </si>
  <si>
    <t xml:space="preserve">TAGTCTTGCGGGCAAAAGGCGAGG</t>
  </si>
  <si>
    <t xml:space="preserve">AAACCCTCGCCTTTTGCCCGCAAG</t>
  </si>
  <si>
    <t xml:space="preserve">CTCGACGCGGTCGAGCTGAG</t>
  </si>
  <si>
    <t xml:space="preserve">TAGTCTCGACGCGGTCGAGCTGAG</t>
  </si>
  <si>
    <t xml:space="preserve">AAACCTCAGCTCGACCGCGTCGAG</t>
  </si>
  <si>
    <t xml:space="preserve">GCTGACCGGCGTCAGCACTG</t>
  </si>
  <si>
    <t xml:space="preserve">TAGTGCTGACCGGCGTCAGCACTG</t>
  </si>
  <si>
    <t xml:space="preserve">AAACCAGTGCTGACGCCGGTCAGC</t>
  </si>
  <si>
    <t xml:space="preserve">CTTCATTGAGCTCGGCAGAC</t>
  </si>
  <si>
    <t xml:space="preserve">TAGTCTTCATTGAGCTCGGCAGAC</t>
  </si>
  <si>
    <t xml:space="preserve">AAACGTCTGCCGAGCTCAATGAAG</t>
  </si>
  <si>
    <t xml:space="preserve">PSPPH_4762</t>
  </si>
  <si>
    <t xml:space="preserve">CTTCCAGAATCGCGATGGCC</t>
  </si>
  <si>
    <t xml:space="preserve">TAGTCTTCCAGAATCGCGATGGCC</t>
  </si>
  <si>
    <t xml:space="preserve">AAACGGCCATCGCGATTCTGGAAG</t>
  </si>
  <si>
    <t xml:space="preserve">TATCAAGGCGGGTATCGCAA</t>
  </si>
  <si>
    <t xml:space="preserve">TAGTTATCAAGGCGGGTATCGCAA</t>
  </si>
  <si>
    <t xml:space="preserve">AAACTTGCGATACCCGCCTTGATA</t>
  </si>
  <si>
    <t xml:space="preserve">CCAGCCATCACCCAGCAGCG</t>
  </si>
  <si>
    <t xml:space="preserve">TAGTCCAGCCATCACCCAGCAGCG</t>
  </si>
  <si>
    <t xml:space="preserve">AAACCGCTGCTGGGTGATGGCTGG</t>
  </si>
  <si>
    <t xml:space="preserve">CAAGCCCTTGATGCTCAACA</t>
  </si>
  <si>
    <t xml:space="preserve">TAGTCAAGCCCTTGATGCTCAACA</t>
  </si>
  <si>
    <t xml:space="preserve">AAACTGTTGAGCATCAAGGGCTTG</t>
  </si>
  <si>
    <t xml:space="preserve">PSPPH_4763</t>
  </si>
  <si>
    <t xml:space="preserve">GCGCACGGTTTGGCTTTTCA</t>
  </si>
  <si>
    <t xml:space="preserve">TAGTGCGCACGGTTTGGCTTTTCA</t>
  </si>
  <si>
    <t xml:space="preserve">AAACTGAAAAGCCAAACCGTGCGC</t>
  </si>
  <si>
    <t xml:space="preserve">AGGTATGCACGATGGACCAG</t>
  </si>
  <si>
    <t xml:space="preserve">TAGTAGGTATGCACGATGGACCAG</t>
  </si>
  <si>
    <t xml:space="preserve">AAACCTGGTCCATCGTGCATACCT</t>
  </si>
  <si>
    <t xml:space="preserve">GGTGCAAATCAGGCTGCTCC</t>
  </si>
  <si>
    <t xml:space="preserve">TAGTGGTGCAAATCAGGCTGCTCC</t>
  </si>
  <si>
    <t xml:space="preserve">AAACGGAGCAGCCTGATTTGCACC</t>
  </si>
  <si>
    <t xml:space="preserve">CGCGAGCATCAACAAAAACA</t>
  </si>
  <si>
    <t xml:space="preserve">TAGTCGCGAGCATCAACAAAAACA</t>
  </si>
  <si>
    <t xml:space="preserve">AAACTGTTTTTGTTGATGCTCGCG</t>
  </si>
  <si>
    <t xml:space="preserve">PSPPH_4764</t>
  </si>
  <si>
    <t xml:space="preserve">AACATGAGCGGATACCGGCC</t>
  </si>
  <si>
    <t xml:space="preserve">TAGTAACATGAGCGGATACCGGCC</t>
  </si>
  <si>
    <t xml:space="preserve">AAACGGCCGGTATCCGCTCATGTT</t>
  </si>
  <si>
    <t xml:space="preserve">GTTCAATTGCCACTGGATCG</t>
  </si>
  <si>
    <t xml:space="preserve">TAGTGTTCAATTGCCACTGGATCG</t>
  </si>
  <si>
    <t xml:space="preserve">AAACCGATCCAGTGGCAATTGAAC</t>
  </si>
  <si>
    <t xml:space="preserve">CCTGGCATGCTCTTCGTCGG</t>
  </si>
  <si>
    <t xml:space="preserve">TAGTCCTGGCATGCTCTTCGTCGG</t>
  </si>
  <si>
    <t xml:space="preserve">AAACCCGACGAAGAGCATGCCAGG</t>
  </si>
  <si>
    <t xml:space="preserve">GACCATGCCCAACTGGCTCC</t>
  </si>
  <si>
    <t xml:space="preserve">TAGTGACCATGCCCAACTGGCTCC</t>
  </si>
  <si>
    <t xml:space="preserve">AAACGGAGCCAGTTGGGCATGGTC</t>
  </si>
  <si>
    <t xml:space="preserve">PSPPH_4765</t>
  </si>
  <si>
    <t xml:space="preserve">CAATCTCGCTATGAGTGCTT</t>
  </si>
  <si>
    <t xml:space="preserve">TAGTCAATCTCGCTATGAGTGCTT</t>
  </si>
  <si>
    <t xml:space="preserve">AAACAAGCACTCATAGCGAGATTG</t>
  </si>
  <si>
    <t xml:space="preserve">GGCGACATTGCGTCTGAGCC</t>
  </si>
  <si>
    <t xml:space="preserve">TAGTGGCGACATTGCGTCTGAGCC</t>
  </si>
  <si>
    <t xml:space="preserve">AAACGGCTCAGACGCAATGTCGCC</t>
  </si>
  <si>
    <t xml:space="preserve">ATCCTGAGCACGCTGTGGAC</t>
  </si>
  <si>
    <t xml:space="preserve">TAGTATCCTGAGCACGCTGTGGAC</t>
  </si>
  <si>
    <t xml:space="preserve">AAACGTCCACAGCGTGCTCAGGAT</t>
  </si>
  <si>
    <t xml:space="preserve">AGGAACGCTCGAGGCTCTCT</t>
  </si>
  <si>
    <t xml:space="preserve">TAGTAGGAACGCTCGAGGCTCTCT</t>
  </si>
  <si>
    <t xml:space="preserve">AAACAGAGAGCCTCGAGCGTTCCT</t>
  </si>
  <si>
    <t xml:space="preserve">PSPPH_4766</t>
  </si>
  <si>
    <t xml:space="preserve">betA</t>
  </si>
  <si>
    <t xml:space="preserve">AATGATGATGTAGTCGTATT</t>
  </si>
  <si>
    <t xml:space="preserve">TAGTAATGATGATGTAGTCGTATT</t>
  </si>
  <si>
    <t xml:space="preserve">AAACAATACGACTACATCATCATT</t>
  </si>
  <si>
    <t xml:space="preserve">CAGGGTGTTACCGGCAGAGC</t>
  </si>
  <si>
    <t xml:space="preserve">TAGTCAGGGTGTTACCGGCAGAGC</t>
  </si>
  <si>
    <t xml:space="preserve">AAACGCTCTGCCGGTAACACCCTG</t>
  </si>
  <si>
    <t xml:space="preserve">GCCTGCGTCTTCGGTGAGAC</t>
  </si>
  <si>
    <t xml:space="preserve">TAGTGCCTGCGTCTTCGGTGAGAC</t>
  </si>
  <si>
    <t xml:space="preserve">AAACGTCTCACCGAAGACGCAGGC</t>
  </si>
  <si>
    <t xml:space="preserve">CAGACGGTAGTCCGGGCCAC</t>
  </si>
  <si>
    <t xml:space="preserve">TAGTCAGACGGTAGTCCGGGCCAC</t>
  </si>
  <si>
    <t xml:space="preserve">AAACGTGGCCCGGACTACCGTCTG</t>
  </si>
  <si>
    <t xml:space="preserve">PSPPH_4767</t>
  </si>
  <si>
    <t xml:space="preserve">betB</t>
  </si>
  <si>
    <t xml:space="preserve">AAGTTTCTGCAGTTCAAAAC</t>
  </si>
  <si>
    <t xml:space="preserve">TAGTAAGTTTCTGCAGTTCAAAAC</t>
  </si>
  <si>
    <t xml:space="preserve">AAACGTTTTGAACTGCAGAAACTT</t>
  </si>
  <si>
    <t xml:space="preserve">ATCGAAGGTTTCAGTGTTGC</t>
  </si>
  <si>
    <t xml:space="preserve">TAGTATCGAAGGTTTCAGTGTTGC</t>
  </si>
  <si>
    <t xml:space="preserve">AAACGCAACACTGAAACCTTCGAT</t>
  </si>
  <si>
    <t xml:space="preserve">TTCGCCGTTCGCCGGGTTGA</t>
  </si>
  <si>
    <t xml:space="preserve">TAGTTTCGCCGTTCGCCGGGTTGA</t>
  </si>
  <si>
    <t xml:space="preserve">AAACTCAACCCGGCGAACGGCGAA</t>
  </si>
  <si>
    <t xml:space="preserve">CGTCTTCCTTGCCGGCGCGC</t>
  </si>
  <si>
    <t xml:space="preserve">TAGTCGTCTTCCTTGCCGGCGCGC</t>
  </si>
  <si>
    <t xml:space="preserve">AAACGCGCGCCGGCAAGGAAGACG</t>
  </si>
  <si>
    <t xml:space="preserve">PSPPH_4768</t>
  </si>
  <si>
    <t xml:space="preserve">betI</t>
  </si>
  <si>
    <t xml:space="preserve">TGCATTCCGACCTTGGGCAT</t>
  </si>
  <si>
    <t xml:space="preserve">TAGTTGCATTCCGACCTTGGGCAT</t>
  </si>
  <si>
    <t xml:space="preserve">AAACATGCCCAAGGTCGGAATGCA</t>
  </si>
  <si>
    <t xml:space="preserve">ATCAACTGTTGGCGGCGGAT</t>
  </si>
  <si>
    <t xml:space="preserve">TAGTATCAACTGTTGGCGGCGGAT</t>
  </si>
  <si>
    <t xml:space="preserve">AAACATCCGCCGCCAACAGTTGAT</t>
  </si>
  <si>
    <t xml:space="preserve">CTGATCGACCGCAGTCAGCG</t>
  </si>
  <si>
    <t xml:space="preserve">TAGTCTGATCGACCGCAGTCAGCG</t>
  </si>
  <si>
    <t xml:space="preserve">AAACCGCTGACTGCGGTCGATCAG</t>
  </si>
  <si>
    <t xml:space="preserve">TCGCGCAATCAGCGCAATGC</t>
  </si>
  <si>
    <t xml:space="preserve">TAGTTCGCGCAATCAGCGCAATGC</t>
  </si>
  <si>
    <t xml:space="preserve">AAACGCATTGCGCTGATTGCGCGA</t>
  </si>
  <si>
    <t xml:space="preserve">PSPPH_4769</t>
  </si>
  <si>
    <t xml:space="preserve">CCACCGCCAGCTTGATGGCG</t>
  </si>
  <si>
    <t xml:space="preserve">TAGTCCACCGCCAGCTTGATGGCG</t>
  </si>
  <si>
    <t xml:space="preserve">AAACCGCCATCAAGCTGGCGGTGG</t>
  </si>
  <si>
    <t xml:space="preserve">AAGTCTTGCCGACATTGGTG</t>
  </si>
  <si>
    <t xml:space="preserve">TAGTAAGTCTTGCCGACATTGGTG</t>
  </si>
  <si>
    <t xml:space="preserve">AAACCACCAATGTCGGCAAGACTT</t>
  </si>
  <si>
    <t xml:space="preserve">GAAGCTGACATCGCCGGTCA</t>
  </si>
  <si>
    <t xml:space="preserve">TAGTGAAGCTGACATCGCCGGTCA</t>
  </si>
  <si>
    <t xml:space="preserve">AAACTGACCGGCGATGTCAGCTTC</t>
  </si>
  <si>
    <t xml:space="preserve">CATGGCGGGTGGTGCTGGGC</t>
  </si>
  <si>
    <t xml:space="preserve">TAGTCATGGCGGGTGGTGCTGGGC</t>
  </si>
  <si>
    <t xml:space="preserve">AAACGCCCAGCACCACCCGCCATG</t>
  </si>
  <si>
    <t xml:space="preserve">PSPPH_4770</t>
  </si>
  <si>
    <t xml:space="preserve">CAGCCAGAGGGTATCGAGTG</t>
  </si>
  <si>
    <t xml:space="preserve">TAGTCAGCCAGAGGGTATCGAGTG</t>
  </si>
  <si>
    <t xml:space="preserve">AAACCACTCGATACCCTCTGGCTG</t>
  </si>
  <si>
    <t xml:space="preserve">TTCACGCAGGCGCACGGCTT</t>
  </si>
  <si>
    <t xml:space="preserve">TAGTTTCACGCAGGCGCACGGCTT</t>
  </si>
  <si>
    <t xml:space="preserve">AAACAAGCCGTGCGCCTGCGTGAA</t>
  </si>
  <si>
    <t xml:space="preserve">GGCCGCCCGGGCGCGGCGAT</t>
  </si>
  <si>
    <t xml:space="preserve">TAGTGGCCGCCCGGGCGCGGCGAT</t>
  </si>
  <si>
    <t xml:space="preserve">AAACATCGCCGCGCCCGGGCGGCC</t>
  </si>
  <si>
    <t xml:space="preserve">ACGGGCAGTCAGGTCGCCTC</t>
  </si>
  <si>
    <t xml:space="preserve">TAGTACGGGCAGTCAGGTCGCCTC</t>
  </si>
  <si>
    <t xml:space="preserve">AAACGAGGCGACCTGACTGCCCGT</t>
  </si>
  <si>
    <t xml:space="preserve">PSPPH_4771</t>
  </si>
  <si>
    <t xml:space="preserve">folA</t>
  </si>
  <si>
    <t xml:space="preserve">GGGCGGCAATCAGGCTAAGG</t>
  </si>
  <si>
    <t xml:space="preserve">TAGTGGGCGGCAATCAGGCTAAGG</t>
  </si>
  <si>
    <t xml:space="preserve">AAACCCTTAGCCTGATTGCCGCCC</t>
  </si>
  <si>
    <t xml:space="preserve">GATCACTCGGTTTTCACCAA</t>
  </si>
  <si>
    <t xml:space="preserve">TAGTGATCACTCGGTTTTCACCAA</t>
  </si>
  <si>
    <t xml:space="preserve">AAACTTGGTGAAAACCGAGTGATC</t>
  </si>
  <si>
    <t xml:space="preserve">CCCCGGCAAATGCCAGGGCA</t>
  </si>
  <si>
    <t xml:space="preserve">TAGTCCCCGGCAAATGCCAGGGCA</t>
  </si>
  <si>
    <t xml:space="preserve">AAACTGCCCTGGCATTTGCCGGGG</t>
  </si>
  <si>
    <t xml:space="preserve">GATCGGCTTGCCGAGCGTCG</t>
  </si>
  <si>
    <t xml:space="preserve">TAGTGATCGGCTTGCCGAGCGTCG</t>
  </si>
  <si>
    <t xml:space="preserve">AAACCGACGCTCGGCAAGCCGATC</t>
  </si>
  <si>
    <t xml:space="preserve">PSPPH_4772</t>
  </si>
  <si>
    <t xml:space="preserve">AGTTTTGGCACGAGTTCCAT</t>
  </si>
  <si>
    <t xml:space="preserve">TAGTAGTTTTGGCACGAGTTCCAT</t>
  </si>
  <si>
    <t xml:space="preserve">AAACATGGAACTCGTGCCAAAACT</t>
  </si>
  <si>
    <t xml:space="preserve">GCTGGCAAGCCCGAAGCAGA</t>
  </si>
  <si>
    <t xml:space="preserve">TAGTGCTGGCAAGCCCGAAGCAGA</t>
  </si>
  <si>
    <t xml:space="preserve">AAACTCTGCTTCGGGCTTGCCAGC</t>
  </si>
  <si>
    <t xml:space="preserve">ATTCGGTGGCCGCGATAGCC</t>
  </si>
  <si>
    <t xml:space="preserve">TAGTATTCGGTGGCCGCGATAGCC</t>
  </si>
  <si>
    <t xml:space="preserve">AAACGGCTATCGCGGCCACCGAAT</t>
  </si>
  <si>
    <t xml:space="preserve">AGCGCCTTGGCGGCAGGCTC</t>
  </si>
  <si>
    <t xml:space="preserve">TAGTAGCGCCTTGGCGGCAGGCTC</t>
  </si>
  <si>
    <t xml:space="preserve">AAACGAGCCTGCCGCCAAGGCGCT</t>
  </si>
  <si>
    <t xml:space="preserve">PSPPH_4773</t>
  </si>
  <si>
    <t xml:space="preserve">trmB</t>
  </si>
  <si>
    <t xml:space="preserve">ACAGCAGGCGACTCTGGGTG</t>
  </si>
  <si>
    <t xml:space="preserve">TAGTACAGCAGGCGACTCTGGGTG</t>
  </si>
  <si>
    <t xml:space="preserve">AAACCACCCAGAGTCGCCTGCTGT</t>
  </si>
  <si>
    <t xml:space="preserve">AACTCTTGATGCGGCGGTGC</t>
  </si>
  <si>
    <t xml:space="preserve">TAGTAACTCTTGATGCGGCGGTGC</t>
  </si>
  <si>
    <t xml:space="preserve">AAACGCACCGCCGCATCAAGAGTT</t>
  </si>
  <si>
    <t xml:space="preserve">CTGACCTTCGGTCATGCGAC</t>
  </si>
  <si>
    <t xml:space="preserve">TAGTCTGACCTTCGGTCATGCGAC</t>
  </si>
  <si>
    <t xml:space="preserve">AAACGTCGCATGACCGAAGGTCAG</t>
  </si>
  <si>
    <t xml:space="preserve">ACAGGGGGAGACCTTGATCA</t>
  </si>
  <si>
    <t xml:space="preserve">TAGTACAGGGGGAGACCTTGATCA</t>
  </si>
  <si>
    <t xml:space="preserve">AAACTGATCAAGGTCTCCCCCTGT</t>
  </si>
  <si>
    <t xml:space="preserve">PSPPH_4774</t>
  </si>
  <si>
    <t xml:space="preserve">thiG</t>
  </si>
  <si>
    <t xml:space="preserve">TCGCTGCGAACATTGCTCAT</t>
  </si>
  <si>
    <t xml:space="preserve">TAGTTCGCTGCGAACATTGCTCAT</t>
  </si>
  <si>
    <t xml:space="preserve">AAACATGAGCAATGTTCGCAGCGA</t>
  </si>
  <si>
    <t xml:space="preserve">GTCCGACCGGCCAGGACGAA</t>
  </si>
  <si>
    <t xml:space="preserve">TAGTGTCCGACCGGCCAGGACGAA</t>
  </si>
  <si>
    <t xml:space="preserve">AAACTTCGTCCTGGCCGGTCGGAC</t>
  </si>
  <si>
    <t xml:space="preserve">TTCCATATCGATGTACTTGC</t>
  </si>
  <si>
    <t xml:space="preserve">TAGTTTCCATATCGATGTACTTGC</t>
  </si>
  <si>
    <t xml:space="preserve">AAACGCAAGTACATCGATATGGAA</t>
  </si>
  <si>
    <t xml:space="preserve">CGAGGCTTCAATGGCCAGAC</t>
  </si>
  <si>
    <t xml:space="preserve">TAGTCGAGGCTTCAATGGCCAGAC</t>
  </si>
  <si>
    <t xml:space="preserve">AAACGTCTGGCCATTGAAGCCTCG</t>
  </si>
  <si>
    <t xml:space="preserve">PSPPH_4775</t>
  </si>
  <si>
    <t xml:space="preserve">thiS</t>
  </si>
  <si>
    <t xml:space="preserve">CCGATCAGCGGGTATGACCA</t>
  </si>
  <si>
    <t xml:space="preserve">TAGTCCGATCAGCGGGTATGACCA</t>
  </si>
  <si>
    <t xml:space="preserve">AAACTGGTCATACCCGCTGATCGG</t>
  </si>
  <si>
    <t xml:space="preserve">GAGCAGCCATCATTTTTGGG</t>
  </si>
  <si>
    <t xml:space="preserve">TAGTGAGCAGCCATCATTTTTGGG</t>
  </si>
  <si>
    <t xml:space="preserve">AAACCCCAAAAATGATGGCTGCTC</t>
  </si>
  <si>
    <t xml:space="preserve">TCGCCATCGGGCAATTCAAA</t>
  </si>
  <si>
    <t xml:space="preserve">TAGTTCGCCATCGGGCAATTCAAA</t>
  </si>
  <si>
    <t xml:space="preserve">AAACTTTGAATTGCCCGATGGCGA</t>
  </si>
  <si>
    <t xml:space="preserve">GCGGGTCAGTAATGCCGCGA</t>
  </si>
  <si>
    <t xml:space="preserve">TAGTGCGGGTCAGTAATGCCGCGA</t>
  </si>
  <si>
    <t xml:space="preserve">AAACTCGCGGCATTACTGACCCGC</t>
  </si>
  <si>
    <t xml:space="preserve">PSPPH_4776</t>
  </si>
  <si>
    <t xml:space="preserve">CACACCCGTGAAGCCGAAGA</t>
  </si>
  <si>
    <t xml:space="preserve">TAGTCACACCCGTGAAGCCGAAGA</t>
  </si>
  <si>
    <t xml:space="preserve">AAACTCTTCGGCTTCACGGGTGTG</t>
  </si>
  <si>
    <t xml:space="preserve">GCGTTCCTTGAGACCGTGAG</t>
  </si>
  <si>
    <t xml:space="preserve">TAGTGCGTTCCTTGAGACCGTGAG</t>
  </si>
  <si>
    <t xml:space="preserve">AAACCTCACGGTCTCAAGGAACGC</t>
  </si>
  <si>
    <t xml:space="preserve">CCGCCAGGTACTCGGCACTC</t>
  </si>
  <si>
    <t xml:space="preserve">TAGTCCGCCAGGTACTCGGCACTC</t>
  </si>
  <si>
    <t xml:space="preserve">AAACGAGTGCCGAGTACCTGGCGG</t>
  </si>
  <si>
    <t xml:space="preserve">GGGCCAGCGCGTGGATCAGT</t>
  </si>
  <si>
    <t xml:space="preserve">TAGTGGGCCAGCGCGTGGATCAGT</t>
  </si>
  <si>
    <t xml:space="preserve">AAACACTGATCCACGCGCTGGCCC</t>
  </si>
  <si>
    <t xml:space="preserve">PSPPH_4777</t>
  </si>
  <si>
    <t xml:space="preserve">mtgA</t>
  </si>
  <si>
    <t xml:space="preserve">GGGCTTTGACGATGCGACGA</t>
  </si>
  <si>
    <t xml:space="preserve">TAGTGGGCTTTGACGATGCGACGA</t>
  </si>
  <si>
    <t xml:space="preserve">AAACTCGTCGCATCGTCAAAGCCC</t>
  </si>
  <si>
    <t xml:space="preserve">GCCTGCGGCGAACCACAGCA</t>
  </si>
  <si>
    <t xml:space="preserve">TAGTGCCTGCGGCGAACCACAGCA</t>
  </si>
  <si>
    <t xml:space="preserve">AAACTGCTGTGGTTCGCCGCAGGC</t>
  </si>
  <si>
    <t xml:space="preserve">ATCAGCGCGGTGCCTGGTGG</t>
  </si>
  <si>
    <t xml:space="preserve">TAGTATCAGCGCGGTGCCTGGTGG</t>
  </si>
  <si>
    <t xml:space="preserve">AAACCCACCAGGCACCGCGCTGAT</t>
  </si>
  <si>
    <t xml:space="preserve">GATAGGCTCGCCGTCGACCC</t>
  </si>
  <si>
    <t xml:space="preserve">TAGTGATAGGCTCGCCGTCGACCC</t>
  </si>
  <si>
    <t xml:space="preserve">AAACGGGTCGACGGCGAGCCTATC</t>
  </si>
  <si>
    <t xml:space="preserve">PSPPH_4778</t>
  </si>
  <si>
    <t xml:space="preserve">rpoH</t>
  </si>
  <si>
    <t xml:space="preserve">ATAAGCAGGTTGCAAAGAAG</t>
  </si>
  <si>
    <t xml:space="preserve">TAGTATAAGCAGGTTGCAAAGAAG</t>
  </si>
  <si>
    <t xml:space="preserve">AAACCTTCTTTGCAACCTGCTTAT</t>
  </si>
  <si>
    <t xml:space="preserve">AGGCCTCAAGGTTCGCACCC</t>
  </si>
  <si>
    <t xml:space="preserve">TAGTAGGCCTCAAGGTTCGCACCC</t>
  </si>
  <si>
    <t xml:space="preserve">AAACGGGTGCGAACCTTGAGGCCT</t>
  </si>
  <si>
    <t xml:space="preserve">GCTGTTGACCGTGTGCACAT</t>
  </si>
  <si>
    <t xml:space="preserve">TAGTGCTGTTGACCGTGTGCACAT</t>
  </si>
  <si>
    <t xml:space="preserve">AAACATGTGCACACGGTCAACAGC</t>
  </si>
  <si>
    <t xml:space="preserve">TCCTGCTCGGGCGTCAGCAA</t>
  </si>
  <si>
    <t xml:space="preserve">TAGTTCCTGCTCGGGCGTCAGCAA</t>
  </si>
  <si>
    <t xml:space="preserve">AAACTTGCTGACGCCCGAGCAGGA</t>
  </si>
  <si>
    <t xml:space="preserve">PSPPH_4779</t>
  </si>
  <si>
    <t xml:space="preserve">ftsX</t>
  </si>
  <si>
    <t xml:space="preserve">CGACGCGTTCGGAAACCTTG</t>
  </si>
  <si>
    <t xml:space="preserve">TAGTCGACGCGTTCGGAAACCTTG</t>
  </si>
  <si>
    <t xml:space="preserve">AAACCAAGGTTTCCGAACGCGTCG</t>
  </si>
  <si>
    <t xml:space="preserve">GGCACTGGGTCGGCGGCCTT</t>
  </si>
  <si>
    <t xml:space="preserve">TAGTGGCACTGGGTCGGCGGCCTT</t>
  </si>
  <si>
    <t xml:space="preserve">AAACAAGGCCGCCGACCCAGTGCC</t>
  </si>
  <si>
    <t xml:space="preserve">CGCTGCTTTTTCTTTTTCGG</t>
  </si>
  <si>
    <t xml:space="preserve">TAGTCGCTGCTTTTTCTTTTTCGG</t>
  </si>
  <si>
    <t xml:space="preserve">AAACCCGAAAAAGAAAAAGCAGCG</t>
  </si>
  <si>
    <t xml:space="preserve">AATCCGGGCCGTCATCATCA</t>
  </si>
  <si>
    <t xml:space="preserve">TAGTAATCCGGGCCGTCATCATCA</t>
  </si>
  <si>
    <t xml:space="preserve">AAACTGATGATGACGGCCCGGATT</t>
  </si>
  <si>
    <t xml:space="preserve">PSPPH_4780</t>
  </si>
  <si>
    <t xml:space="preserve">ftsE</t>
  </si>
  <si>
    <t xml:space="preserve">GCAACCCGACATGTCCATTC</t>
  </si>
  <si>
    <t xml:space="preserve">TAGTGCAACCCGACATGTCCATTC</t>
  </si>
  <si>
    <t xml:space="preserve">AAACGAATGGACATGTCGGGTTGC</t>
  </si>
  <si>
    <t xml:space="preserve">CAGCGTGCTTTTACCGGCAC</t>
  </si>
  <si>
    <t xml:space="preserve">TAGTCAGCGTGCTTTTACCGGCAC</t>
  </si>
  <si>
    <t xml:space="preserve">AAACGTGCCGGTAAAAGCACGCTG</t>
  </si>
  <si>
    <t xml:space="preserve">GACGCTCCATGGCCAGCAAC</t>
  </si>
  <si>
    <t xml:space="preserve">TAGTGACGCTCCATGGCCAGCAAC</t>
  </si>
  <si>
    <t xml:space="preserve">AAACGTTGCTGGCCATGGAGCGTC</t>
  </si>
  <si>
    <t xml:space="preserve">AGCATCAGTTTGCCGGTGGT</t>
  </si>
  <si>
    <t xml:space="preserve">TAGTAGCATCAGTTTGCCGGTGGT</t>
  </si>
  <si>
    <t xml:space="preserve">AAACACCACCGGCAAACTGATGCT</t>
  </si>
  <si>
    <t xml:space="preserve">PSPPH_4781</t>
  </si>
  <si>
    <t xml:space="preserve">ftsY</t>
  </si>
  <si>
    <t xml:space="preserve">GTCGTCGTTGGAACCAAACA</t>
  </si>
  <si>
    <t xml:space="preserve">TAGTGTCGTCGTTGGAACCAAACA</t>
  </si>
  <si>
    <t xml:space="preserve">AAACTGTTTGGTTCCAACGACGAC</t>
  </si>
  <si>
    <t xml:space="preserve">CTTCTCTCCAGCCTCGGCTG</t>
  </si>
  <si>
    <t xml:space="preserve">TAGTCTTCTCTCCAGCCTCGGCTG</t>
  </si>
  <si>
    <t xml:space="preserve">AAACCAGCCGAGGCTGGAGAGAAG</t>
  </si>
  <si>
    <t xml:space="preserve">TCTTGCGCAGCCATCCGAAC</t>
  </si>
  <si>
    <t xml:space="preserve">TAGTTCTTGCGCAGCCATCCGAAC</t>
  </si>
  <si>
    <t xml:space="preserve">AAACGTTCGGATGGCTGCGCAAGA</t>
  </si>
  <si>
    <t xml:space="preserve">GGCGCTGGCTCGGCTTGCTG</t>
  </si>
  <si>
    <t xml:space="preserve">TAGTGGCGCTGGCTCGGCTTGCTG</t>
  </si>
  <si>
    <t xml:space="preserve">AAACCAGCAAGCCGAGCCAGCGCC</t>
  </si>
  <si>
    <t xml:space="preserve">PSPPH_4782</t>
  </si>
  <si>
    <t xml:space="preserve">GCAGCAGGCCTGCGGCGCGG</t>
  </si>
  <si>
    <t xml:space="preserve">TAGTGCAGCAGGCCTGCGGCGCGG</t>
  </si>
  <si>
    <t xml:space="preserve">AAACCCGCGCCGCAGGCCTGCTGC</t>
  </si>
  <si>
    <t xml:space="preserve">TCAGCAGCCAATGCTGTCAA</t>
  </si>
  <si>
    <t xml:space="preserve">TAGTTCAGCAGCCAATGCTGTCAA</t>
  </si>
  <si>
    <t xml:space="preserve">AAACTTGACAGCATTGGCTGCTGA</t>
  </si>
  <si>
    <t xml:space="preserve">TCCAGGGTAAATTCATGGGT</t>
  </si>
  <si>
    <t xml:space="preserve">TAGTTCCAGGGTAAATTCATGGGT</t>
  </si>
  <si>
    <t xml:space="preserve">AAACACCCATGAATTTACCCTGGA</t>
  </si>
  <si>
    <t xml:space="preserve">CTGGAGCGCGGTGGTCTTCG</t>
  </si>
  <si>
    <t xml:space="preserve">TAGTCTGGAGCGCGGTGGTCTTCG</t>
  </si>
  <si>
    <t xml:space="preserve">AAACCGAAGACCACCGCGCTCCAG</t>
  </si>
  <si>
    <t xml:space="preserve">PSPPH_4783</t>
  </si>
  <si>
    <t xml:space="preserve">AGGCCAAGCAGCGCATGACG</t>
  </si>
  <si>
    <t xml:space="preserve">TAGTAGGCCAAGCAGCGCATGACG</t>
  </si>
  <si>
    <t xml:space="preserve">AAACCGTCATGCGCTGCTTGGCCT</t>
  </si>
  <si>
    <t xml:space="preserve">CGAGTGAACCGGCCAGGATC</t>
  </si>
  <si>
    <t xml:space="preserve">TAGTCGAGTGAACCGGCCAGGATC</t>
  </si>
  <si>
    <t xml:space="preserve">AAACGATCCTGGCCGGTTCACTCG</t>
  </si>
  <si>
    <t xml:space="preserve">CACGGCTGGCAATGCGACAA</t>
  </si>
  <si>
    <t xml:space="preserve">TAGTCACGGCTGGCAATGCGACAA</t>
  </si>
  <si>
    <t xml:space="preserve">AAACTTGTCGCATTGCCAGCCGTG</t>
  </si>
  <si>
    <t xml:space="preserve">CTCGGCAGGGGCGGCGTTGT</t>
  </si>
  <si>
    <t xml:space="preserve">TAGTCTCGGCAGGGGCGGCGTTGT</t>
  </si>
  <si>
    <t xml:space="preserve">AAACACAACGCCGCCCCTGCCGAG</t>
  </si>
  <si>
    <t xml:space="preserve">PSPPH_4784</t>
  </si>
  <si>
    <t xml:space="preserve">GTGGCCCTTCGGACGTGGAT</t>
  </si>
  <si>
    <t xml:space="preserve">TAGTGTGGCCCTTCGGACGTGGAT</t>
  </si>
  <si>
    <t xml:space="preserve">AAACATCCACGTCCGAAGGGCCAC</t>
  </si>
  <si>
    <t xml:space="preserve">CGTCGGGGAAGGTCAGGCGA</t>
  </si>
  <si>
    <t xml:space="preserve">TAGTCGTCGGGGAAGGTCAGGCGA</t>
  </si>
  <si>
    <t xml:space="preserve">AAACTCGCCTGACCTTCCCCGACG</t>
  </si>
  <si>
    <t xml:space="preserve">AGGCGTCGGGCGCAGGCCGG</t>
  </si>
  <si>
    <t xml:space="preserve">TAGTAGGCGTCGGGCGCAGGCCGG</t>
  </si>
  <si>
    <t xml:space="preserve">AAACCCGGCCTGCGCCCGACGCCT</t>
  </si>
  <si>
    <t xml:space="preserve">AGGGTTTCGCGCACGCGATC</t>
  </si>
  <si>
    <t xml:space="preserve">TAGTAGGGTTTCGCGCACGCGATC</t>
  </si>
  <si>
    <t xml:space="preserve">AAACGATCGCGTGCGCGAAACCCT</t>
  </si>
  <si>
    <t xml:space="preserve">PSPPH_4785</t>
  </si>
  <si>
    <t xml:space="preserve">CGTGAGATTTTTAACGCTCA</t>
  </si>
  <si>
    <t xml:space="preserve">TAGTCGTGAGATTTTTAACGCTCA</t>
  </si>
  <si>
    <t xml:space="preserve">AAACTGAGCGTTAAAAATCTCACG</t>
  </si>
  <si>
    <t xml:space="preserve">TGCATGTGAGGTTCAGCTCT</t>
  </si>
  <si>
    <t xml:space="preserve">TAGTTGCATGTGAGGTTCAGCTCT</t>
  </si>
  <si>
    <t xml:space="preserve">AAACAGAGCTGAACCTCACATGCA</t>
  </si>
  <si>
    <t xml:space="preserve">CCGACAATGACATTAAGGCC</t>
  </si>
  <si>
    <t xml:space="preserve">TAGTCCGACAATGACATTAAGGCC</t>
  </si>
  <si>
    <t xml:space="preserve">AAACGGCCTTAATGTCATTGTCGG</t>
  </si>
  <si>
    <t xml:space="preserve">ATAGGCCACTTTAAGCAAAT</t>
  </si>
  <si>
    <t xml:space="preserve">TAGTATAGGCCACTTTAAGCAAAT</t>
  </si>
  <si>
    <t xml:space="preserve">AAACATTTGCTTAAAGTGGCCTAT</t>
  </si>
  <si>
    <t xml:space="preserve">PSPPH_4786</t>
  </si>
  <si>
    <t xml:space="preserve">GGACAGAAAGGTAGGGCGTG</t>
  </si>
  <si>
    <t xml:space="preserve">TAGTGGACAGAAAGGTAGGGCGTG</t>
  </si>
  <si>
    <t xml:space="preserve">AAACCACGCCCTACCTTTCTGTCC</t>
  </si>
  <si>
    <t xml:space="preserve">CGGGACGAATGGATTGGCAT</t>
  </si>
  <si>
    <t xml:space="preserve">TAGTCGGGACGAATGGATTGGCAT</t>
  </si>
  <si>
    <t xml:space="preserve">AAACATGCCAATCCATTCGTCCCG</t>
  </si>
  <si>
    <t xml:space="preserve">GGATTGCCCATGCCGACGGC</t>
  </si>
  <si>
    <t xml:space="preserve">TAGTGGATTGCCCATGCCGACGGC</t>
  </si>
  <si>
    <t xml:space="preserve">AAACGCCGTCGGCATGGGCAATCC</t>
  </si>
  <si>
    <t xml:space="preserve">CCCCACAGCGTCTGCAAATG</t>
  </si>
  <si>
    <t xml:space="preserve">TAGTCCCCACAGCGTCTGCAAATG</t>
  </si>
  <si>
    <t xml:space="preserve">AAACCATTTGCAGACGCTGTGGGG</t>
  </si>
  <si>
    <t xml:space="preserve">PSPPH_4787</t>
  </si>
  <si>
    <t xml:space="preserve">GGGGCTGATCAGTTGCGCAA</t>
  </si>
  <si>
    <t xml:space="preserve">TAGTGGGGCTGATCAGTTGCGCAA</t>
  </si>
  <si>
    <t xml:space="preserve">AAACTTGCGCAACTGATCAGCCCC</t>
  </si>
  <si>
    <t xml:space="preserve">TGTCGTGCAGCCAGTTGCTC</t>
  </si>
  <si>
    <t xml:space="preserve">TAGTTGTCGTGCAGCCAGTTGCTC</t>
  </si>
  <si>
    <t xml:space="preserve">AAACGAGCAACTGGCTGCACGACA</t>
  </si>
  <si>
    <t xml:space="preserve">ATCGAGAATCACCAGACCTG</t>
  </si>
  <si>
    <t xml:space="preserve">TAGTATCGAGAATCACCAGACCTG</t>
  </si>
  <si>
    <t xml:space="preserve">AAACCAGGTCTGGTGATTCTCGAT</t>
  </si>
  <si>
    <t xml:space="preserve">CGGAATCTTCGAGCGCATAA</t>
  </si>
  <si>
    <t xml:space="preserve">TAGTCGGAATCTTCGAGCGCATAA</t>
  </si>
  <si>
    <t xml:space="preserve">AAACTTATGCGCTCGAAGATTCCG</t>
  </si>
  <si>
    <t xml:space="preserve">PSPPH_4788</t>
  </si>
  <si>
    <t xml:space="preserve">GCGTTCACGGGTTTTGGTAC</t>
  </si>
  <si>
    <t xml:space="preserve">TAGTGCGTTCACGGGTTTTGGTAC</t>
  </si>
  <si>
    <t xml:space="preserve">AAACGTACCAAAACCCGTGAACGC</t>
  </si>
  <si>
    <t xml:space="preserve">GTGCGCAGCAATATGATTGG</t>
  </si>
  <si>
    <t xml:space="preserve">TAGTGTGCGCAGCAATATGATTGG</t>
  </si>
  <si>
    <t xml:space="preserve">AAACCCAATCATATTGCTGCGCAC</t>
  </si>
  <si>
    <t xml:space="preserve">TCACCTGCTTGTTGGCGAAG</t>
  </si>
  <si>
    <t xml:space="preserve">TAGTTCACCTGCTTGTTGGCGAAG</t>
  </si>
  <si>
    <t xml:space="preserve">AAACCTTCGCCAACAAGCAGGTGA</t>
  </si>
  <si>
    <t xml:space="preserve">TTCATACTCGGTGAACAACT</t>
  </si>
  <si>
    <t xml:space="preserve">TAGTTTCATACTCGGTGAACAACT</t>
  </si>
  <si>
    <t xml:space="preserve">AAACAGTTGTTCACCGAGTATGAA</t>
  </si>
  <si>
    <t xml:space="preserve">PSPPH_4789</t>
  </si>
  <si>
    <t xml:space="preserve">coaD</t>
  </si>
  <si>
    <t xml:space="preserve">GGTATCGCAGCCTTCCCGAT</t>
  </si>
  <si>
    <t xml:space="preserve">TAGTGGTATCGCAGCCTTCCCGAT</t>
  </si>
  <si>
    <t xml:space="preserve">AAACATCGGGAAGGCTGCGATACC</t>
  </si>
  <si>
    <t xml:space="preserve">AGTCCGTTGTGGGACTCGGA</t>
  </si>
  <si>
    <t xml:space="preserve">TAGTAGTCCGTTGTGGGACTCGGA</t>
  </si>
  <si>
    <t xml:space="preserve">AAACTCCGAGTCCCACAACGGACT</t>
  </si>
  <si>
    <t xml:space="preserve">GTTCATCGCGTCGTCCTGGT</t>
  </si>
  <si>
    <t xml:space="preserve">TAGTGTTCATCGCGTCGTCCTGGT</t>
  </si>
  <si>
    <t xml:space="preserve">AAACACCAGGACGACGCGATGAAC</t>
  </si>
  <si>
    <t xml:space="preserve">AGGTGCCTGGGTACAACACT</t>
  </si>
  <si>
    <t xml:space="preserve">TAGTAGGTGCCTGGGTACAACACT</t>
  </si>
  <si>
    <t xml:space="preserve">AAACAGTGTTGTACCCAGGCACCT</t>
  </si>
  <si>
    <t xml:space="preserve">PSPPH_4790</t>
  </si>
  <si>
    <t xml:space="preserve">GCAATCGTCAGTGATGATAA</t>
  </si>
  <si>
    <t xml:space="preserve">TAGTGCAATCGTCAGTGATGATAA</t>
  </si>
  <si>
    <t xml:space="preserve">AAACTTATCATCACTGACGATTGC</t>
  </si>
  <si>
    <t xml:space="preserve">ATCGCCTCGTTTGGGCACTC</t>
  </si>
  <si>
    <t xml:space="preserve">TAGTATCGCCTCGTTTGGGCACTC</t>
  </si>
  <si>
    <t xml:space="preserve">AAACGAGTGCCCAAACGAGGCGAT</t>
  </si>
  <si>
    <t xml:space="preserve">CACATTCGGTGCACAGGTTC</t>
  </si>
  <si>
    <t xml:space="preserve">TAGTCACATTCGGTGCACAGGTTC</t>
  </si>
  <si>
    <t xml:space="preserve">AAACGAACCTGTGCACCGAATGTG</t>
  </si>
  <si>
    <t xml:space="preserve">GGGCAAACCTGCTGGCATTG</t>
  </si>
  <si>
    <t xml:space="preserve">TAGTGGGCAAACCTGCTGGCATTG</t>
  </si>
  <si>
    <t xml:space="preserve">AAACCAATGCCAGCAGGTTTGCCC</t>
  </si>
  <si>
    <t xml:space="preserve">PSPPH_4791</t>
  </si>
  <si>
    <t xml:space="preserve">AAGAATACGAAACGGGCTCA</t>
  </si>
  <si>
    <t xml:space="preserve">TAGTAAGAATACGAAACGGGCTCA</t>
  </si>
  <si>
    <t xml:space="preserve">AAACTGAGCCCGTTTCGTATTCTT</t>
  </si>
  <si>
    <t xml:space="preserve">CAATCGCAGGCAGTGCCTGC</t>
  </si>
  <si>
    <t xml:space="preserve">TAGTCAATCGCAGGCAGTGCCTGC</t>
  </si>
  <si>
    <t xml:space="preserve">AAACGCAGGCACTGCCTGCGATTG</t>
  </si>
  <si>
    <t xml:space="preserve">GCTGCCGGTGGAGACATCGG</t>
  </si>
  <si>
    <t xml:space="preserve">TAGTGCTGCCGGTGGAGACATCGG</t>
  </si>
  <si>
    <t xml:space="preserve">AAACCCGATGTCTCCACCGGCAGC</t>
  </si>
  <si>
    <t xml:space="preserve">GGGTTCTGAATGGTGTAGAC</t>
  </si>
  <si>
    <t xml:space="preserve">TAGTGGGTTCTGAATGGTGTAGAC</t>
  </si>
  <si>
    <t xml:space="preserve">AAACGTCTACACCATTCAGAACCC</t>
  </si>
  <si>
    <t xml:space="preserve">PSPPH_4792</t>
  </si>
  <si>
    <t xml:space="preserve">mutM</t>
  </si>
  <si>
    <t xml:space="preserve">GTTTCTACTTCGGGTAATTC</t>
  </si>
  <si>
    <t xml:space="preserve">TAGTGTTTCTACTTCGGGTAATTC</t>
  </si>
  <si>
    <t xml:space="preserve">AAACGAATTACCCGAAGTAGAAAC</t>
  </si>
  <si>
    <t xml:space="preserve">ATGGGGCGCAATGCCGCGAC</t>
  </si>
  <si>
    <t xml:space="preserve">TAGTATGGGGCGCAATGCCGCGAC</t>
  </si>
  <si>
    <t xml:space="preserve">AAACGTCGCGGCATTGCGCCCCAT</t>
  </si>
  <si>
    <t xml:space="preserve">GGCTGTCGCGCACGATAACG</t>
  </si>
  <si>
    <t xml:space="preserve">TAGTGGCTGTCGCGCACGATAACG</t>
  </si>
  <si>
    <t xml:space="preserve">AAACCGTTATCGTGCGCGACAGCC</t>
  </si>
  <si>
    <t xml:space="preserve">CGGGAATGGGCCAGCGCAAA</t>
  </si>
  <si>
    <t xml:space="preserve">TAGTCGGGAATGGGCCAGCGCAAA</t>
  </si>
  <si>
    <t xml:space="preserve">AAACTTTGCGCTGGCCCATTCCCG</t>
  </si>
  <si>
    <t xml:space="preserve">PSPPH_4793</t>
  </si>
  <si>
    <t xml:space="preserve">ACCATGATCTGCGGCTGCGG</t>
  </si>
  <si>
    <t xml:space="preserve">TAGTACCATGATCTGCGGCTGCGG</t>
  </si>
  <si>
    <t xml:space="preserve">AAACCCGCAGCCGCAGATCATGGT</t>
  </si>
  <si>
    <t xml:space="preserve">ATTACCCCAAGGTCCGGATC</t>
  </si>
  <si>
    <t xml:space="preserve">TAGTATTACCCCAAGGTCCGGATC</t>
  </si>
  <si>
    <t xml:space="preserve">AAACGATCCGGACCTTGGGGTAAT</t>
  </si>
  <si>
    <t xml:space="preserve">AGCAGCGCCCCGGACAACCC</t>
  </si>
  <si>
    <t xml:space="preserve">TAGTAGCAGCGCCCCGGACAACCC</t>
  </si>
  <si>
    <t xml:space="preserve">AAACGGGTTGTCCGGGGCGCTGCT</t>
  </si>
  <si>
    <t xml:space="preserve">TCGAGGCAATCTTGTTGGAC</t>
  </si>
  <si>
    <t xml:space="preserve">TAGTTCGAGGCAATCTTGTTGGAC</t>
  </si>
  <si>
    <t xml:space="preserve">AAACGTCCAACAAGATTGCCTCGA</t>
  </si>
  <si>
    <t xml:space="preserve">PSPPH_4794</t>
  </si>
  <si>
    <t xml:space="preserve">pfpi</t>
  </si>
  <si>
    <t xml:space="preserve">GATGGACCGTTTCCCCGCAA</t>
  </si>
  <si>
    <t xml:space="preserve">TAGTGATGGACCGTTTCCCCGCAA</t>
  </si>
  <si>
    <t xml:space="preserve">AAACTTGCGGGGAAACGGTCCATC</t>
  </si>
  <si>
    <t xml:space="preserve">TCCGAGAATATCTTCGTCTT</t>
  </si>
  <si>
    <t xml:space="preserve">TAGTTCCGAGAATATCTTCGTCTT</t>
  </si>
  <si>
    <t xml:space="preserve">AAACAAGACGAAGATATTCTCGGA</t>
  </si>
  <si>
    <t xml:space="preserve">AAGGTCCGAAGCCTGGCATT</t>
  </si>
  <si>
    <t xml:space="preserve">TAGTAAGGTCCGAAGCCTGGCATT</t>
  </si>
  <si>
    <t xml:space="preserve">AAACAATGCCAGGCTTCGGACCTT</t>
  </si>
  <si>
    <t xml:space="preserve">GGCGTCTGGCGGTCGTTTTG</t>
  </si>
  <si>
    <t xml:space="preserve">TAGTGGCGTCTGGCGGTCGTTTTG</t>
  </si>
  <si>
    <t xml:space="preserve">AAACCAAAACGACCGCCAGACGCC</t>
  </si>
  <si>
    <t xml:space="preserve">PSPPH_4795</t>
  </si>
  <si>
    <t xml:space="preserve">TTTGAGGCGCAAGCTAGGCA</t>
  </si>
  <si>
    <t xml:space="preserve">TAGTTTTGAGGCGCAAGCTAGGCA</t>
  </si>
  <si>
    <t xml:space="preserve">AAACTGCCTAGCTTGCGCCTCAAA</t>
  </si>
  <si>
    <t xml:space="preserve">ACCGGCGCGCAGGCGGCGGT</t>
  </si>
  <si>
    <t xml:space="preserve">TAGTACCGGCGCGCAGGCGGCGGT</t>
  </si>
  <si>
    <t xml:space="preserve">AAACACCGCCGCCTGCGCGCCGGT</t>
  </si>
  <si>
    <t xml:space="preserve">AAAACCATGCAGCGGGGTGG</t>
  </si>
  <si>
    <t xml:space="preserve">TAGTAAAACCATGCAGCGGGGTGG</t>
  </si>
  <si>
    <t xml:space="preserve">AAACCCACCCCGCTGCATGGTTTT</t>
  </si>
  <si>
    <t xml:space="preserve">TTCGAGGATGGCCTGATCAC</t>
  </si>
  <si>
    <t xml:space="preserve">TAGTTTCGAGGATGGCCTGATCAC</t>
  </si>
  <si>
    <t xml:space="preserve">AAACGTGATCAGGCCATCCTCGAA</t>
  </si>
  <si>
    <t xml:space="preserve">PSPPH_4796</t>
  </si>
  <si>
    <t xml:space="preserve">TCCGGGCAGAAAAGGCGGGT</t>
  </si>
  <si>
    <t xml:space="preserve">TAGTTCCGGGCAGAAAAGGCGGGT</t>
  </si>
  <si>
    <t xml:space="preserve">AAACACCCGCCTTTTCTGCCCGGA</t>
  </si>
  <si>
    <t xml:space="preserve">GCATCGCCAGCCACTTGAGC</t>
  </si>
  <si>
    <t xml:space="preserve">TAGTGCATCGCCAGCCACTTGAGC</t>
  </si>
  <si>
    <t xml:space="preserve">AAACGCTCAAGTGGCTGGCGATGC</t>
  </si>
  <si>
    <t xml:space="preserve">CAGGGAAAGGCGAAACGCCC</t>
  </si>
  <si>
    <t xml:space="preserve">TAGTCAGGGAAAGGCGAAACGCCC</t>
  </si>
  <si>
    <t xml:space="preserve">AAACGGGCGTTTCGCCTTTCCCTG</t>
  </si>
  <si>
    <t xml:space="preserve">GCTGCGCCGGGAAAGGTTTA</t>
  </si>
  <si>
    <t xml:space="preserve">TAGTGCTGCGCCGGGAAAGGTTTA</t>
  </si>
  <si>
    <t xml:space="preserve">AAACTAAACCTTTCCCGGCGCAGC</t>
  </si>
  <si>
    <t xml:space="preserve">PSPPH_4798</t>
  </si>
  <si>
    <t xml:space="preserve">GAAATGCTGCTTGAGCCGGG</t>
  </si>
  <si>
    <t xml:space="preserve">TAGTGAAATGCTGCTTGAGCCGGG</t>
  </si>
  <si>
    <t xml:space="preserve">AAACCCCGGCTCAAGCAGCATTTC</t>
  </si>
  <si>
    <t xml:space="preserve">GGTGCGGTGCACGTAACGTA</t>
  </si>
  <si>
    <t xml:space="preserve">TAGTGGTGCGGTGCACGTAACGTA</t>
  </si>
  <si>
    <t xml:space="preserve">AAACTACGTTACGTGCACCGCACC</t>
  </si>
  <si>
    <t xml:space="preserve">GCGCACGCACAGGCGTTGGC</t>
  </si>
  <si>
    <t xml:space="preserve">TAGTGCGCACGCACAGGCGTTGGC</t>
  </si>
  <si>
    <t xml:space="preserve">AAACGCCAACGCCTGTGCGTGCGC</t>
  </si>
  <si>
    <t xml:space="preserve">GCTGCTCAGCGACGGCGGCT</t>
  </si>
  <si>
    <t xml:space="preserve">TAGTGCTGCTCAGCGACGGCGGCT</t>
  </si>
  <si>
    <t xml:space="preserve">AAACAGCCGCCGTCGCTGAGCAGC</t>
  </si>
  <si>
    <t xml:space="preserve">PSPPH_4799</t>
  </si>
  <si>
    <t xml:space="preserve">CCAGCGCCTCGAATTGCTGT</t>
  </si>
  <si>
    <t xml:space="preserve">TAGTCCAGCGCCTCGAATTGCTGT</t>
  </si>
  <si>
    <t xml:space="preserve">AAACACAGCAATTCGAGGCGCTGG</t>
  </si>
  <si>
    <t xml:space="preserve">GCTGATGGCAGCCTTGAGCA</t>
  </si>
  <si>
    <t xml:space="preserve">TAGTGCTGATGGCAGCCTTGAGCA</t>
  </si>
  <si>
    <t xml:space="preserve">AAACTGCTCAAGGCTGCCATCAGC</t>
  </si>
  <si>
    <t xml:space="preserve">CCAGGGTGAAGTGTTCCGTC</t>
  </si>
  <si>
    <t xml:space="preserve">TAGTCCAGGGTGAAGTGTTCCGTC</t>
  </si>
  <si>
    <t xml:space="preserve">AAACGACGGAACACTTCACCCTGG</t>
  </si>
  <si>
    <t xml:space="preserve">GTCGGACGCTTCGGCGTCGT</t>
  </si>
  <si>
    <t xml:space="preserve">TAGTGTCGGACGCTTCGGCGTCGT</t>
  </si>
  <si>
    <t xml:space="preserve">AAACACGACGCCGAAGCGTCCGAC</t>
  </si>
  <si>
    <t xml:space="preserve">PSPPH_4800</t>
  </si>
  <si>
    <t xml:space="preserve">TGACCCAGGGCATCCAGCGC</t>
  </si>
  <si>
    <t xml:space="preserve">TAGTTGACCCAGGGCATCCAGCGC</t>
  </si>
  <si>
    <t xml:space="preserve">AAACGCGCTGGATGCCCTGGGTCA</t>
  </si>
  <si>
    <t xml:space="preserve">GCTTTGCATGAAGAACGCAA</t>
  </si>
  <si>
    <t xml:space="preserve">TAGTGCTTTGCATGAAGAACGCAA</t>
  </si>
  <si>
    <t xml:space="preserve">AAACTTGCGTTCTTCATGCAAAGC</t>
  </si>
  <si>
    <t xml:space="preserve">TGTTGAGGATCGTGCCGTCC</t>
  </si>
  <si>
    <t xml:space="preserve">TAGTTGTTGAGGATCGTGCCGTCC</t>
  </si>
  <si>
    <t xml:space="preserve">AAACGGACGGCACGATCCTCAACA</t>
  </si>
  <si>
    <t xml:space="preserve">GCTGGCCATGGACGGCAGGG</t>
  </si>
  <si>
    <t xml:space="preserve">TAGTGCTGGCCATGGACGGCAGGG</t>
  </si>
  <si>
    <t xml:space="preserve">AAACCCCTGCCGTCCATGGCCAGC</t>
  </si>
  <si>
    <t xml:space="preserve">PSPPH_4801</t>
  </si>
  <si>
    <t xml:space="preserve">ATCTACCGGCAGCATCGGTT</t>
  </si>
  <si>
    <t xml:space="preserve">TAGTATCTACCGGCAGCATCGGTT</t>
  </si>
  <si>
    <t xml:space="preserve">AAACAACCGATGCTGCCGGTAGAT</t>
  </si>
  <si>
    <t xml:space="preserve">TTGCGTCACTACCTCGGCTG</t>
  </si>
  <si>
    <t xml:space="preserve">TAGTTTGCGTCACTACCTCGGCTG</t>
  </si>
  <si>
    <t xml:space="preserve">AAACCAGCCGAGGTAGTGACGCAA</t>
  </si>
  <si>
    <t xml:space="preserve">ATGCCCAGGCGCGATGGCAC</t>
  </si>
  <si>
    <t xml:space="preserve">TAGTATGCCCAGGCGCGATGGCAC</t>
  </si>
  <si>
    <t xml:space="preserve">AAACGTGCCATCGCGCCTGGGCAT</t>
  </si>
  <si>
    <t xml:space="preserve">GAGAAACAATAGCGCCCAAT</t>
  </si>
  <si>
    <t xml:space="preserve">TAGTGAGAAACAATAGCGCCCAAT</t>
  </si>
  <si>
    <t xml:space="preserve">AAACATTGGGCGCTATTGTTTCTC</t>
  </si>
  <si>
    <t xml:space="preserve">PSPPH_4802</t>
  </si>
  <si>
    <t xml:space="preserve">msrA</t>
  </si>
  <si>
    <t xml:space="preserve">GGCAGTGCTTGTTCGGCGGT</t>
  </si>
  <si>
    <t xml:space="preserve">TAGTGGCAGTGCTTGTTCGGCGGT</t>
  </si>
  <si>
    <t xml:space="preserve">AAACACCGCCGAACAAGCACTGCC</t>
  </si>
  <si>
    <t xml:space="preserve">GCCATAGGCGTTTCACGACC</t>
  </si>
  <si>
    <t xml:space="preserve">TAGTGCCATAGGCGTTTCACGACC</t>
  </si>
  <si>
    <t xml:space="preserve">AAACGGTCGTGAAACGCCTATGGC</t>
  </si>
  <si>
    <t xml:space="preserve">CCGTTGACGAAATGAGTTTC</t>
  </si>
  <si>
    <t xml:space="preserve">TAGTCCGTTGACGAAATGAGTTTC</t>
  </si>
  <si>
    <t xml:space="preserve">AAACGAAACTCATTTCGTCAACGG</t>
  </si>
  <si>
    <t xml:space="preserve">TCGAAAACGGTCCCAGCAGC</t>
  </si>
  <si>
    <t xml:space="preserve">TAGTTCGAAAACGGTCCCAGCAGC</t>
  </si>
  <si>
    <t xml:space="preserve">AAACGCTGCTGGGACCGTTTTCGA</t>
  </si>
  <si>
    <t xml:space="preserve">PSPPH_4803</t>
  </si>
  <si>
    <t xml:space="preserve">GTAGGCGTGACGGTAATTCA</t>
  </si>
  <si>
    <t xml:space="preserve">TAGTGTAGGCGTGACGGTAATTCA</t>
  </si>
  <si>
    <t xml:space="preserve">AAACTGAATTACCGTCACGCCTAC</t>
  </si>
  <si>
    <t xml:space="preserve">CGTCGGCGTGGTTGCCGGCA</t>
  </si>
  <si>
    <t xml:space="preserve">TAGTCGTCGGCGTGGTTGCCGGCA</t>
  </si>
  <si>
    <t xml:space="preserve">AAACTGCCGGCAACCACGCCGACG</t>
  </si>
  <si>
    <t xml:space="preserve">CGATCAAGCGAGTCAGAGTC</t>
  </si>
  <si>
    <t xml:space="preserve">TAGTCGATCAAGCGAGTCAGAGTC</t>
  </si>
  <si>
    <t xml:space="preserve">AAACGACTCTGACTCGCTTGATCG</t>
  </si>
  <si>
    <t xml:space="preserve">CTGCTCCTTGCGCGCCATGA</t>
  </si>
  <si>
    <t xml:space="preserve">TAGTCTGCTCCTTGCGCGCCATGA</t>
  </si>
  <si>
    <t xml:space="preserve">AAACTCATGGCGCGCAAGGAGCAG</t>
  </si>
  <si>
    <t xml:space="preserve">PSPPH_4804</t>
  </si>
  <si>
    <t xml:space="preserve">GCAACTGCTGCCAGCGCTGG</t>
  </si>
  <si>
    <t xml:space="preserve">TAGTGCAACTGCTGCCAGCGCTGG</t>
  </si>
  <si>
    <t xml:space="preserve">AAACCCAGCGCTGGCAGCAGTTGC</t>
  </si>
  <si>
    <t xml:space="preserve">CCTCCTCCCCGCCGTCCGCC</t>
  </si>
  <si>
    <t xml:space="preserve">TAGTCCTCCTCCCCGCCGTCCGCC</t>
  </si>
  <si>
    <t xml:space="preserve">AAACGGCGGACGGCGGGGAGGAGG</t>
  </si>
  <si>
    <t xml:space="preserve">CTGGTAGAGCAACTCCTGAC</t>
  </si>
  <si>
    <t xml:space="preserve">TAGTCTGGTAGAGCAACTCCTGAC</t>
  </si>
  <si>
    <t xml:space="preserve">AAACGTCAGGAGTTGCTCTACCAG</t>
  </si>
  <si>
    <t xml:space="preserve">GCCTGCGCGCAAGCCGTTTG</t>
  </si>
  <si>
    <t xml:space="preserve">TAGTGCCTGCGCGCAAGCCGTTTG</t>
  </si>
  <si>
    <t xml:space="preserve">AAACCAAACGGCTTGCGCGCAGGC</t>
  </si>
  <si>
    <t xml:space="preserve">PSPPH_4805</t>
  </si>
  <si>
    <t xml:space="preserve">TCTGGGTCGTGACCGGGCTC</t>
  </si>
  <si>
    <t xml:space="preserve">TAGTTCTGGGTCGTGACCGGGCTC</t>
  </si>
  <si>
    <t xml:space="preserve">AAACGAGCCCGGTCACGACCCAGA</t>
  </si>
  <si>
    <t xml:space="preserve">ACGTACCAGGTGGCGACCGT</t>
  </si>
  <si>
    <t xml:space="preserve">TAGTACGTACCAGGTGGCGACCGT</t>
  </si>
  <si>
    <t xml:space="preserve">AAACACGGTCGCCACCTGGTACGT</t>
  </si>
  <si>
    <t xml:space="preserve">TGCGCACATCCCAGGTTTCC</t>
  </si>
  <si>
    <t xml:space="preserve">TAGTTGCGCACATCCCAGGTTTCC</t>
  </si>
  <si>
    <t xml:space="preserve">AAACGGAAACCTGGGATGTGCGCA</t>
  </si>
  <si>
    <t xml:space="preserve">AAAGAACATGATCGGCTGGT</t>
  </si>
  <si>
    <t xml:space="preserve">TAGTAAAGAACATGATCGGCTGGT</t>
  </si>
  <si>
    <t xml:space="preserve">AAACACCAGCCGATCATGTTCTTT</t>
  </si>
  <si>
    <t xml:space="preserve">PSPPH_4806</t>
  </si>
  <si>
    <t xml:space="preserve">AAAAGGCTGCGGCAGCGAGT</t>
  </si>
  <si>
    <t xml:space="preserve">TAGTAAAAGGCTGCGGCAGCGAGT</t>
  </si>
  <si>
    <t xml:space="preserve">AAACACTCGCTGCCGCAGCCTTTT</t>
  </si>
  <si>
    <t xml:space="preserve">GCATGTCGATTTCAAACAGT</t>
  </si>
  <si>
    <t xml:space="preserve">TAGTGCATGTCGATTTCAAACAGT</t>
  </si>
  <si>
    <t xml:space="preserve">AAACACTGTTTGAAATCGACATGC</t>
  </si>
  <si>
    <t xml:space="preserve">CGGGATCTCGCACGTCATCC</t>
  </si>
  <si>
    <t xml:space="preserve">TAGTCGGGATCTCGCACGTCATCC</t>
  </si>
  <si>
    <t xml:space="preserve">AAACGGATGACGTGCGAGATCCCG</t>
  </si>
  <si>
    <t xml:space="preserve">GTCAGGTAATTGCCCTTGGT</t>
  </si>
  <si>
    <t xml:space="preserve">TAGTGTCAGGTAATTGCCCTTGGT</t>
  </si>
  <si>
    <t xml:space="preserve">AAACACCAAGGGCAATTACCTGAC</t>
  </si>
  <si>
    <t xml:space="preserve">PSPPH_4807</t>
  </si>
  <si>
    <t xml:space="preserve">TATATTGATTAATGATTTTT</t>
  </si>
  <si>
    <t xml:space="preserve">TAGTTATATTGATTAATGATTTTT</t>
  </si>
  <si>
    <t xml:space="preserve">AAACAAAAATCATTAATCAATATA</t>
  </si>
  <si>
    <t xml:space="preserve">CGGCATGGCCGAGGCGGCAT</t>
  </si>
  <si>
    <t xml:space="preserve">TAGTCGGCATGGCCGAGGCGGCAT</t>
  </si>
  <si>
    <t xml:space="preserve">AAACATGCCGCCTCGGCCATGCCG</t>
  </si>
  <si>
    <t xml:space="preserve">ATATTTTTGCCCCTTATATC</t>
  </si>
  <si>
    <t xml:space="preserve">TAGTATATTTTTGCCCCTTATATC</t>
  </si>
  <si>
    <t xml:space="preserve">AAACGATATAAGGGGCAAAAATAT</t>
  </si>
  <si>
    <t xml:space="preserve">TAACCTTGACCGGGTTCGGA</t>
  </si>
  <si>
    <t xml:space="preserve">TAGTTAACCTTGACCGGGTTCGGA</t>
  </si>
  <si>
    <t xml:space="preserve">AAACTCCGAACCCGGTCAAGGTTA</t>
  </si>
  <si>
    <t xml:space="preserve">PSPPH_4808</t>
  </si>
  <si>
    <t xml:space="preserve">TGATGTCGGGTGCGCTCCGA</t>
  </si>
  <si>
    <t xml:space="preserve">TAGTTGATGTCGGGTGCGCTCCGA</t>
  </si>
  <si>
    <t xml:space="preserve">AAACTCGGAGCGCACCCGACATCA</t>
  </si>
  <si>
    <t xml:space="preserve">TCCGCGCATCCTGTTCGGCG</t>
  </si>
  <si>
    <t xml:space="preserve">TAGTTCCGCGCATCCTGTTCGGCG</t>
  </si>
  <si>
    <t xml:space="preserve">AAACCGCCGAACAGGATGCGCGGA</t>
  </si>
  <si>
    <t xml:space="preserve">CAGCTGCAAGCCAAGCTCGA</t>
  </si>
  <si>
    <t xml:space="preserve">TAGTCAGCTGCAAGCCAAGCTCGA</t>
  </si>
  <si>
    <t xml:space="preserve">AAACTCGAGCTTGGCTTGCAGCTG</t>
  </si>
  <si>
    <t xml:space="preserve">CGCCGGTTCTTCGGCATTGC</t>
  </si>
  <si>
    <t xml:space="preserve">TAGTCGCCGGTTCTTCGGCATTGC</t>
  </si>
  <si>
    <t xml:space="preserve">AAACGCAATGCCGAAGAACCGGCG</t>
  </si>
  <si>
    <t xml:space="preserve">PSPPH_4809</t>
  </si>
  <si>
    <t xml:space="preserve">GGCTCGACGATGGTATGCAG</t>
  </si>
  <si>
    <t xml:space="preserve">TAGTGGCTCGACGATGGTATGCAG</t>
  </si>
  <si>
    <t xml:space="preserve">AAACCTGCATACCATCGTCGAGCC</t>
  </si>
  <si>
    <t xml:space="preserve">ACCACCGTGATATAGAACGC</t>
  </si>
  <si>
    <t xml:space="preserve">TAGTACCACCGTGATATAGAACGC</t>
  </si>
  <si>
    <t xml:space="preserve">AAACGCGTTCTATATCACGGTGGT</t>
  </si>
  <si>
    <t xml:space="preserve">AGGCGGCCGCCGACCATATC</t>
  </si>
  <si>
    <t xml:space="preserve">TAGTAGGCGGCCGCCGACCATATC</t>
  </si>
  <si>
    <t xml:space="preserve">AAACGATATGGTCGGCGGCCGCCT</t>
  </si>
  <si>
    <t xml:space="preserve">AGTCGCGATCGTGGCTGCTC</t>
  </si>
  <si>
    <t xml:space="preserve">TAGTAGTCGCGATCGTGGCTGCTC</t>
  </si>
  <si>
    <t xml:space="preserve">AAACGAGCAGCCACGATCGCGACT</t>
  </si>
  <si>
    <t xml:space="preserve">PSPPH_4810</t>
  </si>
  <si>
    <t xml:space="preserve">GAACAGCAGGATGGGAAGAA</t>
  </si>
  <si>
    <t xml:space="preserve">TAGTGAACAGCAGGATGGGAAGAA</t>
  </si>
  <si>
    <t xml:space="preserve">AAACTTCTTCCCATCCTGCTGTTC</t>
  </si>
  <si>
    <t xml:space="preserve">ACCCAGCGCCGCAAGGGCCA</t>
  </si>
  <si>
    <t xml:space="preserve">TAGTACCCAGCGCCGCAAGGGCCA</t>
  </si>
  <si>
    <t xml:space="preserve">AAACTGGCCCTTGCGGCGCTGGGT</t>
  </si>
  <si>
    <t xml:space="preserve">CCGAGCAAGTCGACTTTCGA</t>
  </si>
  <si>
    <t xml:space="preserve">TAGTCCGAGCAAGTCGACTTTCGA</t>
  </si>
  <si>
    <t xml:space="preserve">AAACTCGAAAGTCGACTTGCTCGG</t>
  </si>
  <si>
    <t xml:space="preserve">AACCATGTAGCGCTTGGGCA</t>
  </si>
  <si>
    <t xml:space="preserve">TAGTAACCATGTAGCGCTTGGGCA</t>
  </si>
  <si>
    <t xml:space="preserve">AAACTGCCCAAGCGCTACATGGTT</t>
  </si>
  <si>
    <t xml:space="preserve">PSPPH_4811</t>
  </si>
  <si>
    <t xml:space="preserve">noxB</t>
  </si>
  <si>
    <t xml:space="preserve">GTTTGCCAATCTGGATCGGC</t>
  </si>
  <si>
    <t xml:space="preserve">TAGTGTTTGCCAATCTGGATCGGC</t>
  </si>
  <si>
    <t xml:space="preserve">AAACGCCGATCCAGATTGGCAAAC</t>
  </si>
  <si>
    <t xml:space="preserve">CGGTACTCAACACACGGTTA</t>
  </si>
  <si>
    <t xml:space="preserve">TAGTCGGTACTCAACACACGGTTA</t>
  </si>
  <si>
    <t xml:space="preserve">AAACTAACCGTGTGTTGAGTACCG</t>
  </si>
  <si>
    <t xml:space="preserve">GGCATAAACCTCAGCGTGCG</t>
  </si>
  <si>
    <t xml:space="preserve">TAGTGGCATAAACCTCAGCGTGCG</t>
  </si>
  <si>
    <t xml:space="preserve">AAACCGCACGCTGAGGTTTATGCC</t>
  </si>
  <si>
    <t xml:space="preserve">GGTGGTCATACCGCCGTCTG</t>
  </si>
  <si>
    <t xml:space="preserve">TAGTGGTGGTCATACCGCCGTCTG</t>
  </si>
  <si>
    <t xml:space="preserve">AAACCAGACGGCGGTATGACCACC</t>
  </si>
  <si>
    <t xml:space="preserve">PSPPH_4813</t>
  </si>
  <si>
    <t xml:space="preserve">TGTCGGCGTGCAATTCGGCT</t>
  </si>
  <si>
    <t xml:space="preserve">TAGTTGTCGGCGTGCAATTCGGCT</t>
  </si>
  <si>
    <t xml:space="preserve">AAACAGCCGAATTGCACGCCGACA</t>
  </si>
  <si>
    <t xml:space="preserve">AAACAGCTCGCGGTTCCACT</t>
  </si>
  <si>
    <t xml:space="preserve">TAGTAAACAGCTCGCGGTTCCACT</t>
  </si>
  <si>
    <t xml:space="preserve">AAACAGTGGAACCGCGAGCTGTTT</t>
  </si>
  <si>
    <t xml:space="preserve">CCGTGCAGTTGGCCATGGTC</t>
  </si>
  <si>
    <t xml:space="preserve">TAGTCCGTGCAGTTGGCCATGGTC</t>
  </si>
  <si>
    <t xml:space="preserve">AAACGACCATGGCCAACTGCACGG</t>
  </si>
  <si>
    <t xml:space="preserve">AGATGCTGTTGATAGTGGCC</t>
  </si>
  <si>
    <t xml:space="preserve">TAGTAGATGCTGTTGATAGTGGCC</t>
  </si>
  <si>
    <t xml:space="preserve">AAACGGCCACTATCAACAGCATCT</t>
  </si>
  <si>
    <t xml:space="preserve">PSPPH_4814</t>
  </si>
  <si>
    <t xml:space="preserve">AGCCGTTGCCATCAGGGCCA</t>
  </si>
  <si>
    <t xml:space="preserve">TAGTAGCCGTTGCCATCAGGGCCA</t>
  </si>
  <si>
    <t xml:space="preserve">AAACTGGCCCTGATGGCAACGGCT</t>
  </si>
  <si>
    <t xml:space="preserve">CGTCGCAAGGCGAGACATCC</t>
  </si>
  <si>
    <t xml:space="preserve">TAGTCGTCGCAAGGCGAGACATCC</t>
  </si>
  <si>
    <t xml:space="preserve">AAACGGATGTCTCGCCTTGCGACG</t>
  </si>
  <si>
    <t xml:space="preserve">GCAATTCTTCTGCAGTCGTG</t>
  </si>
  <si>
    <t xml:space="preserve">TAGTGCAATTCTTCTGCAGTCGTG</t>
  </si>
  <si>
    <t xml:space="preserve">AAACCACGACTGCAGAAGAATTGC</t>
  </si>
  <si>
    <t xml:space="preserve">GCGACTGAACACGCTTGAGC</t>
  </si>
  <si>
    <t xml:space="preserve">TAGTGCGACTGAACACGCTTGAGC</t>
  </si>
  <si>
    <t xml:space="preserve">AAACGCTCAAGCGTGTTCAGTCGC</t>
  </si>
  <si>
    <t xml:space="preserve">PSPPH_4815</t>
  </si>
  <si>
    <t xml:space="preserve">TCGAGTGGCAAGGGCGAATA</t>
  </si>
  <si>
    <t xml:space="preserve">TAGTTCGAGTGGCAAGGGCGAATA</t>
  </si>
  <si>
    <t xml:space="preserve">AAACTATTCGCCCTTGCCACTCGA</t>
  </si>
  <si>
    <t xml:space="preserve">GCAAGCTTCTTGGTGGCGAG</t>
  </si>
  <si>
    <t xml:space="preserve">TAGTGCAAGCTTCTTGGTGGCGAG</t>
  </si>
  <si>
    <t xml:space="preserve">AAACCTCGCCACCAAGAAGCTTGC</t>
  </si>
  <si>
    <t xml:space="preserve">GGAGAAGGCTTTGACGTTGG</t>
  </si>
  <si>
    <t xml:space="preserve">TAGTGGAGAAGGCTTTGACGTTGG</t>
  </si>
  <si>
    <t xml:space="preserve">AAACCCAACGTCAAAGCCTTCTCC</t>
  </si>
  <si>
    <t xml:space="preserve">TACGAAACCGGCGAGTTGCG</t>
  </si>
  <si>
    <t xml:space="preserve">TAGTTACGAAACCGGCGAGTTGCG</t>
  </si>
  <si>
    <t xml:space="preserve">AAACCGCAACTCGCCGGTTTCGTA</t>
  </si>
  <si>
    <t xml:space="preserve">PSPPH_4816</t>
  </si>
  <si>
    <t xml:space="preserve">fba</t>
  </si>
  <si>
    <t xml:space="preserve">CGGCTGCGTGGTCCAACATC</t>
  </si>
  <si>
    <t xml:space="preserve">TAGTCGGCTGCGTGGTCCAACATC</t>
  </si>
  <si>
    <t xml:space="preserve">AAACGATGTTGGACCACGCAGCCG</t>
  </si>
  <si>
    <t xml:space="preserve">TGGAACGCCATAGCCGAATT</t>
  </si>
  <si>
    <t xml:space="preserve">TAGTTGGAACGCCATAGCCGAATT</t>
  </si>
  <si>
    <t xml:space="preserve">AAACAATTCGGCTATGGCGTTCCA</t>
  </si>
  <si>
    <t xml:space="preserve">AGGTTGTTTACGTTGAAAGC</t>
  </si>
  <si>
    <t xml:space="preserve">TAGTAGGTTGTTTACGTTGAAAGC</t>
  </si>
  <si>
    <t xml:space="preserve">AAACGCTTTCAACGTAAACAACCT</t>
  </si>
  <si>
    <t xml:space="preserve">TAATGGCGCGCATCTGTTCC</t>
  </si>
  <si>
    <t xml:space="preserve">TAGTTAATGGCGCGCATCTGTTCC</t>
  </si>
  <si>
    <t xml:space="preserve">AAACGGAACAGATGCGCGCCATTA</t>
  </si>
  <si>
    <t xml:space="preserve">PSPPH_4818</t>
  </si>
  <si>
    <t xml:space="preserve">AAACCTGCGATGAGAAACCA</t>
  </si>
  <si>
    <t xml:space="preserve">TAGTAAACCTGCGATGAGAAACCA</t>
  </si>
  <si>
    <t xml:space="preserve">AAACTGGTTTCTCATCGCAGGTTT</t>
  </si>
  <si>
    <t xml:space="preserve">CGCAGGTTTGCCCGCGCAAC</t>
  </si>
  <si>
    <t xml:space="preserve">TAGTCGCAGGTTTGCCCGCGCAAC</t>
  </si>
  <si>
    <t xml:space="preserve">AAACGTTGCGCGGGCAAACCTGCG</t>
  </si>
  <si>
    <t xml:space="preserve">TAACTGGAGCGGTTGGCTCG</t>
  </si>
  <si>
    <t xml:space="preserve">TAGTTAACTGGAGCGGTTGGCTCG</t>
  </si>
  <si>
    <t xml:space="preserve">AAACCGAGCCAACCGCTCCAGTTA</t>
  </si>
  <si>
    <t xml:space="preserve">GTAGATGACCGGCACCGTTT</t>
  </si>
  <si>
    <t xml:space="preserve">TAGTGTAGATGACCGGCACCGTTT</t>
  </si>
  <si>
    <t xml:space="preserve">AAACAAACGGTGCCGGTCATCTAC</t>
  </si>
  <si>
    <t xml:space="preserve">PSPPH_4819</t>
  </si>
  <si>
    <t xml:space="preserve">pgk</t>
  </si>
  <si>
    <t xml:space="preserve">GAGGTCGGTCATCTTCAAGA</t>
  </si>
  <si>
    <t xml:space="preserve">TAGTGAGGTCGGTCATCTTCAAGA</t>
  </si>
  <si>
    <t xml:space="preserve">AAACTCTTGAAGATGACCGACCTC</t>
  </si>
  <si>
    <t xml:space="preserve">CCGGGACATTGAGGTCTTCG</t>
  </si>
  <si>
    <t xml:space="preserve">TAGTCCGGGACATTGAGGTCTTCG</t>
  </si>
  <si>
    <t xml:space="preserve">AAACCGAAGACCTCAATGTCCCGG</t>
  </si>
  <si>
    <t xml:space="preserve">CAGCCTGATGGTCGGCAGCG</t>
  </si>
  <si>
    <t xml:space="preserve">TAGTCAGCCTGATGGTCGGCAGCG</t>
  </si>
  <si>
    <t xml:space="preserve">AAACCGCTGCCGACCATCAGGCTG</t>
  </si>
  <si>
    <t xml:space="preserve">CAGGTGCGAGCAGACCATGA</t>
  </si>
  <si>
    <t xml:space="preserve">TAGTCAGGTGCGAGCAGACCATGA</t>
  </si>
  <si>
    <t xml:space="preserve">AAACTCATGGTCTGCTCGCACCTG</t>
  </si>
  <si>
    <t xml:space="preserve">PSPPH_4820</t>
  </si>
  <si>
    <t xml:space="preserve">epd</t>
  </si>
  <si>
    <t xml:space="preserve">ACTTTGTAAGGGCGGGGCTG</t>
  </si>
  <si>
    <t xml:space="preserve">TAGTACTTTGTAAGGGCGGGGCTG</t>
  </si>
  <si>
    <t xml:space="preserve">AAACCAGCCCCGCCCTTACAAAGT</t>
  </si>
  <si>
    <t xml:space="preserve">GAACAACACAACGACCAATA</t>
  </si>
  <si>
    <t xml:space="preserve">TAGTGAACAACACAACGACCAATA</t>
  </si>
  <si>
    <t xml:space="preserve">AAACTATTGGTCGTTGTGTTGTTC</t>
  </si>
  <si>
    <t xml:space="preserve">AACCACTTCAAACCCGGCCT</t>
  </si>
  <si>
    <t xml:space="preserve">TAGTAACCACTTCAAACCCGGCCT</t>
  </si>
  <si>
    <t xml:space="preserve">AAACAGGCCGGGTTTGAAGTGGTT</t>
  </si>
  <si>
    <t xml:space="preserve">CATGTCGGCCAGATCATTGA</t>
  </si>
  <si>
    <t xml:space="preserve">TAGTCATGTCGGCCAGATCATTGA</t>
  </si>
  <si>
    <t xml:space="preserve">AAACTCAATGATCTGGCCGACATG</t>
  </si>
  <si>
    <t xml:space="preserve">PSPPH_4821</t>
  </si>
  <si>
    <t xml:space="preserve">tkt</t>
  </si>
  <si>
    <t xml:space="preserve">TTGGCACGCTCACGACGGCT</t>
  </si>
  <si>
    <t xml:space="preserve">TAGTTTGGCACGCTCACGACGGCT</t>
  </si>
  <si>
    <t xml:space="preserve">AAACAGCCGTCGTGAGCGTGCCAA</t>
  </si>
  <si>
    <t xml:space="preserve">TTGCACGGCATCCATGCTTA</t>
  </si>
  <si>
    <t xml:space="preserve">TAGTTTGCACGGCATCCATGCTTA</t>
  </si>
  <si>
    <t xml:space="preserve">AAACTAAGCATGGATGCCGTGCAA</t>
  </si>
  <si>
    <t xml:space="preserve">GGCACCCGGATGGCCGCTGT</t>
  </si>
  <si>
    <t xml:space="preserve">TAGTGGCACCCGGATGGCCGCTGT</t>
  </si>
  <si>
    <t xml:space="preserve">AAACACAGCGGCCATCCGGGTGCC</t>
  </si>
  <si>
    <t xml:space="preserve">GATATCCGCCATGCCCATCG</t>
  </si>
  <si>
    <t xml:space="preserve">TAGTGATATCCGCCATGCCCATCG</t>
  </si>
  <si>
    <t xml:space="preserve">AAACCGATGGGCATGGCGGATATC</t>
  </si>
  <si>
    <t xml:space="preserve">PSPPH_4822</t>
  </si>
  <si>
    <t xml:space="preserve">GGCGAATGGCAGGTACACGC</t>
  </si>
  <si>
    <t xml:space="preserve">TAGTGGCGAATGGCAGGTACACGC</t>
  </si>
  <si>
    <t xml:space="preserve">AAACGCGTGTACCTGCCATTCGCC</t>
  </si>
  <si>
    <t xml:space="preserve">AGAGGTCGTCGCATGCATCA</t>
  </si>
  <si>
    <t xml:space="preserve">TAGTAGAGGTCGTCGCATGCATCA</t>
  </si>
  <si>
    <t xml:space="preserve">AAACTGATGCATGCGACGACCTCT</t>
  </si>
  <si>
    <t xml:space="preserve">GAGCCGCAAGGGATCGCCGC</t>
  </si>
  <si>
    <t xml:space="preserve">TAGTGAGCCGCAAGGGATCGCCGC</t>
  </si>
  <si>
    <t xml:space="preserve">AAACGCGGCGATCCCTTGCGGCTC</t>
  </si>
  <si>
    <t xml:space="preserve">AAGCACGCCGAACGAATCGT</t>
  </si>
  <si>
    <t xml:space="preserve">TAGTAAGCACGCCGAACGAATCGT</t>
  </si>
  <si>
    <t xml:space="preserve">AAACACGATTCGTTCGGCGTGCTT</t>
  </si>
  <si>
    <t xml:space="preserve">PSPPH_4823</t>
  </si>
  <si>
    <t xml:space="preserve">metK</t>
  </si>
  <si>
    <t xml:space="preserve">CCCTTCGGACACGGACTCGG</t>
  </si>
  <si>
    <t xml:space="preserve">TAGTCCCTTCGGACACGGACTCGG</t>
  </si>
  <si>
    <t xml:space="preserve">AAACCCGAGTCCGTGTCCGAAGGG</t>
  </si>
  <si>
    <t xml:space="preserve">ATCTGGTCGGCGATCTTGTC</t>
  </si>
  <si>
    <t xml:space="preserve">TAGTATCTGGTCGGCGATCTTGTC</t>
  </si>
  <si>
    <t xml:space="preserve">AAACGACAAGATCGCCGACCAGAT</t>
  </si>
  <si>
    <t xml:space="preserve">GATAGCGTCCAGAACCGCGT</t>
  </si>
  <si>
    <t xml:space="preserve">TAGTGATAGCGTCCAGAACCGCGT</t>
  </si>
  <si>
    <t xml:space="preserve">AAACACGCGGTTCTGGACGCTATC</t>
  </si>
  <si>
    <t xml:space="preserve">CAGTGTTTCGCACGCTACAC</t>
  </si>
  <si>
    <t xml:space="preserve">TAGTCAGTGTTTCGCACGCTACAC</t>
  </si>
  <si>
    <t xml:space="preserve">AAACGTGTAGCGTGCGAAACACTG</t>
  </si>
  <si>
    <t xml:space="preserve">PSPPH_4825</t>
  </si>
  <si>
    <t xml:space="preserve">CAACTGGTGAAAAGGATCAG</t>
  </si>
  <si>
    <t xml:space="preserve">TAGTCAACTGGTGAAAAGGATCAG</t>
  </si>
  <si>
    <t xml:space="preserve">AAACCTGATCCTTTTCACCAGTTG</t>
  </si>
  <si>
    <t xml:space="preserve">ATCTGGCACTCGGAAGGTGC</t>
  </si>
  <si>
    <t xml:space="preserve">TAGTATCTGGCACTCGGAAGGTGC</t>
  </si>
  <si>
    <t xml:space="preserve">AAACGCACCTTCCGAGTGCCAGAT</t>
  </si>
  <si>
    <t xml:space="preserve">GAATCTTGCTGCTGATTTCC</t>
  </si>
  <si>
    <t xml:space="preserve">TAGTGAATCTTGCTGCTGATTTCC</t>
  </si>
  <si>
    <t xml:space="preserve">AAACGGAAATCAGCAGCAAGATTC</t>
  </si>
  <si>
    <t xml:space="preserve">GGCCTTGTTACCTTCGGTCT</t>
  </si>
  <si>
    <t xml:space="preserve">TAGTGGCCTTGTTACCTTCGGTCT</t>
  </si>
  <si>
    <t xml:space="preserve">AAACAGACCGAAGGTAACAAGGCC</t>
  </si>
  <si>
    <t xml:space="preserve">PSPPH_4826</t>
  </si>
  <si>
    <t xml:space="preserve">GCGATACCGGCACACATAAT</t>
  </si>
  <si>
    <t xml:space="preserve">TAGTGCGATACCGGCACACATAAT</t>
  </si>
  <si>
    <t xml:space="preserve">AAACATTATGTGTGCCGGTATCGC</t>
  </si>
  <si>
    <t xml:space="preserve">GAATTTGCCGCTGCCGAACT</t>
  </si>
  <si>
    <t xml:space="preserve">TAGTGAATTTGCCGCTGCCGAACT</t>
  </si>
  <si>
    <t xml:space="preserve">AAACAGTTCGGCAGCGGCAAATTC</t>
  </si>
  <si>
    <t xml:space="preserve">AGCTTGTCGAGAAAGGCGCG</t>
  </si>
  <si>
    <t xml:space="preserve">TAGTAGCTTGTCGAGAAAGGCGCG</t>
  </si>
  <si>
    <t xml:space="preserve">AAACCGCGCCTTTCTCGACAAGCT</t>
  </si>
  <si>
    <t xml:space="preserve">GGGCAGCATGCGCACGGCGC</t>
  </si>
  <si>
    <t xml:space="preserve">TAGTGGGCAGCATGCGCACGGCGC</t>
  </si>
  <si>
    <t xml:space="preserve">AAACGCGCCGTGCGCATGCTGCCC</t>
  </si>
  <si>
    <t xml:space="preserve">PSPPH_4827</t>
  </si>
  <si>
    <t xml:space="preserve">AGGCGCGTCGACAGACGCGT</t>
  </si>
  <si>
    <t xml:space="preserve">TAGTAGGCGCGTCGACAGACGCGT</t>
  </si>
  <si>
    <t xml:space="preserve">AAACACGCGTCTGTCGACGCGCCT</t>
  </si>
  <si>
    <t xml:space="preserve">GCGCAGTAACGGTCAGCCCC</t>
  </si>
  <si>
    <t xml:space="preserve">TAGTGCGCAGTAACGGTCAGCCCC</t>
  </si>
  <si>
    <t xml:space="preserve">AAACGGGGCTGACCGTTACTGCGC</t>
  </si>
  <si>
    <t xml:space="preserve">CGGCGCGCAGATCGAGCTGA</t>
  </si>
  <si>
    <t xml:space="preserve">TAGTCGGCGCGCAGATCGAGCTGA</t>
  </si>
  <si>
    <t xml:space="preserve">AAACTCAGCTCGATCTGCGCGCCG</t>
  </si>
  <si>
    <t xml:space="preserve">CTTCTCGTTCAGGCTGTCTT</t>
  </si>
  <si>
    <t xml:space="preserve">TAGTCTTCTCGTTCAGGCTGTCTT</t>
  </si>
  <si>
    <t xml:space="preserve">AAACAAGACAGCCTGAACGAGAAG</t>
  </si>
  <si>
    <t xml:space="preserve">PSPPH_4828</t>
  </si>
  <si>
    <t xml:space="preserve">TCGGCTCGTCCTCTACGACA</t>
  </si>
  <si>
    <t xml:space="preserve">TAGTTCGGCTCGTCCTCTACGACA</t>
  </si>
  <si>
    <t xml:space="preserve">AAACTGTCGTAGAGGACGAGCCGA</t>
  </si>
  <si>
    <t xml:space="preserve">CAGACCCTGATGCATGTACT</t>
  </si>
  <si>
    <t xml:space="preserve">TAGTCAGACCCTGATGCATGTACT</t>
  </si>
  <si>
    <t xml:space="preserve">AAACAGTACATGCATCAGGGTCTG</t>
  </si>
  <si>
    <t xml:space="preserve">ATCGACGATATAGCCACTTT</t>
  </si>
  <si>
    <t xml:space="preserve">TAGTATCGACGATATAGCCACTTT</t>
  </si>
  <si>
    <t xml:space="preserve">AAACAAAGTGGCTATATCGTCGAT</t>
  </si>
  <si>
    <t xml:space="preserve">GAGATAGAGGCCATCGAGCC</t>
  </si>
  <si>
    <t xml:space="preserve">TAGTGAGATAGAGGCCATCGAGCC</t>
  </si>
  <si>
    <t xml:space="preserve">AAACGGCTCGATGGCCTCTATCTC</t>
  </si>
  <si>
    <t xml:space="preserve">PSPPH_4829</t>
  </si>
  <si>
    <t xml:space="preserve">CAACAGCAGCAGACAAAGTG</t>
  </si>
  <si>
    <t xml:space="preserve">TAGTCAACAGCAGCAGACAAAGTG</t>
  </si>
  <si>
    <t xml:space="preserve">AAACCACTTTGTCTGCTGCTGTTG</t>
  </si>
  <si>
    <t xml:space="preserve">GCGATGCCGGGAGCAGCAAA</t>
  </si>
  <si>
    <t xml:space="preserve">TAGTGCGATGCCGGGAGCAGCAAA</t>
  </si>
  <si>
    <t xml:space="preserve">AAACTTTGCTGCTCCCGGCATCGC</t>
  </si>
  <si>
    <t xml:space="preserve">CTGAGCCAGGCTGATGCCCT</t>
  </si>
  <si>
    <t xml:space="preserve">TAGTCTGAGCCAGGCTGATGCCCT</t>
  </si>
  <si>
    <t xml:space="preserve">AAACAGGGCATCAGCCTGGCTCAG</t>
  </si>
  <si>
    <t xml:space="preserve">GAGTTCCGGGTTGCGCGCAA</t>
  </si>
  <si>
    <t xml:space="preserve">TAGTGAGTTCCGGGTTGCGCGCAA</t>
  </si>
  <si>
    <t xml:space="preserve">AAACTTGCGCGCAACCCGGAACTC</t>
  </si>
  <si>
    <t xml:space="preserve">PSPPH_4830</t>
  </si>
  <si>
    <t xml:space="preserve">GGCCACCACCGCCAGCGTGA</t>
  </si>
  <si>
    <t xml:space="preserve">TAGTGGCCACCACCGCCAGCGTGA</t>
  </si>
  <si>
    <t xml:space="preserve">AAACTCACGCTGGCGGTGGTGGCC</t>
  </si>
  <si>
    <t xml:space="preserve">CAGACTGCCCAGACCAATGA</t>
  </si>
  <si>
    <t xml:space="preserve">TAGTCAGACTGCCCAGACCAATGA</t>
  </si>
  <si>
    <t xml:space="preserve">AAACTCATTGGTCTGGGCAGTCTG</t>
  </si>
  <si>
    <t xml:space="preserve">TTGCGAATGGCAGCATCTGC</t>
  </si>
  <si>
    <t xml:space="preserve">TAGTTTGCGAATGGCAGCATCTGC</t>
  </si>
  <si>
    <t xml:space="preserve">AAACGCAGATGCTGCCATTCGCAA</t>
  </si>
  <si>
    <t xml:space="preserve">TGGTCGTGTTCCTCGCCTGA</t>
  </si>
  <si>
    <t xml:space="preserve">TAGTTGGTCGTGTTCCTCGCCTGA</t>
  </si>
  <si>
    <t xml:space="preserve">AAACTCAGGCGAGGAACACGACCA</t>
  </si>
  <si>
    <t xml:space="preserve">PSPPH_4831</t>
  </si>
  <si>
    <t xml:space="preserve">TTGAATCAACCGTTCAAACA</t>
  </si>
  <si>
    <t xml:space="preserve">TAGTTTGAATCAACCGTTCAAACA</t>
  </si>
  <si>
    <t xml:space="preserve">AAACTGTTTGAACGGTTGATTCAA</t>
  </si>
  <si>
    <t xml:space="preserve">GATAGGCAGTTTCTGGTAAC</t>
  </si>
  <si>
    <t xml:space="preserve">TAGTGATAGGCAGTTTCTGGTAAC</t>
  </si>
  <si>
    <t xml:space="preserve">AAACGTTACCAGAAACTGCCTATC</t>
  </si>
  <si>
    <t xml:space="preserve">TACGTTGGTGATGTCGGGGA</t>
  </si>
  <si>
    <t xml:space="preserve">TAGTTACGTTGGTGATGTCGGGGA</t>
  </si>
  <si>
    <t xml:space="preserve">AAACTCCCCGACATCACCAACGTA</t>
  </si>
  <si>
    <t xml:space="preserve">GTTTCCAGCGGCGAAAAGCC</t>
  </si>
  <si>
    <t xml:space="preserve">TAGTGTTTCCAGCGGCGAAAAGCC</t>
  </si>
  <si>
    <t xml:space="preserve">AAACGGCTTTTCGCCGCTGGAAAC</t>
  </si>
  <si>
    <t xml:space="preserve">PSPPH_4832</t>
  </si>
  <si>
    <t xml:space="preserve">GGAGATGCGGTCGTAAATAC</t>
  </si>
  <si>
    <t xml:space="preserve">TAGTGGAGATGCGGTCGTAAATAC</t>
  </si>
  <si>
    <t xml:space="preserve">AAACGTATTTACGACCGCATCTCC</t>
  </si>
  <si>
    <t xml:space="preserve">TTCGTCAGCCAATCGGCGCT</t>
  </si>
  <si>
    <t xml:space="preserve">TAGTTTCGTCAGCCAATCGGCGCT</t>
  </si>
  <si>
    <t xml:space="preserve">AAACAGCGCCGATTGGCTGACGAA</t>
  </si>
  <si>
    <t xml:space="preserve">TTCGGCTGCCTCACGCGCCA</t>
  </si>
  <si>
    <t xml:space="preserve">TAGTTTCGGCTGCCTCACGCGCCA</t>
  </si>
  <si>
    <t xml:space="preserve">AAACTGGCGCGTGAGGCAGCCGAA</t>
  </si>
  <si>
    <t xml:space="preserve">TTCAAGTGCCTGCTGCGCGG</t>
  </si>
  <si>
    <t xml:space="preserve">TAGTTTCAAGTGCCTGCTGCGCGG</t>
  </si>
  <si>
    <t xml:space="preserve">AAACCCGCGCAGCAGGCACTTGAA</t>
  </si>
  <si>
    <t xml:space="preserve">PSPPH_4833</t>
  </si>
  <si>
    <t xml:space="preserve">GATCTCATCCATTAACCGCG</t>
  </si>
  <si>
    <t xml:space="preserve">TAGTGATCTCATCCATTAACCGCG</t>
  </si>
  <si>
    <t xml:space="preserve">AAACCGCGGTTAATGGATGAGATC</t>
  </si>
  <si>
    <t xml:space="preserve">CACAAAGCCCGCCATTGCAC</t>
  </si>
  <si>
    <t xml:space="preserve">TAGTCACAAAGCCCGCCATTGCAC</t>
  </si>
  <si>
    <t xml:space="preserve">AAACGTGCAATGGCGGGCTTTGTG</t>
  </si>
  <si>
    <t xml:space="preserve">GCCGAACCCGCACGTGGCGA</t>
  </si>
  <si>
    <t xml:space="preserve">TAGTGCCGAACCCGCACGTGGCGA</t>
  </si>
  <si>
    <t xml:space="preserve">AAACTCGCCACGTGCGGGTTCGGC</t>
  </si>
  <si>
    <t xml:space="preserve">ACCGGCCAGGCCGACTGCCA</t>
  </si>
  <si>
    <t xml:space="preserve">TAGTACCGGCCAGGCCGACTGCCA</t>
  </si>
  <si>
    <t xml:space="preserve">AAACTGGCAGTCGGCCTGGCCGGT</t>
  </si>
  <si>
    <t xml:space="preserve">PSPPH_4834</t>
  </si>
  <si>
    <t xml:space="preserve">GGTTGCTCCATTTTTTGAGG</t>
  </si>
  <si>
    <t xml:space="preserve">TAGTGGTTGCTCCATTTTTTGAGG</t>
  </si>
  <si>
    <t xml:space="preserve">AAACCCTCAAAAAATGGAGCAACC</t>
  </si>
  <si>
    <t xml:space="preserve">GCTGTCGTACTTATAGCCGC</t>
  </si>
  <si>
    <t xml:space="preserve">TAGTGCTGTCGTACTTATAGCCGC</t>
  </si>
  <si>
    <t xml:space="preserve">AAACGCGGCTATAAGTACGACAGC</t>
  </si>
  <si>
    <t xml:space="preserve">GTCGGTCTTGCCCTTAATGT</t>
  </si>
  <si>
    <t xml:space="preserve">TAGTGTCGGTCTTGCCCTTAATGT</t>
  </si>
  <si>
    <t xml:space="preserve">AAACACATTAAGGGCAAGACCGAC</t>
  </si>
  <si>
    <t xml:space="preserve">CTTGCCAGAGAAATAGTCGA</t>
  </si>
  <si>
    <t xml:space="preserve">TAGTCTTGCCAGAGAAATAGTCGA</t>
  </si>
  <si>
    <t xml:space="preserve">AAACTCGACTATTTCTCTGGCAAG</t>
  </si>
  <si>
    <t xml:space="preserve">PSPPH_4838</t>
  </si>
  <si>
    <t xml:space="preserve">AGTGGCGGACAAGGCAGCTA</t>
  </si>
  <si>
    <t xml:space="preserve">TAGTAGTGGCGGACAAGGCAGCTA</t>
  </si>
  <si>
    <t xml:space="preserve">AAACTAGCTGCCTTGTCCGCCACT</t>
  </si>
  <si>
    <t xml:space="preserve">CTCGTTGCCGTCGTCGGCGA</t>
  </si>
  <si>
    <t xml:space="preserve">TAGTCTCGTTGCCGTCGTCGGCGA</t>
  </si>
  <si>
    <t xml:space="preserve">AAACTCGCCGACGACGGCAACGAG</t>
  </si>
  <si>
    <t xml:space="preserve">GTCTGTATTGACGTAGCGCT</t>
  </si>
  <si>
    <t xml:space="preserve">TAGTGTCTGTATTGACGTAGCGCT</t>
  </si>
  <si>
    <t xml:space="preserve">AAACAGCGCTACGTCAATACAGAC</t>
  </si>
  <si>
    <t xml:space="preserve">CTTGGTCGACCGCTCGGCCT</t>
  </si>
  <si>
    <t xml:space="preserve">TAGTCTTGGTCGACCGCTCGGCCT</t>
  </si>
  <si>
    <t xml:space="preserve">AAACAGGCCGAGCGGTCGACCAAG</t>
  </si>
  <si>
    <t xml:space="preserve">PSPPH_4839</t>
  </si>
  <si>
    <t xml:space="preserve">AGCAAGTAACAACGATTTGG</t>
  </si>
  <si>
    <t xml:space="preserve">TAGTAGCAAGTAACAACGATTTGG</t>
  </si>
  <si>
    <t xml:space="preserve">AAACCCAAATCGTTGTTACTTGCT</t>
  </si>
  <si>
    <t xml:space="preserve">GTGTAAGCGTAAGCACTCAG</t>
  </si>
  <si>
    <t xml:space="preserve">TAGTGTGTAAGCGTAAGCACTCAG</t>
  </si>
  <si>
    <t xml:space="preserve">AAACCTGAGTGCTTACGCTTACAC</t>
  </si>
  <si>
    <t xml:space="preserve">GGTGGCTTTGACTTCATCAG</t>
  </si>
  <si>
    <t xml:space="preserve">TAGTGGTGGCTTTGACTTCATCAG</t>
  </si>
  <si>
    <t xml:space="preserve">AAACCTGATGAAGTCAAAGCCACC</t>
  </si>
  <si>
    <t xml:space="preserve">CTGGTGTTCCTTGATCACTG</t>
  </si>
  <si>
    <t xml:space="preserve">TAGTCTGGTGTTCCTTGATCACTG</t>
  </si>
  <si>
    <t xml:space="preserve">AAACCAGTGATCAAGGAACACCAG</t>
  </si>
  <si>
    <t xml:space="preserve">PSPPH_4840</t>
  </si>
  <si>
    <t xml:space="preserve">CATAGGTCAGCAGCGCAGTG</t>
  </si>
  <si>
    <t xml:space="preserve">TAGTCATAGGTCAGCAGCGCAGTG</t>
  </si>
  <si>
    <t xml:space="preserve">AAACCACTGCGCTGCTGACCTATG</t>
  </si>
  <si>
    <t xml:space="preserve">ACCATCACACCGATGGTGGG</t>
  </si>
  <si>
    <t xml:space="preserve">TAGTACCATCACACCGATGGTGGG</t>
  </si>
  <si>
    <t xml:space="preserve">AAACCCCACCATCGGTGTGATGGT</t>
  </si>
  <si>
    <t xml:space="preserve">CAGCAAAGAGAACATCAGCG</t>
  </si>
  <si>
    <t xml:space="preserve">TAGTCAGCAAAGAGAACATCAGCG</t>
  </si>
  <si>
    <t xml:space="preserve">AAACCGCTGATGTTCTCTTTGCTG</t>
  </si>
  <si>
    <t xml:space="preserve">TGGACGCGATCTTCCAGGCC</t>
  </si>
  <si>
    <t xml:space="preserve">TAGTTGGACGCGATCTTCCAGGCC</t>
  </si>
  <si>
    <t xml:space="preserve">AAACGGCCTGGAAGATCGCGTCCA</t>
  </si>
  <si>
    <t xml:space="preserve">PSPPH_4841</t>
  </si>
  <si>
    <t xml:space="preserve">AACAAAGCCGCTCGGCTGTC</t>
  </si>
  <si>
    <t xml:space="preserve">TAGTAACAAAGCCGCTCGGCTGTC</t>
  </si>
  <si>
    <t xml:space="preserve">AAACGACAGCCGAGCGGCTTTGTT</t>
  </si>
  <si>
    <t xml:space="preserve">AGAATAACCTCAAGCTCGGC</t>
  </si>
  <si>
    <t xml:space="preserve">TAGTAGAATAACCTCAAGCTCGGC</t>
  </si>
  <si>
    <t xml:space="preserve">AAACGCCGAGCTTGAGGTTATTCT</t>
  </si>
  <si>
    <t xml:space="preserve">GAAAGCAGTGGTCGGGCTGC</t>
  </si>
  <si>
    <t xml:space="preserve">TAGTGAAAGCAGTGGTCGGGCTGC</t>
  </si>
  <si>
    <t xml:space="preserve">AAACGCAGCCCGACCACTGCTTTC</t>
  </si>
  <si>
    <t xml:space="preserve">TTCCAGCGGGCCAGCGAGTA</t>
  </si>
  <si>
    <t xml:space="preserve">TAGTTTCCAGCGGGCCAGCGAGTA</t>
  </si>
  <si>
    <t xml:space="preserve">AAACTACTCGCTGGCCCGCTGGAA</t>
  </si>
  <si>
    <t xml:space="preserve">PSPPH_4842</t>
  </si>
  <si>
    <t xml:space="preserve">CTGACAGGAAAAGCGCTTTG</t>
  </si>
  <si>
    <t xml:space="preserve">TAGTCTGACAGGAAAAGCGCTTTG</t>
  </si>
  <si>
    <t xml:space="preserve">AAACCAAAGCGCTTTTCCTGTCAG</t>
  </si>
  <si>
    <t xml:space="preserve">CTGCGCGGCCATGCTGCTGA</t>
  </si>
  <si>
    <t xml:space="preserve">TAGTCTGCGCGGCCATGCTGCTGA</t>
  </si>
  <si>
    <t xml:space="preserve">AAACTCAGCAGCATGGCCGCGCAG</t>
  </si>
  <si>
    <t xml:space="preserve">GGCGATGGTCACGGTTTCGG</t>
  </si>
  <si>
    <t xml:space="preserve">TAGTGGCGATGGTCACGGTTTCGG</t>
  </si>
  <si>
    <t xml:space="preserve">AAACCCGAAACCGTGACCATCGCC</t>
  </si>
  <si>
    <t xml:space="preserve">CATGTCGCCGTTGTTGACGG</t>
  </si>
  <si>
    <t xml:space="preserve">TAGTCATGTCGCCGTTGTTGACGG</t>
  </si>
  <si>
    <t xml:space="preserve">AAACCCGTCAACAACGGCGACATG</t>
  </si>
  <si>
    <t xml:space="preserve">PSPPH_4844</t>
  </si>
  <si>
    <t xml:space="preserve">CGGCGCTGATCGGGGATCAT</t>
  </si>
  <si>
    <t xml:space="preserve">TAGTCGGCGCTGATCGGGGATCAT</t>
  </si>
  <si>
    <t xml:space="preserve">AAACATGATCCCCGATCAGCGCCG</t>
  </si>
  <si>
    <t xml:space="preserve">ATTGACGCAGCATCAGCTCC</t>
  </si>
  <si>
    <t xml:space="preserve">TAGTATTGACGCAGCATCAGCTCC</t>
  </si>
  <si>
    <t xml:space="preserve">AAACGGAGCTGATGCTGCGTCAAT</t>
  </si>
  <si>
    <t xml:space="preserve">CTGGGCGATATCGCGGCGGA</t>
  </si>
  <si>
    <t xml:space="preserve">TAGTCTGGGCGATATCGCGGCGGA</t>
  </si>
  <si>
    <t xml:space="preserve">AAACTCCGCCGCGATATCGCCCAG</t>
  </si>
  <si>
    <t xml:space="preserve">CACCGGTGACTGAATAGGCC</t>
  </si>
  <si>
    <t xml:space="preserve">TAGTCACCGGTGACTGAATAGGCC</t>
  </si>
  <si>
    <t xml:space="preserve">AAACGGCCTATTCAGTCACCGGTG</t>
  </si>
  <si>
    <t xml:space="preserve">PSPPH_4845</t>
  </si>
  <si>
    <t xml:space="preserve">typA</t>
  </si>
  <si>
    <t xml:space="preserve">AGCCACAGGCAAACAGCCCC</t>
  </si>
  <si>
    <t xml:space="preserve">TAGTAGCCACAGGCAAACAGCCCC</t>
  </si>
  <si>
    <t xml:space="preserve">AAACGGGGCTGTTTGCCTGTGGCT</t>
  </si>
  <si>
    <t xml:space="preserve">GACGACTGGTGTCGGGGGGC</t>
  </si>
  <si>
    <t xml:space="preserve">TAGTGACGACTGGTGTCGGGGGGC</t>
  </si>
  <si>
    <t xml:space="preserve">AAACGCCCCCCGACACCAGTCGTC</t>
  </si>
  <si>
    <t xml:space="preserve">CGAGTCGGCAAAAGCCGTTA</t>
  </si>
  <si>
    <t xml:space="preserve">TAGTCGAGTCGGCAAAAGCCGTTA</t>
  </si>
  <si>
    <t xml:space="preserve">AAACTAACGGCTTTTGCCGACTCG</t>
  </si>
  <si>
    <t xml:space="preserve">CGGTCTGCTGACTGTTTATA</t>
  </si>
  <si>
    <t xml:space="preserve">TAGTCGGTCTGCTGACTGTTTATA</t>
  </si>
  <si>
    <t xml:space="preserve">AAACTATAAACAGTCAGCAGACCG</t>
  </si>
  <si>
    <t xml:space="preserve">PSPPH_4846</t>
  </si>
  <si>
    <t xml:space="preserve">thiI</t>
  </si>
  <si>
    <t xml:space="preserve">AAGGGGGGCGCGGATTATAG</t>
  </si>
  <si>
    <t xml:space="preserve">TAGTAAGGGGGGCGCGGATTATAG</t>
  </si>
  <si>
    <t xml:space="preserve">AAACCTATAATCCGCGCCCCCCTT</t>
  </si>
  <si>
    <t xml:space="preserve">TTTCATGGAAACAGCGCGTG</t>
  </si>
  <si>
    <t xml:space="preserve">TAGTTTTCATGGAAACAGCGCGTG</t>
  </si>
  <si>
    <t xml:space="preserve">AAACCACGCGCTGTTTCCATGAAA</t>
  </si>
  <si>
    <t xml:space="preserve">GGGCTTTTAATGGTGATTTC</t>
  </si>
  <si>
    <t xml:space="preserve">TAGTGGGCTTTTAATGGTGATTTC</t>
  </si>
  <si>
    <t xml:space="preserve">AAACGAAATCACCATTAAAAGCCC</t>
  </si>
  <si>
    <t xml:space="preserve">TGAATTTCTTGCGCACCGGC</t>
  </si>
  <si>
    <t xml:space="preserve">TAGTTGAATTTCTTGCGCACCGGC</t>
  </si>
  <si>
    <t xml:space="preserve">AAACGCCGGTGCGCAAGAAATTCA</t>
  </si>
  <si>
    <t xml:space="preserve">PSPPH_4847</t>
  </si>
  <si>
    <t xml:space="preserve">glnA</t>
  </si>
  <si>
    <t xml:space="preserve">GAGTTGAACCGACTTCGACA</t>
  </si>
  <si>
    <t xml:space="preserve">TAGTGAGTTGAACCGACTTCGACA</t>
  </si>
  <si>
    <t xml:space="preserve">AAACTGTCGAAGTCGGTTCAACTC</t>
  </si>
  <si>
    <t xml:space="preserve">CGCGAGCTGGCATGGTCACG</t>
  </si>
  <si>
    <t xml:space="preserve">TAGTCGCGAGCTGGCATGGTCACG</t>
  </si>
  <si>
    <t xml:space="preserve">AAACCGTGACCATGCCAGCTCGCG</t>
  </si>
  <si>
    <t xml:space="preserve">GCCTTTCCAGCCAGAGATGG</t>
  </si>
  <si>
    <t xml:space="preserve">TAGTGCCTTTCCAGCCAGAGATGG</t>
  </si>
  <si>
    <t xml:space="preserve">AAACCCATCTCTGGCTGGAAAGGC</t>
  </si>
  <si>
    <t xml:space="preserve">GTCCGGCAGCAAAATCATGT</t>
  </si>
  <si>
    <t xml:space="preserve">TAGTGTCCGGCAGCAAAATCATGT</t>
  </si>
  <si>
    <t xml:space="preserve">AAACACATGATTTTGCTGCCGGAC</t>
  </si>
  <si>
    <t xml:space="preserve">PSPPH_4848</t>
  </si>
  <si>
    <t xml:space="preserve">CCGGTATTTTTTTTCTGATG</t>
  </si>
  <si>
    <t xml:space="preserve">TAGTCCGGTATTTTTTTTCTGATG</t>
  </si>
  <si>
    <t xml:space="preserve">AAACCATCAGAAAAAAAATACCGG</t>
  </si>
  <si>
    <t xml:space="preserve">GCATGTCGGGATGGCCTTGC</t>
  </si>
  <si>
    <t xml:space="preserve">TAGTGCATGTCGGGATGGCCTTGC</t>
  </si>
  <si>
    <t xml:space="preserve">AAACGCAAGGCCATCCCGACATGC</t>
  </si>
  <si>
    <t xml:space="preserve">GCTGTGATCAGAAGTCTGTA</t>
  </si>
  <si>
    <t xml:space="preserve">TAGTGCTGTGATCAGAAGTCTGTA</t>
  </si>
  <si>
    <t xml:space="preserve">AAACTACAGACTTCTGATCACAGC</t>
  </si>
  <si>
    <t xml:space="preserve">GTTGCCTGTCAGTGCTATCA</t>
  </si>
  <si>
    <t xml:space="preserve">TAGTGTTGCCTGTCAGTGCTATCA</t>
  </si>
  <si>
    <t xml:space="preserve">AAACTGATAGCACTGACAGGCAAC</t>
  </si>
  <si>
    <t xml:space="preserve">PSPPH_4849</t>
  </si>
  <si>
    <t xml:space="preserve">aroH</t>
  </si>
  <si>
    <t xml:space="preserve">GCAGGGAAGTGGCCAGAAGC</t>
  </si>
  <si>
    <t xml:space="preserve">TAGTGCAGGGAAGTGGCCAGAAGC</t>
  </si>
  <si>
    <t xml:space="preserve">AAACGCTTCTGGCCACTTCCCTGC</t>
  </si>
  <si>
    <t xml:space="preserve">GCAGGAAGACATGCACGTCA</t>
  </si>
  <si>
    <t xml:space="preserve">TAGTGCAGGAAGACATGCACGTCA</t>
  </si>
  <si>
    <t xml:space="preserve">AAACTGACGTGCATGTCTTCCTGC</t>
  </si>
  <si>
    <t xml:space="preserve">AGCAGAGGGCTTCTGCTCGG</t>
  </si>
  <si>
    <t xml:space="preserve">TAGTAGCAGAGGGCTTCTGCTCGG</t>
  </si>
  <si>
    <t xml:space="preserve">AAACCCGAGCAGAAGCCCTCTGCT</t>
  </si>
  <si>
    <t xml:space="preserve">TCGCTGATGGCTTGCAACAG</t>
  </si>
  <si>
    <t xml:space="preserve">TAGTTCGCTGATGGCTTGCAACAG</t>
  </si>
  <si>
    <t xml:space="preserve">AAACCTGTTGCAAGCCATCAGCGA</t>
  </si>
  <si>
    <t xml:space="preserve">PSPPH_4850</t>
  </si>
  <si>
    <t xml:space="preserve">TCAACAGCAGCAGGCAAATC</t>
  </si>
  <si>
    <t xml:space="preserve">TAGTTCAACAGCAGCAGGCAAATC</t>
  </si>
  <si>
    <t xml:space="preserve">AAACGATTTGCCTGCTGCTGTTGA</t>
  </si>
  <si>
    <t xml:space="preserve">AGATCTGCGCCAAGGCAGGC</t>
  </si>
  <si>
    <t xml:space="preserve">TAGTAGATCTGCGCCAAGGCAGGC</t>
  </si>
  <si>
    <t xml:space="preserve">AAACGCCTGCCTTGGCGCAGATCT</t>
  </si>
  <si>
    <t xml:space="preserve">TGCAGTGTTGCCGTTCGCAT</t>
  </si>
  <si>
    <t xml:space="preserve">TAGTTGCAGTGTTGCCGTTCGCAT</t>
  </si>
  <si>
    <t xml:space="preserve">AAACATGCGAACGGCAACACTGCA</t>
  </si>
  <si>
    <t xml:space="preserve">TCGGTTTTGGTGCCGTTGGG</t>
  </si>
  <si>
    <t xml:space="preserve">TAGTTCGGTTTTGGTGCCGTTGGG</t>
  </si>
  <si>
    <t xml:space="preserve">AAACCCCAACGGCACCAAAACCGA</t>
  </si>
  <si>
    <t xml:space="preserve">PSPPH_4851</t>
  </si>
  <si>
    <t xml:space="preserve">GTATAGACGTCGGCAGCGGC</t>
  </si>
  <si>
    <t xml:space="preserve">TAGTGTATAGACGTCGGCAGCGGC</t>
  </si>
  <si>
    <t xml:space="preserve">AAACGCCGCTGCCGACGTCTATAC</t>
  </si>
  <si>
    <t xml:space="preserve">ATTGCCTTGCGCGTCGATGT</t>
  </si>
  <si>
    <t xml:space="preserve">TAGTATTGCCTTGCGCGTCGATGT</t>
  </si>
  <si>
    <t xml:space="preserve">AAACACATCGACGCGCAAGGCAAT</t>
  </si>
  <si>
    <t xml:space="preserve">GGCGTTCTTGCGCGGCTGGT</t>
  </si>
  <si>
    <t xml:space="preserve">TAGTGGCGTTCTTGCGCGGCTGGT</t>
  </si>
  <si>
    <t xml:space="preserve">AAACACCAGCCGCGCAAGAACGCC</t>
  </si>
  <si>
    <t xml:space="preserve">GGGTGGAATATCAACGCGCT</t>
  </si>
  <si>
    <t xml:space="preserve">TAGTGGGTGGAATATCAACGCGCT</t>
  </si>
  <si>
    <t xml:space="preserve">AAACAGCGCGTTGATATTCCACCC</t>
  </si>
  <si>
    <t xml:space="preserve">PSPPH_4852</t>
  </si>
  <si>
    <t xml:space="preserve">glnL</t>
  </si>
  <si>
    <t xml:space="preserve">GCAGAATGGTGGCAGTGGTC</t>
  </si>
  <si>
    <t xml:space="preserve">TAGTGCAGAATGGTGGCAGTGGTC</t>
  </si>
  <si>
    <t xml:space="preserve">AAACGACCACTGCCACCATTCTGC</t>
  </si>
  <si>
    <t xml:space="preserve">CATGTACTCAAGTCGCAGGT</t>
  </si>
  <si>
    <t xml:space="preserve">TAGTCATGTACTCAAGTCGCAGGT</t>
  </si>
  <si>
    <t xml:space="preserve">AAACACCTGCGACTTGAGTACATG</t>
  </si>
  <si>
    <t xml:space="preserve">CGAGCAGCATTTCCGCTGCC</t>
  </si>
  <si>
    <t xml:space="preserve">TAGTCGAGCAGCATTTCCGCTGCC</t>
  </si>
  <si>
    <t xml:space="preserve">AAACGGCAGCGGAAATGCTGCTCG</t>
  </si>
  <si>
    <t xml:space="preserve">ATGGCTGCGCTGCCCGCTGA</t>
  </si>
  <si>
    <t xml:space="preserve">TAGTATGGCTGCGCTGCCCGCTGA</t>
  </si>
  <si>
    <t xml:space="preserve">AAACTCAGCGGGCAGCGCAGCCAT</t>
  </si>
  <si>
    <t xml:space="preserve">PSPPH_4853</t>
  </si>
  <si>
    <t xml:space="preserve">ntrC</t>
  </si>
  <si>
    <t xml:space="preserve">CGATCCAGACAGTTTCACTA</t>
  </si>
  <si>
    <t xml:space="preserve">TAGTCGATCCAGACAGTTTCACTA</t>
  </si>
  <si>
    <t xml:space="preserve">AAACTAGTGAAACTGTCTGGATCG</t>
  </si>
  <si>
    <t xml:space="preserve">AGGCCTTTTCCAGTACCCAG</t>
  </si>
  <si>
    <t xml:space="preserve">TAGTAGGCCTTTTCCAGTACCCAG</t>
  </si>
  <si>
    <t xml:space="preserve">AAACCTGGGTACTGGAAAAGGCCT</t>
  </si>
  <si>
    <t xml:space="preserve">GGCGCTGTCGAAGCTCTGCG</t>
  </si>
  <si>
    <t xml:space="preserve">TAGTGGCGCTGTCGAAGCTCTGCG</t>
  </si>
  <si>
    <t xml:space="preserve">AAACCGCAGAGCTTCGACAGCGCC</t>
  </si>
  <si>
    <t xml:space="preserve">CAGACGGCTCATCACCCCGT</t>
  </si>
  <si>
    <t xml:space="preserve">TAGTCAGACGGCTCATCACCCCGT</t>
  </si>
  <si>
    <t xml:space="preserve">AAACACGGGGTGATGAGCCGTCTG</t>
  </si>
  <si>
    <t xml:space="preserve">PSPPH_4854</t>
  </si>
  <si>
    <t xml:space="preserve">ACGATTTTCGGCAGCGATGT</t>
  </si>
  <si>
    <t xml:space="preserve">TAGTACGATTTTCGGCAGCGATGT</t>
  </si>
  <si>
    <t xml:space="preserve">AAACACATCGCTGCCGAAAATCGT</t>
  </si>
  <si>
    <t xml:space="preserve">CTGCGGCCGGTACGGCGATA</t>
  </si>
  <si>
    <t xml:space="preserve">TAGTCTGCGGCCGGTACGGCGATA</t>
  </si>
  <si>
    <t xml:space="preserve">AAACTATCGCCGTACCGGCCGCAG</t>
  </si>
  <si>
    <t xml:space="preserve">CACAAGCCCAAAGACAGTGC</t>
  </si>
  <si>
    <t xml:space="preserve">TAGTCACAAGCCCAAAGACAGTGC</t>
  </si>
  <si>
    <t xml:space="preserve">AAACGCACTGTCTTTGGGCTTGTG</t>
  </si>
  <si>
    <t xml:space="preserve">ATGGCACGCTGGGTGTCGAT</t>
  </si>
  <si>
    <t xml:space="preserve">TAGTATGGCACGCTGGGTGTCGAT</t>
  </si>
  <si>
    <t xml:space="preserve">AAACATCGACACCCAGCGTGCCAT</t>
  </si>
  <si>
    <t xml:space="preserve">PSPPH_4855</t>
  </si>
  <si>
    <t xml:space="preserve">ATGAAGGTGAATGGTTTCAT</t>
  </si>
  <si>
    <t xml:space="preserve">TAGTATGAAGGTGAATGGTTTCAT</t>
  </si>
  <si>
    <t xml:space="preserve">AAACATGAAACCATTCACCTTCAT</t>
  </si>
  <si>
    <t xml:space="preserve">GCCGCTGAAAGCCAGAATGG</t>
  </si>
  <si>
    <t xml:space="preserve">TAGTGCCGCTGAAAGCCAGAATGG</t>
  </si>
  <si>
    <t xml:space="preserve">AAACCCATTCTGGCTTTCAGCGGC</t>
  </si>
  <si>
    <t xml:space="preserve">CGTGTCAGGTTCGTCGGCTG</t>
  </si>
  <si>
    <t xml:space="preserve">TAGTCGTGTCAGGTTCGTCGGCTG</t>
  </si>
  <si>
    <t xml:space="preserve">AAACCAGCCGACGAACCTGACACG</t>
  </si>
  <si>
    <t xml:space="preserve">CTCCAGAAGGCCATGTTCCT</t>
  </si>
  <si>
    <t xml:space="preserve">TAGTCTCCAGAAGGCCATGTTCCT</t>
  </si>
  <si>
    <t xml:space="preserve">AAACAGGAACATGGCCTTCTGGAG</t>
  </si>
  <si>
    <t xml:space="preserve">PSPPH_4856</t>
  </si>
  <si>
    <t xml:space="preserve">AGCCGCAACGTGGTGCCCGG</t>
  </si>
  <si>
    <t xml:space="preserve">TAGTAGCCGCAACGTGGTGCCCGG</t>
  </si>
  <si>
    <t xml:space="preserve">AAACCCGGGCACCACGTTGCGGCT</t>
  </si>
  <si>
    <t xml:space="preserve">CTGCATCGGCAGGCACATCA</t>
  </si>
  <si>
    <t xml:space="preserve">TAGTCTGCATCGGCAGGCACATCA</t>
  </si>
  <si>
    <t xml:space="preserve">AAACTGATGTGCCTGCCGATGCAG</t>
  </si>
  <si>
    <t xml:space="preserve">TTTTGCCGCTTCCGCGACCT</t>
  </si>
  <si>
    <t xml:space="preserve">TAGTTTTTGCCGCTTCCGCGACCT</t>
  </si>
  <si>
    <t xml:space="preserve">AAACAGGTCGCGGAAGCGGCAAAA</t>
  </si>
  <si>
    <t xml:space="preserve">GCTGGCGATATCGCCGGTGG</t>
  </si>
  <si>
    <t xml:space="preserve">TAGTGCTGGCGATATCGCCGGTGG</t>
  </si>
  <si>
    <t xml:space="preserve">AAACCCACCGGCGATATCGCCAGC</t>
  </si>
  <si>
    <t xml:space="preserve">PSPPH_4857</t>
  </si>
  <si>
    <t xml:space="preserve">TCCGACAATGCGATACGCAC</t>
  </si>
  <si>
    <t xml:space="preserve">TAGTTCCGACAATGCGATACGCAC</t>
  </si>
  <si>
    <t xml:space="preserve">AAACGTGCGTATCGCATTGTCGGA</t>
  </si>
  <si>
    <t xml:space="preserve">CGCCACATGAGCCTGATCGA</t>
  </si>
  <si>
    <t xml:space="preserve">TAGTCGCCACATGAGCCTGATCGA</t>
  </si>
  <si>
    <t xml:space="preserve">AAACTCGATCAGGCTCATGTGGCG</t>
  </si>
  <si>
    <t xml:space="preserve">CCATCAACAGCCAGCCATAA</t>
  </si>
  <si>
    <t xml:space="preserve">TAGTCCATCAACAGCCAGCCATAA</t>
  </si>
  <si>
    <t xml:space="preserve">AAACTTATGGCTGGCTGTTGATGG</t>
  </si>
  <si>
    <t xml:space="preserve">TCTGCCATTGCCGGAACCCA</t>
  </si>
  <si>
    <t xml:space="preserve">TAGTTCTGCCATTGCCGGAACCCA</t>
  </si>
  <si>
    <t xml:space="preserve">AAACTGGGTTCCGGCAATGGCAGA</t>
  </si>
  <si>
    <t xml:space="preserve">PSPPH_4858</t>
  </si>
  <si>
    <t xml:space="preserve">GCGTGTCGCGGGTTTCTCGT</t>
  </si>
  <si>
    <t xml:space="preserve">TAGTGCGTGTCGCGGGTTTCTCGT</t>
  </si>
  <si>
    <t xml:space="preserve">AAACACGAGAAACCCGCGACACGC</t>
  </si>
  <si>
    <t xml:space="preserve">TCGTCACCCGGCCTGCGCCT</t>
  </si>
  <si>
    <t xml:space="preserve">TAGTTCGTCACCCGGCCTGCGCCT</t>
  </si>
  <si>
    <t xml:space="preserve">AAACAGGCGCAGGCCGGGTGACGA</t>
  </si>
  <si>
    <t xml:space="preserve">TACGGTAATGGCCGAGACAC</t>
  </si>
  <si>
    <t xml:space="preserve">TAGTTACGGTAATGGCCGAGACAC</t>
  </si>
  <si>
    <t xml:space="preserve">AAACGTGTCTCGGCCATTACCGTA</t>
  </si>
  <si>
    <t xml:space="preserve">AGTTCAGGCGAGACTTGCTC</t>
  </si>
  <si>
    <t xml:space="preserve">TAGTAGTTCAGGCGAGACTTGCTC</t>
  </si>
  <si>
    <t xml:space="preserve">AAACGAGCAAGTCTCGCCTGAACT</t>
  </si>
  <si>
    <t xml:space="preserve">PSPPH_4859</t>
  </si>
  <si>
    <t xml:space="preserve">GAAGTACTCGGAGAGCTCAT</t>
  </si>
  <si>
    <t xml:space="preserve">TAGTGAAGTACTCGGAGAGCTCAT</t>
  </si>
  <si>
    <t xml:space="preserve">AAACATGAGCTCTCCGAGTACTTC</t>
  </si>
  <si>
    <t xml:space="preserve">AGAACACTGGAGCGTTCATG</t>
  </si>
  <si>
    <t xml:space="preserve">TAGTAGAACACTGGAGCGTTCATG</t>
  </si>
  <si>
    <t xml:space="preserve">AAACCATGAACGCTCCAGTGTTCT</t>
  </si>
  <si>
    <t xml:space="preserve">GCCATTCGCCGCTGGCTTGC</t>
  </si>
  <si>
    <t xml:space="preserve">TAGTGCCATTCGCCGCTGGCTTGC</t>
  </si>
  <si>
    <t xml:space="preserve">AAACGCAAGCCAGCGGCGAATGGC</t>
  </si>
  <si>
    <t xml:space="preserve">GTAGTACCAGCCGACCGTGT</t>
  </si>
  <si>
    <t xml:space="preserve">TAGTGTAGTACCAGCCGACCGTGT</t>
  </si>
  <si>
    <t xml:space="preserve">AAACACACGGTCGGCTGGTACTAC</t>
  </si>
  <si>
    <t xml:space="preserve">PSPPH_4860</t>
  </si>
  <si>
    <t xml:space="preserve">hutU</t>
  </si>
  <si>
    <t xml:space="preserve">CTTCAGGTCTTGATTATTCT</t>
  </si>
  <si>
    <t xml:space="preserve">TAGTCTTCAGGTCTTGATTATTCT</t>
  </si>
  <si>
    <t xml:space="preserve">AAACAGAATAATCAAGACCTGAAG</t>
  </si>
  <si>
    <t xml:space="preserve">TACGACGCCTTCGCGATGGC</t>
  </si>
  <si>
    <t xml:space="preserve">TAGTTACGACGCCTTCGCGATGGC</t>
  </si>
  <si>
    <t xml:space="preserve">AAACGCCATCGCGAAGGCGTCGTA</t>
  </si>
  <si>
    <t xml:space="preserve">GGCTGTCAATTGAGTGCCGC</t>
  </si>
  <si>
    <t xml:space="preserve">TAGTGGCTGTCAATTGAGTGCCGC</t>
  </si>
  <si>
    <t xml:space="preserve">AAACGCGGCACTCAATTGACAGCC</t>
  </si>
  <si>
    <t xml:space="preserve">CGCTTCGGTCAGCCAGCTTT</t>
  </si>
  <si>
    <t xml:space="preserve">TAGTCGCTTCGGTCAGCCAGCTTT</t>
  </si>
  <si>
    <t xml:space="preserve">AAACAAAGCTGGCTGACCGAAGCG</t>
  </si>
  <si>
    <t xml:space="preserve">PSPPH_4861</t>
  </si>
  <si>
    <t xml:space="preserve">GGATACCAGGGTGGTCAGCA</t>
  </si>
  <si>
    <t xml:space="preserve">TAGTGGATACCAGGGTGGTCAGCA</t>
  </si>
  <si>
    <t xml:space="preserve">AAACTGCTGACCACCCTGGTATCC</t>
  </si>
  <si>
    <t xml:space="preserve">TTGCGCCTGCGCTGGCGAGC</t>
  </si>
  <si>
    <t xml:space="preserve">TAGTTTGCGCCTGCGCTGGCGAGC</t>
  </si>
  <si>
    <t xml:space="preserve">AAACGCTCGCCAGCGCAGGCGCAA</t>
  </si>
  <si>
    <t xml:space="preserve">CTTGCCTGATTCGCACCAGC</t>
  </si>
  <si>
    <t xml:space="preserve">TAGTCTTGCCTGATTCGCACCAGC</t>
  </si>
  <si>
    <t xml:space="preserve">AAACGCTGGTGCGAATCAGGCAAG</t>
  </si>
  <si>
    <t xml:space="preserve">TTAAGACCGGCGAACTTCAC</t>
  </si>
  <si>
    <t xml:space="preserve">TAGTTTAAGACCGGCGAACTTCAC</t>
  </si>
  <si>
    <t xml:space="preserve">AAACGTGAAGTTCGCCGGTCTTAA</t>
  </si>
  <si>
    <t xml:space="preserve">PSPPH_4862</t>
  </si>
  <si>
    <t xml:space="preserve">ATCGAGAAAGTGAAGCTTTC</t>
  </si>
  <si>
    <t xml:space="preserve">TAGTATCGAGAAAGTGAAGCTTTC</t>
  </si>
  <si>
    <t xml:space="preserve">AAACGAAAGCTTCACTTTCTCGAT</t>
  </si>
  <si>
    <t xml:space="preserve">GACCCCGTCGTTGACCCAAT</t>
  </si>
  <si>
    <t xml:space="preserve">TAGTGACCCCGTCGTTGACCCAAT</t>
  </si>
  <si>
    <t xml:space="preserve">AAACATTGGGTCAACGACGGGGTC</t>
  </si>
  <si>
    <t xml:space="preserve">GCAGGGTGTCGGAAATGTGC</t>
  </si>
  <si>
    <t xml:space="preserve">TAGTGCAGGGTGTCGGAAATGTGC</t>
  </si>
  <si>
    <t xml:space="preserve">AAACGCACATTTCCGACACCCTGC</t>
  </si>
  <si>
    <t xml:space="preserve">CAGGCCTTCGAGGTTGACGA</t>
  </si>
  <si>
    <t xml:space="preserve">TAGTCAGGCCTTCGAGGTTGACGA</t>
  </si>
  <si>
    <t xml:space="preserve">AAACTCGTCAACCTCGAAGGCCTG</t>
  </si>
  <si>
    <t xml:space="preserve">PSPPH_4863</t>
  </si>
  <si>
    <t xml:space="preserve">TTTTTAACGACGATCTTGCT</t>
  </si>
  <si>
    <t xml:space="preserve">TAGTTTTTTAACGACGATCTTGCT</t>
  </si>
  <si>
    <t xml:space="preserve">AAACAGCAAGATCGTCGTTAAAAA</t>
  </si>
  <si>
    <t xml:space="preserve">GCGCCAGTGCTTCCTTTGAG</t>
  </si>
  <si>
    <t xml:space="preserve">TAGTGCGCCAGTGCTTCCTTTGAG</t>
  </si>
  <si>
    <t xml:space="preserve">AAACCTCAAAGGAAGCACTGGCGC</t>
  </si>
  <si>
    <t xml:space="preserve">CCAGTACCTGATCCTTGCTC</t>
  </si>
  <si>
    <t xml:space="preserve">TAGTCCAGTACCTGATCCTTGCTC</t>
  </si>
  <si>
    <t xml:space="preserve">AAACGAGCAAGGATCAGGTACTGG</t>
  </si>
  <si>
    <t xml:space="preserve">CACTGCCGATCGACAGCGAC</t>
  </si>
  <si>
    <t xml:space="preserve">TAGTCACTGCCGATCGACAGCGAC</t>
  </si>
  <si>
    <t xml:space="preserve">AAACGTCGCTGTCGATCGGCAGTG</t>
  </si>
  <si>
    <t xml:space="preserve">PSPPH_4864</t>
  </si>
  <si>
    <t xml:space="preserve">hutH1</t>
  </si>
  <si>
    <t xml:space="preserve">TACGTCCTGCCAGCCCAGCG</t>
  </si>
  <si>
    <t xml:space="preserve">TAGTTACGTCCTGCCAGCCCAGCG</t>
  </si>
  <si>
    <t xml:space="preserve">AAACCGCTGGGCTGGCAGGACGTA</t>
  </si>
  <si>
    <t xml:space="preserve">TTGCGCGCCTTGCCGGGCTA</t>
  </si>
  <si>
    <t xml:space="preserve">TAGTTTGCGCGCCTTGCCGGGCTA</t>
  </si>
  <si>
    <t xml:space="preserve">AAACTAGCCCGGCAAGGCGCGCAA</t>
  </si>
  <si>
    <t xml:space="preserve">GTTATCGATCCGCGCCCAGG</t>
  </si>
  <si>
    <t xml:space="preserve">TAGTGTTATCGATCCGCGCCCAGG</t>
  </si>
  <si>
    <t xml:space="preserve">AAACCCTGGGCGCGGATCGATAAC</t>
  </si>
  <si>
    <t xml:space="preserve">GACGACAATCTGCTGCACGA</t>
  </si>
  <si>
    <t xml:space="preserve">TAGTGACGACAATCTGCTGCACGA</t>
  </si>
  <si>
    <t xml:space="preserve">AAACTCGTGCAGCAGATTGTCGTC</t>
  </si>
  <si>
    <t xml:space="preserve">PSPPH_4865</t>
  </si>
  <si>
    <t xml:space="preserve">hutH2</t>
  </si>
  <si>
    <t xml:space="preserve">CAGCGTCTTGGCAGATAAGG</t>
  </si>
  <si>
    <t xml:space="preserve">TAGTCAGCGTCTTGGCAGATAAGG</t>
  </si>
  <si>
    <t xml:space="preserve">AAACCCTTATCTGCCAAGACGCTG</t>
  </si>
  <si>
    <t xml:space="preserve">GGGTCAGTTGGCCGGGGATC</t>
  </si>
  <si>
    <t xml:space="preserve">TAGTGGGTCAGTTGGCCGGGGATC</t>
  </si>
  <si>
    <t xml:space="preserve">AAACGATCCCCGGCCAACTGACCC</t>
  </si>
  <si>
    <t xml:space="preserve">AATGGCGCGCAATTGCGCCA</t>
  </si>
  <si>
    <t xml:space="preserve">TAGTAATGGCGCGCAATTGCGCCA</t>
  </si>
  <si>
    <t xml:space="preserve">AAACTGGCGCAATTGCGCGCCATT</t>
  </si>
  <si>
    <t xml:space="preserve">CTGTCCAGCGTCAGGCTGAC</t>
  </si>
  <si>
    <t xml:space="preserve">TAGTCTGTCCAGCGTCAGGCTGAC</t>
  </si>
  <si>
    <t xml:space="preserve">AAACGTCAGCCTGACGCTGGACAG</t>
  </si>
  <si>
    <t xml:space="preserve">PSPPH_4866</t>
  </si>
  <si>
    <t xml:space="preserve">CATGAAGCGTATGTGGCGGG</t>
  </si>
  <si>
    <t xml:space="preserve">TAGTCATGAAGCGTATGTGGCGGG</t>
  </si>
  <si>
    <t xml:space="preserve">AAACCCCGCCACATACGCTTCATG</t>
  </si>
  <si>
    <t xml:space="preserve">TGTGCCGATGGCAGAGCCCA</t>
  </si>
  <si>
    <t xml:space="preserve">TAGTTGTGCCGATGGCAGAGCCCA</t>
  </si>
  <si>
    <t xml:space="preserve">AAACTGGGCTCTGCCATCGGCACA</t>
  </si>
  <si>
    <t xml:space="preserve">ACCGGCCTGTTGAATCGCCG</t>
  </si>
  <si>
    <t xml:space="preserve">TAGTACCGGCCTGTTGAATCGCCG</t>
  </si>
  <si>
    <t xml:space="preserve">AAACCGGCGATTCAACAGGCCGGT</t>
  </si>
  <si>
    <t xml:space="preserve">AGGTACGCCAGCAATACGGC</t>
  </si>
  <si>
    <t xml:space="preserve">TAGTAGGTACGCCAGCAATACGGC</t>
  </si>
  <si>
    <t xml:space="preserve">AAACGCCGTATTGCTGGCGTACCT</t>
  </si>
  <si>
    <t xml:space="preserve">PSPPH_4867</t>
  </si>
  <si>
    <t xml:space="preserve">hutI</t>
  </si>
  <si>
    <t xml:space="preserve">CGCTCCGGAGGTCACGATGG</t>
  </si>
  <si>
    <t xml:space="preserve">TAGTCGCTCCGGAGGTCACGATGG</t>
  </si>
  <si>
    <t xml:space="preserve">AAACCCATCGTGACCTCCGGAGCG</t>
  </si>
  <si>
    <t xml:space="preserve">GGCTCGGCCAGCTCGGTTTC</t>
  </si>
  <si>
    <t xml:space="preserve">TAGTGGCTCGGCCAGCTCGGTTTC</t>
  </si>
  <si>
    <t xml:space="preserve">AAACGAAACCGAGCTGGCCGAGCC</t>
  </si>
  <si>
    <t xml:space="preserve">TCGATGCAGTTGTCATGTTC</t>
  </si>
  <si>
    <t xml:space="preserve">TAGTTCGATGCAGTTGTCATGTTC</t>
  </si>
  <si>
    <t xml:space="preserve">AAACGAACATGACAACTGCATCGA</t>
  </si>
  <si>
    <t xml:space="preserve">TGTGCGTATGACAGTCGATC</t>
  </si>
  <si>
    <t xml:space="preserve">TAGTTGTGCGTATGACAGTCGATC</t>
  </si>
  <si>
    <t xml:space="preserve">AAACGATCGACTGTCATACGCACA</t>
  </si>
  <si>
    <t xml:space="preserve">PSPPH_4869</t>
  </si>
  <si>
    <t xml:space="preserve">GTGGTCATGGTCATGTGCGG</t>
  </si>
  <si>
    <t xml:space="preserve">TAGTGTGGTCATGGTCATGTGCGG</t>
  </si>
  <si>
    <t xml:space="preserve">AAACCCGCACATGACCATGACCAC</t>
  </si>
  <si>
    <t xml:space="preserve">GCTCGCCGTGGTCATGATCG</t>
  </si>
  <si>
    <t xml:space="preserve">TAGTGCTCGCCGTGGTCATGATCG</t>
  </si>
  <si>
    <t xml:space="preserve">AAACCGATCATGACCACGGCGAGC</t>
  </si>
  <si>
    <t xml:space="preserve">TGTTCTACGGGCTTTTGCTC</t>
  </si>
  <si>
    <t xml:space="preserve">TAGTTGTTCTACGGGCTTTTGCTC</t>
  </si>
  <si>
    <t xml:space="preserve">AAACGAGCAAAAGCCCGTAGAACA</t>
  </si>
  <si>
    <t xml:space="preserve">CACAGCAGGTTGTGCATCGC</t>
  </si>
  <si>
    <t xml:space="preserve">TAGTCACAGCAGGTTGTGCATCGC</t>
  </si>
  <si>
    <t xml:space="preserve">AAACGCGATGCACAACCTGCTGTG</t>
  </si>
  <si>
    <t xml:space="preserve">PSPPH_4870</t>
  </si>
  <si>
    <t xml:space="preserve">cadR</t>
  </si>
  <si>
    <t xml:space="preserve">GATGGTTTCGACCTGGGTGT</t>
  </si>
  <si>
    <t xml:space="preserve">TAGTGATGGTTTCGACCTGGGTGT</t>
  </si>
  <si>
    <t xml:space="preserve">AAACACACCCAGGTCGAAACCATC</t>
  </si>
  <si>
    <t xml:space="preserve">GGCCTTCGCGCTCGTAATAG</t>
  </si>
  <si>
    <t xml:space="preserve">TAGTGGCCTTCGCGCTCGTAATAG</t>
  </si>
  <si>
    <t xml:space="preserve">AAACCTATTACGAGCGCGAAGGCC</t>
  </si>
  <si>
    <t xml:space="preserve">TGCGGGCAGGTGCGGGCAGC</t>
  </si>
  <si>
    <t xml:space="preserve">TAGTTGCGGGCAGGTGCGGGCAGC</t>
  </si>
  <si>
    <t xml:space="preserve">AAACGCTGCCCGCACCTGCCCGCA</t>
  </si>
  <si>
    <t xml:space="preserve">TGTGTGCTTGGGTATACAGC</t>
  </si>
  <si>
    <t xml:space="preserve">TAGTTGTGTGCTTGGGTATACAGC</t>
  </si>
  <si>
    <t xml:space="preserve">AAACGCTGTATACCCAAGCACACA</t>
  </si>
  <si>
    <t xml:space="preserve">PSPPH_4871</t>
  </si>
  <si>
    <t xml:space="preserve">TACAGACTCACCCAGCAGAT</t>
  </si>
  <si>
    <t xml:space="preserve">TAGTTACAGACTCACCCAGCAGAT</t>
  </si>
  <si>
    <t xml:space="preserve">AAACATCTGCTGGGTGAGTCTGTA</t>
  </si>
  <si>
    <t xml:space="preserve">CGAAAAGAGTCGAGCAGATA</t>
  </si>
  <si>
    <t xml:space="preserve">TAGTCGAAAAGAGTCGAGCAGATA</t>
  </si>
  <si>
    <t xml:space="preserve">AAACTATCTGCTCGACTCTTTTCG</t>
  </si>
  <si>
    <t xml:space="preserve">CACACCCGTCACTTCGGTAG</t>
  </si>
  <si>
    <t xml:space="preserve">TAGTCACACCCGTCACTTCGGTAG</t>
  </si>
  <si>
    <t xml:space="preserve">AAACCTACCGAAGTGACGGGTGTG</t>
  </si>
  <si>
    <t xml:space="preserve">TCCCGATAGCCACTGACGGT</t>
  </si>
  <si>
    <t xml:space="preserve">TAGTTCCCGATAGCCACTGACGGT</t>
  </si>
  <si>
    <t xml:space="preserve">AAACACCGTCAGTGGCTATCGGGA</t>
  </si>
  <si>
    <t xml:space="preserve">PSPPH_4872</t>
  </si>
  <si>
    <t xml:space="preserve">thyA</t>
  </si>
  <si>
    <t xml:space="preserve">GCCGGTACGGTTGGCTTGCA</t>
  </si>
  <si>
    <t xml:space="preserve">TAGTGCCGGTACGGTTGGCTTGCA</t>
  </si>
  <si>
    <t xml:space="preserve">AAACTGCAAGCCAACCGTACCGGC</t>
  </si>
  <si>
    <t xml:space="preserve">CATCGCACCCGGAAAGCTGA</t>
  </si>
  <si>
    <t xml:space="preserve">TAGTCATCGCACCCGGAAAGCTGA</t>
  </si>
  <si>
    <t xml:space="preserve">AAACTCAGCTTTCCGGGTGCGATG</t>
  </si>
  <si>
    <t xml:space="preserve">ATGCGCCGTGTGGTGATGGC</t>
  </si>
  <si>
    <t xml:space="preserve">TAGTATGCGCCGTGTGGTGATGGC</t>
  </si>
  <si>
    <t xml:space="preserve">AAACGCCATCACCACACGGCGCAT</t>
  </si>
  <si>
    <t xml:space="preserve">GAAGCCGACCATTTCGCCGA</t>
  </si>
  <si>
    <t xml:space="preserve">TAGTGAAGCCGACCATTTCGCCGA</t>
  </si>
  <si>
    <t xml:space="preserve">AAACTCGGCGAAATGGTCGGCTTC</t>
  </si>
  <si>
    <t xml:space="preserve">PSPPH_4873</t>
  </si>
  <si>
    <t xml:space="preserve">lgt</t>
  </si>
  <si>
    <t xml:space="preserve">ACCGGGTCAATCTGCGGGTA</t>
  </si>
  <si>
    <t xml:space="preserve">TAGTACCGGGTCAATCTGCGGGTA</t>
  </si>
  <si>
    <t xml:space="preserve">AAACTACCCGCAGATTGACCCGGT</t>
  </si>
  <si>
    <t xml:space="preserve">CGTACCAGTGAATTTGCAGC</t>
  </si>
  <si>
    <t xml:space="preserve">TAGTCGTACCAGTGAATTTGCAGC</t>
  </si>
  <si>
    <t xml:space="preserve">AAACGCTGCAAATTCACTGGTACG</t>
  </si>
  <si>
    <t xml:space="preserve">AGGCGCCACCGATGCCGACC</t>
  </si>
  <si>
    <t xml:space="preserve">TAGTAGGCGCCACCGATGCCGACC</t>
  </si>
  <si>
    <t xml:space="preserve">AAACGGTCGGCATCGGTGGCGCCT</t>
  </si>
  <si>
    <t xml:space="preserve">ACGACGCGACGCGAGCAGCC</t>
  </si>
  <si>
    <t xml:space="preserve">TAGTACGACGCGACGCGAGCAGCC</t>
  </si>
  <si>
    <t xml:space="preserve">AAACGGCTGCTCGCGTCGCGTCGT</t>
  </si>
  <si>
    <t xml:space="preserve">PSPPH_4874</t>
  </si>
  <si>
    <t xml:space="preserve">ptsP</t>
  </si>
  <si>
    <t xml:space="preserve">CTTGCGCAGCGTATTGAGCA</t>
  </si>
  <si>
    <t xml:space="preserve">TAGTCTTGCGCAGCGTATTGAGCA</t>
  </si>
  <si>
    <t xml:space="preserve">AAACTGCTCAATACGCTGCGCAAG</t>
  </si>
  <si>
    <t xml:space="preserve">CCTTGGCGGAGTTAACTTCC</t>
  </si>
  <si>
    <t xml:space="preserve">TAGTCCTTGGCGGAGTTAACTTCC</t>
  </si>
  <si>
    <t xml:space="preserve">AAACGGAAGTTAACTCCGCCAAGG</t>
  </si>
  <si>
    <t xml:space="preserve">CGAGCAGACCTGGCTGCCCA</t>
  </si>
  <si>
    <t xml:space="preserve">TAGTCGAGCAGACCTGGCTGCCCA</t>
  </si>
  <si>
    <t xml:space="preserve">AAACTGGGCAGCCAGGTCTGCTCG</t>
  </si>
  <si>
    <t xml:space="preserve">GGTTGACCTCGGCATCGAGC</t>
  </si>
  <si>
    <t xml:space="preserve">TAGTGGTTGACCTCGGCATCGAGC</t>
  </si>
  <si>
    <t xml:space="preserve">AAACGCTCGATGCCGAGGTCAACC</t>
  </si>
  <si>
    <t xml:space="preserve">PSPPH_4875</t>
  </si>
  <si>
    <t xml:space="preserve">nudH</t>
  </si>
  <si>
    <t xml:space="preserve">GAAACCATCGGGGTCGATCA</t>
  </si>
  <si>
    <t xml:space="preserve">TAGTGAAACCATCGGGGTCGATCA</t>
  </si>
  <si>
    <t xml:space="preserve">AAACTGATCGACCCCGATGGTTTC</t>
  </si>
  <si>
    <t xml:space="preserve">GAATAATCCCGACATTAGGA</t>
  </si>
  <si>
    <t xml:space="preserve">TAGTGAATAATCCCGACATTAGGA</t>
  </si>
  <si>
    <t xml:space="preserve">AAACTCCTAATGTCGGGATTATTC</t>
  </si>
  <si>
    <t xml:space="preserve">GGTTAATACGCCGAGCCCAT</t>
  </si>
  <si>
    <t xml:space="preserve">TAGTGGTTAATACGCCGAGCCCAT</t>
  </si>
  <si>
    <t xml:space="preserve">AAACATGGGCTCGGCGTATTAACC</t>
  </si>
  <si>
    <t xml:space="preserve">GAGGAAACTGCCAGGCATCC</t>
  </si>
  <si>
    <t xml:space="preserve">TAGTGAGGAAACTGCCAGGCATCC</t>
  </si>
  <si>
    <t xml:space="preserve">AAACGGATGCCTGGCAGTTTCCTC</t>
  </si>
  <si>
    <t xml:space="preserve">PSPPH_4876</t>
  </si>
  <si>
    <t xml:space="preserve">TCGAATAAAGCCAGACGCAT</t>
  </si>
  <si>
    <t xml:space="preserve">TAGTTCGAATAAAGCCAGACGCAT</t>
  </si>
  <si>
    <t xml:space="preserve">AAACATGCGTCTGGCTTTATTCGA</t>
  </si>
  <si>
    <t xml:space="preserve">ACAGATAATCGCCCCAGGCA</t>
  </si>
  <si>
    <t xml:space="preserve">TAGTACAGATAATCGCCCCAGGCA</t>
  </si>
  <si>
    <t xml:space="preserve">AAACTGCCTGGGGCGATTATCTGT</t>
  </si>
  <si>
    <t xml:space="preserve">CGGCATCGAGGATCCCGCGT</t>
  </si>
  <si>
    <t xml:space="preserve">TAGTCGGCATCGAGGATCCCGCGT</t>
  </si>
  <si>
    <t xml:space="preserve">AAACACGCGGGATCCTCGATGCCG</t>
  </si>
  <si>
    <t xml:space="preserve">GTTGCGGGTCTTGTAGGTTG</t>
  </si>
  <si>
    <t xml:space="preserve">TAGTGTTGCGGGTCTTGTAGGTTG</t>
  </si>
  <si>
    <t xml:space="preserve">AAACCAACCTACAAGACCCGCAAC</t>
  </si>
  <si>
    <t xml:space="preserve">PSPPH_4877</t>
  </si>
  <si>
    <t xml:space="preserve">AGGGTATTGAGGGCGGTGAT</t>
  </si>
  <si>
    <t xml:space="preserve">TAGTAGGGTATTGAGGGCGGTGAT</t>
  </si>
  <si>
    <t xml:space="preserve">AAACATCACCGCCCTCAATACCCT</t>
  </si>
  <si>
    <t xml:space="preserve">GCTGATCAACAACAGCGCAA</t>
  </si>
  <si>
    <t xml:space="preserve">TAGTGCTGATCAACAACAGCGCAA</t>
  </si>
  <si>
    <t xml:space="preserve">AAACTTGCGCTGTTGTTGATCAGC</t>
  </si>
  <si>
    <t xml:space="preserve">ACGCACCTTGACCACCCCGC</t>
  </si>
  <si>
    <t xml:space="preserve">TAGTACGCACCTTGACCACCCCGC</t>
  </si>
  <si>
    <t xml:space="preserve">AAACGCGGGGTGGTCAAGGTGCGT</t>
  </si>
  <si>
    <t xml:space="preserve">CTTGAGCAGGCGATTCTGAA</t>
  </si>
  <si>
    <t xml:space="preserve">TAGTCTTGAGCAGGCGATTCTGAA</t>
  </si>
  <si>
    <t xml:space="preserve">AAACTTCAGAATCGCCTGCTCAAG</t>
  </si>
  <si>
    <t xml:space="preserve">PSPPH_4878</t>
  </si>
  <si>
    <t xml:space="preserve">ilvA2</t>
  </si>
  <si>
    <t xml:space="preserve">CCATTGCCTCCCACGCCCTG</t>
  </si>
  <si>
    <t xml:space="preserve">TAGTCCATTGCCTCCCACGCCCTG</t>
  </si>
  <si>
    <t xml:space="preserve">AAACCAGGGCGTGGGAGGCAATGG</t>
  </si>
  <si>
    <t xml:space="preserve">PSPPH_4879</t>
  </si>
  <si>
    <t xml:space="preserve">ilvA3</t>
  </si>
  <si>
    <t xml:space="preserve">TTGACGTAGTGTTCAAGCAT</t>
  </si>
  <si>
    <t xml:space="preserve">TAGTTTGACGTAGTGTTCAAGCAT</t>
  </si>
  <si>
    <t xml:space="preserve">AAACATGCTTGAACACTACGTCAA</t>
  </si>
  <si>
    <t xml:space="preserve">AGCCACGTCGTACACGCGGG</t>
  </si>
  <si>
    <t xml:space="preserve">TAGTAGCCACGTCGTACACGCGGG</t>
  </si>
  <si>
    <t xml:space="preserve">AAACCCCGCGTGTACGACGTGGCT</t>
  </si>
  <si>
    <t xml:space="preserve">TACCCGGTTTCCCAGCCGCT</t>
  </si>
  <si>
    <t xml:space="preserve">TAGTTACCCGGTTTCCCAGCCGCT</t>
  </si>
  <si>
    <t xml:space="preserve">AAACAGCGGCTGGGAAACCGGGTA</t>
  </si>
  <si>
    <t xml:space="preserve">GCGAGTAGGCCAGCGCTTCG</t>
  </si>
  <si>
    <t xml:space="preserve">TAGTGCGAGTAGGCCAGCGCTTCG</t>
  </si>
  <si>
    <t xml:space="preserve">AAACCGAAGCGCTGGCCTACTCGC</t>
  </si>
  <si>
    <t xml:space="preserve">PSPPH_4880</t>
  </si>
  <si>
    <t xml:space="preserve">rpiA</t>
  </si>
  <si>
    <t xml:space="preserve">TGCCTGTTTGAGTTGATCCT</t>
  </si>
  <si>
    <t xml:space="preserve">TAGTTGCCTGTTTGAGTTGATCCT</t>
  </si>
  <si>
    <t xml:space="preserve">AAACAGGATCAACTCAAACAGGCA</t>
  </si>
  <si>
    <t xml:space="preserve">GATGAAGTCGACAGCTGCTT</t>
  </si>
  <si>
    <t xml:space="preserve">TAGTGATGAAGTCGACAGCTGCTT</t>
  </si>
  <si>
    <t xml:space="preserve">AAACAAGCAGCTGTCGACTTCATC</t>
  </si>
  <si>
    <t xml:space="preserve">TTTTGTCATCGAGCTTCGGA</t>
  </si>
  <si>
    <t xml:space="preserve">TAGTTTTTGTCATCGAGCTTCGGA</t>
  </si>
  <si>
    <t xml:space="preserve">AAACTCCGAAGCTCGATGACAAAA</t>
  </si>
  <si>
    <t xml:space="preserve">AAAGCAATTGGCCGTGGAGC</t>
  </si>
  <si>
    <t xml:space="preserve">TAGTAAAGCAATTGGCCGTGGAGC</t>
  </si>
  <si>
    <t xml:space="preserve">AAACGCTCCACGGCCAATTGCTTT</t>
  </si>
  <si>
    <t xml:space="preserve">PSPPH_4882</t>
  </si>
  <si>
    <t xml:space="preserve">AGGCGGCGTTGCGGCAGTAC</t>
  </si>
  <si>
    <t xml:space="preserve">TAGTAGGCGGCGTTGCGGCAGTAC</t>
  </si>
  <si>
    <t xml:space="preserve">AAACGTACTGCCGCAACGCCGCCT</t>
  </si>
  <si>
    <t xml:space="preserve">GCGAAGCGTTTTTTGTTACG</t>
  </si>
  <si>
    <t xml:space="preserve">TAGTGCGAAGCGTTTTTTGTTACG</t>
  </si>
  <si>
    <t xml:space="preserve">AAACCGTAACAAAAAACGCTTCGC</t>
  </si>
  <si>
    <t xml:space="preserve">GGCCAGCCCATAGCCCAGCA</t>
  </si>
  <si>
    <t xml:space="preserve">TAGTGGCCAGCCCATAGCCCAGCA</t>
  </si>
  <si>
    <t xml:space="preserve">AAACTGCTGGGCTATGGGCTGGCC</t>
  </si>
  <si>
    <t xml:space="preserve">ATCATCCCAATGCATGATGA</t>
  </si>
  <si>
    <t xml:space="preserve">TAGTATCATCCCAATGCATGATGA</t>
  </si>
  <si>
    <t xml:space="preserve">AAACTCATCATGCATTGGGATGAT</t>
  </si>
  <si>
    <t xml:space="preserve">PSPPH_4883</t>
  </si>
  <si>
    <t xml:space="preserve">TGCCATCGACATATTTGTGC</t>
  </si>
  <si>
    <t xml:space="preserve">TAGTTGCCATCGACATATTTGTGC</t>
  </si>
  <si>
    <t xml:space="preserve">AAACGCACAAATATGTCGATGGCA</t>
  </si>
  <si>
    <t xml:space="preserve">ACCCAGCGGGAAGTGAATGT</t>
  </si>
  <si>
    <t xml:space="preserve">TAGTACCCAGCGGGAAGTGAATGT</t>
  </si>
  <si>
    <t xml:space="preserve">AAACACATTCACTTCCCGCTGGGT</t>
  </si>
  <si>
    <t xml:space="preserve">GCCCAGTTCCTTGGCGTGTT</t>
  </si>
  <si>
    <t xml:space="preserve">TAGTGCCCAGTTCCTTGGCGTGTT</t>
  </si>
  <si>
    <t xml:space="preserve">AAACAACACGCCAAGGAACTGGGC</t>
  </si>
  <si>
    <t xml:space="preserve">ATGAACAGCAGTGGCTCGGT</t>
  </si>
  <si>
    <t xml:space="preserve">TAGTATGAACAGCAGTGGCTCGGT</t>
  </si>
  <si>
    <t xml:space="preserve">AAACACCGAGCCACTGCTGTTCAT</t>
  </si>
  <si>
    <t xml:space="preserve">PSPPH_4884</t>
  </si>
  <si>
    <t xml:space="preserve">CTCATCAATCAAAACGCGAT</t>
  </si>
  <si>
    <t xml:space="preserve">TAGTCTCATCAATCAAAACGCGAT</t>
  </si>
  <si>
    <t xml:space="preserve">AAACATCGCGTTTTGATTGATGAG</t>
  </si>
  <si>
    <t xml:space="preserve">TACCTTGCCGGGGTCAACCA</t>
  </si>
  <si>
    <t xml:space="preserve">TAGTTACCTTGCCGGGGTCAACCA</t>
  </si>
  <si>
    <t xml:space="preserve">AAACTGGTTGACCCCGGCAAGGTA</t>
  </si>
  <si>
    <t xml:space="preserve">AGTTTCCAGAGAACCGGCAT</t>
  </si>
  <si>
    <t xml:space="preserve">TAGTAGTTTCCAGAGAACCGGCAT</t>
  </si>
  <si>
    <t xml:space="preserve">AAACATGCCGGTTCTCTGGAAACT</t>
  </si>
  <si>
    <t xml:space="preserve">TGGCGCAGGAGTGAACTGCT</t>
  </si>
  <si>
    <t xml:space="preserve">TAGTTGGCGCAGGAGTGAACTGCT</t>
  </si>
  <si>
    <t xml:space="preserve">AAACAGCAGTTCACTCCTGCGCCA</t>
  </si>
  <si>
    <t xml:space="preserve">PSPPH_4885</t>
  </si>
  <si>
    <t xml:space="preserve">serA</t>
  </si>
  <si>
    <t xml:space="preserve">GGGGTGCCCGGTTCGGCTCT</t>
  </si>
  <si>
    <t xml:space="preserve">TAGTGGGGTGCCCGGTTCGGCTCT</t>
  </si>
  <si>
    <t xml:space="preserve">AAACAGAGCCGAACCGGGCACCCC</t>
  </si>
  <si>
    <t xml:space="preserve">GTCCCGAAGAAAATTGGCAG</t>
  </si>
  <si>
    <t xml:space="preserve">TAGTGTCCCGAAGAAAATTGGCAG</t>
  </si>
  <si>
    <t xml:space="preserve">AAACCTGCCAATTTTCTTCGGGAC</t>
  </si>
  <si>
    <t xml:space="preserve">CTTGATCTTGCTCTTGTCGA</t>
  </si>
  <si>
    <t xml:space="preserve">TAGTCTTGATCTTGCTCTTGTCGA</t>
  </si>
  <si>
    <t xml:space="preserve">AAACTCGACAAGAGCAAGATCAAG</t>
  </si>
  <si>
    <t xml:space="preserve">GATGGACGCCTTCGAGAAGA</t>
  </si>
  <si>
    <t xml:space="preserve">TAGTGATGGACGCCTTCGAGAAGA</t>
  </si>
  <si>
    <t xml:space="preserve">AAACTCTTCTCGAAGGCGTCCATC</t>
  </si>
  <si>
    <t xml:space="preserve">PSPPH_4886</t>
  </si>
  <si>
    <t xml:space="preserve">GACCACCGTTCCAGAAAATA</t>
  </si>
  <si>
    <t xml:space="preserve">TAGTGACCACCGTTCCAGAAAATA</t>
  </si>
  <si>
    <t xml:space="preserve">AAACTATTTTCTGGAACGGTGGTC</t>
  </si>
  <si>
    <t xml:space="preserve">GCATGGATGCGCTGAGCAAC</t>
  </si>
  <si>
    <t xml:space="preserve">TAGTGCATGGATGCGCTGAGCAAC</t>
  </si>
  <si>
    <t xml:space="preserve">AAACGTTGCTCAGCGCATCCATGC</t>
  </si>
  <si>
    <t xml:space="preserve">TGCAGTGCATGGCATATCGG</t>
  </si>
  <si>
    <t xml:space="preserve">TAGTTGCAGTGCATGGCATATCGG</t>
  </si>
  <si>
    <t xml:space="preserve">AAACCCGATATGCCATGCACTGCA</t>
  </si>
  <si>
    <t xml:space="preserve">GTACACCTCGGCGCCTTCAG</t>
  </si>
  <si>
    <t xml:space="preserve">TAGTGTACACCTCGGCGCCTTCAG</t>
  </si>
  <si>
    <t xml:space="preserve">AAACCTGAAGGCGCCGAGGTGTAC</t>
  </si>
  <si>
    <t xml:space="preserve">PSPPH_4887</t>
  </si>
  <si>
    <t xml:space="preserve">CGTGAGATTTCACTCGCCAA</t>
  </si>
  <si>
    <t xml:space="preserve">TAGTCGTGAGATTTCACTCGCCAA</t>
  </si>
  <si>
    <t xml:space="preserve">AAACTTGGCGAGTGAAATCTCACG</t>
  </si>
  <si>
    <t xml:space="preserve">CCGACAGAGGCGTATACATG</t>
  </si>
  <si>
    <t xml:space="preserve">TAGTCCGACAGAGGCGTATACATG</t>
  </si>
  <si>
    <t xml:space="preserve">AAACCATGTATACGCCTCTGTCGG</t>
  </si>
  <si>
    <t xml:space="preserve">GTGGTCAGAGGGTATGCGCA</t>
  </si>
  <si>
    <t xml:space="preserve">TAGTGTGGTCAGAGGGTATGCGCA</t>
  </si>
  <si>
    <t xml:space="preserve">AAACTGCGCATACCCTCTGACCAC</t>
  </si>
  <si>
    <t xml:space="preserve">CGACGATTCGCAACAGCAGT</t>
  </si>
  <si>
    <t xml:space="preserve">TAGTCGACGATTCGCAACAGCAGT</t>
  </si>
  <si>
    <t xml:space="preserve">AAACACTGCTGTTGCGAATCGTCG</t>
  </si>
  <si>
    <t xml:space="preserve">PSPPH_4888</t>
  </si>
  <si>
    <t xml:space="preserve">AAAACAAACAAACGACGCAT</t>
  </si>
  <si>
    <t xml:space="preserve">TAGTAAAACAAACAAACGACGCAT</t>
  </si>
  <si>
    <t xml:space="preserve">AAACATGCGTCGTTTGTTTGTTTT</t>
  </si>
  <si>
    <t xml:space="preserve">GCTGTCTGCCCAGGCAGGGG</t>
  </si>
  <si>
    <t xml:space="preserve">TAGTGCTGTCTGCCCAGGCAGGGG</t>
  </si>
  <si>
    <t xml:space="preserve">AAACCCCCTGCCTGGGCAGACAGC</t>
  </si>
  <si>
    <t xml:space="preserve">GCGCTGTTCCGGCCAGCCTG</t>
  </si>
  <si>
    <t xml:space="preserve">TAGTGCGCTGTTCCGGCCAGCCTG</t>
  </si>
  <si>
    <t xml:space="preserve">AAACCAGGCTGGCCGGAACAGCGC</t>
  </si>
  <si>
    <t xml:space="preserve">CTTGATAAACCGCAGGCGGC</t>
  </si>
  <si>
    <t xml:space="preserve">TAGTCTTGATAAACCGCAGGCGGC</t>
  </si>
  <si>
    <t xml:space="preserve">AAACGCCGCCTGCGGTTTATCAAG</t>
  </si>
  <si>
    <t xml:space="preserve">PSPPH_4889</t>
  </si>
  <si>
    <t xml:space="preserve">TTTATCGGGGTCAAACGTGG</t>
  </si>
  <si>
    <t xml:space="preserve">TAGTTTTATCGGGGTCAAACGTGG</t>
  </si>
  <si>
    <t xml:space="preserve">AAACCCACGTTTGACCCCGATAAA</t>
  </si>
  <si>
    <t xml:space="preserve">GATATTCAGCGGCAGCAGGC</t>
  </si>
  <si>
    <t xml:space="preserve">TAGTGATATTCAGCGGCAGCAGGC</t>
  </si>
  <si>
    <t xml:space="preserve">AAACGCCTGCTGCCGCTGAATATC</t>
  </si>
  <si>
    <t xml:space="preserve">CCAGTCCGTCCATGGAAAGC</t>
  </si>
  <si>
    <t xml:space="preserve">TAGTCCAGTCCGTCCATGGAAAGC</t>
  </si>
  <si>
    <t xml:space="preserve">AAACGCTTTCCATGGACGGACTGG</t>
  </si>
  <si>
    <t xml:space="preserve">CAGGCCGTAGAAGCGTTGAT</t>
  </si>
  <si>
    <t xml:space="preserve">TAGTCAGGCCGTAGAAGCGTTGAT</t>
  </si>
  <si>
    <t xml:space="preserve">AAACATCAACGCTTCTACGGCCTG</t>
  </si>
  <si>
    <t xml:space="preserve">PSPPH_4890</t>
  </si>
  <si>
    <t xml:space="preserve">TGATGATGGCTAGAATGACG</t>
  </si>
  <si>
    <t xml:space="preserve">TAGTTGATGATGGCTAGAATGACG</t>
  </si>
  <si>
    <t xml:space="preserve">AAACCGTCATTCTAGCCATCATCA</t>
  </si>
  <si>
    <t xml:space="preserve">GCCCGCGCCGCCTGCAAGGA</t>
  </si>
  <si>
    <t xml:space="preserve">TAGTGCCCGCGCCGCCTGCAAGGA</t>
  </si>
  <si>
    <t xml:space="preserve">AAACTCCTTGCAGGCGGCGCGGGC</t>
  </si>
  <si>
    <t xml:space="preserve">GCAATCTCGCCATCACGGAC</t>
  </si>
  <si>
    <t xml:space="preserve">TAGTGCAATCTCGCCATCACGGAC</t>
  </si>
  <si>
    <t xml:space="preserve">AAACGTCCGTGATGGCGAGATTGC</t>
  </si>
  <si>
    <t xml:space="preserve">AGGTGCCTGAAGATGGCTCA</t>
  </si>
  <si>
    <t xml:space="preserve">TAGTAGGTGCCTGAAGATGGCTCA</t>
  </si>
  <si>
    <t xml:space="preserve">AAACTGAGCCATCTTCAGGCACCT</t>
  </si>
  <si>
    <t xml:space="preserve">PSPPH_4891</t>
  </si>
  <si>
    <t xml:space="preserve">potI</t>
  </si>
  <si>
    <t xml:space="preserve">TCAGGTTCGAGAATCGAAAG</t>
  </si>
  <si>
    <t xml:space="preserve">TAGTTCAGGTTCGAGAATCGAAAG</t>
  </si>
  <si>
    <t xml:space="preserve">AAACCTTTCGATTCTCGAACCTGA</t>
  </si>
  <si>
    <t xml:space="preserve">TAGATGACCAGAATCACCAT</t>
  </si>
  <si>
    <t xml:space="preserve">TAGTTAGATGACCAGAATCACCAT</t>
  </si>
  <si>
    <t xml:space="preserve">AAACATGGTGATTCTGGTCATCTA</t>
  </si>
  <si>
    <t xml:space="preserve">CCAGACCGTCACCAGTTGCG</t>
  </si>
  <si>
    <t xml:space="preserve">TAGTCCAGACCGTCACCAGTTGCG</t>
  </si>
  <si>
    <t xml:space="preserve">AAACCGCAACTGGTGACGGTCTGG</t>
  </si>
  <si>
    <t xml:space="preserve">TCAGTTGCGAGTTATCCAGC</t>
  </si>
  <si>
    <t xml:space="preserve">TAGTTCAGTTGCGAGTTATCCAGC</t>
  </si>
  <si>
    <t xml:space="preserve">AAACGCTGGATAACTCGCAACTGA</t>
  </si>
  <si>
    <t xml:space="preserve">PSPPH_4892</t>
  </si>
  <si>
    <t xml:space="preserve">potH</t>
  </si>
  <si>
    <t xml:space="preserve">CGAACGCGCGCTTGATCTTG</t>
  </si>
  <si>
    <t xml:space="preserve">TAGTCGAACGCGCGCTTGATCTTG</t>
  </si>
  <si>
    <t xml:space="preserve">AAACCAAGATCAAGCGCGCGTTCG</t>
  </si>
  <si>
    <t xml:space="preserve">ATGACCATCTGCCGCCCGTT</t>
  </si>
  <si>
    <t xml:space="preserve">TAGTATGACCATCTGCCGCCCGTT</t>
  </si>
  <si>
    <t xml:space="preserve">AAACAACGGGCGGCAGATGGTCAT</t>
  </si>
  <si>
    <t xml:space="preserve">AACAGAAACAGCCAGAGGAA</t>
  </si>
  <si>
    <t xml:space="preserve">TAGTAACAGAAACAGCCAGAGGAA</t>
  </si>
  <si>
    <t xml:space="preserve">AAACTTCCTCTGGCTGTTTCTGTT</t>
  </si>
  <si>
    <t xml:space="preserve">GAGCACGATCAAAAACGGCA</t>
  </si>
  <si>
    <t xml:space="preserve">TAGTGAGCACGATCAAAAACGGCA</t>
  </si>
  <si>
    <t xml:space="preserve">AAACTGCCGTTTTTGATCGTGCTC</t>
  </si>
  <si>
    <t xml:space="preserve">PSPPH_4893</t>
  </si>
  <si>
    <t xml:space="preserve">potG</t>
  </si>
  <si>
    <t xml:space="preserve">GCGCCGGAGGCAACTGCCAT</t>
  </si>
  <si>
    <t xml:space="preserve">TAGTGCGCCGGAGGCAACTGCCAT</t>
  </si>
  <si>
    <t xml:space="preserve">AAACATGGCAGTTGCCTCCGGCGC</t>
  </si>
  <si>
    <t xml:space="preserve">GCCTTCGATGGCTTTCTTGT</t>
  </si>
  <si>
    <t xml:space="preserve">TAGTGCCTTCGATGGCTTTCTTGT</t>
  </si>
  <si>
    <t xml:space="preserve">AAACACAAGAAAGCCATCGAAGGC</t>
  </si>
  <si>
    <t xml:space="preserve">ATCCTGACCAGCACCTCTTT</t>
  </si>
  <si>
    <t xml:space="preserve">TAGTATCCTGACCAGCACCTCTTT</t>
  </si>
  <si>
    <t xml:space="preserve">AAACAAAGAGGTGCTGGTCAGGAT</t>
  </si>
  <si>
    <t xml:space="preserve">GGAACCGGAGCCGCCAAGCA</t>
  </si>
  <si>
    <t xml:space="preserve">TAGTGGAACCGGAGCCGCCAAGCA</t>
  </si>
  <si>
    <t xml:space="preserve">AAACTGCTTGGCGGCTCCGGTTCC</t>
  </si>
  <si>
    <t xml:space="preserve">PSPPH_4894</t>
  </si>
  <si>
    <t xml:space="preserve">GGCAGCCGCCAGCAAGGCTT</t>
  </si>
  <si>
    <t xml:space="preserve">TAGTGGCAGCCGCCAGCAAGGCTT</t>
  </si>
  <si>
    <t xml:space="preserve">AAACAAGCCTTGCTGGCGGCTGCC</t>
  </si>
  <si>
    <t xml:space="preserve">ACTGATCGACAGTGTCAGCC</t>
  </si>
  <si>
    <t xml:space="preserve">TAGTACTGATCGACAGTGTCAGCC</t>
  </si>
  <si>
    <t xml:space="preserve">AAACGGCTGACACTGTCGATCAGT</t>
  </si>
  <si>
    <t xml:space="preserve">ATGCACGGTGGACTCAGCCT</t>
  </si>
  <si>
    <t xml:space="preserve">TAGTATGCACGGTGGACTCAGCCT</t>
  </si>
  <si>
    <t xml:space="preserve">AAACAGGCTGAGTCCACCGTGCAT</t>
  </si>
  <si>
    <t xml:space="preserve">GGTGGTCTTGCCGATGTAAT</t>
  </si>
  <si>
    <t xml:space="preserve">TAGTGGTGGTCTTGCCGATGTAAT</t>
  </si>
  <si>
    <t xml:space="preserve">AAACATTACATCGGCAAGACCACC</t>
  </si>
  <si>
    <t xml:space="preserve">PSPPH_4895</t>
  </si>
  <si>
    <t xml:space="preserve">CATCAGGGACAGCGCGAGAA</t>
  </si>
  <si>
    <t xml:space="preserve">TAGTCATCAGGGACAGCGCGAGAA</t>
  </si>
  <si>
    <t xml:space="preserve">AAACTTCTCGCGCTGTCCCTGATG</t>
  </si>
  <si>
    <t xml:space="preserve">ATCATCGGCCTGCGCAGCGG</t>
  </si>
  <si>
    <t xml:space="preserve">TAGTATCATCGGCCTGCGCAGCGG</t>
  </si>
  <si>
    <t xml:space="preserve">AAACCCGCTGCGCAGGCCGATGAT</t>
  </si>
  <si>
    <t xml:space="preserve">GGTGTCCGGCGCGATGTAAT</t>
  </si>
  <si>
    <t xml:space="preserve">TAGTGGTGTCCGGCGCGATGTAAT</t>
  </si>
  <si>
    <t xml:space="preserve">AAACATTACATCGCGCCGGACACC</t>
  </si>
  <si>
    <t xml:space="preserve">TTCTTTCTCGAACTTGGCAA</t>
  </si>
  <si>
    <t xml:space="preserve">TAGTTTCTTTCTCGAACTTGGCAA</t>
  </si>
  <si>
    <t xml:space="preserve">AAACTTGCCAAGTTCGAGAAAGAA</t>
  </si>
  <si>
    <t xml:space="preserve">PSPPH_4896</t>
  </si>
  <si>
    <t xml:space="preserve">GAGGGTTTGCGGATTATTGT</t>
  </si>
  <si>
    <t xml:space="preserve">TAGTGAGGGTTTGCGGATTATTGT</t>
  </si>
  <si>
    <t xml:space="preserve">AAACACAATAATCCGCAAACCCTC</t>
  </si>
  <si>
    <t xml:space="preserve">CAGGTGATGTTCGCTGCTCA</t>
  </si>
  <si>
    <t xml:space="preserve">TAGTCAGGTGATGTTCGCTGCTCA</t>
  </si>
  <si>
    <t xml:space="preserve">AAACTGAGCAGCGAACATCACCTG</t>
  </si>
  <si>
    <t xml:space="preserve">AATTGTTTGTAGTCGCTGAA</t>
  </si>
  <si>
    <t xml:space="preserve">TAGTAATTGTTTGTAGTCGCTGAA</t>
  </si>
  <si>
    <t xml:space="preserve">AAACTTCAGCGACTACAAACAATT</t>
  </si>
  <si>
    <t xml:space="preserve">CGGCACGGGTAATAATGCGC</t>
  </si>
  <si>
    <t xml:space="preserve">TAGTCGGCACGGGTAATAATGCGC</t>
  </si>
  <si>
    <t xml:space="preserve">AAACGCGCATTATTACCCGTGCCG</t>
  </si>
  <si>
    <t xml:space="preserve">PSPPH_4897</t>
  </si>
  <si>
    <t xml:space="preserve">ATCGGTGAGCTGGTCGAGGT</t>
  </si>
  <si>
    <t xml:space="preserve">TAGTATCGGTGAGCTGGTCGAGGT</t>
  </si>
  <si>
    <t xml:space="preserve">AAACACCTCGACCAGCTCACCGAT</t>
  </si>
  <si>
    <t xml:space="preserve">GGACATCATGCATTCGACTT</t>
  </si>
  <si>
    <t xml:space="preserve">TAGTGGACATCATGCATTCGACTT</t>
  </si>
  <si>
    <t xml:space="preserve">AAACAAGTCGAATGCATGATGTCC</t>
  </si>
  <si>
    <t xml:space="preserve">TCGGGTGATGCCGGTAAGGT</t>
  </si>
  <si>
    <t xml:space="preserve">TAGTTCGGGTGATGCCGGTAAGGT</t>
  </si>
  <si>
    <t xml:space="preserve">AAACACCTTACCGGCATCACCCGA</t>
  </si>
  <si>
    <t xml:space="preserve">TCAGCGATGAACTTGTTGGT</t>
  </si>
  <si>
    <t xml:space="preserve">TAGTTCAGCGATGAACTTGTTGGT</t>
  </si>
  <si>
    <t xml:space="preserve">AAACACCAACAAGTTCATCGCTGA</t>
  </si>
  <si>
    <t xml:space="preserve">PSPPH_4898</t>
  </si>
  <si>
    <t xml:space="preserve">TTAAGCTGAACGGCACGCGG</t>
  </si>
  <si>
    <t xml:space="preserve">TAGTTTAAGCTGAACGGCACGCGG</t>
  </si>
  <si>
    <t xml:space="preserve">AAACCCGCGTGCCGTTCAGCTTAA</t>
  </si>
  <si>
    <t xml:space="preserve">GAACCTCAGGATGTTCCTTA</t>
  </si>
  <si>
    <t xml:space="preserve">TAGTGAACCTCAGGATGTTCCTTA</t>
  </si>
  <si>
    <t xml:space="preserve">AAACTAAGGAACATCCTGAGGTTC</t>
  </si>
  <si>
    <t xml:space="preserve">CATTCATATCTGCAATCAGA</t>
  </si>
  <si>
    <t xml:space="preserve">TAGTCATTCATATCTGCAATCAGA</t>
  </si>
  <si>
    <t xml:space="preserve">AAACTCTGATTGCAGATATGAATG</t>
  </si>
  <si>
    <t xml:space="preserve">CTCGTAAACCTTATGGAGGC</t>
  </si>
  <si>
    <t xml:space="preserve">TAGTCTCGTAAACCTTATGGAGGC</t>
  </si>
  <si>
    <t xml:space="preserve">AAACGCCTCCATAAGGTTTACGAG</t>
  </si>
  <si>
    <t xml:space="preserve">PSPPH_4899</t>
  </si>
  <si>
    <t xml:space="preserve">GGCGTGGCGGCGCGTGTCAT</t>
  </si>
  <si>
    <t xml:space="preserve">TAGTGGCGTGGCGGCGCGTGTCAT</t>
  </si>
  <si>
    <t xml:space="preserve">AAACATGACACGCGCCGCCACGCC</t>
  </si>
  <si>
    <t xml:space="preserve">CTGCGTGCTCGAGGTTTGCG</t>
  </si>
  <si>
    <t xml:space="preserve">TAGTCTGCGTGCTCGAGGTTTGCG</t>
  </si>
  <si>
    <t xml:space="preserve">AAACCGCAAACCTCGAGCACGCAG</t>
  </si>
  <si>
    <t xml:space="preserve">GAATCGAATCGATCCTGGCC</t>
  </si>
  <si>
    <t xml:space="preserve">TAGTGAATCGAATCGATCCTGGCC</t>
  </si>
  <si>
    <t xml:space="preserve">AAACGGCCAGGATCGATTCGATTC</t>
  </si>
  <si>
    <t xml:space="preserve">CTCGGCGAGCAGCGTGCGCG</t>
  </si>
  <si>
    <t xml:space="preserve">TAGTCTCGGCGAGCAGCGTGCGCG</t>
  </si>
  <si>
    <t xml:space="preserve">AAACCGCGCACGCTGCTCGCCGAG</t>
  </si>
  <si>
    <t xml:space="preserve">PSPPH_4900</t>
  </si>
  <si>
    <t xml:space="preserve">TGCTTGGGCTGAAGAGGTCA</t>
  </si>
  <si>
    <t xml:space="preserve">TAGTTGCTTGGGCTGAAGAGGTCA</t>
  </si>
  <si>
    <t xml:space="preserve">AAACTGACCTCTTCAGCCCAAGCA</t>
  </si>
  <si>
    <t xml:space="preserve">CCAGCGGGTCGTAGCGATAG</t>
  </si>
  <si>
    <t xml:space="preserve">TAGTCCAGCGGGTCGTAGCGATAG</t>
  </si>
  <si>
    <t xml:space="preserve">AAACCTATCGCTACGACCCGCTGG</t>
  </si>
  <si>
    <t xml:space="preserve">CCGGCGAACTGGAAGCCAGA</t>
  </si>
  <si>
    <t xml:space="preserve">TAGTCCGGCGAACTGGAAGCCAGA</t>
  </si>
  <si>
    <t xml:space="preserve">AAACTCTGGCTTCCAGTTCGCCGG</t>
  </si>
  <si>
    <t xml:space="preserve">CGTTCTTCTGATAGAAGCGC</t>
  </si>
  <si>
    <t xml:space="preserve">TAGTCGTTCTTCTGATAGAAGCGC</t>
  </si>
  <si>
    <t xml:space="preserve">AAACGCGCTTCTATCAGAAGAACG</t>
  </si>
  <si>
    <t xml:space="preserve">PSPPH_4902</t>
  </si>
  <si>
    <t xml:space="preserve">GTTGATGGCTTTGATAGTCA</t>
  </si>
  <si>
    <t xml:space="preserve">TAGTGTTGATGGCTTTGATAGTCA</t>
  </si>
  <si>
    <t xml:space="preserve">AAACTGACTATCAAAGCCATCAAC</t>
  </si>
  <si>
    <t xml:space="preserve">CCTTGATGGTGCCTTTGAAC</t>
  </si>
  <si>
    <t xml:space="preserve">TAGTCCTTGATGGTGCCTTTGAAC</t>
  </si>
  <si>
    <t xml:space="preserve">AAACGTTCAAAGGCACCATCAAGG</t>
  </si>
  <si>
    <t xml:space="preserve">TTTCCGACAGTACGTCGCCG</t>
  </si>
  <si>
    <t xml:space="preserve">TAGTTTTCCGACAGTACGTCGCCG</t>
  </si>
  <si>
    <t xml:space="preserve">AAACCGGCGACGTACTGTCGGAAA</t>
  </si>
  <si>
    <t xml:space="preserve">CGAGGTCACAACGCCGGAAG</t>
  </si>
  <si>
    <t xml:space="preserve">TAGTCGAGGTCACAACGCCGGAAG</t>
  </si>
  <si>
    <t xml:space="preserve">AAACCTTCCGGCGTTGTGACCTCG</t>
  </si>
  <si>
    <t xml:space="preserve">PSPPH_4903</t>
  </si>
  <si>
    <t xml:space="preserve">TGGAGGTTGCTGTTTCAGAC</t>
  </si>
  <si>
    <t xml:space="preserve">TAGTTGGAGGTTGCTGTTTCAGAC</t>
  </si>
  <si>
    <t xml:space="preserve">AAACGTCTGAAACAGCAACCTCCA</t>
  </si>
  <si>
    <t xml:space="preserve">GGAATACCGCGCAGCAAATG</t>
  </si>
  <si>
    <t xml:space="preserve">TAGTGGAATACCGCGCAGCAAATG</t>
  </si>
  <si>
    <t xml:space="preserve">AAACCATTTGCTGCGCGGTATTCC</t>
  </si>
  <si>
    <t xml:space="preserve">TTCAGGTTGCGGACTGCCAG</t>
  </si>
  <si>
    <t xml:space="preserve">TAGTTTCAGGTTGCGGACTGCCAG</t>
  </si>
  <si>
    <t xml:space="preserve">AAACCTGGCAGTCCGCAACCTGAA</t>
  </si>
  <si>
    <t xml:space="preserve">ACTGACCGGCCGGAATATGC</t>
  </si>
  <si>
    <t xml:space="preserve">TAGTACTGACCGGCCGGAATATGC</t>
  </si>
  <si>
    <t xml:space="preserve">AAACGCATATTCCGGCCGGTCAGT</t>
  </si>
  <si>
    <t xml:space="preserve">PSPPH_4904</t>
  </si>
  <si>
    <t xml:space="preserve">ssuC</t>
  </si>
  <si>
    <t xml:space="preserve">TTGCGAAGCACTGAGGCTCA</t>
  </si>
  <si>
    <t xml:space="preserve">TAGTTTGCGAAGCACTGAGGCTCA</t>
  </si>
  <si>
    <t xml:space="preserve">AAACTGAGCCTCAGTGCTTCGCAA</t>
  </si>
  <si>
    <t xml:space="preserve">GAAGTGCCCAGGGCGCCAGT</t>
  </si>
  <si>
    <t xml:space="preserve">TAGTGAAGTGCCCAGGGCGCCAGT</t>
  </si>
  <si>
    <t xml:space="preserve">AAACACTGGCGCCCTGGGCACTTC</t>
  </si>
  <si>
    <t xml:space="preserve">CAGACGGCCAACAACAGGAC</t>
  </si>
  <si>
    <t xml:space="preserve">TAGTCAGACGGCCAACAACAGGAC</t>
  </si>
  <si>
    <t xml:space="preserve">AAACGTCCTGTTGTTGGCCGTCTG</t>
  </si>
  <si>
    <t xml:space="preserve">GGGTGCAGGAAGAATGCGTG</t>
  </si>
  <si>
    <t xml:space="preserve">TAGTGGGTGCAGGAAGAATGCGTG</t>
  </si>
  <si>
    <t xml:space="preserve">AAACCACGCATTCTTCCTGCACCC</t>
  </si>
  <si>
    <t xml:space="preserve">PSPPH_4905</t>
  </si>
  <si>
    <t xml:space="preserve">CAGCAGCAAACAGAGCGACA</t>
  </si>
  <si>
    <t xml:space="preserve">TAGTCAGCAGCAAACAGAGCGACA</t>
  </si>
  <si>
    <t xml:space="preserve">AAACTGTCGCTCTGTTTGCTGCTG</t>
  </si>
  <si>
    <t xml:space="preserve">CAGATCTTCCGCCTGGGCCT</t>
  </si>
  <si>
    <t xml:space="preserve">TAGTCAGATCTTCCGCCTGGGCCT</t>
  </si>
  <si>
    <t xml:space="preserve">AAACAGGCCCAGGCGGAAGATCTG</t>
  </si>
  <si>
    <t xml:space="preserve">GCGCTTCTCCAGCGAACCCT</t>
  </si>
  <si>
    <t xml:space="preserve">TAGTGCGCTTCTCCAGCGAACCCT</t>
  </si>
  <si>
    <t xml:space="preserve">AAACAGGGTTCGCTGGAGAAGCGC</t>
  </si>
  <si>
    <t xml:space="preserve">CTGAACCTTTACGCCCTGCT</t>
  </si>
  <si>
    <t xml:space="preserve">TAGTCTGAACCTTTACGCCCTGCT</t>
  </si>
  <si>
    <t xml:space="preserve">AAACAGCAGGGCGTAAAGGTTCAG</t>
  </si>
  <si>
    <t xml:space="preserve">PSPPH_4906</t>
  </si>
  <si>
    <t xml:space="preserve">GTCGCCAAGTCGCAGTGTCA</t>
  </si>
  <si>
    <t xml:space="preserve">TAGTGTCGCCAAGTCGCAGTGTCA</t>
  </si>
  <si>
    <t xml:space="preserve">AAACTGACACTGCGACTTGGCGAC</t>
  </si>
  <si>
    <t xml:space="preserve">GGATTCCTGCTCGAAGTCAG</t>
  </si>
  <si>
    <t xml:space="preserve">TAGTGGATTCCTGCTCGAAGTCAG</t>
  </si>
  <si>
    <t xml:space="preserve">AAACCTGACTTCGAGCAGGAATCC</t>
  </si>
  <si>
    <t xml:space="preserve">GAAACGGATACGACCTTCGC</t>
  </si>
  <si>
    <t xml:space="preserve">TAGTGAAACGGATACGACCTTCGC</t>
  </si>
  <si>
    <t xml:space="preserve">AAACGCGAAGGTCGTATCCGTTTC</t>
  </si>
  <si>
    <t xml:space="preserve">AGCTGTCGCCGAGCCATTCA</t>
  </si>
  <si>
    <t xml:space="preserve">TAGTAGCTGTCGCCGAGCCATTCA</t>
  </si>
  <si>
    <t xml:space="preserve">AAACTGAATGGCTCGGCGACAGCT</t>
  </si>
  <si>
    <t xml:space="preserve">PSPPH_4907</t>
  </si>
  <si>
    <t xml:space="preserve">GGTTACGGCCAAGGCCAGGG</t>
  </si>
  <si>
    <t xml:space="preserve">TAGTGGTTACGGCCAAGGCCAGGG</t>
  </si>
  <si>
    <t xml:space="preserve">AAACCCCTGGCCTTGGCCGTAACC</t>
  </si>
  <si>
    <t xml:space="preserve">CTGCTGAGCCAATGCCGCGA</t>
  </si>
  <si>
    <t xml:space="preserve">TAGTCTGCTGAGCCAATGCCGCGA</t>
  </si>
  <si>
    <t xml:space="preserve">AAACTCGCGGCATTGGCTCAGCAG</t>
  </si>
  <si>
    <t xml:space="preserve">TTCAAGGAAACCAGCTGCAC</t>
  </si>
  <si>
    <t xml:space="preserve">TAGTTTCAAGGAAACCAGCTGCAC</t>
  </si>
  <si>
    <t xml:space="preserve">AAACGTGCAGCTGGTTTCCTTGAA</t>
  </si>
  <si>
    <t xml:space="preserve">ATACAGAGTACGAGAACTAA</t>
  </si>
  <si>
    <t xml:space="preserve">TAGTATACAGAGTACGAGAACTAA</t>
  </si>
  <si>
    <t xml:space="preserve">AAACTTAGTTCTCGTACTCTGTAT</t>
  </si>
  <si>
    <t xml:space="preserve">PSPPH_4908</t>
  </si>
  <si>
    <t xml:space="preserve">tauA</t>
  </si>
  <si>
    <t xml:space="preserve">CAGCGCAGTCAACAAGCGCA</t>
  </si>
  <si>
    <t xml:space="preserve">TAGTCAGCGCAGTCAACAAGCGCA</t>
  </si>
  <si>
    <t xml:space="preserve">AAACTGCGCTTGTTGACTGCGCTG</t>
  </si>
  <si>
    <t xml:space="preserve">GACGGTGGTCTGGTAGGCGA</t>
  </si>
  <si>
    <t xml:space="preserve">TAGTGACGGTGGTCTGGTAGGCGA</t>
  </si>
  <si>
    <t xml:space="preserve">AAACTCGCCTACCAGACCACCGTC</t>
  </si>
  <si>
    <t xml:space="preserve">CGGCCTGGGCAACCTTGGCC</t>
  </si>
  <si>
    <t xml:space="preserve">TAGTCGGCCTGGGCAACCTTGGCC</t>
  </si>
  <si>
    <t xml:space="preserve">AAACGGCCAAGGTTGCCCAGGCCG</t>
  </si>
  <si>
    <t xml:space="preserve">GGCTTTTTCGTAGGCGTTAT</t>
  </si>
  <si>
    <t xml:space="preserve">TAGTGGCTTTTTCGTAGGCGTTAT</t>
  </si>
  <si>
    <t xml:space="preserve">AAACATAACGCCTACGAAAAAGCC</t>
  </si>
  <si>
    <t xml:space="preserve">PSPPH_4909</t>
  </si>
  <si>
    <t xml:space="preserve">cmpC</t>
  </si>
  <si>
    <t xml:space="preserve">GCACGGGTGCCGCTGCACCG</t>
  </si>
  <si>
    <t xml:space="preserve">TAGTGCACGGGTGCCGCTGCACCG</t>
  </si>
  <si>
    <t xml:space="preserve">AAACCGGTGCAGCGGCACCCGTGC</t>
  </si>
  <si>
    <t xml:space="preserve">GTTGCTGTGGGCCCAGGCTC</t>
  </si>
  <si>
    <t xml:space="preserve">TAGTGTTGCTGTGGGCCCAGGCTC</t>
  </si>
  <si>
    <t xml:space="preserve">AAACGAGCCTGGGCCCACAGCAAC</t>
  </si>
  <si>
    <t xml:space="preserve">GAGGTTTTACCGCTGCCGGA</t>
  </si>
  <si>
    <t xml:space="preserve">TAGTGAGGTTTTACCGCTGCCGGA</t>
  </si>
  <si>
    <t xml:space="preserve">AAACTCCGGCAGCGGTAAAACCTC</t>
  </si>
  <si>
    <t xml:space="preserve">GTTTGATGAAGCCGGCGATG</t>
  </si>
  <si>
    <t xml:space="preserve">TAGTGTTTGATGAAGCCGGCGATG</t>
  </si>
  <si>
    <t xml:space="preserve">AAACCATCGCCGGCTTCATCAAAC</t>
  </si>
  <si>
    <t xml:space="preserve">PSPPH_4910</t>
  </si>
  <si>
    <t xml:space="preserve">ATAAGCTCATGGCTGCCAAC</t>
  </si>
  <si>
    <t xml:space="preserve">TAGTATAAGCTCATGGCTGCCAAC</t>
  </si>
  <si>
    <t xml:space="preserve">AAACGTTGGCAGCCATGAGCTTAT</t>
  </si>
  <si>
    <t xml:space="preserve">GGCGAACGGTTTGCTGATGC</t>
  </si>
  <si>
    <t xml:space="preserve">TAGTGGCGAACGGTTTGCTGATGC</t>
  </si>
  <si>
    <t xml:space="preserve">AAACGCATCAGCAAACCGTTCGCC</t>
  </si>
  <si>
    <t xml:space="preserve">CGTGGGGGCAGCCGGTTGTT</t>
  </si>
  <si>
    <t xml:space="preserve">TAGTCGTGGGGGCAGCCGGTTGTT</t>
  </si>
  <si>
    <t xml:space="preserve">AAACAACAACCGGCTGCCCCCACG</t>
  </si>
  <si>
    <t xml:space="preserve">CGGGTGCTCAGATAAACCTT</t>
  </si>
  <si>
    <t xml:space="preserve">TAGTCGGGTGCTCAGATAAACCTT</t>
  </si>
  <si>
    <t xml:space="preserve">AAACAAGGTTTATCTGAGCACCCG</t>
  </si>
  <si>
    <t xml:space="preserve">PSPPH_4911</t>
  </si>
  <si>
    <t xml:space="preserve">ATGCATCCCGTCCTTTCGTT</t>
  </si>
  <si>
    <t xml:space="preserve">TAGTATGCATCCCGTCCTTTCGTT</t>
  </si>
  <si>
    <t xml:space="preserve">AAACAACGAAAGGACGGGATGCAT</t>
  </si>
  <si>
    <t xml:space="preserve">CGGTCTCGGGTCCTCTTCAG</t>
  </si>
  <si>
    <t xml:space="preserve">TAGTCGGTCTCGGGTCCTCTTCAG</t>
  </si>
  <si>
    <t xml:space="preserve">AAACCTGAAGAGGACCCGAGACCG</t>
  </si>
  <si>
    <t xml:space="preserve">AGAACTCGCGGCCATAGCTT</t>
  </si>
  <si>
    <t xml:space="preserve">TAGTAGAACTCGCGGCCATAGCTT</t>
  </si>
  <si>
    <t xml:space="preserve">AAACAAGCTATGGCCGCGAGTTCT</t>
  </si>
  <si>
    <t xml:space="preserve">ACGACCGATAATGGTGCCCA</t>
  </si>
  <si>
    <t xml:space="preserve">TAGTACGACCGATAATGGTGCCCA</t>
  </si>
  <si>
    <t xml:space="preserve">AAACTGGGCACCATTATCGGTCGT</t>
  </si>
  <si>
    <t xml:space="preserve">PSPPH_4912</t>
  </si>
  <si>
    <t xml:space="preserve">GCGGAATTTCTGGTTGAAAA</t>
  </si>
  <si>
    <t xml:space="preserve">TAGTGCGGAATTTCTGGTTGAAAA</t>
  </si>
  <si>
    <t xml:space="preserve">AAACTTTTCAACCAGAAATTCCGC</t>
  </si>
  <si>
    <t xml:space="preserve">CTGATGACATTGCCGGTATT</t>
  </si>
  <si>
    <t xml:space="preserve">TAGTCTGATGACATTGCCGGTATT</t>
  </si>
  <si>
    <t xml:space="preserve">AAACAATACCGGCAATGTCATCAG</t>
  </si>
  <si>
    <t xml:space="preserve">ATGCAGGGTGCAGCCGCTGT</t>
  </si>
  <si>
    <t xml:space="preserve">TAGTATGCAGGGTGCAGCCGCTGT</t>
  </si>
  <si>
    <t xml:space="preserve">AAACACAGCGGCTGCACCCTGCAT</t>
  </si>
  <si>
    <t xml:space="preserve">TCGTCCAGCTCGAAACCCAA</t>
  </si>
  <si>
    <t xml:space="preserve">TAGTTCGTCCAGCTCGAAACCCAA</t>
  </si>
  <si>
    <t xml:space="preserve">AAACTTGGGTTTCGAGCTGGACGA</t>
  </si>
  <si>
    <t xml:space="preserve">PSPPH_4913</t>
  </si>
  <si>
    <t xml:space="preserve">secB</t>
  </si>
  <si>
    <t xml:space="preserve">AGCACCGTTGTTCGGTTGGT</t>
  </si>
  <si>
    <t xml:space="preserve">TAGTAGCACCGTTGTTCGGTTGGT</t>
  </si>
  <si>
    <t xml:space="preserve">AAACACCAACCGAACAACGGTGCT</t>
  </si>
  <si>
    <t xml:space="preserve">TTGTGGGCCGTTTTCTTCGT</t>
  </si>
  <si>
    <t xml:space="preserve">TAGTTTGTGGGCCGTTTTCTTCGT</t>
  </si>
  <si>
    <t xml:space="preserve">AAACACGAAGAAAACGGCCCACAA</t>
  </si>
  <si>
    <t xml:space="preserve">GCGAACGTAGATACGCTGCA</t>
  </si>
  <si>
    <t xml:space="preserve">TAGTGCGAACGTAGATACGCTGCA</t>
  </si>
  <si>
    <t xml:space="preserve">AAACTGCAGCGTATCTACGTTCGC</t>
  </si>
  <si>
    <t xml:space="preserve">TTTTTGGCGCTTCGAACGAC</t>
  </si>
  <si>
    <t xml:space="preserve">TAGTTTTTTGGCGCTTCGAACGAC</t>
  </si>
  <si>
    <t xml:space="preserve">AAACGTCGTTCGAAGCGCCAAAAA</t>
  </si>
  <si>
    <t xml:space="preserve">PSPPH_4914</t>
  </si>
  <si>
    <t xml:space="preserve">grxC</t>
  </si>
  <si>
    <t xml:space="preserve">GCAATACGGGCAATAATCGC</t>
  </si>
  <si>
    <t xml:space="preserve">TAGTGCAATACGGGCAATAATCGC</t>
  </si>
  <si>
    <t xml:space="preserve">AAACGCGATTATTGCCCGTATTGC</t>
  </si>
  <si>
    <t xml:space="preserve">CTTGCTCTGCAACAGCTGTT</t>
  </si>
  <si>
    <t xml:space="preserve">TAGTCTTGCTCTGCAACAGCTGTT</t>
  </si>
  <si>
    <t xml:space="preserve">AAACAACAGCTGTTGCAGAGCAAG</t>
  </si>
  <si>
    <t xml:space="preserve">GTCGACACAGATTTCCTCGA</t>
  </si>
  <si>
    <t xml:space="preserve">TAGTGTCGACACAGATTTCCTCGA</t>
  </si>
  <si>
    <t xml:space="preserve">AAACTCGAGGAAATCTGTGTCGAC</t>
  </si>
  <si>
    <t xml:space="preserve">GTCATTTCGGCACGCAGTTG</t>
  </si>
  <si>
    <t xml:space="preserve">TAGTGTCATTTCGGCACGCAGTTG</t>
  </si>
  <si>
    <t xml:space="preserve">AAACCAACTGCGTGCCGAAATGAC</t>
  </si>
  <si>
    <t xml:space="preserve">PSPPH_4915</t>
  </si>
  <si>
    <t xml:space="preserve">GGTTAGTGGCGAATTCAAGC</t>
  </si>
  <si>
    <t xml:space="preserve">TAGTGGTTAGTGGCGAATTCAAGC</t>
  </si>
  <si>
    <t xml:space="preserve">AAACGCTTGAATTCGCCACTAACC</t>
  </si>
  <si>
    <t xml:space="preserve">AGGCACCGGTGATCAAATAG</t>
  </si>
  <si>
    <t xml:space="preserve">TAGTAGGCACCGGTGATCAAATAG</t>
  </si>
  <si>
    <t xml:space="preserve">AAACCTATTTGATCACCGGTGCCT</t>
  </si>
  <si>
    <t xml:space="preserve">CAGTCCCAGCAGAATGACGA</t>
  </si>
  <si>
    <t xml:space="preserve">TAGTCAGTCCCAGCAGAATGACGA</t>
  </si>
  <si>
    <t xml:space="preserve">AAACTCGTCATTCTGCTGGGACTG</t>
  </si>
  <si>
    <t xml:space="preserve">CAGCTCGCGAGTGCTCAGGC</t>
  </si>
  <si>
    <t xml:space="preserve">TAGTCAGCTCGCGAGTGCTCAGGC</t>
  </si>
  <si>
    <t xml:space="preserve">AAACGCCTGAGCACTCGCGAGCTG</t>
  </si>
  <si>
    <t xml:space="preserve">PSPPH_4916</t>
  </si>
  <si>
    <t xml:space="preserve">gpmI</t>
  </si>
  <si>
    <t xml:space="preserve">AAGAACCAGAGGTTTTGGCG</t>
  </si>
  <si>
    <t xml:space="preserve">TAGTAAGAACCAGAGGTTTTGGCG</t>
  </si>
  <si>
    <t xml:space="preserve">AAACCGCCAAAACCTCTGGTTCTT</t>
  </si>
  <si>
    <t xml:space="preserve">CGCTGTGTCCGAAGCCATCC</t>
  </si>
  <si>
    <t xml:space="preserve">TAGTCGCTGTGTCCGAAGCCATCC</t>
  </si>
  <si>
    <t xml:space="preserve">AAACGGATGGCTTCGGACACAGCG</t>
  </si>
  <si>
    <t xml:space="preserve">CCAGGATGGCATTGCCTTCA</t>
  </si>
  <si>
    <t xml:space="preserve">TAGTCCAGGATGGCATTGCCTTCA</t>
  </si>
  <si>
    <t xml:space="preserve">AAACTGAAGGCAATGCCATCCTGG</t>
  </si>
  <si>
    <t xml:space="preserve">ATCCATGACCGGCATCTTCG</t>
  </si>
  <si>
    <t xml:space="preserve">TAGTATCCATGACCGGCATCTTCG</t>
  </si>
  <si>
    <t xml:space="preserve">AAACCGAAGATGCCGGTCATGGAT</t>
  </si>
  <si>
    <t xml:space="preserve">PSPPH_4917</t>
  </si>
  <si>
    <t xml:space="preserve">GCCCCGCAGCCACTGCTTTA</t>
  </si>
  <si>
    <t xml:space="preserve">TAGTGCCCCGCAGCCACTGCTTTA</t>
  </si>
  <si>
    <t xml:space="preserve">AAACTAAAGCAGTGGCTGCGGGGC</t>
  </si>
  <si>
    <t xml:space="preserve">GAATTGTGAGAAAAAATGTC</t>
  </si>
  <si>
    <t xml:space="preserve">TAGTGAATTGTGAGAAAAAATGTC</t>
  </si>
  <si>
    <t xml:space="preserve">AAACGACATTTTTTCTCACAATTC</t>
  </si>
  <si>
    <t xml:space="preserve">CATGTGGGTGGGCGATACCG</t>
  </si>
  <si>
    <t xml:space="preserve">TAGTCATGTGGGTGGGCGATACCG</t>
  </si>
  <si>
    <t xml:space="preserve">AAACCGGTATCGCCCACCCACATG</t>
  </si>
  <si>
    <t xml:space="preserve">GATCAGAGCAAGGGCAATCA</t>
  </si>
  <si>
    <t xml:space="preserve">TAGTGATCAGAGCAAGGGCAATCA</t>
  </si>
  <si>
    <t xml:space="preserve">AAACTGATTGCCCTTGCTCTGATC</t>
  </si>
  <si>
    <t xml:space="preserve">PSPPH_4918</t>
  </si>
  <si>
    <t xml:space="preserve">CAGGGCCAGCGAGGTGAGGC</t>
  </si>
  <si>
    <t xml:space="preserve">TAGTCAGGGCCAGCGAGGTGAGGC</t>
  </si>
  <si>
    <t xml:space="preserve">AAACGCCTCACCTCGCTGGCCCTG</t>
  </si>
  <si>
    <t xml:space="preserve">CAAAGGCGCGCCAATAACGA</t>
  </si>
  <si>
    <t xml:space="preserve">TAGTCAAAGGCGCGCCAATAACGA</t>
  </si>
  <si>
    <t xml:space="preserve">AAACTCGTTATTGGCGCGCCTTTG</t>
  </si>
  <si>
    <t xml:space="preserve">CGTGGCTGGCGCGGTCTTTT</t>
  </si>
  <si>
    <t xml:space="preserve">TAGTCGTGGCTGGCGCGGTCTTTT</t>
  </si>
  <si>
    <t xml:space="preserve">AAACAAAAGACCGCGCCAGCCACG</t>
  </si>
  <si>
    <t xml:space="preserve">TTGGCGGGCGAGACTGCTGC</t>
  </si>
  <si>
    <t xml:space="preserve">TAGTTTGGCGGGCGAGACTGCTGC</t>
  </si>
  <si>
    <t xml:space="preserve">AAACGCAGCAGTCTCGCCCGCCAA</t>
  </si>
  <si>
    <t xml:space="preserve">PSPPH_4919</t>
  </si>
  <si>
    <t xml:space="preserve">GTCTTCGGCTGGCGCTGCAT</t>
  </si>
  <si>
    <t xml:space="preserve">TAGTGTCTTCGGCTGGCGCTGCAT</t>
  </si>
  <si>
    <t xml:space="preserve">AAACATGCAGCGCCAGCCGAAGAC</t>
  </si>
  <si>
    <t xml:space="preserve">AGGCTGAGATAGGCCTTCGG</t>
  </si>
  <si>
    <t xml:space="preserve">TAGTAGGCTGAGATAGGCCTTCGG</t>
  </si>
  <si>
    <t xml:space="preserve">AAACCCGAAGGCCTATCTCAGCCT</t>
  </si>
  <si>
    <t xml:space="preserve">GACCCAGGTCGTCGATGATC</t>
  </si>
  <si>
    <t xml:space="preserve">TAGTGACCCAGGTCGTCGATGATC</t>
  </si>
  <si>
    <t xml:space="preserve">AAACGATCATCGACGACCTGGGTC</t>
  </si>
  <si>
    <t xml:space="preserve">GTGTACGGCTATCCCGCGCC</t>
  </si>
  <si>
    <t xml:space="preserve">TAGTGTGTACGGCTATCCCGCGCC</t>
  </si>
  <si>
    <t xml:space="preserve">AAACGGCGCGGGATAGCCGTACAC</t>
  </si>
  <si>
    <t xml:space="preserve">PSPPH_4920</t>
  </si>
  <si>
    <t xml:space="preserve">GGCTCCCGATGTAGATCCAA</t>
  </si>
  <si>
    <t xml:space="preserve">TAGTGGCTCCCGATGTAGATCCAA</t>
  </si>
  <si>
    <t xml:space="preserve">AAACTTGGATCTACATCGGGAGCC</t>
  </si>
  <si>
    <t xml:space="preserve">CACGACAGCCAAACACCTGT</t>
  </si>
  <si>
    <t xml:space="preserve">TAGTCACGACAGCCAAACACCTGT</t>
  </si>
  <si>
    <t xml:space="preserve">AAACACAGGTGTTTGGCTGTCGTG</t>
  </si>
  <si>
    <t xml:space="preserve">GCGCTCATTTCGGGAATGTC</t>
  </si>
  <si>
    <t xml:space="preserve">TAGTGCGCTCATTTCGGGAATGTC</t>
  </si>
  <si>
    <t xml:space="preserve">AAACGACATTCCCGAAATGAGCGC</t>
  </si>
  <si>
    <t xml:space="preserve">TTCAGGCAGGGTGTCGCCAG</t>
  </si>
  <si>
    <t xml:space="preserve">TAGTTTCAGGCAGGGTGTCGCCAG</t>
  </si>
  <si>
    <t xml:space="preserve">AAACCTGGCGACACCCTGCCTGAA</t>
  </si>
  <si>
    <t xml:space="preserve">PSPPH_4921</t>
  </si>
  <si>
    <t xml:space="preserve">CATGCAGAGTGCCGCGAACC</t>
  </si>
  <si>
    <t xml:space="preserve">TAGTCATGCAGAGTGCCGCGAACC</t>
  </si>
  <si>
    <t xml:space="preserve">AAACGGTTCGCGGCACTCTGCATG</t>
  </si>
  <si>
    <t xml:space="preserve">ATAGACGTTTGAACATGTTC</t>
  </si>
  <si>
    <t xml:space="preserve">TAGTATAGACGTTTGAACATGTTC</t>
  </si>
  <si>
    <t xml:space="preserve">AAACGAACATGTTCAAACGTCTAT</t>
  </si>
  <si>
    <t xml:space="preserve">GGAATAAGGCGTTGAGTCGC</t>
  </si>
  <si>
    <t xml:space="preserve">TAGTGGAATAAGGCGTTGAGTCGC</t>
  </si>
  <si>
    <t xml:space="preserve">AAACGCGACTCAACGCCTTATTCC</t>
  </si>
  <si>
    <t xml:space="preserve">GTTGAACGGCGGGAAATTCT</t>
  </si>
  <si>
    <t xml:space="preserve">TAGTGTTGAACGGCGGGAAATTCT</t>
  </si>
  <si>
    <t xml:space="preserve">AAACAGAATTTCCCGCCGTTCAAC</t>
  </si>
  <si>
    <t xml:space="preserve">PSPPH_4922</t>
  </si>
  <si>
    <t xml:space="preserve">ATGCGTTTGGCTAGGGCCAC</t>
  </si>
  <si>
    <t xml:space="preserve">TAGTATGCGTTTGGCTAGGGCCAC</t>
  </si>
  <si>
    <t xml:space="preserve">AAACGTGGCCCTAGCCAAACGCAT</t>
  </si>
  <si>
    <t xml:space="preserve">CGTTGTCGACGTCCAGGCAA</t>
  </si>
  <si>
    <t xml:space="preserve">TAGTCGTTGTCGACGTCCAGGCAA</t>
  </si>
  <si>
    <t xml:space="preserve">AAACTTGCCTGGACGTCGACAACG</t>
  </si>
  <si>
    <t xml:space="preserve">CCACCGGATCGCCTGCATCC</t>
  </si>
  <si>
    <t xml:space="preserve">TAGTCCACCGGATCGCCTGCATCC</t>
  </si>
  <si>
    <t xml:space="preserve">AAACGGATGCAGGCGATCCGGTGG</t>
  </si>
  <si>
    <t xml:space="preserve">GTCGAGAAAAGTAATTTCGT</t>
  </si>
  <si>
    <t xml:space="preserve">TAGTGTCGAGAAAAGTAATTTCGT</t>
  </si>
  <si>
    <t xml:space="preserve">AAACACGAAATTACTTTTCTCGAC</t>
  </si>
  <si>
    <t xml:space="preserve">PSPPH_4923</t>
  </si>
  <si>
    <t xml:space="preserve">hisA</t>
  </si>
  <si>
    <t xml:space="preserve">CGTCTTTGAGGTCGATAGCG</t>
  </si>
  <si>
    <t xml:space="preserve">TAGTCGTCTTTGAGGTCGATAGCG</t>
  </si>
  <si>
    <t xml:space="preserve">AAACCGCTATCGACCTCAAAGACG</t>
  </si>
  <si>
    <t xml:space="preserve">GCCCTGACGCAGACGTACAC</t>
  </si>
  <si>
    <t xml:space="preserve">TAGTGCCCTGACGCAGACGTACAC</t>
  </si>
  <si>
    <t xml:space="preserve">AAACGTGTACGTCTGCGTCAGGGC</t>
  </si>
  <si>
    <t xml:space="preserve">ACACCGTGGAATCTTCCATC</t>
  </si>
  <si>
    <t xml:space="preserve">TAGTACACCGTGGAATCTTCCATC</t>
  </si>
  <si>
    <t xml:space="preserve">AAACGATGGAAGATTCCACGGTGT</t>
  </si>
  <si>
    <t xml:space="preserve">ACTTGGCAGCCATGGCCACC</t>
  </si>
  <si>
    <t xml:space="preserve">TAGTACTTGGCAGCCATGGCCACC</t>
  </si>
  <si>
    <t xml:space="preserve">AAACGGTGGCCATGGCTGCCAAGT</t>
  </si>
  <si>
    <t xml:space="preserve">PSPPH_4924</t>
  </si>
  <si>
    <t xml:space="preserve">CAGAATCGGCGGCTTGCTCT</t>
  </si>
  <si>
    <t xml:space="preserve">TAGTCAGAATCGGCGGCTTGCTCT</t>
  </si>
  <si>
    <t xml:space="preserve">AAACAGAGCAAGCCGCCGATTCTG</t>
  </si>
  <si>
    <t xml:space="preserve">CTGCTCATGCTCGGGCGAAA</t>
  </si>
  <si>
    <t xml:space="preserve">TAGTCTGCTCATGCTCGGGCGAAA</t>
  </si>
  <si>
    <t xml:space="preserve">AAACTTTCGCCCGAGCATGAGCAG</t>
  </si>
  <si>
    <t xml:space="preserve">GCTCGAAGCGCTCTGCGAAC</t>
  </si>
  <si>
    <t xml:space="preserve">TAGTGCTCGAAGCGCTCTGCGAAC</t>
  </si>
  <si>
    <t xml:space="preserve">AAACGTTCGCAGAGCGCTTCGAGC</t>
  </si>
  <si>
    <t xml:space="preserve">GTAATGCGGGGCAATCTCGC</t>
  </si>
  <si>
    <t xml:space="preserve">TAGTGTAATGCGGGGCAATCTCGC</t>
  </si>
  <si>
    <t xml:space="preserve">AAACGCGAGATTGCCCCGCATTAC</t>
  </si>
  <si>
    <t xml:space="preserve">PSPPH_4925</t>
  </si>
  <si>
    <t xml:space="preserve">hisH</t>
  </si>
  <si>
    <t xml:space="preserve">GCGCCTTGGCGACAGAGTGC</t>
  </si>
  <si>
    <t xml:space="preserve">TAGTGCGCCTTGGCGACAGAGTGC</t>
  </si>
  <si>
    <t xml:space="preserve">AAACGCACTCTGTCGCCAAGGCGC</t>
  </si>
  <si>
    <t xml:space="preserve">CGTCACTGGTAATCAGCACA</t>
  </si>
  <si>
    <t xml:space="preserve">TAGTCGTCACTGGTAATCAGCACA</t>
  </si>
  <si>
    <t xml:space="preserve">AAACTGTGCTGATTACCAGTGACG</t>
  </si>
  <si>
    <t xml:space="preserve">GTCGGCTTCGCGAATCACCT</t>
  </si>
  <si>
    <t xml:space="preserve">TAGTGTCGGCTTCGCGAATCACCT</t>
  </si>
  <si>
    <t xml:space="preserve">AAACAGGTGATTCGCGAAGCCGAC</t>
  </si>
  <si>
    <t xml:space="preserve">CCACACCCGGAAACACCACA</t>
  </si>
  <si>
    <t xml:space="preserve">TAGTCCACACCCGGAAACACCACA</t>
  </si>
  <si>
    <t xml:space="preserve">AAACTGTGGTGTTTCCGGGTGTGG</t>
  </si>
  <si>
    <t xml:space="preserve">PSPPH_4926</t>
  </si>
  <si>
    <t xml:space="preserve">hisB</t>
  </si>
  <si>
    <t xml:space="preserve">CTCGACGTACGCCTTACGTT</t>
  </si>
  <si>
    <t xml:space="preserve">TAGTCTCGACGTACGCCTTACGTT</t>
  </si>
  <si>
    <t xml:space="preserve">AAACAACGTAAGGCGTACGTCGAG</t>
  </si>
  <si>
    <t xml:space="preserve">GTTGATCGAGGCTTTGATCT</t>
  </si>
  <si>
    <t xml:space="preserve">TAGTGTTGATCGAGGCTTTGATCT</t>
  </si>
  <si>
    <t xml:space="preserve">AAACAGATCAAAGCCTCGATCAAC</t>
  </si>
  <si>
    <t xml:space="preserve">GGGCCTTTCCGGTGCCATCC</t>
  </si>
  <si>
    <t xml:space="preserve">TAGTGGGCCTTTCCGGTGCCATCC</t>
  </si>
  <si>
    <t xml:space="preserve">AAACGGATGGCACCGGAAAGGCCC</t>
  </si>
  <si>
    <t xml:space="preserve">AGGCACACCGATATCGAATC</t>
  </si>
  <si>
    <t xml:space="preserve">TAGTAGGCACACCGATATCGAATC</t>
  </si>
  <si>
    <t xml:space="preserve">AAACGATTCGATATCGGTGTGCCT</t>
  </si>
  <si>
    <t xml:space="preserve">PSPPH_4927</t>
  </si>
  <si>
    <t xml:space="preserve">tyrB</t>
  </si>
  <si>
    <t xml:space="preserve">ACCAGCGTATGACTCCACGT</t>
  </si>
  <si>
    <t xml:space="preserve">TAGTACCAGCGTATGACTCCACGT</t>
  </si>
  <si>
    <t xml:space="preserve">AAACACGTGGAGTCATACGCTGGT</t>
  </si>
  <si>
    <t xml:space="preserve">GTTTCCATCAGGGAAAGGAT</t>
  </si>
  <si>
    <t xml:space="preserve">TAGTGTTTCCATCAGGGAAAGGAT</t>
  </si>
  <si>
    <t xml:space="preserve">AAACATCCTTTCCCTGATGGAAAC</t>
  </si>
  <si>
    <t xml:space="preserve">CGCACGGGAATCCTTGCCAA</t>
  </si>
  <si>
    <t xml:space="preserve">TAGTCGCACGGGAATCCTTGCCAA</t>
  </si>
  <si>
    <t xml:space="preserve">AAACTTGGCAAGGATTCCCGTGCG</t>
  </si>
  <si>
    <t xml:space="preserve">CGCATGCCAGCTGAGGGATA</t>
  </si>
  <si>
    <t xml:space="preserve">TAGTCGCATGCCAGCTGAGGGATA</t>
  </si>
  <si>
    <t xml:space="preserve">AAACTATCCCTCAGCTGGCATGCG</t>
  </si>
  <si>
    <t xml:space="preserve">PSPPH_4928</t>
  </si>
  <si>
    <t xml:space="preserve">GCCACAGACTCTATGCCGAG</t>
  </si>
  <si>
    <t xml:space="preserve">TAGTGCCACAGACTCTATGCCGAG</t>
  </si>
  <si>
    <t xml:space="preserve">AAACCTCGGCATAGAGTCTGTGGC</t>
  </si>
  <si>
    <t xml:space="preserve">GAAGCTCGCAGATGGTCCGC</t>
  </si>
  <si>
    <t xml:space="preserve">TAGTGAAGCTCGCAGATGGTCCGC</t>
  </si>
  <si>
    <t xml:space="preserve">AAACGCGGACCATCTGCGAGCTTC</t>
  </si>
  <si>
    <t xml:space="preserve">CTGAACGGCGTCGCCGCCCA</t>
  </si>
  <si>
    <t xml:space="preserve">TAGTCTGAACGGCGTCGCCGCCCA</t>
  </si>
  <si>
    <t xml:space="preserve">AAACTGGGCGGCGACGCCGTTCAG</t>
  </si>
  <si>
    <t xml:space="preserve">CGCTCTTTGGACAAGAACGC</t>
  </si>
  <si>
    <t xml:space="preserve">TAGTCGCTCTTTGGACAAGAACGC</t>
  </si>
  <si>
    <t xml:space="preserve">AAACGCGTTCTTGTCCAAAGAGCG</t>
  </si>
  <si>
    <t xml:space="preserve">PSPPH_4929</t>
  </si>
  <si>
    <t xml:space="preserve">ATTTTGCCGAACGCTTTCAT</t>
  </si>
  <si>
    <t xml:space="preserve">TAGTATTTTGCCGAACGCTTTCAT</t>
  </si>
  <si>
    <t xml:space="preserve">AAACATGAAAGCGTTCGGCAAAAT</t>
  </si>
  <si>
    <t xml:space="preserve">GCCCGAGAATAAACAGCCCC</t>
  </si>
  <si>
    <t xml:space="preserve">TAGTGCCCGAGAATAAACAGCCCC</t>
  </si>
  <si>
    <t xml:space="preserve">AAACGGGGCTGTTTATTCTCGGGC</t>
  </si>
  <si>
    <t xml:space="preserve">GGGATCAAACAGGTGGGTCA</t>
  </si>
  <si>
    <t xml:space="preserve">TAGTGGGATCAAACAGGTGGGTCA</t>
  </si>
  <si>
    <t xml:space="preserve">AAACTGACCCACCTGTTTGATCCC</t>
  </si>
  <si>
    <t xml:space="preserve">ATCTCGTCTTTGTAGTCGTT</t>
  </si>
  <si>
    <t xml:space="preserve">TAGTATCTCGTCTTTGTAGTCGTT</t>
  </si>
  <si>
    <t xml:space="preserve">AAACAACGACTACAAAGACGAGAT</t>
  </si>
  <si>
    <t xml:space="preserve">PSPPH_4930</t>
  </si>
  <si>
    <t xml:space="preserve">mutY</t>
  </si>
  <si>
    <t xml:space="preserve">GGAGAATTGTTCGGGTTGCA</t>
  </si>
  <si>
    <t xml:space="preserve">TAGTGGAGAATTGTTCGGGTTGCA</t>
  </si>
  <si>
    <t xml:space="preserve">AAACTGCAACCCGAACAATTCTCC</t>
  </si>
  <si>
    <t xml:space="preserve">GTACCAGTCCAGCACGGCGC</t>
  </si>
  <si>
    <t xml:space="preserve">TAGTGTACCAGTCCAGCACGGCGC</t>
  </si>
  <si>
    <t xml:space="preserve">AAACGCGCCGTGCTGGACTGGTAC</t>
  </si>
  <si>
    <t xml:space="preserve">GCAGGTCATGTCGGCCATGA</t>
  </si>
  <si>
    <t xml:space="preserve">TAGTGCAGGTCATGTCGGCCATGA</t>
  </si>
  <si>
    <t xml:space="preserve">AAACTCATGGCCGACATGACCTGC</t>
  </si>
  <si>
    <t xml:space="preserve">GGCGTGATGTCTTGTTGCCA</t>
  </si>
  <si>
    <t xml:space="preserve">TAGTGGCGTGATGTCTTGTTGCCA</t>
  </si>
  <si>
    <t xml:space="preserve">AAACTGGCAACAAGACATCACGCC</t>
  </si>
  <si>
    <t xml:space="preserve">PSPPH_4931</t>
  </si>
  <si>
    <t xml:space="preserve">CTTGCGGCACATTACGGTGC</t>
  </si>
  <si>
    <t xml:space="preserve">TAGTCTTGCGGCACATTACGGTGC</t>
  </si>
  <si>
    <t xml:space="preserve">AAACGCACCGTAATGTGCCGCAAG</t>
  </si>
  <si>
    <t xml:space="preserve">TATGGGGCGCGTTCCAGGCC</t>
  </si>
  <si>
    <t xml:space="preserve">TAGTTATGGGGCGCGTTCCAGGCC</t>
  </si>
  <si>
    <t xml:space="preserve">AAACGGCCTGGAACGCGCCCCATA</t>
  </si>
  <si>
    <t xml:space="preserve">TGTCTTCGCCCTTGGCGCCA</t>
  </si>
  <si>
    <t xml:space="preserve">TAGTTGTCTTCGCCCTTGGCGCCA</t>
  </si>
  <si>
    <t xml:space="preserve">AAACTGGCGCCAAGGGCGAAGACA</t>
  </si>
  <si>
    <t xml:space="preserve">CCCAGGCTTTTTGCGAGACG</t>
  </si>
  <si>
    <t xml:space="preserve">TAGTCCCAGGCTTTTTGCGAGACG</t>
  </si>
  <si>
    <t xml:space="preserve">AAACCGTCTCGCAAAAAGCCTGGG</t>
  </si>
  <si>
    <t xml:space="preserve">PSPPH_4934</t>
  </si>
  <si>
    <t xml:space="preserve">GGCGGCGATGATGAGGGCGG</t>
  </si>
  <si>
    <t xml:space="preserve">TAGTGGCGGCGATGATGAGGGCGG</t>
  </si>
  <si>
    <t xml:space="preserve">AAACCCGCCCTCATCATCGCCGCC</t>
  </si>
  <si>
    <t xml:space="preserve">GCAGGCAGCCAGACCCAGAG</t>
  </si>
  <si>
    <t xml:space="preserve">TAGTGCAGGCAGCCAGACCCAGAG</t>
  </si>
  <si>
    <t xml:space="preserve">AAACCTCTGGGTCTGGCTGCCTGC</t>
  </si>
  <si>
    <t xml:space="preserve">GGCAGACTCCATTTTCTCCT</t>
  </si>
  <si>
    <t xml:space="preserve">TAGTGGCAGACTCCATTTTCTCCT</t>
  </si>
  <si>
    <t xml:space="preserve">AAACAGGAGAAAATGGAGTCTGCC</t>
  </si>
  <si>
    <t xml:space="preserve">AGCCTCGTTCACTTTGTCCT</t>
  </si>
  <si>
    <t xml:space="preserve">TAGTAGCCTCGTTCACTTTGTCCT</t>
  </si>
  <si>
    <t xml:space="preserve">AAACAGGACAAAGTGAACGAGGCT</t>
  </si>
  <si>
    <t xml:space="preserve">PSPPH_4935</t>
  </si>
  <si>
    <t xml:space="preserve">TCCATCTACCTCGGCCTTCA</t>
  </si>
  <si>
    <t xml:space="preserve">TAGTTCCATCTACCTCGGCCTTCA</t>
  </si>
  <si>
    <t xml:space="preserve">AAACTGAAGGCCGAGGTAGATGGA</t>
  </si>
  <si>
    <t xml:space="preserve">GGAAGTTATCGTTGGCACGA</t>
  </si>
  <si>
    <t xml:space="preserve">TAGTGGAAGTTATCGTTGGCACGA</t>
  </si>
  <si>
    <t xml:space="preserve">AAACTCGTGCCAACGATAACTTCC</t>
  </si>
  <si>
    <t xml:space="preserve">CCCGGTAGCCCATCGCTGCA</t>
  </si>
  <si>
    <t xml:space="preserve">TAGTCCCGGTAGCCCATCGCTGCA</t>
  </si>
  <si>
    <t xml:space="preserve">AAACTGCAGCGATGGGCTACCGGG</t>
  </si>
  <si>
    <t xml:space="preserve">CGTCTTGCTGGCCAGCTCAT</t>
  </si>
  <si>
    <t xml:space="preserve">TAGTCGTCTTGCTGGCCAGCTCAT</t>
  </si>
  <si>
    <t xml:space="preserve">AAACATGAGCTGGCCAGCAAGACG</t>
  </si>
  <si>
    <t xml:space="preserve">PSPPH_4936</t>
  </si>
  <si>
    <t xml:space="preserve">TTTTTGCTGCTTGTCTGGCG</t>
  </si>
  <si>
    <t xml:space="preserve">TAGTTTTTTGCTGCTTGTCTGGCG</t>
  </si>
  <si>
    <t xml:space="preserve">AAACCGCCAGACAAGCAGCAAAAA</t>
  </si>
  <si>
    <t xml:space="preserve">GGCCTTGATTTTTGCGCGCT</t>
  </si>
  <si>
    <t xml:space="preserve">TAGTGGCCTTGATTTTTGCGCGCT</t>
  </si>
  <si>
    <t xml:space="preserve">AAACAGCGCGCAAAAATCAAGGCC</t>
  </si>
  <si>
    <t xml:space="preserve">CTTGCCCGAACGGTTCTGCT</t>
  </si>
  <si>
    <t xml:space="preserve">TAGTCTTGCCCGAACGGTTCTGCT</t>
  </si>
  <si>
    <t xml:space="preserve">AAACAGCAGAACCGTTCGGGCAAG</t>
  </si>
  <si>
    <t xml:space="preserve">AAACACCGGGTGGACGAGGC</t>
  </si>
  <si>
    <t xml:space="preserve">TAGTAAACACCGGGTGGACGAGGC</t>
  </si>
  <si>
    <t xml:space="preserve">AAACGCCTCGTCCACCCGGTGTTT</t>
  </si>
  <si>
    <t xml:space="preserve">PSPPH_4937</t>
  </si>
  <si>
    <t xml:space="preserve">gabP</t>
  </si>
  <si>
    <t xml:space="preserve">TTCGAGCTCGGAAGAGTTAG</t>
  </si>
  <si>
    <t xml:space="preserve">TAGTTTCGAGCTCGGAAGAGTTAG</t>
  </si>
  <si>
    <t xml:space="preserve">AAACCTAACTCTTCCGAGCTCGAA</t>
  </si>
  <si>
    <t xml:space="preserve">GACAGCATCGTAATGTGTCG</t>
  </si>
  <si>
    <t xml:space="preserve">TAGTGACAGCATCGTAATGTGTCG</t>
  </si>
  <si>
    <t xml:space="preserve">AAACCGACACATTACGATGCTGTC</t>
  </si>
  <si>
    <t xml:space="preserve">CAGACCGGCACCAATAACGC</t>
  </si>
  <si>
    <t xml:space="preserve">TAGTCAGACCGGCACCAATAACGC</t>
  </si>
  <si>
    <t xml:space="preserve">AAACGCGTTATTGGTGCCGGTCTG</t>
  </si>
  <si>
    <t xml:space="preserve">TGCCTCGGCAATCGCGTGGC</t>
  </si>
  <si>
    <t xml:space="preserve">TAGTTGCCTCGGCAATCGCGTGGC</t>
  </si>
  <si>
    <t xml:space="preserve">AAACGCCACGCGATTGCCGAGGCA</t>
  </si>
  <si>
    <t xml:space="preserve">PSPPH_4938</t>
  </si>
  <si>
    <t xml:space="preserve">TTCCAGGGCGGGCGTGGCCT</t>
  </si>
  <si>
    <t xml:space="preserve">TAGTTTCCAGGGCGGGCGTGGCCT</t>
  </si>
  <si>
    <t xml:space="preserve">AAACAGGCCACGCCCGCCCTGGAA</t>
  </si>
  <si>
    <t xml:space="preserve">CGTAGCGCTTGTGCAGGTTG</t>
  </si>
  <si>
    <t xml:space="preserve">TAGTCGTAGCGCTTGTGCAGGTTG</t>
  </si>
  <si>
    <t xml:space="preserve">AAACCAACCTGCACAAGCGCTACG</t>
  </si>
  <si>
    <t xml:space="preserve">TATGACATCGCCGTCGCGGG</t>
  </si>
  <si>
    <t xml:space="preserve">TAGTTATGACATCGCCGTCGCGGG</t>
  </si>
  <si>
    <t xml:space="preserve">AAACCCCGCGACGGCGATGTCATA</t>
  </si>
  <si>
    <t xml:space="preserve">TGCCGGAACCGGATGAGCCG</t>
  </si>
  <si>
    <t xml:space="preserve">TAGTTGCCGGAACCGGATGAGCCG</t>
  </si>
  <si>
    <t xml:space="preserve">AAACCGGCTCATCCGGTTCCGGCA</t>
  </si>
  <si>
    <t xml:space="preserve">PSPPH_4939</t>
  </si>
  <si>
    <t xml:space="preserve">ATCTTTTTGTACGACTGCAT</t>
  </si>
  <si>
    <t xml:space="preserve">TAGTATCTTTTTGTACGACTGCAT</t>
  </si>
  <si>
    <t xml:space="preserve">AAACATGCAGTCGTACAAAAAGAT</t>
  </si>
  <si>
    <t xml:space="preserve">ACTGCCGCTGAAGGCAAGGG</t>
  </si>
  <si>
    <t xml:space="preserve">TAGTACTGCCGCTGAAGGCAAGGG</t>
  </si>
  <si>
    <t xml:space="preserve">AAACCCCTTGCCTTCAGCGGCAGT</t>
  </si>
  <si>
    <t xml:space="preserve">CATTTTCATTGTTTCAGCAA</t>
  </si>
  <si>
    <t xml:space="preserve">TAGTCATTTTCATTGTTTCAGCAA</t>
  </si>
  <si>
    <t xml:space="preserve">AAACTTGCTGAAACAATGAAAATG</t>
  </si>
  <si>
    <t xml:space="preserve">CTTGTTGTTGAACGGCGGGT</t>
  </si>
  <si>
    <t xml:space="preserve">TAGTCTTGTTGTTGAACGGCGGGT</t>
  </si>
  <si>
    <t xml:space="preserve">AAACACCCGCCGTTCAACAACAAG</t>
  </si>
  <si>
    <t xml:space="preserve">PSPPH_4941</t>
  </si>
  <si>
    <t xml:space="preserve">GTCGCGCCCTGTGCCAGGCG</t>
  </si>
  <si>
    <t xml:space="preserve">TAGTGTCGCGCCCTGTGCCAGGCG</t>
  </si>
  <si>
    <t xml:space="preserve">AAACCGCCTGGCACAGGGCGCGAC</t>
  </si>
  <si>
    <t xml:space="preserve">CGCCACCAGCTCAAGGGTCA</t>
  </si>
  <si>
    <t xml:space="preserve">TAGTCGCCACCAGCTCAAGGGTCA</t>
  </si>
  <si>
    <t xml:space="preserve">AAACTGACCCTTGAGCTGGTGGCG</t>
  </si>
  <si>
    <t xml:space="preserve">GAGGATCAGCCCGGCGATGA</t>
  </si>
  <si>
    <t xml:space="preserve">TAGTGAGGATCAGCCCGGCGATGA</t>
  </si>
  <si>
    <t xml:space="preserve">AAACTCATCGCCGGGCTGATCCTC</t>
  </si>
  <si>
    <t xml:space="preserve">ACGGGCGATGCCCATCGGGA</t>
  </si>
  <si>
    <t xml:space="preserve">TAGTACGGGCGATGCCCATCGGGA</t>
  </si>
  <si>
    <t xml:space="preserve">AAACTCCCGATGGGCATCGCCCGT</t>
  </si>
  <si>
    <t xml:space="preserve">PSPPH_4942</t>
  </si>
  <si>
    <t xml:space="preserve">CGCGGGGCAAGGTGCTGACT</t>
  </si>
  <si>
    <t xml:space="preserve">TAGTCGCGGGGCAAGGTGCTGACT</t>
  </si>
  <si>
    <t xml:space="preserve">AAACAGTCAGCACCTTGCCCCGCG</t>
  </si>
  <si>
    <t xml:space="preserve">AGGTTCAGTGGGCATAGTGG</t>
  </si>
  <si>
    <t xml:space="preserve">TAGTAGGTTCAGTGGGCATAGTGG</t>
  </si>
  <si>
    <t xml:space="preserve">AAACCCACTATGCCCACTGAACCT</t>
  </si>
  <si>
    <t xml:space="preserve">AGGTGTTCATCCTGCAAGCA</t>
  </si>
  <si>
    <t xml:space="preserve">TAGTAGGTGTTCATCCTGCAAGCA</t>
  </si>
  <si>
    <t xml:space="preserve">AAACTGCTTGCAGGATGAACACCT</t>
  </si>
  <si>
    <t xml:space="preserve">GCGCACGAAAGTGGCTGCCG</t>
  </si>
  <si>
    <t xml:space="preserve">TAGTGCGCACGAAAGTGGCTGCCG</t>
  </si>
  <si>
    <t xml:space="preserve">AAACCGGCAGCCACTTTCGTGCGC</t>
  </si>
  <si>
    <t xml:space="preserve">PSPPH_4943</t>
  </si>
  <si>
    <t xml:space="preserve">GGACTGTTTGGGTGGGTCGG</t>
  </si>
  <si>
    <t xml:space="preserve">TAGTGGACTGTTTGGGTGGGTCGG</t>
  </si>
  <si>
    <t xml:space="preserve">AAACCCGACCCACCCAAACAGTCC</t>
  </si>
  <si>
    <t xml:space="preserve">GTCGAAGATTGGCGCGGTGC</t>
  </si>
  <si>
    <t xml:space="preserve">TAGTGTCGAAGATTGGCGCGGTGC</t>
  </si>
  <si>
    <t xml:space="preserve">AAACGCACCGCGCCAATCTTCGAC</t>
  </si>
  <si>
    <t xml:space="preserve">GATTGGCAGGTAACACGCCA</t>
  </si>
  <si>
    <t xml:space="preserve">TAGTGATTGGCAGGTAACACGCCA</t>
  </si>
  <si>
    <t xml:space="preserve">AAACTGGCGTGTTACCTGCCAATC</t>
  </si>
  <si>
    <t xml:space="preserve">GGGGTTCTTTGTCAGTGCGG</t>
  </si>
  <si>
    <t xml:space="preserve">TAGTGGGGTTCTTTGTCAGTGCGG</t>
  </si>
  <si>
    <t xml:space="preserve">AAACCCGCACTGACAAAGAACCCC</t>
  </si>
  <si>
    <t xml:space="preserve">PSPPH_4944</t>
  </si>
  <si>
    <t xml:space="preserve">TGCCCGAATCCAGAGGATCC</t>
  </si>
  <si>
    <t xml:space="preserve">TAGTTGCCCGAATCCAGAGGATCC</t>
  </si>
  <si>
    <t xml:space="preserve">AAACGGATCCTCTGGATTCGGGCA</t>
  </si>
  <si>
    <t xml:space="preserve">CATTTTTGATACAGATGTAT</t>
  </si>
  <si>
    <t xml:space="preserve">TAGTCATTTTTGATACAGATGTAT</t>
  </si>
  <si>
    <t xml:space="preserve">AAACATACATCTGTATCAAAAATG</t>
  </si>
  <si>
    <t xml:space="preserve">TGCATTGCACTTGCTGTCCA</t>
  </si>
  <si>
    <t xml:space="preserve">TAGTTGCATTGCACTTGCTGTCCA</t>
  </si>
  <si>
    <t xml:space="preserve">AAACTGGACAGCAAGTGCAATGCA</t>
  </si>
  <si>
    <t xml:space="preserve">CTCAGCAGCTCGTAATGCGT</t>
  </si>
  <si>
    <t xml:space="preserve">TAGTCTCAGCAGCTCGTAATGCGT</t>
  </si>
  <si>
    <t xml:space="preserve">AAACACGCATTACGAGCTGCTGAG</t>
  </si>
  <si>
    <t xml:space="preserve">PSPPH_4946</t>
  </si>
  <si>
    <t xml:space="preserve">TACAGTACAATCGCGTGCTT</t>
  </si>
  <si>
    <t xml:space="preserve">TAGTTACAGTACAATCGCGTGCTT</t>
  </si>
  <si>
    <t xml:space="preserve">AAACAAGCACGCGATTGTACTGTA</t>
  </si>
  <si>
    <t xml:space="preserve">TCCTGGACGAGCGAGCAACG</t>
  </si>
  <si>
    <t xml:space="preserve">TAGTTCCTGGACGAGCGAGCAACG</t>
  </si>
  <si>
    <t xml:space="preserve">AAACCGTTGCTCGCTCGTCCAGGA</t>
  </si>
  <si>
    <t xml:space="preserve">GTTGCAGCAACAATTTGTGA</t>
  </si>
  <si>
    <t xml:space="preserve">TAGTGTTGCAGCAACAATTTGTGA</t>
  </si>
  <si>
    <t xml:space="preserve">AAACTCACAAATTGTTGCTGCAAC</t>
  </si>
  <si>
    <t xml:space="preserve">CTCTGCGTTCACGATTTTCG</t>
  </si>
  <si>
    <t xml:space="preserve">TAGTCTCTGCGTTCACGATTTTCG</t>
  </si>
  <si>
    <t xml:space="preserve">AAACCGAAAATCGTGAACGCAGAG</t>
  </si>
  <si>
    <t xml:space="preserve">PSPPH_4947</t>
  </si>
  <si>
    <t xml:space="preserve">GCTACGCCCTTGTGCCTCAT</t>
  </si>
  <si>
    <t xml:space="preserve">TAGTGCTACGCCCTTGTGCCTCAT</t>
  </si>
  <si>
    <t xml:space="preserve">AAACATGAGGCACAAGGGCGTAGC</t>
  </si>
  <si>
    <t xml:space="preserve">TCGTAACGCTCCCTCTCTCT</t>
  </si>
  <si>
    <t xml:space="preserve">TAGTTCGTAACGCTCCCTCTCTCT</t>
  </si>
  <si>
    <t xml:space="preserve">AAACAGAGAGAGGGAGCGTTACGA</t>
  </si>
  <si>
    <t xml:space="preserve">AATATTTGCAGTGAGTCGAT</t>
  </si>
  <si>
    <t xml:space="preserve">TAGTAATATTTGCAGTGAGTCGAT</t>
  </si>
  <si>
    <t xml:space="preserve">AAACATCGACTCACTGCAAATATT</t>
  </si>
  <si>
    <t xml:space="preserve">TGGCATGCCTGCCTCAAGCC</t>
  </si>
  <si>
    <t xml:space="preserve">TAGTTGGCATGCCTGCCTCAAGCC</t>
  </si>
  <si>
    <t xml:space="preserve">AAACGGCTTGAGGCAGGCATGCCA</t>
  </si>
  <si>
    <t xml:space="preserve">PSPPH_4948</t>
  </si>
  <si>
    <t xml:space="preserve">GTCAGTATCTCCTGTGTGGA</t>
  </si>
  <si>
    <t xml:space="preserve">TAGTGTCAGTATCTCCTGTGTGGA</t>
  </si>
  <si>
    <t xml:space="preserve">AAACTCCACACAGGAGATACTGAC</t>
  </si>
  <si>
    <t xml:space="preserve">AGATCCGGATCAAGTCTTCG</t>
  </si>
  <si>
    <t xml:space="preserve">TAGTAGATCCGGATCAAGTCTTCG</t>
  </si>
  <si>
    <t xml:space="preserve">AAACCGAAGACTTGATCCGGATCT</t>
  </si>
  <si>
    <t xml:space="preserve">PSPPH_4950</t>
  </si>
  <si>
    <t xml:space="preserve">TGGCCGTCAGCTTCATGCGG</t>
  </si>
  <si>
    <t xml:space="preserve">TAGTTGGCCGTCAGCTTCATGCGG</t>
  </si>
  <si>
    <t xml:space="preserve">AAACCCGCATGAAGCTGACGGCCA</t>
  </si>
  <si>
    <t xml:space="preserve">ATCGGCCTCGATCTTGAGGT</t>
  </si>
  <si>
    <t xml:space="preserve">TAGTATCGGCCTCGATCTTGAGGT</t>
  </si>
  <si>
    <t xml:space="preserve">AAACACCTCAAGATCGAGGCCGAT</t>
  </si>
  <si>
    <t xml:space="preserve">ATTTGTCGGTTGCCGATGTC</t>
  </si>
  <si>
    <t xml:space="preserve">TAGTATTTGTCGGTTGCCGATGTC</t>
  </si>
  <si>
    <t xml:space="preserve">AAACGACATCGGCAACCGACAAAT</t>
  </si>
  <si>
    <t xml:space="preserve">AGCGCCACGGTCAGCGTCTT</t>
  </si>
  <si>
    <t xml:space="preserve">TAGTAGCGCCACGGTCAGCGTCTT</t>
  </si>
  <si>
    <t xml:space="preserve">AAACAAGACGCTGACCGTGGCGCT</t>
  </si>
  <si>
    <t xml:space="preserve">PSPPH_4951</t>
  </si>
  <si>
    <t xml:space="preserve">CGGCCAGCGAAACTTGATGT</t>
  </si>
  <si>
    <t xml:space="preserve">TAGTCGGCCAGCGAAACTTGATGT</t>
  </si>
  <si>
    <t xml:space="preserve">AAACACATCAAGTTTCGCTGGCCG</t>
  </si>
  <si>
    <t xml:space="preserve">ATCCACTGAGTGGCTTGTGC</t>
  </si>
  <si>
    <t xml:space="preserve">TAGTATCCACTGAGTGGCTTGTGC</t>
  </si>
  <si>
    <t xml:space="preserve">AAACGCACAAGCCACTCAGTGGAT</t>
  </si>
  <si>
    <t xml:space="preserve">GATTGCGAGCGCCGGCCATC</t>
  </si>
  <si>
    <t xml:space="preserve">TAGTGATTGCGAGCGCCGGCCATC</t>
  </si>
  <si>
    <t xml:space="preserve">AAACGATGGCCGGCGCTCGCAATC</t>
  </si>
  <si>
    <t xml:space="preserve">GGTCGCGATGCCGGCTAGCT</t>
  </si>
  <si>
    <t xml:space="preserve">TAGTGGTCGCGATGCCGGCTAGCT</t>
  </si>
  <si>
    <t xml:space="preserve">AAACAGCTAGCCGGCATCGCGACC</t>
  </si>
  <si>
    <t xml:space="preserve">PSPPH_4952</t>
  </si>
  <si>
    <t xml:space="preserve">AGGTCATCGATCTCGATCAT</t>
  </si>
  <si>
    <t xml:space="preserve">TAGTAGGTCATCGATCTCGATCAT</t>
  </si>
  <si>
    <t xml:space="preserve">AAACATGATCGAGATCGATGACCT</t>
  </si>
  <si>
    <t xml:space="preserve">CGACGGTAATCTGCGGCACC</t>
  </si>
  <si>
    <t xml:space="preserve">TAGTCGACGGTAATCTGCGGCACC</t>
  </si>
  <si>
    <t xml:space="preserve">AAACGGTGCCGCAGATTACCGTCG</t>
  </si>
  <si>
    <t xml:space="preserve">GCCGGGGGCAGCAGGCATTC</t>
  </si>
  <si>
    <t xml:space="preserve">TAGTGCCGGGGGCAGCAGGCATTC</t>
  </si>
  <si>
    <t xml:space="preserve">AAACGAATGCCTGCTGCCCCCGGC</t>
  </si>
  <si>
    <t xml:space="preserve">TCTGTGCCTCCAGTAAGGAT</t>
  </si>
  <si>
    <t xml:space="preserve">TAGTTCTGTGCCTCCAGTAAGGAT</t>
  </si>
  <si>
    <t xml:space="preserve">AAACATCCTTACTGGAGGCACAGA</t>
  </si>
  <si>
    <t xml:space="preserve">PSPPH_4953</t>
  </si>
  <si>
    <t xml:space="preserve">GATCAGTTTCTCGCCGGCGA</t>
  </si>
  <si>
    <t xml:space="preserve">TAGTGATCAGTTTCTCGCCGGCGA</t>
  </si>
  <si>
    <t xml:space="preserve">AAACTCGCCGGCGAGAAACTGATC</t>
  </si>
  <si>
    <t xml:space="preserve">CAGGTTGTCCGCTTGTTTCT</t>
  </si>
  <si>
    <t xml:space="preserve">TAGTCAGGTTGTCCGCTTGTTTCT</t>
  </si>
  <si>
    <t xml:space="preserve">AAACAGAAACAAGCGGACAACCTG</t>
  </si>
  <si>
    <t xml:space="preserve">ACGAAGCGGGCCACGGTCAG</t>
  </si>
  <si>
    <t xml:space="preserve">TAGTACGAAGCGGGCCACGGTCAG</t>
  </si>
  <si>
    <t xml:space="preserve">AAACCTGACCGTGGCCCGCTTCGT</t>
  </si>
  <si>
    <t xml:space="preserve">CACATTGAGGCCGGGCACGT</t>
  </si>
  <si>
    <t xml:space="preserve">TAGTCACATTGAGGCCGGGCACGT</t>
  </si>
  <si>
    <t xml:space="preserve">AAACACGTGCCCGGCCTCAATGTG</t>
  </si>
  <si>
    <t xml:space="preserve">PSPPH_4954</t>
  </si>
  <si>
    <t xml:space="preserve">TCCAGCCCTTCGAGCCAGAA</t>
  </si>
  <si>
    <t xml:space="preserve">TAGTTCCAGCCCTTCGAGCCAGAA</t>
  </si>
  <si>
    <t xml:space="preserve">AAACTTCTGGCTCGAAGGGCTGGA</t>
  </si>
  <si>
    <t xml:space="preserve">CTGGGCGGTGGTGACCAGCT</t>
  </si>
  <si>
    <t xml:space="preserve">TAGTCTGGGCGGTGGTGACCAGCT</t>
  </si>
  <si>
    <t xml:space="preserve">AAACAGCTGGTCACCACCGCCCAG</t>
  </si>
  <si>
    <t xml:space="preserve">CGGCCAGCGCAGCCACTCGG</t>
  </si>
  <si>
    <t xml:space="preserve">TAGTCGGCCAGCGCAGCCACTCGG</t>
  </si>
  <si>
    <t xml:space="preserve">AAACCCGAGTGGCTGCGCTGGCCG</t>
  </si>
  <si>
    <t xml:space="preserve">TCTGCGTCGAACTGCAGGTA</t>
  </si>
  <si>
    <t xml:space="preserve">TAGTTCTGCGTCGAACTGCAGGTA</t>
  </si>
  <si>
    <t xml:space="preserve">AAACTACCTGCAGTTCGACGCAGA</t>
  </si>
  <si>
    <t xml:space="preserve">PSPPH_4955</t>
  </si>
  <si>
    <t xml:space="preserve">CAGCGCCTTTTTGAAGTCGA</t>
  </si>
  <si>
    <t xml:space="preserve">TAGTCAGCGCCTTTTTGAAGTCGA</t>
  </si>
  <si>
    <t xml:space="preserve">AAACTCGACTTCAAAAAGGCGCTG</t>
  </si>
  <si>
    <t xml:space="preserve">CGCCTCGGTAGTCGGAATGC</t>
  </si>
  <si>
    <t xml:space="preserve">TAGTCGCCTCGGTAGTCGGAATGC</t>
  </si>
  <si>
    <t xml:space="preserve">AAACGCATTCCGACTACCGAGGCG</t>
  </si>
  <si>
    <t xml:space="preserve">CTCGACGGCCAGTTTTTCCC</t>
  </si>
  <si>
    <t xml:space="preserve">TAGTCTCGACGGCCAGTTTTTCCC</t>
  </si>
  <si>
    <t xml:space="preserve">AAACGGGAAAAACTGGCCGTCGAG</t>
  </si>
  <si>
    <t xml:space="preserve">CGGGCTGTACGCGCTGGTGT</t>
  </si>
  <si>
    <t xml:space="preserve">TAGTCGGGCTGTACGCGCTGGTGT</t>
  </si>
  <si>
    <t xml:space="preserve">AAACACACCAGCGCGTACAGCCCG</t>
  </si>
  <si>
    <t xml:space="preserve">PSPPH_4956</t>
  </si>
  <si>
    <t xml:space="preserve">GGTCGTTGTTCATGATCAGC</t>
  </si>
  <si>
    <t xml:space="preserve">TAGTGGTCGTTGTTCATGATCAGC</t>
  </si>
  <si>
    <t xml:space="preserve">AAACGCTGATCATGAACAACGACC</t>
  </si>
  <si>
    <t xml:space="preserve">GGCGAGCCGGGTCGAGTACC</t>
  </si>
  <si>
    <t xml:space="preserve">TAGTGGCGAGCCGGGTCGAGTACC</t>
  </si>
  <si>
    <t xml:space="preserve">AAACGGTACTCGACCCGGCTCGCC</t>
  </si>
  <si>
    <t xml:space="preserve">GGTCATCCACCAGCAGGGGC</t>
  </si>
  <si>
    <t xml:space="preserve">TAGTGGTCATCCACCAGCAGGGGC</t>
  </si>
  <si>
    <t xml:space="preserve">AAACGCCCCTGCTGGTGGATGACC</t>
  </si>
  <si>
    <t xml:space="preserve">TGTCCTGAGCGATCGAGGCG</t>
  </si>
  <si>
    <t xml:space="preserve">TAGTTGTCCTGAGCGATCGAGGCG</t>
  </si>
  <si>
    <t xml:space="preserve">AAACCGCCTCGATCGCTCAGGACA</t>
  </si>
  <si>
    <t xml:space="preserve">PSPPH_4957</t>
  </si>
  <si>
    <t xml:space="preserve">TGAAAGCCAGGCGGGCGGAA</t>
  </si>
  <si>
    <t xml:space="preserve">TAGTTGAAAGCCAGGCGGGCGGAA</t>
  </si>
  <si>
    <t xml:space="preserve">AAACTTCCGCCCGCCTGGCTTTCA</t>
  </si>
  <si>
    <t xml:space="preserve">TGACCTTGTCGGTCAGTTTC</t>
  </si>
  <si>
    <t xml:space="preserve">TAGTTGACCTTGTCGGTCAGTTTC</t>
  </si>
  <si>
    <t xml:space="preserve">AAACGAAACTGACCGACAAGGTCA</t>
  </si>
  <si>
    <t xml:space="preserve">GGTTTTCACCTTGCCCAACG</t>
  </si>
  <si>
    <t xml:space="preserve">TAGTGGTTTTCACCTTGCCCAACG</t>
  </si>
  <si>
    <t xml:space="preserve">AAACCGTTGGGCAAGGTGAAAACC</t>
  </si>
  <si>
    <t xml:space="preserve">CGCGGCAAGGTCGCTGAAGC</t>
  </si>
  <si>
    <t xml:space="preserve">TAGTCGCGGCAAGGTCGCTGAAGC</t>
  </si>
  <si>
    <t xml:space="preserve">AAACGCTTCAGCGACCTTGCCGCG</t>
  </si>
  <si>
    <t xml:space="preserve">PSPPH_4958</t>
  </si>
  <si>
    <t xml:space="preserve">AGGCAGCCAGCGTTGGGCCA</t>
  </si>
  <si>
    <t xml:space="preserve">TAGTAGGCAGCCAGCGTTGGGCCA</t>
  </si>
  <si>
    <t xml:space="preserve">AAACTGGCCCAACGCTGGCTGCCT</t>
  </si>
  <si>
    <t xml:space="preserve">TCGATCGTGGGTTCAGCGCC</t>
  </si>
  <si>
    <t xml:space="preserve">TAGTTCGATCGTGGGTTCAGCGCC</t>
  </si>
  <si>
    <t xml:space="preserve">AAACGGCGCTGAACCCACGATCGA</t>
  </si>
  <si>
    <t xml:space="preserve">TTCGTCTTCAAGCCACTTGG</t>
  </si>
  <si>
    <t xml:space="preserve">TAGTTTCGTCTTCAAGCCACTTGG</t>
  </si>
  <si>
    <t xml:space="preserve">AAACCCAAGTGGCTTGAAGACGAA</t>
  </si>
  <si>
    <t xml:space="preserve">AGTGGAAATGCCGTTGGCGA</t>
  </si>
  <si>
    <t xml:space="preserve">TAGTAGTGGAAATGCCGTTGGCGA</t>
  </si>
  <si>
    <t xml:space="preserve">AAACTCGCCAACGGCATTTCCACT</t>
  </si>
  <si>
    <t xml:space="preserve">PSPPH_4959</t>
  </si>
  <si>
    <t xml:space="preserve">CACCTGCGGTGTCAGGTTGA</t>
  </si>
  <si>
    <t xml:space="preserve">TAGTCACCTGCGGTGTCAGGTTGA</t>
  </si>
  <si>
    <t xml:space="preserve">AAACTCAACCTGACACCGCAGGTG</t>
  </si>
  <si>
    <t xml:space="preserve">GGTCGTGGCGTTGAAGTACT</t>
  </si>
  <si>
    <t xml:space="preserve">TAGTGGTCGTGGCGTTGAAGTACT</t>
  </si>
  <si>
    <t xml:space="preserve">AAACAGTACTTCAACGCCACGACC</t>
  </si>
  <si>
    <t xml:space="preserve">CGGCGCGACCTTGTTGGCCT</t>
  </si>
  <si>
    <t xml:space="preserve">TAGTCGGCGCGACCTTGTTGGCCT</t>
  </si>
  <si>
    <t xml:space="preserve">AAACAGGCCAACAAGGTCGCGCCG</t>
  </si>
  <si>
    <t xml:space="preserve">CCCATCAGCAGGTTGTGGGC</t>
  </si>
  <si>
    <t xml:space="preserve">TAGTCCCATCAGCAGGTTGTGGGC</t>
  </si>
  <si>
    <t xml:space="preserve">AAACGCCCACAACCTGCTGATGGG</t>
  </si>
  <si>
    <t xml:space="preserve">PSPPH_4960</t>
  </si>
  <si>
    <t xml:space="preserve">TAACAGTTGCAGCGGGCTGA</t>
  </si>
  <si>
    <t xml:space="preserve">TAGTTAACAGTTGCAGCGGGCTGA</t>
  </si>
  <si>
    <t xml:space="preserve">AAACTCAGCCCGCTGCAACTGTTA</t>
  </si>
  <si>
    <t xml:space="preserve">GATGACGAGGCCGACGAACA</t>
  </si>
  <si>
    <t xml:space="preserve">TAGTGATGACGAGGCCGACGAACA</t>
  </si>
  <si>
    <t xml:space="preserve">AAACTGTTCGTCGGCCTCGTCATC</t>
  </si>
  <si>
    <t xml:space="preserve">CCGATCAAGCGCCCAATCGA</t>
  </si>
  <si>
    <t xml:space="preserve">TAGTCCGATCAAGCGCCCAATCGA</t>
  </si>
  <si>
    <t xml:space="preserve">AAACTCGATTGGGCGCTTGATCGG</t>
  </si>
  <si>
    <t xml:space="preserve">GCTGTTGCGCTCCTGGACGA</t>
  </si>
  <si>
    <t xml:space="preserve">TAGTGCTGTTGCGCTCCTGGACGA</t>
  </si>
  <si>
    <t xml:space="preserve">AAACTCGTCCAGGAGCGCAACAGC</t>
  </si>
  <si>
    <t xml:space="preserve">PSPPH_4961</t>
  </si>
  <si>
    <t xml:space="preserve">CGGCGGTAATCTTGACGCGC</t>
  </si>
  <si>
    <t xml:space="preserve">TAGTCGGCGGTAATCTTGACGCGC</t>
  </si>
  <si>
    <t xml:space="preserve">AAACGCGCGTCAAGATTACCGCCG</t>
  </si>
  <si>
    <t xml:space="preserve">GCTGCAGAGCAGCAGGAAGC</t>
  </si>
  <si>
    <t xml:space="preserve">TAGTGCTGCAGAGCAGCAGGAAGC</t>
  </si>
  <si>
    <t xml:space="preserve">AAACGCTTCCTGCTGCTCTGCAGC</t>
  </si>
  <si>
    <t xml:space="preserve">TTCCCAAGTGCCCAAGAAGG</t>
  </si>
  <si>
    <t xml:space="preserve">TAGTTTCCCAAGTGCCCAAGAAGG</t>
  </si>
  <si>
    <t xml:space="preserve">AAACCCTTCTTGGGCACTTGGGAA</t>
  </si>
  <si>
    <t xml:space="preserve">TGTCGGCATACACCACGTTC</t>
  </si>
  <si>
    <t xml:space="preserve">TAGTTGTCGGCATACACCACGTTC</t>
  </si>
  <si>
    <t xml:space="preserve">AAACGAACGTGGTGTATGCCGACA</t>
  </si>
  <si>
    <t xml:space="preserve">PSPPH_4962</t>
  </si>
  <si>
    <t xml:space="preserve">GAGCCTGCGCACGATCGAAC</t>
  </si>
  <si>
    <t xml:space="preserve">TAGTGAGCCTGCGCACGATCGAAC</t>
  </si>
  <si>
    <t xml:space="preserve">AAACGTTCGATCGTGCGCAGGCTC</t>
  </si>
  <si>
    <t xml:space="preserve">CCAACTGGGCCGCAATGGCC</t>
  </si>
  <si>
    <t xml:space="preserve">TAGTCCAACTGGGCCGCAATGGCC</t>
  </si>
  <si>
    <t xml:space="preserve">AAACGGCCATTGCGGCCCAGTTGG</t>
  </si>
  <si>
    <t xml:space="preserve">CGGCCCGCTCGCTCGCGGCT</t>
  </si>
  <si>
    <t xml:space="preserve">TAGTCGGCCCGCTCGCTCGCGGCT</t>
  </si>
  <si>
    <t xml:space="preserve">AAACAGCCGCGAGCGAGCGGGCCG</t>
  </si>
  <si>
    <t xml:space="preserve">TCCTGGCAATGGGTGAGGCT</t>
  </si>
  <si>
    <t xml:space="preserve">TAGTTCCTGGCAATGGGTGAGGCT</t>
  </si>
  <si>
    <t xml:space="preserve">AAACAGCCTCACCCATTGCCAGGA</t>
  </si>
  <si>
    <t xml:space="preserve">PSPPH_4963</t>
  </si>
  <si>
    <t xml:space="preserve">CCGCCAATTTTTGCGGCCAT</t>
  </si>
  <si>
    <t xml:space="preserve">TAGTCCGCCAATTTTTGCGGCCAT</t>
  </si>
  <si>
    <t xml:space="preserve">AAACATGGCCGCAAAAATTGGCGG</t>
  </si>
  <si>
    <t xml:space="preserve">GTCCGTGATATCGATAGTGC</t>
  </si>
  <si>
    <t xml:space="preserve">TAGTGTCCGTGATATCGATAGTGC</t>
  </si>
  <si>
    <t xml:space="preserve">AAACGCACTATCGATATCACGGAC</t>
  </si>
  <si>
    <t xml:space="preserve">CACACCCTTGGTCTGGGCCA</t>
  </si>
  <si>
    <t xml:space="preserve">TAGTCACACCCTTGGTCTGGGCCA</t>
  </si>
  <si>
    <t xml:space="preserve">AAACTGGCCCAGACCAAGGGTGTG</t>
  </si>
  <si>
    <t xml:space="preserve">TCGCCGTCGACGTGACCATT</t>
  </si>
  <si>
    <t xml:space="preserve">TAGTTCGCCGTCGACGTGACCATT</t>
  </si>
  <si>
    <t xml:space="preserve">AAACAATGGTCACGTCGACGGCGA</t>
  </si>
  <si>
    <t xml:space="preserve">PSPPH_4964</t>
  </si>
  <si>
    <t xml:space="preserve">CGCTTACGGCACCCTGGCCG</t>
  </si>
  <si>
    <t xml:space="preserve">TAGTCGCTTACGGCACCCTGGCCG</t>
  </si>
  <si>
    <t xml:space="preserve">AAACCGGCCAGGGTGCCGTAAGCG</t>
  </si>
  <si>
    <t xml:space="preserve">TGGCAGCGGGACCGATAAAT</t>
  </si>
  <si>
    <t xml:space="preserve">TAGTTGGCAGCGGGACCGATAAAT</t>
  </si>
  <si>
    <t xml:space="preserve">AAACATTTATCGGTCCCGCTGCCA</t>
  </si>
  <si>
    <t xml:space="preserve">GACCAGCTTGCCGACGTTCT</t>
  </si>
  <si>
    <t xml:space="preserve">TAGTGACCAGCTTGCCGACGTTCT</t>
  </si>
  <si>
    <t xml:space="preserve">AAACAGAACGTCGGCAAGCTGGTC</t>
  </si>
  <si>
    <t xml:space="preserve">GATCACTTTGGGTGTCCAAC</t>
  </si>
  <si>
    <t xml:space="preserve">TAGTGATCACTTTGGGTGTCCAAC</t>
  </si>
  <si>
    <t xml:space="preserve">AAACGTTGGACACCCAAAGTGATC</t>
  </si>
  <si>
    <t xml:space="preserve">PSPPH_4965</t>
  </si>
  <si>
    <t xml:space="preserve">CATCAAAGCCAGCAGGTCCT</t>
  </si>
  <si>
    <t xml:space="preserve">TAGTCATCAAAGCCAGCAGGTCCT</t>
  </si>
  <si>
    <t xml:space="preserve">AAACAGGACCTGCTGGCTTTGATG</t>
  </si>
  <si>
    <t xml:space="preserve">AGACGTCTGCGCTTGGGCGT</t>
  </si>
  <si>
    <t xml:space="preserve">TAGTAGACGTCTGCGCTTGGGCGT</t>
  </si>
  <si>
    <t xml:space="preserve">AAACACGCCCAAGCGCAGACGTCT</t>
  </si>
  <si>
    <t xml:space="preserve">GCTCAGACTGCGCACGCGCT</t>
  </si>
  <si>
    <t xml:space="preserve">TAGTGCTCAGACTGCGCACGCGCT</t>
  </si>
  <si>
    <t xml:space="preserve">AAACAGCGCGTGCGCAGTCTGAGC</t>
  </si>
  <si>
    <t xml:space="preserve">GCTGATTGCGGATCCGCTGG</t>
  </si>
  <si>
    <t xml:space="preserve">TAGTGCTGATTGCGGATCCGCTGG</t>
  </si>
  <si>
    <t xml:space="preserve">AAACCCAGCGGATCCGCAATCAGC</t>
  </si>
  <si>
    <t xml:space="preserve">PSPPH_4966</t>
  </si>
  <si>
    <t xml:space="preserve">TTGGCGCTCGAGCAGGTAGG</t>
  </si>
  <si>
    <t xml:space="preserve">TAGTTTGGCGCTCGAGCAGGTAGG</t>
  </si>
  <si>
    <t xml:space="preserve">AAACCCTACCTGCTCGAGCGCCAA</t>
  </si>
  <si>
    <t xml:space="preserve">GTCCAGCTGTCGAGCTGCTC</t>
  </si>
  <si>
    <t xml:space="preserve">TAGTGTCCAGCTGTCGAGCTGCTC</t>
  </si>
  <si>
    <t xml:space="preserve">AAACGAGCAGCTCGACAGCTGGAC</t>
  </si>
  <si>
    <t xml:space="preserve">CAGCTCGACCTGCACCTGGT</t>
  </si>
  <si>
    <t xml:space="preserve">TAGTCAGCTCGACCTGCACCTGGT</t>
  </si>
  <si>
    <t xml:space="preserve">AAACACCAGGTGCAGGTCGAGCTG</t>
  </si>
  <si>
    <t xml:space="preserve">ATGTGCATGCCTTGGGTGTC</t>
  </si>
  <si>
    <t xml:space="preserve">TAGTATGTGCATGCCTTGGGTGTC</t>
  </si>
  <si>
    <t xml:space="preserve">AAACGACACCCAAGGCATGCACAT</t>
  </si>
  <si>
    <t xml:space="preserve">PSPPH_4967</t>
  </si>
  <si>
    <t xml:space="preserve">CACAAAGGTGGTGGGTTTCC</t>
  </si>
  <si>
    <t xml:space="preserve">TAGTCACAAAGGTGGTGGGTTTCC</t>
  </si>
  <si>
    <t xml:space="preserve">AAACGGAAACCCACCACCTTTGTG</t>
  </si>
  <si>
    <t xml:space="preserve">AACTCGGTCACAGAGAGATC</t>
  </si>
  <si>
    <t xml:space="preserve">TAGTAACTCGGTCACAGAGAGATC</t>
  </si>
  <si>
    <t xml:space="preserve">AAACGATCTCTCTGTGACCGAGTT</t>
  </si>
  <si>
    <t xml:space="preserve">CCAGGTACTCCGCCGGCAGG</t>
  </si>
  <si>
    <t xml:space="preserve">TAGTCCAGGTACTCCGCCGGCAGG</t>
  </si>
  <si>
    <t xml:space="preserve">AAACCCTGCCGGCGGAGTACCTGG</t>
  </si>
  <si>
    <t xml:space="preserve">CATGGCCATGGTCAGATCGG</t>
  </si>
  <si>
    <t xml:space="preserve">TAGTCATGGCCATGGTCAGATCGG</t>
  </si>
  <si>
    <t xml:space="preserve">AAACCCGATCTGACCATGGCCATG</t>
  </si>
  <si>
    <t xml:space="preserve">PSPPH_4969</t>
  </si>
  <si>
    <t xml:space="preserve">CACCTTTTGACCTTTGATCT</t>
  </si>
  <si>
    <t xml:space="preserve">TAGTCACCTTTTGACCTTTGATCT</t>
  </si>
  <si>
    <t xml:space="preserve">AAACAGATCAAAGGTCAAAAGGTG</t>
  </si>
  <si>
    <t xml:space="preserve">TCACAGGACCCGACACGCCC</t>
  </si>
  <si>
    <t xml:space="preserve">TAGTTCACAGGACCCGACACGCCC</t>
  </si>
  <si>
    <t xml:space="preserve">AAACGGGCGTGTCGGGTCCTGTGA</t>
  </si>
  <si>
    <t xml:space="preserve">GGTCTTGGTGTTGGTGCGAC</t>
  </si>
  <si>
    <t xml:space="preserve">TAGTGGTCTTGGTGTTGGTGCGAC</t>
  </si>
  <si>
    <t xml:space="preserve">AAACGTCGCACCAACACCAAGACC</t>
  </si>
  <si>
    <t xml:space="preserve">ATCCTTGGCTTCACGATCAG</t>
  </si>
  <si>
    <t xml:space="preserve">TAGTATCCTTGGCTTCACGATCAG</t>
  </si>
  <si>
    <t xml:space="preserve">AAACCTGATCGTGAAGCCAAGGAT</t>
  </si>
  <si>
    <t xml:space="preserve">PSPPH_4970</t>
  </si>
  <si>
    <t xml:space="preserve">CTTATGGGTCGCCATGGCGC</t>
  </si>
  <si>
    <t xml:space="preserve">TAGTCTTATGGGTCGCCATGGCGC</t>
  </si>
  <si>
    <t xml:space="preserve">AAACGCGCCATGGCGACCCATAAG</t>
  </si>
  <si>
    <t xml:space="preserve">GGCGCTAGGCGTGGAGAAAT</t>
  </si>
  <si>
    <t xml:space="preserve">TAGTGGCGCTAGGCGTGGAGAAAT</t>
  </si>
  <si>
    <t xml:space="preserve">AAACATTTCTCCACGCCTAGCGCC</t>
  </si>
  <si>
    <t xml:space="preserve">CGGGTACGCCTGATGCGATA</t>
  </si>
  <si>
    <t xml:space="preserve">TAGTCGGGTACGCCTGATGCGATA</t>
  </si>
  <si>
    <t xml:space="preserve">AAACTATCGCATCAGGCGTACCCG</t>
  </si>
  <si>
    <t xml:space="preserve">AATTTCTCACCCTGCCAGAA</t>
  </si>
  <si>
    <t xml:space="preserve">TAGTAATTTCTCACCCTGCCAGAA</t>
  </si>
  <si>
    <t xml:space="preserve">AAACTTCTGGCAGGGTGAGAAATT</t>
  </si>
  <si>
    <t xml:space="preserve">PSPPH_4971</t>
  </si>
  <si>
    <t xml:space="preserve">CTGCTTCGTCGCGCTGCCAT</t>
  </si>
  <si>
    <t xml:space="preserve">TAGTCTGCTTCGTCGCGCTGCCAT</t>
  </si>
  <si>
    <t xml:space="preserve">AAACATGGCAGCGCGACGAAGCAG</t>
  </si>
  <si>
    <t xml:space="preserve">GACGCTACGGCCGTTGTAAG</t>
  </si>
  <si>
    <t xml:space="preserve">TAGTGACGCTACGGCCGTTGTAAG</t>
  </si>
  <si>
    <t xml:space="preserve">AAACCTTACAACGGCCGTAGCGTC</t>
  </si>
  <si>
    <t xml:space="preserve">TGTTCTTCACCCCGGTCGAC</t>
  </si>
  <si>
    <t xml:space="preserve">TAGTTGTTCTTCACCCCGGTCGAC</t>
  </si>
  <si>
    <t xml:space="preserve">AAACGTCGACCGGGGTGAAGAACA</t>
  </si>
  <si>
    <t xml:space="preserve">ACAAAAGCACCGCGGAACGG</t>
  </si>
  <si>
    <t xml:space="preserve">TAGTACAAAAGCACCGCGGAACGG</t>
  </si>
  <si>
    <t xml:space="preserve">AAACCCGTTCCGCGGTGCTTTTGT</t>
  </si>
  <si>
    <t xml:space="preserve">PSPPH_4972</t>
  </si>
  <si>
    <t xml:space="preserve">CCTTTGGATCGCTGCTGCTT</t>
  </si>
  <si>
    <t xml:space="preserve">TAGTCCTTTGGATCGCTGCTGCTT</t>
  </si>
  <si>
    <t xml:space="preserve">AAACAAGCAGCAGCGATCCAAAGG</t>
  </si>
  <si>
    <t xml:space="preserve">ATAGTCAGCAGGTTTGGGGA</t>
  </si>
  <si>
    <t xml:space="preserve">TAGTATAGTCAGCAGGTTTGGGGA</t>
  </si>
  <si>
    <t xml:space="preserve">AAACTCCCCAAACCTGCTGACTAT</t>
  </si>
  <si>
    <t xml:space="preserve">CCTGCGGAGTCTTGTGCACT</t>
  </si>
  <si>
    <t xml:space="preserve">TAGTCCTGCGGAGTCTTGTGCACT</t>
  </si>
  <si>
    <t xml:space="preserve">AAACAGTGCACAAGACTCCGCAGG</t>
  </si>
  <si>
    <t xml:space="preserve">GGGTCGTGGCCTGTGTGGCC</t>
  </si>
  <si>
    <t xml:space="preserve">TAGTGGGTCGTGGCCTGTGTGGCC</t>
  </si>
  <si>
    <t xml:space="preserve">AAACGGCCACACAGGCCACGACCC</t>
  </si>
  <si>
    <t xml:space="preserve">PSPPH_4973</t>
  </si>
  <si>
    <t xml:space="preserve">CGGCCTGGTCTATGTGTTGG</t>
  </si>
  <si>
    <t xml:space="preserve">TAGTCGGCCTGGTCTATGTGTTGG</t>
  </si>
  <si>
    <t xml:space="preserve">AAACCCAACACATAGACCAGGCCG</t>
  </si>
  <si>
    <t xml:space="preserve">ACGGCTTGCCCAGCCTGGTC</t>
  </si>
  <si>
    <t xml:space="preserve">TAGTACGGCTTGCCCAGCCTGGTC</t>
  </si>
  <si>
    <t xml:space="preserve">AAACGACCAGGCTGGGCAAGCCGT</t>
  </si>
  <si>
    <t xml:space="preserve">AATCCGCTGGATCAGTGCTG</t>
  </si>
  <si>
    <t xml:space="preserve">TAGTAATCCGCTGGATCAGTGCTG</t>
  </si>
  <si>
    <t xml:space="preserve">AAACCAGCACTGATCCAGCGGATT</t>
  </si>
  <si>
    <t xml:space="preserve">ACGGCGTGCCTTCGTCGGCC</t>
  </si>
  <si>
    <t xml:space="preserve">TAGTACGGCGTGCCTTCGTCGGCC</t>
  </si>
  <si>
    <t xml:space="preserve">AAACGGCCGACGAAGGCACGCCGT</t>
  </si>
  <si>
    <t xml:space="preserve">PSPPH_4974</t>
  </si>
  <si>
    <t xml:space="preserve">TTTTGTTCGGAAAAAATCAA</t>
  </si>
  <si>
    <t xml:space="preserve">TAGTTTTTGTTCGGAAAAAATCAA</t>
  </si>
  <si>
    <t xml:space="preserve">AAACTTGATTTTTTCCGAACAAAA</t>
  </si>
  <si>
    <t xml:space="preserve">CAAAAAGAAAGCCGCCATCT</t>
  </si>
  <si>
    <t xml:space="preserve">TAGTCAAAAAGAAAGCCGCCATCT</t>
  </si>
  <si>
    <t xml:space="preserve">AAACAGATGGCGGCTTTCTTTTTG</t>
  </si>
  <si>
    <t xml:space="preserve">TATGAGCCATCGGAGCTTCA</t>
  </si>
  <si>
    <t xml:space="preserve">TAGTTATGAGCCATCGGAGCTTCA</t>
  </si>
  <si>
    <t xml:space="preserve">AAACTGAAGCTCCGATGGCTCATA</t>
  </si>
  <si>
    <t xml:space="preserve">CGTAGCGCTCCATACTCAAA</t>
  </si>
  <si>
    <t xml:space="preserve">TAGTCGTAGCGCTCCATACTCAAA</t>
  </si>
  <si>
    <t xml:space="preserve">AAACTTTGAGTATGGAGCGCTACG</t>
  </si>
  <si>
    <t xml:space="preserve">PSPPH_4975</t>
  </si>
  <si>
    <t xml:space="preserve">TGCTGAAATACAGTCCATTG</t>
  </si>
  <si>
    <t xml:space="preserve">TAGTTGCTGAAATACAGTCCATTG</t>
  </si>
  <si>
    <t xml:space="preserve">AAACCAATGGACTGTATTTCAGCA</t>
  </si>
  <si>
    <t xml:space="preserve">ACCACGTGGAGATGCGGGAC</t>
  </si>
  <si>
    <t xml:space="preserve">TAGTACCACGTGGAGATGCGGGAC</t>
  </si>
  <si>
    <t xml:space="preserve">AAACGTCCCGCATCTCCACGTGGT</t>
  </si>
  <si>
    <t xml:space="preserve">TTGATTTCGCCACAGTGAAC</t>
  </si>
  <si>
    <t xml:space="preserve">TAGTTTGATTTCGCCACAGTGAAC</t>
  </si>
  <si>
    <t xml:space="preserve">AAACGTTCACTGTGGCGAAATCAA</t>
  </si>
  <si>
    <t xml:space="preserve">GATCGTGGAACGCCCCCTGC</t>
  </si>
  <si>
    <t xml:space="preserve">TAGTGATCGTGGAACGCCCCCTGC</t>
  </si>
  <si>
    <t xml:space="preserve">AAACGCAGGGGGCGTTCCACGATC</t>
  </si>
  <si>
    <t xml:space="preserve">PSPPH_4976</t>
  </si>
  <si>
    <t xml:space="preserve">GCTACTCATTATTGCTCCCG</t>
  </si>
  <si>
    <t xml:space="preserve">TAGTGCTACTCATTATTGCTCCCG</t>
  </si>
  <si>
    <t xml:space="preserve">AAACCGGGAGCAATAATGAGTAGC</t>
  </si>
  <si>
    <t xml:space="preserve">GCTCGCGCAACGATTGCAAT</t>
  </si>
  <si>
    <t xml:space="preserve">TAGTGCTCGCGCAACGATTGCAAT</t>
  </si>
  <si>
    <t xml:space="preserve">AAACATTGCAATCGTTGCGCGAGC</t>
  </si>
  <si>
    <t xml:space="preserve">ATTGTTCCCCACTCCTCCCA</t>
  </si>
  <si>
    <t xml:space="preserve">TAGTATTGTTCCCCACTCCTCCCA</t>
  </si>
  <si>
    <t xml:space="preserve">AAACTGGGAGGAGTGGGGAACAAT</t>
  </si>
  <si>
    <t xml:space="preserve">CTACTTTGAATAAAACGCTC</t>
  </si>
  <si>
    <t xml:space="preserve">TAGTCTACTTTGAATAAAACGCTC</t>
  </si>
  <si>
    <t xml:space="preserve">AAACGAGCGTTTTATTCAAAGTAG</t>
  </si>
  <si>
    <t xml:space="preserve">PSPPH_4977</t>
  </si>
  <si>
    <t xml:space="preserve">GCAATTTGCTGAATCTCGAT</t>
  </si>
  <si>
    <t xml:space="preserve">TAGTGCAATTTGCTGAATCTCGAT</t>
  </si>
  <si>
    <t xml:space="preserve">AAACATCGAGATTCAGCAAATTGC</t>
  </si>
  <si>
    <t xml:space="preserve">AGGCAAGAACCTGTGAGGGC</t>
  </si>
  <si>
    <t xml:space="preserve">TAGTAGGCAAGAACCTGTGAGGGC</t>
  </si>
  <si>
    <t xml:space="preserve">AAACGCCCTCACAGGTTCTTGCCT</t>
  </si>
  <si>
    <t xml:space="preserve">TGCAACCGCCTCCTCCTCCA</t>
  </si>
  <si>
    <t xml:space="preserve">TAGTTGCAACCGCCTCCTCCTCCA</t>
  </si>
  <si>
    <t xml:space="preserve">AAACTGGAGGAGGAGGCGGTTGCA</t>
  </si>
  <si>
    <t xml:space="preserve">CGGAGTGCCATTCTGAAATC</t>
  </si>
  <si>
    <t xml:space="preserve">TAGTCGGAGTGCCATTCTGAAATC</t>
  </si>
  <si>
    <t xml:space="preserve">AAACGATTTCAGAATGGCACTCCG</t>
  </si>
  <si>
    <t xml:space="preserve">PSPPH_4978</t>
  </si>
  <si>
    <t xml:space="preserve">CTTCCTCCACGCGCCGTAAA</t>
  </si>
  <si>
    <t xml:space="preserve">TAGTCTTCCTCCACGCGCCGTAAA</t>
  </si>
  <si>
    <t xml:space="preserve">AAACTTTACGGCGCGTGGAGGAAG</t>
  </si>
  <si>
    <t xml:space="preserve">GTCTCGTTTTATTTCGTCGG</t>
  </si>
  <si>
    <t xml:space="preserve">TAGTGTCTCGTTTTATTTCGTCGG</t>
  </si>
  <si>
    <t xml:space="preserve">AAACCCGACGAAATAAAACGAGAC</t>
  </si>
  <si>
    <t xml:space="preserve">TGAATTTCAACCAAAGAGTC</t>
  </si>
  <si>
    <t xml:space="preserve">TAGTTGAATTTCAACCAAAGAGTC</t>
  </si>
  <si>
    <t xml:space="preserve">AAACGACTCTTTGGTTGAAATTCA</t>
  </si>
  <si>
    <t xml:space="preserve">AGTGAATGTCTGCTTTGATA</t>
  </si>
  <si>
    <t xml:space="preserve">TAGTAGTGAATGTCTGCTTTGATA</t>
  </si>
  <si>
    <t xml:space="preserve">AAACTATCAAAGCAGACATTCACT</t>
  </si>
  <si>
    <t xml:space="preserve">PSPPH_4979</t>
  </si>
  <si>
    <t xml:space="preserve">CTGCGGTAATCCACCCAGCT</t>
  </si>
  <si>
    <t xml:space="preserve">TAGTCTGCGGTAATCCACCCAGCT</t>
  </si>
  <si>
    <t xml:space="preserve">AAACAGCTGGGTGGATTACCGCAG</t>
  </si>
  <si>
    <t xml:space="preserve">ATAGAGGGGAAAACATCCGC</t>
  </si>
  <si>
    <t xml:space="preserve">TAGTATAGAGGGGAAAACATCCGC</t>
  </si>
  <si>
    <t xml:space="preserve">AAACGCGGATGTTTTCCCCTCTAT</t>
  </si>
  <si>
    <t xml:space="preserve">TGGCCAAAGATGTTCCAAAT</t>
  </si>
  <si>
    <t xml:space="preserve">TAGTTGGCCAAAGATGTTCCAAAT</t>
  </si>
  <si>
    <t xml:space="preserve">AAACATTTGGAACATCTTTGGCCA</t>
  </si>
  <si>
    <t xml:space="preserve">ATTGATCCGGTCAATCCCTT</t>
  </si>
  <si>
    <t xml:space="preserve">TAGTATTGATCCGGTCAATCCCTT</t>
  </si>
  <si>
    <t xml:space="preserve">AAACAAGGGATTGACCGGATCAAT</t>
  </si>
  <si>
    <t xml:space="preserve">PSPPH_4980</t>
  </si>
  <si>
    <t xml:space="preserve">CAGTTCCACCCAGCCTTTGT</t>
  </si>
  <si>
    <t xml:space="preserve">TAGTCAGTTCCACCCAGCCTTTGT</t>
  </si>
  <si>
    <t xml:space="preserve">AAACACAAAGGCTGGGTGGAACTG</t>
  </si>
  <si>
    <t xml:space="preserve">CTGAACCGCGTCGTAATGGT</t>
  </si>
  <si>
    <t xml:space="preserve">TAGTCTGAACCGCGTCGTAATGGT</t>
  </si>
  <si>
    <t xml:space="preserve">AAACACCATTACGACGCGGTTCAG</t>
  </si>
  <si>
    <t xml:space="preserve">CGCGCCGCCGCTAGAGCTGG</t>
  </si>
  <si>
    <t xml:space="preserve">TAGTCGCGCCGCCGCTAGAGCTGG</t>
  </si>
  <si>
    <t xml:space="preserve">AAACCCAGCTCTAGCGGCGGCGCG</t>
  </si>
  <si>
    <t xml:space="preserve">ATTTTTCTGTGCCCGCCCGA</t>
  </si>
  <si>
    <t xml:space="preserve">TAGTATTTTTCTGTGCCCGCCCGA</t>
  </si>
  <si>
    <t xml:space="preserve">AAACTCGGGCGGGCACAGAAAAAT</t>
  </si>
  <si>
    <t xml:space="preserve">PSPPH_4981</t>
  </si>
  <si>
    <t xml:space="preserve">GTGGGACTACCATTGGACTC</t>
  </si>
  <si>
    <t xml:space="preserve">TAGTGTGGGACTACCATTGGACTC</t>
  </si>
  <si>
    <t xml:space="preserve">AAACGAGTCCAATGGTAGTCCCAC</t>
  </si>
  <si>
    <t xml:space="preserve">CGCCCTCCACCGAACCGTGC</t>
  </si>
  <si>
    <t xml:space="preserve">TAGTCGCCCTCCACCGAACCGTGC</t>
  </si>
  <si>
    <t xml:space="preserve">AAACGCACGGTTCGGTGGAGGGCG</t>
  </si>
  <si>
    <t xml:space="preserve">GCCAAGTATCTTTGAAGCGC</t>
  </si>
  <si>
    <t xml:space="preserve">TAGTGCCAAGTATCTTTGAAGCGC</t>
  </si>
  <si>
    <t xml:space="preserve">AAACGCGCTTCAAAGATACTTGGC</t>
  </si>
  <si>
    <t xml:space="preserve">AACAGGAAGCGAATACTTTG</t>
  </si>
  <si>
    <t xml:space="preserve">TAGTAACAGGAAGCGAATACTTTG</t>
  </si>
  <si>
    <t xml:space="preserve">AAACCAAAGTATTCGCTTCCTGTT</t>
  </si>
  <si>
    <t xml:space="preserve">PSPPH_4982</t>
  </si>
  <si>
    <t xml:space="preserve">TGTCGTTCAAGACTTCAACG</t>
  </si>
  <si>
    <t xml:space="preserve">TAGTTGTCGTTCAAGACTTCAACG</t>
  </si>
  <si>
    <t xml:space="preserve">AAACCGTTGAAGTCTTGAACGACA</t>
  </si>
  <si>
    <t xml:space="preserve">CGACGCGATACAGCGTCACC</t>
  </si>
  <si>
    <t xml:space="preserve">TAGTCGACGCGATACAGCGTCACC</t>
  </si>
  <si>
    <t xml:space="preserve">AAACGGTGACGCTGTATCGCGTCG</t>
  </si>
  <si>
    <t xml:space="preserve">GGACGTCGGTAAGGGTTTCG</t>
  </si>
  <si>
    <t xml:space="preserve">TAGTGGACGTCGGTAAGGGTTTCG</t>
  </si>
  <si>
    <t xml:space="preserve">AAACCGAAACCCTTACCGACGTCC</t>
  </si>
  <si>
    <t xml:space="preserve">AGAAGAAACGTGCCGCGCGC</t>
  </si>
  <si>
    <t xml:space="preserve">TAGTAGAAGAAACGTGCCGCGCGC</t>
  </si>
  <si>
    <t xml:space="preserve">AAACGCGCGCGGCACGTTTCTTCT</t>
  </si>
  <si>
    <t xml:space="preserve">PSPPH_4983</t>
  </si>
  <si>
    <t xml:space="preserve">GCCGCCATCTGAATCCGCAC</t>
  </si>
  <si>
    <t xml:space="preserve">TAGTGCCGCCATCTGAATCCGCAC</t>
  </si>
  <si>
    <t xml:space="preserve">AAACGTGCGGATTCAGATGGCGGC</t>
  </si>
  <si>
    <t xml:space="preserve">GCCCCCTTCGCCAGAAGCAT</t>
  </si>
  <si>
    <t xml:space="preserve">TAGTGCCCCCTTCGCCAGAAGCAT</t>
  </si>
  <si>
    <t xml:space="preserve">AAACATGCTTCTGGCGAAGGGGGC</t>
  </si>
  <si>
    <t xml:space="preserve">TCACCACGAAGACGCGCTGC</t>
  </si>
  <si>
    <t xml:space="preserve">TAGTTCACCACGAAGACGCGCTGC</t>
  </si>
  <si>
    <t xml:space="preserve">AAACGCAGCGCGTCTTCGTGGTGA</t>
  </si>
  <si>
    <t xml:space="preserve">CGATCCGGCACCTATCTCCG</t>
  </si>
  <si>
    <t xml:space="preserve">TAGTCGATCCGGCACCTATCTCCG</t>
  </si>
  <si>
    <t xml:space="preserve">AAACCGGAGATAGGTGCCGGATCG</t>
  </si>
  <si>
    <t xml:space="preserve">PSPPH_4984</t>
  </si>
  <si>
    <t xml:space="preserve">ACGGTTTGCCCAGCCGGGTA</t>
  </si>
  <si>
    <t xml:space="preserve">TAGTACGGTTTGCCCAGCCGGGTA</t>
  </si>
  <si>
    <t xml:space="preserve">AAACTACCCGGCTGGGCAAACCGT</t>
  </si>
  <si>
    <t xml:space="preserve">CTTGGTGTTCCGGCAAACGC</t>
  </si>
  <si>
    <t xml:space="preserve">TAGTCTTGGTGTTCCGGCAAACGC</t>
  </si>
  <si>
    <t xml:space="preserve">AAACGCGTTTGCCGGAACACCAAG</t>
  </si>
  <si>
    <t xml:space="preserve">AGCGACCGAATGCCAGCGCA</t>
  </si>
  <si>
    <t xml:space="preserve">TAGTAGCGACCGAATGCCAGCGCA</t>
  </si>
  <si>
    <t xml:space="preserve">AAACTGCGCTGGCATTCGGTCGCT</t>
  </si>
  <si>
    <t xml:space="preserve">CAGCTCGTGGGCGTCGGTCA</t>
  </si>
  <si>
    <t xml:space="preserve">TAGTCAGCTCGTGGGCGTCGGTCA</t>
  </si>
  <si>
    <t xml:space="preserve">AAACTGACCGACGCCCACGAGCTG</t>
  </si>
  <si>
    <t xml:space="preserve">PSPPH_4985</t>
  </si>
  <si>
    <t xml:space="preserve">GATTTTCAAATACGCGTCAA</t>
  </si>
  <si>
    <t xml:space="preserve">TAGTGATTTTCAAATACGCGTCAA</t>
  </si>
  <si>
    <t xml:space="preserve">AAACTTGACGCGTATTTGAAAATC</t>
  </si>
  <si>
    <t xml:space="preserve">TGAGCGTCAAGAGCTTCACC</t>
  </si>
  <si>
    <t xml:space="preserve">TAGTTGAGCGTCAAGAGCTTCACC</t>
  </si>
  <si>
    <t xml:space="preserve">AAACGGTGAAGCTCTTGACGCTCA</t>
  </si>
  <si>
    <t xml:space="preserve">AGGCGGACTGGCTTGCTCCT</t>
  </si>
  <si>
    <t xml:space="preserve">TAGTAGGCGGACTGGCTTGCTCCT</t>
  </si>
  <si>
    <t xml:space="preserve">AAACAGGAGCAAGCCAGTCCGCCT</t>
  </si>
  <si>
    <t xml:space="preserve">TGCACTGGTCGCCGTGACAG</t>
  </si>
  <si>
    <t xml:space="preserve">TAGTTGCACTGGTCGCCGTGACAG</t>
  </si>
  <si>
    <t xml:space="preserve">AAACCTGTCACGGCGACCAGTGCA</t>
  </si>
  <si>
    <t xml:space="preserve">PSPPH_4986</t>
  </si>
  <si>
    <t xml:space="preserve">TCTATTGATTGGGTGTCCAT</t>
  </si>
  <si>
    <t xml:space="preserve">TAGTTCTATTGATTGGGTGTCCAT</t>
  </si>
  <si>
    <t xml:space="preserve">AAACATGGACACCCAATCAATAGA</t>
  </si>
  <si>
    <t xml:space="preserve">AGTGCAGTACGCTACTTTGT</t>
  </si>
  <si>
    <t xml:space="preserve">TAGTAGTGCAGTACGCTACTTTGT</t>
  </si>
  <si>
    <t xml:space="preserve">AAACACAAAGTAGCGTACTGCACT</t>
  </si>
  <si>
    <t xml:space="preserve">ACTTCAGCTGGCTCATCGGC</t>
  </si>
  <si>
    <t xml:space="preserve">TAGTACTTCAGCTGGCTCATCGGC</t>
  </si>
  <si>
    <t xml:space="preserve">AAACGCCGATGAGCCAGCTGAAGT</t>
  </si>
  <si>
    <t xml:space="preserve">ACCCACTGCAGCAGGATCGT</t>
  </si>
  <si>
    <t xml:space="preserve">TAGTACCCACTGCAGCAGGATCGT</t>
  </si>
  <si>
    <t xml:space="preserve">AAACACGATCCTGCTGCAGTGGGT</t>
  </si>
  <si>
    <t xml:space="preserve">PSPPH_4989</t>
  </si>
  <si>
    <t xml:space="preserve">ATGCTGCGGCTGCCGGCAGC</t>
  </si>
  <si>
    <t xml:space="preserve">TAGTATGCTGCGGCTGCCGGCAGC</t>
  </si>
  <si>
    <t xml:space="preserve">AAACGCTGCCGGCAGCCGCAGCAT</t>
  </si>
  <si>
    <t xml:space="preserve">PSPPH_4991</t>
  </si>
  <si>
    <t xml:space="preserve">GGTATATTTTGCATCCTGTA</t>
  </si>
  <si>
    <t xml:space="preserve">TAGTGGTATATTTTGCATCCTGTA</t>
  </si>
  <si>
    <t xml:space="preserve">AAACTACAGGATGCAAAATATACC</t>
  </si>
  <si>
    <t xml:space="preserve">TCTAGCGTCCGTACGATACG</t>
  </si>
  <si>
    <t xml:space="preserve">TAGTTCTAGCGTCCGTACGATACG</t>
  </si>
  <si>
    <t xml:space="preserve">AAACCGTATCGTACGGACGCTAGA</t>
  </si>
  <si>
    <t xml:space="preserve">ATGTTATCTCGTTGTGCTTC</t>
  </si>
  <si>
    <t xml:space="preserve">TAGTATGTTATCTCGTTGTGCTTC</t>
  </si>
  <si>
    <t xml:space="preserve">AAACGAAGCACAACGAGATAACAT</t>
  </si>
  <si>
    <t xml:space="preserve">GCCTTCGAGCTCCGCATCAA</t>
  </si>
  <si>
    <t xml:space="preserve">TAGTGCCTTCGAGCTCCGCATCAA</t>
  </si>
  <si>
    <t xml:space="preserve">AAACTTGATGCGGAGCTCGAAGGC</t>
  </si>
  <si>
    <t xml:space="preserve">PSPPH_4992</t>
  </si>
  <si>
    <t xml:space="preserve">TAACGAGACTTTCCACCACA</t>
  </si>
  <si>
    <t xml:space="preserve">TAGTTAACGAGACTTTCCACCACA</t>
  </si>
  <si>
    <t xml:space="preserve">AAACTGTGGTGGAAAGTCTCGTTA</t>
  </si>
  <si>
    <t xml:space="preserve">CCGCGAAGTGACCTTGAGTC</t>
  </si>
  <si>
    <t xml:space="preserve">TAGTCCGCGAAGTGACCTTGAGTC</t>
  </si>
  <si>
    <t xml:space="preserve">AAACGACTCAAGGTCACTTCGCGG</t>
  </si>
  <si>
    <t xml:space="preserve">GGCCTCCCACAGTGTGTCCC</t>
  </si>
  <si>
    <t xml:space="preserve">TAGTGGCCTCCCACAGTGTGTCCC</t>
  </si>
  <si>
    <t xml:space="preserve">AAACGGGACACACTGTGGGAGGCC</t>
  </si>
  <si>
    <t xml:space="preserve">GTCGTTCCAGGGTAGTTTGC</t>
  </si>
  <si>
    <t xml:space="preserve">TAGTGTCGTTCCAGGGTAGTTTGC</t>
  </si>
  <si>
    <t xml:space="preserve">AAACGCAAACTACCCTGGAACGAC</t>
  </si>
  <si>
    <t xml:space="preserve">PSPPH_4993</t>
  </si>
  <si>
    <t xml:space="preserve">AAATCAAGTGCTCCCGCTGC</t>
  </si>
  <si>
    <t xml:space="preserve">TAGTAAATCAAGTGCTCCCGCTGC</t>
  </si>
  <si>
    <t xml:space="preserve">AAACGCAGCGGGAGCACTTGATTT</t>
  </si>
  <si>
    <t xml:space="preserve">TGTTGAAAGACTACCGATGC</t>
  </si>
  <si>
    <t xml:space="preserve">TAGTTGTTGAAAGACTACCGATGC</t>
  </si>
  <si>
    <t xml:space="preserve">AAACGCATCGGTAGTCTTTCAACA</t>
  </si>
  <si>
    <t xml:space="preserve">TTTTTATTGGGCGAAGCACA</t>
  </si>
  <si>
    <t xml:space="preserve">TAGTTTTTTATTGGGCGAAGCACA</t>
  </si>
  <si>
    <t xml:space="preserve">AAACTGTGCTTCGCCCAATAAAAA</t>
  </si>
  <si>
    <t xml:space="preserve">CCCCAAACCCCGCCCAGGCG</t>
  </si>
  <si>
    <t xml:space="preserve">TAGTCCCCAAACCCCGCCCAGGCG</t>
  </si>
  <si>
    <t xml:space="preserve">AAACCGCCTGGGCGGGGTTTGGGG</t>
  </si>
  <si>
    <t xml:space="preserve">PSPPH_4994</t>
  </si>
  <si>
    <t xml:space="preserve">GCTTACAGCAGAGCTGCTAG</t>
  </si>
  <si>
    <t xml:space="preserve">TAGTGCTTACAGCAGAGCTGCTAG</t>
  </si>
  <si>
    <t xml:space="preserve">AAACCTAGCAGCTCTGCTGTAAGC</t>
  </si>
  <si>
    <t xml:space="preserve">CTAGAGGACTATTTTTGAGC</t>
  </si>
  <si>
    <t xml:space="preserve">TAGTCTAGAGGACTATTTTTGAGC</t>
  </si>
  <si>
    <t xml:space="preserve">AAACGCTCAAAAATAGTCCTCTAG</t>
  </si>
  <si>
    <t xml:space="preserve">TCGGCGCGGGACCAGACAGT</t>
  </si>
  <si>
    <t xml:space="preserve">TAGTTCGGCGCGGGACCAGACAGT</t>
  </si>
  <si>
    <t xml:space="preserve">AAACACTGTCTGGTCCCGCGCCGA</t>
  </si>
  <si>
    <t xml:space="preserve">CCAGTGGCTGCGTGGTGGTC</t>
  </si>
  <si>
    <t xml:space="preserve">TAGTCCAGTGGCTGCGTGGTGGTC</t>
  </si>
  <si>
    <t xml:space="preserve">AAACGACCACCACGCAGCCACTGG</t>
  </si>
  <si>
    <t xml:space="preserve">PSPPH_4995</t>
  </si>
  <si>
    <t xml:space="preserve">TCGCGACCCAAGTCGCCTTG</t>
  </si>
  <si>
    <t xml:space="preserve">TAGTTCGCGACCCAAGTCGCCTTG</t>
  </si>
  <si>
    <t xml:space="preserve">AAACCAAGGCGACTTGGGTCGCGA</t>
  </si>
  <si>
    <t xml:space="preserve">ATGGCCACAGATGAGACTGA</t>
  </si>
  <si>
    <t xml:space="preserve">TAGTATGGCCACAGATGAGACTGA</t>
  </si>
  <si>
    <t xml:space="preserve">AAACTCAGTCTCATCTGTGGCCAT</t>
  </si>
  <si>
    <t xml:space="preserve">CACAATTTCATCAAGAATGC</t>
  </si>
  <si>
    <t xml:space="preserve">TAGTCACAATTTCATCAAGAATGC</t>
  </si>
  <si>
    <t xml:space="preserve">AAACGCATTCTTGATGAAATTGTG</t>
  </si>
  <si>
    <t xml:space="preserve">GGGAACAACCTGGAATATGA</t>
  </si>
  <si>
    <t xml:space="preserve">TAGTGGGAACAACCTGGAATATGA</t>
  </si>
  <si>
    <t xml:space="preserve">AAACTCATATTCCAGGTTGTTCCC</t>
  </si>
  <si>
    <t xml:space="preserve">PSPPH_4996</t>
  </si>
  <si>
    <t xml:space="preserve">CAGGCTCAAAAGTAAATAGC</t>
  </si>
  <si>
    <t xml:space="preserve">TAGTCAGGCTCAAAAGTAAATAGC</t>
  </si>
  <si>
    <t xml:space="preserve">AAACGCTATTTACTTTTGAGCCTG</t>
  </si>
  <si>
    <t xml:space="preserve">GCGGTTCCAGAAGATTCAGC</t>
  </si>
  <si>
    <t xml:space="preserve">TAGTGCGGTTCCAGAAGATTCAGC</t>
  </si>
  <si>
    <t xml:space="preserve">AAACGCTGAATCTTCTGGAACCGC</t>
  </si>
  <si>
    <t xml:space="preserve">ACCTGTGTAGCTTTTATAGG</t>
  </si>
  <si>
    <t xml:space="preserve">TAGTACCTGTGTAGCTTTTATAGG</t>
  </si>
  <si>
    <t xml:space="preserve">AAACCCTATAAAAGCTACACAGGT</t>
  </si>
  <si>
    <t xml:space="preserve">CAGGAAACGAGCGGGCACAT</t>
  </si>
  <si>
    <t xml:space="preserve">TAGTCAGGAAACGAGCGGGCACAT</t>
  </si>
  <si>
    <t xml:space="preserve">AAACATGTGCCCGCTCGTTTCCTG</t>
  </si>
  <si>
    <t xml:space="preserve">PSPPH_4997</t>
  </si>
  <si>
    <t xml:space="preserve">GCTGTTATCCAACTGGTAGG</t>
  </si>
  <si>
    <t xml:space="preserve">TAGTGCTGTTATCCAACTGGTAGG</t>
  </si>
  <si>
    <t xml:space="preserve">AAACCCTACCAGTTGGATAACAGC</t>
  </si>
  <si>
    <t xml:space="preserve">CCCCCACGGGATCTCGCTGA</t>
  </si>
  <si>
    <t xml:space="preserve">TAGTCCCCCACGGGATCTCGCTGA</t>
  </si>
  <si>
    <t xml:space="preserve">AAACTCAGCGAGATCCCGTGGGGG</t>
  </si>
  <si>
    <t xml:space="preserve">GTACGGGACGGTCTCCCCAG</t>
  </si>
  <si>
    <t xml:space="preserve">TAGTGTACGGGACGGTCTCCCCAG</t>
  </si>
  <si>
    <t xml:space="preserve">AAACCTGGGGAGACCGTCCCGTAC</t>
  </si>
  <si>
    <t xml:space="preserve">ATGCAATCCCCGAACTGAGC</t>
  </si>
  <si>
    <t xml:space="preserve">TAGTATGCAATCCCCGAACTGAGC</t>
  </si>
  <si>
    <t xml:space="preserve">AAACGCTCAGTTCGGGGATTGCAT</t>
  </si>
  <si>
    <t xml:space="preserve">PSPPH_4998</t>
  </si>
  <si>
    <t xml:space="preserve">ACATCCAAATCGAAATTCAC</t>
  </si>
  <si>
    <t xml:space="preserve">TAGTACATCCAAATCGAAATTCAC</t>
  </si>
  <si>
    <t xml:space="preserve">AAACGTGAATTTCGATTTGGATGT</t>
  </si>
  <si>
    <t xml:space="preserve">GGCAAGTTTCTGCGCGGCCT</t>
  </si>
  <si>
    <t xml:space="preserve">TAGTGGCAAGTTTCTGCGCGGCCT</t>
  </si>
  <si>
    <t xml:space="preserve">AAACAGGCCGCGCAGAAACTTGCC</t>
  </si>
  <si>
    <t xml:space="preserve">ACTAATGGCTGAAGTAGAGC</t>
  </si>
  <si>
    <t xml:space="preserve">TAGTACTAATGGCTGAAGTAGAGC</t>
  </si>
  <si>
    <t xml:space="preserve">AAACGCTCTACTTCAGCCATTAGT</t>
  </si>
  <si>
    <t xml:space="preserve">AGCTTCCAGTTTTTTCAATT</t>
  </si>
  <si>
    <t xml:space="preserve">TAGTAGCTTCCAGTTTTTTCAATT</t>
  </si>
  <si>
    <t xml:space="preserve">AAACAATTGAAAAAACTGGAAGCT</t>
  </si>
  <si>
    <t xml:space="preserve">PSPPH_4999</t>
  </si>
  <si>
    <t xml:space="preserve">AGGGCGTCAAGAAAGGCTTT</t>
  </si>
  <si>
    <t xml:space="preserve">TAGTAGGGCGTCAAGAAAGGCTTT</t>
  </si>
  <si>
    <t xml:space="preserve">AAACAAAGCCTTTCTTGACGCCCT</t>
  </si>
  <si>
    <t xml:space="preserve">GACGGGAAGCGTGGCAGCTG</t>
  </si>
  <si>
    <t xml:space="preserve">TAGTGACGGGAAGCGTGGCAGCTG</t>
  </si>
  <si>
    <t xml:space="preserve">AAACCAGCTGCCACGCTTCCCGTC</t>
  </si>
  <si>
    <t xml:space="preserve">TCGAATTCGCTGCGGGGTAC</t>
  </si>
  <si>
    <t xml:space="preserve">TAGTTCGAATTCGCTGCGGGGTAC</t>
  </si>
  <si>
    <t xml:space="preserve">AAACGTACCCCGCAGCGAATTCGA</t>
  </si>
  <si>
    <t xml:space="preserve">TTTGCAGCAGGGCCTTGAAC</t>
  </si>
  <si>
    <t xml:space="preserve">TAGTTTTGCAGCAGGGCCTTGAAC</t>
  </si>
  <si>
    <t xml:space="preserve">AAACGTTCAAGGCCCTGCTGCAAA</t>
  </si>
  <si>
    <t xml:space="preserve">PSPPH_5000</t>
  </si>
  <si>
    <t xml:space="preserve">glnB</t>
  </si>
  <si>
    <t xml:space="preserve">CAGTTTGAACGGCTTGATGA</t>
  </si>
  <si>
    <t xml:space="preserve">TAGTCAGTTTGAACGGCTTGATGA</t>
  </si>
  <si>
    <t xml:space="preserve">AAACTCATCAAGCCGTTCAAACTG</t>
  </si>
  <si>
    <t xml:space="preserve">GAAGCCTTTGACTTCAGTGA</t>
  </si>
  <si>
    <t xml:space="preserve">TAGTGAAGCCTTTGACTTCAGTGA</t>
  </si>
  <si>
    <t xml:space="preserve">AAACTCACTGAAGTCAAAGGCTTC</t>
  </si>
  <si>
    <t xml:space="preserve">CATCGATCTTCACTTTGGGA</t>
  </si>
  <si>
    <t xml:space="preserve">TAGTCATCGATCTTCACTTTGGGA</t>
  </si>
  <si>
    <t xml:space="preserve">AAACTCCCAAAGTGAAGATCGATG</t>
  </si>
  <si>
    <t xml:space="preserve">ATCCAGATCCTTGTCATCAA</t>
  </si>
  <si>
    <t xml:space="preserve">TAGTATCCAGATCCTTGTCATCAA</t>
  </si>
  <si>
    <t xml:space="preserve">AAACTTGATGACAAGGATCTGGAT</t>
  </si>
  <si>
    <t xml:space="preserve">PSPPH_5001</t>
  </si>
  <si>
    <t xml:space="preserve">amt2</t>
  </si>
  <si>
    <t xml:space="preserve">AGGTAATGCGAGGGACAACA</t>
  </si>
  <si>
    <t xml:space="preserve">TAGTAGGTAATGCGAGGGACAACA</t>
  </si>
  <si>
    <t xml:space="preserve">AAACTGTTGTCCCTCGCATTACCT</t>
  </si>
  <si>
    <t xml:space="preserve">TCAGCCGCCAGGGCAAGACC</t>
  </si>
  <si>
    <t xml:space="preserve">TAGTTCAGCCGCCAGGGCAAGACC</t>
  </si>
  <si>
    <t xml:space="preserve">AAACGGTCTTGCCCTGGCGGCTGA</t>
  </si>
  <si>
    <t xml:space="preserve">TCAGCACCGGCTCGGCCACT</t>
  </si>
  <si>
    <t xml:space="preserve">TAGTTCAGCACCGGCTCGGCCACT</t>
  </si>
  <si>
    <t xml:space="preserve">AAACAGTGGCCGAGCCGGTGCTGA</t>
  </si>
  <si>
    <t xml:space="preserve">GAACAGGACCAGAGCGGTCG</t>
  </si>
  <si>
    <t xml:space="preserve">TAGTGAACAGGACCAGAGCGGTCG</t>
  </si>
  <si>
    <t xml:space="preserve">AAACCGACCGCTCTGGTCCTGTTC</t>
  </si>
  <si>
    <t xml:space="preserve">PSPPH_5002</t>
  </si>
  <si>
    <t xml:space="preserve">CCTGGCCCGCAAGGCAATTC</t>
  </si>
  <si>
    <t xml:space="preserve">TAGTCCTGGCCCGCAAGGCAATTC</t>
  </si>
  <si>
    <t xml:space="preserve">AAACGAATTGCCTTGCGGGCCAGG</t>
  </si>
  <si>
    <t xml:space="preserve">GTCACCAGATGGAACCCGCG</t>
  </si>
  <si>
    <t xml:space="preserve">TAGTGTCACCAGATGGAACCCGCG</t>
  </si>
  <si>
    <t xml:space="preserve">AAACCGCGGGTTCCATCTGGTGAC</t>
  </si>
  <si>
    <t xml:space="preserve">GACACGACAATCGCGCAACG</t>
  </si>
  <si>
    <t xml:space="preserve">TAGTGACACGACAATCGCGCAACG</t>
  </si>
  <si>
    <t xml:space="preserve">AAACCGTTGCGCGATTGTCGTGTC</t>
  </si>
  <si>
    <t xml:space="preserve">GTTGATGGTCAACGAAGCCG</t>
  </si>
  <si>
    <t xml:space="preserve">TAGTGTTGATGGTCAACGAAGCCG</t>
  </si>
  <si>
    <t xml:space="preserve">AAACCGGCTTCGTTGACCATCAAC</t>
  </si>
  <si>
    <t xml:space="preserve">PSPPH_5003</t>
  </si>
  <si>
    <t xml:space="preserve">CCTCACCGTCTTCGCCTTCC</t>
  </si>
  <si>
    <t xml:space="preserve">TAGTCCTCACCGTCTTCGCCTTCC</t>
  </si>
  <si>
    <t xml:space="preserve">AAACGGAAGGCGAAGACGGTGAGG</t>
  </si>
  <si>
    <t xml:space="preserve">GGCTGCGTCGTCTTCCGGGG</t>
  </si>
  <si>
    <t xml:space="preserve">TAGTGGCTGCGTCGTCTTCCGGGG</t>
  </si>
  <si>
    <t xml:space="preserve">AAACCCCCGGAAGACGACGCAGCC</t>
  </si>
  <si>
    <t xml:space="preserve">AACGTCGGAATCGTCTGGCT</t>
  </si>
  <si>
    <t xml:space="preserve">TAGTAACGTCGGAATCGTCTGGCT</t>
  </si>
  <si>
    <t xml:space="preserve">AAACAGCCAGACGATTCCGACGTT</t>
  </si>
  <si>
    <t xml:space="preserve">TTGCCTTTTGCGGGTGCTGC</t>
  </si>
  <si>
    <t xml:space="preserve">TAGTTTGCCTTTTGCGGGTGCTGC</t>
  </si>
  <si>
    <t xml:space="preserve">AAACGCAGCACCCGCAAAAGGCAA</t>
  </si>
  <si>
    <t xml:space="preserve">PSPPH_5004</t>
  </si>
  <si>
    <t xml:space="preserve">CTTCGGCACCGGCAATGGCA</t>
  </si>
  <si>
    <t xml:space="preserve">TAGTCTTCGGCACCGGCAATGGCA</t>
  </si>
  <si>
    <t xml:space="preserve">AAACTGCCATTGCCGGTGCCGAAG</t>
  </si>
  <si>
    <t xml:space="preserve">CCCCAGCTTTGGCGCGTGTT</t>
  </si>
  <si>
    <t xml:space="preserve">TAGTCCCCAGCTTTGGCGCGTGTT</t>
  </si>
  <si>
    <t xml:space="preserve">AAACAACACGCGCCAAAGCTGGGG</t>
  </si>
  <si>
    <t xml:space="preserve">ATTTCCCACAGGTGCTCGAC</t>
  </si>
  <si>
    <t xml:space="preserve">TAGTATTTCCCACAGGTGCTCGAC</t>
  </si>
  <si>
    <t xml:space="preserve">AAACGTCGAGCACCTGTGGGAAAT</t>
  </si>
  <si>
    <t xml:space="preserve">AGGACGGGTCTTCAGCCACA</t>
  </si>
  <si>
    <t xml:space="preserve">TAGTAGGACGGGTCTTCAGCCACA</t>
  </si>
  <si>
    <t xml:space="preserve">AAACTGTGGCTGAAGACCCGTCCT</t>
  </si>
  <si>
    <t xml:space="preserve">PSPPH_5005</t>
  </si>
  <si>
    <t xml:space="preserve">xerC</t>
  </si>
  <si>
    <t xml:space="preserve">ACTGCGCAGGTGCATGCAGT</t>
  </si>
  <si>
    <t xml:space="preserve">TAGTACTGCGCAGGTGCATGCAGT</t>
  </si>
  <si>
    <t xml:space="preserve">AAACACTGCATGCACCTGCGCAGT</t>
  </si>
  <si>
    <t xml:space="preserve">CGGTAGGCTTCAAGCGTATG</t>
  </si>
  <si>
    <t xml:space="preserve">TAGTCGGTAGGCTTCAAGCGTATG</t>
  </si>
  <si>
    <t xml:space="preserve">AAACCATACGCTTGAAGCCTACCG</t>
  </si>
  <si>
    <t xml:space="preserve">GAACCTTGCTCAGATCGCGC</t>
  </si>
  <si>
    <t xml:space="preserve">TAGTGAACCTTGCTCAGATCGCGC</t>
  </si>
  <si>
    <t xml:space="preserve">AAACGCGCGATCTGAGCAAGGTTC</t>
  </si>
  <si>
    <t xml:space="preserve">AGCTCGACCGTTGCGCCTTC</t>
  </si>
  <si>
    <t xml:space="preserve">TAGTAGCTCGACCGTTGCGCCTTC</t>
  </si>
  <si>
    <t xml:space="preserve">AAACGAAGGCGCAACGGTCGAGCT</t>
  </si>
  <si>
    <t xml:space="preserve">PSPPH_5006</t>
  </si>
  <si>
    <t xml:space="preserve">AGCGGGAGGTTGATCGGTCA</t>
  </si>
  <si>
    <t xml:space="preserve">TAGTAGCGGGAGGTTGATCGGTCA</t>
  </si>
  <si>
    <t xml:space="preserve">AAACTGACCGATCAACCTCCCGCT</t>
  </si>
  <si>
    <t xml:space="preserve">ATCGACAGGCGATTCGCAGG</t>
  </si>
  <si>
    <t xml:space="preserve">TAGTATCGACAGGCGATTCGCAGG</t>
  </si>
  <si>
    <t xml:space="preserve">AAACCCTGCGAATCGCCTGTCGAT</t>
  </si>
  <si>
    <t xml:space="preserve">ACCGCCTCTGCTTCAAGGTC</t>
  </si>
  <si>
    <t xml:space="preserve">TAGTACCGCCTCTGCTTCAAGGTC</t>
  </si>
  <si>
    <t xml:space="preserve">AAACGACCTTGAAGCAGAGGCGGT</t>
  </si>
  <si>
    <t xml:space="preserve">GTCCGGGTGCTCGAGCAGGA</t>
  </si>
  <si>
    <t xml:space="preserve">TAGTGTCCGGGTGCTCGAGCAGGA</t>
  </si>
  <si>
    <t xml:space="preserve">AAACTCCTGCTCGAGCACCCGGAC</t>
  </si>
  <si>
    <t xml:space="preserve">PSPPH_5007</t>
  </si>
  <si>
    <t xml:space="preserve">dapF</t>
  </si>
  <si>
    <t xml:space="preserve">TTGGTAAAACGCAGCAGCAT</t>
  </si>
  <si>
    <t xml:space="preserve">TAGTTTGGTAAAACGCAGCAGCAT</t>
  </si>
  <si>
    <t xml:space="preserve">AAACATGCTGCTGCGTTTTACCAA</t>
  </si>
  <si>
    <t xml:space="preserve">CGTGCTGACTCACAAGGTCC</t>
  </si>
  <si>
    <t xml:space="preserve">TAGTCGTGCTGACTCACAAGGTCC</t>
  </si>
  <si>
    <t xml:space="preserve">AAACGGACCTTGTGAGTCAGCACG</t>
  </si>
  <si>
    <t xml:space="preserve">CCCCATTGTTTGGCATGCTT</t>
  </si>
  <si>
    <t xml:space="preserve">TAGTCCCCATTGTTTGGCATGCTT</t>
  </si>
  <si>
    <t xml:space="preserve">AAACAAGCATGCCAAACAATGGGG</t>
  </si>
  <si>
    <t xml:space="preserve">CGAAACCGATACCGGTGTGG</t>
  </si>
  <si>
    <t xml:space="preserve">TAGTCGAAACCGATACCGGTGTGG</t>
  </si>
  <si>
    <t xml:space="preserve">AAACCCACACCGGTATCGGTTTCG</t>
  </si>
  <si>
    <t xml:space="preserve">PSPPH_5008</t>
  </si>
  <si>
    <t xml:space="preserve">lysA</t>
  </si>
  <si>
    <t xml:space="preserve">CTCACCGTCGCGGTAGTTGA</t>
  </si>
  <si>
    <t xml:space="preserve">TAGTCTCACCGTCGCGGTAGTTGA</t>
  </si>
  <si>
    <t xml:space="preserve">AAACTCAACTACCGCGACGGTGAG</t>
  </si>
  <si>
    <t xml:space="preserve">CGTGCCGAAGCGCTCGGCAA</t>
  </si>
  <si>
    <t xml:space="preserve">TAGTCGTGCCGAAGCGCTCGGCAA</t>
  </si>
  <si>
    <t xml:space="preserve">AAACTTGCCGAGCGCTTCGGCACG</t>
  </si>
  <si>
    <t xml:space="preserve">GCGCGCGAGTAGACATAGGT</t>
  </si>
  <si>
    <t xml:space="preserve">TAGTGCGCGCGAGTAGACATAGGT</t>
  </si>
  <si>
    <t xml:space="preserve">AAACACCTATGTCTACTCGCGCGC</t>
  </si>
  <si>
    <t xml:space="preserve">GCCGCTCAGCGCATCGGCGT</t>
  </si>
  <si>
    <t xml:space="preserve">TAGTGCCGCTCAGCGCATCGGCGT</t>
  </si>
  <si>
    <t xml:space="preserve">AAACACGCCGATGCGCTGAGCGGC</t>
  </si>
  <si>
    <t xml:space="preserve">PSPPH_5009</t>
  </si>
  <si>
    <t xml:space="preserve">CGAAGAGATCAGGCGCTTCA</t>
  </si>
  <si>
    <t xml:space="preserve">TAGTCGAAGAGATCAGGCGCTTCA</t>
  </si>
  <si>
    <t xml:space="preserve">AAACTGAAGCGCCTGATCTCTTCG</t>
  </si>
  <si>
    <t xml:space="preserve">CAGCGGGCCTTTCTGGCCGC</t>
  </si>
  <si>
    <t xml:space="preserve">TAGTCAGCGGGCCTTTCTGGCCGC</t>
  </si>
  <si>
    <t xml:space="preserve">AAACGCGGCCAGAAAGGCCCGCTG</t>
  </si>
  <si>
    <t xml:space="preserve">TCCGGAGTTTTGGTGTCATC</t>
  </si>
  <si>
    <t xml:space="preserve">TAGTTCCGGAGTTTTGGTGTCATC</t>
  </si>
  <si>
    <t xml:space="preserve">AAACGATGACACCAAAACTCCGGA</t>
  </si>
  <si>
    <t xml:space="preserve">GCGCTTGTGCGATTGCGATT</t>
  </si>
  <si>
    <t xml:space="preserve">TAGTGCGCTTGTGCGATTGCGATT</t>
  </si>
  <si>
    <t xml:space="preserve">AAACAATCGCAATCGCACAAGCGC</t>
  </si>
  <si>
    <t xml:space="preserve">PSPPH_5010</t>
  </si>
  <si>
    <t xml:space="preserve">GCTTCGGTCAAACTCATTGC</t>
  </si>
  <si>
    <t xml:space="preserve">TAGTGCTTCGGTCAAACTCATTGC</t>
  </si>
  <si>
    <t xml:space="preserve">AAACGCAATGAGTTTGACCGAAGC</t>
  </si>
  <si>
    <t xml:space="preserve">ATCGACGAGGTCGTGAAAAC</t>
  </si>
  <si>
    <t xml:space="preserve">TAGTATCGACGAGGTCGTGAAAAC</t>
  </si>
  <si>
    <t xml:space="preserve">AAACGTTTTCACGACCTCGTCGAT</t>
  </si>
  <si>
    <t xml:space="preserve">AGTTTTCCAGGTCGACATCC</t>
  </si>
  <si>
    <t xml:space="preserve">TAGTAGTTTTCCAGGTCGACATCC</t>
  </si>
  <si>
    <t xml:space="preserve">AAACGGATGTCGACCTGGAAAACT</t>
  </si>
  <si>
    <t xml:space="preserve">GAACTTGACGGTGAGGACGC</t>
  </si>
  <si>
    <t xml:space="preserve">TAGTGAACTTGACGGTGAGGACGC</t>
  </si>
  <si>
    <t xml:space="preserve">AAACGCGTCCTCACCGTCAAGTTC</t>
  </si>
  <si>
    <t xml:space="preserve">PSPPH_5011</t>
  </si>
  <si>
    <t xml:space="preserve">TGGGCGGTCGAACGGGGGAC</t>
  </si>
  <si>
    <t xml:space="preserve">TAGTTGGGCGGTCGAACGGGGGAC</t>
  </si>
  <si>
    <t xml:space="preserve">AAACGTCCCCCGTTCGACCGCCCA</t>
  </si>
  <si>
    <t xml:space="preserve">GACGTTGCTGAAAAGCGGTT</t>
  </si>
  <si>
    <t xml:space="preserve">TAGTGACGTTGCTGAAAAGCGGTT</t>
  </si>
  <si>
    <t xml:space="preserve">AAACAACCGCTTTTCAGCAACGTC</t>
  </si>
  <si>
    <t xml:space="preserve">TACAGGGCGACGGTACAGCC</t>
  </si>
  <si>
    <t xml:space="preserve">TAGTTACAGGGCGACGGTACAGCC</t>
  </si>
  <si>
    <t xml:space="preserve">AAACGGCTGTACCGTCGCCCTGTA</t>
  </si>
  <si>
    <t xml:space="preserve">TCTGCTCATCGAGCCGGCAC</t>
  </si>
  <si>
    <t xml:space="preserve">TAGTTCTGCTCATCGAGCCGGCAC</t>
  </si>
  <si>
    <t xml:space="preserve">AAACGTGCCGGCTCGATGAGCAGA</t>
  </si>
  <si>
    <t xml:space="preserve">PSPPH_5012</t>
  </si>
  <si>
    <t xml:space="preserve">rnk</t>
  </si>
  <si>
    <t xml:space="preserve">GATCGAAGGTGCTGTGGTCA</t>
  </si>
  <si>
    <t xml:space="preserve">TAGTGATCGAAGGTGCTGTGGTCA</t>
  </si>
  <si>
    <t xml:space="preserve">AAACTGACCACAGCACCTTCGATC</t>
  </si>
  <si>
    <t xml:space="preserve">GCTGTACATCGAGGCGGGTG</t>
  </si>
  <si>
    <t xml:space="preserve">TAGTGCTGTACATCGAGGCGGGTG</t>
  </si>
  <si>
    <t xml:space="preserve">AAACCACCCGCCTCGATGTACAGC</t>
  </si>
  <si>
    <t xml:space="preserve">TGCCCGGCGTGTTTTCGTCC</t>
  </si>
  <si>
    <t xml:space="preserve">TAGTTGCCCGGCGTGTTTTCGTCC</t>
  </si>
  <si>
    <t xml:space="preserve">AAACGGACGAAAACACGCCGGGCA</t>
  </si>
  <si>
    <t xml:space="preserve">CCAGTTCGGCCTGCAACGCC</t>
  </si>
  <si>
    <t xml:space="preserve">TAGTCCAGTTCGGCCTGCAACGCC</t>
  </si>
  <si>
    <t xml:space="preserve">AAACGGCGTTGCAGGCCGAACTGG</t>
  </si>
  <si>
    <t xml:space="preserve">PSPPH_5013</t>
  </si>
  <si>
    <t xml:space="preserve">cyaA</t>
  </si>
  <si>
    <t xml:space="preserve">TCCAGGTCGGGGCGAATTTC</t>
  </si>
  <si>
    <t xml:space="preserve">TAGTTCCAGGTCGGGGCGAATTTC</t>
  </si>
  <si>
    <t xml:space="preserve">AAACGAAATTCGCCCCGACCTGGA</t>
  </si>
  <si>
    <t xml:space="preserve">GCAACTGGCTGAGAACCTTG</t>
  </si>
  <si>
    <t xml:space="preserve">TAGTGCAACTGGCTGAGAACCTTG</t>
  </si>
  <si>
    <t xml:space="preserve">AAACCAAGGTTCTCAGCCAGTTGC</t>
  </si>
  <si>
    <t xml:space="preserve">CGTCATTGAGCGACAGGAAA</t>
  </si>
  <si>
    <t xml:space="preserve">TAGTCGTCATTGAGCGACAGGAAA</t>
  </si>
  <si>
    <t xml:space="preserve">AAACTTTCCTGTCGCTCAATGACG</t>
  </si>
  <si>
    <t xml:space="preserve">GCGGGTCGACATGCCTTCGA</t>
  </si>
  <si>
    <t xml:space="preserve">TAGTGCGGGTCGACATGCCTTCGA</t>
  </si>
  <si>
    <t xml:space="preserve">AAACTCGAAGGCATGTCGACCCGC</t>
  </si>
  <si>
    <t xml:space="preserve">PSPPH_5014</t>
  </si>
  <si>
    <t xml:space="preserve">GCCGGCTGGCGGGTGTGCTC</t>
  </si>
  <si>
    <t xml:space="preserve">TAGTGCCGGCTGGCGGGTGTGCTC</t>
  </si>
  <si>
    <t xml:space="preserve">AAACGAGCACACCCGCCAGCCGGC</t>
  </si>
  <si>
    <t xml:space="preserve">AACTCAGGGGTATACGACAT</t>
  </si>
  <si>
    <t xml:space="preserve">TAGTAACTCAGGGGTATACGACAT</t>
  </si>
  <si>
    <t xml:space="preserve">AAACATGTCGTATACCCCTGAGTT</t>
  </si>
  <si>
    <t xml:space="preserve">CAGTGCAAGGATTTCCAGTT</t>
  </si>
  <si>
    <t xml:space="preserve">TAGTCAGTGCAAGGATTTCCAGTT</t>
  </si>
  <si>
    <t xml:space="preserve">AAACAACTGGAAATCCTTGCACTG</t>
  </si>
  <si>
    <t xml:space="preserve">GTGGACTTTCAGGCCTTCCT</t>
  </si>
  <si>
    <t xml:space="preserve">TAGTGTGGACTTTCAGGCCTTCCT</t>
  </si>
  <si>
    <t xml:space="preserve">AAACAGGAAGGCCTGAAAGTCCAC</t>
  </si>
  <si>
    <t xml:space="preserve">PSPPH_5015</t>
  </si>
  <si>
    <t xml:space="preserve">GGCTTCGATCAGGGTCGAGG</t>
  </si>
  <si>
    <t xml:space="preserve">TAGTGGCTTCGATCAGGGTCGAGG</t>
  </si>
  <si>
    <t xml:space="preserve">AAACCCTCGACCCTGATCGAAGCC</t>
  </si>
  <si>
    <t xml:space="preserve">GGATTCGATCTGGTTCTCGA</t>
  </si>
  <si>
    <t xml:space="preserve">TAGTGGATTCGATCTGGTTCTCGA</t>
  </si>
  <si>
    <t xml:space="preserve">AAACTCGAGAACCAGATCGAATCC</t>
  </si>
  <si>
    <t xml:space="preserve">CTTGGCCGCTGGCGGGTTAC</t>
  </si>
  <si>
    <t xml:space="preserve">TAGTCTTGGCCGCTGGCGGGTTAC</t>
  </si>
  <si>
    <t xml:space="preserve">AAACGTAACCCGCCAGCGGCCAAG</t>
  </si>
  <si>
    <t xml:space="preserve">TTCACGCTCGTAGTTAACCA</t>
  </si>
  <si>
    <t xml:space="preserve">TAGTTTCACGCTCGTAGTTAACCA</t>
  </si>
  <si>
    <t xml:space="preserve">AAACTGGTTAACTACGAGCGTGAA</t>
  </si>
  <si>
    <t xml:space="preserve">PSPPH_5016</t>
  </si>
  <si>
    <t xml:space="preserve">gltP</t>
  </si>
  <si>
    <t xml:space="preserve">CAGTCCGATAAGAATCTGCC</t>
  </si>
  <si>
    <t xml:space="preserve">TAGTCAGTCCGATAAGAATCTGCC</t>
  </si>
  <si>
    <t xml:space="preserve">AAACGGCAGATTCTTATCGGACTG</t>
  </si>
  <si>
    <t xml:space="preserve">AGGCCTTCTCGGCGCTGAAA</t>
  </si>
  <si>
    <t xml:space="preserve">TAGTAGGCCTTCTCGGCGCTGAAA</t>
  </si>
  <si>
    <t xml:space="preserve">AAACTTTCAGCGCCGAGAAGGCCT</t>
  </si>
  <si>
    <t xml:space="preserve">CAGGAGATTGGTGATCCACC</t>
  </si>
  <si>
    <t xml:space="preserve">TAGTCAGGAGATTGGTGATCCACC</t>
  </si>
  <si>
    <t xml:space="preserve">AAACGGTGGATCACCAATCTCCTG</t>
  </si>
  <si>
    <t xml:space="preserve">CGAATGAAGATATCGCCCGC</t>
  </si>
  <si>
    <t xml:space="preserve">TAGTCGAATGAAGATATCGCCCGC</t>
  </si>
  <si>
    <t xml:space="preserve">AAACGCGGGCGATATCTTCATTCG</t>
  </si>
  <si>
    <t xml:space="preserve">PSPPH_5017</t>
  </si>
  <si>
    <t xml:space="preserve">rimK</t>
  </si>
  <si>
    <t xml:space="preserve">CGACGGGTGGAATACAGACG</t>
  </si>
  <si>
    <t xml:space="preserve">TAGTCGACGGGTGGAATACAGACG</t>
  </si>
  <si>
    <t xml:space="preserve">AAACCGTCTGTATTCCACCCGTCG</t>
  </si>
  <si>
    <t xml:space="preserve">TGTCGATCACCACCATCTCA</t>
  </si>
  <si>
    <t xml:space="preserve">TAGTTGTCGATCACCACCATCTCA</t>
  </si>
  <si>
    <t xml:space="preserve">AAACTGAGATGGTGGTGATCGACA</t>
  </si>
  <si>
    <t xml:space="preserve">GATGTTCATATAGGCGCGCA</t>
  </si>
  <si>
    <t xml:space="preserve">TAGTGATGTTCATATAGGCGCGCA</t>
  </si>
  <si>
    <t xml:space="preserve">AAACTGCGCGCCTATATGAACATC</t>
  </si>
  <si>
    <t xml:space="preserve">GATAGTGGATCTGCGGCTTG</t>
  </si>
  <si>
    <t xml:space="preserve">TAGTGATAGTGGATCTGCGGCTTG</t>
  </si>
  <si>
    <t xml:space="preserve">AAACCAAGCCGCAGATCCACTATC</t>
  </si>
  <si>
    <t xml:space="preserve">PSPPH_5018</t>
  </si>
  <si>
    <t xml:space="preserve">GCAGGCCGATGACTGTCAGA</t>
  </si>
  <si>
    <t xml:space="preserve">TAGTGCAGGCCGATGACTGTCAGA</t>
  </si>
  <si>
    <t xml:space="preserve">AAACTCTGACAGTCATCGGCCTGC</t>
  </si>
  <si>
    <t xml:space="preserve">CAGGCCCGCCACCCCCAGGT</t>
  </si>
  <si>
    <t xml:space="preserve">TAGTCAGGCCCGCCACCCCCAGGT</t>
  </si>
  <si>
    <t xml:space="preserve">AAACACCTGGGGGTGGCGGGCCTG</t>
  </si>
  <si>
    <t xml:space="preserve">CAGGCTTGACGTGCTCGCAC</t>
  </si>
  <si>
    <t xml:space="preserve">TAGTCAGGCTTGACGTGCTCGCAC</t>
  </si>
  <si>
    <t xml:space="preserve">AAACGTGCGAGCACGTCAAGCCTG</t>
  </si>
  <si>
    <t xml:space="preserve">CTCAAAAGGTTCGATTTCGG</t>
  </si>
  <si>
    <t xml:space="preserve">TAGTCTCAAAAGGTTCGATTTCGG</t>
  </si>
  <si>
    <t xml:space="preserve">AAACCCGAAATCGAACCTTTTGAG</t>
  </si>
  <si>
    <t xml:space="preserve">PSPPH_5019</t>
  </si>
  <si>
    <t xml:space="preserve">CTGGGGGCGGTCAACGAAGT</t>
  </si>
  <si>
    <t xml:space="preserve">TAGTCTGGGGGCGGTCAACGAAGT</t>
  </si>
  <si>
    <t xml:space="preserve">AAACACTTCGTTGACCGCCCCCAG</t>
  </si>
  <si>
    <t xml:space="preserve">TCAAACGAGAAATCCAGTTC</t>
  </si>
  <si>
    <t xml:space="preserve">TAGTTCAAACGAGAAATCCAGTTC</t>
  </si>
  <si>
    <t xml:space="preserve">AAACGAACTGGATTTCTCGTTTGA</t>
  </si>
  <si>
    <t xml:space="preserve">TGGTCGTGAAGGTTCACGAT</t>
  </si>
  <si>
    <t xml:space="preserve">TAGTTGGTCGTGAAGGTTCACGAT</t>
  </si>
  <si>
    <t xml:space="preserve">AAACATCGTGAACCTTCACGACCA</t>
  </si>
  <si>
    <t xml:space="preserve">CCTCGTGAGCGAAAATCGAC</t>
  </si>
  <si>
    <t xml:space="preserve">TAGTCCTCGTGAGCGAAAATCGAC</t>
  </si>
  <si>
    <t xml:space="preserve">AAACGTCGATTTTCGCTCACGAGG</t>
  </si>
  <si>
    <t xml:space="preserve">PSPPH_5020</t>
  </si>
  <si>
    <t xml:space="preserve">CGGACCTTGTCATCTTCTTC</t>
  </si>
  <si>
    <t xml:space="preserve">TAGTCGGACCTTGTCATCTTCTTC</t>
  </si>
  <si>
    <t xml:space="preserve">AAACGAAGAAGATGACAAGGTCCG</t>
  </si>
  <si>
    <t xml:space="preserve">CCCACAGCCATTTATCCAGA</t>
  </si>
  <si>
    <t xml:space="preserve">TAGTCCCACAGCCATTTATCCAGA</t>
  </si>
  <si>
    <t xml:space="preserve">AAACTCTGGATAAATGGCTGTGGG</t>
  </si>
  <si>
    <t xml:space="preserve">GCGTGTTTTGAAAAAACGTG</t>
  </si>
  <si>
    <t xml:space="preserve">TAGTGCGTGTTTTGAAAAAACGTG</t>
  </si>
  <si>
    <t xml:space="preserve">AAACCACGTTTTTTCAAAACACGC</t>
  </si>
  <si>
    <t xml:space="preserve">GCCGCTTTCGATAGCTGCTT</t>
  </si>
  <si>
    <t xml:space="preserve">TAGTGCCGCTTTCGATAGCTGCTT</t>
  </si>
  <si>
    <t xml:space="preserve">AAACAAGCAGCTATCGAAAGCGGC</t>
  </si>
  <si>
    <t xml:space="preserve">PSPPH_5021</t>
  </si>
  <si>
    <t xml:space="preserve">hslO</t>
  </si>
  <si>
    <t xml:space="preserve">GTGTCCGGTAAATCATGCAT</t>
  </si>
  <si>
    <t xml:space="preserve">TAGTGTGTCCGGTAAATCATGCAT</t>
  </si>
  <si>
    <t xml:space="preserve">AAACATGCATGATTTACCGGACAC</t>
  </si>
  <si>
    <t xml:space="preserve">GATGAAGCGCTGGGTGAAAT</t>
  </si>
  <si>
    <t xml:space="preserve">TAGTGATGAAGCGCTGGGTGAAAT</t>
  </si>
  <si>
    <t xml:space="preserve">AAACATTTCACCCAGCGCTTCATC</t>
  </si>
  <si>
    <t xml:space="preserve">TTCGGCATAACTGCGTTCAA</t>
  </si>
  <si>
    <t xml:space="preserve">TAGTTTCGGCATAACTGCGTTCAA</t>
  </si>
  <si>
    <t xml:space="preserve">AAACTTGAACGCAGTTATGCCGAA</t>
  </si>
  <si>
    <t xml:space="preserve">CGGCTCCGGGTACGGGTGCT</t>
  </si>
  <si>
    <t xml:space="preserve">TAGTCGGCTCCGGGTACGGGTGCT</t>
  </si>
  <si>
    <t xml:space="preserve">AAACAGCACCCGTACCCGGAGCCG</t>
  </si>
  <si>
    <t xml:space="preserve">PSPPH_5022</t>
  </si>
  <si>
    <t xml:space="preserve">pckA</t>
  </si>
  <si>
    <t xml:space="preserve">CAGTTCGTCGGTGCTCAGAT</t>
  </si>
  <si>
    <t xml:space="preserve">TAGTCAGTTCGTCGGTGCTCAGAT</t>
  </si>
  <si>
    <t xml:space="preserve">AAACATCTGAGCACCGACGAACTG</t>
  </si>
  <si>
    <t xml:space="preserve">TACGCCTTCGTTACGGGCAA</t>
  </si>
  <si>
    <t xml:space="preserve">TAGTTACGCCTTCGTTACGGGCAA</t>
  </si>
  <si>
    <t xml:space="preserve">AAACTTGCCCGTAACGAAGGCGTA</t>
  </si>
  <si>
    <t xml:space="preserve">CACAACCAGTGCGCCAGTGT</t>
  </si>
  <si>
    <t xml:space="preserve">TAGTCACAACCAGTGCGCCAGTGT</t>
  </si>
  <si>
    <t xml:space="preserve">AAACACACTGGCGCACTGGTTGTG</t>
  </si>
  <si>
    <t xml:space="preserve">CCGGCGAACGGCCAGTACGA</t>
  </si>
  <si>
    <t xml:space="preserve">TAGTCCGGCGAACGGCCAGTACGA</t>
  </si>
  <si>
    <t xml:space="preserve">AAACTCGTACTGGCCGTTCGCCGG</t>
  </si>
  <si>
    <t xml:space="preserve">PSPPH_5023</t>
  </si>
  <si>
    <t xml:space="preserve">GACCGTTTCATCGTGTAGTA</t>
  </si>
  <si>
    <t xml:space="preserve">TAGTGACCGTTTCATCGTGTAGTA</t>
  </si>
  <si>
    <t xml:space="preserve">AAACTACTACACGATGAAACGGTC</t>
  </si>
  <si>
    <t xml:space="preserve">TGATGGGGACAGCCCCCTCT</t>
  </si>
  <si>
    <t xml:space="preserve">TAGTTGATGGGGACAGCCCCCTCT</t>
  </si>
  <si>
    <t xml:space="preserve">AAACAGAGGGGGCTGTCCCCATCA</t>
  </si>
  <si>
    <t xml:space="preserve">CGATTATAGGAGATTTTTTG</t>
  </si>
  <si>
    <t xml:space="preserve">TAGTCGATTATAGGAGATTTTTTG</t>
  </si>
  <si>
    <t xml:space="preserve">AAACCAAAAAATCTCCTATAATCG</t>
  </si>
  <si>
    <t xml:space="preserve">GGCTTTAAGACTACTTGACC</t>
  </si>
  <si>
    <t xml:space="preserve">TAGTGGCTTTAAGACTACTTGACC</t>
  </si>
  <si>
    <t xml:space="preserve">AAACGGTCAAGTAGTCTTAAAGCC</t>
  </si>
  <si>
    <t xml:space="preserve">PSPPH_5024</t>
  </si>
  <si>
    <t xml:space="preserve">AAAACGACGTACCTGAATTC</t>
  </si>
  <si>
    <t xml:space="preserve">TAGTAAAACGACGTACCTGAATTC</t>
  </si>
  <si>
    <t xml:space="preserve">AAACGAATTCAGGTACGTCGTTTT</t>
  </si>
  <si>
    <t xml:space="preserve">GACACACCTTGCTCATCGTT</t>
  </si>
  <si>
    <t xml:space="preserve">TAGTGACACACCTTGCTCATCGTT</t>
  </si>
  <si>
    <t xml:space="preserve">AAACAACGATGAGCAAGGTGTGTC</t>
  </si>
  <si>
    <t xml:space="preserve">ATTCTTCACGCTGGATGGGC</t>
  </si>
  <si>
    <t xml:space="preserve">TAGTATTCTTCACGCTGGATGGGC</t>
  </si>
  <si>
    <t xml:space="preserve">AAACGCCCATCCAGCGTGAAGAAT</t>
  </si>
  <si>
    <t xml:space="preserve">GCTGATCCTCGGCGGTGATG</t>
  </si>
  <si>
    <t xml:space="preserve">TAGTGCTGATCCTCGGCGGTGATG</t>
  </si>
  <si>
    <t xml:space="preserve">AAACCATCACCGCCGAGGATCAGC</t>
  </si>
  <si>
    <t xml:space="preserve">PSPPH_5025</t>
  </si>
  <si>
    <t xml:space="preserve">TTTATATTCACTCTTTGTAT</t>
  </si>
  <si>
    <t xml:space="preserve">TAGTTTTATATTCACTCTTTGTAT</t>
  </si>
  <si>
    <t xml:space="preserve">AAACATACAAAGAGTGAATATAAA</t>
  </si>
  <si>
    <t xml:space="preserve">TCGCGGCAGGGGCCAATCCA</t>
  </si>
  <si>
    <t xml:space="preserve">TAGTTCGCGGCAGGGGCCAATCCA</t>
  </si>
  <si>
    <t xml:space="preserve">AAACTGGATTGGCCCCTGCCGCGA</t>
  </si>
  <si>
    <t xml:space="preserve">TTTATTGGTGAGGTGTGTGA</t>
  </si>
  <si>
    <t xml:space="preserve">TAGTTTTATTGGTGAGGTGTGTGA</t>
  </si>
  <si>
    <t xml:space="preserve">AAACTCACACACCTCACCAATAAA</t>
  </si>
  <si>
    <t xml:space="preserve">GGAGTTCAAAGTCGTGGCGG</t>
  </si>
  <si>
    <t xml:space="preserve">TAGTGGAGTTCAAAGTCGTGGCGG</t>
  </si>
  <si>
    <t xml:space="preserve">AAACCCGCCACGACTTTGAACTCC</t>
  </si>
  <si>
    <t xml:space="preserve">PSPPH_5026</t>
  </si>
  <si>
    <t xml:space="preserve">AGGACTGTGGGGTGGGGCAT</t>
  </si>
  <si>
    <t xml:space="preserve">TAGTAGGACTGTGGGGTGGGGCAT</t>
  </si>
  <si>
    <t xml:space="preserve">AAACATGCCCCACCCCACAGTCCT</t>
  </si>
  <si>
    <t xml:space="preserve">GGTCAGCGCGGGCCAATAGC</t>
  </si>
  <si>
    <t xml:space="preserve">TAGTGGTCAGCGCGGGCCAATAGC</t>
  </si>
  <si>
    <t xml:space="preserve">AAACGCTATTGGCCCGCGCTGACC</t>
  </si>
  <si>
    <t xml:space="preserve">ATTCGGTATCTACCGGGCTG</t>
  </si>
  <si>
    <t xml:space="preserve">TAGTATTCGGTATCTACCGGGCTG</t>
  </si>
  <si>
    <t xml:space="preserve">AAACCAGCCCGGTAGATACCGAAT</t>
  </si>
  <si>
    <t xml:space="preserve">ATGCGCATCAATGGGGCCGG</t>
  </si>
  <si>
    <t xml:space="preserve">TAGTATGCGCATCAATGGGGCCGG</t>
  </si>
  <si>
    <t xml:space="preserve">AAACCCGGCCCCATTGATGCGCAT</t>
  </si>
  <si>
    <t xml:space="preserve">PSPPH_5027</t>
  </si>
  <si>
    <t xml:space="preserve">TGGGGCGAAATTCAAAATCG</t>
  </si>
  <si>
    <t xml:space="preserve">TAGTTGGGGCGAAATTCAAAATCG</t>
  </si>
  <si>
    <t xml:space="preserve">AAACCGATTTTGAATTTCGCCCCA</t>
  </si>
  <si>
    <t xml:space="preserve">ACCGACATCGGCTGCGGTCA</t>
  </si>
  <si>
    <t xml:space="preserve">TAGTACCGACATCGGCTGCGGTCA</t>
  </si>
  <si>
    <t xml:space="preserve">AAACTGACCGCAGCCGATGTCGGT</t>
  </si>
  <si>
    <t xml:space="preserve">ATGCGGCCACTTCAGGGCAA</t>
  </si>
  <si>
    <t xml:space="preserve">TAGTATGCGGCCACTTCAGGGCAA</t>
  </si>
  <si>
    <t xml:space="preserve">AAACTTGCCCTGAAGTGGCCGCAT</t>
  </si>
  <si>
    <t xml:space="preserve">TTGGGCGACTCGTTGCAGCA</t>
  </si>
  <si>
    <t xml:space="preserve">TAGTTTGGGCGACTCGTTGCAGCA</t>
  </si>
  <si>
    <t xml:space="preserve">AAACTGCTGCAACGAGTCGCCCAA</t>
  </si>
  <si>
    <t xml:space="preserve">PSPPH_5028</t>
  </si>
  <si>
    <t xml:space="preserve">dehII2</t>
  </si>
  <si>
    <t xml:space="preserve">CAGTCGAACGTAATGAATTT</t>
  </si>
  <si>
    <t xml:space="preserve">TAGTCAGTCGAACGTAATGAATTT</t>
  </si>
  <si>
    <t xml:space="preserve">AAACAAATTCATTACGTTCGACTG</t>
  </si>
  <si>
    <t xml:space="preserve">GCCCATGTGGAAATTGGTCA</t>
  </si>
  <si>
    <t xml:space="preserve">TAGTGCCCATGTGGAAATTGGTCA</t>
  </si>
  <si>
    <t xml:space="preserve">AAACTGACCAATTTCCACATGGGC</t>
  </si>
  <si>
    <t xml:space="preserve">GGCAAACAGCTCGCGCGTCA</t>
  </si>
  <si>
    <t xml:space="preserve">TAGTGGCAAACAGCTCGCGCGTCA</t>
  </si>
  <si>
    <t xml:space="preserve">AAACTGACGCGCGAGCTGTTTGCC</t>
  </si>
  <si>
    <t xml:space="preserve">CTGTTCAGCCGCAACGCGGT</t>
  </si>
  <si>
    <t xml:space="preserve">TAGTCTGTTCAGCCGCAACGCGGT</t>
  </si>
  <si>
    <t xml:space="preserve">AAACACCGCGTTGCGGCTGAACAG</t>
  </si>
  <si>
    <t xml:space="preserve">PSPPH_5030</t>
  </si>
  <si>
    <t xml:space="preserve">GCCTGTGATCAACGCGGAGT</t>
  </si>
  <si>
    <t xml:space="preserve">TAGTGCCTGTGATCAACGCGGAGT</t>
  </si>
  <si>
    <t xml:space="preserve">AAACACTCCGCGTTGATCACAGGC</t>
  </si>
  <si>
    <t xml:space="preserve">TGAAAACCCGCAGGCTGTCT</t>
  </si>
  <si>
    <t xml:space="preserve">TAGTTGAAAACCCGCAGGCTGTCT</t>
  </si>
  <si>
    <t xml:space="preserve">AAACAGACAGCCTGCGGGTTTTCA</t>
  </si>
  <si>
    <t xml:space="preserve">GCAACGCATCGCGCCGCGAC</t>
  </si>
  <si>
    <t xml:space="preserve">TAGTGCAACGCATCGCGCCGCGAC</t>
  </si>
  <si>
    <t xml:space="preserve">AAACGTCGCGGCGCGATGCGTTGC</t>
  </si>
  <si>
    <t xml:space="preserve">GCCGGCCGCGCCGAACAGGC</t>
  </si>
  <si>
    <t xml:space="preserve">TAGTGCCGGCCGCGCCGAACAGGC</t>
  </si>
  <si>
    <t xml:space="preserve">AAACGCCTGTTCGGCGCGGCCGGC</t>
  </si>
  <si>
    <t xml:space="preserve">PSPPH_5031</t>
  </si>
  <si>
    <t xml:space="preserve">CGTAATGGCGAAGACCACGA</t>
  </si>
  <si>
    <t xml:space="preserve">TAGTCGTAATGGCGAAGACCACGA</t>
  </si>
  <si>
    <t xml:space="preserve">AAACTCGTGGTCTTCGCCATTACG</t>
  </si>
  <si>
    <t xml:space="preserve">GCCTGTTGTGCCGCGTCTCC</t>
  </si>
  <si>
    <t xml:space="preserve">TAGTGCCTGTTGTGCCGCGTCTCC</t>
  </si>
  <si>
    <t xml:space="preserve">AAACGGAGACGCGGCACAACAGGC</t>
  </si>
  <si>
    <t xml:space="preserve">AGGCGTCGCGAATTGTCCAA</t>
  </si>
  <si>
    <t xml:space="preserve">TAGTAGGCGTCGCGAATTGTCCAA</t>
  </si>
  <si>
    <t xml:space="preserve">AAACTTGGACAATTCGCGACGCCT</t>
  </si>
  <si>
    <t xml:space="preserve">CGCAATGCGGCGACCTGTTC</t>
  </si>
  <si>
    <t xml:space="preserve">TAGTCGCAATGCGGCGACCTGTTC</t>
  </si>
  <si>
    <t xml:space="preserve">AAACGAACAGGTCGCCGCATTGCG</t>
  </si>
  <si>
    <t xml:space="preserve">PSPPH_5032</t>
  </si>
  <si>
    <t xml:space="preserve">GACGCTTTTTTGCGCAGCAC</t>
  </si>
  <si>
    <t xml:space="preserve">TAGTGACGCTTTTTTGCGCAGCAC</t>
  </si>
  <si>
    <t xml:space="preserve">AAACGTGCTGCGCAAAAAAGCGTC</t>
  </si>
  <si>
    <t xml:space="preserve">GCCAAGCCATGAGGTGGGGC</t>
  </si>
  <si>
    <t xml:space="preserve">TAGTGCCAAGCCATGAGGTGGGGC</t>
  </si>
  <si>
    <t xml:space="preserve">AAACGCCCCACCTCATGGCTTGGC</t>
  </si>
  <si>
    <t xml:space="preserve">AGCACACCGTTGCGCCCAGC</t>
  </si>
  <si>
    <t xml:space="preserve">TAGTAGCACACCGTTGCGCCCAGC</t>
  </si>
  <si>
    <t xml:space="preserve">AAACGCTGGGCGCAACGGTGTGCT</t>
  </si>
  <si>
    <t xml:space="preserve">ACAGCATGCGGCGCGAGCCA</t>
  </si>
  <si>
    <t xml:space="preserve">TAGTACAGCATGCGGCGCGAGCCA</t>
  </si>
  <si>
    <t xml:space="preserve">AAACTGGCTCGCGCCGCATGCTGT</t>
  </si>
  <si>
    <t xml:space="preserve">PSPPH_5033</t>
  </si>
  <si>
    <t xml:space="preserve">GGTCTTGCACACGAATCAAC</t>
  </si>
  <si>
    <t xml:space="preserve">TAGTGGTCTTGCACACGAATCAAC</t>
  </si>
  <si>
    <t xml:space="preserve">AAACGTTGATTCGTGTGCAAGACC</t>
  </si>
  <si>
    <t xml:space="preserve">CGCCATCGGCAACCACGCGC</t>
  </si>
  <si>
    <t xml:space="preserve">TAGTCGCCATCGGCAACCACGCGC</t>
  </si>
  <si>
    <t xml:space="preserve">AAACGCGCGTGGTTGCCGATGGCG</t>
  </si>
  <si>
    <t xml:space="preserve">GATGGTGGTCTTGCCGGAAC</t>
  </si>
  <si>
    <t xml:space="preserve">TAGTGATGGTGGTCTTGCCGGAAC</t>
  </si>
  <si>
    <t xml:space="preserve">AAACGTTCCGGCAAGACCACCATC</t>
  </si>
  <si>
    <t xml:space="preserve">GCGTCGGGCATACCCCAACA</t>
  </si>
  <si>
    <t xml:space="preserve">TAGTGCGTCGGGCATACCCCAACA</t>
  </si>
  <si>
    <t xml:space="preserve">AAACTGTTGGGGTATGCCCGACGC</t>
  </si>
  <si>
    <t xml:space="preserve">PSPPH_5034</t>
  </si>
  <si>
    <t xml:space="preserve">GTTCGCCCAGTCTCACAAAA</t>
  </si>
  <si>
    <t xml:space="preserve">TAGTGTTCGCCCAGTCTCACAAAA</t>
  </si>
  <si>
    <t xml:space="preserve">AAACTTTTGTGAGACTGGGCGAAC</t>
  </si>
  <si>
    <t xml:space="preserve">CGACCATCAGGCTCACAACC</t>
  </si>
  <si>
    <t xml:space="preserve">TAGTCGACCATCAGGCTCACAACC</t>
  </si>
  <si>
    <t xml:space="preserve">AAACGGTTGTGAGCCTGATGGTCG</t>
  </si>
  <si>
    <t xml:space="preserve">TCGCCCTGCAATGCTTCTAT</t>
  </si>
  <si>
    <t xml:space="preserve">TAGTTCGCCCTGCAATGCTTCTAT</t>
  </si>
  <si>
    <t xml:space="preserve">AAACATAGAAGCATTGCAGGGCGA</t>
  </si>
  <si>
    <t xml:space="preserve">GGTCAGCAACGCCACCATCA</t>
  </si>
  <si>
    <t xml:space="preserve">TAGTGGTCAGCAACGCCACCATCA</t>
  </si>
  <si>
    <t xml:space="preserve">AAACTGATGGTGGCGTTGCTGACC</t>
  </si>
  <si>
    <t xml:space="preserve">PSPPH_5035</t>
  </si>
  <si>
    <t xml:space="preserve">TGACGACTCTCGGGCTGGCA</t>
  </si>
  <si>
    <t xml:space="preserve">TAGTTGACGACTCTCGGGCTGGCA</t>
  </si>
  <si>
    <t xml:space="preserve">AAACTGCCAGCCCGAGAGTCGTCA</t>
  </si>
  <si>
    <t xml:space="preserve">CGGCGCAACGGGTGCCCGCT</t>
  </si>
  <si>
    <t xml:space="preserve">TAGTCGGCGCAACGGGTGCCCGCT</t>
  </si>
  <si>
    <t xml:space="preserve">AAACAGCGGGCACCCGTTGCGCCG</t>
  </si>
  <si>
    <t xml:space="preserve">TTTGATGCCCGCCGCCAGCA</t>
  </si>
  <si>
    <t xml:space="preserve">TAGTTTTGATGCCCGCCGCCAGCA</t>
  </si>
  <si>
    <t xml:space="preserve">AAACTGCTGGCGGCGGGCATCAAA</t>
  </si>
  <si>
    <t xml:space="preserve">CGGTTTTCGTCGATCAGAAT</t>
  </si>
  <si>
    <t xml:space="preserve">TAGTCGGTTTTCGTCGATCAGAAT</t>
  </si>
  <si>
    <t xml:space="preserve">AAACATTCTGATCGACGAAAACCG</t>
  </si>
  <si>
    <t xml:space="preserve">PSPPH_5036</t>
  </si>
  <si>
    <t xml:space="preserve">ACAATCAGCACATCCACTTT</t>
  </si>
  <si>
    <t xml:space="preserve">TAGTACAATCAGCACATCCACTTT</t>
  </si>
  <si>
    <t xml:space="preserve">AAACAAAGTGGATGTGCTGATTGT</t>
  </si>
  <si>
    <t xml:space="preserve">GATCACGTCGCGCTCCAGCA</t>
  </si>
  <si>
    <t xml:space="preserve">TAGTGATCACGTCGCGCTCCAGCA</t>
  </si>
  <si>
    <t xml:space="preserve">AAACTGCTGGAGCGCGACGTGATC</t>
  </si>
  <si>
    <t xml:space="preserve">GCTGACCGAGGTGCCGACCT</t>
  </si>
  <si>
    <t xml:space="preserve">TAGTGCTGACCGAGGTGCCGACCT</t>
  </si>
  <si>
    <t xml:space="preserve">AAACAGGTCGGCACCTCGGTCAGC</t>
  </si>
  <si>
    <t xml:space="preserve">CCACAGTGCTCTGGAGCGGT</t>
  </si>
  <si>
    <t xml:space="preserve">TAGTCCACAGTGCTCTGGAGCGGT</t>
  </si>
  <si>
    <t xml:space="preserve">AAACACCGCTCCAGAGCACTGTGG</t>
  </si>
  <si>
    <t xml:space="preserve">PSPPH_5037</t>
  </si>
  <si>
    <t xml:space="preserve">argE2</t>
  </si>
  <si>
    <t xml:space="preserve">TGAGAATTTCCAGGGCGCGG</t>
  </si>
  <si>
    <t xml:space="preserve">TAGTTGAGAATTTCCAGGGCGCGG</t>
  </si>
  <si>
    <t xml:space="preserve">AAACCCGCGCCCTGGAAATTCTCA</t>
  </si>
  <si>
    <t xml:space="preserve">ACACGGTGTCGAAGGCGATC</t>
  </si>
  <si>
    <t xml:space="preserve">TAGTACACGGTGTCGAAGGCGATC</t>
  </si>
  <si>
    <t xml:space="preserve">AAACGATCGCCTTCGACACCGTGT</t>
  </si>
  <si>
    <t xml:space="preserve">TATTCGATCAGTGCCATGTT</t>
  </si>
  <si>
    <t xml:space="preserve">TAGTTATTCGATCAGTGCCATGTT</t>
  </si>
  <si>
    <t xml:space="preserve">AAACAACATGGCACTGATCGAATA</t>
  </si>
  <si>
    <t xml:space="preserve">CAACGACTCGATGCCTTTGC</t>
  </si>
  <si>
    <t xml:space="preserve">TAGTCAACGACTCGATGCCTTTGC</t>
  </si>
  <si>
    <t xml:space="preserve">AAACGCAAAGGCATCGAGTCGTTG</t>
  </si>
  <si>
    <t xml:space="preserve">PSPPH_5039</t>
  </si>
  <si>
    <t xml:space="preserve">GCATTTCCTGAGTGTGAAAG</t>
  </si>
  <si>
    <t xml:space="preserve">TAGTGCATTTCCTGAGTGTGAAAG</t>
  </si>
  <si>
    <t xml:space="preserve">AAACCTTTCACACTCAGGAAATGC</t>
  </si>
  <si>
    <t xml:space="preserve">TTGTAGAGCAGGGCGGGCAT</t>
  </si>
  <si>
    <t xml:space="preserve">TAGTTTGTAGAGCAGGGCGGGCAT</t>
  </si>
  <si>
    <t xml:space="preserve">AAACATGCCCGCCCTGCTCTACAA</t>
  </si>
  <si>
    <t xml:space="preserve">GCCAGCGTTCGGCGCGTGCG</t>
  </si>
  <si>
    <t xml:space="preserve">TAGTGCCAGCGTTCGGCGCGTGCG</t>
  </si>
  <si>
    <t xml:space="preserve">AAACCGCACGCGCCGAACGCTGGC</t>
  </si>
  <si>
    <t xml:space="preserve">CCGGCGCATGCTCGGCAAAC</t>
  </si>
  <si>
    <t xml:space="preserve">TAGTCCGGCGCATGCTCGGCAAAC</t>
  </si>
  <si>
    <t xml:space="preserve">AAACGTTTGCCGAGCATGCGCCGG</t>
  </si>
  <si>
    <t xml:space="preserve">PSPPH_5040</t>
  </si>
  <si>
    <t xml:space="preserve">gabT3</t>
  </si>
  <si>
    <t xml:space="preserve">TTCGTCGACTTTGCTGTTCA</t>
  </si>
  <si>
    <t xml:space="preserve">TAGTTTCGTCGACTTTGCTGTTCA</t>
  </si>
  <si>
    <t xml:space="preserve">AAACTGAACAGCAAAGTCGACGAA</t>
  </si>
  <si>
    <t xml:space="preserve">CGCTGGCGGAGCAGATGGGG</t>
  </si>
  <si>
    <t xml:space="preserve">TAGTCGCTGGCGGAGCAGATGGGG</t>
  </si>
  <si>
    <t xml:space="preserve">AAACCCCCATCTGCTCCGCCAGCG</t>
  </si>
  <si>
    <t xml:space="preserve">TGGGCCGTGACAATCCCGCG</t>
  </si>
  <si>
    <t xml:space="preserve">TAGTTGGGCCGTGACAATCCCGCG</t>
  </si>
  <si>
    <t xml:space="preserve">AAACCGCGGGATTGTCACGGCCCA</t>
  </si>
  <si>
    <t xml:space="preserve">CCCGGTCGATGACCAGCGGG</t>
  </si>
  <si>
    <t xml:space="preserve">TAGTCCCGGTCGATGACCAGCGGG</t>
  </si>
  <si>
    <t xml:space="preserve">AAACCCCGCTGGTCATCGACCGGG</t>
  </si>
  <si>
    <t xml:space="preserve">PSPPH_5041</t>
  </si>
  <si>
    <t xml:space="preserve">GCGGTAATCAATAAGCCCCA</t>
  </si>
  <si>
    <t xml:space="preserve">TAGTGCGGTAATCAATAAGCCCCA</t>
  </si>
  <si>
    <t xml:space="preserve">AAACTGGGGCTTATTGATTACCGC</t>
  </si>
  <si>
    <t xml:space="preserve">CCGCCCAGACACCCGAATCA</t>
  </si>
  <si>
    <t xml:space="preserve">TAGTCCGCCCAGACACCCGAATCA</t>
  </si>
  <si>
    <t xml:space="preserve">AAACTGATTCGGGTGTCTGGGCGG</t>
  </si>
  <si>
    <t xml:space="preserve">GTCAGGACCGAGTCTTTATC</t>
  </si>
  <si>
    <t xml:space="preserve">TAGTGTCAGGACCGAGTCTTTATC</t>
  </si>
  <si>
    <t xml:space="preserve">AAACGATAAAGACTCGGTCCTGAC</t>
  </si>
  <si>
    <t xml:space="preserve">GCGTACAACATCATCGAATT</t>
  </si>
  <si>
    <t xml:space="preserve">TAGTGCGTACAACATCATCGAATT</t>
  </si>
  <si>
    <t xml:space="preserve">AAACAATTCGATGATGTTGTACGC</t>
  </si>
  <si>
    <t xml:space="preserve">PSPPH_5042</t>
  </si>
  <si>
    <t xml:space="preserve">CGTCTTTCTGGAGTTCTACC</t>
  </si>
  <si>
    <t xml:space="preserve">TAGTCGTCTTTCTGGAGTTCTACC</t>
  </si>
  <si>
    <t xml:space="preserve">AAACGGTAGAACTCCAGAAAGACG</t>
  </si>
  <si>
    <t xml:space="preserve">AAAGCCCGACGGCGTCGGCC</t>
  </si>
  <si>
    <t xml:space="preserve">TAGTAAAGCCCGACGGCGTCGGCC</t>
  </si>
  <si>
    <t xml:space="preserve">AAACGGCCGACGCCGTCGGGCTTT</t>
  </si>
  <si>
    <t xml:space="preserve">GCGCTGCAGGCAAGGGCTCG</t>
  </si>
  <si>
    <t xml:space="preserve">TAGTGCGCTGCAGGCAAGGGCTCG</t>
  </si>
  <si>
    <t xml:space="preserve">AAACCGAGCCCTTGCCTGCAGCGC</t>
  </si>
  <si>
    <t xml:space="preserve">ATTGAGGTGCGCCTTGTAGC</t>
  </si>
  <si>
    <t xml:space="preserve">TAGTATTGAGGTGCGCCTTGTAGC</t>
  </si>
  <si>
    <t xml:space="preserve">AAACGCTACAAGGCGCACCTCAAT</t>
  </si>
  <si>
    <t xml:space="preserve">PSPPH_5043</t>
  </si>
  <si>
    <t xml:space="preserve">TCTGGCCTATTGCGGAATAT</t>
  </si>
  <si>
    <t xml:space="preserve">TAGTTCTGGCCTATTGCGGAATAT</t>
  </si>
  <si>
    <t xml:space="preserve">AAACATATTCCGCAATAGGCCAGA</t>
  </si>
  <si>
    <t xml:space="preserve">AGACGAACATCGGCGAATAC</t>
  </si>
  <si>
    <t xml:space="preserve">TAGTAGACGAACATCGGCGAATAC</t>
  </si>
  <si>
    <t xml:space="preserve">AAACGTATTCGCCGATGTTCGTCT</t>
  </si>
  <si>
    <t xml:space="preserve">GTGGTCAGGCATTACGACCC</t>
  </si>
  <si>
    <t xml:space="preserve">TAGTGTGGTCAGGCATTACGACCC</t>
  </si>
  <si>
    <t xml:space="preserve">AAACGGGTCGTAATGCCTGACCAC</t>
  </si>
  <si>
    <t xml:space="preserve">TTAAGTTGTTGAATCAACAT</t>
  </si>
  <si>
    <t xml:space="preserve">TAGTTTAAGTTGTTGAATCAACAT</t>
  </si>
  <si>
    <t xml:space="preserve">AAACATGTTGATTCAACAACTTAA</t>
  </si>
  <si>
    <t xml:space="preserve">PSPPH_5044</t>
  </si>
  <si>
    <t xml:space="preserve">TCCAGGAAACGAGGGGCTAC</t>
  </si>
  <si>
    <t xml:space="preserve">TAGTTCCAGGAAACGAGGGGCTAC</t>
  </si>
  <si>
    <t xml:space="preserve">AAACGTAGCCCCTCGTTTCCTGGA</t>
  </si>
  <si>
    <t xml:space="preserve">TCCGGTCGGCCTTGCGGTAA</t>
  </si>
  <si>
    <t xml:space="preserve">TAGTTCCGGTCGGCCTTGCGGTAA</t>
  </si>
  <si>
    <t xml:space="preserve">AAACTTACCGCAAGGCCGACCGGA</t>
  </si>
  <si>
    <t xml:space="preserve">GACCACGACTGCCTGGGTGA</t>
  </si>
  <si>
    <t xml:space="preserve">TAGTGACCACGACTGCCTGGGTGA</t>
  </si>
  <si>
    <t xml:space="preserve">AAACTCACCCAGGCAGTCGTGGTC</t>
  </si>
  <si>
    <t xml:space="preserve">CAGCCCGGTCAGCACCACCG</t>
  </si>
  <si>
    <t xml:space="preserve">TAGTCAGCCCGGTCAGCACCACCG</t>
  </si>
  <si>
    <t xml:space="preserve">AAACCGGTGGTGCTGACCGGGCTG</t>
  </si>
  <si>
    <t xml:space="preserve">PSPPH_5045</t>
  </si>
  <si>
    <t xml:space="preserve">GGCCGTTGAAGGCGACCCGC</t>
  </si>
  <si>
    <t xml:space="preserve">TAGTGGCCGTTGAAGGCGACCCGC</t>
  </si>
  <si>
    <t xml:space="preserve">AAACGCGGGTCGCCTTCAACGGCC</t>
  </si>
  <si>
    <t xml:space="preserve">TGACGCCATGCACCACTTCA</t>
  </si>
  <si>
    <t xml:space="preserve">TAGTTGACGCCATGCACCACTTCA</t>
  </si>
  <si>
    <t xml:space="preserve">AAACTGAAGTGGTGCATGGCGTCA</t>
  </si>
  <si>
    <t xml:space="preserve">ACTCGCCACGGCGGATGTCG</t>
  </si>
  <si>
    <t xml:space="preserve">TAGTACTCGCCACGGCGGATGTCG</t>
  </si>
  <si>
    <t xml:space="preserve">AAACCGACATCCGCCGTGGCGAGT</t>
  </si>
  <si>
    <t xml:space="preserve">TGGGTGCTGACGGTTTTCGC</t>
  </si>
  <si>
    <t xml:space="preserve">TAGTTGGGTGCTGACGGTTTTCGC</t>
  </si>
  <si>
    <t xml:space="preserve">AAACGCGAAAACCGTCAGCACCCA</t>
  </si>
  <si>
    <t xml:space="preserve">PSPPH_5046</t>
  </si>
  <si>
    <t xml:space="preserve">TCGAAGCGGCGCCGGGTCTG</t>
  </si>
  <si>
    <t xml:space="preserve">TAGTTCGAAGCGGCGCCGGGTCTG</t>
  </si>
  <si>
    <t xml:space="preserve">AAACCAGACCCGGCGCCGCTTCGA</t>
  </si>
  <si>
    <t xml:space="preserve">CGCGACGGTTGGCCTTGAAC</t>
  </si>
  <si>
    <t xml:space="preserve">TAGTCGCGACGGTTGGCCTTGAAC</t>
  </si>
  <si>
    <t xml:space="preserve">AAACGTTCAAGGCCAACCGTCGCG</t>
  </si>
  <si>
    <t xml:space="preserve">CGCACAGGCAGACCAGCATC</t>
  </si>
  <si>
    <t xml:space="preserve">TAGTCGCACAGGCAGACCAGCATC</t>
  </si>
  <si>
    <t xml:space="preserve">AAACGATGCTGGTCTGCCTGTGCG</t>
  </si>
  <si>
    <t xml:space="preserve">CCGTCGTAGCTGACCAGCAG</t>
  </si>
  <si>
    <t xml:space="preserve">TAGTCCGTCGTAGCTGACCAGCAG</t>
  </si>
  <si>
    <t xml:space="preserve">AAACCTGCTGGTCAGCTACGACGG</t>
  </si>
  <si>
    <t xml:space="preserve">PSPPH_5047</t>
  </si>
  <si>
    <t xml:space="preserve">ATCAAAATGGCCAGCAGCGT</t>
  </si>
  <si>
    <t xml:space="preserve">TAGTATCAAAATGGCCAGCAGCGT</t>
  </si>
  <si>
    <t xml:space="preserve">AAACACGCTGCTGGCCATTTTGAT</t>
  </si>
  <si>
    <t xml:space="preserve">CGGGGGCGGCCTGCACGATC</t>
  </si>
  <si>
    <t xml:space="preserve">TAGTCGGGGGCGGCCTGCACGATC</t>
  </si>
  <si>
    <t xml:space="preserve">AAACGATCGTGCAGGCCGCCCCCG</t>
  </si>
  <si>
    <t xml:space="preserve">GGCCTGCTCGACCGGGCCAC</t>
  </si>
  <si>
    <t xml:space="preserve">TAGTGGCCTGCTCGACCGGGCCAC</t>
  </si>
  <si>
    <t xml:space="preserve">AAACGTGGCCCGGTCGAGCAGGCC</t>
  </si>
  <si>
    <t xml:space="preserve">GAAACCCTGAATGCGCGCAA</t>
  </si>
  <si>
    <t xml:space="preserve">TAGTGAAACCCTGAATGCGCGCAA</t>
  </si>
  <si>
    <t xml:space="preserve">AAACTTGCGCGCATTCAGGGTTTC</t>
  </si>
  <si>
    <t xml:space="preserve">PSPPH_5048</t>
  </si>
  <si>
    <t xml:space="preserve">CGTGGCCCACGGAGCGTTAT</t>
  </si>
  <si>
    <t xml:space="preserve">TAGTCGTGGCCCACGGAGCGTTAT</t>
  </si>
  <si>
    <t xml:space="preserve">AAACATAACGCTCCGTGGGCCACG</t>
  </si>
  <si>
    <t xml:space="preserve">GGATGAAACCTGGGCCGGAG</t>
  </si>
  <si>
    <t xml:space="preserve">TAGTGGATGAAACCTGGGCCGGAG</t>
  </si>
  <si>
    <t xml:space="preserve">AAACCTCCGGCCCAGGTTTCATCC</t>
  </si>
  <si>
    <t xml:space="preserve">AAGCCCCCGGCCGGGGAAGG</t>
  </si>
  <si>
    <t xml:space="preserve">TAGTAAGCCCCCGGCCGGGGAAGG</t>
  </si>
  <si>
    <t xml:space="preserve">AAACCCTTCCCCGGCCGGGGGCTT</t>
  </si>
  <si>
    <t xml:space="preserve">TCCTCGTACGCACTGAATGA</t>
  </si>
  <si>
    <t xml:space="preserve">TAGTTCCTCGTACGCACTGAATGA</t>
  </si>
  <si>
    <t xml:space="preserve">AAACTCATTCAGTGCGTACGAGGA</t>
  </si>
  <si>
    <t xml:space="preserve">PSPPH_5049</t>
  </si>
  <si>
    <t xml:space="preserve">CCGACGCGGTTGTGCCGAGC</t>
  </si>
  <si>
    <t xml:space="preserve">TAGTCCGACGCGGTTGTGCCGAGC</t>
  </si>
  <si>
    <t xml:space="preserve">AAACGCTCGGCACAACCGCGTCGG</t>
  </si>
  <si>
    <t xml:space="preserve">TGGTCCAGACGTTATTGAAA</t>
  </si>
  <si>
    <t xml:space="preserve">TAGTTGGTCCAGACGTTATTGAAA</t>
  </si>
  <si>
    <t xml:space="preserve">AAACTTTCAATAACGTCTGGACCA</t>
  </si>
  <si>
    <t xml:space="preserve">CAGCATGGTTAGTTCCGACT</t>
  </si>
  <si>
    <t xml:space="preserve">TAGTCAGCATGGTTAGTTCCGACT</t>
  </si>
  <si>
    <t xml:space="preserve">AAACAGTCGGAACTAACCATGCTG</t>
  </si>
  <si>
    <t xml:space="preserve">AGTGGTTTGAGGGTGCAACC</t>
  </si>
  <si>
    <t xml:space="preserve">TAGTAGTGGTTTGAGGGTGCAACC</t>
  </si>
  <si>
    <t xml:space="preserve">AAACGGTTGCACCCTCAAACCACT</t>
  </si>
  <si>
    <t xml:space="preserve">PSPPH_5050</t>
  </si>
  <si>
    <t xml:space="preserve">TACTTCATCGCTGTCCTGAG</t>
  </si>
  <si>
    <t xml:space="preserve">TAGTTACTTCATCGCTGTCCTGAG</t>
  </si>
  <si>
    <t xml:space="preserve">AAACCTCAGGACAGCGATGAAGTA</t>
  </si>
  <si>
    <t xml:space="preserve">ACGAGCATCACATCCACCAA</t>
  </si>
  <si>
    <t xml:space="preserve">TAGTACGAGCATCACATCCACCAA</t>
  </si>
  <si>
    <t xml:space="preserve">AAACTTGGTGGATGTGATGCTCGT</t>
  </si>
  <si>
    <t xml:space="preserve">TTGATCGCGTTGGTCATCAG</t>
  </si>
  <si>
    <t xml:space="preserve">TAGTTTGATCGCGTTGGTCATCAG</t>
  </si>
  <si>
    <t xml:space="preserve">AAACCTGATGACCAACGCGATCAA</t>
  </si>
  <si>
    <t xml:space="preserve">CGACTGCATCAGTCTTGGGC</t>
  </si>
  <si>
    <t xml:space="preserve">TAGTCGACTGCATCAGTCTTGGGC</t>
  </si>
  <si>
    <t xml:space="preserve">AAACGCCCAAGACTGATGCAGTCG</t>
  </si>
  <si>
    <t xml:space="preserve">PSPPH_5051</t>
  </si>
  <si>
    <t xml:space="preserve">GGAAGAGAGCGATGCGTTCA</t>
  </si>
  <si>
    <t xml:space="preserve">TAGTGGAAGAGAGCGATGCGTTCA</t>
  </si>
  <si>
    <t xml:space="preserve">AAACTGAACGCATCGCTCTCTTCC</t>
  </si>
  <si>
    <t xml:space="preserve">GAGCACGGCCGGGACAATCA</t>
  </si>
  <si>
    <t xml:space="preserve">TAGTGAGCACGGCCGGGACAATCA</t>
  </si>
  <si>
    <t xml:space="preserve">AAACTGATTGTCCCGGCCGTGCTC</t>
  </si>
  <si>
    <t xml:space="preserve">CAACAGTGCCCAACTCAATA</t>
  </si>
  <si>
    <t xml:space="preserve">TAGTCAACAGTGCCCAACTCAATA</t>
  </si>
  <si>
    <t xml:space="preserve">AAACTATTGAGTTGGGCACTGTTG</t>
  </si>
  <si>
    <t xml:space="preserve">GTTTGTTCTGGGACTTCTGG</t>
  </si>
  <si>
    <t xml:space="preserve">TAGTGTTTGTTCTGGGACTTCTGG</t>
  </si>
  <si>
    <t xml:space="preserve">AAACCCAGAAGTCCCAGAACAAAC</t>
  </si>
  <si>
    <t xml:space="preserve">PSPPH_5052</t>
  </si>
  <si>
    <t xml:space="preserve">tonB4</t>
  </si>
  <si>
    <t xml:space="preserve">GTGTCATCGGGCGAGGGAGA</t>
  </si>
  <si>
    <t xml:space="preserve">TAGTGTGTCATCGGGCGAGGGAGA</t>
  </si>
  <si>
    <t xml:space="preserve">AAACTCTCCCTCGCCCGATGACAC</t>
  </si>
  <si>
    <t xml:space="preserve">CGTGACGTATTGGCGCTGAA</t>
  </si>
  <si>
    <t xml:space="preserve">TAGTCGTGACGTATTGGCGCTGAA</t>
  </si>
  <si>
    <t xml:space="preserve">AAACTTCAGCGCCAATACGTCACG</t>
  </si>
  <si>
    <t xml:space="preserve">TGTGGCTTGTTAAGGCCACC</t>
  </si>
  <si>
    <t xml:space="preserve">TAGTTGTGGCTTGTTAAGGCCACC</t>
  </si>
  <si>
    <t xml:space="preserve">AAACGGTGGCCTTAACAAGCCACA</t>
  </si>
  <si>
    <t xml:space="preserve">TGTACCACCAGATCACACCA</t>
  </si>
  <si>
    <t xml:space="preserve">TAGTTGTACCACCAGATCACACCA</t>
  </si>
  <si>
    <t xml:space="preserve">AAACTGGTGTGATCTGGTGGTACA</t>
  </si>
  <si>
    <t xml:space="preserve">PSPPH_5053</t>
  </si>
  <si>
    <t xml:space="preserve">TAGAGCGCAGAGGTGGTCAT</t>
  </si>
  <si>
    <t xml:space="preserve">TAGTTAGAGCGCAGAGGTGGTCAT</t>
  </si>
  <si>
    <t xml:space="preserve">AAACATGACCACCTCTGCGCTCTA</t>
  </si>
  <si>
    <t xml:space="preserve">TTCATCGACAGGCGTGGTAG</t>
  </si>
  <si>
    <t xml:space="preserve">TAGTTTCATCGACAGGCGTGGTAG</t>
  </si>
  <si>
    <t xml:space="preserve">AAACCTACCACGCCTGTCGATGAA</t>
  </si>
  <si>
    <t xml:space="preserve">GCGGCCCATACAGGCAACCA</t>
  </si>
  <si>
    <t xml:space="preserve">TAGTGCGGCCCATACAGGCAACCA</t>
  </si>
  <si>
    <t xml:space="preserve">AAACTGGTTGCCTGTATGGGCCGC</t>
  </si>
  <si>
    <t xml:space="preserve">TAACCGTGCCCGCTGGATGC</t>
  </si>
  <si>
    <t xml:space="preserve">TAGTTAACCGTGCCCGCTGGATGC</t>
  </si>
  <si>
    <t xml:space="preserve">AAACGCATCCAGCGGGCACGGTTA</t>
  </si>
  <si>
    <t xml:space="preserve">PSPPH_5054</t>
  </si>
  <si>
    <t xml:space="preserve">GCAGGATGTCGAGAATTGCC</t>
  </si>
  <si>
    <t xml:space="preserve">TAGTGCAGGATGTCGAGAATTGCC</t>
  </si>
  <si>
    <t xml:space="preserve">AAACGGCAATTCTCGACATCCTGC</t>
  </si>
  <si>
    <t xml:space="preserve">CGCCACCGAGCGAGTGCAGT</t>
  </si>
  <si>
    <t xml:space="preserve">TAGTCGCCACCGAGCGAGTGCAGT</t>
  </si>
  <si>
    <t xml:space="preserve">AAACACTGCACTCGCTCGGTGGCG</t>
  </si>
  <si>
    <t xml:space="preserve">GCTGCCCAGGCCGATGCGCT</t>
  </si>
  <si>
    <t xml:space="preserve">TAGTGCTGCCCAGGCCGATGCGCT</t>
  </si>
  <si>
    <t xml:space="preserve">AAACAGCGCATCGGCCTGGGCAGC</t>
  </si>
  <si>
    <t xml:space="preserve">CTGGATGCGTCGCCAGCACG</t>
  </si>
  <si>
    <t xml:space="preserve">TAGTCTGGATGCGTCGCCAGCACG</t>
  </si>
  <si>
    <t xml:space="preserve">AAACCGTGCTGGCGACGCATCCAG</t>
  </si>
  <si>
    <t xml:space="preserve">PSPPH_5055</t>
  </si>
  <si>
    <t xml:space="preserve">GCTGTTTGTGAGTATGTGAT</t>
  </si>
  <si>
    <t xml:space="preserve">TAGTGCTGTTTGTGAGTATGTGAT</t>
  </si>
  <si>
    <t xml:space="preserve">AAACATCACATACTCACAAACAGC</t>
  </si>
  <si>
    <t xml:space="preserve">GGGCTGGCGGGGTCTTCTTT</t>
  </si>
  <si>
    <t xml:space="preserve">TAGTGGGCTGGCGGGGTCTTCTTT</t>
  </si>
  <si>
    <t xml:space="preserve">AAACAAAGAAGACCCCGCCAGCCC</t>
  </si>
  <si>
    <t xml:space="preserve">GGTCGTATTGGCCGAGTTCC</t>
  </si>
  <si>
    <t xml:space="preserve">TAGTGGTCGTATTGGCCGAGTTCC</t>
  </si>
  <si>
    <t xml:space="preserve">AAACGGAACTCGGCCAATACGACC</t>
  </si>
  <si>
    <t xml:space="preserve">CGAGTACCGGGTCGGCTTCG</t>
  </si>
  <si>
    <t xml:space="preserve">TAGTCGAGTACCGGGTCGGCTTCG</t>
  </si>
  <si>
    <t xml:space="preserve">AAACCGAAGCCGACCCGGTACTCG</t>
  </si>
  <si>
    <t xml:space="preserve">PSPPH_5056</t>
  </si>
  <si>
    <t xml:space="preserve">CTTGGCTTCAATCAGGGTGT</t>
  </si>
  <si>
    <t xml:space="preserve">TAGTCTTGGCTTCAATCAGGGTGT</t>
  </si>
  <si>
    <t xml:space="preserve">AAACACACCCTGATTGAAGCCAAG</t>
  </si>
  <si>
    <t xml:space="preserve">AGCAACCATTGCCAATAAGC</t>
  </si>
  <si>
    <t xml:space="preserve">TAGTAGCAACCATTGCCAATAAGC</t>
  </si>
  <si>
    <t xml:space="preserve">AAACGCTTATTGGCAATGGTTGCT</t>
  </si>
  <si>
    <t xml:space="preserve">TACTGGCCAAGAAAAATGTC</t>
  </si>
  <si>
    <t xml:space="preserve">TAGTTACTGGCCAAGAAAAATGTC</t>
  </si>
  <si>
    <t xml:space="preserve">AAACGACATTTTTCTTGGCCAGTA</t>
  </si>
  <si>
    <t xml:space="preserve">TTGGTAAGTTCGTCTTTAAC</t>
  </si>
  <si>
    <t xml:space="preserve">TAGTTTGGTAAGTTCGTCTTTAAC</t>
  </si>
  <si>
    <t xml:space="preserve">AAACGTTAAAGACGAACTTACCAA</t>
  </si>
  <si>
    <t xml:space="preserve">PSPPH_5057</t>
  </si>
  <si>
    <t xml:space="preserve">AACGAACGCGGCTTGGCTCA</t>
  </si>
  <si>
    <t xml:space="preserve">TAGTAACGAACGCGGCTTGGCTCA</t>
  </si>
  <si>
    <t xml:space="preserve">AAACTGAGCCAAGCCGCGTTCGTT</t>
  </si>
  <si>
    <t xml:space="preserve">GGGACCACGTGAGGATGCTT</t>
  </si>
  <si>
    <t xml:space="preserve">TAGTGGGACCACGTGAGGATGCTT</t>
  </si>
  <si>
    <t xml:space="preserve">AAACAAGCATCCTCACGTGGTCCC</t>
  </si>
  <si>
    <t xml:space="preserve">AGACAGGCCTGCCCGCTCGC</t>
  </si>
  <si>
    <t xml:space="preserve">TAGTAGACAGGCCTGCCCGCTCGC</t>
  </si>
  <si>
    <t xml:space="preserve">AAACGCGAGCGGGCAGGCCTGTCT</t>
  </si>
  <si>
    <t xml:space="preserve">CAGCTTTCTGGCGACCTGGG</t>
  </si>
  <si>
    <t xml:space="preserve">TAGTCAGCTTTCTGGCGACCTGGG</t>
  </si>
  <si>
    <t xml:space="preserve">AAACCCCAGGTCGCCAGAAAGCTG</t>
  </si>
  <si>
    <t xml:space="preserve">PSPPH_5058</t>
  </si>
  <si>
    <t xml:space="preserve">AAGGAGGTTTGCGGTCTCAT</t>
  </si>
  <si>
    <t xml:space="preserve">TAGTAAGGAGGTTTGCGGTCTCAT</t>
  </si>
  <si>
    <t xml:space="preserve">AAACATGAGACCGCAAACCTCCTT</t>
  </si>
  <si>
    <t xml:space="preserve">AACGTTTTGATAAACGCTGT</t>
  </si>
  <si>
    <t xml:space="preserve">TAGTAACGTTTTGATAAACGCTGT</t>
  </si>
  <si>
    <t xml:space="preserve">AAACACAGCGTTTATCAAAACGTT</t>
  </si>
  <si>
    <t xml:space="preserve">TGCATCCAGCGCTTCTTTCC</t>
  </si>
  <si>
    <t xml:space="preserve">TAGTTGCATCCAGCGCTTCTTTCC</t>
  </si>
  <si>
    <t xml:space="preserve">AAACGGAAAGAAGCGCTGGATGCA</t>
  </si>
  <si>
    <t xml:space="preserve">GAATACGCCACATCGCAAGC</t>
  </si>
  <si>
    <t xml:space="preserve">TAGTGAATACGCCACATCGCAAGC</t>
  </si>
  <si>
    <t xml:space="preserve">AAACGCTTGCGATGTGGCGTATTC</t>
  </si>
  <si>
    <t xml:space="preserve">PSPPH_5059</t>
  </si>
  <si>
    <t xml:space="preserve">AGTTTTAGCCAGTTGGTCCA</t>
  </si>
  <si>
    <t xml:space="preserve">TAGTAGTTTTAGCCAGTTGGTCCA</t>
  </si>
  <si>
    <t xml:space="preserve">AAACTGGACCAACTGGCTAAAACT</t>
  </si>
  <si>
    <t xml:space="preserve">ATATCTCTTTAACTGATCTG</t>
  </si>
  <si>
    <t xml:space="preserve">TAGTATATCTCTTTAACTGATCTG</t>
  </si>
  <si>
    <t xml:space="preserve">AAACCAGATCAGTTAAAGAGATAT</t>
  </si>
  <si>
    <t xml:space="preserve">CCACAGACATAGCTGAGTAT</t>
  </si>
  <si>
    <t xml:space="preserve">TAGTCCACAGACATAGCTGAGTAT</t>
  </si>
  <si>
    <t xml:space="preserve">AAACATACTCAGCTATGTCTGTGG</t>
  </si>
  <si>
    <t xml:space="preserve">GCGACTATTGTTCTGATCGT</t>
  </si>
  <si>
    <t xml:space="preserve">TAGTGCGACTATTGTTCTGATCGT</t>
  </si>
  <si>
    <t xml:space="preserve">AAACACGATCAGAACAATAGTCGC</t>
  </si>
  <si>
    <t xml:space="preserve">PSPPH_5060</t>
  </si>
  <si>
    <t xml:space="preserve">GTATTCTGCGAGTTTGGACA</t>
  </si>
  <si>
    <t xml:space="preserve">TAGTGTATTCTGCGAGTTTGGACA</t>
  </si>
  <si>
    <t xml:space="preserve">AAACTGTCCAAACTCGCAGAATAC</t>
  </si>
  <si>
    <t xml:space="preserve">CGAGGTGTTTTTCCAGCTGA</t>
  </si>
  <si>
    <t xml:space="preserve">TAGTCGAGGTGTTTTTCCAGCTGA</t>
  </si>
  <si>
    <t xml:space="preserve">AAACTCAGCTGGAAAAACACCTCG</t>
  </si>
  <si>
    <t xml:space="preserve">CTCCAGTGCCTGAAGTTGCT</t>
  </si>
  <si>
    <t xml:space="preserve">TAGTCTCCAGTGCCTGAAGTTGCT</t>
  </si>
  <si>
    <t xml:space="preserve">AAACAGCAACTTCAGGCACTGGAG</t>
  </si>
  <si>
    <t xml:space="preserve">CAGGCCCTCGTTGCCTTTCA</t>
  </si>
  <si>
    <t xml:space="preserve">TAGTCAGGCCCTCGTTGCCTTTCA</t>
  </si>
  <si>
    <t xml:space="preserve">AAACTGAAAGGCAACGAGGGCCTG</t>
  </si>
  <si>
    <t xml:space="preserve">PSPPH_5061</t>
  </si>
  <si>
    <t xml:space="preserve">GTCCTTGATGTTGAATACCT</t>
  </si>
  <si>
    <t xml:space="preserve">TAGTGTCCTTGATGTTGAATACCT</t>
  </si>
  <si>
    <t xml:space="preserve">AAACAGGTATTCAACATCAAGGAC</t>
  </si>
  <si>
    <t xml:space="preserve">CCCAAGCGCCGTAGGGTTGG</t>
  </si>
  <si>
    <t xml:space="preserve">TAGTCCCAAGCGCCGTAGGGTTGG</t>
  </si>
  <si>
    <t xml:space="preserve">AAACCCAACCCTACGGCGCTTGGG</t>
  </si>
  <si>
    <t xml:space="preserve">GTTATTGCTGACCTGGCTAC</t>
  </si>
  <si>
    <t xml:space="preserve">TAGTGTTATTGCTGACCTGGCTAC</t>
  </si>
  <si>
    <t xml:space="preserve">AAACGTAGCCAGGTCAGCAATAAC</t>
  </si>
  <si>
    <t xml:space="preserve">CCTGCACGATGAGTTCGATC</t>
  </si>
  <si>
    <t xml:space="preserve">TAGTCCTGCACGATGAGTTCGATC</t>
  </si>
  <si>
    <t xml:space="preserve">AAACGATCGAACTCATCGTGCAGG</t>
  </si>
  <si>
    <t xml:space="preserve">PSPPH_5063</t>
  </si>
  <si>
    <t xml:space="preserve">CGATCATAAATACTCCTACG</t>
  </si>
  <si>
    <t xml:space="preserve">TAGTCGATCATAAATACTCCTACG</t>
  </si>
  <si>
    <t xml:space="preserve">AAACCGTAGGAGTATTTATGATCG</t>
  </si>
  <si>
    <t xml:space="preserve">CAGCCAGACGCTTTTCGGAC</t>
  </si>
  <si>
    <t xml:space="preserve">TAGTCAGCCAGACGCTTTTCGGAC</t>
  </si>
  <si>
    <t xml:space="preserve">AAACGTCCGAAAAGCGTCTGGCTG</t>
  </si>
  <si>
    <t xml:space="preserve">CCAGAGGTGAAATTGCCCTT</t>
  </si>
  <si>
    <t xml:space="preserve">TAGTCCAGAGGTGAAATTGCCCTT</t>
  </si>
  <si>
    <t xml:space="preserve">AAACAAGGGCAATTTCACCTCTGG</t>
  </si>
  <si>
    <t xml:space="preserve">ACCGCAAGGCAACCACACCC</t>
  </si>
  <si>
    <t xml:space="preserve">TAGTACCGCAAGGCAACCACACCC</t>
  </si>
  <si>
    <t xml:space="preserve">AAACGGGTGTGGTTGCCTTGCGGT</t>
  </si>
  <si>
    <t xml:space="preserve">PSPPH_5064</t>
  </si>
  <si>
    <t xml:space="preserve">ACGTGTCCGCCGGGTAAGGA</t>
  </si>
  <si>
    <t xml:space="preserve">TAGTACGTGTCCGCCGGGTAAGGA</t>
  </si>
  <si>
    <t xml:space="preserve">AAACTCCTTACCCGGCGGACACGT</t>
  </si>
  <si>
    <t xml:space="preserve">GTTGAAGCCCTCGCCCGGCG</t>
  </si>
  <si>
    <t xml:space="preserve">TAGTGTTGAAGCCCTCGCCCGGCG</t>
  </si>
  <si>
    <t xml:space="preserve">AAACCGCCGGGCGAGGGCTTCAAC</t>
  </si>
  <si>
    <t xml:space="preserve">TCGAGACAGCAAAGATGTTC</t>
  </si>
  <si>
    <t xml:space="preserve">TAGTTCGAGACAGCAAAGATGTTC</t>
  </si>
  <si>
    <t xml:space="preserve">AAACGAACATCTTTGCTGTCTCGA</t>
  </si>
  <si>
    <t xml:space="preserve">TGTCCGCCTGCGCACCGTGA</t>
  </si>
  <si>
    <t xml:space="preserve">TAGTTGTCCGCCTGCGCACCGTGA</t>
  </si>
  <si>
    <t xml:space="preserve">AAACTCACGGTGCGCAGGCGGACA</t>
  </si>
  <si>
    <t xml:space="preserve">PSPPH_5065</t>
  </si>
  <si>
    <t xml:space="preserve">TGCGGACACGATTTGGGCAT</t>
  </si>
  <si>
    <t xml:space="preserve">TAGTTGCGGACACGATTTGGGCAT</t>
  </si>
  <si>
    <t xml:space="preserve">AAACATGCCCAAATCGTGTCCGCA</t>
  </si>
  <si>
    <t xml:space="preserve">GGCCTGGGATGCGAATAGCC</t>
  </si>
  <si>
    <t xml:space="preserve">TAGTGGCCTGGGATGCGAATAGCC</t>
  </si>
  <si>
    <t xml:space="preserve">AAACGGCTATTCGCATCCCAGGCC</t>
  </si>
  <si>
    <t xml:space="preserve">TGTCATTTTTTGGCCGACGT</t>
  </si>
  <si>
    <t xml:space="preserve">TAGTTGTCATTTTTTGGCCGACGT</t>
  </si>
  <si>
    <t xml:space="preserve">AAACACGTCGGCCAAAAAATGACA</t>
  </si>
  <si>
    <t xml:space="preserve">CCACGTGGGTGGTGTAAGGA</t>
  </si>
  <si>
    <t xml:space="preserve">TAGTCCACGTGGGTGGTGTAAGGA</t>
  </si>
  <si>
    <t xml:space="preserve">AAACTCCTTACACCACCCACGTGG</t>
  </si>
  <si>
    <t xml:space="preserve">PSPPH_5066</t>
  </si>
  <si>
    <t xml:space="preserve">TCACCCGCGTTGAGTCTAAA</t>
  </si>
  <si>
    <t xml:space="preserve">TAGTTCACCCGCGTTGAGTCTAAA</t>
  </si>
  <si>
    <t xml:space="preserve">AAACTTTAGACTCAACGCGGGTGA</t>
  </si>
  <si>
    <t xml:space="preserve">AGCCAAGCAAAGAGCTAGGC</t>
  </si>
  <si>
    <t xml:space="preserve">TAGTAGCCAAGCAAAGAGCTAGGC</t>
  </si>
  <si>
    <t xml:space="preserve">AAACGCCTAGCTCTTTGCTTGGCT</t>
  </si>
  <si>
    <t xml:space="preserve">AATCCAGTTTTCCATTCGCA</t>
  </si>
  <si>
    <t xml:space="preserve">TAGTAATCCAGTTTTCCATTCGCA</t>
  </si>
  <si>
    <t xml:space="preserve">AAACTGCGAATGGAAAACTGGATT</t>
  </si>
  <si>
    <t xml:space="preserve">TTTCCCCTTTTTTATACCAG</t>
  </si>
  <si>
    <t xml:space="preserve">TAGTTTTCCCCTTTTTTATACCAG</t>
  </si>
  <si>
    <t xml:space="preserve">AAACCTGGTATAAAAAAGGGGAAA</t>
  </si>
  <si>
    <t xml:space="preserve">PSPPH_5067</t>
  </si>
  <si>
    <t xml:space="preserve">CCTTAGCAAGTAGAAGAGCG</t>
  </si>
  <si>
    <t xml:space="preserve">TAGTCCTTAGCAAGTAGAAGAGCG</t>
  </si>
  <si>
    <t xml:space="preserve">AAACCGCTCTTCTACTTGCTAAGG</t>
  </si>
  <si>
    <t xml:space="preserve">GATGTATAAACTGGAAACTG</t>
  </si>
  <si>
    <t xml:space="preserve">TAGTGATGTATAAACTGGAAACTG</t>
  </si>
  <si>
    <t xml:space="preserve">AAACCAGTTTCCAGTTTATACATC</t>
  </si>
  <si>
    <t xml:space="preserve">CGAAAACTGCTTTGACATAG</t>
  </si>
  <si>
    <t xml:space="preserve">TAGTCGAAAACTGCTTTGACATAG</t>
  </si>
  <si>
    <t xml:space="preserve">AAACCTATGTCAAAGCAGTTTTCG</t>
  </si>
  <si>
    <t xml:space="preserve">TATATAGCTCACATCCATAA</t>
  </si>
  <si>
    <t xml:space="preserve">TAGTTATATAGCTCACATCCATAA</t>
  </si>
  <si>
    <t xml:space="preserve">AAACTTATGGATGTGAGCTATATA</t>
  </si>
  <si>
    <t xml:space="preserve">PSPPH_5068</t>
  </si>
  <si>
    <t xml:space="preserve">AGCTAGGAATGTTGGCTAAT</t>
  </si>
  <si>
    <t xml:space="preserve">TAGTAGCTAGGAATGTTGGCTAAT</t>
  </si>
  <si>
    <t xml:space="preserve">AAACATTAGCCAACATTCCTAGCT</t>
  </si>
  <si>
    <t xml:space="preserve">GCGTGTTGAATTTATCATCA</t>
  </si>
  <si>
    <t xml:space="preserve">TAGTGCGTGTTGAATTTATCATCA</t>
  </si>
  <si>
    <t xml:space="preserve">AAACTGATGATAAATTCAACACGC</t>
  </si>
  <si>
    <t xml:space="preserve">GCTCTGCAGCCCATCGCTGT</t>
  </si>
  <si>
    <t xml:space="preserve">TAGTGCTCTGCAGCCCATCGCTGT</t>
  </si>
  <si>
    <t xml:space="preserve">AAACACAGCGATGGGCTGCAGAGC</t>
  </si>
  <si>
    <t xml:space="preserve">GAAGCCATTCCAGCTGTCAT</t>
  </si>
  <si>
    <t xml:space="preserve">TAGTGAAGCCATTCCAGCTGTCAT</t>
  </si>
  <si>
    <t xml:space="preserve">AAACATGACAGCTGGAATGGCTTC</t>
  </si>
  <si>
    <t xml:space="preserve">PSPPH_5069</t>
  </si>
  <si>
    <t xml:space="preserve">GCGGCGAAAGCATCGCGGCA</t>
  </si>
  <si>
    <t xml:space="preserve">TAGTGCGGCGAAAGCATCGCGGCA</t>
  </si>
  <si>
    <t xml:space="preserve">AAACTGCCGCGATGCTTTCGCCGC</t>
  </si>
  <si>
    <t xml:space="preserve">TCTTGAATTTAAAAAGGCGC</t>
  </si>
  <si>
    <t xml:space="preserve">TAGTTCTTGAATTTAAAAAGGCGC</t>
  </si>
  <si>
    <t xml:space="preserve">AAACGCGCCTTTTTAAATTCAAGA</t>
  </si>
  <si>
    <t xml:space="preserve">GCTCCTGCTCGGGATTCGCG</t>
  </si>
  <si>
    <t xml:space="preserve">TAGTGCTCCTGCTCGGGATTCGCG</t>
  </si>
  <si>
    <t xml:space="preserve">AAACCGCGAATCCCGAGCAGGAGC</t>
  </si>
  <si>
    <t xml:space="preserve">CAGACCTTCAGACCCTCTAA</t>
  </si>
  <si>
    <t xml:space="preserve">TAGTCAGACCTTCAGACCCTCTAA</t>
  </si>
  <si>
    <t xml:space="preserve">AAACTTAGAGGGTCTGAAGGTCTG</t>
  </si>
  <si>
    <t xml:space="preserve">PSPPH_5070</t>
  </si>
  <si>
    <t xml:space="preserve">CGAAATACGGTCATAAAGGC</t>
  </si>
  <si>
    <t xml:space="preserve">TAGTCGAAATACGGTCATAAAGGC</t>
  </si>
  <si>
    <t xml:space="preserve">AAACGCCTTTATGACCGTATTTCG</t>
  </si>
  <si>
    <t xml:space="preserve">CTCACGCGCCAAAGCCTCAT</t>
  </si>
  <si>
    <t xml:space="preserve">TAGTCTCACGCGCCAAAGCCTCAT</t>
  </si>
  <si>
    <t xml:space="preserve">AAACATGAGGCTTTGGCGCGTGAG</t>
  </si>
  <si>
    <t xml:space="preserve">TCAGGCTCGGGAACGGTCGG</t>
  </si>
  <si>
    <t xml:space="preserve">TAGTTCAGGCTCGGGAACGGTCGG</t>
  </si>
  <si>
    <t xml:space="preserve">AAACCCGACCGTTCCCGAGCCTGA</t>
  </si>
  <si>
    <t xml:space="preserve">TCAAGCGGCAAAACCGGCAC</t>
  </si>
  <si>
    <t xml:space="preserve">TAGTTCAAGCGGCAAAACCGGCAC</t>
  </si>
  <si>
    <t xml:space="preserve">AAACGTGCCGGTTTTGCCGCTTGA</t>
  </si>
  <si>
    <t xml:space="preserve">PSPPH_5071</t>
  </si>
  <si>
    <t xml:space="preserve">GTCCGGTCCTTGAAACCATC</t>
  </si>
  <si>
    <t xml:space="preserve">TAGTGTCCGGTCCTTGAAACCATC</t>
  </si>
  <si>
    <t xml:space="preserve">AAACGATGGTTTCAAGGACCGGAC</t>
  </si>
  <si>
    <t xml:space="preserve">CGCTGGAACGCTGTCGCCCA</t>
  </si>
  <si>
    <t xml:space="preserve">TAGTCGCTGGAACGCTGTCGCCCA</t>
  </si>
  <si>
    <t xml:space="preserve">AAACTGGGCGACAGCGTTCCAGCG</t>
  </si>
  <si>
    <t xml:space="preserve">CGTGAAATCGTGATATTGAG</t>
  </si>
  <si>
    <t xml:space="preserve">TAGTCGTGAAATCGTGATATTGAG</t>
  </si>
  <si>
    <t xml:space="preserve">AAACCTCAATATCACGATTTCACG</t>
  </si>
  <si>
    <t xml:space="preserve">TAGGTGCTCATGTCCTCAGC</t>
  </si>
  <si>
    <t xml:space="preserve">TAGTTAGGTGCTCATGTCCTCAGC</t>
  </si>
  <si>
    <t xml:space="preserve">AAACGCTGAGGACATGAGCACCTA</t>
  </si>
  <si>
    <t xml:space="preserve">PSPPH_5072</t>
  </si>
  <si>
    <t xml:space="preserve">CAAACGCGCTGCTTCGAACA</t>
  </si>
  <si>
    <t xml:space="preserve">TAGTCAAACGCGCTGCTTCGAACA</t>
  </si>
  <si>
    <t xml:space="preserve">AAACTGTTCGAAGCAGCGCGTTTG</t>
  </si>
  <si>
    <t xml:space="preserve">AATCAGGGCCGCGCCAGCAA</t>
  </si>
  <si>
    <t xml:space="preserve">TAGTAATCAGGGCCGCGCCAGCAA</t>
  </si>
  <si>
    <t xml:space="preserve">AAACTTGCTGGCGCGGCCCTGATT</t>
  </si>
  <si>
    <t xml:space="preserve">AAGAACAGCTCCCAACCCGG</t>
  </si>
  <si>
    <t xml:space="preserve">TAGTAAGAACAGCTCCCAACCCGG</t>
  </si>
  <si>
    <t xml:space="preserve">AAACCCGGGTTGGGAGCTGTTCTT</t>
  </si>
  <si>
    <t xml:space="preserve">CCAGCTTTCACCCACCGCTG</t>
  </si>
  <si>
    <t xml:space="preserve">TAGTCCAGCTTTCACCCACCGCTG</t>
  </si>
  <si>
    <t xml:space="preserve">AAACCAGCGGTGGGTGAAAGCTGG</t>
  </si>
  <si>
    <t xml:space="preserve">PSPPH_5073</t>
  </si>
  <si>
    <t xml:space="preserve">GGGTCTTTACCATTATCAAT</t>
  </si>
  <si>
    <t xml:space="preserve">TAGTGGGTCTTTACCATTATCAAT</t>
  </si>
  <si>
    <t xml:space="preserve">AAACATTGATAATGGTAAAGACCC</t>
  </si>
  <si>
    <t xml:space="preserve">CATTTCTAGCCCTTGCGTAG</t>
  </si>
  <si>
    <t xml:space="preserve">TAGTCATTTCTAGCCCTTGCGTAG</t>
  </si>
  <si>
    <t xml:space="preserve">AAACCTACGCAAGGGCTAGAAATG</t>
  </si>
  <si>
    <t xml:space="preserve">CCTAAAAAAGTTTATAACAT</t>
  </si>
  <si>
    <t xml:space="preserve">TAGTCCTAAAAAAGTTTATAACAT</t>
  </si>
  <si>
    <t xml:space="preserve">AAACATGTTATAAACTTTTTTAGG</t>
  </si>
  <si>
    <t xml:space="preserve">AATCTCCTTCTAAATTGTCG</t>
  </si>
  <si>
    <t xml:space="preserve">TAGTAATCTCCTTCTAAATTGTCG</t>
  </si>
  <si>
    <t xml:space="preserve">AAACCGACAATTTAGAAGGAGATT</t>
  </si>
  <si>
    <t xml:space="preserve">PSPPH_5074</t>
  </si>
  <si>
    <t xml:space="preserve">CCCAGCGGTACTCGCAGGTC</t>
  </si>
  <si>
    <t xml:space="preserve">TAGTCCCAGCGGTACTCGCAGGTC</t>
  </si>
  <si>
    <t xml:space="preserve">AAACGACCTGCGAGTACCGCTGGG</t>
  </si>
  <si>
    <t xml:space="preserve">GACACGTGGCTGGCCGTCGA</t>
  </si>
  <si>
    <t xml:space="preserve">TAGTGACACGTGGCTGGCCGTCGA</t>
  </si>
  <si>
    <t xml:space="preserve">AAACTCGACGGCCAGCCACGTGTC</t>
  </si>
  <si>
    <t xml:space="preserve">GTGGAAATGCTCACCGTCGC</t>
  </si>
  <si>
    <t xml:space="preserve">TAGTGTGGAAATGCTCACCGTCGC</t>
  </si>
  <si>
    <t xml:space="preserve">AAACGCGACGGTGAGCATTTCCAC</t>
  </si>
  <si>
    <t xml:space="preserve">TGCGGGCCTCGCGGTCGTAG</t>
  </si>
  <si>
    <t xml:space="preserve">TAGTTGCGGGCCTCGCGGTCGTAG</t>
  </si>
  <si>
    <t xml:space="preserve">AAACCTACGACCGCGAGGCCCGCA</t>
  </si>
  <si>
    <t xml:space="preserve">PSPPH_5077</t>
  </si>
  <si>
    <t xml:space="preserve">AGTCCCTTTTTTATTGCGTT</t>
  </si>
  <si>
    <t xml:space="preserve">TAGTAGTCCCTTTTTTATTGCGTT</t>
  </si>
  <si>
    <t xml:space="preserve">AAACAACGCAATAAAAAAGGGACT</t>
  </si>
  <si>
    <t xml:space="preserve">TTGTGCCAAATAAGGCAATC</t>
  </si>
  <si>
    <t xml:space="preserve">TAGTTTGTGCCAAATAAGGCAATC</t>
  </si>
  <si>
    <t xml:space="preserve">AAACGATTGCCTTATTTGGCACAA</t>
  </si>
  <si>
    <t xml:space="preserve">TGAGCAGGGTAAAGAGACCG</t>
  </si>
  <si>
    <t xml:space="preserve">TAGTTGAGCAGGGTAAAGAGACCG</t>
  </si>
  <si>
    <t xml:space="preserve">AAACCGGTCTCTTTACCCTGCTCA</t>
  </si>
  <si>
    <t xml:space="preserve">TTGCAGTGAAGCTTTCGCTC</t>
  </si>
  <si>
    <t xml:space="preserve">TAGTTTGCAGTGAAGCTTTCGCTC</t>
  </si>
  <si>
    <t xml:space="preserve">AAACGAGCGAAAGCTTCACTGCAA</t>
  </si>
  <si>
    <t xml:space="preserve">PSPPH_5078</t>
  </si>
  <si>
    <t xml:space="preserve">AATCACCATCGGCTCCGGCG</t>
  </si>
  <si>
    <t xml:space="preserve">TAGTAATCACCATCGGCTCCGGCG</t>
  </si>
  <si>
    <t xml:space="preserve">AAACCGCCGGAGCCGATGGTGATT</t>
  </si>
  <si>
    <t xml:space="preserve">GGAAAGCGGCAACGTGGCTG</t>
  </si>
  <si>
    <t xml:space="preserve">TAGTGGAAAGCGGCAACGTGGCTG</t>
  </si>
  <si>
    <t xml:space="preserve">AAACCAGCCACGTTGCCGCTTTCC</t>
  </si>
  <si>
    <t xml:space="preserve">AGGACAGCAGATAACGAGAG</t>
  </si>
  <si>
    <t xml:space="preserve">TAGTAGGACAGCAGATAACGAGAG</t>
  </si>
  <si>
    <t xml:space="preserve">AAACCTCTCGTTATCTGCTGTCCT</t>
  </si>
  <si>
    <t xml:space="preserve">CATGAAGATCGGAGTCAGAA</t>
  </si>
  <si>
    <t xml:space="preserve">TAGTCATGAAGATCGGAGTCAGAA</t>
  </si>
  <si>
    <t xml:space="preserve">AAACTTCTGACTCCGATCTTCATG</t>
  </si>
  <si>
    <t xml:space="preserve">PSPPH_5079</t>
  </si>
  <si>
    <t xml:space="preserve">CCAGCAGGTACAGAAGGGGC</t>
  </si>
  <si>
    <t xml:space="preserve">TAGTCCAGCAGGTACAGAAGGGGC</t>
  </si>
  <si>
    <t xml:space="preserve">AAACGCCCCTTCTGTACCTGCTGG</t>
  </si>
  <si>
    <t xml:space="preserve">CAGCACATCATCCCACCATT</t>
  </si>
  <si>
    <t xml:space="preserve">TAGTCAGCACATCATCCCACCATT</t>
  </si>
  <si>
    <t xml:space="preserve">AAACAATGGTGGGATGATGTGCTG</t>
  </si>
  <si>
    <t xml:space="preserve">ACCTGATGCTGCTGAAAATG</t>
  </si>
  <si>
    <t xml:space="preserve">TAGTACCTGATGCTGCTGAAAATG</t>
  </si>
  <si>
    <t xml:space="preserve">AAACCATTTTCAGCAGCATCAGGT</t>
  </si>
  <si>
    <t xml:space="preserve">CCGAAGCCTGGCAGTTCCAG</t>
  </si>
  <si>
    <t xml:space="preserve">TAGTCCGAAGCCTGGCAGTTCCAG</t>
  </si>
  <si>
    <t xml:space="preserve">AAACCTGGAACTGCCAGGCTTCGG</t>
  </si>
  <si>
    <t xml:space="preserve">PSPPH_5080</t>
  </si>
  <si>
    <t xml:space="preserve">CGCAGCGTGGTAGAAGGGAG</t>
  </si>
  <si>
    <t xml:space="preserve">TAGTCGCAGCGTGGTAGAAGGGAG</t>
  </si>
  <si>
    <t xml:space="preserve">AAACCTCCCTTCTACCACGCTGCG</t>
  </si>
  <si>
    <t xml:space="preserve">ACAACCAGATCACCAGCGTG</t>
  </si>
  <si>
    <t xml:space="preserve">TAGTACAACCAGATCACCAGCGTG</t>
  </si>
  <si>
    <t xml:space="preserve">AAACCACGCTGGTGATCTGGTTGT</t>
  </si>
  <si>
    <t xml:space="preserve">CAGCACGTGCGCGACCGCGA</t>
  </si>
  <si>
    <t xml:space="preserve">TAGTCAGCACGTGCGCGACCGCGA</t>
  </si>
  <si>
    <t xml:space="preserve">AAACTCGCGGTCGCGCACGTGCTG</t>
  </si>
  <si>
    <t xml:space="preserve">CAAGCCGGAAAAACCTGCCC</t>
  </si>
  <si>
    <t xml:space="preserve">TAGTCAAGCCGGAAAAACCTGCCC</t>
  </si>
  <si>
    <t xml:space="preserve">AAACGGGCAGGTTTTTCCGGCTTG</t>
  </si>
  <si>
    <t xml:space="preserve">PSPPH_5081</t>
  </si>
  <si>
    <t xml:space="preserve">acpP2</t>
  </si>
  <si>
    <t xml:space="preserve">TTCTGATAGGCCAAGTTTCT</t>
  </si>
  <si>
    <t xml:space="preserve">TAGTTTCTGATAGGCCAAGTTTCT</t>
  </si>
  <si>
    <t xml:space="preserve">AAACAGAAACTTGGCCTATCAGAA</t>
  </si>
  <si>
    <t xml:space="preserve">TCTTCGACTAACCTGTCTGT</t>
  </si>
  <si>
    <t xml:space="preserve">TAGTTCTTCGACTAACCTGTCTGT</t>
  </si>
  <si>
    <t xml:space="preserve">AAACACAGACAGGTTAGTCGAAGA</t>
  </si>
  <si>
    <t xml:space="preserve">TAACGGCTTCTGCGAAATCC</t>
  </si>
  <si>
    <t xml:space="preserve">TAGTTAACGGCTTCTGCGAAATCC</t>
  </si>
  <si>
    <t xml:space="preserve">AAACGGATTTCGCAGAAGCCGTTA</t>
  </si>
  <si>
    <t xml:space="preserve">ATTCGAGATATTCTTTGTCC</t>
  </si>
  <si>
    <t xml:space="preserve">TAGTATTCGAGATATTCTTTGTCC</t>
  </si>
  <si>
    <t xml:space="preserve">AAACGGACAAAGAATATCTCGAAT</t>
  </si>
  <si>
    <t xml:space="preserve">PSPPH_5082</t>
  </si>
  <si>
    <t xml:space="preserve">GCGACCCACTATCCACAACA</t>
  </si>
  <si>
    <t xml:space="preserve">TAGTGCGACCCACTATCCACAACA</t>
  </si>
  <si>
    <t xml:space="preserve">AAACTGTTGTGGATAGTGGGTCGC</t>
  </si>
  <si>
    <t xml:space="preserve">CCGACATAGCGCAGAACCGT</t>
  </si>
  <si>
    <t xml:space="preserve">TAGTCCGACATAGCGCAGAACCGT</t>
  </si>
  <si>
    <t xml:space="preserve">AAACACGGTTCTGCGCTATGTCGG</t>
  </si>
  <si>
    <t xml:space="preserve">GATGCCGCAATAGCTCAAGA</t>
  </si>
  <si>
    <t xml:space="preserve">TAGTGATGCCGCAATAGCTCAAGA</t>
  </si>
  <si>
    <t xml:space="preserve">AAACTCTTGAGCTATTGCGGCATC</t>
  </si>
  <si>
    <t xml:space="preserve">CAGCAATGCCGCAAAGCTGG</t>
  </si>
  <si>
    <t xml:space="preserve">TAGTCAGCAATGCCGCAAAGCTGG</t>
  </si>
  <si>
    <t xml:space="preserve">AAACCCAGCTTTGCGGCATTGCTG</t>
  </si>
  <si>
    <t xml:space="preserve">PSPPH_5083</t>
  </si>
  <si>
    <t xml:space="preserve">CGAAGCCTGTCAGGTAGACC</t>
  </si>
  <si>
    <t xml:space="preserve">TAGTCGAAGCCTGTCAGGTAGACC</t>
  </si>
  <si>
    <t xml:space="preserve">AAACGGTCTACCTGACAGGCTTCG</t>
  </si>
  <si>
    <t xml:space="preserve">ACCTGACCGAAGTCGACGTG</t>
  </si>
  <si>
    <t xml:space="preserve">TAGTACCTGACCGAAGTCGACGTG</t>
  </si>
  <si>
    <t xml:space="preserve">AAACCACGTCGACTTCGGTCAGGT</t>
  </si>
  <si>
    <t xml:space="preserve">AAAGCGTGCCGCGACAGACT</t>
  </si>
  <si>
    <t xml:space="preserve">TAGTAAAGCGTGCCGCGACAGACT</t>
  </si>
  <si>
    <t xml:space="preserve">AAACAGTCTGTCGCGGCACGCTTT</t>
  </si>
  <si>
    <t xml:space="preserve">CACAGGCTGATCTTGGCGTT</t>
  </si>
  <si>
    <t xml:space="preserve">TAGTCACAGGCTGATCTTGGCGTT</t>
  </si>
  <si>
    <t xml:space="preserve">AAACAACGCCAAGATCAGCCTGTG</t>
  </si>
  <si>
    <t xml:space="preserve">PSPPH_5084</t>
  </si>
  <si>
    <t xml:space="preserve">CAGTTGATTGCCCGTGTACC</t>
  </si>
  <si>
    <t xml:space="preserve">TAGTCAGTTGATTGCCCGTGTACC</t>
  </si>
  <si>
    <t xml:space="preserve">AAACGGTACACGGGCAATCAACTG</t>
  </si>
  <si>
    <t xml:space="preserve">TTCCTGGTTGGCCTTGCTGA</t>
  </si>
  <si>
    <t xml:space="preserve">TAGTTTCCTGGTTGGCCTTGCTGA</t>
  </si>
  <si>
    <t xml:space="preserve">AAACTCAGCAAGGCCAACCAGGAA</t>
  </si>
  <si>
    <t xml:space="preserve">TTCCAGTTTGACGCTGGTGT</t>
  </si>
  <si>
    <t xml:space="preserve">TAGTTTCCAGTTTGACGCTGGTGT</t>
  </si>
  <si>
    <t xml:space="preserve">AAACACACCAGCGTCAAACTGGAA</t>
  </si>
  <si>
    <t xml:space="preserve">GGGTGCTATCGGACAGGTTC</t>
  </si>
  <si>
    <t xml:space="preserve">TAGTGGGTGCTATCGGACAGGTTC</t>
  </si>
  <si>
    <t xml:space="preserve">AAACGAACCTGTCCGATAGCACCC</t>
  </si>
  <si>
    <t xml:space="preserve">PSPPH_5085</t>
  </si>
  <si>
    <t xml:space="preserve">GGCCTTGATCGGGCCTCGTT</t>
  </si>
  <si>
    <t xml:space="preserve">TAGTGGCCTTGATCGGGCCTCGTT</t>
  </si>
  <si>
    <t xml:space="preserve">AAACAACGAGGCCCGATCAAGGCC</t>
  </si>
  <si>
    <t xml:space="preserve">GCCATCCATGTCGAAAATGA</t>
  </si>
  <si>
    <t xml:space="preserve">TAGTGCCATCCATGTCGAAAATGA</t>
  </si>
  <si>
    <t xml:space="preserve">AAACTCATTTTCGACATGGATGGC</t>
  </si>
  <si>
    <t xml:space="preserve">CCCCCTCGGTGTCCAGCAAC</t>
  </si>
  <si>
    <t xml:space="preserve">TAGTCCCCCTCGGTGTCCAGCAAC</t>
  </si>
  <si>
    <t xml:space="preserve">AAACGTTGCTGGACACCGAGGGGG</t>
  </si>
  <si>
    <t xml:space="preserve">GGCGATCAAGTGGGTGACTT</t>
  </si>
  <si>
    <t xml:space="preserve">TAGTGGCGATCAAGTGGGTGACTT</t>
  </si>
  <si>
    <t xml:space="preserve">AAACAAGTCACCCACTTGATCGCC</t>
  </si>
  <si>
    <t xml:space="preserve">PSPPH_5086</t>
  </si>
  <si>
    <t xml:space="preserve">CTTGAGGCCGGACTGGCCGA</t>
  </si>
  <si>
    <t xml:space="preserve">TAGTCTTGAGGCCGGACTGGCCGA</t>
  </si>
  <si>
    <t xml:space="preserve">AAACTCGGCCAGTCCGGCCTCAAG</t>
  </si>
  <si>
    <t xml:space="preserve">CATCGAGCCGAGTGTCAGGG</t>
  </si>
  <si>
    <t xml:space="preserve">TAGTCATCGAGCCGAGTGTCAGGG</t>
  </si>
  <si>
    <t xml:space="preserve">AAACCCCTGACACTCGGCTCGATG</t>
  </si>
  <si>
    <t xml:space="preserve">GCGCAAGGACTCTTCGGCAC</t>
  </si>
  <si>
    <t xml:space="preserve">TAGTGCGCAAGGACTCTTCGGCAC</t>
  </si>
  <si>
    <t xml:space="preserve">AAACGTGCCGAAGAGTCCTTGCGC</t>
  </si>
  <si>
    <t xml:space="preserve">GAAATTGATGCCCTGATCCC</t>
  </si>
  <si>
    <t xml:space="preserve">TAGTGAAATTGATGCCCTGATCCC</t>
  </si>
  <si>
    <t xml:space="preserve">AAACGGGATCAGGGCATCAATTTC</t>
  </si>
  <si>
    <t xml:space="preserve">PSPPH_5087</t>
  </si>
  <si>
    <t xml:space="preserve">TCTCTATCTGATTTGCGCAT</t>
  </si>
  <si>
    <t xml:space="preserve">TAGTTCTCTATCTGATTTGCGCAT</t>
  </si>
  <si>
    <t xml:space="preserve">AAACATGCGCAAATCAGATAGAGA</t>
  </si>
  <si>
    <t xml:space="preserve">GCCGAGTACGGAGCTTAGAA</t>
  </si>
  <si>
    <t xml:space="preserve">TAGTGCCGAGTACGGAGCTTAGAA</t>
  </si>
  <si>
    <t xml:space="preserve">AAACTTCTAAGCTCCGTACTCGGC</t>
  </si>
  <si>
    <t xml:space="preserve">GTTCTGGCAAGGTGCGCCGG</t>
  </si>
  <si>
    <t xml:space="preserve">TAGTGTTCTGGCAAGGTGCGCCGG</t>
  </si>
  <si>
    <t xml:space="preserve">AAACCCGGCGCACCTTGCCAGAAC</t>
  </si>
  <si>
    <t xml:space="preserve">TCGCAGCTTTTCTTCAATCA</t>
  </si>
  <si>
    <t xml:space="preserve">TAGTTCGCAGCTTTTCTTCAATCA</t>
  </si>
  <si>
    <t xml:space="preserve">AAACTGATTGAAGAAAAGCTGCGA</t>
  </si>
  <si>
    <t xml:space="preserve">PSPPH_5088</t>
  </si>
  <si>
    <t xml:space="preserve">AATTTGCCGCAACTGCACGT</t>
  </si>
  <si>
    <t xml:space="preserve">TAGTAATTTGCCGCAACTGCACGT</t>
  </si>
  <si>
    <t xml:space="preserve">AAACACGTGCAGTTGCGGCAAATT</t>
  </si>
  <si>
    <t xml:space="preserve">CAAGGCGAACAAAGGCCTGA</t>
  </si>
  <si>
    <t xml:space="preserve">TAGTCAAGGCGAACAAAGGCCTGA</t>
  </si>
  <si>
    <t xml:space="preserve">AAACTCAGGCCTTTGTTCGCCTTG</t>
  </si>
  <si>
    <t xml:space="preserve">GTTGCCCGTGCCGGATGAAT</t>
  </si>
  <si>
    <t xml:space="preserve">TAGTGTTGCCCGTGCCGGATGAAT</t>
  </si>
  <si>
    <t xml:space="preserve">AAACATTCATCCGGCACGGGCAAC</t>
  </si>
  <si>
    <t xml:space="preserve">GTGGTCATGGTAGCGGTAGT</t>
  </si>
  <si>
    <t xml:space="preserve">TAGTGTGGTCATGGTAGCGGTAGT</t>
  </si>
  <si>
    <t xml:space="preserve">AAACACTACCGCTACCATGACCAC</t>
  </si>
  <si>
    <t xml:space="preserve">PSPPH_5089</t>
  </si>
  <si>
    <t xml:space="preserve">GACGGGTACGGATGGTGGCG</t>
  </si>
  <si>
    <t xml:space="preserve">TAGTGACGGGTACGGATGGTGGCG</t>
  </si>
  <si>
    <t xml:space="preserve">AAACCGCCACCATCCGTACCCGTC</t>
  </si>
  <si>
    <t xml:space="preserve">TCGTTCTCGACCATTCTGCG</t>
  </si>
  <si>
    <t xml:space="preserve">TAGTTCGTTCTCGACCATTCTGCG</t>
  </si>
  <si>
    <t xml:space="preserve">AAACCGCAGAATGGTCGAGAACGA</t>
  </si>
  <si>
    <t xml:space="preserve">CCAGCGGCTGACGGCTGAGG</t>
  </si>
  <si>
    <t xml:space="preserve">TAGTCCAGCGGCTGACGGCTGAGG</t>
  </si>
  <si>
    <t xml:space="preserve">AAACCCTCAGCCGTCAGCCGCTGG</t>
  </si>
  <si>
    <t xml:space="preserve">GCGTAAATGCGCGCACTCGC</t>
  </si>
  <si>
    <t xml:space="preserve">TAGTGCGTAAATGCGCGCACTCGC</t>
  </si>
  <si>
    <t xml:space="preserve">AAACGCGAGTGCGCGCATTTACGC</t>
  </si>
  <si>
    <t xml:space="preserve">PSPPH_5090</t>
  </si>
  <si>
    <t xml:space="preserve">GACCGATGAGCACAATCTCC</t>
  </si>
  <si>
    <t xml:space="preserve">TAGTGACCGATGAGCACAATCTCC</t>
  </si>
  <si>
    <t xml:space="preserve">AAACGGAGATTGTGCTCATCGGTC</t>
  </si>
  <si>
    <t xml:space="preserve">TATTTAGCTCGCTCAGGGTC</t>
  </si>
  <si>
    <t xml:space="preserve">TAGTTATTTAGCTCGCTCAGGGTC</t>
  </si>
  <si>
    <t xml:space="preserve">AAACGACCCTGAGCGAGCTAAATA</t>
  </si>
  <si>
    <t xml:space="preserve">ATGCCCGTGGTCCTGAAGCT</t>
  </si>
  <si>
    <t xml:space="preserve">TAGTATGCCCGTGGTCCTGAAGCT</t>
  </si>
  <si>
    <t xml:space="preserve">AAACAGCTTCAGGACCACGGGCAT</t>
  </si>
  <si>
    <t xml:space="preserve">ACAGTGCCTGCTGGTCAGAC</t>
  </si>
  <si>
    <t xml:space="preserve">TAGTACAGTGCCTGCTGGTCAGAC</t>
  </si>
  <si>
    <t xml:space="preserve">AAACGTCTGACCAGCAGGCACTGT</t>
  </si>
  <si>
    <t xml:space="preserve">PSPPH_5091</t>
  </si>
  <si>
    <t xml:space="preserve">GGGTTCTGGATAAGGGTGTC</t>
  </si>
  <si>
    <t xml:space="preserve">TAGTGGGTTCTGGATAAGGGTGTC</t>
  </si>
  <si>
    <t xml:space="preserve">AAACGACACCCTTATCCAGAACCC</t>
  </si>
  <si>
    <t xml:space="preserve">AAGCCACTCGGCACGACACC</t>
  </si>
  <si>
    <t xml:space="preserve">TAGTAAGCCACTCGGCACGACACC</t>
  </si>
  <si>
    <t xml:space="preserve">AAACGGTGTCGTGCCGAGTGGCTT</t>
  </si>
  <si>
    <t xml:space="preserve">TGCATTACCGGGGACTTCCA</t>
  </si>
  <si>
    <t xml:space="preserve">TAGTTGCATTACCGGGGACTTCCA</t>
  </si>
  <si>
    <t xml:space="preserve">AAACTGGAAGTCCCCGGTAATGCA</t>
  </si>
  <si>
    <t xml:space="preserve">CCCGACCACAGCCCATACGC</t>
  </si>
  <si>
    <t xml:space="preserve">TAGTCCCGACCACAGCCCATACGC</t>
  </si>
  <si>
    <t xml:space="preserve">AAACGCGTATGGGCTGTGGTCGGG</t>
  </si>
  <si>
    <t xml:space="preserve">PSPPH_5097</t>
  </si>
  <si>
    <t xml:space="preserve">GCGAGAACGGAAAGTGGAGT</t>
  </si>
  <si>
    <t xml:space="preserve">TAGTGCGAGAACGGAAAGTGGAGT</t>
  </si>
  <si>
    <t xml:space="preserve">AAACACTCCACTTTCCGTTCTCGC</t>
  </si>
  <si>
    <t xml:space="preserve">TTGATCGCGATGAGCAAGGG</t>
  </si>
  <si>
    <t xml:space="preserve">TAGTTTGATCGCGATGAGCAAGGG</t>
  </si>
  <si>
    <t xml:space="preserve">AAACCCCTTGCTCATCGCGATCAA</t>
  </si>
  <si>
    <t xml:space="preserve">AGTTCATGGCCTGATTAGCC</t>
  </si>
  <si>
    <t xml:space="preserve">TAGTAGTTCATGGCCTGATTAGCC</t>
  </si>
  <si>
    <t xml:space="preserve">AAACGGCTAATCAGGCCATGAACT</t>
  </si>
  <si>
    <t xml:space="preserve">TGGGCGCAACGCCGGTGGTC</t>
  </si>
  <si>
    <t xml:space="preserve">TAGTTGGGCGCAACGCCGGTGGTC</t>
  </si>
  <si>
    <t xml:space="preserve">AAACGACCACCGGCGTTGCGCCCA</t>
  </si>
  <si>
    <t xml:space="preserve">PSPPH_5098</t>
  </si>
  <si>
    <t xml:space="preserve">pntAA</t>
  </si>
  <si>
    <t xml:space="preserve">TCGCCCGCTTGCGTTTCGAG</t>
  </si>
  <si>
    <t xml:space="preserve">TAGTTCGCCCGCTTGCGTTTCGAG</t>
  </si>
  <si>
    <t xml:space="preserve">AAACCTCGAAACGCAAGCGGGCGA</t>
  </si>
  <si>
    <t xml:space="preserve">TTCCGGGGTAGCAGCTACCC</t>
  </si>
  <si>
    <t xml:space="preserve">TAGTTTCCGGGGTAGCAGCTACCC</t>
  </si>
  <si>
    <t xml:space="preserve">AAACGGGTAGCTGCTACCCCGGAA</t>
  </si>
  <si>
    <t xml:space="preserve">TTGGCTGATCAGCTTTTTGA</t>
  </si>
  <si>
    <t xml:space="preserve">TAGTTTGGCTGATCAGCTTTTTGA</t>
  </si>
  <si>
    <t xml:space="preserve">AAACTCAAAAAGCTGATCAGCCAA</t>
  </si>
  <si>
    <t xml:space="preserve">GCAGCTTCGTAAGCGCTGTC</t>
  </si>
  <si>
    <t xml:space="preserve">TAGTGCAGCTTCGTAAGCGCTGTC</t>
  </si>
  <si>
    <t xml:space="preserve">AAACGACAGCGCTTACGAAGCTGC</t>
  </si>
  <si>
    <t xml:space="preserve">PSPPH_5099</t>
  </si>
  <si>
    <t xml:space="preserve">pntAB</t>
  </si>
  <si>
    <t xml:space="preserve">GGGGAAATCAGCTCTTCCAT</t>
  </si>
  <si>
    <t xml:space="preserve">TAGTGGGGAAATCAGCTCTTCCAT</t>
  </si>
  <si>
    <t xml:space="preserve">AAACATGGAAGAGCTGATTTCCCC</t>
  </si>
  <si>
    <t xml:space="preserve">TGATCAGGTTATAGACGCCG</t>
  </si>
  <si>
    <t xml:space="preserve">TAGTTGATCAGGTTATAGACGCCG</t>
  </si>
  <si>
    <t xml:space="preserve">AAACCGGCGTCTATAACCTGATCA</t>
  </si>
  <si>
    <t xml:space="preserve">GCGTGACGTTCCAGACCACG</t>
  </si>
  <si>
    <t xml:space="preserve">TAGTGCGTGACGTTCCAGACCACG</t>
  </si>
  <si>
    <t xml:space="preserve">AAACCGTGGTCTGGAACGTCACGC</t>
  </si>
  <si>
    <t xml:space="preserve">ATGAGTGGCGTGTGCAGCGC</t>
  </si>
  <si>
    <t xml:space="preserve">TAGTATGAGTGGCGTGTGCAGCGC</t>
  </si>
  <si>
    <t xml:space="preserve">AAACGCGCTGCACACGCCACTCAT</t>
  </si>
  <si>
    <t xml:space="preserve">PSPPH_5100</t>
  </si>
  <si>
    <t xml:space="preserve">pntB</t>
  </si>
  <si>
    <t xml:space="preserve">CGACGCGATCAGATACAGCA</t>
  </si>
  <si>
    <t xml:space="preserve">TAGTCGACGCGATCAGATACAGCA</t>
  </si>
  <si>
    <t xml:space="preserve">AAACTGCTGTATCTGATCGCGTCG</t>
  </si>
  <si>
    <t xml:space="preserve">GTGACAAGCCTTTGAGTGCC</t>
  </si>
  <si>
    <t xml:space="preserve">TAGTGTGACAAGCCTTTGAGTGCC</t>
  </si>
  <si>
    <t xml:space="preserve">AAACGGCACTCAAAGGCTTGTCAC</t>
  </si>
  <si>
    <t xml:space="preserve">TGCCGCAGCGTGAGGTGGTG</t>
  </si>
  <si>
    <t xml:space="preserve">TAGTTGCCGCAGCGTGAGGTGGTG</t>
  </si>
  <si>
    <t xml:space="preserve">AAACCACCACCTCACGCTGCGGCA</t>
  </si>
  <si>
    <t xml:space="preserve">GCCCGCACTGGTACCTTCAG</t>
  </si>
  <si>
    <t xml:space="preserve">TAGTGCCCGCACTGGTACCTTCAG</t>
  </si>
  <si>
    <t xml:space="preserve">AAACCTGAAGGTACCAGTGCGGGC</t>
  </si>
  <si>
    <t xml:space="preserve">PSPPH_5101</t>
  </si>
  <si>
    <t xml:space="preserve">psecoA</t>
  </si>
  <si>
    <t xml:space="preserve">GCGGATACGGTCACGGTACA</t>
  </si>
  <si>
    <t xml:space="preserve">TAGTGCGGATACGGTCACGGTACA</t>
  </si>
  <si>
    <t xml:space="preserve">AAACTGTACCGTGACCGTATCCGC</t>
  </si>
  <si>
    <t xml:space="preserve">CCTTGCTCATCAGGGAGGGC</t>
  </si>
  <si>
    <t xml:space="preserve">TAGTCCTTGCTCATCAGGGAGGGC</t>
  </si>
  <si>
    <t xml:space="preserve">AAACGCCCTCCCTGATGAGCAAGG</t>
  </si>
  <si>
    <t xml:space="preserve">TTCAATCAAGGCGGCAGCGT</t>
  </si>
  <si>
    <t xml:space="preserve">TAGTTTCAATCAAGGCGGCAGCGT</t>
  </si>
  <si>
    <t xml:space="preserve">AAACACGCTGCCGCCTTGATTGAA</t>
  </si>
  <si>
    <t xml:space="preserve">GGTGAAGCCACTCATGCCGA</t>
  </si>
  <si>
    <t xml:space="preserve">TAGTGGTGAAGCCACTCATGCCGA</t>
  </si>
  <si>
    <t xml:space="preserve">AAACTCGGCATGAGTGGCTTCACC</t>
  </si>
  <si>
    <t xml:space="preserve">PSPPH_5102</t>
  </si>
  <si>
    <t xml:space="preserve">GGAACTGATTGTACGTTCCA</t>
  </si>
  <si>
    <t xml:space="preserve">TAGTGGAACTGATTGTACGTTCCA</t>
  </si>
  <si>
    <t xml:space="preserve">AAACTGGAACGTACAATCAGTTCC</t>
  </si>
  <si>
    <t xml:space="preserve">GGTGCTTTCGCTGAACAGAT</t>
  </si>
  <si>
    <t xml:space="preserve">TAGTGGTGCTTTCGCTGAACAGAT</t>
  </si>
  <si>
    <t xml:space="preserve">AAACATCTGTTCAGCGAAAGCACC</t>
  </si>
  <si>
    <t xml:space="preserve">AGAAGCTTTTGCAGTGGTAA</t>
  </si>
  <si>
    <t xml:space="preserve">TAGTAGAAGCTTTTGCAGTGGTAA</t>
  </si>
  <si>
    <t xml:space="preserve">AAACTTACCACTGCAAAAGCTTCT</t>
  </si>
  <si>
    <t xml:space="preserve">AGGTTGGCGAATACGCGCAG</t>
  </si>
  <si>
    <t xml:space="preserve">TAGTAGGTTGGCGAATACGCGCAG</t>
  </si>
  <si>
    <t xml:space="preserve">AAACCTGCGCGTATTCGCCAACCT</t>
  </si>
  <si>
    <t xml:space="preserve">PSPPH_5103</t>
  </si>
  <si>
    <t xml:space="preserve">CAACAGGAAGGCAGCGCCGA</t>
  </si>
  <si>
    <t xml:space="preserve">TAGTCAACAGGAAGGCAGCGCCGA</t>
  </si>
  <si>
    <t xml:space="preserve">AAACTCGGCGCTGCCTTCCTGTTG</t>
  </si>
  <si>
    <t xml:space="preserve">CACAATAAAGCTAGAGGCGT</t>
  </si>
  <si>
    <t xml:space="preserve">TAGTCACAATAAAGCTAGAGGCGT</t>
  </si>
  <si>
    <t xml:space="preserve">AAACACGCCTCTAGCTTTATTGTG</t>
  </si>
  <si>
    <t xml:space="preserve">TGCATCGACCACTGCGTCAG</t>
  </si>
  <si>
    <t xml:space="preserve">TAGTTGCATCGACCACTGCGTCAG</t>
  </si>
  <si>
    <t xml:space="preserve">AAACCTGACGCAGTGGTCGATGCA</t>
  </si>
  <si>
    <t xml:space="preserve">AGAGGAGGAAATGTTGGACG</t>
  </si>
  <si>
    <t xml:space="preserve">TAGTAGAGGAGGAAATGTTGGACG</t>
  </si>
  <si>
    <t xml:space="preserve">AAACCGTCCAACATTTCCTCCTCT</t>
  </si>
  <si>
    <t xml:space="preserve">PSPPH_5104</t>
  </si>
  <si>
    <t xml:space="preserve">CAACGGGTGCGATAAACAGA</t>
  </si>
  <si>
    <t xml:space="preserve">TAGTCAACGGGTGCGATAAACAGA</t>
  </si>
  <si>
    <t xml:space="preserve">AAACTCTGTTTATCGCACCCGTTG</t>
  </si>
  <si>
    <t xml:space="preserve">CTGACTGATACACATCAGGC</t>
  </si>
  <si>
    <t xml:space="preserve">TAGTCTGACTGATACACATCAGGC</t>
  </si>
  <si>
    <t xml:space="preserve">AAACGCCTGATGTGTATCAGTCAG</t>
  </si>
  <si>
    <t xml:space="preserve">GGTCTTGACCAGACCCTGCG</t>
  </si>
  <si>
    <t xml:space="preserve">TAGTGGTCTTGACCAGACCCTGCG</t>
  </si>
  <si>
    <t xml:space="preserve">AAACCGCAGGGTCTGGTCAAGACC</t>
  </si>
  <si>
    <t xml:space="preserve">GACCTGACTGGTTGCATAGC</t>
  </si>
  <si>
    <t xml:space="preserve">TAGTGACCTGACTGGTTGCATAGC</t>
  </si>
  <si>
    <t xml:space="preserve">AAACGCTATGCAACCAGTCAGGTC</t>
  </si>
  <si>
    <t xml:space="preserve">PSPPH_5105</t>
  </si>
  <si>
    <t xml:space="preserve">AAGGGAAGCAGCAATCAGCG</t>
  </si>
  <si>
    <t xml:space="preserve">TAGTAAGGGAAGCAGCAATCAGCG</t>
  </si>
  <si>
    <t xml:space="preserve">AAACCGCTGATTGCTGCTTCCCTT</t>
  </si>
  <si>
    <t xml:space="preserve">CAAAATCGGCCAGCAATAGC</t>
  </si>
  <si>
    <t xml:space="preserve">TAGTCAAAATCGGCCAGCAATAGC</t>
  </si>
  <si>
    <t xml:space="preserve">AAACGCTATTGCTGGCCGATTTTG</t>
  </si>
  <si>
    <t xml:space="preserve">GGCTACAACGGTCTGAGCCT</t>
  </si>
  <si>
    <t xml:space="preserve">TAGTGGCTACAACGGTCTGAGCCT</t>
  </si>
  <si>
    <t xml:space="preserve">AAACAGGCTCAGACCGTTGTAGCC</t>
  </si>
  <si>
    <t xml:space="preserve">GCGAACGATGATGTTGCTCG</t>
  </si>
  <si>
    <t xml:space="preserve">TAGTGCGAACGATGATGTTGCTCG</t>
  </si>
  <si>
    <t xml:space="preserve">AAACCGAGCAACATCATCGTTCGC</t>
  </si>
  <si>
    <t xml:space="preserve">PSPPH_5106</t>
  </si>
  <si>
    <t xml:space="preserve">CAGCGCGCCAGCAAGCAGCC</t>
  </si>
  <si>
    <t xml:space="preserve">TAGTCAGCGCGCCAGCAAGCAGCC</t>
  </si>
  <si>
    <t xml:space="preserve">AAACGGCTGCTTGCTGGCGCGCTG</t>
  </si>
  <si>
    <t xml:space="preserve">TTCCAGCTTCAGGCTGGCAA</t>
  </si>
  <si>
    <t xml:space="preserve">TAGTTTCCAGCTTCAGGCTGGCAA</t>
  </si>
  <si>
    <t xml:space="preserve">AAACTTGCCAGCCTGAAGCTGGAA</t>
  </si>
  <si>
    <t xml:space="preserve">CTTGCTGTTGCGGCGCATCG</t>
  </si>
  <si>
    <t xml:space="preserve">TAGTCTTGCTGTTGCGGCGCATCG</t>
  </si>
  <si>
    <t xml:space="preserve">AAACCGATGCGCCGCAACAGCAAG</t>
  </si>
  <si>
    <t xml:space="preserve">TTCGTCGAGCAGCGTCTGGC</t>
  </si>
  <si>
    <t xml:space="preserve">TAGTTTCGTCGAGCAGCGTCTGGC</t>
  </si>
  <si>
    <t xml:space="preserve">AAACGCCAGACGCTGCTCGACGAA</t>
  </si>
  <si>
    <t xml:space="preserve">PSPPH_5107</t>
  </si>
  <si>
    <t xml:space="preserve">GACTGGCGCGGGCCATTAGC</t>
  </si>
  <si>
    <t xml:space="preserve">TAGTGACTGGCGCGGGCCATTAGC</t>
  </si>
  <si>
    <t xml:space="preserve">AAACGCTAATGGCCCGCGCCAGTC</t>
  </si>
  <si>
    <t xml:space="preserve">CCAACTGCTGCTGGAACGCG</t>
  </si>
  <si>
    <t xml:space="preserve">TAGTCCAACTGCTGCTGGAACGCG</t>
  </si>
  <si>
    <t xml:space="preserve">AAACCGCGTTCCAGCAGCAGTTGG</t>
  </si>
  <si>
    <t xml:space="preserve">CGGTCTGTAACTGAAATGTC</t>
  </si>
  <si>
    <t xml:space="preserve">TAGTCGGTCTGTAACTGAAATGTC</t>
  </si>
  <si>
    <t xml:space="preserve">AAACGACATTTCAGTTACAGACCG</t>
  </si>
  <si>
    <t xml:space="preserve">ACGCGCGATTTTGCCATCTG</t>
  </si>
  <si>
    <t xml:space="preserve">TAGTACGCGCGATTTTGCCATCTG</t>
  </si>
  <si>
    <t xml:space="preserve">AAACCAGATGGCAAAATCGCGCGT</t>
  </si>
  <si>
    <t xml:space="preserve">PSPPH_5108</t>
  </si>
  <si>
    <t xml:space="preserve">GCTCACGCAGCCGCTGGTAG</t>
  </si>
  <si>
    <t xml:space="preserve">TAGTGCTCACGCAGCCGCTGGTAG</t>
  </si>
  <si>
    <t xml:space="preserve">AAACCTACCAGCGGCTGCGTGAGC</t>
  </si>
  <si>
    <t xml:space="preserve">CTTCCAGCGTTGCGCTTGGC</t>
  </si>
  <si>
    <t xml:space="preserve">TAGTCTTCCAGCGTTGCGCTTGGC</t>
  </si>
  <si>
    <t xml:space="preserve">AAACGCCAAGCGCAACGCTGGAAG</t>
  </si>
  <si>
    <t xml:space="preserve">CTTGACGTCCGCCTTGAGGT</t>
  </si>
  <si>
    <t xml:space="preserve">TAGTCTTGACGTCCGCCTTGAGGT</t>
  </si>
  <si>
    <t xml:space="preserve">AAACACCTCAAGGCGGACGTCAAG</t>
  </si>
  <si>
    <t xml:space="preserve">GGTGGACGACTCGCCGCTGA</t>
  </si>
  <si>
    <t xml:space="preserve">TAGTGGTGGACGACTCGCCGCTGA</t>
  </si>
  <si>
    <t xml:space="preserve">AAACTCAGCGGCGAGTCGTCCACC</t>
  </si>
  <si>
    <t xml:space="preserve">PSPPH_5109</t>
  </si>
  <si>
    <t xml:space="preserve">GCAATGGCGGCTGCAACTTC</t>
  </si>
  <si>
    <t xml:space="preserve">TAGTGCAATGGCGGCTGCAACTTC</t>
  </si>
  <si>
    <t xml:space="preserve">AAACGAAGTTGCAGCCGCCATTGC</t>
  </si>
  <si>
    <t xml:space="preserve">AACACGATTGGATTGTTCTT</t>
  </si>
  <si>
    <t xml:space="preserve">TAGTAACACGATTGGATTGTTCTT</t>
  </si>
  <si>
    <t xml:space="preserve">AAACAAGAACAATCCAATCGTGTT</t>
  </si>
  <si>
    <t xml:space="preserve">GCCAGTAATCTCTTCAAGGA</t>
  </si>
  <si>
    <t xml:space="preserve">TAGTGCCAGTAATCTCTTCAAGGA</t>
  </si>
  <si>
    <t xml:space="preserve">AAACTCCTTGAAGAGATTACTGGC</t>
  </si>
  <si>
    <t xml:space="preserve">CCAGCGTGACACTGTCCTTG</t>
  </si>
  <si>
    <t xml:space="preserve">TAGTCCAGCGTGACACTGTCCTTG</t>
  </si>
  <si>
    <t xml:space="preserve">AAACCAAGGACAGTGTCACGCTGG</t>
  </si>
  <si>
    <t xml:space="preserve">PSPPH_5110</t>
  </si>
  <si>
    <t xml:space="preserve">rubB</t>
  </si>
  <si>
    <t xml:space="preserve">CCGGTGCCGATGATGACCAC</t>
  </si>
  <si>
    <t xml:space="preserve">TAGTCCGGTGCCGATGATGACCAC</t>
  </si>
  <si>
    <t xml:space="preserve">AAACGTGGTCATCATCGGCACCGG</t>
  </si>
  <si>
    <t xml:space="preserve">GGGCGAGGTTGTAACCCGCA</t>
  </si>
  <si>
    <t xml:space="preserve">TAGTGGGCGAGGTTGTAACCCGCA</t>
  </si>
  <si>
    <t xml:space="preserve">AAACTGCGGGTTACAACCTCGCCC</t>
  </si>
  <si>
    <t xml:space="preserve">GTCCAGTTTGCGAAACTCTC</t>
  </si>
  <si>
    <t xml:space="preserve">TAGTGTCCAGTTTGCGAAACTCTC</t>
  </si>
  <si>
    <t xml:space="preserve">AAACGAGAGTTTCGCAAACTGGAC</t>
  </si>
  <si>
    <t xml:space="preserve">TCGGCCGTGATCAATAGCAG</t>
  </si>
  <si>
    <t xml:space="preserve">TAGTTCGGCCGTGATCAATAGCAG</t>
  </si>
  <si>
    <t xml:space="preserve">AAACCTGCTATTGATCACGGCCGA</t>
  </si>
  <si>
    <t xml:space="preserve">PSPPH_5111</t>
  </si>
  <si>
    <t xml:space="preserve">rubA</t>
  </si>
  <si>
    <t xml:space="preserve">CGTCGGCTTCGTTATAGATC</t>
  </si>
  <si>
    <t xml:space="preserve">TAGTCGTCGGCTTCGTTATAGATC</t>
  </si>
  <si>
    <t xml:space="preserve">AAACGATCTATAACGAAGCCGACG</t>
  </si>
  <si>
    <t xml:space="preserve">CCAGGCGCAATCCCGTCATC</t>
  </si>
  <si>
    <t xml:space="preserve">TAGTCCAGGCGCAATCCCGTCATC</t>
  </si>
  <si>
    <t xml:space="preserve">AAACGATGACGGGATTGCGCCTGG</t>
  </si>
  <si>
    <t xml:space="preserve">TCCGGGCACAGCCAGTCTTC</t>
  </si>
  <si>
    <t xml:space="preserve">TAGTTCCGGGCACAGCCAGTCTTC</t>
  </si>
  <si>
    <t xml:space="preserve">AAACGAAGACTGGCTGTGCCCGGA</t>
  </si>
  <si>
    <t xml:space="preserve">PSPPH_5112</t>
  </si>
  <si>
    <t xml:space="preserve">TGCGGGGGATTGCTGGGTCA</t>
  </si>
  <si>
    <t xml:space="preserve">TAGTTGCGGGGGATTGCTGGGTCA</t>
  </si>
  <si>
    <t xml:space="preserve">AAACTGACCCAGCAATCCCCCGCA</t>
  </si>
  <si>
    <t xml:space="preserve">GCTCGCGCTTGAGCCAGATC</t>
  </si>
  <si>
    <t xml:space="preserve">TAGTGCTCGCGCTTGAGCCAGATC</t>
  </si>
  <si>
    <t xml:space="preserve">AAACGATCTGGCTCAAGCGCGAGC</t>
  </si>
  <si>
    <t xml:space="preserve">CAGTCGAGCATTATTGGTTC</t>
  </si>
  <si>
    <t xml:space="preserve">TAGTCAGTCGAGCATTATTGGTTC</t>
  </si>
  <si>
    <t xml:space="preserve">AAACGAACCAATAATGCTCGACTG</t>
  </si>
  <si>
    <t xml:space="preserve">ACGGTCCAGCCGGCGTGTGA</t>
  </si>
  <si>
    <t xml:space="preserve">TAGTACGGTCCAGCCGGCGTGTGA</t>
  </si>
  <si>
    <t xml:space="preserve">AAACTCACACGCCGGCTGGACCGT</t>
  </si>
  <si>
    <t xml:space="preserve">PSPPH_5113</t>
  </si>
  <si>
    <t xml:space="preserve">ubiA</t>
  </si>
  <si>
    <t xml:space="preserve">TGAGGGATTTGAGAAGGGAC</t>
  </si>
  <si>
    <t xml:space="preserve">TAGTTGAGGGATTTGAGAAGGGAC</t>
  </si>
  <si>
    <t xml:space="preserve">AAACGTCCCTTCTCAAATCCCTCA</t>
  </si>
  <si>
    <t xml:space="preserve">GAATAAAGTCCCAGGCGCGG</t>
  </si>
  <si>
    <t xml:space="preserve">TAGTGAATAAAGTCCCAGGCGCGG</t>
  </si>
  <si>
    <t xml:space="preserve">AAACCCGCGCCTGGGACTTTATTC</t>
  </si>
  <si>
    <t xml:space="preserve">AGCAGCAGGTAAATGCCTAT</t>
  </si>
  <si>
    <t xml:space="preserve">TAGTAGCAGCAGGTAAATGCCTAT</t>
  </si>
  <si>
    <t xml:space="preserve">AAACATAGGCATTTACCTGCTGCT</t>
  </si>
  <si>
    <t xml:space="preserve">ATCCAGACCGCCCACAGGGT</t>
  </si>
  <si>
    <t xml:space="preserve">TAGTATCCAGACCGCCCACAGGGT</t>
  </si>
  <si>
    <t xml:space="preserve">AAACACCCTGTGGGCGGTCTGGAT</t>
  </si>
  <si>
    <t xml:space="preserve">PSPPH_5114</t>
  </si>
  <si>
    <t xml:space="preserve">phoB</t>
  </si>
  <si>
    <t xml:space="preserve">ACGGCGATCATTTCACGAAT</t>
  </si>
  <si>
    <t xml:space="preserve">TAGTACGGCGATCATTTCACGAAT</t>
  </si>
  <si>
    <t xml:space="preserve">AAACATTCGTGAAATGATCGCCGT</t>
  </si>
  <si>
    <t xml:space="preserve">ATGGGCCTGCTGAGAGTTTT</t>
  </si>
  <si>
    <t xml:space="preserve">TAGTATGGGCCTGCTGAGAGTTTT</t>
  </si>
  <si>
    <t xml:space="preserve">AAACAAAACTCTCAGCAGGCCCAT</t>
  </si>
  <si>
    <t xml:space="preserve">GCAGAATCAGGTCAGGTTTG</t>
  </si>
  <si>
    <t xml:space="preserve">TAGTGCAGAATCAGGTCAGGTTTG</t>
  </si>
  <si>
    <t xml:space="preserve">AAACCAAACCTGACCTGATTCTGC</t>
  </si>
  <si>
    <t xml:space="preserve">AGTTCGATGCCGGATGTGCC</t>
  </si>
  <si>
    <t xml:space="preserve">TAGTAGTTCGATGCCGGATGTGCC</t>
  </si>
  <si>
    <t xml:space="preserve">AAACGGCACATCCGGCATCGAACT</t>
  </si>
  <si>
    <t xml:space="preserve">PSPPH_5115</t>
  </si>
  <si>
    <t xml:space="preserve">phoR</t>
  </si>
  <si>
    <t xml:space="preserve">CAACAACATGTGGCGTATCA</t>
  </si>
  <si>
    <t xml:space="preserve">TAGTCAACAACATGTGGCGTATCA</t>
  </si>
  <si>
    <t xml:space="preserve">AAACTGATACGCCACATGTTGTTG</t>
  </si>
  <si>
    <t xml:space="preserve">CAGGCCGACCAACAGGCAGG</t>
  </si>
  <si>
    <t xml:space="preserve">TAGTCAGGCCGACCAACAGGCAGG</t>
  </si>
  <si>
    <t xml:space="preserve">AAACCCTGCCTGTTGGTCGGCCTG</t>
  </si>
  <si>
    <t xml:space="preserve">ACAGGCCCAGTCCGGTGGCC</t>
  </si>
  <si>
    <t xml:space="preserve">TAGTACAGGCCCAGTCCGGTGGCC</t>
  </si>
  <si>
    <t xml:space="preserve">AAACGGCCACCGGACTGGGCCTGT</t>
  </si>
  <si>
    <t xml:space="preserve">CAGCAGTTGTTTGAGGGTCC</t>
  </si>
  <si>
    <t xml:space="preserve">TAGTCAGCAGTTGTTTGAGGGTCC</t>
  </si>
  <si>
    <t xml:space="preserve">AAACGGACCCTCAAACAACTGCTG</t>
  </si>
  <si>
    <t xml:space="preserve">PSPPH_5116</t>
  </si>
  <si>
    <t xml:space="preserve">ACAGGTTGAAACTAGGGGAA</t>
  </si>
  <si>
    <t xml:space="preserve">TAGTACAGGTTGAAACTAGGGGAA</t>
  </si>
  <si>
    <t xml:space="preserve">AAACTTCCCCTAGTTTCAACCTGT</t>
  </si>
  <si>
    <t xml:space="preserve">AAAAAGAATCATGCCGAAAT</t>
  </si>
  <si>
    <t xml:space="preserve">TAGTAAAAAGAATCATGCCGAAAT</t>
  </si>
  <si>
    <t xml:space="preserve">AAACATTTCGGCATGATTCTTTTT</t>
  </si>
  <si>
    <t xml:space="preserve">AAAAGCCGTTGAGCAGGACC</t>
  </si>
  <si>
    <t xml:space="preserve">TAGTAAAAGCCGTTGAGCAGGACC</t>
  </si>
  <si>
    <t xml:space="preserve">AAACGGTCCTGCTCAACGGCTTTT</t>
  </si>
  <si>
    <t xml:space="preserve">GGTCGAGCGCAGTTTGACCA</t>
  </si>
  <si>
    <t xml:space="preserve">TAGTGGTCGAGCGCAGTTTGACCA</t>
  </si>
  <si>
    <t xml:space="preserve">AAACTGGTCAAACTGCGCTCGACC</t>
  </si>
  <si>
    <t xml:space="preserve">PSPPH_5117</t>
  </si>
  <si>
    <t xml:space="preserve">CAGTCAACATCAGGGCAAAC</t>
  </si>
  <si>
    <t xml:space="preserve">TAGTCAGTCAACATCAGGGCAAAC</t>
  </si>
  <si>
    <t xml:space="preserve">AAACGTTTGCCCTGATGTTGACTG</t>
  </si>
  <si>
    <t xml:space="preserve">TTTATAGATCGTGACTGCCC</t>
  </si>
  <si>
    <t xml:space="preserve">TAGTTTTATAGATCGTGACTGCCC</t>
  </si>
  <si>
    <t xml:space="preserve">AAACGGGCAGTCACGATCTATAAA</t>
  </si>
  <si>
    <t xml:space="preserve">CGACACCACGCCATCGGCAT</t>
  </si>
  <si>
    <t xml:space="preserve">TAGTCGACACCACGCCATCGGCAT</t>
  </si>
  <si>
    <t xml:space="preserve">AAACATGCCGATGGCGTGGTGTCG</t>
  </si>
  <si>
    <t xml:space="preserve">ATGACCGATGCGCCAGGTGT</t>
  </si>
  <si>
    <t xml:space="preserve">TAGTATGACCGATGCGCCAGGTGT</t>
  </si>
  <si>
    <t xml:space="preserve">AAACACACCTGGCGCATCGGTCAT</t>
  </si>
  <si>
    <t xml:space="preserve">PSPPH_5118</t>
  </si>
  <si>
    <t xml:space="preserve">GCGTCCTCGGTATGAATCCC</t>
  </si>
  <si>
    <t xml:space="preserve">TAGTGCGTCCTCGGTATGAATCCC</t>
  </si>
  <si>
    <t xml:space="preserve">AAACGGGATTCATACCGAGGACGC</t>
  </si>
  <si>
    <t xml:space="preserve">AGCTCCAGGCCGGACATCTC</t>
  </si>
  <si>
    <t xml:space="preserve">TAGTAGCTCCAGGCCGGACATCTC</t>
  </si>
  <si>
    <t xml:space="preserve">AAACGAGATGTCCGGCCTGGAGCT</t>
  </si>
  <si>
    <t xml:space="preserve">TGATGAACGGCACGGTTCTC</t>
  </si>
  <si>
    <t xml:space="preserve">TAGTTGATGAACGGCACGGTTCTC</t>
  </si>
  <si>
    <t xml:space="preserve">AAACGAGAACCGTGCCGTTCATCA</t>
  </si>
  <si>
    <t xml:space="preserve">GTTTTCCTTGTCGCCACGGC</t>
  </si>
  <si>
    <t xml:space="preserve">TAGTGTTTTCCTTGTCGCCACGGC</t>
  </si>
  <si>
    <t xml:space="preserve">AAACGCCGTGGCGACAAGGAAAAC</t>
  </si>
  <si>
    <t xml:space="preserve">PSPPH_5119</t>
  </si>
  <si>
    <t xml:space="preserve">phoU</t>
  </si>
  <si>
    <t xml:space="preserve">GATGCGTATGGCTGTCTTTG</t>
  </si>
  <si>
    <t xml:space="preserve">TAGTGATGCGTATGGCTGTCTTTG</t>
  </si>
  <si>
    <t xml:space="preserve">AAACCAAAGACAGCCATACGCATC</t>
  </si>
  <si>
    <t xml:space="preserve">GAGTTCAGCGTTGAACTGTT</t>
  </si>
  <si>
    <t xml:space="preserve">TAGTGAGTTCAGCGTTGAACTGTT</t>
  </si>
  <si>
    <t xml:space="preserve">AAACAACAGTTCAACGCTGAACTC</t>
  </si>
  <si>
    <t xml:space="preserve">GGCCACCCATTTCGAGCAAA</t>
  </si>
  <si>
    <t xml:space="preserve">TAGTGGCCACCCATTTCGAGCAAA</t>
  </si>
  <si>
    <t xml:space="preserve">AAACTTTGCTCGAAATGGGTGGCC</t>
  </si>
  <si>
    <t xml:space="preserve">CGTTCACCTGCTTCTCGACC</t>
  </si>
  <si>
    <t xml:space="preserve">TAGTCGTTCACCTGCTTCTCGACC</t>
  </si>
  <si>
    <t xml:space="preserve">AAACGGTCGAGAAGCAGGTGAACG</t>
  </si>
  <si>
    <t xml:space="preserve">PSPPH_5120</t>
  </si>
  <si>
    <t xml:space="preserve">pstB2</t>
  </si>
  <si>
    <t xml:space="preserve">AGTCGGGCTTTCATGCTGCA</t>
  </si>
  <si>
    <t xml:space="preserve">TAGTAGTCGGGCTTTCATGCTGCA</t>
  </si>
  <si>
    <t xml:space="preserve">AAACTGCAGCATGAAAGCCCGACT</t>
  </si>
  <si>
    <t xml:space="preserve">GCGTTGCTTGTGACGCCTCA</t>
  </si>
  <si>
    <t xml:space="preserve">TAGTGCGTTGCTTGTGACGCCTCA</t>
  </si>
  <si>
    <t xml:space="preserve">AAACTGAGGCGTCACAAGCAACGC</t>
  </si>
  <si>
    <t xml:space="preserve">CGGTCTCATCGGCCAGATCC</t>
  </si>
  <si>
    <t xml:space="preserve">TAGTCGGTCTCATCGGCCAGATCC</t>
  </si>
  <si>
    <t xml:space="preserve">AAACGGATCTGGCCGATGAGACCG</t>
  </si>
  <si>
    <t xml:space="preserve">ACCCGGCACTTCGATGGCCA</t>
  </si>
  <si>
    <t xml:space="preserve">TAGTACCCGGCACTTCGATGGCCA</t>
  </si>
  <si>
    <t xml:space="preserve">AAACTGGCCATCGAAGTGCCGGGT</t>
  </si>
  <si>
    <t xml:space="preserve">PSPPH_5121</t>
  </si>
  <si>
    <t xml:space="preserve">CATGATGACAGCGATGGATA</t>
  </si>
  <si>
    <t xml:space="preserve">TAGTCATGATGACAGCGATGGATA</t>
  </si>
  <si>
    <t xml:space="preserve">AAACTATCCATCGCTGTCATCATG</t>
  </si>
  <si>
    <t xml:space="preserve">GCACGGCGATCACCGCCAGC</t>
  </si>
  <si>
    <t xml:space="preserve">TAGTGCACGGCGATCACCGCCAGC</t>
  </si>
  <si>
    <t xml:space="preserve">AAACGCTGGCGGTGATCGCCGTGC</t>
  </si>
  <si>
    <t xml:space="preserve">CGTGCGACCACCAGGTCAGT</t>
  </si>
  <si>
    <t xml:space="preserve">TAGTCGTGCGACCACCAGGTCAGT</t>
  </si>
  <si>
    <t xml:space="preserve">AAACACTGACCTGGTGGTCGCACG</t>
  </si>
  <si>
    <t xml:space="preserve">AGCACACTCGATTCCTGATT</t>
  </si>
  <si>
    <t xml:space="preserve">TAGTAGCACACTCGATTCCTGATT</t>
  </si>
  <si>
    <t xml:space="preserve">AAACAATCAGGAATCGAGTGTGCT</t>
  </si>
  <si>
    <t xml:space="preserve">PSPPH_5122</t>
  </si>
  <si>
    <t xml:space="preserve">TACGCGCTGGAGGCGAGCTT</t>
  </si>
  <si>
    <t xml:space="preserve">TAGTTACGCGCTGGAGGCGAGCTT</t>
  </si>
  <si>
    <t xml:space="preserve">AAACAAGCTCGCCTCCAGCGCGTA</t>
  </si>
  <si>
    <t xml:space="preserve">CGACGCTTTCTCACCATCGC</t>
  </si>
  <si>
    <t xml:space="preserve">TAGTCGACGCTTTCTCACCATCGC</t>
  </si>
  <si>
    <t xml:space="preserve">AAACGCGATGGTGAGAAAGCGTCG</t>
  </si>
  <si>
    <t xml:space="preserve">TGAGGCGATCCTTGAACGCA</t>
  </si>
  <si>
    <t xml:space="preserve">TAGTTGAGGCGATCCTTGAACGCA</t>
  </si>
  <si>
    <t xml:space="preserve">AAACTGCGTTCAAGGATCGCCTCA</t>
  </si>
  <si>
    <t xml:space="preserve">TGATCGCCGCCAGAACGGCA</t>
  </si>
  <si>
    <t xml:space="preserve">TAGTTGATCGCCGCCAGAACGGCA</t>
  </si>
  <si>
    <t xml:space="preserve">AAACTGCCGTTCTGGCGGCGATCA</t>
  </si>
  <si>
    <t xml:space="preserve">PSPPH_5123</t>
  </si>
  <si>
    <t xml:space="preserve">AATGGCTGCCGTCGCGCTGG</t>
  </si>
  <si>
    <t xml:space="preserve">TAGTAATGGCTGCCGTCGCGCTGG</t>
  </si>
  <si>
    <t xml:space="preserve">AAACCCAGCGCGACGGCAGCCATT</t>
  </si>
  <si>
    <t xml:space="preserve">GGCCTTGATGGCAGGGTCGA</t>
  </si>
  <si>
    <t xml:space="preserve">TAGTGGCCTTGATGGCAGGGTCGA</t>
  </si>
  <si>
    <t xml:space="preserve">AAACTCGACCCTGCCATCAAGGCC</t>
  </si>
  <si>
    <t xml:space="preserve">CACACCGGAGGTCCTGGTAT</t>
  </si>
  <si>
    <t xml:space="preserve">TAGTCACACCGGAGGTCCTGGTAT</t>
  </si>
  <si>
    <t xml:space="preserve">AAACATACCAGGACCTCCGGTGTG</t>
  </si>
  <si>
    <t xml:space="preserve">CAGAGTATCGGAGCCGACAC</t>
  </si>
  <si>
    <t xml:space="preserve">TAGTCAGAGTATCGGAGCCGACAC</t>
  </si>
  <si>
    <t xml:space="preserve">AAACGTGTCGGCTCCGATACTCTG</t>
  </si>
  <si>
    <t xml:space="preserve">PSPPH_5124</t>
  </si>
  <si>
    <t xml:space="preserve">GCAGGCTGCGTGGAACTTGA</t>
  </si>
  <si>
    <t xml:space="preserve">TAGTGCAGGCTGCGTGGAACTTGA</t>
  </si>
  <si>
    <t xml:space="preserve">AAACTCAAGTTCCACGCAGCCTGC</t>
  </si>
  <si>
    <t xml:space="preserve">TTGTAATCGCTGCGGGTCAA</t>
  </si>
  <si>
    <t xml:space="preserve">TAGTTTGTAATCGCTGCGGGTCAA</t>
  </si>
  <si>
    <t xml:space="preserve">AAACTTGACCCGCAGCGATTACAA</t>
  </si>
  <si>
    <t xml:space="preserve">ACCCAAAGCAGACAGCGAAA</t>
  </si>
  <si>
    <t xml:space="preserve">TAGTACCCAAAGCAGACAGCGAAA</t>
  </si>
  <si>
    <t xml:space="preserve">AAACTTTCGCTGTCTGCTTTGGGT</t>
  </si>
  <si>
    <t xml:space="preserve">GCCAGTCGGGCATGTCCACC</t>
  </si>
  <si>
    <t xml:space="preserve">TAGTGCCAGTCGGGCATGTCCACC</t>
  </si>
  <si>
    <t xml:space="preserve">AAACGGTGGACATGCCCGACTGGC</t>
  </si>
  <si>
    <t xml:space="preserve">PSPPH_5125</t>
  </si>
  <si>
    <t xml:space="preserve">GCAAGGTCGCCTTGCGGAGT</t>
  </si>
  <si>
    <t xml:space="preserve">TAGTGCAAGGTCGCCTTGCGGAGT</t>
  </si>
  <si>
    <t xml:space="preserve">AAACACTCCGCAAGGCGACCTTGC</t>
  </si>
  <si>
    <t xml:space="preserve">ATTGGTTTCGCGGGGAAGGG</t>
  </si>
  <si>
    <t xml:space="preserve">TAGTATTGGTTTCGCGGGGAAGGG</t>
  </si>
  <si>
    <t xml:space="preserve">AAACCCCTTCCCCGCGAAACCAAT</t>
  </si>
  <si>
    <t xml:space="preserve">TGTACCCGCCAGGTCCATCT</t>
  </si>
  <si>
    <t xml:space="preserve">TAGTTGTACCCGCCAGGTCCATCT</t>
  </si>
  <si>
    <t xml:space="preserve">AAACAGATGGACCTGGCGGGTACA</t>
  </si>
  <si>
    <t xml:space="preserve">GCCGGCCACTTTACTGGCCA</t>
  </si>
  <si>
    <t xml:space="preserve">TAGTGCCGGCCACTTTACTGGCCA</t>
  </si>
  <si>
    <t xml:space="preserve">AAACTGGCCAGTAAAGTGGCCGGC</t>
  </si>
  <si>
    <t xml:space="preserve">PSPPH_5126</t>
  </si>
  <si>
    <t xml:space="preserve">TTGGGTTCAACCGGGGATGT</t>
  </si>
  <si>
    <t xml:space="preserve">TAGTTTGGGTTCAACCGGGGATGT</t>
  </si>
  <si>
    <t xml:space="preserve">AAACACATCCCCGGTTGAACCCAA</t>
  </si>
  <si>
    <t xml:space="preserve">AGCAGTTCAGTTCGTCGTAC</t>
  </si>
  <si>
    <t xml:space="preserve">TAGTAGCAGTTCAGTTCGTCGTAC</t>
  </si>
  <si>
    <t xml:space="preserve">AAACGTACGACGAACTGAACTGCT</t>
  </si>
  <si>
    <t xml:space="preserve">CCAGCAGCTCTGCTTCGCCG</t>
  </si>
  <si>
    <t xml:space="preserve">TAGTCCAGCAGCTCTGCTTCGCCG</t>
  </si>
  <si>
    <t xml:space="preserve">AAACCGGCGAAGCAGAGCTGCTGG</t>
  </si>
  <si>
    <t xml:space="preserve">GTCCGGCCACTTGATAGCTG</t>
  </si>
  <si>
    <t xml:space="preserve">TAGTGTCCGGCCACTTGATAGCTG</t>
  </si>
  <si>
    <t xml:space="preserve">AAACCAGCTATCAAGTGGCCGGAC</t>
  </si>
  <si>
    <t xml:space="preserve">PSPPH_5127</t>
  </si>
  <si>
    <t xml:space="preserve">AAGCGGCGCATGATAAAGCT</t>
  </si>
  <si>
    <t xml:space="preserve">TAGTAAGCGGCGCATGATAAAGCT</t>
  </si>
  <si>
    <t xml:space="preserve">AAACAGCTTTATCATGCGCCGCTT</t>
  </si>
  <si>
    <t xml:space="preserve">CAACTGGGCGTGTGCAAGCC</t>
  </si>
  <si>
    <t xml:space="preserve">TAGTCAACTGGGCGTGTGCAAGCC</t>
  </si>
  <si>
    <t xml:space="preserve">AAACGGCTTGCACACGCCCAGTTG</t>
  </si>
  <si>
    <t xml:space="preserve">AACTCAAGCCAGTCGGTTTC</t>
  </si>
  <si>
    <t xml:space="preserve">TAGTAACTCAAGCCAGTCGGTTTC</t>
  </si>
  <si>
    <t xml:space="preserve">AAACGAAACCGACTGGCTTGAGTT</t>
  </si>
  <si>
    <t xml:space="preserve">AGGGCTTTTTGATCGGACTT</t>
  </si>
  <si>
    <t xml:space="preserve">TAGTAGGGCTTTTTGATCGGACTT</t>
  </si>
  <si>
    <t xml:space="preserve">AAACAAGTCCGATCAAAAAGCCCT</t>
  </si>
  <si>
    <t xml:space="preserve">PSPPH_5128</t>
  </si>
  <si>
    <t xml:space="preserve">AACGATCAGGCCGATAAAGA</t>
  </si>
  <si>
    <t xml:space="preserve">TAGTAACGATCAGGCCGATAAAGA</t>
  </si>
  <si>
    <t xml:space="preserve">AAACTCTTTATCGGCCTGATCGTT</t>
  </si>
  <si>
    <t xml:space="preserve">TGCTGTCGTCGCCCGGCTTC</t>
  </si>
  <si>
    <t xml:space="preserve">TAGTTGCTGTCGTCGCCCGGCTTC</t>
  </si>
  <si>
    <t xml:space="preserve">AAACGAAGCCGGGCGACGACAGCA</t>
  </si>
  <si>
    <t xml:space="preserve">GCCGGCGATACCCAGTACGA</t>
  </si>
  <si>
    <t xml:space="preserve">TAGTGCCGGCGATACCCAGTACGA</t>
  </si>
  <si>
    <t xml:space="preserve">AAACTCGTACTGGGTATCGCCGGC</t>
  </si>
  <si>
    <t xml:space="preserve">CAGCGCCTGACCACCATAAG</t>
  </si>
  <si>
    <t xml:space="preserve">TAGTCAGCGCCTGACCACCATAAG</t>
  </si>
  <si>
    <t xml:space="preserve">AAACCTTATGGTGGTCAGGCGCTG</t>
  </si>
  <si>
    <t xml:space="preserve">PSPPH_5129</t>
  </si>
  <si>
    <t xml:space="preserve">purK</t>
  </si>
  <si>
    <t xml:space="preserve">ACCGATTACACCGATCTTCA</t>
  </si>
  <si>
    <t xml:space="preserve">TAGTACCGATTACACCGATCTTCA</t>
  </si>
  <si>
    <t xml:space="preserve">AAACTGAAGATCGGTGTAATCGGT</t>
  </si>
  <si>
    <t xml:space="preserve">ATGCCAACATGCGGCCGAGC</t>
  </si>
  <si>
    <t xml:space="preserve">TAGTATGCCAACATGCGGCCGAGC</t>
  </si>
  <si>
    <t xml:space="preserve">AAACGCTCGGCCGCATGTTGGCAT</t>
  </si>
  <si>
    <t xml:space="preserve">AAGGCGAAGTTCATACCCAG</t>
  </si>
  <si>
    <t xml:space="preserve">TAGTAAGGCGAAGTTCATACCCAG</t>
  </si>
  <si>
    <t xml:space="preserve">AAACCTGGGTATGAACTTCGCCTT</t>
  </si>
  <si>
    <t xml:space="preserve">GCAGCACAGGCATCCGGCGC</t>
  </si>
  <si>
    <t xml:space="preserve">TAGTGCAGCACAGGCATCCGGCGC</t>
  </si>
  <si>
    <t xml:space="preserve">AAACGCGCCGGATGCCTGTGCTGC</t>
  </si>
  <si>
    <t xml:space="preserve">PSPPH_5130</t>
  </si>
  <si>
    <t xml:space="preserve">purE</t>
  </si>
  <si>
    <t xml:space="preserve">CCGCGCAGTATACCGCAAAG</t>
  </si>
  <si>
    <t xml:space="preserve">TAGTCCGCGCAGTATACCGCAAAG</t>
  </si>
  <si>
    <t xml:space="preserve">AAACCTTTGCGGTATACTGCGCGG</t>
  </si>
  <si>
    <t xml:space="preserve">TGACCGATTTAGCCGGCCAA</t>
  </si>
  <si>
    <t xml:space="preserve">TAGTTGACCGATTTAGCCGGCCAA</t>
  </si>
  <si>
    <t xml:space="preserve">AAACTTGGCCGGCTAAATCGGTCA</t>
  </si>
  <si>
    <t xml:space="preserve">GCCACGCAGGGGAACCGGCG</t>
  </si>
  <si>
    <t xml:space="preserve">TAGTGCCACGCAGGGGAACCGGCG</t>
  </si>
  <si>
    <t xml:space="preserve">AAACCGCCGGTTCCCCTGCGTGGC</t>
  </si>
  <si>
    <t xml:space="preserve">GCCTCTCATCGGGCGCCCGC</t>
  </si>
  <si>
    <t xml:space="preserve">TAGTGCCTCTCATCGGGCGCCCGC</t>
  </si>
  <si>
    <t xml:space="preserve">AAACGCGGGCGCCCGATGAGAGGC</t>
  </si>
  <si>
    <t xml:space="preserve">PSPPH_5131</t>
  </si>
  <si>
    <t xml:space="preserve">TCCTGCAACTGAGCGAGAAA</t>
  </si>
  <si>
    <t xml:space="preserve">TAGTTCCTGCAACTGAGCGAGAAA</t>
  </si>
  <si>
    <t xml:space="preserve">AAACTTTCTCGCTCAGTTGCAGGA</t>
  </si>
  <si>
    <t xml:space="preserve">TAGGCGAAGTCTGTAAGGCC</t>
  </si>
  <si>
    <t xml:space="preserve">TAGTTAGGCGAAGTCTGTAAGGCC</t>
  </si>
  <si>
    <t xml:space="preserve">AAACGGCCTTACAGACTTCGCCTA</t>
  </si>
  <si>
    <t xml:space="preserve">GTTTTTAGCGTCTGCGTAAG</t>
  </si>
  <si>
    <t xml:space="preserve">TAGTGTTTTTAGCGTCTGCGTAAG</t>
  </si>
  <si>
    <t xml:space="preserve">AAACCTTACGCAGACGCTAAAAAC</t>
  </si>
  <si>
    <t xml:space="preserve">GGCGCTCGGACGGGCGTGGC</t>
  </si>
  <si>
    <t xml:space="preserve">TAGTGGCGCTCGGACGGGCGTGGC</t>
  </si>
  <si>
    <t xml:space="preserve">AAACGCCACGCCCGTCCGAGCGCC</t>
  </si>
  <si>
    <t xml:space="preserve">PSPPH_5132</t>
  </si>
  <si>
    <t xml:space="preserve">AAAGCTGCGGGTGGCCGCCA</t>
  </si>
  <si>
    <t xml:space="preserve">TAGTAAAGCTGCGGGTGGCCGCCA</t>
  </si>
  <si>
    <t xml:space="preserve">AAACTGGCGGCCACCCGCAGCTTT</t>
  </si>
  <si>
    <t xml:space="preserve">AGTCACGAAACGACGCTCGG</t>
  </si>
  <si>
    <t xml:space="preserve">TAGTAGTCACGAAACGACGCTCGG</t>
  </si>
  <si>
    <t xml:space="preserve">AAACCCGAGCGTCGTTTCGTGACT</t>
  </si>
  <si>
    <t xml:space="preserve">CGGATACGCCGACTGAACGC</t>
  </si>
  <si>
    <t xml:space="preserve">TAGTCGGATACGCCGACTGAACGC</t>
  </si>
  <si>
    <t xml:space="preserve">AAACGCGTTCAGTCGGCGTATCCG</t>
  </si>
  <si>
    <t xml:space="preserve">CCAAGGCCGACTCAAGACTG</t>
  </si>
  <si>
    <t xml:space="preserve">TAGTCCAAGGCCGACTCAAGACTG</t>
  </si>
  <si>
    <t xml:space="preserve">AAACCAGTCTTGAGTCGGCCTTGG</t>
  </si>
  <si>
    <t xml:space="preserve">PSPPH_5133</t>
  </si>
  <si>
    <t xml:space="preserve">aspA</t>
  </si>
  <si>
    <t xml:space="preserve">GATGCGCGATGATGCAGGCG</t>
  </si>
  <si>
    <t xml:space="preserve">TAGTGATGCGCGATGATGCAGGCG</t>
  </si>
  <si>
    <t xml:space="preserve">AAACCGCCTGCATCATCGCGCATC</t>
  </si>
  <si>
    <t xml:space="preserve">GTACTTCGAGAACACCAAGC</t>
  </si>
  <si>
    <t xml:space="preserve">TAGTGTACTTCGAGAACACCAAGC</t>
  </si>
  <si>
    <t xml:space="preserve">AAACGCTTGGTGTTCTCGAAGTAC</t>
  </si>
  <si>
    <t xml:space="preserve">ATGCCGTAGTAAGCGTTGGC</t>
  </si>
  <si>
    <t xml:space="preserve">TAGTATGCCGTAGTAAGCGTTGGC</t>
  </si>
  <si>
    <t xml:space="preserve">AAACGCCAACGCTTACTACGGCAT</t>
  </si>
  <si>
    <t xml:space="preserve">TGTTCACCGCTCGCAGGGTC</t>
  </si>
  <si>
    <t xml:space="preserve">TAGTTGTTCACCGCTCGCAGGGTC</t>
  </si>
  <si>
    <t xml:space="preserve">AAACGACCCTGCGAGCGGTGAACA</t>
  </si>
  <si>
    <t xml:space="preserve">PSPPH_5134</t>
  </si>
  <si>
    <t xml:space="preserve">AAGTACGATCAGTACCTTAC</t>
  </si>
  <si>
    <t xml:space="preserve">TAGTAAGTACGATCAGTACCTTAC</t>
  </si>
  <si>
    <t xml:space="preserve">AAACGTAAGGTACTGATCGTACTT</t>
  </si>
  <si>
    <t xml:space="preserve">GGATCGTGAAGTAACTACCT</t>
  </si>
  <si>
    <t xml:space="preserve">TAGTGGATCGTGAAGTAACTACCT</t>
  </si>
  <si>
    <t xml:space="preserve">AAACAGGTAGTTACTTCACGATCC</t>
  </si>
  <si>
    <t xml:space="preserve">GAAACTGAACGAAACGCGAG</t>
  </si>
  <si>
    <t xml:space="preserve">TAGTGAAACTGAACGAAACGCGAG</t>
  </si>
  <si>
    <t xml:space="preserve">AAACCTCGCGTTTCGTTCAGTTTC</t>
  </si>
  <si>
    <t xml:space="preserve">CGCGAAAAACCGAGAACATG</t>
  </si>
  <si>
    <t xml:space="preserve">TAGTCGCGAAAAACCGAGAACATG</t>
  </si>
  <si>
    <t xml:space="preserve">AAACCATGTTCTCGGTTTTTCGCG</t>
  </si>
  <si>
    <t xml:space="preserve">PSPPH_5135</t>
  </si>
  <si>
    <t xml:space="preserve">ansA</t>
  </si>
  <si>
    <t xml:space="preserve">TTTATGTGCATGATCAGTCA</t>
  </si>
  <si>
    <t xml:space="preserve">TAGTTTTATGTGCATGATCAGTCA</t>
  </si>
  <si>
    <t xml:space="preserve">AAACTGACTGATCATGCACATAAA</t>
  </si>
  <si>
    <t xml:space="preserve">AGAACCATGACGCTCTGAGC</t>
  </si>
  <si>
    <t xml:space="preserve">TAGTAGAACCATGACGCTCTGAGC</t>
  </si>
  <si>
    <t xml:space="preserve">AAACGCTCAGAGCGTCATGGTTCT</t>
  </si>
  <si>
    <t xml:space="preserve">CTGCATGCCGATGGTGCCGC</t>
  </si>
  <si>
    <t xml:space="preserve">TAGTCTGCATGCCGATGGTGCCGC</t>
  </si>
  <si>
    <t xml:space="preserve">AAACGCGGCACCATCGGCATGCAG</t>
  </si>
  <si>
    <t xml:space="preserve">GGGTGCCAGGCCGTTGGCGC</t>
  </si>
  <si>
    <t xml:space="preserve">TAGTGGGTGCCAGGCCGTTGGCGC</t>
  </si>
  <si>
    <t xml:space="preserve">AAACGCGCCAACGGCCTGGCACCC</t>
  </si>
  <si>
    <t xml:space="preserve">PSPPH_5136</t>
  </si>
  <si>
    <t xml:space="preserve">TTGAATGCCAAACCGGCAGA</t>
  </si>
  <si>
    <t xml:space="preserve">TAGTTTGAATGCCAAACCGGCAGA</t>
  </si>
  <si>
    <t xml:space="preserve">AAACTCTGCCGGTTTGGCATTCAA</t>
  </si>
  <si>
    <t xml:space="preserve">GCAGGCTGACATCTGCCGCA</t>
  </si>
  <si>
    <t xml:space="preserve">TAGTGCAGGCTGACATCTGCCGCA</t>
  </si>
  <si>
    <t xml:space="preserve">AAACTGCGGCAGATGTCAGCCTGC</t>
  </si>
  <si>
    <t xml:space="preserve">CGATGGTCTTGCCGAGAAAA</t>
  </si>
  <si>
    <t xml:space="preserve">TAGTCGATGGTCTTGCCGAGAAAA</t>
  </si>
  <si>
    <t xml:space="preserve">AAACTTTTCTCGGCAAGACCATCG</t>
  </si>
  <si>
    <t xml:space="preserve">AGCAGGGTCAACGGCATGGA</t>
  </si>
  <si>
    <t xml:space="preserve">TAGTAGCAGGGTCAACGGCATGGA</t>
  </si>
  <si>
    <t xml:space="preserve">AAACTCCATGCCGTTGACCCTGCT</t>
  </si>
  <si>
    <t xml:space="preserve">PSPPH_5137</t>
  </si>
  <si>
    <t xml:space="preserve">GCAGTAAGAGAGTTGTTCAT</t>
  </si>
  <si>
    <t xml:space="preserve">TAGTGCAGTAAGAGAGTTGTTCAT</t>
  </si>
  <si>
    <t xml:space="preserve">AAACATGAACAACTCTCTTACTGC</t>
  </si>
  <si>
    <t xml:space="preserve">GGCGCGCCGAACTTGCGTCC</t>
  </si>
  <si>
    <t xml:space="preserve">TAGTGGCGCGCCGAACTTGCGTCC</t>
  </si>
  <si>
    <t xml:space="preserve">AAACGGACGCAAGTTCGGCGCGCC</t>
  </si>
  <si>
    <t xml:space="preserve">AGCAGGAACAGCGCAGCCAG</t>
  </si>
  <si>
    <t xml:space="preserve">TAGTAGCAGGAACAGCGCAGCCAG</t>
  </si>
  <si>
    <t xml:space="preserve">AAACCTGGCTGCGCTGTTCCTGCT</t>
  </si>
  <si>
    <t xml:space="preserve">GACACTGAGCAGCAGAAACT</t>
  </si>
  <si>
    <t xml:space="preserve">TAGTGACACTGAGCAGCAGAAACT</t>
  </si>
  <si>
    <t xml:space="preserve">AAACAGTTTCTGCTGCTCAGTGTC</t>
  </si>
  <si>
    <t xml:space="preserve">PSPPH_5138</t>
  </si>
  <si>
    <t xml:space="preserve">GGAAACGCGACAGGGGCGAT</t>
  </si>
  <si>
    <t xml:space="preserve">TAGTGGAAACGCGACAGGGGCGAT</t>
  </si>
  <si>
    <t xml:space="preserve">AAACATCGCCCCTGTCGCGTTTCC</t>
  </si>
  <si>
    <t xml:space="preserve">TCAATGCCGGTAAGCGTGGG</t>
  </si>
  <si>
    <t xml:space="preserve">TAGTTCAATGCCGGTAAGCGTGGG</t>
  </si>
  <si>
    <t xml:space="preserve">AAACCCCACGCTTACCGGCATTGA</t>
  </si>
  <si>
    <t xml:space="preserve">GCTTGCTCAAGCCGTGATTC</t>
  </si>
  <si>
    <t xml:space="preserve">TAGTGCTTGCTCAAGCCGTGATTC</t>
  </si>
  <si>
    <t xml:space="preserve">AAACGAATCACGGCTTGAGCAAGC</t>
  </si>
  <si>
    <t xml:space="preserve">AGCGCCCATCCAGCACTTGC</t>
  </si>
  <si>
    <t xml:space="preserve">TAGTAGCGCCCATCCAGCACTTGC</t>
  </si>
  <si>
    <t xml:space="preserve">AAACGCAAGTGCTGGATGGGCGCT</t>
  </si>
  <si>
    <t xml:space="preserve">PSPPH_5139</t>
  </si>
  <si>
    <t xml:space="preserve">CCATTTTTTATAATTTTCAT</t>
  </si>
  <si>
    <t xml:space="preserve">TAGTCCATTTTTTATAATTTTCAT</t>
  </si>
  <si>
    <t xml:space="preserve">AAACATGAAAATTATAAAAAATGG</t>
  </si>
  <si>
    <t xml:space="preserve">AACGATCGTAGGCAAGGTAT</t>
  </si>
  <si>
    <t xml:space="preserve">TAGTAACGATCGTAGGCAAGGTAT</t>
  </si>
  <si>
    <t xml:space="preserve">AAACATACCTTGCCTACGATCGTT</t>
  </si>
  <si>
    <t xml:space="preserve">ATGTACATGGTCATGTTCCT</t>
  </si>
  <si>
    <t xml:space="preserve">TAGTATGTACATGGTCATGTTCCT</t>
  </si>
  <si>
    <t xml:space="preserve">AAACAGGAACATGACCATGTACAT</t>
  </si>
  <si>
    <t xml:space="preserve">TCGTTTTCCTTGAAGGCAGC</t>
  </si>
  <si>
    <t xml:space="preserve">TAGTTCGTTTTCCTTGAAGGCAGC</t>
  </si>
  <si>
    <t xml:space="preserve">AAACGCTGCCTTCAAGGAAAACGA</t>
  </si>
  <si>
    <t xml:space="preserve">PSPPH_5140</t>
  </si>
  <si>
    <t xml:space="preserve">AACGACGCGAATCCGGACAT</t>
  </si>
  <si>
    <t xml:space="preserve">TAGTAACGACGCGAATCCGGACAT</t>
  </si>
  <si>
    <t xml:space="preserve">AAACATGTCCGGATTCGCGTCGTT</t>
  </si>
  <si>
    <t xml:space="preserve">ATAGCGGCAGCCAGGCTTTA</t>
  </si>
  <si>
    <t xml:space="preserve">TAGTATAGCGGCAGCCAGGCTTTA</t>
  </si>
  <si>
    <t xml:space="preserve">AAACTAAAGCCTGGCTGCCGCTAT</t>
  </si>
  <si>
    <t xml:space="preserve">GGTATTGTAGAAGCGCAGAT</t>
  </si>
  <si>
    <t xml:space="preserve">TAGTGGTATTGTAGAAGCGCAGAT</t>
  </si>
  <si>
    <t xml:space="preserve">AAACATCTGCGCTTCTACAATACC</t>
  </si>
  <si>
    <t xml:space="preserve">GCTGACGCCTTCGGCCAGCT</t>
  </si>
  <si>
    <t xml:space="preserve">TAGTGCTGACGCCTTCGGCCAGCT</t>
  </si>
  <si>
    <t xml:space="preserve">AAACAGCTGGCCGAAGGCGTCAGC</t>
  </si>
  <si>
    <t xml:space="preserve">PSPPH_5141</t>
  </si>
  <si>
    <t xml:space="preserve">TTGCCAGTCCAGCAGAGTGT</t>
  </si>
  <si>
    <t xml:space="preserve">TAGTTTGCCAGTCCAGCAGAGTGT</t>
  </si>
  <si>
    <t xml:space="preserve">AAACACACTCTGCTGGACTGGCAA</t>
  </si>
  <si>
    <t xml:space="preserve">GTTGGTTGTGGGCAATGCAG</t>
  </si>
  <si>
    <t xml:space="preserve">TAGTGTTGGTTGTGGGCAATGCAG</t>
  </si>
  <si>
    <t xml:space="preserve">AAACCTGCATTGCCCACAACCAAC</t>
  </si>
  <si>
    <t xml:space="preserve">GTTTTTCCAGGCGAATGAAA</t>
  </si>
  <si>
    <t xml:space="preserve">TAGTGTTTTTCCAGGCGAATGAAA</t>
  </si>
  <si>
    <t xml:space="preserve">AAACTTTCATTCGCCTGGAAAAAC</t>
  </si>
  <si>
    <t xml:space="preserve">CAAGTCATCGGCGTGACGTG</t>
  </si>
  <si>
    <t xml:space="preserve">TAGTCAAGTCATCGGCGTGACGTG</t>
  </si>
  <si>
    <t xml:space="preserve">AAACCACGTCACGCCGATGACTTG</t>
  </si>
  <si>
    <t xml:space="preserve">PSPPH_5142</t>
  </si>
  <si>
    <t xml:space="preserve">oadA</t>
  </si>
  <si>
    <t xml:space="preserve">GTCGGTTACGAAAATCTTCT</t>
  </si>
  <si>
    <t xml:space="preserve">TAGTGTCGGTTACGAAAATCTTCT</t>
  </si>
  <si>
    <t xml:space="preserve">AAACAGAAGATTTTCGTAACCGAC</t>
  </si>
  <si>
    <t xml:space="preserve">TTGGTGAGCGTCACGCAGGA</t>
  </si>
  <si>
    <t xml:space="preserve">TAGTTTGGTGAGCGTCACGCAGGA</t>
  </si>
  <si>
    <t xml:space="preserve">AAACTCCTGCGTGACGCTCACCAA</t>
  </si>
  <si>
    <t xml:space="preserve">CATGTCCTCGGTACGCATGC</t>
  </si>
  <si>
    <t xml:space="preserve">TAGTCATGTCCTCGGTACGCATGC</t>
  </si>
  <si>
    <t xml:space="preserve">AAACGCATGCGTACCGAGGACATG</t>
  </si>
  <si>
    <t xml:space="preserve">TTGTCGAGCTTGTCGCAGAT</t>
  </si>
  <si>
    <t xml:space="preserve">TAGTTTGTCGAGCTTGTCGCAGAT</t>
  </si>
  <si>
    <t xml:space="preserve">AAACATCTGCGACAAGCTCGACAA</t>
  </si>
  <si>
    <t xml:space="preserve">PSPPH_5143</t>
  </si>
  <si>
    <t xml:space="preserve">ATCAGAATTTTTGTTATCAC</t>
  </si>
  <si>
    <t xml:space="preserve">TAGTATCAGAATTTTTGTTATCAC</t>
  </si>
  <si>
    <t xml:space="preserve">AAACGTGATAACAAAAATTCTGAT</t>
  </si>
  <si>
    <t xml:space="preserve">GACGGCAATCTCCCCGCGGT</t>
  </si>
  <si>
    <t xml:space="preserve">TAGTGACGGCAATCTCCCCGCGGT</t>
  </si>
  <si>
    <t xml:space="preserve">AAACACCGCGGGGAGATTGCCGTC</t>
  </si>
  <si>
    <t xml:space="preserve">CGGCGCAGGCACGCACGATC</t>
  </si>
  <si>
    <t xml:space="preserve">TAGTCGGCGCAGGCACGCACGATC</t>
  </si>
  <si>
    <t xml:space="preserve">AAACGATCGTGCGTGCCTGCGCCG</t>
  </si>
  <si>
    <t xml:space="preserve">GACCGAGCGAATACCCATCT</t>
  </si>
  <si>
    <t xml:space="preserve">TAGTGACCGAGCGAATACCCATCT</t>
  </si>
  <si>
    <t xml:space="preserve">AAACAGATGGGTATTCGCTCGGTC</t>
  </si>
  <si>
    <t xml:space="preserve">PSPPH_5144</t>
  </si>
  <si>
    <t xml:space="preserve">GAGACATCTCTTCGGCTGCA</t>
  </si>
  <si>
    <t xml:space="preserve">TAGTGAGACATCTCTTCGGCTGCA</t>
  </si>
  <si>
    <t xml:space="preserve">AAACTGCAGCCGAAGAGATGTCTC</t>
  </si>
  <si>
    <t xml:space="preserve">CGAATCTGCAGGCTGACGGC</t>
  </si>
  <si>
    <t xml:space="preserve">TAGTCGAATCTGCAGGCTGACGGC</t>
  </si>
  <si>
    <t xml:space="preserve">AAACGCCGTCAGCCTGCAGATTCG</t>
  </si>
  <si>
    <t xml:space="preserve">TGACGTATTCGAACAGCGGC</t>
  </si>
  <si>
    <t xml:space="preserve">TAGTTGACGTATTCGAACAGCGGC</t>
  </si>
  <si>
    <t xml:space="preserve">AAACGCCGCTGTTCGAATACGTCA</t>
  </si>
  <si>
    <t xml:space="preserve">GTGCCTGCGCCGCCTCAGTC</t>
  </si>
  <si>
    <t xml:space="preserve">TAGTGTGCCTGCGCCGCCTCAGTC</t>
  </si>
  <si>
    <t xml:space="preserve">AAACGACTGAGGCGGCGCAGGCAC</t>
  </si>
  <si>
    <t xml:space="preserve">PSPPH_5145</t>
  </si>
  <si>
    <t xml:space="preserve">ATGTGTTGCAGCAGATTCAA</t>
  </si>
  <si>
    <t xml:space="preserve">TAGTATGTGTTGCAGCAGATTCAA</t>
  </si>
  <si>
    <t xml:space="preserve">AAACTTGAATCTGCTGCAACACAT</t>
  </si>
  <si>
    <t xml:space="preserve">GCGCAGCAAATTACGTGACT</t>
  </si>
  <si>
    <t xml:space="preserve">TAGTGCGCAGCAAATTACGTGACT</t>
  </si>
  <si>
    <t xml:space="preserve">AAACAGTCACGTAATTTGCTGCGC</t>
  </si>
  <si>
    <t xml:space="preserve">AGGGTCAAGCAGCACATGAT</t>
  </si>
  <si>
    <t xml:space="preserve">TAGTAGGGTCAAGCAGCACATGAT</t>
  </si>
  <si>
    <t xml:space="preserve">AAACATCATGTGCTGCTTGACCCT</t>
  </si>
  <si>
    <t xml:space="preserve">GAACTGTGCATCACAGCCGC</t>
  </si>
  <si>
    <t xml:space="preserve">TAGTGAACTGTGCATCACAGCCGC</t>
  </si>
  <si>
    <t xml:space="preserve">AAACGCGGCTGTGATGCACAGTTC</t>
  </si>
  <si>
    <t xml:space="preserve">PSPPH_5146</t>
  </si>
  <si>
    <t xml:space="preserve">GGTCAGTCGACCTTGAAGAT</t>
  </si>
  <si>
    <t xml:space="preserve">TAGTGGTCAGTCGACCTTGAAGAT</t>
  </si>
  <si>
    <t xml:space="preserve">AAACATCTTCAAGGTCGACTGACC</t>
  </si>
  <si>
    <t xml:space="preserve">GAGCGTTGCAGGGTCGAGCG</t>
  </si>
  <si>
    <t xml:space="preserve">TAGTGAGCGTTGCAGGGTCGAGCG</t>
  </si>
  <si>
    <t xml:space="preserve">AAACCGCTCGACCCTGCAACGCTC</t>
  </si>
  <si>
    <t xml:space="preserve">AATGACCGGGTGCTGACGAC</t>
  </si>
  <si>
    <t xml:space="preserve">TAGTAATGACCGGGTGCTGACGAC</t>
  </si>
  <si>
    <t xml:space="preserve">AAACGTCGTCAGCACCCGGTCATT</t>
  </si>
  <si>
    <t xml:space="preserve">GGCAAACCATGCTTTGCGTC</t>
  </si>
  <si>
    <t xml:space="preserve">TAGTGGCAAACCATGCTTTGCGTC</t>
  </si>
  <si>
    <t xml:space="preserve">AAACGACGCAAAGCATGGTTTGCC</t>
  </si>
  <si>
    <t xml:space="preserve">PSPPH_5147</t>
  </si>
  <si>
    <t xml:space="preserve">uvrD</t>
  </si>
  <si>
    <t xml:space="preserve">CTGACGTTGGGCATCGTTGA</t>
  </si>
  <si>
    <t xml:space="preserve">TAGTCTGACGTTGGGCATCGTTGA</t>
  </si>
  <si>
    <t xml:space="preserve">AAACTCAACGATGCCCAACGTCAG</t>
  </si>
  <si>
    <t xml:space="preserve">ACGACCCAATGAGGCGGCTA</t>
  </si>
  <si>
    <t xml:space="preserve">TAGTACGACCCAATGAGGCGGCTA</t>
  </si>
  <si>
    <t xml:space="preserve">AAACTAGCCGCCTCATTGGGTCGT</t>
  </si>
  <si>
    <t xml:space="preserve">TGCCGGAGCCAGCACCAGCC</t>
  </si>
  <si>
    <t xml:space="preserve">TAGTTGCCGGAGCCAGCACCAGCC</t>
  </si>
  <si>
    <t xml:space="preserve">AAACGGCTGGTGCTGGCTCCGGCA</t>
  </si>
  <si>
    <t xml:space="preserve">GATGCGATGCACCAGCACAC</t>
  </si>
  <si>
    <t xml:space="preserve">TAGTGATGCGATGCACCAGCACAC</t>
  </si>
  <si>
    <t xml:space="preserve">AAACGTGTGCTGGTGCATCGCATC</t>
  </si>
  <si>
    <t xml:space="preserve">PSPPH_5148</t>
  </si>
  <si>
    <t xml:space="preserve">GGCGTTCACATCCAGGCTCA</t>
  </si>
  <si>
    <t xml:space="preserve">TAGTGGCGTTCACATCCAGGCTCA</t>
  </si>
  <si>
    <t xml:space="preserve">AAACTGAGCCTGGATGTGAACGCC</t>
  </si>
  <si>
    <t xml:space="preserve">CTTGCCGCCACCGAAACGCG</t>
  </si>
  <si>
    <t xml:space="preserve">TAGTCTTGCCGCCACCGAAACGCG</t>
  </si>
  <si>
    <t xml:space="preserve">AAACCGCGTTTCGGTGGCGGCAAG</t>
  </si>
  <si>
    <t xml:space="preserve">GCGTGCCTGATGCGTAGGCG</t>
  </si>
  <si>
    <t xml:space="preserve">TAGTGCGTGCCTGATGCGTAGGCG</t>
  </si>
  <si>
    <t xml:space="preserve">AAACCGCCTACGCATCAGGCACGC</t>
  </si>
  <si>
    <t xml:space="preserve">CCGGAGTGGAGGGTGCGGTC</t>
  </si>
  <si>
    <t xml:space="preserve">TAGTCCGGAGTGGAGGGTGCGGTC</t>
  </si>
  <si>
    <t xml:space="preserve">AAACGACCGCACCCTCCACTCCGG</t>
  </si>
  <si>
    <t xml:space="preserve">PSPPH_5149</t>
  </si>
  <si>
    <t xml:space="preserve">AGCTCAAGCGGAACCGGGAC</t>
  </si>
  <si>
    <t xml:space="preserve">TAGTAGCTCAAGCGGAACCGGGAC</t>
  </si>
  <si>
    <t xml:space="preserve">AAACGTCCCGGTTCCGCTTGAGCT</t>
  </si>
  <si>
    <t xml:space="preserve">TCGACCAGTTGGTCTTCGTC</t>
  </si>
  <si>
    <t xml:space="preserve">TAGTTCGACCAGTTGGTCTTCGTC</t>
  </si>
  <si>
    <t xml:space="preserve">AAACGACGAAGACCAACTGGTCGA</t>
  </si>
  <si>
    <t xml:space="preserve">AGAAACTCTTTGAAGACGAA</t>
  </si>
  <si>
    <t xml:space="preserve">TAGTAGAAACTCTTTGAAGACGAA</t>
  </si>
  <si>
    <t xml:space="preserve">AAACTTCGTCTTCAAAGAGTTTCT</t>
  </si>
  <si>
    <t xml:space="preserve">ACACCACATCGCTGACCGTC</t>
  </si>
  <si>
    <t xml:space="preserve">TAGTACACCACATCGCTGACCGTC</t>
  </si>
  <si>
    <t xml:space="preserve">AAACGACGGTCAGCGATGTGGTGT</t>
  </si>
  <si>
    <t xml:space="preserve">PSPPH_5150</t>
  </si>
  <si>
    <t xml:space="preserve">ATGAAATTGATGGCATGCAT</t>
  </si>
  <si>
    <t xml:space="preserve">TAGTATGAAATTGATGGCATGCAT</t>
  </si>
  <si>
    <t xml:space="preserve">AAACATGCATGCCATCAATTTCAT</t>
  </si>
  <si>
    <t xml:space="preserve">CCACCAGCATGATTACTGCC</t>
  </si>
  <si>
    <t xml:space="preserve">TAGTCCACCAGCATGATTACTGCC</t>
  </si>
  <si>
    <t xml:space="preserve">AAACGGCAGTAATCATGCTGGTGG</t>
  </si>
  <si>
    <t xml:space="preserve">AAAAAGGATGGTCACCACGC</t>
  </si>
  <si>
    <t xml:space="preserve">TAGTAAAAAGGATGGTCACCACGC</t>
  </si>
  <si>
    <t xml:space="preserve">AAACGCGTGGTGACCATCCTTTTT</t>
  </si>
  <si>
    <t xml:space="preserve">GCACCACTGGCTGCCTGAGA</t>
  </si>
  <si>
    <t xml:space="preserve">TAGTGCACCACTGGCTGCCTGAGA</t>
  </si>
  <si>
    <t xml:space="preserve">AAACTCTCAGGCAGCCAGTGGTGC</t>
  </si>
  <si>
    <t xml:space="preserve">PSPPH_5151</t>
  </si>
  <si>
    <t xml:space="preserve">ATCGACAGCTGGGCGTTTCC</t>
  </si>
  <si>
    <t xml:space="preserve">TAGTATCGACAGCTGGGCGTTTCC</t>
  </si>
  <si>
    <t xml:space="preserve">AAACGGAAACGCCCAGCTGTCGAT</t>
  </si>
  <si>
    <t xml:space="preserve">AGAGAAGTTGGCCATGTCCG</t>
  </si>
  <si>
    <t xml:space="preserve">TAGTAGAGAAGTTGGCCATGTCCG</t>
  </si>
  <si>
    <t xml:space="preserve">AAACCGGACATGGCCAACTTCTCT</t>
  </si>
  <si>
    <t xml:space="preserve">ACGCGTAGGCCACTTCGTCC</t>
  </si>
  <si>
    <t xml:space="preserve">TAGTACGCGTAGGCCACTTCGTCC</t>
  </si>
  <si>
    <t xml:space="preserve">AAACGGACGAAGTGGCCTACGCGT</t>
  </si>
  <si>
    <t xml:space="preserve">ATAGCGTCCGGCGTAGCGGC</t>
  </si>
  <si>
    <t xml:space="preserve">TAGTATAGCGTCCGGCGTAGCGGC</t>
  </si>
  <si>
    <t xml:space="preserve">AAACGCCGCTACGCCGGACGCTAT</t>
  </si>
  <si>
    <t xml:space="preserve">PSPPH_5152</t>
  </si>
  <si>
    <t xml:space="preserve">AAGTGAGGCGTACGTTTCAT</t>
  </si>
  <si>
    <t xml:space="preserve">TAGTAAGTGAGGCGTACGTTTCAT</t>
  </si>
  <si>
    <t xml:space="preserve">AAACATGAAACGTACGCCTCACTT</t>
  </si>
  <si>
    <t xml:space="preserve">GGCCGAATACCACATGGGAC</t>
  </si>
  <si>
    <t xml:space="preserve">TAGTGGCCGAATACCACATGGGAC</t>
  </si>
  <si>
    <t xml:space="preserve">AAACGTCCCATGTGGTATTCGGCC</t>
  </si>
  <si>
    <t xml:space="preserve">CCGCTGCGCTGTTGCCGGCG</t>
  </si>
  <si>
    <t xml:space="preserve">TAGTCCGCTGCGCTGTTGCCGGCG</t>
  </si>
  <si>
    <t xml:space="preserve">AAACCGCCGGCAACAGCGCAGCGG</t>
  </si>
  <si>
    <t xml:space="preserve">TGACCCCGATACGCTGCATC</t>
  </si>
  <si>
    <t xml:space="preserve">TAGTTGACCCCGATACGCTGCATC</t>
  </si>
  <si>
    <t xml:space="preserve">AAACGATGCAGCGTATCGGGGTCA</t>
  </si>
  <si>
    <t xml:space="preserve">PSPPH_5153</t>
  </si>
  <si>
    <t xml:space="preserve">CAGCACGAAGATGTTTCCCA</t>
  </si>
  <si>
    <t xml:space="preserve">TAGTCAGCACGAAGATGTTTCCCA</t>
  </si>
  <si>
    <t xml:space="preserve">AAACTGGGAAACATCTTCGTGCTG</t>
  </si>
  <si>
    <t xml:space="preserve">ACCATGGGCGTGCCACCACC</t>
  </si>
  <si>
    <t xml:space="preserve">TAGTACCATGGGCGTGCCACCACC</t>
  </si>
  <si>
    <t xml:space="preserve">AAACGGTGGTGGCACGCCCATGGT</t>
  </si>
  <si>
    <t xml:space="preserve">CGTCCAGCAGTTGCAGCTCA</t>
  </si>
  <si>
    <t xml:space="preserve">TAGTCGTCCAGCAGTTGCAGCTCA</t>
  </si>
  <si>
    <t xml:space="preserve">AAACTGAGCTGCAACTGCTGGACG</t>
  </si>
  <si>
    <t xml:space="preserve">GGTCAGGCGGCGCAGGGCAA</t>
  </si>
  <si>
    <t xml:space="preserve">TAGTGGTCAGGCGGCGCAGGGCAA</t>
  </si>
  <si>
    <t xml:space="preserve">AAACTTGCCCTGCGCCGCCTGACC</t>
  </si>
  <si>
    <t xml:space="preserve">PSPPH_5154</t>
  </si>
  <si>
    <t xml:space="preserve">ATCACTTTTGACGAATGCGT</t>
  </si>
  <si>
    <t xml:space="preserve">TAGTATCACTTTTGACGAATGCGT</t>
  </si>
  <si>
    <t xml:space="preserve">AAACACGCATTCGTCAAAAGTGAT</t>
  </si>
  <si>
    <t xml:space="preserve">GTCGGTATGTTTTGCAGCAT</t>
  </si>
  <si>
    <t xml:space="preserve">TAGTGTCGGTATGTTTTGCAGCAT</t>
  </si>
  <si>
    <t xml:space="preserve">AAACATGCTGCAAAACATACCGAC</t>
  </si>
  <si>
    <t xml:space="preserve">TGGTCTTGCCGGCGCCCAGC</t>
  </si>
  <si>
    <t xml:space="preserve">TAGTTGGTCTTGCCGGCGCCCAGC</t>
  </si>
  <si>
    <t xml:space="preserve">AAACGCTGGGCGCCGGCAAGACCA</t>
  </si>
  <si>
    <t xml:space="preserve">CAGCAGGCGTTTGATCAGGC</t>
  </si>
  <si>
    <t xml:space="preserve">TAGTCAGCAGGCGTTTGATCAGGC</t>
  </si>
  <si>
    <t xml:space="preserve">AAACGCCTGATCAAACGCCTGCTG</t>
  </si>
  <si>
    <t xml:space="preserve">PSPPH_5155</t>
  </si>
  <si>
    <t xml:space="preserve">AGCGTCAGTGCCAGGCGGAC</t>
  </si>
  <si>
    <t xml:space="preserve">TAGTAGCGTCAGTGCCAGGCGGAC</t>
  </si>
  <si>
    <t xml:space="preserve">AAACGTCCGCCTGGCACTGACGCT</t>
  </si>
  <si>
    <t xml:space="preserve">GCTGTGGACCAGACACGCCT</t>
  </si>
  <si>
    <t xml:space="preserve">TAGTGCTGTGGACCAGACACGCCT</t>
  </si>
  <si>
    <t xml:space="preserve">AAACAGGCGTGTCTGGTCCACAGC</t>
  </si>
  <si>
    <t xml:space="preserve">TCACATCCAGCCTTTCGGCT</t>
  </si>
  <si>
    <t xml:space="preserve">TAGTTCACATCCAGCCTTTCGGCT</t>
  </si>
  <si>
    <t xml:space="preserve">AAACAGCCGAAAGGCTGGATGTGA</t>
  </si>
  <si>
    <t xml:space="preserve">CCGGGATATTGATATTTTCC</t>
  </si>
  <si>
    <t xml:space="preserve">TAGTCCGGGATATTGATATTTTCC</t>
  </si>
  <si>
    <t xml:space="preserve">AAACGGAAAATATCAATATCCCGG</t>
  </si>
  <si>
    <t xml:space="preserve">PSPPH_5156</t>
  </si>
  <si>
    <t xml:space="preserve">GTTCTTGTCATTCAAACGAT</t>
  </si>
  <si>
    <t xml:space="preserve">TAGTGTTCTTGTCATTCAAACGAT</t>
  </si>
  <si>
    <t xml:space="preserve">AAACATCGTTTGAATGACAAGAAC</t>
  </si>
  <si>
    <t xml:space="preserve">GCCGCCGTGTGCCTGACGAA</t>
  </si>
  <si>
    <t xml:space="preserve">TAGTGCCGCCGTGTGCCTGACGAA</t>
  </si>
  <si>
    <t xml:space="preserve">AAACTTCGTCAGGCACACGGCGGC</t>
  </si>
  <si>
    <t xml:space="preserve">AGGATCTCGCTCAATACCTC</t>
  </si>
  <si>
    <t xml:space="preserve">TAGTAGGATCTCGCTCAATACCTC</t>
  </si>
  <si>
    <t xml:space="preserve">AAACGAGGTATTGAGCGAGATCCT</t>
  </si>
  <si>
    <t xml:space="preserve">CAAGGTTGACGTCATCCTGG</t>
  </si>
  <si>
    <t xml:space="preserve">TAGTCAAGGTTGACGTCATCCTGG</t>
  </si>
  <si>
    <t xml:space="preserve">AAACCCAGGATGACGTCAACCTTG</t>
  </si>
  <si>
    <t xml:space="preserve">PSPPH_5157</t>
  </si>
  <si>
    <t xml:space="preserve">AAACCGGACAGAACGGTAAC</t>
  </si>
  <si>
    <t xml:space="preserve">TAGTAAACCGGACAGAACGGTAAC</t>
  </si>
  <si>
    <t xml:space="preserve">AAACGTTACCGTTCTGTCCGGTTT</t>
  </si>
  <si>
    <t xml:space="preserve">ATTGAGTAAAGTGCTTTTAC</t>
  </si>
  <si>
    <t xml:space="preserve">TAGTATTGAGTAAAGTGCTTTTAC</t>
  </si>
  <si>
    <t xml:space="preserve">AAACGTAAAAGCACTTTACTCAAT</t>
  </si>
  <si>
    <t xml:space="preserve">TGACTATTACGGCAACCCGC</t>
  </si>
  <si>
    <t xml:space="preserve">TAGTTGACTATTACGGCAACCCGC</t>
  </si>
  <si>
    <t xml:space="preserve">AAACGCGGGTTGCCGTAATAGTCA</t>
  </si>
  <si>
    <t xml:space="preserve">GCTTTTCTTCGGCACGGTTC</t>
  </si>
  <si>
    <t xml:space="preserve">TAGTGCTTTTCTTCGGCACGGTTC</t>
  </si>
  <si>
    <t xml:space="preserve">AAACGAACCGTGCCGAAGAAAAGC</t>
  </si>
  <si>
    <t xml:space="preserve">PSPPH_5158</t>
  </si>
  <si>
    <t xml:space="preserve">CTGGCGTGCAGCGATGCCCA</t>
  </si>
  <si>
    <t xml:space="preserve">TAGTCTGGCGTGCAGCGATGCCCA</t>
  </si>
  <si>
    <t xml:space="preserve">AAACTGGGCATCGCTGCACGCCAG</t>
  </si>
  <si>
    <t xml:space="preserve">CACCTGTACGCGTAGCGCGA</t>
  </si>
  <si>
    <t xml:space="preserve">TAGTCACCTGTACGCGTAGCGCGA</t>
  </si>
  <si>
    <t xml:space="preserve">AAACTCGCGCTACGCGTACAGGTG</t>
  </si>
  <si>
    <t xml:space="preserve">ACTTGATGGCAGCACCACCC</t>
  </si>
  <si>
    <t xml:space="preserve">TAGTACTTGATGGCAGCACCACCC</t>
  </si>
  <si>
    <t xml:space="preserve">AAACGGGTGGTGCTGCCATCAAGT</t>
  </si>
  <si>
    <t xml:space="preserve">ACGGGTTTCAACAGGTTTGG</t>
  </si>
  <si>
    <t xml:space="preserve">TAGTACGGGTTTCAACAGGTTTGG</t>
  </si>
  <si>
    <t xml:space="preserve">AAACCCAAACCTGTTGAAACCCGT</t>
  </si>
  <si>
    <t xml:space="preserve">PSPPH_5159</t>
  </si>
  <si>
    <t xml:space="preserve">amiC</t>
  </si>
  <si>
    <t xml:space="preserve">CAACACTTGGCGTCGGTGCA</t>
  </si>
  <si>
    <t xml:space="preserve">TAGTCAACACTTGGCGTCGGTGCA</t>
  </si>
  <si>
    <t xml:space="preserve">AAACTGCACCGACGCCAAGTGTTG</t>
  </si>
  <si>
    <t xml:space="preserve">TGTGTGGCATAGGCACCCAA</t>
  </si>
  <si>
    <t xml:space="preserve">TAGTTGTGTGGCATAGGCACCCAA</t>
  </si>
  <si>
    <t xml:space="preserve">AAACTTGGGTGCCTATGCCACACA</t>
  </si>
  <si>
    <t xml:space="preserve">GTCGTTGGTACGCCACAGGC</t>
  </si>
  <si>
    <t xml:space="preserve">TAGTGTCGTTGGTACGCCACAGGC</t>
  </si>
  <si>
    <t xml:space="preserve">AAACGCCTGTGGCGTACCAACGAC</t>
  </si>
  <si>
    <t xml:space="preserve">GGCCGCTAAGGTCGAGGACC</t>
  </si>
  <si>
    <t xml:space="preserve">TAGTGGCCGCTAAGGTCGAGGACC</t>
  </si>
  <si>
    <t xml:space="preserve">AAACGGTCCTCGACCTTAGCGGCC</t>
  </si>
  <si>
    <t xml:space="preserve">PSPPH_5160</t>
  </si>
  <si>
    <t xml:space="preserve">GGTAGCCAGGCAAAACATCC</t>
  </si>
  <si>
    <t xml:space="preserve">TAGTGGTAGCCAGGCAAAACATCC</t>
  </si>
  <si>
    <t xml:space="preserve">AAACGGATGTTTTGCCTGGCTACC</t>
  </si>
  <si>
    <t xml:space="preserve">CATCTGCGCTTGAGCCAGGG</t>
  </si>
  <si>
    <t xml:space="preserve">TAGTCATCTGCGCTTGAGCCAGGG</t>
  </si>
  <si>
    <t xml:space="preserve">AAACCCCTGGCTCAAGCGCAGATG</t>
  </si>
  <si>
    <t xml:space="preserve">GACGTCAGTTCCCACAAGCC</t>
  </si>
  <si>
    <t xml:space="preserve">TAGTGACGTCAGTTCCCACAAGCC</t>
  </si>
  <si>
    <t xml:space="preserve">AAACGGCTTGTGGGAACTGACGTC</t>
  </si>
  <si>
    <t xml:space="preserve">CCGTGCATCAATTGCATGTC</t>
  </si>
  <si>
    <t xml:space="preserve">TAGTCCGTGCATCAATTGCATGTC</t>
  </si>
  <si>
    <t xml:space="preserve">AAACGACATGCAATTGATGCACGG</t>
  </si>
  <si>
    <t xml:space="preserve">PSPPH_5161</t>
  </si>
  <si>
    <t xml:space="preserve">cls</t>
  </si>
  <si>
    <t xml:space="preserve">GGACATAACCGAAAAAGTAC</t>
  </si>
  <si>
    <t xml:space="preserve">TAGTGGACATAACCGAAAAAGTAC</t>
  </si>
  <si>
    <t xml:space="preserve">AAACGTACTTTTTCGGTTATGTCC</t>
  </si>
  <si>
    <t xml:space="preserve">CGTCAGCAGCGCGTGAATAG</t>
  </si>
  <si>
    <t xml:space="preserve">TAGTCGTCAGCAGCGCGTGAATAG</t>
  </si>
  <si>
    <t xml:space="preserve">AAACCTATTCACGCGCTGCTGACG</t>
  </si>
  <si>
    <t xml:space="preserve">CCAGGCAATCGCACCTTGAG</t>
  </si>
  <si>
    <t xml:space="preserve">TAGTCCAGGCAATCGCACCTTGAG</t>
  </si>
  <si>
    <t xml:space="preserve">AAACCTCAAGGTGCGATTGCCTGG</t>
  </si>
  <si>
    <t xml:space="preserve">AAATACGGAATGAACAGCAG</t>
  </si>
  <si>
    <t xml:space="preserve">TAGTAAATACGGAATGAACAGCAG</t>
  </si>
  <si>
    <t xml:space="preserve">AAACCTGCTGTTCATTCCGTATTT</t>
  </si>
  <si>
    <t xml:space="preserve">PSPPH_5162</t>
  </si>
  <si>
    <t xml:space="preserve">cfa2</t>
  </si>
  <si>
    <t xml:space="preserve">TGAAGGTTCTGCAAGGTCGT</t>
  </si>
  <si>
    <t xml:space="preserve">TAGTTGAAGGTTCTGCAAGGTCGT</t>
  </si>
  <si>
    <t xml:space="preserve">AAACACGACCTTGCAGAACCTTCA</t>
  </si>
  <si>
    <t xml:space="preserve">TCCCAGAGCTTGAGCCGTAA</t>
  </si>
  <si>
    <t xml:space="preserve">TAGTTCCCAGAGCTTGAGCCGTAA</t>
  </si>
  <si>
    <t xml:space="preserve">AAACTTACGGCTCAAGCTCTGGGA</t>
  </si>
  <si>
    <t xml:space="preserve">CAGGCCCCAGGTCCATCTGA</t>
  </si>
  <si>
    <t xml:space="preserve">TAGTCAGGCCCCAGGTCCATCTGA</t>
  </si>
  <si>
    <t xml:space="preserve">AAACTCAGATGGACCTGGGGCCTG</t>
  </si>
  <si>
    <t xml:space="preserve">TTGACCACTATCGTGACGCT</t>
  </si>
  <si>
    <t xml:space="preserve">TAGTTTGACCACTATCGTGACGCT</t>
  </si>
  <si>
    <t xml:space="preserve">AAACAGCGTCACGATAGTGGTCAA</t>
  </si>
  <si>
    <t xml:space="preserve">PSPPH_5163</t>
  </si>
  <si>
    <t xml:space="preserve">cadA</t>
  </si>
  <si>
    <t xml:space="preserve">GATGGCGTGATGGGTGTGAA</t>
  </si>
  <si>
    <t xml:space="preserve">TAGTGATGGCGTGATGGGTGTGAA</t>
  </si>
  <si>
    <t xml:space="preserve">AAACTTCACACCCATCACGCCATC</t>
  </si>
  <si>
    <t xml:space="preserve">AGCAGGCTGCCATCCGCTTG</t>
  </si>
  <si>
    <t xml:space="preserve">TAGTAGCAGGCTGCCATCCGCTTG</t>
  </si>
  <si>
    <t xml:space="preserve">AAACCAAGCGGATGGCAGCCTGCT</t>
  </si>
  <si>
    <t xml:space="preserve">CATCGCGAGGGTCAATTGCC</t>
  </si>
  <si>
    <t xml:space="preserve">TAGTCATCGCGAGGGTCAATTGCC</t>
  </si>
  <si>
    <t xml:space="preserve">AAACGGCAATTGACCCTCGCGATG</t>
  </si>
  <si>
    <t xml:space="preserve">AGACCAGACCCAATGCCAAC</t>
  </si>
  <si>
    <t xml:space="preserve">TAGTAGACCAGACCCAATGCCAAC</t>
  </si>
  <si>
    <t xml:space="preserve">AAACGTTGGCATTGGGTCTGGTCT</t>
  </si>
  <si>
    <t xml:space="preserve">PSPPH_5164</t>
  </si>
  <si>
    <t xml:space="preserve">TTACGGGCTCGTCGACCGGT</t>
  </si>
  <si>
    <t xml:space="preserve">TAGTTTACGGGCTCGTCGACCGGT</t>
  </si>
  <si>
    <t xml:space="preserve">AAACACCGGTCGACGAGCCCGTAA</t>
  </si>
  <si>
    <t xml:space="preserve">AACCATGGGCTATTGGCAGG</t>
  </si>
  <si>
    <t xml:space="preserve">TAGTAACCATGGGCTATTGGCAGG</t>
  </si>
  <si>
    <t xml:space="preserve">AAACCCTGCCAATAGCCCATGGTT</t>
  </si>
  <si>
    <t xml:space="preserve">ACAGTCCGATGAACGCCAGT</t>
  </si>
  <si>
    <t xml:space="preserve">TAGTACAGTCCGATGAACGCCAGT</t>
  </si>
  <si>
    <t xml:space="preserve">AAACACTGGCGTTCATCGGACTGT</t>
  </si>
  <si>
    <t xml:space="preserve">CCAGGCAAGCGCAGCCAGCA</t>
  </si>
  <si>
    <t xml:space="preserve">TAGTCCAGGCAAGCGCAGCCAGCA</t>
  </si>
  <si>
    <t xml:space="preserve">AAACTGCTGGCTGCGCTTGCCTGG</t>
  </si>
  <si>
    <t xml:space="preserve">PSPPH_5165</t>
  </si>
  <si>
    <t xml:space="preserve">TGATGATGAAACAGACTCAA</t>
  </si>
  <si>
    <t xml:space="preserve">TAGTTGATGATGAAACAGACTCAA</t>
  </si>
  <si>
    <t xml:space="preserve">AAACTTGAGTCTGTTTCATCATCA</t>
  </si>
  <si>
    <t xml:space="preserve">ACTGTCATGGCTATCGTGGT</t>
  </si>
  <si>
    <t xml:space="preserve">TAGTACTGTCATGGCTATCGTGGT</t>
  </si>
  <si>
    <t xml:space="preserve">AAACACCACGATAGCCATGACAGT</t>
  </si>
  <si>
    <t xml:space="preserve">GATGATGGTGATGATGGCCG</t>
  </si>
  <si>
    <t xml:space="preserve">TAGTGATGATGGTGATGATGGCCG</t>
  </si>
  <si>
    <t xml:space="preserve">AAACCGGCCATCATCACCATCATC</t>
  </si>
  <si>
    <t xml:space="preserve">CCAAGGGAACGCTGCCGGAC</t>
  </si>
  <si>
    <t xml:space="preserve">TAGTCCAAGGGAACGCTGCCGGAC</t>
  </si>
  <si>
    <t xml:space="preserve">AAACGTCCGGCAGCGTTCCCTTGG</t>
  </si>
  <si>
    <t xml:space="preserve">PSPPH_5166</t>
  </si>
  <si>
    <t xml:space="preserve">GAAAACGCGGCAGGCCTTCG</t>
  </si>
  <si>
    <t xml:space="preserve">TAGTGAAAACGCGGCAGGCCTTCG</t>
  </si>
  <si>
    <t xml:space="preserve">AAACCGAAGGCCTGCCGCGTTTTC</t>
  </si>
  <si>
    <t xml:space="preserve">ACCAGGGGAAAACAGATCGA</t>
  </si>
  <si>
    <t xml:space="preserve">TAGTACCAGGGGAAAACAGATCGA</t>
  </si>
  <si>
    <t xml:space="preserve">AAACTCGATCTGTTTTCCCCTGGT</t>
  </si>
  <si>
    <t xml:space="preserve">CGCCGACGCATTGCCCAGCA</t>
  </si>
  <si>
    <t xml:space="preserve">TAGTCGCCGACGCATTGCCCAGCA</t>
  </si>
  <si>
    <t xml:space="preserve">AAACTGCTGGGCAATGCGTCGGCG</t>
  </si>
  <si>
    <t xml:space="preserve">ACGCCACATCGCGACGTGCC</t>
  </si>
  <si>
    <t xml:space="preserve">TAGTACGCCACATCGCGACGTGCC</t>
  </si>
  <si>
    <t xml:space="preserve">AAACGGCACGTCGCGATGTGGCGT</t>
  </si>
  <si>
    <t xml:space="preserve">PSPPH_5167</t>
  </si>
  <si>
    <t xml:space="preserve">TCCAGTACCGCATGCTGGTG</t>
  </si>
  <si>
    <t xml:space="preserve">TAGTTCCAGTACCGCATGCTGGTG</t>
  </si>
  <si>
    <t xml:space="preserve">AAACCACCAGCATGCGGTACTGGA</t>
  </si>
  <si>
    <t xml:space="preserve">AGCAAATGTCAGCCTGCCGC</t>
  </si>
  <si>
    <t xml:space="preserve">TAGTAGCAAATGTCAGCCTGCCGC</t>
  </si>
  <si>
    <t xml:space="preserve">AAACGCGGCAGGCTGACATTTGCT</t>
  </si>
  <si>
    <t xml:space="preserve">TATTCAGCAACCATTTTGCC</t>
  </si>
  <si>
    <t xml:space="preserve">TAGTTATTCAGCAACCATTTTGCC</t>
  </si>
  <si>
    <t xml:space="preserve">AAACGGCAAAATGGTTGCTGAATA</t>
  </si>
  <si>
    <t xml:space="preserve">GTCAGGGCGATAGGGTGCGT</t>
  </si>
  <si>
    <t xml:space="preserve">TAGTGTCAGGGCGATAGGGTGCGT</t>
  </si>
  <si>
    <t xml:space="preserve">AAACACGCACCCTATCGCCCTGAC</t>
  </si>
  <si>
    <t xml:space="preserve">PSPPH_5168</t>
  </si>
  <si>
    <t xml:space="preserve">CCAACGCCATGGACGCTTTC</t>
  </si>
  <si>
    <t xml:space="preserve">TAGTCCAACGCCATGGACGCTTTC</t>
  </si>
  <si>
    <t xml:space="preserve">AAACGAAAGCGTCCATGGCGTTGG</t>
  </si>
  <si>
    <t xml:space="preserve">GGCCGACACGCTGCCGTAAG</t>
  </si>
  <si>
    <t xml:space="preserve">TAGTGGCCGACACGCTGCCGTAAG</t>
  </si>
  <si>
    <t xml:space="preserve">AAACCTTACGGCAGCGTGTCGGCC</t>
  </si>
  <si>
    <t xml:space="preserve">TCGCGCAGCATAAAGCCCTG</t>
  </si>
  <si>
    <t xml:space="preserve">TAGTTCGCGCAGCATAAAGCCCTG</t>
  </si>
  <si>
    <t xml:space="preserve">AAACCAGGGCTTTATGCTGCGCGA</t>
  </si>
  <si>
    <t xml:space="preserve">GATCTCGCCATCGGCTGCGG</t>
  </si>
  <si>
    <t xml:space="preserve">TAGTGATCTCGCCATCGGCTGCGG</t>
  </si>
  <si>
    <t xml:space="preserve">AAACCCGCAGCCGATGGCGAGATC</t>
  </si>
  <si>
    <t xml:space="preserve">PSPPH_5169</t>
  </si>
  <si>
    <t xml:space="preserve">CATCACCGACGACCTGGTGT</t>
  </si>
  <si>
    <t xml:space="preserve">TAGTCATCACCGACGACCTGGTGT</t>
  </si>
  <si>
    <t xml:space="preserve">AAACACACCAGGTCGTCGGTGATG</t>
  </si>
  <si>
    <t xml:space="preserve">CACCACCGTGGATTTATCAA</t>
  </si>
  <si>
    <t xml:space="preserve">TAGTCACCACCGTGGATTTATCAA</t>
  </si>
  <si>
    <t xml:space="preserve">AAACTTGATAAATCCACGGTGGTG</t>
  </si>
  <si>
    <t xml:space="preserve">CTCGACCAGAATCAGGCTGA</t>
  </si>
  <si>
    <t xml:space="preserve">TAGTCTCGACCAGAATCAGGCTGA</t>
  </si>
  <si>
    <t xml:space="preserve">AAACTCAGCCTGATTCTGGTCGAG</t>
  </si>
  <si>
    <t xml:space="preserve">GAAGCGCAAGGCTCCGGAGA</t>
  </si>
  <si>
    <t xml:space="preserve">TAGTGAAGCGCAAGGCTCCGGAGA</t>
  </si>
  <si>
    <t xml:space="preserve">AAACTCTCCGGAGCCTTGCGCTTC</t>
  </si>
  <si>
    <t xml:space="preserve">PSPPH_5170</t>
  </si>
  <si>
    <t xml:space="preserve">GCGGCCGGTAAATGATCTGG</t>
  </si>
  <si>
    <t xml:space="preserve">TAGTGCGGCCGGTAAATGATCTGG</t>
  </si>
  <si>
    <t xml:space="preserve">AAACCCAGATCATTTACCGGCCGC</t>
  </si>
  <si>
    <t xml:space="preserve">TGGATGATCGTGAGGGAGAG</t>
  </si>
  <si>
    <t xml:space="preserve">TAGTTGGATGATCGTGAGGGAGAG</t>
  </si>
  <si>
    <t xml:space="preserve">AAACCTCTCCCTCACGATCATCCA</t>
  </si>
  <si>
    <t xml:space="preserve">CATTTGAGAAAGCCATCCGG</t>
  </si>
  <si>
    <t xml:space="preserve">TAGTCATTTGAGAAAGCCATCCGG</t>
  </si>
  <si>
    <t xml:space="preserve">AAACCCGGATGGCTTTCTCAAATG</t>
  </si>
  <si>
    <t xml:space="preserve">CAGCACCGCAGCCACCGCGA</t>
  </si>
  <si>
    <t xml:space="preserve">TAGTCAGCACCGCAGCCACCGCGA</t>
  </si>
  <si>
    <t xml:space="preserve">AAACTCGCGGTGGCTGCGGTGCTG</t>
  </si>
  <si>
    <t xml:space="preserve">PSPPH_5171</t>
  </si>
  <si>
    <t xml:space="preserve">TTCGGCCTGCGGTGCAGTGG</t>
  </si>
  <si>
    <t xml:space="preserve">TAGTTTCGGCCTGCGGTGCAGTGG</t>
  </si>
  <si>
    <t xml:space="preserve">AAACCCACTGCACCGCAGGCCGAA</t>
  </si>
  <si>
    <t xml:space="preserve">TCATCGATGACAAAGATGAC</t>
  </si>
  <si>
    <t xml:space="preserve">TAGTTCATCGATGACAAAGATGAC</t>
  </si>
  <si>
    <t xml:space="preserve">AAACGTCATCTTTGTCATCGATGA</t>
  </si>
  <si>
    <t xml:space="preserve">CCAGCGAAGAACGCACCGAG</t>
  </si>
  <si>
    <t xml:space="preserve">TAGTCCAGCGAAGAACGCACCGAG</t>
  </si>
  <si>
    <t xml:space="preserve">AAACCTCGGTGCGTTCTTCGCTGG</t>
  </si>
  <si>
    <t xml:space="preserve">GCAAGCCGACTGACGCCAGC</t>
  </si>
  <si>
    <t xml:space="preserve">TAGTGCAAGCCGACTGACGCCAGC</t>
  </si>
  <si>
    <t xml:space="preserve">AAACGCTGGCGTCAGTCGGCTTGC</t>
  </si>
  <si>
    <t xml:space="preserve">PSPPH_5172</t>
  </si>
  <si>
    <t xml:space="preserve">CTCCAGATCGGTCAGGGTAT</t>
  </si>
  <si>
    <t xml:space="preserve">TAGTCTCCAGATCGGTCAGGGTAT</t>
  </si>
  <si>
    <t xml:space="preserve">AAACATACCCTGACCGATCTGGAG</t>
  </si>
  <si>
    <t xml:space="preserve">CGCGATCTGGAACACCCCCA</t>
  </si>
  <si>
    <t xml:space="preserve">TAGTCGCGATCTGGAACACCCCCA</t>
  </si>
  <si>
    <t xml:space="preserve">AAACTGGGGGTGTTCCAGATCGCG</t>
  </si>
  <si>
    <t xml:space="preserve">ATGACAATAACGCCCCTGAA</t>
  </si>
  <si>
    <t xml:space="preserve">TAGTATGACAATAACGCCCCTGAA</t>
  </si>
  <si>
    <t xml:space="preserve">AAACTTCAGGGGCGTTATTGTCAT</t>
  </si>
  <si>
    <t xml:space="preserve">CGCCTCGCTGCCTCTGGAGG</t>
  </si>
  <si>
    <t xml:space="preserve">TAGTCGCCTCGCTGCCTCTGGAGG</t>
  </si>
  <si>
    <t xml:space="preserve">AAACCCTCCAGAGGCAGCGAGGCG</t>
  </si>
  <si>
    <t xml:space="preserve">PSPPH_5173</t>
  </si>
  <si>
    <t xml:space="preserve">GGACTTTCTGAACGTCTACC</t>
  </si>
  <si>
    <t xml:space="preserve">TAGTGGACTTTCTGAACGTCTACC</t>
  </si>
  <si>
    <t xml:space="preserve">AAACGGTAGACGTTCAGAAAGTCC</t>
  </si>
  <si>
    <t xml:space="preserve">TGCCTTTGCCGTACACATGT</t>
  </si>
  <si>
    <t xml:space="preserve">TAGTTGCCTTTGCCGTACACATGT</t>
  </si>
  <si>
    <t xml:space="preserve">AAACACATGTGTACGGCAAAGGCA</t>
  </si>
  <si>
    <t xml:space="preserve">GTGTCACGTCATCCAGCACC</t>
  </si>
  <si>
    <t xml:space="preserve">TAGTGTGTCACGTCATCCAGCACC</t>
  </si>
  <si>
    <t xml:space="preserve">AAACGGTGCTGGATGACGTGACAC</t>
  </si>
  <si>
    <t xml:space="preserve">CGCGATGGAGCGCAGCAGGG</t>
  </si>
  <si>
    <t xml:space="preserve">TAGTCGCGATGGAGCGCAGCAGGG</t>
  </si>
  <si>
    <t xml:space="preserve">AAACCCCTGCTGCGCTCCATCGCG</t>
  </si>
  <si>
    <t xml:space="preserve">PSPPH_5174</t>
  </si>
  <si>
    <t xml:space="preserve">TTACAAAACGGGGCGTGCGC</t>
  </si>
  <si>
    <t xml:space="preserve">TAGTTTACAAAACGGGGCGTGCGC</t>
  </si>
  <si>
    <t xml:space="preserve">AAACGCGCACGCCCCGTTTTGTAA</t>
  </si>
  <si>
    <t xml:space="preserve">CAATAAGGAGTGCGCGCACC</t>
  </si>
  <si>
    <t xml:space="preserve">TAGTCAATAAGGAGTGCGCGCACC</t>
  </si>
  <si>
    <t xml:space="preserve">AAACGGTGCGCGCACTCCTTATTG</t>
  </si>
  <si>
    <t xml:space="preserve">AACGACCAGGCAAATACCAT</t>
  </si>
  <si>
    <t xml:space="preserve">TAGTAACGACCAGGCAAATACCAT</t>
  </si>
  <si>
    <t xml:space="preserve">AAACATGGTATTTGCCTGGTCGTT</t>
  </si>
  <si>
    <t xml:space="preserve">CAGCACCAGCGCAATAAACA</t>
  </si>
  <si>
    <t xml:space="preserve">TAGTCAGCACCAGCGCAATAAACA</t>
  </si>
  <si>
    <t xml:space="preserve">AAACTGTTTATTGCGCTGGTGCTG</t>
  </si>
  <si>
    <t xml:space="preserve">PSPPH_5175</t>
  </si>
  <si>
    <t xml:space="preserve">CCAGCCGACCAGGGCGAGAA</t>
  </si>
  <si>
    <t xml:space="preserve">TAGTCCAGCCGACCAGGGCGAGAA</t>
  </si>
  <si>
    <t xml:space="preserve">AAACTTCTCGCCCTGGTCGGCTGG</t>
  </si>
  <si>
    <t xml:space="preserve">ATTGATGAGTTTATCGAGGC</t>
  </si>
  <si>
    <t xml:space="preserve">TAGTATTGATGAGTTTATCGAGGC</t>
  </si>
  <si>
    <t xml:space="preserve">AAACGCCTCGATAAACTCATCAAT</t>
  </si>
  <si>
    <t xml:space="preserve">AGTGATGTCGCCGATTCTGT</t>
  </si>
  <si>
    <t xml:space="preserve">TAGTAGTGATGTCGCCGATTCTGT</t>
  </si>
  <si>
    <t xml:space="preserve">AAACACAGAATCGGCGACATCACT</t>
  </si>
  <si>
    <t xml:space="preserve">CAGGCGCGCGACCCGCAGAT</t>
  </si>
  <si>
    <t xml:space="preserve">TAGTCAGGCGCGCGACCCGCAGAT</t>
  </si>
  <si>
    <t xml:space="preserve">AAACATCTGCGGGTCGCGCGCCTG</t>
  </si>
  <si>
    <t xml:space="preserve">PSPPH_5176</t>
  </si>
  <si>
    <t xml:space="preserve">TAAGGTAAATACCAGGCGAA</t>
  </si>
  <si>
    <t xml:space="preserve">TAGTTAAGGTAAATACCAGGCGAA</t>
  </si>
  <si>
    <t xml:space="preserve">AAACTTCGCCTGGTATTTACCTTA</t>
  </si>
  <si>
    <t xml:space="preserve">GGCAGGGAACCGCAGGCGAT</t>
  </si>
  <si>
    <t xml:space="preserve">TAGTGGCAGGGAACCGCAGGCGAT</t>
  </si>
  <si>
    <t xml:space="preserve">AAACATCGCCTGCGGTTCCCTGCC</t>
  </si>
  <si>
    <t xml:space="preserve">GATGGCTAAAACGGCAAACT</t>
  </si>
  <si>
    <t xml:space="preserve">TAGTGATGGCTAAAACGGCAAACT</t>
  </si>
  <si>
    <t xml:space="preserve">AAACAGTTTGCCGTTTTAGCCATC</t>
  </si>
  <si>
    <t xml:space="preserve">GAAGACCGAGAACGATCAGC</t>
  </si>
  <si>
    <t xml:space="preserve">TAGTGAAGACCGAGAACGATCAGC</t>
  </si>
  <si>
    <t xml:space="preserve">AAACGCTGATCGTTCTCGGTCTTC</t>
  </si>
  <si>
    <t xml:space="preserve">PSPPH_5177</t>
  </si>
  <si>
    <t xml:space="preserve">TCCTGTAACTGCCATGCAGC</t>
  </si>
  <si>
    <t xml:space="preserve">TAGTTCCTGTAACTGCCATGCAGC</t>
  </si>
  <si>
    <t xml:space="preserve">AAACGCTGCATGGCAGTTACAGGA</t>
  </si>
  <si>
    <t xml:space="preserve">ATCAACCGACGCCCAGTGCC</t>
  </si>
  <si>
    <t xml:space="preserve">TAGTATCAACCGACGCCCAGTGCC</t>
  </si>
  <si>
    <t xml:space="preserve">AAACGGCACTGGGCGTCGGTTGAT</t>
  </si>
  <si>
    <t xml:space="preserve">CCGGGTCGGAACGGTACTTG</t>
  </si>
  <si>
    <t xml:space="preserve">TAGTCCGGGTCGGAACGGTACTTG</t>
  </si>
  <si>
    <t xml:space="preserve">AAACCAAGTACCGTTCCGACCCGG</t>
  </si>
  <si>
    <t xml:space="preserve">GCCTGAGGCTTGCTCAGCTT</t>
  </si>
  <si>
    <t xml:space="preserve">TAGTGCCTGAGGCTTGCTCAGCTT</t>
  </si>
  <si>
    <t xml:space="preserve">AAACAAGCTGAGCAAGCCTCAGGC</t>
  </si>
  <si>
    <t xml:space="preserve">PSPPH_5178</t>
  </si>
  <si>
    <t xml:space="preserve">GTTTGGTCTAGCTACCCGCA</t>
  </si>
  <si>
    <t xml:space="preserve">TAGTGTTTGGTCTAGCTACCCGCA</t>
  </si>
  <si>
    <t xml:space="preserve">AAACTGCGGGTAGCTAGACCAAAC</t>
  </si>
  <si>
    <t xml:space="preserve">GCAGAAGATTGGCCAGTCCA</t>
  </si>
  <si>
    <t xml:space="preserve">TAGTGCAGAAGATTGGCCAGTCCA</t>
  </si>
  <si>
    <t xml:space="preserve">AAACTGGACTGGCCAATCTTCTGC</t>
  </si>
  <si>
    <t xml:space="preserve">GGCTGCTGCCAGCTCGCCTT</t>
  </si>
  <si>
    <t xml:space="preserve">TAGTGGCTGCTGCCAGCTCGCCTT</t>
  </si>
  <si>
    <t xml:space="preserve">AAACAAGGCGAGCTGGCAGCAGCC</t>
  </si>
  <si>
    <t xml:space="preserve">TCCTTGGGTGAAATAACGTC</t>
  </si>
  <si>
    <t xml:space="preserve">TAGTTCCTTGGGTGAAATAACGTC</t>
  </si>
  <si>
    <t xml:space="preserve">AAACGACGTTATTTCACCCAAGGA</t>
  </si>
  <si>
    <t xml:space="preserve">PSPPH_5179</t>
  </si>
  <si>
    <t xml:space="preserve">cysC2</t>
  </si>
  <si>
    <t xml:space="preserve">CTTGGCTGGTTTGCCAGACA</t>
  </si>
  <si>
    <t xml:space="preserve">TAGTCTTGGCTGGTTTGCCAGACA</t>
  </si>
  <si>
    <t xml:space="preserve">AAACTGTCTGGCAAACCAGCCAAG</t>
  </si>
  <si>
    <t xml:space="preserve">TTTGCTTCAAATGCTGCTCA</t>
  </si>
  <si>
    <t xml:space="preserve">TAGTTTTGCTTCAAATGCTGCTCA</t>
  </si>
  <si>
    <t xml:space="preserve">AAACTGAGCAGCATTTGAAGCAAA</t>
  </si>
  <si>
    <t xml:space="preserve">CCGGTCAGCCAGACTGTTTT</t>
  </si>
  <si>
    <t xml:space="preserve">TAGTCCGGTCAGCCAGACTGTTTT</t>
  </si>
  <si>
    <t xml:space="preserve">AAACAAAACAGTCTGGCTGACCGG</t>
  </si>
  <si>
    <t xml:space="preserve">AAACGCTATGGTGGACTTTC</t>
  </si>
  <si>
    <t xml:space="preserve">TAGTAAACGCTATGGTGGACTTTC</t>
  </si>
  <si>
    <t xml:space="preserve">AAACGAAAGTCCACCATAGCGTTT</t>
  </si>
  <si>
    <t xml:space="preserve">PSPPH_5180</t>
  </si>
  <si>
    <t xml:space="preserve">CTCGCGGAAAAAATGTATTC</t>
  </si>
  <si>
    <t xml:space="preserve">TAGTCTCGCGGAAAAAATGTATTC</t>
  </si>
  <si>
    <t xml:space="preserve">AAACGAATACATTTTTTCCGCGAG</t>
  </si>
  <si>
    <t xml:space="preserve">GGGCCGATAGGTGGCAGATG</t>
  </si>
  <si>
    <t xml:space="preserve">TAGTGGGCCGATAGGTGGCAGATG</t>
  </si>
  <si>
    <t xml:space="preserve">AAACCATCTGCCACCTATCGGCCC</t>
  </si>
  <si>
    <t xml:space="preserve">AATTCAGCGTATTTTGCCGA</t>
  </si>
  <si>
    <t xml:space="preserve">TAGTAATTCAGCGTATTTTGCCGA</t>
  </si>
  <si>
    <t xml:space="preserve">AAACTCGGCAAAATACGCTGAATT</t>
  </si>
  <si>
    <t xml:space="preserve">TAAGTGAGTATCGTGATACG</t>
  </si>
  <si>
    <t xml:space="preserve">TAGTTAAGTGAGTATCGTGATACG</t>
  </si>
  <si>
    <t xml:space="preserve">AAACCGTATCACGATACTCACTTA</t>
  </si>
  <si>
    <t xml:space="preserve">PSPPH_5181</t>
  </si>
  <si>
    <t xml:space="preserve">GCAATCAGCGCGGCGCTGTC</t>
  </si>
  <si>
    <t xml:space="preserve">TAGTGCAATCAGCGCGGCGCTGTC</t>
  </si>
  <si>
    <t xml:space="preserve">AAACGACAGCGCCGCGCTGATTGC</t>
  </si>
  <si>
    <t xml:space="preserve">GCCACTGGTTTTGAGGCGCT</t>
  </si>
  <si>
    <t xml:space="preserve">TAGTGCCACTGGTTTTGAGGCGCT</t>
  </si>
  <si>
    <t xml:space="preserve">AAACAGCGCCTCAAAACCAGTGGC</t>
  </si>
  <si>
    <t xml:space="preserve">TGTTGATGAGTCAACGGCGT</t>
  </si>
  <si>
    <t xml:space="preserve">TAGTTGTTGATGAGTCAACGGCGT</t>
  </si>
  <si>
    <t xml:space="preserve">AAACACGCCGTTGACTCATCAACA</t>
  </si>
  <si>
    <t xml:space="preserve">CCCGCAGTGACGCGGCAATG</t>
  </si>
  <si>
    <t xml:space="preserve">TAGTCCCGCAGTGACGCGGCAATG</t>
  </si>
  <si>
    <t xml:space="preserve">AAACCATTGCCGCGTCACTGCGGG</t>
  </si>
  <si>
    <t xml:space="preserve">PSPPH_5182</t>
  </si>
  <si>
    <t xml:space="preserve">AAAAGTCCCTGGCCTTGGCG</t>
  </si>
  <si>
    <t xml:space="preserve">TAGTAAAAGTCCCTGGCCTTGGCG</t>
  </si>
  <si>
    <t xml:space="preserve">AAACCGCCAAGGCCAGGGACTTTT</t>
  </si>
  <si>
    <t xml:space="preserve">GACCTCCAGTTCAAGGGTGT</t>
  </si>
  <si>
    <t xml:space="preserve">TAGTGACCTCCAGTTCAAGGGTGT</t>
  </si>
  <si>
    <t xml:space="preserve">AAACACACCCTTGAACTGGAGGTC</t>
  </si>
  <si>
    <t xml:space="preserve">CATTGAATGCCACCAATGTC</t>
  </si>
  <si>
    <t xml:space="preserve">TAGTCATTGAATGCCACCAATGTC</t>
  </si>
  <si>
    <t xml:space="preserve">AAACGACATTGGTGGCATTCAATG</t>
  </si>
  <si>
    <t xml:space="preserve">TCCGCATTTGAACAGCAGCA</t>
  </si>
  <si>
    <t xml:space="preserve">TAGTTCCGCATTTGAACAGCAGCA</t>
  </si>
  <si>
    <t xml:space="preserve">AAACTGCTGCTGTTCAAATGCGGA</t>
  </si>
  <si>
    <t xml:space="preserve">PSPPH_5183</t>
  </si>
  <si>
    <t xml:space="preserve">CTGGAAAAGAGGGCTGATCA</t>
  </si>
  <si>
    <t xml:space="preserve">TAGTCTGGAAAAGAGGGCTGATCA</t>
  </si>
  <si>
    <t xml:space="preserve">AAACTGATCAGCCCTCTTTTCCAG</t>
  </si>
  <si>
    <t xml:space="preserve">GAGGGTTGTGACTACACGGC</t>
  </si>
  <si>
    <t xml:space="preserve">TAGTGAGGGTTGTGACTACACGGC</t>
  </si>
  <si>
    <t xml:space="preserve">AAACGCCGTGTAGTCACAACCCTC</t>
  </si>
  <si>
    <t xml:space="preserve">AACCTGCGCTGCTGGCCAGC</t>
  </si>
  <si>
    <t xml:space="preserve">TAGTAACCTGCGCTGCTGGCCAGC</t>
  </si>
  <si>
    <t xml:space="preserve">AAACGCTGGCCAGCAGCGCAGGTT</t>
  </si>
  <si>
    <t xml:space="preserve">CGGGGCAAGCTCGACCTGTT</t>
  </si>
  <si>
    <t xml:space="preserve">TAGTCGGGGCAAGCTCGACCTGTT</t>
  </si>
  <si>
    <t xml:space="preserve">AAACAACAGGTCGAGCTTGCCCCG</t>
  </si>
  <si>
    <t xml:space="preserve">PSPPH_5184</t>
  </si>
  <si>
    <t xml:space="preserve">GCGCAGACCGACGCCTGTTC</t>
  </si>
  <si>
    <t xml:space="preserve">TAGTGCGCAGACCGACGCCTGTTC</t>
  </si>
  <si>
    <t xml:space="preserve">AAACGAACAGGCGTCGGTCTGCGC</t>
  </si>
  <si>
    <t xml:space="preserve">CTGCAGGTCGATATCTTTCA</t>
  </si>
  <si>
    <t xml:space="preserve">TAGTCTGCAGGTCGATATCTTTCA</t>
  </si>
  <si>
    <t xml:space="preserve">AAACTGAAAGATATCGACCTGCAG</t>
  </si>
  <si>
    <t xml:space="preserve">GATCAGGCCGACAAACTCGC</t>
  </si>
  <si>
    <t xml:space="preserve">TAGTGATCAGGCCGACAAACTCGC</t>
  </si>
  <si>
    <t xml:space="preserve">AAACGCGAGTTTGTCGGCCTGATC</t>
  </si>
  <si>
    <t xml:space="preserve">CGCTGTGCGGACGGCTGTAG</t>
  </si>
  <si>
    <t xml:space="preserve">TAGTCGCTGTGCGGACGGCTGTAG</t>
  </si>
  <si>
    <t xml:space="preserve">AAACCTACAGCCGTCCGCACAGCG</t>
  </si>
  <si>
    <t xml:space="preserve">PSPPH_5185</t>
  </si>
  <si>
    <t xml:space="preserve">CAAAGCCAGGCGGGTGAGCA</t>
  </si>
  <si>
    <t xml:space="preserve">TAGTCAAAGCCAGGCGGGTGAGCA</t>
  </si>
  <si>
    <t xml:space="preserve">AAACTGCTCACCCGCCTGGCTTTG</t>
  </si>
  <si>
    <t xml:space="preserve">CACCATCGGGCTGCACAACA</t>
  </si>
  <si>
    <t xml:space="preserve">TAGTCACCATCGGGCTGCACAACA</t>
  </si>
  <si>
    <t xml:space="preserve">AAACTGTTGTGCAGCCCGATGGTG</t>
  </si>
  <si>
    <t xml:space="preserve">ACTGTGACGGGGTAGGCGCT</t>
  </si>
  <si>
    <t xml:space="preserve">TAGTACTGTGACGGGGTAGGCGCT</t>
  </si>
  <si>
    <t xml:space="preserve">AAACAGCGCCTACCCCGTCACAGT</t>
  </si>
  <si>
    <t xml:space="preserve">ACGCTGCGGCGCAGCCGTGA</t>
  </si>
  <si>
    <t xml:space="preserve">TAGTACGCTGCGGCGCAGCCGTGA</t>
  </si>
  <si>
    <t xml:space="preserve">AAACTCACGGCTGCGCCGCAGCGT</t>
  </si>
  <si>
    <t xml:space="preserve">PSPPH_5186</t>
  </si>
  <si>
    <t xml:space="preserve">CTCGGTCAGCCACTGCGCCA</t>
  </si>
  <si>
    <t xml:space="preserve">TAGTCTCGGTCAGCCACTGCGCCA</t>
  </si>
  <si>
    <t xml:space="preserve">AAACTGGCGCAGTGGCTGACCGAG</t>
  </si>
  <si>
    <t xml:space="preserve">GCAACCCCGTGTAACGGCGA</t>
  </si>
  <si>
    <t xml:space="preserve">TAGTGCAACCCCGTGTAACGGCGA</t>
  </si>
  <si>
    <t xml:space="preserve">AAACTCGCCGTTACACGGGGTTGC</t>
  </si>
  <si>
    <t xml:space="preserve">AGGCACAGGGGCCGCGCCGA</t>
  </si>
  <si>
    <t xml:space="preserve">TAGTAGGCACAGGGGCCGCGCCGA</t>
  </si>
  <si>
    <t xml:space="preserve">AAACTCGGCGCGGCCCCTGTGCCT</t>
  </si>
  <si>
    <t xml:space="preserve">ATATCCATCACCCGGTTCAA</t>
  </si>
  <si>
    <t xml:space="preserve">TAGTATATCCATCACCCGGTTCAA</t>
  </si>
  <si>
    <t xml:space="preserve">AAACTTGAACCGGGTGATGGATAT</t>
  </si>
  <si>
    <t xml:space="preserve">PSPPH_5187</t>
  </si>
  <si>
    <t xml:space="preserve">scrY</t>
  </si>
  <si>
    <t xml:space="preserve">GGCCTGAGAGACGGTTGTCG</t>
  </si>
  <si>
    <t xml:space="preserve">TAGTGGCCTGAGAGACGGTTGTCG</t>
  </si>
  <si>
    <t xml:space="preserve">AAACCGACAACCGTCTCTCAGGCC</t>
  </si>
  <si>
    <t xml:space="preserve">CATCCGCTCTTCCAGAGTCG</t>
  </si>
  <si>
    <t xml:space="preserve">TAGTCATCCGCTCTTCCAGAGTCG</t>
  </si>
  <si>
    <t xml:space="preserve">AAACCGACTCTGGAAGAGCGGATG</t>
  </si>
  <si>
    <t xml:space="preserve">GCTGGCACGGGCTTCGAATG</t>
  </si>
  <si>
    <t xml:space="preserve">TAGTGCTGGCACGGGCTTCGAATG</t>
  </si>
  <si>
    <t xml:space="preserve">AAACCATTCGAAGCCCGTGCCAGC</t>
  </si>
  <si>
    <t xml:space="preserve">CTGGGTTTGCTGTTCGGCTG</t>
  </si>
  <si>
    <t xml:space="preserve">TAGTCTGGGTTTGCTGTTCGGCTG</t>
  </si>
  <si>
    <t xml:space="preserve">AAACCAGCCGAACAGCAAACCCAG</t>
  </si>
  <si>
    <t xml:space="preserve">PSPPH_5188</t>
  </si>
  <si>
    <t xml:space="preserve">GACAGGGTGAGCAGCGCGGC</t>
  </si>
  <si>
    <t xml:space="preserve">TAGTGACAGGGTGAGCAGCGCGGC</t>
  </si>
  <si>
    <t xml:space="preserve">AAACGCCGCGCTGCTCACCCTGTC</t>
  </si>
  <si>
    <t xml:space="preserve">GTTCGACAGCGCAGAAAACC</t>
  </si>
  <si>
    <t xml:space="preserve">TAGTGTTCGACAGCGCAGAAAACC</t>
  </si>
  <si>
    <t xml:space="preserve">AAACGGTTTTCTGCGCTGTCGAAC</t>
  </si>
  <si>
    <t xml:space="preserve">CCCGCACGAGATCGTCAGAT</t>
  </si>
  <si>
    <t xml:space="preserve">TAGTCCCGCACGAGATCGTCAGAT</t>
  </si>
  <si>
    <t xml:space="preserve">AAACATCTGACGATCTCGTGCGGG</t>
  </si>
  <si>
    <t xml:space="preserve">CAGTTGCAATTCAGCGCCGA</t>
  </si>
  <si>
    <t xml:space="preserve">TAGTCAGTTGCAATTCAGCGCCGA</t>
  </si>
  <si>
    <t xml:space="preserve">AAACTCGGCGCTGAATTGCAACTG</t>
  </si>
  <si>
    <t xml:space="preserve">PSPPH_5189</t>
  </si>
  <si>
    <t xml:space="preserve">GGAAAGTCGATAGAAGAGGA</t>
  </si>
  <si>
    <t xml:space="preserve">TAGTGGAAAGTCGATAGAAGAGGA</t>
  </si>
  <si>
    <t xml:space="preserve">AAACTCCTCTTCTATCGACTTTCC</t>
  </si>
  <si>
    <t xml:space="preserve">GTAATCAGGACGTCGTCACC</t>
  </si>
  <si>
    <t xml:space="preserve">TAGTGTAATCAGGACGTCGTCACC</t>
  </si>
  <si>
    <t xml:space="preserve">AAACGGTGACGACGTCCTGATTAC</t>
  </si>
  <si>
    <t xml:space="preserve">ACGCTGTACGGGCGTTTCCC</t>
  </si>
  <si>
    <t xml:space="preserve">TAGTACGCTGTACGGGCGTTTCCC</t>
  </si>
  <si>
    <t xml:space="preserve">AAACGGGAAACGCCCGTACAGCGT</t>
  </si>
  <si>
    <t xml:space="preserve">GGGCGTCAGAAACAGCCAGG</t>
  </si>
  <si>
    <t xml:space="preserve">TAGTGGGCGTCAGAAACAGCCAGG</t>
  </si>
  <si>
    <t xml:space="preserve">AAACCCTGGCTGTTTCTGACGCCC</t>
  </si>
  <si>
    <t xml:space="preserve">PSPPH_5190</t>
  </si>
  <si>
    <t xml:space="preserve">GGGCTTTCTTCAGTTGGCGC</t>
  </si>
  <si>
    <t xml:space="preserve">TAGTGGGCTTTCTTCAGTTGGCGC</t>
  </si>
  <si>
    <t xml:space="preserve">AAACGCGCCAACTGAAGAAAGCCC</t>
  </si>
  <si>
    <t xml:space="preserve">CCAGAAACCCACACGTAGCA</t>
  </si>
  <si>
    <t xml:space="preserve">TAGTCCAGAAACCCACACGTAGCA</t>
  </si>
  <si>
    <t xml:space="preserve">AAACTGCTACGTGTGGGTTTCTGG</t>
  </si>
  <si>
    <t xml:space="preserve">GGCGTAGTAGAAAGGGAATA</t>
  </si>
  <si>
    <t xml:space="preserve">TAGTGGCGTAGTAGAAAGGGAATA</t>
  </si>
  <si>
    <t xml:space="preserve">AAACTATTCCCTTTCTACTACGCC</t>
  </si>
  <si>
    <t xml:space="preserve">CGGCTTCAGCGATGTCACGA</t>
  </si>
  <si>
    <t xml:space="preserve">TAGTCGGCTTCAGCGATGTCACGA</t>
  </si>
  <si>
    <t xml:space="preserve">AAACTCGTGACATCGCTGAAGCCG</t>
  </si>
  <si>
    <t xml:space="preserve">PSPPH_5191</t>
  </si>
  <si>
    <t xml:space="preserve">malK</t>
  </si>
  <si>
    <t xml:space="preserve">GCCCAATTGCTTGTTGATGT</t>
  </si>
  <si>
    <t xml:space="preserve">TAGTGCCCAATTGCTTGTTGATGT</t>
  </si>
  <si>
    <t xml:space="preserve">AAACACATCAACAAGCAATTGGGC</t>
  </si>
  <si>
    <t xml:space="preserve">ACTCACCCGCAGCGATTTCC</t>
  </si>
  <si>
    <t xml:space="preserve">TAGTACTCACCCGCAGCGATTTCC</t>
  </si>
  <si>
    <t xml:space="preserve">AAACGGAAATCGCTGCGGGTGAGT</t>
  </si>
  <si>
    <t xml:space="preserve">TCGACTTTCCGCAGCCCGAA</t>
  </si>
  <si>
    <t xml:space="preserve">TAGTTCGACTTTCCGCAGCCCGAA</t>
  </si>
  <si>
    <t xml:space="preserve">AAACTTCGGGCTGCGGAAAGTCGA</t>
  </si>
  <si>
    <t xml:space="preserve">CCCGGCGTCCGTCGATCAGC</t>
  </si>
  <si>
    <t xml:space="preserve">TAGTCCCGGCGTCCGTCGATCAGC</t>
  </si>
  <si>
    <t xml:space="preserve">AAACGCTGATCGACGGACGCCGGG</t>
  </si>
  <si>
    <t xml:space="preserve">PSPPH_5192</t>
  </si>
  <si>
    <t xml:space="preserve">scrB</t>
  </si>
  <si>
    <t xml:space="preserve">GTTGGACATTGGACCGTTCA</t>
  </si>
  <si>
    <t xml:space="preserve">TAGTGTTGGACATTGGACCGTTCA</t>
  </si>
  <si>
    <t xml:space="preserve">AAACTGAACGGTCCAATGTCCAAC</t>
  </si>
  <si>
    <t xml:space="preserve">CCAGGCTATCCTTCAACGCA</t>
  </si>
  <si>
    <t xml:space="preserve">TAGTCCAGGCTATCCTTCAACGCA</t>
  </si>
  <si>
    <t xml:space="preserve">AAACTGCGTTGAAGGATAGCCTGG</t>
  </si>
  <si>
    <t xml:space="preserve">GATAACCGGGTCGATAGTCG</t>
  </si>
  <si>
    <t xml:space="preserve">TAGTGATAACCGGGTCGATAGTCG</t>
  </si>
  <si>
    <t xml:space="preserve">AAACCGACTATCGACCCGGTTATC</t>
  </si>
  <si>
    <t xml:space="preserve">GTTCATCCAGCCCGCAGGCG</t>
  </si>
  <si>
    <t xml:space="preserve">TAGTGTTCATCCAGCCCGCAGGCG</t>
  </si>
  <si>
    <t xml:space="preserve">AAACCGCCTGCGGGCTGGATGAAC</t>
  </si>
  <si>
    <t xml:space="preserve">PSPPH_5193</t>
  </si>
  <si>
    <t xml:space="preserve">TCGTGCAACGTCTTTAACTG</t>
  </si>
  <si>
    <t xml:space="preserve">TAGTTCGTGCAACGTCTTTAACTG</t>
  </si>
  <si>
    <t xml:space="preserve">AAACCAGTTAAAGACGTTGCACGA</t>
  </si>
  <si>
    <t xml:space="preserve">TACCGTCATCAGGGACACAC</t>
  </si>
  <si>
    <t xml:space="preserve">TAGTTACCGTCATCAGGGACACAC</t>
  </si>
  <si>
    <t xml:space="preserve">AAACGTGTGTCCCTGATGACGGTA</t>
  </si>
  <si>
    <t xml:space="preserve">TTCCGGATTATTGAGCGCCC</t>
  </si>
  <si>
    <t xml:space="preserve">TAGTTTCCGGATTATTGAGCGCCC</t>
  </si>
  <si>
    <t xml:space="preserve">AAACGGGCGCTCAATAATCCGGAA</t>
  </si>
  <si>
    <t xml:space="preserve">GGACTCGCTGATACGTCTCG</t>
  </si>
  <si>
    <t xml:space="preserve">TAGTGGACTCGCTGATACGTCTCG</t>
  </si>
  <si>
    <t xml:space="preserve">AAACCGAGACGTATCAGCGAGTCC</t>
  </si>
  <si>
    <t xml:space="preserve">PSPPH_5194</t>
  </si>
  <si>
    <t xml:space="preserve">AATAATTGCTGTTTGGCCAT</t>
  </si>
  <si>
    <t xml:space="preserve">TAGTAATAATTGCTGTTTGGCCAT</t>
  </si>
  <si>
    <t xml:space="preserve">AAACATGGCCAAACAGCAATTATT</t>
  </si>
  <si>
    <t xml:space="preserve">CTTCAAGCGTGCGGGCGACA</t>
  </si>
  <si>
    <t xml:space="preserve">TAGTCTTCAAGCGTGCGGGCGACA</t>
  </si>
  <si>
    <t xml:space="preserve">AAACTGTCGCCCGCACGCTTGAAG</t>
  </si>
  <si>
    <t xml:space="preserve">GAACGTCGTCGAACGCGTCG</t>
  </si>
  <si>
    <t xml:space="preserve">TAGTGAACGTCGTCGAACGCGTCG</t>
  </si>
  <si>
    <t xml:space="preserve">AAACCGACGCGTTCGACGACGTTC</t>
  </si>
  <si>
    <t xml:space="preserve">GTTTCTGAAATTCACTGAAG</t>
  </si>
  <si>
    <t xml:space="preserve">TAGTGTTTCTGAAATTCACTGAAG</t>
  </si>
  <si>
    <t xml:space="preserve">AAACCTTCAGTGAATTTCAGAAAC</t>
  </si>
  <si>
    <t xml:space="preserve">PSPPH_5196</t>
  </si>
  <si>
    <t xml:space="preserve">GCGGACGACCACCTTCACCA</t>
  </si>
  <si>
    <t xml:space="preserve">TAGTGCGGACGACCACCTTCACCA</t>
  </si>
  <si>
    <t xml:space="preserve">AAACTGGTGAAGGTGGTCGTCCGC</t>
  </si>
  <si>
    <t xml:space="preserve">TGGCAAGAACATCATCCCGC</t>
  </si>
  <si>
    <t xml:space="preserve">TAGTTGGCAAGAACATCATCCCGC</t>
  </si>
  <si>
    <t xml:space="preserve">AAACGCGGGATGATGTTCTTGCCA</t>
  </si>
  <si>
    <t xml:space="preserve">GTGAAACAGTGGGAAGCCGG</t>
  </si>
  <si>
    <t xml:space="preserve">TAGTGTGAAACAGTGGGAAGCCGG</t>
  </si>
  <si>
    <t xml:space="preserve">AAACCCGGCTTCCCACTGTTTCAC</t>
  </si>
  <si>
    <t xml:space="preserve">PSPPH_5197</t>
  </si>
  <si>
    <t xml:space="preserve">CAGGATGAGCGGATCGACGG</t>
  </si>
  <si>
    <t xml:space="preserve">TAGTCAGGATGAGCGGATCGACGG</t>
  </si>
  <si>
    <t xml:space="preserve">AAACCCGTCGATCCGCTCATCCTG</t>
  </si>
  <si>
    <t xml:space="preserve">TTACGGATGAAGAAAATCGC</t>
  </si>
  <si>
    <t xml:space="preserve">TAGTTTACGGATGAAGAAAATCGC</t>
  </si>
  <si>
    <t xml:space="preserve">AAACGCGATTTTCTTCATCCGTAA</t>
  </si>
  <si>
    <t xml:space="preserve">ATGTAGCGCCACGGCACGTC</t>
  </si>
  <si>
    <t xml:space="preserve">TAGTATGTAGCGCCACGGCACGTC</t>
  </si>
  <si>
    <t xml:space="preserve">AAACGACGTGCCGTGGCGCTACAT</t>
  </si>
  <si>
    <t xml:space="preserve">ACAGACCAATGCCGAACACC</t>
  </si>
  <si>
    <t xml:space="preserve">TAGTACAGACCAATGCCGAACACC</t>
  </si>
  <si>
    <t xml:space="preserve">AAACGGTGTTCGGCATTGGTCTGT</t>
  </si>
  <si>
    <t xml:space="preserve">PSPPH_5198</t>
  </si>
  <si>
    <t xml:space="preserve">GCCGATTACACCGGATGCGC</t>
  </si>
  <si>
    <t xml:space="preserve">TAGTGCCGATTACACCGGATGCGC</t>
  </si>
  <si>
    <t xml:space="preserve">AAACGCGCATCCGGTGTAATCGGC</t>
  </si>
  <si>
    <t xml:space="preserve">AGCCACCAAGAGCTTGAGCA</t>
  </si>
  <si>
    <t xml:space="preserve">TAGTAGCCACCAAGAGCTTGAGCA</t>
  </si>
  <si>
    <t xml:space="preserve">AAACTGCTCAAGCTCTTGGTGGCT</t>
  </si>
  <si>
    <t xml:space="preserve">CTTCACTTTTTCGGCGCGAC</t>
  </si>
  <si>
    <t xml:space="preserve">TAGTCTTCACTTTTTCGGCGCGAC</t>
  </si>
  <si>
    <t xml:space="preserve">AAACGTCGCGCCGAAAAAGTGAAG</t>
  </si>
  <si>
    <t xml:space="preserve">CACTACTGCCGTAGCACCTG</t>
  </si>
  <si>
    <t xml:space="preserve">TAGTCACTACTGCCGTAGCACCTG</t>
  </si>
  <si>
    <t xml:space="preserve">AAACCAGGTGCTACGGCAGTAGTG</t>
  </si>
  <si>
    <t xml:space="preserve">PSPPH_5203</t>
  </si>
  <si>
    <t xml:space="preserve">glmS</t>
  </si>
  <si>
    <t xml:space="preserve">GGCGCCGACGATTCCACACA</t>
  </si>
  <si>
    <t xml:space="preserve">TAGTGGCGCCGACGATTCCACACA</t>
  </si>
  <si>
    <t xml:space="preserve">AAACTGTGTGGAATCGTCGGCGCC</t>
  </si>
  <si>
    <t xml:space="preserve">CGTGATATTACGTTCAGCAA</t>
  </si>
  <si>
    <t xml:space="preserve">TAGTCGTGATATTACGTTCAGCAA</t>
  </si>
  <si>
    <t xml:space="preserve">AAACTTGCTGAACGTAATATCACG</t>
  </si>
  <si>
    <t xml:space="preserve">CTTGAGGCCTTCGAGCAAAA</t>
  </si>
  <si>
    <t xml:space="preserve">TAGTCTTGAGGCCTTCGAGCAAAA</t>
  </si>
  <si>
    <t xml:space="preserve">AAACTTTTGCTCGAAGGCCTCAAG</t>
  </si>
  <si>
    <t xml:space="preserve">CGCCCGCGCTGTCGTAACCG</t>
  </si>
  <si>
    <t xml:space="preserve">TAGTCGCCCGCGCTGTCGTAACCG</t>
  </si>
  <si>
    <t xml:space="preserve">AAACCGGTTACGACAGCGCGGGCG</t>
  </si>
  <si>
    <t xml:space="preserve">PSPPH_5204</t>
  </si>
  <si>
    <t xml:space="preserve">AGAATGTTGTGGCGACGTTG</t>
  </si>
  <si>
    <t xml:space="preserve">TAGTAGAATGTTGTGGCGACGTTG</t>
  </si>
  <si>
    <t xml:space="preserve">AAACCAACGTCGCCACAACATTCT</t>
  </si>
  <si>
    <t xml:space="preserve">TTCACCCAGCTCATTGAGCA</t>
  </si>
  <si>
    <t xml:space="preserve">TAGTTTCACCCAGCTCATTGAGCA</t>
  </si>
  <si>
    <t xml:space="preserve">AAACTGCTCAATGAGCTGGGTGAA</t>
  </si>
  <si>
    <t xml:space="preserve">TTCAGAAGTTTCAAAGCGTT</t>
  </si>
  <si>
    <t xml:space="preserve">TAGTTTCAGAAGTTTCAAAGCGTT</t>
  </si>
  <si>
    <t xml:space="preserve">AAACAACGCTTTGAAACTTCTGAA</t>
  </si>
  <si>
    <t xml:space="preserve">CAGCAAACCATTGGTTTCGA</t>
  </si>
  <si>
    <t xml:space="preserve">TAGTCAGCAAACCATTGGTTTCGA</t>
  </si>
  <si>
    <t xml:space="preserve">AAACTCGAAACCAATGGTTTGCTG</t>
  </si>
  <si>
    <t xml:space="preserve">PSPPH_5205</t>
  </si>
  <si>
    <t xml:space="preserve">glmU</t>
  </si>
  <si>
    <t xml:space="preserve">AGCGAGAATAACGATATCGA</t>
  </si>
  <si>
    <t xml:space="preserve">TAGTAGCGAGAATAACGATATCGA</t>
  </si>
  <si>
    <t xml:space="preserve">AAACTCGATATCGTTATTCTCGCT</t>
  </si>
  <si>
    <t xml:space="preserve">CGGAACGCATCCGGGTACCT</t>
  </si>
  <si>
    <t xml:space="preserve">TAGTCGGAACGCATCCGGGTACCT</t>
  </si>
  <si>
    <t xml:space="preserve">AAACAGGTACCCGGATGCGTTCCG</t>
  </si>
  <si>
    <t xml:space="preserve">GGGATGCAGGACCTTGGGCA</t>
  </si>
  <si>
    <t xml:space="preserve">TAGTGGGATGCAGGACCTTGGGCA</t>
  </si>
  <si>
    <t xml:space="preserve">AAACTGCCCAAGGTCCTGCATCCC</t>
  </si>
  <si>
    <t xml:space="preserve">AGCATGGAGTTGCCAGCCAC</t>
  </si>
  <si>
    <t xml:space="preserve">TAGTAGCATGGAGTTGCCAGCCAC</t>
  </si>
  <si>
    <t xml:space="preserve">AAACGTGGCTGGCAACTCCATGCT</t>
  </si>
  <si>
    <t xml:space="preserve">PSPPH_5206</t>
  </si>
  <si>
    <t xml:space="preserve">atpC</t>
  </si>
  <si>
    <t xml:space="preserve">CCGCGCTGACGATGTCGCAA</t>
  </si>
  <si>
    <t xml:space="preserve">TAGTCCGCGCTGACGATGTCGCAA</t>
  </si>
  <si>
    <t xml:space="preserve">AAACTTGCGACATCGTCAGCGCGG</t>
  </si>
  <si>
    <t xml:space="preserve">AATCACCATCTCGACCAGAC</t>
  </si>
  <si>
    <t xml:space="preserve">TAGTAATCACCATCTCGACCAGAC</t>
  </si>
  <si>
    <t xml:space="preserve">AAACGTCTGGTCGAGATGGTGATT</t>
  </si>
  <si>
    <t xml:space="preserve">GAGCGATACCGAGATCACCC</t>
  </si>
  <si>
    <t xml:space="preserve">TAGTGAGCGATACCGAGATCACCC</t>
  </si>
  <si>
    <t xml:space="preserve">AAACGGGTGATCTCGGTATCGCTC</t>
  </si>
  <si>
    <t xml:space="preserve">GTGATCAGCGGCGCGTGGCC</t>
  </si>
  <si>
    <t xml:space="preserve">TAGTGTGATCAGCGGCGCGTGGCC</t>
  </si>
  <si>
    <t xml:space="preserve">AAACGGCCACGCGCCGCTGATCAC</t>
  </si>
  <si>
    <t xml:space="preserve">PSPPH_5207</t>
  </si>
  <si>
    <t xml:space="preserve">atpD</t>
  </si>
  <si>
    <t xml:space="preserve">TACTCGGTACGCTATCGCGT</t>
  </si>
  <si>
    <t xml:space="preserve">TAGTTACTCGGTACGCTATCGCGT</t>
  </si>
  <si>
    <t xml:space="preserve">AAACACGCGATAGCGTACCGAGTA</t>
  </si>
  <si>
    <t xml:space="preserve">CTGCTGCTGAACTTCCAGGG</t>
  </si>
  <si>
    <t xml:space="preserve">TAGTCTGCTGCTGAACTTCCAGGG</t>
  </si>
  <si>
    <t xml:space="preserve">AAACCCCTGGAAGTTCAGCAGCAG</t>
  </si>
  <si>
    <t xml:space="preserve">CTCGGTGGAGCCCATCGCAA</t>
  </si>
  <si>
    <t xml:space="preserve">TAGTCTCGGTGGAGCCCATCGCAA</t>
  </si>
  <si>
    <t xml:space="preserve">AAACTTGCGATGGGCTCCACCGAG</t>
  </si>
  <si>
    <t xml:space="preserve">TTTACCGACCGGTACGGAGA</t>
  </si>
  <si>
    <t xml:space="preserve">TAGTTTTACCGACCGGTACGGAGA</t>
  </si>
  <si>
    <t xml:space="preserve">AAACTCTCCGTACCGGTCGGTAAA</t>
  </si>
  <si>
    <t xml:space="preserve">PSPPH_5208</t>
  </si>
  <si>
    <t xml:space="preserve">atpG</t>
  </si>
  <si>
    <t xml:space="preserve">CGCCACTTTTTCCATGGCGC</t>
  </si>
  <si>
    <t xml:space="preserve">TAGTCGCCACTTTTTCCATGGCGC</t>
  </si>
  <si>
    <t xml:space="preserve">AAACGCGCCATGGAAAAAGTGGCG</t>
  </si>
  <si>
    <t xml:space="preserve">GAATGCGCTCCGCGTAAGGA</t>
  </si>
  <si>
    <t xml:space="preserve">TAGTGAATGCGCTCCGCGTAAGGA</t>
  </si>
  <si>
    <t xml:space="preserve">AAACTCCTTACGCGGAGCGCATTC</t>
  </si>
  <si>
    <t xml:space="preserve">CGGGTGGCGGTACTCCGGGT</t>
  </si>
  <si>
    <t xml:space="preserve">TAGTCGGGTGGCGGTACTCCGGGT</t>
  </si>
  <si>
    <t xml:space="preserve">AAACACCCGGAGTACCGCCACCCG</t>
  </si>
  <si>
    <t xml:space="preserve">ACAGGGCGCTCGATCATGAA</t>
  </si>
  <si>
    <t xml:space="preserve">TAGTACAGGGCGCTCGATCATGAA</t>
  </si>
  <si>
    <t xml:space="preserve">AAACTTCATGATCGAGCGCCCTGT</t>
  </si>
  <si>
    <t xml:space="preserve">PSPPH_5209</t>
  </si>
  <si>
    <t xml:space="preserve">atpA</t>
  </si>
  <si>
    <t xml:space="preserve">ATGATTTCACTTATTTCGGA</t>
  </si>
  <si>
    <t xml:space="preserve">TAGTATGATTTCACTTATTTCGGA</t>
  </si>
  <si>
    <t xml:space="preserve">AAACTCCGAAATAAGTGAAATCAT</t>
  </si>
  <si>
    <t xml:space="preserve">GCCTTCGTTACGGGCTTGGG</t>
  </si>
  <si>
    <t xml:space="preserve">TAGTGCCTTCGTTACGGGCTTGGG</t>
  </si>
  <si>
    <t xml:space="preserve">AAACCCCAAGCCCGTAACGAAGGC</t>
  </si>
  <si>
    <t xml:space="preserve">CATCTCGCCGTACATTACGT</t>
  </si>
  <si>
    <t xml:space="preserve">TAGTCATCTCGCCGTACATTACGT</t>
  </si>
  <si>
    <t xml:space="preserve">AAACACGTAATGTACGGCGAGATG</t>
  </si>
  <si>
    <t xml:space="preserve">GCCATACCGTAGACGCCGCC</t>
  </si>
  <si>
    <t xml:space="preserve">TAGTGCCATACCGTAGACGCCGCC</t>
  </si>
  <si>
    <t xml:space="preserve">AAACGGCGGCGTCTACGGTATGGC</t>
  </si>
  <si>
    <t xml:space="preserve">PSPPH_5210</t>
  </si>
  <si>
    <t xml:space="preserve">atpH</t>
  </si>
  <si>
    <t xml:space="preserve">CGCGTAAGGTCGGGCCAACG</t>
  </si>
  <si>
    <t xml:space="preserve">TAGTCGCGTAAGGTCGGGCCAACG</t>
  </si>
  <si>
    <t xml:space="preserve">AAACCGTTGGCCCGACCTTACGCG</t>
  </si>
  <si>
    <t xml:space="preserve">GTGGGCCTGCGCGTGCTCGA</t>
  </si>
  <si>
    <t xml:space="preserve">TAGTGTGGGCCTGCGCGTGCTCGA</t>
  </si>
  <si>
    <t xml:space="preserve">AAACTCGAGCACGCGCAGGCCCAC</t>
  </si>
  <si>
    <t xml:space="preserve">CTGACCAATTGGCCAGCTGC</t>
  </si>
  <si>
    <t xml:space="preserve">TAGTCTGACCAATTGGCCAGCTGC</t>
  </si>
  <si>
    <t xml:space="preserve">AAACGCAGCTGGCCAATTGGTCAG</t>
  </si>
  <si>
    <t xml:space="preserve">CTTGCGACACCGCAGCAGCC</t>
  </si>
  <si>
    <t xml:space="preserve">TAGTCTTGCGACACCGCAGCAGCC</t>
  </si>
  <si>
    <t xml:space="preserve">AAACGGCTGCTGCGGTGTCGCAAG</t>
  </si>
  <si>
    <t xml:space="preserve">PSPPH_5211</t>
  </si>
  <si>
    <t xml:space="preserve">atpF</t>
  </si>
  <si>
    <t xml:space="preserve">CGCAACGGACTGGCCAATCA</t>
  </si>
  <si>
    <t xml:space="preserve">TAGTCGCAACGGACTGGCCAATCA</t>
  </si>
  <si>
    <t xml:space="preserve">AAACTGATTGGCCAGTCCGTTGCG</t>
  </si>
  <si>
    <t xml:space="preserve">TGCAAAGCCGCGATGACCGG</t>
  </si>
  <si>
    <t xml:space="preserve">TAGTTGCAAAGCCGCGATGACCGG</t>
  </si>
  <si>
    <t xml:space="preserve">AAACCCGGTCATCGCGGCTTTGCA</t>
  </si>
  <si>
    <t xml:space="preserve">CTCCAGGTCGCGAGCTGCTC</t>
  </si>
  <si>
    <t xml:space="preserve">TAGTCTCCAGGTCGCGAGCTGCTC</t>
  </si>
  <si>
    <t xml:space="preserve">AAACGAGCAGCTCGCGACCTGGAG</t>
  </si>
  <si>
    <t xml:space="preserve">TTGTTGACCCGCTTTCTCTT</t>
  </si>
  <si>
    <t xml:space="preserve">TAGTTTGTTGACCCGCTTTCTCTT</t>
  </si>
  <si>
    <t xml:space="preserve">AAACAAGAGAAAGCGGGTCAACAA</t>
  </si>
  <si>
    <t xml:space="preserve">PSPPH_5212</t>
  </si>
  <si>
    <t xml:space="preserve">atpE</t>
  </si>
  <si>
    <t xml:space="preserve">CAACAGTGCAACAGCGATAG</t>
  </si>
  <si>
    <t xml:space="preserve">TAGTCAACAGTGCAACAGCGATAG</t>
  </si>
  <si>
    <t xml:space="preserve">AAACCTATCGCTGTTGCACTGTTG</t>
  </si>
  <si>
    <t xml:space="preserve">TTGCAGTACCCAGTGCGCCC</t>
  </si>
  <si>
    <t xml:space="preserve">TAGTTTGCAGTACCCAGTGCGCCC</t>
  </si>
  <si>
    <t xml:space="preserve">AAACGGGCGCACTGGGTACTGCAA</t>
  </si>
  <si>
    <t xml:space="preserve">CCAGGAATTTGCCGCCCAAC</t>
  </si>
  <si>
    <t xml:space="preserve">TAGTCCAGGAATTTGCCGCCCAAC</t>
  </si>
  <si>
    <t xml:space="preserve">AAACGTTGGGCGGCAAATTCCTGG</t>
  </si>
  <si>
    <t xml:space="preserve">TGCAGCATTGGAACCATTTC</t>
  </si>
  <si>
    <t xml:space="preserve">TAGTTGCAGCATTGGAACCATTTC</t>
  </si>
  <si>
    <t xml:space="preserve">AAACGAAATGGTTCCAATGCTGCA</t>
  </si>
  <si>
    <t xml:space="preserve">PSPPH_5213</t>
  </si>
  <si>
    <t xml:space="preserve">atpB</t>
  </si>
  <si>
    <t xml:space="preserve">CGAAGCTGTTTGCTCTGCCA</t>
  </si>
  <si>
    <t xml:space="preserve">TAGTCGAAGCTGTTTGCTCTGCCA</t>
  </si>
  <si>
    <t xml:space="preserve">AAACTGGCAGAGCAAACAGCTTCG</t>
  </si>
  <si>
    <t xml:space="preserve">TAAGGTTCTGCAAGTGGTGC</t>
  </si>
  <si>
    <t xml:space="preserve">TAGTTAAGGTTCTGCAAGTGGTGC</t>
  </si>
  <si>
    <t xml:space="preserve">AAACGCACCACTTGCAGAACCTTA</t>
  </si>
  <si>
    <t xml:space="preserve">AGCCCCATTCGCCATTGGGC</t>
  </si>
  <si>
    <t xml:space="preserve">TAGTAGCCCCATTCGCCATTGGGC</t>
  </si>
  <si>
    <t xml:space="preserve">AAACGCCCAATGGCGAATGGGGCT</t>
  </si>
  <si>
    <t xml:space="preserve">CTTGGCTTCTGCTGCGGTGT</t>
  </si>
  <si>
    <t xml:space="preserve">TAGTCTTGGCTTCTGCTGCGGTGT</t>
  </si>
  <si>
    <t xml:space="preserve">AAACACACCGCAGCAGAAGCCAAG</t>
  </si>
  <si>
    <t xml:space="preserve">PSPPH_5214</t>
  </si>
  <si>
    <t xml:space="preserve">atpI</t>
  </si>
  <si>
    <t xml:space="preserve">CGGCAAGCGGTCTGGCATGC</t>
  </si>
  <si>
    <t xml:space="preserve">TAGTCGGCAAGCGGTCTGGCATGC</t>
  </si>
  <si>
    <t xml:space="preserve">AAACGCATGCCAGACCGCTTGCCG</t>
  </si>
  <si>
    <t xml:space="preserve">AAAACCGCCAGGCGATAGAA</t>
  </si>
  <si>
    <t xml:space="preserve">TAGTAAAACCGCCAGGCGATAGAA</t>
  </si>
  <si>
    <t xml:space="preserve">AAACTTCTATCGCCTGGCGGTTTT</t>
  </si>
  <si>
    <t xml:space="preserve">ATCAATTGAGCCAGCAATAG</t>
  </si>
  <si>
    <t xml:space="preserve">TAGTATCAATTGAGCCAGCAATAG</t>
  </si>
  <si>
    <t xml:space="preserve">AAACCTATTGCTGGCTCAATTGAT</t>
  </si>
  <si>
    <t xml:space="preserve">CCACTGCCATAGCACCAATG</t>
  </si>
  <si>
    <t xml:space="preserve">TAGTCCACTGCCATAGCACCAATG</t>
  </si>
  <si>
    <t xml:space="preserve">AAACCATTGGTGCTATGGCAGTGG</t>
  </si>
  <si>
    <t xml:space="preserve">PSPPH_5215</t>
  </si>
  <si>
    <t xml:space="preserve">parB</t>
  </si>
  <si>
    <t xml:space="preserve">CCTCGTTTCTTGACGGCCAT</t>
  </si>
  <si>
    <t xml:space="preserve">TAGTCCTCGTTTCTTGACGGCCAT</t>
  </si>
  <si>
    <t xml:space="preserve">AAACATGGCCGTCAAGAAACGAGG</t>
  </si>
  <si>
    <t xml:space="preserve">TCTTCCAGCGAACTGACGGT</t>
  </si>
  <si>
    <t xml:space="preserve">TAGTTCTTCCAGCGAACTGACGGT</t>
  </si>
  <si>
    <t xml:space="preserve">AAACACCGTCAGTTCGCTGGAAGA</t>
  </si>
  <si>
    <t xml:space="preserve">CTCACTTGGCGGAGCCTTGA</t>
  </si>
  <si>
    <t xml:space="preserve">TAGTCTCACTTGGCGGAGCCTTGA</t>
  </si>
  <si>
    <t xml:space="preserve">AAACTCAAGGCTCCGCCAAGTGAG</t>
  </si>
  <si>
    <t xml:space="preserve">CCGCGCTGGATAAGGTCCAG</t>
  </si>
  <si>
    <t xml:space="preserve">TAGTCCGCGCTGGATAAGGTCCAG</t>
  </si>
  <si>
    <t xml:space="preserve">AAACCTGGACCTTATCCAGCGCGG</t>
  </si>
  <si>
    <t xml:space="preserve">PSPPH_5216</t>
  </si>
  <si>
    <t xml:space="preserve">parA</t>
  </si>
  <si>
    <t xml:space="preserve">AGCGAGGTTGATGCATGTGG</t>
  </si>
  <si>
    <t xml:space="preserve">TAGTAGCGAGGTTGATGCATGTGG</t>
  </si>
  <si>
    <t xml:space="preserve">AAACCCACATGCATCAACCTCGCT</t>
  </si>
  <si>
    <t xml:space="preserve">GATCAACAGCACACGGCGTT</t>
  </si>
  <si>
    <t xml:space="preserve">TAGTGATCAACAGCACACGGCGTT</t>
  </si>
  <si>
    <t xml:space="preserve">AAACAACGCCGTGTGCTGTTGATC</t>
  </si>
  <si>
    <t xml:space="preserve">CCCATGGTCGCATTGCCCTG</t>
  </si>
  <si>
    <t xml:space="preserve">TAGTCCCATGGTCGCATTGCCCTG</t>
  </si>
  <si>
    <t xml:space="preserve">AAACCAGGGCAATGCGACCATGGG</t>
  </si>
  <si>
    <t xml:space="preserve">GATCGCATTCGCCGATCAAC</t>
  </si>
  <si>
    <t xml:space="preserve">TAGTGATCGCATTCGCCGATCAAC</t>
  </si>
  <si>
    <t xml:space="preserve">AAACGTTGATCGGCGAATGCGATC</t>
  </si>
  <si>
    <t xml:space="preserve">PSPPH_5217</t>
  </si>
  <si>
    <t xml:space="preserve">gidB</t>
  </si>
  <si>
    <t xml:space="preserve">TAACTCTTGGGCGTGTTGCG</t>
  </si>
  <si>
    <t xml:space="preserve">TAGTTAACTCTTGGGCGTGTTGCG</t>
  </si>
  <si>
    <t xml:space="preserve">AAACCGCAACACGCCCAAGAGTTA</t>
  </si>
  <si>
    <t xml:space="preserve">CCCCAATTCCCGGGCACCGG</t>
  </si>
  <si>
    <t xml:space="preserve">TAGTCCCCAATTCCCGGGCACCGG</t>
  </si>
  <si>
    <t xml:space="preserve">AAACCCGGTGCCCGGGAATTGGGG</t>
  </si>
  <si>
    <t xml:space="preserve">GCTCGTGCTGCGCCGGACTG</t>
  </si>
  <si>
    <t xml:space="preserve">TAGTGCTCGTGCTGCGCCGGACTG</t>
  </si>
  <si>
    <t xml:space="preserve">AAACCAGTCCGGCGCAGCACGAGC</t>
  </si>
  <si>
    <t xml:space="preserve">GCGTACCGCAGTCAGGTTGT</t>
  </si>
  <si>
    <t xml:space="preserve">TAGTGCGTACCGCAGTCAGGTTGT</t>
  </si>
  <si>
    <t xml:space="preserve">AAACACAACCTGACTGCGGTACGC</t>
  </si>
  <si>
    <t xml:space="preserve">PSPPH_5218</t>
  </si>
  <si>
    <t xml:space="preserve">gidA</t>
  </si>
  <si>
    <t xml:space="preserve">CGATCACTTCAAAACGGGAA</t>
  </si>
  <si>
    <t xml:space="preserve">TAGTCGATCACTTCAAAACGGGAA</t>
  </si>
  <si>
    <t xml:space="preserve">AAACTTCCCGTTTTGAAGTGATCG</t>
  </si>
  <si>
    <t xml:space="preserve">CGCCAGTGCGGCCTCGGTAC</t>
  </si>
  <si>
    <t xml:space="preserve">TAGTCGCCAGTGCGGCCTCGGTAC</t>
  </si>
  <si>
    <t xml:space="preserve">AAACGTACCGAGGCCGCACTGGCG</t>
  </si>
  <si>
    <t xml:space="preserve">CACGTTGTGCGTCAGCAGCA</t>
  </si>
  <si>
    <t xml:space="preserve">TAGTCACGTTGTGCGTCAGCAGCA</t>
  </si>
  <si>
    <t xml:space="preserve">AAACTGCTGCTGACGCACAACGTG</t>
  </si>
  <si>
    <t xml:space="preserve">TGGCCGGGTTGCAGCTCATC</t>
  </si>
  <si>
    <t xml:space="preserve">TAGTTGGCCGGGTTGCAGCTCATC</t>
  </si>
  <si>
    <t xml:space="preserve">AAACGATGAGCTGCAACCCGGCCA</t>
  </si>
  <si>
    <t xml:space="preserve">PSPPH_5219</t>
  </si>
  <si>
    <t xml:space="preserve">trmE</t>
  </si>
  <si>
    <t xml:space="preserve">ATGGCGGCAATGGTTTCACG</t>
  </si>
  <si>
    <t xml:space="preserve">TAGTATGGCGGCAATGGTTTCACG</t>
  </si>
  <si>
    <t xml:space="preserve">AAACCGTGAAACCATTGCCGCCAT</t>
  </si>
  <si>
    <t xml:space="preserve">ACCGCCCCGCCCTTGGGCTG</t>
  </si>
  <si>
    <t xml:space="preserve">TAGTACCGCCCCGCCCTTGGGCTG</t>
  </si>
  <si>
    <t xml:space="preserve">AAACCAGCCCAAGGGCGGGGCGGT</t>
  </si>
  <si>
    <t xml:space="preserve">TCGGCGGCCCTGCCCGCCAG</t>
  </si>
  <si>
    <t xml:space="preserve">TAGTTCGGCGGCCCTGCCCGCCAG</t>
  </si>
  <si>
    <t xml:space="preserve">AAACCTGGCGGGCAGGGCCGCCGA</t>
  </si>
  <si>
    <t xml:space="preserve">CTTGAGGGTCCGACCGATAA</t>
  </si>
  <si>
    <t xml:space="preserve">TAGTCTTGAGGGTCCGACCGATAA</t>
  </si>
  <si>
    <t xml:space="preserve">AAACTTATCGGTCGGACCCTCAAG</t>
  </si>
  <si>
    <t xml:space="preserve">PSPPH_5220</t>
  </si>
  <si>
    <t xml:space="preserve">CGATTGCCAGGGCGACGATC</t>
  </si>
  <si>
    <t xml:space="preserve">TAGTCGATTGCCAGGGCGACGATC</t>
  </si>
  <si>
    <t xml:space="preserve">AAACGATCGTCGCCCTGGCAATCG</t>
  </si>
  <si>
    <t xml:space="preserve">CCATTTCAGAACCCCGACGT</t>
  </si>
  <si>
    <t xml:space="preserve">TAGTCCATTTCAGAACCCCGACGT</t>
  </si>
  <si>
    <t xml:space="preserve">AAACACGTCGGGGTTCTGAAATGG</t>
  </si>
  <si>
    <t xml:space="preserve">TGGCAGCCTGGCCATAGTCT</t>
  </si>
  <si>
    <t xml:space="preserve">TAGTTGGCAGCCTGGCCATAGTCT</t>
  </si>
  <si>
    <t xml:space="preserve">AAACAGACTATGGCCAGGCTGCCA</t>
  </si>
  <si>
    <t xml:space="preserve">TGCAACATTCTGGGTCGGCA</t>
  </si>
  <si>
    <t xml:space="preserve">TAGTTGCAACATTCTGGGTCGGCA</t>
  </si>
  <si>
    <t xml:space="preserve">AAACTGCCGACCCAGAATGTTGCA</t>
  </si>
  <si>
    <t xml:space="preserve">PSPPH_5221</t>
  </si>
  <si>
    <t xml:space="preserve">GCATAGCGATAAAACTGGAT</t>
  </si>
  <si>
    <t xml:space="preserve">TAGTGCATAGCGATAAAACTGGAT</t>
  </si>
  <si>
    <t xml:space="preserve">AAACATCCAGTTTTATCGCTATGC</t>
  </si>
  <si>
    <t xml:space="preserve">ACTGGCCATCAGCGGGCTCA</t>
  </si>
  <si>
    <t xml:space="preserve">TAGTACTGGCCATCAGCGGGCTCA</t>
  </si>
  <si>
    <t xml:space="preserve">AAACTGAGCCCGCTGATGGCCAGT</t>
  </si>
  <si>
    <t xml:space="preserve">ACGCGTAGCAGGAGCAACTG</t>
  </si>
  <si>
    <t xml:space="preserve">TAGTACGCGTAGCAGGAGCAACTG</t>
  </si>
  <si>
    <t xml:space="preserve">AAACCAGTTGCTCCTGCTACGCGT</t>
  </si>
  <si>
    <t xml:space="preserve">CAAAAGGCCATGATTTTCGA</t>
  </si>
  <si>
    <t xml:space="preserve">TAGTCAAAAGGCCATGATTTTCGA</t>
  </si>
  <si>
    <t xml:space="preserve">AAACTCGAAAATCATGGCCTTTTG</t>
  </si>
  <si>
    <t xml:space="preserve">PSPPH_5222</t>
  </si>
  <si>
    <t xml:space="preserve">rnpA</t>
  </si>
  <si>
    <t xml:space="preserve">AAGACTGCCTTGAAATGCCG</t>
  </si>
  <si>
    <t xml:space="preserve">TAGTAAGACTGCCTTGAAATGCCG</t>
  </si>
  <si>
    <t xml:space="preserve">AAACCGGCATTTCAAGGCAGTCTT</t>
  </si>
  <si>
    <t xml:space="preserve">CCCCGGAACCTTGCCGGTAG</t>
  </si>
  <si>
    <t xml:space="preserve">TAGTCCCCGGAACCTTGCCGGTAG</t>
  </si>
  <si>
    <t xml:space="preserve">AAACCTACCGGCAAGGTTCCGGGG</t>
  </si>
  <si>
    <t xml:space="preserve">CGTTGTTGCGCGCAAGGAGC</t>
  </si>
  <si>
    <t xml:space="preserve">TAGTCGTTGTTGCGCGCAAGGAGC</t>
  </si>
  <si>
    <t xml:space="preserve">AAACGCTCCTTGCGCGCAACAACG</t>
  </si>
  <si>
    <t xml:space="preserve">GCCCCAGACGGGGATGATCA</t>
  </si>
  <si>
    <t xml:space="preserve">TAGTGCCCCAGACGGGGATGATCA</t>
  </si>
  <si>
    <t xml:space="preserve">AAACTGATCATCCCCGTCTGGGGC</t>
  </si>
  <si>
    <t xml:space="preserve">PSPPH_5223</t>
  </si>
  <si>
    <t xml:space="preserve">rpmH</t>
  </si>
  <si>
    <t xml:space="preserve">GGGTTGGAAAGTACGTTTCA</t>
  </si>
  <si>
    <t xml:space="preserve">TAGTGGGTTGGAAAGTACGTTTCA</t>
  </si>
  <si>
    <t xml:space="preserve">AAACTGAAACGTACTTTCCAACCC</t>
  </si>
  <si>
    <t xml:space="preserve">CGGGCGCGCTTGATAGTGCT</t>
  </si>
  <si>
    <t xml:space="preserve">TAGTCGGGCGCGCTTGATAGTGCT</t>
  </si>
  <si>
    <t xml:space="preserve">AAACAGCACTATCAAGCGCGCCCG</t>
  </si>
  <si>
    <t xml:space="preserve">GTGCACGGAAACCGTGGGTG</t>
  </si>
  <si>
    <t xml:space="preserve">TAGTGTGCACGGAAACCGTGGGTG</t>
  </si>
  <si>
    <t xml:space="preserve">AAACCACCCACGGTTTCCGTGCAC</t>
  </si>
  <si>
    <t xml:space="preserve">GACTGCGCGGCCGTTTTTGG</t>
  </si>
  <si>
    <t xml:space="preserve">TAGTGACTGCGCGGCCGTTTTTGG</t>
  </si>
  <si>
    <t xml:space="preserve">AAACCCAAAAACGGCCGCGCAGTC</t>
  </si>
  <si>
    <t xml:space="preserve">CP000059.1</t>
  </si>
  <si>
    <t xml:space="preserve">PSPPH_A0001</t>
  </si>
  <si>
    <t xml:space="preserve">ACTGAAGGCTTCACTTTTGA</t>
  </si>
  <si>
    <t xml:space="preserve">TAGTACTGAAGGCTTCACTTTTGA</t>
  </si>
  <si>
    <t xml:space="preserve">AAACTCAAAAGTGAAGCCTTCAGT</t>
  </si>
  <si>
    <t xml:space="preserve">TCCATAAGTCCACCGTTCAG</t>
  </si>
  <si>
    <t xml:space="preserve">TAGTTCCATAAGTCCACCGTTCAG</t>
  </si>
  <si>
    <t xml:space="preserve">AAACCTGAACGGTGGACTTATGGA</t>
  </si>
  <si>
    <t xml:space="preserve">GGGGCAGAGTGCGGTCATCG</t>
  </si>
  <si>
    <t xml:space="preserve">TAGTGGGGCAGAGTGCGGTCATCG</t>
  </si>
  <si>
    <t xml:space="preserve">AAACCGATGACCGCACTCTGCCCC</t>
  </si>
  <si>
    <t xml:space="preserve">GACACAAGGGGTCAGCTGGG</t>
  </si>
  <si>
    <t xml:space="preserve">TAGTGACACAAGGGGTCAGCTGGG</t>
  </si>
  <si>
    <t xml:space="preserve">AAACCCCAGCTGACCCCTTGTGTC</t>
  </si>
  <si>
    <t xml:space="preserve">PSPPH_A0002</t>
  </si>
  <si>
    <t xml:space="preserve">TCTTCGAAGAAACGGGCCGG</t>
  </si>
  <si>
    <t xml:space="preserve">TAGTTCTTCGAAGAAACGGGCCGG</t>
  </si>
  <si>
    <t xml:space="preserve">AAACCCGGCCCGTTTCTTCGAAGA</t>
  </si>
  <si>
    <t xml:space="preserve">ACGGCGCTTCCAGCAATAAC</t>
  </si>
  <si>
    <t xml:space="preserve">TAGTACGGCGCTTCCAGCAATAAC</t>
  </si>
  <si>
    <t xml:space="preserve">AAACGTTATTGCTGGAAGCGCCGT</t>
  </si>
  <si>
    <t xml:space="preserve">TGTCGTCGCTGCACCGCGCG</t>
  </si>
  <si>
    <t xml:space="preserve">TAGTTGTCGTCGCTGCACCGCGCG</t>
  </si>
  <si>
    <t xml:space="preserve">AAACCGCGCGGTGCAGCGACGACA</t>
  </si>
  <si>
    <t xml:space="preserve">ACGTGGACGAACGCGGGTCG</t>
  </si>
  <si>
    <t xml:space="preserve">TAGTACGTGGACGAACGCGGGTCG</t>
  </si>
  <si>
    <t xml:space="preserve">AAACCGACCCGCGTTCGTCCACGT</t>
  </si>
  <si>
    <t xml:space="preserve">PSPPH_A0010</t>
  </si>
  <si>
    <t xml:space="preserve">hopD1</t>
  </si>
  <si>
    <t xml:space="preserve">TTGTGTTGAATAGATCGTAG</t>
  </si>
  <si>
    <t xml:space="preserve">TAGTTTGTGTTGAATAGATCGTAG</t>
  </si>
  <si>
    <t xml:space="preserve">AAACCTACGATCTATTCAACACAA</t>
  </si>
  <si>
    <t xml:space="preserve">GGCTGACCGCCACTGATTGG</t>
  </si>
  <si>
    <t xml:space="preserve">TAGTGGCTGACCGCCACTGATTGG</t>
  </si>
  <si>
    <t xml:space="preserve">AAACCCAATCAGTGGCGGTCAGCC</t>
  </si>
  <si>
    <t xml:space="preserve">TGAGGGCCCACCGCGTCTAA</t>
  </si>
  <si>
    <t xml:space="preserve">TAGTTGAGGGCCCACCGCGTCTAA</t>
  </si>
  <si>
    <t xml:space="preserve">AAACTTAGACGCGGTGGGCCCTCA</t>
  </si>
  <si>
    <t xml:space="preserve">CCTTTTAGGATGGGATTGCT</t>
  </si>
  <si>
    <t xml:space="preserve">TAGTCCTTTTAGGATGGGATTGCT</t>
  </si>
  <si>
    <t xml:space="preserve">AAACAGCAATCCCATCCTAAAAGG</t>
  </si>
  <si>
    <t xml:space="preserve">PSPPH_A0011</t>
  </si>
  <si>
    <t xml:space="preserve">CCCACATTTGTCGGCACTAC</t>
  </si>
  <si>
    <t xml:space="preserve">TAGTCCCACATTTGTCGGCACTAC</t>
  </si>
  <si>
    <t xml:space="preserve">AAACGTAGTGCCGACAAATGTGGG</t>
  </si>
  <si>
    <t xml:space="preserve">CCGTGCTACCCTCGCCATCG</t>
  </si>
  <si>
    <t xml:space="preserve">TAGTCCGTGCTACCCTCGCCATCG</t>
  </si>
  <si>
    <t xml:space="preserve">AAACCGATGGCGAGGGTAGCACGG</t>
  </si>
  <si>
    <t xml:space="preserve">CAGCAGTCAGGCGGGTAGCA</t>
  </si>
  <si>
    <t xml:space="preserve">TAGTCAGCAGTCAGGCGGGTAGCA</t>
  </si>
  <si>
    <t xml:space="preserve">AAACTGCTACCCGCCTGACTGCTG</t>
  </si>
  <si>
    <t xml:space="preserve">PSPPH_A0012</t>
  </si>
  <si>
    <t xml:space="preserve">hopQ1</t>
  </si>
  <si>
    <t xml:space="preserve">GTGGTATGGCCTGCGGTGAT</t>
  </si>
  <si>
    <t xml:space="preserve">TAGTGTGGTATGGCCTGCGGTGAT</t>
  </si>
  <si>
    <t xml:space="preserve">AAACATCACCGCAGGCCATACCAC</t>
  </si>
  <si>
    <t xml:space="preserve">CTGATCTAGGATGAGACGTG</t>
  </si>
  <si>
    <t xml:space="preserve">TAGTCTGATCTAGGATGAGACGTG</t>
  </si>
  <si>
    <t xml:space="preserve">AAACCACGTCTCATCCTAGATCAG</t>
  </si>
  <si>
    <t xml:space="preserve">TTGCACGCTACTTTCCGATG</t>
  </si>
  <si>
    <t xml:space="preserve">TAGTTTGCACGCTACTTTCCGATG</t>
  </si>
  <si>
    <t xml:space="preserve">AAACCATCGGAAAGTAGCGTGCAA</t>
  </si>
  <si>
    <t xml:space="preserve">TTTTCGACCGCTCCAAAACT</t>
  </si>
  <si>
    <t xml:space="preserve">TAGTTTTTCGACCGCTCCAAAACT</t>
  </si>
  <si>
    <t xml:space="preserve">AAACAGTTTTGGAGCGGTCGAAAA</t>
  </si>
  <si>
    <t xml:space="preserve">PSPPH_A0014</t>
  </si>
  <si>
    <t xml:space="preserve">TCATCCAAAACTTGATGCAT</t>
  </si>
  <si>
    <t xml:space="preserve">TAGTTCATCCAAAACTTGATGCAT</t>
  </si>
  <si>
    <t xml:space="preserve">AAACATGCATCAAGTTTTGGATGA</t>
  </si>
  <si>
    <t xml:space="preserve">PSPPH_A0016</t>
  </si>
  <si>
    <t xml:space="preserve">TTTATGTTCTGTAGGTATGG</t>
  </si>
  <si>
    <t xml:space="preserve">TAGTTTTATGTTCTGTAGGTATGG</t>
  </si>
  <si>
    <t xml:space="preserve">AAACCCATACCTACAGAACATAAA</t>
  </si>
  <si>
    <t xml:space="preserve">GACTTTCGATAAAACTGAGC</t>
  </si>
  <si>
    <t xml:space="preserve">TAGTGACTTTCGATAAAACTGAGC</t>
  </si>
  <si>
    <t xml:space="preserve">AAACGCTCAGTTTTATCGAAAGTC</t>
  </si>
  <si>
    <t xml:space="preserve">GATATAGAGACGCCAAAAAA</t>
  </si>
  <si>
    <t xml:space="preserve">TAGTGATATAGAGACGCCAAAAAA</t>
  </si>
  <si>
    <t xml:space="preserve">AAACTTTTTTGGCGTCTCTATATC</t>
  </si>
  <si>
    <t xml:space="preserve">CTTATGGGCTAAGAGTGCTG</t>
  </si>
  <si>
    <t xml:space="preserve">TAGTCTTATGGGCTAAGAGTGCTG</t>
  </si>
  <si>
    <t xml:space="preserve">AAACCAGCACTCTTAGCCCATAAG</t>
  </si>
  <si>
    <t xml:space="preserve">PSPPH_A0017</t>
  </si>
  <si>
    <t xml:space="preserve">CTTTTTCAGACCTTCCCTAG</t>
  </si>
  <si>
    <t xml:space="preserve">TAGTCTTTTTCAGACCTTCCCTAG</t>
  </si>
  <si>
    <t xml:space="preserve">AAACCTAGGGAAGGTCTGAAAAAG</t>
  </si>
  <si>
    <t xml:space="preserve">GGCTTCGACTTTTGAAGAAA</t>
  </si>
  <si>
    <t xml:space="preserve">TAGTGGCTTCGACTTTTGAAGAAA</t>
  </si>
  <si>
    <t xml:space="preserve">AAACTTTCTTCAAAAGTCGAAGCC</t>
  </si>
  <si>
    <t xml:space="preserve">GCTGGAGCGCCTATATTTAC</t>
  </si>
  <si>
    <t xml:space="preserve">TAGTGCTGGAGCGCCTATATTTAC</t>
  </si>
  <si>
    <t xml:space="preserve">AAACGTAAATATAGGCGCTCCAGC</t>
  </si>
  <si>
    <t xml:space="preserve">CATTTTTTTGGAGAGGAACC</t>
  </si>
  <si>
    <t xml:space="preserve">TAGTCATTTTTTTGGAGAGGAACC</t>
  </si>
  <si>
    <t xml:space="preserve">AAACGGTTCCTCTCCAAAAAAATG</t>
  </si>
  <si>
    <t xml:space="preserve">PSPPH_A0018</t>
  </si>
  <si>
    <t xml:space="preserve">GCTATTGAAAGTTTTTGTGC</t>
  </si>
  <si>
    <t xml:space="preserve">TAGTGCTATTGAAAGTTTTTGTGC</t>
  </si>
  <si>
    <t xml:space="preserve">AAACGCACAAAAACTTTCAATAGC</t>
  </si>
  <si>
    <t xml:space="preserve">GCGAGCAGCGATATACTGCA</t>
  </si>
  <si>
    <t xml:space="preserve">TAGTGCGAGCAGCGATATACTGCA</t>
  </si>
  <si>
    <t xml:space="preserve">AAACTGCAGTATATCGCTGCTCGC</t>
  </si>
  <si>
    <t xml:space="preserve">CATTATTTTTAGCGGCAGCT</t>
  </si>
  <si>
    <t xml:space="preserve">TAGTCATTATTTTTAGCGGCAGCT</t>
  </si>
  <si>
    <t xml:space="preserve">AAACAGCTGCCGCTAAAAATAATG</t>
  </si>
  <si>
    <t xml:space="preserve">PSPPH_A0019</t>
  </si>
  <si>
    <t xml:space="preserve">AGGTATGCACGAATGAACAT</t>
  </si>
  <si>
    <t xml:space="preserve">TAGTAGGTATGCACGAATGAACAT</t>
  </si>
  <si>
    <t xml:space="preserve">AAACATGTTCATTCGTGCATACCT</t>
  </si>
  <si>
    <t xml:space="preserve">GGTCATCGGTCGATGCTCGA</t>
  </si>
  <si>
    <t xml:space="preserve">TAGTGGTCATCGGTCGATGCTCGA</t>
  </si>
  <si>
    <t xml:space="preserve">AAACTCGAGCATCGACCGATGACC</t>
  </si>
  <si>
    <t xml:space="preserve">GACGCGCTCGACTTGCGTCC</t>
  </si>
  <si>
    <t xml:space="preserve">TAGTGACGCGCTCGACTTGCGTCC</t>
  </si>
  <si>
    <t xml:space="preserve">AAACGGACGCAAGTCGAGCGCGTC</t>
  </si>
  <si>
    <t xml:space="preserve">TGCGATGGCCTTGCCGTAGC</t>
  </si>
  <si>
    <t xml:space="preserve">TAGTTGCGATGGCCTTGCCGTAGC</t>
  </si>
  <si>
    <t xml:space="preserve">AAACGCTACGGCAAGGCCATCGCA</t>
  </si>
  <si>
    <t xml:space="preserve">PSPPH_A0021</t>
  </si>
  <si>
    <t xml:space="preserve">GGCGTCCCAGACGCTGCTGA</t>
  </si>
  <si>
    <t xml:space="preserve">TAGTGGCGTCCCAGACGCTGCTGA</t>
  </si>
  <si>
    <t xml:space="preserve">AAACTCAGCAGCGTCTGGGACGCC</t>
  </si>
  <si>
    <t xml:space="preserve">TTCGGCTGGTGAGTCCTCCA</t>
  </si>
  <si>
    <t xml:space="preserve">TAGTTTCGGCTGGTGAGTCCTCCA</t>
  </si>
  <si>
    <t xml:space="preserve">AAACTGGAGGACTCACCAGCCGAA</t>
  </si>
  <si>
    <t xml:space="preserve">TCGGATAGCCGTCATTAGGC</t>
  </si>
  <si>
    <t xml:space="preserve">TAGTTCGGATAGCCGTCATTAGGC</t>
  </si>
  <si>
    <t xml:space="preserve">AAACGCCTAATGACGGCTATCCGA</t>
  </si>
  <si>
    <t xml:space="preserve">CGCTGGAGTTCTGAAATGCG</t>
  </si>
  <si>
    <t xml:space="preserve">TAGTCGCTGGAGTTCTGAAATGCG</t>
  </si>
  <si>
    <t xml:space="preserve">AAACCGCATTTCAGAACTCCAGCG</t>
  </si>
  <si>
    <t xml:space="preserve">PSPPH_A0022</t>
  </si>
  <si>
    <t xml:space="preserve">AGGTCAGGATCGACAATCAT</t>
  </si>
  <si>
    <t xml:space="preserve">TAGTAGGTCAGGATCGACAATCAT</t>
  </si>
  <si>
    <t xml:space="preserve">AAACATGATTGTCGATCCTGACCT</t>
  </si>
  <si>
    <t xml:space="preserve">TCTTCGTTGCAAGACCAGGC</t>
  </si>
  <si>
    <t xml:space="preserve">TAGTTCTTCGTTGCAAGACCAGGC</t>
  </si>
  <si>
    <t xml:space="preserve">AAACGCCTGGTCTTGCAACGAAGA</t>
  </si>
  <si>
    <t xml:space="preserve">CCTGATCAATTGGGCAATCT</t>
  </si>
  <si>
    <t xml:space="preserve">TAGTCCTGATCAATTGGGCAATCT</t>
  </si>
  <si>
    <t xml:space="preserve">AAACAGATTGCCCAATTGATCAGG</t>
  </si>
  <si>
    <t xml:space="preserve">ATCAGGGCGCAGGGTGAAAC</t>
  </si>
  <si>
    <t xml:space="preserve">TAGTATCAGGGCGCAGGGTGAAAC</t>
  </si>
  <si>
    <t xml:space="preserve">AAACGTTTCACCCTGCGCCCTGAT</t>
  </si>
  <si>
    <t xml:space="preserve">PSPPH_A0023</t>
  </si>
  <si>
    <t xml:space="preserve">TACGTGCTGCGCATTGAGCC</t>
  </si>
  <si>
    <t xml:space="preserve">TAGTTACGTGCTGCGCATTGAGCC</t>
  </si>
  <si>
    <t xml:space="preserve">AAACGGCTCAATGCGCAGCACGTA</t>
  </si>
  <si>
    <t xml:space="preserve">CCTTCGCTGCGCTCAGGGCC</t>
  </si>
  <si>
    <t xml:space="preserve">TAGTCCTTCGCTGCGCTCAGGGCC</t>
  </si>
  <si>
    <t xml:space="preserve">AAACGGCCCTGAGCGCAGCGAAGG</t>
  </si>
  <si>
    <t xml:space="preserve">TGCCCTGGCTGTTTCAGCCT</t>
  </si>
  <si>
    <t xml:space="preserve">TAGTTGCCCTGGCTGTTTCAGCCT</t>
  </si>
  <si>
    <t xml:space="preserve">AAACAGGCTGAAACAGCCAGGGCA</t>
  </si>
  <si>
    <t xml:space="preserve">PSPPH_A0025</t>
  </si>
  <si>
    <t xml:space="preserve">ACTGGAACACCATCCTCTTT</t>
  </si>
  <si>
    <t xml:space="preserve">TAGTACTGGAACACCATCCTCTTT</t>
  </si>
  <si>
    <t xml:space="preserve">AAACAAAGAGGATGGTGTTCCAGT</t>
  </si>
  <si>
    <t xml:space="preserve">GCTACAATTACCGGATTGCT</t>
  </si>
  <si>
    <t xml:space="preserve">TAGTGCTACAATTACCGGATTGCT</t>
  </si>
  <si>
    <t xml:space="preserve">AAACAGCAATCCGGTAATTGTAGC</t>
  </si>
  <si>
    <t xml:space="preserve">GATTGCAGGTCGAAGTGGCT</t>
  </si>
  <si>
    <t xml:space="preserve">TAGTGATTGCAGGTCGAAGTGGCT</t>
  </si>
  <si>
    <t xml:space="preserve">AAACAGCCACTTCGACCTGCAATC</t>
  </si>
  <si>
    <t xml:space="preserve">PSPPH_A0026</t>
  </si>
  <si>
    <t xml:space="preserve">TCAACCGGACTAGGGGTCCG</t>
  </si>
  <si>
    <t xml:space="preserve">TAGTTCAACCGGACTAGGGGTCCG</t>
  </si>
  <si>
    <t xml:space="preserve">AAACCGGACCCCTAGTCCGGTTGA</t>
  </si>
  <si>
    <t xml:space="preserve">TCAAGCCACAGCTGGAGCCT</t>
  </si>
  <si>
    <t xml:space="preserve">TAGTTCAAGCCACAGCTGGAGCCT</t>
  </si>
  <si>
    <t xml:space="preserve">AAACAGGCTCCAGCTGTGGCTTGA</t>
  </si>
  <si>
    <t xml:space="preserve">ATGACTCGCTCAAACGCTTC</t>
  </si>
  <si>
    <t xml:space="preserve">TAGTATGACTCGCTCAAACGCTTC</t>
  </si>
  <si>
    <t xml:space="preserve">AAACGAAGCGTTTGAGCGAGTCAT</t>
  </si>
  <si>
    <t xml:space="preserve">AGAACGCCCTGCTTCGGCTC</t>
  </si>
  <si>
    <t xml:space="preserve">TAGTAGAACGCCCTGCTTCGGCTC</t>
  </si>
  <si>
    <t xml:space="preserve">AAACGAGCCGAAGCAGGGCGTTCT</t>
  </si>
  <si>
    <t xml:space="preserve">PSPPH_A0027</t>
  </si>
  <si>
    <t xml:space="preserve">PSPPH_A0028</t>
  </si>
  <si>
    <t xml:space="preserve">AAGAAGCTGCTGGCCCGCAT</t>
  </si>
  <si>
    <t xml:space="preserve">TAGTAAGAAGCTGCTGGCCCGCAT</t>
  </si>
  <si>
    <t xml:space="preserve">AAACATGCGGGCCAGCAGCTTCTT</t>
  </si>
  <si>
    <t xml:space="preserve">PSPPH_A0031</t>
  </si>
  <si>
    <t xml:space="preserve">hopAU1</t>
  </si>
  <si>
    <t xml:space="preserve">GTTGCACTAACTGATTGAAC</t>
  </si>
  <si>
    <t xml:space="preserve">TAGTGTTGCACTAACTGATTGAAC</t>
  </si>
  <si>
    <t xml:space="preserve">AAACGTTCAATCAGTTAGTGCAAC</t>
  </si>
  <si>
    <t xml:space="preserve">TCTTGCCCAAGATTGGTTAG</t>
  </si>
  <si>
    <t xml:space="preserve">TAGTTCTTGCCCAAGATTGGTTAG</t>
  </si>
  <si>
    <t xml:space="preserve">AAACCTAACCAATCTTGGGCAAGA</t>
  </si>
  <si>
    <t xml:space="preserve">GGTCTGCGTCGTTGCAGCGG</t>
  </si>
  <si>
    <t xml:space="preserve">TAGTGGTCTGCGTCGTTGCAGCGG</t>
  </si>
  <si>
    <t xml:space="preserve">AAACCCGCTGCAACGACGCAGACC</t>
  </si>
  <si>
    <t xml:space="preserve">CGCCGTGGTAAGTTGCTCTG</t>
  </si>
  <si>
    <t xml:space="preserve">TAGTCGCCGTGGTAAGTTGCTCTG</t>
  </si>
  <si>
    <t xml:space="preserve">AAACCAGAGCAACTTACCACGGCG</t>
  </si>
  <si>
    <t xml:space="preserve">PSPPH_A0032</t>
  </si>
  <si>
    <t xml:space="preserve">GGGGTAACGCTGACGACTCA</t>
  </si>
  <si>
    <t xml:space="preserve">TAGTGGGGTAACGCTGACGACTCA</t>
  </si>
  <si>
    <t xml:space="preserve">AAACTGAGTCGTCAGCGTTACCCC</t>
  </si>
  <si>
    <t xml:space="preserve">CGCTGGGCGACATCGGCCAC</t>
  </si>
  <si>
    <t xml:space="preserve">TAGTCGCTGGGCGACATCGGCCAC</t>
  </si>
  <si>
    <t xml:space="preserve">AAACGTGGCCGATGTCGCCCAGCG</t>
  </si>
  <si>
    <t xml:space="preserve">GGCTGTGCACGGACATGCCC</t>
  </si>
  <si>
    <t xml:space="preserve">TAGTGGCTGTGCACGGACATGCCC</t>
  </si>
  <si>
    <t xml:space="preserve">AAACGGGCATGTCCGTGCACAGCC</t>
  </si>
  <si>
    <t xml:space="preserve">AGACCTTGATCCAGGCGTAG</t>
  </si>
  <si>
    <t xml:space="preserve">TAGTAGACCTTGATCCAGGCGTAG</t>
  </si>
  <si>
    <t xml:space="preserve">AAACCTACGCCTGGATCAAGGTCT</t>
  </si>
  <si>
    <t xml:space="preserve">PSPPH_A0033</t>
  </si>
  <si>
    <t xml:space="preserve">CCGGCGCCAAGCGCAGATCG</t>
  </si>
  <si>
    <t xml:space="preserve">TAGTCCGGCGCCAAGCGCAGATCG</t>
  </si>
  <si>
    <t xml:space="preserve">AAACCGATCTGCGCTTGGCGCCGG</t>
  </si>
  <si>
    <t xml:space="preserve">GCAAGGCATACCACAAAGTA</t>
  </si>
  <si>
    <t xml:space="preserve">TAGTGCAAGGCATACCACAAAGTA</t>
  </si>
  <si>
    <t xml:space="preserve">AAACTACTTTGTGGTATGCCTTGC</t>
  </si>
  <si>
    <t xml:space="preserve">CACAAACACCTTGGCCGTGT</t>
  </si>
  <si>
    <t xml:space="preserve">TAGTCACAAACACCTTGGCCGTGT</t>
  </si>
  <si>
    <t xml:space="preserve">AAACACACGGCCAAGGTGTTTGTG</t>
  </si>
  <si>
    <t xml:space="preserve">CCGCGCCTGAGCCTGAACAC</t>
  </si>
  <si>
    <t xml:space="preserve">TAGTCCGCGCCTGAGCCTGAACAC</t>
  </si>
  <si>
    <t xml:space="preserve">AAACGTGTTCAGGCTCAGGCGCGG</t>
  </si>
  <si>
    <t xml:space="preserve">PSPPH_A0034</t>
  </si>
  <si>
    <t xml:space="preserve">CCCAAACGGAGGTGTCTACC</t>
  </si>
  <si>
    <t xml:space="preserve">TAGTCCCAAACGGAGGTGTCTACC</t>
  </si>
  <si>
    <t xml:space="preserve">AAACGGTAGACACCTCCGTTTGGG</t>
  </si>
  <si>
    <t xml:space="preserve">CTGAGCAAGTTCACCAGTTC</t>
  </si>
  <si>
    <t xml:space="preserve">TAGTCTGAGCAAGTTCACCAGTTC</t>
  </si>
  <si>
    <t xml:space="preserve">AAACGAACTGGTGAACTTGCTCAG</t>
  </si>
  <si>
    <t xml:space="preserve">GGTGTATGAGTACCCGGTCC</t>
  </si>
  <si>
    <t xml:space="preserve">TAGTGGTGTATGAGTACCCGGTCC</t>
  </si>
  <si>
    <t xml:space="preserve">AAACGGACCGGGTACTCATACACC</t>
  </si>
  <si>
    <t xml:space="preserve">CCAGTTCTCCGATCACCATG</t>
  </si>
  <si>
    <t xml:space="preserve">TAGTCCAGTTCTCCGATCACCATG</t>
  </si>
  <si>
    <t xml:space="preserve">AAACCATGGTGATCGGAGAACTGG</t>
  </si>
  <si>
    <t xml:space="preserve">PSPPH_A0035</t>
  </si>
  <si>
    <t xml:space="preserve">CAACGCATCGTCGATGGTGA</t>
  </si>
  <si>
    <t xml:space="preserve">TAGTCAACGCATCGTCGATGGTGA</t>
  </si>
  <si>
    <t xml:space="preserve">AAACTCACCATCGACGATGCGTTG</t>
  </si>
  <si>
    <t xml:space="preserve">CGGCGACTTCCAGAGCACGT</t>
  </si>
  <si>
    <t xml:space="preserve">TAGTCGGCGACTTCCAGAGCACGT</t>
  </si>
  <si>
    <t xml:space="preserve">AAACACGTGCTCTGGAAGTCGCCG</t>
  </si>
  <si>
    <t xml:space="preserve">GGCCTTGTCCATCGCCGGAT</t>
  </si>
  <si>
    <t xml:space="preserve">TAGTGGCCTTGTCCATCGCCGGAT</t>
  </si>
  <si>
    <t xml:space="preserve">AAACATCCGGCGATGGACAAGGCC</t>
  </si>
  <si>
    <t xml:space="preserve">AACGGCTTCACGGAACAGGT</t>
  </si>
  <si>
    <t xml:space="preserve">TAGTAACGGCTTCACGGAACAGGT</t>
  </si>
  <si>
    <t xml:space="preserve">AAACACCTGTTCCGTGAAGCCGTT</t>
  </si>
  <si>
    <t xml:space="preserve">PSPPH_A0037</t>
  </si>
  <si>
    <t xml:space="preserve">GTTCGACGGCGTAGTCATTG</t>
  </si>
  <si>
    <t xml:space="preserve">TAGTGTTCGACGGCGTAGTCATTG</t>
  </si>
  <si>
    <t xml:space="preserve">AAACCAATGACTACGCCGTCGAAC</t>
  </si>
  <si>
    <t xml:space="preserve">AGTGGTAAACCCGCCGATTT</t>
  </si>
  <si>
    <t xml:space="preserve">TAGTAGTGGTAAACCCGCCGATTT</t>
  </si>
  <si>
    <t xml:space="preserve">AAACAAATCGGCGGGTTTACCACT</t>
  </si>
  <si>
    <t xml:space="preserve">GGCCCAGCGTCAGACTACCG</t>
  </si>
  <si>
    <t xml:space="preserve">TAGTGGCCCAGCGTCAGACTACCG</t>
  </si>
  <si>
    <t xml:space="preserve">AAACCGGTAGTCTGACGCTGGGCC</t>
  </si>
  <si>
    <t xml:space="preserve">CTCCCACCACAGACCCGGCA</t>
  </si>
  <si>
    <t xml:space="preserve">TAGTCTCCCACCACAGACCCGGCA</t>
  </si>
  <si>
    <t xml:space="preserve">AAACTGCCGGGTCTGTGGTGGGAG</t>
  </si>
  <si>
    <t xml:space="preserve">PSPPH_A0039</t>
  </si>
  <si>
    <t xml:space="preserve">GTCTGACAAGCCTTCGATCA</t>
  </si>
  <si>
    <t xml:space="preserve">TAGTGTCTGACAAGCCTTCGATCA</t>
  </si>
  <si>
    <t xml:space="preserve">AAACTGATCGAAGGCTTGTCAGAC</t>
  </si>
  <si>
    <t xml:space="preserve">ATGCCATATAGGGAAAGTGA</t>
  </si>
  <si>
    <t xml:space="preserve">TAGTATGCCATATAGGGAAAGTGA</t>
  </si>
  <si>
    <t xml:space="preserve">AAACTCACTTTCCCTATATGGCAT</t>
  </si>
  <si>
    <t xml:space="preserve">GCGCGCCAGGTGTTCAATCT</t>
  </si>
  <si>
    <t xml:space="preserve">TAGTGCGCGCCAGGTGTTCAATCT</t>
  </si>
  <si>
    <t xml:space="preserve">AAACAGATTGAACACCTGGCGCGC</t>
  </si>
  <si>
    <t xml:space="preserve">GCAACGCTGACCCACCAAAT</t>
  </si>
  <si>
    <t xml:space="preserve">TAGTGCAACGCTGACCCACCAAAT</t>
  </si>
  <si>
    <t xml:space="preserve">AAACATTTGGTGGGTCAGCGTTGC</t>
  </si>
  <si>
    <t xml:space="preserve">PSPPH_A0040</t>
  </si>
  <si>
    <t xml:space="preserve">GCCTGACGTATCGGGGTGAT</t>
  </si>
  <si>
    <t xml:space="preserve">TAGTGCCTGACGTATCGGGGTGAT</t>
  </si>
  <si>
    <t xml:space="preserve">AAACATCACCCCGATACGTCAGGC</t>
  </si>
  <si>
    <t xml:space="preserve">CGGGTAACAGAAATGTTAGG</t>
  </si>
  <si>
    <t xml:space="preserve">TAGTCGGGTAACAGAAATGTTAGG</t>
  </si>
  <si>
    <t xml:space="preserve">AAACCCTAACATTTCTGTTACCCG</t>
  </si>
  <si>
    <t xml:space="preserve">TCCCGTCAGGCAAGGGCTGG</t>
  </si>
  <si>
    <t xml:space="preserve">TAGTTCCCGTCAGGCAAGGGCTGG</t>
  </si>
  <si>
    <t xml:space="preserve">AAACCCAGCCCTTGCCTGACGGGA</t>
  </si>
  <si>
    <t xml:space="preserve">ACCCATATCTATGTCACGAA</t>
  </si>
  <si>
    <t xml:space="preserve">TAGTACCCATATCTATGTCACGAA</t>
  </si>
  <si>
    <t xml:space="preserve">AAACTTCGTGACATAGATATGGGT</t>
  </si>
  <si>
    <t xml:space="preserve">PSPPH_A0042</t>
  </si>
  <si>
    <t xml:space="preserve">CGGTTGGTAAGGCTGATACC</t>
  </si>
  <si>
    <t xml:space="preserve">TAGTCGGTTGGTAAGGCTGATACC</t>
  </si>
  <si>
    <t xml:space="preserve">AAACGGTATCAGCCTTACCAACCG</t>
  </si>
  <si>
    <t xml:space="preserve">ATTTGGCAGGGAAGCGCAGG</t>
  </si>
  <si>
    <t xml:space="preserve">TAGTATTTGGCAGGGAAGCGCAGG</t>
  </si>
  <si>
    <t xml:space="preserve">AAACCCTGCGCTTCCCTGCCAAAT</t>
  </si>
  <si>
    <t xml:space="preserve">AACGATAATTACGGCTAAAA</t>
  </si>
  <si>
    <t xml:space="preserve">TAGTAACGATAATTACGGCTAAAA</t>
  </si>
  <si>
    <t xml:space="preserve">AAACTTTTAGCCGTAATTATCGTT</t>
  </si>
  <si>
    <t xml:space="preserve">CTCATACCGAGAATGACCAG</t>
  </si>
  <si>
    <t xml:space="preserve">TAGTCTCATACCGAGAATGACCAG</t>
  </si>
  <si>
    <t xml:space="preserve">AAACCTGGTCATTCTCGGTATGAG</t>
  </si>
  <si>
    <t xml:space="preserve">PSPPH_A0043</t>
  </si>
  <si>
    <t xml:space="preserve">TTCATGTAGATGAGCTGTTT</t>
  </si>
  <si>
    <t xml:space="preserve">TAGTTTCATGTAGATGAGCTGTTT</t>
  </si>
  <si>
    <t xml:space="preserve">AAACAAACAGCTCATCTACATGAA</t>
  </si>
  <si>
    <t xml:space="preserve">TCGCAATGATGACTTGCCAC</t>
  </si>
  <si>
    <t xml:space="preserve">TAGTTCGCAATGATGACTTGCCAC</t>
  </si>
  <si>
    <t xml:space="preserve">AAACGTGGCAAGTCATCATTGCGA</t>
  </si>
  <si>
    <t xml:space="preserve">PSPPH_A0045</t>
  </si>
  <si>
    <t xml:space="preserve">CATACGAATGCTTGATGCAT</t>
  </si>
  <si>
    <t xml:space="preserve">TAGTCATACGAATGCTTGATGCAT</t>
  </si>
  <si>
    <t xml:space="preserve">AAACATGCATCAAGCATTCGTATG</t>
  </si>
  <si>
    <t xml:space="preserve">GCAAACTCCTCACCTTTGGT</t>
  </si>
  <si>
    <t xml:space="preserve">TAGTGCAAACTCCTCACCTTTGGT</t>
  </si>
  <si>
    <t xml:space="preserve">AAACACCAAAGGTGAGGAGTTTGC</t>
  </si>
  <si>
    <t xml:space="preserve">CCGCTGAATCTCAGGGGCAA</t>
  </si>
  <si>
    <t xml:space="preserve">TAGTCCGCTGAATCTCAGGGGCAA</t>
  </si>
  <si>
    <t xml:space="preserve">AAACTTGCCCCTGAGATTCAGCGG</t>
  </si>
  <si>
    <t xml:space="preserve">CTCTATAGCGCTCTTGGCCT</t>
  </si>
  <si>
    <t xml:space="preserve">TAGTCTCTATAGCGCTCTTGGCCT</t>
  </si>
  <si>
    <t xml:space="preserve">AAACAGGCCAAGAGCGCTATAGAG</t>
  </si>
  <si>
    <t xml:space="preserve">PSPPH_A0047</t>
  </si>
  <si>
    <t xml:space="preserve">ACGTGAGAGGCTCACTGCAC</t>
  </si>
  <si>
    <t xml:space="preserve">TAGTACGTGAGAGGCTCACTGCAC</t>
  </si>
  <si>
    <t xml:space="preserve">AAACGTGCAGTGAGCCTCTCACGT</t>
  </si>
  <si>
    <t xml:space="preserve">TGTGTTCACCAGAATCGTTT</t>
  </si>
  <si>
    <t xml:space="preserve">TAGTTGTGTTCACCAGAATCGTTT</t>
  </si>
  <si>
    <t xml:space="preserve">AAACAAACGATTCTGGTGAACACA</t>
  </si>
  <si>
    <t xml:space="preserve">GTTTTCCGCCGATTGAGTTT</t>
  </si>
  <si>
    <t xml:space="preserve">TAGTGTTTTCCGCCGATTGAGTTT</t>
  </si>
  <si>
    <t xml:space="preserve">AAACAAACTCAATCGGCGGAAAAC</t>
  </si>
  <si>
    <t xml:space="preserve">TGCCAATTTGTTAAATTGCT</t>
  </si>
  <si>
    <t xml:space="preserve">TAGTTGCCAATTTGTTAAATTGCT</t>
  </si>
  <si>
    <t xml:space="preserve">AAACAGCAATTTAACAAATTGGCA</t>
  </si>
  <si>
    <t xml:space="preserve">PSPPH_A0048</t>
  </si>
  <si>
    <t xml:space="preserve">TTTTCCCTGAGCCGCCTTTC</t>
  </si>
  <si>
    <t xml:space="preserve">TAGTTTTTCCCTGAGCCGCCTTTC</t>
  </si>
  <si>
    <t xml:space="preserve">AAACGAAAGGCGGCTCAGGGAAAA</t>
  </si>
  <si>
    <t xml:space="preserve">GCGCGTCAGGTGCGTGGCGA</t>
  </si>
  <si>
    <t xml:space="preserve">TAGTGCGCGTCAGGTGCGTGGCGA</t>
  </si>
  <si>
    <t xml:space="preserve">AAACTCGCCACGCACCTGACGCGC</t>
  </si>
  <si>
    <t xml:space="preserve">GCACACTGGACCCATCCAAC</t>
  </si>
  <si>
    <t xml:space="preserve">TAGTGCACACTGGACCCATCCAAC</t>
  </si>
  <si>
    <t xml:space="preserve">AAACGTTGGATGGGTCCAGTGTGC</t>
  </si>
  <si>
    <t xml:space="preserve">AATCACGAGCGCTTCCCTGG</t>
  </si>
  <si>
    <t xml:space="preserve">TAGTAATCACGAGCGCTTCCCTGG</t>
  </si>
  <si>
    <t xml:space="preserve">AAACCCAGGGAAGCGCTCGTGATT</t>
  </si>
  <si>
    <t xml:space="preserve">PSPPH_A0049</t>
  </si>
  <si>
    <t xml:space="preserve">GCTTCGCGCGCTTGGTCGGC</t>
  </si>
  <si>
    <t xml:space="preserve">TAGTGCTTCGCGCGCTTGGTCGGC</t>
  </si>
  <si>
    <t xml:space="preserve">AAACGCCGACCAAGCGCGCGAAGC</t>
  </si>
  <si>
    <t xml:space="preserve">ATCAGCCAAGCTGGCCAAGG</t>
  </si>
  <si>
    <t xml:space="preserve">TAGTATCAGCCAAGCTGGCCAAGG</t>
  </si>
  <si>
    <t xml:space="preserve">AAACCCTTGGCCAGCTTGGCTGAT</t>
  </si>
  <si>
    <t xml:space="preserve">AAATTGACTCGAACCGTCGA</t>
  </si>
  <si>
    <t xml:space="preserve">TAGTAAATTGACTCGAACCGTCGA</t>
  </si>
  <si>
    <t xml:space="preserve">AAACTCGACGGTTCGAGTCAATTT</t>
  </si>
  <si>
    <t xml:space="preserve">TTTGATACTCCTTCCCTGCT</t>
  </si>
  <si>
    <t xml:space="preserve">TAGTTTTGATACTCCTTCCCTGCT</t>
  </si>
  <si>
    <t xml:space="preserve">AAACAGCAGGGAAGGAGTATCAAA</t>
  </si>
  <si>
    <t xml:space="preserve">PSPPH_A0050</t>
  </si>
  <si>
    <t xml:space="preserve">GACGAAGCGGGTTTTGATAC</t>
  </si>
  <si>
    <t xml:space="preserve">TAGTGACGAAGCGGGTTTTGATAC</t>
  </si>
  <si>
    <t xml:space="preserve">AAACGTATCAAAACCCGCTTCGTC</t>
  </si>
  <si>
    <t xml:space="preserve">CCGTTCCTGGCGGTGCGCAG</t>
  </si>
  <si>
    <t xml:space="preserve">TAGTCCGTTCCTGGCGGTGCGCAG</t>
  </si>
  <si>
    <t xml:space="preserve">AAACCTGCGCACCGCCAGGAACGG</t>
  </si>
  <si>
    <t xml:space="preserve">ATCGATGACCAACAACCCGG</t>
  </si>
  <si>
    <t xml:space="preserve">TAGTATCGATGACCAACAACCCGG</t>
  </si>
  <si>
    <t xml:space="preserve">AAACCCGGGTTGTTGGTCATCGAT</t>
  </si>
  <si>
    <t xml:space="preserve">CTTCATCACGACCAAACGGC</t>
  </si>
  <si>
    <t xml:space="preserve">TAGTCTTCATCACGACCAAACGGC</t>
  </si>
  <si>
    <t xml:space="preserve">AAACGCCGTTTGGTCGTGATGAAG</t>
  </si>
  <si>
    <t xml:space="preserve">PSPPH_A0051</t>
  </si>
  <si>
    <t xml:space="preserve">GACGGCGACGTTCCAGCGAG</t>
  </si>
  <si>
    <t xml:space="preserve">TAGTGACGGCGACGTTCCAGCGAG</t>
  </si>
  <si>
    <t xml:space="preserve">AAACCTCGCTGGAACGTCGCCGTC</t>
  </si>
  <si>
    <t xml:space="preserve">GAGCGATTGGTCGGTGTCGG</t>
  </si>
  <si>
    <t xml:space="preserve">TAGTGAGCGATTGGTCGGTGTCGG</t>
  </si>
  <si>
    <t xml:space="preserve">AAACCCGACACCGACCAATCGCTC</t>
  </si>
  <si>
    <t xml:space="preserve">CTTGGCTGGCCAGAAACATG</t>
  </si>
  <si>
    <t xml:space="preserve">TAGTCTTGGCTGGCCAGAAACATG</t>
  </si>
  <si>
    <t xml:space="preserve">AAACCATGTTTCTGGCCAGCCAAG</t>
  </si>
  <si>
    <t xml:space="preserve">AGCGCGACAGGTCGCCCTTA</t>
  </si>
  <si>
    <t xml:space="preserve">TAGTAGCGCGACAGGTCGCCCTTA</t>
  </si>
  <si>
    <t xml:space="preserve">AAACTAAGGGCGACCTGTCGCGCT</t>
  </si>
  <si>
    <t xml:space="preserve">PSPPH_A0052</t>
  </si>
  <si>
    <t xml:space="preserve">CAGCGCACTGAACAGTATGT</t>
  </si>
  <si>
    <t xml:space="preserve">TAGTCAGCGCACTGAACAGTATGT</t>
  </si>
  <si>
    <t xml:space="preserve">AAACACATACTGTTCAGTGCGCTG</t>
  </si>
  <si>
    <t xml:space="preserve">ATTGCATCGGGTGCCCCATG</t>
  </si>
  <si>
    <t xml:space="preserve">TAGTATTGCATCGGGTGCCCCATG</t>
  </si>
  <si>
    <t xml:space="preserve">AAACCATGGGGCACCCGATGCAAT</t>
  </si>
  <si>
    <t xml:space="preserve">CTCAAACCGAGCCGAACGCC</t>
  </si>
  <si>
    <t xml:space="preserve">TAGTCTCAAACCGAGCCGAACGCC</t>
  </si>
  <si>
    <t xml:space="preserve">AAACGGCGTTCGGCTCGGTTTGAG</t>
  </si>
  <si>
    <t xml:space="preserve">TTCATCGAGCTGTGCCCGTG</t>
  </si>
  <si>
    <t xml:space="preserve">TAGTTTCATCGAGCTGTGCCCGTG</t>
  </si>
  <si>
    <t xml:space="preserve">AAACCACGGGCACAGCTCGATGAA</t>
  </si>
  <si>
    <t xml:space="preserve">PSPPH_A0053</t>
  </si>
  <si>
    <t xml:space="preserve">TCCTGAGTCAGAAAGCCAAC</t>
  </si>
  <si>
    <t xml:space="preserve">TAGTTCCTGAGTCAGAAAGCCAAC</t>
  </si>
  <si>
    <t xml:space="preserve">AAACGTTGGCTTTCTGACTCAGGA</t>
  </si>
  <si>
    <t xml:space="preserve">TCCAGCTCTTCGCGGCTAGG</t>
  </si>
  <si>
    <t xml:space="preserve">TAGTTCCAGCTCTTCGCGGCTAGG</t>
  </si>
  <si>
    <t xml:space="preserve">AAACCCTAGCCGCGAAGAGCTGGA</t>
  </si>
  <si>
    <t xml:space="preserve">TGTGGTCGTCATCGCTCAAG</t>
  </si>
  <si>
    <t xml:space="preserve">TAGTTGTGGTCGTCATCGCTCAAG</t>
  </si>
  <si>
    <t xml:space="preserve">AAACCTTGAGCGATGACGACCACA</t>
  </si>
  <si>
    <t xml:space="preserve">TTCGCCGCGTAGCGGTAGGA</t>
  </si>
  <si>
    <t xml:space="preserve">TAGTTTCGCCGCGTAGCGGTAGGA</t>
  </si>
  <si>
    <t xml:space="preserve">AAACTCCTACCGCTACGCGGCGAA</t>
  </si>
  <si>
    <t xml:space="preserve">PSPPH_A0055</t>
  </si>
  <si>
    <t xml:space="preserve">CTGCACAGCCAAAGCACTAA</t>
  </si>
  <si>
    <t xml:space="preserve">TAGTCTGCACAGCCAAAGCACTAA</t>
  </si>
  <si>
    <t xml:space="preserve">AAACTTAGTGCTTTGGCTGTGCAG</t>
  </si>
  <si>
    <t xml:space="preserve">GAGTGTTCAAAAAGCACAGG</t>
  </si>
  <si>
    <t xml:space="preserve">TAGTGAGTGTTCAAAAAGCACAGG</t>
  </si>
  <si>
    <t xml:space="preserve">AAACCCTGTGCTTTTTGAACACTC</t>
  </si>
  <si>
    <t xml:space="preserve">PSPPH_A0056</t>
  </si>
  <si>
    <t xml:space="preserve">hopAV1</t>
  </si>
  <si>
    <t xml:space="preserve">CCGTCAGACTTTGCGGTTCT</t>
  </si>
  <si>
    <t xml:space="preserve">TAGTCCGTCAGACTTTGCGGTTCT</t>
  </si>
  <si>
    <t xml:space="preserve">AAACAGAACCGCAAAGTCTGACGG</t>
  </si>
  <si>
    <t xml:space="preserve">CAAATGGTCTGGATGGGAGG</t>
  </si>
  <si>
    <t xml:space="preserve">TAGTCAAATGGTCTGGATGGGAGG</t>
  </si>
  <si>
    <t xml:space="preserve">AAACCCTCCCATCCAGACCATTTG</t>
  </si>
  <si>
    <t xml:space="preserve">CCATGCTTTCAGGCTGAACA</t>
  </si>
  <si>
    <t xml:space="preserve">TAGTCCATGCTTTCAGGCTGAACA</t>
  </si>
  <si>
    <t xml:space="preserve">AAACTGTTCAGCCTGAAAGCATGG</t>
  </si>
  <si>
    <t xml:space="preserve">CGGTGGTTGTGATGCTCCGG</t>
  </si>
  <si>
    <t xml:space="preserve">TAGTCGGTGGTTGTGATGCTCCGG</t>
  </si>
  <si>
    <t xml:space="preserve">AAACCCGGAGCATCACAACCACCG</t>
  </si>
  <si>
    <t xml:space="preserve">PSPPH_A0059</t>
  </si>
  <si>
    <t xml:space="preserve">TGATAGGAGACCTCTTCGGA</t>
  </si>
  <si>
    <t xml:space="preserve">TAGTTGATAGGAGACCTCTTCGGA</t>
  </si>
  <si>
    <t xml:space="preserve">AAACTCCGAAGAGGTCTCCTATCA</t>
  </si>
  <si>
    <t xml:space="preserve">GCTGAGGTTGCCACAGGAAT</t>
  </si>
  <si>
    <t xml:space="preserve">TAGTGCTGAGGTTGCCACAGGAAT</t>
  </si>
  <si>
    <t xml:space="preserve">AAACATTCCTGTGGCAACCTCAGC</t>
  </si>
  <si>
    <t xml:space="preserve">CGCCATCGCGAATAGTGTCG</t>
  </si>
  <si>
    <t xml:space="preserve">TAGTCGCCATCGCGAATAGTGTCG</t>
  </si>
  <si>
    <t xml:space="preserve">AAACCGACACTATTCGCGATGGCG</t>
  </si>
  <si>
    <t xml:space="preserve">TGCCTTTTCTGCACCGGCCT</t>
  </si>
  <si>
    <t xml:space="preserve">TAGTTGCCTTTTCTGCACCGGCCT</t>
  </si>
  <si>
    <t xml:space="preserve">AAACAGGCCGGTGCAGAAAAGGCA</t>
  </si>
  <si>
    <t xml:space="preserve">PSPPH_A0061</t>
  </si>
  <si>
    <t xml:space="preserve">TGATCAAACCCAGCAATCGC</t>
  </si>
  <si>
    <t xml:space="preserve">TAGTTGATCAAACCCAGCAATCGC</t>
  </si>
  <si>
    <t xml:space="preserve">AAACGCGATTGCTGGGTTTGATCA</t>
  </si>
  <si>
    <t xml:space="preserve">CGACCTCGCGCAGGTCGTCA</t>
  </si>
  <si>
    <t xml:space="preserve">TAGTCGACCTCGCGCAGGTCGTCA</t>
  </si>
  <si>
    <t xml:space="preserve">AAACTGACGACCTGCGCGAGGTCG</t>
  </si>
  <si>
    <t xml:space="preserve">GGCTTACCGCCGTACTTTCC</t>
  </si>
  <si>
    <t xml:space="preserve">TAGTGGCTTACCGCCGTACTTTCC</t>
  </si>
  <si>
    <t xml:space="preserve">AAACGGAAAGTACGGCGGTAAGCC</t>
  </si>
  <si>
    <t xml:space="preserve">AAATTGGGTGAGGCGACCGC</t>
  </si>
  <si>
    <t xml:space="preserve">TAGTAAATTGGGTGAGGCGACCGC</t>
  </si>
  <si>
    <t xml:space="preserve">AAACGCGGTCGCCTCACCCAATTT</t>
  </si>
  <si>
    <t xml:space="preserve">PSPPH_A0062</t>
  </si>
  <si>
    <t xml:space="preserve">TTAACCAGTCCCGCATGCCG</t>
  </si>
  <si>
    <t xml:space="preserve">TAGTTTAACCAGTCCCGCATGCCG</t>
  </si>
  <si>
    <t xml:space="preserve">AAACCGGCATGCGGGACTGGTTAA</t>
  </si>
  <si>
    <t xml:space="preserve">CGCAGCCTCGCCAAGGCTTC</t>
  </si>
  <si>
    <t xml:space="preserve">TAGTCGCAGCCTCGCCAAGGCTTC</t>
  </si>
  <si>
    <t xml:space="preserve">AAACGAAGCCTTGGCGAGGCTGCG</t>
  </si>
  <si>
    <t xml:space="preserve">GCGAGCTACAGCCTTGCTGA</t>
  </si>
  <si>
    <t xml:space="preserve">TAGTGCGAGCTACAGCCTTGCTGA</t>
  </si>
  <si>
    <t xml:space="preserve">AAACTCAGCAAGGCTGTAGCTCGC</t>
  </si>
  <si>
    <t xml:space="preserve">GCGTGAATAGTGCCGTGTTA</t>
  </si>
  <si>
    <t xml:space="preserve">TAGTGCGTGAATAGTGCCGTGTTA</t>
  </si>
  <si>
    <t xml:space="preserve">AAACTAACACGGCACTATTCACGC</t>
  </si>
  <si>
    <t xml:space="preserve">PSPPH_A0063</t>
  </si>
  <si>
    <t xml:space="preserve">TCCCTGTGCTAAGGGACCTA</t>
  </si>
  <si>
    <t xml:space="preserve">TAGTTCCCTGTGCTAAGGGACCTA</t>
  </si>
  <si>
    <t xml:space="preserve">AAACTAGGTCCCTTAGCACAGGGA</t>
  </si>
  <si>
    <t xml:space="preserve">GCGAGTTAATGTCGGTCTGC</t>
  </si>
  <si>
    <t xml:space="preserve">TAGTGCGAGTTAATGTCGGTCTGC</t>
  </si>
  <si>
    <t xml:space="preserve">AAACGCAGACCGACATTAACTCGC</t>
  </si>
  <si>
    <t xml:space="preserve">GGCTCCTAAATTTACGCTAA</t>
  </si>
  <si>
    <t xml:space="preserve">TAGTGGCTCCTAAATTTACGCTAA</t>
  </si>
  <si>
    <t xml:space="preserve">AAACTTAGCGTAAATTTAGGAGCC</t>
  </si>
  <si>
    <t xml:space="preserve">TTGCGGATAGACGATCCGAG</t>
  </si>
  <si>
    <t xml:space="preserve">TAGTTTGCGGATAGACGATCCGAG</t>
  </si>
  <si>
    <t xml:space="preserve">AAACCTCGGATCGTCTATCCGCAA</t>
  </si>
  <si>
    <t xml:space="preserve">PSPPH_A0064</t>
  </si>
  <si>
    <t xml:space="preserve">GTAAGGACAGAGCATAGGCA</t>
  </si>
  <si>
    <t xml:space="preserve">TAGTGTAAGGACAGAGCATAGGCA</t>
  </si>
  <si>
    <t xml:space="preserve">AAACTGCCTATGCTCTGTCCTTAC</t>
  </si>
  <si>
    <t xml:space="preserve">GAAGTAAAAAAACATGCTGC</t>
  </si>
  <si>
    <t xml:space="preserve">TAGTGAAGTAAAAAAACATGCTGC</t>
  </si>
  <si>
    <t xml:space="preserve">AAACGCAGCATGTTTTTTTACTTC</t>
  </si>
  <si>
    <t xml:space="preserve">ATGGTAAGTCTGCGCCTGAA</t>
  </si>
  <si>
    <t xml:space="preserve">TAGTATGGTAAGTCTGCGCCTGAA</t>
  </si>
  <si>
    <t xml:space="preserve">AAACTTCAGGCGCAGACTTACCAT</t>
  </si>
  <si>
    <t xml:space="preserve">GCAGAGCTCCCTAGCAACGC</t>
  </si>
  <si>
    <t xml:space="preserve">TAGTGCAGAGCTCCCTAGCAACGC</t>
  </si>
  <si>
    <t xml:space="preserve">AAACGCGTTGCTAGGGAGCTCTGC</t>
  </si>
  <si>
    <t xml:space="preserve">PSPPH_A0065</t>
  </si>
  <si>
    <t xml:space="preserve">GCGTCAGAAGAGCTATTGCT</t>
  </si>
  <si>
    <t xml:space="preserve">TAGTGCGTCAGAAGAGCTATTGCT</t>
  </si>
  <si>
    <t xml:space="preserve">AAACAGCAATAGCTCTTCTGACGC</t>
  </si>
  <si>
    <t xml:space="preserve">CGCCCAGATGCTCGGTGATA</t>
  </si>
  <si>
    <t xml:space="preserve">TAGTCGCCCAGATGCTCGGTGATA</t>
  </si>
  <si>
    <t xml:space="preserve">AAACTATCACCGAGCATCTGGGCG</t>
  </si>
  <si>
    <t xml:space="preserve">GCTGGCTGCAGTTTCAGAGT</t>
  </si>
  <si>
    <t xml:space="preserve">TAGTGCTGGCTGCAGTTTCAGAGT</t>
  </si>
  <si>
    <t xml:space="preserve">AAACACTCTGAAACTGCAGCCAGC</t>
  </si>
  <si>
    <t xml:space="preserve">CGAAACCCAGTATGAATTCC</t>
  </si>
  <si>
    <t xml:space="preserve">TAGTCGAAACCCAGTATGAATTCC</t>
  </si>
  <si>
    <t xml:space="preserve">AAACGGAATTCATACTGGGTTTCG</t>
  </si>
  <si>
    <t xml:space="preserve">PSPPH_A0066</t>
  </si>
  <si>
    <t xml:space="preserve">CTCACATTTTTTCCTTTCTT</t>
  </si>
  <si>
    <t xml:space="preserve">TAGTCTCACATTTTTTCCTTTCTT</t>
  </si>
  <si>
    <t xml:space="preserve">AAACAAGAAAGGAAAAAATGTGAG</t>
  </si>
  <si>
    <t xml:space="preserve">ATCTGCCGAAGCGACAGAAC</t>
  </si>
  <si>
    <t xml:space="preserve">TAGTATCTGCCGAAGCGACAGAAC</t>
  </si>
  <si>
    <t xml:space="preserve">AAACGTTCTGTCGCTTCGGCAGAT</t>
  </si>
  <si>
    <t xml:space="preserve">CCAAATGTAGCTTGTTCGTC</t>
  </si>
  <si>
    <t xml:space="preserve">TAGTCCAAATGTAGCTTGTTCGTC</t>
  </si>
  <si>
    <t xml:space="preserve">AAACGACGAACAAGCTACATTTGG</t>
  </si>
  <si>
    <t xml:space="preserve">TGCCGTTGCACGAGTTTTGT</t>
  </si>
  <si>
    <t xml:space="preserve">TAGTTGCCGTTGCACGAGTTTTGT</t>
  </si>
  <si>
    <t xml:space="preserve">AAACACAAAACTCGTGCAACGGCA</t>
  </si>
  <si>
    <t xml:space="preserve">PSPPH_A0067</t>
  </si>
  <si>
    <t xml:space="preserve">CCGAAGCTAAGCATTTCTCT</t>
  </si>
  <si>
    <t xml:space="preserve">TAGTCCGAAGCTAAGCATTTCTCT</t>
  </si>
  <si>
    <t xml:space="preserve">AAACAGAGAAATGCTTAGCTTCGG</t>
  </si>
  <si>
    <t xml:space="preserve">TGCAGCAAATCGAAGACCTG</t>
  </si>
  <si>
    <t xml:space="preserve">TAGTTGCAGCAAATCGAAGACCTG</t>
  </si>
  <si>
    <t xml:space="preserve">AAACCAGGTCTTCGATTTGCTGCA</t>
  </si>
  <si>
    <t xml:space="preserve">AAATGCAGGAGAAAAATTTA</t>
  </si>
  <si>
    <t xml:space="preserve">TAGTAAATGCAGGAGAAAAATTTA</t>
  </si>
  <si>
    <t xml:space="preserve">AAACTAAATTTTTCTCCTGCATTT</t>
  </si>
  <si>
    <t xml:space="preserve">TACATACTTGTTTCCGTCAA</t>
  </si>
  <si>
    <t xml:space="preserve">TAGTTACATACTTGTTTCCGTCAA</t>
  </si>
  <si>
    <t xml:space="preserve">AAACTTGACGGAAACAAGTATGTA</t>
  </si>
  <si>
    <t xml:space="preserve">PSPPH_A0069</t>
  </si>
  <si>
    <t xml:space="preserve">CTGTTTCGAGCAAGGGAAGA</t>
  </si>
  <si>
    <t xml:space="preserve">TAGTCTGTTTCGAGCAAGGGAAGA</t>
  </si>
  <si>
    <t xml:space="preserve">AAACTCTTCCCTTGCTCGAAACAG</t>
  </si>
  <si>
    <t xml:space="preserve">TCCGATAAATCGACGATGCC</t>
  </si>
  <si>
    <t xml:space="preserve">TAGTTCCGATAAATCGACGATGCC</t>
  </si>
  <si>
    <t xml:space="preserve">AAACGGCATCGTCGATTTATCGGA</t>
  </si>
  <si>
    <t xml:space="preserve">TACGCCTTCCAACACCACCT</t>
  </si>
  <si>
    <t xml:space="preserve">TAGTTACGCCTTCCAACACCACCT</t>
  </si>
  <si>
    <t xml:space="preserve">AAACAGGTGGTGTTGGAAGGCGTA</t>
  </si>
  <si>
    <t xml:space="preserve">TCTATATAGACCAGCGCTCT</t>
  </si>
  <si>
    <t xml:space="preserve">TAGTTCTATATAGACCAGCGCTCT</t>
  </si>
  <si>
    <t xml:space="preserve">AAACAGAGCGCTGGTCTATATAGA</t>
  </si>
  <si>
    <t xml:space="preserve">PSPPH_A0076</t>
  </si>
  <si>
    <t xml:space="preserve">TTGGTCGCGCGTGCTTACGC</t>
  </si>
  <si>
    <t xml:space="preserve">TAGTTTGGTCGCGCGTGCTTACGC</t>
  </si>
  <si>
    <t xml:space="preserve">AAACGCGTAAGCACGCGCGACCAA</t>
  </si>
  <si>
    <t xml:space="preserve">GTTTGAGTGCATCGAGCTGC</t>
  </si>
  <si>
    <t xml:space="preserve">TAGTGTTTGAGTGCATCGAGCTGC</t>
  </si>
  <si>
    <t xml:space="preserve">AAACGCAGCTCGATGCACTCAAAC</t>
  </si>
  <si>
    <t xml:space="preserve">TTGGTAAATGCGTTCGCAAC</t>
  </si>
  <si>
    <t xml:space="preserve">TAGTTTGGTAAATGCGTTCGCAAC</t>
  </si>
  <si>
    <t xml:space="preserve">AAACGTTGCGAACGCATTTACCAA</t>
  </si>
  <si>
    <t xml:space="preserve">CCGCGCCGTTTTCGAGCCAC</t>
  </si>
  <si>
    <t xml:space="preserve">TAGTCCGCGCCGTTTTCGAGCCAC</t>
  </si>
  <si>
    <t xml:space="preserve">AAACGTGGCTCGAAAACGGCGCGG</t>
  </si>
  <si>
    <t xml:space="preserve">PSPPH_A0077</t>
  </si>
  <si>
    <t xml:space="preserve">TCCAGCACCTGCCCAATCTT</t>
  </si>
  <si>
    <t xml:space="preserve">TAGTTCCAGCACCTGCCCAATCTT</t>
  </si>
  <si>
    <t xml:space="preserve">AAACAAGATTGGGCAGGTGCTGGA</t>
  </si>
  <si>
    <t xml:space="preserve">GAAAGTCATAGCTTCTGAAT</t>
  </si>
  <si>
    <t xml:space="preserve">TAGTGAAAGTCATAGCTTCTGAAT</t>
  </si>
  <si>
    <t xml:space="preserve">AAACATTCAGAAGCTATGACTTTC</t>
  </si>
  <si>
    <t xml:space="preserve">TCTTTATCATTTCGGGCTTG</t>
  </si>
  <si>
    <t xml:space="preserve">TAGTTCTTTATCATTTCGGGCTTG</t>
  </si>
  <si>
    <t xml:space="preserve">AAACCAAGCCCGAAATGATAAAGA</t>
  </si>
  <si>
    <t xml:space="preserve">CGTTCAGCACGACCACCAGT</t>
  </si>
  <si>
    <t xml:space="preserve">TAGTCGTTCAGCACGACCACCAGT</t>
  </si>
  <si>
    <t xml:space="preserve">AAACACTGGTGGTCGTGCTGAACG</t>
  </si>
  <si>
    <t xml:space="preserve">PSPPH_A0080</t>
  </si>
  <si>
    <t xml:space="preserve">ATTGGAAAGCAAGTAAAAAC</t>
  </si>
  <si>
    <t xml:space="preserve">TAGTATTGGAAAGCAAGTAAAAAC</t>
  </si>
  <si>
    <t xml:space="preserve">AAACGTTTTTACTTGCTTTCCAAT</t>
  </si>
  <si>
    <t xml:space="preserve">ACCAATTGCGAAACCTGCAC</t>
  </si>
  <si>
    <t xml:space="preserve">TAGTACCAATTGCGAAACCTGCAC</t>
  </si>
  <si>
    <t xml:space="preserve">AAACGTGCAGGTTTCGCAATTGGT</t>
  </si>
  <si>
    <t xml:space="preserve">CTGAATCTTGAATTTCAAAT</t>
  </si>
  <si>
    <t xml:space="preserve">TAGTCTGAATCTTGAATTTCAAAT</t>
  </si>
  <si>
    <t xml:space="preserve">AAACATTTGAAATTCAAGATTCAG</t>
  </si>
  <si>
    <t xml:space="preserve">ACAGTACATTCTTCCATTCC</t>
  </si>
  <si>
    <t xml:space="preserve">TAGTACAGTACATTCTTCCATTCC</t>
  </si>
  <si>
    <t xml:space="preserve">AAACGGAATGGAAGAATGTACTGT</t>
  </si>
  <si>
    <t xml:space="preserve">PSPPH_A0085</t>
  </si>
  <si>
    <t xml:space="preserve">GCCCAAGTCGCGGATGCGCG</t>
  </si>
  <si>
    <t xml:space="preserve">TAGTGCCCAAGTCGCGGATGCGCG</t>
  </si>
  <si>
    <t xml:space="preserve">AAACCGCGCATCCGCGACTTGGGC</t>
  </si>
  <si>
    <t xml:space="preserve">GCTCTGTGGGACATACAGTT</t>
  </si>
  <si>
    <t xml:space="preserve">TAGTGCTCTGTGGGACATACAGTT</t>
  </si>
  <si>
    <t xml:space="preserve">AAACAACTGTATGTCCCACAGAGC</t>
  </si>
  <si>
    <t xml:space="preserve">GGCGCAGTGTCGGGTAGTCC</t>
  </si>
  <si>
    <t xml:space="preserve">TAGTGGCGCAGTGTCGGGTAGTCC</t>
  </si>
  <si>
    <t xml:space="preserve">AAACGGACTACCCGACACTGCGCC</t>
  </si>
  <si>
    <t xml:space="preserve">TTAGCGTACCGCCGATCATC</t>
  </si>
  <si>
    <t xml:space="preserve">TAGTTTAGCGTACCGCCGATCATC</t>
  </si>
  <si>
    <t xml:space="preserve">AAACGATGATCGGCGGTACGCTAA</t>
  </si>
  <si>
    <t xml:space="preserve">PSPPH_A0087</t>
  </si>
  <si>
    <t xml:space="preserve">avrRps4</t>
  </si>
  <si>
    <t xml:space="preserve">CTGGTTGAAATTCGATTCAT</t>
  </si>
  <si>
    <t xml:space="preserve">TAGTCTGGTTGAAATTCGATTCAT</t>
  </si>
  <si>
    <t xml:space="preserve">AAACATGAATCGAATTTCAACCAG</t>
  </si>
  <si>
    <t xml:space="preserve">AGGGGCCGAGTAACTGAAGC</t>
  </si>
  <si>
    <t xml:space="preserve">TAGTAGGGGCCGAGTAACTGAAGC</t>
  </si>
  <si>
    <t xml:space="preserve">AAACGCTTCAGTTACTCGGCCCCT</t>
  </si>
  <si>
    <t xml:space="preserve">CGGTTTTGCGCTTCCTCTGC</t>
  </si>
  <si>
    <t xml:space="preserve">TAGTCGGTTTTGCGCTTCCTCTGC</t>
  </si>
  <si>
    <t xml:space="preserve">AAACGCAGAGGAAGCGCAAAACCG</t>
  </si>
  <si>
    <t xml:space="preserve">TGGTGGGGGCTGAGGAAACG</t>
  </si>
  <si>
    <t xml:space="preserve">TAGTTGGTGGGGGCTGAGGAAACG</t>
  </si>
  <si>
    <t xml:space="preserve">AAACCGTTTCCTCAGCCCCCACCA</t>
  </si>
  <si>
    <t xml:space="preserve">PSPPH_A0089</t>
  </si>
  <si>
    <t xml:space="preserve">GCTCGACCCCGTAAGACTGG</t>
  </si>
  <si>
    <t xml:space="preserve">TAGTGCTCGACCCCGTAAGACTGG</t>
  </si>
  <si>
    <t xml:space="preserve">AAACCCAGTCTTACGGGGTCGAGC</t>
  </si>
  <si>
    <t xml:space="preserve">ATTGGCAACACCTTGCAAAT</t>
  </si>
  <si>
    <t xml:space="preserve">TAGTATTGGCAACACCTTGCAAAT</t>
  </si>
  <si>
    <t xml:space="preserve">AAACATTTGCAAGGTGTTGCCAAT</t>
  </si>
  <si>
    <t xml:space="preserve">GTACCGGTAGTACGTCGACG</t>
  </si>
  <si>
    <t xml:space="preserve">TAGTGTACCGGTAGTACGTCGACG</t>
  </si>
  <si>
    <t xml:space="preserve">AAACCGTCGACGTACTACCGGTAC</t>
  </si>
  <si>
    <t xml:space="preserve">CACGCGCTGACTGCTGGCTG</t>
  </si>
  <si>
    <t xml:space="preserve">TAGTCACGCGCTGACTGCTGGCTG</t>
  </si>
  <si>
    <t xml:space="preserve">AAACCAGCCAGCAGTCAGCGCGTG</t>
  </si>
  <si>
    <t xml:space="preserve">PSPPH_A0090</t>
  </si>
  <si>
    <t xml:space="preserve">CGGACCTCTGGGGAGTACTT</t>
  </si>
  <si>
    <t xml:space="preserve">TAGTCGGACCTCTGGGGAGTACTT</t>
  </si>
  <si>
    <t xml:space="preserve">AAACAAGTACTCCCCAGAGGTCCG</t>
  </si>
  <si>
    <t xml:space="preserve">CCATCCTGATGGCCCGCTCA</t>
  </si>
  <si>
    <t xml:space="preserve">TAGTCCATCCTGATGGCCCGCTCA</t>
  </si>
  <si>
    <t xml:space="preserve">AAACTGAGCGGGCCATCAGGATGG</t>
  </si>
  <si>
    <t xml:space="preserve">ACTGCGACTCGTACTCAGGA</t>
  </si>
  <si>
    <t xml:space="preserve">TAGTACTGCGACTCGTACTCAGGA</t>
  </si>
  <si>
    <t xml:space="preserve">AAACTCCTGAGTACGAGTCGCAGT</t>
  </si>
  <si>
    <t xml:space="preserve">GGGGGCAATGGCACTGATGG</t>
  </si>
  <si>
    <t xml:space="preserve">TAGTGGGGGCAATGGCACTGATGG</t>
  </si>
  <si>
    <t xml:space="preserve">AAACCCATCAGTGCCATTGCCCCC</t>
  </si>
  <si>
    <t xml:space="preserve">PSPPH_A0091</t>
  </si>
  <si>
    <t xml:space="preserve">TAGTTTTCCATGGGTATAAC</t>
  </si>
  <si>
    <t xml:space="preserve">TAGTTAGTTTTCCATGGGTATAAC</t>
  </si>
  <si>
    <t xml:space="preserve">AAACGTTATACCCATGGAAAACTA</t>
  </si>
  <si>
    <t xml:space="preserve">GCTTTAGCGGATCGGACTTA</t>
  </si>
  <si>
    <t xml:space="preserve">TAGTGCTTTAGCGGATCGGACTTA</t>
  </si>
  <si>
    <t xml:space="preserve">AAACTAAGTCCGATCCGCTAAAGC</t>
  </si>
  <si>
    <t xml:space="preserve">AATATGCTCCCTGTAATCAT</t>
  </si>
  <si>
    <t xml:space="preserve">TAGTAATATGCTCCCTGTAATCAT</t>
  </si>
  <si>
    <t xml:space="preserve">AAACATGATTACAGGGAGCATATT</t>
  </si>
  <si>
    <t xml:space="preserve">AATATCCGATTATGACGACG</t>
  </si>
  <si>
    <t xml:space="preserve">TAGTAATATCCGATTATGACGACG</t>
  </si>
  <si>
    <t xml:space="preserve">AAACCGTCGTCATAATCGGATATT</t>
  </si>
  <si>
    <t xml:space="preserve">PSPPH_A0092</t>
  </si>
  <si>
    <t xml:space="preserve">TCCCTTGTATTGTGATTGCA</t>
  </si>
  <si>
    <t xml:space="preserve">TAGTTCCCTTGTATTGTGATTGCA</t>
  </si>
  <si>
    <t xml:space="preserve">AAACTGCAATCACAATACAAGGGA</t>
  </si>
  <si>
    <t xml:space="preserve">CCATATGTAAATTCCTTCTC</t>
  </si>
  <si>
    <t xml:space="preserve">TAGTCCATATGTAAATTCCTTCTC</t>
  </si>
  <si>
    <t xml:space="preserve">AAACGAGAAGGAATTTACATATGG</t>
  </si>
  <si>
    <t xml:space="preserve">TTATTTTTACGATAACCGAA</t>
  </si>
  <si>
    <t xml:space="preserve">TAGTTTATTTTTACGATAACCGAA</t>
  </si>
  <si>
    <t xml:space="preserve">AAACTTCGGTTATCGTAAAAATAA</t>
  </si>
  <si>
    <t xml:space="preserve">CGAATTTCAATTTCGTATGT</t>
  </si>
  <si>
    <t xml:space="preserve">TAGTCGAATTTCAATTTCGTATGT</t>
  </si>
  <si>
    <t xml:space="preserve">AAACACATACGAAATTGAAATTCG</t>
  </si>
  <si>
    <t xml:space="preserve">PSPPH_A0093</t>
  </si>
  <si>
    <t xml:space="preserve">CGTTAGCCTGCGGTGGTCGT</t>
  </si>
  <si>
    <t xml:space="preserve">TAGTCGTTAGCCTGCGGTGGTCGT</t>
  </si>
  <si>
    <t xml:space="preserve">AAACACGACCACCGCAGGCTAACG</t>
  </si>
  <si>
    <t xml:space="preserve">ACGGAACTCTGGCCAACTGC</t>
  </si>
  <si>
    <t xml:space="preserve">TAGTACGGAACTCTGGCCAACTGC</t>
  </si>
  <si>
    <t xml:space="preserve">AAACGCAGTTGGCCAGAGTTCCGT</t>
  </si>
  <si>
    <t xml:space="preserve">TGTGCGCCGGTTGTCCAGGT</t>
  </si>
  <si>
    <t xml:space="preserve">TAGTTGTGCGCCGGTTGTCCAGGT</t>
  </si>
  <si>
    <t xml:space="preserve">AAACACCTGGACAACCGGCGCACA</t>
  </si>
  <si>
    <t xml:space="preserve">TCAGGTCATTTTGATAAGCA</t>
  </si>
  <si>
    <t xml:space="preserve">TAGTTCAGGTCATTTTGATAAGCA</t>
  </si>
  <si>
    <t xml:space="preserve">AAACTGCTTATCAAAATGACCTGA</t>
  </si>
  <si>
    <t xml:space="preserve">PSPPH_A0094</t>
  </si>
  <si>
    <t xml:space="preserve">TGGCTCATCGAGAGGCAGGT</t>
  </si>
  <si>
    <t xml:space="preserve">TAGTTGGCTCATCGAGAGGCAGGT</t>
  </si>
  <si>
    <t xml:space="preserve">AAACACCTGCCTCTCGATGAGCCA</t>
  </si>
  <si>
    <t xml:space="preserve">CCGTTTTGCGTGACAACCAG</t>
  </si>
  <si>
    <t xml:space="preserve">TAGTCCGTTTTGCGTGACAACCAG</t>
  </si>
  <si>
    <t xml:space="preserve">AAACCTGGTTGTCACGCAAAACGG</t>
  </si>
  <si>
    <t xml:space="preserve">AAGACTCCACCACGTAGGCC</t>
  </si>
  <si>
    <t xml:space="preserve">TAGTAAGACTCCACCACGTAGGCC</t>
  </si>
  <si>
    <t xml:space="preserve">AAACGGCCTACGTGGTGGAGTCTT</t>
  </si>
  <si>
    <t xml:space="preserve">CCAAGGCGATCGACTCATCG</t>
  </si>
  <si>
    <t xml:space="preserve">TAGTCCAAGGCGATCGACTCATCG</t>
  </si>
  <si>
    <t xml:space="preserve">AAACCGATGAGTCGATCGCCTTGG</t>
  </si>
  <si>
    <t xml:space="preserve">PSPPH_A0095</t>
  </si>
  <si>
    <t xml:space="preserve">AATGCTTTGCTGGGCAACCT</t>
  </si>
  <si>
    <t xml:space="preserve">TAGTAATGCTTTGCTGGGCAACCT</t>
  </si>
  <si>
    <t xml:space="preserve">AAACAGGTTGCCCAGCAAAGCATT</t>
  </si>
  <si>
    <t xml:space="preserve">AGAATCCCTGAGTGATAGCC</t>
  </si>
  <si>
    <t xml:space="preserve">TAGTAGAATCCCTGAGTGATAGCC</t>
  </si>
  <si>
    <t xml:space="preserve">AAACGGCTATCACTCAGGGATTCT</t>
  </si>
  <si>
    <t xml:space="preserve">GTCCTGGATGACATCGATCA</t>
  </si>
  <si>
    <t xml:space="preserve">TAGTGTCCTGGATGACATCGATCA</t>
  </si>
  <si>
    <t xml:space="preserve">AAACTGATCGATGTCATCCAGGAC</t>
  </si>
  <si>
    <t xml:space="preserve">GACCGGGTAGCCCAACGGGG</t>
  </si>
  <si>
    <t xml:space="preserve">TAGTGACCGGGTAGCCCAACGGGG</t>
  </si>
  <si>
    <t xml:space="preserve">AAACCCCCGTTGGGCTACCCGGTC</t>
  </si>
  <si>
    <t xml:space="preserve">PSPPH_A0100</t>
  </si>
  <si>
    <t xml:space="preserve">GTCGGGATGCGCAGTGATAC</t>
  </si>
  <si>
    <t xml:space="preserve">TAGTGTCGGGATGCGCAGTGATAC</t>
  </si>
  <si>
    <t xml:space="preserve">AAACGTATCACTGCGCATCCCGAC</t>
  </si>
  <si>
    <t xml:space="preserve">PSPPH_A0101</t>
  </si>
  <si>
    <t xml:space="preserve">GCGCAGCCTGTTGTGCGCTG</t>
  </si>
  <si>
    <t xml:space="preserve">TAGTGCGCAGCCTGTTGTGCGCTG</t>
  </si>
  <si>
    <t xml:space="preserve">AAACCAGCGCACAACAGGCTGCGC</t>
  </si>
  <si>
    <t xml:space="preserve">CAGACGCAACGCCTAATGCG</t>
  </si>
  <si>
    <t xml:space="preserve">TAGTCAGACGCAACGCCTAATGCG</t>
  </si>
  <si>
    <t xml:space="preserve">AAACCGCATTAGGCGTTGCGTCTG</t>
  </si>
  <si>
    <t xml:space="preserve">TGGTCTAGAGCGATGGGTGC</t>
  </si>
  <si>
    <t xml:space="preserve">TAGTTGGTCTAGAGCGATGGGTGC</t>
  </si>
  <si>
    <t xml:space="preserve">AAACGCACCCATCGCTCTAGACCA</t>
  </si>
  <si>
    <t xml:space="preserve">GCAAGAGCCTGATCGAGCCC</t>
  </si>
  <si>
    <t xml:space="preserve">TAGTGCAAGAGCCTGATCGAGCCC</t>
  </si>
  <si>
    <t xml:space="preserve">AAACGGGCTCGATCAGGCTCTTGC</t>
  </si>
  <si>
    <t xml:space="preserve">PSPPH_A0102</t>
  </si>
  <si>
    <t xml:space="preserve">ATCCACCCGGAACGTAAATG</t>
  </si>
  <si>
    <t xml:space="preserve">TAGTATCCACCCGGAACGTAAATG</t>
  </si>
  <si>
    <t xml:space="preserve">AAACCATTTACGTTCCGGGTGGAT</t>
  </si>
  <si>
    <t xml:space="preserve">GCTGCGGTCGCGGGCCTTGG</t>
  </si>
  <si>
    <t xml:space="preserve">TAGTGCTGCGGTCGCGGGCCTTGG</t>
  </si>
  <si>
    <t xml:space="preserve">AAACCCAAGGCCCGCGACCGCAGC</t>
  </si>
  <si>
    <t xml:space="preserve">ACTCGCGCATGAAGTCCCGC</t>
  </si>
  <si>
    <t xml:space="preserve">TAGTACTCGCGCATGAAGTCCCGC</t>
  </si>
  <si>
    <t xml:space="preserve">AAACGCGGGACTTCATGCGCGAGT</t>
  </si>
  <si>
    <t xml:space="preserve">GCGGAACCAAGCCTCATGTT</t>
  </si>
  <si>
    <t xml:space="preserve">TAGTGCGGAACCAAGCCTCATGTT</t>
  </si>
  <si>
    <t xml:space="preserve">AAACAACATGAGGCTTGGTTCCGC</t>
  </si>
  <si>
    <t xml:space="preserve">PSPPH_A0103</t>
  </si>
  <si>
    <t xml:space="preserve">TCACGGTCTTGTACTGCCTC</t>
  </si>
  <si>
    <t xml:space="preserve">TAGTTCACGGTCTTGTACTGCCTC</t>
  </si>
  <si>
    <t xml:space="preserve">AAACGAGGCAGTACAAGACCGTGA</t>
  </si>
  <si>
    <t xml:space="preserve">TAGTGCCGCACTTGGATTGT</t>
  </si>
  <si>
    <t xml:space="preserve">TAGTTAGTGCCGCACTTGGATTGT</t>
  </si>
  <si>
    <t xml:space="preserve">AAACACAATCCAAGTGCGGCACTA</t>
  </si>
  <si>
    <t xml:space="preserve">CTCTTCAAATAACTCGTCAA</t>
  </si>
  <si>
    <t xml:space="preserve">TAGTCTCTTCAAATAACTCGTCAA</t>
  </si>
  <si>
    <t xml:space="preserve">AAACTTGACGAGTTATTTGAAGAG</t>
  </si>
  <si>
    <t xml:space="preserve">TGCCTGGATGATCGACCAGG</t>
  </si>
  <si>
    <t xml:space="preserve">TAGTTGCCTGGATGATCGACCAGG</t>
  </si>
  <si>
    <t xml:space="preserve">AAACCCTGGTCGATCATCCAGGCA</t>
  </si>
  <si>
    <t xml:space="preserve">PSPPH_A0104</t>
  </si>
  <si>
    <t xml:space="preserve">GTAGCCTTTGTGATACTGCG</t>
  </si>
  <si>
    <t xml:space="preserve">TAGTGTAGCCTTTGTGATACTGCG</t>
  </si>
  <si>
    <t xml:space="preserve">AAACCGCAGTATCACAAAGGCTAC</t>
  </si>
  <si>
    <t xml:space="preserve">GCTCATTGCCGTTCGTGACC</t>
  </si>
  <si>
    <t xml:space="preserve">TAGTGCTCATTGCCGTTCGTGACC</t>
  </si>
  <si>
    <t xml:space="preserve">AAACGGTCACGAACGGCAATGAGC</t>
  </si>
  <si>
    <t xml:space="preserve">GGCAGGTGTCCGCACTGGGG</t>
  </si>
  <si>
    <t xml:space="preserve">TAGTGGCAGGTGTCCGCACTGGGG</t>
  </si>
  <si>
    <t xml:space="preserve">AAACCCCCAGTGCGGACACCTGCC</t>
  </si>
  <si>
    <t xml:space="preserve">GCAACGCACCTCAGCAAGCT</t>
  </si>
  <si>
    <t xml:space="preserve">TAGTGCAACGCACCTCAGCAAGCT</t>
  </si>
  <si>
    <t xml:space="preserve">AAACAGCTTGCTGAGGTGCGTTGC</t>
  </si>
  <si>
    <t xml:space="preserve">PSPPH_A0105</t>
  </si>
  <si>
    <t xml:space="preserve">CCTCTGAAACGCTTAGGACT</t>
  </si>
  <si>
    <t xml:space="preserve">TAGTCCTCTGAAACGCTTAGGACT</t>
  </si>
  <si>
    <t xml:space="preserve">AAACAGTCCTAAGCGTTTCAGAGG</t>
  </si>
  <si>
    <t xml:space="preserve">CGACATCCGGGGCTTCAATC</t>
  </si>
  <si>
    <t xml:space="preserve">TAGTCGACATCCGGGGCTTCAATC</t>
  </si>
  <si>
    <t xml:space="preserve">AAACGATTGAAGCCCCGGATGTCG</t>
  </si>
  <si>
    <t xml:space="preserve">GTTACCAACGTTTCTGCTCT</t>
  </si>
  <si>
    <t xml:space="preserve">TAGTGTTACCAACGTTTCTGCTCT</t>
  </si>
  <si>
    <t xml:space="preserve">AAACAGAGCAGAAACGTTGGTAAC</t>
  </si>
  <si>
    <t xml:space="preserve">TTATGAATAATAACAGGACC</t>
  </si>
  <si>
    <t xml:space="preserve">TAGTTTATGAATAATAACAGGACC</t>
  </si>
  <si>
    <t xml:space="preserve">AAACGGTCCTGTTATTATTCATAA</t>
  </si>
  <si>
    <t xml:space="preserve">PSPPH_A0106</t>
  </si>
  <si>
    <t xml:space="preserve">TTTAGCATCACGTGCTTTAT</t>
  </si>
  <si>
    <t xml:space="preserve">TAGTTTTAGCATCACGTGCTTTAT</t>
  </si>
  <si>
    <t xml:space="preserve">AAACATAAAGCACGTGATGCTAAA</t>
  </si>
  <si>
    <t xml:space="preserve">TCAACTTGCCAACAGCGGGC</t>
  </si>
  <si>
    <t xml:space="preserve">TAGTTCAACTTGCCAACAGCGGGC</t>
  </si>
  <si>
    <t xml:space="preserve">AAACGCCCGCTGTTGGCAAGTTGA</t>
  </si>
  <si>
    <t xml:space="preserve">CTGCGTTAGCTCCTTGCTCA</t>
  </si>
  <si>
    <t xml:space="preserve">TAGTCTGCGTTAGCTCCTTGCTCA</t>
  </si>
  <si>
    <t xml:space="preserve">AAACTGAGCAAGGAGCTAACGCAG</t>
  </si>
  <si>
    <t xml:space="preserve">GTGGTTGTGAAAAAGAATCG</t>
  </si>
  <si>
    <t xml:space="preserve">TAGTGTGGTTGTGAAAAAGAATCG</t>
  </si>
  <si>
    <t xml:space="preserve">AAACCGATTCTTTTTCACAACCAC</t>
  </si>
  <si>
    <t xml:space="preserve">PSPPH_A0107</t>
  </si>
  <si>
    <t xml:space="preserve">CACAGCTGTCCCCACCTGAA</t>
  </si>
  <si>
    <t xml:space="preserve">TAGTCACAGCTGTCCCCACCTGAA</t>
  </si>
  <si>
    <t xml:space="preserve">AAACTTCAGGTGGGGACAGCTGTG</t>
  </si>
  <si>
    <t xml:space="preserve">GATAACTGAAACCCTCGGTC</t>
  </si>
  <si>
    <t xml:space="preserve">TAGTGATAACTGAAACCCTCGGTC</t>
  </si>
  <si>
    <t xml:space="preserve">AAACGACCGAGGGTTTCAGTTATC</t>
  </si>
  <si>
    <t xml:space="preserve">TAATAGTACGTCGGTAGAAG</t>
  </si>
  <si>
    <t xml:space="preserve">TAGTTAATAGTACGTCGGTAGAAG</t>
  </si>
  <si>
    <t xml:space="preserve">AAACCTTCTACCGACGTACTATTA</t>
  </si>
  <si>
    <t xml:space="preserve">CGAACATGGTGCGATGCAAG</t>
  </si>
  <si>
    <t xml:space="preserve">TAGTCGAACATGGTGCGATGCAAG</t>
  </si>
  <si>
    <t xml:space="preserve">AAACCTTGCATCGCACCATGTTCG</t>
  </si>
  <si>
    <t xml:space="preserve">PSPPH_A0108</t>
  </si>
  <si>
    <t xml:space="preserve">bioA2</t>
  </si>
  <si>
    <t xml:space="preserve">TAGGGAGGCCAATACAGTCG</t>
  </si>
  <si>
    <t xml:space="preserve">TAGTTAGGGAGGCCAATACAGTCG</t>
  </si>
  <si>
    <t xml:space="preserve">AAACCGACTGTATTGGCCTCCCTA</t>
  </si>
  <si>
    <t xml:space="preserve">CTGCAATCATCCATTTTCAT</t>
  </si>
  <si>
    <t xml:space="preserve">TAGTCTGCAATCATCCATTTTCAT</t>
  </si>
  <si>
    <t xml:space="preserve">AAACATGAAAATGGATGATTGCAG</t>
  </si>
  <si>
    <t xml:space="preserve">CCCTCACCACGAACAATGCT</t>
  </si>
  <si>
    <t xml:space="preserve">TAGTCCCTCACCACGAACAATGCT</t>
  </si>
  <si>
    <t xml:space="preserve">AAACAGCATTGTTCGTGGTGAGGG</t>
  </si>
  <si>
    <t xml:space="preserve">GCCCGAAGTGCGAGTGTCCG</t>
  </si>
  <si>
    <t xml:space="preserve">TAGTGCCCGAAGTGCGAGTGTCCG</t>
  </si>
  <si>
    <t xml:space="preserve">AAACCGGACACTCGCACTTCGGGC</t>
  </si>
  <si>
    <t xml:space="preserve">PSPPH_A0109</t>
  </si>
  <si>
    <t xml:space="preserve">GTATCCCTGACGCCGAGCAT</t>
  </si>
  <si>
    <t xml:space="preserve">TAGTGTATCCCTGACGCCGAGCAT</t>
  </si>
  <si>
    <t xml:space="preserve">AAACATGCTCGGCGTCAGGGATAC</t>
  </si>
  <si>
    <t xml:space="preserve">GAGTTCAAACAGTTCAGGGG</t>
  </si>
  <si>
    <t xml:space="preserve">TAGTGAGTTCAAACAGTTCAGGGG</t>
  </si>
  <si>
    <t xml:space="preserve">AAACCCCCTGAACTGTTTGAACTC</t>
  </si>
  <si>
    <t xml:space="preserve">AGCAGATGTGTTCCTGAACG</t>
  </si>
  <si>
    <t xml:space="preserve">TAGTAGCAGATGTGTTCCTGAACG</t>
  </si>
  <si>
    <t xml:space="preserve">AAACCGTTCAGGAACACATCTGCT</t>
  </si>
  <si>
    <t xml:space="preserve">TCACCGTGGACCTCAATACA</t>
  </si>
  <si>
    <t xml:space="preserve">TAGTTCACCGTGGACCTCAATACA</t>
  </si>
  <si>
    <t xml:space="preserve">AAACTGTATTGAGGTCCACGGTGA</t>
  </si>
  <si>
    <t xml:space="preserve">PSPPH_A0110</t>
  </si>
  <si>
    <t xml:space="preserve">TTCGCTTTCGTAGGCTCCAA</t>
  </si>
  <si>
    <t xml:space="preserve">TAGTTTCGCTTTCGTAGGCTCCAA</t>
  </si>
  <si>
    <t xml:space="preserve">AAACTTGGAGCCTACGAAAGCGAA</t>
  </si>
  <si>
    <t xml:space="preserve">TTAGTTTAGAAGCGCTTGCA</t>
  </si>
  <si>
    <t xml:space="preserve">TAGTTTAGTTTAGAAGCGCTTGCA</t>
  </si>
  <si>
    <t xml:space="preserve">AAACTGCAAGCGCTTCTAAACTAA</t>
  </si>
  <si>
    <t xml:space="preserve">GCATTGACCATCCATTGAAT</t>
  </si>
  <si>
    <t xml:space="preserve">TAGTGCATTGACCATCCATTGAAT</t>
  </si>
  <si>
    <t xml:space="preserve">AAACATTCAATGGATGGTCAATGC</t>
  </si>
  <si>
    <t xml:space="preserve">AGCCGTAAAGTGCGGCCATG</t>
  </si>
  <si>
    <t xml:space="preserve">TAGTAGCCGTAAAGTGCGGCCATG</t>
  </si>
  <si>
    <t xml:space="preserve">AAACCATGGCCGCACTTTACGGCT</t>
  </si>
  <si>
    <t xml:space="preserve">PSPPH_A0111</t>
  </si>
  <si>
    <t xml:space="preserve">TGTCAGCTGAGCCGGTGACG</t>
  </si>
  <si>
    <t xml:space="preserve">TAGTTGTCAGCTGAGCCGGTGACG</t>
  </si>
  <si>
    <t xml:space="preserve">AAACCGTCACCGGCTCAGCTGACA</t>
  </si>
  <si>
    <t xml:space="preserve">TCTGAAATAAAGTCCCTGCT</t>
  </si>
  <si>
    <t xml:space="preserve">TAGTTCTGAAATAAAGTCCCTGCT</t>
  </si>
  <si>
    <t xml:space="preserve">AAACAGCAGGGACTTTATTTCAGA</t>
  </si>
  <si>
    <t xml:space="preserve">PSPPH_A0112</t>
  </si>
  <si>
    <t xml:space="preserve">TTTGTGGCGTTTCACCATGT</t>
  </si>
  <si>
    <t xml:space="preserve">TAGTTTTGTGGCGTTTCACCATGT</t>
  </si>
  <si>
    <t xml:space="preserve">AAACACATGGTGAAACGCCACAAA</t>
  </si>
  <si>
    <t xml:space="preserve">ATCCCTACGTTATCCAGCTC</t>
  </si>
  <si>
    <t xml:space="preserve">TAGTATCCCTACGTTATCCAGCTC</t>
  </si>
  <si>
    <t xml:space="preserve">AAACGAGCTGGATAACGTAGGGAT</t>
  </si>
  <si>
    <t xml:space="preserve">CTTCTCATTCTTAAGCGTTC</t>
  </si>
  <si>
    <t xml:space="preserve">TAGTCTTCTCATTCTTAAGCGTTC</t>
  </si>
  <si>
    <t xml:space="preserve">AAACGAACGCTTAAGAATGAGAAG</t>
  </si>
  <si>
    <t xml:space="preserve">GTCAACTGTCAAAAGATTTG</t>
  </si>
  <si>
    <t xml:space="preserve">TAGTGTCAACTGTCAAAAGATTTG</t>
  </si>
  <si>
    <t xml:space="preserve">AAACCAAATCTTTTGACAGTTGAC</t>
  </si>
  <si>
    <t xml:space="preserve">PSPPH_A0113</t>
  </si>
  <si>
    <t xml:space="preserve">avrD1</t>
  </si>
  <si>
    <t xml:space="preserve">GCTAAAGCTAAGGTCTTGCA</t>
  </si>
  <si>
    <t xml:space="preserve">TAGTGCTAAAGCTAAGGTCTTGCA</t>
  </si>
  <si>
    <t xml:space="preserve">AAACTGCAAGACCTTAGCTTTAGC</t>
  </si>
  <si>
    <t xml:space="preserve">CCAAAGAAACGATCTTTAGC</t>
  </si>
  <si>
    <t xml:space="preserve">TAGTCCAAAGAAACGATCTTTAGC</t>
  </si>
  <si>
    <t xml:space="preserve">AAACGCTAAAGATCGTTTCTTTGG</t>
  </si>
  <si>
    <t xml:space="preserve">TCTTTTTTGACCAGTTGGCT</t>
  </si>
  <si>
    <t xml:space="preserve">TAGTTCTTTTTTGACCAGTTGGCT</t>
  </si>
  <si>
    <t xml:space="preserve">AAACAGCCAACTGGTCAAAAAAGA</t>
  </si>
  <si>
    <t xml:space="preserve">GCGTCAATGGAGCTCAAGTG</t>
  </si>
  <si>
    <t xml:space="preserve">TAGTGCGTCAATGGAGCTCAAGTG</t>
  </si>
  <si>
    <t xml:space="preserve">AAACCACTTGAGCTCCATTGACGC</t>
  </si>
  <si>
    <t xml:space="preserve">PSPPH_A0114</t>
  </si>
  <si>
    <t xml:space="preserve">GGAAAAGGTACGGCGTTGTT</t>
  </si>
  <si>
    <t xml:space="preserve">TAGTGGAAAAGGTACGGCGTTGTT</t>
  </si>
  <si>
    <t xml:space="preserve">AAACAACAACGCCGTACCTTTTCC</t>
  </si>
  <si>
    <t xml:space="preserve">GGCCTCGCGTTTGAATTCAG</t>
  </si>
  <si>
    <t xml:space="preserve">TAGTGGCCTCGCGTTTGAATTCAG</t>
  </si>
  <si>
    <t xml:space="preserve">AAACCTGAATTCAAACGCGAGGCC</t>
  </si>
  <si>
    <t xml:space="preserve">TTGATCGAGCACGAGGCCTG</t>
  </si>
  <si>
    <t xml:space="preserve">TAGTTTGATCGAGCACGAGGCCTG</t>
  </si>
  <si>
    <t xml:space="preserve">AAACCAGGCCTCGTGCTCGATCAA</t>
  </si>
  <si>
    <t xml:space="preserve">GCGAGCGAGAGGCCTCAATG</t>
  </si>
  <si>
    <t xml:space="preserve">TAGTGCGAGCGAGAGGCCTCAATG</t>
  </si>
  <si>
    <t xml:space="preserve">AAACCATTGAGGCCTCTCGCTCGC</t>
  </si>
  <si>
    <t xml:space="preserve">PSPPH_A0115</t>
  </si>
  <si>
    <t xml:space="preserve">AACTGAGCTGATGAAGTCAT</t>
  </si>
  <si>
    <t xml:space="preserve">TAGTAACTGAGCTGATGAAGTCAT</t>
  </si>
  <si>
    <t xml:space="preserve">AAACATGACTTCATCAGCTCAGTT</t>
  </si>
  <si>
    <t xml:space="preserve">GGGGGGCATTTTTACAGTGG</t>
  </si>
  <si>
    <t xml:space="preserve">TAGTGGGGGGCATTTTTACAGTGG</t>
  </si>
  <si>
    <t xml:space="preserve">AAACCCACTGTAAAAATGCCCCCC</t>
  </si>
  <si>
    <t xml:space="preserve">PSPPH_A0116</t>
  </si>
  <si>
    <t xml:space="preserve">AGAATGTCGCGCGTGCCATC</t>
  </si>
  <si>
    <t xml:space="preserve">TAGTAGAATGTCGCGCGTGCCATC</t>
  </si>
  <si>
    <t xml:space="preserve">AAACGATGGCACGCGCGACATTCT</t>
  </si>
  <si>
    <t xml:space="preserve">CATCCAAAACTTGGCACCCT</t>
  </si>
  <si>
    <t xml:space="preserve">TAGTCATCCAAAACTTGGCACCCT</t>
  </si>
  <si>
    <t xml:space="preserve">AAACAGGGTGCCAAGTTTTGGATG</t>
  </si>
  <si>
    <t xml:space="preserve">PSPPH_A0117</t>
  </si>
  <si>
    <t xml:space="preserve">GTGTGGCCAGGTGATGACGG</t>
  </si>
  <si>
    <t xml:space="preserve">TAGTGTGTGGCCAGGTGATGACGG</t>
  </si>
  <si>
    <t xml:space="preserve">AAACCCGTCATCACCTGGCCACAC</t>
  </si>
  <si>
    <t xml:space="preserve">GAGTTGAACGCCACAGTACG</t>
  </si>
  <si>
    <t xml:space="preserve">TAGTGAGTTGAACGCCACAGTACG</t>
  </si>
  <si>
    <t xml:space="preserve">AAACCGTACTGTGGCGTTCAACTC</t>
  </si>
  <si>
    <t xml:space="preserve">ACGGGTCTGCTTGCGCTTGC</t>
  </si>
  <si>
    <t xml:space="preserve">TAGTACGGGTCTGCTTGCGCTTGC</t>
  </si>
  <si>
    <t xml:space="preserve">AAACGCAAGCGCAAGCAGACCCGT</t>
  </si>
  <si>
    <t xml:space="preserve">CCACCTGATCCATCTCGATC</t>
  </si>
  <si>
    <t xml:space="preserve">TAGTCCACCTGATCCATCTCGATC</t>
  </si>
  <si>
    <t xml:space="preserve">AAACGATCGAGATGGATCAGGTGG</t>
  </si>
  <si>
    <t xml:space="preserve">PSPPH_A0120</t>
  </si>
  <si>
    <t xml:space="preserve">avrB2</t>
  </si>
  <si>
    <t xml:space="preserve">AAACGTGGCTTCTACTAGGC</t>
  </si>
  <si>
    <t xml:space="preserve">TAGTAAACGTGGCTTCTACTAGGC</t>
  </si>
  <si>
    <t xml:space="preserve">AAACGCCTAGTAGAAGCCACGTTT</t>
  </si>
  <si>
    <t xml:space="preserve">TGTCCTGACTGGACTGGCTG</t>
  </si>
  <si>
    <t xml:space="preserve">TAGTTGTCCTGACTGGACTGGCTG</t>
  </si>
  <si>
    <t xml:space="preserve">AAACCAGCCAGTCCAGTCAGGACA</t>
  </si>
  <si>
    <t xml:space="preserve">CATCTAGTGATGCATCCGAG</t>
  </si>
  <si>
    <t xml:space="preserve">TAGTCATCTAGTGATGCATCCGAG</t>
  </si>
  <si>
    <t xml:space="preserve">AAACCTCGGATGCATCACTAGATG</t>
  </si>
  <si>
    <t xml:space="preserve">AATGCTTCGCAGGACCGCGC</t>
  </si>
  <si>
    <t xml:space="preserve">TAGTAATGCTTCGCAGGACCGCGC</t>
  </si>
  <si>
    <t xml:space="preserve">AAACGCGCGGTCCTGCGAAGCATT</t>
  </si>
  <si>
    <t xml:space="preserve">PSPPH_A0122</t>
  </si>
  <si>
    <t xml:space="preserve">hopAW1</t>
  </si>
  <si>
    <t xml:space="preserve">TGAGTAGTATGTTCGACCGC</t>
  </si>
  <si>
    <t xml:space="preserve">TAGTTGAGTAGTATGTTCGACCGC</t>
  </si>
  <si>
    <t xml:space="preserve">AAACGCGGTCGAACATACTACTCA</t>
  </si>
  <si>
    <t xml:space="preserve">GATGCGTGAAGCTGTGGAGC</t>
  </si>
  <si>
    <t xml:space="preserve">TAGTGATGCGTGAAGCTGTGGAGC</t>
  </si>
  <si>
    <t xml:space="preserve">AAACGCTCCACAGCTTCACGCATC</t>
  </si>
  <si>
    <t xml:space="preserve">AGCTCATCTGCTTGCTTGAA</t>
  </si>
  <si>
    <t xml:space="preserve">TAGTAGCTCATCTGCTTGCTTGAA</t>
  </si>
  <si>
    <t xml:space="preserve">AAACTTCAAGCAAGCAGATGAGCT</t>
  </si>
  <si>
    <t xml:space="preserve">CGCTGCGGTTAACACAACGC</t>
  </si>
  <si>
    <t xml:space="preserve">TAGTCGCTGCGGTTAACACAACGC</t>
  </si>
  <si>
    <t xml:space="preserve">AAACGCGTTGTGTTAACCGCAGCG</t>
  </si>
  <si>
    <t xml:space="preserve">PSPPH_A0123</t>
  </si>
  <si>
    <t xml:space="preserve">GAGCTTGCATTCAGCCGCAT</t>
  </si>
  <si>
    <t xml:space="preserve">TAGTGAGCTTGCATTCAGCCGCAT</t>
  </si>
  <si>
    <t xml:space="preserve">AAACATGCGGCTGAATGCAAGCTC</t>
  </si>
  <si>
    <t xml:space="preserve">CTGCGACCGACAGAGCCGTC</t>
  </si>
  <si>
    <t xml:space="preserve">TAGTCTGCGACCGACAGAGCCGTC</t>
  </si>
  <si>
    <t xml:space="preserve">AAACGACGGCTCTGTCGGTCGCAG</t>
  </si>
  <si>
    <t xml:space="preserve">TAGGTTGGCGTTAGGTGTAG</t>
  </si>
  <si>
    <t xml:space="preserve">TAGTTAGGTTGGCGTTAGGTGTAG</t>
  </si>
  <si>
    <t xml:space="preserve">AAACCTACACCTAACGCCAACCTA</t>
  </si>
  <si>
    <t xml:space="preserve">PSPPH_A0125</t>
  </si>
  <si>
    <t xml:space="preserve">CAGAGGGTGCCTTTTTTAGG</t>
  </si>
  <si>
    <t xml:space="preserve">TAGTCAGAGGGTGCCTTTTTTAGG</t>
  </si>
  <si>
    <t xml:space="preserve">AAACCCTAAAAAAGGCACCCTCTG</t>
  </si>
  <si>
    <t xml:space="preserve">CCTGGTAAGCCACACCGCTG</t>
  </si>
  <si>
    <t xml:space="preserve">TAGTCCTGGTAAGCCACACCGCTG</t>
  </si>
  <si>
    <t xml:space="preserve">AAACCAGCGGTGTGGCTTACCAGG</t>
  </si>
  <si>
    <t xml:space="preserve">CGTCTTCACCGTAAACGCAG</t>
  </si>
  <si>
    <t xml:space="preserve">TAGTCGTCTTCACCGTAAACGCAG</t>
  </si>
  <si>
    <t xml:space="preserve">AAACCTGCGTTTACGGTGAAGACG</t>
  </si>
  <si>
    <t xml:space="preserve">CGGGTCAGCCTTCGGTGTCA</t>
  </si>
  <si>
    <t xml:space="preserve">TAGTCGGGTCAGCCTTCGGTGTCA</t>
  </si>
  <si>
    <t xml:space="preserve">AAACTGACACCGAAGGCTGACCCG</t>
  </si>
  <si>
    <t xml:space="preserve">PSPPH_A0126</t>
  </si>
  <si>
    <t xml:space="preserve">GCTCTCTTGAAAAACGCTGA</t>
  </si>
  <si>
    <t xml:space="preserve">TAGTGCTCTCTTGAAAAACGCTGA</t>
  </si>
  <si>
    <t xml:space="preserve">AAACTCAGCGTTTTTCAAGAGAGC</t>
  </si>
  <si>
    <t xml:space="preserve">TCCGATCACGGATTTCGCCT</t>
  </si>
  <si>
    <t xml:space="preserve">TAGTTCCGATCACGGATTTCGCCT</t>
  </si>
  <si>
    <t xml:space="preserve">AAACAGGCGAAATCCGTGATCGGA</t>
  </si>
  <si>
    <t xml:space="preserve">ACGGTAATGTTGACCCTCAG</t>
  </si>
  <si>
    <t xml:space="preserve">TAGTACGGTAATGTTGACCCTCAG</t>
  </si>
  <si>
    <t xml:space="preserve">AAACCTGAGGGTCAACATTACCGT</t>
  </si>
  <si>
    <t xml:space="preserve">TTAAAATCCTTTTTCTGAGG</t>
  </si>
  <si>
    <t xml:space="preserve">TAGTTTAAAATCCTTTTTCTGAGG</t>
  </si>
  <si>
    <t xml:space="preserve">AAACCCTCAGAAAAAGGATTTTAA</t>
  </si>
  <si>
    <t xml:space="preserve">PSPPH_A0127</t>
  </si>
  <si>
    <t xml:space="preserve">hopAB1</t>
  </si>
  <si>
    <t xml:space="preserve">GGTCCTGCTCCGTTGATACC</t>
  </si>
  <si>
    <t xml:space="preserve">TAGTGGTCCTGCTCCGTTGATACC</t>
  </si>
  <si>
    <t xml:space="preserve">AAACGGTATCAACGGAGCAGGACC</t>
  </si>
  <si>
    <t xml:space="preserve">CACTGCCAAAAAAAATTTGA</t>
  </si>
  <si>
    <t xml:space="preserve">TAGTCACTGCCAAAAAAAATTTGA</t>
  </si>
  <si>
    <t xml:space="preserve">AAACTCAAATTTTTTTTGGCAGTG</t>
  </si>
  <si>
    <t xml:space="preserve">TCATGTTCGCGCTCAGTTAC</t>
  </si>
  <si>
    <t xml:space="preserve">TAGTTCATGTTCGCGCTCAGTTAC</t>
  </si>
  <si>
    <t xml:space="preserve">AAACGTAACTGAGCGCGAACATGA</t>
  </si>
  <si>
    <t xml:space="preserve">CGCCGAGCTGGCACTGCGAC</t>
  </si>
  <si>
    <t xml:space="preserve">TAGTCGCCGAGCTGGCACTGCGAC</t>
  </si>
  <si>
    <t xml:space="preserve">AAACGTCGCAGTGCCAGCTCGGCG</t>
  </si>
  <si>
    <t xml:space="preserve">PSPPH_A0129</t>
  </si>
  <si>
    <t xml:space="preserve">GGTACCTGCGGACTGTTCGA</t>
  </si>
  <si>
    <t xml:space="preserve">TAGTGGTACCTGCGGACTGTTCGA</t>
  </si>
  <si>
    <t xml:space="preserve">AAACTCGAACAGTCCGCAGGTACC</t>
  </si>
  <si>
    <t xml:space="preserve">GCTGGAGCCGTCGAAGTAGG</t>
  </si>
  <si>
    <t xml:space="preserve">TAGTGCTGGAGCCGTCGAAGTAGG</t>
  </si>
  <si>
    <t xml:space="preserve">AAACCCTACTTCGACGGCTCCAGC</t>
  </si>
  <si>
    <t xml:space="preserve">TAGCAAAAGCATTTCACGCC</t>
  </si>
  <si>
    <t xml:space="preserve">TAGTTAGCAAAAGCATTTCACGCC</t>
  </si>
  <si>
    <t xml:space="preserve">AAACGGCGTGAAATGCTTTTGCTA</t>
  </si>
  <si>
    <t xml:space="preserve">GGTTCGGCGCGACAACTCCG</t>
  </si>
  <si>
    <t xml:space="preserve">TAGTGGTTCGGCGCGACAACTCCG</t>
  </si>
  <si>
    <t xml:space="preserve">AAACCGGAGTTGTCGCGCCGAACC</t>
  </si>
  <si>
    <t xml:space="preserve">PSPPH_A0130</t>
  </si>
  <si>
    <t xml:space="preserve">CCTCTACCAATACCTTCGCA</t>
  </si>
  <si>
    <t xml:space="preserve">TAGTCCTCTACCAATACCTTCGCA</t>
  </si>
  <si>
    <t xml:space="preserve">AAACTGCGAAGGTATTGGTAGAGG</t>
  </si>
  <si>
    <t xml:space="preserve">TCGTGAGTTCGGTATAAATA</t>
  </si>
  <si>
    <t xml:space="preserve">TAGTTCGTGAGTTCGGTATAAATA</t>
  </si>
  <si>
    <t xml:space="preserve">AAACTATTTATACCGAACTCACGA</t>
  </si>
  <si>
    <t xml:space="preserve">CCGGGAACCGAAAGCCCAGT</t>
  </si>
  <si>
    <t xml:space="preserve">TAGTCCGGGAACCGAAAGCCCAGT</t>
  </si>
  <si>
    <t xml:space="preserve">AAACACTGGGCTTTCGGTTCCCGG</t>
  </si>
  <si>
    <t xml:space="preserve">GCCGTCGTAGTCCGGCAACT</t>
  </si>
  <si>
    <t xml:space="preserve">TAGTGCCGTCGTAGTCCGGCAACT</t>
  </si>
  <si>
    <t xml:space="preserve">AAACAGTTGCCGGACTACGACGGC</t>
  </si>
  <si>
    <t xml:space="preserve">PSPPH_A0133</t>
  </si>
  <si>
    <t xml:space="preserve">PSPPH_A0134</t>
  </si>
  <si>
    <t xml:space="preserve">CTCAGTGGCGCGTCCAGCCA</t>
  </si>
  <si>
    <t xml:space="preserve">TAGTCTCAGTGGCGCGTCCAGCCA</t>
  </si>
  <si>
    <t xml:space="preserve">AAACTGGCTGGACGCGCCACTGAG</t>
  </si>
  <si>
    <t xml:space="preserve">GAGGATCCGCTCATCCAACA</t>
  </si>
  <si>
    <t xml:space="preserve">TAGTGAGGATCCGCTCATCCAACA</t>
  </si>
  <si>
    <t xml:space="preserve">AAACTGTTGGATGAGCGGATCCTC</t>
  </si>
  <si>
    <t xml:space="preserve">GCCGTGGTTCTTGGCGGTCA</t>
  </si>
  <si>
    <t xml:space="preserve">TAGTGCCGTGGTTCTTGGCGGTCA</t>
  </si>
  <si>
    <t xml:space="preserve">AAACTGACCGCCAAGAACCACGGC</t>
  </si>
  <si>
    <t xml:space="preserve">TGTCACGGTTGAGTTGTACT</t>
  </si>
  <si>
    <t xml:space="preserve">TAGTTGTCACGGTTGAGTTGTACT</t>
  </si>
  <si>
    <t xml:space="preserve">AAACAGTACAACTCAACCGTGACA</t>
  </si>
  <si>
    <t xml:space="preserve">PSPPH_A0135</t>
  </si>
  <si>
    <t xml:space="preserve">TGACGACTTCACCCGATTGC</t>
  </si>
  <si>
    <t xml:space="preserve">TAGTTGACGACTTCACCCGATTGC</t>
  </si>
  <si>
    <t xml:space="preserve">AAACGCAATCGGGTGAAGTCGTCA</t>
  </si>
  <si>
    <t xml:space="preserve">CTGCTTCGACCAGAGGAAGA</t>
  </si>
  <si>
    <t xml:space="preserve">TAGTCTGCTTCGACCAGAGGAAGA</t>
  </si>
  <si>
    <t xml:space="preserve">AAACTCTTCCTCTGGTCGAAGCAG</t>
  </si>
  <si>
    <t xml:space="preserve">CGACGATTCCAGGCACTGCC</t>
  </si>
  <si>
    <t xml:space="preserve">TAGTCGACGATTCCAGGCACTGCC</t>
  </si>
  <si>
    <t xml:space="preserve">AAACGGCAGTGCCTGGAATCGTCG</t>
  </si>
  <si>
    <t xml:space="preserve">GGCGACACCACGGGACGCCT</t>
  </si>
  <si>
    <t xml:space="preserve">TAGTGGCGACACCACGGGACGCCT</t>
  </si>
  <si>
    <t xml:space="preserve">AAACAGGCGTCCCGTGGTGTCGCC</t>
  </si>
  <si>
    <t xml:space="preserve">PSPPH_A0136</t>
  </si>
  <si>
    <t xml:space="preserve">AAATTACGTTCGTATCGAGC</t>
  </si>
  <si>
    <t xml:space="preserve">TAGTAAATTACGTTCGTATCGAGC</t>
  </si>
  <si>
    <t xml:space="preserve">AAACGCTCGATACGAACGTAATTT</t>
  </si>
  <si>
    <t xml:space="preserve">GCATTGGGCTCTCGGCGCTG</t>
  </si>
  <si>
    <t xml:space="preserve">TAGTGCATTGGGCTCTCGGCGCTG</t>
  </si>
  <si>
    <t xml:space="preserve">AAACCAGCGCCGAGAGCCCAATGC</t>
  </si>
  <si>
    <t xml:space="preserve">GTCGATCCAGTCAAGGACGT</t>
  </si>
  <si>
    <t xml:space="preserve">TAGTGTCGATCCAGTCAAGGACGT</t>
  </si>
  <si>
    <t xml:space="preserve">AAACACGTCCTTGACTGGATCGAC</t>
  </si>
  <si>
    <t xml:space="preserve">CAACTCGGCTACCGTGATGG</t>
  </si>
  <si>
    <t xml:space="preserve">TAGTCAACTCGGCTACCGTGATGG</t>
  </si>
  <si>
    <t xml:space="preserve">AAACCCATCACGGTAGCCGAGTTG</t>
  </si>
  <si>
    <t xml:space="preserve">PSPPH_A0137</t>
  </si>
  <si>
    <t xml:space="preserve">stbC</t>
  </si>
  <si>
    <t xml:space="preserve">ATTGCCCGATGCACTTCATC</t>
  </si>
  <si>
    <t xml:space="preserve">TAGTATTGCCCGATGCACTTCATC</t>
  </si>
  <si>
    <t xml:space="preserve">AAACGATGAAGTGCATCGGGCAAT</t>
  </si>
  <si>
    <t xml:space="preserve">CGTGCAGGGCAGCTTGGATG</t>
  </si>
  <si>
    <t xml:space="preserve">TAGTCGTGCAGGGCAGCTTGGATG</t>
  </si>
  <si>
    <t xml:space="preserve">AAACCATCCAAGCTGCCCTGCACG</t>
  </si>
  <si>
    <t xml:space="preserve">GATGTCGCGTATTTCGGCCT</t>
  </si>
  <si>
    <t xml:space="preserve">TAGTGATGTCGCGTATTTCGGCCT</t>
  </si>
  <si>
    <t xml:space="preserve">AAACAGGCCGAAATACGCGACATC</t>
  </si>
  <si>
    <t xml:space="preserve">CCAAGTTTCACACGTCCCTC</t>
  </si>
  <si>
    <t xml:space="preserve">TAGTCCAAGTTTCACACGTCCCTC</t>
  </si>
  <si>
    <t xml:space="preserve">AAACGAGGGACGTGTGAAACTTGG</t>
  </si>
  <si>
    <t xml:space="preserve">PSPPH_A0138</t>
  </si>
  <si>
    <t xml:space="preserve">GGGGACACGAACGATATGAC</t>
  </si>
  <si>
    <t xml:space="preserve">TAGTGGGGACACGAACGATATGAC</t>
  </si>
  <si>
    <t xml:space="preserve">AAACGTCATATCGTTCGTGTCCCC</t>
  </si>
  <si>
    <t xml:space="preserve">TCTTGCCAGCCCCGCCTTTG</t>
  </si>
  <si>
    <t xml:space="preserve">TAGTTCTTGCCAGCCCCGCCTTTG</t>
  </si>
  <si>
    <t xml:space="preserve">AAACCAAAGGCGGGGCTGGCAAGA</t>
  </si>
  <si>
    <t xml:space="preserve">AATCTGAGTGGCCAGCGCAA</t>
  </si>
  <si>
    <t xml:space="preserve">TAGTAATCTGAGTGGCCAGCGCAA</t>
  </si>
  <si>
    <t xml:space="preserve">AAACTTGCGCTGGCCACTCAGATT</t>
  </si>
  <si>
    <t xml:space="preserve">TCAGCATCAATCACTGTCAC</t>
  </si>
  <si>
    <t xml:space="preserve">TAGTTCAGCATCAATCACTGTCAC</t>
  </si>
  <si>
    <t xml:space="preserve">AAACGTGACAGTGATTGATGCTGA</t>
  </si>
  <si>
    <t xml:space="preserve">PSPPH_A0139</t>
  </si>
  <si>
    <t xml:space="preserve">AAATTCTTCAGGCCTTCTAA</t>
  </si>
  <si>
    <t xml:space="preserve">TAGTAAATTCTTCAGGCCTTCTAA</t>
  </si>
  <si>
    <t xml:space="preserve">AAACTTAGAAGGCCTGAAGAATTT</t>
  </si>
  <si>
    <t xml:space="preserve">TTTTGGCTAGCAGCAGGCTT</t>
  </si>
  <si>
    <t xml:space="preserve">TAGTTTTTGGCTAGCAGCAGGCTT</t>
  </si>
  <si>
    <t xml:space="preserve">AAACAAGCCTGCTGCTAGCCAAAA</t>
  </si>
  <si>
    <t xml:space="preserve">ATTTGATGGGGCTGGATGCC</t>
  </si>
  <si>
    <t xml:space="preserve">TAGTATTTGATGGGGCTGGATGCC</t>
  </si>
  <si>
    <t xml:space="preserve">AAACGGCATCCAGCCCCATCAAAT</t>
  </si>
  <si>
    <t xml:space="preserve">ATTGATTTGGATATTTCTGC</t>
  </si>
  <si>
    <t xml:space="preserve">TAGTATTGATTTGGATATTTCTGC</t>
  </si>
  <si>
    <t xml:space="preserve">AAACGCAGAAATATCCAAATCAAT</t>
  </si>
  <si>
    <t xml:space="preserve">PSPPH_A0140</t>
  </si>
  <si>
    <t xml:space="preserve">AATTATCCTGGCCGTGCAGA</t>
  </si>
  <si>
    <t xml:space="preserve">TAGTAATTATCCTGGCCGTGCAGA</t>
  </si>
  <si>
    <t xml:space="preserve">AAACTCTGCACGGCCAGGATAATT</t>
  </si>
  <si>
    <t xml:space="preserve">ATTTTTTGCGAAACACCTCC</t>
  </si>
  <si>
    <t xml:space="preserve">TAGTATTTTTTGCGAAACACCTCC</t>
  </si>
  <si>
    <t xml:space="preserve">AAACGGAGGTGTTTCGCAAAAAAT</t>
  </si>
  <si>
    <t xml:space="preserve">CACGACACAGCTCTGCGAGC</t>
  </si>
  <si>
    <t xml:space="preserve">TAGTCACGACACAGCTCTGCGAGC</t>
  </si>
  <si>
    <t xml:space="preserve">AAACGCTCGCAGAGCTGTGTCGTG</t>
  </si>
  <si>
    <t xml:space="preserve">AACACAGTGCGACCCCGCAC</t>
  </si>
  <si>
    <t xml:space="preserve">TAGTAACACAGTGCGACCCCGCAC</t>
  </si>
  <si>
    <t xml:space="preserve">AAACGTGCGGGGTCGCACTGTGTT</t>
  </si>
  <si>
    <t xml:space="preserve">PSPPH_A0141</t>
  </si>
  <si>
    <t xml:space="preserve">AGCGCGGTAGCCTAATGAGA</t>
  </si>
  <si>
    <t xml:space="preserve">TAGTAGCGCGGTAGCCTAATGAGA</t>
  </si>
  <si>
    <t xml:space="preserve">AAACTCTCATTAGGCTACCGCGCT</t>
  </si>
  <si>
    <t xml:space="preserve">CAGCAACTCAACCGATTCAC</t>
  </si>
  <si>
    <t xml:space="preserve">TAGTCAGCAACTCAACCGATTCAC</t>
  </si>
  <si>
    <t xml:space="preserve">AAACGTGAATCGGTTGAGTTGCTG</t>
  </si>
  <si>
    <t xml:space="preserve">GCACGAGCGAGGTACTTCAA</t>
  </si>
  <si>
    <t xml:space="preserve">TAGTGCACGAGCGAGGTACTTCAA</t>
  </si>
  <si>
    <t xml:space="preserve">AAACTTGAAGTACCTCGCTCGTGC</t>
  </si>
  <si>
    <t xml:space="preserve">GATTGCGCCGTCTAAGGCGA</t>
  </si>
  <si>
    <t xml:space="preserve">TAGTGATTGCGCCGTCTAAGGCGA</t>
  </si>
  <si>
    <t xml:space="preserve">AAACTCGCCTTAGACGGCGCAATC</t>
  </si>
  <si>
    <t xml:space="preserve">PSPPH_A0142</t>
  </si>
  <si>
    <t xml:space="preserve">GACTAGGTCACCTCGCATCA</t>
  </si>
  <si>
    <t xml:space="preserve">TAGTGACTAGGTCACCTCGCATCA</t>
  </si>
  <si>
    <t xml:space="preserve">AAACTGATGCGAGGTGACCTAGTC</t>
  </si>
  <si>
    <t xml:space="preserve">AAAGTCACCTTGCATGGCGA</t>
  </si>
  <si>
    <t xml:space="preserve">TAGTAAAGTCACCTTGCATGGCGA</t>
  </si>
  <si>
    <t xml:space="preserve">AAACTCGCCATGCAAGGTGACTTT</t>
  </si>
  <si>
    <t xml:space="preserve">TGAATTACCAAGGCGGGTCT</t>
  </si>
  <si>
    <t xml:space="preserve">TAGTTGAATTACCAAGGCGGGTCT</t>
  </si>
  <si>
    <t xml:space="preserve">AAACAGACCCGCCTTGGTAATTCA</t>
  </si>
  <si>
    <t xml:space="preserve">CGCTGGTGTGTTCGCTAAAT</t>
  </si>
  <si>
    <t xml:space="preserve">TAGTCGCTGGTGTGTTCGCTAAAT</t>
  </si>
  <si>
    <t xml:space="preserve">AAACATTTAGCGAACACACCAGCG</t>
  </si>
  <si>
    <t xml:space="preserve">PSPPH_A0144</t>
  </si>
  <si>
    <t xml:space="preserve">CCAGGACAGCAGGAACGTCG</t>
  </si>
  <si>
    <t xml:space="preserve">TAGTCCAGGACAGCAGGAACGTCG</t>
  </si>
  <si>
    <t xml:space="preserve">AAACCGACGTTCCTGCTGTCCTGG</t>
  </si>
  <si>
    <t xml:space="preserve">GGAACGGGGAGGCAGCAACC</t>
  </si>
  <si>
    <t xml:space="preserve">TAGTGGAACGGGGAGGCAGCAACC</t>
  </si>
  <si>
    <t xml:space="preserve">AAACGGTTGCTGCCTCCCCGTTCC</t>
  </si>
  <si>
    <t xml:space="preserve">TCAAGGCAATGAGGGCAATC</t>
  </si>
  <si>
    <t xml:space="preserve">TAGTTCAAGGCAATGAGGGCAATC</t>
  </si>
  <si>
    <t xml:space="preserve">AAACGATTGCCCTCATTGCCTTGA</t>
  </si>
  <si>
    <t xml:space="preserve">GCAAATACTGAGGATCGATC</t>
  </si>
  <si>
    <t xml:space="preserve">TAGTGCAAATACTGAGGATCGATC</t>
  </si>
  <si>
    <t xml:space="preserve">AAACGATCGATCCTCAGTATTTGC</t>
  </si>
  <si>
    <t xml:space="preserve">PSPPH_A0145</t>
  </si>
  <si>
    <t xml:space="preserve">GGTTGAGGTTGTGGAACAGT</t>
  </si>
  <si>
    <t xml:space="preserve">TAGTGGTTGAGGTTGTGGAACAGT</t>
  </si>
  <si>
    <t xml:space="preserve">AAACACTGTTCCACAACCTCAACC</t>
  </si>
  <si>
    <t xml:space="preserve">TGCCCAAGGCCAGGAAGTAG</t>
  </si>
  <si>
    <t xml:space="preserve">TAGTTGCCCAAGGCCAGGAAGTAG</t>
  </si>
  <si>
    <t xml:space="preserve">AAACCTACTTCCTGGCCTTGGGCA</t>
  </si>
  <si>
    <t xml:space="preserve">TGATGTAGGTTTGCAGCATC</t>
  </si>
  <si>
    <t xml:space="preserve">TAGTTGATGTAGGTTTGCAGCATC</t>
  </si>
  <si>
    <t xml:space="preserve">AAACGATGCTGCAAACCTACATCA</t>
  </si>
  <si>
    <t xml:space="preserve">GTCCAGCTCGATGCCCGTCT</t>
  </si>
  <si>
    <t xml:space="preserve">TAGTGTCCAGCTCGATGCCCGTCT</t>
  </si>
  <si>
    <t xml:space="preserve">AAACAGACGGGCATCGAGCTGGAC</t>
  </si>
  <si>
    <t xml:space="preserve">PSPPH_A0146</t>
  </si>
  <si>
    <t xml:space="preserve">GTTGATATTGTTGATACGGG</t>
  </si>
  <si>
    <t xml:space="preserve">TAGTGTTGATATTGTTGATACGGG</t>
  </si>
  <si>
    <t xml:space="preserve">AAACCCCGTATCAACAATATCAAC</t>
  </si>
  <si>
    <t xml:space="preserve">CTTCCCGATCTTTGCGTTCC</t>
  </si>
  <si>
    <t xml:space="preserve">TAGTCTTCCCGATCTTTGCGTTCC</t>
  </si>
  <si>
    <t xml:space="preserve">AAACGGAACGCAAAGATCGGGAAG</t>
  </si>
  <si>
    <t xml:space="preserve">TTTGGTGAGTCGCACCTGGG</t>
  </si>
  <si>
    <t xml:space="preserve">TAGTTTTGGTGAGTCGCACCTGGG</t>
  </si>
  <si>
    <t xml:space="preserve">AAACCCCAGGTGCGACTCACCAAA</t>
  </si>
  <si>
    <t xml:space="preserve">GACGCCGTTGCGGTCCAGCA</t>
  </si>
  <si>
    <t xml:space="preserve">TAGTGACGCCGTTGCGGTCCAGCA</t>
  </si>
  <si>
    <t xml:space="preserve">AAACTGCTGGACCGCAACGGCGTC</t>
  </si>
  <si>
    <t xml:space="preserve">PSPPH_A0147</t>
  </si>
  <si>
    <t xml:space="preserve">CAGGGCGGTGAGGCCAGAAG</t>
  </si>
  <si>
    <t xml:space="preserve">TAGTCAGGGCGGTGAGGCCAGAAG</t>
  </si>
  <si>
    <t xml:space="preserve">AAACCTTCTGGCCTCACCGCCCTG</t>
  </si>
  <si>
    <t xml:space="preserve">AGACCGGCAGGCCGGACGTC</t>
  </si>
  <si>
    <t xml:space="preserve">TAGTAGACCGGCAGGCCGGACGTC</t>
  </si>
  <si>
    <t xml:space="preserve">AAACGACGTCCGGCCTGCCGGTCT</t>
  </si>
  <si>
    <t xml:space="preserve">CGAGCCGGTGCCCAGGCTCT</t>
  </si>
  <si>
    <t xml:space="preserve">TAGTCGAGCCGGTGCCCAGGCTCT</t>
  </si>
  <si>
    <t xml:space="preserve">AAACAGAGCCTGGGCACCGGCTCG</t>
  </si>
  <si>
    <t xml:space="preserve">AAACAGCGGTCTGCACGCGC</t>
  </si>
  <si>
    <t xml:space="preserve">TAGTAAACAGCGGTCTGCACGCGC</t>
  </si>
  <si>
    <t xml:space="preserve">AAACGCGCGTGCAGACCGCTGTTT</t>
  </si>
  <si>
    <t xml:space="preserve">PSPPH_A0148</t>
  </si>
  <si>
    <t xml:space="preserve">CCCTCGAGCCTGCAGCCAAA</t>
  </si>
  <si>
    <t xml:space="preserve">TAGTCCCTCGAGCCTGCAGCCAAA</t>
  </si>
  <si>
    <t xml:space="preserve">AAACTTTGGCTGCAGGCTCGAGGG</t>
  </si>
  <si>
    <t xml:space="preserve">GTGGGTCCGCATCTAGAAGC</t>
  </si>
  <si>
    <t xml:space="preserve">TAGTGTGGGTCCGCATCTAGAAGC</t>
  </si>
  <si>
    <t xml:space="preserve">AAACGCTTCTAGATGCGGACCCAC</t>
  </si>
  <si>
    <t xml:space="preserve">AGACCGTTCGGCGGCCCAGT</t>
  </si>
  <si>
    <t xml:space="preserve">TAGTAGACCGTTCGGCGGCCCAGT</t>
  </si>
  <si>
    <t xml:space="preserve">AAACACTGGGCCGCCGAACGGTCT</t>
  </si>
  <si>
    <t xml:space="preserve">GCACGACAGGAATCGCAGGG</t>
  </si>
  <si>
    <t xml:space="preserve">TAGTGCACGACAGGAATCGCAGGG</t>
  </si>
  <si>
    <t xml:space="preserve">AAACCCCTGCGATTCCTGTCGTGC</t>
  </si>
  <si>
    <t xml:space="preserve">PSPPH_A0149</t>
  </si>
  <si>
    <t xml:space="preserve">TTTGCCTGCCCACCGTTGCT</t>
  </si>
  <si>
    <t xml:space="preserve">TAGTTTTGCCTGCCCACCGTTGCT</t>
  </si>
  <si>
    <t xml:space="preserve">AAACAGCAACGGTGGGCAGGCAAA</t>
  </si>
  <si>
    <t xml:space="preserve">TCATTGCGGACAGTGAGTTC</t>
  </si>
  <si>
    <t xml:space="preserve">TAGTTCATTGCGGACAGTGAGTTC</t>
  </si>
  <si>
    <t xml:space="preserve">AAACGAACTCACTGTCCGCAATGA</t>
  </si>
  <si>
    <t xml:space="preserve">TAAAAATCAGCTGTGAAAAA</t>
  </si>
  <si>
    <t xml:space="preserve">TAGTTAAAAATCAGCTGTGAAAAA</t>
  </si>
  <si>
    <t xml:space="preserve">AAACTTTTTCACAGCTGATTTTTA</t>
  </si>
  <si>
    <t xml:space="preserve">CP000060.1</t>
  </si>
  <si>
    <t xml:space="preserve">PSPPH_B0001</t>
  </si>
  <si>
    <t xml:space="preserve">GGGGCAGGGTGCGGTCATCG</t>
  </si>
  <si>
    <t xml:space="preserve">TAGTGGGGCAGGGTGCGGTCATCG</t>
  </si>
  <si>
    <t xml:space="preserve">AAACCGATGACCGCACCCTGCCCC</t>
  </si>
  <si>
    <t xml:space="preserve">PSPPH_B0002</t>
  </si>
  <si>
    <t xml:space="preserve">AAAGGCTGAGCGCATTGTCG</t>
  </si>
  <si>
    <t xml:space="preserve">TAGTAAAGGCTGAGCGCATTGTCG</t>
  </si>
  <si>
    <t xml:space="preserve">AAACCGACAATGCGCTCAGCCTTT</t>
  </si>
  <si>
    <t xml:space="preserve">GGCCGTGGGTGAGGTCGCGA</t>
  </si>
  <si>
    <t xml:space="preserve">TAGTGGCCGTGGGTGAGGTCGCGA</t>
  </si>
  <si>
    <t xml:space="preserve">AAACTCGCGACCTCACCCACGGCC</t>
  </si>
  <si>
    <t xml:space="preserve">GGTGGCCAGCGGATCGGCGC</t>
  </si>
  <si>
    <t xml:space="preserve">TAGTGGTGGCCAGCGGATCGGCGC</t>
  </si>
  <si>
    <t xml:space="preserve">AAACGCGCCGATCCGCTGGCCACC</t>
  </si>
  <si>
    <t xml:space="preserve">CGCCGGCGGAAGGTGTGTGC</t>
  </si>
  <si>
    <t xml:space="preserve">TAGTCGCCGGCGGAAGGTGTGTGC</t>
  </si>
  <si>
    <t xml:space="preserve">AAACGCACACACCTTCCGCCGGCG</t>
  </si>
  <si>
    <t xml:space="preserve">PSPPH_B0003</t>
  </si>
  <si>
    <t xml:space="preserve">rulA</t>
  </si>
  <si>
    <t xml:space="preserve">ACCGAGTATTTTGACGTTCA</t>
  </si>
  <si>
    <t xml:space="preserve">TAGTACCGAGTATTTTGACGTTCA</t>
  </si>
  <si>
    <t xml:space="preserve">AAACTGAACGTCAAAATACTCGGT</t>
  </si>
  <si>
    <t xml:space="preserve">GTAGCAGGGTATGACTTTTC</t>
  </si>
  <si>
    <t xml:space="preserve">TAGTGTAGCAGGGTATGACTTTTC</t>
  </si>
  <si>
    <t xml:space="preserve">AAACGAAAAGTCATACCCTGCTAC</t>
  </si>
  <si>
    <t xml:space="preserve">AAAGCCGGCAGGGATTTTGA</t>
  </si>
  <si>
    <t xml:space="preserve">TAGTAAAGCCGGCAGGGATTTTGA</t>
  </si>
  <si>
    <t xml:space="preserve">AAACTCAAAATCCCTGCCGGCTTT</t>
  </si>
  <si>
    <t xml:space="preserve">ATGTGATCCGCTGCTGGATT</t>
  </si>
  <si>
    <t xml:space="preserve">TAGTATGTGATCCGCTGCTGGATT</t>
  </si>
  <si>
    <t xml:space="preserve">AAACAATCCAGCAGCGGATCACAT</t>
  </si>
  <si>
    <t xml:space="preserve">PSPPH_B0004</t>
  </si>
  <si>
    <t xml:space="preserve">rulB</t>
  </si>
  <si>
    <t xml:space="preserve">ACCAGGCCAAACACCGGCGC</t>
  </si>
  <si>
    <t xml:space="preserve">TAGTACCAGGCCAAACACCGGCGC</t>
  </si>
  <si>
    <t xml:space="preserve">AAACGCGCCGGTGTTTGGCCTGGT</t>
  </si>
  <si>
    <t xml:space="preserve">ATAGGGACCTTGGCCAAGTC</t>
  </si>
  <si>
    <t xml:space="preserve">TAGTATAGGGACCTTGGCCAAGTC</t>
  </si>
  <si>
    <t xml:space="preserve">AAACGACTTGGCCAAGGTCCCTAT</t>
  </si>
  <si>
    <t xml:space="preserve">CGGTTTTGCATCGTAGCTGC</t>
  </si>
  <si>
    <t xml:space="preserve">TAGTCGGTTTTGCATCGTAGCTGC</t>
  </si>
  <si>
    <t xml:space="preserve">AAACGCAGCTACGATGCAAAACCG</t>
  </si>
  <si>
    <t xml:space="preserve">GGCGCGCCCATTTTCACGTA</t>
  </si>
  <si>
    <t xml:space="preserve">TAGTGGCGCGCCCATTTTCACGTA</t>
  </si>
  <si>
    <t xml:space="preserve">AAACTACGTGAAAATGGGCGCGCC</t>
  </si>
  <si>
    <t xml:space="preserve">PSPPH_B0005</t>
  </si>
  <si>
    <t xml:space="preserve">GCCCGTCAAGGGCTGCTGCT</t>
  </si>
  <si>
    <t xml:space="preserve">TAGTGCCCGTCAAGGGCTGCTGCT</t>
  </si>
  <si>
    <t xml:space="preserve">AAACAGCAGCAGCCCTTGACGGGC</t>
  </si>
  <si>
    <t xml:space="preserve">ATAAAAATAGCGATTGCCTC</t>
  </si>
  <si>
    <t xml:space="preserve">TAGTATAAAAATAGCGATTGCCTC</t>
  </si>
  <si>
    <t xml:space="preserve">AAACGAGGCAATCGCTATTTTTAT</t>
  </si>
  <si>
    <t xml:space="preserve">CGCAAGCTCGCTCATCCCTT</t>
  </si>
  <si>
    <t xml:space="preserve">TAGTCGCAAGCTCGCTCATCCCTT</t>
  </si>
  <si>
    <t xml:space="preserve">AAACAAGGGATGAGCGAGCTTGCG</t>
  </si>
  <si>
    <t xml:space="preserve">TCAACATCGTTTTTAAGGTT</t>
  </si>
  <si>
    <t xml:space="preserve">TAGTTCAACATCGTTTTTAAGGTT</t>
  </si>
  <si>
    <t xml:space="preserve">AAACAACCTTAAAAACGATGTTGA</t>
  </si>
  <si>
    <t xml:space="preserve">PSPPH_B0006</t>
  </si>
  <si>
    <t xml:space="preserve">TGTCTGTTTTATCGTCGTCA</t>
  </si>
  <si>
    <t xml:space="preserve">TAGTTGTCTGTTTTATCGTCGTCA</t>
  </si>
  <si>
    <t xml:space="preserve">AAACTGACGACGATAAAACAGACA</t>
  </si>
  <si>
    <t xml:space="preserve">CCTGCGTTCCCAAGCCATGT</t>
  </si>
  <si>
    <t xml:space="preserve">TAGTCCTGCGTTCCCAAGCCATGT</t>
  </si>
  <si>
    <t xml:space="preserve">AAACACATGGCTTGGGAACGCAGG</t>
  </si>
  <si>
    <t xml:space="preserve">CAATTGCAGCTTTGGCCTTT</t>
  </si>
  <si>
    <t xml:space="preserve">TAGTCAATTGCAGCTTTGGCCTTT</t>
  </si>
  <si>
    <t xml:space="preserve">AAACAAAGGCCAAAGCTGCAATTG</t>
  </si>
  <si>
    <t xml:space="preserve">TGCAACTCTAAAAATACGAG</t>
  </si>
  <si>
    <t xml:space="preserve">TAGTTGCAACTCTAAAAATACGAG</t>
  </si>
  <si>
    <t xml:space="preserve">AAACCTCGTATTTTTAGAGTTGCA</t>
  </si>
  <si>
    <t xml:space="preserve">PSPPH_B0007</t>
  </si>
  <si>
    <t xml:space="preserve">TTCATCTCGTTCTCCGCCGG</t>
  </si>
  <si>
    <t xml:space="preserve">TAGTTTCATCTCGTTCTCCGCCGG</t>
  </si>
  <si>
    <t xml:space="preserve">AAACCCGGCGGAGAACGAGATGAA</t>
  </si>
  <si>
    <t xml:space="preserve">CTCTGGAAAATTCGTCCGGA</t>
  </si>
  <si>
    <t xml:space="preserve">TAGTCTCTGGAAAATTCGTCCGGA</t>
  </si>
  <si>
    <t xml:space="preserve">AAACTCCGGACGAATTTTCCAGAG</t>
  </si>
  <si>
    <t xml:space="preserve">ATTCGGATGCCGATATGTTC</t>
  </si>
  <si>
    <t xml:space="preserve">TAGTATTCGGATGCCGATATGTTC</t>
  </si>
  <si>
    <t xml:space="preserve">AAACGAACATATCGGCATCCGAAT</t>
  </si>
  <si>
    <t xml:space="preserve">CCGGTAACAACAGATCAGTT</t>
  </si>
  <si>
    <t xml:space="preserve">TAGTCCGGTAACAACAGATCAGTT</t>
  </si>
  <si>
    <t xml:space="preserve">AAACAACTGATCTGTTGTTACCGG</t>
  </si>
  <si>
    <t xml:space="preserve">PSPPH_B0008</t>
  </si>
  <si>
    <t xml:space="preserve">TGCTTGCTAACGGACGGCAA</t>
  </si>
  <si>
    <t xml:space="preserve">TAGTTGCTTGCTAACGGACGGCAA</t>
  </si>
  <si>
    <t xml:space="preserve">AAACTTGCCGTCCGTTAGCAAGCA</t>
  </si>
  <si>
    <t xml:space="preserve">TTGCTTAATACCTTCCTCGG</t>
  </si>
  <si>
    <t xml:space="preserve">TAGTTTGCTTAATACCTTCCTCGG</t>
  </si>
  <si>
    <t xml:space="preserve">AAACCCGAGGAAGGTATTAAGCAA</t>
  </si>
  <si>
    <t xml:space="preserve">TCCGACTGTCCTGGAAGCCT</t>
  </si>
  <si>
    <t xml:space="preserve">TAGTTCCGACTGTCCTGGAAGCCT</t>
  </si>
  <si>
    <t xml:space="preserve">AAACAGGCTTCCAGGACAGTCGGA</t>
  </si>
  <si>
    <t xml:space="preserve">GCAGGTGCGTGCGGCTGTAC</t>
  </si>
  <si>
    <t xml:space="preserve">TAGTGCAGGTGCGTGCGGCTGTAC</t>
  </si>
  <si>
    <t xml:space="preserve">AAACGTACAGCCGCACGCACCTGC</t>
  </si>
  <si>
    <t xml:space="preserve">PSPPH_B0009</t>
  </si>
  <si>
    <t xml:space="preserve">GCCTATAACAATGACTGACA</t>
  </si>
  <si>
    <t xml:space="preserve">TAGTGCCTATAACAATGACTGACA</t>
  </si>
  <si>
    <t xml:space="preserve">AAACTGTCAGTCATTGTTATAGGC</t>
  </si>
  <si>
    <t xml:space="preserve">CAGCACGTCCTTACCCTGCA</t>
  </si>
  <si>
    <t xml:space="preserve">TAGTCAGCACGTCCTTACCCTGCA</t>
  </si>
  <si>
    <t xml:space="preserve">AAACTGCAGGGTAAGGACGTGCTG</t>
  </si>
  <si>
    <t xml:space="preserve">TTGCCTTGGATGAGGATGAC</t>
  </si>
  <si>
    <t xml:space="preserve">TAGTTTGCCTTGGATGAGGATGAC</t>
  </si>
  <si>
    <t xml:space="preserve">AAACGTCATCCTCATCCAAGGCAA</t>
  </si>
  <si>
    <t xml:space="preserve">TAAGCCACCAAGGTAACGCT</t>
  </si>
  <si>
    <t xml:space="preserve">TAGTTAAGCCACCAAGGTAACGCT</t>
  </si>
  <si>
    <t xml:space="preserve">AAACAGCGTTACCTTGGTGGCTTA</t>
  </si>
  <si>
    <t xml:space="preserve">PSPPH_B0010</t>
  </si>
  <si>
    <t xml:space="preserve">CGGTCGGCGCTCGCCGGTTT</t>
  </si>
  <si>
    <t xml:space="preserve">TAGTCGGTCGGCGCTCGCCGGTTT</t>
  </si>
  <si>
    <t xml:space="preserve">AAACAAACCGGCGAGCGCCGACCG</t>
  </si>
  <si>
    <t xml:space="preserve">CCGCGACCTGACTTGACTCT</t>
  </si>
  <si>
    <t xml:space="preserve">TAGTCCGCGACCTGACTTGACTCT</t>
  </si>
  <si>
    <t xml:space="preserve">AAACAGAGTCAAGTCAGGTCGCGG</t>
  </si>
  <si>
    <t xml:space="preserve">GCTATCGGGAGCGGTGGCCG</t>
  </si>
  <si>
    <t xml:space="preserve">TAGTGCTATCGGGAGCGGTGGCCG</t>
  </si>
  <si>
    <t xml:space="preserve">AAACCGGCCACCGCTCCCGATAGC</t>
  </si>
  <si>
    <t xml:space="preserve">GCTCAGGCTCAAAACCTACT</t>
  </si>
  <si>
    <t xml:space="preserve">TAGTGCTCAGGCTCAAAACCTACT</t>
  </si>
  <si>
    <t xml:space="preserve">AAACAGTAGGTTTTGAGCCTGAGC</t>
  </si>
  <si>
    <t xml:space="preserve">PSPPH_B0011</t>
  </si>
  <si>
    <t xml:space="preserve">GCTTCGTAATGGCTGCACAT</t>
  </si>
  <si>
    <t xml:space="preserve">TAGTGCTTCGTAATGGCTGCACAT</t>
  </si>
  <si>
    <t xml:space="preserve">AAACATGTGCAGCCATTACGAAGC</t>
  </si>
  <si>
    <t xml:space="preserve">TCGGCGACCTGGTGCGGAGT</t>
  </si>
  <si>
    <t xml:space="preserve">TAGTTCGGCGACCTGGTGCGGAGT</t>
  </si>
  <si>
    <t xml:space="preserve">AAACACTCCGCACCAGGTCGCCGA</t>
  </si>
  <si>
    <t xml:space="preserve">GCCACAAATCAAGTCTGCCC</t>
  </si>
  <si>
    <t xml:space="preserve">TAGTGCCACAAATCAAGTCTGCCC</t>
  </si>
  <si>
    <t xml:space="preserve">AAACGGGCAGACTTGATTTGTGGC</t>
  </si>
  <si>
    <t xml:space="preserve">AAGAATGGGCCGATGTAGGC</t>
  </si>
  <si>
    <t xml:space="preserve">TAGTAAGAATGGGCCGATGTAGGC</t>
  </si>
  <si>
    <t xml:space="preserve">AAACGCCTACATCGGCCCATTCTT</t>
  </si>
  <si>
    <t xml:space="preserve">PSPPH_B0012</t>
  </si>
  <si>
    <t xml:space="preserve">AATTTCTCTAACCAAGGCCC</t>
  </si>
  <si>
    <t xml:space="preserve">TAGTAATTTCTCTAACCAAGGCCC</t>
  </si>
  <si>
    <t xml:space="preserve">AAACGGGCCTTGGTTAGAGAAATT</t>
  </si>
  <si>
    <t xml:space="preserve">GATGTACGATTTGCTTTGCT</t>
  </si>
  <si>
    <t xml:space="preserve">TAGTGATGTACGATTTGCTTTGCT</t>
  </si>
  <si>
    <t xml:space="preserve">AAACAGCAAAGCAAATCGTACATC</t>
  </si>
  <si>
    <t xml:space="preserve">AGCGACGGATCAGGTGCGTA</t>
  </si>
  <si>
    <t xml:space="preserve">TAGTAGCGACGGATCAGGTGCGTA</t>
  </si>
  <si>
    <t xml:space="preserve">AAACTACGCACCTGATCCGTCGCT</t>
  </si>
  <si>
    <t xml:space="preserve">PSPPH_B0013</t>
  </si>
  <si>
    <t xml:space="preserve">TCGCGTCTACGTGATTTCTG</t>
  </si>
  <si>
    <t xml:space="preserve">TAGTTCGCGTCTACGTGATTTCTG</t>
  </si>
  <si>
    <t xml:space="preserve">AAACCAGAAATCACGTAGACGCGA</t>
  </si>
  <si>
    <t xml:space="preserve">GCAAGGATTCTACGTGTGGC</t>
  </si>
  <si>
    <t xml:space="preserve">TAGTGCAAGGATTCTACGTGTGGC</t>
  </si>
  <si>
    <t xml:space="preserve">AAACGCCACACGTAGAATCCTTGC</t>
  </si>
  <si>
    <t xml:space="preserve">GCATATATGACCGGCCGCTC</t>
  </si>
  <si>
    <t xml:space="preserve">TAGTGCATATATGACCGGCCGCTC</t>
  </si>
  <si>
    <t xml:space="preserve">AAACGAGCGGCCGGTCATATATGC</t>
  </si>
  <si>
    <t xml:space="preserve">AGTGCGAGGACAGTTGGTGA</t>
  </si>
  <si>
    <t xml:space="preserve">TAGTAGTGCGAGGACAGTTGGTGA</t>
  </si>
  <si>
    <t xml:space="preserve">AAACTCACCAACTGTCCTCGCACT</t>
  </si>
  <si>
    <t xml:space="preserve">PSPPH_B0014</t>
  </si>
  <si>
    <t xml:space="preserve">TTGGCGGACTTCTTTTTGGT</t>
  </si>
  <si>
    <t xml:space="preserve">TAGTTTGGCGGACTTCTTTTTGGT</t>
  </si>
  <si>
    <t xml:space="preserve">AAACACCAAAAAGAAGTCCGCCAA</t>
  </si>
  <si>
    <t xml:space="preserve">ATCAGCTCTTGGGGAATCGA</t>
  </si>
  <si>
    <t xml:space="preserve">TAGTATCAGCTCTTGGGGAATCGA</t>
  </si>
  <si>
    <t xml:space="preserve">AAACTCGATTCCCCAAGAGCTGAT</t>
  </si>
  <si>
    <t xml:space="preserve">GAATGGCTTCGGCGCTCATC</t>
  </si>
  <si>
    <t xml:space="preserve">TAGTGAATGGCTTCGGCGCTCATC</t>
  </si>
  <si>
    <t xml:space="preserve">AAACGATGAGCGCCGAAGCCATTC</t>
  </si>
  <si>
    <t xml:space="preserve">CAGAGCCTTCTTGAACGCCA</t>
  </si>
  <si>
    <t xml:space="preserve">TAGTCAGAGCCTTCTTGAACGCCA</t>
  </si>
  <si>
    <t xml:space="preserve">AAACTGGCGTTCAAGAAGGCTCTG</t>
  </si>
  <si>
    <t xml:space="preserve">PSPPH_B0015</t>
  </si>
  <si>
    <t xml:space="preserve">GCTTCAAACCGGCACGAGCC</t>
  </si>
  <si>
    <t xml:space="preserve">TAGTGCTTCAAACCGGCACGAGCC</t>
  </si>
  <si>
    <t xml:space="preserve">AAACGGCTCGTGCCGGTTTGAAGC</t>
  </si>
  <si>
    <t xml:space="preserve">CGCTGTCGGGTGATAACGGC</t>
  </si>
  <si>
    <t xml:space="preserve">TAGTCGCTGTCGGGTGATAACGGC</t>
  </si>
  <si>
    <t xml:space="preserve">AAACGCCGTTATCACCCGACAGCG</t>
  </si>
  <si>
    <t xml:space="preserve">CCAGCGAAAGGATAACAACA</t>
  </si>
  <si>
    <t xml:space="preserve">TAGTCCAGCGAAAGGATAACAACA</t>
  </si>
  <si>
    <t xml:space="preserve">AAACTGTTGTTATCCTTTCGCTGG</t>
  </si>
  <si>
    <t xml:space="preserve">CATTGTTCTCCGTACCTAGC</t>
  </si>
  <si>
    <t xml:space="preserve">TAGTCATTGTTCTCCGTACCTAGC</t>
  </si>
  <si>
    <t xml:space="preserve">AAACGCTAGGTACGGAGAACAATG</t>
  </si>
  <si>
    <t xml:space="preserve">PSPPH_B0016</t>
  </si>
  <si>
    <t xml:space="preserve">txe</t>
  </si>
  <si>
    <t xml:space="preserve">ATCGATGAAGGCGACTTTTA</t>
  </si>
  <si>
    <t xml:space="preserve">TAGTATCGATGAAGGCGACTTTTA</t>
  </si>
  <si>
    <t xml:space="preserve">AAACTAAAAGTCGCCTTCATCGAT</t>
  </si>
  <si>
    <t xml:space="preserve">CCAGTGCTGATAGTCATGCC</t>
  </si>
  <si>
    <t xml:space="preserve">TAGTCCAGTGCTGATAGTCATGCC</t>
  </si>
  <si>
    <t xml:space="preserve">AAACGGCATGACTATCAGCACTGG</t>
  </si>
  <si>
    <t xml:space="preserve">TACGCTGATATCGGAATCGC</t>
  </si>
  <si>
    <t xml:space="preserve">TAGTTACGCTGATATCGGAATCGC</t>
  </si>
  <si>
    <t xml:space="preserve">AAACGCGATTCCGATATCAGCGTA</t>
  </si>
  <si>
    <t xml:space="preserve">TACGCATAACTTCAGCAATC</t>
  </si>
  <si>
    <t xml:space="preserve">TAGTTACGCATAACTTCAGCAATC</t>
  </si>
  <si>
    <t xml:space="preserve">AAACGATTGCTGAAGTTATGCGTA</t>
  </si>
  <si>
    <t xml:space="preserve">PSPPH_B0017</t>
  </si>
  <si>
    <t xml:space="preserve">PSPPH_B0018</t>
  </si>
  <si>
    <t xml:space="preserve">TCAACAAGGGATTGAGGTCT</t>
  </si>
  <si>
    <t xml:space="preserve">TAGTTCAACAAGGGATTGAGGTCT</t>
  </si>
  <si>
    <t xml:space="preserve">AAACAGACCTCAATCCCTTGTTGA</t>
  </si>
  <si>
    <t xml:space="preserve">TTGGCATCTTCGAGTCTGCT</t>
  </si>
  <si>
    <t xml:space="preserve">TAGTTTGGCATCTTCGAGTCTGCT</t>
  </si>
  <si>
    <t xml:space="preserve">AAACAGCAGACTCGAAGATGCCAA</t>
  </si>
  <si>
    <t xml:space="preserve">TGGCCTCACGCACGACCGAT</t>
  </si>
  <si>
    <t xml:space="preserve">TAGTTGGCCTCACGCACGACCGAT</t>
  </si>
  <si>
    <t xml:space="preserve">AAACATCGGTCGTGCGTGAGGCCA</t>
  </si>
  <si>
    <t xml:space="preserve">ATCTGCTTTCAGCTGTGAAA</t>
  </si>
  <si>
    <t xml:space="preserve">TAGTATCTGCTTTCAGCTGTGAAA</t>
  </si>
  <si>
    <t xml:space="preserve">AAACTTTCACAGCTGAAAGCAGAT</t>
  </si>
  <si>
    <t xml:space="preserve">PSPPH_B0019</t>
  </si>
  <si>
    <t xml:space="preserve">CTTGAGCAGTTGCATGGCAG</t>
  </si>
  <si>
    <t xml:space="preserve">TAGTCTTGAGCAGTTGCATGGCAG</t>
  </si>
  <si>
    <t xml:space="preserve">AAACCTGCCATGCAACTGCTCAAG</t>
  </si>
  <si>
    <t xml:space="preserve">ACGAGCACCAACGAAGCGCC</t>
  </si>
  <si>
    <t xml:space="preserve">TAGTACGAGCACCAACGAAGCGCC</t>
  </si>
  <si>
    <t xml:space="preserve">AAACGGCGCTTCGTTGGTGCTCGT</t>
  </si>
  <si>
    <t xml:space="preserve">AGTTTGGTGCTTTGCTATCG</t>
  </si>
  <si>
    <t xml:space="preserve">TAGTAGTTTGGTGCTTTGCTATCG</t>
  </si>
  <si>
    <t xml:space="preserve">AAACCGATAGCAAAGCACCAAACT</t>
  </si>
  <si>
    <t xml:space="preserve">CATGAATGACCCCGCTGTTG</t>
  </si>
  <si>
    <t xml:space="preserve">TAGTCATGAATGACCCCGCTGTTG</t>
  </si>
  <si>
    <t xml:space="preserve">AAACCAACAGCGGGGTCATTCATG</t>
  </si>
  <si>
    <t xml:space="preserve">PSPPH_B0020</t>
  </si>
  <si>
    <t xml:space="preserve">CAACTTTTTTTCATCTCTCA</t>
  </si>
  <si>
    <t xml:space="preserve">TAGTCAACTTTTTTTCATCTCTCA</t>
  </si>
  <si>
    <t xml:space="preserve">AAACTGAGAGATGAAAAAAAGTTG</t>
  </si>
  <si>
    <t xml:space="preserve">CGCTCGATTGTAGTTTCATC</t>
  </si>
  <si>
    <t xml:space="preserve">TAGTCGCTCGATTGTAGTTTCATC</t>
  </si>
  <si>
    <t xml:space="preserve">AAACGATGAAACTACAATCGAGCG</t>
  </si>
  <si>
    <t xml:space="preserve">GAAAACTTTAGAAAAAACCG</t>
  </si>
  <si>
    <t xml:space="preserve">TAGTGAAAACTTTAGAAAAAACCG</t>
  </si>
  <si>
    <t xml:space="preserve">AAACCGGTTTTTTCTAAAGTTTTC</t>
  </si>
  <si>
    <t xml:space="preserve">GTCGCATTTTGTGCATCAGC</t>
  </si>
  <si>
    <t xml:space="preserve">TAGTGTCGCATTTTGTGCATCAGC</t>
  </si>
  <si>
    <t xml:space="preserve">AAACGCTGATGCACAAAATGCGAC</t>
  </si>
  <si>
    <t xml:space="preserve">PSPPH_B0021</t>
  </si>
  <si>
    <t xml:space="preserve">GTTATCATTATTTTCTCCAA</t>
  </si>
  <si>
    <t xml:space="preserve">TAGTGTTATCATTATTTTCTCCAA</t>
  </si>
  <si>
    <t xml:space="preserve">AAACTTGGAGAAAATAATGATAAC</t>
  </si>
  <si>
    <t xml:space="preserve">AAGATGCGTATTTTTCATCC</t>
  </si>
  <si>
    <t xml:space="preserve">TAGTAAGATGCGTATTTTTCATCC</t>
  </si>
  <si>
    <t xml:space="preserve">AAACGGATGAAAAATACGCATCTT</t>
  </si>
  <si>
    <t xml:space="preserve">TCAATTGCCTCTGGGTCTAT</t>
  </si>
  <si>
    <t xml:space="preserve">TAGTTCAATTGCCTCTGGGTCTAT</t>
  </si>
  <si>
    <t xml:space="preserve">AAACATAGACCCAGAGGCAATTGA</t>
  </si>
  <si>
    <t xml:space="preserve">CCATAATACGAATACGTCGC</t>
  </si>
  <si>
    <t xml:space="preserve">TAGTCCATAATACGAATACGTCGC</t>
  </si>
  <si>
    <t xml:space="preserve">AAACGCGACGTATTCGTATTATGG</t>
  </si>
  <si>
    <t xml:space="preserve">PSPPH_B0022</t>
  </si>
  <si>
    <t xml:space="preserve">xre</t>
  </si>
  <si>
    <t xml:space="preserve">TTTTCTCAGCTAGGGCGGCT</t>
  </si>
  <si>
    <t xml:space="preserve">TAGTTTTTCTCAGCTAGGGCGGCT</t>
  </si>
  <si>
    <t xml:space="preserve">AAACAGCCGCCCTAGCTGAGAAAA</t>
  </si>
  <si>
    <t xml:space="preserve">CTTTCATAACAGCCTACCAG</t>
  </si>
  <si>
    <t xml:space="preserve">TAGTCTTTCATAACAGCCTACCAG</t>
  </si>
  <si>
    <t xml:space="preserve">AAACCTGGTAGGCTGTTATGAAAG</t>
  </si>
  <si>
    <t xml:space="preserve">TCAACTGCTCTACGCCAGGG</t>
  </si>
  <si>
    <t xml:space="preserve">TAGTTCAACTGCTCTACGCCAGGG</t>
  </si>
  <si>
    <t xml:space="preserve">AAACCCCTGGCGTAGAGCAGTTGA</t>
  </si>
  <si>
    <t xml:space="preserve">CCGCCTGGTAGCAGTTCGCC</t>
  </si>
  <si>
    <t xml:space="preserve">TAGTCCGCCTGGTAGCAGTTCGCC</t>
  </si>
  <si>
    <t xml:space="preserve">AAACGGCGAACTGCTACCAGGCGG</t>
  </si>
  <si>
    <t xml:space="preserve">PSPPH_B0023</t>
  </si>
  <si>
    <t xml:space="preserve">ACGAAAATCCATCTATTAGA</t>
  </si>
  <si>
    <t xml:space="preserve">TAGTACGAAAATCCATCTATTAGA</t>
  </si>
  <si>
    <t xml:space="preserve">AAACTCTAATAGATGGATTTTCGT</t>
  </si>
  <si>
    <t xml:space="preserve">AGATAACAAAATAGAGCAAA</t>
  </si>
  <si>
    <t xml:space="preserve">TAGTAGATAACAAAATAGAGCAAA</t>
  </si>
  <si>
    <t xml:space="preserve">AAACTTTGCTCTATTTTGTTATCT</t>
  </si>
  <si>
    <t xml:space="preserve">CCGGGATGGCCGACAGGTGA</t>
  </si>
  <si>
    <t xml:space="preserve">TAGTCCGGGATGGCCGACAGGTGA</t>
  </si>
  <si>
    <t xml:space="preserve">AAACTCACCTGTCGGCCATCCCGG</t>
  </si>
  <si>
    <t xml:space="preserve">AACCAGCTCCATCTGTGACT</t>
  </si>
  <si>
    <t xml:space="preserve">TAGTAACCAGCTCCATCTGTGACT</t>
  </si>
  <si>
    <t xml:space="preserve">AAACAGTCACAGATGGAGCTGGTT</t>
  </si>
  <si>
    <t xml:space="preserve">PSPPH_B0024</t>
  </si>
  <si>
    <t xml:space="preserve">AAATGGGAAATGGTGGAAAG</t>
  </si>
  <si>
    <t xml:space="preserve">TAGTAAATGGGAAATGGTGGAAAG</t>
  </si>
  <si>
    <t xml:space="preserve">AAACCTTTCCACCATTTCCCATTT</t>
  </si>
  <si>
    <t xml:space="preserve">CACCGCCAGGCAGGACCCGG</t>
  </si>
  <si>
    <t xml:space="preserve">TAGTCACCGCCAGGCAGGACCCGG</t>
  </si>
  <si>
    <t xml:space="preserve">AAACCCGGGTCCTGCCTGGCGGTG</t>
  </si>
  <si>
    <t xml:space="preserve">GACGCCATGGGAACTCCTAA</t>
  </si>
  <si>
    <t xml:space="preserve">TAGTGACGCCATGGGAACTCCTAA</t>
  </si>
  <si>
    <t xml:space="preserve">AAACTTAGGAGTTCCCATGGCGTC</t>
  </si>
  <si>
    <t xml:space="preserve">CTTGGTGGTTGCTTCATCTT</t>
  </si>
  <si>
    <t xml:space="preserve">TAGTCTTGGTGGTTGCTTCATCTT</t>
  </si>
  <si>
    <t xml:space="preserve">AAACAAGATGAAGCAACCACCAAG</t>
  </si>
  <si>
    <t xml:space="preserve">PSPPH_B0025</t>
  </si>
  <si>
    <t xml:space="preserve">CAGGGCCAGAAAGGCACTGG</t>
  </si>
  <si>
    <t xml:space="preserve">TAGTCAGGGCCAGAAAGGCACTGG</t>
  </si>
  <si>
    <t xml:space="preserve">AAACCCAGTGCCTTTCTGGCCCTG</t>
  </si>
  <si>
    <t xml:space="preserve">AGCGTGGCGGGGTGTATCGA</t>
  </si>
  <si>
    <t xml:space="preserve">TAGTAGCGTGGCGGGGTGTATCGA</t>
  </si>
  <si>
    <t xml:space="preserve">AAACTCGATACACCCCGCCACGCT</t>
  </si>
  <si>
    <t xml:space="preserve">GAGGATTCTGTCTTGACGAT</t>
  </si>
  <si>
    <t xml:space="preserve">TAGTGAGGATTCTGTCTTGACGAT</t>
  </si>
  <si>
    <t xml:space="preserve">AAACATCGTCAAGACAGAATCCTC</t>
  </si>
  <si>
    <t xml:space="preserve">GCCAATGGCATAGGGATTGA</t>
  </si>
  <si>
    <t xml:space="preserve">TAGTGCCAATGGCATAGGGATTGA</t>
  </si>
  <si>
    <t xml:space="preserve">AAACTCAATCCCTATGCCATTGGC</t>
  </si>
  <si>
    <t xml:space="preserve">PSPPH_B0026</t>
  </si>
  <si>
    <t xml:space="preserve">CTCGTCTTTGTTGGGCACAA</t>
  </si>
  <si>
    <t xml:space="preserve">TAGTCTCGTCTTTGTTGGGCACAA</t>
  </si>
  <si>
    <t xml:space="preserve">AAACTTGTGCCCAACAAAGACGAG</t>
  </si>
  <si>
    <t xml:space="preserve">AGAAGCGATGTCGGGCAGAC</t>
  </si>
  <si>
    <t xml:space="preserve">TAGTAGAAGCGATGTCGGGCAGAC</t>
  </si>
  <si>
    <t xml:space="preserve">AAACGTCTGCCCGACATCGCTTCT</t>
  </si>
  <si>
    <t xml:space="preserve">GGAGCCCCACTGCTGCAGTG</t>
  </si>
  <si>
    <t xml:space="preserve">TAGTGGAGCCCCACTGCTGCAGTG</t>
  </si>
  <si>
    <t xml:space="preserve">AAACCACTGCAGCAGTGGGGCTCC</t>
  </si>
  <si>
    <t xml:space="preserve">GTAGAGGCCCAGGCGGACAA</t>
  </si>
  <si>
    <t xml:space="preserve">TAGTGTAGAGGCCCAGGCGGACAA</t>
  </si>
  <si>
    <t xml:space="preserve">AAACTTGTCCGCCTGGGCCTCTAC</t>
  </si>
  <si>
    <t xml:space="preserve">PSPPH_B0027</t>
  </si>
  <si>
    <t xml:space="preserve">TCTCTTGAGTACTTCGTTAC</t>
  </si>
  <si>
    <t xml:space="preserve">TAGTTCTCTTGAGTACTTCGTTAC</t>
  </si>
  <si>
    <t xml:space="preserve">AAACGTAACGAAGTACTCAAGAGA</t>
  </si>
  <si>
    <t xml:space="preserve">CATGGCGTTGTAGCTTTCGA</t>
  </si>
  <si>
    <t xml:space="preserve">TAGTCATGGCGTTGTAGCTTTCGA</t>
  </si>
  <si>
    <t xml:space="preserve">AAACTCGAAAGCTACAACGCCATG</t>
  </si>
  <si>
    <t xml:space="preserve">GGAATGTTCCAGAACATCGC</t>
  </si>
  <si>
    <t xml:space="preserve">TAGTGGAATGTTCCAGAACATCGC</t>
  </si>
  <si>
    <t xml:space="preserve">AAACGCGATGTTCTGGAACATTCC</t>
  </si>
  <si>
    <t xml:space="preserve">AAGCCCACCATCGGCATGAT</t>
  </si>
  <si>
    <t xml:space="preserve">TAGTAAGCCCACCATCGGCATGAT</t>
  </si>
  <si>
    <t xml:space="preserve">AAACATCATGCCGATGGTGGGCTT</t>
  </si>
  <si>
    <t xml:space="preserve">PSPPH_B0028</t>
  </si>
  <si>
    <t xml:space="preserve">GGTTGAGGTTGTTGAACAGT</t>
  </si>
  <si>
    <t xml:space="preserve">TAGTGGTTGAGGTTGTTGAACAGT</t>
  </si>
  <si>
    <t xml:space="preserve">AAACACTGTTCAACAACCTCAACC</t>
  </si>
  <si>
    <t xml:space="preserve">TGCCCAGGGCCAGGAAGTAG</t>
  </si>
  <si>
    <t xml:space="preserve">TAGTTGCCCAGGGCCAGGAAGTAG</t>
  </si>
  <si>
    <t xml:space="preserve">AAACCTACTTCCTGGCCCTGGGCA</t>
  </si>
  <si>
    <t xml:space="preserve">PSPPH_B0029</t>
  </si>
  <si>
    <t xml:space="preserve">GTGAGCAGCCGGCAGGGCTG</t>
  </si>
  <si>
    <t xml:space="preserve">TAGTGTGAGCAGCCGGCAGGGCTG</t>
  </si>
  <si>
    <t xml:space="preserve">AAACCAGCCCTGCCGGCTGCTCAC</t>
  </si>
  <si>
    <t xml:space="preserve">GGGTCCAGGACCGGAACGCC</t>
  </si>
  <si>
    <t xml:space="preserve">TAGTGGGTCCAGGACCGGAACGCC</t>
  </si>
  <si>
    <t xml:space="preserve">AAACGGCGTTCCGGTCCTGGACCC</t>
  </si>
  <si>
    <t xml:space="preserve">TCAACGCGAGAAGGGTAGAC</t>
  </si>
  <si>
    <t xml:space="preserve">TAGTTCAACGCGAGAAGGGTAGAC</t>
  </si>
  <si>
    <t xml:space="preserve">AAACGTCTACCCTTCTCGCGTTGA</t>
  </si>
  <si>
    <t xml:space="preserve">GTCCATAGCCTGCTTGGCCT</t>
  </si>
  <si>
    <t xml:space="preserve">TAGTGTCCATAGCCTGCTTGGCCT</t>
  </si>
  <si>
    <t xml:space="preserve">AAACAGGCCAAGCAGGCTATGGAC</t>
  </si>
  <si>
    <t xml:space="preserve">PSPPH_B0030</t>
  </si>
  <si>
    <t xml:space="preserve">AGTTGGTTTGTACATCCTCT</t>
  </si>
  <si>
    <t xml:space="preserve">TAGTAGTTGGTTTGTACATCCTCT</t>
  </si>
  <si>
    <t xml:space="preserve">AAACAGAGGATGTACAAACCAACT</t>
  </si>
  <si>
    <t xml:space="preserve">AAGCACTAGCAAGATCAATA</t>
  </si>
  <si>
    <t xml:space="preserve">TAGTAAGCACTAGCAAGATCAATA</t>
  </si>
  <si>
    <t xml:space="preserve">AAACTATTGATCTTGCTAGTGCTT</t>
  </si>
  <si>
    <t xml:space="preserve">AACTTTTGTAAATTCGTAAT</t>
  </si>
  <si>
    <t xml:space="preserve">TAGTAACTTTTGTAAATTCGTAAT</t>
  </si>
  <si>
    <t xml:space="preserve">AAACATTACGAATTTACAAAAGTT</t>
  </si>
  <si>
    <t xml:space="preserve">TACCGTATCCGACTCAGCTT</t>
  </si>
  <si>
    <t xml:space="preserve">TAGTTACCGTATCCGACTCAGCTT</t>
  </si>
  <si>
    <t xml:space="preserve">AAACAAGCTGAGTCGGATACGGTA</t>
  </si>
  <si>
    <t xml:space="preserve">PSPPH_B0031</t>
  </si>
  <si>
    <t xml:space="preserve">AACGAAACCAAACAACGTCT</t>
  </si>
  <si>
    <t xml:space="preserve">TAGTAACGAAACCAAACAACGTCT</t>
  </si>
  <si>
    <t xml:space="preserve">AAACAGACGTTGTTTGGTTTCGTT</t>
  </si>
  <si>
    <t xml:space="preserve">GACCAAGGTGCTTTGCAGGG</t>
  </si>
  <si>
    <t xml:space="preserve">TAGTGACCAAGGTGCTTTGCAGGG</t>
  </si>
  <si>
    <t xml:space="preserve">AAACCCCTGCAAAGCACCTTGGTC</t>
  </si>
  <si>
    <t xml:space="preserve">CAGCATCACCTTGGCCATCC</t>
  </si>
  <si>
    <t xml:space="preserve">TAGTCAGCATCACCTTGGCCATCC</t>
  </si>
  <si>
    <t xml:space="preserve">AAACGGATGGCCAAGGTGATGCTG</t>
  </si>
  <si>
    <t xml:space="preserve">GGTAAAGTGGATCAACCACA</t>
  </si>
  <si>
    <t xml:space="preserve">TAGTGGTAAAGTGGATCAACCACA</t>
  </si>
  <si>
    <t xml:space="preserve">AAACTGTGGTTGATCCACTTTACC</t>
  </si>
  <si>
    <t xml:space="preserve">PSPPH_B0032</t>
  </si>
  <si>
    <t xml:space="preserve">AGAGCCACACCCTGCCAGCA</t>
  </si>
  <si>
    <t xml:space="preserve">TAGTAGAGCCACACCCTGCCAGCA</t>
  </si>
  <si>
    <t xml:space="preserve">AAACTGCTGGCAGGGTGTGGCTCT</t>
  </si>
  <si>
    <t xml:space="preserve">CCCTCGGGTTTGGAAAGTTT</t>
  </si>
  <si>
    <t xml:space="preserve">TAGTCCCTCGGGTTTGGAAAGTTT</t>
  </si>
  <si>
    <t xml:space="preserve">AAACAAACTTTCCAAACCCGAGGG</t>
  </si>
  <si>
    <t xml:space="preserve">GGTGCAGGGGCATGGGTGAA</t>
  </si>
  <si>
    <t xml:space="preserve">TAGTGGTGCAGGGGCATGGGTGAA</t>
  </si>
  <si>
    <t xml:space="preserve">AAACTTCACCCATGCCCCTGCACC</t>
  </si>
  <si>
    <t xml:space="preserve">TTTGTCACGGGGGCAGCCCG</t>
  </si>
  <si>
    <t xml:space="preserve">TAGTTTTGTCACGGGGGCAGCCCG</t>
  </si>
  <si>
    <t xml:space="preserve">AAACCGGGCTGCCCCCGTGACAAA</t>
  </si>
  <si>
    <t xml:space="preserve">PSPPH_B0033</t>
  </si>
  <si>
    <t xml:space="preserve">CTGCTCGATCACGTCCTGTT</t>
  </si>
  <si>
    <t xml:space="preserve">TAGTCTGCTCGATCACGTCCTGTT</t>
  </si>
  <si>
    <t xml:space="preserve">AAACAACAGGACGTGATCGAGCAG</t>
  </si>
  <si>
    <t xml:space="preserve">CGCATCGATGCTGGTACGGG</t>
  </si>
  <si>
    <t xml:space="preserve">TAGTCGCATCGATGCTGGTACGGG</t>
  </si>
  <si>
    <t xml:space="preserve">AAACCCCGTACCAGCATCGATGCG</t>
  </si>
  <si>
    <t xml:space="preserve">CAGGCTGATTTCTTGTGCGG</t>
  </si>
  <si>
    <t xml:space="preserve">TAGTCAGGCTGATTTCTTGTGCGG</t>
  </si>
  <si>
    <t xml:space="preserve">AAACCCGCACAAGAAATCAGCCTG</t>
  </si>
  <si>
    <t xml:space="preserve">AAACCGCGCTGCGTGGGTAA</t>
  </si>
  <si>
    <t xml:space="preserve">TAGTAAACCGCGCTGCGTGGGTAA</t>
  </si>
  <si>
    <t xml:space="preserve">AAACTTACCCACGCAGCGCGGTTT</t>
  </si>
  <si>
    <t xml:space="preserve">PSPPH_B0034</t>
  </si>
  <si>
    <t xml:space="preserve">TCAGGAGCAACAAGGCGGTG</t>
  </si>
  <si>
    <t xml:space="preserve">TAGTTCAGGAGCAACAAGGCGGTG</t>
  </si>
  <si>
    <t xml:space="preserve">AAACCACCGCCTTGTTGCTCCTGA</t>
  </si>
  <si>
    <t xml:space="preserve">GCTCTCGGCGAGGACGGGCA</t>
  </si>
  <si>
    <t xml:space="preserve">TAGTGCTCTCGGCGAGGACGGGCA</t>
  </si>
  <si>
    <t xml:space="preserve">AAACTGCCCGTCCTCGCCGAGAGC</t>
  </si>
  <si>
    <t xml:space="preserve">ACGGCGGTCCAGTGCCGAAC</t>
  </si>
  <si>
    <t xml:space="preserve">TAGTACGGCGGTCCAGTGCCGAAC</t>
  </si>
  <si>
    <t xml:space="preserve">AAACGTTCGGCACTGGACCGCCGT</t>
  </si>
  <si>
    <t xml:space="preserve">CACCTCGTCAGGCGAATAAA</t>
  </si>
  <si>
    <t xml:space="preserve">TAGTCACCTCGTCAGGCGAATAAA</t>
  </si>
  <si>
    <t xml:space="preserve">AAACTTTATTCGCCTGACGAGGTG</t>
  </si>
  <si>
    <t xml:space="preserve">PSPPH_B0035</t>
  </si>
  <si>
    <t xml:space="preserve">CTTGAGTGTTCTCAGGAGCC</t>
  </si>
  <si>
    <t xml:space="preserve">TAGTCTTGAGTGTTCTCAGGAGCC</t>
  </si>
  <si>
    <t xml:space="preserve">AAACGGCTCCTGAGAACACTCAAG</t>
  </si>
  <si>
    <t xml:space="preserve">GATGCTGTCTGGCTGGGCGG</t>
  </si>
  <si>
    <t xml:space="preserve">TAGTGATGCTGTCTGGCTGGGCGG</t>
  </si>
  <si>
    <t xml:space="preserve">AAACCCGCCCAGCCAGACAGCATC</t>
  </si>
  <si>
    <t xml:space="preserve">TGACCAGCTGCGGGTTCGGG</t>
  </si>
  <si>
    <t xml:space="preserve">TAGTTGACCAGCTGCGGGTTCGGG</t>
  </si>
  <si>
    <t xml:space="preserve">AAACCCCGAACCCGCAGCTGGTCA</t>
  </si>
  <si>
    <t xml:space="preserve">CGGGGCCGGGGATTGCTCCG</t>
  </si>
  <si>
    <t xml:space="preserve">TAGTCGGGGCCGGGGATTGCTCCG</t>
  </si>
  <si>
    <t xml:space="preserve">AAACCGGAGCAATCCCCGGCCCCG</t>
  </si>
  <si>
    <t xml:space="preserve">PSPPH_B0036</t>
  </si>
  <si>
    <t xml:space="preserve">GTCCAGGACAAGCGTGTCTT</t>
  </si>
  <si>
    <t xml:space="preserve">TAGTGTCCAGGACAAGCGTGTCTT</t>
  </si>
  <si>
    <t xml:space="preserve">AAACAAGACACGCTTGTCCTGGAC</t>
  </si>
  <si>
    <t xml:space="preserve">GGCGCTCGGTGACGCCTGCC</t>
  </si>
  <si>
    <t xml:space="preserve">TAGTGGCGCTCGGTGACGCCTGCC</t>
  </si>
  <si>
    <t xml:space="preserve">AAACGGCAGGCGTCACCGAGCGCC</t>
  </si>
  <si>
    <t xml:space="preserve">CCTTGGTGCCTGGACGATTC</t>
  </si>
  <si>
    <t xml:space="preserve">TAGTCCTTGGTGCCTGGACGATTC</t>
  </si>
  <si>
    <t xml:space="preserve">AAACGAATCGTCCAGGCACCAAGG</t>
  </si>
  <si>
    <t xml:space="preserve">CAGTTCGTAAGGCCGGTTGA</t>
  </si>
  <si>
    <t xml:space="preserve">TAGTCAGTTCGTAAGGCCGGTTGA</t>
  </si>
  <si>
    <t xml:space="preserve">AAACTCAACCGGCCTTACGAACTG</t>
  </si>
  <si>
    <t xml:space="preserve">PSPPH_B0037</t>
  </si>
  <si>
    <t xml:space="preserve">AGTGCCCCTGAGTAAGCTGT</t>
  </si>
  <si>
    <t xml:space="preserve">TAGTAGTGCCCCTGAGTAAGCTGT</t>
  </si>
  <si>
    <t xml:space="preserve">AAACACAGCTTACTCAGGGGCACT</t>
  </si>
  <si>
    <t xml:space="preserve">CCCATAGCGTGTCCCAGGAC</t>
  </si>
  <si>
    <t xml:space="preserve">TAGTCCCATAGCGTGTCCCAGGAC</t>
  </si>
  <si>
    <t xml:space="preserve">AAACGTCCTGGGACACGCTATGGG</t>
  </si>
  <si>
    <t xml:space="preserve">GTCGTTCCAGGGCAGCTTAC</t>
  </si>
  <si>
    <t xml:space="preserve">TAGTGTCGTTCCAGGGCAGCTTAC</t>
  </si>
  <si>
    <t xml:space="preserve">AAACGTAAGCTGCCCTGGAACGAC</t>
  </si>
  <si>
    <t xml:space="preserve">PSPPH_B0038</t>
  </si>
  <si>
    <t xml:space="preserve">AATTCTTTTGACTGTTCCAT</t>
  </si>
  <si>
    <t xml:space="preserve">TAGTAATTCTTTTGACTGTTCCAT</t>
  </si>
  <si>
    <t xml:space="preserve">AAACATGGAACAGTCAAAAGAATT</t>
  </si>
  <si>
    <t xml:space="preserve">GGCAAACCCAGAAAGAGACG</t>
  </si>
  <si>
    <t xml:space="preserve">TAGTGGCAAACCCAGAAAGAGACG</t>
  </si>
  <si>
    <t xml:space="preserve">AAACCGTCTCTTTCTGGGTTTGCC</t>
  </si>
  <si>
    <t xml:space="preserve">ACGCCCAGCGCAATGGGCAA</t>
  </si>
  <si>
    <t xml:space="preserve">TAGTACGCCCAGCGCAATGGGCAA</t>
  </si>
  <si>
    <t xml:space="preserve">AAACTTGCCCATTGCGCTGGGCGT</t>
  </si>
  <si>
    <t xml:space="preserve">TTCACTGATCTCATCGAGCT</t>
  </si>
  <si>
    <t xml:space="preserve">TAGTTTCACTGATCTCATCGAGCT</t>
  </si>
  <si>
    <t xml:space="preserve">AAACAGCTCGATGAGATCAGTGAA</t>
  </si>
  <si>
    <t xml:space="preserve">PSPPH_B0039</t>
  </si>
  <si>
    <t xml:space="preserve">TGATGTGTTGAATAATTTCA</t>
  </si>
  <si>
    <t xml:space="preserve">TAGTTGATGTGTTGAATAATTTCA</t>
  </si>
  <si>
    <t xml:space="preserve">AAACTGAAATTATTCAACACATCA</t>
  </si>
  <si>
    <t xml:space="preserve">CGATCGATCCAGCCTGGCTA</t>
  </si>
  <si>
    <t xml:space="preserve">TAGTCGATCGATCCAGCCTGGCTA</t>
  </si>
  <si>
    <t xml:space="preserve">AAACTAGCCAGGCTGGATCGATCG</t>
  </si>
  <si>
    <t xml:space="preserve">GTTCATCACCAGCTCGATGA</t>
  </si>
  <si>
    <t xml:space="preserve">TAGTGTTCATCACCAGCTCGATGA</t>
  </si>
  <si>
    <t xml:space="preserve">AAACTCATCGAGCTGGTGATGAAC</t>
  </si>
  <si>
    <t xml:space="preserve">CAGGCGCAATGCCGTGGCGT</t>
  </si>
  <si>
    <t xml:space="preserve">TAGTCAGGCGCAATGCCGTGGCGT</t>
  </si>
  <si>
    <t xml:space="preserve">AAACACGCCACGGCATTGCGCCTG</t>
  </si>
  <si>
    <t xml:space="preserve">PSPPH_B0040</t>
  </si>
  <si>
    <t xml:space="preserve">GCCAAGCGGTGGCAGGCCAA</t>
  </si>
  <si>
    <t xml:space="preserve">TAGTGCCAAGCGGTGGCAGGCCAA</t>
  </si>
  <si>
    <t xml:space="preserve">AAACTTGGCCTGCCACCGCTTGGC</t>
  </si>
  <si>
    <t xml:space="preserve">CACAGCGGACAGGGTCAGTG</t>
  </si>
  <si>
    <t xml:space="preserve">TAGTCACAGCGGACAGGGTCAGTG</t>
  </si>
  <si>
    <t xml:space="preserve">AAACCACTGACCCTGTCCGCTGTG</t>
  </si>
  <si>
    <t xml:space="preserve">CTGGGTGGCGCAGCCGGTCA</t>
  </si>
  <si>
    <t xml:space="preserve">TAGTCTGGGTGGCGCAGCCGGTCA</t>
  </si>
  <si>
    <t xml:space="preserve">AAACTGACCGGCTGCGCCACCCAG</t>
  </si>
  <si>
    <t xml:space="preserve">TGGGTCTGTTCATCAACCTG</t>
  </si>
  <si>
    <t xml:space="preserve">TAGTTGGGTCTGTTCATCAACCTG</t>
  </si>
  <si>
    <t xml:space="preserve">AAACCAGGTTGATGAACAGACCCA</t>
  </si>
  <si>
    <t xml:space="preserve">PSPPH_B0041</t>
  </si>
  <si>
    <t xml:space="preserve">GATGGGTTGCGATTTGGCTT</t>
  </si>
  <si>
    <t xml:space="preserve">TAGTGATGGGTTGCGATTTGGCTT</t>
  </si>
  <si>
    <t xml:space="preserve">AAACAAGCCAAATCGCAACCCATC</t>
  </si>
  <si>
    <t xml:space="preserve">TCCGTTTTTGTGGGTTGGTC</t>
  </si>
  <si>
    <t xml:space="preserve">TAGTTCCGTTTTTGTGGGTTGGTC</t>
  </si>
  <si>
    <t xml:space="preserve">AAACGACCAACCCACAAAAACGGA</t>
  </si>
  <si>
    <t xml:space="preserve">GCTTGCCGAGCAGGAACGCG</t>
  </si>
  <si>
    <t xml:space="preserve">TAGTGCTTGCCGAGCAGGAACGCG</t>
  </si>
  <si>
    <t xml:space="preserve">AAACCGCGTTCCTGCTCGGCAAGC</t>
  </si>
  <si>
    <t xml:space="preserve">CCAGAAACGAATCTTCCGTG</t>
  </si>
  <si>
    <t xml:space="preserve">TAGTCCAGAAACGAATCTTCCGTG</t>
  </si>
  <si>
    <t xml:space="preserve">AAACCACGGAAGATTCGTTTCTGG</t>
  </si>
  <si>
    <t xml:space="preserve">PSPPH_B0042</t>
  </si>
  <si>
    <t xml:space="preserve">GCGGTCAGCCGTTTTGTTGA</t>
  </si>
  <si>
    <t xml:space="preserve">TAGTGCGGTCAGCCGTTTTGTTGA</t>
  </si>
  <si>
    <t xml:space="preserve">AAACTCAACAAAACGGCTGACCGC</t>
  </si>
  <si>
    <t xml:space="preserve">CGTTGCCGGCGGCATGACCC</t>
  </si>
  <si>
    <t xml:space="preserve">TAGTCGTTGCCGGCGGCATGACCC</t>
  </si>
  <si>
    <t xml:space="preserve">AAACGGGTCATGCCGCCGGCAACG</t>
  </si>
  <si>
    <t xml:space="preserve">TGTTTTGCCGCGACCGGGCA</t>
  </si>
  <si>
    <t xml:space="preserve">TAGTTGTTTTGCCGCGACCGGGCA</t>
  </si>
  <si>
    <t xml:space="preserve">AAACTGCCCGGTCGCGGCAAAACA</t>
  </si>
  <si>
    <t xml:space="preserve">GGGCTGAGCCGCTGCCCATC</t>
  </si>
  <si>
    <t xml:space="preserve">TAGTGGGCTGAGCCGCTGCCCATC</t>
  </si>
  <si>
    <t xml:space="preserve">AAACGATGGGCAGCGGCTCAGCCC</t>
  </si>
  <si>
    <t xml:space="preserve">PSPPH_B0043</t>
  </si>
  <si>
    <t xml:space="preserve">topB2</t>
  </si>
  <si>
    <t xml:space="preserve">TTCCGCAATGAATACTCGCA</t>
  </si>
  <si>
    <t xml:space="preserve">TAGTTTCCGCAATGAATACTCGCA</t>
  </si>
  <si>
    <t xml:space="preserve">AAACTGCGAGTATTCATTGCGGAA</t>
  </si>
  <si>
    <t xml:space="preserve">GCAATGACCTGGCCCAGGGC</t>
  </si>
  <si>
    <t xml:space="preserve">TAGTGCAATGACCTGGCCCAGGGC</t>
  </si>
  <si>
    <t xml:space="preserve">AAACGCCCTGGGCCAGGTCATTGC</t>
  </si>
  <si>
    <t xml:space="preserve">TATGACAGTGCCCAGCGCCT</t>
  </si>
  <si>
    <t xml:space="preserve">TAGTTATGACAGTGCCCAGCGCCT</t>
  </si>
  <si>
    <t xml:space="preserve">AAACAGGCGCTGGGCACTGTCATA</t>
  </si>
  <si>
    <t xml:space="preserve">GAGCAGGTGGCCCACGCACC</t>
  </si>
  <si>
    <t xml:space="preserve">TAGTGAGCAGGTGGCCCACGCACC</t>
  </si>
  <si>
    <t xml:space="preserve">AAACGGTGCGTGGGCCACCTGCTC</t>
  </si>
  <si>
    <t xml:space="preserve">PSPPH_B0044</t>
  </si>
  <si>
    <t xml:space="preserve">TTCTTGGGCTGTTGTTCCTC</t>
  </si>
  <si>
    <t xml:space="preserve">TAGTTTCTTGGGCTGTTGTTCCTC</t>
  </si>
  <si>
    <t xml:space="preserve">AAACGAGGAACAACAGCCCAAGAA</t>
  </si>
  <si>
    <t xml:space="preserve">GCCGTCATCGTTTCGCCGTC</t>
  </si>
  <si>
    <t xml:space="preserve">TAGTGCCGTCATCGTTTCGCCGTC</t>
  </si>
  <si>
    <t xml:space="preserve">AAACGACGGCGAAACGATGACGGC</t>
  </si>
  <si>
    <t xml:space="preserve">TCGCAGGGGTTTCGCAGTTG</t>
  </si>
  <si>
    <t xml:space="preserve">TAGTTCGCAGGGGTTTCGCAGTTG</t>
  </si>
  <si>
    <t xml:space="preserve">AAACCAACTGCGAAACCCCTGCGA</t>
  </si>
  <si>
    <t xml:space="preserve">GTCGCAATCCACTGGACGCC</t>
  </si>
  <si>
    <t xml:space="preserve">TAGTGTCGCAATCCACTGGACGCC</t>
  </si>
  <si>
    <t xml:space="preserve">AAACGGCGTCCAGTGGATTGCGAC</t>
  </si>
  <si>
    <t xml:space="preserve">PSPPH_B0045</t>
  </si>
  <si>
    <t xml:space="preserve">GACTTCTGGATCCTGTCCGC</t>
  </si>
  <si>
    <t xml:space="preserve">TAGTGACTTCTGGATCCTGTCCGC</t>
  </si>
  <si>
    <t xml:space="preserve">AAACGCGGACAGGATCCAGAAGTC</t>
  </si>
  <si>
    <t xml:space="preserve">CAGTGCTGTTGGGCATGTAA</t>
  </si>
  <si>
    <t xml:space="preserve">TAGTCAGTGCTGTTGGGCATGTAA</t>
  </si>
  <si>
    <t xml:space="preserve">AAACTTACATGCCCAACAGCACTG</t>
  </si>
  <si>
    <t xml:space="preserve">GCTGGTGGCCAGGCTCAGGT</t>
  </si>
  <si>
    <t xml:space="preserve">TAGTGCTGGTGGCCAGGCTCAGGT</t>
  </si>
  <si>
    <t xml:space="preserve">AAACACCTGAGCCTGGCCACCAGC</t>
  </si>
  <si>
    <t xml:space="preserve">CTTCTGCCCGCTCTGCTTGT</t>
  </si>
  <si>
    <t xml:space="preserve">TAGTCTTCTGCCCGCTCTGCTTGT</t>
  </si>
  <si>
    <t xml:space="preserve">AAACACAAGCAGAGCGGGCAGAAG</t>
  </si>
  <si>
    <t xml:space="preserve">PSPPH_B0046</t>
  </si>
  <si>
    <t xml:space="preserve">GAAGCTACCCCACACTCCCA</t>
  </si>
  <si>
    <t xml:space="preserve">TAGTGAAGCTACCCCACACTCCCA</t>
  </si>
  <si>
    <t xml:space="preserve">AAACTGGGAGTGTGGGGTAGCTTC</t>
  </si>
  <si>
    <t xml:space="preserve">TTGACCTCGGGAGCGCGGGG</t>
  </si>
  <si>
    <t xml:space="preserve">TAGTTTGACCTCGGGAGCGCGGGG</t>
  </si>
  <si>
    <t xml:space="preserve">AAACCCCCGCGCTCCCGAGGTCAA</t>
  </si>
  <si>
    <t xml:space="preserve">CGGCCCTTGTCATCTCGCAA</t>
  </si>
  <si>
    <t xml:space="preserve">TAGTCGGCCCTTGTCATCTCGCAA</t>
  </si>
  <si>
    <t xml:space="preserve">AAACTTGCGAGATGACAAGGGCCG</t>
  </si>
  <si>
    <t xml:space="preserve">GAGTTTCAACACCAAGGGCG</t>
  </si>
  <si>
    <t xml:space="preserve">TAGTGAGTTTCAACACCAAGGGCG</t>
  </si>
  <si>
    <t xml:space="preserve">AAACCGCCCTTGGTGTTGAAACTC</t>
  </si>
  <si>
    <t xml:space="preserve">PSPPH_B0047</t>
  </si>
  <si>
    <t xml:space="preserve">TTTCGGAGAAAACACTTTCC</t>
  </si>
  <si>
    <t xml:space="preserve">TAGTTTTCGGAGAAAACACTTTCC</t>
  </si>
  <si>
    <t xml:space="preserve">AAACGGAAAGTGTTTTCTCCGAAA</t>
  </si>
  <si>
    <t xml:space="preserve">CCAGAATAACGGAAATAACC</t>
  </si>
  <si>
    <t xml:space="preserve">TAGTCCAGAATAACGGAAATAACC</t>
  </si>
  <si>
    <t xml:space="preserve">AAACGGTTATTTCCGTTATTCTGG</t>
  </si>
  <si>
    <t xml:space="preserve">TTCATTGAGTAGCATTTTGT</t>
  </si>
  <si>
    <t xml:space="preserve">TAGTTTCATTGAGTAGCATTTTGT</t>
  </si>
  <si>
    <t xml:space="preserve">AAACACAAAATGCTACTCAATGAA</t>
  </si>
  <si>
    <t xml:space="preserve">GTCGCGTACGACTTCGTGAA</t>
  </si>
  <si>
    <t xml:space="preserve">TAGTGTCGCGTACGACTTCGTGAA</t>
  </si>
  <si>
    <t xml:space="preserve">AAACTTCACGAAGTCGTACGCGAC</t>
  </si>
  <si>
    <t xml:space="preserve">PSPPH_B0048</t>
  </si>
  <si>
    <t xml:space="preserve">GGCTAGAGAAGATTTGGGCA</t>
  </si>
  <si>
    <t xml:space="preserve">TAGTGGCTAGAGAAGATTTGGGCA</t>
  </si>
  <si>
    <t xml:space="preserve">AAACTGCCCAAATCTTCTCTAGCC</t>
  </si>
  <si>
    <t xml:space="preserve">GGCCATTTCTATCAGGGTAT</t>
  </si>
  <si>
    <t xml:space="preserve">TAGTGGCCATTTCTATCAGGGTAT</t>
  </si>
  <si>
    <t xml:space="preserve">AAACATACCCTGATAGAAATGGCC</t>
  </si>
  <si>
    <t xml:space="preserve">ATTTCGCCCGCTTTGGGCGT</t>
  </si>
  <si>
    <t xml:space="preserve">TAGTATTTCGCCCGCTTTGGGCGT</t>
  </si>
  <si>
    <t xml:space="preserve">AAACACGCCCAAAGCGGGCGAAAT</t>
  </si>
  <si>
    <t xml:space="preserve">GAAGATGTCCCGAAGGCGGC</t>
  </si>
  <si>
    <t xml:space="preserve">TAGTGAAGATGTCCCGAAGGCGGC</t>
  </si>
  <si>
    <t xml:space="preserve">AAACGCCGCCTTCGGGACATCTTC</t>
  </si>
  <si>
    <t xml:space="preserve">PSPPH_B0049</t>
  </si>
  <si>
    <t xml:space="preserve">TTAGGGGGCTGCTCAGCCAT</t>
  </si>
  <si>
    <t xml:space="preserve">TAGTTTAGGGGGCTGCTCAGCCAT</t>
  </si>
  <si>
    <t xml:space="preserve">AAACATGGCTGAGCAGCCCCCTAA</t>
  </si>
  <si>
    <t xml:space="preserve">CACACGCAGGGTCAGGACAC</t>
  </si>
  <si>
    <t xml:space="preserve">TAGTCACACGCAGGGTCAGGACAC</t>
  </si>
  <si>
    <t xml:space="preserve">AAACGTGTCCTGACCCTGCGTGTG</t>
  </si>
  <si>
    <t xml:space="preserve">CTTGGTCTTCCTGAGTATCT</t>
  </si>
  <si>
    <t xml:space="preserve">TAGTCTTGGTCTTCCTGAGTATCT</t>
  </si>
  <si>
    <t xml:space="preserve">AAACAGATACTCAGGAAGACCAAG</t>
  </si>
  <si>
    <t xml:space="preserve">AAAAACGTCACGCAGGAACT</t>
  </si>
  <si>
    <t xml:space="preserve">TAGTAAAAACGTCACGCAGGAACT</t>
  </si>
  <si>
    <t xml:space="preserve">AAACAGTTCCTGCGTGACGTTTTT</t>
  </si>
  <si>
    <t xml:space="preserve">PSPPH_B0050</t>
  </si>
  <si>
    <t xml:space="preserve">GCGCCAGTATTGTAGCCACT</t>
  </si>
  <si>
    <t xml:space="preserve">TAGTGCGCCAGTATTGTAGCCACT</t>
  </si>
  <si>
    <t xml:space="preserve">AAACAGTGGCTACAATACTGGCGC</t>
  </si>
  <si>
    <t xml:space="preserve">ACGGGTTAAATCTAGATCAC</t>
  </si>
  <si>
    <t xml:space="preserve">TAGTACGGGTTAAATCTAGATCAC</t>
  </si>
  <si>
    <t xml:space="preserve">AAACGTGATCTAGATTTAACCCGT</t>
  </si>
  <si>
    <t xml:space="preserve">TAGCGGTCCTGGCCGCGATC</t>
  </si>
  <si>
    <t xml:space="preserve">TAGTTAGCGGTCCTGGCCGCGATC</t>
  </si>
  <si>
    <t xml:space="preserve">AAACGATCGCGGCCAGGACCGCTA</t>
  </si>
  <si>
    <t xml:space="preserve">GAAAGCTAAGCGTGAATGTC</t>
  </si>
  <si>
    <t xml:space="preserve">TAGTGAAAGCTAAGCGTGAATGTC</t>
  </si>
  <si>
    <t xml:space="preserve">AAACGACATTCACGCTTAGCTTTC</t>
  </si>
  <si>
    <t xml:space="preserve">PSPPH_B0051</t>
  </si>
  <si>
    <t xml:space="preserve">CGTGCATTTTTTGCGTTCTG</t>
  </si>
  <si>
    <t xml:space="preserve">TAGTCGTGCATTTTTTGCGTTCTG</t>
  </si>
  <si>
    <t xml:space="preserve">AAACCAGAACGCAAAAAATGCACG</t>
  </si>
  <si>
    <t xml:space="preserve">CTGTGCAATGCCGAGGGCAA</t>
  </si>
  <si>
    <t xml:space="preserve">TAGTCTGTGCAATGCCGAGGGCAA</t>
  </si>
  <si>
    <t xml:space="preserve">AAACTTGCCCTCGGCATTGCACAG</t>
  </si>
  <si>
    <t xml:space="preserve">GTCTCGCGGGGCAGCGCTAT</t>
  </si>
  <si>
    <t xml:space="preserve">TAGTGTCTCGCGGGGCAGCGCTAT</t>
  </si>
  <si>
    <t xml:space="preserve">AAACATAGCGCTGCCCCGCGAGAC</t>
  </si>
  <si>
    <t xml:space="preserve">TTCAAGCCGTCCATCCATAA</t>
  </si>
  <si>
    <t xml:space="preserve">TAGTTTCAAGCCGTCCATCCATAA</t>
  </si>
  <si>
    <t xml:space="preserve">AAACTTATGGATGGACGGCTTGAA</t>
  </si>
  <si>
    <t xml:space="preserve">PSPPH_B0052</t>
  </si>
  <si>
    <t xml:space="preserve">CCAGCGCCTCGATGGTGGAC</t>
  </si>
  <si>
    <t xml:space="preserve">TAGTCCAGCGCCTCGATGGTGGAC</t>
  </si>
  <si>
    <t xml:space="preserve">AAACGTCCACCATCGAGGCGCTGG</t>
  </si>
  <si>
    <t xml:space="preserve">GGCTGGGAGTTTTGCTTCCT</t>
  </si>
  <si>
    <t xml:space="preserve">TAGTGGCTGGGAGTTTTGCTTCCT</t>
  </si>
  <si>
    <t xml:space="preserve">AAACAGGAAGCAAAACTCCCAGCC</t>
  </si>
  <si>
    <t xml:space="preserve">AGTTGCCGTGCCATCATAGT</t>
  </si>
  <si>
    <t xml:space="preserve">TAGTAGTTGCCGTGCCATCATAGT</t>
  </si>
  <si>
    <t xml:space="preserve">AAACACTATGATGGCACGGCAACT</t>
  </si>
  <si>
    <t xml:space="preserve">TCGCAGGCCCGATGCGCCTC</t>
  </si>
  <si>
    <t xml:space="preserve">TAGTTCGCAGGCCCGATGCGCCTC</t>
  </si>
  <si>
    <t xml:space="preserve">AAACGAGGCGCATCGGGCCTGCGA</t>
  </si>
  <si>
    <t xml:space="preserve">PSPPH_B0053</t>
  </si>
  <si>
    <t xml:space="preserve">TGGGCGTTTTGCGGCGGCTA</t>
  </si>
  <si>
    <t xml:space="preserve">TAGTTGGGCGTTTTGCGGCGGCTA</t>
  </si>
  <si>
    <t xml:space="preserve">AAACTAGCCGCCGCAAAACGCCCA</t>
  </si>
  <si>
    <t xml:space="preserve">GCAGGTTGTGTGTCCCACGA</t>
  </si>
  <si>
    <t xml:space="preserve">TAGTGCAGGTTGTGTGTCCCACGA</t>
  </si>
  <si>
    <t xml:space="preserve">AAACTCGTGGGACACACAACCTGC</t>
  </si>
  <si>
    <t xml:space="preserve">TCTTGTCCTCGCGCTCGCTG</t>
  </si>
  <si>
    <t xml:space="preserve">TAGTTCTTGTCCTCGCGCTCGCTG</t>
  </si>
  <si>
    <t xml:space="preserve">AAACCAGCGAGCGCGAGGACAAGA</t>
  </si>
  <si>
    <t xml:space="preserve">GGTCAGCGCGGTGCGCTCGC</t>
  </si>
  <si>
    <t xml:space="preserve">TAGTGGTCAGCGCGGTGCGCTCGC</t>
  </si>
  <si>
    <t xml:space="preserve">AAACGCGAGCGCACCGCGCTGACC</t>
  </si>
  <si>
    <t xml:space="preserve">PSPPH_B0054</t>
  </si>
  <si>
    <t xml:space="preserve">CAGTTCGTTCCAATCGTCGT</t>
  </si>
  <si>
    <t xml:space="preserve">TAGTCAGTTCGTTCCAATCGTCGT</t>
  </si>
  <si>
    <t xml:space="preserve">AAACACGACGATTGGAACGAACTG</t>
  </si>
  <si>
    <t xml:space="preserve">GCGGTGGTATCGAAACTCTC</t>
  </si>
  <si>
    <t xml:space="preserve">TAGTGCGGTGGTATCGAAACTCTC</t>
  </si>
  <si>
    <t xml:space="preserve">AAACGAGAGTTTCGATACCACCGC</t>
  </si>
  <si>
    <t xml:space="preserve">ATCGCCGCGCAGCTCGTCCA</t>
  </si>
  <si>
    <t xml:space="preserve">TAGTATCGCCGCGCAGCTCGTCCA</t>
  </si>
  <si>
    <t xml:space="preserve">AAACTGGACGAGCTGCGCGGCGAT</t>
  </si>
  <si>
    <t xml:space="preserve">GCTGCGGAGGCCTGCCGTCT</t>
  </si>
  <si>
    <t xml:space="preserve">TAGTGCTGCGGAGGCCTGCCGTCT</t>
  </si>
  <si>
    <t xml:space="preserve">AAACAGACGGCAGGCCTCCGCAGC</t>
  </si>
  <si>
    <t xml:space="preserve">PSPPH_B0055</t>
  </si>
  <si>
    <t xml:space="preserve">GTAATCGCGTTTGAACCGGC</t>
  </si>
  <si>
    <t xml:space="preserve">TAGTGTAATCGCGTTTGAACCGGC</t>
  </si>
  <si>
    <t xml:space="preserve">AAACGCCGGTTCAAACGCGATTAC</t>
  </si>
  <si>
    <t xml:space="preserve">CGTCTGACGATGCGGGCCTT</t>
  </si>
  <si>
    <t xml:space="preserve">TAGTCGTCTGACGATGCGGGCCTT</t>
  </si>
  <si>
    <t xml:space="preserve">AAACAAGGCCCGCATCGTCAGACG</t>
  </si>
  <si>
    <t xml:space="preserve">ATTCGCCAGGGCTGTGACGA</t>
  </si>
  <si>
    <t xml:space="preserve">TAGTATTCGCCAGGGCTGTGACGA</t>
  </si>
  <si>
    <t xml:space="preserve">AAACTCGTCACAGCCCTGGCGAAT</t>
  </si>
  <si>
    <t xml:space="preserve">GGTGCTTCTCGGCCAGAGGC</t>
  </si>
  <si>
    <t xml:space="preserve">TAGTGGTGCTTCTCGGCCAGAGGC</t>
  </si>
  <si>
    <t xml:space="preserve">AAACGCCTCTGGCCGAGAAGCACC</t>
  </si>
  <si>
    <t xml:space="preserve">PSPPH_B0056</t>
  </si>
  <si>
    <t xml:space="preserve">GACATGATTTCTTCCTCCAA</t>
  </si>
  <si>
    <t xml:space="preserve">TAGTGACATGATTTCTTCCTCCAA</t>
  </si>
  <si>
    <t xml:space="preserve">AAACTTGGAGGAAGAAATCATGTC</t>
  </si>
  <si>
    <t xml:space="preserve">TGTGCTCGTCAATGCGGGCA</t>
  </si>
  <si>
    <t xml:space="preserve">TAGTTGTGCTCGTCAATGCGGGCA</t>
  </si>
  <si>
    <t xml:space="preserve">AAACTGCCCGCATTGACGAGCACA</t>
  </si>
  <si>
    <t xml:space="preserve">TCCCATCGCCGCCAGTACGG</t>
  </si>
  <si>
    <t xml:space="preserve">TAGTTCCCATCGCCGCCAGTACGG</t>
  </si>
  <si>
    <t xml:space="preserve">AAACCCGTACTGGCGGCGATGGGA</t>
  </si>
  <si>
    <t xml:space="preserve">GATGCGGAAGGCGTCAGACA</t>
  </si>
  <si>
    <t xml:space="preserve">TAGTGATGCGGAAGGCGTCAGACA</t>
  </si>
  <si>
    <t xml:space="preserve">AAACTGTCTGACGCCTTCCGCATC</t>
  </si>
  <si>
    <t xml:space="preserve">PSPPH_B0057</t>
  </si>
  <si>
    <t xml:space="preserve">TCGGGCATATCCAATCAGCA</t>
  </si>
  <si>
    <t xml:space="preserve">TAGTTCGGGCATATCCAATCAGCA</t>
  </si>
  <si>
    <t xml:space="preserve">AAACTGCTGATTGGATATGCCCGA</t>
  </si>
  <si>
    <t xml:space="preserve">CAGATCGAGGAGCTGATCAT</t>
  </si>
  <si>
    <t xml:space="preserve">TAGTCAGATCGAGGAGCTGATCAT</t>
  </si>
  <si>
    <t xml:space="preserve">AAACATGATCAGCTCCTCGATCTG</t>
  </si>
  <si>
    <t xml:space="preserve">TTCTGCCTTGGCACCGCTGG</t>
  </si>
  <si>
    <t xml:space="preserve">TAGTTTCTGCCTTGGCACCGCTGG</t>
  </si>
  <si>
    <t xml:space="preserve">AAACCCAGCGGTGCCAAGGCAGAA</t>
  </si>
  <si>
    <t xml:space="preserve">CCGGCGTAGTGTGGCCAGCA</t>
  </si>
  <si>
    <t xml:space="preserve">TAGTCCGGCGTAGTGTGGCCAGCA</t>
  </si>
  <si>
    <t xml:space="preserve">AAACTGCTGGCCACACTACGCCGG</t>
  </si>
  <si>
    <t xml:space="preserve">PSPPH_B0058</t>
  </si>
  <si>
    <t xml:space="preserve">ATTGCATCAGCGAATCATAA</t>
  </si>
  <si>
    <t xml:space="preserve">TAGTATTGCATCAGCGAATCATAA</t>
  </si>
  <si>
    <t xml:space="preserve">AAACTTATGATTCGCTGATGCAAT</t>
  </si>
  <si>
    <t xml:space="preserve">CCGGACTTTTCTTCGGCAAA</t>
  </si>
  <si>
    <t xml:space="preserve">TAGTCCGGACTTTTCTTCGGCAAA</t>
  </si>
  <si>
    <t xml:space="preserve">AAACTTTGCCGAAGAAAAGTCCGG</t>
  </si>
  <si>
    <t xml:space="preserve">CTCCGCTATCGCGGCCACCT</t>
  </si>
  <si>
    <t xml:space="preserve">TAGTCTCCGCTATCGCGGCCACCT</t>
  </si>
  <si>
    <t xml:space="preserve">AAACAGGTGGCCGCGATAGCGGAG</t>
  </si>
  <si>
    <t xml:space="preserve">CAGCGCCCGGTACACGGTGC</t>
  </si>
  <si>
    <t xml:space="preserve">TAGTCAGCGCCCGGTACACGGTGC</t>
  </si>
  <si>
    <t xml:space="preserve">AAACGCACCGTGTACCGGGCGCTG</t>
  </si>
  <si>
    <t xml:space="preserve">PSPPH_B0059</t>
  </si>
  <si>
    <t xml:space="preserve">AAGTACCCGGCTTGGTTCAG</t>
  </si>
  <si>
    <t xml:space="preserve">TAGTAAGTACCCGGCTTGGTTCAG</t>
  </si>
  <si>
    <t xml:space="preserve">AAACCTGAACCAAGCCGGGTACTT</t>
  </si>
  <si>
    <t xml:space="preserve">GATTAGTTGCTGGTGGTGGC</t>
  </si>
  <si>
    <t xml:space="preserve">TAGTGATTAGTTGCTGGTGGTGGC</t>
  </si>
  <si>
    <t xml:space="preserve">AAACGCCACCACCAGCAACTAATC</t>
  </si>
  <si>
    <t xml:space="preserve">CGCCACAGAGTGCAATCAGA</t>
  </si>
  <si>
    <t xml:space="preserve">TAGTCGCCACAGAGTGCAATCAGA</t>
  </si>
  <si>
    <t xml:space="preserve">AAACTCTGATTGCACTCTGTGGCG</t>
  </si>
  <si>
    <t xml:space="preserve">CTGAAGCCGTCGCAGCATCA</t>
  </si>
  <si>
    <t xml:space="preserve">TAGTCTGAAGCCGTCGCAGCATCA</t>
  </si>
  <si>
    <t xml:space="preserve">AAACTGATGCTGCGACGGCTTCAG</t>
  </si>
  <si>
    <t xml:space="preserve">PSPPH_B0060</t>
  </si>
  <si>
    <t xml:space="preserve">TCGTGACCAGGTAGCTGTAA</t>
  </si>
  <si>
    <t xml:space="preserve">TAGTTCGTGACCAGGTAGCTGTAA</t>
  </si>
  <si>
    <t xml:space="preserve">AAACTTACAGCTACCTGGTCACGA</t>
  </si>
  <si>
    <t xml:space="preserve">GGCAGGTGACCGTACTGGGG</t>
  </si>
  <si>
    <t xml:space="preserve">TAGTGGCAGGTGACCGTACTGGGG</t>
  </si>
  <si>
    <t xml:space="preserve">AAACCCCCAGTACGGTCACCTGCC</t>
  </si>
  <si>
    <t xml:space="preserve">GCAACGCACCTCAGCAAGCC</t>
  </si>
  <si>
    <t xml:space="preserve">TAGTGCAACGCACCTCAGCAAGCC</t>
  </si>
  <si>
    <t xml:space="preserve">AAACGGCTTGCTGAGGTGCGTTGC</t>
  </si>
  <si>
    <t xml:space="preserve">CAAGATCGGCCAGCCTCTTA</t>
  </si>
  <si>
    <t xml:space="preserve">TAGTCAAGATCGGCCAGCCTCTTA</t>
  </si>
  <si>
    <t xml:space="preserve">AAACTAAGAGGCTGGCCGATCTTG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</si>
</sst>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u val="singl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99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" activeCellId="0" sqref="A1:L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24"/>
    <col collapsed="false" customWidth="true" hidden="false" outlineLevel="0" max="3" min="2" style="0" width="8.38"/>
    <col collapsed="false" customWidth="true" hidden="false" outlineLevel="0" max="4" min="4" style="0" width="13.93"/>
    <col collapsed="false" customWidth="true" hidden="false" outlineLevel="0" max="5" min="5" style="0" width="11.16"/>
    <col collapsed="false" customWidth="true" hidden="false" outlineLevel="0" max="6" min="6" style="0" width="13.52"/>
    <col collapsed="false" customWidth="true" hidden="false" outlineLevel="0" max="7" min="7" style="0" width="5.46"/>
    <col collapsed="false" customWidth="true" hidden="false" outlineLevel="0" max="8" min="8" style="0" width="6.43"/>
    <col collapsed="false" customWidth="true" hidden="false" outlineLevel="0" max="9" min="9" style="0" width="26.44"/>
    <col collapsed="false" customWidth="true" hidden="false" outlineLevel="0" max="10" min="10" style="0" width="31.16"/>
    <col collapsed="false" customWidth="true" hidden="false" outlineLevel="0" max="11" min="11" style="0" width="31.72"/>
    <col collapsed="false" customWidth="true" hidden="false" outlineLevel="0" max="12" min="12" style="0" width="14.7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12</v>
      </c>
      <c r="B2" s="0" t="n">
        <v>238</v>
      </c>
      <c r="C2" s="0" t="n">
        <v>258</v>
      </c>
      <c r="D2" s="0" t="s">
        <v>13</v>
      </c>
      <c r="E2" s="0" t="s">
        <v>14</v>
      </c>
      <c r="F2" s="0" t="s">
        <v>15</v>
      </c>
      <c r="G2" s="0" t="s">
        <v>16</v>
      </c>
      <c r="H2" s="0" t="n">
        <v>1</v>
      </c>
      <c r="I2" s="0" t="s">
        <v>17</v>
      </c>
      <c r="J2" s="0" t="s">
        <v>18</v>
      </c>
      <c r="K2" s="0" t="s">
        <v>19</v>
      </c>
      <c r="L2" s="0" t="str">
        <f aca="false">HYPERLINK("https://www.ncbi.nlm.nih.gov/nuccore/CP000058.1?report=graph&amp;tracks=[key:gene_model_track,Options:GeneOnly]&amp;mk=239:258|offset_1|00cc00,292:311|offset_54|444444,318:337|offset_80|444444,338:357|offset_100|444444&amp;v=38:557&amp;c=444444", "offset 1")</f>
        <v>offset 1</v>
      </c>
    </row>
    <row r="3" customFormat="false" ht="12.8" hidden="false" customHeight="false" outlineLevel="0" collapsed="false">
      <c r="A3" s="0" t="s">
        <v>12</v>
      </c>
      <c r="B3" s="0" t="n">
        <v>291</v>
      </c>
      <c r="C3" s="0" t="n">
        <v>311</v>
      </c>
      <c r="D3" s="0" t="s">
        <v>13</v>
      </c>
      <c r="E3" s="0" t="s">
        <v>14</v>
      </c>
      <c r="F3" s="0" t="s">
        <v>15</v>
      </c>
      <c r="G3" s="0" t="s">
        <v>20</v>
      </c>
      <c r="H3" s="0" t="n">
        <v>54</v>
      </c>
      <c r="I3" s="0" t="s">
        <v>21</v>
      </c>
      <c r="J3" s="0" t="s">
        <v>22</v>
      </c>
      <c r="K3" s="0" t="s">
        <v>23</v>
      </c>
      <c r="L3" s="0" t="str">
        <f aca="false">HYPERLINK("https://www.ncbi.nlm.nih.gov/nuccore/CP000058.1?report=graph&amp;tracks=[key:gene_model_track,Options:GeneOnly]&amp;mk=239:258|offset_1|444444,292:311|offset_54|00cc00,318:337|offset_80|444444,338:357|offset_100|444444&amp;v=38:557&amp;c=444444", "offset 54")</f>
        <v>offset 54</v>
      </c>
    </row>
    <row r="4" customFormat="false" ht="12.8" hidden="false" customHeight="false" outlineLevel="0" collapsed="false">
      <c r="A4" s="0" t="s">
        <v>12</v>
      </c>
      <c r="B4" s="0" t="n">
        <v>317</v>
      </c>
      <c r="C4" s="0" t="n">
        <v>337</v>
      </c>
      <c r="D4" s="0" t="s">
        <v>13</v>
      </c>
      <c r="E4" s="0" t="s">
        <v>14</v>
      </c>
      <c r="F4" s="0" t="s">
        <v>15</v>
      </c>
      <c r="G4" s="0" t="s">
        <v>16</v>
      </c>
      <c r="H4" s="0" t="n">
        <v>80</v>
      </c>
      <c r="I4" s="0" t="s">
        <v>24</v>
      </c>
      <c r="J4" s="0" t="s">
        <v>25</v>
      </c>
      <c r="K4" s="0" t="s">
        <v>26</v>
      </c>
      <c r="L4" s="0" t="str">
        <f aca="false">HYPERLINK("https://www.ncbi.nlm.nih.gov/nuccore/CP000058.1?report=graph&amp;tracks=[key:gene_model_track,Options:GeneOnly]&amp;mk=239:258|offset_1|444444,292:311|offset_54|444444,318:337|offset_80|00cc00,338:357|offset_100|444444&amp;v=38:557&amp;c=444444", "offset 80")</f>
        <v>offset 80</v>
      </c>
    </row>
    <row r="5" customFormat="false" ht="12.8" hidden="false" customHeight="false" outlineLevel="0" collapsed="false">
      <c r="A5" s="0" t="s">
        <v>12</v>
      </c>
      <c r="B5" s="0" t="n">
        <v>337</v>
      </c>
      <c r="C5" s="0" t="n">
        <v>357</v>
      </c>
      <c r="D5" s="0" t="s">
        <v>13</v>
      </c>
      <c r="E5" s="0" t="s">
        <v>14</v>
      </c>
      <c r="F5" s="0" t="s">
        <v>15</v>
      </c>
      <c r="G5" s="0" t="s">
        <v>16</v>
      </c>
      <c r="H5" s="0" t="n">
        <v>100</v>
      </c>
      <c r="I5" s="0" t="s">
        <v>27</v>
      </c>
      <c r="J5" s="0" t="s">
        <v>28</v>
      </c>
      <c r="K5" s="0" t="s">
        <v>29</v>
      </c>
      <c r="L5" s="0" t="str">
        <f aca="false">HYPERLINK("https://www.ncbi.nlm.nih.gov/nuccore/CP000058.1?report=graph&amp;tracks=[key:gene_model_track,Options:GeneOnly]&amp;mk=239:258|offset_1|444444,292:311|offset_54|444444,318:337|offset_80|444444,338:357|offset_100|00cc00&amp;v=38:557&amp;c=444444", "offset 100")</f>
        <v>offset 100</v>
      </c>
    </row>
    <row r="6" customFormat="false" ht="12.8" hidden="false" customHeight="false" outlineLevel="0" collapsed="false">
      <c r="A6" s="0" t="s">
        <v>12</v>
      </c>
      <c r="B6" s="0" t="n">
        <v>1812</v>
      </c>
      <c r="C6" s="0" t="n">
        <v>1832</v>
      </c>
      <c r="D6" s="0" t="s">
        <v>30</v>
      </c>
      <c r="E6" s="0" t="s">
        <v>31</v>
      </c>
      <c r="F6" s="0" t="s">
        <v>15</v>
      </c>
      <c r="G6" s="0" t="s">
        <v>32</v>
      </c>
      <c r="H6" s="0" t="n">
        <v>1</v>
      </c>
      <c r="I6" s="0" t="s">
        <v>33</v>
      </c>
      <c r="J6" s="0" t="s">
        <v>34</v>
      </c>
      <c r="K6" s="0" t="s">
        <v>35</v>
      </c>
      <c r="L6" s="0" t="str">
        <f aca="false">HYPERLINK("https://www.ncbi.nlm.nih.gov/nuccore/CP000058.1?report=graph&amp;tracks=[key:gene_model_track,Options:GeneOnly]&amp;mk=1813:1832|offset_1|00cc00,1840:1859|offset_28|444444,1867:1886|offset_55|444444,1891:1910|offset_79|444444&amp;v=1612:2110&amp;c=444444", "offset 1")</f>
        <v>offset 1</v>
      </c>
    </row>
    <row r="7" customFormat="false" ht="12.8" hidden="false" customHeight="false" outlineLevel="0" collapsed="false">
      <c r="A7" s="0" t="s">
        <v>12</v>
      </c>
      <c r="B7" s="0" t="n">
        <v>1839</v>
      </c>
      <c r="C7" s="0" t="n">
        <v>1859</v>
      </c>
      <c r="D7" s="0" t="s">
        <v>30</v>
      </c>
      <c r="E7" s="0" t="s">
        <v>31</v>
      </c>
      <c r="F7" s="0" t="s">
        <v>15</v>
      </c>
      <c r="G7" s="0" t="s">
        <v>36</v>
      </c>
      <c r="H7" s="0" t="n">
        <v>28</v>
      </c>
      <c r="I7" s="0" t="s">
        <v>37</v>
      </c>
      <c r="J7" s="0" t="s">
        <v>38</v>
      </c>
      <c r="K7" s="0" t="s">
        <v>39</v>
      </c>
      <c r="L7" s="0" t="str">
        <f aca="false">HYPERLINK("https://www.ncbi.nlm.nih.gov/nuccore/CP000058.1?report=graph&amp;tracks=[key:gene_model_track,Options:GeneOnly]&amp;mk=1813:1832|offset_1|444444,1840:1859|offset_28|00cc00,1867:1886|offset_55|444444,1891:1910|offset_79|444444&amp;v=1612:2110&amp;c=444444", "offset 28")</f>
        <v>offset 28</v>
      </c>
    </row>
    <row r="8" customFormat="false" ht="12.8" hidden="false" customHeight="false" outlineLevel="0" collapsed="false">
      <c r="A8" s="0" t="s">
        <v>12</v>
      </c>
      <c r="B8" s="0" t="n">
        <v>1866</v>
      </c>
      <c r="C8" s="0" t="n">
        <v>1886</v>
      </c>
      <c r="D8" s="0" t="s">
        <v>30</v>
      </c>
      <c r="E8" s="0" t="s">
        <v>31</v>
      </c>
      <c r="F8" s="0" t="s">
        <v>15</v>
      </c>
      <c r="G8" s="0" t="s">
        <v>16</v>
      </c>
      <c r="H8" s="0" t="n">
        <v>55</v>
      </c>
      <c r="I8" s="0" t="s">
        <v>40</v>
      </c>
      <c r="J8" s="0" t="s">
        <v>41</v>
      </c>
      <c r="K8" s="0" t="s">
        <v>42</v>
      </c>
      <c r="L8" s="0" t="str">
        <f aca="false">HYPERLINK("https://www.ncbi.nlm.nih.gov/nuccore/CP000058.1?report=graph&amp;tracks=[key:gene_model_track,Options:GeneOnly]&amp;mk=1813:1832|offset_1|444444,1840:1859|offset_28|444444,1867:1886|offset_55|00cc00,1891:1910|offset_79|444444&amp;v=1612:2110&amp;c=444444", "offset 55")</f>
        <v>offset 55</v>
      </c>
    </row>
    <row r="9" customFormat="false" ht="12.8" hidden="false" customHeight="false" outlineLevel="0" collapsed="false">
      <c r="A9" s="0" t="s">
        <v>12</v>
      </c>
      <c r="B9" s="0" t="n">
        <v>1890</v>
      </c>
      <c r="C9" s="0" t="n">
        <v>1910</v>
      </c>
      <c r="D9" s="0" t="s">
        <v>30</v>
      </c>
      <c r="E9" s="0" t="s">
        <v>31</v>
      </c>
      <c r="F9" s="0" t="s">
        <v>15</v>
      </c>
      <c r="G9" s="0" t="s">
        <v>20</v>
      </c>
      <c r="H9" s="0" t="n">
        <v>79</v>
      </c>
      <c r="I9" s="0" t="s">
        <v>43</v>
      </c>
      <c r="J9" s="0" t="s">
        <v>44</v>
      </c>
      <c r="K9" s="0" t="s">
        <v>45</v>
      </c>
      <c r="L9" s="0" t="str">
        <f aca="false">HYPERLINK("https://www.ncbi.nlm.nih.gov/nuccore/CP000058.1?report=graph&amp;tracks=[key:gene_model_track,Options:GeneOnly]&amp;mk=1813:1832|offset_1|444444,1840:1859|offset_28|444444,1867:1886|offset_55|444444,1891:1910|offset_79|00cc00&amp;v=1612:2110&amp;c=444444", "offset 79")</f>
        <v>offset 79</v>
      </c>
    </row>
    <row r="10" customFormat="false" ht="12.8" hidden="false" customHeight="false" outlineLevel="0" collapsed="false">
      <c r="A10" s="0" t="s">
        <v>12</v>
      </c>
      <c r="B10" s="0" t="n">
        <v>2965</v>
      </c>
      <c r="C10" s="0" t="n">
        <v>2985</v>
      </c>
      <c r="D10" s="0" t="s">
        <v>46</v>
      </c>
      <c r="E10" s="0" t="s">
        <v>47</v>
      </c>
      <c r="F10" s="0" t="s">
        <v>15</v>
      </c>
      <c r="G10" s="0" t="s">
        <v>16</v>
      </c>
      <c r="H10" s="0" t="n">
        <v>28</v>
      </c>
      <c r="I10" s="0" t="s">
        <v>48</v>
      </c>
      <c r="J10" s="0" t="s">
        <v>49</v>
      </c>
      <c r="K10" s="0" t="s">
        <v>50</v>
      </c>
      <c r="L10" s="0" t="str">
        <f aca="false">HYPERLINK("https://www.ncbi.nlm.nih.gov/nuccore/CP000058.1?report=graph&amp;tracks=[key:gene_model_track,Options:GeneOnly]&amp;mk=2966:2985|offset_28|00cc00,2986:3005|offset_48|444444,3006:3025|offset_68|444444,3050:3069|offset_112|444444&amp;v=2765:3269&amp;c=444444", "offset 28")</f>
        <v>offset 28</v>
      </c>
    </row>
    <row r="11" customFormat="false" ht="12.8" hidden="false" customHeight="false" outlineLevel="0" collapsed="false">
      <c r="A11" s="0" t="s">
        <v>12</v>
      </c>
      <c r="B11" s="0" t="n">
        <v>2985</v>
      </c>
      <c r="C11" s="0" t="n">
        <v>3005</v>
      </c>
      <c r="D11" s="0" t="s">
        <v>46</v>
      </c>
      <c r="E11" s="0" t="s">
        <v>47</v>
      </c>
      <c r="F11" s="0" t="s">
        <v>15</v>
      </c>
      <c r="G11" s="0" t="s">
        <v>16</v>
      </c>
      <c r="H11" s="0" t="n">
        <v>48</v>
      </c>
      <c r="I11" s="0" t="s">
        <v>51</v>
      </c>
      <c r="J11" s="0" t="s">
        <v>52</v>
      </c>
      <c r="K11" s="0" t="s">
        <v>53</v>
      </c>
      <c r="L11" s="0" t="str">
        <f aca="false">HYPERLINK("https://www.ncbi.nlm.nih.gov/nuccore/CP000058.1?report=graph&amp;tracks=[key:gene_model_track,Options:GeneOnly]&amp;mk=2966:2985|offset_28|444444,2986:3005|offset_48|00cc00,3006:3025|offset_68|444444,3050:3069|offset_112|444444&amp;v=2765:3269&amp;c=444444", "offset 48")</f>
        <v>offset 48</v>
      </c>
    </row>
    <row r="12" customFormat="false" ht="12.8" hidden="false" customHeight="false" outlineLevel="0" collapsed="false">
      <c r="A12" s="0" t="s">
        <v>12</v>
      </c>
      <c r="B12" s="0" t="n">
        <v>3005</v>
      </c>
      <c r="C12" s="0" t="n">
        <v>3025</v>
      </c>
      <c r="D12" s="0" t="s">
        <v>46</v>
      </c>
      <c r="E12" s="0" t="s">
        <v>47</v>
      </c>
      <c r="F12" s="0" t="s">
        <v>15</v>
      </c>
      <c r="G12" s="0" t="s">
        <v>36</v>
      </c>
      <c r="H12" s="0" t="n">
        <v>68</v>
      </c>
      <c r="I12" s="0" t="s">
        <v>54</v>
      </c>
      <c r="J12" s="0" t="s">
        <v>55</v>
      </c>
      <c r="K12" s="0" t="s">
        <v>56</v>
      </c>
      <c r="L12" s="0" t="str">
        <f aca="false">HYPERLINK("https://www.ncbi.nlm.nih.gov/nuccore/CP000058.1?report=graph&amp;tracks=[key:gene_model_track,Options:GeneOnly]&amp;mk=2966:2985|offset_28|444444,2986:3005|offset_48|444444,3006:3025|offset_68|00cc00,3050:3069|offset_112|444444&amp;v=2765:3269&amp;c=444444", "offset 68")</f>
        <v>offset 68</v>
      </c>
    </row>
    <row r="13" customFormat="false" ht="12.8" hidden="false" customHeight="false" outlineLevel="0" collapsed="false">
      <c r="A13" s="0" t="s">
        <v>12</v>
      </c>
      <c r="B13" s="0" t="n">
        <v>3049</v>
      </c>
      <c r="C13" s="0" t="n">
        <v>3069</v>
      </c>
      <c r="D13" s="0" t="s">
        <v>46</v>
      </c>
      <c r="E13" s="0" t="s">
        <v>47</v>
      </c>
      <c r="F13" s="0" t="s">
        <v>15</v>
      </c>
      <c r="G13" s="0" t="s">
        <v>32</v>
      </c>
      <c r="H13" s="0" t="n">
        <v>112</v>
      </c>
      <c r="I13" s="0" t="s">
        <v>57</v>
      </c>
      <c r="J13" s="0" t="s">
        <v>58</v>
      </c>
      <c r="K13" s="0" t="s">
        <v>59</v>
      </c>
      <c r="L13" s="0" t="str">
        <f aca="false">HYPERLINK("https://www.ncbi.nlm.nih.gov/nuccore/CP000058.1?report=graph&amp;tracks=[key:gene_model_track,Options:GeneOnly]&amp;mk=2966:2985|offset_28|444444,2986:3005|offset_48|444444,3006:3025|offset_68|444444,3050:3069|offset_112|00cc00&amp;v=2765:3269&amp;c=444444", "offset 112")</f>
        <v>offset 112</v>
      </c>
    </row>
    <row r="14" customFormat="false" ht="12.8" hidden="false" customHeight="false" outlineLevel="0" collapsed="false">
      <c r="A14" s="0" t="s">
        <v>12</v>
      </c>
      <c r="B14" s="0" t="n">
        <v>4059</v>
      </c>
      <c r="C14" s="0" t="n">
        <v>4079</v>
      </c>
      <c r="D14" s="0" t="s">
        <v>60</v>
      </c>
      <c r="E14" s="0" t="s">
        <v>61</v>
      </c>
      <c r="F14" s="0" t="s">
        <v>15</v>
      </c>
      <c r="G14" s="0" t="s">
        <v>32</v>
      </c>
      <c r="H14" s="0" t="n">
        <v>14</v>
      </c>
      <c r="I14" s="0" t="s">
        <v>62</v>
      </c>
      <c r="J14" s="0" t="s">
        <v>63</v>
      </c>
      <c r="K14" s="0" t="s">
        <v>64</v>
      </c>
      <c r="L14" s="0" t="str">
        <f aca="false">HYPERLINK("https://www.ncbi.nlm.nih.gov/nuccore/CP000058.1?report=graph&amp;tracks=[key:gene_model_track,Options:GeneOnly]&amp;mk=4060:4079|offset_14|00cc00,4107:4126|offset_61|444444,4165:4184|offset_119|444444,4216:4235|offset_170|444444&amp;v=3859:4435&amp;c=444444", "offset 14")</f>
        <v>offset 14</v>
      </c>
    </row>
    <row r="15" customFormat="false" ht="12.8" hidden="false" customHeight="false" outlineLevel="0" collapsed="false">
      <c r="A15" s="0" t="s">
        <v>12</v>
      </c>
      <c r="B15" s="0" t="n">
        <v>4106</v>
      </c>
      <c r="C15" s="0" t="n">
        <v>4126</v>
      </c>
      <c r="D15" s="0" t="s">
        <v>60</v>
      </c>
      <c r="E15" s="0" t="s">
        <v>61</v>
      </c>
      <c r="F15" s="0" t="s">
        <v>15</v>
      </c>
      <c r="G15" s="0" t="s">
        <v>16</v>
      </c>
      <c r="H15" s="0" t="n">
        <v>61</v>
      </c>
      <c r="I15" s="0" t="s">
        <v>65</v>
      </c>
      <c r="J15" s="0" t="s">
        <v>66</v>
      </c>
      <c r="K15" s="0" t="s">
        <v>67</v>
      </c>
      <c r="L15" s="0" t="str">
        <f aca="false">HYPERLINK("https://www.ncbi.nlm.nih.gov/nuccore/CP000058.1?report=graph&amp;tracks=[key:gene_model_track,Options:GeneOnly]&amp;mk=4060:4079|offset_14|444444,4107:4126|offset_61|00cc00,4165:4184|offset_119|444444,4216:4235|offset_170|444444&amp;v=3859:4435&amp;c=444444", "offset 61")</f>
        <v>offset 61</v>
      </c>
    </row>
    <row r="16" customFormat="false" ht="12.8" hidden="false" customHeight="false" outlineLevel="0" collapsed="false">
      <c r="A16" s="0" t="s">
        <v>12</v>
      </c>
      <c r="B16" s="0" t="n">
        <v>4164</v>
      </c>
      <c r="C16" s="0" t="n">
        <v>4184</v>
      </c>
      <c r="D16" s="0" t="s">
        <v>60</v>
      </c>
      <c r="E16" s="0" t="s">
        <v>61</v>
      </c>
      <c r="F16" s="0" t="s">
        <v>15</v>
      </c>
      <c r="G16" s="0" t="s">
        <v>32</v>
      </c>
      <c r="H16" s="0" t="n">
        <v>119</v>
      </c>
      <c r="I16" s="0" t="s">
        <v>68</v>
      </c>
      <c r="J16" s="0" t="s">
        <v>69</v>
      </c>
      <c r="K16" s="0" t="s">
        <v>70</v>
      </c>
      <c r="L16" s="0" t="str">
        <f aca="false">HYPERLINK("https://www.ncbi.nlm.nih.gov/nuccore/CP000058.1?report=graph&amp;tracks=[key:gene_model_track,Options:GeneOnly]&amp;mk=4060:4079|offset_14|444444,4107:4126|offset_61|444444,4165:4184|offset_119|00cc00,4216:4235|offset_170|444444&amp;v=3859:4435&amp;c=444444", "offset 119")</f>
        <v>offset 119</v>
      </c>
    </row>
    <row r="17" customFormat="false" ht="12.8" hidden="false" customHeight="false" outlineLevel="0" collapsed="false">
      <c r="A17" s="0" t="s">
        <v>12</v>
      </c>
      <c r="B17" s="0" t="n">
        <v>4215</v>
      </c>
      <c r="C17" s="0" t="n">
        <v>4235</v>
      </c>
      <c r="D17" s="0" t="s">
        <v>60</v>
      </c>
      <c r="E17" s="0" t="s">
        <v>61</v>
      </c>
      <c r="F17" s="0" t="s">
        <v>15</v>
      </c>
      <c r="G17" s="0" t="s">
        <v>32</v>
      </c>
      <c r="H17" s="0" t="n">
        <v>170</v>
      </c>
      <c r="I17" s="0" t="s">
        <v>71</v>
      </c>
      <c r="J17" s="0" t="s">
        <v>72</v>
      </c>
      <c r="K17" s="0" t="s">
        <v>73</v>
      </c>
      <c r="L17" s="0" t="str">
        <f aca="false">HYPERLINK("https://www.ncbi.nlm.nih.gov/nuccore/CP000058.1?report=graph&amp;tracks=[key:gene_model_track,Options:GeneOnly]&amp;mk=4060:4079|offset_14|444444,4107:4126|offset_61|444444,4165:4184|offset_119|444444,4216:4235|offset_170|00cc00&amp;v=3859:4435&amp;c=444444", "offset 170")</f>
        <v>offset 170</v>
      </c>
    </row>
    <row r="18" customFormat="false" ht="12.8" hidden="false" customHeight="false" outlineLevel="0" collapsed="false">
      <c r="A18" s="0" t="s">
        <v>12</v>
      </c>
      <c r="B18" s="0" t="n">
        <v>6778</v>
      </c>
      <c r="C18" s="0" t="n">
        <v>6798</v>
      </c>
      <c r="D18" s="0" t="s">
        <v>74</v>
      </c>
      <c r="E18" s="0" t="s">
        <v>75</v>
      </c>
      <c r="F18" s="0" t="s">
        <v>15</v>
      </c>
      <c r="G18" s="0" t="s">
        <v>36</v>
      </c>
      <c r="H18" s="0" t="n">
        <v>6</v>
      </c>
      <c r="I18" s="0" t="s">
        <v>76</v>
      </c>
      <c r="J18" s="0" t="s">
        <v>77</v>
      </c>
      <c r="K18" s="0" t="s">
        <v>78</v>
      </c>
      <c r="L18" s="0" t="str">
        <f aca="false">HYPERLINK("https://www.ncbi.nlm.nih.gov/nuccore/CP000058.1?report=graph&amp;tracks=[key:gene_model_track,Options:GeneOnly]&amp;mk=6779:6798|offset_6|00cc00,6804:6823|offset_31|444444,6870:6889|offset_97|444444,6922:6941|offset_149|444444&amp;v=6578:7141&amp;c=444444", "offset 6")</f>
        <v>offset 6</v>
      </c>
    </row>
    <row r="19" customFormat="false" ht="12.8" hidden="false" customHeight="false" outlineLevel="0" collapsed="false">
      <c r="A19" s="0" t="s">
        <v>12</v>
      </c>
      <c r="B19" s="0" t="n">
        <v>6803</v>
      </c>
      <c r="C19" s="0" t="n">
        <v>6823</v>
      </c>
      <c r="D19" s="0" t="s">
        <v>74</v>
      </c>
      <c r="E19" s="0" t="s">
        <v>75</v>
      </c>
      <c r="F19" s="0" t="s">
        <v>15</v>
      </c>
      <c r="G19" s="0" t="s">
        <v>20</v>
      </c>
      <c r="H19" s="0" t="n">
        <v>31</v>
      </c>
      <c r="I19" s="0" t="s">
        <v>79</v>
      </c>
      <c r="J19" s="0" t="s">
        <v>80</v>
      </c>
      <c r="K19" s="0" t="s">
        <v>81</v>
      </c>
      <c r="L19" s="0" t="str">
        <f aca="false">HYPERLINK("https://www.ncbi.nlm.nih.gov/nuccore/CP000058.1?report=graph&amp;tracks=[key:gene_model_track,Options:GeneOnly]&amp;mk=6779:6798|offset_6|444444,6804:6823|offset_31|00cc00,6870:6889|offset_97|444444,6922:6941|offset_149|444444&amp;v=6578:7141&amp;c=444444", "offset 31")</f>
        <v>offset 31</v>
      </c>
    </row>
    <row r="20" customFormat="false" ht="12.8" hidden="false" customHeight="false" outlineLevel="0" collapsed="false">
      <c r="A20" s="0" t="s">
        <v>12</v>
      </c>
      <c r="B20" s="0" t="n">
        <v>6869</v>
      </c>
      <c r="C20" s="0" t="n">
        <v>6889</v>
      </c>
      <c r="D20" s="0" t="s">
        <v>74</v>
      </c>
      <c r="E20" s="0" t="s">
        <v>75</v>
      </c>
      <c r="F20" s="0" t="s">
        <v>15</v>
      </c>
      <c r="G20" s="0" t="s">
        <v>16</v>
      </c>
      <c r="H20" s="0" t="n">
        <v>97</v>
      </c>
      <c r="I20" s="0" t="s">
        <v>82</v>
      </c>
      <c r="J20" s="0" t="s">
        <v>83</v>
      </c>
      <c r="K20" s="0" t="s">
        <v>84</v>
      </c>
      <c r="L20" s="0" t="str">
        <f aca="false">HYPERLINK("https://www.ncbi.nlm.nih.gov/nuccore/CP000058.1?report=graph&amp;tracks=[key:gene_model_track,Options:GeneOnly]&amp;mk=6779:6798|offset_6|444444,6804:6823|offset_31|444444,6870:6889|offset_97|00cc00,6922:6941|offset_149|444444&amp;v=6578:7141&amp;c=444444", "offset 97")</f>
        <v>offset 97</v>
      </c>
    </row>
    <row r="21" customFormat="false" ht="12.8" hidden="false" customHeight="false" outlineLevel="0" collapsed="false">
      <c r="A21" s="0" t="s">
        <v>12</v>
      </c>
      <c r="B21" s="0" t="n">
        <v>6921</v>
      </c>
      <c r="C21" s="0" t="n">
        <v>6941</v>
      </c>
      <c r="D21" s="0" t="s">
        <v>74</v>
      </c>
      <c r="E21" s="0" t="s">
        <v>75</v>
      </c>
      <c r="F21" s="0" t="s">
        <v>15</v>
      </c>
      <c r="G21" s="0" t="s">
        <v>16</v>
      </c>
      <c r="H21" s="0" t="n">
        <v>149</v>
      </c>
      <c r="I21" s="0" t="s">
        <v>85</v>
      </c>
      <c r="J21" s="0" t="s">
        <v>86</v>
      </c>
      <c r="K21" s="0" t="s">
        <v>87</v>
      </c>
      <c r="L21" s="0" t="str">
        <f aca="false">HYPERLINK("https://www.ncbi.nlm.nih.gov/nuccore/CP000058.1?report=graph&amp;tracks=[key:gene_model_track,Options:GeneOnly]&amp;mk=6779:6798|offset_6|444444,6804:6823|offset_31|444444,6870:6889|offset_97|444444,6922:6941|offset_149|00cc00&amp;v=6578:7141&amp;c=444444", "offset 149")</f>
        <v>offset 149</v>
      </c>
    </row>
    <row r="22" customFormat="false" ht="12.8" hidden="false" customHeight="false" outlineLevel="0" collapsed="false">
      <c r="A22" s="0" t="s">
        <v>12</v>
      </c>
      <c r="B22" s="0" t="n">
        <v>13684</v>
      </c>
      <c r="C22" s="0" t="n">
        <v>13704</v>
      </c>
      <c r="D22" s="0" t="s">
        <v>88</v>
      </c>
      <c r="E22" s="0" t="s">
        <v>89</v>
      </c>
      <c r="F22" s="0" t="s">
        <v>90</v>
      </c>
      <c r="G22" s="0" t="s">
        <v>20</v>
      </c>
      <c r="H22" s="0" t="n">
        <v>28</v>
      </c>
      <c r="I22" s="0" t="s">
        <v>91</v>
      </c>
      <c r="J22" s="0" t="s">
        <v>92</v>
      </c>
      <c r="K22" s="0" t="s">
        <v>93</v>
      </c>
      <c r="L22" s="0" t="str">
        <f aca="false">HYPERLINK("https://www.ncbi.nlm.nih.gov/nuccore/CP000058.1?report=graph&amp;tracks=[key:gene_model_track,Options:GeneOnly]&amp;mk=13685:13704|offset_28|00cc00,13658:13677|offset_55|444444,13617:13636|offset_96|444444,13597:13616|offset_116|444444&amp;v=13484:13816&amp;c=444444", "offset 28")</f>
        <v>offset 28</v>
      </c>
    </row>
    <row r="23" customFormat="false" ht="12.8" hidden="false" customHeight="false" outlineLevel="0" collapsed="false">
      <c r="A23" s="0" t="s">
        <v>12</v>
      </c>
      <c r="B23" s="0" t="n">
        <v>13657</v>
      </c>
      <c r="C23" s="0" t="n">
        <v>13677</v>
      </c>
      <c r="D23" s="0" t="s">
        <v>88</v>
      </c>
      <c r="E23" s="0" t="s">
        <v>89</v>
      </c>
      <c r="F23" s="0" t="s">
        <v>90</v>
      </c>
      <c r="G23" s="0" t="s">
        <v>32</v>
      </c>
      <c r="H23" s="0" t="n">
        <v>55</v>
      </c>
      <c r="I23" s="0" t="s">
        <v>94</v>
      </c>
      <c r="J23" s="0" t="s">
        <v>95</v>
      </c>
      <c r="K23" s="0" t="s">
        <v>96</v>
      </c>
      <c r="L23" s="0" t="str">
        <f aca="false">HYPERLINK("https://www.ncbi.nlm.nih.gov/nuccore/CP000058.1?report=graph&amp;tracks=[key:gene_model_track,Options:GeneOnly]&amp;mk=13685:13704|offset_28|444444,13658:13677|offset_55|00cc00,13617:13636|offset_96|444444,13597:13616|offset_116|444444&amp;v=13484:13816&amp;c=444444", "offset 55")</f>
        <v>offset 55</v>
      </c>
    </row>
    <row r="24" customFormat="false" ht="12.8" hidden="false" customHeight="false" outlineLevel="0" collapsed="false">
      <c r="A24" s="0" t="s">
        <v>12</v>
      </c>
      <c r="B24" s="0" t="n">
        <v>13616</v>
      </c>
      <c r="C24" s="0" t="n">
        <v>13636</v>
      </c>
      <c r="D24" s="0" t="s">
        <v>88</v>
      </c>
      <c r="E24" s="0" t="s">
        <v>89</v>
      </c>
      <c r="F24" s="0" t="s">
        <v>90</v>
      </c>
      <c r="G24" s="0" t="s">
        <v>20</v>
      </c>
      <c r="H24" s="0" t="n">
        <v>96</v>
      </c>
      <c r="I24" s="0" t="s">
        <v>97</v>
      </c>
      <c r="J24" s="0" t="s">
        <v>98</v>
      </c>
      <c r="K24" s="0" t="s">
        <v>99</v>
      </c>
      <c r="L24" s="0" t="str">
        <f aca="false">HYPERLINK("https://www.ncbi.nlm.nih.gov/nuccore/CP000058.1?report=graph&amp;tracks=[key:gene_model_track,Options:GeneOnly]&amp;mk=13685:13704|offset_28|444444,13658:13677|offset_55|444444,13617:13636|offset_96|00cc00,13597:13616|offset_116|444444&amp;v=13484:13816&amp;c=444444", "offset 96")</f>
        <v>offset 96</v>
      </c>
    </row>
    <row r="25" customFormat="false" ht="12.8" hidden="false" customHeight="false" outlineLevel="0" collapsed="false">
      <c r="A25" s="0" t="s">
        <v>12</v>
      </c>
      <c r="B25" s="0" t="n">
        <v>13596</v>
      </c>
      <c r="C25" s="0" t="n">
        <v>13616</v>
      </c>
      <c r="D25" s="0" t="s">
        <v>88</v>
      </c>
      <c r="E25" s="0" t="s">
        <v>89</v>
      </c>
      <c r="F25" s="0" t="s">
        <v>90</v>
      </c>
      <c r="G25" s="0" t="s">
        <v>16</v>
      </c>
      <c r="H25" s="0" t="n">
        <v>116</v>
      </c>
      <c r="I25" s="0" t="s">
        <v>100</v>
      </c>
      <c r="J25" s="0" t="s">
        <v>101</v>
      </c>
      <c r="K25" s="0" t="s">
        <v>102</v>
      </c>
      <c r="L25" s="0" t="str">
        <f aca="false">HYPERLINK("https://www.ncbi.nlm.nih.gov/nuccore/CP000058.1?report=graph&amp;tracks=[key:gene_model_track,Options:GeneOnly]&amp;mk=13685:13704|offset_28|444444,13658:13677|offset_55|444444,13617:13636|offset_96|444444,13597:13616|offset_116|00cc00&amp;v=13484:13816&amp;c=444444", "offset 116")</f>
        <v>offset 116</v>
      </c>
    </row>
    <row r="26" customFormat="false" ht="12.8" hidden="false" customHeight="false" outlineLevel="0" collapsed="false">
      <c r="A26" s="0" t="s">
        <v>12</v>
      </c>
      <c r="B26" s="0" t="n">
        <v>14279</v>
      </c>
      <c r="C26" s="0" t="n">
        <v>14299</v>
      </c>
      <c r="D26" s="0" t="s">
        <v>103</v>
      </c>
      <c r="E26" s="0" t="s">
        <v>75</v>
      </c>
      <c r="F26" s="0" t="s">
        <v>90</v>
      </c>
      <c r="G26" s="0" t="s">
        <v>32</v>
      </c>
      <c r="H26" s="0" t="n">
        <v>44</v>
      </c>
      <c r="I26" s="0" t="s">
        <v>104</v>
      </c>
      <c r="J26" s="0" t="s">
        <v>105</v>
      </c>
      <c r="K26" s="0" t="s">
        <v>106</v>
      </c>
      <c r="L26" s="0" t="str">
        <f aca="false">HYPERLINK("https://www.ncbi.nlm.nih.gov/nuccore/CP000058.1?report=graph&amp;tracks=[key:gene_model_track,Options:GeneOnly]&amp;mk=14280:14299|offset_44|00cc00,14237:14256|offset_87|444444,14194:14213|offset_130|444444,14173:14192|offset_151|444444&amp;v=14079:14392&amp;c=444444", "offset 44")</f>
        <v>offset 44</v>
      </c>
    </row>
    <row r="27" customFormat="false" ht="12.8" hidden="false" customHeight="false" outlineLevel="0" collapsed="false">
      <c r="A27" s="0" t="s">
        <v>12</v>
      </c>
      <c r="B27" s="0" t="n">
        <v>14236</v>
      </c>
      <c r="C27" s="0" t="n">
        <v>14256</v>
      </c>
      <c r="D27" s="0" t="s">
        <v>103</v>
      </c>
      <c r="E27" s="0" t="s">
        <v>75</v>
      </c>
      <c r="F27" s="0" t="s">
        <v>90</v>
      </c>
      <c r="G27" s="0" t="s">
        <v>36</v>
      </c>
      <c r="H27" s="0" t="n">
        <v>87</v>
      </c>
      <c r="I27" s="0" t="s">
        <v>107</v>
      </c>
      <c r="J27" s="0" t="s">
        <v>108</v>
      </c>
      <c r="K27" s="0" t="s">
        <v>109</v>
      </c>
      <c r="L27" s="0" t="str">
        <f aca="false">HYPERLINK("https://www.ncbi.nlm.nih.gov/nuccore/CP000058.1?report=graph&amp;tracks=[key:gene_model_track,Options:GeneOnly]&amp;mk=14280:14299|offset_44|444444,14237:14256|offset_87|00cc00,14194:14213|offset_130|444444,14173:14192|offset_151|444444&amp;v=14079:14392&amp;c=444444", "offset 87")</f>
        <v>offset 87</v>
      </c>
    </row>
    <row r="28" customFormat="false" ht="12.8" hidden="false" customHeight="false" outlineLevel="0" collapsed="false">
      <c r="A28" s="0" t="s">
        <v>12</v>
      </c>
      <c r="B28" s="0" t="n">
        <v>14193</v>
      </c>
      <c r="C28" s="0" t="n">
        <v>14213</v>
      </c>
      <c r="D28" s="0" t="s">
        <v>103</v>
      </c>
      <c r="E28" s="0" t="s">
        <v>75</v>
      </c>
      <c r="F28" s="0" t="s">
        <v>90</v>
      </c>
      <c r="G28" s="0" t="s">
        <v>16</v>
      </c>
      <c r="H28" s="0" t="n">
        <v>130</v>
      </c>
      <c r="I28" s="0" t="s">
        <v>110</v>
      </c>
      <c r="J28" s="0" t="s">
        <v>111</v>
      </c>
      <c r="K28" s="0" t="s">
        <v>112</v>
      </c>
      <c r="L28" s="0" t="str">
        <f aca="false">HYPERLINK("https://www.ncbi.nlm.nih.gov/nuccore/CP000058.1?report=graph&amp;tracks=[key:gene_model_track,Options:GeneOnly]&amp;mk=14280:14299|offset_44|444444,14237:14256|offset_87|444444,14194:14213|offset_130|00cc00,14173:14192|offset_151|444444&amp;v=14079:14392&amp;c=444444", "offset 130")</f>
        <v>offset 130</v>
      </c>
    </row>
    <row r="29" customFormat="false" ht="12.8" hidden="false" customHeight="false" outlineLevel="0" collapsed="false">
      <c r="A29" s="0" t="s">
        <v>12</v>
      </c>
      <c r="B29" s="0" t="n">
        <v>14172</v>
      </c>
      <c r="C29" s="0" t="n">
        <v>14192</v>
      </c>
      <c r="D29" s="0" t="s">
        <v>103</v>
      </c>
      <c r="E29" s="0" t="s">
        <v>75</v>
      </c>
      <c r="F29" s="0" t="s">
        <v>90</v>
      </c>
      <c r="G29" s="0" t="s">
        <v>32</v>
      </c>
      <c r="H29" s="0" t="n">
        <v>151</v>
      </c>
      <c r="I29" s="0" t="s">
        <v>113</v>
      </c>
      <c r="J29" s="0" t="s">
        <v>114</v>
      </c>
      <c r="K29" s="0" t="s">
        <v>115</v>
      </c>
      <c r="L29" s="0" t="str">
        <f aca="false">HYPERLINK("https://www.ncbi.nlm.nih.gov/nuccore/CP000058.1?report=graph&amp;tracks=[key:gene_model_track,Options:GeneOnly]&amp;mk=14280:14299|offset_44|444444,14237:14256|offset_87|444444,14194:14213|offset_130|444444,14173:14192|offset_151|00cc00&amp;v=14079:14392&amp;c=444444", "offset 151")</f>
        <v>offset 151</v>
      </c>
    </row>
    <row r="30" customFormat="false" ht="12.8" hidden="false" customHeight="false" outlineLevel="0" collapsed="false">
      <c r="A30" s="0" t="s">
        <v>12</v>
      </c>
      <c r="B30" s="0" t="n">
        <v>16340</v>
      </c>
      <c r="C30" s="0" t="n">
        <v>16360</v>
      </c>
      <c r="D30" s="0" t="s">
        <v>116</v>
      </c>
      <c r="E30" s="0" t="s">
        <v>117</v>
      </c>
      <c r="F30" s="0" t="s">
        <v>90</v>
      </c>
      <c r="G30" s="0" t="s">
        <v>32</v>
      </c>
      <c r="H30" s="0" t="n">
        <v>48</v>
      </c>
      <c r="I30" s="0" t="s">
        <v>118</v>
      </c>
      <c r="J30" s="0" t="s">
        <v>119</v>
      </c>
      <c r="K30" s="0" t="s">
        <v>120</v>
      </c>
      <c r="L30" s="0" t="str">
        <f aca="false">HYPERLINK("https://www.ncbi.nlm.nih.gov/nuccore/CP000058.1?report=graph&amp;tracks=[key:gene_model_track,Options:GeneOnly]&amp;mk=16341:16360|offset_48|00cc00,16321:16340|offset_68|444444,16301:16320|offset_88|444444,16265:16284|offset_124|444444&amp;v=16140:16484&amp;c=444444", "offset 48")</f>
        <v>offset 48</v>
      </c>
    </row>
    <row r="31" customFormat="false" ht="12.8" hidden="false" customHeight="false" outlineLevel="0" collapsed="false">
      <c r="A31" s="0" t="s">
        <v>12</v>
      </c>
      <c r="B31" s="0" t="n">
        <v>16320</v>
      </c>
      <c r="C31" s="0" t="n">
        <v>16340</v>
      </c>
      <c r="D31" s="0" t="s">
        <v>116</v>
      </c>
      <c r="E31" s="0" t="s">
        <v>117</v>
      </c>
      <c r="F31" s="0" t="s">
        <v>90</v>
      </c>
      <c r="G31" s="0" t="s">
        <v>20</v>
      </c>
      <c r="H31" s="0" t="n">
        <v>68</v>
      </c>
      <c r="I31" s="0" t="s">
        <v>121</v>
      </c>
      <c r="J31" s="0" t="s">
        <v>122</v>
      </c>
      <c r="K31" s="0" t="s">
        <v>123</v>
      </c>
      <c r="L31" s="0" t="str">
        <f aca="false">HYPERLINK("https://www.ncbi.nlm.nih.gov/nuccore/CP000058.1?report=graph&amp;tracks=[key:gene_model_track,Options:GeneOnly]&amp;mk=16341:16360|offset_48|444444,16321:16340|offset_68|00cc00,16301:16320|offset_88|444444,16265:16284|offset_124|444444&amp;v=16140:16484&amp;c=444444", "offset 68")</f>
        <v>offset 68</v>
      </c>
    </row>
    <row r="32" customFormat="false" ht="12.8" hidden="false" customHeight="false" outlineLevel="0" collapsed="false">
      <c r="A32" s="0" t="s">
        <v>12</v>
      </c>
      <c r="B32" s="0" t="n">
        <v>16300</v>
      </c>
      <c r="C32" s="0" t="n">
        <v>16320</v>
      </c>
      <c r="D32" s="0" t="s">
        <v>116</v>
      </c>
      <c r="E32" s="0" t="s">
        <v>117</v>
      </c>
      <c r="F32" s="0" t="s">
        <v>90</v>
      </c>
      <c r="G32" s="0" t="s">
        <v>16</v>
      </c>
      <c r="H32" s="0" t="n">
        <v>88</v>
      </c>
      <c r="I32" s="0" t="s">
        <v>124</v>
      </c>
      <c r="J32" s="0" t="s">
        <v>125</v>
      </c>
      <c r="K32" s="0" t="s">
        <v>126</v>
      </c>
      <c r="L32" s="0" t="str">
        <f aca="false">HYPERLINK("https://www.ncbi.nlm.nih.gov/nuccore/CP000058.1?report=graph&amp;tracks=[key:gene_model_track,Options:GeneOnly]&amp;mk=16341:16360|offset_48|444444,16321:16340|offset_68|444444,16301:16320|offset_88|00cc00,16265:16284|offset_124|444444&amp;v=16140:16484&amp;c=444444", "offset 88")</f>
        <v>offset 88</v>
      </c>
    </row>
    <row r="33" customFormat="false" ht="12.8" hidden="false" customHeight="false" outlineLevel="0" collapsed="false">
      <c r="A33" s="0" t="s">
        <v>12</v>
      </c>
      <c r="B33" s="0" t="n">
        <v>16264</v>
      </c>
      <c r="C33" s="0" t="n">
        <v>16284</v>
      </c>
      <c r="D33" s="0" t="s">
        <v>116</v>
      </c>
      <c r="E33" s="0" t="s">
        <v>117</v>
      </c>
      <c r="F33" s="0" t="s">
        <v>90</v>
      </c>
      <c r="G33" s="0" t="s">
        <v>20</v>
      </c>
      <c r="H33" s="0" t="n">
        <v>124</v>
      </c>
      <c r="I33" s="0" t="s">
        <v>127</v>
      </c>
      <c r="J33" s="0" t="s">
        <v>128</v>
      </c>
      <c r="K33" s="0" t="s">
        <v>129</v>
      </c>
      <c r="L33" s="0" t="str">
        <f aca="false">HYPERLINK("https://www.ncbi.nlm.nih.gov/nuccore/CP000058.1?report=graph&amp;tracks=[key:gene_model_track,Options:GeneOnly]&amp;mk=16341:16360|offset_48|444444,16321:16340|offset_68|444444,16301:16320|offset_88|444444,16265:16284|offset_124|00cc00&amp;v=16140:16484&amp;c=444444", "offset 124")</f>
        <v>offset 124</v>
      </c>
    </row>
    <row r="34" customFormat="false" ht="12.8" hidden="false" customHeight="false" outlineLevel="0" collapsed="false">
      <c r="A34" s="0" t="s">
        <v>12</v>
      </c>
      <c r="B34" s="0" t="n">
        <v>17383</v>
      </c>
      <c r="C34" s="0" t="n">
        <v>17403</v>
      </c>
      <c r="D34" s="0" t="s">
        <v>130</v>
      </c>
      <c r="E34" s="0" t="s">
        <v>131</v>
      </c>
      <c r="F34" s="0" t="s">
        <v>90</v>
      </c>
      <c r="G34" s="0" t="s">
        <v>16</v>
      </c>
      <c r="H34" s="0" t="n">
        <v>9</v>
      </c>
      <c r="I34" s="0" t="s">
        <v>132</v>
      </c>
      <c r="J34" s="0" t="s">
        <v>133</v>
      </c>
      <c r="K34" s="0" t="s">
        <v>134</v>
      </c>
      <c r="L34" s="0" t="str">
        <f aca="false">HYPERLINK("https://www.ncbi.nlm.nih.gov/nuccore/CP000058.1?report=graph&amp;tracks=[key:gene_model_track,Options:GeneOnly]&amp;mk=17384:17403|offset_9|00cc00,17349:17368|offset_44|444444,17325:17344|offset_68|444444,17302:17321|offset_91|444444&amp;v=17183:17521&amp;c=444444", "offset 9")</f>
        <v>offset 9</v>
      </c>
    </row>
    <row r="35" customFormat="false" ht="12.8" hidden="false" customHeight="false" outlineLevel="0" collapsed="false">
      <c r="A35" s="0" t="s">
        <v>12</v>
      </c>
      <c r="B35" s="0" t="n">
        <v>17348</v>
      </c>
      <c r="C35" s="0" t="n">
        <v>17368</v>
      </c>
      <c r="D35" s="0" t="s">
        <v>130</v>
      </c>
      <c r="E35" s="0" t="s">
        <v>131</v>
      </c>
      <c r="F35" s="0" t="s">
        <v>90</v>
      </c>
      <c r="G35" s="0" t="s">
        <v>36</v>
      </c>
      <c r="H35" s="0" t="n">
        <v>44</v>
      </c>
      <c r="I35" s="0" t="s">
        <v>135</v>
      </c>
      <c r="J35" s="0" t="s">
        <v>136</v>
      </c>
      <c r="K35" s="0" t="s">
        <v>137</v>
      </c>
      <c r="L35" s="0" t="str">
        <f aca="false">HYPERLINK("https://www.ncbi.nlm.nih.gov/nuccore/CP000058.1?report=graph&amp;tracks=[key:gene_model_track,Options:GeneOnly]&amp;mk=17384:17403|offset_9|444444,17349:17368|offset_44|00cc00,17325:17344|offset_68|444444,17302:17321|offset_91|444444&amp;v=17183:17521&amp;c=444444", "offset 44")</f>
        <v>offset 44</v>
      </c>
    </row>
    <row r="36" customFormat="false" ht="12.8" hidden="false" customHeight="false" outlineLevel="0" collapsed="false">
      <c r="A36" s="0" t="s">
        <v>12</v>
      </c>
      <c r="B36" s="0" t="n">
        <v>17324</v>
      </c>
      <c r="C36" s="0" t="n">
        <v>17344</v>
      </c>
      <c r="D36" s="0" t="s">
        <v>130</v>
      </c>
      <c r="E36" s="0" t="s">
        <v>131</v>
      </c>
      <c r="F36" s="0" t="s">
        <v>90</v>
      </c>
      <c r="G36" s="0" t="s">
        <v>32</v>
      </c>
      <c r="H36" s="0" t="n">
        <v>68</v>
      </c>
      <c r="I36" s="0" t="s">
        <v>138</v>
      </c>
      <c r="J36" s="0" t="s">
        <v>139</v>
      </c>
      <c r="K36" s="0" t="s">
        <v>140</v>
      </c>
      <c r="L36" s="0" t="str">
        <f aca="false">HYPERLINK("https://www.ncbi.nlm.nih.gov/nuccore/CP000058.1?report=graph&amp;tracks=[key:gene_model_track,Options:GeneOnly]&amp;mk=17384:17403|offset_9|444444,17349:17368|offset_44|444444,17325:17344|offset_68|00cc00,17302:17321|offset_91|444444&amp;v=17183:17521&amp;c=444444", "offset 68")</f>
        <v>offset 68</v>
      </c>
    </row>
    <row r="37" customFormat="false" ht="12.8" hidden="false" customHeight="false" outlineLevel="0" collapsed="false">
      <c r="A37" s="0" t="s">
        <v>12</v>
      </c>
      <c r="B37" s="0" t="n">
        <v>17301</v>
      </c>
      <c r="C37" s="0" t="n">
        <v>17321</v>
      </c>
      <c r="D37" s="0" t="s">
        <v>130</v>
      </c>
      <c r="E37" s="0" t="s">
        <v>131</v>
      </c>
      <c r="F37" s="0" t="s">
        <v>90</v>
      </c>
      <c r="G37" s="0" t="s">
        <v>20</v>
      </c>
      <c r="H37" s="0" t="n">
        <v>91</v>
      </c>
      <c r="I37" s="0" t="s">
        <v>141</v>
      </c>
      <c r="J37" s="0" t="s">
        <v>142</v>
      </c>
      <c r="K37" s="0" t="s">
        <v>143</v>
      </c>
      <c r="L37" s="0" t="str">
        <f aca="false">HYPERLINK("https://www.ncbi.nlm.nih.gov/nuccore/CP000058.1?report=graph&amp;tracks=[key:gene_model_track,Options:GeneOnly]&amp;mk=17384:17403|offset_9|444444,17349:17368|offset_44|444444,17325:17344|offset_68|444444,17302:17321|offset_91|00cc00&amp;v=17183:17521&amp;c=444444", "offset 91")</f>
        <v>offset 91</v>
      </c>
    </row>
    <row r="38" customFormat="false" ht="12.8" hidden="false" customHeight="false" outlineLevel="0" collapsed="false">
      <c r="A38" s="0" t="s">
        <v>12</v>
      </c>
      <c r="B38" s="0" t="n">
        <v>17432</v>
      </c>
      <c r="C38" s="0" t="n">
        <v>17452</v>
      </c>
      <c r="D38" s="0" t="s">
        <v>144</v>
      </c>
      <c r="E38" s="0" t="s">
        <v>145</v>
      </c>
      <c r="F38" s="0" t="s">
        <v>15</v>
      </c>
      <c r="G38" s="0" t="s">
        <v>20</v>
      </c>
      <c r="H38" s="0" t="n">
        <v>0</v>
      </c>
      <c r="I38" s="0" t="s">
        <v>146</v>
      </c>
      <c r="J38" s="0" t="s">
        <v>147</v>
      </c>
      <c r="K38" s="0" t="s">
        <v>148</v>
      </c>
      <c r="L38" s="0" t="str">
        <f aca="false">HYPERLINK("https://www.ncbi.nlm.nih.gov/nuccore/CP000058.1?report=graph&amp;tracks=[key:gene_model_track,Options:GeneOnly]&amp;mk=17433:17452|offset_0|00cc00,17465:17484|offset_32|444444,17505:17524|offset_72|444444,17555:17574|offset_122|444444&amp;v=17232:17774&amp;c=444444", "offset 0")</f>
        <v>offset 0</v>
      </c>
    </row>
    <row r="39" customFormat="false" ht="12.8" hidden="false" customHeight="false" outlineLevel="0" collapsed="false">
      <c r="A39" s="0" t="s">
        <v>12</v>
      </c>
      <c r="B39" s="0" t="n">
        <v>17464</v>
      </c>
      <c r="C39" s="0" t="n">
        <v>17484</v>
      </c>
      <c r="D39" s="0" t="s">
        <v>144</v>
      </c>
      <c r="E39" s="0" t="s">
        <v>145</v>
      </c>
      <c r="F39" s="0" t="s">
        <v>15</v>
      </c>
      <c r="G39" s="0" t="s">
        <v>36</v>
      </c>
      <c r="H39" s="0" t="n">
        <v>32</v>
      </c>
      <c r="I39" s="0" t="s">
        <v>149</v>
      </c>
      <c r="J39" s="0" t="s">
        <v>150</v>
      </c>
      <c r="K39" s="0" t="s">
        <v>151</v>
      </c>
      <c r="L39" s="0" t="str">
        <f aca="false">HYPERLINK("https://www.ncbi.nlm.nih.gov/nuccore/CP000058.1?report=graph&amp;tracks=[key:gene_model_track,Options:GeneOnly]&amp;mk=17433:17452|offset_0|444444,17465:17484|offset_32|00cc00,17505:17524|offset_72|444444,17555:17574|offset_122|444444&amp;v=17232:17774&amp;c=444444", "offset 32")</f>
        <v>offset 32</v>
      </c>
    </row>
    <row r="40" customFormat="false" ht="12.8" hidden="false" customHeight="false" outlineLevel="0" collapsed="false">
      <c r="A40" s="0" t="s">
        <v>12</v>
      </c>
      <c r="B40" s="0" t="n">
        <v>17504</v>
      </c>
      <c r="C40" s="0" t="n">
        <v>17524</v>
      </c>
      <c r="D40" s="0" t="s">
        <v>144</v>
      </c>
      <c r="E40" s="0" t="s">
        <v>145</v>
      </c>
      <c r="F40" s="0" t="s">
        <v>15</v>
      </c>
      <c r="G40" s="0" t="s">
        <v>16</v>
      </c>
      <c r="H40" s="0" t="n">
        <v>72</v>
      </c>
      <c r="I40" s="0" t="s">
        <v>152</v>
      </c>
      <c r="J40" s="0" t="s">
        <v>153</v>
      </c>
      <c r="K40" s="0" t="s">
        <v>154</v>
      </c>
      <c r="L40" s="0" t="str">
        <f aca="false">HYPERLINK("https://www.ncbi.nlm.nih.gov/nuccore/CP000058.1?report=graph&amp;tracks=[key:gene_model_track,Options:GeneOnly]&amp;mk=17433:17452|offset_0|444444,17465:17484|offset_32|444444,17505:17524|offset_72|00cc00,17555:17574|offset_122|444444&amp;v=17232:17774&amp;c=444444", "offset 72")</f>
        <v>offset 72</v>
      </c>
    </row>
    <row r="41" customFormat="false" ht="12.8" hidden="false" customHeight="false" outlineLevel="0" collapsed="false">
      <c r="A41" s="0" t="s">
        <v>12</v>
      </c>
      <c r="B41" s="0" t="n">
        <v>17554</v>
      </c>
      <c r="C41" s="0" t="n">
        <v>17574</v>
      </c>
      <c r="D41" s="0" t="s">
        <v>144</v>
      </c>
      <c r="E41" s="0" t="s">
        <v>145</v>
      </c>
      <c r="F41" s="0" t="s">
        <v>15</v>
      </c>
      <c r="G41" s="0" t="s">
        <v>32</v>
      </c>
      <c r="H41" s="0" t="n">
        <v>122</v>
      </c>
      <c r="I41" s="0" t="s">
        <v>155</v>
      </c>
      <c r="J41" s="0" t="s">
        <v>156</v>
      </c>
      <c r="K41" s="0" t="s">
        <v>157</v>
      </c>
      <c r="L41" s="0" t="str">
        <f aca="false">HYPERLINK("https://www.ncbi.nlm.nih.gov/nuccore/CP000058.1?report=graph&amp;tracks=[key:gene_model_track,Options:GeneOnly]&amp;mk=17433:17452|offset_0|444444,17465:17484|offset_32|444444,17505:17524|offset_72|444444,17555:17574|offset_122|00cc00&amp;v=17232:17774&amp;c=444444", "offset 122")</f>
        <v>offset 122</v>
      </c>
    </row>
    <row r="42" customFormat="false" ht="12.8" hidden="false" customHeight="false" outlineLevel="0" collapsed="false">
      <c r="A42" s="0" t="s">
        <v>12</v>
      </c>
      <c r="B42" s="0" t="n">
        <v>18044</v>
      </c>
      <c r="C42" s="0" t="n">
        <v>18064</v>
      </c>
      <c r="D42" s="0" t="s">
        <v>158</v>
      </c>
      <c r="E42" s="0" t="s">
        <v>75</v>
      </c>
      <c r="F42" s="0" t="s">
        <v>15</v>
      </c>
      <c r="G42" s="0" t="s">
        <v>16</v>
      </c>
      <c r="H42" s="0" t="n">
        <v>22</v>
      </c>
      <c r="I42" s="0" t="s">
        <v>159</v>
      </c>
      <c r="J42" s="0" t="s">
        <v>160</v>
      </c>
      <c r="K42" s="0" t="s">
        <v>161</v>
      </c>
      <c r="L42" s="0" t="str">
        <f aca="false">HYPERLINK("https://www.ncbi.nlm.nih.gov/nuccore/CP000058.1?report=graph&amp;tracks=[key:gene_model_track,Options:GeneOnly]&amp;mk=18045:18064|offset_22|00cc00,18083:18102|offset_60|444444,18140:18159|offset_117|444444,18172:18191|offset_149|444444&amp;v=17844:18391&amp;c=444444", "offset 22")</f>
        <v>offset 22</v>
      </c>
    </row>
    <row r="43" customFormat="false" ht="12.8" hidden="false" customHeight="false" outlineLevel="0" collapsed="false">
      <c r="A43" s="0" t="s">
        <v>12</v>
      </c>
      <c r="B43" s="0" t="n">
        <v>18082</v>
      </c>
      <c r="C43" s="0" t="n">
        <v>18102</v>
      </c>
      <c r="D43" s="0" t="s">
        <v>158</v>
      </c>
      <c r="E43" s="0" t="s">
        <v>75</v>
      </c>
      <c r="F43" s="0" t="s">
        <v>15</v>
      </c>
      <c r="G43" s="0" t="s">
        <v>16</v>
      </c>
      <c r="H43" s="0" t="n">
        <v>60</v>
      </c>
      <c r="I43" s="0" t="s">
        <v>162</v>
      </c>
      <c r="J43" s="0" t="s">
        <v>163</v>
      </c>
      <c r="K43" s="0" t="s">
        <v>164</v>
      </c>
      <c r="L43" s="0" t="str">
        <f aca="false">HYPERLINK("https://www.ncbi.nlm.nih.gov/nuccore/CP000058.1?report=graph&amp;tracks=[key:gene_model_track,Options:GeneOnly]&amp;mk=18045:18064|offset_22|444444,18083:18102|offset_60|00cc00,18140:18159|offset_117|444444,18172:18191|offset_149|444444&amp;v=17844:18391&amp;c=444444", "offset 60")</f>
        <v>offset 60</v>
      </c>
    </row>
    <row r="44" customFormat="false" ht="12.8" hidden="false" customHeight="false" outlineLevel="0" collapsed="false">
      <c r="A44" s="0" t="s">
        <v>12</v>
      </c>
      <c r="B44" s="0" t="n">
        <v>18139</v>
      </c>
      <c r="C44" s="0" t="n">
        <v>18159</v>
      </c>
      <c r="D44" s="0" t="s">
        <v>158</v>
      </c>
      <c r="E44" s="0" t="s">
        <v>75</v>
      </c>
      <c r="F44" s="0" t="s">
        <v>15</v>
      </c>
      <c r="G44" s="0" t="s">
        <v>36</v>
      </c>
      <c r="H44" s="0" t="n">
        <v>117</v>
      </c>
      <c r="I44" s="0" t="s">
        <v>165</v>
      </c>
      <c r="J44" s="0" t="s">
        <v>166</v>
      </c>
      <c r="K44" s="0" t="s">
        <v>167</v>
      </c>
      <c r="L44" s="0" t="str">
        <f aca="false">HYPERLINK("https://www.ncbi.nlm.nih.gov/nuccore/CP000058.1?report=graph&amp;tracks=[key:gene_model_track,Options:GeneOnly]&amp;mk=18045:18064|offset_22|444444,18083:18102|offset_60|444444,18140:18159|offset_117|00cc00,18172:18191|offset_149|444444&amp;v=17844:18391&amp;c=444444", "offset 117")</f>
        <v>offset 117</v>
      </c>
    </row>
    <row r="45" customFormat="false" ht="12.8" hidden="false" customHeight="false" outlineLevel="0" collapsed="false">
      <c r="A45" s="0" t="s">
        <v>12</v>
      </c>
      <c r="B45" s="0" t="n">
        <v>18171</v>
      </c>
      <c r="C45" s="0" t="n">
        <v>18191</v>
      </c>
      <c r="D45" s="0" t="s">
        <v>158</v>
      </c>
      <c r="E45" s="0" t="s">
        <v>75</v>
      </c>
      <c r="F45" s="0" t="s">
        <v>15</v>
      </c>
      <c r="G45" s="0" t="s">
        <v>20</v>
      </c>
      <c r="H45" s="0" t="n">
        <v>149</v>
      </c>
      <c r="I45" s="0" t="s">
        <v>168</v>
      </c>
      <c r="J45" s="0" t="s">
        <v>169</v>
      </c>
      <c r="K45" s="0" t="s">
        <v>170</v>
      </c>
      <c r="L45" s="0" t="str">
        <f aca="false">HYPERLINK("https://www.ncbi.nlm.nih.gov/nuccore/CP000058.1?report=graph&amp;tracks=[key:gene_model_track,Options:GeneOnly]&amp;mk=18045:18064|offset_22|444444,18083:18102|offset_60|444444,18140:18159|offset_117|444444,18172:18191|offset_149|00cc00&amp;v=17844:18391&amp;c=444444", "offset 149")</f>
        <v>offset 149</v>
      </c>
    </row>
    <row r="46" customFormat="false" ht="12.8" hidden="false" customHeight="false" outlineLevel="0" collapsed="false">
      <c r="A46" s="0" t="s">
        <v>12</v>
      </c>
      <c r="B46" s="0" t="n">
        <v>19460</v>
      </c>
      <c r="C46" s="0" t="n">
        <v>19480</v>
      </c>
      <c r="D46" s="0" t="s">
        <v>171</v>
      </c>
      <c r="E46" s="0" t="s">
        <v>75</v>
      </c>
      <c r="F46" s="0" t="s">
        <v>15</v>
      </c>
      <c r="G46" s="0" t="s">
        <v>16</v>
      </c>
      <c r="H46" s="0" t="n">
        <v>480</v>
      </c>
      <c r="I46" s="0" t="s">
        <v>172</v>
      </c>
      <c r="J46" s="0" t="s">
        <v>173</v>
      </c>
      <c r="K46" s="0" t="s">
        <v>174</v>
      </c>
      <c r="L46" s="0" t="str">
        <f aca="false">HYPERLINK("https://www.ncbi.nlm.nih.gov/nuccore/CP000058.1?report=graph&amp;tracks=[key:gene_model_track,Options:GeneOnly]&amp;mk=19461:19480|offset_480|00cc00,19488:19507|offset_507|444444,19512:19531|offset_531|444444,19533:19552|offset_552|444444&amp;v=19260:19752&amp;c=444444", "offset 480")</f>
        <v>offset 480</v>
      </c>
    </row>
    <row r="47" customFormat="false" ht="12.8" hidden="false" customHeight="false" outlineLevel="0" collapsed="false">
      <c r="A47" s="0" t="s">
        <v>12</v>
      </c>
      <c r="B47" s="0" t="n">
        <v>19487</v>
      </c>
      <c r="C47" s="0" t="n">
        <v>19507</v>
      </c>
      <c r="D47" s="0" t="s">
        <v>171</v>
      </c>
      <c r="E47" s="0" t="s">
        <v>75</v>
      </c>
      <c r="F47" s="0" t="s">
        <v>15</v>
      </c>
      <c r="G47" s="0" t="s">
        <v>16</v>
      </c>
      <c r="H47" s="0" t="n">
        <v>507</v>
      </c>
      <c r="I47" s="0" t="s">
        <v>175</v>
      </c>
      <c r="J47" s="0" t="s">
        <v>176</v>
      </c>
      <c r="K47" s="0" t="s">
        <v>177</v>
      </c>
      <c r="L47" s="0" t="str">
        <f aca="false">HYPERLINK("https://www.ncbi.nlm.nih.gov/nuccore/CP000058.1?report=graph&amp;tracks=[key:gene_model_track,Options:GeneOnly]&amp;mk=19461:19480|offset_480|444444,19488:19507|offset_507|00cc00,19512:19531|offset_531|444444,19533:19552|offset_552|444444&amp;v=19260:19752&amp;c=444444", "offset 507")</f>
        <v>offset 507</v>
      </c>
    </row>
    <row r="48" customFormat="false" ht="12.8" hidden="false" customHeight="false" outlineLevel="0" collapsed="false">
      <c r="A48" s="0" t="s">
        <v>12</v>
      </c>
      <c r="B48" s="0" t="n">
        <v>19511</v>
      </c>
      <c r="C48" s="0" t="n">
        <v>19531</v>
      </c>
      <c r="D48" s="0" t="s">
        <v>171</v>
      </c>
      <c r="E48" s="0" t="s">
        <v>75</v>
      </c>
      <c r="F48" s="0" t="s">
        <v>15</v>
      </c>
      <c r="G48" s="0" t="s">
        <v>32</v>
      </c>
      <c r="H48" s="0" t="n">
        <v>531</v>
      </c>
      <c r="I48" s="0" t="s">
        <v>178</v>
      </c>
      <c r="J48" s="0" t="s">
        <v>179</v>
      </c>
      <c r="K48" s="0" t="s">
        <v>180</v>
      </c>
      <c r="L48" s="0" t="str">
        <f aca="false">HYPERLINK("https://www.ncbi.nlm.nih.gov/nuccore/CP000058.1?report=graph&amp;tracks=[key:gene_model_track,Options:GeneOnly]&amp;mk=19461:19480|offset_480|444444,19488:19507|offset_507|444444,19512:19531|offset_531|00cc00,19533:19552|offset_552|444444&amp;v=19260:19752&amp;c=444444", "offset 531")</f>
        <v>offset 531</v>
      </c>
    </row>
    <row r="49" customFormat="false" ht="12.8" hidden="false" customHeight="false" outlineLevel="0" collapsed="false">
      <c r="A49" s="0" t="s">
        <v>12</v>
      </c>
      <c r="B49" s="0" t="n">
        <v>19532</v>
      </c>
      <c r="C49" s="0" t="n">
        <v>19552</v>
      </c>
      <c r="D49" s="0" t="s">
        <v>171</v>
      </c>
      <c r="E49" s="0" t="s">
        <v>75</v>
      </c>
      <c r="F49" s="0" t="s">
        <v>15</v>
      </c>
      <c r="G49" s="0" t="s">
        <v>16</v>
      </c>
      <c r="H49" s="0" t="n">
        <v>552</v>
      </c>
      <c r="I49" s="0" t="s">
        <v>181</v>
      </c>
      <c r="J49" s="0" t="s">
        <v>182</v>
      </c>
      <c r="K49" s="0" t="s">
        <v>183</v>
      </c>
      <c r="L49" s="0" t="str">
        <f aca="false">HYPERLINK("https://www.ncbi.nlm.nih.gov/nuccore/CP000058.1?report=graph&amp;tracks=[key:gene_model_track,Options:GeneOnly]&amp;mk=19461:19480|offset_480|444444,19488:19507|offset_507|444444,19512:19531|offset_531|444444,19533:19552|offset_552|00cc00&amp;v=19260:19752&amp;c=444444", "offset 552")</f>
        <v>offset 552</v>
      </c>
    </row>
    <row r="50" customFormat="false" ht="12.8" hidden="false" customHeight="false" outlineLevel="0" collapsed="false">
      <c r="A50" s="0" t="s">
        <v>12</v>
      </c>
      <c r="B50" s="0" t="n">
        <v>22624</v>
      </c>
      <c r="C50" s="0" t="n">
        <v>22644</v>
      </c>
      <c r="D50" s="0" t="s">
        <v>184</v>
      </c>
      <c r="E50" s="0" t="s">
        <v>75</v>
      </c>
      <c r="F50" s="0" t="s">
        <v>90</v>
      </c>
      <c r="G50" s="0" t="s">
        <v>36</v>
      </c>
      <c r="H50" s="0" t="n">
        <v>0</v>
      </c>
      <c r="I50" s="0" t="s">
        <v>185</v>
      </c>
      <c r="J50" s="0" t="s">
        <v>186</v>
      </c>
      <c r="K50" s="0" t="s">
        <v>187</v>
      </c>
      <c r="L50" s="0" t="str">
        <f aca="false">HYPERLINK("https://www.ncbi.nlm.nih.gov/nuccore/CP000058.1?report=graph&amp;tracks=[key:gene_model_track,Options:GeneOnly]&amp;mk=22625:22644|offset_0|00cc00,22603:22622|offset_22|444444,22576:22595|offset_49|444444,22550:22569|offset_75|444444&amp;v=22424:22769&amp;c=444444", "offset 0")</f>
        <v>offset 0</v>
      </c>
    </row>
    <row r="51" customFormat="false" ht="12.8" hidden="false" customHeight="false" outlineLevel="0" collapsed="false">
      <c r="A51" s="0" t="s">
        <v>12</v>
      </c>
      <c r="B51" s="0" t="n">
        <v>22602</v>
      </c>
      <c r="C51" s="0" t="n">
        <v>22622</v>
      </c>
      <c r="D51" s="0" t="s">
        <v>184</v>
      </c>
      <c r="E51" s="0" t="s">
        <v>75</v>
      </c>
      <c r="F51" s="0" t="s">
        <v>90</v>
      </c>
      <c r="G51" s="0" t="s">
        <v>36</v>
      </c>
      <c r="H51" s="0" t="n">
        <v>22</v>
      </c>
      <c r="I51" s="0" t="s">
        <v>188</v>
      </c>
      <c r="J51" s="0" t="s">
        <v>189</v>
      </c>
      <c r="K51" s="0" t="s">
        <v>190</v>
      </c>
      <c r="L51" s="0" t="str">
        <f aca="false">HYPERLINK("https://www.ncbi.nlm.nih.gov/nuccore/CP000058.1?report=graph&amp;tracks=[key:gene_model_track,Options:GeneOnly]&amp;mk=22625:22644|offset_0|444444,22603:22622|offset_22|00cc00,22576:22595|offset_49|444444,22550:22569|offset_75|444444&amp;v=22424:22769&amp;c=444444", "offset 22")</f>
        <v>offset 22</v>
      </c>
    </row>
    <row r="52" customFormat="false" ht="12.8" hidden="false" customHeight="false" outlineLevel="0" collapsed="false">
      <c r="A52" s="0" t="s">
        <v>12</v>
      </c>
      <c r="B52" s="0" t="n">
        <v>22575</v>
      </c>
      <c r="C52" s="0" t="n">
        <v>22595</v>
      </c>
      <c r="D52" s="0" t="s">
        <v>184</v>
      </c>
      <c r="E52" s="0" t="s">
        <v>75</v>
      </c>
      <c r="F52" s="0" t="s">
        <v>90</v>
      </c>
      <c r="G52" s="0" t="s">
        <v>16</v>
      </c>
      <c r="H52" s="0" t="n">
        <v>49</v>
      </c>
      <c r="I52" s="0" t="s">
        <v>191</v>
      </c>
      <c r="J52" s="0" t="s">
        <v>192</v>
      </c>
      <c r="K52" s="0" t="s">
        <v>193</v>
      </c>
      <c r="L52" s="0" t="str">
        <f aca="false">HYPERLINK("https://www.ncbi.nlm.nih.gov/nuccore/CP000058.1?report=graph&amp;tracks=[key:gene_model_track,Options:GeneOnly]&amp;mk=22625:22644|offset_0|444444,22603:22622|offset_22|444444,22576:22595|offset_49|00cc00,22550:22569|offset_75|444444&amp;v=22424:22769&amp;c=444444", "offset 49")</f>
        <v>offset 49</v>
      </c>
    </row>
    <row r="53" customFormat="false" ht="12.8" hidden="false" customHeight="false" outlineLevel="0" collapsed="false">
      <c r="A53" s="0" t="s">
        <v>12</v>
      </c>
      <c r="B53" s="0" t="n">
        <v>22549</v>
      </c>
      <c r="C53" s="0" t="n">
        <v>22569</v>
      </c>
      <c r="D53" s="0" t="s">
        <v>184</v>
      </c>
      <c r="E53" s="0" t="s">
        <v>75</v>
      </c>
      <c r="F53" s="0" t="s">
        <v>90</v>
      </c>
      <c r="G53" s="0" t="s">
        <v>20</v>
      </c>
      <c r="H53" s="0" t="n">
        <v>75</v>
      </c>
      <c r="I53" s="0" t="s">
        <v>194</v>
      </c>
      <c r="J53" s="0" t="s">
        <v>195</v>
      </c>
      <c r="K53" s="0" t="s">
        <v>196</v>
      </c>
      <c r="L53" s="0" t="str">
        <f aca="false">HYPERLINK("https://www.ncbi.nlm.nih.gov/nuccore/CP000058.1?report=graph&amp;tracks=[key:gene_model_track,Options:GeneOnly]&amp;mk=22625:22644|offset_0|444444,22603:22622|offset_22|444444,22576:22595|offset_49|444444,22550:22569|offset_75|00cc00&amp;v=22424:22769&amp;c=444444", "offset 75")</f>
        <v>offset 75</v>
      </c>
    </row>
    <row r="54" customFormat="false" ht="12.8" hidden="false" customHeight="false" outlineLevel="0" collapsed="false">
      <c r="A54" s="0" t="s">
        <v>12</v>
      </c>
      <c r="B54" s="0" t="n">
        <v>24103</v>
      </c>
      <c r="C54" s="0" t="n">
        <v>24123</v>
      </c>
      <c r="D54" s="0" t="s">
        <v>197</v>
      </c>
      <c r="E54" s="0" t="s">
        <v>198</v>
      </c>
      <c r="F54" s="0" t="s">
        <v>90</v>
      </c>
      <c r="G54" s="0" t="s">
        <v>16</v>
      </c>
      <c r="H54" s="0" t="n">
        <v>49</v>
      </c>
      <c r="I54" s="0" t="s">
        <v>199</v>
      </c>
      <c r="J54" s="0" t="s">
        <v>200</v>
      </c>
      <c r="K54" s="0" t="s">
        <v>201</v>
      </c>
      <c r="L54" s="0" t="str">
        <f aca="false">HYPERLINK("https://www.ncbi.nlm.nih.gov/nuccore/CP000058.1?report=graph&amp;tracks=[key:gene_model_track,Options:GeneOnly]&amp;mk=24104:24123|offset_49|00cc00,24083:24102|offset_70|444444,24059:24078|offset_94|444444,24028:24047|offset_125|444444&amp;v=23903:24247&amp;c=444444", "offset 49")</f>
        <v>offset 49</v>
      </c>
    </row>
    <row r="55" customFormat="false" ht="12.8" hidden="false" customHeight="false" outlineLevel="0" collapsed="false">
      <c r="A55" s="0" t="s">
        <v>12</v>
      </c>
      <c r="B55" s="0" t="n">
        <v>24082</v>
      </c>
      <c r="C55" s="0" t="n">
        <v>24102</v>
      </c>
      <c r="D55" s="0" t="s">
        <v>197</v>
      </c>
      <c r="E55" s="0" t="s">
        <v>198</v>
      </c>
      <c r="F55" s="0" t="s">
        <v>90</v>
      </c>
      <c r="G55" s="0" t="s">
        <v>32</v>
      </c>
      <c r="H55" s="0" t="n">
        <v>70</v>
      </c>
      <c r="I55" s="0" t="s">
        <v>202</v>
      </c>
      <c r="J55" s="0" t="s">
        <v>203</v>
      </c>
      <c r="K55" s="0" t="s">
        <v>204</v>
      </c>
      <c r="L55" s="0" t="str">
        <f aca="false">HYPERLINK("https://www.ncbi.nlm.nih.gov/nuccore/CP000058.1?report=graph&amp;tracks=[key:gene_model_track,Options:GeneOnly]&amp;mk=24104:24123|offset_49|444444,24083:24102|offset_70|00cc00,24059:24078|offset_94|444444,24028:24047|offset_125|444444&amp;v=23903:24247&amp;c=444444", "offset 70")</f>
        <v>offset 70</v>
      </c>
    </row>
    <row r="56" customFormat="false" ht="12.8" hidden="false" customHeight="false" outlineLevel="0" collapsed="false">
      <c r="A56" s="0" t="s">
        <v>12</v>
      </c>
      <c r="B56" s="0" t="n">
        <v>24058</v>
      </c>
      <c r="C56" s="0" t="n">
        <v>24078</v>
      </c>
      <c r="D56" s="0" t="s">
        <v>197</v>
      </c>
      <c r="E56" s="0" t="s">
        <v>198</v>
      </c>
      <c r="F56" s="0" t="s">
        <v>90</v>
      </c>
      <c r="G56" s="0" t="s">
        <v>16</v>
      </c>
      <c r="H56" s="0" t="n">
        <v>94</v>
      </c>
      <c r="I56" s="0" t="s">
        <v>205</v>
      </c>
      <c r="J56" s="0" t="s">
        <v>206</v>
      </c>
      <c r="K56" s="0" t="s">
        <v>207</v>
      </c>
      <c r="L56" s="0" t="str">
        <f aca="false">HYPERLINK("https://www.ncbi.nlm.nih.gov/nuccore/CP000058.1?report=graph&amp;tracks=[key:gene_model_track,Options:GeneOnly]&amp;mk=24104:24123|offset_49|444444,24083:24102|offset_70|444444,24059:24078|offset_94|00cc00,24028:24047|offset_125|444444&amp;v=23903:24247&amp;c=444444", "offset 94")</f>
        <v>offset 94</v>
      </c>
    </row>
    <row r="57" customFormat="false" ht="12.8" hidden="false" customHeight="false" outlineLevel="0" collapsed="false">
      <c r="A57" s="0" t="s">
        <v>12</v>
      </c>
      <c r="B57" s="0" t="n">
        <v>24027</v>
      </c>
      <c r="C57" s="0" t="n">
        <v>24047</v>
      </c>
      <c r="D57" s="0" t="s">
        <v>197</v>
      </c>
      <c r="E57" s="0" t="s">
        <v>198</v>
      </c>
      <c r="F57" s="0" t="s">
        <v>90</v>
      </c>
      <c r="G57" s="0" t="s">
        <v>16</v>
      </c>
      <c r="H57" s="0" t="n">
        <v>125</v>
      </c>
      <c r="I57" s="0" t="s">
        <v>208</v>
      </c>
      <c r="J57" s="0" t="s">
        <v>209</v>
      </c>
      <c r="K57" s="0" t="s">
        <v>210</v>
      </c>
      <c r="L57" s="0" t="str">
        <f aca="false">HYPERLINK("https://www.ncbi.nlm.nih.gov/nuccore/CP000058.1?report=graph&amp;tracks=[key:gene_model_track,Options:GeneOnly]&amp;mk=24104:24123|offset_49|444444,24083:24102|offset_70|444444,24059:24078|offset_94|444444,24028:24047|offset_125|00cc00&amp;v=23903:24247&amp;c=444444", "offset 125")</f>
        <v>offset 125</v>
      </c>
    </row>
    <row r="58" customFormat="false" ht="12.8" hidden="false" customHeight="false" outlineLevel="0" collapsed="false">
      <c r="A58" s="0" t="s">
        <v>12</v>
      </c>
      <c r="B58" s="0" t="n">
        <v>25487</v>
      </c>
      <c r="C58" s="0" t="n">
        <v>25507</v>
      </c>
      <c r="D58" s="0" t="s">
        <v>211</v>
      </c>
      <c r="E58" s="0" t="s">
        <v>212</v>
      </c>
      <c r="F58" s="0" t="s">
        <v>90</v>
      </c>
      <c r="G58" s="0" t="s">
        <v>36</v>
      </c>
      <c r="H58" s="0" t="n">
        <v>8</v>
      </c>
      <c r="I58" s="0" t="s">
        <v>213</v>
      </c>
      <c r="J58" s="0" t="s">
        <v>214</v>
      </c>
      <c r="K58" s="0" t="s">
        <v>215</v>
      </c>
      <c r="L58" s="0" t="str">
        <f aca="false">HYPERLINK("https://www.ncbi.nlm.nih.gov/nuccore/CP000058.1?report=graph&amp;tracks=[key:gene_model_track,Options:GeneOnly]&amp;mk=25488:25507|offset_8|00cc00,25418:25437|offset_78|444444,25380:25399|offset_116|444444,25354:25373|offset_142|444444&amp;v=25287:25573&amp;c=444444", "offset 8")</f>
        <v>offset 8</v>
      </c>
    </row>
    <row r="59" customFormat="false" ht="12.8" hidden="false" customHeight="false" outlineLevel="0" collapsed="false">
      <c r="A59" s="0" t="s">
        <v>12</v>
      </c>
      <c r="B59" s="0" t="n">
        <v>25417</v>
      </c>
      <c r="C59" s="0" t="n">
        <v>25437</v>
      </c>
      <c r="D59" s="0" t="s">
        <v>211</v>
      </c>
      <c r="E59" s="0" t="s">
        <v>212</v>
      </c>
      <c r="F59" s="0" t="s">
        <v>90</v>
      </c>
      <c r="G59" s="0" t="s">
        <v>36</v>
      </c>
      <c r="H59" s="0" t="n">
        <v>78</v>
      </c>
      <c r="I59" s="0" t="s">
        <v>216</v>
      </c>
      <c r="J59" s="0" t="s">
        <v>217</v>
      </c>
      <c r="K59" s="0" t="s">
        <v>218</v>
      </c>
      <c r="L59" s="0" t="str">
        <f aca="false">HYPERLINK("https://www.ncbi.nlm.nih.gov/nuccore/CP000058.1?report=graph&amp;tracks=[key:gene_model_track,Options:GeneOnly]&amp;mk=25488:25507|offset_8|444444,25418:25437|offset_78|00cc00,25380:25399|offset_116|444444,25354:25373|offset_142|444444&amp;v=25287:25573&amp;c=444444", "offset 78")</f>
        <v>offset 78</v>
      </c>
    </row>
    <row r="60" customFormat="false" ht="12.8" hidden="false" customHeight="false" outlineLevel="0" collapsed="false">
      <c r="A60" s="0" t="s">
        <v>12</v>
      </c>
      <c r="B60" s="0" t="n">
        <v>25379</v>
      </c>
      <c r="C60" s="0" t="n">
        <v>25399</v>
      </c>
      <c r="D60" s="0" t="s">
        <v>211</v>
      </c>
      <c r="E60" s="0" t="s">
        <v>212</v>
      </c>
      <c r="F60" s="0" t="s">
        <v>90</v>
      </c>
      <c r="G60" s="0" t="s">
        <v>20</v>
      </c>
      <c r="H60" s="0" t="n">
        <v>116</v>
      </c>
      <c r="I60" s="0" t="s">
        <v>219</v>
      </c>
      <c r="J60" s="0" t="s">
        <v>220</v>
      </c>
      <c r="K60" s="0" t="s">
        <v>221</v>
      </c>
      <c r="L60" s="0" t="str">
        <f aca="false">HYPERLINK("https://www.ncbi.nlm.nih.gov/nuccore/CP000058.1?report=graph&amp;tracks=[key:gene_model_track,Options:GeneOnly]&amp;mk=25488:25507|offset_8|444444,25418:25437|offset_78|444444,25380:25399|offset_116|00cc00,25354:25373|offset_142|444444&amp;v=25287:25573&amp;c=444444", "offset 116")</f>
        <v>offset 116</v>
      </c>
    </row>
    <row r="61" customFormat="false" ht="12.8" hidden="false" customHeight="false" outlineLevel="0" collapsed="false">
      <c r="A61" s="0" t="s">
        <v>12</v>
      </c>
      <c r="B61" s="0" t="n">
        <v>25353</v>
      </c>
      <c r="C61" s="0" t="n">
        <v>25373</v>
      </c>
      <c r="D61" s="0" t="s">
        <v>211</v>
      </c>
      <c r="E61" s="0" t="s">
        <v>212</v>
      </c>
      <c r="F61" s="0" t="s">
        <v>90</v>
      </c>
      <c r="G61" s="0" t="s">
        <v>16</v>
      </c>
      <c r="H61" s="0" t="n">
        <v>142</v>
      </c>
      <c r="I61" s="0" t="s">
        <v>222</v>
      </c>
      <c r="J61" s="0" t="s">
        <v>223</v>
      </c>
      <c r="K61" s="0" t="s">
        <v>224</v>
      </c>
      <c r="L61" s="0" t="str">
        <f aca="false">HYPERLINK("https://www.ncbi.nlm.nih.gov/nuccore/CP000058.1?report=graph&amp;tracks=[key:gene_model_track,Options:GeneOnly]&amp;mk=25488:25507|offset_8|444444,25418:25437|offset_78|444444,25380:25399|offset_116|444444,25354:25373|offset_142|00cc00&amp;v=25287:25573&amp;c=444444", "offset 142")</f>
        <v>offset 142</v>
      </c>
    </row>
    <row r="62" customFormat="false" ht="12.8" hidden="false" customHeight="false" outlineLevel="0" collapsed="false">
      <c r="A62" s="0" t="s">
        <v>12</v>
      </c>
      <c r="B62" s="0" t="n">
        <v>26436</v>
      </c>
      <c r="C62" s="0" t="n">
        <v>26456</v>
      </c>
      <c r="D62" s="0" t="s">
        <v>225</v>
      </c>
      <c r="E62" s="0" t="s">
        <v>226</v>
      </c>
      <c r="F62" s="0" t="s">
        <v>90</v>
      </c>
      <c r="G62" s="0" t="s">
        <v>36</v>
      </c>
      <c r="H62" s="0" t="n">
        <v>0</v>
      </c>
      <c r="I62" s="0" t="s">
        <v>227</v>
      </c>
      <c r="J62" s="0" t="s">
        <v>228</v>
      </c>
      <c r="K62" s="0" t="s">
        <v>229</v>
      </c>
      <c r="L62" s="0" t="str">
        <f aca="false">HYPERLINK("https://www.ncbi.nlm.nih.gov/nuccore/CP000058.1?report=graph&amp;tracks=[key:gene_model_track,Options:GeneOnly]&amp;mk=26437:26456|offset_0|00cc00,26406:26425|offset_31|444444,26378:26397|offset_59|444444,26357:26376|offset_80|444444&amp;v=26236:26576&amp;c=444444", "offset 0")</f>
        <v>offset 0</v>
      </c>
    </row>
    <row r="63" customFormat="false" ht="12.8" hidden="false" customHeight="false" outlineLevel="0" collapsed="false">
      <c r="A63" s="0" t="s">
        <v>12</v>
      </c>
      <c r="B63" s="0" t="n">
        <v>26405</v>
      </c>
      <c r="C63" s="0" t="n">
        <v>26425</v>
      </c>
      <c r="D63" s="0" t="s">
        <v>225</v>
      </c>
      <c r="E63" s="0" t="s">
        <v>226</v>
      </c>
      <c r="F63" s="0" t="s">
        <v>90</v>
      </c>
      <c r="G63" s="0" t="s">
        <v>16</v>
      </c>
      <c r="H63" s="0" t="n">
        <v>31</v>
      </c>
      <c r="I63" s="0" t="s">
        <v>230</v>
      </c>
      <c r="J63" s="0" t="s">
        <v>231</v>
      </c>
      <c r="K63" s="0" t="s">
        <v>232</v>
      </c>
      <c r="L63" s="0" t="str">
        <f aca="false">HYPERLINK("https://www.ncbi.nlm.nih.gov/nuccore/CP000058.1?report=graph&amp;tracks=[key:gene_model_track,Options:GeneOnly]&amp;mk=26437:26456|offset_0|444444,26406:26425|offset_31|00cc00,26378:26397|offset_59|444444,26357:26376|offset_80|444444&amp;v=26236:26576&amp;c=444444", "offset 31")</f>
        <v>offset 31</v>
      </c>
    </row>
    <row r="64" customFormat="false" ht="12.8" hidden="false" customHeight="false" outlineLevel="0" collapsed="false">
      <c r="A64" s="0" t="s">
        <v>12</v>
      </c>
      <c r="B64" s="0" t="n">
        <v>26377</v>
      </c>
      <c r="C64" s="0" t="n">
        <v>26397</v>
      </c>
      <c r="D64" s="0" t="s">
        <v>225</v>
      </c>
      <c r="E64" s="0" t="s">
        <v>226</v>
      </c>
      <c r="F64" s="0" t="s">
        <v>90</v>
      </c>
      <c r="G64" s="0" t="s">
        <v>20</v>
      </c>
      <c r="H64" s="0" t="n">
        <v>59</v>
      </c>
      <c r="I64" s="0" t="s">
        <v>233</v>
      </c>
      <c r="J64" s="0" t="s">
        <v>234</v>
      </c>
      <c r="K64" s="0" t="s">
        <v>235</v>
      </c>
      <c r="L64" s="0" t="str">
        <f aca="false">HYPERLINK("https://www.ncbi.nlm.nih.gov/nuccore/CP000058.1?report=graph&amp;tracks=[key:gene_model_track,Options:GeneOnly]&amp;mk=26437:26456|offset_0|444444,26406:26425|offset_31|444444,26378:26397|offset_59|00cc00,26357:26376|offset_80|444444&amp;v=26236:26576&amp;c=444444", "offset 59")</f>
        <v>offset 59</v>
      </c>
    </row>
    <row r="65" customFormat="false" ht="12.8" hidden="false" customHeight="false" outlineLevel="0" collapsed="false">
      <c r="A65" s="0" t="s">
        <v>12</v>
      </c>
      <c r="B65" s="0" t="n">
        <v>26356</v>
      </c>
      <c r="C65" s="0" t="n">
        <v>26376</v>
      </c>
      <c r="D65" s="0" t="s">
        <v>225</v>
      </c>
      <c r="E65" s="0" t="s">
        <v>226</v>
      </c>
      <c r="F65" s="0" t="s">
        <v>90</v>
      </c>
      <c r="G65" s="0" t="s">
        <v>36</v>
      </c>
      <c r="H65" s="0" t="n">
        <v>80</v>
      </c>
      <c r="I65" s="0" t="s">
        <v>236</v>
      </c>
      <c r="J65" s="0" t="s">
        <v>237</v>
      </c>
      <c r="K65" s="0" t="s">
        <v>238</v>
      </c>
      <c r="L65" s="0" t="str">
        <f aca="false">HYPERLINK("https://www.ncbi.nlm.nih.gov/nuccore/CP000058.1?report=graph&amp;tracks=[key:gene_model_track,Options:GeneOnly]&amp;mk=26437:26456|offset_0|444444,26406:26425|offset_31|444444,26378:26397|offset_59|444444,26357:26376|offset_80|00cc00&amp;v=26236:26576&amp;c=444444", "offset 80")</f>
        <v>offset 80</v>
      </c>
    </row>
    <row r="66" customFormat="false" ht="12.8" hidden="false" customHeight="false" outlineLevel="0" collapsed="false">
      <c r="A66" s="0" t="s">
        <v>12</v>
      </c>
      <c r="B66" s="0" t="n">
        <v>26995</v>
      </c>
      <c r="C66" s="0" t="n">
        <v>27015</v>
      </c>
      <c r="D66" s="0" t="s">
        <v>239</v>
      </c>
      <c r="E66" s="0" t="s">
        <v>240</v>
      </c>
      <c r="F66" s="0" t="s">
        <v>90</v>
      </c>
      <c r="G66" s="0" t="s">
        <v>32</v>
      </c>
      <c r="H66" s="0" t="n">
        <v>7</v>
      </c>
      <c r="I66" s="0" t="s">
        <v>241</v>
      </c>
      <c r="J66" s="0" t="s">
        <v>242</v>
      </c>
      <c r="K66" s="0" t="s">
        <v>243</v>
      </c>
      <c r="L66" s="0" t="str">
        <f aca="false">HYPERLINK("https://www.ncbi.nlm.nih.gov/nuccore/CP000058.1?report=graph&amp;tracks=[key:gene_model_track,Options:GeneOnly]&amp;mk=26996:27015|offset_7|00cc00,26973:26992|offset_30|444444,26948:26967|offset_55|444444,26914:26933|offset_89|444444&amp;v=26795:27133&amp;c=444444", "offset 7")</f>
        <v>offset 7</v>
      </c>
    </row>
    <row r="67" customFormat="false" ht="12.8" hidden="false" customHeight="false" outlineLevel="0" collapsed="false">
      <c r="A67" s="0" t="s">
        <v>12</v>
      </c>
      <c r="B67" s="0" t="n">
        <v>26972</v>
      </c>
      <c r="C67" s="0" t="n">
        <v>26992</v>
      </c>
      <c r="D67" s="0" t="s">
        <v>239</v>
      </c>
      <c r="E67" s="0" t="s">
        <v>240</v>
      </c>
      <c r="F67" s="0" t="s">
        <v>90</v>
      </c>
      <c r="G67" s="0" t="s">
        <v>36</v>
      </c>
      <c r="H67" s="0" t="n">
        <v>30</v>
      </c>
      <c r="I67" s="0" t="s">
        <v>244</v>
      </c>
      <c r="J67" s="0" t="s">
        <v>245</v>
      </c>
      <c r="K67" s="0" t="s">
        <v>246</v>
      </c>
      <c r="L67" s="0" t="str">
        <f aca="false">HYPERLINK("https://www.ncbi.nlm.nih.gov/nuccore/CP000058.1?report=graph&amp;tracks=[key:gene_model_track,Options:GeneOnly]&amp;mk=26996:27015|offset_7|444444,26973:26992|offset_30|00cc00,26948:26967|offset_55|444444,26914:26933|offset_89|444444&amp;v=26795:27133&amp;c=444444", "offset 30")</f>
        <v>offset 30</v>
      </c>
    </row>
    <row r="68" customFormat="false" ht="12.8" hidden="false" customHeight="false" outlineLevel="0" collapsed="false">
      <c r="A68" s="0" t="s">
        <v>12</v>
      </c>
      <c r="B68" s="0" t="n">
        <v>26947</v>
      </c>
      <c r="C68" s="0" t="n">
        <v>26967</v>
      </c>
      <c r="D68" s="0" t="s">
        <v>239</v>
      </c>
      <c r="E68" s="0" t="s">
        <v>240</v>
      </c>
      <c r="F68" s="0" t="s">
        <v>90</v>
      </c>
      <c r="G68" s="0" t="s">
        <v>32</v>
      </c>
      <c r="H68" s="0" t="n">
        <v>55</v>
      </c>
      <c r="I68" s="0" t="s">
        <v>247</v>
      </c>
      <c r="J68" s="0" t="s">
        <v>248</v>
      </c>
      <c r="K68" s="0" t="s">
        <v>249</v>
      </c>
      <c r="L68" s="0" t="str">
        <f aca="false">HYPERLINK("https://www.ncbi.nlm.nih.gov/nuccore/CP000058.1?report=graph&amp;tracks=[key:gene_model_track,Options:GeneOnly]&amp;mk=26996:27015|offset_7|444444,26973:26992|offset_30|444444,26948:26967|offset_55|00cc00,26914:26933|offset_89|444444&amp;v=26795:27133&amp;c=444444", "offset 55")</f>
        <v>offset 55</v>
      </c>
    </row>
    <row r="69" customFormat="false" ht="12.8" hidden="false" customHeight="false" outlineLevel="0" collapsed="false">
      <c r="A69" s="0" t="s">
        <v>12</v>
      </c>
      <c r="B69" s="0" t="n">
        <v>26913</v>
      </c>
      <c r="C69" s="0" t="n">
        <v>26933</v>
      </c>
      <c r="D69" s="0" t="s">
        <v>239</v>
      </c>
      <c r="E69" s="0" t="s">
        <v>240</v>
      </c>
      <c r="F69" s="0" t="s">
        <v>90</v>
      </c>
      <c r="G69" s="0" t="s">
        <v>32</v>
      </c>
      <c r="H69" s="0" t="n">
        <v>89</v>
      </c>
      <c r="I69" s="0" t="s">
        <v>250</v>
      </c>
      <c r="J69" s="0" t="s">
        <v>251</v>
      </c>
      <c r="K69" s="0" t="s">
        <v>252</v>
      </c>
      <c r="L69" s="0" t="str">
        <f aca="false">HYPERLINK("https://www.ncbi.nlm.nih.gov/nuccore/CP000058.1?report=graph&amp;tracks=[key:gene_model_track,Options:GeneOnly]&amp;mk=26996:27015|offset_7|444444,26973:26992|offset_30|444444,26948:26967|offset_55|444444,26914:26933|offset_89|00cc00&amp;v=26795:27133&amp;c=444444", "offset 89")</f>
        <v>offset 89</v>
      </c>
    </row>
    <row r="70" customFormat="false" ht="12.8" hidden="false" customHeight="false" outlineLevel="0" collapsed="false">
      <c r="A70" s="0" t="s">
        <v>12</v>
      </c>
      <c r="B70" s="0" t="n">
        <v>27169</v>
      </c>
      <c r="C70" s="0" t="n">
        <v>27189</v>
      </c>
      <c r="D70" s="0" t="s">
        <v>253</v>
      </c>
      <c r="E70" s="0" t="s">
        <v>75</v>
      </c>
      <c r="F70" s="0" t="s">
        <v>15</v>
      </c>
      <c r="G70" s="0" t="s">
        <v>36</v>
      </c>
      <c r="H70" s="0" t="n">
        <v>22</v>
      </c>
      <c r="I70" s="0" t="s">
        <v>254</v>
      </c>
      <c r="J70" s="0" t="s">
        <v>255</v>
      </c>
      <c r="K70" s="0" t="s">
        <v>256</v>
      </c>
      <c r="L70" s="0" t="str">
        <f aca="false">HYPERLINK("https://www.ncbi.nlm.nih.gov/nuccore/CP000058.1?report=graph&amp;tracks=[key:gene_model_track,Options:GeneOnly]&amp;mk=27170:27189|offset_22|00cc00,27232:27251|offset_84|444444,27254:27273|offset_106|444444,27278:27297|offset_130|444444&amp;v=26969:27497&amp;c=444444", "offset 22")</f>
        <v>offset 22</v>
      </c>
    </row>
    <row r="71" customFormat="false" ht="12.8" hidden="false" customHeight="false" outlineLevel="0" collapsed="false">
      <c r="A71" s="0" t="s">
        <v>12</v>
      </c>
      <c r="B71" s="0" t="n">
        <v>27231</v>
      </c>
      <c r="C71" s="0" t="n">
        <v>27251</v>
      </c>
      <c r="D71" s="0" t="s">
        <v>253</v>
      </c>
      <c r="E71" s="0" t="s">
        <v>75</v>
      </c>
      <c r="F71" s="0" t="s">
        <v>15</v>
      </c>
      <c r="G71" s="0" t="s">
        <v>16</v>
      </c>
      <c r="H71" s="0" t="n">
        <v>84</v>
      </c>
      <c r="I71" s="0" t="s">
        <v>257</v>
      </c>
      <c r="J71" s="0" t="s">
        <v>258</v>
      </c>
      <c r="K71" s="0" t="s">
        <v>259</v>
      </c>
      <c r="L71" s="0" t="str">
        <f aca="false">HYPERLINK("https://www.ncbi.nlm.nih.gov/nuccore/CP000058.1?report=graph&amp;tracks=[key:gene_model_track,Options:GeneOnly]&amp;mk=27170:27189|offset_22|444444,27232:27251|offset_84|00cc00,27254:27273|offset_106|444444,27278:27297|offset_130|444444&amp;v=26969:27497&amp;c=444444", "offset 84")</f>
        <v>offset 84</v>
      </c>
    </row>
    <row r="72" customFormat="false" ht="12.8" hidden="false" customHeight="false" outlineLevel="0" collapsed="false">
      <c r="A72" s="0" t="s">
        <v>12</v>
      </c>
      <c r="B72" s="0" t="n">
        <v>27253</v>
      </c>
      <c r="C72" s="0" t="n">
        <v>27273</v>
      </c>
      <c r="D72" s="0" t="s">
        <v>253</v>
      </c>
      <c r="E72" s="0" t="s">
        <v>75</v>
      </c>
      <c r="F72" s="0" t="s">
        <v>15</v>
      </c>
      <c r="G72" s="0" t="s">
        <v>16</v>
      </c>
      <c r="H72" s="0" t="n">
        <v>106</v>
      </c>
      <c r="I72" s="0" t="s">
        <v>260</v>
      </c>
      <c r="J72" s="0" t="s">
        <v>261</v>
      </c>
      <c r="K72" s="0" t="s">
        <v>262</v>
      </c>
      <c r="L72" s="0" t="str">
        <f aca="false">HYPERLINK("https://www.ncbi.nlm.nih.gov/nuccore/CP000058.1?report=graph&amp;tracks=[key:gene_model_track,Options:GeneOnly]&amp;mk=27170:27189|offset_22|444444,27232:27251|offset_84|444444,27254:27273|offset_106|00cc00,27278:27297|offset_130|444444&amp;v=26969:27497&amp;c=444444", "offset 106")</f>
        <v>offset 106</v>
      </c>
    </row>
    <row r="73" customFormat="false" ht="12.8" hidden="false" customHeight="false" outlineLevel="0" collapsed="false">
      <c r="A73" s="0" t="s">
        <v>12</v>
      </c>
      <c r="B73" s="0" t="n">
        <v>27277</v>
      </c>
      <c r="C73" s="0" t="n">
        <v>27297</v>
      </c>
      <c r="D73" s="0" t="s">
        <v>253</v>
      </c>
      <c r="E73" s="0" t="s">
        <v>75</v>
      </c>
      <c r="F73" s="0" t="s">
        <v>15</v>
      </c>
      <c r="G73" s="0" t="s">
        <v>16</v>
      </c>
      <c r="H73" s="0" t="n">
        <v>130</v>
      </c>
      <c r="I73" s="0" t="s">
        <v>263</v>
      </c>
      <c r="J73" s="0" t="s">
        <v>264</v>
      </c>
      <c r="K73" s="0" t="s">
        <v>265</v>
      </c>
      <c r="L73" s="0" t="str">
        <f aca="false">HYPERLINK("https://www.ncbi.nlm.nih.gov/nuccore/CP000058.1?report=graph&amp;tracks=[key:gene_model_track,Options:GeneOnly]&amp;mk=27170:27189|offset_22|444444,27232:27251|offset_84|444444,27254:27273|offset_106|444444,27278:27297|offset_130|00cc00&amp;v=26969:27497&amp;c=444444", "offset 130")</f>
        <v>offset 130</v>
      </c>
    </row>
    <row r="74" customFormat="false" ht="12.8" hidden="false" customHeight="false" outlineLevel="0" collapsed="false">
      <c r="A74" s="0" t="s">
        <v>12</v>
      </c>
      <c r="B74" s="0" t="n">
        <v>28302</v>
      </c>
      <c r="C74" s="0" t="n">
        <v>28322</v>
      </c>
      <c r="D74" s="0" t="s">
        <v>266</v>
      </c>
      <c r="E74" s="0" t="s">
        <v>267</v>
      </c>
      <c r="F74" s="0" t="s">
        <v>15</v>
      </c>
      <c r="G74" s="0" t="s">
        <v>32</v>
      </c>
      <c r="H74" s="0" t="n">
        <v>6</v>
      </c>
      <c r="I74" s="0" t="s">
        <v>268</v>
      </c>
      <c r="J74" s="0" t="s">
        <v>269</v>
      </c>
      <c r="K74" s="0" t="s">
        <v>270</v>
      </c>
      <c r="L74" s="0" t="str">
        <f aca="false">HYPERLINK("https://www.ncbi.nlm.nih.gov/nuccore/CP000058.1?report=graph&amp;tracks=[key:gene_model_track,Options:GeneOnly]&amp;mk=28303:28322|offset_6|00cc00,28330:28349|offset_33|444444,28369:28388|offset_72|444444,28394:28413|offset_97|444444&amp;v=28102:28613&amp;c=444444", "offset 6")</f>
        <v>offset 6</v>
      </c>
    </row>
    <row r="75" customFormat="false" ht="12.8" hidden="false" customHeight="false" outlineLevel="0" collapsed="false">
      <c r="A75" s="0" t="s">
        <v>12</v>
      </c>
      <c r="B75" s="0" t="n">
        <v>28329</v>
      </c>
      <c r="C75" s="0" t="n">
        <v>28349</v>
      </c>
      <c r="D75" s="0" t="s">
        <v>266</v>
      </c>
      <c r="E75" s="0" t="s">
        <v>267</v>
      </c>
      <c r="F75" s="0" t="s">
        <v>15</v>
      </c>
      <c r="G75" s="0" t="s">
        <v>32</v>
      </c>
      <c r="H75" s="0" t="n">
        <v>33</v>
      </c>
      <c r="I75" s="0" t="s">
        <v>271</v>
      </c>
      <c r="J75" s="0" t="s">
        <v>272</v>
      </c>
      <c r="K75" s="0" t="s">
        <v>273</v>
      </c>
      <c r="L75" s="0" t="str">
        <f aca="false">HYPERLINK("https://www.ncbi.nlm.nih.gov/nuccore/CP000058.1?report=graph&amp;tracks=[key:gene_model_track,Options:GeneOnly]&amp;mk=28303:28322|offset_6|444444,28330:28349|offset_33|00cc00,28369:28388|offset_72|444444,28394:28413|offset_97|444444&amp;v=28102:28613&amp;c=444444", "offset 33")</f>
        <v>offset 33</v>
      </c>
    </row>
    <row r="76" customFormat="false" ht="12.8" hidden="false" customHeight="false" outlineLevel="0" collapsed="false">
      <c r="A76" s="0" t="s">
        <v>12</v>
      </c>
      <c r="B76" s="0" t="n">
        <v>28368</v>
      </c>
      <c r="C76" s="0" t="n">
        <v>28388</v>
      </c>
      <c r="D76" s="0" t="s">
        <v>266</v>
      </c>
      <c r="E76" s="0" t="s">
        <v>267</v>
      </c>
      <c r="F76" s="0" t="s">
        <v>15</v>
      </c>
      <c r="G76" s="0" t="s">
        <v>36</v>
      </c>
      <c r="H76" s="0" t="n">
        <v>72</v>
      </c>
      <c r="I76" s="0" t="s">
        <v>274</v>
      </c>
      <c r="J76" s="0" t="s">
        <v>275</v>
      </c>
      <c r="K76" s="0" t="s">
        <v>276</v>
      </c>
      <c r="L76" s="0" t="str">
        <f aca="false">HYPERLINK("https://www.ncbi.nlm.nih.gov/nuccore/CP000058.1?report=graph&amp;tracks=[key:gene_model_track,Options:GeneOnly]&amp;mk=28303:28322|offset_6|444444,28330:28349|offset_33|444444,28369:28388|offset_72|00cc00,28394:28413|offset_97|444444&amp;v=28102:28613&amp;c=444444", "offset 72")</f>
        <v>offset 72</v>
      </c>
    </row>
    <row r="77" customFormat="false" ht="12.8" hidden="false" customHeight="false" outlineLevel="0" collapsed="false">
      <c r="A77" s="0" t="s">
        <v>12</v>
      </c>
      <c r="B77" s="0" t="n">
        <v>28393</v>
      </c>
      <c r="C77" s="0" t="n">
        <v>28413</v>
      </c>
      <c r="D77" s="0" t="s">
        <v>266</v>
      </c>
      <c r="E77" s="0" t="s">
        <v>267</v>
      </c>
      <c r="F77" s="0" t="s">
        <v>15</v>
      </c>
      <c r="G77" s="0" t="s">
        <v>32</v>
      </c>
      <c r="H77" s="0" t="n">
        <v>97</v>
      </c>
      <c r="I77" s="0" t="s">
        <v>277</v>
      </c>
      <c r="J77" s="0" t="s">
        <v>278</v>
      </c>
      <c r="K77" s="0" t="s">
        <v>279</v>
      </c>
      <c r="L77" s="0" t="str">
        <f aca="false">HYPERLINK("https://www.ncbi.nlm.nih.gov/nuccore/CP000058.1?report=graph&amp;tracks=[key:gene_model_track,Options:GeneOnly]&amp;mk=28303:28322|offset_6|444444,28330:28349|offset_33|444444,28369:28388|offset_72|444444,28394:28413|offset_97|00cc00&amp;v=28102:28613&amp;c=444444", "offset 97")</f>
        <v>offset 97</v>
      </c>
    </row>
    <row r="78" customFormat="false" ht="12.8" hidden="false" customHeight="false" outlineLevel="0" collapsed="false">
      <c r="A78" s="0" t="s">
        <v>12</v>
      </c>
      <c r="B78" s="0" t="n">
        <v>29484</v>
      </c>
      <c r="C78" s="0" t="n">
        <v>29504</v>
      </c>
      <c r="D78" s="0" t="s">
        <v>280</v>
      </c>
      <c r="E78" s="0" t="s">
        <v>75</v>
      </c>
      <c r="F78" s="0" t="s">
        <v>15</v>
      </c>
      <c r="G78" s="0" t="s">
        <v>16</v>
      </c>
      <c r="H78" s="0" t="n">
        <v>31</v>
      </c>
      <c r="I78" s="0" t="s">
        <v>281</v>
      </c>
      <c r="J78" s="0" t="s">
        <v>282</v>
      </c>
      <c r="K78" s="0" t="s">
        <v>283</v>
      </c>
      <c r="L78" s="0" t="str">
        <f aca="false">HYPERLINK("https://www.ncbi.nlm.nih.gov/nuccore/CP000058.1?report=graph&amp;tracks=[key:gene_model_track,Options:GeneOnly]&amp;mk=29485:29504|offset_31|00cc00,29522:29541|offset_68|444444,29543:29562|offset_89|444444,29604:29623|offset_150|444444&amp;v=29284:29823&amp;c=444444", "offset 31")</f>
        <v>offset 31</v>
      </c>
    </row>
    <row r="79" customFormat="false" ht="12.8" hidden="false" customHeight="false" outlineLevel="0" collapsed="false">
      <c r="A79" s="0" t="s">
        <v>12</v>
      </c>
      <c r="B79" s="0" t="n">
        <v>29521</v>
      </c>
      <c r="C79" s="0" t="n">
        <v>29541</v>
      </c>
      <c r="D79" s="0" t="s">
        <v>280</v>
      </c>
      <c r="E79" s="0" t="s">
        <v>75</v>
      </c>
      <c r="F79" s="0" t="s">
        <v>15</v>
      </c>
      <c r="G79" s="0" t="s">
        <v>36</v>
      </c>
      <c r="H79" s="0" t="n">
        <v>68</v>
      </c>
      <c r="I79" s="0" t="s">
        <v>284</v>
      </c>
      <c r="J79" s="0" t="s">
        <v>285</v>
      </c>
      <c r="K79" s="0" t="s">
        <v>286</v>
      </c>
      <c r="L79" s="0" t="str">
        <f aca="false">HYPERLINK("https://www.ncbi.nlm.nih.gov/nuccore/CP000058.1?report=graph&amp;tracks=[key:gene_model_track,Options:GeneOnly]&amp;mk=29485:29504|offset_31|444444,29522:29541|offset_68|00cc00,29543:29562|offset_89|444444,29604:29623|offset_150|444444&amp;v=29284:29823&amp;c=444444", "offset 68")</f>
        <v>offset 68</v>
      </c>
    </row>
    <row r="80" customFormat="false" ht="12.8" hidden="false" customHeight="false" outlineLevel="0" collapsed="false">
      <c r="A80" s="0" t="s">
        <v>12</v>
      </c>
      <c r="B80" s="0" t="n">
        <v>29542</v>
      </c>
      <c r="C80" s="0" t="n">
        <v>29562</v>
      </c>
      <c r="D80" s="0" t="s">
        <v>280</v>
      </c>
      <c r="E80" s="0" t="s">
        <v>75</v>
      </c>
      <c r="F80" s="0" t="s">
        <v>15</v>
      </c>
      <c r="G80" s="0" t="s">
        <v>20</v>
      </c>
      <c r="H80" s="0" t="n">
        <v>89</v>
      </c>
      <c r="I80" s="0" t="s">
        <v>287</v>
      </c>
      <c r="J80" s="0" t="s">
        <v>288</v>
      </c>
      <c r="K80" s="0" t="s">
        <v>289</v>
      </c>
      <c r="L80" s="0" t="str">
        <f aca="false">HYPERLINK("https://www.ncbi.nlm.nih.gov/nuccore/CP000058.1?report=graph&amp;tracks=[key:gene_model_track,Options:GeneOnly]&amp;mk=29485:29504|offset_31|444444,29522:29541|offset_68|444444,29543:29562|offset_89|00cc00,29604:29623|offset_150|444444&amp;v=29284:29823&amp;c=444444", "offset 89")</f>
        <v>offset 89</v>
      </c>
    </row>
    <row r="81" customFormat="false" ht="12.8" hidden="false" customHeight="false" outlineLevel="0" collapsed="false">
      <c r="A81" s="0" t="s">
        <v>12</v>
      </c>
      <c r="B81" s="0" t="n">
        <v>29603</v>
      </c>
      <c r="C81" s="0" t="n">
        <v>29623</v>
      </c>
      <c r="D81" s="0" t="s">
        <v>280</v>
      </c>
      <c r="E81" s="0" t="s">
        <v>75</v>
      </c>
      <c r="F81" s="0" t="s">
        <v>15</v>
      </c>
      <c r="G81" s="0" t="s">
        <v>32</v>
      </c>
      <c r="H81" s="0" t="n">
        <v>150</v>
      </c>
      <c r="I81" s="0" t="s">
        <v>290</v>
      </c>
      <c r="J81" s="0" t="s">
        <v>291</v>
      </c>
      <c r="K81" s="0" t="s">
        <v>292</v>
      </c>
      <c r="L81" s="0" t="str">
        <f aca="false">HYPERLINK("https://www.ncbi.nlm.nih.gov/nuccore/CP000058.1?report=graph&amp;tracks=[key:gene_model_track,Options:GeneOnly]&amp;mk=29485:29504|offset_31|444444,29522:29541|offset_68|444444,29543:29562|offset_89|444444,29604:29623|offset_150|00cc00&amp;v=29284:29823&amp;c=444444", "offset 150")</f>
        <v>offset 150</v>
      </c>
    </row>
    <row r="82" customFormat="false" ht="12.8" hidden="false" customHeight="false" outlineLevel="0" collapsed="false">
      <c r="A82" s="0" t="s">
        <v>12</v>
      </c>
      <c r="B82" s="0" t="n">
        <v>30971</v>
      </c>
      <c r="C82" s="0" t="n">
        <v>30991</v>
      </c>
      <c r="D82" s="0" t="s">
        <v>293</v>
      </c>
      <c r="E82" s="0" t="s">
        <v>294</v>
      </c>
      <c r="F82" s="0" t="s">
        <v>90</v>
      </c>
      <c r="G82" s="0" t="s">
        <v>32</v>
      </c>
      <c r="H82" s="0" t="n">
        <v>17</v>
      </c>
      <c r="I82" s="0" t="s">
        <v>295</v>
      </c>
      <c r="J82" s="0" t="s">
        <v>296</v>
      </c>
      <c r="K82" s="0" t="s">
        <v>297</v>
      </c>
      <c r="L82" s="0" t="str">
        <f aca="false">HYPERLINK("https://www.ncbi.nlm.nih.gov/nuccore/CP000058.1?report=graph&amp;tracks=[key:gene_model_track,Options:GeneOnly]&amp;mk=30972:30991|offset_17|00cc00,30950:30969|offset_39|444444,30920:30939|offset_69|444444,30877:30896|offset_112|444444&amp;v=30771:31096&amp;c=444444", "offset 17")</f>
        <v>offset 17</v>
      </c>
    </row>
    <row r="83" customFormat="false" ht="12.8" hidden="false" customHeight="false" outlineLevel="0" collapsed="false">
      <c r="A83" s="0" t="s">
        <v>12</v>
      </c>
      <c r="B83" s="0" t="n">
        <v>30949</v>
      </c>
      <c r="C83" s="0" t="n">
        <v>30969</v>
      </c>
      <c r="D83" s="0" t="s">
        <v>293</v>
      </c>
      <c r="E83" s="0" t="s">
        <v>294</v>
      </c>
      <c r="F83" s="0" t="s">
        <v>90</v>
      </c>
      <c r="G83" s="0" t="s">
        <v>36</v>
      </c>
      <c r="H83" s="0" t="n">
        <v>39</v>
      </c>
      <c r="I83" s="0" t="s">
        <v>298</v>
      </c>
      <c r="J83" s="0" t="s">
        <v>299</v>
      </c>
      <c r="K83" s="0" t="s">
        <v>300</v>
      </c>
      <c r="L83" s="0" t="str">
        <f aca="false">HYPERLINK("https://www.ncbi.nlm.nih.gov/nuccore/CP000058.1?report=graph&amp;tracks=[key:gene_model_track,Options:GeneOnly]&amp;mk=30972:30991|offset_17|444444,30950:30969|offset_39|00cc00,30920:30939|offset_69|444444,30877:30896|offset_112|444444&amp;v=30771:31096&amp;c=444444", "offset 39")</f>
        <v>offset 39</v>
      </c>
    </row>
    <row r="84" customFormat="false" ht="12.8" hidden="false" customHeight="false" outlineLevel="0" collapsed="false">
      <c r="A84" s="0" t="s">
        <v>12</v>
      </c>
      <c r="B84" s="0" t="n">
        <v>30919</v>
      </c>
      <c r="C84" s="0" t="n">
        <v>30939</v>
      </c>
      <c r="D84" s="0" t="s">
        <v>293</v>
      </c>
      <c r="E84" s="0" t="s">
        <v>294</v>
      </c>
      <c r="F84" s="0" t="s">
        <v>90</v>
      </c>
      <c r="G84" s="0" t="s">
        <v>32</v>
      </c>
      <c r="H84" s="0" t="n">
        <v>69</v>
      </c>
      <c r="I84" s="0" t="s">
        <v>301</v>
      </c>
      <c r="J84" s="0" t="s">
        <v>302</v>
      </c>
      <c r="K84" s="0" t="s">
        <v>303</v>
      </c>
      <c r="L84" s="0" t="str">
        <f aca="false">HYPERLINK("https://www.ncbi.nlm.nih.gov/nuccore/CP000058.1?report=graph&amp;tracks=[key:gene_model_track,Options:GeneOnly]&amp;mk=30972:30991|offset_17|444444,30950:30969|offset_39|444444,30920:30939|offset_69|00cc00,30877:30896|offset_112|444444&amp;v=30771:31096&amp;c=444444", "offset 69")</f>
        <v>offset 69</v>
      </c>
    </row>
    <row r="85" customFormat="false" ht="12.8" hidden="false" customHeight="false" outlineLevel="0" collapsed="false">
      <c r="A85" s="0" t="s">
        <v>12</v>
      </c>
      <c r="B85" s="0" t="n">
        <v>30876</v>
      </c>
      <c r="C85" s="0" t="n">
        <v>30896</v>
      </c>
      <c r="D85" s="0" t="s">
        <v>293</v>
      </c>
      <c r="E85" s="0" t="s">
        <v>294</v>
      </c>
      <c r="F85" s="0" t="s">
        <v>90</v>
      </c>
      <c r="G85" s="0" t="s">
        <v>32</v>
      </c>
      <c r="H85" s="0" t="n">
        <v>112</v>
      </c>
      <c r="I85" s="0" t="s">
        <v>304</v>
      </c>
      <c r="J85" s="0" t="s">
        <v>305</v>
      </c>
      <c r="K85" s="0" t="s">
        <v>306</v>
      </c>
      <c r="L85" s="0" t="str">
        <f aca="false">HYPERLINK("https://www.ncbi.nlm.nih.gov/nuccore/CP000058.1?report=graph&amp;tracks=[key:gene_model_track,Options:GeneOnly]&amp;mk=30972:30991|offset_17|444444,30950:30969|offset_39|444444,30920:30939|offset_69|444444,30877:30896|offset_112|00cc00&amp;v=30771:31096&amp;c=444444", "offset 112")</f>
        <v>offset 112</v>
      </c>
    </row>
    <row r="86" customFormat="false" ht="12.8" hidden="false" customHeight="false" outlineLevel="0" collapsed="false">
      <c r="A86" s="0" t="s">
        <v>12</v>
      </c>
      <c r="B86" s="0" t="n">
        <v>31189</v>
      </c>
      <c r="C86" s="0" t="n">
        <v>31209</v>
      </c>
      <c r="D86" s="0" t="s">
        <v>307</v>
      </c>
      <c r="E86" s="0" t="s">
        <v>308</v>
      </c>
      <c r="F86" s="0" t="s">
        <v>15</v>
      </c>
      <c r="G86" s="0" t="s">
        <v>36</v>
      </c>
      <c r="H86" s="0" t="n">
        <v>10</v>
      </c>
      <c r="I86" s="0" t="s">
        <v>309</v>
      </c>
      <c r="J86" s="0" t="s">
        <v>310</v>
      </c>
      <c r="K86" s="0" t="s">
        <v>311</v>
      </c>
      <c r="L86" s="0" t="str">
        <f aca="false">HYPERLINK("https://www.ncbi.nlm.nih.gov/nuccore/CP000058.1?report=graph&amp;tracks=[key:gene_model_track,Options:GeneOnly]&amp;mk=31190:31209|offset_10|00cc00,31215:31234|offset_35|444444,31244:31263|offset_64|444444,31289:31308|offset_109|444444&amp;v=30989:31508&amp;c=444444", "offset 10")</f>
        <v>offset 10</v>
      </c>
    </row>
    <row r="87" customFormat="false" ht="12.8" hidden="false" customHeight="false" outlineLevel="0" collapsed="false">
      <c r="A87" s="0" t="s">
        <v>12</v>
      </c>
      <c r="B87" s="0" t="n">
        <v>31214</v>
      </c>
      <c r="C87" s="0" t="n">
        <v>31234</v>
      </c>
      <c r="D87" s="0" t="s">
        <v>307</v>
      </c>
      <c r="E87" s="0" t="s">
        <v>308</v>
      </c>
      <c r="F87" s="0" t="s">
        <v>15</v>
      </c>
      <c r="G87" s="0" t="s">
        <v>20</v>
      </c>
      <c r="H87" s="0" t="n">
        <v>35</v>
      </c>
      <c r="I87" s="0" t="s">
        <v>312</v>
      </c>
      <c r="J87" s="0" t="s">
        <v>313</v>
      </c>
      <c r="K87" s="0" t="s">
        <v>314</v>
      </c>
      <c r="L87" s="0" t="str">
        <f aca="false">HYPERLINK("https://www.ncbi.nlm.nih.gov/nuccore/CP000058.1?report=graph&amp;tracks=[key:gene_model_track,Options:GeneOnly]&amp;mk=31190:31209|offset_10|444444,31215:31234|offset_35|00cc00,31244:31263|offset_64|444444,31289:31308|offset_109|444444&amp;v=30989:31508&amp;c=444444", "offset 35")</f>
        <v>offset 35</v>
      </c>
    </row>
    <row r="88" customFormat="false" ht="12.8" hidden="false" customHeight="false" outlineLevel="0" collapsed="false">
      <c r="A88" s="0" t="s">
        <v>12</v>
      </c>
      <c r="B88" s="0" t="n">
        <v>31243</v>
      </c>
      <c r="C88" s="0" t="n">
        <v>31263</v>
      </c>
      <c r="D88" s="0" t="s">
        <v>307</v>
      </c>
      <c r="E88" s="0" t="s">
        <v>308</v>
      </c>
      <c r="F88" s="0" t="s">
        <v>15</v>
      </c>
      <c r="G88" s="0" t="s">
        <v>16</v>
      </c>
      <c r="H88" s="0" t="n">
        <v>64</v>
      </c>
      <c r="I88" s="0" t="s">
        <v>315</v>
      </c>
      <c r="J88" s="0" t="s">
        <v>316</v>
      </c>
      <c r="K88" s="0" t="s">
        <v>317</v>
      </c>
      <c r="L88" s="0" t="str">
        <f aca="false">HYPERLINK("https://www.ncbi.nlm.nih.gov/nuccore/CP000058.1?report=graph&amp;tracks=[key:gene_model_track,Options:GeneOnly]&amp;mk=31190:31209|offset_10|444444,31215:31234|offset_35|444444,31244:31263|offset_64|00cc00,31289:31308|offset_109|444444&amp;v=30989:31508&amp;c=444444", "offset 64")</f>
        <v>offset 64</v>
      </c>
    </row>
    <row r="89" customFormat="false" ht="12.8" hidden="false" customHeight="false" outlineLevel="0" collapsed="false">
      <c r="A89" s="0" t="s">
        <v>12</v>
      </c>
      <c r="B89" s="0" t="n">
        <v>31288</v>
      </c>
      <c r="C89" s="0" t="n">
        <v>31308</v>
      </c>
      <c r="D89" s="0" t="s">
        <v>307</v>
      </c>
      <c r="E89" s="0" t="s">
        <v>308</v>
      </c>
      <c r="F89" s="0" t="s">
        <v>15</v>
      </c>
      <c r="G89" s="0" t="s">
        <v>20</v>
      </c>
      <c r="H89" s="0" t="n">
        <v>109</v>
      </c>
      <c r="I89" s="0" t="s">
        <v>318</v>
      </c>
      <c r="J89" s="0" t="s">
        <v>319</v>
      </c>
      <c r="K89" s="0" t="s">
        <v>320</v>
      </c>
      <c r="L89" s="0" t="str">
        <f aca="false">HYPERLINK("https://www.ncbi.nlm.nih.gov/nuccore/CP000058.1?report=graph&amp;tracks=[key:gene_model_track,Options:GeneOnly]&amp;mk=31190:31209|offset_10|444444,31215:31234|offset_35|444444,31244:31263|offset_64|444444,31289:31308|offset_109|00cc00&amp;v=30989:31508&amp;c=444444", "offset 109")</f>
        <v>offset 109</v>
      </c>
    </row>
    <row r="90" customFormat="false" ht="12.8" hidden="false" customHeight="false" outlineLevel="0" collapsed="false">
      <c r="A90" s="0" t="s">
        <v>12</v>
      </c>
      <c r="B90" s="0" t="n">
        <v>32101</v>
      </c>
      <c r="C90" s="0" t="n">
        <v>32121</v>
      </c>
      <c r="D90" s="0" t="s">
        <v>321</v>
      </c>
      <c r="E90" s="0" t="s">
        <v>322</v>
      </c>
      <c r="F90" s="0" t="s">
        <v>15</v>
      </c>
      <c r="G90" s="0" t="s">
        <v>16</v>
      </c>
      <c r="H90" s="0" t="n">
        <v>8</v>
      </c>
      <c r="I90" s="0" t="s">
        <v>323</v>
      </c>
      <c r="J90" s="0" t="s">
        <v>324</v>
      </c>
      <c r="K90" s="0" t="s">
        <v>325</v>
      </c>
      <c r="L90" s="0" t="str">
        <f aca="false">HYPERLINK("https://www.ncbi.nlm.nih.gov/nuccore/CP000058.1?report=graph&amp;tracks=[key:gene_model_track,Options:GeneOnly]&amp;mk=32102:32121|offset_8|00cc00,32123:32142|offset_29|444444,32145:32164|offset_51|444444,32167:32186|offset_73|444444&amp;v=31901:32386&amp;c=444444", "offset 8")</f>
        <v>offset 8</v>
      </c>
    </row>
    <row r="91" customFormat="false" ht="12.8" hidden="false" customHeight="false" outlineLevel="0" collapsed="false">
      <c r="A91" s="0" t="s">
        <v>12</v>
      </c>
      <c r="B91" s="0" t="n">
        <v>32122</v>
      </c>
      <c r="C91" s="0" t="n">
        <v>32142</v>
      </c>
      <c r="D91" s="0" t="s">
        <v>321</v>
      </c>
      <c r="E91" s="0" t="s">
        <v>322</v>
      </c>
      <c r="F91" s="0" t="s">
        <v>15</v>
      </c>
      <c r="G91" s="0" t="s">
        <v>36</v>
      </c>
      <c r="H91" s="0" t="n">
        <v>29</v>
      </c>
      <c r="I91" s="0" t="s">
        <v>326</v>
      </c>
      <c r="J91" s="0" t="s">
        <v>327</v>
      </c>
      <c r="K91" s="0" t="s">
        <v>328</v>
      </c>
      <c r="L91" s="0" t="str">
        <f aca="false">HYPERLINK("https://www.ncbi.nlm.nih.gov/nuccore/CP000058.1?report=graph&amp;tracks=[key:gene_model_track,Options:GeneOnly]&amp;mk=32102:32121|offset_8|444444,32123:32142|offset_29|00cc00,32145:32164|offset_51|444444,32167:32186|offset_73|444444&amp;v=31901:32386&amp;c=444444", "offset 29")</f>
        <v>offset 29</v>
      </c>
    </row>
    <row r="92" customFormat="false" ht="12.8" hidden="false" customHeight="false" outlineLevel="0" collapsed="false">
      <c r="A92" s="0" t="s">
        <v>12</v>
      </c>
      <c r="B92" s="0" t="n">
        <v>32144</v>
      </c>
      <c r="C92" s="0" t="n">
        <v>32164</v>
      </c>
      <c r="D92" s="0" t="s">
        <v>321</v>
      </c>
      <c r="E92" s="0" t="s">
        <v>322</v>
      </c>
      <c r="F92" s="0" t="s">
        <v>15</v>
      </c>
      <c r="G92" s="0" t="s">
        <v>16</v>
      </c>
      <c r="H92" s="0" t="n">
        <v>51</v>
      </c>
      <c r="I92" s="0" t="s">
        <v>329</v>
      </c>
      <c r="J92" s="0" t="s">
        <v>330</v>
      </c>
      <c r="K92" s="0" t="s">
        <v>331</v>
      </c>
      <c r="L92" s="0" t="str">
        <f aca="false">HYPERLINK("https://www.ncbi.nlm.nih.gov/nuccore/CP000058.1?report=graph&amp;tracks=[key:gene_model_track,Options:GeneOnly]&amp;mk=32102:32121|offset_8|444444,32123:32142|offset_29|444444,32145:32164|offset_51|00cc00,32167:32186|offset_73|444444&amp;v=31901:32386&amp;c=444444", "offset 51")</f>
        <v>offset 51</v>
      </c>
    </row>
    <row r="93" customFormat="false" ht="12.8" hidden="false" customHeight="false" outlineLevel="0" collapsed="false">
      <c r="A93" s="0" t="s">
        <v>12</v>
      </c>
      <c r="B93" s="0" t="n">
        <v>32166</v>
      </c>
      <c r="C93" s="0" t="n">
        <v>32186</v>
      </c>
      <c r="D93" s="0" t="s">
        <v>321</v>
      </c>
      <c r="E93" s="0" t="s">
        <v>322</v>
      </c>
      <c r="F93" s="0" t="s">
        <v>15</v>
      </c>
      <c r="G93" s="0" t="s">
        <v>16</v>
      </c>
      <c r="H93" s="0" t="n">
        <v>73</v>
      </c>
      <c r="I93" s="0" t="s">
        <v>332</v>
      </c>
      <c r="J93" s="0" t="s">
        <v>333</v>
      </c>
      <c r="K93" s="0" t="s">
        <v>334</v>
      </c>
      <c r="L93" s="0" t="str">
        <f aca="false">HYPERLINK("https://www.ncbi.nlm.nih.gov/nuccore/CP000058.1?report=graph&amp;tracks=[key:gene_model_track,Options:GeneOnly]&amp;mk=32102:32121|offset_8|444444,32123:32142|offset_29|444444,32145:32164|offset_51|444444,32167:32186|offset_73|00cc00&amp;v=31901:32386&amp;c=444444", "offset 73")</f>
        <v>offset 73</v>
      </c>
    </row>
    <row r="94" customFormat="false" ht="12.8" hidden="false" customHeight="false" outlineLevel="0" collapsed="false">
      <c r="A94" s="0" t="s">
        <v>12</v>
      </c>
      <c r="B94" s="0" t="n">
        <v>34563</v>
      </c>
      <c r="C94" s="0" t="n">
        <v>34583</v>
      </c>
      <c r="D94" s="0" t="s">
        <v>335</v>
      </c>
      <c r="E94" s="0" t="s">
        <v>75</v>
      </c>
      <c r="F94" s="0" t="s">
        <v>90</v>
      </c>
      <c r="G94" s="0" t="s">
        <v>16</v>
      </c>
      <c r="H94" s="0" t="n">
        <v>0</v>
      </c>
      <c r="I94" s="0" t="s">
        <v>336</v>
      </c>
      <c r="J94" s="0" t="s">
        <v>337</v>
      </c>
      <c r="K94" s="0" t="s">
        <v>338</v>
      </c>
      <c r="L94" s="0" t="str">
        <f aca="false">HYPERLINK("https://www.ncbi.nlm.nih.gov/nuccore/CP000058.1?report=graph&amp;tracks=[key:gene_model_track,Options:GeneOnly]&amp;mk=34564:34583|offset_0|00cc00,34544:34563|offset_20|444444,34521:34540|offset_43|444444,34497:34516|offset_67|444444&amp;v=34363:34716&amp;c=444444", "offset 0")</f>
        <v>offset 0</v>
      </c>
    </row>
    <row r="95" customFormat="false" ht="12.8" hidden="false" customHeight="false" outlineLevel="0" collapsed="false">
      <c r="A95" s="0" t="s">
        <v>12</v>
      </c>
      <c r="B95" s="0" t="n">
        <v>34543</v>
      </c>
      <c r="C95" s="0" t="n">
        <v>34563</v>
      </c>
      <c r="D95" s="0" t="s">
        <v>335</v>
      </c>
      <c r="E95" s="0" t="s">
        <v>75</v>
      </c>
      <c r="F95" s="0" t="s">
        <v>90</v>
      </c>
      <c r="G95" s="0" t="s">
        <v>32</v>
      </c>
      <c r="H95" s="0" t="n">
        <v>20</v>
      </c>
      <c r="I95" s="0" t="s">
        <v>339</v>
      </c>
      <c r="J95" s="0" t="s">
        <v>340</v>
      </c>
      <c r="K95" s="0" t="s">
        <v>341</v>
      </c>
      <c r="L95" s="0" t="str">
        <f aca="false">HYPERLINK("https://www.ncbi.nlm.nih.gov/nuccore/CP000058.1?report=graph&amp;tracks=[key:gene_model_track,Options:GeneOnly]&amp;mk=34564:34583|offset_0|444444,34544:34563|offset_20|00cc00,34521:34540|offset_43|444444,34497:34516|offset_67|444444&amp;v=34363:34716&amp;c=444444", "offset 20")</f>
        <v>offset 20</v>
      </c>
    </row>
    <row r="96" customFormat="false" ht="12.8" hidden="false" customHeight="false" outlineLevel="0" collapsed="false">
      <c r="A96" s="0" t="s">
        <v>12</v>
      </c>
      <c r="B96" s="0" t="n">
        <v>34520</v>
      </c>
      <c r="C96" s="0" t="n">
        <v>34540</v>
      </c>
      <c r="D96" s="0" t="s">
        <v>335</v>
      </c>
      <c r="E96" s="0" t="s">
        <v>75</v>
      </c>
      <c r="F96" s="0" t="s">
        <v>90</v>
      </c>
      <c r="G96" s="0" t="s">
        <v>20</v>
      </c>
      <c r="H96" s="0" t="n">
        <v>43</v>
      </c>
      <c r="I96" s="0" t="s">
        <v>342</v>
      </c>
      <c r="J96" s="0" t="s">
        <v>343</v>
      </c>
      <c r="K96" s="0" t="s">
        <v>344</v>
      </c>
      <c r="L96" s="0" t="str">
        <f aca="false">HYPERLINK("https://www.ncbi.nlm.nih.gov/nuccore/CP000058.1?report=graph&amp;tracks=[key:gene_model_track,Options:GeneOnly]&amp;mk=34564:34583|offset_0|444444,34544:34563|offset_20|444444,34521:34540|offset_43|00cc00,34497:34516|offset_67|444444&amp;v=34363:34716&amp;c=444444", "offset 43")</f>
        <v>offset 43</v>
      </c>
    </row>
    <row r="97" customFormat="false" ht="12.8" hidden="false" customHeight="false" outlineLevel="0" collapsed="false">
      <c r="A97" s="0" t="s">
        <v>12</v>
      </c>
      <c r="B97" s="0" t="n">
        <v>34496</v>
      </c>
      <c r="C97" s="0" t="n">
        <v>34516</v>
      </c>
      <c r="D97" s="0" t="s">
        <v>335</v>
      </c>
      <c r="E97" s="0" t="s">
        <v>75</v>
      </c>
      <c r="F97" s="0" t="s">
        <v>90</v>
      </c>
      <c r="G97" s="0" t="s">
        <v>32</v>
      </c>
      <c r="H97" s="0" t="n">
        <v>67</v>
      </c>
      <c r="I97" s="0" t="s">
        <v>345</v>
      </c>
      <c r="J97" s="0" t="s">
        <v>346</v>
      </c>
      <c r="K97" s="0" t="s">
        <v>347</v>
      </c>
      <c r="L97" s="0" t="str">
        <f aca="false">HYPERLINK("https://www.ncbi.nlm.nih.gov/nuccore/CP000058.1?report=graph&amp;tracks=[key:gene_model_track,Options:GeneOnly]&amp;mk=34564:34583|offset_0|444444,34544:34563|offset_20|444444,34521:34540|offset_43|444444,34497:34516|offset_67|00cc00&amp;v=34363:34716&amp;c=444444", "offset 67")</f>
        <v>offset 67</v>
      </c>
    </row>
    <row r="98" customFormat="false" ht="12.8" hidden="false" customHeight="false" outlineLevel="0" collapsed="false">
      <c r="A98" s="0" t="s">
        <v>12</v>
      </c>
      <c r="B98" s="0" t="n">
        <v>35650</v>
      </c>
      <c r="C98" s="0" t="n">
        <v>35670</v>
      </c>
      <c r="D98" s="0" t="s">
        <v>348</v>
      </c>
      <c r="E98" s="0" t="s">
        <v>75</v>
      </c>
      <c r="F98" s="0" t="s">
        <v>90</v>
      </c>
      <c r="G98" s="0" t="s">
        <v>32</v>
      </c>
      <c r="H98" s="0" t="n">
        <v>16</v>
      </c>
      <c r="I98" s="0" t="s">
        <v>349</v>
      </c>
      <c r="J98" s="0" t="s">
        <v>350</v>
      </c>
      <c r="K98" s="0" t="s">
        <v>351</v>
      </c>
      <c r="L98" s="0" t="str">
        <f aca="false">HYPERLINK("https://www.ncbi.nlm.nih.gov/nuccore/CP000058.1?report=graph&amp;tracks=[key:gene_model_track,Options:GeneOnly]&amp;mk=35651:35670|offset_16|00cc00,35614:35633|offset_53|444444,35579:35598|offset_88|444444,35540:35559|offset_127|444444&amp;v=35450:35759&amp;c=444444", "offset 16")</f>
        <v>offset 16</v>
      </c>
    </row>
    <row r="99" customFormat="false" ht="12.8" hidden="false" customHeight="false" outlineLevel="0" collapsed="false">
      <c r="A99" s="0" t="s">
        <v>12</v>
      </c>
      <c r="B99" s="0" t="n">
        <v>35613</v>
      </c>
      <c r="C99" s="0" t="n">
        <v>35633</v>
      </c>
      <c r="D99" s="0" t="s">
        <v>348</v>
      </c>
      <c r="E99" s="0" t="s">
        <v>75</v>
      </c>
      <c r="F99" s="0" t="s">
        <v>90</v>
      </c>
      <c r="G99" s="0" t="s">
        <v>20</v>
      </c>
      <c r="H99" s="0" t="n">
        <v>53</v>
      </c>
      <c r="I99" s="0" t="s">
        <v>352</v>
      </c>
      <c r="J99" s="0" t="s">
        <v>353</v>
      </c>
      <c r="K99" s="0" t="s">
        <v>354</v>
      </c>
      <c r="L99" s="0" t="str">
        <f aca="false">HYPERLINK("https://www.ncbi.nlm.nih.gov/nuccore/CP000058.1?report=graph&amp;tracks=[key:gene_model_track,Options:GeneOnly]&amp;mk=35651:35670|offset_16|444444,35614:35633|offset_53|00cc00,35579:35598|offset_88|444444,35540:35559|offset_127|444444&amp;v=35450:35759&amp;c=444444", "offset 53")</f>
        <v>offset 53</v>
      </c>
    </row>
    <row r="100" customFormat="false" ht="12.8" hidden="false" customHeight="false" outlineLevel="0" collapsed="false">
      <c r="A100" s="0" t="s">
        <v>12</v>
      </c>
      <c r="B100" s="0" t="n">
        <v>35578</v>
      </c>
      <c r="C100" s="0" t="n">
        <v>35598</v>
      </c>
      <c r="D100" s="0" t="s">
        <v>348</v>
      </c>
      <c r="E100" s="0" t="s">
        <v>75</v>
      </c>
      <c r="F100" s="0" t="s">
        <v>90</v>
      </c>
      <c r="G100" s="0" t="s">
        <v>16</v>
      </c>
      <c r="H100" s="0" t="n">
        <v>88</v>
      </c>
      <c r="I100" s="0" t="s">
        <v>355</v>
      </c>
      <c r="J100" s="0" t="s">
        <v>356</v>
      </c>
      <c r="K100" s="0" t="s">
        <v>357</v>
      </c>
      <c r="L100" s="0" t="str">
        <f aca="false">HYPERLINK("https://www.ncbi.nlm.nih.gov/nuccore/CP000058.1?report=graph&amp;tracks=[key:gene_model_track,Options:GeneOnly]&amp;mk=35651:35670|offset_16|444444,35614:35633|offset_53|444444,35579:35598|offset_88|00cc00,35540:35559|offset_127|444444&amp;v=35450:35759&amp;c=444444", "offset 88")</f>
        <v>offset 88</v>
      </c>
    </row>
    <row r="101" customFormat="false" ht="12.8" hidden="false" customHeight="false" outlineLevel="0" collapsed="false">
      <c r="A101" s="0" t="s">
        <v>12</v>
      </c>
      <c r="B101" s="0" t="n">
        <v>35539</v>
      </c>
      <c r="C101" s="0" t="n">
        <v>35559</v>
      </c>
      <c r="D101" s="0" t="s">
        <v>348</v>
      </c>
      <c r="E101" s="0" t="s">
        <v>75</v>
      </c>
      <c r="F101" s="0" t="s">
        <v>90</v>
      </c>
      <c r="G101" s="0" t="s">
        <v>32</v>
      </c>
      <c r="H101" s="0" t="n">
        <v>127</v>
      </c>
      <c r="I101" s="0" t="s">
        <v>358</v>
      </c>
      <c r="J101" s="0" t="s">
        <v>359</v>
      </c>
      <c r="K101" s="0" t="s">
        <v>360</v>
      </c>
      <c r="L101" s="0" t="str">
        <f aca="false">HYPERLINK("https://www.ncbi.nlm.nih.gov/nuccore/CP000058.1?report=graph&amp;tracks=[key:gene_model_track,Options:GeneOnly]&amp;mk=35651:35670|offset_16|444444,35614:35633|offset_53|444444,35579:35598|offset_88|444444,35540:35559|offset_127|00cc00&amp;v=35450:35759&amp;c=444444", "offset 127")</f>
        <v>offset 127</v>
      </c>
    </row>
    <row r="102" customFormat="false" ht="12.8" hidden="false" customHeight="false" outlineLevel="0" collapsed="false">
      <c r="A102" s="0" t="s">
        <v>12</v>
      </c>
      <c r="B102" s="0" t="n">
        <v>37175</v>
      </c>
      <c r="C102" s="0" t="n">
        <v>37195</v>
      </c>
      <c r="D102" s="0" t="s">
        <v>361</v>
      </c>
      <c r="E102" s="0" t="s">
        <v>362</v>
      </c>
      <c r="F102" s="0" t="s">
        <v>90</v>
      </c>
      <c r="G102" s="0" t="s">
        <v>16</v>
      </c>
      <c r="H102" s="0" t="n">
        <v>34</v>
      </c>
      <c r="I102" s="0" t="s">
        <v>363</v>
      </c>
      <c r="J102" s="0" t="s">
        <v>364</v>
      </c>
      <c r="K102" s="0" t="s">
        <v>365</v>
      </c>
      <c r="L102" s="0" t="str">
        <f aca="false">HYPERLINK("https://www.ncbi.nlm.nih.gov/nuccore/CP000058.1?report=graph&amp;tracks=[key:gene_model_track,Options:GeneOnly]&amp;mk=37176:37195|offset_34|00cc00,37150:37169|offset_60|444444,37127:37146|offset_83|444444,37106:37125|offset_104|444444&amp;v=36975:37325&amp;c=444444", "offset 34")</f>
        <v>offset 34</v>
      </c>
    </row>
    <row r="103" customFormat="false" ht="12.8" hidden="false" customHeight="false" outlineLevel="0" collapsed="false">
      <c r="A103" s="0" t="s">
        <v>12</v>
      </c>
      <c r="B103" s="0" t="n">
        <v>37149</v>
      </c>
      <c r="C103" s="0" t="n">
        <v>37169</v>
      </c>
      <c r="D103" s="0" t="s">
        <v>361</v>
      </c>
      <c r="E103" s="0" t="s">
        <v>362</v>
      </c>
      <c r="F103" s="0" t="s">
        <v>90</v>
      </c>
      <c r="G103" s="0" t="s">
        <v>16</v>
      </c>
      <c r="H103" s="0" t="n">
        <v>60</v>
      </c>
      <c r="I103" s="0" t="s">
        <v>366</v>
      </c>
      <c r="J103" s="0" t="s">
        <v>367</v>
      </c>
      <c r="K103" s="0" t="s">
        <v>368</v>
      </c>
      <c r="L103" s="0" t="str">
        <f aca="false">HYPERLINK("https://www.ncbi.nlm.nih.gov/nuccore/CP000058.1?report=graph&amp;tracks=[key:gene_model_track,Options:GeneOnly]&amp;mk=37176:37195|offset_34|444444,37150:37169|offset_60|00cc00,37127:37146|offset_83|444444,37106:37125|offset_104|444444&amp;v=36975:37325&amp;c=444444", "offset 60")</f>
        <v>offset 60</v>
      </c>
    </row>
    <row r="104" customFormat="false" ht="12.8" hidden="false" customHeight="false" outlineLevel="0" collapsed="false">
      <c r="A104" s="0" t="s">
        <v>12</v>
      </c>
      <c r="B104" s="0" t="n">
        <v>37126</v>
      </c>
      <c r="C104" s="0" t="n">
        <v>37146</v>
      </c>
      <c r="D104" s="0" t="s">
        <v>361</v>
      </c>
      <c r="E104" s="0" t="s">
        <v>362</v>
      </c>
      <c r="F104" s="0" t="s">
        <v>90</v>
      </c>
      <c r="G104" s="0" t="s">
        <v>20</v>
      </c>
      <c r="H104" s="0" t="n">
        <v>83</v>
      </c>
      <c r="I104" s="0" t="s">
        <v>369</v>
      </c>
      <c r="J104" s="0" t="s">
        <v>370</v>
      </c>
      <c r="K104" s="0" t="s">
        <v>371</v>
      </c>
      <c r="L104" s="0" t="str">
        <f aca="false">HYPERLINK("https://www.ncbi.nlm.nih.gov/nuccore/CP000058.1?report=graph&amp;tracks=[key:gene_model_track,Options:GeneOnly]&amp;mk=37176:37195|offset_34|444444,37150:37169|offset_60|444444,37127:37146|offset_83|00cc00,37106:37125|offset_104|444444&amp;v=36975:37325&amp;c=444444", "offset 83")</f>
        <v>offset 83</v>
      </c>
    </row>
    <row r="105" customFormat="false" ht="12.8" hidden="false" customHeight="false" outlineLevel="0" collapsed="false">
      <c r="A105" s="0" t="s">
        <v>12</v>
      </c>
      <c r="B105" s="0" t="n">
        <v>37105</v>
      </c>
      <c r="C105" s="0" t="n">
        <v>37125</v>
      </c>
      <c r="D105" s="0" t="s">
        <v>361</v>
      </c>
      <c r="E105" s="0" t="s">
        <v>362</v>
      </c>
      <c r="F105" s="0" t="s">
        <v>90</v>
      </c>
      <c r="G105" s="0" t="s">
        <v>20</v>
      </c>
      <c r="H105" s="0" t="n">
        <v>104</v>
      </c>
      <c r="I105" s="0" t="s">
        <v>372</v>
      </c>
      <c r="J105" s="0" t="s">
        <v>373</v>
      </c>
      <c r="K105" s="0" t="s">
        <v>374</v>
      </c>
      <c r="L105" s="0" t="str">
        <f aca="false">HYPERLINK("https://www.ncbi.nlm.nih.gov/nuccore/CP000058.1?report=graph&amp;tracks=[key:gene_model_track,Options:GeneOnly]&amp;mk=37176:37195|offset_34|444444,37150:37169|offset_60|444444,37127:37146|offset_83|444444,37106:37125|offset_104|00cc00&amp;v=36975:37325&amp;c=444444", "offset 104")</f>
        <v>offset 104</v>
      </c>
    </row>
    <row r="106" customFormat="false" ht="12.8" hidden="false" customHeight="false" outlineLevel="0" collapsed="false">
      <c r="A106" s="0" t="s">
        <v>12</v>
      </c>
      <c r="B106" s="0" t="n">
        <v>37371</v>
      </c>
      <c r="C106" s="0" t="n">
        <v>37391</v>
      </c>
      <c r="D106" s="0" t="s">
        <v>375</v>
      </c>
      <c r="E106" s="0" t="s">
        <v>75</v>
      </c>
      <c r="F106" s="0" t="s">
        <v>15</v>
      </c>
      <c r="G106" s="0" t="s">
        <v>36</v>
      </c>
      <c r="H106" s="0" t="n">
        <v>28</v>
      </c>
      <c r="I106" s="0" t="s">
        <v>376</v>
      </c>
      <c r="J106" s="0" t="s">
        <v>377</v>
      </c>
      <c r="K106" s="0" t="s">
        <v>378</v>
      </c>
      <c r="L106" s="0" t="str">
        <f aca="false">HYPERLINK("https://www.ncbi.nlm.nih.gov/nuccore/CP000058.1?report=graph&amp;tracks=[key:gene_model_track,Options:GeneOnly]&amp;mk=37372:37391|offset_28|00cc00,37455:37474|offset_111|444444,37481:37500|offset_137|444444,37501:37520|offset_157|444444&amp;v=37171:37720&amp;c=444444", "offset 28")</f>
        <v>offset 28</v>
      </c>
    </row>
    <row r="107" customFormat="false" ht="12.8" hidden="false" customHeight="false" outlineLevel="0" collapsed="false">
      <c r="A107" s="0" t="s">
        <v>12</v>
      </c>
      <c r="B107" s="0" t="n">
        <v>37454</v>
      </c>
      <c r="C107" s="0" t="n">
        <v>37474</v>
      </c>
      <c r="D107" s="0" t="s">
        <v>375</v>
      </c>
      <c r="E107" s="0" t="s">
        <v>75</v>
      </c>
      <c r="F107" s="0" t="s">
        <v>15</v>
      </c>
      <c r="G107" s="0" t="s">
        <v>20</v>
      </c>
      <c r="H107" s="0" t="n">
        <v>111</v>
      </c>
      <c r="I107" s="0" t="s">
        <v>379</v>
      </c>
      <c r="J107" s="0" t="s">
        <v>380</v>
      </c>
      <c r="K107" s="0" t="s">
        <v>381</v>
      </c>
      <c r="L107" s="0" t="str">
        <f aca="false">HYPERLINK("https://www.ncbi.nlm.nih.gov/nuccore/CP000058.1?report=graph&amp;tracks=[key:gene_model_track,Options:GeneOnly]&amp;mk=37372:37391|offset_28|444444,37455:37474|offset_111|00cc00,37481:37500|offset_137|444444,37501:37520|offset_157|444444&amp;v=37171:37720&amp;c=444444", "offset 111")</f>
        <v>offset 111</v>
      </c>
    </row>
    <row r="108" customFormat="false" ht="12.8" hidden="false" customHeight="false" outlineLevel="0" collapsed="false">
      <c r="A108" s="0" t="s">
        <v>12</v>
      </c>
      <c r="B108" s="0" t="n">
        <v>37480</v>
      </c>
      <c r="C108" s="0" t="n">
        <v>37500</v>
      </c>
      <c r="D108" s="0" t="s">
        <v>375</v>
      </c>
      <c r="E108" s="0" t="s">
        <v>75</v>
      </c>
      <c r="F108" s="0" t="s">
        <v>15</v>
      </c>
      <c r="G108" s="0" t="s">
        <v>20</v>
      </c>
      <c r="H108" s="0" t="n">
        <v>137</v>
      </c>
      <c r="I108" s="0" t="s">
        <v>382</v>
      </c>
      <c r="J108" s="0" t="s">
        <v>383</v>
      </c>
      <c r="K108" s="0" t="s">
        <v>384</v>
      </c>
      <c r="L108" s="0" t="str">
        <f aca="false">HYPERLINK("https://www.ncbi.nlm.nih.gov/nuccore/CP000058.1?report=graph&amp;tracks=[key:gene_model_track,Options:GeneOnly]&amp;mk=37372:37391|offset_28|444444,37455:37474|offset_111|444444,37481:37500|offset_137|00cc00,37501:37520|offset_157|444444&amp;v=37171:37720&amp;c=444444", "offset 137")</f>
        <v>offset 137</v>
      </c>
    </row>
    <row r="109" customFormat="false" ht="12.8" hidden="false" customHeight="false" outlineLevel="0" collapsed="false">
      <c r="A109" s="0" t="s">
        <v>12</v>
      </c>
      <c r="B109" s="0" t="n">
        <v>37500</v>
      </c>
      <c r="C109" s="0" t="n">
        <v>37520</v>
      </c>
      <c r="D109" s="0" t="s">
        <v>375</v>
      </c>
      <c r="E109" s="0" t="s">
        <v>75</v>
      </c>
      <c r="F109" s="0" t="s">
        <v>15</v>
      </c>
      <c r="G109" s="0" t="s">
        <v>36</v>
      </c>
      <c r="H109" s="0" t="n">
        <v>157</v>
      </c>
      <c r="I109" s="0" t="s">
        <v>385</v>
      </c>
      <c r="J109" s="0" t="s">
        <v>386</v>
      </c>
      <c r="K109" s="0" t="s">
        <v>387</v>
      </c>
      <c r="L109" s="0" t="str">
        <f aca="false">HYPERLINK("https://www.ncbi.nlm.nih.gov/nuccore/CP000058.1?report=graph&amp;tracks=[key:gene_model_track,Options:GeneOnly]&amp;mk=37372:37391|offset_28|444444,37455:37474|offset_111|444444,37481:37500|offset_137|444444,37501:37520|offset_157|00cc00&amp;v=37171:37720&amp;c=444444", "offset 157")</f>
        <v>offset 157</v>
      </c>
    </row>
    <row r="110" customFormat="false" ht="12.8" hidden="false" customHeight="false" outlineLevel="0" collapsed="false">
      <c r="A110" s="0" t="s">
        <v>12</v>
      </c>
      <c r="B110" s="0" t="n">
        <v>38343</v>
      </c>
      <c r="C110" s="0" t="n">
        <v>38363</v>
      </c>
      <c r="D110" s="0" t="s">
        <v>388</v>
      </c>
      <c r="E110" s="0" t="s">
        <v>75</v>
      </c>
      <c r="F110" s="0" t="s">
        <v>15</v>
      </c>
      <c r="G110" s="0" t="s">
        <v>36</v>
      </c>
      <c r="H110" s="0" t="n">
        <v>13</v>
      </c>
      <c r="I110" s="0" t="s">
        <v>389</v>
      </c>
      <c r="J110" s="0" t="s">
        <v>390</v>
      </c>
      <c r="K110" s="0" t="s">
        <v>391</v>
      </c>
      <c r="L110" s="0" t="str">
        <f aca="false">HYPERLINK("https://www.ncbi.nlm.nih.gov/nuccore/CP000058.1?report=graph&amp;tracks=[key:gene_model_track,Options:GeneOnly]&amp;mk=38344:38363|offset_13|00cc00,38377:38396|offset_46|444444,38401:38420|offset_70|444444,38431:38450|offset_100|444444&amp;v=38143:38650&amp;c=444444", "offset 13")</f>
        <v>offset 13</v>
      </c>
    </row>
    <row r="111" customFormat="false" ht="12.8" hidden="false" customHeight="false" outlineLevel="0" collapsed="false">
      <c r="A111" s="0" t="s">
        <v>12</v>
      </c>
      <c r="B111" s="0" t="n">
        <v>38376</v>
      </c>
      <c r="C111" s="0" t="n">
        <v>38396</v>
      </c>
      <c r="D111" s="0" t="s">
        <v>388</v>
      </c>
      <c r="E111" s="0" t="s">
        <v>75</v>
      </c>
      <c r="F111" s="0" t="s">
        <v>15</v>
      </c>
      <c r="G111" s="0" t="s">
        <v>36</v>
      </c>
      <c r="H111" s="0" t="n">
        <v>46</v>
      </c>
      <c r="I111" s="0" t="s">
        <v>392</v>
      </c>
      <c r="J111" s="0" t="s">
        <v>393</v>
      </c>
      <c r="K111" s="0" t="s">
        <v>394</v>
      </c>
      <c r="L111" s="0" t="str">
        <f aca="false">HYPERLINK("https://www.ncbi.nlm.nih.gov/nuccore/CP000058.1?report=graph&amp;tracks=[key:gene_model_track,Options:GeneOnly]&amp;mk=38344:38363|offset_13|444444,38377:38396|offset_46|00cc00,38401:38420|offset_70|444444,38431:38450|offset_100|444444&amp;v=38143:38650&amp;c=444444", "offset 46")</f>
        <v>offset 46</v>
      </c>
    </row>
    <row r="112" customFormat="false" ht="12.8" hidden="false" customHeight="false" outlineLevel="0" collapsed="false">
      <c r="A112" s="0" t="s">
        <v>12</v>
      </c>
      <c r="B112" s="0" t="n">
        <v>38400</v>
      </c>
      <c r="C112" s="0" t="n">
        <v>38420</v>
      </c>
      <c r="D112" s="0" t="s">
        <v>388</v>
      </c>
      <c r="E112" s="0" t="s">
        <v>75</v>
      </c>
      <c r="F112" s="0" t="s">
        <v>15</v>
      </c>
      <c r="G112" s="0" t="s">
        <v>36</v>
      </c>
      <c r="H112" s="0" t="n">
        <v>70</v>
      </c>
      <c r="I112" s="0" t="s">
        <v>395</v>
      </c>
      <c r="J112" s="0" t="s">
        <v>396</v>
      </c>
      <c r="K112" s="0" t="s">
        <v>397</v>
      </c>
      <c r="L112" s="0" t="str">
        <f aca="false">HYPERLINK("https://www.ncbi.nlm.nih.gov/nuccore/CP000058.1?report=graph&amp;tracks=[key:gene_model_track,Options:GeneOnly]&amp;mk=38344:38363|offset_13|444444,38377:38396|offset_46|444444,38401:38420|offset_70|00cc00,38431:38450|offset_100|444444&amp;v=38143:38650&amp;c=444444", "offset 70")</f>
        <v>offset 70</v>
      </c>
    </row>
    <row r="113" customFormat="false" ht="12.8" hidden="false" customHeight="false" outlineLevel="0" collapsed="false">
      <c r="A113" s="0" t="s">
        <v>12</v>
      </c>
      <c r="B113" s="0" t="n">
        <v>38430</v>
      </c>
      <c r="C113" s="0" t="n">
        <v>38450</v>
      </c>
      <c r="D113" s="0" t="s">
        <v>388</v>
      </c>
      <c r="E113" s="0" t="s">
        <v>75</v>
      </c>
      <c r="F113" s="0" t="s">
        <v>15</v>
      </c>
      <c r="G113" s="0" t="s">
        <v>16</v>
      </c>
      <c r="H113" s="0" t="n">
        <v>100</v>
      </c>
      <c r="I113" s="0" t="s">
        <v>398</v>
      </c>
      <c r="J113" s="0" t="s">
        <v>399</v>
      </c>
      <c r="K113" s="0" t="s">
        <v>400</v>
      </c>
      <c r="L113" s="0" t="str">
        <f aca="false">HYPERLINK("https://www.ncbi.nlm.nih.gov/nuccore/CP000058.1?report=graph&amp;tracks=[key:gene_model_track,Options:GeneOnly]&amp;mk=38344:38363|offset_13|444444,38377:38396|offset_46|444444,38401:38420|offset_70|444444,38431:38450|offset_100|00cc00&amp;v=38143:38650&amp;c=444444", "offset 100")</f>
        <v>offset 100</v>
      </c>
    </row>
    <row r="114" customFormat="false" ht="12.8" hidden="false" customHeight="false" outlineLevel="0" collapsed="false">
      <c r="A114" s="0" t="s">
        <v>12</v>
      </c>
      <c r="B114" s="0" t="n">
        <v>38882</v>
      </c>
      <c r="C114" s="0" t="n">
        <v>38902</v>
      </c>
      <c r="D114" s="0" t="s">
        <v>401</v>
      </c>
      <c r="E114" s="0" t="s">
        <v>75</v>
      </c>
      <c r="F114" s="0" t="s">
        <v>15</v>
      </c>
      <c r="G114" s="0" t="s">
        <v>16</v>
      </c>
      <c r="H114" s="0" t="n">
        <v>6</v>
      </c>
      <c r="I114" s="0" t="s">
        <v>402</v>
      </c>
      <c r="J114" s="0" t="s">
        <v>403</v>
      </c>
      <c r="K114" s="0" t="s">
        <v>404</v>
      </c>
      <c r="L114" s="0" t="str">
        <f aca="false">HYPERLINK("https://www.ncbi.nlm.nih.gov/nuccore/CP000058.1?report=graph&amp;tracks=[key:gene_model_track,Options:GeneOnly]&amp;mk=38883:38902|offset_6|00cc00,38908:38927|offset_31|444444,38932:38951|offset_55|444444,38963:38982|offset_86|444444&amp;v=38682:39182&amp;c=444444", "offset 6")</f>
        <v>offset 6</v>
      </c>
    </row>
    <row r="115" customFormat="false" ht="12.8" hidden="false" customHeight="false" outlineLevel="0" collapsed="false">
      <c r="A115" s="0" t="s">
        <v>12</v>
      </c>
      <c r="B115" s="0" t="n">
        <v>38907</v>
      </c>
      <c r="C115" s="0" t="n">
        <v>38927</v>
      </c>
      <c r="D115" s="0" t="s">
        <v>401</v>
      </c>
      <c r="E115" s="0" t="s">
        <v>75</v>
      </c>
      <c r="F115" s="0" t="s">
        <v>15</v>
      </c>
      <c r="G115" s="0" t="s">
        <v>36</v>
      </c>
      <c r="H115" s="0" t="n">
        <v>31</v>
      </c>
      <c r="I115" s="0" t="s">
        <v>405</v>
      </c>
      <c r="J115" s="0" t="s">
        <v>406</v>
      </c>
      <c r="K115" s="0" t="s">
        <v>407</v>
      </c>
      <c r="L115" s="0" t="str">
        <f aca="false">HYPERLINK("https://www.ncbi.nlm.nih.gov/nuccore/CP000058.1?report=graph&amp;tracks=[key:gene_model_track,Options:GeneOnly]&amp;mk=38883:38902|offset_6|444444,38908:38927|offset_31|00cc00,38932:38951|offset_55|444444,38963:38982|offset_86|444444&amp;v=38682:39182&amp;c=444444", "offset 31")</f>
        <v>offset 31</v>
      </c>
    </row>
    <row r="116" customFormat="false" ht="12.8" hidden="false" customHeight="false" outlineLevel="0" collapsed="false">
      <c r="A116" s="0" t="s">
        <v>12</v>
      </c>
      <c r="B116" s="0" t="n">
        <v>38931</v>
      </c>
      <c r="C116" s="0" t="n">
        <v>38951</v>
      </c>
      <c r="D116" s="0" t="s">
        <v>401</v>
      </c>
      <c r="E116" s="0" t="s">
        <v>75</v>
      </c>
      <c r="F116" s="0" t="s">
        <v>15</v>
      </c>
      <c r="G116" s="0" t="s">
        <v>16</v>
      </c>
      <c r="H116" s="0" t="n">
        <v>55</v>
      </c>
      <c r="I116" s="0" t="s">
        <v>408</v>
      </c>
      <c r="J116" s="0" t="s">
        <v>409</v>
      </c>
      <c r="K116" s="0" t="s">
        <v>410</v>
      </c>
      <c r="L116" s="0" t="str">
        <f aca="false">HYPERLINK("https://www.ncbi.nlm.nih.gov/nuccore/CP000058.1?report=graph&amp;tracks=[key:gene_model_track,Options:GeneOnly]&amp;mk=38883:38902|offset_6|444444,38908:38927|offset_31|444444,38932:38951|offset_55|00cc00,38963:38982|offset_86|444444&amp;v=38682:39182&amp;c=444444", "offset 55")</f>
        <v>offset 55</v>
      </c>
    </row>
    <row r="117" customFormat="false" ht="12.8" hidden="false" customHeight="false" outlineLevel="0" collapsed="false">
      <c r="A117" s="0" t="s">
        <v>12</v>
      </c>
      <c r="B117" s="0" t="n">
        <v>38962</v>
      </c>
      <c r="C117" s="0" t="n">
        <v>38982</v>
      </c>
      <c r="D117" s="0" t="s">
        <v>401</v>
      </c>
      <c r="E117" s="0" t="s">
        <v>75</v>
      </c>
      <c r="F117" s="0" t="s">
        <v>15</v>
      </c>
      <c r="G117" s="0" t="s">
        <v>20</v>
      </c>
      <c r="H117" s="0" t="n">
        <v>86</v>
      </c>
      <c r="I117" s="0" t="s">
        <v>411</v>
      </c>
      <c r="J117" s="0" t="s">
        <v>412</v>
      </c>
      <c r="K117" s="0" t="s">
        <v>413</v>
      </c>
      <c r="L117" s="0" t="str">
        <f aca="false">HYPERLINK("https://www.ncbi.nlm.nih.gov/nuccore/CP000058.1?report=graph&amp;tracks=[key:gene_model_track,Options:GeneOnly]&amp;mk=38883:38902|offset_6|444444,38908:38927|offset_31|444444,38932:38951|offset_55|444444,38963:38982|offset_86|00cc00&amp;v=38682:39182&amp;c=444444", "offset 86")</f>
        <v>offset 86</v>
      </c>
    </row>
    <row r="118" customFormat="false" ht="12.8" hidden="false" customHeight="false" outlineLevel="0" collapsed="false">
      <c r="A118" s="0" t="s">
        <v>12</v>
      </c>
      <c r="B118" s="0" t="n">
        <v>40395</v>
      </c>
      <c r="C118" s="0" t="n">
        <v>40415</v>
      </c>
      <c r="D118" s="0" t="s">
        <v>414</v>
      </c>
      <c r="E118" s="0" t="s">
        <v>75</v>
      </c>
      <c r="F118" s="0" t="s">
        <v>90</v>
      </c>
      <c r="G118" s="0" t="s">
        <v>32</v>
      </c>
      <c r="H118" s="0" t="n">
        <v>1</v>
      </c>
      <c r="I118" s="0" t="s">
        <v>415</v>
      </c>
      <c r="J118" s="0" t="s">
        <v>416</v>
      </c>
      <c r="K118" s="0" t="s">
        <v>417</v>
      </c>
      <c r="L118" s="0" t="str">
        <f aca="false">HYPERLINK("https://www.ncbi.nlm.nih.gov/nuccore/CP000058.1?report=graph&amp;tracks=[key:gene_model_track,Options:GeneOnly]&amp;mk=40396:40415|offset_1|00cc00,40369:40388|offset_28|444444,40342:40361|offset_55|444444,40319:40338|offset_78|444444&amp;v=40195:40538&amp;c=444444", "offset 1")</f>
        <v>offset 1</v>
      </c>
    </row>
    <row r="119" customFormat="false" ht="12.8" hidden="false" customHeight="false" outlineLevel="0" collapsed="false">
      <c r="A119" s="0" t="s">
        <v>12</v>
      </c>
      <c r="B119" s="0" t="n">
        <v>40368</v>
      </c>
      <c r="C119" s="0" t="n">
        <v>40388</v>
      </c>
      <c r="D119" s="0" t="s">
        <v>414</v>
      </c>
      <c r="E119" s="0" t="s">
        <v>75</v>
      </c>
      <c r="F119" s="0" t="s">
        <v>90</v>
      </c>
      <c r="G119" s="0" t="s">
        <v>16</v>
      </c>
      <c r="H119" s="0" t="n">
        <v>28</v>
      </c>
      <c r="I119" s="0" t="s">
        <v>418</v>
      </c>
      <c r="J119" s="0" t="s">
        <v>419</v>
      </c>
      <c r="K119" s="0" t="s">
        <v>420</v>
      </c>
      <c r="L119" s="0" t="str">
        <f aca="false">HYPERLINK("https://www.ncbi.nlm.nih.gov/nuccore/CP000058.1?report=graph&amp;tracks=[key:gene_model_track,Options:GeneOnly]&amp;mk=40396:40415|offset_1|444444,40369:40388|offset_28|00cc00,40342:40361|offset_55|444444,40319:40338|offset_78|444444&amp;v=40195:40538&amp;c=444444", "offset 28")</f>
        <v>offset 28</v>
      </c>
    </row>
    <row r="120" customFormat="false" ht="12.8" hidden="false" customHeight="false" outlineLevel="0" collapsed="false">
      <c r="A120" s="0" t="s">
        <v>12</v>
      </c>
      <c r="B120" s="0" t="n">
        <v>40341</v>
      </c>
      <c r="C120" s="0" t="n">
        <v>40361</v>
      </c>
      <c r="D120" s="0" t="s">
        <v>414</v>
      </c>
      <c r="E120" s="0" t="s">
        <v>75</v>
      </c>
      <c r="F120" s="0" t="s">
        <v>90</v>
      </c>
      <c r="G120" s="0" t="s">
        <v>32</v>
      </c>
      <c r="H120" s="0" t="n">
        <v>55</v>
      </c>
      <c r="I120" s="0" t="s">
        <v>421</v>
      </c>
      <c r="J120" s="0" t="s">
        <v>422</v>
      </c>
      <c r="K120" s="0" t="s">
        <v>423</v>
      </c>
      <c r="L120" s="0" t="str">
        <f aca="false">HYPERLINK("https://www.ncbi.nlm.nih.gov/nuccore/CP000058.1?report=graph&amp;tracks=[key:gene_model_track,Options:GeneOnly]&amp;mk=40396:40415|offset_1|444444,40369:40388|offset_28|444444,40342:40361|offset_55|00cc00,40319:40338|offset_78|444444&amp;v=40195:40538&amp;c=444444", "offset 55")</f>
        <v>offset 55</v>
      </c>
    </row>
    <row r="121" customFormat="false" ht="12.8" hidden="false" customHeight="false" outlineLevel="0" collapsed="false">
      <c r="A121" s="0" t="s">
        <v>12</v>
      </c>
      <c r="B121" s="0" t="n">
        <v>40318</v>
      </c>
      <c r="C121" s="0" t="n">
        <v>40338</v>
      </c>
      <c r="D121" s="0" t="s">
        <v>414</v>
      </c>
      <c r="E121" s="0" t="s">
        <v>75</v>
      </c>
      <c r="F121" s="0" t="s">
        <v>90</v>
      </c>
      <c r="G121" s="0" t="s">
        <v>16</v>
      </c>
      <c r="H121" s="0" t="n">
        <v>78</v>
      </c>
      <c r="I121" s="0" t="s">
        <v>424</v>
      </c>
      <c r="J121" s="0" t="s">
        <v>425</v>
      </c>
      <c r="K121" s="0" t="s">
        <v>426</v>
      </c>
      <c r="L121" s="0" t="str">
        <f aca="false">HYPERLINK("https://www.ncbi.nlm.nih.gov/nuccore/CP000058.1?report=graph&amp;tracks=[key:gene_model_track,Options:GeneOnly]&amp;mk=40396:40415|offset_1|444444,40369:40388|offset_28|444444,40342:40361|offset_55|444444,40319:40338|offset_78|00cc00&amp;v=40195:40538&amp;c=444444", "offset 78")</f>
        <v>offset 78</v>
      </c>
    </row>
    <row r="122" customFormat="false" ht="12.8" hidden="false" customHeight="false" outlineLevel="0" collapsed="false">
      <c r="A122" s="0" t="s">
        <v>12</v>
      </c>
      <c r="B122" s="0" t="n">
        <v>41326</v>
      </c>
      <c r="C122" s="0" t="n">
        <v>41346</v>
      </c>
      <c r="D122" s="0" t="s">
        <v>427</v>
      </c>
      <c r="E122" s="0" t="s">
        <v>428</v>
      </c>
      <c r="F122" s="0" t="s">
        <v>90</v>
      </c>
      <c r="G122" s="0" t="s">
        <v>16</v>
      </c>
      <c r="H122" s="0" t="n">
        <v>8</v>
      </c>
      <c r="I122" s="0" t="s">
        <v>429</v>
      </c>
      <c r="J122" s="0" t="s">
        <v>430</v>
      </c>
      <c r="K122" s="0" t="s">
        <v>431</v>
      </c>
      <c r="L122" s="0" t="str">
        <f aca="false">HYPERLINK("https://www.ncbi.nlm.nih.gov/nuccore/CP000058.1?report=graph&amp;tracks=[key:gene_model_track,Options:GeneOnly]&amp;mk=41327:41346|offset_8|00cc00,41307:41326|offset_28|444444,41262:41281|offset_73|444444,41238:41257|offset_97|444444&amp;v=41126:41457&amp;c=444444", "offset 8")</f>
        <v>offset 8</v>
      </c>
    </row>
    <row r="123" customFormat="false" ht="12.8" hidden="false" customHeight="false" outlineLevel="0" collapsed="false">
      <c r="A123" s="0" t="s">
        <v>12</v>
      </c>
      <c r="B123" s="0" t="n">
        <v>41306</v>
      </c>
      <c r="C123" s="0" t="n">
        <v>41326</v>
      </c>
      <c r="D123" s="0" t="s">
        <v>427</v>
      </c>
      <c r="E123" s="0" t="s">
        <v>428</v>
      </c>
      <c r="F123" s="0" t="s">
        <v>90</v>
      </c>
      <c r="G123" s="0" t="s">
        <v>36</v>
      </c>
      <c r="H123" s="0" t="n">
        <v>28</v>
      </c>
      <c r="I123" s="0" t="s">
        <v>432</v>
      </c>
      <c r="J123" s="0" t="s">
        <v>433</v>
      </c>
      <c r="K123" s="0" t="s">
        <v>434</v>
      </c>
      <c r="L123" s="0" t="str">
        <f aca="false">HYPERLINK("https://www.ncbi.nlm.nih.gov/nuccore/CP000058.1?report=graph&amp;tracks=[key:gene_model_track,Options:GeneOnly]&amp;mk=41327:41346|offset_8|444444,41307:41326|offset_28|00cc00,41262:41281|offset_73|444444,41238:41257|offset_97|444444&amp;v=41126:41457&amp;c=444444", "offset 28")</f>
        <v>offset 28</v>
      </c>
    </row>
    <row r="124" customFormat="false" ht="12.8" hidden="false" customHeight="false" outlineLevel="0" collapsed="false">
      <c r="A124" s="0" t="s">
        <v>12</v>
      </c>
      <c r="B124" s="0" t="n">
        <v>41261</v>
      </c>
      <c r="C124" s="0" t="n">
        <v>41281</v>
      </c>
      <c r="D124" s="0" t="s">
        <v>427</v>
      </c>
      <c r="E124" s="0" t="s">
        <v>428</v>
      </c>
      <c r="F124" s="0" t="s">
        <v>90</v>
      </c>
      <c r="G124" s="0" t="s">
        <v>16</v>
      </c>
      <c r="H124" s="0" t="n">
        <v>73</v>
      </c>
      <c r="I124" s="0" t="s">
        <v>435</v>
      </c>
      <c r="J124" s="0" t="s">
        <v>436</v>
      </c>
      <c r="K124" s="0" t="s">
        <v>437</v>
      </c>
      <c r="L124" s="0" t="str">
        <f aca="false">HYPERLINK("https://www.ncbi.nlm.nih.gov/nuccore/CP000058.1?report=graph&amp;tracks=[key:gene_model_track,Options:GeneOnly]&amp;mk=41327:41346|offset_8|444444,41307:41326|offset_28|444444,41262:41281|offset_73|00cc00,41238:41257|offset_97|444444&amp;v=41126:41457&amp;c=444444", "offset 73")</f>
        <v>offset 73</v>
      </c>
    </row>
    <row r="125" customFormat="false" ht="12.8" hidden="false" customHeight="false" outlineLevel="0" collapsed="false">
      <c r="A125" s="0" t="s">
        <v>12</v>
      </c>
      <c r="B125" s="0" t="n">
        <v>41237</v>
      </c>
      <c r="C125" s="0" t="n">
        <v>41257</v>
      </c>
      <c r="D125" s="0" t="s">
        <v>427</v>
      </c>
      <c r="E125" s="0" t="s">
        <v>428</v>
      </c>
      <c r="F125" s="0" t="s">
        <v>90</v>
      </c>
      <c r="G125" s="0" t="s">
        <v>20</v>
      </c>
      <c r="H125" s="0" t="n">
        <v>97</v>
      </c>
      <c r="I125" s="0" t="s">
        <v>438</v>
      </c>
      <c r="J125" s="0" t="s">
        <v>439</v>
      </c>
      <c r="K125" s="0" t="s">
        <v>440</v>
      </c>
      <c r="L125" s="0" t="str">
        <f aca="false">HYPERLINK("https://www.ncbi.nlm.nih.gov/nuccore/CP000058.1?report=graph&amp;tracks=[key:gene_model_track,Options:GeneOnly]&amp;mk=41327:41346|offset_8|444444,41307:41326|offset_28|444444,41262:41281|offset_73|444444,41238:41257|offset_97|00cc00&amp;v=41126:41457&amp;c=444444", "offset 97")</f>
        <v>offset 97</v>
      </c>
    </row>
    <row r="126" customFormat="false" ht="12.8" hidden="false" customHeight="false" outlineLevel="0" collapsed="false">
      <c r="A126" s="0" t="s">
        <v>12</v>
      </c>
      <c r="B126" s="0" t="n">
        <v>42553</v>
      </c>
      <c r="C126" s="0" t="n">
        <v>42573</v>
      </c>
      <c r="D126" s="0" t="s">
        <v>441</v>
      </c>
      <c r="E126" s="0" t="s">
        <v>442</v>
      </c>
      <c r="F126" s="0" t="s">
        <v>90</v>
      </c>
      <c r="G126" s="0" t="s">
        <v>36</v>
      </c>
      <c r="H126" s="0" t="n">
        <v>7</v>
      </c>
      <c r="I126" s="0" t="s">
        <v>443</v>
      </c>
      <c r="J126" s="0" t="s">
        <v>444</v>
      </c>
      <c r="K126" s="0" t="s">
        <v>445</v>
      </c>
      <c r="L126" s="0" t="str">
        <f aca="false">HYPERLINK("https://www.ncbi.nlm.nih.gov/nuccore/CP000058.1?report=graph&amp;tracks=[key:gene_model_track,Options:GeneOnly]&amp;mk=42554:42573|offset_7|00cc00,42532:42551|offset_29|444444,42496:42515|offset_65|444444,42471:42490|offset_90|444444&amp;v=42353:42690&amp;c=444444", "offset 7")</f>
        <v>offset 7</v>
      </c>
    </row>
    <row r="127" customFormat="false" ht="12.8" hidden="false" customHeight="false" outlineLevel="0" collapsed="false">
      <c r="A127" s="0" t="s">
        <v>12</v>
      </c>
      <c r="B127" s="0" t="n">
        <v>42531</v>
      </c>
      <c r="C127" s="0" t="n">
        <v>42551</v>
      </c>
      <c r="D127" s="0" t="s">
        <v>441</v>
      </c>
      <c r="E127" s="0" t="s">
        <v>442</v>
      </c>
      <c r="F127" s="0" t="s">
        <v>90</v>
      </c>
      <c r="G127" s="0" t="s">
        <v>36</v>
      </c>
      <c r="H127" s="0" t="n">
        <v>29</v>
      </c>
      <c r="I127" s="0" t="s">
        <v>446</v>
      </c>
      <c r="J127" s="0" t="s">
        <v>447</v>
      </c>
      <c r="K127" s="0" t="s">
        <v>448</v>
      </c>
      <c r="L127" s="0" t="str">
        <f aca="false">HYPERLINK("https://www.ncbi.nlm.nih.gov/nuccore/CP000058.1?report=graph&amp;tracks=[key:gene_model_track,Options:GeneOnly]&amp;mk=42554:42573|offset_7|444444,42532:42551|offset_29|00cc00,42496:42515|offset_65|444444,42471:42490|offset_90|444444&amp;v=42353:42690&amp;c=444444", "offset 29")</f>
        <v>offset 29</v>
      </c>
    </row>
    <row r="128" customFormat="false" ht="12.8" hidden="false" customHeight="false" outlineLevel="0" collapsed="false">
      <c r="A128" s="0" t="s">
        <v>12</v>
      </c>
      <c r="B128" s="0" t="n">
        <v>42495</v>
      </c>
      <c r="C128" s="0" t="n">
        <v>42515</v>
      </c>
      <c r="D128" s="0" t="s">
        <v>441</v>
      </c>
      <c r="E128" s="0" t="s">
        <v>442</v>
      </c>
      <c r="F128" s="0" t="s">
        <v>90</v>
      </c>
      <c r="G128" s="0" t="s">
        <v>16</v>
      </c>
      <c r="H128" s="0" t="n">
        <v>65</v>
      </c>
      <c r="I128" s="0" t="s">
        <v>449</v>
      </c>
      <c r="J128" s="0" t="s">
        <v>450</v>
      </c>
      <c r="K128" s="0" t="s">
        <v>451</v>
      </c>
      <c r="L128" s="0" t="str">
        <f aca="false">HYPERLINK("https://www.ncbi.nlm.nih.gov/nuccore/CP000058.1?report=graph&amp;tracks=[key:gene_model_track,Options:GeneOnly]&amp;mk=42554:42573|offset_7|444444,42532:42551|offset_29|444444,42496:42515|offset_65|00cc00,42471:42490|offset_90|444444&amp;v=42353:42690&amp;c=444444", "offset 65")</f>
        <v>offset 65</v>
      </c>
    </row>
    <row r="129" customFormat="false" ht="12.8" hidden="false" customHeight="false" outlineLevel="0" collapsed="false">
      <c r="A129" s="0" t="s">
        <v>12</v>
      </c>
      <c r="B129" s="0" t="n">
        <v>42470</v>
      </c>
      <c r="C129" s="0" t="n">
        <v>42490</v>
      </c>
      <c r="D129" s="0" t="s">
        <v>441</v>
      </c>
      <c r="E129" s="0" t="s">
        <v>442</v>
      </c>
      <c r="F129" s="0" t="s">
        <v>90</v>
      </c>
      <c r="G129" s="0" t="s">
        <v>16</v>
      </c>
      <c r="H129" s="0" t="n">
        <v>90</v>
      </c>
      <c r="I129" s="0" t="s">
        <v>452</v>
      </c>
      <c r="J129" s="0" t="s">
        <v>453</v>
      </c>
      <c r="K129" s="0" t="s">
        <v>454</v>
      </c>
      <c r="L129" s="0" t="str">
        <f aca="false">HYPERLINK("https://www.ncbi.nlm.nih.gov/nuccore/CP000058.1?report=graph&amp;tracks=[key:gene_model_track,Options:GeneOnly]&amp;mk=42554:42573|offset_7|444444,42532:42551|offset_29|444444,42496:42515|offset_65|444444,42471:42490|offset_90|00cc00&amp;v=42353:42690&amp;c=444444", "offset 90")</f>
        <v>offset 90</v>
      </c>
    </row>
    <row r="130" customFormat="false" ht="12.8" hidden="false" customHeight="false" outlineLevel="0" collapsed="false">
      <c r="A130" s="0" t="s">
        <v>12</v>
      </c>
      <c r="B130" s="0" t="n">
        <v>42715</v>
      </c>
      <c r="C130" s="0" t="n">
        <v>42735</v>
      </c>
      <c r="D130" s="0" t="s">
        <v>455</v>
      </c>
      <c r="E130" s="0" t="s">
        <v>456</v>
      </c>
      <c r="F130" s="0" t="s">
        <v>15</v>
      </c>
      <c r="G130" s="0" t="s">
        <v>16</v>
      </c>
      <c r="H130" s="0" t="n">
        <v>8</v>
      </c>
      <c r="I130" s="0" t="s">
        <v>457</v>
      </c>
      <c r="J130" s="0" t="s">
        <v>458</v>
      </c>
      <c r="K130" s="0" t="s">
        <v>459</v>
      </c>
      <c r="L130" s="0" t="str">
        <f aca="false">HYPERLINK("https://www.ncbi.nlm.nih.gov/nuccore/CP000058.1?report=graph&amp;tracks=[key:gene_model_track,Options:GeneOnly]&amp;mk=42716:42735|offset_8|00cc00,42739:42758|offset_31|444444,42760:42779|offset_52|444444,42787:42806|offset_79|444444&amp;v=42515:43006&amp;c=444444", "offset 8")</f>
        <v>offset 8</v>
      </c>
    </row>
    <row r="131" customFormat="false" ht="12.8" hidden="false" customHeight="false" outlineLevel="0" collapsed="false">
      <c r="A131" s="0" t="s">
        <v>12</v>
      </c>
      <c r="B131" s="0" t="n">
        <v>42738</v>
      </c>
      <c r="C131" s="0" t="n">
        <v>42758</v>
      </c>
      <c r="D131" s="0" t="s">
        <v>455</v>
      </c>
      <c r="E131" s="0" t="s">
        <v>456</v>
      </c>
      <c r="F131" s="0" t="s">
        <v>15</v>
      </c>
      <c r="G131" s="0" t="s">
        <v>36</v>
      </c>
      <c r="H131" s="0" t="n">
        <v>31</v>
      </c>
      <c r="I131" s="0" t="s">
        <v>460</v>
      </c>
      <c r="J131" s="0" t="s">
        <v>461</v>
      </c>
      <c r="K131" s="0" t="s">
        <v>462</v>
      </c>
      <c r="L131" s="0" t="str">
        <f aca="false">HYPERLINK("https://www.ncbi.nlm.nih.gov/nuccore/CP000058.1?report=graph&amp;tracks=[key:gene_model_track,Options:GeneOnly]&amp;mk=42716:42735|offset_8|444444,42739:42758|offset_31|00cc00,42760:42779|offset_52|444444,42787:42806|offset_79|444444&amp;v=42515:43006&amp;c=444444", "offset 31")</f>
        <v>offset 31</v>
      </c>
    </row>
    <row r="132" customFormat="false" ht="12.8" hidden="false" customHeight="false" outlineLevel="0" collapsed="false">
      <c r="A132" s="0" t="s">
        <v>12</v>
      </c>
      <c r="B132" s="0" t="n">
        <v>42759</v>
      </c>
      <c r="C132" s="0" t="n">
        <v>42779</v>
      </c>
      <c r="D132" s="0" t="s">
        <v>455</v>
      </c>
      <c r="E132" s="0" t="s">
        <v>456</v>
      </c>
      <c r="F132" s="0" t="s">
        <v>15</v>
      </c>
      <c r="G132" s="0" t="s">
        <v>16</v>
      </c>
      <c r="H132" s="0" t="n">
        <v>52</v>
      </c>
      <c r="I132" s="0" t="s">
        <v>463</v>
      </c>
      <c r="J132" s="0" t="s">
        <v>464</v>
      </c>
      <c r="K132" s="0" t="s">
        <v>465</v>
      </c>
      <c r="L132" s="0" t="str">
        <f aca="false">HYPERLINK("https://www.ncbi.nlm.nih.gov/nuccore/CP000058.1?report=graph&amp;tracks=[key:gene_model_track,Options:GeneOnly]&amp;mk=42716:42735|offset_8|444444,42739:42758|offset_31|444444,42760:42779|offset_52|00cc00,42787:42806|offset_79|444444&amp;v=42515:43006&amp;c=444444", "offset 52")</f>
        <v>offset 52</v>
      </c>
    </row>
    <row r="133" customFormat="false" ht="12.8" hidden="false" customHeight="false" outlineLevel="0" collapsed="false">
      <c r="A133" s="0" t="s">
        <v>12</v>
      </c>
      <c r="B133" s="0" t="n">
        <v>42786</v>
      </c>
      <c r="C133" s="0" t="n">
        <v>42806</v>
      </c>
      <c r="D133" s="0" t="s">
        <v>455</v>
      </c>
      <c r="E133" s="0" t="s">
        <v>456</v>
      </c>
      <c r="F133" s="0" t="s">
        <v>15</v>
      </c>
      <c r="G133" s="0" t="s">
        <v>16</v>
      </c>
      <c r="H133" s="0" t="n">
        <v>79</v>
      </c>
      <c r="I133" s="0" t="s">
        <v>466</v>
      </c>
      <c r="J133" s="0" t="s">
        <v>467</v>
      </c>
      <c r="K133" s="0" t="s">
        <v>468</v>
      </c>
      <c r="L133" s="0" t="str">
        <f aca="false">HYPERLINK("https://www.ncbi.nlm.nih.gov/nuccore/CP000058.1?report=graph&amp;tracks=[key:gene_model_track,Options:GeneOnly]&amp;mk=42716:42735|offset_8|444444,42739:42758|offset_31|444444,42760:42779|offset_52|444444,42787:42806|offset_79|00cc00&amp;v=42515:43006&amp;c=444444", "offset 79")</f>
        <v>offset 79</v>
      </c>
    </row>
    <row r="134" customFormat="false" ht="12.8" hidden="false" customHeight="false" outlineLevel="0" collapsed="false">
      <c r="A134" s="0" t="s">
        <v>12</v>
      </c>
      <c r="B134" s="0" t="n">
        <v>43922</v>
      </c>
      <c r="C134" s="0" t="n">
        <v>43942</v>
      </c>
      <c r="D134" s="0" t="s">
        <v>469</v>
      </c>
      <c r="E134" s="0" t="s">
        <v>75</v>
      </c>
      <c r="F134" s="0" t="s">
        <v>90</v>
      </c>
      <c r="G134" s="0" t="s">
        <v>32</v>
      </c>
      <c r="H134" s="0" t="n">
        <v>1</v>
      </c>
      <c r="I134" s="0" t="s">
        <v>470</v>
      </c>
      <c r="J134" s="0" t="s">
        <v>471</v>
      </c>
      <c r="K134" s="0" t="s">
        <v>472</v>
      </c>
      <c r="L134" s="0" t="str">
        <f aca="false">HYPERLINK("https://www.ncbi.nlm.nih.gov/nuccore/CP000058.1?report=graph&amp;tracks=[key:gene_model_track,Options:GeneOnly]&amp;mk=43923:43942|offset_1|00cc00,43896:43915|offset_28|444444,43862:43881|offset_62|444444,43841:43860|offset_83|444444&amp;v=43722:44060&amp;c=444444", "offset 1")</f>
        <v>offset 1</v>
      </c>
    </row>
    <row r="135" customFormat="false" ht="12.8" hidden="false" customHeight="false" outlineLevel="0" collapsed="false">
      <c r="A135" s="0" t="s">
        <v>12</v>
      </c>
      <c r="B135" s="0" t="n">
        <v>43895</v>
      </c>
      <c r="C135" s="0" t="n">
        <v>43915</v>
      </c>
      <c r="D135" s="0" t="s">
        <v>469</v>
      </c>
      <c r="E135" s="0" t="s">
        <v>75</v>
      </c>
      <c r="F135" s="0" t="s">
        <v>90</v>
      </c>
      <c r="G135" s="0" t="s">
        <v>20</v>
      </c>
      <c r="H135" s="0" t="n">
        <v>28</v>
      </c>
      <c r="I135" s="0" t="s">
        <v>473</v>
      </c>
      <c r="J135" s="0" t="s">
        <v>474</v>
      </c>
      <c r="K135" s="0" t="s">
        <v>475</v>
      </c>
      <c r="L135" s="0" t="str">
        <f aca="false">HYPERLINK("https://www.ncbi.nlm.nih.gov/nuccore/CP000058.1?report=graph&amp;tracks=[key:gene_model_track,Options:GeneOnly]&amp;mk=43923:43942|offset_1|444444,43896:43915|offset_28|00cc00,43862:43881|offset_62|444444,43841:43860|offset_83|444444&amp;v=43722:44060&amp;c=444444", "offset 28")</f>
        <v>offset 28</v>
      </c>
    </row>
    <row r="136" customFormat="false" ht="12.8" hidden="false" customHeight="false" outlineLevel="0" collapsed="false">
      <c r="A136" s="0" t="s">
        <v>12</v>
      </c>
      <c r="B136" s="0" t="n">
        <v>43861</v>
      </c>
      <c r="C136" s="0" t="n">
        <v>43881</v>
      </c>
      <c r="D136" s="0" t="s">
        <v>469</v>
      </c>
      <c r="E136" s="0" t="s">
        <v>75</v>
      </c>
      <c r="F136" s="0" t="s">
        <v>90</v>
      </c>
      <c r="G136" s="0" t="s">
        <v>20</v>
      </c>
      <c r="H136" s="0" t="n">
        <v>62</v>
      </c>
      <c r="I136" s="0" t="s">
        <v>476</v>
      </c>
      <c r="J136" s="0" t="s">
        <v>477</v>
      </c>
      <c r="K136" s="0" t="s">
        <v>478</v>
      </c>
      <c r="L136" s="0" t="str">
        <f aca="false">HYPERLINK("https://www.ncbi.nlm.nih.gov/nuccore/CP000058.1?report=graph&amp;tracks=[key:gene_model_track,Options:GeneOnly]&amp;mk=43923:43942|offset_1|444444,43896:43915|offset_28|444444,43862:43881|offset_62|00cc00,43841:43860|offset_83|444444&amp;v=43722:44060&amp;c=444444", "offset 62")</f>
        <v>offset 62</v>
      </c>
    </row>
    <row r="137" customFormat="false" ht="12.8" hidden="false" customHeight="false" outlineLevel="0" collapsed="false">
      <c r="A137" s="0" t="s">
        <v>12</v>
      </c>
      <c r="B137" s="0" t="n">
        <v>43840</v>
      </c>
      <c r="C137" s="0" t="n">
        <v>43860</v>
      </c>
      <c r="D137" s="0" t="s">
        <v>469</v>
      </c>
      <c r="E137" s="0" t="s">
        <v>75</v>
      </c>
      <c r="F137" s="0" t="s">
        <v>90</v>
      </c>
      <c r="G137" s="0" t="s">
        <v>20</v>
      </c>
      <c r="H137" s="0" t="n">
        <v>83</v>
      </c>
      <c r="I137" s="0" t="s">
        <v>479</v>
      </c>
      <c r="J137" s="0" t="s">
        <v>480</v>
      </c>
      <c r="K137" s="0" t="s">
        <v>481</v>
      </c>
      <c r="L137" s="0" t="str">
        <f aca="false">HYPERLINK("https://www.ncbi.nlm.nih.gov/nuccore/CP000058.1?report=graph&amp;tracks=[key:gene_model_track,Options:GeneOnly]&amp;mk=43923:43942|offset_1|444444,43896:43915|offset_28|444444,43862:43881|offset_62|444444,43841:43860|offset_83|00cc00&amp;v=43722:44060&amp;c=444444", "offset 83")</f>
        <v>offset 83</v>
      </c>
    </row>
    <row r="138" customFormat="false" ht="12.8" hidden="false" customHeight="false" outlineLevel="0" collapsed="false">
      <c r="A138" s="0" t="s">
        <v>12</v>
      </c>
      <c r="B138" s="0" t="n">
        <v>44110</v>
      </c>
      <c r="C138" s="0" t="n">
        <v>44130</v>
      </c>
      <c r="D138" s="0" t="s">
        <v>482</v>
      </c>
      <c r="E138" s="0" t="s">
        <v>75</v>
      </c>
      <c r="F138" s="0" t="s">
        <v>15</v>
      </c>
      <c r="G138" s="0" t="s">
        <v>32</v>
      </c>
      <c r="H138" s="0" t="n">
        <v>1</v>
      </c>
      <c r="I138" s="0" t="s">
        <v>483</v>
      </c>
      <c r="J138" s="0" t="s">
        <v>484</v>
      </c>
      <c r="K138" s="0" t="s">
        <v>485</v>
      </c>
      <c r="L138" s="0" t="str">
        <f aca="false">HYPERLINK("https://www.ncbi.nlm.nih.gov/nuccore/CP000058.1?report=graph&amp;tracks=[key:gene_model_track,Options:GeneOnly]&amp;mk=44111:44130|offset_1|00cc00,44159:44178|offset_49|444444,44180:44199|offset_70|444444,44204:44223|offset_94|444444&amp;v=43910:44423&amp;c=444444", "offset 1")</f>
        <v>offset 1</v>
      </c>
    </row>
    <row r="139" customFormat="false" ht="12.8" hidden="false" customHeight="false" outlineLevel="0" collapsed="false">
      <c r="A139" s="0" t="s">
        <v>12</v>
      </c>
      <c r="B139" s="0" t="n">
        <v>44158</v>
      </c>
      <c r="C139" s="0" t="n">
        <v>44178</v>
      </c>
      <c r="D139" s="0" t="s">
        <v>482</v>
      </c>
      <c r="E139" s="0" t="s">
        <v>75</v>
      </c>
      <c r="F139" s="0" t="s">
        <v>15</v>
      </c>
      <c r="G139" s="0" t="s">
        <v>32</v>
      </c>
      <c r="H139" s="0" t="n">
        <v>49</v>
      </c>
      <c r="I139" s="0" t="s">
        <v>486</v>
      </c>
      <c r="J139" s="0" t="s">
        <v>487</v>
      </c>
      <c r="K139" s="0" t="s">
        <v>488</v>
      </c>
      <c r="L139" s="0" t="str">
        <f aca="false">HYPERLINK("https://www.ncbi.nlm.nih.gov/nuccore/CP000058.1?report=graph&amp;tracks=[key:gene_model_track,Options:GeneOnly]&amp;mk=44111:44130|offset_1|444444,44159:44178|offset_49|00cc00,44180:44199|offset_70|444444,44204:44223|offset_94|444444&amp;v=43910:44423&amp;c=444444", "offset 49")</f>
        <v>offset 49</v>
      </c>
    </row>
    <row r="140" customFormat="false" ht="12.8" hidden="false" customHeight="false" outlineLevel="0" collapsed="false">
      <c r="A140" s="0" t="s">
        <v>12</v>
      </c>
      <c r="B140" s="0" t="n">
        <v>44179</v>
      </c>
      <c r="C140" s="0" t="n">
        <v>44199</v>
      </c>
      <c r="D140" s="0" t="s">
        <v>482</v>
      </c>
      <c r="E140" s="0" t="s">
        <v>75</v>
      </c>
      <c r="F140" s="0" t="s">
        <v>15</v>
      </c>
      <c r="G140" s="0" t="s">
        <v>32</v>
      </c>
      <c r="H140" s="0" t="n">
        <v>70</v>
      </c>
      <c r="I140" s="0" t="s">
        <v>489</v>
      </c>
      <c r="J140" s="0" t="s">
        <v>490</v>
      </c>
      <c r="K140" s="0" t="s">
        <v>491</v>
      </c>
      <c r="L140" s="0" t="str">
        <f aca="false">HYPERLINK("https://www.ncbi.nlm.nih.gov/nuccore/CP000058.1?report=graph&amp;tracks=[key:gene_model_track,Options:GeneOnly]&amp;mk=44111:44130|offset_1|444444,44159:44178|offset_49|444444,44180:44199|offset_70|00cc00,44204:44223|offset_94|444444&amp;v=43910:44423&amp;c=444444", "offset 70")</f>
        <v>offset 70</v>
      </c>
    </row>
    <row r="141" customFormat="false" ht="12.8" hidden="false" customHeight="false" outlineLevel="0" collapsed="false">
      <c r="A141" s="0" t="s">
        <v>12</v>
      </c>
      <c r="B141" s="0" t="n">
        <v>44203</v>
      </c>
      <c r="C141" s="0" t="n">
        <v>44223</v>
      </c>
      <c r="D141" s="0" t="s">
        <v>482</v>
      </c>
      <c r="E141" s="0" t="s">
        <v>75</v>
      </c>
      <c r="F141" s="0" t="s">
        <v>15</v>
      </c>
      <c r="G141" s="0" t="s">
        <v>32</v>
      </c>
      <c r="H141" s="0" t="n">
        <v>94</v>
      </c>
      <c r="I141" s="0" t="s">
        <v>492</v>
      </c>
      <c r="J141" s="0" t="s">
        <v>493</v>
      </c>
      <c r="K141" s="0" t="s">
        <v>494</v>
      </c>
      <c r="L141" s="0" t="str">
        <f aca="false">HYPERLINK("https://www.ncbi.nlm.nih.gov/nuccore/CP000058.1?report=graph&amp;tracks=[key:gene_model_track,Options:GeneOnly]&amp;mk=44111:44130|offset_1|444444,44159:44178|offset_49|444444,44180:44199|offset_70|444444,44204:44223|offset_94|00cc00&amp;v=43910:44423&amp;c=444444", "offset 94")</f>
        <v>offset 94</v>
      </c>
    </row>
    <row r="142" customFormat="false" ht="12.8" hidden="false" customHeight="false" outlineLevel="0" collapsed="false">
      <c r="A142" s="0" t="s">
        <v>12</v>
      </c>
      <c r="B142" s="0" t="n">
        <v>44430</v>
      </c>
      <c r="C142" s="0" t="n">
        <v>44450</v>
      </c>
      <c r="D142" s="0" t="s">
        <v>495</v>
      </c>
      <c r="E142" s="0" t="s">
        <v>75</v>
      </c>
      <c r="F142" s="0" t="s">
        <v>15</v>
      </c>
      <c r="G142" s="0" t="s">
        <v>20</v>
      </c>
      <c r="H142" s="0" t="n">
        <v>29</v>
      </c>
      <c r="I142" s="0" t="s">
        <v>496</v>
      </c>
      <c r="J142" s="0" t="s">
        <v>497</v>
      </c>
      <c r="K142" s="0" t="s">
        <v>498</v>
      </c>
      <c r="L142" s="0" t="str">
        <f aca="false">HYPERLINK("https://www.ncbi.nlm.nih.gov/nuccore/CP000058.1?report=graph&amp;tracks=[key:gene_model_track,Options:GeneOnly]&amp;mk=44431:44450|offset_29|00cc00,44457:44476|offset_55|444444,44526:44545|offset_124|444444,44574:44593|offset_172|444444&amp;v=44230:44793&amp;c=444444", "offset 29")</f>
        <v>offset 29</v>
      </c>
    </row>
    <row r="143" customFormat="false" ht="12.8" hidden="false" customHeight="false" outlineLevel="0" collapsed="false">
      <c r="A143" s="0" t="s">
        <v>12</v>
      </c>
      <c r="B143" s="0" t="n">
        <v>44456</v>
      </c>
      <c r="C143" s="0" t="n">
        <v>44476</v>
      </c>
      <c r="D143" s="0" t="s">
        <v>495</v>
      </c>
      <c r="E143" s="0" t="s">
        <v>75</v>
      </c>
      <c r="F143" s="0" t="s">
        <v>15</v>
      </c>
      <c r="G143" s="0" t="s">
        <v>16</v>
      </c>
      <c r="H143" s="0" t="n">
        <v>55</v>
      </c>
      <c r="I143" s="0" t="s">
        <v>499</v>
      </c>
      <c r="J143" s="0" t="s">
        <v>500</v>
      </c>
      <c r="K143" s="0" t="s">
        <v>501</v>
      </c>
      <c r="L143" s="0" t="str">
        <f aca="false">HYPERLINK("https://www.ncbi.nlm.nih.gov/nuccore/CP000058.1?report=graph&amp;tracks=[key:gene_model_track,Options:GeneOnly]&amp;mk=44431:44450|offset_29|444444,44457:44476|offset_55|00cc00,44526:44545|offset_124|444444,44574:44593|offset_172|444444&amp;v=44230:44793&amp;c=444444", "offset 55")</f>
        <v>offset 55</v>
      </c>
    </row>
    <row r="144" customFormat="false" ht="12.8" hidden="false" customHeight="false" outlineLevel="0" collapsed="false">
      <c r="A144" s="0" t="s">
        <v>12</v>
      </c>
      <c r="B144" s="0" t="n">
        <v>44525</v>
      </c>
      <c r="C144" s="0" t="n">
        <v>44545</v>
      </c>
      <c r="D144" s="0" t="s">
        <v>495</v>
      </c>
      <c r="E144" s="0" t="s">
        <v>75</v>
      </c>
      <c r="F144" s="0" t="s">
        <v>15</v>
      </c>
      <c r="G144" s="0" t="s">
        <v>36</v>
      </c>
      <c r="H144" s="0" t="n">
        <v>124</v>
      </c>
      <c r="I144" s="0" t="s">
        <v>502</v>
      </c>
      <c r="J144" s="0" t="s">
        <v>503</v>
      </c>
      <c r="K144" s="0" t="s">
        <v>504</v>
      </c>
      <c r="L144" s="0" t="str">
        <f aca="false">HYPERLINK("https://www.ncbi.nlm.nih.gov/nuccore/CP000058.1?report=graph&amp;tracks=[key:gene_model_track,Options:GeneOnly]&amp;mk=44431:44450|offset_29|444444,44457:44476|offset_55|444444,44526:44545|offset_124|00cc00,44574:44593|offset_172|444444&amp;v=44230:44793&amp;c=444444", "offset 124")</f>
        <v>offset 124</v>
      </c>
    </row>
    <row r="145" customFormat="false" ht="12.8" hidden="false" customHeight="false" outlineLevel="0" collapsed="false">
      <c r="A145" s="0" t="s">
        <v>12</v>
      </c>
      <c r="B145" s="0" t="n">
        <v>44573</v>
      </c>
      <c r="C145" s="0" t="n">
        <v>44593</v>
      </c>
      <c r="D145" s="0" t="s">
        <v>495</v>
      </c>
      <c r="E145" s="0" t="s">
        <v>75</v>
      </c>
      <c r="F145" s="0" t="s">
        <v>15</v>
      </c>
      <c r="G145" s="0" t="s">
        <v>32</v>
      </c>
      <c r="H145" s="0" t="n">
        <v>172</v>
      </c>
      <c r="I145" s="0" t="s">
        <v>505</v>
      </c>
      <c r="J145" s="0" t="s">
        <v>506</v>
      </c>
      <c r="K145" s="0" t="s">
        <v>507</v>
      </c>
      <c r="L145" s="0" t="str">
        <f aca="false">HYPERLINK("https://www.ncbi.nlm.nih.gov/nuccore/CP000058.1?report=graph&amp;tracks=[key:gene_model_track,Options:GeneOnly]&amp;mk=44431:44450|offset_29|444444,44457:44476|offset_55|444444,44526:44545|offset_124|444444,44574:44593|offset_172|00cc00&amp;v=44230:44793&amp;c=444444", "offset 172")</f>
        <v>offset 172</v>
      </c>
    </row>
    <row r="146" customFormat="false" ht="12.8" hidden="false" customHeight="false" outlineLevel="0" collapsed="false">
      <c r="A146" s="0" t="s">
        <v>12</v>
      </c>
      <c r="B146" s="0" t="n">
        <v>45818</v>
      </c>
      <c r="C146" s="0" t="n">
        <v>45838</v>
      </c>
      <c r="D146" s="0" t="s">
        <v>508</v>
      </c>
      <c r="E146" s="0" t="s">
        <v>75</v>
      </c>
      <c r="F146" s="0" t="s">
        <v>90</v>
      </c>
      <c r="G146" s="0" t="s">
        <v>20</v>
      </c>
      <c r="H146" s="0" t="n">
        <v>0</v>
      </c>
      <c r="I146" s="0" t="s">
        <v>509</v>
      </c>
      <c r="J146" s="0" t="s">
        <v>510</v>
      </c>
      <c r="K146" s="0" t="s">
        <v>511</v>
      </c>
      <c r="L146" s="0" t="str">
        <f aca="false">HYPERLINK("https://www.ncbi.nlm.nih.gov/nuccore/CP000058.1?report=graph&amp;tracks=[key:gene_model_track,Options:GeneOnly]&amp;mk=45819:45838|offset_0|00cc00,45771:45790|offset_48|444444,45750:45769|offset_69|444444,45721:45740|offset_98|444444&amp;v=45618:45940&amp;c=444444", "offset 0")</f>
        <v>offset 0</v>
      </c>
    </row>
    <row r="147" customFormat="false" ht="12.8" hidden="false" customHeight="false" outlineLevel="0" collapsed="false">
      <c r="A147" s="0" t="s">
        <v>12</v>
      </c>
      <c r="B147" s="0" t="n">
        <v>45770</v>
      </c>
      <c r="C147" s="0" t="n">
        <v>45790</v>
      </c>
      <c r="D147" s="0" t="s">
        <v>508</v>
      </c>
      <c r="E147" s="0" t="s">
        <v>75</v>
      </c>
      <c r="F147" s="0" t="s">
        <v>90</v>
      </c>
      <c r="G147" s="0" t="s">
        <v>16</v>
      </c>
      <c r="H147" s="0" t="n">
        <v>48</v>
      </c>
      <c r="I147" s="0" t="s">
        <v>512</v>
      </c>
      <c r="J147" s="0" t="s">
        <v>513</v>
      </c>
      <c r="K147" s="0" t="s">
        <v>514</v>
      </c>
      <c r="L147" s="0" t="str">
        <f aca="false">HYPERLINK("https://www.ncbi.nlm.nih.gov/nuccore/CP000058.1?report=graph&amp;tracks=[key:gene_model_track,Options:GeneOnly]&amp;mk=45819:45838|offset_0|444444,45771:45790|offset_48|00cc00,45750:45769|offset_69|444444,45721:45740|offset_98|444444&amp;v=45618:45940&amp;c=444444", "offset 48")</f>
        <v>offset 48</v>
      </c>
    </row>
    <row r="148" customFormat="false" ht="12.8" hidden="false" customHeight="false" outlineLevel="0" collapsed="false">
      <c r="A148" s="0" t="s">
        <v>12</v>
      </c>
      <c r="B148" s="0" t="n">
        <v>45749</v>
      </c>
      <c r="C148" s="0" t="n">
        <v>45769</v>
      </c>
      <c r="D148" s="0" t="s">
        <v>508</v>
      </c>
      <c r="E148" s="0" t="s">
        <v>75</v>
      </c>
      <c r="F148" s="0" t="s">
        <v>90</v>
      </c>
      <c r="G148" s="0" t="s">
        <v>36</v>
      </c>
      <c r="H148" s="0" t="n">
        <v>69</v>
      </c>
      <c r="I148" s="0" t="s">
        <v>515</v>
      </c>
      <c r="J148" s="0" t="s">
        <v>516</v>
      </c>
      <c r="K148" s="0" t="s">
        <v>517</v>
      </c>
      <c r="L148" s="0" t="str">
        <f aca="false">HYPERLINK("https://www.ncbi.nlm.nih.gov/nuccore/CP000058.1?report=graph&amp;tracks=[key:gene_model_track,Options:GeneOnly]&amp;mk=45819:45838|offset_0|444444,45771:45790|offset_48|444444,45750:45769|offset_69|00cc00,45721:45740|offset_98|444444&amp;v=45618:45940&amp;c=444444", "offset 69")</f>
        <v>offset 69</v>
      </c>
    </row>
    <row r="149" customFormat="false" ht="12.8" hidden="false" customHeight="false" outlineLevel="0" collapsed="false">
      <c r="A149" s="0" t="s">
        <v>12</v>
      </c>
      <c r="B149" s="0" t="n">
        <v>45720</v>
      </c>
      <c r="C149" s="0" t="n">
        <v>45740</v>
      </c>
      <c r="D149" s="0" t="s">
        <v>508</v>
      </c>
      <c r="E149" s="0" t="s">
        <v>75</v>
      </c>
      <c r="F149" s="0" t="s">
        <v>90</v>
      </c>
      <c r="G149" s="0" t="s">
        <v>20</v>
      </c>
      <c r="H149" s="0" t="n">
        <v>98</v>
      </c>
      <c r="I149" s="0" t="s">
        <v>518</v>
      </c>
      <c r="J149" s="0" t="s">
        <v>519</v>
      </c>
      <c r="K149" s="0" t="s">
        <v>520</v>
      </c>
      <c r="L149" s="0" t="str">
        <f aca="false">HYPERLINK("https://www.ncbi.nlm.nih.gov/nuccore/CP000058.1?report=graph&amp;tracks=[key:gene_model_track,Options:GeneOnly]&amp;mk=45819:45838|offset_0|444444,45771:45790|offset_48|444444,45750:45769|offset_69|444444,45721:45740|offset_98|00cc00&amp;v=45618:45940&amp;c=444444", "offset 98")</f>
        <v>offset 98</v>
      </c>
    </row>
    <row r="150" customFormat="false" ht="12.8" hidden="false" customHeight="false" outlineLevel="0" collapsed="false">
      <c r="A150" s="0" t="s">
        <v>12</v>
      </c>
      <c r="B150" s="0" t="n">
        <v>46051</v>
      </c>
      <c r="C150" s="0" t="n">
        <v>46071</v>
      </c>
      <c r="D150" s="0" t="s">
        <v>521</v>
      </c>
      <c r="E150" s="0" t="s">
        <v>522</v>
      </c>
      <c r="F150" s="0" t="s">
        <v>15</v>
      </c>
      <c r="G150" s="0" t="s">
        <v>32</v>
      </c>
      <c r="H150" s="0" t="n">
        <v>1</v>
      </c>
      <c r="I150" s="0" t="s">
        <v>523</v>
      </c>
      <c r="J150" s="0" t="s">
        <v>524</v>
      </c>
      <c r="K150" s="0" t="s">
        <v>525</v>
      </c>
      <c r="L150" s="0" t="str">
        <f aca="false">HYPERLINK("https://www.ncbi.nlm.nih.gov/nuccore/CP000058.1?report=graph&amp;tracks=[key:gene_model_track,Options:GeneOnly]&amp;mk=46052:46071|offset_1|00cc00,46076:46095|offset_25|444444,46121:46140|offset_70|444444,46150:46169|offset_99|444444&amp;v=45851:46369&amp;c=444444", "offset 1")</f>
        <v>offset 1</v>
      </c>
    </row>
    <row r="151" customFormat="false" ht="12.8" hidden="false" customHeight="false" outlineLevel="0" collapsed="false">
      <c r="A151" s="0" t="s">
        <v>12</v>
      </c>
      <c r="B151" s="0" t="n">
        <v>46075</v>
      </c>
      <c r="C151" s="0" t="n">
        <v>46095</v>
      </c>
      <c r="D151" s="0" t="s">
        <v>521</v>
      </c>
      <c r="E151" s="0" t="s">
        <v>522</v>
      </c>
      <c r="F151" s="0" t="s">
        <v>15</v>
      </c>
      <c r="G151" s="0" t="s">
        <v>16</v>
      </c>
      <c r="H151" s="0" t="n">
        <v>25</v>
      </c>
      <c r="I151" s="0" t="s">
        <v>526</v>
      </c>
      <c r="J151" s="0" t="s">
        <v>527</v>
      </c>
      <c r="K151" s="0" t="s">
        <v>528</v>
      </c>
      <c r="L151" s="0" t="str">
        <f aca="false">HYPERLINK("https://www.ncbi.nlm.nih.gov/nuccore/CP000058.1?report=graph&amp;tracks=[key:gene_model_track,Options:GeneOnly]&amp;mk=46052:46071|offset_1|444444,46076:46095|offset_25|00cc00,46121:46140|offset_70|444444,46150:46169|offset_99|444444&amp;v=45851:46369&amp;c=444444", "offset 25")</f>
        <v>offset 25</v>
      </c>
    </row>
    <row r="152" customFormat="false" ht="12.8" hidden="false" customHeight="false" outlineLevel="0" collapsed="false">
      <c r="A152" s="0" t="s">
        <v>12</v>
      </c>
      <c r="B152" s="0" t="n">
        <v>46120</v>
      </c>
      <c r="C152" s="0" t="n">
        <v>46140</v>
      </c>
      <c r="D152" s="0" t="s">
        <v>521</v>
      </c>
      <c r="E152" s="0" t="s">
        <v>522</v>
      </c>
      <c r="F152" s="0" t="s">
        <v>15</v>
      </c>
      <c r="G152" s="0" t="s">
        <v>32</v>
      </c>
      <c r="H152" s="0" t="n">
        <v>70</v>
      </c>
      <c r="I152" s="0" t="s">
        <v>529</v>
      </c>
      <c r="J152" s="0" t="s">
        <v>530</v>
      </c>
      <c r="K152" s="0" t="s">
        <v>531</v>
      </c>
      <c r="L152" s="0" t="str">
        <f aca="false">HYPERLINK("https://www.ncbi.nlm.nih.gov/nuccore/CP000058.1?report=graph&amp;tracks=[key:gene_model_track,Options:GeneOnly]&amp;mk=46052:46071|offset_1|444444,46076:46095|offset_25|444444,46121:46140|offset_70|00cc00,46150:46169|offset_99|444444&amp;v=45851:46369&amp;c=444444", "offset 70")</f>
        <v>offset 70</v>
      </c>
    </row>
    <row r="153" customFormat="false" ht="12.8" hidden="false" customHeight="false" outlineLevel="0" collapsed="false">
      <c r="A153" s="0" t="s">
        <v>12</v>
      </c>
      <c r="B153" s="0" t="n">
        <v>46149</v>
      </c>
      <c r="C153" s="0" t="n">
        <v>46169</v>
      </c>
      <c r="D153" s="0" t="s">
        <v>521</v>
      </c>
      <c r="E153" s="0" t="s">
        <v>522</v>
      </c>
      <c r="F153" s="0" t="s">
        <v>15</v>
      </c>
      <c r="G153" s="0" t="s">
        <v>20</v>
      </c>
      <c r="H153" s="0" t="n">
        <v>99</v>
      </c>
      <c r="I153" s="0" t="s">
        <v>532</v>
      </c>
      <c r="J153" s="0" t="s">
        <v>533</v>
      </c>
      <c r="K153" s="0" t="s">
        <v>534</v>
      </c>
      <c r="L153" s="0" t="str">
        <f aca="false">HYPERLINK("https://www.ncbi.nlm.nih.gov/nuccore/CP000058.1?report=graph&amp;tracks=[key:gene_model_track,Options:GeneOnly]&amp;mk=46052:46071|offset_1|444444,46076:46095|offset_25|444444,46121:46140|offset_70|444444,46150:46169|offset_99|00cc00&amp;v=45851:46369&amp;c=444444", "offset 99")</f>
        <v>offset 99</v>
      </c>
    </row>
    <row r="154" customFormat="false" ht="12.8" hidden="false" customHeight="false" outlineLevel="0" collapsed="false">
      <c r="A154" s="0" t="s">
        <v>12</v>
      </c>
      <c r="B154" s="0" t="n">
        <v>46628</v>
      </c>
      <c r="C154" s="0" t="n">
        <v>46648</v>
      </c>
      <c r="D154" s="0" t="s">
        <v>535</v>
      </c>
      <c r="E154" s="0" t="s">
        <v>75</v>
      </c>
      <c r="F154" s="0" t="s">
        <v>15</v>
      </c>
      <c r="G154" s="0" t="s">
        <v>20</v>
      </c>
      <c r="H154" s="0" t="n">
        <v>28</v>
      </c>
      <c r="I154" s="0" t="s">
        <v>536</v>
      </c>
      <c r="J154" s="0" t="s">
        <v>537</v>
      </c>
      <c r="K154" s="0" t="s">
        <v>538</v>
      </c>
      <c r="L154" s="0" t="str">
        <f aca="false">HYPERLINK("https://www.ncbi.nlm.nih.gov/nuccore/CP000058.1?report=graph&amp;tracks=[key:gene_model_track,Options:GeneOnly]&amp;mk=46629:46648|offset_28|00cc00,46653:46672|offset_52|444444,46701:46720|offset_100|444444,46728:46747|offset_127|444444&amp;v=46428:46947&amp;c=444444", "offset 28")</f>
        <v>offset 28</v>
      </c>
    </row>
    <row r="155" customFormat="false" ht="12.8" hidden="false" customHeight="false" outlineLevel="0" collapsed="false">
      <c r="A155" s="0" t="s">
        <v>12</v>
      </c>
      <c r="B155" s="0" t="n">
        <v>46652</v>
      </c>
      <c r="C155" s="0" t="n">
        <v>46672</v>
      </c>
      <c r="D155" s="0" t="s">
        <v>535</v>
      </c>
      <c r="E155" s="0" t="s">
        <v>75</v>
      </c>
      <c r="F155" s="0" t="s">
        <v>15</v>
      </c>
      <c r="G155" s="0" t="s">
        <v>36</v>
      </c>
      <c r="H155" s="0" t="n">
        <v>52</v>
      </c>
      <c r="I155" s="0" t="s">
        <v>539</v>
      </c>
      <c r="J155" s="0" t="s">
        <v>540</v>
      </c>
      <c r="K155" s="0" t="s">
        <v>541</v>
      </c>
      <c r="L155" s="0" t="str">
        <f aca="false">HYPERLINK("https://www.ncbi.nlm.nih.gov/nuccore/CP000058.1?report=graph&amp;tracks=[key:gene_model_track,Options:GeneOnly]&amp;mk=46629:46648|offset_28|444444,46653:46672|offset_52|00cc00,46701:46720|offset_100|444444,46728:46747|offset_127|444444&amp;v=46428:46947&amp;c=444444", "offset 52")</f>
        <v>offset 52</v>
      </c>
    </row>
    <row r="156" customFormat="false" ht="12.8" hidden="false" customHeight="false" outlineLevel="0" collapsed="false">
      <c r="A156" s="0" t="s">
        <v>12</v>
      </c>
      <c r="B156" s="0" t="n">
        <v>46700</v>
      </c>
      <c r="C156" s="0" t="n">
        <v>46720</v>
      </c>
      <c r="D156" s="0" t="s">
        <v>535</v>
      </c>
      <c r="E156" s="0" t="s">
        <v>75</v>
      </c>
      <c r="F156" s="0" t="s">
        <v>15</v>
      </c>
      <c r="G156" s="0" t="s">
        <v>32</v>
      </c>
      <c r="H156" s="0" t="n">
        <v>100</v>
      </c>
      <c r="I156" s="0" t="s">
        <v>542</v>
      </c>
      <c r="J156" s="0" t="s">
        <v>543</v>
      </c>
      <c r="K156" s="0" t="s">
        <v>544</v>
      </c>
      <c r="L156" s="0" t="str">
        <f aca="false">HYPERLINK("https://www.ncbi.nlm.nih.gov/nuccore/CP000058.1?report=graph&amp;tracks=[key:gene_model_track,Options:GeneOnly]&amp;mk=46629:46648|offset_28|444444,46653:46672|offset_52|444444,46701:46720|offset_100|00cc00,46728:46747|offset_127|444444&amp;v=46428:46947&amp;c=444444", "offset 100")</f>
        <v>offset 100</v>
      </c>
    </row>
    <row r="157" customFormat="false" ht="12.8" hidden="false" customHeight="false" outlineLevel="0" collapsed="false">
      <c r="A157" s="0" t="s">
        <v>12</v>
      </c>
      <c r="B157" s="0" t="n">
        <v>46727</v>
      </c>
      <c r="C157" s="0" t="n">
        <v>46747</v>
      </c>
      <c r="D157" s="0" t="s">
        <v>535</v>
      </c>
      <c r="E157" s="0" t="s">
        <v>75</v>
      </c>
      <c r="F157" s="0" t="s">
        <v>15</v>
      </c>
      <c r="G157" s="0" t="s">
        <v>20</v>
      </c>
      <c r="H157" s="0" t="n">
        <v>127</v>
      </c>
      <c r="I157" s="0" t="s">
        <v>545</v>
      </c>
      <c r="J157" s="0" t="s">
        <v>546</v>
      </c>
      <c r="K157" s="0" t="s">
        <v>547</v>
      </c>
      <c r="L157" s="0" t="str">
        <f aca="false">HYPERLINK("https://www.ncbi.nlm.nih.gov/nuccore/CP000058.1?report=graph&amp;tracks=[key:gene_model_track,Options:GeneOnly]&amp;mk=46629:46648|offset_28|444444,46653:46672|offset_52|444444,46701:46720|offset_100|444444,46728:46747|offset_127|00cc00&amp;v=46428:46947&amp;c=444444", "offset 127")</f>
        <v>offset 127</v>
      </c>
    </row>
    <row r="158" customFormat="false" ht="12.8" hidden="false" customHeight="false" outlineLevel="0" collapsed="false">
      <c r="A158" s="0" t="s">
        <v>12</v>
      </c>
      <c r="B158" s="0" t="n">
        <v>47243</v>
      </c>
      <c r="C158" s="0" t="n">
        <v>47263</v>
      </c>
      <c r="D158" s="0" t="s">
        <v>548</v>
      </c>
      <c r="E158" s="0" t="s">
        <v>75</v>
      </c>
      <c r="F158" s="0" t="s">
        <v>90</v>
      </c>
      <c r="G158" s="0" t="s">
        <v>32</v>
      </c>
      <c r="H158" s="0" t="n">
        <v>6</v>
      </c>
      <c r="I158" s="0" t="s">
        <v>549</v>
      </c>
      <c r="J158" s="0" t="s">
        <v>550</v>
      </c>
      <c r="K158" s="0" t="s">
        <v>551</v>
      </c>
      <c r="L158" s="0" t="str">
        <f aca="false">HYPERLINK("https://www.ncbi.nlm.nih.gov/nuccore/CP000058.1?report=graph&amp;tracks=[key:gene_model_track,Options:GeneOnly]&amp;mk=47244:47263|offset_6|00cc00,47219:47238|offset_31|444444,47195:47214|offset_55|444444,47175:47194|offset_75|444444&amp;v=47043:47394&amp;c=444444", "offset 6")</f>
        <v>offset 6</v>
      </c>
    </row>
    <row r="159" customFormat="false" ht="12.8" hidden="false" customHeight="false" outlineLevel="0" collapsed="false">
      <c r="A159" s="0" t="s">
        <v>12</v>
      </c>
      <c r="B159" s="0" t="n">
        <v>47218</v>
      </c>
      <c r="C159" s="0" t="n">
        <v>47238</v>
      </c>
      <c r="D159" s="0" t="s">
        <v>548</v>
      </c>
      <c r="E159" s="0" t="s">
        <v>75</v>
      </c>
      <c r="F159" s="0" t="s">
        <v>90</v>
      </c>
      <c r="G159" s="0" t="s">
        <v>16</v>
      </c>
      <c r="H159" s="0" t="n">
        <v>31</v>
      </c>
      <c r="I159" s="0" t="s">
        <v>552</v>
      </c>
      <c r="J159" s="0" t="s">
        <v>553</v>
      </c>
      <c r="K159" s="0" t="s">
        <v>554</v>
      </c>
      <c r="L159" s="0" t="str">
        <f aca="false">HYPERLINK("https://www.ncbi.nlm.nih.gov/nuccore/CP000058.1?report=graph&amp;tracks=[key:gene_model_track,Options:GeneOnly]&amp;mk=47244:47263|offset_6|444444,47219:47238|offset_31|00cc00,47195:47214|offset_55|444444,47175:47194|offset_75|444444&amp;v=47043:47394&amp;c=444444", "offset 31")</f>
        <v>offset 31</v>
      </c>
    </row>
    <row r="160" customFormat="false" ht="12.8" hidden="false" customHeight="false" outlineLevel="0" collapsed="false">
      <c r="A160" s="0" t="s">
        <v>12</v>
      </c>
      <c r="B160" s="0" t="n">
        <v>47194</v>
      </c>
      <c r="C160" s="0" t="n">
        <v>47214</v>
      </c>
      <c r="D160" s="0" t="s">
        <v>548</v>
      </c>
      <c r="E160" s="0" t="s">
        <v>75</v>
      </c>
      <c r="F160" s="0" t="s">
        <v>90</v>
      </c>
      <c r="G160" s="0" t="s">
        <v>16</v>
      </c>
      <c r="H160" s="0" t="n">
        <v>55</v>
      </c>
      <c r="I160" s="0" t="s">
        <v>555</v>
      </c>
      <c r="J160" s="0" t="s">
        <v>556</v>
      </c>
      <c r="K160" s="0" t="s">
        <v>557</v>
      </c>
      <c r="L160" s="0" t="str">
        <f aca="false">HYPERLINK("https://www.ncbi.nlm.nih.gov/nuccore/CP000058.1?report=graph&amp;tracks=[key:gene_model_track,Options:GeneOnly]&amp;mk=47244:47263|offset_6|444444,47219:47238|offset_31|444444,47195:47214|offset_55|00cc00,47175:47194|offset_75|444444&amp;v=47043:47394&amp;c=444444", "offset 55")</f>
        <v>offset 55</v>
      </c>
    </row>
    <row r="161" customFormat="false" ht="12.8" hidden="false" customHeight="false" outlineLevel="0" collapsed="false">
      <c r="A161" s="0" t="s">
        <v>12</v>
      </c>
      <c r="B161" s="0" t="n">
        <v>47174</v>
      </c>
      <c r="C161" s="0" t="n">
        <v>47194</v>
      </c>
      <c r="D161" s="0" t="s">
        <v>548</v>
      </c>
      <c r="E161" s="0" t="s">
        <v>75</v>
      </c>
      <c r="F161" s="0" t="s">
        <v>90</v>
      </c>
      <c r="G161" s="0" t="s">
        <v>36</v>
      </c>
      <c r="H161" s="0" t="n">
        <v>75</v>
      </c>
      <c r="I161" s="0" t="s">
        <v>558</v>
      </c>
      <c r="J161" s="0" t="s">
        <v>559</v>
      </c>
      <c r="K161" s="0" t="s">
        <v>560</v>
      </c>
      <c r="L161" s="0" t="str">
        <f aca="false">HYPERLINK("https://www.ncbi.nlm.nih.gov/nuccore/CP000058.1?report=graph&amp;tracks=[key:gene_model_track,Options:GeneOnly]&amp;mk=47244:47263|offset_6|444444,47219:47238|offset_31|444444,47195:47214|offset_55|444444,47175:47194|offset_75|00cc00&amp;v=47043:47394&amp;c=444444", "offset 75")</f>
        <v>offset 75</v>
      </c>
    </row>
    <row r="162" customFormat="false" ht="12.8" hidden="false" customHeight="false" outlineLevel="0" collapsed="false">
      <c r="A162" s="0" t="s">
        <v>12</v>
      </c>
      <c r="B162" s="0" t="n">
        <v>49630</v>
      </c>
      <c r="C162" s="0" t="n">
        <v>49650</v>
      </c>
      <c r="D162" s="0" t="s">
        <v>561</v>
      </c>
      <c r="E162" s="0" t="s">
        <v>75</v>
      </c>
      <c r="F162" s="0" t="s">
        <v>15</v>
      </c>
      <c r="G162" s="0" t="s">
        <v>32</v>
      </c>
      <c r="H162" s="0" t="n">
        <v>7</v>
      </c>
      <c r="I162" s="0" t="s">
        <v>562</v>
      </c>
      <c r="J162" s="0" t="s">
        <v>563</v>
      </c>
      <c r="K162" s="0" t="s">
        <v>564</v>
      </c>
      <c r="L162" s="0" t="str">
        <f aca="false">HYPERLINK("https://www.ncbi.nlm.nih.gov/nuccore/CP000058.1?report=graph&amp;tracks=[key:gene_model_track,Options:GeneOnly]&amp;mk=49631:49650|offset_7|00cc00,49663:49682|offset_39|444444,49691:49710|offset_67|444444,49762:49781|offset_138|444444&amp;v=49430:49981&amp;c=444444", "offset 7")</f>
        <v>offset 7</v>
      </c>
    </row>
    <row r="163" customFormat="false" ht="12.8" hidden="false" customHeight="false" outlineLevel="0" collapsed="false">
      <c r="A163" s="0" t="s">
        <v>12</v>
      </c>
      <c r="B163" s="0" t="n">
        <v>49662</v>
      </c>
      <c r="C163" s="0" t="n">
        <v>49682</v>
      </c>
      <c r="D163" s="0" t="s">
        <v>561</v>
      </c>
      <c r="E163" s="0" t="s">
        <v>75</v>
      </c>
      <c r="F163" s="0" t="s">
        <v>15</v>
      </c>
      <c r="G163" s="0" t="s">
        <v>32</v>
      </c>
      <c r="H163" s="0" t="n">
        <v>39</v>
      </c>
      <c r="I163" s="0" t="s">
        <v>565</v>
      </c>
      <c r="J163" s="0" t="s">
        <v>566</v>
      </c>
      <c r="K163" s="0" t="s">
        <v>567</v>
      </c>
      <c r="L163" s="0" t="str">
        <f aca="false">HYPERLINK("https://www.ncbi.nlm.nih.gov/nuccore/CP000058.1?report=graph&amp;tracks=[key:gene_model_track,Options:GeneOnly]&amp;mk=49631:49650|offset_7|444444,49663:49682|offset_39|00cc00,49691:49710|offset_67|444444,49762:49781|offset_138|444444&amp;v=49430:49981&amp;c=444444", "offset 39")</f>
        <v>offset 39</v>
      </c>
    </row>
    <row r="164" customFormat="false" ht="12.8" hidden="false" customHeight="false" outlineLevel="0" collapsed="false">
      <c r="A164" s="0" t="s">
        <v>12</v>
      </c>
      <c r="B164" s="0" t="n">
        <v>49690</v>
      </c>
      <c r="C164" s="0" t="n">
        <v>49710</v>
      </c>
      <c r="D164" s="0" t="s">
        <v>561</v>
      </c>
      <c r="E164" s="0" t="s">
        <v>75</v>
      </c>
      <c r="F164" s="0" t="s">
        <v>15</v>
      </c>
      <c r="G164" s="0" t="s">
        <v>16</v>
      </c>
      <c r="H164" s="0" t="n">
        <v>67</v>
      </c>
      <c r="I164" s="0" t="s">
        <v>568</v>
      </c>
      <c r="J164" s="0" t="s">
        <v>569</v>
      </c>
      <c r="K164" s="0" t="s">
        <v>570</v>
      </c>
      <c r="L164" s="0" t="str">
        <f aca="false">HYPERLINK("https://www.ncbi.nlm.nih.gov/nuccore/CP000058.1?report=graph&amp;tracks=[key:gene_model_track,Options:GeneOnly]&amp;mk=49631:49650|offset_7|444444,49663:49682|offset_39|444444,49691:49710|offset_67|00cc00,49762:49781|offset_138|444444&amp;v=49430:49981&amp;c=444444", "offset 67")</f>
        <v>offset 67</v>
      </c>
    </row>
    <row r="165" customFormat="false" ht="12.8" hidden="false" customHeight="false" outlineLevel="0" collapsed="false">
      <c r="A165" s="0" t="s">
        <v>12</v>
      </c>
      <c r="B165" s="0" t="n">
        <v>49761</v>
      </c>
      <c r="C165" s="0" t="n">
        <v>49781</v>
      </c>
      <c r="D165" s="0" t="s">
        <v>561</v>
      </c>
      <c r="E165" s="0" t="s">
        <v>75</v>
      </c>
      <c r="F165" s="0" t="s">
        <v>15</v>
      </c>
      <c r="G165" s="0" t="s">
        <v>16</v>
      </c>
      <c r="H165" s="0" t="n">
        <v>138</v>
      </c>
      <c r="I165" s="0" t="s">
        <v>571</v>
      </c>
      <c r="J165" s="0" t="s">
        <v>572</v>
      </c>
      <c r="K165" s="0" t="s">
        <v>573</v>
      </c>
      <c r="L165" s="0" t="str">
        <f aca="false">HYPERLINK("https://www.ncbi.nlm.nih.gov/nuccore/CP000058.1?report=graph&amp;tracks=[key:gene_model_track,Options:GeneOnly]&amp;mk=49631:49650|offset_7|444444,49663:49682|offset_39|444444,49691:49710|offset_67|444444,49762:49781|offset_138|00cc00&amp;v=49430:49981&amp;c=444444", "offset 138")</f>
        <v>offset 138</v>
      </c>
    </row>
    <row r="166" customFormat="false" ht="12.8" hidden="false" customHeight="false" outlineLevel="0" collapsed="false">
      <c r="A166" s="0" t="s">
        <v>12</v>
      </c>
      <c r="B166" s="0" t="n">
        <v>52720</v>
      </c>
      <c r="C166" s="0" t="n">
        <v>52740</v>
      </c>
      <c r="D166" s="0" t="s">
        <v>574</v>
      </c>
      <c r="E166" s="0" t="s">
        <v>75</v>
      </c>
      <c r="F166" s="0" t="s">
        <v>90</v>
      </c>
      <c r="G166" s="0" t="s">
        <v>32</v>
      </c>
      <c r="H166" s="0" t="n">
        <v>7</v>
      </c>
      <c r="I166" s="0" t="s">
        <v>575</v>
      </c>
      <c r="J166" s="0" t="s">
        <v>576</v>
      </c>
      <c r="K166" s="0" t="s">
        <v>577</v>
      </c>
      <c r="L166" s="0" t="str">
        <f aca="false">HYPERLINK("https://www.ncbi.nlm.nih.gov/nuccore/CP000058.1?report=graph&amp;tracks=[key:gene_model_track,Options:GeneOnly]&amp;mk=52721:52740|offset_7|00cc00,52697:52716|offset_31|444444,52676:52695|offset_52|444444,52628:52647|offset_100|444444&amp;v=52520:52847&amp;c=444444", "offset 7")</f>
        <v>offset 7</v>
      </c>
    </row>
    <row r="167" customFormat="false" ht="12.8" hidden="false" customHeight="false" outlineLevel="0" collapsed="false">
      <c r="A167" s="0" t="s">
        <v>12</v>
      </c>
      <c r="B167" s="0" t="n">
        <v>52696</v>
      </c>
      <c r="C167" s="0" t="n">
        <v>52716</v>
      </c>
      <c r="D167" s="0" t="s">
        <v>574</v>
      </c>
      <c r="E167" s="0" t="s">
        <v>75</v>
      </c>
      <c r="F167" s="0" t="s">
        <v>90</v>
      </c>
      <c r="G167" s="0" t="s">
        <v>36</v>
      </c>
      <c r="H167" s="0" t="n">
        <v>31</v>
      </c>
      <c r="I167" s="0" t="s">
        <v>578</v>
      </c>
      <c r="J167" s="0" t="s">
        <v>579</v>
      </c>
      <c r="K167" s="0" t="s">
        <v>580</v>
      </c>
      <c r="L167" s="0" t="str">
        <f aca="false">HYPERLINK("https://www.ncbi.nlm.nih.gov/nuccore/CP000058.1?report=graph&amp;tracks=[key:gene_model_track,Options:GeneOnly]&amp;mk=52721:52740|offset_7|444444,52697:52716|offset_31|00cc00,52676:52695|offset_52|444444,52628:52647|offset_100|444444&amp;v=52520:52847&amp;c=444444", "offset 31")</f>
        <v>offset 31</v>
      </c>
    </row>
    <row r="168" customFormat="false" ht="12.8" hidden="false" customHeight="false" outlineLevel="0" collapsed="false">
      <c r="A168" s="0" t="s">
        <v>12</v>
      </c>
      <c r="B168" s="0" t="n">
        <v>52675</v>
      </c>
      <c r="C168" s="0" t="n">
        <v>52695</v>
      </c>
      <c r="D168" s="0" t="s">
        <v>574</v>
      </c>
      <c r="E168" s="0" t="s">
        <v>75</v>
      </c>
      <c r="F168" s="0" t="s">
        <v>90</v>
      </c>
      <c r="G168" s="0" t="s">
        <v>20</v>
      </c>
      <c r="H168" s="0" t="n">
        <v>52</v>
      </c>
      <c r="I168" s="0" t="s">
        <v>581</v>
      </c>
      <c r="J168" s="0" t="s">
        <v>582</v>
      </c>
      <c r="K168" s="0" t="s">
        <v>583</v>
      </c>
      <c r="L168" s="0" t="str">
        <f aca="false">HYPERLINK("https://www.ncbi.nlm.nih.gov/nuccore/CP000058.1?report=graph&amp;tracks=[key:gene_model_track,Options:GeneOnly]&amp;mk=52721:52740|offset_7|444444,52697:52716|offset_31|444444,52676:52695|offset_52|00cc00,52628:52647|offset_100|444444&amp;v=52520:52847&amp;c=444444", "offset 52")</f>
        <v>offset 52</v>
      </c>
    </row>
    <row r="169" customFormat="false" ht="12.8" hidden="false" customHeight="false" outlineLevel="0" collapsed="false">
      <c r="A169" s="0" t="s">
        <v>12</v>
      </c>
      <c r="B169" s="0" t="n">
        <v>52627</v>
      </c>
      <c r="C169" s="0" t="n">
        <v>52647</v>
      </c>
      <c r="D169" s="0" t="s">
        <v>574</v>
      </c>
      <c r="E169" s="0" t="s">
        <v>75</v>
      </c>
      <c r="F169" s="0" t="s">
        <v>90</v>
      </c>
      <c r="G169" s="0" t="s">
        <v>16</v>
      </c>
      <c r="H169" s="0" t="n">
        <v>100</v>
      </c>
      <c r="I169" s="0" t="s">
        <v>584</v>
      </c>
      <c r="J169" s="0" t="s">
        <v>585</v>
      </c>
      <c r="K169" s="0" t="s">
        <v>586</v>
      </c>
      <c r="L169" s="0" t="str">
        <f aca="false">HYPERLINK("https://www.ncbi.nlm.nih.gov/nuccore/CP000058.1?report=graph&amp;tracks=[key:gene_model_track,Options:GeneOnly]&amp;mk=52721:52740|offset_7|444444,52697:52716|offset_31|444444,52676:52695|offset_52|444444,52628:52647|offset_100|00cc00&amp;v=52520:52847&amp;c=444444", "offset 100")</f>
        <v>offset 100</v>
      </c>
    </row>
    <row r="170" customFormat="false" ht="12.8" hidden="false" customHeight="false" outlineLevel="0" collapsed="false">
      <c r="A170" s="0" t="s">
        <v>12</v>
      </c>
      <c r="B170" s="0" t="n">
        <v>52843</v>
      </c>
      <c r="C170" s="0" t="n">
        <v>52863</v>
      </c>
      <c r="D170" s="0" t="s">
        <v>587</v>
      </c>
      <c r="E170" s="0" t="s">
        <v>588</v>
      </c>
      <c r="F170" s="0" t="s">
        <v>15</v>
      </c>
      <c r="G170" s="0" t="s">
        <v>32</v>
      </c>
      <c r="H170" s="0" t="n">
        <v>20</v>
      </c>
      <c r="I170" s="0" t="s">
        <v>589</v>
      </c>
      <c r="J170" s="0" t="s">
        <v>590</v>
      </c>
      <c r="K170" s="0" t="s">
        <v>591</v>
      </c>
      <c r="L170" s="0" t="str">
        <f aca="false">HYPERLINK("https://www.ncbi.nlm.nih.gov/nuccore/CP000058.1?report=graph&amp;tracks=[key:gene_model_track,Options:GeneOnly]&amp;mk=52844:52863|offset_20|00cc00,52877:52896|offset_53|444444,52898:52917|offset_74|444444,52924:52943|offset_100|444444&amp;v=52643:53143&amp;c=444444", "offset 20")</f>
        <v>offset 20</v>
      </c>
    </row>
    <row r="171" customFormat="false" ht="12.8" hidden="false" customHeight="false" outlineLevel="0" collapsed="false">
      <c r="A171" s="0" t="s">
        <v>12</v>
      </c>
      <c r="B171" s="0" t="n">
        <v>52876</v>
      </c>
      <c r="C171" s="0" t="n">
        <v>52896</v>
      </c>
      <c r="D171" s="0" t="s">
        <v>587</v>
      </c>
      <c r="E171" s="0" t="s">
        <v>588</v>
      </c>
      <c r="F171" s="0" t="s">
        <v>15</v>
      </c>
      <c r="G171" s="0" t="s">
        <v>36</v>
      </c>
      <c r="H171" s="0" t="n">
        <v>53</v>
      </c>
      <c r="I171" s="0" t="s">
        <v>592</v>
      </c>
      <c r="J171" s="0" t="s">
        <v>593</v>
      </c>
      <c r="K171" s="0" t="s">
        <v>594</v>
      </c>
      <c r="L171" s="0" t="str">
        <f aca="false">HYPERLINK("https://www.ncbi.nlm.nih.gov/nuccore/CP000058.1?report=graph&amp;tracks=[key:gene_model_track,Options:GeneOnly]&amp;mk=52844:52863|offset_20|444444,52877:52896|offset_53|00cc00,52898:52917|offset_74|444444,52924:52943|offset_100|444444&amp;v=52643:53143&amp;c=444444", "offset 53")</f>
        <v>offset 53</v>
      </c>
    </row>
    <row r="172" customFormat="false" ht="12.8" hidden="false" customHeight="false" outlineLevel="0" collapsed="false">
      <c r="A172" s="0" t="s">
        <v>12</v>
      </c>
      <c r="B172" s="0" t="n">
        <v>52897</v>
      </c>
      <c r="C172" s="0" t="n">
        <v>52917</v>
      </c>
      <c r="D172" s="0" t="s">
        <v>587</v>
      </c>
      <c r="E172" s="0" t="s">
        <v>588</v>
      </c>
      <c r="F172" s="0" t="s">
        <v>15</v>
      </c>
      <c r="G172" s="0" t="s">
        <v>20</v>
      </c>
      <c r="H172" s="0" t="n">
        <v>74</v>
      </c>
      <c r="I172" s="0" t="s">
        <v>595</v>
      </c>
      <c r="J172" s="0" t="s">
        <v>596</v>
      </c>
      <c r="K172" s="0" t="s">
        <v>597</v>
      </c>
      <c r="L172" s="0" t="str">
        <f aca="false">HYPERLINK("https://www.ncbi.nlm.nih.gov/nuccore/CP000058.1?report=graph&amp;tracks=[key:gene_model_track,Options:GeneOnly]&amp;mk=52844:52863|offset_20|444444,52877:52896|offset_53|444444,52898:52917|offset_74|00cc00,52924:52943|offset_100|444444&amp;v=52643:53143&amp;c=444444", "offset 74")</f>
        <v>offset 74</v>
      </c>
    </row>
    <row r="173" customFormat="false" ht="12.8" hidden="false" customHeight="false" outlineLevel="0" collapsed="false">
      <c r="A173" s="0" t="s">
        <v>12</v>
      </c>
      <c r="B173" s="0" t="n">
        <v>52923</v>
      </c>
      <c r="C173" s="0" t="n">
        <v>52943</v>
      </c>
      <c r="D173" s="0" t="s">
        <v>587</v>
      </c>
      <c r="E173" s="0" t="s">
        <v>588</v>
      </c>
      <c r="F173" s="0" t="s">
        <v>15</v>
      </c>
      <c r="G173" s="0" t="s">
        <v>16</v>
      </c>
      <c r="H173" s="0" t="n">
        <v>100</v>
      </c>
      <c r="I173" s="0" t="s">
        <v>598</v>
      </c>
      <c r="J173" s="0" t="s">
        <v>599</v>
      </c>
      <c r="K173" s="0" t="s">
        <v>600</v>
      </c>
      <c r="L173" s="0" t="str">
        <f aca="false">HYPERLINK("https://www.ncbi.nlm.nih.gov/nuccore/CP000058.1?report=graph&amp;tracks=[key:gene_model_track,Options:GeneOnly]&amp;mk=52844:52863|offset_20|444444,52877:52896|offset_53|444444,52898:52917|offset_74|444444,52924:52943|offset_100|00cc00&amp;v=52643:53143&amp;c=444444", "offset 100")</f>
        <v>offset 100</v>
      </c>
    </row>
    <row r="174" customFormat="false" ht="12.8" hidden="false" customHeight="false" outlineLevel="0" collapsed="false">
      <c r="A174" s="0" t="s">
        <v>12</v>
      </c>
      <c r="B174" s="0" t="n">
        <v>54914</v>
      </c>
      <c r="C174" s="0" t="n">
        <v>54934</v>
      </c>
      <c r="D174" s="0" t="s">
        <v>601</v>
      </c>
      <c r="E174" s="0" t="s">
        <v>75</v>
      </c>
      <c r="F174" s="0" t="s">
        <v>15</v>
      </c>
      <c r="G174" s="0" t="s">
        <v>16</v>
      </c>
      <c r="H174" s="0" t="n">
        <v>7</v>
      </c>
      <c r="I174" s="0" t="s">
        <v>602</v>
      </c>
      <c r="J174" s="0" t="s">
        <v>603</v>
      </c>
      <c r="K174" s="0" t="s">
        <v>604</v>
      </c>
      <c r="L174" s="0" t="str">
        <f aca="false">HYPERLINK("https://www.ncbi.nlm.nih.gov/nuccore/CP000058.1?report=graph&amp;tracks=[key:gene_model_track,Options:GeneOnly]&amp;mk=54915:54934|offset_7|00cc00,54936:54955|offset_28|444444,54967:54986|offset_59|444444,55019:55038|offset_111|444444&amp;v=54714:55238&amp;c=444444", "offset 7")</f>
        <v>offset 7</v>
      </c>
    </row>
    <row r="175" customFormat="false" ht="12.8" hidden="false" customHeight="false" outlineLevel="0" collapsed="false">
      <c r="A175" s="0" t="s">
        <v>12</v>
      </c>
      <c r="B175" s="0" t="n">
        <v>54935</v>
      </c>
      <c r="C175" s="0" t="n">
        <v>54955</v>
      </c>
      <c r="D175" s="0" t="s">
        <v>601</v>
      </c>
      <c r="E175" s="0" t="s">
        <v>75</v>
      </c>
      <c r="F175" s="0" t="s">
        <v>15</v>
      </c>
      <c r="G175" s="0" t="s">
        <v>32</v>
      </c>
      <c r="H175" s="0" t="n">
        <v>28</v>
      </c>
      <c r="I175" s="0" t="s">
        <v>605</v>
      </c>
      <c r="J175" s="0" t="s">
        <v>606</v>
      </c>
      <c r="K175" s="0" t="s">
        <v>607</v>
      </c>
      <c r="L175" s="0" t="str">
        <f aca="false">HYPERLINK("https://www.ncbi.nlm.nih.gov/nuccore/CP000058.1?report=graph&amp;tracks=[key:gene_model_track,Options:GeneOnly]&amp;mk=54915:54934|offset_7|444444,54936:54955|offset_28|00cc00,54967:54986|offset_59|444444,55019:55038|offset_111|444444&amp;v=54714:55238&amp;c=444444", "offset 28")</f>
        <v>offset 28</v>
      </c>
    </row>
    <row r="176" customFormat="false" ht="12.8" hidden="false" customHeight="false" outlineLevel="0" collapsed="false">
      <c r="A176" s="0" t="s">
        <v>12</v>
      </c>
      <c r="B176" s="0" t="n">
        <v>54966</v>
      </c>
      <c r="C176" s="0" t="n">
        <v>54986</v>
      </c>
      <c r="D176" s="0" t="s">
        <v>601</v>
      </c>
      <c r="E176" s="0" t="s">
        <v>75</v>
      </c>
      <c r="F176" s="0" t="s">
        <v>15</v>
      </c>
      <c r="G176" s="0" t="s">
        <v>36</v>
      </c>
      <c r="H176" s="0" t="n">
        <v>59</v>
      </c>
      <c r="I176" s="0" t="s">
        <v>608</v>
      </c>
      <c r="J176" s="0" t="s">
        <v>609</v>
      </c>
      <c r="K176" s="0" t="s">
        <v>610</v>
      </c>
      <c r="L176" s="0" t="str">
        <f aca="false">HYPERLINK("https://www.ncbi.nlm.nih.gov/nuccore/CP000058.1?report=graph&amp;tracks=[key:gene_model_track,Options:GeneOnly]&amp;mk=54915:54934|offset_7|444444,54936:54955|offset_28|444444,54967:54986|offset_59|00cc00,55019:55038|offset_111|444444&amp;v=54714:55238&amp;c=444444", "offset 59")</f>
        <v>offset 59</v>
      </c>
    </row>
    <row r="177" customFormat="false" ht="12.8" hidden="false" customHeight="false" outlineLevel="0" collapsed="false">
      <c r="A177" s="0" t="s">
        <v>12</v>
      </c>
      <c r="B177" s="0" t="n">
        <v>55018</v>
      </c>
      <c r="C177" s="0" t="n">
        <v>55038</v>
      </c>
      <c r="D177" s="0" t="s">
        <v>601</v>
      </c>
      <c r="E177" s="0" t="s">
        <v>75</v>
      </c>
      <c r="F177" s="0" t="s">
        <v>15</v>
      </c>
      <c r="G177" s="0" t="s">
        <v>32</v>
      </c>
      <c r="H177" s="0" t="n">
        <v>111</v>
      </c>
      <c r="I177" s="0" t="s">
        <v>611</v>
      </c>
      <c r="J177" s="0" t="s">
        <v>612</v>
      </c>
      <c r="K177" s="0" t="s">
        <v>613</v>
      </c>
      <c r="L177" s="0" t="str">
        <f aca="false">HYPERLINK("https://www.ncbi.nlm.nih.gov/nuccore/CP000058.1?report=graph&amp;tracks=[key:gene_model_track,Options:GeneOnly]&amp;mk=54915:54934|offset_7|444444,54936:54955|offset_28|444444,54967:54986|offset_59|444444,55019:55038|offset_111|00cc00&amp;v=54714:55238&amp;c=444444", "offset 111")</f>
        <v>offset 111</v>
      </c>
    </row>
    <row r="178" customFormat="false" ht="12.8" hidden="false" customHeight="false" outlineLevel="0" collapsed="false">
      <c r="A178" s="0" t="s">
        <v>12</v>
      </c>
      <c r="B178" s="0" t="n">
        <v>55437</v>
      </c>
      <c r="C178" s="0" t="n">
        <v>55457</v>
      </c>
      <c r="D178" s="0" t="s">
        <v>614</v>
      </c>
      <c r="E178" s="0" t="s">
        <v>75</v>
      </c>
      <c r="F178" s="0" t="s">
        <v>90</v>
      </c>
      <c r="G178" s="0" t="s">
        <v>32</v>
      </c>
      <c r="H178" s="0" t="n">
        <v>53</v>
      </c>
      <c r="I178" s="0" t="s">
        <v>615</v>
      </c>
      <c r="J178" s="0" t="s">
        <v>616</v>
      </c>
      <c r="K178" s="0" t="s">
        <v>617</v>
      </c>
      <c r="L178" s="0" t="str">
        <f aca="false">HYPERLINK("https://www.ncbi.nlm.nih.gov/nuccore/CP000058.1?report=graph&amp;tracks=[key:gene_model_track,Options:GeneOnly]&amp;mk=55438:55457|offset_53|00cc00,55399:55418|offset_92|444444,55369:55388|offset_122|444444&amp;v=55237:55588&amp;c=444444", "offset 53")</f>
        <v>offset 53</v>
      </c>
    </row>
    <row r="179" customFormat="false" ht="12.8" hidden="false" customHeight="false" outlineLevel="0" collapsed="false">
      <c r="A179" s="0" t="s">
        <v>12</v>
      </c>
      <c r="B179" s="0" t="n">
        <v>55398</v>
      </c>
      <c r="C179" s="0" t="n">
        <v>55418</v>
      </c>
      <c r="D179" s="0" t="s">
        <v>614</v>
      </c>
      <c r="E179" s="0" t="s">
        <v>75</v>
      </c>
      <c r="F179" s="0" t="s">
        <v>90</v>
      </c>
      <c r="G179" s="0" t="s">
        <v>20</v>
      </c>
      <c r="H179" s="0" t="n">
        <v>92</v>
      </c>
      <c r="I179" s="0" t="s">
        <v>618</v>
      </c>
      <c r="J179" s="0" t="s">
        <v>619</v>
      </c>
      <c r="K179" s="0" t="s">
        <v>620</v>
      </c>
      <c r="L179" s="0" t="str">
        <f aca="false">HYPERLINK("https://www.ncbi.nlm.nih.gov/nuccore/CP000058.1?report=graph&amp;tracks=[key:gene_model_track,Options:GeneOnly]&amp;mk=55438:55457|offset_53|444444,55399:55418|offset_92|00cc00,55369:55388|offset_122|444444&amp;v=55237:55588&amp;c=444444", "offset 92")</f>
        <v>offset 92</v>
      </c>
    </row>
    <row r="180" customFormat="false" ht="12.8" hidden="false" customHeight="false" outlineLevel="0" collapsed="false">
      <c r="A180" s="0" t="s">
        <v>12</v>
      </c>
      <c r="B180" s="0" t="n">
        <v>55368</v>
      </c>
      <c r="C180" s="0" t="n">
        <v>55388</v>
      </c>
      <c r="D180" s="0" t="s">
        <v>614</v>
      </c>
      <c r="E180" s="0" t="s">
        <v>75</v>
      </c>
      <c r="F180" s="0" t="s">
        <v>90</v>
      </c>
      <c r="G180" s="0" t="s">
        <v>36</v>
      </c>
      <c r="H180" s="0" t="n">
        <v>122</v>
      </c>
      <c r="I180" s="0" t="s">
        <v>621</v>
      </c>
      <c r="J180" s="0" t="s">
        <v>622</v>
      </c>
      <c r="K180" s="0" t="s">
        <v>623</v>
      </c>
      <c r="L180" s="0" t="str">
        <f aca="false">HYPERLINK("https://www.ncbi.nlm.nih.gov/nuccore/CP000058.1?report=graph&amp;tracks=[key:gene_model_track,Options:GeneOnly]&amp;mk=55438:55457|offset_53|444444,55399:55418|offset_92|444444,55369:55388|offset_122|00cc00&amp;v=55237:55588&amp;c=444444", "offset 122")</f>
        <v>offset 122</v>
      </c>
    </row>
    <row r="181" customFormat="false" ht="12.8" hidden="false" customHeight="false" outlineLevel="0" collapsed="false">
      <c r="A181" s="0" t="s">
        <v>12</v>
      </c>
      <c r="B181" s="0" t="n">
        <v>57597</v>
      </c>
      <c r="C181" s="0" t="n">
        <v>57617</v>
      </c>
      <c r="D181" s="0" t="s">
        <v>624</v>
      </c>
      <c r="E181" s="0" t="s">
        <v>75</v>
      </c>
      <c r="F181" s="0" t="s">
        <v>90</v>
      </c>
      <c r="G181" s="0" t="s">
        <v>36</v>
      </c>
      <c r="H181" s="0" t="n">
        <v>6</v>
      </c>
      <c r="I181" s="0" t="s">
        <v>625</v>
      </c>
      <c r="J181" s="0" t="s">
        <v>626</v>
      </c>
      <c r="K181" s="0" t="s">
        <v>627</v>
      </c>
      <c r="L181" s="0" t="str">
        <f aca="false">HYPERLINK("https://www.ncbi.nlm.nih.gov/nuccore/CP000058.1?report=graph&amp;tracks=[key:gene_model_track,Options:GeneOnly]&amp;mk=57598:57617|offset_6|00cc00,57576:57595|offset_28|444444,57528:57547|offset_76|444444,57507:57526|offset_97|444444&amp;v=57397:57726&amp;c=444444", "offset 6")</f>
        <v>offset 6</v>
      </c>
    </row>
    <row r="182" customFormat="false" ht="12.8" hidden="false" customHeight="false" outlineLevel="0" collapsed="false">
      <c r="A182" s="0" t="s">
        <v>12</v>
      </c>
      <c r="B182" s="0" t="n">
        <v>57575</v>
      </c>
      <c r="C182" s="0" t="n">
        <v>57595</v>
      </c>
      <c r="D182" s="0" t="s">
        <v>624</v>
      </c>
      <c r="E182" s="0" t="s">
        <v>75</v>
      </c>
      <c r="F182" s="0" t="s">
        <v>90</v>
      </c>
      <c r="G182" s="0" t="s">
        <v>20</v>
      </c>
      <c r="H182" s="0" t="n">
        <v>28</v>
      </c>
      <c r="I182" s="0" t="s">
        <v>628</v>
      </c>
      <c r="J182" s="0" t="s">
        <v>629</v>
      </c>
      <c r="K182" s="0" t="s">
        <v>630</v>
      </c>
      <c r="L182" s="0" t="str">
        <f aca="false">HYPERLINK("https://www.ncbi.nlm.nih.gov/nuccore/CP000058.1?report=graph&amp;tracks=[key:gene_model_track,Options:GeneOnly]&amp;mk=57598:57617|offset_6|444444,57576:57595|offset_28|00cc00,57528:57547|offset_76|444444,57507:57526|offset_97|444444&amp;v=57397:57726&amp;c=444444", "offset 28")</f>
        <v>offset 28</v>
      </c>
    </row>
    <row r="183" customFormat="false" ht="12.8" hidden="false" customHeight="false" outlineLevel="0" collapsed="false">
      <c r="A183" s="0" t="s">
        <v>12</v>
      </c>
      <c r="B183" s="0" t="n">
        <v>57527</v>
      </c>
      <c r="C183" s="0" t="n">
        <v>57547</v>
      </c>
      <c r="D183" s="0" t="s">
        <v>624</v>
      </c>
      <c r="E183" s="0" t="s">
        <v>75</v>
      </c>
      <c r="F183" s="0" t="s">
        <v>90</v>
      </c>
      <c r="G183" s="0" t="s">
        <v>16</v>
      </c>
      <c r="H183" s="0" t="n">
        <v>76</v>
      </c>
      <c r="I183" s="0" t="s">
        <v>631</v>
      </c>
      <c r="J183" s="0" t="s">
        <v>632</v>
      </c>
      <c r="K183" s="0" t="s">
        <v>633</v>
      </c>
      <c r="L183" s="0" t="str">
        <f aca="false">HYPERLINK("https://www.ncbi.nlm.nih.gov/nuccore/CP000058.1?report=graph&amp;tracks=[key:gene_model_track,Options:GeneOnly]&amp;mk=57598:57617|offset_6|444444,57576:57595|offset_28|444444,57528:57547|offset_76|00cc00,57507:57526|offset_97|444444&amp;v=57397:57726&amp;c=444444", "offset 76")</f>
        <v>offset 76</v>
      </c>
    </row>
    <row r="184" customFormat="false" ht="12.8" hidden="false" customHeight="false" outlineLevel="0" collapsed="false">
      <c r="A184" s="0" t="s">
        <v>12</v>
      </c>
      <c r="B184" s="0" t="n">
        <v>57506</v>
      </c>
      <c r="C184" s="0" t="n">
        <v>57526</v>
      </c>
      <c r="D184" s="0" t="s">
        <v>624</v>
      </c>
      <c r="E184" s="0" t="s">
        <v>75</v>
      </c>
      <c r="F184" s="0" t="s">
        <v>90</v>
      </c>
      <c r="G184" s="0" t="s">
        <v>36</v>
      </c>
      <c r="H184" s="0" t="n">
        <v>97</v>
      </c>
      <c r="I184" s="0" t="s">
        <v>634</v>
      </c>
      <c r="J184" s="0" t="s">
        <v>635</v>
      </c>
      <c r="K184" s="0" t="s">
        <v>636</v>
      </c>
      <c r="L184" s="0" t="str">
        <f aca="false">HYPERLINK("https://www.ncbi.nlm.nih.gov/nuccore/CP000058.1?report=graph&amp;tracks=[key:gene_model_track,Options:GeneOnly]&amp;mk=57598:57617|offset_6|444444,57576:57595|offset_28|444444,57528:57547|offset_76|444444,57507:57526|offset_97|00cc00&amp;v=57397:57726&amp;c=444444", "offset 97")</f>
        <v>offset 97</v>
      </c>
    </row>
    <row r="185" customFormat="false" ht="12.8" hidden="false" customHeight="false" outlineLevel="0" collapsed="false">
      <c r="A185" s="0" t="s">
        <v>12</v>
      </c>
      <c r="B185" s="0" t="n">
        <v>58360</v>
      </c>
      <c r="C185" s="0" t="n">
        <v>58380</v>
      </c>
      <c r="D185" s="0" t="s">
        <v>637</v>
      </c>
      <c r="E185" s="0" t="s">
        <v>75</v>
      </c>
      <c r="F185" s="0" t="s">
        <v>90</v>
      </c>
      <c r="G185" s="0" t="s">
        <v>20</v>
      </c>
      <c r="H185" s="0" t="n">
        <v>37</v>
      </c>
      <c r="I185" s="0" t="s">
        <v>638</v>
      </c>
      <c r="J185" s="0" t="s">
        <v>639</v>
      </c>
      <c r="K185" s="0" t="s">
        <v>640</v>
      </c>
      <c r="L185" s="0" t="str">
        <f aca="false">HYPERLINK("https://www.ncbi.nlm.nih.gov/nuccore/CP000058.1?report=graph&amp;tracks=[key:gene_model_track,Options:GeneOnly]&amp;mk=58361:58380|offset_37|00cc00,58340:58359|offset_58|444444,58319:58338|offset_79|444444,58288:58307|offset_110|444444&amp;v=58160:58507&amp;c=444444", "offset 37")</f>
        <v>offset 37</v>
      </c>
    </row>
    <row r="186" customFormat="false" ht="12.8" hidden="false" customHeight="false" outlineLevel="0" collapsed="false">
      <c r="A186" s="0" t="s">
        <v>12</v>
      </c>
      <c r="B186" s="0" t="n">
        <v>58339</v>
      </c>
      <c r="C186" s="0" t="n">
        <v>58359</v>
      </c>
      <c r="D186" s="0" t="s">
        <v>637</v>
      </c>
      <c r="E186" s="0" t="s">
        <v>75</v>
      </c>
      <c r="F186" s="0" t="s">
        <v>90</v>
      </c>
      <c r="G186" s="0" t="s">
        <v>36</v>
      </c>
      <c r="H186" s="0" t="n">
        <v>58</v>
      </c>
      <c r="I186" s="0" t="s">
        <v>641</v>
      </c>
      <c r="J186" s="0" t="s">
        <v>642</v>
      </c>
      <c r="K186" s="0" t="s">
        <v>643</v>
      </c>
      <c r="L186" s="0" t="str">
        <f aca="false">HYPERLINK("https://www.ncbi.nlm.nih.gov/nuccore/CP000058.1?report=graph&amp;tracks=[key:gene_model_track,Options:GeneOnly]&amp;mk=58361:58380|offset_37|444444,58340:58359|offset_58|00cc00,58319:58338|offset_79|444444,58288:58307|offset_110|444444&amp;v=58160:58507&amp;c=444444", "offset 58")</f>
        <v>offset 58</v>
      </c>
    </row>
    <row r="187" customFormat="false" ht="12.8" hidden="false" customHeight="false" outlineLevel="0" collapsed="false">
      <c r="A187" s="0" t="s">
        <v>12</v>
      </c>
      <c r="B187" s="0" t="n">
        <v>58318</v>
      </c>
      <c r="C187" s="0" t="n">
        <v>58338</v>
      </c>
      <c r="D187" s="0" t="s">
        <v>637</v>
      </c>
      <c r="E187" s="0" t="s">
        <v>75</v>
      </c>
      <c r="F187" s="0" t="s">
        <v>90</v>
      </c>
      <c r="G187" s="0" t="s">
        <v>20</v>
      </c>
      <c r="H187" s="0" t="n">
        <v>79</v>
      </c>
      <c r="I187" s="0" t="s">
        <v>644</v>
      </c>
      <c r="J187" s="0" t="s">
        <v>645</v>
      </c>
      <c r="K187" s="0" t="s">
        <v>646</v>
      </c>
      <c r="L187" s="0" t="str">
        <f aca="false">HYPERLINK("https://www.ncbi.nlm.nih.gov/nuccore/CP000058.1?report=graph&amp;tracks=[key:gene_model_track,Options:GeneOnly]&amp;mk=58361:58380|offset_37|444444,58340:58359|offset_58|444444,58319:58338|offset_79|00cc00,58288:58307|offset_110|444444&amp;v=58160:58507&amp;c=444444", "offset 79")</f>
        <v>offset 79</v>
      </c>
    </row>
    <row r="188" customFormat="false" ht="12.8" hidden="false" customHeight="false" outlineLevel="0" collapsed="false">
      <c r="A188" s="0" t="s">
        <v>12</v>
      </c>
      <c r="B188" s="0" t="n">
        <v>58287</v>
      </c>
      <c r="C188" s="0" t="n">
        <v>58307</v>
      </c>
      <c r="D188" s="0" t="s">
        <v>637</v>
      </c>
      <c r="E188" s="0" t="s">
        <v>75</v>
      </c>
      <c r="F188" s="0" t="s">
        <v>90</v>
      </c>
      <c r="G188" s="0" t="s">
        <v>20</v>
      </c>
      <c r="H188" s="0" t="n">
        <v>110</v>
      </c>
      <c r="I188" s="0" t="s">
        <v>647</v>
      </c>
      <c r="J188" s="0" t="s">
        <v>648</v>
      </c>
      <c r="K188" s="0" t="s">
        <v>649</v>
      </c>
      <c r="L188" s="0" t="str">
        <f aca="false">HYPERLINK("https://www.ncbi.nlm.nih.gov/nuccore/CP000058.1?report=graph&amp;tracks=[key:gene_model_track,Options:GeneOnly]&amp;mk=58361:58380|offset_37|444444,58340:58359|offset_58|444444,58319:58338|offset_79|444444,58288:58307|offset_110|00cc00&amp;v=58160:58507&amp;c=444444", "offset 110")</f>
        <v>offset 110</v>
      </c>
    </row>
    <row r="189" customFormat="false" ht="12.8" hidden="false" customHeight="false" outlineLevel="0" collapsed="false">
      <c r="A189" s="0" t="s">
        <v>12</v>
      </c>
      <c r="B189" s="0" t="n">
        <v>59037</v>
      </c>
      <c r="C189" s="0" t="n">
        <v>59057</v>
      </c>
      <c r="D189" s="0" t="s">
        <v>650</v>
      </c>
      <c r="E189" s="0" t="s">
        <v>75</v>
      </c>
      <c r="F189" s="0" t="s">
        <v>90</v>
      </c>
      <c r="G189" s="0" t="s">
        <v>16</v>
      </c>
      <c r="H189" s="0" t="n">
        <v>21</v>
      </c>
      <c r="I189" s="0" t="s">
        <v>651</v>
      </c>
      <c r="J189" s="0" t="s">
        <v>652</v>
      </c>
      <c r="K189" s="0" t="s">
        <v>653</v>
      </c>
      <c r="L189" s="0" t="str">
        <f aca="false">HYPERLINK("https://www.ncbi.nlm.nih.gov/nuccore/CP000058.1?report=graph&amp;tracks=[key:gene_model_track,Options:GeneOnly]&amp;mk=59038:59057|offset_21|00cc00,59014:59033|offset_45|444444,58982:59001|offset_77|444444,58935:58954|offset_124|444444&amp;v=58837:59154&amp;c=444444", "offset 21")</f>
        <v>offset 21</v>
      </c>
    </row>
    <row r="190" customFormat="false" ht="12.8" hidden="false" customHeight="false" outlineLevel="0" collapsed="false">
      <c r="A190" s="0" t="s">
        <v>12</v>
      </c>
      <c r="B190" s="0" t="n">
        <v>59013</v>
      </c>
      <c r="C190" s="0" t="n">
        <v>59033</v>
      </c>
      <c r="D190" s="0" t="s">
        <v>650</v>
      </c>
      <c r="E190" s="0" t="s">
        <v>75</v>
      </c>
      <c r="F190" s="0" t="s">
        <v>90</v>
      </c>
      <c r="G190" s="0" t="s">
        <v>16</v>
      </c>
      <c r="H190" s="0" t="n">
        <v>45</v>
      </c>
      <c r="I190" s="0" t="s">
        <v>654</v>
      </c>
      <c r="J190" s="0" t="s">
        <v>655</v>
      </c>
      <c r="K190" s="0" t="s">
        <v>656</v>
      </c>
      <c r="L190" s="0" t="str">
        <f aca="false">HYPERLINK("https://www.ncbi.nlm.nih.gov/nuccore/CP000058.1?report=graph&amp;tracks=[key:gene_model_track,Options:GeneOnly]&amp;mk=59038:59057|offset_21|444444,59014:59033|offset_45|00cc00,58982:59001|offset_77|444444,58935:58954|offset_124|444444&amp;v=58837:59154&amp;c=444444", "offset 45")</f>
        <v>offset 45</v>
      </c>
    </row>
    <row r="191" customFormat="false" ht="12.8" hidden="false" customHeight="false" outlineLevel="0" collapsed="false">
      <c r="A191" s="0" t="s">
        <v>12</v>
      </c>
      <c r="B191" s="0" t="n">
        <v>58981</v>
      </c>
      <c r="C191" s="0" t="n">
        <v>59001</v>
      </c>
      <c r="D191" s="0" t="s">
        <v>650</v>
      </c>
      <c r="E191" s="0" t="s">
        <v>75</v>
      </c>
      <c r="F191" s="0" t="s">
        <v>90</v>
      </c>
      <c r="G191" s="0" t="s">
        <v>20</v>
      </c>
      <c r="H191" s="0" t="n">
        <v>77</v>
      </c>
      <c r="I191" s="0" t="s">
        <v>657</v>
      </c>
      <c r="J191" s="0" t="s">
        <v>658</v>
      </c>
      <c r="K191" s="0" t="s">
        <v>659</v>
      </c>
      <c r="L191" s="0" t="str">
        <f aca="false">HYPERLINK("https://www.ncbi.nlm.nih.gov/nuccore/CP000058.1?report=graph&amp;tracks=[key:gene_model_track,Options:GeneOnly]&amp;mk=59038:59057|offset_21|444444,59014:59033|offset_45|444444,58982:59001|offset_77|00cc00,58935:58954|offset_124|444444&amp;v=58837:59154&amp;c=444444", "offset 77")</f>
        <v>offset 77</v>
      </c>
    </row>
    <row r="192" customFormat="false" ht="12.8" hidden="false" customHeight="false" outlineLevel="0" collapsed="false">
      <c r="A192" s="0" t="s">
        <v>12</v>
      </c>
      <c r="B192" s="0" t="n">
        <v>58934</v>
      </c>
      <c r="C192" s="0" t="n">
        <v>58954</v>
      </c>
      <c r="D192" s="0" t="s">
        <v>650</v>
      </c>
      <c r="E192" s="0" t="s">
        <v>75</v>
      </c>
      <c r="F192" s="0" t="s">
        <v>90</v>
      </c>
      <c r="G192" s="0" t="s">
        <v>16</v>
      </c>
      <c r="H192" s="0" t="n">
        <v>124</v>
      </c>
      <c r="I192" s="0" t="s">
        <v>660</v>
      </c>
      <c r="J192" s="0" t="s">
        <v>661</v>
      </c>
      <c r="K192" s="0" t="s">
        <v>662</v>
      </c>
      <c r="L192" s="0" t="str">
        <f aca="false">HYPERLINK("https://www.ncbi.nlm.nih.gov/nuccore/CP000058.1?report=graph&amp;tracks=[key:gene_model_track,Options:GeneOnly]&amp;mk=59038:59057|offset_21|444444,59014:59033|offset_45|444444,58982:59001|offset_77|444444,58935:58954|offset_124|00cc00&amp;v=58837:59154&amp;c=444444", "offset 124")</f>
        <v>offset 124</v>
      </c>
    </row>
    <row r="193" customFormat="false" ht="12.8" hidden="false" customHeight="false" outlineLevel="0" collapsed="false">
      <c r="A193" s="0" t="s">
        <v>12</v>
      </c>
      <c r="B193" s="0" t="n">
        <v>61022</v>
      </c>
      <c r="C193" s="0" t="n">
        <v>61042</v>
      </c>
      <c r="D193" s="0" t="s">
        <v>663</v>
      </c>
      <c r="E193" s="0" t="s">
        <v>75</v>
      </c>
      <c r="F193" s="0" t="s">
        <v>90</v>
      </c>
      <c r="G193" s="0" t="s">
        <v>32</v>
      </c>
      <c r="H193" s="0" t="n">
        <v>8</v>
      </c>
      <c r="I193" s="0" t="s">
        <v>664</v>
      </c>
      <c r="J193" s="0" t="s">
        <v>665</v>
      </c>
      <c r="K193" s="0" t="s">
        <v>666</v>
      </c>
      <c r="L193" s="0" t="str">
        <f aca="false">HYPERLINK("https://www.ncbi.nlm.nih.gov/nuccore/CP000058.1?report=graph&amp;tracks=[key:gene_model_track,Options:GeneOnly]&amp;mk=61023:61042|offset_8|00cc00,60994:61013|offset_37|444444,60966:60985|offset_65|444444,60925:60944|offset_106|444444&amp;v=60822:61144&amp;c=444444", "offset 8")</f>
        <v>offset 8</v>
      </c>
    </row>
    <row r="194" customFormat="false" ht="12.8" hidden="false" customHeight="false" outlineLevel="0" collapsed="false">
      <c r="A194" s="0" t="s">
        <v>12</v>
      </c>
      <c r="B194" s="0" t="n">
        <v>60993</v>
      </c>
      <c r="C194" s="0" t="n">
        <v>61013</v>
      </c>
      <c r="D194" s="0" t="s">
        <v>663</v>
      </c>
      <c r="E194" s="0" t="s">
        <v>75</v>
      </c>
      <c r="F194" s="0" t="s">
        <v>90</v>
      </c>
      <c r="G194" s="0" t="s">
        <v>16</v>
      </c>
      <c r="H194" s="0" t="n">
        <v>37</v>
      </c>
      <c r="I194" s="0" t="s">
        <v>667</v>
      </c>
      <c r="J194" s="0" t="s">
        <v>668</v>
      </c>
      <c r="K194" s="0" t="s">
        <v>669</v>
      </c>
      <c r="L194" s="0" t="str">
        <f aca="false">HYPERLINK("https://www.ncbi.nlm.nih.gov/nuccore/CP000058.1?report=graph&amp;tracks=[key:gene_model_track,Options:GeneOnly]&amp;mk=61023:61042|offset_8|444444,60994:61013|offset_37|00cc00,60966:60985|offset_65|444444,60925:60944|offset_106|444444&amp;v=60822:61144&amp;c=444444", "offset 37")</f>
        <v>offset 37</v>
      </c>
    </row>
    <row r="195" customFormat="false" ht="12.8" hidden="false" customHeight="false" outlineLevel="0" collapsed="false">
      <c r="A195" s="0" t="s">
        <v>12</v>
      </c>
      <c r="B195" s="0" t="n">
        <v>60965</v>
      </c>
      <c r="C195" s="0" t="n">
        <v>60985</v>
      </c>
      <c r="D195" s="0" t="s">
        <v>663</v>
      </c>
      <c r="E195" s="0" t="s">
        <v>75</v>
      </c>
      <c r="F195" s="0" t="s">
        <v>90</v>
      </c>
      <c r="G195" s="0" t="s">
        <v>20</v>
      </c>
      <c r="H195" s="0" t="n">
        <v>65</v>
      </c>
      <c r="I195" s="0" t="s">
        <v>670</v>
      </c>
      <c r="J195" s="0" t="s">
        <v>671</v>
      </c>
      <c r="K195" s="0" t="s">
        <v>672</v>
      </c>
      <c r="L195" s="0" t="str">
        <f aca="false">HYPERLINK("https://www.ncbi.nlm.nih.gov/nuccore/CP000058.1?report=graph&amp;tracks=[key:gene_model_track,Options:GeneOnly]&amp;mk=61023:61042|offset_8|444444,60994:61013|offset_37|444444,60966:60985|offset_65|00cc00,60925:60944|offset_106|444444&amp;v=60822:61144&amp;c=444444", "offset 65")</f>
        <v>offset 65</v>
      </c>
    </row>
    <row r="196" customFormat="false" ht="12.8" hidden="false" customHeight="false" outlineLevel="0" collapsed="false">
      <c r="A196" s="0" t="s">
        <v>12</v>
      </c>
      <c r="B196" s="0" t="n">
        <v>60924</v>
      </c>
      <c r="C196" s="0" t="n">
        <v>60944</v>
      </c>
      <c r="D196" s="0" t="s">
        <v>663</v>
      </c>
      <c r="E196" s="0" t="s">
        <v>75</v>
      </c>
      <c r="F196" s="0" t="s">
        <v>90</v>
      </c>
      <c r="G196" s="0" t="s">
        <v>16</v>
      </c>
      <c r="H196" s="0" t="n">
        <v>106</v>
      </c>
      <c r="I196" s="0" t="s">
        <v>673</v>
      </c>
      <c r="J196" s="0" t="s">
        <v>674</v>
      </c>
      <c r="K196" s="0" t="s">
        <v>675</v>
      </c>
      <c r="L196" s="0" t="str">
        <f aca="false">HYPERLINK("https://www.ncbi.nlm.nih.gov/nuccore/CP000058.1?report=graph&amp;tracks=[key:gene_model_track,Options:GeneOnly]&amp;mk=61023:61042|offset_8|444444,60994:61013|offset_37|444444,60966:60985|offset_65|444444,60925:60944|offset_106|00cc00&amp;v=60822:61144&amp;c=444444", "offset 106")</f>
        <v>offset 106</v>
      </c>
    </row>
    <row r="197" customFormat="false" ht="12.8" hidden="false" customHeight="false" outlineLevel="0" collapsed="false">
      <c r="A197" s="0" t="s">
        <v>12</v>
      </c>
      <c r="B197" s="0" t="n">
        <v>61057</v>
      </c>
      <c r="C197" s="0" t="n">
        <v>61077</v>
      </c>
      <c r="D197" s="0" t="s">
        <v>676</v>
      </c>
      <c r="E197" s="0" t="s">
        <v>75</v>
      </c>
      <c r="F197" s="0" t="s">
        <v>15</v>
      </c>
      <c r="G197" s="0" t="s">
        <v>20</v>
      </c>
      <c r="H197" s="0" t="n">
        <v>6</v>
      </c>
      <c r="I197" s="0" t="s">
        <v>677</v>
      </c>
      <c r="J197" s="0" t="s">
        <v>678</v>
      </c>
      <c r="K197" s="0" t="s">
        <v>679</v>
      </c>
      <c r="L197" s="0" t="str">
        <f aca="false">HYPERLINK("https://www.ncbi.nlm.nih.gov/nuccore/CP000058.1?report=graph&amp;tracks=[key:gene_model_track,Options:GeneOnly]&amp;mk=61058:61077|offset_6|00cc00,61080:61099|offset_28|444444,61100:61119|offset_48|444444,61134:61153|offset_82|444444&amp;v=60857:61353&amp;c=444444", "offset 6")</f>
        <v>offset 6</v>
      </c>
    </row>
    <row r="198" customFormat="false" ht="12.8" hidden="false" customHeight="false" outlineLevel="0" collapsed="false">
      <c r="A198" s="0" t="s">
        <v>12</v>
      </c>
      <c r="B198" s="0" t="n">
        <v>61079</v>
      </c>
      <c r="C198" s="0" t="n">
        <v>61099</v>
      </c>
      <c r="D198" s="0" t="s">
        <v>676</v>
      </c>
      <c r="E198" s="0" t="s">
        <v>75</v>
      </c>
      <c r="F198" s="0" t="s">
        <v>15</v>
      </c>
      <c r="G198" s="0" t="s">
        <v>36</v>
      </c>
      <c r="H198" s="0" t="n">
        <v>28</v>
      </c>
      <c r="I198" s="0" t="s">
        <v>680</v>
      </c>
      <c r="J198" s="0" t="s">
        <v>681</v>
      </c>
      <c r="K198" s="0" t="s">
        <v>682</v>
      </c>
      <c r="L198" s="0" t="str">
        <f aca="false">HYPERLINK("https://www.ncbi.nlm.nih.gov/nuccore/CP000058.1?report=graph&amp;tracks=[key:gene_model_track,Options:GeneOnly]&amp;mk=61058:61077|offset_6|444444,61080:61099|offset_28|00cc00,61100:61119|offset_48|444444,61134:61153|offset_82|444444&amp;v=60857:61353&amp;c=444444", "offset 28")</f>
        <v>offset 28</v>
      </c>
    </row>
    <row r="199" customFormat="false" ht="12.8" hidden="false" customHeight="false" outlineLevel="0" collapsed="false">
      <c r="A199" s="0" t="s">
        <v>12</v>
      </c>
      <c r="B199" s="0" t="n">
        <v>61099</v>
      </c>
      <c r="C199" s="0" t="n">
        <v>61119</v>
      </c>
      <c r="D199" s="0" t="s">
        <v>676</v>
      </c>
      <c r="E199" s="0" t="s">
        <v>75</v>
      </c>
      <c r="F199" s="0" t="s">
        <v>15</v>
      </c>
      <c r="G199" s="0" t="s">
        <v>16</v>
      </c>
      <c r="H199" s="0" t="n">
        <v>48</v>
      </c>
      <c r="I199" s="0" t="s">
        <v>683</v>
      </c>
      <c r="J199" s="0" t="s">
        <v>684</v>
      </c>
      <c r="K199" s="0" t="s">
        <v>685</v>
      </c>
      <c r="L199" s="0" t="str">
        <f aca="false">HYPERLINK("https://www.ncbi.nlm.nih.gov/nuccore/CP000058.1?report=graph&amp;tracks=[key:gene_model_track,Options:GeneOnly]&amp;mk=61058:61077|offset_6|444444,61080:61099|offset_28|444444,61100:61119|offset_48|00cc00,61134:61153|offset_82|444444&amp;v=60857:61353&amp;c=444444", "offset 48")</f>
        <v>offset 48</v>
      </c>
    </row>
    <row r="200" customFormat="false" ht="12.8" hidden="false" customHeight="false" outlineLevel="0" collapsed="false">
      <c r="A200" s="0" t="s">
        <v>12</v>
      </c>
      <c r="B200" s="0" t="n">
        <v>61133</v>
      </c>
      <c r="C200" s="0" t="n">
        <v>61153</v>
      </c>
      <c r="D200" s="0" t="s">
        <v>676</v>
      </c>
      <c r="E200" s="0" t="s">
        <v>75</v>
      </c>
      <c r="F200" s="0" t="s">
        <v>15</v>
      </c>
      <c r="G200" s="0" t="s">
        <v>32</v>
      </c>
      <c r="H200" s="0" t="n">
        <v>82</v>
      </c>
      <c r="I200" s="0" t="s">
        <v>686</v>
      </c>
      <c r="J200" s="0" t="s">
        <v>687</v>
      </c>
      <c r="K200" s="0" t="s">
        <v>688</v>
      </c>
      <c r="L200" s="0" t="str">
        <f aca="false">HYPERLINK("https://www.ncbi.nlm.nih.gov/nuccore/CP000058.1?report=graph&amp;tracks=[key:gene_model_track,Options:GeneOnly]&amp;mk=61058:61077|offset_6|444444,61080:61099|offset_28|444444,61100:61119|offset_48|444444,61134:61153|offset_82|00cc00&amp;v=60857:61353&amp;c=444444", "offset 82")</f>
        <v>offset 82</v>
      </c>
    </row>
    <row r="201" customFormat="false" ht="12.8" hidden="false" customHeight="false" outlineLevel="0" collapsed="false">
      <c r="A201" s="0" t="s">
        <v>12</v>
      </c>
      <c r="B201" s="0" t="n">
        <v>62520</v>
      </c>
      <c r="C201" s="0" t="n">
        <v>62540</v>
      </c>
      <c r="D201" s="0" t="s">
        <v>689</v>
      </c>
      <c r="E201" s="0" t="s">
        <v>690</v>
      </c>
      <c r="F201" s="0" t="s">
        <v>90</v>
      </c>
      <c r="G201" s="0" t="s">
        <v>32</v>
      </c>
      <c r="H201" s="0" t="n">
        <v>10</v>
      </c>
      <c r="I201" s="0" t="s">
        <v>691</v>
      </c>
      <c r="J201" s="0" t="s">
        <v>692</v>
      </c>
      <c r="K201" s="0" t="s">
        <v>693</v>
      </c>
      <c r="L201" s="0" t="str">
        <f aca="false">HYPERLINK("https://www.ncbi.nlm.nih.gov/nuccore/CP000058.1?report=graph&amp;tracks=[key:gene_model_track,Options:GeneOnly]&amp;mk=62521:62540|offset_10|00cc00,62498:62517|offset_33|444444,62443:62462|offset_88|444444,62419:62438|offset_112|444444&amp;v=62320:62638&amp;c=444444", "offset 10")</f>
        <v>offset 10</v>
      </c>
    </row>
    <row r="202" customFormat="false" ht="12.8" hidden="false" customHeight="false" outlineLevel="0" collapsed="false">
      <c r="A202" s="0" t="s">
        <v>12</v>
      </c>
      <c r="B202" s="0" t="n">
        <v>62497</v>
      </c>
      <c r="C202" s="0" t="n">
        <v>62517</v>
      </c>
      <c r="D202" s="0" t="s">
        <v>689</v>
      </c>
      <c r="E202" s="0" t="s">
        <v>690</v>
      </c>
      <c r="F202" s="0" t="s">
        <v>90</v>
      </c>
      <c r="G202" s="0" t="s">
        <v>16</v>
      </c>
      <c r="H202" s="0" t="n">
        <v>33</v>
      </c>
      <c r="I202" s="0" t="s">
        <v>694</v>
      </c>
      <c r="J202" s="0" t="s">
        <v>695</v>
      </c>
      <c r="K202" s="0" t="s">
        <v>696</v>
      </c>
      <c r="L202" s="0" t="str">
        <f aca="false">HYPERLINK("https://www.ncbi.nlm.nih.gov/nuccore/CP000058.1?report=graph&amp;tracks=[key:gene_model_track,Options:GeneOnly]&amp;mk=62521:62540|offset_10|444444,62498:62517|offset_33|00cc00,62443:62462|offset_88|444444,62419:62438|offset_112|444444&amp;v=62320:62638&amp;c=444444", "offset 33")</f>
        <v>offset 33</v>
      </c>
    </row>
    <row r="203" customFormat="false" ht="12.8" hidden="false" customHeight="false" outlineLevel="0" collapsed="false">
      <c r="A203" s="0" t="s">
        <v>12</v>
      </c>
      <c r="B203" s="0" t="n">
        <v>62442</v>
      </c>
      <c r="C203" s="0" t="n">
        <v>62462</v>
      </c>
      <c r="D203" s="0" t="s">
        <v>689</v>
      </c>
      <c r="E203" s="0" t="s">
        <v>690</v>
      </c>
      <c r="F203" s="0" t="s">
        <v>90</v>
      </c>
      <c r="G203" s="0" t="s">
        <v>20</v>
      </c>
      <c r="H203" s="0" t="n">
        <v>88</v>
      </c>
      <c r="I203" s="0" t="s">
        <v>697</v>
      </c>
      <c r="J203" s="0" t="s">
        <v>698</v>
      </c>
      <c r="K203" s="0" t="s">
        <v>699</v>
      </c>
      <c r="L203" s="0" t="str">
        <f aca="false">HYPERLINK("https://www.ncbi.nlm.nih.gov/nuccore/CP000058.1?report=graph&amp;tracks=[key:gene_model_track,Options:GeneOnly]&amp;mk=62521:62540|offset_10|444444,62498:62517|offset_33|444444,62443:62462|offset_88|00cc00,62419:62438|offset_112|444444&amp;v=62320:62638&amp;c=444444", "offset 88")</f>
        <v>offset 88</v>
      </c>
    </row>
    <row r="204" customFormat="false" ht="12.8" hidden="false" customHeight="false" outlineLevel="0" collapsed="false">
      <c r="A204" s="0" t="s">
        <v>12</v>
      </c>
      <c r="B204" s="0" t="n">
        <v>62418</v>
      </c>
      <c r="C204" s="0" t="n">
        <v>62438</v>
      </c>
      <c r="D204" s="0" t="s">
        <v>689</v>
      </c>
      <c r="E204" s="0" t="s">
        <v>690</v>
      </c>
      <c r="F204" s="0" t="s">
        <v>90</v>
      </c>
      <c r="G204" s="0" t="s">
        <v>16</v>
      </c>
      <c r="H204" s="0" t="n">
        <v>112</v>
      </c>
      <c r="I204" s="0" t="s">
        <v>700</v>
      </c>
      <c r="J204" s="0" t="s">
        <v>701</v>
      </c>
      <c r="K204" s="0" t="s">
        <v>702</v>
      </c>
      <c r="L204" s="0" t="str">
        <f aca="false">HYPERLINK("https://www.ncbi.nlm.nih.gov/nuccore/CP000058.1?report=graph&amp;tracks=[key:gene_model_track,Options:GeneOnly]&amp;mk=62521:62540|offset_10|444444,62498:62517|offset_33|444444,62443:62462|offset_88|444444,62419:62438|offset_112|00cc00&amp;v=62320:62638&amp;c=444444", "offset 112")</f>
        <v>offset 112</v>
      </c>
    </row>
    <row r="205" customFormat="false" ht="12.8" hidden="false" customHeight="false" outlineLevel="0" collapsed="false">
      <c r="A205" s="0" t="s">
        <v>12</v>
      </c>
      <c r="B205" s="0" t="n">
        <v>62780</v>
      </c>
      <c r="C205" s="0" t="n">
        <v>62800</v>
      </c>
      <c r="D205" s="0" t="s">
        <v>703</v>
      </c>
      <c r="E205" s="0" t="s">
        <v>75</v>
      </c>
      <c r="F205" s="0" t="s">
        <v>15</v>
      </c>
      <c r="G205" s="0" t="s">
        <v>20</v>
      </c>
      <c r="H205" s="0" t="n">
        <v>14</v>
      </c>
      <c r="I205" s="0" t="s">
        <v>704</v>
      </c>
      <c r="J205" s="0" t="s">
        <v>705</v>
      </c>
      <c r="K205" s="0" t="s">
        <v>706</v>
      </c>
      <c r="L205" s="0" t="str">
        <f aca="false">HYPERLINK("https://www.ncbi.nlm.nih.gov/nuccore/CP000058.1?report=graph&amp;tracks=[key:gene_model_track,Options:GeneOnly]&amp;mk=62781:62800|offset_14|00cc00,62809:62828|offset_42|444444,62833:62852|offset_66|444444,62867:62886|offset_100|444444&amp;v=62580:63086&amp;c=444444", "offset 14")</f>
        <v>offset 14</v>
      </c>
    </row>
    <row r="206" customFormat="false" ht="12.8" hidden="false" customHeight="false" outlineLevel="0" collapsed="false">
      <c r="A206" s="0" t="s">
        <v>12</v>
      </c>
      <c r="B206" s="0" t="n">
        <v>62808</v>
      </c>
      <c r="C206" s="0" t="n">
        <v>62828</v>
      </c>
      <c r="D206" s="0" t="s">
        <v>703</v>
      </c>
      <c r="E206" s="0" t="s">
        <v>75</v>
      </c>
      <c r="F206" s="0" t="s">
        <v>15</v>
      </c>
      <c r="G206" s="0" t="s">
        <v>36</v>
      </c>
      <c r="H206" s="0" t="n">
        <v>42</v>
      </c>
      <c r="I206" s="0" t="s">
        <v>707</v>
      </c>
      <c r="J206" s="0" t="s">
        <v>708</v>
      </c>
      <c r="K206" s="0" t="s">
        <v>709</v>
      </c>
      <c r="L206" s="0" t="str">
        <f aca="false">HYPERLINK("https://www.ncbi.nlm.nih.gov/nuccore/CP000058.1?report=graph&amp;tracks=[key:gene_model_track,Options:GeneOnly]&amp;mk=62781:62800|offset_14|444444,62809:62828|offset_42|00cc00,62833:62852|offset_66|444444,62867:62886|offset_100|444444&amp;v=62580:63086&amp;c=444444", "offset 42")</f>
        <v>offset 42</v>
      </c>
    </row>
    <row r="207" customFormat="false" ht="12.8" hidden="false" customHeight="false" outlineLevel="0" collapsed="false">
      <c r="A207" s="0" t="s">
        <v>12</v>
      </c>
      <c r="B207" s="0" t="n">
        <v>62832</v>
      </c>
      <c r="C207" s="0" t="n">
        <v>62852</v>
      </c>
      <c r="D207" s="0" t="s">
        <v>703</v>
      </c>
      <c r="E207" s="0" t="s">
        <v>75</v>
      </c>
      <c r="F207" s="0" t="s">
        <v>15</v>
      </c>
      <c r="G207" s="0" t="s">
        <v>32</v>
      </c>
      <c r="H207" s="0" t="n">
        <v>66</v>
      </c>
      <c r="I207" s="0" t="s">
        <v>710</v>
      </c>
      <c r="J207" s="0" t="s">
        <v>711</v>
      </c>
      <c r="K207" s="0" t="s">
        <v>712</v>
      </c>
      <c r="L207" s="0" t="str">
        <f aca="false">HYPERLINK("https://www.ncbi.nlm.nih.gov/nuccore/CP000058.1?report=graph&amp;tracks=[key:gene_model_track,Options:GeneOnly]&amp;mk=62781:62800|offset_14|444444,62809:62828|offset_42|444444,62833:62852|offset_66|00cc00,62867:62886|offset_100|444444&amp;v=62580:63086&amp;c=444444", "offset 66")</f>
        <v>offset 66</v>
      </c>
    </row>
    <row r="208" customFormat="false" ht="12.8" hidden="false" customHeight="false" outlineLevel="0" collapsed="false">
      <c r="A208" s="0" t="s">
        <v>12</v>
      </c>
      <c r="B208" s="0" t="n">
        <v>62866</v>
      </c>
      <c r="C208" s="0" t="n">
        <v>62886</v>
      </c>
      <c r="D208" s="0" t="s">
        <v>703</v>
      </c>
      <c r="E208" s="0" t="s">
        <v>75</v>
      </c>
      <c r="F208" s="0" t="s">
        <v>15</v>
      </c>
      <c r="G208" s="0" t="s">
        <v>20</v>
      </c>
      <c r="H208" s="0" t="n">
        <v>100</v>
      </c>
      <c r="I208" s="0" t="s">
        <v>713</v>
      </c>
      <c r="J208" s="0" t="s">
        <v>714</v>
      </c>
      <c r="K208" s="0" t="s">
        <v>715</v>
      </c>
      <c r="L208" s="0" t="str">
        <f aca="false">HYPERLINK("https://www.ncbi.nlm.nih.gov/nuccore/CP000058.1?report=graph&amp;tracks=[key:gene_model_track,Options:GeneOnly]&amp;mk=62781:62800|offset_14|444444,62809:62828|offset_42|444444,62833:62852|offset_66|444444,62867:62886|offset_100|00cc00&amp;v=62580:63086&amp;c=444444", "offset 100")</f>
        <v>offset 100</v>
      </c>
    </row>
    <row r="209" customFormat="false" ht="12.8" hidden="false" customHeight="false" outlineLevel="0" collapsed="false">
      <c r="A209" s="0" t="s">
        <v>12</v>
      </c>
      <c r="B209" s="0" t="n">
        <v>63980</v>
      </c>
      <c r="C209" s="0" t="n">
        <v>64000</v>
      </c>
      <c r="D209" s="0" t="s">
        <v>716</v>
      </c>
      <c r="E209" s="0" t="s">
        <v>717</v>
      </c>
      <c r="F209" s="0" t="s">
        <v>90</v>
      </c>
      <c r="G209" s="0" t="s">
        <v>32</v>
      </c>
      <c r="H209" s="0" t="n">
        <v>1</v>
      </c>
      <c r="I209" s="0" t="s">
        <v>718</v>
      </c>
      <c r="J209" s="0" t="s">
        <v>719</v>
      </c>
      <c r="K209" s="0" t="s">
        <v>720</v>
      </c>
      <c r="L209" s="0" t="str">
        <f aca="false">HYPERLINK("https://www.ncbi.nlm.nih.gov/nuccore/CP000058.1?report=graph&amp;tracks=[key:gene_model_track,Options:GeneOnly]&amp;mk=63981:64000|offset_1|00cc00,63905:63924|offset_77|444444,63885:63904|offset_97|444444,63862:63881|offset_120|444444&amp;v=63780:64081&amp;c=444444", "offset 1")</f>
        <v>offset 1</v>
      </c>
    </row>
    <row r="210" customFormat="false" ht="12.8" hidden="false" customHeight="false" outlineLevel="0" collapsed="false">
      <c r="A210" s="0" t="s">
        <v>12</v>
      </c>
      <c r="B210" s="0" t="n">
        <v>63904</v>
      </c>
      <c r="C210" s="0" t="n">
        <v>63924</v>
      </c>
      <c r="D210" s="0" t="s">
        <v>716</v>
      </c>
      <c r="E210" s="0" t="s">
        <v>717</v>
      </c>
      <c r="F210" s="0" t="s">
        <v>90</v>
      </c>
      <c r="G210" s="0" t="s">
        <v>16</v>
      </c>
      <c r="H210" s="0" t="n">
        <v>77</v>
      </c>
      <c r="I210" s="0" t="s">
        <v>721</v>
      </c>
      <c r="J210" s="0" t="s">
        <v>722</v>
      </c>
      <c r="K210" s="0" t="s">
        <v>723</v>
      </c>
      <c r="L210" s="0" t="str">
        <f aca="false">HYPERLINK("https://www.ncbi.nlm.nih.gov/nuccore/CP000058.1?report=graph&amp;tracks=[key:gene_model_track,Options:GeneOnly]&amp;mk=63981:64000|offset_1|444444,63905:63924|offset_77|00cc00,63885:63904|offset_97|444444,63862:63881|offset_120|444444&amp;v=63780:64081&amp;c=444444", "offset 77")</f>
        <v>offset 77</v>
      </c>
    </row>
    <row r="211" customFormat="false" ht="12.8" hidden="false" customHeight="false" outlineLevel="0" collapsed="false">
      <c r="A211" s="0" t="s">
        <v>12</v>
      </c>
      <c r="B211" s="0" t="n">
        <v>63884</v>
      </c>
      <c r="C211" s="0" t="n">
        <v>63904</v>
      </c>
      <c r="D211" s="0" t="s">
        <v>716</v>
      </c>
      <c r="E211" s="0" t="s">
        <v>717</v>
      </c>
      <c r="F211" s="0" t="s">
        <v>90</v>
      </c>
      <c r="G211" s="0" t="s">
        <v>20</v>
      </c>
      <c r="H211" s="0" t="n">
        <v>97</v>
      </c>
      <c r="I211" s="0" t="s">
        <v>724</v>
      </c>
      <c r="J211" s="0" t="s">
        <v>725</v>
      </c>
      <c r="K211" s="0" t="s">
        <v>726</v>
      </c>
      <c r="L211" s="0" t="str">
        <f aca="false">HYPERLINK("https://www.ncbi.nlm.nih.gov/nuccore/CP000058.1?report=graph&amp;tracks=[key:gene_model_track,Options:GeneOnly]&amp;mk=63981:64000|offset_1|444444,63905:63924|offset_77|444444,63885:63904|offset_97|00cc00,63862:63881|offset_120|444444&amp;v=63780:64081&amp;c=444444", "offset 97")</f>
        <v>offset 97</v>
      </c>
    </row>
    <row r="212" customFormat="false" ht="12.8" hidden="false" customHeight="false" outlineLevel="0" collapsed="false">
      <c r="A212" s="0" t="s">
        <v>12</v>
      </c>
      <c r="B212" s="0" t="n">
        <v>63861</v>
      </c>
      <c r="C212" s="0" t="n">
        <v>63881</v>
      </c>
      <c r="D212" s="0" t="s">
        <v>716</v>
      </c>
      <c r="E212" s="0" t="s">
        <v>717</v>
      </c>
      <c r="F212" s="0" t="s">
        <v>90</v>
      </c>
      <c r="G212" s="0" t="s">
        <v>36</v>
      </c>
      <c r="H212" s="0" t="n">
        <v>120</v>
      </c>
      <c r="I212" s="0" t="s">
        <v>727</v>
      </c>
      <c r="J212" s="0" t="s">
        <v>728</v>
      </c>
      <c r="K212" s="0" t="s">
        <v>729</v>
      </c>
      <c r="L212" s="0" t="str">
        <f aca="false">HYPERLINK("https://www.ncbi.nlm.nih.gov/nuccore/CP000058.1?report=graph&amp;tracks=[key:gene_model_track,Options:GeneOnly]&amp;mk=63981:64000|offset_1|444444,63905:63924|offset_77|444444,63885:63904|offset_97|444444,63862:63881|offset_120|00cc00&amp;v=63780:64081&amp;c=444444", "offset 120")</f>
        <v>offset 120</v>
      </c>
    </row>
    <row r="213" customFormat="false" ht="12.8" hidden="false" customHeight="false" outlineLevel="0" collapsed="false">
      <c r="A213" s="0" t="s">
        <v>12</v>
      </c>
      <c r="B213" s="0" t="n">
        <v>64131</v>
      </c>
      <c r="C213" s="0" t="n">
        <v>64151</v>
      </c>
      <c r="D213" s="0" t="s">
        <v>730</v>
      </c>
      <c r="E213" s="0" t="s">
        <v>75</v>
      </c>
      <c r="F213" s="0" t="s">
        <v>90</v>
      </c>
      <c r="G213" s="0" t="s">
        <v>20</v>
      </c>
      <c r="H213" s="0" t="n">
        <v>20</v>
      </c>
      <c r="I213" s="0" t="s">
        <v>731</v>
      </c>
      <c r="J213" s="0" t="s">
        <v>732</v>
      </c>
      <c r="K213" s="0" t="s">
        <v>733</v>
      </c>
      <c r="L213" s="0" t="str">
        <f aca="false">HYPERLINK("https://www.ncbi.nlm.nih.gov/nuccore/CP000058.1?report=graph&amp;tracks=[key:gene_model_track,Options:GeneOnly]&amp;mk=64132:64151|offset_20|00cc00,64091:64110|offset_61|444444,64063:64082|offset_89|444444,64030:64049|offset_122|444444&amp;v=63931:64249&amp;c=444444", "offset 20")</f>
        <v>offset 20</v>
      </c>
    </row>
    <row r="214" customFormat="false" ht="12.8" hidden="false" customHeight="false" outlineLevel="0" collapsed="false">
      <c r="A214" s="0" t="s">
        <v>12</v>
      </c>
      <c r="B214" s="0" t="n">
        <v>64090</v>
      </c>
      <c r="C214" s="0" t="n">
        <v>64110</v>
      </c>
      <c r="D214" s="0" t="s">
        <v>730</v>
      </c>
      <c r="E214" s="0" t="s">
        <v>75</v>
      </c>
      <c r="F214" s="0" t="s">
        <v>90</v>
      </c>
      <c r="G214" s="0" t="s">
        <v>36</v>
      </c>
      <c r="H214" s="0" t="n">
        <v>61</v>
      </c>
      <c r="I214" s="0" t="s">
        <v>734</v>
      </c>
      <c r="J214" s="0" t="s">
        <v>735</v>
      </c>
      <c r="K214" s="0" t="s">
        <v>736</v>
      </c>
      <c r="L214" s="0" t="str">
        <f aca="false">HYPERLINK("https://www.ncbi.nlm.nih.gov/nuccore/CP000058.1?report=graph&amp;tracks=[key:gene_model_track,Options:GeneOnly]&amp;mk=64132:64151|offset_20|444444,64091:64110|offset_61|00cc00,64063:64082|offset_89|444444,64030:64049|offset_122|444444&amp;v=63931:64249&amp;c=444444", "offset 61")</f>
        <v>offset 61</v>
      </c>
    </row>
    <row r="215" customFormat="false" ht="12.8" hidden="false" customHeight="false" outlineLevel="0" collapsed="false">
      <c r="A215" s="0" t="s">
        <v>12</v>
      </c>
      <c r="B215" s="0" t="n">
        <v>64062</v>
      </c>
      <c r="C215" s="0" t="n">
        <v>64082</v>
      </c>
      <c r="D215" s="0" t="s">
        <v>730</v>
      </c>
      <c r="E215" s="0" t="s">
        <v>75</v>
      </c>
      <c r="F215" s="0" t="s">
        <v>90</v>
      </c>
      <c r="G215" s="0" t="s">
        <v>20</v>
      </c>
      <c r="H215" s="0" t="n">
        <v>89</v>
      </c>
      <c r="I215" s="0" t="s">
        <v>737</v>
      </c>
      <c r="J215" s="0" t="s">
        <v>738</v>
      </c>
      <c r="K215" s="0" t="s">
        <v>739</v>
      </c>
      <c r="L215" s="0" t="str">
        <f aca="false">HYPERLINK("https://www.ncbi.nlm.nih.gov/nuccore/CP000058.1?report=graph&amp;tracks=[key:gene_model_track,Options:GeneOnly]&amp;mk=64132:64151|offset_20|444444,64091:64110|offset_61|444444,64063:64082|offset_89|00cc00,64030:64049|offset_122|444444&amp;v=63931:64249&amp;c=444444", "offset 89")</f>
        <v>offset 89</v>
      </c>
    </row>
    <row r="216" customFormat="false" ht="12.8" hidden="false" customHeight="false" outlineLevel="0" collapsed="false">
      <c r="A216" s="0" t="s">
        <v>12</v>
      </c>
      <c r="B216" s="0" t="n">
        <v>64029</v>
      </c>
      <c r="C216" s="0" t="n">
        <v>64049</v>
      </c>
      <c r="D216" s="0" t="s">
        <v>730</v>
      </c>
      <c r="E216" s="0" t="s">
        <v>75</v>
      </c>
      <c r="F216" s="0" t="s">
        <v>90</v>
      </c>
      <c r="G216" s="0" t="s">
        <v>16</v>
      </c>
      <c r="H216" s="0" t="n">
        <v>122</v>
      </c>
      <c r="I216" s="0" t="s">
        <v>740</v>
      </c>
      <c r="J216" s="0" t="s">
        <v>741</v>
      </c>
      <c r="K216" s="0" t="s">
        <v>742</v>
      </c>
      <c r="L216" s="0" t="str">
        <f aca="false">HYPERLINK("https://www.ncbi.nlm.nih.gov/nuccore/CP000058.1?report=graph&amp;tracks=[key:gene_model_track,Options:GeneOnly]&amp;mk=64132:64151|offset_20|444444,64091:64110|offset_61|444444,64063:64082|offset_89|444444,64030:64049|offset_122|00cc00&amp;v=63931:64249&amp;c=444444", "offset 122")</f>
        <v>offset 122</v>
      </c>
    </row>
    <row r="217" customFormat="false" ht="12.8" hidden="false" customHeight="false" outlineLevel="0" collapsed="false">
      <c r="A217" s="0" t="s">
        <v>12</v>
      </c>
      <c r="B217" s="0" t="n">
        <v>64742</v>
      </c>
      <c r="C217" s="0" t="n">
        <v>64762</v>
      </c>
      <c r="D217" s="0" t="s">
        <v>743</v>
      </c>
      <c r="E217" s="0" t="s">
        <v>75</v>
      </c>
      <c r="F217" s="0" t="s">
        <v>90</v>
      </c>
      <c r="G217" s="0" t="s">
        <v>20</v>
      </c>
      <c r="H217" s="0" t="n">
        <v>1</v>
      </c>
      <c r="I217" s="0" t="s">
        <v>744</v>
      </c>
      <c r="J217" s="0" t="s">
        <v>745</v>
      </c>
      <c r="K217" s="0" t="s">
        <v>746</v>
      </c>
      <c r="L217" s="0" t="str">
        <f aca="false">HYPERLINK("https://www.ncbi.nlm.nih.gov/nuccore/CP000058.1?report=graph&amp;tracks=[key:gene_model_track,Options:GeneOnly]&amp;mk=64743:64762|offset_1|00cc00,64721:64740|offset_23|444444,64700:64719|offset_44|444444,64658:64677|offset_86|444444&amp;v=64542:64877&amp;c=444444", "offset 1")</f>
        <v>offset 1</v>
      </c>
    </row>
    <row r="218" customFormat="false" ht="12.8" hidden="false" customHeight="false" outlineLevel="0" collapsed="false">
      <c r="A218" s="0" t="s">
        <v>12</v>
      </c>
      <c r="B218" s="0" t="n">
        <v>64720</v>
      </c>
      <c r="C218" s="0" t="n">
        <v>64740</v>
      </c>
      <c r="D218" s="0" t="s">
        <v>743</v>
      </c>
      <c r="E218" s="0" t="s">
        <v>75</v>
      </c>
      <c r="F218" s="0" t="s">
        <v>90</v>
      </c>
      <c r="G218" s="0" t="s">
        <v>20</v>
      </c>
      <c r="H218" s="0" t="n">
        <v>23</v>
      </c>
      <c r="I218" s="0" t="s">
        <v>747</v>
      </c>
      <c r="J218" s="0" t="s">
        <v>748</v>
      </c>
      <c r="K218" s="0" t="s">
        <v>749</v>
      </c>
      <c r="L218" s="0" t="str">
        <f aca="false">HYPERLINK("https://www.ncbi.nlm.nih.gov/nuccore/CP000058.1?report=graph&amp;tracks=[key:gene_model_track,Options:GeneOnly]&amp;mk=64743:64762|offset_1|444444,64721:64740|offset_23|00cc00,64700:64719|offset_44|444444,64658:64677|offset_86|444444&amp;v=64542:64877&amp;c=444444", "offset 23")</f>
        <v>offset 23</v>
      </c>
    </row>
    <row r="219" customFormat="false" ht="12.8" hidden="false" customHeight="false" outlineLevel="0" collapsed="false">
      <c r="A219" s="0" t="s">
        <v>12</v>
      </c>
      <c r="B219" s="0" t="n">
        <v>64699</v>
      </c>
      <c r="C219" s="0" t="n">
        <v>64719</v>
      </c>
      <c r="D219" s="0" t="s">
        <v>743</v>
      </c>
      <c r="E219" s="0" t="s">
        <v>75</v>
      </c>
      <c r="F219" s="0" t="s">
        <v>90</v>
      </c>
      <c r="G219" s="0" t="s">
        <v>20</v>
      </c>
      <c r="H219" s="0" t="n">
        <v>44</v>
      </c>
      <c r="I219" s="0" t="s">
        <v>750</v>
      </c>
      <c r="J219" s="0" t="s">
        <v>751</v>
      </c>
      <c r="K219" s="0" t="s">
        <v>752</v>
      </c>
      <c r="L219" s="0" t="str">
        <f aca="false">HYPERLINK("https://www.ncbi.nlm.nih.gov/nuccore/CP000058.1?report=graph&amp;tracks=[key:gene_model_track,Options:GeneOnly]&amp;mk=64743:64762|offset_1|444444,64721:64740|offset_23|444444,64700:64719|offset_44|00cc00,64658:64677|offset_86|444444&amp;v=64542:64877&amp;c=444444", "offset 44")</f>
        <v>offset 44</v>
      </c>
    </row>
    <row r="220" customFormat="false" ht="12.8" hidden="false" customHeight="false" outlineLevel="0" collapsed="false">
      <c r="A220" s="0" t="s">
        <v>12</v>
      </c>
      <c r="B220" s="0" t="n">
        <v>64657</v>
      </c>
      <c r="C220" s="0" t="n">
        <v>64677</v>
      </c>
      <c r="D220" s="0" t="s">
        <v>743</v>
      </c>
      <c r="E220" s="0" t="s">
        <v>75</v>
      </c>
      <c r="F220" s="0" t="s">
        <v>90</v>
      </c>
      <c r="G220" s="0" t="s">
        <v>20</v>
      </c>
      <c r="H220" s="0" t="n">
        <v>86</v>
      </c>
      <c r="I220" s="0" t="s">
        <v>753</v>
      </c>
      <c r="J220" s="0" t="s">
        <v>754</v>
      </c>
      <c r="K220" s="0" t="s">
        <v>755</v>
      </c>
      <c r="L220" s="0" t="str">
        <f aca="false">HYPERLINK("https://www.ncbi.nlm.nih.gov/nuccore/CP000058.1?report=graph&amp;tracks=[key:gene_model_track,Options:GeneOnly]&amp;mk=64743:64762|offset_1|444444,64721:64740|offset_23|444444,64700:64719|offset_44|444444,64658:64677|offset_86|00cc00&amp;v=64542:64877&amp;c=444444", "offset 86")</f>
        <v>offset 86</v>
      </c>
    </row>
    <row r="221" customFormat="false" ht="12.8" hidden="false" customHeight="false" outlineLevel="0" collapsed="false">
      <c r="A221" s="0" t="s">
        <v>12</v>
      </c>
      <c r="B221" s="0" t="n">
        <v>66080</v>
      </c>
      <c r="C221" s="0" t="n">
        <v>66100</v>
      </c>
      <c r="D221" s="0" t="s">
        <v>756</v>
      </c>
      <c r="E221" s="0" t="s">
        <v>75</v>
      </c>
      <c r="F221" s="0" t="s">
        <v>90</v>
      </c>
      <c r="G221" s="0" t="s">
        <v>32</v>
      </c>
      <c r="H221" s="0" t="n">
        <v>64</v>
      </c>
      <c r="I221" s="0" t="s">
        <v>757</v>
      </c>
      <c r="J221" s="0" t="s">
        <v>758</v>
      </c>
      <c r="K221" s="0" t="s">
        <v>759</v>
      </c>
      <c r="L221" s="0" t="str">
        <f aca="false">HYPERLINK("https://www.ncbi.nlm.nih.gov/nuccore/CP000058.1?report=graph&amp;tracks=[key:gene_model_track,Options:GeneOnly]&amp;mk=66081:66100|offset_64|00cc00,66048:66067|offset_97|444444,65972:65991|offset_173|444444,65933:65952|offset_212|444444&amp;v=65880:66152&amp;c=444444", "offset 64")</f>
        <v>offset 64</v>
      </c>
    </row>
    <row r="222" customFormat="false" ht="12.8" hidden="false" customHeight="false" outlineLevel="0" collapsed="false">
      <c r="A222" s="0" t="s">
        <v>12</v>
      </c>
      <c r="B222" s="0" t="n">
        <v>66047</v>
      </c>
      <c r="C222" s="0" t="n">
        <v>66067</v>
      </c>
      <c r="D222" s="0" t="s">
        <v>756</v>
      </c>
      <c r="E222" s="0" t="s">
        <v>75</v>
      </c>
      <c r="F222" s="0" t="s">
        <v>90</v>
      </c>
      <c r="G222" s="0" t="s">
        <v>20</v>
      </c>
      <c r="H222" s="0" t="n">
        <v>97</v>
      </c>
      <c r="I222" s="0" t="s">
        <v>760</v>
      </c>
      <c r="J222" s="0" t="s">
        <v>761</v>
      </c>
      <c r="K222" s="0" t="s">
        <v>762</v>
      </c>
      <c r="L222" s="0" t="str">
        <f aca="false">HYPERLINK("https://www.ncbi.nlm.nih.gov/nuccore/CP000058.1?report=graph&amp;tracks=[key:gene_model_track,Options:GeneOnly]&amp;mk=66081:66100|offset_64|444444,66048:66067|offset_97|00cc00,65972:65991|offset_173|444444,65933:65952|offset_212|444444&amp;v=65880:66152&amp;c=444444", "offset 97")</f>
        <v>offset 97</v>
      </c>
    </row>
    <row r="223" customFormat="false" ht="12.8" hidden="false" customHeight="false" outlineLevel="0" collapsed="false">
      <c r="A223" s="0" t="s">
        <v>12</v>
      </c>
      <c r="B223" s="0" t="n">
        <v>65971</v>
      </c>
      <c r="C223" s="0" t="n">
        <v>65991</v>
      </c>
      <c r="D223" s="0" t="s">
        <v>756</v>
      </c>
      <c r="E223" s="0" t="s">
        <v>75</v>
      </c>
      <c r="F223" s="0" t="s">
        <v>90</v>
      </c>
      <c r="G223" s="0" t="s">
        <v>20</v>
      </c>
      <c r="H223" s="0" t="n">
        <v>173</v>
      </c>
      <c r="I223" s="0" t="s">
        <v>763</v>
      </c>
      <c r="J223" s="0" t="s">
        <v>764</v>
      </c>
      <c r="K223" s="0" t="s">
        <v>765</v>
      </c>
      <c r="L223" s="0" t="str">
        <f aca="false">HYPERLINK("https://www.ncbi.nlm.nih.gov/nuccore/CP000058.1?report=graph&amp;tracks=[key:gene_model_track,Options:GeneOnly]&amp;mk=66081:66100|offset_64|444444,66048:66067|offset_97|444444,65972:65991|offset_173|00cc00,65933:65952|offset_212|444444&amp;v=65880:66152&amp;c=444444", "offset 173")</f>
        <v>offset 173</v>
      </c>
    </row>
    <row r="224" customFormat="false" ht="12.8" hidden="false" customHeight="false" outlineLevel="0" collapsed="false">
      <c r="A224" s="0" t="s">
        <v>12</v>
      </c>
      <c r="B224" s="0" t="n">
        <v>65932</v>
      </c>
      <c r="C224" s="0" t="n">
        <v>65952</v>
      </c>
      <c r="D224" s="0" t="s">
        <v>756</v>
      </c>
      <c r="E224" s="0" t="s">
        <v>75</v>
      </c>
      <c r="F224" s="0" t="s">
        <v>90</v>
      </c>
      <c r="G224" s="0" t="s">
        <v>16</v>
      </c>
      <c r="H224" s="0" t="n">
        <v>212</v>
      </c>
      <c r="I224" s="0" t="s">
        <v>766</v>
      </c>
      <c r="J224" s="0" t="s">
        <v>767</v>
      </c>
      <c r="K224" s="0" t="s">
        <v>768</v>
      </c>
      <c r="L224" s="0" t="str">
        <f aca="false">HYPERLINK("https://www.ncbi.nlm.nih.gov/nuccore/CP000058.1?report=graph&amp;tracks=[key:gene_model_track,Options:GeneOnly]&amp;mk=66081:66100|offset_64|444444,66048:66067|offset_97|444444,65972:65991|offset_173|444444,65933:65952|offset_212|00cc00&amp;v=65880:66152&amp;c=444444", "offset 212")</f>
        <v>offset 212</v>
      </c>
    </row>
    <row r="225" customFormat="false" ht="12.8" hidden="false" customHeight="false" outlineLevel="0" collapsed="false">
      <c r="A225" s="0" t="s">
        <v>12</v>
      </c>
      <c r="B225" s="0" t="n">
        <v>67246</v>
      </c>
      <c r="C225" s="0" t="n">
        <v>67266</v>
      </c>
      <c r="D225" s="0" t="s">
        <v>769</v>
      </c>
      <c r="E225" s="0" t="s">
        <v>75</v>
      </c>
      <c r="F225" s="0" t="s">
        <v>90</v>
      </c>
      <c r="G225" s="0" t="s">
        <v>20</v>
      </c>
      <c r="H225" s="0" t="n">
        <v>34</v>
      </c>
      <c r="I225" s="0" t="s">
        <v>770</v>
      </c>
      <c r="J225" s="0" t="s">
        <v>771</v>
      </c>
      <c r="K225" s="0" t="s">
        <v>772</v>
      </c>
      <c r="L225" s="0" t="str">
        <f aca="false">HYPERLINK("https://www.ncbi.nlm.nih.gov/nuccore/CP000058.1?report=graph&amp;tracks=[key:gene_model_track,Options:GeneOnly]&amp;mk=67247:67266|offset_34|00cc00,67212:67231|offset_69|444444,67184:67203|offset_97|444444,67147:67166|offset_134|444444&amp;v=67046:67366&amp;c=444444", "offset 34")</f>
        <v>offset 34</v>
      </c>
    </row>
    <row r="226" customFormat="false" ht="12.8" hidden="false" customHeight="false" outlineLevel="0" collapsed="false">
      <c r="A226" s="0" t="s">
        <v>12</v>
      </c>
      <c r="B226" s="0" t="n">
        <v>67211</v>
      </c>
      <c r="C226" s="0" t="n">
        <v>67231</v>
      </c>
      <c r="D226" s="0" t="s">
        <v>769</v>
      </c>
      <c r="E226" s="0" t="s">
        <v>75</v>
      </c>
      <c r="F226" s="0" t="s">
        <v>90</v>
      </c>
      <c r="G226" s="0" t="s">
        <v>20</v>
      </c>
      <c r="H226" s="0" t="n">
        <v>69</v>
      </c>
      <c r="I226" s="0" t="s">
        <v>773</v>
      </c>
      <c r="J226" s="0" t="s">
        <v>774</v>
      </c>
      <c r="K226" s="0" t="s">
        <v>775</v>
      </c>
      <c r="L226" s="0" t="str">
        <f aca="false">HYPERLINK("https://www.ncbi.nlm.nih.gov/nuccore/CP000058.1?report=graph&amp;tracks=[key:gene_model_track,Options:GeneOnly]&amp;mk=67247:67266|offset_34|444444,67212:67231|offset_69|00cc00,67184:67203|offset_97|444444,67147:67166|offset_134|444444&amp;v=67046:67366&amp;c=444444", "offset 69")</f>
        <v>offset 69</v>
      </c>
    </row>
    <row r="227" customFormat="false" ht="12.8" hidden="false" customHeight="false" outlineLevel="0" collapsed="false">
      <c r="A227" s="0" t="s">
        <v>12</v>
      </c>
      <c r="B227" s="0" t="n">
        <v>67183</v>
      </c>
      <c r="C227" s="0" t="n">
        <v>67203</v>
      </c>
      <c r="D227" s="0" t="s">
        <v>769</v>
      </c>
      <c r="E227" s="0" t="s">
        <v>75</v>
      </c>
      <c r="F227" s="0" t="s">
        <v>90</v>
      </c>
      <c r="G227" s="0" t="s">
        <v>16</v>
      </c>
      <c r="H227" s="0" t="n">
        <v>97</v>
      </c>
      <c r="I227" s="0" t="s">
        <v>776</v>
      </c>
      <c r="J227" s="0" t="s">
        <v>777</v>
      </c>
      <c r="K227" s="0" t="s">
        <v>778</v>
      </c>
      <c r="L227" s="0" t="str">
        <f aca="false">HYPERLINK("https://www.ncbi.nlm.nih.gov/nuccore/CP000058.1?report=graph&amp;tracks=[key:gene_model_track,Options:GeneOnly]&amp;mk=67247:67266|offset_34|444444,67212:67231|offset_69|444444,67184:67203|offset_97|00cc00,67147:67166|offset_134|444444&amp;v=67046:67366&amp;c=444444", "offset 97")</f>
        <v>offset 97</v>
      </c>
    </row>
    <row r="228" customFormat="false" ht="12.8" hidden="false" customHeight="false" outlineLevel="0" collapsed="false">
      <c r="A228" s="0" t="s">
        <v>12</v>
      </c>
      <c r="B228" s="0" t="n">
        <v>67146</v>
      </c>
      <c r="C228" s="0" t="n">
        <v>67166</v>
      </c>
      <c r="D228" s="0" t="s">
        <v>769</v>
      </c>
      <c r="E228" s="0" t="s">
        <v>75</v>
      </c>
      <c r="F228" s="0" t="s">
        <v>90</v>
      </c>
      <c r="G228" s="0" t="s">
        <v>20</v>
      </c>
      <c r="H228" s="0" t="n">
        <v>134</v>
      </c>
      <c r="I228" s="0" t="s">
        <v>779</v>
      </c>
      <c r="J228" s="0" t="s">
        <v>780</v>
      </c>
      <c r="K228" s="0" t="s">
        <v>781</v>
      </c>
      <c r="L228" s="0" t="str">
        <f aca="false">HYPERLINK("https://www.ncbi.nlm.nih.gov/nuccore/CP000058.1?report=graph&amp;tracks=[key:gene_model_track,Options:GeneOnly]&amp;mk=67247:67266|offset_34|444444,67212:67231|offset_69|444444,67184:67203|offset_97|444444,67147:67166|offset_134|00cc00&amp;v=67046:67366&amp;c=444444", "offset 134")</f>
        <v>offset 134</v>
      </c>
    </row>
    <row r="229" customFormat="false" ht="12.8" hidden="false" customHeight="false" outlineLevel="0" collapsed="false">
      <c r="A229" s="0" t="s">
        <v>12</v>
      </c>
      <c r="B229" s="0" t="n">
        <v>68079</v>
      </c>
      <c r="C229" s="0" t="n">
        <v>68099</v>
      </c>
      <c r="D229" s="0" t="s">
        <v>782</v>
      </c>
      <c r="E229" s="0" t="s">
        <v>783</v>
      </c>
      <c r="F229" s="0" t="s">
        <v>90</v>
      </c>
      <c r="G229" s="0" t="s">
        <v>20</v>
      </c>
      <c r="H229" s="0" t="n">
        <v>10</v>
      </c>
      <c r="I229" s="0" t="s">
        <v>784</v>
      </c>
      <c r="J229" s="0" t="s">
        <v>785</v>
      </c>
      <c r="K229" s="0" t="s">
        <v>786</v>
      </c>
      <c r="L229" s="0" t="str">
        <f aca="false">HYPERLINK("https://www.ncbi.nlm.nih.gov/nuccore/CP000058.1?report=graph&amp;tracks=[key:gene_model_track,Options:GeneOnly]&amp;mk=68080:68099|offset_10|00cc00,68058:68077|offset_32|444444,68020:68039|offset_70|444444,67995:68014|offset_95|444444&amp;v=67879:68214&amp;c=444444", "offset 10")</f>
        <v>offset 10</v>
      </c>
    </row>
    <row r="230" customFormat="false" ht="12.8" hidden="false" customHeight="false" outlineLevel="0" collapsed="false">
      <c r="A230" s="0" t="s">
        <v>12</v>
      </c>
      <c r="B230" s="0" t="n">
        <v>68057</v>
      </c>
      <c r="C230" s="0" t="n">
        <v>68077</v>
      </c>
      <c r="D230" s="0" t="s">
        <v>782</v>
      </c>
      <c r="E230" s="0" t="s">
        <v>783</v>
      </c>
      <c r="F230" s="0" t="s">
        <v>90</v>
      </c>
      <c r="G230" s="0" t="s">
        <v>36</v>
      </c>
      <c r="H230" s="0" t="n">
        <v>32</v>
      </c>
      <c r="I230" s="0" t="s">
        <v>787</v>
      </c>
      <c r="J230" s="0" t="s">
        <v>788</v>
      </c>
      <c r="K230" s="0" t="s">
        <v>789</v>
      </c>
      <c r="L230" s="0" t="str">
        <f aca="false">HYPERLINK("https://www.ncbi.nlm.nih.gov/nuccore/CP000058.1?report=graph&amp;tracks=[key:gene_model_track,Options:GeneOnly]&amp;mk=68080:68099|offset_10|444444,68058:68077|offset_32|00cc00,68020:68039|offset_70|444444,67995:68014|offset_95|444444&amp;v=67879:68214&amp;c=444444", "offset 32")</f>
        <v>offset 32</v>
      </c>
    </row>
    <row r="231" customFormat="false" ht="12.8" hidden="false" customHeight="false" outlineLevel="0" collapsed="false">
      <c r="A231" s="0" t="s">
        <v>12</v>
      </c>
      <c r="B231" s="0" t="n">
        <v>68019</v>
      </c>
      <c r="C231" s="0" t="n">
        <v>68039</v>
      </c>
      <c r="D231" s="0" t="s">
        <v>782</v>
      </c>
      <c r="E231" s="0" t="s">
        <v>783</v>
      </c>
      <c r="F231" s="0" t="s">
        <v>90</v>
      </c>
      <c r="G231" s="0" t="s">
        <v>16</v>
      </c>
      <c r="H231" s="0" t="n">
        <v>70</v>
      </c>
      <c r="I231" s="0" t="s">
        <v>790</v>
      </c>
      <c r="J231" s="0" t="s">
        <v>791</v>
      </c>
      <c r="K231" s="0" t="s">
        <v>792</v>
      </c>
      <c r="L231" s="0" t="str">
        <f aca="false">HYPERLINK("https://www.ncbi.nlm.nih.gov/nuccore/CP000058.1?report=graph&amp;tracks=[key:gene_model_track,Options:GeneOnly]&amp;mk=68080:68099|offset_10|444444,68058:68077|offset_32|444444,68020:68039|offset_70|00cc00,67995:68014|offset_95|444444&amp;v=67879:68214&amp;c=444444", "offset 70")</f>
        <v>offset 70</v>
      </c>
    </row>
    <row r="232" customFormat="false" ht="12.8" hidden="false" customHeight="false" outlineLevel="0" collapsed="false">
      <c r="A232" s="0" t="s">
        <v>12</v>
      </c>
      <c r="B232" s="0" t="n">
        <v>67994</v>
      </c>
      <c r="C232" s="0" t="n">
        <v>68014</v>
      </c>
      <c r="D232" s="0" t="s">
        <v>782</v>
      </c>
      <c r="E232" s="0" t="s">
        <v>783</v>
      </c>
      <c r="F232" s="0" t="s">
        <v>90</v>
      </c>
      <c r="G232" s="0" t="s">
        <v>20</v>
      </c>
      <c r="H232" s="0" t="n">
        <v>95</v>
      </c>
      <c r="I232" s="0" t="s">
        <v>793</v>
      </c>
      <c r="J232" s="0" t="s">
        <v>794</v>
      </c>
      <c r="K232" s="0" t="s">
        <v>795</v>
      </c>
      <c r="L232" s="0" t="str">
        <f aca="false">HYPERLINK("https://www.ncbi.nlm.nih.gov/nuccore/CP000058.1?report=graph&amp;tracks=[key:gene_model_track,Options:GeneOnly]&amp;mk=68080:68099|offset_10|444444,68058:68077|offset_32|444444,68020:68039|offset_70|444444,67995:68014|offset_95|00cc00&amp;v=67879:68214&amp;c=444444", "offset 95")</f>
        <v>offset 95</v>
      </c>
    </row>
    <row r="233" customFormat="false" ht="12.8" hidden="false" customHeight="false" outlineLevel="0" collapsed="false">
      <c r="A233" s="0" t="s">
        <v>12</v>
      </c>
      <c r="B233" s="0" t="n">
        <v>69054</v>
      </c>
      <c r="C233" s="0" t="n">
        <v>69074</v>
      </c>
      <c r="D233" s="0" t="s">
        <v>796</v>
      </c>
      <c r="E233" s="0" t="s">
        <v>797</v>
      </c>
      <c r="F233" s="0" t="s">
        <v>90</v>
      </c>
      <c r="G233" s="0" t="s">
        <v>16</v>
      </c>
      <c r="H233" s="0" t="n">
        <v>18</v>
      </c>
      <c r="I233" s="0" t="s">
        <v>798</v>
      </c>
      <c r="J233" s="0" t="s">
        <v>799</v>
      </c>
      <c r="K233" s="0" t="s">
        <v>800</v>
      </c>
      <c r="L233" s="0" t="str">
        <f aca="false">HYPERLINK("https://www.ncbi.nlm.nih.gov/nuccore/CP000058.1?report=graph&amp;tracks=[key:gene_model_track,Options:GeneOnly]&amp;mk=69055:69074|offset_18|00cc00,69021:69040|offset_52|444444,69000:69019|offset_73|444444,68952:68971|offset_121|444444&amp;v=68854:69171&amp;c=444444", "offset 18")</f>
        <v>offset 18</v>
      </c>
    </row>
    <row r="234" customFormat="false" ht="12.8" hidden="false" customHeight="false" outlineLevel="0" collapsed="false">
      <c r="A234" s="0" t="s">
        <v>12</v>
      </c>
      <c r="B234" s="0" t="n">
        <v>69020</v>
      </c>
      <c r="C234" s="0" t="n">
        <v>69040</v>
      </c>
      <c r="D234" s="0" t="s">
        <v>796</v>
      </c>
      <c r="E234" s="0" t="s">
        <v>797</v>
      </c>
      <c r="F234" s="0" t="s">
        <v>90</v>
      </c>
      <c r="G234" s="0" t="s">
        <v>20</v>
      </c>
      <c r="H234" s="0" t="n">
        <v>52</v>
      </c>
      <c r="I234" s="0" t="s">
        <v>801</v>
      </c>
      <c r="J234" s="0" t="s">
        <v>802</v>
      </c>
      <c r="K234" s="0" t="s">
        <v>803</v>
      </c>
      <c r="L234" s="0" t="str">
        <f aca="false">HYPERLINK("https://www.ncbi.nlm.nih.gov/nuccore/CP000058.1?report=graph&amp;tracks=[key:gene_model_track,Options:GeneOnly]&amp;mk=69055:69074|offset_18|444444,69021:69040|offset_52|00cc00,69000:69019|offset_73|444444,68952:68971|offset_121|444444&amp;v=68854:69171&amp;c=444444", "offset 52")</f>
        <v>offset 52</v>
      </c>
    </row>
    <row r="235" customFormat="false" ht="12.8" hidden="false" customHeight="false" outlineLevel="0" collapsed="false">
      <c r="A235" s="0" t="s">
        <v>12</v>
      </c>
      <c r="B235" s="0" t="n">
        <v>68999</v>
      </c>
      <c r="C235" s="0" t="n">
        <v>69019</v>
      </c>
      <c r="D235" s="0" t="s">
        <v>796</v>
      </c>
      <c r="E235" s="0" t="s">
        <v>797</v>
      </c>
      <c r="F235" s="0" t="s">
        <v>90</v>
      </c>
      <c r="G235" s="0" t="s">
        <v>32</v>
      </c>
      <c r="H235" s="0" t="n">
        <v>73</v>
      </c>
      <c r="I235" s="0" t="s">
        <v>804</v>
      </c>
      <c r="J235" s="0" t="s">
        <v>805</v>
      </c>
      <c r="K235" s="0" t="s">
        <v>806</v>
      </c>
      <c r="L235" s="0" t="str">
        <f aca="false">HYPERLINK("https://www.ncbi.nlm.nih.gov/nuccore/CP000058.1?report=graph&amp;tracks=[key:gene_model_track,Options:GeneOnly]&amp;mk=69055:69074|offset_18|444444,69021:69040|offset_52|444444,69000:69019|offset_73|00cc00,68952:68971|offset_121|444444&amp;v=68854:69171&amp;c=444444", "offset 73")</f>
        <v>offset 73</v>
      </c>
    </row>
    <row r="236" customFormat="false" ht="12.8" hidden="false" customHeight="false" outlineLevel="0" collapsed="false">
      <c r="A236" s="0" t="s">
        <v>12</v>
      </c>
      <c r="B236" s="0" t="n">
        <v>68951</v>
      </c>
      <c r="C236" s="0" t="n">
        <v>68971</v>
      </c>
      <c r="D236" s="0" t="s">
        <v>796</v>
      </c>
      <c r="E236" s="0" t="s">
        <v>797</v>
      </c>
      <c r="F236" s="0" t="s">
        <v>90</v>
      </c>
      <c r="G236" s="0" t="s">
        <v>36</v>
      </c>
      <c r="H236" s="0" t="n">
        <v>121</v>
      </c>
      <c r="I236" s="0" t="s">
        <v>807</v>
      </c>
      <c r="J236" s="0" t="s">
        <v>808</v>
      </c>
      <c r="K236" s="0" t="s">
        <v>809</v>
      </c>
      <c r="L236" s="0" t="str">
        <f aca="false">HYPERLINK("https://www.ncbi.nlm.nih.gov/nuccore/CP000058.1?report=graph&amp;tracks=[key:gene_model_track,Options:GeneOnly]&amp;mk=69055:69074|offset_18|444444,69021:69040|offset_52|444444,69000:69019|offset_73|444444,68952:68971|offset_121|00cc00&amp;v=68854:69171&amp;c=444444", "offset 121")</f>
        <v>offset 121</v>
      </c>
    </row>
    <row r="237" customFormat="false" ht="12.8" hidden="false" customHeight="false" outlineLevel="0" collapsed="false">
      <c r="A237" s="0" t="s">
        <v>12</v>
      </c>
      <c r="B237" s="0" t="n">
        <v>69146</v>
      </c>
      <c r="C237" s="0" t="n">
        <v>69166</v>
      </c>
      <c r="D237" s="0" t="s">
        <v>810</v>
      </c>
      <c r="E237" s="0" t="s">
        <v>75</v>
      </c>
      <c r="F237" s="0" t="s">
        <v>15</v>
      </c>
      <c r="G237" s="0" t="s">
        <v>16</v>
      </c>
      <c r="H237" s="0" t="n">
        <v>27</v>
      </c>
      <c r="I237" s="0" t="s">
        <v>811</v>
      </c>
      <c r="J237" s="0" t="s">
        <v>812</v>
      </c>
      <c r="K237" s="0" t="s">
        <v>813</v>
      </c>
      <c r="L237" s="0" t="str">
        <f aca="false">HYPERLINK("https://www.ncbi.nlm.nih.gov/nuccore/CP000058.1?report=graph&amp;tracks=[key:gene_model_track,Options:GeneOnly]&amp;mk=69147:69166|offset_27|00cc00&amp;v=68946:69366&amp;c=444444", "offset 27")</f>
        <v>offset 27</v>
      </c>
    </row>
    <row r="238" customFormat="false" ht="12.8" hidden="false" customHeight="false" outlineLevel="0" collapsed="false">
      <c r="A238" s="0" t="s">
        <v>12</v>
      </c>
      <c r="B238" s="0" t="n">
        <v>69976</v>
      </c>
      <c r="C238" s="0" t="n">
        <v>69996</v>
      </c>
      <c r="D238" s="0" t="s">
        <v>814</v>
      </c>
      <c r="E238" s="0" t="s">
        <v>815</v>
      </c>
      <c r="F238" s="0" t="s">
        <v>90</v>
      </c>
      <c r="G238" s="0" t="s">
        <v>36</v>
      </c>
      <c r="H238" s="0" t="n">
        <v>30</v>
      </c>
      <c r="I238" s="0" t="s">
        <v>816</v>
      </c>
      <c r="J238" s="0" t="s">
        <v>817</v>
      </c>
      <c r="K238" s="0" t="s">
        <v>818</v>
      </c>
      <c r="L238" s="0" t="str">
        <f aca="false">HYPERLINK("https://www.ncbi.nlm.nih.gov/nuccore/CP000058.1?report=graph&amp;tracks=[key:gene_model_track,Options:GeneOnly]&amp;mk=69977:69996|offset_30|00cc00,69954:69973|offset_53|444444,69914:69933|offset_93|444444,69889:69908|offset_118|444444&amp;v=69776:70108&amp;c=444444", "offset 30")</f>
        <v>offset 30</v>
      </c>
    </row>
    <row r="239" customFormat="false" ht="12.8" hidden="false" customHeight="false" outlineLevel="0" collapsed="false">
      <c r="A239" s="0" t="s">
        <v>12</v>
      </c>
      <c r="B239" s="0" t="n">
        <v>69953</v>
      </c>
      <c r="C239" s="0" t="n">
        <v>69973</v>
      </c>
      <c r="D239" s="0" t="s">
        <v>814</v>
      </c>
      <c r="E239" s="0" t="s">
        <v>815</v>
      </c>
      <c r="F239" s="0" t="s">
        <v>90</v>
      </c>
      <c r="G239" s="0" t="s">
        <v>16</v>
      </c>
      <c r="H239" s="0" t="n">
        <v>53</v>
      </c>
      <c r="I239" s="0" t="s">
        <v>819</v>
      </c>
      <c r="J239" s="0" t="s">
        <v>820</v>
      </c>
      <c r="K239" s="0" t="s">
        <v>821</v>
      </c>
      <c r="L239" s="0" t="str">
        <f aca="false">HYPERLINK("https://www.ncbi.nlm.nih.gov/nuccore/CP000058.1?report=graph&amp;tracks=[key:gene_model_track,Options:GeneOnly]&amp;mk=69977:69996|offset_30|444444,69954:69973|offset_53|00cc00,69914:69933|offset_93|444444,69889:69908|offset_118|444444&amp;v=69776:70108&amp;c=444444", "offset 53")</f>
        <v>offset 53</v>
      </c>
    </row>
    <row r="240" customFormat="false" ht="12.8" hidden="false" customHeight="false" outlineLevel="0" collapsed="false">
      <c r="A240" s="0" t="s">
        <v>12</v>
      </c>
      <c r="B240" s="0" t="n">
        <v>69913</v>
      </c>
      <c r="C240" s="0" t="n">
        <v>69933</v>
      </c>
      <c r="D240" s="0" t="s">
        <v>814</v>
      </c>
      <c r="E240" s="0" t="s">
        <v>815</v>
      </c>
      <c r="F240" s="0" t="s">
        <v>90</v>
      </c>
      <c r="G240" s="0" t="s">
        <v>36</v>
      </c>
      <c r="H240" s="0" t="n">
        <v>93</v>
      </c>
      <c r="I240" s="0" t="s">
        <v>822</v>
      </c>
      <c r="J240" s="0" t="s">
        <v>823</v>
      </c>
      <c r="K240" s="0" t="s">
        <v>824</v>
      </c>
      <c r="L240" s="0" t="str">
        <f aca="false">HYPERLINK("https://www.ncbi.nlm.nih.gov/nuccore/CP000058.1?report=graph&amp;tracks=[key:gene_model_track,Options:GeneOnly]&amp;mk=69977:69996|offset_30|444444,69954:69973|offset_53|444444,69914:69933|offset_93|00cc00,69889:69908|offset_118|444444&amp;v=69776:70108&amp;c=444444", "offset 93")</f>
        <v>offset 93</v>
      </c>
    </row>
    <row r="241" customFormat="false" ht="12.8" hidden="false" customHeight="false" outlineLevel="0" collapsed="false">
      <c r="A241" s="0" t="s">
        <v>12</v>
      </c>
      <c r="B241" s="0" t="n">
        <v>69888</v>
      </c>
      <c r="C241" s="0" t="n">
        <v>69908</v>
      </c>
      <c r="D241" s="0" t="s">
        <v>814</v>
      </c>
      <c r="E241" s="0" t="s">
        <v>815</v>
      </c>
      <c r="F241" s="0" t="s">
        <v>90</v>
      </c>
      <c r="G241" s="0" t="s">
        <v>20</v>
      </c>
      <c r="H241" s="0" t="n">
        <v>118</v>
      </c>
      <c r="I241" s="0" t="s">
        <v>825</v>
      </c>
      <c r="J241" s="0" t="s">
        <v>826</v>
      </c>
      <c r="K241" s="0" t="s">
        <v>827</v>
      </c>
      <c r="L241" s="0" t="str">
        <f aca="false">HYPERLINK("https://www.ncbi.nlm.nih.gov/nuccore/CP000058.1?report=graph&amp;tracks=[key:gene_model_track,Options:GeneOnly]&amp;mk=69977:69996|offset_30|444444,69954:69973|offset_53|444444,69914:69933|offset_93|444444,69889:69908|offset_118|00cc00&amp;v=69776:70108&amp;c=444444", "offset 118")</f>
        <v>offset 118</v>
      </c>
    </row>
    <row r="242" customFormat="false" ht="12.8" hidden="false" customHeight="false" outlineLevel="0" collapsed="false">
      <c r="A242" s="0" t="s">
        <v>12</v>
      </c>
      <c r="B242" s="0" t="n">
        <v>71070</v>
      </c>
      <c r="C242" s="0" t="n">
        <v>71090</v>
      </c>
      <c r="D242" s="0" t="s">
        <v>828</v>
      </c>
      <c r="E242" s="0" t="s">
        <v>829</v>
      </c>
      <c r="F242" s="0" t="s">
        <v>90</v>
      </c>
      <c r="G242" s="0" t="s">
        <v>20</v>
      </c>
      <c r="H242" s="0" t="n">
        <v>15</v>
      </c>
      <c r="I242" s="0" t="s">
        <v>830</v>
      </c>
      <c r="J242" s="0" t="s">
        <v>831</v>
      </c>
      <c r="K242" s="0" t="s">
        <v>832</v>
      </c>
      <c r="L242" s="0" t="str">
        <f aca="false">HYPERLINK("https://www.ncbi.nlm.nih.gov/nuccore/CP000058.1?report=graph&amp;tracks=[key:gene_model_track,Options:GeneOnly]&amp;mk=71071:71090|offset_15|00cc00,71050:71069|offset_36|444444,71027:71046|offset_59|444444,70942:70961|offset_144|444444&amp;v=70870:71161&amp;c=444444", "offset 15")</f>
        <v>offset 15</v>
      </c>
    </row>
    <row r="243" customFormat="false" ht="12.8" hidden="false" customHeight="false" outlineLevel="0" collapsed="false">
      <c r="A243" s="0" t="s">
        <v>12</v>
      </c>
      <c r="B243" s="0" t="n">
        <v>71049</v>
      </c>
      <c r="C243" s="0" t="n">
        <v>71069</v>
      </c>
      <c r="D243" s="0" t="s">
        <v>828</v>
      </c>
      <c r="E243" s="0" t="s">
        <v>829</v>
      </c>
      <c r="F243" s="0" t="s">
        <v>90</v>
      </c>
      <c r="G243" s="0" t="s">
        <v>20</v>
      </c>
      <c r="H243" s="0" t="n">
        <v>36</v>
      </c>
      <c r="I243" s="0" t="s">
        <v>833</v>
      </c>
      <c r="J243" s="0" t="s">
        <v>834</v>
      </c>
      <c r="K243" s="0" t="s">
        <v>835</v>
      </c>
      <c r="L243" s="0" t="str">
        <f aca="false">HYPERLINK("https://www.ncbi.nlm.nih.gov/nuccore/CP000058.1?report=graph&amp;tracks=[key:gene_model_track,Options:GeneOnly]&amp;mk=71071:71090|offset_15|444444,71050:71069|offset_36|00cc00,71027:71046|offset_59|444444,70942:70961|offset_144|444444&amp;v=70870:71161&amp;c=444444", "offset 36")</f>
        <v>offset 36</v>
      </c>
    </row>
    <row r="244" customFormat="false" ht="12.8" hidden="false" customHeight="false" outlineLevel="0" collapsed="false">
      <c r="A244" s="0" t="s">
        <v>12</v>
      </c>
      <c r="B244" s="0" t="n">
        <v>71026</v>
      </c>
      <c r="C244" s="0" t="n">
        <v>71046</v>
      </c>
      <c r="D244" s="0" t="s">
        <v>828</v>
      </c>
      <c r="E244" s="0" t="s">
        <v>829</v>
      </c>
      <c r="F244" s="0" t="s">
        <v>90</v>
      </c>
      <c r="G244" s="0" t="s">
        <v>20</v>
      </c>
      <c r="H244" s="0" t="n">
        <v>59</v>
      </c>
      <c r="I244" s="0" t="s">
        <v>836</v>
      </c>
      <c r="J244" s="0" t="s">
        <v>837</v>
      </c>
      <c r="K244" s="0" t="s">
        <v>838</v>
      </c>
      <c r="L244" s="0" t="str">
        <f aca="false">HYPERLINK("https://www.ncbi.nlm.nih.gov/nuccore/CP000058.1?report=graph&amp;tracks=[key:gene_model_track,Options:GeneOnly]&amp;mk=71071:71090|offset_15|444444,71050:71069|offset_36|444444,71027:71046|offset_59|00cc00,70942:70961|offset_144|444444&amp;v=70870:71161&amp;c=444444", "offset 59")</f>
        <v>offset 59</v>
      </c>
    </row>
    <row r="245" customFormat="false" ht="12.8" hidden="false" customHeight="false" outlineLevel="0" collapsed="false">
      <c r="A245" s="0" t="s">
        <v>12</v>
      </c>
      <c r="B245" s="0" t="n">
        <v>70941</v>
      </c>
      <c r="C245" s="0" t="n">
        <v>70961</v>
      </c>
      <c r="D245" s="0" t="s">
        <v>828</v>
      </c>
      <c r="E245" s="0" t="s">
        <v>829</v>
      </c>
      <c r="F245" s="0" t="s">
        <v>90</v>
      </c>
      <c r="G245" s="0" t="s">
        <v>16</v>
      </c>
      <c r="H245" s="0" t="n">
        <v>144</v>
      </c>
      <c r="I245" s="0" t="s">
        <v>839</v>
      </c>
      <c r="J245" s="0" t="s">
        <v>840</v>
      </c>
      <c r="K245" s="0" t="s">
        <v>841</v>
      </c>
      <c r="L245" s="0" t="str">
        <f aca="false">HYPERLINK("https://www.ncbi.nlm.nih.gov/nuccore/CP000058.1?report=graph&amp;tracks=[key:gene_model_track,Options:GeneOnly]&amp;mk=71071:71090|offset_15|444444,71050:71069|offset_36|444444,71027:71046|offset_59|444444,70942:70961|offset_144|00cc00&amp;v=70870:71161&amp;c=444444", "offset 144")</f>
        <v>offset 144</v>
      </c>
    </row>
    <row r="246" customFormat="false" ht="12.8" hidden="false" customHeight="false" outlineLevel="0" collapsed="false">
      <c r="A246" s="0" t="s">
        <v>12</v>
      </c>
      <c r="B246" s="0" t="n">
        <v>71239</v>
      </c>
      <c r="C246" s="0" t="n">
        <v>71259</v>
      </c>
      <c r="D246" s="0" t="s">
        <v>842</v>
      </c>
      <c r="E246" s="0" t="s">
        <v>843</v>
      </c>
      <c r="F246" s="0" t="s">
        <v>15</v>
      </c>
      <c r="G246" s="0" t="s">
        <v>32</v>
      </c>
      <c r="H246" s="0" t="n">
        <v>1</v>
      </c>
      <c r="I246" s="0" t="s">
        <v>844</v>
      </c>
      <c r="J246" s="0" t="s">
        <v>845</v>
      </c>
      <c r="K246" s="0" t="s">
        <v>846</v>
      </c>
      <c r="L246" s="0" t="str">
        <f aca="false">HYPERLINK("https://www.ncbi.nlm.nih.gov/nuccore/CP000058.1?report=graph&amp;tracks=[key:gene_model_track,Options:GeneOnly]&amp;mk=71240:71259|offset_1|00cc00,71267:71286|offset_28|444444,71290:71309|offset_51|444444,71321:71340|offset_82|444444&amp;v=71039:71540&amp;c=444444", "offset 1")</f>
        <v>offset 1</v>
      </c>
    </row>
    <row r="247" customFormat="false" ht="12.8" hidden="false" customHeight="false" outlineLevel="0" collapsed="false">
      <c r="A247" s="0" t="s">
        <v>12</v>
      </c>
      <c r="B247" s="0" t="n">
        <v>71266</v>
      </c>
      <c r="C247" s="0" t="n">
        <v>71286</v>
      </c>
      <c r="D247" s="0" t="s">
        <v>842</v>
      </c>
      <c r="E247" s="0" t="s">
        <v>843</v>
      </c>
      <c r="F247" s="0" t="s">
        <v>15</v>
      </c>
      <c r="G247" s="0" t="s">
        <v>20</v>
      </c>
      <c r="H247" s="0" t="n">
        <v>28</v>
      </c>
      <c r="I247" s="0" t="s">
        <v>847</v>
      </c>
      <c r="J247" s="0" t="s">
        <v>848</v>
      </c>
      <c r="K247" s="0" t="s">
        <v>849</v>
      </c>
      <c r="L247" s="0" t="str">
        <f aca="false">HYPERLINK("https://www.ncbi.nlm.nih.gov/nuccore/CP000058.1?report=graph&amp;tracks=[key:gene_model_track,Options:GeneOnly]&amp;mk=71240:71259|offset_1|444444,71267:71286|offset_28|00cc00,71290:71309|offset_51|444444,71321:71340|offset_82|444444&amp;v=71039:71540&amp;c=444444", "offset 28")</f>
        <v>offset 28</v>
      </c>
    </row>
    <row r="248" customFormat="false" ht="12.8" hidden="false" customHeight="false" outlineLevel="0" collapsed="false">
      <c r="A248" s="0" t="s">
        <v>12</v>
      </c>
      <c r="B248" s="0" t="n">
        <v>71289</v>
      </c>
      <c r="C248" s="0" t="n">
        <v>71309</v>
      </c>
      <c r="D248" s="0" t="s">
        <v>842</v>
      </c>
      <c r="E248" s="0" t="s">
        <v>843</v>
      </c>
      <c r="F248" s="0" t="s">
        <v>15</v>
      </c>
      <c r="G248" s="0" t="s">
        <v>36</v>
      </c>
      <c r="H248" s="0" t="n">
        <v>51</v>
      </c>
      <c r="I248" s="0" t="s">
        <v>850</v>
      </c>
      <c r="J248" s="0" t="s">
        <v>851</v>
      </c>
      <c r="K248" s="0" t="s">
        <v>852</v>
      </c>
      <c r="L248" s="0" t="str">
        <f aca="false">HYPERLINK("https://www.ncbi.nlm.nih.gov/nuccore/CP000058.1?report=graph&amp;tracks=[key:gene_model_track,Options:GeneOnly]&amp;mk=71240:71259|offset_1|444444,71267:71286|offset_28|444444,71290:71309|offset_51|00cc00,71321:71340|offset_82|444444&amp;v=71039:71540&amp;c=444444", "offset 51")</f>
        <v>offset 51</v>
      </c>
    </row>
    <row r="249" customFormat="false" ht="12.8" hidden="false" customHeight="false" outlineLevel="0" collapsed="false">
      <c r="A249" s="0" t="s">
        <v>12</v>
      </c>
      <c r="B249" s="0" t="n">
        <v>71320</v>
      </c>
      <c r="C249" s="0" t="n">
        <v>71340</v>
      </c>
      <c r="D249" s="0" t="s">
        <v>842</v>
      </c>
      <c r="E249" s="0" t="s">
        <v>843</v>
      </c>
      <c r="F249" s="0" t="s">
        <v>15</v>
      </c>
      <c r="G249" s="0" t="s">
        <v>20</v>
      </c>
      <c r="H249" s="0" t="n">
        <v>82</v>
      </c>
      <c r="I249" s="0" t="s">
        <v>853</v>
      </c>
      <c r="J249" s="0" t="s">
        <v>854</v>
      </c>
      <c r="K249" s="0" t="s">
        <v>855</v>
      </c>
      <c r="L249" s="0" t="str">
        <f aca="false">HYPERLINK("https://www.ncbi.nlm.nih.gov/nuccore/CP000058.1?report=graph&amp;tracks=[key:gene_model_track,Options:GeneOnly]&amp;mk=71240:71259|offset_1|444444,71267:71286|offset_28|444444,71290:71309|offset_51|444444,71321:71340|offset_82|00cc00&amp;v=71039:71540&amp;c=444444", "offset 82")</f>
        <v>offset 82</v>
      </c>
    </row>
    <row r="250" customFormat="false" ht="12.8" hidden="false" customHeight="false" outlineLevel="0" collapsed="false">
      <c r="A250" s="0" t="s">
        <v>12</v>
      </c>
      <c r="B250" s="0" t="n">
        <v>73091</v>
      </c>
      <c r="C250" s="0" t="n">
        <v>73111</v>
      </c>
      <c r="D250" s="0" t="s">
        <v>856</v>
      </c>
      <c r="E250" s="0" t="s">
        <v>75</v>
      </c>
      <c r="F250" s="0" t="s">
        <v>15</v>
      </c>
      <c r="G250" s="0" t="s">
        <v>16</v>
      </c>
      <c r="H250" s="0" t="n">
        <v>0</v>
      </c>
      <c r="I250" s="0" t="s">
        <v>857</v>
      </c>
      <c r="J250" s="0" t="s">
        <v>858</v>
      </c>
      <c r="K250" s="0" t="s">
        <v>859</v>
      </c>
      <c r="L250" s="0" t="str">
        <f aca="false">HYPERLINK("https://www.ncbi.nlm.nih.gov/nuccore/CP000058.1?report=graph&amp;tracks=[key:gene_model_track,Options:GeneOnly]&amp;mk=73092:73111|offset_0|00cc00,73174:73193|offset_82|444444,73216:73235|offset_124|444444,73288:73307|offset_196|444444&amp;v=72891:73507&amp;c=444444", "offset 0")</f>
        <v>offset 0</v>
      </c>
    </row>
    <row r="251" customFormat="false" ht="12.8" hidden="false" customHeight="false" outlineLevel="0" collapsed="false">
      <c r="A251" s="0" t="s">
        <v>12</v>
      </c>
      <c r="B251" s="0" t="n">
        <v>73173</v>
      </c>
      <c r="C251" s="0" t="n">
        <v>73193</v>
      </c>
      <c r="D251" s="0" t="s">
        <v>856</v>
      </c>
      <c r="E251" s="0" t="s">
        <v>75</v>
      </c>
      <c r="F251" s="0" t="s">
        <v>15</v>
      </c>
      <c r="G251" s="0" t="s">
        <v>16</v>
      </c>
      <c r="H251" s="0" t="n">
        <v>82</v>
      </c>
      <c r="I251" s="0" t="s">
        <v>860</v>
      </c>
      <c r="J251" s="0" t="s">
        <v>861</v>
      </c>
      <c r="K251" s="0" t="s">
        <v>862</v>
      </c>
      <c r="L251" s="0" t="str">
        <f aca="false">HYPERLINK("https://www.ncbi.nlm.nih.gov/nuccore/CP000058.1?report=graph&amp;tracks=[key:gene_model_track,Options:GeneOnly]&amp;mk=73092:73111|offset_0|444444,73174:73193|offset_82|00cc00,73216:73235|offset_124|444444,73288:73307|offset_196|444444&amp;v=72891:73507&amp;c=444444", "offset 82")</f>
        <v>offset 82</v>
      </c>
    </row>
    <row r="252" customFormat="false" ht="12.8" hidden="false" customHeight="false" outlineLevel="0" collapsed="false">
      <c r="A252" s="0" t="s">
        <v>12</v>
      </c>
      <c r="B252" s="0" t="n">
        <v>73215</v>
      </c>
      <c r="C252" s="0" t="n">
        <v>73235</v>
      </c>
      <c r="D252" s="0" t="s">
        <v>856</v>
      </c>
      <c r="E252" s="0" t="s">
        <v>75</v>
      </c>
      <c r="F252" s="0" t="s">
        <v>15</v>
      </c>
      <c r="G252" s="0" t="s">
        <v>32</v>
      </c>
      <c r="H252" s="0" t="n">
        <v>124</v>
      </c>
      <c r="I252" s="0" t="s">
        <v>863</v>
      </c>
      <c r="J252" s="0" t="s">
        <v>864</v>
      </c>
      <c r="K252" s="0" t="s">
        <v>865</v>
      </c>
      <c r="L252" s="0" t="str">
        <f aca="false">HYPERLINK("https://www.ncbi.nlm.nih.gov/nuccore/CP000058.1?report=graph&amp;tracks=[key:gene_model_track,Options:GeneOnly]&amp;mk=73092:73111|offset_0|444444,73174:73193|offset_82|444444,73216:73235|offset_124|00cc00,73288:73307|offset_196|444444&amp;v=72891:73507&amp;c=444444", "offset 124")</f>
        <v>offset 124</v>
      </c>
    </row>
    <row r="253" customFormat="false" ht="12.8" hidden="false" customHeight="false" outlineLevel="0" collapsed="false">
      <c r="A253" s="0" t="s">
        <v>12</v>
      </c>
      <c r="B253" s="0" t="n">
        <v>73287</v>
      </c>
      <c r="C253" s="0" t="n">
        <v>73307</v>
      </c>
      <c r="D253" s="0" t="s">
        <v>856</v>
      </c>
      <c r="E253" s="0" t="s">
        <v>75</v>
      </c>
      <c r="F253" s="0" t="s">
        <v>15</v>
      </c>
      <c r="G253" s="0" t="s">
        <v>16</v>
      </c>
      <c r="H253" s="0" t="n">
        <v>196</v>
      </c>
      <c r="I253" s="0" t="s">
        <v>866</v>
      </c>
      <c r="J253" s="0" t="s">
        <v>867</v>
      </c>
      <c r="K253" s="0" t="s">
        <v>868</v>
      </c>
      <c r="L253" s="0" t="str">
        <f aca="false">HYPERLINK("https://www.ncbi.nlm.nih.gov/nuccore/CP000058.1?report=graph&amp;tracks=[key:gene_model_track,Options:GeneOnly]&amp;mk=73092:73111|offset_0|444444,73174:73193|offset_82|444444,73216:73235|offset_124|444444,73288:73307|offset_196|00cc00&amp;v=72891:73507&amp;c=444444", "offset 196")</f>
        <v>offset 196</v>
      </c>
    </row>
    <row r="254" customFormat="false" ht="12.8" hidden="false" customHeight="false" outlineLevel="0" collapsed="false">
      <c r="A254" s="0" t="s">
        <v>12</v>
      </c>
      <c r="B254" s="0" t="n">
        <v>75524</v>
      </c>
      <c r="C254" s="0" t="n">
        <v>75544</v>
      </c>
      <c r="D254" s="0" t="s">
        <v>869</v>
      </c>
      <c r="E254" s="0" t="s">
        <v>75</v>
      </c>
      <c r="F254" s="0" t="s">
        <v>90</v>
      </c>
      <c r="G254" s="0" t="s">
        <v>16</v>
      </c>
      <c r="H254" s="0" t="n">
        <v>17</v>
      </c>
      <c r="I254" s="0" t="s">
        <v>870</v>
      </c>
      <c r="J254" s="0" t="s">
        <v>871</v>
      </c>
      <c r="K254" s="0" t="s">
        <v>872</v>
      </c>
      <c r="L254" s="0" t="str">
        <f aca="false">HYPERLINK("https://www.ncbi.nlm.nih.gov/nuccore/CP000058.1?report=graph&amp;tracks=[key:gene_model_track,Options:GeneOnly]&amp;mk=75525:75544|offset_17|00cc00,75495:75514|offset_47|444444,75455:75474|offset_87|444444,75415:75434|offset_127|444444&amp;v=75324:75634&amp;c=444444", "offset 17")</f>
        <v>offset 17</v>
      </c>
    </row>
    <row r="255" customFormat="false" ht="12.8" hidden="false" customHeight="false" outlineLevel="0" collapsed="false">
      <c r="A255" s="0" t="s">
        <v>12</v>
      </c>
      <c r="B255" s="0" t="n">
        <v>75494</v>
      </c>
      <c r="C255" s="0" t="n">
        <v>75514</v>
      </c>
      <c r="D255" s="0" t="s">
        <v>869</v>
      </c>
      <c r="E255" s="0" t="s">
        <v>75</v>
      </c>
      <c r="F255" s="0" t="s">
        <v>90</v>
      </c>
      <c r="G255" s="0" t="s">
        <v>16</v>
      </c>
      <c r="H255" s="0" t="n">
        <v>47</v>
      </c>
      <c r="I255" s="0" t="s">
        <v>873</v>
      </c>
      <c r="J255" s="0" t="s">
        <v>874</v>
      </c>
      <c r="K255" s="0" t="s">
        <v>875</v>
      </c>
      <c r="L255" s="0" t="str">
        <f aca="false">HYPERLINK("https://www.ncbi.nlm.nih.gov/nuccore/CP000058.1?report=graph&amp;tracks=[key:gene_model_track,Options:GeneOnly]&amp;mk=75525:75544|offset_17|444444,75495:75514|offset_47|00cc00,75455:75474|offset_87|444444,75415:75434|offset_127|444444&amp;v=75324:75634&amp;c=444444", "offset 47")</f>
        <v>offset 47</v>
      </c>
    </row>
    <row r="256" customFormat="false" ht="12.8" hidden="false" customHeight="false" outlineLevel="0" collapsed="false">
      <c r="A256" s="0" t="s">
        <v>12</v>
      </c>
      <c r="B256" s="0" t="n">
        <v>75454</v>
      </c>
      <c r="C256" s="0" t="n">
        <v>75474</v>
      </c>
      <c r="D256" s="0" t="s">
        <v>869</v>
      </c>
      <c r="E256" s="0" t="s">
        <v>75</v>
      </c>
      <c r="F256" s="0" t="s">
        <v>90</v>
      </c>
      <c r="G256" s="0" t="s">
        <v>16</v>
      </c>
      <c r="H256" s="0" t="n">
        <v>87</v>
      </c>
      <c r="I256" s="0" t="s">
        <v>876</v>
      </c>
      <c r="J256" s="0" t="s">
        <v>877</v>
      </c>
      <c r="K256" s="0" t="s">
        <v>878</v>
      </c>
      <c r="L256" s="0" t="str">
        <f aca="false">HYPERLINK("https://www.ncbi.nlm.nih.gov/nuccore/CP000058.1?report=graph&amp;tracks=[key:gene_model_track,Options:GeneOnly]&amp;mk=75525:75544|offset_17|444444,75495:75514|offset_47|444444,75455:75474|offset_87|00cc00,75415:75434|offset_127|444444&amp;v=75324:75634&amp;c=444444", "offset 87")</f>
        <v>offset 87</v>
      </c>
    </row>
    <row r="257" customFormat="false" ht="12.8" hidden="false" customHeight="false" outlineLevel="0" collapsed="false">
      <c r="A257" s="0" t="s">
        <v>12</v>
      </c>
      <c r="B257" s="0" t="n">
        <v>75414</v>
      </c>
      <c r="C257" s="0" t="n">
        <v>75434</v>
      </c>
      <c r="D257" s="0" t="s">
        <v>869</v>
      </c>
      <c r="E257" s="0" t="s">
        <v>75</v>
      </c>
      <c r="F257" s="0" t="s">
        <v>90</v>
      </c>
      <c r="G257" s="0" t="s">
        <v>32</v>
      </c>
      <c r="H257" s="0" t="n">
        <v>127</v>
      </c>
      <c r="I257" s="0" t="s">
        <v>879</v>
      </c>
      <c r="J257" s="0" t="s">
        <v>880</v>
      </c>
      <c r="K257" s="0" t="s">
        <v>881</v>
      </c>
      <c r="L257" s="0" t="str">
        <f aca="false">HYPERLINK("https://www.ncbi.nlm.nih.gov/nuccore/CP000058.1?report=graph&amp;tracks=[key:gene_model_track,Options:GeneOnly]&amp;mk=75525:75544|offset_17|444444,75495:75514|offset_47|444444,75455:75474|offset_87|444444,75415:75434|offset_127|00cc00&amp;v=75324:75634&amp;c=444444", "offset 127")</f>
        <v>offset 127</v>
      </c>
    </row>
    <row r="258" customFormat="false" ht="12.8" hidden="false" customHeight="false" outlineLevel="0" collapsed="false">
      <c r="A258" s="0" t="s">
        <v>12</v>
      </c>
      <c r="B258" s="0" t="n">
        <v>76973</v>
      </c>
      <c r="C258" s="0" t="n">
        <v>76993</v>
      </c>
      <c r="D258" s="0" t="s">
        <v>882</v>
      </c>
      <c r="E258" s="0" t="s">
        <v>75</v>
      </c>
      <c r="F258" s="0" t="s">
        <v>90</v>
      </c>
      <c r="G258" s="0" t="s">
        <v>20</v>
      </c>
      <c r="H258" s="0" t="n">
        <v>11</v>
      </c>
      <c r="I258" s="0" t="s">
        <v>883</v>
      </c>
      <c r="J258" s="0" t="s">
        <v>884</v>
      </c>
      <c r="K258" s="0" t="s">
        <v>885</v>
      </c>
      <c r="L258" s="0" t="str">
        <f aca="false">HYPERLINK("https://www.ncbi.nlm.nih.gov/nuccore/CP000058.1?report=graph&amp;tracks=[key:gene_model_track,Options:GeneOnly]&amp;mk=76974:76993|offset_11|00cc00,76953:76972|offset_32|444444,76930:76949|offset_55|444444,76895:76914|offset_90|444444&amp;v=76773:77114&amp;c=444444", "offset 11")</f>
        <v>offset 11</v>
      </c>
    </row>
    <row r="259" customFormat="false" ht="12.8" hidden="false" customHeight="false" outlineLevel="0" collapsed="false">
      <c r="A259" s="0" t="s">
        <v>12</v>
      </c>
      <c r="B259" s="0" t="n">
        <v>76952</v>
      </c>
      <c r="C259" s="0" t="n">
        <v>76972</v>
      </c>
      <c r="D259" s="0" t="s">
        <v>882</v>
      </c>
      <c r="E259" s="0" t="s">
        <v>75</v>
      </c>
      <c r="F259" s="0" t="s">
        <v>90</v>
      </c>
      <c r="G259" s="0" t="s">
        <v>20</v>
      </c>
      <c r="H259" s="0" t="n">
        <v>32</v>
      </c>
      <c r="I259" s="0" t="s">
        <v>886</v>
      </c>
      <c r="J259" s="0" t="s">
        <v>887</v>
      </c>
      <c r="K259" s="0" t="s">
        <v>888</v>
      </c>
      <c r="L259" s="0" t="str">
        <f aca="false">HYPERLINK("https://www.ncbi.nlm.nih.gov/nuccore/CP000058.1?report=graph&amp;tracks=[key:gene_model_track,Options:GeneOnly]&amp;mk=76974:76993|offset_11|444444,76953:76972|offset_32|00cc00,76930:76949|offset_55|444444,76895:76914|offset_90|444444&amp;v=76773:77114&amp;c=444444", "offset 32")</f>
        <v>offset 32</v>
      </c>
    </row>
    <row r="260" customFormat="false" ht="12.8" hidden="false" customHeight="false" outlineLevel="0" collapsed="false">
      <c r="A260" s="0" t="s">
        <v>12</v>
      </c>
      <c r="B260" s="0" t="n">
        <v>76929</v>
      </c>
      <c r="C260" s="0" t="n">
        <v>76949</v>
      </c>
      <c r="D260" s="0" t="s">
        <v>882</v>
      </c>
      <c r="E260" s="0" t="s">
        <v>75</v>
      </c>
      <c r="F260" s="0" t="s">
        <v>90</v>
      </c>
      <c r="G260" s="0" t="s">
        <v>36</v>
      </c>
      <c r="H260" s="0" t="n">
        <v>55</v>
      </c>
      <c r="I260" s="0" t="s">
        <v>889</v>
      </c>
      <c r="J260" s="0" t="s">
        <v>890</v>
      </c>
      <c r="K260" s="0" t="s">
        <v>891</v>
      </c>
      <c r="L260" s="0" t="str">
        <f aca="false">HYPERLINK("https://www.ncbi.nlm.nih.gov/nuccore/CP000058.1?report=graph&amp;tracks=[key:gene_model_track,Options:GeneOnly]&amp;mk=76974:76993|offset_11|444444,76953:76972|offset_32|444444,76930:76949|offset_55|00cc00,76895:76914|offset_90|444444&amp;v=76773:77114&amp;c=444444", "offset 55")</f>
        <v>offset 55</v>
      </c>
    </row>
    <row r="261" customFormat="false" ht="12.8" hidden="false" customHeight="false" outlineLevel="0" collapsed="false">
      <c r="A261" s="0" t="s">
        <v>12</v>
      </c>
      <c r="B261" s="0" t="n">
        <v>76894</v>
      </c>
      <c r="C261" s="0" t="n">
        <v>76914</v>
      </c>
      <c r="D261" s="0" t="s">
        <v>882</v>
      </c>
      <c r="E261" s="0" t="s">
        <v>75</v>
      </c>
      <c r="F261" s="0" t="s">
        <v>90</v>
      </c>
      <c r="G261" s="0" t="s">
        <v>36</v>
      </c>
      <c r="H261" s="0" t="n">
        <v>90</v>
      </c>
      <c r="I261" s="0" t="s">
        <v>892</v>
      </c>
      <c r="J261" s="0" t="s">
        <v>893</v>
      </c>
      <c r="K261" s="0" t="s">
        <v>894</v>
      </c>
      <c r="L261" s="0" t="str">
        <f aca="false">HYPERLINK("https://www.ncbi.nlm.nih.gov/nuccore/CP000058.1?report=graph&amp;tracks=[key:gene_model_track,Options:GeneOnly]&amp;mk=76974:76993|offset_11|444444,76953:76972|offset_32|444444,76930:76949|offset_55|444444,76895:76914|offset_90|00cc00&amp;v=76773:77114&amp;c=444444", "offset 90")</f>
        <v>offset 90</v>
      </c>
    </row>
    <row r="262" customFormat="false" ht="12.8" hidden="false" customHeight="false" outlineLevel="0" collapsed="false">
      <c r="A262" s="0" t="s">
        <v>12</v>
      </c>
      <c r="B262" s="0" t="n">
        <v>78684</v>
      </c>
      <c r="C262" s="0" t="n">
        <v>78704</v>
      </c>
      <c r="D262" s="0" t="s">
        <v>895</v>
      </c>
      <c r="E262" s="0" t="s">
        <v>75</v>
      </c>
      <c r="F262" s="0" t="s">
        <v>90</v>
      </c>
      <c r="G262" s="0" t="s">
        <v>36</v>
      </c>
      <c r="H262" s="0" t="n">
        <v>10</v>
      </c>
      <c r="I262" s="0" t="s">
        <v>896</v>
      </c>
      <c r="J262" s="0" t="s">
        <v>897</v>
      </c>
      <c r="K262" s="0" t="s">
        <v>898</v>
      </c>
      <c r="L262" s="0" t="str">
        <f aca="false">HYPERLINK("https://www.ncbi.nlm.nih.gov/nuccore/CP000058.1?report=graph&amp;tracks=[key:gene_model_track,Options:GeneOnly]&amp;mk=78685:78704|offset_10|00cc00,78658:78677|offset_37|444444,78618:78637|offset_77|444444,78579:78598|offset_116|444444&amp;v=78484:78798&amp;c=444444", "offset 10")</f>
        <v>offset 10</v>
      </c>
    </row>
    <row r="263" customFormat="false" ht="12.8" hidden="false" customHeight="false" outlineLevel="0" collapsed="false">
      <c r="A263" s="0" t="s">
        <v>12</v>
      </c>
      <c r="B263" s="0" t="n">
        <v>78657</v>
      </c>
      <c r="C263" s="0" t="n">
        <v>78677</v>
      </c>
      <c r="D263" s="0" t="s">
        <v>895</v>
      </c>
      <c r="E263" s="0" t="s">
        <v>75</v>
      </c>
      <c r="F263" s="0" t="s">
        <v>90</v>
      </c>
      <c r="G263" s="0" t="s">
        <v>36</v>
      </c>
      <c r="H263" s="0" t="n">
        <v>37</v>
      </c>
      <c r="I263" s="0" t="s">
        <v>899</v>
      </c>
      <c r="J263" s="0" t="s">
        <v>900</v>
      </c>
      <c r="K263" s="0" t="s">
        <v>901</v>
      </c>
      <c r="L263" s="0" t="str">
        <f aca="false">HYPERLINK("https://www.ncbi.nlm.nih.gov/nuccore/CP000058.1?report=graph&amp;tracks=[key:gene_model_track,Options:GeneOnly]&amp;mk=78685:78704|offset_10|444444,78658:78677|offset_37|00cc00,78618:78637|offset_77|444444,78579:78598|offset_116|444444&amp;v=78484:78798&amp;c=444444", "offset 37")</f>
        <v>offset 37</v>
      </c>
    </row>
    <row r="264" customFormat="false" ht="12.8" hidden="false" customHeight="false" outlineLevel="0" collapsed="false">
      <c r="A264" s="0" t="s">
        <v>12</v>
      </c>
      <c r="B264" s="0" t="n">
        <v>78617</v>
      </c>
      <c r="C264" s="0" t="n">
        <v>78637</v>
      </c>
      <c r="D264" s="0" t="s">
        <v>895</v>
      </c>
      <c r="E264" s="0" t="s">
        <v>75</v>
      </c>
      <c r="F264" s="0" t="s">
        <v>90</v>
      </c>
      <c r="G264" s="0" t="s">
        <v>20</v>
      </c>
      <c r="H264" s="0" t="n">
        <v>77</v>
      </c>
      <c r="I264" s="0" t="s">
        <v>902</v>
      </c>
      <c r="J264" s="0" t="s">
        <v>903</v>
      </c>
      <c r="K264" s="0" t="s">
        <v>904</v>
      </c>
      <c r="L264" s="0" t="str">
        <f aca="false">HYPERLINK("https://www.ncbi.nlm.nih.gov/nuccore/CP000058.1?report=graph&amp;tracks=[key:gene_model_track,Options:GeneOnly]&amp;mk=78685:78704|offset_10|444444,78658:78677|offset_37|444444,78618:78637|offset_77|00cc00,78579:78598|offset_116|444444&amp;v=78484:78798&amp;c=444444", "offset 77")</f>
        <v>offset 77</v>
      </c>
    </row>
    <row r="265" customFormat="false" ht="12.8" hidden="false" customHeight="false" outlineLevel="0" collapsed="false">
      <c r="A265" s="0" t="s">
        <v>12</v>
      </c>
      <c r="B265" s="0" t="n">
        <v>78578</v>
      </c>
      <c r="C265" s="0" t="n">
        <v>78598</v>
      </c>
      <c r="D265" s="0" t="s">
        <v>895</v>
      </c>
      <c r="E265" s="0" t="s">
        <v>75</v>
      </c>
      <c r="F265" s="0" t="s">
        <v>90</v>
      </c>
      <c r="G265" s="0" t="s">
        <v>32</v>
      </c>
      <c r="H265" s="0" t="n">
        <v>116</v>
      </c>
      <c r="I265" s="0" t="s">
        <v>905</v>
      </c>
      <c r="J265" s="0" t="s">
        <v>906</v>
      </c>
      <c r="K265" s="0" t="s">
        <v>907</v>
      </c>
      <c r="L265" s="0" t="str">
        <f aca="false">HYPERLINK("https://www.ncbi.nlm.nih.gov/nuccore/CP000058.1?report=graph&amp;tracks=[key:gene_model_track,Options:GeneOnly]&amp;mk=78685:78704|offset_10|444444,78658:78677|offset_37|444444,78618:78637|offset_77|444444,78579:78598|offset_116|00cc00&amp;v=78484:78798&amp;c=444444", "offset 116")</f>
        <v>offset 116</v>
      </c>
    </row>
    <row r="266" customFormat="false" ht="12.8" hidden="false" customHeight="false" outlineLevel="0" collapsed="false">
      <c r="A266" s="0" t="s">
        <v>12</v>
      </c>
      <c r="B266" s="0" t="n">
        <v>81935</v>
      </c>
      <c r="C266" s="0" t="n">
        <v>81955</v>
      </c>
      <c r="D266" s="0" t="s">
        <v>908</v>
      </c>
      <c r="E266" s="0" t="s">
        <v>75</v>
      </c>
      <c r="F266" s="0" t="s">
        <v>90</v>
      </c>
      <c r="G266" s="0" t="s">
        <v>32</v>
      </c>
      <c r="H266" s="0" t="n">
        <v>7</v>
      </c>
      <c r="I266" s="0" t="s">
        <v>909</v>
      </c>
      <c r="J266" s="0" t="s">
        <v>910</v>
      </c>
      <c r="K266" s="0" t="s">
        <v>911</v>
      </c>
      <c r="L266" s="0" t="str">
        <f aca="false">HYPERLINK("https://www.ncbi.nlm.nih.gov/nuccore/CP000058.1?report=graph&amp;tracks=[key:gene_model_track,Options:GeneOnly]&amp;mk=81936:81955|offset_7|00cc00,81915:81934|offset_28|444444,81891:81910|offset_52|444444,81858:81877|offset_85|444444&amp;v=81735:82077&amp;c=444444", "offset 7")</f>
        <v>offset 7</v>
      </c>
    </row>
    <row r="267" customFormat="false" ht="12.8" hidden="false" customHeight="false" outlineLevel="0" collapsed="false">
      <c r="A267" s="0" t="s">
        <v>12</v>
      </c>
      <c r="B267" s="0" t="n">
        <v>81914</v>
      </c>
      <c r="C267" s="0" t="n">
        <v>81934</v>
      </c>
      <c r="D267" s="0" t="s">
        <v>908</v>
      </c>
      <c r="E267" s="0" t="s">
        <v>75</v>
      </c>
      <c r="F267" s="0" t="s">
        <v>90</v>
      </c>
      <c r="G267" s="0" t="s">
        <v>20</v>
      </c>
      <c r="H267" s="0" t="n">
        <v>28</v>
      </c>
      <c r="I267" s="0" t="s">
        <v>912</v>
      </c>
      <c r="J267" s="0" t="s">
        <v>913</v>
      </c>
      <c r="K267" s="0" t="s">
        <v>914</v>
      </c>
      <c r="L267" s="0" t="str">
        <f aca="false">HYPERLINK("https://www.ncbi.nlm.nih.gov/nuccore/CP000058.1?report=graph&amp;tracks=[key:gene_model_track,Options:GeneOnly]&amp;mk=81936:81955|offset_7|444444,81915:81934|offset_28|00cc00,81891:81910|offset_52|444444,81858:81877|offset_85|444444&amp;v=81735:82077&amp;c=444444", "offset 28")</f>
        <v>offset 28</v>
      </c>
    </row>
    <row r="268" customFormat="false" ht="12.8" hidden="false" customHeight="false" outlineLevel="0" collapsed="false">
      <c r="A268" s="0" t="s">
        <v>12</v>
      </c>
      <c r="B268" s="0" t="n">
        <v>81890</v>
      </c>
      <c r="C268" s="0" t="n">
        <v>81910</v>
      </c>
      <c r="D268" s="0" t="s">
        <v>908</v>
      </c>
      <c r="E268" s="0" t="s">
        <v>75</v>
      </c>
      <c r="F268" s="0" t="s">
        <v>90</v>
      </c>
      <c r="G268" s="0" t="s">
        <v>16</v>
      </c>
      <c r="H268" s="0" t="n">
        <v>52</v>
      </c>
      <c r="I268" s="0" t="s">
        <v>915</v>
      </c>
      <c r="J268" s="0" t="s">
        <v>916</v>
      </c>
      <c r="K268" s="0" t="s">
        <v>917</v>
      </c>
      <c r="L268" s="0" t="str">
        <f aca="false">HYPERLINK("https://www.ncbi.nlm.nih.gov/nuccore/CP000058.1?report=graph&amp;tracks=[key:gene_model_track,Options:GeneOnly]&amp;mk=81936:81955|offset_7|444444,81915:81934|offset_28|444444,81891:81910|offset_52|00cc00,81858:81877|offset_85|444444&amp;v=81735:82077&amp;c=444444", "offset 52")</f>
        <v>offset 52</v>
      </c>
    </row>
    <row r="269" customFormat="false" ht="12.8" hidden="false" customHeight="false" outlineLevel="0" collapsed="false">
      <c r="A269" s="0" t="s">
        <v>12</v>
      </c>
      <c r="B269" s="0" t="n">
        <v>81857</v>
      </c>
      <c r="C269" s="0" t="n">
        <v>81877</v>
      </c>
      <c r="D269" s="0" t="s">
        <v>908</v>
      </c>
      <c r="E269" s="0" t="s">
        <v>75</v>
      </c>
      <c r="F269" s="0" t="s">
        <v>90</v>
      </c>
      <c r="G269" s="0" t="s">
        <v>36</v>
      </c>
      <c r="H269" s="0" t="n">
        <v>85</v>
      </c>
      <c r="I269" s="0" t="s">
        <v>918</v>
      </c>
      <c r="J269" s="0" t="s">
        <v>919</v>
      </c>
      <c r="K269" s="0" t="s">
        <v>920</v>
      </c>
      <c r="L269" s="0" t="str">
        <f aca="false">HYPERLINK("https://www.ncbi.nlm.nih.gov/nuccore/CP000058.1?report=graph&amp;tracks=[key:gene_model_track,Options:GeneOnly]&amp;mk=81936:81955|offset_7|444444,81915:81934|offset_28|444444,81891:81910|offset_52|444444,81858:81877|offset_85|00cc00&amp;v=81735:82077&amp;c=444444", "offset 85")</f>
        <v>offset 85</v>
      </c>
    </row>
    <row r="270" customFormat="false" ht="12.8" hidden="false" customHeight="false" outlineLevel="0" collapsed="false">
      <c r="A270" s="0" t="s">
        <v>12</v>
      </c>
      <c r="B270" s="0" t="n">
        <v>83041</v>
      </c>
      <c r="C270" s="0" t="n">
        <v>83061</v>
      </c>
      <c r="D270" s="0" t="s">
        <v>921</v>
      </c>
      <c r="E270" s="0" t="s">
        <v>75</v>
      </c>
      <c r="F270" s="0" t="s">
        <v>90</v>
      </c>
      <c r="G270" s="0" t="s">
        <v>20</v>
      </c>
      <c r="H270" s="0" t="n">
        <v>6</v>
      </c>
      <c r="I270" s="0" t="s">
        <v>922</v>
      </c>
      <c r="J270" s="0" t="s">
        <v>923</v>
      </c>
      <c r="K270" s="0" t="s">
        <v>924</v>
      </c>
      <c r="L270" s="0" t="str">
        <f aca="false">HYPERLINK("https://www.ncbi.nlm.nih.gov/nuccore/CP000058.1?report=graph&amp;tracks=[key:gene_model_track,Options:GeneOnly]&amp;mk=83042:83061|offset_6|00cc00,82966:82985|offset_82|444444,82932:82951|offset_116|444444,82900:82919|offset_148|444444&amp;v=82841:83119&amp;c=444444", "offset 6")</f>
        <v>offset 6</v>
      </c>
    </row>
    <row r="271" customFormat="false" ht="12.8" hidden="false" customHeight="false" outlineLevel="0" collapsed="false">
      <c r="A271" s="0" t="s">
        <v>12</v>
      </c>
      <c r="B271" s="0" t="n">
        <v>82965</v>
      </c>
      <c r="C271" s="0" t="n">
        <v>82985</v>
      </c>
      <c r="D271" s="0" t="s">
        <v>921</v>
      </c>
      <c r="E271" s="0" t="s">
        <v>75</v>
      </c>
      <c r="F271" s="0" t="s">
        <v>90</v>
      </c>
      <c r="G271" s="0" t="s">
        <v>16</v>
      </c>
      <c r="H271" s="0" t="n">
        <v>82</v>
      </c>
      <c r="I271" s="0" t="s">
        <v>925</v>
      </c>
      <c r="J271" s="0" t="s">
        <v>926</v>
      </c>
      <c r="K271" s="0" t="s">
        <v>927</v>
      </c>
      <c r="L271" s="0" t="str">
        <f aca="false">HYPERLINK("https://www.ncbi.nlm.nih.gov/nuccore/CP000058.1?report=graph&amp;tracks=[key:gene_model_track,Options:GeneOnly]&amp;mk=83042:83061|offset_6|444444,82966:82985|offset_82|00cc00,82932:82951|offset_116|444444,82900:82919|offset_148|444444&amp;v=82841:83119&amp;c=444444", "offset 82")</f>
        <v>offset 82</v>
      </c>
    </row>
    <row r="272" customFormat="false" ht="12.8" hidden="false" customHeight="false" outlineLevel="0" collapsed="false">
      <c r="A272" s="0" t="s">
        <v>12</v>
      </c>
      <c r="B272" s="0" t="n">
        <v>82931</v>
      </c>
      <c r="C272" s="0" t="n">
        <v>82951</v>
      </c>
      <c r="D272" s="0" t="s">
        <v>921</v>
      </c>
      <c r="E272" s="0" t="s">
        <v>75</v>
      </c>
      <c r="F272" s="0" t="s">
        <v>90</v>
      </c>
      <c r="G272" s="0" t="s">
        <v>16</v>
      </c>
      <c r="H272" s="0" t="n">
        <v>116</v>
      </c>
      <c r="I272" s="0" t="s">
        <v>928</v>
      </c>
      <c r="J272" s="0" t="s">
        <v>929</v>
      </c>
      <c r="K272" s="0" t="s">
        <v>930</v>
      </c>
      <c r="L272" s="0" t="str">
        <f aca="false">HYPERLINK("https://www.ncbi.nlm.nih.gov/nuccore/CP000058.1?report=graph&amp;tracks=[key:gene_model_track,Options:GeneOnly]&amp;mk=83042:83061|offset_6|444444,82966:82985|offset_82|444444,82932:82951|offset_116|00cc00,82900:82919|offset_148|444444&amp;v=82841:83119&amp;c=444444", "offset 116")</f>
        <v>offset 116</v>
      </c>
    </row>
    <row r="273" customFormat="false" ht="12.8" hidden="false" customHeight="false" outlineLevel="0" collapsed="false">
      <c r="A273" s="0" t="s">
        <v>12</v>
      </c>
      <c r="B273" s="0" t="n">
        <v>82899</v>
      </c>
      <c r="C273" s="0" t="n">
        <v>82919</v>
      </c>
      <c r="D273" s="0" t="s">
        <v>921</v>
      </c>
      <c r="E273" s="0" t="s">
        <v>75</v>
      </c>
      <c r="F273" s="0" t="s">
        <v>90</v>
      </c>
      <c r="G273" s="0" t="s">
        <v>20</v>
      </c>
      <c r="H273" s="0" t="n">
        <v>148</v>
      </c>
      <c r="I273" s="0" t="s">
        <v>931</v>
      </c>
      <c r="J273" s="0" t="s">
        <v>932</v>
      </c>
      <c r="K273" s="0" t="s">
        <v>933</v>
      </c>
      <c r="L273" s="0" t="str">
        <f aca="false">HYPERLINK("https://www.ncbi.nlm.nih.gov/nuccore/CP000058.1?report=graph&amp;tracks=[key:gene_model_track,Options:GeneOnly]&amp;mk=83042:83061|offset_6|444444,82966:82985|offset_82|444444,82932:82951|offset_116|444444,82900:82919|offset_148|00cc00&amp;v=82841:83119&amp;c=444444", "offset 148")</f>
        <v>offset 148</v>
      </c>
    </row>
    <row r="274" customFormat="false" ht="12.8" hidden="false" customHeight="false" outlineLevel="0" collapsed="false">
      <c r="A274" s="0" t="s">
        <v>12</v>
      </c>
      <c r="B274" s="0" t="n">
        <v>83231</v>
      </c>
      <c r="C274" s="0" t="n">
        <v>83251</v>
      </c>
      <c r="D274" s="0" t="s">
        <v>934</v>
      </c>
      <c r="E274" s="0" t="s">
        <v>75</v>
      </c>
      <c r="F274" s="0" t="s">
        <v>15</v>
      </c>
      <c r="G274" s="0" t="s">
        <v>36</v>
      </c>
      <c r="H274" s="0" t="n">
        <v>9</v>
      </c>
      <c r="I274" s="0" t="s">
        <v>935</v>
      </c>
      <c r="J274" s="0" t="s">
        <v>936</v>
      </c>
      <c r="K274" s="0" t="s">
        <v>937</v>
      </c>
      <c r="L274" s="0" t="str">
        <f aca="false">HYPERLINK("https://www.ncbi.nlm.nih.gov/nuccore/CP000058.1?report=graph&amp;tracks=[key:gene_model_track,Options:GeneOnly]&amp;mk=83232:83251|offset_9|00cc00,83258:83277|offset_35|444444,83317:83336|offset_94|444444,83345:83364|offset_122|444444&amp;v=83031:83564&amp;c=444444", "offset 9")</f>
        <v>offset 9</v>
      </c>
    </row>
    <row r="275" customFormat="false" ht="12.8" hidden="false" customHeight="false" outlineLevel="0" collapsed="false">
      <c r="A275" s="0" t="s">
        <v>12</v>
      </c>
      <c r="B275" s="0" t="n">
        <v>83257</v>
      </c>
      <c r="C275" s="0" t="n">
        <v>83277</v>
      </c>
      <c r="D275" s="0" t="s">
        <v>934</v>
      </c>
      <c r="E275" s="0" t="s">
        <v>75</v>
      </c>
      <c r="F275" s="0" t="s">
        <v>15</v>
      </c>
      <c r="G275" s="0" t="s">
        <v>20</v>
      </c>
      <c r="H275" s="0" t="n">
        <v>35</v>
      </c>
      <c r="I275" s="0" t="s">
        <v>938</v>
      </c>
      <c r="J275" s="0" t="s">
        <v>939</v>
      </c>
      <c r="K275" s="0" t="s">
        <v>940</v>
      </c>
      <c r="L275" s="0" t="str">
        <f aca="false">HYPERLINK("https://www.ncbi.nlm.nih.gov/nuccore/CP000058.1?report=graph&amp;tracks=[key:gene_model_track,Options:GeneOnly]&amp;mk=83232:83251|offset_9|444444,83258:83277|offset_35|00cc00,83317:83336|offset_94|444444,83345:83364|offset_122|444444&amp;v=83031:83564&amp;c=444444", "offset 35")</f>
        <v>offset 35</v>
      </c>
    </row>
    <row r="276" customFormat="false" ht="12.8" hidden="false" customHeight="false" outlineLevel="0" collapsed="false">
      <c r="A276" s="0" t="s">
        <v>12</v>
      </c>
      <c r="B276" s="0" t="n">
        <v>83316</v>
      </c>
      <c r="C276" s="0" t="n">
        <v>83336</v>
      </c>
      <c r="D276" s="0" t="s">
        <v>934</v>
      </c>
      <c r="E276" s="0" t="s">
        <v>75</v>
      </c>
      <c r="F276" s="0" t="s">
        <v>15</v>
      </c>
      <c r="G276" s="0" t="s">
        <v>16</v>
      </c>
      <c r="H276" s="0" t="n">
        <v>94</v>
      </c>
      <c r="I276" s="0" t="s">
        <v>941</v>
      </c>
      <c r="J276" s="0" t="s">
        <v>942</v>
      </c>
      <c r="K276" s="0" t="s">
        <v>943</v>
      </c>
      <c r="L276" s="0" t="str">
        <f aca="false">HYPERLINK("https://www.ncbi.nlm.nih.gov/nuccore/CP000058.1?report=graph&amp;tracks=[key:gene_model_track,Options:GeneOnly]&amp;mk=83232:83251|offset_9|444444,83258:83277|offset_35|444444,83317:83336|offset_94|00cc00,83345:83364|offset_122|444444&amp;v=83031:83564&amp;c=444444", "offset 94")</f>
        <v>offset 94</v>
      </c>
    </row>
    <row r="277" customFormat="false" ht="12.8" hidden="false" customHeight="false" outlineLevel="0" collapsed="false">
      <c r="A277" s="0" t="s">
        <v>12</v>
      </c>
      <c r="B277" s="0" t="n">
        <v>83344</v>
      </c>
      <c r="C277" s="0" t="n">
        <v>83364</v>
      </c>
      <c r="D277" s="0" t="s">
        <v>934</v>
      </c>
      <c r="E277" s="0" t="s">
        <v>75</v>
      </c>
      <c r="F277" s="0" t="s">
        <v>15</v>
      </c>
      <c r="G277" s="0" t="s">
        <v>36</v>
      </c>
      <c r="H277" s="0" t="n">
        <v>122</v>
      </c>
      <c r="I277" s="0" t="s">
        <v>944</v>
      </c>
      <c r="J277" s="0" t="s">
        <v>945</v>
      </c>
      <c r="K277" s="0" t="s">
        <v>946</v>
      </c>
      <c r="L277" s="0" t="str">
        <f aca="false">HYPERLINK("https://www.ncbi.nlm.nih.gov/nuccore/CP000058.1?report=graph&amp;tracks=[key:gene_model_track,Options:GeneOnly]&amp;mk=83232:83251|offset_9|444444,83258:83277|offset_35|444444,83317:83336|offset_94|444444,83345:83364|offset_122|00cc00&amp;v=83031:83564&amp;c=444444", "offset 122")</f>
        <v>offset 122</v>
      </c>
    </row>
    <row r="278" customFormat="false" ht="12.8" hidden="false" customHeight="false" outlineLevel="0" collapsed="false">
      <c r="A278" s="0" t="s">
        <v>12</v>
      </c>
      <c r="B278" s="0" t="n">
        <v>86253</v>
      </c>
      <c r="C278" s="0" t="n">
        <v>86273</v>
      </c>
      <c r="D278" s="0" t="s">
        <v>947</v>
      </c>
      <c r="E278" s="0" t="s">
        <v>75</v>
      </c>
      <c r="F278" s="0" t="s">
        <v>90</v>
      </c>
      <c r="G278" s="0" t="s">
        <v>20</v>
      </c>
      <c r="H278" s="0" t="n">
        <v>6</v>
      </c>
      <c r="I278" s="0" t="s">
        <v>948</v>
      </c>
      <c r="J278" s="0" t="s">
        <v>949</v>
      </c>
      <c r="K278" s="0" t="s">
        <v>950</v>
      </c>
      <c r="L278" s="0" t="str">
        <f aca="false">HYPERLINK("https://www.ncbi.nlm.nih.gov/nuccore/CP000058.1?report=graph&amp;tracks=[key:gene_model_track,Options:GeneOnly]&amp;mk=86254:86273|offset_6|00cc00,86209:86228|offset_51|444444,86180:86199|offset_80|444444,86118:86137|offset_142|444444&amp;v=86053:86337&amp;c=444444", "offset 6")</f>
        <v>offset 6</v>
      </c>
    </row>
    <row r="279" customFormat="false" ht="12.8" hidden="false" customHeight="false" outlineLevel="0" collapsed="false">
      <c r="A279" s="0" t="s">
        <v>12</v>
      </c>
      <c r="B279" s="0" t="n">
        <v>86208</v>
      </c>
      <c r="C279" s="0" t="n">
        <v>86228</v>
      </c>
      <c r="D279" s="0" t="s">
        <v>947</v>
      </c>
      <c r="E279" s="0" t="s">
        <v>75</v>
      </c>
      <c r="F279" s="0" t="s">
        <v>90</v>
      </c>
      <c r="G279" s="0" t="s">
        <v>20</v>
      </c>
      <c r="H279" s="0" t="n">
        <v>51</v>
      </c>
      <c r="I279" s="0" t="s">
        <v>951</v>
      </c>
      <c r="J279" s="0" t="s">
        <v>952</v>
      </c>
      <c r="K279" s="0" t="s">
        <v>953</v>
      </c>
      <c r="L279" s="0" t="str">
        <f aca="false">HYPERLINK("https://www.ncbi.nlm.nih.gov/nuccore/CP000058.1?report=graph&amp;tracks=[key:gene_model_track,Options:GeneOnly]&amp;mk=86254:86273|offset_6|444444,86209:86228|offset_51|00cc00,86180:86199|offset_80|444444,86118:86137|offset_142|444444&amp;v=86053:86337&amp;c=444444", "offset 51")</f>
        <v>offset 51</v>
      </c>
    </row>
    <row r="280" customFormat="false" ht="12.8" hidden="false" customHeight="false" outlineLevel="0" collapsed="false">
      <c r="A280" s="0" t="s">
        <v>12</v>
      </c>
      <c r="B280" s="0" t="n">
        <v>86179</v>
      </c>
      <c r="C280" s="0" t="n">
        <v>86199</v>
      </c>
      <c r="D280" s="0" t="s">
        <v>947</v>
      </c>
      <c r="E280" s="0" t="s">
        <v>75</v>
      </c>
      <c r="F280" s="0" t="s">
        <v>90</v>
      </c>
      <c r="G280" s="0" t="s">
        <v>20</v>
      </c>
      <c r="H280" s="0" t="n">
        <v>80</v>
      </c>
      <c r="I280" s="0" t="s">
        <v>954</v>
      </c>
      <c r="J280" s="0" t="s">
        <v>955</v>
      </c>
      <c r="K280" s="0" t="s">
        <v>956</v>
      </c>
      <c r="L280" s="0" t="str">
        <f aca="false">HYPERLINK("https://www.ncbi.nlm.nih.gov/nuccore/CP000058.1?report=graph&amp;tracks=[key:gene_model_track,Options:GeneOnly]&amp;mk=86254:86273|offset_6|444444,86209:86228|offset_51|444444,86180:86199|offset_80|00cc00,86118:86137|offset_142|444444&amp;v=86053:86337&amp;c=444444", "offset 80")</f>
        <v>offset 80</v>
      </c>
    </row>
    <row r="281" customFormat="false" ht="12.8" hidden="false" customHeight="false" outlineLevel="0" collapsed="false">
      <c r="A281" s="0" t="s">
        <v>12</v>
      </c>
      <c r="B281" s="0" t="n">
        <v>86117</v>
      </c>
      <c r="C281" s="0" t="n">
        <v>86137</v>
      </c>
      <c r="D281" s="0" t="s">
        <v>947</v>
      </c>
      <c r="E281" s="0" t="s">
        <v>75</v>
      </c>
      <c r="F281" s="0" t="s">
        <v>90</v>
      </c>
      <c r="G281" s="0" t="s">
        <v>16</v>
      </c>
      <c r="H281" s="0" t="n">
        <v>142</v>
      </c>
      <c r="I281" s="0" t="s">
        <v>957</v>
      </c>
      <c r="J281" s="0" t="s">
        <v>958</v>
      </c>
      <c r="K281" s="0" t="s">
        <v>959</v>
      </c>
      <c r="L281" s="0" t="str">
        <f aca="false">HYPERLINK("https://www.ncbi.nlm.nih.gov/nuccore/CP000058.1?report=graph&amp;tracks=[key:gene_model_track,Options:GeneOnly]&amp;mk=86254:86273|offset_6|444444,86209:86228|offset_51|444444,86180:86199|offset_80|444444,86118:86137|offset_142|00cc00&amp;v=86053:86337&amp;c=444444", "offset 142")</f>
        <v>offset 142</v>
      </c>
    </row>
    <row r="282" customFormat="false" ht="12.8" hidden="false" customHeight="false" outlineLevel="0" collapsed="false">
      <c r="A282" s="0" t="s">
        <v>12</v>
      </c>
      <c r="B282" s="0" t="n">
        <v>86485</v>
      </c>
      <c r="C282" s="0" t="n">
        <v>86505</v>
      </c>
      <c r="D282" s="0" t="s">
        <v>960</v>
      </c>
      <c r="E282" s="0" t="s">
        <v>961</v>
      </c>
      <c r="F282" s="0" t="s">
        <v>15</v>
      </c>
      <c r="G282" s="0" t="s">
        <v>32</v>
      </c>
      <c r="H282" s="0" t="n">
        <v>1</v>
      </c>
      <c r="I282" s="0" t="s">
        <v>962</v>
      </c>
      <c r="J282" s="0" t="s">
        <v>963</v>
      </c>
      <c r="K282" s="0" t="s">
        <v>964</v>
      </c>
      <c r="L282" s="0" t="str">
        <f aca="false">HYPERLINK("https://www.ncbi.nlm.nih.gov/nuccore/CP000058.1?report=graph&amp;tracks=[key:gene_model_track,Options:GeneOnly]&amp;mk=86486:86505|offset_1|00cc00,86519:86538|offset_34|444444,86539:86558|offset_54|444444,86561:86580|offset_76|444444&amp;v=86285:86780&amp;c=444444", "offset 1")</f>
        <v>offset 1</v>
      </c>
    </row>
    <row r="283" customFormat="false" ht="12.8" hidden="false" customHeight="false" outlineLevel="0" collapsed="false">
      <c r="A283" s="0" t="s">
        <v>12</v>
      </c>
      <c r="B283" s="0" t="n">
        <v>86518</v>
      </c>
      <c r="C283" s="0" t="n">
        <v>86538</v>
      </c>
      <c r="D283" s="0" t="s">
        <v>960</v>
      </c>
      <c r="E283" s="0" t="s">
        <v>961</v>
      </c>
      <c r="F283" s="0" t="s">
        <v>15</v>
      </c>
      <c r="G283" s="0" t="s">
        <v>16</v>
      </c>
      <c r="H283" s="0" t="n">
        <v>34</v>
      </c>
      <c r="I283" s="0" t="s">
        <v>965</v>
      </c>
      <c r="J283" s="0" t="s">
        <v>966</v>
      </c>
      <c r="K283" s="0" t="s">
        <v>967</v>
      </c>
      <c r="L283" s="0" t="str">
        <f aca="false">HYPERLINK("https://www.ncbi.nlm.nih.gov/nuccore/CP000058.1?report=graph&amp;tracks=[key:gene_model_track,Options:GeneOnly]&amp;mk=86486:86505|offset_1|444444,86519:86538|offset_34|00cc00,86539:86558|offset_54|444444,86561:86580|offset_76|444444&amp;v=86285:86780&amp;c=444444", "offset 34")</f>
        <v>offset 34</v>
      </c>
    </row>
    <row r="284" customFormat="false" ht="12.8" hidden="false" customHeight="false" outlineLevel="0" collapsed="false">
      <c r="A284" s="0" t="s">
        <v>12</v>
      </c>
      <c r="B284" s="0" t="n">
        <v>86538</v>
      </c>
      <c r="C284" s="0" t="n">
        <v>86558</v>
      </c>
      <c r="D284" s="0" t="s">
        <v>960</v>
      </c>
      <c r="E284" s="0" t="s">
        <v>961</v>
      </c>
      <c r="F284" s="0" t="s">
        <v>15</v>
      </c>
      <c r="G284" s="0" t="s">
        <v>20</v>
      </c>
      <c r="H284" s="0" t="n">
        <v>54</v>
      </c>
      <c r="I284" s="0" t="s">
        <v>968</v>
      </c>
      <c r="J284" s="0" t="s">
        <v>969</v>
      </c>
      <c r="K284" s="0" t="s">
        <v>970</v>
      </c>
      <c r="L284" s="0" t="str">
        <f aca="false">HYPERLINK("https://www.ncbi.nlm.nih.gov/nuccore/CP000058.1?report=graph&amp;tracks=[key:gene_model_track,Options:GeneOnly]&amp;mk=86486:86505|offset_1|444444,86519:86538|offset_34|444444,86539:86558|offset_54|00cc00,86561:86580|offset_76|444444&amp;v=86285:86780&amp;c=444444", "offset 54")</f>
        <v>offset 54</v>
      </c>
    </row>
    <row r="285" customFormat="false" ht="12.8" hidden="false" customHeight="false" outlineLevel="0" collapsed="false">
      <c r="A285" s="0" t="s">
        <v>12</v>
      </c>
      <c r="B285" s="0" t="n">
        <v>86560</v>
      </c>
      <c r="C285" s="0" t="n">
        <v>86580</v>
      </c>
      <c r="D285" s="0" t="s">
        <v>960</v>
      </c>
      <c r="E285" s="0" t="s">
        <v>961</v>
      </c>
      <c r="F285" s="0" t="s">
        <v>15</v>
      </c>
      <c r="G285" s="0" t="s">
        <v>16</v>
      </c>
      <c r="H285" s="0" t="n">
        <v>76</v>
      </c>
      <c r="I285" s="0" t="s">
        <v>971</v>
      </c>
      <c r="J285" s="0" t="s">
        <v>972</v>
      </c>
      <c r="K285" s="0" t="s">
        <v>973</v>
      </c>
      <c r="L285" s="0" t="str">
        <f aca="false">HYPERLINK("https://www.ncbi.nlm.nih.gov/nuccore/CP000058.1?report=graph&amp;tracks=[key:gene_model_track,Options:GeneOnly]&amp;mk=86486:86505|offset_1|444444,86519:86538|offset_34|444444,86539:86558|offset_54|444444,86561:86580|offset_76|00cc00&amp;v=86285:86780&amp;c=444444", "offset 76")</f>
        <v>offset 76</v>
      </c>
    </row>
    <row r="286" customFormat="false" ht="12.8" hidden="false" customHeight="false" outlineLevel="0" collapsed="false">
      <c r="A286" s="0" t="s">
        <v>12</v>
      </c>
      <c r="B286" s="0" t="n">
        <v>88596</v>
      </c>
      <c r="C286" s="0" t="n">
        <v>88616</v>
      </c>
      <c r="D286" s="0" t="s">
        <v>974</v>
      </c>
      <c r="E286" s="0" t="s">
        <v>975</v>
      </c>
      <c r="F286" s="0" t="s">
        <v>15</v>
      </c>
      <c r="G286" s="0" t="s">
        <v>16</v>
      </c>
      <c r="H286" s="0" t="n">
        <v>49</v>
      </c>
      <c r="I286" s="0" t="s">
        <v>976</v>
      </c>
      <c r="J286" s="0" t="s">
        <v>977</v>
      </c>
      <c r="K286" s="0" t="s">
        <v>978</v>
      </c>
      <c r="L286" s="0" t="str">
        <f aca="false">HYPERLINK("https://www.ncbi.nlm.nih.gov/nuccore/CP000058.1?report=graph&amp;tracks=[key:gene_model_track,Options:GeneOnly]&amp;mk=88597:88616|offset_49|00cc00,88631:88650|offset_83|444444,88678:88697|offset_130|444444,88705:88724|offset_157|444444&amp;v=88396:88924&amp;c=444444", "offset 49")</f>
        <v>offset 49</v>
      </c>
    </row>
    <row r="287" customFormat="false" ht="12.8" hidden="false" customHeight="false" outlineLevel="0" collapsed="false">
      <c r="A287" s="0" t="s">
        <v>12</v>
      </c>
      <c r="B287" s="0" t="n">
        <v>88630</v>
      </c>
      <c r="C287" s="0" t="n">
        <v>88650</v>
      </c>
      <c r="D287" s="0" t="s">
        <v>974</v>
      </c>
      <c r="E287" s="0" t="s">
        <v>975</v>
      </c>
      <c r="F287" s="0" t="s">
        <v>15</v>
      </c>
      <c r="G287" s="0" t="s">
        <v>32</v>
      </c>
      <c r="H287" s="0" t="n">
        <v>83</v>
      </c>
      <c r="I287" s="0" t="s">
        <v>979</v>
      </c>
      <c r="J287" s="0" t="s">
        <v>980</v>
      </c>
      <c r="K287" s="0" t="s">
        <v>981</v>
      </c>
      <c r="L287" s="0" t="str">
        <f aca="false">HYPERLINK("https://www.ncbi.nlm.nih.gov/nuccore/CP000058.1?report=graph&amp;tracks=[key:gene_model_track,Options:GeneOnly]&amp;mk=88597:88616|offset_49|444444,88631:88650|offset_83|00cc00,88678:88697|offset_130|444444,88705:88724|offset_157|444444&amp;v=88396:88924&amp;c=444444", "offset 83")</f>
        <v>offset 83</v>
      </c>
    </row>
    <row r="288" customFormat="false" ht="12.8" hidden="false" customHeight="false" outlineLevel="0" collapsed="false">
      <c r="A288" s="0" t="s">
        <v>12</v>
      </c>
      <c r="B288" s="0" t="n">
        <v>88677</v>
      </c>
      <c r="C288" s="0" t="n">
        <v>88697</v>
      </c>
      <c r="D288" s="0" t="s">
        <v>974</v>
      </c>
      <c r="E288" s="0" t="s">
        <v>975</v>
      </c>
      <c r="F288" s="0" t="s">
        <v>15</v>
      </c>
      <c r="G288" s="0" t="s">
        <v>36</v>
      </c>
      <c r="H288" s="0" t="n">
        <v>130</v>
      </c>
      <c r="I288" s="0" t="s">
        <v>982</v>
      </c>
      <c r="J288" s="0" t="s">
        <v>983</v>
      </c>
      <c r="K288" s="0" t="s">
        <v>984</v>
      </c>
      <c r="L288" s="0" t="str">
        <f aca="false">HYPERLINK("https://www.ncbi.nlm.nih.gov/nuccore/CP000058.1?report=graph&amp;tracks=[key:gene_model_track,Options:GeneOnly]&amp;mk=88597:88616|offset_49|444444,88631:88650|offset_83|444444,88678:88697|offset_130|00cc00,88705:88724|offset_157|444444&amp;v=88396:88924&amp;c=444444", "offset 130")</f>
        <v>offset 130</v>
      </c>
    </row>
    <row r="289" customFormat="false" ht="12.8" hidden="false" customHeight="false" outlineLevel="0" collapsed="false">
      <c r="A289" s="0" t="s">
        <v>12</v>
      </c>
      <c r="B289" s="0" t="n">
        <v>88704</v>
      </c>
      <c r="C289" s="0" t="n">
        <v>88724</v>
      </c>
      <c r="D289" s="0" t="s">
        <v>974</v>
      </c>
      <c r="E289" s="0" t="s">
        <v>975</v>
      </c>
      <c r="F289" s="0" t="s">
        <v>15</v>
      </c>
      <c r="G289" s="0" t="s">
        <v>32</v>
      </c>
      <c r="H289" s="0" t="n">
        <v>157</v>
      </c>
      <c r="I289" s="0" t="s">
        <v>985</v>
      </c>
      <c r="J289" s="0" t="s">
        <v>986</v>
      </c>
      <c r="K289" s="0" t="s">
        <v>987</v>
      </c>
      <c r="L289" s="0" t="str">
        <f aca="false">HYPERLINK("https://www.ncbi.nlm.nih.gov/nuccore/CP000058.1?report=graph&amp;tracks=[key:gene_model_track,Options:GeneOnly]&amp;mk=88597:88616|offset_49|444444,88631:88650|offset_83|444444,88678:88697|offset_130|444444,88705:88724|offset_157|00cc00&amp;v=88396:88924&amp;c=444444", "offset 157")</f>
        <v>offset 157</v>
      </c>
    </row>
    <row r="290" customFormat="false" ht="12.8" hidden="false" customHeight="false" outlineLevel="0" collapsed="false">
      <c r="A290" s="0" t="s">
        <v>12</v>
      </c>
      <c r="B290" s="0" t="n">
        <v>90661</v>
      </c>
      <c r="C290" s="0" t="n">
        <v>90681</v>
      </c>
      <c r="D290" s="0" t="s">
        <v>988</v>
      </c>
      <c r="E290" s="0" t="s">
        <v>75</v>
      </c>
      <c r="F290" s="0" t="s">
        <v>90</v>
      </c>
      <c r="G290" s="0" t="s">
        <v>36</v>
      </c>
      <c r="H290" s="0" t="n">
        <v>7</v>
      </c>
      <c r="I290" s="0" t="s">
        <v>989</v>
      </c>
      <c r="J290" s="0" t="s">
        <v>990</v>
      </c>
      <c r="K290" s="0" t="s">
        <v>991</v>
      </c>
      <c r="L290" s="0" t="str">
        <f aca="false">HYPERLINK("https://www.ncbi.nlm.nih.gov/nuccore/CP000058.1?report=graph&amp;tracks=[key:gene_model_track,Options:GeneOnly]&amp;mk=90662:90681|offset_7|00cc00,90642:90661|offset_27|444444,90610:90629|offset_59|444444,90587:90606|offset_82|444444&amp;v=90461:90806&amp;c=444444", "offset 7")</f>
        <v>offset 7</v>
      </c>
    </row>
    <row r="291" customFormat="false" ht="12.8" hidden="false" customHeight="false" outlineLevel="0" collapsed="false">
      <c r="A291" s="0" t="s">
        <v>12</v>
      </c>
      <c r="B291" s="0" t="n">
        <v>90641</v>
      </c>
      <c r="C291" s="0" t="n">
        <v>90661</v>
      </c>
      <c r="D291" s="0" t="s">
        <v>988</v>
      </c>
      <c r="E291" s="0" t="s">
        <v>75</v>
      </c>
      <c r="F291" s="0" t="s">
        <v>90</v>
      </c>
      <c r="G291" s="0" t="s">
        <v>36</v>
      </c>
      <c r="H291" s="0" t="n">
        <v>27</v>
      </c>
      <c r="I291" s="0" t="s">
        <v>992</v>
      </c>
      <c r="J291" s="0" t="s">
        <v>993</v>
      </c>
      <c r="K291" s="0" t="s">
        <v>994</v>
      </c>
      <c r="L291" s="0" t="str">
        <f aca="false">HYPERLINK("https://www.ncbi.nlm.nih.gov/nuccore/CP000058.1?report=graph&amp;tracks=[key:gene_model_track,Options:GeneOnly]&amp;mk=90662:90681|offset_7|444444,90642:90661|offset_27|00cc00,90610:90629|offset_59|444444,90587:90606|offset_82|444444&amp;v=90461:90806&amp;c=444444", "offset 27")</f>
        <v>offset 27</v>
      </c>
    </row>
    <row r="292" customFormat="false" ht="12.8" hidden="false" customHeight="false" outlineLevel="0" collapsed="false">
      <c r="A292" s="0" t="s">
        <v>12</v>
      </c>
      <c r="B292" s="0" t="n">
        <v>90609</v>
      </c>
      <c r="C292" s="0" t="n">
        <v>90629</v>
      </c>
      <c r="D292" s="0" t="s">
        <v>988</v>
      </c>
      <c r="E292" s="0" t="s">
        <v>75</v>
      </c>
      <c r="F292" s="0" t="s">
        <v>90</v>
      </c>
      <c r="G292" s="0" t="s">
        <v>20</v>
      </c>
      <c r="H292" s="0" t="n">
        <v>59</v>
      </c>
      <c r="I292" s="0" t="s">
        <v>995</v>
      </c>
      <c r="J292" s="0" t="s">
        <v>996</v>
      </c>
      <c r="K292" s="0" t="s">
        <v>997</v>
      </c>
      <c r="L292" s="0" t="str">
        <f aca="false">HYPERLINK("https://www.ncbi.nlm.nih.gov/nuccore/CP000058.1?report=graph&amp;tracks=[key:gene_model_track,Options:GeneOnly]&amp;mk=90662:90681|offset_7|444444,90642:90661|offset_27|444444,90610:90629|offset_59|00cc00,90587:90606|offset_82|444444&amp;v=90461:90806&amp;c=444444", "offset 59")</f>
        <v>offset 59</v>
      </c>
    </row>
    <row r="293" customFormat="false" ht="12.8" hidden="false" customHeight="false" outlineLevel="0" collapsed="false">
      <c r="A293" s="0" t="s">
        <v>12</v>
      </c>
      <c r="B293" s="0" t="n">
        <v>90586</v>
      </c>
      <c r="C293" s="0" t="n">
        <v>90606</v>
      </c>
      <c r="D293" s="0" t="s">
        <v>988</v>
      </c>
      <c r="E293" s="0" t="s">
        <v>75</v>
      </c>
      <c r="F293" s="0" t="s">
        <v>90</v>
      </c>
      <c r="G293" s="0" t="s">
        <v>32</v>
      </c>
      <c r="H293" s="0" t="n">
        <v>82</v>
      </c>
      <c r="I293" s="0" t="s">
        <v>998</v>
      </c>
      <c r="J293" s="0" t="s">
        <v>999</v>
      </c>
      <c r="K293" s="0" t="s">
        <v>1000</v>
      </c>
      <c r="L293" s="0" t="str">
        <f aca="false">HYPERLINK("https://www.ncbi.nlm.nih.gov/nuccore/CP000058.1?report=graph&amp;tracks=[key:gene_model_track,Options:GeneOnly]&amp;mk=90662:90681|offset_7|444444,90642:90661|offset_27|444444,90610:90629|offset_59|444444,90587:90606|offset_82|00cc00&amp;v=90461:90806&amp;c=444444", "offset 82")</f>
        <v>offset 82</v>
      </c>
    </row>
    <row r="294" customFormat="false" ht="12.8" hidden="false" customHeight="false" outlineLevel="0" collapsed="false">
      <c r="A294" s="0" t="s">
        <v>12</v>
      </c>
      <c r="B294" s="0" t="n">
        <v>90988</v>
      </c>
      <c r="C294" s="0" t="n">
        <v>91008</v>
      </c>
      <c r="D294" s="0" t="s">
        <v>1001</v>
      </c>
      <c r="E294" s="0" t="s">
        <v>75</v>
      </c>
      <c r="F294" s="0" t="s">
        <v>15</v>
      </c>
      <c r="G294" s="0" t="s">
        <v>36</v>
      </c>
      <c r="H294" s="0" t="n">
        <v>34</v>
      </c>
      <c r="I294" s="0" t="s">
        <v>1002</v>
      </c>
      <c r="J294" s="0" t="s">
        <v>1003</v>
      </c>
      <c r="K294" s="0" t="s">
        <v>1004</v>
      </c>
      <c r="L294" s="0" t="str">
        <f aca="false">HYPERLINK("https://www.ncbi.nlm.nih.gov/nuccore/CP000058.1?report=graph&amp;tracks=[key:gene_model_track,Options:GeneOnly]&amp;mk=90989:91008|offset_34|00cc00,91013:91032|offset_58|444444,91035:91054|offset_80|444444,91083:91102|offset_128|444444&amp;v=90788:91302&amp;c=444444", "offset 34")</f>
        <v>offset 34</v>
      </c>
    </row>
    <row r="295" customFormat="false" ht="12.8" hidden="false" customHeight="false" outlineLevel="0" collapsed="false">
      <c r="A295" s="0" t="s">
        <v>12</v>
      </c>
      <c r="B295" s="0" t="n">
        <v>91012</v>
      </c>
      <c r="C295" s="0" t="n">
        <v>91032</v>
      </c>
      <c r="D295" s="0" t="s">
        <v>1001</v>
      </c>
      <c r="E295" s="0" t="s">
        <v>75</v>
      </c>
      <c r="F295" s="0" t="s">
        <v>15</v>
      </c>
      <c r="G295" s="0" t="s">
        <v>32</v>
      </c>
      <c r="H295" s="0" t="n">
        <v>58</v>
      </c>
      <c r="I295" s="0" t="s">
        <v>1005</v>
      </c>
      <c r="J295" s="0" t="s">
        <v>1006</v>
      </c>
      <c r="K295" s="0" t="s">
        <v>1007</v>
      </c>
      <c r="L295" s="0" t="str">
        <f aca="false">HYPERLINK("https://www.ncbi.nlm.nih.gov/nuccore/CP000058.1?report=graph&amp;tracks=[key:gene_model_track,Options:GeneOnly]&amp;mk=90989:91008|offset_34|444444,91013:91032|offset_58|00cc00,91035:91054|offset_80|444444,91083:91102|offset_128|444444&amp;v=90788:91302&amp;c=444444", "offset 58")</f>
        <v>offset 58</v>
      </c>
    </row>
    <row r="296" customFormat="false" ht="12.8" hidden="false" customHeight="false" outlineLevel="0" collapsed="false">
      <c r="A296" s="0" t="s">
        <v>12</v>
      </c>
      <c r="B296" s="0" t="n">
        <v>91034</v>
      </c>
      <c r="C296" s="0" t="n">
        <v>91054</v>
      </c>
      <c r="D296" s="0" t="s">
        <v>1001</v>
      </c>
      <c r="E296" s="0" t="s">
        <v>75</v>
      </c>
      <c r="F296" s="0" t="s">
        <v>15</v>
      </c>
      <c r="G296" s="0" t="s">
        <v>20</v>
      </c>
      <c r="H296" s="0" t="n">
        <v>80</v>
      </c>
      <c r="I296" s="0" t="s">
        <v>1008</v>
      </c>
      <c r="J296" s="0" t="s">
        <v>1009</v>
      </c>
      <c r="K296" s="0" t="s">
        <v>1010</v>
      </c>
      <c r="L296" s="0" t="str">
        <f aca="false">HYPERLINK("https://www.ncbi.nlm.nih.gov/nuccore/CP000058.1?report=graph&amp;tracks=[key:gene_model_track,Options:GeneOnly]&amp;mk=90989:91008|offset_34|444444,91013:91032|offset_58|444444,91035:91054|offset_80|00cc00,91083:91102|offset_128|444444&amp;v=90788:91302&amp;c=444444", "offset 80")</f>
        <v>offset 80</v>
      </c>
    </row>
    <row r="297" customFormat="false" ht="12.8" hidden="false" customHeight="false" outlineLevel="0" collapsed="false">
      <c r="A297" s="0" t="s">
        <v>12</v>
      </c>
      <c r="B297" s="0" t="n">
        <v>91082</v>
      </c>
      <c r="C297" s="0" t="n">
        <v>91102</v>
      </c>
      <c r="D297" s="0" t="s">
        <v>1001</v>
      </c>
      <c r="E297" s="0" t="s">
        <v>75</v>
      </c>
      <c r="F297" s="0" t="s">
        <v>15</v>
      </c>
      <c r="G297" s="0" t="s">
        <v>36</v>
      </c>
      <c r="H297" s="0" t="n">
        <v>128</v>
      </c>
      <c r="I297" s="0" t="s">
        <v>1011</v>
      </c>
      <c r="J297" s="0" t="s">
        <v>1012</v>
      </c>
      <c r="K297" s="0" t="s">
        <v>1013</v>
      </c>
      <c r="L297" s="0" t="str">
        <f aca="false">HYPERLINK("https://www.ncbi.nlm.nih.gov/nuccore/CP000058.1?report=graph&amp;tracks=[key:gene_model_track,Options:GeneOnly]&amp;mk=90989:91008|offset_34|444444,91013:91032|offset_58|444444,91035:91054|offset_80|444444,91083:91102|offset_128|00cc00&amp;v=90788:91302&amp;c=444444", "offset 128")</f>
        <v>offset 128</v>
      </c>
    </row>
    <row r="298" customFormat="false" ht="12.8" hidden="false" customHeight="false" outlineLevel="0" collapsed="false">
      <c r="A298" s="0" t="s">
        <v>12</v>
      </c>
      <c r="B298" s="0" t="n">
        <v>91888</v>
      </c>
      <c r="C298" s="0" t="n">
        <v>91908</v>
      </c>
      <c r="D298" s="0" t="s">
        <v>1014</v>
      </c>
      <c r="E298" s="0" t="s">
        <v>75</v>
      </c>
      <c r="F298" s="0" t="s">
        <v>15</v>
      </c>
      <c r="G298" s="0" t="s">
        <v>20</v>
      </c>
      <c r="H298" s="0" t="n">
        <v>22</v>
      </c>
      <c r="I298" s="0" t="s">
        <v>1015</v>
      </c>
      <c r="J298" s="0" t="s">
        <v>1016</v>
      </c>
      <c r="K298" s="0" t="s">
        <v>1017</v>
      </c>
      <c r="L298" s="0" t="str">
        <f aca="false">HYPERLINK("https://www.ncbi.nlm.nih.gov/nuccore/CP000058.1?report=graph&amp;tracks=[key:gene_model_track,Options:GeneOnly]&amp;mk=91889:91908|offset_22|00cc00,91922:91941|offset_55|444444,91944:91963|offset_77|444444,91964:91983|offset_97|444444&amp;v=91688:92183&amp;c=444444", "offset 22")</f>
        <v>offset 22</v>
      </c>
    </row>
    <row r="299" customFormat="false" ht="12.8" hidden="false" customHeight="false" outlineLevel="0" collapsed="false">
      <c r="A299" s="0" t="s">
        <v>12</v>
      </c>
      <c r="B299" s="0" t="n">
        <v>91921</v>
      </c>
      <c r="C299" s="0" t="n">
        <v>91941</v>
      </c>
      <c r="D299" s="0" t="s">
        <v>1014</v>
      </c>
      <c r="E299" s="0" t="s">
        <v>75</v>
      </c>
      <c r="F299" s="0" t="s">
        <v>15</v>
      </c>
      <c r="G299" s="0" t="s">
        <v>16</v>
      </c>
      <c r="H299" s="0" t="n">
        <v>55</v>
      </c>
      <c r="I299" s="0" t="s">
        <v>1018</v>
      </c>
      <c r="J299" s="0" t="s">
        <v>1019</v>
      </c>
      <c r="K299" s="0" t="s">
        <v>1020</v>
      </c>
      <c r="L299" s="0" t="str">
        <f aca="false">HYPERLINK("https://www.ncbi.nlm.nih.gov/nuccore/CP000058.1?report=graph&amp;tracks=[key:gene_model_track,Options:GeneOnly]&amp;mk=91889:91908|offset_22|444444,91922:91941|offset_55|00cc00,91944:91963|offset_77|444444,91964:91983|offset_97|444444&amp;v=91688:92183&amp;c=444444", "offset 55")</f>
        <v>offset 55</v>
      </c>
    </row>
    <row r="300" customFormat="false" ht="12.8" hidden="false" customHeight="false" outlineLevel="0" collapsed="false">
      <c r="A300" s="0" t="s">
        <v>12</v>
      </c>
      <c r="B300" s="0" t="n">
        <v>91943</v>
      </c>
      <c r="C300" s="0" t="n">
        <v>91963</v>
      </c>
      <c r="D300" s="0" t="s">
        <v>1014</v>
      </c>
      <c r="E300" s="0" t="s">
        <v>75</v>
      </c>
      <c r="F300" s="0" t="s">
        <v>15</v>
      </c>
      <c r="G300" s="0" t="s">
        <v>20</v>
      </c>
      <c r="H300" s="0" t="n">
        <v>77</v>
      </c>
      <c r="I300" s="0" t="s">
        <v>1021</v>
      </c>
      <c r="J300" s="0" t="s">
        <v>1022</v>
      </c>
      <c r="K300" s="0" t="s">
        <v>1023</v>
      </c>
      <c r="L300" s="0" t="str">
        <f aca="false">HYPERLINK("https://www.ncbi.nlm.nih.gov/nuccore/CP000058.1?report=graph&amp;tracks=[key:gene_model_track,Options:GeneOnly]&amp;mk=91889:91908|offset_22|444444,91922:91941|offset_55|444444,91944:91963|offset_77|00cc00,91964:91983|offset_97|444444&amp;v=91688:92183&amp;c=444444", "offset 77")</f>
        <v>offset 77</v>
      </c>
    </row>
    <row r="301" customFormat="false" ht="12.8" hidden="false" customHeight="false" outlineLevel="0" collapsed="false">
      <c r="A301" s="0" t="s">
        <v>12</v>
      </c>
      <c r="B301" s="0" t="n">
        <v>91963</v>
      </c>
      <c r="C301" s="0" t="n">
        <v>91983</v>
      </c>
      <c r="D301" s="0" t="s">
        <v>1014</v>
      </c>
      <c r="E301" s="0" t="s">
        <v>75</v>
      </c>
      <c r="F301" s="0" t="s">
        <v>15</v>
      </c>
      <c r="G301" s="0" t="s">
        <v>36</v>
      </c>
      <c r="H301" s="0" t="n">
        <v>97</v>
      </c>
      <c r="I301" s="0" t="s">
        <v>1024</v>
      </c>
      <c r="J301" s="0" t="s">
        <v>1025</v>
      </c>
      <c r="K301" s="0" t="s">
        <v>1026</v>
      </c>
      <c r="L301" s="0" t="str">
        <f aca="false">HYPERLINK("https://www.ncbi.nlm.nih.gov/nuccore/CP000058.1?report=graph&amp;tracks=[key:gene_model_track,Options:GeneOnly]&amp;mk=91889:91908|offset_22|444444,91922:91941|offset_55|444444,91944:91963|offset_77|444444,91964:91983|offset_97|00cc00&amp;v=91688:92183&amp;c=444444", "offset 97")</f>
        <v>offset 97</v>
      </c>
    </row>
    <row r="302" customFormat="false" ht="12.8" hidden="false" customHeight="false" outlineLevel="0" collapsed="false">
      <c r="A302" s="0" t="s">
        <v>12</v>
      </c>
      <c r="B302" s="0" t="n">
        <v>93144</v>
      </c>
      <c r="C302" s="0" t="n">
        <v>93164</v>
      </c>
      <c r="D302" s="0" t="s">
        <v>1027</v>
      </c>
      <c r="E302" s="0" t="s">
        <v>75</v>
      </c>
      <c r="F302" s="0" t="s">
        <v>15</v>
      </c>
      <c r="G302" s="0" t="s">
        <v>20</v>
      </c>
      <c r="H302" s="0" t="n">
        <v>32</v>
      </c>
      <c r="I302" s="0" t="s">
        <v>1028</v>
      </c>
      <c r="J302" s="0" t="s">
        <v>1029</v>
      </c>
      <c r="K302" s="0" t="s">
        <v>1030</v>
      </c>
      <c r="L302" s="0" t="str">
        <f aca="false">HYPERLINK("https://www.ncbi.nlm.nih.gov/nuccore/CP000058.1?report=graph&amp;tracks=[key:gene_model_track,Options:GeneOnly]&amp;mk=93145:93164|offset_32|00cc00,93208:93227|offset_95|444444,93232:93251|offset_119|444444,93254:93273|offset_141|444444&amp;v=92944:93473&amp;c=444444", "offset 32")</f>
        <v>offset 32</v>
      </c>
    </row>
    <row r="303" customFormat="false" ht="12.8" hidden="false" customHeight="false" outlineLevel="0" collapsed="false">
      <c r="A303" s="0" t="s">
        <v>12</v>
      </c>
      <c r="B303" s="0" t="n">
        <v>93207</v>
      </c>
      <c r="C303" s="0" t="n">
        <v>93227</v>
      </c>
      <c r="D303" s="0" t="s">
        <v>1027</v>
      </c>
      <c r="E303" s="0" t="s">
        <v>75</v>
      </c>
      <c r="F303" s="0" t="s">
        <v>15</v>
      </c>
      <c r="G303" s="0" t="s">
        <v>36</v>
      </c>
      <c r="H303" s="0" t="n">
        <v>95</v>
      </c>
      <c r="I303" s="0" t="s">
        <v>1031</v>
      </c>
      <c r="J303" s="0" t="s">
        <v>1032</v>
      </c>
      <c r="K303" s="0" t="s">
        <v>1033</v>
      </c>
      <c r="L303" s="0" t="str">
        <f aca="false">HYPERLINK("https://www.ncbi.nlm.nih.gov/nuccore/CP000058.1?report=graph&amp;tracks=[key:gene_model_track,Options:GeneOnly]&amp;mk=93145:93164|offset_32|444444,93208:93227|offset_95|00cc00,93232:93251|offset_119|444444,93254:93273|offset_141|444444&amp;v=92944:93473&amp;c=444444", "offset 95")</f>
        <v>offset 95</v>
      </c>
    </row>
    <row r="304" customFormat="false" ht="12.8" hidden="false" customHeight="false" outlineLevel="0" collapsed="false">
      <c r="A304" s="0" t="s">
        <v>12</v>
      </c>
      <c r="B304" s="0" t="n">
        <v>93231</v>
      </c>
      <c r="C304" s="0" t="n">
        <v>93251</v>
      </c>
      <c r="D304" s="0" t="s">
        <v>1027</v>
      </c>
      <c r="E304" s="0" t="s">
        <v>75</v>
      </c>
      <c r="F304" s="0" t="s">
        <v>15</v>
      </c>
      <c r="G304" s="0" t="s">
        <v>20</v>
      </c>
      <c r="H304" s="0" t="n">
        <v>119</v>
      </c>
      <c r="I304" s="0" t="s">
        <v>1034</v>
      </c>
      <c r="J304" s="0" t="s">
        <v>1035</v>
      </c>
      <c r="K304" s="0" t="s">
        <v>1036</v>
      </c>
      <c r="L304" s="0" t="str">
        <f aca="false">HYPERLINK("https://www.ncbi.nlm.nih.gov/nuccore/CP000058.1?report=graph&amp;tracks=[key:gene_model_track,Options:GeneOnly]&amp;mk=93145:93164|offset_32|444444,93208:93227|offset_95|444444,93232:93251|offset_119|00cc00,93254:93273|offset_141|444444&amp;v=92944:93473&amp;c=444444", "offset 119")</f>
        <v>offset 119</v>
      </c>
    </row>
    <row r="305" customFormat="false" ht="12.8" hidden="false" customHeight="false" outlineLevel="0" collapsed="false">
      <c r="A305" s="0" t="s">
        <v>12</v>
      </c>
      <c r="B305" s="0" t="n">
        <v>93253</v>
      </c>
      <c r="C305" s="0" t="n">
        <v>93273</v>
      </c>
      <c r="D305" s="0" t="s">
        <v>1027</v>
      </c>
      <c r="E305" s="0" t="s">
        <v>75</v>
      </c>
      <c r="F305" s="0" t="s">
        <v>15</v>
      </c>
      <c r="G305" s="0" t="s">
        <v>20</v>
      </c>
      <c r="H305" s="0" t="n">
        <v>141</v>
      </c>
      <c r="I305" s="0" t="s">
        <v>1037</v>
      </c>
      <c r="J305" s="0" t="s">
        <v>1038</v>
      </c>
      <c r="K305" s="0" t="s">
        <v>1039</v>
      </c>
      <c r="L305" s="0" t="str">
        <f aca="false">HYPERLINK("https://www.ncbi.nlm.nih.gov/nuccore/CP000058.1?report=graph&amp;tracks=[key:gene_model_track,Options:GeneOnly]&amp;mk=93145:93164|offset_32|444444,93208:93227|offset_95|444444,93232:93251|offset_119|444444,93254:93273|offset_141|00cc00&amp;v=92944:93473&amp;c=444444", "offset 141")</f>
        <v>offset 141</v>
      </c>
    </row>
    <row r="306" customFormat="false" ht="12.8" hidden="false" customHeight="false" outlineLevel="0" collapsed="false">
      <c r="A306" s="0" t="s">
        <v>12</v>
      </c>
      <c r="B306" s="0" t="n">
        <v>95110</v>
      </c>
      <c r="C306" s="0" t="n">
        <v>95130</v>
      </c>
      <c r="D306" s="0" t="s">
        <v>1040</v>
      </c>
      <c r="E306" s="0" t="s">
        <v>75</v>
      </c>
      <c r="F306" s="0" t="s">
        <v>90</v>
      </c>
      <c r="G306" s="0" t="s">
        <v>16</v>
      </c>
      <c r="H306" s="0" t="n">
        <v>17</v>
      </c>
      <c r="I306" s="0" t="s">
        <v>1041</v>
      </c>
      <c r="J306" s="0" t="s">
        <v>1042</v>
      </c>
      <c r="K306" s="0" t="s">
        <v>1043</v>
      </c>
      <c r="L306" s="0" t="str">
        <f aca="false">HYPERLINK("https://www.ncbi.nlm.nih.gov/nuccore/CP000058.1?report=graph&amp;tracks=[key:gene_model_track,Options:GeneOnly]&amp;mk=95111:95130|offset_17|00cc00,95085:95104|offset_43|444444,95051:95070|offset_77|444444,95021:95040|offset_107|444444&amp;v=94910:95240&amp;c=444444", "offset 17")</f>
        <v>offset 17</v>
      </c>
    </row>
    <row r="307" customFormat="false" ht="12.8" hidden="false" customHeight="false" outlineLevel="0" collapsed="false">
      <c r="A307" s="0" t="s">
        <v>12</v>
      </c>
      <c r="B307" s="0" t="n">
        <v>95084</v>
      </c>
      <c r="C307" s="0" t="n">
        <v>95104</v>
      </c>
      <c r="D307" s="0" t="s">
        <v>1040</v>
      </c>
      <c r="E307" s="0" t="s">
        <v>75</v>
      </c>
      <c r="F307" s="0" t="s">
        <v>90</v>
      </c>
      <c r="G307" s="0" t="s">
        <v>20</v>
      </c>
      <c r="H307" s="0" t="n">
        <v>43</v>
      </c>
      <c r="I307" s="0" t="s">
        <v>1044</v>
      </c>
      <c r="J307" s="0" t="s">
        <v>1045</v>
      </c>
      <c r="K307" s="0" t="s">
        <v>1046</v>
      </c>
      <c r="L307" s="0" t="str">
        <f aca="false">HYPERLINK("https://www.ncbi.nlm.nih.gov/nuccore/CP000058.1?report=graph&amp;tracks=[key:gene_model_track,Options:GeneOnly]&amp;mk=95111:95130|offset_17|444444,95085:95104|offset_43|00cc00,95051:95070|offset_77|444444,95021:95040|offset_107|444444&amp;v=94910:95240&amp;c=444444", "offset 43")</f>
        <v>offset 43</v>
      </c>
    </row>
    <row r="308" customFormat="false" ht="12.8" hidden="false" customHeight="false" outlineLevel="0" collapsed="false">
      <c r="A308" s="0" t="s">
        <v>12</v>
      </c>
      <c r="B308" s="0" t="n">
        <v>95050</v>
      </c>
      <c r="C308" s="0" t="n">
        <v>95070</v>
      </c>
      <c r="D308" s="0" t="s">
        <v>1040</v>
      </c>
      <c r="E308" s="0" t="s">
        <v>75</v>
      </c>
      <c r="F308" s="0" t="s">
        <v>90</v>
      </c>
      <c r="G308" s="0" t="s">
        <v>32</v>
      </c>
      <c r="H308" s="0" t="n">
        <v>77</v>
      </c>
      <c r="I308" s="0" t="s">
        <v>1047</v>
      </c>
      <c r="J308" s="0" t="s">
        <v>1048</v>
      </c>
      <c r="K308" s="0" t="s">
        <v>1049</v>
      </c>
      <c r="L308" s="0" t="str">
        <f aca="false">HYPERLINK("https://www.ncbi.nlm.nih.gov/nuccore/CP000058.1?report=graph&amp;tracks=[key:gene_model_track,Options:GeneOnly]&amp;mk=95111:95130|offset_17|444444,95085:95104|offset_43|444444,95051:95070|offset_77|00cc00,95021:95040|offset_107|444444&amp;v=94910:95240&amp;c=444444", "offset 77")</f>
        <v>offset 77</v>
      </c>
    </row>
    <row r="309" customFormat="false" ht="12.8" hidden="false" customHeight="false" outlineLevel="0" collapsed="false">
      <c r="A309" s="0" t="s">
        <v>12</v>
      </c>
      <c r="B309" s="0" t="n">
        <v>95020</v>
      </c>
      <c r="C309" s="0" t="n">
        <v>95040</v>
      </c>
      <c r="D309" s="0" t="s">
        <v>1040</v>
      </c>
      <c r="E309" s="0" t="s">
        <v>75</v>
      </c>
      <c r="F309" s="0" t="s">
        <v>90</v>
      </c>
      <c r="G309" s="0" t="s">
        <v>36</v>
      </c>
      <c r="H309" s="0" t="n">
        <v>107</v>
      </c>
      <c r="I309" s="0" t="s">
        <v>1050</v>
      </c>
      <c r="J309" s="0" t="s">
        <v>1051</v>
      </c>
      <c r="K309" s="0" t="s">
        <v>1052</v>
      </c>
      <c r="L309" s="0" t="str">
        <f aca="false">HYPERLINK("https://www.ncbi.nlm.nih.gov/nuccore/CP000058.1?report=graph&amp;tracks=[key:gene_model_track,Options:GeneOnly]&amp;mk=95111:95130|offset_17|444444,95085:95104|offset_43|444444,95051:95070|offset_77|444444,95021:95040|offset_107|00cc00&amp;v=94910:95240&amp;c=444444", "offset 107")</f>
        <v>offset 107</v>
      </c>
    </row>
    <row r="310" customFormat="false" ht="12.8" hidden="false" customHeight="false" outlineLevel="0" collapsed="false">
      <c r="A310" s="0" t="s">
        <v>12</v>
      </c>
      <c r="B310" s="0" t="n">
        <v>95977</v>
      </c>
      <c r="C310" s="0" t="n">
        <v>95997</v>
      </c>
      <c r="D310" s="0" t="s">
        <v>1053</v>
      </c>
      <c r="E310" s="0" t="s">
        <v>1054</v>
      </c>
      <c r="F310" s="0" t="s">
        <v>90</v>
      </c>
      <c r="G310" s="0" t="s">
        <v>16</v>
      </c>
      <c r="H310" s="0" t="n">
        <v>25</v>
      </c>
      <c r="I310" s="0" t="s">
        <v>1055</v>
      </c>
      <c r="J310" s="0" t="s">
        <v>1056</v>
      </c>
      <c r="K310" s="0" t="s">
        <v>1057</v>
      </c>
      <c r="L310" s="0" t="str">
        <f aca="false">HYPERLINK("https://www.ncbi.nlm.nih.gov/nuccore/CP000058.1?report=graph&amp;tracks=[key:gene_model_track,Options:GeneOnly]&amp;mk=95978:95997|offset_25|00cc00,95957:95976|offset_46|444444,95917:95936|offset_86|444444,95884:95903|offset_119|444444&amp;v=95777:96103&amp;c=444444", "offset 25")</f>
        <v>offset 25</v>
      </c>
    </row>
    <row r="311" customFormat="false" ht="12.8" hidden="false" customHeight="false" outlineLevel="0" collapsed="false">
      <c r="A311" s="0" t="s">
        <v>12</v>
      </c>
      <c r="B311" s="0" t="n">
        <v>95956</v>
      </c>
      <c r="C311" s="0" t="n">
        <v>95976</v>
      </c>
      <c r="D311" s="0" t="s">
        <v>1053</v>
      </c>
      <c r="E311" s="0" t="s">
        <v>1054</v>
      </c>
      <c r="F311" s="0" t="s">
        <v>90</v>
      </c>
      <c r="G311" s="0" t="s">
        <v>36</v>
      </c>
      <c r="H311" s="0" t="n">
        <v>46</v>
      </c>
      <c r="I311" s="0" t="s">
        <v>1058</v>
      </c>
      <c r="J311" s="0" t="s">
        <v>1059</v>
      </c>
      <c r="K311" s="0" t="s">
        <v>1060</v>
      </c>
      <c r="L311" s="0" t="str">
        <f aca="false">HYPERLINK("https://www.ncbi.nlm.nih.gov/nuccore/CP000058.1?report=graph&amp;tracks=[key:gene_model_track,Options:GeneOnly]&amp;mk=95978:95997|offset_25|444444,95957:95976|offset_46|00cc00,95917:95936|offset_86|444444,95884:95903|offset_119|444444&amp;v=95777:96103&amp;c=444444", "offset 46")</f>
        <v>offset 46</v>
      </c>
    </row>
    <row r="312" customFormat="false" ht="12.8" hidden="false" customHeight="false" outlineLevel="0" collapsed="false">
      <c r="A312" s="0" t="s">
        <v>12</v>
      </c>
      <c r="B312" s="0" t="n">
        <v>95916</v>
      </c>
      <c r="C312" s="0" t="n">
        <v>95936</v>
      </c>
      <c r="D312" s="0" t="s">
        <v>1053</v>
      </c>
      <c r="E312" s="0" t="s">
        <v>1054</v>
      </c>
      <c r="F312" s="0" t="s">
        <v>90</v>
      </c>
      <c r="G312" s="0" t="s">
        <v>20</v>
      </c>
      <c r="H312" s="0" t="n">
        <v>86</v>
      </c>
      <c r="I312" s="0" t="s">
        <v>1061</v>
      </c>
      <c r="J312" s="0" t="s">
        <v>1062</v>
      </c>
      <c r="K312" s="0" t="s">
        <v>1063</v>
      </c>
      <c r="L312" s="0" t="str">
        <f aca="false">HYPERLINK("https://www.ncbi.nlm.nih.gov/nuccore/CP000058.1?report=graph&amp;tracks=[key:gene_model_track,Options:GeneOnly]&amp;mk=95978:95997|offset_25|444444,95957:95976|offset_46|444444,95917:95936|offset_86|00cc00,95884:95903|offset_119|444444&amp;v=95777:96103&amp;c=444444", "offset 86")</f>
        <v>offset 86</v>
      </c>
    </row>
    <row r="313" customFormat="false" ht="12.8" hidden="false" customHeight="false" outlineLevel="0" collapsed="false">
      <c r="A313" s="0" t="s">
        <v>12</v>
      </c>
      <c r="B313" s="0" t="n">
        <v>95883</v>
      </c>
      <c r="C313" s="0" t="n">
        <v>95903</v>
      </c>
      <c r="D313" s="0" t="s">
        <v>1053</v>
      </c>
      <c r="E313" s="0" t="s">
        <v>1054</v>
      </c>
      <c r="F313" s="0" t="s">
        <v>90</v>
      </c>
      <c r="G313" s="0" t="s">
        <v>20</v>
      </c>
      <c r="H313" s="0" t="n">
        <v>119</v>
      </c>
      <c r="I313" s="0" t="s">
        <v>1064</v>
      </c>
      <c r="J313" s="0" t="s">
        <v>1065</v>
      </c>
      <c r="K313" s="0" t="s">
        <v>1066</v>
      </c>
      <c r="L313" s="0" t="str">
        <f aca="false">HYPERLINK("https://www.ncbi.nlm.nih.gov/nuccore/CP000058.1?report=graph&amp;tracks=[key:gene_model_track,Options:GeneOnly]&amp;mk=95978:95997|offset_25|444444,95957:95976|offset_46|444444,95917:95936|offset_86|444444,95884:95903|offset_119|00cc00&amp;v=95777:96103&amp;c=444444", "offset 119")</f>
        <v>offset 119</v>
      </c>
    </row>
    <row r="314" customFormat="false" ht="12.8" hidden="false" customHeight="false" outlineLevel="0" collapsed="false">
      <c r="A314" s="0" t="s">
        <v>12</v>
      </c>
      <c r="B314" s="0" t="n">
        <v>96818</v>
      </c>
      <c r="C314" s="0" t="n">
        <v>96838</v>
      </c>
      <c r="D314" s="0" t="s">
        <v>1067</v>
      </c>
      <c r="E314" s="0" t="s">
        <v>1068</v>
      </c>
      <c r="F314" s="0" t="s">
        <v>90</v>
      </c>
      <c r="G314" s="0" t="s">
        <v>36</v>
      </c>
      <c r="H314" s="0" t="n">
        <v>19</v>
      </c>
      <c r="I314" s="0" t="s">
        <v>1069</v>
      </c>
      <c r="J314" s="0" t="s">
        <v>1070</v>
      </c>
      <c r="K314" s="0" t="s">
        <v>1071</v>
      </c>
      <c r="L314" s="0" t="str">
        <f aca="false">HYPERLINK("https://www.ncbi.nlm.nih.gov/nuccore/CP000058.1?report=graph&amp;tracks=[key:gene_model_track,Options:GeneOnly]&amp;mk=96819:96838|offset_19|00cc00,96780:96799|offset_58|444444,96741:96760|offset_97|444444,96711:96730|offset_127|444444&amp;v=96618:96930&amp;c=444444", "offset 19")</f>
        <v>offset 19</v>
      </c>
    </row>
    <row r="315" customFormat="false" ht="12.8" hidden="false" customHeight="false" outlineLevel="0" collapsed="false">
      <c r="A315" s="0" t="s">
        <v>12</v>
      </c>
      <c r="B315" s="0" t="n">
        <v>96779</v>
      </c>
      <c r="C315" s="0" t="n">
        <v>96799</v>
      </c>
      <c r="D315" s="0" t="s">
        <v>1067</v>
      </c>
      <c r="E315" s="0" t="s">
        <v>1068</v>
      </c>
      <c r="F315" s="0" t="s">
        <v>90</v>
      </c>
      <c r="G315" s="0" t="s">
        <v>20</v>
      </c>
      <c r="H315" s="0" t="n">
        <v>58</v>
      </c>
      <c r="I315" s="0" t="s">
        <v>1072</v>
      </c>
      <c r="J315" s="0" t="s">
        <v>1073</v>
      </c>
      <c r="K315" s="0" t="s">
        <v>1074</v>
      </c>
      <c r="L315" s="0" t="str">
        <f aca="false">HYPERLINK("https://www.ncbi.nlm.nih.gov/nuccore/CP000058.1?report=graph&amp;tracks=[key:gene_model_track,Options:GeneOnly]&amp;mk=96819:96838|offset_19|444444,96780:96799|offset_58|00cc00,96741:96760|offset_97|444444,96711:96730|offset_127|444444&amp;v=96618:96930&amp;c=444444", "offset 58")</f>
        <v>offset 58</v>
      </c>
    </row>
    <row r="316" customFormat="false" ht="12.8" hidden="false" customHeight="false" outlineLevel="0" collapsed="false">
      <c r="A316" s="0" t="s">
        <v>12</v>
      </c>
      <c r="B316" s="0" t="n">
        <v>96740</v>
      </c>
      <c r="C316" s="0" t="n">
        <v>96760</v>
      </c>
      <c r="D316" s="0" t="s">
        <v>1067</v>
      </c>
      <c r="E316" s="0" t="s">
        <v>1068</v>
      </c>
      <c r="F316" s="0" t="s">
        <v>90</v>
      </c>
      <c r="G316" s="0" t="s">
        <v>16</v>
      </c>
      <c r="H316" s="0" t="n">
        <v>97</v>
      </c>
      <c r="I316" s="0" t="s">
        <v>1075</v>
      </c>
      <c r="J316" s="0" t="s">
        <v>1076</v>
      </c>
      <c r="K316" s="0" t="s">
        <v>1077</v>
      </c>
      <c r="L316" s="0" t="str">
        <f aca="false">HYPERLINK("https://www.ncbi.nlm.nih.gov/nuccore/CP000058.1?report=graph&amp;tracks=[key:gene_model_track,Options:GeneOnly]&amp;mk=96819:96838|offset_19|444444,96780:96799|offset_58|444444,96741:96760|offset_97|00cc00,96711:96730|offset_127|444444&amp;v=96618:96930&amp;c=444444", "offset 97")</f>
        <v>offset 97</v>
      </c>
    </row>
    <row r="317" customFormat="false" ht="12.8" hidden="false" customHeight="false" outlineLevel="0" collapsed="false">
      <c r="A317" s="0" t="s">
        <v>12</v>
      </c>
      <c r="B317" s="0" t="n">
        <v>96710</v>
      </c>
      <c r="C317" s="0" t="n">
        <v>96730</v>
      </c>
      <c r="D317" s="0" t="s">
        <v>1067</v>
      </c>
      <c r="E317" s="0" t="s">
        <v>1068</v>
      </c>
      <c r="F317" s="0" t="s">
        <v>90</v>
      </c>
      <c r="G317" s="0" t="s">
        <v>20</v>
      </c>
      <c r="H317" s="0" t="n">
        <v>127</v>
      </c>
      <c r="I317" s="0" t="s">
        <v>1078</v>
      </c>
      <c r="J317" s="0" t="s">
        <v>1079</v>
      </c>
      <c r="K317" s="0" t="s">
        <v>1080</v>
      </c>
      <c r="L317" s="0" t="str">
        <f aca="false">HYPERLINK("https://www.ncbi.nlm.nih.gov/nuccore/CP000058.1?report=graph&amp;tracks=[key:gene_model_track,Options:GeneOnly]&amp;mk=96819:96838|offset_19|444444,96780:96799|offset_58|444444,96741:96760|offset_97|444444,96711:96730|offset_127|00cc00&amp;v=96618:96930&amp;c=444444", "offset 127")</f>
        <v>offset 127</v>
      </c>
    </row>
    <row r="318" customFormat="false" ht="12.8" hidden="false" customHeight="false" outlineLevel="0" collapsed="false">
      <c r="A318" s="0" t="s">
        <v>12</v>
      </c>
      <c r="B318" s="0" t="n">
        <v>97935</v>
      </c>
      <c r="C318" s="0" t="n">
        <v>97955</v>
      </c>
      <c r="D318" s="0" t="s">
        <v>1081</v>
      </c>
      <c r="E318" s="0" t="s">
        <v>1082</v>
      </c>
      <c r="F318" s="0" t="s">
        <v>90</v>
      </c>
      <c r="G318" s="0" t="s">
        <v>32</v>
      </c>
      <c r="H318" s="0" t="n">
        <v>7</v>
      </c>
      <c r="I318" s="0" t="s">
        <v>1083</v>
      </c>
      <c r="J318" s="0" t="s">
        <v>1084</v>
      </c>
      <c r="K318" s="0" t="s">
        <v>1085</v>
      </c>
      <c r="L318" s="0" t="str">
        <f aca="false">HYPERLINK("https://www.ncbi.nlm.nih.gov/nuccore/CP000058.1?report=graph&amp;tracks=[key:gene_model_track,Options:GeneOnly]&amp;mk=97936:97955|offset_7|00cc00,97915:97934|offset_28|444444,97876:97895|offset_67|444444,97841:97860|offset_102|444444&amp;v=97735:98060&amp;c=444444", "offset 7")</f>
        <v>offset 7</v>
      </c>
    </row>
    <row r="319" customFormat="false" ht="12.8" hidden="false" customHeight="false" outlineLevel="0" collapsed="false">
      <c r="A319" s="0" t="s">
        <v>12</v>
      </c>
      <c r="B319" s="0" t="n">
        <v>97914</v>
      </c>
      <c r="C319" s="0" t="n">
        <v>97934</v>
      </c>
      <c r="D319" s="0" t="s">
        <v>1081</v>
      </c>
      <c r="E319" s="0" t="s">
        <v>1082</v>
      </c>
      <c r="F319" s="0" t="s">
        <v>90</v>
      </c>
      <c r="G319" s="0" t="s">
        <v>16</v>
      </c>
      <c r="H319" s="0" t="n">
        <v>28</v>
      </c>
      <c r="I319" s="0" t="s">
        <v>1086</v>
      </c>
      <c r="J319" s="0" t="s">
        <v>1087</v>
      </c>
      <c r="K319" s="0" t="s">
        <v>1088</v>
      </c>
      <c r="L319" s="0" t="str">
        <f aca="false">HYPERLINK("https://www.ncbi.nlm.nih.gov/nuccore/CP000058.1?report=graph&amp;tracks=[key:gene_model_track,Options:GeneOnly]&amp;mk=97936:97955|offset_7|444444,97915:97934|offset_28|00cc00,97876:97895|offset_67|444444,97841:97860|offset_102|444444&amp;v=97735:98060&amp;c=444444", "offset 28")</f>
        <v>offset 28</v>
      </c>
    </row>
    <row r="320" customFormat="false" ht="12.8" hidden="false" customHeight="false" outlineLevel="0" collapsed="false">
      <c r="A320" s="0" t="s">
        <v>12</v>
      </c>
      <c r="B320" s="0" t="n">
        <v>97875</v>
      </c>
      <c r="C320" s="0" t="n">
        <v>97895</v>
      </c>
      <c r="D320" s="0" t="s">
        <v>1081</v>
      </c>
      <c r="E320" s="0" t="s">
        <v>1082</v>
      </c>
      <c r="F320" s="0" t="s">
        <v>90</v>
      </c>
      <c r="G320" s="0" t="s">
        <v>32</v>
      </c>
      <c r="H320" s="0" t="n">
        <v>67</v>
      </c>
      <c r="I320" s="0" t="s">
        <v>1089</v>
      </c>
      <c r="J320" s="0" t="s">
        <v>1090</v>
      </c>
      <c r="K320" s="0" t="s">
        <v>1091</v>
      </c>
      <c r="L320" s="0" t="str">
        <f aca="false">HYPERLINK("https://www.ncbi.nlm.nih.gov/nuccore/CP000058.1?report=graph&amp;tracks=[key:gene_model_track,Options:GeneOnly]&amp;mk=97936:97955|offset_7|444444,97915:97934|offset_28|444444,97876:97895|offset_67|00cc00,97841:97860|offset_102|444444&amp;v=97735:98060&amp;c=444444", "offset 67")</f>
        <v>offset 67</v>
      </c>
    </row>
    <row r="321" customFormat="false" ht="12.8" hidden="false" customHeight="false" outlineLevel="0" collapsed="false">
      <c r="A321" s="0" t="s">
        <v>12</v>
      </c>
      <c r="B321" s="0" t="n">
        <v>97840</v>
      </c>
      <c r="C321" s="0" t="n">
        <v>97860</v>
      </c>
      <c r="D321" s="0" t="s">
        <v>1081</v>
      </c>
      <c r="E321" s="0" t="s">
        <v>1082</v>
      </c>
      <c r="F321" s="0" t="s">
        <v>90</v>
      </c>
      <c r="G321" s="0" t="s">
        <v>16</v>
      </c>
      <c r="H321" s="0" t="n">
        <v>102</v>
      </c>
      <c r="I321" s="0" t="s">
        <v>1092</v>
      </c>
      <c r="J321" s="0" t="s">
        <v>1093</v>
      </c>
      <c r="K321" s="0" t="s">
        <v>1094</v>
      </c>
      <c r="L321" s="0" t="str">
        <f aca="false">HYPERLINK("https://www.ncbi.nlm.nih.gov/nuccore/CP000058.1?report=graph&amp;tracks=[key:gene_model_track,Options:GeneOnly]&amp;mk=97936:97955|offset_7|444444,97915:97934|offset_28|444444,97876:97895|offset_67|444444,97841:97860|offset_102|00cc00&amp;v=97735:98060&amp;c=444444", "offset 102")</f>
        <v>offset 102</v>
      </c>
    </row>
    <row r="322" customFormat="false" ht="12.8" hidden="false" customHeight="false" outlineLevel="0" collapsed="false">
      <c r="A322" s="0" t="s">
        <v>12</v>
      </c>
      <c r="B322" s="0" t="n">
        <v>98181</v>
      </c>
      <c r="C322" s="0" t="n">
        <v>98201</v>
      </c>
      <c r="D322" s="0" t="s">
        <v>1095</v>
      </c>
      <c r="E322" s="0" t="s">
        <v>75</v>
      </c>
      <c r="F322" s="0" t="s">
        <v>90</v>
      </c>
      <c r="G322" s="0" t="s">
        <v>16</v>
      </c>
      <c r="H322" s="0" t="n">
        <v>94</v>
      </c>
      <c r="I322" s="0" t="s">
        <v>1096</v>
      </c>
      <c r="J322" s="0" t="s">
        <v>1097</v>
      </c>
      <c r="K322" s="0" t="s">
        <v>1098</v>
      </c>
      <c r="L322" s="0" t="str">
        <f aca="false">HYPERLINK("https://www.ncbi.nlm.nih.gov/nuccore/CP000058.1?report=graph&amp;tracks=[key:gene_model_track,Options:GeneOnly]&amp;mk=98182:98201|offset_94|00cc00&amp;v=97981:98401&amp;c=444444", "offset 94")</f>
        <v>offset 94</v>
      </c>
    </row>
    <row r="323" customFormat="false" ht="12.8" hidden="false" customHeight="false" outlineLevel="0" collapsed="false">
      <c r="A323" s="0" t="s">
        <v>12</v>
      </c>
      <c r="B323" s="0" t="n">
        <v>100400</v>
      </c>
      <c r="C323" s="0" t="n">
        <v>100420</v>
      </c>
      <c r="D323" s="0" t="s">
        <v>1099</v>
      </c>
      <c r="E323" s="0" t="s">
        <v>75</v>
      </c>
      <c r="F323" s="0" t="s">
        <v>90</v>
      </c>
      <c r="G323" s="0" t="s">
        <v>16</v>
      </c>
      <c r="H323" s="0" t="n">
        <v>0</v>
      </c>
      <c r="I323" s="0" t="s">
        <v>1100</v>
      </c>
      <c r="J323" s="0" t="s">
        <v>1101</v>
      </c>
      <c r="K323" s="0" t="s">
        <v>1102</v>
      </c>
      <c r="L323" s="0" t="str">
        <f aca="false">HYPERLINK("https://www.ncbi.nlm.nih.gov/nuccore/CP000058.1?report=graph&amp;tracks=[key:gene_model_track,Options:GeneOnly]&amp;mk=100401:100420|offset_0|00cc00,100364:100383|offset_37|444444,100343:100362|offset_58|444444,100318:100337|offset_83|444444&amp;v=100200:100537&amp;c=444444", "offset 0")</f>
        <v>offset 0</v>
      </c>
    </row>
    <row r="324" customFormat="false" ht="12.8" hidden="false" customHeight="false" outlineLevel="0" collapsed="false">
      <c r="A324" s="0" t="s">
        <v>12</v>
      </c>
      <c r="B324" s="0" t="n">
        <v>100363</v>
      </c>
      <c r="C324" s="0" t="n">
        <v>100383</v>
      </c>
      <c r="D324" s="0" t="s">
        <v>1099</v>
      </c>
      <c r="E324" s="0" t="s">
        <v>75</v>
      </c>
      <c r="F324" s="0" t="s">
        <v>90</v>
      </c>
      <c r="G324" s="0" t="s">
        <v>16</v>
      </c>
      <c r="H324" s="0" t="n">
        <v>37</v>
      </c>
      <c r="I324" s="0" t="s">
        <v>1103</v>
      </c>
      <c r="J324" s="0" t="s">
        <v>1104</v>
      </c>
      <c r="K324" s="0" t="s">
        <v>1105</v>
      </c>
      <c r="L324" s="0" t="str">
        <f aca="false">HYPERLINK("https://www.ncbi.nlm.nih.gov/nuccore/CP000058.1?report=graph&amp;tracks=[key:gene_model_track,Options:GeneOnly]&amp;mk=100401:100420|offset_0|444444,100364:100383|offset_37|00cc00,100343:100362|offset_58|444444,100318:100337|offset_83|444444&amp;v=100200:100537&amp;c=444444", "offset 37")</f>
        <v>offset 37</v>
      </c>
    </row>
    <row r="325" customFormat="false" ht="12.8" hidden="false" customHeight="false" outlineLevel="0" collapsed="false">
      <c r="A325" s="0" t="s">
        <v>12</v>
      </c>
      <c r="B325" s="0" t="n">
        <v>100342</v>
      </c>
      <c r="C325" s="0" t="n">
        <v>100362</v>
      </c>
      <c r="D325" s="0" t="s">
        <v>1099</v>
      </c>
      <c r="E325" s="0" t="s">
        <v>75</v>
      </c>
      <c r="F325" s="0" t="s">
        <v>90</v>
      </c>
      <c r="G325" s="0" t="s">
        <v>32</v>
      </c>
      <c r="H325" s="0" t="n">
        <v>58</v>
      </c>
      <c r="I325" s="0" t="s">
        <v>1106</v>
      </c>
      <c r="J325" s="0" t="s">
        <v>1107</v>
      </c>
      <c r="K325" s="0" t="s">
        <v>1108</v>
      </c>
      <c r="L325" s="0" t="str">
        <f aca="false">HYPERLINK("https://www.ncbi.nlm.nih.gov/nuccore/CP000058.1?report=graph&amp;tracks=[key:gene_model_track,Options:GeneOnly]&amp;mk=100401:100420|offset_0|444444,100364:100383|offset_37|444444,100343:100362|offset_58|00cc00,100318:100337|offset_83|444444&amp;v=100200:100537&amp;c=444444", "offset 58")</f>
        <v>offset 58</v>
      </c>
    </row>
    <row r="326" customFormat="false" ht="12.8" hidden="false" customHeight="false" outlineLevel="0" collapsed="false">
      <c r="A326" s="0" t="s">
        <v>12</v>
      </c>
      <c r="B326" s="0" t="n">
        <v>100317</v>
      </c>
      <c r="C326" s="0" t="n">
        <v>100337</v>
      </c>
      <c r="D326" s="0" t="s">
        <v>1099</v>
      </c>
      <c r="E326" s="0" t="s">
        <v>75</v>
      </c>
      <c r="F326" s="0" t="s">
        <v>90</v>
      </c>
      <c r="G326" s="0" t="s">
        <v>20</v>
      </c>
      <c r="H326" s="0" t="n">
        <v>83</v>
      </c>
      <c r="I326" s="0" t="s">
        <v>1109</v>
      </c>
      <c r="J326" s="0" t="s">
        <v>1110</v>
      </c>
      <c r="K326" s="0" t="s">
        <v>1111</v>
      </c>
      <c r="L326" s="0" t="str">
        <f aca="false">HYPERLINK("https://www.ncbi.nlm.nih.gov/nuccore/CP000058.1?report=graph&amp;tracks=[key:gene_model_track,Options:GeneOnly]&amp;mk=100401:100420|offset_0|444444,100364:100383|offset_37|444444,100343:100362|offset_58|444444,100318:100337|offset_83|00cc00&amp;v=100200:100537&amp;c=444444", "offset 83")</f>
        <v>offset 83</v>
      </c>
    </row>
    <row r="327" customFormat="false" ht="12.8" hidden="false" customHeight="false" outlineLevel="0" collapsed="false">
      <c r="A327" s="0" t="s">
        <v>12</v>
      </c>
      <c r="B327" s="0" t="n">
        <v>100567</v>
      </c>
      <c r="C327" s="0" t="n">
        <v>100587</v>
      </c>
      <c r="D327" s="0" t="s">
        <v>1112</v>
      </c>
      <c r="E327" s="0" t="s">
        <v>75</v>
      </c>
      <c r="F327" s="0" t="s">
        <v>15</v>
      </c>
      <c r="G327" s="0" t="s">
        <v>32</v>
      </c>
      <c r="H327" s="0" t="n">
        <v>76</v>
      </c>
      <c r="I327" s="0" t="s">
        <v>1113</v>
      </c>
      <c r="J327" s="0" t="s">
        <v>1114</v>
      </c>
      <c r="K327" s="0" t="s">
        <v>1115</v>
      </c>
      <c r="L327" s="0" t="str">
        <f aca="false">HYPERLINK("https://www.ncbi.nlm.nih.gov/nuccore/CP000058.1?report=graph&amp;tracks=[key:gene_model_track,Options:GeneOnly]&amp;mk=100568:100587|offset_76|00cc00,100602:100621|offset_110|444444,100643:100662|offset_151|444444,100680:100699|offset_188|444444&amp;v=100367:100899&amp;c=444444", "offset 76")</f>
        <v>offset 76</v>
      </c>
    </row>
    <row r="328" customFormat="false" ht="12.8" hidden="false" customHeight="false" outlineLevel="0" collapsed="false">
      <c r="A328" s="0" t="s">
        <v>12</v>
      </c>
      <c r="B328" s="0" t="n">
        <v>100601</v>
      </c>
      <c r="C328" s="0" t="n">
        <v>100621</v>
      </c>
      <c r="D328" s="0" t="s">
        <v>1112</v>
      </c>
      <c r="E328" s="0" t="s">
        <v>75</v>
      </c>
      <c r="F328" s="0" t="s">
        <v>15</v>
      </c>
      <c r="G328" s="0" t="s">
        <v>20</v>
      </c>
      <c r="H328" s="0" t="n">
        <v>110</v>
      </c>
      <c r="I328" s="0" t="s">
        <v>1116</v>
      </c>
      <c r="J328" s="0" t="s">
        <v>1117</v>
      </c>
      <c r="K328" s="0" t="s">
        <v>1118</v>
      </c>
      <c r="L328" s="0" t="str">
        <f aca="false">HYPERLINK("https://www.ncbi.nlm.nih.gov/nuccore/CP000058.1?report=graph&amp;tracks=[key:gene_model_track,Options:GeneOnly]&amp;mk=100568:100587|offset_76|444444,100602:100621|offset_110|00cc00,100643:100662|offset_151|444444,100680:100699|offset_188|444444&amp;v=100367:100899&amp;c=444444", "offset 110")</f>
        <v>offset 110</v>
      </c>
    </row>
    <row r="329" customFormat="false" ht="12.8" hidden="false" customHeight="false" outlineLevel="0" collapsed="false">
      <c r="A329" s="0" t="s">
        <v>12</v>
      </c>
      <c r="B329" s="0" t="n">
        <v>100642</v>
      </c>
      <c r="C329" s="0" t="n">
        <v>100662</v>
      </c>
      <c r="D329" s="0" t="s">
        <v>1112</v>
      </c>
      <c r="E329" s="0" t="s">
        <v>75</v>
      </c>
      <c r="F329" s="0" t="s">
        <v>15</v>
      </c>
      <c r="G329" s="0" t="s">
        <v>36</v>
      </c>
      <c r="H329" s="0" t="n">
        <v>151</v>
      </c>
      <c r="I329" s="0" t="s">
        <v>1119</v>
      </c>
      <c r="J329" s="0" t="s">
        <v>1120</v>
      </c>
      <c r="K329" s="0" t="s">
        <v>1121</v>
      </c>
      <c r="L329" s="0" t="str">
        <f aca="false">HYPERLINK("https://www.ncbi.nlm.nih.gov/nuccore/CP000058.1?report=graph&amp;tracks=[key:gene_model_track,Options:GeneOnly]&amp;mk=100568:100587|offset_76|444444,100602:100621|offset_110|444444,100643:100662|offset_151|00cc00,100680:100699|offset_188|444444&amp;v=100367:100899&amp;c=444444", "offset 151")</f>
        <v>offset 151</v>
      </c>
    </row>
    <row r="330" customFormat="false" ht="12.8" hidden="false" customHeight="false" outlineLevel="0" collapsed="false">
      <c r="A330" s="0" t="s">
        <v>12</v>
      </c>
      <c r="B330" s="0" t="n">
        <v>100679</v>
      </c>
      <c r="C330" s="0" t="n">
        <v>100699</v>
      </c>
      <c r="D330" s="0" t="s">
        <v>1112</v>
      </c>
      <c r="E330" s="0" t="s">
        <v>75</v>
      </c>
      <c r="F330" s="0" t="s">
        <v>15</v>
      </c>
      <c r="G330" s="0" t="s">
        <v>16</v>
      </c>
      <c r="H330" s="0" t="n">
        <v>188</v>
      </c>
      <c r="I330" s="0" t="s">
        <v>1122</v>
      </c>
      <c r="J330" s="0" t="s">
        <v>1123</v>
      </c>
      <c r="K330" s="0" t="s">
        <v>1124</v>
      </c>
      <c r="L330" s="0" t="str">
        <f aca="false">HYPERLINK("https://www.ncbi.nlm.nih.gov/nuccore/CP000058.1?report=graph&amp;tracks=[key:gene_model_track,Options:GeneOnly]&amp;mk=100568:100587|offset_76|444444,100602:100621|offset_110|444444,100643:100662|offset_151|444444,100680:100699|offset_188|00cc00&amp;v=100367:100899&amp;c=444444", "offset 188")</f>
        <v>offset 188</v>
      </c>
    </row>
    <row r="331" customFormat="false" ht="12.8" hidden="false" customHeight="false" outlineLevel="0" collapsed="false">
      <c r="A331" s="0" t="s">
        <v>12</v>
      </c>
      <c r="B331" s="0" t="n">
        <v>101943</v>
      </c>
      <c r="C331" s="0" t="n">
        <v>101963</v>
      </c>
      <c r="D331" s="0" t="s">
        <v>1125</v>
      </c>
      <c r="E331" s="0" t="s">
        <v>75</v>
      </c>
      <c r="F331" s="0" t="s">
        <v>15</v>
      </c>
      <c r="G331" s="0" t="s">
        <v>36</v>
      </c>
      <c r="H331" s="0" t="n">
        <v>6</v>
      </c>
      <c r="I331" s="0" t="s">
        <v>1126</v>
      </c>
      <c r="J331" s="0" t="s">
        <v>1127</v>
      </c>
      <c r="K331" s="0" t="s">
        <v>1128</v>
      </c>
      <c r="L331" s="0" t="str">
        <f aca="false">HYPERLINK("https://www.ncbi.nlm.nih.gov/nuccore/CP000058.1?report=graph&amp;tracks=[key:gene_model_track,Options:GeneOnly]&amp;mk=101944:101963|offset_6|00cc00,101969:101988|offset_31|444444,101996:102015|offset_58|444444,102077:102096|offset_139|444444&amp;v=101743:102296&amp;c=444444", "offset 6")</f>
        <v>offset 6</v>
      </c>
    </row>
    <row r="332" customFormat="false" ht="12.8" hidden="false" customHeight="false" outlineLevel="0" collapsed="false">
      <c r="A332" s="0" t="s">
        <v>12</v>
      </c>
      <c r="B332" s="0" t="n">
        <v>101968</v>
      </c>
      <c r="C332" s="0" t="n">
        <v>101988</v>
      </c>
      <c r="D332" s="0" t="s">
        <v>1125</v>
      </c>
      <c r="E332" s="0" t="s">
        <v>75</v>
      </c>
      <c r="F332" s="0" t="s">
        <v>15</v>
      </c>
      <c r="G332" s="0" t="s">
        <v>36</v>
      </c>
      <c r="H332" s="0" t="n">
        <v>31</v>
      </c>
      <c r="I332" s="0" t="s">
        <v>1129</v>
      </c>
      <c r="J332" s="0" t="s">
        <v>1130</v>
      </c>
      <c r="K332" s="0" t="s">
        <v>1131</v>
      </c>
      <c r="L332" s="0" t="str">
        <f aca="false">HYPERLINK("https://www.ncbi.nlm.nih.gov/nuccore/CP000058.1?report=graph&amp;tracks=[key:gene_model_track,Options:GeneOnly]&amp;mk=101944:101963|offset_6|444444,101969:101988|offset_31|00cc00,101996:102015|offset_58|444444,102077:102096|offset_139|444444&amp;v=101743:102296&amp;c=444444", "offset 31")</f>
        <v>offset 31</v>
      </c>
    </row>
    <row r="333" customFormat="false" ht="12.8" hidden="false" customHeight="false" outlineLevel="0" collapsed="false">
      <c r="A333" s="0" t="s">
        <v>12</v>
      </c>
      <c r="B333" s="0" t="n">
        <v>101995</v>
      </c>
      <c r="C333" s="0" t="n">
        <v>102015</v>
      </c>
      <c r="D333" s="0" t="s">
        <v>1125</v>
      </c>
      <c r="E333" s="0" t="s">
        <v>75</v>
      </c>
      <c r="F333" s="0" t="s">
        <v>15</v>
      </c>
      <c r="G333" s="0" t="s">
        <v>36</v>
      </c>
      <c r="H333" s="0" t="n">
        <v>58</v>
      </c>
      <c r="I333" s="0" t="s">
        <v>1132</v>
      </c>
      <c r="J333" s="0" t="s">
        <v>1133</v>
      </c>
      <c r="K333" s="0" t="s">
        <v>1134</v>
      </c>
      <c r="L333" s="0" t="str">
        <f aca="false">HYPERLINK("https://www.ncbi.nlm.nih.gov/nuccore/CP000058.1?report=graph&amp;tracks=[key:gene_model_track,Options:GeneOnly]&amp;mk=101944:101963|offset_6|444444,101969:101988|offset_31|444444,101996:102015|offset_58|00cc00,102077:102096|offset_139|444444&amp;v=101743:102296&amp;c=444444", "offset 58")</f>
        <v>offset 58</v>
      </c>
    </row>
    <row r="334" customFormat="false" ht="12.8" hidden="false" customHeight="false" outlineLevel="0" collapsed="false">
      <c r="A334" s="0" t="s">
        <v>12</v>
      </c>
      <c r="B334" s="0" t="n">
        <v>102076</v>
      </c>
      <c r="C334" s="0" t="n">
        <v>102096</v>
      </c>
      <c r="D334" s="0" t="s">
        <v>1125</v>
      </c>
      <c r="E334" s="0" t="s">
        <v>75</v>
      </c>
      <c r="F334" s="0" t="s">
        <v>15</v>
      </c>
      <c r="G334" s="0" t="s">
        <v>36</v>
      </c>
      <c r="H334" s="0" t="n">
        <v>139</v>
      </c>
      <c r="I334" s="0" t="s">
        <v>1135</v>
      </c>
      <c r="J334" s="0" t="s">
        <v>1136</v>
      </c>
      <c r="K334" s="0" t="s">
        <v>1137</v>
      </c>
      <c r="L334" s="0" t="str">
        <f aca="false">HYPERLINK("https://www.ncbi.nlm.nih.gov/nuccore/CP000058.1?report=graph&amp;tracks=[key:gene_model_track,Options:GeneOnly]&amp;mk=101944:101963|offset_6|444444,101969:101988|offset_31|444444,101996:102015|offset_58|444444,102077:102096|offset_139|00cc00&amp;v=101743:102296&amp;c=444444", "offset 139")</f>
        <v>offset 139</v>
      </c>
    </row>
    <row r="335" customFormat="false" ht="12.8" hidden="false" customHeight="false" outlineLevel="0" collapsed="false">
      <c r="A335" s="0" t="s">
        <v>12</v>
      </c>
      <c r="B335" s="0" t="n">
        <v>104510</v>
      </c>
      <c r="C335" s="0" t="n">
        <v>104530</v>
      </c>
      <c r="D335" s="0" t="s">
        <v>1138</v>
      </c>
      <c r="E335" s="0" t="s">
        <v>75</v>
      </c>
      <c r="F335" s="0" t="s">
        <v>90</v>
      </c>
      <c r="G335" s="0" t="s">
        <v>36</v>
      </c>
      <c r="H335" s="0" t="n">
        <v>21</v>
      </c>
      <c r="I335" s="0" t="s">
        <v>1139</v>
      </c>
      <c r="J335" s="0" t="s">
        <v>1140</v>
      </c>
      <c r="K335" s="0" t="s">
        <v>1141</v>
      </c>
      <c r="L335" s="0" t="str">
        <f aca="false">HYPERLINK("https://www.ncbi.nlm.nih.gov/nuccore/CP000058.1?report=graph&amp;tracks=[key:gene_model_track,Options:GeneOnly]&amp;mk=104511:104530|offset_21|00cc00,104475:104494|offset_57|444444,104419:104438|offset_113|444444,104390:104409|offset_142|444444&amp;v=104310:104609&amp;c=444444", "offset 21")</f>
        <v>offset 21</v>
      </c>
    </row>
    <row r="336" customFormat="false" ht="12.8" hidden="false" customHeight="false" outlineLevel="0" collapsed="false">
      <c r="A336" s="0" t="s">
        <v>12</v>
      </c>
      <c r="B336" s="0" t="n">
        <v>104474</v>
      </c>
      <c r="C336" s="0" t="n">
        <v>104494</v>
      </c>
      <c r="D336" s="0" t="s">
        <v>1138</v>
      </c>
      <c r="E336" s="0" t="s">
        <v>75</v>
      </c>
      <c r="F336" s="0" t="s">
        <v>90</v>
      </c>
      <c r="G336" s="0" t="s">
        <v>16</v>
      </c>
      <c r="H336" s="0" t="n">
        <v>57</v>
      </c>
      <c r="I336" s="0" t="s">
        <v>1142</v>
      </c>
      <c r="J336" s="0" t="s">
        <v>1143</v>
      </c>
      <c r="K336" s="0" t="s">
        <v>1144</v>
      </c>
      <c r="L336" s="0" t="str">
        <f aca="false">HYPERLINK("https://www.ncbi.nlm.nih.gov/nuccore/CP000058.1?report=graph&amp;tracks=[key:gene_model_track,Options:GeneOnly]&amp;mk=104511:104530|offset_21|444444,104475:104494|offset_57|00cc00,104419:104438|offset_113|444444,104390:104409|offset_142|444444&amp;v=104310:104609&amp;c=444444", "offset 57")</f>
        <v>offset 57</v>
      </c>
    </row>
    <row r="337" customFormat="false" ht="12.8" hidden="false" customHeight="false" outlineLevel="0" collapsed="false">
      <c r="A337" s="0" t="s">
        <v>12</v>
      </c>
      <c r="B337" s="0" t="n">
        <v>104418</v>
      </c>
      <c r="C337" s="0" t="n">
        <v>104438</v>
      </c>
      <c r="D337" s="0" t="s">
        <v>1138</v>
      </c>
      <c r="E337" s="0" t="s">
        <v>75</v>
      </c>
      <c r="F337" s="0" t="s">
        <v>90</v>
      </c>
      <c r="G337" s="0" t="s">
        <v>20</v>
      </c>
      <c r="H337" s="0" t="n">
        <v>113</v>
      </c>
      <c r="I337" s="0" t="s">
        <v>1145</v>
      </c>
      <c r="J337" s="0" t="s">
        <v>1146</v>
      </c>
      <c r="K337" s="0" t="s">
        <v>1147</v>
      </c>
      <c r="L337" s="0" t="str">
        <f aca="false">HYPERLINK("https://www.ncbi.nlm.nih.gov/nuccore/CP000058.1?report=graph&amp;tracks=[key:gene_model_track,Options:GeneOnly]&amp;mk=104511:104530|offset_21|444444,104475:104494|offset_57|444444,104419:104438|offset_113|00cc00,104390:104409|offset_142|444444&amp;v=104310:104609&amp;c=444444", "offset 113")</f>
        <v>offset 113</v>
      </c>
    </row>
    <row r="338" customFormat="false" ht="12.8" hidden="false" customHeight="false" outlineLevel="0" collapsed="false">
      <c r="A338" s="0" t="s">
        <v>12</v>
      </c>
      <c r="B338" s="0" t="n">
        <v>104389</v>
      </c>
      <c r="C338" s="0" t="n">
        <v>104409</v>
      </c>
      <c r="D338" s="0" t="s">
        <v>1138</v>
      </c>
      <c r="E338" s="0" t="s">
        <v>75</v>
      </c>
      <c r="F338" s="0" t="s">
        <v>90</v>
      </c>
      <c r="G338" s="0" t="s">
        <v>16</v>
      </c>
      <c r="H338" s="0" t="n">
        <v>142</v>
      </c>
      <c r="I338" s="0" t="s">
        <v>1148</v>
      </c>
      <c r="J338" s="0" t="s">
        <v>1149</v>
      </c>
      <c r="K338" s="0" t="s">
        <v>1150</v>
      </c>
      <c r="L338" s="0" t="str">
        <f aca="false">HYPERLINK("https://www.ncbi.nlm.nih.gov/nuccore/CP000058.1?report=graph&amp;tracks=[key:gene_model_track,Options:GeneOnly]&amp;mk=104511:104530|offset_21|444444,104475:104494|offset_57|444444,104419:104438|offset_113|444444,104390:104409|offset_142|00cc00&amp;v=104310:104609&amp;c=444444", "offset 142")</f>
        <v>offset 142</v>
      </c>
    </row>
    <row r="339" customFormat="false" ht="12.8" hidden="false" customHeight="false" outlineLevel="0" collapsed="false">
      <c r="A339" s="0" t="s">
        <v>12</v>
      </c>
      <c r="B339" s="0" t="n">
        <v>105948</v>
      </c>
      <c r="C339" s="0" t="n">
        <v>105968</v>
      </c>
      <c r="D339" s="0" t="s">
        <v>1151</v>
      </c>
      <c r="E339" s="0" t="s">
        <v>1152</v>
      </c>
      <c r="F339" s="0" t="s">
        <v>90</v>
      </c>
      <c r="G339" s="0" t="s">
        <v>36</v>
      </c>
      <c r="H339" s="0" t="n">
        <v>22</v>
      </c>
      <c r="I339" s="0" t="s">
        <v>1153</v>
      </c>
      <c r="J339" s="0" t="s">
        <v>1154</v>
      </c>
      <c r="K339" s="0" t="s">
        <v>1155</v>
      </c>
      <c r="L339" s="0" t="str">
        <f aca="false">HYPERLINK("https://www.ncbi.nlm.nih.gov/nuccore/CP000058.1?report=graph&amp;tracks=[key:gene_model_track,Options:GeneOnly]&amp;mk=105949:105968|offset_22|00cc00,105925:105944|offset_46|444444,105900:105919|offset_71|444444,105865:105884|offset_106|444444&amp;v=105748:106084&amp;c=444444", "offset 22")</f>
        <v>offset 22</v>
      </c>
    </row>
    <row r="340" customFormat="false" ht="12.8" hidden="false" customHeight="false" outlineLevel="0" collapsed="false">
      <c r="A340" s="0" t="s">
        <v>12</v>
      </c>
      <c r="B340" s="0" t="n">
        <v>105924</v>
      </c>
      <c r="C340" s="0" t="n">
        <v>105944</v>
      </c>
      <c r="D340" s="0" t="s">
        <v>1151</v>
      </c>
      <c r="E340" s="0" t="s">
        <v>1152</v>
      </c>
      <c r="F340" s="0" t="s">
        <v>90</v>
      </c>
      <c r="G340" s="0" t="s">
        <v>16</v>
      </c>
      <c r="H340" s="0" t="n">
        <v>46</v>
      </c>
      <c r="I340" s="0" t="s">
        <v>1156</v>
      </c>
      <c r="J340" s="0" t="s">
        <v>1157</v>
      </c>
      <c r="K340" s="0" t="s">
        <v>1158</v>
      </c>
      <c r="L340" s="0" t="str">
        <f aca="false">HYPERLINK("https://www.ncbi.nlm.nih.gov/nuccore/CP000058.1?report=graph&amp;tracks=[key:gene_model_track,Options:GeneOnly]&amp;mk=105949:105968|offset_22|444444,105925:105944|offset_46|00cc00,105900:105919|offset_71|444444,105865:105884|offset_106|444444&amp;v=105748:106084&amp;c=444444", "offset 46")</f>
        <v>offset 46</v>
      </c>
    </row>
    <row r="341" customFormat="false" ht="12.8" hidden="false" customHeight="false" outlineLevel="0" collapsed="false">
      <c r="A341" s="0" t="s">
        <v>12</v>
      </c>
      <c r="B341" s="0" t="n">
        <v>105899</v>
      </c>
      <c r="C341" s="0" t="n">
        <v>105919</v>
      </c>
      <c r="D341" s="0" t="s">
        <v>1151</v>
      </c>
      <c r="E341" s="0" t="s">
        <v>1152</v>
      </c>
      <c r="F341" s="0" t="s">
        <v>90</v>
      </c>
      <c r="G341" s="0" t="s">
        <v>32</v>
      </c>
      <c r="H341" s="0" t="n">
        <v>71</v>
      </c>
      <c r="I341" s="0" t="s">
        <v>1159</v>
      </c>
      <c r="J341" s="0" t="s">
        <v>1160</v>
      </c>
      <c r="K341" s="0" t="s">
        <v>1161</v>
      </c>
      <c r="L341" s="0" t="str">
        <f aca="false">HYPERLINK("https://www.ncbi.nlm.nih.gov/nuccore/CP000058.1?report=graph&amp;tracks=[key:gene_model_track,Options:GeneOnly]&amp;mk=105949:105968|offset_22|444444,105925:105944|offset_46|444444,105900:105919|offset_71|00cc00,105865:105884|offset_106|444444&amp;v=105748:106084&amp;c=444444", "offset 71")</f>
        <v>offset 71</v>
      </c>
    </row>
    <row r="342" customFormat="false" ht="12.8" hidden="false" customHeight="false" outlineLevel="0" collapsed="false">
      <c r="A342" s="0" t="s">
        <v>12</v>
      </c>
      <c r="B342" s="0" t="n">
        <v>105864</v>
      </c>
      <c r="C342" s="0" t="n">
        <v>105884</v>
      </c>
      <c r="D342" s="0" t="s">
        <v>1151</v>
      </c>
      <c r="E342" s="0" t="s">
        <v>1152</v>
      </c>
      <c r="F342" s="0" t="s">
        <v>90</v>
      </c>
      <c r="G342" s="0" t="s">
        <v>16</v>
      </c>
      <c r="H342" s="0" t="n">
        <v>106</v>
      </c>
      <c r="I342" s="0" t="s">
        <v>1162</v>
      </c>
      <c r="J342" s="0" t="s">
        <v>1163</v>
      </c>
      <c r="K342" s="0" t="s">
        <v>1164</v>
      </c>
      <c r="L342" s="0" t="str">
        <f aca="false">HYPERLINK("https://www.ncbi.nlm.nih.gov/nuccore/CP000058.1?report=graph&amp;tracks=[key:gene_model_track,Options:GeneOnly]&amp;mk=105949:105968|offset_22|444444,105925:105944|offset_46|444444,105900:105919|offset_71|444444,105865:105884|offset_106|00cc00&amp;v=105748:106084&amp;c=444444", "offset 106")</f>
        <v>offset 106</v>
      </c>
    </row>
    <row r="343" customFormat="false" ht="12.8" hidden="false" customHeight="false" outlineLevel="0" collapsed="false">
      <c r="A343" s="0" t="s">
        <v>12</v>
      </c>
      <c r="B343" s="0" t="n">
        <v>107601</v>
      </c>
      <c r="C343" s="0" t="n">
        <v>107621</v>
      </c>
      <c r="D343" s="0" t="s">
        <v>1165</v>
      </c>
      <c r="E343" s="0" t="s">
        <v>1166</v>
      </c>
      <c r="F343" s="0" t="s">
        <v>90</v>
      </c>
      <c r="G343" s="0" t="s">
        <v>32</v>
      </c>
      <c r="H343" s="0" t="n">
        <v>19</v>
      </c>
      <c r="I343" s="0" t="s">
        <v>1167</v>
      </c>
      <c r="J343" s="0" t="s">
        <v>1168</v>
      </c>
      <c r="K343" s="0" t="s">
        <v>1169</v>
      </c>
      <c r="L343" s="0" t="str">
        <f aca="false">HYPERLINK("https://www.ncbi.nlm.nih.gov/nuccore/CP000058.1?report=graph&amp;tracks=[key:gene_model_track,Options:GeneOnly]&amp;mk=107602:107621|offset_19|00cc00,107568:107587|offset_53|444444,107523:107542|offset_98|444444,107492:107511|offset_129|444444&amp;v=107401:107711&amp;c=444444", "offset 19")</f>
        <v>offset 19</v>
      </c>
    </row>
    <row r="344" customFormat="false" ht="12.8" hidden="false" customHeight="false" outlineLevel="0" collapsed="false">
      <c r="A344" s="0" t="s">
        <v>12</v>
      </c>
      <c r="B344" s="0" t="n">
        <v>107567</v>
      </c>
      <c r="C344" s="0" t="n">
        <v>107587</v>
      </c>
      <c r="D344" s="0" t="s">
        <v>1165</v>
      </c>
      <c r="E344" s="0" t="s">
        <v>1166</v>
      </c>
      <c r="F344" s="0" t="s">
        <v>90</v>
      </c>
      <c r="G344" s="0" t="s">
        <v>32</v>
      </c>
      <c r="H344" s="0" t="n">
        <v>53</v>
      </c>
      <c r="I344" s="0" t="s">
        <v>1170</v>
      </c>
      <c r="J344" s="0" t="s">
        <v>1171</v>
      </c>
      <c r="K344" s="0" t="s">
        <v>1172</v>
      </c>
      <c r="L344" s="0" t="str">
        <f aca="false">HYPERLINK("https://www.ncbi.nlm.nih.gov/nuccore/CP000058.1?report=graph&amp;tracks=[key:gene_model_track,Options:GeneOnly]&amp;mk=107602:107621|offset_19|444444,107568:107587|offset_53|00cc00,107523:107542|offset_98|444444,107492:107511|offset_129|444444&amp;v=107401:107711&amp;c=444444", "offset 53")</f>
        <v>offset 53</v>
      </c>
    </row>
    <row r="345" customFormat="false" ht="12.8" hidden="false" customHeight="false" outlineLevel="0" collapsed="false">
      <c r="A345" s="0" t="s">
        <v>12</v>
      </c>
      <c r="B345" s="0" t="n">
        <v>107522</v>
      </c>
      <c r="C345" s="0" t="n">
        <v>107542</v>
      </c>
      <c r="D345" s="0" t="s">
        <v>1165</v>
      </c>
      <c r="E345" s="0" t="s">
        <v>1166</v>
      </c>
      <c r="F345" s="0" t="s">
        <v>90</v>
      </c>
      <c r="G345" s="0" t="s">
        <v>36</v>
      </c>
      <c r="H345" s="0" t="n">
        <v>98</v>
      </c>
      <c r="I345" s="0" t="s">
        <v>1173</v>
      </c>
      <c r="J345" s="0" t="s">
        <v>1174</v>
      </c>
      <c r="K345" s="0" t="s">
        <v>1175</v>
      </c>
      <c r="L345" s="0" t="str">
        <f aca="false">HYPERLINK("https://www.ncbi.nlm.nih.gov/nuccore/CP000058.1?report=graph&amp;tracks=[key:gene_model_track,Options:GeneOnly]&amp;mk=107602:107621|offset_19|444444,107568:107587|offset_53|444444,107523:107542|offset_98|00cc00,107492:107511|offset_129|444444&amp;v=107401:107711&amp;c=444444", "offset 98")</f>
        <v>offset 98</v>
      </c>
    </row>
    <row r="346" customFormat="false" ht="12.8" hidden="false" customHeight="false" outlineLevel="0" collapsed="false">
      <c r="A346" s="0" t="s">
        <v>12</v>
      </c>
      <c r="B346" s="0" t="n">
        <v>107491</v>
      </c>
      <c r="C346" s="0" t="n">
        <v>107511</v>
      </c>
      <c r="D346" s="0" t="s">
        <v>1165</v>
      </c>
      <c r="E346" s="0" t="s">
        <v>1166</v>
      </c>
      <c r="F346" s="0" t="s">
        <v>90</v>
      </c>
      <c r="G346" s="0" t="s">
        <v>36</v>
      </c>
      <c r="H346" s="0" t="n">
        <v>129</v>
      </c>
      <c r="I346" s="0" t="s">
        <v>1176</v>
      </c>
      <c r="J346" s="0" t="s">
        <v>1177</v>
      </c>
      <c r="K346" s="0" t="s">
        <v>1178</v>
      </c>
      <c r="L346" s="0" t="str">
        <f aca="false">HYPERLINK("https://www.ncbi.nlm.nih.gov/nuccore/CP000058.1?report=graph&amp;tracks=[key:gene_model_track,Options:GeneOnly]&amp;mk=107602:107621|offset_19|444444,107568:107587|offset_53|444444,107523:107542|offset_98|444444,107492:107511|offset_129|00cc00&amp;v=107401:107711&amp;c=444444", "offset 129")</f>
        <v>offset 129</v>
      </c>
    </row>
    <row r="347" customFormat="false" ht="12.8" hidden="false" customHeight="false" outlineLevel="0" collapsed="false">
      <c r="A347" s="0" t="s">
        <v>12</v>
      </c>
      <c r="B347" s="0" t="n">
        <v>109326</v>
      </c>
      <c r="C347" s="0" t="n">
        <v>109346</v>
      </c>
      <c r="D347" s="0" t="s">
        <v>1179</v>
      </c>
      <c r="E347" s="0" t="s">
        <v>75</v>
      </c>
      <c r="F347" s="0" t="s">
        <v>90</v>
      </c>
      <c r="G347" s="0" t="s">
        <v>36</v>
      </c>
      <c r="H347" s="0" t="n">
        <v>15</v>
      </c>
      <c r="I347" s="0" t="s">
        <v>1180</v>
      </c>
      <c r="J347" s="0" t="s">
        <v>1181</v>
      </c>
      <c r="K347" s="0" t="s">
        <v>1182</v>
      </c>
      <c r="L347" s="0" t="str">
        <f aca="false">HYPERLINK("https://www.ncbi.nlm.nih.gov/nuccore/CP000058.1?report=graph&amp;tracks=[key:gene_model_track,Options:GeneOnly]&amp;mk=109327:109346|offset_15|00cc00,109298:109317|offset_44|444444,109256:109275|offset_86|444444,109236:109255|offset_106|444444&amp;v=109126:109455&amp;c=444444", "offset 15")</f>
        <v>offset 15</v>
      </c>
    </row>
    <row r="348" customFormat="false" ht="12.8" hidden="false" customHeight="false" outlineLevel="0" collapsed="false">
      <c r="A348" s="0" t="s">
        <v>12</v>
      </c>
      <c r="B348" s="0" t="n">
        <v>109297</v>
      </c>
      <c r="C348" s="0" t="n">
        <v>109317</v>
      </c>
      <c r="D348" s="0" t="s">
        <v>1179</v>
      </c>
      <c r="E348" s="0" t="s">
        <v>75</v>
      </c>
      <c r="F348" s="0" t="s">
        <v>90</v>
      </c>
      <c r="G348" s="0" t="s">
        <v>16</v>
      </c>
      <c r="H348" s="0" t="n">
        <v>44</v>
      </c>
      <c r="I348" s="0" t="s">
        <v>1183</v>
      </c>
      <c r="J348" s="0" t="s">
        <v>1184</v>
      </c>
      <c r="K348" s="0" t="s">
        <v>1185</v>
      </c>
      <c r="L348" s="0" t="str">
        <f aca="false">HYPERLINK("https://www.ncbi.nlm.nih.gov/nuccore/CP000058.1?report=graph&amp;tracks=[key:gene_model_track,Options:GeneOnly]&amp;mk=109327:109346|offset_15|444444,109298:109317|offset_44|00cc00,109256:109275|offset_86|444444,109236:109255|offset_106|444444&amp;v=109126:109455&amp;c=444444", "offset 44")</f>
        <v>offset 44</v>
      </c>
    </row>
    <row r="349" customFormat="false" ht="12.8" hidden="false" customHeight="false" outlineLevel="0" collapsed="false">
      <c r="A349" s="0" t="s">
        <v>12</v>
      </c>
      <c r="B349" s="0" t="n">
        <v>109255</v>
      </c>
      <c r="C349" s="0" t="n">
        <v>109275</v>
      </c>
      <c r="D349" s="0" t="s">
        <v>1179</v>
      </c>
      <c r="E349" s="0" t="s">
        <v>75</v>
      </c>
      <c r="F349" s="0" t="s">
        <v>90</v>
      </c>
      <c r="G349" s="0" t="s">
        <v>36</v>
      </c>
      <c r="H349" s="0" t="n">
        <v>86</v>
      </c>
      <c r="I349" s="0" t="s">
        <v>1186</v>
      </c>
      <c r="J349" s="0" t="s">
        <v>1187</v>
      </c>
      <c r="K349" s="0" t="s">
        <v>1188</v>
      </c>
      <c r="L349" s="0" t="str">
        <f aca="false">HYPERLINK("https://www.ncbi.nlm.nih.gov/nuccore/CP000058.1?report=graph&amp;tracks=[key:gene_model_track,Options:GeneOnly]&amp;mk=109327:109346|offset_15|444444,109298:109317|offset_44|444444,109256:109275|offset_86|00cc00,109236:109255|offset_106|444444&amp;v=109126:109455&amp;c=444444", "offset 86")</f>
        <v>offset 86</v>
      </c>
    </row>
    <row r="350" customFormat="false" ht="12.8" hidden="false" customHeight="false" outlineLevel="0" collapsed="false">
      <c r="A350" s="0" t="s">
        <v>12</v>
      </c>
      <c r="B350" s="0" t="n">
        <v>109235</v>
      </c>
      <c r="C350" s="0" t="n">
        <v>109255</v>
      </c>
      <c r="D350" s="0" t="s">
        <v>1179</v>
      </c>
      <c r="E350" s="0" t="s">
        <v>75</v>
      </c>
      <c r="F350" s="0" t="s">
        <v>90</v>
      </c>
      <c r="G350" s="0" t="s">
        <v>16</v>
      </c>
      <c r="H350" s="0" t="n">
        <v>106</v>
      </c>
      <c r="I350" s="0" t="s">
        <v>1189</v>
      </c>
      <c r="J350" s="0" t="s">
        <v>1190</v>
      </c>
      <c r="K350" s="0" t="s">
        <v>1191</v>
      </c>
      <c r="L350" s="0" t="str">
        <f aca="false">HYPERLINK("https://www.ncbi.nlm.nih.gov/nuccore/CP000058.1?report=graph&amp;tracks=[key:gene_model_track,Options:GeneOnly]&amp;mk=109327:109346|offset_15|444444,109298:109317|offset_44|444444,109256:109275|offset_86|444444,109236:109255|offset_106|00cc00&amp;v=109126:109455&amp;c=444444", "offset 106")</f>
        <v>offset 106</v>
      </c>
    </row>
    <row r="351" customFormat="false" ht="12.8" hidden="false" customHeight="false" outlineLevel="0" collapsed="false">
      <c r="A351" s="0" t="s">
        <v>12</v>
      </c>
      <c r="B351" s="0" t="n">
        <v>109776</v>
      </c>
      <c r="C351" s="0" t="n">
        <v>109796</v>
      </c>
      <c r="D351" s="0" t="s">
        <v>1192</v>
      </c>
      <c r="E351" s="0" t="s">
        <v>75</v>
      </c>
      <c r="F351" s="0" t="s">
        <v>15</v>
      </c>
      <c r="G351" s="0" t="s">
        <v>16</v>
      </c>
      <c r="H351" s="0" t="n">
        <v>53</v>
      </c>
      <c r="I351" s="0" t="s">
        <v>1193</v>
      </c>
      <c r="J351" s="0" t="s">
        <v>1194</v>
      </c>
      <c r="K351" s="0" t="s">
        <v>1195</v>
      </c>
      <c r="L351" s="0" t="str">
        <f aca="false">HYPERLINK("https://www.ncbi.nlm.nih.gov/nuccore/CP000058.1?report=graph&amp;tracks=[key:gene_model_track,Options:GeneOnly]&amp;mk=109777:109796|offset_53|00cc00,109806:109825|offset_82|444444,109833:109852|offset_109|444444,109905:109924|offset_181|444444&amp;v=109576:110124&amp;c=444444", "offset 53")</f>
        <v>offset 53</v>
      </c>
    </row>
    <row r="352" customFormat="false" ht="12.8" hidden="false" customHeight="false" outlineLevel="0" collapsed="false">
      <c r="A352" s="0" t="s">
        <v>12</v>
      </c>
      <c r="B352" s="0" t="n">
        <v>109805</v>
      </c>
      <c r="C352" s="0" t="n">
        <v>109825</v>
      </c>
      <c r="D352" s="0" t="s">
        <v>1192</v>
      </c>
      <c r="E352" s="0" t="s">
        <v>75</v>
      </c>
      <c r="F352" s="0" t="s">
        <v>15</v>
      </c>
      <c r="G352" s="0" t="s">
        <v>20</v>
      </c>
      <c r="H352" s="0" t="n">
        <v>82</v>
      </c>
      <c r="I352" s="0" t="s">
        <v>1196</v>
      </c>
      <c r="J352" s="0" t="s">
        <v>1197</v>
      </c>
      <c r="K352" s="0" t="s">
        <v>1198</v>
      </c>
      <c r="L352" s="0" t="str">
        <f aca="false">HYPERLINK("https://www.ncbi.nlm.nih.gov/nuccore/CP000058.1?report=graph&amp;tracks=[key:gene_model_track,Options:GeneOnly]&amp;mk=109777:109796|offset_53|444444,109806:109825|offset_82|00cc00,109833:109852|offset_109|444444,109905:109924|offset_181|444444&amp;v=109576:110124&amp;c=444444", "offset 82")</f>
        <v>offset 82</v>
      </c>
    </row>
    <row r="353" customFormat="false" ht="12.8" hidden="false" customHeight="false" outlineLevel="0" collapsed="false">
      <c r="A353" s="0" t="s">
        <v>12</v>
      </c>
      <c r="B353" s="0" t="n">
        <v>109832</v>
      </c>
      <c r="C353" s="0" t="n">
        <v>109852</v>
      </c>
      <c r="D353" s="0" t="s">
        <v>1192</v>
      </c>
      <c r="E353" s="0" t="s">
        <v>75</v>
      </c>
      <c r="F353" s="0" t="s">
        <v>15</v>
      </c>
      <c r="G353" s="0" t="s">
        <v>20</v>
      </c>
      <c r="H353" s="0" t="n">
        <v>109</v>
      </c>
      <c r="I353" s="0" t="s">
        <v>1199</v>
      </c>
      <c r="J353" s="0" t="s">
        <v>1200</v>
      </c>
      <c r="K353" s="0" t="s">
        <v>1201</v>
      </c>
      <c r="L353" s="0" t="str">
        <f aca="false">HYPERLINK("https://www.ncbi.nlm.nih.gov/nuccore/CP000058.1?report=graph&amp;tracks=[key:gene_model_track,Options:GeneOnly]&amp;mk=109777:109796|offset_53|444444,109806:109825|offset_82|444444,109833:109852|offset_109|00cc00,109905:109924|offset_181|444444&amp;v=109576:110124&amp;c=444444", "offset 109")</f>
        <v>offset 109</v>
      </c>
    </row>
    <row r="354" customFormat="false" ht="12.8" hidden="false" customHeight="false" outlineLevel="0" collapsed="false">
      <c r="A354" s="0" t="s">
        <v>12</v>
      </c>
      <c r="B354" s="0" t="n">
        <v>109904</v>
      </c>
      <c r="C354" s="0" t="n">
        <v>109924</v>
      </c>
      <c r="D354" s="0" t="s">
        <v>1192</v>
      </c>
      <c r="E354" s="0" t="s">
        <v>75</v>
      </c>
      <c r="F354" s="0" t="s">
        <v>15</v>
      </c>
      <c r="G354" s="0" t="s">
        <v>20</v>
      </c>
      <c r="H354" s="0" t="n">
        <v>181</v>
      </c>
      <c r="I354" s="0" t="s">
        <v>1202</v>
      </c>
      <c r="J354" s="0" t="s">
        <v>1203</v>
      </c>
      <c r="K354" s="0" t="s">
        <v>1204</v>
      </c>
      <c r="L354" s="0" t="str">
        <f aca="false">HYPERLINK("https://www.ncbi.nlm.nih.gov/nuccore/CP000058.1?report=graph&amp;tracks=[key:gene_model_track,Options:GeneOnly]&amp;mk=109777:109796|offset_53|444444,109806:109825|offset_82|444444,109833:109852|offset_109|444444,109905:109924|offset_181|00cc00&amp;v=109576:110124&amp;c=444444", "offset 181")</f>
        <v>offset 181</v>
      </c>
    </row>
    <row r="355" customFormat="false" ht="12.8" hidden="false" customHeight="false" outlineLevel="0" collapsed="false">
      <c r="A355" s="0" t="s">
        <v>12</v>
      </c>
      <c r="B355" s="0" t="n">
        <v>111138</v>
      </c>
      <c r="C355" s="0" t="n">
        <v>111158</v>
      </c>
      <c r="D355" s="0" t="s">
        <v>1205</v>
      </c>
      <c r="E355" s="0" t="s">
        <v>75</v>
      </c>
      <c r="F355" s="0" t="s">
        <v>15</v>
      </c>
      <c r="G355" s="0" t="s">
        <v>20</v>
      </c>
      <c r="H355" s="0" t="n">
        <v>1</v>
      </c>
      <c r="I355" s="0" t="s">
        <v>1206</v>
      </c>
      <c r="J355" s="0" t="s">
        <v>1207</v>
      </c>
      <c r="K355" s="0" t="s">
        <v>1208</v>
      </c>
      <c r="L355" s="0" t="str">
        <f aca="false">HYPERLINK("https://www.ncbi.nlm.nih.gov/nuccore/CP000058.1?report=graph&amp;tracks=[key:gene_model_track,Options:GeneOnly]&amp;mk=111139:111158|offset_1|00cc00,111184:111203|offset_46|444444,111212:111231|offset_74|444444,111241:111260|offset_103|444444&amp;v=110938:111460&amp;c=444444", "offset 1")</f>
        <v>offset 1</v>
      </c>
    </row>
    <row r="356" customFormat="false" ht="12.8" hidden="false" customHeight="false" outlineLevel="0" collapsed="false">
      <c r="A356" s="0" t="s">
        <v>12</v>
      </c>
      <c r="B356" s="0" t="n">
        <v>111183</v>
      </c>
      <c r="C356" s="0" t="n">
        <v>111203</v>
      </c>
      <c r="D356" s="0" t="s">
        <v>1205</v>
      </c>
      <c r="E356" s="0" t="s">
        <v>75</v>
      </c>
      <c r="F356" s="0" t="s">
        <v>15</v>
      </c>
      <c r="G356" s="0" t="s">
        <v>32</v>
      </c>
      <c r="H356" s="0" t="n">
        <v>46</v>
      </c>
      <c r="I356" s="0" t="s">
        <v>1209</v>
      </c>
      <c r="J356" s="0" t="s">
        <v>1210</v>
      </c>
      <c r="K356" s="0" t="s">
        <v>1211</v>
      </c>
      <c r="L356" s="0" t="str">
        <f aca="false">HYPERLINK("https://www.ncbi.nlm.nih.gov/nuccore/CP000058.1?report=graph&amp;tracks=[key:gene_model_track,Options:GeneOnly]&amp;mk=111139:111158|offset_1|444444,111184:111203|offset_46|00cc00,111212:111231|offset_74|444444,111241:111260|offset_103|444444&amp;v=110938:111460&amp;c=444444", "offset 46")</f>
        <v>offset 46</v>
      </c>
    </row>
    <row r="357" customFormat="false" ht="12.8" hidden="false" customHeight="false" outlineLevel="0" collapsed="false">
      <c r="A357" s="0" t="s">
        <v>12</v>
      </c>
      <c r="B357" s="0" t="n">
        <v>111211</v>
      </c>
      <c r="C357" s="0" t="n">
        <v>111231</v>
      </c>
      <c r="D357" s="0" t="s">
        <v>1205</v>
      </c>
      <c r="E357" s="0" t="s">
        <v>75</v>
      </c>
      <c r="F357" s="0" t="s">
        <v>15</v>
      </c>
      <c r="G357" s="0" t="s">
        <v>16</v>
      </c>
      <c r="H357" s="0" t="n">
        <v>74</v>
      </c>
      <c r="I357" s="0" t="s">
        <v>1212</v>
      </c>
      <c r="J357" s="0" t="s">
        <v>1213</v>
      </c>
      <c r="K357" s="0" t="s">
        <v>1214</v>
      </c>
      <c r="L357" s="0" t="str">
        <f aca="false">HYPERLINK("https://www.ncbi.nlm.nih.gov/nuccore/CP000058.1?report=graph&amp;tracks=[key:gene_model_track,Options:GeneOnly]&amp;mk=111139:111158|offset_1|444444,111184:111203|offset_46|444444,111212:111231|offset_74|00cc00,111241:111260|offset_103|444444&amp;v=110938:111460&amp;c=444444", "offset 74")</f>
        <v>offset 74</v>
      </c>
    </row>
    <row r="358" customFormat="false" ht="12.8" hidden="false" customHeight="false" outlineLevel="0" collapsed="false">
      <c r="A358" s="0" t="s">
        <v>12</v>
      </c>
      <c r="B358" s="0" t="n">
        <v>111240</v>
      </c>
      <c r="C358" s="0" t="n">
        <v>111260</v>
      </c>
      <c r="D358" s="0" t="s">
        <v>1205</v>
      </c>
      <c r="E358" s="0" t="s">
        <v>75</v>
      </c>
      <c r="F358" s="0" t="s">
        <v>15</v>
      </c>
      <c r="G358" s="0" t="s">
        <v>32</v>
      </c>
      <c r="H358" s="0" t="n">
        <v>103</v>
      </c>
      <c r="I358" s="0" t="s">
        <v>1215</v>
      </c>
      <c r="J358" s="0" t="s">
        <v>1216</v>
      </c>
      <c r="K358" s="0" t="s">
        <v>1217</v>
      </c>
      <c r="L358" s="0" t="str">
        <f aca="false">HYPERLINK("https://www.ncbi.nlm.nih.gov/nuccore/CP000058.1?report=graph&amp;tracks=[key:gene_model_track,Options:GeneOnly]&amp;mk=111139:111158|offset_1|444444,111184:111203|offset_46|444444,111212:111231|offset_74|444444,111241:111260|offset_103|00cc00&amp;v=110938:111460&amp;c=444444", "offset 103")</f>
        <v>offset 103</v>
      </c>
    </row>
    <row r="359" customFormat="false" ht="12.8" hidden="false" customHeight="false" outlineLevel="0" collapsed="false">
      <c r="A359" s="0" t="s">
        <v>12</v>
      </c>
      <c r="B359" s="0" t="n">
        <v>112712</v>
      </c>
      <c r="C359" s="0" t="n">
        <v>112732</v>
      </c>
      <c r="D359" s="0" t="s">
        <v>1218</v>
      </c>
      <c r="E359" s="0" t="s">
        <v>75</v>
      </c>
      <c r="F359" s="0" t="s">
        <v>15</v>
      </c>
      <c r="G359" s="0" t="s">
        <v>16</v>
      </c>
      <c r="H359" s="0" t="n">
        <v>7</v>
      </c>
      <c r="I359" s="0" t="s">
        <v>1219</v>
      </c>
      <c r="J359" s="0" t="s">
        <v>1220</v>
      </c>
      <c r="K359" s="0" t="s">
        <v>1221</v>
      </c>
      <c r="L359" s="0" t="str">
        <f aca="false">HYPERLINK("https://www.ncbi.nlm.nih.gov/nuccore/CP000058.1?report=graph&amp;tracks=[key:gene_model_track,Options:GeneOnly]&amp;mk=112713:112732|offset_7|00cc00,112735:112754|offset_29|444444,112765:112784|offset_59|444444,112785:112804|offset_79|444444&amp;v=112512:113004&amp;c=444444", "offset 7")</f>
        <v>offset 7</v>
      </c>
    </row>
    <row r="360" customFormat="false" ht="12.8" hidden="false" customHeight="false" outlineLevel="0" collapsed="false">
      <c r="A360" s="0" t="s">
        <v>12</v>
      </c>
      <c r="B360" s="0" t="n">
        <v>112734</v>
      </c>
      <c r="C360" s="0" t="n">
        <v>112754</v>
      </c>
      <c r="D360" s="0" t="s">
        <v>1218</v>
      </c>
      <c r="E360" s="0" t="s">
        <v>75</v>
      </c>
      <c r="F360" s="0" t="s">
        <v>15</v>
      </c>
      <c r="G360" s="0" t="s">
        <v>16</v>
      </c>
      <c r="H360" s="0" t="n">
        <v>29</v>
      </c>
      <c r="I360" s="0" t="s">
        <v>1222</v>
      </c>
      <c r="J360" s="0" t="s">
        <v>1223</v>
      </c>
      <c r="K360" s="0" t="s">
        <v>1224</v>
      </c>
      <c r="L360" s="0" t="str">
        <f aca="false">HYPERLINK("https://www.ncbi.nlm.nih.gov/nuccore/CP000058.1?report=graph&amp;tracks=[key:gene_model_track,Options:GeneOnly]&amp;mk=112713:112732|offset_7|444444,112735:112754|offset_29|00cc00,112765:112784|offset_59|444444,112785:112804|offset_79|444444&amp;v=112512:113004&amp;c=444444", "offset 29")</f>
        <v>offset 29</v>
      </c>
    </row>
    <row r="361" customFormat="false" ht="12.8" hidden="false" customHeight="false" outlineLevel="0" collapsed="false">
      <c r="A361" s="0" t="s">
        <v>12</v>
      </c>
      <c r="B361" s="0" t="n">
        <v>112764</v>
      </c>
      <c r="C361" s="0" t="n">
        <v>112784</v>
      </c>
      <c r="D361" s="0" t="s">
        <v>1218</v>
      </c>
      <c r="E361" s="0" t="s">
        <v>75</v>
      </c>
      <c r="F361" s="0" t="s">
        <v>15</v>
      </c>
      <c r="G361" s="0" t="s">
        <v>32</v>
      </c>
      <c r="H361" s="0" t="n">
        <v>59</v>
      </c>
      <c r="I361" s="0" t="s">
        <v>1225</v>
      </c>
      <c r="J361" s="0" t="s">
        <v>1226</v>
      </c>
      <c r="K361" s="0" t="s">
        <v>1227</v>
      </c>
      <c r="L361" s="0" t="str">
        <f aca="false">HYPERLINK("https://www.ncbi.nlm.nih.gov/nuccore/CP000058.1?report=graph&amp;tracks=[key:gene_model_track,Options:GeneOnly]&amp;mk=112713:112732|offset_7|444444,112735:112754|offset_29|444444,112765:112784|offset_59|00cc00,112785:112804|offset_79|444444&amp;v=112512:113004&amp;c=444444", "offset 59")</f>
        <v>offset 59</v>
      </c>
    </row>
    <row r="362" customFormat="false" ht="12.8" hidden="false" customHeight="false" outlineLevel="0" collapsed="false">
      <c r="A362" s="0" t="s">
        <v>12</v>
      </c>
      <c r="B362" s="0" t="n">
        <v>112784</v>
      </c>
      <c r="C362" s="0" t="n">
        <v>112804</v>
      </c>
      <c r="D362" s="0" t="s">
        <v>1218</v>
      </c>
      <c r="E362" s="0" t="s">
        <v>75</v>
      </c>
      <c r="F362" s="0" t="s">
        <v>15</v>
      </c>
      <c r="G362" s="0" t="s">
        <v>32</v>
      </c>
      <c r="H362" s="0" t="n">
        <v>79</v>
      </c>
      <c r="I362" s="0" t="s">
        <v>1228</v>
      </c>
      <c r="J362" s="0" t="s">
        <v>1229</v>
      </c>
      <c r="K362" s="0" t="s">
        <v>1230</v>
      </c>
      <c r="L362" s="0" t="str">
        <f aca="false">HYPERLINK("https://www.ncbi.nlm.nih.gov/nuccore/CP000058.1?report=graph&amp;tracks=[key:gene_model_track,Options:GeneOnly]&amp;mk=112713:112732|offset_7|444444,112735:112754|offset_29|444444,112765:112784|offset_59|444444,112785:112804|offset_79|00cc00&amp;v=112512:113004&amp;c=444444", "offset 79")</f>
        <v>offset 79</v>
      </c>
    </row>
    <row r="363" customFormat="false" ht="12.8" hidden="false" customHeight="false" outlineLevel="0" collapsed="false">
      <c r="A363" s="0" t="s">
        <v>12</v>
      </c>
      <c r="B363" s="0" t="n">
        <v>113652</v>
      </c>
      <c r="C363" s="0" t="n">
        <v>113672</v>
      </c>
      <c r="D363" s="0" t="s">
        <v>1231</v>
      </c>
      <c r="E363" s="0" t="s">
        <v>75</v>
      </c>
      <c r="F363" s="0" t="s">
        <v>15</v>
      </c>
      <c r="G363" s="0" t="s">
        <v>16</v>
      </c>
      <c r="H363" s="0" t="n">
        <v>39</v>
      </c>
      <c r="I363" s="0" t="s">
        <v>1232</v>
      </c>
      <c r="J363" s="0" t="s">
        <v>1233</v>
      </c>
      <c r="K363" s="0" t="s">
        <v>1234</v>
      </c>
      <c r="L363" s="0" t="str">
        <f aca="false">HYPERLINK("https://www.ncbi.nlm.nih.gov/nuccore/CP000058.1?report=graph&amp;tracks=[key:gene_model_track,Options:GeneOnly]&amp;mk=113653:113672|offset_39|00cc00,113675:113694|offset_61|444444,113719:113738|offset_105|444444,113763:113782|offset_149|444444&amp;v=113452:113982&amp;c=444444", "offset 39")</f>
        <v>offset 39</v>
      </c>
    </row>
    <row r="364" customFormat="false" ht="12.8" hidden="false" customHeight="false" outlineLevel="0" collapsed="false">
      <c r="A364" s="0" t="s">
        <v>12</v>
      </c>
      <c r="B364" s="0" t="n">
        <v>113674</v>
      </c>
      <c r="C364" s="0" t="n">
        <v>113694</v>
      </c>
      <c r="D364" s="0" t="s">
        <v>1231</v>
      </c>
      <c r="E364" s="0" t="s">
        <v>75</v>
      </c>
      <c r="F364" s="0" t="s">
        <v>15</v>
      </c>
      <c r="G364" s="0" t="s">
        <v>20</v>
      </c>
      <c r="H364" s="0" t="n">
        <v>61</v>
      </c>
      <c r="I364" s="0" t="s">
        <v>1235</v>
      </c>
      <c r="J364" s="0" t="s">
        <v>1236</v>
      </c>
      <c r="K364" s="0" t="s">
        <v>1237</v>
      </c>
      <c r="L364" s="0" t="str">
        <f aca="false">HYPERLINK("https://www.ncbi.nlm.nih.gov/nuccore/CP000058.1?report=graph&amp;tracks=[key:gene_model_track,Options:GeneOnly]&amp;mk=113653:113672|offset_39|444444,113675:113694|offset_61|00cc00,113719:113738|offset_105|444444,113763:113782|offset_149|444444&amp;v=113452:113982&amp;c=444444", "offset 61")</f>
        <v>offset 61</v>
      </c>
    </row>
    <row r="365" customFormat="false" ht="12.8" hidden="false" customHeight="false" outlineLevel="0" collapsed="false">
      <c r="A365" s="0" t="s">
        <v>12</v>
      </c>
      <c r="B365" s="0" t="n">
        <v>113718</v>
      </c>
      <c r="C365" s="0" t="n">
        <v>113738</v>
      </c>
      <c r="D365" s="0" t="s">
        <v>1231</v>
      </c>
      <c r="E365" s="0" t="s">
        <v>75</v>
      </c>
      <c r="F365" s="0" t="s">
        <v>15</v>
      </c>
      <c r="G365" s="0" t="s">
        <v>16</v>
      </c>
      <c r="H365" s="0" t="n">
        <v>105</v>
      </c>
      <c r="I365" s="0" t="s">
        <v>1238</v>
      </c>
      <c r="J365" s="0" t="s">
        <v>1239</v>
      </c>
      <c r="K365" s="0" t="s">
        <v>1240</v>
      </c>
      <c r="L365" s="0" t="str">
        <f aca="false">HYPERLINK("https://www.ncbi.nlm.nih.gov/nuccore/CP000058.1?report=graph&amp;tracks=[key:gene_model_track,Options:GeneOnly]&amp;mk=113653:113672|offset_39|444444,113675:113694|offset_61|444444,113719:113738|offset_105|00cc00,113763:113782|offset_149|444444&amp;v=113452:113982&amp;c=444444", "offset 105")</f>
        <v>offset 105</v>
      </c>
    </row>
    <row r="366" customFormat="false" ht="12.8" hidden="false" customHeight="false" outlineLevel="0" collapsed="false">
      <c r="A366" s="0" t="s">
        <v>12</v>
      </c>
      <c r="B366" s="0" t="n">
        <v>113762</v>
      </c>
      <c r="C366" s="0" t="n">
        <v>113782</v>
      </c>
      <c r="D366" s="0" t="s">
        <v>1231</v>
      </c>
      <c r="E366" s="0" t="s">
        <v>75</v>
      </c>
      <c r="F366" s="0" t="s">
        <v>15</v>
      </c>
      <c r="G366" s="0" t="s">
        <v>32</v>
      </c>
      <c r="H366" s="0" t="n">
        <v>149</v>
      </c>
      <c r="I366" s="0" t="s">
        <v>1241</v>
      </c>
      <c r="J366" s="0" t="s">
        <v>1242</v>
      </c>
      <c r="K366" s="0" t="s">
        <v>1243</v>
      </c>
      <c r="L366" s="0" t="str">
        <f aca="false">HYPERLINK("https://www.ncbi.nlm.nih.gov/nuccore/CP000058.1?report=graph&amp;tracks=[key:gene_model_track,Options:GeneOnly]&amp;mk=113653:113672|offset_39|444444,113675:113694|offset_61|444444,113719:113738|offset_105|444444,113763:113782|offset_149|00cc00&amp;v=113452:113982&amp;c=444444", "offset 149")</f>
        <v>offset 149</v>
      </c>
    </row>
    <row r="367" customFormat="false" ht="12.8" hidden="false" customHeight="false" outlineLevel="0" collapsed="false">
      <c r="A367" s="0" t="s">
        <v>12</v>
      </c>
      <c r="B367" s="0" t="n">
        <v>116302</v>
      </c>
      <c r="C367" s="0" t="n">
        <v>116322</v>
      </c>
      <c r="D367" s="0" t="s">
        <v>1244</v>
      </c>
      <c r="E367" s="0" t="s">
        <v>75</v>
      </c>
      <c r="F367" s="0" t="s">
        <v>15</v>
      </c>
      <c r="G367" s="0" t="s">
        <v>20</v>
      </c>
      <c r="H367" s="0" t="n">
        <v>1</v>
      </c>
      <c r="I367" s="0" t="s">
        <v>1245</v>
      </c>
      <c r="J367" s="0" t="s">
        <v>1246</v>
      </c>
      <c r="K367" s="0" t="s">
        <v>1247</v>
      </c>
      <c r="L367" s="0" t="str">
        <f aca="false">HYPERLINK("https://www.ncbi.nlm.nih.gov/nuccore/CP000058.1?report=graph&amp;tracks=[key:gene_model_track,Options:GeneOnly]&amp;mk=116303:116322|offset_1|00cc00,116341:116360|offset_39|444444,116368:116387|offset_66|444444,116392:116411|offset_90|444444&amp;v=116102:116611&amp;c=444444", "offset 1")</f>
        <v>offset 1</v>
      </c>
    </row>
    <row r="368" customFormat="false" ht="12.8" hidden="false" customHeight="false" outlineLevel="0" collapsed="false">
      <c r="A368" s="0" t="s">
        <v>12</v>
      </c>
      <c r="B368" s="0" t="n">
        <v>116340</v>
      </c>
      <c r="C368" s="0" t="n">
        <v>116360</v>
      </c>
      <c r="D368" s="0" t="s">
        <v>1244</v>
      </c>
      <c r="E368" s="0" t="s">
        <v>75</v>
      </c>
      <c r="F368" s="0" t="s">
        <v>15</v>
      </c>
      <c r="G368" s="0" t="s">
        <v>32</v>
      </c>
      <c r="H368" s="0" t="n">
        <v>39</v>
      </c>
      <c r="I368" s="0" t="s">
        <v>1248</v>
      </c>
      <c r="J368" s="0" t="s">
        <v>1249</v>
      </c>
      <c r="K368" s="0" t="s">
        <v>1250</v>
      </c>
      <c r="L368" s="0" t="str">
        <f aca="false">HYPERLINK("https://www.ncbi.nlm.nih.gov/nuccore/CP000058.1?report=graph&amp;tracks=[key:gene_model_track,Options:GeneOnly]&amp;mk=116303:116322|offset_1|444444,116341:116360|offset_39|00cc00,116368:116387|offset_66|444444,116392:116411|offset_90|444444&amp;v=116102:116611&amp;c=444444", "offset 39")</f>
        <v>offset 39</v>
      </c>
    </row>
    <row r="369" customFormat="false" ht="12.8" hidden="false" customHeight="false" outlineLevel="0" collapsed="false">
      <c r="A369" s="0" t="s">
        <v>12</v>
      </c>
      <c r="B369" s="0" t="n">
        <v>116367</v>
      </c>
      <c r="C369" s="0" t="n">
        <v>116387</v>
      </c>
      <c r="D369" s="0" t="s">
        <v>1244</v>
      </c>
      <c r="E369" s="0" t="s">
        <v>75</v>
      </c>
      <c r="F369" s="0" t="s">
        <v>15</v>
      </c>
      <c r="G369" s="0" t="s">
        <v>20</v>
      </c>
      <c r="H369" s="0" t="n">
        <v>66</v>
      </c>
      <c r="I369" s="0" t="s">
        <v>1251</v>
      </c>
      <c r="J369" s="0" t="s">
        <v>1252</v>
      </c>
      <c r="K369" s="0" t="s">
        <v>1253</v>
      </c>
      <c r="L369" s="0" t="str">
        <f aca="false">HYPERLINK("https://www.ncbi.nlm.nih.gov/nuccore/CP000058.1?report=graph&amp;tracks=[key:gene_model_track,Options:GeneOnly]&amp;mk=116303:116322|offset_1|444444,116341:116360|offset_39|444444,116368:116387|offset_66|00cc00,116392:116411|offset_90|444444&amp;v=116102:116611&amp;c=444444", "offset 66")</f>
        <v>offset 66</v>
      </c>
    </row>
    <row r="370" customFormat="false" ht="12.8" hidden="false" customHeight="false" outlineLevel="0" collapsed="false">
      <c r="A370" s="0" t="s">
        <v>12</v>
      </c>
      <c r="B370" s="0" t="n">
        <v>116391</v>
      </c>
      <c r="C370" s="0" t="n">
        <v>116411</v>
      </c>
      <c r="D370" s="0" t="s">
        <v>1244</v>
      </c>
      <c r="E370" s="0" t="s">
        <v>75</v>
      </c>
      <c r="F370" s="0" t="s">
        <v>15</v>
      </c>
      <c r="G370" s="0" t="s">
        <v>36</v>
      </c>
      <c r="H370" s="0" t="n">
        <v>90</v>
      </c>
      <c r="I370" s="0" t="s">
        <v>1254</v>
      </c>
      <c r="J370" s="0" t="s">
        <v>1255</v>
      </c>
      <c r="K370" s="0" t="s">
        <v>1256</v>
      </c>
      <c r="L370" s="0" t="str">
        <f aca="false">HYPERLINK("https://www.ncbi.nlm.nih.gov/nuccore/CP000058.1?report=graph&amp;tracks=[key:gene_model_track,Options:GeneOnly]&amp;mk=116303:116322|offset_1|444444,116341:116360|offset_39|444444,116368:116387|offset_66|444444,116392:116411|offset_90|00cc00&amp;v=116102:116611&amp;c=444444", "offset 90")</f>
        <v>offset 90</v>
      </c>
    </row>
    <row r="371" customFormat="false" ht="12.8" hidden="false" customHeight="false" outlineLevel="0" collapsed="false">
      <c r="A371" s="0" t="s">
        <v>12</v>
      </c>
      <c r="B371" s="0" t="n">
        <v>119960</v>
      </c>
      <c r="C371" s="0" t="n">
        <v>119980</v>
      </c>
      <c r="D371" s="0" t="s">
        <v>1257</v>
      </c>
      <c r="E371" s="0" t="s">
        <v>75</v>
      </c>
      <c r="F371" s="0" t="s">
        <v>90</v>
      </c>
      <c r="G371" s="0" t="s">
        <v>32</v>
      </c>
      <c r="H371" s="0" t="n">
        <v>16</v>
      </c>
      <c r="I371" s="0" t="s">
        <v>1258</v>
      </c>
      <c r="J371" s="0" t="s">
        <v>1259</v>
      </c>
      <c r="K371" s="0" t="s">
        <v>1260</v>
      </c>
      <c r="L371" s="0" t="str">
        <f aca="false">HYPERLINK("https://www.ncbi.nlm.nih.gov/nuccore/CP000058.1?report=graph&amp;tracks=[key:gene_model_track,Options:GeneOnly]&amp;mk=119961:119980|offset_16|00cc00,119940:119959|offset_37|444444,119919:119938|offset_58|444444,119866:119885|offset_111|444444&amp;v=119760:120085&amp;c=444444", "offset 16")</f>
        <v>offset 16</v>
      </c>
    </row>
    <row r="372" customFormat="false" ht="12.8" hidden="false" customHeight="false" outlineLevel="0" collapsed="false">
      <c r="A372" s="0" t="s">
        <v>12</v>
      </c>
      <c r="B372" s="0" t="n">
        <v>119939</v>
      </c>
      <c r="C372" s="0" t="n">
        <v>119959</v>
      </c>
      <c r="D372" s="0" t="s">
        <v>1257</v>
      </c>
      <c r="E372" s="0" t="s">
        <v>75</v>
      </c>
      <c r="F372" s="0" t="s">
        <v>90</v>
      </c>
      <c r="G372" s="0" t="s">
        <v>32</v>
      </c>
      <c r="H372" s="0" t="n">
        <v>37</v>
      </c>
      <c r="I372" s="0" t="s">
        <v>1261</v>
      </c>
      <c r="J372" s="0" t="s">
        <v>1262</v>
      </c>
      <c r="K372" s="0" t="s">
        <v>1263</v>
      </c>
      <c r="L372" s="0" t="str">
        <f aca="false">HYPERLINK("https://www.ncbi.nlm.nih.gov/nuccore/CP000058.1?report=graph&amp;tracks=[key:gene_model_track,Options:GeneOnly]&amp;mk=119961:119980|offset_16|444444,119940:119959|offset_37|00cc00,119919:119938|offset_58|444444,119866:119885|offset_111|444444&amp;v=119760:120085&amp;c=444444", "offset 37")</f>
        <v>offset 37</v>
      </c>
    </row>
    <row r="373" customFormat="false" ht="12.8" hidden="false" customHeight="false" outlineLevel="0" collapsed="false">
      <c r="A373" s="0" t="s">
        <v>12</v>
      </c>
      <c r="B373" s="0" t="n">
        <v>119918</v>
      </c>
      <c r="C373" s="0" t="n">
        <v>119938</v>
      </c>
      <c r="D373" s="0" t="s">
        <v>1257</v>
      </c>
      <c r="E373" s="0" t="s">
        <v>75</v>
      </c>
      <c r="F373" s="0" t="s">
        <v>90</v>
      </c>
      <c r="G373" s="0" t="s">
        <v>16</v>
      </c>
      <c r="H373" s="0" t="n">
        <v>58</v>
      </c>
      <c r="I373" s="0" t="s">
        <v>1264</v>
      </c>
      <c r="J373" s="0" t="s">
        <v>1265</v>
      </c>
      <c r="K373" s="0" t="s">
        <v>1266</v>
      </c>
      <c r="L373" s="0" t="str">
        <f aca="false">HYPERLINK("https://www.ncbi.nlm.nih.gov/nuccore/CP000058.1?report=graph&amp;tracks=[key:gene_model_track,Options:GeneOnly]&amp;mk=119961:119980|offset_16|444444,119940:119959|offset_37|444444,119919:119938|offset_58|00cc00,119866:119885|offset_111|444444&amp;v=119760:120085&amp;c=444444", "offset 58")</f>
        <v>offset 58</v>
      </c>
    </row>
    <row r="374" customFormat="false" ht="12.8" hidden="false" customHeight="false" outlineLevel="0" collapsed="false">
      <c r="A374" s="0" t="s">
        <v>12</v>
      </c>
      <c r="B374" s="0" t="n">
        <v>119865</v>
      </c>
      <c r="C374" s="0" t="n">
        <v>119885</v>
      </c>
      <c r="D374" s="0" t="s">
        <v>1257</v>
      </c>
      <c r="E374" s="0" t="s">
        <v>75</v>
      </c>
      <c r="F374" s="0" t="s">
        <v>90</v>
      </c>
      <c r="G374" s="0" t="s">
        <v>36</v>
      </c>
      <c r="H374" s="0" t="n">
        <v>111</v>
      </c>
      <c r="I374" s="0" t="s">
        <v>1267</v>
      </c>
      <c r="J374" s="0" t="s">
        <v>1268</v>
      </c>
      <c r="K374" s="0" t="s">
        <v>1269</v>
      </c>
      <c r="L374" s="0" t="str">
        <f aca="false">HYPERLINK("https://www.ncbi.nlm.nih.gov/nuccore/CP000058.1?report=graph&amp;tracks=[key:gene_model_track,Options:GeneOnly]&amp;mk=119961:119980|offset_16|444444,119940:119959|offset_37|444444,119919:119938|offset_58|444444,119866:119885|offset_111|00cc00&amp;v=119760:120085&amp;c=444444", "offset 111")</f>
        <v>offset 111</v>
      </c>
    </row>
    <row r="375" customFormat="false" ht="12.8" hidden="false" customHeight="false" outlineLevel="0" collapsed="false">
      <c r="A375" s="0" t="s">
        <v>12</v>
      </c>
      <c r="B375" s="0" t="n">
        <v>121799</v>
      </c>
      <c r="C375" s="0" t="n">
        <v>121819</v>
      </c>
      <c r="D375" s="0" t="s">
        <v>1270</v>
      </c>
      <c r="E375" s="0" t="s">
        <v>75</v>
      </c>
      <c r="F375" s="0" t="s">
        <v>90</v>
      </c>
      <c r="G375" s="0" t="s">
        <v>16</v>
      </c>
      <c r="H375" s="0" t="n">
        <v>63</v>
      </c>
      <c r="I375" s="0" t="s">
        <v>1271</v>
      </c>
      <c r="J375" s="0" t="s">
        <v>1272</v>
      </c>
      <c r="K375" s="0" t="s">
        <v>1273</v>
      </c>
      <c r="L375" s="0" t="str">
        <f aca="false">HYPERLINK("https://www.ncbi.nlm.nih.gov/nuccore/CP000058.1?report=graph&amp;tracks=[key:gene_model_track,Options:GeneOnly]&amp;mk=121800:121819|offset_63|00cc00,121752:121771|offset_111|444444,121721:121740|offset_142|444444,121657:121676|offset_206|444444&amp;v=121599:121876&amp;c=444444", "offset 63")</f>
        <v>offset 63</v>
      </c>
    </row>
    <row r="376" customFormat="false" ht="12.8" hidden="false" customHeight="false" outlineLevel="0" collapsed="false">
      <c r="A376" s="0" t="s">
        <v>12</v>
      </c>
      <c r="B376" s="0" t="n">
        <v>121751</v>
      </c>
      <c r="C376" s="0" t="n">
        <v>121771</v>
      </c>
      <c r="D376" s="0" t="s">
        <v>1270</v>
      </c>
      <c r="E376" s="0" t="s">
        <v>75</v>
      </c>
      <c r="F376" s="0" t="s">
        <v>90</v>
      </c>
      <c r="G376" s="0" t="s">
        <v>32</v>
      </c>
      <c r="H376" s="0" t="n">
        <v>111</v>
      </c>
      <c r="I376" s="0" t="s">
        <v>1274</v>
      </c>
      <c r="J376" s="0" t="s">
        <v>1275</v>
      </c>
      <c r="K376" s="0" t="s">
        <v>1276</v>
      </c>
      <c r="L376" s="0" t="str">
        <f aca="false">HYPERLINK("https://www.ncbi.nlm.nih.gov/nuccore/CP000058.1?report=graph&amp;tracks=[key:gene_model_track,Options:GeneOnly]&amp;mk=121800:121819|offset_63|444444,121752:121771|offset_111|00cc00,121721:121740|offset_142|444444,121657:121676|offset_206|444444&amp;v=121599:121876&amp;c=444444", "offset 111")</f>
        <v>offset 111</v>
      </c>
    </row>
    <row r="377" customFormat="false" ht="12.8" hidden="false" customHeight="false" outlineLevel="0" collapsed="false">
      <c r="A377" s="0" t="s">
        <v>12</v>
      </c>
      <c r="B377" s="0" t="n">
        <v>121720</v>
      </c>
      <c r="C377" s="0" t="n">
        <v>121740</v>
      </c>
      <c r="D377" s="0" t="s">
        <v>1270</v>
      </c>
      <c r="E377" s="0" t="s">
        <v>75</v>
      </c>
      <c r="F377" s="0" t="s">
        <v>90</v>
      </c>
      <c r="G377" s="0" t="s">
        <v>32</v>
      </c>
      <c r="H377" s="0" t="n">
        <v>142</v>
      </c>
      <c r="I377" s="0" t="s">
        <v>1277</v>
      </c>
      <c r="J377" s="0" t="s">
        <v>1278</v>
      </c>
      <c r="K377" s="0" t="s">
        <v>1279</v>
      </c>
      <c r="L377" s="0" t="str">
        <f aca="false">HYPERLINK("https://www.ncbi.nlm.nih.gov/nuccore/CP000058.1?report=graph&amp;tracks=[key:gene_model_track,Options:GeneOnly]&amp;mk=121800:121819|offset_63|444444,121752:121771|offset_111|444444,121721:121740|offset_142|00cc00,121657:121676|offset_206|444444&amp;v=121599:121876&amp;c=444444", "offset 142")</f>
        <v>offset 142</v>
      </c>
    </row>
    <row r="378" customFormat="false" ht="12.8" hidden="false" customHeight="false" outlineLevel="0" collapsed="false">
      <c r="A378" s="0" t="s">
        <v>12</v>
      </c>
      <c r="B378" s="0" t="n">
        <v>121656</v>
      </c>
      <c r="C378" s="0" t="n">
        <v>121676</v>
      </c>
      <c r="D378" s="0" t="s">
        <v>1270</v>
      </c>
      <c r="E378" s="0" t="s">
        <v>75</v>
      </c>
      <c r="F378" s="0" t="s">
        <v>90</v>
      </c>
      <c r="G378" s="0" t="s">
        <v>32</v>
      </c>
      <c r="H378" s="0" t="n">
        <v>206</v>
      </c>
      <c r="I378" s="0" t="s">
        <v>1280</v>
      </c>
      <c r="J378" s="0" t="s">
        <v>1281</v>
      </c>
      <c r="K378" s="0" t="s">
        <v>1282</v>
      </c>
      <c r="L378" s="0" t="str">
        <f aca="false">HYPERLINK("https://www.ncbi.nlm.nih.gov/nuccore/CP000058.1?report=graph&amp;tracks=[key:gene_model_track,Options:GeneOnly]&amp;mk=121800:121819|offset_63|444444,121752:121771|offset_111|444444,121721:121740|offset_142|444444,121657:121676|offset_206|00cc00&amp;v=121599:121876&amp;c=444444", "offset 206")</f>
        <v>offset 206</v>
      </c>
    </row>
    <row r="379" customFormat="false" ht="12.8" hidden="false" customHeight="false" outlineLevel="0" collapsed="false">
      <c r="A379" s="0" t="s">
        <v>12</v>
      </c>
      <c r="B379" s="0" t="n">
        <v>123162</v>
      </c>
      <c r="C379" s="0" t="n">
        <v>123182</v>
      </c>
      <c r="D379" s="0" t="s">
        <v>1283</v>
      </c>
      <c r="E379" s="0" t="s">
        <v>75</v>
      </c>
      <c r="F379" s="0" t="s">
        <v>90</v>
      </c>
      <c r="G379" s="0" t="s">
        <v>20</v>
      </c>
      <c r="H379" s="0" t="n">
        <v>46</v>
      </c>
      <c r="I379" s="0" t="s">
        <v>1284</v>
      </c>
      <c r="J379" s="0" t="s">
        <v>1285</v>
      </c>
      <c r="K379" s="0" t="s">
        <v>1286</v>
      </c>
      <c r="L379" s="0" t="str">
        <f aca="false">HYPERLINK("https://www.ncbi.nlm.nih.gov/nuccore/CP000058.1?report=graph&amp;tracks=[key:gene_model_track,Options:GeneOnly]&amp;mk=123163:123182|offset_46|00cc00,123123:123142|offset_86|444444,123095:123114|offset_114|444444,123059:123078|offset_150|444444&amp;v=122962:123278&amp;c=444444", "offset 46")</f>
        <v>offset 46</v>
      </c>
    </row>
    <row r="380" customFormat="false" ht="12.8" hidden="false" customHeight="false" outlineLevel="0" collapsed="false">
      <c r="A380" s="0" t="s">
        <v>12</v>
      </c>
      <c r="B380" s="0" t="n">
        <v>123122</v>
      </c>
      <c r="C380" s="0" t="n">
        <v>123142</v>
      </c>
      <c r="D380" s="0" t="s">
        <v>1283</v>
      </c>
      <c r="E380" s="0" t="s">
        <v>75</v>
      </c>
      <c r="F380" s="0" t="s">
        <v>90</v>
      </c>
      <c r="G380" s="0" t="s">
        <v>16</v>
      </c>
      <c r="H380" s="0" t="n">
        <v>86</v>
      </c>
      <c r="I380" s="0" t="s">
        <v>1287</v>
      </c>
      <c r="J380" s="0" t="s">
        <v>1288</v>
      </c>
      <c r="K380" s="0" t="s">
        <v>1289</v>
      </c>
      <c r="L380" s="0" t="str">
        <f aca="false">HYPERLINK("https://www.ncbi.nlm.nih.gov/nuccore/CP000058.1?report=graph&amp;tracks=[key:gene_model_track,Options:GeneOnly]&amp;mk=123163:123182|offset_46|444444,123123:123142|offset_86|00cc00,123095:123114|offset_114|444444,123059:123078|offset_150|444444&amp;v=122962:123278&amp;c=444444", "offset 86")</f>
        <v>offset 86</v>
      </c>
    </row>
    <row r="381" customFormat="false" ht="12.8" hidden="false" customHeight="false" outlineLevel="0" collapsed="false">
      <c r="A381" s="0" t="s">
        <v>12</v>
      </c>
      <c r="B381" s="0" t="n">
        <v>123094</v>
      </c>
      <c r="C381" s="0" t="n">
        <v>123114</v>
      </c>
      <c r="D381" s="0" t="s">
        <v>1283</v>
      </c>
      <c r="E381" s="0" t="s">
        <v>75</v>
      </c>
      <c r="F381" s="0" t="s">
        <v>90</v>
      </c>
      <c r="G381" s="0" t="s">
        <v>20</v>
      </c>
      <c r="H381" s="0" t="n">
        <v>114</v>
      </c>
      <c r="I381" s="0" t="s">
        <v>1290</v>
      </c>
      <c r="J381" s="0" t="s">
        <v>1291</v>
      </c>
      <c r="K381" s="0" t="s">
        <v>1292</v>
      </c>
      <c r="L381" s="0" t="str">
        <f aca="false">HYPERLINK("https://www.ncbi.nlm.nih.gov/nuccore/CP000058.1?report=graph&amp;tracks=[key:gene_model_track,Options:GeneOnly]&amp;mk=123163:123182|offset_46|444444,123123:123142|offset_86|444444,123095:123114|offset_114|00cc00,123059:123078|offset_150|444444&amp;v=122962:123278&amp;c=444444", "offset 114")</f>
        <v>offset 114</v>
      </c>
    </row>
    <row r="382" customFormat="false" ht="12.8" hidden="false" customHeight="false" outlineLevel="0" collapsed="false">
      <c r="A382" s="0" t="s">
        <v>12</v>
      </c>
      <c r="B382" s="0" t="n">
        <v>123058</v>
      </c>
      <c r="C382" s="0" t="n">
        <v>123078</v>
      </c>
      <c r="D382" s="0" t="s">
        <v>1283</v>
      </c>
      <c r="E382" s="0" t="s">
        <v>75</v>
      </c>
      <c r="F382" s="0" t="s">
        <v>90</v>
      </c>
      <c r="G382" s="0" t="s">
        <v>20</v>
      </c>
      <c r="H382" s="0" t="n">
        <v>150</v>
      </c>
      <c r="I382" s="0" t="s">
        <v>1293</v>
      </c>
      <c r="J382" s="0" t="s">
        <v>1294</v>
      </c>
      <c r="K382" s="0" t="s">
        <v>1295</v>
      </c>
      <c r="L382" s="0" t="str">
        <f aca="false">HYPERLINK("https://www.ncbi.nlm.nih.gov/nuccore/CP000058.1?report=graph&amp;tracks=[key:gene_model_track,Options:GeneOnly]&amp;mk=123163:123182|offset_46|444444,123123:123142|offset_86|444444,123095:123114|offset_114|444444,123059:123078|offset_150|00cc00&amp;v=122962:123278&amp;c=444444", "offset 150")</f>
        <v>offset 150</v>
      </c>
    </row>
    <row r="383" customFormat="false" ht="12.8" hidden="false" customHeight="false" outlineLevel="0" collapsed="false">
      <c r="A383" s="0" t="s">
        <v>12</v>
      </c>
      <c r="B383" s="0" t="n">
        <v>125592</v>
      </c>
      <c r="C383" s="0" t="n">
        <v>125612</v>
      </c>
      <c r="D383" s="0" t="s">
        <v>1296</v>
      </c>
      <c r="E383" s="0" t="s">
        <v>75</v>
      </c>
      <c r="F383" s="0" t="s">
        <v>90</v>
      </c>
      <c r="G383" s="0" t="s">
        <v>32</v>
      </c>
      <c r="H383" s="0" t="n">
        <v>8</v>
      </c>
      <c r="I383" s="0" t="s">
        <v>1297</v>
      </c>
      <c r="J383" s="0" t="s">
        <v>1298</v>
      </c>
      <c r="K383" s="0" t="s">
        <v>1299</v>
      </c>
      <c r="L383" s="0" t="str">
        <f aca="false">HYPERLINK("https://www.ncbi.nlm.nih.gov/nuccore/CP000058.1?report=graph&amp;tracks=[key:gene_model_track,Options:GeneOnly]&amp;mk=125593:125612|offset_8|00cc00,125549:125568|offset_52|444444,125509:125528|offset_92|444444,125476:125495|offset_125|444444&amp;v=125392:125695&amp;c=444444", "offset 8")</f>
        <v>offset 8</v>
      </c>
    </row>
    <row r="384" customFormat="false" ht="12.8" hidden="false" customHeight="false" outlineLevel="0" collapsed="false">
      <c r="A384" s="0" t="s">
        <v>12</v>
      </c>
      <c r="B384" s="0" t="n">
        <v>125548</v>
      </c>
      <c r="C384" s="0" t="n">
        <v>125568</v>
      </c>
      <c r="D384" s="0" t="s">
        <v>1296</v>
      </c>
      <c r="E384" s="0" t="s">
        <v>75</v>
      </c>
      <c r="F384" s="0" t="s">
        <v>90</v>
      </c>
      <c r="G384" s="0" t="s">
        <v>16</v>
      </c>
      <c r="H384" s="0" t="n">
        <v>52</v>
      </c>
      <c r="I384" s="0" t="s">
        <v>1300</v>
      </c>
      <c r="J384" s="0" t="s">
        <v>1301</v>
      </c>
      <c r="K384" s="0" t="s">
        <v>1302</v>
      </c>
      <c r="L384" s="0" t="str">
        <f aca="false">HYPERLINK("https://www.ncbi.nlm.nih.gov/nuccore/CP000058.1?report=graph&amp;tracks=[key:gene_model_track,Options:GeneOnly]&amp;mk=125593:125612|offset_8|444444,125549:125568|offset_52|00cc00,125509:125528|offset_92|444444,125476:125495|offset_125|444444&amp;v=125392:125695&amp;c=444444", "offset 52")</f>
        <v>offset 52</v>
      </c>
    </row>
    <row r="385" customFormat="false" ht="12.8" hidden="false" customHeight="false" outlineLevel="0" collapsed="false">
      <c r="A385" s="0" t="s">
        <v>12</v>
      </c>
      <c r="B385" s="0" t="n">
        <v>125508</v>
      </c>
      <c r="C385" s="0" t="n">
        <v>125528</v>
      </c>
      <c r="D385" s="0" t="s">
        <v>1296</v>
      </c>
      <c r="E385" s="0" t="s">
        <v>75</v>
      </c>
      <c r="F385" s="0" t="s">
        <v>90</v>
      </c>
      <c r="G385" s="0" t="s">
        <v>16</v>
      </c>
      <c r="H385" s="0" t="n">
        <v>92</v>
      </c>
      <c r="I385" s="0" t="s">
        <v>1303</v>
      </c>
      <c r="J385" s="0" t="s">
        <v>1304</v>
      </c>
      <c r="K385" s="0" t="s">
        <v>1305</v>
      </c>
      <c r="L385" s="0" t="str">
        <f aca="false">HYPERLINK("https://www.ncbi.nlm.nih.gov/nuccore/CP000058.1?report=graph&amp;tracks=[key:gene_model_track,Options:GeneOnly]&amp;mk=125593:125612|offset_8|444444,125549:125568|offset_52|444444,125509:125528|offset_92|00cc00,125476:125495|offset_125|444444&amp;v=125392:125695&amp;c=444444", "offset 92")</f>
        <v>offset 92</v>
      </c>
    </row>
    <row r="386" customFormat="false" ht="12.8" hidden="false" customHeight="false" outlineLevel="0" collapsed="false">
      <c r="A386" s="0" t="s">
        <v>12</v>
      </c>
      <c r="B386" s="0" t="n">
        <v>125475</v>
      </c>
      <c r="C386" s="0" t="n">
        <v>125495</v>
      </c>
      <c r="D386" s="0" t="s">
        <v>1296</v>
      </c>
      <c r="E386" s="0" t="s">
        <v>75</v>
      </c>
      <c r="F386" s="0" t="s">
        <v>90</v>
      </c>
      <c r="G386" s="0" t="s">
        <v>16</v>
      </c>
      <c r="H386" s="0" t="n">
        <v>125</v>
      </c>
      <c r="I386" s="0" t="s">
        <v>1306</v>
      </c>
      <c r="J386" s="0" t="s">
        <v>1307</v>
      </c>
      <c r="K386" s="0" t="s">
        <v>1308</v>
      </c>
      <c r="L386" s="0" t="str">
        <f aca="false">HYPERLINK("https://www.ncbi.nlm.nih.gov/nuccore/CP000058.1?report=graph&amp;tracks=[key:gene_model_track,Options:GeneOnly]&amp;mk=125593:125612|offset_8|444444,125549:125568|offset_52|444444,125509:125528|offset_92|444444,125476:125495|offset_125|00cc00&amp;v=125392:125695&amp;c=444444", "offset 125")</f>
        <v>offset 125</v>
      </c>
    </row>
    <row r="387" customFormat="false" ht="12.8" hidden="false" customHeight="false" outlineLevel="0" collapsed="false">
      <c r="A387" s="0" t="s">
        <v>12</v>
      </c>
      <c r="B387" s="0" t="n">
        <v>126173</v>
      </c>
      <c r="C387" s="0" t="n">
        <v>126193</v>
      </c>
      <c r="D387" s="0" t="s">
        <v>1309</v>
      </c>
      <c r="E387" s="0" t="s">
        <v>75</v>
      </c>
      <c r="F387" s="0" t="s">
        <v>15</v>
      </c>
      <c r="G387" s="0" t="s">
        <v>16</v>
      </c>
      <c r="H387" s="0" t="n">
        <v>28</v>
      </c>
      <c r="I387" s="0" t="s">
        <v>1310</v>
      </c>
      <c r="J387" s="0" t="s">
        <v>1311</v>
      </c>
      <c r="K387" s="0" t="s">
        <v>1312</v>
      </c>
      <c r="L387" s="0" t="str">
        <f aca="false">HYPERLINK("https://www.ncbi.nlm.nih.gov/nuccore/CP000058.1?report=graph&amp;tracks=[key:gene_model_track,Options:GeneOnly]&amp;mk=126174:126193|offset_28|00cc00,126210:126229|offset_64|444444,126230:126249|offset_84|444444,126255:126274|offset_109|444444&amp;v=125973:126474&amp;c=444444", "offset 28")</f>
        <v>offset 28</v>
      </c>
    </row>
    <row r="388" customFormat="false" ht="12.8" hidden="false" customHeight="false" outlineLevel="0" collapsed="false">
      <c r="A388" s="0" t="s">
        <v>12</v>
      </c>
      <c r="B388" s="0" t="n">
        <v>126209</v>
      </c>
      <c r="C388" s="0" t="n">
        <v>126229</v>
      </c>
      <c r="D388" s="0" t="s">
        <v>1309</v>
      </c>
      <c r="E388" s="0" t="s">
        <v>75</v>
      </c>
      <c r="F388" s="0" t="s">
        <v>15</v>
      </c>
      <c r="G388" s="0" t="s">
        <v>16</v>
      </c>
      <c r="H388" s="0" t="n">
        <v>64</v>
      </c>
      <c r="I388" s="0" t="s">
        <v>1313</v>
      </c>
      <c r="J388" s="0" t="s">
        <v>1314</v>
      </c>
      <c r="K388" s="0" t="s">
        <v>1315</v>
      </c>
      <c r="L388" s="0" t="str">
        <f aca="false">HYPERLINK("https://www.ncbi.nlm.nih.gov/nuccore/CP000058.1?report=graph&amp;tracks=[key:gene_model_track,Options:GeneOnly]&amp;mk=126174:126193|offset_28|444444,126210:126229|offset_64|00cc00,126230:126249|offset_84|444444,126255:126274|offset_109|444444&amp;v=125973:126474&amp;c=444444", "offset 64")</f>
        <v>offset 64</v>
      </c>
    </row>
    <row r="389" customFormat="false" ht="12.8" hidden="false" customHeight="false" outlineLevel="0" collapsed="false">
      <c r="A389" s="0" t="s">
        <v>12</v>
      </c>
      <c r="B389" s="0" t="n">
        <v>126229</v>
      </c>
      <c r="C389" s="0" t="n">
        <v>126249</v>
      </c>
      <c r="D389" s="0" t="s">
        <v>1309</v>
      </c>
      <c r="E389" s="0" t="s">
        <v>75</v>
      </c>
      <c r="F389" s="0" t="s">
        <v>15</v>
      </c>
      <c r="G389" s="0" t="s">
        <v>16</v>
      </c>
      <c r="H389" s="0" t="n">
        <v>84</v>
      </c>
      <c r="I389" s="0" t="s">
        <v>1316</v>
      </c>
      <c r="J389" s="0" t="s">
        <v>1317</v>
      </c>
      <c r="K389" s="0" t="s">
        <v>1318</v>
      </c>
      <c r="L389" s="0" t="str">
        <f aca="false">HYPERLINK("https://www.ncbi.nlm.nih.gov/nuccore/CP000058.1?report=graph&amp;tracks=[key:gene_model_track,Options:GeneOnly]&amp;mk=126174:126193|offset_28|444444,126210:126229|offset_64|444444,126230:126249|offset_84|00cc00,126255:126274|offset_109|444444&amp;v=125973:126474&amp;c=444444", "offset 84")</f>
        <v>offset 84</v>
      </c>
    </row>
    <row r="390" customFormat="false" ht="12.8" hidden="false" customHeight="false" outlineLevel="0" collapsed="false">
      <c r="A390" s="0" t="s">
        <v>12</v>
      </c>
      <c r="B390" s="0" t="n">
        <v>126254</v>
      </c>
      <c r="C390" s="0" t="n">
        <v>126274</v>
      </c>
      <c r="D390" s="0" t="s">
        <v>1309</v>
      </c>
      <c r="E390" s="0" t="s">
        <v>75</v>
      </c>
      <c r="F390" s="0" t="s">
        <v>15</v>
      </c>
      <c r="G390" s="0" t="s">
        <v>16</v>
      </c>
      <c r="H390" s="0" t="n">
        <v>109</v>
      </c>
      <c r="I390" s="0" t="s">
        <v>1319</v>
      </c>
      <c r="J390" s="0" t="s">
        <v>1320</v>
      </c>
      <c r="K390" s="0" t="s">
        <v>1321</v>
      </c>
      <c r="L390" s="0" t="str">
        <f aca="false">HYPERLINK("https://www.ncbi.nlm.nih.gov/nuccore/CP000058.1?report=graph&amp;tracks=[key:gene_model_track,Options:GeneOnly]&amp;mk=126174:126193|offset_28|444444,126210:126229|offset_64|444444,126230:126249|offset_84|444444,126255:126274|offset_109|00cc00&amp;v=125973:126474&amp;c=444444", "offset 109")</f>
        <v>offset 109</v>
      </c>
    </row>
    <row r="391" customFormat="false" ht="12.8" hidden="false" customHeight="false" outlineLevel="0" collapsed="false">
      <c r="A391" s="0" t="s">
        <v>12</v>
      </c>
      <c r="B391" s="0" t="n">
        <v>126741</v>
      </c>
      <c r="C391" s="0" t="n">
        <v>126761</v>
      </c>
      <c r="D391" s="0" t="s">
        <v>1322</v>
      </c>
      <c r="E391" s="0" t="s">
        <v>75</v>
      </c>
      <c r="F391" s="0" t="s">
        <v>15</v>
      </c>
      <c r="G391" s="0" t="s">
        <v>16</v>
      </c>
      <c r="H391" s="0" t="n">
        <v>19</v>
      </c>
      <c r="I391" s="0" t="s">
        <v>1323</v>
      </c>
      <c r="J391" s="0" t="s">
        <v>1324</v>
      </c>
      <c r="K391" s="0" t="s">
        <v>1325</v>
      </c>
      <c r="L391" s="0" t="str">
        <f aca="false">HYPERLINK("https://www.ncbi.nlm.nih.gov/nuccore/CP000058.1?report=graph&amp;tracks=[key:gene_model_track,Options:GeneOnly]&amp;mk=126742:126761|offset_19|00cc00,126823:126842|offset_100|444444,126913:126932|offset_190|444444,126943:126962|offset_220|444444&amp;v=126541:127162&amp;c=444444", "offset 19")</f>
        <v>offset 19</v>
      </c>
    </row>
    <row r="392" customFormat="false" ht="12.8" hidden="false" customHeight="false" outlineLevel="0" collapsed="false">
      <c r="A392" s="0" t="s">
        <v>12</v>
      </c>
      <c r="B392" s="0" t="n">
        <v>126822</v>
      </c>
      <c r="C392" s="0" t="n">
        <v>126842</v>
      </c>
      <c r="D392" s="0" t="s">
        <v>1322</v>
      </c>
      <c r="E392" s="0" t="s">
        <v>75</v>
      </c>
      <c r="F392" s="0" t="s">
        <v>15</v>
      </c>
      <c r="G392" s="0" t="s">
        <v>16</v>
      </c>
      <c r="H392" s="0" t="n">
        <v>100</v>
      </c>
      <c r="I392" s="0" t="s">
        <v>1326</v>
      </c>
      <c r="J392" s="0" t="s">
        <v>1327</v>
      </c>
      <c r="K392" s="0" t="s">
        <v>1328</v>
      </c>
      <c r="L392" s="0" t="str">
        <f aca="false">HYPERLINK("https://www.ncbi.nlm.nih.gov/nuccore/CP000058.1?report=graph&amp;tracks=[key:gene_model_track,Options:GeneOnly]&amp;mk=126742:126761|offset_19|444444,126823:126842|offset_100|00cc00,126913:126932|offset_190|444444,126943:126962|offset_220|444444&amp;v=126541:127162&amp;c=444444", "offset 100")</f>
        <v>offset 100</v>
      </c>
    </row>
    <row r="393" customFormat="false" ht="12.8" hidden="false" customHeight="false" outlineLevel="0" collapsed="false">
      <c r="A393" s="0" t="s">
        <v>12</v>
      </c>
      <c r="B393" s="0" t="n">
        <v>126912</v>
      </c>
      <c r="C393" s="0" t="n">
        <v>126932</v>
      </c>
      <c r="D393" s="0" t="s">
        <v>1322</v>
      </c>
      <c r="E393" s="0" t="s">
        <v>75</v>
      </c>
      <c r="F393" s="0" t="s">
        <v>15</v>
      </c>
      <c r="G393" s="0" t="s">
        <v>20</v>
      </c>
      <c r="H393" s="0" t="n">
        <v>190</v>
      </c>
      <c r="I393" s="0" t="s">
        <v>1329</v>
      </c>
      <c r="J393" s="0" t="s">
        <v>1330</v>
      </c>
      <c r="K393" s="0" t="s">
        <v>1331</v>
      </c>
      <c r="L393" s="0" t="str">
        <f aca="false">HYPERLINK("https://www.ncbi.nlm.nih.gov/nuccore/CP000058.1?report=graph&amp;tracks=[key:gene_model_track,Options:GeneOnly]&amp;mk=126742:126761|offset_19|444444,126823:126842|offset_100|444444,126913:126932|offset_190|00cc00,126943:126962|offset_220|444444&amp;v=126541:127162&amp;c=444444", "offset 190")</f>
        <v>offset 190</v>
      </c>
    </row>
    <row r="394" customFormat="false" ht="12.8" hidden="false" customHeight="false" outlineLevel="0" collapsed="false">
      <c r="A394" s="0" t="s">
        <v>12</v>
      </c>
      <c r="B394" s="0" t="n">
        <v>126942</v>
      </c>
      <c r="C394" s="0" t="n">
        <v>126962</v>
      </c>
      <c r="D394" s="0" t="s">
        <v>1322</v>
      </c>
      <c r="E394" s="0" t="s">
        <v>75</v>
      </c>
      <c r="F394" s="0" t="s">
        <v>15</v>
      </c>
      <c r="G394" s="0" t="s">
        <v>20</v>
      </c>
      <c r="H394" s="0" t="n">
        <v>220</v>
      </c>
      <c r="I394" s="0" t="s">
        <v>1332</v>
      </c>
      <c r="J394" s="0" t="s">
        <v>1333</v>
      </c>
      <c r="K394" s="0" t="s">
        <v>1334</v>
      </c>
      <c r="L394" s="0" t="str">
        <f aca="false">HYPERLINK("https://www.ncbi.nlm.nih.gov/nuccore/CP000058.1?report=graph&amp;tracks=[key:gene_model_track,Options:GeneOnly]&amp;mk=126742:126761|offset_19|444444,126823:126842|offset_100|444444,126913:126932|offset_190|444444,126943:126962|offset_220|00cc00&amp;v=126541:127162&amp;c=444444", "offset 220")</f>
        <v>offset 220</v>
      </c>
    </row>
    <row r="395" customFormat="false" ht="12.8" hidden="false" customHeight="false" outlineLevel="0" collapsed="false">
      <c r="A395" s="0" t="s">
        <v>12</v>
      </c>
      <c r="B395" s="0" t="n">
        <v>127478</v>
      </c>
      <c r="C395" s="0" t="n">
        <v>127498</v>
      </c>
      <c r="D395" s="0" t="s">
        <v>1335</v>
      </c>
      <c r="E395" s="0" t="s">
        <v>75</v>
      </c>
      <c r="F395" s="0" t="s">
        <v>15</v>
      </c>
      <c r="G395" s="0" t="s">
        <v>36</v>
      </c>
      <c r="H395" s="0" t="n">
        <v>9</v>
      </c>
      <c r="I395" s="0" t="s">
        <v>1336</v>
      </c>
      <c r="J395" s="0" t="s">
        <v>1337</v>
      </c>
      <c r="K395" s="0" t="s">
        <v>1338</v>
      </c>
      <c r="L395" s="0" t="str">
        <f aca="false">HYPERLINK("https://www.ncbi.nlm.nih.gov/nuccore/CP000058.1?report=graph&amp;tracks=[key:gene_model_track,Options:GeneOnly]&amp;mk=127479:127498|offset_9|00cc00,127519:127538|offset_49|444444,127603:127622|offset_133|444444,127646:127665|offset_176|444444&amp;v=127278:127865&amp;c=444444", "offset 9")</f>
        <v>offset 9</v>
      </c>
    </row>
    <row r="396" customFormat="false" ht="12.8" hidden="false" customHeight="false" outlineLevel="0" collapsed="false">
      <c r="A396" s="0" t="s">
        <v>12</v>
      </c>
      <c r="B396" s="0" t="n">
        <v>127518</v>
      </c>
      <c r="C396" s="0" t="n">
        <v>127538</v>
      </c>
      <c r="D396" s="0" t="s">
        <v>1335</v>
      </c>
      <c r="E396" s="0" t="s">
        <v>75</v>
      </c>
      <c r="F396" s="0" t="s">
        <v>15</v>
      </c>
      <c r="G396" s="0" t="s">
        <v>32</v>
      </c>
      <c r="H396" s="0" t="n">
        <v>49</v>
      </c>
      <c r="I396" s="0" t="s">
        <v>1339</v>
      </c>
      <c r="J396" s="0" t="s">
        <v>1340</v>
      </c>
      <c r="K396" s="0" t="s">
        <v>1341</v>
      </c>
      <c r="L396" s="0" t="str">
        <f aca="false">HYPERLINK("https://www.ncbi.nlm.nih.gov/nuccore/CP000058.1?report=graph&amp;tracks=[key:gene_model_track,Options:GeneOnly]&amp;mk=127479:127498|offset_9|444444,127519:127538|offset_49|00cc00,127603:127622|offset_133|444444,127646:127665|offset_176|444444&amp;v=127278:127865&amp;c=444444", "offset 49")</f>
        <v>offset 49</v>
      </c>
    </row>
    <row r="397" customFormat="false" ht="12.8" hidden="false" customHeight="false" outlineLevel="0" collapsed="false">
      <c r="A397" s="0" t="s">
        <v>12</v>
      </c>
      <c r="B397" s="0" t="n">
        <v>127602</v>
      </c>
      <c r="C397" s="0" t="n">
        <v>127622</v>
      </c>
      <c r="D397" s="0" t="s">
        <v>1335</v>
      </c>
      <c r="E397" s="0" t="s">
        <v>75</v>
      </c>
      <c r="F397" s="0" t="s">
        <v>15</v>
      </c>
      <c r="G397" s="0" t="s">
        <v>32</v>
      </c>
      <c r="H397" s="0" t="n">
        <v>133</v>
      </c>
      <c r="I397" s="0" t="s">
        <v>1342</v>
      </c>
      <c r="J397" s="0" t="s">
        <v>1343</v>
      </c>
      <c r="K397" s="0" t="s">
        <v>1344</v>
      </c>
      <c r="L397" s="0" t="str">
        <f aca="false">HYPERLINK("https://www.ncbi.nlm.nih.gov/nuccore/CP000058.1?report=graph&amp;tracks=[key:gene_model_track,Options:GeneOnly]&amp;mk=127479:127498|offset_9|444444,127519:127538|offset_49|444444,127603:127622|offset_133|00cc00,127646:127665|offset_176|444444&amp;v=127278:127865&amp;c=444444", "offset 133")</f>
        <v>offset 133</v>
      </c>
    </row>
    <row r="398" customFormat="false" ht="12.8" hidden="false" customHeight="false" outlineLevel="0" collapsed="false">
      <c r="A398" s="0" t="s">
        <v>12</v>
      </c>
      <c r="B398" s="0" t="n">
        <v>127645</v>
      </c>
      <c r="C398" s="0" t="n">
        <v>127665</v>
      </c>
      <c r="D398" s="0" t="s">
        <v>1335</v>
      </c>
      <c r="E398" s="0" t="s">
        <v>75</v>
      </c>
      <c r="F398" s="0" t="s">
        <v>15</v>
      </c>
      <c r="G398" s="0" t="s">
        <v>32</v>
      </c>
      <c r="H398" s="0" t="n">
        <v>176</v>
      </c>
      <c r="I398" s="0" t="s">
        <v>1345</v>
      </c>
      <c r="J398" s="0" t="s">
        <v>1346</v>
      </c>
      <c r="K398" s="0" t="s">
        <v>1347</v>
      </c>
      <c r="L398" s="0" t="str">
        <f aca="false">HYPERLINK("https://www.ncbi.nlm.nih.gov/nuccore/CP000058.1?report=graph&amp;tracks=[key:gene_model_track,Options:GeneOnly]&amp;mk=127479:127498|offset_9|444444,127519:127538|offset_49|444444,127603:127622|offset_133|444444,127646:127665|offset_176|00cc00&amp;v=127278:127865&amp;c=444444", "offset 176")</f>
        <v>offset 176</v>
      </c>
    </row>
    <row r="399" customFormat="false" ht="12.8" hidden="false" customHeight="false" outlineLevel="0" collapsed="false">
      <c r="A399" s="0" t="s">
        <v>12</v>
      </c>
      <c r="B399" s="0" t="n">
        <v>128296</v>
      </c>
      <c r="C399" s="0" t="n">
        <v>128316</v>
      </c>
      <c r="D399" s="0" t="s">
        <v>1348</v>
      </c>
      <c r="E399" s="0" t="s">
        <v>75</v>
      </c>
      <c r="F399" s="0" t="s">
        <v>15</v>
      </c>
      <c r="G399" s="0" t="s">
        <v>36</v>
      </c>
      <c r="H399" s="0" t="n">
        <v>22</v>
      </c>
      <c r="I399" s="0" t="s">
        <v>1349</v>
      </c>
      <c r="J399" s="0" t="s">
        <v>1350</v>
      </c>
      <c r="K399" s="0" t="s">
        <v>1351</v>
      </c>
      <c r="L399" s="0" t="str">
        <f aca="false">HYPERLINK("https://www.ncbi.nlm.nih.gov/nuccore/CP000058.1?report=graph&amp;tracks=[key:gene_model_track,Options:GeneOnly]&amp;mk=128297:128316|offset_22|00cc00,128363:128382|offset_88|444444,128387:128406|offset_112|444444,128408:128427|offset_133|444444&amp;v=128096:128627&amp;c=444444", "offset 22")</f>
        <v>offset 22</v>
      </c>
    </row>
    <row r="400" customFormat="false" ht="12.8" hidden="false" customHeight="false" outlineLevel="0" collapsed="false">
      <c r="A400" s="0" t="s">
        <v>12</v>
      </c>
      <c r="B400" s="0" t="n">
        <v>128362</v>
      </c>
      <c r="C400" s="0" t="n">
        <v>128382</v>
      </c>
      <c r="D400" s="0" t="s">
        <v>1348</v>
      </c>
      <c r="E400" s="0" t="s">
        <v>75</v>
      </c>
      <c r="F400" s="0" t="s">
        <v>15</v>
      </c>
      <c r="G400" s="0" t="s">
        <v>36</v>
      </c>
      <c r="H400" s="0" t="n">
        <v>88</v>
      </c>
      <c r="I400" s="0" t="s">
        <v>1352</v>
      </c>
      <c r="J400" s="0" t="s">
        <v>1353</v>
      </c>
      <c r="K400" s="0" t="s">
        <v>1354</v>
      </c>
      <c r="L400" s="0" t="str">
        <f aca="false">HYPERLINK("https://www.ncbi.nlm.nih.gov/nuccore/CP000058.1?report=graph&amp;tracks=[key:gene_model_track,Options:GeneOnly]&amp;mk=128297:128316|offset_22|444444,128363:128382|offset_88|00cc00,128387:128406|offset_112|444444,128408:128427|offset_133|444444&amp;v=128096:128627&amp;c=444444", "offset 88")</f>
        <v>offset 88</v>
      </c>
    </row>
    <row r="401" customFormat="false" ht="12.8" hidden="false" customHeight="false" outlineLevel="0" collapsed="false">
      <c r="A401" s="0" t="s">
        <v>12</v>
      </c>
      <c r="B401" s="0" t="n">
        <v>128386</v>
      </c>
      <c r="C401" s="0" t="n">
        <v>128406</v>
      </c>
      <c r="D401" s="0" t="s">
        <v>1348</v>
      </c>
      <c r="E401" s="0" t="s">
        <v>75</v>
      </c>
      <c r="F401" s="0" t="s">
        <v>15</v>
      </c>
      <c r="G401" s="0" t="s">
        <v>16</v>
      </c>
      <c r="H401" s="0" t="n">
        <v>112</v>
      </c>
      <c r="I401" s="0" t="s">
        <v>1355</v>
      </c>
      <c r="J401" s="0" t="s">
        <v>1356</v>
      </c>
      <c r="K401" s="0" t="s">
        <v>1357</v>
      </c>
      <c r="L401" s="0" t="str">
        <f aca="false">HYPERLINK("https://www.ncbi.nlm.nih.gov/nuccore/CP000058.1?report=graph&amp;tracks=[key:gene_model_track,Options:GeneOnly]&amp;mk=128297:128316|offset_22|444444,128363:128382|offset_88|444444,128387:128406|offset_112|00cc00,128408:128427|offset_133|444444&amp;v=128096:128627&amp;c=444444", "offset 112")</f>
        <v>offset 112</v>
      </c>
    </row>
    <row r="402" customFormat="false" ht="12.8" hidden="false" customHeight="false" outlineLevel="0" collapsed="false">
      <c r="A402" s="0" t="s">
        <v>12</v>
      </c>
      <c r="B402" s="0" t="n">
        <v>128407</v>
      </c>
      <c r="C402" s="0" t="n">
        <v>128427</v>
      </c>
      <c r="D402" s="0" t="s">
        <v>1348</v>
      </c>
      <c r="E402" s="0" t="s">
        <v>75</v>
      </c>
      <c r="F402" s="0" t="s">
        <v>15</v>
      </c>
      <c r="G402" s="0" t="s">
        <v>36</v>
      </c>
      <c r="H402" s="0" t="n">
        <v>133</v>
      </c>
      <c r="I402" s="0" t="s">
        <v>1358</v>
      </c>
      <c r="J402" s="0" t="s">
        <v>1359</v>
      </c>
      <c r="K402" s="0" t="s">
        <v>1360</v>
      </c>
      <c r="L402" s="0" t="str">
        <f aca="false">HYPERLINK("https://www.ncbi.nlm.nih.gov/nuccore/CP000058.1?report=graph&amp;tracks=[key:gene_model_track,Options:GeneOnly]&amp;mk=128297:128316|offset_22|444444,128363:128382|offset_88|444444,128387:128406|offset_112|444444,128408:128427|offset_133|00cc00&amp;v=128096:128627&amp;c=444444", "offset 133")</f>
        <v>offset 133</v>
      </c>
    </row>
    <row r="403" customFormat="false" ht="12.8" hidden="false" customHeight="false" outlineLevel="0" collapsed="false">
      <c r="A403" s="0" t="s">
        <v>12</v>
      </c>
      <c r="B403" s="0" t="n">
        <v>128739</v>
      </c>
      <c r="C403" s="0" t="n">
        <v>128759</v>
      </c>
      <c r="D403" s="0" t="s">
        <v>1361</v>
      </c>
      <c r="E403" s="0" t="s">
        <v>75</v>
      </c>
      <c r="F403" s="0" t="s">
        <v>15</v>
      </c>
      <c r="G403" s="0" t="s">
        <v>36</v>
      </c>
      <c r="H403" s="0" t="n">
        <v>13</v>
      </c>
      <c r="I403" s="0" t="s">
        <v>1362</v>
      </c>
      <c r="J403" s="0" t="s">
        <v>1363</v>
      </c>
      <c r="K403" s="0" t="s">
        <v>1364</v>
      </c>
      <c r="L403" s="0" t="str">
        <f aca="false">HYPERLINK("https://www.ncbi.nlm.nih.gov/nuccore/CP000058.1?report=graph&amp;tracks=[key:gene_model_track,Options:GeneOnly]&amp;mk=128740:128759|offset_13|00cc00,128799:128818|offset_72|444444,128849:128868|offset_122|444444,128876:128895|offset_149|444444&amp;v=128539:129095&amp;c=444444", "offset 13")</f>
        <v>offset 13</v>
      </c>
    </row>
    <row r="404" customFormat="false" ht="12.8" hidden="false" customHeight="false" outlineLevel="0" collapsed="false">
      <c r="A404" s="0" t="s">
        <v>12</v>
      </c>
      <c r="B404" s="0" t="n">
        <v>128798</v>
      </c>
      <c r="C404" s="0" t="n">
        <v>128818</v>
      </c>
      <c r="D404" s="0" t="s">
        <v>1361</v>
      </c>
      <c r="E404" s="0" t="s">
        <v>75</v>
      </c>
      <c r="F404" s="0" t="s">
        <v>15</v>
      </c>
      <c r="G404" s="0" t="s">
        <v>36</v>
      </c>
      <c r="H404" s="0" t="n">
        <v>72</v>
      </c>
      <c r="I404" s="0" t="s">
        <v>1365</v>
      </c>
      <c r="J404" s="0" t="s">
        <v>1366</v>
      </c>
      <c r="K404" s="0" t="s">
        <v>1367</v>
      </c>
      <c r="L404" s="0" t="str">
        <f aca="false">HYPERLINK("https://www.ncbi.nlm.nih.gov/nuccore/CP000058.1?report=graph&amp;tracks=[key:gene_model_track,Options:GeneOnly]&amp;mk=128740:128759|offset_13|444444,128799:128818|offset_72|00cc00,128849:128868|offset_122|444444,128876:128895|offset_149|444444&amp;v=128539:129095&amp;c=444444", "offset 72")</f>
        <v>offset 72</v>
      </c>
    </row>
    <row r="405" customFormat="false" ht="12.8" hidden="false" customHeight="false" outlineLevel="0" collapsed="false">
      <c r="A405" s="0" t="s">
        <v>12</v>
      </c>
      <c r="B405" s="0" t="n">
        <v>128848</v>
      </c>
      <c r="C405" s="0" t="n">
        <v>128868</v>
      </c>
      <c r="D405" s="0" t="s">
        <v>1361</v>
      </c>
      <c r="E405" s="0" t="s">
        <v>75</v>
      </c>
      <c r="F405" s="0" t="s">
        <v>15</v>
      </c>
      <c r="G405" s="0" t="s">
        <v>16</v>
      </c>
      <c r="H405" s="0" t="n">
        <v>122</v>
      </c>
      <c r="I405" s="0" t="s">
        <v>1368</v>
      </c>
      <c r="J405" s="0" t="s">
        <v>1369</v>
      </c>
      <c r="K405" s="0" t="s">
        <v>1370</v>
      </c>
      <c r="L405" s="0" t="str">
        <f aca="false">HYPERLINK("https://www.ncbi.nlm.nih.gov/nuccore/CP000058.1?report=graph&amp;tracks=[key:gene_model_track,Options:GeneOnly]&amp;mk=128740:128759|offset_13|444444,128799:128818|offset_72|444444,128849:128868|offset_122|00cc00,128876:128895|offset_149|444444&amp;v=128539:129095&amp;c=444444", "offset 122")</f>
        <v>offset 122</v>
      </c>
    </row>
    <row r="406" customFormat="false" ht="12.8" hidden="false" customHeight="false" outlineLevel="0" collapsed="false">
      <c r="A406" s="0" t="s">
        <v>12</v>
      </c>
      <c r="B406" s="0" t="n">
        <v>128875</v>
      </c>
      <c r="C406" s="0" t="n">
        <v>128895</v>
      </c>
      <c r="D406" s="0" t="s">
        <v>1361</v>
      </c>
      <c r="E406" s="0" t="s">
        <v>75</v>
      </c>
      <c r="F406" s="0" t="s">
        <v>15</v>
      </c>
      <c r="G406" s="0" t="s">
        <v>20</v>
      </c>
      <c r="H406" s="0" t="n">
        <v>149</v>
      </c>
      <c r="I406" s="0" t="s">
        <v>1371</v>
      </c>
      <c r="J406" s="0" t="s">
        <v>1372</v>
      </c>
      <c r="K406" s="0" t="s">
        <v>1373</v>
      </c>
      <c r="L406" s="0" t="str">
        <f aca="false">HYPERLINK("https://www.ncbi.nlm.nih.gov/nuccore/CP000058.1?report=graph&amp;tracks=[key:gene_model_track,Options:GeneOnly]&amp;mk=128740:128759|offset_13|444444,128799:128818|offset_72|444444,128849:128868|offset_122|444444,128876:128895|offset_149|00cc00&amp;v=128539:129095&amp;c=444444", "offset 149")</f>
        <v>offset 149</v>
      </c>
    </row>
    <row r="407" customFormat="false" ht="12.8" hidden="false" customHeight="false" outlineLevel="0" collapsed="false">
      <c r="A407" s="0" t="s">
        <v>12</v>
      </c>
      <c r="B407" s="0" t="n">
        <v>132946</v>
      </c>
      <c r="C407" s="0" t="n">
        <v>132966</v>
      </c>
      <c r="D407" s="0" t="s">
        <v>1374</v>
      </c>
      <c r="E407" s="0" t="s">
        <v>75</v>
      </c>
      <c r="F407" s="0" t="s">
        <v>90</v>
      </c>
      <c r="G407" s="0" t="s">
        <v>20</v>
      </c>
      <c r="H407" s="0" t="n">
        <v>44</v>
      </c>
      <c r="I407" s="0" t="s">
        <v>1375</v>
      </c>
      <c r="J407" s="0" t="s">
        <v>1376</v>
      </c>
      <c r="K407" s="0" t="s">
        <v>1377</v>
      </c>
      <c r="L407" s="0" t="str">
        <f aca="false">HYPERLINK("https://www.ncbi.nlm.nih.gov/nuccore/CP000058.1?report=graph&amp;tracks=[key:gene_model_track,Options:GeneOnly]&amp;mk=132947:132966|offset_44|00cc00,132888:132907|offset_103|444444,132867:132886|offset_124|444444,132841:132860|offset_150|444444&amp;v=132746:133060&amp;c=444444", "offset 44")</f>
        <v>offset 44</v>
      </c>
    </row>
    <row r="408" customFormat="false" ht="12.8" hidden="false" customHeight="false" outlineLevel="0" collapsed="false">
      <c r="A408" s="0" t="s">
        <v>12</v>
      </c>
      <c r="B408" s="0" t="n">
        <v>132887</v>
      </c>
      <c r="C408" s="0" t="n">
        <v>132907</v>
      </c>
      <c r="D408" s="0" t="s">
        <v>1374</v>
      </c>
      <c r="E408" s="0" t="s">
        <v>75</v>
      </c>
      <c r="F408" s="0" t="s">
        <v>90</v>
      </c>
      <c r="G408" s="0" t="s">
        <v>32</v>
      </c>
      <c r="H408" s="0" t="n">
        <v>103</v>
      </c>
      <c r="I408" s="0" t="s">
        <v>1378</v>
      </c>
      <c r="J408" s="0" t="s">
        <v>1379</v>
      </c>
      <c r="K408" s="0" t="s">
        <v>1380</v>
      </c>
      <c r="L408" s="0" t="str">
        <f aca="false">HYPERLINK("https://www.ncbi.nlm.nih.gov/nuccore/CP000058.1?report=graph&amp;tracks=[key:gene_model_track,Options:GeneOnly]&amp;mk=132947:132966|offset_44|444444,132888:132907|offset_103|00cc00,132867:132886|offset_124|444444,132841:132860|offset_150|444444&amp;v=132746:133060&amp;c=444444", "offset 103")</f>
        <v>offset 103</v>
      </c>
    </row>
    <row r="409" customFormat="false" ht="12.8" hidden="false" customHeight="false" outlineLevel="0" collapsed="false">
      <c r="A409" s="0" t="s">
        <v>12</v>
      </c>
      <c r="B409" s="0" t="n">
        <v>132866</v>
      </c>
      <c r="C409" s="0" t="n">
        <v>132886</v>
      </c>
      <c r="D409" s="0" t="s">
        <v>1374</v>
      </c>
      <c r="E409" s="0" t="s">
        <v>75</v>
      </c>
      <c r="F409" s="0" t="s">
        <v>90</v>
      </c>
      <c r="G409" s="0" t="s">
        <v>20</v>
      </c>
      <c r="H409" s="0" t="n">
        <v>124</v>
      </c>
      <c r="I409" s="0" t="s">
        <v>1381</v>
      </c>
      <c r="J409" s="0" t="s">
        <v>1382</v>
      </c>
      <c r="K409" s="0" t="s">
        <v>1383</v>
      </c>
      <c r="L409" s="0" t="str">
        <f aca="false">HYPERLINK("https://www.ncbi.nlm.nih.gov/nuccore/CP000058.1?report=graph&amp;tracks=[key:gene_model_track,Options:GeneOnly]&amp;mk=132947:132966|offset_44|444444,132888:132907|offset_103|444444,132867:132886|offset_124|00cc00,132841:132860|offset_150|444444&amp;v=132746:133060&amp;c=444444", "offset 124")</f>
        <v>offset 124</v>
      </c>
    </row>
    <row r="410" customFormat="false" ht="12.8" hidden="false" customHeight="false" outlineLevel="0" collapsed="false">
      <c r="A410" s="0" t="s">
        <v>12</v>
      </c>
      <c r="B410" s="0" t="n">
        <v>132840</v>
      </c>
      <c r="C410" s="0" t="n">
        <v>132860</v>
      </c>
      <c r="D410" s="0" t="s">
        <v>1374</v>
      </c>
      <c r="E410" s="0" t="s">
        <v>75</v>
      </c>
      <c r="F410" s="0" t="s">
        <v>90</v>
      </c>
      <c r="G410" s="0" t="s">
        <v>20</v>
      </c>
      <c r="H410" s="0" t="n">
        <v>150</v>
      </c>
      <c r="I410" s="0" t="s">
        <v>1384</v>
      </c>
      <c r="J410" s="0" t="s">
        <v>1385</v>
      </c>
      <c r="K410" s="0" t="s">
        <v>1386</v>
      </c>
      <c r="L410" s="0" t="str">
        <f aca="false">HYPERLINK("https://www.ncbi.nlm.nih.gov/nuccore/CP000058.1?report=graph&amp;tracks=[key:gene_model_track,Options:GeneOnly]&amp;mk=132947:132966|offset_44|444444,132888:132907|offset_103|444444,132867:132886|offset_124|444444,132841:132860|offset_150|00cc00&amp;v=132746:133060&amp;c=444444", "offset 150")</f>
        <v>offset 150</v>
      </c>
    </row>
    <row r="411" customFormat="false" ht="12.8" hidden="false" customHeight="false" outlineLevel="0" collapsed="false">
      <c r="A411" s="0" t="s">
        <v>12</v>
      </c>
      <c r="B411" s="0" t="n">
        <v>134104</v>
      </c>
      <c r="C411" s="0" t="n">
        <v>134124</v>
      </c>
      <c r="D411" s="0" t="s">
        <v>1387</v>
      </c>
      <c r="E411" s="0" t="s">
        <v>75</v>
      </c>
      <c r="F411" s="0" t="s">
        <v>90</v>
      </c>
      <c r="G411" s="0" t="s">
        <v>20</v>
      </c>
      <c r="H411" s="0" t="n">
        <v>6</v>
      </c>
      <c r="I411" s="0" t="s">
        <v>1388</v>
      </c>
      <c r="J411" s="0" t="s">
        <v>1389</v>
      </c>
      <c r="K411" s="0" t="s">
        <v>1390</v>
      </c>
      <c r="L411" s="0" t="str">
        <f aca="false">HYPERLINK("https://www.ncbi.nlm.nih.gov/nuccore/CP000058.1?report=graph&amp;tracks=[key:gene_model_track,Options:GeneOnly]&amp;mk=134105:134124|offset_6|00cc00,134022:134041|offset_89|444444,133993:134012|offset_118|444444,133965:133984|offset_146|444444&amp;v=133904:134184&amp;c=444444", "offset 6")</f>
        <v>offset 6</v>
      </c>
    </row>
    <row r="412" customFormat="false" ht="12.8" hidden="false" customHeight="false" outlineLevel="0" collapsed="false">
      <c r="A412" s="0" t="s">
        <v>12</v>
      </c>
      <c r="B412" s="0" t="n">
        <v>134021</v>
      </c>
      <c r="C412" s="0" t="n">
        <v>134041</v>
      </c>
      <c r="D412" s="0" t="s">
        <v>1387</v>
      </c>
      <c r="E412" s="0" t="s">
        <v>75</v>
      </c>
      <c r="F412" s="0" t="s">
        <v>90</v>
      </c>
      <c r="G412" s="0" t="s">
        <v>32</v>
      </c>
      <c r="H412" s="0" t="n">
        <v>89</v>
      </c>
      <c r="I412" s="0" t="s">
        <v>1391</v>
      </c>
      <c r="J412" s="0" t="s">
        <v>1392</v>
      </c>
      <c r="K412" s="0" t="s">
        <v>1393</v>
      </c>
      <c r="L412" s="0" t="str">
        <f aca="false">HYPERLINK("https://www.ncbi.nlm.nih.gov/nuccore/CP000058.1?report=graph&amp;tracks=[key:gene_model_track,Options:GeneOnly]&amp;mk=134105:134124|offset_6|444444,134022:134041|offset_89|00cc00,133993:134012|offset_118|444444,133965:133984|offset_146|444444&amp;v=133904:134184&amp;c=444444", "offset 89")</f>
        <v>offset 89</v>
      </c>
    </row>
    <row r="413" customFormat="false" ht="12.8" hidden="false" customHeight="false" outlineLevel="0" collapsed="false">
      <c r="A413" s="0" t="s">
        <v>12</v>
      </c>
      <c r="B413" s="0" t="n">
        <v>133992</v>
      </c>
      <c r="C413" s="0" t="n">
        <v>134012</v>
      </c>
      <c r="D413" s="0" t="s">
        <v>1387</v>
      </c>
      <c r="E413" s="0" t="s">
        <v>75</v>
      </c>
      <c r="F413" s="0" t="s">
        <v>90</v>
      </c>
      <c r="G413" s="0" t="s">
        <v>20</v>
      </c>
      <c r="H413" s="0" t="n">
        <v>118</v>
      </c>
      <c r="I413" s="0" t="s">
        <v>1394</v>
      </c>
      <c r="J413" s="0" t="s">
        <v>1395</v>
      </c>
      <c r="K413" s="0" t="s">
        <v>1396</v>
      </c>
      <c r="L413" s="0" t="str">
        <f aca="false">HYPERLINK("https://www.ncbi.nlm.nih.gov/nuccore/CP000058.1?report=graph&amp;tracks=[key:gene_model_track,Options:GeneOnly]&amp;mk=134105:134124|offset_6|444444,134022:134041|offset_89|444444,133993:134012|offset_118|00cc00,133965:133984|offset_146|444444&amp;v=133904:134184&amp;c=444444", "offset 118")</f>
        <v>offset 118</v>
      </c>
    </row>
    <row r="414" customFormat="false" ht="12.8" hidden="false" customHeight="false" outlineLevel="0" collapsed="false">
      <c r="A414" s="0" t="s">
        <v>12</v>
      </c>
      <c r="B414" s="0" t="n">
        <v>133964</v>
      </c>
      <c r="C414" s="0" t="n">
        <v>133984</v>
      </c>
      <c r="D414" s="0" t="s">
        <v>1387</v>
      </c>
      <c r="E414" s="0" t="s">
        <v>75</v>
      </c>
      <c r="F414" s="0" t="s">
        <v>90</v>
      </c>
      <c r="G414" s="0" t="s">
        <v>20</v>
      </c>
      <c r="H414" s="0" t="n">
        <v>146</v>
      </c>
      <c r="I414" s="0" t="s">
        <v>1397</v>
      </c>
      <c r="J414" s="0" t="s">
        <v>1398</v>
      </c>
      <c r="K414" s="0" t="s">
        <v>1399</v>
      </c>
      <c r="L414" s="0" t="str">
        <f aca="false">HYPERLINK("https://www.ncbi.nlm.nih.gov/nuccore/CP000058.1?report=graph&amp;tracks=[key:gene_model_track,Options:GeneOnly]&amp;mk=134105:134124|offset_6|444444,134022:134041|offset_89|444444,133993:134012|offset_118|444444,133965:133984|offset_146|00cc00&amp;v=133904:134184&amp;c=444444", "offset 146")</f>
        <v>offset 146</v>
      </c>
    </row>
    <row r="415" customFormat="false" ht="12.8" hidden="false" customHeight="false" outlineLevel="0" collapsed="false">
      <c r="A415" s="0" t="s">
        <v>12</v>
      </c>
      <c r="B415" s="0" t="n">
        <v>136042</v>
      </c>
      <c r="C415" s="0" t="n">
        <v>136062</v>
      </c>
      <c r="D415" s="0" t="s">
        <v>1400</v>
      </c>
      <c r="E415" s="0" t="s">
        <v>75</v>
      </c>
      <c r="F415" s="0" t="s">
        <v>90</v>
      </c>
      <c r="G415" s="0" t="s">
        <v>32</v>
      </c>
      <c r="H415" s="0" t="n">
        <v>1</v>
      </c>
      <c r="I415" s="0" t="s">
        <v>1401</v>
      </c>
      <c r="J415" s="0" t="s">
        <v>1402</v>
      </c>
      <c r="K415" s="0" t="s">
        <v>1403</v>
      </c>
      <c r="L415" s="0" t="str">
        <f aca="false">HYPERLINK("https://www.ncbi.nlm.nih.gov/nuccore/CP000058.1?report=graph&amp;tracks=[key:gene_model_track,Options:GeneOnly]&amp;mk=136043:136062|offset_1|00cc00,136022:136041|offset_22|444444,135979:135998|offset_65|444444,135956:135975|offset_88|444444&amp;v=135842:136175&amp;c=444444", "offset 1")</f>
        <v>offset 1</v>
      </c>
    </row>
    <row r="416" customFormat="false" ht="12.8" hidden="false" customHeight="false" outlineLevel="0" collapsed="false">
      <c r="A416" s="0" t="s">
        <v>12</v>
      </c>
      <c r="B416" s="0" t="n">
        <v>136021</v>
      </c>
      <c r="C416" s="0" t="n">
        <v>136041</v>
      </c>
      <c r="D416" s="0" t="s">
        <v>1400</v>
      </c>
      <c r="E416" s="0" t="s">
        <v>75</v>
      </c>
      <c r="F416" s="0" t="s">
        <v>90</v>
      </c>
      <c r="G416" s="0" t="s">
        <v>32</v>
      </c>
      <c r="H416" s="0" t="n">
        <v>22</v>
      </c>
      <c r="I416" s="0" t="s">
        <v>1404</v>
      </c>
      <c r="J416" s="0" t="s">
        <v>1405</v>
      </c>
      <c r="K416" s="0" t="s">
        <v>1406</v>
      </c>
      <c r="L416" s="0" t="str">
        <f aca="false">HYPERLINK("https://www.ncbi.nlm.nih.gov/nuccore/CP000058.1?report=graph&amp;tracks=[key:gene_model_track,Options:GeneOnly]&amp;mk=136043:136062|offset_1|444444,136022:136041|offset_22|00cc00,135979:135998|offset_65|444444,135956:135975|offset_88|444444&amp;v=135842:136175&amp;c=444444", "offset 22")</f>
        <v>offset 22</v>
      </c>
    </row>
    <row r="417" customFormat="false" ht="12.8" hidden="false" customHeight="false" outlineLevel="0" collapsed="false">
      <c r="A417" s="0" t="s">
        <v>12</v>
      </c>
      <c r="B417" s="0" t="n">
        <v>135978</v>
      </c>
      <c r="C417" s="0" t="n">
        <v>135998</v>
      </c>
      <c r="D417" s="0" t="s">
        <v>1400</v>
      </c>
      <c r="E417" s="0" t="s">
        <v>75</v>
      </c>
      <c r="F417" s="0" t="s">
        <v>90</v>
      </c>
      <c r="G417" s="0" t="s">
        <v>20</v>
      </c>
      <c r="H417" s="0" t="n">
        <v>65</v>
      </c>
      <c r="I417" s="0" t="s">
        <v>1407</v>
      </c>
      <c r="J417" s="0" t="s">
        <v>1408</v>
      </c>
      <c r="K417" s="0" t="s">
        <v>1409</v>
      </c>
      <c r="L417" s="0" t="str">
        <f aca="false">HYPERLINK("https://www.ncbi.nlm.nih.gov/nuccore/CP000058.1?report=graph&amp;tracks=[key:gene_model_track,Options:GeneOnly]&amp;mk=136043:136062|offset_1|444444,136022:136041|offset_22|444444,135979:135998|offset_65|00cc00,135956:135975|offset_88|444444&amp;v=135842:136175&amp;c=444444", "offset 65")</f>
        <v>offset 65</v>
      </c>
    </row>
    <row r="418" customFormat="false" ht="12.8" hidden="false" customHeight="false" outlineLevel="0" collapsed="false">
      <c r="A418" s="0" t="s">
        <v>12</v>
      </c>
      <c r="B418" s="0" t="n">
        <v>135955</v>
      </c>
      <c r="C418" s="0" t="n">
        <v>135975</v>
      </c>
      <c r="D418" s="0" t="s">
        <v>1400</v>
      </c>
      <c r="E418" s="0" t="s">
        <v>75</v>
      </c>
      <c r="F418" s="0" t="s">
        <v>90</v>
      </c>
      <c r="G418" s="0" t="s">
        <v>16</v>
      </c>
      <c r="H418" s="0" t="n">
        <v>88</v>
      </c>
      <c r="I418" s="0" t="s">
        <v>1410</v>
      </c>
      <c r="J418" s="0" t="s">
        <v>1411</v>
      </c>
      <c r="K418" s="0" t="s">
        <v>1412</v>
      </c>
      <c r="L418" s="0" t="str">
        <f aca="false">HYPERLINK("https://www.ncbi.nlm.nih.gov/nuccore/CP000058.1?report=graph&amp;tracks=[key:gene_model_track,Options:GeneOnly]&amp;mk=136043:136062|offset_1|444444,136022:136041|offset_22|444444,135979:135998|offset_65|444444,135956:135975|offset_88|00cc00&amp;v=135842:136175&amp;c=444444", "offset 88")</f>
        <v>offset 88</v>
      </c>
    </row>
    <row r="419" customFormat="false" ht="12.8" hidden="false" customHeight="false" outlineLevel="0" collapsed="false">
      <c r="A419" s="0" t="s">
        <v>12</v>
      </c>
      <c r="B419" s="0" t="n">
        <v>136340</v>
      </c>
      <c r="C419" s="0" t="n">
        <v>136360</v>
      </c>
      <c r="D419" s="0" t="s">
        <v>1413</v>
      </c>
      <c r="E419" s="0" t="s">
        <v>75</v>
      </c>
      <c r="F419" s="0" t="s">
        <v>90</v>
      </c>
      <c r="G419" s="0" t="s">
        <v>36</v>
      </c>
      <c r="H419" s="0" t="n">
        <v>8</v>
      </c>
      <c r="I419" s="0" t="s">
        <v>1414</v>
      </c>
      <c r="J419" s="0" t="s">
        <v>1415</v>
      </c>
      <c r="K419" s="0" t="s">
        <v>1416</v>
      </c>
      <c r="L419" s="0" t="str">
        <f aca="false">HYPERLINK("https://www.ncbi.nlm.nih.gov/nuccore/CP000058.1?report=graph&amp;tracks=[key:gene_model_track,Options:GeneOnly]&amp;mk=136341:136360|offset_8|00cc00,136319:136338|offset_30|444444,136296:136315|offset_53|444444,136258:136277|offset_91|444444&amp;v=136140:136477&amp;c=444444", "offset 8")</f>
        <v>offset 8</v>
      </c>
    </row>
    <row r="420" customFormat="false" ht="12.8" hidden="false" customHeight="false" outlineLevel="0" collapsed="false">
      <c r="A420" s="0" t="s">
        <v>12</v>
      </c>
      <c r="B420" s="0" t="n">
        <v>136318</v>
      </c>
      <c r="C420" s="0" t="n">
        <v>136338</v>
      </c>
      <c r="D420" s="0" t="s">
        <v>1413</v>
      </c>
      <c r="E420" s="0" t="s">
        <v>75</v>
      </c>
      <c r="F420" s="0" t="s">
        <v>90</v>
      </c>
      <c r="G420" s="0" t="s">
        <v>20</v>
      </c>
      <c r="H420" s="0" t="n">
        <v>30</v>
      </c>
      <c r="I420" s="0" t="s">
        <v>1417</v>
      </c>
      <c r="J420" s="0" t="s">
        <v>1418</v>
      </c>
      <c r="K420" s="0" t="s">
        <v>1419</v>
      </c>
      <c r="L420" s="0" t="str">
        <f aca="false">HYPERLINK("https://www.ncbi.nlm.nih.gov/nuccore/CP000058.1?report=graph&amp;tracks=[key:gene_model_track,Options:GeneOnly]&amp;mk=136341:136360|offset_8|444444,136319:136338|offset_30|00cc00,136296:136315|offset_53|444444,136258:136277|offset_91|444444&amp;v=136140:136477&amp;c=444444", "offset 30")</f>
        <v>offset 30</v>
      </c>
    </row>
    <row r="421" customFormat="false" ht="12.8" hidden="false" customHeight="false" outlineLevel="0" collapsed="false">
      <c r="A421" s="0" t="s">
        <v>12</v>
      </c>
      <c r="B421" s="0" t="n">
        <v>136295</v>
      </c>
      <c r="C421" s="0" t="n">
        <v>136315</v>
      </c>
      <c r="D421" s="0" t="s">
        <v>1413</v>
      </c>
      <c r="E421" s="0" t="s">
        <v>75</v>
      </c>
      <c r="F421" s="0" t="s">
        <v>90</v>
      </c>
      <c r="G421" s="0" t="s">
        <v>20</v>
      </c>
      <c r="H421" s="0" t="n">
        <v>53</v>
      </c>
      <c r="I421" s="0" t="s">
        <v>1420</v>
      </c>
      <c r="J421" s="0" t="s">
        <v>1421</v>
      </c>
      <c r="K421" s="0" t="s">
        <v>1422</v>
      </c>
      <c r="L421" s="0" t="str">
        <f aca="false">HYPERLINK("https://www.ncbi.nlm.nih.gov/nuccore/CP000058.1?report=graph&amp;tracks=[key:gene_model_track,Options:GeneOnly]&amp;mk=136341:136360|offset_8|444444,136319:136338|offset_30|444444,136296:136315|offset_53|00cc00,136258:136277|offset_91|444444&amp;v=136140:136477&amp;c=444444", "offset 53")</f>
        <v>offset 53</v>
      </c>
    </row>
    <row r="422" customFormat="false" ht="12.8" hidden="false" customHeight="false" outlineLevel="0" collapsed="false">
      <c r="A422" s="0" t="s">
        <v>12</v>
      </c>
      <c r="B422" s="0" t="n">
        <v>136257</v>
      </c>
      <c r="C422" s="0" t="n">
        <v>136277</v>
      </c>
      <c r="D422" s="0" t="s">
        <v>1413</v>
      </c>
      <c r="E422" s="0" t="s">
        <v>75</v>
      </c>
      <c r="F422" s="0" t="s">
        <v>90</v>
      </c>
      <c r="G422" s="0" t="s">
        <v>16</v>
      </c>
      <c r="H422" s="0" t="n">
        <v>91</v>
      </c>
      <c r="I422" s="0" t="s">
        <v>1423</v>
      </c>
      <c r="J422" s="0" t="s">
        <v>1424</v>
      </c>
      <c r="K422" s="0" t="s">
        <v>1425</v>
      </c>
      <c r="L422" s="0" t="str">
        <f aca="false">HYPERLINK("https://www.ncbi.nlm.nih.gov/nuccore/CP000058.1?report=graph&amp;tracks=[key:gene_model_track,Options:GeneOnly]&amp;mk=136341:136360|offset_8|444444,136319:136338|offset_30|444444,136296:136315|offset_53|444444,136258:136277|offset_91|00cc00&amp;v=136140:136477&amp;c=444444", "offset 91")</f>
        <v>offset 91</v>
      </c>
    </row>
    <row r="423" customFormat="false" ht="12.8" hidden="false" customHeight="false" outlineLevel="0" collapsed="false">
      <c r="A423" s="0" t="s">
        <v>12</v>
      </c>
      <c r="B423" s="0" t="n">
        <v>139870</v>
      </c>
      <c r="C423" s="0" t="n">
        <v>139890</v>
      </c>
      <c r="D423" s="0" t="s">
        <v>1426</v>
      </c>
      <c r="E423" s="0" t="s">
        <v>75</v>
      </c>
      <c r="F423" s="0" t="s">
        <v>90</v>
      </c>
      <c r="G423" s="0" t="s">
        <v>20</v>
      </c>
      <c r="H423" s="0" t="n">
        <v>29</v>
      </c>
      <c r="I423" s="0" t="s">
        <v>1427</v>
      </c>
      <c r="J423" s="0" t="s">
        <v>1428</v>
      </c>
      <c r="K423" s="0" t="s">
        <v>1429</v>
      </c>
      <c r="L423" s="0" t="str">
        <f aca="false">HYPERLINK("https://www.ncbi.nlm.nih.gov/nuccore/CP000058.1?report=graph&amp;tracks=[key:gene_model_track,Options:GeneOnly]&amp;mk=139871:139890|offset_29|00cc00,139846:139865|offset_54|444444,139820:139839|offset_80|444444,139769:139788|offset_131|444444&amp;v=139670:139988&amp;c=444444", "offset 29")</f>
        <v>offset 29</v>
      </c>
    </row>
    <row r="424" customFormat="false" ht="12.8" hidden="false" customHeight="false" outlineLevel="0" collapsed="false">
      <c r="A424" s="0" t="s">
        <v>12</v>
      </c>
      <c r="B424" s="0" t="n">
        <v>139845</v>
      </c>
      <c r="C424" s="0" t="n">
        <v>139865</v>
      </c>
      <c r="D424" s="0" t="s">
        <v>1426</v>
      </c>
      <c r="E424" s="0" t="s">
        <v>75</v>
      </c>
      <c r="F424" s="0" t="s">
        <v>90</v>
      </c>
      <c r="G424" s="0" t="s">
        <v>36</v>
      </c>
      <c r="H424" s="0" t="n">
        <v>54</v>
      </c>
      <c r="I424" s="0" t="s">
        <v>1430</v>
      </c>
      <c r="J424" s="0" t="s">
        <v>1431</v>
      </c>
      <c r="K424" s="0" t="s">
        <v>1432</v>
      </c>
      <c r="L424" s="0" t="str">
        <f aca="false">HYPERLINK("https://www.ncbi.nlm.nih.gov/nuccore/CP000058.1?report=graph&amp;tracks=[key:gene_model_track,Options:GeneOnly]&amp;mk=139871:139890|offset_29|444444,139846:139865|offset_54|00cc00,139820:139839|offset_80|444444,139769:139788|offset_131|444444&amp;v=139670:139988&amp;c=444444", "offset 54")</f>
        <v>offset 54</v>
      </c>
    </row>
    <row r="425" customFormat="false" ht="12.8" hidden="false" customHeight="false" outlineLevel="0" collapsed="false">
      <c r="A425" s="0" t="s">
        <v>12</v>
      </c>
      <c r="B425" s="0" t="n">
        <v>139819</v>
      </c>
      <c r="C425" s="0" t="n">
        <v>139839</v>
      </c>
      <c r="D425" s="0" t="s">
        <v>1426</v>
      </c>
      <c r="E425" s="0" t="s">
        <v>75</v>
      </c>
      <c r="F425" s="0" t="s">
        <v>90</v>
      </c>
      <c r="G425" s="0" t="s">
        <v>20</v>
      </c>
      <c r="H425" s="0" t="n">
        <v>80</v>
      </c>
      <c r="I425" s="0" t="s">
        <v>1433</v>
      </c>
      <c r="J425" s="0" t="s">
        <v>1434</v>
      </c>
      <c r="K425" s="0" t="s">
        <v>1435</v>
      </c>
      <c r="L425" s="0" t="str">
        <f aca="false">HYPERLINK("https://www.ncbi.nlm.nih.gov/nuccore/CP000058.1?report=graph&amp;tracks=[key:gene_model_track,Options:GeneOnly]&amp;mk=139871:139890|offset_29|444444,139846:139865|offset_54|444444,139820:139839|offset_80|00cc00,139769:139788|offset_131|444444&amp;v=139670:139988&amp;c=444444", "offset 80")</f>
        <v>offset 80</v>
      </c>
    </row>
    <row r="426" customFormat="false" ht="12.8" hidden="false" customHeight="false" outlineLevel="0" collapsed="false">
      <c r="A426" s="0" t="s">
        <v>12</v>
      </c>
      <c r="B426" s="0" t="n">
        <v>139768</v>
      </c>
      <c r="C426" s="0" t="n">
        <v>139788</v>
      </c>
      <c r="D426" s="0" t="s">
        <v>1426</v>
      </c>
      <c r="E426" s="0" t="s">
        <v>75</v>
      </c>
      <c r="F426" s="0" t="s">
        <v>90</v>
      </c>
      <c r="G426" s="0" t="s">
        <v>36</v>
      </c>
      <c r="H426" s="0" t="n">
        <v>131</v>
      </c>
      <c r="I426" s="0" t="s">
        <v>1436</v>
      </c>
      <c r="J426" s="0" t="s">
        <v>1437</v>
      </c>
      <c r="K426" s="0" t="s">
        <v>1438</v>
      </c>
      <c r="L426" s="0" t="str">
        <f aca="false">HYPERLINK("https://www.ncbi.nlm.nih.gov/nuccore/CP000058.1?report=graph&amp;tracks=[key:gene_model_track,Options:GeneOnly]&amp;mk=139871:139890|offset_29|444444,139846:139865|offset_54|444444,139820:139839|offset_80|444444,139769:139788|offset_131|00cc00&amp;v=139670:139988&amp;c=444444", "offset 131")</f>
        <v>offset 131</v>
      </c>
    </row>
    <row r="427" customFormat="false" ht="12.8" hidden="false" customHeight="false" outlineLevel="0" collapsed="false">
      <c r="A427" s="0" t="s">
        <v>12</v>
      </c>
      <c r="B427" s="0" t="n">
        <v>140481</v>
      </c>
      <c r="C427" s="0" t="n">
        <v>140501</v>
      </c>
      <c r="D427" s="0" t="s">
        <v>1439</v>
      </c>
      <c r="E427" s="0" t="s">
        <v>75</v>
      </c>
      <c r="F427" s="0" t="s">
        <v>90</v>
      </c>
      <c r="G427" s="0" t="s">
        <v>32</v>
      </c>
      <c r="H427" s="0" t="n">
        <v>23</v>
      </c>
      <c r="I427" s="0" t="s">
        <v>1440</v>
      </c>
      <c r="J427" s="0" t="s">
        <v>1441</v>
      </c>
      <c r="K427" s="0" t="s">
        <v>1442</v>
      </c>
      <c r="L427" s="0" t="str">
        <f aca="false">HYPERLINK("https://www.ncbi.nlm.nih.gov/nuccore/CP000058.1?report=graph&amp;tracks=[key:gene_model_track,Options:GeneOnly]&amp;mk=140482:140501|offset_23|00cc00,140399:140418|offset_106|444444,140378:140397|offset_127|444444,140354:140373|offset_151|444444&amp;v=140281:140573&amp;c=444444", "offset 23")</f>
        <v>offset 23</v>
      </c>
    </row>
    <row r="428" customFormat="false" ht="12.8" hidden="false" customHeight="false" outlineLevel="0" collapsed="false">
      <c r="A428" s="0" t="s">
        <v>12</v>
      </c>
      <c r="B428" s="0" t="n">
        <v>140398</v>
      </c>
      <c r="C428" s="0" t="n">
        <v>140418</v>
      </c>
      <c r="D428" s="0" t="s">
        <v>1439</v>
      </c>
      <c r="E428" s="0" t="s">
        <v>75</v>
      </c>
      <c r="F428" s="0" t="s">
        <v>90</v>
      </c>
      <c r="G428" s="0" t="s">
        <v>36</v>
      </c>
      <c r="H428" s="0" t="n">
        <v>106</v>
      </c>
      <c r="I428" s="0" t="s">
        <v>1443</v>
      </c>
      <c r="J428" s="0" t="s">
        <v>1444</v>
      </c>
      <c r="K428" s="0" t="s">
        <v>1445</v>
      </c>
      <c r="L428" s="0" t="str">
        <f aca="false">HYPERLINK("https://www.ncbi.nlm.nih.gov/nuccore/CP000058.1?report=graph&amp;tracks=[key:gene_model_track,Options:GeneOnly]&amp;mk=140482:140501|offset_23|444444,140399:140418|offset_106|00cc00,140378:140397|offset_127|444444,140354:140373|offset_151|444444&amp;v=140281:140573&amp;c=444444", "offset 106")</f>
        <v>offset 106</v>
      </c>
    </row>
    <row r="429" customFormat="false" ht="12.8" hidden="false" customHeight="false" outlineLevel="0" collapsed="false">
      <c r="A429" s="0" t="s">
        <v>12</v>
      </c>
      <c r="B429" s="0" t="n">
        <v>140377</v>
      </c>
      <c r="C429" s="0" t="n">
        <v>140397</v>
      </c>
      <c r="D429" s="0" t="s">
        <v>1439</v>
      </c>
      <c r="E429" s="0" t="s">
        <v>75</v>
      </c>
      <c r="F429" s="0" t="s">
        <v>90</v>
      </c>
      <c r="G429" s="0" t="s">
        <v>32</v>
      </c>
      <c r="H429" s="0" t="n">
        <v>127</v>
      </c>
      <c r="I429" s="0" t="s">
        <v>1446</v>
      </c>
      <c r="J429" s="0" t="s">
        <v>1447</v>
      </c>
      <c r="K429" s="0" t="s">
        <v>1448</v>
      </c>
      <c r="L429" s="0" t="str">
        <f aca="false">HYPERLINK("https://www.ncbi.nlm.nih.gov/nuccore/CP000058.1?report=graph&amp;tracks=[key:gene_model_track,Options:GeneOnly]&amp;mk=140482:140501|offset_23|444444,140399:140418|offset_106|444444,140378:140397|offset_127|00cc00,140354:140373|offset_151|444444&amp;v=140281:140573&amp;c=444444", "offset 127")</f>
        <v>offset 127</v>
      </c>
    </row>
    <row r="430" customFormat="false" ht="12.8" hidden="false" customHeight="false" outlineLevel="0" collapsed="false">
      <c r="A430" s="0" t="s">
        <v>12</v>
      </c>
      <c r="B430" s="0" t="n">
        <v>140353</v>
      </c>
      <c r="C430" s="0" t="n">
        <v>140373</v>
      </c>
      <c r="D430" s="0" t="s">
        <v>1439</v>
      </c>
      <c r="E430" s="0" t="s">
        <v>75</v>
      </c>
      <c r="F430" s="0" t="s">
        <v>90</v>
      </c>
      <c r="G430" s="0" t="s">
        <v>16</v>
      </c>
      <c r="H430" s="0" t="n">
        <v>151</v>
      </c>
      <c r="I430" s="0" t="s">
        <v>1449</v>
      </c>
      <c r="J430" s="0" t="s">
        <v>1450</v>
      </c>
      <c r="K430" s="0" t="s">
        <v>1451</v>
      </c>
      <c r="L430" s="0" t="str">
        <f aca="false">HYPERLINK("https://www.ncbi.nlm.nih.gov/nuccore/CP000058.1?report=graph&amp;tracks=[key:gene_model_track,Options:GeneOnly]&amp;mk=140482:140501|offset_23|444444,140399:140418|offset_106|444444,140378:140397|offset_127|444444,140354:140373|offset_151|00cc00&amp;v=140281:140573&amp;c=444444", "offset 151")</f>
        <v>offset 151</v>
      </c>
    </row>
    <row r="431" customFormat="false" ht="12.8" hidden="false" customHeight="false" outlineLevel="0" collapsed="false">
      <c r="A431" s="0" t="s">
        <v>12</v>
      </c>
      <c r="B431" s="0" t="n">
        <v>143117</v>
      </c>
      <c r="C431" s="0" t="n">
        <v>143137</v>
      </c>
      <c r="D431" s="0" t="s">
        <v>1452</v>
      </c>
      <c r="E431" s="0" t="s">
        <v>75</v>
      </c>
      <c r="F431" s="0" t="s">
        <v>90</v>
      </c>
      <c r="G431" s="0" t="s">
        <v>32</v>
      </c>
      <c r="H431" s="0" t="n">
        <v>35</v>
      </c>
      <c r="I431" s="0" t="s">
        <v>1453</v>
      </c>
      <c r="J431" s="0" t="s">
        <v>1454</v>
      </c>
      <c r="K431" s="0" t="s">
        <v>1455</v>
      </c>
      <c r="L431" s="0" t="str">
        <f aca="false">HYPERLINK("https://www.ncbi.nlm.nih.gov/nuccore/CP000058.1?report=graph&amp;tracks=[key:gene_model_track,Options:GeneOnly]&amp;mk=143118:143137|offset_35|00cc00,143058:143077|offset_95|444444,143028:143047|offset_125|444444,143004:143023|offset_149|444444&amp;v=142917:143223&amp;c=444444", "offset 35")</f>
        <v>offset 35</v>
      </c>
    </row>
    <row r="432" customFormat="false" ht="12.8" hidden="false" customHeight="false" outlineLevel="0" collapsed="false">
      <c r="A432" s="0" t="s">
        <v>12</v>
      </c>
      <c r="B432" s="0" t="n">
        <v>143057</v>
      </c>
      <c r="C432" s="0" t="n">
        <v>143077</v>
      </c>
      <c r="D432" s="0" t="s">
        <v>1452</v>
      </c>
      <c r="E432" s="0" t="s">
        <v>75</v>
      </c>
      <c r="F432" s="0" t="s">
        <v>90</v>
      </c>
      <c r="G432" s="0" t="s">
        <v>16</v>
      </c>
      <c r="H432" s="0" t="n">
        <v>95</v>
      </c>
      <c r="I432" s="0" t="s">
        <v>1456</v>
      </c>
      <c r="J432" s="0" t="s">
        <v>1457</v>
      </c>
      <c r="K432" s="0" t="s">
        <v>1458</v>
      </c>
      <c r="L432" s="0" t="str">
        <f aca="false">HYPERLINK("https://www.ncbi.nlm.nih.gov/nuccore/CP000058.1?report=graph&amp;tracks=[key:gene_model_track,Options:GeneOnly]&amp;mk=143118:143137|offset_35|444444,143058:143077|offset_95|00cc00,143028:143047|offset_125|444444,143004:143023|offset_149|444444&amp;v=142917:143223&amp;c=444444", "offset 95")</f>
        <v>offset 95</v>
      </c>
    </row>
    <row r="433" customFormat="false" ht="12.8" hidden="false" customHeight="false" outlineLevel="0" collapsed="false">
      <c r="A433" s="0" t="s">
        <v>12</v>
      </c>
      <c r="B433" s="0" t="n">
        <v>143027</v>
      </c>
      <c r="C433" s="0" t="n">
        <v>143047</v>
      </c>
      <c r="D433" s="0" t="s">
        <v>1452</v>
      </c>
      <c r="E433" s="0" t="s">
        <v>75</v>
      </c>
      <c r="F433" s="0" t="s">
        <v>90</v>
      </c>
      <c r="G433" s="0" t="s">
        <v>20</v>
      </c>
      <c r="H433" s="0" t="n">
        <v>125</v>
      </c>
      <c r="I433" s="0" t="s">
        <v>1459</v>
      </c>
      <c r="J433" s="0" t="s">
        <v>1460</v>
      </c>
      <c r="K433" s="0" t="s">
        <v>1461</v>
      </c>
      <c r="L433" s="0" t="str">
        <f aca="false">HYPERLINK("https://www.ncbi.nlm.nih.gov/nuccore/CP000058.1?report=graph&amp;tracks=[key:gene_model_track,Options:GeneOnly]&amp;mk=143118:143137|offset_35|444444,143058:143077|offset_95|444444,143028:143047|offset_125|00cc00,143004:143023|offset_149|444444&amp;v=142917:143223&amp;c=444444", "offset 125")</f>
        <v>offset 125</v>
      </c>
    </row>
    <row r="434" customFormat="false" ht="12.8" hidden="false" customHeight="false" outlineLevel="0" collapsed="false">
      <c r="A434" s="0" t="s">
        <v>12</v>
      </c>
      <c r="B434" s="0" t="n">
        <v>143003</v>
      </c>
      <c r="C434" s="0" t="n">
        <v>143023</v>
      </c>
      <c r="D434" s="0" t="s">
        <v>1452</v>
      </c>
      <c r="E434" s="0" t="s">
        <v>75</v>
      </c>
      <c r="F434" s="0" t="s">
        <v>90</v>
      </c>
      <c r="G434" s="0" t="s">
        <v>20</v>
      </c>
      <c r="H434" s="0" t="n">
        <v>149</v>
      </c>
      <c r="I434" s="0" t="s">
        <v>1462</v>
      </c>
      <c r="J434" s="0" t="s">
        <v>1463</v>
      </c>
      <c r="K434" s="0" t="s">
        <v>1464</v>
      </c>
      <c r="L434" s="0" t="str">
        <f aca="false">HYPERLINK("https://www.ncbi.nlm.nih.gov/nuccore/CP000058.1?report=graph&amp;tracks=[key:gene_model_track,Options:GeneOnly]&amp;mk=143118:143137|offset_35|444444,143058:143077|offset_95|444444,143028:143047|offset_125|444444,143004:143023|offset_149|00cc00&amp;v=142917:143223&amp;c=444444", "offset 149")</f>
        <v>offset 149</v>
      </c>
    </row>
    <row r="435" customFormat="false" ht="12.8" hidden="false" customHeight="false" outlineLevel="0" collapsed="false">
      <c r="A435" s="0" t="s">
        <v>12</v>
      </c>
      <c r="B435" s="0" t="n">
        <v>144045</v>
      </c>
      <c r="C435" s="0" t="n">
        <v>144065</v>
      </c>
      <c r="D435" s="0" t="s">
        <v>1465</v>
      </c>
      <c r="E435" s="0" t="s">
        <v>75</v>
      </c>
      <c r="F435" s="0" t="s">
        <v>90</v>
      </c>
      <c r="G435" s="0" t="s">
        <v>36</v>
      </c>
      <c r="H435" s="0" t="n">
        <v>27</v>
      </c>
      <c r="I435" s="0" t="s">
        <v>1466</v>
      </c>
      <c r="J435" s="0" t="s">
        <v>1467</v>
      </c>
      <c r="K435" s="0" t="s">
        <v>1468</v>
      </c>
      <c r="L435" s="0" t="str">
        <f aca="false">HYPERLINK("https://www.ncbi.nlm.nih.gov/nuccore/CP000058.1?report=graph&amp;tracks=[key:gene_model_track,Options:GeneOnly]&amp;mk=144046:144065|offset_27|00cc00,144023:144042|offset_50|444444,143985:144004|offset_88|444444,143964:143983|offset_109|444444&amp;v=143845:144183&amp;c=444444", "offset 27")</f>
        <v>offset 27</v>
      </c>
    </row>
    <row r="436" customFormat="false" ht="12.8" hidden="false" customHeight="false" outlineLevel="0" collapsed="false">
      <c r="A436" s="0" t="s">
        <v>12</v>
      </c>
      <c r="B436" s="0" t="n">
        <v>144022</v>
      </c>
      <c r="C436" s="0" t="n">
        <v>144042</v>
      </c>
      <c r="D436" s="0" t="s">
        <v>1465</v>
      </c>
      <c r="E436" s="0" t="s">
        <v>75</v>
      </c>
      <c r="F436" s="0" t="s">
        <v>90</v>
      </c>
      <c r="G436" s="0" t="s">
        <v>20</v>
      </c>
      <c r="H436" s="0" t="n">
        <v>50</v>
      </c>
      <c r="I436" s="0" t="s">
        <v>1469</v>
      </c>
      <c r="J436" s="0" t="s">
        <v>1470</v>
      </c>
      <c r="K436" s="0" t="s">
        <v>1471</v>
      </c>
      <c r="L436" s="0" t="str">
        <f aca="false">HYPERLINK("https://www.ncbi.nlm.nih.gov/nuccore/CP000058.1?report=graph&amp;tracks=[key:gene_model_track,Options:GeneOnly]&amp;mk=144046:144065|offset_27|444444,144023:144042|offset_50|00cc00,143985:144004|offset_88|444444,143964:143983|offset_109|444444&amp;v=143845:144183&amp;c=444444", "offset 50")</f>
        <v>offset 50</v>
      </c>
    </row>
    <row r="437" customFormat="false" ht="12.8" hidden="false" customHeight="false" outlineLevel="0" collapsed="false">
      <c r="A437" s="0" t="s">
        <v>12</v>
      </c>
      <c r="B437" s="0" t="n">
        <v>143984</v>
      </c>
      <c r="C437" s="0" t="n">
        <v>144004</v>
      </c>
      <c r="D437" s="0" t="s">
        <v>1465</v>
      </c>
      <c r="E437" s="0" t="s">
        <v>75</v>
      </c>
      <c r="F437" s="0" t="s">
        <v>90</v>
      </c>
      <c r="G437" s="0" t="s">
        <v>20</v>
      </c>
      <c r="H437" s="0" t="n">
        <v>88</v>
      </c>
      <c r="I437" s="0" t="s">
        <v>1472</v>
      </c>
      <c r="J437" s="0" t="s">
        <v>1473</v>
      </c>
      <c r="K437" s="0" t="s">
        <v>1474</v>
      </c>
      <c r="L437" s="0" t="str">
        <f aca="false">HYPERLINK("https://www.ncbi.nlm.nih.gov/nuccore/CP000058.1?report=graph&amp;tracks=[key:gene_model_track,Options:GeneOnly]&amp;mk=144046:144065|offset_27|444444,144023:144042|offset_50|444444,143985:144004|offset_88|00cc00,143964:143983|offset_109|444444&amp;v=143845:144183&amp;c=444444", "offset 88")</f>
        <v>offset 88</v>
      </c>
    </row>
    <row r="438" customFormat="false" ht="12.8" hidden="false" customHeight="false" outlineLevel="0" collapsed="false">
      <c r="A438" s="0" t="s">
        <v>12</v>
      </c>
      <c r="B438" s="0" t="n">
        <v>143963</v>
      </c>
      <c r="C438" s="0" t="n">
        <v>143983</v>
      </c>
      <c r="D438" s="0" t="s">
        <v>1465</v>
      </c>
      <c r="E438" s="0" t="s">
        <v>75</v>
      </c>
      <c r="F438" s="0" t="s">
        <v>90</v>
      </c>
      <c r="G438" s="0" t="s">
        <v>16</v>
      </c>
      <c r="H438" s="0" t="n">
        <v>109</v>
      </c>
      <c r="I438" s="0" t="s">
        <v>1475</v>
      </c>
      <c r="J438" s="0" t="s">
        <v>1476</v>
      </c>
      <c r="K438" s="0" t="s">
        <v>1477</v>
      </c>
      <c r="L438" s="0" t="str">
        <f aca="false">HYPERLINK("https://www.ncbi.nlm.nih.gov/nuccore/CP000058.1?report=graph&amp;tracks=[key:gene_model_track,Options:GeneOnly]&amp;mk=144046:144065|offset_27|444444,144023:144042|offset_50|444444,143985:144004|offset_88|444444,143964:143983|offset_109|00cc00&amp;v=143845:144183&amp;c=444444", "offset 109")</f>
        <v>offset 109</v>
      </c>
    </row>
    <row r="439" customFormat="false" ht="12.8" hidden="false" customHeight="false" outlineLevel="0" collapsed="false">
      <c r="A439" s="0" t="s">
        <v>12</v>
      </c>
      <c r="B439" s="0" t="n">
        <v>148004</v>
      </c>
      <c r="C439" s="0" t="n">
        <v>148024</v>
      </c>
      <c r="D439" s="0" t="s">
        <v>1478</v>
      </c>
      <c r="E439" s="0" t="s">
        <v>75</v>
      </c>
      <c r="F439" s="0" t="s">
        <v>90</v>
      </c>
      <c r="G439" s="0" t="s">
        <v>20</v>
      </c>
      <c r="H439" s="0" t="n">
        <v>20</v>
      </c>
      <c r="I439" s="0" t="s">
        <v>1479</v>
      </c>
      <c r="J439" s="0" t="s">
        <v>1480</v>
      </c>
      <c r="K439" s="0" t="s">
        <v>1481</v>
      </c>
      <c r="L439" s="0" t="str">
        <f aca="false">HYPERLINK("https://www.ncbi.nlm.nih.gov/nuccore/CP000058.1?report=graph&amp;tracks=[key:gene_model_track,Options:GeneOnly]&amp;mk=148005:148024|offset_20|00cc00,147984:148003|offset_41|444444,147957:147976|offset_68|444444,147934:147953|offset_91|444444&amp;v=147804:148153&amp;c=444444", "offset 20")</f>
        <v>offset 20</v>
      </c>
    </row>
    <row r="440" customFormat="false" ht="12.8" hidden="false" customHeight="false" outlineLevel="0" collapsed="false">
      <c r="A440" s="0" t="s">
        <v>12</v>
      </c>
      <c r="B440" s="0" t="n">
        <v>147983</v>
      </c>
      <c r="C440" s="0" t="n">
        <v>148003</v>
      </c>
      <c r="D440" s="0" t="s">
        <v>1478</v>
      </c>
      <c r="E440" s="0" t="s">
        <v>75</v>
      </c>
      <c r="F440" s="0" t="s">
        <v>90</v>
      </c>
      <c r="G440" s="0" t="s">
        <v>20</v>
      </c>
      <c r="H440" s="0" t="n">
        <v>41</v>
      </c>
      <c r="I440" s="0" t="s">
        <v>1482</v>
      </c>
      <c r="J440" s="0" t="s">
        <v>1483</v>
      </c>
      <c r="K440" s="0" t="s">
        <v>1484</v>
      </c>
      <c r="L440" s="0" t="str">
        <f aca="false">HYPERLINK("https://www.ncbi.nlm.nih.gov/nuccore/CP000058.1?report=graph&amp;tracks=[key:gene_model_track,Options:GeneOnly]&amp;mk=148005:148024|offset_20|444444,147984:148003|offset_41|00cc00,147957:147976|offset_68|444444,147934:147953|offset_91|444444&amp;v=147804:148153&amp;c=444444", "offset 41")</f>
        <v>offset 41</v>
      </c>
    </row>
    <row r="441" customFormat="false" ht="12.8" hidden="false" customHeight="false" outlineLevel="0" collapsed="false">
      <c r="A441" s="0" t="s">
        <v>12</v>
      </c>
      <c r="B441" s="0" t="n">
        <v>147956</v>
      </c>
      <c r="C441" s="0" t="n">
        <v>147976</v>
      </c>
      <c r="D441" s="0" t="s">
        <v>1478</v>
      </c>
      <c r="E441" s="0" t="s">
        <v>75</v>
      </c>
      <c r="F441" s="0" t="s">
        <v>90</v>
      </c>
      <c r="G441" s="0" t="s">
        <v>20</v>
      </c>
      <c r="H441" s="0" t="n">
        <v>68</v>
      </c>
      <c r="I441" s="0" t="s">
        <v>1485</v>
      </c>
      <c r="J441" s="0" t="s">
        <v>1486</v>
      </c>
      <c r="K441" s="0" t="s">
        <v>1487</v>
      </c>
      <c r="L441" s="0" t="str">
        <f aca="false">HYPERLINK("https://www.ncbi.nlm.nih.gov/nuccore/CP000058.1?report=graph&amp;tracks=[key:gene_model_track,Options:GeneOnly]&amp;mk=148005:148024|offset_20|444444,147984:148003|offset_41|444444,147957:147976|offset_68|00cc00,147934:147953|offset_91|444444&amp;v=147804:148153&amp;c=444444", "offset 68")</f>
        <v>offset 68</v>
      </c>
    </row>
    <row r="442" customFormat="false" ht="12.8" hidden="false" customHeight="false" outlineLevel="0" collapsed="false">
      <c r="A442" s="0" t="s">
        <v>12</v>
      </c>
      <c r="B442" s="0" t="n">
        <v>147933</v>
      </c>
      <c r="C442" s="0" t="n">
        <v>147953</v>
      </c>
      <c r="D442" s="0" t="s">
        <v>1478</v>
      </c>
      <c r="E442" s="0" t="s">
        <v>75</v>
      </c>
      <c r="F442" s="0" t="s">
        <v>90</v>
      </c>
      <c r="G442" s="0" t="s">
        <v>36</v>
      </c>
      <c r="H442" s="0" t="n">
        <v>91</v>
      </c>
      <c r="I442" s="0" t="s">
        <v>1488</v>
      </c>
      <c r="J442" s="0" t="s">
        <v>1489</v>
      </c>
      <c r="K442" s="0" t="s">
        <v>1490</v>
      </c>
      <c r="L442" s="0" t="str">
        <f aca="false">HYPERLINK("https://www.ncbi.nlm.nih.gov/nuccore/CP000058.1?report=graph&amp;tracks=[key:gene_model_track,Options:GeneOnly]&amp;mk=148005:148024|offset_20|444444,147984:148003|offset_41|444444,147957:147976|offset_68|444444,147934:147953|offset_91|00cc00&amp;v=147804:148153&amp;c=444444", "offset 91")</f>
        <v>offset 91</v>
      </c>
    </row>
    <row r="443" customFormat="false" ht="12.8" hidden="false" customHeight="false" outlineLevel="0" collapsed="false">
      <c r="A443" s="0" t="s">
        <v>12</v>
      </c>
      <c r="B443" s="0" t="n">
        <v>148755</v>
      </c>
      <c r="C443" s="0" t="n">
        <v>148775</v>
      </c>
      <c r="D443" s="0" t="s">
        <v>1491</v>
      </c>
      <c r="E443" s="0" t="s">
        <v>75</v>
      </c>
      <c r="F443" s="0" t="s">
        <v>90</v>
      </c>
      <c r="G443" s="0" t="s">
        <v>16</v>
      </c>
      <c r="H443" s="0" t="n">
        <v>13</v>
      </c>
      <c r="I443" s="0" t="s">
        <v>1492</v>
      </c>
      <c r="J443" s="0" t="s">
        <v>1493</v>
      </c>
      <c r="K443" s="0" t="s">
        <v>1494</v>
      </c>
      <c r="L443" s="0" t="str">
        <f aca="false">HYPERLINK("https://www.ncbi.nlm.nih.gov/nuccore/CP000058.1?report=graph&amp;tracks=[key:gene_model_track,Options:GeneOnly]&amp;mk=148756:148775|offset_13|00cc00,148732:148751|offset_37|444444,148704:148723|offset_65|444444,148684:148703|offset_85|444444&amp;v=148555:148903&amp;c=444444", "offset 13")</f>
        <v>offset 13</v>
      </c>
    </row>
    <row r="444" customFormat="false" ht="12.8" hidden="false" customHeight="false" outlineLevel="0" collapsed="false">
      <c r="A444" s="0" t="s">
        <v>12</v>
      </c>
      <c r="B444" s="0" t="n">
        <v>148731</v>
      </c>
      <c r="C444" s="0" t="n">
        <v>148751</v>
      </c>
      <c r="D444" s="0" t="s">
        <v>1491</v>
      </c>
      <c r="E444" s="0" t="s">
        <v>75</v>
      </c>
      <c r="F444" s="0" t="s">
        <v>90</v>
      </c>
      <c r="G444" s="0" t="s">
        <v>16</v>
      </c>
      <c r="H444" s="0" t="n">
        <v>37</v>
      </c>
      <c r="I444" s="0" t="s">
        <v>1495</v>
      </c>
      <c r="J444" s="0" t="s">
        <v>1496</v>
      </c>
      <c r="K444" s="0" t="s">
        <v>1497</v>
      </c>
      <c r="L444" s="0" t="str">
        <f aca="false">HYPERLINK("https://www.ncbi.nlm.nih.gov/nuccore/CP000058.1?report=graph&amp;tracks=[key:gene_model_track,Options:GeneOnly]&amp;mk=148756:148775|offset_13|444444,148732:148751|offset_37|00cc00,148704:148723|offset_65|444444,148684:148703|offset_85|444444&amp;v=148555:148903&amp;c=444444", "offset 37")</f>
        <v>offset 37</v>
      </c>
    </row>
    <row r="445" customFormat="false" ht="12.8" hidden="false" customHeight="false" outlineLevel="0" collapsed="false">
      <c r="A445" s="0" t="s">
        <v>12</v>
      </c>
      <c r="B445" s="0" t="n">
        <v>148703</v>
      </c>
      <c r="C445" s="0" t="n">
        <v>148723</v>
      </c>
      <c r="D445" s="0" t="s">
        <v>1491</v>
      </c>
      <c r="E445" s="0" t="s">
        <v>75</v>
      </c>
      <c r="F445" s="0" t="s">
        <v>90</v>
      </c>
      <c r="G445" s="0" t="s">
        <v>20</v>
      </c>
      <c r="H445" s="0" t="n">
        <v>65</v>
      </c>
      <c r="I445" s="0" t="s">
        <v>1498</v>
      </c>
      <c r="J445" s="0" t="s">
        <v>1499</v>
      </c>
      <c r="K445" s="0" t="s">
        <v>1500</v>
      </c>
      <c r="L445" s="0" t="str">
        <f aca="false">HYPERLINK("https://www.ncbi.nlm.nih.gov/nuccore/CP000058.1?report=graph&amp;tracks=[key:gene_model_track,Options:GeneOnly]&amp;mk=148756:148775|offset_13|444444,148732:148751|offset_37|444444,148704:148723|offset_65|00cc00,148684:148703|offset_85|444444&amp;v=148555:148903&amp;c=444444", "offset 65")</f>
        <v>offset 65</v>
      </c>
    </row>
    <row r="446" customFormat="false" ht="12.8" hidden="false" customHeight="false" outlineLevel="0" collapsed="false">
      <c r="A446" s="0" t="s">
        <v>12</v>
      </c>
      <c r="B446" s="0" t="n">
        <v>148683</v>
      </c>
      <c r="C446" s="0" t="n">
        <v>148703</v>
      </c>
      <c r="D446" s="0" t="s">
        <v>1491</v>
      </c>
      <c r="E446" s="0" t="s">
        <v>75</v>
      </c>
      <c r="F446" s="0" t="s">
        <v>90</v>
      </c>
      <c r="G446" s="0" t="s">
        <v>32</v>
      </c>
      <c r="H446" s="0" t="n">
        <v>85</v>
      </c>
      <c r="I446" s="0" t="s">
        <v>1501</v>
      </c>
      <c r="J446" s="0" t="s">
        <v>1502</v>
      </c>
      <c r="K446" s="0" t="s">
        <v>1503</v>
      </c>
      <c r="L446" s="0" t="str">
        <f aca="false">HYPERLINK("https://www.ncbi.nlm.nih.gov/nuccore/CP000058.1?report=graph&amp;tracks=[key:gene_model_track,Options:GeneOnly]&amp;mk=148756:148775|offset_13|444444,148732:148751|offset_37|444444,148704:148723|offset_65|444444,148684:148703|offset_85|00cc00&amp;v=148555:148903&amp;c=444444", "offset 85")</f>
        <v>offset 85</v>
      </c>
    </row>
    <row r="447" customFormat="false" ht="12.8" hidden="false" customHeight="false" outlineLevel="0" collapsed="false">
      <c r="A447" s="0" t="s">
        <v>12</v>
      </c>
      <c r="B447" s="0" t="n">
        <v>150091</v>
      </c>
      <c r="C447" s="0" t="n">
        <v>150111</v>
      </c>
      <c r="D447" s="0" t="s">
        <v>1504</v>
      </c>
      <c r="E447" s="0" t="s">
        <v>75</v>
      </c>
      <c r="F447" s="0" t="s">
        <v>90</v>
      </c>
      <c r="G447" s="0" t="s">
        <v>16</v>
      </c>
      <c r="H447" s="0" t="n">
        <v>17</v>
      </c>
      <c r="I447" s="0" t="s">
        <v>1505</v>
      </c>
      <c r="J447" s="0" t="s">
        <v>1506</v>
      </c>
      <c r="K447" s="0" t="s">
        <v>1507</v>
      </c>
      <c r="L447" s="0" t="str">
        <f aca="false">HYPERLINK("https://www.ncbi.nlm.nih.gov/nuccore/CP000058.1?report=graph&amp;tracks=[key:gene_model_track,Options:GeneOnly]&amp;mk=150092:150111|offset_17|00cc00,150065:150084|offset_44|444444,150026:150045|offset_83|444444,149994:150013|offset_115|444444&amp;v=149891:150213&amp;c=444444", "offset 17")</f>
        <v>offset 17</v>
      </c>
    </row>
    <row r="448" customFormat="false" ht="12.8" hidden="false" customHeight="false" outlineLevel="0" collapsed="false">
      <c r="A448" s="0" t="s">
        <v>12</v>
      </c>
      <c r="B448" s="0" t="n">
        <v>150064</v>
      </c>
      <c r="C448" s="0" t="n">
        <v>150084</v>
      </c>
      <c r="D448" s="0" t="s">
        <v>1504</v>
      </c>
      <c r="E448" s="0" t="s">
        <v>75</v>
      </c>
      <c r="F448" s="0" t="s">
        <v>90</v>
      </c>
      <c r="G448" s="0" t="s">
        <v>20</v>
      </c>
      <c r="H448" s="0" t="n">
        <v>44</v>
      </c>
      <c r="I448" s="0" t="s">
        <v>1508</v>
      </c>
      <c r="J448" s="0" t="s">
        <v>1509</v>
      </c>
      <c r="K448" s="0" t="s">
        <v>1510</v>
      </c>
      <c r="L448" s="0" t="str">
        <f aca="false">HYPERLINK("https://www.ncbi.nlm.nih.gov/nuccore/CP000058.1?report=graph&amp;tracks=[key:gene_model_track,Options:GeneOnly]&amp;mk=150092:150111|offset_17|444444,150065:150084|offset_44|00cc00,150026:150045|offset_83|444444,149994:150013|offset_115|444444&amp;v=149891:150213&amp;c=444444", "offset 44")</f>
        <v>offset 44</v>
      </c>
    </row>
    <row r="449" customFormat="false" ht="12.8" hidden="false" customHeight="false" outlineLevel="0" collapsed="false">
      <c r="A449" s="0" t="s">
        <v>12</v>
      </c>
      <c r="B449" s="0" t="n">
        <v>150025</v>
      </c>
      <c r="C449" s="0" t="n">
        <v>150045</v>
      </c>
      <c r="D449" s="0" t="s">
        <v>1504</v>
      </c>
      <c r="E449" s="0" t="s">
        <v>75</v>
      </c>
      <c r="F449" s="0" t="s">
        <v>90</v>
      </c>
      <c r="G449" s="0" t="s">
        <v>32</v>
      </c>
      <c r="H449" s="0" t="n">
        <v>83</v>
      </c>
      <c r="I449" s="0" t="s">
        <v>1511</v>
      </c>
      <c r="J449" s="0" t="s">
        <v>1512</v>
      </c>
      <c r="K449" s="0" t="s">
        <v>1513</v>
      </c>
      <c r="L449" s="0" t="str">
        <f aca="false">HYPERLINK("https://www.ncbi.nlm.nih.gov/nuccore/CP000058.1?report=graph&amp;tracks=[key:gene_model_track,Options:GeneOnly]&amp;mk=150092:150111|offset_17|444444,150065:150084|offset_44|444444,150026:150045|offset_83|00cc00,149994:150013|offset_115|444444&amp;v=149891:150213&amp;c=444444", "offset 83")</f>
        <v>offset 83</v>
      </c>
    </row>
    <row r="450" customFormat="false" ht="12.8" hidden="false" customHeight="false" outlineLevel="0" collapsed="false">
      <c r="A450" s="0" t="s">
        <v>12</v>
      </c>
      <c r="B450" s="0" t="n">
        <v>149993</v>
      </c>
      <c r="C450" s="0" t="n">
        <v>150013</v>
      </c>
      <c r="D450" s="0" t="s">
        <v>1504</v>
      </c>
      <c r="E450" s="0" t="s">
        <v>75</v>
      </c>
      <c r="F450" s="0" t="s">
        <v>90</v>
      </c>
      <c r="G450" s="0" t="s">
        <v>32</v>
      </c>
      <c r="H450" s="0" t="n">
        <v>115</v>
      </c>
      <c r="I450" s="0" t="s">
        <v>1514</v>
      </c>
      <c r="J450" s="0" t="s">
        <v>1515</v>
      </c>
      <c r="K450" s="0" t="s">
        <v>1516</v>
      </c>
      <c r="L450" s="0" t="str">
        <f aca="false">HYPERLINK("https://www.ncbi.nlm.nih.gov/nuccore/CP000058.1?report=graph&amp;tracks=[key:gene_model_track,Options:GeneOnly]&amp;mk=150092:150111|offset_17|444444,150065:150084|offset_44|444444,150026:150045|offset_83|444444,149994:150013|offset_115|00cc00&amp;v=149891:150213&amp;c=444444", "offset 115")</f>
        <v>offset 115</v>
      </c>
    </row>
    <row r="451" customFormat="false" ht="12.8" hidden="false" customHeight="false" outlineLevel="0" collapsed="false">
      <c r="A451" s="0" t="s">
        <v>12</v>
      </c>
      <c r="B451" s="0" t="n">
        <v>150829</v>
      </c>
      <c r="C451" s="0" t="n">
        <v>150849</v>
      </c>
      <c r="D451" s="0" t="s">
        <v>1517</v>
      </c>
      <c r="E451" s="0" t="s">
        <v>75</v>
      </c>
      <c r="F451" s="0" t="s">
        <v>90</v>
      </c>
      <c r="G451" s="0" t="s">
        <v>20</v>
      </c>
      <c r="H451" s="0" t="n">
        <v>31</v>
      </c>
      <c r="I451" s="0" t="s">
        <v>1518</v>
      </c>
      <c r="J451" s="0" t="s">
        <v>1519</v>
      </c>
      <c r="K451" s="0" t="s">
        <v>1520</v>
      </c>
      <c r="L451" s="0" t="str">
        <f aca="false">HYPERLINK("https://www.ncbi.nlm.nih.gov/nuccore/CP000058.1?report=graph&amp;tracks=[key:gene_model_track,Options:GeneOnly]&amp;mk=150830:150849|offset_31|00cc00,150805:150824|offset_56|444444,150773:150792|offset_88|444444,150746:150765|offset_115|444444&amp;v=150629:150965&amp;c=444444", "offset 31")</f>
        <v>offset 31</v>
      </c>
    </row>
    <row r="452" customFormat="false" ht="12.8" hidden="false" customHeight="false" outlineLevel="0" collapsed="false">
      <c r="A452" s="0" t="s">
        <v>12</v>
      </c>
      <c r="B452" s="0" t="n">
        <v>150804</v>
      </c>
      <c r="C452" s="0" t="n">
        <v>150824</v>
      </c>
      <c r="D452" s="0" t="s">
        <v>1517</v>
      </c>
      <c r="E452" s="0" t="s">
        <v>75</v>
      </c>
      <c r="F452" s="0" t="s">
        <v>90</v>
      </c>
      <c r="G452" s="0" t="s">
        <v>20</v>
      </c>
      <c r="H452" s="0" t="n">
        <v>56</v>
      </c>
      <c r="I452" s="0" t="s">
        <v>1521</v>
      </c>
      <c r="J452" s="0" t="s">
        <v>1522</v>
      </c>
      <c r="K452" s="0" t="s">
        <v>1523</v>
      </c>
      <c r="L452" s="0" t="str">
        <f aca="false">HYPERLINK("https://www.ncbi.nlm.nih.gov/nuccore/CP000058.1?report=graph&amp;tracks=[key:gene_model_track,Options:GeneOnly]&amp;mk=150830:150849|offset_31|444444,150805:150824|offset_56|00cc00,150773:150792|offset_88|444444,150746:150765|offset_115|444444&amp;v=150629:150965&amp;c=444444", "offset 56")</f>
        <v>offset 56</v>
      </c>
    </row>
    <row r="453" customFormat="false" ht="12.8" hidden="false" customHeight="false" outlineLevel="0" collapsed="false">
      <c r="A453" s="0" t="s">
        <v>12</v>
      </c>
      <c r="B453" s="0" t="n">
        <v>150772</v>
      </c>
      <c r="C453" s="0" t="n">
        <v>150792</v>
      </c>
      <c r="D453" s="0" t="s">
        <v>1517</v>
      </c>
      <c r="E453" s="0" t="s">
        <v>75</v>
      </c>
      <c r="F453" s="0" t="s">
        <v>90</v>
      </c>
      <c r="G453" s="0" t="s">
        <v>16</v>
      </c>
      <c r="H453" s="0" t="n">
        <v>88</v>
      </c>
      <c r="I453" s="0" t="s">
        <v>1524</v>
      </c>
      <c r="J453" s="0" t="s">
        <v>1525</v>
      </c>
      <c r="K453" s="0" t="s">
        <v>1526</v>
      </c>
      <c r="L453" s="0" t="str">
        <f aca="false">HYPERLINK("https://www.ncbi.nlm.nih.gov/nuccore/CP000058.1?report=graph&amp;tracks=[key:gene_model_track,Options:GeneOnly]&amp;mk=150830:150849|offset_31|444444,150805:150824|offset_56|444444,150773:150792|offset_88|00cc00,150746:150765|offset_115|444444&amp;v=150629:150965&amp;c=444444", "offset 88")</f>
        <v>offset 88</v>
      </c>
    </row>
    <row r="454" customFormat="false" ht="12.8" hidden="false" customHeight="false" outlineLevel="0" collapsed="false">
      <c r="A454" s="0" t="s">
        <v>12</v>
      </c>
      <c r="B454" s="0" t="n">
        <v>150745</v>
      </c>
      <c r="C454" s="0" t="n">
        <v>150765</v>
      </c>
      <c r="D454" s="0" t="s">
        <v>1517</v>
      </c>
      <c r="E454" s="0" t="s">
        <v>75</v>
      </c>
      <c r="F454" s="0" t="s">
        <v>90</v>
      </c>
      <c r="G454" s="0" t="s">
        <v>32</v>
      </c>
      <c r="H454" s="0" t="n">
        <v>115</v>
      </c>
      <c r="I454" s="0" t="s">
        <v>1527</v>
      </c>
      <c r="J454" s="0" t="s">
        <v>1528</v>
      </c>
      <c r="K454" s="0" t="s">
        <v>1529</v>
      </c>
      <c r="L454" s="0" t="str">
        <f aca="false">HYPERLINK("https://www.ncbi.nlm.nih.gov/nuccore/CP000058.1?report=graph&amp;tracks=[key:gene_model_track,Options:GeneOnly]&amp;mk=150830:150849|offset_31|444444,150805:150824|offset_56|444444,150773:150792|offset_88|444444,150746:150765|offset_115|00cc00&amp;v=150629:150965&amp;c=444444", "offset 115")</f>
        <v>offset 115</v>
      </c>
    </row>
    <row r="455" customFormat="false" ht="12.8" hidden="false" customHeight="false" outlineLevel="0" collapsed="false">
      <c r="A455" s="0" t="s">
        <v>12</v>
      </c>
      <c r="B455" s="0" t="n">
        <v>153481</v>
      </c>
      <c r="C455" s="0" t="n">
        <v>153501</v>
      </c>
      <c r="D455" s="0" t="s">
        <v>1530</v>
      </c>
      <c r="E455" s="0" t="s">
        <v>1531</v>
      </c>
      <c r="F455" s="0" t="s">
        <v>90</v>
      </c>
      <c r="G455" s="0" t="s">
        <v>20</v>
      </c>
      <c r="H455" s="0" t="n">
        <v>8</v>
      </c>
      <c r="I455" s="0" t="s">
        <v>1532</v>
      </c>
      <c r="J455" s="0" t="s">
        <v>1533</v>
      </c>
      <c r="K455" s="0" t="s">
        <v>1534</v>
      </c>
      <c r="L455" s="0" t="str">
        <f aca="false">HYPERLINK("https://www.ncbi.nlm.nih.gov/nuccore/CP000058.1?report=graph&amp;tracks=[key:gene_model_track,Options:GeneOnly]&amp;mk=153482:153501|offset_8|00cc00,153446:153465|offset_44|444444,153413:153432|offset_77|444444,153341:153360|offset_149|444444&amp;v=153281:153560&amp;c=444444", "offset 8")</f>
        <v>offset 8</v>
      </c>
    </row>
    <row r="456" customFormat="false" ht="12.8" hidden="false" customHeight="false" outlineLevel="0" collapsed="false">
      <c r="A456" s="0" t="s">
        <v>12</v>
      </c>
      <c r="B456" s="0" t="n">
        <v>153445</v>
      </c>
      <c r="C456" s="0" t="n">
        <v>153465</v>
      </c>
      <c r="D456" s="0" t="s">
        <v>1530</v>
      </c>
      <c r="E456" s="0" t="s">
        <v>1531</v>
      </c>
      <c r="F456" s="0" t="s">
        <v>90</v>
      </c>
      <c r="G456" s="0" t="s">
        <v>16</v>
      </c>
      <c r="H456" s="0" t="n">
        <v>44</v>
      </c>
      <c r="I456" s="0" t="s">
        <v>1535</v>
      </c>
      <c r="J456" s="0" t="s">
        <v>1536</v>
      </c>
      <c r="K456" s="0" t="s">
        <v>1537</v>
      </c>
      <c r="L456" s="0" t="str">
        <f aca="false">HYPERLINK("https://www.ncbi.nlm.nih.gov/nuccore/CP000058.1?report=graph&amp;tracks=[key:gene_model_track,Options:GeneOnly]&amp;mk=153482:153501|offset_8|444444,153446:153465|offset_44|00cc00,153413:153432|offset_77|444444,153341:153360|offset_149|444444&amp;v=153281:153560&amp;c=444444", "offset 44")</f>
        <v>offset 44</v>
      </c>
    </row>
    <row r="457" customFormat="false" ht="12.8" hidden="false" customHeight="false" outlineLevel="0" collapsed="false">
      <c r="A457" s="0" t="s">
        <v>12</v>
      </c>
      <c r="B457" s="0" t="n">
        <v>153412</v>
      </c>
      <c r="C457" s="0" t="n">
        <v>153432</v>
      </c>
      <c r="D457" s="0" t="s">
        <v>1530</v>
      </c>
      <c r="E457" s="0" t="s">
        <v>1531</v>
      </c>
      <c r="F457" s="0" t="s">
        <v>90</v>
      </c>
      <c r="G457" s="0" t="s">
        <v>20</v>
      </c>
      <c r="H457" s="0" t="n">
        <v>77</v>
      </c>
      <c r="I457" s="0" t="s">
        <v>1538</v>
      </c>
      <c r="J457" s="0" t="s">
        <v>1539</v>
      </c>
      <c r="K457" s="0" t="s">
        <v>1540</v>
      </c>
      <c r="L457" s="0" t="str">
        <f aca="false">HYPERLINK("https://www.ncbi.nlm.nih.gov/nuccore/CP000058.1?report=graph&amp;tracks=[key:gene_model_track,Options:GeneOnly]&amp;mk=153482:153501|offset_8|444444,153446:153465|offset_44|444444,153413:153432|offset_77|00cc00,153341:153360|offset_149|444444&amp;v=153281:153560&amp;c=444444", "offset 77")</f>
        <v>offset 77</v>
      </c>
    </row>
    <row r="458" customFormat="false" ht="12.8" hidden="false" customHeight="false" outlineLevel="0" collapsed="false">
      <c r="A458" s="0" t="s">
        <v>12</v>
      </c>
      <c r="B458" s="0" t="n">
        <v>153340</v>
      </c>
      <c r="C458" s="0" t="n">
        <v>153360</v>
      </c>
      <c r="D458" s="0" t="s">
        <v>1530</v>
      </c>
      <c r="E458" s="0" t="s">
        <v>1531</v>
      </c>
      <c r="F458" s="0" t="s">
        <v>90</v>
      </c>
      <c r="G458" s="0" t="s">
        <v>20</v>
      </c>
      <c r="H458" s="0" t="n">
        <v>149</v>
      </c>
      <c r="I458" s="0" t="s">
        <v>1541</v>
      </c>
      <c r="J458" s="0" t="s">
        <v>1542</v>
      </c>
      <c r="K458" s="0" t="s">
        <v>1543</v>
      </c>
      <c r="L458" s="0" t="str">
        <f aca="false">HYPERLINK("https://www.ncbi.nlm.nih.gov/nuccore/CP000058.1?report=graph&amp;tracks=[key:gene_model_track,Options:GeneOnly]&amp;mk=153482:153501|offset_8|444444,153446:153465|offset_44|444444,153413:153432|offset_77|444444,153341:153360|offset_149|00cc00&amp;v=153281:153560&amp;c=444444", "offset 149")</f>
        <v>offset 149</v>
      </c>
    </row>
    <row r="459" customFormat="false" ht="12.8" hidden="false" customHeight="false" outlineLevel="0" collapsed="false">
      <c r="A459" s="0" t="s">
        <v>12</v>
      </c>
      <c r="B459" s="0" t="n">
        <v>154512</v>
      </c>
      <c r="C459" s="0" t="n">
        <v>154532</v>
      </c>
      <c r="D459" s="0" t="s">
        <v>1544</v>
      </c>
      <c r="E459" s="0" t="s">
        <v>75</v>
      </c>
      <c r="F459" s="0" t="s">
        <v>90</v>
      </c>
      <c r="G459" s="0" t="s">
        <v>32</v>
      </c>
      <c r="H459" s="0" t="n">
        <v>44</v>
      </c>
      <c r="I459" s="0" t="s">
        <v>1545</v>
      </c>
      <c r="J459" s="0" t="s">
        <v>1546</v>
      </c>
      <c r="K459" s="0" t="s">
        <v>1547</v>
      </c>
      <c r="L459" s="0" t="str">
        <f aca="false">HYPERLINK("https://www.ncbi.nlm.nih.gov/nuccore/CP000058.1?report=graph&amp;tracks=[key:gene_model_track,Options:GeneOnly]&amp;mk=154513:154532|offset_44|00cc00,154492:154511|offset_65|444444,154456:154475|offset_101|444444,154426:154445|offset_131|444444&amp;v=154312:154645&amp;c=444444", "offset 44")</f>
        <v>offset 44</v>
      </c>
    </row>
    <row r="460" customFormat="false" ht="12.8" hidden="false" customHeight="false" outlineLevel="0" collapsed="false">
      <c r="A460" s="0" t="s">
        <v>12</v>
      </c>
      <c r="B460" s="0" t="n">
        <v>154491</v>
      </c>
      <c r="C460" s="0" t="n">
        <v>154511</v>
      </c>
      <c r="D460" s="0" t="s">
        <v>1544</v>
      </c>
      <c r="E460" s="0" t="s">
        <v>75</v>
      </c>
      <c r="F460" s="0" t="s">
        <v>90</v>
      </c>
      <c r="G460" s="0" t="s">
        <v>16</v>
      </c>
      <c r="H460" s="0" t="n">
        <v>65</v>
      </c>
      <c r="I460" s="0" t="s">
        <v>1548</v>
      </c>
      <c r="J460" s="0" t="s">
        <v>1549</v>
      </c>
      <c r="K460" s="0" t="s">
        <v>1550</v>
      </c>
      <c r="L460" s="0" t="str">
        <f aca="false">HYPERLINK("https://www.ncbi.nlm.nih.gov/nuccore/CP000058.1?report=graph&amp;tracks=[key:gene_model_track,Options:GeneOnly]&amp;mk=154513:154532|offset_44|444444,154492:154511|offset_65|00cc00,154456:154475|offset_101|444444,154426:154445|offset_131|444444&amp;v=154312:154645&amp;c=444444", "offset 65")</f>
        <v>offset 65</v>
      </c>
    </row>
    <row r="461" customFormat="false" ht="12.8" hidden="false" customHeight="false" outlineLevel="0" collapsed="false">
      <c r="A461" s="0" t="s">
        <v>12</v>
      </c>
      <c r="B461" s="0" t="n">
        <v>154455</v>
      </c>
      <c r="C461" s="0" t="n">
        <v>154475</v>
      </c>
      <c r="D461" s="0" t="s">
        <v>1544</v>
      </c>
      <c r="E461" s="0" t="s">
        <v>75</v>
      </c>
      <c r="F461" s="0" t="s">
        <v>90</v>
      </c>
      <c r="G461" s="0" t="s">
        <v>20</v>
      </c>
      <c r="H461" s="0" t="n">
        <v>101</v>
      </c>
      <c r="I461" s="0" t="s">
        <v>1551</v>
      </c>
      <c r="J461" s="0" t="s">
        <v>1552</v>
      </c>
      <c r="K461" s="0" t="s">
        <v>1553</v>
      </c>
      <c r="L461" s="0" t="str">
        <f aca="false">HYPERLINK("https://www.ncbi.nlm.nih.gov/nuccore/CP000058.1?report=graph&amp;tracks=[key:gene_model_track,Options:GeneOnly]&amp;mk=154513:154532|offset_44|444444,154492:154511|offset_65|444444,154456:154475|offset_101|00cc00,154426:154445|offset_131|444444&amp;v=154312:154645&amp;c=444444", "offset 101")</f>
        <v>offset 101</v>
      </c>
    </row>
    <row r="462" customFormat="false" ht="12.8" hidden="false" customHeight="false" outlineLevel="0" collapsed="false">
      <c r="A462" s="0" t="s">
        <v>12</v>
      </c>
      <c r="B462" s="0" t="n">
        <v>154425</v>
      </c>
      <c r="C462" s="0" t="n">
        <v>154445</v>
      </c>
      <c r="D462" s="0" t="s">
        <v>1544</v>
      </c>
      <c r="E462" s="0" t="s">
        <v>75</v>
      </c>
      <c r="F462" s="0" t="s">
        <v>90</v>
      </c>
      <c r="G462" s="0" t="s">
        <v>20</v>
      </c>
      <c r="H462" s="0" t="n">
        <v>131</v>
      </c>
      <c r="I462" s="0" t="s">
        <v>1554</v>
      </c>
      <c r="J462" s="0" t="s">
        <v>1555</v>
      </c>
      <c r="K462" s="0" t="s">
        <v>1556</v>
      </c>
      <c r="L462" s="0" t="str">
        <f aca="false">HYPERLINK("https://www.ncbi.nlm.nih.gov/nuccore/CP000058.1?report=graph&amp;tracks=[key:gene_model_track,Options:GeneOnly]&amp;mk=154513:154532|offset_44|444444,154492:154511|offset_65|444444,154456:154475|offset_101|444444,154426:154445|offset_131|00cc00&amp;v=154312:154645&amp;c=444444", "offset 131")</f>
        <v>offset 131</v>
      </c>
    </row>
    <row r="463" customFormat="false" ht="12.8" hidden="false" customHeight="false" outlineLevel="0" collapsed="false">
      <c r="A463" s="0" t="s">
        <v>12</v>
      </c>
      <c r="B463" s="0" t="n">
        <v>156331</v>
      </c>
      <c r="C463" s="0" t="n">
        <v>156351</v>
      </c>
      <c r="D463" s="0" t="s">
        <v>1557</v>
      </c>
      <c r="E463" s="0" t="s">
        <v>75</v>
      </c>
      <c r="F463" s="0" t="s">
        <v>90</v>
      </c>
      <c r="G463" s="0" t="s">
        <v>36</v>
      </c>
      <c r="H463" s="0" t="n">
        <v>21</v>
      </c>
      <c r="I463" s="0" t="s">
        <v>1558</v>
      </c>
      <c r="J463" s="0" t="s">
        <v>1559</v>
      </c>
      <c r="K463" s="0" t="s">
        <v>1560</v>
      </c>
      <c r="L463" s="0" t="str">
        <f aca="false">HYPERLINK("https://www.ncbi.nlm.nih.gov/nuccore/CP000058.1?report=graph&amp;tracks=[key:gene_model_track,Options:GeneOnly]&amp;mk=156332:156351|offset_21|00cc00,156306:156325|offset_47|444444,156280:156299|offset_73|444444,156221:156240|offset_132|444444&amp;v=156131:156440&amp;c=444444", "offset 21")</f>
        <v>offset 21</v>
      </c>
    </row>
    <row r="464" customFormat="false" ht="12.8" hidden="false" customHeight="false" outlineLevel="0" collapsed="false">
      <c r="A464" s="0" t="s">
        <v>12</v>
      </c>
      <c r="B464" s="0" t="n">
        <v>156305</v>
      </c>
      <c r="C464" s="0" t="n">
        <v>156325</v>
      </c>
      <c r="D464" s="0" t="s">
        <v>1557</v>
      </c>
      <c r="E464" s="0" t="s">
        <v>75</v>
      </c>
      <c r="F464" s="0" t="s">
        <v>90</v>
      </c>
      <c r="G464" s="0" t="s">
        <v>20</v>
      </c>
      <c r="H464" s="0" t="n">
        <v>47</v>
      </c>
      <c r="I464" s="0" t="s">
        <v>1561</v>
      </c>
      <c r="J464" s="0" t="s">
        <v>1562</v>
      </c>
      <c r="K464" s="0" t="s">
        <v>1563</v>
      </c>
      <c r="L464" s="0" t="str">
        <f aca="false">HYPERLINK("https://www.ncbi.nlm.nih.gov/nuccore/CP000058.1?report=graph&amp;tracks=[key:gene_model_track,Options:GeneOnly]&amp;mk=156332:156351|offset_21|444444,156306:156325|offset_47|00cc00,156280:156299|offset_73|444444,156221:156240|offset_132|444444&amp;v=156131:156440&amp;c=444444", "offset 47")</f>
        <v>offset 47</v>
      </c>
    </row>
    <row r="465" customFormat="false" ht="12.8" hidden="false" customHeight="false" outlineLevel="0" collapsed="false">
      <c r="A465" s="0" t="s">
        <v>12</v>
      </c>
      <c r="B465" s="0" t="n">
        <v>156279</v>
      </c>
      <c r="C465" s="0" t="n">
        <v>156299</v>
      </c>
      <c r="D465" s="0" t="s">
        <v>1557</v>
      </c>
      <c r="E465" s="0" t="s">
        <v>75</v>
      </c>
      <c r="F465" s="0" t="s">
        <v>90</v>
      </c>
      <c r="G465" s="0" t="s">
        <v>16</v>
      </c>
      <c r="H465" s="0" t="n">
        <v>73</v>
      </c>
      <c r="I465" s="0" t="s">
        <v>1564</v>
      </c>
      <c r="J465" s="0" t="s">
        <v>1565</v>
      </c>
      <c r="K465" s="0" t="s">
        <v>1566</v>
      </c>
      <c r="L465" s="0" t="str">
        <f aca="false">HYPERLINK("https://www.ncbi.nlm.nih.gov/nuccore/CP000058.1?report=graph&amp;tracks=[key:gene_model_track,Options:GeneOnly]&amp;mk=156332:156351|offset_21|444444,156306:156325|offset_47|444444,156280:156299|offset_73|00cc00,156221:156240|offset_132|444444&amp;v=156131:156440&amp;c=444444", "offset 73")</f>
        <v>offset 73</v>
      </c>
    </row>
    <row r="466" customFormat="false" ht="12.8" hidden="false" customHeight="false" outlineLevel="0" collapsed="false">
      <c r="A466" s="0" t="s">
        <v>12</v>
      </c>
      <c r="B466" s="0" t="n">
        <v>156220</v>
      </c>
      <c r="C466" s="0" t="n">
        <v>156240</v>
      </c>
      <c r="D466" s="0" t="s">
        <v>1557</v>
      </c>
      <c r="E466" s="0" t="s">
        <v>75</v>
      </c>
      <c r="F466" s="0" t="s">
        <v>90</v>
      </c>
      <c r="G466" s="0" t="s">
        <v>16</v>
      </c>
      <c r="H466" s="0" t="n">
        <v>132</v>
      </c>
      <c r="I466" s="0" t="s">
        <v>1567</v>
      </c>
      <c r="J466" s="0" t="s">
        <v>1568</v>
      </c>
      <c r="K466" s="0" t="s">
        <v>1569</v>
      </c>
      <c r="L466" s="0" t="str">
        <f aca="false">HYPERLINK("https://www.ncbi.nlm.nih.gov/nuccore/CP000058.1?report=graph&amp;tracks=[key:gene_model_track,Options:GeneOnly]&amp;mk=156332:156351|offset_21|444444,156306:156325|offset_47|444444,156280:156299|offset_73|444444,156221:156240|offset_132|00cc00&amp;v=156131:156440&amp;c=444444", "offset 132")</f>
        <v>offset 132</v>
      </c>
    </row>
    <row r="467" customFormat="false" ht="12.8" hidden="false" customHeight="false" outlineLevel="0" collapsed="false">
      <c r="A467" s="0" t="s">
        <v>12</v>
      </c>
      <c r="B467" s="0" t="n">
        <v>156774</v>
      </c>
      <c r="C467" s="0" t="n">
        <v>156794</v>
      </c>
      <c r="D467" s="0" t="s">
        <v>1570</v>
      </c>
      <c r="E467" s="0" t="s">
        <v>75</v>
      </c>
      <c r="F467" s="0" t="s">
        <v>90</v>
      </c>
      <c r="G467" s="0" t="s">
        <v>16</v>
      </c>
      <c r="H467" s="0" t="n">
        <v>60</v>
      </c>
      <c r="I467" s="0" t="s">
        <v>1571</v>
      </c>
      <c r="J467" s="0" t="s">
        <v>1572</v>
      </c>
      <c r="K467" s="0" t="s">
        <v>1573</v>
      </c>
      <c r="L467" s="0" t="str">
        <f aca="false">HYPERLINK("https://www.ncbi.nlm.nih.gov/nuccore/CP000058.1?report=graph&amp;tracks=[key:gene_model_track,Options:GeneOnly]&amp;mk=156775:156794|offset_60|00cc00,156729:156748|offset_106|444444,156677:156696|offset_158|444444,156642:156661|offset_193|444444&amp;v=156574:156861&amp;c=444444", "offset 60")</f>
        <v>offset 60</v>
      </c>
    </row>
    <row r="468" customFormat="false" ht="12.8" hidden="false" customHeight="false" outlineLevel="0" collapsed="false">
      <c r="A468" s="0" t="s">
        <v>12</v>
      </c>
      <c r="B468" s="0" t="n">
        <v>156728</v>
      </c>
      <c r="C468" s="0" t="n">
        <v>156748</v>
      </c>
      <c r="D468" s="0" t="s">
        <v>1570</v>
      </c>
      <c r="E468" s="0" t="s">
        <v>75</v>
      </c>
      <c r="F468" s="0" t="s">
        <v>90</v>
      </c>
      <c r="G468" s="0" t="s">
        <v>16</v>
      </c>
      <c r="H468" s="0" t="n">
        <v>106</v>
      </c>
      <c r="I468" s="0" t="s">
        <v>1574</v>
      </c>
      <c r="J468" s="0" t="s">
        <v>1575</v>
      </c>
      <c r="K468" s="0" t="s">
        <v>1576</v>
      </c>
      <c r="L468" s="0" t="str">
        <f aca="false">HYPERLINK("https://www.ncbi.nlm.nih.gov/nuccore/CP000058.1?report=graph&amp;tracks=[key:gene_model_track,Options:GeneOnly]&amp;mk=156775:156794|offset_60|444444,156729:156748|offset_106|00cc00,156677:156696|offset_158|444444,156642:156661|offset_193|444444&amp;v=156574:156861&amp;c=444444", "offset 106")</f>
        <v>offset 106</v>
      </c>
    </row>
    <row r="469" customFormat="false" ht="12.8" hidden="false" customHeight="false" outlineLevel="0" collapsed="false">
      <c r="A469" s="0" t="s">
        <v>12</v>
      </c>
      <c r="B469" s="0" t="n">
        <v>156676</v>
      </c>
      <c r="C469" s="0" t="n">
        <v>156696</v>
      </c>
      <c r="D469" s="0" t="s">
        <v>1570</v>
      </c>
      <c r="E469" s="0" t="s">
        <v>75</v>
      </c>
      <c r="F469" s="0" t="s">
        <v>90</v>
      </c>
      <c r="G469" s="0" t="s">
        <v>32</v>
      </c>
      <c r="H469" s="0" t="n">
        <v>158</v>
      </c>
      <c r="I469" s="0" t="s">
        <v>1577</v>
      </c>
      <c r="J469" s="0" t="s">
        <v>1578</v>
      </c>
      <c r="K469" s="0" t="s">
        <v>1579</v>
      </c>
      <c r="L469" s="0" t="str">
        <f aca="false">HYPERLINK("https://www.ncbi.nlm.nih.gov/nuccore/CP000058.1?report=graph&amp;tracks=[key:gene_model_track,Options:GeneOnly]&amp;mk=156775:156794|offset_60|444444,156729:156748|offset_106|444444,156677:156696|offset_158|00cc00,156642:156661|offset_193|444444&amp;v=156574:156861&amp;c=444444", "offset 158")</f>
        <v>offset 158</v>
      </c>
    </row>
    <row r="470" customFormat="false" ht="12.8" hidden="false" customHeight="false" outlineLevel="0" collapsed="false">
      <c r="A470" s="0" t="s">
        <v>12</v>
      </c>
      <c r="B470" s="0" t="n">
        <v>156641</v>
      </c>
      <c r="C470" s="0" t="n">
        <v>156661</v>
      </c>
      <c r="D470" s="0" t="s">
        <v>1570</v>
      </c>
      <c r="E470" s="0" t="s">
        <v>75</v>
      </c>
      <c r="F470" s="0" t="s">
        <v>90</v>
      </c>
      <c r="G470" s="0" t="s">
        <v>32</v>
      </c>
      <c r="H470" s="0" t="n">
        <v>193</v>
      </c>
      <c r="I470" s="0" t="s">
        <v>1580</v>
      </c>
      <c r="J470" s="0" t="s">
        <v>1581</v>
      </c>
      <c r="K470" s="0" t="s">
        <v>1582</v>
      </c>
      <c r="L470" s="0" t="str">
        <f aca="false">HYPERLINK("https://www.ncbi.nlm.nih.gov/nuccore/CP000058.1?report=graph&amp;tracks=[key:gene_model_track,Options:GeneOnly]&amp;mk=156775:156794|offset_60|444444,156729:156748|offset_106|444444,156677:156696|offset_158|444444,156642:156661|offset_193|00cc00&amp;v=156574:156861&amp;c=444444", "offset 193")</f>
        <v>offset 193</v>
      </c>
    </row>
    <row r="471" customFormat="false" ht="12.8" hidden="false" customHeight="false" outlineLevel="0" collapsed="false">
      <c r="A471" s="0" t="s">
        <v>12</v>
      </c>
      <c r="B471" s="0" t="n">
        <v>158355</v>
      </c>
      <c r="C471" s="0" t="n">
        <v>158375</v>
      </c>
      <c r="D471" s="0" t="s">
        <v>1583</v>
      </c>
      <c r="E471" s="0" t="s">
        <v>75</v>
      </c>
      <c r="F471" s="0" t="s">
        <v>90</v>
      </c>
      <c r="G471" s="0" t="s">
        <v>16</v>
      </c>
      <c r="H471" s="0" t="n">
        <v>7</v>
      </c>
      <c r="I471" s="0" t="s">
        <v>1584</v>
      </c>
      <c r="J471" s="0" t="s">
        <v>1585</v>
      </c>
      <c r="K471" s="0" t="s">
        <v>1586</v>
      </c>
      <c r="L471" s="0" t="str">
        <f aca="false">HYPERLINK("https://www.ncbi.nlm.nih.gov/nuccore/CP000058.1?report=graph&amp;tracks=[key:gene_model_track,Options:GeneOnly]&amp;mk=158356:158375|offset_7|00cc00,158299:158318|offset_64|444444,158266:158285|offset_97|444444,158245:158264|offset_118|444444&amp;v=158155:158464&amp;c=444444", "offset 7")</f>
        <v>offset 7</v>
      </c>
    </row>
    <row r="472" customFormat="false" ht="12.8" hidden="false" customHeight="false" outlineLevel="0" collapsed="false">
      <c r="A472" s="0" t="s">
        <v>12</v>
      </c>
      <c r="B472" s="0" t="n">
        <v>158298</v>
      </c>
      <c r="C472" s="0" t="n">
        <v>158318</v>
      </c>
      <c r="D472" s="0" t="s">
        <v>1583</v>
      </c>
      <c r="E472" s="0" t="s">
        <v>75</v>
      </c>
      <c r="F472" s="0" t="s">
        <v>90</v>
      </c>
      <c r="G472" s="0" t="s">
        <v>36</v>
      </c>
      <c r="H472" s="0" t="n">
        <v>64</v>
      </c>
      <c r="I472" s="0" t="s">
        <v>1587</v>
      </c>
      <c r="J472" s="0" t="s">
        <v>1588</v>
      </c>
      <c r="K472" s="0" t="s">
        <v>1589</v>
      </c>
      <c r="L472" s="0" t="str">
        <f aca="false">HYPERLINK("https://www.ncbi.nlm.nih.gov/nuccore/CP000058.1?report=graph&amp;tracks=[key:gene_model_track,Options:GeneOnly]&amp;mk=158356:158375|offset_7|444444,158299:158318|offset_64|00cc00,158266:158285|offset_97|444444,158245:158264|offset_118|444444&amp;v=158155:158464&amp;c=444444", "offset 64")</f>
        <v>offset 64</v>
      </c>
    </row>
    <row r="473" customFormat="false" ht="12.8" hidden="false" customHeight="false" outlineLevel="0" collapsed="false">
      <c r="A473" s="0" t="s">
        <v>12</v>
      </c>
      <c r="B473" s="0" t="n">
        <v>158265</v>
      </c>
      <c r="C473" s="0" t="n">
        <v>158285</v>
      </c>
      <c r="D473" s="0" t="s">
        <v>1583</v>
      </c>
      <c r="E473" s="0" t="s">
        <v>75</v>
      </c>
      <c r="F473" s="0" t="s">
        <v>90</v>
      </c>
      <c r="G473" s="0" t="s">
        <v>16</v>
      </c>
      <c r="H473" s="0" t="n">
        <v>97</v>
      </c>
      <c r="I473" s="0" t="s">
        <v>1590</v>
      </c>
      <c r="J473" s="0" t="s">
        <v>1591</v>
      </c>
      <c r="K473" s="0" t="s">
        <v>1592</v>
      </c>
      <c r="L473" s="0" t="str">
        <f aca="false">HYPERLINK("https://www.ncbi.nlm.nih.gov/nuccore/CP000058.1?report=graph&amp;tracks=[key:gene_model_track,Options:GeneOnly]&amp;mk=158356:158375|offset_7|444444,158299:158318|offset_64|444444,158266:158285|offset_97|00cc00,158245:158264|offset_118|444444&amp;v=158155:158464&amp;c=444444", "offset 97")</f>
        <v>offset 97</v>
      </c>
    </row>
    <row r="474" customFormat="false" ht="12.8" hidden="false" customHeight="false" outlineLevel="0" collapsed="false">
      <c r="A474" s="0" t="s">
        <v>12</v>
      </c>
      <c r="B474" s="0" t="n">
        <v>158244</v>
      </c>
      <c r="C474" s="0" t="n">
        <v>158264</v>
      </c>
      <c r="D474" s="0" t="s">
        <v>1583</v>
      </c>
      <c r="E474" s="0" t="s">
        <v>75</v>
      </c>
      <c r="F474" s="0" t="s">
        <v>90</v>
      </c>
      <c r="G474" s="0" t="s">
        <v>16</v>
      </c>
      <c r="H474" s="0" t="n">
        <v>118</v>
      </c>
      <c r="I474" s="0" t="s">
        <v>1593</v>
      </c>
      <c r="J474" s="0" t="s">
        <v>1594</v>
      </c>
      <c r="K474" s="0" t="s">
        <v>1595</v>
      </c>
      <c r="L474" s="0" t="str">
        <f aca="false">HYPERLINK("https://www.ncbi.nlm.nih.gov/nuccore/CP000058.1?report=graph&amp;tracks=[key:gene_model_track,Options:GeneOnly]&amp;mk=158356:158375|offset_7|444444,158299:158318|offset_64|444444,158266:158285|offset_97|444444,158245:158264|offset_118|00cc00&amp;v=158155:158464&amp;c=444444", "offset 118")</f>
        <v>offset 118</v>
      </c>
    </row>
    <row r="475" customFormat="false" ht="12.8" hidden="false" customHeight="false" outlineLevel="0" collapsed="false">
      <c r="A475" s="0" t="s">
        <v>12</v>
      </c>
      <c r="B475" s="0" t="n">
        <v>158888</v>
      </c>
      <c r="C475" s="0" t="n">
        <v>158908</v>
      </c>
      <c r="D475" s="0" t="s">
        <v>1596</v>
      </c>
      <c r="E475" s="0" t="s">
        <v>75</v>
      </c>
      <c r="F475" s="0" t="s">
        <v>90</v>
      </c>
      <c r="G475" s="0" t="s">
        <v>36</v>
      </c>
      <c r="H475" s="0" t="n">
        <v>22</v>
      </c>
      <c r="I475" s="0" t="s">
        <v>1597</v>
      </c>
      <c r="J475" s="0" t="s">
        <v>1598</v>
      </c>
      <c r="K475" s="0" t="s">
        <v>1599</v>
      </c>
      <c r="L475" s="0" t="str">
        <f aca="false">HYPERLINK("https://www.ncbi.nlm.nih.gov/nuccore/CP000058.1?report=graph&amp;tracks=[key:gene_model_track,Options:GeneOnly]&amp;mk=158889:158908|offset_22|00cc00,158860:158879|offset_51|444444,158800:158819|offset_111|444444,158769:158788|offset_142|444444&amp;v=158688:158988&amp;c=444444", "offset 22")</f>
        <v>offset 22</v>
      </c>
    </row>
    <row r="476" customFormat="false" ht="12.8" hidden="false" customHeight="false" outlineLevel="0" collapsed="false">
      <c r="A476" s="0" t="s">
        <v>12</v>
      </c>
      <c r="B476" s="0" t="n">
        <v>158859</v>
      </c>
      <c r="C476" s="0" t="n">
        <v>158879</v>
      </c>
      <c r="D476" s="0" t="s">
        <v>1596</v>
      </c>
      <c r="E476" s="0" t="s">
        <v>75</v>
      </c>
      <c r="F476" s="0" t="s">
        <v>90</v>
      </c>
      <c r="G476" s="0" t="s">
        <v>20</v>
      </c>
      <c r="H476" s="0" t="n">
        <v>51</v>
      </c>
      <c r="I476" s="0" t="s">
        <v>1600</v>
      </c>
      <c r="J476" s="0" t="s">
        <v>1601</v>
      </c>
      <c r="K476" s="0" t="s">
        <v>1602</v>
      </c>
      <c r="L476" s="0" t="str">
        <f aca="false">HYPERLINK("https://www.ncbi.nlm.nih.gov/nuccore/CP000058.1?report=graph&amp;tracks=[key:gene_model_track,Options:GeneOnly]&amp;mk=158889:158908|offset_22|444444,158860:158879|offset_51|00cc00,158800:158819|offset_111|444444,158769:158788|offset_142|444444&amp;v=158688:158988&amp;c=444444", "offset 51")</f>
        <v>offset 51</v>
      </c>
    </row>
    <row r="477" customFormat="false" ht="12.8" hidden="false" customHeight="false" outlineLevel="0" collapsed="false">
      <c r="A477" s="0" t="s">
        <v>12</v>
      </c>
      <c r="B477" s="0" t="n">
        <v>158799</v>
      </c>
      <c r="C477" s="0" t="n">
        <v>158819</v>
      </c>
      <c r="D477" s="0" t="s">
        <v>1596</v>
      </c>
      <c r="E477" s="0" t="s">
        <v>75</v>
      </c>
      <c r="F477" s="0" t="s">
        <v>90</v>
      </c>
      <c r="G477" s="0" t="s">
        <v>32</v>
      </c>
      <c r="H477" s="0" t="n">
        <v>111</v>
      </c>
      <c r="I477" s="0" t="s">
        <v>1603</v>
      </c>
      <c r="J477" s="0" t="s">
        <v>1604</v>
      </c>
      <c r="K477" s="0" t="s">
        <v>1605</v>
      </c>
      <c r="L477" s="0" t="str">
        <f aca="false">HYPERLINK("https://www.ncbi.nlm.nih.gov/nuccore/CP000058.1?report=graph&amp;tracks=[key:gene_model_track,Options:GeneOnly]&amp;mk=158889:158908|offset_22|444444,158860:158879|offset_51|444444,158800:158819|offset_111|00cc00,158769:158788|offset_142|444444&amp;v=158688:158988&amp;c=444444", "offset 111")</f>
        <v>offset 111</v>
      </c>
    </row>
    <row r="478" customFormat="false" ht="12.8" hidden="false" customHeight="false" outlineLevel="0" collapsed="false">
      <c r="A478" s="0" t="s">
        <v>12</v>
      </c>
      <c r="B478" s="0" t="n">
        <v>158768</v>
      </c>
      <c r="C478" s="0" t="n">
        <v>158788</v>
      </c>
      <c r="D478" s="0" t="s">
        <v>1596</v>
      </c>
      <c r="E478" s="0" t="s">
        <v>75</v>
      </c>
      <c r="F478" s="0" t="s">
        <v>90</v>
      </c>
      <c r="G478" s="0" t="s">
        <v>16</v>
      </c>
      <c r="H478" s="0" t="n">
        <v>142</v>
      </c>
      <c r="I478" s="0" t="s">
        <v>1606</v>
      </c>
      <c r="J478" s="0" t="s">
        <v>1607</v>
      </c>
      <c r="K478" s="0" t="s">
        <v>1608</v>
      </c>
      <c r="L478" s="0" t="str">
        <f aca="false">HYPERLINK("https://www.ncbi.nlm.nih.gov/nuccore/CP000058.1?report=graph&amp;tracks=[key:gene_model_track,Options:GeneOnly]&amp;mk=158889:158908|offset_22|444444,158860:158879|offset_51|444444,158800:158819|offset_111|444444,158769:158788|offset_142|00cc00&amp;v=158688:158988&amp;c=444444", "offset 142")</f>
        <v>offset 142</v>
      </c>
    </row>
    <row r="479" customFormat="false" ht="12.8" hidden="false" customHeight="false" outlineLevel="0" collapsed="false">
      <c r="A479" s="0" t="s">
        <v>12</v>
      </c>
      <c r="B479" s="0" t="n">
        <v>159825</v>
      </c>
      <c r="C479" s="0" t="n">
        <v>159845</v>
      </c>
      <c r="D479" s="0" t="s">
        <v>1609</v>
      </c>
      <c r="E479" s="0" t="s">
        <v>75</v>
      </c>
      <c r="F479" s="0" t="s">
        <v>90</v>
      </c>
      <c r="G479" s="0" t="s">
        <v>32</v>
      </c>
      <c r="H479" s="0" t="n">
        <v>38</v>
      </c>
      <c r="I479" s="0" t="s">
        <v>1610</v>
      </c>
      <c r="J479" s="0" t="s">
        <v>1611</v>
      </c>
      <c r="K479" s="0" t="s">
        <v>1612</v>
      </c>
      <c r="L479" s="0" t="str">
        <f aca="false">HYPERLINK("https://www.ncbi.nlm.nih.gov/nuccore/CP000058.1?report=graph&amp;tracks=[key:gene_model_track,Options:GeneOnly]&amp;mk=159826:159845|offset_38|00cc00,159783:159802|offset_81|444444,159729:159748|offset_135|444444,159665:159684|offset_199|444444&amp;v=159625:159884&amp;c=444444", "offset 38")</f>
        <v>offset 38</v>
      </c>
    </row>
    <row r="480" customFormat="false" ht="12.8" hidden="false" customHeight="false" outlineLevel="0" collapsed="false">
      <c r="A480" s="0" t="s">
        <v>12</v>
      </c>
      <c r="B480" s="0" t="n">
        <v>159782</v>
      </c>
      <c r="C480" s="0" t="n">
        <v>159802</v>
      </c>
      <c r="D480" s="0" t="s">
        <v>1609</v>
      </c>
      <c r="E480" s="0" t="s">
        <v>75</v>
      </c>
      <c r="F480" s="0" t="s">
        <v>90</v>
      </c>
      <c r="G480" s="0" t="s">
        <v>36</v>
      </c>
      <c r="H480" s="0" t="n">
        <v>81</v>
      </c>
      <c r="I480" s="0" t="s">
        <v>1613</v>
      </c>
      <c r="J480" s="0" t="s">
        <v>1614</v>
      </c>
      <c r="K480" s="0" t="s">
        <v>1615</v>
      </c>
      <c r="L480" s="0" t="str">
        <f aca="false">HYPERLINK("https://www.ncbi.nlm.nih.gov/nuccore/CP000058.1?report=graph&amp;tracks=[key:gene_model_track,Options:GeneOnly]&amp;mk=159826:159845|offset_38|444444,159783:159802|offset_81|00cc00,159729:159748|offset_135|444444,159665:159684|offset_199|444444&amp;v=159625:159884&amp;c=444444", "offset 81")</f>
        <v>offset 81</v>
      </c>
    </row>
    <row r="481" customFormat="false" ht="12.8" hidden="false" customHeight="false" outlineLevel="0" collapsed="false">
      <c r="A481" s="0" t="s">
        <v>12</v>
      </c>
      <c r="B481" s="0" t="n">
        <v>159728</v>
      </c>
      <c r="C481" s="0" t="n">
        <v>159748</v>
      </c>
      <c r="D481" s="0" t="s">
        <v>1609</v>
      </c>
      <c r="E481" s="0" t="s">
        <v>75</v>
      </c>
      <c r="F481" s="0" t="s">
        <v>90</v>
      </c>
      <c r="G481" s="0" t="s">
        <v>16</v>
      </c>
      <c r="H481" s="0" t="n">
        <v>135</v>
      </c>
      <c r="I481" s="0" t="s">
        <v>1616</v>
      </c>
      <c r="J481" s="0" t="s">
        <v>1617</v>
      </c>
      <c r="K481" s="0" t="s">
        <v>1618</v>
      </c>
      <c r="L481" s="0" t="str">
        <f aca="false">HYPERLINK("https://www.ncbi.nlm.nih.gov/nuccore/CP000058.1?report=graph&amp;tracks=[key:gene_model_track,Options:GeneOnly]&amp;mk=159826:159845|offset_38|444444,159783:159802|offset_81|444444,159729:159748|offset_135|00cc00,159665:159684|offset_199|444444&amp;v=159625:159884&amp;c=444444", "offset 135")</f>
        <v>offset 135</v>
      </c>
    </row>
    <row r="482" customFormat="false" ht="12.8" hidden="false" customHeight="false" outlineLevel="0" collapsed="false">
      <c r="A482" s="0" t="s">
        <v>12</v>
      </c>
      <c r="B482" s="0" t="n">
        <v>159664</v>
      </c>
      <c r="C482" s="0" t="n">
        <v>159684</v>
      </c>
      <c r="D482" s="0" t="s">
        <v>1609</v>
      </c>
      <c r="E482" s="0" t="s">
        <v>75</v>
      </c>
      <c r="F482" s="0" t="s">
        <v>90</v>
      </c>
      <c r="G482" s="0" t="s">
        <v>16</v>
      </c>
      <c r="H482" s="0" t="n">
        <v>199</v>
      </c>
      <c r="I482" s="0" t="s">
        <v>1619</v>
      </c>
      <c r="J482" s="0" t="s">
        <v>1620</v>
      </c>
      <c r="K482" s="0" t="s">
        <v>1621</v>
      </c>
      <c r="L482" s="0" t="str">
        <f aca="false">HYPERLINK("https://www.ncbi.nlm.nih.gov/nuccore/CP000058.1?report=graph&amp;tracks=[key:gene_model_track,Options:GeneOnly]&amp;mk=159826:159845|offset_38|444444,159783:159802|offset_81|444444,159729:159748|offset_135|444444,159665:159684|offset_199|00cc00&amp;v=159625:159884&amp;c=444444", "offset 199")</f>
        <v>offset 199</v>
      </c>
    </row>
    <row r="483" customFormat="false" ht="12.8" hidden="false" customHeight="false" outlineLevel="0" collapsed="false">
      <c r="A483" s="0" t="s">
        <v>12</v>
      </c>
      <c r="B483" s="0" t="n">
        <v>161704</v>
      </c>
      <c r="C483" s="0" t="n">
        <v>161724</v>
      </c>
      <c r="D483" s="0" t="s">
        <v>1622</v>
      </c>
      <c r="E483" s="0" t="s">
        <v>75</v>
      </c>
      <c r="F483" s="0" t="s">
        <v>90</v>
      </c>
      <c r="G483" s="0" t="s">
        <v>32</v>
      </c>
      <c r="H483" s="0" t="n">
        <v>10</v>
      </c>
      <c r="I483" s="0" t="s">
        <v>1623</v>
      </c>
      <c r="J483" s="0" t="s">
        <v>1624</v>
      </c>
      <c r="K483" s="0" t="s">
        <v>1625</v>
      </c>
      <c r="L483" s="0" t="str">
        <f aca="false">HYPERLINK("https://www.ncbi.nlm.nih.gov/nuccore/CP000058.1?report=graph&amp;tracks=[key:gene_model_track,Options:GeneOnly]&amp;mk=161705:161724|offset_10|00cc00,161674:161693|offset_41|444444,161650:161669|offset_65|444444,161622:161641|offset_93|444444&amp;v=161504:161841&amp;c=444444", "offset 10")</f>
        <v>offset 10</v>
      </c>
    </row>
    <row r="484" customFormat="false" ht="12.8" hidden="false" customHeight="false" outlineLevel="0" collapsed="false">
      <c r="A484" s="0" t="s">
        <v>12</v>
      </c>
      <c r="B484" s="0" t="n">
        <v>161673</v>
      </c>
      <c r="C484" s="0" t="n">
        <v>161693</v>
      </c>
      <c r="D484" s="0" t="s">
        <v>1622</v>
      </c>
      <c r="E484" s="0" t="s">
        <v>75</v>
      </c>
      <c r="F484" s="0" t="s">
        <v>90</v>
      </c>
      <c r="G484" s="0" t="s">
        <v>16</v>
      </c>
      <c r="H484" s="0" t="n">
        <v>41</v>
      </c>
      <c r="I484" s="0" t="s">
        <v>1626</v>
      </c>
      <c r="J484" s="0" t="s">
        <v>1627</v>
      </c>
      <c r="K484" s="0" t="s">
        <v>1628</v>
      </c>
      <c r="L484" s="0" t="str">
        <f aca="false">HYPERLINK("https://www.ncbi.nlm.nih.gov/nuccore/CP000058.1?report=graph&amp;tracks=[key:gene_model_track,Options:GeneOnly]&amp;mk=161705:161724|offset_10|444444,161674:161693|offset_41|00cc00,161650:161669|offset_65|444444,161622:161641|offset_93|444444&amp;v=161504:161841&amp;c=444444", "offset 41")</f>
        <v>offset 41</v>
      </c>
    </row>
    <row r="485" customFormat="false" ht="12.8" hidden="false" customHeight="false" outlineLevel="0" collapsed="false">
      <c r="A485" s="0" t="s">
        <v>12</v>
      </c>
      <c r="B485" s="0" t="n">
        <v>161649</v>
      </c>
      <c r="C485" s="0" t="n">
        <v>161669</v>
      </c>
      <c r="D485" s="0" t="s">
        <v>1622</v>
      </c>
      <c r="E485" s="0" t="s">
        <v>75</v>
      </c>
      <c r="F485" s="0" t="s">
        <v>90</v>
      </c>
      <c r="G485" s="0" t="s">
        <v>32</v>
      </c>
      <c r="H485" s="0" t="n">
        <v>65</v>
      </c>
      <c r="I485" s="0" t="s">
        <v>1629</v>
      </c>
      <c r="J485" s="0" t="s">
        <v>1630</v>
      </c>
      <c r="K485" s="0" t="s">
        <v>1631</v>
      </c>
      <c r="L485" s="0" t="str">
        <f aca="false">HYPERLINK("https://www.ncbi.nlm.nih.gov/nuccore/CP000058.1?report=graph&amp;tracks=[key:gene_model_track,Options:GeneOnly]&amp;mk=161705:161724|offset_10|444444,161674:161693|offset_41|444444,161650:161669|offset_65|00cc00,161622:161641|offset_93|444444&amp;v=161504:161841&amp;c=444444", "offset 65")</f>
        <v>offset 65</v>
      </c>
    </row>
    <row r="486" customFormat="false" ht="12.8" hidden="false" customHeight="false" outlineLevel="0" collapsed="false">
      <c r="A486" s="0" t="s">
        <v>12</v>
      </c>
      <c r="B486" s="0" t="n">
        <v>161621</v>
      </c>
      <c r="C486" s="0" t="n">
        <v>161641</v>
      </c>
      <c r="D486" s="0" t="s">
        <v>1622</v>
      </c>
      <c r="E486" s="0" t="s">
        <v>75</v>
      </c>
      <c r="F486" s="0" t="s">
        <v>90</v>
      </c>
      <c r="G486" s="0" t="s">
        <v>32</v>
      </c>
      <c r="H486" s="0" t="n">
        <v>93</v>
      </c>
      <c r="I486" s="0" t="s">
        <v>1632</v>
      </c>
      <c r="J486" s="0" t="s">
        <v>1633</v>
      </c>
      <c r="K486" s="0" t="s">
        <v>1634</v>
      </c>
      <c r="L486" s="0" t="str">
        <f aca="false">HYPERLINK("https://www.ncbi.nlm.nih.gov/nuccore/CP000058.1?report=graph&amp;tracks=[key:gene_model_track,Options:GeneOnly]&amp;mk=161705:161724|offset_10|444444,161674:161693|offset_41|444444,161650:161669|offset_65|444444,161622:161641|offset_93|00cc00&amp;v=161504:161841&amp;c=444444", "offset 93")</f>
        <v>offset 93</v>
      </c>
    </row>
    <row r="487" customFormat="false" ht="12.8" hidden="false" customHeight="false" outlineLevel="0" collapsed="false">
      <c r="A487" s="0" t="s">
        <v>12</v>
      </c>
      <c r="B487" s="0" t="n">
        <v>164370</v>
      </c>
      <c r="C487" s="0" t="n">
        <v>164390</v>
      </c>
      <c r="D487" s="0" t="s">
        <v>1635</v>
      </c>
      <c r="E487" s="0" t="s">
        <v>75</v>
      </c>
      <c r="F487" s="0" t="s">
        <v>90</v>
      </c>
      <c r="G487" s="0" t="s">
        <v>32</v>
      </c>
      <c r="H487" s="0" t="n">
        <v>57</v>
      </c>
      <c r="I487" s="0" t="s">
        <v>1636</v>
      </c>
      <c r="J487" s="0" t="s">
        <v>1637</v>
      </c>
      <c r="K487" s="0" t="s">
        <v>1638</v>
      </c>
      <c r="L487" s="0" t="str">
        <f aca="false">HYPERLINK("https://www.ncbi.nlm.nih.gov/nuccore/CP000058.1?report=graph&amp;tracks=[key:gene_model_track,Options:GeneOnly]&amp;mk=164371:164390|offset_57|00cc00,164341:164360|offset_87|444444,164301:164320|offset_127|444444,164270:164289|offset_158|444444&amp;v=164170:164489&amp;c=444444", "offset 57")</f>
        <v>offset 57</v>
      </c>
    </row>
    <row r="488" customFormat="false" ht="12.8" hidden="false" customHeight="false" outlineLevel="0" collapsed="false">
      <c r="A488" s="0" t="s">
        <v>12</v>
      </c>
      <c r="B488" s="0" t="n">
        <v>164340</v>
      </c>
      <c r="C488" s="0" t="n">
        <v>164360</v>
      </c>
      <c r="D488" s="0" t="s">
        <v>1635</v>
      </c>
      <c r="E488" s="0" t="s">
        <v>75</v>
      </c>
      <c r="F488" s="0" t="s">
        <v>90</v>
      </c>
      <c r="G488" s="0" t="s">
        <v>32</v>
      </c>
      <c r="H488" s="0" t="n">
        <v>87</v>
      </c>
      <c r="I488" s="0" t="s">
        <v>1639</v>
      </c>
      <c r="J488" s="0" t="s">
        <v>1640</v>
      </c>
      <c r="K488" s="0" t="s">
        <v>1641</v>
      </c>
      <c r="L488" s="0" t="str">
        <f aca="false">HYPERLINK("https://www.ncbi.nlm.nih.gov/nuccore/CP000058.1?report=graph&amp;tracks=[key:gene_model_track,Options:GeneOnly]&amp;mk=164371:164390|offset_57|444444,164341:164360|offset_87|00cc00,164301:164320|offset_127|444444,164270:164289|offset_158|444444&amp;v=164170:164489&amp;c=444444", "offset 87")</f>
        <v>offset 87</v>
      </c>
    </row>
    <row r="489" customFormat="false" ht="12.8" hidden="false" customHeight="false" outlineLevel="0" collapsed="false">
      <c r="A489" s="0" t="s">
        <v>12</v>
      </c>
      <c r="B489" s="0" t="n">
        <v>164300</v>
      </c>
      <c r="C489" s="0" t="n">
        <v>164320</v>
      </c>
      <c r="D489" s="0" t="s">
        <v>1635</v>
      </c>
      <c r="E489" s="0" t="s">
        <v>75</v>
      </c>
      <c r="F489" s="0" t="s">
        <v>90</v>
      </c>
      <c r="G489" s="0" t="s">
        <v>20</v>
      </c>
      <c r="H489" s="0" t="n">
        <v>127</v>
      </c>
      <c r="I489" s="0" t="s">
        <v>1642</v>
      </c>
      <c r="J489" s="0" t="s">
        <v>1643</v>
      </c>
      <c r="K489" s="0" t="s">
        <v>1644</v>
      </c>
      <c r="L489" s="0" t="str">
        <f aca="false">HYPERLINK("https://www.ncbi.nlm.nih.gov/nuccore/CP000058.1?report=graph&amp;tracks=[key:gene_model_track,Options:GeneOnly]&amp;mk=164371:164390|offset_57|444444,164341:164360|offset_87|444444,164301:164320|offset_127|00cc00,164270:164289|offset_158|444444&amp;v=164170:164489&amp;c=444444", "offset 127")</f>
        <v>offset 127</v>
      </c>
    </row>
    <row r="490" customFormat="false" ht="12.8" hidden="false" customHeight="false" outlineLevel="0" collapsed="false">
      <c r="A490" s="0" t="s">
        <v>12</v>
      </c>
      <c r="B490" s="0" t="n">
        <v>164269</v>
      </c>
      <c r="C490" s="0" t="n">
        <v>164289</v>
      </c>
      <c r="D490" s="0" t="s">
        <v>1635</v>
      </c>
      <c r="E490" s="0" t="s">
        <v>75</v>
      </c>
      <c r="F490" s="0" t="s">
        <v>90</v>
      </c>
      <c r="G490" s="0" t="s">
        <v>20</v>
      </c>
      <c r="H490" s="0" t="n">
        <v>158</v>
      </c>
      <c r="I490" s="0" t="s">
        <v>1645</v>
      </c>
      <c r="J490" s="0" t="s">
        <v>1646</v>
      </c>
      <c r="K490" s="0" t="s">
        <v>1647</v>
      </c>
      <c r="L490" s="0" t="str">
        <f aca="false">HYPERLINK("https://www.ncbi.nlm.nih.gov/nuccore/CP000058.1?report=graph&amp;tracks=[key:gene_model_track,Options:GeneOnly]&amp;mk=164371:164390|offset_57|444444,164341:164360|offset_87|444444,164301:164320|offset_127|444444,164270:164289|offset_158|00cc00&amp;v=164170:164489&amp;c=444444", "offset 158")</f>
        <v>offset 158</v>
      </c>
    </row>
    <row r="491" customFormat="false" ht="12.8" hidden="false" customHeight="false" outlineLevel="0" collapsed="false">
      <c r="A491" s="0" t="s">
        <v>12</v>
      </c>
      <c r="B491" s="0" t="n">
        <v>166861</v>
      </c>
      <c r="C491" s="0" t="n">
        <v>166881</v>
      </c>
      <c r="D491" s="0" t="s">
        <v>1648</v>
      </c>
      <c r="E491" s="0" t="s">
        <v>75</v>
      </c>
      <c r="F491" s="0" t="s">
        <v>90</v>
      </c>
      <c r="G491" s="0" t="s">
        <v>16</v>
      </c>
      <c r="H491" s="0" t="n">
        <v>22</v>
      </c>
      <c r="I491" s="0" t="s">
        <v>1649</v>
      </c>
      <c r="J491" s="0" t="s">
        <v>1650</v>
      </c>
      <c r="K491" s="0" t="s">
        <v>1651</v>
      </c>
      <c r="L491" s="0" t="str">
        <f aca="false">HYPERLINK("https://www.ncbi.nlm.nih.gov/nuccore/CP000058.1?report=graph&amp;tracks=[key:gene_model_track,Options:GeneOnly]&amp;mk=166862:166881|offset_22|00cc00,166833:166852|offset_51|444444,166750:166769|offset_134|444444,166730:166749|offset_154|444444&amp;v=166661:166949&amp;c=444444", "offset 22")</f>
        <v>offset 22</v>
      </c>
    </row>
    <row r="492" customFormat="false" ht="12.8" hidden="false" customHeight="false" outlineLevel="0" collapsed="false">
      <c r="A492" s="0" t="s">
        <v>12</v>
      </c>
      <c r="B492" s="0" t="n">
        <v>166832</v>
      </c>
      <c r="C492" s="0" t="n">
        <v>166852</v>
      </c>
      <c r="D492" s="0" t="s">
        <v>1648</v>
      </c>
      <c r="E492" s="0" t="s">
        <v>75</v>
      </c>
      <c r="F492" s="0" t="s">
        <v>90</v>
      </c>
      <c r="G492" s="0" t="s">
        <v>32</v>
      </c>
      <c r="H492" s="0" t="n">
        <v>51</v>
      </c>
      <c r="I492" s="0" t="s">
        <v>1652</v>
      </c>
      <c r="J492" s="0" t="s">
        <v>1653</v>
      </c>
      <c r="K492" s="0" t="s">
        <v>1654</v>
      </c>
      <c r="L492" s="0" t="str">
        <f aca="false">HYPERLINK("https://www.ncbi.nlm.nih.gov/nuccore/CP000058.1?report=graph&amp;tracks=[key:gene_model_track,Options:GeneOnly]&amp;mk=166862:166881|offset_22|444444,166833:166852|offset_51|00cc00,166750:166769|offset_134|444444,166730:166749|offset_154|444444&amp;v=166661:166949&amp;c=444444", "offset 51")</f>
        <v>offset 51</v>
      </c>
    </row>
    <row r="493" customFormat="false" ht="12.8" hidden="false" customHeight="false" outlineLevel="0" collapsed="false">
      <c r="A493" s="0" t="s">
        <v>12</v>
      </c>
      <c r="B493" s="0" t="n">
        <v>166749</v>
      </c>
      <c r="C493" s="0" t="n">
        <v>166769</v>
      </c>
      <c r="D493" s="0" t="s">
        <v>1648</v>
      </c>
      <c r="E493" s="0" t="s">
        <v>75</v>
      </c>
      <c r="F493" s="0" t="s">
        <v>90</v>
      </c>
      <c r="G493" s="0" t="s">
        <v>20</v>
      </c>
      <c r="H493" s="0" t="n">
        <v>134</v>
      </c>
      <c r="I493" s="0" t="s">
        <v>1655</v>
      </c>
      <c r="J493" s="0" t="s">
        <v>1656</v>
      </c>
      <c r="K493" s="0" t="s">
        <v>1657</v>
      </c>
      <c r="L493" s="0" t="str">
        <f aca="false">HYPERLINK("https://www.ncbi.nlm.nih.gov/nuccore/CP000058.1?report=graph&amp;tracks=[key:gene_model_track,Options:GeneOnly]&amp;mk=166862:166881|offset_22|444444,166833:166852|offset_51|444444,166750:166769|offset_134|00cc00,166730:166749|offset_154|444444&amp;v=166661:166949&amp;c=444444", "offset 134")</f>
        <v>offset 134</v>
      </c>
    </row>
    <row r="494" customFormat="false" ht="12.8" hidden="false" customHeight="false" outlineLevel="0" collapsed="false">
      <c r="A494" s="0" t="s">
        <v>12</v>
      </c>
      <c r="B494" s="0" t="n">
        <v>166729</v>
      </c>
      <c r="C494" s="0" t="n">
        <v>166749</v>
      </c>
      <c r="D494" s="0" t="s">
        <v>1648</v>
      </c>
      <c r="E494" s="0" t="s">
        <v>75</v>
      </c>
      <c r="F494" s="0" t="s">
        <v>90</v>
      </c>
      <c r="G494" s="0" t="s">
        <v>32</v>
      </c>
      <c r="H494" s="0" t="n">
        <v>154</v>
      </c>
      <c r="I494" s="0" t="s">
        <v>1658</v>
      </c>
      <c r="J494" s="0" t="s">
        <v>1659</v>
      </c>
      <c r="K494" s="0" t="s">
        <v>1660</v>
      </c>
      <c r="L494" s="0" t="str">
        <f aca="false">HYPERLINK("https://www.ncbi.nlm.nih.gov/nuccore/CP000058.1?report=graph&amp;tracks=[key:gene_model_track,Options:GeneOnly]&amp;mk=166862:166881|offset_22|444444,166833:166852|offset_51|444444,166750:166769|offset_134|444444,166730:166749|offset_154|00cc00&amp;v=166661:166949&amp;c=444444", "offset 154")</f>
        <v>offset 154</v>
      </c>
    </row>
    <row r="495" customFormat="false" ht="12.8" hidden="false" customHeight="false" outlineLevel="0" collapsed="false">
      <c r="A495" s="0" t="s">
        <v>12</v>
      </c>
      <c r="B495" s="0" t="n">
        <v>167716</v>
      </c>
      <c r="C495" s="0" t="n">
        <v>167736</v>
      </c>
      <c r="D495" s="0" t="s">
        <v>1661</v>
      </c>
      <c r="E495" s="0" t="s">
        <v>1662</v>
      </c>
      <c r="F495" s="0" t="s">
        <v>90</v>
      </c>
      <c r="G495" s="0" t="s">
        <v>36</v>
      </c>
      <c r="H495" s="0" t="n">
        <v>0</v>
      </c>
      <c r="I495" s="0" t="s">
        <v>1663</v>
      </c>
      <c r="J495" s="0" t="s">
        <v>1664</v>
      </c>
      <c r="K495" s="0" t="s">
        <v>1665</v>
      </c>
      <c r="L495" s="0" t="str">
        <f aca="false">HYPERLINK("https://www.ncbi.nlm.nih.gov/nuccore/CP000058.1?report=graph&amp;tracks=[key:gene_model_track,Options:GeneOnly]&amp;mk=167717:167736|offset_0|00cc00,167683:167702|offset_34|444444,167655:167674|offset_62|444444,167634:167653|offset_83|444444&amp;v=167516:167853&amp;c=444444", "offset 0")</f>
        <v>offset 0</v>
      </c>
    </row>
    <row r="496" customFormat="false" ht="12.8" hidden="false" customHeight="false" outlineLevel="0" collapsed="false">
      <c r="A496" s="0" t="s">
        <v>12</v>
      </c>
      <c r="B496" s="0" t="n">
        <v>167682</v>
      </c>
      <c r="C496" s="0" t="n">
        <v>167702</v>
      </c>
      <c r="D496" s="0" t="s">
        <v>1661</v>
      </c>
      <c r="E496" s="0" t="s">
        <v>1662</v>
      </c>
      <c r="F496" s="0" t="s">
        <v>90</v>
      </c>
      <c r="G496" s="0" t="s">
        <v>20</v>
      </c>
      <c r="H496" s="0" t="n">
        <v>34</v>
      </c>
      <c r="I496" s="0" t="s">
        <v>1666</v>
      </c>
      <c r="J496" s="0" t="s">
        <v>1667</v>
      </c>
      <c r="K496" s="0" t="s">
        <v>1668</v>
      </c>
      <c r="L496" s="0" t="str">
        <f aca="false">HYPERLINK("https://www.ncbi.nlm.nih.gov/nuccore/CP000058.1?report=graph&amp;tracks=[key:gene_model_track,Options:GeneOnly]&amp;mk=167717:167736|offset_0|444444,167683:167702|offset_34|00cc00,167655:167674|offset_62|444444,167634:167653|offset_83|444444&amp;v=167516:167853&amp;c=444444", "offset 34")</f>
        <v>offset 34</v>
      </c>
    </row>
    <row r="497" customFormat="false" ht="12.8" hidden="false" customHeight="false" outlineLevel="0" collapsed="false">
      <c r="A497" s="0" t="s">
        <v>12</v>
      </c>
      <c r="B497" s="0" t="n">
        <v>167654</v>
      </c>
      <c r="C497" s="0" t="n">
        <v>167674</v>
      </c>
      <c r="D497" s="0" t="s">
        <v>1661</v>
      </c>
      <c r="E497" s="0" t="s">
        <v>1662</v>
      </c>
      <c r="F497" s="0" t="s">
        <v>90</v>
      </c>
      <c r="G497" s="0" t="s">
        <v>32</v>
      </c>
      <c r="H497" s="0" t="n">
        <v>62</v>
      </c>
      <c r="I497" s="0" t="s">
        <v>1669</v>
      </c>
      <c r="J497" s="0" t="s">
        <v>1670</v>
      </c>
      <c r="K497" s="0" t="s">
        <v>1671</v>
      </c>
      <c r="L497" s="0" t="str">
        <f aca="false">HYPERLINK("https://www.ncbi.nlm.nih.gov/nuccore/CP000058.1?report=graph&amp;tracks=[key:gene_model_track,Options:GeneOnly]&amp;mk=167717:167736|offset_0|444444,167683:167702|offset_34|444444,167655:167674|offset_62|00cc00,167634:167653|offset_83|444444&amp;v=167516:167853&amp;c=444444", "offset 62")</f>
        <v>offset 62</v>
      </c>
    </row>
    <row r="498" customFormat="false" ht="12.8" hidden="false" customHeight="false" outlineLevel="0" collapsed="false">
      <c r="A498" s="0" t="s">
        <v>12</v>
      </c>
      <c r="B498" s="0" t="n">
        <v>167633</v>
      </c>
      <c r="C498" s="0" t="n">
        <v>167653</v>
      </c>
      <c r="D498" s="0" t="s">
        <v>1661</v>
      </c>
      <c r="E498" s="0" t="s">
        <v>1662</v>
      </c>
      <c r="F498" s="0" t="s">
        <v>90</v>
      </c>
      <c r="G498" s="0" t="s">
        <v>20</v>
      </c>
      <c r="H498" s="0" t="n">
        <v>83</v>
      </c>
      <c r="I498" s="0" t="s">
        <v>1672</v>
      </c>
      <c r="J498" s="0" t="s">
        <v>1673</v>
      </c>
      <c r="K498" s="0" t="s">
        <v>1674</v>
      </c>
      <c r="L498" s="0" t="str">
        <f aca="false">HYPERLINK("https://www.ncbi.nlm.nih.gov/nuccore/CP000058.1?report=graph&amp;tracks=[key:gene_model_track,Options:GeneOnly]&amp;mk=167717:167736|offset_0|444444,167683:167702|offset_34|444444,167655:167674|offset_62|444444,167634:167653|offset_83|00cc00&amp;v=167516:167853&amp;c=444444", "offset 83")</f>
        <v>offset 83</v>
      </c>
    </row>
    <row r="499" customFormat="false" ht="12.8" hidden="false" customHeight="false" outlineLevel="0" collapsed="false">
      <c r="A499" s="0" t="s">
        <v>12</v>
      </c>
      <c r="B499" s="0" t="n">
        <v>168667</v>
      </c>
      <c r="C499" s="0" t="n">
        <v>168687</v>
      </c>
      <c r="D499" s="0" t="s">
        <v>1675</v>
      </c>
      <c r="E499" s="0" t="s">
        <v>75</v>
      </c>
      <c r="F499" s="0" t="s">
        <v>90</v>
      </c>
      <c r="G499" s="0" t="s">
        <v>36</v>
      </c>
      <c r="H499" s="0" t="n">
        <v>34</v>
      </c>
      <c r="I499" s="0" t="s">
        <v>1676</v>
      </c>
      <c r="J499" s="0" t="s">
        <v>1677</v>
      </c>
      <c r="K499" s="0" t="s">
        <v>1678</v>
      </c>
      <c r="L499" s="0" t="str">
        <f aca="false">HYPERLINK("https://www.ncbi.nlm.nih.gov/nuccore/CP000058.1?report=graph&amp;tracks=[key:gene_model_track,Options:GeneOnly]&amp;mk=168668:168687|offset_34|00cc00,168643:168662|offset_59|444444,168617:168636|offset_85|444444,168564:168583|offset_138|444444&amp;v=168467:168783&amp;c=444444", "offset 34")</f>
        <v>offset 34</v>
      </c>
    </row>
    <row r="500" customFormat="false" ht="12.8" hidden="false" customHeight="false" outlineLevel="0" collapsed="false">
      <c r="A500" s="0" t="s">
        <v>12</v>
      </c>
      <c r="B500" s="0" t="n">
        <v>168642</v>
      </c>
      <c r="C500" s="0" t="n">
        <v>168662</v>
      </c>
      <c r="D500" s="0" t="s">
        <v>1675</v>
      </c>
      <c r="E500" s="0" t="s">
        <v>75</v>
      </c>
      <c r="F500" s="0" t="s">
        <v>90</v>
      </c>
      <c r="G500" s="0" t="s">
        <v>32</v>
      </c>
      <c r="H500" s="0" t="n">
        <v>59</v>
      </c>
      <c r="I500" s="0" t="s">
        <v>1679</v>
      </c>
      <c r="J500" s="0" t="s">
        <v>1680</v>
      </c>
      <c r="K500" s="0" t="s">
        <v>1681</v>
      </c>
      <c r="L500" s="0" t="str">
        <f aca="false">HYPERLINK("https://www.ncbi.nlm.nih.gov/nuccore/CP000058.1?report=graph&amp;tracks=[key:gene_model_track,Options:GeneOnly]&amp;mk=168668:168687|offset_34|444444,168643:168662|offset_59|00cc00,168617:168636|offset_85|444444,168564:168583|offset_138|444444&amp;v=168467:168783&amp;c=444444", "offset 59")</f>
        <v>offset 59</v>
      </c>
    </row>
    <row r="501" customFormat="false" ht="12.8" hidden="false" customHeight="false" outlineLevel="0" collapsed="false">
      <c r="A501" s="0" t="s">
        <v>12</v>
      </c>
      <c r="B501" s="0" t="n">
        <v>168616</v>
      </c>
      <c r="C501" s="0" t="n">
        <v>168636</v>
      </c>
      <c r="D501" s="0" t="s">
        <v>1675</v>
      </c>
      <c r="E501" s="0" t="s">
        <v>75</v>
      </c>
      <c r="F501" s="0" t="s">
        <v>90</v>
      </c>
      <c r="G501" s="0" t="s">
        <v>36</v>
      </c>
      <c r="H501" s="0" t="n">
        <v>85</v>
      </c>
      <c r="I501" s="0" t="s">
        <v>1682</v>
      </c>
      <c r="J501" s="0" t="s">
        <v>1683</v>
      </c>
      <c r="K501" s="0" t="s">
        <v>1684</v>
      </c>
      <c r="L501" s="0" t="str">
        <f aca="false">HYPERLINK("https://www.ncbi.nlm.nih.gov/nuccore/CP000058.1?report=graph&amp;tracks=[key:gene_model_track,Options:GeneOnly]&amp;mk=168668:168687|offset_34|444444,168643:168662|offset_59|444444,168617:168636|offset_85|00cc00,168564:168583|offset_138|444444&amp;v=168467:168783&amp;c=444444", "offset 85")</f>
        <v>offset 85</v>
      </c>
    </row>
    <row r="502" customFormat="false" ht="12.8" hidden="false" customHeight="false" outlineLevel="0" collapsed="false">
      <c r="A502" s="0" t="s">
        <v>12</v>
      </c>
      <c r="B502" s="0" t="n">
        <v>168563</v>
      </c>
      <c r="C502" s="0" t="n">
        <v>168583</v>
      </c>
      <c r="D502" s="0" t="s">
        <v>1675</v>
      </c>
      <c r="E502" s="0" t="s">
        <v>75</v>
      </c>
      <c r="F502" s="0" t="s">
        <v>90</v>
      </c>
      <c r="G502" s="0" t="s">
        <v>36</v>
      </c>
      <c r="H502" s="0" t="n">
        <v>138</v>
      </c>
      <c r="I502" s="0" t="s">
        <v>1685</v>
      </c>
      <c r="J502" s="0" t="s">
        <v>1686</v>
      </c>
      <c r="K502" s="0" t="s">
        <v>1687</v>
      </c>
      <c r="L502" s="0" t="str">
        <f aca="false">HYPERLINK("https://www.ncbi.nlm.nih.gov/nuccore/CP000058.1?report=graph&amp;tracks=[key:gene_model_track,Options:GeneOnly]&amp;mk=168668:168687|offset_34|444444,168643:168662|offset_59|444444,168617:168636|offset_85|444444,168564:168583|offset_138|00cc00&amp;v=168467:168783&amp;c=444444", "offset 138")</f>
        <v>offset 138</v>
      </c>
    </row>
    <row r="503" customFormat="false" ht="12.8" hidden="false" customHeight="false" outlineLevel="0" collapsed="false">
      <c r="A503" s="0" t="s">
        <v>12</v>
      </c>
      <c r="B503" s="0" t="n">
        <v>169410</v>
      </c>
      <c r="C503" s="0" t="n">
        <v>169430</v>
      </c>
      <c r="D503" s="0" t="s">
        <v>1688</v>
      </c>
      <c r="E503" s="0" t="s">
        <v>75</v>
      </c>
      <c r="F503" s="0" t="s">
        <v>90</v>
      </c>
      <c r="G503" s="0" t="s">
        <v>32</v>
      </c>
      <c r="H503" s="0" t="n">
        <v>10</v>
      </c>
      <c r="I503" s="0" t="s">
        <v>1689</v>
      </c>
      <c r="J503" s="0" t="s">
        <v>1690</v>
      </c>
      <c r="K503" s="0" t="s">
        <v>1691</v>
      </c>
      <c r="L503" s="0" t="str">
        <f aca="false">HYPERLINK("https://www.ncbi.nlm.nih.gov/nuccore/CP000058.1?report=graph&amp;tracks=[key:gene_model_track,Options:GeneOnly]&amp;mk=169411:169430|offset_10|00cc00,169353:169372|offset_68|444444,169320:169339|offset_101|444444,169279:169298|offset_142|444444&amp;v=169210:169498&amp;c=444444", "offset 10")</f>
        <v>offset 10</v>
      </c>
    </row>
    <row r="504" customFormat="false" ht="12.8" hidden="false" customHeight="false" outlineLevel="0" collapsed="false">
      <c r="A504" s="0" t="s">
        <v>12</v>
      </c>
      <c r="B504" s="0" t="n">
        <v>169352</v>
      </c>
      <c r="C504" s="0" t="n">
        <v>169372</v>
      </c>
      <c r="D504" s="0" t="s">
        <v>1688</v>
      </c>
      <c r="E504" s="0" t="s">
        <v>75</v>
      </c>
      <c r="F504" s="0" t="s">
        <v>90</v>
      </c>
      <c r="G504" s="0" t="s">
        <v>20</v>
      </c>
      <c r="H504" s="0" t="n">
        <v>68</v>
      </c>
      <c r="I504" s="0" t="s">
        <v>1692</v>
      </c>
      <c r="J504" s="0" t="s">
        <v>1693</v>
      </c>
      <c r="K504" s="0" t="s">
        <v>1694</v>
      </c>
      <c r="L504" s="0" t="str">
        <f aca="false">HYPERLINK("https://www.ncbi.nlm.nih.gov/nuccore/CP000058.1?report=graph&amp;tracks=[key:gene_model_track,Options:GeneOnly]&amp;mk=169411:169430|offset_10|444444,169353:169372|offset_68|00cc00,169320:169339|offset_101|444444,169279:169298|offset_142|444444&amp;v=169210:169498&amp;c=444444", "offset 68")</f>
        <v>offset 68</v>
      </c>
    </row>
    <row r="505" customFormat="false" ht="12.8" hidden="false" customHeight="false" outlineLevel="0" collapsed="false">
      <c r="A505" s="0" t="s">
        <v>12</v>
      </c>
      <c r="B505" s="0" t="n">
        <v>169319</v>
      </c>
      <c r="C505" s="0" t="n">
        <v>169339</v>
      </c>
      <c r="D505" s="0" t="s">
        <v>1688</v>
      </c>
      <c r="E505" s="0" t="s">
        <v>75</v>
      </c>
      <c r="F505" s="0" t="s">
        <v>90</v>
      </c>
      <c r="G505" s="0" t="s">
        <v>20</v>
      </c>
      <c r="H505" s="0" t="n">
        <v>101</v>
      </c>
      <c r="I505" s="0" t="s">
        <v>1695</v>
      </c>
      <c r="J505" s="0" t="s">
        <v>1696</v>
      </c>
      <c r="K505" s="0" t="s">
        <v>1697</v>
      </c>
      <c r="L505" s="0" t="str">
        <f aca="false">HYPERLINK("https://www.ncbi.nlm.nih.gov/nuccore/CP000058.1?report=graph&amp;tracks=[key:gene_model_track,Options:GeneOnly]&amp;mk=169411:169430|offset_10|444444,169353:169372|offset_68|444444,169320:169339|offset_101|00cc00,169279:169298|offset_142|444444&amp;v=169210:169498&amp;c=444444", "offset 101")</f>
        <v>offset 101</v>
      </c>
    </row>
    <row r="506" customFormat="false" ht="12.8" hidden="false" customHeight="false" outlineLevel="0" collapsed="false">
      <c r="A506" s="0" t="s">
        <v>12</v>
      </c>
      <c r="B506" s="0" t="n">
        <v>169278</v>
      </c>
      <c r="C506" s="0" t="n">
        <v>169298</v>
      </c>
      <c r="D506" s="0" t="s">
        <v>1688</v>
      </c>
      <c r="E506" s="0" t="s">
        <v>75</v>
      </c>
      <c r="F506" s="0" t="s">
        <v>90</v>
      </c>
      <c r="G506" s="0" t="s">
        <v>32</v>
      </c>
      <c r="H506" s="0" t="n">
        <v>142</v>
      </c>
      <c r="I506" s="0" t="s">
        <v>1698</v>
      </c>
      <c r="J506" s="0" t="s">
        <v>1699</v>
      </c>
      <c r="K506" s="0" t="s">
        <v>1700</v>
      </c>
      <c r="L506" s="0" t="str">
        <f aca="false">HYPERLINK("https://www.ncbi.nlm.nih.gov/nuccore/CP000058.1?report=graph&amp;tracks=[key:gene_model_track,Options:GeneOnly]&amp;mk=169411:169430|offset_10|444444,169353:169372|offset_68|444444,169320:169339|offset_101|444444,169279:169298|offset_142|00cc00&amp;v=169210:169498&amp;c=444444", "offset 142")</f>
        <v>offset 142</v>
      </c>
    </row>
    <row r="507" customFormat="false" ht="12.8" hidden="false" customHeight="false" outlineLevel="0" collapsed="false">
      <c r="A507" s="0" t="s">
        <v>12</v>
      </c>
      <c r="B507" s="0" t="n">
        <v>169551</v>
      </c>
      <c r="C507" s="0" t="n">
        <v>169571</v>
      </c>
      <c r="D507" s="0" t="s">
        <v>1701</v>
      </c>
      <c r="E507" s="0" t="s">
        <v>75</v>
      </c>
      <c r="F507" s="0" t="s">
        <v>15</v>
      </c>
      <c r="G507" s="0" t="s">
        <v>20</v>
      </c>
      <c r="H507" s="0" t="n">
        <v>15</v>
      </c>
      <c r="I507" s="0" t="s">
        <v>1702</v>
      </c>
      <c r="J507" s="0" t="s">
        <v>1703</v>
      </c>
      <c r="K507" s="0" t="s">
        <v>1704</v>
      </c>
      <c r="L507" s="0" t="str">
        <f aca="false">HYPERLINK("https://www.ncbi.nlm.nih.gov/nuccore/CP000058.1?report=graph&amp;tracks=[key:gene_model_track,Options:GeneOnly]&amp;mk=169552:169571|offset_15|00cc00,169580:169599|offset_43|444444,169625:169644|offset_88|444444,169658:169677|offset_121|444444&amp;v=169351:169877&amp;c=444444", "offset 15")</f>
        <v>offset 15</v>
      </c>
    </row>
    <row r="508" customFormat="false" ht="12.8" hidden="false" customHeight="false" outlineLevel="0" collapsed="false">
      <c r="A508" s="0" t="s">
        <v>12</v>
      </c>
      <c r="B508" s="0" t="n">
        <v>169579</v>
      </c>
      <c r="C508" s="0" t="n">
        <v>169599</v>
      </c>
      <c r="D508" s="0" t="s">
        <v>1701</v>
      </c>
      <c r="E508" s="0" t="s">
        <v>75</v>
      </c>
      <c r="F508" s="0" t="s">
        <v>15</v>
      </c>
      <c r="G508" s="0" t="s">
        <v>32</v>
      </c>
      <c r="H508" s="0" t="n">
        <v>43</v>
      </c>
      <c r="I508" s="0" t="s">
        <v>1705</v>
      </c>
      <c r="J508" s="0" t="s">
        <v>1706</v>
      </c>
      <c r="K508" s="0" t="s">
        <v>1707</v>
      </c>
      <c r="L508" s="0" t="str">
        <f aca="false">HYPERLINK("https://www.ncbi.nlm.nih.gov/nuccore/CP000058.1?report=graph&amp;tracks=[key:gene_model_track,Options:GeneOnly]&amp;mk=169552:169571|offset_15|444444,169580:169599|offset_43|00cc00,169625:169644|offset_88|444444,169658:169677|offset_121|444444&amp;v=169351:169877&amp;c=444444", "offset 43")</f>
        <v>offset 43</v>
      </c>
    </row>
    <row r="509" customFormat="false" ht="12.8" hidden="false" customHeight="false" outlineLevel="0" collapsed="false">
      <c r="A509" s="0" t="s">
        <v>12</v>
      </c>
      <c r="B509" s="0" t="n">
        <v>169624</v>
      </c>
      <c r="C509" s="0" t="n">
        <v>169644</v>
      </c>
      <c r="D509" s="0" t="s">
        <v>1701</v>
      </c>
      <c r="E509" s="0" t="s">
        <v>75</v>
      </c>
      <c r="F509" s="0" t="s">
        <v>15</v>
      </c>
      <c r="G509" s="0" t="s">
        <v>32</v>
      </c>
      <c r="H509" s="0" t="n">
        <v>88</v>
      </c>
      <c r="I509" s="0" t="s">
        <v>1708</v>
      </c>
      <c r="J509" s="0" t="s">
        <v>1709</v>
      </c>
      <c r="K509" s="0" t="s">
        <v>1710</v>
      </c>
      <c r="L509" s="0" t="str">
        <f aca="false">HYPERLINK("https://www.ncbi.nlm.nih.gov/nuccore/CP000058.1?report=graph&amp;tracks=[key:gene_model_track,Options:GeneOnly]&amp;mk=169552:169571|offset_15|444444,169580:169599|offset_43|444444,169625:169644|offset_88|00cc00,169658:169677|offset_121|444444&amp;v=169351:169877&amp;c=444444", "offset 88")</f>
        <v>offset 88</v>
      </c>
    </row>
    <row r="510" customFormat="false" ht="12.8" hidden="false" customHeight="false" outlineLevel="0" collapsed="false">
      <c r="A510" s="0" t="s">
        <v>12</v>
      </c>
      <c r="B510" s="0" t="n">
        <v>169657</v>
      </c>
      <c r="C510" s="0" t="n">
        <v>169677</v>
      </c>
      <c r="D510" s="0" t="s">
        <v>1701</v>
      </c>
      <c r="E510" s="0" t="s">
        <v>75</v>
      </c>
      <c r="F510" s="0" t="s">
        <v>15</v>
      </c>
      <c r="G510" s="0" t="s">
        <v>32</v>
      </c>
      <c r="H510" s="0" t="n">
        <v>121</v>
      </c>
      <c r="I510" s="0" t="s">
        <v>1711</v>
      </c>
      <c r="J510" s="0" t="s">
        <v>1712</v>
      </c>
      <c r="K510" s="0" t="s">
        <v>1713</v>
      </c>
      <c r="L510" s="0" t="str">
        <f aca="false">HYPERLINK("https://www.ncbi.nlm.nih.gov/nuccore/CP000058.1?report=graph&amp;tracks=[key:gene_model_track,Options:GeneOnly]&amp;mk=169552:169571|offset_15|444444,169580:169599|offset_43|444444,169625:169644|offset_88|444444,169658:169677|offset_121|00cc00&amp;v=169351:169877&amp;c=444444", "offset 121")</f>
        <v>offset 121</v>
      </c>
    </row>
    <row r="511" customFormat="false" ht="12.8" hidden="false" customHeight="false" outlineLevel="0" collapsed="false">
      <c r="A511" s="0" t="s">
        <v>12</v>
      </c>
      <c r="B511" s="0" t="n">
        <v>170106</v>
      </c>
      <c r="C511" s="0" t="n">
        <v>170126</v>
      </c>
      <c r="D511" s="0" t="s">
        <v>1714</v>
      </c>
      <c r="E511" s="0" t="s">
        <v>1715</v>
      </c>
      <c r="F511" s="0" t="s">
        <v>15</v>
      </c>
      <c r="G511" s="0" t="s">
        <v>16</v>
      </c>
      <c r="H511" s="0" t="n">
        <v>7</v>
      </c>
      <c r="I511" s="0" t="s">
        <v>1716</v>
      </c>
      <c r="J511" s="0" t="s">
        <v>1717</v>
      </c>
      <c r="K511" s="0" t="s">
        <v>1718</v>
      </c>
      <c r="L511" s="0" t="str">
        <f aca="false">HYPERLINK("https://www.ncbi.nlm.nih.gov/nuccore/CP000058.1?report=graph&amp;tracks=[key:gene_model_track,Options:GeneOnly]&amp;mk=170107:170126|offset_7|00cc00,170127:170146|offset_27|444444,170165:170184|offset_65|444444,170200:170219|offset_100|444444&amp;v=169906:170419&amp;c=444444", "offset 7")</f>
        <v>offset 7</v>
      </c>
    </row>
    <row r="512" customFormat="false" ht="12.8" hidden="false" customHeight="false" outlineLevel="0" collapsed="false">
      <c r="A512" s="0" t="s">
        <v>12</v>
      </c>
      <c r="B512" s="0" t="n">
        <v>170126</v>
      </c>
      <c r="C512" s="0" t="n">
        <v>170146</v>
      </c>
      <c r="D512" s="0" t="s">
        <v>1714</v>
      </c>
      <c r="E512" s="0" t="s">
        <v>1715</v>
      </c>
      <c r="F512" s="0" t="s">
        <v>15</v>
      </c>
      <c r="G512" s="0" t="s">
        <v>32</v>
      </c>
      <c r="H512" s="0" t="n">
        <v>27</v>
      </c>
      <c r="I512" s="0" t="s">
        <v>1719</v>
      </c>
      <c r="J512" s="0" t="s">
        <v>1720</v>
      </c>
      <c r="K512" s="0" t="s">
        <v>1721</v>
      </c>
      <c r="L512" s="0" t="str">
        <f aca="false">HYPERLINK("https://www.ncbi.nlm.nih.gov/nuccore/CP000058.1?report=graph&amp;tracks=[key:gene_model_track,Options:GeneOnly]&amp;mk=170107:170126|offset_7|444444,170127:170146|offset_27|00cc00,170165:170184|offset_65|444444,170200:170219|offset_100|444444&amp;v=169906:170419&amp;c=444444", "offset 27")</f>
        <v>offset 27</v>
      </c>
    </row>
    <row r="513" customFormat="false" ht="12.8" hidden="false" customHeight="false" outlineLevel="0" collapsed="false">
      <c r="A513" s="0" t="s">
        <v>12</v>
      </c>
      <c r="B513" s="0" t="n">
        <v>170164</v>
      </c>
      <c r="C513" s="0" t="n">
        <v>170184</v>
      </c>
      <c r="D513" s="0" t="s">
        <v>1714</v>
      </c>
      <c r="E513" s="0" t="s">
        <v>1715</v>
      </c>
      <c r="F513" s="0" t="s">
        <v>15</v>
      </c>
      <c r="G513" s="0" t="s">
        <v>20</v>
      </c>
      <c r="H513" s="0" t="n">
        <v>65</v>
      </c>
      <c r="I513" s="0" t="s">
        <v>1722</v>
      </c>
      <c r="J513" s="0" t="s">
        <v>1723</v>
      </c>
      <c r="K513" s="0" t="s">
        <v>1724</v>
      </c>
      <c r="L513" s="0" t="str">
        <f aca="false">HYPERLINK("https://www.ncbi.nlm.nih.gov/nuccore/CP000058.1?report=graph&amp;tracks=[key:gene_model_track,Options:GeneOnly]&amp;mk=170107:170126|offset_7|444444,170127:170146|offset_27|444444,170165:170184|offset_65|00cc00,170200:170219|offset_100|444444&amp;v=169906:170419&amp;c=444444", "offset 65")</f>
        <v>offset 65</v>
      </c>
    </row>
    <row r="514" customFormat="false" ht="12.8" hidden="false" customHeight="false" outlineLevel="0" collapsed="false">
      <c r="A514" s="0" t="s">
        <v>12</v>
      </c>
      <c r="B514" s="0" t="n">
        <v>170199</v>
      </c>
      <c r="C514" s="0" t="n">
        <v>170219</v>
      </c>
      <c r="D514" s="0" t="s">
        <v>1714</v>
      </c>
      <c r="E514" s="0" t="s">
        <v>1715</v>
      </c>
      <c r="F514" s="0" t="s">
        <v>15</v>
      </c>
      <c r="G514" s="0" t="s">
        <v>32</v>
      </c>
      <c r="H514" s="0" t="n">
        <v>100</v>
      </c>
      <c r="I514" s="0" t="s">
        <v>1725</v>
      </c>
      <c r="J514" s="0" t="s">
        <v>1726</v>
      </c>
      <c r="K514" s="0" t="s">
        <v>1727</v>
      </c>
      <c r="L514" s="0" t="str">
        <f aca="false">HYPERLINK("https://www.ncbi.nlm.nih.gov/nuccore/CP000058.1?report=graph&amp;tracks=[key:gene_model_track,Options:GeneOnly]&amp;mk=170107:170126|offset_7|444444,170127:170146|offset_27|444444,170165:170184|offset_65|444444,170200:170219|offset_100|00cc00&amp;v=169906:170419&amp;c=444444", "offset 100")</f>
        <v>offset 100</v>
      </c>
    </row>
    <row r="515" customFormat="false" ht="12.8" hidden="false" customHeight="false" outlineLevel="0" collapsed="false">
      <c r="A515" s="0" t="s">
        <v>12</v>
      </c>
      <c r="B515" s="0" t="n">
        <v>171547</v>
      </c>
      <c r="C515" s="0" t="n">
        <v>171567</v>
      </c>
      <c r="D515" s="0" t="s">
        <v>1728</v>
      </c>
      <c r="E515" s="0" t="s">
        <v>75</v>
      </c>
      <c r="F515" s="0" t="s">
        <v>90</v>
      </c>
      <c r="G515" s="0" t="s">
        <v>20</v>
      </c>
      <c r="H515" s="0" t="n">
        <v>18</v>
      </c>
      <c r="I515" s="0" t="s">
        <v>1729</v>
      </c>
      <c r="J515" s="0" t="s">
        <v>1730</v>
      </c>
      <c r="K515" s="0" t="s">
        <v>1731</v>
      </c>
      <c r="L515" s="0" t="str">
        <f aca="false">HYPERLINK("https://www.ncbi.nlm.nih.gov/nuccore/CP000058.1?report=graph&amp;tracks=[key:gene_model_track,Options:GeneOnly]&amp;mk=171548:171567|offset_18|00cc00,171507:171526|offset_59|444444,171453:171472|offset_113|444444,171431:171450|offset_135|444444&amp;v=171347:171650&amp;c=444444", "offset 18")</f>
        <v>offset 18</v>
      </c>
    </row>
    <row r="516" customFormat="false" ht="12.8" hidden="false" customHeight="false" outlineLevel="0" collapsed="false">
      <c r="A516" s="0" t="s">
        <v>12</v>
      </c>
      <c r="B516" s="0" t="n">
        <v>171506</v>
      </c>
      <c r="C516" s="0" t="n">
        <v>171526</v>
      </c>
      <c r="D516" s="0" t="s">
        <v>1728</v>
      </c>
      <c r="E516" s="0" t="s">
        <v>75</v>
      </c>
      <c r="F516" s="0" t="s">
        <v>90</v>
      </c>
      <c r="G516" s="0" t="s">
        <v>32</v>
      </c>
      <c r="H516" s="0" t="n">
        <v>59</v>
      </c>
      <c r="I516" s="0" t="s">
        <v>1732</v>
      </c>
      <c r="J516" s="0" t="s">
        <v>1733</v>
      </c>
      <c r="K516" s="0" t="s">
        <v>1734</v>
      </c>
      <c r="L516" s="0" t="str">
        <f aca="false">HYPERLINK("https://www.ncbi.nlm.nih.gov/nuccore/CP000058.1?report=graph&amp;tracks=[key:gene_model_track,Options:GeneOnly]&amp;mk=171548:171567|offset_18|444444,171507:171526|offset_59|00cc00,171453:171472|offset_113|444444,171431:171450|offset_135|444444&amp;v=171347:171650&amp;c=444444", "offset 59")</f>
        <v>offset 59</v>
      </c>
    </row>
    <row r="517" customFormat="false" ht="12.8" hidden="false" customHeight="false" outlineLevel="0" collapsed="false">
      <c r="A517" s="0" t="s">
        <v>12</v>
      </c>
      <c r="B517" s="0" t="n">
        <v>171452</v>
      </c>
      <c r="C517" s="0" t="n">
        <v>171472</v>
      </c>
      <c r="D517" s="0" t="s">
        <v>1728</v>
      </c>
      <c r="E517" s="0" t="s">
        <v>75</v>
      </c>
      <c r="F517" s="0" t="s">
        <v>90</v>
      </c>
      <c r="G517" s="0" t="s">
        <v>32</v>
      </c>
      <c r="H517" s="0" t="n">
        <v>113</v>
      </c>
      <c r="I517" s="0" t="s">
        <v>1735</v>
      </c>
      <c r="J517" s="0" t="s">
        <v>1736</v>
      </c>
      <c r="K517" s="0" t="s">
        <v>1737</v>
      </c>
      <c r="L517" s="0" t="str">
        <f aca="false">HYPERLINK("https://www.ncbi.nlm.nih.gov/nuccore/CP000058.1?report=graph&amp;tracks=[key:gene_model_track,Options:GeneOnly]&amp;mk=171548:171567|offset_18|444444,171507:171526|offset_59|444444,171453:171472|offset_113|00cc00,171431:171450|offset_135|444444&amp;v=171347:171650&amp;c=444444", "offset 113")</f>
        <v>offset 113</v>
      </c>
    </row>
    <row r="518" customFormat="false" ht="12.8" hidden="false" customHeight="false" outlineLevel="0" collapsed="false">
      <c r="A518" s="0" t="s">
        <v>12</v>
      </c>
      <c r="B518" s="0" t="n">
        <v>171430</v>
      </c>
      <c r="C518" s="0" t="n">
        <v>171450</v>
      </c>
      <c r="D518" s="0" t="s">
        <v>1728</v>
      </c>
      <c r="E518" s="0" t="s">
        <v>75</v>
      </c>
      <c r="F518" s="0" t="s">
        <v>90</v>
      </c>
      <c r="G518" s="0" t="s">
        <v>32</v>
      </c>
      <c r="H518" s="0" t="n">
        <v>135</v>
      </c>
      <c r="I518" s="0" t="s">
        <v>1738</v>
      </c>
      <c r="J518" s="0" t="s">
        <v>1739</v>
      </c>
      <c r="K518" s="0" t="s">
        <v>1740</v>
      </c>
      <c r="L518" s="0" t="str">
        <f aca="false">HYPERLINK("https://www.ncbi.nlm.nih.gov/nuccore/CP000058.1?report=graph&amp;tracks=[key:gene_model_track,Options:GeneOnly]&amp;mk=171548:171567|offset_18|444444,171507:171526|offset_59|444444,171453:171472|offset_113|444444,171431:171450|offset_135|00cc00&amp;v=171347:171650&amp;c=444444", "offset 135")</f>
        <v>offset 135</v>
      </c>
    </row>
    <row r="519" customFormat="false" ht="12.8" hidden="false" customHeight="false" outlineLevel="0" collapsed="false">
      <c r="A519" s="0" t="s">
        <v>12</v>
      </c>
      <c r="B519" s="0" t="n">
        <v>172918</v>
      </c>
      <c r="C519" s="0" t="n">
        <v>172938</v>
      </c>
      <c r="D519" s="0" t="s">
        <v>1741</v>
      </c>
      <c r="E519" s="0" t="s">
        <v>75</v>
      </c>
      <c r="F519" s="0" t="s">
        <v>90</v>
      </c>
      <c r="G519" s="0" t="s">
        <v>32</v>
      </c>
      <c r="H519" s="0" t="n">
        <v>19</v>
      </c>
      <c r="I519" s="0" t="s">
        <v>1742</v>
      </c>
      <c r="J519" s="0" t="s">
        <v>1743</v>
      </c>
      <c r="K519" s="0" t="s">
        <v>1744</v>
      </c>
      <c r="L519" s="0" t="str">
        <f aca="false">HYPERLINK("https://www.ncbi.nlm.nih.gov/nuccore/CP000058.1?report=graph&amp;tracks=[key:gene_model_track,Options:GeneOnly]&amp;mk=172919:172938|offset_19|00cc00,172873:172892|offset_65|444444,172850:172869|offset_88|444444,172814:172833|offset_124|444444&amp;v=172718:173033&amp;c=444444", "offset 19")</f>
        <v>offset 19</v>
      </c>
    </row>
    <row r="520" customFormat="false" ht="12.8" hidden="false" customHeight="false" outlineLevel="0" collapsed="false">
      <c r="A520" s="0" t="s">
        <v>12</v>
      </c>
      <c r="B520" s="0" t="n">
        <v>172872</v>
      </c>
      <c r="C520" s="0" t="n">
        <v>172892</v>
      </c>
      <c r="D520" s="0" t="s">
        <v>1741</v>
      </c>
      <c r="E520" s="0" t="s">
        <v>75</v>
      </c>
      <c r="F520" s="0" t="s">
        <v>90</v>
      </c>
      <c r="G520" s="0" t="s">
        <v>20</v>
      </c>
      <c r="H520" s="0" t="n">
        <v>65</v>
      </c>
      <c r="I520" s="0" t="s">
        <v>1745</v>
      </c>
      <c r="J520" s="0" t="s">
        <v>1746</v>
      </c>
      <c r="K520" s="0" t="s">
        <v>1747</v>
      </c>
      <c r="L520" s="0" t="str">
        <f aca="false">HYPERLINK("https://www.ncbi.nlm.nih.gov/nuccore/CP000058.1?report=graph&amp;tracks=[key:gene_model_track,Options:GeneOnly]&amp;mk=172919:172938|offset_19|444444,172873:172892|offset_65|00cc00,172850:172869|offset_88|444444,172814:172833|offset_124|444444&amp;v=172718:173033&amp;c=444444", "offset 65")</f>
        <v>offset 65</v>
      </c>
    </row>
    <row r="521" customFormat="false" ht="12.8" hidden="false" customHeight="false" outlineLevel="0" collapsed="false">
      <c r="A521" s="0" t="s">
        <v>12</v>
      </c>
      <c r="B521" s="0" t="n">
        <v>172849</v>
      </c>
      <c r="C521" s="0" t="n">
        <v>172869</v>
      </c>
      <c r="D521" s="0" t="s">
        <v>1741</v>
      </c>
      <c r="E521" s="0" t="s">
        <v>75</v>
      </c>
      <c r="F521" s="0" t="s">
        <v>90</v>
      </c>
      <c r="G521" s="0" t="s">
        <v>36</v>
      </c>
      <c r="H521" s="0" t="n">
        <v>88</v>
      </c>
      <c r="I521" s="0" t="s">
        <v>1748</v>
      </c>
      <c r="J521" s="0" t="s">
        <v>1749</v>
      </c>
      <c r="K521" s="0" t="s">
        <v>1750</v>
      </c>
      <c r="L521" s="0" t="str">
        <f aca="false">HYPERLINK("https://www.ncbi.nlm.nih.gov/nuccore/CP000058.1?report=graph&amp;tracks=[key:gene_model_track,Options:GeneOnly]&amp;mk=172919:172938|offset_19|444444,172873:172892|offset_65|444444,172850:172869|offset_88|00cc00,172814:172833|offset_124|444444&amp;v=172718:173033&amp;c=444444", "offset 88")</f>
        <v>offset 88</v>
      </c>
    </row>
    <row r="522" customFormat="false" ht="12.8" hidden="false" customHeight="false" outlineLevel="0" collapsed="false">
      <c r="A522" s="0" t="s">
        <v>12</v>
      </c>
      <c r="B522" s="0" t="n">
        <v>172813</v>
      </c>
      <c r="C522" s="0" t="n">
        <v>172833</v>
      </c>
      <c r="D522" s="0" t="s">
        <v>1741</v>
      </c>
      <c r="E522" s="0" t="s">
        <v>75</v>
      </c>
      <c r="F522" s="0" t="s">
        <v>90</v>
      </c>
      <c r="G522" s="0" t="s">
        <v>16</v>
      </c>
      <c r="H522" s="0" t="n">
        <v>124</v>
      </c>
      <c r="I522" s="0" t="s">
        <v>1751</v>
      </c>
      <c r="J522" s="0" t="s">
        <v>1752</v>
      </c>
      <c r="K522" s="0" t="s">
        <v>1753</v>
      </c>
      <c r="L522" s="0" t="str">
        <f aca="false">HYPERLINK("https://www.ncbi.nlm.nih.gov/nuccore/CP000058.1?report=graph&amp;tracks=[key:gene_model_track,Options:GeneOnly]&amp;mk=172919:172938|offset_19|444444,172873:172892|offset_65|444444,172850:172869|offset_88|444444,172814:172833|offset_124|00cc00&amp;v=172718:173033&amp;c=444444", "offset 124")</f>
        <v>offset 124</v>
      </c>
    </row>
    <row r="523" customFormat="false" ht="12.8" hidden="false" customHeight="false" outlineLevel="0" collapsed="false">
      <c r="A523" s="0" t="s">
        <v>12</v>
      </c>
      <c r="B523" s="0" t="n">
        <v>174744</v>
      </c>
      <c r="C523" s="0" t="n">
        <v>174764</v>
      </c>
      <c r="D523" s="0" t="s">
        <v>1754</v>
      </c>
      <c r="E523" s="0" t="s">
        <v>75</v>
      </c>
      <c r="F523" s="0" t="s">
        <v>90</v>
      </c>
      <c r="G523" s="0" t="s">
        <v>32</v>
      </c>
      <c r="H523" s="0" t="n">
        <v>7</v>
      </c>
      <c r="I523" s="0" t="s">
        <v>1755</v>
      </c>
      <c r="J523" s="0" t="s">
        <v>1756</v>
      </c>
      <c r="K523" s="0" t="s">
        <v>1757</v>
      </c>
      <c r="L523" s="0" t="str">
        <f aca="false">HYPERLINK("https://www.ncbi.nlm.nih.gov/nuccore/CP000058.1?report=graph&amp;tracks=[key:gene_model_track,Options:GeneOnly]&amp;mk=174745:174764|offset_7|00cc00,174725:174744|offset_27|444444,174702:174721|offset_50|444444,174681:174700|offset_71|444444&amp;v=174544:174900&amp;c=444444", "offset 7")</f>
        <v>offset 7</v>
      </c>
    </row>
    <row r="524" customFormat="false" ht="12.8" hidden="false" customHeight="false" outlineLevel="0" collapsed="false">
      <c r="A524" s="0" t="s">
        <v>12</v>
      </c>
      <c r="B524" s="0" t="n">
        <v>174724</v>
      </c>
      <c r="C524" s="0" t="n">
        <v>174744</v>
      </c>
      <c r="D524" s="0" t="s">
        <v>1754</v>
      </c>
      <c r="E524" s="0" t="s">
        <v>75</v>
      </c>
      <c r="F524" s="0" t="s">
        <v>90</v>
      </c>
      <c r="G524" s="0" t="s">
        <v>16</v>
      </c>
      <c r="H524" s="0" t="n">
        <v>27</v>
      </c>
      <c r="I524" s="0" t="s">
        <v>1758</v>
      </c>
      <c r="J524" s="0" t="s">
        <v>1759</v>
      </c>
      <c r="K524" s="0" t="s">
        <v>1760</v>
      </c>
      <c r="L524" s="0" t="str">
        <f aca="false">HYPERLINK("https://www.ncbi.nlm.nih.gov/nuccore/CP000058.1?report=graph&amp;tracks=[key:gene_model_track,Options:GeneOnly]&amp;mk=174745:174764|offset_7|444444,174725:174744|offset_27|00cc00,174702:174721|offset_50|444444,174681:174700|offset_71|444444&amp;v=174544:174900&amp;c=444444", "offset 27")</f>
        <v>offset 27</v>
      </c>
    </row>
    <row r="525" customFormat="false" ht="12.8" hidden="false" customHeight="false" outlineLevel="0" collapsed="false">
      <c r="A525" s="0" t="s">
        <v>12</v>
      </c>
      <c r="B525" s="0" t="n">
        <v>174701</v>
      </c>
      <c r="C525" s="0" t="n">
        <v>174721</v>
      </c>
      <c r="D525" s="0" t="s">
        <v>1754</v>
      </c>
      <c r="E525" s="0" t="s">
        <v>75</v>
      </c>
      <c r="F525" s="0" t="s">
        <v>90</v>
      </c>
      <c r="G525" s="0" t="s">
        <v>20</v>
      </c>
      <c r="H525" s="0" t="n">
        <v>50</v>
      </c>
      <c r="I525" s="0" t="s">
        <v>1761</v>
      </c>
      <c r="J525" s="0" t="s">
        <v>1762</v>
      </c>
      <c r="K525" s="0" t="s">
        <v>1763</v>
      </c>
      <c r="L525" s="0" t="str">
        <f aca="false">HYPERLINK("https://www.ncbi.nlm.nih.gov/nuccore/CP000058.1?report=graph&amp;tracks=[key:gene_model_track,Options:GeneOnly]&amp;mk=174745:174764|offset_7|444444,174725:174744|offset_27|444444,174702:174721|offset_50|00cc00,174681:174700|offset_71|444444&amp;v=174544:174900&amp;c=444444", "offset 50")</f>
        <v>offset 50</v>
      </c>
    </row>
    <row r="526" customFormat="false" ht="12.8" hidden="false" customHeight="false" outlineLevel="0" collapsed="false">
      <c r="A526" s="0" t="s">
        <v>12</v>
      </c>
      <c r="B526" s="0" t="n">
        <v>174680</v>
      </c>
      <c r="C526" s="0" t="n">
        <v>174700</v>
      </c>
      <c r="D526" s="0" t="s">
        <v>1754</v>
      </c>
      <c r="E526" s="0" t="s">
        <v>75</v>
      </c>
      <c r="F526" s="0" t="s">
        <v>90</v>
      </c>
      <c r="G526" s="0" t="s">
        <v>20</v>
      </c>
      <c r="H526" s="0" t="n">
        <v>71</v>
      </c>
      <c r="I526" s="0" t="s">
        <v>1764</v>
      </c>
      <c r="J526" s="0" t="s">
        <v>1765</v>
      </c>
      <c r="K526" s="0" t="s">
        <v>1766</v>
      </c>
      <c r="L526" s="0" t="str">
        <f aca="false">HYPERLINK("https://www.ncbi.nlm.nih.gov/nuccore/CP000058.1?report=graph&amp;tracks=[key:gene_model_track,Options:GeneOnly]&amp;mk=174745:174764|offset_7|444444,174725:174744|offset_27|444444,174702:174721|offset_50|444444,174681:174700|offset_71|00cc00&amp;v=174544:174900&amp;c=444444", "offset 71")</f>
        <v>offset 71</v>
      </c>
    </row>
    <row r="527" customFormat="false" ht="12.8" hidden="false" customHeight="false" outlineLevel="0" collapsed="false">
      <c r="A527" s="0" t="s">
        <v>12</v>
      </c>
      <c r="B527" s="0" t="n">
        <v>174781</v>
      </c>
      <c r="C527" s="0" t="n">
        <v>174801</v>
      </c>
      <c r="D527" s="0" t="s">
        <v>1767</v>
      </c>
      <c r="E527" s="0" t="s">
        <v>75</v>
      </c>
      <c r="F527" s="0" t="s">
        <v>15</v>
      </c>
      <c r="G527" s="0" t="s">
        <v>16</v>
      </c>
      <c r="H527" s="0" t="n">
        <v>7</v>
      </c>
      <c r="I527" s="0" t="s">
        <v>1768</v>
      </c>
      <c r="J527" s="0" t="s">
        <v>1769</v>
      </c>
      <c r="K527" s="0" t="s">
        <v>1770</v>
      </c>
      <c r="L527" s="0" t="str">
        <f aca="false">HYPERLINK("https://www.ncbi.nlm.nih.gov/nuccore/CP000058.1?report=graph&amp;tracks=[key:gene_model_track,Options:GeneOnly]&amp;mk=174782:174801|offset_7|00cc00,174805:174824|offset_30|444444,174842:174861|offset_67|444444,174885:174904|offset_110|444444&amp;v=174581:175104&amp;c=444444", "offset 7")</f>
        <v>offset 7</v>
      </c>
    </row>
    <row r="528" customFormat="false" ht="12.8" hidden="false" customHeight="false" outlineLevel="0" collapsed="false">
      <c r="A528" s="0" t="s">
        <v>12</v>
      </c>
      <c r="B528" s="0" t="n">
        <v>174804</v>
      </c>
      <c r="C528" s="0" t="n">
        <v>174824</v>
      </c>
      <c r="D528" s="0" t="s">
        <v>1767</v>
      </c>
      <c r="E528" s="0" t="s">
        <v>75</v>
      </c>
      <c r="F528" s="0" t="s">
        <v>15</v>
      </c>
      <c r="G528" s="0" t="s">
        <v>20</v>
      </c>
      <c r="H528" s="0" t="n">
        <v>30</v>
      </c>
      <c r="I528" s="0" t="s">
        <v>1771</v>
      </c>
      <c r="J528" s="0" t="s">
        <v>1772</v>
      </c>
      <c r="K528" s="0" t="s">
        <v>1773</v>
      </c>
      <c r="L528" s="0" t="str">
        <f aca="false">HYPERLINK("https://www.ncbi.nlm.nih.gov/nuccore/CP000058.1?report=graph&amp;tracks=[key:gene_model_track,Options:GeneOnly]&amp;mk=174782:174801|offset_7|444444,174805:174824|offset_30|00cc00,174842:174861|offset_67|444444,174885:174904|offset_110|444444&amp;v=174581:175104&amp;c=444444", "offset 30")</f>
        <v>offset 30</v>
      </c>
    </row>
    <row r="529" customFormat="false" ht="12.8" hidden="false" customHeight="false" outlineLevel="0" collapsed="false">
      <c r="A529" s="0" t="s">
        <v>12</v>
      </c>
      <c r="B529" s="0" t="n">
        <v>174841</v>
      </c>
      <c r="C529" s="0" t="n">
        <v>174861</v>
      </c>
      <c r="D529" s="0" t="s">
        <v>1767</v>
      </c>
      <c r="E529" s="0" t="s">
        <v>75</v>
      </c>
      <c r="F529" s="0" t="s">
        <v>15</v>
      </c>
      <c r="G529" s="0" t="s">
        <v>36</v>
      </c>
      <c r="H529" s="0" t="n">
        <v>67</v>
      </c>
      <c r="I529" s="0" t="s">
        <v>1774</v>
      </c>
      <c r="J529" s="0" t="s">
        <v>1775</v>
      </c>
      <c r="K529" s="0" t="s">
        <v>1776</v>
      </c>
      <c r="L529" s="0" t="str">
        <f aca="false">HYPERLINK("https://www.ncbi.nlm.nih.gov/nuccore/CP000058.1?report=graph&amp;tracks=[key:gene_model_track,Options:GeneOnly]&amp;mk=174782:174801|offset_7|444444,174805:174824|offset_30|444444,174842:174861|offset_67|00cc00,174885:174904|offset_110|444444&amp;v=174581:175104&amp;c=444444", "offset 67")</f>
        <v>offset 67</v>
      </c>
    </row>
    <row r="530" customFormat="false" ht="12.8" hidden="false" customHeight="false" outlineLevel="0" collapsed="false">
      <c r="A530" s="0" t="s">
        <v>12</v>
      </c>
      <c r="B530" s="0" t="n">
        <v>174884</v>
      </c>
      <c r="C530" s="0" t="n">
        <v>174904</v>
      </c>
      <c r="D530" s="0" t="s">
        <v>1767</v>
      </c>
      <c r="E530" s="0" t="s">
        <v>75</v>
      </c>
      <c r="F530" s="0" t="s">
        <v>15</v>
      </c>
      <c r="G530" s="0" t="s">
        <v>16</v>
      </c>
      <c r="H530" s="0" t="n">
        <v>110</v>
      </c>
      <c r="I530" s="0" t="s">
        <v>1777</v>
      </c>
      <c r="J530" s="0" t="s">
        <v>1778</v>
      </c>
      <c r="K530" s="0" t="s">
        <v>1779</v>
      </c>
      <c r="L530" s="0" t="str">
        <f aca="false">HYPERLINK("https://www.ncbi.nlm.nih.gov/nuccore/CP000058.1?report=graph&amp;tracks=[key:gene_model_track,Options:GeneOnly]&amp;mk=174782:174801|offset_7|444444,174805:174824|offset_30|444444,174842:174861|offset_67|444444,174885:174904|offset_110|00cc00&amp;v=174581:175104&amp;c=444444", "offset 110")</f>
        <v>offset 110</v>
      </c>
    </row>
    <row r="531" customFormat="false" ht="12.8" hidden="false" customHeight="false" outlineLevel="0" collapsed="false">
      <c r="A531" s="0" t="s">
        <v>12</v>
      </c>
      <c r="B531" s="0" t="n">
        <v>175434</v>
      </c>
      <c r="C531" s="0" t="n">
        <v>175454</v>
      </c>
      <c r="D531" s="0" t="s">
        <v>1780</v>
      </c>
      <c r="E531" s="0" t="s">
        <v>1781</v>
      </c>
      <c r="F531" s="0" t="s">
        <v>90</v>
      </c>
      <c r="G531" s="0" t="s">
        <v>16</v>
      </c>
      <c r="H531" s="0" t="n">
        <v>27</v>
      </c>
      <c r="I531" s="0" t="s">
        <v>1782</v>
      </c>
      <c r="J531" s="0" t="s">
        <v>1783</v>
      </c>
      <c r="K531" s="0" t="s">
        <v>1784</v>
      </c>
      <c r="L531" s="0" t="str">
        <f aca="false">HYPERLINK("https://www.ncbi.nlm.nih.gov/nuccore/CP000058.1?report=graph&amp;tracks=[key:gene_model_track,Options:GeneOnly]&amp;mk=175435:175454|offset_27|00cc00,175414:175433|offset_48|444444,175365:175384|offset_97|444444,175340:175359|offset_122|444444&amp;v=175234:175559&amp;c=444444", "offset 27")</f>
        <v>offset 27</v>
      </c>
    </row>
    <row r="532" customFormat="false" ht="12.8" hidden="false" customHeight="false" outlineLevel="0" collapsed="false">
      <c r="A532" s="0" t="s">
        <v>12</v>
      </c>
      <c r="B532" s="0" t="n">
        <v>175413</v>
      </c>
      <c r="C532" s="0" t="n">
        <v>175433</v>
      </c>
      <c r="D532" s="0" t="s">
        <v>1780</v>
      </c>
      <c r="E532" s="0" t="s">
        <v>1781</v>
      </c>
      <c r="F532" s="0" t="s">
        <v>90</v>
      </c>
      <c r="G532" s="0" t="s">
        <v>36</v>
      </c>
      <c r="H532" s="0" t="n">
        <v>48</v>
      </c>
      <c r="I532" s="0" t="s">
        <v>1785</v>
      </c>
      <c r="J532" s="0" t="s">
        <v>1786</v>
      </c>
      <c r="K532" s="0" t="s">
        <v>1787</v>
      </c>
      <c r="L532" s="0" t="str">
        <f aca="false">HYPERLINK("https://www.ncbi.nlm.nih.gov/nuccore/CP000058.1?report=graph&amp;tracks=[key:gene_model_track,Options:GeneOnly]&amp;mk=175435:175454|offset_27|444444,175414:175433|offset_48|00cc00,175365:175384|offset_97|444444,175340:175359|offset_122|444444&amp;v=175234:175559&amp;c=444444", "offset 48")</f>
        <v>offset 48</v>
      </c>
    </row>
    <row r="533" customFormat="false" ht="12.8" hidden="false" customHeight="false" outlineLevel="0" collapsed="false">
      <c r="A533" s="0" t="s">
        <v>12</v>
      </c>
      <c r="B533" s="0" t="n">
        <v>175364</v>
      </c>
      <c r="C533" s="0" t="n">
        <v>175384</v>
      </c>
      <c r="D533" s="0" t="s">
        <v>1780</v>
      </c>
      <c r="E533" s="0" t="s">
        <v>1781</v>
      </c>
      <c r="F533" s="0" t="s">
        <v>90</v>
      </c>
      <c r="G533" s="0" t="s">
        <v>32</v>
      </c>
      <c r="H533" s="0" t="n">
        <v>97</v>
      </c>
      <c r="I533" s="0" t="s">
        <v>1788</v>
      </c>
      <c r="J533" s="0" t="s">
        <v>1789</v>
      </c>
      <c r="K533" s="0" t="s">
        <v>1790</v>
      </c>
      <c r="L533" s="0" t="str">
        <f aca="false">HYPERLINK("https://www.ncbi.nlm.nih.gov/nuccore/CP000058.1?report=graph&amp;tracks=[key:gene_model_track,Options:GeneOnly]&amp;mk=175435:175454|offset_27|444444,175414:175433|offset_48|444444,175365:175384|offset_97|00cc00,175340:175359|offset_122|444444&amp;v=175234:175559&amp;c=444444", "offset 97")</f>
        <v>offset 97</v>
      </c>
    </row>
    <row r="534" customFormat="false" ht="12.8" hidden="false" customHeight="false" outlineLevel="0" collapsed="false">
      <c r="A534" s="0" t="s">
        <v>12</v>
      </c>
      <c r="B534" s="0" t="n">
        <v>175339</v>
      </c>
      <c r="C534" s="0" t="n">
        <v>175359</v>
      </c>
      <c r="D534" s="0" t="s">
        <v>1780</v>
      </c>
      <c r="E534" s="0" t="s">
        <v>1781</v>
      </c>
      <c r="F534" s="0" t="s">
        <v>90</v>
      </c>
      <c r="G534" s="0" t="s">
        <v>20</v>
      </c>
      <c r="H534" s="0" t="n">
        <v>122</v>
      </c>
      <c r="I534" s="0" t="s">
        <v>1791</v>
      </c>
      <c r="J534" s="0" t="s">
        <v>1792</v>
      </c>
      <c r="K534" s="0" t="s">
        <v>1793</v>
      </c>
      <c r="L534" s="0" t="str">
        <f aca="false">HYPERLINK("https://www.ncbi.nlm.nih.gov/nuccore/CP000058.1?report=graph&amp;tracks=[key:gene_model_track,Options:GeneOnly]&amp;mk=175435:175454|offset_27|444444,175414:175433|offset_48|444444,175365:175384|offset_97|444444,175340:175359|offset_122|00cc00&amp;v=175234:175559&amp;c=444444", "offset 122")</f>
        <v>offset 122</v>
      </c>
    </row>
    <row r="535" customFormat="false" ht="12.8" hidden="false" customHeight="false" outlineLevel="0" collapsed="false">
      <c r="A535" s="0" t="s">
        <v>12</v>
      </c>
      <c r="B535" s="0" t="n">
        <v>176605</v>
      </c>
      <c r="C535" s="0" t="n">
        <v>176625</v>
      </c>
      <c r="D535" s="0" t="s">
        <v>1794</v>
      </c>
      <c r="E535" s="0" t="s">
        <v>1795</v>
      </c>
      <c r="F535" s="0" t="s">
        <v>90</v>
      </c>
      <c r="G535" s="0" t="s">
        <v>16</v>
      </c>
      <c r="H535" s="0" t="n">
        <v>19</v>
      </c>
      <c r="I535" s="0" t="s">
        <v>1796</v>
      </c>
      <c r="J535" s="0" t="s">
        <v>1797</v>
      </c>
      <c r="K535" s="0" t="s">
        <v>1798</v>
      </c>
      <c r="L535" s="0" t="str">
        <f aca="false">HYPERLINK("https://www.ncbi.nlm.nih.gov/nuccore/CP000058.1?report=graph&amp;tracks=[key:gene_model_track,Options:GeneOnly]&amp;mk=176606:176625|offset_19|00cc00,176572:176591|offset_53|444444,176552:176571|offset_73|444444,176519:176538|offset_106|444444&amp;v=176405:176738&amp;c=444444", "offset 19")</f>
        <v>offset 19</v>
      </c>
    </row>
    <row r="536" customFormat="false" ht="12.8" hidden="false" customHeight="false" outlineLevel="0" collapsed="false">
      <c r="A536" s="0" t="s">
        <v>12</v>
      </c>
      <c r="B536" s="0" t="n">
        <v>176571</v>
      </c>
      <c r="C536" s="0" t="n">
        <v>176591</v>
      </c>
      <c r="D536" s="0" t="s">
        <v>1794</v>
      </c>
      <c r="E536" s="0" t="s">
        <v>1795</v>
      </c>
      <c r="F536" s="0" t="s">
        <v>90</v>
      </c>
      <c r="G536" s="0" t="s">
        <v>16</v>
      </c>
      <c r="H536" s="0" t="n">
        <v>53</v>
      </c>
      <c r="I536" s="0" t="s">
        <v>1799</v>
      </c>
      <c r="J536" s="0" t="s">
        <v>1800</v>
      </c>
      <c r="K536" s="0" t="s">
        <v>1801</v>
      </c>
      <c r="L536" s="0" t="str">
        <f aca="false">HYPERLINK("https://www.ncbi.nlm.nih.gov/nuccore/CP000058.1?report=graph&amp;tracks=[key:gene_model_track,Options:GeneOnly]&amp;mk=176606:176625|offset_19|444444,176572:176591|offset_53|00cc00,176552:176571|offset_73|444444,176519:176538|offset_106|444444&amp;v=176405:176738&amp;c=444444", "offset 53")</f>
        <v>offset 53</v>
      </c>
    </row>
    <row r="537" customFormat="false" ht="12.8" hidden="false" customHeight="false" outlineLevel="0" collapsed="false">
      <c r="A537" s="0" t="s">
        <v>12</v>
      </c>
      <c r="B537" s="0" t="n">
        <v>176551</v>
      </c>
      <c r="C537" s="0" t="n">
        <v>176571</v>
      </c>
      <c r="D537" s="0" t="s">
        <v>1794</v>
      </c>
      <c r="E537" s="0" t="s">
        <v>1795</v>
      </c>
      <c r="F537" s="0" t="s">
        <v>90</v>
      </c>
      <c r="G537" s="0" t="s">
        <v>16</v>
      </c>
      <c r="H537" s="0" t="n">
        <v>73</v>
      </c>
      <c r="I537" s="0" t="s">
        <v>1802</v>
      </c>
      <c r="J537" s="0" t="s">
        <v>1803</v>
      </c>
      <c r="K537" s="0" t="s">
        <v>1804</v>
      </c>
      <c r="L537" s="0" t="str">
        <f aca="false">HYPERLINK("https://www.ncbi.nlm.nih.gov/nuccore/CP000058.1?report=graph&amp;tracks=[key:gene_model_track,Options:GeneOnly]&amp;mk=176606:176625|offset_19|444444,176572:176591|offset_53|444444,176552:176571|offset_73|00cc00,176519:176538|offset_106|444444&amp;v=176405:176738&amp;c=444444", "offset 73")</f>
        <v>offset 73</v>
      </c>
    </row>
    <row r="538" customFormat="false" ht="12.8" hidden="false" customHeight="false" outlineLevel="0" collapsed="false">
      <c r="A538" s="0" t="s">
        <v>12</v>
      </c>
      <c r="B538" s="0" t="n">
        <v>176518</v>
      </c>
      <c r="C538" s="0" t="n">
        <v>176538</v>
      </c>
      <c r="D538" s="0" t="s">
        <v>1794</v>
      </c>
      <c r="E538" s="0" t="s">
        <v>1795</v>
      </c>
      <c r="F538" s="0" t="s">
        <v>90</v>
      </c>
      <c r="G538" s="0" t="s">
        <v>20</v>
      </c>
      <c r="H538" s="0" t="n">
        <v>106</v>
      </c>
      <c r="I538" s="0" t="s">
        <v>1805</v>
      </c>
      <c r="J538" s="0" t="s">
        <v>1806</v>
      </c>
      <c r="K538" s="0" t="s">
        <v>1807</v>
      </c>
      <c r="L538" s="0" t="str">
        <f aca="false">HYPERLINK("https://www.ncbi.nlm.nih.gov/nuccore/CP000058.1?report=graph&amp;tracks=[key:gene_model_track,Options:GeneOnly]&amp;mk=176606:176625|offset_19|444444,176572:176591|offset_53|444444,176552:176571|offset_73|444444,176519:176538|offset_106|00cc00&amp;v=176405:176738&amp;c=444444", "offset 106")</f>
        <v>offset 106</v>
      </c>
    </row>
    <row r="539" customFormat="false" ht="12.8" hidden="false" customHeight="false" outlineLevel="0" collapsed="false">
      <c r="A539" s="0" t="s">
        <v>12</v>
      </c>
      <c r="B539" s="0" t="n">
        <v>180228</v>
      </c>
      <c r="C539" s="0" t="n">
        <v>180248</v>
      </c>
      <c r="D539" s="0" t="s">
        <v>1808</v>
      </c>
      <c r="E539" s="0" t="s">
        <v>75</v>
      </c>
      <c r="F539" s="0" t="s">
        <v>15</v>
      </c>
      <c r="G539" s="0" t="s">
        <v>16</v>
      </c>
      <c r="H539" s="0" t="n">
        <v>8</v>
      </c>
      <c r="I539" s="0" t="s">
        <v>1809</v>
      </c>
      <c r="J539" s="0" t="s">
        <v>1810</v>
      </c>
      <c r="K539" s="0" t="s">
        <v>1811</v>
      </c>
      <c r="L539" s="0" t="str">
        <f aca="false">HYPERLINK("https://www.ncbi.nlm.nih.gov/nuccore/CP000058.1?report=graph&amp;tracks=[key:gene_model_track,Options:GeneOnly]&amp;mk=180229:180248|offset_8|00cc00,180252:180271|offset_31|444444,180282:180301|offset_61|444444,180321:180340|offset_100|444444&amp;v=180028:180540&amp;c=444444", "offset 8")</f>
        <v>offset 8</v>
      </c>
    </row>
    <row r="540" customFormat="false" ht="12.8" hidden="false" customHeight="false" outlineLevel="0" collapsed="false">
      <c r="A540" s="0" t="s">
        <v>12</v>
      </c>
      <c r="B540" s="0" t="n">
        <v>180251</v>
      </c>
      <c r="C540" s="0" t="n">
        <v>180271</v>
      </c>
      <c r="D540" s="0" t="s">
        <v>1808</v>
      </c>
      <c r="E540" s="0" t="s">
        <v>75</v>
      </c>
      <c r="F540" s="0" t="s">
        <v>15</v>
      </c>
      <c r="G540" s="0" t="s">
        <v>36</v>
      </c>
      <c r="H540" s="0" t="n">
        <v>31</v>
      </c>
      <c r="I540" s="0" t="s">
        <v>1812</v>
      </c>
      <c r="J540" s="0" t="s">
        <v>1813</v>
      </c>
      <c r="K540" s="0" t="s">
        <v>1814</v>
      </c>
      <c r="L540" s="0" t="str">
        <f aca="false">HYPERLINK("https://www.ncbi.nlm.nih.gov/nuccore/CP000058.1?report=graph&amp;tracks=[key:gene_model_track,Options:GeneOnly]&amp;mk=180229:180248|offset_8|444444,180252:180271|offset_31|00cc00,180282:180301|offset_61|444444,180321:180340|offset_100|444444&amp;v=180028:180540&amp;c=444444", "offset 31")</f>
        <v>offset 31</v>
      </c>
    </row>
    <row r="541" customFormat="false" ht="12.8" hidden="false" customHeight="false" outlineLevel="0" collapsed="false">
      <c r="A541" s="0" t="s">
        <v>12</v>
      </c>
      <c r="B541" s="0" t="n">
        <v>180281</v>
      </c>
      <c r="C541" s="0" t="n">
        <v>180301</v>
      </c>
      <c r="D541" s="0" t="s">
        <v>1808</v>
      </c>
      <c r="E541" s="0" t="s">
        <v>75</v>
      </c>
      <c r="F541" s="0" t="s">
        <v>15</v>
      </c>
      <c r="G541" s="0" t="s">
        <v>32</v>
      </c>
      <c r="H541" s="0" t="n">
        <v>61</v>
      </c>
      <c r="I541" s="0" t="s">
        <v>1815</v>
      </c>
      <c r="J541" s="0" t="s">
        <v>1816</v>
      </c>
      <c r="K541" s="0" t="s">
        <v>1817</v>
      </c>
      <c r="L541" s="0" t="str">
        <f aca="false">HYPERLINK("https://www.ncbi.nlm.nih.gov/nuccore/CP000058.1?report=graph&amp;tracks=[key:gene_model_track,Options:GeneOnly]&amp;mk=180229:180248|offset_8|444444,180252:180271|offset_31|444444,180282:180301|offset_61|00cc00,180321:180340|offset_100|444444&amp;v=180028:180540&amp;c=444444", "offset 61")</f>
        <v>offset 61</v>
      </c>
    </row>
    <row r="542" customFormat="false" ht="12.8" hidden="false" customHeight="false" outlineLevel="0" collapsed="false">
      <c r="A542" s="0" t="s">
        <v>12</v>
      </c>
      <c r="B542" s="0" t="n">
        <v>180320</v>
      </c>
      <c r="C542" s="0" t="n">
        <v>180340</v>
      </c>
      <c r="D542" s="0" t="s">
        <v>1808</v>
      </c>
      <c r="E542" s="0" t="s">
        <v>75</v>
      </c>
      <c r="F542" s="0" t="s">
        <v>15</v>
      </c>
      <c r="G542" s="0" t="s">
        <v>16</v>
      </c>
      <c r="H542" s="0" t="n">
        <v>100</v>
      </c>
      <c r="I542" s="0" t="s">
        <v>1818</v>
      </c>
      <c r="J542" s="0" t="s">
        <v>1819</v>
      </c>
      <c r="K542" s="0" t="s">
        <v>1820</v>
      </c>
      <c r="L542" s="0" t="str">
        <f aca="false">HYPERLINK("https://www.ncbi.nlm.nih.gov/nuccore/CP000058.1?report=graph&amp;tracks=[key:gene_model_track,Options:GeneOnly]&amp;mk=180229:180248|offset_8|444444,180252:180271|offset_31|444444,180282:180301|offset_61|444444,180321:180340|offset_100|00cc00&amp;v=180028:180540&amp;c=444444", "offset 100")</f>
        <v>offset 100</v>
      </c>
    </row>
    <row r="543" customFormat="false" ht="12.8" hidden="false" customHeight="false" outlineLevel="0" collapsed="false">
      <c r="A543" s="0" t="s">
        <v>12</v>
      </c>
      <c r="B543" s="0" t="n">
        <v>181105</v>
      </c>
      <c r="C543" s="0" t="n">
        <v>181125</v>
      </c>
      <c r="D543" s="0" t="s">
        <v>1821</v>
      </c>
      <c r="E543" s="0" t="s">
        <v>75</v>
      </c>
      <c r="F543" s="0" t="s">
        <v>15</v>
      </c>
      <c r="G543" s="0" t="s">
        <v>32</v>
      </c>
      <c r="H543" s="0" t="n">
        <v>1</v>
      </c>
      <c r="I543" s="0" t="s">
        <v>1822</v>
      </c>
      <c r="J543" s="0" t="s">
        <v>1823</v>
      </c>
      <c r="K543" s="0" t="s">
        <v>1824</v>
      </c>
      <c r="L543" s="0" t="str">
        <f aca="false">HYPERLINK("https://www.ncbi.nlm.nih.gov/nuccore/CP000058.1?report=graph&amp;tracks=[key:gene_model_track,Options:GeneOnly]&amp;mk=181106:181125|offset_1|00cc00,181129:181148|offset_24|444444,181153:181172|offset_48|444444,181175:181194|offset_70|444444&amp;v=180905:181394&amp;c=444444", "offset 1")</f>
        <v>offset 1</v>
      </c>
    </row>
    <row r="544" customFormat="false" ht="12.8" hidden="false" customHeight="false" outlineLevel="0" collapsed="false">
      <c r="A544" s="0" t="s">
        <v>12</v>
      </c>
      <c r="B544" s="0" t="n">
        <v>181128</v>
      </c>
      <c r="C544" s="0" t="n">
        <v>181148</v>
      </c>
      <c r="D544" s="0" t="s">
        <v>1821</v>
      </c>
      <c r="E544" s="0" t="s">
        <v>75</v>
      </c>
      <c r="F544" s="0" t="s">
        <v>15</v>
      </c>
      <c r="G544" s="0" t="s">
        <v>32</v>
      </c>
      <c r="H544" s="0" t="n">
        <v>24</v>
      </c>
      <c r="I544" s="0" t="s">
        <v>1825</v>
      </c>
      <c r="J544" s="0" t="s">
        <v>1826</v>
      </c>
      <c r="K544" s="0" t="s">
        <v>1827</v>
      </c>
      <c r="L544" s="0" t="str">
        <f aca="false">HYPERLINK("https://www.ncbi.nlm.nih.gov/nuccore/CP000058.1?report=graph&amp;tracks=[key:gene_model_track,Options:GeneOnly]&amp;mk=181106:181125|offset_1|444444,181129:181148|offset_24|00cc00,181153:181172|offset_48|444444,181175:181194|offset_70|444444&amp;v=180905:181394&amp;c=444444", "offset 24")</f>
        <v>offset 24</v>
      </c>
    </row>
    <row r="545" customFormat="false" ht="12.8" hidden="false" customHeight="false" outlineLevel="0" collapsed="false">
      <c r="A545" s="0" t="s">
        <v>12</v>
      </c>
      <c r="B545" s="0" t="n">
        <v>181152</v>
      </c>
      <c r="C545" s="0" t="n">
        <v>181172</v>
      </c>
      <c r="D545" s="0" t="s">
        <v>1821</v>
      </c>
      <c r="E545" s="0" t="s">
        <v>75</v>
      </c>
      <c r="F545" s="0" t="s">
        <v>15</v>
      </c>
      <c r="G545" s="0" t="s">
        <v>16</v>
      </c>
      <c r="H545" s="0" t="n">
        <v>48</v>
      </c>
      <c r="I545" s="0" t="s">
        <v>1828</v>
      </c>
      <c r="J545" s="0" t="s">
        <v>1829</v>
      </c>
      <c r="K545" s="0" t="s">
        <v>1830</v>
      </c>
      <c r="L545" s="0" t="str">
        <f aca="false">HYPERLINK("https://www.ncbi.nlm.nih.gov/nuccore/CP000058.1?report=graph&amp;tracks=[key:gene_model_track,Options:GeneOnly]&amp;mk=181106:181125|offset_1|444444,181129:181148|offset_24|444444,181153:181172|offset_48|00cc00,181175:181194|offset_70|444444&amp;v=180905:181394&amp;c=444444", "offset 48")</f>
        <v>offset 48</v>
      </c>
    </row>
    <row r="546" customFormat="false" ht="12.8" hidden="false" customHeight="false" outlineLevel="0" collapsed="false">
      <c r="A546" s="0" t="s">
        <v>12</v>
      </c>
      <c r="B546" s="0" t="n">
        <v>181174</v>
      </c>
      <c r="C546" s="0" t="n">
        <v>181194</v>
      </c>
      <c r="D546" s="0" t="s">
        <v>1821</v>
      </c>
      <c r="E546" s="0" t="s">
        <v>75</v>
      </c>
      <c r="F546" s="0" t="s">
        <v>15</v>
      </c>
      <c r="G546" s="0" t="s">
        <v>36</v>
      </c>
      <c r="H546" s="0" t="n">
        <v>70</v>
      </c>
      <c r="I546" s="0" t="s">
        <v>1831</v>
      </c>
      <c r="J546" s="0" t="s">
        <v>1832</v>
      </c>
      <c r="K546" s="0" t="s">
        <v>1833</v>
      </c>
      <c r="L546" s="0" t="str">
        <f aca="false">HYPERLINK("https://www.ncbi.nlm.nih.gov/nuccore/CP000058.1?report=graph&amp;tracks=[key:gene_model_track,Options:GeneOnly]&amp;mk=181106:181125|offset_1|444444,181129:181148|offset_24|444444,181153:181172|offset_48|444444,181175:181194|offset_70|00cc00&amp;v=180905:181394&amp;c=444444", "offset 70")</f>
        <v>offset 70</v>
      </c>
    </row>
    <row r="547" customFormat="false" ht="12.8" hidden="false" customHeight="false" outlineLevel="0" collapsed="false">
      <c r="A547" s="0" t="s">
        <v>12</v>
      </c>
      <c r="B547" s="0" t="n">
        <v>182454</v>
      </c>
      <c r="C547" s="0" t="n">
        <v>182474</v>
      </c>
      <c r="D547" s="0" t="s">
        <v>1834</v>
      </c>
      <c r="E547" s="0" t="s">
        <v>75</v>
      </c>
      <c r="F547" s="0" t="s">
        <v>15</v>
      </c>
      <c r="G547" s="0" t="s">
        <v>32</v>
      </c>
      <c r="H547" s="0" t="n">
        <v>20</v>
      </c>
      <c r="I547" s="0" t="s">
        <v>1835</v>
      </c>
      <c r="J547" s="0" t="s">
        <v>1836</v>
      </c>
      <c r="K547" s="0" t="s">
        <v>1837</v>
      </c>
      <c r="L547" s="0" t="str">
        <f aca="false">HYPERLINK("https://www.ncbi.nlm.nih.gov/nuccore/CP000058.1?report=graph&amp;tracks=[key:gene_model_track,Options:GeneOnly]&amp;mk=182455:182474|offset_20|00cc00,182499:182518|offset_64|444444,182532:182551|offset_97|444444,182552:182571|offset_117|444444&amp;v=182254:182771&amp;c=444444", "offset 20")</f>
        <v>offset 20</v>
      </c>
    </row>
    <row r="548" customFormat="false" ht="12.8" hidden="false" customHeight="false" outlineLevel="0" collapsed="false">
      <c r="A548" s="0" t="s">
        <v>12</v>
      </c>
      <c r="B548" s="0" t="n">
        <v>182498</v>
      </c>
      <c r="C548" s="0" t="n">
        <v>182518</v>
      </c>
      <c r="D548" s="0" t="s">
        <v>1834</v>
      </c>
      <c r="E548" s="0" t="s">
        <v>75</v>
      </c>
      <c r="F548" s="0" t="s">
        <v>15</v>
      </c>
      <c r="G548" s="0" t="s">
        <v>36</v>
      </c>
      <c r="H548" s="0" t="n">
        <v>64</v>
      </c>
      <c r="I548" s="0" t="s">
        <v>1838</v>
      </c>
      <c r="J548" s="0" t="s">
        <v>1839</v>
      </c>
      <c r="K548" s="0" t="s">
        <v>1840</v>
      </c>
      <c r="L548" s="0" t="str">
        <f aca="false">HYPERLINK("https://www.ncbi.nlm.nih.gov/nuccore/CP000058.1?report=graph&amp;tracks=[key:gene_model_track,Options:GeneOnly]&amp;mk=182455:182474|offset_20|444444,182499:182518|offset_64|00cc00,182532:182551|offset_97|444444,182552:182571|offset_117|444444&amp;v=182254:182771&amp;c=444444", "offset 64")</f>
        <v>offset 64</v>
      </c>
    </row>
    <row r="549" customFormat="false" ht="12.8" hidden="false" customHeight="false" outlineLevel="0" collapsed="false">
      <c r="A549" s="0" t="s">
        <v>12</v>
      </c>
      <c r="B549" s="0" t="n">
        <v>182531</v>
      </c>
      <c r="C549" s="0" t="n">
        <v>182551</v>
      </c>
      <c r="D549" s="0" t="s">
        <v>1834</v>
      </c>
      <c r="E549" s="0" t="s">
        <v>75</v>
      </c>
      <c r="F549" s="0" t="s">
        <v>15</v>
      </c>
      <c r="G549" s="0" t="s">
        <v>32</v>
      </c>
      <c r="H549" s="0" t="n">
        <v>97</v>
      </c>
      <c r="I549" s="0" t="s">
        <v>1841</v>
      </c>
      <c r="J549" s="0" t="s">
        <v>1842</v>
      </c>
      <c r="K549" s="0" t="s">
        <v>1843</v>
      </c>
      <c r="L549" s="0" t="str">
        <f aca="false">HYPERLINK("https://www.ncbi.nlm.nih.gov/nuccore/CP000058.1?report=graph&amp;tracks=[key:gene_model_track,Options:GeneOnly]&amp;mk=182455:182474|offset_20|444444,182499:182518|offset_64|444444,182532:182551|offset_97|00cc00,182552:182571|offset_117|444444&amp;v=182254:182771&amp;c=444444", "offset 97")</f>
        <v>offset 97</v>
      </c>
    </row>
    <row r="550" customFormat="false" ht="12.8" hidden="false" customHeight="false" outlineLevel="0" collapsed="false">
      <c r="A550" s="0" t="s">
        <v>12</v>
      </c>
      <c r="B550" s="0" t="n">
        <v>182551</v>
      </c>
      <c r="C550" s="0" t="n">
        <v>182571</v>
      </c>
      <c r="D550" s="0" t="s">
        <v>1834</v>
      </c>
      <c r="E550" s="0" t="s">
        <v>75</v>
      </c>
      <c r="F550" s="0" t="s">
        <v>15</v>
      </c>
      <c r="G550" s="0" t="s">
        <v>16</v>
      </c>
      <c r="H550" s="0" t="n">
        <v>117</v>
      </c>
      <c r="I550" s="0" t="s">
        <v>1844</v>
      </c>
      <c r="J550" s="0" t="s">
        <v>1845</v>
      </c>
      <c r="K550" s="0" t="s">
        <v>1846</v>
      </c>
      <c r="L550" s="0" t="str">
        <f aca="false">HYPERLINK("https://www.ncbi.nlm.nih.gov/nuccore/CP000058.1?report=graph&amp;tracks=[key:gene_model_track,Options:GeneOnly]&amp;mk=182455:182474|offset_20|444444,182499:182518|offset_64|444444,182532:182551|offset_97|444444,182552:182571|offset_117|00cc00&amp;v=182254:182771&amp;c=444444", "offset 117")</f>
        <v>offset 117</v>
      </c>
    </row>
    <row r="551" customFormat="false" ht="12.8" hidden="false" customHeight="false" outlineLevel="0" collapsed="false">
      <c r="A551" s="0" t="s">
        <v>12</v>
      </c>
      <c r="B551" s="0" t="n">
        <v>182931</v>
      </c>
      <c r="C551" s="0" t="n">
        <v>182951</v>
      </c>
      <c r="D551" s="0" t="s">
        <v>1847</v>
      </c>
      <c r="E551" s="0" t="s">
        <v>75</v>
      </c>
      <c r="F551" s="0" t="s">
        <v>15</v>
      </c>
      <c r="G551" s="0" t="s">
        <v>32</v>
      </c>
      <c r="H551" s="0" t="n">
        <v>49</v>
      </c>
      <c r="I551" s="0" t="s">
        <v>1848</v>
      </c>
      <c r="J551" s="0" t="s">
        <v>1849</v>
      </c>
      <c r="K551" s="0" t="s">
        <v>1850</v>
      </c>
      <c r="L551" s="0" t="str">
        <f aca="false">HYPERLINK("https://www.ncbi.nlm.nih.gov/nuccore/CP000058.1?report=graph&amp;tracks=[key:gene_model_track,Options:GeneOnly]&amp;mk=182932:182951|offset_49|00cc00,183013:183032|offset_130|444444,183041:183060|offset_158|444444,183065:183084|offset_182|444444&amp;v=182731:183284&amp;c=444444", "offset 49")</f>
        <v>offset 49</v>
      </c>
    </row>
    <row r="552" customFormat="false" ht="12.8" hidden="false" customHeight="false" outlineLevel="0" collapsed="false">
      <c r="A552" s="0" t="s">
        <v>12</v>
      </c>
      <c r="B552" s="0" t="n">
        <v>183012</v>
      </c>
      <c r="C552" s="0" t="n">
        <v>183032</v>
      </c>
      <c r="D552" s="0" t="s">
        <v>1847</v>
      </c>
      <c r="E552" s="0" t="s">
        <v>75</v>
      </c>
      <c r="F552" s="0" t="s">
        <v>15</v>
      </c>
      <c r="G552" s="0" t="s">
        <v>20</v>
      </c>
      <c r="H552" s="0" t="n">
        <v>130</v>
      </c>
      <c r="I552" s="0" t="s">
        <v>1851</v>
      </c>
      <c r="J552" s="0" t="s">
        <v>1852</v>
      </c>
      <c r="K552" s="0" t="s">
        <v>1853</v>
      </c>
      <c r="L552" s="0" t="str">
        <f aca="false">HYPERLINK("https://www.ncbi.nlm.nih.gov/nuccore/CP000058.1?report=graph&amp;tracks=[key:gene_model_track,Options:GeneOnly]&amp;mk=182932:182951|offset_49|444444,183013:183032|offset_130|00cc00,183041:183060|offset_158|444444,183065:183084|offset_182|444444&amp;v=182731:183284&amp;c=444444", "offset 130")</f>
        <v>offset 130</v>
      </c>
    </row>
    <row r="553" customFormat="false" ht="12.8" hidden="false" customHeight="false" outlineLevel="0" collapsed="false">
      <c r="A553" s="0" t="s">
        <v>12</v>
      </c>
      <c r="B553" s="0" t="n">
        <v>183040</v>
      </c>
      <c r="C553" s="0" t="n">
        <v>183060</v>
      </c>
      <c r="D553" s="0" t="s">
        <v>1847</v>
      </c>
      <c r="E553" s="0" t="s">
        <v>75</v>
      </c>
      <c r="F553" s="0" t="s">
        <v>15</v>
      </c>
      <c r="G553" s="0" t="s">
        <v>16</v>
      </c>
      <c r="H553" s="0" t="n">
        <v>158</v>
      </c>
      <c r="I553" s="0" t="s">
        <v>1854</v>
      </c>
      <c r="J553" s="0" t="s">
        <v>1855</v>
      </c>
      <c r="K553" s="0" t="s">
        <v>1856</v>
      </c>
      <c r="L553" s="0" t="str">
        <f aca="false">HYPERLINK("https://www.ncbi.nlm.nih.gov/nuccore/CP000058.1?report=graph&amp;tracks=[key:gene_model_track,Options:GeneOnly]&amp;mk=182932:182951|offset_49|444444,183013:183032|offset_130|444444,183041:183060|offset_158|00cc00,183065:183084|offset_182|444444&amp;v=182731:183284&amp;c=444444", "offset 158")</f>
        <v>offset 158</v>
      </c>
    </row>
    <row r="554" customFormat="false" ht="12.8" hidden="false" customHeight="false" outlineLevel="0" collapsed="false">
      <c r="A554" s="0" t="s">
        <v>12</v>
      </c>
      <c r="B554" s="0" t="n">
        <v>183064</v>
      </c>
      <c r="C554" s="0" t="n">
        <v>183084</v>
      </c>
      <c r="D554" s="0" t="s">
        <v>1847</v>
      </c>
      <c r="E554" s="0" t="s">
        <v>75</v>
      </c>
      <c r="F554" s="0" t="s">
        <v>15</v>
      </c>
      <c r="G554" s="0" t="s">
        <v>32</v>
      </c>
      <c r="H554" s="0" t="n">
        <v>182</v>
      </c>
      <c r="I554" s="0" t="s">
        <v>1857</v>
      </c>
      <c r="J554" s="0" t="s">
        <v>1858</v>
      </c>
      <c r="K554" s="0" t="s">
        <v>1859</v>
      </c>
      <c r="L554" s="0" t="str">
        <f aca="false">HYPERLINK("https://www.ncbi.nlm.nih.gov/nuccore/CP000058.1?report=graph&amp;tracks=[key:gene_model_track,Options:GeneOnly]&amp;mk=182932:182951|offset_49|444444,183013:183032|offset_130|444444,183041:183060|offset_158|444444,183065:183084|offset_182|00cc00&amp;v=182731:183284&amp;c=444444", "offset 182")</f>
        <v>offset 182</v>
      </c>
    </row>
    <row r="555" customFormat="false" ht="12.8" hidden="false" customHeight="false" outlineLevel="0" collapsed="false">
      <c r="A555" s="0" t="s">
        <v>12</v>
      </c>
      <c r="B555" s="0" t="n">
        <v>184701</v>
      </c>
      <c r="C555" s="0" t="n">
        <v>184721</v>
      </c>
      <c r="D555" s="0" t="s">
        <v>1860</v>
      </c>
      <c r="E555" s="0" t="s">
        <v>75</v>
      </c>
      <c r="F555" s="0" t="s">
        <v>90</v>
      </c>
      <c r="G555" s="0" t="s">
        <v>32</v>
      </c>
      <c r="H555" s="0" t="n">
        <v>0</v>
      </c>
      <c r="I555" s="0" t="s">
        <v>1861</v>
      </c>
      <c r="J555" s="0" t="s">
        <v>1862</v>
      </c>
      <c r="K555" s="0" t="s">
        <v>1863</v>
      </c>
      <c r="L555" s="0" t="str">
        <f aca="false">HYPERLINK("https://www.ncbi.nlm.nih.gov/nuccore/CP000058.1?report=graph&amp;tracks=[key:gene_model_track,Options:GeneOnly]&amp;mk=184702:184721|offset_0|00cc00,184672:184691|offset_30|444444,184627:184646|offset_75|444444,184581:184600|offset_121|444444&amp;v=184501:184800&amp;c=444444", "offset 0")</f>
        <v>offset 0</v>
      </c>
    </row>
    <row r="556" customFormat="false" ht="12.8" hidden="false" customHeight="false" outlineLevel="0" collapsed="false">
      <c r="A556" s="0" t="s">
        <v>12</v>
      </c>
      <c r="B556" s="0" t="n">
        <v>184671</v>
      </c>
      <c r="C556" s="0" t="n">
        <v>184691</v>
      </c>
      <c r="D556" s="0" t="s">
        <v>1860</v>
      </c>
      <c r="E556" s="0" t="s">
        <v>75</v>
      </c>
      <c r="F556" s="0" t="s">
        <v>90</v>
      </c>
      <c r="G556" s="0" t="s">
        <v>36</v>
      </c>
      <c r="H556" s="0" t="n">
        <v>30</v>
      </c>
      <c r="I556" s="0" t="s">
        <v>1864</v>
      </c>
      <c r="J556" s="0" t="s">
        <v>1865</v>
      </c>
      <c r="K556" s="0" t="s">
        <v>1866</v>
      </c>
      <c r="L556" s="0" t="str">
        <f aca="false">HYPERLINK("https://www.ncbi.nlm.nih.gov/nuccore/CP000058.1?report=graph&amp;tracks=[key:gene_model_track,Options:GeneOnly]&amp;mk=184702:184721|offset_0|444444,184672:184691|offset_30|00cc00,184627:184646|offset_75|444444,184581:184600|offset_121|444444&amp;v=184501:184800&amp;c=444444", "offset 30")</f>
        <v>offset 30</v>
      </c>
    </row>
    <row r="557" customFormat="false" ht="12.8" hidden="false" customHeight="false" outlineLevel="0" collapsed="false">
      <c r="A557" s="0" t="s">
        <v>12</v>
      </c>
      <c r="B557" s="0" t="n">
        <v>184626</v>
      </c>
      <c r="C557" s="0" t="n">
        <v>184646</v>
      </c>
      <c r="D557" s="0" t="s">
        <v>1860</v>
      </c>
      <c r="E557" s="0" t="s">
        <v>75</v>
      </c>
      <c r="F557" s="0" t="s">
        <v>90</v>
      </c>
      <c r="G557" s="0" t="s">
        <v>36</v>
      </c>
      <c r="H557" s="0" t="n">
        <v>75</v>
      </c>
      <c r="I557" s="0" t="s">
        <v>1867</v>
      </c>
      <c r="J557" s="0" t="s">
        <v>1868</v>
      </c>
      <c r="K557" s="0" t="s">
        <v>1869</v>
      </c>
      <c r="L557" s="0" t="str">
        <f aca="false">HYPERLINK("https://www.ncbi.nlm.nih.gov/nuccore/CP000058.1?report=graph&amp;tracks=[key:gene_model_track,Options:GeneOnly]&amp;mk=184702:184721|offset_0|444444,184672:184691|offset_30|444444,184627:184646|offset_75|00cc00,184581:184600|offset_121|444444&amp;v=184501:184800&amp;c=444444", "offset 75")</f>
        <v>offset 75</v>
      </c>
    </row>
    <row r="558" customFormat="false" ht="12.8" hidden="false" customHeight="false" outlineLevel="0" collapsed="false">
      <c r="A558" s="0" t="s">
        <v>12</v>
      </c>
      <c r="B558" s="0" t="n">
        <v>184580</v>
      </c>
      <c r="C558" s="0" t="n">
        <v>184600</v>
      </c>
      <c r="D558" s="0" t="s">
        <v>1860</v>
      </c>
      <c r="E558" s="0" t="s">
        <v>75</v>
      </c>
      <c r="F558" s="0" t="s">
        <v>90</v>
      </c>
      <c r="G558" s="0" t="s">
        <v>32</v>
      </c>
      <c r="H558" s="0" t="n">
        <v>121</v>
      </c>
      <c r="I558" s="0" t="s">
        <v>1870</v>
      </c>
      <c r="J558" s="0" t="s">
        <v>1871</v>
      </c>
      <c r="K558" s="0" t="s">
        <v>1872</v>
      </c>
      <c r="L558" s="0" t="str">
        <f aca="false">HYPERLINK("https://www.ncbi.nlm.nih.gov/nuccore/CP000058.1?report=graph&amp;tracks=[key:gene_model_track,Options:GeneOnly]&amp;mk=184702:184721|offset_0|444444,184672:184691|offset_30|444444,184627:184646|offset_75|444444,184581:184600|offset_121|00cc00&amp;v=184501:184800&amp;c=444444", "offset 121")</f>
        <v>offset 121</v>
      </c>
    </row>
    <row r="559" customFormat="false" ht="12.8" hidden="false" customHeight="false" outlineLevel="0" collapsed="false">
      <c r="A559" s="0" t="s">
        <v>12</v>
      </c>
      <c r="B559" s="0" t="n">
        <v>184859</v>
      </c>
      <c r="C559" s="0" t="n">
        <v>184879</v>
      </c>
      <c r="D559" s="0" t="s">
        <v>1873</v>
      </c>
      <c r="E559" s="0" t="s">
        <v>75</v>
      </c>
      <c r="F559" s="0" t="s">
        <v>15</v>
      </c>
      <c r="G559" s="0" t="s">
        <v>36</v>
      </c>
      <c r="H559" s="0" t="n">
        <v>14</v>
      </c>
      <c r="I559" s="0" t="s">
        <v>1874</v>
      </c>
      <c r="J559" s="0" t="s">
        <v>1875</v>
      </c>
      <c r="K559" s="0" t="s">
        <v>1876</v>
      </c>
      <c r="L559" s="0" t="str">
        <f aca="false">HYPERLINK("https://www.ncbi.nlm.nih.gov/nuccore/CP000058.1?report=graph&amp;tracks=[key:gene_model_track,Options:GeneOnly]&amp;mk=184860:184879|offset_14|00cc00,184881:184900|offset_35|444444,184915:184934|offset_69|444444,184935:184954|offset_89|444444&amp;v=184659:185154&amp;c=444444", "offset 14")</f>
        <v>offset 14</v>
      </c>
    </row>
    <row r="560" customFormat="false" ht="12.8" hidden="false" customHeight="false" outlineLevel="0" collapsed="false">
      <c r="A560" s="0" t="s">
        <v>12</v>
      </c>
      <c r="B560" s="0" t="n">
        <v>184880</v>
      </c>
      <c r="C560" s="0" t="n">
        <v>184900</v>
      </c>
      <c r="D560" s="0" t="s">
        <v>1873</v>
      </c>
      <c r="E560" s="0" t="s">
        <v>75</v>
      </c>
      <c r="F560" s="0" t="s">
        <v>15</v>
      </c>
      <c r="G560" s="0" t="s">
        <v>20</v>
      </c>
      <c r="H560" s="0" t="n">
        <v>35</v>
      </c>
      <c r="I560" s="0" t="s">
        <v>1877</v>
      </c>
      <c r="J560" s="0" t="s">
        <v>1878</v>
      </c>
      <c r="K560" s="0" t="s">
        <v>1879</v>
      </c>
      <c r="L560" s="0" t="str">
        <f aca="false">HYPERLINK("https://www.ncbi.nlm.nih.gov/nuccore/CP000058.1?report=graph&amp;tracks=[key:gene_model_track,Options:GeneOnly]&amp;mk=184860:184879|offset_14|444444,184881:184900|offset_35|00cc00,184915:184934|offset_69|444444,184935:184954|offset_89|444444&amp;v=184659:185154&amp;c=444444", "offset 35")</f>
        <v>offset 35</v>
      </c>
    </row>
    <row r="561" customFormat="false" ht="12.8" hidden="false" customHeight="false" outlineLevel="0" collapsed="false">
      <c r="A561" s="0" t="s">
        <v>12</v>
      </c>
      <c r="B561" s="0" t="n">
        <v>184914</v>
      </c>
      <c r="C561" s="0" t="n">
        <v>184934</v>
      </c>
      <c r="D561" s="0" t="s">
        <v>1873</v>
      </c>
      <c r="E561" s="0" t="s">
        <v>75</v>
      </c>
      <c r="F561" s="0" t="s">
        <v>15</v>
      </c>
      <c r="G561" s="0" t="s">
        <v>32</v>
      </c>
      <c r="H561" s="0" t="n">
        <v>69</v>
      </c>
      <c r="I561" s="0" t="s">
        <v>1880</v>
      </c>
      <c r="J561" s="0" t="s">
        <v>1881</v>
      </c>
      <c r="K561" s="0" t="s">
        <v>1882</v>
      </c>
      <c r="L561" s="0" t="str">
        <f aca="false">HYPERLINK("https://www.ncbi.nlm.nih.gov/nuccore/CP000058.1?report=graph&amp;tracks=[key:gene_model_track,Options:GeneOnly]&amp;mk=184860:184879|offset_14|444444,184881:184900|offset_35|444444,184915:184934|offset_69|00cc00,184935:184954|offset_89|444444&amp;v=184659:185154&amp;c=444444", "offset 69")</f>
        <v>offset 69</v>
      </c>
    </row>
    <row r="562" customFormat="false" ht="12.8" hidden="false" customHeight="false" outlineLevel="0" collapsed="false">
      <c r="A562" s="0" t="s">
        <v>12</v>
      </c>
      <c r="B562" s="0" t="n">
        <v>184934</v>
      </c>
      <c r="C562" s="0" t="n">
        <v>184954</v>
      </c>
      <c r="D562" s="0" t="s">
        <v>1873</v>
      </c>
      <c r="E562" s="0" t="s">
        <v>75</v>
      </c>
      <c r="F562" s="0" t="s">
        <v>15</v>
      </c>
      <c r="G562" s="0" t="s">
        <v>36</v>
      </c>
      <c r="H562" s="0" t="n">
        <v>89</v>
      </c>
      <c r="I562" s="0" t="s">
        <v>1883</v>
      </c>
      <c r="J562" s="0" t="s">
        <v>1884</v>
      </c>
      <c r="K562" s="0" t="s">
        <v>1885</v>
      </c>
      <c r="L562" s="0" t="str">
        <f aca="false">HYPERLINK("https://www.ncbi.nlm.nih.gov/nuccore/CP000058.1?report=graph&amp;tracks=[key:gene_model_track,Options:GeneOnly]&amp;mk=184860:184879|offset_14|444444,184881:184900|offset_35|444444,184915:184934|offset_69|444444,184935:184954|offset_89|00cc00&amp;v=184659:185154&amp;c=444444", "offset 89")</f>
        <v>offset 89</v>
      </c>
    </row>
    <row r="563" customFormat="false" ht="12.8" hidden="false" customHeight="false" outlineLevel="0" collapsed="false">
      <c r="A563" s="0" t="s">
        <v>12</v>
      </c>
      <c r="B563" s="0" t="n">
        <v>185500</v>
      </c>
      <c r="C563" s="0" t="n">
        <v>185520</v>
      </c>
      <c r="D563" s="0" t="s">
        <v>1886</v>
      </c>
      <c r="E563" s="0" t="s">
        <v>75</v>
      </c>
      <c r="F563" s="0" t="s">
        <v>15</v>
      </c>
      <c r="G563" s="0" t="s">
        <v>16</v>
      </c>
      <c r="H563" s="0" t="n">
        <v>6</v>
      </c>
      <c r="I563" s="0" t="s">
        <v>1887</v>
      </c>
      <c r="J563" s="0" t="s">
        <v>1888</v>
      </c>
      <c r="K563" s="0" t="s">
        <v>1889</v>
      </c>
      <c r="L563" s="0" t="str">
        <f aca="false">HYPERLINK("https://www.ncbi.nlm.nih.gov/nuccore/CP000058.1?report=graph&amp;tracks=[key:gene_model_track,Options:GeneOnly]&amp;mk=185501:185520|offset_6|00cc00,185522:185541|offset_27|444444,185545:185564|offset_50|444444,185565:185584|offset_70|444444&amp;v=185300:185784&amp;c=444444", "offset 6")</f>
        <v>offset 6</v>
      </c>
    </row>
    <row r="564" customFormat="false" ht="12.8" hidden="false" customHeight="false" outlineLevel="0" collapsed="false">
      <c r="A564" s="0" t="s">
        <v>12</v>
      </c>
      <c r="B564" s="0" t="n">
        <v>185521</v>
      </c>
      <c r="C564" s="0" t="n">
        <v>185541</v>
      </c>
      <c r="D564" s="0" t="s">
        <v>1886</v>
      </c>
      <c r="E564" s="0" t="s">
        <v>75</v>
      </c>
      <c r="F564" s="0" t="s">
        <v>15</v>
      </c>
      <c r="G564" s="0" t="s">
        <v>36</v>
      </c>
      <c r="H564" s="0" t="n">
        <v>27</v>
      </c>
      <c r="I564" s="0" t="s">
        <v>1890</v>
      </c>
      <c r="J564" s="0" t="s">
        <v>1891</v>
      </c>
      <c r="K564" s="0" t="s">
        <v>1892</v>
      </c>
      <c r="L564" s="0" t="str">
        <f aca="false">HYPERLINK("https://www.ncbi.nlm.nih.gov/nuccore/CP000058.1?report=graph&amp;tracks=[key:gene_model_track,Options:GeneOnly]&amp;mk=185501:185520|offset_6|444444,185522:185541|offset_27|00cc00,185545:185564|offset_50|444444,185565:185584|offset_70|444444&amp;v=185300:185784&amp;c=444444", "offset 27")</f>
        <v>offset 27</v>
      </c>
    </row>
    <row r="565" customFormat="false" ht="12.8" hidden="false" customHeight="false" outlineLevel="0" collapsed="false">
      <c r="A565" s="0" t="s">
        <v>12</v>
      </c>
      <c r="B565" s="0" t="n">
        <v>185544</v>
      </c>
      <c r="C565" s="0" t="n">
        <v>185564</v>
      </c>
      <c r="D565" s="0" t="s">
        <v>1886</v>
      </c>
      <c r="E565" s="0" t="s">
        <v>75</v>
      </c>
      <c r="F565" s="0" t="s">
        <v>15</v>
      </c>
      <c r="G565" s="0" t="s">
        <v>32</v>
      </c>
      <c r="H565" s="0" t="n">
        <v>50</v>
      </c>
      <c r="I565" s="0" t="s">
        <v>1893</v>
      </c>
      <c r="J565" s="0" t="s">
        <v>1894</v>
      </c>
      <c r="K565" s="0" t="s">
        <v>1895</v>
      </c>
      <c r="L565" s="0" t="str">
        <f aca="false">HYPERLINK("https://www.ncbi.nlm.nih.gov/nuccore/CP000058.1?report=graph&amp;tracks=[key:gene_model_track,Options:GeneOnly]&amp;mk=185501:185520|offset_6|444444,185522:185541|offset_27|444444,185545:185564|offset_50|00cc00,185565:185584|offset_70|444444&amp;v=185300:185784&amp;c=444444", "offset 50")</f>
        <v>offset 50</v>
      </c>
    </row>
    <row r="566" customFormat="false" ht="12.8" hidden="false" customHeight="false" outlineLevel="0" collapsed="false">
      <c r="A566" s="0" t="s">
        <v>12</v>
      </c>
      <c r="B566" s="0" t="n">
        <v>185564</v>
      </c>
      <c r="C566" s="0" t="n">
        <v>185584</v>
      </c>
      <c r="D566" s="0" t="s">
        <v>1886</v>
      </c>
      <c r="E566" s="0" t="s">
        <v>75</v>
      </c>
      <c r="F566" s="0" t="s">
        <v>15</v>
      </c>
      <c r="G566" s="0" t="s">
        <v>20</v>
      </c>
      <c r="H566" s="0" t="n">
        <v>70</v>
      </c>
      <c r="I566" s="0" t="s">
        <v>1896</v>
      </c>
      <c r="J566" s="0" t="s">
        <v>1897</v>
      </c>
      <c r="K566" s="0" t="s">
        <v>1898</v>
      </c>
      <c r="L566" s="0" t="str">
        <f aca="false">HYPERLINK("https://www.ncbi.nlm.nih.gov/nuccore/CP000058.1?report=graph&amp;tracks=[key:gene_model_track,Options:GeneOnly]&amp;mk=185501:185520|offset_6|444444,185522:185541|offset_27|444444,185545:185564|offset_50|444444,185565:185584|offset_70|00cc00&amp;v=185300:185784&amp;c=444444", "offset 70")</f>
        <v>offset 70</v>
      </c>
    </row>
    <row r="567" customFormat="false" ht="12.8" hidden="false" customHeight="false" outlineLevel="0" collapsed="false">
      <c r="A567" s="0" t="s">
        <v>12</v>
      </c>
      <c r="B567" s="0" t="n">
        <v>186209</v>
      </c>
      <c r="C567" s="0" t="n">
        <v>186229</v>
      </c>
      <c r="D567" s="0" t="s">
        <v>1899</v>
      </c>
      <c r="E567" s="0" t="s">
        <v>1900</v>
      </c>
      <c r="F567" s="0" t="s">
        <v>15</v>
      </c>
      <c r="G567" s="0" t="s">
        <v>36</v>
      </c>
      <c r="H567" s="0" t="n">
        <v>79</v>
      </c>
      <c r="I567" s="0" t="s">
        <v>1901</v>
      </c>
      <c r="J567" s="0" t="s">
        <v>1902</v>
      </c>
      <c r="K567" s="0" t="s">
        <v>1903</v>
      </c>
      <c r="L567" s="0" t="str">
        <f aca="false">HYPERLINK("https://www.ncbi.nlm.nih.gov/nuccore/CP000058.1?report=graph&amp;tracks=[key:gene_model_track,Options:GeneOnly]&amp;mk=186210:186229|offset_79|00cc00,186234:186253|offset_103|444444,186266:186285|offset_135|444444,186328:186347|offset_197|444444&amp;v=186009:186547&amp;c=444444", "offset 79")</f>
        <v>offset 79</v>
      </c>
    </row>
    <row r="568" customFormat="false" ht="12.8" hidden="false" customHeight="false" outlineLevel="0" collapsed="false">
      <c r="A568" s="0" t="s">
        <v>12</v>
      </c>
      <c r="B568" s="0" t="n">
        <v>186233</v>
      </c>
      <c r="C568" s="0" t="n">
        <v>186253</v>
      </c>
      <c r="D568" s="0" t="s">
        <v>1899</v>
      </c>
      <c r="E568" s="0" t="s">
        <v>1900</v>
      </c>
      <c r="F568" s="0" t="s">
        <v>15</v>
      </c>
      <c r="G568" s="0" t="s">
        <v>36</v>
      </c>
      <c r="H568" s="0" t="n">
        <v>103</v>
      </c>
      <c r="I568" s="0" t="s">
        <v>1904</v>
      </c>
      <c r="J568" s="0" t="s">
        <v>1905</v>
      </c>
      <c r="K568" s="0" t="s">
        <v>1906</v>
      </c>
      <c r="L568" s="0" t="str">
        <f aca="false">HYPERLINK("https://www.ncbi.nlm.nih.gov/nuccore/CP000058.1?report=graph&amp;tracks=[key:gene_model_track,Options:GeneOnly]&amp;mk=186210:186229|offset_79|444444,186234:186253|offset_103|00cc00,186266:186285|offset_135|444444,186328:186347|offset_197|444444&amp;v=186009:186547&amp;c=444444", "offset 103")</f>
        <v>offset 103</v>
      </c>
    </row>
    <row r="569" customFormat="false" ht="12.8" hidden="false" customHeight="false" outlineLevel="0" collapsed="false">
      <c r="A569" s="0" t="s">
        <v>12</v>
      </c>
      <c r="B569" s="0" t="n">
        <v>186265</v>
      </c>
      <c r="C569" s="0" t="n">
        <v>186285</v>
      </c>
      <c r="D569" s="0" t="s">
        <v>1899</v>
      </c>
      <c r="E569" s="0" t="s">
        <v>1900</v>
      </c>
      <c r="F569" s="0" t="s">
        <v>15</v>
      </c>
      <c r="G569" s="0" t="s">
        <v>36</v>
      </c>
      <c r="H569" s="0" t="n">
        <v>135</v>
      </c>
      <c r="I569" s="0" t="s">
        <v>1907</v>
      </c>
      <c r="J569" s="0" t="s">
        <v>1908</v>
      </c>
      <c r="K569" s="0" t="s">
        <v>1909</v>
      </c>
      <c r="L569" s="0" t="str">
        <f aca="false">HYPERLINK("https://www.ncbi.nlm.nih.gov/nuccore/CP000058.1?report=graph&amp;tracks=[key:gene_model_track,Options:GeneOnly]&amp;mk=186210:186229|offset_79|444444,186234:186253|offset_103|444444,186266:186285|offset_135|00cc00,186328:186347|offset_197|444444&amp;v=186009:186547&amp;c=444444", "offset 135")</f>
        <v>offset 135</v>
      </c>
    </row>
    <row r="570" customFormat="false" ht="12.8" hidden="false" customHeight="false" outlineLevel="0" collapsed="false">
      <c r="A570" s="0" t="s">
        <v>12</v>
      </c>
      <c r="B570" s="0" t="n">
        <v>186327</v>
      </c>
      <c r="C570" s="0" t="n">
        <v>186347</v>
      </c>
      <c r="D570" s="0" t="s">
        <v>1899</v>
      </c>
      <c r="E570" s="0" t="s">
        <v>1900</v>
      </c>
      <c r="F570" s="0" t="s">
        <v>15</v>
      </c>
      <c r="G570" s="0" t="s">
        <v>20</v>
      </c>
      <c r="H570" s="0" t="n">
        <v>197</v>
      </c>
      <c r="I570" s="0" t="s">
        <v>1910</v>
      </c>
      <c r="J570" s="0" t="s">
        <v>1911</v>
      </c>
      <c r="K570" s="0" t="s">
        <v>1912</v>
      </c>
      <c r="L570" s="0" t="str">
        <f aca="false">HYPERLINK("https://www.ncbi.nlm.nih.gov/nuccore/CP000058.1?report=graph&amp;tracks=[key:gene_model_track,Options:GeneOnly]&amp;mk=186210:186229|offset_79|444444,186234:186253|offset_103|444444,186266:186285|offset_135|444444,186328:186347|offset_197|00cc00&amp;v=186009:186547&amp;c=444444", "offset 197")</f>
        <v>offset 197</v>
      </c>
    </row>
    <row r="571" customFormat="false" ht="12.8" hidden="false" customHeight="false" outlineLevel="0" collapsed="false">
      <c r="A571" s="0" t="s">
        <v>12</v>
      </c>
      <c r="B571" s="0" t="n">
        <v>186373</v>
      </c>
      <c r="C571" s="0" t="n">
        <v>186393</v>
      </c>
      <c r="D571" s="0" t="s">
        <v>1913</v>
      </c>
      <c r="E571" s="0" t="s">
        <v>1914</v>
      </c>
      <c r="F571" s="0" t="s">
        <v>15</v>
      </c>
      <c r="G571" s="0" t="s">
        <v>20</v>
      </c>
      <c r="H571" s="0" t="n">
        <v>14</v>
      </c>
      <c r="I571" s="0" t="s">
        <v>1915</v>
      </c>
      <c r="J571" s="0" t="s">
        <v>1916</v>
      </c>
      <c r="K571" s="0" t="s">
        <v>1917</v>
      </c>
      <c r="L571" s="0" t="str">
        <f aca="false">HYPERLINK("https://www.ncbi.nlm.nih.gov/nuccore/CP000058.1?report=graph&amp;tracks=[key:gene_model_track,Options:GeneOnly]&amp;mk=186374:186393|offset_14|00cc00,186424:186443|offset_64|444444,186471:186490|offset_111|444444,186504:186523|offset_144|444444&amp;v=186173:186723&amp;c=444444", "offset 14")</f>
        <v>offset 14</v>
      </c>
    </row>
    <row r="572" customFormat="false" ht="12.8" hidden="false" customHeight="false" outlineLevel="0" collapsed="false">
      <c r="A572" s="0" t="s">
        <v>12</v>
      </c>
      <c r="B572" s="0" t="n">
        <v>186423</v>
      </c>
      <c r="C572" s="0" t="n">
        <v>186443</v>
      </c>
      <c r="D572" s="0" t="s">
        <v>1913</v>
      </c>
      <c r="E572" s="0" t="s">
        <v>1914</v>
      </c>
      <c r="F572" s="0" t="s">
        <v>15</v>
      </c>
      <c r="G572" s="0" t="s">
        <v>16</v>
      </c>
      <c r="H572" s="0" t="n">
        <v>64</v>
      </c>
      <c r="I572" s="0" t="s">
        <v>1918</v>
      </c>
      <c r="J572" s="0" t="s">
        <v>1919</v>
      </c>
      <c r="K572" s="0" t="s">
        <v>1920</v>
      </c>
      <c r="L572" s="0" t="str">
        <f aca="false">HYPERLINK("https://www.ncbi.nlm.nih.gov/nuccore/CP000058.1?report=graph&amp;tracks=[key:gene_model_track,Options:GeneOnly]&amp;mk=186374:186393|offset_14|444444,186424:186443|offset_64|00cc00,186471:186490|offset_111|444444,186504:186523|offset_144|444444&amp;v=186173:186723&amp;c=444444", "offset 64")</f>
        <v>offset 64</v>
      </c>
    </row>
    <row r="573" customFormat="false" ht="12.8" hidden="false" customHeight="false" outlineLevel="0" collapsed="false">
      <c r="A573" s="0" t="s">
        <v>12</v>
      </c>
      <c r="B573" s="0" t="n">
        <v>186470</v>
      </c>
      <c r="C573" s="0" t="n">
        <v>186490</v>
      </c>
      <c r="D573" s="0" t="s">
        <v>1913</v>
      </c>
      <c r="E573" s="0" t="s">
        <v>1914</v>
      </c>
      <c r="F573" s="0" t="s">
        <v>15</v>
      </c>
      <c r="G573" s="0" t="s">
        <v>16</v>
      </c>
      <c r="H573" s="0" t="n">
        <v>111</v>
      </c>
      <c r="I573" s="0" t="s">
        <v>1921</v>
      </c>
      <c r="J573" s="0" t="s">
        <v>1922</v>
      </c>
      <c r="K573" s="0" t="s">
        <v>1923</v>
      </c>
      <c r="L573" s="0" t="str">
        <f aca="false">HYPERLINK("https://www.ncbi.nlm.nih.gov/nuccore/CP000058.1?report=graph&amp;tracks=[key:gene_model_track,Options:GeneOnly]&amp;mk=186374:186393|offset_14|444444,186424:186443|offset_64|444444,186471:186490|offset_111|00cc00,186504:186523|offset_144|444444&amp;v=186173:186723&amp;c=444444", "offset 111")</f>
        <v>offset 111</v>
      </c>
    </row>
    <row r="574" customFormat="false" ht="12.8" hidden="false" customHeight="false" outlineLevel="0" collapsed="false">
      <c r="A574" s="0" t="s">
        <v>12</v>
      </c>
      <c r="B574" s="0" t="n">
        <v>186503</v>
      </c>
      <c r="C574" s="0" t="n">
        <v>186523</v>
      </c>
      <c r="D574" s="0" t="s">
        <v>1913</v>
      </c>
      <c r="E574" s="0" t="s">
        <v>1914</v>
      </c>
      <c r="F574" s="0" t="s">
        <v>15</v>
      </c>
      <c r="G574" s="0" t="s">
        <v>20</v>
      </c>
      <c r="H574" s="0" t="n">
        <v>144</v>
      </c>
      <c r="I574" s="0" t="s">
        <v>1924</v>
      </c>
      <c r="J574" s="0" t="s">
        <v>1925</v>
      </c>
      <c r="K574" s="0" t="s">
        <v>1926</v>
      </c>
      <c r="L574" s="0" t="str">
        <f aca="false">HYPERLINK("https://www.ncbi.nlm.nih.gov/nuccore/CP000058.1?report=graph&amp;tracks=[key:gene_model_track,Options:GeneOnly]&amp;mk=186374:186393|offset_14|444444,186424:186443|offset_64|444444,186471:186490|offset_111|444444,186504:186523|offset_144|00cc00&amp;v=186173:186723&amp;c=444444", "offset 144")</f>
        <v>offset 144</v>
      </c>
    </row>
    <row r="575" customFormat="false" ht="12.8" hidden="false" customHeight="false" outlineLevel="0" collapsed="false">
      <c r="A575" s="0" t="s">
        <v>12</v>
      </c>
      <c r="B575" s="0" t="n">
        <v>187139</v>
      </c>
      <c r="C575" s="0" t="n">
        <v>187159</v>
      </c>
      <c r="D575" s="0" t="s">
        <v>1927</v>
      </c>
      <c r="E575" s="0" t="s">
        <v>75</v>
      </c>
      <c r="F575" s="0" t="s">
        <v>15</v>
      </c>
      <c r="G575" s="0" t="s">
        <v>32</v>
      </c>
      <c r="H575" s="0" t="n">
        <v>373</v>
      </c>
      <c r="I575" s="0" t="s">
        <v>1928</v>
      </c>
      <c r="J575" s="0" t="s">
        <v>1929</v>
      </c>
      <c r="K575" s="0" t="s">
        <v>1930</v>
      </c>
      <c r="L575" s="0" t="str">
        <f aca="false">HYPERLINK("https://www.ncbi.nlm.nih.gov/nuccore/CP000058.1?report=graph&amp;tracks=[key:gene_model_track,Options:GeneOnly]&amp;mk=187140:187159|offset_373|00cc00&amp;v=186939:187359&amp;c=444444", "offset 373")</f>
        <v>offset 373</v>
      </c>
    </row>
    <row r="576" customFormat="false" ht="12.8" hidden="false" customHeight="false" outlineLevel="0" collapsed="false">
      <c r="A576" s="0" t="s">
        <v>12</v>
      </c>
      <c r="B576" s="0" t="n">
        <v>189332</v>
      </c>
      <c r="C576" s="0" t="n">
        <v>189352</v>
      </c>
      <c r="D576" s="0" t="s">
        <v>1931</v>
      </c>
      <c r="E576" s="0" t="s">
        <v>75</v>
      </c>
      <c r="F576" s="0" t="s">
        <v>15</v>
      </c>
      <c r="G576" s="0" t="s">
        <v>32</v>
      </c>
      <c r="H576" s="0" t="n">
        <v>127</v>
      </c>
      <c r="I576" s="0" t="s">
        <v>1932</v>
      </c>
      <c r="J576" s="0" t="s">
        <v>1933</v>
      </c>
      <c r="K576" s="0" t="s">
        <v>1934</v>
      </c>
      <c r="L576" s="0" t="str">
        <f aca="false">HYPERLINK("https://www.ncbi.nlm.nih.gov/nuccore/CP000058.1?report=graph&amp;tracks=[key:gene_model_track,Options:GeneOnly]&amp;mk=189333:189352|offset_127|00cc00,189354:189373|offset_148|444444,189408:189427|offset_202|444444,189444:189463|offset_238|444444&amp;v=189132:189663&amp;c=444444", "offset 127")</f>
        <v>offset 127</v>
      </c>
    </row>
    <row r="577" customFormat="false" ht="12.8" hidden="false" customHeight="false" outlineLevel="0" collapsed="false">
      <c r="A577" s="0" t="s">
        <v>12</v>
      </c>
      <c r="B577" s="0" t="n">
        <v>189353</v>
      </c>
      <c r="C577" s="0" t="n">
        <v>189373</v>
      </c>
      <c r="D577" s="0" t="s">
        <v>1931</v>
      </c>
      <c r="E577" s="0" t="s">
        <v>75</v>
      </c>
      <c r="F577" s="0" t="s">
        <v>15</v>
      </c>
      <c r="G577" s="0" t="s">
        <v>16</v>
      </c>
      <c r="H577" s="0" t="n">
        <v>148</v>
      </c>
      <c r="I577" s="0" t="s">
        <v>1935</v>
      </c>
      <c r="J577" s="0" t="s">
        <v>1936</v>
      </c>
      <c r="K577" s="0" t="s">
        <v>1937</v>
      </c>
      <c r="L577" s="0" t="str">
        <f aca="false">HYPERLINK("https://www.ncbi.nlm.nih.gov/nuccore/CP000058.1?report=graph&amp;tracks=[key:gene_model_track,Options:GeneOnly]&amp;mk=189333:189352|offset_127|444444,189354:189373|offset_148|00cc00,189408:189427|offset_202|444444,189444:189463|offset_238|444444&amp;v=189132:189663&amp;c=444444", "offset 148")</f>
        <v>offset 148</v>
      </c>
    </row>
    <row r="578" customFormat="false" ht="12.8" hidden="false" customHeight="false" outlineLevel="0" collapsed="false">
      <c r="A578" s="0" t="s">
        <v>12</v>
      </c>
      <c r="B578" s="0" t="n">
        <v>189407</v>
      </c>
      <c r="C578" s="0" t="n">
        <v>189427</v>
      </c>
      <c r="D578" s="0" t="s">
        <v>1931</v>
      </c>
      <c r="E578" s="0" t="s">
        <v>75</v>
      </c>
      <c r="F578" s="0" t="s">
        <v>15</v>
      </c>
      <c r="G578" s="0" t="s">
        <v>32</v>
      </c>
      <c r="H578" s="0" t="n">
        <v>202</v>
      </c>
      <c r="I578" s="0" t="s">
        <v>1938</v>
      </c>
      <c r="J578" s="0" t="s">
        <v>1939</v>
      </c>
      <c r="K578" s="0" t="s">
        <v>1940</v>
      </c>
      <c r="L578" s="0" t="str">
        <f aca="false">HYPERLINK("https://www.ncbi.nlm.nih.gov/nuccore/CP000058.1?report=graph&amp;tracks=[key:gene_model_track,Options:GeneOnly]&amp;mk=189333:189352|offset_127|444444,189354:189373|offset_148|444444,189408:189427|offset_202|00cc00,189444:189463|offset_238|444444&amp;v=189132:189663&amp;c=444444", "offset 202")</f>
        <v>offset 202</v>
      </c>
    </row>
    <row r="579" customFormat="false" ht="12.8" hidden="false" customHeight="false" outlineLevel="0" collapsed="false">
      <c r="A579" s="0" t="s">
        <v>12</v>
      </c>
      <c r="B579" s="0" t="n">
        <v>189443</v>
      </c>
      <c r="C579" s="0" t="n">
        <v>189463</v>
      </c>
      <c r="D579" s="0" t="s">
        <v>1931</v>
      </c>
      <c r="E579" s="0" t="s">
        <v>75</v>
      </c>
      <c r="F579" s="0" t="s">
        <v>15</v>
      </c>
      <c r="G579" s="0" t="s">
        <v>36</v>
      </c>
      <c r="H579" s="0" t="n">
        <v>238</v>
      </c>
      <c r="I579" s="0" t="s">
        <v>1941</v>
      </c>
      <c r="J579" s="0" t="s">
        <v>1942</v>
      </c>
      <c r="K579" s="0" t="s">
        <v>1943</v>
      </c>
      <c r="L579" s="0" t="str">
        <f aca="false">HYPERLINK("https://www.ncbi.nlm.nih.gov/nuccore/CP000058.1?report=graph&amp;tracks=[key:gene_model_track,Options:GeneOnly]&amp;mk=189333:189352|offset_127|444444,189354:189373|offset_148|444444,189408:189427|offset_202|444444,189444:189463|offset_238|00cc00&amp;v=189132:189663&amp;c=444444", "offset 238")</f>
        <v>offset 238</v>
      </c>
    </row>
    <row r="580" customFormat="false" ht="12.8" hidden="false" customHeight="false" outlineLevel="0" collapsed="false">
      <c r="A580" s="0" t="s">
        <v>12</v>
      </c>
      <c r="B580" s="0" t="n">
        <v>189744</v>
      </c>
      <c r="C580" s="0" t="n">
        <v>189764</v>
      </c>
      <c r="D580" s="0" t="s">
        <v>1944</v>
      </c>
      <c r="E580" s="0" t="s">
        <v>75</v>
      </c>
      <c r="F580" s="0" t="s">
        <v>15</v>
      </c>
      <c r="G580" s="0" t="s">
        <v>20</v>
      </c>
      <c r="H580" s="0" t="n">
        <v>32</v>
      </c>
      <c r="I580" s="0" t="s">
        <v>1945</v>
      </c>
      <c r="J580" s="0" t="s">
        <v>1946</v>
      </c>
      <c r="K580" s="0" t="s">
        <v>1947</v>
      </c>
      <c r="L580" s="0" t="str">
        <f aca="false">HYPERLINK("https://www.ncbi.nlm.nih.gov/nuccore/CP000058.1?report=graph&amp;tracks=[key:gene_model_track,Options:GeneOnly]&amp;mk=189745:189764|offset_32|00cc00,189786:189805|offset_73|444444,189814:189833|offset_101|444444,189861:189880|offset_148|444444&amp;v=189544:190080&amp;c=444444", "offset 32")</f>
        <v>offset 32</v>
      </c>
    </row>
    <row r="581" customFormat="false" ht="12.8" hidden="false" customHeight="false" outlineLevel="0" collapsed="false">
      <c r="A581" s="0" t="s">
        <v>12</v>
      </c>
      <c r="B581" s="0" t="n">
        <v>189785</v>
      </c>
      <c r="C581" s="0" t="n">
        <v>189805</v>
      </c>
      <c r="D581" s="0" t="s">
        <v>1944</v>
      </c>
      <c r="E581" s="0" t="s">
        <v>75</v>
      </c>
      <c r="F581" s="0" t="s">
        <v>15</v>
      </c>
      <c r="G581" s="0" t="s">
        <v>36</v>
      </c>
      <c r="H581" s="0" t="n">
        <v>73</v>
      </c>
      <c r="I581" s="0" t="s">
        <v>1948</v>
      </c>
      <c r="J581" s="0" t="s">
        <v>1949</v>
      </c>
      <c r="K581" s="0" t="s">
        <v>1950</v>
      </c>
      <c r="L581" s="0" t="str">
        <f aca="false">HYPERLINK("https://www.ncbi.nlm.nih.gov/nuccore/CP000058.1?report=graph&amp;tracks=[key:gene_model_track,Options:GeneOnly]&amp;mk=189745:189764|offset_32|444444,189786:189805|offset_73|00cc00,189814:189833|offset_101|444444,189861:189880|offset_148|444444&amp;v=189544:190080&amp;c=444444", "offset 73")</f>
        <v>offset 73</v>
      </c>
    </row>
    <row r="582" customFormat="false" ht="12.8" hidden="false" customHeight="false" outlineLevel="0" collapsed="false">
      <c r="A582" s="0" t="s">
        <v>12</v>
      </c>
      <c r="B582" s="0" t="n">
        <v>189813</v>
      </c>
      <c r="C582" s="0" t="n">
        <v>189833</v>
      </c>
      <c r="D582" s="0" t="s">
        <v>1944</v>
      </c>
      <c r="E582" s="0" t="s">
        <v>75</v>
      </c>
      <c r="F582" s="0" t="s">
        <v>15</v>
      </c>
      <c r="G582" s="0" t="s">
        <v>16</v>
      </c>
      <c r="H582" s="0" t="n">
        <v>101</v>
      </c>
      <c r="I582" s="0" t="s">
        <v>1951</v>
      </c>
      <c r="J582" s="0" t="s">
        <v>1952</v>
      </c>
      <c r="K582" s="0" t="s">
        <v>1953</v>
      </c>
      <c r="L582" s="0" t="str">
        <f aca="false">HYPERLINK("https://www.ncbi.nlm.nih.gov/nuccore/CP000058.1?report=graph&amp;tracks=[key:gene_model_track,Options:GeneOnly]&amp;mk=189745:189764|offset_32|444444,189786:189805|offset_73|444444,189814:189833|offset_101|00cc00,189861:189880|offset_148|444444&amp;v=189544:190080&amp;c=444444", "offset 101")</f>
        <v>offset 101</v>
      </c>
    </row>
    <row r="583" customFormat="false" ht="12.8" hidden="false" customHeight="false" outlineLevel="0" collapsed="false">
      <c r="A583" s="0" t="s">
        <v>12</v>
      </c>
      <c r="B583" s="0" t="n">
        <v>189860</v>
      </c>
      <c r="C583" s="0" t="n">
        <v>189880</v>
      </c>
      <c r="D583" s="0" t="s">
        <v>1944</v>
      </c>
      <c r="E583" s="0" t="s">
        <v>75</v>
      </c>
      <c r="F583" s="0" t="s">
        <v>15</v>
      </c>
      <c r="G583" s="0" t="s">
        <v>16</v>
      </c>
      <c r="H583" s="0" t="n">
        <v>148</v>
      </c>
      <c r="I583" s="0" t="s">
        <v>1954</v>
      </c>
      <c r="J583" s="0" t="s">
        <v>1955</v>
      </c>
      <c r="K583" s="0" t="s">
        <v>1956</v>
      </c>
      <c r="L583" s="0" t="str">
        <f aca="false">HYPERLINK("https://www.ncbi.nlm.nih.gov/nuccore/CP000058.1?report=graph&amp;tracks=[key:gene_model_track,Options:GeneOnly]&amp;mk=189745:189764|offset_32|444444,189786:189805|offset_73|444444,189814:189833|offset_101|444444,189861:189880|offset_148|00cc00&amp;v=189544:190080&amp;c=444444", "offset 148")</f>
        <v>offset 148</v>
      </c>
    </row>
    <row r="584" customFormat="false" ht="12.8" hidden="false" customHeight="false" outlineLevel="0" collapsed="false">
      <c r="A584" s="0" t="s">
        <v>12</v>
      </c>
      <c r="B584" s="0" t="n">
        <v>190595</v>
      </c>
      <c r="C584" s="0" t="n">
        <v>190615</v>
      </c>
      <c r="D584" s="0" t="s">
        <v>1957</v>
      </c>
      <c r="E584" s="0" t="s">
        <v>75</v>
      </c>
      <c r="F584" s="0" t="s">
        <v>90</v>
      </c>
      <c r="G584" s="0" t="s">
        <v>32</v>
      </c>
      <c r="H584" s="0" t="n">
        <v>16</v>
      </c>
      <c r="I584" s="0" t="s">
        <v>1958</v>
      </c>
      <c r="J584" s="0" t="s">
        <v>1959</v>
      </c>
      <c r="K584" s="0" t="s">
        <v>1960</v>
      </c>
      <c r="L584" s="0" t="str">
        <f aca="false">HYPERLINK("https://www.ncbi.nlm.nih.gov/nuccore/CP000058.1?report=graph&amp;tracks=[key:gene_model_track,Options:GeneOnly]&amp;mk=190596:190615|offset_16|00cc00,190562:190581|offset_50|444444&amp;v=190395:190781&amp;c=444444", "offset 16")</f>
        <v>offset 16</v>
      </c>
    </row>
    <row r="585" customFormat="false" ht="12.8" hidden="false" customHeight="false" outlineLevel="0" collapsed="false">
      <c r="A585" s="0" t="s">
        <v>12</v>
      </c>
      <c r="B585" s="0" t="n">
        <v>190561</v>
      </c>
      <c r="C585" s="0" t="n">
        <v>190581</v>
      </c>
      <c r="D585" s="0" t="s">
        <v>1957</v>
      </c>
      <c r="E585" s="0" t="s">
        <v>75</v>
      </c>
      <c r="F585" s="0" t="s">
        <v>90</v>
      </c>
      <c r="G585" s="0" t="s">
        <v>32</v>
      </c>
      <c r="H585" s="0" t="n">
        <v>50</v>
      </c>
      <c r="I585" s="0" t="s">
        <v>1961</v>
      </c>
      <c r="J585" s="0" t="s">
        <v>1962</v>
      </c>
      <c r="K585" s="0" t="s">
        <v>1963</v>
      </c>
      <c r="L585" s="0" t="str">
        <f aca="false">HYPERLINK("https://www.ncbi.nlm.nih.gov/nuccore/CP000058.1?report=graph&amp;tracks=[key:gene_model_track,Options:GeneOnly]&amp;mk=190596:190615|offset_16|444444,190562:190581|offset_50|00cc00&amp;v=190395:190781&amp;c=444444", "offset 50")</f>
        <v>offset 50</v>
      </c>
    </row>
    <row r="586" customFormat="false" ht="12.8" hidden="false" customHeight="false" outlineLevel="0" collapsed="false">
      <c r="A586" s="0" t="s">
        <v>12</v>
      </c>
      <c r="B586" s="0" t="n">
        <v>192473</v>
      </c>
      <c r="C586" s="0" t="n">
        <v>192493</v>
      </c>
      <c r="D586" s="0" t="s">
        <v>1964</v>
      </c>
      <c r="E586" s="0" t="s">
        <v>75</v>
      </c>
      <c r="F586" s="0" t="s">
        <v>90</v>
      </c>
      <c r="G586" s="0" t="s">
        <v>16</v>
      </c>
      <c r="H586" s="0" t="n">
        <v>133</v>
      </c>
      <c r="I586" s="0" t="s">
        <v>1965</v>
      </c>
      <c r="J586" s="0" t="s">
        <v>1966</v>
      </c>
      <c r="K586" s="0" t="s">
        <v>1967</v>
      </c>
      <c r="L586" s="0" t="str">
        <f aca="false">HYPERLINK("https://www.ncbi.nlm.nih.gov/nuccore/CP000058.1?report=graph&amp;tracks=[key:gene_model_track,Options:GeneOnly]&amp;mk=192474:192493|offset_133|00cc00,192445:192464|offset_162|444444,192399:192418|offset_208|444444,192272:192291|offset_335|444444&amp;v=192273:192491&amp;c=444444", "offset 133")</f>
        <v>offset 133</v>
      </c>
    </row>
    <row r="587" customFormat="false" ht="12.8" hidden="false" customHeight="false" outlineLevel="0" collapsed="false">
      <c r="A587" s="0" t="s">
        <v>12</v>
      </c>
      <c r="B587" s="0" t="n">
        <v>192444</v>
      </c>
      <c r="C587" s="0" t="n">
        <v>192464</v>
      </c>
      <c r="D587" s="0" t="s">
        <v>1964</v>
      </c>
      <c r="E587" s="0" t="s">
        <v>75</v>
      </c>
      <c r="F587" s="0" t="s">
        <v>90</v>
      </c>
      <c r="G587" s="0" t="s">
        <v>16</v>
      </c>
      <c r="H587" s="0" t="n">
        <v>162</v>
      </c>
      <c r="I587" s="0" t="s">
        <v>1968</v>
      </c>
      <c r="J587" s="0" t="s">
        <v>1969</v>
      </c>
      <c r="K587" s="0" t="s">
        <v>1970</v>
      </c>
      <c r="L587" s="0" t="str">
        <f aca="false">HYPERLINK("https://www.ncbi.nlm.nih.gov/nuccore/CP000058.1?report=graph&amp;tracks=[key:gene_model_track,Options:GeneOnly]&amp;mk=192474:192493|offset_133|444444,192445:192464|offset_162|00cc00,192399:192418|offset_208|444444,192272:192291|offset_335|444444&amp;v=192273:192491&amp;c=444444", "offset 162")</f>
        <v>offset 162</v>
      </c>
    </row>
    <row r="588" customFormat="false" ht="12.8" hidden="false" customHeight="false" outlineLevel="0" collapsed="false">
      <c r="A588" s="0" t="s">
        <v>12</v>
      </c>
      <c r="B588" s="0" t="n">
        <v>192398</v>
      </c>
      <c r="C588" s="0" t="n">
        <v>192418</v>
      </c>
      <c r="D588" s="0" t="s">
        <v>1964</v>
      </c>
      <c r="E588" s="0" t="s">
        <v>75</v>
      </c>
      <c r="F588" s="0" t="s">
        <v>90</v>
      </c>
      <c r="G588" s="0" t="s">
        <v>20</v>
      </c>
      <c r="H588" s="0" t="n">
        <v>208</v>
      </c>
      <c r="I588" s="0" t="s">
        <v>1971</v>
      </c>
      <c r="J588" s="0" t="s">
        <v>1972</v>
      </c>
      <c r="K588" s="0" t="s">
        <v>1973</v>
      </c>
      <c r="L588" s="0" t="str">
        <f aca="false">HYPERLINK("https://www.ncbi.nlm.nih.gov/nuccore/CP000058.1?report=graph&amp;tracks=[key:gene_model_track,Options:GeneOnly]&amp;mk=192474:192493|offset_133|444444,192445:192464|offset_162|444444,192399:192418|offset_208|00cc00,192272:192291|offset_335|444444&amp;v=192273:192491&amp;c=444444", "offset 208")</f>
        <v>offset 208</v>
      </c>
    </row>
    <row r="589" customFormat="false" ht="12.8" hidden="false" customHeight="false" outlineLevel="0" collapsed="false">
      <c r="A589" s="0" t="s">
        <v>12</v>
      </c>
      <c r="B589" s="0" t="n">
        <v>192271</v>
      </c>
      <c r="C589" s="0" t="n">
        <v>192291</v>
      </c>
      <c r="D589" s="0" t="s">
        <v>1964</v>
      </c>
      <c r="E589" s="0" t="s">
        <v>75</v>
      </c>
      <c r="F589" s="0" t="s">
        <v>90</v>
      </c>
      <c r="G589" s="0" t="s">
        <v>36</v>
      </c>
      <c r="H589" s="0" t="n">
        <v>335</v>
      </c>
      <c r="I589" s="0" t="s">
        <v>1974</v>
      </c>
      <c r="J589" s="0" t="s">
        <v>1975</v>
      </c>
      <c r="K589" s="0" t="s">
        <v>1976</v>
      </c>
      <c r="L589" s="0" t="str">
        <f aca="false">HYPERLINK("https://www.ncbi.nlm.nih.gov/nuccore/CP000058.1?report=graph&amp;tracks=[key:gene_model_track,Options:GeneOnly]&amp;mk=192474:192493|offset_133|444444,192445:192464|offset_162|444444,192399:192418|offset_208|444444,192272:192291|offset_335|00cc00&amp;v=192273:192491&amp;c=444444", "offset 335")</f>
        <v>offset 335</v>
      </c>
    </row>
    <row r="590" customFormat="false" ht="12.8" hidden="false" customHeight="false" outlineLevel="0" collapsed="false">
      <c r="A590" s="0" t="s">
        <v>12</v>
      </c>
      <c r="B590" s="0" t="n">
        <v>204528</v>
      </c>
      <c r="C590" s="0" t="n">
        <v>204548</v>
      </c>
      <c r="D590" s="0" t="s">
        <v>1977</v>
      </c>
      <c r="E590" s="0" t="s">
        <v>1978</v>
      </c>
      <c r="F590" s="0" t="s">
        <v>90</v>
      </c>
      <c r="G590" s="0" t="s">
        <v>20</v>
      </c>
      <c r="H590" s="0" t="n">
        <v>16</v>
      </c>
      <c r="I590" s="0" t="s">
        <v>1979</v>
      </c>
      <c r="J590" s="0" t="s">
        <v>1980</v>
      </c>
      <c r="K590" s="0" t="s">
        <v>1981</v>
      </c>
      <c r="L590" s="0" t="str">
        <f aca="false">HYPERLINK("https://www.ncbi.nlm.nih.gov/nuccore/CP000058.1?report=graph&amp;tracks=[key:gene_model_track,Options:GeneOnly]&amp;mk=204529:204548|offset_16|00cc00,204507:204526|offset_38|444444,204476:204495|offset_69|444444,204452:204471|offset_93|444444&amp;v=204328:204671&amp;c=444444", "offset 16")</f>
        <v>offset 16</v>
      </c>
    </row>
    <row r="591" customFormat="false" ht="12.8" hidden="false" customHeight="false" outlineLevel="0" collapsed="false">
      <c r="A591" s="0" t="s">
        <v>12</v>
      </c>
      <c r="B591" s="0" t="n">
        <v>204506</v>
      </c>
      <c r="C591" s="0" t="n">
        <v>204526</v>
      </c>
      <c r="D591" s="0" t="s">
        <v>1977</v>
      </c>
      <c r="E591" s="0" t="s">
        <v>1978</v>
      </c>
      <c r="F591" s="0" t="s">
        <v>90</v>
      </c>
      <c r="G591" s="0" t="s">
        <v>36</v>
      </c>
      <c r="H591" s="0" t="n">
        <v>38</v>
      </c>
      <c r="I591" s="0" t="s">
        <v>1982</v>
      </c>
      <c r="J591" s="0" t="s">
        <v>1983</v>
      </c>
      <c r="K591" s="0" t="s">
        <v>1984</v>
      </c>
      <c r="L591" s="0" t="str">
        <f aca="false">HYPERLINK("https://www.ncbi.nlm.nih.gov/nuccore/CP000058.1?report=graph&amp;tracks=[key:gene_model_track,Options:GeneOnly]&amp;mk=204529:204548|offset_16|444444,204507:204526|offset_38|00cc00,204476:204495|offset_69|444444,204452:204471|offset_93|444444&amp;v=204328:204671&amp;c=444444", "offset 38")</f>
        <v>offset 38</v>
      </c>
    </row>
    <row r="592" customFormat="false" ht="12.8" hidden="false" customHeight="false" outlineLevel="0" collapsed="false">
      <c r="A592" s="0" t="s">
        <v>12</v>
      </c>
      <c r="B592" s="0" t="n">
        <v>204475</v>
      </c>
      <c r="C592" s="0" t="n">
        <v>204495</v>
      </c>
      <c r="D592" s="0" t="s">
        <v>1977</v>
      </c>
      <c r="E592" s="0" t="s">
        <v>1978</v>
      </c>
      <c r="F592" s="0" t="s">
        <v>90</v>
      </c>
      <c r="G592" s="0" t="s">
        <v>20</v>
      </c>
      <c r="H592" s="0" t="n">
        <v>69</v>
      </c>
      <c r="I592" s="0" t="s">
        <v>1985</v>
      </c>
      <c r="J592" s="0" t="s">
        <v>1986</v>
      </c>
      <c r="K592" s="0" t="s">
        <v>1987</v>
      </c>
      <c r="L592" s="0" t="str">
        <f aca="false">HYPERLINK("https://www.ncbi.nlm.nih.gov/nuccore/CP000058.1?report=graph&amp;tracks=[key:gene_model_track,Options:GeneOnly]&amp;mk=204529:204548|offset_16|444444,204507:204526|offset_38|444444,204476:204495|offset_69|00cc00,204452:204471|offset_93|444444&amp;v=204328:204671&amp;c=444444", "offset 69")</f>
        <v>offset 69</v>
      </c>
    </row>
    <row r="593" customFormat="false" ht="12.8" hidden="false" customHeight="false" outlineLevel="0" collapsed="false">
      <c r="A593" s="0" t="s">
        <v>12</v>
      </c>
      <c r="B593" s="0" t="n">
        <v>204451</v>
      </c>
      <c r="C593" s="0" t="n">
        <v>204471</v>
      </c>
      <c r="D593" s="0" t="s">
        <v>1977</v>
      </c>
      <c r="E593" s="0" t="s">
        <v>1978</v>
      </c>
      <c r="F593" s="0" t="s">
        <v>90</v>
      </c>
      <c r="G593" s="0" t="s">
        <v>20</v>
      </c>
      <c r="H593" s="0" t="n">
        <v>93</v>
      </c>
      <c r="I593" s="0" t="s">
        <v>1988</v>
      </c>
      <c r="J593" s="0" t="s">
        <v>1989</v>
      </c>
      <c r="K593" s="0" t="s">
        <v>1990</v>
      </c>
      <c r="L593" s="0" t="str">
        <f aca="false">HYPERLINK("https://www.ncbi.nlm.nih.gov/nuccore/CP000058.1?report=graph&amp;tracks=[key:gene_model_track,Options:GeneOnly]&amp;mk=204529:204548|offset_16|444444,204507:204526|offset_38|444444,204476:204495|offset_69|444444,204452:204471|offset_93|00cc00&amp;v=204328:204671&amp;c=444444", "offset 93")</f>
        <v>offset 93</v>
      </c>
    </row>
    <row r="594" customFormat="false" ht="12.8" hidden="false" customHeight="false" outlineLevel="0" collapsed="false">
      <c r="A594" s="0" t="s">
        <v>12</v>
      </c>
      <c r="B594" s="0" t="n">
        <v>205513</v>
      </c>
      <c r="C594" s="0" t="n">
        <v>205533</v>
      </c>
      <c r="D594" s="0" t="s">
        <v>1991</v>
      </c>
      <c r="E594" s="0" t="s">
        <v>75</v>
      </c>
      <c r="F594" s="0" t="s">
        <v>90</v>
      </c>
      <c r="G594" s="0" t="s">
        <v>32</v>
      </c>
      <c r="H594" s="0" t="n">
        <v>22</v>
      </c>
      <c r="I594" s="0" t="s">
        <v>1992</v>
      </c>
      <c r="J594" s="0" t="s">
        <v>1993</v>
      </c>
      <c r="K594" s="0" t="s">
        <v>1994</v>
      </c>
      <c r="L594" s="0" t="str">
        <f aca="false">HYPERLINK("https://www.ncbi.nlm.nih.gov/nuccore/CP000058.1?report=graph&amp;tracks=[key:gene_model_track,Options:GeneOnly]&amp;mk=205514:205533|offset_22|00cc00,205493:205512|offset_43|444444,205470:205489|offset_66|444444,205433:205452|offset_103|444444&amp;v=205313:205652&amp;c=444444", "offset 22")</f>
        <v>offset 22</v>
      </c>
    </row>
    <row r="595" customFormat="false" ht="12.8" hidden="false" customHeight="false" outlineLevel="0" collapsed="false">
      <c r="A595" s="0" t="s">
        <v>12</v>
      </c>
      <c r="B595" s="0" t="n">
        <v>205492</v>
      </c>
      <c r="C595" s="0" t="n">
        <v>205512</v>
      </c>
      <c r="D595" s="0" t="s">
        <v>1991</v>
      </c>
      <c r="E595" s="0" t="s">
        <v>75</v>
      </c>
      <c r="F595" s="0" t="s">
        <v>90</v>
      </c>
      <c r="G595" s="0" t="s">
        <v>16</v>
      </c>
      <c r="H595" s="0" t="n">
        <v>43</v>
      </c>
      <c r="I595" s="0" t="s">
        <v>1995</v>
      </c>
      <c r="J595" s="0" t="s">
        <v>1996</v>
      </c>
      <c r="K595" s="0" t="s">
        <v>1997</v>
      </c>
      <c r="L595" s="0" t="str">
        <f aca="false">HYPERLINK("https://www.ncbi.nlm.nih.gov/nuccore/CP000058.1?report=graph&amp;tracks=[key:gene_model_track,Options:GeneOnly]&amp;mk=205514:205533|offset_22|444444,205493:205512|offset_43|00cc00,205470:205489|offset_66|444444,205433:205452|offset_103|444444&amp;v=205313:205652&amp;c=444444", "offset 43")</f>
        <v>offset 43</v>
      </c>
    </row>
    <row r="596" customFormat="false" ht="12.8" hidden="false" customHeight="false" outlineLevel="0" collapsed="false">
      <c r="A596" s="0" t="s">
        <v>12</v>
      </c>
      <c r="B596" s="0" t="n">
        <v>205469</v>
      </c>
      <c r="C596" s="0" t="n">
        <v>205489</v>
      </c>
      <c r="D596" s="0" t="s">
        <v>1991</v>
      </c>
      <c r="E596" s="0" t="s">
        <v>75</v>
      </c>
      <c r="F596" s="0" t="s">
        <v>90</v>
      </c>
      <c r="G596" s="0" t="s">
        <v>16</v>
      </c>
      <c r="H596" s="0" t="n">
        <v>66</v>
      </c>
      <c r="I596" s="0" t="s">
        <v>1998</v>
      </c>
      <c r="J596" s="0" t="s">
        <v>1999</v>
      </c>
      <c r="K596" s="0" t="s">
        <v>2000</v>
      </c>
      <c r="L596" s="0" t="str">
        <f aca="false">HYPERLINK("https://www.ncbi.nlm.nih.gov/nuccore/CP000058.1?report=graph&amp;tracks=[key:gene_model_track,Options:GeneOnly]&amp;mk=205514:205533|offset_22|444444,205493:205512|offset_43|444444,205470:205489|offset_66|00cc00,205433:205452|offset_103|444444&amp;v=205313:205652&amp;c=444444", "offset 66")</f>
        <v>offset 66</v>
      </c>
    </row>
    <row r="597" customFormat="false" ht="12.8" hidden="false" customHeight="false" outlineLevel="0" collapsed="false">
      <c r="A597" s="0" t="s">
        <v>12</v>
      </c>
      <c r="B597" s="0" t="n">
        <v>205432</v>
      </c>
      <c r="C597" s="0" t="n">
        <v>205452</v>
      </c>
      <c r="D597" s="0" t="s">
        <v>1991</v>
      </c>
      <c r="E597" s="0" t="s">
        <v>75</v>
      </c>
      <c r="F597" s="0" t="s">
        <v>90</v>
      </c>
      <c r="G597" s="0" t="s">
        <v>20</v>
      </c>
      <c r="H597" s="0" t="n">
        <v>103</v>
      </c>
      <c r="I597" s="0" t="s">
        <v>2001</v>
      </c>
      <c r="J597" s="0" t="s">
        <v>2002</v>
      </c>
      <c r="K597" s="0" t="s">
        <v>2003</v>
      </c>
      <c r="L597" s="0" t="str">
        <f aca="false">HYPERLINK("https://www.ncbi.nlm.nih.gov/nuccore/CP000058.1?report=graph&amp;tracks=[key:gene_model_track,Options:GeneOnly]&amp;mk=205514:205533|offset_22|444444,205493:205512|offset_43|444444,205470:205489|offset_66|444444,205433:205452|offset_103|00cc00&amp;v=205313:205652&amp;c=444444", "offset 103")</f>
        <v>offset 103</v>
      </c>
    </row>
    <row r="598" customFormat="false" ht="12.8" hidden="false" customHeight="false" outlineLevel="0" collapsed="false">
      <c r="A598" s="0" t="s">
        <v>12</v>
      </c>
      <c r="B598" s="0" t="n">
        <v>207156</v>
      </c>
      <c r="C598" s="0" t="n">
        <v>207176</v>
      </c>
      <c r="D598" s="0" t="s">
        <v>2004</v>
      </c>
      <c r="E598" s="0" t="s">
        <v>75</v>
      </c>
      <c r="F598" s="0" t="s">
        <v>15</v>
      </c>
      <c r="G598" s="0" t="s">
        <v>20</v>
      </c>
      <c r="H598" s="0" t="n">
        <v>19</v>
      </c>
      <c r="I598" s="0" t="s">
        <v>2005</v>
      </c>
      <c r="J598" s="0" t="s">
        <v>2006</v>
      </c>
      <c r="K598" s="0" t="s">
        <v>2007</v>
      </c>
      <c r="L598" s="0" t="str">
        <f aca="false">HYPERLINK("https://www.ncbi.nlm.nih.gov/nuccore/CP000058.1?report=graph&amp;tracks=[key:gene_model_track,Options:GeneOnly]&amp;mk=207157:207176|offset_19|00cc00,207177:207196|offset_39|444444,207207:207226|offset_69|444444,207288:207307|offset_150|444444&amp;v=206956:207507&amp;c=444444", "offset 19")</f>
        <v>offset 19</v>
      </c>
    </row>
    <row r="599" customFormat="false" ht="12.8" hidden="false" customHeight="false" outlineLevel="0" collapsed="false">
      <c r="A599" s="0" t="s">
        <v>12</v>
      </c>
      <c r="B599" s="0" t="n">
        <v>207176</v>
      </c>
      <c r="C599" s="0" t="n">
        <v>207196</v>
      </c>
      <c r="D599" s="0" t="s">
        <v>2004</v>
      </c>
      <c r="E599" s="0" t="s">
        <v>75</v>
      </c>
      <c r="F599" s="0" t="s">
        <v>15</v>
      </c>
      <c r="G599" s="0" t="s">
        <v>16</v>
      </c>
      <c r="H599" s="0" t="n">
        <v>39</v>
      </c>
      <c r="I599" s="0" t="s">
        <v>2008</v>
      </c>
      <c r="J599" s="0" t="s">
        <v>2009</v>
      </c>
      <c r="K599" s="0" t="s">
        <v>2010</v>
      </c>
      <c r="L599" s="0" t="str">
        <f aca="false">HYPERLINK("https://www.ncbi.nlm.nih.gov/nuccore/CP000058.1?report=graph&amp;tracks=[key:gene_model_track,Options:GeneOnly]&amp;mk=207157:207176|offset_19|444444,207177:207196|offset_39|00cc00,207207:207226|offset_69|444444,207288:207307|offset_150|444444&amp;v=206956:207507&amp;c=444444", "offset 39")</f>
        <v>offset 39</v>
      </c>
    </row>
    <row r="600" customFormat="false" ht="12.8" hidden="false" customHeight="false" outlineLevel="0" collapsed="false">
      <c r="A600" s="0" t="s">
        <v>12</v>
      </c>
      <c r="B600" s="0" t="n">
        <v>207206</v>
      </c>
      <c r="C600" s="0" t="n">
        <v>207226</v>
      </c>
      <c r="D600" s="0" t="s">
        <v>2004</v>
      </c>
      <c r="E600" s="0" t="s">
        <v>75</v>
      </c>
      <c r="F600" s="0" t="s">
        <v>15</v>
      </c>
      <c r="G600" s="0" t="s">
        <v>16</v>
      </c>
      <c r="H600" s="0" t="n">
        <v>69</v>
      </c>
      <c r="I600" s="0" t="s">
        <v>2011</v>
      </c>
      <c r="J600" s="0" t="s">
        <v>2012</v>
      </c>
      <c r="K600" s="0" t="s">
        <v>2013</v>
      </c>
      <c r="L600" s="0" t="str">
        <f aca="false">HYPERLINK("https://www.ncbi.nlm.nih.gov/nuccore/CP000058.1?report=graph&amp;tracks=[key:gene_model_track,Options:GeneOnly]&amp;mk=207157:207176|offset_19|444444,207177:207196|offset_39|444444,207207:207226|offset_69|00cc00,207288:207307|offset_150|444444&amp;v=206956:207507&amp;c=444444", "offset 69")</f>
        <v>offset 69</v>
      </c>
    </row>
    <row r="601" customFormat="false" ht="12.8" hidden="false" customHeight="false" outlineLevel="0" collapsed="false">
      <c r="A601" s="0" t="s">
        <v>12</v>
      </c>
      <c r="B601" s="0" t="n">
        <v>207287</v>
      </c>
      <c r="C601" s="0" t="n">
        <v>207307</v>
      </c>
      <c r="D601" s="0" t="s">
        <v>2004</v>
      </c>
      <c r="E601" s="0" t="s">
        <v>75</v>
      </c>
      <c r="F601" s="0" t="s">
        <v>15</v>
      </c>
      <c r="G601" s="0" t="s">
        <v>16</v>
      </c>
      <c r="H601" s="0" t="n">
        <v>150</v>
      </c>
      <c r="I601" s="0" t="s">
        <v>2014</v>
      </c>
      <c r="J601" s="0" t="s">
        <v>2015</v>
      </c>
      <c r="K601" s="0" t="s">
        <v>2016</v>
      </c>
      <c r="L601" s="0" t="str">
        <f aca="false">HYPERLINK("https://www.ncbi.nlm.nih.gov/nuccore/CP000058.1?report=graph&amp;tracks=[key:gene_model_track,Options:GeneOnly]&amp;mk=207157:207176|offset_19|444444,207177:207196|offset_39|444444,207207:207226|offset_69|444444,207288:207307|offset_150|00cc00&amp;v=206956:207507&amp;c=444444", "offset 150")</f>
        <v>offset 150</v>
      </c>
    </row>
    <row r="602" customFormat="false" ht="12.8" hidden="false" customHeight="false" outlineLevel="0" collapsed="false">
      <c r="A602" s="0" t="s">
        <v>12</v>
      </c>
      <c r="B602" s="0" t="n">
        <v>208117</v>
      </c>
      <c r="C602" s="0" t="n">
        <v>208137</v>
      </c>
      <c r="D602" s="0" t="s">
        <v>2017</v>
      </c>
      <c r="E602" s="0" t="s">
        <v>75</v>
      </c>
      <c r="F602" s="0" t="s">
        <v>15</v>
      </c>
      <c r="G602" s="0" t="s">
        <v>36</v>
      </c>
      <c r="H602" s="0" t="n">
        <v>30</v>
      </c>
      <c r="I602" s="0" t="s">
        <v>2018</v>
      </c>
      <c r="J602" s="0" t="s">
        <v>2019</v>
      </c>
      <c r="K602" s="0" t="s">
        <v>2020</v>
      </c>
      <c r="L602" s="0" t="str">
        <f aca="false">HYPERLINK("https://www.ncbi.nlm.nih.gov/nuccore/CP000058.1?report=graph&amp;tracks=[key:gene_model_track,Options:GeneOnly]&amp;mk=208118:208137|offset_30|00cc00,208140:208159|offset_52|444444,208200:208219|offset_112|444444,208227:208246|offset_139|444444&amp;v=207917:208446&amp;c=444444", "offset 30")</f>
        <v>offset 30</v>
      </c>
    </row>
    <row r="603" customFormat="false" ht="12.8" hidden="false" customHeight="false" outlineLevel="0" collapsed="false">
      <c r="A603" s="0" t="s">
        <v>12</v>
      </c>
      <c r="B603" s="0" t="n">
        <v>208139</v>
      </c>
      <c r="C603" s="0" t="n">
        <v>208159</v>
      </c>
      <c r="D603" s="0" t="s">
        <v>2017</v>
      </c>
      <c r="E603" s="0" t="s">
        <v>75</v>
      </c>
      <c r="F603" s="0" t="s">
        <v>15</v>
      </c>
      <c r="G603" s="0" t="s">
        <v>16</v>
      </c>
      <c r="H603" s="0" t="n">
        <v>52</v>
      </c>
      <c r="I603" s="0" t="s">
        <v>2021</v>
      </c>
      <c r="J603" s="0" t="s">
        <v>2022</v>
      </c>
      <c r="K603" s="0" t="s">
        <v>2023</v>
      </c>
      <c r="L603" s="0" t="str">
        <f aca="false">HYPERLINK("https://www.ncbi.nlm.nih.gov/nuccore/CP000058.1?report=graph&amp;tracks=[key:gene_model_track,Options:GeneOnly]&amp;mk=208118:208137|offset_30|444444,208140:208159|offset_52|00cc00,208200:208219|offset_112|444444,208227:208246|offset_139|444444&amp;v=207917:208446&amp;c=444444", "offset 52")</f>
        <v>offset 52</v>
      </c>
    </row>
    <row r="604" customFormat="false" ht="12.8" hidden="false" customHeight="false" outlineLevel="0" collapsed="false">
      <c r="A604" s="0" t="s">
        <v>12</v>
      </c>
      <c r="B604" s="0" t="n">
        <v>208199</v>
      </c>
      <c r="C604" s="0" t="n">
        <v>208219</v>
      </c>
      <c r="D604" s="0" t="s">
        <v>2017</v>
      </c>
      <c r="E604" s="0" t="s">
        <v>75</v>
      </c>
      <c r="F604" s="0" t="s">
        <v>15</v>
      </c>
      <c r="G604" s="0" t="s">
        <v>16</v>
      </c>
      <c r="H604" s="0" t="n">
        <v>112</v>
      </c>
      <c r="I604" s="0" t="s">
        <v>2024</v>
      </c>
      <c r="J604" s="0" t="s">
        <v>2025</v>
      </c>
      <c r="K604" s="0" t="s">
        <v>2026</v>
      </c>
      <c r="L604" s="0" t="str">
        <f aca="false">HYPERLINK("https://www.ncbi.nlm.nih.gov/nuccore/CP000058.1?report=graph&amp;tracks=[key:gene_model_track,Options:GeneOnly]&amp;mk=208118:208137|offset_30|444444,208140:208159|offset_52|444444,208200:208219|offset_112|00cc00,208227:208246|offset_139|444444&amp;v=207917:208446&amp;c=444444", "offset 112")</f>
        <v>offset 112</v>
      </c>
    </row>
    <row r="605" customFormat="false" ht="12.8" hidden="false" customHeight="false" outlineLevel="0" collapsed="false">
      <c r="A605" s="0" t="s">
        <v>12</v>
      </c>
      <c r="B605" s="0" t="n">
        <v>208226</v>
      </c>
      <c r="C605" s="0" t="n">
        <v>208246</v>
      </c>
      <c r="D605" s="0" t="s">
        <v>2017</v>
      </c>
      <c r="E605" s="0" t="s">
        <v>75</v>
      </c>
      <c r="F605" s="0" t="s">
        <v>15</v>
      </c>
      <c r="G605" s="0" t="s">
        <v>16</v>
      </c>
      <c r="H605" s="0" t="n">
        <v>139</v>
      </c>
      <c r="I605" s="0" t="s">
        <v>2027</v>
      </c>
      <c r="J605" s="0" t="s">
        <v>2028</v>
      </c>
      <c r="K605" s="0" t="s">
        <v>2029</v>
      </c>
      <c r="L605" s="0" t="str">
        <f aca="false">HYPERLINK("https://www.ncbi.nlm.nih.gov/nuccore/CP000058.1?report=graph&amp;tracks=[key:gene_model_track,Options:GeneOnly]&amp;mk=208118:208137|offset_30|444444,208140:208159|offset_52|444444,208200:208219|offset_112|444444,208227:208246|offset_139|00cc00&amp;v=207917:208446&amp;c=444444", "offset 139")</f>
        <v>offset 139</v>
      </c>
    </row>
    <row r="606" customFormat="false" ht="12.8" hidden="false" customHeight="false" outlineLevel="0" collapsed="false">
      <c r="A606" s="0" t="s">
        <v>12</v>
      </c>
      <c r="B606" s="0" t="n">
        <v>208977</v>
      </c>
      <c r="C606" s="0" t="n">
        <v>208997</v>
      </c>
      <c r="D606" s="0" t="s">
        <v>2030</v>
      </c>
      <c r="E606" s="0" t="s">
        <v>75</v>
      </c>
      <c r="F606" s="0" t="s">
        <v>15</v>
      </c>
      <c r="G606" s="0" t="s">
        <v>32</v>
      </c>
      <c r="H606" s="0" t="n">
        <v>12</v>
      </c>
      <c r="I606" s="0" t="s">
        <v>2031</v>
      </c>
      <c r="J606" s="0" t="s">
        <v>2032</v>
      </c>
      <c r="K606" s="0" t="s">
        <v>2033</v>
      </c>
      <c r="L606" s="0" t="str">
        <f aca="false">HYPERLINK("https://www.ncbi.nlm.nih.gov/nuccore/CP000058.1?report=graph&amp;tracks=[key:gene_model_track,Options:GeneOnly]&amp;mk=208978:208997|offset_12|00cc00,208999:209018|offset_33|444444&amp;v=208777:209218&amp;c=444444", "offset 12")</f>
        <v>offset 12</v>
      </c>
    </row>
    <row r="607" customFormat="false" ht="12.8" hidden="false" customHeight="false" outlineLevel="0" collapsed="false">
      <c r="A607" s="0" t="s">
        <v>12</v>
      </c>
      <c r="B607" s="0" t="n">
        <v>208998</v>
      </c>
      <c r="C607" s="0" t="n">
        <v>209018</v>
      </c>
      <c r="D607" s="0" t="s">
        <v>2030</v>
      </c>
      <c r="E607" s="0" t="s">
        <v>75</v>
      </c>
      <c r="F607" s="0" t="s">
        <v>15</v>
      </c>
      <c r="G607" s="0" t="s">
        <v>20</v>
      </c>
      <c r="H607" s="0" t="n">
        <v>33</v>
      </c>
      <c r="I607" s="0" t="s">
        <v>2034</v>
      </c>
      <c r="J607" s="0" t="s">
        <v>2035</v>
      </c>
      <c r="K607" s="0" t="s">
        <v>2036</v>
      </c>
      <c r="L607" s="0" t="str">
        <f aca="false">HYPERLINK("https://www.ncbi.nlm.nih.gov/nuccore/CP000058.1?report=graph&amp;tracks=[key:gene_model_track,Options:GeneOnly]&amp;mk=208978:208997|offset_12|444444,208999:209018|offset_33|00cc00&amp;v=208777:209218&amp;c=444444", "offset 33")</f>
        <v>offset 33</v>
      </c>
    </row>
    <row r="608" customFormat="false" ht="12.8" hidden="false" customHeight="false" outlineLevel="0" collapsed="false">
      <c r="A608" s="0" t="s">
        <v>12</v>
      </c>
      <c r="B608" s="0" t="n">
        <v>210761</v>
      </c>
      <c r="C608" s="0" t="n">
        <v>210781</v>
      </c>
      <c r="D608" s="0" t="s">
        <v>2037</v>
      </c>
      <c r="E608" s="0" t="s">
        <v>75</v>
      </c>
      <c r="F608" s="0" t="s">
        <v>15</v>
      </c>
      <c r="G608" s="0" t="s">
        <v>32</v>
      </c>
      <c r="H608" s="0" t="n">
        <v>16</v>
      </c>
      <c r="I608" s="0" t="s">
        <v>2038</v>
      </c>
      <c r="J608" s="0" t="s">
        <v>2039</v>
      </c>
      <c r="K608" s="0" t="s">
        <v>2040</v>
      </c>
      <c r="L608" s="0" t="str">
        <f aca="false">HYPERLINK("https://www.ncbi.nlm.nih.gov/nuccore/CP000058.1?report=graph&amp;tracks=[key:gene_model_track,Options:GeneOnly]&amp;mk=210762:210781|offset_16|00cc00,210810:210829|offset_64|444444,210875:210894|offset_129|444444,210897:210916|offset_151|444444&amp;v=210561:211116&amp;c=444444", "offset 16")</f>
        <v>offset 16</v>
      </c>
    </row>
    <row r="609" customFormat="false" ht="12.8" hidden="false" customHeight="false" outlineLevel="0" collapsed="false">
      <c r="A609" s="0" t="s">
        <v>12</v>
      </c>
      <c r="B609" s="0" t="n">
        <v>210809</v>
      </c>
      <c r="C609" s="0" t="n">
        <v>210829</v>
      </c>
      <c r="D609" s="0" t="s">
        <v>2037</v>
      </c>
      <c r="E609" s="0" t="s">
        <v>75</v>
      </c>
      <c r="F609" s="0" t="s">
        <v>15</v>
      </c>
      <c r="G609" s="0" t="s">
        <v>20</v>
      </c>
      <c r="H609" s="0" t="n">
        <v>64</v>
      </c>
      <c r="I609" s="0" t="s">
        <v>2041</v>
      </c>
      <c r="J609" s="0" t="s">
        <v>2042</v>
      </c>
      <c r="K609" s="0" t="s">
        <v>2043</v>
      </c>
      <c r="L609" s="0" t="str">
        <f aca="false">HYPERLINK("https://www.ncbi.nlm.nih.gov/nuccore/CP000058.1?report=graph&amp;tracks=[key:gene_model_track,Options:GeneOnly]&amp;mk=210762:210781|offset_16|444444,210810:210829|offset_64|00cc00,210875:210894|offset_129|444444,210897:210916|offset_151|444444&amp;v=210561:211116&amp;c=444444", "offset 64")</f>
        <v>offset 64</v>
      </c>
    </row>
    <row r="610" customFormat="false" ht="12.8" hidden="false" customHeight="false" outlineLevel="0" collapsed="false">
      <c r="A610" s="0" t="s">
        <v>12</v>
      </c>
      <c r="B610" s="0" t="n">
        <v>210874</v>
      </c>
      <c r="C610" s="0" t="n">
        <v>210894</v>
      </c>
      <c r="D610" s="0" t="s">
        <v>2037</v>
      </c>
      <c r="E610" s="0" t="s">
        <v>75</v>
      </c>
      <c r="F610" s="0" t="s">
        <v>15</v>
      </c>
      <c r="G610" s="0" t="s">
        <v>20</v>
      </c>
      <c r="H610" s="0" t="n">
        <v>129</v>
      </c>
      <c r="I610" s="0" t="s">
        <v>2044</v>
      </c>
      <c r="J610" s="0" t="s">
        <v>2045</v>
      </c>
      <c r="K610" s="0" t="s">
        <v>2046</v>
      </c>
      <c r="L610" s="0" t="str">
        <f aca="false">HYPERLINK("https://www.ncbi.nlm.nih.gov/nuccore/CP000058.1?report=graph&amp;tracks=[key:gene_model_track,Options:GeneOnly]&amp;mk=210762:210781|offset_16|444444,210810:210829|offset_64|444444,210875:210894|offset_129|00cc00,210897:210916|offset_151|444444&amp;v=210561:211116&amp;c=444444", "offset 129")</f>
        <v>offset 129</v>
      </c>
    </row>
    <row r="611" customFormat="false" ht="12.8" hidden="false" customHeight="false" outlineLevel="0" collapsed="false">
      <c r="A611" s="0" t="s">
        <v>12</v>
      </c>
      <c r="B611" s="0" t="n">
        <v>210896</v>
      </c>
      <c r="C611" s="0" t="n">
        <v>210916</v>
      </c>
      <c r="D611" s="0" t="s">
        <v>2037</v>
      </c>
      <c r="E611" s="0" t="s">
        <v>75</v>
      </c>
      <c r="F611" s="0" t="s">
        <v>15</v>
      </c>
      <c r="G611" s="0" t="s">
        <v>32</v>
      </c>
      <c r="H611" s="0" t="n">
        <v>151</v>
      </c>
      <c r="I611" s="0" t="s">
        <v>2047</v>
      </c>
      <c r="J611" s="0" t="s">
        <v>2048</v>
      </c>
      <c r="K611" s="0" t="s">
        <v>2049</v>
      </c>
      <c r="L611" s="0" t="str">
        <f aca="false">HYPERLINK("https://www.ncbi.nlm.nih.gov/nuccore/CP000058.1?report=graph&amp;tracks=[key:gene_model_track,Options:GeneOnly]&amp;mk=210762:210781|offset_16|444444,210810:210829|offset_64|444444,210875:210894|offset_129|444444,210897:210916|offset_151|00cc00&amp;v=210561:211116&amp;c=444444", "offset 151")</f>
        <v>offset 151</v>
      </c>
    </row>
    <row r="612" customFormat="false" ht="12.8" hidden="false" customHeight="false" outlineLevel="0" collapsed="false">
      <c r="A612" s="0" t="s">
        <v>12</v>
      </c>
      <c r="B612" s="0" t="n">
        <v>211856</v>
      </c>
      <c r="C612" s="0" t="n">
        <v>211876</v>
      </c>
      <c r="D612" s="0" t="s">
        <v>2050</v>
      </c>
      <c r="E612" s="0" t="s">
        <v>75</v>
      </c>
      <c r="F612" s="0" t="s">
        <v>15</v>
      </c>
      <c r="G612" s="0" t="s">
        <v>32</v>
      </c>
      <c r="H612" s="0" t="n">
        <v>1</v>
      </c>
      <c r="I612" s="0" t="s">
        <v>2051</v>
      </c>
      <c r="J612" s="0" t="s">
        <v>2052</v>
      </c>
      <c r="K612" s="0" t="s">
        <v>2053</v>
      </c>
      <c r="L612" s="0" t="str">
        <f aca="false">HYPERLINK("https://www.ncbi.nlm.nih.gov/nuccore/CP000058.1?report=graph&amp;tracks=[key:gene_model_track,Options:GeneOnly]&amp;mk=211857:211876|offset_1|00cc00,211887:211906|offset_31|444444,211907:211926|offset_51|444444,211935:211954|offset_79|444444&amp;v=211656:212154&amp;c=444444", "offset 1")</f>
        <v>offset 1</v>
      </c>
    </row>
    <row r="613" customFormat="false" ht="12.8" hidden="false" customHeight="false" outlineLevel="0" collapsed="false">
      <c r="A613" s="0" t="s">
        <v>12</v>
      </c>
      <c r="B613" s="0" t="n">
        <v>211886</v>
      </c>
      <c r="C613" s="0" t="n">
        <v>211906</v>
      </c>
      <c r="D613" s="0" t="s">
        <v>2050</v>
      </c>
      <c r="E613" s="0" t="s">
        <v>75</v>
      </c>
      <c r="F613" s="0" t="s">
        <v>15</v>
      </c>
      <c r="G613" s="0" t="s">
        <v>36</v>
      </c>
      <c r="H613" s="0" t="n">
        <v>31</v>
      </c>
      <c r="I613" s="0" t="s">
        <v>2054</v>
      </c>
      <c r="J613" s="0" t="s">
        <v>2055</v>
      </c>
      <c r="K613" s="0" t="s">
        <v>2056</v>
      </c>
      <c r="L613" s="0" t="str">
        <f aca="false">HYPERLINK("https://www.ncbi.nlm.nih.gov/nuccore/CP000058.1?report=graph&amp;tracks=[key:gene_model_track,Options:GeneOnly]&amp;mk=211857:211876|offset_1|444444,211887:211906|offset_31|00cc00,211907:211926|offset_51|444444,211935:211954|offset_79|444444&amp;v=211656:212154&amp;c=444444", "offset 31")</f>
        <v>offset 31</v>
      </c>
    </row>
    <row r="614" customFormat="false" ht="12.8" hidden="false" customHeight="false" outlineLevel="0" collapsed="false">
      <c r="A614" s="0" t="s">
        <v>12</v>
      </c>
      <c r="B614" s="0" t="n">
        <v>211906</v>
      </c>
      <c r="C614" s="0" t="n">
        <v>211926</v>
      </c>
      <c r="D614" s="0" t="s">
        <v>2050</v>
      </c>
      <c r="E614" s="0" t="s">
        <v>75</v>
      </c>
      <c r="F614" s="0" t="s">
        <v>15</v>
      </c>
      <c r="G614" s="0" t="s">
        <v>16</v>
      </c>
      <c r="H614" s="0" t="n">
        <v>51</v>
      </c>
      <c r="I614" s="0" t="s">
        <v>2057</v>
      </c>
      <c r="J614" s="0" t="s">
        <v>2058</v>
      </c>
      <c r="K614" s="0" t="s">
        <v>2059</v>
      </c>
      <c r="L614" s="0" t="str">
        <f aca="false">HYPERLINK("https://www.ncbi.nlm.nih.gov/nuccore/CP000058.1?report=graph&amp;tracks=[key:gene_model_track,Options:GeneOnly]&amp;mk=211857:211876|offset_1|444444,211887:211906|offset_31|444444,211907:211926|offset_51|00cc00,211935:211954|offset_79|444444&amp;v=211656:212154&amp;c=444444", "offset 51")</f>
        <v>offset 51</v>
      </c>
    </row>
    <row r="615" customFormat="false" ht="12.8" hidden="false" customHeight="false" outlineLevel="0" collapsed="false">
      <c r="A615" s="0" t="s">
        <v>12</v>
      </c>
      <c r="B615" s="0" t="n">
        <v>211934</v>
      </c>
      <c r="C615" s="0" t="n">
        <v>211954</v>
      </c>
      <c r="D615" s="0" t="s">
        <v>2050</v>
      </c>
      <c r="E615" s="0" t="s">
        <v>75</v>
      </c>
      <c r="F615" s="0" t="s">
        <v>15</v>
      </c>
      <c r="G615" s="0" t="s">
        <v>32</v>
      </c>
      <c r="H615" s="0" t="n">
        <v>79</v>
      </c>
      <c r="I615" s="0" t="s">
        <v>2060</v>
      </c>
      <c r="J615" s="0" t="s">
        <v>2061</v>
      </c>
      <c r="K615" s="0" t="s">
        <v>2062</v>
      </c>
      <c r="L615" s="0" t="str">
        <f aca="false">HYPERLINK("https://www.ncbi.nlm.nih.gov/nuccore/CP000058.1?report=graph&amp;tracks=[key:gene_model_track,Options:GeneOnly]&amp;mk=211857:211876|offset_1|444444,211887:211906|offset_31|444444,211907:211926|offset_51|444444,211935:211954|offset_79|00cc00&amp;v=211656:212154&amp;c=444444", "offset 79")</f>
        <v>offset 79</v>
      </c>
    </row>
    <row r="616" customFormat="false" ht="12.8" hidden="false" customHeight="false" outlineLevel="0" collapsed="false">
      <c r="A616" s="0" t="s">
        <v>12</v>
      </c>
      <c r="B616" s="0" t="n">
        <v>212972</v>
      </c>
      <c r="C616" s="0" t="n">
        <v>212992</v>
      </c>
      <c r="D616" s="0" t="s">
        <v>2063</v>
      </c>
      <c r="E616" s="0" t="s">
        <v>75</v>
      </c>
      <c r="F616" s="0" t="s">
        <v>15</v>
      </c>
      <c r="G616" s="0" t="s">
        <v>32</v>
      </c>
      <c r="H616" s="0" t="n">
        <v>7</v>
      </c>
      <c r="I616" s="0" t="s">
        <v>2064</v>
      </c>
      <c r="J616" s="0" t="s">
        <v>2065</v>
      </c>
      <c r="K616" s="0" t="s">
        <v>2066</v>
      </c>
      <c r="L616" s="0" t="str">
        <f aca="false">HYPERLINK("https://www.ncbi.nlm.nih.gov/nuccore/CP000058.1?report=graph&amp;tracks=[key:gene_model_track,Options:GeneOnly]&amp;mk=212973:212992|offset_7|00cc00,213053:213072|offset_87|444444,213078:213097|offset_112|444444,213098:213117|offset_132|444444&amp;v=212772:213317&amp;c=444444", "offset 7")</f>
        <v>offset 7</v>
      </c>
    </row>
    <row r="617" customFormat="false" ht="12.8" hidden="false" customHeight="false" outlineLevel="0" collapsed="false">
      <c r="A617" s="0" t="s">
        <v>12</v>
      </c>
      <c r="B617" s="0" t="n">
        <v>213052</v>
      </c>
      <c r="C617" s="0" t="n">
        <v>213072</v>
      </c>
      <c r="D617" s="0" t="s">
        <v>2063</v>
      </c>
      <c r="E617" s="0" t="s">
        <v>75</v>
      </c>
      <c r="F617" s="0" t="s">
        <v>15</v>
      </c>
      <c r="G617" s="0" t="s">
        <v>32</v>
      </c>
      <c r="H617" s="0" t="n">
        <v>87</v>
      </c>
      <c r="I617" s="0" t="s">
        <v>2067</v>
      </c>
      <c r="J617" s="0" t="s">
        <v>2068</v>
      </c>
      <c r="K617" s="0" t="s">
        <v>2069</v>
      </c>
      <c r="L617" s="0" t="str">
        <f aca="false">HYPERLINK("https://www.ncbi.nlm.nih.gov/nuccore/CP000058.1?report=graph&amp;tracks=[key:gene_model_track,Options:GeneOnly]&amp;mk=212973:212992|offset_7|444444,213053:213072|offset_87|00cc00,213078:213097|offset_112|444444,213098:213117|offset_132|444444&amp;v=212772:213317&amp;c=444444", "offset 87")</f>
        <v>offset 87</v>
      </c>
    </row>
    <row r="618" customFormat="false" ht="12.8" hidden="false" customHeight="false" outlineLevel="0" collapsed="false">
      <c r="A618" s="0" t="s">
        <v>12</v>
      </c>
      <c r="B618" s="0" t="n">
        <v>213077</v>
      </c>
      <c r="C618" s="0" t="n">
        <v>213097</v>
      </c>
      <c r="D618" s="0" t="s">
        <v>2063</v>
      </c>
      <c r="E618" s="0" t="s">
        <v>75</v>
      </c>
      <c r="F618" s="0" t="s">
        <v>15</v>
      </c>
      <c r="G618" s="0" t="s">
        <v>20</v>
      </c>
      <c r="H618" s="0" t="n">
        <v>112</v>
      </c>
      <c r="I618" s="0" t="s">
        <v>2070</v>
      </c>
      <c r="J618" s="0" t="s">
        <v>2071</v>
      </c>
      <c r="K618" s="0" t="s">
        <v>2072</v>
      </c>
      <c r="L618" s="0" t="str">
        <f aca="false">HYPERLINK("https://www.ncbi.nlm.nih.gov/nuccore/CP000058.1?report=graph&amp;tracks=[key:gene_model_track,Options:GeneOnly]&amp;mk=212973:212992|offset_7|444444,213053:213072|offset_87|444444,213078:213097|offset_112|00cc00,213098:213117|offset_132|444444&amp;v=212772:213317&amp;c=444444", "offset 112")</f>
        <v>offset 112</v>
      </c>
    </row>
    <row r="619" customFormat="false" ht="12.8" hidden="false" customHeight="false" outlineLevel="0" collapsed="false">
      <c r="A619" s="0" t="s">
        <v>12</v>
      </c>
      <c r="B619" s="0" t="n">
        <v>213097</v>
      </c>
      <c r="C619" s="0" t="n">
        <v>213117</v>
      </c>
      <c r="D619" s="0" t="s">
        <v>2063</v>
      </c>
      <c r="E619" s="0" t="s">
        <v>75</v>
      </c>
      <c r="F619" s="0" t="s">
        <v>15</v>
      </c>
      <c r="G619" s="0" t="s">
        <v>36</v>
      </c>
      <c r="H619" s="0" t="n">
        <v>132</v>
      </c>
      <c r="I619" s="0" t="s">
        <v>2073</v>
      </c>
      <c r="J619" s="0" t="s">
        <v>2074</v>
      </c>
      <c r="K619" s="0" t="s">
        <v>2075</v>
      </c>
      <c r="L619" s="0" t="str">
        <f aca="false">HYPERLINK("https://www.ncbi.nlm.nih.gov/nuccore/CP000058.1?report=graph&amp;tracks=[key:gene_model_track,Options:GeneOnly]&amp;mk=212973:212992|offset_7|444444,213053:213072|offset_87|444444,213078:213097|offset_112|444444,213098:213117|offset_132|00cc00&amp;v=212772:213317&amp;c=444444", "offset 132")</f>
        <v>offset 132</v>
      </c>
    </row>
    <row r="620" customFormat="false" ht="12.8" hidden="false" customHeight="false" outlineLevel="0" collapsed="false">
      <c r="A620" s="0" t="s">
        <v>12</v>
      </c>
      <c r="B620" s="0" t="n">
        <v>214097</v>
      </c>
      <c r="C620" s="0" t="n">
        <v>214117</v>
      </c>
      <c r="D620" s="0" t="s">
        <v>2076</v>
      </c>
      <c r="E620" s="0" t="s">
        <v>75</v>
      </c>
      <c r="F620" s="0" t="s">
        <v>15</v>
      </c>
      <c r="G620" s="0" t="s">
        <v>32</v>
      </c>
      <c r="H620" s="0" t="n">
        <v>8</v>
      </c>
      <c r="I620" s="0" t="s">
        <v>2077</v>
      </c>
      <c r="J620" s="0" t="s">
        <v>2078</v>
      </c>
      <c r="K620" s="0" t="s">
        <v>2079</v>
      </c>
      <c r="L620" s="0" t="str">
        <f aca="false">HYPERLINK("https://www.ncbi.nlm.nih.gov/nuccore/CP000058.1?report=graph&amp;tracks=[key:gene_model_track,Options:GeneOnly]&amp;mk=214098:214117|offset_8|00cc00,214131:214150|offset_41|444444,214175:214194|offset_85|444444,214238:214257|offset_148|444444&amp;v=213897:214457&amp;c=444444", "offset 8")</f>
        <v>offset 8</v>
      </c>
    </row>
    <row r="621" customFormat="false" ht="12.8" hidden="false" customHeight="false" outlineLevel="0" collapsed="false">
      <c r="A621" s="0" t="s">
        <v>12</v>
      </c>
      <c r="B621" s="0" t="n">
        <v>214130</v>
      </c>
      <c r="C621" s="0" t="n">
        <v>214150</v>
      </c>
      <c r="D621" s="0" t="s">
        <v>2076</v>
      </c>
      <c r="E621" s="0" t="s">
        <v>75</v>
      </c>
      <c r="F621" s="0" t="s">
        <v>15</v>
      </c>
      <c r="G621" s="0" t="s">
        <v>20</v>
      </c>
      <c r="H621" s="0" t="n">
        <v>41</v>
      </c>
      <c r="I621" s="0" t="s">
        <v>2080</v>
      </c>
      <c r="J621" s="0" t="s">
        <v>2081</v>
      </c>
      <c r="K621" s="0" t="s">
        <v>2082</v>
      </c>
      <c r="L621" s="0" t="str">
        <f aca="false">HYPERLINK("https://www.ncbi.nlm.nih.gov/nuccore/CP000058.1?report=graph&amp;tracks=[key:gene_model_track,Options:GeneOnly]&amp;mk=214098:214117|offset_8|444444,214131:214150|offset_41|00cc00,214175:214194|offset_85|444444,214238:214257|offset_148|444444&amp;v=213897:214457&amp;c=444444", "offset 41")</f>
        <v>offset 41</v>
      </c>
    </row>
    <row r="622" customFormat="false" ht="12.8" hidden="false" customHeight="false" outlineLevel="0" collapsed="false">
      <c r="A622" s="0" t="s">
        <v>12</v>
      </c>
      <c r="B622" s="0" t="n">
        <v>214174</v>
      </c>
      <c r="C622" s="0" t="n">
        <v>214194</v>
      </c>
      <c r="D622" s="0" t="s">
        <v>2076</v>
      </c>
      <c r="E622" s="0" t="s">
        <v>75</v>
      </c>
      <c r="F622" s="0" t="s">
        <v>15</v>
      </c>
      <c r="G622" s="0" t="s">
        <v>16</v>
      </c>
      <c r="H622" s="0" t="n">
        <v>85</v>
      </c>
      <c r="I622" s="0" t="s">
        <v>2083</v>
      </c>
      <c r="J622" s="0" t="s">
        <v>2084</v>
      </c>
      <c r="K622" s="0" t="s">
        <v>2085</v>
      </c>
      <c r="L622" s="0" t="str">
        <f aca="false">HYPERLINK("https://www.ncbi.nlm.nih.gov/nuccore/CP000058.1?report=graph&amp;tracks=[key:gene_model_track,Options:GeneOnly]&amp;mk=214098:214117|offset_8|444444,214131:214150|offset_41|444444,214175:214194|offset_85|00cc00,214238:214257|offset_148|444444&amp;v=213897:214457&amp;c=444444", "offset 85")</f>
        <v>offset 85</v>
      </c>
    </row>
    <row r="623" customFormat="false" ht="12.8" hidden="false" customHeight="false" outlineLevel="0" collapsed="false">
      <c r="A623" s="0" t="s">
        <v>12</v>
      </c>
      <c r="B623" s="0" t="n">
        <v>214237</v>
      </c>
      <c r="C623" s="0" t="n">
        <v>214257</v>
      </c>
      <c r="D623" s="0" t="s">
        <v>2076</v>
      </c>
      <c r="E623" s="0" t="s">
        <v>75</v>
      </c>
      <c r="F623" s="0" t="s">
        <v>15</v>
      </c>
      <c r="G623" s="0" t="s">
        <v>20</v>
      </c>
      <c r="H623" s="0" t="n">
        <v>148</v>
      </c>
      <c r="I623" s="0" t="s">
        <v>2086</v>
      </c>
      <c r="J623" s="0" t="s">
        <v>2087</v>
      </c>
      <c r="K623" s="0" t="s">
        <v>2088</v>
      </c>
      <c r="L623" s="0" t="str">
        <f aca="false">HYPERLINK("https://www.ncbi.nlm.nih.gov/nuccore/CP000058.1?report=graph&amp;tracks=[key:gene_model_track,Options:GeneOnly]&amp;mk=214098:214117|offset_8|444444,214131:214150|offset_41|444444,214175:214194|offset_85|444444,214238:214257|offset_148|00cc00&amp;v=213897:214457&amp;c=444444", "offset 148")</f>
        <v>offset 148</v>
      </c>
    </row>
    <row r="624" customFormat="false" ht="12.8" hidden="false" customHeight="false" outlineLevel="0" collapsed="false">
      <c r="A624" s="0" t="s">
        <v>12</v>
      </c>
      <c r="B624" s="0" t="n">
        <v>216837</v>
      </c>
      <c r="C624" s="0" t="n">
        <v>216857</v>
      </c>
      <c r="D624" s="0" t="s">
        <v>2089</v>
      </c>
      <c r="E624" s="0" t="s">
        <v>75</v>
      </c>
      <c r="F624" s="0" t="s">
        <v>15</v>
      </c>
      <c r="G624" s="0" t="s">
        <v>36</v>
      </c>
      <c r="H624" s="0" t="n">
        <v>28</v>
      </c>
      <c r="I624" s="0" t="s">
        <v>2090</v>
      </c>
      <c r="J624" s="0" t="s">
        <v>2091</v>
      </c>
      <c r="K624" s="0" t="s">
        <v>2092</v>
      </c>
      <c r="L624" s="0" t="str">
        <f aca="false">HYPERLINK("https://www.ncbi.nlm.nih.gov/nuccore/CP000058.1?report=graph&amp;tracks=[key:gene_model_track,Options:GeneOnly]&amp;mk=216838:216857|offset_28|00cc00,216866:216885|offset_56|444444,216888:216907|offset_78|444444,216921:216940|offset_111|444444&amp;v=216637:217140&amp;c=444444", "offset 28")</f>
        <v>offset 28</v>
      </c>
    </row>
    <row r="625" customFormat="false" ht="12.8" hidden="false" customHeight="false" outlineLevel="0" collapsed="false">
      <c r="A625" s="0" t="s">
        <v>12</v>
      </c>
      <c r="B625" s="0" t="n">
        <v>216865</v>
      </c>
      <c r="C625" s="0" t="n">
        <v>216885</v>
      </c>
      <c r="D625" s="0" t="s">
        <v>2089</v>
      </c>
      <c r="E625" s="0" t="s">
        <v>75</v>
      </c>
      <c r="F625" s="0" t="s">
        <v>15</v>
      </c>
      <c r="G625" s="0" t="s">
        <v>16</v>
      </c>
      <c r="H625" s="0" t="n">
        <v>56</v>
      </c>
      <c r="I625" s="0" t="s">
        <v>2093</v>
      </c>
      <c r="J625" s="0" t="s">
        <v>2094</v>
      </c>
      <c r="K625" s="0" t="s">
        <v>2095</v>
      </c>
      <c r="L625" s="0" t="str">
        <f aca="false">HYPERLINK("https://www.ncbi.nlm.nih.gov/nuccore/CP000058.1?report=graph&amp;tracks=[key:gene_model_track,Options:GeneOnly]&amp;mk=216838:216857|offset_28|444444,216866:216885|offset_56|00cc00,216888:216907|offset_78|444444,216921:216940|offset_111|444444&amp;v=216637:217140&amp;c=444444", "offset 56")</f>
        <v>offset 56</v>
      </c>
    </row>
    <row r="626" customFormat="false" ht="12.8" hidden="false" customHeight="false" outlineLevel="0" collapsed="false">
      <c r="A626" s="0" t="s">
        <v>12</v>
      </c>
      <c r="B626" s="0" t="n">
        <v>216887</v>
      </c>
      <c r="C626" s="0" t="n">
        <v>216907</v>
      </c>
      <c r="D626" s="0" t="s">
        <v>2089</v>
      </c>
      <c r="E626" s="0" t="s">
        <v>75</v>
      </c>
      <c r="F626" s="0" t="s">
        <v>15</v>
      </c>
      <c r="G626" s="0" t="s">
        <v>32</v>
      </c>
      <c r="H626" s="0" t="n">
        <v>78</v>
      </c>
      <c r="I626" s="0" t="s">
        <v>2096</v>
      </c>
      <c r="J626" s="0" t="s">
        <v>2097</v>
      </c>
      <c r="K626" s="0" t="s">
        <v>2098</v>
      </c>
      <c r="L626" s="0" t="str">
        <f aca="false">HYPERLINK("https://www.ncbi.nlm.nih.gov/nuccore/CP000058.1?report=graph&amp;tracks=[key:gene_model_track,Options:GeneOnly]&amp;mk=216838:216857|offset_28|444444,216866:216885|offset_56|444444,216888:216907|offset_78|00cc00,216921:216940|offset_111|444444&amp;v=216637:217140&amp;c=444444", "offset 78")</f>
        <v>offset 78</v>
      </c>
    </row>
    <row r="627" customFormat="false" ht="12.8" hidden="false" customHeight="false" outlineLevel="0" collapsed="false">
      <c r="A627" s="0" t="s">
        <v>12</v>
      </c>
      <c r="B627" s="0" t="n">
        <v>216920</v>
      </c>
      <c r="C627" s="0" t="n">
        <v>216940</v>
      </c>
      <c r="D627" s="0" t="s">
        <v>2089</v>
      </c>
      <c r="E627" s="0" t="s">
        <v>75</v>
      </c>
      <c r="F627" s="0" t="s">
        <v>15</v>
      </c>
      <c r="G627" s="0" t="s">
        <v>36</v>
      </c>
      <c r="H627" s="0" t="n">
        <v>111</v>
      </c>
      <c r="I627" s="0" t="s">
        <v>2099</v>
      </c>
      <c r="J627" s="0" t="s">
        <v>2100</v>
      </c>
      <c r="K627" s="0" t="s">
        <v>2101</v>
      </c>
      <c r="L627" s="0" t="str">
        <f aca="false">HYPERLINK("https://www.ncbi.nlm.nih.gov/nuccore/CP000058.1?report=graph&amp;tracks=[key:gene_model_track,Options:GeneOnly]&amp;mk=216838:216857|offset_28|444444,216866:216885|offset_56|444444,216888:216907|offset_78|444444,216921:216940|offset_111|00cc00&amp;v=216637:217140&amp;c=444444", "offset 111")</f>
        <v>offset 111</v>
      </c>
    </row>
    <row r="628" customFormat="false" ht="12.8" hidden="false" customHeight="false" outlineLevel="0" collapsed="false">
      <c r="A628" s="0" t="s">
        <v>12</v>
      </c>
      <c r="B628" s="0" t="n">
        <v>221109</v>
      </c>
      <c r="C628" s="0" t="n">
        <v>221129</v>
      </c>
      <c r="D628" s="0" t="s">
        <v>2102</v>
      </c>
      <c r="E628" s="0" t="s">
        <v>75</v>
      </c>
      <c r="F628" s="0" t="s">
        <v>90</v>
      </c>
      <c r="G628" s="0" t="s">
        <v>20</v>
      </c>
      <c r="H628" s="0" t="n">
        <v>20</v>
      </c>
      <c r="I628" s="0" t="s">
        <v>2103</v>
      </c>
      <c r="J628" s="0" t="s">
        <v>2104</v>
      </c>
      <c r="K628" s="0" t="s">
        <v>2105</v>
      </c>
      <c r="L628" s="0" t="str">
        <f aca="false">HYPERLINK("https://www.ncbi.nlm.nih.gov/nuccore/CP000058.1?report=graph&amp;tracks=[key:gene_model_track,Options:GeneOnly]&amp;mk=221110:221129|offset_20|00cc00,221086:221105|offset_44|444444,221059:221078|offset_71|444444,221021:221040|offset_109|444444&amp;v=220909:221240&amp;c=444444", "offset 20")</f>
        <v>offset 20</v>
      </c>
    </row>
    <row r="629" customFormat="false" ht="12.8" hidden="false" customHeight="false" outlineLevel="0" collapsed="false">
      <c r="A629" s="0" t="s">
        <v>12</v>
      </c>
      <c r="B629" s="0" t="n">
        <v>221085</v>
      </c>
      <c r="C629" s="0" t="n">
        <v>221105</v>
      </c>
      <c r="D629" s="0" t="s">
        <v>2102</v>
      </c>
      <c r="E629" s="0" t="s">
        <v>75</v>
      </c>
      <c r="F629" s="0" t="s">
        <v>90</v>
      </c>
      <c r="G629" s="0" t="s">
        <v>20</v>
      </c>
      <c r="H629" s="0" t="n">
        <v>44</v>
      </c>
      <c r="I629" s="0" t="s">
        <v>2106</v>
      </c>
      <c r="J629" s="0" t="s">
        <v>2107</v>
      </c>
      <c r="K629" s="0" t="s">
        <v>2108</v>
      </c>
      <c r="L629" s="0" t="str">
        <f aca="false">HYPERLINK("https://www.ncbi.nlm.nih.gov/nuccore/CP000058.1?report=graph&amp;tracks=[key:gene_model_track,Options:GeneOnly]&amp;mk=221110:221129|offset_20|444444,221086:221105|offset_44|00cc00,221059:221078|offset_71|444444,221021:221040|offset_109|444444&amp;v=220909:221240&amp;c=444444", "offset 44")</f>
        <v>offset 44</v>
      </c>
    </row>
    <row r="630" customFormat="false" ht="12.8" hidden="false" customHeight="false" outlineLevel="0" collapsed="false">
      <c r="A630" s="0" t="s">
        <v>12</v>
      </c>
      <c r="B630" s="0" t="n">
        <v>221058</v>
      </c>
      <c r="C630" s="0" t="n">
        <v>221078</v>
      </c>
      <c r="D630" s="0" t="s">
        <v>2102</v>
      </c>
      <c r="E630" s="0" t="s">
        <v>75</v>
      </c>
      <c r="F630" s="0" t="s">
        <v>90</v>
      </c>
      <c r="G630" s="0" t="s">
        <v>16</v>
      </c>
      <c r="H630" s="0" t="n">
        <v>71</v>
      </c>
      <c r="I630" s="0" t="s">
        <v>2109</v>
      </c>
      <c r="J630" s="0" t="s">
        <v>2110</v>
      </c>
      <c r="K630" s="0" t="s">
        <v>2111</v>
      </c>
      <c r="L630" s="0" t="str">
        <f aca="false">HYPERLINK("https://www.ncbi.nlm.nih.gov/nuccore/CP000058.1?report=graph&amp;tracks=[key:gene_model_track,Options:GeneOnly]&amp;mk=221110:221129|offset_20|444444,221086:221105|offset_44|444444,221059:221078|offset_71|00cc00,221021:221040|offset_109|444444&amp;v=220909:221240&amp;c=444444", "offset 71")</f>
        <v>offset 71</v>
      </c>
    </row>
    <row r="631" customFormat="false" ht="12.8" hidden="false" customHeight="false" outlineLevel="0" collapsed="false">
      <c r="A631" s="0" t="s">
        <v>12</v>
      </c>
      <c r="B631" s="0" t="n">
        <v>221020</v>
      </c>
      <c r="C631" s="0" t="n">
        <v>221040</v>
      </c>
      <c r="D631" s="0" t="s">
        <v>2102</v>
      </c>
      <c r="E631" s="0" t="s">
        <v>75</v>
      </c>
      <c r="F631" s="0" t="s">
        <v>90</v>
      </c>
      <c r="G631" s="0" t="s">
        <v>16</v>
      </c>
      <c r="H631" s="0" t="n">
        <v>109</v>
      </c>
      <c r="I631" s="0" t="s">
        <v>2112</v>
      </c>
      <c r="J631" s="0" t="s">
        <v>2113</v>
      </c>
      <c r="K631" s="0" t="s">
        <v>2114</v>
      </c>
      <c r="L631" s="0" t="str">
        <f aca="false">HYPERLINK("https://www.ncbi.nlm.nih.gov/nuccore/CP000058.1?report=graph&amp;tracks=[key:gene_model_track,Options:GeneOnly]&amp;mk=221110:221129|offset_20|444444,221086:221105|offset_44|444444,221059:221078|offset_71|444444,221021:221040|offset_109|00cc00&amp;v=220909:221240&amp;c=444444", "offset 109")</f>
        <v>offset 109</v>
      </c>
    </row>
    <row r="632" customFormat="false" ht="12.8" hidden="false" customHeight="false" outlineLevel="0" collapsed="false">
      <c r="A632" s="0" t="s">
        <v>12</v>
      </c>
      <c r="B632" s="0" t="n">
        <v>222472</v>
      </c>
      <c r="C632" s="0" t="n">
        <v>222492</v>
      </c>
      <c r="D632" s="0" t="s">
        <v>2115</v>
      </c>
      <c r="E632" s="0" t="s">
        <v>75</v>
      </c>
      <c r="F632" s="0" t="s">
        <v>90</v>
      </c>
      <c r="G632" s="0" t="s">
        <v>32</v>
      </c>
      <c r="H632" s="0" t="n">
        <v>62</v>
      </c>
      <c r="I632" s="0" t="s">
        <v>2116</v>
      </c>
      <c r="J632" s="0" t="s">
        <v>2117</v>
      </c>
      <c r="K632" s="0" t="s">
        <v>2118</v>
      </c>
      <c r="L632" s="0" t="str">
        <f aca="false">HYPERLINK("https://www.ncbi.nlm.nih.gov/nuccore/CP000058.1?report=graph&amp;tracks=[key:gene_model_track,Options:GeneOnly]&amp;mk=222473:222492|offset_62|00cc00,222445:222464|offset_90|444444,222415:222434|offset_120|444444,222391:222410|offset_144|444444&amp;v=222272:222610&amp;c=444444", "offset 62")</f>
        <v>offset 62</v>
      </c>
    </row>
    <row r="633" customFormat="false" ht="12.8" hidden="false" customHeight="false" outlineLevel="0" collapsed="false">
      <c r="A633" s="0" t="s">
        <v>12</v>
      </c>
      <c r="B633" s="0" t="n">
        <v>222444</v>
      </c>
      <c r="C633" s="0" t="n">
        <v>222464</v>
      </c>
      <c r="D633" s="0" t="s">
        <v>2115</v>
      </c>
      <c r="E633" s="0" t="s">
        <v>75</v>
      </c>
      <c r="F633" s="0" t="s">
        <v>90</v>
      </c>
      <c r="G633" s="0" t="s">
        <v>32</v>
      </c>
      <c r="H633" s="0" t="n">
        <v>90</v>
      </c>
      <c r="I633" s="0" t="s">
        <v>2119</v>
      </c>
      <c r="J633" s="0" t="s">
        <v>2120</v>
      </c>
      <c r="K633" s="0" t="s">
        <v>2121</v>
      </c>
      <c r="L633" s="0" t="str">
        <f aca="false">HYPERLINK("https://www.ncbi.nlm.nih.gov/nuccore/CP000058.1?report=graph&amp;tracks=[key:gene_model_track,Options:GeneOnly]&amp;mk=222473:222492|offset_62|444444,222445:222464|offset_90|00cc00,222415:222434|offset_120|444444,222391:222410|offset_144|444444&amp;v=222272:222610&amp;c=444444", "offset 90")</f>
        <v>offset 90</v>
      </c>
    </row>
    <row r="634" customFormat="false" ht="12.8" hidden="false" customHeight="false" outlineLevel="0" collapsed="false">
      <c r="A634" s="0" t="s">
        <v>12</v>
      </c>
      <c r="B634" s="0" t="n">
        <v>222414</v>
      </c>
      <c r="C634" s="0" t="n">
        <v>222434</v>
      </c>
      <c r="D634" s="0" t="s">
        <v>2115</v>
      </c>
      <c r="E634" s="0" t="s">
        <v>75</v>
      </c>
      <c r="F634" s="0" t="s">
        <v>90</v>
      </c>
      <c r="G634" s="0" t="s">
        <v>36</v>
      </c>
      <c r="H634" s="0" t="n">
        <v>120</v>
      </c>
      <c r="I634" s="0" t="s">
        <v>2122</v>
      </c>
      <c r="J634" s="0" t="s">
        <v>2123</v>
      </c>
      <c r="K634" s="0" t="s">
        <v>2124</v>
      </c>
      <c r="L634" s="0" t="str">
        <f aca="false">HYPERLINK("https://www.ncbi.nlm.nih.gov/nuccore/CP000058.1?report=graph&amp;tracks=[key:gene_model_track,Options:GeneOnly]&amp;mk=222473:222492|offset_62|444444,222445:222464|offset_90|444444,222415:222434|offset_120|00cc00,222391:222410|offset_144|444444&amp;v=222272:222610&amp;c=444444", "offset 120")</f>
        <v>offset 120</v>
      </c>
    </row>
    <row r="635" customFormat="false" ht="12.8" hidden="false" customHeight="false" outlineLevel="0" collapsed="false">
      <c r="A635" s="0" t="s">
        <v>12</v>
      </c>
      <c r="B635" s="0" t="n">
        <v>222390</v>
      </c>
      <c r="C635" s="0" t="n">
        <v>222410</v>
      </c>
      <c r="D635" s="0" t="s">
        <v>2115</v>
      </c>
      <c r="E635" s="0" t="s">
        <v>75</v>
      </c>
      <c r="F635" s="0" t="s">
        <v>90</v>
      </c>
      <c r="G635" s="0" t="s">
        <v>36</v>
      </c>
      <c r="H635" s="0" t="n">
        <v>144</v>
      </c>
      <c r="I635" s="0" t="s">
        <v>2125</v>
      </c>
      <c r="J635" s="0" t="s">
        <v>2126</v>
      </c>
      <c r="K635" s="0" t="s">
        <v>2127</v>
      </c>
      <c r="L635" s="0" t="str">
        <f aca="false">HYPERLINK("https://www.ncbi.nlm.nih.gov/nuccore/CP000058.1?report=graph&amp;tracks=[key:gene_model_track,Options:GeneOnly]&amp;mk=222473:222492|offset_62|444444,222445:222464|offset_90|444444,222415:222434|offset_120|444444,222391:222410|offset_144|00cc00&amp;v=222272:222610&amp;c=444444", "offset 144")</f>
        <v>offset 144</v>
      </c>
    </row>
    <row r="636" customFormat="false" ht="12.8" hidden="false" customHeight="false" outlineLevel="0" collapsed="false">
      <c r="A636" s="0" t="s">
        <v>12</v>
      </c>
      <c r="B636" s="0" t="n">
        <v>222685</v>
      </c>
      <c r="C636" s="0" t="n">
        <v>222705</v>
      </c>
      <c r="D636" s="0" t="s">
        <v>2128</v>
      </c>
      <c r="E636" s="0" t="s">
        <v>75</v>
      </c>
      <c r="F636" s="0" t="s">
        <v>15</v>
      </c>
      <c r="G636" s="0" t="s">
        <v>20</v>
      </c>
      <c r="H636" s="0" t="n">
        <v>26</v>
      </c>
      <c r="I636" s="0" t="s">
        <v>2129</v>
      </c>
      <c r="J636" s="0" t="s">
        <v>2130</v>
      </c>
      <c r="K636" s="0" t="s">
        <v>2131</v>
      </c>
      <c r="L636" s="0" t="str">
        <f aca="false">HYPERLINK("https://www.ncbi.nlm.nih.gov/nuccore/CP000058.1?report=graph&amp;tracks=[key:gene_model_track,Options:GeneOnly]&amp;mk=222686:222705|offset_26|00cc00,222710:222729|offset_50|444444,222738:222757|offset_78|444444,222766:222785|offset_106|444444&amp;v=222485:222985&amp;c=444444", "offset 26")</f>
        <v>offset 26</v>
      </c>
    </row>
    <row r="637" customFormat="false" ht="12.8" hidden="false" customHeight="false" outlineLevel="0" collapsed="false">
      <c r="A637" s="0" t="s">
        <v>12</v>
      </c>
      <c r="B637" s="0" t="n">
        <v>222709</v>
      </c>
      <c r="C637" s="0" t="n">
        <v>222729</v>
      </c>
      <c r="D637" s="0" t="s">
        <v>2128</v>
      </c>
      <c r="E637" s="0" t="s">
        <v>75</v>
      </c>
      <c r="F637" s="0" t="s">
        <v>15</v>
      </c>
      <c r="G637" s="0" t="s">
        <v>16</v>
      </c>
      <c r="H637" s="0" t="n">
        <v>50</v>
      </c>
      <c r="I637" s="0" t="s">
        <v>2132</v>
      </c>
      <c r="J637" s="0" t="s">
        <v>2133</v>
      </c>
      <c r="K637" s="0" t="s">
        <v>2134</v>
      </c>
      <c r="L637" s="0" t="str">
        <f aca="false">HYPERLINK("https://www.ncbi.nlm.nih.gov/nuccore/CP000058.1?report=graph&amp;tracks=[key:gene_model_track,Options:GeneOnly]&amp;mk=222686:222705|offset_26|444444,222710:222729|offset_50|00cc00,222738:222757|offset_78|444444,222766:222785|offset_106|444444&amp;v=222485:222985&amp;c=444444", "offset 50")</f>
        <v>offset 50</v>
      </c>
    </row>
    <row r="638" customFormat="false" ht="12.8" hidden="false" customHeight="false" outlineLevel="0" collapsed="false">
      <c r="A638" s="0" t="s">
        <v>12</v>
      </c>
      <c r="B638" s="0" t="n">
        <v>222737</v>
      </c>
      <c r="C638" s="0" t="n">
        <v>222757</v>
      </c>
      <c r="D638" s="0" t="s">
        <v>2128</v>
      </c>
      <c r="E638" s="0" t="s">
        <v>75</v>
      </c>
      <c r="F638" s="0" t="s">
        <v>15</v>
      </c>
      <c r="G638" s="0" t="s">
        <v>16</v>
      </c>
      <c r="H638" s="0" t="n">
        <v>78</v>
      </c>
      <c r="I638" s="0" t="s">
        <v>2135</v>
      </c>
      <c r="J638" s="0" t="s">
        <v>2136</v>
      </c>
      <c r="K638" s="0" t="s">
        <v>2137</v>
      </c>
      <c r="L638" s="0" t="str">
        <f aca="false">HYPERLINK("https://www.ncbi.nlm.nih.gov/nuccore/CP000058.1?report=graph&amp;tracks=[key:gene_model_track,Options:GeneOnly]&amp;mk=222686:222705|offset_26|444444,222710:222729|offset_50|444444,222738:222757|offset_78|00cc00,222766:222785|offset_106|444444&amp;v=222485:222985&amp;c=444444", "offset 78")</f>
        <v>offset 78</v>
      </c>
    </row>
    <row r="639" customFormat="false" ht="12.8" hidden="false" customHeight="false" outlineLevel="0" collapsed="false">
      <c r="A639" s="0" t="s">
        <v>12</v>
      </c>
      <c r="B639" s="0" t="n">
        <v>222765</v>
      </c>
      <c r="C639" s="0" t="n">
        <v>222785</v>
      </c>
      <c r="D639" s="0" t="s">
        <v>2128</v>
      </c>
      <c r="E639" s="0" t="s">
        <v>75</v>
      </c>
      <c r="F639" s="0" t="s">
        <v>15</v>
      </c>
      <c r="G639" s="0" t="s">
        <v>36</v>
      </c>
      <c r="H639" s="0" t="n">
        <v>106</v>
      </c>
      <c r="I639" s="0" t="s">
        <v>2138</v>
      </c>
      <c r="J639" s="0" t="s">
        <v>2139</v>
      </c>
      <c r="K639" s="0" t="s">
        <v>2140</v>
      </c>
      <c r="L639" s="0" t="str">
        <f aca="false">HYPERLINK("https://www.ncbi.nlm.nih.gov/nuccore/CP000058.1?report=graph&amp;tracks=[key:gene_model_track,Options:GeneOnly]&amp;mk=222686:222705|offset_26|444444,222710:222729|offset_50|444444,222738:222757|offset_78|444444,222766:222785|offset_106|00cc00&amp;v=222485:222985&amp;c=444444", "offset 106")</f>
        <v>offset 106</v>
      </c>
    </row>
    <row r="640" customFormat="false" ht="12.8" hidden="false" customHeight="false" outlineLevel="0" collapsed="false">
      <c r="A640" s="0" t="s">
        <v>12</v>
      </c>
      <c r="B640" s="0" t="n">
        <v>224637</v>
      </c>
      <c r="C640" s="0" t="n">
        <v>224657</v>
      </c>
      <c r="D640" s="0" t="s">
        <v>2141</v>
      </c>
      <c r="E640" s="0" t="s">
        <v>75</v>
      </c>
      <c r="F640" s="0" t="s">
        <v>90</v>
      </c>
      <c r="G640" s="0" t="s">
        <v>36</v>
      </c>
      <c r="H640" s="0" t="n">
        <v>0</v>
      </c>
      <c r="I640" s="0" t="s">
        <v>2142</v>
      </c>
      <c r="J640" s="0" t="s">
        <v>2143</v>
      </c>
      <c r="K640" s="0" t="s">
        <v>2144</v>
      </c>
      <c r="L640" s="0" t="str">
        <f aca="false">HYPERLINK("https://www.ncbi.nlm.nih.gov/nuccore/CP000058.1?report=graph&amp;tracks=[key:gene_model_track,Options:GeneOnly]&amp;mk=224638:224657|offset_0|00cc00,224613:224632|offset_25|444444,224591:224610|offset_47|444444,224556:224575|offset_82|444444&amp;v=224437:224775&amp;c=444444", "offset 0")</f>
        <v>offset 0</v>
      </c>
    </row>
    <row r="641" customFormat="false" ht="12.8" hidden="false" customHeight="false" outlineLevel="0" collapsed="false">
      <c r="A641" s="0" t="s">
        <v>12</v>
      </c>
      <c r="B641" s="0" t="n">
        <v>224612</v>
      </c>
      <c r="C641" s="0" t="n">
        <v>224632</v>
      </c>
      <c r="D641" s="0" t="s">
        <v>2141</v>
      </c>
      <c r="E641" s="0" t="s">
        <v>75</v>
      </c>
      <c r="F641" s="0" t="s">
        <v>90</v>
      </c>
      <c r="G641" s="0" t="s">
        <v>32</v>
      </c>
      <c r="H641" s="0" t="n">
        <v>25</v>
      </c>
      <c r="I641" s="0" t="s">
        <v>2145</v>
      </c>
      <c r="J641" s="0" t="s">
        <v>2146</v>
      </c>
      <c r="K641" s="0" t="s">
        <v>2147</v>
      </c>
      <c r="L641" s="0" t="str">
        <f aca="false">HYPERLINK("https://www.ncbi.nlm.nih.gov/nuccore/CP000058.1?report=graph&amp;tracks=[key:gene_model_track,Options:GeneOnly]&amp;mk=224638:224657|offset_0|444444,224613:224632|offset_25|00cc00,224591:224610|offset_47|444444,224556:224575|offset_82|444444&amp;v=224437:224775&amp;c=444444", "offset 25")</f>
        <v>offset 25</v>
      </c>
    </row>
    <row r="642" customFormat="false" ht="12.8" hidden="false" customHeight="false" outlineLevel="0" collapsed="false">
      <c r="A642" s="0" t="s">
        <v>12</v>
      </c>
      <c r="B642" s="0" t="n">
        <v>224590</v>
      </c>
      <c r="C642" s="0" t="n">
        <v>224610</v>
      </c>
      <c r="D642" s="0" t="s">
        <v>2141</v>
      </c>
      <c r="E642" s="0" t="s">
        <v>75</v>
      </c>
      <c r="F642" s="0" t="s">
        <v>90</v>
      </c>
      <c r="G642" s="0" t="s">
        <v>20</v>
      </c>
      <c r="H642" s="0" t="n">
        <v>47</v>
      </c>
      <c r="I642" s="0" t="s">
        <v>2148</v>
      </c>
      <c r="J642" s="0" t="s">
        <v>2149</v>
      </c>
      <c r="K642" s="0" t="s">
        <v>2150</v>
      </c>
      <c r="L642" s="0" t="str">
        <f aca="false">HYPERLINK("https://www.ncbi.nlm.nih.gov/nuccore/CP000058.1?report=graph&amp;tracks=[key:gene_model_track,Options:GeneOnly]&amp;mk=224638:224657|offset_0|444444,224613:224632|offset_25|444444,224591:224610|offset_47|00cc00,224556:224575|offset_82|444444&amp;v=224437:224775&amp;c=444444", "offset 47")</f>
        <v>offset 47</v>
      </c>
    </row>
    <row r="643" customFormat="false" ht="12.8" hidden="false" customHeight="false" outlineLevel="0" collapsed="false">
      <c r="A643" s="0" t="s">
        <v>12</v>
      </c>
      <c r="B643" s="0" t="n">
        <v>224555</v>
      </c>
      <c r="C643" s="0" t="n">
        <v>224575</v>
      </c>
      <c r="D643" s="0" t="s">
        <v>2141</v>
      </c>
      <c r="E643" s="0" t="s">
        <v>75</v>
      </c>
      <c r="F643" s="0" t="s">
        <v>90</v>
      </c>
      <c r="G643" s="0" t="s">
        <v>36</v>
      </c>
      <c r="H643" s="0" t="n">
        <v>82</v>
      </c>
      <c r="I643" s="0" t="s">
        <v>2151</v>
      </c>
      <c r="J643" s="0" t="s">
        <v>2152</v>
      </c>
      <c r="K643" s="0" t="s">
        <v>2153</v>
      </c>
      <c r="L643" s="0" t="str">
        <f aca="false">HYPERLINK("https://www.ncbi.nlm.nih.gov/nuccore/CP000058.1?report=graph&amp;tracks=[key:gene_model_track,Options:GeneOnly]&amp;mk=224638:224657|offset_0|444444,224613:224632|offset_25|444444,224591:224610|offset_47|444444,224556:224575|offset_82|00cc00&amp;v=224437:224775&amp;c=444444", "offset 82")</f>
        <v>offset 82</v>
      </c>
    </row>
    <row r="644" customFormat="false" ht="12.8" hidden="false" customHeight="false" outlineLevel="0" collapsed="false">
      <c r="A644" s="0" t="s">
        <v>12</v>
      </c>
      <c r="B644" s="0" t="n">
        <v>224980</v>
      </c>
      <c r="C644" s="0" t="n">
        <v>225000</v>
      </c>
      <c r="D644" s="0" t="s">
        <v>2154</v>
      </c>
      <c r="E644" s="0" t="s">
        <v>75</v>
      </c>
      <c r="F644" s="0" t="s">
        <v>15</v>
      </c>
      <c r="G644" s="0" t="s">
        <v>32</v>
      </c>
      <c r="H644" s="0" t="n">
        <v>29</v>
      </c>
      <c r="I644" s="0" t="s">
        <v>2155</v>
      </c>
      <c r="J644" s="0" t="s">
        <v>2156</v>
      </c>
      <c r="K644" s="0" t="s">
        <v>2157</v>
      </c>
      <c r="L644" s="0" t="str">
        <f aca="false">HYPERLINK("https://www.ncbi.nlm.nih.gov/nuccore/CP000058.1?report=graph&amp;tracks=[key:gene_model_track,Options:GeneOnly]&amp;mk=224981:225000|offset_29|00cc00,225002:225021|offset_50|444444,225046:225065|offset_94|444444,225082:225101|offset_130|444444&amp;v=224780:225301&amp;c=444444", "offset 29")</f>
        <v>offset 29</v>
      </c>
    </row>
    <row r="645" customFormat="false" ht="12.8" hidden="false" customHeight="false" outlineLevel="0" collapsed="false">
      <c r="A645" s="0" t="s">
        <v>12</v>
      </c>
      <c r="B645" s="0" t="n">
        <v>225001</v>
      </c>
      <c r="C645" s="0" t="n">
        <v>225021</v>
      </c>
      <c r="D645" s="0" t="s">
        <v>2154</v>
      </c>
      <c r="E645" s="0" t="s">
        <v>75</v>
      </c>
      <c r="F645" s="0" t="s">
        <v>15</v>
      </c>
      <c r="G645" s="0" t="s">
        <v>32</v>
      </c>
      <c r="H645" s="0" t="n">
        <v>50</v>
      </c>
      <c r="I645" s="0" t="s">
        <v>2158</v>
      </c>
      <c r="J645" s="0" t="s">
        <v>2159</v>
      </c>
      <c r="K645" s="0" t="s">
        <v>2160</v>
      </c>
      <c r="L645" s="0" t="str">
        <f aca="false">HYPERLINK("https://www.ncbi.nlm.nih.gov/nuccore/CP000058.1?report=graph&amp;tracks=[key:gene_model_track,Options:GeneOnly]&amp;mk=224981:225000|offset_29|444444,225002:225021|offset_50|00cc00,225046:225065|offset_94|444444,225082:225101|offset_130|444444&amp;v=224780:225301&amp;c=444444", "offset 50")</f>
        <v>offset 50</v>
      </c>
    </row>
    <row r="646" customFormat="false" ht="12.8" hidden="false" customHeight="false" outlineLevel="0" collapsed="false">
      <c r="A646" s="0" t="s">
        <v>12</v>
      </c>
      <c r="B646" s="0" t="n">
        <v>225045</v>
      </c>
      <c r="C646" s="0" t="n">
        <v>225065</v>
      </c>
      <c r="D646" s="0" t="s">
        <v>2154</v>
      </c>
      <c r="E646" s="0" t="s">
        <v>75</v>
      </c>
      <c r="F646" s="0" t="s">
        <v>15</v>
      </c>
      <c r="G646" s="0" t="s">
        <v>32</v>
      </c>
      <c r="H646" s="0" t="n">
        <v>94</v>
      </c>
      <c r="I646" s="0" t="s">
        <v>2161</v>
      </c>
      <c r="J646" s="0" t="s">
        <v>2162</v>
      </c>
      <c r="K646" s="0" t="s">
        <v>2163</v>
      </c>
      <c r="L646" s="0" t="str">
        <f aca="false">HYPERLINK("https://www.ncbi.nlm.nih.gov/nuccore/CP000058.1?report=graph&amp;tracks=[key:gene_model_track,Options:GeneOnly]&amp;mk=224981:225000|offset_29|444444,225002:225021|offset_50|444444,225046:225065|offset_94|00cc00,225082:225101|offset_130|444444&amp;v=224780:225301&amp;c=444444", "offset 94")</f>
        <v>offset 94</v>
      </c>
    </row>
    <row r="647" customFormat="false" ht="12.8" hidden="false" customHeight="false" outlineLevel="0" collapsed="false">
      <c r="A647" s="0" t="s">
        <v>12</v>
      </c>
      <c r="B647" s="0" t="n">
        <v>225081</v>
      </c>
      <c r="C647" s="0" t="n">
        <v>225101</v>
      </c>
      <c r="D647" s="0" t="s">
        <v>2154</v>
      </c>
      <c r="E647" s="0" t="s">
        <v>75</v>
      </c>
      <c r="F647" s="0" t="s">
        <v>15</v>
      </c>
      <c r="G647" s="0" t="s">
        <v>20</v>
      </c>
      <c r="H647" s="0" t="n">
        <v>130</v>
      </c>
      <c r="I647" s="0" t="s">
        <v>2164</v>
      </c>
      <c r="J647" s="0" t="s">
        <v>2165</v>
      </c>
      <c r="K647" s="0" t="s">
        <v>2166</v>
      </c>
      <c r="L647" s="0" t="str">
        <f aca="false">HYPERLINK("https://www.ncbi.nlm.nih.gov/nuccore/CP000058.1?report=graph&amp;tracks=[key:gene_model_track,Options:GeneOnly]&amp;mk=224981:225000|offset_29|444444,225002:225021|offset_50|444444,225046:225065|offset_94|444444,225082:225101|offset_130|00cc00&amp;v=224780:225301&amp;c=444444", "offset 130")</f>
        <v>offset 130</v>
      </c>
    </row>
    <row r="648" customFormat="false" ht="12.8" hidden="false" customHeight="false" outlineLevel="0" collapsed="false">
      <c r="A648" s="0" t="s">
        <v>12</v>
      </c>
      <c r="B648" s="0" t="n">
        <v>226781</v>
      </c>
      <c r="C648" s="0" t="n">
        <v>226801</v>
      </c>
      <c r="D648" s="0" t="s">
        <v>2167</v>
      </c>
      <c r="E648" s="0" t="s">
        <v>75</v>
      </c>
      <c r="F648" s="0" t="s">
        <v>90</v>
      </c>
      <c r="G648" s="0" t="s">
        <v>36</v>
      </c>
      <c r="H648" s="0" t="n">
        <v>16</v>
      </c>
      <c r="I648" s="0" t="s">
        <v>2168</v>
      </c>
      <c r="J648" s="0" t="s">
        <v>2169</v>
      </c>
      <c r="K648" s="0" t="s">
        <v>2170</v>
      </c>
      <c r="L648" s="0" t="str">
        <f aca="false">HYPERLINK("https://www.ncbi.nlm.nih.gov/nuccore/CP000058.1?report=graph&amp;tracks=[key:gene_model_track,Options:GeneOnly]&amp;mk=226782:226801|offset_16|00cc00,226756:226775|offset_42|444444,226683:226702|offset_115|444444,226625:226644|offset_173|444444&amp;v=226581:226844&amp;c=444444", "offset 16")</f>
        <v>offset 16</v>
      </c>
    </row>
    <row r="649" customFormat="false" ht="12.8" hidden="false" customHeight="false" outlineLevel="0" collapsed="false">
      <c r="A649" s="0" t="s">
        <v>12</v>
      </c>
      <c r="B649" s="0" t="n">
        <v>226755</v>
      </c>
      <c r="C649" s="0" t="n">
        <v>226775</v>
      </c>
      <c r="D649" s="0" t="s">
        <v>2167</v>
      </c>
      <c r="E649" s="0" t="s">
        <v>75</v>
      </c>
      <c r="F649" s="0" t="s">
        <v>90</v>
      </c>
      <c r="G649" s="0" t="s">
        <v>16</v>
      </c>
      <c r="H649" s="0" t="n">
        <v>42</v>
      </c>
      <c r="I649" s="0" t="s">
        <v>2171</v>
      </c>
      <c r="J649" s="0" t="s">
        <v>2172</v>
      </c>
      <c r="K649" s="0" t="s">
        <v>2173</v>
      </c>
      <c r="L649" s="0" t="str">
        <f aca="false">HYPERLINK("https://www.ncbi.nlm.nih.gov/nuccore/CP000058.1?report=graph&amp;tracks=[key:gene_model_track,Options:GeneOnly]&amp;mk=226782:226801|offset_16|444444,226756:226775|offset_42|00cc00,226683:226702|offset_115|444444,226625:226644|offset_173|444444&amp;v=226581:226844&amp;c=444444", "offset 42")</f>
        <v>offset 42</v>
      </c>
    </row>
    <row r="650" customFormat="false" ht="12.8" hidden="false" customHeight="false" outlineLevel="0" collapsed="false">
      <c r="A650" s="0" t="s">
        <v>12</v>
      </c>
      <c r="B650" s="0" t="n">
        <v>226682</v>
      </c>
      <c r="C650" s="0" t="n">
        <v>226702</v>
      </c>
      <c r="D650" s="0" t="s">
        <v>2167</v>
      </c>
      <c r="E650" s="0" t="s">
        <v>75</v>
      </c>
      <c r="F650" s="0" t="s">
        <v>90</v>
      </c>
      <c r="G650" s="0" t="s">
        <v>36</v>
      </c>
      <c r="H650" s="0" t="n">
        <v>115</v>
      </c>
      <c r="I650" s="0" t="s">
        <v>2174</v>
      </c>
      <c r="J650" s="0" t="s">
        <v>2175</v>
      </c>
      <c r="K650" s="0" t="s">
        <v>2176</v>
      </c>
      <c r="L650" s="0" t="str">
        <f aca="false">HYPERLINK("https://www.ncbi.nlm.nih.gov/nuccore/CP000058.1?report=graph&amp;tracks=[key:gene_model_track,Options:GeneOnly]&amp;mk=226782:226801|offset_16|444444,226756:226775|offset_42|444444,226683:226702|offset_115|00cc00,226625:226644|offset_173|444444&amp;v=226581:226844&amp;c=444444", "offset 115")</f>
        <v>offset 115</v>
      </c>
    </row>
    <row r="651" customFormat="false" ht="12.8" hidden="false" customHeight="false" outlineLevel="0" collapsed="false">
      <c r="A651" s="0" t="s">
        <v>12</v>
      </c>
      <c r="B651" s="0" t="n">
        <v>226624</v>
      </c>
      <c r="C651" s="0" t="n">
        <v>226644</v>
      </c>
      <c r="D651" s="0" t="s">
        <v>2167</v>
      </c>
      <c r="E651" s="0" t="s">
        <v>75</v>
      </c>
      <c r="F651" s="0" t="s">
        <v>90</v>
      </c>
      <c r="G651" s="0" t="s">
        <v>20</v>
      </c>
      <c r="H651" s="0" t="n">
        <v>173</v>
      </c>
      <c r="I651" s="0" t="s">
        <v>2177</v>
      </c>
      <c r="J651" s="0" t="s">
        <v>2178</v>
      </c>
      <c r="K651" s="0" t="s">
        <v>2179</v>
      </c>
      <c r="L651" s="0" t="str">
        <f aca="false">HYPERLINK("https://www.ncbi.nlm.nih.gov/nuccore/CP000058.1?report=graph&amp;tracks=[key:gene_model_track,Options:GeneOnly]&amp;mk=226782:226801|offset_16|444444,226756:226775|offset_42|444444,226683:226702|offset_115|444444,226625:226644|offset_173|00cc00&amp;v=226581:226844&amp;c=444444", "offset 173")</f>
        <v>offset 173</v>
      </c>
    </row>
    <row r="652" customFormat="false" ht="12.8" hidden="false" customHeight="false" outlineLevel="0" collapsed="false">
      <c r="A652" s="0" t="s">
        <v>12</v>
      </c>
      <c r="B652" s="0" t="n">
        <v>228943</v>
      </c>
      <c r="C652" s="0" t="n">
        <v>228963</v>
      </c>
      <c r="D652" s="0" t="s">
        <v>2180</v>
      </c>
      <c r="E652" s="0" t="s">
        <v>2181</v>
      </c>
      <c r="F652" s="0" t="s">
        <v>90</v>
      </c>
      <c r="G652" s="0" t="s">
        <v>32</v>
      </c>
      <c r="H652" s="0" t="n">
        <v>16</v>
      </c>
      <c r="I652" s="0" t="s">
        <v>2182</v>
      </c>
      <c r="J652" s="0" t="s">
        <v>2183</v>
      </c>
      <c r="K652" s="0" t="s">
        <v>2184</v>
      </c>
      <c r="L652" s="0" t="str">
        <f aca="false">HYPERLINK("https://www.ncbi.nlm.nih.gov/nuccore/CP000058.1?report=graph&amp;tracks=[key:gene_model_track,Options:GeneOnly]&amp;mk=228944:228963|offset_16|00cc00,228887:228906|offset_73|444444,228850:228869|offset_110|444444,228826:228845|offset_134|444444&amp;v=228743:229045&amp;c=444444", "offset 16")</f>
        <v>offset 16</v>
      </c>
    </row>
    <row r="653" customFormat="false" ht="12.8" hidden="false" customHeight="false" outlineLevel="0" collapsed="false">
      <c r="A653" s="0" t="s">
        <v>12</v>
      </c>
      <c r="B653" s="0" t="n">
        <v>228886</v>
      </c>
      <c r="C653" s="0" t="n">
        <v>228906</v>
      </c>
      <c r="D653" s="0" t="s">
        <v>2180</v>
      </c>
      <c r="E653" s="0" t="s">
        <v>2181</v>
      </c>
      <c r="F653" s="0" t="s">
        <v>90</v>
      </c>
      <c r="G653" s="0" t="s">
        <v>32</v>
      </c>
      <c r="H653" s="0" t="n">
        <v>73</v>
      </c>
      <c r="I653" s="0" t="s">
        <v>2185</v>
      </c>
      <c r="J653" s="0" t="s">
        <v>2186</v>
      </c>
      <c r="K653" s="0" t="s">
        <v>2187</v>
      </c>
      <c r="L653" s="0" t="str">
        <f aca="false">HYPERLINK("https://www.ncbi.nlm.nih.gov/nuccore/CP000058.1?report=graph&amp;tracks=[key:gene_model_track,Options:GeneOnly]&amp;mk=228944:228963|offset_16|444444,228887:228906|offset_73|00cc00,228850:228869|offset_110|444444,228826:228845|offset_134|444444&amp;v=228743:229045&amp;c=444444", "offset 73")</f>
        <v>offset 73</v>
      </c>
    </row>
    <row r="654" customFormat="false" ht="12.8" hidden="false" customHeight="false" outlineLevel="0" collapsed="false">
      <c r="A654" s="0" t="s">
        <v>12</v>
      </c>
      <c r="B654" s="0" t="n">
        <v>228849</v>
      </c>
      <c r="C654" s="0" t="n">
        <v>228869</v>
      </c>
      <c r="D654" s="0" t="s">
        <v>2180</v>
      </c>
      <c r="E654" s="0" t="s">
        <v>2181</v>
      </c>
      <c r="F654" s="0" t="s">
        <v>90</v>
      </c>
      <c r="G654" s="0" t="s">
        <v>32</v>
      </c>
      <c r="H654" s="0" t="n">
        <v>110</v>
      </c>
      <c r="I654" s="0" t="s">
        <v>2188</v>
      </c>
      <c r="J654" s="0" t="s">
        <v>2189</v>
      </c>
      <c r="K654" s="0" t="s">
        <v>2190</v>
      </c>
      <c r="L654" s="0" t="str">
        <f aca="false">HYPERLINK("https://www.ncbi.nlm.nih.gov/nuccore/CP000058.1?report=graph&amp;tracks=[key:gene_model_track,Options:GeneOnly]&amp;mk=228944:228963|offset_16|444444,228887:228906|offset_73|444444,228850:228869|offset_110|00cc00,228826:228845|offset_134|444444&amp;v=228743:229045&amp;c=444444", "offset 110")</f>
        <v>offset 110</v>
      </c>
    </row>
    <row r="655" customFormat="false" ht="12.8" hidden="false" customHeight="false" outlineLevel="0" collapsed="false">
      <c r="A655" s="0" t="s">
        <v>12</v>
      </c>
      <c r="B655" s="0" t="n">
        <v>228825</v>
      </c>
      <c r="C655" s="0" t="n">
        <v>228845</v>
      </c>
      <c r="D655" s="0" t="s">
        <v>2180</v>
      </c>
      <c r="E655" s="0" t="s">
        <v>2181</v>
      </c>
      <c r="F655" s="0" t="s">
        <v>90</v>
      </c>
      <c r="G655" s="0" t="s">
        <v>16</v>
      </c>
      <c r="H655" s="0" t="n">
        <v>134</v>
      </c>
      <c r="I655" s="0" t="s">
        <v>2191</v>
      </c>
      <c r="J655" s="0" t="s">
        <v>2192</v>
      </c>
      <c r="K655" s="0" t="s">
        <v>2193</v>
      </c>
      <c r="L655" s="0" t="str">
        <f aca="false">HYPERLINK("https://www.ncbi.nlm.nih.gov/nuccore/CP000058.1?report=graph&amp;tracks=[key:gene_model_track,Options:GeneOnly]&amp;mk=228944:228963|offset_16|444444,228887:228906|offset_73|444444,228850:228869|offset_110|444444,228826:228845|offset_134|00cc00&amp;v=228743:229045&amp;c=444444", "offset 134")</f>
        <v>offset 134</v>
      </c>
    </row>
    <row r="656" customFormat="false" ht="12.8" hidden="false" customHeight="false" outlineLevel="0" collapsed="false">
      <c r="A656" s="0" t="s">
        <v>12</v>
      </c>
      <c r="B656" s="0" t="n">
        <v>229854</v>
      </c>
      <c r="C656" s="0" t="n">
        <v>229874</v>
      </c>
      <c r="D656" s="0" t="s">
        <v>2194</v>
      </c>
      <c r="E656" s="0" t="s">
        <v>2195</v>
      </c>
      <c r="F656" s="0" t="s">
        <v>90</v>
      </c>
      <c r="G656" s="0" t="s">
        <v>36</v>
      </c>
      <c r="H656" s="0" t="n">
        <v>40</v>
      </c>
      <c r="I656" s="0" t="s">
        <v>2196</v>
      </c>
      <c r="J656" s="0" t="s">
        <v>2197</v>
      </c>
      <c r="K656" s="0" t="s">
        <v>2198</v>
      </c>
      <c r="L656" s="0" t="str">
        <f aca="false">HYPERLINK("https://www.ncbi.nlm.nih.gov/nuccore/CP000058.1?report=graph&amp;tracks=[key:gene_model_track,Options:GeneOnly]&amp;mk=229855:229874|offset_40|00cc00,229818:229837|offset_77|444444,229732:229751|offset_163|444444,229648:229667|offset_247|444444&amp;v=229654:229867&amp;c=444444", "offset 40")</f>
        <v>offset 40</v>
      </c>
    </row>
    <row r="657" customFormat="false" ht="12.8" hidden="false" customHeight="false" outlineLevel="0" collapsed="false">
      <c r="A657" s="0" t="s">
        <v>12</v>
      </c>
      <c r="B657" s="0" t="n">
        <v>229817</v>
      </c>
      <c r="C657" s="0" t="n">
        <v>229837</v>
      </c>
      <c r="D657" s="0" t="s">
        <v>2194</v>
      </c>
      <c r="E657" s="0" t="s">
        <v>2195</v>
      </c>
      <c r="F657" s="0" t="s">
        <v>90</v>
      </c>
      <c r="G657" s="0" t="s">
        <v>32</v>
      </c>
      <c r="H657" s="0" t="n">
        <v>77</v>
      </c>
      <c r="I657" s="0" t="s">
        <v>2199</v>
      </c>
      <c r="J657" s="0" t="s">
        <v>2200</v>
      </c>
      <c r="K657" s="0" t="s">
        <v>2201</v>
      </c>
      <c r="L657" s="0" t="str">
        <f aca="false">HYPERLINK("https://www.ncbi.nlm.nih.gov/nuccore/CP000058.1?report=graph&amp;tracks=[key:gene_model_track,Options:GeneOnly]&amp;mk=229855:229874|offset_40|444444,229818:229837|offset_77|00cc00,229732:229751|offset_163|444444,229648:229667|offset_247|444444&amp;v=229654:229867&amp;c=444444", "offset 77")</f>
        <v>offset 77</v>
      </c>
    </row>
    <row r="658" customFormat="false" ht="12.8" hidden="false" customHeight="false" outlineLevel="0" collapsed="false">
      <c r="A658" s="0" t="s">
        <v>12</v>
      </c>
      <c r="B658" s="0" t="n">
        <v>229731</v>
      </c>
      <c r="C658" s="0" t="n">
        <v>229751</v>
      </c>
      <c r="D658" s="0" t="s">
        <v>2194</v>
      </c>
      <c r="E658" s="0" t="s">
        <v>2195</v>
      </c>
      <c r="F658" s="0" t="s">
        <v>90</v>
      </c>
      <c r="G658" s="0" t="s">
        <v>16</v>
      </c>
      <c r="H658" s="0" t="n">
        <v>163</v>
      </c>
      <c r="I658" s="0" t="s">
        <v>2202</v>
      </c>
      <c r="J658" s="0" t="s">
        <v>2203</v>
      </c>
      <c r="K658" s="0" t="s">
        <v>2204</v>
      </c>
      <c r="L658" s="0" t="str">
        <f aca="false">HYPERLINK("https://www.ncbi.nlm.nih.gov/nuccore/CP000058.1?report=graph&amp;tracks=[key:gene_model_track,Options:GeneOnly]&amp;mk=229855:229874|offset_40|444444,229818:229837|offset_77|444444,229732:229751|offset_163|00cc00,229648:229667|offset_247|444444&amp;v=229654:229867&amp;c=444444", "offset 163")</f>
        <v>offset 163</v>
      </c>
    </row>
    <row r="659" customFormat="false" ht="12.8" hidden="false" customHeight="false" outlineLevel="0" collapsed="false">
      <c r="A659" s="0" t="s">
        <v>12</v>
      </c>
      <c r="B659" s="0" t="n">
        <v>229647</v>
      </c>
      <c r="C659" s="0" t="n">
        <v>229667</v>
      </c>
      <c r="D659" s="0" t="s">
        <v>2194</v>
      </c>
      <c r="E659" s="0" t="s">
        <v>2195</v>
      </c>
      <c r="F659" s="0" t="s">
        <v>90</v>
      </c>
      <c r="G659" s="0" t="s">
        <v>36</v>
      </c>
      <c r="H659" s="0" t="n">
        <v>247</v>
      </c>
      <c r="I659" s="0" t="s">
        <v>2205</v>
      </c>
      <c r="J659" s="0" t="s">
        <v>2206</v>
      </c>
      <c r="K659" s="0" t="s">
        <v>2207</v>
      </c>
      <c r="L659" s="0" t="str">
        <f aca="false">HYPERLINK("https://www.ncbi.nlm.nih.gov/nuccore/CP000058.1?report=graph&amp;tracks=[key:gene_model_track,Options:GeneOnly]&amp;mk=229855:229874|offset_40|444444,229818:229837|offset_77|444444,229732:229751|offset_163|444444,229648:229667|offset_247|00cc00&amp;v=229654:229867&amp;c=444444", "offset 247")</f>
        <v>offset 247</v>
      </c>
    </row>
    <row r="660" customFormat="false" ht="12.8" hidden="false" customHeight="false" outlineLevel="0" collapsed="false">
      <c r="A660" s="0" t="s">
        <v>12</v>
      </c>
      <c r="B660" s="0" t="n">
        <v>230716</v>
      </c>
      <c r="C660" s="0" t="n">
        <v>230736</v>
      </c>
      <c r="D660" s="0" t="s">
        <v>2208</v>
      </c>
      <c r="E660" s="0" t="s">
        <v>2209</v>
      </c>
      <c r="F660" s="0" t="s">
        <v>90</v>
      </c>
      <c r="G660" s="0" t="s">
        <v>32</v>
      </c>
      <c r="H660" s="0" t="n">
        <v>17</v>
      </c>
      <c r="I660" s="0" t="s">
        <v>2210</v>
      </c>
      <c r="J660" s="0" t="s">
        <v>2211</v>
      </c>
      <c r="K660" s="0" t="s">
        <v>2212</v>
      </c>
      <c r="L660" s="0" t="str">
        <f aca="false">HYPERLINK("https://www.ncbi.nlm.nih.gov/nuccore/CP000058.1?report=graph&amp;tracks=[key:gene_model_track,Options:GeneOnly]&amp;mk=230717:230736|offset_17|00cc00,230673:230692|offset_61|444444,230646:230665|offset_88|444444,230611:230630|offset_123|444444&amp;v=230516:230830&amp;c=444444", "offset 17")</f>
        <v>offset 17</v>
      </c>
    </row>
    <row r="661" customFormat="false" ht="12.8" hidden="false" customHeight="false" outlineLevel="0" collapsed="false">
      <c r="A661" s="0" t="s">
        <v>12</v>
      </c>
      <c r="B661" s="0" t="n">
        <v>230672</v>
      </c>
      <c r="C661" s="0" t="n">
        <v>230692</v>
      </c>
      <c r="D661" s="0" t="s">
        <v>2208</v>
      </c>
      <c r="E661" s="0" t="s">
        <v>2209</v>
      </c>
      <c r="F661" s="0" t="s">
        <v>90</v>
      </c>
      <c r="G661" s="0" t="s">
        <v>16</v>
      </c>
      <c r="H661" s="0" t="n">
        <v>61</v>
      </c>
      <c r="I661" s="0" t="s">
        <v>2213</v>
      </c>
      <c r="J661" s="0" t="s">
        <v>2214</v>
      </c>
      <c r="K661" s="0" t="s">
        <v>2215</v>
      </c>
      <c r="L661" s="0" t="str">
        <f aca="false">HYPERLINK("https://www.ncbi.nlm.nih.gov/nuccore/CP000058.1?report=graph&amp;tracks=[key:gene_model_track,Options:GeneOnly]&amp;mk=230717:230736|offset_17|444444,230673:230692|offset_61|00cc00,230646:230665|offset_88|444444,230611:230630|offset_123|444444&amp;v=230516:230830&amp;c=444444", "offset 61")</f>
        <v>offset 61</v>
      </c>
    </row>
    <row r="662" customFormat="false" ht="12.8" hidden="false" customHeight="false" outlineLevel="0" collapsed="false">
      <c r="A662" s="0" t="s">
        <v>12</v>
      </c>
      <c r="B662" s="0" t="n">
        <v>230645</v>
      </c>
      <c r="C662" s="0" t="n">
        <v>230665</v>
      </c>
      <c r="D662" s="0" t="s">
        <v>2208</v>
      </c>
      <c r="E662" s="0" t="s">
        <v>2209</v>
      </c>
      <c r="F662" s="0" t="s">
        <v>90</v>
      </c>
      <c r="G662" s="0" t="s">
        <v>16</v>
      </c>
      <c r="H662" s="0" t="n">
        <v>88</v>
      </c>
      <c r="I662" s="0" t="s">
        <v>2216</v>
      </c>
      <c r="J662" s="0" t="s">
        <v>2217</v>
      </c>
      <c r="K662" s="0" t="s">
        <v>2218</v>
      </c>
      <c r="L662" s="0" t="str">
        <f aca="false">HYPERLINK("https://www.ncbi.nlm.nih.gov/nuccore/CP000058.1?report=graph&amp;tracks=[key:gene_model_track,Options:GeneOnly]&amp;mk=230717:230736|offset_17|444444,230673:230692|offset_61|444444,230646:230665|offset_88|00cc00,230611:230630|offset_123|444444&amp;v=230516:230830&amp;c=444444", "offset 88")</f>
        <v>offset 88</v>
      </c>
    </row>
    <row r="663" customFormat="false" ht="12.8" hidden="false" customHeight="false" outlineLevel="0" collapsed="false">
      <c r="A663" s="0" t="s">
        <v>12</v>
      </c>
      <c r="B663" s="0" t="n">
        <v>230610</v>
      </c>
      <c r="C663" s="0" t="n">
        <v>230630</v>
      </c>
      <c r="D663" s="0" t="s">
        <v>2208</v>
      </c>
      <c r="E663" s="0" t="s">
        <v>2209</v>
      </c>
      <c r="F663" s="0" t="s">
        <v>90</v>
      </c>
      <c r="G663" s="0" t="s">
        <v>16</v>
      </c>
      <c r="H663" s="0" t="n">
        <v>123</v>
      </c>
      <c r="I663" s="0" t="s">
        <v>2219</v>
      </c>
      <c r="J663" s="0" t="s">
        <v>2220</v>
      </c>
      <c r="K663" s="0" t="s">
        <v>2221</v>
      </c>
      <c r="L663" s="0" t="str">
        <f aca="false">HYPERLINK("https://www.ncbi.nlm.nih.gov/nuccore/CP000058.1?report=graph&amp;tracks=[key:gene_model_track,Options:GeneOnly]&amp;mk=230717:230736|offset_17|444444,230673:230692|offset_61|444444,230646:230665|offset_88|444444,230611:230630|offset_123|00cc00&amp;v=230516:230830&amp;c=444444", "offset 123")</f>
        <v>offset 123</v>
      </c>
    </row>
    <row r="664" customFormat="false" ht="12.8" hidden="false" customHeight="false" outlineLevel="0" collapsed="false">
      <c r="A664" s="0" t="s">
        <v>12</v>
      </c>
      <c r="B664" s="0" t="n">
        <v>231147</v>
      </c>
      <c r="C664" s="0" t="n">
        <v>231167</v>
      </c>
      <c r="D664" s="0" t="s">
        <v>2222</v>
      </c>
      <c r="E664" s="0" t="s">
        <v>2223</v>
      </c>
      <c r="F664" s="0" t="s">
        <v>90</v>
      </c>
      <c r="G664" s="0" t="s">
        <v>20</v>
      </c>
      <c r="H664" s="0" t="n">
        <v>8</v>
      </c>
      <c r="I664" s="0" t="s">
        <v>2224</v>
      </c>
      <c r="J664" s="0" t="s">
        <v>2225</v>
      </c>
      <c r="K664" s="0" t="s">
        <v>2226</v>
      </c>
      <c r="L664" s="0" t="str">
        <f aca="false">HYPERLINK("https://www.ncbi.nlm.nih.gov/nuccore/CP000058.1?report=graph&amp;tracks=[key:gene_model_track,Options:GeneOnly]&amp;mk=231148:231167|offset_8|00cc00,231116:231135|offset_40|444444,231090:231109|offset_66|444444,231039:231058|offset_117|444444&amp;v=230947:231258&amp;c=444444", "offset 8")</f>
        <v>offset 8</v>
      </c>
    </row>
    <row r="665" customFormat="false" ht="12.8" hidden="false" customHeight="false" outlineLevel="0" collapsed="false">
      <c r="A665" s="0" t="s">
        <v>12</v>
      </c>
      <c r="B665" s="0" t="n">
        <v>231115</v>
      </c>
      <c r="C665" s="0" t="n">
        <v>231135</v>
      </c>
      <c r="D665" s="0" t="s">
        <v>2222</v>
      </c>
      <c r="E665" s="0" t="s">
        <v>2223</v>
      </c>
      <c r="F665" s="0" t="s">
        <v>90</v>
      </c>
      <c r="G665" s="0" t="s">
        <v>16</v>
      </c>
      <c r="H665" s="0" t="n">
        <v>40</v>
      </c>
      <c r="I665" s="0" t="s">
        <v>2227</v>
      </c>
      <c r="J665" s="0" t="s">
        <v>2228</v>
      </c>
      <c r="K665" s="0" t="s">
        <v>2229</v>
      </c>
      <c r="L665" s="0" t="str">
        <f aca="false">HYPERLINK("https://www.ncbi.nlm.nih.gov/nuccore/CP000058.1?report=graph&amp;tracks=[key:gene_model_track,Options:GeneOnly]&amp;mk=231148:231167|offset_8|444444,231116:231135|offset_40|00cc00,231090:231109|offset_66|444444,231039:231058|offset_117|444444&amp;v=230947:231258&amp;c=444444", "offset 40")</f>
        <v>offset 40</v>
      </c>
    </row>
    <row r="666" customFormat="false" ht="12.8" hidden="false" customHeight="false" outlineLevel="0" collapsed="false">
      <c r="A666" s="0" t="s">
        <v>12</v>
      </c>
      <c r="B666" s="0" t="n">
        <v>231089</v>
      </c>
      <c r="C666" s="0" t="n">
        <v>231109</v>
      </c>
      <c r="D666" s="0" t="s">
        <v>2222</v>
      </c>
      <c r="E666" s="0" t="s">
        <v>2223</v>
      </c>
      <c r="F666" s="0" t="s">
        <v>90</v>
      </c>
      <c r="G666" s="0" t="s">
        <v>16</v>
      </c>
      <c r="H666" s="0" t="n">
        <v>66</v>
      </c>
      <c r="I666" s="0" t="s">
        <v>2230</v>
      </c>
      <c r="J666" s="0" t="s">
        <v>2231</v>
      </c>
      <c r="K666" s="0" t="s">
        <v>2232</v>
      </c>
      <c r="L666" s="0" t="str">
        <f aca="false">HYPERLINK("https://www.ncbi.nlm.nih.gov/nuccore/CP000058.1?report=graph&amp;tracks=[key:gene_model_track,Options:GeneOnly]&amp;mk=231148:231167|offset_8|444444,231116:231135|offset_40|444444,231090:231109|offset_66|00cc00,231039:231058|offset_117|444444&amp;v=230947:231258&amp;c=444444", "offset 66")</f>
        <v>offset 66</v>
      </c>
    </row>
    <row r="667" customFormat="false" ht="12.8" hidden="false" customHeight="false" outlineLevel="0" collapsed="false">
      <c r="A667" s="0" t="s">
        <v>12</v>
      </c>
      <c r="B667" s="0" t="n">
        <v>231038</v>
      </c>
      <c r="C667" s="0" t="n">
        <v>231058</v>
      </c>
      <c r="D667" s="0" t="s">
        <v>2222</v>
      </c>
      <c r="E667" s="0" t="s">
        <v>2223</v>
      </c>
      <c r="F667" s="0" t="s">
        <v>90</v>
      </c>
      <c r="G667" s="0" t="s">
        <v>16</v>
      </c>
      <c r="H667" s="0" t="n">
        <v>117</v>
      </c>
      <c r="I667" s="0" t="s">
        <v>2233</v>
      </c>
      <c r="J667" s="0" t="s">
        <v>2234</v>
      </c>
      <c r="K667" s="0" t="s">
        <v>2235</v>
      </c>
      <c r="L667" s="0" t="str">
        <f aca="false">HYPERLINK("https://www.ncbi.nlm.nih.gov/nuccore/CP000058.1?report=graph&amp;tracks=[key:gene_model_track,Options:GeneOnly]&amp;mk=231148:231167|offset_8|444444,231116:231135|offset_40|444444,231090:231109|offset_66|444444,231039:231058|offset_117|00cc00&amp;v=230947:231258&amp;c=444444", "offset 117")</f>
        <v>offset 117</v>
      </c>
    </row>
    <row r="668" customFormat="false" ht="12.8" hidden="false" customHeight="false" outlineLevel="0" collapsed="false">
      <c r="A668" s="0" t="s">
        <v>12</v>
      </c>
      <c r="B668" s="0" t="n">
        <v>232073</v>
      </c>
      <c r="C668" s="0" t="n">
        <v>232093</v>
      </c>
      <c r="D668" s="0" t="s">
        <v>2236</v>
      </c>
      <c r="E668" s="0" t="s">
        <v>2237</v>
      </c>
      <c r="F668" s="0" t="s">
        <v>90</v>
      </c>
      <c r="G668" s="0" t="s">
        <v>20</v>
      </c>
      <c r="H668" s="0" t="n">
        <v>30</v>
      </c>
      <c r="I668" s="0" t="s">
        <v>2238</v>
      </c>
      <c r="J668" s="0" t="s">
        <v>2239</v>
      </c>
      <c r="K668" s="0" t="s">
        <v>2240</v>
      </c>
      <c r="L668" s="0" t="str">
        <f aca="false">HYPERLINK("https://www.ncbi.nlm.nih.gov/nuccore/CP000058.1?report=graph&amp;tracks=[key:gene_model_track,Options:GeneOnly]&amp;mk=232074:232093|offset_30|00cc00,232053:232072|offset_51|444444,232028:232047|offset_76|444444,232002:232021|offset_102|444444&amp;v=231873:232221&amp;c=444444", "offset 30")</f>
        <v>offset 30</v>
      </c>
    </row>
    <row r="669" customFormat="false" ht="12.8" hidden="false" customHeight="false" outlineLevel="0" collapsed="false">
      <c r="A669" s="0" t="s">
        <v>12</v>
      </c>
      <c r="B669" s="0" t="n">
        <v>232052</v>
      </c>
      <c r="C669" s="0" t="n">
        <v>232072</v>
      </c>
      <c r="D669" s="0" t="s">
        <v>2236</v>
      </c>
      <c r="E669" s="0" t="s">
        <v>2237</v>
      </c>
      <c r="F669" s="0" t="s">
        <v>90</v>
      </c>
      <c r="G669" s="0" t="s">
        <v>20</v>
      </c>
      <c r="H669" s="0" t="n">
        <v>51</v>
      </c>
      <c r="I669" s="0" t="s">
        <v>2241</v>
      </c>
      <c r="J669" s="0" t="s">
        <v>2242</v>
      </c>
      <c r="K669" s="0" t="s">
        <v>2243</v>
      </c>
      <c r="L669" s="0" t="str">
        <f aca="false">HYPERLINK("https://www.ncbi.nlm.nih.gov/nuccore/CP000058.1?report=graph&amp;tracks=[key:gene_model_track,Options:GeneOnly]&amp;mk=232074:232093|offset_30|444444,232053:232072|offset_51|00cc00,232028:232047|offset_76|444444,232002:232021|offset_102|444444&amp;v=231873:232221&amp;c=444444", "offset 51")</f>
        <v>offset 51</v>
      </c>
    </row>
    <row r="670" customFormat="false" ht="12.8" hidden="false" customHeight="false" outlineLevel="0" collapsed="false">
      <c r="A670" s="0" t="s">
        <v>12</v>
      </c>
      <c r="B670" s="0" t="n">
        <v>232027</v>
      </c>
      <c r="C670" s="0" t="n">
        <v>232047</v>
      </c>
      <c r="D670" s="0" t="s">
        <v>2236</v>
      </c>
      <c r="E670" s="0" t="s">
        <v>2237</v>
      </c>
      <c r="F670" s="0" t="s">
        <v>90</v>
      </c>
      <c r="G670" s="0" t="s">
        <v>36</v>
      </c>
      <c r="H670" s="0" t="n">
        <v>76</v>
      </c>
      <c r="I670" s="0" t="s">
        <v>2244</v>
      </c>
      <c r="J670" s="0" t="s">
        <v>2245</v>
      </c>
      <c r="K670" s="0" t="s">
        <v>2246</v>
      </c>
      <c r="L670" s="0" t="str">
        <f aca="false">HYPERLINK("https://www.ncbi.nlm.nih.gov/nuccore/CP000058.1?report=graph&amp;tracks=[key:gene_model_track,Options:GeneOnly]&amp;mk=232074:232093|offset_30|444444,232053:232072|offset_51|444444,232028:232047|offset_76|00cc00,232002:232021|offset_102|444444&amp;v=231873:232221&amp;c=444444", "offset 76")</f>
        <v>offset 76</v>
      </c>
    </row>
    <row r="671" customFormat="false" ht="12.8" hidden="false" customHeight="false" outlineLevel="0" collapsed="false">
      <c r="A671" s="0" t="s">
        <v>12</v>
      </c>
      <c r="B671" s="0" t="n">
        <v>232001</v>
      </c>
      <c r="C671" s="0" t="n">
        <v>232021</v>
      </c>
      <c r="D671" s="0" t="s">
        <v>2236</v>
      </c>
      <c r="E671" s="0" t="s">
        <v>2237</v>
      </c>
      <c r="F671" s="0" t="s">
        <v>90</v>
      </c>
      <c r="G671" s="0" t="s">
        <v>20</v>
      </c>
      <c r="H671" s="0" t="n">
        <v>102</v>
      </c>
      <c r="I671" s="0" t="s">
        <v>2247</v>
      </c>
      <c r="J671" s="0" t="s">
        <v>2248</v>
      </c>
      <c r="K671" s="0" t="s">
        <v>2249</v>
      </c>
      <c r="L671" s="0" t="str">
        <f aca="false">HYPERLINK("https://www.ncbi.nlm.nih.gov/nuccore/CP000058.1?report=graph&amp;tracks=[key:gene_model_track,Options:GeneOnly]&amp;mk=232074:232093|offset_30|444444,232053:232072|offset_51|444444,232028:232047|offset_76|444444,232002:232021|offset_102|00cc00&amp;v=231873:232221&amp;c=444444", "offset 102")</f>
        <v>offset 102</v>
      </c>
    </row>
    <row r="672" customFormat="false" ht="12.8" hidden="false" customHeight="false" outlineLevel="0" collapsed="false">
      <c r="A672" s="0" t="s">
        <v>12</v>
      </c>
      <c r="B672" s="0" t="n">
        <v>232342</v>
      </c>
      <c r="C672" s="0" t="n">
        <v>232362</v>
      </c>
      <c r="D672" s="0" t="s">
        <v>2250</v>
      </c>
      <c r="E672" s="0" t="s">
        <v>75</v>
      </c>
      <c r="F672" s="0" t="s">
        <v>15</v>
      </c>
      <c r="G672" s="0" t="s">
        <v>36</v>
      </c>
      <c r="H672" s="0" t="n">
        <v>10</v>
      </c>
      <c r="I672" s="0" t="s">
        <v>2251</v>
      </c>
      <c r="J672" s="0" t="s">
        <v>2252</v>
      </c>
      <c r="K672" s="0" t="s">
        <v>2253</v>
      </c>
      <c r="L672" s="0" t="str">
        <f aca="false">HYPERLINK("https://www.ncbi.nlm.nih.gov/nuccore/CP000058.1?report=graph&amp;tracks=[key:gene_model_track,Options:GeneOnly]&amp;mk=232343:232362|offset_10|00cc00,232394:232413|offset_61|444444,232418:232437|offset_85|444444,232445:232464|offset_112|444444&amp;v=232142:232664&amp;c=444444", "offset 10")</f>
        <v>offset 10</v>
      </c>
    </row>
    <row r="673" customFormat="false" ht="12.8" hidden="false" customHeight="false" outlineLevel="0" collapsed="false">
      <c r="A673" s="0" t="s">
        <v>12</v>
      </c>
      <c r="B673" s="0" t="n">
        <v>232393</v>
      </c>
      <c r="C673" s="0" t="n">
        <v>232413</v>
      </c>
      <c r="D673" s="0" t="s">
        <v>2250</v>
      </c>
      <c r="E673" s="0" t="s">
        <v>75</v>
      </c>
      <c r="F673" s="0" t="s">
        <v>15</v>
      </c>
      <c r="G673" s="0" t="s">
        <v>36</v>
      </c>
      <c r="H673" s="0" t="n">
        <v>61</v>
      </c>
      <c r="I673" s="0" t="s">
        <v>2254</v>
      </c>
      <c r="J673" s="0" t="s">
        <v>2255</v>
      </c>
      <c r="K673" s="0" t="s">
        <v>2256</v>
      </c>
      <c r="L673" s="0" t="str">
        <f aca="false">HYPERLINK("https://www.ncbi.nlm.nih.gov/nuccore/CP000058.1?report=graph&amp;tracks=[key:gene_model_track,Options:GeneOnly]&amp;mk=232343:232362|offset_10|444444,232394:232413|offset_61|00cc00,232418:232437|offset_85|444444,232445:232464|offset_112|444444&amp;v=232142:232664&amp;c=444444", "offset 61")</f>
        <v>offset 61</v>
      </c>
    </row>
    <row r="674" customFormat="false" ht="12.8" hidden="false" customHeight="false" outlineLevel="0" collapsed="false">
      <c r="A674" s="0" t="s">
        <v>12</v>
      </c>
      <c r="B674" s="0" t="n">
        <v>232417</v>
      </c>
      <c r="C674" s="0" t="n">
        <v>232437</v>
      </c>
      <c r="D674" s="0" t="s">
        <v>2250</v>
      </c>
      <c r="E674" s="0" t="s">
        <v>75</v>
      </c>
      <c r="F674" s="0" t="s">
        <v>15</v>
      </c>
      <c r="G674" s="0" t="s">
        <v>16</v>
      </c>
      <c r="H674" s="0" t="n">
        <v>85</v>
      </c>
      <c r="I674" s="0" t="s">
        <v>2257</v>
      </c>
      <c r="J674" s="0" t="s">
        <v>2258</v>
      </c>
      <c r="K674" s="0" t="s">
        <v>2259</v>
      </c>
      <c r="L674" s="0" t="str">
        <f aca="false">HYPERLINK("https://www.ncbi.nlm.nih.gov/nuccore/CP000058.1?report=graph&amp;tracks=[key:gene_model_track,Options:GeneOnly]&amp;mk=232343:232362|offset_10|444444,232394:232413|offset_61|444444,232418:232437|offset_85|00cc00,232445:232464|offset_112|444444&amp;v=232142:232664&amp;c=444444", "offset 85")</f>
        <v>offset 85</v>
      </c>
    </row>
    <row r="675" customFormat="false" ht="12.8" hidden="false" customHeight="false" outlineLevel="0" collapsed="false">
      <c r="A675" s="0" t="s">
        <v>12</v>
      </c>
      <c r="B675" s="0" t="n">
        <v>232444</v>
      </c>
      <c r="C675" s="0" t="n">
        <v>232464</v>
      </c>
      <c r="D675" s="0" t="s">
        <v>2250</v>
      </c>
      <c r="E675" s="0" t="s">
        <v>75</v>
      </c>
      <c r="F675" s="0" t="s">
        <v>15</v>
      </c>
      <c r="G675" s="0" t="s">
        <v>16</v>
      </c>
      <c r="H675" s="0" t="n">
        <v>112</v>
      </c>
      <c r="I675" s="0" t="s">
        <v>2260</v>
      </c>
      <c r="J675" s="0" t="s">
        <v>2261</v>
      </c>
      <c r="K675" s="0" t="s">
        <v>2262</v>
      </c>
      <c r="L675" s="0" t="str">
        <f aca="false">HYPERLINK("https://www.ncbi.nlm.nih.gov/nuccore/CP000058.1?report=graph&amp;tracks=[key:gene_model_track,Options:GeneOnly]&amp;mk=232343:232362|offset_10|444444,232394:232413|offset_61|444444,232418:232437|offset_85|444444,232445:232464|offset_112|00cc00&amp;v=232142:232664&amp;c=444444", "offset 112")</f>
        <v>offset 112</v>
      </c>
    </row>
    <row r="676" customFormat="false" ht="12.8" hidden="false" customHeight="false" outlineLevel="0" collapsed="false">
      <c r="A676" s="0" t="s">
        <v>12</v>
      </c>
      <c r="B676" s="0" t="n">
        <v>233940</v>
      </c>
      <c r="C676" s="0" t="n">
        <v>233960</v>
      </c>
      <c r="D676" s="0" t="s">
        <v>2263</v>
      </c>
      <c r="E676" s="0" t="s">
        <v>75</v>
      </c>
      <c r="F676" s="0" t="s">
        <v>90</v>
      </c>
      <c r="G676" s="0" t="s">
        <v>16</v>
      </c>
      <c r="H676" s="0" t="n">
        <v>10</v>
      </c>
      <c r="I676" s="0" t="s">
        <v>2264</v>
      </c>
      <c r="J676" s="0" t="s">
        <v>2265</v>
      </c>
      <c r="K676" s="0" t="s">
        <v>2266</v>
      </c>
      <c r="L676" s="0" t="str">
        <f aca="false">HYPERLINK("https://www.ncbi.nlm.nih.gov/nuccore/CP000058.1?report=graph&amp;tracks=[key:gene_model_track,Options:GeneOnly]&amp;mk=233941:233960|offset_10|00cc00,233917:233936|offset_34|444444,233896:233915|offset_55|444444,233876:233895|offset_75|444444&amp;v=233740:234095&amp;c=444444", "offset 10")</f>
        <v>offset 10</v>
      </c>
    </row>
    <row r="677" customFormat="false" ht="12.8" hidden="false" customHeight="false" outlineLevel="0" collapsed="false">
      <c r="A677" s="0" t="s">
        <v>12</v>
      </c>
      <c r="B677" s="0" t="n">
        <v>233916</v>
      </c>
      <c r="C677" s="0" t="n">
        <v>233936</v>
      </c>
      <c r="D677" s="0" t="s">
        <v>2263</v>
      </c>
      <c r="E677" s="0" t="s">
        <v>75</v>
      </c>
      <c r="F677" s="0" t="s">
        <v>90</v>
      </c>
      <c r="G677" s="0" t="s">
        <v>16</v>
      </c>
      <c r="H677" s="0" t="n">
        <v>34</v>
      </c>
      <c r="I677" s="0" t="s">
        <v>2267</v>
      </c>
      <c r="J677" s="0" t="s">
        <v>2268</v>
      </c>
      <c r="K677" s="0" t="s">
        <v>2269</v>
      </c>
      <c r="L677" s="0" t="str">
        <f aca="false">HYPERLINK("https://www.ncbi.nlm.nih.gov/nuccore/CP000058.1?report=graph&amp;tracks=[key:gene_model_track,Options:GeneOnly]&amp;mk=233941:233960|offset_10|444444,233917:233936|offset_34|00cc00,233896:233915|offset_55|444444,233876:233895|offset_75|444444&amp;v=233740:234095&amp;c=444444", "offset 34")</f>
        <v>offset 34</v>
      </c>
    </row>
    <row r="678" customFormat="false" ht="12.8" hidden="false" customHeight="false" outlineLevel="0" collapsed="false">
      <c r="A678" s="0" t="s">
        <v>12</v>
      </c>
      <c r="B678" s="0" t="n">
        <v>233895</v>
      </c>
      <c r="C678" s="0" t="n">
        <v>233915</v>
      </c>
      <c r="D678" s="0" t="s">
        <v>2263</v>
      </c>
      <c r="E678" s="0" t="s">
        <v>75</v>
      </c>
      <c r="F678" s="0" t="s">
        <v>90</v>
      </c>
      <c r="G678" s="0" t="s">
        <v>32</v>
      </c>
      <c r="H678" s="0" t="n">
        <v>55</v>
      </c>
      <c r="I678" s="0" t="s">
        <v>2270</v>
      </c>
      <c r="J678" s="0" t="s">
        <v>2271</v>
      </c>
      <c r="K678" s="0" t="s">
        <v>2272</v>
      </c>
      <c r="L678" s="0" t="str">
        <f aca="false">HYPERLINK("https://www.ncbi.nlm.nih.gov/nuccore/CP000058.1?report=graph&amp;tracks=[key:gene_model_track,Options:GeneOnly]&amp;mk=233941:233960|offset_10|444444,233917:233936|offset_34|444444,233896:233915|offset_55|00cc00,233876:233895|offset_75|444444&amp;v=233740:234095&amp;c=444444", "offset 55")</f>
        <v>offset 55</v>
      </c>
    </row>
    <row r="679" customFormat="false" ht="12.8" hidden="false" customHeight="false" outlineLevel="0" collapsed="false">
      <c r="A679" s="0" t="s">
        <v>12</v>
      </c>
      <c r="B679" s="0" t="n">
        <v>233875</v>
      </c>
      <c r="C679" s="0" t="n">
        <v>233895</v>
      </c>
      <c r="D679" s="0" t="s">
        <v>2263</v>
      </c>
      <c r="E679" s="0" t="s">
        <v>75</v>
      </c>
      <c r="F679" s="0" t="s">
        <v>90</v>
      </c>
      <c r="G679" s="0" t="s">
        <v>16</v>
      </c>
      <c r="H679" s="0" t="n">
        <v>75</v>
      </c>
      <c r="I679" s="0" t="s">
        <v>2273</v>
      </c>
      <c r="J679" s="0" t="s">
        <v>2274</v>
      </c>
      <c r="K679" s="0" t="s">
        <v>2275</v>
      </c>
      <c r="L679" s="0" t="str">
        <f aca="false">HYPERLINK("https://www.ncbi.nlm.nih.gov/nuccore/CP000058.1?report=graph&amp;tracks=[key:gene_model_track,Options:GeneOnly]&amp;mk=233941:233960|offset_10|444444,233917:233936|offset_34|444444,233896:233915|offset_55|444444,233876:233895|offset_75|00cc00&amp;v=233740:234095&amp;c=444444", "offset 75")</f>
        <v>offset 75</v>
      </c>
    </row>
    <row r="680" customFormat="false" ht="12.8" hidden="false" customHeight="false" outlineLevel="0" collapsed="false">
      <c r="A680" s="0" t="s">
        <v>12</v>
      </c>
      <c r="B680" s="0" t="n">
        <v>234378</v>
      </c>
      <c r="C680" s="0" t="n">
        <v>234398</v>
      </c>
      <c r="D680" s="0" t="s">
        <v>2276</v>
      </c>
      <c r="E680" s="0" t="s">
        <v>75</v>
      </c>
      <c r="F680" s="0" t="s">
        <v>90</v>
      </c>
      <c r="G680" s="0" t="s">
        <v>32</v>
      </c>
      <c r="H680" s="0" t="n">
        <v>7</v>
      </c>
      <c r="I680" s="0" t="s">
        <v>2277</v>
      </c>
      <c r="J680" s="0" t="s">
        <v>2278</v>
      </c>
      <c r="K680" s="0" t="s">
        <v>2279</v>
      </c>
      <c r="L680" s="0" t="str">
        <f aca="false">HYPERLINK("https://www.ncbi.nlm.nih.gov/nuccore/CP000058.1?report=graph&amp;tracks=[key:gene_model_track,Options:GeneOnly]&amp;mk=234379:234398|offset_7|00cc00,234352:234371|offset_34|444444,234322:234341|offset_64|444444,234292:234311|offset_94|444444&amp;v=234178:234511&amp;c=444444", "offset 7")</f>
        <v>offset 7</v>
      </c>
    </row>
    <row r="681" customFormat="false" ht="12.8" hidden="false" customHeight="false" outlineLevel="0" collapsed="false">
      <c r="A681" s="0" t="s">
        <v>12</v>
      </c>
      <c r="B681" s="0" t="n">
        <v>234351</v>
      </c>
      <c r="C681" s="0" t="n">
        <v>234371</v>
      </c>
      <c r="D681" s="0" t="s">
        <v>2276</v>
      </c>
      <c r="E681" s="0" t="s">
        <v>75</v>
      </c>
      <c r="F681" s="0" t="s">
        <v>90</v>
      </c>
      <c r="G681" s="0" t="s">
        <v>36</v>
      </c>
      <c r="H681" s="0" t="n">
        <v>34</v>
      </c>
      <c r="I681" s="0" t="s">
        <v>2280</v>
      </c>
      <c r="J681" s="0" t="s">
        <v>2281</v>
      </c>
      <c r="K681" s="0" t="s">
        <v>2282</v>
      </c>
      <c r="L681" s="0" t="str">
        <f aca="false">HYPERLINK("https://www.ncbi.nlm.nih.gov/nuccore/CP000058.1?report=graph&amp;tracks=[key:gene_model_track,Options:GeneOnly]&amp;mk=234379:234398|offset_7|444444,234352:234371|offset_34|00cc00,234322:234341|offset_64|444444,234292:234311|offset_94|444444&amp;v=234178:234511&amp;c=444444", "offset 34")</f>
        <v>offset 34</v>
      </c>
    </row>
    <row r="682" customFormat="false" ht="12.8" hidden="false" customHeight="false" outlineLevel="0" collapsed="false">
      <c r="A682" s="0" t="s">
        <v>12</v>
      </c>
      <c r="B682" s="0" t="n">
        <v>234321</v>
      </c>
      <c r="C682" s="0" t="n">
        <v>234341</v>
      </c>
      <c r="D682" s="0" t="s">
        <v>2276</v>
      </c>
      <c r="E682" s="0" t="s">
        <v>75</v>
      </c>
      <c r="F682" s="0" t="s">
        <v>90</v>
      </c>
      <c r="G682" s="0" t="s">
        <v>32</v>
      </c>
      <c r="H682" s="0" t="n">
        <v>64</v>
      </c>
      <c r="I682" s="0" t="s">
        <v>2283</v>
      </c>
      <c r="J682" s="0" t="s">
        <v>2284</v>
      </c>
      <c r="K682" s="0" t="s">
        <v>2285</v>
      </c>
      <c r="L682" s="0" t="str">
        <f aca="false">HYPERLINK("https://www.ncbi.nlm.nih.gov/nuccore/CP000058.1?report=graph&amp;tracks=[key:gene_model_track,Options:GeneOnly]&amp;mk=234379:234398|offset_7|444444,234352:234371|offset_34|444444,234322:234341|offset_64|00cc00,234292:234311|offset_94|444444&amp;v=234178:234511&amp;c=444444", "offset 64")</f>
        <v>offset 64</v>
      </c>
    </row>
    <row r="683" customFormat="false" ht="12.8" hidden="false" customHeight="false" outlineLevel="0" collapsed="false">
      <c r="A683" s="0" t="s">
        <v>12</v>
      </c>
      <c r="B683" s="0" t="n">
        <v>234291</v>
      </c>
      <c r="C683" s="0" t="n">
        <v>234311</v>
      </c>
      <c r="D683" s="0" t="s">
        <v>2276</v>
      </c>
      <c r="E683" s="0" t="s">
        <v>75</v>
      </c>
      <c r="F683" s="0" t="s">
        <v>90</v>
      </c>
      <c r="G683" s="0" t="s">
        <v>16</v>
      </c>
      <c r="H683" s="0" t="n">
        <v>94</v>
      </c>
      <c r="I683" s="0" t="s">
        <v>2286</v>
      </c>
      <c r="J683" s="0" t="s">
        <v>2287</v>
      </c>
      <c r="K683" s="0" t="s">
        <v>2288</v>
      </c>
      <c r="L683" s="0" t="str">
        <f aca="false">HYPERLINK("https://www.ncbi.nlm.nih.gov/nuccore/CP000058.1?report=graph&amp;tracks=[key:gene_model_track,Options:GeneOnly]&amp;mk=234379:234398|offset_7|444444,234352:234371|offset_34|444444,234322:234341|offset_64|444444,234292:234311|offset_94|00cc00&amp;v=234178:234511&amp;c=444444", "offset 94")</f>
        <v>offset 94</v>
      </c>
    </row>
    <row r="684" customFormat="false" ht="12.8" hidden="false" customHeight="false" outlineLevel="0" collapsed="false">
      <c r="A684" s="0" t="s">
        <v>12</v>
      </c>
      <c r="B684" s="0" t="n">
        <v>236514</v>
      </c>
      <c r="C684" s="0" t="n">
        <v>236534</v>
      </c>
      <c r="D684" s="0" t="s">
        <v>2289</v>
      </c>
      <c r="E684" s="0" t="s">
        <v>2290</v>
      </c>
      <c r="F684" s="0" t="s">
        <v>90</v>
      </c>
      <c r="G684" s="0" t="s">
        <v>20</v>
      </c>
      <c r="H684" s="0" t="n">
        <v>1</v>
      </c>
      <c r="I684" s="0" t="s">
        <v>2291</v>
      </c>
      <c r="J684" s="0" t="s">
        <v>2292</v>
      </c>
      <c r="K684" s="0" t="s">
        <v>2293</v>
      </c>
      <c r="L684" s="0" t="str">
        <f aca="false">HYPERLINK("https://www.ncbi.nlm.nih.gov/nuccore/CP000058.1?report=graph&amp;tracks=[key:gene_model_track,Options:GeneOnly]&amp;mk=236515:236534|offset_1|00cc00,236491:236510|offset_25|444444,236460:236479|offset_56|444444,236425:236444|offset_91|444444&amp;v=236314:236644&amp;c=444444", "offset 1")</f>
        <v>offset 1</v>
      </c>
    </row>
    <row r="685" customFormat="false" ht="12.8" hidden="false" customHeight="false" outlineLevel="0" collapsed="false">
      <c r="A685" s="0" t="s">
        <v>12</v>
      </c>
      <c r="B685" s="0" t="n">
        <v>236490</v>
      </c>
      <c r="C685" s="0" t="n">
        <v>236510</v>
      </c>
      <c r="D685" s="0" t="s">
        <v>2289</v>
      </c>
      <c r="E685" s="0" t="s">
        <v>2290</v>
      </c>
      <c r="F685" s="0" t="s">
        <v>90</v>
      </c>
      <c r="G685" s="0" t="s">
        <v>16</v>
      </c>
      <c r="H685" s="0" t="n">
        <v>25</v>
      </c>
      <c r="I685" s="0" t="s">
        <v>2294</v>
      </c>
      <c r="J685" s="0" t="s">
        <v>2295</v>
      </c>
      <c r="K685" s="0" t="s">
        <v>2296</v>
      </c>
      <c r="L685" s="0" t="str">
        <f aca="false">HYPERLINK("https://www.ncbi.nlm.nih.gov/nuccore/CP000058.1?report=graph&amp;tracks=[key:gene_model_track,Options:GeneOnly]&amp;mk=236515:236534|offset_1|444444,236491:236510|offset_25|00cc00,236460:236479|offset_56|444444,236425:236444|offset_91|444444&amp;v=236314:236644&amp;c=444444", "offset 25")</f>
        <v>offset 25</v>
      </c>
    </row>
    <row r="686" customFormat="false" ht="12.8" hidden="false" customHeight="false" outlineLevel="0" collapsed="false">
      <c r="A686" s="0" t="s">
        <v>12</v>
      </c>
      <c r="B686" s="0" t="n">
        <v>236459</v>
      </c>
      <c r="C686" s="0" t="n">
        <v>236479</v>
      </c>
      <c r="D686" s="0" t="s">
        <v>2289</v>
      </c>
      <c r="E686" s="0" t="s">
        <v>2290</v>
      </c>
      <c r="F686" s="0" t="s">
        <v>90</v>
      </c>
      <c r="G686" s="0" t="s">
        <v>32</v>
      </c>
      <c r="H686" s="0" t="n">
        <v>56</v>
      </c>
      <c r="I686" s="0" t="s">
        <v>2297</v>
      </c>
      <c r="J686" s="0" t="s">
        <v>2298</v>
      </c>
      <c r="K686" s="0" t="s">
        <v>2299</v>
      </c>
      <c r="L686" s="0" t="str">
        <f aca="false">HYPERLINK("https://www.ncbi.nlm.nih.gov/nuccore/CP000058.1?report=graph&amp;tracks=[key:gene_model_track,Options:GeneOnly]&amp;mk=236515:236534|offset_1|444444,236491:236510|offset_25|444444,236460:236479|offset_56|00cc00,236425:236444|offset_91|444444&amp;v=236314:236644&amp;c=444444", "offset 56")</f>
        <v>offset 56</v>
      </c>
    </row>
    <row r="687" customFormat="false" ht="12.8" hidden="false" customHeight="false" outlineLevel="0" collapsed="false">
      <c r="A687" s="0" t="s">
        <v>12</v>
      </c>
      <c r="B687" s="0" t="n">
        <v>236424</v>
      </c>
      <c r="C687" s="0" t="n">
        <v>236444</v>
      </c>
      <c r="D687" s="0" t="s">
        <v>2289</v>
      </c>
      <c r="E687" s="0" t="s">
        <v>2290</v>
      </c>
      <c r="F687" s="0" t="s">
        <v>90</v>
      </c>
      <c r="G687" s="0" t="s">
        <v>16</v>
      </c>
      <c r="H687" s="0" t="n">
        <v>91</v>
      </c>
      <c r="I687" s="0" t="s">
        <v>2300</v>
      </c>
      <c r="J687" s="0" t="s">
        <v>2301</v>
      </c>
      <c r="K687" s="0" t="s">
        <v>2302</v>
      </c>
      <c r="L687" s="0" t="str">
        <f aca="false">HYPERLINK("https://www.ncbi.nlm.nih.gov/nuccore/CP000058.1?report=graph&amp;tracks=[key:gene_model_track,Options:GeneOnly]&amp;mk=236515:236534|offset_1|444444,236491:236510|offset_25|444444,236460:236479|offset_56|444444,236425:236444|offset_91|00cc00&amp;v=236314:236644&amp;c=444444", "offset 91")</f>
        <v>offset 91</v>
      </c>
    </row>
    <row r="688" customFormat="false" ht="12.8" hidden="false" customHeight="false" outlineLevel="0" collapsed="false">
      <c r="A688" s="0" t="s">
        <v>12</v>
      </c>
      <c r="B688" s="0" t="n">
        <v>236907</v>
      </c>
      <c r="C688" s="0" t="n">
        <v>236927</v>
      </c>
      <c r="D688" s="0" t="s">
        <v>2303</v>
      </c>
      <c r="E688" s="0" t="s">
        <v>2304</v>
      </c>
      <c r="F688" s="0" t="s">
        <v>90</v>
      </c>
      <c r="G688" s="0" t="s">
        <v>16</v>
      </c>
      <c r="H688" s="0" t="n">
        <v>10</v>
      </c>
      <c r="I688" s="0" t="s">
        <v>2305</v>
      </c>
      <c r="J688" s="0" t="s">
        <v>2306</v>
      </c>
      <c r="K688" s="0" t="s">
        <v>2307</v>
      </c>
      <c r="L688" s="0" t="str">
        <f aca="false">HYPERLINK("https://www.ncbi.nlm.nih.gov/nuccore/CP000058.1?report=graph&amp;tracks=[key:gene_model_track,Options:GeneOnly]&amp;mk=236908:236927|offset_10|00cc00,236888:236907|offset_30|444444,236861:236880|offset_57|444444,236840:236859|offset_78|444444&amp;v=236707:237059&amp;c=444444", "offset 10")</f>
        <v>offset 10</v>
      </c>
    </row>
    <row r="689" customFormat="false" ht="12.8" hidden="false" customHeight="false" outlineLevel="0" collapsed="false">
      <c r="A689" s="0" t="s">
        <v>12</v>
      </c>
      <c r="B689" s="0" t="n">
        <v>236887</v>
      </c>
      <c r="C689" s="0" t="n">
        <v>236907</v>
      </c>
      <c r="D689" s="0" t="s">
        <v>2303</v>
      </c>
      <c r="E689" s="0" t="s">
        <v>2304</v>
      </c>
      <c r="F689" s="0" t="s">
        <v>90</v>
      </c>
      <c r="G689" s="0" t="s">
        <v>16</v>
      </c>
      <c r="H689" s="0" t="n">
        <v>30</v>
      </c>
      <c r="I689" s="0" t="s">
        <v>2308</v>
      </c>
      <c r="J689" s="0" t="s">
        <v>2309</v>
      </c>
      <c r="K689" s="0" t="s">
        <v>2310</v>
      </c>
      <c r="L689" s="0" t="str">
        <f aca="false">HYPERLINK("https://www.ncbi.nlm.nih.gov/nuccore/CP000058.1?report=graph&amp;tracks=[key:gene_model_track,Options:GeneOnly]&amp;mk=236908:236927|offset_10|444444,236888:236907|offset_30|00cc00,236861:236880|offset_57|444444,236840:236859|offset_78|444444&amp;v=236707:237059&amp;c=444444", "offset 30")</f>
        <v>offset 30</v>
      </c>
    </row>
    <row r="690" customFormat="false" ht="12.8" hidden="false" customHeight="false" outlineLevel="0" collapsed="false">
      <c r="A690" s="0" t="s">
        <v>12</v>
      </c>
      <c r="B690" s="0" t="n">
        <v>236860</v>
      </c>
      <c r="C690" s="0" t="n">
        <v>236880</v>
      </c>
      <c r="D690" s="0" t="s">
        <v>2303</v>
      </c>
      <c r="E690" s="0" t="s">
        <v>2304</v>
      </c>
      <c r="F690" s="0" t="s">
        <v>90</v>
      </c>
      <c r="G690" s="0" t="s">
        <v>16</v>
      </c>
      <c r="H690" s="0" t="n">
        <v>57</v>
      </c>
      <c r="I690" s="0" t="s">
        <v>2311</v>
      </c>
      <c r="J690" s="0" t="s">
        <v>2312</v>
      </c>
      <c r="K690" s="0" t="s">
        <v>2313</v>
      </c>
      <c r="L690" s="0" t="str">
        <f aca="false">HYPERLINK("https://www.ncbi.nlm.nih.gov/nuccore/CP000058.1?report=graph&amp;tracks=[key:gene_model_track,Options:GeneOnly]&amp;mk=236908:236927|offset_10|444444,236888:236907|offset_30|444444,236861:236880|offset_57|00cc00,236840:236859|offset_78|444444&amp;v=236707:237059&amp;c=444444", "offset 57")</f>
        <v>offset 57</v>
      </c>
    </row>
    <row r="691" customFormat="false" ht="12.8" hidden="false" customHeight="false" outlineLevel="0" collapsed="false">
      <c r="A691" s="0" t="s">
        <v>12</v>
      </c>
      <c r="B691" s="0" t="n">
        <v>236839</v>
      </c>
      <c r="C691" s="0" t="n">
        <v>236859</v>
      </c>
      <c r="D691" s="0" t="s">
        <v>2303</v>
      </c>
      <c r="E691" s="0" t="s">
        <v>2304</v>
      </c>
      <c r="F691" s="0" t="s">
        <v>90</v>
      </c>
      <c r="G691" s="0" t="s">
        <v>36</v>
      </c>
      <c r="H691" s="0" t="n">
        <v>78</v>
      </c>
      <c r="I691" s="0" t="s">
        <v>2314</v>
      </c>
      <c r="J691" s="0" t="s">
        <v>2315</v>
      </c>
      <c r="K691" s="0" t="s">
        <v>2316</v>
      </c>
      <c r="L691" s="0" t="str">
        <f aca="false">HYPERLINK("https://www.ncbi.nlm.nih.gov/nuccore/CP000058.1?report=graph&amp;tracks=[key:gene_model_track,Options:GeneOnly]&amp;mk=236908:236927|offset_10|444444,236888:236907|offset_30|444444,236861:236880|offset_57|444444,236840:236859|offset_78|00cc00&amp;v=236707:237059&amp;c=444444", "offset 78")</f>
        <v>offset 78</v>
      </c>
    </row>
    <row r="692" customFormat="false" ht="12.8" hidden="false" customHeight="false" outlineLevel="0" collapsed="false">
      <c r="A692" s="0" t="s">
        <v>12</v>
      </c>
      <c r="B692" s="0" t="n">
        <v>237634</v>
      </c>
      <c r="C692" s="0" t="n">
        <v>237654</v>
      </c>
      <c r="D692" s="0" t="s">
        <v>2317</v>
      </c>
      <c r="E692" s="0" t="s">
        <v>2318</v>
      </c>
      <c r="F692" s="0" t="s">
        <v>90</v>
      </c>
      <c r="G692" s="0" t="s">
        <v>20</v>
      </c>
      <c r="H692" s="0" t="n">
        <v>18</v>
      </c>
      <c r="I692" s="0" t="s">
        <v>2319</v>
      </c>
      <c r="J692" s="0" t="s">
        <v>2320</v>
      </c>
      <c r="K692" s="0" t="s">
        <v>2321</v>
      </c>
      <c r="L692" s="0" t="str">
        <f aca="false">HYPERLINK("https://www.ncbi.nlm.nih.gov/nuccore/CP000058.1?report=graph&amp;tracks=[key:gene_model_track,Options:GeneOnly]&amp;mk=237635:237654|offset_18|00cc00,237610:237629|offset_43|444444,237586:237605|offset_67|444444,237556:237575|offset_97|444444&amp;v=237434:237775&amp;c=444444", "offset 18")</f>
        <v>offset 18</v>
      </c>
    </row>
    <row r="693" customFormat="false" ht="12.8" hidden="false" customHeight="false" outlineLevel="0" collapsed="false">
      <c r="A693" s="0" t="s">
        <v>12</v>
      </c>
      <c r="B693" s="0" t="n">
        <v>237609</v>
      </c>
      <c r="C693" s="0" t="n">
        <v>237629</v>
      </c>
      <c r="D693" s="0" t="s">
        <v>2317</v>
      </c>
      <c r="E693" s="0" t="s">
        <v>2318</v>
      </c>
      <c r="F693" s="0" t="s">
        <v>90</v>
      </c>
      <c r="G693" s="0" t="s">
        <v>36</v>
      </c>
      <c r="H693" s="0" t="n">
        <v>43</v>
      </c>
      <c r="I693" s="0" t="s">
        <v>2322</v>
      </c>
      <c r="J693" s="0" t="s">
        <v>2323</v>
      </c>
      <c r="K693" s="0" t="s">
        <v>2324</v>
      </c>
      <c r="L693" s="0" t="str">
        <f aca="false">HYPERLINK("https://www.ncbi.nlm.nih.gov/nuccore/CP000058.1?report=graph&amp;tracks=[key:gene_model_track,Options:GeneOnly]&amp;mk=237635:237654|offset_18|444444,237610:237629|offset_43|00cc00,237586:237605|offset_67|444444,237556:237575|offset_97|444444&amp;v=237434:237775&amp;c=444444", "offset 43")</f>
        <v>offset 43</v>
      </c>
    </row>
    <row r="694" customFormat="false" ht="12.8" hidden="false" customHeight="false" outlineLevel="0" collapsed="false">
      <c r="A694" s="0" t="s">
        <v>12</v>
      </c>
      <c r="B694" s="0" t="n">
        <v>237585</v>
      </c>
      <c r="C694" s="0" t="n">
        <v>237605</v>
      </c>
      <c r="D694" s="0" t="s">
        <v>2317</v>
      </c>
      <c r="E694" s="0" t="s">
        <v>2318</v>
      </c>
      <c r="F694" s="0" t="s">
        <v>90</v>
      </c>
      <c r="G694" s="0" t="s">
        <v>16</v>
      </c>
      <c r="H694" s="0" t="n">
        <v>67</v>
      </c>
      <c r="I694" s="0" t="s">
        <v>2325</v>
      </c>
      <c r="J694" s="0" t="s">
        <v>2326</v>
      </c>
      <c r="K694" s="0" t="s">
        <v>2327</v>
      </c>
      <c r="L694" s="0" t="str">
        <f aca="false">HYPERLINK("https://www.ncbi.nlm.nih.gov/nuccore/CP000058.1?report=graph&amp;tracks=[key:gene_model_track,Options:GeneOnly]&amp;mk=237635:237654|offset_18|444444,237610:237629|offset_43|444444,237586:237605|offset_67|00cc00,237556:237575|offset_97|444444&amp;v=237434:237775&amp;c=444444", "offset 67")</f>
        <v>offset 67</v>
      </c>
    </row>
    <row r="695" customFormat="false" ht="12.8" hidden="false" customHeight="false" outlineLevel="0" collapsed="false">
      <c r="A695" s="0" t="s">
        <v>12</v>
      </c>
      <c r="B695" s="0" t="n">
        <v>237555</v>
      </c>
      <c r="C695" s="0" t="n">
        <v>237575</v>
      </c>
      <c r="D695" s="0" t="s">
        <v>2317</v>
      </c>
      <c r="E695" s="0" t="s">
        <v>2318</v>
      </c>
      <c r="F695" s="0" t="s">
        <v>90</v>
      </c>
      <c r="G695" s="0" t="s">
        <v>36</v>
      </c>
      <c r="H695" s="0" t="n">
        <v>97</v>
      </c>
      <c r="I695" s="0" t="s">
        <v>2328</v>
      </c>
      <c r="J695" s="0" t="s">
        <v>2329</v>
      </c>
      <c r="K695" s="0" t="s">
        <v>2330</v>
      </c>
      <c r="L695" s="0" t="str">
        <f aca="false">HYPERLINK("https://www.ncbi.nlm.nih.gov/nuccore/CP000058.1?report=graph&amp;tracks=[key:gene_model_track,Options:GeneOnly]&amp;mk=237635:237654|offset_18|444444,237610:237629|offset_43|444444,237586:237605|offset_67|444444,237556:237575|offset_97|00cc00&amp;v=237434:237775&amp;c=444444", "offset 97")</f>
        <v>offset 97</v>
      </c>
    </row>
    <row r="696" customFormat="false" ht="12.8" hidden="false" customHeight="false" outlineLevel="0" collapsed="false">
      <c r="A696" s="0" t="s">
        <v>12</v>
      </c>
      <c r="B696" s="0" t="n">
        <v>238508</v>
      </c>
      <c r="C696" s="0" t="n">
        <v>238528</v>
      </c>
      <c r="D696" s="0" t="s">
        <v>2331</v>
      </c>
      <c r="E696" s="0" t="s">
        <v>75</v>
      </c>
      <c r="F696" s="0" t="s">
        <v>90</v>
      </c>
      <c r="G696" s="0" t="s">
        <v>36</v>
      </c>
      <c r="H696" s="0" t="n">
        <v>0</v>
      </c>
      <c r="I696" s="0" t="s">
        <v>2332</v>
      </c>
      <c r="J696" s="0" t="s">
        <v>2333</v>
      </c>
      <c r="K696" s="0" t="s">
        <v>2334</v>
      </c>
      <c r="L696" s="0" t="str">
        <f aca="false">HYPERLINK("https://www.ncbi.nlm.nih.gov/nuccore/CP000058.1?report=graph&amp;tracks=[key:gene_model_track,Options:GeneOnly]&amp;mk=238509:238528|offset_0|00cc00,238487:238506|offset_22|444444,238466:238485|offset_43|444444,238420:238439|offset_89|444444&amp;v=238308:238639&amp;c=444444", "offset 0")</f>
        <v>offset 0</v>
      </c>
    </row>
    <row r="697" customFormat="false" ht="12.8" hidden="false" customHeight="false" outlineLevel="0" collapsed="false">
      <c r="A697" s="0" t="s">
        <v>12</v>
      </c>
      <c r="B697" s="0" t="n">
        <v>238486</v>
      </c>
      <c r="C697" s="0" t="n">
        <v>238506</v>
      </c>
      <c r="D697" s="0" t="s">
        <v>2331</v>
      </c>
      <c r="E697" s="0" t="s">
        <v>75</v>
      </c>
      <c r="F697" s="0" t="s">
        <v>90</v>
      </c>
      <c r="G697" s="0" t="s">
        <v>20</v>
      </c>
      <c r="H697" s="0" t="n">
        <v>22</v>
      </c>
      <c r="I697" s="0" t="s">
        <v>2335</v>
      </c>
      <c r="J697" s="0" t="s">
        <v>2336</v>
      </c>
      <c r="K697" s="0" t="s">
        <v>2337</v>
      </c>
      <c r="L697" s="0" t="str">
        <f aca="false">HYPERLINK("https://www.ncbi.nlm.nih.gov/nuccore/CP000058.1?report=graph&amp;tracks=[key:gene_model_track,Options:GeneOnly]&amp;mk=238509:238528|offset_0|444444,238487:238506|offset_22|00cc00,238466:238485|offset_43|444444,238420:238439|offset_89|444444&amp;v=238308:238639&amp;c=444444", "offset 22")</f>
        <v>offset 22</v>
      </c>
    </row>
    <row r="698" customFormat="false" ht="12.8" hidden="false" customHeight="false" outlineLevel="0" collapsed="false">
      <c r="A698" s="0" t="s">
        <v>12</v>
      </c>
      <c r="B698" s="0" t="n">
        <v>238465</v>
      </c>
      <c r="C698" s="0" t="n">
        <v>238485</v>
      </c>
      <c r="D698" s="0" t="s">
        <v>2331</v>
      </c>
      <c r="E698" s="0" t="s">
        <v>75</v>
      </c>
      <c r="F698" s="0" t="s">
        <v>90</v>
      </c>
      <c r="G698" s="0" t="s">
        <v>16</v>
      </c>
      <c r="H698" s="0" t="n">
        <v>43</v>
      </c>
      <c r="I698" s="0" t="s">
        <v>2338</v>
      </c>
      <c r="J698" s="0" t="s">
        <v>2339</v>
      </c>
      <c r="K698" s="0" t="s">
        <v>2340</v>
      </c>
      <c r="L698" s="0" t="str">
        <f aca="false">HYPERLINK("https://www.ncbi.nlm.nih.gov/nuccore/CP000058.1?report=graph&amp;tracks=[key:gene_model_track,Options:GeneOnly]&amp;mk=238509:238528|offset_0|444444,238487:238506|offset_22|444444,238466:238485|offset_43|00cc00,238420:238439|offset_89|444444&amp;v=238308:238639&amp;c=444444", "offset 43")</f>
        <v>offset 43</v>
      </c>
    </row>
    <row r="699" customFormat="false" ht="12.8" hidden="false" customHeight="false" outlineLevel="0" collapsed="false">
      <c r="A699" s="0" t="s">
        <v>12</v>
      </c>
      <c r="B699" s="0" t="n">
        <v>238419</v>
      </c>
      <c r="C699" s="0" t="n">
        <v>238439</v>
      </c>
      <c r="D699" s="0" t="s">
        <v>2331</v>
      </c>
      <c r="E699" s="0" t="s">
        <v>75</v>
      </c>
      <c r="F699" s="0" t="s">
        <v>90</v>
      </c>
      <c r="G699" s="0" t="s">
        <v>16</v>
      </c>
      <c r="H699" s="0" t="n">
        <v>89</v>
      </c>
      <c r="I699" s="0" t="s">
        <v>2341</v>
      </c>
      <c r="J699" s="0" t="s">
        <v>2342</v>
      </c>
      <c r="K699" s="0" t="s">
        <v>2343</v>
      </c>
      <c r="L699" s="0" t="str">
        <f aca="false">HYPERLINK("https://www.ncbi.nlm.nih.gov/nuccore/CP000058.1?report=graph&amp;tracks=[key:gene_model_track,Options:GeneOnly]&amp;mk=238509:238528|offset_0|444444,238487:238506|offset_22|444444,238466:238485|offset_43|444444,238420:238439|offset_89|00cc00&amp;v=238308:238639&amp;c=444444", "offset 89")</f>
        <v>offset 89</v>
      </c>
    </row>
    <row r="700" customFormat="false" ht="12.8" hidden="false" customHeight="false" outlineLevel="0" collapsed="false">
      <c r="A700" s="0" t="s">
        <v>12</v>
      </c>
      <c r="B700" s="0" t="n">
        <v>238694</v>
      </c>
      <c r="C700" s="0" t="n">
        <v>238714</v>
      </c>
      <c r="D700" s="0" t="s">
        <v>2344</v>
      </c>
      <c r="E700" s="0" t="s">
        <v>2345</v>
      </c>
      <c r="F700" s="0" t="s">
        <v>15</v>
      </c>
      <c r="G700" s="0" t="s">
        <v>20</v>
      </c>
      <c r="H700" s="0" t="n">
        <v>18</v>
      </c>
      <c r="I700" s="0" t="s">
        <v>2346</v>
      </c>
      <c r="J700" s="0" t="s">
        <v>2347</v>
      </c>
      <c r="K700" s="0" t="s">
        <v>2348</v>
      </c>
      <c r="L700" s="0" t="str">
        <f aca="false">HYPERLINK("https://www.ncbi.nlm.nih.gov/nuccore/CP000058.1?report=graph&amp;tracks=[key:gene_model_track,Options:GeneOnly]&amp;mk=238695:238714|offset_18|00cc00,238730:238749|offset_53|444444,238779:238798|offset_102|444444,238807:238826|offset_130|444444&amp;v=238494:239026&amp;c=444444", "offset 18")</f>
        <v>offset 18</v>
      </c>
    </row>
    <row r="701" customFormat="false" ht="12.8" hidden="false" customHeight="false" outlineLevel="0" collapsed="false">
      <c r="A701" s="0" t="s">
        <v>12</v>
      </c>
      <c r="B701" s="0" t="n">
        <v>238729</v>
      </c>
      <c r="C701" s="0" t="n">
        <v>238749</v>
      </c>
      <c r="D701" s="0" t="s">
        <v>2344</v>
      </c>
      <c r="E701" s="0" t="s">
        <v>2345</v>
      </c>
      <c r="F701" s="0" t="s">
        <v>15</v>
      </c>
      <c r="G701" s="0" t="s">
        <v>32</v>
      </c>
      <c r="H701" s="0" t="n">
        <v>53</v>
      </c>
      <c r="I701" s="0" t="s">
        <v>2349</v>
      </c>
      <c r="J701" s="0" t="s">
        <v>2350</v>
      </c>
      <c r="K701" s="0" t="s">
        <v>2351</v>
      </c>
      <c r="L701" s="0" t="str">
        <f aca="false">HYPERLINK("https://www.ncbi.nlm.nih.gov/nuccore/CP000058.1?report=graph&amp;tracks=[key:gene_model_track,Options:GeneOnly]&amp;mk=238695:238714|offset_18|444444,238730:238749|offset_53|00cc00,238779:238798|offset_102|444444,238807:238826|offset_130|444444&amp;v=238494:239026&amp;c=444444", "offset 53")</f>
        <v>offset 53</v>
      </c>
    </row>
    <row r="702" customFormat="false" ht="12.8" hidden="false" customHeight="false" outlineLevel="0" collapsed="false">
      <c r="A702" s="0" t="s">
        <v>12</v>
      </c>
      <c r="B702" s="0" t="n">
        <v>238778</v>
      </c>
      <c r="C702" s="0" t="n">
        <v>238798</v>
      </c>
      <c r="D702" s="0" t="s">
        <v>2344</v>
      </c>
      <c r="E702" s="0" t="s">
        <v>2345</v>
      </c>
      <c r="F702" s="0" t="s">
        <v>15</v>
      </c>
      <c r="G702" s="0" t="s">
        <v>36</v>
      </c>
      <c r="H702" s="0" t="n">
        <v>102</v>
      </c>
      <c r="I702" s="0" t="s">
        <v>2352</v>
      </c>
      <c r="J702" s="0" t="s">
        <v>2353</v>
      </c>
      <c r="K702" s="0" t="s">
        <v>2354</v>
      </c>
      <c r="L702" s="0" t="str">
        <f aca="false">HYPERLINK("https://www.ncbi.nlm.nih.gov/nuccore/CP000058.1?report=graph&amp;tracks=[key:gene_model_track,Options:GeneOnly]&amp;mk=238695:238714|offset_18|444444,238730:238749|offset_53|444444,238779:238798|offset_102|00cc00,238807:238826|offset_130|444444&amp;v=238494:239026&amp;c=444444", "offset 102")</f>
        <v>offset 102</v>
      </c>
    </row>
    <row r="703" customFormat="false" ht="12.8" hidden="false" customHeight="false" outlineLevel="0" collapsed="false">
      <c r="A703" s="0" t="s">
        <v>12</v>
      </c>
      <c r="B703" s="0" t="n">
        <v>238806</v>
      </c>
      <c r="C703" s="0" t="n">
        <v>238826</v>
      </c>
      <c r="D703" s="0" t="s">
        <v>2344</v>
      </c>
      <c r="E703" s="0" t="s">
        <v>2345</v>
      </c>
      <c r="F703" s="0" t="s">
        <v>15</v>
      </c>
      <c r="G703" s="0" t="s">
        <v>36</v>
      </c>
      <c r="H703" s="0" t="n">
        <v>130</v>
      </c>
      <c r="I703" s="0" t="s">
        <v>2355</v>
      </c>
      <c r="J703" s="0" t="s">
        <v>2356</v>
      </c>
      <c r="K703" s="0" t="s">
        <v>2357</v>
      </c>
      <c r="L703" s="0" t="str">
        <f aca="false">HYPERLINK("https://www.ncbi.nlm.nih.gov/nuccore/CP000058.1?report=graph&amp;tracks=[key:gene_model_track,Options:GeneOnly]&amp;mk=238695:238714|offset_18|444444,238730:238749|offset_53|444444,238779:238798|offset_102|444444,238807:238826|offset_130|00cc00&amp;v=238494:239026&amp;c=444444", "offset 130")</f>
        <v>offset 130</v>
      </c>
    </row>
    <row r="704" customFormat="false" ht="12.8" hidden="false" customHeight="false" outlineLevel="0" collapsed="false">
      <c r="A704" s="0" t="s">
        <v>12</v>
      </c>
      <c r="B704" s="0" t="n">
        <v>239602</v>
      </c>
      <c r="C704" s="0" t="n">
        <v>239622</v>
      </c>
      <c r="D704" s="0" t="s">
        <v>2358</v>
      </c>
      <c r="E704" s="0" t="s">
        <v>75</v>
      </c>
      <c r="F704" s="0" t="s">
        <v>15</v>
      </c>
      <c r="G704" s="0" t="s">
        <v>16</v>
      </c>
      <c r="H704" s="0" t="n">
        <v>21</v>
      </c>
      <c r="I704" s="0" t="s">
        <v>2359</v>
      </c>
      <c r="J704" s="0" t="s">
        <v>2360</v>
      </c>
      <c r="K704" s="0" t="s">
        <v>2361</v>
      </c>
      <c r="L704" s="0" t="str">
        <f aca="false">HYPERLINK("https://www.ncbi.nlm.nih.gov/nuccore/CP000058.1?report=graph&amp;tracks=[key:gene_model_track,Options:GeneOnly]&amp;mk=239603:239622|offset_21|00cc00,239632:239651|offset_50|444444,239667:239686|offset_85|444444,239701:239720|offset_119|444444&amp;v=239402:239920&amp;c=444444", "offset 21")</f>
        <v>offset 21</v>
      </c>
    </row>
    <row r="705" customFormat="false" ht="12.8" hidden="false" customHeight="false" outlineLevel="0" collapsed="false">
      <c r="A705" s="0" t="s">
        <v>12</v>
      </c>
      <c r="B705" s="0" t="n">
        <v>239631</v>
      </c>
      <c r="C705" s="0" t="n">
        <v>239651</v>
      </c>
      <c r="D705" s="0" t="s">
        <v>2358</v>
      </c>
      <c r="E705" s="0" t="s">
        <v>75</v>
      </c>
      <c r="F705" s="0" t="s">
        <v>15</v>
      </c>
      <c r="G705" s="0" t="s">
        <v>32</v>
      </c>
      <c r="H705" s="0" t="n">
        <v>50</v>
      </c>
      <c r="I705" s="0" t="s">
        <v>2362</v>
      </c>
      <c r="J705" s="0" t="s">
        <v>2363</v>
      </c>
      <c r="K705" s="0" t="s">
        <v>2364</v>
      </c>
      <c r="L705" s="0" t="str">
        <f aca="false">HYPERLINK("https://www.ncbi.nlm.nih.gov/nuccore/CP000058.1?report=graph&amp;tracks=[key:gene_model_track,Options:GeneOnly]&amp;mk=239603:239622|offset_21|444444,239632:239651|offset_50|00cc00,239667:239686|offset_85|444444,239701:239720|offset_119|444444&amp;v=239402:239920&amp;c=444444", "offset 50")</f>
        <v>offset 50</v>
      </c>
    </row>
    <row r="706" customFormat="false" ht="12.8" hidden="false" customHeight="false" outlineLevel="0" collapsed="false">
      <c r="A706" s="0" t="s">
        <v>12</v>
      </c>
      <c r="B706" s="0" t="n">
        <v>239666</v>
      </c>
      <c r="C706" s="0" t="n">
        <v>239686</v>
      </c>
      <c r="D706" s="0" t="s">
        <v>2358</v>
      </c>
      <c r="E706" s="0" t="s">
        <v>75</v>
      </c>
      <c r="F706" s="0" t="s">
        <v>15</v>
      </c>
      <c r="G706" s="0" t="s">
        <v>16</v>
      </c>
      <c r="H706" s="0" t="n">
        <v>85</v>
      </c>
      <c r="I706" s="0" t="s">
        <v>2365</v>
      </c>
      <c r="J706" s="0" t="s">
        <v>2366</v>
      </c>
      <c r="K706" s="0" t="s">
        <v>2367</v>
      </c>
      <c r="L706" s="0" t="str">
        <f aca="false">HYPERLINK("https://www.ncbi.nlm.nih.gov/nuccore/CP000058.1?report=graph&amp;tracks=[key:gene_model_track,Options:GeneOnly]&amp;mk=239603:239622|offset_21|444444,239632:239651|offset_50|444444,239667:239686|offset_85|00cc00,239701:239720|offset_119|444444&amp;v=239402:239920&amp;c=444444", "offset 85")</f>
        <v>offset 85</v>
      </c>
    </row>
    <row r="707" customFormat="false" ht="12.8" hidden="false" customHeight="false" outlineLevel="0" collapsed="false">
      <c r="A707" s="0" t="s">
        <v>12</v>
      </c>
      <c r="B707" s="0" t="n">
        <v>239700</v>
      </c>
      <c r="C707" s="0" t="n">
        <v>239720</v>
      </c>
      <c r="D707" s="0" t="s">
        <v>2358</v>
      </c>
      <c r="E707" s="0" t="s">
        <v>75</v>
      </c>
      <c r="F707" s="0" t="s">
        <v>15</v>
      </c>
      <c r="G707" s="0" t="s">
        <v>36</v>
      </c>
      <c r="H707" s="0" t="n">
        <v>119</v>
      </c>
      <c r="I707" s="0" t="s">
        <v>2368</v>
      </c>
      <c r="J707" s="0" t="s">
        <v>2369</v>
      </c>
      <c r="K707" s="0" t="s">
        <v>2370</v>
      </c>
      <c r="L707" s="0" t="str">
        <f aca="false">HYPERLINK("https://www.ncbi.nlm.nih.gov/nuccore/CP000058.1?report=graph&amp;tracks=[key:gene_model_track,Options:GeneOnly]&amp;mk=239603:239622|offset_21|444444,239632:239651|offset_50|444444,239667:239686|offset_85|444444,239701:239720|offset_119|00cc00&amp;v=239402:239920&amp;c=444444", "offset 119")</f>
        <v>offset 119</v>
      </c>
    </row>
    <row r="708" customFormat="false" ht="12.8" hidden="false" customHeight="false" outlineLevel="0" collapsed="false">
      <c r="A708" s="0" t="s">
        <v>12</v>
      </c>
      <c r="B708" s="0" t="n">
        <v>240693</v>
      </c>
      <c r="C708" s="0" t="n">
        <v>240713</v>
      </c>
      <c r="D708" s="0" t="s">
        <v>2371</v>
      </c>
      <c r="E708" s="0" t="s">
        <v>75</v>
      </c>
      <c r="F708" s="0" t="s">
        <v>90</v>
      </c>
      <c r="G708" s="0" t="s">
        <v>16</v>
      </c>
      <c r="H708" s="0" t="n">
        <v>85</v>
      </c>
      <c r="I708" s="0" t="s">
        <v>2372</v>
      </c>
      <c r="J708" s="0" t="s">
        <v>2373</v>
      </c>
      <c r="K708" s="0" t="s">
        <v>2374</v>
      </c>
      <c r="L708" s="0" t="str">
        <f aca="false">HYPERLINK("https://www.ncbi.nlm.nih.gov/nuccore/CP000058.1?report=graph&amp;tracks=[key:gene_model_track,Options:GeneOnly]&amp;mk=240694:240713|offset_85|00cc00,240670:240689|offset_109|444444,240641:240660|offset_138|444444,240615:240634|offset_164|444444&amp;v=240493:240834&amp;c=444444", "offset 85")</f>
        <v>offset 85</v>
      </c>
    </row>
    <row r="709" customFormat="false" ht="12.8" hidden="false" customHeight="false" outlineLevel="0" collapsed="false">
      <c r="A709" s="0" t="s">
        <v>12</v>
      </c>
      <c r="B709" s="0" t="n">
        <v>240669</v>
      </c>
      <c r="C709" s="0" t="n">
        <v>240689</v>
      </c>
      <c r="D709" s="0" t="s">
        <v>2371</v>
      </c>
      <c r="E709" s="0" t="s">
        <v>75</v>
      </c>
      <c r="F709" s="0" t="s">
        <v>90</v>
      </c>
      <c r="G709" s="0" t="s">
        <v>36</v>
      </c>
      <c r="H709" s="0" t="n">
        <v>109</v>
      </c>
      <c r="I709" s="0" t="s">
        <v>2375</v>
      </c>
      <c r="J709" s="0" t="s">
        <v>2376</v>
      </c>
      <c r="K709" s="0" t="s">
        <v>2377</v>
      </c>
      <c r="L709" s="0" t="str">
        <f aca="false">HYPERLINK("https://www.ncbi.nlm.nih.gov/nuccore/CP000058.1?report=graph&amp;tracks=[key:gene_model_track,Options:GeneOnly]&amp;mk=240694:240713|offset_85|444444,240670:240689|offset_109|00cc00,240641:240660|offset_138|444444,240615:240634|offset_164|444444&amp;v=240493:240834&amp;c=444444", "offset 109")</f>
        <v>offset 109</v>
      </c>
    </row>
    <row r="710" customFormat="false" ht="12.8" hidden="false" customHeight="false" outlineLevel="0" collapsed="false">
      <c r="A710" s="0" t="s">
        <v>12</v>
      </c>
      <c r="B710" s="0" t="n">
        <v>240640</v>
      </c>
      <c r="C710" s="0" t="n">
        <v>240660</v>
      </c>
      <c r="D710" s="0" t="s">
        <v>2371</v>
      </c>
      <c r="E710" s="0" t="s">
        <v>75</v>
      </c>
      <c r="F710" s="0" t="s">
        <v>90</v>
      </c>
      <c r="G710" s="0" t="s">
        <v>32</v>
      </c>
      <c r="H710" s="0" t="n">
        <v>138</v>
      </c>
      <c r="I710" s="0" t="s">
        <v>2378</v>
      </c>
      <c r="J710" s="0" t="s">
        <v>2379</v>
      </c>
      <c r="K710" s="0" t="s">
        <v>2380</v>
      </c>
      <c r="L710" s="0" t="str">
        <f aca="false">HYPERLINK("https://www.ncbi.nlm.nih.gov/nuccore/CP000058.1?report=graph&amp;tracks=[key:gene_model_track,Options:GeneOnly]&amp;mk=240694:240713|offset_85|444444,240670:240689|offset_109|444444,240641:240660|offset_138|00cc00,240615:240634|offset_164|444444&amp;v=240493:240834&amp;c=444444", "offset 138")</f>
        <v>offset 138</v>
      </c>
    </row>
    <row r="711" customFormat="false" ht="12.8" hidden="false" customHeight="false" outlineLevel="0" collapsed="false">
      <c r="A711" s="0" t="s">
        <v>12</v>
      </c>
      <c r="B711" s="0" t="n">
        <v>240614</v>
      </c>
      <c r="C711" s="0" t="n">
        <v>240634</v>
      </c>
      <c r="D711" s="0" t="s">
        <v>2371</v>
      </c>
      <c r="E711" s="0" t="s">
        <v>75</v>
      </c>
      <c r="F711" s="0" t="s">
        <v>90</v>
      </c>
      <c r="G711" s="0" t="s">
        <v>20</v>
      </c>
      <c r="H711" s="0" t="n">
        <v>164</v>
      </c>
      <c r="I711" s="0" t="s">
        <v>2381</v>
      </c>
      <c r="J711" s="0" t="s">
        <v>2382</v>
      </c>
      <c r="K711" s="0" t="s">
        <v>2383</v>
      </c>
      <c r="L711" s="0" t="str">
        <f aca="false">HYPERLINK("https://www.ncbi.nlm.nih.gov/nuccore/CP000058.1?report=graph&amp;tracks=[key:gene_model_track,Options:GeneOnly]&amp;mk=240694:240713|offset_85|444444,240670:240689|offset_109|444444,240641:240660|offset_138|444444,240615:240634|offset_164|00cc00&amp;v=240493:240834&amp;c=444444", "offset 164")</f>
        <v>offset 164</v>
      </c>
    </row>
    <row r="712" customFormat="false" ht="12.8" hidden="false" customHeight="false" outlineLevel="0" collapsed="false">
      <c r="A712" s="0" t="s">
        <v>12</v>
      </c>
      <c r="B712" s="0" t="n">
        <v>240881</v>
      </c>
      <c r="C712" s="0" t="n">
        <v>240901</v>
      </c>
      <c r="D712" s="0" t="s">
        <v>2384</v>
      </c>
      <c r="E712" s="0" t="s">
        <v>2385</v>
      </c>
      <c r="F712" s="0" t="s">
        <v>15</v>
      </c>
      <c r="G712" s="0" t="s">
        <v>32</v>
      </c>
      <c r="H712" s="0" t="n">
        <v>1</v>
      </c>
      <c r="I712" s="0" t="s">
        <v>2386</v>
      </c>
      <c r="J712" s="0" t="s">
        <v>2387</v>
      </c>
      <c r="K712" s="0" t="s">
        <v>2388</v>
      </c>
      <c r="L712" s="0" t="str">
        <f aca="false">HYPERLINK("https://www.ncbi.nlm.nih.gov/nuccore/CP000058.1?report=graph&amp;tracks=[key:gene_model_track,Options:GeneOnly]&amp;mk=240882:240901|offset_1|00cc00,240918:240937|offset_37|444444,240963:240982|offset_82|444444,241008:241027|offset_127|444444&amp;v=240681:241227&amp;c=444444", "offset 1")</f>
        <v>offset 1</v>
      </c>
    </row>
    <row r="713" customFormat="false" ht="12.8" hidden="false" customHeight="false" outlineLevel="0" collapsed="false">
      <c r="A713" s="0" t="s">
        <v>12</v>
      </c>
      <c r="B713" s="0" t="n">
        <v>240917</v>
      </c>
      <c r="C713" s="0" t="n">
        <v>240937</v>
      </c>
      <c r="D713" s="0" t="s">
        <v>2384</v>
      </c>
      <c r="E713" s="0" t="s">
        <v>2385</v>
      </c>
      <c r="F713" s="0" t="s">
        <v>15</v>
      </c>
      <c r="G713" s="0" t="s">
        <v>32</v>
      </c>
      <c r="H713" s="0" t="n">
        <v>37</v>
      </c>
      <c r="I713" s="0" t="s">
        <v>2389</v>
      </c>
      <c r="J713" s="0" t="s">
        <v>2390</v>
      </c>
      <c r="K713" s="0" t="s">
        <v>2391</v>
      </c>
      <c r="L713" s="0" t="str">
        <f aca="false">HYPERLINK("https://www.ncbi.nlm.nih.gov/nuccore/CP000058.1?report=graph&amp;tracks=[key:gene_model_track,Options:GeneOnly]&amp;mk=240882:240901|offset_1|444444,240918:240937|offset_37|00cc00,240963:240982|offset_82|444444,241008:241027|offset_127|444444&amp;v=240681:241227&amp;c=444444", "offset 37")</f>
        <v>offset 37</v>
      </c>
    </row>
    <row r="714" customFormat="false" ht="12.8" hidden="false" customHeight="false" outlineLevel="0" collapsed="false">
      <c r="A714" s="0" t="s">
        <v>12</v>
      </c>
      <c r="B714" s="0" t="n">
        <v>240962</v>
      </c>
      <c r="C714" s="0" t="n">
        <v>240982</v>
      </c>
      <c r="D714" s="0" t="s">
        <v>2384</v>
      </c>
      <c r="E714" s="0" t="s">
        <v>2385</v>
      </c>
      <c r="F714" s="0" t="s">
        <v>15</v>
      </c>
      <c r="G714" s="0" t="s">
        <v>16</v>
      </c>
      <c r="H714" s="0" t="n">
        <v>82</v>
      </c>
      <c r="I714" s="0" t="s">
        <v>2392</v>
      </c>
      <c r="J714" s="0" t="s">
        <v>2393</v>
      </c>
      <c r="K714" s="0" t="s">
        <v>2394</v>
      </c>
      <c r="L714" s="0" t="str">
        <f aca="false">HYPERLINK("https://www.ncbi.nlm.nih.gov/nuccore/CP000058.1?report=graph&amp;tracks=[key:gene_model_track,Options:GeneOnly]&amp;mk=240882:240901|offset_1|444444,240918:240937|offset_37|444444,240963:240982|offset_82|00cc00,241008:241027|offset_127|444444&amp;v=240681:241227&amp;c=444444", "offset 82")</f>
        <v>offset 82</v>
      </c>
    </row>
    <row r="715" customFormat="false" ht="12.8" hidden="false" customHeight="false" outlineLevel="0" collapsed="false">
      <c r="A715" s="0" t="s">
        <v>12</v>
      </c>
      <c r="B715" s="0" t="n">
        <v>241007</v>
      </c>
      <c r="C715" s="0" t="n">
        <v>241027</v>
      </c>
      <c r="D715" s="0" t="s">
        <v>2384</v>
      </c>
      <c r="E715" s="0" t="s">
        <v>2385</v>
      </c>
      <c r="F715" s="0" t="s">
        <v>15</v>
      </c>
      <c r="G715" s="0" t="s">
        <v>16</v>
      </c>
      <c r="H715" s="0" t="n">
        <v>127</v>
      </c>
      <c r="I715" s="0" t="s">
        <v>2395</v>
      </c>
      <c r="J715" s="0" t="s">
        <v>2396</v>
      </c>
      <c r="K715" s="0" t="s">
        <v>2397</v>
      </c>
      <c r="L715" s="0" t="str">
        <f aca="false">HYPERLINK("https://www.ncbi.nlm.nih.gov/nuccore/CP000058.1?report=graph&amp;tracks=[key:gene_model_track,Options:GeneOnly]&amp;mk=240882:240901|offset_1|444444,240918:240937|offset_37|444444,240963:240982|offset_82|444444,241008:241027|offset_127|00cc00&amp;v=240681:241227&amp;c=444444", "offset 127")</f>
        <v>offset 127</v>
      </c>
    </row>
    <row r="716" customFormat="false" ht="12.8" hidden="false" customHeight="false" outlineLevel="0" collapsed="false">
      <c r="A716" s="0" t="s">
        <v>12</v>
      </c>
      <c r="B716" s="0" t="n">
        <v>241532</v>
      </c>
      <c r="C716" s="0" t="n">
        <v>241552</v>
      </c>
      <c r="D716" s="0" t="s">
        <v>2398</v>
      </c>
      <c r="E716" s="0" t="s">
        <v>75</v>
      </c>
      <c r="F716" s="0" t="s">
        <v>15</v>
      </c>
      <c r="G716" s="0" t="s">
        <v>20</v>
      </c>
      <c r="H716" s="0" t="n">
        <v>0</v>
      </c>
      <c r="I716" s="0" t="s">
        <v>2399</v>
      </c>
      <c r="J716" s="0" t="s">
        <v>2400</v>
      </c>
      <c r="K716" s="0" t="s">
        <v>2401</v>
      </c>
      <c r="L716" s="0" t="str">
        <f aca="false">HYPERLINK("https://www.ncbi.nlm.nih.gov/nuccore/CP000058.1?report=graph&amp;tracks=[key:gene_model_track,Options:GeneOnly]&amp;mk=241533:241552|offset_0|00cc00,241620:241639|offset_87|444444,241647:241666|offset_114|444444,241679:241698|offset_146|444444&amp;v=241332:241898&amp;c=444444", "offset 0")</f>
        <v>offset 0</v>
      </c>
    </row>
    <row r="717" customFormat="false" ht="12.8" hidden="false" customHeight="false" outlineLevel="0" collapsed="false">
      <c r="A717" s="0" t="s">
        <v>12</v>
      </c>
      <c r="B717" s="0" t="n">
        <v>241619</v>
      </c>
      <c r="C717" s="0" t="n">
        <v>241639</v>
      </c>
      <c r="D717" s="0" t="s">
        <v>2398</v>
      </c>
      <c r="E717" s="0" t="s">
        <v>75</v>
      </c>
      <c r="F717" s="0" t="s">
        <v>15</v>
      </c>
      <c r="G717" s="0" t="s">
        <v>36</v>
      </c>
      <c r="H717" s="0" t="n">
        <v>87</v>
      </c>
      <c r="I717" s="0" t="s">
        <v>2402</v>
      </c>
      <c r="J717" s="0" t="s">
        <v>2403</v>
      </c>
      <c r="K717" s="0" t="s">
        <v>2404</v>
      </c>
      <c r="L717" s="0" t="str">
        <f aca="false">HYPERLINK("https://www.ncbi.nlm.nih.gov/nuccore/CP000058.1?report=graph&amp;tracks=[key:gene_model_track,Options:GeneOnly]&amp;mk=241533:241552|offset_0|444444,241620:241639|offset_87|00cc00,241647:241666|offset_114|444444,241679:241698|offset_146|444444&amp;v=241332:241898&amp;c=444444", "offset 87")</f>
        <v>offset 87</v>
      </c>
    </row>
    <row r="718" customFormat="false" ht="12.8" hidden="false" customHeight="false" outlineLevel="0" collapsed="false">
      <c r="A718" s="0" t="s">
        <v>12</v>
      </c>
      <c r="B718" s="0" t="n">
        <v>241646</v>
      </c>
      <c r="C718" s="0" t="n">
        <v>241666</v>
      </c>
      <c r="D718" s="0" t="s">
        <v>2398</v>
      </c>
      <c r="E718" s="0" t="s">
        <v>75</v>
      </c>
      <c r="F718" s="0" t="s">
        <v>15</v>
      </c>
      <c r="G718" s="0" t="s">
        <v>20</v>
      </c>
      <c r="H718" s="0" t="n">
        <v>114</v>
      </c>
      <c r="I718" s="0" t="s">
        <v>2405</v>
      </c>
      <c r="J718" s="0" t="s">
        <v>2406</v>
      </c>
      <c r="K718" s="0" t="s">
        <v>2407</v>
      </c>
      <c r="L718" s="0" t="str">
        <f aca="false">HYPERLINK("https://www.ncbi.nlm.nih.gov/nuccore/CP000058.1?report=graph&amp;tracks=[key:gene_model_track,Options:GeneOnly]&amp;mk=241533:241552|offset_0|444444,241620:241639|offset_87|444444,241647:241666|offset_114|00cc00,241679:241698|offset_146|444444&amp;v=241332:241898&amp;c=444444", "offset 114")</f>
        <v>offset 114</v>
      </c>
    </row>
    <row r="719" customFormat="false" ht="12.8" hidden="false" customHeight="false" outlineLevel="0" collapsed="false">
      <c r="A719" s="0" t="s">
        <v>12</v>
      </c>
      <c r="B719" s="0" t="n">
        <v>241678</v>
      </c>
      <c r="C719" s="0" t="n">
        <v>241698</v>
      </c>
      <c r="D719" s="0" t="s">
        <v>2398</v>
      </c>
      <c r="E719" s="0" t="s">
        <v>75</v>
      </c>
      <c r="F719" s="0" t="s">
        <v>15</v>
      </c>
      <c r="G719" s="0" t="s">
        <v>16</v>
      </c>
      <c r="H719" s="0" t="n">
        <v>146</v>
      </c>
      <c r="I719" s="0" t="s">
        <v>2408</v>
      </c>
      <c r="J719" s="0" t="s">
        <v>2409</v>
      </c>
      <c r="K719" s="0" t="s">
        <v>2410</v>
      </c>
      <c r="L719" s="0" t="str">
        <f aca="false">HYPERLINK("https://www.ncbi.nlm.nih.gov/nuccore/CP000058.1?report=graph&amp;tracks=[key:gene_model_track,Options:GeneOnly]&amp;mk=241533:241552|offset_0|444444,241620:241639|offset_87|444444,241647:241666|offset_114|444444,241679:241698|offset_146|00cc00&amp;v=241332:241898&amp;c=444444", "offset 146")</f>
        <v>offset 146</v>
      </c>
    </row>
    <row r="720" customFormat="false" ht="12.8" hidden="false" customHeight="false" outlineLevel="0" collapsed="false">
      <c r="A720" s="0" t="s">
        <v>12</v>
      </c>
      <c r="B720" s="0" t="n">
        <v>243255</v>
      </c>
      <c r="C720" s="0" t="n">
        <v>243275</v>
      </c>
      <c r="D720" s="0" t="s">
        <v>2411</v>
      </c>
      <c r="E720" s="0" t="s">
        <v>2412</v>
      </c>
      <c r="F720" s="0" t="s">
        <v>90</v>
      </c>
      <c r="G720" s="0" t="s">
        <v>36</v>
      </c>
      <c r="H720" s="0" t="n">
        <v>7</v>
      </c>
      <c r="I720" s="0" t="s">
        <v>2413</v>
      </c>
      <c r="J720" s="0" t="s">
        <v>2414</v>
      </c>
      <c r="K720" s="0" t="s">
        <v>2415</v>
      </c>
      <c r="L720" s="0" t="str">
        <f aca="false">HYPERLINK("https://www.ncbi.nlm.nih.gov/nuccore/CP000058.1?report=graph&amp;tracks=[key:gene_model_track,Options:GeneOnly]&amp;mk=243256:243275|offset_7|00cc00,243226:243245|offset_37|444444,243203:243222|offset_60|444444,243148:243167|offset_115|444444&amp;v=243055:243367&amp;c=444444", "offset 7")</f>
        <v>offset 7</v>
      </c>
    </row>
    <row r="721" customFormat="false" ht="12.8" hidden="false" customHeight="false" outlineLevel="0" collapsed="false">
      <c r="A721" s="0" t="s">
        <v>12</v>
      </c>
      <c r="B721" s="0" t="n">
        <v>243225</v>
      </c>
      <c r="C721" s="0" t="n">
        <v>243245</v>
      </c>
      <c r="D721" s="0" t="s">
        <v>2411</v>
      </c>
      <c r="E721" s="0" t="s">
        <v>2412</v>
      </c>
      <c r="F721" s="0" t="s">
        <v>90</v>
      </c>
      <c r="G721" s="0" t="s">
        <v>32</v>
      </c>
      <c r="H721" s="0" t="n">
        <v>37</v>
      </c>
      <c r="I721" s="0" t="s">
        <v>2416</v>
      </c>
      <c r="J721" s="0" t="s">
        <v>2417</v>
      </c>
      <c r="K721" s="0" t="s">
        <v>2418</v>
      </c>
      <c r="L721" s="0" t="str">
        <f aca="false">HYPERLINK("https://www.ncbi.nlm.nih.gov/nuccore/CP000058.1?report=graph&amp;tracks=[key:gene_model_track,Options:GeneOnly]&amp;mk=243256:243275|offset_7|444444,243226:243245|offset_37|00cc00,243203:243222|offset_60|444444,243148:243167|offset_115|444444&amp;v=243055:243367&amp;c=444444", "offset 37")</f>
        <v>offset 37</v>
      </c>
    </row>
    <row r="722" customFormat="false" ht="12.8" hidden="false" customHeight="false" outlineLevel="0" collapsed="false">
      <c r="A722" s="0" t="s">
        <v>12</v>
      </c>
      <c r="B722" s="0" t="n">
        <v>243202</v>
      </c>
      <c r="C722" s="0" t="n">
        <v>243222</v>
      </c>
      <c r="D722" s="0" t="s">
        <v>2411</v>
      </c>
      <c r="E722" s="0" t="s">
        <v>2412</v>
      </c>
      <c r="F722" s="0" t="s">
        <v>90</v>
      </c>
      <c r="G722" s="0" t="s">
        <v>20</v>
      </c>
      <c r="H722" s="0" t="n">
        <v>60</v>
      </c>
      <c r="I722" s="0" t="s">
        <v>2419</v>
      </c>
      <c r="J722" s="0" t="s">
        <v>2420</v>
      </c>
      <c r="K722" s="0" t="s">
        <v>2421</v>
      </c>
      <c r="L722" s="0" t="str">
        <f aca="false">HYPERLINK("https://www.ncbi.nlm.nih.gov/nuccore/CP000058.1?report=graph&amp;tracks=[key:gene_model_track,Options:GeneOnly]&amp;mk=243256:243275|offset_7|444444,243226:243245|offset_37|444444,243203:243222|offset_60|00cc00,243148:243167|offset_115|444444&amp;v=243055:243367&amp;c=444444", "offset 60")</f>
        <v>offset 60</v>
      </c>
    </row>
    <row r="723" customFormat="false" ht="12.8" hidden="false" customHeight="false" outlineLevel="0" collapsed="false">
      <c r="A723" s="0" t="s">
        <v>12</v>
      </c>
      <c r="B723" s="0" t="n">
        <v>243147</v>
      </c>
      <c r="C723" s="0" t="n">
        <v>243167</v>
      </c>
      <c r="D723" s="0" t="s">
        <v>2411</v>
      </c>
      <c r="E723" s="0" t="s">
        <v>2412</v>
      </c>
      <c r="F723" s="0" t="s">
        <v>90</v>
      </c>
      <c r="G723" s="0" t="s">
        <v>32</v>
      </c>
      <c r="H723" s="0" t="n">
        <v>115</v>
      </c>
      <c r="I723" s="0" t="s">
        <v>2422</v>
      </c>
      <c r="J723" s="0" t="s">
        <v>2423</v>
      </c>
      <c r="K723" s="0" t="s">
        <v>2424</v>
      </c>
      <c r="L723" s="0" t="str">
        <f aca="false">HYPERLINK("https://www.ncbi.nlm.nih.gov/nuccore/CP000058.1?report=graph&amp;tracks=[key:gene_model_track,Options:GeneOnly]&amp;mk=243256:243275|offset_7|444444,243226:243245|offset_37|444444,243203:243222|offset_60|444444,243148:243167|offset_115|00cc00&amp;v=243055:243367&amp;c=444444", "offset 115")</f>
        <v>offset 115</v>
      </c>
    </row>
    <row r="724" customFormat="false" ht="12.8" hidden="false" customHeight="false" outlineLevel="0" collapsed="false">
      <c r="A724" s="0" t="s">
        <v>12</v>
      </c>
      <c r="B724" s="0" t="n">
        <v>244677</v>
      </c>
      <c r="C724" s="0" t="n">
        <v>244697</v>
      </c>
      <c r="D724" s="0" t="s">
        <v>2425</v>
      </c>
      <c r="E724" s="0" t="s">
        <v>2426</v>
      </c>
      <c r="F724" s="0" t="s">
        <v>90</v>
      </c>
      <c r="G724" s="0" t="s">
        <v>36</v>
      </c>
      <c r="H724" s="0" t="n">
        <v>11</v>
      </c>
      <c r="I724" s="0" t="s">
        <v>2427</v>
      </c>
      <c r="J724" s="0" t="s">
        <v>2428</v>
      </c>
      <c r="K724" s="0" t="s">
        <v>2429</v>
      </c>
      <c r="L724" s="0" t="str">
        <f aca="false">HYPERLINK("https://www.ncbi.nlm.nih.gov/nuccore/CP000058.1?report=graph&amp;tracks=[key:gene_model_track,Options:GeneOnly]&amp;mk=244678:244697|offset_11|00cc00,244657:244676|offset_32|444444,244634:244653|offset_55|444444,244573:244592|offset_116|444444&amp;v=244477:244792&amp;c=444444", "offset 11")</f>
        <v>offset 11</v>
      </c>
    </row>
    <row r="725" customFormat="false" ht="12.8" hidden="false" customHeight="false" outlineLevel="0" collapsed="false">
      <c r="A725" s="0" t="s">
        <v>12</v>
      </c>
      <c r="B725" s="0" t="n">
        <v>244656</v>
      </c>
      <c r="C725" s="0" t="n">
        <v>244676</v>
      </c>
      <c r="D725" s="0" t="s">
        <v>2425</v>
      </c>
      <c r="E725" s="0" t="s">
        <v>2426</v>
      </c>
      <c r="F725" s="0" t="s">
        <v>90</v>
      </c>
      <c r="G725" s="0" t="s">
        <v>20</v>
      </c>
      <c r="H725" s="0" t="n">
        <v>32</v>
      </c>
      <c r="I725" s="0" t="s">
        <v>2430</v>
      </c>
      <c r="J725" s="0" t="s">
        <v>2431</v>
      </c>
      <c r="K725" s="0" t="s">
        <v>2432</v>
      </c>
      <c r="L725" s="0" t="str">
        <f aca="false">HYPERLINK("https://www.ncbi.nlm.nih.gov/nuccore/CP000058.1?report=graph&amp;tracks=[key:gene_model_track,Options:GeneOnly]&amp;mk=244678:244697|offset_11|444444,244657:244676|offset_32|00cc00,244634:244653|offset_55|444444,244573:244592|offset_116|444444&amp;v=244477:244792&amp;c=444444", "offset 32")</f>
        <v>offset 32</v>
      </c>
    </row>
    <row r="726" customFormat="false" ht="12.8" hidden="false" customHeight="false" outlineLevel="0" collapsed="false">
      <c r="A726" s="0" t="s">
        <v>12</v>
      </c>
      <c r="B726" s="0" t="n">
        <v>244633</v>
      </c>
      <c r="C726" s="0" t="n">
        <v>244653</v>
      </c>
      <c r="D726" s="0" t="s">
        <v>2425</v>
      </c>
      <c r="E726" s="0" t="s">
        <v>2426</v>
      </c>
      <c r="F726" s="0" t="s">
        <v>90</v>
      </c>
      <c r="G726" s="0" t="s">
        <v>20</v>
      </c>
      <c r="H726" s="0" t="n">
        <v>55</v>
      </c>
      <c r="I726" s="0" t="s">
        <v>2433</v>
      </c>
      <c r="J726" s="0" t="s">
        <v>2434</v>
      </c>
      <c r="K726" s="0" t="s">
        <v>2435</v>
      </c>
      <c r="L726" s="0" t="str">
        <f aca="false">HYPERLINK("https://www.ncbi.nlm.nih.gov/nuccore/CP000058.1?report=graph&amp;tracks=[key:gene_model_track,Options:GeneOnly]&amp;mk=244678:244697|offset_11|444444,244657:244676|offset_32|444444,244634:244653|offset_55|00cc00,244573:244592|offset_116|444444&amp;v=244477:244792&amp;c=444444", "offset 55")</f>
        <v>offset 55</v>
      </c>
    </row>
    <row r="727" customFormat="false" ht="12.8" hidden="false" customHeight="false" outlineLevel="0" collapsed="false">
      <c r="A727" s="0" t="s">
        <v>12</v>
      </c>
      <c r="B727" s="0" t="n">
        <v>244572</v>
      </c>
      <c r="C727" s="0" t="n">
        <v>244592</v>
      </c>
      <c r="D727" s="0" t="s">
        <v>2425</v>
      </c>
      <c r="E727" s="0" t="s">
        <v>2426</v>
      </c>
      <c r="F727" s="0" t="s">
        <v>90</v>
      </c>
      <c r="G727" s="0" t="s">
        <v>16</v>
      </c>
      <c r="H727" s="0" t="n">
        <v>116</v>
      </c>
      <c r="I727" s="0" t="s">
        <v>2436</v>
      </c>
      <c r="J727" s="0" t="s">
        <v>2437</v>
      </c>
      <c r="K727" s="0" t="s">
        <v>2438</v>
      </c>
      <c r="L727" s="0" t="str">
        <f aca="false">HYPERLINK("https://www.ncbi.nlm.nih.gov/nuccore/CP000058.1?report=graph&amp;tracks=[key:gene_model_track,Options:GeneOnly]&amp;mk=244678:244697|offset_11|444444,244657:244676|offset_32|444444,244634:244653|offset_55|444444,244573:244592|offset_116|00cc00&amp;v=244477:244792&amp;c=444444", "offset 116")</f>
        <v>offset 116</v>
      </c>
    </row>
    <row r="728" customFormat="false" ht="12.8" hidden="false" customHeight="false" outlineLevel="0" collapsed="false">
      <c r="A728" s="0" t="s">
        <v>12</v>
      </c>
      <c r="B728" s="0" t="n">
        <v>246364</v>
      </c>
      <c r="C728" s="0" t="n">
        <v>246384</v>
      </c>
      <c r="D728" s="0" t="s">
        <v>2439</v>
      </c>
      <c r="E728" s="0" t="s">
        <v>2440</v>
      </c>
      <c r="F728" s="0" t="s">
        <v>90</v>
      </c>
      <c r="G728" s="0" t="s">
        <v>32</v>
      </c>
      <c r="H728" s="0" t="n">
        <v>19</v>
      </c>
      <c r="I728" s="0" t="s">
        <v>2441</v>
      </c>
      <c r="J728" s="0" t="s">
        <v>2442</v>
      </c>
      <c r="K728" s="0" t="s">
        <v>2443</v>
      </c>
      <c r="L728" s="0" t="str">
        <f aca="false">HYPERLINK("https://www.ncbi.nlm.nih.gov/nuccore/CP000058.1?report=graph&amp;tracks=[key:gene_model_track,Options:GeneOnly]&amp;mk=246365:246384|offset_19|00cc00,246330:246349|offset_54|444444,246295:246314|offset_89|444444,246263:246282|offset_121|444444&amp;v=246164:246482&amp;c=444444", "offset 19")</f>
        <v>offset 19</v>
      </c>
    </row>
    <row r="729" customFormat="false" ht="12.8" hidden="false" customHeight="false" outlineLevel="0" collapsed="false">
      <c r="A729" s="0" t="s">
        <v>12</v>
      </c>
      <c r="B729" s="0" t="n">
        <v>246329</v>
      </c>
      <c r="C729" s="0" t="n">
        <v>246349</v>
      </c>
      <c r="D729" s="0" t="s">
        <v>2439</v>
      </c>
      <c r="E729" s="0" t="s">
        <v>2440</v>
      </c>
      <c r="F729" s="0" t="s">
        <v>90</v>
      </c>
      <c r="G729" s="0" t="s">
        <v>32</v>
      </c>
      <c r="H729" s="0" t="n">
        <v>54</v>
      </c>
      <c r="I729" s="0" t="s">
        <v>2444</v>
      </c>
      <c r="J729" s="0" t="s">
        <v>2445</v>
      </c>
      <c r="K729" s="0" t="s">
        <v>2446</v>
      </c>
      <c r="L729" s="0" t="str">
        <f aca="false">HYPERLINK("https://www.ncbi.nlm.nih.gov/nuccore/CP000058.1?report=graph&amp;tracks=[key:gene_model_track,Options:GeneOnly]&amp;mk=246365:246384|offset_19|444444,246330:246349|offset_54|00cc00,246295:246314|offset_89|444444,246263:246282|offset_121|444444&amp;v=246164:246482&amp;c=444444", "offset 54")</f>
        <v>offset 54</v>
      </c>
    </row>
    <row r="730" customFormat="false" ht="12.8" hidden="false" customHeight="false" outlineLevel="0" collapsed="false">
      <c r="A730" s="0" t="s">
        <v>12</v>
      </c>
      <c r="B730" s="0" t="n">
        <v>246294</v>
      </c>
      <c r="C730" s="0" t="n">
        <v>246314</v>
      </c>
      <c r="D730" s="0" t="s">
        <v>2439</v>
      </c>
      <c r="E730" s="0" t="s">
        <v>2440</v>
      </c>
      <c r="F730" s="0" t="s">
        <v>90</v>
      </c>
      <c r="G730" s="0" t="s">
        <v>20</v>
      </c>
      <c r="H730" s="0" t="n">
        <v>89</v>
      </c>
      <c r="I730" s="0" t="s">
        <v>2447</v>
      </c>
      <c r="J730" s="0" t="s">
        <v>2448</v>
      </c>
      <c r="K730" s="0" t="s">
        <v>2449</v>
      </c>
      <c r="L730" s="0" t="str">
        <f aca="false">HYPERLINK("https://www.ncbi.nlm.nih.gov/nuccore/CP000058.1?report=graph&amp;tracks=[key:gene_model_track,Options:GeneOnly]&amp;mk=246365:246384|offset_19|444444,246330:246349|offset_54|444444,246295:246314|offset_89|00cc00,246263:246282|offset_121|444444&amp;v=246164:246482&amp;c=444444", "offset 89")</f>
        <v>offset 89</v>
      </c>
    </row>
    <row r="731" customFormat="false" ht="12.8" hidden="false" customHeight="false" outlineLevel="0" collapsed="false">
      <c r="A731" s="0" t="s">
        <v>12</v>
      </c>
      <c r="B731" s="0" t="n">
        <v>246262</v>
      </c>
      <c r="C731" s="0" t="n">
        <v>246282</v>
      </c>
      <c r="D731" s="0" t="s">
        <v>2439</v>
      </c>
      <c r="E731" s="0" t="s">
        <v>2440</v>
      </c>
      <c r="F731" s="0" t="s">
        <v>90</v>
      </c>
      <c r="G731" s="0" t="s">
        <v>16</v>
      </c>
      <c r="H731" s="0" t="n">
        <v>121</v>
      </c>
      <c r="I731" s="0" t="s">
        <v>2450</v>
      </c>
      <c r="J731" s="0" t="s">
        <v>2451</v>
      </c>
      <c r="K731" s="0" t="s">
        <v>2452</v>
      </c>
      <c r="L731" s="0" t="str">
        <f aca="false">HYPERLINK("https://www.ncbi.nlm.nih.gov/nuccore/CP000058.1?report=graph&amp;tracks=[key:gene_model_track,Options:GeneOnly]&amp;mk=246365:246384|offset_19|444444,246330:246349|offset_54|444444,246295:246314|offset_89|444444,246263:246282|offset_121|00cc00&amp;v=246164:246482&amp;c=444444", "offset 121")</f>
        <v>offset 121</v>
      </c>
    </row>
    <row r="732" customFormat="false" ht="12.8" hidden="false" customHeight="false" outlineLevel="0" collapsed="false">
      <c r="A732" s="0" t="s">
        <v>12</v>
      </c>
      <c r="B732" s="0" t="n">
        <v>247611</v>
      </c>
      <c r="C732" s="0" t="n">
        <v>247631</v>
      </c>
      <c r="D732" s="0" t="s">
        <v>2453</v>
      </c>
      <c r="E732" s="0" t="s">
        <v>2454</v>
      </c>
      <c r="F732" s="0" t="s">
        <v>90</v>
      </c>
      <c r="G732" s="0" t="s">
        <v>32</v>
      </c>
      <c r="H732" s="0" t="n">
        <v>26</v>
      </c>
      <c r="I732" s="0" t="s">
        <v>2455</v>
      </c>
      <c r="J732" s="0" t="s">
        <v>2456</v>
      </c>
      <c r="K732" s="0" t="s">
        <v>2457</v>
      </c>
      <c r="L732" s="0" t="str">
        <f aca="false">HYPERLINK("https://www.ncbi.nlm.nih.gov/nuccore/CP000058.1?report=graph&amp;tracks=[key:gene_model_track,Options:GeneOnly]&amp;mk=247612:247631|offset_26|00cc00,247541:247560|offset_97|444444,247516:247535|offset_122|444444,247475:247494|offset_163|444444&amp;v=247411:247694&amp;c=444444", "offset 26")</f>
        <v>offset 26</v>
      </c>
    </row>
    <row r="733" customFormat="false" ht="12.8" hidden="false" customHeight="false" outlineLevel="0" collapsed="false">
      <c r="A733" s="0" t="s">
        <v>12</v>
      </c>
      <c r="B733" s="0" t="n">
        <v>247540</v>
      </c>
      <c r="C733" s="0" t="n">
        <v>247560</v>
      </c>
      <c r="D733" s="0" t="s">
        <v>2453</v>
      </c>
      <c r="E733" s="0" t="s">
        <v>2454</v>
      </c>
      <c r="F733" s="0" t="s">
        <v>90</v>
      </c>
      <c r="G733" s="0" t="s">
        <v>20</v>
      </c>
      <c r="H733" s="0" t="n">
        <v>97</v>
      </c>
      <c r="I733" s="0" t="s">
        <v>2458</v>
      </c>
      <c r="J733" s="0" t="s">
        <v>2459</v>
      </c>
      <c r="K733" s="0" t="s">
        <v>2460</v>
      </c>
      <c r="L733" s="0" t="str">
        <f aca="false">HYPERLINK("https://www.ncbi.nlm.nih.gov/nuccore/CP000058.1?report=graph&amp;tracks=[key:gene_model_track,Options:GeneOnly]&amp;mk=247612:247631|offset_26|444444,247541:247560|offset_97|00cc00,247516:247535|offset_122|444444,247475:247494|offset_163|444444&amp;v=247411:247694&amp;c=444444", "offset 97")</f>
        <v>offset 97</v>
      </c>
    </row>
    <row r="734" customFormat="false" ht="12.8" hidden="false" customHeight="false" outlineLevel="0" collapsed="false">
      <c r="A734" s="0" t="s">
        <v>12</v>
      </c>
      <c r="B734" s="0" t="n">
        <v>247515</v>
      </c>
      <c r="C734" s="0" t="n">
        <v>247535</v>
      </c>
      <c r="D734" s="0" t="s">
        <v>2453</v>
      </c>
      <c r="E734" s="0" t="s">
        <v>2454</v>
      </c>
      <c r="F734" s="0" t="s">
        <v>90</v>
      </c>
      <c r="G734" s="0" t="s">
        <v>16</v>
      </c>
      <c r="H734" s="0" t="n">
        <v>122</v>
      </c>
      <c r="I734" s="0" t="s">
        <v>2461</v>
      </c>
      <c r="J734" s="0" t="s">
        <v>2462</v>
      </c>
      <c r="K734" s="0" t="s">
        <v>2463</v>
      </c>
      <c r="L734" s="0" t="str">
        <f aca="false">HYPERLINK("https://www.ncbi.nlm.nih.gov/nuccore/CP000058.1?report=graph&amp;tracks=[key:gene_model_track,Options:GeneOnly]&amp;mk=247612:247631|offset_26|444444,247541:247560|offset_97|444444,247516:247535|offset_122|00cc00,247475:247494|offset_163|444444&amp;v=247411:247694&amp;c=444444", "offset 122")</f>
        <v>offset 122</v>
      </c>
    </row>
    <row r="735" customFormat="false" ht="12.8" hidden="false" customHeight="false" outlineLevel="0" collapsed="false">
      <c r="A735" s="0" t="s">
        <v>12</v>
      </c>
      <c r="B735" s="0" t="n">
        <v>247474</v>
      </c>
      <c r="C735" s="0" t="n">
        <v>247494</v>
      </c>
      <c r="D735" s="0" t="s">
        <v>2453</v>
      </c>
      <c r="E735" s="0" t="s">
        <v>2454</v>
      </c>
      <c r="F735" s="0" t="s">
        <v>90</v>
      </c>
      <c r="G735" s="0" t="s">
        <v>32</v>
      </c>
      <c r="H735" s="0" t="n">
        <v>163</v>
      </c>
      <c r="I735" s="0" t="s">
        <v>2464</v>
      </c>
      <c r="J735" s="0" t="s">
        <v>2465</v>
      </c>
      <c r="K735" s="0" t="s">
        <v>2466</v>
      </c>
      <c r="L735" s="0" t="str">
        <f aca="false">HYPERLINK("https://www.ncbi.nlm.nih.gov/nuccore/CP000058.1?report=graph&amp;tracks=[key:gene_model_track,Options:GeneOnly]&amp;mk=247612:247631|offset_26|444444,247541:247560|offset_97|444444,247516:247535|offset_122|444444,247475:247494|offset_163|00cc00&amp;v=247411:247694&amp;c=444444", "offset 163")</f>
        <v>offset 163</v>
      </c>
    </row>
    <row r="736" customFormat="false" ht="12.8" hidden="false" customHeight="false" outlineLevel="0" collapsed="false">
      <c r="A736" s="0" t="s">
        <v>12</v>
      </c>
      <c r="B736" s="0" t="n">
        <v>247775</v>
      </c>
      <c r="C736" s="0" t="n">
        <v>247795</v>
      </c>
      <c r="D736" s="0" t="s">
        <v>2467</v>
      </c>
      <c r="E736" s="0" t="s">
        <v>2468</v>
      </c>
      <c r="F736" s="0" t="s">
        <v>15</v>
      </c>
      <c r="G736" s="0" t="s">
        <v>16</v>
      </c>
      <c r="H736" s="0" t="n">
        <v>22</v>
      </c>
      <c r="I736" s="0" t="s">
        <v>2469</v>
      </c>
      <c r="J736" s="0" t="s">
        <v>2470</v>
      </c>
      <c r="K736" s="0" t="s">
        <v>2471</v>
      </c>
      <c r="L736" s="0" t="str">
        <f aca="false">HYPERLINK("https://www.ncbi.nlm.nih.gov/nuccore/CP000058.1?report=graph&amp;tracks=[key:gene_model_track,Options:GeneOnly]&amp;mk=247776:247795|offset_22|00cc00,247825:247844|offset_71|444444,247872:247891|offset_118|444444,247896:247915|offset_142|444444&amp;v=247575:248115&amp;c=444444", "offset 22")</f>
        <v>offset 22</v>
      </c>
    </row>
    <row r="737" customFormat="false" ht="12.8" hidden="false" customHeight="false" outlineLevel="0" collapsed="false">
      <c r="A737" s="0" t="s">
        <v>12</v>
      </c>
      <c r="B737" s="0" t="n">
        <v>247824</v>
      </c>
      <c r="C737" s="0" t="n">
        <v>247844</v>
      </c>
      <c r="D737" s="0" t="s">
        <v>2467</v>
      </c>
      <c r="E737" s="0" t="s">
        <v>2468</v>
      </c>
      <c r="F737" s="0" t="s">
        <v>15</v>
      </c>
      <c r="G737" s="0" t="s">
        <v>20</v>
      </c>
      <c r="H737" s="0" t="n">
        <v>71</v>
      </c>
      <c r="I737" s="0" t="s">
        <v>2472</v>
      </c>
      <c r="J737" s="0" t="s">
        <v>2473</v>
      </c>
      <c r="K737" s="0" t="s">
        <v>2474</v>
      </c>
      <c r="L737" s="0" t="str">
        <f aca="false">HYPERLINK("https://www.ncbi.nlm.nih.gov/nuccore/CP000058.1?report=graph&amp;tracks=[key:gene_model_track,Options:GeneOnly]&amp;mk=247776:247795|offset_22|444444,247825:247844|offset_71|00cc00,247872:247891|offset_118|444444,247896:247915|offset_142|444444&amp;v=247575:248115&amp;c=444444", "offset 71")</f>
        <v>offset 71</v>
      </c>
    </row>
    <row r="738" customFormat="false" ht="12.8" hidden="false" customHeight="false" outlineLevel="0" collapsed="false">
      <c r="A738" s="0" t="s">
        <v>12</v>
      </c>
      <c r="B738" s="0" t="n">
        <v>247871</v>
      </c>
      <c r="C738" s="0" t="n">
        <v>247891</v>
      </c>
      <c r="D738" s="0" t="s">
        <v>2467</v>
      </c>
      <c r="E738" s="0" t="s">
        <v>2468</v>
      </c>
      <c r="F738" s="0" t="s">
        <v>15</v>
      </c>
      <c r="G738" s="0" t="s">
        <v>16</v>
      </c>
      <c r="H738" s="0" t="n">
        <v>118</v>
      </c>
      <c r="I738" s="0" t="s">
        <v>2475</v>
      </c>
      <c r="J738" s="0" t="s">
        <v>2476</v>
      </c>
      <c r="K738" s="0" t="s">
        <v>2477</v>
      </c>
      <c r="L738" s="0" t="str">
        <f aca="false">HYPERLINK("https://www.ncbi.nlm.nih.gov/nuccore/CP000058.1?report=graph&amp;tracks=[key:gene_model_track,Options:GeneOnly]&amp;mk=247776:247795|offset_22|444444,247825:247844|offset_71|444444,247872:247891|offset_118|00cc00,247896:247915|offset_142|444444&amp;v=247575:248115&amp;c=444444", "offset 118")</f>
        <v>offset 118</v>
      </c>
    </row>
    <row r="739" customFormat="false" ht="12.8" hidden="false" customHeight="false" outlineLevel="0" collapsed="false">
      <c r="A739" s="0" t="s">
        <v>12</v>
      </c>
      <c r="B739" s="0" t="n">
        <v>247895</v>
      </c>
      <c r="C739" s="0" t="n">
        <v>247915</v>
      </c>
      <c r="D739" s="0" t="s">
        <v>2467</v>
      </c>
      <c r="E739" s="0" t="s">
        <v>2468</v>
      </c>
      <c r="F739" s="0" t="s">
        <v>15</v>
      </c>
      <c r="G739" s="0" t="s">
        <v>36</v>
      </c>
      <c r="H739" s="0" t="n">
        <v>142</v>
      </c>
      <c r="I739" s="0" t="s">
        <v>2478</v>
      </c>
      <c r="J739" s="0" t="s">
        <v>2479</v>
      </c>
      <c r="K739" s="0" t="s">
        <v>2480</v>
      </c>
      <c r="L739" s="0" t="str">
        <f aca="false">HYPERLINK("https://www.ncbi.nlm.nih.gov/nuccore/CP000058.1?report=graph&amp;tracks=[key:gene_model_track,Options:GeneOnly]&amp;mk=247776:247795|offset_22|444444,247825:247844|offset_71|444444,247872:247891|offset_118|444444,247896:247915|offset_142|00cc00&amp;v=247575:248115&amp;c=444444", "offset 142")</f>
        <v>offset 142</v>
      </c>
    </row>
    <row r="740" customFormat="false" ht="12.8" hidden="false" customHeight="false" outlineLevel="0" collapsed="false">
      <c r="A740" s="0" t="s">
        <v>12</v>
      </c>
      <c r="B740" s="0" t="n">
        <v>250150</v>
      </c>
      <c r="C740" s="0" t="n">
        <v>250170</v>
      </c>
      <c r="D740" s="0" t="s">
        <v>2481</v>
      </c>
      <c r="E740" s="0" t="s">
        <v>75</v>
      </c>
      <c r="F740" s="0" t="s">
        <v>90</v>
      </c>
      <c r="G740" s="0" t="s">
        <v>32</v>
      </c>
      <c r="H740" s="0" t="n">
        <v>1</v>
      </c>
      <c r="I740" s="0" t="s">
        <v>2482</v>
      </c>
      <c r="J740" s="0" t="s">
        <v>2483</v>
      </c>
      <c r="K740" s="0" t="s">
        <v>2484</v>
      </c>
      <c r="L740" s="0" t="str">
        <f aca="false">HYPERLINK("https://www.ncbi.nlm.nih.gov/nuccore/CP000058.1?report=graph&amp;tracks=[key:gene_model_track,Options:GeneOnly]&amp;mk=250151:250170|offset_1|00cc00,250131:250150|offset_21|444444,250104:250123|offset_48|444444,250081:250100|offset_71|444444&amp;v=249950:250300&amp;c=444444", "offset 1")</f>
        <v>offset 1</v>
      </c>
    </row>
    <row r="741" customFormat="false" ht="12.8" hidden="false" customHeight="false" outlineLevel="0" collapsed="false">
      <c r="A741" s="0" t="s">
        <v>12</v>
      </c>
      <c r="B741" s="0" t="n">
        <v>250130</v>
      </c>
      <c r="C741" s="0" t="n">
        <v>250150</v>
      </c>
      <c r="D741" s="0" t="s">
        <v>2481</v>
      </c>
      <c r="E741" s="0" t="s">
        <v>75</v>
      </c>
      <c r="F741" s="0" t="s">
        <v>90</v>
      </c>
      <c r="G741" s="0" t="s">
        <v>20</v>
      </c>
      <c r="H741" s="0" t="n">
        <v>21</v>
      </c>
      <c r="I741" s="0" t="s">
        <v>2485</v>
      </c>
      <c r="J741" s="0" t="s">
        <v>2486</v>
      </c>
      <c r="K741" s="0" t="s">
        <v>2487</v>
      </c>
      <c r="L741" s="0" t="str">
        <f aca="false">HYPERLINK("https://www.ncbi.nlm.nih.gov/nuccore/CP000058.1?report=graph&amp;tracks=[key:gene_model_track,Options:GeneOnly]&amp;mk=250151:250170|offset_1|444444,250131:250150|offset_21|00cc00,250104:250123|offset_48|444444,250081:250100|offset_71|444444&amp;v=249950:250300&amp;c=444444", "offset 21")</f>
        <v>offset 21</v>
      </c>
    </row>
    <row r="742" customFormat="false" ht="12.8" hidden="false" customHeight="false" outlineLevel="0" collapsed="false">
      <c r="A742" s="0" t="s">
        <v>12</v>
      </c>
      <c r="B742" s="0" t="n">
        <v>250103</v>
      </c>
      <c r="C742" s="0" t="n">
        <v>250123</v>
      </c>
      <c r="D742" s="0" t="s">
        <v>2481</v>
      </c>
      <c r="E742" s="0" t="s">
        <v>75</v>
      </c>
      <c r="F742" s="0" t="s">
        <v>90</v>
      </c>
      <c r="G742" s="0" t="s">
        <v>16</v>
      </c>
      <c r="H742" s="0" t="n">
        <v>48</v>
      </c>
      <c r="I742" s="0" t="s">
        <v>2488</v>
      </c>
      <c r="J742" s="0" t="s">
        <v>2489</v>
      </c>
      <c r="K742" s="0" t="s">
        <v>2490</v>
      </c>
      <c r="L742" s="0" t="str">
        <f aca="false">HYPERLINK("https://www.ncbi.nlm.nih.gov/nuccore/CP000058.1?report=graph&amp;tracks=[key:gene_model_track,Options:GeneOnly]&amp;mk=250151:250170|offset_1|444444,250131:250150|offset_21|444444,250104:250123|offset_48|00cc00,250081:250100|offset_71|444444&amp;v=249950:250300&amp;c=444444", "offset 48")</f>
        <v>offset 48</v>
      </c>
    </row>
    <row r="743" customFormat="false" ht="12.8" hidden="false" customHeight="false" outlineLevel="0" collapsed="false">
      <c r="A743" s="0" t="s">
        <v>12</v>
      </c>
      <c r="B743" s="0" t="n">
        <v>250080</v>
      </c>
      <c r="C743" s="0" t="n">
        <v>250100</v>
      </c>
      <c r="D743" s="0" t="s">
        <v>2481</v>
      </c>
      <c r="E743" s="0" t="s">
        <v>75</v>
      </c>
      <c r="F743" s="0" t="s">
        <v>90</v>
      </c>
      <c r="G743" s="0" t="s">
        <v>20</v>
      </c>
      <c r="H743" s="0" t="n">
        <v>71</v>
      </c>
      <c r="I743" s="0" t="s">
        <v>2491</v>
      </c>
      <c r="J743" s="0" t="s">
        <v>2492</v>
      </c>
      <c r="K743" s="0" t="s">
        <v>2493</v>
      </c>
      <c r="L743" s="0" t="str">
        <f aca="false">HYPERLINK("https://www.ncbi.nlm.nih.gov/nuccore/CP000058.1?report=graph&amp;tracks=[key:gene_model_track,Options:GeneOnly]&amp;mk=250151:250170|offset_1|444444,250131:250150|offset_21|444444,250104:250123|offset_48|444444,250081:250100|offset_71|00cc00&amp;v=249950:250300&amp;c=444444", "offset 71")</f>
        <v>offset 71</v>
      </c>
    </row>
    <row r="744" customFormat="false" ht="12.8" hidden="false" customHeight="false" outlineLevel="0" collapsed="false">
      <c r="A744" s="0" t="s">
        <v>12</v>
      </c>
      <c r="B744" s="0" t="n">
        <v>250560</v>
      </c>
      <c r="C744" s="0" t="n">
        <v>250580</v>
      </c>
      <c r="D744" s="0" t="s">
        <v>2494</v>
      </c>
      <c r="E744" s="0" t="s">
        <v>2495</v>
      </c>
      <c r="F744" s="0" t="s">
        <v>15</v>
      </c>
      <c r="G744" s="0" t="s">
        <v>16</v>
      </c>
      <c r="H744" s="0" t="n">
        <v>25</v>
      </c>
      <c r="I744" s="0" t="s">
        <v>2496</v>
      </c>
      <c r="J744" s="0" t="s">
        <v>2497</v>
      </c>
      <c r="K744" s="0" t="s">
        <v>2498</v>
      </c>
      <c r="L744" s="0" t="str">
        <f aca="false">HYPERLINK("https://www.ncbi.nlm.nih.gov/nuccore/CP000058.1?report=graph&amp;tracks=[key:gene_model_track,Options:GeneOnly]&amp;mk=250561:250580|offset_25|00cc00,250594:250613|offset_58|444444,250625:250644|offset_89|444444,250646:250665|offset_110|444444&amp;v=250360:250865&amp;c=444444", "offset 25")</f>
        <v>offset 25</v>
      </c>
    </row>
    <row r="745" customFormat="false" ht="12.8" hidden="false" customHeight="false" outlineLevel="0" collapsed="false">
      <c r="A745" s="0" t="s">
        <v>12</v>
      </c>
      <c r="B745" s="0" t="n">
        <v>250593</v>
      </c>
      <c r="C745" s="0" t="n">
        <v>250613</v>
      </c>
      <c r="D745" s="0" t="s">
        <v>2494</v>
      </c>
      <c r="E745" s="0" t="s">
        <v>2495</v>
      </c>
      <c r="F745" s="0" t="s">
        <v>15</v>
      </c>
      <c r="G745" s="0" t="s">
        <v>36</v>
      </c>
      <c r="H745" s="0" t="n">
        <v>58</v>
      </c>
      <c r="I745" s="0" t="s">
        <v>2499</v>
      </c>
      <c r="J745" s="0" t="s">
        <v>2500</v>
      </c>
      <c r="K745" s="0" t="s">
        <v>2501</v>
      </c>
      <c r="L745" s="0" t="str">
        <f aca="false">HYPERLINK("https://www.ncbi.nlm.nih.gov/nuccore/CP000058.1?report=graph&amp;tracks=[key:gene_model_track,Options:GeneOnly]&amp;mk=250561:250580|offset_25|444444,250594:250613|offset_58|00cc00,250625:250644|offset_89|444444,250646:250665|offset_110|444444&amp;v=250360:250865&amp;c=444444", "offset 58")</f>
        <v>offset 58</v>
      </c>
    </row>
    <row r="746" customFormat="false" ht="12.8" hidden="false" customHeight="false" outlineLevel="0" collapsed="false">
      <c r="A746" s="0" t="s">
        <v>12</v>
      </c>
      <c r="B746" s="0" t="n">
        <v>250624</v>
      </c>
      <c r="C746" s="0" t="n">
        <v>250644</v>
      </c>
      <c r="D746" s="0" t="s">
        <v>2494</v>
      </c>
      <c r="E746" s="0" t="s">
        <v>2495</v>
      </c>
      <c r="F746" s="0" t="s">
        <v>15</v>
      </c>
      <c r="G746" s="0" t="s">
        <v>20</v>
      </c>
      <c r="H746" s="0" t="n">
        <v>89</v>
      </c>
      <c r="I746" s="0" t="s">
        <v>2502</v>
      </c>
      <c r="J746" s="0" t="s">
        <v>2503</v>
      </c>
      <c r="K746" s="0" t="s">
        <v>2504</v>
      </c>
      <c r="L746" s="0" t="str">
        <f aca="false">HYPERLINK("https://www.ncbi.nlm.nih.gov/nuccore/CP000058.1?report=graph&amp;tracks=[key:gene_model_track,Options:GeneOnly]&amp;mk=250561:250580|offset_25|444444,250594:250613|offset_58|444444,250625:250644|offset_89|00cc00,250646:250665|offset_110|444444&amp;v=250360:250865&amp;c=444444", "offset 89")</f>
        <v>offset 89</v>
      </c>
    </row>
    <row r="747" customFormat="false" ht="12.8" hidden="false" customHeight="false" outlineLevel="0" collapsed="false">
      <c r="A747" s="0" t="s">
        <v>12</v>
      </c>
      <c r="B747" s="0" t="n">
        <v>250645</v>
      </c>
      <c r="C747" s="0" t="n">
        <v>250665</v>
      </c>
      <c r="D747" s="0" t="s">
        <v>2494</v>
      </c>
      <c r="E747" s="0" t="s">
        <v>2495</v>
      </c>
      <c r="F747" s="0" t="s">
        <v>15</v>
      </c>
      <c r="G747" s="0" t="s">
        <v>16</v>
      </c>
      <c r="H747" s="0" t="n">
        <v>110</v>
      </c>
      <c r="I747" s="0" t="s">
        <v>2505</v>
      </c>
      <c r="J747" s="0" t="s">
        <v>2506</v>
      </c>
      <c r="K747" s="0" t="s">
        <v>2507</v>
      </c>
      <c r="L747" s="0" t="str">
        <f aca="false">HYPERLINK("https://www.ncbi.nlm.nih.gov/nuccore/CP000058.1?report=graph&amp;tracks=[key:gene_model_track,Options:GeneOnly]&amp;mk=250561:250580|offset_25|444444,250594:250613|offset_58|444444,250625:250644|offset_89|444444,250646:250665|offset_110|00cc00&amp;v=250360:250865&amp;c=444444", "offset 110")</f>
        <v>offset 110</v>
      </c>
    </row>
    <row r="748" customFormat="false" ht="12.8" hidden="false" customHeight="false" outlineLevel="0" collapsed="false">
      <c r="A748" s="0" t="s">
        <v>12</v>
      </c>
      <c r="B748" s="0" t="n">
        <v>250797</v>
      </c>
      <c r="C748" s="0" t="n">
        <v>250817</v>
      </c>
      <c r="D748" s="0" t="s">
        <v>2508</v>
      </c>
      <c r="E748" s="0" t="s">
        <v>2509</v>
      </c>
      <c r="F748" s="0" t="s">
        <v>15</v>
      </c>
      <c r="G748" s="0" t="s">
        <v>16</v>
      </c>
      <c r="H748" s="0" t="n">
        <v>17</v>
      </c>
      <c r="I748" s="0" t="s">
        <v>2510</v>
      </c>
      <c r="J748" s="0" t="s">
        <v>2511</v>
      </c>
      <c r="K748" s="0" t="s">
        <v>2512</v>
      </c>
      <c r="L748" s="0" t="str">
        <f aca="false">HYPERLINK("https://www.ncbi.nlm.nih.gov/nuccore/CP000058.1?report=graph&amp;tracks=[key:gene_model_track,Options:GeneOnly]&amp;mk=250798:250817|offset_17|00cc00,250825:250844|offset_44|444444,250860:250879|offset_79|444444,250892:250911|offset_111|444444&amp;v=250597:251111&amp;c=444444", "offset 17")</f>
        <v>offset 17</v>
      </c>
    </row>
    <row r="749" customFormat="false" ht="12.8" hidden="false" customHeight="false" outlineLevel="0" collapsed="false">
      <c r="A749" s="0" t="s">
        <v>12</v>
      </c>
      <c r="B749" s="0" t="n">
        <v>250824</v>
      </c>
      <c r="C749" s="0" t="n">
        <v>250844</v>
      </c>
      <c r="D749" s="0" t="s">
        <v>2508</v>
      </c>
      <c r="E749" s="0" t="s">
        <v>2509</v>
      </c>
      <c r="F749" s="0" t="s">
        <v>15</v>
      </c>
      <c r="G749" s="0" t="s">
        <v>32</v>
      </c>
      <c r="H749" s="0" t="n">
        <v>44</v>
      </c>
      <c r="I749" s="0" t="s">
        <v>2513</v>
      </c>
      <c r="J749" s="0" t="s">
        <v>2514</v>
      </c>
      <c r="K749" s="0" t="s">
        <v>2515</v>
      </c>
      <c r="L749" s="0" t="str">
        <f aca="false">HYPERLINK("https://www.ncbi.nlm.nih.gov/nuccore/CP000058.1?report=graph&amp;tracks=[key:gene_model_track,Options:GeneOnly]&amp;mk=250798:250817|offset_17|444444,250825:250844|offset_44|00cc00,250860:250879|offset_79|444444,250892:250911|offset_111|444444&amp;v=250597:251111&amp;c=444444", "offset 44")</f>
        <v>offset 44</v>
      </c>
    </row>
    <row r="750" customFormat="false" ht="12.8" hidden="false" customHeight="false" outlineLevel="0" collapsed="false">
      <c r="A750" s="0" t="s">
        <v>12</v>
      </c>
      <c r="B750" s="0" t="n">
        <v>250859</v>
      </c>
      <c r="C750" s="0" t="n">
        <v>250879</v>
      </c>
      <c r="D750" s="0" t="s">
        <v>2508</v>
      </c>
      <c r="E750" s="0" t="s">
        <v>2509</v>
      </c>
      <c r="F750" s="0" t="s">
        <v>15</v>
      </c>
      <c r="G750" s="0" t="s">
        <v>36</v>
      </c>
      <c r="H750" s="0" t="n">
        <v>79</v>
      </c>
      <c r="I750" s="0" t="s">
        <v>2516</v>
      </c>
      <c r="J750" s="0" t="s">
        <v>2517</v>
      </c>
      <c r="K750" s="0" t="s">
        <v>2518</v>
      </c>
      <c r="L750" s="0" t="str">
        <f aca="false">HYPERLINK("https://www.ncbi.nlm.nih.gov/nuccore/CP000058.1?report=graph&amp;tracks=[key:gene_model_track,Options:GeneOnly]&amp;mk=250798:250817|offset_17|444444,250825:250844|offset_44|444444,250860:250879|offset_79|00cc00,250892:250911|offset_111|444444&amp;v=250597:251111&amp;c=444444", "offset 79")</f>
        <v>offset 79</v>
      </c>
    </row>
    <row r="751" customFormat="false" ht="12.8" hidden="false" customHeight="false" outlineLevel="0" collapsed="false">
      <c r="A751" s="0" t="s">
        <v>12</v>
      </c>
      <c r="B751" s="0" t="n">
        <v>250891</v>
      </c>
      <c r="C751" s="0" t="n">
        <v>250911</v>
      </c>
      <c r="D751" s="0" t="s">
        <v>2508</v>
      </c>
      <c r="E751" s="0" t="s">
        <v>2509</v>
      </c>
      <c r="F751" s="0" t="s">
        <v>15</v>
      </c>
      <c r="G751" s="0" t="s">
        <v>16</v>
      </c>
      <c r="H751" s="0" t="n">
        <v>111</v>
      </c>
      <c r="I751" s="0" t="s">
        <v>2519</v>
      </c>
      <c r="J751" s="0" t="s">
        <v>2520</v>
      </c>
      <c r="K751" s="0" t="s">
        <v>2521</v>
      </c>
      <c r="L751" s="0" t="str">
        <f aca="false">HYPERLINK("https://www.ncbi.nlm.nih.gov/nuccore/CP000058.1?report=graph&amp;tracks=[key:gene_model_track,Options:GeneOnly]&amp;mk=250798:250817|offset_17|444444,250825:250844|offset_44|444444,250860:250879|offset_79|444444,250892:250911|offset_111|00cc00&amp;v=250597:251111&amp;c=444444", "offset 111")</f>
        <v>offset 111</v>
      </c>
    </row>
    <row r="752" customFormat="false" ht="12.8" hidden="false" customHeight="false" outlineLevel="0" collapsed="false">
      <c r="A752" s="0" t="s">
        <v>12</v>
      </c>
      <c r="B752" s="0" t="n">
        <v>251323</v>
      </c>
      <c r="C752" s="0" t="n">
        <v>251343</v>
      </c>
      <c r="D752" s="0" t="s">
        <v>2522</v>
      </c>
      <c r="E752" s="0" t="s">
        <v>75</v>
      </c>
      <c r="F752" s="0" t="s">
        <v>90</v>
      </c>
      <c r="G752" s="0" t="s">
        <v>16</v>
      </c>
      <c r="H752" s="0" t="n">
        <v>43</v>
      </c>
      <c r="I752" s="0" t="s">
        <v>2523</v>
      </c>
      <c r="J752" s="0" t="s">
        <v>2524</v>
      </c>
      <c r="K752" s="0" t="s">
        <v>2525</v>
      </c>
      <c r="L752" s="0" t="str">
        <f aca="false">HYPERLINK("https://www.ncbi.nlm.nih.gov/nuccore/CP000058.1?report=graph&amp;tracks=[key:gene_model_track,Options:GeneOnly]&amp;mk=251324:251343|offset_43|00cc00,251304:251323|offset_63|444444,251274:251293|offset_93|444444,251254:251273|offset_113|444444&amp;v=251123:251473&amp;c=444444", "offset 43")</f>
        <v>offset 43</v>
      </c>
    </row>
    <row r="753" customFormat="false" ht="12.8" hidden="false" customHeight="false" outlineLevel="0" collapsed="false">
      <c r="A753" s="0" t="s">
        <v>12</v>
      </c>
      <c r="B753" s="0" t="n">
        <v>251303</v>
      </c>
      <c r="C753" s="0" t="n">
        <v>251323</v>
      </c>
      <c r="D753" s="0" t="s">
        <v>2522</v>
      </c>
      <c r="E753" s="0" t="s">
        <v>75</v>
      </c>
      <c r="F753" s="0" t="s">
        <v>90</v>
      </c>
      <c r="G753" s="0" t="s">
        <v>20</v>
      </c>
      <c r="H753" s="0" t="n">
        <v>63</v>
      </c>
      <c r="I753" s="0" t="s">
        <v>2526</v>
      </c>
      <c r="J753" s="0" t="s">
        <v>2527</v>
      </c>
      <c r="K753" s="0" t="s">
        <v>2528</v>
      </c>
      <c r="L753" s="0" t="str">
        <f aca="false">HYPERLINK("https://www.ncbi.nlm.nih.gov/nuccore/CP000058.1?report=graph&amp;tracks=[key:gene_model_track,Options:GeneOnly]&amp;mk=251324:251343|offset_43|444444,251304:251323|offset_63|00cc00,251274:251293|offset_93|444444,251254:251273|offset_113|444444&amp;v=251123:251473&amp;c=444444", "offset 63")</f>
        <v>offset 63</v>
      </c>
    </row>
    <row r="754" customFormat="false" ht="12.8" hidden="false" customHeight="false" outlineLevel="0" collapsed="false">
      <c r="A754" s="0" t="s">
        <v>12</v>
      </c>
      <c r="B754" s="0" t="n">
        <v>251273</v>
      </c>
      <c r="C754" s="0" t="n">
        <v>251293</v>
      </c>
      <c r="D754" s="0" t="s">
        <v>2522</v>
      </c>
      <c r="E754" s="0" t="s">
        <v>75</v>
      </c>
      <c r="F754" s="0" t="s">
        <v>90</v>
      </c>
      <c r="G754" s="0" t="s">
        <v>16</v>
      </c>
      <c r="H754" s="0" t="n">
        <v>93</v>
      </c>
      <c r="I754" s="0" t="s">
        <v>2529</v>
      </c>
      <c r="J754" s="0" t="s">
        <v>2530</v>
      </c>
      <c r="K754" s="0" t="s">
        <v>2531</v>
      </c>
      <c r="L754" s="0" t="str">
        <f aca="false">HYPERLINK("https://www.ncbi.nlm.nih.gov/nuccore/CP000058.1?report=graph&amp;tracks=[key:gene_model_track,Options:GeneOnly]&amp;mk=251324:251343|offset_43|444444,251304:251323|offset_63|444444,251274:251293|offset_93|00cc00,251254:251273|offset_113|444444&amp;v=251123:251473&amp;c=444444", "offset 93")</f>
        <v>offset 93</v>
      </c>
    </row>
    <row r="755" customFormat="false" ht="12.8" hidden="false" customHeight="false" outlineLevel="0" collapsed="false">
      <c r="A755" s="0" t="s">
        <v>12</v>
      </c>
      <c r="B755" s="0" t="n">
        <v>251253</v>
      </c>
      <c r="C755" s="0" t="n">
        <v>251273</v>
      </c>
      <c r="D755" s="0" t="s">
        <v>2522</v>
      </c>
      <c r="E755" s="0" t="s">
        <v>75</v>
      </c>
      <c r="F755" s="0" t="s">
        <v>90</v>
      </c>
      <c r="G755" s="0" t="s">
        <v>32</v>
      </c>
      <c r="H755" s="0" t="n">
        <v>113</v>
      </c>
      <c r="I755" s="0" t="s">
        <v>2532</v>
      </c>
      <c r="J755" s="0" t="s">
        <v>2533</v>
      </c>
      <c r="K755" s="0" t="s">
        <v>2534</v>
      </c>
      <c r="L755" s="0" t="str">
        <f aca="false">HYPERLINK("https://www.ncbi.nlm.nih.gov/nuccore/CP000058.1?report=graph&amp;tracks=[key:gene_model_track,Options:GeneOnly]&amp;mk=251324:251343|offset_43|444444,251304:251323|offset_63|444444,251274:251293|offset_93|444444,251254:251273|offset_113|00cc00&amp;v=251123:251473&amp;c=444444", "offset 113")</f>
        <v>offset 113</v>
      </c>
    </row>
    <row r="756" customFormat="false" ht="12.8" hidden="false" customHeight="false" outlineLevel="0" collapsed="false">
      <c r="A756" s="0" t="s">
        <v>12</v>
      </c>
      <c r="B756" s="0" t="n">
        <v>251632</v>
      </c>
      <c r="C756" s="0" t="n">
        <v>251652</v>
      </c>
      <c r="D756" s="0" t="s">
        <v>2535</v>
      </c>
      <c r="E756" s="0" t="s">
        <v>75</v>
      </c>
      <c r="F756" s="0" t="s">
        <v>15</v>
      </c>
      <c r="G756" s="0" t="s">
        <v>32</v>
      </c>
      <c r="H756" s="0" t="n">
        <v>7</v>
      </c>
      <c r="I756" s="0" t="s">
        <v>2536</v>
      </c>
      <c r="J756" s="0" t="s">
        <v>2537</v>
      </c>
      <c r="K756" s="0" t="s">
        <v>2538</v>
      </c>
      <c r="L756" s="0" t="str">
        <f aca="false">HYPERLINK("https://www.ncbi.nlm.nih.gov/nuccore/CP000058.1?report=graph&amp;tracks=[key:gene_model_track,Options:GeneOnly]&amp;mk=251633:251652|offset_7|00cc00,251666:251685|offset_40|444444,251688:251707|offset_62|444444,251714:251733|offset_88|444444&amp;v=251432:251933&amp;c=444444", "offset 7")</f>
        <v>offset 7</v>
      </c>
    </row>
    <row r="757" customFormat="false" ht="12.8" hidden="false" customHeight="false" outlineLevel="0" collapsed="false">
      <c r="A757" s="0" t="s">
        <v>12</v>
      </c>
      <c r="B757" s="0" t="n">
        <v>251665</v>
      </c>
      <c r="C757" s="0" t="n">
        <v>251685</v>
      </c>
      <c r="D757" s="0" t="s">
        <v>2535</v>
      </c>
      <c r="E757" s="0" t="s">
        <v>75</v>
      </c>
      <c r="F757" s="0" t="s">
        <v>15</v>
      </c>
      <c r="G757" s="0" t="s">
        <v>36</v>
      </c>
      <c r="H757" s="0" t="n">
        <v>40</v>
      </c>
      <c r="I757" s="0" t="s">
        <v>2539</v>
      </c>
      <c r="J757" s="0" t="s">
        <v>2540</v>
      </c>
      <c r="K757" s="0" t="s">
        <v>2541</v>
      </c>
      <c r="L757" s="0" t="str">
        <f aca="false">HYPERLINK("https://www.ncbi.nlm.nih.gov/nuccore/CP000058.1?report=graph&amp;tracks=[key:gene_model_track,Options:GeneOnly]&amp;mk=251633:251652|offset_7|444444,251666:251685|offset_40|00cc00,251688:251707|offset_62|444444,251714:251733|offset_88|444444&amp;v=251432:251933&amp;c=444444", "offset 40")</f>
        <v>offset 40</v>
      </c>
    </row>
    <row r="758" customFormat="false" ht="12.8" hidden="false" customHeight="false" outlineLevel="0" collapsed="false">
      <c r="A758" s="0" t="s">
        <v>12</v>
      </c>
      <c r="B758" s="0" t="n">
        <v>251687</v>
      </c>
      <c r="C758" s="0" t="n">
        <v>251707</v>
      </c>
      <c r="D758" s="0" t="s">
        <v>2535</v>
      </c>
      <c r="E758" s="0" t="s">
        <v>75</v>
      </c>
      <c r="F758" s="0" t="s">
        <v>15</v>
      </c>
      <c r="G758" s="0" t="s">
        <v>16</v>
      </c>
      <c r="H758" s="0" t="n">
        <v>62</v>
      </c>
      <c r="I758" s="0" t="s">
        <v>2542</v>
      </c>
      <c r="J758" s="0" t="s">
        <v>2543</v>
      </c>
      <c r="K758" s="0" t="s">
        <v>2544</v>
      </c>
      <c r="L758" s="0" t="str">
        <f aca="false">HYPERLINK("https://www.ncbi.nlm.nih.gov/nuccore/CP000058.1?report=graph&amp;tracks=[key:gene_model_track,Options:GeneOnly]&amp;mk=251633:251652|offset_7|444444,251666:251685|offset_40|444444,251688:251707|offset_62|00cc00,251714:251733|offset_88|444444&amp;v=251432:251933&amp;c=444444", "offset 62")</f>
        <v>offset 62</v>
      </c>
    </row>
    <row r="759" customFormat="false" ht="12.8" hidden="false" customHeight="false" outlineLevel="0" collapsed="false">
      <c r="A759" s="0" t="s">
        <v>12</v>
      </c>
      <c r="B759" s="0" t="n">
        <v>251713</v>
      </c>
      <c r="C759" s="0" t="n">
        <v>251733</v>
      </c>
      <c r="D759" s="0" t="s">
        <v>2535</v>
      </c>
      <c r="E759" s="0" t="s">
        <v>75</v>
      </c>
      <c r="F759" s="0" t="s">
        <v>15</v>
      </c>
      <c r="G759" s="0" t="s">
        <v>16</v>
      </c>
      <c r="H759" s="0" t="n">
        <v>88</v>
      </c>
      <c r="I759" s="0" t="s">
        <v>2545</v>
      </c>
      <c r="J759" s="0" t="s">
        <v>2546</v>
      </c>
      <c r="K759" s="0" t="s">
        <v>2547</v>
      </c>
      <c r="L759" s="0" t="str">
        <f aca="false">HYPERLINK("https://www.ncbi.nlm.nih.gov/nuccore/CP000058.1?report=graph&amp;tracks=[key:gene_model_track,Options:GeneOnly]&amp;mk=251633:251652|offset_7|444444,251666:251685|offset_40|444444,251688:251707|offset_62|444444,251714:251733|offset_88|00cc00&amp;v=251432:251933&amp;c=444444", "offset 88")</f>
        <v>offset 88</v>
      </c>
    </row>
    <row r="760" customFormat="false" ht="12.8" hidden="false" customHeight="false" outlineLevel="0" collapsed="false">
      <c r="A760" s="0" t="s">
        <v>12</v>
      </c>
      <c r="B760" s="0" t="n">
        <v>253728</v>
      </c>
      <c r="C760" s="0" t="n">
        <v>253748</v>
      </c>
      <c r="D760" s="0" t="s">
        <v>2548</v>
      </c>
      <c r="E760" s="0" t="s">
        <v>75</v>
      </c>
      <c r="F760" s="0" t="s">
        <v>15</v>
      </c>
      <c r="G760" s="0" t="s">
        <v>16</v>
      </c>
      <c r="H760" s="0" t="n">
        <v>25</v>
      </c>
      <c r="I760" s="0" t="s">
        <v>2549</v>
      </c>
      <c r="J760" s="0" t="s">
        <v>2550</v>
      </c>
      <c r="K760" s="0" t="s">
        <v>2551</v>
      </c>
      <c r="L760" s="0" t="str">
        <f aca="false">HYPERLINK("https://www.ncbi.nlm.nih.gov/nuccore/CP000058.1?report=graph&amp;tracks=[key:gene_model_track,Options:GeneOnly]&amp;mk=253729:253748|offset_25|00cc00,253779:253798|offset_75|444444,253825:253844|offset_121|444444,253848:253867|offset_144|444444&amp;v=253528:254067&amp;c=444444", "offset 25")</f>
        <v>offset 25</v>
      </c>
    </row>
    <row r="761" customFormat="false" ht="12.8" hidden="false" customHeight="false" outlineLevel="0" collapsed="false">
      <c r="A761" s="0" t="s">
        <v>12</v>
      </c>
      <c r="B761" s="0" t="n">
        <v>253778</v>
      </c>
      <c r="C761" s="0" t="n">
        <v>253798</v>
      </c>
      <c r="D761" s="0" t="s">
        <v>2548</v>
      </c>
      <c r="E761" s="0" t="s">
        <v>75</v>
      </c>
      <c r="F761" s="0" t="s">
        <v>15</v>
      </c>
      <c r="G761" s="0" t="s">
        <v>16</v>
      </c>
      <c r="H761" s="0" t="n">
        <v>75</v>
      </c>
      <c r="I761" s="0" t="s">
        <v>2552</v>
      </c>
      <c r="J761" s="0" t="s">
        <v>2553</v>
      </c>
      <c r="K761" s="0" t="s">
        <v>2554</v>
      </c>
      <c r="L761" s="0" t="str">
        <f aca="false">HYPERLINK("https://www.ncbi.nlm.nih.gov/nuccore/CP000058.1?report=graph&amp;tracks=[key:gene_model_track,Options:GeneOnly]&amp;mk=253729:253748|offset_25|444444,253779:253798|offset_75|00cc00,253825:253844|offset_121|444444,253848:253867|offset_144|444444&amp;v=253528:254067&amp;c=444444", "offset 75")</f>
        <v>offset 75</v>
      </c>
    </row>
    <row r="762" customFormat="false" ht="12.8" hidden="false" customHeight="false" outlineLevel="0" collapsed="false">
      <c r="A762" s="0" t="s">
        <v>12</v>
      </c>
      <c r="B762" s="0" t="n">
        <v>253824</v>
      </c>
      <c r="C762" s="0" t="n">
        <v>253844</v>
      </c>
      <c r="D762" s="0" t="s">
        <v>2548</v>
      </c>
      <c r="E762" s="0" t="s">
        <v>75</v>
      </c>
      <c r="F762" s="0" t="s">
        <v>15</v>
      </c>
      <c r="G762" s="0" t="s">
        <v>32</v>
      </c>
      <c r="H762" s="0" t="n">
        <v>121</v>
      </c>
      <c r="I762" s="0" t="s">
        <v>2555</v>
      </c>
      <c r="J762" s="0" t="s">
        <v>2556</v>
      </c>
      <c r="K762" s="0" t="s">
        <v>2557</v>
      </c>
      <c r="L762" s="0" t="str">
        <f aca="false">HYPERLINK("https://www.ncbi.nlm.nih.gov/nuccore/CP000058.1?report=graph&amp;tracks=[key:gene_model_track,Options:GeneOnly]&amp;mk=253729:253748|offset_25|444444,253779:253798|offset_75|444444,253825:253844|offset_121|00cc00,253848:253867|offset_144|444444&amp;v=253528:254067&amp;c=444444", "offset 121")</f>
        <v>offset 121</v>
      </c>
    </row>
    <row r="763" customFormat="false" ht="12.8" hidden="false" customHeight="false" outlineLevel="0" collapsed="false">
      <c r="A763" s="0" t="s">
        <v>12</v>
      </c>
      <c r="B763" s="0" t="n">
        <v>253847</v>
      </c>
      <c r="C763" s="0" t="n">
        <v>253867</v>
      </c>
      <c r="D763" s="0" t="s">
        <v>2548</v>
      </c>
      <c r="E763" s="0" t="s">
        <v>75</v>
      </c>
      <c r="F763" s="0" t="s">
        <v>15</v>
      </c>
      <c r="G763" s="0" t="s">
        <v>20</v>
      </c>
      <c r="H763" s="0" t="n">
        <v>144</v>
      </c>
      <c r="I763" s="0" t="s">
        <v>2558</v>
      </c>
      <c r="J763" s="0" t="s">
        <v>2559</v>
      </c>
      <c r="K763" s="0" t="s">
        <v>2560</v>
      </c>
      <c r="L763" s="0" t="str">
        <f aca="false">HYPERLINK("https://www.ncbi.nlm.nih.gov/nuccore/CP000058.1?report=graph&amp;tracks=[key:gene_model_track,Options:GeneOnly]&amp;mk=253729:253748|offset_25|444444,253779:253798|offset_75|444444,253825:253844|offset_121|444444,253848:253867|offset_144|00cc00&amp;v=253528:254067&amp;c=444444", "offset 144")</f>
        <v>offset 144</v>
      </c>
    </row>
    <row r="764" customFormat="false" ht="12.8" hidden="false" customHeight="false" outlineLevel="0" collapsed="false">
      <c r="A764" s="0" t="s">
        <v>12</v>
      </c>
      <c r="B764" s="0" t="n">
        <v>256390</v>
      </c>
      <c r="C764" s="0" t="n">
        <v>256410</v>
      </c>
      <c r="D764" s="0" t="s">
        <v>2561</v>
      </c>
      <c r="E764" s="0" t="s">
        <v>75</v>
      </c>
      <c r="F764" s="0" t="s">
        <v>90</v>
      </c>
      <c r="G764" s="0" t="s">
        <v>20</v>
      </c>
      <c r="H764" s="0" t="n">
        <v>19</v>
      </c>
      <c r="I764" s="0" t="s">
        <v>2562</v>
      </c>
      <c r="J764" s="0" t="s">
        <v>2563</v>
      </c>
      <c r="K764" s="0" t="s">
        <v>2564</v>
      </c>
      <c r="L764" s="0" t="str">
        <f aca="false">HYPERLINK("https://www.ncbi.nlm.nih.gov/nuccore/CP000058.1?report=graph&amp;tracks=[key:gene_model_track,Options:GeneOnly]&amp;mk=256391:256410|offset_19|00cc00,256331:256350|offset_79|444444,256308:256327|offset_102|444444,256285:256304|offset_125|444444&amp;v=256190:256504&amp;c=444444", "offset 19")</f>
        <v>offset 19</v>
      </c>
    </row>
    <row r="765" customFormat="false" ht="12.8" hidden="false" customHeight="false" outlineLevel="0" collapsed="false">
      <c r="A765" s="0" t="s">
        <v>12</v>
      </c>
      <c r="B765" s="0" t="n">
        <v>256330</v>
      </c>
      <c r="C765" s="0" t="n">
        <v>256350</v>
      </c>
      <c r="D765" s="0" t="s">
        <v>2561</v>
      </c>
      <c r="E765" s="0" t="s">
        <v>75</v>
      </c>
      <c r="F765" s="0" t="s">
        <v>90</v>
      </c>
      <c r="G765" s="0" t="s">
        <v>32</v>
      </c>
      <c r="H765" s="0" t="n">
        <v>79</v>
      </c>
      <c r="I765" s="0" t="s">
        <v>2565</v>
      </c>
      <c r="J765" s="0" t="s">
        <v>2566</v>
      </c>
      <c r="K765" s="0" t="s">
        <v>2567</v>
      </c>
      <c r="L765" s="0" t="str">
        <f aca="false">HYPERLINK("https://www.ncbi.nlm.nih.gov/nuccore/CP000058.1?report=graph&amp;tracks=[key:gene_model_track,Options:GeneOnly]&amp;mk=256391:256410|offset_19|444444,256331:256350|offset_79|00cc00,256308:256327|offset_102|444444,256285:256304|offset_125|444444&amp;v=256190:256504&amp;c=444444", "offset 79")</f>
        <v>offset 79</v>
      </c>
    </row>
    <row r="766" customFormat="false" ht="12.8" hidden="false" customHeight="false" outlineLevel="0" collapsed="false">
      <c r="A766" s="0" t="s">
        <v>12</v>
      </c>
      <c r="B766" s="0" t="n">
        <v>256307</v>
      </c>
      <c r="C766" s="0" t="n">
        <v>256327</v>
      </c>
      <c r="D766" s="0" t="s">
        <v>2561</v>
      </c>
      <c r="E766" s="0" t="s">
        <v>75</v>
      </c>
      <c r="F766" s="0" t="s">
        <v>90</v>
      </c>
      <c r="G766" s="0" t="s">
        <v>16</v>
      </c>
      <c r="H766" s="0" t="n">
        <v>102</v>
      </c>
      <c r="I766" s="0" t="s">
        <v>2568</v>
      </c>
      <c r="J766" s="0" t="s">
        <v>2569</v>
      </c>
      <c r="K766" s="0" t="s">
        <v>2570</v>
      </c>
      <c r="L766" s="0" t="str">
        <f aca="false">HYPERLINK("https://www.ncbi.nlm.nih.gov/nuccore/CP000058.1?report=graph&amp;tracks=[key:gene_model_track,Options:GeneOnly]&amp;mk=256391:256410|offset_19|444444,256331:256350|offset_79|444444,256308:256327|offset_102|00cc00,256285:256304|offset_125|444444&amp;v=256190:256504&amp;c=444444", "offset 102")</f>
        <v>offset 102</v>
      </c>
    </row>
    <row r="767" customFormat="false" ht="12.8" hidden="false" customHeight="false" outlineLevel="0" collapsed="false">
      <c r="A767" s="0" t="s">
        <v>12</v>
      </c>
      <c r="B767" s="0" t="n">
        <v>256284</v>
      </c>
      <c r="C767" s="0" t="n">
        <v>256304</v>
      </c>
      <c r="D767" s="0" t="s">
        <v>2561</v>
      </c>
      <c r="E767" s="0" t="s">
        <v>75</v>
      </c>
      <c r="F767" s="0" t="s">
        <v>90</v>
      </c>
      <c r="G767" s="0" t="s">
        <v>16</v>
      </c>
      <c r="H767" s="0" t="n">
        <v>125</v>
      </c>
      <c r="I767" s="0" t="s">
        <v>2571</v>
      </c>
      <c r="J767" s="0" t="s">
        <v>2572</v>
      </c>
      <c r="K767" s="0" t="s">
        <v>2573</v>
      </c>
      <c r="L767" s="0" t="str">
        <f aca="false">HYPERLINK("https://www.ncbi.nlm.nih.gov/nuccore/CP000058.1?report=graph&amp;tracks=[key:gene_model_track,Options:GeneOnly]&amp;mk=256391:256410|offset_19|444444,256331:256350|offset_79|444444,256308:256327|offset_102|444444,256285:256304|offset_125|00cc00&amp;v=256190:256504&amp;c=444444", "offset 125")</f>
        <v>offset 125</v>
      </c>
    </row>
    <row r="768" customFormat="false" ht="12.8" hidden="false" customHeight="false" outlineLevel="0" collapsed="false">
      <c r="A768" s="0" t="s">
        <v>12</v>
      </c>
      <c r="B768" s="0" t="n">
        <v>257883</v>
      </c>
      <c r="C768" s="0" t="n">
        <v>257903</v>
      </c>
      <c r="D768" s="0" t="s">
        <v>2574</v>
      </c>
      <c r="E768" s="0" t="s">
        <v>75</v>
      </c>
      <c r="F768" s="0" t="s">
        <v>90</v>
      </c>
      <c r="G768" s="0" t="s">
        <v>20</v>
      </c>
      <c r="H768" s="0" t="n">
        <v>20</v>
      </c>
      <c r="I768" s="0" t="s">
        <v>2575</v>
      </c>
      <c r="J768" s="0" t="s">
        <v>2576</v>
      </c>
      <c r="K768" s="0" t="s">
        <v>2577</v>
      </c>
      <c r="L768" s="0" t="str">
        <f aca="false">HYPERLINK("https://www.ncbi.nlm.nih.gov/nuccore/CP000058.1?report=graph&amp;tracks=[key:gene_model_track,Options:GeneOnly]&amp;mk=257884:257903|offset_20|00cc00,257842:257861|offset_62|444444,257785:257804|offset_119|444444,257740:257759|offset_164|444444&amp;v=257683:257959&amp;c=444444", "offset 20")</f>
        <v>offset 20</v>
      </c>
    </row>
    <row r="769" customFormat="false" ht="12.8" hidden="false" customHeight="false" outlineLevel="0" collapsed="false">
      <c r="A769" s="0" t="s">
        <v>12</v>
      </c>
      <c r="B769" s="0" t="n">
        <v>257841</v>
      </c>
      <c r="C769" s="0" t="n">
        <v>257861</v>
      </c>
      <c r="D769" s="0" t="s">
        <v>2574</v>
      </c>
      <c r="E769" s="0" t="s">
        <v>75</v>
      </c>
      <c r="F769" s="0" t="s">
        <v>90</v>
      </c>
      <c r="G769" s="0" t="s">
        <v>16</v>
      </c>
      <c r="H769" s="0" t="n">
        <v>62</v>
      </c>
      <c r="I769" s="0" t="s">
        <v>2578</v>
      </c>
      <c r="J769" s="0" t="s">
        <v>2579</v>
      </c>
      <c r="K769" s="0" t="s">
        <v>2580</v>
      </c>
      <c r="L769" s="0" t="str">
        <f aca="false">HYPERLINK("https://www.ncbi.nlm.nih.gov/nuccore/CP000058.1?report=graph&amp;tracks=[key:gene_model_track,Options:GeneOnly]&amp;mk=257884:257903|offset_20|444444,257842:257861|offset_62|00cc00,257785:257804|offset_119|444444,257740:257759|offset_164|444444&amp;v=257683:257959&amp;c=444444", "offset 62")</f>
        <v>offset 62</v>
      </c>
    </row>
    <row r="770" customFormat="false" ht="12.8" hidden="false" customHeight="false" outlineLevel="0" collapsed="false">
      <c r="A770" s="0" t="s">
        <v>12</v>
      </c>
      <c r="B770" s="0" t="n">
        <v>257784</v>
      </c>
      <c r="C770" s="0" t="n">
        <v>257804</v>
      </c>
      <c r="D770" s="0" t="s">
        <v>2574</v>
      </c>
      <c r="E770" s="0" t="s">
        <v>75</v>
      </c>
      <c r="F770" s="0" t="s">
        <v>90</v>
      </c>
      <c r="G770" s="0" t="s">
        <v>20</v>
      </c>
      <c r="H770" s="0" t="n">
        <v>119</v>
      </c>
      <c r="I770" s="0" t="s">
        <v>2581</v>
      </c>
      <c r="J770" s="0" t="s">
        <v>2582</v>
      </c>
      <c r="K770" s="0" t="s">
        <v>2583</v>
      </c>
      <c r="L770" s="0" t="str">
        <f aca="false">HYPERLINK("https://www.ncbi.nlm.nih.gov/nuccore/CP000058.1?report=graph&amp;tracks=[key:gene_model_track,Options:GeneOnly]&amp;mk=257884:257903|offset_20|444444,257842:257861|offset_62|444444,257785:257804|offset_119|00cc00,257740:257759|offset_164|444444&amp;v=257683:257959&amp;c=444444", "offset 119")</f>
        <v>offset 119</v>
      </c>
    </row>
    <row r="771" customFormat="false" ht="12.8" hidden="false" customHeight="false" outlineLevel="0" collapsed="false">
      <c r="A771" s="0" t="s">
        <v>12</v>
      </c>
      <c r="B771" s="0" t="n">
        <v>257739</v>
      </c>
      <c r="C771" s="0" t="n">
        <v>257759</v>
      </c>
      <c r="D771" s="0" t="s">
        <v>2574</v>
      </c>
      <c r="E771" s="0" t="s">
        <v>75</v>
      </c>
      <c r="F771" s="0" t="s">
        <v>90</v>
      </c>
      <c r="G771" s="0" t="s">
        <v>20</v>
      </c>
      <c r="H771" s="0" t="n">
        <v>164</v>
      </c>
      <c r="I771" s="0" t="s">
        <v>2584</v>
      </c>
      <c r="J771" s="0" t="s">
        <v>2585</v>
      </c>
      <c r="K771" s="0" t="s">
        <v>2586</v>
      </c>
      <c r="L771" s="0" t="str">
        <f aca="false">HYPERLINK("https://www.ncbi.nlm.nih.gov/nuccore/CP000058.1?report=graph&amp;tracks=[key:gene_model_track,Options:GeneOnly]&amp;mk=257884:257903|offset_20|444444,257842:257861|offset_62|444444,257785:257804|offset_119|444444,257740:257759|offset_164|00cc00&amp;v=257683:257959&amp;c=444444", "offset 164")</f>
        <v>offset 164</v>
      </c>
    </row>
    <row r="772" customFormat="false" ht="12.8" hidden="false" customHeight="false" outlineLevel="0" collapsed="false">
      <c r="A772" s="0" t="s">
        <v>12</v>
      </c>
      <c r="B772" s="0" t="n">
        <v>258051</v>
      </c>
      <c r="C772" s="0" t="n">
        <v>258071</v>
      </c>
      <c r="D772" s="0" t="s">
        <v>2587</v>
      </c>
      <c r="E772" s="0" t="s">
        <v>75</v>
      </c>
      <c r="F772" s="0" t="s">
        <v>15</v>
      </c>
      <c r="G772" s="0" t="s">
        <v>16</v>
      </c>
      <c r="H772" s="0" t="n">
        <v>7</v>
      </c>
      <c r="I772" s="0" t="s">
        <v>2588</v>
      </c>
      <c r="J772" s="0" t="s">
        <v>2589</v>
      </c>
      <c r="K772" s="0" t="s">
        <v>2590</v>
      </c>
      <c r="L772" s="0" t="str">
        <f aca="false">HYPERLINK("https://www.ncbi.nlm.nih.gov/nuccore/CP000058.1?report=graph&amp;tracks=[key:gene_model_track,Options:GeneOnly]&amp;mk=258052:258071|offset_7|00cc00,258072:258091|offset_27|444444,258125:258144|offset_80|444444,258162:258181|offset_117|444444&amp;v=257851:258381&amp;c=444444", "offset 7")</f>
        <v>offset 7</v>
      </c>
    </row>
    <row r="773" customFormat="false" ht="12.8" hidden="false" customHeight="false" outlineLevel="0" collapsed="false">
      <c r="A773" s="0" t="s">
        <v>12</v>
      </c>
      <c r="B773" s="0" t="n">
        <v>258071</v>
      </c>
      <c r="C773" s="0" t="n">
        <v>258091</v>
      </c>
      <c r="D773" s="0" t="s">
        <v>2587</v>
      </c>
      <c r="E773" s="0" t="s">
        <v>75</v>
      </c>
      <c r="F773" s="0" t="s">
        <v>15</v>
      </c>
      <c r="G773" s="0" t="s">
        <v>32</v>
      </c>
      <c r="H773" s="0" t="n">
        <v>27</v>
      </c>
      <c r="I773" s="0" t="s">
        <v>2591</v>
      </c>
      <c r="J773" s="0" t="s">
        <v>2592</v>
      </c>
      <c r="K773" s="0" t="s">
        <v>2593</v>
      </c>
      <c r="L773" s="0" t="str">
        <f aca="false">HYPERLINK("https://www.ncbi.nlm.nih.gov/nuccore/CP000058.1?report=graph&amp;tracks=[key:gene_model_track,Options:GeneOnly]&amp;mk=258052:258071|offset_7|444444,258072:258091|offset_27|00cc00,258125:258144|offset_80|444444,258162:258181|offset_117|444444&amp;v=257851:258381&amp;c=444444", "offset 27")</f>
        <v>offset 27</v>
      </c>
    </row>
    <row r="774" customFormat="false" ht="12.8" hidden="false" customHeight="false" outlineLevel="0" collapsed="false">
      <c r="A774" s="0" t="s">
        <v>12</v>
      </c>
      <c r="B774" s="0" t="n">
        <v>258124</v>
      </c>
      <c r="C774" s="0" t="n">
        <v>258144</v>
      </c>
      <c r="D774" s="0" t="s">
        <v>2587</v>
      </c>
      <c r="E774" s="0" t="s">
        <v>75</v>
      </c>
      <c r="F774" s="0" t="s">
        <v>15</v>
      </c>
      <c r="G774" s="0" t="s">
        <v>20</v>
      </c>
      <c r="H774" s="0" t="n">
        <v>80</v>
      </c>
      <c r="I774" s="0" t="s">
        <v>2594</v>
      </c>
      <c r="J774" s="0" t="s">
        <v>2595</v>
      </c>
      <c r="K774" s="0" t="s">
        <v>2596</v>
      </c>
      <c r="L774" s="0" t="str">
        <f aca="false">HYPERLINK("https://www.ncbi.nlm.nih.gov/nuccore/CP000058.1?report=graph&amp;tracks=[key:gene_model_track,Options:GeneOnly]&amp;mk=258052:258071|offset_7|444444,258072:258091|offset_27|444444,258125:258144|offset_80|00cc00,258162:258181|offset_117|444444&amp;v=257851:258381&amp;c=444444", "offset 80")</f>
        <v>offset 80</v>
      </c>
    </row>
    <row r="775" customFormat="false" ht="12.8" hidden="false" customHeight="false" outlineLevel="0" collapsed="false">
      <c r="A775" s="0" t="s">
        <v>12</v>
      </c>
      <c r="B775" s="0" t="n">
        <v>258161</v>
      </c>
      <c r="C775" s="0" t="n">
        <v>258181</v>
      </c>
      <c r="D775" s="0" t="s">
        <v>2587</v>
      </c>
      <c r="E775" s="0" t="s">
        <v>75</v>
      </c>
      <c r="F775" s="0" t="s">
        <v>15</v>
      </c>
      <c r="G775" s="0" t="s">
        <v>32</v>
      </c>
      <c r="H775" s="0" t="n">
        <v>117</v>
      </c>
      <c r="I775" s="0" t="s">
        <v>2597</v>
      </c>
      <c r="J775" s="0" t="s">
        <v>2598</v>
      </c>
      <c r="K775" s="0" t="s">
        <v>2599</v>
      </c>
      <c r="L775" s="0" t="str">
        <f aca="false">HYPERLINK("https://www.ncbi.nlm.nih.gov/nuccore/CP000058.1?report=graph&amp;tracks=[key:gene_model_track,Options:GeneOnly]&amp;mk=258052:258071|offset_7|444444,258072:258091|offset_27|444444,258125:258144|offset_80|444444,258162:258181|offset_117|00cc00&amp;v=257851:258381&amp;c=444444", "offset 117")</f>
        <v>offset 117</v>
      </c>
    </row>
    <row r="776" customFormat="false" ht="12.8" hidden="false" customHeight="false" outlineLevel="0" collapsed="false">
      <c r="A776" s="0" t="s">
        <v>12</v>
      </c>
      <c r="B776" s="0" t="n">
        <v>259642</v>
      </c>
      <c r="C776" s="0" t="n">
        <v>259662</v>
      </c>
      <c r="D776" s="0" t="s">
        <v>2600</v>
      </c>
      <c r="E776" s="0" t="s">
        <v>75</v>
      </c>
      <c r="F776" s="0" t="s">
        <v>90</v>
      </c>
      <c r="G776" s="0" t="s">
        <v>36</v>
      </c>
      <c r="H776" s="0" t="n">
        <v>10</v>
      </c>
      <c r="I776" s="0" t="s">
        <v>2601</v>
      </c>
      <c r="J776" s="0" t="s">
        <v>2602</v>
      </c>
      <c r="K776" s="0" t="s">
        <v>2603</v>
      </c>
      <c r="L776" s="0" t="str">
        <f aca="false">HYPERLINK("https://www.ncbi.nlm.nih.gov/nuccore/CP000058.1?report=graph&amp;tracks=[key:gene_model_track,Options:GeneOnly]&amp;mk=259643:259662|offset_10|00cc00,259612:259631|offset_41|444444,259589:259608|offset_64|444444,259569:259588|offset_84|444444&amp;v=259442:259788&amp;c=444444", "offset 10")</f>
        <v>offset 10</v>
      </c>
    </row>
    <row r="777" customFormat="false" ht="12.8" hidden="false" customHeight="false" outlineLevel="0" collapsed="false">
      <c r="A777" s="0" t="s">
        <v>12</v>
      </c>
      <c r="B777" s="0" t="n">
        <v>259611</v>
      </c>
      <c r="C777" s="0" t="n">
        <v>259631</v>
      </c>
      <c r="D777" s="0" t="s">
        <v>2600</v>
      </c>
      <c r="E777" s="0" t="s">
        <v>75</v>
      </c>
      <c r="F777" s="0" t="s">
        <v>90</v>
      </c>
      <c r="G777" s="0" t="s">
        <v>32</v>
      </c>
      <c r="H777" s="0" t="n">
        <v>41</v>
      </c>
      <c r="I777" s="0" t="s">
        <v>2604</v>
      </c>
      <c r="J777" s="0" t="s">
        <v>2605</v>
      </c>
      <c r="K777" s="0" t="s">
        <v>2606</v>
      </c>
      <c r="L777" s="0" t="str">
        <f aca="false">HYPERLINK("https://www.ncbi.nlm.nih.gov/nuccore/CP000058.1?report=graph&amp;tracks=[key:gene_model_track,Options:GeneOnly]&amp;mk=259643:259662|offset_10|444444,259612:259631|offset_41|00cc00,259589:259608|offset_64|444444,259569:259588|offset_84|444444&amp;v=259442:259788&amp;c=444444", "offset 41")</f>
        <v>offset 41</v>
      </c>
    </row>
    <row r="778" customFormat="false" ht="12.8" hidden="false" customHeight="false" outlineLevel="0" collapsed="false">
      <c r="A778" s="0" t="s">
        <v>12</v>
      </c>
      <c r="B778" s="0" t="n">
        <v>259588</v>
      </c>
      <c r="C778" s="0" t="n">
        <v>259608</v>
      </c>
      <c r="D778" s="0" t="s">
        <v>2600</v>
      </c>
      <c r="E778" s="0" t="s">
        <v>75</v>
      </c>
      <c r="F778" s="0" t="s">
        <v>90</v>
      </c>
      <c r="G778" s="0" t="s">
        <v>16</v>
      </c>
      <c r="H778" s="0" t="n">
        <v>64</v>
      </c>
      <c r="I778" s="0" t="s">
        <v>2607</v>
      </c>
      <c r="J778" s="0" t="s">
        <v>2608</v>
      </c>
      <c r="K778" s="0" t="s">
        <v>2609</v>
      </c>
      <c r="L778" s="0" t="str">
        <f aca="false">HYPERLINK("https://www.ncbi.nlm.nih.gov/nuccore/CP000058.1?report=graph&amp;tracks=[key:gene_model_track,Options:GeneOnly]&amp;mk=259643:259662|offset_10|444444,259612:259631|offset_41|444444,259589:259608|offset_64|00cc00,259569:259588|offset_84|444444&amp;v=259442:259788&amp;c=444444", "offset 64")</f>
        <v>offset 64</v>
      </c>
    </row>
    <row r="779" customFormat="false" ht="12.8" hidden="false" customHeight="false" outlineLevel="0" collapsed="false">
      <c r="A779" s="0" t="s">
        <v>12</v>
      </c>
      <c r="B779" s="0" t="n">
        <v>259568</v>
      </c>
      <c r="C779" s="0" t="n">
        <v>259588</v>
      </c>
      <c r="D779" s="0" t="s">
        <v>2600</v>
      </c>
      <c r="E779" s="0" t="s">
        <v>75</v>
      </c>
      <c r="F779" s="0" t="s">
        <v>90</v>
      </c>
      <c r="G779" s="0" t="s">
        <v>16</v>
      </c>
      <c r="H779" s="0" t="n">
        <v>84</v>
      </c>
      <c r="I779" s="0" t="s">
        <v>2610</v>
      </c>
      <c r="J779" s="0" t="s">
        <v>2611</v>
      </c>
      <c r="K779" s="0" t="s">
        <v>2612</v>
      </c>
      <c r="L779" s="0" t="str">
        <f aca="false">HYPERLINK("https://www.ncbi.nlm.nih.gov/nuccore/CP000058.1?report=graph&amp;tracks=[key:gene_model_track,Options:GeneOnly]&amp;mk=259643:259662|offset_10|444444,259612:259631|offset_41|444444,259589:259608|offset_64|444444,259569:259588|offset_84|00cc00&amp;v=259442:259788&amp;c=444444", "offset 84")</f>
        <v>offset 84</v>
      </c>
    </row>
    <row r="780" customFormat="false" ht="12.8" hidden="false" customHeight="false" outlineLevel="0" collapsed="false">
      <c r="A780" s="0" t="s">
        <v>12</v>
      </c>
      <c r="B780" s="0" t="n">
        <v>259731</v>
      </c>
      <c r="C780" s="0" t="n">
        <v>259751</v>
      </c>
      <c r="D780" s="0" t="s">
        <v>2613</v>
      </c>
      <c r="E780" s="0" t="s">
        <v>75</v>
      </c>
      <c r="F780" s="0" t="s">
        <v>15</v>
      </c>
      <c r="G780" s="0" t="s">
        <v>20</v>
      </c>
      <c r="H780" s="0" t="n">
        <v>8</v>
      </c>
      <c r="I780" s="0" t="s">
        <v>2614</v>
      </c>
      <c r="J780" s="0" t="s">
        <v>2615</v>
      </c>
      <c r="K780" s="0" t="s">
        <v>2616</v>
      </c>
      <c r="L780" s="0" t="str">
        <f aca="false">HYPERLINK("https://www.ncbi.nlm.nih.gov/nuccore/CP000058.1?report=graph&amp;tracks=[key:gene_model_track,Options:GeneOnly]&amp;mk=259732:259751|offset_8|00cc00,259792:259811|offset_68|444444,259816:259835|offset_92|444444,259844:259863|offset_120|444444&amp;v=259531:260063&amp;c=444444", "offset 8")</f>
        <v>offset 8</v>
      </c>
    </row>
    <row r="781" customFormat="false" ht="12.8" hidden="false" customHeight="false" outlineLevel="0" collapsed="false">
      <c r="A781" s="0" t="s">
        <v>12</v>
      </c>
      <c r="B781" s="0" t="n">
        <v>259791</v>
      </c>
      <c r="C781" s="0" t="n">
        <v>259811</v>
      </c>
      <c r="D781" s="0" t="s">
        <v>2613</v>
      </c>
      <c r="E781" s="0" t="s">
        <v>75</v>
      </c>
      <c r="F781" s="0" t="s">
        <v>15</v>
      </c>
      <c r="G781" s="0" t="s">
        <v>16</v>
      </c>
      <c r="H781" s="0" t="n">
        <v>68</v>
      </c>
      <c r="I781" s="0" t="s">
        <v>2617</v>
      </c>
      <c r="J781" s="0" t="s">
        <v>2618</v>
      </c>
      <c r="K781" s="0" t="s">
        <v>2619</v>
      </c>
      <c r="L781" s="0" t="str">
        <f aca="false">HYPERLINK("https://www.ncbi.nlm.nih.gov/nuccore/CP000058.1?report=graph&amp;tracks=[key:gene_model_track,Options:GeneOnly]&amp;mk=259732:259751|offset_8|444444,259792:259811|offset_68|00cc00,259816:259835|offset_92|444444,259844:259863|offset_120|444444&amp;v=259531:260063&amp;c=444444", "offset 68")</f>
        <v>offset 68</v>
      </c>
    </row>
    <row r="782" customFormat="false" ht="12.8" hidden="false" customHeight="false" outlineLevel="0" collapsed="false">
      <c r="A782" s="0" t="s">
        <v>12</v>
      </c>
      <c r="B782" s="0" t="n">
        <v>259815</v>
      </c>
      <c r="C782" s="0" t="n">
        <v>259835</v>
      </c>
      <c r="D782" s="0" t="s">
        <v>2613</v>
      </c>
      <c r="E782" s="0" t="s">
        <v>75</v>
      </c>
      <c r="F782" s="0" t="s">
        <v>15</v>
      </c>
      <c r="G782" s="0" t="s">
        <v>16</v>
      </c>
      <c r="H782" s="0" t="n">
        <v>92</v>
      </c>
      <c r="I782" s="0" t="s">
        <v>2620</v>
      </c>
      <c r="J782" s="0" t="s">
        <v>2621</v>
      </c>
      <c r="K782" s="0" t="s">
        <v>2622</v>
      </c>
      <c r="L782" s="0" t="str">
        <f aca="false">HYPERLINK("https://www.ncbi.nlm.nih.gov/nuccore/CP000058.1?report=graph&amp;tracks=[key:gene_model_track,Options:GeneOnly]&amp;mk=259732:259751|offset_8|444444,259792:259811|offset_68|444444,259816:259835|offset_92|00cc00,259844:259863|offset_120|444444&amp;v=259531:260063&amp;c=444444", "offset 92")</f>
        <v>offset 92</v>
      </c>
    </row>
    <row r="783" customFormat="false" ht="12.8" hidden="false" customHeight="false" outlineLevel="0" collapsed="false">
      <c r="A783" s="0" t="s">
        <v>12</v>
      </c>
      <c r="B783" s="0" t="n">
        <v>259843</v>
      </c>
      <c r="C783" s="0" t="n">
        <v>259863</v>
      </c>
      <c r="D783" s="0" t="s">
        <v>2613</v>
      </c>
      <c r="E783" s="0" t="s">
        <v>75</v>
      </c>
      <c r="F783" s="0" t="s">
        <v>15</v>
      </c>
      <c r="G783" s="0" t="s">
        <v>20</v>
      </c>
      <c r="H783" s="0" t="n">
        <v>120</v>
      </c>
      <c r="I783" s="0" t="s">
        <v>2623</v>
      </c>
      <c r="J783" s="0" t="s">
        <v>2624</v>
      </c>
      <c r="K783" s="0" t="s">
        <v>2625</v>
      </c>
      <c r="L783" s="0" t="str">
        <f aca="false">HYPERLINK("https://www.ncbi.nlm.nih.gov/nuccore/CP000058.1?report=graph&amp;tracks=[key:gene_model_track,Options:GeneOnly]&amp;mk=259732:259751|offset_8|444444,259792:259811|offset_68|444444,259816:259835|offset_92|444444,259844:259863|offset_120|00cc00&amp;v=259531:260063&amp;c=444444", "offset 120")</f>
        <v>offset 120</v>
      </c>
    </row>
    <row r="784" customFormat="false" ht="12.8" hidden="false" customHeight="false" outlineLevel="0" collapsed="false">
      <c r="A784" s="0" t="s">
        <v>12</v>
      </c>
      <c r="B784" s="0" t="n">
        <v>260605</v>
      </c>
      <c r="C784" s="0" t="n">
        <v>260625</v>
      </c>
      <c r="D784" s="0" t="s">
        <v>2626</v>
      </c>
      <c r="E784" s="0" t="s">
        <v>2627</v>
      </c>
      <c r="F784" s="0" t="s">
        <v>90</v>
      </c>
      <c r="G784" s="0" t="s">
        <v>36</v>
      </c>
      <c r="H784" s="0" t="n">
        <v>0</v>
      </c>
      <c r="I784" s="0" t="s">
        <v>2628</v>
      </c>
      <c r="J784" s="0" t="s">
        <v>2629</v>
      </c>
      <c r="K784" s="0" t="s">
        <v>2630</v>
      </c>
      <c r="L784" s="0" t="str">
        <f aca="false">HYPERLINK("https://www.ncbi.nlm.nih.gov/nuccore/CP000058.1?report=graph&amp;tracks=[key:gene_model_track,Options:GeneOnly]&amp;mk=260606:260625|offset_0|00cc00,260559:260578|offset_47|444444,260538:260557|offset_68|444444,260512:260531|offset_94|444444&amp;v=260405:260731&amp;c=444444", "offset 0")</f>
        <v>offset 0</v>
      </c>
    </row>
    <row r="785" customFormat="false" ht="12.8" hidden="false" customHeight="false" outlineLevel="0" collapsed="false">
      <c r="A785" s="0" t="s">
        <v>12</v>
      </c>
      <c r="B785" s="0" t="n">
        <v>260558</v>
      </c>
      <c r="C785" s="0" t="n">
        <v>260578</v>
      </c>
      <c r="D785" s="0" t="s">
        <v>2626</v>
      </c>
      <c r="E785" s="0" t="s">
        <v>2627</v>
      </c>
      <c r="F785" s="0" t="s">
        <v>90</v>
      </c>
      <c r="G785" s="0" t="s">
        <v>16</v>
      </c>
      <c r="H785" s="0" t="n">
        <v>47</v>
      </c>
      <c r="I785" s="0" t="s">
        <v>2631</v>
      </c>
      <c r="J785" s="0" t="s">
        <v>2632</v>
      </c>
      <c r="K785" s="0" t="s">
        <v>2633</v>
      </c>
      <c r="L785" s="0" t="str">
        <f aca="false">HYPERLINK("https://www.ncbi.nlm.nih.gov/nuccore/CP000058.1?report=graph&amp;tracks=[key:gene_model_track,Options:GeneOnly]&amp;mk=260606:260625|offset_0|444444,260559:260578|offset_47|00cc00,260538:260557|offset_68|444444,260512:260531|offset_94|444444&amp;v=260405:260731&amp;c=444444", "offset 47")</f>
        <v>offset 47</v>
      </c>
    </row>
    <row r="786" customFormat="false" ht="12.8" hidden="false" customHeight="false" outlineLevel="0" collapsed="false">
      <c r="A786" s="0" t="s">
        <v>12</v>
      </c>
      <c r="B786" s="0" t="n">
        <v>260537</v>
      </c>
      <c r="C786" s="0" t="n">
        <v>260557</v>
      </c>
      <c r="D786" s="0" t="s">
        <v>2626</v>
      </c>
      <c r="E786" s="0" t="s">
        <v>2627</v>
      </c>
      <c r="F786" s="0" t="s">
        <v>90</v>
      </c>
      <c r="G786" s="0" t="s">
        <v>32</v>
      </c>
      <c r="H786" s="0" t="n">
        <v>68</v>
      </c>
      <c r="I786" s="0" t="s">
        <v>2634</v>
      </c>
      <c r="J786" s="0" t="s">
        <v>2635</v>
      </c>
      <c r="K786" s="0" t="s">
        <v>2636</v>
      </c>
      <c r="L786" s="0" t="str">
        <f aca="false">HYPERLINK("https://www.ncbi.nlm.nih.gov/nuccore/CP000058.1?report=graph&amp;tracks=[key:gene_model_track,Options:GeneOnly]&amp;mk=260606:260625|offset_0|444444,260559:260578|offset_47|444444,260538:260557|offset_68|00cc00,260512:260531|offset_94|444444&amp;v=260405:260731&amp;c=444444", "offset 68")</f>
        <v>offset 68</v>
      </c>
    </row>
    <row r="787" customFormat="false" ht="12.8" hidden="false" customHeight="false" outlineLevel="0" collapsed="false">
      <c r="A787" s="0" t="s">
        <v>12</v>
      </c>
      <c r="B787" s="0" t="n">
        <v>260511</v>
      </c>
      <c r="C787" s="0" t="n">
        <v>260531</v>
      </c>
      <c r="D787" s="0" t="s">
        <v>2626</v>
      </c>
      <c r="E787" s="0" t="s">
        <v>2627</v>
      </c>
      <c r="F787" s="0" t="s">
        <v>90</v>
      </c>
      <c r="G787" s="0" t="s">
        <v>16</v>
      </c>
      <c r="H787" s="0" t="n">
        <v>94</v>
      </c>
      <c r="I787" s="0" t="s">
        <v>2637</v>
      </c>
      <c r="J787" s="0" t="s">
        <v>2638</v>
      </c>
      <c r="K787" s="0" t="s">
        <v>2639</v>
      </c>
      <c r="L787" s="0" t="str">
        <f aca="false">HYPERLINK("https://www.ncbi.nlm.nih.gov/nuccore/CP000058.1?report=graph&amp;tracks=[key:gene_model_track,Options:GeneOnly]&amp;mk=260606:260625|offset_0|444444,260559:260578|offset_47|444444,260538:260557|offset_68|444444,260512:260531|offset_94|00cc00&amp;v=260405:260731&amp;c=444444", "offset 94")</f>
        <v>offset 94</v>
      </c>
    </row>
    <row r="788" customFormat="false" ht="12.8" hidden="false" customHeight="false" outlineLevel="0" collapsed="false">
      <c r="A788" s="0" t="s">
        <v>12</v>
      </c>
      <c r="B788" s="0" t="n">
        <v>260799</v>
      </c>
      <c r="C788" s="0" t="n">
        <v>260819</v>
      </c>
      <c r="D788" s="0" t="s">
        <v>2640</v>
      </c>
      <c r="E788" s="0" t="s">
        <v>2641</v>
      </c>
      <c r="F788" s="0" t="s">
        <v>15</v>
      </c>
      <c r="G788" s="0" t="s">
        <v>20</v>
      </c>
      <c r="H788" s="0" t="n">
        <v>17</v>
      </c>
      <c r="I788" s="0" t="s">
        <v>2642</v>
      </c>
      <c r="J788" s="0" t="s">
        <v>2643</v>
      </c>
      <c r="K788" s="0" t="s">
        <v>2644</v>
      </c>
      <c r="L788" s="0" t="str">
        <f aca="false">HYPERLINK("https://www.ncbi.nlm.nih.gov/nuccore/CP000058.1?report=graph&amp;tracks=[key:gene_model_track,Options:GeneOnly]&amp;mk=260800:260819|offset_17|00cc00,260826:260845|offset_43|444444,260850:260869|offset_67|444444,260875:260894|offset_92|444444&amp;v=260599:261094&amp;c=444444", "offset 17")</f>
        <v>offset 17</v>
      </c>
    </row>
    <row r="789" customFormat="false" ht="12.8" hidden="false" customHeight="false" outlineLevel="0" collapsed="false">
      <c r="A789" s="0" t="s">
        <v>12</v>
      </c>
      <c r="B789" s="0" t="n">
        <v>260825</v>
      </c>
      <c r="C789" s="0" t="n">
        <v>260845</v>
      </c>
      <c r="D789" s="0" t="s">
        <v>2640</v>
      </c>
      <c r="E789" s="0" t="s">
        <v>2641</v>
      </c>
      <c r="F789" s="0" t="s">
        <v>15</v>
      </c>
      <c r="G789" s="0" t="s">
        <v>32</v>
      </c>
      <c r="H789" s="0" t="n">
        <v>43</v>
      </c>
      <c r="I789" s="0" t="s">
        <v>2645</v>
      </c>
      <c r="J789" s="0" t="s">
        <v>2646</v>
      </c>
      <c r="K789" s="0" t="s">
        <v>2647</v>
      </c>
      <c r="L789" s="0" t="str">
        <f aca="false">HYPERLINK("https://www.ncbi.nlm.nih.gov/nuccore/CP000058.1?report=graph&amp;tracks=[key:gene_model_track,Options:GeneOnly]&amp;mk=260800:260819|offset_17|444444,260826:260845|offset_43|00cc00,260850:260869|offset_67|444444,260875:260894|offset_92|444444&amp;v=260599:261094&amp;c=444444", "offset 43")</f>
        <v>offset 43</v>
      </c>
    </row>
    <row r="790" customFormat="false" ht="12.8" hidden="false" customHeight="false" outlineLevel="0" collapsed="false">
      <c r="A790" s="0" t="s">
        <v>12</v>
      </c>
      <c r="B790" s="0" t="n">
        <v>260849</v>
      </c>
      <c r="C790" s="0" t="n">
        <v>260869</v>
      </c>
      <c r="D790" s="0" t="s">
        <v>2640</v>
      </c>
      <c r="E790" s="0" t="s">
        <v>2641</v>
      </c>
      <c r="F790" s="0" t="s">
        <v>15</v>
      </c>
      <c r="G790" s="0" t="s">
        <v>16</v>
      </c>
      <c r="H790" s="0" t="n">
        <v>67</v>
      </c>
      <c r="I790" s="0" t="s">
        <v>2648</v>
      </c>
      <c r="J790" s="0" t="s">
        <v>2649</v>
      </c>
      <c r="K790" s="0" t="s">
        <v>2650</v>
      </c>
      <c r="L790" s="0" t="str">
        <f aca="false">HYPERLINK("https://www.ncbi.nlm.nih.gov/nuccore/CP000058.1?report=graph&amp;tracks=[key:gene_model_track,Options:GeneOnly]&amp;mk=260800:260819|offset_17|444444,260826:260845|offset_43|444444,260850:260869|offset_67|00cc00,260875:260894|offset_92|444444&amp;v=260599:261094&amp;c=444444", "offset 67")</f>
        <v>offset 67</v>
      </c>
    </row>
    <row r="791" customFormat="false" ht="12.8" hidden="false" customHeight="false" outlineLevel="0" collapsed="false">
      <c r="A791" s="0" t="s">
        <v>12</v>
      </c>
      <c r="B791" s="0" t="n">
        <v>260874</v>
      </c>
      <c r="C791" s="0" t="n">
        <v>260894</v>
      </c>
      <c r="D791" s="0" t="s">
        <v>2640</v>
      </c>
      <c r="E791" s="0" t="s">
        <v>2641</v>
      </c>
      <c r="F791" s="0" t="s">
        <v>15</v>
      </c>
      <c r="G791" s="0" t="s">
        <v>16</v>
      </c>
      <c r="H791" s="0" t="n">
        <v>92</v>
      </c>
      <c r="I791" s="0" t="s">
        <v>2651</v>
      </c>
      <c r="J791" s="0" t="s">
        <v>2652</v>
      </c>
      <c r="K791" s="0" t="s">
        <v>2653</v>
      </c>
      <c r="L791" s="0" t="str">
        <f aca="false">HYPERLINK("https://www.ncbi.nlm.nih.gov/nuccore/CP000058.1?report=graph&amp;tracks=[key:gene_model_track,Options:GeneOnly]&amp;mk=260800:260819|offset_17|444444,260826:260845|offset_43|444444,260850:260869|offset_67|444444,260875:260894|offset_92|00cc00&amp;v=260599:261094&amp;c=444444", "offset 92")</f>
        <v>offset 92</v>
      </c>
    </row>
    <row r="792" customFormat="false" ht="12.8" hidden="false" customHeight="false" outlineLevel="0" collapsed="false">
      <c r="A792" s="0" t="s">
        <v>12</v>
      </c>
      <c r="B792" s="0" t="n">
        <v>262108</v>
      </c>
      <c r="C792" s="0" t="n">
        <v>262128</v>
      </c>
      <c r="D792" s="0" t="s">
        <v>2654</v>
      </c>
      <c r="E792" s="0" t="s">
        <v>75</v>
      </c>
      <c r="F792" s="0" t="s">
        <v>15</v>
      </c>
      <c r="G792" s="0" t="s">
        <v>32</v>
      </c>
      <c r="H792" s="0" t="n">
        <v>53</v>
      </c>
      <c r="I792" s="0" t="s">
        <v>2655</v>
      </c>
      <c r="J792" s="0" t="s">
        <v>2656</v>
      </c>
      <c r="K792" s="0" t="s">
        <v>2657</v>
      </c>
      <c r="L792" s="0" t="str">
        <f aca="false">HYPERLINK("https://www.ncbi.nlm.nih.gov/nuccore/CP000058.1?report=graph&amp;tracks=[key:gene_model_track,Options:GeneOnly]&amp;mk=262109:262128|offset_53|00cc00,262177:262196|offset_121|444444,262205:262224|offset_149|444444,262317:262336|offset_261|444444&amp;v=261908:262536&amp;c=444444", "offset 53")</f>
        <v>offset 53</v>
      </c>
    </row>
    <row r="793" customFormat="false" ht="12.8" hidden="false" customHeight="false" outlineLevel="0" collapsed="false">
      <c r="A793" s="0" t="s">
        <v>12</v>
      </c>
      <c r="B793" s="0" t="n">
        <v>262176</v>
      </c>
      <c r="C793" s="0" t="n">
        <v>262196</v>
      </c>
      <c r="D793" s="0" t="s">
        <v>2654</v>
      </c>
      <c r="E793" s="0" t="s">
        <v>75</v>
      </c>
      <c r="F793" s="0" t="s">
        <v>15</v>
      </c>
      <c r="G793" s="0" t="s">
        <v>36</v>
      </c>
      <c r="H793" s="0" t="n">
        <v>121</v>
      </c>
      <c r="I793" s="0" t="s">
        <v>2658</v>
      </c>
      <c r="J793" s="0" t="s">
        <v>2659</v>
      </c>
      <c r="K793" s="0" t="s">
        <v>2660</v>
      </c>
      <c r="L793" s="0" t="str">
        <f aca="false">HYPERLINK("https://www.ncbi.nlm.nih.gov/nuccore/CP000058.1?report=graph&amp;tracks=[key:gene_model_track,Options:GeneOnly]&amp;mk=262109:262128|offset_53|444444,262177:262196|offset_121|00cc00,262205:262224|offset_149|444444,262317:262336|offset_261|444444&amp;v=261908:262536&amp;c=444444", "offset 121")</f>
        <v>offset 121</v>
      </c>
    </row>
    <row r="794" customFormat="false" ht="12.8" hidden="false" customHeight="false" outlineLevel="0" collapsed="false">
      <c r="A794" s="0" t="s">
        <v>12</v>
      </c>
      <c r="B794" s="0" t="n">
        <v>262204</v>
      </c>
      <c r="C794" s="0" t="n">
        <v>262224</v>
      </c>
      <c r="D794" s="0" t="s">
        <v>2654</v>
      </c>
      <c r="E794" s="0" t="s">
        <v>75</v>
      </c>
      <c r="F794" s="0" t="s">
        <v>15</v>
      </c>
      <c r="G794" s="0" t="s">
        <v>20</v>
      </c>
      <c r="H794" s="0" t="n">
        <v>149</v>
      </c>
      <c r="I794" s="0" t="s">
        <v>2661</v>
      </c>
      <c r="J794" s="0" t="s">
        <v>2662</v>
      </c>
      <c r="K794" s="0" t="s">
        <v>2663</v>
      </c>
      <c r="L794" s="0" t="str">
        <f aca="false">HYPERLINK("https://www.ncbi.nlm.nih.gov/nuccore/CP000058.1?report=graph&amp;tracks=[key:gene_model_track,Options:GeneOnly]&amp;mk=262109:262128|offset_53|444444,262177:262196|offset_121|444444,262205:262224|offset_149|00cc00,262317:262336|offset_261|444444&amp;v=261908:262536&amp;c=444444", "offset 149")</f>
        <v>offset 149</v>
      </c>
    </row>
    <row r="795" customFormat="false" ht="12.8" hidden="false" customHeight="false" outlineLevel="0" collapsed="false">
      <c r="A795" s="0" t="s">
        <v>12</v>
      </c>
      <c r="B795" s="0" t="n">
        <v>262316</v>
      </c>
      <c r="C795" s="0" t="n">
        <v>262336</v>
      </c>
      <c r="D795" s="0" t="s">
        <v>2654</v>
      </c>
      <c r="E795" s="0" t="s">
        <v>75</v>
      </c>
      <c r="F795" s="0" t="s">
        <v>15</v>
      </c>
      <c r="G795" s="0" t="s">
        <v>36</v>
      </c>
      <c r="H795" s="0" t="n">
        <v>261</v>
      </c>
      <c r="I795" s="0" t="s">
        <v>2664</v>
      </c>
      <c r="J795" s="0" t="s">
        <v>2665</v>
      </c>
      <c r="K795" s="0" t="s">
        <v>2666</v>
      </c>
      <c r="L795" s="0" t="str">
        <f aca="false">HYPERLINK("https://www.ncbi.nlm.nih.gov/nuccore/CP000058.1?report=graph&amp;tracks=[key:gene_model_track,Options:GeneOnly]&amp;mk=262109:262128|offset_53|444444,262177:262196|offset_121|444444,262205:262224|offset_149|444444,262317:262336|offset_261|00cc00&amp;v=261908:262536&amp;c=444444", "offset 261")</f>
        <v>offset 261</v>
      </c>
    </row>
    <row r="796" customFormat="false" ht="12.8" hidden="false" customHeight="false" outlineLevel="0" collapsed="false">
      <c r="A796" s="0" t="s">
        <v>12</v>
      </c>
      <c r="B796" s="0" t="n">
        <v>262506</v>
      </c>
      <c r="C796" s="0" t="n">
        <v>262526</v>
      </c>
      <c r="D796" s="0" t="s">
        <v>2667</v>
      </c>
      <c r="E796" s="0" t="s">
        <v>2668</v>
      </c>
      <c r="F796" s="0" t="s">
        <v>15</v>
      </c>
      <c r="G796" s="0" t="s">
        <v>32</v>
      </c>
      <c r="H796" s="0" t="n">
        <v>9</v>
      </c>
      <c r="I796" s="0" t="s">
        <v>2669</v>
      </c>
      <c r="J796" s="0" t="s">
        <v>2670</v>
      </c>
      <c r="K796" s="0" t="s">
        <v>2671</v>
      </c>
      <c r="L796" s="0" t="str">
        <f aca="false">HYPERLINK("https://www.ncbi.nlm.nih.gov/nuccore/CP000058.1?report=graph&amp;tracks=[key:gene_model_track,Options:GeneOnly]&amp;mk=262507:262526|offset_9|00cc00,262551:262570|offset_53|444444,262601:262620|offset_103|444444,262634:262653|offset_136|444444&amp;v=262306:262853&amp;c=444444", "offset 9")</f>
        <v>offset 9</v>
      </c>
    </row>
    <row r="797" customFormat="false" ht="12.8" hidden="false" customHeight="false" outlineLevel="0" collapsed="false">
      <c r="A797" s="0" t="s">
        <v>12</v>
      </c>
      <c r="B797" s="0" t="n">
        <v>262550</v>
      </c>
      <c r="C797" s="0" t="n">
        <v>262570</v>
      </c>
      <c r="D797" s="0" t="s">
        <v>2667</v>
      </c>
      <c r="E797" s="0" t="s">
        <v>2668</v>
      </c>
      <c r="F797" s="0" t="s">
        <v>15</v>
      </c>
      <c r="G797" s="0" t="s">
        <v>32</v>
      </c>
      <c r="H797" s="0" t="n">
        <v>53</v>
      </c>
      <c r="I797" s="0" t="s">
        <v>2672</v>
      </c>
      <c r="J797" s="0" t="s">
        <v>2673</v>
      </c>
      <c r="K797" s="0" t="s">
        <v>2674</v>
      </c>
      <c r="L797" s="0" t="str">
        <f aca="false">HYPERLINK("https://www.ncbi.nlm.nih.gov/nuccore/CP000058.1?report=graph&amp;tracks=[key:gene_model_track,Options:GeneOnly]&amp;mk=262507:262526|offset_9|444444,262551:262570|offset_53|00cc00,262601:262620|offset_103|444444,262634:262653|offset_136|444444&amp;v=262306:262853&amp;c=444444", "offset 53")</f>
        <v>offset 53</v>
      </c>
    </row>
    <row r="798" customFormat="false" ht="12.8" hidden="false" customHeight="false" outlineLevel="0" collapsed="false">
      <c r="A798" s="0" t="s">
        <v>12</v>
      </c>
      <c r="B798" s="0" t="n">
        <v>262600</v>
      </c>
      <c r="C798" s="0" t="n">
        <v>262620</v>
      </c>
      <c r="D798" s="0" t="s">
        <v>2667</v>
      </c>
      <c r="E798" s="0" t="s">
        <v>2668</v>
      </c>
      <c r="F798" s="0" t="s">
        <v>15</v>
      </c>
      <c r="G798" s="0" t="s">
        <v>16</v>
      </c>
      <c r="H798" s="0" t="n">
        <v>103</v>
      </c>
      <c r="I798" s="0" t="s">
        <v>2675</v>
      </c>
      <c r="J798" s="0" t="s">
        <v>2676</v>
      </c>
      <c r="K798" s="0" t="s">
        <v>2677</v>
      </c>
      <c r="L798" s="0" t="str">
        <f aca="false">HYPERLINK("https://www.ncbi.nlm.nih.gov/nuccore/CP000058.1?report=graph&amp;tracks=[key:gene_model_track,Options:GeneOnly]&amp;mk=262507:262526|offset_9|444444,262551:262570|offset_53|444444,262601:262620|offset_103|00cc00,262634:262653|offset_136|444444&amp;v=262306:262853&amp;c=444444", "offset 103")</f>
        <v>offset 103</v>
      </c>
    </row>
    <row r="799" customFormat="false" ht="12.8" hidden="false" customHeight="false" outlineLevel="0" collapsed="false">
      <c r="A799" s="0" t="s">
        <v>12</v>
      </c>
      <c r="B799" s="0" t="n">
        <v>262633</v>
      </c>
      <c r="C799" s="0" t="n">
        <v>262653</v>
      </c>
      <c r="D799" s="0" t="s">
        <v>2667</v>
      </c>
      <c r="E799" s="0" t="s">
        <v>2668</v>
      </c>
      <c r="F799" s="0" t="s">
        <v>15</v>
      </c>
      <c r="G799" s="0" t="s">
        <v>36</v>
      </c>
      <c r="H799" s="0" t="n">
        <v>136</v>
      </c>
      <c r="I799" s="0" t="s">
        <v>2678</v>
      </c>
      <c r="J799" s="0" t="s">
        <v>2679</v>
      </c>
      <c r="K799" s="0" t="s">
        <v>2680</v>
      </c>
      <c r="L799" s="0" t="str">
        <f aca="false">HYPERLINK("https://www.ncbi.nlm.nih.gov/nuccore/CP000058.1?report=graph&amp;tracks=[key:gene_model_track,Options:GeneOnly]&amp;mk=262507:262526|offset_9|444444,262551:262570|offset_53|444444,262601:262620|offset_103|444444,262634:262653|offset_136|00cc00&amp;v=262306:262853&amp;c=444444", "offset 136")</f>
        <v>offset 136</v>
      </c>
    </row>
    <row r="800" customFormat="false" ht="12.8" hidden="false" customHeight="false" outlineLevel="0" collapsed="false">
      <c r="A800" s="0" t="s">
        <v>12</v>
      </c>
      <c r="B800" s="0" t="n">
        <v>263742</v>
      </c>
      <c r="C800" s="0" t="n">
        <v>263762</v>
      </c>
      <c r="D800" s="0" t="s">
        <v>2681</v>
      </c>
      <c r="E800" s="0" t="s">
        <v>75</v>
      </c>
      <c r="F800" s="0" t="s">
        <v>15</v>
      </c>
      <c r="G800" s="0" t="s">
        <v>20</v>
      </c>
      <c r="H800" s="0" t="n">
        <v>47</v>
      </c>
      <c r="I800" s="0" t="s">
        <v>2682</v>
      </c>
      <c r="J800" s="0" t="s">
        <v>2683</v>
      </c>
      <c r="K800" s="0" t="s">
        <v>2684</v>
      </c>
      <c r="L800" s="0" t="str">
        <f aca="false">HYPERLINK("https://www.ncbi.nlm.nih.gov/nuccore/CP000058.1?report=graph&amp;tracks=[key:gene_model_track,Options:GeneOnly]&amp;mk=263743:263762|offset_47|00cc00,263763:263782|offset_67|444444,263790:263809|offset_94|444444,263821:263840|offset_125|444444&amp;v=263542:264040&amp;c=444444", "offset 47")</f>
        <v>offset 47</v>
      </c>
    </row>
    <row r="801" customFormat="false" ht="12.8" hidden="false" customHeight="false" outlineLevel="0" collapsed="false">
      <c r="A801" s="0" t="s">
        <v>12</v>
      </c>
      <c r="B801" s="0" t="n">
        <v>263762</v>
      </c>
      <c r="C801" s="0" t="n">
        <v>263782</v>
      </c>
      <c r="D801" s="0" t="s">
        <v>2681</v>
      </c>
      <c r="E801" s="0" t="s">
        <v>75</v>
      </c>
      <c r="F801" s="0" t="s">
        <v>15</v>
      </c>
      <c r="G801" s="0" t="s">
        <v>32</v>
      </c>
      <c r="H801" s="0" t="n">
        <v>67</v>
      </c>
      <c r="I801" s="0" t="s">
        <v>2685</v>
      </c>
      <c r="J801" s="0" t="s">
        <v>2686</v>
      </c>
      <c r="K801" s="0" t="s">
        <v>2687</v>
      </c>
      <c r="L801" s="0" t="str">
        <f aca="false">HYPERLINK("https://www.ncbi.nlm.nih.gov/nuccore/CP000058.1?report=graph&amp;tracks=[key:gene_model_track,Options:GeneOnly]&amp;mk=263743:263762|offset_47|444444,263763:263782|offset_67|00cc00,263790:263809|offset_94|444444,263821:263840|offset_125|444444&amp;v=263542:264040&amp;c=444444", "offset 67")</f>
        <v>offset 67</v>
      </c>
    </row>
    <row r="802" customFormat="false" ht="12.8" hidden="false" customHeight="false" outlineLevel="0" collapsed="false">
      <c r="A802" s="0" t="s">
        <v>12</v>
      </c>
      <c r="B802" s="0" t="n">
        <v>263789</v>
      </c>
      <c r="C802" s="0" t="n">
        <v>263809</v>
      </c>
      <c r="D802" s="0" t="s">
        <v>2681</v>
      </c>
      <c r="E802" s="0" t="s">
        <v>75</v>
      </c>
      <c r="F802" s="0" t="s">
        <v>15</v>
      </c>
      <c r="G802" s="0" t="s">
        <v>32</v>
      </c>
      <c r="H802" s="0" t="n">
        <v>94</v>
      </c>
      <c r="I802" s="0" t="s">
        <v>2688</v>
      </c>
      <c r="J802" s="0" t="s">
        <v>2689</v>
      </c>
      <c r="K802" s="0" t="s">
        <v>2690</v>
      </c>
      <c r="L802" s="0" t="str">
        <f aca="false">HYPERLINK("https://www.ncbi.nlm.nih.gov/nuccore/CP000058.1?report=graph&amp;tracks=[key:gene_model_track,Options:GeneOnly]&amp;mk=263743:263762|offset_47|444444,263763:263782|offset_67|444444,263790:263809|offset_94|00cc00,263821:263840|offset_125|444444&amp;v=263542:264040&amp;c=444444", "offset 94")</f>
        <v>offset 94</v>
      </c>
    </row>
    <row r="803" customFormat="false" ht="12.8" hidden="false" customHeight="false" outlineLevel="0" collapsed="false">
      <c r="A803" s="0" t="s">
        <v>12</v>
      </c>
      <c r="B803" s="0" t="n">
        <v>263820</v>
      </c>
      <c r="C803" s="0" t="n">
        <v>263840</v>
      </c>
      <c r="D803" s="0" t="s">
        <v>2681</v>
      </c>
      <c r="E803" s="0" t="s">
        <v>75</v>
      </c>
      <c r="F803" s="0" t="s">
        <v>15</v>
      </c>
      <c r="G803" s="0" t="s">
        <v>36</v>
      </c>
      <c r="H803" s="0" t="n">
        <v>125</v>
      </c>
      <c r="I803" s="0" t="s">
        <v>2691</v>
      </c>
      <c r="J803" s="0" t="s">
        <v>2692</v>
      </c>
      <c r="K803" s="0" t="s">
        <v>2693</v>
      </c>
      <c r="L803" s="0" t="str">
        <f aca="false">HYPERLINK("https://www.ncbi.nlm.nih.gov/nuccore/CP000058.1?report=graph&amp;tracks=[key:gene_model_track,Options:GeneOnly]&amp;mk=263743:263762|offset_47|444444,263763:263782|offset_67|444444,263790:263809|offset_94|444444,263821:263840|offset_125|00cc00&amp;v=263542:264040&amp;c=444444", "offset 125")</f>
        <v>offset 125</v>
      </c>
    </row>
    <row r="804" customFormat="false" ht="12.8" hidden="false" customHeight="false" outlineLevel="0" collapsed="false">
      <c r="A804" s="0" t="s">
        <v>12</v>
      </c>
      <c r="B804" s="0" t="n">
        <v>264281</v>
      </c>
      <c r="C804" s="0" t="n">
        <v>264301</v>
      </c>
      <c r="D804" s="0" t="s">
        <v>2694</v>
      </c>
      <c r="E804" s="0" t="s">
        <v>75</v>
      </c>
      <c r="F804" s="0" t="s">
        <v>15</v>
      </c>
      <c r="G804" s="0" t="s">
        <v>36</v>
      </c>
      <c r="H804" s="0" t="n">
        <v>13</v>
      </c>
      <c r="I804" s="0" t="s">
        <v>2695</v>
      </c>
      <c r="J804" s="0" t="s">
        <v>2696</v>
      </c>
      <c r="K804" s="0" t="s">
        <v>2697</v>
      </c>
      <c r="L804" s="0" t="str">
        <f aca="false">HYPERLINK("https://www.ncbi.nlm.nih.gov/nuccore/CP000058.1?report=graph&amp;tracks=[key:gene_model_track,Options:GeneOnly]&amp;mk=264282:264301|offset_13|00cc00,264342:264361|offset_73|444444,264375:264394|offset_106|444444,264419:264438|offset_150|444444&amp;v=264081:264638&amp;c=444444", "offset 13")</f>
        <v>offset 13</v>
      </c>
    </row>
    <row r="805" customFormat="false" ht="12.8" hidden="false" customHeight="false" outlineLevel="0" collapsed="false">
      <c r="A805" s="0" t="s">
        <v>12</v>
      </c>
      <c r="B805" s="0" t="n">
        <v>264341</v>
      </c>
      <c r="C805" s="0" t="n">
        <v>264361</v>
      </c>
      <c r="D805" s="0" t="s">
        <v>2694</v>
      </c>
      <c r="E805" s="0" t="s">
        <v>75</v>
      </c>
      <c r="F805" s="0" t="s">
        <v>15</v>
      </c>
      <c r="G805" s="0" t="s">
        <v>16</v>
      </c>
      <c r="H805" s="0" t="n">
        <v>73</v>
      </c>
      <c r="I805" s="0" t="s">
        <v>2698</v>
      </c>
      <c r="J805" s="0" t="s">
        <v>2699</v>
      </c>
      <c r="K805" s="0" t="s">
        <v>2700</v>
      </c>
      <c r="L805" s="0" t="str">
        <f aca="false">HYPERLINK("https://www.ncbi.nlm.nih.gov/nuccore/CP000058.1?report=graph&amp;tracks=[key:gene_model_track,Options:GeneOnly]&amp;mk=264282:264301|offset_13|444444,264342:264361|offset_73|00cc00,264375:264394|offset_106|444444,264419:264438|offset_150|444444&amp;v=264081:264638&amp;c=444444", "offset 73")</f>
        <v>offset 73</v>
      </c>
    </row>
    <row r="806" customFormat="false" ht="12.8" hidden="false" customHeight="false" outlineLevel="0" collapsed="false">
      <c r="A806" s="0" t="s">
        <v>12</v>
      </c>
      <c r="B806" s="0" t="n">
        <v>264374</v>
      </c>
      <c r="C806" s="0" t="n">
        <v>264394</v>
      </c>
      <c r="D806" s="0" t="s">
        <v>2694</v>
      </c>
      <c r="E806" s="0" t="s">
        <v>75</v>
      </c>
      <c r="F806" s="0" t="s">
        <v>15</v>
      </c>
      <c r="G806" s="0" t="s">
        <v>16</v>
      </c>
      <c r="H806" s="0" t="n">
        <v>106</v>
      </c>
      <c r="I806" s="0" t="s">
        <v>2701</v>
      </c>
      <c r="J806" s="0" t="s">
        <v>2702</v>
      </c>
      <c r="K806" s="0" t="s">
        <v>2703</v>
      </c>
      <c r="L806" s="0" t="str">
        <f aca="false">HYPERLINK("https://www.ncbi.nlm.nih.gov/nuccore/CP000058.1?report=graph&amp;tracks=[key:gene_model_track,Options:GeneOnly]&amp;mk=264282:264301|offset_13|444444,264342:264361|offset_73|444444,264375:264394|offset_106|00cc00,264419:264438|offset_150|444444&amp;v=264081:264638&amp;c=444444", "offset 106")</f>
        <v>offset 106</v>
      </c>
    </row>
    <row r="807" customFormat="false" ht="12.8" hidden="false" customHeight="false" outlineLevel="0" collapsed="false">
      <c r="A807" s="0" t="s">
        <v>12</v>
      </c>
      <c r="B807" s="0" t="n">
        <v>264418</v>
      </c>
      <c r="C807" s="0" t="n">
        <v>264438</v>
      </c>
      <c r="D807" s="0" t="s">
        <v>2694</v>
      </c>
      <c r="E807" s="0" t="s">
        <v>75</v>
      </c>
      <c r="F807" s="0" t="s">
        <v>15</v>
      </c>
      <c r="G807" s="0" t="s">
        <v>16</v>
      </c>
      <c r="H807" s="0" t="n">
        <v>150</v>
      </c>
      <c r="I807" s="0" t="s">
        <v>2704</v>
      </c>
      <c r="J807" s="0" t="s">
        <v>2705</v>
      </c>
      <c r="K807" s="0" t="s">
        <v>2706</v>
      </c>
      <c r="L807" s="0" t="str">
        <f aca="false">HYPERLINK("https://www.ncbi.nlm.nih.gov/nuccore/CP000058.1?report=graph&amp;tracks=[key:gene_model_track,Options:GeneOnly]&amp;mk=264282:264301|offset_13|444444,264342:264361|offset_73|444444,264375:264394|offset_106|444444,264419:264438|offset_150|00cc00&amp;v=264081:264638&amp;c=444444", "offset 150")</f>
        <v>offset 150</v>
      </c>
    </row>
    <row r="808" customFormat="false" ht="12.8" hidden="false" customHeight="false" outlineLevel="0" collapsed="false">
      <c r="A808" s="0" t="s">
        <v>12</v>
      </c>
      <c r="B808" s="0" t="n">
        <v>264729</v>
      </c>
      <c r="C808" s="0" t="n">
        <v>264749</v>
      </c>
      <c r="D808" s="0" t="s">
        <v>2707</v>
      </c>
      <c r="E808" s="0" t="s">
        <v>75</v>
      </c>
      <c r="F808" s="0" t="s">
        <v>90</v>
      </c>
      <c r="G808" s="0" t="s">
        <v>32</v>
      </c>
      <c r="H808" s="0" t="n">
        <v>26</v>
      </c>
      <c r="I808" s="0" t="s">
        <v>2708</v>
      </c>
      <c r="J808" s="0" t="s">
        <v>2709</v>
      </c>
      <c r="K808" s="0" t="s">
        <v>2710</v>
      </c>
      <c r="L808" s="0" t="str">
        <f aca="false">HYPERLINK("https://www.ncbi.nlm.nih.gov/nuccore/CP000058.1?report=graph&amp;tracks=[key:gene_model_track,Options:GeneOnly]&amp;mk=264730:264749|offset_26|00cc00,264684:264703|offset_72|444444&amp;v=264529:264903&amp;c=444444", "offset 26")</f>
        <v>offset 26</v>
      </c>
    </row>
    <row r="809" customFormat="false" ht="12.8" hidden="false" customHeight="false" outlineLevel="0" collapsed="false">
      <c r="A809" s="0" t="s">
        <v>12</v>
      </c>
      <c r="B809" s="0" t="n">
        <v>264683</v>
      </c>
      <c r="C809" s="0" t="n">
        <v>264703</v>
      </c>
      <c r="D809" s="0" t="s">
        <v>2707</v>
      </c>
      <c r="E809" s="0" t="s">
        <v>75</v>
      </c>
      <c r="F809" s="0" t="s">
        <v>90</v>
      </c>
      <c r="G809" s="0" t="s">
        <v>36</v>
      </c>
      <c r="H809" s="0" t="n">
        <v>72</v>
      </c>
      <c r="I809" s="0" t="s">
        <v>2711</v>
      </c>
      <c r="J809" s="0" t="s">
        <v>2712</v>
      </c>
      <c r="K809" s="0" t="s">
        <v>2713</v>
      </c>
      <c r="L809" s="0" t="str">
        <f aca="false">HYPERLINK("https://www.ncbi.nlm.nih.gov/nuccore/CP000058.1?report=graph&amp;tracks=[key:gene_model_track,Options:GeneOnly]&amp;mk=264730:264749|offset_26|444444,264684:264703|offset_72|00cc00&amp;v=264529:264903&amp;c=444444", "offset 72")</f>
        <v>offset 72</v>
      </c>
    </row>
    <row r="810" customFormat="false" ht="12.8" hidden="false" customHeight="false" outlineLevel="0" collapsed="false">
      <c r="A810" s="0" t="s">
        <v>12</v>
      </c>
      <c r="B810" s="0" t="n">
        <v>264934</v>
      </c>
      <c r="C810" s="0" t="n">
        <v>264954</v>
      </c>
      <c r="D810" s="0" t="s">
        <v>2714</v>
      </c>
      <c r="E810" s="0" t="s">
        <v>75</v>
      </c>
      <c r="F810" s="0" t="s">
        <v>15</v>
      </c>
      <c r="G810" s="0" t="s">
        <v>16</v>
      </c>
      <c r="H810" s="0" t="n">
        <v>24</v>
      </c>
      <c r="I810" s="0" t="s">
        <v>2715</v>
      </c>
      <c r="J810" s="0" t="s">
        <v>2716</v>
      </c>
      <c r="K810" s="0" t="s">
        <v>2717</v>
      </c>
      <c r="L810" s="0" t="str">
        <f aca="false">HYPERLINK("https://www.ncbi.nlm.nih.gov/nuccore/CP000058.1?report=graph&amp;tracks=[key:gene_model_track,Options:GeneOnly]&amp;mk=264935:264954|offset_24|00cc00,264965:264984|offset_54|444444,265007:265026|offset_96|444444,265043:265062|offset_132|444444&amp;v=264734:265262&amp;c=444444", "offset 24")</f>
        <v>offset 24</v>
      </c>
    </row>
    <row r="811" customFormat="false" ht="12.8" hidden="false" customHeight="false" outlineLevel="0" collapsed="false">
      <c r="A811" s="0" t="s">
        <v>12</v>
      </c>
      <c r="B811" s="0" t="n">
        <v>264964</v>
      </c>
      <c r="C811" s="0" t="n">
        <v>264984</v>
      </c>
      <c r="D811" s="0" t="s">
        <v>2714</v>
      </c>
      <c r="E811" s="0" t="s">
        <v>75</v>
      </c>
      <c r="F811" s="0" t="s">
        <v>15</v>
      </c>
      <c r="G811" s="0" t="s">
        <v>16</v>
      </c>
      <c r="H811" s="0" t="n">
        <v>54</v>
      </c>
      <c r="I811" s="0" t="s">
        <v>2718</v>
      </c>
      <c r="J811" s="0" t="s">
        <v>2719</v>
      </c>
      <c r="K811" s="0" t="s">
        <v>2720</v>
      </c>
      <c r="L811" s="0" t="str">
        <f aca="false">HYPERLINK("https://www.ncbi.nlm.nih.gov/nuccore/CP000058.1?report=graph&amp;tracks=[key:gene_model_track,Options:GeneOnly]&amp;mk=264935:264954|offset_24|444444,264965:264984|offset_54|00cc00,265007:265026|offset_96|444444,265043:265062|offset_132|444444&amp;v=264734:265262&amp;c=444444", "offset 54")</f>
        <v>offset 54</v>
      </c>
    </row>
    <row r="812" customFormat="false" ht="12.8" hidden="false" customHeight="false" outlineLevel="0" collapsed="false">
      <c r="A812" s="0" t="s">
        <v>12</v>
      </c>
      <c r="B812" s="0" t="n">
        <v>265006</v>
      </c>
      <c r="C812" s="0" t="n">
        <v>265026</v>
      </c>
      <c r="D812" s="0" t="s">
        <v>2714</v>
      </c>
      <c r="E812" s="0" t="s">
        <v>75</v>
      </c>
      <c r="F812" s="0" t="s">
        <v>15</v>
      </c>
      <c r="G812" s="0" t="s">
        <v>32</v>
      </c>
      <c r="H812" s="0" t="n">
        <v>96</v>
      </c>
      <c r="I812" s="0" t="s">
        <v>2721</v>
      </c>
      <c r="J812" s="0" t="s">
        <v>2722</v>
      </c>
      <c r="K812" s="0" t="s">
        <v>2723</v>
      </c>
      <c r="L812" s="0" t="str">
        <f aca="false">HYPERLINK("https://www.ncbi.nlm.nih.gov/nuccore/CP000058.1?report=graph&amp;tracks=[key:gene_model_track,Options:GeneOnly]&amp;mk=264935:264954|offset_24|444444,264965:264984|offset_54|444444,265007:265026|offset_96|00cc00,265043:265062|offset_132|444444&amp;v=264734:265262&amp;c=444444", "offset 96")</f>
        <v>offset 96</v>
      </c>
    </row>
    <row r="813" customFormat="false" ht="12.8" hidden="false" customHeight="false" outlineLevel="0" collapsed="false">
      <c r="A813" s="0" t="s">
        <v>12</v>
      </c>
      <c r="B813" s="0" t="n">
        <v>265042</v>
      </c>
      <c r="C813" s="0" t="n">
        <v>265062</v>
      </c>
      <c r="D813" s="0" t="s">
        <v>2714</v>
      </c>
      <c r="E813" s="0" t="s">
        <v>75</v>
      </c>
      <c r="F813" s="0" t="s">
        <v>15</v>
      </c>
      <c r="G813" s="0" t="s">
        <v>16</v>
      </c>
      <c r="H813" s="0" t="n">
        <v>132</v>
      </c>
      <c r="I813" s="0" t="s">
        <v>2724</v>
      </c>
      <c r="J813" s="0" t="s">
        <v>2725</v>
      </c>
      <c r="K813" s="0" t="s">
        <v>2726</v>
      </c>
      <c r="L813" s="0" t="str">
        <f aca="false">HYPERLINK("https://www.ncbi.nlm.nih.gov/nuccore/CP000058.1?report=graph&amp;tracks=[key:gene_model_track,Options:GeneOnly]&amp;mk=264935:264954|offset_24|444444,264965:264984|offset_54|444444,265007:265026|offset_96|444444,265043:265062|offset_132|00cc00&amp;v=264734:265262&amp;c=444444", "offset 132")</f>
        <v>offset 132</v>
      </c>
    </row>
    <row r="814" customFormat="false" ht="12.8" hidden="false" customHeight="false" outlineLevel="0" collapsed="false">
      <c r="A814" s="0" t="s">
        <v>12</v>
      </c>
      <c r="B814" s="0" t="n">
        <v>267169</v>
      </c>
      <c r="C814" s="0" t="n">
        <v>267189</v>
      </c>
      <c r="D814" s="0" t="s">
        <v>2727</v>
      </c>
      <c r="E814" s="0" t="s">
        <v>75</v>
      </c>
      <c r="F814" s="0" t="s">
        <v>90</v>
      </c>
      <c r="G814" s="0" t="s">
        <v>36</v>
      </c>
      <c r="H814" s="0" t="n">
        <v>10</v>
      </c>
      <c r="I814" s="0" t="s">
        <v>2728</v>
      </c>
      <c r="J814" s="0" t="s">
        <v>2729</v>
      </c>
      <c r="K814" s="0" t="s">
        <v>2730</v>
      </c>
      <c r="L814" s="0" t="str">
        <f aca="false">HYPERLINK("https://www.ncbi.nlm.nih.gov/nuccore/CP000058.1?report=graph&amp;tracks=[key:gene_model_track,Options:GeneOnly]&amp;mk=267170:267189|offset_10|00cc00,267133:267152|offset_47|444444,267093:267112|offset_87|444444,267054:267073|offset_126|444444&amp;v=266969:267273&amp;c=444444", "offset 10")</f>
        <v>offset 10</v>
      </c>
    </row>
    <row r="815" customFormat="false" ht="12.8" hidden="false" customHeight="false" outlineLevel="0" collapsed="false">
      <c r="A815" s="0" t="s">
        <v>12</v>
      </c>
      <c r="B815" s="0" t="n">
        <v>267132</v>
      </c>
      <c r="C815" s="0" t="n">
        <v>267152</v>
      </c>
      <c r="D815" s="0" t="s">
        <v>2727</v>
      </c>
      <c r="E815" s="0" t="s">
        <v>75</v>
      </c>
      <c r="F815" s="0" t="s">
        <v>90</v>
      </c>
      <c r="G815" s="0" t="s">
        <v>16</v>
      </c>
      <c r="H815" s="0" t="n">
        <v>47</v>
      </c>
      <c r="I815" s="0" t="s">
        <v>2731</v>
      </c>
      <c r="J815" s="0" t="s">
        <v>2732</v>
      </c>
      <c r="K815" s="0" t="s">
        <v>2733</v>
      </c>
      <c r="L815" s="0" t="str">
        <f aca="false">HYPERLINK("https://www.ncbi.nlm.nih.gov/nuccore/CP000058.1?report=graph&amp;tracks=[key:gene_model_track,Options:GeneOnly]&amp;mk=267170:267189|offset_10|444444,267133:267152|offset_47|00cc00,267093:267112|offset_87|444444,267054:267073|offset_126|444444&amp;v=266969:267273&amp;c=444444", "offset 47")</f>
        <v>offset 47</v>
      </c>
    </row>
    <row r="816" customFormat="false" ht="12.8" hidden="false" customHeight="false" outlineLevel="0" collapsed="false">
      <c r="A816" s="0" t="s">
        <v>12</v>
      </c>
      <c r="B816" s="0" t="n">
        <v>267092</v>
      </c>
      <c r="C816" s="0" t="n">
        <v>267112</v>
      </c>
      <c r="D816" s="0" t="s">
        <v>2727</v>
      </c>
      <c r="E816" s="0" t="s">
        <v>75</v>
      </c>
      <c r="F816" s="0" t="s">
        <v>90</v>
      </c>
      <c r="G816" s="0" t="s">
        <v>32</v>
      </c>
      <c r="H816" s="0" t="n">
        <v>87</v>
      </c>
      <c r="I816" s="0" t="s">
        <v>2734</v>
      </c>
      <c r="J816" s="0" t="s">
        <v>2735</v>
      </c>
      <c r="K816" s="0" t="s">
        <v>2736</v>
      </c>
      <c r="L816" s="0" t="str">
        <f aca="false">HYPERLINK("https://www.ncbi.nlm.nih.gov/nuccore/CP000058.1?report=graph&amp;tracks=[key:gene_model_track,Options:GeneOnly]&amp;mk=267170:267189|offset_10|444444,267133:267152|offset_47|444444,267093:267112|offset_87|00cc00,267054:267073|offset_126|444444&amp;v=266969:267273&amp;c=444444", "offset 87")</f>
        <v>offset 87</v>
      </c>
    </row>
    <row r="817" customFormat="false" ht="12.8" hidden="false" customHeight="false" outlineLevel="0" collapsed="false">
      <c r="A817" s="0" t="s">
        <v>12</v>
      </c>
      <c r="B817" s="0" t="n">
        <v>267053</v>
      </c>
      <c r="C817" s="0" t="n">
        <v>267073</v>
      </c>
      <c r="D817" s="0" t="s">
        <v>2727</v>
      </c>
      <c r="E817" s="0" t="s">
        <v>75</v>
      </c>
      <c r="F817" s="0" t="s">
        <v>90</v>
      </c>
      <c r="G817" s="0" t="s">
        <v>16</v>
      </c>
      <c r="H817" s="0" t="n">
        <v>126</v>
      </c>
      <c r="I817" s="0" t="s">
        <v>2737</v>
      </c>
      <c r="J817" s="0" t="s">
        <v>2738</v>
      </c>
      <c r="K817" s="0" t="s">
        <v>2739</v>
      </c>
      <c r="L817" s="0" t="str">
        <f aca="false">HYPERLINK("https://www.ncbi.nlm.nih.gov/nuccore/CP000058.1?report=graph&amp;tracks=[key:gene_model_track,Options:GeneOnly]&amp;mk=267170:267189|offset_10|444444,267133:267152|offset_47|444444,267093:267112|offset_87|444444,267054:267073|offset_126|00cc00&amp;v=266969:267273&amp;c=444444", "offset 126")</f>
        <v>offset 126</v>
      </c>
    </row>
    <row r="818" customFormat="false" ht="12.8" hidden="false" customHeight="false" outlineLevel="0" collapsed="false">
      <c r="A818" s="0" t="s">
        <v>12</v>
      </c>
      <c r="B818" s="0" t="n">
        <v>267320</v>
      </c>
      <c r="C818" s="0" t="n">
        <v>267340</v>
      </c>
      <c r="D818" s="0" t="s">
        <v>2740</v>
      </c>
      <c r="E818" s="0" t="s">
        <v>75</v>
      </c>
      <c r="F818" s="0" t="s">
        <v>15</v>
      </c>
      <c r="G818" s="0" t="s">
        <v>16</v>
      </c>
      <c r="H818" s="0" t="n">
        <v>40</v>
      </c>
      <c r="I818" s="0" t="s">
        <v>2741</v>
      </c>
      <c r="J818" s="0" t="s">
        <v>2742</v>
      </c>
      <c r="K818" s="0" t="s">
        <v>2743</v>
      </c>
      <c r="L818" s="0" t="str">
        <f aca="false">HYPERLINK("https://www.ncbi.nlm.nih.gov/nuccore/CP000058.1?report=graph&amp;tracks=[key:gene_model_track,Options:GeneOnly]&amp;mk=267321:267340|offset_40|00cc00,267344:267363|offset_63|444444,267382:267401|offset_101|444444,267431:267450|offset_150|444444&amp;v=267120:267650&amp;c=444444", "offset 40")</f>
        <v>offset 40</v>
      </c>
    </row>
    <row r="819" customFormat="false" ht="12.8" hidden="false" customHeight="false" outlineLevel="0" collapsed="false">
      <c r="A819" s="0" t="s">
        <v>12</v>
      </c>
      <c r="B819" s="0" t="n">
        <v>267343</v>
      </c>
      <c r="C819" s="0" t="n">
        <v>267363</v>
      </c>
      <c r="D819" s="0" t="s">
        <v>2740</v>
      </c>
      <c r="E819" s="0" t="s">
        <v>75</v>
      </c>
      <c r="F819" s="0" t="s">
        <v>15</v>
      </c>
      <c r="G819" s="0" t="s">
        <v>20</v>
      </c>
      <c r="H819" s="0" t="n">
        <v>63</v>
      </c>
      <c r="I819" s="0" t="s">
        <v>2744</v>
      </c>
      <c r="J819" s="0" t="s">
        <v>2745</v>
      </c>
      <c r="K819" s="0" t="s">
        <v>2746</v>
      </c>
      <c r="L819" s="0" t="str">
        <f aca="false">HYPERLINK("https://www.ncbi.nlm.nih.gov/nuccore/CP000058.1?report=graph&amp;tracks=[key:gene_model_track,Options:GeneOnly]&amp;mk=267321:267340|offset_40|444444,267344:267363|offset_63|00cc00,267382:267401|offset_101|444444,267431:267450|offset_150|444444&amp;v=267120:267650&amp;c=444444", "offset 63")</f>
        <v>offset 63</v>
      </c>
    </row>
    <row r="820" customFormat="false" ht="12.8" hidden="false" customHeight="false" outlineLevel="0" collapsed="false">
      <c r="A820" s="0" t="s">
        <v>12</v>
      </c>
      <c r="B820" s="0" t="n">
        <v>267381</v>
      </c>
      <c r="C820" s="0" t="n">
        <v>267401</v>
      </c>
      <c r="D820" s="0" t="s">
        <v>2740</v>
      </c>
      <c r="E820" s="0" t="s">
        <v>75</v>
      </c>
      <c r="F820" s="0" t="s">
        <v>15</v>
      </c>
      <c r="G820" s="0" t="s">
        <v>32</v>
      </c>
      <c r="H820" s="0" t="n">
        <v>101</v>
      </c>
      <c r="I820" s="0" t="s">
        <v>2747</v>
      </c>
      <c r="J820" s="0" t="s">
        <v>2748</v>
      </c>
      <c r="K820" s="0" t="s">
        <v>2749</v>
      </c>
      <c r="L820" s="0" t="str">
        <f aca="false">HYPERLINK("https://www.ncbi.nlm.nih.gov/nuccore/CP000058.1?report=graph&amp;tracks=[key:gene_model_track,Options:GeneOnly]&amp;mk=267321:267340|offset_40|444444,267344:267363|offset_63|444444,267382:267401|offset_101|00cc00,267431:267450|offset_150|444444&amp;v=267120:267650&amp;c=444444", "offset 101")</f>
        <v>offset 101</v>
      </c>
    </row>
    <row r="821" customFormat="false" ht="12.8" hidden="false" customHeight="false" outlineLevel="0" collapsed="false">
      <c r="A821" s="0" t="s">
        <v>12</v>
      </c>
      <c r="B821" s="0" t="n">
        <v>267430</v>
      </c>
      <c r="C821" s="0" t="n">
        <v>267450</v>
      </c>
      <c r="D821" s="0" t="s">
        <v>2740</v>
      </c>
      <c r="E821" s="0" t="s">
        <v>75</v>
      </c>
      <c r="F821" s="0" t="s">
        <v>15</v>
      </c>
      <c r="G821" s="0" t="s">
        <v>20</v>
      </c>
      <c r="H821" s="0" t="n">
        <v>150</v>
      </c>
      <c r="I821" s="0" t="s">
        <v>2750</v>
      </c>
      <c r="J821" s="0" t="s">
        <v>2751</v>
      </c>
      <c r="K821" s="0" t="s">
        <v>2752</v>
      </c>
      <c r="L821" s="0" t="str">
        <f aca="false">HYPERLINK("https://www.ncbi.nlm.nih.gov/nuccore/CP000058.1?report=graph&amp;tracks=[key:gene_model_track,Options:GeneOnly]&amp;mk=267321:267340|offset_40|444444,267344:267363|offset_63|444444,267382:267401|offset_101|444444,267431:267450|offset_150|00cc00&amp;v=267120:267650&amp;c=444444", "offset 150")</f>
        <v>offset 150</v>
      </c>
    </row>
    <row r="822" customFormat="false" ht="12.8" hidden="false" customHeight="false" outlineLevel="0" collapsed="false">
      <c r="A822" s="0" t="s">
        <v>12</v>
      </c>
      <c r="B822" s="0" t="n">
        <v>268097</v>
      </c>
      <c r="C822" s="0" t="n">
        <v>268117</v>
      </c>
      <c r="D822" s="0" t="s">
        <v>2753</v>
      </c>
      <c r="E822" s="0" t="s">
        <v>75</v>
      </c>
      <c r="F822" s="0" t="s">
        <v>15</v>
      </c>
      <c r="G822" s="0" t="s">
        <v>16</v>
      </c>
      <c r="H822" s="0" t="n">
        <v>0</v>
      </c>
      <c r="I822" s="0" t="s">
        <v>2754</v>
      </c>
      <c r="J822" s="0" t="s">
        <v>2755</v>
      </c>
      <c r="K822" s="0" t="s">
        <v>2756</v>
      </c>
      <c r="L822" s="0" t="str">
        <f aca="false">HYPERLINK("https://www.ncbi.nlm.nih.gov/nuccore/CP000058.1?report=graph&amp;tracks=[key:gene_model_track,Options:GeneOnly]&amp;mk=268098:268117|offset_0|00cc00,268156:268175|offset_58|444444,268192:268211|offset_94|444444,268215:268234|offset_117|444444&amp;v=267897:268434&amp;c=444444", "offset 0")</f>
        <v>offset 0</v>
      </c>
    </row>
    <row r="823" customFormat="false" ht="12.8" hidden="false" customHeight="false" outlineLevel="0" collapsed="false">
      <c r="A823" s="0" t="s">
        <v>12</v>
      </c>
      <c r="B823" s="0" t="n">
        <v>268155</v>
      </c>
      <c r="C823" s="0" t="n">
        <v>268175</v>
      </c>
      <c r="D823" s="0" t="s">
        <v>2753</v>
      </c>
      <c r="E823" s="0" t="s">
        <v>75</v>
      </c>
      <c r="F823" s="0" t="s">
        <v>15</v>
      </c>
      <c r="G823" s="0" t="s">
        <v>16</v>
      </c>
      <c r="H823" s="0" t="n">
        <v>58</v>
      </c>
      <c r="I823" s="0" t="s">
        <v>2757</v>
      </c>
      <c r="J823" s="0" t="s">
        <v>2758</v>
      </c>
      <c r="K823" s="0" t="s">
        <v>2759</v>
      </c>
      <c r="L823" s="0" t="str">
        <f aca="false">HYPERLINK("https://www.ncbi.nlm.nih.gov/nuccore/CP000058.1?report=graph&amp;tracks=[key:gene_model_track,Options:GeneOnly]&amp;mk=268098:268117|offset_0|444444,268156:268175|offset_58|00cc00,268192:268211|offset_94|444444,268215:268234|offset_117|444444&amp;v=267897:268434&amp;c=444444", "offset 58")</f>
        <v>offset 58</v>
      </c>
    </row>
    <row r="824" customFormat="false" ht="12.8" hidden="false" customHeight="false" outlineLevel="0" collapsed="false">
      <c r="A824" s="0" t="s">
        <v>12</v>
      </c>
      <c r="B824" s="0" t="n">
        <v>268191</v>
      </c>
      <c r="C824" s="0" t="n">
        <v>268211</v>
      </c>
      <c r="D824" s="0" t="s">
        <v>2753</v>
      </c>
      <c r="E824" s="0" t="s">
        <v>75</v>
      </c>
      <c r="F824" s="0" t="s">
        <v>15</v>
      </c>
      <c r="G824" s="0" t="s">
        <v>36</v>
      </c>
      <c r="H824" s="0" t="n">
        <v>94</v>
      </c>
      <c r="I824" s="0" t="s">
        <v>2760</v>
      </c>
      <c r="J824" s="0" t="s">
        <v>2761</v>
      </c>
      <c r="K824" s="0" t="s">
        <v>2762</v>
      </c>
      <c r="L824" s="0" t="str">
        <f aca="false">HYPERLINK("https://www.ncbi.nlm.nih.gov/nuccore/CP000058.1?report=graph&amp;tracks=[key:gene_model_track,Options:GeneOnly]&amp;mk=268098:268117|offset_0|444444,268156:268175|offset_58|444444,268192:268211|offset_94|00cc00,268215:268234|offset_117|444444&amp;v=267897:268434&amp;c=444444", "offset 94")</f>
        <v>offset 94</v>
      </c>
    </row>
    <row r="825" customFormat="false" ht="12.8" hidden="false" customHeight="false" outlineLevel="0" collapsed="false">
      <c r="A825" s="0" t="s">
        <v>12</v>
      </c>
      <c r="B825" s="0" t="n">
        <v>268214</v>
      </c>
      <c r="C825" s="0" t="n">
        <v>268234</v>
      </c>
      <c r="D825" s="0" t="s">
        <v>2753</v>
      </c>
      <c r="E825" s="0" t="s">
        <v>75</v>
      </c>
      <c r="F825" s="0" t="s">
        <v>15</v>
      </c>
      <c r="G825" s="0" t="s">
        <v>16</v>
      </c>
      <c r="H825" s="0" t="n">
        <v>117</v>
      </c>
      <c r="I825" s="0" t="s">
        <v>2763</v>
      </c>
      <c r="J825" s="0" t="s">
        <v>2764</v>
      </c>
      <c r="K825" s="0" t="s">
        <v>2765</v>
      </c>
      <c r="L825" s="0" t="str">
        <f aca="false">HYPERLINK("https://www.ncbi.nlm.nih.gov/nuccore/CP000058.1?report=graph&amp;tracks=[key:gene_model_track,Options:GeneOnly]&amp;mk=268098:268117|offset_0|444444,268156:268175|offset_58|444444,268192:268211|offset_94|444444,268215:268234|offset_117|00cc00&amp;v=267897:268434&amp;c=444444", "offset 117")</f>
        <v>offset 117</v>
      </c>
    </row>
    <row r="826" customFormat="false" ht="12.8" hidden="false" customHeight="false" outlineLevel="0" collapsed="false">
      <c r="A826" s="0" t="s">
        <v>12</v>
      </c>
      <c r="B826" s="0" t="n">
        <v>269370</v>
      </c>
      <c r="C826" s="0" t="n">
        <v>269390</v>
      </c>
      <c r="D826" s="0" t="s">
        <v>2766</v>
      </c>
      <c r="E826" s="0" t="s">
        <v>75</v>
      </c>
      <c r="F826" s="0" t="s">
        <v>15</v>
      </c>
      <c r="G826" s="0" t="s">
        <v>20</v>
      </c>
      <c r="H826" s="0" t="n">
        <v>1</v>
      </c>
      <c r="I826" s="0" t="s">
        <v>2767</v>
      </c>
      <c r="J826" s="0" t="s">
        <v>2768</v>
      </c>
      <c r="K826" s="0" t="s">
        <v>2769</v>
      </c>
      <c r="L826" s="0" t="str">
        <f aca="false">HYPERLINK("https://www.ncbi.nlm.nih.gov/nuccore/CP000058.1?report=graph&amp;tracks=[key:gene_model_track,Options:GeneOnly]&amp;mk=269371:269390|offset_1|00cc00,269393:269412|offset_23|444444,269416:269435|offset_46|444444,269439:269458|offset_69|444444&amp;v=269170:269658&amp;c=444444", "offset 1")</f>
        <v>offset 1</v>
      </c>
    </row>
    <row r="827" customFormat="false" ht="12.8" hidden="false" customHeight="false" outlineLevel="0" collapsed="false">
      <c r="A827" s="0" t="s">
        <v>12</v>
      </c>
      <c r="B827" s="0" t="n">
        <v>269392</v>
      </c>
      <c r="C827" s="0" t="n">
        <v>269412</v>
      </c>
      <c r="D827" s="0" t="s">
        <v>2766</v>
      </c>
      <c r="E827" s="0" t="s">
        <v>75</v>
      </c>
      <c r="F827" s="0" t="s">
        <v>15</v>
      </c>
      <c r="G827" s="0" t="s">
        <v>16</v>
      </c>
      <c r="H827" s="0" t="n">
        <v>23</v>
      </c>
      <c r="I827" s="0" t="s">
        <v>2770</v>
      </c>
      <c r="J827" s="0" t="s">
        <v>2771</v>
      </c>
      <c r="K827" s="0" t="s">
        <v>2772</v>
      </c>
      <c r="L827" s="0" t="str">
        <f aca="false">HYPERLINK("https://www.ncbi.nlm.nih.gov/nuccore/CP000058.1?report=graph&amp;tracks=[key:gene_model_track,Options:GeneOnly]&amp;mk=269371:269390|offset_1|444444,269393:269412|offset_23|00cc00,269416:269435|offset_46|444444,269439:269458|offset_69|444444&amp;v=269170:269658&amp;c=444444", "offset 23")</f>
        <v>offset 23</v>
      </c>
    </row>
    <row r="828" customFormat="false" ht="12.8" hidden="false" customHeight="false" outlineLevel="0" collapsed="false">
      <c r="A828" s="0" t="s">
        <v>12</v>
      </c>
      <c r="B828" s="0" t="n">
        <v>269415</v>
      </c>
      <c r="C828" s="0" t="n">
        <v>269435</v>
      </c>
      <c r="D828" s="0" t="s">
        <v>2766</v>
      </c>
      <c r="E828" s="0" t="s">
        <v>75</v>
      </c>
      <c r="F828" s="0" t="s">
        <v>15</v>
      </c>
      <c r="G828" s="0" t="s">
        <v>32</v>
      </c>
      <c r="H828" s="0" t="n">
        <v>46</v>
      </c>
      <c r="I828" s="0" t="s">
        <v>2773</v>
      </c>
      <c r="J828" s="0" t="s">
        <v>2774</v>
      </c>
      <c r="K828" s="0" t="s">
        <v>2775</v>
      </c>
      <c r="L828" s="0" t="str">
        <f aca="false">HYPERLINK("https://www.ncbi.nlm.nih.gov/nuccore/CP000058.1?report=graph&amp;tracks=[key:gene_model_track,Options:GeneOnly]&amp;mk=269371:269390|offset_1|444444,269393:269412|offset_23|444444,269416:269435|offset_46|00cc00,269439:269458|offset_69|444444&amp;v=269170:269658&amp;c=444444", "offset 46")</f>
        <v>offset 46</v>
      </c>
    </row>
    <row r="829" customFormat="false" ht="12.8" hidden="false" customHeight="false" outlineLevel="0" collapsed="false">
      <c r="A829" s="0" t="s">
        <v>12</v>
      </c>
      <c r="B829" s="0" t="n">
        <v>269438</v>
      </c>
      <c r="C829" s="0" t="n">
        <v>269458</v>
      </c>
      <c r="D829" s="0" t="s">
        <v>2766</v>
      </c>
      <c r="E829" s="0" t="s">
        <v>75</v>
      </c>
      <c r="F829" s="0" t="s">
        <v>15</v>
      </c>
      <c r="G829" s="0" t="s">
        <v>16</v>
      </c>
      <c r="H829" s="0" t="n">
        <v>69</v>
      </c>
      <c r="I829" s="0" t="s">
        <v>2776</v>
      </c>
      <c r="J829" s="0" t="s">
        <v>2777</v>
      </c>
      <c r="K829" s="0" t="s">
        <v>2778</v>
      </c>
      <c r="L829" s="0" t="str">
        <f aca="false">HYPERLINK("https://www.ncbi.nlm.nih.gov/nuccore/CP000058.1?report=graph&amp;tracks=[key:gene_model_track,Options:GeneOnly]&amp;mk=269371:269390|offset_1|444444,269393:269412|offset_23|444444,269416:269435|offset_46|444444,269439:269458|offset_69|00cc00&amp;v=269170:269658&amp;c=444444", "offset 69")</f>
        <v>offset 69</v>
      </c>
    </row>
    <row r="830" customFormat="false" ht="12.8" hidden="false" customHeight="false" outlineLevel="0" collapsed="false">
      <c r="A830" s="0" t="s">
        <v>12</v>
      </c>
      <c r="B830" s="0" t="n">
        <v>271138</v>
      </c>
      <c r="C830" s="0" t="n">
        <v>271158</v>
      </c>
      <c r="D830" s="0" t="s">
        <v>2779</v>
      </c>
      <c r="E830" s="0" t="s">
        <v>2780</v>
      </c>
      <c r="F830" s="0" t="s">
        <v>15</v>
      </c>
      <c r="G830" s="0" t="s">
        <v>36</v>
      </c>
      <c r="H830" s="0" t="n">
        <v>0</v>
      </c>
      <c r="I830" s="0" t="s">
        <v>2781</v>
      </c>
      <c r="J830" s="0" t="s">
        <v>2782</v>
      </c>
      <c r="K830" s="0" t="s">
        <v>2783</v>
      </c>
      <c r="L830" s="0" t="str">
        <f aca="false">HYPERLINK("https://www.ncbi.nlm.nih.gov/nuccore/CP000058.1?report=graph&amp;tracks=[key:gene_model_track,Options:GeneOnly]&amp;mk=271139:271158|offset_0|00cc00,271159:271178|offset_20|444444,271179:271198|offset_40|444444,271220:271239|offset_81|444444&amp;v=270938:271439&amp;c=444444", "offset 0")</f>
        <v>offset 0</v>
      </c>
    </row>
    <row r="831" customFormat="false" ht="12.8" hidden="false" customHeight="false" outlineLevel="0" collapsed="false">
      <c r="A831" s="0" t="s">
        <v>12</v>
      </c>
      <c r="B831" s="0" t="n">
        <v>271158</v>
      </c>
      <c r="C831" s="0" t="n">
        <v>271178</v>
      </c>
      <c r="D831" s="0" t="s">
        <v>2779</v>
      </c>
      <c r="E831" s="0" t="s">
        <v>2780</v>
      </c>
      <c r="F831" s="0" t="s">
        <v>15</v>
      </c>
      <c r="G831" s="0" t="s">
        <v>20</v>
      </c>
      <c r="H831" s="0" t="n">
        <v>20</v>
      </c>
      <c r="I831" s="0" t="s">
        <v>2784</v>
      </c>
      <c r="J831" s="0" t="s">
        <v>2785</v>
      </c>
      <c r="K831" s="0" t="s">
        <v>2786</v>
      </c>
      <c r="L831" s="0" t="str">
        <f aca="false">HYPERLINK("https://www.ncbi.nlm.nih.gov/nuccore/CP000058.1?report=graph&amp;tracks=[key:gene_model_track,Options:GeneOnly]&amp;mk=271139:271158|offset_0|444444,271159:271178|offset_20|00cc00,271179:271198|offset_40|444444,271220:271239|offset_81|444444&amp;v=270938:271439&amp;c=444444", "offset 20")</f>
        <v>offset 20</v>
      </c>
    </row>
    <row r="832" customFormat="false" ht="12.8" hidden="false" customHeight="false" outlineLevel="0" collapsed="false">
      <c r="A832" s="0" t="s">
        <v>12</v>
      </c>
      <c r="B832" s="0" t="n">
        <v>271178</v>
      </c>
      <c r="C832" s="0" t="n">
        <v>271198</v>
      </c>
      <c r="D832" s="0" t="s">
        <v>2779</v>
      </c>
      <c r="E832" s="0" t="s">
        <v>2780</v>
      </c>
      <c r="F832" s="0" t="s">
        <v>15</v>
      </c>
      <c r="G832" s="0" t="s">
        <v>36</v>
      </c>
      <c r="H832" s="0" t="n">
        <v>40</v>
      </c>
      <c r="I832" s="0" t="s">
        <v>2787</v>
      </c>
      <c r="J832" s="0" t="s">
        <v>2788</v>
      </c>
      <c r="K832" s="0" t="s">
        <v>2789</v>
      </c>
      <c r="L832" s="0" t="str">
        <f aca="false">HYPERLINK("https://www.ncbi.nlm.nih.gov/nuccore/CP000058.1?report=graph&amp;tracks=[key:gene_model_track,Options:GeneOnly]&amp;mk=271139:271158|offset_0|444444,271159:271178|offset_20|444444,271179:271198|offset_40|00cc00,271220:271239|offset_81|444444&amp;v=270938:271439&amp;c=444444", "offset 40")</f>
        <v>offset 40</v>
      </c>
    </row>
    <row r="833" customFormat="false" ht="12.8" hidden="false" customHeight="false" outlineLevel="0" collapsed="false">
      <c r="A833" s="0" t="s">
        <v>12</v>
      </c>
      <c r="B833" s="0" t="n">
        <v>271219</v>
      </c>
      <c r="C833" s="0" t="n">
        <v>271239</v>
      </c>
      <c r="D833" s="0" t="s">
        <v>2779</v>
      </c>
      <c r="E833" s="0" t="s">
        <v>2780</v>
      </c>
      <c r="F833" s="0" t="s">
        <v>15</v>
      </c>
      <c r="G833" s="0" t="s">
        <v>16</v>
      </c>
      <c r="H833" s="0" t="n">
        <v>81</v>
      </c>
      <c r="I833" s="0" t="s">
        <v>2790</v>
      </c>
      <c r="J833" s="0" t="s">
        <v>2791</v>
      </c>
      <c r="K833" s="0" t="s">
        <v>2792</v>
      </c>
      <c r="L833" s="0" t="str">
        <f aca="false">HYPERLINK("https://www.ncbi.nlm.nih.gov/nuccore/CP000058.1?report=graph&amp;tracks=[key:gene_model_track,Options:GeneOnly]&amp;mk=271139:271158|offset_0|444444,271159:271178|offset_20|444444,271179:271198|offset_40|444444,271220:271239|offset_81|00cc00&amp;v=270938:271439&amp;c=444444", "offset 81")</f>
        <v>offset 81</v>
      </c>
    </row>
    <row r="834" customFormat="false" ht="12.8" hidden="false" customHeight="false" outlineLevel="0" collapsed="false">
      <c r="A834" s="0" t="s">
        <v>12</v>
      </c>
      <c r="B834" s="0" t="n">
        <v>272279</v>
      </c>
      <c r="C834" s="0" t="n">
        <v>272299</v>
      </c>
      <c r="D834" s="0" t="s">
        <v>2793</v>
      </c>
      <c r="E834" s="0" t="s">
        <v>2794</v>
      </c>
      <c r="F834" s="0" t="s">
        <v>15</v>
      </c>
      <c r="G834" s="0" t="s">
        <v>36</v>
      </c>
      <c r="H834" s="0" t="n">
        <v>15</v>
      </c>
      <c r="I834" s="0" t="s">
        <v>2795</v>
      </c>
      <c r="J834" s="0" t="s">
        <v>2796</v>
      </c>
      <c r="K834" s="0" t="s">
        <v>2797</v>
      </c>
      <c r="L834" s="0" t="str">
        <f aca="false">HYPERLINK("https://www.ncbi.nlm.nih.gov/nuccore/CP000058.1?report=graph&amp;tracks=[key:gene_model_track,Options:GeneOnly]&amp;mk=272280:272299|offset_15|00cc00,272338:272357|offset_73|444444,272360:272379|offset_95|444444,272403:272422|offset_138|444444&amp;v=272079:272622&amp;c=444444", "offset 15")</f>
        <v>offset 15</v>
      </c>
    </row>
    <row r="835" customFormat="false" ht="12.8" hidden="false" customHeight="false" outlineLevel="0" collapsed="false">
      <c r="A835" s="0" t="s">
        <v>12</v>
      </c>
      <c r="B835" s="0" t="n">
        <v>272337</v>
      </c>
      <c r="C835" s="0" t="n">
        <v>272357</v>
      </c>
      <c r="D835" s="0" t="s">
        <v>2793</v>
      </c>
      <c r="E835" s="0" t="s">
        <v>2794</v>
      </c>
      <c r="F835" s="0" t="s">
        <v>15</v>
      </c>
      <c r="G835" s="0" t="s">
        <v>16</v>
      </c>
      <c r="H835" s="0" t="n">
        <v>73</v>
      </c>
      <c r="I835" s="0" t="s">
        <v>2798</v>
      </c>
      <c r="J835" s="0" t="s">
        <v>2799</v>
      </c>
      <c r="K835" s="0" t="s">
        <v>2800</v>
      </c>
      <c r="L835" s="0" t="str">
        <f aca="false">HYPERLINK("https://www.ncbi.nlm.nih.gov/nuccore/CP000058.1?report=graph&amp;tracks=[key:gene_model_track,Options:GeneOnly]&amp;mk=272280:272299|offset_15|444444,272338:272357|offset_73|00cc00,272360:272379|offset_95|444444,272403:272422|offset_138|444444&amp;v=272079:272622&amp;c=444444", "offset 73")</f>
        <v>offset 73</v>
      </c>
    </row>
    <row r="836" customFormat="false" ht="12.8" hidden="false" customHeight="false" outlineLevel="0" collapsed="false">
      <c r="A836" s="0" t="s">
        <v>12</v>
      </c>
      <c r="B836" s="0" t="n">
        <v>272359</v>
      </c>
      <c r="C836" s="0" t="n">
        <v>272379</v>
      </c>
      <c r="D836" s="0" t="s">
        <v>2793</v>
      </c>
      <c r="E836" s="0" t="s">
        <v>2794</v>
      </c>
      <c r="F836" s="0" t="s">
        <v>15</v>
      </c>
      <c r="G836" s="0" t="s">
        <v>32</v>
      </c>
      <c r="H836" s="0" t="n">
        <v>95</v>
      </c>
      <c r="I836" s="0" t="s">
        <v>2801</v>
      </c>
      <c r="J836" s="0" t="s">
        <v>2802</v>
      </c>
      <c r="K836" s="0" t="s">
        <v>2803</v>
      </c>
      <c r="L836" s="0" t="str">
        <f aca="false">HYPERLINK("https://www.ncbi.nlm.nih.gov/nuccore/CP000058.1?report=graph&amp;tracks=[key:gene_model_track,Options:GeneOnly]&amp;mk=272280:272299|offset_15|444444,272338:272357|offset_73|444444,272360:272379|offset_95|00cc00,272403:272422|offset_138|444444&amp;v=272079:272622&amp;c=444444", "offset 95")</f>
        <v>offset 95</v>
      </c>
    </row>
    <row r="837" customFormat="false" ht="12.8" hidden="false" customHeight="false" outlineLevel="0" collapsed="false">
      <c r="A837" s="0" t="s">
        <v>12</v>
      </c>
      <c r="B837" s="0" t="n">
        <v>272402</v>
      </c>
      <c r="C837" s="0" t="n">
        <v>272422</v>
      </c>
      <c r="D837" s="0" t="s">
        <v>2793</v>
      </c>
      <c r="E837" s="0" t="s">
        <v>2794</v>
      </c>
      <c r="F837" s="0" t="s">
        <v>15</v>
      </c>
      <c r="G837" s="0" t="s">
        <v>16</v>
      </c>
      <c r="H837" s="0" t="n">
        <v>138</v>
      </c>
      <c r="I837" s="0" t="s">
        <v>2804</v>
      </c>
      <c r="J837" s="0" t="s">
        <v>2805</v>
      </c>
      <c r="K837" s="0" t="s">
        <v>2806</v>
      </c>
      <c r="L837" s="0" t="str">
        <f aca="false">HYPERLINK("https://www.ncbi.nlm.nih.gov/nuccore/CP000058.1?report=graph&amp;tracks=[key:gene_model_track,Options:GeneOnly]&amp;mk=272280:272299|offset_15|444444,272338:272357|offset_73|444444,272360:272379|offset_95|444444,272403:272422|offset_138|00cc00&amp;v=272079:272622&amp;c=444444", "offset 138")</f>
        <v>offset 138</v>
      </c>
    </row>
    <row r="838" customFormat="false" ht="12.8" hidden="false" customHeight="false" outlineLevel="0" collapsed="false">
      <c r="A838" s="0" t="s">
        <v>12</v>
      </c>
      <c r="B838" s="0" t="n">
        <v>272998</v>
      </c>
      <c r="C838" s="0" t="n">
        <v>273018</v>
      </c>
      <c r="D838" s="0" t="s">
        <v>2807</v>
      </c>
      <c r="E838" s="0" t="s">
        <v>75</v>
      </c>
      <c r="F838" s="0" t="s">
        <v>90</v>
      </c>
      <c r="G838" s="0" t="s">
        <v>32</v>
      </c>
      <c r="H838" s="0" t="n">
        <v>25</v>
      </c>
      <c r="I838" s="0" t="s">
        <v>2808</v>
      </c>
      <c r="J838" s="0" t="s">
        <v>2809</v>
      </c>
      <c r="K838" s="0" t="s">
        <v>2810</v>
      </c>
      <c r="L838" s="0" t="str">
        <f aca="false">HYPERLINK("https://www.ncbi.nlm.nih.gov/nuccore/CP000058.1?report=graph&amp;tracks=[key:gene_model_track,Options:GeneOnly]&amp;mk=272999:273018|offset_25|00cc00,272977:272996|offset_47|444444,272951:272970|offset_73|444444,272927:272946|offset_97|444444&amp;v=272798:273146&amp;c=444444", "offset 25")</f>
        <v>offset 25</v>
      </c>
    </row>
    <row r="839" customFormat="false" ht="12.8" hidden="false" customHeight="false" outlineLevel="0" collapsed="false">
      <c r="A839" s="0" t="s">
        <v>12</v>
      </c>
      <c r="B839" s="0" t="n">
        <v>272976</v>
      </c>
      <c r="C839" s="0" t="n">
        <v>272996</v>
      </c>
      <c r="D839" s="0" t="s">
        <v>2807</v>
      </c>
      <c r="E839" s="0" t="s">
        <v>75</v>
      </c>
      <c r="F839" s="0" t="s">
        <v>90</v>
      </c>
      <c r="G839" s="0" t="s">
        <v>36</v>
      </c>
      <c r="H839" s="0" t="n">
        <v>47</v>
      </c>
      <c r="I839" s="0" t="s">
        <v>2811</v>
      </c>
      <c r="J839" s="0" t="s">
        <v>2812</v>
      </c>
      <c r="K839" s="0" t="s">
        <v>2813</v>
      </c>
      <c r="L839" s="0" t="str">
        <f aca="false">HYPERLINK("https://www.ncbi.nlm.nih.gov/nuccore/CP000058.1?report=graph&amp;tracks=[key:gene_model_track,Options:GeneOnly]&amp;mk=272999:273018|offset_25|444444,272977:272996|offset_47|00cc00,272951:272970|offset_73|444444,272927:272946|offset_97|444444&amp;v=272798:273146&amp;c=444444", "offset 47")</f>
        <v>offset 47</v>
      </c>
    </row>
    <row r="840" customFormat="false" ht="12.8" hidden="false" customHeight="false" outlineLevel="0" collapsed="false">
      <c r="A840" s="0" t="s">
        <v>12</v>
      </c>
      <c r="B840" s="0" t="n">
        <v>272950</v>
      </c>
      <c r="C840" s="0" t="n">
        <v>272970</v>
      </c>
      <c r="D840" s="0" t="s">
        <v>2807</v>
      </c>
      <c r="E840" s="0" t="s">
        <v>75</v>
      </c>
      <c r="F840" s="0" t="s">
        <v>90</v>
      </c>
      <c r="G840" s="0" t="s">
        <v>20</v>
      </c>
      <c r="H840" s="0" t="n">
        <v>73</v>
      </c>
      <c r="I840" s="0" t="s">
        <v>2814</v>
      </c>
      <c r="J840" s="0" t="s">
        <v>2815</v>
      </c>
      <c r="K840" s="0" t="s">
        <v>2816</v>
      </c>
      <c r="L840" s="0" t="str">
        <f aca="false">HYPERLINK("https://www.ncbi.nlm.nih.gov/nuccore/CP000058.1?report=graph&amp;tracks=[key:gene_model_track,Options:GeneOnly]&amp;mk=272999:273018|offset_25|444444,272977:272996|offset_47|444444,272951:272970|offset_73|00cc00,272927:272946|offset_97|444444&amp;v=272798:273146&amp;c=444444", "offset 73")</f>
        <v>offset 73</v>
      </c>
    </row>
    <row r="841" customFormat="false" ht="12.8" hidden="false" customHeight="false" outlineLevel="0" collapsed="false">
      <c r="A841" s="0" t="s">
        <v>12</v>
      </c>
      <c r="B841" s="0" t="n">
        <v>272926</v>
      </c>
      <c r="C841" s="0" t="n">
        <v>272946</v>
      </c>
      <c r="D841" s="0" t="s">
        <v>2807</v>
      </c>
      <c r="E841" s="0" t="s">
        <v>75</v>
      </c>
      <c r="F841" s="0" t="s">
        <v>90</v>
      </c>
      <c r="G841" s="0" t="s">
        <v>16</v>
      </c>
      <c r="H841" s="0" t="n">
        <v>97</v>
      </c>
      <c r="I841" s="0" t="s">
        <v>2817</v>
      </c>
      <c r="J841" s="0" t="s">
        <v>2818</v>
      </c>
      <c r="K841" s="0" t="s">
        <v>2819</v>
      </c>
      <c r="L841" s="0" t="str">
        <f aca="false">HYPERLINK("https://www.ncbi.nlm.nih.gov/nuccore/CP000058.1?report=graph&amp;tracks=[key:gene_model_track,Options:GeneOnly]&amp;mk=272999:273018|offset_25|444444,272977:272996|offset_47|444444,272951:272970|offset_73|444444,272927:272946|offset_97|00cc00&amp;v=272798:273146&amp;c=444444", "offset 97")</f>
        <v>offset 97</v>
      </c>
    </row>
    <row r="842" customFormat="false" ht="12.8" hidden="false" customHeight="false" outlineLevel="0" collapsed="false">
      <c r="A842" s="0" t="s">
        <v>12</v>
      </c>
      <c r="B842" s="0" t="n">
        <v>274938</v>
      </c>
      <c r="C842" s="0" t="n">
        <v>274958</v>
      </c>
      <c r="D842" s="0" t="s">
        <v>2820</v>
      </c>
      <c r="E842" s="0" t="s">
        <v>75</v>
      </c>
      <c r="F842" s="0" t="s">
        <v>90</v>
      </c>
      <c r="G842" s="0" t="s">
        <v>36</v>
      </c>
      <c r="H842" s="0" t="n">
        <v>10</v>
      </c>
      <c r="I842" s="0" t="s">
        <v>2821</v>
      </c>
      <c r="J842" s="0" t="s">
        <v>2822</v>
      </c>
      <c r="K842" s="0" t="s">
        <v>2823</v>
      </c>
      <c r="L842" s="0" t="str">
        <f aca="false">HYPERLINK("https://www.ncbi.nlm.nih.gov/nuccore/CP000058.1?report=graph&amp;tracks=[key:gene_model_track,Options:GeneOnly]&amp;mk=274939:274958|offset_10|00cc00,274905:274924|offset_44|444444,274876:274895|offset_73|444444,274809:274828|offset_140|444444&amp;v=274738:275028&amp;c=444444", "offset 10")</f>
        <v>offset 10</v>
      </c>
    </row>
    <row r="843" customFormat="false" ht="12.8" hidden="false" customHeight="false" outlineLevel="0" collapsed="false">
      <c r="A843" s="0" t="s">
        <v>12</v>
      </c>
      <c r="B843" s="0" t="n">
        <v>274904</v>
      </c>
      <c r="C843" s="0" t="n">
        <v>274924</v>
      </c>
      <c r="D843" s="0" t="s">
        <v>2820</v>
      </c>
      <c r="E843" s="0" t="s">
        <v>75</v>
      </c>
      <c r="F843" s="0" t="s">
        <v>90</v>
      </c>
      <c r="G843" s="0" t="s">
        <v>20</v>
      </c>
      <c r="H843" s="0" t="n">
        <v>44</v>
      </c>
      <c r="I843" s="0" t="s">
        <v>2824</v>
      </c>
      <c r="J843" s="0" t="s">
        <v>2825</v>
      </c>
      <c r="K843" s="0" t="s">
        <v>2826</v>
      </c>
      <c r="L843" s="0" t="str">
        <f aca="false">HYPERLINK("https://www.ncbi.nlm.nih.gov/nuccore/CP000058.1?report=graph&amp;tracks=[key:gene_model_track,Options:GeneOnly]&amp;mk=274939:274958|offset_10|444444,274905:274924|offset_44|00cc00,274876:274895|offset_73|444444,274809:274828|offset_140|444444&amp;v=274738:275028&amp;c=444444", "offset 44")</f>
        <v>offset 44</v>
      </c>
    </row>
    <row r="844" customFormat="false" ht="12.8" hidden="false" customHeight="false" outlineLevel="0" collapsed="false">
      <c r="A844" s="0" t="s">
        <v>12</v>
      </c>
      <c r="B844" s="0" t="n">
        <v>274875</v>
      </c>
      <c r="C844" s="0" t="n">
        <v>274895</v>
      </c>
      <c r="D844" s="0" t="s">
        <v>2820</v>
      </c>
      <c r="E844" s="0" t="s">
        <v>75</v>
      </c>
      <c r="F844" s="0" t="s">
        <v>90</v>
      </c>
      <c r="G844" s="0" t="s">
        <v>16</v>
      </c>
      <c r="H844" s="0" t="n">
        <v>73</v>
      </c>
      <c r="I844" s="0" t="s">
        <v>2827</v>
      </c>
      <c r="J844" s="0" t="s">
        <v>2828</v>
      </c>
      <c r="K844" s="0" t="s">
        <v>2829</v>
      </c>
      <c r="L844" s="0" t="str">
        <f aca="false">HYPERLINK("https://www.ncbi.nlm.nih.gov/nuccore/CP000058.1?report=graph&amp;tracks=[key:gene_model_track,Options:GeneOnly]&amp;mk=274939:274958|offset_10|444444,274905:274924|offset_44|444444,274876:274895|offset_73|00cc00,274809:274828|offset_140|444444&amp;v=274738:275028&amp;c=444444", "offset 73")</f>
        <v>offset 73</v>
      </c>
    </row>
    <row r="845" customFormat="false" ht="12.8" hidden="false" customHeight="false" outlineLevel="0" collapsed="false">
      <c r="A845" s="0" t="s">
        <v>12</v>
      </c>
      <c r="B845" s="0" t="n">
        <v>274808</v>
      </c>
      <c r="C845" s="0" t="n">
        <v>274828</v>
      </c>
      <c r="D845" s="0" t="s">
        <v>2820</v>
      </c>
      <c r="E845" s="0" t="s">
        <v>75</v>
      </c>
      <c r="F845" s="0" t="s">
        <v>90</v>
      </c>
      <c r="G845" s="0" t="s">
        <v>32</v>
      </c>
      <c r="H845" s="0" t="n">
        <v>140</v>
      </c>
      <c r="I845" s="0" t="s">
        <v>2830</v>
      </c>
      <c r="J845" s="0" t="s">
        <v>2831</v>
      </c>
      <c r="K845" s="0" t="s">
        <v>2832</v>
      </c>
      <c r="L845" s="0" t="str">
        <f aca="false">HYPERLINK("https://www.ncbi.nlm.nih.gov/nuccore/CP000058.1?report=graph&amp;tracks=[key:gene_model_track,Options:GeneOnly]&amp;mk=274939:274958|offset_10|444444,274905:274924|offset_44|444444,274876:274895|offset_73|444444,274809:274828|offset_140|00cc00&amp;v=274738:275028&amp;c=444444", "offset 140")</f>
        <v>offset 140</v>
      </c>
    </row>
    <row r="846" customFormat="false" ht="12.8" hidden="false" customHeight="false" outlineLevel="0" collapsed="false">
      <c r="A846" s="0" t="s">
        <v>12</v>
      </c>
      <c r="B846" s="0" t="n">
        <v>275400</v>
      </c>
      <c r="C846" s="0" t="n">
        <v>275420</v>
      </c>
      <c r="D846" s="0" t="s">
        <v>2833</v>
      </c>
      <c r="E846" s="0" t="s">
        <v>75</v>
      </c>
      <c r="F846" s="0" t="s">
        <v>90</v>
      </c>
      <c r="G846" s="0" t="s">
        <v>20</v>
      </c>
      <c r="H846" s="0" t="n">
        <v>6</v>
      </c>
      <c r="I846" s="0" t="s">
        <v>2834</v>
      </c>
      <c r="J846" s="0" t="s">
        <v>2835</v>
      </c>
      <c r="K846" s="0" t="s">
        <v>2836</v>
      </c>
      <c r="L846" s="0" t="str">
        <f aca="false">HYPERLINK("https://www.ncbi.nlm.nih.gov/nuccore/CP000058.1?report=graph&amp;tracks=[key:gene_model_track,Options:GeneOnly]&amp;mk=275401:275420|offset_6|00cc00,275379:275398|offset_28|444444,275349:275368|offset_58|444444,275321:275340|offset_86|444444&amp;v=275200:275540&amp;c=444444", "offset 6")</f>
        <v>offset 6</v>
      </c>
    </row>
    <row r="847" customFormat="false" ht="12.8" hidden="false" customHeight="false" outlineLevel="0" collapsed="false">
      <c r="A847" s="0" t="s">
        <v>12</v>
      </c>
      <c r="B847" s="0" t="n">
        <v>275378</v>
      </c>
      <c r="C847" s="0" t="n">
        <v>275398</v>
      </c>
      <c r="D847" s="0" t="s">
        <v>2833</v>
      </c>
      <c r="E847" s="0" t="s">
        <v>75</v>
      </c>
      <c r="F847" s="0" t="s">
        <v>90</v>
      </c>
      <c r="G847" s="0" t="s">
        <v>32</v>
      </c>
      <c r="H847" s="0" t="n">
        <v>28</v>
      </c>
      <c r="I847" s="0" t="s">
        <v>2837</v>
      </c>
      <c r="J847" s="0" t="s">
        <v>2838</v>
      </c>
      <c r="K847" s="0" t="s">
        <v>2839</v>
      </c>
      <c r="L847" s="0" t="str">
        <f aca="false">HYPERLINK("https://www.ncbi.nlm.nih.gov/nuccore/CP000058.1?report=graph&amp;tracks=[key:gene_model_track,Options:GeneOnly]&amp;mk=275401:275420|offset_6|444444,275379:275398|offset_28|00cc00,275349:275368|offset_58|444444,275321:275340|offset_86|444444&amp;v=275200:275540&amp;c=444444", "offset 28")</f>
        <v>offset 28</v>
      </c>
    </row>
    <row r="848" customFormat="false" ht="12.8" hidden="false" customHeight="false" outlineLevel="0" collapsed="false">
      <c r="A848" s="0" t="s">
        <v>12</v>
      </c>
      <c r="B848" s="0" t="n">
        <v>275348</v>
      </c>
      <c r="C848" s="0" t="n">
        <v>275368</v>
      </c>
      <c r="D848" s="0" t="s">
        <v>2833</v>
      </c>
      <c r="E848" s="0" t="s">
        <v>75</v>
      </c>
      <c r="F848" s="0" t="s">
        <v>90</v>
      </c>
      <c r="G848" s="0" t="s">
        <v>32</v>
      </c>
      <c r="H848" s="0" t="n">
        <v>58</v>
      </c>
      <c r="I848" s="0" t="s">
        <v>2840</v>
      </c>
      <c r="J848" s="0" t="s">
        <v>2841</v>
      </c>
      <c r="K848" s="0" t="s">
        <v>2842</v>
      </c>
      <c r="L848" s="0" t="str">
        <f aca="false">HYPERLINK("https://www.ncbi.nlm.nih.gov/nuccore/CP000058.1?report=graph&amp;tracks=[key:gene_model_track,Options:GeneOnly]&amp;mk=275401:275420|offset_6|444444,275379:275398|offset_28|444444,275349:275368|offset_58|00cc00,275321:275340|offset_86|444444&amp;v=275200:275540&amp;c=444444", "offset 58")</f>
        <v>offset 58</v>
      </c>
    </row>
    <row r="849" customFormat="false" ht="12.8" hidden="false" customHeight="false" outlineLevel="0" collapsed="false">
      <c r="A849" s="0" t="s">
        <v>12</v>
      </c>
      <c r="B849" s="0" t="n">
        <v>275320</v>
      </c>
      <c r="C849" s="0" t="n">
        <v>275340</v>
      </c>
      <c r="D849" s="0" t="s">
        <v>2833</v>
      </c>
      <c r="E849" s="0" t="s">
        <v>75</v>
      </c>
      <c r="F849" s="0" t="s">
        <v>90</v>
      </c>
      <c r="G849" s="0" t="s">
        <v>32</v>
      </c>
      <c r="H849" s="0" t="n">
        <v>86</v>
      </c>
      <c r="I849" s="0" t="s">
        <v>2843</v>
      </c>
      <c r="J849" s="0" t="s">
        <v>2844</v>
      </c>
      <c r="K849" s="0" t="s">
        <v>2845</v>
      </c>
      <c r="L849" s="0" t="str">
        <f aca="false">HYPERLINK("https://www.ncbi.nlm.nih.gov/nuccore/CP000058.1?report=graph&amp;tracks=[key:gene_model_track,Options:GeneOnly]&amp;mk=275401:275420|offset_6|444444,275379:275398|offset_28|444444,275349:275368|offset_58|444444,275321:275340|offset_86|00cc00&amp;v=275200:275540&amp;c=444444", "offset 86")</f>
        <v>offset 86</v>
      </c>
    </row>
    <row r="850" customFormat="false" ht="12.8" hidden="false" customHeight="false" outlineLevel="0" collapsed="false">
      <c r="A850" s="0" t="s">
        <v>12</v>
      </c>
      <c r="B850" s="0" t="n">
        <v>275560</v>
      </c>
      <c r="C850" s="0" t="n">
        <v>275580</v>
      </c>
      <c r="D850" s="0" t="s">
        <v>2846</v>
      </c>
      <c r="E850" s="0" t="s">
        <v>75</v>
      </c>
      <c r="F850" s="0" t="s">
        <v>15</v>
      </c>
      <c r="G850" s="0" t="s">
        <v>16</v>
      </c>
      <c r="H850" s="0" t="n">
        <v>10</v>
      </c>
      <c r="I850" s="0" t="s">
        <v>2847</v>
      </c>
      <c r="J850" s="0" t="s">
        <v>2848</v>
      </c>
      <c r="K850" s="0" t="s">
        <v>2849</v>
      </c>
      <c r="L850" s="0" t="str">
        <f aca="false">HYPERLINK("https://www.ncbi.nlm.nih.gov/nuccore/CP000058.1?report=graph&amp;tracks=[key:gene_model_track,Options:GeneOnly]&amp;mk=275561:275580|offset_10|00cc00,275636:275655|offset_85|444444,275662:275681|offset_111|444444,275745:275764|offset_194|444444&amp;v=275360:275964&amp;c=444444", "offset 10")</f>
        <v>offset 10</v>
      </c>
    </row>
    <row r="851" customFormat="false" ht="12.8" hidden="false" customHeight="false" outlineLevel="0" collapsed="false">
      <c r="A851" s="0" t="s">
        <v>12</v>
      </c>
      <c r="B851" s="0" t="n">
        <v>275635</v>
      </c>
      <c r="C851" s="0" t="n">
        <v>275655</v>
      </c>
      <c r="D851" s="0" t="s">
        <v>2846</v>
      </c>
      <c r="E851" s="0" t="s">
        <v>75</v>
      </c>
      <c r="F851" s="0" t="s">
        <v>15</v>
      </c>
      <c r="G851" s="0" t="s">
        <v>16</v>
      </c>
      <c r="H851" s="0" t="n">
        <v>85</v>
      </c>
      <c r="I851" s="0" t="s">
        <v>2850</v>
      </c>
      <c r="J851" s="0" t="s">
        <v>2851</v>
      </c>
      <c r="K851" s="0" t="s">
        <v>2852</v>
      </c>
      <c r="L851" s="0" t="str">
        <f aca="false">HYPERLINK("https://www.ncbi.nlm.nih.gov/nuccore/CP000058.1?report=graph&amp;tracks=[key:gene_model_track,Options:GeneOnly]&amp;mk=275561:275580|offset_10|444444,275636:275655|offset_85|00cc00,275662:275681|offset_111|444444,275745:275764|offset_194|444444&amp;v=275360:275964&amp;c=444444", "offset 85")</f>
        <v>offset 85</v>
      </c>
    </row>
    <row r="852" customFormat="false" ht="12.8" hidden="false" customHeight="false" outlineLevel="0" collapsed="false">
      <c r="A852" s="0" t="s">
        <v>12</v>
      </c>
      <c r="B852" s="0" t="n">
        <v>275661</v>
      </c>
      <c r="C852" s="0" t="n">
        <v>275681</v>
      </c>
      <c r="D852" s="0" t="s">
        <v>2846</v>
      </c>
      <c r="E852" s="0" t="s">
        <v>75</v>
      </c>
      <c r="F852" s="0" t="s">
        <v>15</v>
      </c>
      <c r="G852" s="0" t="s">
        <v>20</v>
      </c>
      <c r="H852" s="0" t="n">
        <v>111</v>
      </c>
      <c r="I852" s="0" t="s">
        <v>2853</v>
      </c>
      <c r="J852" s="0" t="s">
        <v>2854</v>
      </c>
      <c r="K852" s="0" t="s">
        <v>2855</v>
      </c>
      <c r="L852" s="0" t="str">
        <f aca="false">HYPERLINK("https://www.ncbi.nlm.nih.gov/nuccore/CP000058.1?report=graph&amp;tracks=[key:gene_model_track,Options:GeneOnly]&amp;mk=275561:275580|offset_10|444444,275636:275655|offset_85|444444,275662:275681|offset_111|00cc00,275745:275764|offset_194|444444&amp;v=275360:275964&amp;c=444444", "offset 111")</f>
        <v>offset 111</v>
      </c>
    </row>
    <row r="853" customFormat="false" ht="12.8" hidden="false" customHeight="false" outlineLevel="0" collapsed="false">
      <c r="A853" s="0" t="s">
        <v>12</v>
      </c>
      <c r="B853" s="0" t="n">
        <v>275744</v>
      </c>
      <c r="C853" s="0" t="n">
        <v>275764</v>
      </c>
      <c r="D853" s="0" t="s">
        <v>2846</v>
      </c>
      <c r="E853" s="0" t="s">
        <v>75</v>
      </c>
      <c r="F853" s="0" t="s">
        <v>15</v>
      </c>
      <c r="G853" s="0" t="s">
        <v>20</v>
      </c>
      <c r="H853" s="0" t="n">
        <v>194</v>
      </c>
      <c r="I853" s="0" t="s">
        <v>2856</v>
      </c>
      <c r="J853" s="0" t="s">
        <v>2857</v>
      </c>
      <c r="K853" s="0" t="s">
        <v>2858</v>
      </c>
      <c r="L853" s="0" t="str">
        <f aca="false">HYPERLINK("https://www.ncbi.nlm.nih.gov/nuccore/CP000058.1?report=graph&amp;tracks=[key:gene_model_track,Options:GeneOnly]&amp;mk=275561:275580|offset_10|444444,275636:275655|offset_85|444444,275662:275681|offset_111|444444,275745:275764|offset_194|00cc00&amp;v=275360:275964&amp;c=444444", "offset 194")</f>
        <v>offset 194</v>
      </c>
    </row>
    <row r="854" customFormat="false" ht="12.8" hidden="false" customHeight="false" outlineLevel="0" collapsed="false">
      <c r="A854" s="0" t="s">
        <v>12</v>
      </c>
      <c r="B854" s="0" t="n">
        <v>278623</v>
      </c>
      <c r="C854" s="0" t="n">
        <v>278643</v>
      </c>
      <c r="D854" s="0" t="s">
        <v>2859</v>
      </c>
      <c r="E854" s="0" t="s">
        <v>75</v>
      </c>
      <c r="F854" s="0" t="s">
        <v>90</v>
      </c>
      <c r="G854" s="0" t="s">
        <v>32</v>
      </c>
      <c r="H854" s="0" t="n">
        <v>1</v>
      </c>
      <c r="I854" s="0" t="s">
        <v>2860</v>
      </c>
      <c r="J854" s="0" t="s">
        <v>2861</v>
      </c>
      <c r="K854" s="0" t="s">
        <v>2862</v>
      </c>
      <c r="L854" s="0" t="str">
        <f aca="false">HYPERLINK("https://www.ncbi.nlm.nih.gov/nuccore/CP000058.1?report=graph&amp;tracks=[key:gene_model_track,Options:GeneOnly]&amp;mk=278624:278643|offset_1|00cc00,278603:278622|offset_22|444444,278572:278591|offset_53|444444,278544:278563|offset_81|444444&amp;v=278423:278763&amp;c=444444", "offset 1")</f>
        <v>offset 1</v>
      </c>
    </row>
    <row r="855" customFormat="false" ht="12.8" hidden="false" customHeight="false" outlineLevel="0" collapsed="false">
      <c r="A855" s="0" t="s">
        <v>12</v>
      </c>
      <c r="B855" s="0" t="n">
        <v>278602</v>
      </c>
      <c r="C855" s="0" t="n">
        <v>278622</v>
      </c>
      <c r="D855" s="0" t="s">
        <v>2859</v>
      </c>
      <c r="E855" s="0" t="s">
        <v>75</v>
      </c>
      <c r="F855" s="0" t="s">
        <v>90</v>
      </c>
      <c r="G855" s="0" t="s">
        <v>20</v>
      </c>
      <c r="H855" s="0" t="n">
        <v>22</v>
      </c>
      <c r="I855" s="0" t="s">
        <v>2863</v>
      </c>
      <c r="J855" s="0" t="s">
        <v>2864</v>
      </c>
      <c r="K855" s="0" t="s">
        <v>2865</v>
      </c>
      <c r="L855" s="0" t="str">
        <f aca="false">HYPERLINK("https://www.ncbi.nlm.nih.gov/nuccore/CP000058.1?report=graph&amp;tracks=[key:gene_model_track,Options:GeneOnly]&amp;mk=278624:278643|offset_1|444444,278603:278622|offset_22|00cc00,278572:278591|offset_53|444444,278544:278563|offset_81|444444&amp;v=278423:278763&amp;c=444444", "offset 22")</f>
        <v>offset 22</v>
      </c>
    </row>
    <row r="856" customFormat="false" ht="12.8" hidden="false" customHeight="false" outlineLevel="0" collapsed="false">
      <c r="A856" s="0" t="s">
        <v>12</v>
      </c>
      <c r="B856" s="0" t="n">
        <v>278571</v>
      </c>
      <c r="C856" s="0" t="n">
        <v>278591</v>
      </c>
      <c r="D856" s="0" t="s">
        <v>2859</v>
      </c>
      <c r="E856" s="0" t="s">
        <v>75</v>
      </c>
      <c r="F856" s="0" t="s">
        <v>90</v>
      </c>
      <c r="G856" s="0" t="s">
        <v>36</v>
      </c>
      <c r="H856" s="0" t="n">
        <v>53</v>
      </c>
      <c r="I856" s="0" t="s">
        <v>2866</v>
      </c>
      <c r="J856" s="0" t="s">
        <v>2867</v>
      </c>
      <c r="K856" s="0" t="s">
        <v>2868</v>
      </c>
      <c r="L856" s="0" t="str">
        <f aca="false">HYPERLINK("https://www.ncbi.nlm.nih.gov/nuccore/CP000058.1?report=graph&amp;tracks=[key:gene_model_track,Options:GeneOnly]&amp;mk=278624:278643|offset_1|444444,278603:278622|offset_22|444444,278572:278591|offset_53|00cc00,278544:278563|offset_81|444444&amp;v=278423:278763&amp;c=444444", "offset 53")</f>
        <v>offset 53</v>
      </c>
    </row>
    <row r="857" customFormat="false" ht="12.8" hidden="false" customHeight="false" outlineLevel="0" collapsed="false">
      <c r="A857" s="0" t="s">
        <v>12</v>
      </c>
      <c r="B857" s="0" t="n">
        <v>278543</v>
      </c>
      <c r="C857" s="0" t="n">
        <v>278563</v>
      </c>
      <c r="D857" s="0" t="s">
        <v>2859</v>
      </c>
      <c r="E857" s="0" t="s">
        <v>75</v>
      </c>
      <c r="F857" s="0" t="s">
        <v>90</v>
      </c>
      <c r="G857" s="0" t="s">
        <v>36</v>
      </c>
      <c r="H857" s="0" t="n">
        <v>81</v>
      </c>
      <c r="I857" s="0" t="s">
        <v>2869</v>
      </c>
      <c r="J857" s="0" t="s">
        <v>2870</v>
      </c>
      <c r="K857" s="0" t="s">
        <v>2871</v>
      </c>
      <c r="L857" s="0" t="str">
        <f aca="false">HYPERLINK("https://www.ncbi.nlm.nih.gov/nuccore/CP000058.1?report=graph&amp;tracks=[key:gene_model_track,Options:GeneOnly]&amp;mk=278624:278643|offset_1|444444,278603:278622|offset_22|444444,278572:278591|offset_53|444444,278544:278563|offset_81|00cc00&amp;v=278423:278763&amp;c=444444", "offset 81")</f>
        <v>offset 81</v>
      </c>
    </row>
    <row r="858" customFormat="false" ht="12.8" hidden="false" customHeight="false" outlineLevel="0" collapsed="false">
      <c r="A858" s="0" t="s">
        <v>12</v>
      </c>
      <c r="B858" s="0" t="n">
        <v>278720</v>
      </c>
      <c r="C858" s="0" t="n">
        <v>278740</v>
      </c>
      <c r="D858" s="0" t="s">
        <v>2872</v>
      </c>
      <c r="E858" s="0" t="s">
        <v>2873</v>
      </c>
      <c r="F858" s="0" t="s">
        <v>15</v>
      </c>
      <c r="G858" s="0" t="s">
        <v>36</v>
      </c>
      <c r="H858" s="0" t="n">
        <v>0</v>
      </c>
      <c r="I858" s="0" t="s">
        <v>2874</v>
      </c>
      <c r="J858" s="0" t="s">
        <v>2875</v>
      </c>
      <c r="K858" s="0" t="s">
        <v>2876</v>
      </c>
      <c r="L858" s="0" t="str">
        <f aca="false">HYPERLINK("https://www.ncbi.nlm.nih.gov/nuccore/CP000058.1?report=graph&amp;tracks=[key:gene_model_track,Options:GeneOnly]&amp;mk=278721:278740|offset_0|00cc00,278747:278766|offset_26|444444,278772:278791|offset_51|444444,278793:278812|offset_72|444444&amp;v=278520:279012&amp;c=444444", "offset 0")</f>
        <v>offset 0</v>
      </c>
    </row>
    <row r="859" customFormat="false" ht="12.8" hidden="false" customHeight="false" outlineLevel="0" collapsed="false">
      <c r="A859" s="0" t="s">
        <v>12</v>
      </c>
      <c r="B859" s="0" t="n">
        <v>278746</v>
      </c>
      <c r="C859" s="0" t="n">
        <v>278766</v>
      </c>
      <c r="D859" s="0" t="s">
        <v>2872</v>
      </c>
      <c r="E859" s="0" t="s">
        <v>2873</v>
      </c>
      <c r="F859" s="0" t="s">
        <v>15</v>
      </c>
      <c r="G859" s="0" t="s">
        <v>32</v>
      </c>
      <c r="H859" s="0" t="n">
        <v>26</v>
      </c>
      <c r="I859" s="0" t="s">
        <v>2877</v>
      </c>
      <c r="J859" s="0" t="s">
        <v>2878</v>
      </c>
      <c r="K859" s="0" t="s">
        <v>2879</v>
      </c>
      <c r="L859" s="0" t="str">
        <f aca="false">HYPERLINK("https://www.ncbi.nlm.nih.gov/nuccore/CP000058.1?report=graph&amp;tracks=[key:gene_model_track,Options:GeneOnly]&amp;mk=278721:278740|offset_0|444444,278747:278766|offset_26|00cc00,278772:278791|offset_51|444444,278793:278812|offset_72|444444&amp;v=278520:279012&amp;c=444444", "offset 26")</f>
        <v>offset 26</v>
      </c>
    </row>
    <row r="860" customFormat="false" ht="12.8" hidden="false" customHeight="false" outlineLevel="0" collapsed="false">
      <c r="A860" s="0" t="s">
        <v>12</v>
      </c>
      <c r="B860" s="0" t="n">
        <v>278771</v>
      </c>
      <c r="C860" s="0" t="n">
        <v>278791</v>
      </c>
      <c r="D860" s="0" t="s">
        <v>2872</v>
      </c>
      <c r="E860" s="0" t="s">
        <v>2873</v>
      </c>
      <c r="F860" s="0" t="s">
        <v>15</v>
      </c>
      <c r="G860" s="0" t="s">
        <v>32</v>
      </c>
      <c r="H860" s="0" t="n">
        <v>51</v>
      </c>
      <c r="I860" s="0" t="s">
        <v>2880</v>
      </c>
      <c r="J860" s="0" t="s">
        <v>2881</v>
      </c>
      <c r="K860" s="0" t="s">
        <v>2882</v>
      </c>
      <c r="L860" s="0" t="str">
        <f aca="false">HYPERLINK("https://www.ncbi.nlm.nih.gov/nuccore/CP000058.1?report=graph&amp;tracks=[key:gene_model_track,Options:GeneOnly]&amp;mk=278721:278740|offset_0|444444,278747:278766|offset_26|444444,278772:278791|offset_51|00cc00,278793:278812|offset_72|444444&amp;v=278520:279012&amp;c=444444", "offset 51")</f>
        <v>offset 51</v>
      </c>
    </row>
    <row r="861" customFormat="false" ht="12.8" hidden="false" customHeight="false" outlineLevel="0" collapsed="false">
      <c r="A861" s="0" t="s">
        <v>12</v>
      </c>
      <c r="B861" s="0" t="n">
        <v>278792</v>
      </c>
      <c r="C861" s="0" t="n">
        <v>278812</v>
      </c>
      <c r="D861" s="0" t="s">
        <v>2872</v>
      </c>
      <c r="E861" s="0" t="s">
        <v>2873</v>
      </c>
      <c r="F861" s="0" t="s">
        <v>15</v>
      </c>
      <c r="G861" s="0" t="s">
        <v>20</v>
      </c>
      <c r="H861" s="0" t="n">
        <v>72</v>
      </c>
      <c r="I861" s="0" t="s">
        <v>2883</v>
      </c>
      <c r="J861" s="0" t="s">
        <v>2884</v>
      </c>
      <c r="K861" s="0" t="s">
        <v>2885</v>
      </c>
      <c r="L861" s="0" t="str">
        <f aca="false">HYPERLINK("https://www.ncbi.nlm.nih.gov/nuccore/CP000058.1?report=graph&amp;tracks=[key:gene_model_track,Options:GeneOnly]&amp;mk=278721:278740|offset_0|444444,278747:278766|offset_26|444444,278772:278791|offset_51|444444,278793:278812|offset_72|00cc00&amp;v=278520:279012&amp;c=444444", "offset 72")</f>
        <v>offset 72</v>
      </c>
    </row>
    <row r="862" customFormat="false" ht="12.8" hidden="false" customHeight="false" outlineLevel="0" collapsed="false">
      <c r="A862" s="0" t="s">
        <v>12</v>
      </c>
      <c r="B862" s="0" t="n">
        <v>279971</v>
      </c>
      <c r="C862" s="0" t="n">
        <v>279991</v>
      </c>
      <c r="D862" s="0" t="s">
        <v>2886</v>
      </c>
      <c r="E862" s="0" t="s">
        <v>2887</v>
      </c>
      <c r="F862" s="0" t="s">
        <v>15</v>
      </c>
      <c r="G862" s="0" t="s">
        <v>32</v>
      </c>
      <c r="H862" s="0" t="n">
        <v>24</v>
      </c>
      <c r="I862" s="0" t="s">
        <v>2888</v>
      </c>
      <c r="J862" s="0" t="s">
        <v>2889</v>
      </c>
      <c r="K862" s="0" t="s">
        <v>2890</v>
      </c>
      <c r="L862" s="0" t="str">
        <f aca="false">HYPERLINK("https://www.ncbi.nlm.nih.gov/nuccore/CP000058.1?report=graph&amp;tracks=[key:gene_model_track,Options:GeneOnly]&amp;mk=279972:279991|offset_24|00cc00,280002:280021|offset_54|444444,280025:280044|offset_77|444444,280052:280071|offset_104|444444&amp;v=279771:280271&amp;c=444444", "offset 24")</f>
        <v>offset 24</v>
      </c>
    </row>
    <row r="863" customFormat="false" ht="12.8" hidden="false" customHeight="false" outlineLevel="0" collapsed="false">
      <c r="A863" s="0" t="s">
        <v>12</v>
      </c>
      <c r="B863" s="0" t="n">
        <v>280001</v>
      </c>
      <c r="C863" s="0" t="n">
        <v>280021</v>
      </c>
      <c r="D863" s="0" t="s">
        <v>2886</v>
      </c>
      <c r="E863" s="0" t="s">
        <v>2887</v>
      </c>
      <c r="F863" s="0" t="s">
        <v>15</v>
      </c>
      <c r="G863" s="0" t="s">
        <v>36</v>
      </c>
      <c r="H863" s="0" t="n">
        <v>54</v>
      </c>
      <c r="I863" s="0" t="s">
        <v>2891</v>
      </c>
      <c r="J863" s="0" t="s">
        <v>2892</v>
      </c>
      <c r="K863" s="0" t="s">
        <v>2893</v>
      </c>
      <c r="L863" s="0" t="str">
        <f aca="false">HYPERLINK("https://www.ncbi.nlm.nih.gov/nuccore/CP000058.1?report=graph&amp;tracks=[key:gene_model_track,Options:GeneOnly]&amp;mk=279972:279991|offset_24|444444,280002:280021|offset_54|00cc00,280025:280044|offset_77|444444,280052:280071|offset_104|444444&amp;v=279771:280271&amp;c=444444", "offset 54")</f>
        <v>offset 54</v>
      </c>
    </row>
    <row r="864" customFormat="false" ht="12.8" hidden="false" customHeight="false" outlineLevel="0" collapsed="false">
      <c r="A864" s="0" t="s">
        <v>12</v>
      </c>
      <c r="B864" s="0" t="n">
        <v>280024</v>
      </c>
      <c r="C864" s="0" t="n">
        <v>280044</v>
      </c>
      <c r="D864" s="0" t="s">
        <v>2886</v>
      </c>
      <c r="E864" s="0" t="s">
        <v>2887</v>
      </c>
      <c r="F864" s="0" t="s">
        <v>15</v>
      </c>
      <c r="G864" s="0" t="s">
        <v>32</v>
      </c>
      <c r="H864" s="0" t="n">
        <v>77</v>
      </c>
      <c r="I864" s="0" t="s">
        <v>2894</v>
      </c>
      <c r="J864" s="0" t="s">
        <v>2895</v>
      </c>
      <c r="K864" s="0" t="s">
        <v>2896</v>
      </c>
      <c r="L864" s="0" t="str">
        <f aca="false">HYPERLINK("https://www.ncbi.nlm.nih.gov/nuccore/CP000058.1?report=graph&amp;tracks=[key:gene_model_track,Options:GeneOnly]&amp;mk=279972:279991|offset_24|444444,280002:280021|offset_54|444444,280025:280044|offset_77|00cc00,280052:280071|offset_104|444444&amp;v=279771:280271&amp;c=444444", "offset 77")</f>
        <v>offset 77</v>
      </c>
    </row>
    <row r="865" customFormat="false" ht="12.8" hidden="false" customHeight="false" outlineLevel="0" collapsed="false">
      <c r="A865" s="0" t="s">
        <v>12</v>
      </c>
      <c r="B865" s="0" t="n">
        <v>280051</v>
      </c>
      <c r="C865" s="0" t="n">
        <v>280071</v>
      </c>
      <c r="D865" s="0" t="s">
        <v>2886</v>
      </c>
      <c r="E865" s="0" t="s">
        <v>2887</v>
      </c>
      <c r="F865" s="0" t="s">
        <v>15</v>
      </c>
      <c r="G865" s="0" t="s">
        <v>16</v>
      </c>
      <c r="H865" s="0" t="n">
        <v>104</v>
      </c>
      <c r="I865" s="0" t="s">
        <v>2897</v>
      </c>
      <c r="J865" s="0" t="s">
        <v>2898</v>
      </c>
      <c r="K865" s="0" t="s">
        <v>2899</v>
      </c>
      <c r="L865" s="0" t="str">
        <f aca="false">HYPERLINK("https://www.ncbi.nlm.nih.gov/nuccore/CP000058.1?report=graph&amp;tracks=[key:gene_model_track,Options:GeneOnly]&amp;mk=279972:279991|offset_24|444444,280002:280021|offset_54|444444,280025:280044|offset_77|444444,280052:280071|offset_104|00cc00&amp;v=279771:280271&amp;c=444444", "offset 104")</f>
        <v>offset 104</v>
      </c>
    </row>
    <row r="866" customFormat="false" ht="12.8" hidden="false" customHeight="false" outlineLevel="0" collapsed="false">
      <c r="A866" s="0" t="s">
        <v>12</v>
      </c>
      <c r="B866" s="0" t="n">
        <v>282972</v>
      </c>
      <c r="C866" s="0" t="n">
        <v>282992</v>
      </c>
      <c r="D866" s="0" t="s">
        <v>2900</v>
      </c>
      <c r="E866" s="0" t="s">
        <v>2901</v>
      </c>
      <c r="F866" s="0" t="s">
        <v>90</v>
      </c>
      <c r="G866" s="0" t="s">
        <v>20</v>
      </c>
      <c r="H866" s="0" t="n">
        <v>16</v>
      </c>
      <c r="I866" s="0" t="s">
        <v>2902</v>
      </c>
      <c r="J866" s="0" t="s">
        <v>2903</v>
      </c>
      <c r="K866" s="0" t="s">
        <v>2904</v>
      </c>
      <c r="L866" s="0" t="str">
        <f aca="false">HYPERLINK("https://www.ncbi.nlm.nih.gov/nuccore/CP000058.1?report=graph&amp;tracks=[key:gene_model_track,Options:GeneOnly]&amp;mk=282973:282992|offset_16|00cc00,282921:282940|offset_68|444444,282900:282919|offset_89|444444,282876:282895|offset_113|444444&amp;v=282772:283095&amp;c=444444", "offset 16")</f>
        <v>offset 16</v>
      </c>
    </row>
    <row r="867" customFormat="false" ht="12.8" hidden="false" customHeight="false" outlineLevel="0" collapsed="false">
      <c r="A867" s="0" t="s">
        <v>12</v>
      </c>
      <c r="B867" s="0" t="n">
        <v>282920</v>
      </c>
      <c r="C867" s="0" t="n">
        <v>282940</v>
      </c>
      <c r="D867" s="0" t="s">
        <v>2900</v>
      </c>
      <c r="E867" s="0" t="s">
        <v>2901</v>
      </c>
      <c r="F867" s="0" t="s">
        <v>90</v>
      </c>
      <c r="G867" s="0" t="s">
        <v>20</v>
      </c>
      <c r="H867" s="0" t="n">
        <v>68</v>
      </c>
      <c r="I867" s="0" t="s">
        <v>2905</v>
      </c>
      <c r="J867" s="0" t="s">
        <v>2906</v>
      </c>
      <c r="K867" s="0" t="s">
        <v>2907</v>
      </c>
      <c r="L867" s="0" t="str">
        <f aca="false">HYPERLINK("https://www.ncbi.nlm.nih.gov/nuccore/CP000058.1?report=graph&amp;tracks=[key:gene_model_track,Options:GeneOnly]&amp;mk=282973:282992|offset_16|444444,282921:282940|offset_68|00cc00,282900:282919|offset_89|444444,282876:282895|offset_113|444444&amp;v=282772:283095&amp;c=444444", "offset 68")</f>
        <v>offset 68</v>
      </c>
    </row>
    <row r="868" customFormat="false" ht="12.8" hidden="false" customHeight="false" outlineLevel="0" collapsed="false">
      <c r="A868" s="0" t="s">
        <v>12</v>
      </c>
      <c r="B868" s="0" t="n">
        <v>282899</v>
      </c>
      <c r="C868" s="0" t="n">
        <v>282919</v>
      </c>
      <c r="D868" s="0" t="s">
        <v>2900</v>
      </c>
      <c r="E868" s="0" t="s">
        <v>2901</v>
      </c>
      <c r="F868" s="0" t="s">
        <v>90</v>
      </c>
      <c r="G868" s="0" t="s">
        <v>20</v>
      </c>
      <c r="H868" s="0" t="n">
        <v>89</v>
      </c>
      <c r="I868" s="0" t="s">
        <v>2908</v>
      </c>
      <c r="J868" s="0" t="s">
        <v>2909</v>
      </c>
      <c r="K868" s="0" t="s">
        <v>2910</v>
      </c>
      <c r="L868" s="0" t="str">
        <f aca="false">HYPERLINK("https://www.ncbi.nlm.nih.gov/nuccore/CP000058.1?report=graph&amp;tracks=[key:gene_model_track,Options:GeneOnly]&amp;mk=282973:282992|offset_16|444444,282921:282940|offset_68|444444,282900:282919|offset_89|00cc00,282876:282895|offset_113|444444&amp;v=282772:283095&amp;c=444444", "offset 89")</f>
        <v>offset 89</v>
      </c>
    </row>
    <row r="869" customFormat="false" ht="12.8" hidden="false" customHeight="false" outlineLevel="0" collapsed="false">
      <c r="A869" s="0" t="s">
        <v>12</v>
      </c>
      <c r="B869" s="0" t="n">
        <v>282875</v>
      </c>
      <c r="C869" s="0" t="n">
        <v>282895</v>
      </c>
      <c r="D869" s="0" t="s">
        <v>2900</v>
      </c>
      <c r="E869" s="0" t="s">
        <v>2901</v>
      </c>
      <c r="F869" s="0" t="s">
        <v>90</v>
      </c>
      <c r="G869" s="0" t="s">
        <v>20</v>
      </c>
      <c r="H869" s="0" t="n">
        <v>113</v>
      </c>
      <c r="I869" s="0" t="s">
        <v>2911</v>
      </c>
      <c r="J869" s="0" t="s">
        <v>2912</v>
      </c>
      <c r="K869" s="0" t="s">
        <v>2913</v>
      </c>
      <c r="L869" s="0" t="str">
        <f aca="false">HYPERLINK("https://www.ncbi.nlm.nih.gov/nuccore/CP000058.1?report=graph&amp;tracks=[key:gene_model_track,Options:GeneOnly]&amp;mk=282973:282992|offset_16|444444,282921:282940|offset_68|444444,282900:282919|offset_89|444444,282876:282895|offset_113|00cc00&amp;v=282772:283095&amp;c=444444", "offset 113")</f>
        <v>offset 113</v>
      </c>
    </row>
    <row r="870" customFormat="false" ht="12.8" hidden="false" customHeight="false" outlineLevel="0" collapsed="false">
      <c r="A870" s="0" t="s">
        <v>12</v>
      </c>
      <c r="B870" s="0" t="n">
        <v>283587</v>
      </c>
      <c r="C870" s="0" t="n">
        <v>283607</v>
      </c>
      <c r="D870" s="0" t="s">
        <v>2914</v>
      </c>
      <c r="E870" s="0" t="s">
        <v>75</v>
      </c>
      <c r="F870" s="0" t="s">
        <v>90</v>
      </c>
      <c r="G870" s="0" t="s">
        <v>20</v>
      </c>
      <c r="H870" s="0" t="n">
        <v>12</v>
      </c>
      <c r="I870" s="0" t="s">
        <v>2915</v>
      </c>
      <c r="J870" s="0" t="s">
        <v>2916</v>
      </c>
      <c r="K870" s="0" t="s">
        <v>2917</v>
      </c>
      <c r="L870" s="0" t="str">
        <f aca="false">HYPERLINK("https://www.ncbi.nlm.nih.gov/nuccore/CP000058.1?report=graph&amp;tracks=[key:gene_model_track,Options:GeneOnly]&amp;mk=283588:283607|offset_12|00cc00,283566:283585|offset_34|444444,283501:283520|offset_99|444444,283428:283447|offset_172|444444&amp;v=283387:283647&amp;c=444444", "offset 12")</f>
        <v>offset 12</v>
      </c>
    </row>
    <row r="871" customFormat="false" ht="12.8" hidden="false" customHeight="false" outlineLevel="0" collapsed="false">
      <c r="A871" s="0" t="s">
        <v>12</v>
      </c>
      <c r="B871" s="0" t="n">
        <v>283565</v>
      </c>
      <c r="C871" s="0" t="n">
        <v>283585</v>
      </c>
      <c r="D871" s="0" t="s">
        <v>2914</v>
      </c>
      <c r="E871" s="0" t="s">
        <v>75</v>
      </c>
      <c r="F871" s="0" t="s">
        <v>90</v>
      </c>
      <c r="G871" s="0" t="s">
        <v>20</v>
      </c>
      <c r="H871" s="0" t="n">
        <v>34</v>
      </c>
      <c r="I871" s="0" t="s">
        <v>2918</v>
      </c>
      <c r="J871" s="0" t="s">
        <v>2919</v>
      </c>
      <c r="K871" s="0" t="s">
        <v>2920</v>
      </c>
      <c r="L871" s="0" t="str">
        <f aca="false">HYPERLINK("https://www.ncbi.nlm.nih.gov/nuccore/CP000058.1?report=graph&amp;tracks=[key:gene_model_track,Options:GeneOnly]&amp;mk=283588:283607|offset_12|444444,283566:283585|offset_34|00cc00,283501:283520|offset_99|444444,283428:283447|offset_172|444444&amp;v=283387:283647&amp;c=444444", "offset 34")</f>
        <v>offset 34</v>
      </c>
    </row>
    <row r="872" customFormat="false" ht="12.8" hidden="false" customHeight="false" outlineLevel="0" collapsed="false">
      <c r="A872" s="0" t="s">
        <v>12</v>
      </c>
      <c r="B872" s="0" t="n">
        <v>283500</v>
      </c>
      <c r="C872" s="0" t="n">
        <v>283520</v>
      </c>
      <c r="D872" s="0" t="s">
        <v>2914</v>
      </c>
      <c r="E872" s="0" t="s">
        <v>75</v>
      </c>
      <c r="F872" s="0" t="s">
        <v>90</v>
      </c>
      <c r="G872" s="0" t="s">
        <v>16</v>
      </c>
      <c r="H872" s="0" t="n">
        <v>99</v>
      </c>
      <c r="I872" s="0" t="s">
        <v>2921</v>
      </c>
      <c r="J872" s="0" t="s">
        <v>2922</v>
      </c>
      <c r="K872" s="0" t="s">
        <v>2923</v>
      </c>
      <c r="L872" s="0" t="str">
        <f aca="false">HYPERLINK("https://www.ncbi.nlm.nih.gov/nuccore/CP000058.1?report=graph&amp;tracks=[key:gene_model_track,Options:GeneOnly]&amp;mk=283588:283607|offset_12|444444,283566:283585|offset_34|444444,283501:283520|offset_99|00cc00,283428:283447|offset_172|444444&amp;v=283387:283647&amp;c=444444", "offset 99")</f>
        <v>offset 99</v>
      </c>
    </row>
    <row r="873" customFormat="false" ht="12.8" hidden="false" customHeight="false" outlineLevel="0" collapsed="false">
      <c r="A873" s="0" t="s">
        <v>12</v>
      </c>
      <c r="B873" s="0" t="n">
        <v>283427</v>
      </c>
      <c r="C873" s="0" t="n">
        <v>283447</v>
      </c>
      <c r="D873" s="0" t="s">
        <v>2914</v>
      </c>
      <c r="E873" s="0" t="s">
        <v>75</v>
      </c>
      <c r="F873" s="0" t="s">
        <v>90</v>
      </c>
      <c r="G873" s="0" t="s">
        <v>32</v>
      </c>
      <c r="H873" s="0" t="n">
        <v>172</v>
      </c>
      <c r="I873" s="0" t="s">
        <v>2924</v>
      </c>
      <c r="J873" s="0" t="s">
        <v>2925</v>
      </c>
      <c r="K873" s="0" t="s">
        <v>2926</v>
      </c>
      <c r="L873" s="0" t="str">
        <f aca="false">HYPERLINK("https://www.ncbi.nlm.nih.gov/nuccore/CP000058.1?report=graph&amp;tracks=[key:gene_model_track,Options:GeneOnly]&amp;mk=283588:283607|offset_12|444444,283566:283585|offset_34|444444,283501:283520|offset_99|444444,283428:283447|offset_172|00cc00&amp;v=283387:283647&amp;c=444444", "offset 172")</f>
        <v>offset 172</v>
      </c>
    </row>
    <row r="874" customFormat="false" ht="12.8" hidden="false" customHeight="false" outlineLevel="0" collapsed="false">
      <c r="A874" s="0" t="s">
        <v>12</v>
      </c>
      <c r="B874" s="0" t="n">
        <v>285892</v>
      </c>
      <c r="C874" s="0" t="n">
        <v>285912</v>
      </c>
      <c r="D874" s="0" t="s">
        <v>2927</v>
      </c>
      <c r="E874" s="0" t="s">
        <v>2928</v>
      </c>
      <c r="F874" s="0" t="s">
        <v>90</v>
      </c>
      <c r="G874" s="0" t="s">
        <v>16</v>
      </c>
      <c r="H874" s="0" t="n">
        <v>28</v>
      </c>
      <c r="I874" s="0" t="s">
        <v>2929</v>
      </c>
      <c r="J874" s="0" t="s">
        <v>2930</v>
      </c>
      <c r="K874" s="0" t="s">
        <v>2931</v>
      </c>
      <c r="L874" s="0" t="str">
        <f aca="false">HYPERLINK("https://www.ncbi.nlm.nih.gov/nuccore/CP000058.1?report=graph&amp;tracks=[key:gene_model_track,Options:GeneOnly]&amp;mk=285893:285912|offset_28|00cc00,285873:285892|offset_48|444444,285827:285846|offset_94|444444,285805:285824|offset_116|444444&amp;v=285692:286024&amp;c=444444", "offset 28")</f>
        <v>offset 28</v>
      </c>
    </row>
    <row r="875" customFormat="false" ht="12.8" hidden="false" customHeight="false" outlineLevel="0" collapsed="false">
      <c r="A875" s="0" t="s">
        <v>12</v>
      </c>
      <c r="B875" s="0" t="n">
        <v>285872</v>
      </c>
      <c r="C875" s="0" t="n">
        <v>285892</v>
      </c>
      <c r="D875" s="0" t="s">
        <v>2927</v>
      </c>
      <c r="E875" s="0" t="s">
        <v>2928</v>
      </c>
      <c r="F875" s="0" t="s">
        <v>90</v>
      </c>
      <c r="G875" s="0" t="s">
        <v>32</v>
      </c>
      <c r="H875" s="0" t="n">
        <v>48</v>
      </c>
      <c r="I875" s="0" t="s">
        <v>2932</v>
      </c>
      <c r="J875" s="0" t="s">
        <v>2933</v>
      </c>
      <c r="K875" s="0" t="s">
        <v>2934</v>
      </c>
      <c r="L875" s="0" t="str">
        <f aca="false">HYPERLINK("https://www.ncbi.nlm.nih.gov/nuccore/CP000058.1?report=graph&amp;tracks=[key:gene_model_track,Options:GeneOnly]&amp;mk=285893:285912|offset_28|444444,285873:285892|offset_48|00cc00,285827:285846|offset_94|444444,285805:285824|offset_116|444444&amp;v=285692:286024&amp;c=444444", "offset 48")</f>
        <v>offset 48</v>
      </c>
    </row>
    <row r="876" customFormat="false" ht="12.8" hidden="false" customHeight="false" outlineLevel="0" collapsed="false">
      <c r="A876" s="0" t="s">
        <v>12</v>
      </c>
      <c r="B876" s="0" t="n">
        <v>285826</v>
      </c>
      <c r="C876" s="0" t="n">
        <v>285846</v>
      </c>
      <c r="D876" s="0" t="s">
        <v>2927</v>
      </c>
      <c r="E876" s="0" t="s">
        <v>2928</v>
      </c>
      <c r="F876" s="0" t="s">
        <v>90</v>
      </c>
      <c r="G876" s="0" t="s">
        <v>16</v>
      </c>
      <c r="H876" s="0" t="n">
        <v>94</v>
      </c>
      <c r="I876" s="0" t="s">
        <v>2935</v>
      </c>
      <c r="J876" s="0" t="s">
        <v>2936</v>
      </c>
      <c r="K876" s="0" t="s">
        <v>2937</v>
      </c>
      <c r="L876" s="0" t="str">
        <f aca="false">HYPERLINK("https://www.ncbi.nlm.nih.gov/nuccore/CP000058.1?report=graph&amp;tracks=[key:gene_model_track,Options:GeneOnly]&amp;mk=285893:285912|offset_28|444444,285873:285892|offset_48|444444,285827:285846|offset_94|00cc00,285805:285824|offset_116|444444&amp;v=285692:286024&amp;c=444444", "offset 94")</f>
        <v>offset 94</v>
      </c>
    </row>
    <row r="877" customFormat="false" ht="12.8" hidden="false" customHeight="false" outlineLevel="0" collapsed="false">
      <c r="A877" s="0" t="s">
        <v>12</v>
      </c>
      <c r="B877" s="0" t="n">
        <v>285804</v>
      </c>
      <c r="C877" s="0" t="n">
        <v>285824</v>
      </c>
      <c r="D877" s="0" t="s">
        <v>2927</v>
      </c>
      <c r="E877" s="0" t="s">
        <v>2928</v>
      </c>
      <c r="F877" s="0" t="s">
        <v>90</v>
      </c>
      <c r="G877" s="0" t="s">
        <v>16</v>
      </c>
      <c r="H877" s="0" t="n">
        <v>116</v>
      </c>
      <c r="I877" s="0" t="s">
        <v>2938</v>
      </c>
      <c r="J877" s="0" t="s">
        <v>2939</v>
      </c>
      <c r="K877" s="0" t="s">
        <v>2940</v>
      </c>
      <c r="L877" s="0" t="str">
        <f aca="false">HYPERLINK("https://www.ncbi.nlm.nih.gov/nuccore/CP000058.1?report=graph&amp;tracks=[key:gene_model_track,Options:GeneOnly]&amp;mk=285893:285912|offset_28|444444,285873:285892|offset_48|444444,285827:285846|offset_94|444444,285805:285824|offset_116|00cc00&amp;v=285692:286024&amp;c=444444", "offset 116")</f>
        <v>offset 116</v>
      </c>
    </row>
    <row r="878" customFormat="false" ht="12.8" hidden="false" customHeight="false" outlineLevel="0" collapsed="false">
      <c r="A878" s="0" t="s">
        <v>12</v>
      </c>
      <c r="B878" s="0" t="n">
        <v>286239</v>
      </c>
      <c r="C878" s="0" t="n">
        <v>286259</v>
      </c>
      <c r="D878" s="0" t="s">
        <v>2941</v>
      </c>
      <c r="E878" s="0" t="s">
        <v>2942</v>
      </c>
      <c r="F878" s="0" t="s">
        <v>15</v>
      </c>
      <c r="G878" s="0" t="s">
        <v>16</v>
      </c>
      <c r="H878" s="0" t="n">
        <v>0</v>
      </c>
      <c r="I878" s="0" t="s">
        <v>2943</v>
      </c>
      <c r="J878" s="0" t="s">
        <v>2944</v>
      </c>
      <c r="K878" s="0" t="s">
        <v>2945</v>
      </c>
      <c r="L878" s="0" t="str">
        <f aca="false">HYPERLINK("https://www.ncbi.nlm.nih.gov/nuccore/CP000058.1?report=graph&amp;tracks=[key:gene_model_track,Options:GeneOnly]&amp;mk=286240:286259|offset_0|00cc00,286281:286300|offset_41|444444,286317:286336|offset_77|444444,286347:286366|offset_107|444444&amp;v=286039:286566&amp;c=444444", "offset 0")</f>
        <v>offset 0</v>
      </c>
    </row>
    <row r="879" customFormat="false" ht="12.8" hidden="false" customHeight="false" outlineLevel="0" collapsed="false">
      <c r="A879" s="0" t="s">
        <v>12</v>
      </c>
      <c r="B879" s="0" t="n">
        <v>286280</v>
      </c>
      <c r="C879" s="0" t="n">
        <v>286300</v>
      </c>
      <c r="D879" s="0" t="s">
        <v>2941</v>
      </c>
      <c r="E879" s="0" t="s">
        <v>2942</v>
      </c>
      <c r="F879" s="0" t="s">
        <v>15</v>
      </c>
      <c r="G879" s="0" t="s">
        <v>20</v>
      </c>
      <c r="H879" s="0" t="n">
        <v>41</v>
      </c>
      <c r="I879" s="0" t="s">
        <v>2946</v>
      </c>
      <c r="J879" s="0" t="s">
        <v>2947</v>
      </c>
      <c r="K879" s="0" t="s">
        <v>2948</v>
      </c>
      <c r="L879" s="0" t="str">
        <f aca="false">HYPERLINK("https://www.ncbi.nlm.nih.gov/nuccore/CP000058.1?report=graph&amp;tracks=[key:gene_model_track,Options:GeneOnly]&amp;mk=286240:286259|offset_0|444444,286281:286300|offset_41|00cc00,286317:286336|offset_77|444444,286347:286366|offset_107|444444&amp;v=286039:286566&amp;c=444444", "offset 41")</f>
        <v>offset 41</v>
      </c>
    </row>
    <row r="880" customFormat="false" ht="12.8" hidden="false" customHeight="false" outlineLevel="0" collapsed="false">
      <c r="A880" s="0" t="s">
        <v>12</v>
      </c>
      <c r="B880" s="0" t="n">
        <v>286316</v>
      </c>
      <c r="C880" s="0" t="n">
        <v>286336</v>
      </c>
      <c r="D880" s="0" t="s">
        <v>2941</v>
      </c>
      <c r="E880" s="0" t="s">
        <v>2942</v>
      </c>
      <c r="F880" s="0" t="s">
        <v>15</v>
      </c>
      <c r="G880" s="0" t="s">
        <v>20</v>
      </c>
      <c r="H880" s="0" t="n">
        <v>77</v>
      </c>
      <c r="I880" s="0" t="s">
        <v>2949</v>
      </c>
      <c r="J880" s="0" t="s">
        <v>2950</v>
      </c>
      <c r="K880" s="0" t="s">
        <v>2951</v>
      </c>
      <c r="L880" s="0" t="str">
        <f aca="false">HYPERLINK("https://www.ncbi.nlm.nih.gov/nuccore/CP000058.1?report=graph&amp;tracks=[key:gene_model_track,Options:GeneOnly]&amp;mk=286240:286259|offset_0|444444,286281:286300|offset_41|444444,286317:286336|offset_77|00cc00,286347:286366|offset_107|444444&amp;v=286039:286566&amp;c=444444", "offset 77")</f>
        <v>offset 77</v>
      </c>
    </row>
    <row r="881" customFormat="false" ht="12.8" hidden="false" customHeight="false" outlineLevel="0" collapsed="false">
      <c r="A881" s="0" t="s">
        <v>12</v>
      </c>
      <c r="B881" s="0" t="n">
        <v>286346</v>
      </c>
      <c r="C881" s="0" t="n">
        <v>286366</v>
      </c>
      <c r="D881" s="0" t="s">
        <v>2941</v>
      </c>
      <c r="E881" s="0" t="s">
        <v>2942</v>
      </c>
      <c r="F881" s="0" t="s">
        <v>15</v>
      </c>
      <c r="G881" s="0" t="s">
        <v>16</v>
      </c>
      <c r="H881" s="0" t="n">
        <v>107</v>
      </c>
      <c r="I881" s="0" t="s">
        <v>2952</v>
      </c>
      <c r="J881" s="0" t="s">
        <v>2953</v>
      </c>
      <c r="K881" s="0" t="s">
        <v>2954</v>
      </c>
      <c r="L881" s="0" t="str">
        <f aca="false">HYPERLINK("https://www.ncbi.nlm.nih.gov/nuccore/CP000058.1?report=graph&amp;tracks=[key:gene_model_track,Options:GeneOnly]&amp;mk=286240:286259|offset_0|444444,286281:286300|offset_41|444444,286317:286336|offset_77|444444,286347:286366|offset_107|00cc00&amp;v=286039:286566&amp;c=444444", "offset 107")</f>
        <v>offset 107</v>
      </c>
    </row>
    <row r="882" customFormat="false" ht="12.8" hidden="false" customHeight="false" outlineLevel="0" collapsed="false">
      <c r="A882" s="0" t="s">
        <v>12</v>
      </c>
      <c r="B882" s="0" t="n">
        <v>287155</v>
      </c>
      <c r="C882" s="0" t="n">
        <v>287175</v>
      </c>
      <c r="D882" s="0" t="s">
        <v>2955</v>
      </c>
      <c r="E882" s="0" t="s">
        <v>2956</v>
      </c>
      <c r="F882" s="0" t="s">
        <v>15</v>
      </c>
      <c r="G882" s="0" t="s">
        <v>16</v>
      </c>
      <c r="H882" s="0" t="n">
        <v>24</v>
      </c>
      <c r="I882" s="0" t="s">
        <v>2957</v>
      </c>
      <c r="J882" s="0" t="s">
        <v>2958</v>
      </c>
      <c r="K882" s="0" t="s">
        <v>2959</v>
      </c>
      <c r="L882" s="0" t="str">
        <f aca="false">HYPERLINK("https://www.ncbi.nlm.nih.gov/nuccore/CP000058.1?report=graph&amp;tracks=[key:gene_model_track,Options:GeneOnly]&amp;mk=287156:287175|offset_24|00cc00,287229:287248|offset_97|444444,287287:287306|offset_155|444444,287325:287344|offset_193|444444&amp;v=286955:287544&amp;c=444444", "offset 24")</f>
        <v>offset 24</v>
      </c>
    </row>
    <row r="883" customFormat="false" ht="12.8" hidden="false" customHeight="false" outlineLevel="0" collapsed="false">
      <c r="A883" s="0" t="s">
        <v>12</v>
      </c>
      <c r="B883" s="0" t="n">
        <v>287228</v>
      </c>
      <c r="C883" s="0" t="n">
        <v>287248</v>
      </c>
      <c r="D883" s="0" t="s">
        <v>2955</v>
      </c>
      <c r="E883" s="0" t="s">
        <v>2956</v>
      </c>
      <c r="F883" s="0" t="s">
        <v>15</v>
      </c>
      <c r="G883" s="0" t="s">
        <v>36</v>
      </c>
      <c r="H883" s="0" t="n">
        <v>97</v>
      </c>
      <c r="I883" s="0" t="s">
        <v>2960</v>
      </c>
      <c r="J883" s="0" t="s">
        <v>2961</v>
      </c>
      <c r="K883" s="0" t="s">
        <v>2962</v>
      </c>
      <c r="L883" s="0" t="str">
        <f aca="false">HYPERLINK("https://www.ncbi.nlm.nih.gov/nuccore/CP000058.1?report=graph&amp;tracks=[key:gene_model_track,Options:GeneOnly]&amp;mk=287156:287175|offset_24|444444,287229:287248|offset_97|00cc00,287287:287306|offset_155|444444,287325:287344|offset_193|444444&amp;v=286955:287544&amp;c=444444", "offset 97")</f>
        <v>offset 97</v>
      </c>
    </row>
    <row r="884" customFormat="false" ht="12.8" hidden="false" customHeight="false" outlineLevel="0" collapsed="false">
      <c r="A884" s="0" t="s">
        <v>12</v>
      </c>
      <c r="B884" s="0" t="n">
        <v>287286</v>
      </c>
      <c r="C884" s="0" t="n">
        <v>287306</v>
      </c>
      <c r="D884" s="0" t="s">
        <v>2955</v>
      </c>
      <c r="E884" s="0" t="s">
        <v>2956</v>
      </c>
      <c r="F884" s="0" t="s">
        <v>15</v>
      </c>
      <c r="G884" s="0" t="s">
        <v>32</v>
      </c>
      <c r="H884" s="0" t="n">
        <v>155</v>
      </c>
      <c r="I884" s="0" t="s">
        <v>2963</v>
      </c>
      <c r="J884" s="0" t="s">
        <v>2964</v>
      </c>
      <c r="K884" s="0" t="s">
        <v>2965</v>
      </c>
      <c r="L884" s="0" t="str">
        <f aca="false">HYPERLINK("https://www.ncbi.nlm.nih.gov/nuccore/CP000058.1?report=graph&amp;tracks=[key:gene_model_track,Options:GeneOnly]&amp;mk=287156:287175|offset_24|444444,287229:287248|offset_97|444444,287287:287306|offset_155|00cc00,287325:287344|offset_193|444444&amp;v=286955:287544&amp;c=444444", "offset 155")</f>
        <v>offset 155</v>
      </c>
    </row>
    <row r="885" customFormat="false" ht="12.8" hidden="false" customHeight="false" outlineLevel="0" collapsed="false">
      <c r="A885" s="0" t="s">
        <v>12</v>
      </c>
      <c r="B885" s="0" t="n">
        <v>287324</v>
      </c>
      <c r="C885" s="0" t="n">
        <v>287344</v>
      </c>
      <c r="D885" s="0" t="s">
        <v>2955</v>
      </c>
      <c r="E885" s="0" t="s">
        <v>2956</v>
      </c>
      <c r="F885" s="0" t="s">
        <v>15</v>
      </c>
      <c r="G885" s="0" t="s">
        <v>16</v>
      </c>
      <c r="H885" s="0" t="n">
        <v>193</v>
      </c>
      <c r="I885" s="0" t="s">
        <v>2966</v>
      </c>
      <c r="J885" s="0" t="s">
        <v>2967</v>
      </c>
      <c r="K885" s="0" t="s">
        <v>2968</v>
      </c>
      <c r="L885" s="0" t="str">
        <f aca="false">HYPERLINK("https://www.ncbi.nlm.nih.gov/nuccore/CP000058.1?report=graph&amp;tracks=[key:gene_model_track,Options:GeneOnly]&amp;mk=287156:287175|offset_24|444444,287229:287248|offset_97|444444,287287:287306|offset_155|444444,287325:287344|offset_193|00cc00&amp;v=286955:287544&amp;c=444444", "offset 193")</f>
        <v>offset 193</v>
      </c>
    </row>
    <row r="886" customFormat="false" ht="12.8" hidden="false" customHeight="false" outlineLevel="0" collapsed="false">
      <c r="A886" s="0" t="s">
        <v>12</v>
      </c>
      <c r="B886" s="0" t="n">
        <v>289121</v>
      </c>
      <c r="C886" s="0" t="n">
        <v>289141</v>
      </c>
      <c r="D886" s="0" t="s">
        <v>2969</v>
      </c>
      <c r="E886" s="0" t="s">
        <v>75</v>
      </c>
      <c r="F886" s="0" t="s">
        <v>90</v>
      </c>
      <c r="G886" s="0" t="s">
        <v>16</v>
      </c>
      <c r="H886" s="0" t="n">
        <v>28</v>
      </c>
      <c r="I886" s="0" t="s">
        <v>2970</v>
      </c>
      <c r="J886" s="0" t="s">
        <v>2971</v>
      </c>
      <c r="K886" s="0" t="s">
        <v>2972</v>
      </c>
      <c r="L886" s="0" t="str">
        <f aca="false">HYPERLINK("https://www.ncbi.nlm.nih.gov/nuccore/CP000058.1?report=graph&amp;tracks=[key:gene_model_track,Options:GeneOnly]&amp;mk=289122:289141|offset_28|00cc00,289095:289114|offset_55|444444,289041:289060|offset_109|444444,289020:289039|offset_130|444444&amp;v=288921:289239&amp;c=444444", "offset 28")</f>
        <v>offset 28</v>
      </c>
    </row>
    <row r="887" customFormat="false" ht="12.8" hidden="false" customHeight="false" outlineLevel="0" collapsed="false">
      <c r="A887" s="0" t="s">
        <v>12</v>
      </c>
      <c r="B887" s="0" t="n">
        <v>289094</v>
      </c>
      <c r="C887" s="0" t="n">
        <v>289114</v>
      </c>
      <c r="D887" s="0" t="s">
        <v>2969</v>
      </c>
      <c r="E887" s="0" t="s">
        <v>75</v>
      </c>
      <c r="F887" s="0" t="s">
        <v>90</v>
      </c>
      <c r="G887" s="0" t="s">
        <v>32</v>
      </c>
      <c r="H887" s="0" t="n">
        <v>55</v>
      </c>
      <c r="I887" s="0" t="s">
        <v>2973</v>
      </c>
      <c r="J887" s="0" t="s">
        <v>2974</v>
      </c>
      <c r="K887" s="0" t="s">
        <v>2975</v>
      </c>
      <c r="L887" s="0" t="str">
        <f aca="false">HYPERLINK("https://www.ncbi.nlm.nih.gov/nuccore/CP000058.1?report=graph&amp;tracks=[key:gene_model_track,Options:GeneOnly]&amp;mk=289122:289141|offset_28|444444,289095:289114|offset_55|00cc00,289041:289060|offset_109|444444,289020:289039|offset_130|444444&amp;v=288921:289239&amp;c=444444", "offset 55")</f>
        <v>offset 55</v>
      </c>
    </row>
    <row r="888" customFormat="false" ht="12.8" hidden="false" customHeight="false" outlineLevel="0" collapsed="false">
      <c r="A888" s="0" t="s">
        <v>12</v>
      </c>
      <c r="B888" s="0" t="n">
        <v>289040</v>
      </c>
      <c r="C888" s="0" t="n">
        <v>289060</v>
      </c>
      <c r="D888" s="0" t="s">
        <v>2969</v>
      </c>
      <c r="E888" s="0" t="s">
        <v>75</v>
      </c>
      <c r="F888" s="0" t="s">
        <v>90</v>
      </c>
      <c r="G888" s="0" t="s">
        <v>16</v>
      </c>
      <c r="H888" s="0" t="n">
        <v>109</v>
      </c>
      <c r="I888" s="0" t="s">
        <v>2976</v>
      </c>
      <c r="J888" s="0" t="s">
        <v>2977</v>
      </c>
      <c r="K888" s="0" t="s">
        <v>2978</v>
      </c>
      <c r="L888" s="0" t="str">
        <f aca="false">HYPERLINK("https://www.ncbi.nlm.nih.gov/nuccore/CP000058.1?report=graph&amp;tracks=[key:gene_model_track,Options:GeneOnly]&amp;mk=289122:289141|offset_28|444444,289095:289114|offset_55|444444,289041:289060|offset_109|00cc00,289020:289039|offset_130|444444&amp;v=288921:289239&amp;c=444444", "offset 109")</f>
        <v>offset 109</v>
      </c>
    </row>
    <row r="889" customFormat="false" ht="12.8" hidden="false" customHeight="false" outlineLevel="0" collapsed="false">
      <c r="A889" s="0" t="s">
        <v>12</v>
      </c>
      <c r="B889" s="0" t="n">
        <v>289019</v>
      </c>
      <c r="C889" s="0" t="n">
        <v>289039</v>
      </c>
      <c r="D889" s="0" t="s">
        <v>2969</v>
      </c>
      <c r="E889" s="0" t="s">
        <v>75</v>
      </c>
      <c r="F889" s="0" t="s">
        <v>90</v>
      </c>
      <c r="G889" s="0" t="s">
        <v>20</v>
      </c>
      <c r="H889" s="0" t="n">
        <v>130</v>
      </c>
      <c r="I889" s="0" t="s">
        <v>2979</v>
      </c>
      <c r="J889" s="0" t="s">
        <v>2980</v>
      </c>
      <c r="K889" s="0" t="s">
        <v>2981</v>
      </c>
      <c r="L889" s="0" t="str">
        <f aca="false">HYPERLINK("https://www.ncbi.nlm.nih.gov/nuccore/CP000058.1?report=graph&amp;tracks=[key:gene_model_track,Options:GeneOnly]&amp;mk=289122:289141|offset_28|444444,289095:289114|offset_55|444444,289041:289060|offset_109|444444,289020:289039|offset_130|00cc00&amp;v=288921:289239&amp;c=444444", "offset 130")</f>
        <v>offset 130</v>
      </c>
    </row>
    <row r="890" customFormat="false" ht="12.8" hidden="false" customHeight="false" outlineLevel="0" collapsed="false">
      <c r="A890" s="0" t="s">
        <v>12</v>
      </c>
      <c r="B890" s="0" t="n">
        <v>289315</v>
      </c>
      <c r="C890" s="0" t="n">
        <v>289335</v>
      </c>
      <c r="D890" s="0" t="s">
        <v>2982</v>
      </c>
      <c r="E890" s="0" t="s">
        <v>75</v>
      </c>
      <c r="F890" s="0" t="s">
        <v>90</v>
      </c>
      <c r="G890" s="0" t="s">
        <v>32</v>
      </c>
      <c r="H890" s="0" t="n">
        <v>1</v>
      </c>
      <c r="I890" s="0" t="s">
        <v>2983</v>
      </c>
      <c r="J890" s="0" t="s">
        <v>2984</v>
      </c>
      <c r="K890" s="0" t="s">
        <v>2985</v>
      </c>
      <c r="L890" s="0" t="str">
        <f aca="false">HYPERLINK("https://www.ncbi.nlm.nih.gov/nuccore/CP000058.1?report=graph&amp;tracks=[key:gene_model_track,Options:GeneOnly]&amp;mk=289316:289335|offset_1|00cc00,289280:289299|offset_37|444444,289232:289251|offset_85|444444,289201:289220|offset_116|444444&amp;v=289115:289420&amp;c=444444", "offset 1")</f>
        <v>offset 1</v>
      </c>
    </row>
    <row r="891" customFormat="false" ht="12.8" hidden="false" customHeight="false" outlineLevel="0" collapsed="false">
      <c r="A891" s="0" t="s">
        <v>12</v>
      </c>
      <c r="B891" s="0" t="n">
        <v>289279</v>
      </c>
      <c r="C891" s="0" t="n">
        <v>289299</v>
      </c>
      <c r="D891" s="0" t="s">
        <v>2982</v>
      </c>
      <c r="E891" s="0" t="s">
        <v>75</v>
      </c>
      <c r="F891" s="0" t="s">
        <v>90</v>
      </c>
      <c r="G891" s="0" t="s">
        <v>32</v>
      </c>
      <c r="H891" s="0" t="n">
        <v>37</v>
      </c>
      <c r="I891" s="0" t="s">
        <v>2986</v>
      </c>
      <c r="J891" s="0" t="s">
        <v>2987</v>
      </c>
      <c r="K891" s="0" t="s">
        <v>2988</v>
      </c>
      <c r="L891" s="0" t="str">
        <f aca="false">HYPERLINK("https://www.ncbi.nlm.nih.gov/nuccore/CP000058.1?report=graph&amp;tracks=[key:gene_model_track,Options:GeneOnly]&amp;mk=289316:289335|offset_1|444444,289280:289299|offset_37|00cc00,289232:289251|offset_85|444444,289201:289220|offset_116|444444&amp;v=289115:289420&amp;c=444444", "offset 37")</f>
        <v>offset 37</v>
      </c>
    </row>
    <row r="892" customFormat="false" ht="12.8" hidden="false" customHeight="false" outlineLevel="0" collapsed="false">
      <c r="A892" s="0" t="s">
        <v>12</v>
      </c>
      <c r="B892" s="0" t="n">
        <v>289231</v>
      </c>
      <c r="C892" s="0" t="n">
        <v>289251</v>
      </c>
      <c r="D892" s="0" t="s">
        <v>2982</v>
      </c>
      <c r="E892" s="0" t="s">
        <v>75</v>
      </c>
      <c r="F892" s="0" t="s">
        <v>90</v>
      </c>
      <c r="G892" s="0" t="s">
        <v>16</v>
      </c>
      <c r="H892" s="0" t="n">
        <v>85</v>
      </c>
      <c r="I892" s="0" t="s">
        <v>2989</v>
      </c>
      <c r="J892" s="0" t="s">
        <v>2990</v>
      </c>
      <c r="K892" s="0" t="s">
        <v>2991</v>
      </c>
      <c r="L892" s="0" t="str">
        <f aca="false">HYPERLINK("https://www.ncbi.nlm.nih.gov/nuccore/CP000058.1?report=graph&amp;tracks=[key:gene_model_track,Options:GeneOnly]&amp;mk=289316:289335|offset_1|444444,289280:289299|offset_37|444444,289232:289251|offset_85|00cc00,289201:289220|offset_116|444444&amp;v=289115:289420&amp;c=444444", "offset 85")</f>
        <v>offset 85</v>
      </c>
    </row>
    <row r="893" customFormat="false" ht="12.8" hidden="false" customHeight="false" outlineLevel="0" collapsed="false">
      <c r="A893" s="0" t="s">
        <v>12</v>
      </c>
      <c r="B893" s="0" t="n">
        <v>289200</v>
      </c>
      <c r="C893" s="0" t="n">
        <v>289220</v>
      </c>
      <c r="D893" s="0" t="s">
        <v>2982</v>
      </c>
      <c r="E893" s="0" t="s">
        <v>75</v>
      </c>
      <c r="F893" s="0" t="s">
        <v>90</v>
      </c>
      <c r="G893" s="0" t="s">
        <v>20</v>
      </c>
      <c r="H893" s="0" t="n">
        <v>116</v>
      </c>
      <c r="I893" s="0" t="s">
        <v>2992</v>
      </c>
      <c r="J893" s="0" t="s">
        <v>2993</v>
      </c>
      <c r="K893" s="0" t="s">
        <v>2994</v>
      </c>
      <c r="L893" s="0" t="str">
        <f aca="false">HYPERLINK("https://www.ncbi.nlm.nih.gov/nuccore/CP000058.1?report=graph&amp;tracks=[key:gene_model_track,Options:GeneOnly]&amp;mk=289316:289335|offset_1|444444,289280:289299|offset_37|444444,289232:289251|offset_85|444444,289201:289220|offset_116|00cc00&amp;v=289115:289420&amp;c=444444", "offset 116")</f>
        <v>offset 116</v>
      </c>
    </row>
    <row r="894" customFormat="false" ht="12.8" hidden="false" customHeight="false" outlineLevel="0" collapsed="false">
      <c r="A894" s="0" t="s">
        <v>12</v>
      </c>
      <c r="B894" s="0" t="n">
        <v>289684</v>
      </c>
      <c r="C894" s="0" t="n">
        <v>289704</v>
      </c>
      <c r="D894" s="0" t="s">
        <v>2995</v>
      </c>
      <c r="E894" s="0" t="s">
        <v>75</v>
      </c>
      <c r="F894" s="0" t="s">
        <v>90</v>
      </c>
      <c r="G894" s="0" t="s">
        <v>36</v>
      </c>
      <c r="H894" s="0" t="n">
        <v>10</v>
      </c>
      <c r="I894" s="0" t="s">
        <v>2996</v>
      </c>
      <c r="J894" s="0" t="s">
        <v>2997</v>
      </c>
      <c r="K894" s="0" t="s">
        <v>2998</v>
      </c>
      <c r="L894" s="0" t="str">
        <f aca="false">HYPERLINK("https://www.ncbi.nlm.nih.gov/nuccore/CP000058.1?report=graph&amp;tracks=[key:gene_model_track,Options:GeneOnly]&amp;mk=289685:289704|offset_10|00cc00,289651:289670|offset_44|444444,289625:289644|offset_70|444444,289591:289610|offset_104|444444&amp;v=289484:289810&amp;c=444444", "offset 10")</f>
        <v>offset 10</v>
      </c>
    </row>
    <row r="895" customFormat="false" ht="12.8" hidden="false" customHeight="false" outlineLevel="0" collapsed="false">
      <c r="A895" s="0" t="s">
        <v>12</v>
      </c>
      <c r="B895" s="0" t="n">
        <v>289650</v>
      </c>
      <c r="C895" s="0" t="n">
        <v>289670</v>
      </c>
      <c r="D895" s="0" t="s">
        <v>2995</v>
      </c>
      <c r="E895" s="0" t="s">
        <v>75</v>
      </c>
      <c r="F895" s="0" t="s">
        <v>90</v>
      </c>
      <c r="G895" s="0" t="s">
        <v>32</v>
      </c>
      <c r="H895" s="0" t="n">
        <v>44</v>
      </c>
      <c r="I895" s="0" t="s">
        <v>2999</v>
      </c>
      <c r="J895" s="0" t="s">
        <v>3000</v>
      </c>
      <c r="K895" s="0" t="s">
        <v>3001</v>
      </c>
      <c r="L895" s="0" t="str">
        <f aca="false">HYPERLINK("https://www.ncbi.nlm.nih.gov/nuccore/CP000058.1?report=graph&amp;tracks=[key:gene_model_track,Options:GeneOnly]&amp;mk=289685:289704|offset_10|444444,289651:289670|offset_44|00cc00,289625:289644|offset_70|444444,289591:289610|offset_104|444444&amp;v=289484:289810&amp;c=444444", "offset 44")</f>
        <v>offset 44</v>
      </c>
    </row>
    <row r="896" customFormat="false" ht="12.8" hidden="false" customHeight="false" outlineLevel="0" collapsed="false">
      <c r="A896" s="0" t="s">
        <v>12</v>
      </c>
      <c r="B896" s="0" t="n">
        <v>289624</v>
      </c>
      <c r="C896" s="0" t="n">
        <v>289644</v>
      </c>
      <c r="D896" s="0" t="s">
        <v>2995</v>
      </c>
      <c r="E896" s="0" t="s">
        <v>75</v>
      </c>
      <c r="F896" s="0" t="s">
        <v>90</v>
      </c>
      <c r="G896" s="0" t="s">
        <v>36</v>
      </c>
      <c r="H896" s="0" t="n">
        <v>70</v>
      </c>
      <c r="I896" s="0" t="s">
        <v>3002</v>
      </c>
      <c r="J896" s="0" t="s">
        <v>3003</v>
      </c>
      <c r="K896" s="0" t="s">
        <v>3004</v>
      </c>
      <c r="L896" s="0" t="str">
        <f aca="false">HYPERLINK("https://www.ncbi.nlm.nih.gov/nuccore/CP000058.1?report=graph&amp;tracks=[key:gene_model_track,Options:GeneOnly]&amp;mk=289685:289704|offset_10|444444,289651:289670|offset_44|444444,289625:289644|offset_70|00cc00,289591:289610|offset_104|444444&amp;v=289484:289810&amp;c=444444", "offset 70")</f>
        <v>offset 70</v>
      </c>
    </row>
    <row r="897" customFormat="false" ht="12.8" hidden="false" customHeight="false" outlineLevel="0" collapsed="false">
      <c r="A897" s="0" t="s">
        <v>12</v>
      </c>
      <c r="B897" s="0" t="n">
        <v>289590</v>
      </c>
      <c r="C897" s="0" t="n">
        <v>289610</v>
      </c>
      <c r="D897" s="0" t="s">
        <v>2995</v>
      </c>
      <c r="E897" s="0" t="s">
        <v>75</v>
      </c>
      <c r="F897" s="0" t="s">
        <v>90</v>
      </c>
      <c r="G897" s="0" t="s">
        <v>20</v>
      </c>
      <c r="H897" s="0" t="n">
        <v>104</v>
      </c>
      <c r="I897" s="0" t="s">
        <v>3005</v>
      </c>
      <c r="J897" s="0" t="s">
        <v>3006</v>
      </c>
      <c r="K897" s="0" t="s">
        <v>3007</v>
      </c>
      <c r="L897" s="0" t="str">
        <f aca="false">HYPERLINK("https://www.ncbi.nlm.nih.gov/nuccore/CP000058.1?report=graph&amp;tracks=[key:gene_model_track,Options:GeneOnly]&amp;mk=289685:289704|offset_10|444444,289651:289670|offset_44|444444,289625:289644|offset_70|444444,289591:289610|offset_104|00cc00&amp;v=289484:289810&amp;c=444444", "offset 104")</f>
        <v>offset 104</v>
      </c>
    </row>
    <row r="898" customFormat="false" ht="12.8" hidden="false" customHeight="false" outlineLevel="0" collapsed="false">
      <c r="A898" s="0" t="s">
        <v>12</v>
      </c>
      <c r="B898" s="0" t="n">
        <v>290695</v>
      </c>
      <c r="C898" s="0" t="n">
        <v>290715</v>
      </c>
      <c r="D898" s="0" t="s">
        <v>3008</v>
      </c>
      <c r="E898" s="0" t="s">
        <v>75</v>
      </c>
      <c r="F898" s="0" t="s">
        <v>90</v>
      </c>
      <c r="G898" s="0" t="s">
        <v>16</v>
      </c>
      <c r="H898" s="0" t="n">
        <v>34</v>
      </c>
      <c r="I898" s="0" t="s">
        <v>3009</v>
      </c>
      <c r="J898" s="0" t="s">
        <v>3010</v>
      </c>
      <c r="K898" s="0" t="s">
        <v>3011</v>
      </c>
      <c r="L898" s="0" t="str">
        <f aca="false">HYPERLINK("https://www.ncbi.nlm.nih.gov/nuccore/CP000058.1?report=graph&amp;tracks=[key:gene_model_track,Options:GeneOnly]&amp;mk=290696:290715|offset_34|00cc00,290668:290687|offset_62|444444,290643:290662|offset_87|444444,290572:290591|offset_158|444444&amp;v=290495:290791&amp;c=444444", "offset 34")</f>
        <v>offset 34</v>
      </c>
    </row>
    <row r="899" customFormat="false" ht="12.8" hidden="false" customHeight="false" outlineLevel="0" collapsed="false">
      <c r="A899" s="0" t="s">
        <v>12</v>
      </c>
      <c r="B899" s="0" t="n">
        <v>290667</v>
      </c>
      <c r="C899" s="0" t="n">
        <v>290687</v>
      </c>
      <c r="D899" s="0" t="s">
        <v>3008</v>
      </c>
      <c r="E899" s="0" t="s">
        <v>75</v>
      </c>
      <c r="F899" s="0" t="s">
        <v>90</v>
      </c>
      <c r="G899" s="0" t="s">
        <v>36</v>
      </c>
      <c r="H899" s="0" t="n">
        <v>62</v>
      </c>
      <c r="I899" s="0" t="s">
        <v>3012</v>
      </c>
      <c r="J899" s="0" t="s">
        <v>3013</v>
      </c>
      <c r="K899" s="0" t="s">
        <v>3014</v>
      </c>
      <c r="L899" s="0" t="str">
        <f aca="false">HYPERLINK("https://www.ncbi.nlm.nih.gov/nuccore/CP000058.1?report=graph&amp;tracks=[key:gene_model_track,Options:GeneOnly]&amp;mk=290696:290715|offset_34|444444,290668:290687|offset_62|00cc00,290643:290662|offset_87|444444,290572:290591|offset_158|444444&amp;v=290495:290791&amp;c=444444", "offset 62")</f>
        <v>offset 62</v>
      </c>
    </row>
    <row r="900" customFormat="false" ht="12.8" hidden="false" customHeight="false" outlineLevel="0" collapsed="false">
      <c r="A900" s="0" t="s">
        <v>12</v>
      </c>
      <c r="B900" s="0" t="n">
        <v>290642</v>
      </c>
      <c r="C900" s="0" t="n">
        <v>290662</v>
      </c>
      <c r="D900" s="0" t="s">
        <v>3008</v>
      </c>
      <c r="E900" s="0" t="s">
        <v>75</v>
      </c>
      <c r="F900" s="0" t="s">
        <v>90</v>
      </c>
      <c r="G900" s="0" t="s">
        <v>36</v>
      </c>
      <c r="H900" s="0" t="n">
        <v>87</v>
      </c>
      <c r="I900" s="0" t="s">
        <v>3015</v>
      </c>
      <c r="J900" s="0" t="s">
        <v>3016</v>
      </c>
      <c r="K900" s="0" t="s">
        <v>3017</v>
      </c>
      <c r="L900" s="0" t="str">
        <f aca="false">HYPERLINK("https://www.ncbi.nlm.nih.gov/nuccore/CP000058.1?report=graph&amp;tracks=[key:gene_model_track,Options:GeneOnly]&amp;mk=290696:290715|offset_34|444444,290668:290687|offset_62|444444,290643:290662|offset_87|00cc00,290572:290591|offset_158|444444&amp;v=290495:290791&amp;c=444444", "offset 87")</f>
        <v>offset 87</v>
      </c>
    </row>
    <row r="901" customFormat="false" ht="12.8" hidden="false" customHeight="false" outlineLevel="0" collapsed="false">
      <c r="A901" s="0" t="s">
        <v>12</v>
      </c>
      <c r="B901" s="0" t="n">
        <v>290571</v>
      </c>
      <c r="C901" s="0" t="n">
        <v>290591</v>
      </c>
      <c r="D901" s="0" t="s">
        <v>3008</v>
      </c>
      <c r="E901" s="0" t="s">
        <v>75</v>
      </c>
      <c r="F901" s="0" t="s">
        <v>90</v>
      </c>
      <c r="G901" s="0" t="s">
        <v>36</v>
      </c>
      <c r="H901" s="0" t="n">
        <v>158</v>
      </c>
      <c r="I901" s="0" t="s">
        <v>3018</v>
      </c>
      <c r="J901" s="0" t="s">
        <v>3019</v>
      </c>
      <c r="K901" s="0" t="s">
        <v>3020</v>
      </c>
      <c r="L901" s="0" t="str">
        <f aca="false">HYPERLINK("https://www.ncbi.nlm.nih.gov/nuccore/CP000058.1?report=graph&amp;tracks=[key:gene_model_track,Options:GeneOnly]&amp;mk=290696:290715|offset_34|444444,290668:290687|offset_62|444444,290643:290662|offset_87|444444,290572:290591|offset_158|00cc00&amp;v=290495:290791&amp;c=444444", "offset 158")</f>
        <v>offset 158</v>
      </c>
    </row>
    <row r="902" customFormat="false" ht="12.8" hidden="false" customHeight="false" outlineLevel="0" collapsed="false">
      <c r="A902" s="0" t="s">
        <v>12</v>
      </c>
      <c r="B902" s="0" t="n">
        <v>290959</v>
      </c>
      <c r="C902" s="0" t="n">
        <v>290979</v>
      </c>
      <c r="D902" s="0" t="s">
        <v>3021</v>
      </c>
      <c r="E902" s="0" t="s">
        <v>3022</v>
      </c>
      <c r="F902" s="0" t="s">
        <v>15</v>
      </c>
      <c r="G902" s="0" t="s">
        <v>32</v>
      </c>
      <c r="H902" s="0" t="n">
        <v>13</v>
      </c>
      <c r="I902" s="0" t="s">
        <v>3023</v>
      </c>
      <c r="J902" s="0" t="s">
        <v>3024</v>
      </c>
      <c r="K902" s="0" t="s">
        <v>3025</v>
      </c>
      <c r="L902" s="0" t="str">
        <f aca="false">HYPERLINK("https://www.ncbi.nlm.nih.gov/nuccore/CP000058.1?report=graph&amp;tracks=[key:gene_model_track,Options:GeneOnly]&amp;mk=290960:290979|offset_13|00cc00,291002:291021|offset_55|444444,291056:291075|offset_109|444444,291099:291118|offset_152|444444&amp;v=290759:291318&amp;c=444444", "offset 13")</f>
        <v>offset 13</v>
      </c>
    </row>
    <row r="903" customFormat="false" ht="12.8" hidden="false" customHeight="false" outlineLevel="0" collapsed="false">
      <c r="A903" s="0" t="s">
        <v>12</v>
      </c>
      <c r="B903" s="0" t="n">
        <v>291001</v>
      </c>
      <c r="C903" s="0" t="n">
        <v>291021</v>
      </c>
      <c r="D903" s="0" t="s">
        <v>3021</v>
      </c>
      <c r="E903" s="0" t="s">
        <v>3022</v>
      </c>
      <c r="F903" s="0" t="s">
        <v>15</v>
      </c>
      <c r="G903" s="0" t="s">
        <v>16</v>
      </c>
      <c r="H903" s="0" t="n">
        <v>55</v>
      </c>
      <c r="I903" s="0" t="s">
        <v>3026</v>
      </c>
      <c r="J903" s="0" t="s">
        <v>3027</v>
      </c>
      <c r="K903" s="0" t="s">
        <v>3028</v>
      </c>
      <c r="L903" s="0" t="str">
        <f aca="false">HYPERLINK("https://www.ncbi.nlm.nih.gov/nuccore/CP000058.1?report=graph&amp;tracks=[key:gene_model_track,Options:GeneOnly]&amp;mk=290960:290979|offset_13|444444,291002:291021|offset_55|00cc00,291056:291075|offset_109|444444,291099:291118|offset_152|444444&amp;v=290759:291318&amp;c=444444", "offset 55")</f>
        <v>offset 55</v>
      </c>
    </row>
    <row r="904" customFormat="false" ht="12.8" hidden="false" customHeight="false" outlineLevel="0" collapsed="false">
      <c r="A904" s="0" t="s">
        <v>12</v>
      </c>
      <c r="B904" s="0" t="n">
        <v>291055</v>
      </c>
      <c r="C904" s="0" t="n">
        <v>291075</v>
      </c>
      <c r="D904" s="0" t="s">
        <v>3021</v>
      </c>
      <c r="E904" s="0" t="s">
        <v>3022</v>
      </c>
      <c r="F904" s="0" t="s">
        <v>15</v>
      </c>
      <c r="G904" s="0" t="s">
        <v>32</v>
      </c>
      <c r="H904" s="0" t="n">
        <v>109</v>
      </c>
      <c r="I904" s="0" t="s">
        <v>3029</v>
      </c>
      <c r="J904" s="0" t="s">
        <v>3030</v>
      </c>
      <c r="K904" s="0" t="s">
        <v>3031</v>
      </c>
      <c r="L904" s="0" t="str">
        <f aca="false">HYPERLINK("https://www.ncbi.nlm.nih.gov/nuccore/CP000058.1?report=graph&amp;tracks=[key:gene_model_track,Options:GeneOnly]&amp;mk=290960:290979|offset_13|444444,291002:291021|offset_55|444444,291056:291075|offset_109|00cc00,291099:291118|offset_152|444444&amp;v=290759:291318&amp;c=444444", "offset 109")</f>
        <v>offset 109</v>
      </c>
    </row>
    <row r="905" customFormat="false" ht="12.8" hidden="false" customHeight="false" outlineLevel="0" collapsed="false">
      <c r="A905" s="0" t="s">
        <v>12</v>
      </c>
      <c r="B905" s="0" t="n">
        <v>291098</v>
      </c>
      <c r="C905" s="0" t="n">
        <v>291118</v>
      </c>
      <c r="D905" s="0" t="s">
        <v>3021</v>
      </c>
      <c r="E905" s="0" t="s">
        <v>3022</v>
      </c>
      <c r="F905" s="0" t="s">
        <v>15</v>
      </c>
      <c r="G905" s="0" t="s">
        <v>32</v>
      </c>
      <c r="H905" s="0" t="n">
        <v>152</v>
      </c>
      <c r="I905" s="0" t="s">
        <v>3032</v>
      </c>
      <c r="J905" s="0" t="s">
        <v>3033</v>
      </c>
      <c r="K905" s="0" t="s">
        <v>3034</v>
      </c>
      <c r="L905" s="0" t="str">
        <f aca="false">HYPERLINK("https://www.ncbi.nlm.nih.gov/nuccore/CP000058.1?report=graph&amp;tracks=[key:gene_model_track,Options:GeneOnly]&amp;mk=290960:290979|offset_13|444444,291002:291021|offset_55|444444,291056:291075|offset_109|444444,291099:291118|offset_152|00cc00&amp;v=290759:291318&amp;c=444444", "offset 152")</f>
        <v>offset 152</v>
      </c>
    </row>
    <row r="906" customFormat="false" ht="12.8" hidden="false" customHeight="false" outlineLevel="0" collapsed="false">
      <c r="A906" s="0" t="s">
        <v>12</v>
      </c>
      <c r="B906" s="0" t="n">
        <v>292316</v>
      </c>
      <c r="C906" s="0" t="n">
        <v>292336</v>
      </c>
      <c r="D906" s="0" t="s">
        <v>3035</v>
      </c>
      <c r="E906" s="0" t="s">
        <v>75</v>
      </c>
      <c r="F906" s="0" t="s">
        <v>15</v>
      </c>
      <c r="G906" s="0" t="s">
        <v>32</v>
      </c>
      <c r="H906" s="0" t="n">
        <v>13</v>
      </c>
      <c r="I906" s="0" t="s">
        <v>3036</v>
      </c>
      <c r="J906" s="0" t="s">
        <v>3037</v>
      </c>
      <c r="K906" s="0" t="s">
        <v>3038</v>
      </c>
      <c r="L906" s="0" t="str">
        <f aca="false">HYPERLINK("https://www.ncbi.nlm.nih.gov/nuccore/CP000058.1?report=graph&amp;tracks=[key:gene_model_track,Options:GeneOnly]&amp;mk=292317:292336|offset_13|00cc00,292365:292384|offset_61|444444,292416:292435|offset_112|444444,292438:292457|offset_134|444444&amp;v=292116:292657&amp;c=444444", "offset 13")</f>
        <v>offset 13</v>
      </c>
    </row>
    <row r="907" customFormat="false" ht="12.8" hidden="false" customHeight="false" outlineLevel="0" collapsed="false">
      <c r="A907" s="0" t="s">
        <v>12</v>
      </c>
      <c r="B907" s="0" t="n">
        <v>292364</v>
      </c>
      <c r="C907" s="0" t="n">
        <v>292384</v>
      </c>
      <c r="D907" s="0" t="s">
        <v>3035</v>
      </c>
      <c r="E907" s="0" t="s">
        <v>75</v>
      </c>
      <c r="F907" s="0" t="s">
        <v>15</v>
      </c>
      <c r="G907" s="0" t="s">
        <v>16</v>
      </c>
      <c r="H907" s="0" t="n">
        <v>61</v>
      </c>
      <c r="I907" s="0" t="s">
        <v>3039</v>
      </c>
      <c r="J907" s="0" t="s">
        <v>3040</v>
      </c>
      <c r="K907" s="0" t="s">
        <v>3041</v>
      </c>
      <c r="L907" s="0" t="str">
        <f aca="false">HYPERLINK("https://www.ncbi.nlm.nih.gov/nuccore/CP000058.1?report=graph&amp;tracks=[key:gene_model_track,Options:GeneOnly]&amp;mk=292317:292336|offset_13|444444,292365:292384|offset_61|00cc00,292416:292435|offset_112|444444,292438:292457|offset_134|444444&amp;v=292116:292657&amp;c=444444", "offset 61")</f>
        <v>offset 61</v>
      </c>
    </row>
    <row r="908" customFormat="false" ht="12.8" hidden="false" customHeight="false" outlineLevel="0" collapsed="false">
      <c r="A908" s="0" t="s">
        <v>12</v>
      </c>
      <c r="B908" s="0" t="n">
        <v>292415</v>
      </c>
      <c r="C908" s="0" t="n">
        <v>292435</v>
      </c>
      <c r="D908" s="0" t="s">
        <v>3035</v>
      </c>
      <c r="E908" s="0" t="s">
        <v>75</v>
      </c>
      <c r="F908" s="0" t="s">
        <v>15</v>
      </c>
      <c r="G908" s="0" t="s">
        <v>36</v>
      </c>
      <c r="H908" s="0" t="n">
        <v>112</v>
      </c>
      <c r="I908" s="0" t="s">
        <v>3042</v>
      </c>
      <c r="J908" s="0" t="s">
        <v>3043</v>
      </c>
      <c r="K908" s="0" t="s">
        <v>3044</v>
      </c>
      <c r="L908" s="0" t="str">
        <f aca="false">HYPERLINK("https://www.ncbi.nlm.nih.gov/nuccore/CP000058.1?report=graph&amp;tracks=[key:gene_model_track,Options:GeneOnly]&amp;mk=292317:292336|offset_13|444444,292365:292384|offset_61|444444,292416:292435|offset_112|00cc00,292438:292457|offset_134|444444&amp;v=292116:292657&amp;c=444444", "offset 112")</f>
        <v>offset 112</v>
      </c>
    </row>
    <row r="909" customFormat="false" ht="12.8" hidden="false" customHeight="false" outlineLevel="0" collapsed="false">
      <c r="A909" s="0" t="s">
        <v>12</v>
      </c>
      <c r="B909" s="0" t="n">
        <v>292437</v>
      </c>
      <c r="C909" s="0" t="n">
        <v>292457</v>
      </c>
      <c r="D909" s="0" t="s">
        <v>3035</v>
      </c>
      <c r="E909" s="0" t="s">
        <v>75</v>
      </c>
      <c r="F909" s="0" t="s">
        <v>15</v>
      </c>
      <c r="G909" s="0" t="s">
        <v>32</v>
      </c>
      <c r="H909" s="0" t="n">
        <v>134</v>
      </c>
      <c r="I909" s="0" t="s">
        <v>3045</v>
      </c>
      <c r="J909" s="0" t="s">
        <v>3046</v>
      </c>
      <c r="K909" s="0" t="s">
        <v>3047</v>
      </c>
      <c r="L909" s="0" t="str">
        <f aca="false">HYPERLINK("https://www.ncbi.nlm.nih.gov/nuccore/CP000058.1?report=graph&amp;tracks=[key:gene_model_track,Options:GeneOnly]&amp;mk=292317:292336|offset_13|444444,292365:292384|offset_61|444444,292416:292435|offset_112|444444,292438:292457|offset_134|00cc00&amp;v=292116:292657&amp;c=444444", "offset 134")</f>
        <v>offset 134</v>
      </c>
    </row>
    <row r="910" customFormat="false" ht="12.8" hidden="false" customHeight="false" outlineLevel="0" collapsed="false">
      <c r="A910" s="0" t="s">
        <v>12</v>
      </c>
      <c r="B910" s="0" t="n">
        <v>294919</v>
      </c>
      <c r="C910" s="0" t="n">
        <v>294939</v>
      </c>
      <c r="D910" s="0" t="s">
        <v>3048</v>
      </c>
      <c r="E910" s="0" t="s">
        <v>75</v>
      </c>
      <c r="F910" s="0" t="s">
        <v>90</v>
      </c>
      <c r="G910" s="0" t="s">
        <v>36</v>
      </c>
      <c r="H910" s="0" t="n">
        <v>0</v>
      </c>
      <c r="I910" s="0" t="s">
        <v>3049</v>
      </c>
      <c r="J910" s="0" t="s">
        <v>3050</v>
      </c>
      <c r="K910" s="0" t="s">
        <v>3051</v>
      </c>
      <c r="L910" s="0" t="str">
        <f aca="false">HYPERLINK("https://www.ncbi.nlm.nih.gov/nuccore/CP000058.1?report=graph&amp;tracks=[key:gene_model_track,Options:GeneOnly]&amp;mk=294920:294939|offset_0|00cc00,294898:294917|offset_22|444444,294874:294893|offset_46|444444,294847:294866|offset_73|444444&amp;v=294719:295066&amp;c=444444", "offset 0")</f>
        <v>offset 0</v>
      </c>
    </row>
    <row r="911" customFormat="false" ht="12.8" hidden="false" customHeight="false" outlineLevel="0" collapsed="false">
      <c r="A911" s="0" t="s">
        <v>12</v>
      </c>
      <c r="B911" s="0" t="n">
        <v>294897</v>
      </c>
      <c r="C911" s="0" t="n">
        <v>294917</v>
      </c>
      <c r="D911" s="0" t="s">
        <v>3048</v>
      </c>
      <c r="E911" s="0" t="s">
        <v>75</v>
      </c>
      <c r="F911" s="0" t="s">
        <v>90</v>
      </c>
      <c r="G911" s="0" t="s">
        <v>20</v>
      </c>
      <c r="H911" s="0" t="n">
        <v>22</v>
      </c>
      <c r="I911" s="0" t="s">
        <v>3052</v>
      </c>
      <c r="J911" s="0" t="s">
        <v>3053</v>
      </c>
      <c r="K911" s="0" t="s">
        <v>3054</v>
      </c>
      <c r="L911" s="0" t="str">
        <f aca="false">HYPERLINK("https://www.ncbi.nlm.nih.gov/nuccore/CP000058.1?report=graph&amp;tracks=[key:gene_model_track,Options:GeneOnly]&amp;mk=294920:294939|offset_0|444444,294898:294917|offset_22|00cc00,294874:294893|offset_46|444444,294847:294866|offset_73|444444&amp;v=294719:295066&amp;c=444444", "offset 22")</f>
        <v>offset 22</v>
      </c>
    </row>
    <row r="912" customFormat="false" ht="12.8" hidden="false" customHeight="false" outlineLevel="0" collapsed="false">
      <c r="A912" s="0" t="s">
        <v>12</v>
      </c>
      <c r="B912" s="0" t="n">
        <v>294873</v>
      </c>
      <c r="C912" s="0" t="n">
        <v>294893</v>
      </c>
      <c r="D912" s="0" t="s">
        <v>3048</v>
      </c>
      <c r="E912" s="0" t="s">
        <v>75</v>
      </c>
      <c r="F912" s="0" t="s">
        <v>90</v>
      </c>
      <c r="G912" s="0" t="s">
        <v>20</v>
      </c>
      <c r="H912" s="0" t="n">
        <v>46</v>
      </c>
      <c r="I912" s="0" t="s">
        <v>3055</v>
      </c>
      <c r="J912" s="0" t="s">
        <v>3056</v>
      </c>
      <c r="K912" s="0" t="s">
        <v>3057</v>
      </c>
      <c r="L912" s="0" t="str">
        <f aca="false">HYPERLINK("https://www.ncbi.nlm.nih.gov/nuccore/CP000058.1?report=graph&amp;tracks=[key:gene_model_track,Options:GeneOnly]&amp;mk=294920:294939|offset_0|444444,294898:294917|offset_22|444444,294874:294893|offset_46|00cc00,294847:294866|offset_73|444444&amp;v=294719:295066&amp;c=444444", "offset 46")</f>
        <v>offset 46</v>
      </c>
    </row>
    <row r="913" customFormat="false" ht="12.8" hidden="false" customHeight="false" outlineLevel="0" collapsed="false">
      <c r="A913" s="0" t="s">
        <v>12</v>
      </c>
      <c r="B913" s="0" t="n">
        <v>294846</v>
      </c>
      <c r="C913" s="0" t="n">
        <v>294866</v>
      </c>
      <c r="D913" s="0" t="s">
        <v>3048</v>
      </c>
      <c r="E913" s="0" t="s">
        <v>75</v>
      </c>
      <c r="F913" s="0" t="s">
        <v>90</v>
      </c>
      <c r="G913" s="0" t="s">
        <v>32</v>
      </c>
      <c r="H913" s="0" t="n">
        <v>73</v>
      </c>
      <c r="I913" s="0" t="s">
        <v>3058</v>
      </c>
      <c r="J913" s="0" t="s">
        <v>3059</v>
      </c>
      <c r="K913" s="0" t="s">
        <v>3060</v>
      </c>
      <c r="L913" s="0" t="str">
        <f aca="false">HYPERLINK("https://www.ncbi.nlm.nih.gov/nuccore/CP000058.1?report=graph&amp;tracks=[key:gene_model_track,Options:GeneOnly]&amp;mk=294920:294939|offset_0|444444,294898:294917|offset_22|444444,294874:294893|offset_46|444444,294847:294866|offset_73|00cc00&amp;v=294719:295066&amp;c=444444", "offset 73")</f>
        <v>offset 73</v>
      </c>
    </row>
    <row r="914" customFormat="false" ht="12.8" hidden="false" customHeight="false" outlineLevel="0" collapsed="false">
      <c r="A914" s="0" t="s">
        <v>12</v>
      </c>
      <c r="B914" s="0" t="n">
        <v>297037</v>
      </c>
      <c r="C914" s="0" t="n">
        <v>297057</v>
      </c>
      <c r="D914" s="0" t="s">
        <v>3061</v>
      </c>
      <c r="E914" s="0" t="s">
        <v>75</v>
      </c>
      <c r="F914" s="0" t="s">
        <v>90</v>
      </c>
      <c r="G914" s="0" t="s">
        <v>20</v>
      </c>
      <c r="H914" s="0" t="n">
        <v>38</v>
      </c>
      <c r="I914" s="0" t="s">
        <v>3062</v>
      </c>
      <c r="J914" s="0" t="s">
        <v>3063</v>
      </c>
      <c r="K914" s="0" t="s">
        <v>3064</v>
      </c>
      <c r="L914" s="0" t="str">
        <f aca="false">HYPERLINK("https://www.ncbi.nlm.nih.gov/nuccore/CP000058.1?report=graph&amp;tracks=[key:gene_model_track,Options:GeneOnly]&amp;mk=297038:297057|offset_38|00cc00,296972:296991|offset_104|444444,296951:296970|offset_125|444444,296930:296949|offset_146|444444&amp;v=296837:297149&amp;c=444444", "offset 38")</f>
        <v>offset 38</v>
      </c>
    </row>
    <row r="915" customFormat="false" ht="12.8" hidden="false" customHeight="false" outlineLevel="0" collapsed="false">
      <c r="A915" s="0" t="s">
        <v>12</v>
      </c>
      <c r="B915" s="0" t="n">
        <v>296971</v>
      </c>
      <c r="C915" s="0" t="n">
        <v>296991</v>
      </c>
      <c r="D915" s="0" t="s">
        <v>3061</v>
      </c>
      <c r="E915" s="0" t="s">
        <v>75</v>
      </c>
      <c r="F915" s="0" t="s">
        <v>90</v>
      </c>
      <c r="G915" s="0" t="s">
        <v>16</v>
      </c>
      <c r="H915" s="0" t="n">
        <v>104</v>
      </c>
      <c r="I915" s="0" t="s">
        <v>3065</v>
      </c>
      <c r="J915" s="0" t="s">
        <v>3066</v>
      </c>
      <c r="K915" s="0" t="s">
        <v>3067</v>
      </c>
      <c r="L915" s="0" t="str">
        <f aca="false">HYPERLINK("https://www.ncbi.nlm.nih.gov/nuccore/CP000058.1?report=graph&amp;tracks=[key:gene_model_track,Options:GeneOnly]&amp;mk=297038:297057|offset_38|444444,296972:296991|offset_104|00cc00,296951:296970|offset_125|444444,296930:296949|offset_146|444444&amp;v=296837:297149&amp;c=444444", "offset 104")</f>
        <v>offset 104</v>
      </c>
    </row>
    <row r="916" customFormat="false" ht="12.8" hidden="false" customHeight="false" outlineLevel="0" collapsed="false">
      <c r="A916" s="0" t="s">
        <v>12</v>
      </c>
      <c r="B916" s="0" t="n">
        <v>296950</v>
      </c>
      <c r="C916" s="0" t="n">
        <v>296970</v>
      </c>
      <c r="D916" s="0" t="s">
        <v>3061</v>
      </c>
      <c r="E916" s="0" t="s">
        <v>75</v>
      </c>
      <c r="F916" s="0" t="s">
        <v>90</v>
      </c>
      <c r="G916" s="0" t="s">
        <v>20</v>
      </c>
      <c r="H916" s="0" t="n">
        <v>125</v>
      </c>
      <c r="I916" s="0" t="s">
        <v>3068</v>
      </c>
      <c r="J916" s="0" t="s">
        <v>3069</v>
      </c>
      <c r="K916" s="0" t="s">
        <v>3070</v>
      </c>
      <c r="L916" s="0" t="str">
        <f aca="false">HYPERLINK("https://www.ncbi.nlm.nih.gov/nuccore/CP000058.1?report=graph&amp;tracks=[key:gene_model_track,Options:GeneOnly]&amp;mk=297038:297057|offset_38|444444,296972:296991|offset_104|444444,296951:296970|offset_125|00cc00,296930:296949|offset_146|444444&amp;v=296837:297149&amp;c=444444", "offset 125")</f>
        <v>offset 125</v>
      </c>
    </row>
    <row r="917" customFormat="false" ht="12.8" hidden="false" customHeight="false" outlineLevel="0" collapsed="false">
      <c r="A917" s="0" t="s">
        <v>12</v>
      </c>
      <c r="B917" s="0" t="n">
        <v>296929</v>
      </c>
      <c r="C917" s="0" t="n">
        <v>296949</v>
      </c>
      <c r="D917" s="0" t="s">
        <v>3061</v>
      </c>
      <c r="E917" s="0" t="s">
        <v>75</v>
      </c>
      <c r="F917" s="0" t="s">
        <v>90</v>
      </c>
      <c r="G917" s="0" t="s">
        <v>16</v>
      </c>
      <c r="H917" s="0" t="n">
        <v>146</v>
      </c>
      <c r="I917" s="0" t="s">
        <v>3071</v>
      </c>
      <c r="J917" s="0" t="s">
        <v>3072</v>
      </c>
      <c r="K917" s="0" t="s">
        <v>3073</v>
      </c>
      <c r="L917" s="0" t="str">
        <f aca="false">HYPERLINK("https://www.ncbi.nlm.nih.gov/nuccore/CP000058.1?report=graph&amp;tracks=[key:gene_model_track,Options:GeneOnly]&amp;mk=297038:297057|offset_38|444444,296972:296991|offset_104|444444,296951:296970|offset_125|444444,296930:296949|offset_146|00cc00&amp;v=296837:297149&amp;c=444444", "offset 146")</f>
        <v>offset 146</v>
      </c>
    </row>
    <row r="918" customFormat="false" ht="12.8" hidden="false" customHeight="false" outlineLevel="0" collapsed="false">
      <c r="A918" s="0" t="s">
        <v>12</v>
      </c>
      <c r="B918" s="0" t="n">
        <v>297946</v>
      </c>
      <c r="C918" s="0" t="n">
        <v>297966</v>
      </c>
      <c r="D918" s="0" t="s">
        <v>3074</v>
      </c>
      <c r="E918" s="0" t="s">
        <v>75</v>
      </c>
      <c r="F918" s="0" t="s">
        <v>90</v>
      </c>
      <c r="G918" s="0" t="s">
        <v>32</v>
      </c>
      <c r="H918" s="0" t="n">
        <v>1</v>
      </c>
      <c r="I918" s="0" t="s">
        <v>3075</v>
      </c>
      <c r="J918" s="0" t="s">
        <v>3076</v>
      </c>
      <c r="K918" s="0" t="s">
        <v>3077</v>
      </c>
      <c r="L918" s="0" t="str">
        <f aca="false">HYPERLINK("https://www.ncbi.nlm.nih.gov/nuccore/CP000058.1?report=graph&amp;tracks=[key:gene_model_track,Options:GeneOnly]&amp;mk=297947:297966|offset_1|00cc00,297920:297939|offset_28|444444,297897:297916|offset_51|444444,297862:297881|offset_86|444444&amp;v=297746:298081&amp;c=444444", "offset 1")</f>
        <v>offset 1</v>
      </c>
    </row>
    <row r="919" customFormat="false" ht="12.8" hidden="false" customHeight="false" outlineLevel="0" collapsed="false">
      <c r="A919" s="0" t="s">
        <v>12</v>
      </c>
      <c r="B919" s="0" t="n">
        <v>297919</v>
      </c>
      <c r="C919" s="0" t="n">
        <v>297939</v>
      </c>
      <c r="D919" s="0" t="s">
        <v>3074</v>
      </c>
      <c r="E919" s="0" t="s">
        <v>75</v>
      </c>
      <c r="F919" s="0" t="s">
        <v>90</v>
      </c>
      <c r="G919" s="0" t="s">
        <v>36</v>
      </c>
      <c r="H919" s="0" t="n">
        <v>28</v>
      </c>
      <c r="I919" s="0" t="s">
        <v>3078</v>
      </c>
      <c r="J919" s="0" t="s">
        <v>3079</v>
      </c>
      <c r="K919" s="0" t="s">
        <v>3080</v>
      </c>
      <c r="L919" s="0" t="str">
        <f aca="false">HYPERLINK("https://www.ncbi.nlm.nih.gov/nuccore/CP000058.1?report=graph&amp;tracks=[key:gene_model_track,Options:GeneOnly]&amp;mk=297947:297966|offset_1|444444,297920:297939|offset_28|00cc00,297897:297916|offset_51|444444,297862:297881|offset_86|444444&amp;v=297746:298081&amp;c=444444", "offset 28")</f>
        <v>offset 28</v>
      </c>
    </row>
    <row r="920" customFormat="false" ht="12.8" hidden="false" customHeight="false" outlineLevel="0" collapsed="false">
      <c r="A920" s="0" t="s">
        <v>12</v>
      </c>
      <c r="B920" s="0" t="n">
        <v>297896</v>
      </c>
      <c r="C920" s="0" t="n">
        <v>297916</v>
      </c>
      <c r="D920" s="0" t="s">
        <v>3074</v>
      </c>
      <c r="E920" s="0" t="s">
        <v>75</v>
      </c>
      <c r="F920" s="0" t="s">
        <v>90</v>
      </c>
      <c r="G920" s="0" t="s">
        <v>16</v>
      </c>
      <c r="H920" s="0" t="n">
        <v>51</v>
      </c>
      <c r="I920" s="0" t="s">
        <v>3081</v>
      </c>
      <c r="J920" s="0" t="s">
        <v>3082</v>
      </c>
      <c r="K920" s="0" t="s">
        <v>3083</v>
      </c>
      <c r="L920" s="0" t="str">
        <f aca="false">HYPERLINK("https://www.ncbi.nlm.nih.gov/nuccore/CP000058.1?report=graph&amp;tracks=[key:gene_model_track,Options:GeneOnly]&amp;mk=297947:297966|offset_1|444444,297920:297939|offset_28|444444,297897:297916|offset_51|00cc00,297862:297881|offset_86|444444&amp;v=297746:298081&amp;c=444444", "offset 51")</f>
        <v>offset 51</v>
      </c>
    </row>
    <row r="921" customFormat="false" ht="12.8" hidden="false" customHeight="false" outlineLevel="0" collapsed="false">
      <c r="A921" s="0" t="s">
        <v>12</v>
      </c>
      <c r="B921" s="0" t="n">
        <v>297861</v>
      </c>
      <c r="C921" s="0" t="n">
        <v>297881</v>
      </c>
      <c r="D921" s="0" t="s">
        <v>3074</v>
      </c>
      <c r="E921" s="0" t="s">
        <v>75</v>
      </c>
      <c r="F921" s="0" t="s">
        <v>90</v>
      </c>
      <c r="G921" s="0" t="s">
        <v>20</v>
      </c>
      <c r="H921" s="0" t="n">
        <v>86</v>
      </c>
      <c r="I921" s="0" t="s">
        <v>3084</v>
      </c>
      <c r="J921" s="0" t="s">
        <v>3085</v>
      </c>
      <c r="K921" s="0" t="s">
        <v>3086</v>
      </c>
      <c r="L921" s="0" t="str">
        <f aca="false">HYPERLINK("https://www.ncbi.nlm.nih.gov/nuccore/CP000058.1?report=graph&amp;tracks=[key:gene_model_track,Options:GeneOnly]&amp;mk=297947:297966|offset_1|444444,297920:297939|offset_28|444444,297897:297916|offset_51|444444,297862:297881|offset_86|00cc00&amp;v=297746:298081&amp;c=444444", "offset 86")</f>
        <v>offset 86</v>
      </c>
    </row>
    <row r="922" customFormat="false" ht="12.8" hidden="false" customHeight="false" outlineLevel="0" collapsed="false">
      <c r="A922" s="0" t="s">
        <v>12</v>
      </c>
      <c r="B922" s="0" t="n">
        <v>298576</v>
      </c>
      <c r="C922" s="0" t="n">
        <v>298596</v>
      </c>
      <c r="D922" s="0" t="s">
        <v>3087</v>
      </c>
      <c r="E922" s="0" t="s">
        <v>3088</v>
      </c>
      <c r="F922" s="0" t="s">
        <v>90</v>
      </c>
      <c r="G922" s="0" t="s">
        <v>16</v>
      </c>
      <c r="H922" s="0" t="n">
        <v>25</v>
      </c>
      <c r="I922" s="0" t="s">
        <v>3089</v>
      </c>
      <c r="J922" s="0" t="s">
        <v>3090</v>
      </c>
      <c r="K922" s="0" t="s">
        <v>3091</v>
      </c>
      <c r="L922" s="0" t="str">
        <f aca="false">HYPERLINK("https://www.ncbi.nlm.nih.gov/nuccore/CP000058.1?report=graph&amp;tracks=[key:gene_model_track,Options:GeneOnly]&amp;mk=298577:298596|offset_25|00cc00,298544:298563|offset_58|444444,298482:298501|offset_120|444444,298429:298448|offset_173|444444&amp;v=298376:298648&amp;c=444444", "offset 25")</f>
        <v>offset 25</v>
      </c>
    </row>
    <row r="923" customFormat="false" ht="12.8" hidden="false" customHeight="false" outlineLevel="0" collapsed="false">
      <c r="A923" s="0" t="s">
        <v>12</v>
      </c>
      <c r="B923" s="0" t="n">
        <v>298543</v>
      </c>
      <c r="C923" s="0" t="n">
        <v>298563</v>
      </c>
      <c r="D923" s="0" t="s">
        <v>3087</v>
      </c>
      <c r="E923" s="0" t="s">
        <v>3088</v>
      </c>
      <c r="F923" s="0" t="s">
        <v>90</v>
      </c>
      <c r="G923" s="0" t="s">
        <v>16</v>
      </c>
      <c r="H923" s="0" t="n">
        <v>58</v>
      </c>
      <c r="I923" s="0" t="s">
        <v>3092</v>
      </c>
      <c r="J923" s="0" t="s">
        <v>3093</v>
      </c>
      <c r="K923" s="0" t="s">
        <v>3094</v>
      </c>
      <c r="L923" s="0" t="str">
        <f aca="false">HYPERLINK("https://www.ncbi.nlm.nih.gov/nuccore/CP000058.1?report=graph&amp;tracks=[key:gene_model_track,Options:GeneOnly]&amp;mk=298577:298596|offset_25|444444,298544:298563|offset_58|00cc00,298482:298501|offset_120|444444,298429:298448|offset_173|444444&amp;v=298376:298648&amp;c=444444", "offset 58")</f>
        <v>offset 58</v>
      </c>
    </row>
    <row r="924" customFormat="false" ht="12.8" hidden="false" customHeight="false" outlineLevel="0" collapsed="false">
      <c r="A924" s="0" t="s">
        <v>12</v>
      </c>
      <c r="B924" s="0" t="n">
        <v>298481</v>
      </c>
      <c r="C924" s="0" t="n">
        <v>298501</v>
      </c>
      <c r="D924" s="0" t="s">
        <v>3087</v>
      </c>
      <c r="E924" s="0" t="s">
        <v>3088</v>
      </c>
      <c r="F924" s="0" t="s">
        <v>90</v>
      </c>
      <c r="G924" s="0" t="s">
        <v>20</v>
      </c>
      <c r="H924" s="0" t="n">
        <v>120</v>
      </c>
      <c r="I924" s="0" t="s">
        <v>3095</v>
      </c>
      <c r="J924" s="0" t="s">
        <v>3096</v>
      </c>
      <c r="K924" s="0" t="s">
        <v>3097</v>
      </c>
      <c r="L924" s="0" t="str">
        <f aca="false">HYPERLINK("https://www.ncbi.nlm.nih.gov/nuccore/CP000058.1?report=graph&amp;tracks=[key:gene_model_track,Options:GeneOnly]&amp;mk=298577:298596|offset_25|444444,298544:298563|offset_58|444444,298482:298501|offset_120|00cc00,298429:298448|offset_173|444444&amp;v=298376:298648&amp;c=444444", "offset 120")</f>
        <v>offset 120</v>
      </c>
    </row>
    <row r="925" customFormat="false" ht="12.8" hidden="false" customHeight="false" outlineLevel="0" collapsed="false">
      <c r="A925" s="0" t="s">
        <v>12</v>
      </c>
      <c r="B925" s="0" t="n">
        <v>298428</v>
      </c>
      <c r="C925" s="0" t="n">
        <v>298448</v>
      </c>
      <c r="D925" s="0" t="s">
        <v>3087</v>
      </c>
      <c r="E925" s="0" t="s">
        <v>3088</v>
      </c>
      <c r="F925" s="0" t="s">
        <v>90</v>
      </c>
      <c r="G925" s="0" t="s">
        <v>36</v>
      </c>
      <c r="H925" s="0" t="n">
        <v>173</v>
      </c>
      <c r="I925" s="0" t="s">
        <v>3098</v>
      </c>
      <c r="J925" s="0" t="s">
        <v>3099</v>
      </c>
      <c r="K925" s="0" t="s">
        <v>3100</v>
      </c>
      <c r="L925" s="0" t="str">
        <f aca="false">HYPERLINK("https://www.ncbi.nlm.nih.gov/nuccore/CP000058.1?report=graph&amp;tracks=[key:gene_model_track,Options:GeneOnly]&amp;mk=298577:298596|offset_25|444444,298544:298563|offset_58|444444,298482:298501|offset_120|444444,298429:298448|offset_173|00cc00&amp;v=298376:298648&amp;c=444444", "offset 173")</f>
        <v>offset 173</v>
      </c>
    </row>
    <row r="926" customFormat="false" ht="12.8" hidden="false" customHeight="false" outlineLevel="0" collapsed="false">
      <c r="A926" s="0" t="s">
        <v>12</v>
      </c>
      <c r="B926" s="0" t="n">
        <v>298932</v>
      </c>
      <c r="C926" s="0" t="n">
        <v>298952</v>
      </c>
      <c r="D926" s="0" t="s">
        <v>3101</v>
      </c>
      <c r="E926" s="0" t="s">
        <v>75</v>
      </c>
      <c r="F926" s="0" t="s">
        <v>15</v>
      </c>
      <c r="G926" s="0" t="s">
        <v>36</v>
      </c>
      <c r="H926" s="0" t="n">
        <v>17</v>
      </c>
      <c r="I926" s="0" t="s">
        <v>3102</v>
      </c>
      <c r="J926" s="0" t="s">
        <v>3103</v>
      </c>
      <c r="K926" s="0" t="s">
        <v>3104</v>
      </c>
      <c r="L926" s="0" t="str">
        <f aca="false">HYPERLINK("https://www.ncbi.nlm.nih.gov/nuccore/CP000058.1?report=graph&amp;tracks=[key:gene_model_track,Options:GeneOnly]&amp;mk=298933:298952|offset_17|00cc00,298959:298978|offset_43|444444,298980:298999|offset_64|444444,299028:299047|offset_112|444444&amp;v=298732:299247&amp;c=444444", "offset 17")</f>
        <v>offset 17</v>
      </c>
    </row>
    <row r="927" customFormat="false" ht="12.8" hidden="false" customHeight="false" outlineLevel="0" collapsed="false">
      <c r="A927" s="0" t="s">
        <v>12</v>
      </c>
      <c r="B927" s="0" t="n">
        <v>298958</v>
      </c>
      <c r="C927" s="0" t="n">
        <v>298978</v>
      </c>
      <c r="D927" s="0" t="s">
        <v>3101</v>
      </c>
      <c r="E927" s="0" t="s">
        <v>75</v>
      </c>
      <c r="F927" s="0" t="s">
        <v>15</v>
      </c>
      <c r="G927" s="0" t="s">
        <v>32</v>
      </c>
      <c r="H927" s="0" t="n">
        <v>43</v>
      </c>
      <c r="I927" s="0" t="s">
        <v>3105</v>
      </c>
      <c r="J927" s="0" t="s">
        <v>3106</v>
      </c>
      <c r="K927" s="0" t="s">
        <v>3107</v>
      </c>
      <c r="L927" s="0" t="str">
        <f aca="false">HYPERLINK("https://www.ncbi.nlm.nih.gov/nuccore/CP000058.1?report=graph&amp;tracks=[key:gene_model_track,Options:GeneOnly]&amp;mk=298933:298952|offset_17|444444,298959:298978|offset_43|00cc00,298980:298999|offset_64|444444,299028:299047|offset_112|444444&amp;v=298732:299247&amp;c=444444", "offset 43")</f>
        <v>offset 43</v>
      </c>
    </row>
    <row r="928" customFormat="false" ht="12.8" hidden="false" customHeight="false" outlineLevel="0" collapsed="false">
      <c r="A928" s="0" t="s">
        <v>12</v>
      </c>
      <c r="B928" s="0" t="n">
        <v>298979</v>
      </c>
      <c r="C928" s="0" t="n">
        <v>298999</v>
      </c>
      <c r="D928" s="0" t="s">
        <v>3101</v>
      </c>
      <c r="E928" s="0" t="s">
        <v>75</v>
      </c>
      <c r="F928" s="0" t="s">
        <v>15</v>
      </c>
      <c r="G928" s="0" t="s">
        <v>32</v>
      </c>
      <c r="H928" s="0" t="n">
        <v>64</v>
      </c>
      <c r="I928" s="0" t="s">
        <v>3108</v>
      </c>
      <c r="J928" s="0" t="s">
        <v>3109</v>
      </c>
      <c r="K928" s="0" t="s">
        <v>3110</v>
      </c>
      <c r="L928" s="0" t="str">
        <f aca="false">HYPERLINK("https://www.ncbi.nlm.nih.gov/nuccore/CP000058.1?report=graph&amp;tracks=[key:gene_model_track,Options:GeneOnly]&amp;mk=298933:298952|offset_17|444444,298959:298978|offset_43|444444,298980:298999|offset_64|00cc00,299028:299047|offset_112|444444&amp;v=298732:299247&amp;c=444444", "offset 64")</f>
        <v>offset 64</v>
      </c>
    </row>
    <row r="929" customFormat="false" ht="12.8" hidden="false" customHeight="false" outlineLevel="0" collapsed="false">
      <c r="A929" s="0" t="s">
        <v>12</v>
      </c>
      <c r="B929" s="0" t="n">
        <v>299027</v>
      </c>
      <c r="C929" s="0" t="n">
        <v>299047</v>
      </c>
      <c r="D929" s="0" t="s">
        <v>3101</v>
      </c>
      <c r="E929" s="0" t="s">
        <v>75</v>
      </c>
      <c r="F929" s="0" t="s">
        <v>15</v>
      </c>
      <c r="G929" s="0" t="s">
        <v>16</v>
      </c>
      <c r="H929" s="0" t="n">
        <v>112</v>
      </c>
      <c r="I929" s="0" t="s">
        <v>3111</v>
      </c>
      <c r="J929" s="0" t="s">
        <v>3112</v>
      </c>
      <c r="K929" s="0" t="s">
        <v>3113</v>
      </c>
      <c r="L929" s="0" t="str">
        <f aca="false">HYPERLINK("https://www.ncbi.nlm.nih.gov/nuccore/CP000058.1?report=graph&amp;tracks=[key:gene_model_track,Options:GeneOnly]&amp;mk=298933:298952|offset_17|444444,298959:298978|offset_43|444444,298980:298999|offset_64|444444,299028:299047|offset_112|00cc00&amp;v=298732:299247&amp;c=444444", "offset 112")</f>
        <v>offset 112</v>
      </c>
    </row>
    <row r="930" customFormat="false" ht="12.8" hidden="false" customHeight="false" outlineLevel="0" collapsed="false">
      <c r="A930" s="0" t="s">
        <v>12</v>
      </c>
      <c r="B930" s="0" t="n">
        <v>302531</v>
      </c>
      <c r="C930" s="0" t="n">
        <v>302551</v>
      </c>
      <c r="D930" s="0" t="s">
        <v>3114</v>
      </c>
      <c r="E930" s="0" t="s">
        <v>3115</v>
      </c>
      <c r="F930" s="0" t="s">
        <v>90</v>
      </c>
      <c r="G930" s="0" t="s">
        <v>36</v>
      </c>
      <c r="H930" s="0" t="n">
        <v>7</v>
      </c>
      <c r="I930" s="0" t="s">
        <v>3116</v>
      </c>
      <c r="J930" s="0" t="s">
        <v>3117</v>
      </c>
      <c r="K930" s="0" t="s">
        <v>3118</v>
      </c>
      <c r="L930" s="0" t="str">
        <f aca="false">HYPERLINK("https://www.ncbi.nlm.nih.gov/nuccore/CP000058.1?report=graph&amp;tracks=[key:gene_model_track,Options:GeneOnly]&amp;mk=302532:302551|offset_7|00cc00,302502:302521|offset_37|444444,302480:302499|offset_59|444444,302460:302479|offset_79|444444&amp;v=302331:302679&amp;c=444444", "offset 7")</f>
        <v>offset 7</v>
      </c>
    </row>
    <row r="931" customFormat="false" ht="12.8" hidden="false" customHeight="false" outlineLevel="0" collapsed="false">
      <c r="A931" s="0" t="s">
        <v>12</v>
      </c>
      <c r="B931" s="0" t="n">
        <v>302501</v>
      </c>
      <c r="C931" s="0" t="n">
        <v>302521</v>
      </c>
      <c r="D931" s="0" t="s">
        <v>3114</v>
      </c>
      <c r="E931" s="0" t="s">
        <v>3115</v>
      </c>
      <c r="F931" s="0" t="s">
        <v>90</v>
      </c>
      <c r="G931" s="0" t="s">
        <v>20</v>
      </c>
      <c r="H931" s="0" t="n">
        <v>37</v>
      </c>
      <c r="I931" s="0" t="s">
        <v>3119</v>
      </c>
      <c r="J931" s="0" t="s">
        <v>3120</v>
      </c>
      <c r="K931" s="0" t="s">
        <v>3121</v>
      </c>
      <c r="L931" s="0" t="str">
        <f aca="false">HYPERLINK("https://www.ncbi.nlm.nih.gov/nuccore/CP000058.1?report=graph&amp;tracks=[key:gene_model_track,Options:GeneOnly]&amp;mk=302532:302551|offset_7|444444,302502:302521|offset_37|00cc00,302480:302499|offset_59|444444,302460:302479|offset_79|444444&amp;v=302331:302679&amp;c=444444", "offset 37")</f>
        <v>offset 37</v>
      </c>
    </row>
    <row r="932" customFormat="false" ht="12.8" hidden="false" customHeight="false" outlineLevel="0" collapsed="false">
      <c r="A932" s="0" t="s">
        <v>12</v>
      </c>
      <c r="B932" s="0" t="n">
        <v>302479</v>
      </c>
      <c r="C932" s="0" t="n">
        <v>302499</v>
      </c>
      <c r="D932" s="0" t="s">
        <v>3114</v>
      </c>
      <c r="E932" s="0" t="s">
        <v>3115</v>
      </c>
      <c r="F932" s="0" t="s">
        <v>90</v>
      </c>
      <c r="G932" s="0" t="s">
        <v>32</v>
      </c>
      <c r="H932" s="0" t="n">
        <v>59</v>
      </c>
      <c r="I932" s="0" t="s">
        <v>3122</v>
      </c>
      <c r="J932" s="0" t="s">
        <v>3123</v>
      </c>
      <c r="K932" s="0" t="s">
        <v>3124</v>
      </c>
      <c r="L932" s="0" t="str">
        <f aca="false">HYPERLINK("https://www.ncbi.nlm.nih.gov/nuccore/CP000058.1?report=graph&amp;tracks=[key:gene_model_track,Options:GeneOnly]&amp;mk=302532:302551|offset_7|444444,302502:302521|offset_37|444444,302480:302499|offset_59|00cc00,302460:302479|offset_79|444444&amp;v=302331:302679&amp;c=444444", "offset 59")</f>
        <v>offset 59</v>
      </c>
    </row>
    <row r="933" customFormat="false" ht="12.8" hidden="false" customHeight="false" outlineLevel="0" collapsed="false">
      <c r="A933" s="0" t="s">
        <v>12</v>
      </c>
      <c r="B933" s="0" t="n">
        <v>302459</v>
      </c>
      <c r="C933" s="0" t="n">
        <v>302479</v>
      </c>
      <c r="D933" s="0" t="s">
        <v>3114</v>
      </c>
      <c r="E933" s="0" t="s">
        <v>3115</v>
      </c>
      <c r="F933" s="0" t="s">
        <v>90</v>
      </c>
      <c r="G933" s="0" t="s">
        <v>32</v>
      </c>
      <c r="H933" s="0" t="n">
        <v>79</v>
      </c>
      <c r="I933" s="0" t="s">
        <v>3125</v>
      </c>
      <c r="J933" s="0" t="s">
        <v>3126</v>
      </c>
      <c r="K933" s="0" t="s">
        <v>3127</v>
      </c>
      <c r="L933" s="0" t="str">
        <f aca="false">HYPERLINK("https://www.ncbi.nlm.nih.gov/nuccore/CP000058.1?report=graph&amp;tracks=[key:gene_model_track,Options:GeneOnly]&amp;mk=302532:302551|offset_7|444444,302502:302521|offset_37|444444,302480:302499|offset_59|444444,302460:302479|offset_79|00cc00&amp;v=302331:302679&amp;c=444444", "offset 79")</f>
        <v>offset 79</v>
      </c>
    </row>
    <row r="934" customFormat="false" ht="12.8" hidden="false" customHeight="false" outlineLevel="0" collapsed="false">
      <c r="A934" s="0" t="s">
        <v>12</v>
      </c>
      <c r="B934" s="0" t="n">
        <v>302663</v>
      </c>
      <c r="C934" s="0" t="n">
        <v>302683</v>
      </c>
      <c r="D934" s="0" t="s">
        <v>3128</v>
      </c>
      <c r="E934" s="0" t="s">
        <v>75</v>
      </c>
      <c r="F934" s="0" t="s">
        <v>15</v>
      </c>
      <c r="G934" s="0" t="s">
        <v>16</v>
      </c>
      <c r="H934" s="0" t="n">
        <v>31</v>
      </c>
      <c r="I934" s="0" t="s">
        <v>3129</v>
      </c>
      <c r="J934" s="0" t="s">
        <v>3130</v>
      </c>
      <c r="K934" s="0" t="s">
        <v>3131</v>
      </c>
      <c r="L934" s="0" t="str">
        <f aca="false">HYPERLINK("https://www.ncbi.nlm.nih.gov/nuccore/CP000058.1?report=graph&amp;tracks=[key:gene_model_track,Options:GeneOnly]&amp;mk=302664:302683|offset_31|00cc00,302684:302703|offset_51|444444,302710:302729|offset_77|444444,302740:302759|offset_107|444444&amp;v=302463:302959&amp;c=444444", "offset 31")</f>
        <v>offset 31</v>
      </c>
    </row>
    <row r="935" customFormat="false" ht="12.8" hidden="false" customHeight="false" outlineLevel="0" collapsed="false">
      <c r="A935" s="0" t="s">
        <v>12</v>
      </c>
      <c r="B935" s="0" t="n">
        <v>302683</v>
      </c>
      <c r="C935" s="0" t="n">
        <v>302703</v>
      </c>
      <c r="D935" s="0" t="s">
        <v>3128</v>
      </c>
      <c r="E935" s="0" t="s">
        <v>75</v>
      </c>
      <c r="F935" s="0" t="s">
        <v>15</v>
      </c>
      <c r="G935" s="0" t="s">
        <v>20</v>
      </c>
      <c r="H935" s="0" t="n">
        <v>51</v>
      </c>
      <c r="I935" s="0" t="s">
        <v>3132</v>
      </c>
      <c r="J935" s="0" t="s">
        <v>3133</v>
      </c>
      <c r="K935" s="0" t="s">
        <v>3134</v>
      </c>
      <c r="L935" s="0" t="str">
        <f aca="false">HYPERLINK("https://www.ncbi.nlm.nih.gov/nuccore/CP000058.1?report=graph&amp;tracks=[key:gene_model_track,Options:GeneOnly]&amp;mk=302664:302683|offset_31|444444,302684:302703|offset_51|00cc00,302710:302729|offset_77|444444,302740:302759|offset_107|444444&amp;v=302463:302959&amp;c=444444", "offset 51")</f>
        <v>offset 51</v>
      </c>
    </row>
    <row r="936" customFormat="false" ht="12.8" hidden="false" customHeight="false" outlineLevel="0" collapsed="false">
      <c r="A936" s="0" t="s">
        <v>12</v>
      </c>
      <c r="B936" s="0" t="n">
        <v>302709</v>
      </c>
      <c r="C936" s="0" t="n">
        <v>302729</v>
      </c>
      <c r="D936" s="0" t="s">
        <v>3128</v>
      </c>
      <c r="E936" s="0" t="s">
        <v>75</v>
      </c>
      <c r="F936" s="0" t="s">
        <v>15</v>
      </c>
      <c r="G936" s="0" t="s">
        <v>36</v>
      </c>
      <c r="H936" s="0" t="n">
        <v>77</v>
      </c>
      <c r="I936" s="0" t="s">
        <v>3135</v>
      </c>
      <c r="J936" s="0" t="s">
        <v>3136</v>
      </c>
      <c r="K936" s="0" t="s">
        <v>3137</v>
      </c>
      <c r="L936" s="0" t="str">
        <f aca="false">HYPERLINK("https://www.ncbi.nlm.nih.gov/nuccore/CP000058.1?report=graph&amp;tracks=[key:gene_model_track,Options:GeneOnly]&amp;mk=302664:302683|offset_31|444444,302684:302703|offset_51|444444,302710:302729|offset_77|00cc00,302740:302759|offset_107|444444&amp;v=302463:302959&amp;c=444444", "offset 77")</f>
        <v>offset 77</v>
      </c>
    </row>
    <row r="937" customFormat="false" ht="12.8" hidden="false" customHeight="false" outlineLevel="0" collapsed="false">
      <c r="A937" s="0" t="s">
        <v>12</v>
      </c>
      <c r="B937" s="0" t="n">
        <v>302739</v>
      </c>
      <c r="C937" s="0" t="n">
        <v>302759</v>
      </c>
      <c r="D937" s="0" t="s">
        <v>3128</v>
      </c>
      <c r="E937" s="0" t="s">
        <v>75</v>
      </c>
      <c r="F937" s="0" t="s">
        <v>15</v>
      </c>
      <c r="G937" s="0" t="s">
        <v>16</v>
      </c>
      <c r="H937" s="0" t="n">
        <v>107</v>
      </c>
      <c r="I937" s="0" t="s">
        <v>3138</v>
      </c>
      <c r="J937" s="0" t="s">
        <v>3139</v>
      </c>
      <c r="K937" s="0" t="s">
        <v>3140</v>
      </c>
      <c r="L937" s="0" t="str">
        <f aca="false">HYPERLINK("https://www.ncbi.nlm.nih.gov/nuccore/CP000058.1?report=graph&amp;tracks=[key:gene_model_track,Options:GeneOnly]&amp;mk=302664:302683|offset_31|444444,302684:302703|offset_51|444444,302710:302729|offset_77|444444,302740:302759|offset_107|00cc00&amp;v=302463:302959&amp;c=444444", "offset 107")</f>
        <v>offset 107</v>
      </c>
    </row>
    <row r="938" customFormat="false" ht="12.8" hidden="false" customHeight="false" outlineLevel="0" collapsed="false">
      <c r="A938" s="0" t="s">
        <v>12</v>
      </c>
      <c r="B938" s="0" t="n">
        <v>302963</v>
      </c>
      <c r="C938" s="0" t="n">
        <v>302983</v>
      </c>
      <c r="D938" s="0" t="s">
        <v>3141</v>
      </c>
      <c r="E938" s="0" t="s">
        <v>3142</v>
      </c>
      <c r="F938" s="0" t="s">
        <v>15</v>
      </c>
      <c r="G938" s="0" t="s">
        <v>16</v>
      </c>
      <c r="H938" s="0" t="n">
        <v>7</v>
      </c>
      <c r="I938" s="0" t="s">
        <v>3143</v>
      </c>
      <c r="J938" s="0" t="s">
        <v>3144</v>
      </c>
      <c r="K938" s="0" t="s">
        <v>3145</v>
      </c>
      <c r="L938" s="0" t="str">
        <f aca="false">HYPERLINK("https://www.ncbi.nlm.nih.gov/nuccore/CP000058.1?report=graph&amp;tracks=[key:gene_model_track,Options:GeneOnly]&amp;mk=302964:302983|offset_7|00cc00,302987:303006|offset_30|444444,303009:303028|offset_52|444444,303051:303070|offset_94|444444&amp;v=302763:303270&amp;c=444444", "offset 7")</f>
        <v>offset 7</v>
      </c>
    </row>
    <row r="939" customFormat="false" ht="12.8" hidden="false" customHeight="false" outlineLevel="0" collapsed="false">
      <c r="A939" s="0" t="s">
        <v>12</v>
      </c>
      <c r="B939" s="0" t="n">
        <v>302986</v>
      </c>
      <c r="C939" s="0" t="n">
        <v>303006</v>
      </c>
      <c r="D939" s="0" t="s">
        <v>3141</v>
      </c>
      <c r="E939" s="0" t="s">
        <v>3142</v>
      </c>
      <c r="F939" s="0" t="s">
        <v>15</v>
      </c>
      <c r="G939" s="0" t="s">
        <v>36</v>
      </c>
      <c r="H939" s="0" t="n">
        <v>30</v>
      </c>
      <c r="I939" s="0" t="s">
        <v>3146</v>
      </c>
      <c r="J939" s="0" t="s">
        <v>3147</v>
      </c>
      <c r="K939" s="0" t="s">
        <v>3148</v>
      </c>
      <c r="L939" s="0" t="str">
        <f aca="false">HYPERLINK("https://www.ncbi.nlm.nih.gov/nuccore/CP000058.1?report=graph&amp;tracks=[key:gene_model_track,Options:GeneOnly]&amp;mk=302964:302983|offset_7|444444,302987:303006|offset_30|00cc00,303009:303028|offset_52|444444,303051:303070|offset_94|444444&amp;v=302763:303270&amp;c=444444", "offset 30")</f>
        <v>offset 30</v>
      </c>
    </row>
    <row r="940" customFormat="false" ht="12.8" hidden="false" customHeight="false" outlineLevel="0" collapsed="false">
      <c r="A940" s="0" t="s">
        <v>12</v>
      </c>
      <c r="B940" s="0" t="n">
        <v>303008</v>
      </c>
      <c r="C940" s="0" t="n">
        <v>303028</v>
      </c>
      <c r="D940" s="0" t="s">
        <v>3141</v>
      </c>
      <c r="E940" s="0" t="s">
        <v>3142</v>
      </c>
      <c r="F940" s="0" t="s">
        <v>15</v>
      </c>
      <c r="G940" s="0" t="s">
        <v>36</v>
      </c>
      <c r="H940" s="0" t="n">
        <v>52</v>
      </c>
      <c r="I940" s="0" t="s">
        <v>3149</v>
      </c>
      <c r="J940" s="0" t="s">
        <v>3150</v>
      </c>
      <c r="K940" s="0" t="s">
        <v>3151</v>
      </c>
      <c r="L940" s="0" t="str">
        <f aca="false">HYPERLINK("https://www.ncbi.nlm.nih.gov/nuccore/CP000058.1?report=graph&amp;tracks=[key:gene_model_track,Options:GeneOnly]&amp;mk=302964:302983|offset_7|444444,302987:303006|offset_30|444444,303009:303028|offset_52|00cc00,303051:303070|offset_94|444444&amp;v=302763:303270&amp;c=444444", "offset 52")</f>
        <v>offset 52</v>
      </c>
    </row>
    <row r="941" customFormat="false" ht="12.8" hidden="false" customHeight="false" outlineLevel="0" collapsed="false">
      <c r="A941" s="0" t="s">
        <v>12</v>
      </c>
      <c r="B941" s="0" t="n">
        <v>303050</v>
      </c>
      <c r="C941" s="0" t="n">
        <v>303070</v>
      </c>
      <c r="D941" s="0" t="s">
        <v>3141</v>
      </c>
      <c r="E941" s="0" t="s">
        <v>3142</v>
      </c>
      <c r="F941" s="0" t="s">
        <v>15</v>
      </c>
      <c r="G941" s="0" t="s">
        <v>16</v>
      </c>
      <c r="H941" s="0" t="n">
        <v>94</v>
      </c>
      <c r="I941" s="0" t="s">
        <v>3152</v>
      </c>
      <c r="J941" s="0" t="s">
        <v>3153</v>
      </c>
      <c r="K941" s="0" t="s">
        <v>3154</v>
      </c>
      <c r="L941" s="0" t="str">
        <f aca="false">HYPERLINK("https://www.ncbi.nlm.nih.gov/nuccore/CP000058.1?report=graph&amp;tracks=[key:gene_model_track,Options:GeneOnly]&amp;mk=302964:302983|offset_7|444444,302987:303006|offset_30|444444,303009:303028|offset_52|444444,303051:303070|offset_94|00cc00&amp;v=302763:303270&amp;c=444444", "offset 94")</f>
        <v>offset 94</v>
      </c>
    </row>
    <row r="942" customFormat="false" ht="12.8" hidden="false" customHeight="false" outlineLevel="0" collapsed="false">
      <c r="A942" s="0" t="s">
        <v>12</v>
      </c>
      <c r="B942" s="0" t="n">
        <v>305070</v>
      </c>
      <c r="C942" s="0" t="n">
        <v>305090</v>
      </c>
      <c r="D942" s="0" t="s">
        <v>3155</v>
      </c>
      <c r="E942" s="0" t="s">
        <v>3156</v>
      </c>
      <c r="F942" s="0" t="s">
        <v>90</v>
      </c>
      <c r="G942" s="0" t="s">
        <v>16</v>
      </c>
      <c r="H942" s="0" t="n">
        <v>8</v>
      </c>
      <c r="I942" s="0" t="s">
        <v>3157</v>
      </c>
      <c r="J942" s="0" t="s">
        <v>3158</v>
      </c>
      <c r="K942" s="0" t="s">
        <v>3159</v>
      </c>
      <c r="L942" s="0" t="str">
        <f aca="false">HYPERLINK("https://www.ncbi.nlm.nih.gov/nuccore/CP000058.1?report=graph&amp;tracks=[key:gene_model_track,Options:GeneOnly]&amp;mk=305071:305090|offset_8|00cc00,305021:305040|offset_58|444444,304991:305010|offset_88|444444,304935:304954|offset_144|444444&amp;v=304870:305154&amp;c=444444", "offset 8")</f>
        <v>offset 8</v>
      </c>
    </row>
    <row r="943" customFormat="false" ht="12.8" hidden="false" customHeight="false" outlineLevel="0" collapsed="false">
      <c r="A943" s="0" t="s">
        <v>12</v>
      </c>
      <c r="B943" s="0" t="n">
        <v>305020</v>
      </c>
      <c r="C943" s="0" t="n">
        <v>305040</v>
      </c>
      <c r="D943" s="0" t="s">
        <v>3155</v>
      </c>
      <c r="E943" s="0" t="s">
        <v>3156</v>
      </c>
      <c r="F943" s="0" t="s">
        <v>90</v>
      </c>
      <c r="G943" s="0" t="s">
        <v>36</v>
      </c>
      <c r="H943" s="0" t="n">
        <v>58</v>
      </c>
      <c r="I943" s="0" t="s">
        <v>3160</v>
      </c>
      <c r="J943" s="0" t="s">
        <v>3161</v>
      </c>
      <c r="K943" s="0" t="s">
        <v>3162</v>
      </c>
      <c r="L943" s="0" t="str">
        <f aca="false">HYPERLINK("https://www.ncbi.nlm.nih.gov/nuccore/CP000058.1?report=graph&amp;tracks=[key:gene_model_track,Options:GeneOnly]&amp;mk=305071:305090|offset_8|444444,305021:305040|offset_58|00cc00,304991:305010|offset_88|444444,304935:304954|offset_144|444444&amp;v=304870:305154&amp;c=444444", "offset 58")</f>
        <v>offset 58</v>
      </c>
    </row>
    <row r="944" customFormat="false" ht="12.8" hidden="false" customHeight="false" outlineLevel="0" collapsed="false">
      <c r="A944" s="0" t="s">
        <v>12</v>
      </c>
      <c r="B944" s="0" t="n">
        <v>304990</v>
      </c>
      <c r="C944" s="0" t="n">
        <v>305010</v>
      </c>
      <c r="D944" s="0" t="s">
        <v>3155</v>
      </c>
      <c r="E944" s="0" t="s">
        <v>3156</v>
      </c>
      <c r="F944" s="0" t="s">
        <v>90</v>
      </c>
      <c r="G944" s="0" t="s">
        <v>32</v>
      </c>
      <c r="H944" s="0" t="n">
        <v>88</v>
      </c>
      <c r="I944" s="0" t="s">
        <v>3163</v>
      </c>
      <c r="J944" s="0" t="s">
        <v>3164</v>
      </c>
      <c r="K944" s="0" t="s">
        <v>3165</v>
      </c>
      <c r="L944" s="0" t="str">
        <f aca="false">HYPERLINK("https://www.ncbi.nlm.nih.gov/nuccore/CP000058.1?report=graph&amp;tracks=[key:gene_model_track,Options:GeneOnly]&amp;mk=305071:305090|offset_8|444444,305021:305040|offset_58|444444,304991:305010|offset_88|00cc00,304935:304954|offset_144|444444&amp;v=304870:305154&amp;c=444444", "offset 88")</f>
        <v>offset 88</v>
      </c>
    </row>
    <row r="945" customFormat="false" ht="12.8" hidden="false" customHeight="false" outlineLevel="0" collapsed="false">
      <c r="A945" s="0" t="s">
        <v>12</v>
      </c>
      <c r="B945" s="0" t="n">
        <v>304934</v>
      </c>
      <c r="C945" s="0" t="n">
        <v>304954</v>
      </c>
      <c r="D945" s="0" t="s">
        <v>3155</v>
      </c>
      <c r="E945" s="0" t="s">
        <v>3156</v>
      </c>
      <c r="F945" s="0" t="s">
        <v>90</v>
      </c>
      <c r="G945" s="0" t="s">
        <v>16</v>
      </c>
      <c r="H945" s="0" t="n">
        <v>144</v>
      </c>
      <c r="I945" s="0" t="s">
        <v>3166</v>
      </c>
      <c r="J945" s="0" t="s">
        <v>3167</v>
      </c>
      <c r="K945" s="0" t="s">
        <v>3168</v>
      </c>
      <c r="L945" s="0" t="str">
        <f aca="false">HYPERLINK("https://www.ncbi.nlm.nih.gov/nuccore/CP000058.1?report=graph&amp;tracks=[key:gene_model_track,Options:GeneOnly]&amp;mk=305071:305090|offset_8|444444,305021:305040|offset_58|444444,304991:305010|offset_88|444444,304935:304954|offset_144|00cc00&amp;v=304870:305154&amp;c=444444", "offset 144")</f>
        <v>offset 144</v>
      </c>
    </row>
    <row r="946" customFormat="false" ht="12.8" hidden="false" customHeight="false" outlineLevel="0" collapsed="false">
      <c r="A946" s="0" t="s">
        <v>12</v>
      </c>
      <c r="B946" s="0" t="n">
        <v>305171</v>
      </c>
      <c r="C946" s="0" t="n">
        <v>305191</v>
      </c>
      <c r="D946" s="0" t="s">
        <v>3169</v>
      </c>
      <c r="E946" s="0" t="s">
        <v>75</v>
      </c>
      <c r="F946" s="0" t="s">
        <v>15</v>
      </c>
      <c r="G946" s="0" t="s">
        <v>36</v>
      </c>
      <c r="H946" s="0" t="n">
        <v>6</v>
      </c>
      <c r="I946" s="0" t="s">
        <v>3170</v>
      </c>
      <c r="J946" s="0" t="s">
        <v>3171</v>
      </c>
      <c r="K946" s="0" t="s">
        <v>3172</v>
      </c>
      <c r="L946" s="0" t="str">
        <f aca="false">HYPERLINK("https://www.ncbi.nlm.nih.gov/nuccore/CP000058.1?report=graph&amp;tracks=[key:gene_model_track,Options:GeneOnly]&amp;mk=305172:305191|offset_6|00cc00,305195:305214|offset_29|444444,305227:305246|offset_61|444444,305254:305273|offset_88|444444&amp;v=304971:305473&amp;c=444444", "offset 6")</f>
        <v>offset 6</v>
      </c>
    </row>
    <row r="947" customFormat="false" ht="12.8" hidden="false" customHeight="false" outlineLevel="0" collapsed="false">
      <c r="A947" s="0" t="s">
        <v>12</v>
      </c>
      <c r="B947" s="0" t="n">
        <v>305194</v>
      </c>
      <c r="C947" s="0" t="n">
        <v>305214</v>
      </c>
      <c r="D947" s="0" t="s">
        <v>3169</v>
      </c>
      <c r="E947" s="0" t="s">
        <v>75</v>
      </c>
      <c r="F947" s="0" t="s">
        <v>15</v>
      </c>
      <c r="G947" s="0" t="s">
        <v>36</v>
      </c>
      <c r="H947" s="0" t="n">
        <v>29</v>
      </c>
      <c r="I947" s="0" t="s">
        <v>3173</v>
      </c>
      <c r="J947" s="0" t="s">
        <v>3174</v>
      </c>
      <c r="K947" s="0" t="s">
        <v>3175</v>
      </c>
      <c r="L947" s="0" t="str">
        <f aca="false">HYPERLINK("https://www.ncbi.nlm.nih.gov/nuccore/CP000058.1?report=graph&amp;tracks=[key:gene_model_track,Options:GeneOnly]&amp;mk=305172:305191|offset_6|444444,305195:305214|offset_29|00cc00,305227:305246|offset_61|444444,305254:305273|offset_88|444444&amp;v=304971:305473&amp;c=444444", "offset 29")</f>
        <v>offset 29</v>
      </c>
    </row>
    <row r="948" customFormat="false" ht="12.8" hidden="false" customHeight="false" outlineLevel="0" collapsed="false">
      <c r="A948" s="0" t="s">
        <v>12</v>
      </c>
      <c r="B948" s="0" t="n">
        <v>305226</v>
      </c>
      <c r="C948" s="0" t="n">
        <v>305246</v>
      </c>
      <c r="D948" s="0" t="s">
        <v>3169</v>
      </c>
      <c r="E948" s="0" t="s">
        <v>75</v>
      </c>
      <c r="F948" s="0" t="s">
        <v>15</v>
      </c>
      <c r="G948" s="0" t="s">
        <v>36</v>
      </c>
      <c r="H948" s="0" t="n">
        <v>61</v>
      </c>
      <c r="I948" s="0" t="s">
        <v>3176</v>
      </c>
      <c r="J948" s="0" t="s">
        <v>3177</v>
      </c>
      <c r="K948" s="0" t="s">
        <v>3178</v>
      </c>
      <c r="L948" s="0" t="str">
        <f aca="false">HYPERLINK("https://www.ncbi.nlm.nih.gov/nuccore/CP000058.1?report=graph&amp;tracks=[key:gene_model_track,Options:GeneOnly]&amp;mk=305172:305191|offset_6|444444,305195:305214|offset_29|444444,305227:305246|offset_61|00cc00,305254:305273|offset_88|444444&amp;v=304971:305473&amp;c=444444", "offset 61")</f>
        <v>offset 61</v>
      </c>
    </row>
    <row r="949" customFormat="false" ht="12.8" hidden="false" customHeight="false" outlineLevel="0" collapsed="false">
      <c r="A949" s="0" t="s">
        <v>12</v>
      </c>
      <c r="B949" s="0" t="n">
        <v>305253</v>
      </c>
      <c r="C949" s="0" t="n">
        <v>305273</v>
      </c>
      <c r="D949" s="0" t="s">
        <v>3169</v>
      </c>
      <c r="E949" s="0" t="s">
        <v>75</v>
      </c>
      <c r="F949" s="0" t="s">
        <v>15</v>
      </c>
      <c r="G949" s="0" t="s">
        <v>32</v>
      </c>
      <c r="H949" s="0" t="n">
        <v>88</v>
      </c>
      <c r="I949" s="0" t="s">
        <v>3179</v>
      </c>
      <c r="J949" s="0" t="s">
        <v>3180</v>
      </c>
      <c r="K949" s="0" t="s">
        <v>3181</v>
      </c>
      <c r="L949" s="0" t="str">
        <f aca="false">HYPERLINK("https://www.ncbi.nlm.nih.gov/nuccore/CP000058.1?report=graph&amp;tracks=[key:gene_model_track,Options:GeneOnly]&amp;mk=305172:305191|offset_6|444444,305195:305214|offset_29|444444,305227:305246|offset_61|444444,305254:305273|offset_88|00cc00&amp;v=304971:305473&amp;c=444444", "offset 88")</f>
        <v>offset 88</v>
      </c>
    </row>
    <row r="950" customFormat="false" ht="12.8" hidden="false" customHeight="false" outlineLevel="0" collapsed="false">
      <c r="A950" s="0" t="s">
        <v>12</v>
      </c>
      <c r="B950" s="0" t="n">
        <v>305696</v>
      </c>
      <c r="C950" s="0" t="n">
        <v>305716</v>
      </c>
      <c r="D950" s="0" t="s">
        <v>3182</v>
      </c>
      <c r="E950" s="0" t="s">
        <v>3183</v>
      </c>
      <c r="F950" s="0" t="s">
        <v>15</v>
      </c>
      <c r="G950" s="0" t="s">
        <v>16</v>
      </c>
      <c r="H950" s="0" t="n">
        <v>49</v>
      </c>
      <c r="I950" s="0" t="s">
        <v>3184</v>
      </c>
      <c r="J950" s="0" t="s">
        <v>3185</v>
      </c>
      <c r="K950" s="0" t="s">
        <v>3186</v>
      </c>
      <c r="L950" s="0" t="str">
        <f aca="false">HYPERLINK("https://www.ncbi.nlm.nih.gov/nuccore/CP000058.1?report=graph&amp;tracks=[key:gene_model_track,Options:GeneOnly]&amp;mk=305697:305716|offset_49|00cc00,305722:305741|offset_74|444444,305784:305803|offset_136|444444,305819:305838|offset_171|444444&amp;v=305496:306038&amp;c=444444", "offset 49")</f>
        <v>offset 49</v>
      </c>
    </row>
    <row r="951" customFormat="false" ht="12.8" hidden="false" customHeight="false" outlineLevel="0" collapsed="false">
      <c r="A951" s="0" t="s">
        <v>12</v>
      </c>
      <c r="B951" s="0" t="n">
        <v>305721</v>
      </c>
      <c r="C951" s="0" t="n">
        <v>305741</v>
      </c>
      <c r="D951" s="0" t="s">
        <v>3182</v>
      </c>
      <c r="E951" s="0" t="s">
        <v>3183</v>
      </c>
      <c r="F951" s="0" t="s">
        <v>15</v>
      </c>
      <c r="G951" s="0" t="s">
        <v>32</v>
      </c>
      <c r="H951" s="0" t="n">
        <v>74</v>
      </c>
      <c r="I951" s="0" t="s">
        <v>3187</v>
      </c>
      <c r="J951" s="0" t="s">
        <v>3188</v>
      </c>
      <c r="K951" s="0" t="s">
        <v>3189</v>
      </c>
      <c r="L951" s="0" t="str">
        <f aca="false">HYPERLINK("https://www.ncbi.nlm.nih.gov/nuccore/CP000058.1?report=graph&amp;tracks=[key:gene_model_track,Options:GeneOnly]&amp;mk=305697:305716|offset_49|444444,305722:305741|offset_74|00cc00,305784:305803|offset_136|444444,305819:305838|offset_171|444444&amp;v=305496:306038&amp;c=444444", "offset 74")</f>
        <v>offset 74</v>
      </c>
    </row>
    <row r="952" customFormat="false" ht="12.8" hidden="false" customHeight="false" outlineLevel="0" collapsed="false">
      <c r="A952" s="0" t="s">
        <v>12</v>
      </c>
      <c r="B952" s="0" t="n">
        <v>305783</v>
      </c>
      <c r="C952" s="0" t="n">
        <v>305803</v>
      </c>
      <c r="D952" s="0" t="s">
        <v>3182</v>
      </c>
      <c r="E952" s="0" t="s">
        <v>3183</v>
      </c>
      <c r="F952" s="0" t="s">
        <v>15</v>
      </c>
      <c r="G952" s="0" t="s">
        <v>32</v>
      </c>
      <c r="H952" s="0" t="n">
        <v>136</v>
      </c>
      <c r="I952" s="0" t="s">
        <v>3190</v>
      </c>
      <c r="J952" s="0" t="s">
        <v>3191</v>
      </c>
      <c r="K952" s="0" t="s">
        <v>3192</v>
      </c>
      <c r="L952" s="0" t="str">
        <f aca="false">HYPERLINK("https://www.ncbi.nlm.nih.gov/nuccore/CP000058.1?report=graph&amp;tracks=[key:gene_model_track,Options:GeneOnly]&amp;mk=305697:305716|offset_49|444444,305722:305741|offset_74|444444,305784:305803|offset_136|00cc00,305819:305838|offset_171|444444&amp;v=305496:306038&amp;c=444444", "offset 136")</f>
        <v>offset 136</v>
      </c>
    </row>
    <row r="953" customFormat="false" ht="12.8" hidden="false" customHeight="false" outlineLevel="0" collapsed="false">
      <c r="A953" s="0" t="s">
        <v>12</v>
      </c>
      <c r="B953" s="0" t="n">
        <v>305818</v>
      </c>
      <c r="C953" s="0" t="n">
        <v>305838</v>
      </c>
      <c r="D953" s="0" t="s">
        <v>3182</v>
      </c>
      <c r="E953" s="0" t="s">
        <v>3183</v>
      </c>
      <c r="F953" s="0" t="s">
        <v>15</v>
      </c>
      <c r="G953" s="0" t="s">
        <v>36</v>
      </c>
      <c r="H953" s="0" t="n">
        <v>171</v>
      </c>
      <c r="I953" s="0" t="s">
        <v>3193</v>
      </c>
      <c r="J953" s="0" t="s">
        <v>3194</v>
      </c>
      <c r="K953" s="0" t="s">
        <v>3195</v>
      </c>
      <c r="L953" s="0" t="str">
        <f aca="false">HYPERLINK("https://www.ncbi.nlm.nih.gov/nuccore/CP000058.1?report=graph&amp;tracks=[key:gene_model_track,Options:GeneOnly]&amp;mk=305697:305716|offset_49|444444,305722:305741|offset_74|444444,305784:305803|offset_136|444444,305819:305838|offset_171|00cc00&amp;v=305496:306038&amp;c=444444", "offset 171")</f>
        <v>offset 171</v>
      </c>
    </row>
    <row r="954" customFormat="false" ht="12.8" hidden="false" customHeight="false" outlineLevel="0" collapsed="false">
      <c r="A954" s="0" t="s">
        <v>12</v>
      </c>
      <c r="B954" s="0" t="n">
        <v>306462</v>
      </c>
      <c r="C954" s="0" t="n">
        <v>306482</v>
      </c>
      <c r="D954" s="0" t="s">
        <v>3196</v>
      </c>
      <c r="E954" s="0" t="s">
        <v>3197</v>
      </c>
      <c r="F954" s="0" t="s">
        <v>15</v>
      </c>
      <c r="G954" s="0" t="s">
        <v>20</v>
      </c>
      <c r="H954" s="0" t="n">
        <v>25</v>
      </c>
      <c r="I954" s="0" t="s">
        <v>3198</v>
      </c>
      <c r="J954" s="0" t="s">
        <v>3199</v>
      </c>
      <c r="K954" s="0" t="s">
        <v>3200</v>
      </c>
      <c r="L954" s="0" t="str">
        <f aca="false">HYPERLINK("https://www.ncbi.nlm.nih.gov/nuccore/CP000058.1?report=graph&amp;tracks=[key:gene_model_track,Options:GeneOnly]&amp;mk=306463:306482|offset_25|00cc00,306500:306519|offset_62|444444,306556:306575|offset_118|444444,306590:306609|offset_152|444444&amp;v=306262:306809&amp;c=444444", "offset 25")</f>
        <v>offset 25</v>
      </c>
    </row>
    <row r="955" customFormat="false" ht="12.8" hidden="false" customHeight="false" outlineLevel="0" collapsed="false">
      <c r="A955" s="0" t="s">
        <v>12</v>
      </c>
      <c r="B955" s="0" t="n">
        <v>306499</v>
      </c>
      <c r="C955" s="0" t="n">
        <v>306519</v>
      </c>
      <c r="D955" s="0" t="s">
        <v>3196</v>
      </c>
      <c r="E955" s="0" t="s">
        <v>3197</v>
      </c>
      <c r="F955" s="0" t="s">
        <v>15</v>
      </c>
      <c r="G955" s="0" t="s">
        <v>36</v>
      </c>
      <c r="H955" s="0" t="n">
        <v>62</v>
      </c>
      <c r="I955" s="0" t="s">
        <v>3201</v>
      </c>
      <c r="J955" s="0" t="s">
        <v>3202</v>
      </c>
      <c r="K955" s="0" t="s">
        <v>3203</v>
      </c>
      <c r="L955" s="0" t="str">
        <f aca="false">HYPERLINK("https://www.ncbi.nlm.nih.gov/nuccore/CP000058.1?report=graph&amp;tracks=[key:gene_model_track,Options:GeneOnly]&amp;mk=306463:306482|offset_25|444444,306500:306519|offset_62|00cc00,306556:306575|offset_118|444444,306590:306609|offset_152|444444&amp;v=306262:306809&amp;c=444444", "offset 62")</f>
        <v>offset 62</v>
      </c>
    </row>
    <row r="956" customFormat="false" ht="12.8" hidden="false" customHeight="false" outlineLevel="0" collapsed="false">
      <c r="A956" s="0" t="s">
        <v>12</v>
      </c>
      <c r="B956" s="0" t="n">
        <v>306555</v>
      </c>
      <c r="C956" s="0" t="n">
        <v>306575</v>
      </c>
      <c r="D956" s="0" t="s">
        <v>3196</v>
      </c>
      <c r="E956" s="0" t="s">
        <v>3197</v>
      </c>
      <c r="F956" s="0" t="s">
        <v>15</v>
      </c>
      <c r="G956" s="0" t="s">
        <v>36</v>
      </c>
      <c r="H956" s="0" t="n">
        <v>118</v>
      </c>
      <c r="I956" s="0" t="s">
        <v>3204</v>
      </c>
      <c r="J956" s="0" t="s">
        <v>3205</v>
      </c>
      <c r="K956" s="0" t="s">
        <v>3206</v>
      </c>
      <c r="L956" s="0" t="str">
        <f aca="false">HYPERLINK("https://www.ncbi.nlm.nih.gov/nuccore/CP000058.1?report=graph&amp;tracks=[key:gene_model_track,Options:GeneOnly]&amp;mk=306463:306482|offset_25|444444,306500:306519|offset_62|444444,306556:306575|offset_118|00cc00,306590:306609|offset_152|444444&amp;v=306262:306809&amp;c=444444", "offset 118")</f>
        <v>offset 118</v>
      </c>
    </row>
    <row r="957" customFormat="false" ht="12.8" hidden="false" customHeight="false" outlineLevel="0" collapsed="false">
      <c r="A957" s="0" t="s">
        <v>12</v>
      </c>
      <c r="B957" s="0" t="n">
        <v>306589</v>
      </c>
      <c r="C957" s="0" t="n">
        <v>306609</v>
      </c>
      <c r="D957" s="0" t="s">
        <v>3196</v>
      </c>
      <c r="E957" s="0" t="s">
        <v>3197</v>
      </c>
      <c r="F957" s="0" t="s">
        <v>15</v>
      </c>
      <c r="G957" s="0" t="s">
        <v>20</v>
      </c>
      <c r="H957" s="0" t="n">
        <v>152</v>
      </c>
      <c r="I957" s="0" t="s">
        <v>3207</v>
      </c>
      <c r="J957" s="0" t="s">
        <v>3208</v>
      </c>
      <c r="K957" s="0" t="s">
        <v>3209</v>
      </c>
      <c r="L957" s="0" t="str">
        <f aca="false">HYPERLINK("https://www.ncbi.nlm.nih.gov/nuccore/CP000058.1?report=graph&amp;tracks=[key:gene_model_track,Options:GeneOnly]&amp;mk=306463:306482|offset_25|444444,306500:306519|offset_62|444444,306556:306575|offset_118|444444,306590:306609|offset_152|00cc00&amp;v=306262:306809&amp;c=444444", "offset 152")</f>
        <v>offset 152</v>
      </c>
    </row>
    <row r="958" customFormat="false" ht="12.8" hidden="false" customHeight="false" outlineLevel="0" collapsed="false">
      <c r="A958" s="0" t="s">
        <v>12</v>
      </c>
      <c r="B958" s="0" t="n">
        <v>307273</v>
      </c>
      <c r="C958" s="0" t="n">
        <v>307293</v>
      </c>
      <c r="D958" s="0" t="s">
        <v>3210</v>
      </c>
      <c r="E958" s="0" t="s">
        <v>75</v>
      </c>
      <c r="F958" s="0" t="s">
        <v>15</v>
      </c>
      <c r="G958" s="0" t="s">
        <v>16</v>
      </c>
      <c r="H958" s="0" t="n">
        <v>9</v>
      </c>
      <c r="I958" s="0" t="s">
        <v>3211</v>
      </c>
      <c r="J958" s="0" t="s">
        <v>3212</v>
      </c>
      <c r="K958" s="0" t="s">
        <v>3213</v>
      </c>
      <c r="L958" s="0" t="str">
        <f aca="false">HYPERLINK("https://www.ncbi.nlm.nih.gov/nuccore/CP000058.1?report=graph&amp;tracks=[key:gene_model_track,Options:GeneOnly]&amp;mk=307274:307293|offset_9|00cc00,307311:307330|offset_46|444444,307340:307359|offset_75|444444,307362:307381|offset_97|444444&amp;v=307073:307581&amp;c=444444", "offset 9")</f>
        <v>offset 9</v>
      </c>
    </row>
    <row r="959" customFormat="false" ht="12.8" hidden="false" customHeight="false" outlineLevel="0" collapsed="false">
      <c r="A959" s="0" t="s">
        <v>12</v>
      </c>
      <c r="B959" s="0" t="n">
        <v>307310</v>
      </c>
      <c r="C959" s="0" t="n">
        <v>307330</v>
      </c>
      <c r="D959" s="0" t="s">
        <v>3210</v>
      </c>
      <c r="E959" s="0" t="s">
        <v>75</v>
      </c>
      <c r="F959" s="0" t="s">
        <v>15</v>
      </c>
      <c r="G959" s="0" t="s">
        <v>32</v>
      </c>
      <c r="H959" s="0" t="n">
        <v>46</v>
      </c>
      <c r="I959" s="0" t="s">
        <v>3214</v>
      </c>
      <c r="J959" s="0" t="s">
        <v>3215</v>
      </c>
      <c r="K959" s="0" t="s">
        <v>3216</v>
      </c>
      <c r="L959" s="0" t="str">
        <f aca="false">HYPERLINK("https://www.ncbi.nlm.nih.gov/nuccore/CP000058.1?report=graph&amp;tracks=[key:gene_model_track,Options:GeneOnly]&amp;mk=307274:307293|offset_9|444444,307311:307330|offset_46|00cc00,307340:307359|offset_75|444444,307362:307381|offset_97|444444&amp;v=307073:307581&amp;c=444444", "offset 46")</f>
        <v>offset 46</v>
      </c>
    </row>
    <row r="960" customFormat="false" ht="12.8" hidden="false" customHeight="false" outlineLevel="0" collapsed="false">
      <c r="A960" s="0" t="s">
        <v>12</v>
      </c>
      <c r="B960" s="0" t="n">
        <v>307339</v>
      </c>
      <c r="C960" s="0" t="n">
        <v>307359</v>
      </c>
      <c r="D960" s="0" t="s">
        <v>3210</v>
      </c>
      <c r="E960" s="0" t="s">
        <v>75</v>
      </c>
      <c r="F960" s="0" t="s">
        <v>15</v>
      </c>
      <c r="G960" s="0" t="s">
        <v>36</v>
      </c>
      <c r="H960" s="0" t="n">
        <v>75</v>
      </c>
      <c r="I960" s="0" t="s">
        <v>3217</v>
      </c>
      <c r="J960" s="0" t="s">
        <v>3218</v>
      </c>
      <c r="K960" s="0" t="s">
        <v>3219</v>
      </c>
      <c r="L960" s="0" t="str">
        <f aca="false">HYPERLINK("https://www.ncbi.nlm.nih.gov/nuccore/CP000058.1?report=graph&amp;tracks=[key:gene_model_track,Options:GeneOnly]&amp;mk=307274:307293|offset_9|444444,307311:307330|offset_46|444444,307340:307359|offset_75|00cc00,307362:307381|offset_97|444444&amp;v=307073:307581&amp;c=444444", "offset 75")</f>
        <v>offset 75</v>
      </c>
    </row>
    <row r="961" customFormat="false" ht="12.8" hidden="false" customHeight="false" outlineLevel="0" collapsed="false">
      <c r="A961" s="0" t="s">
        <v>12</v>
      </c>
      <c r="B961" s="0" t="n">
        <v>307361</v>
      </c>
      <c r="C961" s="0" t="n">
        <v>307381</v>
      </c>
      <c r="D961" s="0" t="s">
        <v>3210</v>
      </c>
      <c r="E961" s="0" t="s">
        <v>75</v>
      </c>
      <c r="F961" s="0" t="s">
        <v>15</v>
      </c>
      <c r="G961" s="0" t="s">
        <v>16</v>
      </c>
      <c r="H961" s="0" t="n">
        <v>97</v>
      </c>
      <c r="I961" s="0" t="s">
        <v>3220</v>
      </c>
      <c r="J961" s="0" t="s">
        <v>3221</v>
      </c>
      <c r="K961" s="0" t="s">
        <v>3222</v>
      </c>
      <c r="L961" s="0" t="str">
        <f aca="false">HYPERLINK("https://www.ncbi.nlm.nih.gov/nuccore/CP000058.1?report=graph&amp;tracks=[key:gene_model_track,Options:GeneOnly]&amp;mk=307274:307293|offset_9|444444,307311:307330|offset_46|444444,307340:307359|offset_75|444444,307362:307381|offset_97|00cc00&amp;v=307073:307581&amp;c=444444", "offset 97")</f>
        <v>offset 97</v>
      </c>
    </row>
    <row r="962" customFormat="false" ht="12.8" hidden="false" customHeight="false" outlineLevel="0" collapsed="false">
      <c r="A962" s="0" t="s">
        <v>12</v>
      </c>
      <c r="B962" s="0" t="n">
        <v>310242</v>
      </c>
      <c r="C962" s="0" t="n">
        <v>310262</v>
      </c>
      <c r="D962" s="0" t="s">
        <v>3223</v>
      </c>
      <c r="E962" s="0" t="s">
        <v>3224</v>
      </c>
      <c r="F962" s="0" t="s">
        <v>90</v>
      </c>
      <c r="G962" s="0" t="s">
        <v>32</v>
      </c>
      <c r="H962" s="0" t="n">
        <v>21</v>
      </c>
      <c r="I962" s="0" t="s">
        <v>3225</v>
      </c>
      <c r="J962" s="0" t="s">
        <v>3226</v>
      </c>
      <c r="K962" s="0" t="s">
        <v>3227</v>
      </c>
      <c r="L962" s="0" t="str">
        <f aca="false">HYPERLINK("https://www.ncbi.nlm.nih.gov/nuccore/CP000058.1?report=graph&amp;tracks=[key:gene_model_track,Options:GeneOnly]&amp;mk=310243:310262|offset_21|00cc00,310203:310222|offset_61|444444,310179:310198|offset_85|444444,310148:310167|offset_116|444444&amp;v=310042:310367&amp;c=444444", "offset 21")</f>
        <v>offset 21</v>
      </c>
    </row>
    <row r="963" customFormat="false" ht="12.8" hidden="false" customHeight="false" outlineLevel="0" collapsed="false">
      <c r="A963" s="0" t="s">
        <v>12</v>
      </c>
      <c r="B963" s="0" t="n">
        <v>310202</v>
      </c>
      <c r="C963" s="0" t="n">
        <v>310222</v>
      </c>
      <c r="D963" s="0" t="s">
        <v>3223</v>
      </c>
      <c r="E963" s="0" t="s">
        <v>3224</v>
      </c>
      <c r="F963" s="0" t="s">
        <v>90</v>
      </c>
      <c r="G963" s="0" t="s">
        <v>16</v>
      </c>
      <c r="H963" s="0" t="n">
        <v>61</v>
      </c>
      <c r="I963" s="0" t="s">
        <v>3228</v>
      </c>
      <c r="J963" s="0" t="s">
        <v>3229</v>
      </c>
      <c r="K963" s="0" t="s">
        <v>3230</v>
      </c>
      <c r="L963" s="0" t="str">
        <f aca="false">HYPERLINK("https://www.ncbi.nlm.nih.gov/nuccore/CP000058.1?report=graph&amp;tracks=[key:gene_model_track,Options:GeneOnly]&amp;mk=310243:310262|offset_21|444444,310203:310222|offset_61|00cc00,310179:310198|offset_85|444444,310148:310167|offset_116|444444&amp;v=310042:310367&amp;c=444444", "offset 61")</f>
        <v>offset 61</v>
      </c>
    </row>
    <row r="964" customFormat="false" ht="12.8" hidden="false" customHeight="false" outlineLevel="0" collapsed="false">
      <c r="A964" s="0" t="s">
        <v>12</v>
      </c>
      <c r="B964" s="0" t="n">
        <v>310178</v>
      </c>
      <c r="C964" s="0" t="n">
        <v>310198</v>
      </c>
      <c r="D964" s="0" t="s">
        <v>3223</v>
      </c>
      <c r="E964" s="0" t="s">
        <v>3224</v>
      </c>
      <c r="F964" s="0" t="s">
        <v>90</v>
      </c>
      <c r="G964" s="0" t="s">
        <v>32</v>
      </c>
      <c r="H964" s="0" t="n">
        <v>85</v>
      </c>
      <c r="I964" s="0" t="s">
        <v>3231</v>
      </c>
      <c r="J964" s="0" t="s">
        <v>3232</v>
      </c>
      <c r="K964" s="0" t="s">
        <v>3233</v>
      </c>
      <c r="L964" s="0" t="str">
        <f aca="false">HYPERLINK("https://www.ncbi.nlm.nih.gov/nuccore/CP000058.1?report=graph&amp;tracks=[key:gene_model_track,Options:GeneOnly]&amp;mk=310243:310262|offset_21|444444,310203:310222|offset_61|444444,310179:310198|offset_85|00cc00,310148:310167|offset_116|444444&amp;v=310042:310367&amp;c=444444", "offset 85")</f>
        <v>offset 85</v>
      </c>
    </row>
    <row r="965" customFormat="false" ht="12.8" hidden="false" customHeight="false" outlineLevel="0" collapsed="false">
      <c r="A965" s="0" t="s">
        <v>12</v>
      </c>
      <c r="B965" s="0" t="n">
        <v>310147</v>
      </c>
      <c r="C965" s="0" t="n">
        <v>310167</v>
      </c>
      <c r="D965" s="0" t="s">
        <v>3223</v>
      </c>
      <c r="E965" s="0" t="s">
        <v>3224</v>
      </c>
      <c r="F965" s="0" t="s">
        <v>90</v>
      </c>
      <c r="G965" s="0" t="s">
        <v>16</v>
      </c>
      <c r="H965" s="0" t="n">
        <v>116</v>
      </c>
      <c r="I965" s="0" t="s">
        <v>3234</v>
      </c>
      <c r="J965" s="0" t="s">
        <v>3235</v>
      </c>
      <c r="K965" s="0" t="s">
        <v>3236</v>
      </c>
      <c r="L965" s="0" t="str">
        <f aca="false">HYPERLINK("https://www.ncbi.nlm.nih.gov/nuccore/CP000058.1?report=graph&amp;tracks=[key:gene_model_track,Options:GeneOnly]&amp;mk=310243:310262|offset_21|444444,310203:310222|offset_61|444444,310179:310198|offset_85|444444,310148:310167|offset_116|00cc00&amp;v=310042:310367&amp;c=444444", "offset 116")</f>
        <v>offset 116</v>
      </c>
    </row>
    <row r="966" customFormat="false" ht="12.8" hidden="false" customHeight="false" outlineLevel="0" collapsed="false">
      <c r="A966" s="0" t="s">
        <v>12</v>
      </c>
      <c r="B966" s="0" t="n">
        <v>310590</v>
      </c>
      <c r="C966" s="0" t="n">
        <v>310610</v>
      </c>
      <c r="D966" s="0" t="s">
        <v>3237</v>
      </c>
      <c r="E966" s="0" t="s">
        <v>75</v>
      </c>
      <c r="F966" s="0" t="s">
        <v>15</v>
      </c>
      <c r="G966" s="0" t="s">
        <v>16</v>
      </c>
      <c r="H966" s="0" t="n">
        <v>1</v>
      </c>
      <c r="I966" s="0" t="s">
        <v>3238</v>
      </c>
      <c r="J966" s="0" t="s">
        <v>3239</v>
      </c>
      <c r="K966" s="0" t="s">
        <v>3240</v>
      </c>
      <c r="L966" s="0" t="str">
        <f aca="false">HYPERLINK("https://www.ncbi.nlm.nih.gov/nuccore/CP000058.1?report=graph&amp;tracks=[key:gene_model_track,Options:GeneOnly]&amp;mk=310591:310610|offset_1|00cc00,310613:310632|offset_23|444444,310647:310666|offset_57|444444,310667:310686|offset_77|444444&amp;v=310390:310886&amp;c=444444", "offset 1")</f>
        <v>offset 1</v>
      </c>
    </row>
    <row r="967" customFormat="false" ht="12.8" hidden="false" customHeight="false" outlineLevel="0" collapsed="false">
      <c r="A967" s="0" t="s">
        <v>12</v>
      </c>
      <c r="B967" s="0" t="n">
        <v>310612</v>
      </c>
      <c r="C967" s="0" t="n">
        <v>310632</v>
      </c>
      <c r="D967" s="0" t="s">
        <v>3237</v>
      </c>
      <c r="E967" s="0" t="s">
        <v>75</v>
      </c>
      <c r="F967" s="0" t="s">
        <v>15</v>
      </c>
      <c r="G967" s="0" t="s">
        <v>32</v>
      </c>
      <c r="H967" s="0" t="n">
        <v>23</v>
      </c>
      <c r="I967" s="0" t="s">
        <v>3241</v>
      </c>
      <c r="J967" s="0" t="s">
        <v>3242</v>
      </c>
      <c r="K967" s="0" t="s">
        <v>3243</v>
      </c>
      <c r="L967" s="0" t="str">
        <f aca="false">HYPERLINK("https://www.ncbi.nlm.nih.gov/nuccore/CP000058.1?report=graph&amp;tracks=[key:gene_model_track,Options:GeneOnly]&amp;mk=310591:310610|offset_1|444444,310613:310632|offset_23|00cc00,310647:310666|offset_57|444444,310667:310686|offset_77|444444&amp;v=310390:310886&amp;c=444444", "offset 23")</f>
        <v>offset 23</v>
      </c>
    </row>
    <row r="968" customFormat="false" ht="12.8" hidden="false" customHeight="false" outlineLevel="0" collapsed="false">
      <c r="A968" s="0" t="s">
        <v>12</v>
      </c>
      <c r="B968" s="0" t="n">
        <v>310646</v>
      </c>
      <c r="C968" s="0" t="n">
        <v>310666</v>
      </c>
      <c r="D968" s="0" t="s">
        <v>3237</v>
      </c>
      <c r="E968" s="0" t="s">
        <v>75</v>
      </c>
      <c r="F968" s="0" t="s">
        <v>15</v>
      </c>
      <c r="G968" s="0" t="s">
        <v>16</v>
      </c>
      <c r="H968" s="0" t="n">
        <v>57</v>
      </c>
      <c r="I968" s="0" t="s">
        <v>3244</v>
      </c>
      <c r="J968" s="0" t="s">
        <v>3245</v>
      </c>
      <c r="K968" s="0" t="s">
        <v>3246</v>
      </c>
      <c r="L968" s="0" t="str">
        <f aca="false">HYPERLINK("https://www.ncbi.nlm.nih.gov/nuccore/CP000058.1?report=graph&amp;tracks=[key:gene_model_track,Options:GeneOnly]&amp;mk=310591:310610|offset_1|444444,310613:310632|offset_23|444444,310647:310666|offset_57|00cc00,310667:310686|offset_77|444444&amp;v=310390:310886&amp;c=444444", "offset 57")</f>
        <v>offset 57</v>
      </c>
    </row>
    <row r="969" customFormat="false" ht="12.8" hidden="false" customHeight="false" outlineLevel="0" collapsed="false">
      <c r="A969" s="0" t="s">
        <v>12</v>
      </c>
      <c r="B969" s="0" t="n">
        <v>310666</v>
      </c>
      <c r="C969" s="0" t="n">
        <v>310686</v>
      </c>
      <c r="D969" s="0" t="s">
        <v>3237</v>
      </c>
      <c r="E969" s="0" t="s">
        <v>75</v>
      </c>
      <c r="F969" s="0" t="s">
        <v>15</v>
      </c>
      <c r="G969" s="0" t="s">
        <v>20</v>
      </c>
      <c r="H969" s="0" t="n">
        <v>77</v>
      </c>
      <c r="I969" s="0" t="s">
        <v>3247</v>
      </c>
      <c r="J969" s="0" t="s">
        <v>3248</v>
      </c>
      <c r="K969" s="0" t="s">
        <v>3249</v>
      </c>
      <c r="L969" s="0" t="str">
        <f aca="false">HYPERLINK("https://www.ncbi.nlm.nih.gov/nuccore/CP000058.1?report=graph&amp;tracks=[key:gene_model_track,Options:GeneOnly]&amp;mk=310591:310610|offset_1|444444,310613:310632|offset_23|444444,310647:310666|offset_57|444444,310667:310686|offset_77|00cc00&amp;v=310390:310886&amp;c=444444", "offset 77")</f>
        <v>offset 77</v>
      </c>
    </row>
    <row r="970" customFormat="false" ht="12.8" hidden="false" customHeight="false" outlineLevel="0" collapsed="false">
      <c r="A970" s="0" t="s">
        <v>12</v>
      </c>
      <c r="B970" s="0" t="n">
        <v>311616</v>
      </c>
      <c r="C970" s="0" t="n">
        <v>311636</v>
      </c>
      <c r="D970" s="0" t="s">
        <v>3250</v>
      </c>
      <c r="E970" s="0" t="s">
        <v>75</v>
      </c>
      <c r="F970" s="0" t="s">
        <v>15</v>
      </c>
      <c r="G970" s="0" t="s">
        <v>20</v>
      </c>
      <c r="H970" s="0" t="n">
        <v>20</v>
      </c>
      <c r="I970" s="0" t="s">
        <v>3251</v>
      </c>
      <c r="J970" s="0" t="s">
        <v>3252</v>
      </c>
      <c r="K970" s="0" t="s">
        <v>3253</v>
      </c>
      <c r="L970" s="0" t="str">
        <f aca="false">HYPERLINK("https://www.ncbi.nlm.nih.gov/nuccore/CP000058.1?report=graph&amp;tracks=[key:gene_model_track,Options:GeneOnly]&amp;mk=311617:311636|offset_20|00cc00,311655:311674|offset_58|444444,311700:311719|offset_103|444444,311737:311756|offset_140|444444&amp;v=311416:311956&amp;c=444444", "offset 20")</f>
        <v>offset 20</v>
      </c>
    </row>
    <row r="971" customFormat="false" ht="12.8" hidden="false" customHeight="false" outlineLevel="0" collapsed="false">
      <c r="A971" s="0" t="s">
        <v>12</v>
      </c>
      <c r="B971" s="0" t="n">
        <v>311654</v>
      </c>
      <c r="C971" s="0" t="n">
        <v>311674</v>
      </c>
      <c r="D971" s="0" t="s">
        <v>3250</v>
      </c>
      <c r="E971" s="0" t="s">
        <v>75</v>
      </c>
      <c r="F971" s="0" t="s">
        <v>15</v>
      </c>
      <c r="G971" s="0" t="s">
        <v>32</v>
      </c>
      <c r="H971" s="0" t="n">
        <v>58</v>
      </c>
      <c r="I971" s="0" t="s">
        <v>3254</v>
      </c>
      <c r="J971" s="0" t="s">
        <v>3255</v>
      </c>
      <c r="K971" s="0" t="s">
        <v>3256</v>
      </c>
      <c r="L971" s="0" t="str">
        <f aca="false">HYPERLINK("https://www.ncbi.nlm.nih.gov/nuccore/CP000058.1?report=graph&amp;tracks=[key:gene_model_track,Options:GeneOnly]&amp;mk=311617:311636|offset_20|444444,311655:311674|offset_58|00cc00,311700:311719|offset_103|444444,311737:311756|offset_140|444444&amp;v=311416:311956&amp;c=444444", "offset 58")</f>
        <v>offset 58</v>
      </c>
    </row>
    <row r="972" customFormat="false" ht="12.8" hidden="false" customHeight="false" outlineLevel="0" collapsed="false">
      <c r="A972" s="0" t="s">
        <v>12</v>
      </c>
      <c r="B972" s="0" t="n">
        <v>311699</v>
      </c>
      <c r="C972" s="0" t="n">
        <v>311719</v>
      </c>
      <c r="D972" s="0" t="s">
        <v>3250</v>
      </c>
      <c r="E972" s="0" t="s">
        <v>75</v>
      </c>
      <c r="F972" s="0" t="s">
        <v>15</v>
      </c>
      <c r="G972" s="0" t="s">
        <v>32</v>
      </c>
      <c r="H972" s="0" t="n">
        <v>103</v>
      </c>
      <c r="I972" s="0" t="s">
        <v>3257</v>
      </c>
      <c r="J972" s="0" t="s">
        <v>3258</v>
      </c>
      <c r="K972" s="0" t="s">
        <v>3259</v>
      </c>
      <c r="L972" s="0" t="str">
        <f aca="false">HYPERLINK("https://www.ncbi.nlm.nih.gov/nuccore/CP000058.1?report=graph&amp;tracks=[key:gene_model_track,Options:GeneOnly]&amp;mk=311617:311636|offset_20|444444,311655:311674|offset_58|444444,311700:311719|offset_103|00cc00,311737:311756|offset_140|444444&amp;v=311416:311956&amp;c=444444", "offset 103")</f>
        <v>offset 103</v>
      </c>
    </row>
    <row r="973" customFormat="false" ht="12.8" hidden="false" customHeight="false" outlineLevel="0" collapsed="false">
      <c r="A973" s="0" t="s">
        <v>12</v>
      </c>
      <c r="B973" s="0" t="n">
        <v>311736</v>
      </c>
      <c r="C973" s="0" t="n">
        <v>311756</v>
      </c>
      <c r="D973" s="0" t="s">
        <v>3250</v>
      </c>
      <c r="E973" s="0" t="s">
        <v>75</v>
      </c>
      <c r="F973" s="0" t="s">
        <v>15</v>
      </c>
      <c r="G973" s="0" t="s">
        <v>20</v>
      </c>
      <c r="H973" s="0" t="n">
        <v>140</v>
      </c>
      <c r="I973" s="0" t="s">
        <v>3260</v>
      </c>
      <c r="J973" s="0" t="s">
        <v>3261</v>
      </c>
      <c r="K973" s="0" t="s">
        <v>3262</v>
      </c>
      <c r="L973" s="0" t="str">
        <f aca="false">HYPERLINK("https://www.ncbi.nlm.nih.gov/nuccore/CP000058.1?report=graph&amp;tracks=[key:gene_model_track,Options:GeneOnly]&amp;mk=311617:311636|offset_20|444444,311655:311674|offset_58|444444,311700:311719|offset_103|444444,311737:311756|offset_140|00cc00&amp;v=311416:311956&amp;c=444444", "offset 140")</f>
        <v>offset 140</v>
      </c>
    </row>
    <row r="974" customFormat="false" ht="12.8" hidden="false" customHeight="false" outlineLevel="0" collapsed="false">
      <c r="A974" s="0" t="s">
        <v>12</v>
      </c>
      <c r="B974" s="0" t="n">
        <v>312340</v>
      </c>
      <c r="C974" s="0" t="n">
        <v>312360</v>
      </c>
      <c r="D974" s="0" t="s">
        <v>3263</v>
      </c>
      <c r="E974" s="0" t="s">
        <v>75</v>
      </c>
      <c r="F974" s="0" t="s">
        <v>15</v>
      </c>
      <c r="G974" s="0" t="s">
        <v>32</v>
      </c>
      <c r="H974" s="0" t="n">
        <v>19</v>
      </c>
      <c r="I974" s="0" t="s">
        <v>3264</v>
      </c>
      <c r="J974" s="0" t="s">
        <v>3265</v>
      </c>
      <c r="K974" s="0" t="s">
        <v>3266</v>
      </c>
      <c r="L974" s="0" t="str">
        <f aca="false">HYPERLINK("https://www.ncbi.nlm.nih.gov/nuccore/CP000058.1?report=graph&amp;tracks=[key:gene_model_track,Options:GeneOnly]&amp;mk=312341:312360|offset_19|00cc00,312362:312381|offset_40|444444,312386:312405|offset_64|444444,312407:312426|offset_85|444444&amp;v=312140:312626&amp;c=444444", "offset 19")</f>
        <v>offset 19</v>
      </c>
    </row>
    <row r="975" customFormat="false" ht="12.8" hidden="false" customHeight="false" outlineLevel="0" collapsed="false">
      <c r="A975" s="0" t="s">
        <v>12</v>
      </c>
      <c r="B975" s="0" t="n">
        <v>312361</v>
      </c>
      <c r="C975" s="0" t="n">
        <v>312381</v>
      </c>
      <c r="D975" s="0" t="s">
        <v>3263</v>
      </c>
      <c r="E975" s="0" t="s">
        <v>75</v>
      </c>
      <c r="F975" s="0" t="s">
        <v>15</v>
      </c>
      <c r="G975" s="0" t="s">
        <v>20</v>
      </c>
      <c r="H975" s="0" t="n">
        <v>40</v>
      </c>
      <c r="I975" s="0" t="s">
        <v>3267</v>
      </c>
      <c r="J975" s="0" t="s">
        <v>3268</v>
      </c>
      <c r="K975" s="0" t="s">
        <v>3269</v>
      </c>
      <c r="L975" s="0" t="str">
        <f aca="false">HYPERLINK("https://www.ncbi.nlm.nih.gov/nuccore/CP000058.1?report=graph&amp;tracks=[key:gene_model_track,Options:GeneOnly]&amp;mk=312341:312360|offset_19|444444,312362:312381|offset_40|00cc00,312386:312405|offset_64|444444,312407:312426|offset_85|444444&amp;v=312140:312626&amp;c=444444", "offset 40")</f>
        <v>offset 40</v>
      </c>
    </row>
    <row r="976" customFormat="false" ht="12.8" hidden="false" customHeight="false" outlineLevel="0" collapsed="false">
      <c r="A976" s="0" t="s">
        <v>12</v>
      </c>
      <c r="B976" s="0" t="n">
        <v>312385</v>
      </c>
      <c r="C976" s="0" t="n">
        <v>312405</v>
      </c>
      <c r="D976" s="0" t="s">
        <v>3263</v>
      </c>
      <c r="E976" s="0" t="s">
        <v>75</v>
      </c>
      <c r="F976" s="0" t="s">
        <v>15</v>
      </c>
      <c r="G976" s="0" t="s">
        <v>36</v>
      </c>
      <c r="H976" s="0" t="n">
        <v>64</v>
      </c>
      <c r="I976" s="0" t="s">
        <v>3270</v>
      </c>
      <c r="J976" s="0" t="s">
        <v>3271</v>
      </c>
      <c r="K976" s="0" t="s">
        <v>3272</v>
      </c>
      <c r="L976" s="0" t="str">
        <f aca="false">HYPERLINK("https://www.ncbi.nlm.nih.gov/nuccore/CP000058.1?report=graph&amp;tracks=[key:gene_model_track,Options:GeneOnly]&amp;mk=312341:312360|offset_19|444444,312362:312381|offset_40|444444,312386:312405|offset_64|00cc00,312407:312426|offset_85|444444&amp;v=312140:312626&amp;c=444444", "offset 64")</f>
        <v>offset 64</v>
      </c>
    </row>
    <row r="977" customFormat="false" ht="12.8" hidden="false" customHeight="false" outlineLevel="0" collapsed="false">
      <c r="A977" s="0" t="s">
        <v>12</v>
      </c>
      <c r="B977" s="0" t="n">
        <v>312406</v>
      </c>
      <c r="C977" s="0" t="n">
        <v>312426</v>
      </c>
      <c r="D977" s="0" t="s">
        <v>3263</v>
      </c>
      <c r="E977" s="0" t="s">
        <v>75</v>
      </c>
      <c r="F977" s="0" t="s">
        <v>15</v>
      </c>
      <c r="G977" s="0" t="s">
        <v>16</v>
      </c>
      <c r="H977" s="0" t="n">
        <v>85</v>
      </c>
      <c r="I977" s="0" t="s">
        <v>3273</v>
      </c>
      <c r="J977" s="0" t="s">
        <v>3274</v>
      </c>
      <c r="K977" s="0" t="s">
        <v>3275</v>
      </c>
      <c r="L977" s="0" t="str">
        <f aca="false">HYPERLINK("https://www.ncbi.nlm.nih.gov/nuccore/CP000058.1?report=graph&amp;tracks=[key:gene_model_track,Options:GeneOnly]&amp;mk=312341:312360|offset_19|444444,312362:312381|offset_40|444444,312386:312405|offset_64|444444,312407:312426|offset_85|00cc00&amp;v=312140:312626&amp;c=444444", "offset 85")</f>
        <v>offset 85</v>
      </c>
    </row>
    <row r="978" customFormat="false" ht="12.8" hidden="false" customHeight="false" outlineLevel="0" collapsed="false">
      <c r="A978" s="0" t="s">
        <v>12</v>
      </c>
      <c r="B978" s="0" t="n">
        <v>313883</v>
      </c>
      <c r="C978" s="0" t="n">
        <v>313903</v>
      </c>
      <c r="D978" s="0" t="s">
        <v>3276</v>
      </c>
      <c r="E978" s="0" t="s">
        <v>75</v>
      </c>
      <c r="F978" s="0" t="s">
        <v>90</v>
      </c>
      <c r="G978" s="0" t="s">
        <v>16</v>
      </c>
      <c r="H978" s="0" t="n">
        <v>6</v>
      </c>
      <c r="I978" s="0" t="s">
        <v>3277</v>
      </c>
      <c r="J978" s="0" t="s">
        <v>3278</v>
      </c>
      <c r="K978" s="0" t="s">
        <v>3279</v>
      </c>
      <c r="L978" s="0" t="str">
        <f aca="false">HYPERLINK("https://www.ncbi.nlm.nih.gov/nuccore/CP000058.1?report=graph&amp;tracks=[key:gene_model_track,Options:GeneOnly]&amp;mk=313884:313903|offset_6|00cc00,313862:313881|offset_28|444444,313826:313845|offset_64|444444,313801:313820|offset_89|444444&amp;v=313683:314020&amp;c=444444", "offset 6")</f>
        <v>offset 6</v>
      </c>
    </row>
    <row r="979" customFormat="false" ht="12.8" hidden="false" customHeight="false" outlineLevel="0" collapsed="false">
      <c r="A979" s="0" t="s">
        <v>12</v>
      </c>
      <c r="B979" s="0" t="n">
        <v>313861</v>
      </c>
      <c r="C979" s="0" t="n">
        <v>313881</v>
      </c>
      <c r="D979" s="0" t="s">
        <v>3276</v>
      </c>
      <c r="E979" s="0" t="s">
        <v>75</v>
      </c>
      <c r="F979" s="0" t="s">
        <v>90</v>
      </c>
      <c r="G979" s="0" t="s">
        <v>32</v>
      </c>
      <c r="H979" s="0" t="n">
        <v>28</v>
      </c>
      <c r="I979" s="0" t="s">
        <v>3280</v>
      </c>
      <c r="J979" s="0" t="s">
        <v>3281</v>
      </c>
      <c r="K979" s="0" t="s">
        <v>3282</v>
      </c>
      <c r="L979" s="0" t="str">
        <f aca="false">HYPERLINK("https://www.ncbi.nlm.nih.gov/nuccore/CP000058.1?report=graph&amp;tracks=[key:gene_model_track,Options:GeneOnly]&amp;mk=313884:313903|offset_6|444444,313862:313881|offset_28|00cc00,313826:313845|offset_64|444444,313801:313820|offset_89|444444&amp;v=313683:314020&amp;c=444444", "offset 28")</f>
        <v>offset 28</v>
      </c>
    </row>
    <row r="980" customFormat="false" ht="12.8" hidden="false" customHeight="false" outlineLevel="0" collapsed="false">
      <c r="A980" s="0" t="s">
        <v>12</v>
      </c>
      <c r="B980" s="0" t="n">
        <v>313825</v>
      </c>
      <c r="C980" s="0" t="n">
        <v>313845</v>
      </c>
      <c r="D980" s="0" t="s">
        <v>3276</v>
      </c>
      <c r="E980" s="0" t="s">
        <v>75</v>
      </c>
      <c r="F980" s="0" t="s">
        <v>90</v>
      </c>
      <c r="G980" s="0" t="s">
        <v>16</v>
      </c>
      <c r="H980" s="0" t="n">
        <v>64</v>
      </c>
      <c r="I980" s="0" t="s">
        <v>3283</v>
      </c>
      <c r="J980" s="0" t="s">
        <v>3284</v>
      </c>
      <c r="K980" s="0" t="s">
        <v>3285</v>
      </c>
      <c r="L980" s="0" t="str">
        <f aca="false">HYPERLINK("https://www.ncbi.nlm.nih.gov/nuccore/CP000058.1?report=graph&amp;tracks=[key:gene_model_track,Options:GeneOnly]&amp;mk=313884:313903|offset_6|444444,313862:313881|offset_28|444444,313826:313845|offset_64|00cc00,313801:313820|offset_89|444444&amp;v=313683:314020&amp;c=444444", "offset 64")</f>
        <v>offset 64</v>
      </c>
    </row>
    <row r="981" customFormat="false" ht="12.8" hidden="false" customHeight="false" outlineLevel="0" collapsed="false">
      <c r="A981" s="0" t="s">
        <v>12</v>
      </c>
      <c r="B981" s="0" t="n">
        <v>313800</v>
      </c>
      <c r="C981" s="0" t="n">
        <v>313820</v>
      </c>
      <c r="D981" s="0" t="s">
        <v>3276</v>
      </c>
      <c r="E981" s="0" t="s">
        <v>75</v>
      </c>
      <c r="F981" s="0" t="s">
        <v>90</v>
      </c>
      <c r="G981" s="0" t="s">
        <v>20</v>
      </c>
      <c r="H981" s="0" t="n">
        <v>89</v>
      </c>
      <c r="I981" s="0" t="s">
        <v>3286</v>
      </c>
      <c r="J981" s="0" t="s">
        <v>3287</v>
      </c>
      <c r="K981" s="0" t="s">
        <v>3288</v>
      </c>
      <c r="L981" s="0" t="str">
        <f aca="false">HYPERLINK("https://www.ncbi.nlm.nih.gov/nuccore/CP000058.1?report=graph&amp;tracks=[key:gene_model_track,Options:GeneOnly]&amp;mk=313884:313903|offset_6|444444,313862:313881|offset_28|444444,313826:313845|offset_64|444444,313801:313820|offset_89|00cc00&amp;v=313683:314020&amp;c=444444", "offset 89")</f>
        <v>offset 89</v>
      </c>
    </row>
    <row r="982" customFormat="false" ht="12.8" hidden="false" customHeight="false" outlineLevel="0" collapsed="false">
      <c r="A982" s="0" t="s">
        <v>12</v>
      </c>
      <c r="B982" s="0" t="n">
        <v>314402</v>
      </c>
      <c r="C982" s="0" t="n">
        <v>314422</v>
      </c>
      <c r="D982" s="0" t="s">
        <v>3289</v>
      </c>
      <c r="E982" s="0" t="s">
        <v>75</v>
      </c>
      <c r="F982" s="0" t="s">
        <v>90</v>
      </c>
      <c r="G982" s="0" t="s">
        <v>20</v>
      </c>
      <c r="H982" s="0" t="n">
        <v>12</v>
      </c>
      <c r="I982" s="0" t="s">
        <v>3290</v>
      </c>
      <c r="J982" s="0" t="s">
        <v>3291</v>
      </c>
      <c r="K982" s="0" t="s">
        <v>3292</v>
      </c>
      <c r="L982" s="0" t="str">
        <f aca="false">HYPERLINK("https://www.ncbi.nlm.nih.gov/nuccore/CP000058.1?report=graph&amp;tracks=[key:gene_model_track,Options:GeneOnly]&amp;mk=314403:314422|offset_12|00cc00,314328:314347|offset_87|444444,314306:314325|offset_109|444444,314284:314303|offset_131|444444&amp;v=314202:314503&amp;c=444444", "offset 12")</f>
        <v>offset 12</v>
      </c>
    </row>
    <row r="983" customFormat="false" ht="12.8" hidden="false" customHeight="false" outlineLevel="0" collapsed="false">
      <c r="A983" s="0" t="s">
        <v>12</v>
      </c>
      <c r="B983" s="0" t="n">
        <v>314327</v>
      </c>
      <c r="C983" s="0" t="n">
        <v>314347</v>
      </c>
      <c r="D983" s="0" t="s">
        <v>3289</v>
      </c>
      <c r="E983" s="0" t="s">
        <v>75</v>
      </c>
      <c r="F983" s="0" t="s">
        <v>90</v>
      </c>
      <c r="G983" s="0" t="s">
        <v>16</v>
      </c>
      <c r="H983" s="0" t="n">
        <v>87</v>
      </c>
      <c r="I983" s="0" t="s">
        <v>3293</v>
      </c>
      <c r="J983" s="0" t="s">
        <v>3294</v>
      </c>
      <c r="K983" s="0" t="s">
        <v>3295</v>
      </c>
      <c r="L983" s="0" t="str">
        <f aca="false">HYPERLINK("https://www.ncbi.nlm.nih.gov/nuccore/CP000058.1?report=graph&amp;tracks=[key:gene_model_track,Options:GeneOnly]&amp;mk=314403:314422|offset_12|444444,314328:314347|offset_87|00cc00,314306:314325|offset_109|444444,314284:314303|offset_131|444444&amp;v=314202:314503&amp;c=444444", "offset 87")</f>
        <v>offset 87</v>
      </c>
    </row>
    <row r="984" customFormat="false" ht="12.8" hidden="false" customHeight="false" outlineLevel="0" collapsed="false">
      <c r="A984" s="0" t="s">
        <v>12</v>
      </c>
      <c r="B984" s="0" t="n">
        <v>314305</v>
      </c>
      <c r="C984" s="0" t="n">
        <v>314325</v>
      </c>
      <c r="D984" s="0" t="s">
        <v>3289</v>
      </c>
      <c r="E984" s="0" t="s">
        <v>75</v>
      </c>
      <c r="F984" s="0" t="s">
        <v>90</v>
      </c>
      <c r="G984" s="0" t="s">
        <v>16</v>
      </c>
      <c r="H984" s="0" t="n">
        <v>109</v>
      </c>
      <c r="I984" s="0" t="s">
        <v>3296</v>
      </c>
      <c r="J984" s="0" t="s">
        <v>3297</v>
      </c>
      <c r="K984" s="0" t="s">
        <v>3298</v>
      </c>
      <c r="L984" s="0" t="str">
        <f aca="false">HYPERLINK("https://www.ncbi.nlm.nih.gov/nuccore/CP000058.1?report=graph&amp;tracks=[key:gene_model_track,Options:GeneOnly]&amp;mk=314403:314422|offset_12|444444,314328:314347|offset_87|444444,314306:314325|offset_109|00cc00,314284:314303|offset_131|444444&amp;v=314202:314503&amp;c=444444", "offset 109")</f>
        <v>offset 109</v>
      </c>
    </row>
    <row r="985" customFormat="false" ht="12.8" hidden="false" customHeight="false" outlineLevel="0" collapsed="false">
      <c r="A985" s="0" t="s">
        <v>12</v>
      </c>
      <c r="B985" s="0" t="n">
        <v>314283</v>
      </c>
      <c r="C985" s="0" t="n">
        <v>314303</v>
      </c>
      <c r="D985" s="0" t="s">
        <v>3289</v>
      </c>
      <c r="E985" s="0" t="s">
        <v>75</v>
      </c>
      <c r="F985" s="0" t="s">
        <v>90</v>
      </c>
      <c r="G985" s="0" t="s">
        <v>32</v>
      </c>
      <c r="H985" s="0" t="n">
        <v>131</v>
      </c>
      <c r="I985" s="0" t="s">
        <v>3299</v>
      </c>
      <c r="J985" s="0" t="s">
        <v>3300</v>
      </c>
      <c r="K985" s="0" t="s">
        <v>3301</v>
      </c>
      <c r="L985" s="0" t="str">
        <f aca="false">HYPERLINK("https://www.ncbi.nlm.nih.gov/nuccore/CP000058.1?report=graph&amp;tracks=[key:gene_model_track,Options:GeneOnly]&amp;mk=314403:314422|offset_12|444444,314328:314347|offset_87|444444,314306:314325|offset_109|444444,314284:314303|offset_131|00cc00&amp;v=314202:314503&amp;c=444444", "offset 131")</f>
        <v>offset 131</v>
      </c>
    </row>
    <row r="986" customFormat="false" ht="12.8" hidden="false" customHeight="false" outlineLevel="0" collapsed="false">
      <c r="A986" s="0" t="s">
        <v>12</v>
      </c>
      <c r="B986" s="0" t="n">
        <v>314704</v>
      </c>
      <c r="C986" s="0" t="n">
        <v>314724</v>
      </c>
      <c r="D986" s="0" t="s">
        <v>3302</v>
      </c>
      <c r="E986" s="0" t="s">
        <v>75</v>
      </c>
      <c r="F986" s="0" t="s">
        <v>15</v>
      </c>
      <c r="G986" s="0" t="s">
        <v>32</v>
      </c>
      <c r="H986" s="0" t="n">
        <v>1</v>
      </c>
      <c r="I986" s="0" t="s">
        <v>3303</v>
      </c>
      <c r="J986" s="0" t="s">
        <v>3304</v>
      </c>
      <c r="K986" s="0" t="s">
        <v>3305</v>
      </c>
      <c r="L986" s="0" t="str">
        <f aca="false">HYPERLINK("https://www.ncbi.nlm.nih.gov/nuccore/CP000058.1?report=graph&amp;tracks=[key:gene_model_track,Options:GeneOnly]&amp;mk=314705:314724|offset_1|00cc00,314744:314763|offset_40|444444,314765:314784|offset_61|444444,314799:314818|offset_95|444444&amp;v=314504:315018&amp;c=444444", "offset 1")</f>
        <v>offset 1</v>
      </c>
    </row>
    <row r="987" customFormat="false" ht="12.8" hidden="false" customHeight="false" outlineLevel="0" collapsed="false">
      <c r="A987" s="0" t="s">
        <v>12</v>
      </c>
      <c r="B987" s="0" t="n">
        <v>314743</v>
      </c>
      <c r="C987" s="0" t="n">
        <v>314763</v>
      </c>
      <c r="D987" s="0" t="s">
        <v>3302</v>
      </c>
      <c r="E987" s="0" t="s">
        <v>75</v>
      </c>
      <c r="F987" s="0" t="s">
        <v>15</v>
      </c>
      <c r="G987" s="0" t="s">
        <v>36</v>
      </c>
      <c r="H987" s="0" t="n">
        <v>40</v>
      </c>
      <c r="I987" s="0" t="s">
        <v>3306</v>
      </c>
      <c r="J987" s="0" t="s">
        <v>3307</v>
      </c>
      <c r="K987" s="0" t="s">
        <v>3308</v>
      </c>
      <c r="L987" s="0" t="str">
        <f aca="false">HYPERLINK("https://www.ncbi.nlm.nih.gov/nuccore/CP000058.1?report=graph&amp;tracks=[key:gene_model_track,Options:GeneOnly]&amp;mk=314705:314724|offset_1|444444,314744:314763|offset_40|00cc00,314765:314784|offset_61|444444,314799:314818|offset_95|444444&amp;v=314504:315018&amp;c=444444", "offset 40")</f>
        <v>offset 40</v>
      </c>
    </row>
    <row r="988" customFormat="false" ht="12.8" hidden="false" customHeight="false" outlineLevel="0" collapsed="false">
      <c r="A988" s="0" t="s">
        <v>12</v>
      </c>
      <c r="B988" s="0" t="n">
        <v>314764</v>
      </c>
      <c r="C988" s="0" t="n">
        <v>314784</v>
      </c>
      <c r="D988" s="0" t="s">
        <v>3302</v>
      </c>
      <c r="E988" s="0" t="s">
        <v>75</v>
      </c>
      <c r="F988" s="0" t="s">
        <v>15</v>
      </c>
      <c r="G988" s="0" t="s">
        <v>16</v>
      </c>
      <c r="H988" s="0" t="n">
        <v>61</v>
      </c>
      <c r="I988" s="0" t="s">
        <v>3309</v>
      </c>
      <c r="J988" s="0" t="s">
        <v>3310</v>
      </c>
      <c r="K988" s="0" t="s">
        <v>3311</v>
      </c>
      <c r="L988" s="0" t="str">
        <f aca="false">HYPERLINK("https://www.ncbi.nlm.nih.gov/nuccore/CP000058.1?report=graph&amp;tracks=[key:gene_model_track,Options:GeneOnly]&amp;mk=314705:314724|offset_1|444444,314744:314763|offset_40|444444,314765:314784|offset_61|00cc00,314799:314818|offset_95|444444&amp;v=314504:315018&amp;c=444444", "offset 61")</f>
        <v>offset 61</v>
      </c>
    </row>
    <row r="989" customFormat="false" ht="12.8" hidden="false" customHeight="false" outlineLevel="0" collapsed="false">
      <c r="A989" s="0" t="s">
        <v>12</v>
      </c>
      <c r="B989" s="0" t="n">
        <v>314798</v>
      </c>
      <c r="C989" s="0" t="n">
        <v>314818</v>
      </c>
      <c r="D989" s="0" t="s">
        <v>3302</v>
      </c>
      <c r="E989" s="0" t="s">
        <v>75</v>
      </c>
      <c r="F989" s="0" t="s">
        <v>15</v>
      </c>
      <c r="G989" s="0" t="s">
        <v>36</v>
      </c>
      <c r="H989" s="0" t="n">
        <v>95</v>
      </c>
      <c r="I989" s="0" t="s">
        <v>3312</v>
      </c>
      <c r="J989" s="0" t="s">
        <v>3313</v>
      </c>
      <c r="K989" s="0" t="s">
        <v>3314</v>
      </c>
      <c r="L989" s="0" t="str">
        <f aca="false">HYPERLINK("https://www.ncbi.nlm.nih.gov/nuccore/CP000058.1?report=graph&amp;tracks=[key:gene_model_track,Options:GeneOnly]&amp;mk=314705:314724|offset_1|444444,314744:314763|offset_40|444444,314765:314784|offset_61|444444,314799:314818|offset_95|00cc00&amp;v=314504:315018&amp;c=444444", "offset 95")</f>
        <v>offset 95</v>
      </c>
    </row>
    <row r="990" customFormat="false" ht="12.8" hidden="false" customHeight="false" outlineLevel="0" collapsed="false">
      <c r="A990" s="0" t="s">
        <v>12</v>
      </c>
      <c r="B990" s="0" t="n">
        <v>316964</v>
      </c>
      <c r="C990" s="0" t="n">
        <v>316984</v>
      </c>
      <c r="D990" s="0" t="s">
        <v>3315</v>
      </c>
      <c r="E990" s="0" t="s">
        <v>75</v>
      </c>
      <c r="F990" s="0" t="s">
        <v>90</v>
      </c>
      <c r="G990" s="0" t="s">
        <v>16</v>
      </c>
      <c r="H990" s="0" t="n">
        <v>10</v>
      </c>
      <c r="I990" s="0" t="s">
        <v>3316</v>
      </c>
      <c r="J990" s="0" t="s">
        <v>3317</v>
      </c>
      <c r="K990" s="0" t="s">
        <v>3318</v>
      </c>
      <c r="L990" s="0" t="str">
        <f aca="false">HYPERLINK("https://www.ncbi.nlm.nih.gov/nuccore/CP000058.1?report=graph&amp;tracks=[key:gene_model_track,Options:GeneOnly]&amp;mk=316965:316984|offset_10|00cc00,316938:316957|offset_37|444444,316917:316936|offset_58|444444,316893:316912|offset_82|444444&amp;v=316764:317112&amp;c=444444", "offset 10")</f>
        <v>offset 10</v>
      </c>
    </row>
    <row r="991" customFormat="false" ht="12.8" hidden="false" customHeight="false" outlineLevel="0" collapsed="false">
      <c r="A991" s="0" t="s">
        <v>12</v>
      </c>
      <c r="B991" s="0" t="n">
        <v>316937</v>
      </c>
      <c r="C991" s="0" t="n">
        <v>316957</v>
      </c>
      <c r="D991" s="0" t="s">
        <v>3315</v>
      </c>
      <c r="E991" s="0" t="s">
        <v>75</v>
      </c>
      <c r="F991" s="0" t="s">
        <v>90</v>
      </c>
      <c r="G991" s="0" t="s">
        <v>16</v>
      </c>
      <c r="H991" s="0" t="n">
        <v>37</v>
      </c>
      <c r="I991" s="0" t="s">
        <v>3319</v>
      </c>
      <c r="J991" s="0" t="s">
        <v>3320</v>
      </c>
      <c r="K991" s="0" t="s">
        <v>3321</v>
      </c>
      <c r="L991" s="0" t="str">
        <f aca="false">HYPERLINK("https://www.ncbi.nlm.nih.gov/nuccore/CP000058.1?report=graph&amp;tracks=[key:gene_model_track,Options:GeneOnly]&amp;mk=316965:316984|offset_10|444444,316938:316957|offset_37|00cc00,316917:316936|offset_58|444444,316893:316912|offset_82|444444&amp;v=316764:317112&amp;c=444444", "offset 37")</f>
        <v>offset 37</v>
      </c>
    </row>
    <row r="992" customFormat="false" ht="12.8" hidden="false" customHeight="false" outlineLevel="0" collapsed="false">
      <c r="A992" s="0" t="s">
        <v>12</v>
      </c>
      <c r="B992" s="0" t="n">
        <v>316916</v>
      </c>
      <c r="C992" s="0" t="n">
        <v>316936</v>
      </c>
      <c r="D992" s="0" t="s">
        <v>3315</v>
      </c>
      <c r="E992" s="0" t="s">
        <v>75</v>
      </c>
      <c r="F992" s="0" t="s">
        <v>90</v>
      </c>
      <c r="G992" s="0" t="s">
        <v>36</v>
      </c>
      <c r="H992" s="0" t="n">
        <v>58</v>
      </c>
      <c r="I992" s="0" t="s">
        <v>3322</v>
      </c>
      <c r="J992" s="0" t="s">
        <v>3323</v>
      </c>
      <c r="K992" s="0" t="s">
        <v>3324</v>
      </c>
      <c r="L992" s="0" t="str">
        <f aca="false">HYPERLINK("https://www.ncbi.nlm.nih.gov/nuccore/CP000058.1?report=graph&amp;tracks=[key:gene_model_track,Options:GeneOnly]&amp;mk=316965:316984|offset_10|444444,316938:316957|offset_37|444444,316917:316936|offset_58|00cc00,316893:316912|offset_82|444444&amp;v=316764:317112&amp;c=444444", "offset 58")</f>
        <v>offset 58</v>
      </c>
    </row>
    <row r="993" customFormat="false" ht="12.8" hidden="false" customHeight="false" outlineLevel="0" collapsed="false">
      <c r="A993" s="0" t="s">
        <v>12</v>
      </c>
      <c r="B993" s="0" t="n">
        <v>316892</v>
      </c>
      <c r="C993" s="0" t="n">
        <v>316912</v>
      </c>
      <c r="D993" s="0" t="s">
        <v>3315</v>
      </c>
      <c r="E993" s="0" t="s">
        <v>75</v>
      </c>
      <c r="F993" s="0" t="s">
        <v>90</v>
      </c>
      <c r="G993" s="0" t="s">
        <v>32</v>
      </c>
      <c r="H993" s="0" t="n">
        <v>82</v>
      </c>
      <c r="I993" s="0" t="s">
        <v>3325</v>
      </c>
      <c r="J993" s="0" t="s">
        <v>3326</v>
      </c>
      <c r="K993" s="0" t="s">
        <v>3327</v>
      </c>
      <c r="L993" s="0" t="str">
        <f aca="false">HYPERLINK("https://www.ncbi.nlm.nih.gov/nuccore/CP000058.1?report=graph&amp;tracks=[key:gene_model_track,Options:GeneOnly]&amp;mk=316965:316984|offset_10|444444,316938:316957|offset_37|444444,316917:316936|offset_58|444444,316893:316912|offset_82|00cc00&amp;v=316764:317112&amp;c=444444", "offset 82")</f>
        <v>offset 82</v>
      </c>
    </row>
    <row r="994" customFormat="false" ht="12.8" hidden="false" customHeight="false" outlineLevel="0" collapsed="false">
      <c r="A994" s="0" t="s">
        <v>12</v>
      </c>
      <c r="B994" s="0" t="n">
        <v>317709</v>
      </c>
      <c r="C994" s="0" t="n">
        <v>317729</v>
      </c>
      <c r="D994" s="0" t="s">
        <v>3328</v>
      </c>
      <c r="E994" s="0" t="s">
        <v>3329</v>
      </c>
      <c r="F994" s="0" t="s">
        <v>90</v>
      </c>
      <c r="G994" s="0" t="s">
        <v>36</v>
      </c>
      <c r="H994" s="0" t="n">
        <v>50</v>
      </c>
      <c r="I994" s="0" t="s">
        <v>3330</v>
      </c>
      <c r="J994" s="0" t="s">
        <v>3331</v>
      </c>
      <c r="K994" s="0" t="s">
        <v>3332</v>
      </c>
      <c r="L994" s="0" t="str">
        <f aca="false">HYPERLINK("https://www.ncbi.nlm.nih.gov/nuccore/CP000058.1?report=graph&amp;tracks=[key:gene_model_track,Options:GeneOnly]&amp;mk=317710:317729|offset_50|00cc00,317675:317694|offset_85|444444,317645:317664|offset_115|444444,317622:317641|offset_138|444444&amp;v=317509:317841&amp;c=444444", "offset 50")</f>
        <v>offset 50</v>
      </c>
    </row>
    <row r="995" customFormat="false" ht="12.8" hidden="false" customHeight="false" outlineLevel="0" collapsed="false">
      <c r="A995" s="0" t="s">
        <v>12</v>
      </c>
      <c r="B995" s="0" t="n">
        <v>317674</v>
      </c>
      <c r="C995" s="0" t="n">
        <v>317694</v>
      </c>
      <c r="D995" s="0" t="s">
        <v>3328</v>
      </c>
      <c r="E995" s="0" t="s">
        <v>3329</v>
      </c>
      <c r="F995" s="0" t="s">
        <v>90</v>
      </c>
      <c r="G995" s="0" t="s">
        <v>16</v>
      </c>
      <c r="H995" s="0" t="n">
        <v>85</v>
      </c>
      <c r="I995" s="0" t="s">
        <v>3333</v>
      </c>
      <c r="J995" s="0" t="s">
        <v>3334</v>
      </c>
      <c r="K995" s="0" t="s">
        <v>3335</v>
      </c>
      <c r="L995" s="0" t="str">
        <f aca="false">HYPERLINK("https://www.ncbi.nlm.nih.gov/nuccore/CP000058.1?report=graph&amp;tracks=[key:gene_model_track,Options:GeneOnly]&amp;mk=317710:317729|offset_50|444444,317675:317694|offset_85|00cc00,317645:317664|offset_115|444444,317622:317641|offset_138|444444&amp;v=317509:317841&amp;c=444444", "offset 85")</f>
        <v>offset 85</v>
      </c>
    </row>
    <row r="996" customFormat="false" ht="12.8" hidden="false" customHeight="false" outlineLevel="0" collapsed="false">
      <c r="A996" s="0" t="s">
        <v>12</v>
      </c>
      <c r="B996" s="0" t="n">
        <v>317644</v>
      </c>
      <c r="C996" s="0" t="n">
        <v>317664</v>
      </c>
      <c r="D996" s="0" t="s">
        <v>3328</v>
      </c>
      <c r="E996" s="0" t="s">
        <v>3329</v>
      </c>
      <c r="F996" s="0" t="s">
        <v>90</v>
      </c>
      <c r="G996" s="0" t="s">
        <v>20</v>
      </c>
      <c r="H996" s="0" t="n">
        <v>115</v>
      </c>
      <c r="I996" s="0" t="s">
        <v>3336</v>
      </c>
      <c r="J996" s="0" t="s">
        <v>3337</v>
      </c>
      <c r="K996" s="0" t="s">
        <v>3338</v>
      </c>
      <c r="L996" s="0" t="str">
        <f aca="false">HYPERLINK("https://www.ncbi.nlm.nih.gov/nuccore/CP000058.1?report=graph&amp;tracks=[key:gene_model_track,Options:GeneOnly]&amp;mk=317710:317729|offset_50|444444,317675:317694|offset_85|444444,317645:317664|offset_115|00cc00,317622:317641|offset_138|444444&amp;v=317509:317841&amp;c=444444", "offset 115")</f>
        <v>offset 115</v>
      </c>
    </row>
    <row r="997" customFormat="false" ht="12.8" hidden="false" customHeight="false" outlineLevel="0" collapsed="false">
      <c r="A997" s="0" t="s">
        <v>12</v>
      </c>
      <c r="B997" s="0" t="n">
        <v>317621</v>
      </c>
      <c r="C997" s="0" t="n">
        <v>317641</v>
      </c>
      <c r="D997" s="0" t="s">
        <v>3328</v>
      </c>
      <c r="E997" s="0" t="s">
        <v>3329</v>
      </c>
      <c r="F997" s="0" t="s">
        <v>90</v>
      </c>
      <c r="G997" s="0" t="s">
        <v>20</v>
      </c>
      <c r="H997" s="0" t="n">
        <v>138</v>
      </c>
      <c r="I997" s="0" t="s">
        <v>3339</v>
      </c>
      <c r="J997" s="0" t="s">
        <v>3340</v>
      </c>
      <c r="K997" s="0" t="s">
        <v>3341</v>
      </c>
      <c r="L997" s="0" t="str">
        <f aca="false">HYPERLINK("https://www.ncbi.nlm.nih.gov/nuccore/CP000058.1?report=graph&amp;tracks=[key:gene_model_track,Options:GeneOnly]&amp;mk=317710:317729|offset_50|444444,317675:317694|offset_85|444444,317645:317664|offset_115|444444,317622:317641|offset_138|00cc00&amp;v=317509:317841&amp;c=444444", "offset 138")</f>
        <v>offset 138</v>
      </c>
    </row>
    <row r="998" customFormat="false" ht="12.8" hidden="false" customHeight="false" outlineLevel="0" collapsed="false">
      <c r="A998" s="0" t="s">
        <v>12</v>
      </c>
      <c r="B998" s="0" t="n">
        <v>319091</v>
      </c>
      <c r="C998" s="0" t="n">
        <v>319111</v>
      </c>
      <c r="D998" s="0" t="s">
        <v>3342</v>
      </c>
      <c r="E998" s="0" t="s">
        <v>75</v>
      </c>
      <c r="F998" s="0" t="s">
        <v>90</v>
      </c>
      <c r="G998" s="0" t="s">
        <v>32</v>
      </c>
      <c r="H998" s="0" t="n">
        <v>7</v>
      </c>
      <c r="I998" s="0" t="s">
        <v>3343</v>
      </c>
      <c r="J998" s="0" t="s">
        <v>3344</v>
      </c>
      <c r="K998" s="0" t="s">
        <v>3345</v>
      </c>
      <c r="L998" s="0" t="str">
        <f aca="false">HYPERLINK("https://www.ncbi.nlm.nih.gov/nuccore/CP000058.1?report=graph&amp;tracks=[key:gene_model_track,Options:GeneOnly]&amp;mk=319092:319111|offset_7|00cc00,319070:319089|offset_29|444444,319033:319052|offset_66|444444,318988:319007|offset_111|444444&amp;v=318891:319207&amp;c=444444", "offset 7")</f>
        <v>offset 7</v>
      </c>
    </row>
    <row r="999" customFormat="false" ht="12.8" hidden="false" customHeight="false" outlineLevel="0" collapsed="false">
      <c r="A999" s="0" t="s">
        <v>12</v>
      </c>
      <c r="B999" s="0" t="n">
        <v>319069</v>
      </c>
      <c r="C999" s="0" t="n">
        <v>319089</v>
      </c>
      <c r="D999" s="0" t="s">
        <v>3342</v>
      </c>
      <c r="E999" s="0" t="s">
        <v>75</v>
      </c>
      <c r="F999" s="0" t="s">
        <v>90</v>
      </c>
      <c r="G999" s="0" t="s">
        <v>16</v>
      </c>
      <c r="H999" s="0" t="n">
        <v>29</v>
      </c>
      <c r="I999" s="0" t="s">
        <v>3346</v>
      </c>
      <c r="J999" s="0" t="s">
        <v>3347</v>
      </c>
      <c r="K999" s="0" t="s">
        <v>3348</v>
      </c>
      <c r="L999" s="0" t="str">
        <f aca="false">HYPERLINK("https://www.ncbi.nlm.nih.gov/nuccore/CP000058.1?report=graph&amp;tracks=[key:gene_model_track,Options:GeneOnly]&amp;mk=319092:319111|offset_7|444444,319070:319089|offset_29|00cc00,319033:319052|offset_66|444444,318988:319007|offset_111|444444&amp;v=318891:319207&amp;c=444444", "offset 29")</f>
        <v>offset 29</v>
      </c>
    </row>
    <row r="1000" customFormat="false" ht="12.8" hidden="false" customHeight="false" outlineLevel="0" collapsed="false">
      <c r="A1000" s="0" t="s">
        <v>12</v>
      </c>
      <c r="B1000" s="0" t="n">
        <v>319032</v>
      </c>
      <c r="C1000" s="0" t="n">
        <v>319052</v>
      </c>
      <c r="D1000" s="0" t="s">
        <v>3342</v>
      </c>
      <c r="E1000" s="0" t="s">
        <v>75</v>
      </c>
      <c r="F1000" s="0" t="s">
        <v>90</v>
      </c>
      <c r="G1000" s="0" t="s">
        <v>36</v>
      </c>
      <c r="H1000" s="0" t="n">
        <v>66</v>
      </c>
      <c r="I1000" s="0" t="s">
        <v>3349</v>
      </c>
      <c r="J1000" s="0" t="s">
        <v>3350</v>
      </c>
      <c r="K1000" s="0" t="s">
        <v>3351</v>
      </c>
      <c r="L1000" s="0" t="str">
        <f aca="false">HYPERLINK("https://www.ncbi.nlm.nih.gov/nuccore/CP000058.1?report=graph&amp;tracks=[key:gene_model_track,Options:GeneOnly]&amp;mk=319092:319111|offset_7|444444,319070:319089|offset_29|444444,319033:319052|offset_66|00cc00,318988:319007|offset_111|444444&amp;v=318891:319207&amp;c=444444", "offset 66")</f>
        <v>offset 66</v>
      </c>
    </row>
    <row r="1001" customFormat="false" ht="12.8" hidden="false" customHeight="false" outlineLevel="0" collapsed="false">
      <c r="A1001" s="0" t="s">
        <v>12</v>
      </c>
      <c r="B1001" s="0" t="n">
        <v>318987</v>
      </c>
      <c r="C1001" s="0" t="n">
        <v>319007</v>
      </c>
      <c r="D1001" s="0" t="s">
        <v>3342</v>
      </c>
      <c r="E1001" s="0" t="s">
        <v>75</v>
      </c>
      <c r="F1001" s="0" t="s">
        <v>90</v>
      </c>
      <c r="G1001" s="0" t="s">
        <v>32</v>
      </c>
      <c r="H1001" s="0" t="n">
        <v>111</v>
      </c>
      <c r="I1001" s="0" t="s">
        <v>3352</v>
      </c>
      <c r="J1001" s="0" t="s">
        <v>3353</v>
      </c>
      <c r="K1001" s="0" t="s">
        <v>3354</v>
      </c>
      <c r="L1001" s="0" t="str">
        <f aca="false">HYPERLINK("https://www.ncbi.nlm.nih.gov/nuccore/CP000058.1?report=graph&amp;tracks=[key:gene_model_track,Options:GeneOnly]&amp;mk=319092:319111|offset_7|444444,319070:319089|offset_29|444444,319033:319052|offset_66|444444,318988:319007|offset_111|00cc00&amp;v=318891:319207&amp;c=444444", "offset 111")</f>
        <v>offset 111</v>
      </c>
    </row>
    <row r="1002" customFormat="false" ht="12.8" hidden="false" customHeight="false" outlineLevel="0" collapsed="false">
      <c r="A1002" s="0" t="s">
        <v>12</v>
      </c>
      <c r="B1002" s="0" t="n">
        <v>319864</v>
      </c>
      <c r="C1002" s="0" t="n">
        <v>319884</v>
      </c>
      <c r="D1002" s="0" t="s">
        <v>3355</v>
      </c>
      <c r="E1002" s="0" t="s">
        <v>3356</v>
      </c>
      <c r="F1002" s="0" t="s">
        <v>90</v>
      </c>
      <c r="G1002" s="0" t="s">
        <v>20</v>
      </c>
      <c r="H1002" s="0" t="n">
        <v>26</v>
      </c>
      <c r="I1002" s="0" t="s">
        <v>3357</v>
      </c>
      <c r="J1002" s="0" t="s">
        <v>3358</v>
      </c>
      <c r="K1002" s="0" t="s">
        <v>3359</v>
      </c>
      <c r="L1002" s="0" t="str">
        <f aca="false">HYPERLINK("https://www.ncbi.nlm.nih.gov/nuccore/CP000058.1?report=graph&amp;tracks=[key:gene_model_track,Options:GeneOnly]&amp;mk=319865:319884|offset_26|00cc00,319836:319855|offset_55|444444,319812:319831|offset_79|444444,319778:319797|offset_113|444444&amp;v=319664:319997&amp;c=444444", "offset 26")</f>
        <v>offset 26</v>
      </c>
    </row>
    <row r="1003" customFormat="false" ht="12.8" hidden="false" customHeight="false" outlineLevel="0" collapsed="false">
      <c r="A1003" s="0" t="s">
        <v>12</v>
      </c>
      <c r="B1003" s="0" t="n">
        <v>319835</v>
      </c>
      <c r="C1003" s="0" t="n">
        <v>319855</v>
      </c>
      <c r="D1003" s="0" t="s">
        <v>3355</v>
      </c>
      <c r="E1003" s="0" t="s">
        <v>3356</v>
      </c>
      <c r="F1003" s="0" t="s">
        <v>90</v>
      </c>
      <c r="G1003" s="0" t="s">
        <v>16</v>
      </c>
      <c r="H1003" s="0" t="n">
        <v>55</v>
      </c>
      <c r="I1003" s="0" t="s">
        <v>3360</v>
      </c>
      <c r="J1003" s="0" t="s">
        <v>3361</v>
      </c>
      <c r="K1003" s="0" t="s">
        <v>3362</v>
      </c>
      <c r="L1003" s="0" t="str">
        <f aca="false">HYPERLINK("https://www.ncbi.nlm.nih.gov/nuccore/CP000058.1?report=graph&amp;tracks=[key:gene_model_track,Options:GeneOnly]&amp;mk=319865:319884|offset_26|444444,319836:319855|offset_55|00cc00,319812:319831|offset_79|444444,319778:319797|offset_113|444444&amp;v=319664:319997&amp;c=444444", "offset 55")</f>
        <v>offset 55</v>
      </c>
    </row>
    <row r="1004" customFormat="false" ht="12.8" hidden="false" customHeight="false" outlineLevel="0" collapsed="false">
      <c r="A1004" s="0" t="s">
        <v>12</v>
      </c>
      <c r="B1004" s="0" t="n">
        <v>319811</v>
      </c>
      <c r="C1004" s="0" t="n">
        <v>319831</v>
      </c>
      <c r="D1004" s="0" t="s">
        <v>3355</v>
      </c>
      <c r="E1004" s="0" t="s">
        <v>3356</v>
      </c>
      <c r="F1004" s="0" t="s">
        <v>90</v>
      </c>
      <c r="G1004" s="0" t="s">
        <v>36</v>
      </c>
      <c r="H1004" s="0" t="n">
        <v>79</v>
      </c>
      <c r="I1004" s="0" t="s">
        <v>3363</v>
      </c>
      <c r="J1004" s="0" t="s">
        <v>3364</v>
      </c>
      <c r="K1004" s="0" t="s">
        <v>3365</v>
      </c>
      <c r="L1004" s="0" t="str">
        <f aca="false">HYPERLINK("https://www.ncbi.nlm.nih.gov/nuccore/CP000058.1?report=graph&amp;tracks=[key:gene_model_track,Options:GeneOnly]&amp;mk=319865:319884|offset_26|444444,319836:319855|offset_55|444444,319812:319831|offset_79|00cc00,319778:319797|offset_113|444444&amp;v=319664:319997&amp;c=444444", "offset 79")</f>
        <v>offset 79</v>
      </c>
    </row>
    <row r="1005" customFormat="false" ht="12.8" hidden="false" customHeight="false" outlineLevel="0" collapsed="false">
      <c r="A1005" s="0" t="s">
        <v>12</v>
      </c>
      <c r="B1005" s="0" t="n">
        <v>319777</v>
      </c>
      <c r="C1005" s="0" t="n">
        <v>319797</v>
      </c>
      <c r="D1005" s="0" t="s">
        <v>3355</v>
      </c>
      <c r="E1005" s="0" t="s">
        <v>3356</v>
      </c>
      <c r="F1005" s="0" t="s">
        <v>90</v>
      </c>
      <c r="G1005" s="0" t="s">
        <v>32</v>
      </c>
      <c r="H1005" s="0" t="n">
        <v>113</v>
      </c>
      <c r="I1005" s="0" t="s">
        <v>3366</v>
      </c>
      <c r="J1005" s="0" t="s">
        <v>3367</v>
      </c>
      <c r="K1005" s="0" t="s">
        <v>3368</v>
      </c>
      <c r="L1005" s="0" t="str">
        <f aca="false">HYPERLINK("https://www.ncbi.nlm.nih.gov/nuccore/CP000058.1?report=graph&amp;tracks=[key:gene_model_track,Options:GeneOnly]&amp;mk=319865:319884|offset_26|444444,319836:319855|offset_55|444444,319812:319831|offset_79|444444,319778:319797|offset_113|00cc00&amp;v=319664:319997&amp;c=444444", "offset 113")</f>
        <v>offset 113</v>
      </c>
    </row>
    <row r="1006" customFormat="false" ht="12.8" hidden="false" customHeight="false" outlineLevel="0" collapsed="false">
      <c r="A1006" s="0" t="s">
        <v>12</v>
      </c>
      <c r="B1006" s="0" t="n">
        <v>320752</v>
      </c>
      <c r="C1006" s="0" t="n">
        <v>320772</v>
      </c>
      <c r="D1006" s="0" t="s">
        <v>3369</v>
      </c>
      <c r="E1006" s="0" t="s">
        <v>75</v>
      </c>
      <c r="F1006" s="0" t="s">
        <v>90</v>
      </c>
      <c r="G1006" s="0" t="s">
        <v>32</v>
      </c>
      <c r="H1006" s="0" t="n">
        <v>8</v>
      </c>
      <c r="I1006" s="0" t="s">
        <v>3370</v>
      </c>
      <c r="J1006" s="0" t="s">
        <v>3371</v>
      </c>
      <c r="K1006" s="0" t="s">
        <v>3372</v>
      </c>
      <c r="L1006" s="0" t="str">
        <f aca="false">HYPERLINK("https://www.ncbi.nlm.nih.gov/nuccore/CP000058.1?report=graph&amp;tracks=[key:gene_model_track,Options:GeneOnly]&amp;mk=320753:320772|offset_8|00cc00,320721:320740|offset_40|444444,320688:320707|offset_73|444444,320642:320661|offset_119|444444&amp;v=320552:320861&amp;c=444444", "offset 8")</f>
        <v>offset 8</v>
      </c>
    </row>
    <row r="1007" customFormat="false" ht="12.8" hidden="false" customHeight="false" outlineLevel="0" collapsed="false">
      <c r="A1007" s="0" t="s">
        <v>12</v>
      </c>
      <c r="B1007" s="0" t="n">
        <v>320720</v>
      </c>
      <c r="C1007" s="0" t="n">
        <v>320740</v>
      </c>
      <c r="D1007" s="0" t="s">
        <v>3369</v>
      </c>
      <c r="E1007" s="0" t="s">
        <v>75</v>
      </c>
      <c r="F1007" s="0" t="s">
        <v>90</v>
      </c>
      <c r="G1007" s="0" t="s">
        <v>36</v>
      </c>
      <c r="H1007" s="0" t="n">
        <v>40</v>
      </c>
      <c r="I1007" s="0" t="s">
        <v>3373</v>
      </c>
      <c r="J1007" s="0" t="s">
        <v>3374</v>
      </c>
      <c r="K1007" s="0" t="s">
        <v>3375</v>
      </c>
      <c r="L1007" s="0" t="str">
        <f aca="false">HYPERLINK("https://www.ncbi.nlm.nih.gov/nuccore/CP000058.1?report=graph&amp;tracks=[key:gene_model_track,Options:GeneOnly]&amp;mk=320753:320772|offset_8|444444,320721:320740|offset_40|00cc00,320688:320707|offset_73|444444,320642:320661|offset_119|444444&amp;v=320552:320861&amp;c=444444", "offset 40")</f>
        <v>offset 40</v>
      </c>
    </row>
    <row r="1008" customFormat="false" ht="12.8" hidden="false" customHeight="false" outlineLevel="0" collapsed="false">
      <c r="A1008" s="0" t="s">
        <v>12</v>
      </c>
      <c r="B1008" s="0" t="n">
        <v>320687</v>
      </c>
      <c r="C1008" s="0" t="n">
        <v>320707</v>
      </c>
      <c r="D1008" s="0" t="s">
        <v>3369</v>
      </c>
      <c r="E1008" s="0" t="s">
        <v>75</v>
      </c>
      <c r="F1008" s="0" t="s">
        <v>90</v>
      </c>
      <c r="G1008" s="0" t="s">
        <v>32</v>
      </c>
      <c r="H1008" s="0" t="n">
        <v>73</v>
      </c>
      <c r="I1008" s="0" t="s">
        <v>3376</v>
      </c>
      <c r="J1008" s="0" t="s">
        <v>3377</v>
      </c>
      <c r="K1008" s="0" t="s">
        <v>3378</v>
      </c>
      <c r="L1008" s="0" t="str">
        <f aca="false">HYPERLINK("https://www.ncbi.nlm.nih.gov/nuccore/CP000058.1?report=graph&amp;tracks=[key:gene_model_track,Options:GeneOnly]&amp;mk=320753:320772|offset_8|444444,320721:320740|offset_40|444444,320688:320707|offset_73|00cc00,320642:320661|offset_119|444444&amp;v=320552:320861&amp;c=444444", "offset 73")</f>
        <v>offset 73</v>
      </c>
    </row>
    <row r="1009" customFormat="false" ht="12.8" hidden="false" customHeight="false" outlineLevel="0" collapsed="false">
      <c r="A1009" s="0" t="s">
        <v>12</v>
      </c>
      <c r="B1009" s="0" t="n">
        <v>320641</v>
      </c>
      <c r="C1009" s="0" t="n">
        <v>320661</v>
      </c>
      <c r="D1009" s="0" t="s">
        <v>3369</v>
      </c>
      <c r="E1009" s="0" t="s">
        <v>75</v>
      </c>
      <c r="F1009" s="0" t="s">
        <v>90</v>
      </c>
      <c r="G1009" s="0" t="s">
        <v>20</v>
      </c>
      <c r="H1009" s="0" t="n">
        <v>119</v>
      </c>
      <c r="I1009" s="0" t="s">
        <v>3379</v>
      </c>
      <c r="J1009" s="0" t="s">
        <v>3380</v>
      </c>
      <c r="K1009" s="0" t="s">
        <v>3381</v>
      </c>
      <c r="L1009" s="0" t="str">
        <f aca="false">HYPERLINK("https://www.ncbi.nlm.nih.gov/nuccore/CP000058.1?report=graph&amp;tracks=[key:gene_model_track,Options:GeneOnly]&amp;mk=320753:320772|offset_8|444444,320721:320740|offset_40|444444,320688:320707|offset_73|444444,320642:320661|offset_119|00cc00&amp;v=320552:320861&amp;c=444444", "offset 119")</f>
        <v>offset 119</v>
      </c>
    </row>
    <row r="1010" customFormat="false" ht="12.8" hidden="false" customHeight="false" outlineLevel="0" collapsed="false">
      <c r="A1010" s="0" t="s">
        <v>12</v>
      </c>
      <c r="B1010" s="0" t="n">
        <v>321012</v>
      </c>
      <c r="C1010" s="0" t="n">
        <v>321032</v>
      </c>
      <c r="D1010" s="0" t="s">
        <v>3382</v>
      </c>
      <c r="E1010" s="0" t="s">
        <v>3383</v>
      </c>
      <c r="F1010" s="0" t="s">
        <v>15</v>
      </c>
      <c r="G1010" s="0" t="s">
        <v>16</v>
      </c>
      <c r="H1010" s="0" t="n">
        <v>1</v>
      </c>
      <c r="I1010" s="0" t="s">
        <v>3384</v>
      </c>
      <c r="J1010" s="0" t="s">
        <v>3385</v>
      </c>
      <c r="K1010" s="0" t="s">
        <v>3386</v>
      </c>
      <c r="L1010" s="0" t="str">
        <f aca="false">HYPERLINK("https://www.ncbi.nlm.nih.gov/nuccore/CP000058.1?report=graph&amp;tracks=[key:gene_model_track,Options:GeneOnly]&amp;mk=321013:321032|offset_1|00cc00,321035:321054|offset_23|444444,321062:321081|offset_50|444444,321085:321104|offset_73|444444&amp;v=320812:321304&amp;c=444444", "offset 1")</f>
        <v>offset 1</v>
      </c>
    </row>
    <row r="1011" customFormat="false" ht="12.8" hidden="false" customHeight="false" outlineLevel="0" collapsed="false">
      <c r="A1011" s="0" t="s">
        <v>12</v>
      </c>
      <c r="B1011" s="0" t="n">
        <v>321034</v>
      </c>
      <c r="C1011" s="0" t="n">
        <v>321054</v>
      </c>
      <c r="D1011" s="0" t="s">
        <v>3382</v>
      </c>
      <c r="E1011" s="0" t="s">
        <v>3383</v>
      </c>
      <c r="F1011" s="0" t="s">
        <v>15</v>
      </c>
      <c r="G1011" s="0" t="s">
        <v>16</v>
      </c>
      <c r="H1011" s="0" t="n">
        <v>23</v>
      </c>
      <c r="I1011" s="0" t="s">
        <v>3387</v>
      </c>
      <c r="J1011" s="0" t="s">
        <v>3388</v>
      </c>
      <c r="K1011" s="0" t="s">
        <v>3389</v>
      </c>
      <c r="L1011" s="0" t="str">
        <f aca="false">HYPERLINK("https://www.ncbi.nlm.nih.gov/nuccore/CP000058.1?report=graph&amp;tracks=[key:gene_model_track,Options:GeneOnly]&amp;mk=321013:321032|offset_1|444444,321035:321054|offset_23|00cc00,321062:321081|offset_50|444444,321085:321104|offset_73|444444&amp;v=320812:321304&amp;c=444444", "offset 23")</f>
        <v>offset 23</v>
      </c>
    </row>
    <row r="1012" customFormat="false" ht="12.8" hidden="false" customHeight="false" outlineLevel="0" collapsed="false">
      <c r="A1012" s="0" t="s">
        <v>12</v>
      </c>
      <c r="B1012" s="0" t="n">
        <v>321061</v>
      </c>
      <c r="C1012" s="0" t="n">
        <v>321081</v>
      </c>
      <c r="D1012" s="0" t="s">
        <v>3382</v>
      </c>
      <c r="E1012" s="0" t="s">
        <v>3383</v>
      </c>
      <c r="F1012" s="0" t="s">
        <v>15</v>
      </c>
      <c r="G1012" s="0" t="s">
        <v>16</v>
      </c>
      <c r="H1012" s="0" t="n">
        <v>50</v>
      </c>
      <c r="I1012" s="0" t="s">
        <v>3390</v>
      </c>
      <c r="J1012" s="0" t="s">
        <v>3391</v>
      </c>
      <c r="K1012" s="0" t="s">
        <v>3392</v>
      </c>
      <c r="L1012" s="0" t="str">
        <f aca="false">HYPERLINK("https://www.ncbi.nlm.nih.gov/nuccore/CP000058.1?report=graph&amp;tracks=[key:gene_model_track,Options:GeneOnly]&amp;mk=321013:321032|offset_1|444444,321035:321054|offset_23|444444,321062:321081|offset_50|00cc00,321085:321104|offset_73|444444&amp;v=320812:321304&amp;c=444444", "offset 50")</f>
        <v>offset 50</v>
      </c>
    </row>
    <row r="1013" customFormat="false" ht="12.8" hidden="false" customHeight="false" outlineLevel="0" collapsed="false">
      <c r="A1013" s="0" t="s">
        <v>12</v>
      </c>
      <c r="B1013" s="0" t="n">
        <v>321084</v>
      </c>
      <c r="C1013" s="0" t="n">
        <v>321104</v>
      </c>
      <c r="D1013" s="0" t="s">
        <v>3382</v>
      </c>
      <c r="E1013" s="0" t="s">
        <v>3383</v>
      </c>
      <c r="F1013" s="0" t="s">
        <v>15</v>
      </c>
      <c r="G1013" s="0" t="s">
        <v>36</v>
      </c>
      <c r="H1013" s="0" t="n">
        <v>73</v>
      </c>
      <c r="I1013" s="0" t="s">
        <v>3393</v>
      </c>
      <c r="J1013" s="0" t="s">
        <v>3394</v>
      </c>
      <c r="K1013" s="0" t="s">
        <v>3395</v>
      </c>
      <c r="L1013" s="0" t="str">
        <f aca="false">HYPERLINK("https://www.ncbi.nlm.nih.gov/nuccore/CP000058.1?report=graph&amp;tracks=[key:gene_model_track,Options:GeneOnly]&amp;mk=321013:321032|offset_1|444444,321035:321054|offset_23|444444,321062:321081|offset_50|444444,321085:321104|offset_73|00cc00&amp;v=320812:321304&amp;c=444444", "offset 73")</f>
        <v>offset 73</v>
      </c>
    </row>
    <row r="1014" customFormat="false" ht="12.8" hidden="false" customHeight="false" outlineLevel="0" collapsed="false">
      <c r="A1014" s="0" t="s">
        <v>12</v>
      </c>
      <c r="B1014" s="0" t="n">
        <v>322048</v>
      </c>
      <c r="C1014" s="0" t="n">
        <v>322068</v>
      </c>
      <c r="D1014" s="0" t="s">
        <v>3396</v>
      </c>
      <c r="E1014" s="0" t="s">
        <v>3397</v>
      </c>
      <c r="F1014" s="0" t="s">
        <v>15</v>
      </c>
      <c r="G1014" s="0" t="s">
        <v>16</v>
      </c>
      <c r="H1014" s="0" t="n">
        <v>10</v>
      </c>
      <c r="I1014" s="0" t="s">
        <v>3398</v>
      </c>
      <c r="J1014" s="0" t="s">
        <v>3399</v>
      </c>
      <c r="K1014" s="0" t="s">
        <v>3400</v>
      </c>
      <c r="L1014" s="0" t="str">
        <f aca="false">HYPERLINK("https://www.ncbi.nlm.nih.gov/nuccore/CP000058.1?report=graph&amp;tracks=[key:gene_model_track,Options:GeneOnly]&amp;mk=322049:322068|offset_10|00cc00,322087:322106|offset_48|444444,322111:322130|offset_72|444444,322133:322152|offset_94|444444&amp;v=321848:322352&amp;c=444444", "offset 10")</f>
        <v>offset 10</v>
      </c>
    </row>
    <row r="1015" customFormat="false" ht="12.8" hidden="false" customHeight="false" outlineLevel="0" collapsed="false">
      <c r="A1015" s="0" t="s">
        <v>12</v>
      </c>
      <c r="B1015" s="0" t="n">
        <v>322086</v>
      </c>
      <c r="C1015" s="0" t="n">
        <v>322106</v>
      </c>
      <c r="D1015" s="0" t="s">
        <v>3396</v>
      </c>
      <c r="E1015" s="0" t="s">
        <v>3397</v>
      </c>
      <c r="F1015" s="0" t="s">
        <v>15</v>
      </c>
      <c r="G1015" s="0" t="s">
        <v>16</v>
      </c>
      <c r="H1015" s="0" t="n">
        <v>48</v>
      </c>
      <c r="I1015" s="0" t="s">
        <v>3401</v>
      </c>
      <c r="J1015" s="0" t="s">
        <v>3402</v>
      </c>
      <c r="K1015" s="0" t="s">
        <v>3403</v>
      </c>
      <c r="L1015" s="0" t="str">
        <f aca="false">HYPERLINK("https://www.ncbi.nlm.nih.gov/nuccore/CP000058.1?report=graph&amp;tracks=[key:gene_model_track,Options:GeneOnly]&amp;mk=322049:322068|offset_10|444444,322087:322106|offset_48|00cc00,322111:322130|offset_72|444444,322133:322152|offset_94|444444&amp;v=321848:322352&amp;c=444444", "offset 48")</f>
        <v>offset 48</v>
      </c>
    </row>
    <row r="1016" customFormat="false" ht="12.8" hidden="false" customHeight="false" outlineLevel="0" collapsed="false">
      <c r="A1016" s="0" t="s">
        <v>12</v>
      </c>
      <c r="B1016" s="0" t="n">
        <v>322110</v>
      </c>
      <c r="C1016" s="0" t="n">
        <v>322130</v>
      </c>
      <c r="D1016" s="0" t="s">
        <v>3396</v>
      </c>
      <c r="E1016" s="0" t="s">
        <v>3397</v>
      </c>
      <c r="F1016" s="0" t="s">
        <v>15</v>
      </c>
      <c r="G1016" s="0" t="s">
        <v>20</v>
      </c>
      <c r="H1016" s="0" t="n">
        <v>72</v>
      </c>
      <c r="I1016" s="0" t="s">
        <v>3404</v>
      </c>
      <c r="J1016" s="0" t="s">
        <v>3405</v>
      </c>
      <c r="K1016" s="0" t="s">
        <v>3406</v>
      </c>
      <c r="L1016" s="0" t="str">
        <f aca="false">HYPERLINK("https://www.ncbi.nlm.nih.gov/nuccore/CP000058.1?report=graph&amp;tracks=[key:gene_model_track,Options:GeneOnly]&amp;mk=322049:322068|offset_10|444444,322087:322106|offset_48|444444,322111:322130|offset_72|00cc00,322133:322152|offset_94|444444&amp;v=321848:322352&amp;c=444444", "offset 72")</f>
        <v>offset 72</v>
      </c>
    </row>
    <row r="1017" customFormat="false" ht="12.8" hidden="false" customHeight="false" outlineLevel="0" collapsed="false">
      <c r="A1017" s="0" t="s">
        <v>12</v>
      </c>
      <c r="B1017" s="0" t="n">
        <v>322132</v>
      </c>
      <c r="C1017" s="0" t="n">
        <v>322152</v>
      </c>
      <c r="D1017" s="0" t="s">
        <v>3396</v>
      </c>
      <c r="E1017" s="0" t="s">
        <v>3397</v>
      </c>
      <c r="F1017" s="0" t="s">
        <v>15</v>
      </c>
      <c r="G1017" s="0" t="s">
        <v>32</v>
      </c>
      <c r="H1017" s="0" t="n">
        <v>94</v>
      </c>
      <c r="I1017" s="0" t="s">
        <v>3407</v>
      </c>
      <c r="J1017" s="0" t="s">
        <v>3408</v>
      </c>
      <c r="K1017" s="0" t="s">
        <v>3409</v>
      </c>
      <c r="L1017" s="0" t="str">
        <f aca="false">HYPERLINK("https://www.ncbi.nlm.nih.gov/nuccore/CP000058.1?report=graph&amp;tracks=[key:gene_model_track,Options:GeneOnly]&amp;mk=322049:322068|offset_10|444444,322087:322106|offset_48|444444,322111:322130|offset_72|444444,322133:322152|offset_94|00cc00&amp;v=321848:322352&amp;c=444444", "offset 94")</f>
        <v>offset 94</v>
      </c>
    </row>
    <row r="1018" customFormat="false" ht="12.8" hidden="false" customHeight="false" outlineLevel="0" collapsed="false">
      <c r="A1018" s="0" t="s">
        <v>12</v>
      </c>
      <c r="B1018" s="0" t="n">
        <v>325717</v>
      </c>
      <c r="C1018" s="0" t="n">
        <v>325737</v>
      </c>
      <c r="D1018" s="0" t="s">
        <v>3410</v>
      </c>
      <c r="E1018" s="0" t="s">
        <v>3411</v>
      </c>
      <c r="F1018" s="0" t="s">
        <v>90</v>
      </c>
      <c r="G1018" s="0" t="s">
        <v>32</v>
      </c>
      <c r="H1018" s="0" t="n">
        <v>1</v>
      </c>
      <c r="I1018" s="0" t="s">
        <v>3412</v>
      </c>
      <c r="J1018" s="0" t="s">
        <v>3413</v>
      </c>
      <c r="K1018" s="0" t="s">
        <v>3414</v>
      </c>
      <c r="L1018" s="0" t="str">
        <f aca="false">HYPERLINK("https://www.ncbi.nlm.nih.gov/nuccore/CP000058.1?report=graph&amp;tracks=[key:gene_model_track,Options:GeneOnly]&amp;mk=325718:325737|offset_1|00cc00,325679:325698|offset_40|444444,325631:325650|offset_88|444444,325600:325619|offset_119|444444&amp;v=325517:325819&amp;c=444444", "offset 1")</f>
        <v>offset 1</v>
      </c>
    </row>
    <row r="1019" customFormat="false" ht="12.8" hidden="false" customHeight="false" outlineLevel="0" collapsed="false">
      <c r="A1019" s="0" t="s">
        <v>12</v>
      </c>
      <c r="B1019" s="0" t="n">
        <v>325678</v>
      </c>
      <c r="C1019" s="0" t="n">
        <v>325698</v>
      </c>
      <c r="D1019" s="0" t="s">
        <v>3410</v>
      </c>
      <c r="E1019" s="0" t="s">
        <v>3411</v>
      </c>
      <c r="F1019" s="0" t="s">
        <v>90</v>
      </c>
      <c r="G1019" s="0" t="s">
        <v>16</v>
      </c>
      <c r="H1019" s="0" t="n">
        <v>40</v>
      </c>
      <c r="I1019" s="0" t="s">
        <v>3415</v>
      </c>
      <c r="J1019" s="0" t="s">
        <v>3416</v>
      </c>
      <c r="K1019" s="0" t="s">
        <v>3417</v>
      </c>
      <c r="L1019" s="0" t="str">
        <f aca="false">HYPERLINK("https://www.ncbi.nlm.nih.gov/nuccore/CP000058.1?report=graph&amp;tracks=[key:gene_model_track,Options:GeneOnly]&amp;mk=325718:325737|offset_1|444444,325679:325698|offset_40|00cc00,325631:325650|offset_88|444444,325600:325619|offset_119|444444&amp;v=325517:325819&amp;c=444444", "offset 40")</f>
        <v>offset 40</v>
      </c>
    </row>
    <row r="1020" customFormat="false" ht="12.8" hidden="false" customHeight="false" outlineLevel="0" collapsed="false">
      <c r="A1020" s="0" t="s">
        <v>12</v>
      </c>
      <c r="B1020" s="0" t="n">
        <v>325630</v>
      </c>
      <c r="C1020" s="0" t="n">
        <v>325650</v>
      </c>
      <c r="D1020" s="0" t="s">
        <v>3410</v>
      </c>
      <c r="E1020" s="0" t="s">
        <v>3411</v>
      </c>
      <c r="F1020" s="0" t="s">
        <v>90</v>
      </c>
      <c r="G1020" s="0" t="s">
        <v>32</v>
      </c>
      <c r="H1020" s="0" t="n">
        <v>88</v>
      </c>
      <c r="I1020" s="0" t="s">
        <v>3418</v>
      </c>
      <c r="J1020" s="0" t="s">
        <v>3419</v>
      </c>
      <c r="K1020" s="0" t="s">
        <v>3420</v>
      </c>
      <c r="L1020" s="0" t="str">
        <f aca="false">HYPERLINK("https://www.ncbi.nlm.nih.gov/nuccore/CP000058.1?report=graph&amp;tracks=[key:gene_model_track,Options:GeneOnly]&amp;mk=325718:325737|offset_1|444444,325679:325698|offset_40|444444,325631:325650|offset_88|00cc00,325600:325619|offset_119|444444&amp;v=325517:325819&amp;c=444444", "offset 88")</f>
        <v>offset 88</v>
      </c>
    </row>
    <row r="1021" customFormat="false" ht="12.8" hidden="false" customHeight="false" outlineLevel="0" collapsed="false">
      <c r="A1021" s="0" t="s">
        <v>12</v>
      </c>
      <c r="B1021" s="0" t="n">
        <v>325599</v>
      </c>
      <c r="C1021" s="0" t="n">
        <v>325619</v>
      </c>
      <c r="D1021" s="0" t="s">
        <v>3410</v>
      </c>
      <c r="E1021" s="0" t="s">
        <v>3411</v>
      </c>
      <c r="F1021" s="0" t="s">
        <v>90</v>
      </c>
      <c r="G1021" s="0" t="s">
        <v>20</v>
      </c>
      <c r="H1021" s="0" t="n">
        <v>119</v>
      </c>
      <c r="I1021" s="0" t="s">
        <v>3421</v>
      </c>
      <c r="J1021" s="0" t="s">
        <v>3422</v>
      </c>
      <c r="K1021" s="0" t="s">
        <v>3423</v>
      </c>
      <c r="L1021" s="0" t="str">
        <f aca="false">HYPERLINK("https://www.ncbi.nlm.nih.gov/nuccore/CP000058.1?report=graph&amp;tracks=[key:gene_model_track,Options:GeneOnly]&amp;mk=325718:325737|offset_1|444444,325679:325698|offset_40|444444,325631:325650|offset_88|444444,325600:325619|offset_119|00cc00&amp;v=325517:325819&amp;c=444444", "offset 119")</f>
        <v>offset 119</v>
      </c>
    </row>
    <row r="1022" customFormat="false" ht="12.8" hidden="false" customHeight="false" outlineLevel="0" collapsed="false">
      <c r="A1022" s="0" t="s">
        <v>12</v>
      </c>
      <c r="B1022" s="0" t="n">
        <v>326836</v>
      </c>
      <c r="C1022" s="0" t="n">
        <v>326856</v>
      </c>
      <c r="D1022" s="0" t="s">
        <v>3424</v>
      </c>
      <c r="E1022" s="0" t="s">
        <v>75</v>
      </c>
      <c r="F1022" s="0" t="s">
        <v>90</v>
      </c>
      <c r="G1022" s="0" t="s">
        <v>16</v>
      </c>
      <c r="H1022" s="0" t="n">
        <v>22</v>
      </c>
      <c r="I1022" s="0" t="s">
        <v>3425</v>
      </c>
      <c r="J1022" s="0" t="s">
        <v>3426</v>
      </c>
      <c r="K1022" s="0" t="s">
        <v>3427</v>
      </c>
      <c r="L1022" s="0" t="str">
        <f aca="false">HYPERLINK("https://www.ncbi.nlm.nih.gov/nuccore/CP000058.1?report=graph&amp;tracks=[key:gene_model_track,Options:GeneOnly]&amp;mk=326837:326856|offset_22|00cc00,326770:326789|offset_89|444444,326726:326745|offset_133|444444,326704:326723|offset_155|444444&amp;v=326636:326923&amp;c=444444", "offset 22")</f>
        <v>offset 22</v>
      </c>
    </row>
    <row r="1023" customFormat="false" ht="12.8" hidden="false" customHeight="false" outlineLevel="0" collapsed="false">
      <c r="A1023" s="0" t="s">
        <v>12</v>
      </c>
      <c r="B1023" s="0" t="n">
        <v>326769</v>
      </c>
      <c r="C1023" s="0" t="n">
        <v>326789</v>
      </c>
      <c r="D1023" s="0" t="s">
        <v>3424</v>
      </c>
      <c r="E1023" s="0" t="s">
        <v>75</v>
      </c>
      <c r="F1023" s="0" t="s">
        <v>90</v>
      </c>
      <c r="G1023" s="0" t="s">
        <v>32</v>
      </c>
      <c r="H1023" s="0" t="n">
        <v>89</v>
      </c>
      <c r="I1023" s="0" t="s">
        <v>3428</v>
      </c>
      <c r="J1023" s="0" t="s">
        <v>3429</v>
      </c>
      <c r="K1023" s="0" t="s">
        <v>3430</v>
      </c>
      <c r="L1023" s="0" t="str">
        <f aca="false">HYPERLINK("https://www.ncbi.nlm.nih.gov/nuccore/CP000058.1?report=graph&amp;tracks=[key:gene_model_track,Options:GeneOnly]&amp;mk=326837:326856|offset_22|444444,326770:326789|offset_89|00cc00,326726:326745|offset_133|444444,326704:326723|offset_155|444444&amp;v=326636:326923&amp;c=444444", "offset 89")</f>
        <v>offset 89</v>
      </c>
    </row>
    <row r="1024" customFormat="false" ht="12.8" hidden="false" customHeight="false" outlineLevel="0" collapsed="false">
      <c r="A1024" s="0" t="s">
        <v>12</v>
      </c>
      <c r="B1024" s="0" t="n">
        <v>326725</v>
      </c>
      <c r="C1024" s="0" t="n">
        <v>326745</v>
      </c>
      <c r="D1024" s="0" t="s">
        <v>3424</v>
      </c>
      <c r="E1024" s="0" t="s">
        <v>75</v>
      </c>
      <c r="F1024" s="0" t="s">
        <v>90</v>
      </c>
      <c r="G1024" s="0" t="s">
        <v>36</v>
      </c>
      <c r="H1024" s="0" t="n">
        <v>133</v>
      </c>
      <c r="I1024" s="0" t="s">
        <v>3431</v>
      </c>
      <c r="J1024" s="0" t="s">
        <v>3432</v>
      </c>
      <c r="K1024" s="0" t="s">
        <v>3433</v>
      </c>
      <c r="L1024" s="0" t="str">
        <f aca="false">HYPERLINK("https://www.ncbi.nlm.nih.gov/nuccore/CP000058.1?report=graph&amp;tracks=[key:gene_model_track,Options:GeneOnly]&amp;mk=326837:326856|offset_22|444444,326770:326789|offset_89|444444,326726:326745|offset_133|00cc00,326704:326723|offset_155|444444&amp;v=326636:326923&amp;c=444444", "offset 133")</f>
        <v>offset 133</v>
      </c>
    </row>
    <row r="1025" customFormat="false" ht="12.8" hidden="false" customHeight="false" outlineLevel="0" collapsed="false">
      <c r="A1025" s="0" t="s">
        <v>12</v>
      </c>
      <c r="B1025" s="0" t="n">
        <v>326703</v>
      </c>
      <c r="C1025" s="0" t="n">
        <v>326723</v>
      </c>
      <c r="D1025" s="0" t="s">
        <v>3424</v>
      </c>
      <c r="E1025" s="0" t="s">
        <v>75</v>
      </c>
      <c r="F1025" s="0" t="s">
        <v>90</v>
      </c>
      <c r="G1025" s="0" t="s">
        <v>20</v>
      </c>
      <c r="H1025" s="0" t="n">
        <v>155</v>
      </c>
      <c r="I1025" s="0" t="s">
        <v>3434</v>
      </c>
      <c r="J1025" s="0" t="s">
        <v>3435</v>
      </c>
      <c r="K1025" s="0" t="s">
        <v>3436</v>
      </c>
      <c r="L1025" s="0" t="str">
        <f aca="false">HYPERLINK("https://www.ncbi.nlm.nih.gov/nuccore/CP000058.1?report=graph&amp;tracks=[key:gene_model_track,Options:GeneOnly]&amp;mk=326837:326856|offset_22|444444,326770:326789|offset_89|444444,326726:326745|offset_133|444444,326704:326723|offset_155|00cc00&amp;v=326636:326923&amp;c=444444", "offset 155")</f>
        <v>offset 155</v>
      </c>
    </row>
    <row r="1026" customFormat="false" ht="12.8" hidden="false" customHeight="false" outlineLevel="0" collapsed="false">
      <c r="A1026" s="0" t="s">
        <v>12</v>
      </c>
      <c r="B1026" s="0" t="n">
        <v>327479</v>
      </c>
      <c r="C1026" s="0" t="n">
        <v>327499</v>
      </c>
      <c r="D1026" s="0" t="s">
        <v>3437</v>
      </c>
      <c r="E1026" s="0" t="s">
        <v>75</v>
      </c>
      <c r="F1026" s="0" t="s">
        <v>90</v>
      </c>
      <c r="G1026" s="0" t="s">
        <v>36</v>
      </c>
      <c r="H1026" s="0" t="n">
        <v>13</v>
      </c>
      <c r="I1026" s="0" t="s">
        <v>3438</v>
      </c>
      <c r="J1026" s="0" t="s">
        <v>3439</v>
      </c>
      <c r="K1026" s="0" t="s">
        <v>3440</v>
      </c>
      <c r="L1026" s="0" t="str">
        <f aca="false">HYPERLINK("https://www.ncbi.nlm.nih.gov/nuccore/CP000058.1?report=graph&amp;tracks=[key:gene_model_track,Options:GeneOnly]&amp;mk=327480:327499|offset_13|00cc00,327446:327465|offset_47|444444,327414:327433|offset_79|444444,327366:327385|offset_127|444444&amp;v=327279:327585&amp;c=444444", "offset 13")</f>
        <v>offset 13</v>
      </c>
    </row>
    <row r="1027" customFormat="false" ht="12.8" hidden="false" customHeight="false" outlineLevel="0" collapsed="false">
      <c r="A1027" s="0" t="s">
        <v>12</v>
      </c>
      <c r="B1027" s="0" t="n">
        <v>327445</v>
      </c>
      <c r="C1027" s="0" t="n">
        <v>327465</v>
      </c>
      <c r="D1027" s="0" t="s">
        <v>3437</v>
      </c>
      <c r="E1027" s="0" t="s">
        <v>75</v>
      </c>
      <c r="F1027" s="0" t="s">
        <v>90</v>
      </c>
      <c r="G1027" s="0" t="s">
        <v>20</v>
      </c>
      <c r="H1027" s="0" t="n">
        <v>47</v>
      </c>
      <c r="I1027" s="0" t="s">
        <v>3441</v>
      </c>
      <c r="J1027" s="0" t="s">
        <v>3442</v>
      </c>
      <c r="K1027" s="0" t="s">
        <v>3443</v>
      </c>
      <c r="L1027" s="0" t="str">
        <f aca="false">HYPERLINK("https://www.ncbi.nlm.nih.gov/nuccore/CP000058.1?report=graph&amp;tracks=[key:gene_model_track,Options:GeneOnly]&amp;mk=327480:327499|offset_13|444444,327446:327465|offset_47|00cc00,327414:327433|offset_79|444444,327366:327385|offset_127|444444&amp;v=327279:327585&amp;c=444444", "offset 47")</f>
        <v>offset 47</v>
      </c>
    </row>
    <row r="1028" customFormat="false" ht="12.8" hidden="false" customHeight="false" outlineLevel="0" collapsed="false">
      <c r="A1028" s="0" t="s">
        <v>12</v>
      </c>
      <c r="B1028" s="0" t="n">
        <v>327413</v>
      </c>
      <c r="C1028" s="0" t="n">
        <v>327433</v>
      </c>
      <c r="D1028" s="0" t="s">
        <v>3437</v>
      </c>
      <c r="E1028" s="0" t="s">
        <v>75</v>
      </c>
      <c r="F1028" s="0" t="s">
        <v>90</v>
      </c>
      <c r="G1028" s="0" t="s">
        <v>20</v>
      </c>
      <c r="H1028" s="0" t="n">
        <v>79</v>
      </c>
      <c r="I1028" s="0" t="s">
        <v>3444</v>
      </c>
      <c r="J1028" s="0" t="s">
        <v>3445</v>
      </c>
      <c r="K1028" s="0" t="s">
        <v>3446</v>
      </c>
      <c r="L1028" s="0" t="str">
        <f aca="false">HYPERLINK("https://www.ncbi.nlm.nih.gov/nuccore/CP000058.1?report=graph&amp;tracks=[key:gene_model_track,Options:GeneOnly]&amp;mk=327480:327499|offset_13|444444,327446:327465|offset_47|444444,327414:327433|offset_79|00cc00,327366:327385|offset_127|444444&amp;v=327279:327585&amp;c=444444", "offset 79")</f>
        <v>offset 79</v>
      </c>
    </row>
    <row r="1029" customFormat="false" ht="12.8" hidden="false" customHeight="false" outlineLevel="0" collapsed="false">
      <c r="A1029" s="0" t="s">
        <v>12</v>
      </c>
      <c r="B1029" s="0" t="n">
        <v>327365</v>
      </c>
      <c r="C1029" s="0" t="n">
        <v>327385</v>
      </c>
      <c r="D1029" s="0" t="s">
        <v>3437</v>
      </c>
      <c r="E1029" s="0" t="s">
        <v>75</v>
      </c>
      <c r="F1029" s="0" t="s">
        <v>90</v>
      </c>
      <c r="G1029" s="0" t="s">
        <v>20</v>
      </c>
      <c r="H1029" s="0" t="n">
        <v>127</v>
      </c>
      <c r="I1029" s="0" t="s">
        <v>3447</v>
      </c>
      <c r="J1029" s="0" t="s">
        <v>3448</v>
      </c>
      <c r="K1029" s="0" t="s">
        <v>3449</v>
      </c>
      <c r="L1029" s="0" t="str">
        <f aca="false">HYPERLINK("https://www.ncbi.nlm.nih.gov/nuccore/CP000058.1?report=graph&amp;tracks=[key:gene_model_track,Options:GeneOnly]&amp;mk=327480:327499|offset_13|444444,327446:327465|offset_47|444444,327414:327433|offset_79|444444,327366:327385|offset_127|00cc00&amp;v=327279:327585&amp;c=444444", "offset 127")</f>
        <v>offset 127</v>
      </c>
    </row>
    <row r="1030" customFormat="false" ht="12.8" hidden="false" customHeight="false" outlineLevel="0" collapsed="false">
      <c r="A1030" s="0" t="s">
        <v>12</v>
      </c>
      <c r="B1030" s="0" t="n">
        <v>328157</v>
      </c>
      <c r="C1030" s="0" t="n">
        <v>328177</v>
      </c>
      <c r="D1030" s="0" t="s">
        <v>3450</v>
      </c>
      <c r="E1030" s="0" t="s">
        <v>75</v>
      </c>
      <c r="F1030" s="0" t="s">
        <v>90</v>
      </c>
      <c r="G1030" s="0" t="s">
        <v>32</v>
      </c>
      <c r="H1030" s="0" t="n">
        <v>0</v>
      </c>
      <c r="I1030" s="0" t="s">
        <v>3451</v>
      </c>
      <c r="J1030" s="0" t="s">
        <v>3452</v>
      </c>
      <c r="K1030" s="0" t="s">
        <v>3453</v>
      </c>
      <c r="L1030" s="0" t="str">
        <f aca="false">HYPERLINK("https://www.ncbi.nlm.nih.gov/nuccore/CP000058.1?report=graph&amp;tracks=[key:gene_model_track,Options:GeneOnly]&amp;mk=328158:328177|offset_0|00cc00,328131:328150|offset_27|444444,328070:328089|offset_88|444444,328045:328064|offset_113|444444&amp;v=327957:328264&amp;c=444444", "offset 0")</f>
        <v>offset 0</v>
      </c>
    </row>
    <row r="1031" customFormat="false" ht="12.8" hidden="false" customHeight="false" outlineLevel="0" collapsed="false">
      <c r="A1031" s="0" t="s">
        <v>12</v>
      </c>
      <c r="B1031" s="0" t="n">
        <v>328130</v>
      </c>
      <c r="C1031" s="0" t="n">
        <v>328150</v>
      </c>
      <c r="D1031" s="0" t="s">
        <v>3450</v>
      </c>
      <c r="E1031" s="0" t="s">
        <v>75</v>
      </c>
      <c r="F1031" s="0" t="s">
        <v>90</v>
      </c>
      <c r="G1031" s="0" t="s">
        <v>16</v>
      </c>
      <c r="H1031" s="0" t="n">
        <v>27</v>
      </c>
      <c r="I1031" s="0" t="s">
        <v>3454</v>
      </c>
      <c r="J1031" s="0" t="s">
        <v>3455</v>
      </c>
      <c r="K1031" s="0" t="s">
        <v>3456</v>
      </c>
      <c r="L1031" s="0" t="str">
        <f aca="false">HYPERLINK("https://www.ncbi.nlm.nih.gov/nuccore/CP000058.1?report=graph&amp;tracks=[key:gene_model_track,Options:GeneOnly]&amp;mk=328158:328177|offset_0|444444,328131:328150|offset_27|00cc00,328070:328089|offset_88|444444,328045:328064|offset_113|444444&amp;v=327957:328264&amp;c=444444", "offset 27")</f>
        <v>offset 27</v>
      </c>
    </row>
    <row r="1032" customFormat="false" ht="12.8" hidden="false" customHeight="false" outlineLevel="0" collapsed="false">
      <c r="A1032" s="0" t="s">
        <v>12</v>
      </c>
      <c r="B1032" s="0" t="n">
        <v>328069</v>
      </c>
      <c r="C1032" s="0" t="n">
        <v>328089</v>
      </c>
      <c r="D1032" s="0" t="s">
        <v>3450</v>
      </c>
      <c r="E1032" s="0" t="s">
        <v>75</v>
      </c>
      <c r="F1032" s="0" t="s">
        <v>90</v>
      </c>
      <c r="G1032" s="0" t="s">
        <v>32</v>
      </c>
      <c r="H1032" s="0" t="n">
        <v>88</v>
      </c>
      <c r="I1032" s="0" t="s">
        <v>3457</v>
      </c>
      <c r="J1032" s="0" t="s">
        <v>3458</v>
      </c>
      <c r="K1032" s="0" t="s">
        <v>3459</v>
      </c>
      <c r="L1032" s="0" t="str">
        <f aca="false">HYPERLINK("https://www.ncbi.nlm.nih.gov/nuccore/CP000058.1?report=graph&amp;tracks=[key:gene_model_track,Options:GeneOnly]&amp;mk=328158:328177|offset_0|444444,328131:328150|offset_27|444444,328070:328089|offset_88|00cc00,328045:328064|offset_113|444444&amp;v=327957:328264&amp;c=444444", "offset 88")</f>
        <v>offset 88</v>
      </c>
    </row>
    <row r="1033" customFormat="false" ht="12.8" hidden="false" customHeight="false" outlineLevel="0" collapsed="false">
      <c r="A1033" s="0" t="s">
        <v>12</v>
      </c>
      <c r="B1033" s="0" t="n">
        <v>328044</v>
      </c>
      <c r="C1033" s="0" t="n">
        <v>328064</v>
      </c>
      <c r="D1033" s="0" t="s">
        <v>3450</v>
      </c>
      <c r="E1033" s="0" t="s">
        <v>75</v>
      </c>
      <c r="F1033" s="0" t="s">
        <v>90</v>
      </c>
      <c r="G1033" s="0" t="s">
        <v>20</v>
      </c>
      <c r="H1033" s="0" t="n">
        <v>113</v>
      </c>
      <c r="I1033" s="0" t="s">
        <v>3460</v>
      </c>
      <c r="J1033" s="0" t="s">
        <v>3461</v>
      </c>
      <c r="K1033" s="0" t="s">
        <v>3462</v>
      </c>
      <c r="L1033" s="0" t="str">
        <f aca="false">HYPERLINK("https://www.ncbi.nlm.nih.gov/nuccore/CP000058.1?report=graph&amp;tracks=[key:gene_model_track,Options:GeneOnly]&amp;mk=328158:328177|offset_0|444444,328131:328150|offset_27|444444,328070:328089|offset_88|444444,328045:328064|offset_113|00cc00&amp;v=327957:328264&amp;c=444444", "offset 113")</f>
        <v>offset 113</v>
      </c>
    </row>
    <row r="1034" customFormat="false" ht="12.8" hidden="false" customHeight="false" outlineLevel="0" collapsed="false">
      <c r="A1034" s="0" t="s">
        <v>12</v>
      </c>
      <c r="B1034" s="0" t="n">
        <v>329149</v>
      </c>
      <c r="C1034" s="0" t="n">
        <v>329169</v>
      </c>
      <c r="D1034" s="0" t="s">
        <v>3463</v>
      </c>
      <c r="E1034" s="0" t="s">
        <v>75</v>
      </c>
      <c r="F1034" s="0" t="s">
        <v>90</v>
      </c>
      <c r="G1034" s="0" t="s">
        <v>32</v>
      </c>
      <c r="H1034" s="0" t="n">
        <v>0</v>
      </c>
      <c r="I1034" s="0" t="s">
        <v>3464</v>
      </c>
      <c r="J1034" s="0" t="s">
        <v>3465</v>
      </c>
      <c r="K1034" s="0" t="s">
        <v>3466</v>
      </c>
      <c r="L1034" s="0" t="str">
        <f aca="false">HYPERLINK("https://www.ncbi.nlm.nih.gov/nuccore/CP000058.1?report=graph&amp;tracks=[key:gene_model_track,Options:GeneOnly]&amp;mk=329150:329169|offset_0|00cc00,329118:329137|offset_32|444444,329098:329117|offset_52|444444,329074:329093|offset_76|444444&amp;v=328949:329293&amp;c=444444", "offset 0")</f>
        <v>offset 0</v>
      </c>
    </row>
    <row r="1035" customFormat="false" ht="12.8" hidden="false" customHeight="false" outlineLevel="0" collapsed="false">
      <c r="A1035" s="0" t="s">
        <v>12</v>
      </c>
      <c r="B1035" s="0" t="n">
        <v>329117</v>
      </c>
      <c r="C1035" s="0" t="n">
        <v>329137</v>
      </c>
      <c r="D1035" s="0" t="s">
        <v>3463</v>
      </c>
      <c r="E1035" s="0" t="s">
        <v>75</v>
      </c>
      <c r="F1035" s="0" t="s">
        <v>90</v>
      </c>
      <c r="G1035" s="0" t="s">
        <v>32</v>
      </c>
      <c r="H1035" s="0" t="n">
        <v>32</v>
      </c>
      <c r="I1035" s="0" t="s">
        <v>3467</v>
      </c>
      <c r="J1035" s="0" t="s">
        <v>3468</v>
      </c>
      <c r="K1035" s="0" t="s">
        <v>3469</v>
      </c>
      <c r="L1035" s="0" t="str">
        <f aca="false">HYPERLINK("https://www.ncbi.nlm.nih.gov/nuccore/CP000058.1?report=graph&amp;tracks=[key:gene_model_track,Options:GeneOnly]&amp;mk=329150:329169|offset_0|444444,329118:329137|offset_32|00cc00,329098:329117|offset_52|444444,329074:329093|offset_76|444444&amp;v=328949:329293&amp;c=444444", "offset 32")</f>
        <v>offset 32</v>
      </c>
    </row>
    <row r="1036" customFormat="false" ht="12.8" hidden="false" customHeight="false" outlineLevel="0" collapsed="false">
      <c r="A1036" s="0" t="s">
        <v>12</v>
      </c>
      <c r="B1036" s="0" t="n">
        <v>329097</v>
      </c>
      <c r="C1036" s="0" t="n">
        <v>329117</v>
      </c>
      <c r="D1036" s="0" t="s">
        <v>3463</v>
      </c>
      <c r="E1036" s="0" t="s">
        <v>75</v>
      </c>
      <c r="F1036" s="0" t="s">
        <v>90</v>
      </c>
      <c r="G1036" s="0" t="s">
        <v>20</v>
      </c>
      <c r="H1036" s="0" t="n">
        <v>52</v>
      </c>
      <c r="I1036" s="0" t="s">
        <v>3470</v>
      </c>
      <c r="J1036" s="0" t="s">
        <v>3471</v>
      </c>
      <c r="K1036" s="0" t="s">
        <v>3472</v>
      </c>
      <c r="L1036" s="0" t="str">
        <f aca="false">HYPERLINK("https://www.ncbi.nlm.nih.gov/nuccore/CP000058.1?report=graph&amp;tracks=[key:gene_model_track,Options:GeneOnly]&amp;mk=329150:329169|offset_0|444444,329118:329137|offset_32|444444,329098:329117|offset_52|00cc00,329074:329093|offset_76|444444&amp;v=328949:329293&amp;c=444444", "offset 52")</f>
        <v>offset 52</v>
      </c>
    </row>
    <row r="1037" customFormat="false" ht="12.8" hidden="false" customHeight="false" outlineLevel="0" collapsed="false">
      <c r="A1037" s="0" t="s">
        <v>12</v>
      </c>
      <c r="B1037" s="0" t="n">
        <v>329073</v>
      </c>
      <c r="C1037" s="0" t="n">
        <v>329093</v>
      </c>
      <c r="D1037" s="0" t="s">
        <v>3463</v>
      </c>
      <c r="E1037" s="0" t="s">
        <v>75</v>
      </c>
      <c r="F1037" s="0" t="s">
        <v>90</v>
      </c>
      <c r="G1037" s="0" t="s">
        <v>32</v>
      </c>
      <c r="H1037" s="0" t="n">
        <v>76</v>
      </c>
      <c r="I1037" s="0" t="s">
        <v>3473</v>
      </c>
      <c r="J1037" s="0" t="s">
        <v>3474</v>
      </c>
      <c r="K1037" s="0" t="s">
        <v>3475</v>
      </c>
      <c r="L1037" s="0" t="str">
        <f aca="false">HYPERLINK("https://www.ncbi.nlm.nih.gov/nuccore/CP000058.1?report=graph&amp;tracks=[key:gene_model_track,Options:GeneOnly]&amp;mk=329150:329169|offset_0|444444,329118:329137|offset_32|444444,329098:329117|offset_52|444444,329074:329093|offset_76|00cc00&amp;v=328949:329293&amp;c=444444", "offset 76")</f>
        <v>offset 76</v>
      </c>
    </row>
    <row r="1038" customFormat="false" ht="12.8" hidden="false" customHeight="false" outlineLevel="0" collapsed="false">
      <c r="A1038" s="0" t="s">
        <v>12</v>
      </c>
      <c r="B1038" s="0" t="n">
        <v>329247</v>
      </c>
      <c r="C1038" s="0" t="n">
        <v>329267</v>
      </c>
      <c r="D1038" s="0" t="s">
        <v>3476</v>
      </c>
      <c r="E1038" s="0" t="s">
        <v>75</v>
      </c>
      <c r="F1038" s="0" t="s">
        <v>15</v>
      </c>
      <c r="G1038" s="0" t="s">
        <v>36</v>
      </c>
      <c r="H1038" s="0" t="n">
        <v>9</v>
      </c>
      <c r="I1038" s="0" t="s">
        <v>3477</v>
      </c>
      <c r="J1038" s="0" t="s">
        <v>3478</v>
      </c>
      <c r="K1038" s="0" t="s">
        <v>3479</v>
      </c>
      <c r="L1038" s="0" t="str">
        <f aca="false">HYPERLINK("https://www.ncbi.nlm.nih.gov/nuccore/CP000058.1?report=graph&amp;tracks=[key:gene_model_track,Options:GeneOnly]&amp;mk=329248:329267|offset_9|00cc00,329269:329288|offset_30|444444,329306:329325|offset_67|444444,329334:329353|offset_95|444444&amp;v=329047:329553&amp;c=444444", "offset 9")</f>
        <v>offset 9</v>
      </c>
    </row>
    <row r="1039" customFormat="false" ht="12.8" hidden="false" customHeight="false" outlineLevel="0" collapsed="false">
      <c r="A1039" s="0" t="s">
        <v>12</v>
      </c>
      <c r="B1039" s="0" t="n">
        <v>329268</v>
      </c>
      <c r="C1039" s="0" t="n">
        <v>329288</v>
      </c>
      <c r="D1039" s="0" t="s">
        <v>3476</v>
      </c>
      <c r="E1039" s="0" t="s">
        <v>75</v>
      </c>
      <c r="F1039" s="0" t="s">
        <v>15</v>
      </c>
      <c r="G1039" s="0" t="s">
        <v>36</v>
      </c>
      <c r="H1039" s="0" t="n">
        <v>30</v>
      </c>
      <c r="I1039" s="0" t="s">
        <v>3480</v>
      </c>
      <c r="J1039" s="0" t="s">
        <v>3481</v>
      </c>
      <c r="K1039" s="0" t="s">
        <v>3482</v>
      </c>
      <c r="L1039" s="0" t="str">
        <f aca="false">HYPERLINK("https://www.ncbi.nlm.nih.gov/nuccore/CP000058.1?report=graph&amp;tracks=[key:gene_model_track,Options:GeneOnly]&amp;mk=329248:329267|offset_9|444444,329269:329288|offset_30|00cc00,329306:329325|offset_67|444444,329334:329353|offset_95|444444&amp;v=329047:329553&amp;c=444444", "offset 30")</f>
        <v>offset 30</v>
      </c>
    </row>
    <row r="1040" customFormat="false" ht="12.8" hidden="false" customHeight="false" outlineLevel="0" collapsed="false">
      <c r="A1040" s="0" t="s">
        <v>12</v>
      </c>
      <c r="B1040" s="0" t="n">
        <v>329305</v>
      </c>
      <c r="C1040" s="0" t="n">
        <v>329325</v>
      </c>
      <c r="D1040" s="0" t="s">
        <v>3476</v>
      </c>
      <c r="E1040" s="0" t="s">
        <v>75</v>
      </c>
      <c r="F1040" s="0" t="s">
        <v>15</v>
      </c>
      <c r="G1040" s="0" t="s">
        <v>16</v>
      </c>
      <c r="H1040" s="0" t="n">
        <v>67</v>
      </c>
      <c r="I1040" s="0" t="s">
        <v>3483</v>
      </c>
      <c r="J1040" s="0" t="s">
        <v>3484</v>
      </c>
      <c r="K1040" s="0" t="s">
        <v>3485</v>
      </c>
      <c r="L1040" s="0" t="str">
        <f aca="false">HYPERLINK("https://www.ncbi.nlm.nih.gov/nuccore/CP000058.1?report=graph&amp;tracks=[key:gene_model_track,Options:GeneOnly]&amp;mk=329248:329267|offset_9|444444,329269:329288|offset_30|444444,329306:329325|offset_67|00cc00,329334:329353|offset_95|444444&amp;v=329047:329553&amp;c=444444", "offset 67")</f>
        <v>offset 67</v>
      </c>
    </row>
    <row r="1041" customFormat="false" ht="12.8" hidden="false" customHeight="false" outlineLevel="0" collapsed="false">
      <c r="A1041" s="0" t="s">
        <v>12</v>
      </c>
      <c r="B1041" s="0" t="n">
        <v>329333</v>
      </c>
      <c r="C1041" s="0" t="n">
        <v>329353</v>
      </c>
      <c r="D1041" s="0" t="s">
        <v>3476</v>
      </c>
      <c r="E1041" s="0" t="s">
        <v>75</v>
      </c>
      <c r="F1041" s="0" t="s">
        <v>15</v>
      </c>
      <c r="G1041" s="0" t="s">
        <v>20</v>
      </c>
      <c r="H1041" s="0" t="n">
        <v>95</v>
      </c>
      <c r="I1041" s="0" t="s">
        <v>3486</v>
      </c>
      <c r="J1041" s="0" t="s">
        <v>3487</v>
      </c>
      <c r="K1041" s="0" t="s">
        <v>3488</v>
      </c>
      <c r="L1041" s="0" t="str">
        <f aca="false">HYPERLINK("https://www.ncbi.nlm.nih.gov/nuccore/CP000058.1?report=graph&amp;tracks=[key:gene_model_track,Options:GeneOnly]&amp;mk=329248:329267|offset_9|444444,329269:329288|offset_30|444444,329306:329325|offset_67|444444,329334:329353|offset_95|00cc00&amp;v=329047:329553&amp;c=444444", "offset 95")</f>
        <v>offset 95</v>
      </c>
    </row>
    <row r="1042" customFormat="false" ht="12.8" hidden="false" customHeight="false" outlineLevel="0" collapsed="false">
      <c r="A1042" s="0" t="s">
        <v>12</v>
      </c>
      <c r="B1042" s="0" t="n">
        <v>330068</v>
      </c>
      <c r="C1042" s="0" t="n">
        <v>330088</v>
      </c>
      <c r="D1042" s="0" t="s">
        <v>3489</v>
      </c>
      <c r="E1042" s="0" t="s">
        <v>3490</v>
      </c>
      <c r="F1042" s="0" t="s">
        <v>15</v>
      </c>
      <c r="G1042" s="0" t="s">
        <v>32</v>
      </c>
      <c r="H1042" s="0" t="n">
        <v>1</v>
      </c>
      <c r="I1042" s="0" t="s">
        <v>3491</v>
      </c>
      <c r="J1042" s="0" t="s">
        <v>3492</v>
      </c>
      <c r="K1042" s="0" t="s">
        <v>3493</v>
      </c>
      <c r="L1042" s="0" t="str">
        <f aca="false">HYPERLINK("https://www.ncbi.nlm.nih.gov/nuccore/CP000058.1?report=graph&amp;tracks=[key:gene_model_track,Options:GeneOnly]&amp;mk=330069:330088|offset_1|00cc00,330099:330118|offset_31|444444,330176:330195|offset_108|444444,330213:330232|offset_145|444444&amp;v=329868:330432&amp;c=444444", "offset 1")</f>
        <v>offset 1</v>
      </c>
    </row>
    <row r="1043" customFormat="false" ht="12.8" hidden="false" customHeight="false" outlineLevel="0" collapsed="false">
      <c r="A1043" s="0" t="s">
        <v>12</v>
      </c>
      <c r="B1043" s="0" t="n">
        <v>330098</v>
      </c>
      <c r="C1043" s="0" t="n">
        <v>330118</v>
      </c>
      <c r="D1043" s="0" t="s">
        <v>3489</v>
      </c>
      <c r="E1043" s="0" t="s">
        <v>3490</v>
      </c>
      <c r="F1043" s="0" t="s">
        <v>15</v>
      </c>
      <c r="G1043" s="0" t="s">
        <v>16</v>
      </c>
      <c r="H1043" s="0" t="n">
        <v>31</v>
      </c>
      <c r="I1043" s="0" t="s">
        <v>3494</v>
      </c>
      <c r="J1043" s="0" t="s">
        <v>3495</v>
      </c>
      <c r="K1043" s="0" t="s">
        <v>3496</v>
      </c>
      <c r="L1043" s="0" t="str">
        <f aca="false">HYPERLINK("https://www.ncbi.nlm.nih.gov/nuccore/CP000058.1?report=graph&amp;tracks=[key:gene_model_track,Options:GeneOnly]&amp;mk=330069:330088|offset_1|444444,330099:330118|offset_31|00cc00,330176:330195|offset_108|444444,330213:330232|offset_145|444444&amp;v=329868:330432&amp;c=444444", "offset 31")</f>
        <v>offset 31</v>
      </c>
    </row>
    <row r="1044" customFormat="false" ht="12.8" hidden="false" customHeight="false" outlineLevel="0" collapsed="false">
      <c r="A1044" s="0" t="s">
        <v>12</v>
      </c>
      <c r="B1044" s="0" t="n">
        <v>330175</v>
      </c>
      <c r="C1044" s="0" t="n">
        <v>330195</v>
      </c>
      <c r="D1044" s="0" t="s">
        <v>3489</v>
      </c>
      <c r="E1044" s="0" t="s">
        <v>3490</v>
      </c>
      <c r="F1044" s="0" t="s">
        <v>15</v>
      </c>
      <c r="G1044" s="0" t="s">
        <v>16</v>
      </c>
      <c r="H1044" s="0" t="n">
        <v>108</v>
      </c>
      <c r="I1044" s="0" t="s">
        <v>3497</v>
      </c>
      <c r="J1044" s="0" t="s">
        <v>3498</v>
      </c>
      <c r="K1044" s="0" t="s">
        <v>3499</v>
      </c>
      <c r="L1044" s="0" t="str">
        <f aca="false">HYPERLINK("https://www.ncbi.nlm.nih.gov/nuccore/CP000058.1?report=graph&amp;tracks=[key:gene_model_track,Options:GeneOnly]&amp;mk=330069:330088|offset_1|444444,330099:330118|offset_31|444444,330176:330195|offset_108|00cc00,330213:330232|offset_145|444444&amp;v=329868:330432&amp;c=444444", "offset 108")</f>
        <v>offset 108</v>
      </c>
    </row>
    <row r="1045" customFormat="false" ht="12.8" hidden="false" customHeight="false" outlineLevel="0" collapsed="false">
      <c r="A1045" s="0" t="s">
        <v>12</v>
      </c>
      <c r="B1045" s="0" t="n">
        <v>330212</v>
      </c>
      <c r="C1045" s="0" t="n">
        <v>330232</v>
      </c>
      <c r="D1045" s="0" t="s">
        <v>3489</v>
      </c>
      <c r="E1045" s="0" t="s">
        <v>3490</v>
      </c>
      <c r="F1045" s="0" t="s">
        <v>15</v>
      </c>
      <c r="G1045" s="0" t="s">
        <v>16</v>
      </c>
      <c r="H1045" s="0" t="n">
        <v>145</v>
      </c>
      <c r="I1045" s="0" t="s">
        <v>3500</v>
      </c>
      <c r="J1045" s="0" t="s">
        <v>3501</v>
      </c>
      <c r="K1045" s="0" t="s">
        <v>3502</v>
      </c>
      <c r="L1045" s="0" t="str">
        <f aca="false">HYPERLINK("https://www.ncbi.nlm.nih.gov/nuccore/CP000058.1?report=graph&amp;tracks=[key:gene_model_track,Options:GeneOnly]&amp;mk=330069:330088|offset_1|444444,330099:330118|offset_31|444444,330176:330195|offset_108|444444,330213:330232|offset_145|00cc00&amp;v=329868:330432&amp;c=444444", "offset 145")</f>
        <v>offset 145</v>
      </c>
    </row>
    <row r="1046" customFormat="false" ht="12.8" hidden="false" customHeight="false" outlineLevel="0" collapsed="false">
      <c r="A1046" s="0" t="s">
        <v>12</v>
      </c>
      <c r="B1046" s="0" t="n">
        <v>330636</v>
      </c>
      <c r="C1046" s="0" t="n">
        <v>330656</v>
      </c>
      <c r="D1046" s="0" t="s">
        <v>3503</v>
      </c>
      <c r="E1046" s="0" t="s">
        <v>3504</v>
      </c>
      <c r="F1046" s="0" t="s">
        <v>15</v>
      </c>
      <c r="G1046" s="0" t="s">
        <v>20</v>
      </c>
      <c r="H1046" s="0" t="n">
        <v>8</v>
      </c>
      <c r="I1046" s="0" t="s">
        <v>3505</v>
      </c>
      <c r="J1046" s="0" t="s">
        <v>3506</v>
      </c>
      <c r="K1046" s="0" t="s">
        <v>3507</v>
      </c>
      <c r="L1046" s="0" t="str">
        <f aca="false">HYPERLINK("https://www.ncbi.nlm.nih.gov/nuccore/CP000058.1?report=graph&amp;tracks=[key:gene_model_track,Options:GeneOnly]&amp;mk=330637:330656|offset_8|00cc00,330659:330678|offset_30|444444,330684:330703|offset_55|444444,330711:330730|offset_82|444444&amp;v=330436:330930&amp;c=444444", "offset 8")</f>
        <v>offset 8</v>
      </c>
    </row>
    <row r="1047" customFormat="false" ht="12.8" hidden="false" customHeight="false" outlineLevel="0" collapsed="false">
      <c r="A1047" s="0" t="s">
        <v>12</v>
      </c>
      <c r="B1047" s="0" t="n">
        <v>330658</v>
      </c>
      <c r="C1047" s="0" t="n">
        <v>330678</v>
      </c>
      <c r="D1047" s="0" t="s">
        <v>3503</v>
      </c>
      <c r="E1047" s="0" t="s">
        <v>3504</v>
      </c>
      <c r="F1047" s="0" t="s">
        <v>15</v>
      </c>
      <c r="G1047" s="0" t="s">
        <v>16</v>
      </c>
      <c r="H1047" s="0" t="n">
        <v>30</v>
      </c>
      <c r="I1047" s="0" t="s">
        <v>3508</v>
      </c>
      <c r="J1047" s="0" t="s">
        <v>3509</v>
      </c>
      <c r="K1047" s="0" t="s">
        <v>3510</v>
      </c>
      <c r="L1047" s="0" t="str">
        <f aca="false">HYPERLINK("https://www.ncbi.nlm.nih.gov/nuccore/CP000058.1?report=graph&amp;tracks=[key:gene_model_track,Options:GeneOnly]&amp;mk=330637:330656|offset_8|444444,330659:330678|offset_30|00cc00,330684:330703|offset_55|444444,330711:330730|offset_82|444444&amp;v=330436:330930&amp;c=444444", "offset 30")</f>
        <v>offset 30</v>
      </c>
    </row>
    <row r="1048" customFormat="false" ht="12.8" hidden="false" customHeight="false" outlineLevel="0" collapsed="false">
      <c r="A1048" s="0" t="s">
        <v>12</v>
      </c>
      <c r="B1048" s="0" t="n">
        <v>330683</v>
      </c>
      <c r="C1048" s="0" t="n">
        <v>330703</v>
      </c>
      <c r="D1048" s="0" t="s">
        <v>3503</v>
      </c>
      <c r="E1048" s="0" t="s">
        <v>3504</v>
      </c>
      <c r="F1048" s="0" t="s">
        <v>15</v>
      </c>
      <c r="G1048" s="0" t="s">
        <v>16</v>
      </c>
      <c r="H1048" s="0" t="n">
        <v>55</v>
      </c>
      <c r="I1048" s="0" t="s">
        <v>3511</v>
      </c>
      <c r="J1048" s="0" t="s">
        <v>3512</v>
      </c>
      <c r="K1048" s="0" t="s">
        <v>3513</v>
      </c>
      <c r="L1048" s="0" t="str">
        <f aca="false">HYPERLINK("https://www.ncbi.nlm.nih.gov/nuccore/CP000058.1?report=graph&amp;tracks=[key:gene_model_track,Options:GeneOnly]&amp;mk=330637:330656|offset_8|444444,330659:330678|offset_30|444444,330684:330703|offset_55|00cc00,330711:330730|offset_82|444444&amp;v=330436:330930&amp;c=444444", "offset 55")</f>
        <v>offset 55</v>
      </c>
    </row>
    <row r="1049" customFormat="false" ht="12.8" hidden="false" customHeight="false" outlineLevel="0" collapsed="false">
      <c r="A1049" s="0" t="s">
        <v>12</v>
      </c>
      <c r="B1049" s="0" t="n">
        <v>330710</v>
      </c>
      <c r="C1049" s="0" t="n">
        <v>330730</v>
      </c>
      <c r="D1049" s="0" t="s">
        <v>3503</v>
      </c>
      <c r="E1049" s="0" t="s">
        <v>3504</v>
      </c>
      <c r="F1049" s="0" t="s">
        <v>15</v>
      </c>
      <c r="G1049" s="0" t="s">
        <v>36</v>
      </c>
      <c r="H1049" s="0" t="n">
        <v>82</v>
      </c>
      <c r="I1049" s="0" t="s">
        <v>3514</v>
      </c>
      <c r="J1049" s="0" t="s">
        <v>3515</v>
      </c>
      <c r="K1049" s="0" t="s">
        <v>3516</v>
      </c>
      <c r="L1049" s="0" t="str">
        <f aca="false">HYPERLINK("https://www.ncbi.nlm.nih.gov/nuccore/CP000058.1?report=graph&amp;tracks=[key:gene_model_track,Options:GeneOnly]&amp;mk=330637:330656|offset_8|444444,330659:330678|offset_30|444444,330684:330703|offset_55|444444,330711:330730|offset_82|00cc00&amp;v=330436:330930&amp;c=444444", "offset 82")</f>
        <v>offset 82</v>
      </c>
    </row>
    <row r="1050" customFormat="false" ht="12.8" hidden="false" customHeight="false" outlineLevel="0" collapsed="false">
      <c r="A1050" s="0" t="s">
        <v>12</v>
      </c>
      <c r="B1050" s="0" t="n">
        <v>332084</v>
      </c>
      <c r="C1050" s="0" t="n">
        <v>332104</v>
      </c>
      <c r="D1050" s="0" t="s">
        <v>3517</v>
      </c>
      <c r="E1050" s="0" t="s">
        <v>3518</v>
      </c>
      <c r="F1050" s="0" t="s">
        <v>15</v>
      </c>
      <c r="G1050" s="0" t="s">
        <v>32</v>
      </c>
      <c r="H1050" s="0" t="n">
        <v>68</v>
      </c>
      <c r="I1050" s="0" t="s">
        <v>3519</v>
      </c>
      <c r="J1050" s="0" t="s">
        <v>3520</v>
      </c>
      <c r="K1050" s="0" t="s">
        <v>3521</v>
      </c>
      <c r="L1050" s="0" t="str">
        <f aca="false">HYPERLINK("https://www.ncbi.nlm.nih.gov/nuccore/CP000058.1?report=graph&amp;tracks=[key:gene_model_track,Options:GeneOnly]&amp;mk=332085:332104|offset_68|00cc00,332130:332149|offset_113|444444,332151:332170|offset_134|444444,332173:332192|offset_156|444444&amp;v=331884:332392&amp;c=444444", "offset 68")</f>
        <v>offset 68</v>
      </c>
    </row>
    <row r="1051" customFormat="false" ht="12.8" hidden="false" customHeight="false" outlineLevel="0" collapsed="false">
      <c r="A1051" s="0" t="s">
        <v>12</v>
      </c>
      <c r="B1051" s="0" t="n">
        <v>332129</v>
      </c>
      <c r="C1051" s="0" t="n">
        <v>332149</v>
      </c>
      <c r="D1051" s="0" t="s">
        <v>3517</v>
      </c>
      <c r="E1051" s="0" t="s">
        <v>3518</v>
      </c>
      <c r="F1051" s="0" t="s">
        <v>15</v>
      </c>
      <c r="G1051" s="0" t="s">
        <v>16</v>
      </c>
      <c r="H1051" s="0" t="n">
        <v>113</v>
      </c>
      <c r="I1051" s="0" t="s">
        <v>3522</v>
      </c>
      <c r="J1051" s="0" t="s">
        <v>3523</v>
      </c>
      <c r="K1051" s="0" t="s">
        <v>3524</v>
      </c>
      <c r="L1051" s="0" t="str">
        <f aca="false">HYPERLINK("https://www.ncbi.nlm.nih.gov/nuccore/CP000058.1?report=graph&amp;tracks=[key:gene_model_track,Options:GeneOnly]&amp;mk=332085:332104|offset_68|444444,332130:332149|offset_113|00cc00,332151:332170|offset_134|444444,332173:332192|offset_156|444444&amp;v=331884:332392&amp;c=444444", "offset 113")</f>
        <v>offset 113</v>
      </c>
    </row>
    <row r="1052" customFormat="false" ht="12.8" hidden="false" customHeight="false" outlineLevel="0" collapsed="false">
      <c r="A1052" s="0" t="s">
        <v>12</v>
      </c>
      <c r="B1052" s="0" t="n">
        <v>332150</v>
      </c>
      <c r="C1052" s="0" t="n">
        <v>332170</v>
      </c>
      <c r="D1052" s="0" t="s">
        <v>3517</v>
      </c>
      <c r="E1052" s="0" t="s">
        <v>3518</v>
      </c>
      <c r="F1052" s="0" t="s">
        <v>15</v>
      </c>
      <c r="G1052" s="0" t="s">
        <v>36</v>
      </c>
      <c r="H1052" s="0" t="n">
        <v>134</v>
      </c>
      <c r="I1052" s="0" t="s">
        <v>3525</v>
      </c>
      <c r="J1052" s="0" t="s">
        <v>3526</v>
      </c>
      <c r="K1052" s="0" t="s">
        <v>3527</v>
      </c>
      <c r="L1052" s="0" t="str">
        <f aca="false">HYPERLINK("https://www.ncbi.nlm.nih.gov/nuccore/CP000058.1?report=graph&amp;tracks=[key:gene_model_track,Options:GeneOnly]&amp;mk=332085:332104|offset_68|444444,332130:332149|offset_113|444444,332151:332170|offset_134|00cc00,332173:332192|offset_156|444444&amp;v=331884:332392&amp;c=444444", "offset 134")</f>
        <v>offset 134</v>
      </c>
    </row>
    <row r="1053" customFormat="false" ht="12.8" hidden="false" customHeight="false" outlineLevel="0" collapsed="false">
      <c r="A1053" s="0" t="s">
        <v>12</v>
      </c>
      <c r="B1053" s="0" t="n">
        <v>332172</v>
      </c>
      <c r="C1053" s="0" t="n">
        <v>332192</v>
      </c>
      <c r="D1053" s="0" t="s">
        <v>3517</v>
      </c>
      <c r="E1053" s="0" t="s">
        <v>3518</v>
      </c>
      <c r="F1053" s="0" t="s">
        <v>15</v>
      </c>
      <c r="G1053" s="0" t="s">
        <v>16</v>
      </c>
      <c r="H1053" s="0" t="n">
        <v>156</v>
      </c>
      <c r="I1053" s="0" t="s">
        <v>3528</v>
      </c>
      <c r="J1053" s="0" t="s">
        <v>3529</v>
      </c>
      <c r="K1053" s="0" t="s">
        <v>3530</v>
      </c>
      <c r="L1053" s="0" t="str">
        <f aca="false">HYPERLINK("https://www.ncbi.nlm.nih.gov/nuccore/CP000058.1?report=graph&amp;tracks=[key:gene_model_track,Options:GeneOnly]&amp;mk=332085:332104|offset_68|444444,332130:332149|offset_113|444444,332151:332170|offset_134|444444,332173:332192|offset_156|00cc00&amp;v=331884:332392&amp;c=444444", "offset 156")</f>
        <v>offset 156</v>
      </c>
    </row>
    <row r="1054" customFormat="false" ht="12.8" hidden="false" customHeight="false" outlineLevel="0" collapsed="false">
      <c r="A1054" s="0" t="s">
        <v>12</v>
      </c>
      <c r="B1054" s="0" t="n">
        <v>333495</v>
      </c>
      <c r="C1054" s="0" t="n">
        <v>333515</v>
      </c>
      <c r="D1054" s="0" t="s">
        <v>3531</v>
      </c>
      <c r="E1054" s="0" t="s">
        <v>75</v>
      </c>
      <c r="F1054" s="0" t="s">
        <v>15</v>
      </c>
      <c r="G1054" s="0" t="s">
        <v>20</v>
      </c>
      <c r="H1054" s="0" t="n">
        <v>13</v>
      </c>
      <c r="I1054" s="0" t="s">
        <v>3532</v>
      </c>
      <c r="J1054" s="0" t="s">
        <v>3533</v>
      </c>
      <c r="K1054" s="0" t="s">
        <v>3534</v>
      </c>
      <c r="L1054" s="0" t="str">
        <f aca="false">HYPERLINK("https://www.ncbi.nlm.nih.gov/nuccore/CP000058.1?report=graph&amp;tracks=[key:gene_model_track,Options:GeneOnly]&amp;mk=333496:333515|offset_13|00cc00,333526:333545|offset_43|444444,333578:333597|offset_95|444444,333619:333638|offset_136|444444&amp;v=333295:333838&amp;c=444444", "offset 13")</f>
        <v>offset 13</v>
      </c>
    </row>
    <row r="1055" customFormat="false" ht="12.8" hidden="false" customHeight="false" outlineLevel="0" collapsed="false">
      <c r="A1055" s="0" t="s">
        <v>12</v>
      </c>
      <c r="B1055" s="0" t="n">
        <v>333525</v>
      </c>
      <c r="C1055" s="0" t="n">
        <v>333545</v>
      </c>
      <c r="D1055" s="0" t="s">
        <v>3531</v>
      </c>
      <c r="E1055" s="0" t="s">
        <v>75</v>
      </c>
      <c r="F1055" s="0" t="s">
        <v>15</v>
      </c>
      <c r="G1055" s="0" t="s">
        <v>36</v>
      </c>
      <c r="H1055" s="0" t="n">
        <v>43</v>
      </c>
      <c r="I1055" s="0" t="s">
        <v>3535</v>
      </c>
      <c r="J1055" s="0" t="s">
        <v>3536</v>
      </c>
      <c r="K1055" s="0" t="s">
        <v>3537</v>
      </c>
      <c r="L1055" s="0" t="str">
        <f aca="false">HYPERLINK("https://www.ncbi.nlm.nih.gov/nuccore/CP000058.1?report=graph&amp;tracks=[key:gene_model_track,Options:GeneOnly]&amp;mk=333496:333515|offset_13|444444,333526:333545|offset_43|00cc00,333578:333597|offset_95|444444,333619:333638|offset_136|444444&amp;v=333295:333838&amp;c=444444", "offset 43")</f>
        <v>offset 43</v>
      </c>
    </row>
    <row r="1056" customFormat="false" ht="12.8" hidden="false" customHeight="false" outlineLevel="0" collapsed="false">
      <c r="A1056" s="0" t="s">
        <v>12</v>
      </c>
      <c r="B1056" s="0" t="n">
        <v>333577</v>
      </c>
      <c r="C1056" s="0" t="n">
        <v>333597</v>
      </c>
      <c r="D1056" s="0" t="s">
        <v>3531</v>
      </c>
      <c r="E1056" s="0" t="s">
        <v>75</v>
      </c>
      <c r="F1056" s="0" t="s">
        <v>15</v>
      </c>
      <c r="G1056" s="0" t="s">
        <v>36</v>
      </c>
      <c r="H1056" s="0" t="n">
        <v>95</v>
      </c>
      <c r="I1056" s="0" t="s">
        <v>3538</v>
      </c>
      <c r="J1056" s="0" t="s">
        <v>3539</v>
      </c>
      <c r="K1056" s="0" t="s">
        <v>3540</v>
      </c>
      <c r="L1056" s="0" t="str">
        <f aca="false">HYPERLINK("https://www.ncbi.nlm.nih.gov/nuccore/CP000058.1?report=graph&amp;tracks=[key:gene_model_track,Options:GeneOnly]&amp;mk=333496:333515|offset_13|444444,333526:333545|offset_43|444444,333578:333597|offset_95|00cc00,333619:333638|offset_136|444444&amp;v=333295:333838&amp;c=444444", "offset 95")</f>
        <v>offset 95</v>
      </c>
    </row>
    <row r="1057" customFormat="false" ht="12.8" hidden="false" customHeight="false" outlineLevel="0" collapsed="false">
      <c r="A1057" s="0" t="s">
        <v>12</v>
      </c>
      <c r="B1057" s="0" t="n">
        <v>333618</v>
      </c>
      <c r="C1057" s="0" t="n">
        <v>333638</v>
      </c>
      <c r="D1057" s="0" t="s">
        <v>3531</v>
      </c>
      <c r="E1057" s="0" t="s">
        <v>75</v>
      </c>
      <c r="F1057" s="0" t="s">
        <v>15</v>
      </c>
      <c r="G1057" s="0" t="s">
        <v>20</v>
      </c>
      <c r="H1057" s="0" t="n">
        <v>136</v>
      </c>
      <c r="I1057" s="0" t="s">
        <v>3541</v>
      </c>
      <c r="J1057" s="0" t="s">
        <v>3542</v>
      </c>
      <c r="K1057" s="0" t="s">
        <v>3543</v>
      </c>
      <c r="L1057" s="0" t="str">
        <f aca="false">HYPERLINK("https://www.ncbi.nlm.nih.gov/nuccore/CP000058.1?report=graph&amp;tracks=[key:gene_model_track,Options:GeneOnly]&amp;mk=333496:333515|offset_13|444444,333526:333545|offset_43|444444,333578:333597|offset_95|444444,333619:333638|offset_136|00cc00&amp;v=333295:333838&amp;c=444444", "offset 136")</f>
        <v>offset 136</v>
      </c>
    </row>
    <row r="1058" customFormat="false" ht="12.8" hidden="false" customHeight="false" outlineLevel="0" collapsed="false">
      <c r="A1058" s="0" t="s">
        <v>12</v>
      </c>
      <c r="B1058" s="0" t="n">
        <v>334671</v>
      </c>
      <c r="C1058" s="0" t="n">
        <v>334691</v>
      </c>
      <c r="D1058" s="0" t="s">
        <v>3544</v>
      </c>
      <c r="E1058" s="0" t="s">
        <v>75</v>
      </c>
      <c r="F1058" s="0" t="s">
        <v>15</v>
      </c>
      <c r="G1058" s="0" t="s">
        <v>32</v>
      </c>
      <c r="H1058" s="0" t="n">
        <v>12</v>
      </c>
      <c r="I1058" s="0" t="s">
        <v>3545</v>
      </c>
      <c r="J1058" s="0" t="s">
        <v>3546</v>
      </c>
      <c r="K1058" s="0" t="s">
        <v>3547</v>
      </c>
      <c r="L1058" s="0" t="str">
        <f aca="false">HYPERLINK("https://www.ncbi.nlm.nih.gov/nuccore/CP000058.1?report=graph&amp;tracks=[key:gene_model_track,Options:GeneOnly]&amp;mk=334672:334691|offset_12|00cc00,334707:334726|offset_47|444444,334727:334746|offset_67|444444,334754:334773|offset_94|444444&amp;v=334471:334973&amp;c=444444", "offset 12")</f>
        <v>offset 12</v>
      </c>
    </row>
    <row r="1059" customFormat="false" ht="12.8" hidden="false" customHeight="false" outlineLevel="0" collapsed="false">
      <c r="A1059" s="0" t="s">
        <v>12</v>
      </c>
      <c r="B1059" s="0" t="n">
        <v>334706</v>
      </c>
      <c r="C1059" s="0" t="n">
        <v>334726</v>
      </c>
      <c r="D1059" s="0" t="s">
        <v>3544</v>
      </c>
      <c r="E1059" s="0" t="s">
        <v>75</v>
      </c>
      <c r="F1059" s="0" t="s">
        <v>15</v>
      </c>
      <c r="G1059" s="0" t="s">
        <v>20</v>
      </c>
      <c r="H1059" s="0" t="n">
        <v>47</v>
      </c>
      <c r="I1059" s="0" t="s">
        <v>3548</v>
      </c>
      <c r="J1059" s="0" t="s">
        <v>3549</v>
      </c>
      <c r="K1059" s="0" t="s">
        <v>3550</v>
      </c>
      <c r="L1059" s="0" t="str">
        <f aca="false">HYPERLINK("https://www.ncbi.nlm.nih.gov/nuccore/CP000058.1?report=graph&amp;tracks=[key:gene_model_track,Options:GeneOnly]&amp;mk=334672:334691|offset_12|444444,334707:334726|offset_47|00cc00,334727:334746|offset_67|444444,334754:334773|offset_94|444444&amp;v=334471:334973&amp;c=444444", "offset 47")</f>
        <v>offset 47</v>
      </c>
    </row>
    <row r="1060" customFormat="false" ht="12.8" hidden="false" customHeight="false" outlineLevel="0" collapsed="false">
      <c r="A1060" s="0" t="s">
        <v>12</v>
      </c>
      <c r="B1060" s="0" t="n">
        <v>334726</v>
      </c>
      <c r="C1060" s="0" t="n">
        <v>334746</v>
      </c>
      <c r="D1060" s="0" t="s">
        <v>3544</v>
      </c>
      <c r="E1060" s="0" t="s">
        <v>75</v>
      </c>
      <c r="F1060" s="0" t="s">
        <v>15</v>
      </c>
      <c r="G1060" s="0" t="s">
        <v>16</v>
      </c>
      <c r="H1060" s="0" t="n">
        <v>67</v>
      </c>
      <c r="I1060" s="0" t="s">
        <v>3551</v>
      </c>
      <c r="J1060" s="0" t="s">
        <v>3552</v>
      </c>
      <c r="K1060" s="0" t="s">
        <v>3553</v>
      </c>
      <c r="L1060" s="0" t="str">
        <f aca="false">HYPERLINK("https://www.ncbi.nlm.nih.gov/nuccore/CP000058.1?report=graph&amp;tracks=[key:gene_model_track,Options:GeneOnly]&amp;mk=334672:334691|offset_12|444444,334707:334726|offset_47|444444,334727:334746|offset_67|00cc00,334754:334773|offset_94|444444&amp;v=334471:334973&amp;c=444444", "offset 67")</f>
        <v>offset 67</v>
      </c>
    </row>
    <row r="1061" customFormat="false" ht="12.8" hidden="false" customHeight="false" outlineLevel="0" collapsed="false">
      <c r="A1061" s="0" t="s">
        <v>12</v>
      </c>
      <c r="B1061" s="0" t="n">
        <v>334753</v>
      </c>
      <c r="C1061" s="0" t="n">
        <v>334773</v>
      </c>
      <c r="D1061" s="0" t="s">
        <v>3544</v>
      </c>
      <c r="E1061" s="0" t="s">
        <v>75</v>
      </c>
      <c r="F1061" s="0" t="s">
        <v>15</v>
      </c>
      <c r="G1061" s="0" t="s">
        <v>36</v>
      </c>
      <c r="H1061" s="0" t="n">
        <v>94</v>
      </c>
      <c r="I1061" s="0" t="s">
        <v>3554</v>
      </c>
      <c r="J1061" s="0" t="s">
        <v>3555</v>
      </c>
      <c r="K1061" s="0" t="s">
        <v>3556</v>
      </c>
      <c r="L1061" s="0" t="str">
        <f aca="false">HYPERLINK("https://www.ncbi.nlm.nih.gov/nuccore/CP000058.1?report=graph&amp;tracks=[key:gene_model_track,Options:GeneOnly]&amp;mk=334672:334691|offset_12|444444,334707:334726|offset_47|444444,334727:334746|offset_67|444444,334754:334773|offset_94|00cc00&amp;v=334471:334973&amp;c=444444", "offset 94")</f>
        <v>offset 94</v>
      </c>
    </row>
    <row r="1062" customFormat="false" ht="12.8" hidden="false" customHeight="false" outlineLevel="0" collapsed="false">
      <c r="A1062" s="0" t="s">
        <v>12</v>
      </c>
      <c r="B1062" s="0" t="n">
        <v>336669</v>
      </c>
      <c r="C1062" s="0" t="n">
        <v>336689</v>
      </c>
      <c r="D1062" s="0" t="s">
        <v>3557</v>
      </c>
      <c r="E1062" s="0" t="s">
        <v>3558</v>
      </c>
      <c r="F1062" s="0" t="s">
        <v>90</v>
      </c>
      <c r="G1062" s="0" t="s">
        <v>32</v>
      </c>
      <c r="H1062" s="0" t="n">
        <v>1</v>
      </c>
      <c r="I1062" s="0" t="s">
        <v>3559</v>
      </c>
      <c r="J1062" s="0" t="s">
        <v>3560</v>
      </c>
      <c r="K1062" s="0" t="s">
        <v>3561</v>
      </c>
      <c r="L1062" s="0" t="str">
        <f aca="false">HYPERLINK("https://www.ncbi.nlm.nih.gov/nuccore/CP000058.1?report=graph&amp;tracks=[key:gene_model_track,Options:GeneOnly]&amp;mk=336670:336689|offset_1|00cc00,336650:336669|offset_21|444444,336630:336649|offset_41|444444,336604:336623|offset_67|444444&amp;v=336469:336823&amp;c=444444", "offset 1")</f>
        <v>offset 1</v>
      </c>
    </row>
    <row r="1063" customFormat="false" ht="12.8" hidden="false" customHeight="false" outlineLevel="0" collapsed="false">
      <c r="A1063" s="0" t="s">
        <v>12</v>
      </c>
      <c r="B1063" s="0" t="n">
        <v>336649</v>
      </c>
      <c r="C1063" s="0" t="n">
        <v>336669</v>
      </c>
      <c r="D1063" s="0" t="s">
        <v>3557</v>
      </c>
      <c r="E1063" s="0" t="s">
        <v>3558</v>
      </c>
      <c r="F1063" s="0" t="s">
        <v>90</v>
      </c>
      <c r="G1063" s="0" t="s">
        <v>36</v>
      </c>
      <c r="H1063" s="0" t="n">
        <v>21</v>
      </c>
      <c r="I1063" s="0" t="s">
        <v>3562</v>
      </c>
      <c r="J1063" s="0" t="s">
        <v>3563</v>
      </c>
      <c r="K1063" s="0" t="s">
        <v>3564</v>
      </c>
      <c r="L1063" s="0" t="str">
        <f aca="false">HYPERLINK("https://www.ncbi.nlm.nih.gov/nuccore/CP000058.1?report=graph&amp;tracks=[key:gene_model_track,Options:GeneOnly]&amp;mk=336670:336689|offset_1|444444,336650:336669|offset_21|00cc00,336630:336649|offset_41|444444,336604:336623|offset_67|444444&amp;v=336469:336823&amp;c=444444", "offset 21")</f>
        <v>offset 21</v>
      </c>
    </row>
    <row r="1064" customFormat="false" ht="12.8" hidden="false" customHeight="false" outlineLevel="0" collapsed="false">
      <c r="A1064" s="0" t="s">
        <v>12</v>
      </c>
      <c r="B1064" s="0" t="n">
        <v>336629</v>
      </c>
      <c r="C1064" s="0" t="n">
        <v>336649</v>
      </c>
      <c r="D1064" s="0" t="s">
        <v>3557</v>
      </c>
      <c r="E1064" s="0" t="s">
        <v>3558</v>
      </c>
      <c r="F1064" s="0" t="s">
        <v>90</v>
      </c>
      <c r="G1064" s="0" t="s">
        <v>20</v>
      </c>
      <c r="H1064" s="0" t="n">
        <v>41</v>
      </c>
      <c r="I1064" s="0" t="s">
        <v>3565</v>
      </c>
      <c r="J1064" s="0" t="s">
        <v>3566</v>
      </c>
      <c r="K1064" s="0" t="s">
        <v>3567</v>
      </c>
      <c r="L1064" s="0" t="str">
        <f aca="false">HYPERLINK("https://www.ncbi.nlm.nih.gov/nuccore/CP000058.1?report=graph&amp;tracks=[key:gene_model_track,Options:GeneOnly]&amp;mk=336670:336689|offset_1|444444,336650:336669|offset_21|444444,336630:336649|offset_41|00cc00,336604:336623|offset_67|444444&amp;v=336469:336823&amp;c=444444", "offset 41")</f>
        <v>offset 41</v>
      </c>
    </row>
    <row r="1065" customFormat="false" ht="12.8" hidden="false" customHeight="false" outlineLevel="0" collapsed="false">
      <c r="A1065" s="0" t="s">
        <v>12</v>
      </c>
      <c r="B1065" s="0" t="n">
        <v>336603</v>
      </c>
      <c r="C1065" s="0" t="n">
        <v>336623</v>
      </c>
      <c r="D1065" s="0" t="s">
        <v>3557</v>
      </c>
      <c r="E1065" s="0" t="s">
        <v>3558</v>
      </c>
      <c r="F1065" s="0" t="s">
        <v>90</v>
      </c>
      <c r="G1065" s="0" t="s">
        <v>20</v>
      </c>
      <c r="H1065" s="0" t="n">
        <v>67</v>
      </c>
      <c r="I1065" s="0" t="s">
        <v>3568</v>
      </c>
      <c r="J1065" s="0" t="s">
        <v>3569</v>
      </c>
      <c r="K1065" s="0" t="s">
        <v>3570</v>
      </c>
      <c r="L1065" s="0" t="str">
        <f aca="false">HYPERLINK("https://www.ncbi.nlm.nih.gov/nuccore/CP000058.1?report=graph&amp;tracks=[key:gene_model_track,Options:GeneOnly]&amp;mk=336670:336689|offset_1|444444,336650:336669|offset_21|444444,336630:336649|offset_41|444444,336604:336623|offset_67|00cc00&amp;v=336469:336823&amp;c=444444", "offset 67")</f>
        <v>offset 67</v>
      </c>
    </row>
    <row r="1066" customFormat="false" ht="12.8" hidden="false" customHeight="false" outlineLevel="0" collapsed="false">
      <c r="A1066" s="0" t="s">
        <v>12</v>
      </c>
      <c r="B1066" s="0" t="n">
        <v>336980</v>
      </c>
      <c r="C1066" s="0" t="n">
        <v>337000</v>
      </c>
      <c r="D1066" s="0" t="s">
        <v>3571</v>
      </c>
      <c r="E1066" s="0" t="s">
        <v>75</v>
      </c>
      <c r="F1066" s="0" t="s">
        <v>15</v>
      </c>
      <c r="G1066" s="0" t="s">
        <v>20</v>
      </c>
      <c r="H1066" s="0" t="n">
        <v>16</v>
      </c>
      <c r="I1066" s="0" t="s">
        <v>3572</v>
      </c>
      <c r="J1066" s="0" t="s">
        <v>3573</v>
      </c>
      <c r="K1066" s="0" t="s">
        <v>3574</v>
      </c>
      <c r="L1066" s="0" t="str">
        <f aca="false">HYPERLINK("https://www.ncbi.nlm.nih.gov/nuccore/CP000058.1?report=graph&amp;tracks=[key:gene_model_track,Options:GeneOnly]&amp;mk=336981:337000|offset_16|00cc00,337005:337024|offset_40|444444,337040:337059|offset_75|444444,337067:337086|offset_102|444444&amp;v=336780:337286&amp;c=444444", "offset 16")</f>
        <v>offset 16</v>
      </c>
    </row>
    <row r="1067" customFormat="false" ht="12.8" hidden="false" customHeight="false" outlineLevel="0" collapsed="false">
      <c r="A1067" s="0" t="s">
        <v>12</v>
      </c>
      <c r="B1067" s="0" t="n">
        <v>337004</v>
      </c>
      <c r="C1067" s="0" t="n">
        <v>337024</v>
      </c>
      <c r="D1067" s="0" t="s">
        <v>3571</v>
      </c>
      <c r="E1067" s="0" t="s">
        <v>75</v>
      </c>
      <c r="F1067" s="0" t="s">
        <v>15</v>
      </c>
      <c r="G1067" s="0" t="s">
        <v>36</v>
      </c>
      <c r="H1067" s="0" t="n">
        <v>40</v>
      </c>
      <c r="I1067" s="0" t="s">
        <v>3575</v>
      </c>
      <c r="J1067" s="0" t="s">
        <v>3576</v>
      </c>
      <c r="K1067" s="0" t="s">
        <v>3577</v>
      </c>
      <c r="L1067" s="0" t="str">
        <f aca="false">HYPERLINK("https://www.ncbi.nlm.nih.gov/nuccore/CP000058.1?report=graph&amp;tracks=[key:gene_model_track,Options:GeneOnly]&amp;mk=336981:337000|offset_16|444444,337005:337024|offset_40|00cc00,337040:337059|offset_75|444444,337067:337086|offset_102|444444&amp;v=336780:337286&amp;c=444444", "offset 40")</f>
        <v>offset 40</v>
      </c>
    </row>
    <row r="1068" customFormat="false" ht="12.8" hidden="false" customHeight="false" outlineLevel="0" collapsed="false">
      <c r="A1068" s="0" t="s">
        <v>12</v>
      </c>
      <c r="B1068" s="0" t="n">
        <v>337039</v>
      </c>
      <c r="C1068" s="0" t="n">
        <v>337059</v>
      </c>
      <c r="D1068" s="0" t="s">
        <v>3571</v>
      </c>
      <c r="E1068" s="0" t="s">
        <v>75</v>
      </c>
      <c r="F1068" s="0" t="s">
        <v>15</v>
      </c>
      <c r="G1068" s="0" t="s">
        <v>16</v>
      </c>
      <c r="H1068" s="0" t="n">
        <v>75</v>
      </c>
      <c r="I1068" s="0" t="s">
        <v>3578</v>
      </c>
      <c r="J1068" s="0" t="s">
        <v>3579</v>
      </c>
      <c r="K1068" s="0" t="s">
        <v>3580</v>
      </c>
      <c r="L1068" s="0" t="str">
        <f aca="false">HYPERLINK("https://www.ncbi.nlm.nih.gov/nuccore/CP000058.1?report=graph&amp;tracks=[key:gene_model_track,Options:GeneOnly]&amp;mk=336981:337000|offset_16|444444,337005:337024|offset_40|444444,337040:337059|offset_75|00cc00,337067:337086|offset_102|444444&amp;v=336780:337286&amp;c=444444", "offset 75")</f>
        <v>offset 75</v>
      </c>
    </row>
    <row r="1069" customFormat="false" ht="12.8" hidden="false" customHeight="false" outlineLevel="0" collapsed="false">
      <c r="A1069" s="0" t="s">
        <v>12</v>
      </c>
      <c r="B1069" s="0" t="n">
        <v>337066</v>
      </c>
      <c r="C1069" s="0" t="n">
        <v>337086</v>
      </c>
      <c r="D1069" s="0" t="s">
        <v>3571</v>
      </c>
      <c r="E1069" s="0" t="s">
        <v>75</v>
      </c>
      <c r="F1069" s="0" t="s">
        <v>15</v>
      </c>
      <c r="G1069" s="0" t="s">
        <v>20</v>
      </c>
      <c r="H1069" s="0" t="n">
        <v>102</v>
      </c>
      <c r="I1069" s="0" t="s">
        <v>3581</v>
      </c>
      <c r="J1069" s="0" t="s">
        <v>3582</v>
      </c>
      <c r="K1069" s="0" t="s">
        <v>3583</v>
      </c>
      <c r="L1069" s="0" t="str">
        <f aca="false">HYPERLINK("https://www.ncbi.nlm.nih.gov/nuccore/CP000058.1?report=graph&amp;tracks=[key:gene_model_track,Options:GeneOnly]&amp;mk=336981:337000|offset_16|444444,337005:337024|offset_40|444444,337040:337059|offset_75|444444,337067:337086|offset_102|00cc00&amp;v=336780:337286&amp;c=444444", "offset 102")</f>
        <v>offset 102</v>
      </c>
    </row>
    <row r="1070" customFormat="false" ht="12.8" hidden="false" customHeight="false" outlineLevel="0" collapsed="false">
      <c r="A1070" s="0" t="s">
        <v>12</v>
      </c>
      <c r="B1070" s="0" t="n">
        <v>337634</v>
      </c>
      <c r="C1070" s="0" t="n">
        <v>337654</v>
      </c>
      <c r="D1070" s="0" t="s">
        <v>3584</v>
      </c>
      <c r="E1070" s="0" t="s">
        <v>75</v>
      </c>
      <c r="F1070" s="0" t="s">
        <v>15</v>
      </c>
      <c r="G1070" s="0" t="s">
        <v>16</v>
      </c>
      <c r="H1070" s="0" t="n">
        <v>8</v>
      </c>
      <c r="I1070" s="0" t="s">
        <v>3585</v>
      </c>
      <c r="J1070" s="0" t="s">
        <v>3586</v>
      </c>
      <c r="K1070" s="0" t="s">
        <v>3587</v>
      </c>
      <c r="L1070" s="0" t="str">
        <f aca="false">HYPERLINK("https://www.ncbi.nlm.nih.gov/nuccore/CP000058.1?report=graph&amp;tracks=[key:gene_model_track,Options:GeneOnly]&amp;mk=337635:337654|offset_8|00cc00,337696:337715|offset_69|444444,337723:337742|offset_96|444444,337757:337776|offset_130|444444&amp;v=337434:337976&amp;c=444444", "offset 8")</f>
        <v>offset 8</v>
      </c>
    </row>
    <row r="1071" customFormat="false" ht="12.8" hidden="false" customHeight="false" outlineLevel="0" collapsed="false">
      <c r="A1071" s="0" t="s">
        <v>12</v>
      </c>
      <c r="B1071" s="0" t="n">
        <v>337695</v>
      </c>
      <c r="C1071" s="0" t="n">
        <v>337715</v>
      </c>
      <c r="D1071" s="0" t="s">
        <v>3584</v>
      </c>
      <c r="E1071" s="0" t="s">
        <v>75</v>
      </c>
      <c r="F1071" s="0" t="s">
        <v>15</v>
      </c>
      <c r="G1071" s="0" t="s">
        <v>16</v>
      </c>
      <c r="H1071" s="0" t="n">
        <v>69</v>
      </c>
      <c r="I1071" s="0" t="s">
        <v>3588</v>
      </c>
      <c r="J1071" s="0" t="s">
        <v>3589</v>
      </c>
      <c r="K1071" s="0" t="s">
        <v>3590</v>
      </c>
      <c r="L1071" s="0" t="str">
        <f aca="false">HYPERLINK("https://www.ncbi.nlm.nih.gov/nuccore/CP000058.1?report=graph&amp;tracks=[key:gene_model_track,Options:GeneOnly]&amp;mk=337635:337654|offset_8|444444,337696:337715|offset_69|00cc00,337723:337742|offset_96|444444,337757:337776|offset_130|444444&amp;v=337434:337976&amp;c=444444", "offset 69")</f>
        <v>offset 69</v>
      </c>
    </row>
    <row r="1072" customFormat="false" ht="12.8" hidden="false" customHeight="false" outlineLevel="0" collapsed="false">
      <c r="A1072" s="0" t="s">
        <v>12</v>
      </c>
      <c r="B1072" s="0" t="n">
        <v>337722</v>
      </c>
      <c r="C1072" s="0" t="n">
        <v>337742</v>
      </c>
      <c r="D1072" s="0" t="s">
        <v>3584</v>
      </c>
      <c r="E1072" s="0" t="s">
        <v>75</v>
      </c>
      <c r="F1072" s="0" t="s">
        <v>15</v>
      </c>
      <c r="G1072" s="0" t="s">
        <v>16</v>
      </c>
      <c r="H1072" s="0" t="n">
        <v>96</v>
      </c>
      <c r="I1072" s="0" t="s">
        <v>3591</v>
      </c>
      <c r="J1072" s="0" t="s">
        <v>3592</v>
      </c>
      <c r="K1072" s="0" t="s">
        <v>3593</v>
      </c>
      <c r="L1072" s="0" t="str">
        <f aca="false">HYPERLINK("https://www.ncbi.nlm.nih.gov/nuccore/CP000058.1?report=graph&amp;tracks=[key:gene_model_track,Options:GeneOnly]&amp;mk=337635:337654|offset_8|444444,337696:337715|offset_69|444444,337723:337742|offset_96|00cc00,337757:337776|offset_130|444444&amp;v=337434:337976&amp;c=444444", "offset 96")</f>
        <v>offset 96</v>
      </c>
    </row>
    <row r="1073" customFormat="false" ht="12.8" hidden="false" customHeight="false" outlineLevel="0" collapsed="false">
      <c r="A1073" s="0" t="s">
        <v>12</v>
      </c>
      <c r="B1073" s="0" t="n">
        <v>337756</v>
      </c>
      <c r="C1073" s="0" t="n">
        <v>337776</v>
      </c>
      <c r="D1073" s="0" t="s">
        <v>3584</v>
      </c>
      <c r="E1073" s="0" t="s">
        <v>75</v>
      </c>
      <c r="F1073" s="0" t="s">
        <v>15</v>
      </c>
      <c r="G1073" s="0" t="s">
        <v>20</v>
      </c>
      <c r="H1073" s="0" t="n">
        <v>130</v>
      </c>
      <c r="I1073" s="0" t="s">
        <v>3594</v>
      </c>
      <c r="J1073" s="0" t="s">
        <v>3595</v>
      </c>
      <c r="K1073" s="0" t="s">
        <v>3596</v>
      </c>
      <c r="L1073" s="0" t="str">
        <f aca="false">HYPERLINK("https://www.ncbi.nlm.nih.gov/nuccore/CP000058.1?report=graph&amp;tracks=[key:gene_model_track,Options:GeneOnly]&amp;mk=337635:337654|offset_8|444444,337696:337715|offset_69|444444,337723:337742|offset_96|444444,337757:337776|offset_130|00cc00&amp;v=337434:337976&amp;c=444444", "offset 130")</f>
        <v>offset 130</v>
      </c>
    </row>
    <row r="1074" customFormat="false" ht="12.8" hidden="false" customHeight="false" outlineLevel="0" collapsed="false">
      <c r="A1074" s="0" t="s">
        <v>12</v>
      </c>
      <c r="B1074" s="0" t="n">
        <v>339054</v>
      </c>
      <c r="C1074" s="0" t="n">
        <v>339074</v>
      </c>
      <c r="D1074" s="0" t="s">
        <v>3597</v>
      </c>
      <c r="E1074" s="0" t="s">
        <v>75</v>
      </c>
      <c r="F1074" s="0" t="s">
        <v>90</v>
      </c>
      <c r="G1074" s="0" t="s">
        <v>20</v>
      </c>
      <c r="H1074" s="0" t="n">
        <v>23</v>
      </c>
      <c r="I1074" s="0" t="s">
        <v>3598</v>
      </c>
      <c r="J1074" s="0" t="s">
        <v>3599</v>
      </c>
      <c r="K1074" s="0" t="s">
        <v>3600</v>
      </c>
      <c r="L1074" s="0" t="str">
        <f aca="false">HYPERLINK("https://www.ncbi.nlm.nih.gov/nuccore/CP000058.1?report=graph&amp;tracks=[key:gene_model_track,Options:GeneOnly]&amp;mk=339055:339074|offset_23|00cc00,339026:339045|offset_52|444444,338972:338991|offset_106|444444,338947:338966|offset_131|444444&amp;v=338854:339166&amp;c=444444", "offset 23")</f>
        <v>offset 23</v>
      </c>
    </row>
    <row r="1075" customFormat="false" ht="12.8" hidden="false" customHeight="false" outlineLevel="0" collapsed="false">
      <c r="A1075" s="0" t="s">
        <v>12</v>
      </c>
      <c r="B1075" s="0" t="n">
        <v>339025</v>
      </c>
      <c r="C1075" s="0" t="n">
        <v>339045</v>
      </c>
      <c r="D1075" s="0" t="s">
        <v>3597</v>
      </c>
      <c r="E1075" s="0" t="s">
        <v>75</v>
      </c>
      <c r="F1075" s="0" t="s">
        <v>90</v>
      </c>
      <c r="G1075" s="0" t="s">
        <v>16</v>
      </c>
      <c r="H1075" s="0" t="n">
        <v>52</v>
      </c>
      <c r="I1075" s="0" t="s">
        <v>3601</v>
      </c>
      <c r="J1075" s="0" t="s">
        <v>3602</v>
      </c>
      <c r="K1075" s="0" t="s">
        <v>3603</v>
      </c>
      <c r="L1075" s="0" t="str">
        <f aca="false">HYPERLINK("https://www.ncbi.nlm.nih.gov/nuccore/CP000058.1?report=graph&amp;tracks=[key:gene_model_track,Options:GeneOnly]&amp;mk=339055:339074|offset_23|444444,339026:339045|offset_52|00cc00,338972:338991|offset_106|444444,338947:338966|offset_131|444444&amp;v=338854:339166&amp;c=444444", "offset 52")</f>
        <v>offset 52</v>
      </c>
    </row>
    <row r="1076" customFormat="false" ht="12.8" hidden="false" customHeight="false" outlineLevel="0" collapsed="false">
      <c r="A1076" s="0" t="s">
        <v>12</v>
      </c>
      <c r="B1076" s="0" t="n">
        <v>338971</v>
      </c>
      <c r="C1076" s="0" t="n">
        <v>338991</v>
      </c>
      <c r="D1076" s="0" t="s">
        <v>3597</v>
      </c>
      <c r="E1076" s="0" t="s">
        <v>75</v>
      </c>
      <c r="F1076" s="0" t="s">
        <v>90</v>
      </c>
      <c r="G1076" s="0" t="s">
        <v>16</v>
      </c>
      <c r="H1076" s="0" t="n">
        <v>106</v>
      </c>
      <c r="I1076" s="0" t="s">
        <v>3604</v>
      </c>
      <c r="J1076" s="0" t="s">
        <v>3605</v>
      </c>
      <c r="K1076" s="0" t="s">
        <v>3606</v>
      </c>
      <c r="L1076" s="0" t="str">
        <f aca="false">HYPERLINK("https://www.ncbi.nlm.nih.gov/nuccore/CP000058.1?report=graph&amp;tracks=[key:gene_model_track,Options:GeneOnly]&amp;mk=339055:339074|offset_23|444444,339026:339045|offset_52|444444,338972:338991|offset_106|00cc00,338947:338966|offset_131|444444&amp;v=338854:339166&amp;c=444444", "offset 106")</f>
        <v>offset 106</v>
      </c>
    </row>
    <row r="1077" customFormat="false" ht="12.8" hidden="false" customHeight="false" outlineLevel="0" collapsed="false">
      <c r="A1077" s="0" t="s">
        <v>12</v>
      </c>
      <c r="B1077" s="0" t="n">
        <v>338946</v>
      </c>
      <c r="C1077" s="0" t="n">
        <v>338966</v>
      </c>
      <c r="D1077" s="0" t="s">
        <v>3597</v>
      </c>
      <c r="E1077" s="0" t="s">
        <v>75</v>
      </c>
      <c r="F1077" s="0" t="s">
        <v>90</v>
      </c>
      <c r="G1077" s="0" t="s">
        <v>32</v>
      </c>
      <c r="H1077" s="0" t="n">
        <v>131</v>
      </c>
      <c r="I1077" s="0" t="s">
        <v>3607</v>
      </c>
      <c r="J1077" s="0" t="s">
        <v>3608</v>
      </c>
      <c r="K1077" s="0" t="s">
        <v>3609</v>
      </c>
      <c r="L1077" s="0" t="str">
        <f aca="false">HYPERLINK("https://www.ncbi.nlm.nih.gov/nuccore/CP000058.1?report=graph&amp;tracks=[key:gene_model_track,Options:GeneOnly]&amp;mk=339055:339074|offset_23|444444,339026:339045|offset_52|444444,338972:338991|offset_106|444444,338947:338966|offset_131|00cc00&amp;v=338854:339166&amp;c=444444", "offset 131")</f>
        <v>offset 131</v>
      </c>
    </row>
    <row r="1078" customFormat="false" ht="12.8" hidden="false" customHeight="false" outlineLevel="0" collapsed="false">
      <c r="A1078" s="0" t="s">
        <v>12</v>
      </c>
      <c r="B1078" s="0" t="n">
        <v>339363</v>
      </c>
      <c r="C1078" s="0" t="n">
        <v>339383</v>
      </c>
      <c r="D1078" s="0" t="s">
        <v>3610</v>
      </c>
      <c r="E1078" s="0" t="s">
        <v>75</v>
      </c>
      <c r="F1078" s="0" t="s">
        <v>90</v>
      </c>
      <c r="G1078" s="0" t="s">
        <v>16</v>
      </c>
      <c r="H1078" s="0" t="n">
        <v>34</v>
      </c>
      <c r="I1078" s="0" t="s">
        <v>3611</v>
      </c>
      <c r="J1078" s="0" t="s">
        <v>3612</v>
      </c>
      <c r="K1078" s="0" t="s">
        <v>3613</v>
      </c>
      <c r="L1078" s="0" t="str">
        <f aca="false">HYPERLINK("https://www.ncbi.nlm.nih.gov/nuccore/CP000058.1?report=graph&amp;tracks=[key:gene_model_track,Options:GeneOnly]&amp;mk=339364:339383|offset_34|00cc00,339242:339261|offset_156|444444,339215:339234|offset_183|444444,339193:339212|offset_205|444444&amp;v=339163:339412&amp;c=444444", "offset 34")</f>
        <v>offset 34</v>
      </c>
    </row>
    <row r="1079" customFormat="false" ht="12.8" hidden="false" customHeight="false" outlineLevel="0" collapsed="false">
      <c r="A1079" s="0" t="s">
        <v>12</v>
      </c>
      <c r="B1079" s="0" t="n">
        <v>339241</v>
      </c>
      <c r="C1079" s="0" t="n">
        <v>339261</v>
      </c>
      <c r="D1079" s="0" t="s">
        <v>3610</v>
      </c>
      <c r="E1079" s="0" t="s">
        <v>75</v>
      </c>
      <c r="F1079" s="0" t="s">
        <v>90</v>
      </c>
      <c r="G1079" s="0" t="s">
        <v>32</v>
      </c>
      <c r="H1079" s="0" t="n">
        <v>156</v>
      </c>
      <c r="I1079" s="0" t="s">
        <v>3614</v>
      </c>
      <c r="J1079" s="0" t="s">
        <v>3615</v>
      </c>
      <c r="K1079" s="0" t="s">
        <v>3616</v>
      </c>
      <c r="L1079" s="0" t="str">
        <f aca="false">HYPERLINK("https://www.ncbi.nlm.nih.gov/nuccore/CP000058.1?report=graph&amp;tracks=[key:gene_model_track,Options:GeneOnly]&amp;mk=339364:339383|offset_34|444444,339242:339261|offset_156|00cc00,339215:339234|offset_183|444444,339193:339212|offset_205|444444&amp;v=339163:339412&amp;c=444444", "offset 156")</f>
        <v>offset 156</v>
      </c>
    </row>
    <row r="1080" customFormat="false" ht="12.8" hidden="false" customHeight="false" outlineLevel="0" collapsed="false">
      <c r="A1080" s="0" t="s">
        <v>12</v>
      </c>
      <c r="B1080" s="0" t="n">
        <v>339214</v>
      </c>
      <c r="C1080" s="0" t="n">
        <v>339234</v>
      </c>
      <c r="D1080" s="0" t="s">
        <v>3610</v>
      </c>
      <c r="E1080" s="0" t="s">
        <v>75</v>
      </c>
      <c r="F1080" s="0" t="s">
        <v>90</v>
      </c>
      <c r="G1080" s="0" t="s">
        <v>36</v>
      </c>
      <c r="H1080" s="0" t="n">
        <v>183</v>
      </c>
      <c r="I1080" s="0" t="s">
        <v>3617</v>
      </c>
      <c r="J1080" s="0" t="s">
        <v>3618</v>
      </c>
      <c r="K1080" s="0" t="s">
        <v>3619</v>
      </c>
      <c r="L1080" s="0" t="str">
        <f aca="false">HYPERLINK("https://www.ncbi.nlm.nih.gov/nuccore/CP000058.1?report=graph&amp;tracks=[key:gene_model_track,Options:GeneOnly]&amp;mk=339364:339383|offset_34|444444,339242:339261|offset_156|444444,339215:339234|offset_183|00cc00,339193:339212|offset_205|444444&amp;v=339163:339412&amp;c=444444", "offset 183")</f>
        <v>offset 183</v>
      </c>
    </row>
    <row r="1081" customFormat="false" ht="12.8" hidden="false" customHeight="false" outlineLevel="0" collapsed="false">
      <c r="A1081" s="0" t="s">
        <v>12</v>
      </c>
      <c r="B1081" s="0" t="n">
        <v>339192</v>
      </c>
      <c r="C1081" s="0" t="n">
        <v>339212</v>
      </c>
      <c r="D1081" s="0" t="s">
        <v>3610</v>
      </c>
      <c r="E1081" s="0" t="s">
        <v>75</v>
      </c>
      <c r="F1081" s="0" t="s">
        <v>90</v>
      </c>
      <c r="G1081" s="0" t="s">
        <v>36</v>
      </c>
      <c r="H1081" s="0" t="n">
        <v>205</v>
      </c>
      <c r="I1081" s="0" t="s">
        <v>3620</v>
      </c>
      <c r="J1081" s="0" t="s">
        <v>3621</v>
      </c>
      <c r="K1081" s="0" t="s">
        <v>3622</v>
      </c>
      <c r="L1081" s="0" t="str">
        <f aca="false">HYPERLINK("https://www.ncbi.nlm.nih.gov/nuccore/CP000058.1?report=graph&amp;tracks=[key:gene_model_track,Options:GeneOnly]&amp;mk=339364:339383|offset_34|444444,339242:339261|offset_156|444444,339215:339234|offset_183|444444,339193:339212|offset_205|00cc00&amp;v=339163:339412&amp;c=444444", "offset 205")</f>
        <v>offset 205</v>
      </c>
    </row>
    <row r="1082" customFormat="false" ht="12.8" hidden="false" customHeight="false" outlineLevel="0" collapsed="false">
      <c r="A1082" s="0" t="s">
        <v>12</v>
      </c>
      <c r="B1082" s="0" t="n">
        <v>342545</v>
      </c>
      <c r="C1082" s="0" t="n">
        <v>342565</v>
      </c>
      <c r="D1082" s="0" t="s">
        <v>3623</v>
      </c>
      <c r="E1082" s="0" t="s">
        <v>3624</v>
      </c>
      <c r="F1082" s="0" t="s">
        <v>90</v>
      </c>
      <c r="G1082" s="0" t="s">
        <v>36</v>
      </c>
      <c r="H1082" s="0" t="n">
        <v>10</v>
      </c>
      <c r="I1082" s="0" t="s">
        <v>3625</v>
      </c>
      <c r="J1082" s="0" t="s">
        <v>3626</v>
      </c>
      <c r="K1082" s="0" t="s">
        <v>3627</v>
      </c>
      <c r="L1082" s="0" t="str">
        <f aca="false">HYPERLINK("https://www.ncbi.nlm.nih.gov/nuccore/CP000058.1?report=graph&amp;tracks=[key:gene_model_track,Options:GeneOnly]&amp;mk=342546:342565|offset_10|00cc00,342523:342542|offset_33|444444,342493:342512|offset_63|444444,342464:342483|offset_92|444444&amp;v=342345:342683&amp;c=444444", "offset 10")</f>
        <v>offset 10</v>
      </c>
    </row>
    <row r="1083" customFormat="false" ht="12.8" hidden="false" customHeight="false" outlineLevel="0" collapsed="false">
      <c r="A1083" s="0" t="s">
        <v>12</v>
      </c>
      <c r="B1083" s="0" t="n">
        <v>342522</v>
      </c>
      <c r="C1083" s="0" t="n">
        <v>342542</v>
      </c>
      <c r="D1083" s="0" t="s">
        <v>3623</v>
      </c>
      <c r="E1083" s="0" t="s">
        <v>3624</v>
      </c>
      <c r="F1083" s="0" t="s">
        <v>90</v>
      </c>
      <c r="G1083" s="0" t="s">
        <v>16</v>
      </c>
      <c r="H1083" s="0" t="n">
        <v>33</v>
      </c>
      <c r="I1083" s="0" t="s">
        <v>3628</v>
      </c>
      <c r="J1083" s="0" t="s">
        <v>3629</v>
      </c>
      <c r="K1083" s="0" t="s">
        <v>3630</v>
      </c>
      <c r="L1083" s="0" t="str">
        <f aca="false">HYPERLINK("https://www.ncbi.nlm.nih.gov/nuccore/CP000058.1?report=graph&amp;tracks=[key:gene_model_track,Options:GeneOnly]&amp;mk=342546:342565|offset_10|444444,342523:342542|offset_33|00cc00,342493:342512|offset_63|444444,342464:342483|offset_92|444444&amp;v=342345:342683&amp;c=444444", "offset 33")</f>
        <v>offset 33</v>
      </c>
    </row>
    <row r="1084" customFormat="false" ht="12.8" hidden="false" customHeight="false" outlineLevel="0" collapsed="false">
      <c r="A1084" s="0" t="s">
        <v>12</v>
      </c>
      <c r="B1084" s="0" t="n">
        <v>342492</v>
      </c>
      <c r="C1084" s="0" t="n">
        <v>342512</v>
      </c>
      <c r="D1084" s="0" t="s">
        <v>3623</v>
      </c>
      <c r="E1084" s="0" t="s">
        <v>3624</v>
      </c>
      <c r="F1084" s="0" t="s">
        <v>90</v>
      </c>
      <c r="G1084" s="0" t="s">
        <v>20</v>
      </c>
      <c r="H1084" s="0" t="n">
        <v>63</v>
      </c>
      <c r="I1084" s="0" t="s">
        <v>3631</v>
      </c>
      <c r="J1084" s="0" t="s">
        <v>3632</v>
      </c>
      <c r="K1084" s="0" t="s">
        <v>3633</v>
      </c>
      <c r="L1084" s="0" t="str">
        <f aca="false">HYPERLINK("https://www.ncbi.nlm.nih.gov/nuccore/CP000058.1?report=graph&amp;tracks=[key:gene_model_track,Options:GeneOnly]&amp;mk=342546:342565|offset_10|444444,342523:342542|offset_33|444444,342493:342512|offset_63|00cc00,342464:342483|offset_92|444444&amp;v=342345:342683&amp;c=444444", "offset 63")</f>
        <v>offset 63</v>
      </c>
    </row>
    <row r="1085" customFormat="false" ht="12.8" hidden="false" customHeight="false" outlineLevel="0" collapsed="false">
      <c r="A1085" s="0" t="s">
        <v>12</v>
      </c>
      <c r="B1085" s="0" t="n">
        <v>342463</v>
      </c>
      <c r="C1085" s="0" t="n">
        <v>342483</v>
      </c>
      <c r="D1085" s="0" t="s">
        <v>3623</v>
      </c>
      <c r="E1085" s="0" t="s">
        <v>3624</v>
      </c>
      <c r="F1085" s="0" t="s">
        <v>90</v>
      </c>
      <c r="G1085" s="0" t="s">
        <v>20</v>
      </c>
      <c r="H1085" s="0" t="n">
        <v>92</v>
      </c>
      <c r="I1085" s="0" t="s">
        <v>3634</v>
      </c>
      <c r="J1085" s="0" t="s">
        <v>3635</v>
      </c>
      <c r="K1085" s="0" t="s">
        <v>3636</v>
      </c>
      <c r="L1085" s="0" t="str">
        <f aca="false">HYPERLINK("https://www.ncbi.nlm.nih.gov/nuccore/CP000058.1?report=graph&amp;tracks=[key:gene_model_track,Options:GeneOnly]&amp;mk=342546:342565|offset_10|444444,342523:342542|offset_33|444444,342493:342512|offset_63|444444,342464:342483|offset_92|00cc00&amp;v=342345:342683&amp;c=444444", "offset 92")</f>
        <v>offset 92</v>
      </c>
    </row>
    <row r="1086" customFormat="false" ht="12.8" hidden="false" customHeight="false" outlineLevel="0" collapsed="false">
      <c r="A1086" s="0" t="s">
        <v>12</v>
      </c>
      <c r="B1086" s="0" t="n">
        <v>342736</v>
      </c>
      <c r="C1086" s="0" t="n">
        <v>342756</v>
      </c>
      <c r="D1086" s="0" t="s">
        <v>3637</v>
      </c>
      <c r="E1086" s="0" t="s">
        <v>75</v>
      </c>
      <c r="F1086" s="0" t="s">
        <v>15</v>
      </c>
      <c r="G1086" s="0" t="s">
        <v>20</v>
      </c>
      <c r="H1086" s="0" t="n">
        <v>31</v>
      </c>
      <c r="I1086" s="0" t="s">
        <v>3638</v>
      </c>
      <c r="J1086" s="0" t="s">
        <v>3639</v>
      </c>
      <c r="K1086" s="0" t="s">
        <v>3640</v>
      </c>
      <c r="L1086" s="0" t="str">
        <f aca="false">HYPERLINK("https://www.ncbi.nlm.nih.gov/nuccore/CP000058.1?report=graph&amp;tracks=[key:gene_model_track,Options:GeneOnly]&amp;mk=342737:342756|offset_31|00cc00,342770:342789|offset_64|444444,342790:342809|offset_84|444444,342817:342836|offset_111|444444&amp;v=342536:343036&amp;c=444444", "offset 31")</f>
        <v>offset 31</v>
      </c>
    </row>
    <row r="1087" customFormat="false" ht="12.8" hidden="false" customHeight="false" outlineLevel="0" collapsed="false">
      <c r="A1087" s="0" t="s">
        <v>12</v>
      </c>
      <c r="B1087" s="0" t="n">
        <v>342769</v>
      </c>
      <c r="C1087" s="0" t="n">
        <v>342789</v>
      </c>
      <c r="D1087" s="0" t="s">
        <v>3637</v>
      </c>
      <c r="E1087" s="0" t="s">
        <v>75</v>
      </c>
      <c r="F1087" s="0" t="s">
        <v>15</v>
      </c>
      <c r="G1087" s="0" t="s">
        <v>32</v>
      </c>
      <c r="H1087" s="0" t="n">
        <v>64</v>
      </c>
      <c r="I1087" s="0" t="s">
        <v>3641</v>
      </c>
      <c r="J1087" s="0" t="s">
        <v>3642</v>
      </c>
      <c r="K1087" s="0" t="s">
        <v>3643</v>
      </c>
      <c r="L1087" s="0" t="str">
        <f aca="false">HYPERLINK("https://www.ncbi.nlm.nih.gov/nuccore/CP000058.1?report=graph&amp;tracks=[key:gene_model_track,Options:GeneOnly]&amp;mk=342737:342756|offset_31|444444,342770:342789|offset_64|00cc00,342790:342809|offset_84|444444,342817:342836|offset_111|444444&amp;v=342536:343036&amp;c=444444", "offset 64")</f>
        <v>offset 64</v>
      </c>
    </row>
    <row r="1088" customFormat="false" ht="12.8" hidden="false" customHeight="false" outlineLevel="0" collapsed="false">
      <c r="A1088" s="0" t="s">
        <v>12</v>
      </c>
      <c r="B1088" s="0" t="n">
        <v>342789</v>
      </c>
      <c r="C1088" s="0" t="n">
        <v>342809</v>
      </c>
      <c r="D1088" s="0" t="s">
        <v>3637</v>
      </c>
      <c r="E1088" s="0" t="s">
        <v>75</v>
      </c>
      <c r="F1088" s="0" t="s">
        <v>15</v>
      </c>
      <c r="G1088" s="0" t="s">
        <v>36</v>
      </c>
      <c r="H1088" s="0" t="n">
        <v>84</v>
      </c>
      <c r="I1088" s="0" t="s">
        <v>3644</v>
      </c>
      <c r="J1088" s="0" t="s">
        <v>3645</v>
      </c>
      <c r="K1088" s="0" t="s">
        <v>3646</v>
      </c>
      <c r="L1088" s="0" t="str">
        <f aca="false">HYPERLINK("https://www.ncbi.nlm.nih.gov/nuccore/CP000058.1?report=graph&amp;tracks=[key:gene_model_track,Options:GeneOnly]&amp;mk=342737:342756|offset_31|444444,342770:342789|offset_64|444444,342790:342809|offset_84|00cc00,342817:342836|offset_111|444444&amp;v=342536:343036&amp;c=444444", "offset 84")</f>
        <v>offset 84</v>
      </c>
    </row>
    <row r="1089" customFormat="false" ht="12.8" hidden="false" customHeight="false" outlineLevel="0" collapsed="false">
      <c r="A1089" s="0" t="s">
        <v>12</v>
      </c>
      <c r="B1089" s="0" t="n">
        <v>342816</v>
      </c>
      <c r="C1089" s="0" t="n">
        <v>342836</v>
      </c>
      <c r="D1089" s="0" t="s">
        <v>3637</v>
      </c>
      <c r="E1089" s="0" t="s">
        <v>75</v>
      </c>
      <c r="F1089" s="0" t="s">
        <v>15</v>
      </c>
      <c r="G1089" s="0" t="s">
        <v>16</v>
      </c>
      <c r="H1089" s="0" t="n">
        <v>111</v>
      </c>
      <c r="I1089" s="0" t="s">
        <v>3647</v>
      </c>
      <c r="J1089" s="0" t="s">
        <v>3648</v>
      </c>
      <c r="K1089" s="0" t="s">
        <v>3649</v>
      </c>
      <c r="L1089" s="0" t="str">
        <f aca="false">HYPERLINK("https://www.ncbi.nlm.nih.gov/nuccore/CP000058.1?report=graph&amp;tracks=[key:gene_model_track,Options:GeneOnly]&amp;mk=342737:342756|offset_31|444444,342770:342789|offset_64|444444,342790:342809|offset_84|444444,342817:342836|offset_111|00cc00&amp;v=342536:343036&amp;c=444444", "offset 111")</f>
        <v>offset 111</v>
      </c>
    </row>
    <row r="1090" customFormat="false" ht="12.8" hidden="false" customHeight="false" outlineLevel="0" collapsed="false">
      <c r="A1090" s="0" t="s">
        <v>12</v>
      </c>
      <c r="B1090" s="0" t="n">
        <v>343542</v>
      </c>
      <c r="C1090" s="0" t="n">
        <v>343562</v>
      </c>
      <c r="D1090" s="0" t="s">
        <v>3650</v>
      </c>
      <c r="E1090" s="0" t="s">
        <v>75</v>
      </c>
      <c r="F1090" s="0" t="s">
        <v>90</v>
      </c>
      <c r="G1090" s="0" t="s">
        <v>20</v>
      </c>
      <c r="H1090" s="0" t="n">
        <v>7</v>
      </c>
      <c r="I1090" s="0" t="s">
        <v>3651</v>
      </c>
      <c r="J1090" s="0" t="s">
        <v>3652</v>
      </c>
      <c r="K1090" s="0" t="s">
        <v>3653</v>
      </c>
      <c r="L1090" s="0" t="str">
        <f aca="false">HYPERLINK("https://www.ncbi.nlm.nih.gov/nuccore/CP000058.1?report=graph&amp;tracks=[key:gene_model_track,Options:GeneOnly]&amp;mk=343543:343562|offset_7|00cc00,343520:343539|offset_30|444444,343497:343516|offset_53|444444,343429:343448|offset_121|444444&amp;v=343342:343648&amp;c=444444", "offset 7")</f>
        <v>offset 7</v>
      </c>
    </row>
    <row r="1091" customFormat="false" ht="12.8" hidden="false" customHeight="false" outlineLevel="0" collapsed="false">
      <c r="A1091" s="0" t="s">
        <v>12</v>
      </c>
      <c r="B1091" s="0" t="n">
        <v>343519</v>
      </c>
      <c r="C1091" s="0" t="n">
        <v>343539</v>
      </c>
      <c r="D1091" s="0" t="s">
        <v>3650</v>
      </c>
      <c r="E1091" s="0" t="s">
        <v>75</v>
      </c>
      <c r="F1091" s="0" t="s">
        <v>90</v>
      </c>
      <c r="G1091" s="0" t="s">
        <v>20</v>
      </c>
      <c r="H1091" s="0" t="n">
        <v>30</v>
      </c>
      <c r="I1091" s="0" t="s">
        <v>3654</v>
      </c>
      <c r="J1091" s="0" t="s">
        <v>3655</v>
      </c>
      <c r="K1091" s="0" t="s">
        <v>3656</v>
      </c>
      <c r="L1091" s="0" t="str">
        <f aca="false">HYPERLINK("https://www.ncbi.nlm.nih.gov/nuccore/CP000058.1?report=graph&amp;tracks=[key:gene_model_track,Options:GeneOnly]&amp;mk=343543:343562|offset_7|444444,343520:343539|offset_30|00cc00,343497:343516|offset_53|444444,343429:343448|offset_121|444444&amp;v=343342:343648&amp;c=444444", "offset 30")</f>
        <v>offset 30</v>
      </c>
    </row>
    <row r="1092" customFormat="false" ht="12.8" hidden="false" customHeight="false" outlineLevel="0" collapsed="false">
      <c r="A1092" s="0" t="s">
        <v>12</v>
      </c>
      <c r="B1092" s="0" t="n">
        <v>343496</v>
      </c>
      <c r="C1092" s="0" t="n">
        <v>343516</v>
      </c>
      <c r="D1092" s="0" t="s">
        <v>3650</v>
      </c>
      <c r="E1092" s="0" t="s">
        <v>75</v>
      </c>
      <c r="F1092" s="0" t="s">
        <v>90</v>
      </c>
      <c r="G1092" s="0" t="s">
        <v>20</v>
      </c>
      <c r="H1092" s="0" t="n">
        <v>53</v>
      </c>
      <c r="I1092" s="0" t="s">
        <v>3657</v>
      </c>
      <c r="J1092" s="0" t="s">
        <v>3658</v>
      </c>
      <c r="K1092" s="0" t="s">
        <v>3659</v>
      </c>
      <c r="L1092" s="0" t="str">
        <f aca="false">HYPERLINK("https://www.ncbi.nlm.nih.gov/nuccore/CP000058.1?report=graph&amp;tracks=[key:gene_model_track,Options:GeneOnly]&amp;mk=343543:343562|offset_7|444444,343520:343539|offset_30|444444,343497:343516|offset_53|00cc00,343429:343448|offset_121|444444&amp;v=343342:343648&amp;c=444444", "offset 53")</f>
        <v>offset 53</v>
      </c>
    </row>
    <row r="1093" customFormat="false" ht="12.8" hidden="false" customHeight="false" outlineLevel="0" collapsed="false">
      <c r="A1093" s="0" t="s">
        <v>12</v>
      </c>
      <c r="B1093" s="0" t="n">
        <v>343428</v>
      </c>
      <c r="C1093" s="0" t="n">
        <v>343448</v>
      </c>
      <c r="D1093" s="0" t="s">
        <v>3650</v>
      </c>
      <c r="E1093" s="0" t="s">
        <v>75</v>
      </c>
      <c r="F1093" s="0" t="s">
        <v>90</v>
      </c>
      <c r="G1093" s="0" t="s">
        <v>32</v>
      </c>
      <c r="H1093" s="0" t="n">
        <v>121</v>
      </c>
      <c r="I1093" s="0" t="s">
        <v>3660</v>
      </c>
      <c r="J1093" s="0" t="s">
        <v>3661</v>
      </c>
      <c r="K1093" s="0" t="s">
        <v>3662</v>
      </c>
      <c r="L1093" s="0" t="str">
        <f aca="false">HYPERLINK("https://www.ncbi.nlm.nih.gov/nuccore/CP000058.1?report=graph&amp;tracks=[key:gene_model_track,Options:GeneOnly]&amp;mk=343543:343562|offset_7|444444,343520:343539|offset_30|444444,343497:343516|offset_53|444444,343429:343448|offset_121|00cc00&amp;v=343342:343648&amp;c=444444", "offset 121")</f>
        <v>offset 121</v>
      </c>
    </row>
    <row r="1094" customFormat="false" ht="12.8" hidden="false" customHeight="false" outlineLevel="0" collapsed="false">
      <c r="A1094" s="0" t="s">
        <v>12</v>
      </c>
      <c r="B1094" s="0" t="n">
        <v>343777</v>
      </c>
      <c r="C1094" s="0" t="n">
        <v>343797</v>
      </c>
      <c r="D1094" s="0" t="s">
        <v>3663</v>
      </c>
      <c r="E1094" s="0" t="s">
        <v>75</v>
      </c>
      <c r="F1094" s="0" t="s">
        <v>15</v>
      </c>
      <c r="G1094" s="0" t="s">
        <v>20</v>
      </c>
      <c r="H1094" s="0" t="n">
        <v>15</v>
      </c>
      <c r="I1094" s="0" t="s">
        <v>3664</v>
      </c>
      <c r="J1094" s="0" t="s">
        <v>3665</v>
      </c>
      <c r="K1094" s="0" t="s">
        <v>3666</v>
      </c>
      <c r="L1094" s="0" t="str">
        <f aca="false">HYPERLINK("https://www.ncbi.nlm.nih.gov/nuccore/CP000058.1?report=graph&amp;tracks=[key:gene_model_track,Options:GeneOnly]&amp;mk=343778:343797|offset_15|00cc00,343830:343849|offset_67|444444,343854:343873|offset_91|444444&amp;v=343577:344073&amp;c=444444", "offset 15")</f>
        <v>offset 15</v>
      </c>
    </row>
    <row r="1095" customFormat="false" ht="12.8" hidden="false" customHeight="false" outlineLevel="0" collapsed="false">
      <c r="A1095" s="0" t="s">
        <v>12</v>
      </c>
      <c r="B1095" s="0" t="n">
        <v>343829</v>
      </c>
      <c r="C1095" s="0" t="n">
        <v>343849</v>
      </c>
      <c r="D1095" s="0" t="s">
        <v>3663</v>
      </c>
      <c r="E1095" s="0" t="s">
        <v>75</v>
      </c>
      <c r="F1095" s="0" t="s">
        <v>15</v>
      </c>
      <c r="G1095" s="0" t="s">
        <v>16</v>
      </c>
      <c r="H1095" s="0" t="n">
        <v>67</v>
      </c>
      <c r="I1095" s="0" t="s">
        <v>3667</v>
      </c>
      <c r="J1095" s="0" t="s">
        <v>3668</v>
      </c>
      <c r="K1095" s="0" t="s">
        <v>3669</v>
      </c>
      <c r="L1095" s="0" t="str">
        <f aca="false">HYPERLINK("https://www.ncbi.nlm.nih.gov/nuccore/CP000058.1?report=graph&amp;tracks=[key:gene_model_track,Options:GeneOnly]&amp;mk=343778:343797|offset_15|444444,343830:343849|offset_67|00cc00,343854:343873|offset_91|444444&amp;v=343577:344073&amp;c=444444", "offset 67")</f>
        <v>offset 67</v>
      </c>
    </row>
    <row r="1096" customFormat="false" ht="12.8" hidden="false" customHeight="false" outlineLevel="0" collapsed="false">
      <c r="A1096" s="0" t="s">
        <v>12</v>
      </c>
      <c r="B1096" s="0" t="n">
        <v>343853</v>
      </c>
      <c r="C1096" s="0" t="n">
        <v>343873</v>
      </c>
      <c r="D1096" s="0" t="s">
        <v>3663</v>
      </c>
      <c r="E1096" s="0" t="s">
        <v>75</v>
      </c>
      <c r="F1096" s="0" t="s">
        <v>15</v>
      </c>
      <c r="G1096" s="0" t="s">
        <v>32</v>
      </c>
      <c r="H1096" s="0" t="n">
        <v>91</v>
      </c>
      <c r="I1096" s="0" t="s">
        <v>3670</v>
      </c>
      <c r="J1096" s="0" t="s">
        <v>3671</v>
      </c>
      <c r="K1096" s="0" t="s">
        <v>3672</v>
      </c>
      <c r="L1096" s="0" t="str">
        <f aca="false">HYPERLINK("https://www.ncbi.nlm.nih.gov/nuccore/CP000058.1?report=graph&amp;tracks=[key:gene_model_track,Options:GeneOnly]&amp;mk=343778:343797|offset_15|444444,343830:343849|offset_67|444444,343854:343873|offset_91|00cc00&amp;v=343577:344073&amp;c=444444", "offset 91")</f>
        <v>offset 91</v>
      </c>
    </row>
    <row r="1097" customFormat="false" ht="12.8" hidden="false" customHeight="false" outlineLevel="0" collapsed="false">
      <c r="A1097" s="0" t="s">
        <v>12</v>
      </c>
      <c r="B1097" s="0" t="n">
        <v>344539</v>
      </c>
      <c r="C1097" s="0" t="n">
        <v>344559</v>
      </c>
      <c r="D1097" s="0" t="s">
        <v>3673</v>
      </c>
      <c r="E1097" s="0" t="s">
        <v>75</v>
      </c>
      <c r="F1097" s="0" t="s">
        <v>90</v>
      </c>
      <c r="G1097" s="0" t="s">
        <v>36</v>
      </c>
      <c r="H1097" s="0" t="n">
        <v>13</v>
      </c>
      <c r="I1097" s="0" t="s">
        <v>3674</v>
      </c>
      <c r="J1097" s="0" t="s">
        <v>3675</v>
      </c>
      <c r="K1097" s="0" t="s">
        <v>3676</v>
      </c>
      <c r="L1097" s="0" t="str">
        <f aca="false">HYPERLINK("https://www.ncbi.nlm.nih.gov/nuccore/CP000058.1?report=graph&amp;tracks=[key:gene_model_track,Options:GeneOnly]&amp;mk=344540:344559|offset_13|00cc00,344512:344531|offset_41|444444,344473:344492|offset_80|444444,344443:344462|offset_110|444444&amp;v=344339:344662&amp;c=444444", "offset 13")</f>
        <v>offset 13</v>
      </c>
    </row>
    <row r="1098" customFormat="false" ht="12.8" hidden="false" customHeight="false" outlineLevel="0" collapsed="false">
      <c r="A1098" s="0" t="s">
        <v>12</v>
      </c>
      <c r="B1098" s="0" t="n">
        <v>344511</v>
      </c>
      <c r="C1098" s="0" t="n">
        <v>344531</v>
      </c>
      <c r="D1098" s="0" t="s">
        <v>3673</v>
      </c>
      <c r="E1098" s="0" t="s">
        <v>75</v>
      </c>
      <c r="F1098" s="0" t="s">
        <v>90</v>
      </c>
      <c r="G1098" s="0" t="s">
        <v>16</v>
      </c>
      <c r="H1098" s="0" t="n">
        <v>41</v>
      </c>
      <c r="I1098" s="0" t="s">
        <v>3677</v>
      </c>
      <c r="J1098" s="0" t="s">
        <v>3678</v>
      </c>
      <c r="K1098" s="0" t="s">
        <v>3679</v>
      </c>
      <c r="L1098" s="0" t="str">
        <f aca="false">HYPERLINK("https://www.ncbi.nlm.nih.gov/nuccore/CP000058.1?report=graph&amp;tracks=[key:gene_model_track,Options:GeneOnly]&amp;mk=344540:344559|offset_13|444444,344512:344531|offset_41|00cc00,344473:344492|offset_80|444444,344443:344462|offset_110|444444&amp;v=344339:344662&amp;c=444444", "offset 41")</f>
        <v>offset 41</v>
      </c>
    </row>
    <row r="1099" customFormat="false" ht="12.8" hidden="false" customHeight="false" outlineLevel="0" collapsed="false">
      <c r="A1099" s="0" t="s">
        <v>12</v>
      </c>
      <c r="B1099" s="0" t="n">
        <v>344472</v>
      </c>
      <c r="C1099" s="0" t="n">
        <v>344492</v>
      </c>
      <c r="D1099" s="0" t="s">
        <v>3673</v>
      </c>
      <c r="E1099" s="0" t="s">
        <v>75</v>
      </c>
      <c r="F1099" s="0" t="s">
        <v>90</v>
      </c>
      <c r="G1099" s="0" t="s">
        <v>32</v>
      </c>
      <c r="H1099" s="0" t="n">
        <v>80</v>
      </c>
      <c r="I1099" s="0" t="s">
        <v>3680</v>
      </c>
      <c r="J1099" s="0" t="s">
        <v>3681</v>
      </c>
      <c r="K1099" s="0" t="s">
        <v>3682</v>
      </c>
      <c r="L1099" s="0" t="str">
        <f aca="false">HYPERLINK("https://www.ncbi.nlm.nih.gov/nuccore/CP000058.1?report=graph&amp;tracks=[key:gene_model_track,Options:GeneOnly]&amp;mk=344540:344559|offset_13|444444,344512:344531|offset_41|444444,344473:344492|offset_80|00cc00,344443:344462|offset_110|444444&amp;v=344339:344662&amp;c=444444", "offset 80")</f>
        <v>offset 80</v>
      </c>
    </row>
    <row r="1100" customFormat="false" ht="12.8" hidden="false" customHeight="false" outlineLevel="0" collapsed="false">
      <c r="A1100" s="0" t="s">
        <v>12</v>
      </c>
      <c r="B1100" s="0" t="n">
        <v>344442</v>
      </c>
      <c r="C1100" s="0" t="n">
        <v>344462</v>
      </c>
      <c r="D1100" s="0" t="s">
        <v>3673</v>
      </c>
      <c r="E1100" s="0" t="s">
        <v>75</v>
      </c>
      <c r="F1100" s="0" t="s">
        <v>90</v>
      </c>
      <c r="G1100" s="0" t="s">
        <v>16</v>
      </c>
      <c r="H1100" s="0" t="n">
        <v>110</v>
      </c>
      <c r="I1100" s="0" t="s">
        <v>3683</v>
      </c>
      <c r="J1100" s="0" t="s">
        <v>3684</v>
      </c>
      <c r="K1100" s="0" t="s">
        <v>3685</v>
      </c>
      <c r="L1100" s="0" t="str">
        <f aca="false">HYPERLINK("https://www.ncbi.nlm.nih.gov/nuccore/CP000058.1?report=graph&amp;tracks=[key:gene_model_track,Options:GeneOnly]&amp;mk=344540:344559|offset_13|444444,344512:344531|offset_41|444444,344473:344492|offset_80|444444,344443:344462|offset_110|00cc00&amp;v=344339:344662&amp;c=444444", "offset 110")</f>
        <v>offset 110</v>
      </c>
    </row>
    <row r="1101" customFormat="false" ht="12.8" hidden="false" customHeight="false" outlineLevel="0" collapsed="false">
      <c r="A1101" s="0" t="s">
        <v>12</v>
      </c>
      <c r="B1101" s="0" t="n">
        <v>345160</v>
      </c>
      <c r="C1101" s="0" t="n">
        <v>345180</v>
      </c>
      <c r="D1101" s="0" t="s">
        <v>3686</v>
      </c>
      <c r="E1101" s="0" t="s">
        <v>75</v>
      </c>
      <c r="F1101" s="0" t="s">
        <v>90</v>
      </c>
      <c r="G1101" s="0" t="s">
        <v>16</v>
      </c>
      <c r="H1101" s="0" t="n">
        <v>25</v>
      </c>
      <c r="I1101" s="0" t="s">
        <v>3687</v>
      </c>
      <c r="J1101" s="0" t="s">
        <v>3688</v>
      </c>
      <c r="K1101" s="0" t="s">
        <v>3689</v>
      </c>
      <c r="L1101" s="0" t="str">
        <f aca="false">HYPERLINK("https://www.ncbi.nlm.nih.gov/nuccore/CP000058.1?report=graph&amp;tracks=[key:gene_model_track,Options:GeneOnly]&amp;mk=345161:345180|offset_25|00cc00,345124:345143|offset_62|444444,345103:345122|offset_83|444444,345058:345077|offset_128|444444&amp;v=344960:345277&amp;c=444444", "offset 25")</f>
        <v>offset 25</v>
      </c>
    </row>
    <row r="1102" customFormat="false" ht="12.8" hidden="false" customHeight="false" outlineLevel="0" collapsed="false">
      <c r="A1102" s="0" t="s">
        <v>12</v>
      </c>
      <c r="B1102" s="0" t="n">
        <v>345123</v>
      </c>
      <c r="C1102" s="0" t="n">
        <v>345143</v>
      </c>
      <c r="D1102" s="0" t="s">
        <v>3686</v>
      </c>
      <c r="E1102" s="0" t="s">
        <v>75</v>
      </c>
      <c r="F1102" s="0" t="s">
        <v>90</v>
      </c>
      <c r="G1102" s="0" t="s">
        <v>36</v>
      </c>
      <c r="H1102" s="0" t="n">
        <v>62</v>
      </c>
      <c r="I1102" s="0" t="s">
        <v>3690</v>
      </c>
      <c r="J1102" s="0" t="s">
        <v>3691</v>
      </c>
      <c r="K1102" s="0" t="s">
        <v>3692</v>
      </c>
      <c r="L1102" s="0" t="str">
        <f aca="false">HYPERLINK("https://www.ncbi.nlm.nih.gov/nuccore/CP000058.1?report=graph&amp;tracks=[key:gene_model_track,Options:GeneOnly]&amp;mk=345161:345180|offset_25|444444,345124:345143|offset_62|00cc00,345103:345122|offset_83|444444,345058:345077|offset_128|444444&amp;v=344960:345277&amp;c=444444", "offset 62")</f>
        <v>offset 62</v>
      </c>
    </row>
    <row r="1103" customFormat="false" ht="12.8" hidden="false" customHeight="false" outlineLevel="0" collapsed="false">
      <c r="A1103" s="0" t="s">
        <v>12</v>
      </c>
      <c r="B1103" s="0" t="n">
        <v>345102</v>
      </c>
      <c r="C1103" s="0" t="n">
        <v>345122</v>
      </c>
      <c r="D1103" s="0" t="s">
        <v>3686</v>
      </c>
      <c r="E1103" s="0" t="s">
        <v>75</v>
      </c>
      <c r="F1103" s="0" t="s">
        <v>90</v>
      </c>
      <c r="G1103" s="0" t="s">
        <v>20</v>
      </c>
      <c r="H1103" s="0" t="n">
        <v>83</v>
      </c>
      <c r="I1103" s="0" t="s">
        <v>3693</v>
      </c>
      <c r="J1103" s="0" t="s">
        <v>3694</v>
      </c>
      <c r="K1103" s="0" t="s">
        <v>3695</v>
      </c>
      <c r="L1103" s="0" t="str">
        <f aca="false">HYPERLINK("https://www.ncbi.nlm.nih.gov/nuccore/CP000058.1?report=graph&amp;tracks=[key:gene_model_track,Options:GeneOnly]&amp;mk=345161:345180|offset_25|444444,345124:345143|offset_62|444444,345103:345122|offset_83|00cc00,345058:345077|offset_128|444444&amp;v=344960:345277&amp;c=444444", "offset 83")</f>
        <v>offset 83</v>
      </c>
    </row>
    <row r="1104" customFormat="false" ht="12.8" hidden="false" customHeight="false" outlineLevel="0" collapsed="false">
      <c r="A1104" s="0" t="s">
        <v>12</v>
      </c>
      <c r="B1104" s="0" t="n">
        <v>345057</v>
      </c>
      <c r="C1104" s="0" t="n">
        <v>345077</v>
      </c>
      <c r="D1104" s="0" t="s">
        <v>3686</v>
      </c>
      <c r="E1104" s="0" t="s">
        <v>75</v>
      </c>
      <c r="F1104" s="0" t="s">
        <v>90</v>
      </c>
      <c r="G1104" s="0" t="s">
        <v>16</v>
      </c>
      <c r="H1104" s="0" t="n">
        <v>128</v>
      </c>
      <c r="I1104" s="0" t="s">
        <v>3696</v>
      </c>
      <c r="J1104" s="0" t="s">
        <v>3697</v>
      </c>
      <c r="K1104" s="0" t="s">
        <v>3698</v>
      </c>
      <c r="L1104" s="0" t="str">
        <f aca="false">HYPERLINK("https://www.ncbi.nlm.nih.gov/nuccore/CP000058.1?report=graph&amp;tracks=[key:gene_model_track,Options:GeneOnly]&amp;mk=345161:345180|offset_25|444444,345124:345143|offset_62|444444,345103:345122|offset_83|444444,345058:345077|offset_128|00cc00&amp;v=344960:345277&amp;c=444444", "offset 128")</f>
        <v>offset 128</v>
      </c>
    </row>
    <row r="1105" customFormat="false" ht="12.8" hidden="false" customHeight="false" outlineLevel="0" collapsed="false">
      <c r="A1105" s="0" t="s">
        <v>12</v>
      </c>
      <c r="B1105" s="0" t="n">
        <v>345378</v>
      </c>
      <c r="C1105" s="0" t="n">
        <v>345398</v>
      </c>
      <c r="D1105" s="0" t="s">
        <v>3699</v>
      </c>
      <c r="E1105" s="0" t="s">
        <v>75</v>
      </c>
      <c r="F1105" s="0" t="s">
        <v>90</v>
      </c>
      <c r="G1105" s="0" t="s">
        <v>16</v>
      </c>
      <c r="H1105" s="0" t="n">
        <v>13</v>
      </c>
      <c r="I1105" s="0" t="s">
        <v>3700</v>
      </c>
      <c r="J1105" s="0" t="s">
        <v>3701</v>
      </c>
      <c r="K1105" s="0" t="s">
        <v>3702</v>
      </c>
      <c r="L1105" s="0" t="str">
        <f aca="false">HYPERLINK("https://www.ncbi.nlm.nih.gov/nuccore/CP000058.1?report=graph&amp;tracks=[key:gene_model_track,Options:GeneOnly]&amp;mk=345379:345398|offset_13|00cc00,345342:345361|offset_50|444444,345315:345334|offset_77|444444,345283:345302|offset_109|444444&amp;v=345178:345502&amp;c=444444", "offset 13")</f>
        <v>offset 13</v>
      </c>
    </row>
    <row r="1106" customFormat="false" ht="12.8" hidden="false" customHeight="false" outlineLevel="0" collapsed="false">
      <c r="A1106" s="0" t="s">
        <v>12</v>
      </c>
      <c r="B1106" s="0" t="n">
        <v>345341</v>
      </c>
      <c r="C1106" s="0" t="n">
        <v>345361</v>
      </c>
      <c r="D1106" s="0" t="s">
        <v>3699</v>
      </c>
      <c r="E1106" s="0" t="s">
        <v>75</v>
      </c>
      <c r="F1106" s="0" t="s">
        <v>90</v>
      </c>
      <c r="G1106" s="0" t="s">
        <v>20</v>
      </c>
      <c r="H1106" s="0" t="n">
        <v>50</v>
      </c>
      <c r="I1106" s="0" t="s">
        <v>3703</v>
      </c>
      <c r="J1106" s="0" t="s">
        <v>3704</v>
      </c>
      <c r="K1106" s="0" t="s">
        <v>3705</v>
      </c>
      <c r="L1106" s="0" t="str">
        <f aca="false">HYPERLINK("https://www.ncbi.nlm.nih.gov/nuccore/CP000058.1?report=graph&amp;tracks=[key:gene_model_track,Options:GeneOnly]&amp;mk=345379:345398|offset_13|444444,345342:345361|offset_50|00cc00,345315:345334|offset_77|444444,345283:345302|offset_109|444444&amp;v=345178:345502&amp;c=444444", "offset 50")</f>
        <v>offset 50</v>
      </c>
    </row>
    <row r="1107" customFormat="false" ht="12.8" hidden="false" customHeight="false" outlineLevel="0" collapsed="false">
      <c r="A1107" s="0" t="s">
        <v>12</v>
      </c>
      <c r="B1107" s="0" t="n">
        <v>345314</v>
      </c>
      <c r="C1107" s="0" t="n">
        <v>345334</v>
      </c>
      <c r="D1107" s="0" t="s">
        <v>3699</v>
      </c>
      <c r="E1107" s="0" t="s">
        <v>75</v>
      </c>
      <c r="F1107" s="0" t="s">
        <v>90</v>
      </c>
      <c r="G1107" s="0" t="s">
        <v>32</v>
      </c>
      <c r="H1107" s="0" t="n">
        <v>77</v>
      </c>
      <c r="I1107" s="0" t="s">
        <v>3706</v>
      </c>
      <c r="J1107" s="0" t="s">
        <v>3707</v>
      </c>
      <c r="K1107" s="0" t="s">
        <v>3708</v>
      </c>
      <c r="L1107" s="0" t="str">
        <f aca="false">HYPERLINK("https://www.ncbi.nlm.nih.gov/nuccore/CP000058.1?report=graph&amp;tracks=[key:gene_model_track,Options:GeneOnly]&amp;mk=345379:345398|offset_13|444444,345342:345361|offset_50|444444,345315:345334|offset_77|00cc00,345283:345302|offset_109|444444&amp;v=345178:345502&amp;c=444444", "offset 77")</f>
        <v>offset 77</v>
      </c>
    </row>
    <row r="1108" customFormat="false" ht="12.8" hidden="false" customHeight="false" outlineLevel="0" collapsed="false">
      <c r="A1108" s="0" t="s">
        <v>12</v>
      </c>
      <c r="B1108" s="0" t="n">
        <v>345282</v>
      </c>
      <c r="C1108" s="0" t="n">
        <v>345302</v>
      </c>
      <c r="D1108" s="0" t="s">
        <v>3699</v>
      </c>
      <c r="E1108" s="0" t="s">
        <v>75</v>
      </c>
      <c r="F1108" s="0" t="s">
        <v>90</v>
      </c>
      <c r="G1108" s="0" t="s">
        <v>20</v>
      </c>
      <c r="H1108" s="0" t="n">
        <v>109</v>
      </c>
      <c r="I1108" s="0" t="s">
        <v>3709</v>
      </c>
      <c r="J1108" s="0" t="s">
        <v>3710</v>
      </c>
      <c r="K1108" s="0" t="s">
        <v>3711</v>
      </c>
      <c r="L1108" s="0" t="str">
        <f aca="false">HYPERLINK("https://www.ncbi.nlm.nih.gov/nuccore/CP000058.1?report=graph&amp;tracks=[key:gene_model_track,Options:GeneOnly]&amp;mk=345379:345398|offset_13|444444,345342:345361|offset_50|444444,345315:345334|offset_77|444444,345283:345302|offset_109|00cc00&amp;v=345178:345502&amp;c=444444", "offset 109")</f>
        <v>offset 109</v>
      </c>
    </row>
    <row r="1109" customFormat="false" ht="12.8" hidden="false" customHeight="false" outlineLevel="0" collapsed="false">
      <c r="A1109" s="0" t="s">
        <v>12</v>
      </c>
      <c r="B1109" s="0" t="n">
        <v>345561</v>
      </c>
      <c r="C1109" s="0" t="n">
        <v>345581</v>
      </c>
      <c r="D1109" s="0" t="s">
        <v>3712</v>
      </c>
      <c r="E1109" s="0" t="s">
        <v>75</v>
      </c>
      <c r="F1109" s="0" t="s">
        <v>15</v>
      </c>
      <c r="G1109" s="0" t="s">
        <v>36</v>
      </c>
      <c r="H1109" s="0" t="n">
        <v>0</v>
      </c>
      <c r="I1109" s="0" t="s">
        <v>3713</v>
      </c>
      <c r="J1109" s="0" t="s">
        <v>3714</v>
      </c>
      <c r="K1109" s="0" t="s">
        <v>3715</v>
      </c>
      <c r="L1109" s="0" t="str">
        <f aca="false">HYPERLINK("https://www.ncbi.nlm.nih.gov/nuccore/CP000058.1?report=graph&amp;tracks=[key:gene_model_track,Options:GeneOnly]&amp;mk=345562:345581|offset_0|00cc00,345583:345602|offset_21|444444,345624:345643|offset_62|444444,345651:345670|offset_89|444444&amp;v=345361:345870&amp;c=444444", "offset 0")</f>
        <v>offset 0</v>
      </c>
    </row>
    <row r="1110" customFormat="false" ht="12.8" hidden="false" customHeight="false" outlineLevel="0" collapsed="false">
      <c r="A1110" s="0" t="s">
        <v>12</v>
      </c>
      <c r="B1110" s="0" t="n">
        <v>345582</v>
      </c>
      <c r="C1110" s="0" t="n">
        <v>345602</v>
      </c>
      <c r="D1110" s="0" t="s">
        <v>3712</v>
      </c>
      <c r="E1110" s="0" t="s">
        <v>75</v>
      </c>
      <c r="F1110" s="0" t="s">
        <v>15</v>
      </c>
      <c r="G1110" s="0" t="s">
        <v>16</v>
      </c>
      <c r="H1110" s="0" t="n">
        <v>21</v>
      </c>
      <c r="I1110" s="0" t="s">
        <v>3716</v>
      </c>
      <c r="J1110" s="0" t="s">
        <v>3717</v>
      </c>
      <c r="K1110" s="0" t="s">
        <v>3718</v>
      </c>
      <c r="L1110" s="0" t="str">
        <f aca="false">HYPERLINK("https://www.ncbi.nlm.nih.gov/nuccore/CP000058.1?report=graph&amp;tracks=[key:gene_model_track,Options:GeneOnly]&amp;mk=345562:345581|offset_0|444444,345583:345602|offset_21|00cc00,345624:345643|offset_62|444444,345651:345670|offset_89|444444&amp;v=345361:345870&amp;c=444444", "offset 21")</f>
        <v>offset 21</v>
      </c>
    </row>
    <row r="1111" customFormat="false" ht="12.8" hidden="false" customHeight="false" outlineLevel="0" collapsed="false">
      <c r="A1111" s="0" t="s">
        <v>12</v>
      </c>
      <c r="B1111" s="0" t="n">
        <v>345623</v>
      </c>
      <c r="C1111" s="0" t="n">
        <v>345643</v>
      </c>
      <c r="D1111" s="0" t="s">
        <v>3712</v>
      </c>
      <c r="E1111" s="0" t="s">
        <v>75</v>
      </c>
      <c r="F1111" s="0" t="s">
        <v>15</v>
      </c>
      <c r="G1111" s="0" t="s">
        <v>32</v>
      </c>
      <c r="H1111" s="0" t="n">
        <v>62</v>
      </c>
      <c r="I1111" s="0" t="s">
        <v>3719</v>
      </c>
      <c r="J1111" s="0" t="s">
        <v>3720</v>
      </c>
      <c r="K1111" s="0" t="s">
        <v>3721</v>
      </c>
      <c r="L1111" s="0" t="str">
        <f aca="false">HYPERLINK("https://www.ncbi.nlm.nih.gov/nuccore/CP000058.1?report=graph&amp;tracks=[key:gene_model_track,Options:GeneOnly]&amp;mk=345562:345581|offset_0|444444,345583:345602|offset_21|444444,345624:345643|offset_62|00cc00,345651:345670|offset_89|444444&amp;v=345361:345870&amp;c=444444", "offset 62")</f>
        <v>offset 62</v>
      </c>
    </row>
    <row r="1112" customFormat="false" ht="12.8" hidden="false" customHeight="false" outlineLevel="0" collapsed="false">
      <c r="A1112" s="0" t="s">
        <v>12</v>
      </c>
      <c r="B1112" s="0" t="n">
        <v>345650</v>
      </c>
      <c r="C1112" s="0" t="n">
        <v>345670</v>
      </c>
      <c r="D1112" s="0" t="s">
        <v>3712</v>
      </c>
      <c r="E1112" s="0" t="s">
        <v>75</v>
      </c>
      <c r="F1112" s="0" t="s">
        <v>15</v>
      </c>
      <c r="G1112" s="0" t="s">
        <v>20</v>
      </c>
      <c r="H1112" s="0" t="n">
        <v>89</v>
      </c>
      <c r="I1112" s="0" t="s">
        <v>3722</v>
      </c>
      <c r="J1112" s="0" t="s">
        <v>3723</v>
      </c>
      <c r="K1112" s="0" t="s">
        <v>3724</v>
      </c>
      <c r="L1112" s="0" t="str">
        <f aca="false">HYPERLINK("https://www.ncbi.nlm.nih.gov/nuccore/CP000058.1?report=graph&amp;tracks=[key:gene_model_track,Options:GeneOnly]&amp;mk=345562:345581|offset_0|444444,345583:345602|offset_21|444444,345624:345643|offset_62|444444,345651:345670|offset_89|00cc00&amp;v=345361:345870&amp;c=444444", "offset 89")</f>
        <v>offset 89</v>
      </c>
    </row>
    <row r="1113" customFormat="false" ht="12.8" hidden="false" customHeight="false" outlineLevel="0" collapsed="false">
      <c r="A1113" s="0" t="s">
        <v>12</v>
      </c>
      <c r="B1113" s="0" t="n">
        <v>346191</v>
      </c>
      <c r="C1113" s="0" t="n">
        <v>346211</v>
      </c>
      <c r="D1113" s="0" t="s">
        <v>3725</v>
      </c>
      <c r="E1113" s="0" t="s">
        <v>3726</v>
      </c>
      <c r="F1113" s="0" t="s">
        <v>15</v>
      </c>
      <c r="G1113" s="0" t="s">
        <v>36</v>
      </c>
      <c r="H1113" s="0" t="n">
        <v>0</v>
      </c>
      <c r="I1113" s="0" t="s">
        <v>3727</v>
      </c>
      <c r="J1113" s="0" t="s">
        <v>3728</v>
      </c>
      <c r="K1113" s="0" t="s">
        <v>3729</v>
      </c>
      <c r="L1113" s="0" t="str">
        <f aca="false">HYPERLINK("https://www.ncbi.nlm.nih.gov/nuccore/CP000058.1?report=graph&amp;tracks=[key:gene_model_track,Options:GeneOnly]&amp;mk=346192:346211|offset_0|00cc00,346214:346233|offset_22|444444,346258:346277|offset_66|444444,346279:346298|offset_87|444444&amp;v=345991:346498&amp;c=444444", "offset 0")</f>
        <v>offset 0</v>
      </c>
    </row>
    <row r="1114" customFormat="false" ht="12.8" hidden="false" customHeight="false" outlineLevel="0" collapsed="false">
      <c r="A1114" s="0" t="s">
        <v>12</v>
      </c>
      <c r="B1114" s="0" t="n">
        <v>346213</v>
      </c>
      <c r="C1114" s="0" t="n">
        <v>346233</v>
      </c>
      <c r="D1114" s="0" t="s">
        <v>3725</v>
      </c>
      <c r="E1114" s="0" t="s">
        <v>3726</v>
      </c>
      <c r="F1114" s="0" t="s">
        <v>15</v>
      </c>
      <c r="G1114" s="0" t="s">
        <v>16</v>
      </c>
      <c r="H1114" s="0" t="n">
        <v>22</v>
      </c>
      <c r="I1114" s="0" t="s">
        <v>3730</v>
      </c>
      <c r="J1114" s="0" t="s">
        <v>3731</v>
      </c>
      <c r="K1114" s="0" t="s">
        <v>3732</v>
      </c>
      <c r="L1114" s="0" t="str">
        <f aca="false">HYPERLINK("https://www.ncbi.nlm.nih.gov/nuccore/CP000058.1?report=graph&amp;tracks=[key:gene_model_track,Options:GeneOnly]&amp;mk=346192:346211|offset_0|444444,346214:346233|offset_22|00cc00,346258:346277|offset_66|444444,346279:346298|offset_87|444444&amp;v=345991:346498&amp;c=444444", "offset 22")</f>
        <v>offset 22</v>
      </c>
    </row>
    <row r="1115" customFormat="false" ht="12.8" hidden="false" customHeight="false" outlineLevel="0" collapsed="false">
      <c r="A1115" s="0" t="s">
        <v>12</v>
      </c>
      <c r="B1115" s="0" t="n">
        <v>346257</v>
      </c>
      <c r="C1115" s="0" t="n">
        <v>346277</v>
      </c>
      <c r="D1115" s="0" t="s">
        <v>3725</v>
      </c>
      <c r="E1115" s="0" t="s">
        <v>3726</v>
      </c>
      <c r="F1115" s="0" t="s">
        <v>15</v>
      </c>
      <c r="G1115" s="0" t="s">
        <v>16</v>
      </c>
      <c r="H1115" s="0" t="n">
        <v>66</v>
      </c>
      <c r="I1115" s="0" t="s">
        <v>3733</v>
      </c>
      <c r="J1115" s="0" t="s">
        <v>3734</v>
      </c>
      <c r="K1115" s="0" t="s">
        <v>3735</v>
      </c>
      <c r="L1115" s="0" t="str">
        <f aca="false">HYPERLINK("https://www.ncbi.nlm.nih.gov/nuccore/CP000058.1?report=graph&amp;tracks=[key:gene_model_track,Options:GeneOnly]&amp;mk=346192:346211|offset_0|444444,346214:346233|offset_22|444444,346258:346277|offset_66|00cc00,346279:346298|offset_87|444444&amp;v=345991:346498&amp;c=444444", "offset 66")</f>
        <v>offset 66</v>
      </c>
    </row>
    <row r="1116" customFormat="false" ht="12.8" hidden="false" customHeight="false" outlineLevel="0" collapsed="false">
      <c r="A1116" s="0" t="s">
        <v>12</v>
      </c>
      <c r="B1116" s="0" t="n">
        <v>346278</v>
      </c>
      <c r="C1116" s="0" t="n">
        <v>346298</v>
      </c>
      <c r="D1116" s="0" t="s">
        <v>3725</v>
      </c>
      <c r="E1116" s="0" t="s">
        <v>3726</v>
      </c>
      <c r="F1116" s="0" t="s">
        <v>15</v>
      </c>
      <c r="G1116" s="0" t="s">
        <v>20</v>
      </c>
      <c r="H1116" s="0" t="n">
        <v>87</v>
      </c>
      <c r="I1116" s="0" t="s">
        <v>3736</v>
      </c>
      <c r="J1116" s="0" t="s">
        <v>3737</v>
      </c>
      <c r="K1116" s="0" t="s">
        <v>3738</v>
      </c>
      <c r="L1116" s="0" t="str">
        <f aca="false">HYPERLINK("https://www.ncbi.nlm.nih.gov/nuccore/CP000058.1?report=graph&amp;tracks=[key:gene_model_track,Options:GeneOnly]&amp;mk=346192:346211|offset_0|444444,346214:346233|offset_22|444444,346258:346277|offset_66|444444,346279:346298|offset_87|00cc00&amp;v=345991:346498&amp;c=444444", "offset 87")</f>
        <v>offset 87</v>
      </c>
    </row>
    <row r="1117" customFormat="false" ht="12.8" hidden="false" customHeight="false" outlineLevel="0" collapsed="false">
      <c r="A1117" s="0" t="s">
        <v>12</v>
      </c>
      <c r="B1117" s="0" t="n">
        <v>347530</v>
      </c>
      <c r="C1117" s="0" t="n">
        <v>347550</v>
      </c>
      <c r="D1117" s="0" t="s">
        <v>3739</v>
      </c>
      <c r="E1117" s="0" t="s">
        <v>3740</v>
      </c>
      <c r="F1117" s="0" t="s">
        <v>15</v>
      </c>
      <c r="G1117" s="0" t="s">
        <v>16</v>
      </c>
      <c r="H1117" s="0" t="n">
        <v>8</v>
      </c>
      <c r="I1117" s="0" t="s">
        <v>3741</v>
      </c>
      <c r="J1117" s="0" t="s">
        <v>3742</v>
      </c>
      <c r="K1117" s="0" t="s">
        <v>3743</v>
      </c>
      <c r="L1117" s="0" t="str">
        <f aca="false">HYPERLINK("https://www.ncbi.nlm.nih.gov/nuccore/CP000058.1?report=graph&amp;tracks=[key:gene_model_track,Options:GeneOnly]&amp;mk=347531:347550|offset_8|00cc00,347596:347615|offset_73|444444,347637:347656|offset_114|444444,347664:347683|offset_141|444444&amp;v=347330:347883&amp;c=444444", "offset 8")</f>
        <v>offset 8</v>
      </c>
    </row>
    <row r="1118" customFormat="false" ht="12.8" hidden="false" customHeight="false" outlineLevel="0" collapsed="false">
      <c r="A1118" s="0" t="s">
        <v>12</v>
      </c>
      <c r="B1118" s="0" t="n">
        <v>347595</v>
      </c>
      <c r="C1118" s="0" t="n">
        <v>347615</v>
      </c>
      <c r="D1118" s="0" t="s">
        <v>3739</v>
      </c>
      <c r="E1118" s="0" t="s">
        <v>3740</v>
      </c>
      <c r="F1118" s="0" t="s">
        <v>15</v>
      </c>
      <c r="G1118" s="0" t="s">
        <v>16</v>
      </c>
      <c r="H1118" s="0" t="n">
        <v>73</v>
      </c>
      <c r="I1118" s="0" t="s">
        <v>3744</v>
      </c>
      <c r="J1118" s="0" t="s">
        <v>3745</v>
      </c>
      <c r="K1118" s="0" t="s">
        <v>3746</v>
      </c>
      <c r="L1118" s="0" t="str">
        <f aca="false">HYPERLINK("https://www.ncbi.nlm.nih.gov/nuccore/CP000058.1?report=graph&amp;tracks=[key:gene_model_track,Options:GeneOnly]&amp;mk=347531:347550|offset_8|444444,347596:347615|offset_73|00cc00,347637:347656|offset_114|444444,347664:347683|offset_141|444444&amp;v=347330:347883&amp;c=444444", "offset 73")</f>
        <v>offset 73</v>
      </c>
    </row>
    <row r="1119" customFormat="false" ht="12.8" hidden="false" customHeight="false" outlineLevel="0" collapsed="false">
      <c r="A1119" s="0" t="s">
        <v>12</v>
      </c>
      <c r="B1119" s="0" t="n">
        <v>347636</v>
      </c>
      <c r="C1119" s="0" t="n">
        <v>347656</v>
      </c>
      <c r="D1119" s="0" t="s">
        <v>3739</v>
      </c>
      <c r="E1119" s="0" t="s">
        <v>3740</v>
      </c>
      <c r="F1119" s="0" t="s">
        <v>15</v>
      </c>
      <c r="G1119" s="0" t="s">
        <v>36</v>
      </c>
      <c r="H1119" s="0" t="n">
        <v>114</v>
      </c>
      <c r="I1119" s="0" t="s">
        <v>3747</v>
      </c>
      <c r="J1119" s="0" t="s">
        <v>3748</v>
      </c>
      <c r="K1119" s="0" t="s">
        <v>3749</v>
      </c>
      <c r="L1119" s="0" t="str">
        <f aca="false">HYPERLINK("https://www.ncbi.nlm.nih.gov/nuccore/CP000058.1?report=graph&amp;tracks=[key:gene_model_track,Options:GeneOnly]&amp;mk=347531:347550|offset_8|444444,347596:347615|offset_73|444444,347637:347656|offset_114|00cc00,347664:347683|offset_141|444444&amp;v=347330:347883&amp;c=444444", "offset 114")</f>
        <v>offset 114</v>
      </c>
    </row>
    <row r="1120" customFormat="false" ht="12.8" hidden="false" customHeight="false" outlineLevel="0" collapsed="false">
      <c r="A1120" s="0" t="s">
        <v>12</v>
      </c>
      <c r="B1120" s="0" t="n">
        <v>347663</v>
      </c>
      <c r="C1120" s="0" t="n">
        <v>347683</v>
      </c>
      <c r="D1120" s="0" t="s">
        <v>3739</v>
      </c>
      <c r="E1120" s="0" t="s">
        <v>3740</v>
      </c>
      <c r="F1120" s="0" t="s">
        <v>15</v>
      </c>
      <c r="G1120" s="0" t="s">
        <v>36</v>
      </c>
      <c r="H1120" s="0" t="n">
        <v>141</v>
      </c>
      <c r="I1120" s="0" t="s">
        <v>3750</v>
      </c>
      <c r="J1120" s="0" t="s">
        <v>3751</v>
      </c>
      <c r="K1120" s="0" t="s">
        <v>3752</v>
      </c>
      <c r="L1120" s="0" t="str">
        <f aca="false">HYPERLINK("https://www.ncbi.nlm.nih.gov/nuccore/CP000058.1?report=graph&amp;tracks=[key:gene_model_track,Options:GeneOnly]&amp;mk=347531:347550|offset_8|444444,347596:347615|offset_73|444444,347637:347656|offset_114|444444,347664:347683|offset_141|00cc00&amp;v=347330:347883&amp;c=444444", "offset 141")</f>
        <v>offset 141</v>
      </c>
    </row>
    <row r="1121" customFormat="false" ht="12.8" hidden="false" customHeight="false" outlineLevel="0" collapsed="false">
      <c r="A1121" s="0" t="s">
        <v>12</v>
      </c>
      <c r="B1121" s="0" t="n">
        <v>348762</v>
      </c>
      <c r="C1121" s="0" t="n">
        <v>348782</v>
      </c>
      <c r="D1121" s="0" t="s">
        <v>3753</v>
      </c>
      <c r="E1121" s="0" t="s">
        <v>75</v>
      </c>
      <c r="F1121" s="0" t="s">
        <v>15</v>
      </c>
      <c r="G1121" s="0" t="s">
        <v>32</v>
      </c>
      <c r="H1121" s="0" t="n">
        <v>1</v>
      </c>
      <c r="I1121" s="0" t="s">
        <v>3754</v>
      </c>
      <c r="J1121" s="0" t="s">
        <v>3755</v>
      </c>
      <c r="K1121" s="0" t="s">
        <v>3756</v>
      </c>
      <c r="L1121" s="0" t="str">
        <f aca="false">HYPERLINK("https://www.ncbi.nlm.nih.gov/nuccore/CP000058.1?report=graph&amp;tracks=[key:gene_model_track,Options:GeneOnly]&amp;mk=348763:348782|offset_1|00cc00,348799:348818|offset_37|444444,348873:348892|offset_111|444444,348896:348915|offset_134|444444&amp;v=348562:349115&amp;c=444444", "offset 1")</f>
        <v>offset 1</v>
      </c>
    </row>
    <row r="1122" customFormat="false" ht="12.8" hidden="false" customHeight="false" outlineLevel="0" collapsed="false">
      <c r="A1122" s="0" t="s">
        <v>12</v>
      </c>
      <c r="B1122" s="0" t="n">
        <v>348798</v>
      </c>
      <c r="C1122" s="0" t="n">
        <v>348818</v>
      </c>
      <c r="D1122" s="0" t="s">
        <v>3753</v>
      </c>
      <c r="E1122" s="0" t="s">
        <v>75</v>
      </c>
      <c r="F1122" s="0" t="s">
        <v>15</v>
      </c>
      <c r="G1122" s="0" t="s">
        <v>16</v>
      </c>
      <c r="H1122" s="0" t="n">
        <v>37</v>
      </c>
      <c r="I1122" s="0" t="s">
        <v>3757</v>
      </c>
      <c r="J1122" s="0" t="s">
        <v>3758</v>
      </c>
      <c r="K1122" s="0" t="s">
        <v>3759</v>
      </c>
      <c r="L1122" s="0" t="str">
        <f aca="false">HYPERLINK("https://www.ncbi.nlm.nih.gov/nuccore/CP000058.1?report=graph&amp;tracks=[key:gene_model_track,Options:GeneOnly]&amp;mk=348763:348782|offset_1|444444,348799:348818|offset_37|00cc00,348873:348892|offset_111|444444,348896:348915|offset_134|444444&amp;v=348562:349115&amp;c=444444", "offset 37")</f>
        <v>offset 37</v>
      </c>
    </row>
    <row r="1123" customFormat="false" ht="12.8" hidden="false" customHeight="false" outlineLevel="0" collapsed="false">
      <c r="A1123" s="0" t="s">
        <v>12</v>
      </c>
      <c r="B1123" s="0" t="n">
        <v>348872</v>
      </c>
      <c r="C1123" s="0" t="n">
        <v>348892</v>
      </c>
      <c r="D1123" s="0" t="s">
        <v>3753</v>
      </c>
      <c r="E1123" s="0" t="s">
        <v>75</v>
      </c>
      <c r="F1123" s="0" t="s">
        <v>15</v>
      </c>
      <c r="G1123" s="0" t="s">
        <v>16</v>
      </c>
      <c r="H1123" s="0" t="n">
        <v>111</v>
      </c>
      <c r="I1123" s="0" t="s">
        <v>3760</v>
      </c>
      <c r="J1123" s="0" t="s">
        <v>3761</v>
      </c>
      <c r="K1123" s="0" t="s">
        <v>3762</v>
      </c>
      <c r="L1123" s="0" t="str">
        <f aca="false">HYPERLINK("https://www.ncbi.nlm.nih.gov/nuccore/CP000058.1?report=graph&amp;tracks=[key:gene_model_track,Options:GeneOnly]&amp;mk=348763:348782|offset_1|444444,348799:348818|offset_37|444444,348873:348892|offset_111|00cc00,348896:348915|offset_134|444444&amp;v=348562:349115&amp;c=444444", "offset 111")</f>
        <v>offset 111</v>
      </c>
    </row>
    <row r="1124" customFormat="false" ht="12.8" hidden="false" customHeight="false" outlineLevel="0" collapsed="false">
      <c r="A1124" s="0" t="s">
        <v>12</v>
      </c>
      <c r="B1124" s="0" t="n">
        <v>348895</v>
      </c>
      <c r="C1124" s="0" t="n">
        <v>348915</v>
      </c>
      <c r="D1124" s="0" t="s">
        <v>3753</v>
      </c>
      <c r="E1124" s="0" t="s">
        <v>75</v>
      </c>
      <c r="F1124" s="0" t="s">
        <v>15</v>
      </c>
      <c r="G1124" s="0" t="s">
        <v>32</v>
      </c>
      <c r="H1124" s="0" t="n">
        <v>134</v>
      </c>
      <c r="I1124" s="0" t="s">
        <v>3763</v>
      </c>
      <c r="J1124" s="0" t="s">
        <v>3764</v>
      </c>
      <c r="K1124" s="0" t="s">
        <v>3765</v>
      </c>
      <c r="L1124" s="0" t="str">
        <f aca="false">HYPERLINK("https://www.ncbi.nlm.nih.gov/nuccore/CP000058.1?report=graph&amp;tracks=[key:gene_model_track,Options:GeneOnly]&amp;mk=348763:348782|offset_1|444444,348799:348818|offset_37|444444,348873:348892|offset_111|444444,348896:348915|offset_134|00cc00&amp;v=348562:349115&amp;c=444444", "offset 134")</f>
        <v>offset 134</v>
      </c>
    </row>
    <row r="1125" customFormat="false" ht="12.8" hidden="false" customHeight="false" outlineLevel="0" collapsed="false">
      <c r="A1125" s="0" t="s">
        <v>12</v>
      </c>
      <c r="B1125" s="0" t="n">
        <v>351820</v>
      </c>
      <c r="C1125" s="0" t="n">
        <v>351840</v>
      </c>
      <c r="D1125" s="0" t="s">
        <v>3766</v>
      </c>
      <c r="E1125" s="0" t="s">
        <v>75</v>
      </c>
      <c r="F1125" s="0" t="s">
        <v>15</v>
      </c>
      <c r="G1125" s="0" t="s">
        <v>20</v>
      </c>
      <c r="H1125" s="0" t="n">
        <v>53</v>
      </c>
      <c r="I1125" s="0" t="s">
        <v>3767</v>
      </c>
      <c r="J1125" s="0" t="s">
        <v>3768</v>
      </c>
      <c r="K1125" s="0" t="s">
        <v>3769</v>
      </c>
      <c r="L1125" s="0" t="str">
        <f aca="false">HYPERLINK("https://www.ncbi.nlm.nih.gov/nuccore/CP000058.1?report=graph&amp;tracks=[key:gene_model_track,Options:GeneOnly]&amp;mk=351821:351840|offset_53|00cc00,351856:351875|offset_88|444444,351895:351914|offset_127|444444,351925:351944|offset_157|444444&amp;v=351620:352144&amp;c=444444", "offset 53")</f>
        <v>offset 53</v>
      </c>
    </row>
    <row r="1126" customFormat="false" ht="12.8" hidden="false" customHeight="false" outlineLevel="0" collapsed="false">
      <c r="A1126" s="0" t="s">
        <v>12</v>
      </c>
      <c r="B1126" s="0" t="n">
        <v>351855</v>
      </c>
      <c r="C1126" s="0" t="n">
        <v>351875</v>
      </c>
      <c r="D1126" s="0" t="s">
        <v>3766</v>
      </c>
      <c r="E1126" s="0" t="s">
        <v>75</v>
      </c>
      <c r="F1126" s="0" t="s">
        <v>15</v>
      </c>
      <c r="G1126" s="0" t="s">
        <v>16</v>
      </c>
      <c r="H1126" s="0" t="n">
        <v>88</v>
      </c>
      <c r="I1126" s="0" t="s">
        <v>3770</v>
      </c>
      <c r="J1126" s="0" t="s">
        <v>3771</v>
      </c>
      <c r="K1126" s="0" t="s">
        <v>3772</v>
      </c>
      <c r="L1126" s="0" t="str">
        <f aca="false">HYPERLINK("https://www.ncbi.nlm.nih.gov/nuccore/CP000058.1?report=graph&amp;tracks=[key:gene_model_track,Options:GeneOnly]&amp;mk=351821:351840|offset_53|444444,351856:351875|offset_88|00cc00,351895:351914|offset_127|444444,351925:351944|offset_157|444444&amp;v=351620:352144&amp;c=444444", "offset 88")</f>
        <v>offset 88</v>
      </c>
    </row>
    <row r="1127" customFormat="false" ht="12.8" hidden="false" customHeight="false" outlineLevel="0" collapsed="false">
      <c r="A1127" s="0" t="s">
        <v>12</v>
      </c>
      <c r="B1127" s="0" t="n">
        <v>351894</v>
      </c>
      <c r="C1127" s="0" t="n">
        <v>351914</v>
      </c>
      <c r="D1127" s="0" t="s">
        <v>3766</v>
      </c>
      <c r="E1127" s="0" t="s">
        <v>75</v>
      </c>
      <c r="F1127" s="0" t="s">
        <v>15</v>
      </c>
      <c r="G1127" s="0" t="s">
        <v>32</v>
      </c>
      <c r="H1127" s="0" t="n">
        <v>127</v>
      </c>
      <c r="I1127" s="0" t="s">
        <v>3773</v>
      </c>
      <c r="J1127" s="0" t="s">
        <v>3774</v>
      </c>
      <c r="K1127" s="0" t="s">
        <v>3775</v>
      </c>
      <c r="L1127" s="0" t="str">
        <f aca="false">HYPERLINK("https://www.ncbi.nlm.nih.gov/nuccore/CP000058.1?report=graph&amp;tracks=[key:gene_model_track,Options:GeneOnly]&amp;mk=351821:351840|offset_53|444444,351856:351875|offset_88|444444,351895:351914|offset_127|00cc00,351925:351944|offset_157|444444&amp;v=351620:352144&amp;c=444444", "offset 127")</f>
        <v>offset 127</v>
      </c>
    </row>
    <row r="1128" customFormat="false" ht="12.8" hidden="false" customHeight="false" outlineLevel="0" collapsed="false">
      <c r="A1128" s="0" t="s">
        <v>12</v>
      </c>
      <c r="B1128" s="0" t="n">
        <v>351924</v>
      </c>
      <c r="C1128" s="0" t="n">
        <v>351944</v>
      </c>
      <c r="D1128" s="0" t="s">
        <v>3766</v>
      </c>
      <c r="E1128" s="0" t="s">
        <v>75</v>
      </c>
      <c r="F1128" s="0" t="s">
        <v>15</v>
      </c>
      <c r="G1128" s="0" t="s">
        <v>20</v>
      </c>
      <c r="H1128" s="0" t="n">
        <v>157</v>
      </c>
      <c r="I1128" s="0" t="s">
        <v>3776</v>
      </c>
      <c r="J1128" s="0" t="s">
        <v>3777</v>
      </c>
      <c r="K1128" s="0" t="s">
        <v>3778</v>
      </c>
      <c r="L1128" s="0" t="str">
        <f aca="false">HYPERLINK("https://www.ncbi.nlm.nih.gov/nuccore/CP000058.1?report=graph&amp;tracks=[key:gene_model_track,Options:GeneOnly]&amp;mk=351821:351840|offset_53|444444,351856:351875|offset_88|444444,351895:351914|offset_127|444444,351925:351944|offset_157|00cc00&amp;v=351620:352144&amp;c=444444", "offset 157")</f>
        <v>offset 157</v>
      </c>
    </row>
    <row r="1129" customFormat="false" ht="12.8" hidden="false" customHeight="false" outlineLevel="0" collapsed="false">
      <c r="A1129" s="0" t="s">
        <v>12</v>
      </c>
      <c r="B1129" s="0" t="n">
        <v>353293</v>
      </c>
      <c r="C1129" s="0" t="n">
        <v>353313</v>
      </c>
      <c r="D1129" s="0" t="s">
        <v>3779</v>
      </c>
      <c r="E1129" s="0" t="s">
        <v>75</v>
      </c>
      <c r="F1129" s="0" t="s">
        <v>15</v>
      </c>
      <c r="G1129" s="0" t="s">
        <v>32</v>
      </c>
      <c r="H1129" s="0" t="n">
        <v>1</v>
      </c>
      <c r="I1129" s="0" t="s">
        <v>3780</v>
      </c>
      <c r="J1129" s="0" t="s">
        <v>3781</v>
      </c>
      <c r="K1129" s="0" t="s">
        <v>3782</v>
      </c>
      <c r="L1129" s="0" t="str">
        <f aca="false">HYPERLINK("https://www.ncbi.nlm.nih.gov/nuccore/CP000058.1?report=graph&amp;tracks=[key:gene_model_track,Options:GeneOnly]&amp;mk=353294:353313|offset_1|00cc00,353329:353348|offset_36|444444,353366:353385|offset_73|444444,353386:353405|offset_93|444444&amp;v=353093:353605&amp;c=444444", "offset 1")</f>
        <v>offset 1</v>
      </c>
    </row>
    <row r="1130" customFormat="false" ht="12.8" hidden="false" customHeight="false" outlineLevel="0" collapsed="false">
      <c r="A1130" s="0" t="s">
        <v>12</v>
      </c>
      <c r="B1130" s="0" t="n">
        <v>353328</v>
      </c>
      <c r="C1130" s="0" t="n">
        <v>353348</v>
      </c>
      <c r="D1130" s="0" t="s">
        <v>3779</v>
      </c>
      <c r="E1130" s="0" t="s">
        <v>75</v>
      </c>
      <c r="F1130" s="0" t="s">
        <v>15</v>
      </c>
      <c r="G1130" s="0" t="s">
        <v>32</v>
      </c>
      <c r="H1130" s="0" t="n">
        <v>36</v>
      </c>
      <c r="I1130" s="0" t="s">
        <v>3783</v>
      </c>
      <c r="J1130" s="0" t="s">
        <v>3784</v>
      </c>
      <c r="K1130" s="0" t="s">
        <v>3785</v>
      </c>
      <c r="L1130" s="0" t="str">
        <f aca="false">HYPERLINK("https://www.ncbi.nlm.nih.gov/nuccore/CP000058.1?report=graph&amp;tracks=[key:gene_model_track,Options:GeneOnly]&amp;mk=353294:353313|offset_1|444444,353329:353348|offset_36|00cc00,353366:353385|offset_73|444444,353386:353405|offset_93|444444&amp;v=353093:353605&amp;c=444444", "offset 36")</f>
        <v>offset 36</v>
      </c>
    </row>
    <row r="1131" customFormat="false" ht="12.8" hidden="false" customHeight="false" outlineLevel="0" collapsed="false">
      <c r="A1131" s="0" t="s">
        <v>12</v>
      </c>
      <c r="B1131" s="0" t="n">
        <v>353365</v>
      </c>
      <c r="C1131" s="0" t="n">
        <v>353385</v>
      </c>
      <c r="D1131" s="0" t="s">
        <v>3779</v>
      </c>
      <c r="E1131" s="0" t="s">
        <v>75</v>
      </c>
      <c r="F1131" s="0" t="s">
        <v>15</v>
      </c>
      <c r="G1131" s="0" t="s">
        <v>36</v>
      </c>
      <c r="H1131" s="0" t="n">
        <v>73</v>
      </c>
      <c r="I1131" s="0" t="s">
        <v>3786</v>
      </c>
      <c r="J1131" s="0" t="s">
        <v>3787</v>
      </c>
      <c r="K1131" s="0" t="s">
        <v>3788</v>
      </c>
      <c r="L1131" s="0" t="str">
        <f aca="false">HYPERLINK("https://www.ncbi.nlm.nih.gov/nuccore/CP000058.1?report=graph&amp;tracks=[key:gene_model_track,Options:GeneOnly]&amp;mk=353294:353313|offset_1|444444,353329:353348|offset_36|444444,353366:353385|offset_73|00cc00,353386:353405|offset_93|444444&amp;v=353093:353605&amp;c=444444", "offset 73")</f>
        <v>offset 73</v>
      </c>
    </row>
    <row r="1132" customFormat="false" ht="12.8" hidden="false" customHeight="false" outlineLevel="0" collapsed="false">
      <c r="A1132" s="0" t="s">
        <v>12</v>
      </c>
      <c r="B1132" s="0" t="n">
        <v>353385</v>
      </c>
      <c r="C1132" s="0" t="n">
        <v>353405</v>
      </c>
      <c r="D1132" s="0" t="s">
        <v>3779</v>
      </c>
      <c r="E1132" s="0" t="s">
        <v>75</v>
      </c>
      <c r="F1132" s="0" t="s">
        <v>15</v>
      </c>
      <c r="G1132" s="0" t="s">
        <v>36</v>
      </c>
      <c r="H1132" s="0" t="n">
        <v>93</v>
      </c>
      <c r="I1132" s="0" t="s">
        <v>3789</v>
      </c>
      <c r="J1132" s="0" t="s">
        <v>3790</v>
      </c>
      <c r="K1132" s="0" t="s">
        <v>3791</v>
      </c>
      <c r="L1132" s="0" t="str">
        <f aca="false">HYPERLINK("https://www.ncbi.nlm.nih.gov/nuccore/CP000058.1?report=graph&amp;tracks=[key:gene_model_track,Options:GeneOnly]&amp;mk=353294:353313|offset_1|444444,353329:353348|offset_36|444444,353366:353385|offset_73|444444,353386:353405|offset_93|00cc00&amp;v=353093:353605&amp;c=444444", "offset 93")</f>
        <v>offset 93</v>
      </c>
    </row>
    <row r="1133" customFormat="false" ht="12.8" hidden="false" customHeight="false" outlineLevel="0" collapsed="false">
      <c r="A1133" s="0" t="s">
        <v>12</v>
      </c>
      <c r="B1133" s="0" t="n">
        <v>353962</v>
      </c>
      <c r="C1133" s="0" t="n">
        <v>353982</v>
      </c>
      <c r="D1133" s="0" t="s">
        <v>3792</v>
      </c>
      <c r="E1133" s="0" t="s">
        <v>75</v>
      </c>
      <c r="F1133" s="0" t="s">
        <v>15</v>
      </c>
      <c r="G1133" s="0" t="s">
        <v>20</v>
      </c>
      <c r="H1133" s="0" t="n">
        <v>8</v>
      </c>
      <c r="I1133" s="0" t="s">
        <v>3793</v>
      </c>
      <c r="J1133" s="0" t="s">
        <v>3794</v>
      </c>
      <c r="K1133" s="0" t="s">
        <v>3795</v>
      </c>
      <c r="L1133" s="0" t="str">
        <f aca="false">HYPERLINK("https://www.ncbi.nlm.nih.gov/nuccore/CP000058.1?report=graph&amp;tracks=[key:gene_model_track,Options:GeneOnly]&amp;mk=353963:353982|offset_8|00cc00,353985:354004|offset_30|444444,354017:354036|offset_62|444444,354056:354075|offset_101|444444&amp;v=353762:354275&amp;c=444444", "offset 8")</f>
        <v>offset 8</v>
      </c>
    </row>
    <row r="1134" customFormat="false" ht="12.8" hidden="false" customHeight="false" outlineLevel="0" collapsed="false">
      <c r="A1134" s="0" t="s">
        <v>12</v>
      </c>
      <c r="B1134" s="0" t="n">
        <v>353984</v>
      </c>
      <c r="C1134" s="0" t="n">
        <v>354004</v>
      </c>
      <c r="D1134" s="0" t="s">
        <v>3792</v>
      </c>
      <c r="E1134" s="0" t="s">
        <v>75</v>
      </c>
      <c r="F1134" s="0" t="s">
        <v>15</v>
      </c>
      <c r="G1134" s="0" t="s">
        <v>16</v>
      </c>
      <c r="H1134" s="0" t="n">
        <v>30</v>
      </c>
      <c r="I1134" s="0" t="s">
        <v>3796</v>
      </c>
      <c r="J1134" s="0" t="s">
        <v>3797</v>
      </c>
      <c r="K1134" s="0" t="s">
        <v>3798</v>
      </c>
      <c r="L1134" s="0" t="str">
        <f aca="false">HYPERLINK("https://www.ncbi.nlm.nih.gov/nuccore/CP000058.1?report=graph&amp;tracks=[key:gene_model_track,Options:GeneOnly]&amp;mk=353963:353982|offset_8|444444,353985:354004|offset_30|00cc00,354017:354036|offset_62|444444,354056:354075|offset_101|444444&amp;v=353762:354275&amp;c=444444", "offset 30")</f>
        <v>offset 30</v>
      </c>
    </row>
    <row r="1135" customFormat="false" ht="12.8" hidden="false" customHeight="false" outlineLevel="0" collapsed="false">
      <c r="A1135" s="0" t="s">
        <v>12</v>
      </c>
      <c r="B1135" s="0" t="n">
        <v>354016</v>
      </c>
      <c r="C1135" s="0" t="n">
        <v>354036</v>
      </c>
      <c r="D1135" s="0" t="s">
        <v>3792</v>
      </c>
      <c r="E1135" s="0" t="s">
        <v>75</v>
      </c>
      <c r="F1135" s="0" t="s">
        <v>15</v>
      </c>
      <c r="G1135" s="0" t="s">
        <v>36</v>
      </c>
      <c r="H1135" s="0" t="n">
        <v>62</v>
      </c>
      <c r="I1135" s="0" t="s">
        <v>3799</v>
      </c>
      <c r="J1135" s="0" t="s">
        <v>3800</v>
      </c>
      <c r="K1135" s="0" t="s">
        <v>3801</v>
      </c>
      <c r="L1135" s="0" t="str">
        <f aca="false">HYPERLINK("https://www.ncbi.nlm.nih.gov/nuccore/CP000058.1?report=graph&amp;tracks=[key:gene_model_track,Options:GeneOnly]&amp;mk=353963:353982|offset_8|444444,353985:354004|offset_30|444444,354017:354036|offset_62|00cc00,354056:354075|offset_101|444444&amp;v=353762:354275&amp;c=444444", "offset 62")</f>
        <v>offset 62</v>
      </c>
    </row>
    <row r="1136" customFormat="false" ht="12.8" hidden="false" customHeight="false" outlineLevel="0" collapsed="false">
      <c r="A1136" s="0" t="s">
        <v>12</v>
      </c>
      <c r="B1136" s="0" t="n">
        <v>354055</v>
      </c>
      <c r="C1136" s="0" t="n">
        <v>354075</v>
      </c>
      <c r="D1136" s="0" t="s">
        <v>3792</v>
      </c>
      <c r="E1136" s="0" t="s">
        <v>75</v>
      </c>
      <c r="F1136" s="0" t="s">
        <v>15</v>
      </c>
      <c r="G1136" s="0" t="s">
        <v>36</v>
      </c>
      <c r="H1136" s="0" t="n">
        <v>101</v>
      </c>
      <c r="I1136" s="0" t="s">
        <v>3802</v>
      </c>
      <c r="J1136" s="0" t="s">
        <v>3803</v>
      </c>
      <c r="K1136" s="0" t="s">
        <v>3804</v>
      </c>
      <c r="L1136" s="0" t="str">
        <f aca="false">HYPERLINK("https://www.ncbi.nlm.nih.gov/nuccore/CP000058.1?report=graph&amp;tracks=[key:gene_model_track,Options:GeneOnly]&amp;mk=353963:353982|offset_8|444444,353985:354004|offset_30|444444,354017:354036|offset_62|444444,354056:354075|offset_101|00cc00&amp;v=353762:354275&amp;c=444444", "offset 101")</f>
        <v>offset 101</v>
      </c>
    </row>
    <row r="1137" customFormat="false" ht="12.8" hidden="false" customHeight="false" outlineLevel="0" collapsed="false">
      <c r="A1137" s="0" t="s">
        <v>12</v>
      </c>
      <c r="B1137" s="0" t="n">
        <v>355100</v>
      </c>
      <c r="C1137" s="0" t="n">
        <v>355120</v>
      </c>
      <c r="D1137" s="0" t="s">
        <v>3805</v>
      </c>
      <c r="E1137" s="0" t="s">
        <v>75</v>
      </c>
      <c r="F1137" s="0" t="s">
        <v>15</v>
      </c>
      <c r="G1137" s="0" t="s">
        <v>16</v>
      </c>
      <c r="H1137" s="0" t="n">
        <v>25</v>
      </c>
      <c r="I1137" s="0" t="s">
        <v>3806</v>
      </c>
      <c r="J1137" s="0" t="s">
        <v>3807</v>
      </c>
      <c r="K1137" s="0" t="s">
        <v>3808</v>
      </c>
      <c r="L1137" s="0" t="str">
        <f aca="false">HYPERLINK("https://www.ncbi.nlm.nih.gov/nuccore/CP000058.1?report=graph&amp;tracks=[key:gene_model_track,Options:GeneOnly]&amp;mk=355101:355120|offset_25|00cc00,355129:355148|offset_53|444444,355169:355188|offset_93|444444,355201:355220|offset_125|444444&amp;v=354900:355420&amp;c=444444", "offset 25")</f>
        <v>offset 25</v>
      </c>
    </row>
    <row r="1138" customFormat="false" ht="12.8" hidden="false" customHeight="false" outlineLevel="0" collapsed="false">
      <c r="A1138" s="0" t="s">
        <v>12</v>
      </c>
      <c r="B1138" s="0" t="n">
        <v>355128</v>
      </c>
      <c r="C1138" s="0" t="n">
        <v>355148</v>
      </c>
      <c r="D1138" s="0" t="s">
        <v>3805</v>
      </c>
      <c r="E1138" s="0" t="s">
        <v>75</v>
      </c>
      <c r="F1138" s="0" t="s">
        <v>15</v>
      </c>
      <c r="G1138" s="0" t="s">
        <v>20</v>
      </c>
      <c r="H1138" s="0" t="n">
        <v>53</v>
      </c>
      <c r="I1138" s="0" t="s">
        <v>3809</v>
      </c>
      <c r="J1138" s="0" t="s">
        <v>3810</v>
      </c>
      <c r="K1138" s="0" t="s">
        <v>3811</v>
      </c>
      <c r="L1138" s="0" t="str">
        <f aca="false">HYPERLINK("https://www.ncbi.nlm.nih.gov/nuccore/CP000058.1?report=graph&amp;tracks=[key:gene_model_track,Options:GeneOnly]&amp;mk=355101:355120|offset_25|444444,355129:355148|offset_53|00cc00,355169:355188|offset_93|444444,355201:355220|offset_125|444444&amp;v=354900:355420&amp;c=444444", "offset 53")</f>
        <v>offset 53</v>
      </c>
    </row>
    <row r="1139" customFormat="false" ht="12.8" hidden="false" customHeight="false" outlineLevel="0" collapsed="false">
      <c r="A1139" s="0" t="s">
        <v>12</v>
      </c>
      <c r="B1139" s="0" t="n">
        <v>355168</v>
      </c>
      <c r="C1139" s="0" t="n">
        <v>355188</v>
      </c>
      <c r="D1139" s="0" t="s">
        <v>3805</v>
      </c>
      <c r="E1139" s="0" t="s">
        <v>75</v>
      </c>
      <c r="F1139" s="0" t="s">
        <v>15</v>
      </c>
      <c r="G1139" s="0" t="s">
        <v>36</v>
      </c>
      <c r="H1139" s="0" t="n">
        <v>93</v>
      </c>
      <c r="I1139" s="0" t="s">
        <v>3812</v>
      </c>
      <c r="J1139" s="0" t="s">
        <v>3813</v>
      </c>
      <c r="K1139" s="0" t="s">
        <v>3814</v>
      </c>
      <c r="L1139" s="0" t="str">
        <f aca="false">HYPERLINK("https://www.ncbi.nlm.nih.gov/nuccore/CP000058.1?report=graph&amp;tracks=[key:gene_model_track,Options:GeneOnly]&amp;mk=355101:355120|offset_25|444444,355129:355148|offset_53|444444,355169:355188|offset_93|00cc00,355201:355220|offset_125|444444&amp;v=354900:355420&amp;c=444444", "offset 93")</f>
        <v>offset 93</v>
      </c>
    </row>
    <row r="1140" customFormat="false" ht="12.8" hidden="false" customHeight="false" outlineLevel="0" collapsed="false">
      <c r="A1140" s="0" t="s">
        <v>12</v>
      </c>
      <c r="B1140" s="0" t="n">
        <v>355200</v>
      </c>
      <c r="C1140" s="0" t="n">
        <v>355220</v>
      </c>
      <c r="D1140" s="0" t="s">
        <v>3805</v>
      </c>
      <c r="E1140" s="0" t="s">
        <v>75</v>
      </c>
      <c r="F1140" s="0" t="s">
        <v>15</v>
      </c>
      <c r="G1140" s="0" t="s">
        <v>32</v>
      </c>
      <c r="H1140" s="0" t="n">
        <v>125</v>
      </c>
      <c r="I1140" s="0" t="s">
        <v>3815</v>
      </c>
      <c r="J1140" s="0" t="s">
        <v>3816</v>
      </c>
      <c r="K1140" s="0" t="s">
        <v>3817</v>
      </c>
      <c r="L1140" s="0" t="str">
        <f aca="false">HYPERLINK("https://www.ncbi.nlm.nih.gov/nuccore/CP000058.1?report=graph&amp;tracks=[key:gene_model_track,Options:GeneOnly]&amp;mk=355101:355120|offset_25|444444,355129:355148|offset_53|444444,355169:355188|offset_93|444444,355201:355220|offset_125|00cc00&amp;v=354900:355420&amp;c=444444", "offset 125")</f>
        <v>offset 125</v>
      </c>
    </row>
    <row r="1141" customFormat="false" ht="12.8" hidden="false" customHeight="false" outlineLevel="0" collapsed="false">
      <c r="A1141" s="0" t="s">
        <v>12</v>
      </c>
      <c r="B1141" s="0" t="n">
        <v>357263</v>
      </c>
      <c r="C1141" s="0" t="n">
        <v>357283</v>
      </c>
      <c r="D1141" s="0" t="s">
        <v>3818</v>
      </c>
      <c r="E1141" s="0" t="s">
        <v>75</v>
      </c>
      <c r="F1141" s="0" t="s">
        <v>90</v>
      </c>
      <c r="G1141" s="0" t="s">
        <v>16</v>
      </c>
      <c r="H1141" s="0" t="n">
        <v>0</v>
      </c>
      <c r="I1141" s="0" t="s">
        <v>3819</v>
      </c>
      <c r="J1141" s="0" t="s">
        <v>3820</v>
      </c>
      <c r="K1141" s="0" t="s">
        <v>3821</v>
      </c>
      <c r="L1141" s="0" t="str">
        <f aca="false">HYPERLINK("https://www.ncbi.nlm.nih.gov/nuccore/CP000058.1?report=graph&amp;tracks=[key:gene_model_track,Options:GeneOnly]&amp;mk=357264:357283|offset_0|00cc00,357236:357255|offset_28|444444,357211:357230|offset_53|444444,357186:357205|offset_78|444444&amp;v=357063:357405&amp;c=444444", "offset 0")</f>
        <v>offset 0</v>
      </c>
    </row>
    <row r="1142" customFormat="false" ht="12.8" hidden="false" customHeight="false" outlineLevel="0" collapsed="false">
      <c r="A1142" s="0" t="s">
        <v>12</v>
      </c>
      <c r="B1142" s="0" t="n">
        <v>357235</v>
      </c>
      <c r="C1142" s="0" t="n">
        <v>357255</v>
      </c>
      <c r="D1142" s="0" t="s">
        <v>3818</v>
      </c>
      <c r="E1142" s="0" t="s">
        <v>75</v>
      </c>
      <c r="F1142" s="0" t="s">
        <v>90</v>
      </c>
      <c r="G1142" s="0" t="s">
        <v>16</v>
      </c>
      <c r="H1142" s="0" t="n">
        <v>28</v>
      </c>
      <c r="I1142" s="0" t="s">
        <v>3822</v>
      </c>
      <c r="J1142" s="0" t="s">
        <v>3823</v>
      </c>
      <c r="K1142" s="0" t="s">
        <v>3824</v>
      </c>
      <c r="L1142" s="0" t="str">
        <f aca="false">HYPERLINK("https://www.ncbi.nlm.nih.gov/nuccore/CP000058.1?report=graph&amp;tracks=[key:gene_model_track,Options:GeneOnly]&amp;mk=357264:357283|offset_0|444444,357236:357255|offset_28|00cc00,357211:357230|offset_53|444444,357186:357205|offset_78|444444&amp;v=357063:357405&amp;c=444444", "offset 28")</f>
        <v>offset 28</v>
      </c>
    </row>
    <row r="1143" customFormat="false" ht="12.8" hidden="false" customHeight="false" outlineLevel="0" collapsed="false">
      <c r="A1143" s="0" t="s">
        <v>12</v>
      </c>
      <c r="B1143" s="0" t="n">
        <v>357210</v>
      </c>
      <c r="C1143" s="0" t="n">
        <v>357230</v>
      </c>
      <c r="D1143" s="0" t="s">
        <v>3818</v>
      </c>
      <c r="E1143" s="0" t="s">
        <v>75</v>
      </c>
      <c r="F1143" s="0" t="s">
        <v>90</v>
      </c>
      <c r="G1143" s="0" t="s">
        <v>20</v>
      </c>
      <c r="H1143" s="0" t="n">
        <v>53</v>
      </c>
      <c r="I1143" s="0" t="s">
        <v>3825</v>
      </c>
      <c r="J1143" s="0" t="s">
        <v>3826</v>
      </c>
      <c r="K1143" s="0" t="s">
        <v>3827</v>
      </c>
      <c r="L1143" s="0" t="str">
        <f aca="false">HYPERLINK("https://www.ncbi.nlm.nih.gov/nuccore/CP000058.1?report=graph&amp;tracks=[key:gene_model_track,Options:GeneOnly]&amp;mk=357264:357283|offset_0|444444,357236:357255|offset_28|444444,357211:357230|offset_53|00cc00,357186:357205|offset_78|444444&amp;v=357063:357405&amp;c=444444", "offset 53")</f>
        <v>offset 53</v>
      </c>
    </row>
    <row r="1144" customFormat="false" ht="12.8" hidden="false" customHeight="false" outlineLevel="0" collapsed="false">
      <c r="A1144" s="0" t="s">
        <v>12</v>
      </c>
      <c r="B1144" s="0" t="n">
        <v>357185</v>
      </c>
      <c r="C1144" s="0" t="n">
        <v>357205</v>
      </c>
      <c r="D1144" s="0" t="s">
        <v>3818</v>
      </c>
      <c r="E1144" s="0" t="s">
        <v>75</v>
      </c>
      <c r="F1144" s="0" t="s">
        <v>90</v>
      </c>
      <c r="G1144" s="0" t="s">
        <v>32</v>
      </c>
      <c r="H1144" s="0" t="n">
        <v>78</v>
      </c>
      <c r="I1144" s="0" t="s">
        <v>3828</v>
      </c>
      <c r="J1144" s="0" t="s">
        <v>3829</v>
      </c>
      <c r="K1144" s="0" t="s">
        <v>3830</v>
      </c>
      <c r="L1144" s="0" t="str">
        <f aca="false">HYPERLINK("https://www.ncbi.nlm.nih.gov/nuccore/CP000058.1?report=graph&amp;tracks=[key:gene_model_track,Options:GeneOnly]&amp;mk=357264:357283|offset_0|444444,357236:357255|offset_28|444444,357211:357230|offset_53|444444,357186:357205|offset_78|00cc00&amp;v=357063:357405&amp;c=444444", "offset 78")</f>
        <v>offset 78</v>
      </c>
    </row>
    <row r="1145" customFormat="false" ht="12.8" hidden="false" customHeight="false" outlineLevel="0" collapsed="false">
      <c r="A1145" s="0" t="s">
        <v>12</v>
      </c>
      <c r="B1145" s="0" t="n">
        <v>357416</v>
      </c>
      <c r="C1145" s="0" t="n">
        <v>357436</v>
      </c>
      <c r="D1145" s="0" t="s">
        <v>3831</v>
      </c>
      <c r="E1145" s="0" t="s">
        <v>75</v>
      </c>
      <c r="F1145" s="0" t="s">
        <v>15</v>
      </c>
      <c r="G1145" s="0" t="s">
        <v>20</v>
      </c>
      <c r="H1145" s="0" t="n">
        <v>17</v>
      </c>
      <c r="I1145" s="0" t="s">
        <v>3832</v>
      </c>
      <c r="J1145" s="0" t="s">
        <v>3833</v>
      </c>
      <c r="K1145" s="0" t="s">
        <v>3834</v>
      </c>
      <c r="L1145" s="0" t="str">
        <f aca="false">HYPERLINK("https://www.ncbi.nlm.nih.gov/nuccore/CP000058.1?report=graph&amp;tracks=[key:gene_model_track,Options:GeneOnly]&amp;mk=357417:357436|offset_17|00cc00,357441:357460|offset_41|444444,357465:357484|offset_65|444444,357495:357514|offset_95|444444&amp;v=357216:357714&amp;c=444444", "offset 17")</f>
        <v>offset 17</v>
      </c>
    </row>
    <row r="1146" customFormat="false" ht="12.8" hidden="false" customHeight="false" outlineLevel="0" collapsed="false">
      <c r="A1146" s="0" t="s">
        <v>12</v>
      </c>
      <c r="B1146" s="0" t="n">
        <v>357440</v>
      </c>
      <c r="C1146" s="0" t="n">
        <v>357460</v>
      </c>
      <c r="D1146" s="0" t="s">
        <v>3831</v>
      </c>
      <c r="E1146" s="0" t="s">
        <v>75</v>
      </c>
      <c r="F1146" s="0" t="s">
        <v>15</v>
      </c>
      <c r="G1146" s="0" t="s">
        <v>20</v>
      </c>
      <c r="H1146" s="0" t="n">
        <v>41</v>
      </c>
      <c r="I1146" s="0" t="s">
        <v>3835</v>
      </c>
      <c r="J1146" s="0" t="s">
        <v>3836</v>
      </c>
      <c r="K1146" s="0" t="s">
        <v>3837</v>
      </c>
      <c r="L1146" s="0" t="str">
        <f aca="false">HYPERLINK("https://www.ncbi.nlm.nih.gov/nuccore/CP000058.1?report=graph&amp;tracks=[key:gene_model_track,Options:GeneOnly]&amp;mk=357417:357436|offset_17|444444,357441:357460|offset_41|00cc00,357465:357484|offset_65|444444,357495:357514|offset_95|444444&amp;v=357216:357714&amp;c=444444", "offset 41")</f>
        <v>offset 41</v>
      </c>
    </row>
    <row r="1147" customFormat="false" ht="12.8" hidden="false" customHeight="false" outlineLevel="0" collapsed="false">
      <c r="A1147" s="0" t="s">
        <v>12</v>
      </c>
      <c r="B1147" s="0" t="n">
        <v>357464</v>
      </c>
      <c r="C1147" s="0" t="n">
        <v>357484</v>
      </c>
      <c r="D1147" s="0" t="s">
        <v>3831</v>
      </c>
      <c r="E1147" s="0" t="s">
        <v>75</v>
      </c>
      <c r="F1147" s="0" t="s">
        <v>15</v>
      </c>
      <c r="G1147" s="0" t="s">
        <v>20</v>
      </c>
      <c r="H1147" s="0" t="n">
        <v>65</v>
      </c>
      <c r="I1147" s="0" t="s">
        <v>3838</v>
      </c>
      <c r="J1147" s="0" t="s">
        <v>3839</v>
      </c>
      <c r="K1147" s="0" t="s">
        <v>3840</v>
      </c>
      <c r="L1147" s="0" t="str">
        <f aca="false">HYPERLINK("https://www.ncbi.nlm.nih.gov/nuccore/CP000058.1?report=graph&amp;tracks=[key:gene_model_track,Options:GeneOnly]&amp;mk=357417:357436|offset_17|444444,357441:357460|offset_41|444444,357465:357484|offset_65|00cc00,357495:357514|offset_95|444444&amp;v=357216:357714&amp;c=444444", "offset 65")</f>
        <v>offset 65</v>
      </c>
    </row>
    <row r="1148" customFormat="false" ht="12.8" hidden="false" customHeight="false" outlineLevel="0" collapsed="false">
      <c r="A1148" s="0" t="s">
        <v>12</v>
      </c>
      <c r="B1148" s="0" t="n">
        <v>357494</v>
      </c>
      <c r="C1148" s="0" t="n">
        <v>357514</v>
      </c>
      <c r="D1148" s="0" t="s">
        <v>3831</v>
      </c>
      <c r="E1148" s="0" t="s">
        <v>75</v>
      </c>
      <c r="F1148" s="0" t="s">
        <v>15</v>
      </c>
      <c r="G1148" s="0" t="s">
        <v>32</v>
      </c>
      <c r="H1148" s="0" t="n">
        <v>95</v>
      </c>
      <c r="I1148" s="0" t="s">
        <v>3841</v>
      </c>
      <c r="J1148" s="0" t="s">
        <v>3842</v>
      </c>
      <c r="K1148" s="0" t="s">
        <v>3843</v>
      </c>
      <c r="L1148" s="0" t="str">
        <f aca="false">HYPERLINK("https://www.ncbi.nlm.nih.gov/nuccore/CP000058.1?report=graph&amp;tracks=[key:gene_model_track,Options:GeneOnly]&amp;mk=357417:357436|offset_17|444444,357441:357460|offset_41|444444,357465:357484|offset_65|444444,357495:357514|offset_95|00cc00&amp;v=357216:357714&amp;c=444444", "offset 95")</f>
        <v>offset 95</v>
      </c>
    </row>
    <row r="1149" customFormat="false" ht="12.8" hidden="false" customHeight="false" outlineLevel="0" collapsed="false">
      <c r="A1149" s="0" t="s">
        <v>12</v>
      </c>
      <c r="B1149" s="0" t="n">
        <v>359303</v>
      </c>
      <c r="C1149" s="0" t="n">
        <v>359323</v>
      </c>
      <c r="D1149" s="0" t="s">
        <v>3844</v>
      </c>
      <c r="E1149" s="0" t="s">
        <v>75</v>
      </c>
      <c r="F1149" s="0" t="s">
        <v>90</v>
      </c>
      <c r="G1149" s="0" t="s">
        <v>36</v>
      </c>
      <c r="H1149" s="0" t="n">
        <v>41</v>
      </c>
      <c r="I1149" s="0" t="s">
        <v>3845</v>
      </c>
      <c r="J1149" s="0" t="s">
        <v>3846</v>
      </c>
      <c r="K1149" s="0" t="s">
        <v>3847</v>
      </c>
      <c r="L1149" s="0" t="str">
        <f aca="false">HYPERLINK("https://www.ncbi.nlm.nih.gov/nuccore/CP000058.1?report=graph&amp;tracks=[key:gene_model_track,Options:GeneOnly]&amp;mk=359304:359323|offset_41|00cc00,359279:359298|offset_66|444444,359243:359262|offset_102|444444,359169:359188|offset_176|444444&amp;v=359103:359388&amp;c=444444", "offset 41")</f>
        <v>offset 41</v>
      </c>
    </row>
    <row r="1150" customFormat="false" ht="12.8" hidden="false" customHeight="false" outlineLevel="0" collapsed="false">
      <c r="A1150" s="0" t="s">
        <v>12</v>
      </c>
      <c r="B1150" s="0" t="n">
        <v>359278</v>
      </c>
      <c r="C1150" s="0" t="n">
        <v>359298</v>
      </c>
      <c r="D1150" s="0" t="s">
        <v>3844</v>
      </c>
      <c r="E1150" s="0" t="s">
        <v>75</v>
      </c>
      <c r="F1150" s="0" t="s">
        <v>90</v>
      </c>
      <c r="G1150" s="0" t="s">
        <v>32</v>
      </c>
      <c r="H1150" s="0" t="n">
        <v>66</v>
      </c>
      <c r="I1150" s="0" t="s">
        <v>3848</v>
      </c>
      <c r="J1150" s="0" t="s">
        <v>3849</v>
      </c>
      <c r="K1150" s="0" t="s">
        <v>3850</v>
      </c>
      <c r="L1150" s="0" t="str">
        <f aca="false">HYPERLINK("https://www.ncbi.nlm.nih.gov/nuccore/CP000058.1?report=graph&amp;tracks=[key:gene_model_track,Options:GeneOnly]&amp;mk=359304:359323|offset_41|444444,359279:359298|offset_66|00cc00,359243:359262|offset_102|444444,359169:359188|offset_176|444444&amp;v=359103:359388&amp;c=444444", "offset 66")</f>
        <v>offset 66</v>
      </c>
    </row>
    <row r="1151" customFormat="false" ht="12.8" hidden="false" customHeight="false" outlineLevel="0" collapsed="false">
      <c r="A1151" s="0" t="s">
        <v>12</v>
      </c>
      <c r="B1151" s="0" t="n">
        <v>359242</v>
      </c>
      <c r="C1151" s="0" t="n">
        <v>359262</v>
      </c>
      <c r="D1151" s="0" t="s">
        <v>3844</v>
      </c>
      <c r="E1151" s="0" t="s">
        <v>75</v>
      </c>
      <c r="F1151" s="0" t="s">
        <v>90</v>
      </c>
      <c r="G1151" s="0" t="s">
        <v>16</v>
      </c>
      <c r="H1151" s="0" t="n">
        <v>102</v>
      </c>
      <c r="I1151" s="0" t="s">
        <v>3851</v>
      </c>
      <c r="J1151" s="0" t="s">
        <v>3852</v>
      </c>
      <c r="K1151" s="0" t="s">
        <v>3853</v>
      </c>
      <c r="L1151" s="0" t="str">
        <f aca="false">HYPERLINK("https://www.ncbi.nlm.nih.gov/nuccore/CP000058.1?report=graph&amp;tracks=[key:gene_model_track,Options:GeneOnly]&amp;mk=359304:359323|offset_41|444444,359279:359298|offset_66|444444,359243:359262|offset_102|00cc00,359169:359188|offset_176|444444&amp;v=359103:359388&amp;c=444444", "offset 102")</f>
        <v>offset 102</v>
      </c>
    </row>
    <row r="1152" customFormat="false" ht="12.8" hidden="false" customHeight="false" outlineLevel="0" collapsed="false">
      <c r="A1152" s="0" t="s">
        <v>12</v>
      </c>
      <c r="B1152" s="0" t="n">
        <v>359168</v>
      </c>
      <c r="C1152" s="0" t="n">
        <v>359188</v>
      </c>
      <c r="D1152" s="0" t="s">
        <v>3844</v>
      </c>
      <c r="E1152" s="0" t="s">
        <v>75</v>
      </c>
      <c r="F1152" s="0" t="s">
        <v>90</v>
      </c>
      <c r="G1152" s="0" t="s">
        <v>36</v>
      </c>
      <c r="H1152" s="0" t="n">
        <v>176</v>
      </c>
      <c r="I1152" s="0" t="s">
        <v>3854</v>
      </c>
      <c r="J1152" s="0" t="s">
        <v>3855</v>
      </c>
      <c r="K1152" s="0" t="s">
        <v>3856</v>
      </c>
      <c r="L1152" s="0" t="str">
        <f aca="false">HYPERLINK("https://www.ncbi.nlm.nih.gov/nuccore/CP000058.1?report=graph&amp;tracks=[key:gene_model_track,Options:GeneOnly]&amp;mk=359304:359323|offset_41|444444,359279:359298|offset_66|444444,359243:359262|offset_102|444444,359169:359188|offset_176|00cc00&amp;v=359103:359388&amp;c=444444", "offset 176")</f>
        <v>offset 176</v>
      </c>
    </row>
    <row r="1153" customFormat="false" ht="12.8" hidden="false" customHeight="false" outlineLevel="0" collapsed="false">
      <c r="A1153" s="0" t="s">
        <v>12</v>
      </c>
      <c r="B1153" s="0" t="n">
        <v>359990</v>
      </c>
      <c r="C1153" s="0" t="n">
        <v>360010</v>
      </c>
      <c r="D1153" s="0" t="s">
        <v>3857</v>
      </c>
      <c r="E1153" s="0" t="s">
        <v>75</v>
      </c>
      <c r="F1153" s="0" t="s">
        <v>90</v>
      </c>
      <c r="G1153" s="0" t="s">
        <v>20</v>
      </c>
      <c r="H1153" s="0" t="n">
        <v>62</v>
      </c>
      <c r="I1153" s="0" t="s">
        <v>3858</v>
      </c>
      <c r="J1153" s="0" t="s">
        <v>3859</v>
      </c>
      <c r="K1153" s="0" t="s">
        <v>3860</v>
      </c>
      <c r="L1153" s="0" t="str">
        <f aca="false">HYPERLINK("https://www.ncbi.nlm.nih.gov/nuccore/CP000058.1?report=graph&amp;tracks=[key:gene_model_track,Options:GeneOnly]&amp;mk=359991:360010|offset_62|00cc00,359951:359970|offset_102|444444,359916:359935|offset_137|444444,359859:359878|offset_194|444444&amp;v=359790:360078&amp;c=444444", "offset 62")</f>
        <v>offset 62</v>
      </c>
    </row>
    <row r="1154" customFormat="false" ht="12.8" hidden="false" customHeight="false" outlineLevel="0" collapsed="false">
      <c r="A1154" s="0" t="s">
        <v>12</v>
      </c>
      <c r="B1154" s="0" t="n">
        <v>359950</v>
      </c>
      <c r="C1154" s="0" t="n">
        <v>359970</v>
      </c>
      <c r="D1154" s="0" t="s">
        <v>3857</v>
      </c>
      <c r="E1154" s="0" t="s">
        <v>75</v>
      </c>
      <c r="F1154" s="0" t="s">
        <v>90</v>
      </c>
      <c r="G1154" s="0" t="s">
        <v>32</v>
      </c>
      <c r="H1154" s="0" t="n">
        <v>102</v>
      </c>
      <c r="I1154" s="0" t="s">
        <v>3861</v>
      </c>
      <c r="J1154" s="0" t="s">
        <v>3862</v>
      </c>
      <c r="K1154" s="0" t="s">
        <v>3863</v>
      </c>
      <c r="L1154" s="0" t="str">
        <f aca="false">HYPERLINK("https://www.ncbi.nlm.nih.gov/nuccore/CP000058.1?report=graph&amp;tracks=[key:gene_model_track,Options:GeneOnly]&amp;mk=359991:360010|offset_62|444444,359951:359970|offset_102|00cc00,359916:359935|offset_137|444444,359859:359878|offset_194|444444&amp;v=359790:360078&amp;c=444444", "offset 102")</f>
        <v>offset 102</v>
      </c>
    </row>
    <row r="1155" customFormat="false" ht="12.8" hidden="false" customHeight="false" outlineLevel="0" collapsed="false">
      <c r="A1155" s="0" t="s">
        <v>12</v>
      </c>
      <c r="B1155" s="0" t="n">
        <v>359915</v>
      </c>
      <c r="C1155" s="0" t="n">
        <v>359935</v>
      </c>
      <c r="D1155" s="0" t="s">
        <v>3857</v>
      </c>
      <c r="E1155" s="0" t="s">
        <v>75</v>
      </c>
      <c r="F1155" s="0" t="s">
        <v>90</v>
      </c>
      <c r="G1155" s="0" t="s">
        <v>36</v>
      </c>
      <c r="H1155" s="0" t="n">
        <v>137</v>
      </c>
      <c r="I1155" s="0" t="s">
        <v>3864</v>
      </c>
      <c r="J1155" s="0" t="s">
        <v>3865</v>
      </c>
      <c r="K1155" s="0" t="s">
        <v>3866</v>
      </c>
      <c r="L1155" s="0" t="str">
        <f aca="false">HYPERLINK("https://www.ncbi.nlm.nih.gov/nuccore/CP000058.1?report=graph&amp;tracks=[key:gene_model_track,Options:GeneOnly]&amp;mk=359991:360010|offset_62|444444,359951:359970|offset_102|444444,359916:359935|offset_137|00cc00,359859:359878|offset_194|444444&amp;v=359790:360078&amp;c=444444", "offset 137")</f>
        <v>offset 137</v>
      </c>
    </row>
    <row r="1156" customFormat="false" ht="12.8" hidden="false" customHeight="false" outlineLevel="0" collapsed="false">
      <c r="A1156" s="0" t="s">
        <v>12</v>
      </c>
      <c r="B1156" s="0" t="n">
        <v>359858</v>
      </c>
      <c r="C1156" s="0" t="n">
        <v>359878</v>
      </c>
      <c r="D1156" s="0" t="s">
        <v>3857</v>
      </c>
      <c r="E1156" s="0" t="s">
        <v>75</v>
      </c>
      <c r="F1156" s="0" t="s">
        <v>90</v>
      </c>
      <c r="G1156" s="0" t="s">
        <v>20</v>
      </c>
      <c r="H1156" s="0" t="n">
        <v>194</v>
      </c>
      <c r="I1156" s="0" t="s">
        <v>3867</v>
      </c>
      <c r="J1156" s="0" t="s">
        <v>3868</v>
      </c>
      <c r="K1156" s="0" t="s">
        <v>3869</v>
      </c>
      <c r="L1156" s="0" t="str">
        <f aca="false">HYPERLINK("https://www.ncbi.nlm.nih.gov/nuccore/CP000058.1?report=graph&amp;tracks=[key:gene_model_track,Options:GeneOnly]&amp;mk=359991:360010|offset_62|444444,359951:359970|offset_102|444444,359916:359935|offset_137|444444,359859:359878|offset_194|00cc00&amp;v=359790:360078&amp;c=444444", "offset 194")</f>
        <v>offset 194</v>
      </c>
    </row>
    <row r="1157" customFormat="false" ht="12.8" hidden="false" customHeight="false" outlineLevel="0" collapsed="false">
      <c r="A1157" s="0" t="s">
        <v>12</v>
      </c>
      <c r="B1157" s="0" t="n">
        <v>361385</v>
      </c>
      <c r="C1157" s="0" t="n">
        <v>361405</v>
      </c>
      <c r="D1157" s="0" t="s">
        <v>3870</v>
      </c>
      <c r="E1157" s="0" t="s">
        <v>75</v>
      </c>
      <c r="F1157" s="0" t="s">
        <v>90</v>
      </c>
      <c r="G1157" s="0" t="s">
        <v>16</v>
      </c>
      <c r="H1157" s="0" t="n">
        <v>6</v>
      </c>
      <c r="I1157" s="0" t="s">
        <v>3871</v>
      </c>
      <c r="J1157" s="0" t="s">
        <v>3872</v>
      </c>
      <c r="K1157" s="0" t="s">
        <v>3873</v>
      </c>
      <c r="L1157" s="0" t="str">
        <f aca="false">HYPERLINK("https://www.ncbi.nlm.nih.gov/nuccore/CP000058.1?report=graph&amp;tracks=[key:gene_model_track,Options:GeneOnly]&amp;mk=361386:361405|offset_6|00cc00,361336:361355|offset_56|444444,361310:361329|offset_82|444444,361281:361300|offset_111|444444&amp;v=361185:361500&amp;c=444444", "offset 6")</f>
        <v>offset 6</v>
      </c>
    </row>
    <row r="1158" customFormat="false" ht="12.8" hidden="false" customHeight="false" outlineLevel="0" collapsed="false">
      <c r="A1158" s="0" t="s">
        <v>12</v>
      </c>
      <c r="B1158" s="0" t="n">
        <v>361335</v>
      </c>
      <c r="C1158" s="0" t="n">
        <v>361355</v>
      </c>
      <c r="D1158" s="0" t="s">
        <v>3870</v>
      </c>
      <c r="E1158" s="0" t="s">
        <v>75</v>
      </c>
      <c r="F1158" s="0" t="s">
        <v>90</v>
      </c>
      <c r="G1158" s="0" t="s">
        <v>16</v>
      </c>
      <c r="H1158" s="0" t="n">
        <v>56</v>
      </c>
      <c r="I1158" s="0" t="s">
        <v>3874</v>
      </c>
      <c r="J1158" s="0" t="s">
        <v>3875</v>
      </c>
      <c r="K1158" s="0" t="s">
        <v>3876</v>
      </c>
      <c r="L1158" s="0" t="str">
        <f aca="false">HYPERLINK("https://www.ncbi.nlm.nih.gov/nuccore/CP000058.1?report=graph&amp;tracks=[key:gene_model_track,Options:GeneOnly]&amp;mk=361386:361405|offset_6|444444,361336:361355|offset_56|00cc00,361310:361329|offset_82|444444,361281:361300|offset_111|444444&amp;v=361185:361500&amp;c=444444", "offset 56")</f>
        <v>offset 56</v>
      </c>
    </row>
    <row r="1159" customFormat="false" ht="12.8" hidden="false" customHeight="false" outlineLevel="0" collapsed="false">
      <c r="A1159" s="0" t="s">
        <v>12</v>
      </c>
      <c r="B1159" s="0" t="n">
        <v>361309</v>
      </c>
      <c r="C1159" s="0" t="n">
        <v>361329</v>
      </c>
      <c r="D1159" s="0" t="s">
        <v>3870</v>
      </c>
      <c r="E1159" s="0" t="s">
        <v>75</v>
      </c>
      <c r="F1159" s="0" t="s">
        <v>90</v>
      </c>
      <c r="G1159" s="0" t="s">
        <v>32</v>
      </c>
      <c r="H1159" s="0" t="n">
        <v>82</v>
      </c>
      <c r="I1159" s="0" t="s">
        <v>3877</v>
      </c>
      <c r="J1159" s="0" t="s">
        <v>3878</v>
      </c>
      <c r="K1159" s="0" t="s">
        <v>3879</v>
      </c>
      <c r="L1159" s="0" t="str">
        <f aca="false">HYPERLINK("https://www.ncbi.nlm.nih.gov/nuccore/CP000058.1?report=graph&amp;tracks=[key:gene_model_track,Options:GeneOnly]&amp;mk=361386:361405|offset_6|444444,361336:361355|offset_56|444444,361310:361329|offset_82|00cc00,361281:361300|offset_111|444444&amp;v=361185:361500&amp;c=444444", "offset 82")</f>
        <v>offset 82</v>
      </c>
    </row>
    <row r="1160" customFormat="false" ht="12.8" hidden="false" customHeight="false" outlineLevel="0" collapsed="false">
      <c r="A1160" s="0" t="s">
        <v>12</v>
      </c>
      <c r="B1160" s="0" t="n">
        <v>361280</v>
      </c>
      <c r="C1160" s="0" t="n">
        <v>361300</v>
      </c>
      <c r="D1160" s="0" t="s">
        <v>3870</v>
      </c>
      <c r="E1160" s="0" t="s">
        <v>75</v>
      </c>
      <c r="F1160" s="0" t="s">
        <v>90</v>
      </c>
      <c r="G1160" s="0" t="s">
        <v>16</v>
      </c>
      <c r="H1160" s="0" t="n">
        <v>111</v>
      </c>
      <c r="I1160" s="0" t="s">
        <v>3880</v>
      </c>
      <c r="J1160" s="0" t="s">
        <v>3881</v>
      </c>
      <c r="K1160" s="0" t="s">
        <v>3882</v>
      </c>
      <c r="L1160" s="0" t="str">
        <f aca="false">HYPERLINK("https://www.ncbi.nlm.nih.gov/nuccore/CP000058.1?report=graph&amp;tracks=[key:gene_model_track,Options:GeneOnly]&amp;mk=361386:361405|offset_6|444444,361336:361355|offset_56|444444,361310:361329|offset_82|444444,361281:361300|offset_111|00cc00&amp;v=361185:361500&amp;c=444444", "offset 111")</f>
        <v>offset 111</v>
      </c>
    </row>
    <row r="1161" customFormat="false" ht="12.8" hidden="false" customHeight="false" outlineLevel="0" collapsed="false">
      <c r="A1161" s="0" t="s">
        <v>12</v>
      </c>
      <c r="B1161" s="0" t="n">
        <v>364649</v>
      </c>
      <c r="C1161" s="0" t="n">
        <v>364669</v>
      </c>
      <c r="D1161" s="0" t="s">
        <v>3883</v>
      </c>
      <c r="E1161" s="0" t="s">
        <v>75</v>
      </c>
      <c r="F1161" s="0" t="s">
        <v>90</v>
      </c>
      <c r="G1161" s="0" t="s">
        <v>32</v>
      </c>
      <c r="H1161" s="0" t="n">
        <v>1</v>
      </c>
      <c r="I1161" s="0" t="s">
        <v>3884</v>
      </c>
      <c r="J1161" s="0" t="s">
        <v>3885</v>
      </c>
      <c r="K1161" s="0" t="s">
        <v>3886</v>
      </c>
      <c r="L1161" s="0" t="str">
        <f aca="false">HYPERLINK("https://www.ncbi.nlm.nih.gov/nuccore/CP000058.1?report=graph&amp;tracks=[key:gene_model_track,Options:GeneOnly]&amp;mk=364650:364669|offset_1|00cc00,364626:364645|offset_25|444444,364565:364584|offset_86|444444,364524:364543|offset_127|444444&amp;v=364449:364743&amp;c=444444", "offset 1")</f>
        <v>offset 1</v>
      </c>
    </row>
    <row r="1162" customFormat="false" ht="12.8" hidden="false" customHeight="false" outlineLevel="0" collapsed="false">
      <c r="A1162" s="0" t="s">
        <v>12</v>
      </c>
      <c r="B1162" s="0" t="n">
        <v>364625</v>
      </c>
      <c r="C1162" s="0" t="n">
        <v>364645</v>
      </c>
      <c r="D1162" s="0" t="s">
        <v>3883</v>
      </c>
      <c r="E1162" s="0" t="s">
        <v>75</v>
      </c>
      <c r="F1162" s="0" t="s">
        <v>90</v>
      </c>
      <c r="G1162" s="0" t="s">
        <v>36</v>
      </c>
      <c r="H1162" s="0" t="n">
        <v>25</v>
      </c>
      <c r="I1162" s="0" t="s">
        <v>3887</v>
      </c>
      <c r="J1162" s="0" t="s">
        <v>3888</v>
      </c>
      <c r="K1162" s="0" t="s">
        <v>3889</v>
      </c>
      <c r="L1162" s="0" t="str">
        <f aca="false">HYPERLINK("https://www.ncbi.nlm.nih.gov/nuccore/CP000058.1?report=graph&amp;tracks=[key:gene_model_track,Options:GeneOnly]&amp;mk=364650:364669|offset_1|444444,364626:364645|offset_25|00cc00,364565:364584|offset_86|444444,364524:364543|offset_127|444444&amp;v=364449:364743&amp;c=444444", "offset 25")</f>
        <v>offset 25</v>
      </c>
    </row>
    <row r="1163" customFormat="false" ht="12.8" hidden="false" customHeight="false" outlineLevel="0" collapsed="false">
      <c r="A1163" s="0" t="s">
        <v>12</v>
      </c>
      <c r="B1163" s="0" t="n">
        <v>364564</v>
      </c>
      <c r="C1163" s="0" t="n">
        <v>364584</v>
      </c>
      <c r="D1163" s="0" t="s">
        <v>3883</v>
      </c>
      <c r="E1163" s="0" t="s">
        <v>75</v>
      </c>
      <c r="F1163" s="0" t="s">
        <v>90</v>
      </c>
      <c r="G1163" s="0" t="s">
        <v>16</v>
      </c>
      <c r="H1163" s="0" t="n">
        <v>86</v>
      </c>
      <c r="I1163" s="0" t="s">
        <v>3890</v>
      </c>
      <c r="J1163" s="0" t="s">
        <v>3891</v>
      </c>
      <c r="K1163" s="0" t="s">
        <v>3892</v>
      </c>
      <c r="L1163" s="0" t="str">
        <f aca="false">HYPERLINK("https://www.ncbi.nlm.nih.gov/nuccore/CP000058.1?report=graph&amp;tracks=[key:gene_model_track,Options:GeneOnly]&amp;mk=364650:364669|offset_1|444444,364626:364645|offset_25|444444,364565:364584|offset_86|00cc00,364524:364543|offset_127|444444&amp;v=364449:364743&amp;c=444444", "offset 86")</f>
        <v>offset 86</v>
      </c>
    </row>
    <row r="1164" customFormat="false" ht="12.8" hidden="false" customHeight="false" outlineLevel="0" collapsed="false">
      <c r="A1164" s="0" t="s">
        <v>12</v>
      </c>
      <c r="B1164" s="0" t="n">
        <v>364523</v>
      </c>
      <c r="C1164" s="0" t="n">
        <v>364543</v>
      </c>
      <c r="D1164" s="0" t="s">
        <v>3883</v>
      </c>
      <c r="E1164" s="0" t="s">
        <v>75</v>
      </c>
      <c r="F1164" s="0" t="s">
        <v>90</v>
      </c>
      <c r="G1164" s="0" t="s">
        <v>16</v>
      </c>
      <c r="H1164" s="0" t="n">
        <v>127</v>
      </c>
      <c r="I1164" s="0" t="s">
        <v>3893</v>
      </c>
      <c r="J1164" s="0" t="s">
        <v>3894</v>
      </c>
      <c r="K1164" s="0" t="s">
        <v>3895</v>
      </c>
      <c r="L1164" s="0" t="str">
        <f aca="false">HYPERLINK("https://www.ncbi.nlm.nih.gov/nuccore/CP000058.1?report=graph&amp;tracks=[key:gene_model_track,Options:GeneOnly]&amp;mk=364650:364669|offset_1|444444,364626:364645|offset_25|444444,364565:364584|offset_86|444444,364524:364543|offset_127|00cc00&amp;v=364449:364743&amp;c=444444", "offset 127")</f>
        <v>offset 127</v>
      </c>
    </row>
    <row r="1165" customFormat="false" ht="12.8" hidden="false" customHeight="false" outlineLevel="0" collapsed="false">
      <c r="A1165" s="0" t="s">
        <v>12</v>
      </c>
      <c r="B1165" s="0" t="n">
        <v>364894</v>
      </c>
      <c r="C1165" s="0" t="n">
        <v>364914</v>
      </c>
      <c r="D1165" s="0" t="s">
        <v>3896</v>
      </c>
      <c r="E1165" s="0" t="s">
        <v>75</v>
      </c>
      <c r="F1165" s="0" t="s">
        <v>15</v>
      </c>
      <c r="G1165" s="0" t="s">
        <v>32</v>
      </c>
      <c r="H1165" s="0" t="n">
        <v>6</v>
      </c>
      <c r="I1165" s="0" t="s">
        <v>3897</v>
      </c>
      <c r="J1165" s="0" t="s">
        <v>3898</v>
      </c>
      <c r="K1165" s="0" t="s">
        <v>3899</v>
      </c>
      <c r="L1165" s="0" t="str">
        <f aca="false">HYPERLINK("https://www.ncbi.nlm.nih.gov/nuccore/CP000058.1?report=graph&amp;tracks=[key:gene_model_track,Options:GeneOnly]&amp;mk=364895:364914|offset_6|00cc00,364920:364939|offset_31|444444,364955:364974|offset_66|444444,365001:365020|offset_112|444444&amp;v=364694:365220&amp;c=444444", "offset 6")</f>
        <v>offset 6</v>
      </c>
    </row>
    <row r="1166" customFormat="false" ht="12.8" hidden="false" customHeight="false" outlineLevel="0" collapsed="false">
      <c r="A1166" s="0" t="s">
        <v>12</v>
      </c>
      <c r="B1166" s="0" t="n">
        <v>364919</v>
      </c>
      <c r="C1166" s="0" t="n">
        <v>364939</v>
      </c>
      <c r="D1166" s="0" t="s">
        <v>3896</v>
      </c>
      <c r="E1166" s="0" t="s">
        <v>75</v>
      </c>
      <c r="F1166" s="0" t="s">
        <v>15</v>
      </c>
      <c r="G1166" s="0" t="s">
        <v>16</v>
      </c>
      <c r="H1166" s="0" t="n">
        <v>31</v>
      </c>
      <c r="I1166" s="0" t="s">
        <v>3900</v>
      </c>
      <c r="J1166" s="0" t="s">
        <v>3901</v>
      </c>
      <c r="K1166" s="0" t="s">
        <v>3902</v>
      </c>
      <c r="L1166" s="0" t="str">
        <f aca="false">HYPERLINK("https://www.ncbi.nlm.nih.gov/nuccore/CP000058.1?report=graph&amp;tracks=[key:gene_model_track,Options:GeneOnly]&amp;mk=364895:364914|offset_6|444444,364920:364939|offset_31|00cc00,364955:364974|offset_66|444444,365001:365020|offset_112|444444&amp;v=364694:365220&amp;c=444444", "offset 31")</f>
        <v>offset 31</v>
      </c>
    </row>
    <row r="1167" customFormat="false" ht="12.8" hidden="false" customHeight="false" outlineLevel="0" collapsed="false">
      <c r="A1167" s="0" t="s">
        <v>12</v>
      </c>
      <c r="B1167" s="0" t="n">
        <v>364954</v>
      </c>
      <c r="C1167" s="0" t="n">
        <v>364974</v>
      </c>
      <c r="D1167" s="0" t="s">
        <v>3896</v>
      </c>
      <c r="E1167" s="0" t="s">
        <v>75</v>
      </c>
      <c r="F1167" s="0" t="s">
        <v>15</v>
      </c>
      <c r="G1167" s="0" t="s">
        <v>32</v>
      </c>
      <c r="H1167" s="0" t="n">
        <v>66</v>
      </c>
      <c r="I1167" s="0" t="s">
        <v>3903</v>
      </c>
      <c r="J1167" s="0" t="s">
        <v>3904</v>
      </c>
      <c r="K1167" s="0" t="s">
        <v>3905</v>
      </c>
      <c r="L1167" s="0" t="str">
        <f aca="false">HYPERLINK("https://www.ncbi.nlm.nih.gov/nuccore/CP000058.1?report=graph&amp;tracks=[key:gene_model_track,Options:GeneOnly]&amp;mk=364895:364914|offset_6|444444,364920:364939|offset_31|444444,364955:364974|offset_66|00cc00,365001:365020|offset_112|444444&amp;v=364694:365220&amp;c=444444", "offset 66")</f>
        <v>offset 66</v>
      </c>
    </row>
    <row r="1168" customFormat="false" ht="12.8" hidden="false" customHeight="false" outlineLevel="0" collapsed="false">
      <c r="A1168" s="0" t="s">
        <v>12</v>
      </c>
      <c r="B1168" s="0" t="n">
        <v>365000</v>
      </c>
      <c r="C1168" s="0" t="n">
        <v>365020</v>
      </c>
      <c r="D1168" s="0" t="s">
        <v>3896</v>
      </c>
      <c r="E1168" s="0" t="s">
        <v>75</v>
      </c>
      <c r="F1168" s="0" t="s">
        <v>15</v>
      </c>
      <c r="G1168" s="0" t="s">
        <v>32</v>
      </c>
      <c r="H1168" s="0" t="n">
        <v>112</v>
      </c>
      <c r="I1168" s="0" t="s">
        <v>3906</v>
      </c>
      <c r="J1168" s="0" t="s">
        <v>3907</v>
      </c>
      <c r="K1168" s="0" t="s">
        <v>3908</v>
      </c>
      <c r="L1168" s="0" t="str">
        <f aca="false">HYPERLINK("https://www.ncbi.nlm.nih.gov/nuccore/CP000058.1?report=graph&amp;tracks=[key:gene_model_track,Options:GeneOnly]&amp;mk=364895:364914|offset_6|444444,364920:364939|offset_31|444444,364955:364974|offset_66|444444,365001:365020|offset_112|00cc00&amp;v=364694:365220&amp;c=444444", "offset 112")</f>
        <v>offset 112</v>
      </c>
    </row>
    <row r="1169" customFormat="false" ht="12.8" hidden="false" customHeight="false" outlineLevel="0" collapsed="false">
      <c r="A1169" s="0" t="s">
        <v>12</v>
      </c>
      <c r="B1169" s="0" t="n">
        <v>365824</v>
      </c>
      <c r="C1169" s="0" t="n">
        <v>365844</v>
      </c>
      <c r="D1169" s="0" t="s">
        <v>3909</v>
      </c>
      <c r="E1169" s="0" t="s">
        <v>75</v>
      </c>
      <c r="F1169" s="0" t="s">
        <v>15</v>
      </c>
      <c r="G1169" s="0" t="s">
        <v>32</v>
      </c>
      <c r="H1169" s="0" t="n">
        <v>23</v>
      </c>
      <c r="I1169" s="0" t="s">
        <v>3910</v>
      </c>
      <c r="J1169" s="0" t="s">
        <v>3911</v>
      </c>
      <c r="K1169" s="0" t="s">
        <v>3912</v>
      </c>
      <c r="L1169" s="0" t="str">
        <f aca="false">HYPERLINK("https://www.ncbi.nlm.nih.gov/nuccore/CP000058.1?report=graph&amp;tracks=[key:gene_model_track,Options:GeneOnly]&amp;mk=365825:365844|offset_23|00cc00,365845:365864|offset_43|444444,365872:365891|offset_70|444444,365906:365925|offset_104|444444&amp;v=365624:366125&amp;c=444444", "offset 23")</f>
        <v>offset 23</v>
      </c>
    </row>
    <row r="1170" customFormat="false" ht="12.8" hidden="false" customHeight="false" outlineLevel="0" collapsed="false">
      <c r="A1170" s="0" t="s">
        <v>12</v>
      </c>
      <c r="B1170" s="0" t="n">
        <v>365844</v>
      </c>
      <c r="C1170" s="0" t="n">
        <v>365864</v>
      </c>
      <c r="D1170" s="0" t="s">
        <v>3909</v>
      </c>
      <c r="E1170" s="0" t="s">
        <v>75</v>
      </c>
      <c r="F1170" s="0" t="s">
        <v>15</v>
      </c>
      <c r="G1170" s="0" t="s">
        <v>36</v>
      </c>
      <c r="H1170" s="0" t="n">
        <v>43</v>
      </c>
      <c r="I1170" s="0" t="s">
        <v>3913</v>
      </c>
      <c r="J1170" s="0" t="s">
        <v>3914</v>
      </c>
      <c r="K1170" s="0" t="s">
        <v>3915</v>
      </c>
      <c r="L1170" s="0" t="str">
        <f aca="false">HYPERLINK("https://www.ncbi.nlm.nih.gov/nuccore/CP000058.1?report=graph&amp;tracks=[key:gene_model_track,Options:GeneOnly]&amp;mk=365825:365844|offset_23|444444,365845:365864|offset_43|00cc00,365872:365891|offset_70|444444,365906:365925|offset_104|444444&amp;v=365624:366125&amp;c=444444", "offset 43")</f>
        <v>offset 43</v>
      </c>
    </row>
    <row r="1171" customFormat="false" ht="12.8" hidden="false" customHeight="false" outlineLevel="0" collapsed="false">
      <c r="A1171" s="0" t="s">
        <v>12</v>
      </c>
      <c r="B1171" s="0" t="n">
        <v>365871</v>
      </c>
      <c r="C1171" s="0" t="n">
        <v>365891</v>
      </c>
      <c r="D1171" s="0" t="s">
        <v>3909</v>
      </c>
      <c r="E1171" s="0" t="s">
        <v>75</v>
      </c>
      <c r="F1171" s="0" t="s">
        <v>15</v>
      </c>
      <c r="G1171" s="0" t="s">
        <v>32</v>
      </c>
      <c r="H1171" s="0" t="n">
        <v>70</v>
      </c>
      <c r="I1171" s="0" t="s">
        <v>3916</v>
      </c>
      <c r="J1171" s="0" t="s">
        <v>3917</v>
      </c>
      <c r="K1171" s="0" t="s">
        <v>3918</v>
      </c>
      <c r="L1171" s="0" t="str">
        <f aca="false">HYPERLINK("https://www.ncbi.nlm.nih.gov/nuccore/CP000058.1?report=graph&amp;tracks=[key:gene_model_track,Options:GeneOnly]&amp;mk=365825:365844|offset_23|444444,365845:365864|offset_43|444444,365872:365891|offset_70|00cc00,365906:365925|offset_104|444444&amp;v=365624:366125&amp;c=444444", "offset 70")</f>
        <v>offset 70</v>
      </c>
    </row>
    <row r="1172" customFormat="false" ht="12.8" hidden="false" customHeight="false" outlineLevel="0" collapsed="false">
      <c r="A1172" s="0" t="s">
        <v>12</v>
      </c>
      <c r="B1172" s="0" t="n">
        <v>365905</v>
      </c>
      <c r="C1172" s="0" t="n">
        <v>365925</v>
      </c>
      <c r="D1172" s="0" t="s">
        <v>3909</v>
      </c>
      <c r="E1172" s="0" t="s">
        <v>75</v>
      </c>
      <c r="F1172" s="0" t="s">
        <v>15</v>
      </c>
      <c r="G1172" s="0" t="s">
        <v>20</v>
      </c>
      <c r="H1172" s="0" t="n">
        <v>104</v>
      </c>
      <c r="I1172" s="0" t="s">
        <v>3919</v>
      </c>
      <c r="J1172" s="0" t="s">
        <v>3920</v>
      </c>
      <c r="K1172" s="0" t="s">
        <v>3921</v>
      </c>
      <c r="L1172" s="0" t="str">
        <f aca="false">HYPERLINK("https://www.ncbi.nlm.nih.gov/nuccore/CP000058.1?report=graph&amp;tracks=[key:gene_model_track,Options:GeneOnly]&amp;mk=365825:365844|offset_23|444444,365845:365864|offset_43|444444,365872:365891|offset_70|444444,365906:365925|offset_104|00cc00&amp;v=365624:366125&amp;c=444444", "offset 104")</f>
        <v>offset 104</v>
      </c>
    </row>
    <row r="1173" customFormat="false" ht="12.8" hidden="false" customHeight="false" outlineLevel="0" collapsed="false">
      <c r="A1173" s="0" t="s">
        <v>12</v>
      </c>
      <c r="B1173" s="0" t="n">
        <v>366775</v>
      </c>
      <c r="C1173" s="0" t="n">
        <v>366795</v>
      </c>
      <c r="D1173" s="0" t="s">
        <v>3922</v>
      </c>
      <c r="E1173" s="0" t="s">
        <v>75</v>
      </c>
      <c r="F1173" s="0" t="s">
        <v>15</v>
      </c>
      <c r="G1173" s="0" t="s">
        <v>32</v>
      </c>
      <c r="H1173" s="0" t="n">
        <v>1</v>
      </c>
      <c r="I1173" s="0" t="s">
        <v>3923</v>
      </c>
      <c r="J1173" s="0" t="s">
        <v>3924</v>
      </c>
      <c r="K1173" s="0" t="s">
        <v>3925</v>
      </c>
      <c r="L1173" s="0" t="str">
        <f aca="false">HYPERLINK("https://www.ncbi.nlm.nih.gov/nuccore/CP000058.1?report=graph&amp;tracks=[key:gene_model_track,Options:GeneOnly]&amp;mk=366776:366795|offset_1|00cc00,366826:366845|offset_51|444444,366848:366867|offset_73|444444,366963:366982|offset_188|444444&amp;v=366575:367182&amp;c=444444", "offset 1")</f>
        <v>offset 1</v>
      </c>
    </row>
    <row r="1174" customFormat="false" ht="12.8" hidden="false" customHeight="false" outlineLevel="0" collapsed="false">
      <c r="A1174" s="0" t="s">
        <v>12</v>
      </c>
      <c r="B1174" s="0" t="n">
        <v>366825</v>
      </c>
      <c r="C1174" s="0" t="n">
        <v>366845</v>
      </c>
      <c r="D1174" s="0" t="s">
        <v>3922</v>
      </c>
      <c r="E1174" s="0" t="s">
        <v>75</v>
      </c>
      <c r="F1174" s="0" t="s">
        <v>15</v>
      </c>
      <c r="G1174" s="0" t="s">
        <v>20</v>
      </c>
      <c r="H1174" s="0" t="n">
        <v>51</v>
      </c>
      <c r="I1174" s="0" t="s">
        <v>3926</v>
      </c>
      <c r="J1174" s="0" t="s">
        <v>3927</v>
      </c>
      <c r="K1174" s="0" t="s">
        <v>3928</v>
      </c>
      <c r="L1174" s="0" t="str">
        <f aca="false">HYPERLINK("https://www.ncbi.nlm.nih.gov/nuccore/CP000058.1?report=graph&amp;tracks=[key:gene_model_track,Options:GeneOnly]&amp;mk=366776:366795|offset_1|444444,366826:366845|offset_51|00cc00,366848:366867|offset_73|444444,366963:366982|offset_188|444444&amp;v=366575:367182&amp;c=444444", "offset 51")</f>
        <v>offset 51</v>
      </c>
    </row>
    <row r="1175" customFormat="false" ht="12.8" hidden="false" customHeight="false" outlineLevel="0" collapsed="false">
      <c r="A1175" s="0" t="s">
        <v>12</v>
      </c>
      <c r="B1175" s="0" t="n">
        <v>366847</v>
      </c>
      <c r="C1175" s="0" t="n">
        <v>366867</v>
      </c>
      <c r="D1175" s="0" t="s">
        <v>3922</v>
      </c>
      <c r="E1175" s="0" t="s">
        <v>75</v>
      </c>
      <c r="F1175" s="0" t="s">
        <v>15</v>
      </c>
      <c r="G1175" s="0" t="s">
        <v>36</v>
      </c>
      <c r="H1175" s="0" t="n">
        <v>73</v>
      </c>
      <c r="I1175" s="0" t="s">
        <v>3929</v>
      </c>
      <c r="J1175" s="0" t="s">
        <v>3930</v>
      </c>
      <c r="K1175" s="0" t="s">
        <v>3931</v>
      </c>
      <c r="L1175" s="0" t="str">
        <f aca="false">HYPERLINK("https://www.ncbi.nlm.nih.gov/nuccore/CP000058.1?report=graph&amp;tracks=[key:gene_model_track,Options:GeneOnly]&amp;mk=366776:366795|offset_1|444444,366826:366845|offset_51|444444,366848:366867|offset_73|00cc00,366963:366982|offset_188|444444&amp;v=366575:367182&amp;c=444444", "offset 73")</f>
        <v>offset 73</v>
      </c>
    </row>
    <row r="1176" customFormat="false" ht="12.8" hidden="false" customHeight="false" outlineLevel="0" collapsed="false">
      <c r="A1176" s="0" t="s">
        <v>12</v>
      </c>
      <c r="B1176" s="0" t="n">
        <v>366962</v>
      </c>
      <c r="C1176" s="0" t="n">
        <v>366982</v>
      </c>
      <c r="D1176" s="0" t="s">
        <v>3922</v>
      </c>
      <c r="E1176" s="0" t="s">
        <v>75</v>
      </c>
      <c r="F1176" s="0" t="s">
        <v>15</v>
      </c>
      <c r="G1176" s="0" t="s">
        <v>20</v>
      </c>
      <c r="H1176" s="0" t="n">
        <v>188</v>
      </c>
      <c r="I1176" s="0" t="s">
        <v>3932</v>
      </c>
      <c r="J1176" s="0" t="s">
        <v>3933</v>
      </c>
      <c r="K1176" s="0" t="s">
        <v>3934</v>
      </c>
      <c r="L1176" s="0" t="str">
        <f aca="false">HYPERLINK("https://www.ncbi.nlm.nih.gov/nuccore/CP000058.1?report=graph&amp;tracks=[key:gene_model_track,Options:GeneOnly]&amp;mk=366776:366795|offset_1|444444,366826:366845|offset_51|444444,366848:366867|offset_73|444444,366963:366982|offset_188|00cc00&amp;v=366575:367182&amp;c=444444", "offset 188")</f>
        <v>offset 188</v>
      </c>
    </row>
    <row r="1177" customFormat="false" ht="12.8" hidden="false" customHeight="false" outlineLevel="0" collapsed="false">
      <c r="A1177" s="0" t="s">
        <v>12</v>
      </c>
      <c r="B1177" s="0" t="n">
        <v>367703</v>
      </c>
      <c r="C1177" s="0" t="n">
        <v>367723</v>
      </c>
      <c r="D1177" s="0" t="s">
        <v>3935</v>
      </c>
      <c r="E1177" s="0" t="s">
        <v>75</v>
      </c>
      <c r="F1177" s="0" t="s">
        <v>15</v>
      </c>
      <c r="G1177" s="0" t="s">
        <v>16</v>
      </c>
      <c r="H1177" s="0" t="n">
        <v>24</v>
      </c>
      <c r="I1177" s="0" t="s">
        <v>3936</v>
      </c>
      <c r="J1177" s="0" t="s">
        <v>3937</v>
      </c>
      <c r="K1177" s="0" t="s">
        <v>3938</v>
      </c>
      <c r="L1177" s="0" t="str">
        <f aca="false">HYPERLINK("https://www.ncbi.nlm.nih.gov/nuccore/CP000058.1?report=graph&amp;tracks=[key:gene_model_track,Options:GeneOnly]&amp;mk=367704:367723|offset_24|00cc00,367736:367755|offset_56|444444,367814:367833|offset_134|444444,367906:367925|offset_226|444444&amp;v=367503:368125&amp;c=444444", "offset 24")</f>
        <v>offset 24</v>
      </c>
    </row>
    <row r="1178" customFormat="false" ht="12.8" hidden="false" customHeight="false" outlineLevel="0" collapsed="false">
      <c r="A1178" s="0" t="s">
        <v>12</v>
      </c>
      <c r="B1178" s="0" t="n">
        <v>367735</v>
      </c>
      <c r="C1178" s="0" t="n">
        <v>367755</v>
      </c>
      <c r="D1178" s="0" t="s">
        <v>3935</v>
      </c>
      <c r="E1178" s="0" t="s">
        <v>75</v>
      </c>
      <c r="F1178" s="0" t="s">
        <v>15</v>
      </c>
      <c r="G1178" s="0" t="s">
        <v>20</v>
      </c>
      <c r="H1178" s="0" t="n">
        <v>56</v>
      </c>
      <c r="I1178" s="0" t="s">
        <v>3939</v>
      </c>
      <c r="J1178" s="0" t="s">
        <v>3940</v>
      </c>
      <c r="K1178" s="0" t="s">
        <v>3941</v>
      </c>
      <c r="L1178" s="0" t="str">
        <f aca="false">HYPERLINK("https://www.ncbi.nlm.nih.gov/nuccore/CP000058.1?report=graph&amp;tracks=[key:gene_model_track,Options:GeneOnly]&amp;mk=367704:367723|offset_24|444444,367736:367755|offset_56|00cc00,367814:367833|offset_134|444444,367906:367925|offset_226|444444&amp;v=367503:368125&amp;c=444444", "offset 56")</f>
        <v>offset 56</v>
      </c>
    </row>
    <row r="1179" customFormat="false" ht="12.8" hidden="false" customHeight="false" outlineLevel="0" collapsed="false">
      <c r="A1179" s="0" t="s">
        <v>12</v>
      </c>
      <c r="B1179" s="0" t="n">
        <v>367813</v>
      </c>
      <c r="C1179" s="0" t="n">
        <v>367833</v>
      </c>
      <c r="D1179" s="0" t="s">
        <v>3935</v>
      </c>
      <c r="E1179" s="0" t="s">
        <v>75</v>
      </c>
      <c r="F1179" s="0" t="s">
        <v>15</v>
      </c>
      <c r="G1179" s="0" t="s">
        <v>20</v>
      </c>
      <c r="H1179" s="0" t="n">
        <v>134</v>
      </c>
      <c r="I1179" s="0" t="s">
        <v>3942</v>
      </c>
      <c r="J1179" s="0" t="s">
        <v>3943</v>
      </c>
      <c r="K1179" s="0" t="s">
        <v>3944</v>
      </c>
      <c r="L1179" s="0" t="str">
        <f aca="false">HYPERLINK("https://www.ncbi.nlm.nih.gov/nuccore/CP000058.1?report=graph&amp;tracks=[key:gene_model_track,Options:GeneOnly]&amp;mk=367704:367723|offset_24|444444,367736:367755|offset_56|444444,367814:367833|offset_134|00cc00,367906:367925|offset_226|444444&amp;v=367503:368125&amp;c=444444", "offset 134")</f>
        <v>offset 134</v>
      </c>
    </row>
    <row r="1180" customFormat="false" ht="12.8" hidden="false" customHeight="false" outlineLevel="0" collapsed="false">
      <c r="A1180" s="0" t="s">
        <v>12</v>
      </c>
      <c r="B1180" s="0" t="n">
        <v>367905</v>
      </c>
      <c r="C1180" s="0" t="n">
        <v>367925</v>
      </c>
      <c r="D1180" s="0" t="s">
        <v>3935</v>
      </c>
      <c r="E1180" s="0" t="s">
        <v>75</v>
      </c>
      <c r="F1180" s="0" t="s">
        <v>15</v>
      </c>
      <c r="G1180" s="0" t="s">
        <v>16</v>
      </c>
      <c r="H1180" s="0" t="n">
        <v>226</v>
      </c>
      <c r="I1180" s="0" t="s">
        <v>3945</v>
      </c>
      <c r="J1180" s="0" t="s">
        <v>3946</v>
      </c>
      <c r="K1180" s="0" t="s">
        <v>3947</v>
      </c>
      <c r="L1180" s="0" t="str">
        <f aca="false">HYPERLINK("https://www.ncbi.nlm.nih.gov/nuccore/CP000058.1?report=graph&amp;tracks=[key:gene_model_track,Options:GeneOnly]&amp;mk=367704:367723|offset_24|444444,367736:367755|offset_56|444444,367814:367833|offset_134|444444,367906:367925|offset_226|00cc00&amp;v=367503:368125&amp;c=444444", "offset 226")</f>
        <v>offset 226</v>
      </c>
    </row>
    <row r="1181" customFormat="false" ht="12.8" hidden="false" customHeight="false" outlineLevel="0" collapsed="false">
      <c r="A1181" s="0" t="s">
        <v>12</v>
      </c>
      <c r="B1181" s="0" t="n">
        <v>369210</v>
      </c>
      <c r="C1181" s="0" t="n">
        <v>369230</v>
      </c>
      <c r="D1181" s="0" t="s">
        <v>3948</v>
      </c>
      <c r="E1181" s="0" t="s">
        <v>75</v>
      </c>
      <c r="F1181" s="0" t="s">
        <v>15</v>
      </c>
      <c r="G1181" s="0" t="s">
        <v>36</v>
      </c>
      <c r="H1181" s="0" t="n">
        <v>16</v>
      </c>
      <c r="I1181" s="0" t="s">
        <v>3949</v>
      </c>
      <c r="J1181" s="0" t="s">
        <v>3950</v>
      </c>
      <c r="K1181" s="0" t="s">
        <v>3951</v>
      </c>
      <c r="L1181" s="0" t="str">
        <f aca="false">HYPERLINK("https://www.ncbi.nlm.nih.gov/nuccore/CP000058.1?report=graph&amp;tracks=[key:gene_model_track,Options:GeneOnly]&amp;mk=369211:369230|offset_16|00cc00,369247:369266|offset_52|444444,369280:369299|offset_85|444444,369301:369320|offset_106|444444&amp;v=369010:369520&amp;c=444444", "offset 16")</f>
        <v>offset 16</v>
      </c>
    </row>
    <row r="1182" customFormat="false" ht="12.8" hidden="false" customHeight="false" outlineLevel="0" collapsed="false">
      <c r="A1182" s="0" t="s">
        <v>12</v>
      </c>
      <c r="B1182" s="0" t="n">
        <v>369246</v>
      </c>
      <c r="C1182" s="0" t="n">
        <v>369266</v>
      </c>
      <c r="D1182" s="0" t="s">
        <v>3948</v>
      </c>
      <c r="E1182" s="0" t="s">
        <v>75</v>
      </c>
      <c r="F1182" s="0" t="s">
        <v>15</v>
      </c>
      <c r="G1182" s="0" t="s">
        <v>36</v>
      </c>
      <c r="H1182" s="0" t="n">
        <v>52</v>
      </c>
      <c r="I1182" s="0" t="s">
        <v>3952</v>
      </c>
      <c r="J1182" s="0" t="s">
        <v>3953</v>
      </c>
      <c r="K1182" s="0" t="s">
        <v>3954</v>
      </c>
      <c r="L1182" s="0" t="str">
        <f aca="false">HYPERLINK("https://www.ncbi.nlm.nih.gov/nuccore/CP000058.1?report=graph&amp;tracks=[key:gene_model_track,Options:GeneOnly]&amp;mk=369211:369230|offset_16|444444,369247:369266|offset_52|00cc00,369280:369299|offset_85|444444,369301:369320|offset_106|444444&amp;v=369010:369520&amp;c=444444", "offset 52")</f>
        <v>offset 52</v>
      </c>
    </row>
    <row r="1183" customFormat="false" ht="12.8" hidden="false" customHeight="false" outlineLevel="0" collapsed="false">
      <c r="A1183" s="0" t="s">
        <v>12</v>
      </c>
      <c r="B1183" s="0" t="n">
        <v>369279</v>
      </c>
      <c r="C1183" s="0" t="n">
        <v>369299</v>
      </c>
      <c r="D1183" s="0" t="s">
        <v>3948</v>
      </c>
      <c r="E1183" s="0" t="s">
        <v>75</v>
      </c>
      <c r="F1183" s="0" t="s">
        <v>15</v>
      </c>
      <c r="G1183" s="0" t="s">
        <v>20</v>
      </c>
      <c r="H1183" s="0" t="n">
        <v>85</v>
      </c>
      <c r="I1183" s="0" t="s">
        <v>3955</v>
      </c>
      <c r="J1183" s="0" t="s">
        <v>3956</v>
      </c>
      <c r="K1183" s="0" t="s">
        <v>3957</v>
      </c>
      <c r="L1183" s="0" t="str">
        <f aca="false">HYPERLINK("https://www.ncbi.nlm.nih.gov/nuccore/CP000058.1?report=graph&amp;tracks=[key:gene_model_track,Options:GeneOnly]&amp;mk=369211:369230|offset_16|444444,369247:369266|offset_52|444444,369280:369299|offset_85|00cc00,369301:369320|offset_106|444444&amp;v=369010:369520&amp;c=444444", "offset 85")</f>
        <v>offset 85</v>
      </c>
    </row>
    <row r="1184" customFormat="false" ht="12.8" hidden="false" customHeight="false" outlineLevel="0" collapsed="false">
      <c r="A1184" s="0" t="s">
        <v>12</v>
      </c>
      <c r="B1184" s="0" t="n">
        <v>369300</v>
      </c>
      <c r="C1184" s="0" t="n">
        <v>369320</v>
      </c>
      <c r="D1184" s="0" t="s">
        <v>3948</v>
      </c>
      <c r="E1184" s="0" t="s">
        <v>75</v>
      </c>
      <c r="F1184" s="0" t="s">
        <v>15</v>
      </c>
      <c r="G1184" s="0" t="s">
        <v>16</v>
      </c>
      <c r="H1184" s="0" t="n">
        <v>106</v>
      </c>
      <c r="I1184" s="0" t="s">
        <v>3958</v>
      </c>
      <c r="J1184" s="0" t="s">
        <v>3959</v>
      </c>
      <c r="K1184" s="0" t="s">
        <v>3960</v>
      </c>
      <c r="L1184" s="0" t="str">
        <f aca="false">HYPERLINK("https://www.ncbi.nlm.nih.gov/nuccore/CP000058.1?report=graph&amp;tracks=[key:gene_model_track,Options:GeneOnly]&amp;mk=369211:369230|offset_16|444444,369247:369266|offset_52|444444,369280:369299|offset_85|444444,369301:369320|offset_106|00cc00&amp;v=369010:369520&amp;c=444444", "offset 106")</f>
        <v>offset 106</v>
      </c>
    </row>
    <row r="1185" customFormat="false" ht="12.8" hidden="false" customHeight="false" outlineLevel="0" collapsed="false">
      <c r="A1185" s="0" t="s">
        <v>12</v>
      </c>
      <c r="B1185" s="0" t="n">
        <v>369521</v>
      </c>
      <c r="C1185" s="0" t="n">
        <v>369541</v>
      </c>
      <c r="D1185" s="0" t="s">
        <v>3961</v>
      </c>
      <c r="E1185" s="0" t="s">
        <v>75</v>
      </c>
      <c r="F1185" s="0" t="s">
        <v>15</v>
      </c>
      <c r="G1185" s="0" t="s">
        <v>32</v>
      </c>
      <c r="H1185" s="0" t="n">
        <v>1</v>
      </c>
      <c r="I1185" s="0" t="s">
        <v>3962</v>
      </c>
      <c r="J1185" s="0" t="s">
        <v>3963</v>
      </c>
      <c r="K1185" s="0" t="s">
        <v>3964</v>
      </c>
      <c r="L1185" s="0" t="str">
        <f aca="false">HYPERLINK("https://www.ncbi.nlm.nih.gov/nuccore/CP000058.1?report=graph&amp;tracks=[key:gene_model_track,Options:GeneOnly]&amp;mk=369522:369541|offset_1|00cc00,369547:369566|offset_26|444444,369571:369590|offset_50|444444,369603:369622|offset_82|444444&amp;v=369321:369822&amp;c=444444", "offset 1")</f>
        <v>offset 1</v>
      </c>
    </row>
    <row r="1186" customFormat="false" ht="12.8" hidden="false" customHeight="false" outlineLevel="0" collapsed="false">
      <c r="A1186" s="0" t="s">
        <v>12</v>
      </c>
      <c r="B1186" s="0" t="n">
        <v>369546</v>
      </c>
      <c r="C1186" s="0" t="n">
        <v>369566</v>
      </c>
      <c r="D1186" s="0" t="s">
        <v>3961</v>
      </c>
      <c r="E1186" s="0" t="s">
        <v>75</v>
      </c>
      <c r="F1186" s="0" t="s">
        <v>15</v>
      </c>
      <c r="G1186" s="0" t="s">
        <v>16</v>
      </c>
      <c r="H1186" s="0" t="n">
        <v>26</v>
      </c>
      <c r="I1186" s="0" t="s">
        <v>3965</v>
      </c>
      <c r="J1186" s="0" t="s">
        <v>3966</v>
      </c>
      <c r="K1186" s="0" t="s">
        <v>3967</v>
      </c>
      <c r="L1186" s="0" t="str">
        <f aca="false">HYPERLINK("https://www.ncbi.nlm.nih.gov/nuccore/CP000058.1?report=graph&amp;tracks=[key:gene_model_track,Options:GeneOnly]&amp;mk=369522:369541|offset_1|444444,369547:369566|offset_26|00cc00,369571:369590|offset_50|444444,369603:369622|offset_82|444444&amp;v=369321:369822&amp;c=444444", "offset 26")</f>
        <v>offset 26</v>
      </c>
    </row>
    <row r="1187" customFormat="false" ht="12.8" hidden="false" customHeight="false" outlineLevel="0" collapsed="false">
      <c r="A1187" s="0" t="s">
        <v>12</v>
      </c>
      <c r="B1187" s="0" t="n">
        <v>369570</v>
      </c>
      <c r="C1187" s="0" t="n">
        <v>369590</v>
      </c>
      <c r="D1187" s="0" t="s">
        <v>3961</v>
      </c>
      <c r="E1187" s="0" t="s">
        <v>75</v>
      </c>
      <c r="F1187" s="0" t="s">
        <v>15</v>
      </c>
      <c r="G1187" s="0" t="s">
        <v>16</v>
      </c>
      <c r="H1187" s="0" t="n">
        <v>50</v>
      </c>
      <c r="I1187" s="0" t="s">
        <v>3968</v>
      </c>
      <c r="J1187" s="0" t="s">
        <v>3969</v>
      </c>
      <c r="K1187" s="0" t="s">
        <v>3970</v>
      </c>
      <c r="L1187" s="0" t="str">
        <f aca="false">HYPERLINK("https://www.ncbi.nlm.nih.gov/nuccore/CP000058.1?report=graph&amp;tracks=[key:gene_model_track,Options:GeneOnly]&amp;mk=369522:369541|offset_1|444444,369547:369566|offset_26|444444,369571:369590|offset_50|00cc00,369603:369622|offset_82|444444&amp;v=369321:369822&amp;c=444444", "offset 50")</f>
        <v>offset 50</v>
      </c>
    </row>
    <row r="1188" customFormat="false" ht="12.8" hidden="false" customHeight="false" outlineLevel="0" collapsed="false">
      <c r="A1188" s="0" t="s">
        <v>12</v>
      </c>
      <c r="B1188" s="0" t="n">
        <v>369602</v>
      </c>
      <c r="C1188" s="0" t="n">
        <v>369622</v>
      </c>
      <c r="D1188" s="0" t="s">
        <v>3961</v>
      </c>
      <c r="E1188" s="0" t="s">
        <v>75</v>
      </c>
      <c r="F1188" s="0" t="s">
        <v>15</v>
      </c>
      <c r="G1188" s="0" t="s">
        <v>32</v>
      </c>
      <c r="H1188" s="0" t="n">
        <v>82</v>
      </c>
      <c r="I1188" s="0" t="s">
        <v>3971</v>
      </c>
      <c r="J1188" s="0" t="s">
        <v>3972</v>
      </c>
      <c r="K1188" s="0" t="s">
        <v>3973</v>
      </c>
      <c r="L1188" s="0" t="str">
        <f aca="false">HYPERLINK("https://www.ncbi.nlm.nih.gov/nuccore/CP000058.1?report=graph&amp;tracks=[key:gene_model_track,Options:GeneOnly]&amp;mk=369522:369541|offset_1|444444,369547:369566|offset_26|444444,369571:369590|offset_50|444444,369603:369622|offset_82|00cc00&amp;v=369321:369822&amp;c=444444", "offset 82")</f>
        <v>offset 82</v>
      </c>
    </row>
    <row r="1189" customFormat="false" ht="12.8" hidden="false" customHeight="false" outlineLevel="0" collapsed="false">
      <c r="A1189" s="0" t="s">
        <v>12</v>
      </c>
      <c r="B1189" s="0" t="n">
        <v>370552</v>
      </c>
      <c r="C1189" s="0" t="n">
        <v>370572</v>
      </c>
      <c r="D1189" s="0" t="s">
        <v>3974</v>
      </c>
      <c r="E1189" s="0" t="s">
        <v>75</v>
      </c>
      <c r="F1189" s="0" t="s">
        <v>15</v>
      </c>
      <c r="G1189" s="0" t="s">
        <v>20</v>
      </c>
      <c r="H1189" s="0" t="n">
        <v>11</v>
      </c>
      <c r="I1189" s="0" t="s">
        <v>3975</v>
      </c>
      <c r="J1189" s="0" t="s">
        <v>3976</v>
      </c>
      <c r="K1189" s="0" t="s">
        <v>3977</v>
      </c>
      <c r="L1189" s="0" t="str">
        <f aca="false">HYPERLINK("https://www.ncbi.nlm.nih.gov/nuccore/CP000058.1?report=graph&amp;tracks=[key:gene_model_track,Options:GeneOnly]&amp;mk=370553:370572|offset_11|00cc00,370574:370593|offset_32|444444,370601:370620|offset_59|444444,370621:370640|offset_79|444444&amp;v=370352:370840&amp;c=444444", "offset 11")</f>
        <v>offset 11</v>
      </c>
    </row>
    <row r="1190" customFormat="false" ht="12.8" hidden="false" customHeight="false" outlineLevel="0" collapsed="false">
      <c r="A1190" s="0" t="s">
        <v>12</v>
      </c>
      <c r="B1190" s="0" t="n">
        <v>370573</v>
      </c>
      <c r="C1190" s="0" t="n">
        <v>370593</v>
      </c>
      <c r="D1190" s="0" t="s">
        <v>3974</v>
      </c>
      <c r="E1190" s="0" t="s">
        <v>75</v>
      </c>
      <c r="F1190" s="0" t="s">
        <v>15</v>
      </c>
      <c r="G1190" s="0" t="s">
        <v>36</v>
      </c>
      <c r="H1190" s="0" t="n">
        <v>32</v>
      </c>
      <c r="I1190" s="0" t="s">
        <v>3978</v>
      </c>
      <c r="J1190" s="0" t="s">
        <v>3979</v>
      </c>
      <c r="K1190" s="0" t="s">
        <v>3980</v>
      </c>
      <c r="L1190" s="0" t="str">
        <f aca="false">HYPERLINK("https://www.ncbi.nlm.nih.gov/nuccore/CP000058.1?report=graph&amp;tracks=[key:gene_model_track,Options:GeneOnly]&amp;mk=370553:370572|offset_11|444444,370574:370593|offset_32|00cc00,370601:370620|offset_59|444444,370621:370640|offset_79|444444&amp;v=370352:370840&amp;c=444444", "offset 32")</f>
        <v>offset 32</v>
      </c>
    </row>
    <row r="1191" customFormat="false" ht="12.8" hidden="false" customHeight="false" outlineLevel="0" collapsed="false">
      <c r="A1191" s="0" t="s">
        <v>12</v>
      </c>
      <c r="B1191" s="0" t="n">
        <v>370600</v>
      </c>
      <c r="C1191" s="0" t="n">
        <v>370620</v>
      </c>
      <c r="D1191" s="0" t="s">
        <v>3974</v>
      </c>
      <c r="E1191" s="0" t="s">
        <v>75</v>
      </c>
      <c r="F1191" s="0" t="s">
        <v>15</v>
      </c>
      <c r="G1191" s="0" t="s">
        <v>36</v>
      </c>
      <c r="H1191" s="0" t="n">
        <v>59</v>
      </c>
      <c r="I1191" s="0" t="s">
        <v>3981</v>
      </c>
      <c r="J1191" s="0" t="s">
        <v>3982</v>
      </c>
      <c r="K1191" s="0" t="s">
        <v>3983</v>
      </c>
      <c r="L1191" s="0" t="str">
        <f aca="false">HYPERLINK("https://www.ncbi.nlm.nih.gov/nuccore/CP000058.1?report=graph&amp;tracks=[key:gene_model_track,Options:GeneOnly]&amp;mk=370553:370572|offset_11|444444,370574:370593|offset_32|444444,370601:370620|offset_59|00cc00,370621:370640|offset_79|444444&amp;v=370352:370840&amp;c=444444", "offset 59")</f>
        <v>offset 59</v>
      </c>
    </row>
    <row r="1192" customFormat="false" ht="12.8" hidden="false" customHeight="false" outlineLevel="0" collapsed="false">
      <c r="A1192" s="0" t="s">
        <v>12</v>
      </c>
      <c r="B1192" s="0" t="n">
        <v>370620</v>
      </c>
      <c r="C1192" s="0" t="n">
        <v>370640</v>
      </c>
      <c r="D1192" s="0" t="s">
        <v>3974</v>
      </c>
      <c r="E1192" s="0" t="s">
        <v>75</v>
      </c>
      <c r="F1192" s="0" t="s">
        <v>15</v>
      </c>
      <c r="G1192" s="0" t="s">
        <v>32</v>
      </c>
      <c r="H1192" s="0" t="n">
        <v>79</v>
      </c>
      <c r="I1192" s="0" t="s">
        <v>3984</v>
      </c>
      <c r="J1192" s="0" t="s">
        <v>3985</v>
      </c>
      <c r="K1192" s="0" t="s">
        <v>3986</v>
      </c>
      <c r="L1192" s="0" t="str">
        <f aca="false">HYPERLINK("https://www.ncbi.nlm.nih.gov/nuccore/CP000058.1?report=graph&amp;tracks=[key:gene_model_track,Options:GeneOnly]&amp;mk=370553:370572|offset_11|444444,370574:370593|offset_32|444444,370601:370620|offset_59|444444,370621:370640|offset_79|00cc00&amp;v=370352:370840&amp;c=444444", "offset 79")</f>
        <v>offset 79</v>
      </c>
    </row>
    <row r="1193" customFormat="false" ht="12.8" hidden="false" customHeight="false" outlineLevel="0" collapsed="false">
      <c r="A1193" s="0" t="s">
        <v>12</v>
      </c>
      <c r="B1193" s="0" t="n">
        <v>371792</v>
      </c>
      <c r="C1193" s="0" t="n">
        <v>371812</v>
      </c>
      <c r="D1193" s="0" t="s">
        <v>3987</v>
      </c>
      <c r="E1193" s="0" t="s">
        <v>75</v>
      </c>
      <c r="F1193" s="0" t="s">
        <v>15</v>
      </c>
      <c r="G1193" s="0" t="s">
        <v>36</v>
      </c>
      <c r="H1193" s="0" t="n">
        <v>6</v>
      </c>
      <c r="I1193" s="0" t="s">
        <v>3988</v>
      </c>
      <c r="J1193" s="0" t="s">
        <v>3989</v>
      </c>
      <c r="K1193" s="0" t="s">
        <v>3990</v>
      </c>
      <c r="L1193" s="0" t="str">
        <f aca="false">HYPERLINK("https://www.ncbi.nlm.nih.gov/nuccore/CP000058.1?report=graph&amp;tracks=[key:gene_model_track,Options:GeneOnly]&amp;mk=371793:371812|offset_6|00cc00,371836:371855|offset_49|444444,371871:371890|offset_84|444444,371920:371939|offset_133|444444&amp;v=371592:372139&amp;c=444444", "offset 6")</f>
        <v>offset 6</v>
      </c>
    </row>
    <row r="1194" customFormat="false" ht="12.8" hidden="false" customHeight="false" outlineLevel="0" collapsed="false">
      <c r="A1194" s="0" t="s">
        <v>12</v>
      </c>
      <c r="B1194" s="0" t="n">
        <v>371835</v>
      </c>
      <c r="C1194" s="0" t="n">
        <v>371855</v>
      </c>
      <c r="D1194" s="0" t="s">
        <v>3987</v>
      </c>
      <c r="E1194" s="0" t="s">
        <v>75</v>
      </c>
      <c r="F1194" s="0" t="s">
        <v>15</v>
      </c>
      <c r="G1194" s="0" t="s">
        <v>20</v>
      </c>
      <c r="H1194" s="0" t="n">
        <v>49</v>
      </c>
      <c r="I1194" s="0" t="s">
        <v>3991</v>
      </c>
      <c r="J1194" s="0" t="s">
        <v>3992</v>
      </c>
      <c r="K1194" s="0" t="s">
        <v>3993</v>
      </c>
      <c r="L1194" s="0" t="str">
        <f aca="false">HYPERLINK("https://www.ncbi.nlm.nih.gov/nuccore/CP000058.1?report=graph&amp;tracks=[key:gene_model_track,Options:GeneOnly]&amp;mk=371793:371812|offset_6|444444,371836:371855|offset_49|00cc00,371871:371890|offset_84|444444,371920:371939|offset_133|444444&amp;v=371592:372139&amp;c=444444", "offset 49")</f>
        <v>offset 49</v>
      </c>
    </row>
    <row r="1195" customFormat="false" ht="12.8" hidden="false" customHeight="false" outlineLevel="0" collapsed="false">
      <c r="A1195" s="0" t="s">
        <v>12</v>
      </c>
      <c r="B1195" s="0" t="n">
        <v>371870</v>
      </c>
      <c r="C1195" s="0" t="n">
        <v>371890</v>
      </c>
      <c r="D1195" s="0" t="s">
        <v>3987</v>
      </c>
      <c r="E1195" s="0" t="s">
        <v>75</v>
      </c>
      <c r="F1195" s="0" t="s">
        <v>15</v>
      </c>
      <c r="G1195" s="0" t="s">
        <v>16</v>
      </c>
      <c r="H1195" s="0" t="n">
        <v>84</v>
      </c>
      <c r="I1195" s="0" t="s">
        <v>3994</v>
      </c>
      <c r="J1195" s="0" t="s">
        <v>3995</v>
      </c>
      <c r="K1195" s="0" t="s">
        <v>3996</v>
      </c>
      <c r="L1195" s="0" t="str">
        <f aca="false">HYPERLINK("https://www.ncbi.nlm.nih.gov/nuccore/CP000058.1?report=graph&amp;tracks=[key:gene_model_track,Options:GeneOnly]&amp;mk=371793:371812|offset_6|444444,371836:371855|offset_49|444444,371871:371890|offset_84|00cc00,371920:371939|offset_133|444444&amp;v=371592:372139&amp;c=444444", "offset 84")</f>
        <v>offset 84</v>
      </c>
    </row>
    <row r="1196" customFormat="false" ht="12.8" hidden="false" customHeight="false" outlineLevel="0" collapsed="false">
      <c r="A1196" s="0" t="s">
        <v>12</v>
      </c>
      <c r="B1196" s="0" t="n">
        <v>371919</v>
      </c>
      <c r="C1196" s="0" t="n">
        <v>371939</v>
      </c>
      <c r="D1196" s="0" t="s">
        <v>3987</v>
      </c>
      <c r="E1196" s="0" t="s">
        <v>75</v>
      </c>
      <c r="F1196" s="0" t="s">
        <v>15</v>
      </c>
      <c r="G1196" s="0" t="s">
        <v>16</v>
      </c>
      <c r="H1196" s="0" t="n">
        <v>133</v>
      </c>
      <c r="I1196" s="0" t="s">
        <v>3997</v>
      </c>
      <c r="J1196" s="0" t="s">
        <v>3998</v>
      </c>
      <c r="K1196" s="0" t="s">
        <v>3999</v>
      </c>
      <c r="L1196" s="0" t="str">
        <f aca="false">HYPERLINK("https://www.ncbi.nlm.nih.gov/nuccore/CP000058.1?report=graph&amp;tracks=[key:gene_model_track,Options:GeneOnly]&amp;mk=371793:371812|offset_6|444444,371836:371855|offset_49|444444,371871:371890|offset_84|444444,371920:371939|offset_133|00cc00&amp;v=371592:372139&amp;c=444444", "offset 133")</f>
        <v>offset 133</v>
      </c>
    </row>
    <row r="1197" customFormat="false" ht="12.8" hidden="false" customHeight="false" outlineLevel="0" collapsed="false">
      <c r="A1197" s="0" t="s">
        <v>12</v>
      </c>
      <c r="B1197" s="0" t="n">
        <v>372939</v>
      </c>
      <c r="C1197" s="0" t="n">
        <v>372959</v>
      </c>
      <c r="D1197" s="0" t="s">
        <v>4000</v>
      </c>
      <c r="E1197" s="0" t="s">
        <v>75</v>
      </c>
      <c r="F1197" s="0" t="s">
        <v>15</v>
      </c>
      <c r="G1197" s="0" t="s">
        <v>20</v>
      </c>
      <c r="H1197" s="0" t="n">
        <v>38</v>
      </c>
      <c r="I1197" s="0" t="s">
        <v>4001</v>
      </c>
      <c r="J1197" s="0" t="s">
        <v>4002</v>
      </c>
      <c r="K1197" s="0" t="s">
        <v>4003</v>
      </c>
      <c r="L1197" s="0" t="str">
        <f aca="false">HYPERLINK("https://www.ncbi.nlm.nih.gov/nuccore/CP000058.1?report=graph&amp;tracks=[key:gene_model_track,Options:GeneOnly]&amp;mk=372940:372959|offset_38|00cc00,372987:373006|offset_85|444444,373007:373026|offset_105|444444,373031:373050|offset_129|444444&amp;v=372739:373250&amp;c=444444", "offset 38")</f>
        <v>offset 38</v>
      </c>
    </row>
    <row r="1198" customFormat="false" ht="12.8" hidden="false" customHeight="false" outlineLevel="0" collapsed="false">
      <c r="A1198" s="0" t="s">
        <v>12</v>
      </c>
      <c r="B1198" s="0" t="n">
        <v>372986</v>
      </c>
      <c r="C1198" s="0" t="n">
        <v>373006</v>
      </c>
      <c r="D1198" s="0" t="s">
        <v>4000</v>
      </c>
      <c r="E1198" s="0" t="s">
        <v>75</v>
      </c>
      <c r="F1198" s="0" t="s">
        <v>15</v>
      </c>
      <c r="G1198" s="0" t="s">
        <v>36</v>
      </c>
      <c r="H1198" s="0" t="n">
        <v>85</v>
      </c>
      <c r="I1198" s="0" t="s">
        <v>4004</v>
      </c>
      <c r="J1198" s="0" t="s">
        <v>4005</v>
      </c>
      <c r="K1198" s="0" t="s">
        <v>4006</v>
      </c>
      <c r="L1198" s="0" t="str">
        <f aca="false">HYPERLINK("https://www.ncbi.nlm.nih.gov/nuccore/CP000058.1?report=graph&amp;tracks=[key:gene_model_track,Options:GeneOnly]&amp;mk=372940:372959|offset_38|444444,372987:373006|offset_85|00cc00,373007:373026|offset_105|444444,373031:373050|offset_129|444444&amp;v=372739:373250&amp;c=444444", "offset 85")</f>
        <v>offset 85</v>
      </c>
    </row>
    <row r="1199" customFormat="false" ht="12.8" hidden="false" customHeight="false" outlineLevel="0" collapsed="false">
      <c r="A1199" s="0" t="s">
        <v>12</v>
      </c>
      <c r="B1199" s="0" t="n">
        <v>373006</v>
      </c>
      <c r="C1199" s="0" t="n">
        <v>373026</v>
      </c>
      <c r="D1199" s="0" t="s">
        <v>4000</v>
      </c>
      <c r="E1199" s="0" t="s">
        <v>75</v>
      </c>
      <c r="F1199" s="0" t="s">
        <v>15</v>
      </c>
      <c r="G1199" s="0" t="s">
        <v>20</v>
      </c>
      <c r="H1199" s="0" t="n">
        <v>105</v>
      </c>
      <c r="I1199" s="0" t="s">
        <v>4007</v>
      </c>
      <c r="J1199" s="0" t="s">
        <v>4008</v>
      </c>
      <c r="K1199" s="0" t="s">
        <v>4009</v>
      </c>
      <c r="L1199" s="0" t="str">
        <f aca="false">HYPERLINK("https://www.ncbi.nlm.nih.gov/nuccore/CP000058.1?report=graph&amp;tracks=[key:gene_model_track,Options:GeneOnly]&amp;mk=372940:372959|offset_38|444444,372987:373006|offset_85|444444,373007:373026|offset_105|00cc00,373031:373050|offset_129|444444&amp;v=372739:373250&amp;c=444444", "offset 105")</f>
        <v>offset 105</v>
      </c>
    </row>
    <row r="1200" customFormat="false" ht="12.8" hidden="false" customHeight="false" outlineLevel="0" collapsed="false">
      <c r="A1200" s="0" t="s">
        <v>12</v>
      </c>
      <c r="B1200" s="0" t="n">
        <v>373030</v>
      </c>
      <c r="C1200" s="0" t="n">
        <v>373050</v>
      </c>
      <c r="D1200" s="0" t="s">
        <v>4000</v>
      </c>
      <c r="E1200" s="0" t="s">
        <v>75</v>
      </c>
      <c r="F1200" s="0" t="s">
        <v>15</v>
      </c>
      <c r="G1200" s="0" t="s">
        <v>20</v>
      </c>
      <c r="H1200" s="0" t="n">
        <v>129</v>
      </c>
      <c r="I1200" s="0" t="s">
        <v>4010</v>
      </c>
      <c r="J1200" s="0" t="s">
        <v>4011</v>
      </c>
      <c r="K1200" s="0" t="s">
        <v>4012</v>
      </c>
      <c r="L1200" s="0" t="str">
        <f aca="false">HYPERLINK("https://www.ncbi.nlm.nih.gov/nuccore/CP000058.1?report=graph&amp;tracks=[key:gene_model_track,Options:GeneOnly]&amp;mk=372940:372959|offset_38|444444,372987:373006|offset_85|444444,373007:373026|offset_105|444444,373031:373050|offset_129|00cc00&amp;v=372739:373250&amp;c=444444", "offset 129")</f>
        <v>offset 129</v>
      </c>
    </row>
    <row r="1201" customFormat="false" ht="12.8" hidden="false" customHeight="false" outlineLevel="0" collapsed="false">
      <c r="A1201" s="0" t="s">
        <v>12</v>
      </c>
      <c r="B1201" s="0" t="n">
        <v>374011</v>
      </c>
      <c r="C1201" s="0" t="n">
        <v>374031</v>
      </c>
      <c r="D1201" s="0" t="s">
        <v>4013</v>
      </c>
      <c r="E1201" s="0" t="s">
        <v>75</v>
      </c>
      <c r="F1201" s="0" t="s">
        <v>15</v>
      </c>
      <c r="G1201" s="0" t="s">
        <v>16</v>
      </c>
      <c r="H1201" s="0" t="n">
        <v>25</v>
      </c>
      <c r="I1201" s="0" t="s">
        <v>4014</v>
      </c>
      <c r="J1201" s="0" t="s">
        <v>4015</v>
      </c>
      <c r="K1201" s="0" t="s">
        <v>4016</v>
      </c>
      <c r="L1201" s="0" t="str">
        <f aca="false">HYPERLINK("https://www.ncbi.nlm.nih.gov/nuccore/CP000058.1?report=graph&amp;tracks=[key:gene_model_track,Options:GeneOnly]&amp;mk=374012:374031|offset_25|00cc00,374049:374068|offset_62|444444,374084:374103|offset_97|444444,374112:374131|offset_125|444444&amp;v=373811:374331&amp;c=444444", "offset 25")</f>
        <v>offset 25</v>
      </c>
    </row>
    <row r="1202" customFormat="false" ht="12.8" hidden="false" customHeight="false" outlineLevel="0" collapsed="false">
      <c r="A1202" s="0" t="s">
        <v>12</v>
      </c>
      <c r="B1202" s="0" t="n">
        <v>374048</v>
      </c>
      <c r="C1202" s="0" t="n">
        <v>374068</v>
      </c>
      <c r="D1202" s="0" t="s">
        <v>4013</v>
      </c>
      <c r="E1202" s="0" t="s">
        <v>75</v>
      </c>
      <c r="F1202" s="0" t="s">
        <v>15</v>
      </c>
      <c r="G1202" s="0" t="s">
        <v>20</v>
      </c>
      <c r="H1202" s="0" t="n">
        <v>62</v>
      </c>
      <c r="I1202" s="0" t="s">
        <v>4017</v>
      </c>
      <c r="J1202" s="0" t="s">
        <v>4018</v>
      </c>
      <c r="K1202" s="0" t="s">
        <v>4019</v>
      </c>
      <c r="L1202" s="0" t="str">
        <f aca="false">HYPERLINK("https://www.ncbi.nlm.nih.gov/nuccore/CP000058.1?report=graph&amp;tracks=[key:gene_model_track,Options:GeneOnly]&amp;mk=374012:374031|offset_25|444444,374049:374068|offset_62|00cc00,374084:374103|offset_97|444444,374112:374131|offset_125|444444&amp;v=373811:374331&amp;c=444444", "offset 62")</f>
        <v>offset 62</v>
      </c>
    </row>
    <row r="1203" customFormat="false" ht="12.8" hidden="false" customHeight="false" outlineLevel="0" collapsed="false">
      <c r="A1203" s="0" t="s">
        <v>12</v>
      </c>
      <c r="B1203" s="0" t="n">
        <v>374083</v>
      </c>
      <c r="C1203" s="0" t="n">
        <v>374103</v>
      </c>
      <c r="D1203" s="0" t="s">
        <v>4013</v>
      </c>
      <c r="E1203" s="0" t="s">
        <v>75</v>
      </c>
      <c r="F1203" s="0" t="s">
        <v>15</v>
      </c>
      <c r="G1203" s="0" t="s">
        <v>20</v>
      </c>
      <c r="H1203" s="0" t="n">
        <v>97</v>
      </c>
      <c r="I1203" s="0" t="s">
        <v>4020</v>
      </c>
      <c r="J1203" s="0" t="s">
        <v>4021</v>
      </c>
      <c r="K1203" s="0" t="s">
        <v>4022</v>
      </c>
      <c r="L1203" s="0" t="str">
        <f aca="false">HYPERLINK("https://www.ncbi.nlm.nih.gov/nuccore/CP000058.1?report=graph&amp;tracks=[key:gene_model_track,Options:GeneOnly]&amp;mk=374012:374031|offset_25|444444,374049:374068|offset_62|444444,374084:374103|offset_97|00cc00,374112:374131|offset_125|444444&amp;v=373811:374331&amp;c=444444", "offset 97")</f>
        <v>offset 97</v>
      </c>
    </row>
    <row r="1204" customFormat="false" ht="12.8" hidden="false" customHeight="false" outlineLevel="0" collapsed="false">
      <c r="A1204" s="0" t="s">
        <v>12</v>
      </c>
      <c r="B1204" s="0" t="n">
        <v>374111</v>
      </c>
      <c r="C1204" s="0" t="n">
        <v>374131</v>
      </c>
      <c r="D1204" s="0" t="s">
        <v>4013</v>
      </c>
      <c r="E1204" s="0" t="s">
        <v>75</v>
      </c>
      <c r="F1204" s="0" t="s">
        <v>15</v>
      </c>
      <c r="G1204" s="0" t="s">
        <v>36</v>
      </c>
      <c r="H1204" s="0" t="n">
        <v>125</v>
      </c>
      <c r="I1204" s="0" t="s">
        <v>4023</v>
      </c>
      <c r="J1204" s="0" t="s">
        <v>4024</v>
      </c>
      <c r="K1204" s="0" t="s">
        <v>4025</v>
      </c>
      <c r="L1204" s="0" t="str">
        <f aca="false">HYPERLINK("https://www.ncbi.nlm.nih.gov/nuccore/CP000058.1?report=graph&amp;tracks=[key:gene_model_track,Options:GeneOnly]&amp;mk=374012:374031|offset_25|444444,374049:374068|offset_62|444444,374084:374103|offset_97|444444,374112:374131|offset_125|00cc00&amp;v=373811:374331&amp;c=444444", "offset 125")</f>
        <v>offset 125</v>
      </c>
    </row>
    <row r="1205" customFormat="false" ht="12.8" hidden="false" customHeight="false" outlineLevel="0" collapsed="false">
      <c r="A1205" s="0" t="s">
        <v>12</v>
      </c>
      <c r="B1205" s="0" t="n">
        <v>377548</v>
      </c>
      <c r="C1205" s="0" t="n">
        <v>377568</v>
      </c>
      <c r="D1205" s="0" t="s">
        <v>4026</v>
      </c>
      <c r="E1205" s="0" t="s">
        <v>75</v>
      </c>
      <c r="F1205" s="0" t="s">
        <v>90</v>
      </c>
      <c r="G1205" s="0" t="s">
        <v>36</v>
      </c>
      <c r="H1205" s="0" t="n">
        <v>61</v>
      </c>
      <c r="I1205" s="0" t="s">
        <v>4027</v>
      </c>
      <c r="J1205" s="0" t="s">
        <v>4028</v>
      </c>
      <c r="K1205" s="0" t="s">
        <v>4029</v>
      </c>
      <c r="L1205" s="0" t="str">
        <f aca="false">HYPERLINK("https://www.ncbi.nlm.nih.gov/nuccore/CP000058.1?report=graph&amp;tracks=[key:gene_model_track,Options:GeneOnly]&amp;mk=377549:377568|offset_61|00cc00,377520:377539|offset_90|444444,377477:377496|offset_133|444444,377451:377470|offset_159|444444&amp;v=377348:377670&amp;c=444444", "offset 61")</f>
        <v>offset 61</v>
      </c>
    </row>
    <row r="1206" customFormat="false" ht="12.8" hidden="false" customHeight="false" outlineLevel="0" collapsed="false">
      <c r="A1206" s="0" t="s">
        <v>12</v>
      </c>
      <c r="B1206" s="0" t="n">
        <v>377519</v>
      </c>
      <c r="C1206" s="0" t="n">
        <v>377539</v>
      </c>
      <c r="D1206" s="0" t="s">
        <v>4026</v>
      </c>
      <c r="E1206" s="0" t="s">
        <v>75</v>
      </c>
      <c r="F1206" s="0" t="s">
        <v>90</v>
      </c>
      <c r="G1206" s="0" t="s">
        <v>36</v>
      </c>
      <c r="H1206" s="0" t="n">
        <v>90</v>
      </c>
      <c r="I1206" s="0" t="s">
        <v>4030</v>
      </c>
      <c r="J1206" s="0" t="s">
        <v>4031</v>
      </c>
      <c r="K1206" s="0" t="s">
        <v>4032</v>
      </c>
      <c r="L1206" s="0" t="str">
        <f aca="false">HYPERLINK("https://www.ncbi.nlm.nih.gov/nuccore/CP000058.1?report=graph&amp;tracks=[key:gene_model_track,Options:GeneOnly]&amp;mk=377549:377568|offset_61|444444,377520:377539|offset_90|00cc00,377477:377496|offset_133|444444,377451:377470|offset_159|444444&amp;v=377348:377670&amp;c=444444", "offset 90")</f>
        <v>offset 90</v>
      </c>
    </row>
    <row r="1207" customFormat="false" ht="12.8" hidden="false" customHeight="false" outlineLevel="0" collapsed="false">
      <c r="A1207" s="0" t="s">
        <v>12</v>
      </c>
      <c r="B1207" s="0" t="n">
        <v>377476</v>
      </c>
      <c r="C1207" s="0" t="n">
        <v>377496</v>
      </c>
      <c r="D1207" s="0" t="s">
        <v>4026</v>
      </c>
      <c r="E1207" s="0" t="s">
        <v>75</v>
      </c>
      <c r="F1207" s="0" t="s">
        <v>90</v>
      </c>
      <c r="G1207" s="0" t="s">
        <v>16</v>
      </c>
      <c r="H1207" s="0" t="n">
        <v>133</v>
      </c>
      <c r="I1207" s="0" t="s">
        <v>4033</v>
      </c>
      <c r="J1207" s="0" t="s">
        <v>4034</v>
      </c>
      <c r="K1207" s="0" t="s">
        <v>4035</v>
      </c>
      <c r="L1207" s="0" t="str">
        <f aca="false">HYPERLINK("https://www.ncbi.nlm.nih.gov/nuccore/CP000058.1?report=graph&amp;tracks=[key:gene_model_track,Options:GeneOnly]&amp;mk=377549:377568|offset_61|444444,377520:377539|offset_90|444444,377477:377496|offset_133|00cc00,377451:377470|offset_159|444444&amp;v=377348:377670&amp;c=444444", "offset 133")</f>
        <v>offset 133</v>
      </c>
    </row>
    <row r="1208" customFormat="false" ht="12.8" hidden="false" customHeight="false" outlineLevel="0" collapsed="false">
      <c r="A1208" s="0" t="s">
        <v>12</v>
      </c>
      <c r="B1208" s="0" t="n">
        <v>377450</v>
      </c>
      <c r="C1208" s="0" t="n">
        <v>377470</v>
      </c>
      <c r="D1208" s="0" t="s">
        <v>4026</v>
      </c>
      <c r="E1208" s="0" t="s">
        <v>75</v>
      </c>
      <c r="F1208" s="0" t="s">
        <v>90</v>
      </c>
      <c r="G1208" s="0" t="s">
        <v>36</v>
      </c>
      <c r="H1208" s="0" t="n">
        <v>159</v>
      </c>
      <c r="I1208" s="0" t="s">
        <v>4036</v>
      </c>
      <c r="J1208" s="0" t="s">
        <v>4037</v>
      </c>
      <c r="K1208" s="0" t="s">
        <v>4038</v>
      </c>
      <c r="L1208" s="0" t="str">
        <f aca="false">HYPERLINK("https://www.ncbi.nlm.nih.gov/nuccore/CP000058.1?report=graph&amp;tracks=[key:gene_model_track,Options:GeneOnly]&amp;mk=377549:377568|offset_61|444444,377520:377539|offset_90|444444,377477:377496|offset_133|444444,377451:377470|offset_159|00cc00&amp;v=377348:377670&amp;c=444444", "offset 159")</f>
        <v>offset 159</v>
      </c>
    </row>
    <row r="1209" customFormat="false" ht="12.8" hidden="false" customHeight="false" outlineLevel="0" collapsed="false">
      <c r="A1209" s="0" t="s">
        <v>12</v>
      </c>
      <c r="B1209" s="0" t="n">
        <v>378352</v>
      </c>
      <c r="C1209" s="0" t="n">
        <v>378372</v>
      </c>
      <c r="D1209" s="0" t="s">
        <v>4039</v>
      </c>
      <c r="E1209" s="0" t="s">
        <v>75</v>
      </c>
      <c r="F1209" s="0" t="s">
        <v>90</v>
      </c>
      <c r="G1209" s="0" t="s">
        <v>36</v>
      </c>
      <c r="H1209" s="0" t="n">
        <v>14</v>
      </c>
      <c r="I1209" s="0" t="s">
        <v>4040</v>
      </c>
      <c r="J1209" s="0" t="s">
        <v>4041</v>
      </c>
      <c r="K1209" s="0" t="s">
        <v>4042</v>
      </c>
      <c r="L1209" s="0" t="str">
        <f aca="false">HYPERLINK("https://www.ncbi.nlm.nih.gov/nuccore/CP000058.1?report=graph&amp;tracks=[key:gene_model_track,Options:GeneOnly]&amp;mk=378353:378372|offset_14|00cc00,378330:378349|offset_37|444444,378297:378316|offset_70|444444,378269:378288|offset_98|444444&amp;v=378152:378488&amp;c=444444", "offset 14")</f>
        <v>offset 14</v>
      </c>
    </row>
    <row r="1210" customFormat="false" ht="12.8" hidden="false" customHeight="false" outlineLevel="0" collapsed="false">
      <c r="A1210" s="0" t="s">
        <v>12</v>
      </c>
      <c r="B1210" s="0" t="n">
        <v>378329</v>
      </c>
      <c r="C1210" s="0" t="n">
        <v>378349</v>
      </c>
      <c r="D1210" s="0" t="s">
        <v>4039</v>
      </c>
      <c r="E1210" s="0" t="s">
        <v>75</v>
      </c>
      <c r="F1210" s="0" t="s">
        <v>90</v>
      </c>
      <c r="G1210" s="0" t="s">
        <v>20</v>
      </c>
      <c r="H1210" s="0" t="n">
        <v>37</v>
      </c>
      <c r="I1210" s="0" t="s">
        <v>4043</v>
      </c>
      <c r="J1210" s="0" t="s">
        <v>4044</v>
      </c>
      <c r="K1210" s="0" t="s">
        <v>4045</v>
      </c>
      <c r="L1210" s="0" t="str">
        <f aca="false">HYPERLINK("https://www.ncbi.nlm.nih.gov/nuccore/CP000058.1?report=graph&amp;tracks=[key:gene_model_track,Options:GeneOnly]&amp;mk=378353:378372|offset_14|444444,378330:378349|offset_37|00cc00,378297:378316|offset_70|444444,378269:378288|offset_98|444444&amp;v=378152:378488&amp;c=444444", "offset 37")</f>
        <v>offset 37</v>
      </c>
    </row>
    <row r="1211" customFormat="false" ht="12.8" hidden="false" customHeight="false" outlineLevel="0" collapsed="false">
      <c r="A1211" s="0" t="s">
        <v>12</v>
      </c>
      <c r="B1211" s="0" t="n">
        <v>378296</v>
      </c>
      <c r="C1211" s="0" t="n">
        <v>378316</v>
      </c>
      <c r="D1211" s="0" t="s">
        <v>4039</v>
      </c>
      <c r="E1211" s="0" t="s">
        <v>75</v>
      </c>
      <c r="F1211" s="0" t="s">
        <v>90</v>
      </c>
      <c r="G1211" s="0" t="s">
        <v>16</v>
      </c>
      <c r="H1211" s="0" t="n">
        <v>70</v>
      </c>
      <c r="I1211" s="0" t="s">
        <v>4046</v>
      </c>
      <c r="J1211" s="0" t="s">
        <v>4047</v>
      </c>
      <c r="K1211" s="0" t="s">
        <v>4048</v>
      </c>
      <c r="L1211" s="0" t="str">
        <f aca="false">HYPERLINK("https://www.ncbi.nlm.nih.gov/nuccore/CP000058.1?report=graph&amp;tracks=[key:gene_model_track,Options:GeneOnly]&amp;mk=378353:378372|offset_14|444444,378330:378349|offset_37|444444,378297:378316|offset_70|00cc00,378269:378288|offset_98|444444&amp;v=378152:378488&amp;c=444444", "offset 70")</f>
        <v>offset 70</v>
      </c>
    </row>
    <row r="1212" customFormat="false" ht="12.8" hidden="false" customHeight="false" outlineLevel="0" collapsed="false">
      <c r="A1212" s="0" t="s">
        <v>12</v>
      </c>
      <c r="B1212" s="0" t="n">
        <v>378268</v>
      </c>
      <c r="C1212" s="0" t="n">
        <v>378288</v>
      </c>
      <c r="D1212" s="0" t="s">
        <v>4039</v>
      </c>
      <c r="E1212" s="0" t="s">
        <v>75</v>
      </c>
      <c r="F1212" s="0" t="s">
        <v>90</v>
      </c>
      <c r="G1212" s="0" t="s">
        <v>32</v>
      </c>
      <c r="H1212" s="0" t="n">
        <v>98</v>
      </c>
      <c r="I1212" s="0" t="s">
        <v>4049</v>
      </c>
      <c r="J1212" s="0" t="s">
        <v>4050</v>
      </c>
      <c r="K1212" s="0" t="s">
        <v>4051</v>
      </c>
      <c r="L1212" s="0" t="str">
        <f aca="false">HYPERLINK("https://www.ncbi.nlm.nih.gov/nuccore/CP000058.1?report=graph&amp;tracks=[key:gene_model_track,Options:GeneOnly]&amp;mk=378353:378372|offset_14|444444,378330:378349|offset_37|444444,378297:378316|offset_70|444444,378269:378288|offset_98|00cc00&amp;v=378152:378488&amp;c=444444", "offset 98")</f>
        <v>offset 98</v>
      </c>
    </row>
    <row r="1213" customFormat="false" ht="12.8" hidden="false" customHeight="false" outlineLevel="0" collapsed="false">
      <c r="A1213" s="0" t="s">
        <v>12</v>
      </c>
      <c r="B1213" s="0" t="n">
        <v>379036</v>
      </c>
      <c r="C1213" s="0" t="n">
        <v>379056</v>
      </c>
      <c r="D1213" s="0" t="s">
        <v>4052</v>
      </c>
      <c r="E1213" s="0" t="s">
        <v>75</v>
      </c>
      <c r="F1213" s="0" t="s">
        <v>90</v>
      </c>
      <c r="G1213" s="0" t="s">
        <v>36</v>
      </c>
      <c r="H1213" s="0" t="n">
        <v>31</v>
      </c>
      <c r="I1213" s="0" t="s">
        <v>4053</v>
      </c>
      <c r="J1213" s="0" t="s">
        <v>4054</v>
      </c>
      <c r="K1213" s="0" t="s">
        <v>4055</v>
      </c>
      <c r="L1213" s="0" t="str">
        <f aca="false">HYPERLINK("https://www.ncbi.nlm.nih.gov/nuccore/CP000058.1?report=graph&amp;tracks=[key:gene_model_track,Options:GeneOnly]&amp;mk=379037:379056|offset_31|00cc00,378979:378998|offset_89|444444,378956:378975|offset_112|444444,378927:378946|offset_141|444444&amp;v=378836:379146&amp;c=444444", "offset 31")</f>
        <v>offset 31</v>
      </c>
    </row>
    <row r="1214" customFormat="false" ht="12.8" hidden="false" customHeight="false" outlineLevel="0" collapsed="false">
      <c r="A1214" s="0" t="s">
        <v>12</v>
      </c>
      <c r="B1214" s="0" t="n">
        <v>378978</v>
      </c>
      <c r="C1214" s="0" t="n">
        <v>378998</v>
      </c>
      <c r="D1214" s="0" t="s">
        <v>4052</v>
      </c>
      <c r="E1214" s="0" t="s">
        <v>75</v>
      </c>
      <c r="F1214" s="0" t="s">
        <v>90</v>
      </c>
      <c r="G1214" s="0" t="s">
        <v>36</v>
      </c>
      <c r="H1214" s="0" t="n">
        <v>89</v>
      </c>
      <c r="I1214" s="0" t="s">
        <v>4056</v>
      </c>
      <c r="J1214" s="0" t="s">
        <v>4057</v>
      </c>
      <c r="K1214" s="0" t="s">
        <v>4058</v>
      </c>
      <c r="L1214" s="0" t="str">
        <f aca="false">HYPERLINK("https://www.ncbi.nlm.nih.gov/nuccore/CP000058.1?report=graph&amp;tracks=[key:gene_model_track,Options:GeneOnly]&amp;mk=379037:379056|offset_31|444444,378979:378998|offset_89|00cc00,378956:378975|offset_112|444444,378927:378946|offset_141|444444&amp;v=378836:379146&amp;c=444444", "offset 89")</f>
        <v>offset 89</v>
      </c>
    </row>
    <row r="1215" customFormat="false" ht="12.8" hidden="false" customHeight="false" outlineLevel="0" collapsed="false">
      <c r="A1215" s="0" t="s">
        <v>12</v>
      </c>
      <c r="B1215" s="0" t="n">
        <v>378955</v>
      </c>
      <c r="C1215" s="0" t="n">
        <v>378975</v>
      </c>
      <c r="D1215" s="0" t="s">
        <v>4052</v>
      </c>
      <c r="E1215" s="0" t="s">
        <v>75</v>
      </c>
      <c r="F1215" s="0" t="s">
        <v>90</v>
      </c>
      <c r="G1215" s="0" t="s">
        <v>32</v>
      </c>
      <c r="H1215" s="0" t="n">
        <v>112</v>
      </c>
      <c r="I1215" s="0" t="s">
        <v>4059</v>
      </c>
      <c r="J1215" s="0" t="s">
        <v>4060</v>
      </c>
      <c r="K1215" s="0" t="s">
        <v>4061</v>
      </c>
      <c r="L1215" s="0" t="str">
        <f aca="false">HYPERLINK("https://www.ncbi.nlm.nih.gov/nuccore/CP000058.1?report=graph&amp;tracks=[key:gene_model_track,Options:GeneOnly]&amp;mk=379037:379056|offset_31|444444,378979:378998|offset_89|444444,378956:378975|offset_112|00cc00,378927:378946|offset_141|444444&amp;v=378836:379146&amp;c=444444", "offset 112")</f>
        <v>offset 112</v>
      </c>
    </row>
    <row r="1216" customFormat="false" ht="12.8" hidden="false" customHeight="false" outlineLevel="0" collapsed="false">
      <c r="A1216" s="0" t="s">
        <v>12</v>
      </c>
      <c r="B1216" s="0" t="n">
        <v>378926</v>
      </c>
      <c r="C1216" s="0" t="n">
        <v>378946</v>
      </c>
      <c r="D1216" s="0" t="s">
        <v>4052</v>
      </c>
      <c r="E1216" s="0" t="s">
        <v>75</v>
      </c>
      <c r="F1216" s="0" t="s">
        <v>90</v>
      </c>
      <c r="G1216" s="0" t="s">
        <v>16</v>
      </c>
      <c r="H1216" s="0" t="n">
        <v>141</v>
      </c>
      <c r="I1216" s="0" t="s">
        <v>4062</v>
      </c>
      <c r="J1216" s="0" t="s">
        <v>4063</v>
      </c>
      <c r="K1216" s="0" t="s">
        <v>4064</v>
      </c>
      <c r="L1216" s="0" t="str">
        <f aca="false">HYPERLINK("https://www.ncbi.nlm.nih.gov/nuccore/CP000058.1?report=graph&amp;tracks=[key:gene_model_track,Options:GeneOnly]&amp;mk=379037:379056|offset_31|444444,378979:378998|offset_89|444444,378956:378975|offset_112|444444,378927:378946|offset_141|00cc00&amp;v=378836:379146&amp;c=444444", "offset 141")</f>
        <v>offset 141</v>
      </c>
    </row>
    <row r="1217" customFormat="false" ht="12.8" hidden="false" customHeight="false" outlineLevel="0" collapsed="false">
      <c r="A1217" s="0" t="s">
        <v>12</v>
      </c>
      <c r="B1217" s="0" t="n">
        <v>380180</v>
      </c>
      <c r="C1217" s="0" t="n">
        <v>380200</v>
      </c>
      <c r="D1217" s="0" t="s">
        <v>4065</v>
      </c>
      <c r="E1217" s="0" t="s">
        <v>75</v>
      </c>
      <c r="F1217" s="0" t="s">
        <v>90</v>
      </c>
      <c r="G1217" s="0" t="s">
        <v>16</v>
      </c>
      <c r="H1217" s="0" t="n">
        <v>7</v>
      </c>
      <c r="I1217" s="0" t="s">
        <v>4066</v>
      </c>
      <c r="J1217" s="0" t="s">
        <v>4067</v>
      </c>
      <c r="K1217" s="0" t="s">
        <v>4068</v>
      </c>
      <c r="L1217" s="0" t="str">
        <f aca="false">HYPERLINK("https://www.ncbi.nlm.nih.gov/nuccore/CP000058.1?report=graph&amp;tracks=[key:gene_model_track,Options:GeneOnly]&amp;mk=380181:380200|offset_7|00cc00,380158:380177|offset_30|444444,380118:380137|offset_70|444444,380091:380110|offset_97|444444&amp;v=379980:380310&amp;c=444444", "offset 7")</f>
        <v>offset 7</v>
      </c>
    </row>
    <row r="1218" customFormat="false" ht="12.8" hidden="false" customHeight="false" outlineLevel="0" collapsed="false">
      <c r="A1218" s="0" t="s">
        <v>12</v>
      </c>
      <c r="B1218" s="0" t="n">
        <v>380157</v>
      </c>
      <c r="C1218" s="0" t="n">
        <v>380177</v>
      </c>
      <c r="D1218" s="0" t="s">
        <v>4065</v>
      </c>
      <c r="E1218" s="0" t="s">
        <v>75</v>
      </c>
      <c r="F1218" s="0" t="s">
        <v>90</v>
      </c>
      <c r="G1218" s="0" t="s">
        <v>32</v>
      </c>
      <c r="H1218" s="0" t="n">
        <v>30</v>
      </c>
      <c r="I1218" s="0" t="s">
        <v>4069</v>
      </c>
      <c r="J1218" s="0" t="s">
        <v>4070</v>
      </c>
      <c r="K1218" s="0" t="s">
        <v>4071</v>
      </c>
      <c r="L1218" s="0" t="str">
        <f aca="false">HYPERLINK("https://www.ncbi.nlm.nih.gov/nuccore/CP000058.1?report=graph&amp;tracks=[key:gene_model_track,Options:GeneOnly]&amp;mk=380181:380200|offset_7|444444,380158:380177|offset_30|00cc00,380118:380137|offset_70|444444,380091:380110|offset_97|444444&amp;v=379980:380310&amp;c=444444", "offset 30")</f>
        <v>offset 30</v>
      </c>
    </row>
    <row r="1219" customFormat="false" ht="12.8" hidden="false" customHeight="false" outlineLevel="0" collapsed="false">
      <c r="A1219" s="0" t="s">
        <v>12</v>
      </c>
      <c r="B1219" s="0" t="n">
        <v>380117</v>
      </c>
      <c r="C1219" s="0" t="n">
        <v>380137</v>
      </c>
      <c r="D1219" s="0" t="s">
        <v>4065</v>
      </c>
      <c r="E1219" s="0" t="s">
        <v>75</v>
      </c>
      <c r="F1219" s="0" t="s">
        <v>90</v>
      </c>
      <c r="G1219" s="0" t="s">
        <v>16</v>
      </c>
      <c r="H1219" s="0" t="n">
        <v>70</v>
      </c>
      <c r="I1219" s="0" t="s">
        <v>4072</v>
      </c>
      <c r="J1219" s="0" t="s">
        <v>4073</v>
      </c>
      <c r="K1219" s="0" t="s">
        <v>4074</v>
      </c>
      <c r="L1219" s="0" t="str">
        <f aca="false">HYPERLINK("https://www.ncbi.nlm.nih.gov/nuccore/CP000058.1?report=graph&amp;tracks=[key:gene_model_track,Options:GeneOnly]&amp;mk=380181:380200|offset_7|444444,380158:380177|offset_30|444444,380118:380137|offset_70|00cc00,380091:380110|offset_97|444444&amp;v=379980:380310&amp;c=444444", "offset 70")</f>
        <v>offset 70</v>
      </c>
    </row>
    <row r="1220" customFormat="false" ht="12.8" hidden="false" customHeight="false" outlineLevel="0" collapsed="false">
      <c r="A1220" s="0" t="s">
        <v>12</v>
      </c>
      <c r="B1220" s="0" t="n">
        <v>380090</v>
      </c>
      <c r="C1220" s="0" t="n">
        <v>380110</v>
      </c>
      <c r="D1220" s="0" t="s">
        <v>4065</v>
      </c>
      <c r="E1220" s="0" t="s">
        <v>75</v>
      </c>
      <c r="F1220" s="0" t="s">
        <v>90</v>
      </c>
      <c r="G1220" s="0" t="s">
        <v>36</v>
      </c>
      <c r="H1220" s="0" t="n">
        <v>97</v>
      </c>
      <c r="I1220" s="0" t="s">
        <v>4075</v>
      </c>
      <c r="J1220" s="0" t="s">
        <v>4076</v>
      </c>
      <c r="K1220" s="0" t="s">
        <v>4077</v>
      </c>
      <c r="L1220" s="0" t="str">
        <f aca="false">HYPERLINK("https://www.ncbi.nlm.nih.gov/nuccore/CP000058.1?report=graph&amp;tracks=[key:gene_model_track,Options:GeneOnly]&amp;mk=380181:380200|offset_7|444444,380158:380177|offset_30|444444,380118:380137|offset_70|444444,380091:380110|offset_97|00cc00&amp;v=379980:380310&amp;c=444444", "offset 97")</f>
        <v>offset 97</v>
      </c>
    </row>
    <row r="1221" customFormat="false" ht="12.8" hidden="false" customHeight="false" outlineLevel="0" collapsed="false">
      <c r="A1221" s="0" t="s">
        <v>12</v>
      </c>
      <c r="B1221" s="0" t="n">
        <v>380971</v>
      </c>
      <c r="C1221" s="0" t="n">
        <v>380991</v>
      </c>
      <c r="D1221" s="0" t="s">
        <v>4078</v>
      </c>
      <c r="E1221" s="0" t="s">
        <v>75</v>
      </c>
      <c r="F1221" s="0" t="s">
        <v>90</v>
      </c>
      <c r="G1221" s="0" t="s">
        <v>32</v>
      </c>
      <c r="H1221" s="0" t="n">
        <v>1</v>
      </c>
      <c r="I1221" s="0" t="s">
        <v>4079</v>
      </c>
      <c r="J1221" s="0" t="s">
        <v>4080</v>
      </c>
      <c r="K1221" s="0" t="s">
        <v>4081</v>
      </c>
      <c r="L1221" s="0" t="str">
        <f aca="false">HYPERLINK("https://www.ncbi.nlm.nih.gov/nuccore/CP000058.1?report=graph&amp;tracks=[key:gene_model_track,Options:GeneOnly]&amp;mk=380972:380991|offset_1|00cc00,380945:380964|offset_28|444444,380924:380943|offset_49|444444,380904:380923|offset_69|444444&amp;v=380771:381123&amp;c=444444", "offset 1")</f>
        <v>offset 1</v>
      </c>
    </row>
    <row r="1222" customFormat="false" ht="12.8" hidden="false" customHeight="false" outlineLevel="0" collapsed="false">
      <c r="A1222" s="0" t="s">
        <v>12</v>
      </c>
      <c r="B1222" s="0" t="n">
        <v>380944</v>
      </c>
      <c r="C1222" s="0" t="n">
        <v>380964</v>
      </c>
      <c r="D1222" s="0" t="s">
        <v>4078</v>
      </c>
      <c r="E1222" s="0" t="s">
        <v>75</v>
      </c>
      <c r="F1222" s="0" t="s">
        <v>90</v>
      </c>
      <c r="G1222" s="0" t="s">
        <v>36</v>
      </c>
      <c r="H1222" s="0" t="n">
        <v>28</v>
      </c>
      <c r="I1222" s="0" t="s">
        <v>4082</v>
      </c>
      <c r="J1222" s="0" t="s">
        <v>4083</v>
      </c>
      <c r="K1222" s="0" t="s">
        <v>4084</v>
      </c>
      <c r="L1222" s="0" t="str">
        <f aca="false">HYPERLINK("https://www.ncbi.nlm.nih.gov/nuccore/CP000058.1?report=graph&amp;tracks=[key:gene_model_track,Options:GeneOnly]&amp;mk=380972:380991|offset_1|444444,380945:380964|offset_28|00cc00,380924:380943|offset_49|444444,380904:380923|offset_69|444444&amp;v=380771:381123&amp;c=444444", "offset 28")</f>
        <v>offset 28</v>
      </c>
    </row>
    <row r="1223" customFormat="false" ht="12.8" hidden="false" customHeight="false" outlineLevel="0" collapsed="false">
      <c r="A1223" s="0" t="s">
        <v>12</v>
      </c>
      <c r="B1223" s="0" t="n">
        <v>380923</v>
      </c>
      <c r="C1223" s="0" t="n">
        <v>380943</v>
      </c>
      <c r="D1223" s="0" t="s">
        <v>4078</v>
      </c>
      <c r="E1223" s="0" t="s">
        <v>75</v>
      </c>
      <c r="F1223" s="0" t="s">
        <v>90</v>
      </c>
      <c r="G1223" s="0" t="s">
        <v>16</v>
      </c>
      <c r="H1223" s="0" t="n">
        <v>49</v>
      </c>
      <c r="I1223" s="0" t="s">
        <v>4085</v>
      </c>
      <c r="J1223" s="0" t="s">
        <v>4086</v>
      </c>
      <c r="K1223" s="0" t="s">
        <v>4087</v>
      </c>
      <c r="L1223" s="0" t="str">
        <f aca="false">HYPERLINK("https://www.ncbi.nlm.nih.gov/nuccore/CP000058.1?report=graph&amp;tracks=[key:gene_model_track,Options:GeneOnly]&amp;mk=380972:380991|offset_1|444444,380945:380964|offset_28|444444,380924:380943|offset_49|00cc00,380904:380923|offset_69|444444&amp;v=380771:381123&amp;c=444444", "offset 49")</f>
        <v>offset 49</v>
      </c>
    </row>
    <row r="1224" customFormat="false" ht="12.8" hidden="false" customHeight="false" outlineLevel="0" collapsed="false">
      <c r="A1224" s="0" t="s">
        <v>12</v>
      </c>
      <c r="B1224" s="0" t="n">
        <v>380903</v>
      </c>
      <c r="C1224" s="0" t="n">
        <v>380923</v>
      </c>
      <c r="D1224" s="0" t="s">
        <v>4078</v>
      </c>
      <c r="E1224" s="0" t="s">
        <v>75</v>
      </c>
      <c r="F1224" s="0" t="s">
        <v>90</v>
      </c>
      <c r="G1224" s="0" t="s">
        <v>36</v>
      </c>
      <c r="H1224" s="0" t="n">
        <v>69</v>
      </c>
      <c r="I1224" s="0" t="s">
        <v>4088</v>
      </c>
      <c r="J1224" s="0" t="s">
        <v>4089</v>
      </c>
      <c r="K1224" s="0" t="s">
        <v>4090</v>
      </c>
      <c r="L1224" s="0" t="str">
        <f aca="false">HYPERLINK("https://www.ncbi.nlm.nih.gov/nuccore/CP000058.1?report=graph&amp;tracks=[key:gene_model_track,Options:GeneOnly]&amp;mk=380972:380991|offset_1|444444,380945:380964|offset_28|444444,380924:380943|offset_49|444444,380904:380923|offset_69|00cc00&amp;v=380771:381123&amp;c=444444", "offset 69")</f>
        <v>offset 69</v>
      </c>
    </row>
    <row r="1225" customFormat="false" ht="12.8" hidden="false" customHeight="false" outlineLevel="0" collapsed="false">
      <c r="A1225" s="0" t="s">
        <v>12</v>
      </c>
      <c r="B1225" s="0" t="n">
        <v>382566</v>
      </c>
      <c r="C1225" s="0" t="n">
        <v>382586</v>
      </c>
      <c r="D1225" s="0" t="s">
        <v>4091</v>
      </c>
      <c r="E1225" s="0" t="s">
        <v>75</v>
      </c>
      <c r="F1225" s="0" t="s">
        <v>90</v>
      </c>
      <c r="G1225" s="0" t="s">
        <v>20</v>
      </c>
      <c r="H1225" s="0" t="n">
        <v>20</v>
      </c>
      <c r="I1225" s="0" t="s">
        <v>4092</v>
      </c>
      <c r="J1225" s="0" t="s">
        <v>4093</v>
      </c>
      <c r="K1225" s="0" t="s">
        <v>4094</v>
      </c>
      <c r="L1225" s="0" t="str">
        <f aca="false">HYPERLINK("https://www.ncbi.nlm.nih.gov/nuccore/CP000058.1?report=graph&amp;tracks=[key:gene_model_track,Options:GeneOnly]&amp;mk=382567:382586|offset_20|00cc00,382534:382553|offset_53|444444,382511:382530|offset_76|444444,382477:382496|offset_110|444444&amp;v=382366:382696&amp;c=444444", "offset 20")</f>
        <v>offset 20</v>
      </c>
    </row>
    <row r="1226" customFormat="false" ht="12.8" hidden="false" customHeight="false" outlineLevel="0" collapsed="false">
      <c r="A1226" s="0" t="s">
        <v>12</v>
      </c>
      <c r="B1226" s="0" t="n">
        <v>382533</v>
      </c>
      <c r="C1226" s="0" t="n">
        <v>382553</v>
      </c>
      <c r="D1226" s="0" t="s">
        <v>4091</v>
      </c>
      <c r="E1226" s="0" t="s">
        <v>75</v>
      </c>
      <c r="F1226" s="0" t="s">
        <v>90</v>
      </c>
      <c r="G1226" s="0" t="s">
        <v>32</v>
      </c>
      <c r="H1226" s="0" t="n">
        <v>53</v>
      </c>
      <c r="I1226" s="0" t="s">
        <v>4095</v>
      </c>
      <c r="J1226" s="0" t="s">
        <v>4096</v>
      </c>
      <c r="K1226" s="0" t="s">
        <v>4097</v>
      </c>
      <c r="L1226" s="0" t="str">
        <f aca="false">HYPERLINK("https://www.ncbi.nlm.nih.gov/nuccore/CP000058.1?report=graph&amp;tracks=[key:gene_model_track,Options:GeneOnly]&amp;mk=382567:382586|offset_20|444444,382534:382553|offset_53|00cc00,382511:382530|offset_76|444444,382477:382496|offset_110|444444&amp;v=382366:382696&amp;c=444444", "offset 53")</f>
        <v>offset 53</v>
      </c>
    </row>
    <row r="1227" customFormat="false" ht="12.8" hidden="false" customHeight="false" outlineLevel="0" collapsed="false">
      <c r="A1227" s="0" t="s">
        <v>12</v>
      </c>
      <c r="B1227" s="0" t="n">
        <v>382510</v>
      </c>
      <c r="C1227" s="0" t="n">
        <v>382530</v>
      </c>
      <c r="D1227" s="0" t="s">
        <v>4091</v>
      </c>
      <c r="E1227" s="0" t="s">
        <v>75</v>
      </c>
      <c r="F1227" s="0" t="s">
        <v>90</v>
      </c>
      <c r="G1227" s="0" t="s">
        <v>36</v>
      </c>
      <c r="H1227" s="0" t="n">
        <v>76</v>
      </c>
      <c r="I1227" s="0" t="s">
        <v>4098</v>
      </c>
      <c r="J1227" s="0" t="s">
        <v>4099</v>
      </c>
      <c r="K1227" s="0" t="s">
        <v>4100</v>
      </c>
      <c r="L1227" s="0" t="str">
        <f aca="false">HYPERLINK("https://www.ncbi.nlm.nih.gov/nuccore/CP000058.1?report=graph&amp;tracks=[key:gene_model_track,Options:GeneOnly]&amp;mk=382567:382586|offset_20|444444,382534:382553|offset_53|444444,382511:382530|offset_76|00cc00,382477:382496|offset_110|444444&amp;v=382366:382696&amp;c=444444", "offset 76")</f>
        <v>offset 76</v>
      </c>
    </row>
    <row r="1228" customFormat="false" ht="12.8" hidden="false" customHeight="false" outlineLevel="0" collapsed="false">
      <c r="A1228" s="0" t="s">
        <v>12</v>
      </c>
      <c r="B1228" s="0" t="n">
        <v>382476</v>
      </c>
      <c r="C1228" s="0" t="n">
        <v>382496</v>
      </c>
      <c r="D1228" s="0" t="s">
        <v>4091</v>
      </c>
      <c r="E1228" s="0" t="s">
        <v>75</v>
      </c>
      <c r="F1228" s="0" t="s">
        <v>90</v>
      </c>
      <c r="G1228" s="0" t="s">
        <v>20</v>
      </c>
      <c r="H1228" s="0" t="n">
        <v>110</v>
      </c>
      <c r="I1228" s="0" t="s">
        <v>4101</v>
      </c>
      <c r="J1228" s="0" t="s">
        <v>4102</v>
      </c>
      <c r="K1228" s="0" t="s">
        <v>4103</v>
      </c>
      <c r="L1228" s="0" t="str">
        <f aca="false">HYPERLINK("https://www.ncbi.nlm.nih.gov/nuccore/CP000058.1?report=graph&amp;tracks=[key:gene_model_track,Options:GeneOnly]&amp;mk=382567:382586|offset_20|444444,382534:382553|offset_53|444444,382511:382530|offset_76|444444,382477:382496|offset_110|00cc00&amp;v=382366:382696&amp;c=444444", "offset 110")</f>
        <v>offset 110</v>
      </c>
    </row>
    <row r="1229" customFormat="false" ht="12.8" hidden="false" customHeight="false" outlineLevel="0" collapsed="false">
      <c r="A1229" s="0" t="s">
        <v>12</v>
      </c>
      <c r="B1229" s="0" t="n">
        <v>383781</v>
      </c>
      <c r="C1229" s="0" t="n">
        <v>383801</v>
      </c>
      <c r="D1229" s="0" t="s">
        <v>4104</v>
      </c>
      <c r="E1229" s="0" t="s">
        <v>75</v>
      </c>
      <c r="F1229" s="0" t="s">
        <v>90</v>
      </c>
      <c r="G1229" s="0" t="s">
        <v>32</v>
      </c>
      <c r="H1229" s="0" t="n">
        <v>10</v>
      </c>
      <c r="I1229" s="0" t="s">
        <v>4105</v>
      </c>
      <c r="J1229" s="0" t="s">
        <v>4106</v>
      </c>
      <c r="K1229" s="0" t="s">
        <v>4107</v>
      </c>
      <c r="L1229" s="0" t="str">
        <f aca="false">HYPERLINK("https://www.ncbi.nlm.nih.gov/nuccore/CP000058.1?report=graph&amp;tracks=[key:gene_model_track,Options:GeneOnly]&amp;mk=383782:383801|offset_10|00cc00,383746:383765|offset_46|444444,383707:383726|offset_85|444444,383673:383692|offset_119|444444&amp;v=383581:383892&amp;c=444444", "offset 10")</f>
        <v>offset 10</v>
      </c>
    </row>
    <row r="1230" customFormat="false" ht="12.8" hidden="false" customHeight="false" outlineLevel="0" collapsed="false">
      <c r="A1230" s="0" t="s">
        <v>12</v>
      </c>
      <c r="B1230" s="0" t="n">
        <v>383745</v>
      </c>
      <c r="C1230" s="0" t="n">
        <v>383765</v>
      </c>
      <c r="D1230" s="0" t="s">
        <v>4104</v>
      </c>
      <c r="E1230" s="0" t="s">
        <v>75</v>
      </c>
      <c r="F1230" s="0" t="s">
        <v>90</v>
      </c>
      <c r="G1230" s="0" t="s">
        <v>32</v>
      </c>
      <c r="H1230" s="0" t="n">
        <v>46</v>
      </c>
      <c r="I1230" s="0" t="s">
        <v>4108</v>
      </c>
      <c r="J1230" s="0" t="s">
        <v>4109</v>
      </c>
      <c r="K1230" s="0" t="s">
        <v>4110</v>
      </c>
      <c r="L1230" s="0" t="str">
        <f aca="false">HYPERLINK("https://www.ncbi.nlm.nih.gov/nuccore/CP000058.1?report=graph&amp;tracks=[key:gene_model_track,Options:GeneOnly]&amp;mk=383782:383801|offset_10|444444,383746:383765|offset_46|00cc00,383707:383726|offset_85|444444,383673:383692|offset_119|444444&amp;v=383581:383892&amp;c=444444", "offset 46")</f>
        <v>offset 46</v>
      </c>
    </row>
    <row r="1231" customFormat="false" ht="12.8" hidden="false" customHeight="false" outlineLevel="0" collapsed="false">
      <c r="A1231" s="0" t="s">
        <v>12</v>
      </c>
      <c r="B1231" s="0" t="n">
        <v>383706</v>
      </c>
      <c r="C1231" s="0" t="n">
        <v>383726</v>
      </c>
      <c r="D1231" s="0" t="s">
        <v>4104</v>
      </c>
      <c r="E1231" s="0" t="s">
        <v>75</v>
      </c>
      <c r="F1231" s="0" t="s">
        <v>90</v>
      </c>
      <c r="G1231" s="0" t="s">
        <v>36</v>
      </c>
      <c r="H1231" s="0" t="n">
        <v>85</v>
      </c>
      <c r="I1231" s="0" t="s">
        <v>4111</v>
      </c>
      <c r="J1231" s="0" t="s">
        <v>4112</v>
      </c>
      <c r="K1231" s="0" t="s">
        <v>4113</v>
      </c>
      <c r="L1231" s="0" t="str">
        <f aca="false">HYPERLINK("https://www.ncbi.nlm.nih.gov/nuccore/CP000058.1?report=graph&amp;tracks=[key:gene_model_track,Options:GeneOnly]&amp;mk=383782:383801|offset_10|444444,383746:383765|offset_46|444444,383707:383726|offset_85|00cc00,383673:383692|offset_119|444444&amp;v=383581:383892&amp;c=444444", "offset 85")</f>
        <v>offset 85</v>
      </c>
    </row>
    <row r="1232" customFormat="false" ht="12.8" hidden="false" customHeight="false" outlineLevel="0" collapsed="false">
      <c r="A1232" s="0" t="s">
        <v>12</v>
      </c>
      <c r="B1232" s="0" t="n">
        <v>383672</v>
      </c>
      <c r="C1232" s="0" t="n">
        <v>383692</v>
      </c>
      <c r="D1232" s="0" t="s">
        <v>4104</v>
      </c>
      <c r="E1232" s="0" t="s">
        <v>75</v>
      </c>
      <c r="F1232" s="0" t="s">
        <v>90</v>
      </c>
      <c r="G1232" s="0" t="s">
        <v>16</v>
      </c>
      <c r="H1232" s="0" t="n">
        <v>119</v>
      </c>
      <c r="I1232" s="0" t="s">
        <v>4114</v>
      </c>
      <c r="J1232" s="0" t="s">
        <v>4115</v>
      </c>
      <c r="K1232" s="0" t="s">
        <v>4116</v>
      </c>
      <c r="L1232" s="0" t="str">
        <f aca="false">HYPERLINK("https://www.ncbi.nlm.nih.gov/nuccore/CP000058.1?report=graph&amp;tracks=[key:gene_model_track,Options:GeneOnly]&amp;mk=383782:383801|offset_10|444444,383746:383765|offset_46|444444,383707:383726|offset_85|444444,383673:383692|offset_119|00cc00&amp;v=383581:383892&amp;c=444444", "offset 119")</f>
        <v>offset 119</v>
      </c>
    </row>
    <row r="1233" customFormat="false" ht="12.8" hidden="false" customHeight="false" outlineLevel="0" collapsed="false">
      <c r="A1233" s="0" t="s">
        <v>12</v>
      </c>
      <c r="B1233" s="0" t="n">
        <v>385139</v>
      </c>
      <c r="C1233" s="0" t="n">
        <v>385159</v>
      </c>
      <c r="D1233" s="0" t="s">
        <v>4117</v>
      </c>
      <c r="E1233" s="0" t="s">
        <v>75</v>
      </c>
      <c r="F1233" s="0" t="s">
        <v>90</v>
      </c>
      <c r="G1233" s="0" t="s">
        <v>16</v>
      </c>
      <c r="H1233" s="0" t="n">
        <v>0</v>
      </c>
      <c r="I1233" s="0" t="s">
        <v>4118</v>
      </c>
      <c r="J1233" s="0" t="s">
        <v>4119</v>
      </c>
      <c r="K1233" s="0" t="s">
        <v>4120</v>
      </c>
      <c r="L1233" s="0" t="str">
        <f aca="false">HYPERLINK("https://www.ncbi.nlm.nih.gov/nuccore/CP000058.1?report=graph&amp;tracks=[key:gene_model_track,Options:GeneOnly]&amp;mk=385140:385159|offset_0|00cc00,385118:385137|offset_22|444444,385092:385111|offset_48|444444,385062:385081|offset_78|444444&amp;v=384939:385281&amp;c=444444", "offset 0")</f>
        <v>offset 0</v>
      </c>
    </row>
    <row r="1234" customFormat="false" ht="12.8" hidden="false" customHeight="false" outlineLevel="0" collapsed="false">
      <c r="A1234" s="0" t="s">
        <v>12</v>
      </c>
      <c r="B1234" s="0" t="n">
        <v>385117</v>
      </c>
      <c r="C1234" s="0" t="n">
        <v>385137</v>
      </c>
      <c r="D1234" s="0" t="s">
        <v>4117</v>
      </c>
      <c r="E1234" s="0" t="s">
        <v>75</v>
      </c>
      <c r="F1234" s="0" t="s">
        <v>90</v>
      </c>
      <c r="G1234" s="0" t="s">
        <v>36</v>
      </c>
      <c r="H1234" s="0" t="n">
        <v>22</v>
      </c>
      <c r="I1234" s="0" t="s">
        <v>4121</v>
      </c>
      <c r="J1234" s="0" t="s">
        <v>4122</v>
      </c>
      <c r="K1234" s="0" t="s">
        <v>4123</v>
      </c>
      <c r="L1234" s="0" t="str">
        <f aca="false">HYPERLINK("https://www.ncbi.nlm.nih.gov/nuccore/CP000058.1?report=graph&amp;tracks=[key:gene_model_track,Options:GeneOnly]&amp;mk=385140:385159|offset_0|444444,385118:385137|offset_22|00cc00,385092:385111|offset_48|444444,385062:385081|offset_78|444444&amp;v=384939:385281&amp;c=444444", "offset 22")</f>
        <v>offset 22</v>
      </c>
    </row>
    <row r="1235" customFormat="false" ht="12.8" hidden="false" customHeight="false" outlineLevel="0" collapsed="false">
      <c r="A1235" s="0" t="s">
        <v>12</v>
      </c>
      <c r="B1235" s="0" t="n">
        <v>385091</v>
      </c>
      <c r="C1235" s="0" t="n">
        <v>385111</v>
      </c>
      <c r="D1235" s="0" t="s">
        <v>4117</v>
      </c>
      <c r="E1235" s="0" t="s">
        <v>75</v>
      </c>
      <c r="F1235" s="0" t="s">
        <v>90</v>
      </c>
      <c r="G1235" s="0" t="s">
        <v>20</v>
      </c>
      <c r="H1235" s="0" t="n">
        <v>48</v>
      </c>
      <c r="I1235" s="0" t="s">
        <v>4124</v>
      </c>
      <c r="J1235" s="0" t="s">
        <v>4125</v>
      </c>
      <c r="K1235" s="0" t="s">
        <v>4126</v>
      </c>
      <c r="L1235" s="0" t="str">
        <f aca="false">HYPERLINK("https://www.ncbi.nlm.nih.gov/nuccore/CP000058.1?report=graph&amp;tracks=[key:gene_model_track,Options:GeneOnly]&amp;mk=385140:385159|offset_0|444444,385118:385137|offset_22|444444,385092:385111|offset_48|00cc00,385062:385081|offset_78|444444&amp;v=384939:385281&amp;c=444444", "offset 48")</f>
        <v>offset 48</v>
      </c>
    </row>
    <row r="1236" customFormat="false" ht="12.8" hidden="false" customHeight="false" outlineLevel="0" collapsed="false">
      <c r="A1236" s="0" t="s">
        <v>12</v>
      </c>
      <c r="B1236" s="0" t="n">
        <v>385061</v>
      </c>
      <c r="C1236" s="0" t="n">
        <v>385081</v>
      </c>
      <c r="D1236" s="0" t="s">
        <v>4117</v>
      </c>
      <c r="E1236" s="0" t="s">
        <v>75</v>
      </c>
      <c r="F1236" s="0" t="s">
        <v>90</v>
      </c>
      <c r="G1236" s="0" t="s">
        <v>16</v>
      </c>
      <c r="H1236" s="0" t="n">
        <v>78</v>
      </c>
      <c r="I1236" s="0" t="s">
        <v>4127</v>
      </c>
      <c r="J1236" s="0" t="s">
        <v>4128</v>
      </c>
      <c r="K1236" s="0" t="s">
        <v>4129</v>
      </c>
      <c r="L1236" s="0" t="str">
        <f aca="false">HYPERLINK("https://www.ncbi.nlm.nih.gov/nuccore/CP000058.1?report=graph&amp;tracks=[key:gene_model_track,Options:GeneOnly]&amp;mk=385140:385159|offset_0|444444,385118:385137|offset_22|444444,385092:385111|offset_48|444444,385062:385081|offset_78|00cc00&amp;v=384939:385281&amp;c=444444", "offset 78")</f>
        <v>offset 78</v>
      </c>
    </row>
    <row r="1237" customFormat="false" ht="12.8" hidden="false" customHeight="false" outlineLevel="0" collapsed="false">
      <c r="A1237" s="0" t="s">
        <v>12</v>
      </c>
      <c r="B1237" s="0" t="n">
        <v>386244</v>
      </c>
      <c r="C1237" s="0" t="n">
        <v>386264</v>
      </c>
      <c r="D1237" s="0" t="s">
        <v>4130</v>
      </c>
      <c r="E1237" s="0" t="s">
        <v>75</v>
      </c>
      <c r="F1237" s="0" t="s">
        <v>90</v>
      </c>
      <c r="G1237" s="0" t="s">
        <v>32</v>
      </c>
      <c r="H1237" s="0" t="n">
        <v>8</v>
      </c>
      <c r="I1237" s="0" t="s">
        <v>4131</v>
      </c>
      <c r="J1237" s="0" t="s">
        <v>4132</v>
      </c>
      <c r="K1237" s="0" t="s">
        <v>4133</v>
      </c>
      <c r="L1237" s="0" t="str">
        <f aca="false">HYPERLINK("https://www.ncbi.nlm.nih.gov/nuccore/CP000058.1?report=graph&amp;tracks=[key:gene_model_track,Options:GeneOnly]&amp;mk=386245:386264|offset_8|00cc00,386225:386244|offset_28|444444,386205:386224|offset_48|444444,386185:386204|offset_68|444444&amp;v=386044:386404&amp;c=444444", "offset 8")</f>
        <v>offset 8</v>
      </c>
    </row>
    <row r="1238" customFormat="false" ht="12.8" hidden="false" customHeight="false" outlineLevel="0" collapsed="false">
      <c r="A1238" s="0" t="s">
        <v>12</v>
      </c>
      <c r="B1238" s="0" t="n">
        <v>386224</v>
      </c>
      <c r="C1238" s="0" t="n">
        <v>386244</v>
      </c>
      <c r="D1238" s="0" t="s">
        <v>4130</v>
      </c>
      <c r="E1238" s="0" t="s">
        <v>75</v>
      </c>
      <c r="F1238" s="0" t="s">
        <v>90</v>
      </c>
      <c r="G1238" s="0" t="s">
        <v>36</v>
      </c>
      <c r="H1238" s="0" t="n">
        <v>28</v>
      </c>
      <c r="I1238" s="0" t="s">
        <v>4134</v>
      </c>
      <c r="J1238" s="0" t="s">
        <v>4135</v>
      </c>
      <c r="K1238" s="0" t="s">
        <v>4136</v>
      </c>
      <c r="L1238" s="0" t="str">
        <f aca="false">HYPERLINK("https://www.ncbi.nlm.nih.gov/nuccore/CP000058.1?report=graph&amp;tracks=[key:gene_model_track,Options:GeneOnly]&amp;mk=386245:386264|offset_8|444444,386225:386244|offset_28|00cc00,386205:386224|offset_48|444444,386185:386204|offset_68|444444&amp;v=386044:386404&amp;c=444444", "offset 28")</f>
        <v>offset 28</v>
      </c>
    </row>
    <row r="1239" customFormat="false" ht="12.8" hidden="false" customHeight="false" outlineLevel="0" collapsed="false">
      <c r="A1239" s="0" t="s">
        <v>12</v>
      </c>
      <c r="B1239" s="0" t="n">
        <v>386204</v>
      </c>
      <c r="C1239" s="0" t="n">
        <v>386224</v>
      </c>
      <c r="D1239" s="0" t="s">
        <v>4130</v>
      </c>
      <c r="E1239" s="0" t="s">
        <v>75</v>
      </c>
      <c r="F1239" s="0" t="s">
        <v>90</v>
      </c>
      <c r="G1239" s="0" t="s">
        <v>20</v>
      </c>
      <c r="H1239" s="0" t="n">
        <v>48</v>
      </c>
      <c r="I1239" s="0" t="s">
        <v>4137</v>
      </c>
      <c r="J1239" s="0" t="s">
        <v>4138</v>
      </c>
      <c r="K1239" s="0" t="s">
        <v>4139</v>
      </c>
      <c r="L1239" s="0" t="str">
        <f aca="false">HYPERLINK("https://www.ncbi.nlm.nih.gov/nuccore/CP000058.1?report=graph&amp;tracks=[key:gene_model_track,Options:GeneOnly]&amp;mk=386245:386264|offset_8|444444,386225:386244|offset_28|444444,386205:386224|offset_48|00cc00,386185:386204|offset_68|444444&amp;v=386044:386404&amp;c=444444", "offset 48")</f>
        <v>offset 48</v>
      </c>
    </row>
    <row r="1240" customFormat="false" ht="12.8" hidden="false" customHeight="false" outlineLevel="0" collapsed="false">
      <c r="A1240" s="0" t="s">
        <v>12</v>
      </c>
      <c r="B1240" s="0" t="n">
        <v>386184</v>
      </c>
      <c r="C1240" s="0" t="n">
        <v>386204</v>
      </c>
      <c r="D1240" s="0" t="s">
        <v>4130</v>
      </c>
      <c r="E1240" s="0" t="s">
        <v>75</v>
      </c>
      <c r="F1240" s="0" t="s">
        <v>90</v>
      </c>
      <c r="G1240" s="0" t="s">
        <v>16</v>
      </c>
      <c r="H1240" s="0" t="n">
        <v>68</v>
      </c>
      <c r="I1240" s="0" t="s">
        <v>4140</v>
      </c>
      <c r="J1240" s="0" t="s">
        <v>4141</v>
      </c>
      <c r="K1240" s="0" t="s">
        <v>4142</v>
      </c>
      <c r="L1240" s="0" t="str">
        <f aca="false">HYPERLINK("https://www.ncbi.nlm.nih.gov/nuccore/CP000058.1?report=graph&amp;tracks=[key:gene_model_track,Options:GeneOnly]&amp;mk=386245:386264|offset_8|444444,386225:386244|offset_28|444444,386205:386224|offset_48|444444,386185:386204|offset_68|00cc00&amp;v=386044:386404&amp;c=444444", "offset 68")</f>
        <v>offset 68</v>
      </c>
    </row>
    <row r="1241" customFormat="false" ht="12.8" hidden="false" customHeight="false" outlineLevel="0" collapsed="false">
      <c r="A1241" s="0" t="s">
        <v>12</v>
      </c>
      <c r="B1241" s="0" t="n">
        <v>388927</v>
      </c>
      <c r="C1241" s="0" t="n">
        <v>388947</v>
      </c>
      <c r="D1241" s="0" t="s">
        <v>4143</v>
      </c>
      <c r="E1241" s="0" t="s">
        <v>4144</v>
      </c>
      <c r="F1241" s="0" t="s">
        <v>90</v>
      </c>
      <c r="G1241" s="0" t="s">
        <v>32</v>
      </c>
      <c r="H1241" s="0" t="n">
        <v>25</v>
      </c>
      <c r="I1241" s="0" t="s">
        <v>4145</v>
      </c>
      <c r="J1241" s="0" t="s">
        <v>4146</v>
      </c>
      <c r="K1241" s="0" t="s">
        <v>4147</v>
      </c>
      <c r="L1241" s="0" t="str">
        <f aca="false">HYPERLINK("https://www.ncbi.nlm.nih.gov/nuccore/CP000058.1?report=graph&amp;tracks=[key:gene_model_track,Options:GeneOnly]&amp;mk=388928:388947|offset_25|00cc00,388874:388893|offset_79|444444,388848:388867|offset_105|444444,388813:388832|offset_140|444444&amp;v=388727:389032&amp;c=444444", "offset 25")</f>
        <v>offset 25</v>
      </c>
    </row>
    <row r="1242" customFormat="false" ht="12.8" hidden="false" customHeight="false" outlineLevel="0" collapsed="false">
      <c r="A1242" s="0" t="s">
        <v>12</v>
      </c>
      <c r="B1242" s="0" t="n">
        <v>388873</v>
      </c>
      <c r="C1242" s="0" t="n">
        <v>388893</v>
      </c>
      <c r="D1242" s="0" t="s">
        <v>4143</v>
      </c>
      <c r="E1242" s="0" t="s">
        <v>4144</v>
      </c>
      <c r="F1242" s="0" t="s">
        <v>90</v>
      </c>
      <c r="G1242" s="0" t="s">
        <v>16</v>
      </c>
      <c r="H1242" s="0" t="n">
        <v>79</v>
      </c>
      <c r="I1242" s="0" t="s">
        <v>4148</v>
      </c>
      <c r="J1242" s="0" t="s">
        <v>4149</v>
      </c>
      <c r="K1242" s="0" t="s">
        <v>4150</v>
      </c>
      <c r="L1242" s="0" t="str">
        <f aca="false">HYPERLINK("https://www.ncbi.nlm.nih.gov/nuccore/CP000058.1?report=graph&amp;tracks=[key:gene_model_track,Options:GeneOnly]&amp;mk=388928:388947|offset_25|444444,388874:388893|offset_79|00cc00,388848:388867|offset_105|444444,388813:388832|offset_140|444444&amp;v=388727:389032&amp;c=444444", "offset 79")</f>
        <v>offset 79</v>
      </c>
    </row>
    <row r="1243" customFormat="false" ht="12.8" hidden="false" customHeight="false" outlineLevel="0" collapsed="false">
      <c r="A1243" s="0" t="s">
        <v>12</v>
      </c>
      <c r="B1243" s="0" t="n">
        <v>388847</v>
      </c>
      <c r="C1243" s="0" t="n">
        <v>388867</v>
      </c>
      <c r="D1243" s="0" t="s">
        <v>4143</v>
      </c>
      <c r="E1243" s="0" t="s">
        <v>4144</v>
      </c>
      <c r="F1243" s="0" t="s">
        <v>90</v>
      </c>
      <c r="G1243" s="0" t="s">
        <v>36</v>
      </c>
      <c r="H1243" s="0" t="n">
        <v>105</v>
      </c>
      <c r="I1243" s="0" t="s">
        <v>4151</v>
      </c>
      <c r="J1243" s="0" t="s">
        <v>4152</v>
      </c>
      <c r="K1243" s="0" t="s">
        <v>4153</v>
      </c>
      <c r="L1243" s="0" t="str">
        <f aca="false">HYPERLINK("https://www.ncbi.nlm.nih.gov/nuccore/CP000058.1?report=graph&amp;tracks=[key:gene_model_track,Options:GeneOnly]&amp;mk=388928:388947|offset_25|444444,388874:388893|offset_79|444444,388848:388867|offset_105|00cc00,388813:388832|offset_140|444444&amp;v=388727:389032&amp;c=444444", "offset 105")</f>
        <v>offset 105</v>
      </c>
    </row>
    <row r="1244" customFormat="false" ht="12.8" hidden="false" customHeight="false" outlineLevel="0" collapsed="false">
      <c r="A1244" s="0" t="s">
        <v>12</v>
      </c>
      <c r="B1244" s="0" t="n">
        <v>388812</v>
      </c>
      <c r="C1244" s="0" t="n">
        <v>388832</v>
      </c>
      <c r="D1244" s="0" t="s">
        <v>4143</v>
      </c>
      <c r="E1244" s="0" t="s">
        <v>4144</v>
      </c>
      <c r="F1244" s="0" t="s">
        <v>90</v>
      </c>
      <c r="G1244" s="0" t="s">
        <v>20</v>
      </c>
      <c r="H1244" s="0" t="n">
        <v>140</v>
      </c>
      <c r="I1244" s="0" t="s">
        <v>4154</v>
      </c>
      <c r="J1244" s="0" t="s">
        <v>4155</v>
      </c>
      <c r="K1244" s="0" t="s">
        <v>4156</v>
      </c>
      <c r="L1244" s="0" t="str">
        <f aca="false">HYPERLINK("https://www.ncbi.nlm.nih.gov/nuccore/CP000058.1?report=graph&amp;tracks=[key:gene_model_track,Options:GeneOnly]&amp;mk=388928:388947|offset_25|444444,388874:388893|offset_79|444444,388848:388867|offset_105|444444,388813:388832|offset_140|00cc00&amp;v=388727:389032&amp;c=444444", "offset 140")</f>
        <v>offset 140</v>
      </c>
    </row>
    <row r="1245" customFormat="false" ht="12.8" hidden="false" customHeight="false" outlineLevel="0" collapsed="false">
      <c r="A1245" s="0" t="s">
        <v>12</v>
      </c>
      <c r="B1245" s="0" t="n">
        <v>389607</v>
      </c>
      <c r="C1245" s="0" t="n">
        <v>389627</v>
      </c>
      <c r="D1245" s="0" t="s">
        <v>4157</v>
      </c>
      <c r="E1245" s="0" t="s">
        <v>75</v>
      </c>
      <c r="F1245" s="0" t="s">
        <v>90</v>
      </c>
      <c r="G1245" s="0" t="s">
        <v>20</v>
      </c>
      <c r="H1245" s="0" t="n">
        <v>17</v>
      </c>
      <c r="I1245" s="0" t="s">
        <v>4158</v>
      </c>
      <c r="J1245" s="0" t="s">
        <v>4159</v>
      </c>
      <c r="K1245" s="0" t="s">
        <v>4160</v>
      </c>
      <c r="L1245" s="0" t="str">
        <f aca="false">HYPERLINK("https://www.ncbi.nlm.nih.gov/nuccore/CP000058.1?report=graph&amp;tracks=[key:gene_model_track,Options:GeneOnly]&amp;mk=389608:389627|offset_17|00cc00,389588:389607|offset_37|444444,389555:389574|offset_70|444444,389503:389522|offset_122|444444&amp;v=389407:389722&amp;c=444444", "offset 17")</f>
        <v>offset 17</v>
      </c>
    </row>
    <row r="1246" customFormat="false" ht="12.8" hidden="false" customHeight="false" outlineLevel="0" collapsed="false">
      <c r="A1246" s="0" t="s">
        <v>12</v>
      </c>
      <c r="B1246" s="0" t="n">
        <v>389587</v>
      </c>
      <c r="C1246" s="0" t="n">
        <v>389607</v>
      </c>
      <c r="D1246" s="0" t="s">
        <v>4157</v>
      </c>
      <c r="E1246" s="0" t="s">
        <v>75</v>
      </c>
      <c r="F1246" s="0" t="s">
        <v>90</v>
      </c>
      <c r="G1246" s="0" t="s">
        <v>16</v>
      </c>
      <c r="H1246" s="0" t="n">
        <v>37</v>
      </c>
      <c r="I1246" s="0" t="s">
        <v>4161</v>
      </c>
      <c r="J1246" s="0" t="s">
        <v>4162</v>
      </c>
      <c r="K1246" s="0" t="s">
        <v>4163</v>
      </c>
      <c r="L1246" s="0" t="str">
        <f aca="false">HYPERLINK("https://www.ncbi.nlm.nih.gov/nuccore/CP000058.1?report=graph&amp;tracks=[key:gene_model_track,Options:GeneOnly]&amp;mk=389608:389627|offset_17|444444,389588:389607|offset_37|00cc00,389555:389574|offset_70|444444,389503:389522|offset_122|444444&amp;v=389407:389722&amp;c=444444", "offset 37")</f>
        <v>offset 37</v>
      </c>
    </row>
    <row r="1247" customFormat="false" ht="12.8" hidden="false" customHeight="false" outlineLevel="0" collapsed="false">
      <c r="A1247" s="0" t="s">
        <v>12</v>
      </c>
      <c r="B1247" s="0" t="n">
        <v>389554</v>
      </c>
      <c r="C1247" s="0" t="n">
        <v>389574</v>
      </c>
      <c r="D1247" s="0" t="s">
        <v>4157</v>
      </c>
      <c r="E1247" s="0" t="s">
        <v>75</v>
      </c>
      <c r="F1247" s="0" t="s">
        <v>90</v>
      </c>
      <c r="G1247" s="0" t="s">
        <v>16</v>
      </c>
      <c r="H1247" s="0" t="n">
        <v>70</v>
      </c>
      <c r="I1247" s="0" t="s">
        <v>4164</v>
      </c>
      <c r="J1247" s="0" t="s">
        <v>4165</v>
      </c>
      <c r="K1247" s="0" t="s">
        <v>4166</v>
      </c>
      <c r="L1247" s="0" t="str">
        <f aca="false">HYPERLINK("https://www.ncbi.nlm.nih.gov/nuccore/CP000058.1?report=graph&amp;tracks=[key:gene_model_track,Options:GeneOnly]&amp;mk=389608:389627|offset_17|444444,389588:389607|offset_37|444444,389555:389574|offset_70|00cc00,389503:389522|offset_122|444444&amp;v=389407:389722&amp;c=444444", "offset 70")</f>
        <v>offset 70</v>
      </c>
    </row>
    <row r="1248" customFormat="false" ht="12.8" hidden="false" customHeight="false" outlineLevel="0" collapsed="false">
      <c r="A1248" s="0" t="s">
        <v>12</v>
      </c>
      <c r="B1248" s="0" t="n">
        <v>389502</v>
      </c>
      <c r="C1248" s="0" t="n">
        <v>389522</v>
      </c>
      <c r="D1248" s="0" t="s">
        <v>4157</v>
      </c>
      <c r="E1248" s="0" t="s">
        <v>75</v>
      </c>
      <c r="F1248" s="0" t="s">
        <v>90</v>
      </c>
      <c r="G1248" s="0" t="s">
        <v>20</v>
      </c>
      <c r="H1248" s="0" t="n">
        <v>122</v>
      </c>
      <c r="I1248" s="0" t="s">
        <v>4167</v>
      </c>
      <c r="J1248" s="0" t="s">
        <v>4168</v>
      </c>
      <c r="K1248" s="0" t="s">
        <v>4169</v>
      </c>
      <c r="L1248" s="0" t="str">
        <f aca="false">HYPERLINK("https://www.ncbi.nlm.nih.gov/nuccore/CP000058.1?report=graph&amp;tracks=[key:gene_model_track,Options:GeneOnly]&amp;mk=389608:389627|offset_17|444444,389588:389607|offset_37|444444,389555:389574|offset_70|444444,389503:389522|offset_122|00cc00&amp;v=389407:389722&amp;c=444444", "offset 122")</f>
        <v>offset 122</v>
      </c>
    </row>
    <row r="1249" customFormat="false" ht="12.8" hidden="false" customHeight="false" outlineLevel="0" collapsed="false">
      <c r="A1249" s="0" t="s">
        <v>12</v>
      </c>
      <c r="B1249" s="0" t="n">
        <v>390405</v>
      </c>
      <c r="C1249" s="0" t="n">
        <v>390425</v>
      </c>
      <c r="D1249" s="0" t="s">
        <v>4170</v>
      </c>
      <c r="E1249" s="0" t="s">
        <v>75</v>
      </c>
      <c r="F1249" s="0" t="s">
        <v>90</v>
      </c>
      <c r="G1249" s="0" t="s">
        <v>16</v>
      </c>
      <c r="H1249" s="0" t="n">
        <v>13</v>
      </c>
      <c r="I1249" s="0" t="s">
        <v>4171</v>
      </c>
      <c r="J1249" s="0" t="s">
        <v>4172</v>
      </c>
      <c r="K1249" s="0" t="s">
        <v>4173</v>
      </c>
      <c r="L1249" s="0" t="str">
        <f aca="false">HYPERLINK("https://www.ncbi.nlm.nih.gov/nuccore/CP000058.1?report=graph&amp;tracks=[key:gene_model_track,Options:GeneOnly]&amp;mk=390406:390425|offset_13|00cc00,390346:390365|offset_73|444444,390282:390301|offset_137|444444,390229:390248|offset_190|444444&amp;v=390205:390448&amp;c=444444", "offset 13")</f>
        <v>offset 13</v>
      </c>
    </row>
    <row r="1250" customFormat="false" ht="12.8" hidden="false" customHeight="false" outlineLevel="0" collapsed="false">
      <c r="A1250" s="0" t="s">
        <v>12</v>
      </c>
      <c r="B1250" s="0" t="n">
        <v>390345</v>
      </c>
      <c r="C1250" s="0" t="n">
        <v>390365</v>
      </c>
      <c r="D1250" s="0" t="s">
        <v>4170</v>
      </c>
      <c r="E1250" s="0" t="s">
        <v>75</v>
      </c>
      <c r="F1250" s="0" t="s">
        <v>90</v>
      </c>
      <c r="G1250" s="0" t="s">
        <v>16</v>
      </c>
      <c r="H1250" s="0" t="n">
        <v>73</v>
      </c>
      <c r="I1250" s="0" t="s">
        <v>4174</v>
      </c>
      <c r="J1250" s="0" t="s">
        <v>4175</v>
      </c>
      <c r="K1250" s="0" t="s">
        <v>4176</v>
      </c>
      <c r="L1250" s="0" t="str">
        <f aca="false">HYPERLINK("https://www.ncbi.nlm.nih.gov/nuccore/CP000058.1?report=graph&amp;tracks=[key:gene_model_track,Options:GeneOnly]&amp;mk=390406:390425|offset_13|444444,390346:390365|offset_73|00cc00,390282:390301|offset_137|444444,390229:390248|offset_190|444444&amp;v=390205:390448&amp;c=444444", "offset 73")</f>
        <v>offset 73</v>
      </c>
    </row>
    <row r="1251" customFormat="false" ht="12.8" hidden="false" customHeight="false" outlineLevel="0" collapsed="false">
      <c r="A1251" s="0" t="s">
        <v>12</v>
      </c>
      <c r="B1251" s="0" t="n">
        <v>390281</v>
      </c>
      <c r="C1251" s="0" t="n">
        <v>390301</v>
      </c>
      <c r="D1251" s="0" t="s">
        <v>4170</v>
      </c>
      <c r="E1251" s="0" t="s">
        <v>75</v>
      </c>
      <c r="F1251" s="0" t="s">
        <v>90</v>
      </c>
      <c r="G1251" s="0" t="s">
        <v>20</v>
      </c>
      <c r="H1251" s="0" t="n">
        <v>137</v>
      </c>
      <c r="I1251" s="0" t="s">
        <v>4177</v>
      </c>
      <c r="J1251" s="0" t="s">
        <v>4178</v>
      </c>
      <c r="K1251" s="0" t="s">
        <v>4179</v>
      </c>
      <c r="L1251" s="0" t="str">
        <f aca="false">HYPERLINK("https://www.ncbi.nlm.nih.gov/nuccore/CP000058.1?report=graph&amp;tracks=[key:gene_model_track,Options:GeneOnly]&amp;mk=390406:390425|offset_13|444444,390346:390365|offset_73|444444,390282:390301|offset_137|00cc00,390229:390248|offset_190|444444&amp;v=390205:390448&amp;c=444444", "offset 137")</f>
        <v>offset 137</v>
      </c>
    </row>
    <row r="1252" customFormat="false" ht="12.8" hidden="false" customHeight="false" outlineLevel="0" collapsed="false">
      <c r="A1252" s="0" t="s">
        <v>12</v>
      </c>
      <c r="B1252" s="0" t="n">
        <v>390228</v>
      </c>
      <c r="C1252" s="0" t="n">
        <v>390248</v>
      </c>
      <c r="D1252" s="0" t="s">
        <v>4170</v>
      </c>
      <c r="E1252" s="0" t="s">
        <v>75</v>
      </c>
      <c r="F1252" s="0" t="s">
        <v>90</v>
      </c>
      <c r="G1252" s="0" t="s">
        <v>16</v>
      </c>
      <c r="H1252" s="0" t="n">
        <v>190</v>
      </c>
      <c r="I1252" s="0" t="s">
        <v>4180</v>
      </c>
      <c r="J1252" s="0" t="s">
        <v>4181</v>
      </c>
      <c r="K1252" s="0" t="s">
        <v>4182</v>
      </c>
      <c r="L1252" s="0" t="str">
        <f aca="false">HYPERLINK("https://www.ncbi.nlm.nih.gov/nuccore/CP000058.1?report=graph&amp;tracks=[key:gene_model_track,Options:GeneOnly]&amp;mk=390406:390425|offset_13|444444,390346:390365|offset_73|444444,390282:390301|offset_137|444444,390229:390248|offset_190|00cc00&amp;v=390205:390448&amp;c=444444", "offset 190")</f>
        <v>offset 190</v>
      </c>
    </row>
    <row r="1253" customFormat="false" ht="12.8" hidden="false" customHeight="false" outlineLevel="0" collapsed="false">
      <c r="A1253" s="0" t="s">
        <v>12</v>
      </c>
      <c r="B1253" s="0" t="n">
        <v>391635</v>
      </c>
      <c r="C1253" s="0" t="n">
        <v>391655</v>
      </c>
      <c r="D1253" s="0" t="s">
        <v>4183</v>
      </c>
      <c r="E1253" s="0" t="s">
        <v>4184</v>
      </c>
      <c r="F1253" s="0" t="s">
        <v>90</v>
      </c>
      <c r="G1253" s="0" t="s">
        <v>32</v>
      </c>
      <c r="H1253" s="0" t="n">
        <v>1</v>
      </c>
      <c r="I1253" s="0" t="s">
        <v>4185</v>
      </c>
      <c r="J1253" s="0" t="s">
        <v>4186</v>
      </c>
      <c r="K1253" s="0" t="s">
        <v>4187</v>
      </c>
      <c r="L1253" s="0" t="str">
        <f aca="false">HYPERLINK("https://www.ncbi.nlm.nih.gov/nuccore/CP000058.1?report=graph&amp;tracks=[key:gene_model_track,Options:GeneOnly]&amp;mk=391636:391655|offset_1|00cc00,391615:391634|offset_22|444444,391583:391602|offset_54|444444,391557:391576|offset_80|444444&amp;v=391435:391776&amp;c=444444", "offset 1")</f>
        <v>offset 1</v>
      </c>
    </row>
    <row r="1254" customFormat="false" ht="12.8" hidden="false" customHeight="false" outlineLevel="0" collapsed="false">
      <c r="A1254" s="0" t="s">
        <v>12</v>
      </c>
      <c r="B1254" s="0" t="n">
        <v>391614</v>
      </c>
      <c r="C1254" s="0" t="n">
        <v>391634</v>
      </c>
      <c r="D1254" s="0" t="s">
        <v>4183</v>
      </c>
      <c r="E1254" s="0" t="s">
        <v>4184</v>
      </c>
      <c r="F1254" s="0" t="s">
        <v>90</v>
      </c>
      <c r="G1254" s="0" t="s">
        <v>36</v>
      </c>
      <c r="H1254" s="0" t="n">
        <v>22</v>
      </c>
      <c r="I1254" s="0" t="s">
        <v>4188</v>
      </c>
      <c r="J1254" s="0" t="s">
        <v>4189</v>
      </c>
      <c r="K1254" s="0" t="s">
        <v>4190</v>
      </c>
      <c r="L1254" s="0" t="str">
        <f aca="false">HYPERLINK("https://www.ncbi.nlm.nih.gov/nuccore/CP000058.1?report=graph&amp;tracks=[key:gene_model_track,Options:GeneOnly]&amp;mk=391636:391655|offset_1|444444,391615:391634|offset_22|00cc00,391583:391602|offset_54|444444,391557:391576|offset_80|444444&amp;v=391435:391776&amp;c=444444", "offset 22")</f>
        <v>offset 22</v>
      </c>
    </row>
    <row r="1255" customFormat="false" ht="12.8" hidden="false" customHeight="false" outlineLevel="0" collapsed="false">
      <c r="A1255" s="0" t="s">
        <v>12</v>
      </c>
      <c r="B1255" s="0" t="n">
        <v>391582</v>
      </c>
      <c r="C1255" s="0" t="n">
        <v>391602</v>
      </c>
      <c r="D1255" s="0" t="s">
        <v>4183</v>
      </c>
      <c r="E1255" s="0" t="s">
        <v>4184</v>
      </c>
      <c r="F1255" s="0" t="s">
        <v>90</v>
      </c>
      <c r="G1255" s="0" t="s">
        <v>16</v>
      </c>
      <c r="H1255" s="0" t="n">
        <v>54</v>
      </c>
      <c r="I1255" s="0" t="s">
        <v>4191</v>
      </c>
      <c r="J1255" s="0" t="s">
        <v>4192</v>
      </c>
      <c r="K1255" s="0" t="s">
        <v>4193</v>
      </c>
      <c r="L1255" s="0" t="str">
        <f aca="false">HYPERLINK("https://www.ncbi.nlm.nih.gov/nuccore/CP000058.1?report=graph&amp;tracks=[key:gene_model_track,Options:GeneOnly]&amp;mk=391636:391655|offset_1|444444,391615:391634|offset_22|444444,391583:391602|offset_54|00cc00,391557:391576|offset_80|444444&amp;v=391435:391776&amp;c=444444", "offset 54")</f>
        <v>offset 54</v>
      </c>
    </row>
    <row r="1256" customFormat="false" ht="12.8" hidden="false" customHeight="false" outlineLevel="0" collapsed="false">
      <c r="A1256" s="0" t="s">
        <v>12</v>
      </c>
      <c r="B1256" s="0" t="n">
        <v>391556</v>
      </c>
      <c r="C1256" s="0" t="n">
        <v>391576</v>
      </c>
      <c r="D1256" s="0" t="s">
        <v>4183</v>
      </c>
      <c r="E1256" s="0" t="s">
        <v>4184</v>
      </c>
      <c r="F1256" s="0" t="s">
        <v>90</v>
      </c>
      <c r="G1256" s="0" t="s">
        <v>20</v>
      </c>
      <c r="H1256" s="0" t="n">
        <v>80</v>
      </c>
      <c r="I1256" s="0" t="s">
        <v>4194</v>
      </c>
      <c r="J1256" s="0" t="s">
        <v>4195</v>
      </c>
      <c r="K1256" s="0" t="s">
        <v>4196</v>
      </c>
      <c r="L1256" s="0" t="str">
        <f aca="false">HYPERLINK("https://www.ncbi.nlm.nih.gov/nuccore/CP000058.1?report=graph&amp;tracks=[key:gene_model_track,Options:GeneOnly]&amp;mk=391636:391655|offset_1|444444,391615:391634|offset_22|444444,391583:391602|offset_54|444444,391557:391576|offset_80|00cc00&amp;v=391435:391776&amp;c=444444", "offset 80")</f>
        <v>offset 80</v>
      </c>
    </row>
    <row r="1257" customFormat="false" ht="12.8" hidden="false" customHeight="false" outlineLevel="0" collapsed="false">
      <c r="A1257" s="0" t="s">
        <v>12</v>
      </c>
      <c r="B1257" s="0" t="n">
        <v>391868</v>
      </c>
      <c r="C1257" s="0" t="n">
        <v>391888</v>
      </c>
      <c r="D1257" s="0" t="s">
        <v>4197</v>
      </c>
      <c r="E1257" s="0" t="s">
        <v>75</v>
      </c>
      <c r="F1257" s="0" t="s">
        <v>15</v>
      </c>
      <c r="G1257" s="0" t="s">
        <v>32</v>
      </c>
      <c r="H1257" s="0" t="n">
        <v>15</v>
      </c>
      <c r="I1257" s="0" t="s">
        <v>4198</v>
      </c>
      <c r="J1257" s="0" t="s">
        <v>4199</v>
      </c>
      <c r="K1257" s="0" t="s">
        <v>4200</v>
      </c>
      <c r="L1257" s="0" t="str">
        <f aca="false">HYPERLINK("https://www.ncbi.nlm.nih.gov/nuccore/CP000058.1?report=graph&amp;tracks=[key:gene_model_track,Options:GeneOnly]&amp;mk=391869:391888|offset_15|00cc00,391894:391913|offset_40|444444,391925:391944|offset_71|444444,391964:391983|offset_110|444444&amp;v=391668:392183&amp;c=444444", "offset 15")</f>
        <v>offset 15</v>
      </c>
    </row>
    <row r="1258" customFormat="false" ht="12.8" hidden="false" customHeight="false" outlineLevel="0" collapsed="false">
      <c r="A1258" s="0" t="s">
        <v>12</v>
      </c>
      <c r="B1258" s="0" t="n">
        <v>391893</v>
      </c>
      <c r="C1258" s="0" t="n">
        <v>391913</v>
      </c>
      <c r="D1258" s="0" t="s">
        <v>4197</v>
      </c>
      <c r="E1258" s="0" t="s">
        <v>75</v>
      </c>
      <c r="F1258" s="0" t="s">
        <v>15</v>
      </c>
      <c r="G1258" s="0" t="s">
        <v>32</v>
      </c>
      <c r="H1258" s="0" t="n">
        <v>40</v>
      </c>
      <c r="I1258" s="0" t="s">
        <v>4201</v>
      </c>
      <c r="J1258" s="0" t="s">
        <v>4202</v>
      </c>
      <c r="K1258" s="0" t="s">
        <v>4203</v>
      </c>
      <c r="L1258" s="0" t="str">
        <f aca="false">HYPERLINK("https://www.ncbi.nlm.nih.gov/nuccore/CP000058.1?report=graph&amp;tracks=[key:gene_model_track,Options:GeneOnly]&amp;mk=391869:391888|offset_15|444444,391894:391913|offset_40|00cc00,391925:391944|offset_71|444444,391964:391983|offset_110|444444&amp;v=391668:392183&amp;c=444444", "offset 40")</f>
        <v>offset 40</v>
      </c>
    </row>
    <row r="1259" customFormat="false" ht="12.8" hidden="false" customHeight="false" outlineLevel="0" collapsed="false">
      <c r="A1259" s="0" t="s">
        <v>12</v>
      </c>
      <c r="B1259" s="0" t="n">
        <v>391924</v>
      </c>
      <c r="C1259" s="0" t="n">
        <v>391944</v>
      </c>
      <c r="D1259" s="0" t="s">
        <v>4197</v>
      </c>
      <c r="E1259" s="0" t="s">
        <v>75</v>
      </c>
      <c r="F1259" s="0" t="s">
        <v>15</v>
      </c>
      <c r="G1259" s="0" t="s">
        <v>32</v>
      </c>
      <c r="H1259" s="0" t="n">
        <v>71</v>
      </c>
      <c r="I1259" s="0" t="s">
        <v>4204</v>
      </c>
      <c r="J1259" s="0" t="s">
        <v>4205</v>
      </c>
      <c r="K1259" s="0" t="s">
        <v>4206</v>
      </c>
      <c r="L1259" s="0" t="str">
        <f aca="false">HYPERLINK("https://www.ncbi.nlm.nih.gov/nuccore/CP000058.1?report=graph&amp;tracks=[key:gene_model_track,Options:GeneOnly]&amp;mk=391869:391888|offset_15|444444,391894:391913|offset_40|444444,391925:391944|offset_71|00cc00,391964:391983|offset_110|444444&amp;v=391668:392183&amp;c=444444", "offset 71")</f>
        <v>offset 71</v>
      </c>
    </row>
    <row r="1260" customFormat="false" ht="12.8" hidden="false" customHeight="false" outlineLevel="0" collapsed="false">
      <c r="A1260" s="0" t="s">
        <v>12</v>
      </c>
      <c r="B1260" s="0" t="n">
        <v>391963</v>
      </c>
      <c r="C1260" s="0" t="n">
        <v>391983</v>
      </c>
      <c r="D1260" s="0" t="s">
        <v>4197</v>
      </c>
      <c r="E1260" s="0" t="s">
        <v>75</v>
      </c>
      <c r="F1260" s="0" t="s">
        <v>15</v>
      </c>
      <c r="G1260" s="0" t="s">
        <v>16</v>
      </c>
      <c r="H1260" s="0" t="n">
        <v>110</v>
      </c>
      <c r="I1260" s="0" t="s">
        <v>4207</v>
      </c>
      <c r="J1260" s="0" t="s">
        <v>4208</v>
      </c>
      <c r="K1260" s="0" t="s">
        <v>4209</v>
      </c>
      <c r="L1260" s="0" t="str">
        <f aca="false">HYPERLINK("https://www.ncbi.nlm.nih.gov/nuccore/CP000058.1?report=graph&amp;tracks=[key:gene_model_track,Options:GeneOnly]&amp;mk=391869:391888|offset_15|444444,391894:391913|offset_40|444444,391925:391944|offset_71|444444,391964:391983|offset_110|00cc00&amp;v=391668:392183&amp;c=444444", "offset 110")</f>
        <v>offset 110</v>
      </c>
    </row>
    <row r="1261" customFormat="false" ht="12.8" hidden="false" customHeight="false" outlineLevel="0" collapsed="false">
      <c r="A1261" s="0" t="s">
        <v>12</v>
      </c>
      <c r="B1261" s="0" t="n">
        <v>394065</v>
      </c>
      <c r="C1261" s="0" t="n">
        <v>394085</v>
      </c>
      <c r="D1261" s="0" t="s">
        <v>4210</v>
      </c>
      <c r="E1261" s="0" t="s">
        <v>75</v>
      </c>
      <c r="F1261" s="0" t="s">
        <v>90</v>
      </c>
      <c r="G1261" s="0" t="s">
        <v>20</v>
      </c>
      <c r="H1261" s="0" t="n">
        <v>7</v>
      </c>
      <c r="I1261" s="0" t="s">
        <v>4211</v>
      </c>
      <c r="J1261" s="0" t="s">
        <v>4212</v>
      </c>
      <c r="K1261" s="0" t="s">
        <v>4213</v>
      </c>
      <c r="L1261" s="0" t="str">
        <f aca="false">HYPERLINK("https://www.ncbi.nlm.nih.gov/nuccore/CP000058.1?report=graph&amp;tracks=[key:gene_model_track,Options:GeneOnly]&amp;mk=394066:394085|offset_7|00cc00,394024:394043|offset_49|444444,394000:394019|offset_73|444444,393933:393952|offset_140|444444&amp;v=393865:394152&amp;c=444444", "offset 7")</f>
        <v>offset 7</v>
      </c>
    </row>
    <row r="1262" customFormat="false" ht="12.8" hidden="false" customHeight="false" outlineLevel="0" collapsed="false">
      <c r="A1262" s="0" t="s">
        <v>12</v>
      </c>
      <c r="B1262" s="0" t="n">
        <v>394023</v>
      </c>
      <c r="C1262" s="0" t="n">
        <v>394043</v>
      </c>
      <c r="D1262" s="0" t="s">
        <v>4210</v>
      </c>
      <c r="E1262" s="0" t="s">
        <v>75</v>
      </c>
      <c r="F1262" s="0" t="s">
        <v>90</v>
      </c>
      <c r="G1262" s="0" t="s">
        <v>20</v>
      </c>
      <c r="H1262" s="0" t="n">
        <v>49</v>
      </c>
      <c r="I1262" s="0" t="s">
        <v>4214</v>
      </c>
      <c r="J1262" s="0" t="s">
        <v>4215</v>
      </c>
      <c r="K1262" s="0" t="s">
        <v>4216</v>
      </c>
      <c r="L1262" s="0" t="str">
        <f aca="false">HYPERLINK("https://www.ncbi.nlm.nih.gov/nuccore/CP000058.1?report=graph&amp;tracks=[key:gene_model_track,Options:GeneOnly]&amp;mk=394066:394085|offset_7|444444,394024:394043|offset_49|00cc00,394000:394019|offset_73|444444,393933:393952|offset_140|444444&amp;v=393865:394152&amp;c=444444", "offset 49")</f>
        <v>offset 49</v>
      </c>
    </row>
    <row r="1263" customFormat="false" ht="12.8" hidden="false" customHeight="false" outlineLevel="0" collapsed="false">
      <c r="A1263" s="0" t="s">
        <v>12</v>
      </c>
      <c r="B1263" s="0" t="n">
        <v>393999</v>
      </c>
      <c r="C1263" s="0" t="n">
        <v>394019</v>
      </c>
      <c r="D1263" s="0" t="s">
        <v>4210</v>
      </c>
      <c r="E1263" s="0" t="s">
        <v>75</v>
      </c>
      <c r="F1263" s="0" t="s">
        <v>90</v>
      </c>
      <c r="G1263" s="0" t="s">
        <v>20</v>
      </c>
      <c r="H1263" s="0" t="n">
        <v>73</v>
      </c>
      <c r="I1263" s="0" t="s">
        <v>4217</v>
      </c>
      <c r="J1263" s="0" t="s">
        <v>4218</v>
      </c>
      <c r="K1263" s="0" t="s">
        <v>4219</v>
      </c>
      <c r="L1263" s="0" t="str">
        <f aca="false">HYPERLINK("https://www.ncbi.nlm.nih.gov/nuccore/CP000058.1?report=graph&amp;tracks=[key:gene_model_track,Options:GeneOnly]&amp;mk=394066:394085|offset_7|444444,394024:394043|offset_49|444444,394000:394019|offset_73|00cc00,393933:393952|offset_140|444444&amp;v=393865:394152&amp;c=444444", "offset 73")</f>
        <v>offset 73</v>
      </c>
    </row>
    <row r="1264" customFormat="false" ht="12.8" hidden="false" customHeight="false" outlineLevel="0" collapsed="false">
      <c r="A1264" s="0" t="s">
        <v>12</v>
      </c>
      <c r="B1264" s="0" t="n">
        <v>393932</v>
      </c>
      <c r="C1264" s="0" t="n">
        <v>393952</v>
      </c>
      <c r="D1264" s="0" t="s">
        <v>4210</v>
      </c>
      <c r="E1264" s="0" t="s">
        <v>75</v>
      </c>
      <c r="F1264" s="0" t="s">
        <v>90</v>
      </c>
      <c r="G1264" s="0" t="s">
        <v>32</v>
      </c>
      <c r="H1264" s="0" t="n">
        <v>140</v>
      </c>
      <c r="I1264" s="0" t="s">
        <v>4220</v>
      </c>
      <c r="J1264" s="0" t="s">
        <v>4221</v>
      </c>
      <c r="K1264" s="0" t="s">
        <v>4222</v>
      </c>
      <c r="L1264" s="0" t="str">
        <f aca="false">HYPERLINK("https://www.ncbi.nlm.nih.gov/nuccore/CP000058.1?report=graph&amp;tracks=[key:gene_model_track,Options:GeneOnly]&amp;mk=394066:394085|offset_7|444444,394024:394043|offset_49|444444,394000:394019|offset_73|444444,393933:393952|offset_140|00cc00&amp;v=393865:394152&amp;c=444444", "offset 140")</f>
        <v>offset 140</v>
      </c>
    </row>
    <row r="1265" customFormat="false" ht="12.8" hidden="false" customHeight="false" outlineLevel="0" collapsed="false">
      <c r="A1265" s="0" t="s">
        <v>12</v>
      </c>
      <c r="B1265" s="0" t="n">
        <v>394683</v>
      </c>
      <c r="C1265" s="0" t="n">
        <v>394703</v>
      </c>
      <c r="D1265" s="0" t="s">
        <v>4223</v>
      </c>
      <c r="E1265" s="0" t="s">
        <v>75</v>
      </c>
      <c r="F1265" s="0" t="s">
        <v>90</v>
      </c>
      <c r="G1265" s="0" t="s">
        <v>20</v>
      </c>
      <c r="H1265" s="0" t="n">
        <v>26</v>
      </c>
      <c r="I1265" s="0" t="s">
        <v>4224</v>
      </c>
      <c r="J1265" s="0" t="s">
        <v>4225</v>
      </c>
      <c r="K1265" s="0" t="s">
        <v>4226</v>
      </c>
      <c r="L1265" s="0" t="str">
        <f aca="false">HYPERLINK("https://www.ncbi.nlm.nih.gov/nuccore/CP000058.1?report=graph&amp;tracks=[key:gene_model_track,Options:GeneOnly]&amp;mk=394684:394703|offset_26|00cc00,394654:394673|offset_56|444444,394624:394643|offset_86|444444,394602:394621|offset_108|444444&amp;v=394483:394821&amp;c=444444", "offset 26")</f>
        <v>offset 26</v>
      </c>
    </row>
    <row r="1266" customFormat="false" ht="12.8" hidden="false" customHeight="false" outlineLevel="0" collapsed="false">
      <c r="A1266" s="0" t="s">
        <v>12</v>
      </c>
      <c r="B1266" s="0" t="n">
        <v>394653</v>
      </c>
      <c r="C1266" s="0" t="n">
        <v>394673</v>
      </c>
      <c r="D1266" s="0" t="s">
        <v>4223</v>
      </c>
      <c r="E1266" s="0" t="s">
        <v>75</v>
      </c>
      <c r="F1266" s="0" t="s">
        <v>90</v>
      </c>
      <c r="G1266" s="0" t="s">
        <v>20</v>
      </c>
      <c r="H1266" s="0" t="n">
        <v>56</v>
      </c>
      <c r="I1266" s="0" t="s">
        <v>4227</v>
      </c>
      <c r="J1266" s="0" t="s">
        <v>4228</v>
      </c>
      <c r="K1266" s="0" t="s">
        <v>4229</v>
      </c>
      <c r="L1266" s="0" t="str">
        <f aca="false">HYPERLINK("https://www.ncbi.nlm.nih.gov/nuccore/CP000058.1?report=graph&amp;tracks=[key:gene_model_track,Options:GeneOnly]&amp;mk=394684:394703|offset_26|444444,394654:394673|offset_56|00cc00,394624:394643|offset_86|444444,394602:394621|offset_108|444444&amp;v=394483:394821&amp;c=444444", "offset 56")</f>
        <v>offset 56</v>
      </c>
    </row>
    <row r="1267" customFormat="false" ht="12.8" hidden="false" customHeight="false" outlineLevel="0" collapsed="false">
      <c r="A1267" s="0" t="s">
        <v>12</v>
      </c>
      <c r="B1267" s="0" t="n">
        <v>394623</v>
      </c>
      <c r="C1267" s="0" t="n">
        <v>394643</v>
      </c>
      <c r="D1267" s="0" t="s">
        <v>4223</v>
      </c>
      <c r="E1267" s="0" t="s">
        <v>75</v>
      </c>
      <c r="F1267" s="0" t="s">
        <v>90</v>
      </c>
      <c r="G1267" s="0" t="s">
        <v>20</v>
      </c>
      <c r="H1267" s="0" t="n">
        <v>86</v>
      </c>
      <c r="I1267" s="0" t="s">
        <v>4230</v>
      </c>
      <c r="J1267" s="0" t="s">
        <v>4231</v>
      </c>
      <c r="K1267" s="0" t="s">
        <v>4232</v>
      </c>
      <c r="L1267" s="0" t="str">
        <f aca="false">HYPERLINK("https://www.ncbi.nlm.nih.gov/nuccore/CP000058.1?report=graph&amp;tracks=[key:gene_model_track,Options:GeneOnly]&amp;mk=394684:394703|offset_26|444444,394654:394673|offset_56|444444,394624:394643|offset_86|00cc00,394602:394621|offset_108|444444&amp;v=394483:394821&amp;c=444444", "offset 86")</f>
        <v>offset 86</v>
      </c>
    </row>
    <row r="1268" customFormat="false" ht="12.8" hidden="false" customHeight="false" outlineLevel="0" collapsed="false">
      <c r="A1268" s="0" t="s">
        <v>12</v>
      </c>
      <c r="B1268" s="0" t="n">
        <v>394601</v>
      </c>
      <c r="C1268" s="0" t="n">
        <v>394621</v>
      </c>
      <c r="D1268" s="0" t="s">
        <v>4223</v>
      </c>
      <c r="E1268" s="0" t="s">
        <v>75</v>
      </c>
      <c r="F1268" s="0" t="s">
        <v>90</v>
      </c>
      <c r="G1268" s="0" t="s">
        <v>16</v>
      </c>
      <c r="H1268" s="0" t="n">
        <v>108</v>
      </c>
      <c r="I1268" s="0" t="s">
        <v>4233</v>
      </c>
      <c r="J1268" s="0" t="s">
        <v>4234</v>
      </c>
      <c r="K1268" s="0" t="s">
        <v>4235</v>
      </c>
      <c r="L1268" s="0" t="str">
        <f aca="false">HYPERLINK("https://www.ncbi.nlm.nih.gov/nuccore/CP000058.1?report=graph&amp;tracks=[key:gene_model_track,Options:GeneOnly]&amp;mk=394684:394703|offset_26|444444,394654:394673|offset_56|444444,394624:394643|offset_86|444444,394602:394621|offset_108|00cc00&amp;v=394483:394821&amp;c=444444", "offset 108")</f>
        <v>offset 108</v>
      </c>
    </row>
    <row r="1269" customFormat="false" ht="12.8" hidden="false" customHeight="false" outlineLevel="0" collapsed="false">
      <c r="A1269" s="0" t="s">
        <v>12</v>
      </c>
      <c r="B1269" s="0" t="n">
        <v>395989</v>
      </c>
      <c r="C1269" s="0" t="n">
        <v>396009</v>
      </c>
      <c r="D1269" s="0" t="s">
        <v>4236</v>
      </c>
      <c r="E1269" s="0" t="s">
        <v>4237</v>
      </c>
      <c r="F1269" s="0" t="s">
        <v>90</v>
      </c>
      <c r="G1269" s="0" t="s">
        <v>32</v>
      </c>
      <c r="H1269" s="0" t="n">
        <v>1</v>
      </c>
      <c r="I1269" s="0" t="s">
        <v>4238</v>
      </c>
      <c r="J1269" s="0" t="s">
        <v>4239</v>
      </c>
      <c r="K1269" s="0" t="s">
        <v>4240</v>
      </c>
      <c r="L1269" s="0" t="str">
        <f aca="false">HYPERLINK("https://www.ncbi.nlm.nih.gov/nuccore/CP000058.1?report=graph&amp;tracks=[key:gene_model_track,Options:GeneOnly]&amp;mk=395990:396009|offset_1|00cc00,395961:395980|offset_30|444444,395938:395957|offset_53|444444,395882:395901|offset_109|444444&amp;v=395789:396101&amp;c=444444", "offset 1")</f>
        <v>offset 1</v>
      </c>
    </row>
    <row r="1270" customFormat="false" ht="12.8" hidden="false" customHeight="false" outlineLevel="0" collapsed="false">
      <c r="A1270" s="0" t="s">
        <v>12</v>
      </c>
      <c r="B1270" s="0" t="n">
        <v>395960</v>
      </c>
      <c r="C1270" s="0" t="n">
        <v>395980</v>
      </c>
      <c r="D1270" s="0" t="s">
        <v>4236</v>
      </c>
      <c r="E1270" s="0" t="s">
        <v>4237</v>
      </c>
      <c r="F1270" s="0" t="s">
        <v>90</v>
      </c>
      <c r="G1270" s="0" t="s">
        <v>36</v>
      </c>
      <c r="H1270" s="0" t="n">
        <v>30</v>
      </c>
      <c r="I1270" s="0" t="s">
        <v>4241</v>
      </c>
      <c r="J1270" s="0" t="s">
        <v>4242</v>
      </c>
      <c r="K1270" s="0" t="s">
        <v>4243</v>
      </c>
      <c r="L1270" s="0" t="str">
        <f aca="false">HYPERLINK("https://www.ncbi.nlm.nih.gov/nuccore/CP000058.1?report=graph&amp;tracks=[key:gene_model_track,Options:GeneOnly]&amp;mk=395990:396009|offset_1|444444,395961:395980|offset_30|00cc00,395938:395957|offset_53|444444,395882:395901|offset_109|444444&amp;v=395789:396101&amp;c=444444", "offset 30")</f>
        <v>offset 30</v>
      </c>
    </row>
    <row r="1271" customFormat="false" ht="12.8" hidden="false" customHeight="false" outlineLevel="0" collapsed="false">
      <c r="A1271" s="0" t="s">
        <v>12</v>
      </c>
      <c r="B1271" s="0" t="n">
        <v>395937</v>
      </c>
      <c r="C1271" s="0" t="n">
        <v>395957</v>
      </c>
      <c r="D1271" s="0" t="s">
        <v>4236</v>
      </c>
      <c r="E1271" s="0" t="s">
        <v>4237</v>
      </c>
      <c r="F1271" s="0" t="s">
        <v>90</v>
      </c>
      <c r="G1271" s="0" t="s">
        <v>16</v>
      </c>
      <c r="H1271" s="0" t="n">
        <v>53</v>
      </c>
      <c r="I1271" s="0" t="s">
        <v>4244</v>
      </c>
      <c r="J1271" s="0" t="s">
        <v>4245</v>
      </c>
      <c r="K1271" s="0" t="s">
        <v>4246</v>
      </c>
      <c r="L1271" s="0" t="str">
        <f aca="false">HYPERLINK("https://www.ncbi.nlm.nih.gov/nuccore/CP000058.1?report=graph&amp;tracks=[key:gene_model_track,Options:GeneOnly]&amp;mk=395990:396009|offset_1|444444,395961:395980|offset_30|444444,395938:395957|offset_53|00cc00,395882:395901|offset_109|444444&amp;v=395789:396101&amp;c=444444", "offset 53")</f>
        <v>offset 53</v>
      </c>
    </row>
    <row r="1272" customFormat="false" ht="12.8" hidden="false" customHeight="false" outlineLevel="0" collapsed="false">
      <c r="A1272" s="0" t="s">
        <v>12</v>
      </c>
      <c r="B1272" s="0" t="n">
        <v>395881</v>
      </c>
      <c r="C1272" s="0" t="n">
        <v>395901</v>
      </c>
      <c r="D1272" s="0" t="s">
        <v>4236</v>
      </c>
      <c r="E1272" s="0" t="s">
        <v>4237</v>
      </c>
      <c r="F1272" s="0" t="s">
        <v>90</v>
      </c>
      <c r="G1272" s="0" t="s">
        <v>16</v>
      </c>
      <c r="H1272" s="0" t="n">
        <v>109</v>
      </c>
      <c r="I1272" s="0" t="s">
        <v>4247</v>
      </c>
      <c r="J1272" s="0" t="s">
        <v>4248</v>
      </c>
      <c r="K1272" s="0" t="s">
        <v>4249</v>
      </c>
      <c r="L1272" s="0" t="str">
        <f aca="false">HYPERLINK("https://www.ncbi.nlm.nih.gov/nuccore/CP000058.1?report=graph&amp;tracks=[key:gene_model_track,Options:GeneOnly]&amp;mk=395990:396009|offset_1|444444,395961:395980|offset_30|444444,395938:395957|offset_53|444444,395882:395901|offset_109|00cc00&amp;v=395789:396101&amp;c=444444", "offset 109")</f>
        <v>offset 109</v>
      </c>
    </row>
    <row r="1273" customFormat="false" ht="12.8" hidden="false" customHeight="false" outlineLevel="0" collapsed="false">
      <c r="A1273" s="0" t="s">
        <v>12</v>
      </c>
      <c r="B1273" s="0" t="n">
        <v>396630</v>
      </c>
      <c r="C1273" s="0" t="n">
        <v>396650</v>
      </c>
      <c r="D1273" s="0" t="s">
        <v>4250</v>
      </c>
      <c r="E1273" s="0" t="s">
        <v>75</v>
      </c>
      <c r="F1273" s="0" t="s">
        <v>90</v>
      </c>
      <c r="G1273" s="0" t="s">
        <v>32</v>
      </c>
      <c r="H1273" s="0" t="n">
        <v>8</v>
      </c>
      <c r="I1273" s="0" t="s">
        <v>4251</v>
      </c>
      <c r="J1273" s="0" t="s">
        <v>4252</v>
      </c>
      <c r="K1273" s="0" t="s">
        <v>4253</v>
      </c>
      <c r="L1273" s="0" t="str">
        <f aca="false">HYPERLINK("https://www.ncbi.nlm.nih.gov/nuccore/CP000058.1?report=graph&amp;tracks=[key:gene_model_track,Options:GeneOnly]&amp;mk=396631:396650|offset_8|00cc00,396611:396630|offset_28|444444,396591:396610|offset_48|444444,396541:396560|offset_98|444444&amp;v=396430:396760&amp;c=444444", "offset 8")</f>
        <v>offset 8</v>
      </c>
    </row>
    <row r="1274" customFormat="false" ht="12.8" hidden="false" customHeight="false" outlineLevel="0" collapsed="false">
      <c r="A1274" s="0" t="s">
        <v>12</v>
      </c>
      <c r="B1274" s="0" t="n">
        <v>396610</v>
      </c>
      <c r="C1274" s="0" t="n">
        <v>396630</v>
      </c>
      <c r="D1274" s="0" t="s">
        <v>4250</v>
      </c>
      <c r="E1274" s="0" t="s">
        <v>75</v>
      </c>
      <c r="F1274" s="0" t="s">
        <v>90</v>
      </c>
      <c r="G1274" s="0" t="s">
        <v>16</v>
      </c>
      <c r="H1274" s="0" t="n">
        <v>28</v>
      </c>
      <c r="I1274" s="0" t="s">
        <v>4254</v>
      </c>
      <c r="J1274" s="0" t="s">
        <v>4255</v>
      </c>
      <c r="K1274" s="0" t="s">
        <v>4256</v>
      </c>
      <c r="L1274" s="0" t="str">
        <f aca="false">HYPERLINK("https://www.ncbi.nlm.nih.gov/nuccore/CP000058.1?report=graph&amp;tracks=[key:gene_model_track,Options:GeneOnly]&amp;mk=396631:396650|offset_8|444444,396611:396630|offset_28|00cc00,396591:396610|offset_48|444444,396541:396560|offset_98|444444&amp;v=396430:396760&amp;c=444444", "offset 28")</f>
        <v>offset 28</v>
      </c>
    </row>
    <row r="1275" customFormat="false" ht="12.8" hidden="false" customHeight="false" outlineLevel="0" collapsed="false">
      <c r="A1275" s="0" t="s">
        <v>12</v>
      </c>
      <c r="B1275" s="0" t="n">
        <v>396590</v>
      </c>
      <c r="C1275" s="0" t="n">
        <v>396610</v>
      </c>
      <c r="D1275" s="0" t="s">
        <v>4250</v>
      </c>
      <c r="E1275" s="0" t="s">
        <v>75</v>
      </c>
      <c r="F1275" s="0" t="s">
        <v>90</v>
      </c>
      <c r="G1275" s="0" t="s">
        <v>16</v>
      </c>
      <c r="H1275" s="0" t="n">
        <v>48</v>
      </c>
      <c r="I1275" s="0" t="s">
        <v>4257</v>
      </c>
      <c r="J1275" s="0" t="s">
        <v>4258</v>
      </c>
      <c r="K1275" s="0" t="s">
        <v>4259</v>
      </c>
      <c r="L1275" s="0" t="str">
        <f aca="false">HYPERLINK("https://www.ncbi.nlm.nih.gov/nuccore/CP000058.1?report=graph&amp;tracks=[key:gene_model_track,Options:GeneOnly]&amp;mk=396631:396650|offset_8|444444,396611:396630|offset_28|444444,396591:396610|offset_48|00cc00,396541:396560|offset_98|444444&amp;v=396430:396760&amp;c=444444", "offset 48")</f>
        <v>offset 48</v>
      </c>
    </row>
    <row r="1276" customFormat="false" ht="12.8" hidden="false" customHeight="false" outlineLevel="0" collapsed="false">
      <c r="A1276" s="0" t="s">
        <v>12</v>
      </c>
      <c r="B1276" s="0" t="n">
        <v>396540</v>
      </c>
      <c r="C1276" s="0" t="n">
        <v>396560</v>
      </c>
      <c r="D1276" s="0" t="s">
        <v>4250</v>
      </c>
      <c r="E1276" s="0" t="s">
        <v>75</v>
      </c>
      <c r="F1276" s="0" t="s">
        <v>90</v>
      </c>
      <c r="G1276" s="0" t="s">
        <v>32</v>
      </c>
      <c r="H1276" s="0" t="n">
        <v>98</v>
      </c>
      <c r="I1276" s="0" t="s">
        <v>4260</v>
      </c>
      <c r="J1276" s="0" t="s">
        <v>4261</v>
      </c>
      <c r="K1276" s="0" t="s">
        <v>4262</v>
      </c>
      <c r="L1276" s="0" t="str">
        <f aca="false">HYPERLINK("https://www.ncbi.nlm.nih.gov/nuccore/CP000058.1?report=graph&amp;tracks=[key:gene_model_track,Options:GeneOnly]&amp;mk=396631:396650|offset_8|444444,396611:396630|offset_28|444444,396591:396610|offset_48|444444,396541:396560|offset_98|00cc00&amp;v=396430:396760&amp;c=444444", "offset 98")</f>
        <v>offset 98</v>
      </c>
    </row>
    <row r="1277" customFormat="false" ht="12.8" hidden="false" customHeight="false" outlineLevel="0" collapsed="false">
      <c r="A1277" s="0" t="s">
        <v>12</v>
      </c>
      <c r="B1277" s="0" t="n">
        <v>397372</v>
      </c>
      <c r="C1277" s="0" t="n">
        <v>397392</v>
      </c>
      <c r="D1277" s="0" t="s">
        <v>4263</v>
      </c>
      <c r="E1277" s="0" t="s">
        <v>4264</v>
      </c>
      <c r="F1277" s="0" t="s">
        <v>90</v>
      </c>
      <c r="G1277" s="0" t="s">
        <v>16</v>
      </c>
      <c r="H1277" s="0" t="n">
        <v>12</v>
      </c>
      <c r="I1277" s="0" t="s">
        <v>4265</v>
      </c>
      <c r="J1277" s="0" t="s">
        <v>4266</v>
      </c>
      <c r="K1277" s="0" t="s">
        <v>4267</v>
      </c>
      <c r="L1277" s="0" t="str">
        <f aca="false">HYPERLINK("https://www.ncbi.nlm.nih.gov/nuccore/CP000058.1?report=graph&amp;tracks=[key:gene_model_track,Options:GeneOnly]&amp;mk=397373:397392|offset_12|00cc00,397348:397367|offset_37|444444,397325:397344|offset_60|444444,397294:397313|offset_91|444444&amp;v=397172:397513&amp;c=444444", "offset 12")</f>
        <v>offset 12</v>
      </c>
    </row>
    <row r="1278" customFormat="false" ht="12.8" hidden="false" customHeight="false" outlineLevel="0" collapsed="false">
      <c r="A1278" s="0" t="s">
        <v>12</v>
      </c>
      <c r="B1278" s="0" t="n">
        <v>397347</v>
      </c>
      <c r="C1278" s="0" t="n">
        <v>397367</v>
      </c>
      <c r="D1278" s="0" t="s">
        <v>4263</v>
      </c>
      <c r="E1278" s="0" t="s">
        <v>4264</v>
      </c>
      <c r="F1278" s="0" t="s">
        <v>90</v>
      </c>
      <c r="G1278" s="0" t="s">
        <v>36</v>
      </c>
      <c r="H1278" s="0" t="n">
        <v>37</v>
      </c>
      <c r="I1278" s="0" t="s">
        <v>4268</v>
      </c>
      <c r="J1278" s="0" t="s">
        <v>4269</v>
      </c>
      <c r="K1278" s="0" t="s">
        <v>4270</v>
      </c>
      <c r="L1278" s="0" t="str">
        <f aca="false">HYPERLINK("https://www.ncbi.nlm.nih.gov/nuccore/CP000058.1?report=graph&amp;tracks=[key:gene_model_track,Options:GeneOnly]&amp;mk=397373:397392|offset_12|444444,397348:397367|offset_37|00cc00,397325:397344|offset_60|444444,397294:397313|offset_91|444444&amp;v=397172:397513&amp;c=444444", "offset 37")</f>
        <v>offset 37</v>
      </c>
    </row>
    <row r="1279" customFormat="false" ht="12.8" hidden="false" customHeight="false" outlineLevel="0" collapsed="false">
      <c r="A1279" s="0" t="s">
        <v>12</v>
      </c>
      <c r="B1279" s="0" t="n">
        <v>397324</v>
      </c>
      <c r="C1279" s="0" t="n">
        <v>397344</v>
      </c>
      <c r="D1279" s="0" t="s">
        <v>4263</v>
      </c>
      <c r="E1279" s="0" t="s">
        <v>4264</v>
      </c>
      <c r="F1279" s="0" t="s">
        <v>90</v>
      </c>
      <c r="G1279" s="0" t="s">
        <v>36</v>
      </c>
      <c r="H1279" s="0" t="n">
        <v>60</v>
      </c>
      <c r="I1279" s="0" t="s">
        <v>4271</v>
      </c>
      <c r="J1279" s="0" t="s">
        <v>4272</v>
      </c>
      <c r="K1279" s="0" t="s">
        <v>4273</v>
      </c>
      <c r="L1279" s="0" t="str">
        <f aca="false">HYPERLINK("https://www.ncbi.nlm.nih.gov/nuccore/CP000058.1?report=graph&amp;tracks=[key:gene_model_track,Options:GeneOnly]&amp;mk=397373:397392|offset_12|444444,397348:397367|offset_37|444444,397325:397344|offset_60|00cc00,397294:397313|offset_91|444444&amp;v=397172:397513&amp;c=444444", "offset 60")</f>
        <v>offset 60</v>
      </c>
    </row>
    <row r="1280" customFormat="false" ht="12.8" hidden="false" customHeight="false" outlineLevel="0" collapsed="false">
      <c r="A1280" s="0" t="s">
        <v>12</v>
      </c>
      <c r="B1280" s="0" t="n">
        <v>397293</v>
      </c>
      <c r="C1280" s="0" t="n">
        <v>397313</v>
      </c>
      <c r="D1280" s="0" t="s">
        <v>4263</v>
      </c>
      <c r="E1280" s="0" t="s">
        <v>4264</v>
      </c>
      <c r="F1280" s="0" t="s">
        <v>90</v>
      </c>
      <c r="G1280" s="0" t="s">
        <v>36</v>
      </c>
      <c r="H1280" s="0" t="n">
        <v>91</v>
      </c>
      <c r="I1280" s="0" t="s">
        <v>4274</v>
      </c>
      <c r="J1280" s="0" t="s">
        <v>4275</v>
      </c>
      <c r="K1280" s="0" t="s">
        <v>4276</v>
      </c>
      <c r="L1280" s="0" t="str">
        <f aca="false">HYPERLINK("https://www.ncbi.nlm.nih.gov/nuccore/CP000058.1?report=graph&amp;tracks=[key:gene_model_track,Options:GeneOnly]&amp;mk=397373:397392|offset_12|444444,397348:397367|offset_37|444444,397325:397344|offset_60|444444,397294:397313|offset_91|00cc00&amp;v=397172:397513&amp;c=444444", "offset 91")</f>
        <v>offset 91</v>
      </c>
    </row>
    <row r="1281" customFormat="false" ht="12.8" hidden="false" customHeight="false" outlineLevel="0" collapsed="false">
      <c r="A1281" s="0" t="s">
        <v>12</v>
      </c>
      <c r="B1281" s="0" t="n">
        <v>397577</v>
      </c>
      <c r="C1281" s="0" t="n">
        <v>397597</v>
      </c>
      <c r="D1281" s="0" t="s">
        <v>4277</v>
      </c>
      <c r="E1281" s="0" t="s">
        <v>4278</v>
      </c>
      <c r="F1281" s="0" t="s">
        <v>15</v>
      </c>
      <c r="G1281" s="0" t="s">
        <v>20</v>
      </c>
      <c r="H1281" s="0" t="n">
        <v>10</v>
      </c>
      <c r="I1281" s="0" t="s">
        <v>4279</v>
      </c>
      <c r="J1281" s="0" t="s">
        <v>4280</v>
      </c>
      <c r="K1281" s="0" t="s">
        <v>4281</v>
      </c>
      <c r="L1281" s="0" t="str">
        <f aca="false">HYPERLINK("https://www.ncbi.nlm.nih.gov/nuccore/CP000058.1?report=graph&amp;tracks=[key:gene_model_track,Options:GeneOnly]&amp;mk=397578:397597|offset_10|00cc00,397603:397622|offset_35|444444,397642:397661|offset_74|444444,397671:397690|offset_103|444444&amp;v=397377:397890&amp;c=444444", "offset 10")</f>
        <v>offset 10</v>
      </c>
    </row>
    <row r="1282" customFormat="false" ht="12.8" hidden="false" customHeight="false" outlineLevel="0" collapsed="false">
      <c r="A1282" s="0" t="s">
        <v>12</v>
      </c>
      <c r="B1282" s="0" t="n">
        <v>397602</v>
      </c>
      <c r="C1282" s="0" t="n">
        <v>397622</v>
      </c>
      <c r="D1282" s="0" t="s">
        <v>4277</v>
      </c>
      <c r="E1282" s="0" t="s">
        <v>4278</v>
      </c>
      <c r="F1282" s="0" t="s">
        <v>15</v>
      </c>
      <c r="G1282" s="0" t="s">
        <v>36</v>
      </c>
      <c r="H1282" s="0" t="n">
        <v>35</v>
      </c>
      <c r="I1282" s="0" t="s">
        <v>4282</v>
      </c>
      <c r="J1282" s="0" t="s">
        <v>4283</v>
      </c>
      <c r="K1282" s="0" t="s">
        <v>4284</v>
      </c>
      <c r="L1282" s="0" t="str">
        <f aca="false">HYPERLINK("https://www.ncbi.nlm.nih.gov/nuccore/CP000058.1?report=graph&amp;tracks=[key:gene_model_track,Options:GeneOnly]&amp;mk=397578:397597|offset_10|444444,397603:397622|offset_35|00cc00,397642:397661|offset_74|444444,397671:397690|offset_103|444444&amp;v=397377:397890&amp;c=444444", "offset 35")</f>
        <v>offset 35</v>
      </c>
    </row>
    <row r="1283" customFormat="false" ht="12.8" hidden="false" customHeight="false" outlineLevel="0" collapsed="false">
      <c r="A1283" s="0" t="s">
        <v>12</v>
      </c>
      <c r="B1283" s="0" t="n">
        <v>397641</v>
      </c>
      <c r="C1283" s="0" t="n">
        <v>397661</v>
      </c>
      <c r="D1283" s="0" t="s">
        <v>4277</v>
      </c>
      <c r="E1283" s="0" t="s">
        <v>4278</v>
      </c>
      <c r="F1283" s="0" t="s">
        <v>15</v>
      </c>
      <c r="G1283" s="0" t="s">
        <v>32</v>
      </c>
      <c r="H1283" s="0" t="n">
        <v>74</v>
      </c>
      <c r="I1283" s="0" t="s">
        <v>4285</v>
      </c>
      <c r="J1283" s="0" t="s">
        <v>4286</v>
      </c>
      <c r="K1283" s="0" t="s">
        <v>4287</v>
      </c>
      <c r="L1283" s="0" t="str">
        <f aca="false">HYPERLINK("https://www.ncbi.nlm.nih.gov/nuccore/CP000058.1?report=graph&amp;tracks=[key:gene_model_track,Options:GeneOnly]&amp;mk=397578:397597|offset_10|444444,397603:397622|offset_35|444444,397642:397661|offset_74|00cc00,397671:397690|offset_103|444444&amp;v=397377:397890&amp;c=444444", "offset 74")</f>
        <v>offset 74</v>
      </c>
    </row>
    <row r="1284" customFormat="false" ht="12.8" hidden="false" customHeight="false" outlineLevel="0" collapsed="false">
      <c r="A1284" s="0" t="s">
        <v>12</v>
      </c>
      <c r="B1284" s="0" t="n">
        <v>397670</v>
      </c>
      <c r="C1284" s="0" t="n">
        <v>397690</v>
      </c>
      <c r="D1284" s="0" t="s">
        <v>4277</v>
      </c>
      <c r="E1284" s="0" t="s">
        <v>4278</v>
      </c>
      <c r="F1284" s="0" t="s">
        <v>15</v>
      </c>
      <c r="G1284" s="0" t="s">
        <v>32</v>
      </c>
      <c r="H1284" s="0" t="n">
        <v>103</v>
      </c>
      <c r="I1284" s="0" t="s">
        <v>4288</v>
      </c>
      <c r="J1284" s="0" t="s">
        <v>4289</v>
      </c>
      <c r="K1284" s="0" t="s">
        <v>4290</v>
      </c>
      <c r="L1284" s="0" t="str">
        <f aca="false">HYPERLINK("https://www.ncbi.nlm.nih.gov/nuccore/CP000058.1?report=graph&amp;tracks=[key:gene_model_track,Options:GeneOnly]&amp;mk=397578:397597|offset_10|444444,397603:397622|offset_35|444444,397642:397661|offset_74|444444,397671:397690|offset_103|00cc00&amp;v=397377:397890&amp;c=444444", "offset 103")</f>
        <v>offset 103</v>
      </c>
    </row>
    <row r="1285" customFormat="false" ht="12.8" hidden="false" customHeight="false" outlineLevel="0" collapsed="false">
      <c r="A1285" s="0" t="s">
        <v>12</v>
      </c>
      <c r="B1285" s="0" t="n">
        <v>399893</v>
      </c>
      <c r="C1285" s="0" t="n">
        <v>399913</v>
      </c>
      <c r="D1285" s="0" t="s">
        <v>4291</v>
      </c>
      <c r="E1285" s="0" t="s">
        <v>4292</v>
      </c>
      <c r="F1285" s="0" t="s">
        <v>90</v>
      </c>
      <c r="G1285" s="0" t="s">
        <v>32</v>
      </c>
      <c r="H1285" s="0" t="n">
        <v>43</v>
      </c>
      <c r="I1285" s="0" t="s">
        <v>4293</v>
      </c>
      <c r="J1285" s="0" t="s">
        <v>4294</v>
      </c>
      <c r="K1285" s="0" t="s">
        <v>4295</v>
      </c>
      <c r="L1285" s="0" t="str">
        <f aca="false">HYPERLINK("https://www.ncbi.nlm.nih.gov/nuccore/CP000058.1?report=graph&amp;tracks=[key:gene_model_track,Options:GeneOnly]&amp;mk=399894:399913|offset_43|00cc00,399870:399889|offset_67|444444,399847:399866|offset_90|444444,399824:399843|offset_113|444444&amp;v=399693:400043&amp;c=444444", "offset 43")</f>
        <v>offset 43</v>
      </c>
    </row>
    <row r="1286" customFormat="false" ht="12.8" hidden="false" customHeight="false" outlineLevel="0" collapsed="false">
      <c r="A1286" s="0" t="s">
        <v>12</v>
      </c>
      <c r="B1286" s="0" t="n">
        <v>399869</v>
      </c>
      <c r="C1286" s="0" t="n">
        <v>399889</v>
      </c>
      <c r="D1286" s="0" t="s">
        <v>4291</v>
      </c>
      <c r="E1286" s="0" t="s">
        <v>4292</v>
      </c>
      <c r="F1286" s="0" t="s">
        <v>90</v>
      </c>
      <c r="G1286" s="0" t="s">
        <v>36</v>
      </c>
      <c r="H1286" s="0" t="n">
        <v>67</v>
      </c>
      <c r="I1286" s="0" t="s">
        <v>4296</v>
      </c>
      <c r="J1286" s="0" t="s">
        <v>4297</v>
      </c>
      <c r="K1286" s="0" t="s">
        <v>4298</v>
      </c>
      <c r="L1286" s="0" t="str">
        <f aca="false">HYPERLINK("https://www.ncbi.nlm.nih.gov/nuccore/CP000058.1?report=graph&amp;tracks=[key:gene_model_track,Options:GeneOnly]&amp;mk=399894:399913|offset_43|444444,399870:399889|offset_67|00cc00,399847:399866|offset_90|444444,399824:399843|offset_113|444444&amp;v=399693:400043&amp;c=444444", "offset 67")</f>
        <v>offset 67</v>
      </c>
    </row>
    <row r="1287" customFormat="false" ht="12.8" hidden="false" customHeight="false" outlineLevel="0" collapsed="false">
      <c r="A1287" s="0" t="s">
        <v>12</v>
      </c>
      <c r="B1287" s="0" t="n">
        <v>399846</v>
      </c>
      <c r="C1287" s="0" t="n">
        <v>399866</v>
      </c>
      <c r="D1287" s="0" t="s">
        <v>4291</v>
      </c>
      <c r="E1287" s="0" t="s">
        <v>4292</v>
      </c>
      <c r="F1287" s="0" t="s">
        <v>90</v>
      </c>
      <c r="G1287" s="0" t="s">
        <v>32</v>
      </c>
      <c r="H1287" s="0" t="n">
        <v>90</v>
      </c>
      <c r="I1287" s="0" t="s">
        <v>4299</v>
      </c>
      <c r="J1287" s="0" t="s">
        <v>4300</v>
      </c>
      <c r="K1287" s="0" t="s">
        <v>4301</v>
      </c>
      <c r="L1287" s="0" t="str">
        <f aca="false">HYPERLINK("https://www.ncbi.nlm.nih.gov/nuccore/CP000058.1?report=graph&amp;tracks=[key:gene_model_track,Options:GeneOnly]&amp;mk=399894:399913|offset_43|444444,399870:399889|offset_67|444444,399847:399866|offset_90|00cc00,399824:399843|offset_113|444444&amp;v=399693:400043&amp;c=444444", "offset 90")</f>
        <v>offset 90</v>
      </c>
    </row>
    <row r="1288" customFormat="false" ht="12.8" hidden="false" customHeight="false" outlineLevel="0" collapsed="false">
      <c r="A1288" s="0" t="s">
        <v>12</v>
      </c>
      <c r="B1288" s="0" t="n">
        <v>399823</v>
      </c>
      <c r="C1288" s="0" t="n">
        <v>399843</v>
      </c>
      <c r="D1288" s="0" t="s">
        <v>4291</v>
      </c>
      <c r="E1288" s="0" t="s">
        <v>4292</v>
      </c>
      <c r="F1288" s="0" t="s">
        <v>90</v>
      </c>
      <c r="G1288" s="0" t="s">
        <v>20</v>
      </c>
      <c r="H1288" s="0" t="n">
        <v>113</v>
      </c>
      <c r="I1288" s="0" t="s">
        <v>4302</v>
      </c>
      <c r="J1288" s="0" t="s">
        <v>4303</v>
      </c>
      <c r="K1288" s="0" t="s">
        <v>4304</v>
      </c>
      <c r="L1288" s="0" t="str">
        <f aca="false">HYPERLINK("https://www.ncbi.nlm.nih.gov/nuccore/CP000058.1?report=graph&amp;tracks=[key:gene_model_track,Options:GeneOnly]&amp;mk=399894:399913|offset_43|444444,399870:399889|offset_67|444444,399847:399866|offset_90|444444,399824:399843|offset_113|00cc00&amp;v=399693:400043&amp;c=444444", "offset 113")</f>
        <v>offset 113</v>
      </c>
    </row>
    <row r="1289" customFormat="false" ht="12.8" hidden="false" customHeight="false" outlineLevel="0" collapsed="false">
      <c r="A1289" s="0" t="s">
        <v>12</v>
      </c>
      <c r="B1289" s="0" t="n">
        <v>400194</v>
      </c>
      <c r="C1289" s="0" t="n">
        <v>400214</v>
      </c>
      <c r="D1289" s="0" t="s">
        <v>4305</v>
      </c>
      <c r="E1289" s="0" t="s">
        <v>75</v>
      </c>
      <c r="F1289" s="0" t="s">
        <v>90</v>
      </c>
      <c r="G1289" s="0" t="s">
        <v>36</v>
      </c>
      <c r="H1289" s="0" t="n">
        <v>0</v>
      </c>
      <c r="I1289" s="0" t="s">
        <v>4306</v>
      </c>
      <c r="J1289" s="0" t="s">
        <v>4307</v>
      </c>
      <c r="K1289" s="0" t="s">
        <v>4308</v>
      </c>
      <c r="L1289" s="0" t="str">
        <f aca="false">HYPERLINK("https://www.ncbi.nlm.nih.gov/nuccore/CP000058.1?report=graph&amp;tracks=[key:gene_model_track,Options:GeneOnly]&amp;mk=400195:400214|offset_0|00cc00,400143:400162|offset_52|444444,400093:400112|offset_102|444444,400061:400080|offset_134|444444&amp;v=399994:400280&amp;c=444444", "offset 0")</f>
        <v>offset 0</v>
      </c>
    </row>
    <row r="1290" customFormat="false" ht="12.8" hidden="false" customHeight="false" outlineLevel="0" collapsed="false">
      <c r="A1290" s="0" t="s">
        <v>12</v>
      </c>
      <c r="B1290" s="0" t="n">
        <v>400142</v>
      </c>
      <c r="C1290" s="0" t="n">
        <v>400162</v>
      </c>
      <c r="D1290" s="0" t="s">
        <v>4305</v>
      </c>
      <c r="E1290" s="0" t="s">
        <v>75</v>
      </c>
      <c r="F1290" s="0" t="s">
        <v>90</v>
      </c>
      <c r="G1290" s="0" t="s">
        <v>20</v>
      </c>
      <c r="H1290" s="0" t="n">
        <v>52</v>
      </c>
      <c r="I1290" s="0" t="s">
        <v>4309</v>
      </c>
      <c r="J1290" s="0" t="s">
        <v>4310</v>
      </c>
      <c r="K1290" s="0" t="s">
        <v>4311</v>
      </c>
      <c r="L1290" s="0" t="str">
        <f aca="false">HYPERLINK("https://www.ncbi.nlm.nih.gov/nuccore/CP000058.1?report=graph&amp;tracks=[key:gene_model_track,Options:GeneOnly]&amp;mk=400195:400214|offset_0|444444,400143:400162|offset_52|00cc00,400093:400112|offset_102|444444,400061:400080|offset_134|444444&amp;v=399994:400280&amp;c=444444", "offset 52")</f>
        <v>offset 52</v>
      </c>
    </row>
    <row r="1291" customFormat="false" ht="12.8" hidden="false" customHeight="false" outlineLevel="0" collapsed="false">
      <c r="A1291" s="0" t="s">
        <v>12</v>
      </c>
      <c r="B1291" s="0" t="n">
        <v>400092</v>
      </c>
      <c r="C1291" s="0" t="n">
        <v>400112</v>
      </c>
      <c r="D1291" s="0" t="s">
        <v>4305</v>
      </c>
      <c r="E1291" s="0" t="s">
        <v>75</v>
      </c>
      <c r="F1291" s="0" t="s">
        <v>90</v>
      </c>
      <c r="G1291" s="0" t="s">
        <v>36</v>
      </c>
      <c r="H1291" s="0" t="n">
        <v>102</v>
      </c>
      <c r="I1291" s="0" t="s">
        <v>4312</v>
      </c>
      <c r="J1291" s="0" t="s">
        <v>4313</v>
      </c>
      <c r="K1291" s="0" t="s">
        <v>4314</v>
      </c>
      <c r="L1291" s="0" t="str">
        <f aca="false">HYPERLINK("https://www.ncbi.nlm.nih.gov/nuccore/CP000058.1?report=graph&amp;tracks=[key:gene_model_track,Options:GeneOnly]&amp;mk=400195:400214|offset_0|444444,400143:400162|offset_52|444444,400093:400112|offset_102|00cc00,400061:400080|offset_134|444444&amp;v=399994:400280&amp;c=444444", "offset 102")</f>
        <v>offset 102</v>
      </c>
    </row>
    <row r="1292" customFormat="false" ht="12.8" hidden="false" customHeight="false" outlineLevel="0" collapsed="false">
      <c r="A1292" s="0" t="s">
        <v>12</v>
      </c>
      <c r="B1292" s="0" t="n">
        <v>400060</v>
      </c>
      <c r="C1292" s="0" t="n">
        <v>400080</v>
      </c>
      <c r="D1292" s="0" t="s">
        <v>4305</v>
      </c>
      <c r="E1292" s="0" t="s">
        <v>75</v>
      </c>
      <c r="F1292" s="0" t="s">
        <v>90</v>
      </c>
      <c r="G1292" s="0" t="s">
        <v>36</v>
      </c>
      <c r="H1292" s="0" t="n">
        <v>134</v>
      </c>
      <c r="I1292" s="0" t="s">
        <v>4315</v>
      </c>
      <c r="J1292" s="0" t="s">
        <v>4316</v>
      </c>
      <c r="K1292" s="0" t="s">
        <v>4317</v>
      </c>
      <c r="L1292" s="0" t="str">
        <f aca="false">HYPERLINK("https://www.ncbi.nlm.nih.gov/nuccore/CP000058.1?report=graph&amp;tracks=[key:gene_model_track,Options:GeneOnly]&amp;mk=400195:400214|offset_0|444444,400143:400162|offset_52|444444,400093:400112|offset_102|444444,400061:400080|offset_134|00cc00&amp;v=399994:400280&amp;c=444444", "offset 134")</f>
        <v>offset 134</v>
      </c>
    </row>
    <row r="1293" customFormat="false" ht="12.8" hidden="false" customHeight="false" outlineLevel="0" collapsed="false">
      <c r="A1293" s="0" t="s">
        <v>12</v>
      </c>
      <c r="B1293" s="0" t="n">
        <v>401444</v>
      </c>
      <c r="C1293" s="0" t="n">
        <v>401464</v>
      </c>
      <c r="D1293" s="0" t="s">
        <v>4318</v>
      </c>
      <c r="E1293" s="0" t="s">
        <v>4319</v>
      </c>
      <c r="F1293" s="0" t="s">
        <v>90</v>
      </c>
      <c r="G1293" s="0" t="s">
        <v>32</v>
      </c>
      <c r="H1293" s="0" t="n">
        <v>1</v>
      </c>
      <c r="I1293" s="0" t="s">
        <v>4320</v>
      </c>
      <c r="J1293" s="0" t="s">
        <v>4321</v>
      </c>
      <c r="K1293" s="0" t="s">
        <v>4322</v>
      </c>
      <c r="L1293" s="0" t="str">
        <f aca="false">HYPERLINK("https://www.ncbi.nlm.nih.gov/nuccore/CP000058.1?report=graph&amp;tracks=[key:gene_model_track,Options:GeneOnly]&amp;mk=401445:401464|offset_1|00cc00,401388:401407|offset_58|444444,401330:401349|offset_116|444444,401280:401299|offset_166|444444&amp;v=401244:401499&amp;c=444444", "offset 1")</f>
        <v>offset 1</v>
      </c>
    </row>
    <row r="1294" customFormat="false" ht="12.8" hidden="false" customHeight="false" outlineLevel="0" collapsed="false">
      <c r="A1294" s="0" t="s">
        <v>12</v>
      </c>
      <c r="B1294" s="0" t="n">
        <v>401387</v>
      </c>
      <c r="C1294" s="0" t="n">
        <v>401407</v>
      </c>
      <c r="D1294" s="0" t="s">
        <v>4318</v>
      </c>
      <c r="E1294" s="0" t="s">
        <v>4319</v>
      </c>
      <c r="F1294" s="0" t="s">
        <v>90</v>
      </c>
      <c r="G1294" s="0" t="s">
        <v>36</v>
      </c>
      <c r="H1294" s="0" t="n">
        <v>58</v>
      </c>
      <c r="I1294" s="0" t="s">
        <v>4323</v>
      </c>
      <c r="J1294" s="0" t="s">
        <v>4324</v>
      </c>
      <c r="K1294" s="0" t="s">
        <v>4325</v>
      </c>
      <c r="L1294" s="0" t="str">
        <f aca="false">HYPERLINK("https://www.ncbi.nlm.nih.gov/nuccore/CP000058.1?report=graph&amp;tracks=[key:gene_model_track,Options:GeneOnly]&amp;mk=401445:401464|offset_1|444444,401388:401407|offset_58|00cc00,401330:401349|offset_116|444444,401280:401299|offset_166|444444&amp;v=401244:401499&amp;c=444444", "offset 58")</f>
        <v>offset 58</v>
      </c>
    </row>
    <row r="1295" customFormat="false" ht="12.8" hidden="false" customHeight="false" outlineLevel="0" collapsed="false">
      <c r="A1295" s="0" t="s">
        <v>12</v>
      </c>
      <c r="B1295" s="0" t="n">
        <v>401329</v>
      </c>
      <c r="C1295" s="0" t="n">
        <v>401349</v>
      </c>
      <c r="D1295" s="0" t="s">
        <v>4318</v>
      </c>
      <c r="E1295" s="0" t="s">
        <v>4319</v>
      </c>
      <c r="F1295" s="0" t="s">
        <v>90</v>
      </c>
      <c r="G1295" s="0" t="s">
        <v>32</v>
      </c>
      <c r="H1295" s="0" t="n">
        <v>116</v>
      </c>
      <c r="I1295" s="0" t="s">
        <v>4326</v>
      </c>
      <c r="J1295" s="0" t="s">
        <v>4327</v>
      </c>
      <c r="K1295" s="0" t="s">
        <v>4328</v>
      </c>
      <c r="L1295" s="0" t="str">
        <f aca="false">HYPERLINK("https://www.ncbi.nlm.nih.gov/nuccore/CP000058.1?report=graph&amp;tracks=[key:gene_model_track,Options:GeneOnly]&amp;mk=401445:401464|offset_1|444444,401388:401407|offset_58|444444,401330:401349|offset_116|00cc00,401280:401299|offset_166|444444&amp;v=401244:401499&amp;c=444444", "offset 116")</f>
        <v>offset 116</v>
      </c>
    </row>
    <row r="1296" customFormat="false" ht="12.8" hidden="false" customHeight="false" outlineLevel="0" collapsed="false">
      <c r="A1296" s="0" t="s">
        <v>12</v>
      </c>
      <c r="B1296" s="0" t="n">
        <v>401279</v>
      </c>
      <c r="C1296" s="0" t="n">
        <v>401299</v>
      </c>
      <c r="D1296" s="0" t="s">
        <v>4318</v>
      </c>
      <c r="E1296" s="0" t="s">
        <v>4319</v>
      </c>
      <c r="F1296" s="0" t="s">
        <v>90</v>
      </c>
      <c r="G1296" s="0" t="s">
        <v>16</v>
      </c>
      <c r="H1296" s="0" t="n">
        <v>166</v>
      </c>
      <c r="I1296" s="0" t="s">
        <v>4329</v>
      </c>
      <c r="J1296" s="0" t="s">
        <v>4330</v>
      </c>
      <c r="K1296" s="0" t="s">
        <v>4331</v>
      </c>
      <c r="L1296" s="0" t="str">
        <f aca="false">HYPERLINK("https://www.ncbi.nlm.nih.gov/nuccore/CP000058.1?report=graph&amp;tracks=[key:gene_model_track,Options:GeneOnly]&amp;mk=401445:401464|offset_1|444444,401388:401407|offset_58|444444,401330:401349|offset_116|444444,401280:401299|offset_166|00cc00&amp;v=401244:401499&amp;c=444444", "offset 166")</f>
        <v>offset 166</v>
      </c>
    </row>
    <row r="1297" customFormat="false" ht="12.8" hidden="false" customHeight="false" outlineLevel="0" collapsed="false">
      <c r="A1297" s="0" t="s">
        <v>12</v>
      </c>
      <c r="B1297" s="0" t="n">
        <v>402932</v>
      </c>
      <c r="C1297" s="0" t="n">
        <v>402952</v>
      </c>
      <c r="D1297" s="0" t="s">
        <v>4332</v>
      </c>
      <c r="E1297" s="0" t="s">
        <v>75</v>
      </c>
      <c r="F1297" s="0" t="s">
        <v>90</v>
      </c>
      <c r="G1297" s="0" t="s">
        <v>36</v>
      </c>
      <c r="H1297" s="0" t="n">
        <v>12</v>
      </c>
      <c r="I1297" s="0" t="s">
        <v>4333</v>
      </c>
      <c r="J1297" s="0" t="s">
        <v>4334</v>
      </c>
      <c r="K1297" s="0" t="s">
        <v>4335</v>
      </c>
      <c r="L1297" s="0" t="str">
        <f aca="false">HYPERLINK("https://www.ncbi.nlm.nih.gov/nuccore/CP000058.1?report=graph&amp;tracks=[key:gene_model_track,Options:GeneOnly]&amp;mk=402933:402952|offset_12|00cc00,402907:402926|offset_38|444444,402884:402903|offset_61|444444,402864:402883|offset_81|444444&amp;v=402732:403083&amp;c=444444", "offset 12")</f>
        <v>offset 12</v>
      </c>
    </row>
    <row r="1298" customFormat="false" ht="12.8" hidden="false" customHeight="false" outlineLevel="0" collapsed="false">
      <c r="A1298" s="0" t="s">
        <v>12</v>
      </c>
      <c r="B1298" s="0" t="n">
        <v>402906</v>
      </c>
      <c r="C1298" s="0" t="n">
        <v>402926</v>
      </c>
      <c r="D1298" s="0" t="s">
        <v>4332</v>
      </c>
      <c r="E1298" s="0" t="s">
        <v>75</v>
      </c>
      <c r="F1298" s="0" t="s">
        <v>90</v>
      </c>
      <c r="G1298" s="0" t="s">
        <v>20</v>
      </c>
      <c r="H1298" s="0" t="n">
        <v>38</v>
      </c>
      <c r="I1298" s="0" t="s">
        <v>4336</v>
      </c>
      <c r="J1298" s="0" t="s">
        <v>4337</v>
      </c>
      <c r="K1298" s="0" t="s">
        <v>4338</v>
      </c>
      <c r="L1298" s="0" t="str">
        <f aca="false">HYPERLINK("https://www.ncbi.nlm.nih.gov/nuccore/CP000058.1?report=graph&amp;tracks=[key:gene_model_track,Options:GeneOnly]&amp;mk=402933:402952|offset_12|444444,402907:402926|offset_38|00cc00,402884:402903|offset_61|444444,402864:402883|offset_81|444444&amp;v=402732:403083&amp;c=444444", "offset 38")</f>
        <v>offset 38</v>
      </c>
    </row>
    <row r="1299" customFormat="false" ht="12.8" hidden="false" customHeight="false" outlineLevel="0" collapsed="false">
      <c r="A1299" s="0" t="s">
        <v>12</v>
      </c>
      <c r="B1299" s="0" t="n">
        <v>402883</v>
      </c>
      <c r="C1299" s="0" t="n">
        <v>402903</v>
      </c>
      <c r="D1299" s="0" t="s">
        <v>4332</v>
      </c>
      <c r="E1299" s="0" t="s">
        <v>75</v>
      </c>
      <c r="F1299" s="0" t="s">
        <v>90</v>
      </c>
      <c r="G1299" s="0" t="s">
        <v>16</v>
      </c>
      <c r="H1299" s="0" t="n">
        <v>61</v>
      </c>
      <c r="I1299" s="0" t="s">
        <v>4339</v>
      </c>
      <c r="J1299" s="0" t="s">
        <v>4340</v>
      </c>
      <c r="K1299" s="0" t="s">
        <v>4341</v>
      </c>
      <c r="L1299" s="0" t="str">
        <f aca="false">HYPERLINK("https://www.ncbi.nlm.nih.gov/nuccore/CP000058.1?report=graph&amp;tracks=[key:gene_model_track,Options:GeneOnly]&amp;mk=402933:402952|offset_12|444444,402907:402926|offset_38|444444,402884:402903|offset_61|00cc00,402864:402883|offset_81|444444&amp;v=402732:403083&amp;c=444444", "offset 61")</f>
        <v>offset 61</v>
      </c>
    </row>
    <row r="1300" customFormat="false" ht="12.8" hidden="false" customHeight="false" outlineLevel="0" collapsed="false">
      <c r="A1300" s="0" t="s">
        <v>12</v>
      </c>
      <c r="B1300" s="0" t="n">
        <v>402863</v>
      </c>
      <c r="C1300" s="0" t="n">
        <v>402883</v>
      </c>
      <c r="D1300" s="0" t="s">
        <v>4332</v>
      </c>
      <c r="E1300" s="0" t="s">
        <v>75</v>
      </c>
      <c r="F1300" s="0" t="s">
        <v>90</v>
      </c>
      <c r="G1300" s="0" t="s">
        <v>16</v>
      </c>
      <c r="H1300" s="0" t="n">
        <v>81</v>
      </c>
      <c r="I1300" s="0" t="s">
        <v>4342</v>
      </c>
      <c r="J1300" s="0" t="s">
        <v>4343</v>
      </c>
      <c r="K1300" s="0" t="s">
        <v>4344</v>
      </c>
      <c r="L1300" s="0" t="str">
        <f aca="false">HYPERLINK("https://www.ncbi.nlm.nih.gov/nuccore/CP000058.1?report=graph&amp;tracks=[key:gene_model_track,Options:GeneOnly]&amp;mk=402933:402952|offset_12|444444,402907:402926|offset_38|444444,402884:402903|offset_61|444444,402864:402883|offset_81|00cc00&amp;v=402732:403083&amp;c=444444", "offset 81")</f>
        <v>offset 81</v>
      </c>
    </row>
    <row r="1301" customFormat="false" ht="12.8" hidden="false" customHeight="false" outlineLevel="0" collapsed="false">
      <c r="A1301" s="0" t="s">
        <v>12</v>
      </c>
      <c r="B1301" s="0" t="n">
        <v>405632</v>
      </c>
      <c r="C1301" s="0" t="n">
        <v>405652</v>
      </c>
      <c r="D1301" s="0" t="s">
        <v>4345</v>
      </c>
      <c r="E1301" s="0" t="s">
        <v>75</v>
      </c>
      <c r="F1301" s="0" t="s">
        <v>90</v>
      </c>
      <c r="G1301" s="0" t="s">
        <v>20</v>
      </c>
      <c r="H1301" s="0" t="n">
        <v>8</v>
      </c>
      <c r="I1301" s="0" t="s">
        <v>4346</v>
      </c>
      <c r="J1301" s="0" t="s">
        <v>4347</v>
      </c>
      <c r="K1301" s="0" t="s">
        <v>4348</v>
      </c>
      <c r="L1301" s="0" t="str">
        <f aca="false">HYPERLINK("https://www.ncbi.nlm.nih.gov/nuccore/CP000058.1?report=graph&amp;tracks=[key:gene_model_track,Options:GeneOnly]&amp;mk=405633:405652|offset_8|00cc00,405613:405632|offset_28|444444,405586:405605|offset_55|444444,405555:405574|offset_86|444444&amp;v=405432:405774&amp;c=444444", "offset 8")</f>
        <v>offset 8</v>
      </c>
    </row>
    <row r="1302" customFormat="false" ht="12.8" hidden="false" customHeight="false" outlineLevel="0" collapsed="false">
      <c r="A1302" s="0" t="s">
        <v>12</v>
      </c>
      <c r="B1302" s="0" t="n">
        <v>405612</v>
      </c>
      <c r="C1302" s="0" t="n">
        <v>405632</v>
      </c>
      <c r="D1302" s="0" t="s">
        <v>4345</v>
      </c>
      <c r="E1302" s="0" t="s">
        <v>75</v>
      </c>
      <c r="F1302" s="0" t="s">
        <v>90</v>
      </c>
      <c r="G1302" s="0" t="s">
        <v>16</v>
      </c>
      <c r="H1302" s="0" t="n">
        <v>28</v>
      </c>
      <c r="I1302" s="0" t="s">
        <v>4349</v>
      </c>
      <c r="J1302" s="0" t="s">
        <v>4350</v>
      </c>
      <c r="K1302" s="0" t="s">
        <v>4351</v>
      </c>
      <c r="L1302" s="0" t="str">
        <f aca="false">HYPERLINK("https://www.ncbi.nlm.nih.gov/nuccore/CP000058.1?report=graph&amp;tracks=[key:gene_model_track,Options:GeneOnly]&amp;mk=405633:405652|offset_8|444444,405613:405632|offset_28|00cc00,405586:405605|offset_55|444444,405555:405574|offset_86|444444&amp;v=405432:405774&amp;c=444444", "offset 28")</f>
        <v>offset 28</v>
      </c>
    </row>
    <row r="1303" customFormat="false" ht="12.8" hidden="false" customHeight="false" outlineLevel="0" collapsed="false">
      <c r="A1303" s="0" t="s">
        <v>12</v>
      </c>
      <c r="B1303" s="0" t="n">
        <v>405585</v>
      </c>
      <c r="C1303" s="0" t="n">
        <v>405605</v>
      </c>
      <c r="D1303" s="0" t="s">
        <v>4345</v>
      </c>
      <c r="E1303" s="0" t="s">
        <v>75</v>
      </c>
      <c r="F1303" s="0" t="s">
        <v>90</v>
      </c>
      <c r="G1303" s="0" t="s">
        <v>36</v>
      </c>
      <c r="H1303" s="0" t="n">
        <v>55</v>
      </c>
      <c r="I1303" s="0" t="s">
        <v>4352</v>
      </c>
      <c r="J1303" s="0" t="s">
        <v>4353</v>
      </c>
      <c r="K1303" s="0" t="s">
        <v>4354</v>
      </c>
      <c r="L1303" s="0" t="str">
        <f aca="false">HYPERLINK("https://www.ncbi.nlm.nih.gov/nuccore/CP000058.1?report=graph&amp;tracks=[key:gene_model_track,Options:GeneOnly]&amp;mk=405633:405652|offset_8|444444,405613:405632|offset_28|444444,405586:405605|offset_55|00cc00,405555:405574|offset_86|444444&amp;v=405432:405774&amp;c=444444", "offset 55")</f>
        <v>offset 55</v>
      </c>
    </row>
    <row r="1304" customFormat="false" ht="12.8" hidden="false" customHeight="false" outlineLevel="0" collapsed="false">
      <c r="A1304" s="0" t="s">
        <v>12</v>
      </c>
      <c r="B1304" s="0" t="n">
        <v>405554</v>
      </c>
      <c r="C1304" s="0" t="n">
        <v>405574</v>
      </c>
      <c r="D1304" s="0" t="s">
        <v>4345</v>
      </c>
      <c r="E1304" s="0" t="s">
        <v>75</v>
      </c>
      <c r="F1304" s="0" t="s">
        <v>90</v>
      </c>
      <c r="G1304" s="0" t="s">
        <v>20</v>
      </c>
      <c r="H1304" s="0" t="n">
        <v>86</v>
      </c>
      <c r="I1304" s="0" t="s">
        <v>4355</v>
      </c>
      <c r="J1304" s="0" t="s">
        <v>4356</v>
      </c>
      <c r="K1304" s="0" t="s">
        <v>4357</v>
      </c>
      <c r="L1304" s="0" t="str">
        <f aca="false">HYPERLINK("https://www.ncbi.nlm.nih.gov/nuccore/CP000058.1?report=graph&amp;tracks=[key:gene_model_track,Options:GeneOnly]&amp;mk=405633:405652|offset_8|444444,405613:405632|offset_28|444444,405586:405605|offset_55|444444,405555:405574|offset_86|00cc00&amp;v=405432:405774&amp;c=444444", "offset 86")</f>
        <v>offset 86</v>
      </c>
    </row>
    <row r="1305" customFormat="false" ht="12.8" hidden="false" customHeight="false" outlineLevel="0" collapsed="false">
      <c r="A1305" s="0" t="s">
        <v>12</v>
      </c>
      <c r="B1305" s="0" t="n">
        <v>408463</v>
      </c>
      <c r="C1305" s="0" t="n">
        <v>408483</v>
      </c>
      <c r="D1305" s="0" t="s">
        <v>4358</v>
      </c>
      <c r="E1305" s="0" t="s">
        <v>4359</v>
      </c>
      <c r="F1305" s="0" t="s">
        <v>90</v>
      </c>
      <c r="G1305" s="0" t="s">
        <v>16</v>
      </c>
      <c r="H1305" s="0" t="n">
        <v>0</v>
      </c>
      <c r="I1305" s="0" t="s">
        <v>4360</v>
      </c>
      <c r="J1305" s="0" t="s">
        <v>4361</v>
      </c>
      <c r="K1305" s="0" t="s">
        <v>4362</v>
      </c>
      <c r="L1305" s="0" t="str">
        <f aca="false">HYPERLINK("https://www.ncbi.nlm.nih.gov/nuccore/CP000058.1?report=graph&amp;tracks=[key:gene_model_track,Options:GeneOnly]&amp;mk=408464:408483|offset_0|00cc00,408417:408436|offset_47|444444,408391:408410|offset_73|444444,408371:408390|offset_93|444444&amp;v=408263:408590&amp;c=444444", "offset 0")</f>
        <v>offset 0</v>
      </c>
    </row>
    <row r="1306" customFormat="false" ht="12.8" hidden="false" customHeight="false" outlineLevel="0" collapsed="false">
      <c r="A1306" s="0" t="s">
        <v>12</v>
      </c>
      <c r="B1306" s="0" t="n">
        <v>408416</v>
      </c>
      <c r="C1306" s="0" t="n">
        <v>408436</v>
      </c>
      <c r="D1306" s="0" t="s">
        <v>4358</v>
      </c>
      <c r="E1306" s="0" t="s">
        <v>4359</v>
      </c>
      <c r="F1306" s="0" t="s">
        <v>90</v>
      </c>
      <c r="G1306" s="0" t="s">
        <v>16</v>
      </c>
      <c r="H1306" s="0" t="n">
        <v>47</v>
      </c>
      <c r="I1306" s="0" t="s">
        <v>4363</v>
      </c>
      <c r="J1306" s="0" t="s">
        <v>4364</v>
      </c>
      <c r="K1306" s="0" t="s">
        <v>4365</v>
      </c>
      <c r="L1306" s="0" t="str">
        <f aca="false">HYPERLINK("https://www.ncbi.nlm.nih.gov/nuccore/CP000058.1?report=graph&amp;tracks=[key:gene_model_track,Options:GeneOnly]&amp;mk=408464:408483|offset_0|444444,408417:408436|offset_47|00cc00,408391:408410|offset_73|444444,408371:408390|offset_93|444444&amp;v=408263:408590&amp;c=444444", "offset 47")</f>
        <v>offset 47</v>
      </c>
    </row>
    <row r="1307" customFormat="false" ht="12.8" hidden="false" customHeight="false" outlineLevel="0" collapsed="false">
      <c r="A1307" s="0" t="s">
        <v>12</v>
      </c>
      <c r="B1307" s="0" t="n">
        <v>408390</v>
      </c>
      <c r="C1307" s="0" t="n">
        <v>408410</v>
      </c>
      <c r="D1307" s="0" t="s">
        <v>4358</v>
      </c>
      <c r="E1307" s="0" t="s">
        <v>4359</v>
      </c>
      <c r="F1307" s="0" t="s">
        <v>90</v>
      </c>
      <c r="G1307" s="0" t="s">
        <v>20</v>
      </c>
      <c r="H1307" s="0" t="n">
        <v>73</v>
      </c>
      <c r="I1307" s="0" t="s">
        <v>4366</v>
      </c>
      <c r="J1307" s="0" t="s">
        <v>4367</v>
      </c>
      <c r="K1307" s="0" t="s">
        <v>4368</v>
      </c>
      <c r="L1307" s="0" t="str">
        <f aca="false">HYPERLINK("https://www.ncbi.nlm.nih.gov/nuccore/CP000058.1?report=graph&amp;tracks=[key:gene_model_track,Options:GeneOnly]&amp;mk=408464:408483|offset_0|444444,408417:408436|offset_47|444444,408391:408410|offset_73|00cc00,408371:408390|offset_93|444444&amp;v=408263:408590&amp;c=444444", "offset 73")</f>
        <v>offset 73</v>
      </c>
    </row>
    <row r="1308" customFormat="false" ht="12.8" hidden="false" customHeight="false" outlineLevel="0" collapsed="false">
      <c r="A1308" s="0" t="s">
        <v>12</v>
      </c>
      <c r="B1308" s="0" t="n">
        <v>408370</v>
      </c>
      <c r="C1308" s="0" t="n">
        <v>408390</v>
      </c>
      <c r="D1308" s="0" t="s">
        <v>4358</v>
      </c>
      <c r="E1308" s="0" t="s">
        <v>4359</v>
      </c>
      <c r="F1308" s="0" t="s">
        <v>90</v>
      </c>
      <c r="G1308" s="0" t="s">
        <v>36</v>
      </c>
      <c r="H1308" s="0" t="n">
        <v>93</v>
      </c>
      <c r="I1308" s="0" t="s">
        <v>4369</v>
      </c>
      <c r="J1308" s="0" t="s">
        <v>4370</v>
      </c>
      <c r="K1308" s="0" t="s">
        <v>4371</v>
      </c>
      <c r="L1308" s="0" t="str">
        <f aca="false">HYPERLINK("https://www.ncbi.nlm.nih.gov/nuccore/CP000058.1?report=graph&amp;tracks=[key:gene_model_track,Options:GeneOnly]&amp;mk=408464:408483|offset_0|444444,408417:408436|offset_47|444444,408391:408410|offset_73|444444,408371:408390|offset_93|00cc00&amp;v=408263:408590&amp;c=444444", "offset 93")</f>
        <v>offset 93</v>
      </c>
    </row>
    <row r="1309" customFormat="false" ht="12.8" hidden="false" customHeight="false" outlineLevel="0" collapsed="false">
      <c r="A1309" s="0" t="s">
        <v>12</v>
      </c>
      <c r="B1309" s="0" t="n">
        <v>408780</v>
      </c>
      <c r="C1309" s="0" t="n">
        <v>408800</v>
      </c>
      <c r="D1309" s="0" t="s">
        <v>4372</v>
      </c>
      <c r="E1309" s="0" t="s">
        <v>4373</v>
      </c>
      <c r="F1309" s="0" t="s">
        <v>15</v>
      </c>
      <c r="G1309" s="0" t="s">
        <v>36</v>
      </c>
      <c r="H1309" s="0" t="n">
        <v>17</v>
      </c>
      <c r="I1309" s="0" t="s">
        <v>4374</v>
      </c>
      <c r="J1309" s="0" t="s">
        <v>4375</v>
      </c>
      <c r="K1309" s="0" t="s">
        <v>4376</v>
      </c>
      <c r="L1309" s="0" t="str">
        <f aca="false">HYPERLINK("https://www.ncbi.nlm.nih.gov/nuccore/CP000058.1?report=graph&amp;tracks=[key:gene_model_track,Options:GeneOnly]&amp;mk=408781:408800|offset_17|00cc00,408802:408821|offset_38|444444,408827:408846|offset_63|444444,408860:408879|offset_96|444444&amp;v=408580:409079&amp;c=444444", "offset 17")</f>
        <v>offset 17</v>
      </c>
    </row>
    <row r="1310" customFormat="false" ht="12.8" hidden="false" customHeight="false" outlineLevel="0" collapsed="false">
      <c r="A1310" s="0" t="s">
        <v>12</v>
      </c>
      <c r="B1310" s="0" t="n">
        <v>408801</v>
      </c>
      <c r="C1310" s="0" t="n">
        <v>408821</v>
      </c>
      <c r="D1310" s="0" t="s">
        <v>4372</v>
      </c>
      <c r="E1310" s="0" t="s">
        <v>4373</v>
      </c>
      <c r="F1310" s="0" t="s">
        <v>15</v>
      </c>
      <c r="G1310" s="0" t="s">
        <v>16</v>
      </c>
      <c r="H1310" s="0" t="n">
        <v>38</v>
      </c>
      <c r="I1310" s="0" t="s">
        <v>4377</v>
      </c>
      <c r="J1310" s="0" t="s">
        <v>4378</v>
      </c>
      <c r="K1310" s="0" t="s">
        <v>4379</v>
      </c>
      <c r="L1310" s="0" t="str">
        <f aca="false">HYPERLINK("https://www.ncbi.nlm.nih.gov/nuccore/CP000058.1?report=graph&amp;tracks=[key:gene_model_track,Options:GeneOnly]&amp;mk=408781:408800|offset_17|444444,408802:408821|offset_38|00cc00,408827:408846|offset_63|444444,408860:408879|offset_96|444444&amp;v=408580:409079&amp;c=444444", "offset 38")</f>
        <v>offset 38</v>
      </c>
    </row>
    <row r="1311" customFormat="false" ht="12.8" hidden="false" customHeight="false" outlineLevel="0" collapsed="false">
      <c r="A1311" s="0" t="s">
        <v>12</v>
      </c>
      <c r="B1311" s="0" t="n">
        <v>408826</v>
      </c>
      <c r="C1311" s="0" t="n">
        <v>408846</v>
      </c>
      <c r="D1311" s="0" t="s">
        <v>4372</v>
      </c>
      <c r="E1311" s="0" t="s">
        <v>4373</v>
      </c>
      <c r="F1311" s="0" t="s">
        <v>15</v>
      </c>
      <c r="G1311" s="0" t="s">
        <v>16</v>
      </c>
      <c r="H1311" s="0" t="n">
        <v>63</v>
      </c>
      <c r="I1311" s="0" t="s">
        <v>4380</v>
      </c>
      <c r="J1311" s="0" t="s">
        <v>4381</v>
      </c>
      <c r="K1311" s="0" t="s">
        <v>4382</v>
      </c>
      <c r="L1311" s="0" t="str">
        <f aca="false">HYPERLINK("https://www.ncbi.nlm.nih.gov/nuccore/CP000058.1?report=graph&amp;tracks=[key:gene_model_track,Options:GeneOnly]&amp;mk=408781:408800|offset_17|444444,408802:408821|offset_38|444444,408827:408846|offset_63|00cc00,408860:408879|offset_96|444444&amp;v=408580:409079&amp;c=444444", "offset 63")</f>
        <v>offset 63</v>
      </c>
    </row>
    <row r="1312" customFormat="false" ht="12.8" hidden="false" customHeight="false" outlineLevel="0" collapsed="false">
      <c r="A1312" s="0" t="s">
        <v>12</v>
      </c>
      <c r="B1312" s="0" t="n">
        <v>408859</v>
      </c>
      <c r="C1312" s="0" t="n">
        <v>408879</v>
      </c>
      <c r="D1312" s="0" t="s">
        <v>4372</v>
      </c>
      <c r="E1312" s="0" t="s">
        <v>4373</v>
      </c>
      <c r="F1312" s="0" t="s">
        <v>15</v>
      </c>
      <c r="G1312" s="0" t="s">
        <v>32</v>
      </c>
      <c r="H1312" s="0" t="n">
        <v>96</v>
      </c>
      <c r="I1312" s="0" t="s">
        <v>4383</v>
      </c>
      <c r="J1312" s="0" t="s">
        <v>4384</v>
      </c>
      <c r="K1312" s="0" t="s">
        <v>4385</v>
      </c>
      <c r="L1312" s="0" t="str">
        <f aca="false">HYPERLINK("https://www.ncbi.nlm.nih.gov/nuccore/CP000058.1?report=graph&amp;tracks=[key:gene_model_track,Options:GeneOnly]&amp;mk=408781:408800|offset_17|444444,408802:408821|offset_38|444444,408827:408846|offset_63|444444,408860:408879|offset_96|00cc00&amp;v=408580:409079&amp;c=444444", "offset 96")</f>
        <v>offset 96</v>
      </c>
    </row>
    <row r="1313" customFormat="false" ht="12.8" hidden="false" customHeight="false" outlineLevel="0" collapsed="false">
      <c r="A1313" s="0" t="s">
        <v>12</v>
      </c>
      <c r="B1313" s="0" t="n">
        <v>409879</v>
      </c>
      <c r="C1313" s="0" t="n">
        <v>409899</v>
      </c>
      <c r="D1313" s="0" t="s">
        <v>4386</v>
      </c>
      <c r="E1313" s="0" t="s">
        <v>4387</v>
      </c>
      <c r="F1313" s="0" t="s">
        <v>15</v>
      </c>
      <c r="G1313" s="0" t="s">
        <v>20</v>
      </c>
      <c r="H1313" s="0" t="n">
        <v>105</v>
      </c>
      <c r="I1313" s="0" t="s">
        <v>4388</v>
      </c>
      <c r="J1313" s="0" t="s">
        <v>4389</v>
      </c>
      <c r="K1313" s="0" t="s">
        <v>4390</v>
      </c>
      <c r="L1313" s="0" t="str">
        <f aca="false">HYPERLINK("https://www.ncbi.nlm.nih.gov/nuccore/CP000058.1?report=graph&amp;tracks=[key:gene_model_track,Options:GeneOnly]&amp;mk=409880:409899|offset_105|00cc00,409902:409921|offset_127|444444,409950:409969|offset_175|444444,409971:409990|offset_196|444444&amp;v=409679:410190&amp;c=444444", "offset 105")</f>
        <v>offset 105</v>
      </c>
    </row>
    <row r="1314" customFormat="false" ht="12.8" hidden="false" customHeight="false" outlineLevel="0" collapsed="false">
      <c r="A1314" s="0" t="s">
        <v>12</v>
      </c>
      <c r="B1314" s="0" t="n">
        <v>409901</v>
      </c>
      <c r="C1314" s="0" t="n">
        <v>409921</v>
      </c>
      <c r="D1314" s="0" t="s">
        <v>4386</v>
      </c>
      <c r="E1314" s="0" t="s">
        <v>4387</v>
      </c>
      <c r="F1314" s="0" t="s">
        <v>15</v>
      </c>
      <c r="G1314" s="0" t="s">
        <v>16</v>
      </c>
      <c r="H1314" s="0" t="n">
        <v>127</v>
      </c>
      <c r="I1314" s="0" t="s">
        <v>4391</v>
      </c>
      <c r="J1314" s="0" t="s">
        <v>4392</v>
      </c>
      <c r="K1314" s="0" t="s">
        <v>4393</v>
      </c>
      <c r="L1314" s="0" t="str">
        <f aca="false">HYPERLINK("https://www.ncbi.nlm.nih.gov/nuccore/CP000058.1?report=graph&amp;tracks=[key:gene_model_track,Options:GeneOnly]&amp;mk=409880:409899|offset_105|444444,409902:409921|offset_127|00cc00,409950:409969|offset_175|444444,409971:409990|offset_196|444444&amp;v=409679:410190&amp;c=444444", "offset 127")</f>
        <v>offset 127</v>
      </c>
    </row>
    <row r="1315" customFormat="false" ht="12.8" hidden="false" customHeight="false" outlineLevel="0" collapsed="false">
      <c r="A1315" s="0" t="s">
        <v>12</v>
      </c>
      <c r="B1315" s="0" t="n">
        <v>409949</v>
      </c>
      <c r="C1315" s="0" t="n">
        <v>409969</v>
      </c>
      <c r="D1315" s="0" t="s">
        <v>4386</v>
      </c>
      <c r="E1315" s="0" t="s">
        <v>4387</v>
      </c>
      <c r="F1315" s="0" t="s">
        <v>15</v>
      </c>
      <c r="G1315" s="0" t="s">
        <v>16</v>
      </c>
      <c r="H1315" s="0" t="n">
        <v>175</v>
      </c>
      <c r="I1315" s="0" t="s">
        <v>4394</v>
      </c>
      <c r="J1315" s="0" t="s">
        <v>4395</v>
      </c>
      <c r="K1315" s="0" t="s">
        <v>4396</v>
      </c>
      <c r="L1315" s="0" t="str">
        <f aca="false">HYPERLINK("https://www.ncbi.nlm.nih.gov/nuccore/CP000058.1?report=graph&amp;tracks=[key:gene_model_track,Options:GeneOnly]&amp;mk=409880:409899|offset_105|444444,409902:409921|offset_127|444444,409950:409969|offset_175|00cc00,409971:409990|offset_196|444444&amp;v=409679:410190&amp;c=444444", "offset 175")</f>
        <v>offset 175</v>
      </c>
    </row>
    <row r="1316" customFormat="false" ht="12.8" hidden="false" customHeight="false" outlineLevel="0" collapsed="false">
      <c r="A1316" s="0" t="s">
        <v>12</v>
      </c>
      <c r="B1316" s="0" t="n">
        <v>409970</v>
      </c>
      <c r="C1316" s="0" t="n">
        <v>409990</v>
      </c>
      <c r="D1316" s="0" t="s">
        <v>4386</v>
      </c>
      <c r="E1316" s="0" t="s">
        <v>4387</v>
      </c>
      <c r="F1316" s="0" t="s">
        <v>15</v>
      </c>
      <c r="G1316" s="0" t="s">
        <v>20</v>
      </c>
      <c r="H1316" s="0" t="n">
        <v>196</v>
      </c>
      <c r="I1316" s="0" t="s">
        <v>4397</v>
      </c>
      <c r="J1316" s="0" t="s">
        <v>4398</v>
      </c>
      <c r="K1316" s="0" t="s">
        <v>4399</v>
      </c>
      <c r="L1316" s="0" t="str">
        <f aca="false">HYPERLINK("https://www.ncbi.nlm.nih.gov/nuccore/CP000058.1?report=graph&amp;tracks=[key:gene_model_track,Options:GeneOnly]&amp;mk=409880:409899|offset_105|444444,409902:409921|offset_127|444444,409950:409969|offset_175|444444,409971:409990|offset_196|00cc00&amp;v=409679:410190&amp;c=444444", "offset 196")</f>
        <v>offset 196</v>
      </c>
    </row>
    <row r="1317" customFormat="false" ht="12.8" hidden="false" customHeight="false" outlineLevel="0" collapsed="false">
      <c r="A1317" s="0" t="s">
        <v>12</v>
      </c>
      <c r="B1317" s="0" t="n">
        <v>410492</v>
      </c>
      <c r="C1317" s="0" t="n">
        <v>410512</v>
      </c>
      <c r="D1317" s="0" t="s">
        <v>4400</v>
      </c>
      <c r="E1317" s="0" t="s">
        <v>4401</v>
      </c>
      <c r="F1317" s="0" t="s">
        <v>15</v>
      </c>
      <c r="G1317" s="0" t="s">
        <v>36</v>
      </c>
      <c r="H1317" s="0" t="n">
        <v>15</v>
      </c>
      <c r="I1317" s="0" t="s">
        <v>4402</v>
      </c>
      <c r="J1317" s="0" t="s">
        <v>4403</v>
      </c>
      <c r="K1317" s="0" t="s">
        <v>4404</v>
      </c>
      <c r="L1317" s="0" t="str">
        <f aca="false">HYPERLINK("https://www.ncbi.nlm.nih.gov/nuccore/CP000058.1?report=graph&amp;tracks=[key:gene_model_track,Options:GeneOnly]&amp;mk=410493:410512|offset_15|00cc00,410514:410533|offset_36|444444,410554:410573|offset_76|444444,410620:410639|offset_142|444444&amp;v=410292:410839&amp;c=444444", "offset 15")</f>
        <v>offset 15</v>
      </c>
    </row>
    <row r="1318" customFormat="false" ht="12.8" hidden="false" customHeight="false" outlineLevel="0" collapsed="false">
      <c r="A1318" s="0" t="s">
        <v>12</v>
      </c>
      <c r="B1318" s="0" t="n">
        <v>410513</v>
      </c>
      <c r="C1318" s="0" t="n">
        <v>410533</v>
      </c>
      <c r="D1318" s="0" t="s">
        <v>4400</v>
      </c>
      <c r="E1318" s="0" t="s">
        <v>4401</v>
      </c>
      <c r="F1318" s="0" t="s">
        <v>15</v>
      </c>
      <c r="G1318" s="0" t="s">
        <v>20</v>
      </c>
      <c r="H1318" s="0" t="n">
        <v>36</v>
      </c>
      <c r="I1318" s="0" t="s">
        <v>4405</v>
      </c>
      <c r="J1318" s="0" t="s">
        <v>4406</v>
      </c>
      <c r="K1318" s="0" t="s">
        <v>4407</v>
      </c>
      <c r="L1318" s="0" t="str">
        <f aca="false">HYPERLINK("https://www.ncbi.nlm.nih.gov/nuccore/CP000058.1?report=graph&amp;tracks=[key:gene_model_track,Options:GeneOnly]&amp;mk=410493:410512|offset_15|444444,410514:410533|offset_36|00cc00,410554:410573|offset_76|444444,410620:410639|offset_142|444444&amp;v=410292:410839&amp;c=444444", "offset 36")</f>
        <v>offset 36</v>
      </c>
    </row>
    <row r="1319" customFormat="false" ht="12.8" hidden="false" customHeight="false" outlineLevel="0" collapsed="false">
      <c r="A1319" s="0" t="s">
        <v>12</v>
      </c>
      <c r="B1319" s="0" t="n">
        <v>410553</v>
      </c>
      <c r="C1319" s="0" t="n">
        <v>410573</v>
      </c>
      <c r="D1319" s="0" t="s">
        <v>4400</v>
      </c>
      <c r="E1319" s="0" t="s">
        <v>4401</v>
      </c>
      <c r="F1319" s="0" t="s">
        <v>15</v>
      </c>
      <c r="G1319" s="0" t="s">
        <v>36</v>
      </c>
      <c r="H1319" s="0" t="n">
        <v>76</v>
      </c>
      <c r="I1319" s="0" t="s">
        <v>4408</v>
      </c>
      <c r="J1319" s="0" t="s">
        <v>4409</v>
      </c>
      <c r="K1319" s="0" t="s">
        <v>4410</v>
      </c>
      <c r="L1319" s="0" t="str">
        <f aca="false">HYPERLINK("https://www.ncbi.nlm.nih.gov/nuccore/CP000058.1?report=graph&amp;tracks=[key:gene_model_track,Options:GeneOnly]&amp;mk=410493:410512|offset_15|444444,410514:410533|offset_36|444444,410554:410573|offset_76|00cc00,410620:410639|offset_142|444444&amp;v=410292:410839&amp;c=444444", "offset 76")</f>
        <v>offset 76</v>
      </c>
    </row>
    <row r="1320" customFormat="false" ht="12.8" hidden="false" customHeight="false" outlineLevel="0" collapsed="false">
      <c r="A1320" s="0" t="s">
        <v>12</v>
      </c>
      <c r="B1320" s="0" t="n">
        <v>410619</v>
      </c>
      <c r="C1320" s="0" t="n">
        <v>410639</v>
      </c>
      <c r="D1320" s="0" t="s">
        <v>4400</v>
      </c>
      <c r="E1320" s="0" t="s">
        <v>4401</v>
      </c>
      <c r="F1320" s="0" t="s">
        <v>15</v>
      </c>
      <c r="G1320" s="0" t="s">
        <v>32</v>
      </c>
      <c r="H1320" s="0" t="n">
        <v>142</v>
      </c>
      <c r="I1320" s="0" t="s">
        <v>4411</v>
      </c>
      <c r="J1320" s="0" t="s">
        <v>4412</v>
      </c>
      <c r="K1320" s="0" t="s">
        <v>4413</v>
      </c>
      <c r="L1320" s="0" t="str">
        <f aca="false">HYPERLINK("https://www.ncbi.nlm.nih.gov/nuccore/CP000058.1?report=graph&amp;tracks=[key:gene_model_track,Options:GeneOnly]&amp;mk=410493:410512|offset_15|444444,410514:410533|offset_36|444444,410554:410573|offset_76|444444,410620:410639|offset_142|00cc00&amp;v=410292:410839&amp;c=444444", "offset 142")</f>
        <v>offset 142</v>
      </c>
    </row>
    <row r="1321" customFormat="false" ht="12.8" hidden="false" customHeight="false" outlineLevel="0" collapsed="false">
      <c r="A1321" s="0" t="s">
        <v>12</v>
      </c>
      <c r="B1321" s="0" t="n">
        <v>412416</v>
      </c>
      <c r="C1321" s="0" t="n">
        <v>412436</v>
      </c>
      <c r="D1321" s="0" t="s">
        <v>4414</v>
      </c>
      <c r="E1321" s="0" t="s">
        <v>4415</v>
      </c>
      <c r="F1321" s="0" t="s">
        <v>15</v>
      </c>
      <c r="G1321" s="0" t="s">
        <v>16</v>
      </c>
      <c r="H1321" s="0" t="n">
        <v>18</v>
      </c>
      <c r="I1321" s="0" t="s">
        <v>4416</v>
      </c>
      <c r="J1321" s="0" t="s">
        <v>4417</v>
      </c>
      <c r="K1321" s="0" t="s">
        <v>4418</v>
      </c>
      <c r="L1321" s="0" t="str">
        <f aca="false">HYPERLINK("https://www.ncbi.nlm.nih.gov/nuccore/CP000058.1?report=graph&amp;tracks=[key:gene_model_track,Options:GeneOnly]&amp;mk=412417:412436|offset_18|00cc00,412443:412462|offset_44|444444,412499:412518|offset_100|444444,412534:412553|offset_135|444444&amp;v=412216:412753&amp;c=444444", "offset 18")</f>
        <v>offset 18</v>
      </c>
    </row>
    <row r="1322" customFormat="false" ht="12.8" hidden="false" customHeight="false" outlineLevel="0" collapsed="false">
      <c r="A1322" s="0" t="s">
        <v>12</v>
      </c>
      <c r="B1322" s="0" t="n">
        <v>412442</v>
      </c>
      <c r="C1322" s="0" t="n">
        <v>412462</v>
      </c>
      <c r="D1322" s="0" t="s">
        <v>4414</v>
      </c>
      <c r="E1322" s="0" t="s">
        <v>4415</v>
      </c>
      <c r="F1322" s="0" t="s">
        <v>15</v>
      </c>
      <c r="G1322" s="0" t="s">
        <v>20</v>
      </c>
      <c r="H1322" s="0" t="n">
        <v>44</v>
      </c>
      <c r="I1322" s="0" t="s">
        <v>4419</v>
      </c>
      <c r="J1322" s="0" t="s">
        <v>4420</v>
      </c>
      <c r="K1322" s="0" t="s">
        <v>4421</v>
      </c>
      <c r="L1322" s="0" t="str">
        <f aca="false">HYPERLINK("https://www.ncbi.nlm.nih.gov/nuccore/CP000058.1?report=graph&amp;tracks=[key:gene_model_track,Options:GeneOnly]&amp;mk=412417:412436|offset_18|444444,412443:412462|offset_44|00cc00,412499:412518|offset_100|444444,412534:412553|offset_135|444444&amp;v=412216:412753&amp;c=444444", "offset 44")</f>
        <v>offset 44</v>
      </c>
    </row>
    <row r="1323" customFormat="false" ht="12.8" hidden="false" customHeight="false" outlineLevel="0" collapsed="false">
      <c r="A1323" s="0" t="s">
        <v>12</v>
      </c>
      <c r="B1323" s="0" t="n">
        <v>412498</v>
      </c>
      <c r="C1323" s="0" t="n">
        <v>412518</v>
      </c>
      <c r="D1323" s="0" t="s">
        <v>4414</v>
      </c>
      <c r="E1323" s="0" t="s">
        <v>4415</v>
      </c>
      <c r="F1323" s="0" t="s">
        <v>15</v>
      </c>
      <c r="G1323" s="0" t="s">
        <v>20</v>
      </c>
      <c r="H1323" s="0" t="n">
        <v>100</v>
      </c>
      <c r="I1323" s="0" t="s">
        <v>4422</v>
      </c>
      <c r="J1323" s="0" t="s">
        <v>4423</v>
      </c>
      <c r="K1323" s="0" t="s">
        <v>4424</v>
      </c>
      <c r="L1323" s="0" t="str">
        <f aca="false">HYPERLINK("https://www.ncbi.nlm.nih.gov/nuccore/CP000058.1?report=graph&amp;tracks=[key:gene_model_track,Options:GeneOnly]&amp;mk=412417:412436|offset_18|444444,412443:412462|offset_44|444444,412499:412518|offset_100|00cc00,412534:412553|offset_135|444444&amp;v=412216:412753&amp;c=444444", "offset 100")</f>
        <v>offset 100</v>
      </c>
    </row>
    <row r="1324" customFormat="false" ht="12.8" hidden="false" customHeight="false" outlineLevel="0" collapsed="false">
      <c r="A1324" s="0" t="s">
        <v>12</v>
      </c>
      <c r="B1324" s="0" t="n">
        <v>412533</v>
      </c>
      <c r="C1324" s="0" t="n">
        <v>412553</v>
      </c>
      <c r="D1324" s="0" t="s">
        <v>4414</v>
      </c>
      <c r="E1324" s="0" t="s">
        <v>4415</v>
      </c>
      <c r="F1324" s="0" t="s">
        <v>15</v>
      </c>
      <c r="G1324" s="0" t="s">
        <v>16</v>
      </c>
      <c r="H1324" s="0" t="n">
        <v>135</v>
      </c>
      <c r="I1324" s="0" t="s">
        <v>4425</v>
      </c>
      <c r="J1324" s="0" t="s">
        <v>4426</v>
      </c>
      <c r="K1324" s="0" t="s">
        <v>4427</v>
      </c>
      <c r="L1324" s="0" t="str">
        <f aca="false">HYPERLINK("https://www.ncbi.nlm.nih.gov/nuccore/CP000058.1?report=graph&amp;tracks=[key:gene_model_track,Options:GeneOnly]&amp;mk=412417:412436|offset_18|444444,412443:412462|offset_44|444444,412499:412518|offset_100|444444,412534:412553|offset_135|00cc00&amp;v=412216:412753&amp;c=444444", "offset 135")</f>
        <v>offset 135</v>
      </c>
    </row>
    <row r="1325" customFormat="false" ht="12.8" hidden="false" customHeight="false" outlineLevel="0" collapsed="false">
      <c r="A1325" s="0" t="s">
        <v>12</v>
      </c>
      <c r="B1325" s="0" t="n">
        <v>415088</v>
      </c>
      <c r="C1325" s="0" t="n">
        <v>415108</v>
      </c>
      <c r="D1325" s="0" t="s">
        <v>4428</v>
      </c>
      <c r="E1325" s="0" t="s">
        <v>75</v>
      </c>
      <c r="F1325" s="0" t="s">
        <v>15</v>
      </c>
      <c r="G1325" s="0" t="s">
        <v>32</v>
      </c>
      <c r="H1325" s="0" t="n">
        <v>21</v>
      </c>
      <c r="I1325" s="0" t="s">
        <v>4429</v>
      </c>
      <c r="J1325" s="0" t="s">
        <v>4430</v>
      </c>
      <c r="K1325" s="0" t="s">
        <v>4431</v>
      </c>
      <c r="L1325" s="0" t="str">
        <f aca="false">HYPERLINK("https://www.ncbi.nlm.nih.gov/nuccore/CP000058.1?report=graph&amp;tracks=[key:gene_model_track,Options:GeneOnly]&amp;mk=415089:415108|offset_21|00cc00,415957:415976|offset_889|444444&amp;v=414888:416176&amp;c=444444", "offset 21")</f>
        <v>offset 21</v>
      </c>
    </row>
    <row r="1326" customFormat="false" ht="12.8" hidden="false" customHeight="false" outlineLevel="0" collapsed="false">
      <c r="A1326" s="0" t="s">
        <v>12</v>
      </c>
      <c r="B1326" s="0" t="n">
        <v>415956</v>
      </c>
      <c r="C1326" s="0" t="n">
        <v>415976</v>
      </c>
      <c r="D1326" s="0" t="s">
        <v>4428</v>
      </c>
      <c r="E1326" s="0" t="s">
        <v>75</v>
      </c>
      <c r="F1326" s="0" t="s">
        <v>15</v>
      </c>
      <c r="G1326" s="0" t="s">
        <v>16</v>
      </c>
      <c r="H1326" s="0" t="n">
        <v>889</v>
      </c>
      <c r="I1326" s="0" t="s">
        <v>4432</v>
      </c>
      <c r="J1326" s="0" t="s">
        <v>4433</v>
      </c>
      <c r="K1326" s="0" t="s">
        <v>4434</v>
      </c>
      <c r="L1326" s="0" t="str">
        <f aca="false">HYPERLINK("https://www.ncbi.nlm.nih.gov/nuccore/CP000058.1?report=graph&amp;tracks=[key:gene_model_track,Options:GeneOnly]&amp;mk=415089:415108|offset_21|444444,415957:415976|offset_889|00cc00&amp;v=414888:416176&amp;c=444444", "offset 889")</f>
        <v>offset 889</v>
      </c>
    </row>
    <row r="1327" customFormat="false" ht="12.8" hidden="false" customHeight="false" outlineLevel="0" collapsed="false">
      <c r="A1327" s="0" t="s">
        <v>12</v>
      </c>
      <c r="B1327" s="0" t="n">
        <v>417905</v>
      </c>
      <c r="C1327" s="0" t="n">
        <v>417925</v>
      </c>
      <c r="D1327" s="0" t="s">
        <v>4435</v>
      </c>
      <c r="E1327" s="0" t="s">
        <v>75</v>
      </c>
      <c r="F1327" s="0" t="s">
        <v>90</v>
      </c>
      <c r="G1327" s="0" t="s">
        <v>20</v>
      </c>
      <c r="H1327" s="0" t="n">
        <v>0</v>
      </c>
      <c r="I1327" s="0" t="s">
        <v>4436</v>
      </c>
      <c r="J1327" s="0" t="s">
        <v>4437</v>
      </c>
      <c r="K1327" s="0" t="s">
        <v>4438</v>
      </c>
      <c r="L1327" s="0" t="str">
        <f aca="false">HYPERLINK("https://www.ncbi.nlm.nih.gov/nuccore/CP000058.1?report=graph&amp;tracks=[key:gene_model_track,Options:GeneOnly]&amp;mk=417906:417925|offset_0|00cc00,417835:417854|offset_71|444444,417800:417819|offset_106|444444,417779:417798|offset_127|444444&amp;v=417705:417998&amp;c=444444", "offset 0")</f>
        <v>offset 0</v>
      </c>
    </row>
    <row r="1328" customFormat="false" ht="12.8" hidden="false" customHeight="false" outlineLevel="0" collapsed="false">
      <c r="A1328" s="0" t="s">
        <v>12</v>
      </c>
      <c r="B1328" s="0" t="n">
        <v>417834</v>
      </c>
      <c r="C1328" s="0" t="n">
        <v>417854</v>
      </c>
      <c r="D1328" s="0" t="s">
        <v>4435</v>
      </c>
      <c r="E1328" s="0" t="s">
        <v>75</v>
      </c>
      <c r="F1328" s="0" t="s">
        <v>90</v>
      </c>
      <c r="G1328" s="0" t="s">
        <v>20</v>
      </c>
      <c r="H1328" s="0" t="n">
        <v>71</v>
      </c>
      <c r="I1328" s="0" t="s">
        <v>4439</v>
      </c>
      <c r="J1328" s="0" t="s">
        <v>4440</v>
      </c>
      <c r="K1328" s="0" t="s">
        <v>4441</v>
      </c>
      <c r="L1328" s="0" t="str">
        <f aca="false">HYPERLINK("https://www.ncbi.nlm.nih.gov/nuccore/CP000058.1?report=graph&amp;tracks=[key:gene_model_track,Options:GeneOnly]&amp;mk=417906:417925|offset_0|444444,417835:417854|offset_71|00cc00,417800:417819|offset_106|444444,417779:417798|offset_127|444444&amp;v=417705:417998&amp;c=444444", "offset 71")</f>
        <v>offset 71</v>
      </c>
    </row>
    <row r="1329" customFormat="false" ht="12.8" hidden="false" customHeight="false" outlineLevel="0" collapsed="false">
      <c r="A1329" s="0" t="s">
        <v>12</v>
      </c>
      <c r="B1329" s="0" t="n">
        <v>417799</v>
      </c>
      <c r="C1329" s="0" t="n">
        <v>417819</v>
      </c>
      <c r="D1329" s="0" t="s">
        <v>4435</v>
      </c>
      <c r="E1329" s="0" t="s">
        <v>75</v>
      </c>
      <c r="F1329" s="0" t="s">
        <v>90</v>
      </c>
      <c r="G1329" s="0" t="s">
        <v>16</v>
      </c>
      <c r="H1329" s="0" t="n">
        <v>106</v>
      </c>
      <c r="I1329" s="0" t="s">
        <v>4442</v>
      </c>
      <c r="J1329" s="0" t="s">
        <v>4443</v>
      </c>
      <c r="K1329" s="0" t="s">
        <v>4444</v>
      </c>
      <c r="L1329" s="0" t="str">
        <f aca="false">HYPERLINK("https://www.ncbi.nlm.nih.gov/nuccore/CP000058.1?report=graph&amp;tracks=[key:gene_model_track,Options:GeneOnly]&amp;mk=417906:417925|offset_0|444444,417835:417854|offset_71|444444,417800:417819|offset_106|00cc00,417779:417798|offset_127|444444&amp;v=417705:417998&amp;c=444444", "offset 106")</f>
        <v>offset 106</v>
      </c>
    </row>
    <row r="1330" customFormat="false" ht="12.8" hidden="false" customHeight="false" outlineLevel="0" collapsed="false">
      <c r="A1330" s="0" t="s">
        <v>12</v>
      </c>
      <c r="B1330" s="0" t="n">
        <v>417778</v>
      </c>
      <c r="C1330" s="0" t="n">
        <v>417798</v>
      </c>
      <c r="D1330" s="0" t="s">
        <v>4435</v>
      </c>
      <c r="E1330" s="0" t="s">
        <v>75</v>
      </c>
      <c r="F1330" s="0" t="s">
        <v>90</v>
      </c>
      <c r="G1330" s="0" t="s">
        <v>32</v>
      </c>
      <c r="H1330" s="0" t="n">
        <v>127</v>
      </c>
      <c r="I1330" s="0" t="s">
        <v>4445</v>
      </c>
      <c r="J1330" s="0" t="s">
        <v>4446</v>
      </c>
      <c r="K1330" s="0" t="s">
        <v>4447</v>
      </c>
      <c r="L1330" s="0" t="str">
        <f aca="false">HYPERLINK("https://www.ncbi.nlm.nih.gov/nuccore/CP000058.1?report=graph&amp;tracks=[key:gene_model_track,Options:GeneOnly]&amp;mk=417906:417925|offset_0|444444,417835:417854|offset_71|444444,417800:417819|offset_106|444444,417779:417798|offset_127|00cc00&amp;v=417705:417998&amp;c=444444", "offset 127")</f>
        <v>offset 127</v>
      </c>
    </row>
    <row r="1331" customFormat="false" ht="12.8" hidden="false" customHeight="false" outlineLevel="0" collapsed="false">
      <c r="A1331" s="0" t="s">
        <v>12</v>
      </c>
      <c r="B1331" s="0" t="n">
        <v>419993</v>
      </c>
      <c r="C1331" s="0" t="n">
        <v>420013</v>
      </c>
      <c r="D1331" s="0" t="s">
        <v>4448</v>
      </c>
      <c r="E1331" s="0" t="s">
        <v>75</v>
      </c>
      <c r="F1331" s="0" t="s">
        <v>90</v>
      </c>
      <c r="G1331" s="0" t="s">
        <v>32</v>
      </c>
      <c r="H1331" s="0" t="n">
        <v>31</v>
      </c>
      <c r="I1331" s="0" t="s">
        <v>4449</v>
      </c>
      <c r="J1331" s="0" t="s">
        <v>4450</v>
      </c>
      <c r="K1331" s="0" t="s">
        <v>4451</v>
      </c>
      <c r="L1331" s="0" t="str">
        <f aca="false">HYPERLINK("https://www.ncbi.nlm.nih.gov/nuccore/CP000058.1?report=graph&amp;tracks=[key:gene_model_track,Options:GeneOnly]&amp;mk=419994:420013|offset_31|00cc00,419937:419956|offset_88|444444,419840:419859|offset_185|444444,419820:419839|offset_205|444444&amp;v=419793:420039&amp;c=444444", "offset 31")</f>
        <v>offset 31</v>
      </c>
    </row>
    <row r="1332" customFormat="false" ht="12.8" hidden="false" customHeight="false" outlineLevel="0" collapsed="false">
      <c r="A1332" s="0" t="s">
        <v>12</v>
      </c>
      <c r="B1332" s="0" t="n">
        <v>419936</v>
      </c>
      <c r="C1332" s="0" t="n">
        <v>419956</v>
      </c>
      <c r="D1332" s="0" t="s">
        <v>4448</v>
      </c>
      <c r="E1332" s="0" t="s">
        <v>75</v>
      </c>
      <c r="F1332" s="0" t="s">
        <v>90</v>
      </c>
      <c r="G1332" s="0" t="s">
        <v>36</v>
      </c>
      <c r="H1332" s="0" t="n">
        <v>88</v>
      </c>
      <c r="I1332" s="0" t="s">
        <v>4452</v>
      </c>
      <c r="J1332" s="0" t="s">
        <v>4453</v>
      </c>
      <c r="K1332" s="0" t="s">
        <v>4454</v>
      </c>
      <c r="L1332" s="0" t="str">
        <f aca="false">HYPERLINK("https://www.ncbi.nlm.nih.gov/nuccore/CP000058.1?report=graph&amp;tracks=[key:gene_model_track,Options:GeneOnly]&amp;mk=419994:420013|offset_31|444444,419937:419956|offset_88|00cc00,419840:419859|offset_185|444444,419820:419839|offset_205|444444&amp;v=419793:420039&amp;c=444444", "offset 88")</f>
        <v>offset 88</v>
      </c>
    </row>
    <row r="1333" customFormat="false" ht="12.8" hidden="false" customHeight="false" outlineLevel="0" collapsed="false">
      <c r="A1333" s="0" t="s">
        <v>12</v>
      </c>
      <c r="B1333" s="0" t="n">
        <v>419839</v>
      </c>
      <c r="C1333" s="0" t="n">
        <v>419859</v>
      </c>
      <c r="D1333" s="0" t="s">
        <v>4448</v>
      </c>
      <c r="E1333" s="0" t="s">
        <v>75</v>
      </c>
      <c r="F1333" s="0" t="s">
        <v>90</v>
      </c>
      <c r="G1333" s="0" t="s">
        <v>32</v>
      </c>
      <c r="H1333" s="0" t="n">
        <v>185</v>
      </c>
      <c r="I1333" s="0" t="s">
        <v>4455</v>
      </c>
      <c r="J1333" s="0" t="s">
        <v>4456</v>
      </c>
      <c r="K1333" s="0" t="s">
        <v>4457</v>
      </c>
      <c r="L1333" s="0" t="str">
        <f aca="false">HYPERLINK("https://www.ncbi.nlm.nih.gov/nuccore/CP000058.1?report=graph&amp;tracks=[key:gene_model_track,Options:GeneOnly]&amp;mk=419994:420013|offset_31|444444,419937:419956|offset_88|444444,419840:419859|offset_185|00cc00,419820:419839|offset_205|444444&amp;v=419793:420039&amp;c=444444", "offset 185")</f>
        <v>offset 185</v>
      </c>
    </row>
    <row r="1334" customFormat="false" ht="12.8" hidden="false" customHeight="false" outlineLevel="0" collapsed="false">
      <c r="A1334" s="0" t="s">
        <v>12</v>
      </c>
      <c r="B1334" s="0" t="n">
        <v>419819</v>
      </c>
      <c r="C1334" s="0" t="n">
        <v>419839</v>
      </c>
      <c r="D1334" s="0" t="s">
        <v>4448</v>
      </c>
      <c r="E1334" s="0" t="s">
        <v>75</v>
      </c>
      <c r="F1334" s="0" t="s">
        <v>90</v>
      </c>
      <c r="G1334" s="0" t="s">
        <v>36</v>
      </c>
      <c r="H1334" s="0" t="n">
        <v>205</v>
      </c>
      <c r="I1334" s="0" t="s">
        <v>4458</v>
      </c>
      <c r="J1334" s="0" t="s">
        <v>4459</v>
      </c>
      <c r="K1334" s="0" t="s">
        <v>4460</v>
      </c>
      <c r="L1334" s="0" t="str">
        <f aca="false">HYPERLINK("https://www.ncbi.nlm.nih.gov/nuccore/CP000058.1?report=graph&amp;tracks=[key:gene_model_track,Options:GeneOnly]&amp;mk=419994:420013|offset_31|444444,419937:419956|offset_88|444444,419840:419859|offset_185|444444,419820:419839|offset_205|00cc00&amp;v=419793:420039&amp;c=444444", "offset 205")</f>
        <v>offset 205</v>
      </c>
    </row>
    <row r="1335" customFormat="false" ht="12.8" hidden="false" customHeight="false" outlineLevel="0" collapsed="false">
      <c r="A1335" s="0" t="s">
        <v>12</v>
      </c>
      <c r="B1335" s="0" t="n">
        <v>420766</v>
      </c>
      <c r="C1335" s="0" t="n">
        <v>420786</v>
      </c>
      <c r="D1335" s="0" t="s">
        <v>4461</v>
      </c>
      <c r="E1335" s="0" t="s">
        <v>75</v>
      </c>
      <c r="F1335" s="0" t="s">
        <v>90</v>
      </c>
      <c r="G1335" s="0" t="s">
        <v>20</v>
      </c>
      <c r="H1335" s="0" t="n">
        <v>8</v>
      </c>
      <c r="I1335" s="0" t="s">
        <v>4462</v>
      </c>
      <c r="J1335" s="0" t="s">
        <v>4463</v>
      </c>
      <c r="K1335" s="0" t="s">
        <v>4464</v>
      </c>
      <c r="L1335" s="0" t="str">
        <f aca="false">HYPERLINK("https://www.ncbi.nlm.nih.gov/nuccore/CP000058.1?report=graph&amp;tracks=[key:gene_model_track,Options:GeneOnly]&amp;mk=420767:420786|offset_8|00cc00,420695:420714|offset_80|444444,420669:420688|offset_106|444444,420649:420668|offset_126|444444&amp;v=420566:420868&amp;c=444444", "offset 8")</f>
        <v>offset 8</v>
      </c>
    </row>
    <row r="1336" customFormat="false" ht="12.8" hidden="false" customHeight="false" outlineLevel="0" collapsed="false">
      <c r="A1336" s="0" t="s">
        <v>12</v>
      </c>
      <c r="B1336" s="0" t="n">
        <v>420694</v>
      </c>
      <c r="C1336" s="0" t="n">
        <v>420714</v>
      </c>
      <c r="D1336" s="0" t="s">
        <v>4461</v>
      </c>
      <c r="E1336" s="0" t="s">
        <v>75</v>
      </c>
      <c r="F1336" s="0" t="s">
        <v>90</v>
      </c>
      <c r="G1336" s="0" t="s">
        <v>16</v>
      </c>
      <c r="H1336" s="0" t="n">
        <v>80</v>
      </c>
      <c r="I1336" s="0" t="s">
        <v>4465</v>
      </c>
      <c r="J1336" s="0" t="s">
        <v>4466</v>
      </c>
      <c r="K1336" s="0" t="s">
        <v>4467</v>
      </c>
      <c r="L1336" s="0" t="str">
        <f aca="false">HYPERLINK("https://www.ncbi.nlm.nih.gov/nuccore/CP000058.1?report=graph&amp;tracks=[key:gene_model_track,Options:GeneOnly]&amp;mk=420767:420786|offset_8|444444,420695:420714|offset_80|00cc00,420669:420688|offset_106|444444,420649:420668|offset_126|444444&amp;v=420566:420868&amp;c=444444", "offset 80")</f>
        <v>offset 80</v>
      </c>
    </row>
    <row r="1337" customFormat="false" ht="12.8" hidden="false" customHeight="false" outlineLevel="0" collapsed="false">
      <c r="A1337" s="0" t="s">
        <v>12</v>
      </c>
      <c r="B1337" s="0" t="n">
        <v>420668</v>
      </c>
      <c r="C1337" s="0" t="n">
        <v>420688</v>
      </c>
      <c r="D1337" s="0" t="s">
        <v>4461</v>
      </c>
      <c r="E1337" s="0" t="s">
        <v>75</v>
      </c>
      <c r="F1337" s="0" t="s">
        <v>90</v>
      </c>
      <c r="G1337" s="0" t="s">
        <v>16</v>
      </c>
      <c r="H1337" s="0" t="n">
        <v>106</v>
      </c>
      <c r="I1337" s="0" t="s">
        <v>4468</v>
      </c>
      <c r="J1337" s="0" t="s">
        <v>4469</v>
      </c>
      <c r="K1337" s="0" t="s">
        <v>4470</v>
      </c>
      <c r="L1337" s="0" t="str">
        <f aca="false">HYPERLINK("https://www.ncbi.nlm.nih.gov/nuccore/CP000058.1?report=graph&amp;tracks=[key:gene_model_track,Options:GeneOnly]&amp;mk=420767:420786|offset_8|444444,420695:420714|offset_80|444444,420669:420688|offset_106|00cc00,420649:420668|offset_126|444444&amp;v=420566:420868&amp;c=444444", "offset 106")</f>
        <v>offset 106</v>
      </c>
    </row>
    <row r="1338" customFormat="false" ht="12.8" hidden="false" customHeight="false" outlineLevel="0" collapsed="false">
      <c r="A1338" s="0" t="s">
        <v>12</v>
      </c>
      <c r="B1338" s="0" t="n">
        <v>420648</v>
      </c>
      <c r="C1338" s="0" t="n">
        <v>420668</v>
      </c>
      <c r="D1338" s="0" t="s">
        <v>4461</v>
      </c>
      <c r="E1338" s="0" t="s">
        <v>75</v>
      </c>
      <c r="F1338" s="0" t="s">
        <v>90</v>
      </c>
      <c r="G1338" s="0" t="s">
        <v>20</v>
      </c>
      <c r="H1338" s="0" t="n">
        <v>126</v>
      </c>
      <c r="I1338" s="0" t="s">
        <v>4471</v>
      </c>
      <c r="J1338" s="0" t="s">
        <v>4472</v>
      </c>
      <c r="K1338" s="0" t="s">
        <v>4473</v>
      </c>
      <c r="L1338" s="0" t="str">
        <f aca="false">HYPERLINK("https://www.ncbi.nlm.nih.gov/nuccore/CP000058.1?report=graph&amp;tracks=[key:gene_model_track,Options:GeneOnly]&amp;mk=420767:420786|offset_8|444444,420695:420714|offset_80|444444,420669:420688|offset_106|444444,420649:420668|offset_126|00cc00&amp;v=420566:420868&amp;c=444444", "offset 126")</f>
        <v>offset 126</v>
      </c>
    </row>
    <row r="1339" customFormat="false" ht="12.8" hidden="false" customHeight="false" outlineLevel="0" collapsed="false">
      <c r="A1339" s="0" t="s">
        <v>12</v>
      </c>
      <c r="B1339" s="0" t="n">
        <v>421603</v>
      </c>
      <c r="C1339" s="0" t="n">
        <v>421623</v>
      </c>
      <c r="D1339" s="0" t="s">
        <v>4474</v>
      </c>
      <c r="E1339" s="0" t="s">
        <v>4475</v>
      </c>
      <c r="F1339" s="0" t="s">
        <v>90</v>
      </c>
      <c r="G1339" s="0" t="s">
        <v>36</v>
      </c>
      <c r="H1339" s="0" t="n">
        <v>16</v>
      </c>
      <c r="I1339" s="0" t="s">
        <v>4476</v>
      </c>
      <c r="J1339" s="0" t="s">
        <v>4477</v>
      </c>
      <c r="K1339" s="0" t="s">
        <v>4478</v>
      </c>
      <c r="L1339" s="0" t="str">
        <f aca="false">HYPERLINK("https://www.ncbi.nlm.nih.gov/nuccore/CP000058.1?report=graph&amp;tracks=[key:gene_model_track,Options:GeneOnly]&amp;mk=421604:421623|offset_16|00cc00,421581:421600|offset_39|444444,421519:421538|offset_101|444444,421461:421480|offset_159|444444&amp;v=421403:421680&amp;c=444444", "offset 16")</f>
        <v>offset 16</v>
      </c>
    </row>
    <row r="1340" customFormat="false" ht="12.8" hidden="false" customHeight="false" outlineLevel="0" collapsed="false">
      <c r="A1340" s="0" t="s">
        <v>12</v>
      </c>
      <c r="B1340" s="0" t="n">
        <v>421580</v>
      </c>
      <c r="C1340" s="0" t="n">
        <v>421600</v>
      </c>
      <c r="D1340" s="0" t="s">
        <v>4474</v>
      </c>
      <c r="E1340" s="0" t="s">
        <v>4475</v>
      </c>
      <c r="F1340" s="0" t="s">
        <v>90</v>
      </c>
      <c r="G1340" s="0" t="s">
        <v>16</v>
      </c>
      <c r="H1340" s="0" t="n">
        <v>39</v>
      </c>
      <c r="I1340" s="0" t="s">
        <v>4479</v>
      </c>
      <c r="J1340" s="0" t="s">
        <v>4480</v>
      </c>
      <c r="K1340" s="0" t="s">
        <v>4481</v>
      </c>
      <c r="L1340" s="0" t="str">
        <f aca="false">HYPERLINK("https://www.ncbi.nlm.nih.gov/nuccore/CP000058.1?report=graph&amp;tracks=[key:gene_model_track,Options:GeneOnly]&amp;mk=421604:421623|offset_16|444444,421581:421600|offset_39|00cc00,421519:421538|offset_101|444444,421461:421480|offset_159|444444&amp;v=421403:421680&amp;c=444444", "offset 39")</f>
        <v>offset 39</v>
      </c>
    </row>
    <row r="1341" customFormat="false" ht="12.8" hidden="false" customHeight="false" outlineLevel="0" collapsed="false">
      <c r="A1341" s="0" t="s">
        <v>12</v>
      </c>
      <c r="B1341" s="0" t="n">
        <v>421518</v>
      </c>
      <c r="C1341" s="0" t="n">
        <v>421538</v>
      </c>
      <c r="D1341" s="0" t="s">
        <v>4474</v>
      </c>
      <c r="E1341" s="0" t="s">
        <v>4475</v>
      </c>
      <c r="F1341" s="0" t="s">
        <v>90</v>
      </c>
      <c r="G1341" s="0" t="s">
        <v>20</v>
      </c>
      <c r="H1341" s="0" t="n">
        <v>101</v>
      </c>
      <c r="I1341" s="0" t="s">
        <v>4482</v>
      </c>
      <c r="J1341" s="0" t="s">
        <v>4483</v>
      </c>
      <c r="K1341" s="0" t="s">
        <v>4484</v>
      </c>
      <c r="L1341" s="0" t="str">
        <f aca="false">HYPERLINK("https://www.ncbi.nlm.nih.gov/nuccore/CP000058.1?report=graph&amp;tracks=[key:gene_model_track,Options:GeneOnly]&amp;mk=421604:421623|offset_16|444444,421581:421600|offset_39|444444,421519:421538|offset_101|00cc00,421461:421480|offset_159|444444&amp;v=421403:421680&amp;c=444444", "offset 101")</f>
        <v>offset 101</v>
      </c>
    </row>
    <row r="1342" customFormat="false" ht="12.8" hidden="false" customHeight="false" outlineLevel="0" collapsed="false">
      <c r="A1342" s="0" t="s">
        <v>12</v>
      </c>
      <c r="B1342" s="0" t="n">
        <v>421460</v>
      </c>
      <c r="C1342" s="0" t="n">
        <v>421480</v>
      </c>
      <c r="D1342" s="0" t="s">
        <v>4474</v>
      </c>
      <c r="E1342" s="0" t="s">
        <v>4475</v>
      </c>
      <c r="F1342" s="0" t="s">
        <v>90</v>
      </c>
      <c r="G1342" s="0" t="s">
        <v>16</v>
      </c>
      <c r="H1342" s="0" t="n">
        <v>159</v>
      </c>
      <c r="I1342" s="0" t="s">
        <v>4485</v>
      </c>
      <c r="J1342" s="0" t="s">
        <v>4486</v>
      </c>
      <c r="K1342" s="0" t="s">
        <v>4487</v>
      </c>
      <c r="L1342" s="0" t="str">
        <f aca="false">HYPERLINK("https://www.ncbi.nlm.nih.gov/nuccore/CP000058.1?report=graph&amp;tracks=[key:gene_model_track,Options:GeneOnly]&amp;mk=421604:421623|offset_16|444444,421581:421600|offset_39|444444,421519:421538|offset_101|444444,421461:421480|offset_159|00cc00&amp;v=421403:421680&amp;c=444444", "offset 159")</f>
        <v>offset 159</v>
      </c>
    </row>
    <row r="1343" customFormat="false" ht="12.8" hidden="false" customHeight="false" outlineLevel="0" collapsed="false">
      <c r="A1343" s="0" t="s">
        <v>12</v>
      </c>
      <c r="B1343" s="0" t="n">
        <v>422077</v>
      </c>
      <c r="C1343" s="0" t="n">
        <v>422097</v>
      </c>
      <c r="D1343" s="0" t="s">
        <v>4488</v>
      </c>
      <c r="E1343" s="0" t="s">
        <v>4489</v>
      </c>
      <c r="F1343" s="0" t="s">
        <v>90</v>
      </c>
      <c r="G1343" s="0" t="s">
        <v>36</v>
      </c>
      <c r="H1343" s="0" t="n">
        <v>0</v>
      </c>
      <c r="I1343" s="0" t="s">
        <v>4490</v>
      </c>
      <c r="J1343" s="0" t="s">
        <v>4491</v>
      </c>
      <c r="K1343" s="0" t="s">
        <v>4492</v>
      </c>
      <c r="L1343" s="0" t="str">
        <f aca="false">HYPERLINK("https://www.ncbi.nlm.nih.gov/nuccore/CP000058.1?report=graph&amp;tracks=[key:gene_model_track,Options:GeneOnly]&amp;mk=422078:422097|offset_0|00cc00,422037:422056|offset_41|444444,422013:422032|offset_65|444444,421984:422003|offset_94|444444&amp;v=421877:422203&amp;c=444444", "offset 0")</f>
        <v>offset 0</v>
      </c>
    </row>
    <row r="1344" customFormat="false" ht="12.8" hidden="false" customHeight="false" outlineLevel="0" collapsed="false">
      <c r="A1344" s="0" t="s">
        <v>12</v>
      </c>
      <c r="B1344" s="0" t="n">
        <v>422036</v>
      </c>
      <c r="C1344" s="0" t="n">
        <v>422056</v>
      </c>
      <c r="D1344" s="0" t="s">
        <v>4488</v>
      </c>
      <c r="E1344" s="0" t="s">
        <v>4489</v>
      </c>
      <c r="F1344" s="0" t="s">
        <v>90</v>
      </c>
      <c r="G1344" s="0" t="s">
        <v>20</v>
      </c>
      <c r="H1344" s="0" t="n">
        <v>41</v>
      </c>
      <c r="I1344" s="0" t="s">
        <v>4493</v>
      </c>
      <c r="J1344" s="0" t="s">
        <v>4494</v>
      </c>
      <c r="K1344" s="0" t="s">
        <v>4495</v>
      </c>
      <c r="L1344" s="0" t="str">
        <f aca="false">HYPERLINK("https://www.ncbi.nlm.nih.gov/nuccore/CP000058.1?report=graph&amp;tracks=[key:gene_model_track,Options:GeneOnly]&amp;mk=422078:422097|offset_0|444444,422037:422056|offset_41|00cc00,422013:422032|offset_65|444444,421984:422003|offset_94|444444&amp;v=421877:422203&amp;c=444444", "offset 41")</f>
        <v>offset 41</v>
      </c>
    </row>
    <row r="1345" customFormat="false" ht="12.8" hidden="false" customHeight="false" outlineLevel="0" collapsed="false">
      <c r="A1345" s="0" t="s">
        <v>12</v>
      </c>
      <c r="B1345" s="0" t="n">
        <v>422012</v>
      </c>
      <c r="C1345" s="0" t="n">
        <v>422032</v>
      </c>
      <c r="D1345" s="0" t="s">
        <v>4488</v>
      </c>
      <c r="E1345" s="0" t="s">
        <v>4489</v>
      </c>
      <c r="F1345" s="0" t="s">
        <v>90</v>
      </c>
      <c r="G1345" s="0" t="s">
        <v>36</v>
      </c>
      <c r="H1345" s="0" t="n">
        <v>65</v>
      </c>
      <c r="I1345" s="0" t="s">
        <v>4496</v>
      </c>
      <c r="J1345" s="0" t="s">
        <v>4497</v>
      </c>
      <c r="K1345" s="0" t="s">
        <v>4498</v>
      </c>
      <c r="L1345" s="0" t="str">
        <f aca="false">HYPERLINK("https://www.ncbi.nlm.nih.gov/nuccore/CP000058.1?report=graph&amp;tracks=[key:gene_model_track,Options:GeneOnly]&amp;mk=422078:422097|offset_0|444444,422037:422056|offset_41|444444,422013:422032|offset_65|00cc00,421984:422003|offset_94|444444&amp;v=421877:422203&amp;c=444444", "offset 65")</f>
        <v>offset 65</v>
      </c>
    </row>
    <row r="1346" customFormat="false" ht="12.8" hidden="false" customHeight="false" outlineLevel="0" collapsed="false">
      <c r="A1346" s="0" t="s">
        <v>12</v>
      </c>
      <c r="B1346" s="0" t="n">
        <v>421983</v>
      </c>
      <c r="C1346" s="0" t="n">
        <v>422003</v>
      </c>
      <c r="D1346" s="0" t="s">
        <v>4488</v>
      </c>
      <c r="E1346" s="0" t="s">
        <v>4489</v>
      </c>
      <c r="F1346" s="0" t="s">
        <v>90</v>
      </c>
      <c r="G1346" s="0" t="s">
        <v>16</v>
      </c>
      <c r="H1346" s="0" t="n">
        <v>94</v>
      </c>
      <c r="I1346" s="0" t="s">
        <v>4499</v>
      </c>
      <c r="J1346" s="0" t="s">
        <v>4500</v>
      </c>
      <c r="K1346" s="0" t="s">
        <v>4501</v>
      </c>
      <c r="L1346" s="0" t="str">
        <f aca="false">HYPERLINK("https://www.ncbi.nlm.nih.gov/nuccore/CP000058.1?report=graph&amp;tracks=[key:gene_model_track,Options:GeneOnly]&amp;mk=422078:422097|offset_0|444444,422037:422056|offset_41|444444,422013:422032|offset_65|444444,421984:422003|offset_94|00cc00&amp;v=421877:422203&amp;c=444444", "offset 94")</f>
        <v>offset 94</v>
      </c>
    </row>
    <row r="1347" customFormat="false" ht="12.8" hidden="false" customHeight="false" outlineLevel="0" collapsed="false">
      <c r="A1347" s="0" t="s">
        <v>12</v>
      </c>
      <c r="B1347" s="0" t="n">
        <v>422319</v>
      </c>
      <c r="C1347" s="0" t="n">
        <v>422339</v>
      </c>
      <c r="D1347" s="0" t="s">
        <v>4502</v>
      </c>
      <c r="E1347" s="0" t="s">
        <v>4503</v>
      </c>
      <c r="F1347" s="0" t="s">
        <v>90</v>
      </c>
      <c r="G1347" s="0" t="s">
        <v>20</v>
      </c>
      <c r="H1347" s="0" t="n">
        <v>38</v>
      </c>
      <c r="I1347" s="0" t="s">
        <v>4504</v>
      </c>
      <c r="J1347" s="0" t="s">
        <v>4505</v>
      </c>
      <c r="K1347" s="0" t="s">
        <v>4506</v>
      </c>
      <c r="L1347" s="0" t="str">
        <f aca="false">HYPERLINK("https://www.ncbi.nlm.nih.gov/nuccore/CP000058.1?report=graph&amp;tracks=[key:gene_model_track,Options:GeneOnly]&amp;mk=422320:422339|offset_38|00cc00,422291:422310|offset_67|444444,422211:422230|offset_147|444444,422187:422206|offset_171|444444&amp;v=422119:422406&amp;c=444444", "offset 38")</f>
        <v>offset 38</v>
      </c>
    </row>
    <row r="1348" customFormat="false" ht="12.8" hidden="false" customHeight="false" outlineLevel="0" collapsed="false">
      <c r="A1348" s="0" t="s">
        <v>12</v>
      </c>
      <c r="B1348" s="0" t="n">
        <v>422290</v>
      </c>
      <c r="C1348" s="0" t="n">
        <v>422310</v>
      </c>
      <c r="D1348" s="0" t="s">
        <v>4502</v>
      </c>
      <c r="E1348" s="0" t="s">
        <v>4503</v>
      </c>
      <c r="F1348" s="0" t="s">
        <v>90</v>
      </c>
      <c r="G1348" s="0" t="s">
        <v>32</v>
      </c>
      <c r="H1348" s="0" t="n">
        <v>67</v>
      </c>
      <c r="I1348" s="0" t="s">
        <v>4507</v>
      </c>
      <c r="J1348" s="0" t="s">
        <v>4508</v>
      </c>
      <c r="K1348" s="0" t="s">
        <v>4509</v>
      </c>
      <c r="L1348" s="0" t="str">
        <f aca="false">HYPERLINK("https://www.ncbi.nlm.nih.gov/nuccore/CP000058.1?report=graph&amp;tracks=[key:gene_model_track,Options:GeneOnly]&amp;mk=422320:422339|offset_38|444444,422291:422310|offset_67|00cc00,422211:422230|offset_147|444444,422187:422206|offset_171|444444&amp;v=422119:422406&amp;c=444444", "offset 67")</f>
        <v>offset 67</v>
      </c>
    </row>
    <row r="1349" customFormat="false" ht="12.8" hidden="false" customHeight="false" outlineLevel="0" collapsed="false">
      <c r="A1349" s="0" t="s">
        <v>12</v>
      </c>
      <c r="B1349" s="0" t="n">
        <v>422210</v>
      </c>
      <c r="C1349" s="0" t="n">
        <v>422230</v>
      </c>
      <c r="D1349" s="0" t="s">
        <v>4502</v>
      </c>
      <c r="E1349" s="0" t="s">
        <v>4503</v>
      </c>
      <c r="F1349" s="0" t="s">
        <v>90</v>
      </c>
      <c r="G1349" s="0" t="s">
        <v>32</v>
      </c>
      <c r="H1349" s="0" t="n">
        <v>147</v>
      </c>
      <c r="I1349" s="0" t="s">
        <v>4510</v>
      </c>
      <c r="J1349" s="0" t="s">
        <v>4511</v>
      </c>
      <c r="K1349" s="0" t="s">
        <v>4512</v>
      </c>
      <c r="L1349" s="0" t="str">
        <f aca="false">HYPERLINK("https://www.ncbi.nlm.nih.gov/nuccore/CP000058.1?report=graph&amp;tracks=[key:gene_model_track,Options:GeneOnly]&amp;mk=422320:422339|offset_38|444444,422291:422310|offset_67|444444,422211:422230|offset_147|00cc00,422187:422206|offset_171|444444&amp;v=422119:422406&amp;c=444444", "offset 147")</f>
        <v>offset 147</v>
      </c>
    </row>
    <row r="1350" customFormat="false" ht="12.8" hidden="false" customHeight="false" outlineLevel="0" collapsed="false">
      <c r="A1350" s="0" t="s">
        <v>12</v>
      </c>
      <c r="B1350" s="0" t="n">
        <v>422186</v>
      </c>
      <c r="C1350" s="0" t="n">
        <v>422206</v>
      </c>
      <c r="D1350" s="0" t="s">
        <v>4502</v>
      </c>
      <c r="E1350" s="0" t="s">
        <v>4503</v>
      </c>
      <c r="F1350" s="0" t="s">
        <v>90</v>
      </c>
      <c r="G1350" s="0" t="s">
        <v>32</v>
      </c>
      <c r="H1350" s="0" t="n">
        <v>171</v>
      </c>
      <c r="I1350" s="0" t="s">
        <v>4513</v>
      </c>
      <c r="J1350" s="0" t="s">
        <v>4514</v>
      </c>
      <c r="K1350" s="0" t="s">
        <v>4515</v>
      </c>
      <c r="L1350" s="0" t="str">
        <f aca="false">HYPERLINK("https://www.ncbi.nlm.nih.gov/nuccore/CP000058.1?report=graph&amp;tracks=[key:gene_model_track,Options:GeneOnly]&amp;mk=422320:422339|offset_38|444444,422291:422310|offset_67|444444,422211:422230|offset_147|444444,422187:422206|offset_171|00cc00&amp;v=422119:422406&amp;c=444444", "offset 171")</f>
        <v>offset 171</v>
      </c>
    </row>
    <row r="1351" customFormat="false" ht="12.8" hidden="false" customHeight="false" outlineLevel="0" collapsed="false">
      <c r="A1351" s="0" t="s">
        <v>12</v>
      </c>
      <c r="B1351" s="0" t="n">
        <v>422715</v>
      </c>
      <c r="C1351" s="0" t="n">
        <v>422735</v>
      </c>
      <c r="D1351" s="0" t="s">
        <v>4516</v>
      </c>
      <c r="E1351" s="0" t="s">
        <v>4517</v>
      </c>
      <c r="F1351" s="0" t="s">
        <v>90</v>
      </c>
      <c r="G1351" s="0" t="s">
        <v>36</v>
      </c>
      <c r="H1351" s="0" t="n">
        <v>19</v>
      </c>
      <c r="I1351" s="0" t="s">
        <v>4518</v>
      </c>
      <c r="J1351" s="0" t="s">
        <v>4519</v>
      </c>
      <c r="K1351" s="0" t="s">
        <v>4520</v>
      </c>
      <c r="L1351" s="0" t="str">
        <f aca="false">HYPERLINK("https://www.ncbi.nlm.nih.gov/nuccore/CP000058.1?report=graph&amp;tracks=[key:gene_model_track,Options:GeneOnly]&amp;mk=422716:422735|offset_19|00cc00,422680:422699|offset_55|444444,422656:422675|offset_79|444444,422593:422612|offset_142|444444&amp;v=422515:422812&amp;c=444444", "offset 19")</f>
        <v>offset 19</v>
      </c>
    </row>
    <row r="1352" customFormat="false" ht="12.8" hidden="false" customHeight="false" outlineLevel="0" collapsed="false">
      <c r="A1352" s="0" t="s">
        <v>12</v>
      </c>
      <c r="B1352" s="0" t="n">
        <v>422679</v>
      </c>
      <c r="C1352" s="0" t="n">
        <v>422699</v>
      </c>
      <c r="D1352" s="0" t="s">
        <v>4516</v>
      </c>
      <c r="E1352" s="0" t="s">
        <v>4517</v>
      </c>
      <c r="F1352" s="0" t="s">
        <v>90</v>
      </c>
      <c r="G1352" s="0" t="s">
        <v>16</v>
      </c>
      <c r="H1352" s="0" t="n">
        <v>55</v>
      </c>
      <c r="I1352" s="0" t="s">
        <v>4521</v>
      </c>
      <c r="J1352" s="0" t="s">
        <v>4522</v>
      </c>
      <c r="K1352" s="0" t="s">
        <v>4523</v>
      </c>
      <c r="L1352" s="0" t="str">
        <f aca="false">HYPERLINK("https://www.ncbi.nlm.nih.gov/nuccore/CP000058.1?report=graph&amp;tracks=[key:gene_model_track,Options:GeneOnly]&amp;mk=422716:422735|offset_19|444444,422680:422699|offset_55|00cc00,422656:422675|offset_79|444444,422593:422612|offset_142|444444&amp;v=422515:422812&amp;c=444444", "offset 55")</f>
        <v>offset 55</v>
      </c>
    </row>
    <row r="1353" customFormat="false" ht="12.8" hidden="false" customHeight="false" outlineLevel="0" collapsed="false">
      <c r="A1353" s="0" t="s">
        <v>12</v>
      </c>
      <c r="B1353" s="0" t="n">
        <v>422655</v>
      </c>
      <c r="C1353" s="0" t="n">
        <v>422675</v>
      </c>
      <c r="D1353" s="0" t="s">
        <v>4516</v>
      </c>
      <c r="E1353" s="0" t="s">
        <v>4517</v>
      </c>
      <c r="F1353" s="0" t="s">
        <v>90</v>
      </c>
      <c r="G1353" s="0" t="s">
        <v>32</v>
      </c>
      <c r="H1353" s="0" t="n">
        <v>79</v>
      </c>
      <c r="I1353" s="0" t="s">
        <v>4524</v>
      </c>
      <c r="J1353" s="0" t="s">
        <v>4525</v>
      </c>
      <c r="K1353" s="0" t="s">
        <v>4526</v>
      </c>
      <c r="L1353" s="0" t="str">
        <f aca="false">HYPERLINK("https://www.ncbi.nlm.nih.gov/nuccore/CP000058.1?report=graph&amp;tracks=[key:gene_model_track,Options:GeneOnly]&amp;mk=422716:422735|offset_19|444444,422680:422699|offset_55|444444,422656:422675|offset_79|00cc00,422593:422612|offset_142|444444&amp;v=422515:422812&amp;c=444444", "offset 79")</f>
        <v>offset 79</v>
      </c>
    </row>
    <row r="1354" customFormat="false" ht="12.8" hidden="false" customHeight="false" outlineLevel="0" collapsed="false">
      <c r="A1354" s="0" t="s">
        <v>12</v>
      </c>
      <c r="B1354" s="0" t="n">
        <v>422592</v>
      </c>
      <c r="C1354" s="0" t="n">
        <v>422612</v>
      </c>
      <c r="D1354" s="0" t="s">
        <v>4516</v>
      </c>
      <c r="E1354" s="0" t="s">
        <v>4517</v>
      </c>
      <c r="F1354" s="0" t="s">
        <v>90</v>
      </c>
      <c r="G1354" s="0" t="s">
        <v>32</v>
      </c>
      <c r="H1354" s="0" t="n">
        <v>142</v>
      </c>
      <c r="I1354" s="0" t="s">
        <v>4527</v>
      </c>
      <c r="J1354" s="0" t="s">
        <v>4528</v>
      </c>
      <c r="K1354" s="0" t="s">
        <v>4529</v>
      </c>
      <c r="L1354" s="0" t="str">
        <f aca="false">HYPERLINK("https://www.ncbi.nlm.nih.gov/nuccore/CP000058.1?report=graph&amp;tracks=[key:gene_model_track,Options:GeneOnly]&amp;mk=422716:422735|offset_19|444444,422680:422699|offset_55|444444,422656:422675|offset_79|444444,422593:422612|offset_142|00cc00&amp;v=422515:422812&amp;c=444444", "offset 142")</f>
        <v>offset 142</v>
      </c>
    </row>
    <row r="1355" customFormat="false" ht="12.8" hidden="false" customHeight="false" outlineLevel="0" collapsed="false">
      <c r="A1355" s="0" t="s">
        <v>12</v>
      </c>
      <c r="B1355" s="0" t="n">
        <v>423078</v>
      </c>
      <c r="C1355" s="0" t="n">
        <v>423098</v>
      </c>
      <c r="D1355" s="0" t="s">
        <v>4530</v>
      </c>
      <c r="E1355" s="0" t="s">
        <v>4531</v>
      </c>
      <c r="F1355" s="0" t="s">
        <v>90</v>
      </c>
      <c r="G1355" s="0" t="s">
        <v>20</v>
      </c>
      <c r="H1355" s="0" t="n">
        <v>51</v>
      </c>
      <c r="I1355" s="0" t="s">
        <v>4532</v>
      </c>
      <c r="J1355" s="0" t="s">
        <v>4533</v>
      </c>
      <c r="K1355" s="0" t="s">
        <v>4534</v>
      </c>
      <c r="L1355" s="0" t="str">
        <f aca="false">HYPERLINK("https://www.ncbi.nlm.nih.gov/nuccore/CP000058.1?report=graph&amp;tracks=[key:gene_model_track,Options:GeneOnly]&amp;mk=423079:423098|offset_51|00cc00,423054:423073|offset_76|444444,423033:423052|offset_97|444444,423008:423027|offset_122|444444&amp;v=422878:423227&amp;c=444444", "offset 51")</f>
        <v>offset 51</v>
      </c>
    </row>
    <row r="1356" customFormat="false" ht="12.8" hidden="false" customHeight="false" outlineLevel="0" collapsed="false">
      <c r="A1356" s="0" t="s">
        <v>12</v>
      </c>
      <c r="B1356" s="0" t="n">
        <v>423053</v>
      </c>
      <c r="C1356" s="0" t="n">
        <v>423073</v>
      </c>
      <c r="D1356" s="0" t="s">
        <v>4530</v>
      </c>
      <c r="E1356" s="0" t="s">
        <v>4531</v>
      </c>
      <c r="F1356" s="0" t="s">
        <v>90</v>
      </c>
      <c r="G1356" s="0" t="s">
        <v>16</v>
      </c>
      <c r="H1356" s="0" t="n">
        <v>76</v>
      </c>
      <c r="I1356" s="0" t="s">
        <v>4535</v>
      </c>
      <c r="J1356" s="0" t="s">
        <v>4536</v>
      </c>
      <c r="K1356" s="0" t="s">
        <v>4537</v>
      </c>
      <c r="L1356" s="0" t="str">
        <f aca="false">HYPERLINK("https://www.ncbi.nlm.nih.gov/nuccore/CP000058.1?report=graph&amp;tracks=[key:gene_model_track,Options:GeneOnly]&amp;mk=423079:423098|offset_51|444444,423054:423073|offset_76|00cc00,423033:423052|offset_97|444444,423008:423027|offset_122|444444&amp;v=422878:423227&amp;c=444444", "offset 76")</f>
        <v>offset 76</v>
      </c>
    </row>
    <row r="1357" customFormat="false" ht="12.8" hidden="false" customHeight="false" outlineLevel="0" collapsed="false">
      <c r="A1357" s="0" t="s">
        <v>12</v>
      </c>
      <c r="B1357" s="0" t="n">
        <v>423032</v>
      </c>
      <c r="C1357" s="0" t="n">
        <v>423052</v>
      </c>
      <c r="D1357" s="0" t="s">
        <v>4530</v>
      </c>
      <c r="E1357" s="0" t="s">
        <v>4531</v>
      </c>
      <c r="F1357" s="0" t="s">
        <v>90</v>
      </c>
      <c r="G1357" s="0" t="s">
        <v>20</v>
      </c>
      <c r="H1357" s="0" t="n">
        <v>97</v>
      </c>
      <c r="I1357" s="0" t="s">
        <v>4538</v>
      </c>
      <c r="J1357" s="0" t="s">
        <v>4539</v>
      </c>
      <c r="K1357" s="0" t="s">
        <v>4540</v>
      </c>
      <c r="L1357" s="0" t="str">
        <f aca="false">HYPERLINK("https://www.ncbi.nlm.nih.gov/nuccore/CP000058.1?report=graph&amp;tracks=[key:gene_model_track,Options:GeneOnly]&amp;mk=423079:423098|offset_51|444444,423054:423073|offset_76|444444,423033:423052|offset_97|00cc00,423008:423027|offset_122|444444&amp;v=422878:423227&amp;c=444444", "offset 97")</f>
        <v>offset 97</v>
      </c>
    </row>
    <row r="1358" customFormat="false" ht="12.8" hidden="false" customHeight="false" outlineLevel="0" collapsed="false">
      <c r="A1358" s="0" t="s">
        <v>12</v>
      </c>
      <c r="B1358" s="0" t="n">
        <v>423007</v>
      </c>
      <c r="C1358" s="0" t="n">
        <v>423027</v>
      </c>
      <c r="D1358" s="0" t="s">
        <v>4530</v>
      </c>
      <c r="E1358" s="0" t="s">
        <v>4531</v>
      </c>
      <c r="F1358" s="0" t="s">
        <v>90</v>
      </c>
      <c r="G1358" s="0" t="s">
        <v>20</v>
      </c>
      <c r="H1358" s="0" t="n">
        <v>122</v>
      </c>
      <c r="I1358" s="0" t="s">
        <v>4541</v>
      </c>
      <c r="J1358" s="0" t="s">
        <v>4542</v>
      </c>
      <c r="K1358" s="0" t="s">
        <v>4543</v>
      </c>
      <c r="L1358" s="0" t="str">
        <f aca="false">HYPERLINK("https://www.ncbi.nlm.nih.gov/nuccore/CP000058.1?report=graph&amp;tracks=[key:gene_model_track,Options:GeneOnly]&amp;mk=423079:423098|offset_51|444444,423054:423073|offset_76|444444,423033:423052|offset_97|444444,423008:423027|offset_122|00cc00&amp;v=422878:423227&amp;c=444444", "offset 122")</f>
        <v>offset 122</v>
      </c>
    </row>
    <row r="1359" customFormat="false" ht="12.8" hidden="false" customHeight="false" outlineLevel="0" collapsed="false">
      <c r="A1359" s="0" t="s">
        <v>12</v>
      </c>
      <c r="B1359" s="0" t="n">
        <v>424800</v>
      </c>
      <c r="C1359" s="0" t="n">
        <v>424820</v>
      </c>
      <c r="D1359" s="0" t="s">
        <v>4544</v>
      </c>
      <c r="E1359" s="0" t="s">
        <v>4545</v>
      </c>
      <c r="F1359" s="0" t="s">
        <v>90</v>
      </c>
      <c r="G1359" s="0" t="s">
        <v>16</v>
      </c>
      <c r="H1359" s="0" t="n">
        <v>16</v>
      </c>
      <c r="I1359" s="0" t="s">
        <v>4546</v>
      </c>
      <c r="J1359" s="0" t="s">
        <v>4547</v>
      </c>
      <c r="K1359" s="0" t="s">
        <v>4548</v>
      </c>
      <c r="L1359" s="0" t="str">
        <f aca="false">HYPERLINK("https://www.ncbi.nlm.nih.gov/nuccore/CP000058.1?report=graph&amp;tracks=[key:gene_model_track,Options:GeneOnly]&amp;mk=424801:424820|offset_16|00cc00,424764:424783|offset_53|444444,424735:424754|offset_82|444444,424691:424710|offset_126|444444&amp;v=424600:424910&amp;c=444444", "offset 16")</f>
        <v>offset 16</v>
      </c>
    </row>
    <row r="1360" customFormat="false" ht="12.8" hidden="false" customHeight="false" outlineLevel="0" collapsed="false">
      <c r="A1360" s="0" t="s">
        <v>12</v>
      </c>
      <c r="B1360" s="0" t="n">
        <v>424763</v>
      </c>
      <c r="C1360" s="0" t="n">
        <v>424783</v>
      </c>
      <c r="D1360" s="0" t="s">
        <v>4544</v>
      </c>
      <c r="E1360" s="0" t="s">
        <v>4545</v>
      </c>
      <c r="F1360" s="0" t="s">
        <v>90</v>
      </c>
      <c r="G1360" s="0" t="s">
        <v>16</v>
      </c>
      <c r="H1360" s="0" t="n">
        <v>53</v>
      </c>
      <c r="I1360" s="0" t="s">
        <v>4549</v>
      </c>
      <c r="J1360" s="0" t="s">
        <v>4550</v>
      </c>
      <c r="K1360" s="0" t="s">
        <v>4551</v>
      </c>
      <c r="L1360" s="0" t="str">
        <f aca="false">HYPERLINK("https://www.ncbi.nlm.nih.gov/nuccore/CP000058.1?report=graph&amp;tracks=[key:gene_model_track,Options:GeneOnly]&amp;mk=424801:424820|offset_16|444444,424764:424783|offset_53|00cc00,424735:424754|offset_82|444444,424691:424710|offset_126|444444&amp;v=424600:424910&amp;c=444444", "offset 53")</f>
        <v>offset 53</v>
      </c>
    </row>
    <row r="1361" customFormat="false" ht="12.8" hidden="false" customHeight="false" outlineLevel="0" collapsed="false">
      <c r="A1361" s="0" t="s">
        <v>12</v>
      </c>
      <c r="B1361" s="0" t="n">
        <v>424734</v>
      </c>
      <c r="C1361" s="0" t="n">
        <v>424754</v>
      </c>
      <c r="D1361" s="0" t="s">
        <v>4544</v>
      </c>
      <c r="E1361" s="0" t="s">
        <v>4545</v>
      </c>
      <c r="F1361" s="0" t="s">
        <v>90</v>
      </c>
      <c r="G1361" s="0" t="s">
        <v>36</v>
      </c>
      <c r="H1361" s="0" t="n">
        <v>82</v>
      </c>
      <c r="I1361" s="0" t="s">
        <v>4552</v>
      </c>
      <c r="J1361" s="0" t="s">
        <v>4553</v>
      </c>
      <c r="K1361" s="0" t="s">
        <v>4554</v>
      </c>
      <c r="L1361" s="0" t="str">
        <f aca="false">HYPERLINK("https://www.ncbi.nlm.nih.gov/nuccore/CP000058.1?report=graph&amp;tracks=[key:gene_model_track,Options:GeneOnly]&amp;mk=424801:424820|offset_16|444444,424764:424783|offset_53|444444,424735:424754|offset_82|00cc00,424691:424710|offset_126|444444&amp;v=424600:424910&amp;c=444444", "offset 82")</f>
        <v>offset 82</v>
      </c>
    </row>
    <row r="1362" customFormat="false" ht="12.8" hidden="false" customHeight="false" outlineLevel="0" collapsed="false">
      <c r="A1362" s="0" t="s">
        <v>12</v>
      </c>
      <c r="B1362" s="0" t="n">
        <v>424690</v>
      </c>
      <c r="C1362" s="0" t="n">
        <v>424710</v>
      </c>
      <c r="D1362" s="0" t="s">
        <v>4544</v>
      </c>
      <c r="E1362" s="0" t="s">
        <v>4545</v>
      </c>
      <c r="F1362" s="0" t="s">
        <v>90</v>
      </c>
      <c r="G1362" s="0" t="s">
        <v>36</v>
      </c>
      <c r="H1362" s="0" t="n">
        <v>126</v>
      </c>
      <c r="I1362" s="0" t="s">
        <v>4555</v>
      </c>
      <c r="J1362" s="0" t="s">
        <v>4556</v>
      </c>
      <c r="K1362" s="0" t="s">
        <v>4557</v>
      </c>
      <c r="L1362" s="0" t="str">
        <f aca="false">HYPERLINK("https://www.ncbi.nlm.nih.gov/nuccore/CP000058.1?report=graph&amp;tracks=[key:gene_model_track,Options:GeneOnly]&amp;mk=424801:424820|offset_16|444444,424764:424783|offset_53|444444,424735:424754|offset_82|444444,424691:424710|offset_126|00cc00&amp;v=424600:424910&amp;c=444444", "offset 126")</f>
        <v>offset 126</v>
      </c>
    </row>
    <row r="1363" customFormat="false" ht="12.8" hidden="false" customHeight="false" outlineLevel="0" collapsed="false">
      <c r="A1363" s="0" t="s">
        <v>12</v>
      </c>
      <c r="B1363" s="0" t="n">
        <v>425411</v>
      </c>
      <c r="C1363" s="0" t="n">
        <v>425431</v>
      </c>
      <c r="D1363" s="0" t="s">
        <v>4558</v>
      </c>
      <c r="E1363" s="0" t="s">
        <v>75</v>
      </c>
      <c r="F1363" s="0" t="s">
        <v>90</v>
      </c>
      <c r="G1363" s="0" t="s">
        <v>32</v>
      </c>
      <c r="H1363" s="0" t="n">
        <v>25</v>
      </c>
      <c r="I1363" s="0" t="s">
        <v>4559</v>
      </c>
      <c r="J1363" s="0" t="s">
        <v>4560</v>
      </c>
      <c r="K1363" s="0" t="s">
        <v>4561</v>
      </c>
      <c r="L1363" s="0" t="str">
        <f aca="false">HYPERLINK("https://www.ncbi.nlm.nih.gov/nuccore/CP000058.1?report=graph&amp;tracks=[key:gene_model_track,Options:GeneOnly]&amp;mk=425412:425431|offset_25|00cc00,425378:425397|offset_59|444444,425340:425359|offset_97|444444,425308:425327|offset_129|444444&amp;v=425211:425527&amp;c=444444", "offset 25")</f>
        <v>offset 25</v>
      </c>
    </row>
    <row r="1364" customFormat="false" ht="12.8" hidden="false" customHeight="false" outlineLevel="0" collapsed="false">
      <c r="A1364" s="0" t="s">
        <v>12</v>
      </c>
      <c r="B1364" s="0" t="n">
        <v>425377</v>
      </c>
      <c r="C1364" s="0" t="n">
        <v>425397</v>
      </c>
      <c r="D1364" s="0" t="s">
        <v>4558</v>
      </c>
      <c r="E1364" s="0" t="s">
        <v>75</v>
      </c>
      <c r="F1364" s="0" t="s">
        <v>90</v>
      </c>
      <c r="G1364" s="0" t="s">
        <v>20</v>
      </c>
      <c r="H1364" s="0" t="n">
        <v>59</v>
      </c>
      <c r="I1364" s="0" t="s">
        <v>4562</v>
      </c>
      <c r="J1364" s="0" t="s">
        <v>4563</v>
      </c>
      <c r="K1364" s="0" t="s">
        <v>4564</v>
      </c>
      <c r="L1364" s="0" t="str">
        <f aca="false">HYPERLINK("https://www.ncbi.nlm.nih.gov/nuccore/CP000058.1?report=graph&amp;tracks=[key:gene_model_track,Options:GeneOnly]&amp;mk=425412:425431|offset_25|444444,425378:425397|offset_59|00cc00,425340:425359|offset_97|444444,425308:425327|offset_129|444444&amp;v=425211:425527&amp;c=444444", "offset 59")</f>
        <v>offset 59</v>
      </c>
    </row>
    <row r="1365" customFormat="false" ht="12.8" hidden="false" customHeight="false" outlineLevel="0" collapsed="false">
      <c r="A1365" s="0" t="s">
        <v>12</v>
      </c>
      <c r="B1365" s="0" t="n">
        <v>425339</v>
      </c>
      <c r="C1365" s="0" t="n">
        <v>425359</v>
      </c>
      <c r="D1365" s="0" t="s">
        <v>4558</v>
      </c>
      <c r="E1365" s="0" t="s">
        <v>75</v>
      </c>
      <c r="F1365" s="0" t="s">
        <v>90</v>
      </c>
      <c r="G1365" s="0" t="s">
        <v>16</v>
      </c>
      <c r="H1365" s="0" t="n">
        <v>97</v>
      </c>
      <c r="I1365" s="0" t="s">
        <v>4565</v>
      </c>
      <c r="J1365" s="0" t="s">
        <v>4566</v>
      </c>
      <c r="K1365" s="0" t="s">
        <v>4567</v>
      </c>
      <c r="L1365" s="0" t="str">
        <f aca="false">HYPERLINK("https://www.ncbi.nlm.nih.gov/nuccore/CP000058.1?report=graph&amp;tracks=[key:gene_model_track,Options:GeneOnly]&amp;mk=425412:425431|offset_25|444444,425378:425397|offset_59|444444,425340:425359|offset_97|00cc00,425308:425327|offset_129|444444&amp;v=425211:425527&amp;c=444444", "offset 97")</f>
        <v>offset 97</v>
      </c>
    </row>
    <row r="1366" customFormat="false" ht="12.8" hidden="false" customHeight="false" outlineLevel="0" collapsed="false">
      <c r="A1366" s="0" t="s">
        <v>12</v>
      </c>
      <c r="B1366" s="0" t="n">
        <v>425307</v>
      </c>
      <c r="C1366" s="0" t="n">
        <v>425327</v>
      </c>
      <c r="D1366" s="0" t="s">
        <v>4558</v>
      </c>
      <c r="E1366" s="0" t="s">
        <v>75</v>
      </c>
      <c r="F1366" s="0" t="s">
        <v>90</v>
      </c>
      <c r="G1366" s="0" t="s">
        <v>16</v>
      </c>
      <c r="H1366" s="0" t="n">
        <v>129</v>
      </c>
      <c r="I1366" s="0" t="s">
        <v>4568</v>
      </c>
      <c r="J1366" s="0" t="s">
        <v>4569</v>
      </c>
      <c r="K1366" s="0" t="s">
        <v>4570</v>
      </c>
      <c r="L1366" s="0" t="str">
        <f aca="false">HYPERLINK("https://www.ncbi.nlm.nih.gov/nuccore/CP000058.1?report=graph&amp;tracks=[key:gene_model_track,Options:GeneOnly]&amp;mk=425412:425431|offset_25|444444,425378:425397|offset_59|444444,425340:425359|offset_97|444444,425308:425327|offset_129|00cc00&amp;v=425211:425527&amp;c=444444", "offset 129")</f>
        <v>offset 129</v>
      </c>
    </row>
    <row r="1367" customFormat="false" ht="12.8" hidden="false" customHeight="false" outlineLevel="0" collapsed="false">
      <c r="A1367" s="0" t="s">
        <v>12</v>
      </c>
      <c r="B1367" s="0" t="n">
        <v>426175</v>
      </c>
      <c r="C1367" s="0" t="n">
        <v>426195</v>
      </c>
      <c r="D1367" s="0" t="s">
        <v>4571</v>
      </c>
      <c r="E1367" s="0" t="s">
        <v>4572</v>
      </c>
      <c r="F1367" s="0" t="s">
        <v>90</v>
      </c>
      <c r="G1367" s="0" t="s">
        <v>16</v>
      </c>
      <c r="H1367" s="0" t="n">
        <v>31</v>
      </c>
      <c r="I1367" s="0" t="s">
        <v>4573</v>
      </c>
      <c r="J1367" s="0" t="s">
        <v>4574</v>
      </c>
      <c r="K1367" s="0" t="s">
        <v>4575</v>
      </c>
      <c r="L1367" s="0" t="str">
        <f aca="false">HYPERLINK("https://www.ncbi.nlm.nih.gov/nuccore/CP000058.1?report=graph&amp;tracks=[key:gene_model_track,Options:GeneOnly]&amp;mk=426176:426195|offset_31|00cc00,426141:426160|offset_66|444444,426103:426122|offset_104|444444,426079:426098|offset_128|444444&amp;v=425975:426298&amp;c=444444", "offset 31")</f>
        <v>offset 31</v>
      </c>
    </row>
    <row r="1368" customFormat="false" ht="12.8" hidden="false" customHeight="false" outlineLevel="0" collapsed="false">
      <c r="A1368" s="0" t="s">
        <v>12</v>
      </c>
      <c r="B1368" s="0" t="n">
        <v>426140</v>
      </c>
      <c r="C1368" s="0" t="n">
        <v>426160</v>
      </c>
      <c r="D1368" s="0" t="s">
        <v>4571</v>
      </c>
      <c r="E1368" s="0" t="s">
        <v>4572</v>
      </c>
      <c r="F1368" s="0" t="s">
        <v>90</v>
      </c>
      <c r="G1368" s="0" t="s">
        <v>16</v>
      </c>
      <c r="H1368" s="0" t="n">
        <v>66</v>
      </c>
      <c r="I1368" s="0" t="s">
        <v>4576</v>
      </c>
      <c r="J1368" s="0" t="s">
        <v>4577</v>
      </c>
      <c r="K1368" s="0" t="s">
        <v>4578</v>
      </c>
      <c r="L1368" s="0" t="str">
        <f aca="false">HYPERLINK("https://www.ncbi.nlm.nih.gov/nuccore/CP000058.1?report=graph&amp;tracks=[key:gene_model_track,Options:GeneOnly]&amp;mk=426176:426195|offset_31|444444,426141:426160|offset_66|00cc00,426103:426122|offset_104|444444,426079:426098|offset_128|444444&amp;v=425975:426298&amp;c=444444", "offset 66")</f>
        <v>offset 66</v>
      </c>
    </row>
    <row r="1369" customFormat="false" ht="12.8" hidden="false" customHeight="false" outlineLevel="0" collapsed="false">
      <c r="A1369" s="0" t="s">
        <v>12</v>
      </c>
      <c r="B1369" s="0" t="n">
        <v>426102</v>
      </c>
      <c r="C1369" s="0" t="n">
        <v>426122</v>
      </c>
      <c r="D1369" s="0" t="s">
        <v>4571</v>
      </c>
      <c r="E1369" s="0" t="s">
        <v>4572</v>
      </c>
      <c r="F1369" s="0" t="s">
        <v>90</v>
      </c>
      <c r="G1369" s="0" t="s">
        <v>32</v>
      </c>
      <c r="H1369" s="0" t="n">
        <v>104</v>
      </c>
      <c r="I1369" s="0" t="s">
        <v>4579</v>
      </c>
      <c r="J1369" s="0" t="s">
        <v>4580</v>
      </c>
      <c r="K1369" s="0" t="s">
        <v>4581</v>
      </c>
      <c r="L1369" s="0" t="str">
        <f aca="false">HYPERLINK("https://www.ncbi.nlm.nih.gov/nuccore/CP000058.1?report=graph&amp;tracks=[key:gene_model_track,Options:GeneOnly]&amp;mk=426176:426195|offset_31|444444,426141:426160|offset_66|444444,426103:426122|offset_104|00cc00,426079:426098|offset_128|444444&amp;v=425975:426298&amp;c=444444", "offset 104")</f>
        <v>offset 104</v>
      </c>
    </row>
    <row r="1370" customFormat="false" ht="12.8" hidden="false" customHeight="false" outlineLevel="0" collapsed="false">
      <c r="A1370" s="0" t="s">
        <v>12</v>
      </c>
      <c r="B1370" s="0" t="n">
        <v>426078</v>
      </c>
      <c r="C1370" s="0" t="n">
        <v>426098</v>
      </c>
      <c r="D1370" s="0" t="s">
        <v>4571</v>
      </c>
      <c r="E1370" s="0" t="s">
        <v>4572</v>
      </c>
      <c r="F1370" s="0" t="s">
        <v>90</v>
      </c>
      <c r="G1370" s="0" t="s">
        <v>20</v>
      </c>
      <c r="H1370" s="0" t="n">
        <v>128</v>
      </c>
      <c r="I1370" s="0" t="s">
        <v>4582</v>
      </c>
      <c r="J1370" s="0" t="s">
        <v>4583</v>
      </c>
      <c r="K1370" s="0" t="s">
        <v>4584</v>
      </c>
      <c r="L1370" s="0" t="str">
        <f aca="false">HYPERLINK("https://www.ncbi.nlm.nih.gov/nuccore/CP000058.1?report=graph&amp;tracks=[key:gene_model_track,Options:GeneOnly]&amp;mk=426176:426195|offset_31|444444,426141:426160|offset_66|444444,426103:426122|offset_104|444444,426079:426098|offset_128|00cc00&amp;v=425975:426298&amp;c=444444", "offset 128")</f>
        <v>offset 128</v>
      </c>
    </row>
    <row r="1371" customFormat="false" ht="12.8" hidden="false" customHeight="false" outlineLevel="0" collapsed="false">
      <c r="A1371" s="0" t="s">
        <v>12</v>
      </c>
      <c r="B1371" s="0" t="n">
        <v>426340</v>
      </c>
      <c r="C1371" s="0" t="n">
        <v>426360</v>
      </c>
      <c r="D1371" s="0" t="s">
        <v>4585</v>
      </c>
      <c r="E1371" s="0" t="s">
        <v>75</v>
      </c>
      <c r="F1371" s="0" t="s">
        <v>15</v>
      </c>
      <c r="G1371" s="0" t="s">
        <v>16</v>
      </c>
      <c r="H1371" s="0" t="n">
        <v>28</v>
      </c>
      <c r="I1371" s="0" t="s">
        <v>4586</v>
      </c>
      <c r="J1371" s="0" t="s">
        <v>4587</v>
      </c>
      <c r="K1371" s="0" t="s">
        <v>4588</v>
      </c>
      <c r="L1371" s="0" t="str">
        <f aca="false">HYPERLINK("https://www.ncbi.nlm.nih.gov/nuccore/CP000058.1?report=graph&amp;tracks=[key:gene_model_track,Options:GeneOnly]&amp;mk=426341:426360|offset_28|00cc00,426368:426387|offset_55|444444,426396:426415|offset_83|444444,426434:426453|offset_121|444444&amp;v=426140:426653&amp;c=444444", "offset 28")</f>
        <v>offset 28</v>
      </c>
    </row>
    <row r="1372" customFormat="false" ht="12.8" hidden="false" customHeight="false" outlineLevel="0" collapsed="false">
      <c r="A1372" s="0" t="s">
        <v>12</v>
      </c>
      <c r="B1372" s="0" t="n">
        <v>426367</v>
      </c>
      <c r="C1372" s="0" t="n">
        <v>426387</v>
      </c>
      <c r="D1372" s="0" t="s">
        <v>4585</v>
      </c>
      <c r="E1372" s="0" t="s">
        <v>75</v>
      </c>
      <c r="F1372" s="0" t="s">
        <v>15</v>
      </c>
      <c r="G1372" s="0" t="s">
        <v>20</v>
      </c>
      <c r="H1372" s="0" t="n">
        <v>55</v>
      </c>
      <c r="I1372" s="0" t="s">
        <v>4589</v>
      </c>
      <c r="J1372" s="0" t="s">
        <v>4590</v>
      </c>
      <c r="K1372" s="0" t="s">
        <v>4591</v>
      </c>
      <c r="L1372" s="0" t="str">
        <f aca="false">HYPERLINK("https://www.ncbi.nlm.nih.gov/nuccore/CP000058.1?report=graph&amp;tracks=[key:gene_model_track,Options:GeneOnly]&amp;mk=426341:426360|offset_28|444444,426368:426387|offset_55|00cc00,426396:426415|offset_83|444444,426434:426453|offset_121|444444&amp;v=426140:426653&amp;c=444444", "offset 55")</f>
        <v>offset 55</v>
      </c>
    </row>
    <row r="1373" customFormat="false" ht="12.8" hidden="false" customHeight="false" outlineLevel="0" collapsed="false">
      <c r="A1373" s="0" t="s">
        <v>12</v>
      </c>
      <c r="B1373" s="0" t="n">
        <v>426395</v>
      </c>
      <c r="C1373" s="0" t="n">
        <v>426415</v>
      </c>
      <c r="D1373" s="0" t="s">
        <v>4585</v>
      </c>
      <c r="E1373" s="0" t="s">
        <v>75</v>
      </c>
      <c r="F1373" s="0" t="s">
        <v>15</v>
      </c>
      <c r="G1373" s="0" t="s">
        <v>36</v>
      </c>
      <c r="H1373" s="0" t="n">
        <v>83</v>
      </c>
      <c r="I1373" s="0" t="s">
        <v>4592</v>
      </c>
      <c r="J1373" s="0" t="s">
        <v>4593</v>
      </c>
      <c r="K1373" s="0" t="s">
        <v>4594</v>
      </c>
      <c r="L1373" s="0" t="str">
        <f aca="false">HYPERLINK("https://www.ncbi.nlm.nih.gov/nuccore/CP000058.1?report=graph&amp;tracks=[key:gene_model_track,Options:GeneOnly]&amp;mk=426341:426360|offset_28|444444,426368:426387|offset_55|444444,426396:426415|offset_83|00cc00,426434:426453|offset_121|444444&amp;v=426140:426653&amp;c=444444", "offset 83")</f>
        <v>offset 83</v>
      </c>
    </row>
    <row r="1374" customFormat="false" ht="12.8" hidden="false" customHeight="false" outlineLevel="0" collapsed="false">
      <c r="A1374" s="0" t="s">
        <v>12</v>
      </c>
      <c r="B1374" s="0" t="n">
        <v>426433</v>
      </c>
      <c r="C1374" s="0" t="n">
        <v>426453</v>
      </c>
      <c r="D1374" s="0" t="s">
        <v>4585</v>
      </c>
      <c r="E1374" s="0" t="s">
        <v>75</v>
      </c>
      <c r="F1374" s="0" t="s">
        <v>15</v>
      </c>
      <c r="G1374" s="0" t="s">
        <v>16</v>
      </c>
      <c r="H1374" s="0" t="n">
        <v>121</v>
      </c>
      <c r="I1374" s="0" t="s">
        <v>4595</v>
      </c>
      <c r="J1374" s="0" t="s">
        <v>4596</v>
      </c>
      <c r="K1374" s="0" t="s">
        <v>4597</v>
      </c>
      <c r="L1374" s="0" t="str">
        <f aca="false">HYPERLINK("https://www.ncbi.nlm.nih.gov/nuccore/CP000058.1?report=graph&amp;tracks=[key:gene_model_track,Options:GeneOnly]&amp;mk=426341:426360|offset_28|444444,426368:426387|offset_55|444444,426396:426415|offset_83|444444,426434:426453|offset_121|00cc00&amp;v=426140:426653&amp;c=444444", "offset 121")</f>
        <v>offset 121</v>
      </c>
    </row>
    <row r="1375" customFormat="false" ht="12.8" hidden="false" customHeight="false" outlineLevel="0" collapsed="false">
      <c r="A1375" s="0" t="s">
        <v>12</v>
      </c>
      <c r="B1375" s="0" t="n">
        <v>426685</v>
      </c>
      <c r="C1375" s="0" t="n">
        <v>426705</v>
      </c>
      <c r="D1375" s="0" t="s">
        <v>4598</v>
      </c>
      <c r="E1375" s="0" t="s">
        <v>75</v>
      </c>
      <c r="F1375" s="0" t="s">
        <v>15</v>
      </c>
      <c r="G1375" s="0" t="s">
        <v>16</v>
      </c>
      <c r="H1375" s="0" t="n">
        <v>23</v>
      </c>
      <c r="I1375" s="0" t="s">
        <v>4599</v>
      </c>
      <c r="J1375" s="0" t="s">
        <v>4600</v>
      </c>
      <c r="K1375" s="0" t="s">
        <v>4601</v>
      </c>
      <c r="L1375" s="0" t="str">
        <f aca="false">HYPERLINK("https://www.ncbi.nlm.nih.gov/nuccore/CP000058.1?report=graph&amp;tracks=[key:gene_model_track,Options:GeneOnly]&amp;mk=426686:426705|offset_23|00cc00,426706:426725|offset_43|444444,426748:426767|offset_85|444444,426785:426804|offset_122|444444&amp;v=426485:427004&amp;c=444444", "offset 23")</f>
        <v>offset 23</v>
      </c>
    </row>
    <row r="1376" customFormat="false" ht="12.8" hidden="false" customHeight="false" outlineLevel="0" collapsed="false">
      <c r="A1376" s="0" t="s">
        <v>12</v>
      </c>
      <c r="B1376" s="0" t="n">
        <v>426705</v>
      </c>
      <c r="C1376" s="0" t="n">
        <v>426725</v>
      </c>
      <c r="D1376" s="0" t="s">
        <v>4598</v>
      </c>
      <c r="E1376" s="0" t="s">
        <v>75</v>
      </c>
      <c r="F1376" s="0" t="s">
        <v>15</v>
      </c>
      <c r="G1376" s="0" t="s">
        <v>32</v>
      </c>
      <c r="H1376" s="0" t="n">
        <v>43</v>
      </c>
      <c r="I1376" s="0" t="s">
        <v>4602</v>
      </c>
      <c r="J1376" s="0" t="s">
        <v>4603</v>
      </c>
      <c r="K1376" s="0" t="s">
        <v>4604</v>
      </c>
      <c r="L1376" s="0" t="str">
        <f aca="false">HYPERLINK("https://www.ncbi.nlm.nih.gov/nuccore/CP000058.1?report=graph&amp;tracks=[key:gene_model_track,Options:GeneOnly]&amp;mk=426686:426705|offset_23|444444,426706:426725|offset_43|00cc00,426748:426767|offset_85|444444,426785:426804|offset_122|444444&amp;v=426485:427004&amp;c=444444", "offset 43")</f>
        <v>offset 43</v>
      </c>
    </row>
    <row r="1377" customFormat="false" ht="12.8" hidden="false" customHeight="false" outlineLevel="0" collapsed="false">
      <c r="A1377" s="0" t="s">
        <v>12</v>
      </c>
      <c r="B1377" s="0" t="n">
        <v>426747</v>
      </c>
      <c r="C1377" s="0" t="n">
        <v>426767</v>
      </c>
      <c r="D1377" s="0" t="s">
        <v>4598</v>
      </c>
      <c r="E1377" s="0" t="s">
        <v>75</v>
      </c>
      <c r="F1377" s="0" t="s">
        <v>15</v>
      </c>
      <c r="G1377" s="0" t="s">
        <v>32</v>
      </c>
      <c r="H1377" s="0" t="n">
        <v>85</v>
      </c>
      <c r="I1377" s="0" t="s">
        <v>4605</v>
      </c>
      <c r="J1377" s="0" t="s">
        <v>4606</v>
      </c>
      <c r="K1377" s="0" t="s">
        <v>4607</v>
      </c>
      <c r="L1377" s="0" t="str">
        <f aca="false">HYPERLINK("https://www.ncbi.nlm.nih.gov/nuccore/CP000058.1?report=graph&amp;tracks=[key:gene_model_track,Options:GeneOnly]&amp;mk=426686:426705|offset_23|444444,426706:426725|offset_43|444444,426748:426767|offset_85|00cc00,426785:426804|offset_122|444444&amp;v=426485:427004&amp;c=444444", "offset 85")</f>
        <v>offset 85</v>
      </c>
    </row>
    <row r="1378" customFormat="false" ht="12.8" hidden="false" customHeight="false" outlineLevel="0" collapsed="false">
      <c r="A1378" s="0" t="s">
        <v>12</v>
      </c>
      <c r="B1378" s="0" t="n">
        <v>426784</v>
      </c>
      <c r="C1378" s="0" t="n">
        <v>426804</v>
      </c>
      <c r="D1378" s="0" t="s">
        <v>4598</v>
      </c>
      <c r="E1378" s="0" t="s">
        <v>75</v>
      </c>
      <c r="F1378" s="0" t="s">
        <v>15</v>
      </c>
      <c r="G1378" s="0" t="s">
        <v>32</v>
      </c>
      <c r="H1378" s="0" t="n">
        <v>122</v>
      </c>
      <c r="I1378" s="0" t="s">
        <v>4608</v>
      </c>
      <c r="J1378" s="0" t="s">
        <v>4609</v>
      </c>
      <c r="K1378" s="0" t="s">
        <v>4610</v>
      </c>
      <c r="L1378" s="0" t="str">
        <f aca="false">HYPERLINK("https://www.ncbi.nlm.nih.gov/nuccore/CP000058.1?report=graph&amp;tracks=[key:gene_model_track,Options:GeneOnly]&amp;mk=426686:426705|offset_23|444444,426706:426725|offset_43|444444,426748:426767|offset_85|444444,426785:426804|offset_122|00cc00&amp;v=426485:427004&amp;c=444444", "offset 122")</f>
        <v>offset 122</v>
      </c>
    </row>
    <row r="1379" customFormat="false" ht="12.8" hidden="false" customHeight="false" outlineLevel="0" collapsed="false">
      <c r="A1379" s="0" t="s">
        <v>12</v>
      </c>
      <c r="B1379" s="0" t="n">
        <v>427252</v>
      </c>
      <c r="C1379" s="0" t="n">
        <v>427272</v>
      </c>
      <c r="D1379" s="0" t="s">
        <v>4611</v>
      </c>
      <c r="E1379" s="0" t="s">
        <v>75</v>
      </c>
      <c r="F1379" s="0" t="s">
        <v>15</v>
      </c>
      <c r="G1379" s="0" t="s">
        <v>16</v>
      </c>
      <c r="H1379" s="0" t="n">
        <v>22</v>
      </c>
      <c r="I1379" s="0" t="s">
        <v>4612</v>
      </c>
      <c r="J1379" s="0" t="s">
        <v>4613</v>
      </c>
      <c r="K1379" s="0" t="s">
        <v>4614</v>
      </c>
      <c r="L1379" s="0" t="str">
        <f aca="false">HYPERLINK("https://www.ncbi.nlm.nih.gov/nuccore/CP000058.1?report=graph&amp;tracks=[key:gene_model_track,Options:GeneOnly]&amp;mk=427253:427272|offset_22|00cc00,427320:427339|offset_89|444444,427394:427413|offset_163|444444,427448:427467|offset_217|444444&amp;v=427052:427667&amp;c=444444", "offset 22")</f>
        <v>offset 22</v>
      </c>
    </row>
    <row r="1380" customFormat="false" ht="12.8" hidden="false" customHeight="false" outlineLevel="0" collapsed="false">
      <c r="A1380" s="0" t="s">
        <v>12</v>
      </c>
      <c r="B1380" s="0" t="n">
        <v>427319</v>
      </c>
      <c r="C1380" s="0" t="n">
        <v>427339</v>
      </c>
      <c r="D1380" s="0" t="s">
        <v>4611</v>
      </c>
      <c r="E1380" s="0" t="s">
        <v>75</v>
      </c>
      <c r="F1380" s="0" t="s">
        <v>15</v>
      </c>
      <c r="G1380" s="0" t="s">
        <v>20</v>
      </c>
      <c r="H1380" s="0" t="n">
        <v>89</v>
      </c>
      <c r="I1380" s="0" t="s">
        <v>4615</v>
      </c>
      <c r="J1380" s="0" t="s">
        <v>4616</v>
      </c>
      <c r="K1380" s="0" t="s">
        <v>4617</v>
      </c>
      <c r="L1380" s="0" t="str">
        <f aca="false">HYPERLINK("https://www.ncbi.nlm.nih.gov/nuccore/CP000058.1?report=graph&amp;tracks=[key:gene_model_track,Options:GeneOnly]&amp;mk=427253:427272|offset_22|444444,427320:427339|offset_89|00cc00,427394:427413|offset_163|444444,427448:427467|offset_217|444444&amp;v=427052:427667&amp;c=444444", "offset 89")</f>
        <v>offset 89</v>
      </c>
    </row>
    <row r="1381" customFormat="false" ht="12.8" hidden="false" customHeight="false" outlineLevel="0" collapsed="false">
      <c r="A1381" s="0" t="s">
        <v>12</v>
      </c>
      <c r="B1381" s="0" t="n">
        <v>427393</v>
      </c>
      <c r="C1381" s="0" t="n">
        <v>427413</v>
      </c>
      <c r="D1381" s="0" t="s">
        <v>4611</v>
      </c>
      <c r="E1381" s="0" t="s">
        <v>75</v>
      </c>
      <c r="F1381" s="0" t="s">
        <v>15</v>
      </c>
      <c r="G1381" s="0" t="s">
        <v>16</v>
      </c>
      <c r="H1381" s="0" t="n">
        <v>163</v>
      </c>
      <c r="I1381" s="0" t="s">
        <v>4618</v>
      </c>
      <c r="J1381" s="0" t="s">
        <v>4619</v>
      </c>
      <c r="K1381" s="0" t="s">
        <v>4620</v>
      </c>
      <c r="L1381" s="0" t="str">
        <f aca="false">HYPERLINK("https://www.ncbi.nlm.nih.gov/nuccore/CP000058.1?report=graph&amp;tracks=[key:gene_model_track,Options:GeneOnly]&amp;mk=427253:427272|offset_22|444444,427320:427339|offset_89|444444,427394:427413|offset_163|00cc00,427448:427467|offset_217|444444&amp;v=427052:427667&amp;c=444444", "offset 163")</f>
        <v>offset 163</v>
      </c>
    </row>
    <row r="1382" customFormat="false" ht="12.8" hidden="false" customHeight="false" outlineLevel="0" collapsed="false">
      <c r="A1382" s="0" t="s">
        <v>12</v>
      </c>
      <c r="B1382" s="0" t="n">
        <v>427447</v>
      </c>
      <c r="C1382" s="0" t="n">
        <v>427467</v>
      </c>
      <c r="D1382" s="0" t="s">
        <v>4611</v>
      </c>
      <c r="E1382" s="0" t="s">
        <v>75</v>
      </c>
      <c r="F1382" s="0" t="s">
        <v>15</v>
      </c>
      <c r="G1382" s="0" t="s">
        <v>16</v>
      </c>
      <c r="H1382" s="0" t="n">
        <v>217</v>
      </c>
      <c r="I1382" s="0" t="s">
        <v>4621</v>
      </c>
      <c r="J1382" s="0" t="s">
        <v>4622</v>
      </c>
      <c r="K1382" s="0" t="s">
        <v>4623</v>
      </c>
      <c r="L1382" s="0" t="str">
        <f aca="false">HYPERLINK("https://www.ncbi.nlm.nih.gov/nuccore/CP000058.1?report=graph&amp;tracks=[key:gene_model_track,Options:GeneOnly]&amp;mk=427253:427272|offset_22|444444,427320:427339|offset_89|444444,427394:427413|offset_163|444444,427448:427467|offset_217|00cc00&amp;v=427052:427667&amp;c=444444", "offset 217")</f>
        <v>offset 217</v>
      </c>
    </row>
    <row r="1383" customFormat="false" ht="12.8" hidden="false" customHeight="false" outlineLevel="0" collapsed="false">
      <c r="A1383" s="0" t="s">
        <v>12</v>
      </c>
      <c r="B1383" s="0" t="n">
        <v>428835</v>
      </c>
      <c r="C1383" s="0" t="n">
        <v>428855</v>
      </c>
      <c r="D1383" s="0" t="s">
        <v>4624</v>
      </c>
      <c r="E1383" s="0" t="s">
        <v>4625</v>
      </c>
      <c r="F1383" s="0" t="s">
        <v>90</v>
      </c>
      <c r="G1383" s="0" t="s">
        <v>36</v>
      </c>
      <c r="H1383" s="0" t="n">
        <v>10</v>
      </c>
      <c r="I1383" s="0" t="s">
        <v>4626</v>
      </c>
      <c r="J1383" s="0" t="s">
        <v>4627</v>
      </c>
      <c r="K1383" s="0" t="s">
        <v>4628</v>
      </c>
      <c r="L1383" s="0" t="str">
        <f aca="false">HYPERLINK("https://www.ncbi.nlm.nih.gov/nuccore/CP000058.1?report=graph&amp;tracks=[key:gene_model_track,Options:GeneOnly]&amp;mk=428836:428855|offset_10|00cc00,428812:428831|offset_34|444444,428783:428802|offset_63|444444,428758:428777|offset_88|444444&amp;v=428635:428977&amp;c=444444", "offset 10")</f>
        <v>offset 10</v>
      </c>
    </row>
    <row r="1384" customFormat="false" ht="12.8" hidden="false" customHeight="false" outlineLevel="0" collapsed="false">
      <c r="A1384" s="0" t="s">
        <v>12</v>
      </c>
      <c r="B1384" s="0" t="n">
        <v>428811</v>
      </c>
      <c r="C1384" s="0" t="n">
        <v>428831</v>
      </c>
      <c r="D1384" s="0" t="s">
        <v>4624</v>
      </c>
      <c r="E1384" s="0" t="s">
        <v>4625</v>
      </c>
      <c r="F1384" s="0" t="s">
        <v>90</v>
      </c>
      <c r="G1384" s="0" t="s">
        <v>20</v>
      </c>
      <c r="H1384" s="0" t="n">
        <v>34</v>
      </c>
      <c r="I1384" s="0" t="s">
        <v>4629</v>
      </c>
      <c r="J1384" s="0" t="s">
        <v>4630</v>
      </c>
      <c r="K1384" s="0" t="s">
        <v>4631</v>
      </c>
      <c r="L1384" s="0" t="str">
        <f aca="false">HYPERLINK("https://www.ncbi.nlm.nih.gov/nuccore/CP000058.1?report=graph&amp;tracks=[key:gene_model_track,Options:GeneOnly]&amp;mk=428836:428855|offset_10|444444,428812:428831|offset_34|00cc00,428783:428802|offset_63|444444,428758:428777|offset_88|444444&amp;v=428635:428977&amp;c=444444", "offset 34")</f>
        <v>offset 34</v>
      </c>
    </row>
    <row r="1385" customFormat="false" ht="12.8" hidden="false" customHeight="false" outlineLevel="0" collapsed="false">
      <c r="A1385" s="0" t="s">
        <v>12</v>
      </c>
      <c r="B1385" s="0" t="n">
        <v>428782</v>
      </c>
      <c r="C1385" s="0" t="n">
        <v>428802</v>
      </c>
      <c r="D1385" s="0" t="s">
        <v>4624</v>
      </c>
      <c r="E1385" s="0" t="s">
        <v>4625</v>
      </c>
      <c r="F1385" s="0" t="s">
        <v>90</v>
      </c>
      <c r="G1385" s="0" t="s">
        <v>16</v>
      </c>
      <c r="H1385" s="0" t="n">
        <v>63</v>
      </c>
      <c r="I1385" s="0" t="s">
        <v>4632</v>
      </c>
      <c r="J1385" s="0" t="s">
        <v>4633</v>
      </c>
      <c r="K1385" s="0" t="s">
        <v>4634</v>
      </c>
      <c r="L1385" s="0" t="str">
        <f aca="false">HYPERLINK("https://www.ncbi.nlm.nih.gov/nuccore/CP000058.1?report=graph&amp;tracks=[key:gene_model_track,Options:GeneOnly]&amp;mk=428836:428855|offset_10|444444,428812:428831|offset_34|444444,428783:428802|offset_63|00cc00,428758:428777|offset_88|444444&amp;v=428635:428977&amp;c=444444", "offset 63")</f>
        <v>offset 63</v>
      </c>
    </row>
    <row r="1386" customFormat="false" ht="12.8" hidden="false" customHeight="false" outlineLevel="0" collapsed="false">
      <c r="A1386" s="0" t="s">
        <v>12</v>
      </c>
      <c r="B1386" s="0" t="n">
        <v>428757</v>
      </c>
      <c r="C1386" s="0" t="n">
        <v>428777</v>
      </c>
      <c r="D1386" s="0" t="s">
        <v>4624</v>
      </c>
      <c r="E1386" s="0" t="s">
        <v>4625</v>
      </c>
      <c r="F1386" s="0" t="s">
        <v>90</v>
      </c>
      <c r="G1386" s="0" t="s">
        <v>32</v>
      </c>
      <c r="H1386" s="0" t="n">
        <v>88</v>
      </c>
      <c r="I1386" s="0" t="s">
        <v>4635</v>
      </c>
      <c r="J1386" s="0" t="s">
        <v>4636</v>
      </c>
      <c r="K1386" s="0" t="s">
        <v>4637</v>
      </c>
      <c r="L1386" s="0" t="str">
        <f aca="false">HYPERLINK("https://www.ncbi.nlm.nih.gov/nuccore/CP000058.1?report=graph&amp;tracks=[key:gene_model_track,Options:GeneOnly]&amp;mk=428836:428855|offset_10|444444,428812:428831|offset_34|444444,428783:428802|offset_63|444444,428758:428777|offset_88|00cc00&amp;v=428635:428977&amp;c=444444", "offset 88")</f>
        <v>offset 88</v>
      </c>
    </row>
    <row r="1387" customFormat="false" ht="12.8" hidden="false" customHeight="false" outlineLevel="0" collapsed="false">
      <c r="A1387" s="0" t="s">
        <v>12</v>
      </c>
      <c r="B1387" s="0" t="n">
        <v>430569</v>
      </c>
      <c r="C1387" s="0" t="n">
        <v>430589</v>
      </c>
      <c r="D1387" s="0" t="s">
        <v>4638</v>
      </c>
      <c r="E1387" s="0" t="s">
        <v>75</v>
      </c>
      <c r="F1387" s="0" t="s">
        <v>90</v>
      </c>
      <c r="G1387" s="0" t="s">
        <v>32</v>
      </c>
      <c r="H1387" s="0" t="n">
        <v>28</v>
      </c>
      <c r="I1387" s="0" t="s">
        <v>4639</v>
      </c>
      <c r="J1387" s="0" t="s">
        <v>4640</v>
      </c>
      <c r="K1387" s="0" t="s">
        <v>4641</v>
      </c>
      <c r="L1387" s="0" t="str">
        <f aca="false">HYPERLINK("https://www.ncbi.nlm.nih.gov/nuccore/CP000058.1?report=graph&amp;tracks=[key:gene_model_track,Options:GeneOnly]&amp;mk=430570:430589|offset_28|00cc00,430531:430550|offset_67|444444,430506:430525|offset_92|444444,430477:430496|offset_121|444444&amp;v=430369:430696&amp;c=444444", "offset 28")</f>
        <v>offset 28</v>
      </c>
    </row>
    <row r="1388" customFormat="false" ht="12.8" hidden="false" customHeight="false" outlineLevel="0" collapsed="false">
      <c r="A1388" s="0" t="s">
        <v>12</v>
      </c>
      <c r="B1388" s="0" t="n">
        <v>430530</v>
      </c>
      <c r="C1388" s="0" t="n">
        <v>430550</v>
      </c>
      <c r="D1388" s="0" t="s">
        <v>4638</v>
      </c>
      <c r="E1388" s="0" t="s">
        <v>75</v>
      </c>
      <c r="F1388" s="0" t="s">
        <v>90</v>
      </c>
      <c r="G1388" s="0" t="s">
        <v>32</v>
      </c>
      <c r="H1388" s="0" t="n">
        <v>67</v>
      </c>
      <c r="I1388" s="0" t="s">
        <v>4642</v>
      </c>
      <c r="J1388" s="0" t="s">
        <v>4643</v>
      </c>
      <c r="K1388" s="0" t="s">
        <v>4644</v>
      </c>
      <c r="L1388" s="0" t="str">
        <f aca="false">HYPERLINK("https://www.ncbi.nlm.nih.gov/nuccore/CP000058.1?report=graph&amp;tracks=[key:gene_model_track,Options:GeneOnly]&amp;mk=430570:430589|offset_28|444444,430531:430550|offset_67|00cc00,430506:430525|offset_92|444444,430477:430496|offset_121|444444&amp;v=430369:430696&amp;c=444444", "offset 67")</f>
        <v>offset 67</v>
      </c>
    </row>
    <row r="1389" customFormat="false" ht="12.8" hidden="false" customHeight="false" outlineLevel="0" collapsed="false">
      <c r="A1389" s="0" t="s">
        <v>12</v>
      </c>
      <c r="B1389" s="0" t="n">
        <v>430505</v>
      </c>
      <c r="C1389" s="0" t="n">
        <v>430525</v>
      </c>
      <c r="D1389" s="0" t="s">
        <v>4638</v>
      </c>
      <c r="E1389" s="0" t="s">
        <v>75</v>
      </c>
      <c r="F1389" s="0" t="s">
        <v>90</v>
      </c>
      <c r="G1389" s="0" t="s">
        <v>20</v>
      </c>
      <c r="H1389" s="0" t="n">
        <v>92</v>
      </c>
      <c r="I1389" s="0" t="s">
        <v>4645</v>
      </c>
      <c r="J1389" s="0" t="s">
        <v>4646</v>
      </c>
      <c r="K1389" s="0" t="s">
        <v>4647</v>
      </c>
      <c r="L1389" s="0" t="str">
        <f aca="false">HYPERLINK("https://www.ncbi.nlm.nih.gov/nuccore/CP000058.1?report=graph&amp;tracks=[key:gene_model_track,Options:GeneOnly]&amp;mk=430570:430589|offset_28|444444,430531:430550|offset_67|444444,430506:430525|offset_92|00cc00,430477:430496|offset_121|444444&amp;v=430369:430696&amp;c=444444", "offset 92")</f>
        <v>offset 92</v>
      </c>
    </row>
    <row r="1390" customFormat="false" ht="12.8" hidden="false" customHeight="false" outlineLevel="0" collapsed="false">
      <c r="A1390" s="0" t="s">
        <v>12</v>
      </c>
      <c r="B1390" s="0" t="n">
        <v>430476</v>
      </c>
      <c r="C1390" s="0" t="n">
        <v>430496</v>
      </c>
      <c r="D1390" s="0" t="s">
        <v>4638</v>
      </c>
      <c r="E1390" s="0" t="s">
        <v>75</v>
      </c>
      <c r="F1390" s="0" t="s">
        <v>90</v>
      </c>
      <c r="G1390" s="0" t="s">
        <v>36</v>
      </c>
      <c r="H1390" s="0" t="n">
        <v>121</v>
      </c>
      <c r="I1390" s="0" t="s">
        <v>4648</v>
      </c>
      <c r="J1390" s="0" t="s">
        <v>4649</v>
      </c>
      <c r="K1390" s="0" t="s">
        <v>4650</v>
      </c>
      <c r="L1390" s="0" t="str">
        <f aca="false">HYPERLINK("https://www.ncbi.nlm.nih.gov/nuccore/CP000058.1?report=graph&amp;tracks=[key:gene_model_track,Options:GeneOnly]&amp;mk=430570:430589|offset_28|444444,430531:430550|offset_67|444444,430506:430525|offset_92|444444,430477:430496|offset_121|00cc00&amp;v=430369:430696&amp;c=444444", "offset 121")</f>
        <v>offset 121</v>
      </c>
    </row>
    <row r="1391" customFormat="false" ht="12.8" hidden="false" customHeight="false" outlineLevel="0" collapsed="false">
      <c r="A1391" s="0" t="s">
        <v>12</v>
      </c>
      <c r="B1391" s="0" t="n">
        <v>431605</v>
      </c>
      <c r="C1391" s="0" t="n">
        <v>431625</v>
      </c>
      <c r="D1391" s="0" t="s">
        <v>4651</v>
      </c>
      <c r="E1391" s="0" t="s">
        <v>4652</v>
      </c>
      <c r="F1391" s="0" t="s">
        <v>90</v>
      </c>
      <c r="G1391" s="0" t="s">
        <v>16</v>
      </c>
      <c r="H1391" s="0" t="n">
        <v>6</v>
      </c>
      <c r="I1391" s="0" t="s">
        <v>4653</v>
      </c>
      <c r="J1391" s="0" t="s">
        <v>4654</v>
      </c>
      <c r="K1391" s="0" t="s">
        <v>4655</v>
      </c>
      <c r="L1391" s="0" t="str">
        <f aca="false">HYPERLINK("https://www.ncbi.nlm.nih.gov/nuccore/CP000058.1?report=graph&amp;tracks=[key:gene_model_track,Options:GeneOnly]&amp;mk=431606:431625|offset_6|00cc00,431584:431603|offset_28|444444,431551:431570|offset_61|444444,431522:431541|offset_90|444444&amp;v=431405:431741&amp;c=444444", "offset 6")</f>
        <v>offset 6</v>
      </c>
    </row>
    <row r="1392" customFormat="false" ht="12.8" hidden="false" customHeight="false" outlineLevel="0" collapsed="false">
      <c r="A1392" s="0" t="s">
        <v>12</v>
      </c>
      <c r="B1392" s="0" t="n">
        <v>431583</v>
      </c>
      <c r="C1392" s="0" t="n">
        <v>431603</v>
      </c>
      <c r="D1392" s="0" t="s">
        <v>4651</v>
      </c>
      <c r="E1392" s="0" t="s">
        <v>4652</v>
      </c>
      <c r="F1392" s="0" t="s">
        <v>90</v>
      </c>
      <c r="G1392" s="0" t="s">
        <v>32</v>
      </c>
      <c r="H1392" s="0" t="n">
        <v>28</v>
      </c>
      <c r="I1392" s="0" t="s">
        <v>4656</v>
      </c>
      <c r="J1392" s="0" t="s">
        <v>4657</v>
      </c>
      <c r="K1392" s="0" t="s">
        <v>4658</v>
      </c>
      <c r="L1392" s="0" t="str">
        <f aca="false">HYPERLINK("https://www.ncbi.nlm.nih.gov/nuccore/CP000058.1?report=graph&amp;tracks=[key:gene_model_track,Options:GeneOnly]&amp;mk=431606:431625|offset_6|444444,431584:431603|offset_28|00cc00,431551:431570|offset_61|444444,431522:431541|offset_90|444444&amp;v=431405:431741&amp;c=444444", "offset 28")</f>
        <v>offset 28</v>
      </c>
    </row>
    <row r="1393" customFormat="false" ht="12.8" hidden="false" customHeight="false" outlineLevel="0" collapsed="false">
      <c r="A1393" s="0" t="s">
        <v>12</v>
      </c>
      <c r="B1393" s="0" t="n">
        <v>431550</v>
      </c>
      <c r="C1393" s="0" t="n">
        <v>431570</v>
      </c>
      <c r="D1393" s="0" t="s">
        <v>4651</v>
      </c>
      <c r="E1393" s="0" t="s">
        <v>4652</v>
      </c>
      <c r="F1393" s="0" t="s">
        <v>90</v>
      </c>
      <c r="G1393" s="0" t="s">
        <v>16</v>
      </c>
      <c r="H1393" s="0" t="n">
        <v>61</v>
      </c>
      <c r="I1393" s="0" t="s">
        <v>4659</v>
      </c>
      <c r="J1393" s="0" t="s">
        <v>4660</v>
      </c>
      <c r="K1393" s="0" t="s">
        <v>4661</v>
      </c>
      <c r="L1393" s="0" t="str">
        <f aca="false">HYPERLINK("https://www.ncbi.nlm.nih.gov/nuccore/CP000058.1?report=graph&amp;tracks=[key:gene_model_track,Options:GeneOnly]&amp;mk=431606:431625|offset_6|444444,431584:431603|offset_28|444444,431551:431570|offset_61|00cc00,431522:431541|offset_90|444444&amp;v=431405:431741&amp;c=444444", "offset 61")</f>
        <v>offset 61</v>
      </c>
    </row>
    <row r="1394" customFormat="false" ht="12.8" hidden="false" customHeight="false" outlineLevel="0" collapsed="false">
      <c r="A1394" s="0" t="s">
        <v>12</v>
      </c>
      <c r="B1394" s="0" t="n">
        <v>431521</v>
      </c>
      <c r="C1394" s="0" t="n">
        <v>431541</v>
      </c>
      <c r="D1394" s="0" t="s">
        <v>4651</v>
      </c>
      <c r="E1394" s="0" t="s">
        <v>4652</v>
      </c>
      <c r="F1394" s="0" t="s">
        <v>90</v>
      </c>
      <c r="G1394" s="0" t="s">
        <v>32</v>
      </c>
      <c r="H1394" s="0" t="n">
        <v>90</v>
      </c>
      <c r="I1394" s="0" t="s">
        <v>4662</v>
      </c>
      <c r="J1394" s="0" t="s">
        <v>4663</v>
      </c>
      <c r="K1394" s="0" t="s">
        <v>4664</v>
      </c>
      <c r="L1394" s="0" t="str">
        <f aca="false">HYPERLINK("https://www.ncbi.nlm.nih.gov/nuccore/CP000058.1?report=graph&amp;tracks=[key:gene_model_track,Options:GeneOnly]&amp;mk=431606:431625|offset_6|444444,431584:431603|offset_28|444444,431551:431570|offset_61|444444,431522:431541|offset_90|00cc00&amp;v=431405:431741&amp;c=444444", "offset 90")</f>
        <v>offset 90</v>
      </c>
    </row>
    <row r="1395" customFormat="false" ht="12.8" hidden="false" customHeight="false" outlineLevel="0" collapsed="false">
      <c r="A1395" s="0" t="s">
        <v>12</v>
      </c>
      <c r="B1395" s="0" t="n">
        <v>433328</v>
      </c>
      <c r="C1395" s="0" t="n">
        <v>433348</v>
      </c>
      <c r="D1395" s="0" t="s">
        <v>4665</v>
      </c>
      <c r="E1395" s="0" t="s">
        <v>75</v>
      </c>
      <c r="F1395" s="0" t="s">
        <v>90</v>
      </c>
      <c r="G1395" s="0" t="s">
        <v>20</v>
      </c>
      <c r="H1395" s="0" t="n">
        <v>26</v>
      </c>
      <c r="I1395" s="0" t="s">
        <v>4666</v>
      </c>
      <c r="J1395" s="0" t="s">
        <v>4667</v>
      </c>
      <c r="K1395" s="0" t="s">
        <v>4668</v>
      </c>
      <c r="L1395" s="0" t="str">
        <f aca="false">HYPERLINK("https://www.ncbi.nlm.nih.gov/nuccore/CP000058.1?report=graph&amp;tracks=[key:gene_model_track,Options:GeneOnly]&amp;mk=433329:433348|offset_26|00cc00,433303:433322|offset_52|444444,433278:433297|offset_77|444444,433249:433268|offset_106|444444&amp;v=433128:433468&amp;c=444444", "offset 26")</f>
        <v>offset 26</v>
      </c>
    </row>
    <row r="1396" customFormat="false" ht="12.8" hidden="false" customHeight="false" outlineLevel="0" collapsed="false">
      <c r="A1396" s="0" t="s">
        <v>12</v>
      </c>
      <c r="B1396" s="0" t="n">
        <v>433302</v>
      </c>
      <c r="C1396" s="0" t="n">
        <v>433322</v>
      </c>
      <c r="D1396" s="0" t="s">
        <v>4665</v>
      </c>
      <c r="E1396" s="0" t="s">
        <v>75</v>
      </c>
      <c r="F1396" s="0" t="s">
        <v>90</v>
      </c>
      <c r="G1396" s="0" t="s">
        <v>20</v>
      </c>
      <c r="H1396" s="0" t="n">
        <v>52</v>
      </c>
      <c r="I1396" s="0" t="s">
        <v>4669</v>
      </c>
      <c r="J1396" s="0" t="s">
        <v>4670</v>
      </c>
      <c r="K1396" s="0" t="s">
        <v>4671</v>
      </c>
      <c r="L1396" s="0" t="str">
        <f aca="false">HYPERLINK("https://www.ncbi.nlm.nih.gov/nuccore/CP000058.1?report=graph&amp;tracks=[key:gene_model_track,Options:GeneOnly]&amp;mk=433329:433348|offset_26|444444,433303:433322|offset_52|00cc00,433278:433297|offset_77|444444,433249:433268|offset_106|444444&amp;v=433128:433468&amp;c=444444", "offset 52")</f>
        <v>offset 52</v>
      </c>
    </row>
    <row r="1397" customFormat="false" ht="12.8" hidden="false" customHeight="false" outlineLevel="0" collapsed="false">
      <c r="A1397" s="0" t="s">
        <v>12</v>
      </c>
      <c r="B1397" s="0" t="n">
        <v>433277</v>
      </c>
      <c r="C1397" s="0" t="n">
        <v>433297</v>
      </c>
      <c r="D1397" s="0" t="s">
        <v>4665</v>
      </c>
      <c r="E1397" s="0" t="s">
        <v>75</v>
      </c>
      <c r="F1397" s="0" t="s">
        <v>90</v>
      </c>
      <c r="G1397" s="0" t="s">
        <v>20</v>
      </c>
      <c r="H1397" s="0" t="n">
        <v>77</v>
      </c>
      <c r="I1397" s="0" t="s">
        <v>4672</v>
      </c>
      <c r="J1397" s="0" t="s">
        <v>4673</v>
      </c>
      <c r="K1397" s="0" t="s">
        <v>4674</v>
      </c>
      <c r="L1397" s="0" t="str">
        <f aca="false">HYPERLINK("https://www.ncbi.nlm.nih.gov/nuccore/CP000058.1?report=graph&amp;tracks=[key:gene_model_track,Options:GeneOnly]&amp;mk=433329:433348|offset_26|444444,433303:433322|offset_52|444444,433278:433297|offset_77|00cc00,433249:433268|offset_106|444444&amp;v=433128:433468&amp;c=444444", "offset 77")</f>
        <v>offset 77</v>
      </c>
    </row>
    <row r="1398" customFormat="false" ht="12.8" hidden="false" customHeight="false" outlineLevel="0" collapsed="false">
      <c r="A1398" s="0" t="s">
        <v>12</v>
      </c>
      <c r="B1398" s="0" t="n">
        <v>433248</v>
      </c>
      <c r="C1398" s="0" t="n">
        <v>433268</v>
      </c>
      <c r="D1398" s="0" t="s">
        <v>4665</v>
      </c>
      <c r="E1398" s="0" t="s">
        <v>75</v>
      </c>
      <c r="F1398" s="0" t="s">
        <v>90</v>
      </c>
      <c r="G1398" s="0" t="s">
        <v>36</v>
      </c>
      <c r="H1398" s="0" t="n">
        <v>106</v>
      </c>
      <c r="I1398" s="0" t="s">
        <v>4675</v>
      </c>
      <c r="J1398" s="0" t="s">
        <v>4676</v>
      </c>
      <c r="K1398" s="0" t="s">
        <v>4677</v>
      </c>
      <c r="L1398" s="0" t="str">
        <f aca="false">HYPERLINK("https://www.ncbi.nlm.nih.gov/nuccore/CP000058.1?report=graph&amp;tracks=[key:gene_model_track,Options:GeneOnly]&amp;mk=433329:433348|offset_26|444444,433303:433322|offset_52|444444,433278:433297|offset_77|444444,433249:433268|offset_106|00cc00&amp;v=433128:433468&amp;c=444444", "offset 106")</f>
        <v>offset 106</v>
      </c>
    </row>
    <row r="1399" customFormat="false" ht="12.8" hidden="false" customHeight="false" outlineLevel="0" collapsed="false">
      <c r="A1399" s="0" t="s">
        <v>12</v>
      </c>
      <c r="B1399" s="0" t="n">
        <v>434075</v>
      </c>
      <c r="C1399" s="0" t="n">
        <v>434095</v>
      </c>
      <c r="D1399" s="0" t="s">
        <v>4678</v>
      </c>
      <c r="E1399" s="0" t="s">
        <v>75</v>
      </c>
      <c r="F1399" s="0" t="s">
        <v>90</v>
      </c>
      <c r="G1399" s="0" t="s">
        <v>20</v>
      </c>
      <c r="H1399" s="0" t="n">
        <v>12</v>
      </c>
      <c r="I1399" s="0" t="s">
        <v>4679</v>
      </c>
      <c r="J1399" s="0" t="s">
        <v>4680</v>
      </c>
      <c r="K1399" s="0" t="s">
        <v>4681</v>
      </c>
      <c r="L1399" s="0" t="str">
        <f aca="false">HYPERLINK("https://www.ncbi.nlm.nih.gov/nuccore/CP000058.1?report=graph&amp;tracks=[key:gene_model_track,Options:GeneOnly]&amp;mk=434076:434095|offset_12|00cc00,434054:434073|offset_34|444444,434032:434051|offset_56|444444,434003:434022|offset_85|444444&amp;v=433875:434222&amp;c=444444", "offset 12")</f>
        <v>offset 12</v>
      </c>
    </row>
    <row r="1400" customFormat="false" ht="12.8" hidden="false" customHeight="false" outlineLevel="0" collapsed="false">
      <c r="A1400" s="0" t="s">
        <v>12</v>
      </c>
      <c r="B1400" s="0" t="n">
        <v>434053</v>
      </c>
      <c r="C1400" s="0" t="n">
        <v>434073</v>
      </c>
      <c r="D1400" s="0" t="s">
        <v>4678</v>
      </c>
      <c r="E1400" s="0" t="s">
        <v>75</v>
      </c>
      <c r="F1400" s="0" t="s">
        <v>90</v>
      </c>
      <c r="G1400" s="0" t="s">
        <v>20</v>
      </c>
      <c r="H1400" s="0" t="n">
        <v>34</v>
      </c>
      <c r="I1400" s="0" t="s">
        <v>4682</v>
      </c>
      <c r="J1400" s="0" t="s">
        <v>4683</v>
      </c>
      <c r="K1400" s="0" t="s">
        <v>4684</v>
      </c>
      <c r="L1400" s="0" t="str">
        <f aca="false">HYPERLINK("https://www.ncbi.nlm.nih.gov/nuccore/CP000058.1?report=graph&amp;tracks=[key:gene_model_track,Options:GeneOnly]&amp;mk=434076:434095|offset_12|444444,434054:434073|offset_34|00cc00,434032:434051|offset_56|444444,434003:434022|offset_85|444444&amp;v=433875:434222&amp;c=444444", "offset 34")</f>
        <v>offset 34</v>
      </c>
    </row>
    <row r="1401" customFormat="false" ht="12.8" hidden="false" customHeight="false" outlineLevel="0" collapsed="false">
      <c r="A1401" s="0" t="s">
        <v>12</v>
      </c>
      <c r="B1401" s="0" t="n">
        <v>434031</v>
      </c>
      <c r="C1401" s="0" t="n">
        <v>434051</v>
      </c>
      <c r="D1401" s="0" t="s">
        <v>4678</v>
      </c>
      <c r="E1401" s="0" t="s">
        <v>75</v>
      </c>
      <c r="F1401" s="0" t="s">
        <v>90</v>
      </c>
      <c r="G1401" s="0" t="s">
        <v>36</v>
      </c>
      <c r="H1401" s="0" t="n">
        <v>56</v>
      </c>
      <c r="I1401" s="0" t="s">
        <v>4685</v>
      </c>
      <c r="J1401" s="0" t="s">
        <v>4686</v>
      </c>
      <c r="K1401" s="0" t="s">
        <v>4687</v>
      </c>
      <c r="L1401" s="0" t="str">
        <f aca="false">HYPERLINK("https://www.ncbi.nlm.nih.gov/nuccore/CP000058.1?report=graph&amp;tracks=[key:gene_model_track,Options:GeneOnly]&amp;mk=434076:434095|offset_12|444444,434054:434073|offset_34|444444,434032:434051|offset_56|00cc00,434003:434022|offset_85|444444&amp;v=433875:434222&amp;c=444444", "offset 56")</f>
        <v>offset 56</v>
      </c>
    </row>
    <row r="1402" customFormat="false" ht="12.8" hidden="false" customHeight="false" outlineLevel="0" collapsed="false">
      <c r="A1402" s="0" t="s">
        <v>12</v>
      </c>
      <c r="B1402" s="0" t="n">
        <v>434002</v>
      </c>
      <c r="C1402" s="0" t="n">
        <v>434022</v>
      </c>
      <c r="D1402" s="0" t="s">
        <v>4678</v>
      </c>
      <c r="E1402" s="0" t="s">
        <v>75</v>
      </c>
      <c r="F1402" s="0" t="s">
        <v>90</v>
      </c>
      <c r="G1402" s="0" t="s">
        <v>32</v>
      </c>
      <c r="H1402" s="0" t="n">
        <v>85</v>
      </c>
      <c r="I1402" s="0" t="s">
        <v>4688</v>
      </c>
      <c r="J1402" s="0" t="s">
        <v>4689</v>
      </c>
      <c r="K1402" s="0" t="s">
        <v>4690</v>
      </c>
      <c r="L1402" s="0" t="str">
        <f aca="false">HYPERLINK("https://www.ncbi.nlm.nih.gov/nuccore/CP000058.1?report=graph&amp;tracks=[key:gene_model_track,Options:GeneOnly]&amp;mk=434076:434095|offset_12|444444,434054:434073|offset_34|444444,434032:434051|offset_56|444444,434003:434022|offset_85|00cc00&amp;v=433875:434222&amp;c=444444", "offset 85")</f>
        <v>offset 85</v>
      </c>
    </row>
    <row r="1403" customFormat="false" ht="12.8" hidden="false" customHeight="false" outlineLevel="0" collapsed="false">
      <c r="A1403" s="0" t="s">
        <v>12</v>
      </c>
      <c r="B1403" s="0" t="n">
        <v>435476</v>
      </c>
      <c r="C1403" s="0" t="n">
        <v>435496</v>
      </c>
      <c r="D1403" s="0" t="s">
        <v>4691</v>
      </c>
      <c r="E1403" s="0" t="s">
        <v>4692</v>
      </c>
      <c r="F1403" s="0" t="s">
        <v>90</v>
      </c>
      <c r="G1403" s="0" t="s">
        <v>32</v>
      </c>
      <c r="H1403" s="0" t="n">
        <v>1</v>
      </c>
      <c r="I1403" s="0" t="s">
        <v>4693</v>
      </c>
      <c r="J1403" s="0" t="s">
        <v>4694</v>
      </c>
      <c r="K1403" s="0" t="s">
        <v>4695</v>
      </c>
      <c r="L1403" s="0" t="str">
        <f aca="false">HYPERLINK("https://www.ncbi.nlm.nih.gov/nuccore/CP000058.1?report=graph&amp;tracks=[key:gene_model_track,Options:GeneOnly]&amp;mk=435477:435496|offset_1|00cc00,435449:435468|offset_29|444444,435422:435441|offset_56|444444,435402:435421|offset_76|444444&amp;v=435276:435621&amp;c=444444", "offset 1")</f>
        <v>offset 1</v>
      </c>
    </row>
    <row r="1404" customFormat="false" ht="12.8" hidden="false" customHeight="false" outlineLevel="0" collapsed="false">
      <c r="A1404" s="0" t="s">
        <v>12</v>
      </c>
      <c r="B1404" s="0" t="n">
        <v>435448</v>
      </c>
      <c r="C1404" s="0" t="n">
        <v>435468</v>
      </c>
      <c r="D1404" s="0" t="s">
        <v>4691</v>
      </c>
      <c r="E1404" s="0" t="s">
        <v>4692</v>
      </c>
      <c r="F1404" s="0" t="s">
        <v>90</v>
      </c>
      <c r="G1404" s="0" t="s">
        <v>32</v>
      </c>
      <c r="H1404" s="0" t="n">
        <v>29</v>
      </c>
      <c r="I1404" s="0" t="s">
        <v>4696</v>
      </c>
      <c r="J1404" s="0" t="s">
        <v>4697</v>
      </c>
      <c r="K1404" s="0" t="s">
        <v>4698</v>
      </c>
      <c r="L1404" s="0" t="str">
        <f aca="false">HYPERLINK("https://www.ncbi.nlm.nih.gov/nuccore/CP000058.1?report=graph&amp;tracks=[key:gene_model_track,Options:GeneOnly]&amp;mk=435477:435496|offset_1|444444,435449:435468|offset_29|00cc00,435422:435441|offset_56|444444,435402:435421|offset_76|444444&amp;v=435276:435621&amp;c=444444", "offset 29")</f>
        <v>offset 29</v>
      </c>
    </row>
    <row r="1405" customFormat="false" ht="12.8" hidden="false" customHeight="false" outlineLevel="0" collapsed="false">
      <c r="A1405" s="0" t="s">
        <v>12</v>
      </c>
      <c r="B1405" s="0" t="n">
        <v>435421</v>
      </c>
      <c r="C1405" s="0" t="n">
        <v>435441</v>
      </c>
      <c r="D1405" s="0" t="s">
        <v>4691</v>
      </c>
      <c r="E1405" s="0" t="s">
        <v>4692</v>
      </c>
      <c r="F1405" s="0" t="s">
        <v>90</v>
      </c>
      <c r="G1405" s="0" t="s">
        <v>32</v>
      </c>
      <c r="H1405" s="0" t="n">
        <v>56</v>
      </c>
      <c r="I1405" s="0" t="s">
        <v>4699</v>
      </c>
      <c r="J1405" s="0" t="s">
        <v>4700</v>
      </c>
      <c r="K1405" s="0" t="s">
        <v>4701</v>
      </c>
      <c r="L1405" s="0" t="str">
        <f aca="false">HYPERLINK("https://www.ncbi.nlm.nih.gov/nuccore/CP000058.1?report=graph&amp;tracks=[key:gene_model_track,Options:GeneOnly]&amp;mk=435477:435496|offset_1|444444,435449:435468|offset_29|444444,435422:435441|offset_56|00cc00,435402:435421|offset_76|444444&amp;v=435276:435621&amp;c=444444", "offset 56")</f>
        <v>offset 56</v>
      </c>
    </row>
    <row r="1406" customFormat="false" ht="12.8" hidden="false" customHeight="false" outlineLevel="0" collapsed="false">
      <c r="A1406" s="0" t="s">
        <v>12</v>
      </c>
      <c r="B1406" s="0" t="n">
        <v>435401</v>
      </c>
      <c r="C1406" s="0" t="n">
        <v>435421</v>
      </c>
      <c r="D1406" s="0" t="s">
        <v>4691</v>
      </c>
      <c r="E1406" s="0" t="s">
        <v>4692</v>
      </c>
      <c r="F1406" s="0" t="s">
        <v>90</v>
      </c>
      <c r="G1406" s="0" t="s">
        <v>16</v>
      </c>
      <c r="H1406" s="0" t="n">
        <v>76</v>
      </c>
      <c r="I1406" s="0" t="s">
        <v>4702</v>
      </c>
      <c r="J1406" s="0" t="s">
        <v>4703</v>
      </c>
      <c r="K1406" s="0" t="s">
        <v>4704</v>
      </c>
      <c r="L1406" s="0" t="str">
        <f aca="false">HYPERLINK("https://www.ncbi.nlm.nih.gov/nuccore/CP000058.1?report=graph&amp;tracks=[key:gene_model_track,Options:GeneOnly]&amp;mk=435477:435496|offset_1|444444,435449:435468|offset_29|444444,435422:435441|offset_56|444444,435402:435421|offset_76|00cc00&amp;v=435276:435621&amp;c=444444", "offset 76")</f>
        <v>offset 76</v>
      </c>
    </row>
    <row r="1407" customFormat="false" ht="12.8" hidden="false" customHeight="false" outlineLevel="0" collapsed="false">
      <c r="A1407" s="0" t="s">
        <v>12</v>
      </c>
      <c r="B1407" s="0" t="n">
        <v>436074</v>
      </c>
      <c r="C1407" s="0" t="n">
        <v>436094</v>
      </c>
      <c r="D1407" s="0" t="s">
        <v>4705</v>
      </c>
      <c r="E1407" s="0" t="s">
        <v>4706</v>
      </c>
      <c r="F1407" s="0" t="s">
        <v>90</v>
      </c>
      <c r="G1407" s="0" t="s">
        <v>36</v>
      </c>
      <c r="H1407" s="0" t="n">
        <v>0</v>
      </c>
      <c r="I1407" s="0" t="s">
        <v>4707</v>
      </c>
      <c r="J1407" s="0" t="s">
        <v>4708</v>
      </c>
      <c r="K1407" s="0" t="s">
        <v>4709</v>
      </c>
      <c r="L1407" s="0" t="str">
        <f aca="false">HYPERLINK("https://www.ncbi.nlm.nih.gov/nuccore/CP000058.1?report=graph&amp;tracks=[key:gene_model_track,Options:GeneOnly]&amp;mk=436075:436094|offset_0|00cc00,436049:436068|offset_26|444444,436016:436035|offset_59|444444,435996:436015|offset_79|444444&amp;v=435874:436215&amp;c=444444", "offset 0")</f>
        <v>offset 0</v>
      </c>
    </row>
    <row r="1408" customFormat="false" ht="12.8" hidden="false" customHeight="false" outlineLevel="0" collapsed="false">
      <c r="A1408" s="0" t="s">
        <v>12</v>
      </c>
      <c r="B1408" s="0" t="n">
        <v>436048</v>
      </c>
      <c r="C1408" s="0" t="n">
        <v>436068</v>
      </c>
      <c r="D1408" s="0" t="s">
        <v>4705</v>
      </c>
      <c r="E1408" s="0" t="s">
        <v>4706</v>
      </c>
      <c r="F1408" s="0" t="s">
        <v>90</v>
      </c>
      <c r="G1408" s="0" t="s">
        <v>16</v>
      </c>
      <c r="H1408" s="0" t="n">
        <v>26</v>
      </c>
      <c r="I1408" s="0" t="s">
        <v>4710</v>
      </c>
      <c r="J1408" s="0" t="s">
        <v>4711</v>
      </c>
      <c r="K1408" s="0" t="s">
        <v>4712</v>
      </c>
      <c r="L1408" s="0" t="str">
        <f aca="false">HYPERLINK("https://www.ncbi.nlm.nih.gov/nuccore/CP000058.1?report=graph&amp;tracks=[key:gene_model_track,Options:GeneOnly]&amp;mk=436075:436094|offset_0|444444,436049:436068|offset_26|00cc00,436016:436035|offset_59|444444,435996:436015|offset_79|444444&amp;v=435874:436215&amp;c=444444", "offset 26")</f>
        <v>offset 26</v>
      </c>
    </row>
    <row r="1409" customFormat="false" ht="12.8" hidden="false" customHeight="false" outlineLevel="0" collapsed="false">
      <c r="A1409" s="0" t="s">
        <v>12</v>
      </c>
      <c r="B1409" s="0" t="n">
        <v>436015</v>
      </c>
      <c r="C1409" s="0" t="n">
        <v>436035</v>
      </c>
      <c r="D1409" s="0" t="s">
        <v>4705</v>
      </c>
      <c r="E1409" s="0" t="s">
        <v>4706</v>
      </c>
      <c r="F1409" s="0" t="s">
        <v>90</v>
      </c>
      <c r="G1409" s="0" t="s">
        <v>32</v>
      </c>
      <c r="H1409" s="0" t="n">
        <v>59</v>
      </c>
      <c r="I1409" s="0" t="s">
        <v>4713</v>
      </c>
      <c r="J1409" s="0" t="s">
        <v>4714</v>
      </c>
      <c r="K1409" s="0" t="s">
        <v>4715</v>
      </c>
      <c r="L1409" s="0" t="str">
        <f aca="false">HYPERLINK("https://www.ncbi.nlm.nih.gov/nuccore/CP000058.1?report=graph&amp;tracks=[key:gene_model_track,Options:GeneOnly]&amp;mk=436075:436094|offset_0|444444,436049:436068|offset_26|444444,436016:436035|offset_59|00cc00,435996:436015|offset_79|444444&amp;v=435874:436215&amp;c=444444", "offset 59")</f>
        <v>offset 59</v>
      </c>
    </row>
    <row r="1410" customFormat="false" ht="12.8" hidden="false" customHeight="false" outlineLevel="0" collapsed="false">
      <c r="A1410" s="0" t="s">
        <v>12</v>
      </c>
      <c r="B1410" s="0" t="n">
        <v>435995</v>
      </c>
      <c r="C1410" s="0" t="n">
        <v>436015</v>
      </c>
      <c r="D1410" s="0" t="s">
        <v>4705</v>
      </c>
      <c r="E1410" s="0" t="s">
        <v>4706</v>
      </c>
      <c r="F1410" s="0" t="s">
        <v>90</v>
      </c>
      <c r="G1410" s="0" t="s">
        <v>16</v>
      </c>
      <c r="H1410" s="0" t="n">
        <v>79</v>
      </c>
      <c r="I1410" s="0" t="s">
        <v>4716</v>
      </c>
      <c r="J1410" s="0" t="s">
        <v>4717</v>
      </c>
      <c r="K1410" s="0" t="s">
        <v>4718</v>
      </c>
      <c r="L1410" s="0" t="str">
        <f aca="false">HYPERLINK("https://www.ncbi.nlm.nih.gov/nuccore/CP000058.1?report=graph&amp;tracks=[key:gene_model_track,Options:GeneOnly]&amp;mk=436075:436094|offset_0|444444,436049:436068|offset_26|444444,436016:436035|offset_59|444444,435996:436015|offset_79|00cc00&amp;v=435874:436215&amp;c=444444", "offset 79")</f>
        <v>offset 79</v>
      </c>
    </row>
    <row r="1411" customFormat="false" ht="12.8" hidden="false" customHeight="false" outlineLevel="0" collapsed="false">
      <c r="A1411" s="0" t="s">
        <v>12</v>
      </c>
      <c r="B1411" s="0" t="n">
        <v>437122</v>
      </c>
      <c r="C1411" s="0" t="n">
        <v>437142</v>
      </c>
      <c r="D1411" s="0" t="s">
        <v>4719</v>
      </c>
      <c r="E1411" s="0" t="s">
        <v>75</v>
      </c>
      <c r="F1411" s="0" t="s">
        <v>90</v>
      </c>
      <c r="G1411" s="0" t="s">
        <v>16</v>
      </c>
      <c r="H1411" s="0" t="n">
        <v>24</v>
      </c>
      <c r="I1411" s="0" t="s">
        <v>4720</v>
      </c>
      <c r="J1411" s="0" t="s">
        <v>4721</v>
      </c>
      <c r="K1411" s="0" t="s">
        <v>4722</v>
      </c>
      <c r="L1411" s="0" t="str">
        <f aca="false">HYPERLINK("https://www.ncbi.nlm.nih.gov/nuccore/CP000058.1?report=graph&amp;tracks=[key:gene_model_track,Options:GeneOnly]&amp;mk=437123:437142|offset_24|00cc00,437100:437119|offset_47|444444,437075:437094|offset_72|444444,437038:437057|offset_109|444444&amp;v=436922:437257&amp;c=444444", "offset 24")</f>
        <v>offset 24</v>
      </c>
    </row>
    <row r="1412" customFormat="false" ht="12.8" hidden="false" customHeight="false" outlineLevel="0" collapsed="false">
      <c r="A1412" s="0" t="s">
        <v>12</v>
      </c>
      <c r="B1412" s="0" t="n">
        <v>437099</v>
      </c>
      <c r="C1412" s="0" t="n">
        <v>437119</v>
      </c>
      <c r="D1412" s="0" t="s">
        <v>4719</v>
      </c>
      <c r="E1412" s="0" t="s">
        <v>75</v>
      </c>
      <c r="F1412" s="0" t="s">
        <v>90</v>
      </c>
      <c r="G1412" s="0" t="s">
        <v>16</v>
      </c>
      <c r="H1412" s="0" t="n">
        <v>47</v>
      </c>
      <c r="I1412" s="0" t="s">
        <v>4723</v>
      </c>
      <c r="J1412" s="0" t="s">
        <v>4724</v>
      </c>
      <c r="K1412" s="0" t="s">
        <v>4725</v>
      </c>
      <c r="L1412" s="0" t="str">
        <f aca="false">HYPERLINK("https://www.ncbi.nlm.nih.gov/nuccore/CP000058.1?report=graph&amp;tracks=[key:gene_model_track,Options:GeneOnly]&amp;mk=437123:437142|offset_24|444444,437100:437119|offset_47|00cc00,437075:437094|offset_72|444444,437038:437057|offset_109|444444&amp;v=436922:437257&amp;c=444444", "offset 47")</f>
        <v>offset 47</v>
      </c>
    </row>
    <row r="1413" customFormat="false" ht="12.8" hidden="false" customHeight="false" outlineLevel="0" collapsed="false">
      <c r="A1413" s="0" t="s">
        <v>12</v>
      </c>
      <c r="B1413" s="0" t="n">
        <v>437074</v>
      </c>
      <c r="C1413" s="0" t="n">
        <v>437094</v>
      </c>
      <c r="D1413" s="0" t="s">
        <v>4719</v>
      </c>
      <c r="E1413" s="0" t="s">
        <v>75</v>
      </c>
      <c r="F1413" s="0" t="s">
        <v>90</v>
      </c>
      <c r="G1413" s="0" t="s">
        <v>16</v>
      </c>
      <c r="H1413" s="0" t="n">
        <v>72</v>
      </c>
      <c r="I1413" s="0" t="s">
        <v>4726</v>
      </c>
      <c r="J1413" s="0" t="s">
        <v>4727</v>
      </c>
      <c r="K1413" s="0" t="s">
        <v>4728</v>
      </c>
      <c r="L1413" s="0" t="str">
        <f aca="false">HYPERLINK("https://www.ncbi.nlm.nih.gov/nuccore/CP000058.1?report=graph&amp;tracks=[key:gene_model_track,Options:GeneOnly]&amp;mk=437123:437142|offset_24|444444,437100:437119|offset_47|444444,437075:437094|offset_72|00cc00,437038:437057|offset_109|444444&amp;v=436922:437257&amp;c=444444", "offset 72")</f>
        <v>offset 72</v>
      </c>
    </row>
    <row r="1414" customFormat="false" ht="12.8" hidden="false" customHeight="false" outlineLevel="0" collapsed="false">
      <c r="A1414" s="0" t="s">
        <v>12</v>
      </c>
      <c r="B1414" s="0" t="n">
        <v>437037</v>
      </c>
      <c r="C1414" s="0" t="n">
        <v>437057</v>
      </c>
      <c r="D1414" s="0" t="s">
        <v>4719</v>
      </c>
      <c r="E1414" s="0" t="s">
        <v>75</v>
      </c>
      <c r="F1414" s="0" t="s">
        <v>90</v>
      </c>
      <c r="G1414" s="0" t="s">
        <v>16</v>
      </c>
      <c r="H1414" s="0" t="n">
        <v>109</v>
      </c>
      <c r="I1414" s="0" t="s">
        <v>4729</v>
      </c>
      <c r="J1414" s="0" t="s">
        <v>4730</v>
      </c>
      <c r="K1414" s="0" t="s">
        <v>4731</v>
      </c>
      <c r="L1414" s="0" t="str">
        <f aca="false">HYPERLINK("https://www.ncbi.nlm.nih.gov/nuccore/CP000058.1?report=graph&amp;tracks=[key:gene_model_track,Options:GeneOnly]&amp;mk=437123:437142|offset_24|444444,437100:437119|offset_47|444444,437075:437094|offset_72|444444,437038:437057|offset_109|00cc00&amp;v=436922:437257&amp;c=444444", "offset 109")</f>
        <v>offset 109</v>
      </c>
    </row>
    <row r="1415" customFormat="false" ht="12.8" hidden="false" customHeight="false" outlineLevel="0" collapsed="false">
      <c r="A1415" s="0" t="s">
        <v>12</v>
      </c>
      <c r="B1415" s="0" t="n">
        <v>438871</v>
      </c>
      <c r="C1415" s="0" t="n">
        <v>438891</v>
      </c>
      <c r="D1415" s="0" t="s">
        <v>4732</v>
      </c>
      <c r="E1415" s="0" t="s">
        <v>4733</v>
      </c>
      <c r="F1415" s="0" t="s">
        <v>90</v>
      </c>
      <c r="G1415" s="0" t="s">
        <v>32</v>
      </c>
      <c r="H1415" s="0" t="n">
        <v>13</v>
      </c>
      <c r="I1415" s="0" t="s">
        <v>4734</v>
      </c>
      <c r="J1415" s="0" t="s">
        <v>4735</v>
      </c>
      <c r="K1415" s="0" t="s">
        <v>4736</v>
      </c>
      <c r="L1415" s="0" t="str">
        <f aca="false">HYPERLINK("https://www.ncbi.nlm.nih.gov/nuccore/CP000058.1?report=graph&amp;tracks=[key:gene_model_track,Options:GeneOnly]&amp;mk=438872:438891|offset_13|00cc00,438848:438867|offset_37|444444,438816:438835|offset_69|444444,438779:438798|offset_106|444444&amp;v=438671:438998&amp;c=444444", "offset 13")</f>
        <v>offset 13</v>
      </c>
    </row>
    <row r="1416" customFormat="false" ht="12.8" hidden="false" customHeight="false" outlineLevel="0" collapsed="false">
      <c r="A1416" s="0" t="s">
        <v>12</v>
      </c>
      <c r="B1416" s="0" t="n">
        <v>438847</v>
      </c>
      <c r="C1416" s="0" t="n">
        <v>438867</v>
      </c>
      <c r="D1416" s="0" t="s">
        <v>4732</v>
      </c>
      <c r="E1416" s="0" t="s">
        <v>4733</v>
      </c>
      <c r="F1416" s="0" t="s">
        <v>90</v>
      </c>
      <c r="G1416" s="0" t="s">
        <v>36</v>
      </c>
      <c r="H1416" s="0" t="n">
        <v>37</v>
      </c>
      <c r="I1416" s="0" t="s">
        <v>4737</v>
      </c>
      <c r="J1416" s="0" t="s">
        <v>4738</v>
      </c>
      <c r="K1416" s="0" t="s">
        <v>4739</v>
      </c>
      <c r="L1416" s="0" t="str">
        <f aca="false">HYPERLINK("https://www.ncbi.nlm.nih.gov/nuccore/CP000058.1?report=graph&amp;tracks=[key:gene_model_track,Options:GeneOnly]&amp;mk=438872:438891|offset_13|444444,438848:438867|offset_37|00cc00,438816:438835|offset_69|444444,438779:438798|offset_106|444444&amp;v=438671:438998&amp;c=444444", "offset 37")</f>
        <v>offset 37</v>
      </c>
    </row>
    <row r="1417" customFormat="false" ht="12.8" hidden="false" customHeight="false" outlineLevel="0" collapsed="false">
      <c r="A1417" s="0" t="s">
        <v>12</v>
      </c>
      <c r="B1417" s="0" t="n">
        <v>438815</v>
      </c>
      <c r="C1417" s="0" t="n">
        <v>438835</v>
      </c>
      <c r="D1417" s="0" t="s">
        <v>4732</v>
      </c>
      <c r="E1417" s="0" t="s">
        <v>4733</v>
      </c>
      <c r="F1417" s="0" t="s">
        <v>90</v>
      </c>
      <c r="G1417" s="0" t="s">
        <v>32</v>
      </c>
      <c r="H1417" s="0" t="n">
        <v>69</v>
      </c>
      <c r="I1417" s="0" t="s">
        <v>4740</v>
      </c>
      <c r="J1417" s="0" t="s">
        <v>4741</v>
      </c>
      <c r="K1417" s="0" t="s">
        <v>4742</v>
      </c>
      <c r="L1417" s="0" t="str">
        <f aca="false">HYPERLINK("https://www.ncbi.nlm.nih.gov/nuccore/CP000058.1?report=graph&amp;tracks=[key:gene_model_track,Options:GeneOnly]&amp;mk=438872:438891|offset_13|444444,438848:438867|offset_37|444444,438816:438835|offset_69|00cc00,438779:438798|offset_106|444444&amp;v=438671:438998&amp;c=444444", "offset 69")</f>
        <v>offset 69</v>
      </c>
    </row>
    <row r="1418" customFormat="false" ht="12.8" hidden="false" customHeight="false" outlineLevel="0" collapsed="false">
      <c r="A1418" s="0" t="s">
        <v>12</v>
      </c>
      <c r="B1418" s="0" t="n">
        <v>438778</v>
      </c>
      <c r="C1418" s="0" t="n">
        <v>438798</v>
      </c>
      <c r="D1418" s="0" t="s">
        <v>4732</v>
      </c>
      <c r="E1418" s="0" t="s">
        <v>4733</v>
      </c>
      <c r="F1418" s="0" t="s">
        <v>90</v>
      </c>
      <c r="G1418" s="0" t="s">
        <v>36</v>
      </c>
      <c r="H1418" s="0" t="n">
        <v>106</v>
      </c>
      <c r="I1418" s="0" t="s">
        <v>4743</v>
      </c>
      <c r="J1418" s="0" t="s">
        <v>4744</v>
      </c>
      <c r="K1418" s="0" t="s">
        <v>4745</v>
      </c>
      <c r="L1418" s="0" t="str">
        <f aca="false">HYPERLINK("https://www.ncbi.nlm.nih.gov/nuccore/CP000058.1?report=graph&amp;tracks=[key:gene_model_track,Options:GeneOnly]&amp;mk=438872:438891|offset_13|444444,438848:438867|offset_37|444444,438816:438835|offset_69|444444,438779:438798|offset_106|00cc00&amp;v=438671:438998&amp;c=444444", "offset 106")</f>
        <v>offset 106</v>
      </c>
    </row>
    <row r="1419" customFormat="false" ht="12.8" hidden="false" customHeight="false" outlineLevel="0" collapsed="false">
      <c r="A1419" s="0" t="s">
        <v>12</v>
      </c>
      <c r="B1419" s="0" t="n">
        <v>441195</v>
      </c>
      <c r="C1419" s="0" t="n">
        <v>441215</v>
      </c>
      <c r="D1419" s="0" t="s">
        <v>4746</v>
      </c>
      <c r="E1419" s="0" t="s">
        <v>4747</v>
      </c>
      <c r="F1419" s="0" t="s">
        <v>90</v>
      </c>
      <c r="G1419" s="0" t="s">
        <v>36</v>
      </c>
      <c r="H1419" s="0" t="n">
        <v>6</v>
      </c>
      <c r="I1419" s="0" t="s">
        <v>4748</v>
      </c>
      <c r="J1419" s="0" t="s">
        <v>4749</v>
      </c>
      <c r="K1419" s="0" t="s">
        <v>4750</v>
      </c>
      <c r="L1419" s="0" t="str">
        <f aca="false">HYPERLINK("https://www.ncbi.nlm.nih.gov/nuccore/CP000058.1?report=graph&amp;tracks=[key:gene_model_track,Options:GeneOnly]&amp;mk=441196:441215|offset_6|00cc00,441174:441193|offset_28|444444,441152:441171|offset_50|444444,441111:441130|offset_91|444444&amp;v=440995:441330&amp;c=444444", "offset 6")</f>
        <v>offset 6</v>
      </c>
    </row>
    <row r="1420" customFormat="false" ht="12.8" hidden="false" customHeight="false" outlineLevel="0" collapsed="false">
      <c r="A1420" s="0" t="s">
        <v>12</v>
      </c>
      <c r="B1420" s="0" t="n">
        <v>441173</v>
      </c>
      <c r="C1420" s="0" t="n">
        <v>441193</v>
      </c>
      <c r="D1420" s="0" t="s">
        <v>4746</v>
      </c>
      <c r="E1420" s="0" t="s">
        <v>4747</v>
      </c>
      <c r="F1420" s="0" t="s">
        <v>90</v>
      </c>
      <c r="G1420" s="0" t="s">
        <v>36</v>
      </c>
      <c r="H1420" s="0" t="n">
        <v>28</v>
      </c>
      <c r="I1420" s="0" t="s">
        <v>4751</v>
      </c>
      <c r="J1420" s="0" t="s">
        <v>4752</v>
      </c>
      <c r="K1420" s="0" t="s">
        <v>4753</v>
      </c>
      <c r="L1420" s="0" t="str">
        <f aca="false">HYPERLINK("https://www.ncbi.nlm.nih.gov/nuccore/CP000058.1?report=graph&amp;tracks=[key:gene_model_track,Options:GeneOnly]&amp;mk=441196:441215|offset_6|444444,441174:441193|offset_28|00cc00,441152:441171|offset_50|444444,441111:441130|offset_91|444444&amp;v=440995:441330&amp;c=444444", "offset 28")</f>
        <v>offset 28</v>
      </c>
    </row>
    <row r="1421" customFormat="false" ht="12.8" hidden="false" customHeight="false" outlineLevel="0" collapsed="false">
      <c r="A1421" s="0" t="s">
        <v>12</v>
      </c>
      <c r="B1421" s="0" t="n">
        <v>441151</v>
      </c>
      <c r="C1421" s="0" t="n">
        <v>441171</v>
      </c>
      <c r="D1421" s="0" t="s">
        <v>4746</v>
      </c>
      <c r="E1421" s="0" t="s">
        <v>4747</v>
      </c>
      <c r="F1421" s="0" t="s">
        <v>90</v>
      </c>
      <c r="G1421" s="0" t="s">
        <v>20</v>
      </c>
      <c r="H1421" s="0" t="n">
        <v>50</v>
      </c>
      <c r="I1421" s="0" t="s">
        <v>4754</v>
      </c>
      <c r="J1421" s="0" t="s">
        <v>4755</v>
      </c>
      <c r="K1421" s="0" t="s">
        <v>4756</v>
      </c>
      <c r="L1421" s="0" t="str">
        <f aca="false">HYPERLINK("https://www.ncbi.nlm.nih.gov/nuccore/CP000058.1?report=graph&amp;tracks=[key:gene_model_track,Options:GeneOnly]&amp;mk=441196:441215|offset_6|444444,441174:441193|offset_28|444444,441152:441171|offset_50|00cc00,441111:441130|offset_91|444444&amp;v=440995:441330&amp;c=444444", "offset 50")</f>
        <v>offset 50</v>
      </c>
    </row>
    <row r="1422" customFormat="false" ht="12.8" hidden="false" customHeight="false" outlineLevel="0" collapsed="false">
      <c r="A1422" s="0" t="s">
        <v>12</v>
      </c>
      <c r="B1422" s="0" t="n">
        <v>441110</v>
      </c>
      <c r="C1422" s="0" t="n">
        <v>441130</v>
      </c>
      <c r="D1422" s="0" t="s">
        <v>4746</v>
      </c>
      <c r="E1422" s="0" t="s">
        <v>4747</v>
      </c>
      <c r="F1422" s="0" t="s">
        <v>90</v>
      </c>
      <c r="G1422" s="0" t="s">
        <v>36</v>
      </c>
      <c r="H1422" s="0" t="n">
        <v>91</v>
      </c>
      <c r="I1422" s="0" t="s">
        <v>4757</v>
      </c>
      <c r="J1422" s="0" t="s">
        <v>4758</v>
      </c>
      <c r="K1422" s="0" t="s">
        <v>4759</v>
      </c>
      <c r="L1422" s="0" t="str">
        <f aca="false">HYPERLINK("https://www.ncbi.nlm.nih.gov/nuccore/CP000058.1?report=graph&amp;tracks=[key:gene_model_track,Options:GeneOnly]&amp;mk=441196:441215|offset_6|444444,441174:441193|offset_28|444444,441152:441171|offset_50|444444,441111:441130|offset_91|00cc00&amp;v=440995:441330&amp;c=444444", "offset 91")</f>
        <v>offset 91</v>
      </c>
    </row>
    <row r="1423" customFormat="false" ht="12.8" hidden="false" customHeight="false" outlineLevel="0" collapsed="false">
      <c r="A1423" s="0" t="s">
        <v>12</v>
      </c>
      <c r="B1423" s="0" t="n">
        <v>441390</v>
      </c>
      <c r="C1423" s="0" t="n">
        <v>441410</v>
      </c>
      <c r="D1423" s="0" t="s">
        <v>4760</v>
      </c>
      <c r="E1423" s="0" t="s">
        <v>4761</v>
      </c>
      <c r="F1423" s="0" t="s">
        <v>15</v>
      </c>
      <c r="G1423" s="0" t="s">
        <v>16</v>
      </c>
      <c r="H1423" s="0" t="n">
        <v>0</v>
      </c>
      <c r="I1423" s="0" t="s">
        <v>4762</v>
      </c>
      <c r="J1423" s="0" t="s">
        <v>4763</v>
      </c>
      <c r="K1423" s="0" t="s">
        <v>4764</v>
      </c>
      <c r="L1423" s="0" t="str">
        <f aca="false">HYPERLINK("https://www.ncbi.nlm.nih.gov/nuccore/CP000058.1?report=graph&amp;tracks=[key:gene_model_track,Options:GeneOnly]&amp;mk=441391:441410|offset_0|00cc00,441412:441431|offset_21|444444,441437:441456|offset_46|444444,441464:441483|offset_73|444444&amp;v=441190:441683&amp;c=444444", "offset 0")</f>
        <v>offset 0</v>
      </c>
    </row>
    <row r="1424" customFormat="false" ht="12.8" hidden="false" customHeight="false" outlineLevel="0" collapsed="false">
      <c r="A1424" s="0" t="s">
        <v>12</v>
      </c>
      <c r="B1424" s="0" t="n">
        <v>441411</v>
      </c>
      <c r="C1424" s="0" t="n">
        <v>441431</v>
      </c>
      <c r="D1424" s="0" t="s">
        <v>4760</v>
      </c>
      <c r="E1424" s="0" t="s">
        <v>4761</v>
      </c>
      <c r="F1424" s="0" t="s">
        <v>15</v>
      </c>
      <c r="G1424" s="0" t="s">
        <v>32</v>
      </c>
      <c r="H1424" s="0" t="n">
        <v>21</v>
      </c>
      <c r="I1424" s="0" t="s">
        <v>4765</v>
      </c>
      <c r="J1424" s="0" t="s">
        <v>4766</v>
      </c>
      <c r="K1424" s="0" t="s">
        <v>4767</v>
      </c>
      <c r="L1424" s="0" t="str">
        <f aca="false">HYPERLINK("https://www.ncbi.nlm.nih.gov/nuccore/CP000058.1?report=graph&amp;tracks=[key:gene_model_track,Options:GeneOnly]&amp;mk=441391:441410|offset_0|444444,441412:441431|offset_21|00cc00,441437:441456|offset_46|444444,441464:441483|offset_73|444444&amp;v=441190:441683&amp;c=444444", "offset 21")</f>
        <v>offset 21</v>
      </c>
    </row>
    <row r="1425" customFormat="false" ht="12.8" hidden="false" customHeight="false" outlineLevel="0" collapsed="false">
      <c r="A1425" s="0" t="s">
        <v>12</v>
      </c>
      <c r="B1425" s="0" t="n">
        <v>441436</v>
      </c>
      <c r="C1425" s="0" t="n">
        <v>441456</v>
      </c>
      <c r="D1425" s="0" t="s">
        <v>4760</v>
      </c>
      <c r="E1425" s="0" t="s">
        <v>4761</v>
      </c>
      <c r="F1425" s="0" t="s">
        <v>15</v>
      </c>
      <c r="G1425" s="0" t="s">
        <v>20</v>
      </c>
      <c r="H1425" s="0" t="n">
        <v>46</v>
      </c>
      <c r="I1425" s="0" t="s">
        <v>4768</v>
      </c>
      <c r="J1425" s="0" t="s">
        <v>4769</v>
      </c>
      <c r="K1425" s="0" t="s">
        <v>4770</v>
      </c>
      <c r="L1425" s="0" t="str">
        <f aca="false">HYPERLINK("https://www.ncbi.nlm.nih.gov/nuccore/CP000058.1?report=graph&amp;tracks=[key:gene_model_track,Options:GeneOnly]&amp;mk=441391:441410|offset_0|444444,441412:441431|offset_21|444444,441437:441456|offset_46|00cc00,441464:441483|offset_73|444444&amp;v=441190:441683&amp;c=444444", "offset 46")</f>
        <v>offset 46</v>
      </c>
    </row>
    <row r="1426" customFormat="false" ht="12.8" hidden="false" customHeight="false" outlineLevel="0" collapsed="false">
      <c r="A1426" s="0" t="s">
        <v>12</v>
      </c>
      <c r="B1426" s="0" t="n">
        <v>441463</v>
      </c>
      <c r="C1426" s="0" t="n">
        <v>441483</v>
      </c>
      <c r="D1426" s="0" t="s">
        <v>4760</v>
      </c>
      <c r="E1426" s="0" t="s">
        <v>4761</v>
      </c>
      <c r="F1426" s="0" t="s">
        <v>15</v>
      </c>
      <c r="G1426" s="0" t="s">
        <v>36</v>
      </c>
      <c r="H1426" s="0" t="n">
        <v>73</v>
      </c>
      <c r="I1426" s="0" t="s">
        <v>4771</v>
      </c>
      <c r="J1426" s="0" t="s">
        <v>4772</v>
      </c>
      <c r="K1426" s="0" t="s">
        <v>4773</v>
      </c>
      <c r="L1426" s="0" t="str">
        <f aca="false">HYPERLINK("https://www.ncbi.nlm.nih.gov/nuccore/CP000058.1?report=graph&amp;tracks=[key:gene_model_track,Options:GeneOnly]&amp;mk=441391:441410|offset_0|444444,441412:441431|offset_21|444444,441437:441456|offset_46|444444,441464:441483|offset_73|00cc00&amp;v=441190:441683&amp;c=444444", "offset 73")</f>
        <v>offset 73</v>
      </c>
    </row>
    <row r="1427" customFormat="false" ht="12.8" hidden="false" customHeight="false" outlineLevel="0" collapsed="false">
      <c r="A1427" s="0" t="s">
        <v>12</v>
      </c>
      <c r="B1427" s="0" t="n">
        <v>441682</v>
      </c>
      <c r="C1427" s="0" t="n">
        <v>441702</v>
      </c>
      <c r="D1427" s="0" t="s">
        <v>4774</v>
      </c>
      <c r="E1427" s="0" t="s">
        <v>75</v>
      </c>
      <c r="F1427" s="0" t="s">
        <v>15</v>
      </c>
      <c r="G1427" s="0" t="s">
        <v>36</v>
      </c>
      <c r="H1427" s="0" t="n">
        <v>6</v>
      </c>
      <c r="I1427" s="0" t="s">
        <v>4775</v>
      </c>
      <c r="J1427" s="0" t="s">
        <v>4776</v>
      </c>
      <c r="K1427" s="0" t="s">
        <v>4777</v>
      </c>
      <c r="L1427" s="0" t="str">
        <f aca="false">HYPERLINK("https://www.ncbi.nlm.nih.gov/nuccore/CP000058.1?report=graph&amp;tracks=[key:gene_model_track,Options:GeneOnly]&amp;mk=441683:441702|offset_6|00cc00,441711:441730|offset_34|444444,441737:441756|offset_60|444444,441824:441843|offset_147|444444&amp;v=441482:442043&amp;c=444444", "offset 6")</f>
        <v>offset 6</v>
      </c>
    </row>
    <row r="1428" customFormat="false" ht="12.8" hidden="false" customHeight="false" outlineLevel="0" collapsed="false">
      <c r="A1428" s="0" t="s">
        <v>12</v>
      </c>
      <c r="B1428" s="0" t="n">
        <v>441710</v>
      </c>
      <c r="C1428" s="0" t="n">
        <v>441730</v>
      </c>
      <c r="D1428" s="0" t="s">
        <v>4774</v>
      </c>
      <c r="E1428" s="0" t="s">
        <v>75</v>
      </c>
      <c r="F1428" s="0" t="s">
        <v>15</v>
      </c>
      <c r="G1428" s="0" t="s">
        <v>20</v>
      </c>
      <c r="H1428" s="0" t="n">
        <v>34</v>
      </c>
      <c r="I1428" s="0" t="s">
        <v>4778</v>
      </c>
      <c r="J1428" s="0" t="s">
        <v>4779</v>
      </c>
      <c r="K1428" s="0" t="s">
        <v>4780</v>
      </c>
      <c r="L1428" s="0" t="str">
        <f aca="false">HYPERLINK("https://www.ncbi.nlm.nih.gov/nuccore/CP000058.1?report=graph&amp;tracks=[key:gene_model_track,Options:GeneOnly]&amp;mk=441683:441702|offset_6|444444,441711:441730|offset_34|00cc00,441737:441756|offset_60|444444,441824:441843|offset_147|444444&amp;v=441482:442043&amp;c=444444", "offset 34")</f>
        <v>offset 34</v>
      </c>
    </row>
    <row r="1429" customFormat="false" ht="12.8" hidden="false" customHeight="false" outlineLevel="0" collapsed="false">
      <c r="A1429" s="0" t="s">
        <v>12</v>
      </c>
      <c r="B1429" s="0" t="n">
        <v>441736</v>
      </c>
      <c r="C1429" s="0" t="n">
        <v>441756</v>
      </c>
      <c r="D1429" s="0" t="s">
        <v>4774</v>
      </c>
      <c r="E1429" s="0" t="s">
        <v>75</v>
      </c>
      <c r="F1429" s="0" t="s">
        <v>15</v>
      </c>
      <c r="G1429" s="0" t="s">
        <v>16</v>
      </c>
      <c r="H1429" s="0" t="n">
        <v>60</v>
      </c>
      <c r="I1429" s="0" t="s">
        <v>4781</v>
      </c>
      <c r="J1429" s="0" t="s">
        <v>4782</v>
      </c>
      <c r="K1429" s="0" t="s">
        <v>4783</v>
      </c>
      <c r="L1429" s="0" t="str">
        <f aca="false">HYPERLINK("https://www.ncbi.nlm.nih.gov/nuccore/CP000058.1?report=graph&amp;tracks=[key:gene_model_track,Options:GeneOnly]&amp;mk=441683:441702|offset_6|444444,441711:441730|offset_34|444444,441737:441756|offset_60|00cc00,441824:441843|offset_147|444444&amp;v=441482:442043&amp;c=444444", "offset 60")</f>
        <v>offset 60</v>
      </c>
    </row>
    <row r="1430" customFormat="false" ht="12.8" hidden="false" customHeight="false" outlineLevel="0" collapsed="false">
      <c r="A1430" s="0" t="s">
        <v>12</v>
      </c>
      <c r="B1430" s="0" t="n">
        <v>441823</v>
      </c>
      <c r="C1430" s="0" t="n">
        <v>441843</v>
      </c>
      <c r="D1430" s="0" t="s">
        <v>4774</v>
      </c>
      <c r="E1430" s="0" t="s">
        <v>75</v>
      </c>
      <c r="F1430" s="0" t="s">
        <v>15</v>
      </c>
      <c r="G1430" s="0" t="s">
        <v>20</v>
      </c>
      <c r="H1430" s="0" t="n">
        <v>147</v>
      </c>
      <c r="I1430" s="0" t="s">
        <v>4784</v>
      </c>
      <c r="J1430" s="0" t="s">
        <v>4785</v>
      </c>
      <c r="K1430" s="0" t="s">
        <v>4786</v>
      </c>
      <c r="L1430" s="0" t="str">
        <f aca="false">HYPERLINK("https://www.ncbi.nlm.nih.gov/nuccore/CP000058.1?report=graph&amp;tracks=[key:gene_model_track,Options:GeneOnly]&amp;mk=441683:441702|offset_6|444444,441711:441730|offset_34|444444,441737:441756|offset_60|444444,441824:441843|offset_147|00cc00&amp;v=441482:442043&amp;c=444444", "offset 147")</f>
        <v>offset 147</v>
      </c>
    </row>
    <row r="1431" customFormat="false" ht="12.8" hidden="false" customHeight="false" outlineLevel="0" collapsed="false">
      <c r="A1431" s="0" t="s">
        <v>12</v>
      </c>
      <c r="B1431" s="0" t="n">
        <v>442437</v>
      </c>
      <c r="C1431" s="0" t="n">
        <v>442457</v>
      </c>
      <c r="D1431" s="0" t="s">
        <v>4787</v>
      </c>
      <c r="E1431" s="0" t="s">
        <v>4788</v>
      </c>
      <c r="F1431" s="0" t="s">
        <v>15</v>
      </c>
      <c r="G1431" s="0" t="s">
        <v>16</v>
      </c>
      <c r="H1431" s="0" t="n">
        <v>22</v>
      </c>
      <c r="I1431" s="0" t="s">
        <v>4789</v>
      </c>
      <c r="J1431" s="0" t="s">
        <v>4790</v>
      </c>
      <c r="K1431" s="0" t="s">
        <v>4791</v>
      </c>
      <c r="L1431" s="0" t="str">
        <f aca="false">HYPERLINK("https://www.ncbi.nlm.nih.gov/nuccore/CP000058.1?report=graph&amp;tracks=[key:gene_model_track,Options:GeneOnly]&amp;mk=442438:442457|offset_22|00cc00,442461:442480|offset_45|444444,442492:442511|offset_76|444444,442517:442536|offset_101|444444&amp;v=442237:442736&amp;c=444444", "offset 22")</f>
        <v>offset 22</v>
      </c>
    </row>
    <row r="1432" customFormat="false" ht="12.8" hidden="false" customHeight="false" outlineLevel="0" collapsed="false">
      <c r="A1432" s="0" t="s">
        <v>12</v>
      </c>
      <c r="B1432" s="0" t="n">
        <v>442460</v>
      </c>
      <c r="C1432" s="0" t="n">
        <v>442480</v>
      </c>
      <c r="D1432" s="0" t="s">
        <v>4787</v>
      </c>
      <c r="E1432" s="0" t="s">
        <v>4788</v>
      </c>
      <c r="F1432" s="0" t="s">
        <v>15</v>
      </c>
      <c r="G1432" s="0" t="s">
        <v>20</v>
      </c>
      <c r="H1432" s="0" t="n">
        <v>45</v>
      </c>
      <c r="I1432" s="0" t="s">
        <v>4792</v>
      </c>
      <c r="J1432" s="0" t="s">
        <v>4793</v>
      </c>
      <c r="K1432" s="0" t="s">
        <v>4794</v>
      </c>
      <c r="L1432" s="0" t="str">
        <f aca="false">HYPERLINK("https://www.ncbi.nlm.nih.gov/nuccore/CP000058.1?report=graph&amp;tracks=[key:gene_model_track,Options:GeneOnly]&amp;mk=442438:442457|offset_22|444444,442461:442480|offset_45|00cc00,442492:442511|offset_76|444444,442517:442536|offset_101|444444&amp;v=442237:442736&amp;c=444444", "offset 45")</f>
        <v>offset 45</v>
      </c>
    </row>
    <row r="1433" customFormat="false" ht="12.8" hidden="false" customHeight="false" outlineLevel="0" collapsed="false">
      <c r="A1433" s="0" t="s">
        <v>12</v>
      </c>
      <c r="B1433" s="0" t="n">
        <v>442491</v>
      </c>
      <c r="C1433" s="0" t="n">
        <v>442511</v>
      </c>
      <c r="D1433" s="0" t="s">
        <v>4787</v>
      </c>
      <c r="E1433" s="0" t="s">
        <v>4788</v>
      </c>
      <c r="F1433" s="0" t="s">
        <v>15</v>
      </c>
      <c r="G1433" s="0" t="s">
        <v>32</v>
      </c>
      <c r="H1433" s="0" t="n">
        <v>76</v>
      </c>
      <c r="I1433" s="0" t="s">
        <v>4795</v>
      </c>
      <c r="J1433" s="0" t="s">
        <v>4796</v>
      </c>
      <c r="K1433" s="0" t="s">
        <v>4797</v>
      </c>
      <c r="L1433" s="0" t="str">
        <f aca="false">HYPERLINK("https://www.ncbi.nlm.nih.gov/nuccore/CP000058.1?report=graph&amp;tracks=[key:gene_model_track,Options:GeneOnly]&amp;mk=442438:442457|offset_22|444444,442461:442480|offset_45|444444,442492:442511|offset_76|00cc00,442517:442536|offset_101|444444&amp;v=442237:442736&amp;c=444444", "offset 76")</f>
        <v>offset 76</v>
      </c>
    </row>
    <row r="1434" customFormat="false" ht="12.8" hidden="false" customHeight="false" outlineLevel="0" collapsed="false">
      <c r="A1434" s="0" t="s">
        <v>12</v>
      </c>
      <c r="B1434" s="0" t="n">
        <v>442516</v>
      </c>
      <c r="C1434" s="0" t="n">
        <v>442536</v>
      </c>
      <c r="D1434" s="0" t="s">
        <v>4787</v>
      </c>
      <c r="E1434" s="0" t="s">
        <v>4788</v>
      </c>
      <c r="F1434" s="0" t="s">
        <v>15</v>
      </c>
      <c r="G1434" s="0" t="s">
        <v>20</v>
      </c>
      <c r="H1434" s="0" t="n">
        <v>101</v>
      </c>
      <c r="I1434" s="0" t="s">
        <v>4798</v>
      </c>
      <c r="J1434" s="0" t="s">
        <v>4799</v>
      </c>
      <c r="K1434" s="0" t="s">
        <v>4800</v>
      </c>
      <c r="L1434" s="0" t="str">
        <f aca="false">HYPERLINK("https://www.ncbi.nlm.nih.gov/nuccore/CP000058.1?report=graph&amp;tracks=[key:gene_model_track,Options:GeneOnly]&amp;mk=442438:442457|offset_22|444444,442461:442480|offset_45|444444,442492:442511|offset_76|444444,442517:442536|offset_101|00cc00&amp;v=442237:442736&amp;c=444444", "offset 101")</f>
        <v>offset 101</v>
      </c>
    </row>
    <row r="1435" customFormat="false" ht="12.8" hidden="false" customHeight="false" outlineLevel="0" collapsed="false">
      <c r="A1435" s="0" t="s">
        <v>12</v>
      </c>
      <c r="B1435" s="0" t="n">
        <v>446712</v>
      </c>
      <c r="C1435" s="0" t="n">
        <v>446732</v>
      </c>
      <c r="D1435" s="0" t="s">
        <v>4801</v>
      </c>
      <c r="E1435" s="0" t="s">
        <v>75</v>
      </c>
      <c r="F1435" s="0" t="s">
        <v>90</v>
      </c>
      <c r="G1435" s="0" t="s">
        <v>20</v>
      </c>
      <c r="H1435" s="0" t="n">
        <v>1</v>
      </c>
      <c r="I1435" s="0" t="s">
        <v>4802</v>
      </c>
      <c r="J1435" s="0" t="s">
        <v>4803</v>
      </c>
      <c r="K1435" s="0" t="s">
        <v>4804</v>
      </c>
      <c r="L1435" s="0" t="str">
        <f aca="false">HYPERLINK("https://www.ncbi.nlm.nih.gov/nuccore/CP000058.1?report=graph&amp;tracks=[key:gene_model_track,Options:GeneOnly]&amp;mk=446713:446732|offset_1|00cc00,446680:446699|offset_34|444444,446646:446665|offset_68|444444,446625:446644|offset_89|444444&amp;v=446512:446844&amp;c=444444", "offset 1")</f>
        <v>offset 1</v>
      </c>
    </row>
    <row r="1436" customFormat="false" ht="12.8" hidden="false" customHeight="false" outlineLevel="0" collapsed="false">
      <c r="A1436" s="0" t="s">
        <v>12</v>
      </c>
      <c r="B1436" s="0" t="n">
        <v>446679</v>
      </c>
      <c r="C1436" s="0" t="n">
        <v>446699</v>
      </c>
      <c r="D1436" s="0" t="s">
        <v>4801</v>
      </c>
      <c r="E1436" s="0" t="s">
        <v>75</v>
      </c>
      <c r="F1436" s="0" t="s">
        <v>90</v>
      </c>
      <c r="G1436" s="0" t="s">
        <v>36</v>
      </c>
      <c r="H1436" s="0" t="n">
        <v>34</v>
      </c>
      <c r="I1436" s="0" t="s">
        <v>4805</v>
      </c>
      <c r="J1436" s="0" t="s">
        <v>4806</v>
      </c>
      <c r="K1436" s="0" t="s">
        <v>4807</v>
      </c>
      <c r="L1436" s="0" t="str">
        <f aca="false">HYPERLINK("https://www.ncbi.nlm.nih.gov/nuccore/CP000058.1?report=graph&amp;tracks=[key:gene_model_track,Options:GeneOnly]&amp;mk=446713:446732|offset_1|444444,446680:446699|offset_34|00cc00,446646:446665|offset_68|444444,446625:446644|offset_89|444444&amp;v=446512:446844&amp;c=444444", "offset 34")</f>
        <v>offset 34</v>
      </c>
    </row>
    <row r="1437" customFormat="false" ht="12.8" hidden="false" customHeight="false" outlineLevel="0" collapsed="false">
      <c r="A1437" s="0" t="s">
        <v>12</v>
      </c>
      <c r="B1437" s="0" t="n">
        <v>446645</v>
      </c>
      <c r="C1437" s="0" t="n">
        <v>446665</v>
      </c>
      <c r="D1437" s="0" t="s">
        <v>4801</v>
      </c>
      <c r="E1437" s="0" t="s">
        <v>75</v>
      </c>
      <c r="F1437" s="0" t="s">
        <v>90</v>
      </c>
      <c r="G1437" s="0" t="s">
        <v>20</v>
      </c>
      <c r="H1437" s="0" t="n">
        <v>68</v>
      </c>
      <c r="I1437" s="0" t="s">
        <v>4808</v>
      </c>
      <c r="J1437" s="0" t="s">
        <v>4809</v>
      </c>
      <c r="K1437" s="0" t="s">
        <v>4810</v>
      </c>
      <c r="L1437" s="0" t="str">
        <f aca="false">HYPERLINK("https://www.ncbi.nlm.nih.gov/nuccore/CP000058.1?report=graph&amp;tracks=[key:gene_model_track,Options:GeneOnly]&amp;mk=446713:446732|offset_1|444444,446680:446699|offset_34|444444,446646:446665|offset_68|00cc00,446625:446644|offset_89|444444&amp;v=446512:446844&amp;c=444444", "offset 68")</f>
        <v>offset 68</v>
      </c>
    </row>
    <row r="1438" customFormat="false" ht="12.8" hidden="false" customHeight="false" outlineLevel="0" collapsed="false">
      <c r="A1438" s="0" t="s">
        <v>12</v>
      </c>
      <c r="B1438" s="0" t="n">
        <v>446624</v>
      </c>
      <c r="C1438" s="0" t="n">
        <v>446644</v>
      </c>
      <c r="D1438" s="0" t="s">
        <v>4801</v>
      </c>
      <c r="E1438" s="0" t="s">
        <v>75</v>
      </c>
      <c r="F1438" s="0" t="s">
        <v>90</v>
      </c>
      <c r="G1438" s="0" t="s">
        <v>20</v>
      </c>
      <c r="H1438" s="0" t="n">
        <v>89</v>
      </c>
      <c r="I1438" s="0" t="s">
        <v>4811</v>
      </c>
      <c r="J1438" s="0" t="s">
        <v>4812</v>
      </c>
      <c r="K1438" s="0" t="s">
        <v>4813</v>
      </c>
      <c r="L1438" s="0" t="str">
        <f aca="false">HYPERLINK("https://www.ncbi.nlm.nih.gov/nuccore/CP000058.1?report=graph&amp;tracks=[key:gene_model_track,Options:GeneOnly]&amp;mk=446713:446732|offset_1|444444,446680:446699|offset_34|444444,446646:446665|offset_68|444444,446625:446644|offset_89|00cc00&amp;v=446512:446844&amp;c=444444", "offset 89")</f>
        <v>offset 89</v>
      </c>
    </row>
    <row r="1439" customFormat="false" ht="12.8" hidden="false" customHeight="false" outlineLevel="0" collapsed="false">
      <c r="A1439" s="0" t="s">
        <v>12</v>
      </c>
      <c r="B1439" s="0" t="n">
        <v>446967</v>
      </c>
      <c r="C1439" s="0" t="n">
        <v>446987</v>
      </c>
      <c r="D1439" s="0" t="s">
        <v>4814</v>
      </c>
      <c r="E1439" s="0" t="s">
        <v>4815</v>
      </c>
      <c r="F1439" s="0" t="s">
        <v>15</v>
      </c>
      <c r="G1439" s="0" t="s">
        <v>32</v>
      </c>
      <c r="H1439" s="0" t="n">
        <v>28</v>
      </c>
      <c r="I1439" s="0" t="s">
        <v>4816</v>
      </c>
      <c r="J1439" s="0" t="s">
        <v>4817</v>
      </c>
      <c r="K1439" s="0" t="s">
        <v>4818</v>
      </c>
      <c r="L1439" s="0" t="str">
        <f aca="false">HYPERLINK("https://www.ncbi.nlm.nih.gov/nuccore/CP000058.1?report=graph&amp;tracks=[key:gene_model_track,Options:GeneOnly]&amp;mk=446968:446987|offset_28|00cc00,446998:447017|offset_58|444444,447031:447050|offset_91|444444,447069:447088|offset_129|444444&amp;v=446767:447288&amp;c=444444", "offset 28")</f>
        <v>offset 28</v>
      </c>
    </row>
    <row r="1440" customFormat="false" ht="12.8" hidden="false" customHeight="false" outlineLevel="0" collapsed="false">
      <c r="A1440" s="0" t="s">
        <v>12</v>
      </c>
      <c r="B1440" s="0" t="n">
        <v>446997</v>
      </c>
      <c r="C1440" s="0" t="n">
        <v>447017</v>
      </c>
      <c r="D1440" s="0" t="s">
        <v>4814</v>
      </c>
      <c r="E1440" s="0" t="s">
        <v>4815</v>
      </c>
      <c r="F1440" s="0" t="s">
        <v>15</v>
      </c>
      <c r="G1440" s="0" t="s">
        <v>32</v>
      </c>
      <c r="H1440" s="0" t="n">
        <v>58</v>
      </c>
      <c r="I1440" s="0" t="s">
        <v>4819</v>
      </c>
      <c r="J1440" s="0" t="s">
        <v>4820</v>
      </c>
      <c r="K1440" s="0" t="s">
        <v>4821</v>
      </c>
      <c r="L1440" s="0" t="str">
        <f aca="false">HYPERLINK("https://www.ncbi.nlm.nih.gov/nuccore/CP000058.1?report=graph&amp;tracks=[key:gene_model_track,Options:GeneOnly]&amp;mk=446968:446987|offset_28|444444,446998:447017|offset_58|00cc00,447031:447050|offset_91|444444,447069:447088|offset_129|444444&amp;v=446767:447288&amp;c=444444", "offset 58")</f>
        <v>offset 58</v>
      </c>
    </row>
    <row r="1441" customFormat="false" ht="12.8" hidden="false" customHeight="false" outlineLevel="0" collapsed="false">
      <c r="A1441" s="0" t="s">
        <v>12</v>
      </c>
      <c r="B1441" s="0" t="n">
        <v>447030</v>
      </c>
      <c r="C1441" s="0" t="n">
        <v>447050</v>
      </c>
      <c r="D1441" s="0" t="s">
        <v>4814</v>
      </c>
      <c r="E1441" s="0" t="s">
        <v>4815</v>
      </c>
      <c r="F1441" s="0" t="s">
        <v>15</v>
      </c>
      <c r="G1441" s="0" t="s">
        <v>16</v>
      </c>
      <c r="H1441" s="0" t="n">
        <v>91</v>
      </c>
      <c r="I1441" s="0" t="s">
        <v>4822</v>
      </c>
      <c r="J1441" s="0" t="s">
        <v>4823</v>
      </c>
      <c r="K1441" s="0" t="s">
        <v>4824</v>
      </c>
      <c r="L1441" s="0" t="str">
        <f aca="false">HYPERLINK("https://www.ncbi.nlm.nih.gov/nuccore/CP000058.1?report=graph&amp;tracks=[key:gene_model_track,Options:GeneOnly]&amp;mk=446968:446987|offset_28|444444,446998:447017|offset_58|444444,447031:447050|offset_91|00cc00,447069:447088|offset_129|444444&amp;v=446767:447288&amp;c=444444", "offset 91")</f>
        <v>offset 91</v>
      </c>
    </row>
    <row r="1442" customFormat="false" ht="12.8" hidden="false" customHeight="false" outlineLevel="0" collapsed="false">
      <c r="A1442" s="0" t="s">
        <v>12</v>
      </c>
      <c r="B1442" s="0" t="n">
        <v>447068</v>
      </c>
      <c r="C1442" s="0" t="n">
        <v>447088</v>
      </c>
      <c r="D1442" s="0" t="s">
        <v>4814</v>
      </c>
      <c r="E1442" s="0" t="s">
        <v>4815</v>
      </c>
      <c r="F1442" s="0" t="s">
        <v>15</v>
      </c>
      <c r="G1442" s="0" t="s">
        <v>16</v>
      </c>
      <c r="H1442" s="0" t="n">
        <v>129</v>
      </c>
      <c r="I1442" s="0" t="s">
        <v>4825</v>
      </c>
      <c r="J1442" s="0" t="s">
        <v>4826</v>
      </c>
      <c r="K1442" s="0" t="s">
        <v>4827</v>
      </c>
      <c r="L1442" s="0" t="str">
        <f aca="false">HYPERLINK("https://www.ncbi.nlm.nih.gov/nuccore/CP000058.1?report=graph&amp;tracks=[key:gene_model_track,Options:GeneOnly]&amp;mk=446968:446987|offset_28|444444,446998:447017|offset_58|444444,447031:447050|offset_91|444444,447069:447088|offset_129|00cc00&amp;v=446767:447288&amp;c=444444", "offset 129")</f>
        <v>offset 129</v>
      </c>
    </row>
    <row r="1443" customFormat="false" ht="12.8" hidden="false" customHeight="false" outlineLevel="0" collapsed="false">
      <c r="A1443" s="0" t="s">
        <v>12</v>
      </c>
      <c r="B1443" s="0" t="n">
        <v>448027</v>
      </c>
      <c r="C1443" s="0" t="n">
        <v>448047</v>
      </c>
      <c r="D1443" s="0" t="s">
        <v>4828</v>
      </c>
      <c r="E1443" s="0" t="s">
        <v>4829</v>
      </c>
      <c r="F1443" s="0" t="s">
        <v>15</v>
      </c>
      <c r="G1443" s="0" t="s">
        <v>16</v>
      </c>
      <c r="H1443" s="0" t="n">
        <v>24</v>
      </c>
      <c r="I1443" s="0" t="s">
        <v>4830</v>
      </c>
      <c r="J1443" s="0" t="s">
        <v>4831</v>
      </c>
      <c r="K1443" s="0" t="s">
        <v>4832</v>
      </c>
      <c r="L1443" s="0" t="str">
        <f aca="false">HYPERLINK("https://www.ncbi.nlm.nih.gov/nuccore/CP000058.1?report=graph&amp;tracks=[key:gene_model_track,Options:GeneOnly]&amp;mk=448028:448047|offset_24|00cc00,448069:448088|offset_65|444444,448143:448162|offset_139|444444,448225:448244|offset_221|444444&amp;v=447827:448444&amp;c=444444", "offset 24")</f>
        <v>offset 24</v>
      </c>
    </row>
    <row r="1444" customFormat="false" ht="12.8" hidden="false" customHeight="false" outlineLevel="0" collapsed="false">
      <c r="A1444" s="0" t="s">
        <v>12</v>
      </c>
      <c r="B1444" s="0" t="n">
        <v>448068</v>
      </c>
      <c r="C1444" s="0" t="n">
        <v>448088</v>
      </c>
      <c r="D1444" s="0" t="s">
        <v>4828</v>
      </c>
      <c r="E1444" s="0" t="s">
        <v>4829</v>
      </c>
      <c r="F1444" s="0" t="s">
        <v>15</v>
      </c>
      <c r="G1444" s="0" t="s">
        <v>20</v>
      </c>
      <c r="H1444" s="0" t="n">
        <v>65</v>
      </c>
      <c r="I1444" s="0" t="s">
        <v>4833</v>
      </c>
      <c r="J1444" s="0" t="s">
        <v>4834</v>
      </c>
      <c r="K1444" s="0" t="s">
        <v>4835</v>
      </c>
      <c r="L1444" s="0" t="str">
        <f aca="false">HYPERLINK("https://www.ncbi.nlm.nih.gov/nuccore/CP000058.1?report=graph&amp;tracks=[key:gene_model_track,Options:GeneOnly]&amp;mk=448028:448047|offset_24|444444,448069:448088|offset_65|00cc00,448143:448162|offset_139|444444,448225:448244|offset_221|444444&amp;v=447827:448444&amp;c=444444", "offset 65")</f>
        <v>offset 65</v>
      </c>
    </row>
    <row r="1445" customFormat="false" ht="12.8" hidden="false" customHeight="false" outlineLevel="0" collapsed="false">
      <c r="A1445" s="0" t="s">
        <v>12</v>
      </c>
      <c r="B1445" s="0" t="n">
        <v>448142</v>
      </c>
      <c r="C1445" s="0" t="n">
        <v>448162</v>
      </c>
      <c r="D1445" s="0" t="s">
        <v>4828</v>
      </c>
      <c r="E1445" s="0" t="s">
        <v>4829</v>
      </c>
      <c r="F1445" s="0" t="s">
        <v>15</v>
      </c>
      <c r="G1445" s="0" t="s">
        <v>32</v>
      </c>
      <c r="H1445" s="0" t="n">
        <v>139</v>
      </c>
      <c r="I1445" s="0" t="s">
        <v>4836</v>
      </c>
      <c r="J1445" s="0" t="s">
        <v>4837</v>
      </c>
      <c r="K1445" s="0" t="s">
        <v>4838</v>
      </c>
      <c r="L1445" s="0" t="str">
        <f aca="false">HYPERLINK("https://www.ncbi.nlm.nih.gov/nuccore/CP000058.1?report=graph&amp;tracks=[key:gene_model_track,Options:GeneOnly]&amp;mk=448028:448047|offset_24|444444,448069:448088|offset_65|444444,448143:448162|offset_139|00cc00,448225:448244|offset_221|444444&amp;v=447827:448444&amp;c=444444", "offset 139")</f>
        <v>offset 139</v>
      </c>
    </row>
    <row r="1446" customFormat="false" ht="12.8" hidden="false" customHeight="false" outlineLevel="0" collapsed="false">
      <c r="A1446" s="0" t="s">
        <v>12</v>
      </c>
      <c r="B1446" s="0" t="n">
        <v>448224</v>
      </c>
      <c r="C1446" s="0" t="n">
        <v>448244</v>
      </c>
      <c r="D1446" s="0" t="s">
        <v>4828</v>
      </c>
      <c r="E1446" s="0" t="s">
        <v>4829</v>
      </c>
      <c r="F1446" s="0" t="s">
        <v>15</v>
      </c>
      <c r="G1446" s="0" t="s">
        <v>20</v>
      </c>
      <c r="H1446" s="0" t="n">
        <v>221</v>
      </c>
      <c r="I1446" s="0" t="s">
        <v>4839</v>
      </c>
      <c r="J1446" s="0" t="s">
        <v>4840</v>
      </c>
      <c r="K1446" s="0" t="s">
        <v>4841</v>
      </c>
      <c r="L1446" s="0" t="str">
        <f aca="false">HYPERLINK("https://www.ncbi.nlm.nih.gov/nuccore/CP000058.1?report=graph&amp;tracks=[key:gene_model_track,Options:GeneOnly]&amp;mk=448028:448047|offset_24|444444,448069:448088|offset_65|444444,448143:448162|offset_139|444444,448225:448244|offset_221|00cc00&amp;v=447827:448444&amp;c=444444", "offset 221")</f>
        <v>offset 221</v>
      </c>
    </row>
    <row r="1447" customFormat="false" ht="12.8" hidden="false" customHeight="false" outlineLevel="0" collapsed="false">
      <c r="A1447" s="0" t="s">
        <v>12</v>
      </c>
      <c r="B1447" s="0" t="n">
        <v>448643</v>
      </c>
      <c r="C1447" s="0" t="n">
        <v>448663</v>
      </c>
      <c r="D1447" s="0" t="s">
        <v>4842</v>
      </c>
      <c r="E1447" s="0" t="s">
        <v>4843</v>
      </c>
      <c r="F1447" s="0" t="s">
        <v>15</v>
      </c>
      <c r="G1447" s="0" t="s">
        <v>20</v>
      </c>
      <c r="H1447" s="0" t="n">
        <v>44</v>
      </c>
      <c r="I1447" s="0" t="s">
        <v>4844</v>
      </c>
      <c r="J1447" s="0" t="s">
        <v>4845</v>
      </c>
      <c r="K1447" s="0" t="s">
        <v>4846</v>
      </c>
      <c r="L1447" s="0" t="str">
        <f aca="false">HYPERLINK("https://www.ncbi.nlm.nih.gov/nuccore/CP000058.1?report=graph&amp;tracks=[key:gene_model_track,Options:GeneOnly]&amp;mk=448644:448663|offset_44|00cc00,448676:448695|offset_76|444444,448697:448716|offset_97|444444,448761:448780|offset_161|444444&amp;v=448443:448980&amp;c=444444", "offset 44")</f>
        <v>offset 44</v>
      </c>
    </row>
    <row r="1448" customFormat="false" ht="12.8" hidden="false" customHeight="false" outlineLevel="0" collapsed="false">
      <c r="A1448" s="0" t="s">
        <v>12</v>
      </c>
      <c r="B1448" s="0" t="n">
        <v>448675</v>
      </c>
      <c r="C1448" s="0" t="n">
        <v>448695</v>
      </c>
      <c r="D1448" s="0" t="s">
        <v>4842</v>
      </c>
      <c r="E1448" s="0" t="s">
        <v>4843</v>
      </c>
      <c r="F1448" s="0" t="s">
        <v>15</v>
      </c>
      <c r="G1448" s="0" t="s">
        <v>20</v>
      </c>
      <c r="H1448" s="0" t="n">
        <v>76</v>
      </c>
      <c r="I1448" s="0" t="s">
        <v>4847</v>
      </c>
      <c r="J1448" s="0" t="s">
        <v>4848</v>
      </c>
      <c r="K1448" s="0" t="s">
        <v>4849</v>
      </c>
      <c r="L1448" s="0" t="str">
        <f aca="false">HYPERLINK("https://www.ncbi.nlm.nih.gov/nuccore/CP000058.1?report=graph&amp;tracks=[key:gene_model_track,Options:GeneOnly]&amp;mk=448644:448663|offset_44|444444,448676:448695|offset_76|00cc00,448697:448716|offset_97|444444,448761:448780|offset_161|444444&amp;v=448443:448980&amp;c=444444", "offset 76")</f>
        <v>offset 76</v>
      </c>
    </row>
    <row r="1449" customFormat="false" ht="12.8" hidden="false" customHeight="false" outlineLevel="0" collapsed="false">
      <c r="A1449" s="0" t="s">
        <v>12</v>
      </c>
      <c r="B1449" s="0" t="n">
        <v>448696</v>
      </c>
      <c r="C1449" s="0" t="n">
        <v>448716</v>
      </c>
      <c r="D1449" s="0" t="s">
        <v>4842</v>
      </c>
      <c r="E1449" s="0" t="s">
        <v>4843</v>
      </c>
      <c r="F1449" s="0" t="s">
        <v>15</v>
      </c>
      <c r="G1449" s="0" t="s">
        <v>32</v>
      </c>
      <c r="H1449" s="0" t="n">
        <v>97</v>
      </c>
      <c r="I1449" s="0" t="s">
        <v>4850</v>
      </c>
      <c r="J1449" s="0" t="s">
        <v>4851</v>
      </c>
      <c r="K1449" s="0" t="s">
        <v>4852</v>
      </c>
      <c r="L1449" s="0" t="str">
        <f aca="false">HYPERLINK("https://www.ncbi.nlm.nih.gov/nuccore/CP000058.1?report=graph&amp;tracks=[key:gene_model_track,Options:GeneOnly]&amp;mk=448644:448663|offset_44|444444,448676:448695|offset_76|444444,448697:448716|offset_97|00cc00,448761:448780|offset_161|444444&amp;v=448443:448980&amp;c=444444", "offset 97")</f>
        <v>offset 97</v>
      </c>
    </row>
    <row r="1450" customFormat="false" ht="12.8" hidden="false" customHeight="false" outlineLevel="0" collapsed="false">
      <c r="A1450" s="0" t="s">
        <v>12</v>
      </c>
      <c r="B1450" s="0" t="n">
        <v>448760</v>
      </c>
      <c r="C1450" s="0" t="n">
        <v>448780</v>
      </c>
      <c r="D1450" s="0" t="s">
        <v>4842</v>
      </c>
      <c r="E1450" s="0" t="s">
        <v>4843</v>
      </c>
      <c r="F1450" s="0" t="s">
        <v>15</v>
      </c>
      <c r="G1450" s="0" t="s">
        <v>20</v>
      </c>
      <c r="H1450" s="0" t="n">
        <v>161</v>
      </c>
      <c r="I1450" s="0" t="s">
        <v>4853</v>
      </c>
      <c r="J1450" s="0" t="s">
        <v>4854</v>
      </c>
      <c r="K1450" s="0" t="s">
        <v>4855</v>
      </c>
      <c r="L1450" s="0" t="str">
        <f aca="false">HYPERLINK("https://www.ncbi.nlm.nih.gov/nuccore/CP000058.1?report=graph&amp;tracks=[key:gene_model_track,Options:GeneOnly]&amp;mk=448644:448663|offset_44|444444,448676:448695|offset_76|444444,448697:448716|offset_97|444444,448761:448780|offset_161|00cc00&amp;v=448443:448980&amp;c=444444", "offset 161")</f>
        <v>offset 161</v>
      </c>
    </row>
    <row r="1451" customFormat="false" ht="12.8" hidden="false" customHeight="false" outlineLevel="0" collapsed="false">
      <c r="A1451" s="0" t="s">
        <v>12</v>
      </c>
      <c r="B1451" s="0" t="n">
        <v>449271</v>
      </c>
      <c r="C1451" s="0" t="n">
        <v>449291</v>
      </c>
      <c r="D1451" s="0" t="s">
        <v>4856</v>
      </c>
      <c r="E1451" s="0" t="s">
        <v>4857</v>
      </c>
      <c r="F1451" s="0" t="s">
        <v>15</v>
      </c>
      <c r="G1451" s="0" t="s">
        <v>16</v>
      </c>
      <c r="H1451" s="0" t="n">
        <v>52</v>
      </c>
      <c r="I1451" s="0" t="s">
        <v>4858</v>
      </c>
      <c r="J1451" s="0" t="s">
        <v>4859</v>
      </c>
      <c r="K1451" s="0" t="s">
        <v>4860</v>
      </c>
      <c r="L1451" s="0" t="str">
        <f aca="false">HYPERLINK("https://www.ncbi.nlm.nih.gov/nuccore/CP000058.1?report=graph&amp;tracks=[key:gene_model_track,Options:GeneOnly]&amp;mk=449272:449291|offset_52|00cc00,449299:449318|offset_79|444444,449326:449345|offset_106|444444,449356:449375|offset_136|444444&amp;v=449071:449575&amp;c=444444", "offset 52")</f>
        <v>offset 52</v>
      </c>
    </row>
    <row r="1452" customFormat="false" ht="12.8" hidden="false" customHeight="false" outlineLevel="0" collapsed="false">
      <c r="A1452" s="0" t="s">
        <v>12</v>
      </c>
      <c r="B1452" s="0" t="n">
        <v>449298</v>
      </c>
      <c r="C1452" s="0" t="n">
        <v>449318</v>
      </c>
      <c r="D1452" s="0" t="s">
        <v>4856</v>
      </c>
      <c r="E1452" s="0" t="s">
        <v>4857</v>
      </c>
      <c r="F1452" s="0" t="s">
        <v>15</v>
      </c>
      <c r="G1452" s="0" t="s">
        <v>16</v>
      </c>
      <c r="H1452" s="0" t="n">
        <v>79</v>
      </c>
      <c r="I1452" s="0" t="s">
        <v>4861</v>
      </c>
      <c r="J1452" s="0" t="s">
        <v>4862</v>
      </c>
      <c r="K1452" s="0" t="s">
        <v>4863</v>
      </c>
      <c r="L1452" s="0" t="str">
        <f aca="false">HYPERLINK("https://www.ncbi.nlm.nih.gov/nuccore/CP000058.1?report=graph&amp;tracks=[key:gene_model_track,Options:GeneOnly]&amp;mk=449272:449291|offset_52|444444,449299:449318|offset_79|00cc00,449326:449345|offset_106|444444,449356:449375|offset_136|444444&amp;v=449071:449575&amp;c=444444", "offset 79")</f>
        <v>offset 79</v>
      </c>
    </row>
    <row r="1453" customFormat="false" ht="12.8" hidden="false" customHeight="false" outlineLevel="0" collapsed="false">
      <c r="A1453" s="0" t="s">
        <v>12</v>
      </c>
      <c r="B1453" s="0" t="n">
        <v>449325</v>
      </c>
      <c r="C1453" s="0" t="n">
        <v>449345</v>
      </c>
      <c r="D1453" s="0" t="s">
        <v>4856</v>
      </c>
      <c r="E1453" s="0" t="s">
        <v>4857</v>
      </c>
      <c r="F1453" s="0" t="s">
        <v>15</v>
      </c>
      <c r="G1453" s="0" t="s">
        <v>32</v>
      </c>
      <c r="H1453" s="0" t="n">
        <v>106</v>
      </c>
      <c r="I1453" s="0" t="s">
        <v>4864</v>
      </c>
      <c r="J1453" s="0" t="s">
        <v>4865</v>
      </c>
      <c r="K1453" s="0" t="s">
        <v>4866</v>
      </c>
      <c r="L1453" s="0" t="str">
        <f aca="false">HYPERLINK("https://www.ncbi.nlm.nih.gov/nuccore/CP000058.1?report=graph&amp;tracks=[key:gene_model_track,Options:GeneOnly]&amp;mk=449272:449291|offset_52|444444,449299:449318|offset_79|444444,449326:449345|offset_106|00cc00,449356:449375|offset_136|444444&amp;v=449071:449575&amp;c=444444", "offset 106")</f>
        <v>offset 106</v>
      </c>
    </row>
    <row r="1454" customFormat="false" ht="12.8" hidden="false" customHeight="false" outlineLevel="0" collapsed="false">
      <c r="A1454" s="0" t="s">
        <v>12</v>
      </c>
      <c r="B1454" s="0" t="n">
        <v>449355</v>
      </c>
      <c r="C1454" s="0" t="n">
        <v>449375</v>
      </c>
      <c r="D1454" s="0" t="s">
        <v>4856</v>
      </c>
      <c r="E1454" s="0" t="s">
        <v>4857</v>
      </c>
      <c r="F1454" s="0" t="s">
        <v>15</v>
      </c>
      <c r="G1454" s="0" t="s">
        <v>36</v>
      </c>
      <c r="H1454" s="0" t="n">
        <v>136</v>
      </c>
      <c r="I1454" s="0" t="s">
        <v>4867</v>
      </c>
      <c r="J1454" s="0" t="s">
        <v>4868</v>
      </c>
      <c r="K1454" s="0" t="s">
        <v>4869</v>
      </c>
      <c r="L1454" s="0" t="str">
        <f aca="false">HYPERLINK("https://www.ncbi.nlm.nih.gov/nuccore/CP000058.1?report=graph&amp;tracks=[key:gene_model_track,Options:GeneOnly]&amp;mk=449272:449291|offset_52|444444,449299:449318|offset_79|444444,449326:449345|offset_106|444444,449356:449375|offset_136|00cc00&amp;v=449071:449575&amp;c=444444", "offset 136")</f>
        <v>offset 136</v>
      </c>
    </row>
    <row r="1455" customFormat="false" ht="12.8" hidden="false" customHeight="false" outlineLevel="0" collapsed="false">
      <c r="A1455" s="0" t="s">
        <v>12</v>
      </c>
      <c r="B1455" s="0" t="n">
        <v>449801</v>
      </c>
      <c r="C1455" s="0" t="n">
        <v>449821</v>
      </c>
      <c r="D1455" s="0" t="s">
        <v>4870</v>
      </c>
      <c r="E1455" s="0" t="s">
        <v>4871</v>
      </c>
      <c r="F1455" s="0" t="s">
        <v>15</v>
      </c>
      <c r="G1455" s="0" t="s">
        <v>36</v>
      </c>
      <c r="H1455" s="0" t="n">
        <v>7</v>
      </c>
      <c r="I1455" s="0" t="s">
        <v>4872</v>
      </c>
      <c r="J1455" s="0" t="s">
        <v>4873</v>
      </c>
      <c r="K1455" s="0" t="s">
        <v>4874</v>
      </c>
      <c r="L1455" s="0" t="str">
        <f aca="false">HYPERLINK("https://www.ncbi.nlm.nih.gov/nuccore/CP000058.1?report=graph&amp;tracks=[key:gene_model_track,Options:GeneOnly]&amp;mk=449802:449821|offset_7|00cc00,449852:449871|offset_57|444444,449872:449891|offset_77|444444,449892:449911|offset_97|444444&amp;v=449601:450111&amp;c=444444", "offset 7")</f>
        <v>offset 7</v>
      </c>
    </row>
    <row r="1456" customFormat="false" ht="12.8" hidden="false" customHeight="false" outlineLevel="0" collapsed="false">
      <c r="A1456" s="0" t="s">
        <v>12</v>
      </c>
      <c r="B1456" s="0" t="n">
        <v>449851</v>
      </c>
      <c r="C1456" s="0" t="n">
        <v>449871</v>
      </c>
      <c r="D1456" s="0" t="s">
        <v>4870</v>
      </c>
      <c r="E1456" s="0" t="s">
        <v>4871</v>
      </c>
      <c r="F1456" s="0" t="s">
        <v>15</v>
      </c>
      <c r="G1456" s="0" t="s">
        <v>16</v>
      </c>
      <c r="H1456" s="0" t="n">
        <v>57</v>
      </c>
      <c r="I1456" s="0" t="s">
        <v>4875</v>
      </c>
      <c r="J1456" s="0" t="s">
        <v>4876</v>
      </c>
      <c r="K1456" s="0" t="s">
        <v>4877</v>
      </c>
      <c r="L1456" s="0" t="str">
        <f aca="false">HYPERLINK("https://www.ncbi.nlm.nih.gov/nuccore/CP000058.1?report=graph&amp;tracks=[key:gene_model_track,Options:GeneOnly]&amp;mk=449802:449821|offset_7|444444,449852:449871|offset_57|00cc00,449872:449891|offset_77|444444,449892:449911|offset_97|444444&amp;v=449601:450111&amp;c=444444", "offset 57")</f>
        <v>offset 57</v>
      </c>
    </row>
    <row r="1457" customFormat="false" ht="12.8" hidden="false" customHeight="false" outlineLevel="0" collapsed="false">
      <c r="A1457" s="0" t="s">
        <v>12</v>
      </c>
      <c r="B1457" s="0" t="n">
        <v>449871</v>
      </c>
      <c r="C1457" s="0" t="n">
        <v>449891</v>
      </c>
      <c r="D1457" s="0" t="s">
        <v>4870</v>
      </c>
      <c r="E1457" s="0" t="s">
        <v>4871</v>
      </c>
      <c r="F1457" s="0" t="s">
        <v>15</v>
      </c>
      <c r="G1457" s="0" t="s">
        <v>20</v>
      </c>
      <c r="H1457" s="0" t="n">
        <v>77</v>
      </c>
      <c r="I1457" s="0" t="s">
        <v>4878</v>
      </c>
      <c r="J1457" s="0" t="s">
        <v>4879</v>
      </c>
      <c r="K1457" s="0" t="s">
        <v>4880</v>
      </c>
      <c r="L1457" s="0" t="str">
        <f aca="false">HYPERLINK("https://www.ncbi.nlm.nih.gov/nuccore/CP000058.1?report=graph&amp;tracks=[key:gene_model_track,Options:GeneOnly]&amp;mk=449802:449821|offset_7|444444,449852:449871|offset_57|444444,449872:449891|offset_77|00cc00,449892:449911|offset_97|444444&amp;v=449601:450111&amp;c=444444", "offset 77")</f>
        <v>offset 77</v>
      </c>
    </row>
    <row r="1458" customFormat="false" ht="12.8" hidden="false" customHeight="false" outlineLevel="0" collapsed="false">
      <c r="A1458" s="0" t="s">
        <v>12</v>
      </c>
      <c r="B1458" s="0" t="n">
        <v>449891</v>
      </c>
      <c r="C1458" s="0" t="n">
        <v>449911</v>
      </c>
      <c r="D1458" s="0" t="s">
        <v>4870</v>
      </c>
      <c r="E1458" s="0" t="s">
        <v>4871</v>
      </c>
      <c r="F1458" s="0" t="s">
        <v>15</v>
      </c>
      <c r="G1458" s="0" t="s">
        <v>16</v>
      </c>
      <c r="H1458" s="0" t="n">
        <v>97</v>
      </c>
      <c r="I1458" s="0" t="s">
        <v>4881</v>
      </c>
      <c r="J1458" s="0" t="s">
        <v>4882</v>
      </c>
      <c r="K1458" s="0" t="s">
        <v>4883</v>
      </c>
      <c r="L1458" s="0" t="str">
        <f aca="false">HYPERLINK("https://www.ncbi.nlm.nih.gov/nuccore/CP000058.1?report=graph&amp;tracks=[key:gene_model_track,Options:GeneOnly]&amp;mk=449802:449821|offset_7|444444,449852:449871|offset_57|444444,449872:449891|offset_77|444444,449892:449911|offset_97|00cc00&amp;v=449601:450111&amp;c=444444", "offset 97")</f>
        <v>offset 97</v>
      </c>
    </row>
    <row r="1459" customFormat="false" ht="12.8" hidden="false" customHeight="false" outlineLevel="0" collapsed="false">
      <c r="A1459" s="0" t="s">
        <v>12</v>
      </c>
      <c r="B1459" s="0" t="n">
        <v>451931</v>
      </c>
      <c r="C1459" s="0" t="n">
        <v>451951</v>
      </c>
      <c r="D1459" s="0" t="s">
        <v>4884</v>
      </c>
      <c r="E1459" s="0" t="s">
        <v>4885</v>
      </c>
      <c r="F1459" s="0" t="s">
        <v>15</v>
      </c>
      <c r="G1459" s="0" t="s">
        <v>16</v>
      </c>
      <c r="H1459" s="0" t="n">
        <v>27</v>
      </c>
      <c r="I1459" s="0" t="s">
        <v>4886</v>
      </c>
      <c r="J1459" s="0" t="s">
        <v>4887</v>
      </c>
      <c r="K1459" s="0" t="s">
        <v>4888</v>
      </c>
      <c r="L1459" s="0" t="str">
        <f aca="false">HYPERLINK("https://www.ncbi.nlm.nih.gov/nuccore/CP000058.1?report=graph&amp;tracks=[key:gene_model_track,Options:GeneOnly]&amp;mk=451932:451951|offset_27|00cc00,451954:451973|offset_49|444444,451989:452008|offset_84|444444,452032:452051|offset_127|444444&amp;v=451731:452251&amp;c=444444", "offset 27")</f>
        <v>offset 27</v>
      </c>
    </row>
    <row r="1460" customFormat="false" ht="12.8" hidden="false" customHeight="false" outlineLevel="0" collapsed="false">
      <c r="A1460" s="0" t="s">
        <v>12</v>
      </c>
      <c r="B1460" s="0" t="n">
        <v>451953</v>
      </c>
      <c r="C1460" s="0" t="n">
        <v>451973</v>
      </c>
      <c r="D1460" s="0" t="s">
        <v>4884</v>
      </c>
      <c r="E1460" s="0" t="s">
        <v>4885</v>
      </c>
      <c r="F1460" s="0" t="s">
        <v>15</v>
      </c>
      <c r="G1460" s="0" t="s">
        <v>32</v>
      </c>
      <c r="H1460" s="0" t="n">
        <v>49</v>
      </c>
      <c r="I1460" s="0" t="s">
        <v>4889</v>
      </c>
      <c r="J1460" s="0" t="s">
        <v>4890</v>
      </c>
      <c r="K1460" s="0" t="s">
        <v>4891</v>
      </c>
      <c r="L1460" s="0" t="str">
        <f aca="false">HYPERLINK("https://www.ncbi.nlm.nih.gov/nuccore/CP000058.1?report=graph&amp;tracks=[key:gene_model_track,Options:GeneOnly]&amp;mk=451932:451951|offset_27|444444,451954:451973|offset_49|00cc00,451989:452008|offset_84|444444,452032:452051|offset_127|444444&amp;v=451731:452251&amp;c=444444", "offset 49")</f>
        <v>offset 49</v>
      </c>
    </row>
    <row r="1461" customFormat="false" ht="12.8" hidden="false" customHeight="false" outlineLevel="0" collapsed="false">
      <c r="A1461" s="0" t="s">
        <v>12</v>
      </c>
      <c r="B1461" s="0" t="n">
        <v>451988</v>
      </c>
      <c r="C1461" s="0" t="n">
        <v>452008</v>
      </c>
      <c r="D1461" s="0" t="s">
        <v>4884</v>
      </c>
      <c r="E1461" s="0" t="s">
        <v>4885</v>
      </c>
      <c r="F1461" s="0" t="s">
        <v>15</v>
      </c>
      <c r="G1461" s="0" t="s">
        <v>16</v>
      </c>
      <c r="H1461" s="0" t="n">
        <v>84</v>
      </c>
      <c r="I1461" s="0" t="s">
        <v>4892</v>
      </c>
      <c r="J1461" s="0" t="s">
        <v>4893</v>
      </c>
      <c r="K1461" s="0" t="s">
        <v>4894</v>
      </c>
      <c r="L1461" s="0" t="str">
        <f aca="false">HYPERLINK("https://www.ncbi.nlm.nih.gov/nuccore/CP000058.1?report=graph&amp;tracks=[key:gene_model_track,Options:GeneOnly]&amp;mk=451932:451951|offset_27|444444,451954:451973|offset_49|444444,451989:452008|offset_84|00cc00,452032:452051|offset_127|444444&amp;v=451731:452251&amp;c=444444", "offset 84")</f>
        <v>offset 84</v>
      </c>
    </row>
    <row r="1462" customFormat="false" ht="12.8" hidden="false" customHeight="false" outlineLevel="0" collapsed="false">
      <c r="A1462" s="0" t="s">
        <v>12</v>
      </c>
      <c r="B1462" s="0" t="n">
        <v>452031</v>
      </c>
      <c r="C1462" s="0" t="n">
        <v>452051</v>
      </c>
      <c r="D1462" s="0" t="s">
        <v>4884</v>
      </c>
      <c r="E1462" s="0" t="s">
        <v>4885</v>
      </c>
      <c r="F1462" s="0" t="s">
        <v>15</v>
      </c>
      <c r="G1462" s="0" t="s">
        <v>32</v>
      </c>
      <c r="H1462" s="0" t="n">
        <v>127</v>
      </c>
      <c r="I1462" s="0" t="s">
        <v>4895</v>
      </c>
      <c r="J1462" s="0" t="s">
        <v>4896</v>
      </c>
      <c r="K1462" s="0" t="s">
        <v>4897</v>
      </c>
      <c r="L1462" s="0" t="str">
        <f aca="false">HYPERLINK("https://www.ncbi.nlm.nih.gov/nuccore/CP000058.1?report=graph&amp;tracks=[key:gene_model_track,Options:GeneOnly]&amp;mk=451932:451951|offset_27|444444,451954:451973|offset_49|444444,451989:452008|offset_84|444444,452032:452051|offset_127|00cc00&amp;v=451731:452251&amp;c=444444", "offset 127")</f>
        <v>offset 127</v>
      </c>
    </row>
    <row r="1463" customFormat="false" ht="12.8" hidden="false" customHeight="false" outlineLevel="0" collapsed="false">
      <c r="A1463" s="0" t="s">
        <v>12</v>
      </c>
      <c r="B1463" s="0" t="n">
        <v>452579</v>
      </c>
      <c r="C1463" s="0" t="n">
        <v>452599</v>
      </c>
      <c r="D1463" s="0" t="s">
        <v>4898</v>
      </c>
      <c r="E1463" s="0" t="s">
        <v>4899</v>
      </c>
      <c r="F1463" s="0" t="s">
        <v>15</v>
      </c>
      <c r="G1463" s="0" t="s">
        <v>36</v>
      </c>
      <c r="H1463" s="0" t="n">
        <v>41</v>
      </c>
      <c r="I1463" s="0" t="s">
        <v>4900</v>
      </c>
      <c r="J1463" s="0" t="s">
        <v>4901</v>
      </c>
      <c r="K1463" s="0" t="s">
        <v>4902</v>
      </c>
      <c r="L1463" s="0" t="str">
        <f aca="false">HYPERLINK("https://www.ncbi.nlm.nih.gov/nuccore/CP000058.1?report=graph&amp;tracks=[key:gene_model_track,Options:GeneOnly]&amp;mk=452580:452599|offset_41|00cc00,452601:452620|offset_62|444444,452622:452641|offset_83|444444,452663:452682|offset_124|444444&amp;v=452379:452882&amp;c=444444", "offset 41")</f>
        <v>offset 41</v>
      </c>
    </row>
    <row r="1464" customFormat="false" ht="12.8" hidden="false" customHeight="false" outlineLevel="0" collapsed="false">
      <c r="A1464" s="0" t="s">
        <v>12</v>
      </c>
      <c r="B1464" s="0" t="n">
        <v>452600</v>
      </c>
      <c r="C1464" s="0" t="n">
        <v>452620</v>
      </c>
      <c r="D1464" s="0" t="s">
        <v>4898</v>
      </c>
      <c r="E1464" s="0" t="s">
        <v>4899</v>
      </c>
      <c r="F1464" s="0" t="s">
        <v>15</v>
      </c>
      <c r="G1464" s="0" t="s">
        <v>20</v>
      </c>
      <c r="H1464" s="0" t="n">
        <v>62</v>
      </c>
      <c r="I1464" s="0" t="s">
        <v>4903</v>
      </c>
      <c r="J1464" s="0" t="s">
        <v>4904</v>
      </c>
      <c r="K1464" s="0" t="s">
        <v>4905</v>
      </c>
      <c r="L1464" s="0" t="str">
        <f aca="false">HYPERLINK("https://www.ncbi.nlm.nih.gov/nuccore/CP000058.1?report=graph&amp;tracks=[key:gene_model_track,Options:GeneOnly]&amp;mk=452580:452599|offset_41|444444,452601:452620|offset_62|00cc00,452622:452641|offset_83|444444,452663:452682|offset_124|444444&amp;v=452379:452882&amp;c=444444", "offset 62")</f>
        <v>offset 62</v>
      </c>
    </row>
    <row r="1465" customFormat="false" ht="12.8" hidden="false" customHeight="false" outlineLevel="0" collapsed="false">
      <c r="A1465" s="0" t="s">
        <v>12</v>
      </c>
      <c r="B1465" s="0" t="n">
        <v>452621</v>
      </c>
      <c r="C1465" s="0" t="n">
        <v>452641</v>
      </c>
      <c r="D1465" s="0" t="s">
        <v>4898</v>
      </c>
      <c r="E1465" s="0" t="s">
        <v>4899</v>
      </c>
      <c r="F1465" s="0" t="s">
        <v>15</v>
      </c>
      <c r="G1465" s="0" t="s">
        <v>20</v>
      </c>
      <c r="H1465" s="0" t="n">
        <v>83</v>
      </c>
      <c r="I1465" s="0" t="s">
        <v>4906</v>
      </c>
      <c r="J1465" s="0" t="s">
        <v>4907</v>
      </c>
      <c r="K1465" s="0" t="s">
        <v>4908</v>
      </c>
      <c r="L1465" s="0" t="str">
        <f aca="false">HYPERLINK("https://www.ncbi.nlm.nih.gov/nuccore/CP000058.1?report=graph&amp;tracks=[key:gene_model_track,Options:GeneOnly]&amp;mk=452580:452599|offset_41|444444,452601:452620|offset_62|444444,452622:452641|offset_83|00cc00,452663:452682|offset_124|444444&amp;v=452379:452882&amp;c=444444", "offset 83")</f>
        <v>offset 83</v>
      </c>
    </row>
    <row r="1466" customFormat="false" ht="12.8" hidden="false" customHeight="false" outlineLevel="0" collapsed="false">
      <c r="A1466" s="0" t="s">
        <v>12</v>
      </c>
      <c r="B1466" s="0" t="n">
        <v>452662</v>
      </c>
      <c r="C1466" s="0" t="n">
        <v>452682</v>
      </c>
      <c r="D1466" s="0" t="s">
        <v>4898</v>
      </c>
      <c r="E1466" s="0" t="s">
        <v>4899</v>
      </c>
      <c r="F1466" s="0" t="s">
        <v>15</v>
      </c>
      <c r="G1466" s="0" t="s">
        <v>32</v>
      </c>
      <c r="H1466" s="0" t="n">
        <v>124</v>
      </c>
      <c r="I1466" s="0" t="s">
        <v>4909</v>
      </c>
      <c r="J1466" s="0" t="s">
        <v>4910</v>
      </c>
      <c r="K1466" s="0" t="s">
        <v>4911</v>
      </c>
      <c r="L1466" s="0" t="str">
        <f aca="false">HYPERLINK("https://www.ncbi.nlm.nih.gov/nuccore/CP000058.1?report=graph&amp;tracks=[key:gene_model_track,Options:GeneOnly]&amp;mk=452580:452599|offset_41|444444,452601:452620|offset_62|444444,452622:452641|offset_83|444444,452663:452682|offset_124|00cc00&amp;v=452379:452882&amp;c=444444", "offset 124")</f>
        <v>offset 124</v>
      </c>
    </row>
    <row r="1467" customFormat="false" ht="12.8" hidden="false" customHeight="false" outlineLevel="0" collapsed="false">
      <c r="A1467" s="0" t="s">
        <v>12</v>
      </c>
      <c r="B1467" s="0" t="n">
        <v>453652</v>
      </c>
      <c r="C1467" s="0" t="n">
        <v>453672</v>
      </c>
      <c r="D1467" s="0" t="s">
        <v>4912</v>
      </c>
      <c r="E1467" s="0" t="s">
        <v>75</v>
      </c>
      <c r="F1467" s="0" t="s">
        <v>15</v>
      </c>
      <c r="G1467" s="0" t="s">
        <v>36</v>
      </c>
      <c r="H1467" s="0" t="n">
        <v>0</v>
      </c>
      <c r="I1467" s="0" t="s">
        <v>4913</v>
      </c>
      <c r="J1467" s="0" t="s">
        <v>4914</v>
      </c>
      <c r="K1467" s="0" t="s">
        <v>4915</v>
      </c>
      <c r="L1467" s="0" t="str">
        <f aca="false">HYPERLINK("https://www.ncbi.nlm.nih.gov/nuccore/CP000058.1?report=graph&amp;tracks=[key:gene_model_track,Options:GeneOnly]&amp;mk=453653:453672|offset_0|00cc00,453681:453700|offset_28|444444,453712:453731|offset_59|444444,453749:453768|offset_96|444444&amp;v=453452:453968&amp;c=444444", "offset 0")</f>
        <v>offset 0</v>
      </c>
    </row>
    <row r="1468" customFormat="false" ht="12.8" hidden="false" customHeight="false" outlineLevel="0" collapsed="false">
      <c r="A1468" s="0" t="s">
        <v>12</v>
      </c>
      <c r="B1468" s="0" t="n">
        <v>453680</v>
      </c>
      <c r="C1468" s="0" t="n">
        <v>453700</v>
      </c>
      <c r="D1468" s="0" t="s">
        <v>4912</v>
      </c>
      <c r="E1468" s="0" t="s">
        <v>75</v>
      </c>
      <c r="F1468" s="0" t="s">
        <v>15</v>
      </c>
      <c r="G1468" s="0" t="s">
        <v>20</v>
      </c>
      <c r="H1468" s="0" t="n">
        <v>28</v>
      </c>
      <c r="I1468" s="0" t="s">
        <v>4916</v>
      </c>
      <c r="J1468" s="0" t="s">
        <v>4917</v>
      </c>
      <c r="K1468" s="0" t="s">
        <v>4918</v>
      </c>
      <c r="L1468" s="0" t="str">
        <f aca="false">HYPERLINK("https://www.ncbi.nlm.nih.gov/nuccore/CP000058.1?report=graph&amp;tracks=[key:gene_model_track,Options:GeneOnly]&amp;mk=453653:453672|offset_0|444444,453681:453700|offset_28|00cc00,453712:453731|offset_59|444444,453749:453768|offset_96|444444&amp;v=453452:453968&amp;c=444444", "offset 28")</f>
        <v>offset 28</v>
      </c>
    </row>
    <row r="1469" customFormat="false" ht="12.8" hidden="false" customHeight="false" outlineLevel="0" collapsed="false">
      <c r="A1469" s="0" t="s">
        <v>12</v>
      </c>
      <c r="B1469" s="0" t="n">
        <v>453711</v>
      </c>
      <c r="C1469" s="0" t="n">
        <v>453731</v>
      </c>
      <c r="D1469" s="0" t="s">
        <v>4912</v>
      </c>
      <c r="E1469" s="0" t="s">
        <v>75</v>
      </c>
      <c r="F1469" s="0" t="s">
        <v>15</v>
      </c>
      <c r="G1469" s="0" t="s">
        <v>36</v>
      </c>
      <c r="H1469" s="0" t="n">
        <v>59</v>
      </c>
      <c r="I1469" s="0" t="s">
        <v>4919</v>
      </c>
      <c r="J1469" s="0" t="s">
        <v>4920</v>
      </c>
      <c r="K1469" s="0" t="s">
        <v>4921</v>
      </c>
      <c r="L1469" s="0" t="str">
        <f aca="false">HYPERLINK("https://www.ncbi.nlm.nih.gov/nuccore/CP000058.1?report=graph&amp;tracks=[key:gene_model_track,Options:GeneOnly]&amp;mk=453653:453672|offset_0|444444,453681:453700|offset_28|444444,453712:453731|offset_59|00cc00,453749:453768|offset_96|444444&amp;v=453452:453968&amp;c=444444", "offset 59")</f>
        <v>offset 59</v>
      </c>
    </row>
    <row r="1470" customFormat="false" ht="12.8" hidden="false" customHeight="false" outlineLevel="0" collapsed="false">
      <c r="A1470" s="0" t="s">
        <v>12</v>
      </c>
      <c r="B1470" s="0" t="n">
        <v>453748</v>
      </c>
      <c r="C1470" s="0" t="n">
        <v>453768</v>
      </c>
      <c r="D1470" s="0" t="s">
        <v>4912</v>
      </c>
      <c r="E1470" s="0" t="s">
        <v>75</v>
      </c>
      <c r="F1470" s="0" t="s">
        <v>15</v>
      </c>
      <c r="G1470" s="0" t="s">
        <v>20</v>
      </c>
      <c r="H1470" s="0" t="n">
        <v>96</v>
      </c>
      <c r="I1470" s="0" t="s">
        <v>4922</v>
      </c>
      <c r="J1470" s="0" t="s">
        <v>4923</v>
      </c>
      <c r="K1470" s="0" t="s">
        <v>4924</v>
      </c>
      <c r="L1470" s="0" t="str">
        <f aca="false">HYPERLINK("https://www.ncbi.nlm.nih.gov/nuccore/CP000058.1?report=graph&amp;tracks=[key:gene_model_track,Options:GeneOnly]&amp;mk=453653:453672|offset_0|444444,453681:453700|offset_28|444444,453712:453731|offset_59|444444,453749:453768|offset_96|00cc00&amp;v=453452:453968&amp;c=444444", "offset 96")</f>
        <v>offset 96</v>
      </c>
    </row>
    <row r="1471" customFormat="false" ht="12.8" hidden="false" customHeight="false" outlineLevel="0" collapsed="false">
      <c r="A1471" s="0" t="s">
        <v>12</v>
      </c>
      <c r="B1471" s="0" t="n">
        <v>455652</v>
      </c>
      <c r="C1471" s="0" t="n">
        <v>455672</v>
      </c>
      <c r="D1471" s="0" t="s">
        <v>4925</v>
      </c>
      <c r="E1471" s="0" t="s">
        <v>4926</v>
      </c>
      <c r="F1471" s="0" t="s">
        <v>15</v>
      </c>
      <c r="G1471" s="0" t="s">
        <v>32</v>
      </c>
      <c r="H1471" s="0" t="n">
        <v>20</v>
      </c>
      <c r="I1471" s="0" t="s">
        <v>4927</v>
      </c>
      <c r="J1471" s="0" t="s">
        <v>4928</v>
      </c>
      <c r="K1471" s="0" t="s">
        <v>4929</v>
      </c>
      <c r="L1471" s="0" t="str">
        <f aca="false">HYPERLINK("https://www.ncbi.nlm.nih.gov/nuccore/CP000058.1?report=graph&amp;tracks=[key:gene_model_track,Options:GeneOnly]&amp;mk=455653:455672|offset_20|00cc00,455714:455733|offset_81|444444,455739:455758|offset_106|444444,455763:455782|offset_130|444444&amp;v=455452:455982&amp;c=444444", "offset 20")</f>
        <v>offset 20</v>
      </c>
    </row>
    <row r="1472" customFormat="false" ht="12.8" hidden="false" customHeight="false" outlineLevel="0" collapsed="false">
      <c r="A1472" s="0" t="s">
        <v>12</v>
      </c>
      <c r="B1472" s="0" t="n">
        <v>455713</v>
      </c>
      <c r="C1472" s="0" t="n">
        <v>455733</v>
      </c>
      <c r="D1472" s="0" t="s">
        <v>4925</v>
      </c>
      <c r="E1472" s="0" t="s">
        <v>4926</v>
      </c>
      <c r="F1472" s="0" t="s">
        <v>15</v>
      </c>
      <c r="G1472" s="0" t="s">
        <v>36</v>
      </c>
      <c r="H1472" s="0" t="n">
        <v>81</v>
      </c>
      <c r="I1472" s="0" t="s">
        <v>4930</v>
      </c>
      <c r="J1472" s="0" t="s">
        <v>4931</v>
      </c>
      <c r="K1472" s="0" t="s">
        <v>4932</v>
      </c>
      <c r="L1472" s="0" t="str">
        <f aca="false">HYPERLINK("https://www.ncbi.nlm.nih.gov/nuccore/CP000058.1?report=graph&amp;tracks=[key:gene_model_track,Options:GeneOnly]&amp;mk=455653:455672|offset_20|444444,455714:455733|offset_81|00cc00,455739:455758|offset_106|444444,455763:455782|offset_130|444444&amp;v=455452:455982&amp;c=444444", "offset 81")</f>
        <v>offset 81</v>
      </c>
    </row>
    <row r="1473" customFormat="false" ht="12.8" hidden="false" customHeight="false" outlineLevel="0" collapsed="false">
      <c r="A1473" s="0" t="s">
        <v>12</v>
      </c>
      <c r="B1473" s="0" t="n">
        <v>455738</v>
      </c>
      <c r="C1473" s="0" t="n">
        <v>455758</v>
      </c>
      <c r="D1473" s="0" t="s">
        <v>4925</v>
      </c>
      <c r="E1473" s="0" t="s">
        <v>4926</v>
      </c>
      <c r="F1473" s="0" t="s">
        <v>15</v>
      </c>
      <c r="G1473" s="0" t="s">
        <v>16</v>
      </c>
      <c r="H1473" s="0" t="n">
        <v>106</v>
      </c>
      <c r="I1473" s="0" t="s">
        <v>4933</v>
      </c>
      <c r="J1473" s="0" t="s">
        <v>4934</v>
      </c>
      <c r="K1473" s="0" t="s">
        <v>4935</v>
      </c>
      <c r="L1473" s="0" t="str">
        <f aca="false">HYPERLINK("https://www.ncbi.nlm.nih.gov/nuccore/CP000058.1?report=graph&amp;tracks=[key:gene_model_track,Options:GeneOnly]&amp;mk=455653:455672|offset_20|444444,455714:455733|offset_81|444444,455739:455758|offset_106|00cc00,455763:455782|offset_130|444444&amp;v=455452:455982&amp;c=444444", "offset 106")</f>
        <v>offset 106</v>
      </c>
    </row>
    <row r="1474" customFormat="false" ht="12.8" hidden="false" customHeight="false" outlineLevel="0" collapsed="false">
      <c r="A1474" s="0" t="s">
        <v>12</v>
      </c>
      <c r="B1474" s="0" t="n">
        <v>455762</v>
      </c>
      <c r="C1474" s="0" t="n">
        <v>455782</v>
      </c>
      <c r="D1474" s="0" t="s">
        <v>4925</v>
      </c>
      <c r="E1474" s="0" t="s">
        <v>4926</v>
      </c>
      <c r="F1474" s="0" t="s">
        <v>15</v>
      </c>
      <c r="G1474" s="0" t="s">
        <v>36</v>
      </c>
      <c r="H1474" s="0" t="n">
        <v>130</v>
      </c>
      <c r="I1474" s="0" t="s">
        <v>4936</v>
      </c>
      <c r="J1474" s="0" t="s">
        <v>4937</v>
      </c>
      <c r="K1474" s="0" t="s">
        <v>4938</v>
      </c>
      <c r="L1474" s="0" t="str">
        <f aca="false">HYPERLINK("https://www.ncbi.nlm.nih.gov/nuccore/CP000058.1?report=graph&amp;tracks=[key:gene_model_track,Options:GeneOnly]&amp;mk=455653:455672|offset_20|444444,455714:455733|offset_81|444444,455739:455758|offset_106|444444,455763:455782|offset_130|00cc00&amp;v=455452:455982&amp;c=444444", "offset 130")</f>
        <v>offset 130</v>
      </c>
    </row>
    <row r="1475" customFormat="false" ht="12.8" hidden="false" customHeight="false" outlineLevel="0" collapsed="false">
      <c r="A1475" s="0" t="s">
        <v>12</v>
      </c>
      <c r="B1475" s="0" t="n">
        <v>460108</v>
      </c>
      <c r="C1475" s="0" t="n">
        <v>460128</v>
      </c>
      <c r="D1475" s="0" t="s">
        <v>4939</v>
      </c>
      <c r="E1475" s="0" t="s">
        <v>75</v>
      </c>
      <c r="F1475" s="0" t="s">
        <v>15</v>
      </c>
      <c r="G1475" s="0" t="s">
        <v>16</v>
      </c>
      <c r="H1475" s="0" t="n">
        <v>15</v>
      </c>
      <c r="I1475" s="0" t="s">
        <v>4940</v>
      </c>
      <c r="J1475" s="0" t="s">
        <v>4941</v>
      </c>
      <c r="K1475" s="0" t="s">
        <v>4942</v>
      </c>
      <c r="L1475" s="0" t="str">
        <f aca="false">HYPERLINK("https://www.ncbi.nlm.nih.gov/nuccore/CP000058.1?report=graph&amp;tracks=[key:gene_model_track,Options:GeneOnly]&amp;mk=460109:460128|offset_15|00cc00,460137:460156|offset_43|444444&amp;v=459908:460356&amp;c=444444", "offset 15")</f>
        <v>offset 15</v>
      </c>
    </row>
    <row r="1476" customFormat="false" ht="12.8" hidden="false" customHeight="false" outlineLevel="0" collapsed="false">
      <c r="A1476" s="0" t="s">
        <v>12</v>
      </c>
      <c r="B1476" s="0" t="n">
        <v>460136</v>
      </c>
      <c r="C1476" s="0" t="n">
        <v>460156</v>
      </c>
      <c r="D1476" s="0" t="s">
        <v>4939</v>
      </c>
      <c r="E1476" s="0" t="s">
        <v>75</v>
      </c>
      <c r="F1476" s="0" t="s">
        <v>15</v>
      </c>
      <c r="G1476" s="0" t="s">
        <v>20</v>
      </c>
      <c r="H1476" s="0" t="n">
        <v>43</v>
      </c>
      <c r="I1476" s="0" t="s">
        <v>4943</v>
      </c>
      <c r="J1476" s="0" t="s">
        <v>4944</v>
      </c>
      <c r="K1476" s="0" t="s">
        <v>4945</v>
      </c>
      <c r="L1476" s="0" t="str">
        <f aca="false">HYPERLINK("https://www.ncbi.nlm.nih.gov/nuccore/CP000058.1?report=graph&amp;tracks=[key:gene_model_track,Options:GeneOnly]&amp;mk=460109:460128|offset_15|444444,460137:460156|offset_43|00cc00&amp;v=459908:460356&amp;c=444444", "offset 43")</f>
        <v>offset 43</v>
      </c>
    </row>
    <row r="1477" customFormat="false" ht="12.8" hidden="false" customHeight="false" outlineLevel="0" collapsed="false">
      <c r="A1477" s="0" t="s">
        <v>12</v>
      </c>
      <c r="B1477" s="0" t="n">
        <v>460229</v>
      </c>
      <c r="C1477" s="0" t="n">
        <v>460249</v>
      </c>
      <c r="D1477" s="0" t="s">
        <v>4946</v>
      </c>
      <c r="E1477" s="0" t="s">
        <v>4947</v>
      </c>
      <c r="F1477" s="0" t="s">
        <v>15</v>
      </c>
      <c r="G1477" s="0" t="s">
        <v>32</v>
      </c>
      <c r="H1477" s="0" t="n">
        <v>29</v>
      </c>
      <c r="I1477" s="0" t="s">
        <v>4948</v>
      </c>
      <c r="J1477" s="0" t="s">
        <v>4949</v>
      </c>
      <c r="K1477" s="0" t="s">
        <v>4950</v>
      </c>
      <c r="L1477" s="0" t="str">
        <f aca="false">HYPERLINK("https://www.ncbi.nlm.nih.gov/nuccore/CP000058.1?report=graph&amp;tracks=[key:gene_model_track,Options:GeneOnly]&amp;mk=460230:460249|offset_29|00cc00,460257:460276|offset_56|444444,460312:460331|offset_111|444444,460334:460353|offset_133|444444&amp;v=460029:460553&amp;c=444444", "offset 29")</f>
        <v>offset 29</v>
      </c>
    </row>
    <row r="1478" customFormat="false" ht="12.8" hidden="false" customHeight="false" outlineLevel="0" collapsed="false">
      <c r="A1478" s="0" t="s">
        <v>12</v>
      </c>
      <c r="B1478" s="0" t="n">
        <v>460256</v>
      </c>
      <c r="C1478" s="0" t="n">
        <v>460276</v>
      </c>
      <c r="D1478" s="0" t="s">
        <v>4946</v>
      </c>
      <c r="E1478" s="0" t="s">
        <v>4947</v>
      </c>
      <c r="F1478" s="0" t="s">
        <v>15</v>
      </c>
      <c r="G1478" s="0" t="s">
        <v>36</v>
      </c>
      <c r="H1478" s="0" t="n">
        <v>56</v>
      </c>
      <c r="I1478" s="0" t="s">
        <v>4951</v>
      </c>
      <c r="J1478" s="0" t="s">
        <v>4952</v>
      </c>
      <c r="K1478" s="0" t="s">
        <v>4953</v>
      </c>
      <c r="L1478" s="0" t="str">
        <f aca="false">HYPERLINK("https://www.ncbi.nlm.nih.gov/nuccore/CP000058.1?report=graph&amp;tracks=[key:gene_model_track,Options:GeneOnly]&amp;mk=460230:460249|offset_29|444444,460257:460276|offset_56|00cc00,460312:460331|offset_111|444444,460334:460353|offset_133|444444&amp;v=460029:460553&amp;c=444444", "offset 56")</f>
        <v>offset 56</v>
      </c>
    </row>
    <row r="1479" customFormat="false" ht="12.8" hidden="false" customHeight="false" outlineLevel="0" collapsed="false">
      <c r="A1479" s="0" t="s">
        <v>12</v>
      </c>
      <c r="B1479" s="0" t="n">
        <v>460311</v>
      </c>
      <c r="C1479" s="0" t="n">
        <v>460331</v>
      </c>
      <c r="D1479" s="0" t="s">
        <v>4946</v>
      </c>
      <c r="E1479" s="0" t="s">
        <v>4947</v>
      </c>
      <c r="F1479" s="0" t="s">
        <v>15</v>
      </c>
      <c r="G1479" s="0" t="s">
        <v>16</v>
      </c>
      <c r="H1479" s="0" t="n">
        <v>111</v>
      </c>
      <c r="I1479" s="0" t="s">
        <v>4954</v>
      </c>
      <c r="J1479" s="0" t="s">
        <v>4955</v>
      </c>
      <c r="K1479" s="0" t="s">
        <v>4956</v>
      </c>
      <c r="L1479" s="0" t="str">
        <f aca="false">HYPERLINK("https://www.ncbi.nlm.nih.gov/nuccore/CP000058.1?report=graph&amp;tracks=[key:gene_model_track,Options:GeneOnly]&amp;mk=460230:460249|offset_29|444444,460257:460276|offset_56|444444,460312:460331|offset_111|00cc00,460334:460353|offset_133|444444&amp;v=460029:460553&amp;c=444444", "offset 111")</f>
        <v>offset 111</v>
      </c>
    </row>
    <row r="1480" customFormat="false" ht="12.8" hidden="false" customHeight="false" outlineLevel="0" collapsed="false">
      <c r="A1480" s="0" t="s">
        <v>12</v>
      </c>
      <c r="B1480" s="0" t="n">
        <v>460333</v>
      </c>
      <c r="C1480" s="0" t="n">
        <v>460353</v>
      </c>
      <c r="D1480" s="0" t="s">
        <v>4946</v>
      </c>
      <c r="E1480" s="0" t="s">
        <v>4947</v>
      </c>
      <c r="F1480" s="0" t="s">
        <v>15</v>
      </c>
      <c r="G1480" s="0" t="s">
        <v>16</v>
      </c>
      <c r="H1480" s="0" t="n">
        <v>133</v>
      </c>
      <c r="I1480" s="0" t="s">
        <v>4957</v>
      </c>
      <c r="J1480" s="0" t="s">
        <v>4958</v>
      </c>
      <c r="K1480" s="0" t="s">
        <v>4959</v>
      </c>
      <c r="L1480" s="0" t="str">
        <f aca="false">HYPERLINK("https://www.ncbi.nlm.nih.gov/nuccore/CP000058.1?report=graph&amp;tracks=[key:gene_model_track,Options:GeneOnly]&amp;mk=460230:460249|offset_29|444444,460257:460276|offset_56|444444,460312:460331|offset_111|444444,460334:460353|offset_133|00cc00&amp;v=460029:460553&amp;c=444444", "offset 133")</f>
        <v>offset 133</v>
      </c>
    </row>
    <row r="1481" customFormat="false" ht="12.8" hidden="false" customHeight="false" outlineLevel="0" collapsed="false">
      <c r="A1481" s="0" t="s">
        <v>12</v>
      </c>
      <c r="B1481" s="0" t="n">
        <v>461810</v>
      </c>
      <c r="C1481" s="0" t="n">
        <v>461830</v>
      </c>
      <c r="D1481" s="0" t="s">
        <v>4960</v>
      </c>
      <c r="E1481" s="0" t="s">
        <v>75</v>
      </c>
      <c r="F1481" s="0" t="s">
        <v>15</v>
      </c>
      <c r="G1481" s="0" t="s">
        <v>20</v>
      </c>
      <c r="H1481" s="0" t="n">
        <v>26</v>
      </c>
      <c r="I1481" s="0" t="s">
        <v>4961</v>
      </c>
      <c r="J1481" s="0" t="s">
        <v>4962</v>
      </c>
      <c r="K1481" s="0" t="s">
        <v>4963</v>
      </c>
      <c r="L1481" s="0" t="str">
        <f aca="false">HYPERLINK("https://www.ncbi.nlm.nih.gov/nuccore/CP000058.1?report=graph&amp;tracks=[key:gene_model_track,Options:GeneOnly]&amp;mk=461811:461830|offset_26|00cc00,461831:461850|offset_46|444444,461854:461873|offset_69|444444,461903:461922|offset_118|444444&amp;v=461610:462122&amp;c=444444", "offset 26")</f>
        <v>offset 26</v>
      </c>
    </row>
    <row r="1482" customFormat="false" ht="12.8" hidden="false" customHeight="false" outlineLevel="0" collapsed="false">
      <c r="A1482" s="0" t="s">
        <v>12</v>
      </c>
      <c r="B1482" s="0" t="n">
        <v>461830</v>
      </c>
      <c r="C1482" s="0" t="n">
        <v>461850</v>
      </c>
      <c r="D1482" s="0" t="s">
        <v>4960</v>
      </c>
      <c r="E1482" s="0" t="s">
        <v>75</v>
      </c>
      <c r="F1482" s="0" t="s">
        <v>15</v>
      </c>
      <c r="G1482" s="0" t="s">
        <v>20</v>
      </c>
      <c r="H1482" s="0" t="n">
        <v>46</v>
      </c>
      <c r="I1482" s="0" t="s">
        <v>4964</v>
      </c>
      <c r="J1482" s="0" t="s">
        <v>4965</v>
      </c>
      <c r="K1482" s="0" t="s">
        <v>4966</v>
      </c>
      <c r="L1482" s="0" t="str">
        <f aca="false">HYPERLINK("https://www.ncbi.nlm.nih.gov/nuccore/CP000058.1?report=graph&amp;tracks=[key:gene_model_track,Options:GeneOnly]&amp;mk=461811:461830|offset_26|444444,461831:461850|offset_46|00cc00,461854:461873|offset_69|444444,461903:461922|offset_118|444444&amp;v=461610:462122&amp;c=444444", "offset 46")</f>
        <v>offset 46</v>
      </c>
    </row>
    <row r="1483" customFormat="false" ht="12.8" hidden="false" customHeight="false" outlineLevel="0" collapsed="false">
      <c r="A1483" s="0" t="s">
        <v>12</v>
      </c>
      <c r="B1483" s="0" t="n">
        <v>461853</v>
      </c>
      <c r="C1483" s="0" t="n">
        <v>461873</v>
      </c>
      <c r="D1483" s="0" t="s">
        <v>4960</v>
      </c>
      <c r="E1483" s="0" t="s">
        <v>75</v>
      </c>
      <c r="F1483" s="0" t="s">
        <v>15</v>
      </c>
      <c r="G1483" s="0" t="s">
        <v>36</v>
      </c>
      <c r="H1483" s="0" t="n">
        <v>69</v>
      </c>
      <c r="I1483" s="0" t="s">
        <v>4967</v>
      </c>
      <c r="J1483" s="0" t="s">
        <v>4968</v>
      </c>
      <c r="K1483" s="0" t="s">
        <v>4969</v>
      </c>
      <c r="L1483" s="0" t="str">
        <f aca="false">HYPERLINK("https://www.ncbi.nlm.nih.gov/nuccore/CP000058.1?report=graph&amp;tracks=[key:gene_model_track,Options:GeneOnly]&amp;mk=461811:461830|offset_26|444444,461831:461850|offset_46|444444,461854:461873|offset_69|00cc00,461903:461922|offset_118|444444&amp;v=461610:462122&amp;c=444444", "offset 69")</f>
        <v>offset 69</v>
      </c>
    </row>
    <row r="1484" customFormat="false" ht="12.8" hidden="false" customHeight="false" outlineLevel="0" collapsed="false">
      <c r="A1484" s="0" t="s">
        <v>12</v>
      </c>
      <c r="B1484" s="0" t="n">
        <v>461902</v>
      </c>
      <c r="C1484" s="0" t="n">
        <v>461922</v>
      </c>
      <c r="D1484" s="0" t="s">
        <v>4960</v>
      </c>
      <c r="E1484" s="0" t="s">
        <v>75</v>
      </c>
      <c r="F1484" s="0" t="s">
        <v>15</v>
      </c>
      <c r="G1484" s="0" t="s">
        <v>16</v>
      </c>
      <c r="H1484" s="0" t="n">
        <v>118</v>
      </c>
      <c r="I1484" s="0" t="s">
        <v>4970</v>
      </c>
      <c r="J1484" s="0" t="s">
        <v>4971</v>
      </c>
      <c r="K1484" s="0" t="s">
        <v>4972</v>
      </c>
      <c r="L1484" s="0" t="str">
        <f aca="false">HYPERLINK("https://www.ncbi.nlm.nih.gov/nuccore/CP000058.1?report=graph&amp;tracks=[key:gene_model_track,Options:GeneOnly]&amp;mk=461811:461830|offset_26|444444,461831:461850|offset_46|444444,461854:461873|offset_69|444444,461903:461922|offset_118|00cc00&amp;v=461610:462122&amp;c=444444", "offset 118")</f>
        <v>offset 118</v>
      </c>
    </row>
    <row r="1485" customFormat="false" ht="12.8" hidden="false" customHeight="false" outlineLevel="0" collapsed="false">
      <c r="A1485" s="0" t="s">
        <v>12</v>
      </c>
      <c r="B1485" s="0" t="n">
        <v>463663</v>
      </c>
      <c r="C1485" s="0" t="n">
        <v>463683</v>
      </c>
      <c r="D1485" s="0" t="s">
        <v>4973</v>
      </c>
      <c r="E1485" s="0" t="s">
        <v>75</v>
      </c>
      <c r="F1485" s="0" t="s">
        <v>15</v>
      </c>
      <c r="G1485" s="0" t="s">
        <v>32</v>
      </c>
      <c r="H1485" s="0" t="n">
        <v>1</v>
      </c>
      <c r="I1485" s="0" t="s">
        <v>4974</v>
      </c>
      <c r="J1485" s="0" t="s">
        <v>4975</v>
      </c>
      <c r="K1485" s="0" t="s">
        <v>4976</v>
      </c>
      <c r="L1485" s="0" t="str">
        <f aca="false">HYPERLINK("https://www.ncbi.nlm.nih.gov/nuccore/CP000058.1?report=graph&amp;tracks=[key:gene_model_track,Options:GeneOnly]&amp;mk=463664:463683|offset_1|00cc00,463703:463722|offset_40|444444,463726:463745|offset_63|444444,463754:463773|offset_91|444444&amp;v=463463:463973&amp;c=444444", "offset 1")</f>
        <v>offset 1</v>
      </c>
    </row>
    <row r="1486" customFormat="false" ht="12.8" hidden="false" customHeight="false" outlineLevel="0" collapsed="false">
      <c r="A1486" s="0" t="s">
        <v>12</v>
      </c>
      <c r="B1486" s="0" t="n">
        <v>463702</v>
      </c>
      <c r="C1486" s="0" t="n">
        <v>463722</v>
      </c>
      <c r="D1486" s="0" t="s">
        <v>4973</v>
      </c>
      <c r="E1486" s="0" t="s">
        <v>75</v>
      </c>
      <c r="F1486" s="0" t="s">
        <v>15</v>
      </c>
      <c r="G1486" s="0" t="s">
        <v>32</v>
      </c>
      <c r="H1486" s="0" t="n">
        <v>40</v>
      </c>
      <c r="I1486" s="0" t="s">
        <v>4977</v>
      </c>
      <c r="J1486" s="0" t="s">
        <v>4978</v>
      </c>
      <c r="K1486" s="0" t="s">
        <v>4979</v>
      </c>
      <c r="L1486" s="0" t="str">
        <f aca="false">HYPERLINK("https://www.ncbi.nlm.nih.gov/nuccore/CP000058.1?report=graph&amp;tracks=[key:gene_model_track,Options:GeneOnly]&amp;mk=463664:463683|offset_1|444444,463703:463722|offset_40|00cc00,463726:463745|offset_63|444444,463754:463773|offset_91|444444&amp;v=463463:463973&amp;c=444444", "offset 40")</f>
        <v>offset 40</v>
      </c>
    </row>
    <row r="1487" customFormat="false" ht="12.8" hidden="false" customHeight="false" outlineLevel="0" collapsed="false">
      <c r="A1487" s="0" t="s">
        <v>12</v>
      </c>
      <c r="B1487" s="0" t="n">
        <v>463725</v>
      </c>
      <c r="C1487" s="0" t="n">
        <v>463745</v>
      </c>
      <c r="D1487" s="0" t="s">
        <v>4973</v>
      </c>
      <c r="E1487" s="0" t="s">
        <v>75</v>
      </c>
      <c r="F1487" s="0" t="s">
        <v>15</v>
      </c>
      <c r="G1487" s="0" t="s">
        <v>16</v>
      </c>
      <c r="H1487" s="0" t="n">
        <v>63</v>
      </c>
      <c r="I1487" s="0" t="s">
        <v>4980</v>
      </c>
      <c r="J1487" s="0" t="s">
        <v>4981</v>
      </c>
      <c r="K1487" s="0" t="s">
        <v>4982</v>
      </c>
      <c r="L1487" s="0" t="str">
        <f aca="false">HYPERLINK("https://www.ncbi.nlm.nih.gov/nuccore/CP000058.1?report=graph&amp;tracks=[key:gene_model_track,Options:GeneOnly]&amp;mk=463664:463683|offset_1|444444,463703:463722|offset_40|444444,463726:463745|offset_63|00cc00,463754:463773|offset_91|444444&amp;v=463463:463973&amp;c=444444", "offset 63")</f>
        <v>offset 63</v>
      </c>
    </row>
    <row r="1488" customFormat="false" ht="12.8" hidden="false" customHeight="false" outlineLevel="0" collapsed="false">
      <c r="A1488" s="0" t="s">
        <v>12</v>
      </c>
      <c r="B1488" s="0" t="n">
        <v>463753</v>
      </c>
      <c r="C1488" s="0" t="n">
        <v>463773</v>
      </c>
      <c r="D1488" s="0" t="s">
        <v>4973</v>
      </c>
      <c r="E1488" s="0" t="s">
        <v>75</v>
      </c>
      <c r="F1488" s="0" t="s">
        <v>15</v>
      </c>
      <c r="G1488" s="0" t="s">
        <v>16</v>
      </c>
      <c r="H1488" s="0" t="n">
        <v>91</v>
      </c>
      <c r="I1488" s="0" t="s">
        <v>4983</v>
      </c>
      <c r="J1488" s="0" t="s">
        <v>4984</v>
      </c>
      <c r="K1488" s="0" t="s">
        <v>4985</v>
      </c>
      <c r="L1488" s="0" t="str">
        <f aca="false">HYPERLINK("https://www.ncbi.nlm.nih.gov/nuccore/CP000058.1?report=graph&amp;tracks=[key:gene_model_track,Options:GeneOnly]&amp;mk=463664:463683|offset_1|444444,463703:463722|offset_40|444444,463726:463745|offset_63|444444,463754:463773|offset_91|00cc00&amp;v=463463:463973&amp;c=444444", "offset 91")</f>
        <v>offset 91</v>
      </c>
    </row>
    <row r="1489" customFormat="false" ht="12.8" hidden="false" customHeight="false" outlineLevel="0" collapsed="false">
      <c r="A1489" s="0" t="s">
        <v>12</v>
      </c>
      <c r="B1489" s="0" t="n">
        <v>465530</v>
      </c>
      <c r="C1489" s="0" t="n">
        <v>465550</v>
      </c>
      <c r="D1489" s="0" t="s">
        <v>4986</v>
      </c>
      <c r="E1489" s="0" t="s">
        <v>75</v>
      </c>
      <c r="F1489" s="0" t="s">
        <v>15</v>
      </c>
      <c r="G1489" s="0" t="s">
        <v>20</v>
      </c>
      <c r="H1489" s="0" t="n">
        <v>36</v>
      </c>
      <c r="I1489" s="0" t="s">
        <v>4987</v>
      </c>
      <c r="J1489" s="0" t="s">
        <v>4988</v>
      </c>
      <c r="K1489" s="0" t="s">
        <v>4989</v>
      </c>
      <c r="L1489" s="0" t="str">
        <f aca="false">HYPERLINK("https://www.ncbi.nlm.nih.gov/nuccore/CP000058.1?report=graph&amp;tracks=[key:gene_model_track,Options:GeneOnly]&amp;mk=465531:465550|offset_36|00cc00,465571:465590|offset_76|444444,465602:465621|offset_107|444444,465638:465657|offset_143|444444&amp;v=465330:465857&amp;c=444444", "offset 36")</f>
        <v>offset 36</v>
      </c>
    </row>
    <row r="1490" customFormat="false" ht="12.8" hidden="false" customHeight="false" outlineLevel="0" collapsed="false">
      <c r="A1490" s="0" t="s">
        <v>12</v>
      </c>
      <c r="B1490" s="0" t="n">
        <v>465570</v>
      </c>
      <c r="C1490" s="0" t="n">
        <v>465590</v>
      </c>
      <c r="D1490" s="0" t="s">
        <v>4986</v>
      </c>
      <c r="E1490" s="0" t="s">
        <v>75</v>
      </c>
      <c r="F1490" s="0" t="s">
        <v>15</v>
      </c>
      <c r="G1490" s="0" t="s">
        <v>16</v>
      </c>
      <c r="H1490" s="0" t="n">
        <v>76</v>
      </c>
      <c r="I1490" s="0" t="s">
        <v>4990</v>
      </c>
      <c r="J1490" s="0" t="s">
        <v>4991</v>
      </c>
      <c r="K1490" s="0" t="s">
        <v>4992</v>
      </c>
      <c r="L1490" s="0" t="str">
        <f aca="false">HYPERLINK("https://www.ncbi.nlm.nih.gov/nuccore/CP000058.1?report=graph&amp;tracks=[key:gene_model_track,Options:GeneOnly]&amp;mk=465531:465550|offset_36|444444,465571:465590|offset_76|00cc00,465602:465621|offset_107|444444,465638:465657|offset_143|444444&amp;v=465330:465857&amp;c=444444", "offset 76")</f>
        <v>offset 76</v>
      </c>
    </row>
    <row r="1491" customFormat="false" ht="12.8" hidden="false" customHeight="false" outlineLevel="0" collapsed="false">
      <c r="A1491" s="0" t="s">
        <v>12</v>
      </c>
      <c r="B1491" s="0" t="n">
        <v>465601</v>
      </c>
      <c r="C1491" s="0" t="n">
        <v>465621</v>
      </c>
      <c r="D1491" s="0" t="s">
        <v>4986</v>
      </c>
      <c r="E1491" s="0" t="s">
        <v>75</v>
      </c>
      <c r="F1491" s="0" t="s">
        <v>15</v>
      </c>
      <c r="G1491" s="0" t="s">
        <v>16</v>
      </c>
      <c r="H1491" s="0" t="n">
        <v>107</v>
      </c>
      <c r="I1491" s="0" t="s">
        <v>4993</v>
      </c>
      <c r="J1491" s="0" t="s">
        <v>4994</v>
      </c>
      <c r="K1491" s="0" t="s">
        <v>4995</v>
      </c>
      <c r="L1491" s="0" t="str">
        <f aca="false">HYPERLINK("https://www.ncbi.nlm.nih.gov/nuccore/CP000058.1?report=graph&amp;tracks=[key:gene_model_track,Options:GeneOnly]&amp;mk=465531:465550|offset_36|444444,465571:465590|offset_76|444444,465602:465621|offset_107|00cc00,465638:465657|offset_143|444444&amp;v=465330:465857&amp;c=444444", "offset 107")</f>
        <v>offset 107</v>
      </c>
    </row>
    <row r="1492" customFormat="false" ht="12.8" hidden="false" customHeight="false" outlineLevel="0" collapsed="false">
      <c r="A1492" s="0" t="s">
        <v>12</v>
      </c>
      <c r="B1492" s="0" t="n">
        <v>465637</v>
      </c>
      <c r="C1492" s="0" t="n">
        <v>465657</v>
      </c>
      <c r="D1492" s="0" t="s">
        <v>4986</v>
      </c>
      <c r="E1492" s="0" t="s">
        <v>75</v>
      </c>
      <c r="F1492" s="0" t="s">
        <v>15</v>
      </c>
      <c r="G1492" s="0" t="s">
        <v>32</v>
      </c>
      <c r="H1492" s="0" t="n">
        <v>143</v>
      </c>
      <c r="I1492" s="0" t="s">
        <v>4996</v>
      </c>
      <c r="J1492" s="0" t="s">
        <v>4997</v>
      </c>
      <c r="K1492" s="0" t="s">
        <v>4998</v>
      </c>
      <c r="L1492" s="0" t="str">
        <f aca="false">HYPERLINK("https://www.ncbi.nlm.nih.gov/nuccore/CP000058.1?report=graph&amp;tracks=[key:gene_model_track,Options:GeneOnly]&amp;mk=465531:465550|offset_36|444444,465571:465590|offset_76|444444,465602:465621|offset_107|444444,465638:465657|offset_143|00cc00&amp;v=465330:465857&amp;c=444444", "offset 143")</f>
        <v>offset 143</v>
      </c>
    </row>
    <row r="1493" customFormat="false" ht="12.8" hidden="false" customHeight="false" outlineLevel="0" collapsed="false">
      <c r="A1493" s="0" t="s">
        <v>12</v>
      </c>
      <c r="B1493" s="0" t="n">
        <v>467026</v>
      </c>
      <c r="C1493" s="0" t="n">
        <v>467046</v>
      </c>
      <c r="D1493" s="0" t="s">
        <v>4999</v>
      </c>
      <c r="E1493" s="0" t="s">
        <v>5000</v>
      </c>
      <c r="F1493" s="0" t="s">
        <v>15</v>
      </c>
      <c r="G1493" s="0" t="s">
        <v>36</v>
      </c>
      <c r="H1493" s="0" t="n">
        <v>10</v>
      </c>
      <c r="I1493" s="0" t="s">
        <v>5001</v>
      </c>
      <c r="J1493" s="0" t="s">
        <v>5002</v>
      </c>
      <c r="K1493" s="0" t="s">
        <v>5003</v>
      </c>
      <c r="L1493" s="0" t="str">
        <f aca="false">HYPERLINK("https://www.ncbi.nlm.nih.gov/nuccore/CP000058.1?report=graph&amp;tracks=[key:gene_model_track,Options:GeneOnly]&amp;mk=467027:467046|offset_10|00cc00,467068:467087|offset_51|444444,467100:467119|offset_83|444444,467127:467146|offset_110|444444&amp;v=466826:467346&amp;c=444444", "offset 10")</f>
        <v>offset 10</v>
      </c>
    </row>
    <row r="1494" customFormat="false" ht="12.8" hidden="false" customHeight="false" outlineLevel="0" collapsed="false">
      <c r="A1494" s="0" t="s">
        <v>12</v>
      </c>
      <c r="B1494" s="0" t="n">
        <v>467067</v>
      </c>
      <c r="C1494" s="0" t="n">
        <v>467087</v>
      </c>
      <c r="D1494" s="0" t="s">
        <v>4999</v>
      </c>
      <c r="E1494" s="0" t="s">
        <v>5000</v>
      </c>
      <c r="F1494" s="0" t="s">
        <v>15</v>
      </c>
      <c r="G1494" s="0" t="s">
        <v>36</v>
      </c>
      <c r="H1494" s="0" t="n">
        <v>51</v>
      </c>
      <c r="I1494" s="0" t="s">
        <v>5004</v>
      </c>
      <c r="J1494" s="0" t="s">
        <v>5005</v>
      </c>
      <c r="K1494" s="0" t="s">
        <v>5006</v>
      </c>
      <c r="L1494" s="0" t="str">
        <f aca="false">HYPERLINK("https://www.ncbi.nlm.nih.gov/nuccore/CP000058.1?report=graph&amp;tracks=[key:gene_model_track,Options:GeneOnly]&amp;mk=467027:467046|offset_10|444444,467068:467087|offset_51|00cc00,467100:467119|offset_83|444444,467127:467146|offset_110|444444&amp;v=466826:467346&amp;c=444444", "offset 51")</f>
        <v>offset 51</v>
      </c>
    </row>
    <row r="1495" customFormat="false" ht="12.8" hidden="false" customHeight="false" outlineLevel="0" collapsed="false">
      <c r="A1495" s="0" t="s">
        <v>12</v>
      </c>
      <c r="B1495" s="0" t="n">
        <v>467099</v>
      </c>
      <c r="C1495" s="0" t="n">
        <v>467119</v>
      </c>
      <c r="D1495" s="0" t="s">
        <v>4999</v>
      </c>
      <c r="E1495" s="0" t="s">
        <v>5000</v>
      </c>
      <c r="F1495" s="0" t="s">
        <v>15</v>
      </c>
      <c r="G1495" s="0" t="s">
        <v>32</v>
      </c>
      <c r="H1495" s="0" t="n">
        <v>83</v>
      </c>
      <c r="I1495" s="0" t="s">
        <v>5007</v>
      </c>
      <c r="J1495" s="0" t="s">
        <v>5008</v>
      </c>
      <c r="K1495" s="0" t="s">
        <v>5009</v>
      </c>
      <c r="L1495" s="0" t="str">
        <f aca="false">HYPERLINK("https://www.ncbi.nlm.nih.gov/nuccore/CP000058.1?report=graph&amp;tracks=[key:gene_model_track,Options:GeneOnly]&amp;mk=467027:467046|offset_10|444444,467068:467087|offset_51|444444,467100:467119|offset_83|00cc00,467127:467146|offset_110|444444&amp;v=466826:467346&amp;c=444444", "offset 83")</f>
        <v>offset 83</v>
      </c>
    </row>
    <row r="1496" customFormat="false" ht="12.8" hidden="false" customHeight="false" outlineLevel="0" collapsed="false">
      <c r="A1496" s="0" t="s">
        <v>12</v>
      </c>
      <c r="B1496" s="0" t="n">
        <v>467126</v>
      </c>
      <c r="C1496" s="0" t="n">
        <v>467146</v>
      </c>
      <c r="D1496" s="0" t="s">
        <v>4999</v>
      </c>
      <c r="E1496" s="0" t="s">
        <v>5000</v>
      </c>
      <c r="F1496" s="0" t="s">
        <v>15</v>
      </c>
      <c r="G1496" s="0" t="s">
        <v>16</v>
      </c>
      <c r="H1496" s="0" t="n">
        <v>110</v>
      </c>
      <c r="I1496" s="0" t="s">
        <v>5010</v>
      </c>
      <c r="J1496" s="0" t="s">
        <v>5011</v>
      </c>
      <c r="K1496" s="0" t="s">
        <v>5012</v>
      </c>
      <c r="L1496" s="0" t="str">
        <f aca="false">HYPERLINK("https://www.ncbi.nlm.nih.gov/nuccore/CP000058.1?report=graph&amp;tracks=[key:gene_model_track,Options:GeneOnly]&amp;mk=467027:467046|offset_10|444444,467068:467087|offset_51|444444,467100:467119|offset_83|444444,467127:467146|offset_110|00cc00&amp;v=466826:467346&amp;c=444444", "offset 110")</f>
        <v>offset 110</v>
      </c>
    </row>
    <row r="1497" customFormat="false" ht="12.8" hidden="false" customHeight="false" outlineLevel="0" collapsed="false">
      <c r="A1497" s="0" t="s">
        <v>12</v>
      </c>
      <c r="B1497" s="0" t="n">
        <v>469583</v>
      </c>
      <c r="C1497" s="0" t="n">
        <v>469603</v>
      </c>
      <c r="D1497" s="0" t="s">
        <v>5013</v>
      </c>
      <c r="E1497" s="0" t="s">
        <v>75</v>
      </c>
      <c r="F1497" s="0" t="s">
        <v>90</v>
      </c>
      <c r="G1497" s="0" t="s">
        <v>20</v>
      </c>
      <c r="H1497" s="0" t="n">
        <v>14</v>
      </c>
      <c r="I1497" s="0" t="s">
        <v>5014</v>
      </c>
      <c r="J1497" s="0" t="s">
        <v>5015</v>
      </c>
      <c r="K1497" s="0" t="s">
        <v>5016</v>
      </c>
      <c r="L1497" s="0" t="str">
        <f aca="false">HYPERLINK("https://www.ncbi.nlm.nih.gov/nuccore/CP000058.1?report=graph&amp;tracks=[key:gene_model_track,Options:GeneOnly]&amp;mk=469584:469603|offset_14|00cc00,469541:469560|offset_57|444444,469485:469504|offset_113|444444,469447:469466|offset_151|444444&amp;v=469383:469666&amp;c=444444", "offset 14")</f>
        <v>offset 14</v>
      </c>
    </row>
    <row r="1498" customFormat="false" ht="12.8" hidden="false" customHeight="false" outlineLevel="0" collapsed="false">
      <c r="A1498" s="0" t="s">
        <v>12</v>
      </c>
      <c r="B1498" s="0" t="n">
        <v>469540</v>
      </c>
      <c r="C1498" s="0" t="n">
        <v>469560</v>
      </c>
      <c r="D1498" s="0" t="s">
        <v>5013</v>
      </c>
      <c r="E1498" s="0" t="s">
        <v>75</v>
      </c>
      <c r="F1498" s="0" t="s">
        <v>90</v>
      </c>
      <c r="G1498" s="0" t="s">
        <v>36</v>
      </c>
      <c r="H1498" s="0" t="n">
        <v>57</v>
      </c>
      <c r="I1498" s="0" t="s">
        <v>5017</v>
      </c>
      <c r="J1498" s="0" t="s">
        <v>5018</v>
      </c>
      <c r="K1498" s="0" t="s">
        <v>5019</v>
      </c>
      <c r="L1498" s="0" t="str">
        <f aca="false">HYPERLINK("https://www.ncbi.nlm.nih.gov/nuccore/CP000058.1?report=graph&amp;tracks=[key:gene_model_track,Options:GeneOnly]&amp;mk=469584:469603|offset_14|444444,469541:469560|offset_57|00cc00,469485:469504|offset_113|444444,469447:469466|offset_151|444444&amp;v=469383:469666&amp;c=444444", "offset 57")</f>
        <v>offset 57</v>
      </c>
    </row>
    <row r="1499" customFormat="false" ht="12.8" hidden="false" customHeight="false" outlineLevel="0" collapsed="false">
      <c r="A1499" s="0" t="s">
        <v>12</v>
      </c>
      <c r="B1499" s="0" t="n">
        <v>469484</v>
      </c>
      <c r="C1499" s="0" t="n">
        <v>469504</v>
      </c>
      <c r="D1499" s="0" t="s">
        <v>5013</v>
      </c>
      <c r="E1499" s="0" t="s">
        <v>75</v>
      </c>
      <c r="F1499" s="0" t="s">
        <v>90</v>
      </c>
      <c r="G1499" s="0" t="s">
        <v>20</v>
      </c>
      <c r="H1499" s="0" t="n">
        <v>113</v>
      </c>
      <c r="I1499" s="0" t="s">
        <v>5020</v>
      </c>
      <c r="J1499" s="0" t="s">
        <v>5021</v>
      </c>
      <c r="K1499" s="0" t="s">
        <v>5022</v>
      </c>
      <c r="L1499" s="0" t="str">
        <f aca="false">HYPERLINK("https://www.ncbi.nlm.nih.gov/nuccore/CP000058.1?report=graph&amp;tracks=[key:gene_model_track,Options:GeneOnly]&amp;mk=469584:469603|offset_14|444444,469541:469560|offset_57|444444,469485:469504|offset_113|00cc00,469447:469466|offset_151|444444&amp;v=469383:469666&amp;c=444444", "offset 113")</f>
        <v>offset 113</v>
      </c>
    </row>
    <row r="1500" customFormat="false" ht="12.8" hidden="false" customHeight="false" outlineLevel="0" collapsed="false">
      <c r="A1500" s="0" t="s">
        <v>12</v>
      </c>
      <c r="B1500" s="0" t="n">
        <v>469446</v>
      </c>
      <c r="C1500" s="0" t="n">
        <v>469466</v>
      </c>
      <c r="D1500" s="0" t="s">
        <v>5013</v>
      </c>
      <c r="E1500" s="0" t="s">
        <v>75</v>
      </c>
      <c r="F1500" s="0" t="s">
        <v>90</v>
      </c>
      <c r="G1500" s="0" t="s">
        <v>16</v>
      </c>
      <c r="H1500" s="0" t="n">
        <v>151</v>
      </c>
      <c r="I1500" s="0" t="s">
        <v>5023</v>
      </c>
      <c r="J1500" s="0" t="s">
        <v>5024</v>
      </c>
      <c r="K1500" s="0" t="s">
        <v>5025</v>
      </c>
      <c r="L1500" s="0" t="str">
        <f aca="false">HYPERLINK("https://www.ncbi.nlm.nih.gov/nuccore/CP000058.1?report=graph&amp;tracks=[key:gene_model_track,Options:GeneOnly]&amp;mk=469584:469603|offset_14|444444,469541:469560|offset_57|444444,469485:469504|offset_113|444444,469447:469466|offset_151|00cc00&amp;v=469383:469666&amp;c=444444", "offset 151")</f>
        <v>offset 151</v>
      </c>
    </row>
    <row r="1501" customFormat="false" ht="12.8" hidden="false" customHeight="false" outlineLevel="0" collapsed="false">
      <c r="A1501" s="0" t="s">
        <v>12</v>
      </c>
      <c r="B1501" s="0" t="n">
        <v>470444</v>
      </c>
      <c r="C1501" s="0" t="n">
        <v>470464</v>
      </c>
      <c r="D1501" s="0" t="s">
        <v>5026</v>
      </c>
      <c r="E1501" s="0" t="s">
        <v>75</v>
      </c>
      <c r="F1501" s="0" t="s">
        <v>90</v>
      </c>
      <c r="G1501" s="0" t="s">
        <v>32</v>
      </c>
      <c r="H1501" s="0" t="n">
        <v>17</v>
      </c>
      <c r="I1501" s="0" t="s">
        <v>5027</v>
      </c>
      <c r="J1501" s="0" t="s">
        <v>5028</v>
      </c>
      <c r="K1501" s="0" t="s">
        <v>5029</v>
      </c>
      <c r="L1501" s="0" t="str">
        <f aca="false">HYPERLINK("https://www.ncbi.nlm.nih.gov/nuccore/CP000058.1?report=graph&amp;tracks=[key:gene_model_track,Options:GeneOnly]&amp;mk=470445:470464|offset_17|00cc00,470403:470422|offset_59|444444,470371:470390|offset_91|444444,470338:470357|offset_124|444444&amp;v=470244:470557&amp;c=444444", "offset 17")</f>
        <v>offset 17</v>
      </c>
    </row>
    <row r="1502" customFormat="false" ht="12.8" hidden="false" customHeight="false" outlineLevel="0" collapsed="false">
      <c r="A1502" s="0" t="s">
        <v>12</v>
      </c>
      <c r="B1502" s="0" t="n">
        <v>470402</v>
      </c>
      <c r="C1502" s="0" t="n">
        <v>470422</v>
      </c>
      <c r="D1502" s="0" t="s">
        <v>5026</v>
      </c>
      <c r="E1502" s="0" t="s">
        <v>75</v>
      </c>
      <c r="F1502" s="0" t="s">
        <v>90</v>
      </c>
      <c r="G1502" s="0" t="s">
        <v>16</v>
      </c>
      <c r="H1502" s="0" t="n">
        <v>59</v>
      </c>
      <c r="I1502" s="0" t="s">
        <v>5030</v>
      </c>
      <c r="J1502" s="0" t="s">
        <v>5031</v>
      </c>
      <c r="K1502" s="0" t="s">
        <v>5032</v>
      </c>
      <c r="L1502" s="0" t="str">
        <f aca="false">HYPERLINK("https://www.ncbi.nlm.nih.gov/nuccore/CP000058.1?report=graph&amp;tracks=[key:gene_model_track,Options:GeneOnly]&amp;mk=470445:470464|offset_17|444444,470403:470422|offset_59|00cc00,470371:470390|offset_91|444444,470338:470357|offset_124|444444&amp;v=470244:470557&amp;c=444444", "offset 59")</f>
        <v>offset 59</v>
      </c>
    </row>
    <row r="1503" customFormat="false" ht="12.8" hidden="false" customHeight="false" outlineLevel="0" collapsed="false">
      <c r="A1503" s="0" t="s">
        <v>12</v>
      </c>
      <c r="B1503" s="0" t="n">
        <v>470370</v>
      </c>
      <c r="C1503" s="0" t="n">
        <v>470390</v>
      </c>
      <c r="D1503" s="0" t="s">
        <v>5026</v>
      </c>
      <c r="E1503" s="0" t="s">
        <v>75</v>
      </c>
      <c r="F1503" s="0" t="s">
        <v>90</v>
      </c>
      <c r="G1503" s="0" t="s">
        <v>20</v>
      </c>
      <c r="H1503" s="0" t="n">
        <v>91</v>
      </c>
      <c r="I1503" s="0" t="s">
        <v>5033</v>
      </c>
      <c r="J1503" s="0" t="s">
        <v>5034</v>
      </c>
      <c r="K1503" s="0" t="s">
        <v>5035</v>
      </c>
      <c r="L1503" s="0" t="str">
        <f aca="false">HYPERLINK("https://www.ncbi.nlm.nih.gov/nuccore/CP000058.1?report=graph&amp;tracks=[key:gene_model_track,Options:GeneOnly]&amp;mk=470445:470464|offset_17|444444,470403:470422|offset_59|444444,470371:470390|offset_91|00cc00,470338:470357|offset_124|444444&amp;v=470244:470557&amp;c=444444", "offset 91")</f>
        <v>offset 91</v>
      </c>
    </row>
    <row r="1504" customFormat="false" ht="12.8" hidden="false" customHeight="false" outlineLevel="0" collapsed="false">
      <c r="A1504" s="0" t="s">
        <v>12</v>
      </c>
      <c r="B1504" s="0" t="n">
        <v>470337</v>
      </c>
      <c r="C1504" s="0" t="n">
        <v>470357</v>
      </c>
      <c r="D1504" s="0" t="s">
        <v>5026</v>
      </c>
      <c r="E1504" s="0" t="s">
        <v>75</v>
      </c>
      <c r="F1504" s="0" t="s">
        <v>90</v>
      </c>
      <c r="G1504" s="0" t="s">
        <v>32</v>
      </c>
      <c r="H1504" s="0" t="n">
        <v>124</v>
      </c>
      <c r="I1504" s="0" t="s">
        <v>5036</v>
      </c>
      <c r="J1504" s="0" t="s">
        <v>5037</v>
      </c>
      <c r="K1504" s="0" t="s">
        <v>5038</v>
      </c>
      <c r="L1504" s="0" t="str">
        <f aca="false">HYPERLINK("https://www.ncbi.nlm.nih.gov/nuccore/CP000058.1?report=graph&amp;tracks=[key:gene_model_track,Options:GeneOnly]&amp;mk=470445:470464|offset_17|444444,470403:470422|offset_59|444444,470371:470390|offset_91|444444,470338:470357|offset_124|00cc00&amp;v=470244:470557&amp;c=444444", "offset 124")</f>
        <v>offset 124</v>
      </c>
    </row>
    <row r="1505" customFormat="false" ht="12.8" hidden="false" customHeight="false" outlineLevel="0" collapsed="false">
      <c r="A1505" s="0" t="s">
        <v>12</v>
      </c>
      <c r="B1505" s="0" t="n">
        <v>471802</v>
      </c>
      <c r="C1505" s="0" t="n">
        <v>471822</v>
      </c>
      <c r="D1505" s="0" t="s">
        <v>5039</v>
      </c>
      <c r="E1505" s="0" t="s">
        <v>75</v>
      </c>
      <c r="F1505" s="0" t="s">
        <v>90</v>
      </c>
      <c r="G1505" s="0" t="s">
        <v>16</v>
      </c>
      <c r="H1505" s="0" t="n">
        <v>9</v>
      </c>
      <c r="I1505" s="0" t="s">
        <v>5040</v>
      </c>
      <c r="J1505" s="0" t="s">
        <v>5041</v>
      </c>
      <c r="K1505" s="0" t="s">
        <v>5042</v>
      </c>
      <c r="L1505" s="0" t="str">
        <f aca="false">HYPERLINK("https://www.ncbi.nlm.nih.gov/nuccore/CP000058.1?report=graph&amp;tracks=[key:gene_model_track,Options:GeneOnly]&amp;mk=471803:471822|offset_9|00cc00,471772:471791|offset_40|444444,471719:471738|offset_93|444444,471673:471692|offset_139|444444&amp;v=471602:471892&amp;c=444444", "offset 9")</f>
        <v>offset 9</v>
      </c>
    </row>
    <row r="1506" customFormat="false" ht="12.8" hidden="false" customHeight="false" outlineLevel="0" collapsed="false">
      <c r="A1506" s="0" t="s">
        <v>12</v>
      </c>
      <c r="B1506" s="0" t="n">
        <v>471771</v>
      </c>
      <c r="C1506" s="0" t="n">
        <v>471791</v>
      </c>
      <c r="D1506" s="0" t="s">
        <v>5039</v>
      </c>
      <c r="E1506" s="0" t="s">
        <v>75</v>
      </c>
      <c r="F1506" s="0" t="s">
        <v>90</v>
      </c>
      <c r="G1506" s="0" t="s">
        <v>16</v>
      </c>
      <c r="H1506" s="0" t="n">
        <v>40</v>
      </c>
      <c r="I1506" s="0" t="s">
        <v>5043</v>
      </c>
      <c r="J1506" s="0" t="s">
        <v>5044</v>
      </c>
      <c r="K1506" s="0" t="s">
        <v>5045</v>
      </c>
      <c r="L1506" s="0" t="str">
        <f aca="false">HYPERLINK("https://www.ncbi.nlm.nih.gov/nuccore/CP000058.1?report=graph&amp;tracks=[key:gene_model_track,Options:GeneOnly]&amp;mk=471803:471822|offset_9|444444,471772:471791|offset_40|00cc00,471719:471738|offset_93|444444,471673:471692|offset_139|444444&amp;v=471602:471892&amp;c=444444", "offset 40")</f>
        <v>offset 40</v>
      </c>
    </row>
    <row r="1507" customFormat="false" ht="12.8" hidden="false" customHeight="false" outlineLevel="0" collapsed="false">
      <c r="A1507" s="0" t="s">
        <v>12</v>
      </c>
      <c r="B1507" s="0" t="n">
        <v>471718</v>
      </c>
      <c r="C1507" s="0" t="n">
        <v>471738</v>
      </c>
      <c r="D1507" s="0" t="s">
        <v>5039</v>
      </c>
      <c r="E1507" s="0" t="s">
        <v>75</v>
      </c>
      <c r="F1507" s="0" t="s">
        <v>90</v>
      </c>
      <c r="G1507" s="0" t="s">
        <v>16</v>
      </c>
      <c r="H1507" s="0" t="n">
        <v>93</v>
      </c>
      <c r="I1507" s="0" t="s">
        <v>5046</v>
      </c>
      <c r="J1507" s="0" t="s">
        <v>5047</v>
      </c>
      <c r="K1507" s="0" t="s">
        <v>5048</v>
      </c>
      <c r="L1507" s="0" t="str">
        <f aca="false">HYPERLINK("https://www.ncbi.nlm.nih.gov/nuccore/CP000058.1?report=graph&amp;tracks=[key:gene_model_track,Options:GeneOnly]&amp;mk=471803:471822|offset_9|444444,471772:471791|offset_40|444444,471719:471738|offset_93|00cc00,471673:471692|offset_139|444444&amp;v=471602:471892&amp;c=444444", "offset 93")</f>
        <v>offset 93</v>
      </c>
    </row>
    <row r="1508" customFormat="false" ht="12.8" hidden="false" customHeight="false" outlineLevel="0" collapsed="false">
      <c r="A1508" s="0" t="s">
        <v>12</v>
      </c>
      <c r="B1508" s="0" t="n">
        <v>471672</v>
      </c>
      <c r="C1508" s="0" t="n">
        <v>471692</v>
      </c>
      <c r="D1508" s="0" t="s">
        <v>5039</v>
      </c>
      <c r="E1508" s="0" t="s">
        <v>75</v>
      </c>
      <c r="F1508" s="0" t="s">
        <v>90</v>
      </c>
      <c r="G1508" s="0" t="s">
        <v>16</v>
      </c>
      <c r="H1508" s="0" t="n">
        <v>139</v>
      </c>
      <c r="I1508" s="0" t="s">
        <v>5049</v>
      </c>
      <c r="J1508" s="0" t="s">
        <v>5050</v>
      </c>
      <c r="K1508" s="0" t="s">
        <v>5051</v>
      </c>
      <c r="L1508" s="0" t="str">
        <f aca="false">HYPERLINK("https://www.ncbi.nlm.nih.gov/nuccore/CP000058.1?report=graph&amp;tracks=[key:gene_model_track,Options:GeneOnly]&amp;mk=471803:471822|offset_9|444444,471772:471791|offset_40|444444,471719:471738|offset_93|444444,471673:471692|offset_139|00cc00&amp;v=471602:471892&amp;c=444444", "offset 139")</f>
        <v>offset 139</v>
      </c>
    </row>
    <row r="1509" customFormat="false" ht="12.8" hidden="false" customHeight="false" outlineLevel="0" collapsed="false">
      <c r="A1509" s="0" t="s">
        <v>12</v>
      </c>
      <c r="B1509" s="0" t="n">
        <v>472728</v>
      </c>
      <c r="C1509" s="0" t="n">
        <v>472748</v>
      </c>
      <c r="D1509" s="0" t="s">
        <v>5052</v>
      </c>
      <c r="E1509" s="0" t="s">
        <v>75</v>
      </c>
      <c r="F1509" s="0" t="s">
        <v>90</v>
      </c>
      <c r="G1509" s="0" t="s">
        <v>20</v>
      </c>
      <c r="H1509" s="0" t="n">
        <v>30</v>
      </c>
      <c r="I1509" s="0" t="s">
        <v>5053</v>
      </c>
      <c r="J1509" s="0" t="s">
        <v>5054</v>
      </c>
      <c r="K1509" s="0" t="s">
        <v>5055</v>
      </c>
      <c r="L1509" s="0" t="str">
        <f aca="false">HYPERLINK("https://www.ncbi.nlm.nih.gov/nuccore/CP000058.1?report=graph&amp;tracks=[key:gene_model_track,Options:GeneOnly]&amp;mk=472729:472748|offset_30|00cc00,472704:472723|offset_55|444444,472681:472700|offset_78|444444,472658:472677|offset_101|444444&amp;v=472528:472877&amp;c=444444", "offset 30")</f>
        <v>offset 30</v>
      </c>
    </row>
    <row r="1510" customFormat="false" ht="12.8" hidden="false" customHeight="false" outlineLevel="0" collapsed="false">
      <c r="A1510" s="0" t="s">
        <v>12</v>
      </c>
      <c r="B1510" s="0" t="n">
        <v>472703</v>
      </c>
      <c r="C1510" s="0" t="n">
        <v>472723</v>
      </c>
      <c r="D1510" s="0" t="s">
        <v>5052</v>
      </c>
      <c r="E1510" s="0" t="s">
        <v>75</v>
      </c>
      <c r="F1510" s="0" t="s">
        <v>90</v>
      </c>
      <c r="G1510" s="0" t="s">
        <v>36</v>
      </c>
      <c r="H1510" s="0" t="n">
        <v>55</v>
      </c>
      <c r="I1510" s="0" t="s">
        <v>5056</v>
      </c>
      <c r="J1510" s="0" t="s">
        <v>5057</v>
      </c>
      <c r="K1510" s="0" t="s">
        <v>5058</v>
      </c>
      <c r="L1510" s="0" t="str">
        <f aca="false">HYPERLINK("https://www.ncbi.nlm.nih.gov/nuccore/CP000058.1?report=graph&amp;tracks=[key:gene_model_track,Options:GeneOnly]&amp;mk=472729:472748|offset_30|444444,472704:472723|offset_55|00cc00,472681:472700|offset_78|444444,472658:472677|offset_101|444444&amp;v=472528:472877&amp;c=444444", "offset 55")</f>
        <v>offset 55</v>
      </c>
    </row>
    <row r="1511" customFormat="false" ht="12.8" hidden="false" customHeight="false" outlineLevel="0" collapsed="false">
      <c r="A1511" s="0" t="s">
        <v>12</v>
      </c>
      <c r="B1511" s="0" t="n">
        <v>472680</v>
      </c>
      <c r="C1511" s="0" t="n">
        <v>472700</v>
      </c>
      <c r="D1511" s="0" t="s">
        <v>5052</v>
      </c>
      <c r="E1511" s="0" t="s">
        <v>75</v>
      </c>
      <c r="F1511" s="0" t="s">
        <v>90</v>
      </c>
      <c r="G1511" s="0" t="s">
        <v>36</v>
      </c>
      <c r="H1511" s="0" t="n">
        <v>78</v>
      </c>
      <c r="I1511" s="0" t="s">
        <v>5059</v>
      </c>
      <c r="J1511" s="0" t="s">
        <v>5060</v>
      </c>
      <c r="K1511" s="0" t="s">
        <v>5061</v>
      </c>
      <c r="L1511" s="0" t="str">
        <f aca="false">HYPERLINK("https://www.ncbi.nlm.nih.gov/nuccore/CP000058.1?report=graph&amp;tracks=[key:gene_model_track,Options:GeneOnly]&amp;mk=472729:472748|offset_30|444444,472704:472723|offset_55|444444,472681:472700|offset_78|00cc00,472658:472677|offset_101|444444&amp;v=472528:472877&amp;c=444444", "offset 78")</f>
        <v>offset 78</v>
      </c>
    </row>
    <row r="1512" customFormat="false" ht="12.8" hidden="false" customHeight="false" outlineLevel="0" collapsed="false">
      <c r="A1512" s="0" t="s">
        <v>12</v>
      </c>
      <c r="B1512" s="0" t="n">
        <v>472657</v>
      </c>
      <c r="C1512" s="0" t="n">
        <v>472677</v>
      </c>
      <c r="D1512" s="0" t="s">
        <v>5052</v>
      </c>
      <c r="E1512" s="0" t="s">
        <v>75</v>
      </c>
      <c r="F1512" s="0" t="s">
        <v>90</v>
      </c>
      <c r="G1512" s="0" t="s">
        <v>36</v>
      </c>
      <c r="H1512" s="0" t="n">
        <v>101</v>
      </c>
      <c r="I1512" s="0" t="s">
        <v>5062</v>
      </c>
      <c r="J1512" s="0" t="s">
        <v>5063</v>
      </c>
      <c r="K1512" s="0" t="s">
        <v>5064</v>
      </c>
      <c r="L1512" s="0" t="str">
        <f aca="false">HYPERLINK("https://www.ncbi.nlm.nih.gov/nuccore/CP000058.1?report=graph&amp;tracks=[key:gene_model_track,Options:GeneOnly]&amp;mk=472729:472748|offset_30|444444,472704:472723|offset_55|444444,472681:472700|offset_78|444444,472658:472677|offset_101|00cc00&amp;v=472528:472877&amp;c=444444", "offset 101")</f>
        <v>offset 101</v>
      </c>
    </row>
    <row r="1513" customFormat="false" ht="12.8" hidden="false" customHeight="false" outlineLevel="0" collapsed="false">
      <c r="A1513" s="0" t="s">
        <v>12</v>
      </c>
      <c r="B1513" s="0" t="n">
        <v>474012</v>
      </c>
      <c r="C1513" s="0" t="n">
        <v>474032</v>
      </c>
      <c r="D1513" s="0" t="s">
        <v>5065</v>
      </c>
      <c r="E1513" s="0" t="s">
        <v>75</v>
      </c>
      <c r="F1513" s="0" t="s">
        <v>90</v>
      </c>
      <c r="G1513" s="0" t="s">
        <v>20</v>
      </c>
      <c r="H1513" s="0" t="n">
        <v>8</v>
      </c>
      <c r="I1513" s="0" t="s">
        <v>5066</v>
      </c>
      <c r="J1513" s="0" t="s">
        <v>5067</v>
      </c>
      <c r="K1513" s="0" t="s">
        <v>5068</v>
      </c>
      <c r="L1513" s="0" t="str">
        <f aca="false">HYPERLINK("https://www.ncbi.nlm.nih.gov/nuccore/CP000058.1?report=graph&amp;tracks=[key:gene_model_track,Options:GeneOnly]&amp;mk=474013:474032|offset_8|00cc00,473956:473975|offset_65|444444,473851:473870|offset_170|444444,473828:473847|offset_193|444444&amp;v=473812:474047&amp;c=444444", "offset 8")</f>
        <v>offset 8</v>
      </c>
    </row>
    <row r="1514" customFormat="false" ht="12.8" hidden="false" customHeight="false" outlineLevel="0" collapsed="false">
      <c r="A1514" s="0" t="s">
        <v>12</v>
      </c>
      <c r="B1514" s="0" t="n">
        <v>473955</v>
      </c>
      <c r="C1514" s="0" t="n">
        <v>473975</v>
      </c>
      <c r="D1514" s="0" t="s">
        <v>5065</v>
      </c>
      <c r="E1514" s="0" t="s">
        <v>75</v>
      </c>
      <c r="F1514" s="0" t="s">
        <v>90</v>
      </c>
      <c r="G1514" s="0" t="s">
        <v>32</v>
      </c>
      <c r="H1514" s="0" t="n">
        <v>65</v>
      </c>
      <c r="I1514" s="0" t="s">
        <v>5069</v>
      </c>
      <c r="J1514" s="0" t="s">
        <v>5070</v>
      </c>
      <c r="K1514" s="0" t="s">
        <v>5071</v>
      </c>
      <c r="L1514" s="0" t="str">
        <f aca="false">HYPERLINK("https://www.ncbi.nlm.nih.gov/nuccore/CP000058.1?report=graph&amp;tracks=[key:gene_model_track,Options:GeneOnly]&amp;mk=474013:474032|offset_8|444444,473956:473975|offset_65|00cc00,473851:473870|offset_170|444444,473828:473847|offset_193|444444&amp;v=473812:474047&amp;c=444444", "offset 65")</f>
        <v>offset 65</v>
      </c>
    </row>
    <row r="1515" customFormat="false" ht="12.8" hidden="false" customHeight="false" outlineLevel="0" collapsed="false">
      <c r="A1515" s="0" t="s">
        <v>12</v>
      </c>
      <c r="B1515" s="0" t="n">
        <v>473850</v>
      </c>
      <c r="C1515" s="0" t="n">
        <v>473870</v>
      </c>
      <c r="D1515" s="0" t="s">
        <v>5065</v>
      </c>
      <c r="E1515" s="0" t="s">
        <v>75</v>
      </c>
      <c r="F1515" s="0" t="s">
        <v>90</v>
      </c>
      <c r="G1515" s="0" t="s">
        <v>32</v>
      </c>
      <c r="H1515" s="0" t="n">
        <v>170</v>
      </c>
      <c r="I1515" s="0" t="s">
        <v>5072</v>
      </c>
      <c r="J1515" s="0" t="s">
        <v>5073</v>
      </c>
      <c r="K1515" s="0" t="s">
        <v>5074</v>
      </c>
      <c r="L1515" s="0" t="str">
        <f aca="false">HYPERLINK("https://www.ncbi.nlm.nih.gov/nuccore/CP000058.1?report=graph&amp;tracks=[key:gene_model_track,Options:GeneOnly]&amp;mk=474013:474032|offset_8|444444,473956:473975|offset_65|444444,473851:473870|offset_170|00cc00,473828:473847|offset_193|444444&amp;v=473812:474047&amp;c=444444", "offset 170")</f>
        <v>offset 170</v>
      </c>
    </row>
    <row r="1516" customFormat="false" ht="12.8" hidden="false" customHeight="false" outlineLevel="0" collapsed="false">
      <c r="A1516" s="0" t="s">
        <v>12</v>
      </c>
      <c r="B1516" s="0" t="n">
        <v>473827</v>
      </c>
      <c r="C1516" s="0" t="n">
        <v>473847</v>
      </c>
      <c r="D1516" s="0" t="s">
        <v>5065</v>
      </c>
      <c r="E1516" s="0" t="s">
        <v>75</v>
      </c>
      <c r="F1516" s="0" t="s">
        <v>90</v>
      </c>
      <c r="G1516" s="0" t="s">
        <v>16</v>
      </c>
      <c r="H1516" s="0" t="n">
        <v>193</v>
      </c>
      <c r="I1516" s="0" t="s">
        <v>5075</v>
      </c>
      <c r="J1516" s="0" t="s">
        <v>5076</v>
      </c>
      <c r="K1516" s="0" t="s">
        <v>5077</v>
      </c>
      <c r="L1516" s="0" t="str">
        <f aca="false">HYPERLINK("https://www.ncbi.nlm.nih.gov/nuccore/CP000058.1?report=graph&amp;tracks=[key:gene_model_track,Options:GeneOnly]&amp;mk=474013:474032|offset_8|444444,473956:473975|offset_65|444444,473851:473870|offset_170|444444,473828:473847|offset_193|00cc00&amp;v=473812:474047&amp;c=444444", "offset 193")</f>
        <v>offset 193</v>
      </c>
    </row>
    <row r="1517" customFormat="false" ht="12.8" hidden="false" customHeight="false" outlineLevel="0" collapsed="false">
      <c r="A1517" s="0" t="s">
        <v>12</v>
      </c>
      <c r="B1517" s="0" t="n">
        <v>475354</v>
      </c>
      <c r="C1517" s="0" t="n">
        <v>475374</v>
      </c>
      <c r="D1517" s="0" t="s">
        <v>5078</v>
      </c>
      <c r="E1517" s="0" t="s">
        <v>75</v>
      </c>
      <c r="F1517" s="0" t="s">
        <v>90</v>
      </c>
      <c r="G1517" s="0" t="s">
        <v>36</v>
      </c>
      <c r="H1517" s="0" t="n">
        <v>0</v>
      </c>
      <c r="I1517" s="0" t="s">
        <v>5079</v>
      </c>
      <c r="J1517" s="0" t="s">
        <v>5080</v>
      </c>
      <c r="K1517" s="0" t="s">
        <v>5081</v>
      </c>
      <c r="L1517" s="0" t="str">
        <f aca="false">HYPERLINK("https://www.ncbi.nlm.nih.gov/nuccore/CP000058.1?report=graph&amp;tracks=[key:gene_model_track,Options:GeneOnly]&amp;mk=475355:475374|offset_0|00cc00,475335:475354|offset_20|444444,475312:475331|offset_43|444444,475268:475287|offset_87|444444&amp;v=475154:475487&amp;c=444444", "offset 0")</f>
        <v>offset 0</v>
      </c>
    </row>
    <row r="1518" customFormat="false" ht="12.8" hidden="false" customHeight="false" outlineLevel="0" collapsed="false">
      <c r="A1518" s="0" t="s">
        <v>12</v>
      </c>
      <c r="B1518" s="0" t="n">
        <v>475334</v>
      </c>
      <c r="C1518" s="0" t="n">
        <v>475354</v>
      </c>
      <c r="D1518" s="0" t="s">
        <v>5078</v>
      </c>
      <c r="E1518" s="0" t="s">
        <v>75</v>
      </c>
      <c r="F1518" s="0" t="s">
        <v>90</v>
      </c>
      <c r="G1518" s="0" t="s">
        <v>36</v>
      </c>
      <c r="H1518" s="0" t="n">
        <v>20</v>
      </c>
      <c r="I1518" s="0" t="s">
        <v>5082</v>
      </c>
      <c r="J1518" s="0" t="s">
        <v>5083</v>
      </c>
      <c r="K1518" s="0" t="s">
        <v>5084</v>
      </c>
      <c r="L1518" s="0" t="str">
        <f aca="false">HYPERLINK("https://www.ncbi.nlm.nih.gov/nuccore/CP000058.1?report=graph&amp;tracks=[key:gene_model_track,Options:GeneOnly]&amp;mk=475355:475374|offset_0|444444,475335:475354|offset_20|00cc00,475312:475331|offset_43|444444,475268:475287|offset_87|444444&amp;v=475154:475487&amp;c=444444", "offset 20")</f>
        <v>offset 20</v>
      </c>
    </row>
    <row r="1519" customFormat="false" ht="12.8" hidden="false" customHeight="false" outlineLevel="0" collapsed="false">
      <c r="A1519" s="0" t="s">
        <v>12</v>
      </c>
      <c r="B1519" s="0" t="n">
        <v>475311</v>
      </c>
      <c r="C1519" s="0" t="n">
        <v>475331</v>
      </c>
      <c r="D1519" s="0" t="s">
        <v>5078</v>
      </c>
      <c r="E1519" s="0" t="s">
        <v>75</v>
      </c>
      <c r="F1519" s="0" t="s">
        <v>90</v>
      </c>
      <c r="G1519" s="0" t="s">
        <v>20</v>
      </c>
      <c r="H1519" s="0" t="n">
        <v>43</v>
      </c>
      <c r="I1519" s="0" t="s">
        <v>5085</v>
      </c>
      <c r="J1519" s="0" t="s">
        <v>5086</v>
      </c>
      <c r="K1519" s="0" t="s">
        <v>5087</v>
      </c>
      <c r="L1519" s="0" t="str">
        <f aca="false">HYPERLINK("https://www.ncbi.nlm.nih.gov/nuccore/CP000058.1?report=graph&amp;tracks=[key:gene_model_track,Options:GeneOnly]&amp;mk=475355:475374|offset_0|444444,475335:475354|offset_20|444444,475312:475331|offset_43|00cc00,475268:475287|offset_87|444444&amp;v=475154:475487&amp;c=444444", "offset 43")</f>
        <v>offset 43</v>
      </c>
    </row>
    <row r="1520" customFormat="false" ht="12.8" hidden="false" customHeight="false" outlineLevel="0" collapsed="false">
      <c r="A1520" s="0" t="s">
        <v>12</v>
      </c>
      <c r="B1520" s="0" t="n">
        <v>475267</v>
      </c>
      <c r="C1520" s="0" t="n">
        <v>475287</v>
      </c>
      <c r="D1520" s="0" t="s">
        <v>5078</v>
      </c>
      <c r="E1520" s="0" t="s">
        <v>75</v>
      </c>
      <c r="F1520" s="0" t="s">
        <v>90</v>
      </c>
      <c r="G1520" s="0" t="s">
        <v>16</v>
      </c>
      <c r="H1520" s="0" t="n">
        <v>87</v>
      </c>
      <c r="I1520" s="0" t="s">
        <v>5088</v>
      </c>
      <c r="J1520" s="0" t="s">
        <v>5089</v>
      </c>
      <c r="K1520" s="0" t="s">
        <v>5090</v>
      </c>
      <c r="L1520" s="0" t="str">
        <f aca="false">HYPERLINK("https://www.ncbi.nlm.nih.gov/nuccore/CP000058.1?report=graph&amp;tracks=[key:gene_model_track,Options:GeneOnly]&amp;mk=475355:475374|offset_0|444444,475335:475354|offset_20|444444,475312:475331|offset_43|444444,475268:475287|offset_87|00cc00&amp;v=475154:475487&amp;c=444444", "offset 87")</f>
        <v>offset 87</v>
      </c>
    </row>
    <row r="1521" customFormat="false" ht="12.8" hidden="false" customHeight="false" outlineLevel="0" collapsed="false">
      <c r="A1521" s="0" t="s">
        <v>12</v>
      </c>
      <c r="B1521" s="0" t="n">
        <v>475504</v>
      </c>
      <c r="C1521" s="0" t="n">
        <v>475524</v>
      </c>
      <c r="D1521" s="0" t="s">
        <v>5091</v>
      </c>
      <c r="E1521" s="0" t="s">
        <v>75</v>
      </c>
      <c r="F1521" s="0" t="s">
        <v>15</v>
      </c>
      <c r="G1521" s="0" t="s">
        <v>32</v>
      </c>
      <c r="H1521" s="0" t="n">
        <v>14</v>
      </c>
      <c r="I1521" s="0" t="s">
        <v>5092</v>
      </c>
      <c r="J1521" s="0" t="s">
        <v>5093</v>
      </c>
      <c r="K1521" s="0" t="s">
        <v>5094</v>
      </c>
      <c r="L1521" s="0" t="str">
        <f aca="false">HYPERLINK("https://www.ncbi.nlm.nih.gov/nuccore/CP000058.1?report=graph&amp;tracks=[key:gene_model_track,Options:GeneOnly]&amp;mk=475505:475524|offset_14|00cc00,475531:475550|offset_40|444444,475576:475595|offset_85|444444,475601:475620|offset_110|444444&amp;v=475304:475820&amp;c=444444", "offset 14")</f>
        <v>offset 14</v>
      </c>
    </row>
    <row r="1522" customFormat="false" ht="12.8" hidden="false" customHeight="false" outlineLevel="0" collapsed="false">
      <c r="A1522" s="0" t="s">
        <v>12</v>
      </c>
      <c r="B1522" s="0" t="n">
        <v>475530</v>
      </c>
      <c r="C1522" s="0" t="n">
        <v>475550</v>
      </c>
      <c r="D1522" s="0" t="s">
        <v>5091</v>
      </c>
      <c r="E1522" s="0" t="s">
        <v>75</v>
      </c>
      <c r="F1522" s="0" t="s">
        <v>15</v>
      </c>
      <c r="G1522" s="0" t="s">
        <v>16</v>
      </c>
      <c r="H1522" s="0" t="n">
        <v>40</v>
      </c>
      <c r="I1522" s="0" t="s">
        <v>5095</v>
      </c>
      <c r="J1522" s="0" t="s">
        <v>5096</v>
      </c>
      <c r="K1522" s="0" t="s">
        <v>5097</v>
      </c>
      <c r="L1522" s="0" t="str">
        <f aca="false">HYPERLINK("https://www.ncbi.nlm.nih.gov/nuccore/CP000058.1?report=graph&amp;tracks=[key:gene_model_track,Options:GeneOnly]&amp;mk=475505:475524|offset_14|444444,475531:475550|offset_40|00cc00,475576:475595|offset_85|444444,475601:475620|offset_110|444444&amp;v=475304:475820&amp;c=444444", "offset 40")</f>
        <v>offset 40</v>
      </c>
    </row>
    <row r="1523" customFormat="false" ht="12.8" hidden="false" customHeight="false" outlineLevel="0" collapsed="false">
      <c r="A1523" s="0" t="s">
        <v>12</v>
      </c>
      <c r="B1523" s="0" t="n">
        <v>475575</v>
      </c>
      <c r="C1523" s="0" t="n">
        <v>475595</v>
      </c>
      <c r="D1523" s="0" t="s">
        <v>5091</v>
      </c>
      <c r="E1523" s="0" t="s">
        <v>75</v>
      </c>
      <c r="F1523" s="0" t="s">
        <v>15</v>
      </c>
      <c r="G1523" s="0" t="s">
        <v>36</v>
      </c>
      <c r="H1523" s="0" t="n">
        <v>85</v>
      </c>
      <c r="I1523" s="0" t="s">
        <v>5098</v>
      </c>
      <c r="J1523" s="0" t="s">
        <v>5099</v>
      </c>
      <c r="K1523" s="0" t="s">
        <v>5100</v>
      </c>
      <c r="L1523" s="0" t="str">
        <f aca="false">HYPERLINK("https://www.ncbi.nlm.nih.gov/nuccore/CP000058.1?report=graph&amp;tracks=[key:gene_model_track,Options:GeneOnly]&amp;mk=475505:475524|offset_14|444444,475531:475550|offset_40|444444,475576:475595|offset_85|00cc00,475601:475620|offset_110|444444&amp;v=475304:475820&amp;c=444444", "offset 85")</f>
        <v>offset 85</v>
      </c>
    </row>
    <row r="1524" customFormat="false" ht="12.8" hidden="false" customHeight="false" outlineLevel="0" collapsed="false">
      <c r="A1524" s="0" t="s">
        <v>12</v>
      </c>
      <c r="B1524" s="0" t="n">
        <v>475600</v>
      </c>
      <c r="C1524" s="0" t="n">
        <v>475620</v>
      </c>
      <c r="D1524" s="0" t="s">
        <v>5091</v>
      </c>
      <c r="E1524" s="0" t="s">
        <v>75</v>
      </c>
      <c r="F1524" s="0" t="s">
        <v>15</v>
      </c>
      <c r="G1524" s="0" t="s">
        <v>32</v>
      </c>
      <c r="H1524" s="0" t="n">
        <v>110</v>
      </c>
      <c r="I1524" s="0" t="s">
        <v>5101</v>
      </c>
      <c r="J1524" s="0" t="s">
        <v>5102</v>
      </c>
      <c r="K1524" s="0" t="s">
        <v>5103</v>
      </c>
      <c r="L1524" s="0" t="str">
        <f aca="false">HYPERLINK("https://www.ncbi.nlm.nih.gov/nuccore/CP000058.1?report=graph&amp;tracks=[key:gene_model_track,Options:GeneOnly]&amp;mk=475505:475524|offset_14|444444,475531:475550|offset_40|444444,475576:475595|offset_85|444444,475601:475620|offset_110|00cc00&amp;v=475304:475820&amp;c=444444", "offset 110")</f>
        <v>offset 110</v>
      </c>
    </row>
    <row r="1525" customFormat="false" ht="12.8" hidden="false" customHeight="false" outlineLevel="0" collapsed="false">
      <c r="A1525" s="0" t="s">
        <v>12</v>
      </c>
      <c r="B1525" s="0" t="n">
        <v>477724</v>
      </c>
      <c r="C1525" s="0" t="n">
        <v>477744</v>
      </c>
      <c r="D1525" s="0" t="s">
        <v>5104</v>
      </c>
      <c r="E1525" s="0" t="s">
        <v>75</v>
      </c>
      <c r="F1525" s="0" t="s">
        <v>90</v>
      </c>
      <c r="G1525" s="0" t="s">
        <v>16</v>
      </c>
      <c r="H1525" s="0" t="n">
        <v>22</v>
      </c>
      <c r="I1525" s="0" t="s">
        <v>5105</v>
      </c>
      <c r="J1525" s="0" t="s">
        <v>5106</v>
      </c>
      <c r="K1525" s="0" t="s">
        <v>5107</v>
      </c>
      <c r="L1525" s="0" t="str">
        <f aca="false">HYPERLINK("https://www.ncbi.nlm.nih.gov/nuccore/CP000058.1?report=graph&amp;tracks=[key:gene_model_track,Options:GeneOnly]&amp;mk=477725:477744|offset_22|00cc00,477687:477706|offset_60|444444,477662:477681|offset_85|444444,477625:477644|offset_122|444444&amp;v=477524:477844&amp;c=444444", "offset 22")</f>
        <v>offset 22</v>
      </c>
    </row>
    <row r="1526" customFormat="false" ht="12.8" hidden="false" customHeight="false" outlineLevel="0" collapsed="false">
      <c r="A1526" s="0" t="s">
        <v>12</v>
      </c>
      <c r="B1526" s="0" t="n">
        <v>477686</v>
      </c>
      <c r="C1526" s="0" t="n">
        <v>477706</v>
      </c>
      <c r="D1526" s="0" t="s">
        <v>5104</v>
      </c>
      <c r="E1526" s="0" t="s">
        <v>75</v>
      </c>
      <c r="F1526" s="0" t="s">
        <v>90</v>
      </c>
      <c r="G1526" s="0" t="s">
        <v>16</v>
      </c>
      <c r="H1526" s="0" t="n">
        <v>60</v>
      </c>
      <c r="I1526" s="0" t="s">
        <v>5108</v>
      </c>
      <c r="J1526" s="0" t="s">
        <v>5109</v>
      </c>
      <c r="K1526" s="0" t="s">
        <v>5110</v>
      </c>
      <c r="L1526" s="0" t="str">
        <f aca="false">HYPERLINK("https://www.ncbi.nlm.nih.gov/nuccore/CP000058.1?report=graph&amp;tracks=[key:gene_model_track,Options:GeneOnly]&amp;mk=477725:477744|offset_22|444444,477687:477706|offset_60|00cc00,477662:477681|offset_85|444444,477625:477644|offset_122|444444&amp;v=477524:477844&amp;c=444444", "offset 60")</f>
        <v>offset 60</v>
      </c>
    </row>
    <row r="1527" customFormat="false" ht="12.8" hidden="false" customHeight="false" outlineLevel="0" collapsed="false">
      <c r="A1527" s="0" t="s">
        <v>12</v>
      </c>
      <c r="B1527" s="0" t="n">
        <v>477661</v>
      </c>
      <c r="C1527" s="0" t="n">
        <v>477681</v>
      </c>
      <c r="D1527" s="0" t="s">
        <v>5104</v>
      </c>
      <c r="E1527" s="0" t="s">
        <v>75</v>
      </c>
      <c r="F1527" s="0" t="s">
        <v>90</v>
      </c>
      <c r="G1527" s="0" t="s">
        <v>32</v>
      </c>
      <c r="H1527" s="0" t="n">
        <v>85</v>
      </c>
      <c r="I1527" s="0" t="s">
        <v>5111</v>
      </c>
      <c r="J1527" s="0" t="s">
        <v>5112</v>
      </c>
      <c r="K1527" s="0" t="s">
        <v>5113</v>
      </c>
      <c r="L1527" s="0" t="str">
        <f aca="false">HYPERLINK("https://www.ncbi.nlm.nih.gov/nuccore/CP000058.1?report=graph&amp;tracks=[key:gene_model_track,Options:GeneOnly]&amp;mk=477725:477744|offset_22|444444,477687:477706|offset_60|444444,477662:477681|offset_85|00cc00,477625:477644|offset_122|444444&amp;v=477524:477844&amp;c=444444", "offset 85")</f>
        <v>offset 85</v>
      </c>
    </row>
    <row r="1528" customFormat="false" ht="12.8" hidden="false" customHeight="false" outlineLevel="0" collapsed="false">
      <c r="A1528" s="0" t="s">
        <v>12</v>
      </c>
      <c r="B1528" s="0" t="n">
        <v>477624</v>
      </c>
      <c r="C1528" s="0" t="n">
        <v>477644</v>
      </c>
      <c r="D1528" s="0" t="s">
        <v>5104</v>
      </c>
      <c r="E1528" s="0" t="s">
        <v>75</v>
      </c>
      <c r="F1528" s="0" t="s">
        <v>90</v>
      </c>
      <c r="G1528" s="0" t="s">
        <v>16</v>
      </c>
      <c r="H1528" s="0" t="n">
        <v>122</v>
      </c>
      <c r="I1528" s="0" t="s">
        <v>5114</v>
      </c>
      <c r="J1528" s="0" t="s">
        <v>5115</v>
      </c>
      <c r="K1528" s="0" t="s">
        <v>5116</v>
      </c>
      <c r="L1528" s="0" t="str">
        <f aca="false">HYPERLINK("https://www.ncbi.nlm.nih.gov/nuccore/CP000058.1?report=graph&amp;tracks=[key:gene_model_track,Options:GeneOnly]&amp;mk=477725:477744|offset_22|444444,477687:477706|offset_60|444444,477662:477681|offset_85|444444,477625:477644|offset_122|00cc00&amp;v=477524:477844&amp;c=444444", "offset 122")</f>
        <v>offset 122</v>
      </c>
    </row>
    <row r="1529" customFormat="false" ht="12.8" hidden="false" customHeight="false" outlineLevel="0" collapsed="false">
      <c r="A1529" s="0" t="s">
        <v>12</v>
      </c>
      <c r="B1529" s="0" t="n">
        <v>478443</v>
      </c>
      <c r="C1529" s="0" t="n">
        <v>478463</v>
      </c>
      <c r="D1529" s="0" t="s">
        <v>5117</v>
      </c>
      <c r="E1529" s="0" t="s">
        <v>75</v>
      </c>
      <c r="F1529" s="0" t="s">
        <v>90</v>
      </c>
      <c r="G1529" s="0" t="s">
        <v>32</v>
      </c>
      <c r="H1529" s="0" t="n">
        <v>31</v>
      </c>
      <c r="I1529" s="0" t="s">
        <v>5118</v>
      </c>
      <c r="J1529" s="0" t="s">
        <v>5119</v>
      </c>
      <c r="K1529" s="0" t="s">
        <v>5120</v>
      </c>
      <c r="L1529" s="0" t="str">
        <f aca="false">HYPERLINK("https://www.ncbi.nlm.nih.gov/nuccore/CP000058.1?report=graph&amp;tracks=[key:gene_model_track,Options:GeneOnly]&amp;mk=478444:478463|offset_31|00cc00,478423:478442|offset_52|444444,478399:478418|offset_76|444444,478374:478393|offset_101|444444&amp;v=478243:478593&amp;c=444444", "offset 31")</f>
        <v>offset 31</v>
      </c>
    </row>
    <row r="1530" customFormat="false" ht="12.8" hidden="false" customHeight="false" outlineLevel="0" collapsed="false">
      <c r="A1530" s="0" t="s">
        <v>12</v>
      </c>
      <c r="B1530" s="0" t="n">
        <v>478422</v>
      </c>
      <c r="C1530" s="0" t="n">
        <v>478442</v>
      </c>
      <c r="D1530" s="0" t="s">
        <v>5117</v>
      </c>
      <c r="E1530" s="0" t="s">
        <v>75</v>
      </c>
      <c r="F1530" s="0" t="s">
        <v>90</v>
      </c>
      <c r="G1530" s="0" t="s">
        <v>32</v>
      </c>
      <c r="H1530" s="0" t="n">
        <v>52</v>
      </c>
      <c r="I1530" s="0" t="s">
        <v>5121</v>
      </c>
      <c r="J1530" s="0" t="s">
        <v>5122</v>
      </c>
      <c r="K1530" s="0" t="s">
        <v>5123</v>
      </c>
      <c r="L1530" s="0" t="str">
        <f aca="false">HYPERLINK("https://www.ncbi.nlm.nih.gov/nuccore/CP000058.1?report=graph&amp;tracks=[key:gene_model_track,Options:GeneOnly]&amp;mk=478444:478463|offset_31|444444,478423:478442|offset_52|00cc00,478399:478418|offset_76|444444,478374:478393|offset_101|444444&amp;v=478243:478593&amp;c=444444", "offset 52")</f>
        <v>offset 52</v>
      </c>
    </row>
    <row r="1531" customFormat="false" ht="12.8" hidden="false" customHeight="false" outlineLevel="0" collapsed="false">
      <c r="A1531" s="0" t="s">
        <v>12</v>
      </c>
      <c r="B1531" s="0" t="n">
        <v>478398</v>
      </c>
      <c r="C1531" s="0" t="n">
        <v>478418</v>
      </c>
      <c r="D1531" s="0" t="s">
        <v>5117</v>
      </c>
      <c r="E1531" s="0" t="s">
        <v>75</v>
      </c>
      <c r="F1531" s="0" t="s">
        <v>90</v>
      </c>
      <c r="G1531" s="0" t="s">
        <v>16</v>
      </c>
      <c r="H1531" s="0" t="n">
        <v>76</v>
      </c>
      <c r="I1531" s="0" t="s">
        <v>5124</v>
      </c>
      <c r="J1531" s="0" t="s">
        <v>5125</v>
      </c>
      <c r="K1531" s="0" t="s">
        <v>5126</v>
      </c>
      <c r="L1531" s="0" t="str">
        <f aca="false">HYPERLINK("https://www.ncbi.nlm.nih.gov/nuccore/CP000058.1?report=graph&amp;tracks=[key:gene_model_track,Options:GeneOnly]&amp;mk=478444:478463|offset_31|444444,478423:478442|offset_52|444444,478399:478418|offset_76|00cc00,478374:478393|offset_101|444444&amp;v=478243:478593&amp;c=444444", "offset 76")</f>
        <v>offset 76</v>
      </c>
    </row>
    <row r="1532" customFormat="false" ht="12.8" hidden="false" customHeight="false" outlineLevel="0" collapsed="false">
      <c r="A1532" s="0" t="s">
        <v>12</v>
      </c>
      <c r="B1532" s="0" t="n">
        <v>478373</v>
      </c>
      <c r="C1532" s="0" t="n">
        <v>478393</v>
      </c>
      <c r="D1532" s="0" t="s">
        <v>5117</v>
      </c>
      <c r="E1532" s="0" t="s">
        <v>75</v>
      </c>
      <c r="F1532" s="0" t="s">
        <v>90</v>
      </c>
      <c r="G1532" s="0" t="s">
        <v>16</v>
      </c>
      <c r="H1532" s="0" t="n">
        <v>101</v>
      </c>
      <c r="I1532" s="0" t="s">
        <v>5127</v>
      </c>
      <c r="J1532" s="0" t="s">
        <v>5128</v>
      </c>
      <c r="K1532" s="0" t="s">
        <v>5129</v>
      </c>
      <c r="L1532" s="0" t="str">
        <f aca="false">HYPERLINK("https://www.ncbi.nlm.nih.gov/nuccore/CP000058.1?report=graph&amp;tracks=[key:gene_model_track,Options:GeneOnly]&amp;mk=478444:478463|offset_31|444444,478423:478442|offset_52|444444,478399:478418|offset_76|444444,478374:478393|offset_101|00cc00&amp;v=478243:478593&amp;c=444444", "offset 101")</f>
        <v>offset 101</v>
      </c>
    </row>
    <row r="1533" customFormat="false" ht="12.8" hidden="false" customHeight="false" outlineLevel="0" collapsed="false">
      <c r="A1533" s="0" t="s">
        <v>12</v>
      </c>
      <c r="B1533" s="0" t="n">
        <v>478919</v>
      </c>
      <c r="C1533" s="0" t="n">
        <v>478939</v>
      </c>
      <c r="D1533" s="0" t="s">
        <v>5130</v>
      </c>
      <c r="E1533" s="0" t="s">
        <v>75</v>
      </c>
      <c r="F1533" s="0" t="s">
        <v>90</v>
      </c>
      <c r="G1533" s="0" t="s">
        <v>16</v>
      </c>
      <c r="H1533" s="0" t="n">
        <v>7</v>
      </c>
      <c r="I1533" s="0" t="s">
        <v>5131</v>
      </c>
      <c r="J1533" s="0" t="s">
        <v>5132</v>
      </c>
      <c r="K1533" s="0" t="s">
        <v>5133</v>
      </c>
      <c r="L1533" s="0" t="str">
        <f aca="false">HYPERLINK("https://www.ncbi.nlm.nih.gov/nuccore/CP000058.1?report=graph&amp;tracks=[key:gene_model_track,Options:GeneOnly]&amp;mk=478920:478939|offset_7|00cc00,478894:478913|offset_33|444444,478847:478866|offset_80|444444,478826:478845|offset_101|444444&amp;v=478719:479045&amp;c=444444", "offset 7")</f>
        <v>offset 7</v>
      </c>
    </row>
    <row r="1534" customFormat="false" ht="12.8" hidden="false" customHeight="false" outlineLevel="0" collapsed="false">
      <c r="A1534" s="0" t="s">
        <v>12</v>
      </c>
      <c r="B1534" s="0" t="n">
        <v>478893</v>
      </c>
      <c r="C1534" s="0" t="n">
        <v>478913</v>
      </c>
      <c r="D1534" s="0" t="s">
        <v>5130</v>
      </c>
      <c r="E1534" s="0" t="s">
        <v>75</v>
      </c>
      <c r="F1534" s="0" t="s">
        <v>90</v>
      </c>
      <c r="G1534" s="0" t="s">
        <v>36</v>
      </c>
      <c r="H1534" s="0" t="n">
        <v>33</v>
      </c>
      <c r="I1534" s="0" t="s">
        <v>5134</v>
      </c>
      <c r="J1534" s="0" t="s">
        <v>5135</v>
      </c>
      <c r="K1534" s="0" t="s">
        <v>5136</v>
      </c>
      <c r="L1534" s="0" t="str">
        <f aca="false">HYPERLINK("https://www.ncbi.nlm.nih.gov/nuccore/CP000058.1?report=graph&amp;tracks=[key:gene_model_track,Options:GeneOnly]&amp;mk=478920:478939|offset_7|444444,478894:478913|offset_33|00cc00,478847:478866|offset_80|444444,478826:478845|offset_101|444444&amp;v=478719:479045&amp;c=444444", "offset 33")</f>
        <v>offset 33</v>
      </c>
    </row>
    <row r="1535" customFormat="false" ht="12.8" hidden="false" customHeight="false" outlineLevel="0" collapsed="false">
      <c r="A1535" s="0" t="s">
        <v>12</v>
      </c>
      <c r="B1535" s="0" t="n">
        <v>478846</v>
      </c>
      <c r="C1535" s="0" t="n">
        <v>478866</v>
      </c>
      <c r="D1535" s="0" t="s">
        <v>5130</v>
      </c>
      <c r="E1535" s="0" t="s">
        <v>75</v>
      </c>
      <c r="F1535" s="0" t="s">
        <v>90</v>
      </c>
      <c r="G1535" s="0" t="s">
        <v>32</v>
      </c>
      <c r="H1535" s="0" t="n">
        <v>80</v>
      </c>
      <c r="I1535" s="0" t="s">
        <v>5137</v>
      </c>
      <c r="J1535" s="0" t="s">
        <v>5138</v>
      </c>
      <c r="K1535" s="0" t="s">
        <v>5139</v>
      </c>
      <c r="L1535" s="0" t="str">
        <f aca="false">HYPERLINK("https://www.ncbi.nlm.nih.gov/nuccore/CP000058.1?report=graph&amp;tracks=[key:gene_model_track,Options:GeneOnly]&amp;mk=478920:478939|offset_7|444444,478894:478913|offset_33|444444,478847:478866|offset_80|00cc00,478826:478845|offset_101|444444&amp;v=478719:479045&amp;c=444444", "offset 80")</f>
        <v>offset 80</v>
      </c>
    </row>
    <row r="1536" customFormat="false" ht="12.8" hidden="false" customHeight="false" outlineLevel="0" collapsed="false">
      <c r="A1536" s="0" t="s">
        <v>12</v>
      </c>
      <c r="B1536" s="0" t="n">
        <v>478825</v>
      </c>
      <c r="C1536" s="0" t="n">
        <v>478845</v>
      </c>
      <c r="D1536" s="0" t="s">
        <v>5130</v>
      </c>
      <c r="E1536" s="0" t="s">
        <v>75</v>
      </c>
      <c r="F1536" s="0" t="s">
        <v>90</v>
      </c>
      <c r="G1536" s="0" t="s">
        <v>20</v>
      </c>
      <c r="H1536" s="0" t="n">
        <v>101</v>
      </c>
      <c r="I1536" s="0" t="s">
        <v>5140</v>
      </c>
      <c r="J1536" s="0" t="s">
        <v>5141</v>
      </c>
      <c r="K1536" s="0" t="s">
        <v>5142</v>
      </c>
      <c r="L1536" s="0" t="str">
        <f aca="false">HYPERLINK("https://www.ncbi.nlm.nih.gov/nuccore/CP000058.1?report=graph&amp;tracks=[key:gene_model_track,Options:GeneOnly]&amp;mk=478920:478939|offset_7|444444,478894:478913|offset_33|444444,478847:478866|offset_80|444444,478826:478845|offset_101|00cc00&amp;v=478719:479045&amp;c=444444", "offset 101")</f>
        <v>offset 101</v>
      </c>
    </row>
    <row r="1537" customFormat="false" ht="12.8" hidden="false" customHeight="false" outlineLevel="0" collapsed="false">
      <c r="A1537" s="0" t="s">
        <v>12</v>
      </c>
      <c r="B1537" s="0" t="n">
        <v>480090</v>
      </c>
      <c r="C1537" s="0" t="n">
        <v>480110</v>
      </c>
      <c r="D1537" s="0" t="s">
        <v>5143</v>
      </c>
      <c r="E1537" s="0" t="s">
        <v>75</v>
      </c>
      <c r="F1537" s="0" t="s">
        <v>90</v>
      </c>
      <c r="G1537" s="0" t="s">
        <v>20</v>
      </c>
      <c r="H1537" s="0" t="n">
        <v>29</v>
      </c>
      <c r="I1537" s="0" t="s">
        <v>5144</v>
      </c>
      <c r="J1537" s="0" t="s">
        <v>5145</v>
      </c>
      <c r="K1537" s="0" t="s">
        <v>5146</v>
      </c>
      <c r="L1537" s="0" t="str">
        <f aca="false">HYPERLINK("https://www.ncbi.nlm.nih.gov/nuccore/CP000058.1?report=graph&amp;tracks=[key:gene_model_track,Options:GeneOnly]&amp;mk=480091:480110|offset_29|00cc00,480067:480086|offset_53|444444,479997:480016|offset_123|444444,479955:479974|offset_165|444444&amp;v=479890:480174&amp;c=444444", "offset 29")</f>
        <v>offset 29</v>
      </c>
    </row>
    <row r="1538" customFormat="false" ht="12.8" hidden="false" customHeight="false" outlineLevel="0" collapsed="false">
      <c r="A1538" s="0" t="s">
        <v>12</v>
      </c>
      <c r="B1538" s="0" t="n">
        <v>480066</v>
      </c>
      <c r="C1538" s="0" t="n">
        <v>480086</v>
      </c>
      <c r="D1538" s="0" t="s">
        <v>5143</v>
      </c>
      <c r="E1538" s="0" t="s">
        <v>75</v>
      </c>
      <c r="F1538" s="0" t="s">
        <v>90</v>
      </c>
      <c r="G1538" s="0" t="s">
        <v>16</v>
      </c>
      <c r="H1538" s="0" t="n">
        <v>53</v>
      </c>
      <c r="I1538" s="0" t="s">
        <v>5147</v>
      </c>
      <c r="J1538" s="0" t="s">
        <v>5148</v>
      </c>
      <c r="K1538" s="0" t="s">
        <v>5149</v>
      </c>
      <c r="L1538" s="0" t="str">
        <f aca="false">HYPERLINK("https://www.ncbi.nlm.nih.gov/nuccore/CP000058.1?report=graph&amp;tracks=[key:gene_model_track,Options:GeneOnly]&amp;mk=480091:480110|offset_29|444444,480067:480086|offset_53|00cc00,479997:480016|offset_123|444444,479955:479974|offset_165|444444&amp;v=479890:480174&amp;c=444444", "offset 53")</f>
        <v>offset 53</v>
      </c>
    </row>
    <row r="1539" customFormat="false" ht="12.8" hidden="false" customHeight="false" outlineLevel="0" collapsed="false">
      <c r="A1539" s="0" t="s">
        <v>12</v>
      </c>
      <c r="B1539" s="0" t="n">
        <v>479996</v>
      </c>
      <c r="C1539" s="0" t="n">
        <v>480016</v>
      </c>
      <c r="D1539" s="0" t="s">
        <v>5143</v>
      </c>
      <c r="E1539" s="0" t="s">
        <v>75</v>
      </c>
      <c r="F1539" s="0" t="s">
        <v>90</v>
      </c>
      <c r="G1539" s="0" t="s">
        <v>16</v>
      </c>
      <c r="H1539" s="0" t="n">
        <v>123</v>
      </c>
      <c r="I1539" s="0" t="s">
        <v>5150</v>
      </c>
      <c r="J1539" s="0" t="s">
        <v>5151</v>
      </c>
      <c r="K1539" s="0" t="s">
        <v>5152</v>
      </c>
      <c r="L1539" s="0" t="str">
        <f aca="false">HYPERLINK("https://www.ncbi.nlm.nih.gov/nuccore/CP000058.1?report=graph&amp;tracks=[key:gene_model_track,Options:GeneOnly]&amp;mk=480091:480110|offset_29|444444,480067:480086|offset_53|444444,479997:480016|offset_123|00cc00,479955:479974|offset_165|444444&amp;v=479890:480174&amp;c=444444", "offset 123")</f>
        <v>offset 123</v>
      </c>
    </row>
    <row r="1540" customFormat="false" ht="12.8" hidden="false" customHeight="false" outlineLevel="0" collapsed="false">
      <c r="A1540" s="0" t="s">
        <v>12</v>
      </c>
      <c r="B1540" s="0" t="n">
        <v>479954</v>
      </c>
      <c r="C1540" s="0" t="n">
        <v>479974</v>
      </c>
      <c r="D1540" s="0" t="s">
        <v>5143</v>
      </c>
      <c r="E1540" s="0" t="s">
        <v>75</v>
      </c>
      <c r="F1540" s="0" t="s">
        <v>90</v>
      </c>
      <c r="G1540" s="0" t="s">
        <v>16</v>
      </c>
      <c r="H1540" s="0" t="n">
        <v>165</v>
      </c>
      <c r="I1540" s="0" t="s">
        <v>5153</v>
      </c>
      <c r="J1540" s="0" t="s">
        <v>5154</v>
      </c>
      <c r="K1540" s="0" t="s">
        <v>5155</v>
      </c>
      <c r="L1540" s="0" t="str">
        <f aca="false">HYPERLINK("https://www.ncbi.nlm.nih.gov/nuccore/CP000058.1?report=graph&amp;tracks=[key:gene_model_track,Options:GeneOnly]&amp;mk=480091:480110|offset_29|444444,480067:480086|offset_53|444444,479997:480016|offset_123|444444,479955:479974|offset_165|00cc00&amp;v=479890:480174&amp;c=444444", "offset 165")</f>
        <v>offset 165</v>
      </c>
    </row>
    <row r="1541" customFormat="false" ht="12.8" hidden="false" customHeight="false" outlineLevel="0" collapsed="false">
      <c r="A1541" s="0" t="s">
        <v>12</v>
      </c>
      <c r="B1541" s="0" t="n">
        <v>480590</v>
      </c>
      <c r="C1541" s="0" t="n">
        <v>480610</v>
      </c>
      <c r="D1541" s="0" t="s">
        <v>5156</v>
      </c>
      <c r="E1541" s="0" t="s">
        <v>75</v>
      </c>
      <c r="F1541" s="0" t="s">
        <v>90</v>
      </c>
      <c r="G1541" s="0" t="s">
        <v>16</v>
      </c>
      <c r="H1541" s="0" t="n">
        <v>8</v>
      </c>
      <c r="I1541" s="0" t="s">
        <v>5157</v>
      </c>
      <c r="J1541" s="0" t="s">
        <v>5158</v>
      </c>
      <c r="K1541" s="0" t="s">
        <v>5159</v>
      </c>
      <c r="L1541" s="0" t="str">
        <f aca="false">HYPERLINK("https://www.ncbi.nlm.nih.gov/nuccore/CP000058.1?report=graph&amp;tracks=[key:gene_model_track,Options:GeneOnly]&amp;mk=480591:480610|offset_8|00cc00,480539:480558|offset_60|444444,480506:480525|offset_93|444444,480483:480502|offset_116|444444&amp;v=480390:480702&amp;c=444444", "offset 8")</f>
        <v>offset 8</v>
      </c>
    </row>
    <row r="1542" customFormat="false" ht="12.8" hidden="false" customHeight="false" outlineLevel="0" collapsed="false">
      <c r="A1542" s="0" t="s">
        <v>12</v>
      </c>
      <c r="B1542" s="0" t="n">
        <v>480538</v>
      </c>
      <c r="C1542" s="0" t="n">
        <v>480558</v>
      </c>
      <c r="D1542" s="0" t="s">
        <v>5156</v>
      </c>
      <c r="E1542" s="0" t="s">
        <v>75</v>
      </c>
      <c r="F1542" s="0" t="s">
        <v>90</v>
      </c>
      <c r="G1542" s="0" t="s">
        <v>16</v>
      </c>
      <c r="H1542" s="0" t="n">
        <v>60</v>
      </c>
      <c r="I1542" s="0" t="s">
        <v>5160</v>
      </c>
      <c r="J1542" s="0" t="s">
        <v>5161</v>
      </c>
      <c r="K1542" s="0" t="s">
        <v>5162</v>
      </c>
      <c r="L1542" s="0" t="str">
        <f aca="false">HYPERLINK("https://www.ncbi.nlm.nih.gov/nuccore/CP000058.1?report=graph&amp;tracks=[key:gene_model_track,Options:GeneOnly]&amp;mk=480591:480610|offset_8|444444,480539:480558|offset_60|00cc00,480506:480525|offset_93|444444,480483:480502|offset_116|444444&amp;v=480390:480702&amp;c=444444", "offset 60")</f>
        <v>offset 60</v>
      </c>
    </row>
    <row r="1543" customFormat="false" ht="12.8" hidden="false" customHeight="false" outlineLevel="0" collapsed="false">
      <c r="A1543" s="0" t="s">
        <v>12</v>
      </c>
      <c r="B1543" s="0" t="n">
        <v>480505</v>
      </c>
      <c r="C1543" s="0" t="n">
        <v>480525</v>
      </c>
      <c r="D1543" s="0" t="s">
        <v>5156</v>
      </c>
      <c r="E1543" s="0" t="s">
        <v>75</v>
      </c>
      <c r="F1543" s="0" t="s">
        <v>90</v>
      </c>
      <c r="G1543" s="0" t="s">
        <v>16</v>
      </c>
      <c r="H1543" s="0" t="n">
        <v>93</v>
      </c>
      <c r="I1543" s="0" t="s">
        <v>5163</v>
      </c>
      <c r="J1543" s="0" t="s">
        <v>5164</v>
      </c>
      <c r="K1543" s="0" t="s">
        <v>5165</v>
      </c>
      <c r="L1543" s="0" t="str">
        <f aca="false">HYPERLINK("https://www.ncbi.nlm.nih.gov/nuccore/CP000058.1?report=graph&amp;tracks=[key:gene_model_track,Options:GeneOnly]&amp;mk=480591:480610|offset_8|444444,480539:480558|offset_60|444444,480506:480525|offset_93|00cc00,480483:480502|offset_116|444444&amp;v=480390:480702&amp;c=444444", "offset 93")</f>
        <v>offset 93</v>
      </c>
    </row>
    <row r="1544" customFormat="false" ht="12.8" hidden="false" customHeight="false" outlineLevel="0" collapsed="false">
      <c r="A1544" s="0" t="s">
        <v>12</v>
      </c>
      <c r="B1544" s="0" t="n">
        <v>480482</v>
      </c>
      <c r="C1544" s="0" t="n">
        <v>480502</v>
      </c>
      <c r="D1544" s="0" t="s">
        <v>5156</v>
      </c>
      <c r="E1544" s="0" t="s">
        <v>75</v>
      </c>
      <c r="F1544" s="0" t="s">
        <v>90</v>
      </c>
      <c r="G1544" s="0" t="s">
        <v>16</v>
      </c>
      <c r="H1544" s="0" t="n">
        <v>116</v>
      </c>
      <c r="I1544" s="0" t="s">
        <v>5166</v>
      </c>
      <c r="J1544" s="0" t="s">
        <v>5167</v>
      </c>
      <c r="K1544" s="0" t="s">
        <v>5168</v>
      </c>
      <c r="L1544" s="0" t="str">
        <f aca="false">HYPERLINK("https://www.ncbi.nlm.nih.gov/nuccore/CP000058.1?report=graph&amp;tracks=[key:gene_model_track,Options:GeneOnly]&amp;mk=480591:480610|offset_8|444444,480539:480558|offset_60|444444,480506:480525|offset_93|444444,480483:480502|offset_116|00cc00&amp;v=480390:480702&amp;c=444444", "offset 116")</f>
        <v>offset 116</v>
      </c>
    </row>
    <row r="1545" customFormat="false" ht="12.8" hidden="false" customHeight="false" outlineLevel="0" collapsed="false">
      <c r="A1545" s="0" t="s">
        <v>12</v>
      </c>
      <c r="B1545" s="0" t="n">
        <v>481207</v>
      </c>
      <c r="C1545" s="0" t="n">
        <v>481227</v>
      </c>
      <c r="D1545" s="0" t="s">
        <v>5169</v>
      </c>
      <c r="E1545" s="0" t="s">
        <v>75</v>
      </c>
      <c r="F1545" s="0" t="s">
        <v>90</v>
      </c>
      <c r="G1545" s="0" t="s">
        <v>20</v>
      </c>
      <c r="H1545" s="0" t="n">
        <v>35</v>
      </c>
      <c r="I1545" s="0" t="s">
        <v>5170</v>
      </c>
      <c r="J1545" s="0" t="s">
        <v>5171</v>
      </c>
      <c r="K1545" s="0" t="s">
        <v>5172</v>
      </c>
      <c r="L1545" s="0" t="str">
        <f aca="false">HYPERLINK("https://www.ncbi.nlm.nih.gov/nuccore/CP000058.1?report=graph&amp;tracks=[key:gene_model_track,Options:GeneOnly]&amp;mk=481208:481227|offset_35|00cc00,481180:481199|offset_63|444444,481148:481167|offset_95|444444,481114:481133|offset_129|444444&amp;v=481007:481333&amp;c=444444", "offset 35")</f>
        <v>offset 35</v>
      </c>
    </row>
    <row r="1546" customFormat="false" ht="12.8" hidden="false" customHeight="false" outlineLevel="0" collapsed="false">
      <c r="A1546" s="0" t="s">
        <v>12</v>
      </c>
      <c r="B1546" s="0" t="n">
        <v>481179</v>
      </c>
      <c r="C1546" s="0" t="n">
        <v>481199</v>
      </c>
      <c r="D1546" s="0" t="s">
        <v>5169</v>
      </c>
      <c r="E1546" s="0" t="s">
        <v>75</v>
      </c>
      <c r="F1546" s="0" t="s">
        <v>90</v>
      </c>
      <c r="G1546" s="0" t="s">
        <v>16</v>
      </c>
      <c r="H1546" s="0" t="n">
        <v>63</v>
      </c>
      <c r="I1546" s="0" t="s">
        <v>5173</v>
      </c>
      <c r="J1546" s="0" t="s">
        <v>5174</v>
      </c>
      <c r="K1546" s="0" t="s">
        <v>5175</v>
      </c>
      <c r="L1546" s="0" t="str">
        <f aca="false">HYPERLINK("https://www.ncbi.nlm.nih.gov/nuccore/CP000058.1?report=graph&amp;tracks=[key:gene_model_track,Options:GeneOnly]&amp;mk=481208:481227|offset_35|444444,481180:481199|offset_63|00cc00,481148:481167|offset_95|444444,481114:481133|offset_129|444444&amp;v=481007:481333&amp;c=444444", "offset 63")</f>
        <v>offset 63</v>
      </c>
    </row>
    <row r="1547" customFormat="false" ht="12.8" hidden="false" customHeight="false" outlineLevel="0" collapsed="false">
      <c r="A1547" s="0" t="s">
        <v>12</v>
      </c>
      <c r="B1547" s="0" t="n">
        <v>481147</v>
      </c>
      <c r="C1547" s="0" t="n">
        <v>481167</v>
      </c>
      <c r="D1547" s="0" t="s">
        <v>5169</v>
      </c>
      <c r="E1547" s="0" t="s">
        <v>75</v>
      </c>
      <c r="F1547" s="0" t="s">
        <v>90</v>
      </c>
      <c r="G1547" s="0" t="s">
        <v>16</v>
      </c>
      <c r="H1547" s="0" t="n">
        <v>95</v>
      </c>
      <c r="I1547" s="0" t="s">
        <v>5176</v>
      </c>
      <c r="J1547" s="0" t="s">
        <v>5177</v>
      </c>
      <c r="K1547" s="0" t="s">
        <v>5178</v>
      </c>
      <c r="L1547" s="0" t="str">
        <f aca="false">HYPERLINK("https://www.ncbi.nlm.nih.gov/nuccore/CP000058.1?report=graph&amp;tracks=[key:gene_model_track,Options:GeneOnly]&amp;mk=481208:481227|offset_35|444444,481180:481199|offset_63|444444,481148:481167|offset_95|00cc00,481114:481133|offset_129|444444&amp;v=481007:481333&amp;c=444444", "offset 95")</f>
        <v>offset 95</v>
      </c>
    </row>
    <row r="1548" customFormat="false" ht="12.8" hidden="false" customHeight="false" outlineLevel="0" collapsed="false">
      <c r="A1548" s="0" t="s">
        <v>12</v>
      </c>
      <c r="B1548" s="0" t="n">
        <v>481113</v>
      </c>
      <c r="C1548" s="0" t="n">
        <v>481133</v>
      </c>
      <c r="D1548" s="0" t="s">
        <v>5169</v>
      </c>
      <c r="E1548" s="0" t="s">
        <v>75</v>
      </c>
      <c r="F1548" s="0" t="s">
        <v>90</v>
      </c>
      <c r="G1548" s="0" t="s">
        <v>16</v>
      </c>
      <c r="H1548" s="0" t="n">
        <v>129</v>
      </c>
      <c r="I1548" s="0" t="s">
        <v>5179</v>
      </c>
      <c r="J1548" s="0" t="s">
        <v>5180</v>
      </c>
      <c r="K1548" s="0" t="s">
        <v>5181</v>
      </c>
      <c r="L1548" s="0" t="str">
        <f aca="false">HYPERLINK("https://www.ncbi.nlm.nih.gov/nuccore/CP000058.1?report=graph&amp;tracks=[key:gene_model_track,Options:GeneOnly]&amp;mk=481208:481227|offset_35|444444,481180:481199|offset_63|444444,481148:481167|offset_95|444444,481114:481133|offset_129|00cc00&amp;v=481007:481333&amp;c=444444", "offset 129")</f>
        <v>offset 129</v>
      </c>
    </row>
    <row r="1549" customFormat="false" ht="12.8" hidden="false" customHeight="false" outlineLevel="0" collapsed="false">
      <c r="A1549" s="0" t="s">
        <v>12</v>
      </c>
      <c r="B1549" s="0" t="n">
        <v>482573</v>
      </c>
      <c r="C1549" s="0" t="n">
        <v>482593</v>
      </c>
      <c r="D1549" s="0" t="s">
        <v>5182</v>
      </c>
      <c r="E1549" s="0" t="s">
        <v>75</v>
      </c>
      <c r="F1549" s="0" t="s">
        <v>90</v>
      </c>
      <c r="G1549" s="0" t="s">
        <v>20</v>
      </c>
      <c r="H1549" s="0" t="n">
        <v>0</v>
      </c>
      <c r="I1549" s="0" t="s">
        <v>5183</v>
      </c>
      <c r="J1549" s="0" t="s">
        <v>5184</v>
      </c>
      <c r="K1549" s="0" t="s">
        <v>5185</v>
      </c>
      <c r="L1549" s="0" t="str">
        <f aca="false">HYPERLINK("https://www.ncbi.nlm.nih.gov/nuccore/CP000058.1?report=graph&amp;tracks=[key:gene_model_track,Options:GeneOnly]&amp;mk=482574:482593|offset_0|00cc00,482525:482544|offset_49|444444,482498:482517|offset_76|444444,482446:482465|offset_128|444444&amp;v=482373:482665&amp;c=444444", "offset 0")</f>
        <v>offset 0</v>
      </c>
    </row>
    <row r="1550" customFormat="false" ht="12.8" hidden="false" customHeight="false" outlineLevel="0" collapsed="false">
      <c r="A1550" s="0" t="s">
        <v>12</v>
      </c>
      <c r="B1550" s="0" t="n">
        <v>482524</v>
      </c>
      <c r="C1550" s="0" t="n">
        <v>482544</v>
      </c>
      <c r="D1550" s="0" t="s">
        <v>5182</v>
      </c>
      <c r="E1550" s="0" t="s">
        <v>75</v>
      </c>
      <c r="F1550" s="0" t="s">
        <v>90</v>
      </c>
      <c r="G1550" s="0" t="s">
        <v>16</v>
      </c>
      <c r="H1550" s="0" t="n">
        <v>49</v>
      </c>
      <c r="I1550" s="0" t="s">
        <v>5186</v>
      </c>
      <c r="J1550" s="0" t="s">
        <v>5187</v>
      </c>
      <c r="K1550" s="0" t="s">
        <v>5188</v>
      </c>
      <c r="L1550" s="0" t="str">
        <f aca="false">HYPERLINK("https://www.ncbi.nlm.nih.gov/nuccore/CP000058.1?report=graph&amp;tracks=[key:gene_model_track,Options:GeneOnly]&amp;mk=482574:482593|offset_0|444444,482525:482544|offset_49|00cc00,482498:482517|offset_76|444444,482446:482465|offset_128|444444&amp;v=482373:482665&amp;c=444444", "offset 49")</f>
        <v>offset 49</v>
      </c>
    </row>
    <row r="1551" customFormat="false" ht="12.8" hidden="false" customHeight="false" outlineLevel="0" collapsed="false">
      <c r="A1551" s="0" t="s">
        <v>12</v>
      </c>
      <c r="B1551" s="0" t="n">
        <v>482497</v>
      </c>
      <c r="C1551" s="0" t="n">
        <v>482517</v>
      </c>
      <c r="D1551" s="0" t="s">
        <v>5182</v>
      </c>
      <c r="E1551" s="0" t="s">
        <v>75</v>
      </c>
      <c r="F1551" s="0" t="s">
        <v>90</v>
      </c>
      <c r="G1551" s="0" t="s">
        <v>36</v>
      </c>
      <c r="H1551" s="0" t="n">
        <v>76</v>
      </c>
      <c r="I1551" s="0" t="s">
        <v>5189</v>
      </c>
      <c r="J1551" s="0" t="s">
        <v>5190</v>
      </c>
      <c r="K1551" s="0" t="s">
        <v>5191</v>
      </c>
      <c r="L1551" s="0" t="str">
        <f aca="false">HYPERLINK("https://www.ncbi.nlm.nih.gov/nuccore/CP000058.1?report=graph&amp;tracks=[key:gene_model_track,Options:GeneOnly]&amp;mk=482574:482593|offset_0|444444,482525:482544|offset_49|444444,482498:482517|offset_76|00cc00,482446:482465|offset_128|444444&amp;v=482373:482665&amp;c=444444", "offset 76")</f>
        <v>offset 76</v>
      </c>
    </row>
    <row r="1552" customFormat="false" ht="12.8" hidden="false" customHeight="false" outlineLevel="0" collapsed="false">
      <c r="A1552" s="0" t="s">
        <v>12</v>
      </c>
      <c r="B1552" s="0" t="n">
        <v>482445</v>
      </c>
      <c r="C1552" s="0" t="n">
        <v>482465</v>
      </c>
      <c r="D1552" s="0" t="s">
        <v>5182</v>
      </c>
      <c r="E1552" s="0" t="s">
        <v>75</v>
      </c>
      <c r="F1552" s="0" t="s">
        <v>90</v>
      </c>
      <c r="G1552" s="0" t="s">
        <v>36</v>
      </c>
      <c r="H1552" s="0" t="n">
        <v>128</v>
      </c>
      <c r="I1552" s="0" t="s">
        <v>5192</v>
      </c>
      <c r="J1552" s="0" t="s">
        <v>5193</v>
      </c>
      <c r="K1552" s="0" t="s">
        <v>5194</v>
      </c>
      <c r="L1552" s="0" t="str">
        <f aca="false">HYPERLINK("https://www.ncbi.nlm.nih.gov/nuccore/CP000058.1?report=graph&amp;tracks=[key:gene_model_track,Options:GeneOnly]&amp;mk=482574:482593|offset_0|444444,482525:482544|offset_49|444444,482498:482517|offset_76|444444,482446:482465|offset_128|00cc00&amp;v=482373:482665&amp;c=444444", "offset 128")</f>
        <v>offset 128</v>
      </c>
    </row>
    <row r="1553" customFormat="false" ht="12.8" hidden="false" customHeight="false" outlineLevel="0" collapsed="false">
      <c r="A1553" s="0" t="s">
        <v>12</v>
      </c>
      <c r="B1553" s="0" t="n">
        <v>484961</v>
      </c>
      <c r="C1553" s="0" t="n">
        <v>484981</v>
      </c>
      <c r="D1553" s="0" t="s">
        <v>5195</v>
      </c>
      <c r="E1553" s="0" t="s">
        <v>75</v>
      </c>
      <c r="F1553" s="0" t="s">
        <v>90</v>
      </c>
      <c r="G1553" s="0" t="s">
        <v>16</v>
      </c>
      <c r="H1553" s="0" t="n">
        <v>30</v>
      </c>
      <c r="I1553" s="0" t="s">
        <v>5196</v>
      </c>
      <c r="J1553" s="0" t="s">
        <v>5197</v>
      </c>
      <c r="K1553" s="0" t="s">
        <v>5198</v>
      </c>
      <c r="L1553" s="0" t="str">
        <f aca="false">HYPERLINK("https://www.ncbi.nlm.nih.gov/nuccore/CP000058.1?report=graph&amp;tracks=[key:gene_model_track,Options:GeneOnly]&amp;mk=484962:484981|offset_30|00cc00,484919:484938|offset_73|444444,484893:484912|offset_99|444444,484863:484882|offset_129|444444&amp;v=484761:485082&amp;c=444444", "offset 30")</f>
        <v>offset 30</v>
      </c>
    </row>
    <row r="1554" customFormat="false" ht="12.8" hidden="false" customHeight="false" outlineLevel="0" collapsed="false">
      <c r="A1554" s="0" t="s">
        <v>12</v>
      </c>
      <c r="B1554" s="0" t="n">
        <v>484918</v>
      </c>
      <c r="C1554" s="0" t="n">
        <v>484938</v>
      </c>
      <c r="D1554" s="0" t="s">
        <v>5195</v>
      </c>
      <c r="E1554" s="0" t="s">
        <v>75</v>
      </c>
      <c r="F1554" s="0" t="s">
        <v>90</v>
      </c>
      <c r="G1554" s="0" t="s">
        <v>16</v>
      </c>
      <c r="H1554" s="0" t="n">
        <v>73</v>
      </c>
      <c r="I1554" s="0" t="s">
        <v>5199</v>
      </c>
      <c r="J1554" s="0" t="s">
        <v>5200</v>
      </c>
      <c r="K1554" s="0" t="s">
        <v>5201</v>
      </c>
      <c r="L1554" s="0" t="str">
        <f aca="false">HYPERLINK("https://www.ncbi.nlm.nih.gov/nuccore/CP000058.1?report=graph&amp;tracks=[key:gene_model_track,Options:GeneOnly]&amp;mk=484962:484981|offset_30|444444,484919:484938|offset_73|00cc00,484893:484912|offset_99|444444,484863:484882|offset_129|444444&amp;v=484761:485082&amp;c=444444", "offset 73")</f>
        <v>offset 73</v>
      </c>
    </row>
    <row r="1555" customFormat="false" ht="12.8" hidden="false" customHeight="false" outlineLevel="0" collapsed="false">
      <c r="A1555" s="0" t="s">
        <v>12</v>
      </c>
      <c r="B1555" s="0" t="n">
        <v>484892</v>
      </c>
      <c r="C1555" s="0" t="n">
        <v>484912</v>
      </c>
      <c r="D1555" s="0" t="s">
        <v>5195</v>
      </c>
      <c r="E1555" s="0" t="s">
        <v>75</v>
      </c>
      <c r="F1555" s="0" t="s">
        <v>90</v>
      </c>
      <c r="G1555" s="0" t="s">
        <v>16</v>
      </c>
      <c r="H1555" s="0" t="n">
        <v>99</v>
      </c>
      <c r="I1555" s="0" t="s">
        <v>5202</v>
      </c>
      <c r="J1555" s="0" t="s">
        <v>5203</v>
      </c>
      <c r="K1555" s="0" t="s">
        <v>5204</v>
      </c>
      <c r="L1555" s="0" t="str">
        <f aca="false">HYPERLINK("https://www.ncbi.nlm.nih.gov/nuccore/CP000058.1?report=graph&amp;tracks=[key:gene_model_track,Options:GeneOnly]&amp;mk=484962:484981|offset_30|444444,484919:484938|offset_73|444444,484893:484912|offset_99|00cc00,484863:484882|offset_129|444444&amp;v=484761:485082&amp;c=444444", "offset 99")</f>
        <v>offset 99</v>
      </c>
    </row>
    <row r="1556" customFormat="false" ht="12.8" hidden="false" customHeight="false" outlineLevel="0" collapsed="false">
      <c r="A1556" s="0" t="s">
        <v>12</v>
      </c>
      <c r="B1556" s="0" t="n">
        <v>484862</v>
      </c>
      <c r="C1556" s="0" t="n">
        <v>484882</v>
      </c>
      <c r="D1556" s="0" t="s">
        <v>5195</v>
      </c>
      <c r="E1556" s="0" t="s">
        <v>75</v>
      </c>
      <c r="F1556" s="0" t="s">
        <v>90</v>
      </c>
      <c r="G1556" s="0" t="s">
        <v>32</v>
      </c>
      <c r="H1556" s="0" t="n">
        <v>129</v>
      </c>
      <c r="I1556" s="0" t="s">
        <v>5205</v>
      </c>
      <c r="J1556" s="0" t="s">
        <v>5206</v>
      </c>
      <c r="K1556" s="0" t="s">
        <v>5207</v>
      </c>
      <c r="L1556" s="0" t="str">
        <f aca="false">HYPERLINK("https://www.ncbi.nlm.nih.gov/nuccore/CP000058.1?report=graph&amp;tracks=[key:gene_model_track,Options:GeneOnly]&amp;mk=484962:484981|offset_30|444444,484919:484938|offset_73|444444,484893:484912|offset_99|444444,484863:484882|offset_129|00cc00&amp;v=484761:485082&amp;c=444444", "offset 129")</f>
        <v>offset 129</v>
      </c>
    </row>
    <row r="1557" customFormat="false" ht="12.8" hidden="false" customHeight="false" outlineLevel="0" collapsed="false">
      <c r="A1557" s="0" t="s">
        <v>12</v>
      </c>
      <c r="B1557" s="0" t="n">
        <v>485581</v>
      </c>
      <c r="C1557" s="0" t="n">
        <v>485601</v>
      </c>
      <c r="D1557" s="0" t="s">
        <v>5208</v>
      </c>
      <c r="E1557" s="0" t="s">
        <v>75</v>
      </c>
      <c r="F1557" s="0" t="s">
        <v>90</v>
      </c>
      <c r="G1557" s="0" t="s">
        <v>16</v>
      </c>
      <c r="H1557" s="0" t="n">
        <v>8</v>
      </c>
      <c r="I1557" s="0" t="s">
        <v>5209</v>
      </c>
      <c r="J1557" s="0" t="s">
        <v>5210</v>
      </c>
      <c r="K1557" s="0" t="s">
        <v>5211</v>
      </c>
      <c r="L1557" s="0" t="str">
        <f aca="false">HYPERLINK("https://www.ncbi.nlm.nih.gov/nuccore/CP000058.1?report=graph&amp;tracks=[key:gene_model_track,Options:GeneOnly]&amp;mk=485582:485601|offset_8|00cc00,485543:485562|offset_47|444444,485485:485504|offset_105|444444,485447:485466|offset_143|444444&amp;v=485381:485666&amp;c=444444", "offset 8")</f>
        <v>offset 8</v>
      </c>
    </row>
    <row r="1558" customFormat="false" ht="12.8" hidden="false" customHeight="false" outlineLevel="0" collapsed="false">
      <c r="A1558" s="0" t="s">
        <v>12</v>
      </c>
      <c r="B1558" s="0" t="n">
        <v>485542</v>
      </c>
      <c r="C1558" s="0" t="n">
        <v>485562</v>
      </c>
      <c r="D1558" s="0" t="s">
        <v>5208</v>
      </c>
      <c r="E1558" s="0" t="s">
        <v>75</v>
      </c>
      <c r="F1558" s="0" t="s">
        <v>90</v>
      </c>
      <c r="G1558" s="0" t="s">
        <v>20</v>
      </c>
      <c r="H1558" s="0" t="n">
        <v>47</v>
      </c>
      <c r="I1558" s="0" t="s">
        <v>5212</v>
      </c>
      <c r="J1558" s="0" t="s">
        <v>5213</v>
      </c>
      <c r="K1558" s="0" t="s">
        <v>5214</v>
      </c>
      <c r="L1558" s="0" t="str">
        <f aca="false">HYPERLINK("https://www.ncbi.nlm.nih.gov/nuccore/CP000058.1?report=graph&amp;tracks=[key:gene_model_track,Options:GeneOnly]&amp;mk=485582:485601|offset_8|444444,485543:485562|offset_47|00cc00,485485:485504|offset_105|444444,485447:485466|offset_143|444444&amp;v=485381:485666&amp;c=444444", "offset 47")</f>
        <v>offset 47</v>
      </c>
    </row>
    <row r="1559" customFormat="false" ht="12.8" hidden="false" customHeight="false" outlineLevel="0" collapsed="false">
      <c r="A1559" s="0" t="s">
        <v>12</v>
      </c>
      <c r="B1559" s="0" t="n">
        <v>485484</v>
      </c>
      <c r="C1559" s="0" t="n">
        <v>485504</v>
      </c>
      <c r="D1559" s="0" t="s">
        <v>5208</v>
      </c>
      <c r="E1559" s="0" t="s">
        <v>75</v>
      </c>
      <c r="F1559" s="0" t="s">
        <v>90</v>
      </c>
      <c r="G1559" s="0" t="s">
        <v>20</v>
      </c>
      <c r="H1559" s="0" t="n">
        <v>105</v>
      </c>
      <c r="I1559" s="0" t="s">
        <v>5215</v>
      </c>
      <c r="J1559" s="0" t="s">
        <v>5216</v>
      </c>
      <c r="K1559" s="0" t="s">
        <v>5217</v>
      </c>
      <c r="L1559" s="0" t="str">
        <f aca="false">HYPERLINK("https://www.ncbi.nlm.nih.gov/nuccore/CP000058.1?report=graph&amp;tracks=[key:gene_model_track,Options:GeneOnly]&amp;mk=485582:485601|offset_8|444444,485543:485562|offset_47|444444,485485:485504|offset_105|00cc00,485447:485466|offset_143|444444&amp;v=485381:485666&amp;c=444444", "offset 105")</f>
        <v>offset 105</v>
      </c>
    </row>
    <row r="1560" customFormat="false" ht="12.8" hidden="false" customHeight="false" outlineLevel="0" collapsed="false">
      <c r="A1560" s="0" t="s">
        <v>12</v>
      </c>
      <c r="B1560" s="0" t="n">
        <v>485446</v>
      </c>
      <c r="C1560" s="0" t="n">
        <v>485466</v>
      </c>
      <c r="D1560" s="0" t="s">
        <v>5208</v>
      </c>
      <c r="E1560" s="0" t="s">
        <v>75</v>
      </c>
      <c r="F1560" s="0" t="s">
        <v>90</v>
      </c>
      <c r="G1560" s="0" t="s">
        <v>20</v>
      </c>
      <c r="H1560" s="0" t="n">
        <v>143</v>
      </c>
      <c r="I1560" s="0" t="s">
        <v>5218</v>
      </c>
      <c r="J1560" s="0" t="s">
        <v>5219</v>
      </c>
      <c r="K1560" s="0" t="s">
        <v>5220</v>
      </c>
      <c r="L1560" s="0" t="str">
        <f aca="false">HYPERLINK("https://www.ncbi.nlm.nih.gov/nuccore/CP000058.1?report=graph&amp;tracks=[key:gene_model_track,Options:GeneOnly]&amp;mk=485582:485601|offset_8|444444,485543:485562|offset_47|444444,485485:485504|offset_105|444444,485447:485466|offset_143|00cc00&amp;v=485381:485666&amp;c=444444", "offset 143")</f>
        <v>offset 143</v>
      </c>
    </row>
    <row r="1561" customFormat="false" ht="12.8" hidden="false" customHeight="false" outlineLevel="0" collapsed="false">
      <c r="A1561" s="0" t="s">
        <v>12</v>
      </c>
      <c r="B1561" s="0" t="n">
        <v>485977</v>
      </c>
      <c r="C1561" s="0" t="n">
        <v>485997</v>
      </c>
      <c r="D1561" s="0" t="s">
        <v>5221</v>
      </c>
      <c r="E1561" s="0" t="s">
        <v>75</v>
      </c>
      <c r="F1561" s="0" t="s">
        <v>90</v>
      </c>
      <c r="G1561" s="0" t="s">
        <v>16</v>
      </c>
      <c r="H1561" s="0" t="n">
        <v>34</v>
      </c>
      <c r="I1561" s="0" t="s">
        <v>5222</v>
      </c>
      <c r="J1561" s="0" t="s">
        <v>5223</v>
      </c>
      <c r="K1561" s="0" t="s">
        <v>5224</v>
      </c>
      <c r="L1561" s="0" t="str">
        <f aca="false">HYPERLINK("https://www.ncbi.nlm.nih.gov/nuccore/CP000058.1?report=graph&amp;tracks=[key:gene_model_track,Options:GeneOnly]&amp;mk=485978:485997|offset_34|00cc00,485908:485927|offset_104|444444,485878:485897|offset_134|444444,485843:485862|offset_169|444444&amp;v=485777:486062&amp;c=444444", "offset 34")</f>
        <v>offset 34</v>
      </c>
    </row>
    <row r="1562" customFormat="false" ht="12.8" hidden="false" customHeight="false" outlineLevel="0" collapsed="false">
      <c r="A1562" s="0" t="s">
        <v>12</v>
      </c>
      <c r="B1562" s="0" t="n">
        <v>485907</v>
      </c>
      <c r="C1562" s="0" t="n">
        <v>485927</v>
      </c>
      <c r="D1562" s="0" t="s">
        <v>5221</v>
      </c>
      <c r="E1562" s="0" t="s">
        <v>75</v>
      </c>
      <c r="F1562" s="0" t="s">
        <v>90</v>
      </c>
      <c r="G1562" s="0" t="s">
        <v>20</v>
      </c>
      <c r="H1562" s="0" t="n">
        <v>104</v>
      </c>
      <c r="I1562" s="0" t="s">
        <v>5225</v>
      </c>
      <c r="J1562" s="0" t="s">
        <v>5226</v>
      </c>
      <c r="K1562" s="0" t="s">
        <v>5227</v>
      </c>
      <c r="L1562" s="0" t="str">
        <f aca="false">HYPERLINK("https://www.ncbi.nlm.nih.gov/nuccore/CP000058.1?report=graph&amp;tracks=[key:gene_model_track,Options:GeneOnly]&amp;mk=485978:485997|offset_34|444444,485908:485927|offset_104|00cc00,485878:485897|offset_134|444444,485843:485862|offset_169|444444&amp;v=485777:486062&amp;c=444444", "offset 104")</f>
        <v>offset 104</v>
      </c>
    </row>
    <row r="1563" customFormat="false" ht="12.8" hidden="false" customHeight="false" outlineLevel="0" collapsed="false">
      <c r="A1563" s="0" t="s">
        <v>12</v>
      </c>
      <c r="B1563" s="0" t="n">
        <v>485877</v>
      </c>
      <c r="C1563" s="0" t="n">
        <v>485897</v>
      </c>
      <c r="D1563" s="0" t="s">
        <v>5221</v>
      </c>
      <c r="E1563" s="0" t="s">
        <v>75</v>
      </c>
      <c r="F1563" s="0" t="s">
        <v>90</v>
      </c>
      <c r="G1563" s="0" t="s">
        <v>32</v>
      </c>
      <c r="H1563" s="0" t="n">
        <v>134</v>
      </c>
      <c r="I1563" s="0" t="s">
        <v>5228</v>
      </c>
      <c r="J1563" s="0" t="s">
        <v>5229</v>
      </c>
      <c r="K1563" s="0" t="s">
        <v>5230</v>
      </c>
      <c r="L1563" s="0" t="str">
        <f aca="false">HYPERLINK("https://www.ncbi.nlm.nih.gov/nuccore/CP000058.1?report=graph&amp;tracks=[key:gene_model_track,Options:GeneOnly]&amp;mk=485978:485997|offset_34|444444,485908:485927|offset_104|444444,485878:485897|offset_134|00cc00,485843:485862|offset_169|444444&amp;v=485777:486062&amp;c=444444", "offset 134")</f>
        <v>offset 134</v>
      </c>
    </row>
    <row r="1564" customFormat="false" ht="12.8" hidden="false" customHeight="false" outlineLevel="0" collapsed="false">
      <c r="A1564" s="0" t="s">
        <v>12</v>
      </c>
      <c r="B1564" s="0" t="n">
        <v>485842</v>
      </c>
      <c r="C1564" s="0" t="n">
        <v>485862</v>
      </c>
      <c r="D1564" s="0" t="s">
        <v>5221</v>
      </c>
      <c r="E1564" s="0" t="s">
        <v>75</v>
      </c>
      <c r="F1564" s="0" t="s">
        <v>90</v>
      </c>
      <c r="G1564" s="0" t="s">
        <v>16</v>
      </c>
      <c r="H1564" s="0" t="n">
        <v>169</v>
      </c>
      <c r="I1564" s="0" t="s">
        <v>5231</v>
      </c>
      <c r="J1564" s="0" t="s">
        <v>5232</v>
      </c>
      <c r="K1564" s="0" t="s">
        <v>5233</v>
      </c>
      <c r="L1564" s="0" t="str">
        <f aca="false">HYPERLINK("https://www.ncbi.nlm.nih.gov/nuccore/CP000058.1?report=graph&amp;tracks=[key:gene_model_track,Options:GeneOnly]&amp;mk=485978:485997|offset_34|444444,485908:485927|offset_104|444444,485878:485897|offset_134|444444,485843:485862|offset_169|00cc00&amp;v=485777:486062&amp;c=444444", "offset 169")</f>
        <v>offset 169</v>
      </c>
    </row>
    <row r="1565" customFormat="false" ht="12.8" hidden="false" customHeight="false" outlineLevel="0" collapsed="false">
      <c r="A1565" s="0" t="s">
        <v>12</v>
      </c>
      <c r="B1565" s="0" t="n">
        <v>487525</v>
      </c>
      <c r="C1565" s="0" t="n">
        <v>487545</v>
      </c>
      <c r="D1565" s="0" t="s">
        <v>5234</v>
      </c>
      <c r="E1565" s="0" t="s">
        <v>75</v>
      </c>
      <c r="F1565" s="0" t="s">
        <v>90</v>
      </c>
      <c r="G1565" s="0" t="s">
        <v>36</v>
      </c>
      <c r="H1565" s="0" t="n">
        <v>23</v>
      </c>
      <c r="I1565" s="0" t="s">
        <v>5235</v>
      </c>
      <c r="J1565" s="0" t="s">
        <v>5236</v>
      </c>
      <c r="K1565" s="0" t="s">
        <v>5237</v>
      </c>
      <c r="L1565" s="0" t="str">
        <f aca="false">HYPERLINK("https://www.ncbi.nlm.nih.gov/nuccore/CP000058.1?report=graph&amp;tracks=[key:gene_model_track,Options:GeneOnly]&amp;mk=487526:487545|offset_23|00cc00,487479:487498|offset_70|444444,487459:487478|offset_90|444444,487416:487435|offset_133|444444&amp;v=487325:487635&amp;c=444444", "offset 23")</f>
        <v>offset 23</v>
      </c>
    </row>
    <row r="1566" customFormat="false" ht="12.8" hidden="false" customHeight="false" outlineLevel="0" collapsed="false">
      <c r="A1566" s="0" t="s">
        <v>12</v>
      </c>
      <c r="B1566" s="0" t="n">
        <v>487478</v>
      </c>
      <c r="C1566" s="0" t="n">
        <v>487498</v>
      </c>
      <c r="D1566" s="0" t="s">
        <v>5234</v>
      </c>
      <c r="E1566" s="0" t="s">
        <v>75</v>
      </c>
      <c r="F1566" s="0" t="s">
        <v>90</v>
      </c>
      <c r="G1566" s="0" t="s">
        <v>36</v>
      </c>
      <c r="H1566" s="0" t="n">
        <v>70</v>
      </c>
      <c r="I1566" s="0" t="s">
        <v>5238</v>
      </c>
      <c r="J1566" s="0" t="s">
        <v>5239</v>
      </c>
      <c r="K1566" s="0" t="s">
        <v>5240</v>
      </c>
      <c r="L1566" s="0" t="str">
        <f aca="false">HYPERLINK("https://www.ncbi.nlm.nih.gov/nuccore/CP000058.1?report=graph&amp;tracks=[key:gene_model_track,Options:GeneOnly]&amp;mk=487526:487545|offset_23|444444,487479:487498|offset_70|00cc00,487459:487478|offset_90|444444,487416:487435|offset_133|444444&amp;v=487325:487635&amp;c=444444", "offset 70")</f>
        <v>offset 70</v>
      </c>
    </row>
    <row r="1567" customFormat="false" ht="12.8" hidden="false" customHeight="false" outlineLevel="0" collapsed="false">
      <c r="A1567" s="0" t="s">
        <v>12</v>
      </c>
      <c r="B1567" s="0" t="n">
        <v>487458</v>
      </c>
      <c r="C1567" s="0" t="n">
        <v>487478</v>
      </c>
      <c r="D1567" s="0" t="s">
        <v>5234</v>
      </c>
      <c r="E1567" s="0" t="s">
        <v>75</v>
      </c>
      <c r="F1567" s="0" t="s">
        <v>90</v>
      </c>
      <c r="G1567" s="0" t="s">
        <v>16</v>
      </c>
      <c r="H1567" s="0" t="n">
        <v>90</v>
      </c>
      <c r="I1567" s="0" t="s">
        <v>5241</v>
      </c>
      <c r="J1567" s="0" t="s">
        <v>5242</v>
      </c>
      <c r="K1567" s="0" t="s">
        <v>5243</v>
      </c>
      <c r="L1567" s="0" t="str">
        <f aca="false">HYPERLINK("https://www.ncbi.nlm.nih.gov/nuccore/CP000058.1?report=graph&amp;tracks=[key:gene_model_track,Options:GeneOnly]&amp;mk=487526:487545|offset_23|444444,487479:487498|offset_70|444444,487459:487478|offset_90|00cc00,487416:487435|offset_133|444444&amp;v=487325:487635&amp;c=444444", "offset 90")</f>
        <v>offset 90</v>
      </c>
    </row>
    <row r="1568" customFormat="false" ht="12.8" hidden="false" customHeight="false" outlineLevel="0" collapsed="false">
      <c r="A1568" s="0" t="s">
        <v>12</v>
      </c>
      <c r="B1568" s="0" t="n">
        <v>487415</v>
      </c>
      <c r="C1568" s="0" t="n">
        <v>487435</v>
      </c>
      <c r="D1568" s="0" t="s">
        <v>5234</v>
      </c>
      <c r="E1568" s="0" t="s">
        <v>75</v>
      </c>
      <c r="F1568" s="0" t="s">
        <v>90</v>
      </c>
      <c r="G1568" s="0" t="s">
        <v>32</v>
      </c>
      <c r="H1568" s="0" t="n">
        <v>133</v>
      </c>
      <c r="I1568" s="0" t="s">
        <v>5244</v>
      </c>
      <c r="J1568" s="0" t="s">
        <v>5245</v>
      </c>
      <c r="K1568" s="0" t="s">
        <v>5246</v>
      </c>
      <c r="L1568" s="0" t="str">
        <f aca="false">HYPERLINK("https://www.ncbi.nlm.nih.gov/nuccore/CP000058.1?report=graph&amp;tracks=[key:gene_model_track,Options:GeneOnly]&amp;mk=487526:487545|offset_23|444444,487479:487498|offset_70|444444,487459:487478|offset_90|444444,487416:487435|offset_133|00cc00&amp;v=487325:487635&amp;c=444444", "offset 133")</f>
        <v>offset 133</v>
      </c>
    </row>
    <row r="1569" customFormat="false" ht="12.8" hidden="false" customHeight="false" outlineLevel="0" collapsed="false">
      <c r="A1569" s="0" t="s">
        <v>12</v>
      </c>
      <c r="B1569" s="0" t="n">
        <v>488469</v>
      </c>
      <c r="C1569" s="0" t="n">
        <v>488489</v>
      </c>
      <c r="D1569" s="0" t="s">
        <v>5247</v>
      </c>
      <c r="E1569" s="0" t="s">
        <v>75</v>
      </c>
      <c r="F1569" s="0" t="s">
        <v>90</v>
      </c>
      <c r="G1569" s="0" t="s">
        <v>32</v>
      </c>
      <c r="H1569" s="0" t="n">
        <v>7</v>
      </c>
      <c r="I1569" s="0" t="s">
        <v>5248</v>
      </c>
      <c r="J1569" s="0" t="s">
        <v>5249</v>
      </c>
      <c r="K1569" s="0" t="s">
        <v>5250</v>
      </c>
      <c r="L1569" s="0" t="str">
        <f aca="false">HYPERLINK("https://www.ncbi.nlm.nih.gov/nuccore/CP000058.1?report=graph&amp;tracks=[key:gene_model_track,Options:GeneOnly]&amp;mk=488470:488489|offset_7|00cc00,488440:488459|offset_37|444444,488415:488434|offset_62|444444,488395:488414|offset_82|444444&amp;v=488269:488614&amp;c=444444", "offset 7")</f>
        <v>offset 7</v>
      </c>
    </row>
    <row r="1570" customFormat="false" ht="12.8" hidden="false" customHeight="false" outlineLevel="0" collapsed="false">
      <c r="A1570" s="0" t="s">
        <v>12</v>
      </c>
      <c r="B1570" s="0" t="n">
        <v>488439</v>
      </c>
      <c r="C1570" s="0" t="n">
        <v>488459</v>
      </c>
      <c r="D1570" s="0" t="s">
        <v>5247</v>
      </c>
      <c r="E1570" s="0" t="s">
        <v>75</v>
      </c>
      <c r="F1570" s="0" t="s">
        <v>90</v>
      </c>
      <c r="G1570" s="0" t="s">
        <v>32</v>
      </c>
      <c r="H1570" s="0" t="n">
        <v>37</v>
      </c>
      <c r="I1570" s="0" t="s">
        <v>5251</v>
      </c>
      <c r="J1570" s="0" t="s">
        <v>5252</v>
      </c>
      <c r="K1570" s="0" t="s">
        <v>5253</v>
      </c>
      <c r="L1570" s="0" t="str">
        <f aca="false">HYPERLINK("https://www.ncbi.nlm.nih.gov/nuccore/CP000058.1?report=graph&amp;tracks=[key:gene_model_track,Options:GeneOnly]&amp;mk=488470:488489|offset_7|444444,488440:488459|offset_37|00cc00,488415:488434|offset_62|444444,488395:488414|offset_82|444444&amp;v=488269:488614&amp;c=444444", "offset 37")</f>
        <v>offset 37</v>
      </c>
    </row>
    <row r="1571" customFormat="false" ht="12.8" hidden="false" customHeight="false" outlineLevel="0" collapsed="false">
      <c r="A1571" s="0" t="s">
        <v>12</v>
      </c>
      <c r="B1571" s="0" t="n">
        <v>488414</v>
      </c>
      <c r="C1571" s="0" t="n">
        <v>488434</v>
      </c>
      <c r="D1571" s="0" t="s">
        <v>5247</v>
      </c>
      <c r="E1571" s="0" t="s">
        <v>75</v>
      </c>
      <c r="F1571" s="0" t="s">
        <v>90</v>
      </c>
      <c r="G1571" s="0" t="s">
        <v>20</v>
      </c>
      <c r="H1571" s="0" t="n">
        <v>62</v>
      </c>
      <c r="I1571" s="0" t="s">
        <v>5254</v>
      </c>
      <c r="J1571" s="0" t="s">
        <v>5255</v>
      </c>
      <c r="K1571" s="0" t="s">
        <v>5256</v>
      </c>
      <c r="L1571" s="0" t="str">
        <f aca="false">HYPERLINK("https://www.ncbi.nlm.nih.gov/nuccore/CP000058.1?report=graph&amp;tracks=[key:gene_model_track,Options:GeneOnly]&amp;mk=488470:488489|offset_7|444444,488440:488459|offset_37|444444,488415:488434|offset_62|00cc00,488395:488414|offset_82|444444&amp;v=488269:488614&amp;c=444444", "offset 62")</f>
        <v>offset 62</v>
      </c>
    </row>
    <row r="1572" customFormat="false" ht="12.8" hidden="false" customHeight="false" outlineLevel="0" collapsed="false">
      <c r="A1572" s="0" t="s">
        <v>12</v>
      </c>
      <c r="B1572" s="0" t="n">
        <v>488394</v>
      </c>
      <c r="C1572" s="0" t="n">
        <v>488414</v>
      </c>
      <c r="D1572" s="0" t="s">
        <v>5247</v>
      </c>
      <c r="E1572" s="0" t="s">
        <v>75</v>
      </c>
      <c r="F1572" s="0" t="s">
        <v>90</v>
      </c>
      <c r="G1572" s="0" t="s">
        <v>20</v>
      </c>
      <c r="H1572" s="0" t="n">
        <v>82</v>
      </c>
      <c r="I1572" s="0" t="s">
        <v>5257</v>
      </c>
      <c r="J1572" s="0" t="s">
        <v>5258</v>
      </c>
      <c r="K1572" s="0" t="s">
        <v>5259</v>
      </c>
      <c r="L1572" s="0" t="str">
        <f aca="false">HYPERLINK("https://www.ncbi.nlm.nih.gov/nuccore/CP000058.1?report=graph&amp;tracks=[key:gene_model_track,Options:GeneOnly]&amp;mk=488470:488489|offset_7|444444,488440:488459|offset_37|444444,488415:488434|offset_62|444444,488395:488414|offset_82|00cc00&amp;v=488269:488614&amp;c=444444", "offset 82")</f>
        <v>offset 82</v>
      </c>
    </row>
    <row r="1573" customFormat="false" ht="12.8" hidden="false" customHeight="false" outlineLevel="0" collapsed="false">
      <c r="A1573" s="0" t="s">
        <v>12</v>
      </c>
      <c r="B1573" s="0" t="n">
        <v>489195</v>
      </c>
      <c r="C1573" s="0" t="n">
        <v>489215</v>
      </c>
      <c r="D1573" s="0" t="s">
        <v>5260</v>
      </c>
      <c r="E1573" s="0" t="s">
        <v>75</v>
      </c>
      <c r="F1573" s="0" t="s">
        <v>90</v>
      </c>
      <c r="G1573" s="0" t="s">
        <v>20</v>
      </c>
      <c r="H1573" s="0" t="n">
        <v>12</v>
      </c>
      <c r="I1573" s="0" t="s">
        <v>5261</v>
      </c>
      <c r="J1573" s="0" t="s">
        <v>5262</v>
      </c>
      <c r="K1573" s="0" t="s">
        <v>5263</v>
      </c>
      <c r="L1573" s="0" t="str">
        <f aca="false">HYPERLINK("https://www.ncbi.nlm.nih.gov/nuccore/CP000058.1?report=graph&amp;tracks=[key:gene_model_track,Options:GeneOnly]&amp;mk=489196:489215|offset_12|00cc00,489170:489189|offset_38|444444,489138:489157|offset_70|444444,489118:489137|offset_90|444444&amp;v=488995:489337&amp;c=444444", "offset 12")</f>
        <v>offset 12</v>
      </c>
    </row>
    <row r="1574" customFormat="false" ht="12.8" hidden="false" customHeight="false" outlineLevel="0" collapsed="false">
      <c r="A1574" s="0" t="s">
        <v>12</v>
      </c>
      <c r="B1574" s="0" t="n">
        <v>489169</v>
      </c>
      <c r="C1574" s="0" t="n">
        <v>489189</v>
      </c>
      <c r="D1574" s="0" t="s">
        <v>5260</v>
      </c>
      <c r="E1574" s="0" t="s">
        <v>75</v>
      </c>
      <c r="F1574" s="0" t="s">
        <v>90</v>
      </c>
      <c r="G1574" s="0" t="s">
        <v>32</v>
      </c>
      <c r="H1574" s="0" t="n">
        <v>38</v>
      </c>
      <c r="I1574" s="0" t="s">
        <v>5264</v>
      </c>
      <c r="J1574" s="0" t="s">
        <v>5265</v>
      </c>
      <c r="K1574" s="0" t="s">
        <v>5266</v>
      </c>
      <c r="L1574" s="0" t="str">
        <f aca="false">HYPERLINK("https://www.ncbi.nlm.nih.gov/nuccore/CP000058.1?report=graph&amp;tracks=[key:gene_model_track,Options:GeneOnly]&amp;mk=489196:489215|offset_12|444444,489170:489189|offset_38|00cc00,489138:489157|offset_70|444444,489118:489137|offset_90|444444&amp;v=488995:489337&amp;c=444444", "offset 38")</f>
        <v>offset 38</v>
      </c>
    </row>
    <row r="1575" customFormat="false" ht="12.8" hidden="false" customHeight="false" outlineLevel="0" collapsed="false">
      <c r="A1575" s="0" t="s">
        <v>12</v>
      </c>
      <c r="B1575" s="0" t="n">
        <v>489137</v>
      </c>
      <c r="C1575" s="0" t="n">
        <v>489157</v>
      </c>
      <c r="D1575" s="0" t="s">
        <v>5260</v>
      </c>
      <c r="E1575" s="0" t="s">
        <v>75</v>
      </c>
      <c r="F1575" s="0" t="s">
        <v>90</v>
      </c>
      <c r="G1575" s="0" t="s">
        <v>16</v>
      </c>
      <c r="H1575" s="0" t="n">
        <v>70</v>
      </c>
      <c r="I1575" s="0" t="s">
        <v>5267</v>
      </c>
      <c r="J1575" s="0" t="s">
        <v>5268</v>
      </c>
      <c r="K1575" s="0" t="s">
        <v>5269</v>
      </c>
      <c r="L1575" s="0" t="str">
        <f aca="false">HYPERLINK("https://www.ncbi.nlm.nih.gov/nuccore/CP000058.1?report=graph&amp;tracks=[key:gene_model_track,Options:GeneOnly]&amp;mk=489196:489215|offset_12|444444,489170:489189|offset_38|444444,489138:489157|offset_70|00cc00,489118:489137|offset_90|444444&amp;v=488995:489337&amp;c=444444", "offset 70")</f>
        <v>offset 70</v>
      </c>
    </row>
    <row r="1576" customFormat="false" ht="12.8" hidden="false" customHeight="false" outlineLevel="0" collapsed="false">
      <c r="A1576" s="0" t="s">
        <v>12</v>
      </c>
      <c r="B1576" s="0" t="n">
        <v>489117</v>
      </c>
      <c r="C1576" s="0" t="n">
        <v>489137</v>
      </c>
      <c r="D1576" s="0" t="s">
        <v>5260</v>
      </c>
      <c r="E1576" s="0" t="s">
        <v>75</v>
      </c>
      <c r="F1576" s="0" t="s">
        <v>90</v>
      </c>
      <c r="G1576" s="0" t="s">
        <v>36</v>
      </c>
      <c r="H1576" s="0" t="n">
        <v>90</v>
      </c>
      <c r="I1576" s="0" t="s">
        <v>5270</v>
      </c>
      <c r="J1576" s="0" t="s">
        <v>5271</v>
      </c>
      <c r="K1576" s="0" t="s">
        <v>5272</v>
      </c>
      <c r="L1576" s="0" t="str">
        <f aca="false">HYPERLINK("https://www.ncbi.nlm.nih.gov/nuccore/CP000058.1?report=graph&amp;tracks=[key:gene_model_track,Options:GeneOnly]&amp;mk=489196:489215|offset_12|444444,489170:489189|offset_38|444444,489138:489157|offset_70|444444,489118:489137|offset_90|00cc00&amp;v=488995:489337&amp;c=444444", "offset 90")</f>
        <v>offset 90</v>
      </c>
    </row>
    <row r="1577" customFormat="false" ht="12.8" hidden="false" customHeight="false" outlineLevel="0" collapsed="false">
      <c r="A1577" s="0" t="s">
        <v>12</v>
      </c>
      <c r="B1577" s="0" t="n">
        <v>490865</v>
      </c>
      <c r="C1577" s="0" t="n">
        <v>490885</v>
      </c>
      <c r="D1577" s="0" t="s">
        <v>5273</v>
      </c>
      <c r="E1577" s="0" t="s">
        <v>75</v>
      </c>
      <c r="F1577" s="0" t="s">
        <v>90</v>
      </c>
      <c r="G1577" s="0" t="s">
        <v>20</v>
      </c>
      <c r="H1577" s="0" t="n">
        <v>26</v>
      </c>
      <c r="I1577" s="0" t="s">
        <v>5274</v>
      </c>
      <c r="J1577" s="0" t="s">
        <v>5275</v>
      </c>
      <c r="K1577" s="0" t="s">
        <v>5276</v>
      </c>
      <c r="L1577" s="0" t="str">
        <f aca="false">HYPERLINK("https://www.ncbi.nlm.nih.gov/nuccore/CP000058.1?report=graph&amp;tracks=[key:gene_model_track,Options:GeneOnly]&amp;mk=490866:490885|offset_26|00cc00,490843:490862|offset_49|444444,490816:490835|offset_76|444444,490768:490787|offset_124|444444&amp;v=490665:490987&amp;c=444444", "offset 26")</f>
        <v>offset 26</v>
      </c>
    </row>
    <row r="1578" customFormat="false" ht="12.8" hidden="false" customHeight="false" outlineLevel="0" collapsed="false">
      <c r="A1578" s="0" t="s">
        <v>12</v>
      </c>
      <c r="B1578" s="0" t="n">
        <v>490842</v>
      </c>
      <c r="C1578" s="0" t="n">
        <v>490862</v>
      </c>
      <c r="D1578" s="0" t="s">
        <v>5273</v>
      </c>
      <c r="E1578" s="0" t="s">
        <v>75</v>
      </c>
      <c r="F1578" s="0" t="s">
        <v>90</v>
      </c>
      <c r="G1578" s="0" t="s">
        <v>36</v>
      </c>
      <c r="H1578" s="0" t="n">
        <v>49</v>
      </c>
      <c r="I1578" s="0" t="s">
        <v>5277</v>
      </c>
      <c r="J1578" s="0" t="s">
        <v>5278</v>
      </c>
      <c r="K1578" s="0" t="s">
        <v>5279</v>
      </c>
      <c r="L1578" s="0" t="str">
        <f aca="false">HYPERLINK("https://www.ncbi.nlm.nih.gov/nuccore/CP000058.1?report=graph&amp;tracks=[key:gene_model_track,Options:GeneOnly]&amp;mk=490866:490885|offset_26|444444,490843:490862|offset_49|00cc00,490816:490835|offset_76|444444,490768:490787|offset_124|444444&amp;v=490665:490987&amp;c=444444", "offset 49")</f>
        <v>offset 49</v>
      </c>
    </row>
    <row r="1579" customFormat="false" ht="12.8" hidden="false" customHeight="false" outlineLevel="0" collapsed="false">
      <c r="A1579" s="0" t="s">
        <v>12</v>
      </c>
      <c r="B1579" s="0" t="n">
        <v>490815</v>
      </c>
      <c r="C1579" s="0" t="n">
        <v>490835</v>
      </c>
      <c r="D1579" s="0" t="s">
        <v>5273</v>
      </c>
      <c r="E1579" s="0" t="s">
        <v>75</v>
      </c>
      <c r="F1579" s="0" t="s">
        <v>90</v>
      </c>
      <c r="G1579" s="0" t="s">
        <v>36</v>
      </c>
      <c r="H1579" s="0" t="n">
        <v>76</v>
      </c>
      <c r="I1579" s="0" t="s">
        <v>5280</v>
      </c>
      <c r="J1579" s="0" t="s">
        <v>5281</v>
      </c>
      <c r="K1579" s="0" t="s">
        <v>5282</v>
      </c>
      <c r="L1579" s="0" t="str">
        <f aca="false">HYPERLINK("https://www.ncbi.nlm.nih.gov/nuccore/CP000058.1?report=graph&amp;tracks=[key:gene_model_track,Options:GeneOnly]&amp;mk=490866:490885|offset_26|444444,490843:490862|offset_49|444444,490816:490835|offset_76|00cc00,490768:490787|offset_124|444444&amp;v=490665:490987&amp;c=444444", "offset 76")</f>
        <v>offset 76</v>
      </c>
    </row>
    <row r="1580" customFormat="false" ht="12.8" hidden="false" customHeight="false" outlineLevel="0" collapsed="false">
      <c r="A1580" s="0" t="s">
        <v>12</v>
      </c>
      <c r="B1580" s="0" t="n">
        <v>490767</v>
      </c>
      <c r="C1580" s="0" t="n">
        <v>490787</v>
      </c>
      <c r="D1580" s="0" t="s">
        <v>5273</v>
      </c>
      <c r="E1580" s="0" t="s">
        <v>75</v>
      </c>
      <c r="F1580" s="0" t="s">
        <v>90</v>
      </c>
      <c r="G1580" s="0" t="s">
        <v>16</v>
      </c>
      <c r="H1580" s="0" t="n">
        <v>124</v>
      </c>
      <c r="I1580" s="0" t="s">
        <v>5283</v>
      </c>
      <c r="J1580" s="0" t="s">
        <v>5284</v>
      </c>
      <c r="K1580" s="0" t="s">
        <v>5285</v>
      </c>
      <c r="L1580" s="0" t="str">
        <f aca="false">HYPERLINK("https://www.ncbi.nlm.nih.gov/nuccore/CP000058.1?report=graph&amp;tracks=[key:gene_model_track,Options:GeneOnly]&amp;mk=490866:490885|offset_26|444444,490843:490862|offset_49|444444,490816:490835|offset_76|444444,490768:490787|offset_124|00cc00&amp;v=490665:490987&amp;c=444444", "offset 124")</f>
        <v>offset 124</v>
      </c>
    </row>
    <row r="1581" customFormat="false" ht="12.8" hidden="false" customHeight="false" outlineLevel="0" collapsed="false">
      <c r="A1581" s="0" t="s">
        <v>12</v>
      </c>
      <c r="B1581" s="0" t="n">
        <v>491418</v>
      </c>
      <c r="C1581" s="0" t="n">
        <v>491438</v>
      </c>
      <c r="D1581" s="0" t="s">
        <v>5286</v>
      </c>
      <c r="E1581" s="0" t="s">
        <v>75</v>
      </c>
      <c r="F1581" s="0" t="s">
        <v>90</v>
      </c>
      <c r="G1581" s="0" t="s">
        <v>20</v>
      </c>
      <c r="H1581" s="0" t="n">
        <v>20</v>
      </c>
      <c r="I1581" s="0" t="s">
        <v>5287</v>
      </c>
      <c r="J1581" s="0" t="s">
        <v>5288</v>
      </c>
      <c r="K1581" s="0" t="s">
        <v>5289</v>
      </c>
      <c r="L1581" s="0" t="str">
        <f aca="false">HYPERLINK("https://www.ncbi.nlm.nih.gov/nuccore/CP000058.1?report=graph&amp;tracks=[key:gene_model_track,Options:GeneOnly]&amp;mk=491419:491438|offset_20|00cc00,491388:491407|offset_51|444444,491366:491385|offset_73|444444,491323:491342|offset_116|444444&amp;v=491218:491542&amp;c=444444", "offset 20")</f>
        <v>offset 20</v>
      </c>
    </row>
    <row r="1582" customFormat="false" ht="12.8" hidden="false" customHeight="false" outlineLevel="0" collapsed="false">
      <c r="A1582" s="0" t="s">
        <v>12</v>
      </c>
      <c r="B1582" s="0" t="n">
        <v>491387</v>
      </c>
      <c r="C1582" s="0" t="n">
        <v>491407</v>
      </c>
      <c r="D1582" s="0" t="s">
        <v>5286</v>
      </c>
      <c r="E1582" s="0" t="s">
        <v>75</v>
      </c>
      <c r="F1582" s="0" t="s">
        <v>90</v>
      </c>
      <c r="G1582" s="0" t="s">
        <v>16</v>
      </c>
      <c r="H1582" s="0" t="n">
        <v>51</v>
      </c>
      <c r="I1582" s="0" t="s">
        <v>5290</v>
      </c>
      <c r="J1582" s="0" t="s">
        <v>5291</v>
      </c>
      <c r="K1582" s="0" t="s">
        <v>5292</v>
      </c>
      <c r="L1582" s="0" t="str">
        <f aca="false">HYPERLINK("https://www.ncbi.nlm.nih.gov/nuccore/CP000058.1?report=graph&amp;tracks=[key:gene_model_track,Options:GeneOnly]&amp;mk=491419:491438|offset_20|444444,491388:491407|offset_51|00cc00,491366:491385|offset_73|444444,491323:491342|offset_116|444444&amp;v=491218:491542&amp;c=444444", "offset 51")</f>
        <v>offset 51</v>
      </c>
    </row>
    <row r="1583" customFormat="false" ht="12.8" hidden="false" customHeight="false" outlineLevel="0" collapsed="false">
      <c r="A1583" s="0" t="s">
        <v>12</v>
      </c>
      <c r="B1583" s="0" t="n">
        <v>491365</v>
      </c>
      <c r="C1583" s="0" t="n">
        <v>491385</v>
      </c>
      <c r="D1583" s="0" t="s">
        <v>5286</v>
      </c>
      <c r="E1583" s="0" t="s">
        <v>75</v>
      </c>
      <c r="F1583" s="0" t="s">
        <v>90</v>
      </c>
      <c r="G1583" s="0" t="s">
        <v>16</v>
      </c>
      <c r="H1583" s="0" t="n">
        <v>73</v>
      </c>
      <c r="I1583" s="0" t="s">
        <v>5293</v>
      </c>
      <c r="J1583" s="0" t="s">
        <v>5294</v>
      </c>
      <c r="K1583" s="0" t="s">
        <v>5295</v>
      </c>
      <c r="L1583" s="0" t="str">
        <f aca="false">HYPERLINK("https://www.ncbi.nlm.nih.gov/nuccore/CP000058.1?report=graph&amp;tracks=[key:gene_model_track,Options:GeneOnly]&amp;mk=491419:491438|offset_20|444444,491388:491407|offset_51|444444,491366:491385|offset_73|00cc00,491323:491342|offset_116|444444&amp;v=491218:491542&amp;c=444444", "offset 73")</f>
        <v>offset 73</v>
      </c>
    </row>
    <row r="1584" customFormat="false" ht="12.8" hidden="false" customHeight="false" outlineLevel="0" collapsed="false">
      <c r="A1584" s="0" t="s">
        <v>12</v>
      </c>
      <c r="B1584" s="0" t="n">
        <v>491322</v>
      </c>
      <c r="C1584" s="0" t="n">
        <v>491342</v>
      </c>
      <c r="D1584" s="0" t="s">
        <v>5286</v>
      </c>
      <c r="E1584" s="0" t="s">
        <v>75</v>
      </c>
      <c r="F1584" s="0" t="s">
        <v>90</v>
      </c>
      <c r="G1584" s="0" t="s">
        <v>20</v>
      </c>
      <c r="H1584" s="0" t="n">
        <v>116</v>
      </c>
      <c r="I1584" s="0" t="s">
        <v>5296</v>
      </c>
      <c r="J1584" s="0" t="s">
        <v>5297</v>
      </c>
      <c r="K1584" s="0" t="s">
        <v>5298</v>
      </c>
      <c r="L1584" s="0" t="str">
        <f aca="false">HYPERLINK("https://www.ncbi.nlm.nih.gov/nuccore/CP000058.1?report=graph&amp;tracks=[key:gene_model_track,Options:GeneOnly]&amp;mk=491419:491438|offset_20|444444,491388:491407|offset_51|444444,491366:491385|offset_73|444444,491323:491342|offset_116|00cc00&amp;v=491218:491542&amp;c=444444", "offset 116")</f>
        <v>offset 116</v>
      </c>
    </row>
    <row r="1585" customFormat="false" ht="12.8" hidden="false" customHeight="false" outlineLevel="0" collapsed="false">
      <c r="A1585" s="0" t="s">
        <v>12</v>
      </c>
      <c r="B1585" s="0" t="n">
        <v>491679</v>
      </c>
      <c r="C1585" s="0" t="n">
        <v>491699</v>
      </c>
      <c r="D1585" s="0" t="s">
        <v>5299</v>
      </c>
      <c r="E1585" s="0" t="s">
        <v>75</v>
      </c>
      <c r="F1585" s="0" t="s">
        <v>90</v>
      </c>
      <c r="G1585" s="0" t="s">
        <v>36</v>
      </c>
      <c r="H1585" s="0" t="n">
        <v>16</v>
      </c>
      <c r="I1585" s="0" t="s">
        <v>5300</v>
      </c>
      <c r="J1585" s="0" t="s">
        <v>5301</v>
      </c>
      <c r="K1585" s="0" t="s">
        <v>5302</v>
      </c>
      <c r="L1585" s="0" t="str">
        <f aca="false">HYPERLINK("https://www.ncbi.nlm.nih.gov/nuccore/CP000058.1?report=graph&amp;tracks=[key:gene_model_track,Options:GeneOnly]&amp;mk=491680:491699|offset_16|00cc00,491650:491669|offset_46|444444,491621:491640|offset_75|444444,491599:491618|offset_97|444444&amp;v=491479:491818&amp;c=444444", "offset 16")</f>
        <v>offset 16</v>
      </c>
    </row>
    <row r="1586" customFormat="false" ht="12.8" hidden="false" customHeight="false" outlineLevel="0" collapsed="false">
      <c r="A1586" s="0" t="s">
        <v>12</v>
      </c>
      <c r="B1586" s="0" t="n">
        <v>491649</v>
      </c>
      <c r="C1586" s="0" t="n">
        <v>491669</v>
      </c>
      <c r="D1586" s="0" t="s">
        <v>5299</v>
      </c>
      <c r="E1586" s="0" t="s">
        <v>75</v>
      </c>
      <c r="F1586" s="0" t="s">
        <v>90</v>
      </c>
      <c r="G1586" s="0" t="s">
        <v>16</v>
      </c>
      <c r="H1586" s="0" t="n">
        <v>46</v>
      </c>
      <c r="I1586" s="0" t="s">
        <v>5303</v>
      </c>
      <c r="J1586" s="0" t="s">
        <v>5304</v>
      </c>
      <c r="K1586" s="0" t="s">
        <v>5305</v>
      </c>
      <c r="L1586" s="0" t="str">
        <f aca="false">HYPERLINK("https://www.ncbi.nlm.nih.gov/nuccore/CP000058.1?report=graph&amp;tracks=[key:gene_model_track,Options:GeneOnly]&amp;mk=491680:491699|offset_16|444444,491650:491669|offset_46|00cc00,491621:491640|offset_75|444444,491599:491618|offset_97|444444&amp;v=491479:491818&amp;c=444444", "offset 46")</f>
        <v>offset 46</v>
      </c>
    </row>
    <row r="1587" customFormat="false" ht="12.8" hidden="false" customHeight="false" outlineLevel="0" collapsed="false">
      <c r="A1587" s="0" t="s">
        <v>12</v>
      </c>
      <c r="B1587" s="0" t="n">
        <v>491620</v>
      </c>
      <c r="C1587" s="0" t="n">
        <v>491640</v>
      </c>
      <c r="D1587" s="0" t="s">
        <v>5299</v>
      </c>
      <c r="E1587" s="0" t="s">
        <v>75</v>
      </c>
      <c r="F1587" s="0" t="s">
        <v>90</v>
      </c>
      <c r="G1587" s="0" t="s">
        <v>20</v>
      </c>
      <c r="H1587" s="0" t="n">
        <v>75</v>
      </c>
      <c r="I1587" s="0" t="s">
        <v>5306</v>
      </c>
      <c r="J1587" s="0" t="s">
        <v>5307</v>
      </c>
      <c r="K1587" s="0" t="s">
        <v>5308</v>
      </c>
      <c r="L1587" s="0" t="str">
        <f aca="false">HYPERLINK("https://www.ncbi.nlm.nih.gov/nuccore/CP000058.1?report=graph&amp;tracks=[key:gene_model_track,Options:GeneOnly]&amp;mk=491680:491699|offset_16|444444,491650:491669|offset_46|444444,491621:491640|offset_75|00cc00,491599:491618|offset_97|444444&amp;v=491479:491818&amp;c=444444", "offset 75")</f>
        <v>offset 75</v>
      </c>
    </row>
    <row r="1588" customFormat="false" ht="12.8" hidden="false" customHeight="false" outlineLevel="0" collapsed="false">
      <c r="A1588" s="0" t="s">
        <v>12</v>
      </c>
      <c r="B1588" s="0" t="n">
        <v>491598</v>
      </c>
      <c r="C1588" s="0" t="n">
        <v>491618</v>
      </c>
      <c r="D1588" s="0" t="s">
        <v>5299</v>
      </c>
      <c r="E1588" s="0" t="s">
        <v>75</v>
      </c>
      <c r="F1588" s="0" t="s">
        <v>90</v>
      </c>
      <c r="G1588" s="0" t="s">
        <v>32</v>
      </c>
      <c r="H1588" s="0" t="n">
        <v>97</v>
      </c>
      <c r="I1588" s="0" t="s">
        <v>5309</v>
      </c>
      <c r="J1588" s="0" t="s">
        <v>5310</v>
      </c>
      <c r="K1588" s="0" t="s">
        <v>5311</v>
      </c>
      <c r="L1588" s="0" t="str">
        <f aca="false">HYPERLINK("https://www.ncbi.nlm.nih.gov/nuccore/CP000058.1?report=graph&amp;tracks=[key:gene_model_track,Options:GeneOnly]&amp;mk=491680:491699|offset_16|444444,491650:491669|offset_46|444444,491621:491640|offset_75|444444,491599:491618|offset_97|00cc00&amp;v=491479:491818&amp;c=444444", "offset 97")</f>
        <v>offset 97</v>
      </c>
    </row>
    <row r="1589" customFormat="false" ht="12.8" hidden="false" customHeight="false" outlineLevel="0" collapsed="false">
      <c r="A1589" s="0" t="s">
        <v>12</v>
      </c>
      <c r="B1589" s="0" t="n">
        <v>491912</v>
      </c>
      <c r="C1589" s="0" t="n">
        <v>491932</v>
      </c>
      <c r="D1589" s="0" t="s">
        <v>5312</v>
      </c>
      <c r="E1589" s="0" t="s">
        <v>75</v>
      </c>
      <c r="F1589" s="0" t="s">
        <v>90</v>
      </c>
      <c r="G1589" s="0" t="s">
        <v>20</v>
      </c>
      <c r="H1589" s="0" t="n">
        <v>47</v>
      </c>
      <c r="I1589" s="0" t="s">
        <v>5313</v>
      </c>
      <c r="J1589" s="0" t="s">
        <v>5314</v>
      </c>
      <c r="K1589" s="0" t="s">
        <v>5315</v>
      </c>
      <c r="L1589" s="0" t="str">
        <f aca="false">HYPERLINK("https://www.ncbi.nlm.nih.gov/nuccore/CP000058.1?report=graph&amp;tracks=[key:gene_model_track,Options:GeneOnly]&amp;mk=491913:491932|offset_47|00cc00,491893:491912|offset_67|444444,491814:491833|offset_146|444444,491776:491795|offset_184|444444&amp;v=491712:491995&amp;c=444444", "offset 47")</f>
        <v>offset 47</v>
      </c>
    </row>
    <row r="1590" customFormat="false" ht="12.8" hidden="false" customHeight="false" outlineLevel="0" collapsed="false">
      <c r="A1590" s="0" t="s">
        <v>12</v>
      </c>
      <c r="B1590" s="0" t="n">
        <v>491892</v>
      </c>
      <c r="C1590" s="0" t="n">
        <v>491912</v>
      </c>
      <c r="D1590" s="0" t="s">
        <v>5312</v>
      </c>
      <c r="E1590" s="0" t="s">
        <v>75</v>
      </c>
      <c r="F1590" s="0" t="s">
        <v>90</v>
      </c>
      <c r="G1590" s="0" t="s">
        <v>36</v>
      </c>
      <c r="H1590" s="0" t="n">
        <v>67</v>
      </c>
      <c r="I1590" s="0" t="s">
        <v>5316</v>
      </c>
      <c r="J1590" s="0" t="s">
        <v>5317</v>
      </c>
      <c r="K1590" s="0" t="s">
        <v>5318</v>
      </c>
      <c r="L1590" s="0" t="str">
        <f aca="false">HYPERLINK("https://www.ncbi.nlm.nih.gov/nuccore/CP000058.1?report=graph&amp;tracks=[key:gene_model_track,Options:GeneOnly]&amp;mk=491913:491932|offset_47|444444,491893:491912|offset_67|00cc00,491814:491833|offset_146|444444,491776:491795|offset_184|444444&amp;v=491712:491995&amp;c=444444", "offset 67")</f>
        <v>offset 67</v>
      </c>
    </row>
    <row r="1591" customFormat="false" ht="12.8" hidden="false" customHeight="false" outlineLevel="0" collapsed="false">
      <c r="A1591" s="0" t="s">
        <v>12</v>
      </c>
      <c r="B1591" s="0" t="n">
        <v>491813</v>
      </c>
      <c r="C1591" s="0" t="n">
        <v>491833</v>
      </c>
      <c r="D1591" s="0" t="s">
        <v>5312</v>
      </c>
      <c r="E1591" s="0" t="s">
        <v>75</v>
      </c>
      <c r="F1591" s="0" t="s">
        <v>90</v>
      </c>
      <c r="G1591" s="0" t="s">
        <v>20</v>
      </c>
      <c r="H1591" s="0" t="n">
        <v>146</v>
      </c>
      <c r="I1591" s="0" t="s">
        <v>5319</v>
      </c>
      <c r="J1591" s="0" t="s">
        <v>5320</v>
      </c>
      <c r="K1591" s="0" t="s">
        <v>5321</v>
      </c>
      <c r="L1591" s="0" t="str">
        <f aca="false">HYPERLINK("https://www.ncbi.nlm.nih.gov/nuccore/CP000058.1?report=graph&amp;tracks=[key:gene_model_track,Options:GeneOnly]&amp;mk=491913:491932|offset_47|444444,491893:491912|offset_67|444444,491814:491833|offset_146|00cc00,491776:491795|offset_184|444444&amp;v=491712:491995&amp;c=444444", "offset 146")</f>
        <v>offset 146</v>
      </c>
    </row>
    <row r="1592" customFormat="false" ht="12.8" hidden="false" customHeight="false" outlineLevel="0" collapsed="false">
      <c r="A1592" s="0" t="s">
        <v>12</v>
      </c>
      <c r="B1592" s="0" t="n">
        <v>491775</v>
      </c>
      <c r="C1592" s="0" t="n">
        <v>491795</v>
      </c>
      <c r="D1592" s="0" t="s">
        <v>5312</v>
      </c>
      <c r="E1592" s="0" t="s">
        <v>75</v>
      </c>
      <c r="F1592" s="0" t="s">
        <v>90</v>
      </c>
      <c r="G1592" s="0" t="s">
        <v>16</v>
      </c>
      <c r="H1592" s="0" t="n">
        <v>184</v>
      </c>
      <c r="I1592" s="0" t="s">
        <v>5322</v>
      </c>
      <c r="J1592" s="0" t="s">
        <v>5323</v>
      </c>
      <c r="K1592" s="0" t="s">
        <v>5324</v>
      </c>
      <c r="L1592" s="0" t="str">
        <f aca="false">HYPERLINK("https://www.ncbi.nlm.nih.gov/nuccore/CP000058.1?report=graph&amp;tracks=[key:gene_model_track,Options:GeneOnly]&amp;mk=491913:491932|offset_47|444444,491893:491912|offset_67|444444,491814:491833|offset_146|444444,491776:491795|offset_184|00cc00&amp;v=491712:491995&amp;c=444444", "offset 184")</f>
        <v>offset 184</v>
      </c>
    </row>
    <row r="1593" customFormat="false" ht="12.8" hidden="false" customHeight="false" outlineLevel="0" collapsed="false">
      <c r="A1593" s="0" t="s">
        <v>12</v>
      </c>
      <c r="B1593" s="0" t="n">
        <v>492679</v>
      </c>
      <c r="C1593" s="0" t="n">
        <v>492699</v>
      </c>
      <c r="D1593" s="0" t="s">
        <v>5325</v>
      </c>
      <c r="E1593" s="0" t="s">
        <v>75</v>
      </c>
      <c r="F1593" s="0" t="s">
        <v>90</v>
      </c>
      <c r="G1593" s="0" t="s">
        <v>16</v>
      </c>
      <c r="H1593" s="0" t="n">
        <v>67</v>
      </c>
      <c r="I1593" s="0" t="s">
        <v>5326</v>
      </c>
      <c r="J1593" s="0" t="s">
        <v>5327</v>
      </c>
      <c r="K1593" s="0" t="s">
        <v>5328</v>
      </c>
      <c r="L1593" s="0" t="str">
        <f aca="false">HYPERLINK("https://www.ncbi.nlm.nih.gov/nuccore/CP000058.1?report=graph&amp;tracks=[key:gene_model_track,Options:GeneOnly]&amp;mk=492680:492699|offset_67|00cc00,492646:492665|offset_101|444444,492621:492640|offset_126|444444,492590:492609|offset_157|444444&amp;v=492479:492809&amp;c=444444", "offset 67")</f>
        <v>offset 67</v>
      </c>
    </row>
    <row r="1594" customFormat="false" ht="12.8" hidden="false" customHeight="false" outlineLevel="0" collapsed="false">
      <c r="A1594" s="0" t="s">
        <v>12</v>
      </c>
      <c r="B1594" s="0" t="n">
        <v>492645</v>
      </c>
      <c r="C1594" s="0" t="n">
        <v>492665</v>
      </c>
      <c r="D1594" s="0" t="s">
        <v>5325</v>
      </c>
      <c r="E1594" s="0" t="s">
        <v>75</v>
      </c>
      <c r="F1594" s="0" t="s">
        <v>90</v>
      </c>
      <c r="G1594" s="0" t="s">
        <v>20</v>
      </c>
      <c r="H1594" s="0" t="n">
        <v>101</v>
      </c>
      <c r="I1594" s="0" t="s">
        <v>5329</v>
      </c>
      <c r="J1594" s="0" t="s">
        <v>5330</v>
      </c>
      <c r="K1594" s="0" t="s">
        <v>5331</v>
      </c>
      <c r="L1594" s="0" t="str">
        <f aca="false">HYPERLINK("https://www.ncbi.nlm.nih.gov/nuccore/CP000058.1?report=graph&amp;tracks=[key:gene_model_track,Options:GeneOnly]&amp;mk=492680:492699|offset_67|444444,492646:492665|offset_101|00cc00,492621:492640|offset_126|444444,492590:492609|offset_157|444444&amp;v=492479:492809&amp;c=444444", "offset 101")</f>
        <v>offset 101</v>
      </c>
    </row>
    <row r="1595" customFormat="false" ht="12.8" hidden="false" customHeight="false" outlineLevel="0" collapsed="false">
      <c r="A1595" s="0" t="s">
        <v>12</v>
      </c>
      <c r="B1595" s="0" t="n">
        <v>492620</v>
      </c>
      <c r="C1595" s="0" t="n">
        <v>492640</v>
      </c>
      <c r="D1595" s="0" t="s">
        <v>5325</v>
      </c>
      <c r="E1595" s="0" t="s">
        <v>75</v>
      </c>
      <c r="F1595" s="0" t="s">
        <v>90</v>
      </c>
      <c r="G1595" s="0" t="s">
        <v>16</v>
      </c>
      <c r="H1595" s="0" t="n">
        <v>126</v>
      </c>
      <c r="I1595" s="0" t="s">
        <v>5332</v>
      </c>
      <c r="J1595" s="0" t="s">
        <v>5333</v>
      </c>
      <c r="K1595" s="0" t="s">
        <v>5334</v>
      </c>
      <c r="L1595" s="0" t="str">
        <f aca="false">HYPERLINK("https://www.ncbi.nlm.nih.gov/nuccore/CP000058.1?report=graph&amp;tracks=[key:gene_model_track,Options:GeneOnly]&amp;mk=492680:492699|offset_67|444444,492646:492665|offset_101|444444,492621:492640|offset_126|00cc00,492590:492609|offset_157|444444&amp;v=492479:492809&amp;c=444444", "offset 126")</f>
        <v>offset 126</v>
      </c>
    </row>
    <row r="1596" customFormat="false" ht="12.8" hidden="false" customHeight="false" outlineLevel="0" collapsed="false">
      <c r="A1596" s="0" t="s">
        <v>12</v>
      </c>
      <c r="B1596" s="0" t="n">
        <v>492589</v>
      </c>
      <c r="C1596" s="0" t="n">
        <v>492609</v>
      </c>
      <c r="D1596" s="0" t="s">
        <v>5325</v>
      </c>
      <c r="E1596" s="0" t="s">
        <v>75</v>
      </c>
      <c r="F1596" s="0" t="s">
        <v>90</v>
      </c>
      <c r="G1596" s="0" t="s">
        <v>32</v>
      </c>
      <c r="H1596" s="0" t="n">
        <v>157</v>
      </c>
      <c r="I1596" s="0" t="s">
        <v>5335</v>
      </c>
      <c r="J1596" s="0" t="s">
        <v>5336</v>
      </c>
      <c r="K1596" s="0" t="s">
        <v>5337</v>
      </c>
      <c r="L1596" s="0" t="str">
        <f aca="false">HYPERLINK("https://www.ncbi.nlm.nih.gov/nuccore/CP000058.1?report=graph&amp;tracks=[key:gene_model_track,Options:GeneOnly]&amp;mk=492680:492699|offset_67|444444,492646:492665|offset_101|444444,492621:492640|offset_126|444444,492590:492609|offset_157|00cc00&amp;v=492479:492809&amp;c=444444", "offset 157")</f>
        <v>offset 157</v>
      </c>
    </row>
    <row r="1597" customFormat="false" ht="12.8" hidden="false" customHeight="false" outlineLevel="0" collapsed="false">
      <c r="A1597" s="0" t="s">
        <v>12</v>
      </c>
      <c r="B1597" s="0" t="n">
        <v>493431</v>
      </c>
      <c r="C1597" s="0" t="n">
        <v>493451</v>
      </c>
      <c r="D1597" s="0" t="s">
        <v>5338</v>
      </c>
      <c r="E1597" s="0" t="s">
        <v>75</v>
      </c>
      <c r="F1597" s="0" t="s">
        <v>90</v>
      </c>
      <c r="G1597" s="0" t="s">
        <v>20</v>
      </c>
      <c r="H1597" s="0" t="n">
        <v>10</v>
      </c>
      <c r="I1597" s="0" t="s">
        <v>5339</v>
      </c>
      <c r="J1597" s="0" t="s">
        <v>5340</v>
      </c>
      <c r="K1597" s="0" t="s">
        <v>5341</v>
      </c>
      <c r="L1597" s="0" t="str">
        <f aca="false">HYPERLINK("https://www.ncbi.nlm.nih.gov/nuccore/CP000058.1?report=graph&amp;tracks=[key:gene_model_track,Options:GeneOnly]&amp;mk=493432:493451|offset_10|00cc00,493408:493427|offset_34|444444,493362:493381|offset_80|444444,493339:493358|offset_103|444444&amp;v=493231:493558&amp;c=444444", "offset 10")</f>
        <v>offset 10</v>
      </c>
    </row>
    <row r="1598" customFormat="false" ht="12.8" hidden="false" customHeight="false" outlineLevel="0" collapsed="false">
      <c r="A1598" s="0" t="s">
        <v>12</v>
      </c>
      <c r="B1598" s="0" t="n">
        <v>493407</v>
      </c>
      <c r="C1598" s="0" t="n">
        <v>493427</v>
      </c>
      <c r="D1598" s="0" t="s">
        <v>5338</v>
      </c>
      <c r="E1598" s="0" t="s">
        <v>75</v>
      </c>
      <c r="F1598" s="0" t="s">
        <v>90</v>
      </c>
      <c r="G1598" s="0" t="s">
        <v>20</v>
      </c>
      <c r="H1598" s="0" t="n">
        <v>34</v>
      </c>
      <c r="I1598" s="0" t="s">
        <v>5342</v>
      </c>
      <c r="J1598" s="0" t="s">
        <v>5343</v>
      </c>
      <c r="K1598" s="0" t="s">
        <v>5344</v>
      </c>
      <c r="L1598" s="0" t="str">
        <f aca="false">HYPERLINK("https://www.ncbi.nlm.nih.gov/nuccore/CP000058.1?report=graph&amp;tracks=[key:gene_model_track,Options:GeneOnly]&amp;mk=493432:493451|offset_10|444444,493408:493427|offset_34|00cc00,493362:493381|offset_80|444444,493339:493358|offset_103|444444&amp;v=493231:493558&amp;c=444444", "offset 34")</f>
        <v>offset 34</v>
      </c>
    </row>
    <row r="1599" customFormat="false" ht="12.8" hidden="false" customHeight="false" outlineLevel="0" collapsed="false">
      <c r="A1599" s="0" t="s">
        <v>12</v>
      </c>
      <c r="B1599" s="0" t="n">
        <v>493361</v>
      </c>
      <c r="C1599" s="0" t="n">
        <v>493381</v>
      </c>
      <c r="D1599" s="0" t="s">
        <v>5338</v>
      </c>
      <c r="E1599" s="0" t="s">
        <v>75</v>
      </c>
      <c r="F1599" s="0" t="s">
        <v>90</v>
      </c>
      <c r="G1599" s="0" t="s">
        <v>16</v>
      </c>
      <c r="H1599" s="0" t="n">
        <v>80</v>
      </c>
      <c r="I1599" s="0" t="s">
        <v>5345</v>
      </c>
      <c r="J1599" s="0" t="s">
        <v>5346</v>
      </c>
      <c r="K1599" s="0" t="s">
        <v>5347</v>
      </c>
      <c r="L1599" s="0" t="str">
        <f aca="false">HYPERLINK("https://www.ncbi.nlm.nih.gov/nuccore/CP000058.1?report=graph&amp;tracks=[key:gene_model_track,Options:GeneOnly]&amp;mk=493432:493451|offset_10|444444,493408:493427|offset_34|444444,493362:493381|offset_80|00cc00,493339:493358|offset_103|444444&amp;v=493231:493558&amp;c=444444", "offset 80")</f>
        <v>offset 80</v>
      </c>
    </row>
    <row r="1600" customFormat="false" ht="12.8" hidden="false" customHeight="false" outlineLevel="0" collapsed="false">
      <c r="A1600" s="0" t="s">
        <v>12</v>
      </c>
      <c r="B1600" s="0" t="n">
        <v>493338</v>
      </c>
      <c r="C1600" s="0" t="n">
        <v>493358</v>
      </c>
      <c r="D1600" s="0" t="s">
        <v>5338</v>
      </c>
      <c r="E1600" s="0" t="s">
        <v>75</v>
      </c>
      <c r="F1600" s="0" t="s">
        <v>90</v>
      </c>
      <c r="G1600" s="0" t="s">
        <v>32</v>
      </c>
      <c r="H1600" s="0" t="n">
        <v>103</v>
      </c>
      <c r="I1600" s="0" t="s">
        <v>5348</v>
      </c>
      <c r="J1600" s="0" t="s">
        <v>5349</v>
      </c>
      <c r="K1600" s="0" t="s">
        <v>5350</v>
      </c>
      <c r="L1600" s="0" t="str">
        <f aca="false">HYPERLINK("https://www.ncbi.nlm.nih.gov/nuccore/CP000058.1?report=graph&amp;tracks=[key:gene_model_track,Options:GeneOnly]&amp;mk=493432:493451|offset_10|444444,493408:493427|offset_34|444444,493362:493381|offset_80|444444,493339:493358|offset_103|00cc00&amp;v=493231:493558&amp;c=444444", "offset 103")</f>
        <v>offset 103</v>
      </c>
    </row>
    <row r="1601" customFormat="false" ht="12.8" hidden="false" customHeight="false" outlineLevel="0" collapsed="false">
      <c r="A1601" s="0" t="s">
        <v>12</v>
      </c>
      <c r="B1601" s="0" t="n">
        <v>493824</v>
      </c>
      <c r="C1601" s="0" t="n">
        <v>493844</v>
      </c>
      <c r="D1601" s="0" t="s">
        <v>5351</v>
      </c>
      <c r="E1601" s="0" t="s">
        <v>75</v>
      </c>
      <c r="F1601" s="0" t="s">
        <v>15</v>
      </c>
      <c r="G1601" s="0" t="s">
        <v>20</v>
      </c>
      <c r="H1601" s="0" t="n">
        <v>55</v>
      </c>
      <c r="I1601" s="0" t="s">
        <v>5352</v>
      </c>
      <c r="J1601" s="0" t="s">
        <v>5353</v>
      </c>
      <c r="K1601" s="0" t="s">
        <v>5354</v>
      </c>
      <c r="L1601" s="0" t="str">
        <f aca="false">HYPERLINK("https://www.ncbi.nlm.nih.gov/nuccore/CP000058.1?report=graph&amp;tracks=[key:gene_model_track,Options:GeneOnly]&amp;mk=493825:493844|offset_55|00cc00,493888:493907|offset_118|444444,493910:493929|offset_140|444444,493938:493957|offset_168|444444&amp;v=493624:494157&amp;c=444444", "offset 55")</f>
        <v>offset 55</v>
      </c>
    </row>
    <row r="1602" customFormat="false" ht="12.8" hidden="false" customHeight="false" outlineLevel="0" collapsed="false">
      <c r="A1602" s="0" t="s">
        <v>12</v>
      </c>
      <c r="B1602" s="0" t="n">
        <v>493887</v>
      </c>
      <c r="C1602" s="0" t="n">
        <v>493907</v>
      </c>
      <c r="D1602" s="0" t="s">
        <v>5351</v>
      </c>
      <c r="E1602" s="0" t="s">
        <v>75</v>
      </c>
      <c r="F1602" s="0" t="s">
        <v>15</v>
      </c>
      <c r="G1602" s="0" t="s">
        <v>36</v>
      </c>
      <c r="H1602" s="0" t="n">
        <v>118</v>
      </c>
      <c r="I1602" s="0" t="s">
        <v>5355</v>
      </c>
      <c r="J1602" s="0" t="s">
        <v>5356</v>
      </c>
      <c r="K1602" s="0" t="s">
        <v>5357</v>
      </c>
      <c r="L1602" s="0" t="str">
        <f aca="false">HYPERLINK("https://www.ncbi.nlm.nih.gov/nuccore/CP000058.1?report=graph&amp;tracks=[key:gene_model_track,Options:GeneOnly]&amp;mk=493825:493844|offset_55|444444,493888:493907|offset_118|00cc00,493910:493929|offset_140|444444,493938:493957|offset_168|444444&amp;v=493624:494157&amp;c=444444", "offset 118")</f>
        <v>offset 118</v>
      </c>
    </row>
    <row r="1603" customFormat="false" ht="12.8" hidden="false" customHeight="false" outlineLevel="0" collapsed="false">
      <c r="A1603" s="0" t="s">
        <v>12</v>
      </c>
      <c r="B1603" s="0" t="n">
        <v>493909</v>
      </c>
      <c r="C1603" s="0" t="n">
        <v>493929</v>
      </c>
      <c r="D1603" s="0" t="s">
        <v>5351</v>
      </c>
      <c r="E1603" s="0" t="s">
        <v>75</v>
      </c>
      <c r="F1603" s="0" t="s">
        <v>15</v>
      </c>
      <c r="G1603" s="0" t="s">
        <v>20</v>
      </c>
      <c r="H1603" s="0" t="n">
        <v>140</v>
      </c>
      <c r="I1603" s="0" t="s">
        <v>5358</v>
      </c>
      <c r="J1603" s="0" t="s">
        <v>5359</v>
      </c>
      <c r="K1603" s="0" t="s">
        <v>5360</v>
      </c>
      <c r="L1603" s="0" t="str">
        <f aca="false">HYPERLINK("https://www.ncbi.nlm.nih.gov/nuccore/CP000058.1?report=graph&amp;tracks=[key:gene_model_track,Options:GeneOnly]&amp;mk=493825:493844|offset_55|444444,493888:493907|offset_118|444444,493910:493929|offset_140|00cc00,493938:493957|offset_168|444444&amp;v=493624:494157&amp;c=444444", "offset 140")</f>
        <v>offset 140</v>
      </c>
    </row>
    <row r="1604" customFormat="false" ht="12.8" hidden="false" customHeight="false" outlineLevel="0" collapsed="false">
      <c r="A1604" s="0" t="s">
        <v>12</v>
      </c>
      <c r="B1604" s="0" t="n">
        <v>493937</v>
      </c>
      <c r="C1604" s="0" t="n">
        <v>493957</v>
      </c>
      <c r="D1604" s="0" t="s">
        <v>5351</v>
      </c>
      <c r="E1604" s="0" t="s">
        <v>75</v>
      </c>
      <c r="F1604" s="0" t="s">
        <v>15</v>
      </c>
      <c r="G1604" s="0" t="s">
        <v>16</v>
      </c>
      <c r="H1604" s="0" t="n">
        <v>168</v>
      </c>
      <c r="I1604" s="0" t="s">
        <v>5361</v>
      </c>
      <c r="J1604" s="0" t="s">
        <v>5362</v>
      </c>
      <c r="K1604" s="0" t="s">
        <v>5363</v>
      </c>
      <c r="L1604" s="0" t="str">
        <f aca="false">HYPERLINK("https://www.ncbi.nlm.nih.gov/nuccore/CP000058.1?report=graph&amp;tracks=[key:gene_model_track,Options:GeneOnly]&amp;mk=493825:493844|offset_55|444444,493888:493907|offset_118|444444,493910:493929|offset_140|444444,493938:493957|offset_168|00cc00&amp;v=493624:494157&amp;c=444444", "offset 168")</f>
        <v>offset 168</v>
      </c>
    </row>
    <row r="1605" customFormat="false" ht="12.8" hidden="false" customHeight="false" outlineLevel="0" collapsed="false">
      <c r="A1605" s="0" t="s">
        <v>12</v>
      </c>
      <c r="B1605" s="0" t="n">
        <v>495142</v>
      </c>
      <c r="C1605" s="0" t="n">
        <v>495162</v>
      </c>
      <c r="D1605" s="0" t="s">
        <v>5364</v>
      </c>
      <c r="E1605" s="0" t="s">
        <v>75</v>
      </c>
      <c r="F1605" s="0" t="s">
        <v>90</v>
      </c>
      <c r="G1605" s="0" t="s">
        <v>32</v>
      </c>
      <c r="H1605" s="0" t="n">
        <v>1</v>
      </c>
      <c r="I1605" s="0" t="s">
        <v>5365</v>
      </c>
      <c r="J1605" s="0" t="s">
        <v>5366</v>
      </c>
      <c r="K1605" s="0" t="s">
        <v>5367</v>
      </c>
      <c r="L1605" s="0" t="str">
        <f aca="false">HYPERLINK("https://www.ncbi.nlm.nih.gov/nuccore/CP000058.1?report=graph&amp;tracks=[key:gene_model_track,Options:GeneOnly]&amp;mk=495143:495162|offset_1|00cc00,495110:495129|offset_34|444444,495061:495080|offset_83|444444,495034:495053|offset_110|444444&amp;v=494942:495253&amp;c=444444", "offset 1")</f>
        <v>offset 1</v>
      </c>
    </row>
    <row r="1606" customFormat="false" ht="12.8" hidden="false" customHeight="false" outlineLevel="0" collapsed="false">
      <c r="A1606" s="0" t="s">
        <v>12</v>
      </c>
      <c r="B1606" s="0" t="n">
        <v>495109</v>
      </c>
      <c r="C1606" s="0" t="n">
        <v>495129</v>
      </c>
      <c r="D1606" s="0" t="s">
        <v>5364</v>
      </c>
      <c r="E1606" s="0" t="s">
        <v>75</v>
      </c>
      <c r="F1606" s="0" t="s">
        <v>90</v>
      </c>
      <c r="G1606" s="0" t="s">
        <v>32</v>
      </c>
      <c r="H1606" s="0" t="n">
        <v>34</v>
      </c>
      <c r="I1606" s="0" t="s">
        <v>5368</v>
      </c>
      <c r="J1606" s="0" t="s">
        <v>5369</v>
      </c>
      <c r="K1606" s="0" t="s">
        <v>5370</v>
      </c>
      <c r="L1606" s="0" t="str">
        <f aca="false">HYPERLINK("https://www.ncbi.nlm.nih.gov/nuccore/CP000058.1?report=graph&amp;tracks=[key:gene_model_track,Options:GeneOnly]&amp;mk=495143:495162|offset_1|444444,495110:495129|offset_34|00cc00,495061:495080|offset_83|444444,495034:495053|offset_110|444444&amp;v=494942:495253&amp;c=444444", "offset 34")</f>
        <v>offset 34</v>
      </c>
    </row>
    <row r="1607" customFormat="false" ht="12.8" hidden="false" customHeight="false" outlineLevel="0" collapsed="false">
      <c r="A1607" s="0" t="s">
        <v>12</v>
      </c>
      <c r="B1607" s="0" t="n">
        <v>495060</v>
      </c>
      <c r="C1607" s="0" t="n">
        <v>495080</v>
      </c>
      <c r="D1607" s="0" t="s">
        <v>5364</v>
      </c>
      <c r="E1607" s="0" t="s">
        <v>75</v>
      </c>
      <c r="F1607" s="0" t="s">
        <v>90</v>
      </c>
      <c r="G1607" s="0" t="s">
        <v>32</v>
      </c>
      <c r="H1607" s="0" t="n">
        <v>83</v>
      </c>
      <c r="I1607" s="0" t="s">
        <v>5371</v>
      </c>
      <c r="J1607" s="0" t="s">
        <v>5372</v>
      </c>
      <c r="K1607" s="0" t="s">
        <v>5373</v>
      </c>
      <c r="L1607" s="0" t="str">
        <f aca="false">HYPERLINK("https://www.ncbi.nlm.nih.gov/nuccore/CP000058.1?report=graph&amp;tracks=[key:gene_model_track,Options:GeneOnly]&amp;mk=495143:495162|offset_1|444444,495110:495129|offset_34|444444,495061:495080|offset_83|00cc00,495034:495053|offset_110|444444&amp;v=494942:495253&amp;c=444444", "offset 83")</f>
        <v>offset 83</v>
      </c>
    </row>
    <row r="1608" customFormat="false" ht="12.8" hidden="false" customHeight="false" outlineLevel="0" collapsed="false">
      <c r="A1608" s="0" t="s">
        <v>12</v>
      </c>
      <c r="B1608" s="0" t="n">
        <v>495033</v>
      </c>
      <c r="C1608" s="0" t="n">
        <v>495053</v>
      </c>
      <c r="D1608" s="0" t="s">
        <v>5364</v>
      </c>
      <c r="E1608" s="0" t="s">
        <v>75</v>
      </c>
      <c r="F1608" s="0" t="s">
        <v>90</v>
      </c>
      <c r="G1608" s="0" t="s">
        <v>36</v>
      </c>
      <c r="H1608" s="0" t="n">
        <v>110</v>
      </c>
      <c r="I1608" s="0" t="s">
        <v>5374</v>
      </c>
      <c r="J1608" s="0" t="s">
        <v>5375</v>
      </c>
      <c r="K1608" s="0" t="s">
        <v>5376</v>
      </c>
      <c r="L1608" s="0" t="str">
        <f aca="false">HYPERLINK("https://www.ncbi.nlm.nih.gov/nuccore/CP000058.1?report=graph&amp;tracks=[key:gene_model_track,Options:GeneOnly]&amp;mk=495143:495162|offset_1|444444,495110:495129|offset_34|444444,495061:495080|offset_83|444444,495034:495053|offset_110|00cc00&amp;v=494942:495253&amp;c=444444", "offset 110")</f>
        <v>offset 110</v>
      </c>
    </row>
    <row r="1609" customFormat="false" ht="12.8" hidden="false" customHeight="false" outlineLevel="0" collapsed="false">
      <c r="A1609" s="0" t="s">
        <v>12</v>
      </c>
      <c r="B1609" s="0" t="n">
        <v>495444</v>
      </c>
      <c r="C1609" s="0" t="n">
        <v>495464</v>
      </c>
      <c r="D1609" s="0" t="s">
        <v>5377</v>
      </c>
      <c r="E1609" s="0" t="s">
        <v>5378</v>
      </c>
      <c r="F1609" s="0" t="s">
        <v>15</v>
      </c>
      <c r="G1609" s="0" t="s">
        <v>36</v>
      </c>
      <c r="H1609" s="0" t="n">
        <v>19</v>
      </c>
      <c r="I1609" s="0" t="s">
        <v>5379</v>
      </c>
      <c r="J1609" s="0" t="s">
        <v>5380</v>
      </c>
      <c r="K1609" s="0" t="s">
        <v>5381</v>
      </c>
      <c r="L1609" s="0" t="str">
        <f aca="false">HYPERLINK("https://www.ncbi.nlm.nih.gov/nuccore/CP000058.1?report=graph&amp;tracks=[key:gene_model_track,Options:GeneOnly]&amp;mk=495445:495464|offset_19|00cc00,495514:495533|offset_88|444444,495535:495554|offset_109|444444,495562:495581|offset_136|444444&amp;v=495244:495781&amp;c=444444", "offset 19")</f>
        <v>offset 19</v>
      </c>
    </row>
    <row r="1610" customFormat="false" ht="12.8" hidden="false" customHeight="false" outlineLevel="0" collapsed="false">
      <c r="A1610" s="0" t="s">
        <v>12</v>
      </c>
      <c r="B1610" s="0" t="n">
        <v>495513</v>
      </c>
      <c r="C1610" s="0" t="n">
        <v>495533</v>
      </c>
      <c r="D1610" s="0" t="s">
        <v>5377</v>
      </c>
      <c r="E1610" s="0" t="s">
        <v>5378</v>
      </c>
      <c r="F1610" s="0" t="s">
        <v>15</v>
      </c>
      <c r="G1610" s="0" t="s">
        <v>16</v>
      </c>
      <c r="H1610" s="0" t="n">
        <v>88</v>
      </c>
      <c r="I1610" s="0" t="s">
        <v>5382</v>
      </c>
      <c r="J1610" s="0" t="s">
        <v>5383</v>
      </c>
      <c r="K1610" s="0" t="s">
        <v>5384</v>
      </c>
      <c r="L1610" s="0" t="str">
        <f aca="false">HYPERLINK("https://www.ncbi.nlm.nih.gov/nuccore/CP000058.1?report=graph&amp;tracks=[key:gene_model_track,Options:GeneOnly]&amp;mk=495445:495464|offset_19|444444,495514:495533|offset_88|00cc00,495535:495554|offset_109|444444,495562:495581|offset_136|444444&amp;v=495244:495781&amp;c=444444", "offset 88")</f>
        <v>offset 88</v>
      </c>
    </row>
    <row r="1611" customFormat="false" ht="12.8" hidden="false" customHeight="false" outlineLevel="0" collapsed="false">
      <c r="A1611" s="0" t="s">
        <v>12</v>
      </c>
      <c r="B1611" s="0" t="n">
        <v>495534</v>
      </c>
      <c r="C1611" s="0" t="n">
        <v>495554</v>
      </c>
      <c r="D1611" s="0" t="s">
        <v>5377</v>
      </c>
      <c r="E1611" s="0" t="s">
        <v>5378</v>
      </c>
      <c r="F1611" s="0" t="s">
        <v>15</v>
      </c>
      <c r="G1611" s="0" t="s">
        <v>16</v>
      </c>
      <c r="H1611" s="0" t="n">
        <v>109</v>
      </c>
      <c r="I1611" s="0" t="s">
        <v>5385</v>
      </c>
      <c r="J1611" s="0" t="s">
        <v>5386</v>
      </c>
      <c r="K1611" s="0" t="s">
        <v>5387</v>
      </c>
      <c r="L1611" s="0" t="str">
        <f aca="false">HYPERLINK("https://www.ncbi.nlm.nih.gov/nuccore/CP000058.1?report=graph&amp;tracks=[key:gene_model_track,Options:GeneOnly]&amp;mk=495445:495464|offset_19|444444,495514:495533|offset_88|444444,495535:495554|offset_109|00cc00,495562:495581|offset_136|444444&amp;v=495244:495781&amp;c=444444", "offset 109")</f>
        <v>offset 109</v>
      </c>
    </row>
    <row r="1612" customFormat="false" ht="12.8" hidden="false" customHeight="false" outlineLevel="0" collapsed="false">
      <c r="A1612" s="0" t="s">
        <v>12</v>
      </c>
      <c r="B1612" s="0" t="n">
        <v>495561</v>
      </c>
      <c r="C1612" s="0" t="n">
        <v>495581</v>
      </c>
      <c r="D1612" s="0" t="s">
        <v>5377</v>
      </c>
      <c r="E1612" s="0" t="s">
        <v>5378</v>
      </c>
      <c r="F1612" s="0" t="s">
        <v>15</v>
      </c>
      <c r="G1612" s="0" t="s">
        <v>20</v>
      </c>
      <c r="H1612" s="0" t="n">
        <v>136</v>
      </c>
      <c r="I1612" s="0" t="s">
        <v>5388</v>
      </c>
      <c r="J1612" s="0" t="s">
        <v>5389</v>
      </c>
      <c r="K1612" s="0" t="s">
        <v>5390</v>
      </c>
      <c r="L1612" s="0" t="str">
        <f aca="false">HYPERLINK("https://www.ncbi.nlm.nih.gov/nuccore/CP000058.1?report=graph&amp;tracks=[key:gene_model_track,Options:GeneOnly]&amp;mk=495445:495464|offset_19|444444,495514:495533|offset_88|444444,495535:495554|offset_109|444444,495562:495581|offset_136|00cc00&amp;v=495244:495781&amp;c=444444", "offset 136")</f>
        <v>offset 136</v>
      </c>
    </row>
    <row r="1613" customFormat="false" ht="12.8" hidden="false" customHeight="false" outlineLevel="0" collapsed="false">
      <c r="A1613" s="0" t="s">
        <v>12</v>
      </c>
      <c r="B1613" s="0" t="n">
        <v>497125</v>
      </c>
      <c r="C1613" s="0" t="n">
        <v>497145</v>
      </c>
      <c r="D1613" s="0" t="s">
        <v>5391</v>
      </c>
      <c r="E1613" s="0" t="s">
        <v>5392</v>
      </c>
      <c r="F1613" s="0" t="s">
        <v>15</v>
      </c>
      <c r="G1613" s="0" t="s">
        <v>16</v>
      </c>
      <c r="H1613" s="0" t="n">
        <v>24</v>
      </c>
      <c r="I1613" s="0" t="s">
        <v>5393</v>
      </c>
      <c r="J1613" s="0" t="s">
        <v>5394</v>
      </c>
      <c r="K1613" s="0" t="s">
        <v>5395</v>
      </c>
      <c r="L1613" s="0" t="str">
        <f aca="false">HYPERLINK("https://www.ncbi.nlm.nih.gov/nuccore/CP000058.1?report=graph&amp;tracks=[key:gene_model_track,Options:GeneOnly]&amp;mk=497126:497145|offset_24|00cc00,497157:497176|offset_55|444444,497184:497203|offset_82|444444,497207:497226|offset_105|444444&amp;v=496925:497426&amp;c=444444", "offset 24")</f>
        <v>offset 24</v>
      </c>
    </row>
    <row r="1614" customFormat="false" ht="12.8" hidden="false" customHeight="false" outlineLevel="0" collapsed="false">
      <c r="A1614" s="0" t="s">
        <v>12</v>
      </c>
      <c r="B1614" s="0" t="n">
        <v>497156</v>
      </c>
      <c r="C1614" s="0" t="n">
        <v>497176</v>
      </c>
      <c r="D1614" s="0" t="s">
        <v>5391</v>
      </c>
      <c r="E1614" s="0" t="s">
        <v>5392</v>
      </c>
      <c r="F1614" s="0" t="s">
        <v>15</v>
      </c>
      <c r="G1614" s="0" t="s">
        <v>16</v>
      </c>
      <c r="H1614" s="0" t="n">
        <v>55</v>
      </c>
      <c r="I1614" s="0" t="s">
        <v>5396</v>
      </c>
      <c r="J1614" s="0" t="s">
        <v>5397</v>
      </c>
      <c r="K1614" s="0" t="s">
        <v>5398</v>
      </c>
      <c r="L1614" s="0" t="str">
        <f aca="false">HYPERLINK("https://www.ncbi.nlm.nih.gov/nuccore/CP000058.1?report=graph&amp;tracks=[key:gene_model_track,Options:GeneOnly]&amp;mk=497126:497145|offset_24|444444,497157:497176|offset_55|00cc00,497184:497203|offset_82|444444,497207:497226|offset_105|444444&amp;v=496925:497426&amp;c=444444", "offset 55")</f>
        <v>offset 55</v>
      </c>
    </row>
    <row r="1615" customFormat="false" ht="12.8" hidden="false" customHeight="false" outlineLevel="0" collapsed="false">
      <c r="A1615" s="0" t="s">
        <v>12</v>
      </c>
      <c r="B1615" s="0" t="n">
        <v>497183</v>
      </c>
      <c r="C1615" s="0" t="n">
        <v>497203</v>
      </c>
      <c r="D1615" s="0" t="s">
        <v>5391</v>
      </c>
      <c r="E1615" s="0" t="s">
        <v>5392</v>
      </c>
      <c r="F1615" s="0" t="s">
        <v>15</v>
      </c>
      <c r="G1615" s="0" t="s">
        <v>16</v>
      </c>
      <c r="H1615" s="0" t="n">
        <v>82</v>
      </c>
      <c r="I1615" s="0" t="s">
        <v>5399</v>
      </c>
      <c r="J1615" s="0" t="s">
        <v>5400</v>
      </c>
      <c r="K1615" s="0" t="s">
        <v>5401</v>
      </c>
      <c r="L1615" s="0" t="str">
        <f aca="false">HYPERLINK("https://www.ncbi.nlm.nih.gov/nuccore/CP000058.1?report=graph&amp;tracks=[key:gene_model_track,Options:GeneOnly]&amp;mk=497126:497145|offset_24|444444,497157:497176|offset_55|444444,497184:497203|offset_82|00cc00,497207:497226|offset_105|444444&amp;v=496925:497426&amp;c=444444", "offset 82")</f>
        <v>offset 82</v>
      </c>
    </row>
    <row r="1616" customFormat="false" ht="12.8" hidden="false" customHeight="false" outlineLevel="0" collapsed="false">
      <c r="A1616" s="0" t="s">
        <v>12</v>
      </c>
      <c r="B1616" s="0" t="n">
        <v>497206</v>
      </c>
      <c r="C1616" s="0" t="n">
        <v>497226</v>
      </c>
      <c r="D1616" s="0" t="s">
        <v>5391</v>
      </c>
      <c r="E1616" s="0" t="s">
        <v>5392</v>
      </c>
      <c r="F1616" s="0" t="s">
        <v>15</v>
      </c>
      <c r="G1616" s="0" t="s">
        <v>20</v>
      </c>
      <c r="H1616" s="0" t="n">
        <v>105</v>
      </c>
      <c r="I1616" s="0" t="s">
        <v>5402</v>
      </c>
      <c r="J1616" s="0" t="s">
        <v>5403</v>
      </c>
      <c r="K1616" s="0" t="s">
        <v>5404</v>
      </c>
      <c r="L1616" s="0" t="str">
        <f aca="false">HYPERLINK("https://www.ncbi.nlm.nih.gov/nuccore/CP000058.1?report=graph&amp;tracks=[key:gene_model_track,Options:GeneOnly]&amp;mk=497126:497145|offset_24|444444,497157:497176|offset_55|444444,497184:497203|offset_82|444444,497207:497226|offset_105|00cc00&amp;v=496925:497426&amp;c=444444", "offset 105")</f>
        <v>offset 105</v>
      </c>
    </row>
    <row r="1617" customFormat="false" ht="12.8" hidden="false" customHeight="false" outlineLevel="0" collapsed="false">
      <c r="A1617" s="0" t="s">
        <v>12</v>
      </c>
      <c r="B1617" s="0" t="n">
        <v>497988</v>
      </c>
      <c r="C1617" s="0" t="n">
        <v>498008</v>
      </c>
      <c r="D1617" s="0" t="s">
        <v>5405</v>
      </c>
      <c r="E1617" s="0" t="s">
        <v>5406</v>
      </c>
      <c r="F1617" s="0" t="s">
        <v>15</v>
      </c>
      <c r="G1617" s="0" t="s">
        <v>36</v>
      </c>
      <c r="H1617" s="0" t="n">
        <v>10</v>
      </c>
      <c r="I1617" s="0" t="s">
        <v>5407</v>
      </c>
      <c r="J1617" s="0" t="s">
        <v>5408</v>
      </c>
      <c r="K1617" s="0" t="s">
        <v>5409</v>
      </c>
      <c r="L1617" s="0" t="str">
        <f aca="false">HYPERLINK("https://www.ncbi.nlm.nih.gov/nuccore/CP000058.1?report=graph&amp;tracks=[key:gene_model_track,Options:GeneOnly]&amp;mk=497989:498008|offset_10|00cc00,498010:498029|offset_31|444444,498081:498100|offset_102|444444,498118:498137|offset_139|444444&amp;v=497788:498337&amp;c=444444", "offset 10")</f>
        <v>offset 10</v>
      </c>
    </row>
    <row r="1618" customFormat="false" ht="12.8" hidden="false" customHeight="false" outlineLevel="0" collapsed="false">
      <c r="A1618" s="0" t="s">
        <v>12</v>
      </c>
      <c r="B1618" s="0" t="n">
        <v>498009</v>
      </c>
      <c r="C1618" s="0" t="n">
        <v>498029</v>
      </c>
      <c r="D1618" s="0" t="s">
        <v>5405</v>
      </c>
      <c r="E1618" s="0" t="s">
        <v>5406</v>
      </c>
      <c r="F1618" s="0" t="s">
        <v>15</v>
      </c>
      <c r="G1618" s="0" t="s">
        <v>16</v>
      </c>
      <c r="H1618" s="0" t="n">
        <v>31</v>
      </c>
      <c r="I1618" s="0" t="s">
        <v>5410</v>
      </c>
      <c r="J1618" s="0" t="s">
        <v>5411</v>
      </c>
      <c r="K1618" s="0" t="s">
        <v>5412</v>
      </c>
      <c r="L1618" s="0" t="str">
        <f aca="false">HYPERLINK("https://www.ncbi.nlm.nih.gov/nuccore/CP000058.1?report=graph&amp;tracks=[key:gene_model_track,Options:GeneOnly]&amp;mk=497989:498008|offset_10|444444,498010:498029|offset_31|00cc00,498081:498100|offset_102|444444,498118:498137|offset_139|444444&amp;v=497788:498337&amp;c=444444", "offset 31")</f>
        <v>offset 31</v>
      </c>
    </row>
    <row r="1619" customFormat="false" ht="12.8" hidden="false" customHeight="false" outlineLevel="0" collapsed="false">
      <c r="A1619" s="0" t="s">
        <v>12</v>
      </c>
      <c r="B1619" s="0" t="n">
        <v>498080</v>
      </c>
      <c r="C1619" s="0" t="n">
        <v>498100</v>
      </c>
      <c r="D1619" s="0" t="s">
        <v>5405</v>
      </c>
      <c r="E1619" s="0" t="s">
        <v>5406</v>
      </c>
      <c r="F1619" s="0" t="s">
        <v>15</v>
      </c>
      <c r="G1619" s="0" t="s">
        <v>36</v>
      </c>
      <c r="H1619" s="0" t="n">
        <v>102</v>
      </c>
      <c r="I1619" s="0" t="s">
        <v>5413</v>
      </c>
      <c r="J1619" s="0" t="s">
        <v>5414</v>
      </c>
      <c r="K1619" s="0" t="s">
        <v>5415</v>
      </c>
      <c r="L1619" s="0" t="str">
        <f aca="false">HYPERLINK("https://www.ncbi.nlm.nih.gov/nuccore/CP000058.1?report=graph&amp;tracks=[key:gene_model_track,Options:GeneOnly]&amp;mk=497989:498008|offset_10|444444,498010:498029|offset_31|444444,498081:498100|offset_102|00cc00,498118:498137|offset_139|444444&amp;v=497788:498337&amp;c=444444", "offset 102")</f>
        <v>offset 102</v>
      </c>
    </row>
    <row r="1620" customFormat="false" ht="12.8" hidden="false" customHeight="false" outlineLevel="0" collapsed="false">
      <c r="A1620" s="0" t="s">
        <v>12</v>
      </c>
      <c r="B1620" s="0" t="n">
        <v>498117</v>
      </c>
      <c r="C1620" s="0" t="n">
        <v>498137</v>
      </c>
      <c r="D1620" s="0" t="s">
        <v>5405</v>
      </c>
      <c r="E1620" s="0" t="s">
        <v>5406</v>
      </c>
      <c r="F1620" s="0" t="s">
        <v>15</v>
      </c>
      <c r="G1620" s="0" t="s">
        <v>20</v>
      </c>
      <c r="H1620" s="0" t="n">
        <v>139</v>
      </c>
      <c r="I1620" s="0" t="s">
        <v>5416</v>
      </c>
      <c r="J1620" s="0" t="s">
        <v>5417</v>
      </c>
      <c r="K1620" s="0" t="s">
        <v>5418</v>
      </c>
      <c r="L1620" s="0" t="str">
        <f aca="false">HYPERLINK("https://www.ncbi.nlm.nih.gov/nuccore/CP000058.1?report=graph&amp;tracks=[key:gene_model_track,Options:GeneOnly]&amp;mk=497989:498008|offset_10|444444,498010:498029|offset_31|444444,498081:498100|offset_102|444444,498118:498137|offset_139|00cc00&amp;v=497788:498337&amp;c=444444", "offset 139")</f>
        <v>offset 139</v>
      </c>
    </row>
    <row r="1621" customFormat="false" ht="12.8" hidden="false" customHeight="false" outlineLevel="0" collapsed="false">
      <c r="A1621" s="0" t="s">
        <v>12</v>
      </c>
      <c r="B1621" s="0" t="n">
        <v>498299</v>
      </c>
      <c r="C1621" s="0" t="n">
        <v>498319</v>
      </c>
      <c r="D1621" s="0" t="s">
        <v>5419</v>
      </c>
      <c r="E1621" s="0" t="s">
        <v>5420</v>
      </c>
      <c r="F1621" s="0" t="s">
        <v>15</v>
      </c>
      <c r="G1621" s="0" t="s">
        <v>32</v>
      </c>
      <c r="H1621" s="0" t="n">
        <v>29</v>
      </c>
      <c r="I1621" s="0" t="s">
        <v>5421</v>
      </c>
      <c r="J1621" s="0" t="s">
        <v>5422</v>
      </c>
      <c r="K1621" s="0" t="s">
        <v>5423</v>
      </c>
      <c r="L1621" s="0" t="str">
        <f aca="false">HYPERLINK("https://www.ncbi.nlm.nih.gov/nuccore/CP000058.1?report=graph&amp;tracks=[key:gene_model_track,Options:GeneOnly]&amp;mk=498300:498319|offset_29|00cc00,498326:498345|offset_55|444444,498356:498375|offset_85|444444,498381:498400|offset_110|444444&amp;v=498099:498600&amp;c=444444", "offset 29")</f>
        <v>offset 29</v>
      </c>
    </row>
    <row r="1622" customFormat="false" ht="12.8" hidden="false" customHeight="false" outlineLevel="0" collapsed="false">
      <c r="A1622" s="0" t="s">
        <v>12</v>
      </c>
      <c r="B1622" s="0" t="n">
        <v>498325</v>
      </c>
      <c r="C1622" s="0" t="n">
        <v>498345</v>
      </c>
      <c r="D1622" s="0" t="s">
        <v>5419</v>
      </c>
      <c r="E1622" s="0" t="s">
        <v>5420</v>
      </c>
      <c r="F1622" s="0" t="s">
        <v>15</v>
      </c>
      <c r="G1622" s="0" t="s">
        <v>36</v>
      </c>
      <c r="H1622" s="0" t="n">
        <v>55</v>
      </c>
      <c r="I1622" s="0" t="s">
        <v>5424</v>
      </c>
      <c r="J1622" s="0" t="s">
        <v>5425</v>
      </c>
      <c r="K1622" s="0" t="s">
        <v>5426</v>
      </c>
      <c r="L1622" s="0" t="str">
        <f aca="false">HYPERLINK("https://www.ncbi.nlm.nih.gov/nuccore/CP000058.1?report=graph&amp;tracks=[key:gene_model_track,Options:GeneOnly]&amp;mk=498300:498319|offset_29|444444,498326:498345|offset_55|00cc00,498356:498375|offset_85|444444,498381:498400|offset_110|444444&amp;v=498099:498600&amp;c=444444", "offset 55")</f>
        <v>offset 55</v>
      </c>
    </row>
    <row r="1623" customFormat="false" ht="12.8" hidden="false" customHeight="false" outlineLevel="0" collapsed="false">
      <c r="A1623" s="0" t="s">
        <v>12</v>
      </c>
      <c r="B1623" s="0" t="n">
        <v>498355</v>
      </c>
      <c r="C1623" s="0" t="n">
        <v>498375</v>
      </c>
      <c r="D1623" s="0" t="s">
        <v>5419</v>
      </c>
      <c r="E1623" s="0" t="s">
        <v>5420</v>
      </c>
      <c r="F1623" s="0" t="s">
        <v>15</v>
      </c>
      <c r="G1623" s="0" t="s">
        <v>16</v>
      </c>
      <c r="H1623" s="0" t="n">
        <v>85</v>
      </c>
      <c r="I1623" s="0" t="s">
        <v>5427</v>
      </c>
      <c r="J1623" s="0" t="s">
        <v>5428</v>
      </c>
      <c r="K1623" s="0" t="s">
        <v>5429</v>
      </c>
      <c r="L1623" s="0" t="str">
        <f aca="false">HYPERLINK("https://www.ncbi.nlm.nih.gov/nuccore/CP000058.1?report=graph&amp;tracks=[key:gene_model_track,Options:GeneOnly]&amp;mk=498300:498319|offset_29|444444,498326:498345|offset_55|444444,498356:498375|offset_85|00cc00,498381:498400|offset_110|444444&amp;v=498099:498600&amp;c=444444", "offset 85")</f>
        <v>offset 85</v>
      </c>
    </row>
    <row r="1624" customFormat="false" ht="12.8" hidden="false" customHeight="false" outlineLevel="0" collapsed="false">
      <c r="A1624" s="0" t="s">
        <v>12</v>
      </c>
      <c r="B1624" s="0" t="n">
        <v>498380</v>
      </c>
      <c r="C1624" s="0" t="n">
        <v>498400</v>
      </c>
      <c r="D1624" s="0" t="s">
        <v>5419</v>
      </c>
      <c r="E1624" s="0" t="s">
        <v>5420</v>
      </c>
      <c r="F1624" s="0" t="s">
        <v>15</v>
      </c>
      <c r="G1624" s="0" t="s">
        <v>36</v>
      </c>
      <c r="H1624" s="0" t="n">
        <v>110</v>
      </c>
      <c r="I1624" s="0" t="s">
        <v>5430</v>
      </c>
      <c r="J1624" s="0" t="s">
        <v>5431</v>
      </c>
      <c r="K1624" s="0" t="s">
        <v>5432</v>
      </c>
      <c r="L1624" s="0" t="str">
        <f aca="false">HYPERLINK("https://www.ncbi.nlm.nih.gov/nuccore/CP000058.1?report=graph&amp;tracks=[key:gene_model_track,Options:GeneOnly]&amp;mk=498300:498319|offset_29|444444,498326:498345|offset_55|444444,498356:498375|offset_85|444444,498381:498400|offset_110|00cc00&amp;v=498099:498600&amp;c=444444", "offset 110")</f>
        <v>offset 110</v>
      </c>
    </row>
    <row r="1625" customFormat="false" ht="12.8" hidden="false" customHeight="false" outlineLevel="0" collapsed="false">
      <c r="A1625" s="0" t="s">
        <v>12</v>
      </c>
      <c r="B1625" s="0" t="n">
        <v>499193</v>
      </c>
      <c r="C1625" s="0" t="n">
        <v>499213</v>
      </c>
      <c r="D1625" s="0" t="s">
        <v>5433</v>
      </c>
      <c r="E1625" s="0" t="s">
        <v>5434</v>
      </c>
      <c r="F1625" s="0" t="s">
        <v>15</v>
      </c>
      <c r="G1625" s="0" t="s">
        <v>20</v>
      </c>
      <c r="H1625" s="0" t="n">
        <v>75</v>
      </c>
      <c r="I1625" s="0" t="s">
        <v>5435</v>
      </c>
      <c r="J1625" s="0" t="s">
        <v>5436</v>
      </c>
      <c r="K1625" s="0" t="s">
        <v>5437</v>
      </c>
      <c r="L1625" s="0" t="str">
        <f aca="false">HYPERLINK("https://www.ncbi.nlm.nih.gov/nuccore/CP000058.1?report=graph&amp;tracks=[key:gene_model_track,Options:GeneOnly]&amp;mk=499194:499213|offset_75|00cc00,499232:499251|offset_113|444444,499261:499280|offset_142|444444,499281:499300|offset_162|444444&amp;v=498993:499500&amp;c=444444", "offset 75")</f>
        <v>offset 75</v>
      </c>
    </row>
    <row r="1626" customFormat="false" ht="12.8" hidden="false" customHeight="false" outlineLevel="0" collapsed="false">
      <c r="A1626" s="0" t="s">
        <v>12</v>
      </c>
      <c r="B1626" s="0" t="n">
        <v>499231</v>
      </c>
      <c r="C1626" s="0" t="n">
        <v>499251</v>
      </c>
      <c r="D1626" s="0" t="s">
        <v>5433</v>
      </c>
      <c r="E1626" s="0" t="s">
        <v>5434</v>
      </c>
      <c r="F1626" s="0" t="s">
        <v>15</v>
      </c>
      <c r="G1626" s="0" t="s">
        <v>32</v>
      </c>
      <c r="H1626" s="0" t="n">
        <v>113</v>
      </c>
      <c r="I1626" s="0" t="s">
        <v>5438</v>
      </c>
      <c r="J1626" s="0" t="s">
        <v>5439</v>
      </c>
      <c r="K1626" s="0" t="s">
        <v>5440</v>
      </c>
      <c r="L1626" s="0" t="str">
        <f aca="false">HYPERLINK("https://www.ncbi.nlm.nih.gov/nuccore/CP000058.1?report=graph&amp;tracks=[key:gene_model_track,Options:GeneOnly]&amp;mk=499194:499213|offset_75|444444,499232:499251|offset_113|00cc00,499261:499280|offset_142|444444,499281:499300|offset_162|444444&amp;v=498993:499500&amp;c=444444", "offset 113")</f>
        <v>offset 113</v>
      </c>
    </row>
    <row r="1627" customFormat="false" ht="12.8" hidden="false" customHeight="false" outlineLevel="0" collapsed="false">
      <c r="A1627" s="0" t="s">
        <v>12</v>
      </c>
      <c r="B1627" s="0" t="n">
        <v>499260</v>
      </c>
      <c r="C1627" s="0" t="n">
        <v>499280</v>
      </c>
      <c r="D1627" s="0" t="s">
        <v>5433</v>
      </c>
      <c r="E1627" s="0" t="s">
        <v>5434</v>
      </c>
      <c r="F1627" s="0" t="s">
        <v>15</v>
      </c>
      <c r="G1627" s="0" t="s">
        <v>16</v>
      </c>
      <c r="H1627" s="0" t="n">
        <v>142</v>
      </c>
      <c r="I1627" s="0" t="s">
        <v>5441</v>
      </c>
      <c r="J1627" s="0" t="s">
        <v>5442</v>
      </c>
      <c r="K1627" s="0" t="s">
        <v>5443</v>
      </c>
      <c r="L1627" s="0" t="str">
        <f aca="false">HYPERLINK("https://www.ncbi.nlm.nih.gov/nuccore/CP000058.1?report=graph&amp;tracks=[key:gene_model_track,Options:GeneOnly]&amp;mk=499194:499213|offset_75|444444,499232:499251|offset_113|444444,499261:499280|offset_142|00cc00,499281:499300|offset_162|444444&amp;v=498993:499500&amp;c=444444", "offset 142")</f>
        <v>offset 142</v>
      </c>
    </row>
    <row r="1628" customFormat="false" ht="12.8" hidden="false" customHeight="false" outlineLevel="0" collapsed="false">
      <c r="A1628" s="0" t="s">
        <v>12</v>
      </c>
      <c r="B1628" s="0" t="n">
        <v>499280</v>
      </c>
      <c r="C1628" s="0" t="n">
        <v>499300</v>
      </c>
      <c r="D1628" s="0" t="s">
        <v>5433</v>
      </c>
      <c r="E1628" s="0" t="s">
        <v>5434</v>
      </c>
      <c r="F1628" s="0" t="s">
        <v>15</v>
      </c>
      <c r="G1628" s="0" t="s">
        <v>20</v>
      </c>
      <c r="H1628" s="0" t="n">
        <v>162</v>
      </c>
      <c r="I1628" s="0" t="s">
        <v>5444</v>
      </c>
      <c r="J1628" s="0" t="s">
        <v>5445</v>
      </c>
      <c r="K1628" s="0" t="s">
        <v>5446</v>
      </c>
      <c r="L1628" s="0" t="str">
        <f aca="false">HYPERLINK("https://www.ncbi.nlm.nih.gov/nuccore/CP000058.1?report=graph&amp;tracks=[key:gene_model_track,Options:GeneOnly]&amp;mk=499194:499213|offset_75|444444,499232:499251|offset_113|444444,499261:499280|offset_142|444444,499281:499300|offset_162|00cc00&amp;v=498993:499500&amp;c=444444", "offset 162")</f>
        <v>offset 162</v>
      </c>
    </row>
    <row r="1629" customFormat="false" ht="12.8" hidden="false" customHeight="false" outlineLevel="0" collapsed="false">
      <c r="A1629" s="0" t="s">
        <v>12</v>
      </c>
      <c r="B1629" s="0" t="n">
        <v>499946</v>
      </c>
      <c r="C1629" s="0" t="n">
        <v>499966</v>
      </c>
      <c r="D1629" s="0" t="s">
        <v>5447</v>
      </c>
      <c r="E1629" s="0" t="s">
        <v>75</v>
      </c>
      <c r="F1629" s="0" t="s">
        <v>15</v>
      </c>
      <c r="G1629" s="0" t="s">
        <v>36</v>
      </c>
      <c r="H1629" s="0" t="n">
        <v>34</v>
      </c>
      <c r="I1629" s="0" t="s">
        <v>5448</v>
      </c>
      <c r="J1629" s="0" t="s">
        <v>5449</v>
      </c>
      <c r="K1629" s="0" t="s">
        <v>5450</v>
      </c>
      <c r="L1629" s="0" t="str">
        <f aca="false">HYPERLINK("https://www.ncbi.nlm.nih.gov/nuccore/CP000058.1?report=graph&amp;tracks=[key:gene_model_track,Options:GeneOnly]&amp;mk=499947:499966|offset_34|00cc00,499970:499989|offset_57|444444,499997:500016|offset_84|444444,500025:500044|offset_112|444444&amp;v=499746:500244&amp;c=444444", "offset 34")</f>
        <v>offset 34</v>
      </c>
    </row>
    <row r="1630" customFormat="false" ht="12.8" hidden="false" customHeight="false" outlineLevel="0" collapsed="false">
      <c r="A1630" s="0" t="s">
        <v>12</v>
      </c>
      <c r="B1630" s="0" t="n">
        <v>499969</v>
      </c>
      <c r="C1630" s="0" t="n">
        <v>499989</v>
      </c>
      <c r="D1630" s="0" t="s">
        <v>5447</v>
      </c>
      <c r="E1630" s="0" t="s">
        <v>75</v>
      </c>
      <c r="F1630" s="0" t="s">
        <v>15</v>
      </c>
      <c r="G1630" s="0" t="s">
        <v>32</v>
      </c>
      <c r="H1630" s="0" t="n">
        <v>57</v>
      </c>
      <c r="I1630" s="0" t="s">
        <v>5451</v>
      </c>
      <c r="J1630" s="0" t="s">
        <v>5452</v>
      </c>
      <c r="K1630" s="0" t="s">
        <v>5453</v>
      </c>
      <c r="L1630" s="0" t="str">
        <f aca="false">HYPERLINK("https://www.ncbi.nlm.nih.gov/nuccore/CP000058.1?report=graph&amp;tracks=[key:gene_model_track,Options:GeneOnly]&amp;mk=499947:499966|offset_34|444444,499970:499989|offset_57|00cc00,499997:500016|offset_84|444444,500025:500044|offset_112|444444&amp;v=499746:500244&amp;c=444444", "offset 57")</f>
        <v>offset 57</v>
      </c>
    </row>
    <row r="1631" customFormat="false" ht="12.8" hidden="false" customHeight="false" outlineLevel="0" collapsed="false">
      <c r="A1631" s="0" t="s">
        <v>12</v>
      </c>
      <c r="B1631" s="0" t="n">
        <v>499996</v>
      </c>
      <c r="C1631" s="0" t="n">
        <v>500016</v>
      </c>
      <c r="D1631" s="0" t="s">
        <v>5447</v>
      </c>
      <c r="E1631" s="0" t="s">
        <v>75</v>
      </c>
      <c r="F1631" s="0" t="s">
        <v>15</v>
      </c>
      <c r="G1631" s="0" t="s">
        <v>36</v>
      </c>
      <c r="H1631" s="0" t="n">
        <v>84</v>
      </c>
      <c r="I1631" s="0" t="s">
        <v>5454</v>
      </c>
      <c r="J1631" s="0" t="s">
        <v>5455</v>
      </c>
      <c r="K1631" s="0" t="s">
        <v>5456</v>
      </c>
      <c r="L1631" s="0" t="str">
        <f aca="false">HYPERLINK("https://www.ncbi.nlm.nih.gov/nuccore/CP000058.1?report=graph&amp;tracks=[key:gene_model_track,Options:GeneOnly]&amp;mk=499947:499966|offset_34|444444,499970:499989|offset_57|444444,499997:500016|offset_84|00cc00,500025:500044|offset_112|444444&amp;v=499746:500244&amp;c=444444", "offset 84")</f>
        <v>offset 84</v>
      </c>
    </row>
    <row r="1632" customFormat="false" ht="12.8" hidden="false" customHeight="false" outlineLevel="0" collapsed="false">
      <c r="A1632" s="0" t="s">
        <v>12</v>
      </c>
      <c r="B1632" s="0" t="n">
        <v>500024</v>
      </c>
      <c r="C1632" s="0" t="n">
        <v>500044</v>
      </c>
      <c r="D1632" s="0" t="s">
        <v>5447</v>
      </c>
      <c r="E1632" s="0" t="s">
        <v>75</v>
      </c>
      <c r="F1632" s="0" t="s">
        <v>15</v>
      </c>
      <c r="G1632" s="0" t="s">
        <v>16</v>
      </c>
      <c r="H1632" s="0" t="n">
        <v>112</v>
      </c>
      <c r="I1632" s="0" t="s">
        <v>5457</v>
      </c>
      <c r="J1632" s="0" t="s">
        <v>5458</v>
      </c>
      <c r="K1632" s="0" t="s">
        <v>5459</v>
      </c>
      <c r="L1632" s="0" t="str">
        <f aca="false">HYPERLINK("https://www.ncbi.nlm.nih.gov/nuccore/CP000058.1?report=graph&amp;tracks=[key:gene_model_track,Options:GeneOnly]&amp;mk=499947:499966|offset_34|444444,499970:499989|offset_57|444444,499997:500016|offset_84|444444,500025:500044|offset_112|00cc00&amp;v=499746:500244&amp;c=444444", "offset 112")</f>
        <v>offset 112</v>
      </c>
    </row>
    <row r="1633" customFormat="false" ht="12.8" hidden="false" customHeight="false" outlineLevel="0" collapsed="false">
      <c r="A1633" s="0" t="s">
        <v>12</v>
      </c>
      <c r="B1633" s="0" t="n">
        <v>500558</v>
      </c>
      <c r="C1633" s="0" t="n">
        <v>500578</v>
      </c>
      <c r="D1633" s="0" t="s">
        <v>5460</v>
      </c>
      <c r="E1633" s="0" t="s">
        <v>5461</v>
      </c>
      <c r="F1633" s="0" t="s">
        <v>15</v>
      </c>
      <c r="G1633" s="0" t="s">
        <v>20</v>
      </c>
      <c r="H1633" s="0" t="n">
        <v>11</v>
      </c>
      <c r="I1633" s="0" t="s">
        <v>5462</v>
      </c>
      <c r="J1633" s="0" t="s">
        <v>5463</v>
      </c>
      <c r="K1633" s="0" t="s">
        <v>5464</v>
      </c>
      <c r="L1633" s="0" t="str">
        <f aca="false">HYPERLINK("https://www.ncbi.nlm.nih.gov/nuccore/CP000058.1?report=graph&amp;tracks=[key:gene_model_track,Options:GeneOnly]&amp;mk=500559:500578|offset_11|00cc00,500594:500613|offset_46|444444,500614:500633|offset_66|444444,500640:500659|offset_92|444444&amp;v=500358:500859&amp;c=444444", "offset 11")</f>
        <v>offset 11</v>
      </c>
    </row>
    <row r="1634" customFormat="false" ht="12.8" hidden="false" customHeight="false" outlineLevel="0" collapsed="false">
      <c r="A1634" s="0" t="s">
        <v>12</v>
      </c>
      <c r="B1634" s="0" t="n">
        <v>500593</v>
      </c>
      <c r="C1634" s="0" t="n">
        <v>500613</v>
      </c>
      <c r="D1634" s="0" t="s">
        <v>5460</v>
      </c>
      <c r="E1634" s="0" t="s">
        <v>5461</v>
      </c>
      <c r="F1634" s="0" t="s">
        <v>15</v>
      </c>
      <c r="G1634" s="0" t="s">
        <v>16</v>
      </c>
      <c r="H1634" s="0" t="n">
        <v>46</v>
      </c>
      <c r="I1634" s="0" t="s">
        <v>5465</v>
      </c>
      <c r="J1634" s="0" t="s">
        <v>5466</v>
      </c>
      <c r="K1634" s="0" t="s">
        <v>5467</v>
      </c>
      <c r="L1634" s="0" t="str">
        <f aca="false">HYPERLINK("https://www.ncbi.nlm.nih.gov/nuccore/CP000058.1?report=graph&amp;tracks=[key:gene_model_track,Options:GeneOnly]&amp;mk=500559:500578|offset_11|444444,500594:500613|offset_46|00cc00,500614:500633|offset_66|444444,500640:500659|offset_92|444444&amp;v=500358:500859&amp;c=444444", "offset 46")</f>
        <v>offset 46</v>
      </c>
    </row>
    <row r="1635" customFormat="false" ht="12.8" hidden="false" customHeight="false" outlineLevel="0" collapsed="false">
      <c r="A1635" s="0" t="s">
        <v>12</v>
      </c>
      <c r="B1635" s="0" t="n">
        <v>500613</v>
      </c>
      <c r="C1635" s="0" t="n">
        <v>500633</v>
      </c>
      <c r="D1635" s="0" t="s">
        <v>5460</v>
      </c>
      <c r="E1635" s="0" t="s">
        <v>5461</v>
      </c>
      <c r="F1635" s="0" t="s">
        <v>15</v>
      </c>
      <c r="G1635" s="0" t="s">
        <v>36</v>
      </c>
      <c r="H1635" s="0" t="n">
        <v>66</v>
      </c>
      <c r="I1635" s="0" t="s">
        <v>5468</v>
      </c>
      <c r="J1635" s="0" t="s">
        <v>5469</v>
      </c>
      <c r="K1635" s="0" t="s">
        <v>5470</v>
      </c>
      <c r="L1635" s="0" t="str">
        <f aca="false">HYPERLINK("https://www.ncbi.nlm.nih.gov/nuccore/CP000058.1?report=graph&amp;tracks=[key:gene_model_track,Options:GeneOnly]&amp;mk=500559:500578|offset_11|444444,500594:500613|offset_46|444444,500614:500633|offset_66|00cc00,500640:500659|offset_92|444444&amp;v=500358:500859&amp;c=444444", "offset 66")</f>
        <v>offset 66</v>
      </c>
    </row>
    <row r="1636" customFormat="false" ht="12.8" hidden="false" customHeight="false" outlineLevel="0" collapsed="false">
      <c r="A1636" s="0" t="s">
        <v>12</v>
      </c>
      <c r="B1636" s="0" t="n">
        <v>500639</v>
      </c>
      <c r="C1636" s="0" t="n">
        <v>500659</v>
      </c>
      <c r="D1636" s="0" t="s">
        <v>5460</v>
      </c>
      <c r="E1636" s="0" t="s">
        <v>5461</v>
      </c>
      <c r="F1636" s="0" t="s">
        <v>15</v>
      </c>
      <c r="G1636" s="0" t="s">
        <v>20</v>
      </c>
      <c r="H1636" s="0" t="n">
        <v>92</v>
      </c>
      <c r="I1636" s="0" t="s">
        <v>5471</v>
      </c>
      <c r="J1636" s="0" t="s">
        <v>5472</v>
      </c>
      <c r="K1636" s="0" t="s">
        <v>5473</v>
      </c>
      <c r="L1636" s="0" t="str">
        <f aca="false">HYPERLINK("https://www.ncbi.nlm.nih.gov/nuccore/CP000058.1?report=graph&amp;tracks=[key:gene_model_track,Options:GeneOnly]&amp;mk=500559:500578|offset_11|444444,500594:500613|offset_46|444444,500614:500633|offset_66|444444,500640:500659|offset_92|00cc00&amp;v=500358:500859&amp;c=444444", "offset 92")</f>
        <v>offset 92</v>
      </c>
    </row>
    <row r="1637" customFormat="false" ht="12.8" hidden="false" customHeight="false" outlineLevel="0" collapsed="false">
      <c r="A1637" s="0" t="s">
        <v>12</v>
      </c>
      <c r="B1637" s="0" t="n">
        <v>501646</v>
      </c>
      <c r="C1637" s="0" t="n">
        <v>501666</v>
      </c>
      <c r="D1637" s="0" t="s">
        <v>5474</v>
      </c>
      <c r="E1637" s="0" t="s">
        <v>5475</v>
      </c>
      <c r="F1637" s="0" t="s">
        <v>15</v>
      </c>
      <c r="G1637" s="0" t="s">
        <v>32</v>
      </c>
      <c r="H1637" s="0" t="n">
        <v>94</v>
      </c>
      <c r="I1637" s="0" t="s">
        <v>5476</v>
      </c>
      <c r="J1637" s="0" t="s">
        <v>5477</v>
      </c>
      <c r="K1637" s="0" t="s">
        <v>5478</v>
      </c>
      <c r="L1637" s="0" t="str">
        <f aca="false">HYPERLINK("https://www.ncbi.nlm.nih.gov/nuccore/CP000058.1?report=graph&amp;tracks=[key:gene_model_track,Options:GeneOnly]&amp;mk=501647:501666|offset_94|00cc00,501671:501690|offset_118|444444,501725:501744|offset_172|444444,501772:501791|offset_219|444444&amp;v=501446:501991&amp;c=444444", "offset 94")</f>
        <v>offset 94</v>
      </c>
    </row>
    <row r="1638" customFormat="false" ht="12.8" hidden="false" customHeight="false" outlineLevel="0" collapsed="false">
      <c r="A1638" s="0" t="s">
        <v>12</v>
      </c>
      <c r="B1638" s="0" t="n">
        <v>501670</v>
      </c>
      <c r="C1638" s="0" t="n">
        <v>501690</v>
      </c>
      <c r="D1638" s="0" t="s">
        <v>5474</v>
      </c>
      <c r="E1638" s="0" t="s">
        <v>5475</v>
      </c>
      <c r="F1638" s="0" t="s">
        <v>15</v>
      </c>
      <c r="G1638" s="0" t="s">
        <v>32</v>
      </c>
      <c r="H1638" s="0" t="n">
        <v>118</v>
      </c>
      <c r="I1638" s="0" t="s">
        <v>5479</v>
      </c>
      <c r="J1638" s="0" t="s">
        <v>5480</v>
      </c>
      <c r="K1638" s="0" t="s">
        <v>5481</v>
      </c>
      <c r="L1638" s="0" t="str">
        <f aca="false">HYPERLINK("https://www.ncbi.nlm.nih.gov/nuccore/CP000058.1?report=graph&amp;tracks=[key:gene_model_track,Options:GeneOnly]&amp;mk=501647:501666|offset_94|444444,501671:501690|offset_118|00cc00,501725:501744|offset_172|444444,501772:501791|offset_219|444444&amp;v=501446:501991&amp;c=444444", "offset 118")</f>
        <v>offset 118</v>
      </c>
    </row>
    <row r="1639" customFormat="false" ht="12.8" hidden="false" customHeight="false" outlineLevel="0" collapsed="false">
      <c r="A1639" s="0" t="s">
        <v>12</v>
      </c>
      <c r="B1639" s="0" t="n">
        <v>501724</v>
      </c>
      <c r="C1639" s="0" t="n">
        <v>501744</v>
      </c>
      <c r="D1639" s="0" t="s">
        <v>5474</v>
      </c>
      <c r="E1639" s="0" t="s">
        <v>5475</v>
      </c>
      <c r="F1639" s="0" t="s">
        <v>15</v>
      </c>
      <c r="G1639" s="0" t="s">
        <v>32</v>
      </c>
      <c r="H1639" s="0" t="n">
        <v>172</v>
      </c>
      <c r="I1639" s="0" t="s">
        <v>5482</v>
      </c>
      <c r="J1639" s="0" t="s">
        <v>5483</v>
      </c>
      <c r="K1639" s="0" t="s">
        <v>5484</v>
      </c>
      <c r="L1639" s="0" t="str">
        <f aca="false">HYPERLINK("https://www.ncbi.nlm.nih.gov/nuccore/CP000058.1?report=graph&amp;tracks=[key:gene_model_track,Options:GeneOnly]&amp;mk=501647:501666|offset_94|444444,501671:501690|offset_118|444444,501725:501744|offset_172|00cc00,501772:501791|offset_219|444444&amp;v=501446:501991&amp;c=444444", "offset 172")</f>
        <v>offset 172</v>
      </c>
    </row>
    <row r="1640" customFormat="false" ht="12.8" hidden="false" customHeight="false" outlineLevel="0" collapsed="false">
      <c r="A1640" s="0" t="s">
        <v>12</v>
      </c>
      <c r="B1640" s="0" t="n">
        <v>501771</v>
      </c>
      <c r="C1640" s="0" t="n">
        <v>501791</v>
      </c>
      <c r="D1640" s="0" t="s">
        <v>5474</v>
      </c>
      <c r="E1640" s="0" t="s">
        <v>5475</v>
      </c>
      <c r="F1640" s="0" t="s">
        <v>15</v>
      </c>
      <c r="G1640" s="0" t="s">
        <v>16</v>
      </c>
      <c r="H1640" s="0" t="n">
        <v>219</v>
      </c>
      <c r="I1640" s="0" t="s">
        <v>5485</v>
      </c>
      <c r="J1640" s="0" t="s">
        <v>5486</v>
      </c>
      <c r="K1640" s="0" t="s">
        <v>5487</v>
      </c>
      <c r="L1640" s="0" t="str">
        <f aca="false">HYPERLINK("https://www.ncbi.nlm.nih.gov/nuccore/CP000058.1?report=graph&amp;tracks=[key:gene_model_track,Options:GeneOnly]&amp;mk=501647:501666|offset_94|444444,501671:501690|offset_118|444444,501725:501744|offset_172|444444,501772:501791|offset_219|00cc00&amp;v=501446:501991&amp;c=444444", "offset 219")</f>
        <v>offset 219</v>
      </c>
    </row>
    <row r="1641" customFormat="false" ht="12.8" hidden="false" customHeight="false" outlineLevel="0" collapsed="false">
      <c r="A1641" s="0" t="s">
        <v>12</v>
      </c>
      <c r="B1641" s="0" t="n">
        <v>501993</v>
      </c>
      <c r="C1641" s="0" t="n">
        <v>502013</v>
      </c>
      <c r="D1641" s="0" t="s">
        <v>5488</v>
      </c>
      <c r="E1641" s="0" t="s">
        <v>5489</v>
      </c>
      <c r="F1641" s="0" t="s">
        <v>15</v>
      </c>
      <c r="G1641" s="0" t="s">
        <v>20</v>
      </c>
      <c r="H1641" s="0" t="n">
        <v>11</v>
      </c>
      <c r="I1641" s="0" t="s">
        <v>5490</v>
      </c>
      <c r="J1641" s="0" t="s">
        <v>5491</v>
      </c>
      <c r="K1641" s="0" t="s">
        <v>5492</v>
      </c>
      <c r="L1641" s="0" t="str">
        <f aca="false">HYPERLINK("https://www.ncbi.nlm.nih.gov/nuccore/CP000058.1?report=graph&amp;tracks=[key:gene_model_track,Options:GeneOnly]&amp;mk=501994:502013|offset_11|00cc00,502032:502051|offset_49|444444,502087:502106|offset_104|444444,502116:502135|offset_133|444444&amp;v=501793:502335&amp;c=444444", "offset 11")</f>
        <v>offset 11</v>
      </c>
    </row>
    <row r="1642" customFormat="false" ht="12.8" hidden="false" customHeight="false" outlineLevel="0" collapsed="false">
      <c r="A1642" s="0" t="s">
        <v>12</v>
      </c>
      <c r="B1642" s="0" t="n">
        <v>502031</v>
      </c>
      <c r="C1642" s="0" t="n">
        <v>502051</v>
      </c>
      <c r="D1642" s="0" t="s">
        <v>5488</v>
      </c>
      <c r="E1642" s="0" t="s">
        <v>5489</v>
      </c>
      <c r="F1642" s="0" t="s">
        <v>15</v>
      </c>
      <c r="G1642" s="0" t="s">
        <v>16</v>
      </c>
      <c r="H1642" s="0" t="n">
        <v>49</v>
      </c>
      <c r="I1642" s="0" t="s">
        <v>5493</v>
      </c>
      <c r="J1642" s="0" t="s">
        <v>5494</v>
      </c>
      <c r="K1642" s="0" t="s">
        <v>5495</v>
      </c>
      <c r="L1642" s="0" t="str">
        <f aca="false">HYPERLINK("https://www.ncbi.nlm.nih.gov/nuccore/CP000058.1?report=graph&amp;tracks=[key:gene_model_track,Options:GeneOnly]&amp;mk=501994:502013|offset_11|444444,502032:502051|offset_49|00cc00,502087:502106|offset_104|444444,502116:502135|offset_133|444444&amp;v=501793:502335&amp;c=444444", "offset 49")</f>
        <v>offset 49</v>
      </c>
    </row>
    <row r="1643" customFormat="false" ht="12.8" hidden="false" customHeight="false" outlineLevel="0" collapsed="false">
      <c r="A1643" s="0" t="s">
        <v>12</v>
      </c>
      <c r="B1643" s="0" t="n">
        <v>502086</v>
      </c>
      <c r="C1643" s="0" t="n">
        <v>502106</v>
      </c>
      <c r="D1643" s="0" t="s">
        <v>5488</v>
      </c>
      <c r="E1643" s="0" t="s">
        <v>5489</v>
      </c>
      <c r="F1643" s="0" t="s">
        <v>15</v>
      </c>
      <c r="G1643" s="0" t="s">
        <v>20</v>
      </c>
      <c r="H1643" s="0" t="n">
        <v>104</v>
      </c>
      <c r="I1643" s="0" t="s">
        <v>5496</v>
      </c>
      <c r="J1643" s="0" t="s">
        <v>5497</v>
      </c>
      <c r="K1643" s="0" t="s">
        <v>5498</v>
      </c>
      <c r="L1643" s="0" t="str">
        <f aca="false">HYPERLINK("https://www.ncbi.nlm.nih.gov/nuccore/CP000058.1?report=graph&amp;tracks=[key:gene_model_track,Options:GeneOnly]&amp;mk=501994:502013|offset_11|444444,502032:502051|offset_49|444444,502087:502106|offset_104|00cc00,502116:502135|offset_133|444444&amp;v=501793:502335&amp;c=444444", "offset 104")</f>
        <v>offset 104</v>
      </c>
    </row>
    <row r="1644" customFormat="false" ht="12.8" hidden="false" customHeight="false" outlineLevel="0" collapsed="false">
      <c r="A1644" s="0" t="s">
        <v>12</v>
      </c>
      <c r="B1644" s="0" t="n">
        <v>502115</v>
      </c>
      <c r="C1644" s="0" t="n">
        <v>502135</v>
      </c>
      <c r="D1644" s="0" t="s">
        <v>5488</v>
      </c>
      <c r="E1644" s="0" t="s">
        <v>5489</v>
      </c>
      <c r="F1644" s="0" t="s">
        <v>15</v>
      </c>
      <c r="G1644" s="0" t="s">
        <v>32</v>
      </c>
      <c r="H1644" s="0" t="n">
        <v>133</v>
      </c>
      <c r="I1644" s="0" t="s">
        <v>5499</v>
      </c>
      <c r="J1644" s="0" t="s">
        <v>5500</v>
      </c>
      <c r="K1644" s="0" t="s">
        <v>5501</v>
      </c>
      <c r="L1644" s="0" t="str">
        <f aca="false">HYPERLINK("https://www.ncbi.nlm.nih.gov/nuccore/CP000058.1?report=graph&amp;tracks=[key:gene_model_track,Options:GeneOnly]&amp;mk=501994:502013|offset_11|444444,502032:502051|offset_49|444444,502087:502106|offset_104|444444,502116:502135|offset_133|00cc00&amp;v=501793:502335&amp;c=444444", "offset 133")</f>
        <v>offset 133</v>
      </c>
    </row>
    <row r="1645" customFormat="false" ht="12.8" hidden="false" customHeight="false" outlineLevel="0" collapsed="false">
      <c r="A1645" s="0" t="s">
        <v>12</v>
      </c>
      <c r="B1645" s="0" t="n">
        <v>503617</v>
      </c>
      <c r="C1645" s="0" t="n">
        <v>503637</v>
      </c>
      <c r="D1645" s="0" t="s">
        <v>5502</v>
      </c>
      <c r="E1645" s="0" t="s">
        <v>75</v>
      </c>
      <c r="F1645" s="0" t="s">
        <v>90</v>
      </c>
      <c r="G1645" s="0" t="s">
        <v>20</v>
      </c>
      <c r="H1645" s="0" t="n">
        <v>47</v>
      </c>
      <c r="I1645" s="0" t="s">
        <v>5503</v>
      </c>
      <c r="J1645" s="0" t="s">
        <v>5504</v>
      </c>
      <c r="K1645" s="0" t="s">
        <v>5505</v>
      </c>
      <c r="L1645" s="0" t="str">
        <f aca="false">HYPERLINK("https://www.ncbi.nlm.nih.gov/nuccore/CP000058.1?report=graph&amp;tracks=[key:gene_model_track,Options:GeneOnly]&amp;mk=503618:503637|offset_47|00cc00,503565:503584|offset_100|444444,503541:503560|offset_124|444444,503520:503539|offset_145|444444&amp;v=503417:503739&amp;c=444444", "offset 47")</f>
        <v>offset 47</v>
      </c>
    </row>
    <row r="1646" customFormat="false" ht="12.8" hidden="false" customHeight="false" outlineLevel="0" collapsed="false">
      <c r="A1646" s="0" t="s">
        <v>12</v>
      </c>
      <c r="B1646" s="0" t="n">
        <v>503564</v>
      </c>
      <c r="C1646" s="0" t="n">
        <v>503584</v>
      </c>
      <c r="D1646" s="0" t="s">
        <v>5502</v>
      </c>
      <c r="E1646" s="0" t="s">
        <v>75</v>
      </c>
      <c r="F1646" s="0" t="s">
        <v>90</v>
      </c>
      <c r="G1646" s="0" t="s">
        <v>32</v>
      </c>
      <c r="H1646" s="0" t="n">
        <v>100</v>
      </c>
      <c r="I1646" s="0" t="s">
        <v>5506</v>
      </c>
      <c r="J1646" s="0" t="s">
        <v>5507</v>
      </c>
      <c r="K1646" s="0" t="s">
        <v>5508</v>
      </c>
      <c r="L1646" s="0" t="str">
        <f aca="false">HYPERLINK("https://www.ncbi.nlm.nih.gov/nuccore/CP000058.1?report=graph&amp;tracks=[key:gene_model_track,Options:GeneOnly]&amp;mk=503618:503637|offset_47|444444,503565:503584|offset_100|00cc00,503541:503560|offset_124|444444,503520:503539|offset_145|444444&amp;v=503417:503739&amp;c=444444", "offset 100")</f>
        <v>offset 100</v>
      </c>
    </row>
    <row r="1647" customFormat="false" ht="12.8" hidden="false" customHeight="false" outlineLevel="0" collapsed="false">
      <c r="A1647" s="0" t="s">
        <v>12</v>
      </c>
      <c r="B1647" s="0" t="n">
        <v>503540</v>
      </c>
      <c r="C1647" s="0" t="n">
        <v>503560</v>
      </c>
      <c r="D1647" s="0" t="s">
        <v>5502</v>
      </c>
      <c r="E1647" s="0" t="s">
        <v>75</v>
      </c>
      <c r="F1647" s="0" t="s">
        <v>90</v>
      </c>
      <c r="G1647" s="0" t="s">
        <v>32</v>
      </c>
      <c r="H1647" s="0" t="n">
        <v>124</v>
      </c>
      <c r="I1647" s="0" t="s">
        <v>5509</v>
      </c>
      <c r="J1647" s="0" t="s">
        <v>5510</v>
      </c>
      <c r="K1647" s="0" t="s">
        <v>5511</v>
      </c>
      <c r="L1647" s="0" t="str">
        <f aca="false">HYPERLINK("https://www.ncbi.nlm.nih.gov/nuccore/CP000058.1?report=graph&amp;tracks=[key:gene_model_track,Options:GeneOnly]&amp;mk=503618:503637|offset_47|444444,503565:503584|offset_100|444444,503541:503560|offset_124|00cc00,503520:503539|offset_145|444444&amp;v=503417:503739&amp;c=444444", "offset 124")</f>
        <v>offset 124</v>
      </c>
    </row>
    <row r="1648" customFormat="false" ht="12.8" hidden="false" customHeight="false" outlineLevel="0" collapsed="false">
      <c r="A1648" s="0" t="s">
        <v>12</v>
      </c>
      <c r="B1648" s="0" t="n">
        <v>503519</v>
      </c>
      <c r="C1648" s="0" t="n">
        <v>503539</v>
      </c>
      <c r="D1648" s="0" t="s">
        <v>5502</v>
      </c>
      <c r="E1648" s="0" t="s">
        <v>75</v>
      </c>
      <c r="F1648" s="0" t="s">
        <v>90</v>
      </c>
      <c r="G1648" s="0" t="s">
        <v>36</v>
      </c>
      <c r="H1648" s="0" t="n">
        <v>145</v>
      </c>
      <c r="I1648" s="0" t="s">
        <v>5512</v>
      </c>
      <c r="J1648" s="0" t="s">
        <v>5513</v>
      </c>
      <c r="K1648" s="0" t="s">
        <v>5514</v>
      </c>
      <c r="L1648" s="0" t="str">
        <f aca="false">HYPERLINK("https://www.ncbi.nlm.nih.gov/nuccore/CP000058.1?report=graph&amp;tracks=[key:gene_model_track,Options:GeneOnly]&amp;mk=503618:503637|offset_47|444444,503565:503584|offset_100|444444,503541:503560|offset_124|444444,503520:503539|offset_145|00cc00&amp;v=503417:503739&amp;c=444444", "offset 145")</f>
        <v>offset 145</v>
      </c>
    </row>
    <row r="1649" customFormat="false" ht="12.8" hidden="false" customHeight="false" outlineLevel="0" collapsed="false">
      <c r="A1649" s="0" t="s">
        <v>12</v>
      </c>
      <c r="B1649" s="0" t="n">
        <v>503820</v>
      </c>
      <c r="C1649" s="0" t="n">
        <v>503840</v>
      </c>
      <c r="D1649" s="0" t="s">
        <v>5515</v>
      </c>
      <c r="E1649" s="0" t="s">
        <v>5516</v>
      </c>
      <c r="F1649" s="0" t="s">
        <v>15</v>
      </c>
      <c r="G1649" s="0" t="s">
        <v>32</v>
      </c>
      <c r="H1649" s="0" t="n">
        <v>6</v>
      </c>
      <c r="I1649" s="0" t="s">
        <v>5517</v>
      </c>
      <c r="J1649" s="0" t="s">
        <v>5518</v>
      </c>
      <c r="K1649" s="0" t="s">
        <v>5519</v>
      </c>
      <c r="L1649" s="0" t="str">
        <f aca="false">HYPERLINK("https://www.ncbi.nlm.nih.gov/nuccore/CP000058.1?report=graph&amp;tracks=[key:gene_model_track,Options:GeneOnly]&amp;mk=503821:503840|offset_6|00cc00,503867:503886|offset_52|444444,503897:503916|offset_82|444444,503981:504000|offset_166|444444&amp;v=503620:504200&amp;c=444444", "offset 6")</f>
        <v>offset 6</v>
      </c>
    </row>
    <row r="1650" customFormat="false" ht="12.8" hidden="false" customHeight="false" outlineLevel="0" collapsed="false">
      <c r="A1650" s="0" t="s">
        <v>12</v>
      </c>
      <c r="B1650" s="0" t="n">
        <v>503866</v>
      </c>
      <c r="C1650" s="0" t="n">
        <v>503886</v>
      </c>
      <c r="D1650" s="0" t="s">
        <v>5515</v>
      </c>
      <c r="E1650" s="0" t="s">
        <v>5516</v>
      </c>
      <c r="F1650" s="0" t="s">
        <v>15</v>
      </c>
      <c r="G1650" s="0" t="s">
        <v>20</v>
      </c>
      <c r="H1650" s="0" t="n">
        <v>52</v>
      </c>
      <c r="I1650" s="0" t="s">
        <v>5520</v>
      </c>
      <c r="J1650" s="0" t="s">
        <v>5521</v>
      </c>
      <c r="K1650" s="0" t="s">
        <v>5522</v>
      </c>
      <c r="L1650" s="0" t="str">
        <f aca="false">HYPERLINK("https://www.ncbi.nlm.nih.gov/nuccore/CP000058.1?report=graph&amp;tracks=[key:gene_model_track,Options:GeneOnly]&amp;mk=503821:503840|offset_6|444444,503867:503886|offset_52|00cc00,503897:503916|offset_82|444444,503981:504000|offset_166|444444&amp;v=503620:504200&amp;c=444444", "offset 52")</f>
        <v>offset 52</v>
      </c>
    </row>
    <row r="1651" customFormat="false" ht="12.8" hidden="false" customHeight="false" outlineLevel="0" collapsed="false">
      <c r="A1651" s="0" t="s">
        <v>12</v>
      </c>
      <c r="B1651" s="0" t="n">
        <v>503896</v>
      </c>
      <c r="C1651" s="0" t="n">
        <v>503916</v>
      </c>
      <c r="D1651" s="0" t="s">
        <v>5515</v>
      </c>
      <c r="E1651" s="0" t="s">
        <v>5516</v>
      </c>
      <c r="F1651" s="0" t="s">
        <v>15</v>
      </c>
      <c r="G1651" s="0" t="s">
        <v>16</v>
      </c>
      <c r="H1651" s="0" t="n">
        <v>82</v>
      </c>
      <c r="I1651" s="0" t="s">
        <v>5523</v>
      </c>
      <c r="J1651" s="0" t="s">
        <v>5524</v>
      </c>
      <c r="K1651" s="0" t="s">
        <v>5525</v>
      </c>
      <c r="L1651" s="0" t="str">
        <f aca="false">HYPERLINK("https://www.ncbi.nlm.nih.gov/nuccore/CP000058.1?report=graph&amp;tracks=[key:gene_model_track,Options:GeneOnly]&amp;mk=503821:503840|offset_6|444444,503867:503886|offset_52|444444,503897:503916|offset_82|00cc00,503981:504000|offset_166|444444&amp;v=503620:504200&amp;c=444444", "offset 82")</f>
        <v>offset 82</v>
      </c>
    </row>
    <row r="1652" customFormat="false" ht="12.8" hidden="false" customHeight="false" outlineLevel="0" collapsed="false">
      <c r="A1652" s="0" t="s">
        <v>12</v>
      </c>
      <c r="B1652" s="0" t="n">
        <v>503980</v>
      </c>
      <c r="C1652" s="0" t="n">
        <v>504000</v>
      </c>
      <c r="D1652" s="0" t="s">
        <v>5515</v>
      </c>
      <c r="E1652" s="0" t="s">
        <v>5516</v>
      </c>
      <c r="F1652" s="0" t="s">
        <v>15</v>
      </c>
      <c r="G1652" s="0" t="s">
        <v>20</v>
      </c>
      <c r="H1652" s="0" t="n">
        <v>166</v>
      </c>
      <c r="I1652" s="0" t="s">
        <v>5526</v>
      </c>
      <c r="J1652" s="0" t="s">
        <v>5527</v>
      </c>
      <c r="K1652" s="0" t="s">
        <v>5528</v>
      </c>
      <c r="L1652" s="0" t="str">
        <f aca="false">HYPERLINK("https://www.ncbi.nlm.nih.gov/nuccore/CP000058.1?report=graph&amp;tracks=[key:gene_model_track,Options:GeneOnly]&amp;mk=503821:503840|offset_6|444444,503867:503886|offset_52|444444,503897:503916|offset_82|444444,503981:504000|offset_166|00cc00&amp;v=503620:504200&amp;c=444444", "offset 166")</f>
        <v>offset 166</v>
      </c>
    </row>
    <row r="1653" customFormat="false" ht="12.8" hidden="false" customHeight="false" outlineLevel="0" collapsed="false">
      <c r="A1653" s="0" t="s">
        <v>12</v>
      </c>
      <c r="B1653" s="0" t="n">
        <v>505173</v>
      </c>
      <c r="C1653" s="0" t="n">
        <v>505193</v>
      </c>
      <c r="D1653" s="0" t="s">
        <v>5529</v>
      </c>
      <c r="E1653" s="0" t="s">
        <v>75</v>
      </c>
      <c r="F1653" s="0" t="s">
        <v>90</v>
      </c>
      <c r="G1653" s="0" t="s">
        <v>32</v>
      </c>
      <c r="H1653" s="0" t="n">
        <v>1</v>
      </c>
      <c r="I1653" s="0" t="s">
        <v>5530</v>
      </c>
      <c r="J1653" s="0" t="s">
        <v>5531</v>
      </c>
      <c r="K1653" s="0" t="s">
        <v>5532</v>
      </c>
      <c r="L1653" s="0" t="str">
        <f aca="false">HYPERLINK("https://www.ncbi.nlm.nih.gov/nuccore/CP000058.1?report=graph&amp;tracks=[key:gene_model_track,Options:GeneOnly]&amp;mk=505174:505193|offset_1|00cc00,505142:505161|offset_33|444444,505115:505134|offset_60|444444,505089:505108|offset_86|444444&amp;v=504973:505308&amp;c=444444", "offset 1")</f>
        <v>offset 1</v>
      </c>
    </row>
    <row r="1654" customFormat="false" ht="12.8" hidden="false" customHeight="false" outlineLevel="0" collapsed="false">
      <c r="A1654" s="0" t="s">
        <v>12</v>
      </c>
      <c r="B1654" s="0" t="n">
        <v>505141</v>
      </c>
      <c r="C1654" s="0" t="n">
        <v>505161</v>
      </c>
      <c r="D1654" s="0" t="s">
        <v>5529</v>
      </c>
      <c r="E1654" s="0" t="s">
        <v>75</v>
      </c>
      <c r="F1654" s="0" t="s">
        <v>90</v>
      </c>
      <c r="G1654" s="0" t="s">
        <v>16</v>
      </c>
      <c r="H1654" s="0" t="n">
        <v>33</v>
      </c>
      <c r="I1654" s="0" t="s">
        <v>5533</v>
      </c>
      <c r="J1654" s="0" t="s">
        <v>5534</v>
      </c>
      <c r="K1654" s="0" t="s">
        <v>5535</v>
      </c>
      <c r="L1654" s="0" t="str">
        <f aca="false">HYPERLINK("https://www.ncbi.nlm.nih.gov/nuccore/CP000058.1?report=graph&amp;tracks=[key:gene_model_track,Options:GeneOnly]&amp;mk=505174:505193|offset_1|444444,505142:505161|offset_33|00cc00,505115:505134|offset_60|444444,505089:505108|offset_86|444444&amp;v=504973:505308&amp;c=444444", "offset 33")</f>
        <v>offset 33</v>
      </c>
    </row>
    <row r="1655" customFormat="false" ht="12.8" hidden="false" customHeight="false" outlineLevel="0" collapsed="false">
      <c r="A1655" s="0" t="s">
        <v>12</v>
      </c>
      <c r="B1655" s="0" t="n">
        <v>505114</v>
      </c>
      <c r="C1655" s="0" t="n">
        <v>505134</v>
      </c>
      <c r="D1655" s="0" t="s">
        <v>5529</v>
      </c>
      <c r="E1655" s="0" t="s">
        <v>75</v>
      </c>
      <c r="F1655" s="0" t="s">
        <v>90</v>
      </c>
      <c r="G1655" s="0" t="s">
        <v>20</v>
      </c>
      <c r="H1655" s="0" t="n">
        <v>60</v>
      </c>
      <c r="I1655" s="0" t="s">
        <v>5536</v>
      </c>
      <c r="J1655" s="0" t="s">
        <v>5537</v>
      </c>
      <c r="K1655" s="0" t="s">
        <v>5538</v>
      </c>
      <c r="L1655" s="0" t="str">
        <f aca="false">HYPERLINK("https://www.ncbi.nlm.nih.gov/nuccore/CP000058.1?report=graph&amp;tracks=[key:gene_model_track,Options:GeneOnly]&amp;mk=505174:505193|offset_1|444444,505142:505161|offset_33|444444,505115:505134|offset_60|00cc00,505089:505108|offset_86|444444&amp;v=504973:505308&amp;c=444444", "offset 60")</f>
        <v>offset 60</v>
      </c>
    </row>
    <row r="1656" customFormat="false" ht="12.8" hidden="false" customHeight="false" outlineLevel="0" collapsed="false">
      <c r="A1656" s="0" t="s">
        <v>12</v>
      </c>
      <c r="B1656" s="0" t="n">
        <v>505088</v>
      </c>
      <c r="C1656" s="0" t="n">
        <v>505108</v>
      </c>
      <c r="D1656" s="0" t="s">
        <v>5529</v>
      </c>
      <c r="E1656" s="0" t="s">
        <v>75</v>
      </c>
      <c r="F1656" s="0" t="s">
        <v>90</v>
      </c>
      <c r="G1656" s="0" t="s">
        <v>16</v>
      </c>
      <c r="H1656" s="0" t="n">
        <v>86</v>
      </c>
      <c r="I1656" s="0" t="s">
        <v>5539</v>
      </c>
      <c r="J1656" s="0" t="s">
        <v>5540</v>
      </c>
      <c r="K1656" s="0" t="s">
        <v>5541</v>
      </c>
      <c r="L1656" s="0" t="str">
        <f aca="false">HYPERLINK("https://www.ncbi.nlm.nih.gov/nuccore/CP000058.1?report=graph&amp;tracks=[key:gene_model_track,Options:GeneOnly]&amp;mk=505174:505193|offset_1|444444,505142:505161|offset_33|444444,505115:505134|offset_60|444444,505089:505108|offset_86|00cc00&amp;v=504973:505308&amp;c=444444", "offset 86")</f>
        <v>offset 86</v>
      </c>
    </row>
    <row r="1657" customFormat="false" ht="12.8" hidden="false" customHeight="false" outlineLevel="0" collapsed="false">
      <c r="A1657" s="0" t="s">
        <v>12</v>
      </c>
      <c r="B1657" s="0" t="n">
        <v>506715</v>
      </c>
      <c r="C1657" s="0" t="n">
        <v>506735</v>
      </c>
      <c r="D1657" s="0" t="s">
        <v>5542</v>
      </c>
      <c r="E1657" s="0" t="s">
        <v>5543</v>
      </c>
      <c r="F1657" s="0" t="s">
        <v>90</v>
      </c>
      <c r="G1657" s="0" t="s">
        <v>20</v>
      </c>
      <c r="H1657" s="0" t="n">
        <v>8</v>
      </c>
      <c r="I1657" s="0" t="s">
        <v>5544</v>
      </c>
      <c r="J1657" s="0" t="s">
        <v>5545</v>
      </c>
      <c r="K1657" s="0" t="s">
        <v>5546</v>
      </c>
      <c r="L1657" s="0" t="str">
        <f aca="false">HYPERLINK("https://www.ncbi.nlm.nih.gov/nuccore/CP000058.1?report=graph&amp;tracks=[key:gene_model_track,Options:GeneOnly]&amp;mk=506716:506735|offset_8|00cc00,506689:506708|offset_35|444444,506669:506688|offset_55|444444,506637:506656|offset_87|444444&amp;v=506515:506856&amp;c=444444", "offset 8")</f>
        <v>offset 8</v>
      </c>
    </row>
    <row r="1658" customFormat="false" ht="12.8" hidden="false" customHeight="false" outlineLevel="0" collapsed="false">
      <c r="A1658" s="0" t="s">
        <v>12</v>
      </c>
      <c r="B1658" s="0" t="n">
        <v>506688</v>
      </c>
      <c r="C1658" s="0" t="n">
        <v>506708</v>
      </c>
      <c r="D1658" s="0" t="s">
        <v>5542</v>
      </c>
      <c r="E1658" s="0" t="s">
        <v>5543</v>
      </c>
      <c r="F1658" s="0" t="s">
        <v>90</v>
      </c>
      <c r="G1658" s="0" t="s">
        <v>20</v>
      </c>
      <c r="H1658" s="0" t="n">
        <v>35</v>
      </c>
      <c r="I1658" s="0" t="s">
        <v>5547</v>
      </c>
      <c r="J1658" s="0" t="s">
        <v>5548</v>
      </c>
      <c r="K1658" s="0" t="s">
        <v>5549</v>
      </c>
      <c r="L1658" s="0" t="str">
        <f aca="false">HYPERLINK("https://www.ncbi.nlm.nih.gov/nuccore/CP000058.1?report=graph&amp;tracks=[key:gene_model_track,Options:GeneOnly]&amp;mk=506716:506735|offset_8|444444,506689:506708|offset_35|00cc00,506669:506688|offset_55|444444,506637:506656|offset_87|444444&amp;v=506515:506856&amp;c=444444", "offset 35")</f>
        <v>offset 35</v>
      </c>
    </row>
    <row r="1659" customFormat="false" ht="12.8" hidden="false" customHeight="false" outlineLevel="0" collapsed="false">
      <c r="A1659" s="0" t="s">
        <v>12</v>
      </c>
      <c r="B1659" s="0" t="n">
        <v>506668</v>
      </c>
      <c r="C1659" s="0" t="n">
        <v>506688</v>
      </c>
      <c r="D1659" s="0" t="s">
        <v>5542</v>
      </c>
      <c r="E1659" s="0" t="s">
        <v>5543</v>
      </c>
      <c r="F1659" s="0" t="s">
        <v>90</v>
      </c>
      <c r="G1659" s="0" t="s">
        <v>20</v>
      </c>
      <c r="H1659" s="0" t="n">
        <v>55</v>
      </c>
      <c r="I1659" s="0" t="s">
        <v>5550</v>
      </c>
      <c r="J1659" s="0" t="s">
        <v>5551</v>
      </c>
      <c r="K1659" s="0" t="s">
        <v>5552</v>
      </c>
      <c r="L1659" s="0" t="str">
        <f aca="false">HYPERLINK("https://www.ncbi.nlm.nih.gov/nuccore/CP000058.1?report=graph&amp;tracks=[key:gene_model_track,Options:GeneOnly]&amp;mk=506716:506735|offset_8|444444,506689:506708|offset_35|444444,506669:506688|offset_55|00cc00,506637:506656|offset_87|444444&amp;v=506515:506856&amp;c=444444", "offset 55")</f>
        <v>offset 55</v>
      </c>
    </row>
    <row r="1660" customFormat="false" ht="12.8" hidden="false" customHeight="false" outlineLevel="0" collapsed="false">
      <c r="A1660" s="0" t="s">
        <v>12</v>
      </c>
      <c r="B1660" s="0" t="n">
        <v>506636</v>
      </c>
      <c r="C1660" s="0" t="n">
        <v>506656</v>
      </c>
      <c r="D1660" s="0" t="s">
        <v>5542</v>
      </c>
      <c r="E1660" s="0" t="s">
        <v>5543</v>
      </c>
      <c r="F1660" s="0" t="s">
        <v>90</v>
      </c>
      <c r="G1660" s="0" t="s">
        <v>16</v>
      </c>
      <c r="H1660" s="0" t="n">
        <v>87</v>
      </c>
      <c r="I1660" s="0" t="s">
        <v>5553</v>
      </c>
      <c r="J1660" s="0" t="s">
        <v>5554</v>
      </c>
      <c r="K1660" s="0" t="s">
        <v>5555</v>
      </c>
      <c r="L1660" s="0" t="str">
        <f aca="false">HYPERLINK("https://www.ncbi.nlm.nih.gov/nuccore/CP000058.1?report=graph&amp;tracks=[key:gene_model_track,Options:GeneOnly]&amp;mk=506716:506735|offset_8|444444,506689:506708|offset_35|444444,506669:506688|offset_55|444444,506637:506656|offset_87|00cc00&amp;v=506515:506856&amp;c=444444", "offset 87")</f>
        <v>offset 87</v>
      </c>
    </row>
    <row r="1661" customFormat="false" ht="12.8" hidden="false" customHeight="false" outlineLevel="0" collapsed="false">
      <c r="A1661" s="0" t="s">
        <v>12</v>
      </c>
      <c r="B1661" s="0" t="n">
        <v>506977</v>
      </c>
      <c r="C1661" s="0" t="n">
        <v>506997</v>
      </c>
      <c r="D1661" s="0" t="s">
        <v>5556</v>
      </c>
      <c r="E1661" s="0" t="s">
        <v>75</v>
      </c>
      <c r="F1661" s="0" t="s">
        <v>15</v>
      </c>
      <c r="G1661" s="0" t="s">
        <v>20</v>
      </c>
      <c r="H1661" s="0" t="n">
        <v>25</v>
      </c>
      <c r="I1661" s="0" t="s">
        <v>5557</v>
      </c>
      <c r="J1661" s="0" t="s">
        <v>5558</v>
      </c>
      <c r="K1661" s="0" t="s">
        <v>5559</v>
      </c>
      <c r="L1661" s="0" t="str">
        <f aca="false">HYPERLINK("https://www.ncbi.nlm.nih.gov/nuccore/CP000058.1?report=graph&amp;tracks=[key:gene_model_track,Options:GeneOnly]&amp;mk=506978:506997|offset_25|00cc00,507023:507042|offset_70|444444,507044:507063|offset_91|444444,507077:507096|offset_124|444444&amp;v=506777:507296&amp;c=444444", "offset 25")</f>
        <v>offset 25</v>
      </c>
    </row>
    <row r="1662" customFormat="false" ht="12.8" hidden="false" customHeight="false" outlineLevel="0" collapsed="false">
      <c r="A1662" s="0" t="s">
        <v>12</v>
      </c>
      <c r="B1662" s="0" t="n">
        <v>507022</v>
      </c>
      <c r="C1662" s="0" t="n">
        <v>507042</v>
      </c>
      <c r="D1662" s="0" t="s">
        <v>5556</v>
      </c>
      <c r="E1662" s="0" t="s">
        <v>75</v>
      </c>
      <c r="F1662" s="0" t="s">
        <v>15</v>
      </c>
      <c r="G1662" s="0" t="s">
        <v>16</v>
      </c>
      <c r="H1662" s="0" t="n">
        <v>70</v>
      </c>
      <c r="I1662" s="0" t="s">
        <v>5560</v>
      </c>
      <c r="J1662" s="0" t="s">
        <v>5561</v>
      </c>
      <c r="K1662" s="0" t="s">
        <v>5562</v>
      </c>
      <c r="L1662" s="0" t="str">
        <f aca="false">HYPERLINK("https://www.ncbi.nlm.nih.gov/nuccore/CP000058.1?report=graph&amp;tracks=[key:gene_model_track,Options:GeneOnly]&amp;mk=506978:506997|offset_25|444444,507023:507042|offset_70|00cc00,507044:507063|offset_91|444444,507077:507096|offset_124|444444&amp;v=506777:507296&amp;c=444444", "offset 70")</f>
        <v>offset 70</v>
      </c>
    </row>
    <row r="1663" customFormat="false" ht="12.8" hidden="false" customHeight="false" outlineLevel="0" collapsed="false">
      <c r="A1663" s="0" t="s">
        <v>12</v>
      </c>
      <c r="B1663" s="0" t="n">
        <v>507043</v>
      </c>
      <c r="C1663" s="0" t="n">
        <v>507063</v>
      </c>
      <c r="D1663" s="0" t="s">
        <v>5556</v>
      </c>
      <c r="E1663" s="0" t="s">
        <v>75</v>
      </c>
      <c r="F1663" s="0" t="s">
        <v>15</v>
      </c>
      <c r="G1663" s="0" t="s">
        <v>32</v>
      </c>
      <c r="H1663" s="0" t="n">
        <v>91</v>
      </c>
      <c r="I1663" s="0" t="s">
        <v>5563</v>
      </c>
      <c r="J1663" s="0" t="s">
        <v>5564</v>
      </c>
      <c r="K1663" s="0" t="s">
        <v>5565</v>
      </c>
      <c r="L1663" s="0" t="str">
        <f aca="false">HYPERLINK("https://www.ncbi.nlm.nih.gov/nuccore/CP000058.1?report=graph&amp;tracks=[key:gene_model_track,Options:GeneOnly]&amp;mk=506978:506997|offset_25|444444,507023:507042|offset_70|444444,507044:507063|offset_91|00cc00,507077:507096|offset_124|444444&amp;v=506777:507296&amp;c=444444", "offset 91")</f>
        <v>offset 91</v>
      </c>
    </row>
    <row r="1664" customFormat="false" ht="12.8" hidden="false" customHeight="false" outlineLevel="0" collapsed="false">
      <c r="A1664" s="0" t="s">
        <v>12</v>
      </c>
      <c r="B1664" s="0" t="n">
        <v>507076</v>
      </c>
      <c r="C1664" s="0" t="n">
        <v>507096</v>
      </c>
      <c r="D1664" s="0" t="s">
        <v>5556</v>
      </c>
      <c r="E1664" s="0" t="s">
        <v>75</v>
      </c>
      <c r="F1664" s="0" t="s">
        <v>15</v>
      </c>
      <c r="G1664" s="0" t="s">
        <v>16</v>
      </c>
      <c r="H1664" s="0" t="n">
        <v>124</v>
      </c>
      <c r="I1664" s="0" t="s">
        <v>5566</v>
      </c>
      <c r="J1664" s="0" t="s">
        <v>5567</v>
      </c>
      <c r="K1664" s="0" t="s">
        <v>5568</v>
      </c>
      <c r="L1664" s="0" t="str">
        <f aca="false">HYPERLINK("https://www.ncbi.nlm.nih.gov/nuccore/CP000058.1?report=graph&amp;tracks=[key:gene_model_track,Options:GeneOnly]&amp;mk=506978:506997|offset_25|444444,507023:507042|offset_70|444444,507044:507063|offset_91|444444,507077:507096|offset_124|00cc00&amp;v=506777:507296&amp;c=444444", "offset 124")</f>
        <v>offset 124</v>
      </c>
    </row>
    <row r="1665" customFormat="false" ht="12.8" hidden="false" customHeight="false" outlineLevel="0" collapsed="false">
      <c r="A1665" s="0" t="s">
        <v>12</v>
      </c>
      <c r="B1665" s="0" t="n">
        <v>509190</v>
      </c>
      <c r="C1665" s="0" t="n">
        <v>509210</v>
      </c>
      <c r="D1665" s="0" t="s">
        <v>5569</v>
      </c>
      <c r="E1665" s="0" t="s">
        <v>75</v>
      </c>
      <c r="F1665" s="0" t="s">
        <v>15</v>
      </c>
      <c r="G1665" s="0" t="s">
        <v>20</v>
      </c>
      <c r="H1665" s="0" t="n">
        <v>22</v>
      </c>
      <c r="I1665" s="0" t="s">
        <v>5570</v>
      </c>
      <c r="J1665" s="0" t="s">
        <v>5571</v>
      </c>
      <c r="K1665" s="0" t="s">
        <v>5572</v>
      </c>
      <c r="L1665" s="0" t="str">
        <f aca="false">HYPERLINK("https://www.ncbi.nlm.nih.gov/nuccore/CP000058.1?report=graph&amp;tracks=[key:gene_model_track,Options:GeneOnly]&amp;mk=509191:509210|offset_22|00cc00,509315:509334|offset_146|444444,509366:509385|offset_197|444444,509394:509413|offset_225|444444&amp;v=508990:509613&amp;c=444444", "offset 22")</f>
        <v>offset 22</v>
      </c>
    </row>
    <row r="1666" customFormat="false" ht="12.8" hidden="false" customHeight="false" outlineLevel="0" collapsed="false">
      <c r="A1666" s="0" t="s">
        <v>12</v>
      </c>
      <c r="B1666" s="0" t="n">
        <v>509314</v>
      </c>
      <c r="C1666" s="0" t="n">
        <v>509334</v>
      </c>
      <c r="D1666" s="0" t="s">
        <v>5569</v>
      </c>
      <c r="E1666" s="0" t="s">
        <v>75</v>
      </c>
      <c r="F1666" s="0" t="s">
        <v>15</v>
      </c>
      <c r="G1666" s="0" t="s">
        <v>36</v>
      </c>
      <c r="H1666" s="0" t="n">
        <v>146</v>
      </c>
      <c r="I1666" s="0" t="s">
        <v>5573</v>
      </c>
      <c r="J1666" s="0" t="s">
        <v>5574</v>
      </c>
      <c r="K1666" s="0" t="s">
        <v>5575</v>
      </c>
      <c r="L1666" s="0" t="str">
        <f aca="false">HYPERLINK("https://www.ncbi.nlm.nih.gov/nuccore/CP000058.1?report=graph&amp;tracks=[key:gene_model_track,Options:GeneOnly]&amp;mk=509191:509210|offset_22|444444,509315:509334|offset_146|00cc00,509366:509385|offset_197|444444,509394:509413|offset_225|444444&amp;v=508990:509613&amp;c=444444", "offset 146")</f>
        <v>offset 146</v>
      </c>
    </row>
    <row r="1667" customFormat="false" ht="12.8" hidden="false" customHeight="false" outlineLevel="0" collapsed="false">
      <c r="A1667" s="0" t="s">
        <v>12</v>
      </c>
      <c r="B1667" s="0" t="n">
        <v>509365</v>
      </c>
      <c r="C1667" s="0" t="n">
        <v>509385</v>
      </c>
      <c r="D1667" s="0" t="s">
        <v>5569</v>
      </c>
      <c r="E1667" s="0" t="s">
        <v>75</v>
      </c>
      <c r="F1667" s="0" t="s">
        <v>15</v>
      </c>
      <c r="G1667" s="0" t="s">
        <v>16</v>
      </c>
      <c r="H1667" s="0" t="n">
        <v>197</v>
      </c>
      <c r="I1667" s="0" t="s">
        <v>5576</v>
      </c>
      <c r="J1667" s="0" t="s">
        <v>5577</v>
      </c>
      <c r="K1667" s="0" t="s">
        <v>5578</v>
      </c>
      <c r="L1667" s="0" t="str">
        <f aca="false">HYPERLINK("https://www.ncbi.nlm.nih.gov/nuccore/CP000058.1?report=graph&amp;tracks=[key:gene_model_track,Options:GeneOnly]&amp;mk=509191:509210|offset_22|444444,509315:509334|offset_146|444444,509366:509385|offset_197|00cc00,509394:509413|offset_225|444444&amp;v=508990:509613&amp;c=444444", "offset 197")</f>
        <v>offset 197</v>
      </c>
    </row>
    <row r="1668" customFormat="false" ht="12.8" hidden="false" customHeight="false" outlineLevel="0" collapsed="false">
      <c r="A1668" s="0" t="s">
        <v>12</v>
      </c>
      <c r="B1668" s="0" t="n">
        <v>509393</v>
      </c>
      <c r="C1668" s="0" t="n">
        <v>509413</v>
      </c>
      <c r="D1668" s="0" t="s">
        <v>5569</v>
      </c>
      <c r="E1668" s="0" t="s">
        <v>75</v>
      </c>
      <c r="F1668" s="0" t="s">
        <v>15</v>
      </c>
      <c r="G1668" s="0" t="s">
        <v>32</v>
      </c>
      <c r="H1668" s="0" t="n">
        <v>225</v>
      </c>
      <c r="I1668" s="0" t="s">
        <v>5579</v>
      </c>
      <c r="J1668" s="0" t="s">
        <v>5580</v>
      </c>
      <c r="K1668" s="0" t="s">
        <v>5581</v>
      </c>
      <c r="L1668" s="0" t="str">
        <f aca="false">HYPERLINK("https://www.ncbi.nlm.nih.gov/nuccore/CP000058.1?report=graph&amp;tracks=[key:gene_model_track,Options:GeneOnly]&amp;mk=509191:509210|offset_22|444444,509315:509334|offset_146|444444,509366:509385|offset_197|444444,509394:509413|offset_225|00cc00&amp;v=508990:509613&amp;c=444444", "offset 225")</f>
        <v>offset 225</v>
      </c>
    </row>
    <row r="1669" customFormat="false" ht="12.8" hidden="false" customHeight="false" outlineLevel="0" collapsed="false">
      <c r="A1669" s="0" t="s">
        <v>12</v>
      </c>
      <c r="B1669" s="0" t="n">
        <v>509766</v>
      </c>
      <c r="C1669" s="0" t="n">
        <v>509786</v>
      </c>
      <c r="D1669" s="0" t="s">
        <v>5582</v>
      </c>
      <c r="E1669" s="0" t="s">
        <v>75</v>
      </c>
      <c r="F1669" s="0" t="s">
        <v>15</v>
      </c>
      <c r="G1669" s="0" t="s">
        <v>16</v>
      </c>
      <c r="H1669" s="0" t="n">
        <v>22</v>
      </c>
      <c r="I1669" s="0" t="s">
        <v>5583</v>
      </c>
      <c r="J1669" s="0" t="s">
        <v>5584</v>
      </c>
      <c r="K1669" s="0" t="s">
        <v>5585</v>
      </c>
      <c r="L1669" s="0" t="str">
        <f aca="false">HYPERLINK("https://www.ncbi.nlm.nih.gov/nuccore/CP000058.1?report=graph&amp;tracks=[key:gene_model_track,Options:GeneOnly]&amp;mk=509767:509786|offset_22|00cc00,509804:509823|offset_59|444444,509873:509892|offset_128|444444,509902:509921|offset_157|444444&amp;v=509566:510121&amp;c=444444", "offset 22")</f>
        <v>offset 22</v>
      </c>
    </row>
    <row r="1670" customFormat="false" ht="12.8" hidden="false" customHeight="false" outlineLevel="0" collapsed="false">
      <c r="A1670" s="0" t="s">
        <v>12</v>
      </c>
      <c r="B1670" s="0" t="n">
        <v>509803</v>
      </c>
      <c r="C1670" s="0" t="n">
        <v>509823</v>
      </c>
      <c r="D1670" s="0" t="s">
        <v>5582</v>
      </c>
      <c r="E1670" s="0" t="s">
        <v>75</v>
      </c>
      <c r="F1670" s="0" t="s">
        <v>15</v>
      </c>
      <c r="G1670" s="0" t="s">
        <v>32</v>
      </c>
      <c r="H1670" s="0" t="n">
        <v>59</v>
      </c>
      <c r="I1670" s="0" t="s">
        <v>5586</v>
      </c>
      <c r="J1670" s="0" t="s">
        <v>5587</v>
      </c>
      <c r="K1670" s="0" t="s">
        <v>5588</v>
      </c>
      <c r="L1670" s="0" t="str">
        <f aca="false">HYPERLINK("https://www.ncbi.nlm.nih.gov/nuccore/CP000058.1?report=graph&amp;tracks=[key:gene_model_track,Options:GeneOnly]&amp;mk=509767:509786|offset_22|444444,509804:509823|offset_59|00cc00,509873:509892|offset_128|444444,509902:509921|offset_157|444444&amp;v=509566:510121&amp;c=444444", "offset 59")</f>
        <v>offset 59</v>
      </c>
    </row>
    <row r="1671" customFormat="false" ht="12.8" hidden="false" customHeight="false" outlineLevel="0" collapsed="false">
      <c r="A1671" s="0" t="s">
        <v>12</v>
      </c>
      <c r="B1671" s="0" t="n">
        <v>509872</v>
      </c>
      <c r="C1671" s="0" t="n">
        <v>509892</v>
      </c>
      <c r="D1671" s="0" t="s">
        <v>5582</v>
      </c>
      <c r="E1671" s="0" t="s">
        <v>75</v>
      </c>
      <c r="F1671" s="0" t="s">
        <v>15</v>
      </c>
      <c r="G1671" s="0" t="s">
        <v>32</v>
      </c>
      <c r="H1671" s="0" t="n">
        <v>128</v>
      </c>
      <c r="I1671" s="0" t="s">
        <v>5589</v>
      </c>
      <c r="J1671" s="0" t="s">
        <v>5590</v>
      </c>
      <c r="K1671" s="0" t="s">
        <v>5591</v>
      </c>
      <c r="L1671" s="0" t="str">
        <f aca="false">HYPERLINK("https://www.ncbi.nlm.nih.gov/nuccore/CP000058.1?report=graph&amp;tracks=[key:gene_model_track,Options:GeneOnly]&amp;mk=509767:509786|offset_22|444444,509804:509823|offset_59|444444,509873:509892|offset_128|00cc00,509902:509921|offset_157|444444&amp;v=509566:510121&amp;c=444444", "offset 128")</f>
        <v>offset 128</v>
      </c>
    </row>
    <row r="1672" customFormat="false" ht="12.8" hidden="false" customHeight="false" outlineLevel="0" collapsed="false">
      <c r="A1672" s="0" t="s">
        <v>12</v>
      </c>
      <c r="B1672" s="0" t="n">
        <v>509901</v>
      </c>
      <c r="C1672" s="0" t="n">
        <v>509921</v>
      </c>
      <c r="D1672" s="0" t="s">
        <v>5582</v>
      </c>
      <c r="E1672" s="0" t="s">
        <v>75</v>
      </c>
      <c r="F1672" s="0" t="s">
        <v>15</v>
      </c>
      <c r="G1672" s="0" t="s">
        <v>20</v>
      </c>
      <c r="H1672" s="0" t="n">
        <v>157</v>
      </c>
      <c r="I1672" s="0" t="s">
        <v>5592</v>
      </c>
      <c r="J1672" s="0" t="s">
        <v>5593</v>
      </c>
      <c r="K1672" s="0" t="s">
        <v>5594</v>
      </c>
      <c r="L1672" s="0" t="str">
        <f aca="false">HYPERLINK("https://www.ncbi.nlm.nih.gov/nuccore/CP000058.1?report=graph&amp;tracks=[key:gene_model_track,Options:GeneOnly]&amp;mk=509767:509786|offset_22|444444,509804:509823|offset_59|444444,509873:509892|offset_128|444444,509902:509921|offset_157|00cc00&amp;v=509566:510121&amp;c=444444", "offset 157")</f>
        <v>offset 157</v>
      </c>
    </row>
    <row r="1673" customFormat="false" ht="12.8" hidden="false" customHeight="false" outlineLevel="0" collapsed="false">
      <c r="A1673" s="0" t="s">
        <v>12</v>
      </c>
      <c r="B1673" s="0" t="n">
        <v>512451</v>
      </c>
      <c r="C1673" s="0" t="n">
        <v>512471</v>
      </c>
      <c r="D1673" s="0" t="s">
        <v>5595</v>
      </c>
      <c r="E1673" s="0" t="s">
        <v>75</v>
      </c>
      <c r="F1673" s="0" t="s">
        <v>90</v>
      </c>
      <c r="G1673" s="0" t="s">
        <v>20</v>
      </c>
      <c r="H1673" s="0" t="n">
        <v>7</v>
      </c>
      <c r="I1673" s="0" t="s">
        <v>5596</v>
      </c>
      <c r="J1673" s="0" t="s">
        <v>5597</v>
      </c>
      <c r="K1673" s="0" t="s">
        <v>5598</v>
      </c>
      <c r="L1673" s="0" t="str">
        <f aca="false">HYPERLINK("https://www.ncbi.nlm.nih.gov/nuccore/CP000058.1?report=graph&amp;tracks=[key:gene_model_track,Options:GeneOnly]&amp;mk=512452:512471|offset_7|00cc00,512431:512450|offset_28|444444,512392:512411|offset_67|444444,512365:512384|offset_94|444444&amp;v=512251:512584&amp;c=444444", "offset 7")</f>
        <v>offset 7</v>
      </c>
    </row>
    <row r="1674" customFormat="false" ht="12.8" hidden="false" customHeight="false" outlineLevel="0" collapsed="false">
      <c r="A1674" s="0" t="s">
        <v>12</v>
      </c>
      <c r="B1674" s="0" t="n">
        <v>512430</v>
      </c>
      <c r="C1674" s="0" t="n">
        <v>512450</v>
      </c>
      <c r="D1674" s="0" t="s">
        <v>5595</v>
      </c>
      <c r="E1674" s="0" t="s">
        <v>75</v>
      </c>
      <c r="F1674" s="0" t="s">
        <v>90</v>
      </c>
      <c r="G1674" s="0" t="s">
        <v>16</v>
      </c>
      <c r="H1674" s="0" t="n">
        <v>28</v>
      </c>
      <c r="I1674" s="0" t="s">
        <v>5599</v>
      </c>
      <c r="J1674" s="0" t="s">
        <v>5600</v>
      </c>
      <c r="K1674" s="0" t="s">
        <v>5601</v>
      </c>
      <c r="L1674" s="0" t="str">
        <f aca="false">HYPERLINK("https://www.ncbi.nlm.nih.gov/nuccore/CP000058.1?report=graph&amp;tracks=[key:gene_model_track,Options:GeneOnly]&amp;mk=512452:512471|offset_7|444444,512431:512450|offset_28|00cc00,512392:512411|offset_67|444444,512365:512384|offset_94|444444&amp;v=512251:512584&amp;c=444444", "offset 28")</f>
        <v>offset 28</v>
      </c>
    </row>
    <row r="1675" customFormat="false" ht="12.8" hidden="false" customHeight="false" outlineLevel="0" collapsed="false">
      <c r="A1675" s="0" t="s">
        <v>12</v>
      </c>
      <c r="B1675" s="0" t="n">
        <v>512391</v>
      </c>
      <c r="C1675" s="0" t="n">
        <v>512411</v>
      </c>
      <c r="D1675" s="0" t="s">
        <v>5595</v>
      </c>
      <c r="E1675" s="0" t="s">
        <v>75</v>
      </c>
      <c r="F1675" s="0" t="s">
        <v>90</v>
      </c>
      <c r="G1675" s="0" t="s">
        <v>36</v>
      </c>
      <c r="H1675" s="0" t="n">
        <v>67</v>
      </c>
      <c r="I1675" s="0" t="s">
        <v>5602</v>
      </c>
      <c r="J1675" s="0" t="s">
        <v>5603</v>
      </c>
      <c r="K1675" s="0" t="s">
        <v>5604</v>
      </c>
      <c r="L1675" s="0" t="str">
        <f aca="false">HYPERLINK("https://www.ncbi.nlm.nih.gov/nuccore/CP000058.1?report=graph&amp;tracks=[key:gene_model_track,Options:GeneOnly]&amp;mk=512452:512471|offset_7|444444,512431:512450|offset_28|444444,512392:512411|offset_67|00cc00,512365:512384|offset_94|444444&amp;v=512251:512584&amp;c=444444", "offset 67")</f>
        <v>offset 67</v>
      </c>
    </row>
    <row r="1676" customFormat="false" ht="12.8" hidden="false" customHeight="false" outlineLevel="0" collapsed="false">
      <c r="A1676" s="0" t="s">
        <v>12</v>
      </c>
      <c r="B1676" s="0" t="n">
        <v>512364</v>
      </c>
      <c r="C1676" s="0" t="n">
        <v>512384</v>
      </c>
      <c r="D1676" s="0" t="s">
        <v>5595</v>
      </c>
      <c r="E1676" s="0" t="s">
        <v>75</v>
      </c>
      <c r="F1676" s="0" t="s">
        <v>90</v>
      </c>
      <c r="G1676" s="0" t="s">
        <v>32</v>
      </c>
      <c r="H1676" s="0" t="n">
        <v>94</v>
      </c>
      <c r="I1676" s="0" t="s">
        <v>5605</v>
      </c>
      <c r="J1676" s="0" t="s">
        <v>5606</v>
      </c>
      <c r="K1676" s="0" t="s">
        <v>5607</v>
      </c>
      <c r="L1676" s="0" t="str">
        <f aca="false">HYPERLINK("https://www.ncbi.nlm.nih.gov/nuccore/CP000058.1?report=graph&amp;tracks=[key:gene_model_track,Options:GeneOnly]&amp;mk=512452:512471|offset_7|444444,512431:512450|offset_28|444444,512392:512411|offset_67|444444,512365:512384|offset_94|00cc00&amp;v=512251:512584&amp;c=444444", "offset 94")</f>
        <v>offset 94</v>
      </c>
    </row>
    <row r="1677" customFormat="false" ht="12.8" hidden="false" customHeight="false" outlineLevel="0" collapsed="false">
      <c r="A1677" s="0" t="s">
        <v>12</v>
      </c>
      <c r="B1677" s="0" t="n">
        <v>513617</v>
      </c>
      <c r="C1677" s="0" t="n">
        <v>513637</v>
      </c>
      <c r="D1677" s="0" t="s">
        <v>5608</v>
      </c>
      <c r="E1677" s="0" t="s">
        <v>5609</v>
      </c>
      <c r="F1677" s="0" t="s">
        <v>90</v>
      </c>
      <c r="G1677" s="0" t="s">
        <v>20</v>
      </c>
      <c r="H1677" s="0" t="n">
        <v>28</v>
      </c>
      <c r="I1677" s="0" t="s">
        <v>5610</v>
      </c>
      <c r="J1677" s="0" t="s">
        <v>5611</v>
      </c>
      <c r="K1677" s="0" t="s">
        <v>5612</v>
      </c>
      <c r="L1677" s="0" t="str">
        <f aca="false">HYPERLINK("https://www.ncbi.nlm.nih.gov/nuccore/CP000058.1?report=graph&amp;tracks=[key:gene_model_track,Options:GeneOnly]&amp;mk=513618:513637|offset_28|00cc00,513577:513596|offset_69|444444,513540:513559|offset_106|444444,513512:513531|offset_134|444444&amp;v=513417:513731&amp;c=444444", "offset 28")</f>
        <v>offset 28</v>
      </c>
    </row>
    <row r="1678" customFormat="false" ht="12.8" hidden="false" customHeight="false" outlineLevel="0" collapsed="false">
      <c r="A1678" s="0" t="s">
        <v>12</v>
      </c>
      <c r="B1678" s="0" t="n">
        <v>513576</v>
      </c>
      <c r="C1678" s="0" t="n">
        <v>513596</v>
      </c>
      <c r="D1678" s="0" t="s">
        <v>5608</v>
      </c>
      <c r="E1678" s="0" t="s">
        <v>5609</v>
      </c>
      <c r="F1678" s="0" t="s">
        <v>90</v>
      </c>
      <c r="G1678" s="0" t="s">
        <v>20</v>
      </c>
      <c r="H1678" s="0" t="n">
        <v>69</v>
      </c>
      <c r="I1678" s="0" t="s">
        <v>5613</v>
      </c>
      <c r="J1678" s="0" t="s">
        <v>5614</v>
      </c>
      <c r="K1678" s="0" t="s">
        <v>5615</v>
      </c>
      <c r="L1678" s="0" t="str">
        <f aca="false">HYPERLINK("https://www.ncbi.nlm.nih.gov/nuccore/CP000058.1?report=graph&amp;tracks=[key:gene_model_track,Options:GeneOnly]&amp;mk=513618:513637|offset_28|444444,513577:513596|offset_69|00cc00,513540:513559|offset_106|444444,513512:513531|offset_134|444444&amp;v=513417:513731&amp;c=444444", "offset 69")</f>
        <v>offset 69</v>
      </c>
    </row>
    <row r="1679" customFormat="false" ht="12.8" hidden="false" customHeight="false" outlineLevel="0" collapsed="false">
      <c r="A1679" s="0" t="s">
        <v>12</v>
      </c>
      <c r="B1679" s="0" t="n">
        <v>513539</v>
      </c>
      <c r="C1679" s="0" t="n">
        <v>513559</v>
      </c>
      <c r="D1679" s="0" t="s">
        <v>5608</v>
      </c>
      <c r="E1679" s="0" t="s">
        <v>5609</v>
      </c>
      <c r="F1679" s="0" t="s">
        <v>90</v>
      </c>
      <c r="G1679" s="0" t="s">
        <v>16</v>
      </c>
      <c r="H1679" s="0" t="n">
        <v>106</v>
      </c>
      <c r="I1679" s="0" t="s">
        <v>5616</v>
      </c>
      <c r="J1679" s="0" t="s">
        <v>5617</v>
      </c>
      <c r="K1679" s="0" t="s">
        <v>5618</v>
      </c>
      <c r="L1679" s="0" t="str">
        <f aca="false">HYPERLINK("https://www.ncbi.nlm.nih.gov/nuccore/CP000058.1?report=graph&amp;tracks=[key:gene_model_track,Options:GeneOnly]&amp;mk=513618:513637|offset_28|444444,513577:513596|offset_69|444444,513540:513559|offset_106|00cc00,513512:513531|offset_134|444444&amp;v=513417:513731&amp;c=444444", "offset 106")</f>
        <v>offset 106</v>
      </c>
    </row>
    <row r="1680" customFormat="false" ht="12.8" hidden="false" customHeight="false" outlineLevel="0" collapsed="false">
      <c r="A1680" s="0" t="s">
        <v>12</v>
      </c>
      <c r="B1680" s="0" t="n">
        <v>513511</v>
      </c>
      <c r="C1680" s="0" t="n">
        <v>513531</v>
      </c>
      <c r="D1680" s="0" t="s">
        <v>5608</v>
      </c>
      <c r="E1680" s="0" t="s">
        <v>5609</v>
      </c>
      <c r="F1680" s="0" t="s">
        <v>90</v>
      </c>
      <c r="G1680" s="0" t="s">
        <v>36</v>
      </c>
      <c r="H1680" s="0" t="n">
        <v>134</v>
      </c>
      <c r="I1680" s="0" t="s">
        <v>5619</v>
      </c>
      <c r="J1680" s="0" t="s">
        <v>5620</v>
      </c>
      <c r="K1680" s="0" t="s">
        <v>5621</v>
      </c>
      <c r="L1680" s="0" t="str">
        <f aca="false">HYPERLINK("https://www.ncbi.nlm.nih.gov/nuccore/CP000058.1?report=graph&amp;tracks=[key:gene_model_track,Options:GeneOnly]&amp;mk=513618:513637|offset_28|444444,513577:513596|offset_69|444444,513540:513559|offset_106|444444,513512:513531|offset_134|00cc00&amp;v=513417:513731&amp;c=444444", "offset 134")</f>
        <v>offset 134</v>
      </c>
    </row>
    <row r="1681" customFormat="false" ht="12.8" hidden="false" customHeight="false" outlineLevel="0" collapsed="false">
      <c r="A1681" s="0" t="s">
        <v>12</v>
      </c>
      <c r="B1681" s="0" t="n">
        <v>515196</v>
      </c>
      <c r="C1681" s="0" t="n">
        <v>515216</v>
      </c>
      <c r="D1681" s="0" t="s">
        <v>5622</v>
      </c>
      <c r="E1681" s="0" t="s">
        <v>5623</v>
      </c>
      <c r="F1681" s="0" t="s">
        <v>90</v>
      </c>
      <c r="G1681" s="0" t="s">
        <v>36</v>
      </c>
      <c r="H1681" s="0" t="n">
        <v>21</v>
      </c>
      <c r="I1681" s="0" t="s">
        <v>5624</v>
      </c>
      <c r="J1681" s="0" t="s">
        <v>5625</v>
      </c>
      <c r="K1681" s="0" t="s">
        <v>5626</v>
      </c>
      <c r="L1681" s="0" t="str">
        <f aca="false">HYPERLINK("https://www.ncbi.nlm.nih.gov/nuccore/CP000058.1?report=graph&amp;tracks=[key:gene_model_track,Options:GeneOnly]&amp;mk=515197:515216|offset_21|00cc00,515169:515188|offset_49|444444,515133:515152|offset_85|444444,515110:515129|offset_108|444444&amp;v=514996:515329&amp;c=444444", "offset 21")</f>
        <v>offset 21</v>
      </c>
    </row>
    <row r="1682" customFormat="false" ht="12.8" hidden="false" customHeight="false" outlineLevel="0" collapsed="false">
      <c r="A1682" s="0" t="s">
        <v>12</v>
      </c>
      <c r="B1682" s="0" t="n">
        <v>515168</v>
      </c>
      <c r="C1682" s="0" t="n">
        <v>515188</v>
      </c>
      <c r="D1682" s="0" t="s">
        <v>5622</v>
      </c>
      <c r="E1682" s="0" t="s">
        <v>5623</v>
      </c>
      <c r="F1682" s="0" t="s">
        <v>90</v>
      </c>
      <c r="G1682" s="0" t="s">
        <v>16</v>
      </c>
      <c r="H1682" s="0" t="n">
        <v>49</v>
      </c>
      <c r="I1682" s="0" t="s">
        <v>5627</v>
      </c>
      <c r="J1682" s="0" t="s">
        <v>5628</v>
      </c>
      <c r="K1682" s="0" t="s">
        <v>5629</v>
      </c>
      <c r="L1682" s="0" t="str">
        <f aca="false">HYPERLINK("https://www.ncbi.nlm.nih.gov/nuccore/CP000058.1?report=graph&amp;tracks=[key:gene_model_track,Options:GeneOnly]&amp;mk=515197:515216|offset_21|444444,515169:515188|offset_49|00cc00,515133:515152|offset_85|444444,515110:515129|offset_108|444444&amp;v=514996:515329&amp;c=444444", "offset 49")</f>
        <v>offset 49</v>
      </c>
    </row>
    <row r="1683" customFormat="false" ht="12.8" hidden="false" customHeight="false" outlineLevel="0" collapsed="false">
      <c r="A1683" s="0" t="s">
        <v>12</v>
      </c>
      <c r="B1683" s="0" t="n">
        <v>515132</v>
      </c>
      <c r="C1683" s="0" t="n">
        <v>515152</v>
      </c>
      <c r="D1683" s="0" t="s">
        <v>5622</v>
      </c>
      <c r="E1683" s="0" t="s">
        <v>5623</v>
      </c>
      <c r="F1683" s="0" t="s">
        <v>90</v>
      </c>
      <c r="G1683" s="0" t="s">
        <v>32</v>
      </c>
      <c r="H1683" s="0" t="n">
        <v>85</v>
      </c>
      <c r="I1683" s="0" t="s">
        <v>5630</v>
      </c>
      <c r="J1683" s="0" t="s">
        <v>5631</v>
      </c>
      <c r="K1683" s="0" t="s">
        <v>5632</v>
      </c>
      <c r="L1683" s="0" t="str">
        <f aca="false">HYPERLINK("https://www.ncbi.nlm.nih.gov/nuccore/CP000058.1?report=graph&amp;tracks=[key:gene_model_track,Options:GeneOnly]&amp;mk=515197:515216|offset_21|444444,515169:515188|offset_49|444444,515133:515152|offset_85|00cc00,515110:515129|offset_108|444444&amp;v=514996:515329&amp;c=444444", "offset 85")</f>
        <v>offset 85</v>
      </c>
    </row>
    <row r="1684" customFormat="false" ht="12.8" hidden="false" customHeight="false" outlineLevel="0" collapsed="false">
      <c r="A1684" s="0" t="s">
        <v>12</v>
      </c>
      <c r="B1684" s="0" t="n">
        <v>515109</v>
      </c>
      <c r="C1684" s="0" t="n">
        <v>515129</v>
      </c>
      <c r="D1684" s="0" t="s">
        <v>5622</v>
      </c>
      <c r="E1684" s="0" t="s">
        <v>5623</v>
      </c>
      <c r="F1684" s="0" t="s">
        <v>90</v>
      </c>
      <c r="G1684" s="0" t="s">
        <v>20</v>
      </c>
      <c r="H1684" s="0" t="n">
        <v>108</v>
      </c>
      <c r="I1684" s="0" t="s">
        <v>5633</v>
      </c>
      <c r="J1684" s="0" t="s">
        <v>5634</v>
      </c>
      <c r="K1684" s="0" t="s">
        <v>5635</v>
      </c>
      <c r="L1684" s="0" t="str">
        <f aca="false">HYPERLINK("https://www.ncbi.nlm.nih.gov/nuccore/CP000058.1?report=graph&amp;tracks=[key:gene_model_track,Options:GeneOnly]&amp;mk=515197:515216|offset_21|444444,515169:515188|offset_49|444444,515133:515152|offset_85|444444,515110:515129|offset_108|00cc00&amp;v=514996:515329&amp;c=444444", "offset 108")</f>
        <v>offset 108</v>
      </c>
    </row>
    <row r="1685" customFormat="false" ht="12.8" hidden="false" customHeight="false" outlineLevel="0" collapsed="false">
      <c r="A1685" s="0" t="s">
        <v>12</v>
      </c>
      <c r="B1685" s="0" t="n">
        <v>515602</v>
      </c>
      <c r="C1685" s="0" t="n">
        <v>515622</v>
      </c>
      <c r="D1685" s="0" t="s">
        <v>5636</v>
      </c>
      <c r="E1685" s="0" t="s">
        <v>75</v>
      </c>
      <c r="F1685" s="0" t="s">
        <v>15</v>
      </c>
      <c r="G1685" s="0" t="s">
        <v>32</v>
      </c>
      <c r="H1685" s="0" t="n">
        <v>11</v>
      </c>
      <c r="I1685" s="0" t="s">
        <v>5637</v>
      </c>
      <c r="J1685" s="0" t="s">
        <v>5638</v>
      </c>
      <c r="K1685" s="0" t="s">
        <v>5639</v>
      </c>
      <c r="L1685" s="0" t="str">
        <f aca="false">HYPERLINK("https://www.ncbi.nlm.nih.gov/nuccore/CP000058.1?report=graph&amp;tracks=[key:gene_model_track,Options:GeneOnly]&amp;mk=515603:515622|offset_11|00cc00,515626:515645|offset_34|444444,515666:515685|offset_74|444444,515737:515756|offset_145|444444&amp;v=515402:515956&amp;c=444444", "offset 11")</f>
        <v>offset 11</v>
      </c>
    </row>
    <row r="1686" customFormat="false" ht="12.8" hidden="false" customHeight="false" outlineLevel="0" collapsed="false">
      <c r="A1686" s="0" t="s">
        <v>12</v>
      </c>
      <c r="B1686" s="0" t="n">
        <v>515625</v>
      </c>
      <c r="C1686" s="0" t="n">
        <v>515645</v>
      </c>
      <c r="D1686" s="0" t="s">
        <v>5636</v>
      </c>
      <c r="E1686" s="0" t="s">
        <v>75</v>
      </c>
      <c r="F1686" s="0" t="s">
        <v>15</v>
      </c>
      <c r="G1686" s="0" t="s">
        <v>16</v>
      </c>
      <c r="H1686" s="0" t="n">
        <v>34</v>
      </c>
      <c r="I1686" s="0" t="s">
        <v>5640</v>
      </c>
      <c r="J1686" s="0" t="s">
        <v>5641</v>
      </c>
      <c r="K1686" s="0" t="s">
        <v>5642</v>
      </c>
      <c r="L1686" s="0" t="str">
        <f aca="false">HYPERLINK("https://www.ncbi.nlm.nih.gov/nuccore/CP000058.1?report=graph&amp;tracks=[key:gene_model_track,Options:GeneOnly]&amp;mk=515603:515622|offset_11|444444,515626:515645|offset_34|00cc00,515666:515685|offset_74|444444,515737:515756|offset_145|444444&amp;v=515402:515956&amp;c=444444", "offset 34")</f>
        <v>offset 34</v>
      </c>
    </row>
    <row r="1687" customFormat="false" ht="12.8" hidden="false" customHeight="false" outlineLevel="0" collapsed="false">
      <c r="A1687" s="0" t="s">
        <v>12</v>
      </c>
      <c r="B1687" s="0" t="n">
        <v>515665</v>
      </c>
      <c r="C1687" s="0" t="n">
        <v>515685</v>
      </c>
      <c r="D1687" s="0" t="s">
        <v>5636</v>
      </c>
      <c r="E1687" s="0" t="s">
        <v>75</v>
      </c>
      <c r="F1687" s="0" t="s">
        <v>15</v>
      </c>
      <c r="G1687" s="0" t="s">
        <v>20</v>
      </c>
      <c r="H1687" s="0" t="n">
        <v>74</v>
      </c>
      <c r="I1687" s="0" t="s">
        <v>5643</v>
      </c>
      <c r="J1687" s="0" t="s">
        <v>5644</v>
      </c>
      <c r="K1687" s="0" t="s">
        <v>5645</v>
      </c>
      <c r="L1687" s="0" t="str">
        <f aca="false">HYPERLINK("https://www.ncbi.nlm.nih.gov/nuccore/CP000058.1?report=graph&amp;tracks=[key:gene_model_track,Options:GeneOnly]&amp;mk=515603:515622|offset_11|444444,515626:515645|offset_34|444444,515666:515685|offset_74|00cc00,515737:515756|offset_145|444444&amp;v=515402:515956&amp;c=444444", "offset 74")</f>
        <v>offset 74</v>
      </c>
    </row>
    <row r="1688" customFormat="false" ht="12.8" hidden="false" customHeight="false" outlineLevel="0" collapsed="false">
      <c r="A1688" s="0" t="s">
        <v>12</v>
      </c>
      <c r="B1688" s="0" t="n">
        <v>515736</v>
      </c>
      <c r="C1688" s="0" t="n">
        <v>515756</v>
      </c>
      <c r="D1688" s="0" t="s">
        <v>5636</v>
      </c>
      <c r="E1688" s="0" t="s">
        <v>75</v>
      </c>
      <c r="F1688" s="0" t="s">
        <v>15</v>
      </c>
      <c r="G1688" s="0" t="s">
        <v>32</v>
      </c>
      <c r="H1688" s="0" t="n">
        <v>145</v>
      </c>
      <c r="I1688" s="0" t="s">
        <v>5646</v>
      </c>
      <c r="J1688" s="0" t="s">
        <v>5647</v>
      </c>
      <c r="K1688" s="0" t="s">
        <v>5648</v>
      </c>
      <c r="L1688" s="0" t="str">
        <f aca="false">HYPERLINK("https://www.ncbi.nlm.nih.gov/nuccore/CP000058.1?report=graph&amp;tracks=[key:gene_model_track,Options:GeneOnly]&amp;mk=515603:515622|offset_11|444444,515626:515645|offset_34|444444,515666:515685|offset_74|444444,515737:515756|offset_145|00cc00&amp;v=515402:515956&amp;c=444444", "offset 145")</f>
        <v>offset 145</v>
      </c>
    </row>
    <row r="1689" customFormat="false" ht="12.8" hidden="false" customHeight="false" outlineLevel="0" collapsed="false">
      <c r="A1689" s="0" t="s">
        <v>12</v>
      </c>
      <c r="B1689" s="0" t="n">
        <v>516901</v>
      </c>
      <c r="C1689" s="0" t="n">
        <v>516921</v>
      </c>
      <c r="D1689" s="0" t="s">
        <v>5649</v>
      </c>
      <c r="E1689" s="0" t="s">
        <v>75</v>
      </c>
      <c r="F1689" s="0" t="s">
        <v>90</v>
      </c>
      <c r="G1689" s="0" t="s">
        <v>20</v>
      </c>
      <c r="H1689" s="0" t="n">
        <v>6</v>
      </c>
      <c r="I1689" s="0" t="s">
        <v>5650</v>
      </c>
      <c r="J1689" s="0" t="s">
        <v>5651</v>
      </c>
      <c r="K1689" s="0" t="s">
        <v>5652</v>
      </c>
      <c r="L1689" s="0" t="str">
        <f aca="false">HYPERLINK("https://www.ncbi.nlm.nih.gov/nuccore/CP000058.1?report=graph&amp;tracks=[key:gene_model_track,Options:GeneOnly]&amp;mk=516902:516921|offset_6|00cc00,516870:516889|offset_38|444444,516841:516860|offset_67|444444,516804:516823|offset_104|444444&amp;v=516701:517023&amp;c=444444", "offset 6")</f>
        <v>offset 6</v>
      </c>
    </row>
    <row r="1690" customFormat="false" ht="12.8" hidden="false" customHeight="false" outlineLevel="0" collapsed="false">
      <c r="A1690" s="0" t="s">
        <v>12</v>
      </c>
      <c r="B1690" s="0" t="n">
        <v>516869</v>
      </c>
      <c r="C1690" s="0" t="n">
        <v>516889</v>
      </c>
      <c r="D1690" s="0" t="s">
        <v>5649</v>
      </c>
      <c r="E1690" s="0" t="s">
        <v>75</v>
      </c>
      <c r="F1690" s="0" t="s">
        <v>90</v>
      </c>
      <c r="G1690" s="0" t="s">
        <v>36</v>
      </c>
      <c r="H1690" s="0" t="n">
        <v>38</v>
      </c>
      <c r="I1690" s="0" t="s">
        <v>5653</v>
      </c>
      <c r="J1690" s="0" t="s">
        <v>5654</v>
      </c>
      <c r="K1690" s="0" t="s">
        <v>5655</v>
      </c>
      <c r="L1690" s="0" t="str">
        <f aca="false">HYPERLINK("https://www.ncbi.nlm.nih.gov/nuccore/CP000058.1?report=graph&amp;tracks=[key:gene_model_track,Options:GeneOnly]&amp;mk=516902:516921|offset_6|444444,516870:516889|offset_38|00cc00,516841:516860|offset_67|444444,516804:516823|offset_104|444444&amp;v=516701:517023&amp;c=444444", "offset 38")</f>
        <v>offset 38</v>
      </c>
    </row>
    <row r="1691" customFormat="false" ht="12.8" hidden="false" customHeight="false" outlineLevel="0" collapsed="false">
      <c r="A1691" s="0" t="s">
        <v>12</v>
      </c>
      <c r="B1691" s="0" t="n">
        <v>516840</v>
      </c>
      <c r="C1691" s="0" t="n">
        <v>516860</v>
      </c>
      <c r="D1691" s="0" t="s">
        <v>5649</v>
      </c>
      <c r="E1691" s="0" t="s">
        <v>75</v>
      </c>
      <c r="F1691" s="0" t="s">
        <v>90</v>
      </c>
      <c r="G1691" s="0" t="s">
        <v>16</v>
      </c>
      <c r="H1691" s="0" t="n">
        <v>67</v>
      </c>
      <c r="I1691" s="0" t="s">
        <v>5656</v>
      </c>
      <c r="J1691" s="0" t="s">
        <v>5657</v>
      </c>
      <c r="K1691" s="0" t="s">
        <v>5658</v>
      </c>
      <c r="L1691" s="0" t="str">
        <f aca="false">HYPERLINK("https://www.ncbi.nlm.nih.gov/nuccore/CP000058.1?report=graph&amp;tracks=[key:gene_model_track,Options:GeneOnly]&amp;mk=516902:516921|offset_6|444444,516870:516889|offset_38|444444,516841:516860|offset_67|00cc00,516804:516823|offset_104|444444&amp;v=516701:517023&amp;c=444444", "offset 67")</f>
        <v>offset 67</v>
      </c>
    </row>
    <row r="1692" customFormat="false" ht="12.8" hidden="false" customHeight="false" outlineLevel="0" collapsed="false">
      <c r="A1692" s="0" t="s">
        <v>12</v>
      </c>
      <c r="B1692" s="0" t="n">
        <v>516803</v>
      </c>
      <c r="C1692" s="0" t="n">
        <v>516823</v>
      </c>
      <c r="D1692" s="0" t="s">
        <v>5649</v>
      </c>
      <c r="E1692" s="0" t="s">
        <v>75</v>
      </c>
      <c r="F1692" s="0" t="s">
        <v>90</v>
      </c>
      <c r="G1692" s="0" t="s">
        <v>20</v>
      </c>
      <c r="H1692" s="0" t="n">
        <v>104</v>
      </c>
      <c r="I1692" s="0" t="s">
        <v>5659</v>
      </c>
      <c r="J1692" s="0" t="s">
        <v>5660</v>
      </c>
      <c r="K1692" s="0" t="s">
        <v>5661</v>
      </c>
      <c r="L1692" s="0" t="str">
        <f aca="false">HYPERLINK("https://www.ncbi.nlm.nih.gov/nuccore/CP000058.1?report=graph&amp;tracks=[key:gene_model_track,Options:GeneOnly]&amp;mk=516902:516921|offset_6|444444,516870:516889|offset_38|444444,516841:516860|offset_67|444444,516804:516823|offset_104|00cc00&amp;v=516701:517023&amp;c=444444", "offset 104")</f>
        <v>offset 104</v>
      </c>
    </row>
    <row r="1693" customFormat="false" ht="12.8" hidden="false" customHeight="false" outlineLevel="0" collapsed="false">
      <c r="A1693" s="0" t="s">
        <v>12</v>
      </c>
      <c r="B1693" s="0" t="n">
        <v>518378</v>
      </c>
      <c r="C1693" s="0" t="n">
        <v>518398</v>
      </c>
      <c r="D1693" s="0" t="s">
        <v>5662</v>
      </c>
      <c r="E1693" s="0" t="s">
        <v>75</v>
      </c>
      <c r="F1693" s="0" t="s">
        <v>90</v>
      </c>
      <c r="G1693" s="0" t="s">
        <v>16</v>
      </c>
      <c r="H1693" s="0" t="n">
        <v>9</v>
      </c>
      <c r="I1693" s="0" t="s">
        <v>5663</v>
      </c>
      <c r="J1693" s="0" t="s">
        <v>5664</v>
      </c>
      <c r="K1693" s="0" t="s">
        <v>5665</v>
      </c>
      <c r="L1693" s="0" t="str">
        <f aca="false">HYPERLINK("https://www.ncbi.nlm.nih.gov/nuccore/CP000058.1?report=graph&amp;tracks=[key:gene_model_track,Options:GeneOnly]&amp;mk=518379:518398|offset_9|00cc00,518357:518376|offset_31|444444,518329:518348|offset_59|444444,518308:518327|offset_80|444444&amp;v=518178:518527&amp;c=444444", "offset 9")</f>
        <v>offset 9</v>
      </c>
    </row>
    <row r="1694" customFormat="false" ht="12.8" hidden="false" customHeight="false" outlineLevel="0" collapsed="false">
      <c r="A1694" s="0" t="s">
        <v>12</v>
      </c>
      <c r="B1694" s="0" t="n">
        <v>518356</v>
      </c>
      <c r="C1694" s="0" t="n">
        <v>518376</v>
      </c>
      <c r="D1694" s="0" t="s">
        <v>5662</v>
      </c>
      <c r="E1694" s="0" t="s">
        <v>75</v>
      </c>
      <c r="F1694" s="0" t="s">
        <v>90</v>
      </c>
      <c r="G1694" s="0" t="s">
        <v>16</v>
      </c>
      <c r="H1694" s="0" t="n">
        <v>31</v>
      </c>
      <c r="I1694" s="0" t="s">
        <v>5666</v>
      </c>
      <c r="J1694" s="0" t="s">
        <v>5667</v>
      </c>
      <c r="K1694" s="0" t="s">
        <v>5668</v>
      </c>
      <c r="L1694" s="0" t="str">
        <f aca="false">HYPERLINK("https://www.ncbi.nlm.nih.gov/nuccore/CP000058.1?report=graph&amp;tracks=[key:gene_model_track,Options:GeneOnly]&amp;mk=518379:518398|offset_9|444444,518357:518376|offset_31|00cc00,518329:518348|offset_59|444444,518308:518327|offset_80|444444&amp;v=518178:518527&amp;c=444444", "offset 31")</f>
        <v>offset 31</v>
      </c>
    </row>
    <row r="1695" customFormat="false" ht="12.8" hidden="false" customHeight="false" outlineLevel="0" collapsed="false">
      <c r="A1695" s="0" t="s">
        <v>12</v>
      </c>
      <c r="B1695" s="0" t="n">
        <v>518328</v>
      </c>
      <c r="C1695" s="0" t="n">
        <v>518348</v>
      </c>
      <c r="D1695" s="0" t="s">
        <v>5662</v>
      </c>
      <c r="E1695" s="0" t="s">
        <v>75</v>
      </c>
      <c r="F1695" s="0" t="s">
        <v>90</v>
      </c>
      <c r="G1695" s="0" t="s">
        <v>20</v>
      </c>
      <c r="H1695" s="0" t="n">
        <v>59</v>
      </c>
      <c r="I1695" s="0" t="s">
        <v>5669</v>
      </c>
      <c r="J1695" s="0" t="s">
        <v>5670</v>
      </c>
      <c r="K1695" s="0" t="s">
        <v>5671</v>
      </c>
      <c r="L1695" s="0" t="str">
        <f aca="false">HYPERLINK("https://www.ncbi.nlm.nih.gov/nuccore/CP000058.1?report=graph&amp;tracks=[key:gene_model_track,Options:GeneOnly]&amp;mk=518379:518398|offset_9|444444,518357:518376|offset_31|444444,518329:518348|offset_59|00cc00,518308:518327|offset_80|444444&amp;v=518178:518527&amp;c=444444", "offset 59")</f>
        <v>offset 59</v>
      </c>
    </row>
    <row r="1696" customFormat="false" ht="12.8" hidden="false" customHeight="false" outlineLevel="0" collapsed="false">
      <c r="A1696" s="0" t="s">
        <v>12</v>
      </c>
      <c r="B1696" s="0" t="n">
        <v>518307</v>
      </c>
      <c r="C1696" s="0" t="n">
        <v>518327</v>
      </c>
      <c r="D1696" s="0" t="s">
        <v>5662</v>
      </c>
      <c r="E1696" s="0" t="s">
        <v>75</v>
      </c>
      <c r="F1696" s="0" t="s">
        <v>90</v>
      </c>
      <c r="G1696" s="0" t="s">
        <v>32</v>
      </c>
      <c r="H1696" s="0" t="n">
        <v>80</v>
      </c>
      <c r="I1696" s="0" t="s">
        <v>5672</v>
      </c>
      <c r="J1696" s="0" t="s">
        <v>5673</v>
      </c>
      <c r="K1696" s="0" t="s">
        <v>5674</v>
      </c>
      <c r="L1696" s="0" t="str">
        <f aca="false">HYPERLINK("https://www.ncbi.nlm.nih.gov/nuccore/CP000058.1?report=graph&amp;tracks=[key:gene_model_track,Options:GeneOnly]&amp;mk=518379:518398|offset_9|444444,518357:518376|offset_31|444444,518329:518348|offset_59|444444,518308:518327|offset_80|00cc00&amp;v=518178:518527&amp;c=444444", "offset 80")</f>
        <v>offset 80</v>
      </c>
    </row>
    <row r="1697" customFormat="false" ht="12.8" hidden="false" customHeight="false" outlineLevel="0" collapsed="false">
      <c r="A1697" s="0" t="s">
        <v>12</v>
      </c>
      <c r="B1697" s="0" t="n">
        <v>519114</v>
      </c>
      <c r="C1697" s="0" t="n">
        <v>519134</v>
      </c>
      <c r="D1697" s="0" t="s">
        <v>5675</v>
      </c>
      <c r="E1697" s="0" t="s">
        <v>5676</v>
      </c>
      <c r="F1697" s="0" t="s">
        <v>90</v>
      </c>
      <c r="G1697" s="0" t="s">
        <v>16</v>
      </c>
      <c r="H1697" s="0" t="n">
        <v>47</v>
      </c>
      <c r="I1697" s="0" t="s">
        <v>5677</v>
      </c>
      <c r="J1697" s="0" t="s">
        <v>5678</v>
      </c>
      <c r="K1697" s="0" t="s">
        <v>5679</v>
      </c>
      <c r="L1697" s="0" t="str">
        <f aca="false">HYPERLINK("https://www.ncbi.nlm.nih.gov/nuccore/CP000058.1?report=graph&amp;tracks=[key:gene_model_track,Options:GeneOnly]&amp;mk=519115:519134|offset_47|00cc00,519077:519096|offset_85|444444,519035:519054|offset_127|444444,519013:519032|offset_149|444444&amp;v=518914:519232&amp;c=444444", "offset 47")</f>
        <v>offset 47</v>
      </c>
    </row>
    <row r="1698" customFormat="false" ht="12.8" hidden="false" customHeight="false" outlineLevel="0" collapsed="false">
      <c r="A1698" s="0" t="s">
        <v>12</v>
      </c>
      <c r="B1698" s="0" t="n">
        <v>519076</v>
      </c>
      <c r="C1698" s="0" t="n">
        <v>519096</v>
      </c>
      <c r="D1698" s="0" t="s">
        <v>5675</v>
      </c>
      <c r="E1698" s="0" t="s">
        <v>5676</v>
      </c>
      <c r="F1698" s="0" t="s">
        <v>90</v>
      </c>
      <c r="G1698" s="0" t="s">
        <v>16</v>
      </c>
      <c r="H1698" s="0" t="n">
        <v>85</v>
      </c>
      <c r="I1698" s="0" t="s">
        <v>5680</v>
      </c>
      <c r="J1698" s="0" t="s">
        <v>5681</v>
      </c>
      <c r="K1698" s="0" t="s">
        <v>5682</v>
      </c>
      <c r="L1698" s="0" t="str">
        <f aca="false">HYPERLINK("https://www.ncbi.nlm.nih.gov/nuccore/CP000058.1?report=graph&amp;tracks=[key:gene_model_track,Options:GeneOnly]&amp;mk=519115:519134|offset_47|444444,519077:519096|offset_85|00cc00,519035:519054|offset_127|444444,519013:519032|offset_149|444444&amp;v=518914:519232&amp;c=444444", "offset 85")</f>
        <v>offset 85</v>
      </c>
    </row>
    <row r="1699" customFormat="false" ht="12.8" hidden="false" customHeight="false" outlineLevel="0" collapsed="false">
      <c r="A1699" s="0" t="s">
        <v>12</v>
      </c>
      <c r="B1699" s="0" t="n">
        <v>519034</v>
      </c>
      <c r="C1699" s="0" t="n">
        <v>519054</v>
      </c>
      <c r="D1699" s="0" t="s">
        <v>5675</v>
      </c>
      <c r="E1699" s="0" t="s">
        <v>5676</v>
      </c>
      <c r="F1699" s="0" t="s">
        <v>90</v>
      </c>
      <c r="G1699" s="0" t="s">
        <v>36</v>
      </c>
      <c r="H1699" s="0" t="n">
        <v>127</v>
      </c>
      <c r="I1699" s="0" t="s">
        <v>5683</v>
      </c>
      <c r="J1699" s="0" t="s">
        <v>5684</v>
      </c>
      <c r="K1699" s="0" t="s">
        <v>5685</v>
      </c>
      <c r="L1699" s="0" t="str">
        <f aca="false">HYPERLINK("https://www.ncbi.nlm.nih.gov/nuccore/CP000058.1?report=graph&amp;tracks=[key:gene_model_track,Options:GeneOnly]&amp;mk=519115:519134|offset_47|444444,519077:519096|offset_85|444444,519035:519054|offset_127|00cc00,519013:519032|offset_149|444444&amp;v=518914:519232&amp;c=444444", "offset 127")</f>
        <v>offset 127</v>
      </c>
    </row>
    <row r="1700" customFormat="false" ht="12.8" hidden="false" customHeight="false" outlineLevel="0" collapsed="false">
      <c r="A1700" s="0" t="s">
        <v>12</v>
      </c>
      <c r="B1700" s="0" t="n">
        <v>519012</v>
      </c>
      <c r="C1700" s="0" t="n">
        <v>519032</v>
      </c>
      <c r="D1700" s="0" t="s">
        <v>5675</v>
      </c>
      <c r="E1700" s="0" t="s">
        <v>5676</v>
      </c>
      <c r="F1700" s="0" t="s">
        <v>90</v>
      </c>
      <c r="G1700" s="0" t="s">
        <v>16</v>
      </c>
      <c r="H1700" s="0" t="n">
        <v>149</v>
      </c>
      <c r="I1700" s="0" t="s">
        <v>5686</v>
      </c>
      <c r="J1700" s="0" t="s">
        <v>5687</v>
      </c>
      <c r="K1700" s="0" t="s">
        <v>5688</v>
      </c>
      <c r="L1700" s="0" t="str">
        <f aca="false">HYPERLINK("https://www.ncbi.nlm.nih.gov/nuccore/CP000058.1?report=graph&amp;tracks=[key:gene_model_track,Options:GeneOnly]&amp;mk=519115:519134|offset_47|444444,519077:519096|offset_85|444444,519035:519054|offset_127|444444,519013:519032|offset_149|00cc00&amp;v=518914:519232&amp;c=444444", "offset 149")</f>
        <v>offset 149</v>
      </c>
    </row>
    <row r="1701" customFormat="false" ht="12.8" hidden="false" customHeight="false" outlineLevel="0" collapsed="false">
      <c r="A1701" s="0" t="s">
        <v>12</v>
      </c>
      <c r="B1701" s="0" t="n">
        <v>520442</v>
      </c>
      <c r="C1701" s="0" t="n">
        <v>520462</v>
      </c>
      <c r="D1701" s="0" t="s">
        <v>5689</v>
      </c>
      <c r="E1701" s="0" t="s">
        <v>75</v>
      </c>
      <c r="F1701" s="0" t="s">
        <v>90</v>
      </c>
      <c r="G1701" s="0" t="s">
        <v>20</v>
      </c>
      <c r="H1701" s="0" t="n">
        <v>8</v>
      </c>
      <c r="I1701" s="0" t="s">
        <v>5690</v>
      </c>
      <c r="J1701" s="0" t="s">
        <v>5691</v>
      </c>
      <c r="K1701" s="0" t="s">
        <v>5692</v>
      </c>
      <c r="L1701" s="0" t="str">
        <f aca="false">HYPERLINK("https://www.ncbi.nlm.nih.gov/nuccore/CP000058.1?report=graph&amp;tracks=[key:gene_model_track,Options:GeneOnly]&amp;mk=520443:520462|offset_8|00cc00,520396:520415|offset_55|444444,520348:520367|offset_103|444444,520328:520347|offset_123|444444&amp;v=520242:520547&amp;c=444444", "offset 8")</f>
        <v>offset 8</v>
      </c>
    </row>
    <row r="1702" customFormat="false" ht="12.8" hidden="false" customHeight="false" outlineLevel="0" collapsed="false">
      <c r="A1702" s="0" t="s">
        <v>12</v>
      </c>
      <c r="B1702" s="0" t="n">
        <v>520395</v>
      </c>
      <c r="C1702" s="0" t="n">
        <v>520415</v>
      </c>
      <c r="D1702" s="0" t="s">
        <v>5689</v>
      </c>
      <c r="E1702" s="0" t="s">
        <v>75</v>
      </c>
      <c r="F1702" s="0" t="s">
        <v>90</v>
      </c>
      <c r="G1702" s="0" t="s">
        <v>16</v>
      </c>
      <c r="H1702" s="0" t="n">
        <v>55</v>
      </c>
      <c r="I1702" s="0" t="s">
        <v>5693</v>
      </c>
      <c r="J1702" s="0" t="s">
        <v>5694</v>
      </c>
      <c r="K1702" s="0" t="s">
        <v>5695</v>
      </c>
      <c r="L1702" s="0" t="str">
        <f aca="false">HYPERLINK("https://www.ncbi.nlm.nih.gov/nuccore/CP000058.1?report=graph&amp;tracks=[key:gene_model_track,Options:GeneOnly]&amp;mk=520443:520462|offset_8|444444,520396:520415|offset_55|00cc00,520348:520367|offset_103|444444,520328:520347|offset_123|444444&amp;v=520242:520547&amp;c=444444", "offset 55")</f>
        <v>offset 55</v>
      </c>
    </row>
    <row r="1703" customFormat="false" ht="12.8" hidden="false" customHeight="false" outlineLevel="0" collapsed="false">
      <c r="A1703" s="0" t="s">
        <v>12</v>
      </c>
      <c r="B1703" s="0" t="n">
        <v>520347</v>
      </c>
      <c r="C1703" s="0" t="n">
        <v>520367</v>
      </c>
      <c r="D1703" s="0" t="s">
        <v>5689</v>
      </c>
      <c r="E1703" s="0" t="s">
        <v>75</v>
      </c>
      <c r="F1703" s="0" t="s">
        <v>90</v>
      </c>
      <c r="G1703" s="0" t="s">
        <v>16</v>
      </c>
      <c r="H1703" s="0" t="n">
        <v>103</v>
      </c>
      <c r="I1703" s="0" t="s">
        <v>5696</v>
      </c>
      <c r="J1703" s="0" t="s">
        <v>5697</v>
      </c>
      <c r="K1703" s="0" t="s">
        <v>5698</v>
      </c>
      <c r="L1703" s="0" t="str">
        <f aca="false">HYPERLINK("https://www.ncbi.nlm.nih.gov/nuccore/CP000058.1?report=graph&amp;tracks=[key:gene_model_track,Options:GeneOnly]&amp;mk=520443:520462|offset_8|444444,520396:520415|offset_55|444444,520348:520367|offset_103|00cc00,520328:520347|offset_123|444444&amp;v=520242:520547&amp;c=444444", "offset 103")</f>
        <v>offset 103</v>
      </c>
    </row>
    <row r="1704" customFormat="false" ht="12.8" hidden="false" customHeight="false" outlineLevel="0" collapsed="false">
      <c r="A1704" s="0" t="s">
        <v>12</v>
      </c>
      <c r="B1704" s="0" t="n">
        <v>520327</v>
      </c>
      <c r="C1704" s="0" t="n">
        <v>520347</v>
      </c>
      <c r="D1704" s="0" t="s">
        <v>5689</v>
      </c>
      <c r="E1704" s="0" t="s">
        <v>75</v>
      </c>
      <c r="F1704" s="0" t="s">
        <v>90</v>
      </c>
      <c r="G1704" s="0" t="s">
        <v>36</v>
      </c>
      <c r="H1704" s="0" t="n">
        <v>123</v>
      </c>
      <c r="I1704" s="0" t="s">
        <v>5699</v>
      </c>
      <c r="J1704" s="0" t="s">
        <v>5700</v>
      </c>
      <c r="K1704" s="0" t="s">
        <v>5701</v>
      </c>
      <c r="L1704" s="0" t="str">
        <f aca="false">HYPERLINK("https://www.ncbi.nlm.nih.gov/nuccore/CP000058.1?report=graph&amp;tracks=[key:gene_model_track,Options:GeneOnly]&amp;mk=520443:520462|offset_8|444444,520396:520415|offset_55|444444,520348:520367|offset_103|444444,520328:520347|offset_123|00cc00&amp;v=520242:520547&amp;c=444444", "offset 123")</f>
        <v>offset 123</v>
      </c>
    </row>
    <row r="1705" customFormat="false" ht="12.8" hidden="false" customHeight="false" outlineLevel="0" collapsed="false">
      <c r="A1705" s="0" t="s">
        <v>12</v>
      </c>
      <c r="B1705" s="0" t="n">
        <v>521359</v>
      </c>
      <c r="C1705" s="0" t="n">
        <v>521379</v>
      </c>
      <c r="D1705" s="0" t="s">
        <v>5702</v>
      </c>
      <c r="E1705" s="0" t="s">
        <v>75</v>
      </c>
      <c r="F1705" s="0" t="s">
        <v>90</v>
      </c>
      <c r="G1705" s="0" t="s">
        <v>32</v>
      </c>
      <c r="H1705" s="0" t="n">
        <v>7</v>
      </c>
      <c r="I1705" s="0" t="s">
        <v>5703</v>
      </c>
      <c r="J1705" s="0" t="s">
        <v>5704</v>
      </c>
      <c r="K1705" s="0" t="s">
        <v>5705</v>
      </c>
      <c r="L1705" s="0" t="str">
        <f aca="false">HYPERLINK("https://www.ncbi.nlm.nih.gov/nuccore/CP000058.1?report=graph&amp;tracks=[key:gene_model_track,Options:GeneOnly]&amp;mk=521360:521379|offset_7|00cc00,521335:521354|offset_32|444444,521309:521328|offset_58|444444,521273:521292|offset_94|444444&amp;v=521159:521492&amp;c=444444", "offset 7")</f>
        <v>offset 7</v>
      </c>
    </row>
    <row r="1706" customFormat="false" ht="12.8" hidden="false" customHeight="false" outlineLevel="0" collapsed="false">
      <c r="A1706" s="0" t="s">
        <v>12</v>
      </c>
      <c r="B1706" s="0" t="n">
        <v>521334</v>
      </c>
      <c r="C1706" s="0" t="n">
        <v>521354</v>
      </c>
      <c r="D1706" s="0" t="s">
        <v>5702</v>
      </c>
      <c r="E1706" s="0" t="s">
        <v>75</v>
      </c>
      <c r="F1706" s="0" t="s">
        <v>90</v>
      </c>
      <c r="G1706" s="0" t="s">
        <v>20</v>
      </c>
      <c r="H1706" s="0" t="n">
        <v>32</v>
      </c>
      <c r="I1706" s="0" t="s">
        <v>5706</v>
      </c>
      <c r="J1706" s="0" t="s">
        <v>5707</v>
      </c>
      <c r="K1706" s="0" t="s">
        <v>5708</v>
      </c>
      <c r="L1706" s="0" t="str">
        <f aca="false">HYPERLINK("https://www.ncbi.nlm.nih.gov/nuccore/CP000058.1?report=graph&amp;tracks=[key:gene_model_track,Options:GeneOnly]&amp;mk=521360:521379|offset_7|444444,521335:521354|offset_32|00cc00,521309:521328|offset_58|444444,521273:521292|offset_94|444444&amp;v=521159:521492&amp;c=444444", "offset 32")</f>
        <v>offset 32</v>
      </c>
    </row>
    <row r="1707" customFormat="false" ht="12.8" hidden="false" customHeight="false" outlineLevel="0" collapsed="false">
      <c r="A1707" s="0" t="s">
        <v>12</v>
      </c>
      <c r="B1707" s="0" t="n">
        <v>521308</v>
      </c>
      <c r="C1707" s="0" t="n">
        <v>521328</v>
      </c>
      <c r="D1707" s="0" t="s">
        <v>5702</v>
      </c>
      <c r="E1707" s="0" t="s">
        <v>75</v>
      </c>
      <c r="F1707" s="0" t="s">
        <v>90</v>
      </c>
      <c r="G1707" s="0" t="s">
        <v>36</v>
      </c>
      <c r="H1707" s="0" t="n">
        <v>58</v>
      </c>
      <c r="I1707" s="0" t="s">
        <v>5709</v>
      </c>
      <c r="J1707" s="0" t="s">
        <v>5710</v>
      </c>
      <c r="K1707" s="0" t="s">
        <v>5711</v>
      </c>
      <c r="L1707" s="0" t="str">
        <f aca="false">HYPERLINK("https://www.ncbi.nlm.nih.gov/nuccore/CP000058.1?report=graph&amp;tracks=[key:gene_model_track,Options:GeneOnly]&amp;mk=521360:521379|offset_7|444444,521335:521354|offset_32|444444,521309:521328|offset_58|00cc00,521273:521292|offset_94|444444&amp;v=521159:521492&amp;c=444444", "offset 58")</f>
        <v>offset 58</v>
      </c>
    </row>
    <row r="1708" customFormat="false" ht="12.8" hidden="false" customHeight="false" outlineLevel="0" collapsed="false">
      <c r="A1708" s="0" t="s">
        <v>12</v>
      </c>
      <c r="B1708" s="0" t="n">
        <v>521272</v>
      </c>
      <c r="C1708" s="0" t="n">
        <v>521292</v>
      </c>
      <c r="D1708" s="0" t="s">
        <v>5702</v>
      </c>
      <c r="E1708" s="0" t="s">
        <v>75</v>
      </c>
      <c r="F1708" s="0" t="s">
        <v>90</v>
      </c>
      <c r="G1708" s="0" t="s">
        <v>20</v>
      </c>
      <c r="H1708" s="0" t="n">
        <v>94</v>
      </c>
      <c r="I1708" s="0" t="s">
        <v>5712</v>
      </c>
      <c r="J1708" s="0" t="s">
        <v>5713</v>
      </c>
      <c r="K1708" s="0" t="s">
        <v>5714</v>
      </c>
      <c r="L1708" s="0" t="str">
        <f aca="false">HYPERLINK("https://www.ncbi.nlm.nih.gov/nuccore/CP000058.1?report=graph&amp;tracks=[key:gene_model_track,Options:GeneOnly]&amp;mk=521360:521379|offset_7|444444,521335:521354|offset_32|444444,521309:521328|offset_58|444444,521273:521292|offset_94|00cc00&amp;v=521159:521492&amp;c=444444", "offset 94")</f>
        <v>offset 94</v>
      </c>
    </row>
    <row r="1709" customFormat="false" ht="12.8" hidden="false" customHeight="false" outlineLevel="0" collapsed="false">
      <c r="A1709" s="0" t="s">
        <v>12</v>
      </c>
      <c r="B1709" s="0" t="n">
        <v>522040</v>
      </c>
      <c r="C1709" s="0" t="n">
        <v>522060</v>
      </c>
      <c r="D1709" s="0" t="s">
        <v>5715</v>
      </c>
      <c r="E1709" s="0" t="s">
        <v>75</v>
      </c>
      <c r="F1709" s="0" t="s">
        <v>90</v>
      </c>
      <c r="G1709" s="0" t="s">
        <v>36</v>
      </c>
      <c r="H1709" s="0" t="n">
        <v>9</v>
      </c>
      <c r="I1709" s="0" t="s">
        <v>5716</v>
      </c>
      <c r="J1709" s="0" t="s">
        <v>5717</v>
      </c>
      <c r="K1709" s="0" t="s">
        <v>5718</v>
      </c>
      <c r="L1709" s="0" t="str">
        <f aca="false">HYPERLINK("https://www.ncbi.nlm.nih.gov/nuccore/CP000058.1?report=graph&amp;tracks=[key:gene_model_track,Options:GeneOnly]&amp;mk=522041:522060|offset_9|00cc00,522001:522020|offset_49|444444,521959:521978|offset_91|444444,521919:521938|offset_131|444444&amp;v=521840:522138&amp;c=444444", "offset 9")</f>
        <v>offset 9</v>
      </c>
    </row>
    <row r="1710" customFormat="false" ht="12.8" hidden="false" customHeight="false" outlineLevel="0" collapsed="false">
      <c r="A1710" s="0" t="s">
        <v>12</v>
      </c>
      <c r="B1710" s="0" t="n">
        <v>522000</v>
      </c>
      <c r="C1710" s="0" t="n">
        <v>522020</v>
      </c>
      <c r="D1710" s="0" t="s">
        <v>5715</v>
      </c>
      <c r="E1710" s="0" t="s">
        <v>75</v>
      </c>
      <c r="F1710" s="0" t="s">
        <v>90</v>
      </c>
      <c r="G1710" s="0" t="s">
        <v>20</v>
      </c>
      <c r="H1710" s="0" t="n">
        <v>49</v>
      </c>
      <c r="I1710" s="0" t="s">
        <v>5719</v>
      </c>
      <c r="J1710" s="0" t="s">
        <v>5720</v>
      </c>
      <c r="K1710" s="0" t="s">
        <v>5721</v>
      </c>
      <c r="L1710" s="0" t="str">
        <f aca="false">HYPERLINK("https://www.ncbi.nlm.nih.gov/nuccore/CP000058.1?report=graph&amp;tracks=[key:gene_model_track,Options:GeneOnly]&amp;mk=522041:522060|offset_9|444444,522001:522020|offset_49|00cc00,521959:521978|offset_91|444444,521919:521938|offset_131|444444&amp;v=521840:522138&amp;c=444444", "offset 49")</f>
        <v>offset 49</v>
      </c>
    </row>
    <row r="1711" customFormat="false" ht="12.8" hidden="false" customHeight="false" outlineLevel="0" collapsed="false">
      <c r="A1711" s="0" t="s">
        <v>12</v>
      </c>
      <c r="B1711" s="0" t="n">
        <v>521958</v>
      </c>
      <c r="C1711" s="0" t="n">
        <v>521978</v>
      </c>
      <c r="D1711" s="0" t="s">
        <v>5715</v>
      </c>
      <c r="E1711" s="0" t="s">
        <v>75</v>
      </c>
      <c r="F1711" s="0" t="s">
        <v>90</v>
      </c>
      <c r="G1711" s="0" t="s">
        <v>32</v>
      </c>
      <c r="H1711" s="0" t="n">
        <v>91</v>
      </c>
      <c r="I1711" s="0" t="s">
        <v>5722</v>
      </c>
      <c r="J1711" s="0" t="s">
        <v>5723</v>
      </c>
      <c r="K1711" s="0" t="s">
        <v>5724</v>
      </c>
      <c r="L1711" s="0" t="str">
        <f aca="false">HYPERLINK("https://www.ncbi.nlm.nih.gov/nuccore/CP000058.1?report=graph&amp;tracks=[key:gene_model_track,Options:GeneOnly]&amp;mk=522041:522060|offset_9|444444,522001:522020|offset_49|444444,521959:521978|offset_91|00cc00,521919:521938|offset_131|444444&amp;v=521840:522138&amp;c=444444", "offset 91")</f>
        <v>offset 91</v>
      </c>
    </row>
    <row r="1712" customFormat="false" ht="12.8" hidden="false" customHeight="false" outlineLevel="0" collapsed="false">
      <c r="A1712" s="0" t="s">
        <v>12</v>
      </c>
      <c r="B1712" s="0" t="n">
        <v>521918</v>
      </c>
      <c r="C1712" s="0" t="n">
        <v>521938</v>
      </c>
      <c r="D1712" s="0" t="s">
        <v>5715</v>
      </c>
      <c r="E1712" s="0" t="s">
        <v>75</v>
      </c>
      <c r="F1712" s="0" t="s">
        <v>90</v>
      </c>
      <c r="G1712" s="0" t="s">
        <v>20</v>
      </c>
      <c r="H1712" s="0" t="n">
        <v>131</v>
      </c>
      <c r="I1712" s="0" t="s">
        <v>5725</v>
      </c>
      <c r="J1712" s="0" t="s">
        <v>5726</v>
      </c>
      <c r="K1712" s="0" t="s">
        <v>5727</v>
      </c>
      <c r="L1712" s="0" t="str">
        <f aca="false">HYPERLINK("https://www.ncbi.nlm.nih.gov/nuccore/CP000058.1?report=graph&amp;tracks=[key:gene_model_track,Options:GeneOnly]&amp;mk=522041:522060|offset_9|444444,522001:522020|offset_49|444444,521959:521978|offset_91|444444,521919:521938|offset_131|00cc00&amp;v=521840:522138&amp;c=444444", "offset 131")</f>
        <v>offset 131</v>
      </c>
    </row>
    <row r="1713" customFormat="false" ht="12.8" hidden="false" customHeight="false" outlineLevel="0" collapsed="false">
      <c r="A1713" s="0" t="s">
        <v>12</v>
      </c>
      <c r="B1713" s="0" t="n">
        <v>523421</v>
      </c>
      <c r="C1713" s="0" t="n">
        <v>523441</v>
      </c>
      <c r="D1713" s="0" t="s">
        <v>5728</v>
      </c>
      <c r="E1713" s="0" t="s">
        <v>75</v>
      </c>
      <c r="F1713" s="0" t="s">
        <v>90</v>
      </c>
      <c r="G1713" s="0" t="s">
        <v>32</v>
      </c>
      <c r="H1713" s="0" t="n">
        <v>11</v>
      </c>
      <c r="I1713" s="0" t="s">
        <v>5729</v>
      </c>
      <c r="J1713" s="0" t="s">
        <v>5730</v>
      </c>
      <c r="K1713" s="0" t="s">
        <v>5731</v>
      </c>
      <c r="L1713" s="0" t="str">
        <f aca="false">HYPERLINK("https://www.ncbi.nlm.nih.gov/nuccore/CP000058.1?report=graph&amp;tracks=[key:gene_model_track,Options:GeneOnly]&amp;mk=523422:523441|offset_11|00cc00,523383:523402|offset_50|444444,523360:523379|offset_73|444444,523311:523330|offset_122|444444&amp;v=523221:523530&amp;c=444444", "offset 11")</f>
        <v>offset 11</v>
      </c>
    </row>
    <row r="1714" customFormat="false" ht="12.8" hidden="false" customHeight="false" outlineLevel="0" collapsed="false">
      <c r="A1714" s="0" t="s">
        <v>12</v>
      </c>
      <c r="B1714" s="0" t="n">
        <v>523382</v>
      </c>
      <c r="C1714" s="0" t="n">
        <v>523402</v>
      </c>
      <c r="D1714" s="0" t="s">
        <v>5728</v>
      </c>
      <c r="E1714" s="0" t="s">
        <v>75</v>
      </c>
      <c r="F1714" s="0" t="s">
        <v>90</v>
      </c>
      <c r="G1714" s="0" t="s">
        <v>36</v>
      </c>
      <c r="H1714" s="0" t="n">
        <v>50</v>
      </c>
      <c r="I1714" s="0" t="s">
        <v>5732</v>
      </c>
      <c r="J1714" s="0" t="s">
        <v>5733</v>
      </c>
      <c r="K1714" s="0" t="s">
        <v>5734</v>
      </c>
      <c r="L1714" s="0" t="str">
        <f aca="false">HYPERLINK("https://www.ncbi.nlm.nih.gov/nuccore/CP000058.1?report=graph&amp;tracks=[key:gene_model_track,Options:GeneOnly]&amp;mk=523422:523441|offset_11|444444,523383:523402|offset_50|00cc00,523360:523379|offset_73|444444,523311:523330|offset_122|444444&amp;v=523221:523530&amp;c=444444", "offset 50")</f>
        <v>offset 50</v>
      </c>
    </row>
    <row r="1715" customFormat="false" ht="12.8" hidden="false" customHeight="false" outlineLevel="0" collapsed="false">
      <c r="A1715" s="0" t="s">
        <v>12</v>
      </c>
      <c r="B1715" s="0" t="n">
        <v>523359</v>
      </c>
      <c r="C1715" s="0" t="n">
        <v>523379</v>
      </c>
      <c r="D1715" s="0" t="s">
        <v>5728</v>
      </c>
      <c r="E1715" s="0" t="s">
        <v>75</v>
      </c>
      <c r="F1715" s="0" t="s">
        <v>90</v>
      </c>
      <c r="G1715" s="0" t="s">
        <v>16</v>
      </c>
      <c r="H1715" s="0" t="n">
        <v>73</v>
      </c>
      <c r="I1715" s="0" t="s">
        <v>5735</v>
      </c>
      <c r="J1715" s="0" t="s">
        <v>5736</v>
      </c>
      <c r="K1715" s="0" t="s">
        <v>5737</v>
      </c>
      <c r="L1715" s="0" t="str">
        <f aca="false">HYPERLINK("https://www.ncbi.nlm.nih.gov/nuccore/CP000058.1?report=graph&amp;tracks=[key:gene_model_track,Options:GeneOnly]&amp;mk=523422:523441|offset_11|444444,523383:523402|offset_50|444444,523360:523379|offset_73|00cc00,523311:523330|offset_122|444444&amp;v=523221:523530&amp;c=444444", "offset 73")</f>
        <v>offset 73</v>
      </c>
    </row>
    <row r="1716" customFormat="false" ht="12.8" hidden="false" customHeight="false" outlineLevel="0" collapsed="false">
      <c r="A1716" s="0" t="s">
        <v>12</v>
      </c>
      <c r="B1716" s="0" t="n">
        <v>523310</v>
      </c>
      <c r="C1716" s="0" t="n">
        <v>523330</v>
      </c>
      <c r="D1716" s="0" t="s">
        <v>5728</v>
      </c>
      <c r="E1716" s="0" t="s">
        <v>75</v>
      </c>
      <c r="F1716" s="0" t="s">
        <v>90</v>
      </c>
      <c r="G1716" s="0" t="s">
        <v>20</v>
      </c>
      <c r="H1716" s="0" t="n">
        <v>122</v>
      </c>
      <c r="I1716" s="0" t="s">
        <v>5738</v>
      </c>
      <c r="J1716" s="0" t="s">
        <v>5739</v>
      </c>
      <c r="K1716" s="0" t="s">
        <v>5740</v>
      </c>
      <c r="L1716" s="0" t="str">
        <f aca="false">HYPERLINK("https://www.ncbi.nlm.nih.gov/nuccore/CP000058.1?report=graph&amp;tracks=[key:gene_model_track,Options:GeneOnly]&amp;mk=523422:523441|offset_11|444444,523383:523402|offset_50|444444,523360:523379|offset_73|444444,523311:523330|offset_122|00cc00&amp;v=523221:523530&amp;c=444444", "offset 122")</f>
        <v>offset 122</v>
      </c>
    </row>
    <row r="1717" customFormat="false" ht="12.8" hidden="false" customHeight="false" outlineLevel="0" collapsed="false">
      <c r="A1717" s="0" t="s">
        <v>12</v>
      </c>
      <c r="B1717" s="0" t="n">
        <v>523795</v>
      </c>
      <c r="C1717" s="0" t="n">
        <v>523815</v>
      </c>
      <c r="D1717" s="0" t="s">
        <v>5741</v>
      </c>
      <c r="E1717" s="0" t="s">
        <v>5742</v>
      </c>
      <c r="F1717" s="0" t="s">
        <v>15</v>
      </c>
      <c r="G1717" s="0" t="s">
        <v>20</v>
      </c>
      <c r="H1717" s="0" t="n">
        <v>6</v>
      </c>
      <c r="I1717" s="0" t="s">
        <v>5743</v>
      </c>
      <c r="J1717" s="0" t="s">
        <v>5744</v>
      </c>
      <c r="K1717" s="0" t="s">
        <v>5745</v>
      </c>
      <c r="L1717" s="0" t="str">
        <f aca="false">HYPERLINK("https://www.ncbi.nlm.nih.gov/nuccore/CP000058.1?report=graph&amp;tracks=[key:gene_model_track,Options:GeneOnly]&amp;mk=523796:523815|offset_6|00cc00,523818:523837|offset_28|444444,523839:523858|offset_49|444444,523863:523882|offset_73|444444&amp;v=523595:524082&amp;c=444444", "offset 6")</f>
        <v>offset 6</v>
      </c>
    </row>
    <row r="1718" customFormat="false" ht="12.8" hidden="false" customHeight="false" outlineLevel="0" collapsed="false">
      <c r="A1718" s="0" t="s">
        <v>12</v>
      </c>
      <c r="B1718" s="0" t="n">
        <v>523817</v>
      </c>
      <c r="C1718" s="0" t="n">
        <v>523837</v>
      </c>
      <c r="D1718" s="0" t="s">
        <v>5741</v>
      </c>
      <c r="E1718" s="0" t="s">
        <v>5742</v>
      </c>
      <c r="F1718" s="0" t="s">
        <v>15</v>
      </c>
      <c r="G1718" s="0" t="s">
        <v>32</v>
      </c>
      <c r="H1718" s="0" t="n">
        <v>28</v>
      </c>
      <c r="I1718" s="0" t="s">
        <v>5746</v>
      </c>
      <c r="J1718" s="0" t="s">
        <v>5747</v>
      </c>
      <c r="K1718" s="0" t="s">
        <v>5748</v>
      </c>
      <c r="L1718" s="0" t="str">
        <f aca="false">HYPERLINK("https://www.ncbi.nlm.nih.gov/nuccore/CP000058.1?report=graph&amp;tracks=[key:gene_model_track,Options:GeneOnly]&amp;mk=523796:523815|offset_6|444444,523818:523837|offset_28|00cc00,523839:523858|offset_49|444444,523863:523882|offset_73|444444&amp;v=523595:524082&amp;c=444444", "offset 28")</f>
        <v>offset 28</v>
      </c>
    </row>
    <row r="1719" customFormat="false" ht="12.8" hidden="false" customHeight="false" outlineLevel="0" collapsed="false">
      <c r="A1719" s="0" t="s">
        <v>12</v>
      </c>
      <c r="B1719" s="0" t="n">
        <v>523838</v>
      </c>
      <c r="C1719" s="0" t="n">
        <v>523858</v>
      </c>
      <c r="D1719" s="0" t="s">
        <v>5741</v>
      </c>
      <c r="E1719" s="0" t="s">
        <v>5742</v>
      </c>
      <c r="F1719" s="0" t="s">
        <v>15</v>
      </c>
      <c r="G1719" s="0" t="s">
        <v>16</v>
      </c>
      <c r="H1719" s="0" t="n">
        <v>49</v>
      </c>
      <c r="I1719" s="0" t="s">
        <v>5749</v>
      </c>
      <c r="J1719" s="0" t="s">
        <v>5750</v>
      </c>
      <c r="K1719" s="0" t="s">
        <v>5751</v>
      </c>
      <c r="L1719" s="0" t="str">
        <f aca="false">HYPERLINK("https://www.ncbi.nlm.nih.gov/nuccore/CP000058.1?report=graph&amp;tracks=[key:gene_model_track,Options:GeneOnly]&amp;mk=523796:523815|offset_6|444444,523818:523837|offset_28|444444,523839:523858|offset_49|00cc00,523863:523882|offset_73|444444&amp;v=523595:524082&amp;c=444444", "offset 49")</f>
        <v>offset 49</v>
      </c>
    </row>
    <row r="1720" customFormat="false" ht="12.8" hidden="false" customHeight="false" outlineLevel="0" collapsed="false">
      <c r="A1720" s="0" t="s">
        <v>12</v>
      </c>
      <c r="B1720" s="0" t="n">
        <v>523862</v>
      </c>
      <c r="C1720" s="0" t="n">
        <v>523882</v>
      </c>
      <c r="D1720" s="0" t="s">
        <v>5741</v>
      </c>
      <c r="E1720" s="0" t="s">
        <v>5742</v>
      </c>
      <c r="F1720" s="0" t="s">
        <v>15</v>
      </c>
      <c r="G1720" s="0" t="s">
        <v>32</v>
      </c>
      <c r="H1720" s="0" t="n">
        <v>73</v>
      </c>
      <c r="I1720" s="0" t="s">
        <v>5752</v>
      </c>
      <c r="J1720" s="0" t="s">
        <v>5753</v>
      </c>
      <c r="K1720" s="0" t="s">
        <v>5754</v>
      </c>
      <c r="L1720" s="0" t="str">
        <f aca="false">HYPERLINK("https://www.ncbi.nlm.nih.gov/nuccore/CP000058.1?report=graph&amp;tracks=[key:gene_model_track,Options:GeneOnly]&amp;mk=523796:523815|offset_6|444444,523818:523837|offset_28|444444,523839:523858|offset_49|444444,523863:523882|offset_73|00cc00&amp;v=523595:524082&amp;c=444444", "offset 73")</f>
        <v>offset 73</v>
      </c>
    </row>
    <row r="1721" customFormat="false" ht="12.8" hidden="false" customHeight="false" outlineLevel="0" collapsed="false">
      <c r="A1721" s="0" t="s">
        <v>12</v>
      </c>
      <c r="B1721" s="0" t="n">
        <v>525982</v>
      </c>
      <c r="C1721" s="0" t="n">
        <v>526002</v>
      </c>
      <c r="D1721" s="0" t="s">
        <v>5755</v>
      </c>
      <c r="E1721" s="0" t="s">
        <v>75</v>
      </c>
      <c r="F1721" s="0" t="s">
        <v>90</v>
      </c>
      <c r="G1721" s="0" t="s">
        <v>32</v>
      </c>
      <c r="H1721" s="0" t="n">
        <v>28</v>
      </c>
      <c r="I1721" s="0" t="s">
        <v>5756</v>
      </c>
      <c r="J1721" s="0" t="s">
        <v>5757</v>
      </c>
      <c r="K1721" s="0" t="s">
        <v>5758</v>
      </c>
      <c r="L1721" s="0" t="str">
        <f aca="false">HYPERLINK("https://www.ncbi.nlm.nih.gov/nuccore/CP000058.1?report=graph&amp;tracks=[key:gene_model_track,Options:GeneOnly]&amp;mk=525983:526002|offset_28|00cc00,525922:525941|offset_89|444444,525843:525862|offset_168|444444,525821:525840|offset_190|444444&amp;v=525782:526040&amp;c=444444", "offset 28")</f>
        <v>offset 28</v>
      </c>
    </row>
    <row r="1722" customFormat="false" ht="12.8" hidden="false" customHeight="false" outlineLevel="0" collapsed="false">
      <c r="A1722" s="0" t="s">
        <v>12</v>
      </c>
      <c r="B1722" s="0" t="n">
        <v>525921</v>
      </c>
      <c r="C1722" s="0" t="n">
        <v>525941</v>
      </c>
      <c r="D1722" s="0" t="s">
        <v>5755</v>
      </c>
      <c r="E1722" s="0" t="s">
        <v>75</v>
      </c>
      <c r="F1722" s="0" t="s">
        <v>90</v>
      </c>
      <c r="G1722" s="0" t="s">
        <v>20</v>
      </c>
      <c r="H1722" s="0" t="n">
        <v>89</v>
      </c>
      <c r="I1722" s="0" t="s">
        <v>5759</v>
      </c>
      <c r="J1722" s="0" t="s">
        <v>5760</v>
      </c>
      <c r="K1722" s="0" t="s">
        <v>5761</v>
      </c>
      <c r="L1722" s="0" t="str">
        <f aca="false">HYPERLINK("https://www.ncbi.nlm.nih.gov/nuccore/CP000058.1?report=graph&amp;tracks=[key:gene_model_track,Options:GeneOnly]&amp;mk=525983:526002|offset_28|444444,525922:525941|offset_89|00cc00,525843:525862|offset_168|444444,525821:525840|offset_190|444444&amp;v=525782:526040&amp;c=444444", "offset 89")</f>
        <v>offset 89</v>
      </c>
    </row>
    <row r="1723" customFormat="false" ht="12.8" hidden="false" customHeight="false" outlineLevel="0" collapsed="false">
      <c r="A1723" s="0" t="s">
        <v>12</v>
      </c>
      <c r="B1723" s="0" t="n">
        <v>525842</v>
      </c>
      <c r="C1723" s="0" t="n">
        <v>525862</v>
      </c>
      <c r="D1723" s="0" t="s">
        <v>5755</v>
      </c>
      <c r="E1723" s="0" t="s">
        <v>75</v>
      </c>
      <c r="F1723" s="0" t="s">
        <v>90</v>
      </c>
      <c r="G1723" s="0" t="s">
        <v>16</v>
      </c>
      <c r="H1723" s="0" t="n">
        <v>168</v>
      </c>
      <c r="I1723" s="0" t="s">
        <v>5762</v>
      </c>
      <c r="J1723" s="0" t="s">
        <v>5763</v>
      </c>
      <c r="K1723" s="0" t="s">
        <v>5764</v>
      </c>
      <c r="L1723" s="0" t="str">
        <f aca="false">HYPERLINK("https://www.ncbi.nlm.nih.gov/nuccore/CP000058.1?report=graph&amp;tracks=[key:gene_model_track,Options:GeneOnly]&amp;mk=525983:526002|offset_28|444444,525922:525941|offset_89|444444,525843:525862|offset_168|00cc00,525821:525840|offset_190|444444&amp;v=525782:526040&amp;c=444444", "offset 168")</f>
        <v>offset 168</v>
      </c>
    </row>
    <row r="1724" customFormat="false" ht="12.8" hidden="false" customHeight="false" outlineLevel="0" collapsed="false">
      <c r="A1724" s="0" t="s">
        <v>12</v>
      </c>
      <c r="B1724" s="0" t="n">
        <v>525820</v>
      </c>
      <c r="C1724" s="0" t="n">
        <v>525840</v>
      </c>
      <c r="D1724" s="0" t="s">
        <v>5755</v>
      </c>
      <c r="E1724" s="0" t="s">
        <v>75</v>
      </c>
      <c r="F1724" s="0" t="s">
        <v>90</v>
      </c>
      <c r="G1724" s="0" t="s">
        <v>16</v>
      </c>
      <c r="H1724" s="0" t="n">
        <v>190</v>
      </c>
      <c r="I1724" s="0" t="s">
        <v>5765</v>
      </c>
      <c r="J1724" s="0" t="s">
        <v>5766</v>
      </c>
      <c r="K1724" s="0" t="s">
        <v>5767</v>
      </c>
      <c r="L1724" s="0" t="str">
        <f aca="false">HYPERLINK("https://www.ncbi.nlm.nih.gov/nuccore/CP000058.1?report=graph&amp;tracks=[key:gene_model_track,Options:GeneOnly]&amp;mk=525983:526002|offset_28|444444,525922:525941|offset_89|444444,525843:525862|offset_168|444444,525821:525840|offset_190|00cc00&amp;v=525782:526040&amp;c=444444", "offset 190")</f>
        <v>offset 190</v>
      </c>
    </row>
    <row r="1725" customFormat="false" ht="12.8" hidden="false" customHeight="false" outlineLevel="0" collapsed="false">
      <c r="A1725" s="0" t="s">
        <v>12</v>
      </c>
      <c r="B1725" s="0" t="n">
        <v>527227</v>
      </c>
      <c r="C1725" s="0" t="n">
        <v>527247</v>
      </c>
      <c r="D1725" s="0" t="s">
        <v>5768</v>
      </c>
      <c r="E1725" s="0" t="s">
        <v>75</v>
      </c>
      <c r="F1725" s="0" t="s">
        <v>90</v>
      </c>
      <c r="G1725" s="0" t="s">
        <v>36</v>
      </c>
      <c r="H1725" s="0" t="n">
        <v>7</v>
      </c>
      <c r="I1725" s="0" t="s">
        <v>5769</v>
      </c>
      <c r="J1725" s="0" t="s">
        <v>5770</v>
      </c>
      <c r="K1725" s="0" t="s">
        <v>5771</v>
      </c>
      <c r="L1725" s="0" t="str">
        <f aca="false">HYPERLINK("https://www.ncbi.nlm.nih.gov/nuccore/CP000058.1?report=graph&amp;tracks=[key:gene_model_track,Options:GeneOnly]&amp;mk=527228:527247|offset_7|00cc00,527208:527227|offset_27|444444,527170:527189|offset_65|444444,527145:527164|offset_90|444444&amp;v=527027:527364&amp;c=444444", "offset 7")</f>
        <v>offset 7</v>
      </c>
    </row>
    <row r="1726" customFormat="false" ht="12.8" hidden="false" customHeight="false" outlineLevel="0" collapsed="false">
      <c r="A1726" s="0" t="s">
        <v>12</v>
      </c>
      <c r="B1726" s="0" t="n">
        <v>527207</v>
      </c>
      <c r="C1726" s="0" t="n">
        <v>527227</v>
      </c>
      <c r="D1726" s="0" t="s">
        <v>5768</v>
      </c>
      <c r="E1726" s="0" t="s">
        <v>75</v>
      </c>
      <c r="F1726" s="0" t="s">
        <v>90</v>
      </c>
      <c r="G1726" s="0" t="s">
        <v>16</v>
      </c>
      <c r="H1726" s="0" t="n">
        <v>27</v>
      </c>
      <c r="I1726" s="0" t="s">
        <v>5772</v>
      </c>
      <c r="J1726" s="0" t="s">
        <v>5773</v>
      </c>
      <c r="K1726" s="0" t="s">
        <v>5774</v>
      </c>
      <c r="L1726" s="0" t="str">
        <f aca="false">HYPERLINK("https://www.ncbi.nlm.nih.gov/nuccore/CP000058.1?report=graph&amp;tracks=[key:gene_model_track,Options:GeneOnly]&amp;mk=527228:527247|offset_7|444444,527208:527227|offset_27|00cc00,527170:527189|offset_65|444444,527145:527164|offset_90|444444&amp;v=527027:527364&amp;c=444444", "offset 27")</f>
        <v>offset 27</v>
      </c>
    </row>
    <row r="1727" customFormat="false" ht="12.8" hidden="false" customHeight="false" outlineLevel="0" collapsed="false">
      <c r="A1727" s="0" t="s">
        <v>12</v>
      </c>
      <c r="B1727" s="0" t="n">
        <v>527169</v>
      </c>
      <c r="C1727" s="0" t="n">
        <v>527189</v>
      </c>
      <c r="D1727" s="0" t="s">
        <v>5768</v>
      </c>
      <c r="E1727" s="0" t="s">
        <v>75</v>
      </c>
      <c r="F1727" s="0" t="s">
        <v>90</v>
      </c>
      <c r="G1727" s="0" t="s">
        <v>36</v>
      </c>
      <c r="H1727" s="0" t="n">
        <v>65</v>
      </c>
      <c r="I1727" s="0" t="s">
        <v>5775</v>
      </c>
      <c r="J1727" s="0" t="s">
        <v>5776</v>
      </c>
      <c r="K1727" s="0" t="s">
        <v>5777</v>
      </c>
      <c r="L1727" s="0" t="str">
        <f aca="false">HYPERLINK("https://www.ncbi.nlm.nih.gov/nuccore/CP000058.1?report=graph&amp;tracks=[key:gene_model_track,Options:GeneOnly]&amp;mk=527228:527247|offset_7|444444,527208:527227|offset_27|444444,527170:527189|offset_65|00cc00,527145:527164|offset_90|444444&amp;v=527027:527364&amp;c=444444", "offset 65")</f>
        <v>offset 65</v>
      </c>
    </row>
    <row r="1728" customFormat="false" ht="12.8" hidden="false" customHeight="false" outlineLevel="0" collapsed="false">
      <c r="A1728" s="0" t="s">
        <v>12</v>
      </c>
      <c r="B1728" s="0" t="n">
        <v>527144</v>
      </c>
      <c r="C1728" s="0" t="n">
        <v>527164</v>
      </c>
      <c r="D1728" s="0" t="s">
        <v>5768</v>
      </c>
      <c r="E1728" s="0" t="s">
        <v>75</v>
      </c>
      <c r="F1728" s="0" t="s">
        <v>90</v>
      </c>
      <c r="G1728" s="0" t="s">
        <v>32</v>
      </c>
      <c r="H1728" s="0" t="n">
        <v>90</v>
      </c>
      <c r="I1728" s="0" t="s">
        <v>5778</v>
      </c>
      <c r="J1728" s="0" t="s">
        <v>5779</v>
      </c>
      <c r="K1728" s="0" t="s">
        <v>5780</v>
      </c>
      <c r="L1728" s="0" t="str">
        <f aca="false">HYPERLINK("https://www.ncbi.nlm.nih.gov/nuccore/CP000058.1?report=graph&amp;tracks=[key:gene_model_track,Options:GeneOnly]&amp;mk=527228:527247|offset_7|444444,527208:527227|offset_27|444444,527170:527189|offset_65|444444,527145:527164|offset_90|00cc00&amp;v=527027:527364&amp;c=444444", "offset 90")</f>
        <v>offset 90</v>
      </c>
    </row>
    <row r="1729" customFormat="false" ht="12.8" hidden="false" customHeight="false" outlineLevel="0" collapsed="false">
      <c r="A1729" s="0" t="s">
        <v>12</v>
      </c>
      <c r="B1729" s="0" t="n">
        <v>527823</v>
      </c>
      <c r="C1729" s="0" t="n">
        <v>527843</v>
      </c>
      <c r="D1729" s="0" t="s">
        <v>5781</v>
      </c>
      <c r="E1729" s="0" t="s">
        <v>5782</v>
      </c>
      <c r="F1729" s="0" t="s">
        <v>90</v>
      </c>
      <c r="G1729" s="0" t="s">
        <v>32</v>
      </c>
      <c r="H1729" s="0" t="n">
        <v>1</v>
      </c>
      <c r="I1729" s="0" t="s">
        <v>5783</v>
      </c>
      <c r="J1729" s="0" t="s">
        <v>5784</v>
      </c>
      <c r="K1729" s="0" t="s">
        <v>5785</v>
      </c>
      <c r="L1729" s="0" t="str">
        <f aca="false">HYPERLINK("https://www.ncbi.nlm.nih.gov/nuccore/CP000058.1?report=graph&amp;tracks=[key:gene_model_track,Options:GeneOnly]&amp;mk=527824:527843|offset_1|00cc00,527797:527816|offset_28|444444,527761:527780|offset_64|444444,527715:527734|offset_110|444444&amp;v=527623:527934&amp;c=444444", "offset 1")</f>
        <v>offset 1</v>
      </c>
    </row>
    <row r="1730" customFormat="false" ht="12.8" hidden="false" customHeight="false" outlineLevel="0" collapsed="false">
      <c r="A1730" s="0" t="s">
        <v>12</v>
      </c>
      <c r="B1730" s="0" t="n">
        <v>527796</v>
      </c>
      <c r="C1730" s="0" t="n">
        <v>527816</v>
      </c>
      <c r="D1730" s="0" t="s">
        <v>5781</v>
      </c>
      <c r="E1730" s="0" t="s">
        <v>5782</v>
      </c>
      <c r="F1730" s="0" t="s">
        <v>90</v>
      </c>
      <c r="G1730" s="0" t="s">
        <v>32</v>
      </c>
      <c r="H1730" s="0" t="n">
        <v>28</v>
      </c>
      <c r="I1730" s="0" t="s">
        <v>5786</v>
      </c>
      <c r="J1730" s="0" t="s">
        <v>5787</v>
      </c>
      <c r="K1730" s="0" t="s">
        <v>5788</v>
      </c>
      <c r="L1730" s="0" t="str">
        <f aca="false">HYPERLINK("https://www.ncbi.nlm.nih.gov/nuccore/CP000058.1?report=graph&amp;tracks=[key:gene_model_track,Options:GeneOnly]&amp;mk=527824:527843|offset_1|444444,527797:527816|offset_28|00cc00,527761:527780|offset_64|444444,527715:527734|offset_110|444444&amp;v=527623:527934&amp;c=444444", "offset 28")</f>
        <v>offset 28</v>
      </c>
    </row>
    <row r="1731" customFormat="false" ht="12.8" hidden="false" customHeight="false" outlineLevel="0" collapsed="false">
      <c r="A1731" s="0" t="s">
        <v>12</v>
      </c>
      <c r="B1731" s="0" t="n">
        <v>527760</v>
      </c>
      <c r="C1731" s="0" t="n">
        <v>527780</v>
      </c>
      <c r="D1731" s="0" t="s">
        <v>5781</v>
      </c>
      <c r="E1731" s="0" t="s">
        <v>5782</v>
      </c>
      <c r="F1731" s="0" t="s">
        <v>90</v>
      </c>
      <c r="G1731" s="0" t="s">
        <v>32</v>
      </c>
      <c r="H1731" s="0" t="n">
        <v>64</v>
      </c>
      <c r="I1731" s="0" t="s">
        <v>5789</v>
      </c>
      <c r="J1731" s="0" t="s">
        <v>5790</v>
      </c>
      <c r="K1731" s="0" t="s">
        <v>5791</v>
      </c>
      <c r="L1731" s="0" t="str">
        <f aca="false">HYPERLINK("https://www.ncbi.nlm.nih.gov/nuccore/CP000058.1?report=graph&amp;tracks=[key:gene_model_track,Options:GeneOnly]&amp;mk=527824:527843|offset_1|444444,527797:527816|offset_28|444444,527761:527780|offset_64|00cc00,527715:527734|offset_110|444444&amp;v=527623:527934&amp;c=444444", "offset 64")</f>
        <v>offset 64</v>
      </c>
    </row>
    <row r="1732" customFormat="false" ht="12.8" hidden="false" customHeight="false" outlineLevel="0" collapsed="false">
      <c r="A1732" s="0" t="s">
        <v>12</v>
      </c>
      <c r="B1732" s="0" t="n">
        <v>527714</v>
      </c>
      <c r="C1732" s="0" t="n">
        <v>527734</v>
      </c>
      <c r="D1732" s="0" t="s">
        <v>5781</v>
      </c>
      <c r="E1732" s="0" t="s">
        <v>5782</v>
      </c>
      <c r="F1732" s="0" t="s">
        <v>90</v>
      </c>
      <c r="G1732" s="0" t="s">
        <v>20</v>
      </c>
      <c r="H1732" s="0" t="n">
        <v>110</v>
      </c>
      <c r="I1732" s="0" t="s">
        <v>5792</v>
      </c>
      <c r="J1732" s="0" t="s">
        <v>5793</v>
      </c>
      <c r="K1732" s="0" t="s">
        <v>5794</v>
      </c>
      <c r="L1732" s="0" t="str">
        <f aca="false">HYPERLINK("https://www.ncbi.nlm.nih.gov/nuccore/CP000058.1?report=graph&amp;tracks=[key:gene_model_track,Options:GeneOnly]&amp;mk=527824:527843|offset_1|444444,527797:527816|offset_28|444444,527761:527780|offset_64|444444,527715:527734|offset_110|00cc00&amp;v=527623:527934&amp;c=444444", "offset 110")</f>
        <v>offset 110</v>
      </c>
    </row>
    <row r="1733" customFormat="false" ht="12.8" hidden="false" customHeight="false" outlineLevel="0" collapsed="false">
      <c r="A1733" s="0" t="s">
        <v>12</v>
      </c>
      <c r="B1733" s="0" t="n">
        <v>528477</v>
      </c>
      <c r="C1733" s="0" t="n">
        <v>528497</v>
      </c>
      <c r="D1733" s="0" t="s">
        <v>5795</v>
      </c>
      <c r="E1733" s="0" t="s">
        <v>5796</v>
      </c>
      <c r="F1733" s="0" t="s">
        <v>90</v>
      </c>
      <c r="G1733" s="0" t="s">
        <v>32</v>
      </c>
      <c r="H1733" s="0" t="n">
        <v>1</v>
      </c>
      <c r="I1733" s="0" t="s">
        <v>5797</v>
      </c>
      <c r="J1733" s="0" t="s">
        <v>5798</v>
      </c>
      <c r="K1733" s="0" t="s">
        <v>5799</v>
      </c>
      <c r="L1733" s="0" t="str">
        <f aca="false">HYPERLINK("https://www.ncbi.nlm.nih.gov/nuccore/CP000058.1?report=graph&amp;tracks=[key:gene_model_track,Options:GeneOnly]&amp;mk=528478:528497|offset_1|00cc00,528440:528459|offset_39|444444,528417:528436|offset_62|444444,528388:528407|offset_91|444444&amp;v=528277:528607&amp;c=444444", "offset 1")</f>
        <v>offset 1</v>
      </c>
    </row>
    <row r="1734" customFormat="false" ht="12.8" hidden="false" customHeight="false" outlineLevel="0" collapsed="false">
      <c r="A1734" s="0" t="s">
        <v>12</v>
      </c>
      <c r="B1734" s="0" t="n">
        <v>528439</v>
      </c>
      <c r="C1734" s="0" t="n">
        <v>528459</v>
      </c>
      <c r="D1734" s="0" t="s">
        <v>5795</v>
      </c>
      <c r="E1734" s="0" t="s">
        <v>5796</v>
      </c>
      <c r="F1734" s="0" t="s">
        <v>90</v>
      </c>
      <c r="G1734" s="0" t="s">
        <v>36</v>
      </c>
      <c r="H1734" s="0" t="n">
        <v>39</v>
      </c>
      <c r="I1734" s="0" t="s">
        <v>5800</v>
      </c>
      <c r="J1734" s="0" t="s">
        <v>5801</v>
      </c>
      <c r="K1734" s="0" t="s">
        <v>5802</v>
      </c>
      <c r="L1734" s="0" t="str">
        <f aca="false">HYPERLINK("https://www.ncbi.nlm.nih.gov/nuccore/CP000058.1?report=graph&amp;tracks=[key:gene_model_track,Options:GeneOnly]&amp;mk=528478:528497|offset_1|444444,528440:528459|offset_39|00cc00,528417:528436|offset_62|444444,528388:528407|offset_91|444444&amp;v=528277:528607&amp;c=444444", "offset 39")</f>
        <v>offset 39</v>
      </c>
    </row>
    <row r="1735" customFormat="false" ht="12.8" hidden="false" customHeight="false" outlineLevel="0" collapsed="false">
      <c r="A1735" s="0" t="s">
        <v>12</v>
      </c>
      <c r="B1735" s="0" t="n">
        <v>528416</v>
      </c>
      <c r="C1735" s="0" t="n">
        <v>528436</v>
      </c>
      <c r="D1735" s="0" t="s">
        <v>5795</v>
      </c>
      <c r="E1735" s="0" t="s">
        <v>5796</v>
      </c>
      <c r="F1735" s="0" t="s">
        <v>90</v>
      </c>
      <c r="G1735" s="0" t="s">
        <v>20</v>
      </c>
      <c r="H1735" s="0" t="n">
        <v>62</v>
      </c>
      <c r="I1735" s="0" t="s">
        <v>5803</v>
      </c>
      <c r="J1735" s="0" t="s">
        <v>5804</v>
      </c>
      <c r="K1735" s="0" t="s">
        <v>5805</v>
      </c>
      <c r="L1735" s="0" t="str">
        <f aca="false">HYPERLINK("https://www.ncbi.nlm.nih.gov/nuccore/CP000058.1?report=graph&amp;tracks=[key:gene_model_track,Options:GeneOnly]&amp;mk=528478:528497|offset_1|444444,528440:528459|offset_39|444444,528417:528436|offset_62|00cc00,528388:528407|offset_91|444444&amp;v=528277:528607&amp;c=444444", "offset 62")</f>
        <v>offset 62</v>
      </c>
    </row>
    <row r="1736" customFormat="false" ht="12.8" hidden="false" customHeight="false" outlineLevel="0" collapsed="false">
      <c r="A1736" s="0" t="s">
        <v>12</v>
      </c>
      <c r="B1736" s="0" t="n">
        <v>528387</v>
      </c>
      <c r="C1736" s="0" t="n">
        <v>528407</v>
      </c>
      <c r="D1736" s="0" t="s">
        <v>5795</v>
      </c>
      <c r="E1736" s="0" t="s">
        <v>5796</v>
      </c>
      <c r="F1736" s="0" t="s">
        <v>90</v>
      </c>
      <c r="G1736" s="0" t="s">
        <v>20</v>
      </c>
      <c r="H1736" s="0" t="n">
        <v>91</v>
      </c>
      <c r="I1736" s="0" t="s">
        <v>5806</v>
      </c>
      <c r="J1736" s="0" t="s">
        <v>5807</v>
      </c>
      <c r="K1736" s="0" t="s">
        <v>5808</v>
      </c>
      <c r="L1736" s="0" t="str">
        <f aca="false">HYPERLINK("https://www.ncbi.nlm.nih.gov/nuccore/CP000058.1?report=graph&amp;tracks=[key:gene_model_track,Options:GeneOnly]&amp;mk=528478:528497|offset_1|444444,528440:528459|offset_39|444444,528417:528436|offset_62|444444,528388:528407|offset_91|00cc00&amp;v=528277:528607&amp;c=444444", "offset 91")</f>
        <v>offset 91</v>
      </c>
    </row>
    <row r="1737" customFormat="false" ht="12.8" hidden="false" customHeight="false" outlineLevel="0" collapsed="false">
      <c r="A1737" s="0" t="s">
        <v>12</v>
      </c>
      <c r="B1737" s="0" t="n">
        <v>529619</v>
      </c>
      <c r="C1737" s="0" t="n">
        <v>529639</v>
      </c>
      <c r="D1737" s="0" t="s">
        <v>5809</v>
      </c>
      <c r="E1737" s="0" t="s">
        <v>5810</v>
      </c>
      <c r="F1737" s="0" t="s">
        <v>90</v>
      </c>
      <c r="G1737" s="0" t="s">
        <v>36</v>
      </c>
      <c r="H1737" s="0" t="n">
        <v>6</v>
      </c>
      <c r="I1737" s="0" t="s">
        <v>5811</v>
      </c>
      <c r="J1737" s="0" t="s">
        <v>5812</v>
      </c>
      <c r="K1737" s="0" t="s">
        <v>5813</v>
      </c>
      <c r="L1737" s="0" t="str">
        <f aca="false">HYPERLINK("https://www.ncbi.nlm.nih.gov/nuccore/CP000058.1?report=graph&amp;tracks=[key:gene_model_track,Options:GeneOnly]&amp;mk=529620:529639|offset_6|00cc00,529581:529600|offset_45|444444,529557:529576|offset_69|444444,529527:529546|offset_99|444444&amp;v=529419:529746&amp;c=444444", "offset 6")</f>
        <v>offset 6</v>
      </c>
    </row>
    <row r="1738" customFormat="false" ht="12.8" hidden="false" customHeight="false" outlineLevel="0" collapsed="false">
      <c r="A1738" s="0" t="s">
        <v>12</v>
      </c>
      <c r="B1738" s="0" t="n">
        <v>529580</v>
      </c>
      <c r="C1738" s="0" t="n">
        <v>529600</v>
      </c>
      <c r="D1738" s="0" t="s">
        <v>5809</v>
      </c>
      <c r="E1738" s="0" t="s">
        <v>5810</v>
      </c>
      <c r="F1738" s="0" t="s">
        <v>90</v>
      </c>
      <c r="G1738" s="0" t="s">
        <v>32</v>
      </c>
      <c r="H1738" s="0" t="n">
        <v>45</v>
      </c>
      <c r="I1738" s="0" t="s">
        <v>5814</v>
      </c>
      <c r="J1738" s="0" t="s">
        <v>5815</v>
      </c>
      <c r="K1738" s="0" t="s">
        <v>5816</v>
      </c>
      <c r="L1738" s="0" t="str">
        <f aca="false">HYPERLINK("https://www.ncbi.nlm.nih.gov/nuccore/CP000058.1?report=graph&amp;tracks=[key:gene_model_track,Options:GeneOnly]&amp;mk=529620:529639|offset_6|444444,529581:529600|offset_45|00cc00,529557:529576|offset_69|444444,529527:529546|offset_99|444444&amp;v=529419:529746&amp;c=444444", "offset 45")</f>
        <v>offset 45</v>
      </c>
    </row>
    <row r="1739" customFormat="false" ht="12.8" hidden="false" customHeight="false" outlineLevel="0" collapsed="false">
      <c r="A1739" s="0" t="s">
        <v>12</v>
      </c>
      <c r="B1739" s="0" t="n">
        <v>529556</v>
      </c>
      <c r="C1739" s="0" t="n">
        <v>529576</v>
      </c>
      <c r="D1739" s="0" t="s">
        <v>5809</v>
      </c>
      <c r="E1739" s="0" t="s">
        <v>5810</v>
      </c>
      <c r="F1739" s="0" t="s">
        <v>90</v>
      </c>
      <c r="G1739" s="0" t="s">
        <v>20</v>
      </c>
      <c r="H1739" s="0" t="n">
        <v>69</v>
      </c>
      <c r="I1739" s="0" t="s">
        <v>5817</v>
      </c>
      <c r="J1739" s="0" t="s">
        <v>5818</v>
      </c>
      <c r="K1739" s="0" t="s">
        <v>5819</v>
      </c>
      <c r="L1739" s="0" t="str">
        <f aca="false">HYPERLINK("https://www.ncbi.nlm.nih.gov/nuccore/CP000058.1?report=graph&amp;tracks=[key:gene_model_track,Options:GeneOnly]&amp;mk=529620:529639|offset_6|444444,529581:529600|offset_45|444444,529557:529576|offset_69|00cc00,529527:529546|offset_99|444444&amp;v=529419:529746&amp;c=444444", "offset 69")</f>
        <v>offset 69</v>
      </c>
    </row>
    <row r="1740" customFormat="false" ht="12.8" hidden="false" customHeight="false" outlineLevel="0" collapsed="false">
      <c r="A1740" s="0" t="s">
        <v>12</v>
      </c>
      <c r="B1740" s="0" t="n">
        <v>529526</v>
      </c>
      <c r="C1740" s="0" t="n">
        <v>529546</v>
      </c>
      <c r="D1740" s="0" t="s">
        <v>5809</v>
      </c>
      <c r="E1740" s="0" t="s">
        <v>5810</v>
      </c>
      <c r="F1740" s="0" t="s">
        <v>90</v>
      </c>
      <c r="G1740" s="0" t="s">
        <v>16</v>
      </c>
      <c r="H1740" s="0" t="n">
        <v>99</v>
      </c>
      <c r="I1740" s="0" t="s">
        <v>5820</v>
      </c>
      <c r="J1740" s="0" t="s">
        <v>5821</v>
      </c>
      <c r="K1740" s="0" t="s">
        <v>5822</v>
      </c>
      <c r="L1740" s="0" t="str">
        <f aca="false">HYPERLINK("https://www.ncbi.nlm.nih.gov/nuccore/CP000058.1?report=graph&amp;tracks=[key:gene_model_track,Options:GeneOnly]&amp;mk=529620:529639|offset_6|444444,529581:529600|offset_45|444444,529557:529576|offset_69|444444,529527:529546|offset_99|00cc00&amp;v=529419:529746&amp;c=444444", "offset 99")</f>
        <v>offset 99</v>
      </c>
    </row>
    <row r="1741" customFormat="false" ht="12.8" hidden="false" customHeight="false" outlineLevel="0" collapsed="false">
      <c r="A1741" s="0" t="s">
        <v>12</v>
      </c>
      <c r="B1741" s="0" t="n">
        <v>530389</v>
      </c>
      <c r="C1741" s="0" t="n">
        <v>530409</v>
      </c>
      <c r="D1741" s="0" t="s">
        <v>5823</v>
      </c>
      <c r="E1741" s="0" t="s">
        <v>75</v>
      </c>
      <c r="F1741" s="0" t="s">
        <v>90</v>
      </c>
      <c r="G1741" s="0" t="s">
        <v>16</v>
      </c>
      <c r="H1741" s="0" t="n">
        <v>19</v>
      </c>
      <c r="I1741" s="0" t="s">
        <v>5824</v>
      </c>
      <c r="J1741" s="0" t="s">
        <v>5825</v>
      </c>
      <c r="K1741" s="0" t="s">
        <v>5826</v>
      </c>
      <c r="L1741" s="0" t="str">
        <f aca="false">HYPERLINK("https://www.ncbi.nlm.nih.gov/nuccore/CP000058.1?report=graph&amp;tracks=[key:gene_model_track,Options:GeneOnly]&amp;mk=530390:530409|offset_19|00cc00,530306:530325|offset_103|444444,530284:530303|offset_125|444444,530264:530283|offset_145|444444&amp;v=530189:530483&amp;c=444444", "offset 19")</f>
        <v>offset 19</v>
      </c>
    </row>
    <row r="1742" customFormat="false" ht="12.8" hidden="false" customHeight="false" outlineLevel="0" collapsed="false">
      <c r="A1742" s="0" t="s">
        <v>12</v>
      </c>
      <c r="B1742" s="0" t="n">
        <v>530305</v>
      </c>
      <c r="C1742" s="0" t="n">
        <v>530325</v>
      </c>
      <c r="D1742" s="0" t="s">
        <v>5823</v>
      </c>
      <c r="E1742" s="0" t="s">
        <v>75</v>
      </c>
      <c r="F1742" s="0" t="s">
        <v>90</v>
      </c>
      <c r="G1742" s="0" t="s">
        <v>32</v>
      </c>
      <c r="H1742" s="0" t="n">
        <v>103</v>
      </c>
      <c r="I1742" s="0" t="s">
        <v>5827</v>
      </c>
      <c r="J1742" s="0" t="s">
        <v>5828</v>
      </c>
      <c r="K1742" s="0" t="s">
        <v>5829</v>
      </c>
      <c r="L1742" s="0" t="str">
        <f aca="false">HYPERLINK("https://www.ncbi.nlm.nih.gov/nuccore/CP000058.1?report=graph&amp;tracks=[key:gene_model_track,Options:GeneOnly]&amp;mk=530390:530409|offset_19|444444,530306:530325|offset_103|00cc00,530284:530303|offset_125|444444,530264:530283|offset_145|444444&amp;v=530189:530483&amp;c=444444", "offset 103")</f>
        <v>offset 103</v>
      </c>
    </row>
    <row r="1743" customFormat="false" ht="12.8" hidden="false" customHeight="false" outlineLevel="0" collapsed="false">
      <c r="A1743" s="0" t="s">
        <v>12</v>
      </c>
      <c r="B1743" s="0" t="n">
        <v>530283</v>
      </c>
      <c r="C1743" s="0" t="n">
        <v>530303</v>
      </c>
      <c r="D1743" s="0" t="s">
        <v>5823</v>
      </c>
      <c r="E1743" s="0" t="s">
        <v>75</v>
      </c>
      <c r="F1743" s="0" t="s">
        <v>90</v>
      </c>
      <c r="G1743" s="0" t="s">
        <v>32</v>
      </c>
      <c r="H1743" s="0" t="n">
        <v>125</v>
      </c>
      <c r="I1743" s="0" t="s">
        <v>5830</v>
      </c>
      <c r="J1743" s="0" t="s">
        <v>5831</v>
      </c>
      <c r="K1743" s="0" t="s">
        <v>5832</v>
      </c>
      <c r="L1743" s="0" t="str">
        <f aca="false">HYPERLINK("https://www.ncbi.nlm.nih.gov/nuccore/CP000058.1?report=graph&amp;tracks=[key:gene_model_track,Options:GeneOnly]&amp;mk=530390:530409|offset_19|444444,530306:530325|offset_103|444444,530284:530303|offset_125|00cc00,530264:530283|offset_145|444444&amp;v=530189:530483&amp;c=444444", "offset 125")</f>
        <v>offset 125</v>
      </c>
    </row>
    <row r="1744" customFormat="false" ht="12.8" hidden="false" customHeight="false" outlineLevel="0" collapsed="false">
      <c r="A1744" s="0" t="s">
        <v>12</v>
      </c>
      <c r="B1744" s="0" t="n">
        <v>530263</v>
      </c>
      <c r="C1744" s="0" t="n">
        <v>530283</v>
      </c>
      <c r="D1744" s="0" t="s">
        <v>5823</v>
      </c>
      <c r="E1744" s="0" t="s">
        <v>75</v>
      </c>
      <c r="F1744" s="0" t="s">
        <v>90</v>
      </c>
      <c r="G1744" s="0" t="s">
        <v>36</v>
      </c>
      <c r="H1744" s="0" t="n">
        <v>145</v>
      </c>
      <c r="I1744" s="0" t="s">
        <v>5833</v>
      </c>
      <c r="J1744" s="0" t="s">
        <v>5834</v>
      </c>
      <c r="K1744" s="0" t="s">
        <v>5835</v>
      </c>
      <c r="L1744" s="0" t="str">
        <f aca="false">HYPERLINK("https://www.ncbi.nlm.nih.gov/nuccore/CP000058.1?report=graph&amp;tracks=[key:gene_model_track,Options:GeneOnly]&amp;mk=530390:530409|offset_19|444444,530306:530325|offset_103|444444,530284:530303|offset_125|444444,530264:530283|offset_145|00cc00&amp;v=530189:530483&amp;c=444444", "offset 145")</f>
        <v>offset 145</v>
      </c>
    </row>
    <row r="1745" customFormat="false" ht="12.8" hidden="false" customHeight="false" outlineLevel="0" collapsed="false">
      <c r="A1745" s="0" t="s">
        <v>12</v>
      </c>
      <c r="B1745" s="0" t="n">
        <v>531271</v>
      </c>
      <c r="C1745" s="0" t="n">
        <v>531291</v>
      </c>
      <c r="D1745" s="0" t="s">
        <v>5836</v>
      </c>
      <c r="E1745" s="0" t="s">
        <v>5837</v>
      </c>
      <c r="F1745" s="0" t="s">
        <v>90</v>
      </c>
      <c r="G1745" s="0" t="s">
        <v>20</v>
      </c>
      <c r="H1745" s="0" t="n">
        <v>17</v>
      </c>
      <c r="I1745" s="0" t="s">
        <v>5838</v>
      </c>
      <c r="J1745" s="0" t="s">
        <v>5839</v>
      </c>
      <c r="K1745" s="0" t="s">
        <v>5840</v>
      </c>
      <c r="L1745" s="0" t="str">
        <f aca="false">HYPERLINK("https://www.ncbi.nlm.nih.gov/nuccore/CP000058.1?report=graph&amp;tracks=[key:gene_model_track,Options:GeneOnly]&amp;mk=531272:531291|offset_17|00cc00,531231:531250|offset_58|444444,531200:531219|offset_89|444444,531180:531199|offset_109|444444&amp;v=531071:531399&amp;c=444444", "offset 17")</f>
        <v>offset 17</v>
      </c>
    </row>
    <row r="1746" customFormat="false" ht="12.8" hidden="false" customHeight="false" outlineLevel="0" collapsed="false">
      <c r="A1746" s="0" t="s">
        <v>12</v>
      </c>
      <c r="B1746" s="0" t="n">
        <v>531230</v>
      </c>
      <c r="C1746" s="0" t="n">
        <v>531250</v>
      </c>
      <c r="D1746" s="0" t="s">
        <v>5836</v>
      </c>
      <c r="E1746" s="0" t="s">
        <v>5837</v>
      </c>
      <c r="F1746" s="0" t="s">
        <v>90</v>
      </c>
      <c r="G1746" s="0" t="s">
        <v>20</v>
      </c>
      <c r="H1746" s="0" t="n">
        <v>58</v>
      </c>
      <c r="I1746" s="0" t="s">
        <v>5841</v>
      </c>
      <c r="J1746" s="0" t="s">
        <v>5842</v>
      </c>
      <c r="K1746" s="0" t="s">
        <v>5843</v>
      </c>
      <c r="L1746" s="0" t="str">
        <f aca="false">HYPERLINK("https://www.ncbi.nlm.nih.gov/nuccore/CP000058.1?report=graph&amp;tracks=[key:gene_model_track,Options:GeneOnly]&amp;mk=531272:531291|offset_17|444444,531231:531250|offset_58|00cc00,531200:531219|offset_89|444444,531180:531199|offset_109|444444&amp;v=531071:531399&amp;c=444444", "offset 58")</f>
        <v>offset 58</v>
      </c>
    </row>
    <row r="1747" customFormat="false" ht="12.8" hidden="false" customHeight="false" outlineLevel="0" collapsed="false">
      <c r="A1747" s="0" t="s">
        <v>12</v>
      </c>
      <c r="B1747" s="0" t="n">
        <v>531199</v>
      </c>
      <c r="C1747" s="0" t="n">
        <v>531219</v>
      </c>
      <c r="D1747" s="0" t="s">
        <v>5836</v>
      </c>
      <c r="E1747" s="0" t="s">
        <v>5837</v>
      </c>
      <c r="F1747" s="0" t="s">
        <v>90</v>
      </c>
      <c r="G1747" s="0" t="s">
        <v>20</v>
      </c>
      <c r="H1747" s="0" t="n">
        <v>89</v>
      </c>
      <c r="I1747" s="0" t="s">
        <v>5844</v>
      </c>
      <c r="J1747" s="0" t="s">
        <v>5845</v>
      </c>
      <c r="K1747" s="0" t="s">
        <v>5846</v>
      </c>
      <c r="L1747" s="0" t="str">
        <f aca="false">HYPERLINK("https://www.ncbi.nlm.nih.gov/nuccore/CP000058.1?report=graph&amp;tracks=[key:gene_model_track,Options:GeneOnly]&amp;mk=531272:531291|offset_17|444444,531231:531250|offset_58|444444,531200:531219|offset_89|00cc00,531180:531199|offset_109|444444&amp;v=531071:531399&amp;c=444444", "offset 89")</f>
        <v>offset 89</v>
      </c>
    </row>
    <row r="1748" customFormat="false" ht="12.8" hidden="false" customHeight="false" outlineLevel="0" collapsed="false">
      <c r="A1748" s="0" t="s">
        <v>12</v>
      </c>
      <c r="B1748" s="0" t="n">
        <v>531179</v>
      </c>
      <c r="C1748" s="0" t="n">
        <v>531199</v>
      </c>
      <c r="D1748" s="0" t="s">
        <v>5836</v>
      </c>
      <c r="E1748" s="0" t="s">
        <v>5837</v>
      </c>
      <c r="F1748" s="0" t="s">
        <v>90</v>
      </c>
      <c r="G1748" s="0" t="s">
        <v>36</v>
      </c>
      <c r="H1748" s="0" t="n">
        <v>109</v>
      </c>
      <c r="I1748" s="0" t="s">
        <v>5847</v>
      </c>
      <c r="J1748" s="0" t="s">
        <v>5848</v>
      </c>
      <c r="K1748" s="0" t="s">
        <v>5849</v>
      </c>
      <c r="L1748" s="0" t="str">
        <f aca="false">HYPERLINK("https://www.ncbi.nlm.nih.gov/nuccore/CP000058.1?report=graph&amp;tracks=[key:gene_model_track,Options:GeneOnly]&amp;mk=531272:531291|offset_17|444444,531231:531250|offset_58|444444,531200:531219|offset_89|444444,531180:531199|offset_109|00cc00&amp;v=531071:531399&amp;c=444444", "offset 109")</f>
        <v>offset 109</v>
      </c>
    </row>
    <row r="1749" customFormat="false" ht="12.8" hidden="false" customHeight="false" outlineLevel="0" collapsed="false">
      <c r="A1749" s="0" t="s">
        <v>12</v>
      </c>
      <c r="B1749" s="0" t="n">
        <v>531954</v>
      </c>
      <c r="C1749" s="0" t="n">
        <v>531974</v>
      </c>
      <c r="D1749" s="0" t="s">
        <v>5850</v>
      </c>
      <c r="E1749" s="0" t="s">
        <v>75</v>
      </c>
      <c r="F1749" s="0" t="s">
        <v>90</v>
      </c>
      <c r="G1749" s="0" t="s">
        <v>32</v>
      </c>
      <c r="H1749" s="0" t="n">
        <v>7</v>
      </c>
      <c r="I1749" s="0" t="s">
        <v>5851</v>
      </c>
      <c r="J1749" s="0" t="s">
        <v>5852</v>
      </c>
      <c r="K1749" s="0" t="s">
        <v>5853</v>
      </c>
      <c r="L1749" s="0" t="str">
        <f aca="false">HYPERLINK("https://www.ncbi.nlm.nih.gov/nuccore/CP000058.1?report=graph&amp;tracks=[key:gene_model_track,Options:GeneOnly]&amp;mk=531955:531974|offset_7|00cc00,531904:531923|offset_58|444444,531884:531903|offset_78|444444,531850:531869|offset_112|444444&amp;v=531754:532069&amp;c=444444", "offset 7")</f>
        <v>offset 7</v>
      </c>
    </row>
    <row r="1750" customFormat="false" ht="12.8" hidden="false" customHeight="false" outlineLevel="0" collapsed="false">
      <c r="A1750" s="0" t="s">
        <v>12</v>
      </c>
      <c r="B1750" s="0" t="n">
        <v>531903</v>
      </c>
      <c r="C1750" s="0" t="n">
        <v>531923</v>
      </c>
      <c r="D1750" s="0" t="s">
        <v>5850</v>
      </c>
      <c r="E1750" s="0" t="s">
        <v>75</v>
      </c>
      <c r="F1750" s="0" t="s">
        <v>90</v>
      </c>
      <c r="G1750" s="0" t="s">
        <v>36</v>
      </c>
      <c r="H1750" s="0" t="n">
        <v>58</v>
      </c>
      <c r="I1750" s="0" t="s">
        <v>5854</v>
      </c>
      <c r="J1750" s="0" t="s">
        <v>5855</v>
      </c>
      <c r="K1750" s="0" t="s">
        <v>5856</v>
      </c>
      <c r="L1750" s="0" t="str">
        <f aca="false">HYPERLINK("https://www.ncbi.nlm.nih.gov/nuccore/CP000058.1?report=graph&amp;tracks=[key:gene_model_track,Options:GeneOnly]&amp;mk=531955:531974|offset_7|444444,531904:531923|offset_58|00cc00,531884:531903|offset_78|444444,531850:531869|offset_112|444444&amp;v=531754:532069&amp;c=444444", "offset 58")</f>
        <v>offset 58</v>
      </c>
    </row>
    <row r="1751" customFormat="false" ht="12.8" hidden="false" customHeight="false" outlineLevel="0" collapsed="false">
      <c r="A1751" s="0" t="s">
        <v>12</v>
      </c>
      <c r="B1751" s="0" t="n">
        <v>531883</v>
      </c>
      <c r="C1751" s="0" t="n">
        <v>531903</v>
      </c>
      <c r="D1751" s="0" t="s">
        <v>5850</v>
      </c>
      <c r="E1751" s="0" t="s">
        <v>75</v>
      </c>
      <c r="F1751" s="0" t="s">
        <v>90</v>
      </c>
      <c r="G1751" s="0" t="s">
        <v>16</v>
      </c>
      <c r="H1751" s="0" t="n">
        <v>78</v>
      </c>
      <c r="I1751" s="0" t="s">
        <v>5857</v>
      </c>
      <c r="J1751" s="0" t="s">
        <v>5858</v>
      </c>
      <c r="K1751" s="0" t="s">
        <v>5859</v>
      </c>
      <c r="L1751" s="0" t="str">
        <f aca="false">HYPERLINK("https://www.ncbi.nlm.nih.gov/nuccore/CP000058.1?report=graph&amp;tracks=[key:gene_model_track,Options:GeneOnly]&amp;mk=531955:531974|offset_7|444444,531904:531923|offset_58|444444,531884:531903|offset_78|00cc00,531850:531869|offset_112|444444&amp;v=531754:532069&amp;c=444444", "offset 78")</f>
        <v>offset 78</v>
      </c>
    </row>
    <row r="1752" customFormat="false" ht="12.8" hidden="false" customHeight="false" outlineLevel="0" collapsed="false">
      <c r="A1752" s="0" t="s">
        <v>12</v>
      </c>
      <c r="B1752" s="0" t="n">
        <v>531849</v>
      </c>
      <c r="C1752" s="0" t="n">
        <v>531869</v>
      </c>
      <c r="D1752" s="0" t="s">
        <v>5850</v>
      </c>
      <c r="E1752" s="0" t="s">
        <v>75</v>
      </c>
      <c r="F1752" s="0" t="s">
        <v>90</v>
      </c>
      <c r="G1752" s="0" t="s">
        <v>32</v>
      </c>
      <c r="H1752" s="0" t="n">
        <v>112</v>
      </c>
      <c r="I1752" s="0" t="s">
        <v>5860</v>
      </c>
      <c r="J1752" s="0" t="s">
        <v>5861</v>
      </c>
      <c r="K1752" s="0" t="s">
        <v>5862</v>
      </c>
      <c r="L1752" s="0" t="str">
        <f aca="false">HYPERLINK("https://www.ncbi.nlm.nih.gov/nuccore/CP000058.1?report=graph&amp;tracks=[key:gene_model_track,Options:GeneOnly]&amp;mk=531955:531974|offset_7|444444,531904:531923|offset_58|444444,531884:531903|offset_78|444444,531850:531869|offset_112|00cc00&amp;v=531754:532069&amp;c=444444", "offset 112")</f>
        <v>offset 112</v>
      </c>
    </row>
    <row r="1753" customFormat="false" ht="12.8" hidden="false" customHeight="false" outlineLevel="0" collapsed="false">
      <c r="A1753" s="0" t="s">
        <v>12</v>
      </c>
      <c r="B1753" s="0" t="n">
        <v>532049</v>
      </c>
      <c r="C1753" s="0" t="n">
        <v>532069</v>
      </c>
      <c r="D1753" s="0" t="s">
        <v>5863</v>
      </c>
      <c r="E1753" s="0" t="s">
        <v>75</v>
      </c>
      <c r="F1753" s="0" t="s">
        <v>15</v>
      </c>
      <c r="G1753" s="0" t="s">
        <v>16</v>
      </c>
      <c r="H1753" s="0" t="n">
        <v>13</v>
      </c>
      <c r="I1753" s="0" t="s">
        <v>5864</v>
      </c>
      <c r="J1753" s="0" t="s">
        <v>5865</v>
      </c>
      <c r="K1753" s="0" t="s">
        <v>5866</v>
      </c>
      <c r="L1753" s="0" t="str">
        <f aca="false">HYPERLINK("https://www.ncbi.nlm.nih.gov/nuccore/CP000058.1?report=graph&amp;tracks=[key:gene_model_track,Options:GeneOnly]&amp;mk=532050:532069|offset_13|00cc00,532071:532090|offset_34|444444,532096:532115|offset_59|444444,532123:532142|offset_86|444444&amp;v=531849:532342&amp;c=444444", "offset 13")</f>
        <v>offset 13</v>
      </c>
    </row>
    <row r="1754" customFormat="false" ht="12.8" hidden="false" customHeight="false" outlineLevel="0" collapsed="false">
      <c r="A1754" s="0" t="s">
        <v>12</v>
      </c>
      <c r="B1754" s="0" t="n">
        <v>532070</v>
      </c>
      <c r="C1754" s="0" t="n">
        <v>532090</v>
      </c>
      <c r="D1754" s="0" t="s">
        <v>5863</v>
      </c>
      <c r="E1754" s="0" t="s">
        <v>75</v>
      </c>
      <c r="F1754" s="0" t="s">
        <v>15</v>
      </c>
      <c r="G1754" s="0" t="s">
        <v>32</v>
      </c>
      <c r="H1754" s="0" t="n">
        <v>34</v>
      </c>
      <c r="I1754" s="0" t="s">
        <v>5867</v>
      </c>
      <c r="J1754" s="0" t="s">
        <v>5868</v>
      </c>
      <c r="K1754" s="0" t="s">
        <v>5869</v>
      </c>
      <c r="L1754" s="0" t="str">
        <f aca="false">HYPERLINK("https://www.ncbi.nlm.nih.gov/nuccore/CP000058.1?report=graph&amp;tracks=[key:gene_model_track,Options:GeneOnly]&amp;mk=532050:532069|offset_13|444444,532071:532090|offset_34|00cc00,532096:532115|offset_59|444444,532123:532142|offset_86|444444&amp;v=531849:532342&amp;c=444444", "offset 34")</f>
        <v>offset 34</v>
      </c>
    </row>
    <row r="1755" customFormat="false" ht="12.8" hidden="false" customHeight="false" outlineLevel="0" collapsed="false">
      <c r="A1755" s="0" t="s">
        <v>12</v>
      </c>
      <c r="B1755" s="0" t="n">
        <v>532095</v>
      </c>
      <c r="C1755" s="0" t="n">
        <v>532115</v>
      </c>
      <c r="D1755" s="0" t="s">
        <v>5863</v>
      </c>
      <c r="E1755" s="0" t="s">
        <v>75</v>
      </c>
      <c r="F1755" s="0" t="s">
        <v>15</v>
      </c>
      <c r="G1755" s="0" t="s">
        <v>20</v>
      </c>
      <c r="H1755" s="0" t="n">
        <v>59</v>
      </c>
      <c r="I1755" s="0" t="s">
        <v>5870</v>
      </c>
      <c r="J1755" s="0" t="s">
        <v>5871</v>
      </c>
      <c r="K1755" s="0" t="s">
        <v>5872</v>
      </c>
      <c r="L1755" s="0" t="str">
        <f aca="false">HYPERLINK("https://www.ncbi.nlm.nih.gov/nuccore/CP000058.1?report=graph&amp;tracks=[key:gene_model_track,Options:GeneOnly]&amp;mk=532050:532069|offset_13|444444,532071:532090|offset_34|444444,532096:532115|offset_59|00cc00,532123:532142|offset_86|444444&amp;v=531849:532342&amp;c=444444", "offset 59")</f>
        <v>offset 59</v>
      </c>
    </row>
    <row r="1756" customFormat="false" ht="12.8" hidden="false" customHeight="false" outlineLevel="0" collapsed="false">
      <c r="A1756" s="0" t="s">
        <v>12</v>
      </c>
      <c r="B1756" s="0" t="n">
        <v>532122</v>
      </c>
      <c r="C1756" s="0" t="n">
        <v>532142</v>
      </c>
      <c r="D1756" s="0" t="s">
        <v>5863</v>
      </c>
      <c r="E1756" s="0" t="s">
        <v>75</v>
      </c>
      <c r="F1756" s="0" t="s">
        <v>15</v>
      </c>
      <c r="G1756" s="0" t="s">
        <v>16</v>
      </c>
      <c r="H1756" s="0" t="n">
        <v>86</v>
      </c>
      <c r="I1756" s="0" t="s">
        <v>5873</v>
      </c>
      <c r="J1756" s="0" t="s">
        <v>5874</v>
      </c>
      <c r="K1756" s="0" t="s">
        <v>5875</v>
      </c>
      <c r="L1756" s="0" t="str">
        <f aca="false">HYPERLINK("https://www.ncbi.nlm.nih.gov/nuccore/CP000058.1?report=graph&amp;tracks=[key:gene_model_track,Options:GeneOnly]&amp;mk=532050:532069|offset_13|444444,532071:532090|offset_34|444444,532096:532115|offset_59|444444,532123:532142|offset_86|00cc00&amp;v=531849:532342&amp;c=444444", "offset 86")</f>
        <v>offset 86</v>
      </c>
    </row>
    <row r="1757" customFormat="false" ht="12.8" hidden="false" customHeight="false" outlineLevel="0" collapsed="false">
      <c r="A1757" s="0" t="s">
        <v>12</v>
      </c>
      <c r="B1757" s="0" t="n">
        <v>534014</v>
      </c>
      <c r="C1757" s="0" t="n">
        <v>534034</v>
      </c>
      <c r="D1757" s="0" t="s">
        <v>5876</v>
      </c>
      <c r="E1757" s="0" t="s">
        <v>75</v>
      </c>
      <c r="F1757" s="0" t="s">
        <v>90</v>
      </c>
      <c r="G1757" s="0" t="s">
        <v>36</v>
      </c>
      <c r="H1757" s="0" t="n">
        <v>10</v>
      </c>
      <c r="I1757" s="0" t="s">
        <v>5877</v>
      </c>
      <c r="J1757" s="0" t="s">
        <v>5878</v>
      </c>
      <c r="K1757" s="0" t="s">
        <v>5879</v>
      </c>
      <c r="L1757" s="0" t="str">
        <f aca="false">HYPERLINK("https://www.ncbi.nlm.nih.gov/nuccore/CP000058.1?report=graph&amp;tracks=[key:gene_model_track,Options:GeneOnly]&amp;mk=534015:534034|offset_10|00cc00,533978:533997|offset_47|444444,533907:533926|offset_118|444444,533871:533890|offset_154|444444&amp;v=533814:534090&amp;c=444444", "offset 10")</f>
        <v>offset 10</v>
      </c>
    </row>
    <row r="1758" customFormat="false" ht="12.8" hidden="false" customHeight="false" outlineLevel="0" collapsed="false">
      <c r="A1758" s="0" t="s">
        <v>12</v>
      </c>
      <c r="B1758" s="0" t="n">
        <v>533977</v>
      </c>
      <c r="C1758" s="0" t="n">
        <v>533997</v>
      </c>
      <c r="D1758" s="0" t="s">
        <v>5876</v>
      </c>
      <c r="E1758" s="0" t="s">
        <v>75</v>
      </c>
      <c r="F1758" s="0" t="s">
        <v>90</v>
      </c>
      <c r="G1758" s="0" t="s">
        <v>16</v>
      </c>
      <c r="H1758" s="0" t="n">
        <v>47</v>
      </c>
      <c r="I1758" s="0" t="s">
        <v>5880</v>
      </c>
      <c r="J1758" s="0" t="s">
        <v>5881</v>
      </c>
      <c r="K1758" s="0" t="s">
        <v>5882</v>
      </c>
      <c r="L1758" s="0" t="str">
        <f aca="false">HYPERLINK("https://www.ncbi.nlm.nih.gov/nuccore/CP000058.1?report=graph&amp;tracks=[key:gene_model_track,Options:GeneOnly]&amp;mk=534015:534034|offset_10|444444,533978:533997|offset_47|00cc00,533907:533926|offset_118|444444,533871:533890|offset_154|444444&amp;v=533814:534090&amp;c=444444", "offset 47")</f>
        <v>offset 47</v>
      </c>
    </row>
    <row r="1759" customFormat="false" ht="12.8" hidden="false" customHeight="false" outlineLevel="0" collapsed="false">
      <c r="A1759" s="0" t="s">
        <v>12</v>
      </c>
      <c r="B1759" s="0" t="n">
        <v>533906</v>
      </c>
      <c r="C1759" s="0" t="n">
        <v>533926</v>
      </c>
      <c r="D1759" s="0" t="s">
        <v>5876</v>
      </c>
      <c r="E1759" s="0" t="s">
        <v>75</v>
      </c>
      <c r="F1759" s="0" t="s">
        <v>90</v>
      </c>
      <c r="G1759" s="0" t="s">
        <v>32</v>
      </c>
      <c r="H1759" s="0" t="n">
        <v>118</v>
      </c>
      <c r="I1759" s="0" t="s">
        <v>5883</v>
      </c>
      <c r="J1759" s="0" t="s">
        <v>5884</v>
      </c>
      <c r="K1759" s="0" t="s">
        <v>5885</v>
      </c>
      <c r="L1759" s="0" t="str">
        <f aca="false">HYPERLINK("https://www.ncbi.nlm.nih.gov/nuccore/CP000058.1?report=graph&amp;tracks=[key:gene_model_track,Options:GeneOnly]&amp;mk=534015:534034|offset_10|444444,533978:533997|offset_47|444444,533907:533926|offset_118|00cc00,533871:533890|offset_154|444444&amp;v=533814:534090&amp;c=444444", "offset 118")</f>
        <v>offset 118</v>
      </c>
    </row>
    <row r="1760" customFormat="false" ht="12.8" hidden="false" customHeight="false" outlineLevel="0" collapsed="false">
      <c r="A1760" s="0" t="s">
        <v>12</v>
      </c>
      <c r="B1760" s="0" t="n">
        <v>533870</v>
      </c>
      <c r="C1760" s="0" t="n">
        <v>533890</v>
      </c>
      <c r="D1760" s="0" t="s">
        <v>5876</v>
      </c>
      <c r="E1760" s="0" t="s">
        <v>75</v>
      </c>
      <c r="F1760" s="0" t="s">
        <v>90</v>
      </c>
      <c r="G1760" s="0" t="s">
        <v>16</v>
      </c>
      <c r="H1760" s="0" t="n">
        <v>154</v>
      </c>
      <c r="I1760" s="0" t="s">
        <v>5886</v>
      </c>
      <c r="J1760" s="0" t="s">
        <v>5887</v>
      </c>
      <c r="K1760" s="0" t="s">
        <v>5888</v>
      </c>
      <c r="L1760" s="0" t="str">
        <f aca="false">HYPERLINK("https://www.ncbi.nlm.nih.gov/nuccore/CP000058.1?report=graph&amp;tracks=[key:gene_model_track,Options:GeneOnly]&amp;mk=534015:534034|offset_10|444444,533978:533997|offset_47|444444,533907:533926|offset_118|444444,533871:533890|offset_154|00cc00&amp;v=533814:534090&amp;c=444444", "offset 154")</f>
        <v>offset 154</v>
      </c>
    </row>
    <row r="1761" customFormat="false" ht="12.8" hidden="false" customHeight="false" outlineLevel="0" collapsed="false">
      <c r="A1761" s="0" t="s">
        <v>12</v>
      </c>
      <c r="B1761" s="0" t="n">
        <v>534103</v>
      </c>
      <c r="C1761" s="0" t="n">
        <v>534123</v>
      </c>
      <c r="D1761" s="0" t="s">
        <v>5889</v>
      </c>
      <c r="E1761" s="0" t="s">
        <v>75</v>
      </c>
      <c r="F1761" s="0" t="s">
        <v>15</v>
      </c>
      <c r="G1761" s="0" t="s">
        <v>20</v>
      </c>
      <c r="H1761" s="0" t="n">
        <v>10</v>
      </c>
      <c r="I1761" s="0" t="s">
        <v>5890</v>
      </c>
      <c r="J1761" s="0" t="s">
        <v>5891</v>
      </c>
      <c r="K1761" s="0" t="s">
        <v>5892</v>
      </c>
      <c r="L1761" s="0" t="str">
        <f aca="false">HYPERLINK("https://www.ncbi.nlm.nih.gov/nuccore/CP000058.1?report=graph&amp;tracks=[key:gene_model_track,Options:GeneOnly]&amp;mk=534104:534123|offset_10|00cc00,534141:534160|offset_47|444444,534162:534181|offset_68|444444,534193:534212|offset_99|444444&amp;v=533903:534412&amp;c=444444", "offset 10")</f>
        <v>offset 10</v>
      </c>
    </row>
    <row r="1762" customFormat="false" ht="12.8" hidden="false" customHeight="false" outlineLevel="0" collapsed="false">
      <c r="A1762" s="0" t="s">
        <v>12</v>
      </c>
      <c r="B1762" s="0" t="n">
        <v>534140</v>
      </c>
      <c r="C1762" s="0" t="n">
        <v>534160</v>
      </c>
      <c r="D1762" s="0" t="s">
        <v>5889</v>
      </c>
      <c r="E1762" s="0" t="s">
        <v>75</v>
      </c>
      <c r="F1762" s="0" t="s">
        <v>15</v>
      </c>
      <c r="G1762" s="0" t="s">
        <v>20</v>
      </c>
      <c r="H1762" s="0" t="n">
        <v>47</v>
      </c>
      <c r="I1762" s="0" t="s">
        <v>5893</v>
      </c>
      <c r="J1762" s="0" t="s">
        <v>5894</v>
      </c>
      <c r="K1762" s="0" t="s">
        <v>5895</v>
      </c>
      <c r="L1762" s="0" t="str">
        <f aca="false">HYPERLINK("https://www.ncbi.nlm.nih.gov/nuccore/CP000058.1?report=graph&amp;tracks=[key:gene_model_track,Options:GeneOnly]&amp;mk=534104:534123|offset_10|444444,534141:534160|offset_47|00cc00,534162:534181|offset_68|444444,534193:534212|offset_99|444444&amp;v=533903:534412&amp;c=444444", "offset 47")</f>
        <v>offset 47</v>
      </c>
    </row>
    <row r="1763" customFormat="false" ht="12.8" hidden="false" customHeight="false" outlineLevel="0" collapsed="false">
      <c r="A1763" s="0" t="s">
        <v>12</v>
      </c>
      <c r="B1763" s="0" t="n">
        <v>534161</v>
      </c>
      <c r="C1763" s="0" t="n">
        <v>534181</v>
      </c>
      <c r="D1763" s="0" t="s">
        <v>5889</v>
      </c>
      <c r="E1763" s="0" t="s">
        <v>75</v>
      </c>
      <c r="F1763" s="0" t="s">
        <v>15</v>
      </c>
      <c r="G1763" s="0" t="s">
        <v>20</v>
      </c>
      <c r="H1763" s="0" t="n">
        <v>68</v>
      </c>
      <c r="I1763" s="0" t="s">
        <v>5896</v>
      </c>
      <c r="J1763" s="0" t="s">
        <v>5897</v>
      </c>
      <c r="K1763" s="0" t="s">
        <v>5898</v>
      </c>
      <c r="L1763" s="0" t="str">
        <f aca="false">HYPERLINK("https://www.ncbi.nlm.nih.gov/nuccore/CP000058.1?report=graph&amp;tracks=[key:gene_model_track,Options:GeneOnly]&amp;mk=534104:534123|offset_10|444444,534141:534160|offset_47|444444,534162:534181|offset_68|00cc00,534193:534212|offset_99|444444&amp;v=533903:534412&amp;c=444444", "offset 68")</f>
        <v>offset 68</v>
      </c>
    </row>
    <row r="1764" customFormat="false" ht="12.8" hidden="false" customHeight="false" outlineLevel="0" collapsed="false">
      <c r="A1764" s="0" t="s">
        <v>12</v>
      </c>
      <c r="B1764" s="0" t="n">
        <v>534192</v>
      </c>
      <c r="C1764" s="0" t="n">
        <v>534212</v>
      </c>
      <c r="D1764" s="0" t="s">
        <v>5889</v>
      </c>
      <c r="E1764" s="0" t="s">
        <v>75</v>
      </c>
      <c r="F1764" s="0" t="s">
        <v>15</v>
      </c>
      <c r="G1764" s="0" t="s">
        <v>16</v>
      </c>
      <c r="H1764" s="0" t="n">
        <v>99</v>
      </c>
      <c r="I1764" s="0" t="s">
        <v>5899</v>
      </c>
      <c r="J1764" s="0" t="s">
        <v>5900</v>
      </c>
      <c r="K1764" s="0" t="s">
        <v>5901</v>
      </c>
      <c r="L1764" s="0" t="str">
        <f aca="false">HYPERLINK("https://www.ncbi.nlm.nih.gov/nuccore/CP000058.1?report=graph&amp;tracks=[key:gene_model_track,Options:GeneOnly]&amp;mk=534104:534123|offset_10|444444,534141:534160|offset_47|444444,534162:534181|offset_68|444444,534193:534212|offset_99|00cc00&amp;v=533903:534412&amp;c=444444", "offset 99")</f>
        <v>offset 99</v>
      </c>
    </row>
    <row r="1765" customFormat="false" ht="12.8" hidden="false" customHeight="false" outlineLevel="0" collapsed="false">
      <c r="A1765" s="0" t="s">
        <v>12</v>
      </c>
      <c r="B1765" s="0" t="n">
        <v>536803</v>
      </c>
      <c r="C1765" s="0" t="n">
        <v>536823</v>
      </c>
      <c r="D1765" s="0" t="s">
        <v>5902</v>
      </c>
      <c r="E1765" s="0" t="s">
        <v>75</v>
      </c>
      <c r="F1765" s="0" t="s">
        <v>90</v>
      </c>
      <c r="G1765" s="0" t="s">
        <v>20</v>
      </c>
      <c r="H1765" s="0" t="n">
        <v>17</v>
      </c>
      <c r="I1765" s="0" t="s">
        <v>5903</v>
      </c>
      <c r="J1765" s="0" t="s">
        <v>5904</v>
      </c>
      <c r="K1765" s="0" t="s">
        <v>5905</v>
      </c>
      <c r="L1765" s="0" t="str">
        <f aca="false">HYPERLINK("https://www.ncbi.nlm.nih.gov/nuccore/CP000058.1?report=graph&amp;tracks=[key:gene_model_track,Options:GeneOnly]&amp;mk=536804:536823|offset_17|00cc00,536783:536802|offset_38|444444,536753:536772|offset_68|444444,536727:536746|offset_94|444444&amp;v=536603:536946&amp;c=444444", "offset 17")</f>
        <v>offset 17</v>
      </c>
    </row>
    <row r="1766" customFormat="false" ht="12.8" hidden="false" customHeight="false" outlineLevel="0" collapsed="false">
      <c r="A1766" s="0" t="s">
        <v>12</v>
      </c>
      <c r="B1766" s="0" t="n">
        <v>536782</v>
      </c>
      <c r="C1766" s="0" t="n">
        <v>536802</v>
      </c>
      <c r="D1766" s="0" t="s">
        <v>5902</v>
      </c>
      <c r="E1766" s="0" t="s">
        <v>75</v>
      </c>
      <c r="F1766" s="0" t="s">
        <v>90</v>
      </c>
      <c r="G1766" s="0" t="s">
        <v>36</v>
      </c>
      <c r="H1766" s="0" t="n">
        <v>38</v>
      </c>
      <c r="I1766" s="0" t="s">
        <v>5906</v>
      </c>
      <c r="J1766" s="0" t="s">
        <v>5907</v>
      </c>
      <c r="K1766" s="0" t="s">
        <v>5908</v>
      </c>
      <c r="L1766" s="0" t="str">
        <f aca="false">HYPERLINK("https://www.ncbi.nlm.nih.gov/nuccore/CP000058.1?report=graph&amp;tracks=[key:gene_model_track,Options:GeneOnly]&amp;mk=536804:536823|offset_17|444444,536783:536802|offset_38|00cc00,536753:536772|offset_68|444444,536727:536746|offset_94|444444&amp;v=536603:536946&amp;c=444444", "offset 38")</f>
        <v>offset 38</v>
      </c>
    </row>
    <row r="1767" customFormat="false" ht="12.8" hidden="false" customHeight="false" outlineLevel="0" collapsed="false">
      <c r="A1767" s="0" t="s">
        <v>12</v>
      </c>
      <c r="B1767" s="0" t="n">
        <v>536752</v>
      </c>
      <c r="C1767" s="0" t="n">
        <v>536772</v>
      </c>
      <c r="D1767" s="0" t="s">
        <v>5902</v>
      </c>
      <c r="E1767" s="0" t="s">
        <v>75</v>
      </c>
      <c r="F1767" s="0" t="s">
        <v>90</v>
      </c>
      <c r="G1767" s="0" t="s">
        <v>20</v>
      </c>
      <c r="H1767" s="0" t="n">
        <v>68</v>
      </c>
      <c r="I1767" s="0" t="s">
        <v>5909</v>
      </c>
      <c r="J1767" s="0" t="s">
        <v>5910</v>
      </c>
      <c r="K1767" s="0" t="s">
        <v>5911</v>
      </c>
      <c r="L1767" s="0" t="str">
        <f aca="false">HYPERLINK("https://www.ncbi.nlm.nih.gov/nuccore/CP000058.1?report=graph&amp;tracks=[key:gene_model_track,Options:GeneOnly]&amp;mk=536804:536823|offset_17|444444,536783:536802|offset_38|444444,536753:536772|offset_68|00cc00,536727:536746|offset_94|444444&amp;v=536603:536946&amp;c=444444", "offset 68")</f>
        <v>offset 68</v>
      </c>
    </row>
    <row r="1768" customFormat="false" ht="12.8" hidden="false" customHeight="false" outlineLevel="0" collapsed="false">
      <c r="A1768" s="0" t="s">
        <v>12</v>
      </c>
      <c r="B1768" s="0" t="n">
        <v>536726</v>
      </c>
      <c r="C1768" s="0" t="n">
        <v>536746</v>
      </c>
      <c r="D1768" s="0" t="s">
        <v>5902</v>
      </c>
      <c r="E1768" s="0" t="s">
        <v>75</v>
      </c>
      <c r="F1768" s="0" t="s">
        <v>90</v>
      </c>
      <c r="G1768" s="0" t="s">
        <v>16</v>
      </c>
      <c r="H1768" s="0" t="n">
        <v>94</v>
      </c>
      <c r="I1768" s="0" t="s">
        <v>5912</v>
      </c>
      <c r="J1768" s="0" t="s">
        <v>5913</v>
      </c>
      <c r="K1768" s="0" t="s">
        <v>5914</v>
      </c>
      <c r="L1768" s="0" t="str">
        <f aca="false">HYPERLINK("https://www.ncbi.nlm.nih.gov/nuccore/CP000058.1?report=graph&amp;tracks=[key:gene_model_track,Options:GeneOnly]&amp;mk=536804:536823|offset_17|444444,536783:536802|offset_38|444444,536753:536772|offset_68|444444,536727:536746|offset_94|00cc00&amp;v=536603:536946&amp;c=444444", "offset 94")</f>
        <v>offset 94</v>
      </c>
    </row>
    <row r="1769" customFormat="false" ht="12.8" hidden="false" customHeight="false" outlineLevel="0" collapsed="false">
      <c r="A1769" s="0" t="s">
        <v>12</v>
      </c>
      <c r="B1769" s="0" t="n">
        <v>537812</v>
      </c>
      <c r="C1769" s="0" t="n">
        <v>537832</v>
      </c>
      <c r="D1769" s="0" t="s">
        <v>5915</v>
      </c>
      <c r="E1769" s="0" t="s">
        <v>5916</v>
      </c>
      <c r="F1769" s="0" t="s">
        <v>90</v>
      </c>
      <c r="G1769" s="0" t="s">
        <v>20</v>
      </c>
      <c r="H1769" s="0" t="n">
        <v>9</v>
      </c>
      <c r="I1769" s="0" t="s">
        <v>5917</v>
      </c>
      <c r="J1769" s="0" t="s">
        <v>5918</v>
      </c>
      <c r="K1769" s="0" t="s">
        <v>5919</v>
      </c>
      <c r="L1769" s="0" t="str">
        <f aca="false">HYPERLINK("https://www.ncbi.nlm.nih.gov/nuccore/CP000058.1?report=graph&amp;tracks=[key:gene_model_track,Options:GeneOnly]&amp;mk=537813:537832|offset_9|00cc00,537781:537800|offset_41|444444,537738:537757|offset_84|444444,537707:537726|offset_115|444444&amp;v=537612:537926&amp;c=444444", "offset 9")</f>
        <v>offset 9</v>
      </c>
    </row>
    <row r="1770" customFormat="false" ht="12.8" hidden="false" customHeight="false" outlineLevel="0" collapsed="false">
      <c r="A1770" s="0" t="s">
        <v>12</v>
      </c>
      <c r="B1770" s="0" t="n">
        <v>537780</v>
      </c>
      <c r="C1770" s="0" t="n">
        <v>537800</v>
      </c>
      <c r="D1770" s="0" t="s">
        <v>5915</v>
      </c>
      <c r="E1770" s="0" t="s">
        <v>5916</v>
      </c>
      <c r="F1770" s="0" t="s">
        <v>90</v>
      </c>
      <c r="G1770" s="0" t="s">
        <v>32</v>
      </c>
      <c r="H1770" s="0" t="n">
        <v>41</v>
      </c>
      <c r="I1770" s="0" t="s">
        <v>5920</v>
      </c>
      <c r="J1770" s="0" t="s">
        <v>5921</v>
      </c>
      <c r="K1770" s="0" t="s">
        <v>5922</v>
      </c>
      <c r="L1770" s="0" t="str">
        <f aca="false">HYPERLINK("https://www.ncbi.nlm.nih.gov/nuccore/CP000058.1?report=graph&amp;tracks=[key:gene_model_track,Options:GeneOnly]&amp;mk=537813:537832|offset_9|444444,537781:537800|offset_41|00cc00,537738:537757|offset_84|444444,537707:537726|offset_115|444444&amp;v=537612:537926&amp;c=444444", "offset 41")</f>
        <v>offset 41</v>
      </c>
    </row>
    <row r="1771" customFormat="false" ht="12.8" hidden="false" customHeight="false" outlineLevel="0" collapsed="false">
      <c r="A1771" s="0" t="s">
        <v>12</v>
      </c>
      <c r="B1771" s="0" t="n">
        <v>537737</v>
      </c>
      <c r="C1771" s="0" t="n">
        <v>537757</v>
      </c>
      <c r="D1771" s="0" t="s">
        <v>5915</v>
      </c>
      <c r="E1771" s="0" t="s">
        <v>5916</v>
      </c>
      <c r="F1771" s="0" t="s">
        <v>90</v>
      </c>
      <c r="G1771" s="0" t="s">
        <v>36</v>
      </c>
      <c r="H1771" s="0" t="n">
        <v>84</v>
      </c>
      <c r="I1771" s="0" t="s">
        <v>5923</v>
      </c>
      <c r="J1771" s="0" t="s">
        <v>5924</v>
      </c>
      <c r="K1771" s="0" t="s">
        <v>5925</v>
      </c>
      <c r="L1771" s="0" t="str">
        <f aca="false">HYPERLINK("https://www.ncbi.nlm.nih.gov/nuccore/CP000058.1?report=graph&amp;tracks=[key:gene_model_track,Options:GeneOnly]&amp;mk=537813:537832|offset_9|444444,537781:537800|offset_41|444444,537738:537757|offset_84|00cc00,537707:537726|offset_115|444444&amp;v=537612:537926&amp;c=444444", "offset 84")</f>
        <v>offset 84</v>
      </c>
    </row>
    <row r="1772" customFormat="false" ht="12.8" hidden="false" customHeight="false" outlineLevel="0" collapsed="false">
      <c r="A1772" s="0" t="s">
        <v>12</v>
      </c>
      <c r="B1772" s="0" t="n">
        <v>537706</v>
      </c>
      <c r="C1772" s="0" t="n">
        <v>537726</v>
      </c>
      <c r="D1772" s="0" t="s">
        <v>5915</v>
      </c>
      <c r="E1772" s="0" t="s">
        <v>5916</v>
      </c>
      <c r="F1772" s="0" t="s">
        <v>90</v>
      </c>
      <c r="G1772" s="0" t="s">
        <v>16</v>
      </c>
      <c r="H1772" s="0" t="n">
        <v>115</v>
      </c>
      <c r="I1772" s="0" t="s">
        <v>5926</v>
      </c>
      <c r="J1772" s="0" t="s">
        <v>5927</v>
      </c>
      <c r="K1772" s="0" t="s">
        <v>5928</v>
      </c>
      <c r="L1772" s="0" t="str">
        <f aca="false">HYPERLINK("https://www.ncbi.nlm.nih.gov/nuccore/CP000058.1?report=graph&amp;tracks=[key:gene_model_track,Options:GeneOnly]&amp;mk=537813:537832|offset_9|444444,537781:537800|offset_41|444444,537738:537757|offset_84|444444,537707:537726|offset_115|00cc00&amp;v=537612:537926&amp;c=444444", "offset 115")</f>
        <v>offset 115</v>
      </c>
    </row>
    <row r="1773" customFormat="false" ht="12.8" hidden="false" customHeight="false" outlineLevel="0" collapsed="false">
      <c r="A1773" s="0" t="s">
        <v>12</v>
      </c>
      <c r="B1773" s="0" t="n">
        <v>538338</v>
      </c>
      <c r="C1773" s="0" t="n">
        <v>538358</v>
      </c>
      <c r="D1773" s="0" t="s">
        <v>5929</v>
      </c>
      <c r="E1773" s="0" t="s">
        <v>5930</v>
      </c>
      <c r="F1773" s="0" t="s">
        <v>90</v>
      </c>
      <c r="G1773" s="0" t="s">
        <v>20</v>
      </c>
      <c r="H1773" s="0" t="n">
        <v>8</v>
      </c>
      <c r="I1773" s="0" t="s">
        <v>5931</v>
      </c>
      <c r="J1773" s="0" t="s">
        <v>5932</v>
      </c>
      <c r="K1773" s="0" t="s">
        <v>5933</v>
      </c>
      <c r="L1773" s="0" t="str">
        <f aca="false">HYPERLINK("https://www.ncbi.nlm.nih.gov/nuccore/CP000058.1?report=graph&amp;tracks=[key:gene_model_track,Options:GeneOnly]&amp;mk=538339:538358|offset_8|00cc00,538304:538323|offset_43|444444,538261:538280|offset_86|444444,538220:538239|offset_127|444444&amp;v=538138:538439&amp;c=444444", "offset 8")</f>
        <v>offset 8</v>
      </c>
    </row>
    <row r="1774" customFormat="false" ht="12.8" hidden="false" customHeight="false" outlineLevel="0" collapsed="false">
      <c r="A1774" s="0" t="s">
        <v>12</v>
      </c>
      <c r="B1774" s="0" t="n">
        <v>538303</v>
      </c>
      <c r="C1774" s="0" t="n">
        <v>538323</v>
      </c>
      <c r="D1774" s="0" t="s">
        <v>5929</v>
      </c>
      <c r="E1774" s="0" t="s">
        <v>5930</v>
      </c>
      <c r="F1774" s="0" t="s">
        <v>90</v>
      </c>
      <c r="G1774" s="0" t="s">
        <v>32</v>
      </c>
      <c r="H1774" s="0" t="n">
        <v>43</v>
      </c>
      <c r="I1774" s="0" t="s">
        <v>5934</v>
      </c>
      <c r="J1774" s="0" t="s">
        <v>5935</v>
      </c>
      <c r="K1774" s="0" t="s">
        <v>5936</v>
      </c>
      <c r="L1774" s="0" t="str">
        <f aca="false">HYPERLINK("https://www.ncbi.nlm.nih.gov/nuccore/CP000058.1?report=graph&amp;tracks=[key:gene_model_track,Options:GeneOnly]&amp;mk=538339:538358|offset_8|444444,538304:538323|offset_43|00cc00,538261:538280|offset_86|444444,538220:538239|offset_127|444444&amp;v=538138:538439&amp;c=444444", "offset 43")</f>
        <v>offset 43</v>
      </c>
    </row>
    <row r="1775" customFormat="false" ht="12.8" hidden="false" customHeight="false" outlineLevel="0" collapsed="false">
      <c r="A1775" s="0" t="s">
        <v>12</v>
      </c>
      <c r="B1775" s="0" t="n">
        <v>538260</v>
      </c>
      <c r="C1775" s="0" t="n">
        <v>538280</v>
      </c>
      <c r="D1775" s="0" t="s">
        <v>5929</v>
      </c>
      <c r="E1775" s="0" t="s">
        <v>5930</v>
      </c>
      <c r="F1775" s="0" t="s">
        <v>90</v>
      </c>
      <c r="G1775" s="0" t="s">
        <v>36</v>
      </c>
      <c r="H1775" s="0" t="n">
        <v>86</v>
      </c>
      <c r="I1775" s="0" t="s">
        <v>5937</v>
      </c>
      <c r="J1775" s="0" t="s">
        <v>5938</v>
      </c>
      <c r="K1775" s="0" t="s">
        <v>5939</v>
      </c>
      <c r="L1775" s="0" t="str">
        <f aca="false">HYPERLINK("https://www.ncbi.nlm.nih.gov/nuccore/CP000058.1?report=graph&amp;tracks=[key:gene_model_track,Options:GeneOnly]&amp;mk=538339:538358|offset_8|444444,538304:538323|offset_43|444444,538261:538280|offset_86|00cc00,538220:538239|offset_127|444444&amp;v=538138:538439&amp;c=444444", "offset 86")</f>
        <v>offset 86</v>
      </c>
    </row>
    <row r="1776" customFormat="false" ht="12.8" hidden="false" customHeight="false" outlineLevel="0" collapsed="false">
      <c r="A1776" s="0" t="s">
        <v>12</v>
      </c>
      <c r="B1776" s="0" t="n">
        <v>538219</v>
      </c>
      <c r="C1776" s="0" t="n">
        <v>538239</v>
      </c>
      <c r="D1776" s="0" t="s">
        <v>5929</v>
      </c>
      <c r="E1776" s="0" t="s">
        <v>5930</v>
      </c>
      <c r="F1776" s="0" t="s">
        <v>90</v>
      </c>
      <c r="G1776" s="0" t="s">
        <v>36</v>
      </c>
      <c r="H1776" s="0" t="n">
        <v>127</v>
      </c>
      <c r="I1776" s="0" t="s">
        <v>5940</v>
      </c>
      <c r="J1776" s="0" t="s">
        <v>5941</v>
      </c>
      <c r="K1776" s="0" t="s">
        <v>5942</v>
      </c>
      <c r="L1776" s="0" t="str">
        <f aca="false">HYPERLINK("https://www.ncbi.nlm.nih.gov/nuccore/CP000058.1?report=graph&amp;tracks=[key:gene_model_track,Options:GeneOnly]&amp;mk=538339:538358|offset_8|444444,538304:538323|offset_43|444444,538261:538280|offset_86|444444,538220:538239|offset_127|00cc00&amp;v=538138:538439&amp;c=444444", "offset 127")</f>
        <v>offset 127</v>
      </c>
    </row>
    <row r="1777" customFormat="false" ht="12.8" hidden="false" customHeight="false" outlineLevel="0" collapsed="false">
      <c r="A1777" s="0" t="s">
        <v>12</v>
      </c>
      <c r="B1777" s="0" t="n">
        <v>539022</v>
      </c>
      <c r="C1777" s="0" t="n">
        <v>539042</v>
      </c>
      <c r="D1777" s="0" t="s">
        <v>5943</v>
      </c>
      <c r="E1777" s="0" t="s">
        <v>75</v>
      </c>
      <c r="F1777" s="0" t="s">
        <v>90</v>
      </c>
      <c r="G1777" s="0" t="s">
        <v>16</v>
      </c>
      <c r="H1777" s="0" t="n">
        <v>7</v>
      </c>
      <c r="I1777" s="0" t="s">
        <v>5944</v>
      </c>
      <c r="J1777" s="0" t="s">
        <v>5945</v>
      </c>
      <c r="K1777" s="0" t="s">
        <v>5946</v>
      </c>
      <c r="L1777" s="0" t="str">
        <f aca="false">HYPERLINK("https://www.ncbi.nlm.nih.gov/nuccore/CP000058.1?report=graph&amp;tracks=[key:gene_model_track,Options:GeneOnly]&amp;mk=539023:539042|offset_7|00cc00,538987:539006|offset_43|444444,538957:538976|offset_73|444444,538862:538881|offset_168|444444&amp;v=538822:539081&amp;c=444444", "offset 7")</f>
        <v>offset 7</v>
      </c>
    </row>
    <row r="1778" customFormat="false" ht="12.8" hidden="false" customHeight="false" outlineLevel="0" collapsed="false">
      <c r="A1778" s="0" t="s">
        <v>12</v>
      </c>
      <c r="B1778" s="0" t="n">
        <v>538986</v>
      </c>
      <c r="C1778" s="0" t="n">
        <v>539006</v>
      </c>
      <c r="D1778" s="0" t="s">
        <v>5943</v>
      </c>
      <c r="E1778" s="0" t="s">
        <v>75</v>
      </c>
      <c r="F1778" s="0" t="s">
        <v>90</v>
      </c>
      <c r="G1778" s="0" t="s">
        <v>32</v>
      </c>
      <c r="H1778" s="0" t="n">
        <v>43</v>
      </c>
      <c r="I1778" s="0" t="s">
        <v>5947</v>
      </c>
      <c r="J1778" s="0" t="s">
        <v>5948</v>
      </c>
      <c r="K1778" s="0" t="s">
        <v>5949</v>
      </c>
      <c r="L1778" s="0" t="str">
        <f aca="false">HYPERLINK("https://www.ncbi.nlm.nih.gov/nuccore/CP000058.1?report=graph&amp;tracks=[key:gene_model_track,Options:GeneOnly]&amp;mk=539023:539042|offset_7|444444,538987:539006|offset_43|00cc00,538957:538976|offset_73|444444,538862:538881|offset_168|444444&amp;v=538822:539081&amp;c=444444", "offset 43")</f>
        <v>offset 43</v>
      </c>
    </row>
    <row r="1779" customFormat="false" ht="12.8" hidden="false" customHeight="false" outlineLevel="0" collapsed="false">
      <c r="A1779" s="0" t="s">
        <v>12</v>
      </c>
      <c r="B1779" s="0" t="n">
        <v>538956</v>
      </c>
      <c r="C1779" s="0" t="n">
        <v>538976</v>
      </c>
      <c r="D1779" s="0" t="s">
        <v>5943</v>
      </c>
      <c r="E1779" s="0" t="s">
        <v>75</v>
      </c>
      <c r="F1779" s="0" t="s">
        <v>90</v>
      </c>
      <c r="G1779" s="0" t="s">
        <v>32</v>
      </c>
      <c r="H1779" s="0" t="n">
        <v>73</v>
      </c>
      <c r="I1779" s="0" t="s">
        <v>5950</v>
      </c>
      <c r="J1779" s="0" t="s">
        <v>5951</v>
      </c>
      <c r="K1779" s="0" t="s">
        <v>5952</v>
      </c>
      <c r="L1779" s="0" t="str">
        <f aca="false">HYPERLINK("https://www.ncbi.nlm.nih.gov/nuccore/CP000058.1?report=graph&amp;tracks=[key:gene_model_track,Options:GeneOnly]&amp;mk=539023:539042|offset_7|444444,538987:539006|offset_43|444444,538957:538976|offset_73|00cc00,538862:538881|offset_168|444444&amp;v=538822:539081&amp;c=444444", "offset 73")</f>
        <v>offset 73</v>
      </c>
    </row>
    <row r="1780" customFormat="false" ht="12.8" hidden="false" customHeight="false" outlineLevel="0" collapsed="false">
      <c r="A1780" s="0" t="s">
        <v>12</v>
      </c>
      <c r="B1780" s="0" t="n">
        <v>538861</v>
      </c>
      <c r="C1780" s="0" t="n">
        <v>538881</v>
      </c>
      <c r="D1780" s="0" t="s">
        <v>5943</v>
      </c>
      <c r="E1780" s="0" t="s">
        <v>75</v>
      </c>
      <c r="F1780" s="0" t="s">
        <v>90</v>
      </c>
      <c r="G1780" s="0" t="s">
        <v>20</v>
      </c>
      <c r="H1780" s="0" t="n">
        <v>168</v>
      </c>
      <c r="I1780" s="0" t="s">
        <v>5953</v>
      </c>
      <c r="J1780" s="0" t="s">
        <v>5954</v>
      </c>
      <c r="K1780" s="0" t="s">
        <v>5955</v>
      </c>
      <c r="L1780" s="0" t="str">
        <f aca="false">HYPERLINK("https://www.ncbi.nlm.nih.gov/nuccore/CP000058.1?report=graph&amp;tracks=[key:gene_model_track,Options:GeneOnly]&amp;mk=539023:539042|offset_7|444444,538987:539006|offset_43|444444,538957:538976|offset_73|444444,538862:538881|offset_168|00cc00&amp;v=538822:539081&amp;c=444444", "offset 168")</f>
        <v>offset 168</v>
      </c>
    </row>
    <row r="1781" customFormat="false" ht="12.8" hidden="false" customHeight="false" outlineLevel="0" collapsed="false">
      <c r="A1781" s="0" t="s">
        <v>12</v>
      </c>
      <c r="B1781" s="0" t="n">
        <v>539585</v>
      </c>
      <c r="C1781" s="0" t="n">
        <v>539605</v>
      </c>
      <c r="D1781" s="0" t="s">
        <v>5956</v>
      </c>
      <c r="E1781" s="0" t="s">
        <v>75</v>
      </c>
      <c r="F1781" s="0" t="s">
        <v>90</v>
      </c>
      <c r="G1781" s="0" t="s">
        <v>36</v>
      </c>
      <c r="H1781" s="0" t="n">
        <v>16</v>
      </c>
      <c r="I1781" s="0" t="s">
        <v>5957</v>
      </c>
      <c r="J1781" s="0" t="s">
        <v>5958</v>
      </c>
      <c r="K1781" s="0" t="s">
        <v>5959</v>
      </c>
      <c r="L1781" s="0" t="str">
        <f aca="false">HYPERLINK("https://www.ncbi.nlm.nih.gov/nuccore/CP000058.1?report=graph&amp;tracks=[key:gene_model_track,Options:GeneOnly]&amp;mk=539586:539605|offset_16|00cc00,539553:539572|offset_49|444444,539517:539536|offset_85|444444,539490:539509|offset_112|444444&amp;v=539385:539709&amp;c=444444", "offset 16")</f>
        <v>offset 16</v>
      </c>
    </row>
    <row r="1782" customFormat="false" ht="12.8" hidden="false" customHeight="false" outlineLevel="0" collapsed="false">
      <c r="A1782" s="0" t="s">
        <v>12</v>
      </c>
      <c r="B1782" s="0" t="n">
        <v>539552</v>
      </c>
      <c r="C1782" s="0" t="n">
        <v>539572</v>
      </c>
      <c r="D1782" s="0" t="s">
        <v>5956</v>
      </c>
      <c r="E1782" s="0" t="s">
        <v>75</v>
      </c>
      <c r="F1782" s="0" t="s">
        <v>90</v>
      </c>
      <c r="G1782" s="0" t="s">
        <v>32</v>
      </c>
      <c r="H1782" s="0" t="n">
        <v>49</v>
      </c>
      <c r="I1782" s="0" t="s">
        <v>5960</v>
      </c>
      <c r="J1782" s="0" t="s">
        <v>5961</v>
      </c>
      <c r="K1782" s="0" t="s">
        <v>5962</v>
      </c>
      <c r="L1782" s="0" t="str">
        <f aca="false">HYPERLINK("https://www.ncbi.nlm.nih.gov/nuccore/CP000058.1?report=graph&amp;tracks=[key:gene_model_track,Options:GeneOnly]&amp;mk=539586:539605|offset_16|444444,539553:539572|offset_49|00cc00,539517:539536|offset_85|444444,539490:539509|offset_112|444444&amp;v=539385:539709&amp;c=444444", "offset 49")</f>
        <v>offset 49</v>
      </c>
    </row>
    <row r="1783" customFormat="false" ht="12.8" hidden="false" customHeight="false" outlineLevel="0" collapsed="false">
      <c r="A1783" s="0" t="s">
        <v>12</v>
      </c>
      <c r="B1783" s="0" t="n">
        <v>539516</v>
      </c>
      <c r="C1783" s="0" t="n">
        <v>539536</v>
      </c>
      <c r="D1783" s="0" t="s">
        <v>5956</v>
      </c>
      <c r="E1783" s="0" t="s">
        <v>75</v>
      </c>
      <c r="F1783" s="0" t="s">
        <v>90</v>
      </c>
      <c r="G1783" s="0" t="s">
        <v>20</v>
      </c>
      <c r="H1783" s="0" t="n">
        <v>85</v>
      </c>
      <c r="I1783" s="0" t="s">
        <v>5963</v>
      </c>
      <c r="J1783" s="0" t="s">
        <v>5964</v>
      </c>
      <c r="K1783" s="0" t="s">
        <v>5965</v>
      </c>
      <c r="L1783" s="0" t="str">
        <f aca="false">HYPERLINK("https://www.ncbi.nlm.nih.gov/nuccore/CP000058.1?report=graph&amp;tracks=[key:gene_model_track,Options:GeneOnly]&amp;mk=539586:539605|offset_16|444444,539553:539572|offset_49|444444,539517:539536|offset_85|00cc00,539490:539509|offset_112|444444&amp;v=539385:539709&amp;c=444444", "offset 85")</f>
        <v>offset 85</v>
      </c>
    </row>
    <row r="1784" customFormat="false" ht="12.8" hidden="false" customHeight="false" outlineLevel="0" collapsed="false">
      <c r="A1784" s="0" t="s">
        <v>12</v>
      </c>
      <c r="B1784" s="0" t="n">
        <v>539489</v>
      </c>
      <c r="C1784" s="0" t="n">
        <v>539509</v>
      </c>
      <c r="D1784" s="0" t="s">
        <v>5956</v>
      </c>
      <c r="E1784" s="0" t="s">
        <v>75</v>
      </c>
      <c r="F1784" s="0" t="s">
        <v>90</v>
      </c>
      <c r="G1784" s="0" t="s">
        <v>32</v>
      </c>
      <c r="H1784" s="0" t="n">
        <v>112</v>
      </c>
      <c r="I1784" s="0" t="s">
        <v>5966</v>
      </c>
      <c r="J1784" s="0" t="s">
        <v>5967</v>
      </c>
      <c r="K1784" s="0" t="s">
        <v>5968</v>
      </c>
      <c r="L1784" s="0" t="str">
        <f aca="false">HYPERLINK("https://www.ncbi.nlm.nih.gov/nuccore/CP000058.1?report=graph&amp;tracks=[key:gene_model_track,Options:GeneOnly]&amp;mk=539586:539605|offset_16|444444,539553:539572|offset_49|444444,539517:539536|offset_85|444444,539490:539509|offset_112|00cc00&amp;v=539385:539709&amp;c=444444", "offset 112")</f>
        <v>offset 112</v>
      </c>
    </row>
    <row r="1785" customFormat="false" ht="12.8" hidden="false" customHeight="false" outlineLevel="0" collapsed="false">
      <c r="A1785" s="0" t="s">
        <v>12</v>
      </c>
      <c r="B1785" s="0" t="n">
        <v>540569</v>
      </c>
      <c r="C1785" s="0" t="n">
        <v>540589</v>
      </c>
      <c r="D1785" s="0" t="s">
        <v>5969</v>
      </c>
      <c r="E1785" s="0" t="s">
        <v>75</v>
      </c>
      <c r="F1785" s="0" t="s">
        <v>90</v>
      </c>
      <c r="G1785" s="0" t="s">
        <v>32</v>
      </c>
      <c r="H1785" s="0" t="n">
        <v>1</v>
      </c>
      <c r="I1785" s="0" t="s">
        <v>5970</v>
      </c>
      <c r="J1785" s="0" t="s">
        <v>5971</v>
      </c>
      <c r="K1785" s="0" t="s">
        <v>5972</v>
      </c>
      <c r="L1785" s="0" t="str">
        <f aca="false">HYPERLINK("https://www.ncbi.nlm.nih.gov/nuccore/CP000058.1?report=graph&amp;tracks=[key:gene_model_track,Options:GeneOnly]&amp;mk=540570:540589|offset_1|00cc00,540550:540569|offset_21|444444,540520:540539|offset_51|444444,540476:540495|offset_95|444444&amp;v=540369:540695&amp;c=444444", "offset 1")</f>
        <v>offset 1</v>
      </c>
    </row>
    <row r="1786" customFormat="false" ht="12.8" hidden="false" customHeight="false" outlineLevel="0" collapsed="false">
      <c r="A1786" s="0" t="s">
        <v>12</v>
      </c>
      <c r="B1786" s="0" t="n">
        <v>540549</v>
      </c>
      <c r="C1786" s="0" t="n">
        <v>540569</v>
      </c>
      <c r="D1786" s="0" t="s">
        <v>5969</v>
      </c>
      <c r="E1786" s="0" t="s">
        <v>75</v>
      </c>
      <c r="F1786" s="0" t="s">
        <v>90</v>
      </c>
      <c r="G1786" s="0" t="s">
        <v>36</v>
      </c>
      <c r="H1786" s="0" t="n">
        <v>21</v>
      </c>
      <c r="I1786" s="0" t="s">
        <v>5973</v>
      </c>
      <c r="J1786" s="0" t="s">
        <v>5974</v>
      </c>
      <c r="K1786" s="0" t="s">
        <v>5975</v>
      </c>
      <c r="L1786" s="0" t="str">
        <f aca="false">HYPERLINK("https://www.ncbi.nlm.nih.gov/nuccore/CP000058.1?report=graph&amp;tracks=[key:gene_model_track,Options:GeneOnly]&amp;mk=540570:540589|offset_1|444444,540550:540569|offset_21|00cc00,540520:540539|offset_51|444444,540476:540495|offset_95|444444&amp;v=540369:540695&amp;c=444444", "offset 21")</f>
        <v>offset 21</v>
      </c>
    </row>
    <row r="1787" customFormat="false" ht="12.8" hidden="false" customHeight="false" outlineLevel="0" collapsed="false">
      <c r="A1787" s="0" t="s">
        <v>12</v>
      </c>
      <c r="B1787" s="0" t="n">
        <v>540519</v>
      </c>
      <c r="C1787" s="0" t="n">
        <v>540539</v>
      </c>
      <c r="D1787" s="0" t="s">
        <v>5969</v>
      </c>
      <c r="E1787" s="0" t="s">
        <v>75</v>
      </c>
      <c r="F1787" s="0" t="s">
        <v>90</v>
      </c>
      <c r="G1787" s="0" t="s">
        <v>20</v>
      </c>
      <c r="H1787" s="0" t="n">
        <v>51</v>
      </c>
      <c r="I1787" s="0" t="s">
        <v>5976</v>
      </c>
      <c r="J1787" s="0" t="s">
        <v>5977</v>
      </c>
      <c r="K1787" s="0" t="s">
        <v>5978</v>
      </c>
      <c r="L1787" s="0" t="str">
        <f aca="false">HYPERLINK("https://www.ncbi.nlm.nih.gov/nuccore/CP000058.1?report=graph&amp;tracks=[key:gene_model_track,Options:GeneOnly]&amp;mk=540570:540589|offset_1|444444,540550:540569|offset_21|444444,540520:540539|offset_51|00cc00,540476:540495|offset_95|444444&amp;v=540369:540695&amp;c=444444", "offset 51")</f>
        <v>offset 51</v>
      </c>
    </row>
    <row r="1788" customFormat="false" ht="12.8" hidden="false" customHeight="false" outlineLevel="0" collapsed="false">
      <c r="A1788" s="0" t="s">
        <v>12</v>
      </c>
      <c r="B1788" s="0" t="n">
        <v>540475</v>
      </c>
      <c r="C1788" s="0" t="n">
        <v>540495</v>
      </c>
      <c r="D1788" s="0" t="s">
        <v>5969</v>
      </c>
      <c r="E1788" s="0" t="s">
        <v>75</v>
      </c>
      <c r="F1788" s="0" t="s">
        <v>90</v>
      </c>
      <c r="G1788" s="0" t="s">
        <v>32</v>
      </c>
      <c r="H1788" s="0" t="n">
        <v>95</v>
      </c>
      <c r="I1788" s="0" t="s">
        <v>5979</v>
      </c>
      <c r="J1788" s="0" t="s">
        <v>5980</v>
      </c>
      <c r="K1788" s="0" t="s">
        <v>5981</v>
      </c>
      <c r="L1788" s="0" t="str">
        <f aca="false">HYPERLINK("https://www.ncbi.nlm.nih.gov/nuccore/CP000058.1?report=graph&amp;tracks=[key:gene_model_track,Options:GeneOnly]&amp;mk=540570:540589|offset_1|444444,540550:540569|offset_21|444444,540520:540539|offset_51|444444,540476:540495|offset_95|00cc00&amp;v=540369:540695&amp;c=444444", "offset 95")</f>
        <v>offset 95</v>
      </c>
    </row>
    <row r="1789" customFormat="false" ht="12.8" hidden="false" customHeight="false" outlineLevel="0" collapsed="false">
      <c r="A1789" s="0" t="s">
        <v>12</v>
      </c>
      <c r="B1789" s="0" t="n">
        <v>541695</v>
      </c>
      <c r="C1789" s="0" t="n">
        <v>541715</v>
      </c>
      <c r="D1789" s="0" t="s">
        <v>5982</v>
      </c>
      <c r="E1789" s="0" t="s">
        <v>5983</v>
      </c>
      <c r="F1789" s="0" t="s">
        <v>90</v>
      </c>
      <c r="G1789" s="0" t="s">
        <v>36</v>
      </c>
      <c r="H1789" s="0" t="n">
        <v>0</v>
      </c>
      <c r="I1789" s="0" t="s">
        <v>5984</v>
      </c>
      <c r="J1789" s="0" t="s">
        <v>5985</v>
      </c>
      <c r="K1789" s="0" t="s">
        <v>5986</v>
      </c>
      <c r="L1789" s="0" t="str">
        <f aca="false">HYPERLINK("https://www.ncbi.nlm.nih.gov/nuccore/CP000058.1?report=graph&amp;tracks=[key:gene_model_track,Options:GeneOnly]&amp;mk=541696:541715|offset_0|00cc00,541664:541683|offset_32|444444,541623:541642|offset_73|444444,541565:541584|offset_131|444444&amp;v=541495:541784&amp;c=444444", "offset 0")</f>
        <v>offset 0</v>
      </c>
    </row>
    <row r="1790" customFormat="false" ht="12.8" hidden="false" customHeight="false" outlineLevel="0" collapsed="false">
      <c r="A1790" s="0" t="s">
        <v>12</v>
      </c>
      <c r="B1790" s="0" t="n">
        <v>541663</v>
      </c>
      <c r="C1790" s="0" t="n">
        <v>541683</v>
      </c>
      <c r="D1790" s="0" t="s">
        <v>5982</v>
      </c>
      <c r="E1790" s="0" t="s">
        <v>5983</v>
      </c>
      <c r="F1790" s="0" t="s">
        <v>90</v>
      </c>
      <c r="G1790" s="0" t="s">
        <v>36</v>
      </c>
      <c r="H1790" s="0" t="n">
        <v>32</v>
      </c>
      <c r="I1790" s="0" t="s">
        <v>5987</v>
      </c>
      <c r="J1790" s="0" t="s">
        <v>5988</v>
      </c>
      <c r="K1790" s="0" t="s">
        <v>5989</v>
      </c>
      <c r="L1790" s="0" t="str">
        <f aca="false">HYPERLINK("https://www.ncbi.nlm.nih.gov/nuccore/CP000058.1?report=graph&amp;tracks=[key:gene_model_track,Options:GeneOnly]&amp;mk=541696:541715|offset_0|444444,541664:541683|offset_32|00cc00,541623:541642|offset_73|444444,541565:541584|offset_131|444444&amp;v=541495:541784&amp;c=444444", "offset 32")</f>
        <v>offset 32</v>
      </c>
    </row>
    <row r="1791" customFormat="false" ht="12.8" hidden="false" customHeight="false" outlineLevel="0" collapsed="false">
      <c r="A1791" s="0" t="s">
        <v>12</v>
      </c>
      <c r="B1791" s="0" t="n">
        <v>541622</v>
      </c>
      <c r="C1791" s="0" t="n">
        <v>541642</v>
      </c>
      <c r="D1791" s="0" t="s">
        <v>5982</v>
      </c>
      <c r="E1791" s="0" t="s">
        <v>5983</v>
      </c>
      <c r="F1791" s="0" t="s">
        <v>90</v>
      </c>
      <c r="G1791" s="0" t="s">
        <v>32</v>
      </c>
      <c r="H1791" s="0" t="n">
        <v>73</v>
      </c>
      <c r="I1791" s="0" t="s">
        <v>5990</v>
      </c>
      <c r="J1791" s="0" t="s">
        <v>5991</v>
      </c>
      <c r="K1791" s="0" t="s">
        <v>5992</v>
      </c>
      <c r="L1791" s="0" t="str">
        <f aca="false">HYPERLINK("https://www.ncbi.nlm.nih.gov/nuccore/CP000058.1?report=graph&amp;tracks=[key:gene_model_track,Options:GeneOnly]&amp;mk=541696:541715|offset_0|444444,541664:541683|offset_32|444444,541623:541642|offset_73|00cc00,541565:541584|offset_131|444444&amp;v=541495:541784&amp;c=444444", "offset 73")</f>
        <v>offset 73</v>
      </c>
    </row>
    <row r="1792" customFormat="false" ht="12.8" hidden="false" customHeight="false" outlineLevel="0" collapsed="false">
      <c r="A1792" s="0" t="s">
        <v>12</v>
      </c>
      <c r="B1792" s="0" t="n">
        <v>541564</v>
      </c>
      <c r="C1792" s="0" t="n">
        <v>541584</v>
      </c>
      <c r="D1792" s="0" t="s">
        <v>5982</v>
      </c>
      <c r="E1792" s="0" t="s">
        <v>5983</v>
      </c>
      <c r="F1792" s="0" t="s">
        <v>90</v>
      </c>
      <c r="G1792" s="0" t="s">
        <v>20</v>
      </c>
      <c r="H1792" s="0" t="n">
        <v>131</v>
      </c>
      <c r="I1792" s="0" t="s">
        <v>5993</v>
      </c>
      <c r="J1792" s="0" t="s">
        <v>5994</v>
      </c>
      <c r="K1792" s="0" t="s">
        <v>5995</v>
      </c>
      <c r="L1792" s="0" t="str">
        <f aca="false">HYPERLINK("https://www.ncbi.nlm.nih.gov/nuccore/CP000058.1?report=graph&amp;tracks=[key:gene_model_track,Options:GeneOnly]&amp;mk=541696:541715|offset_0|444444,541664:541683|offset_32|444444,541623:541642|offset_73|444444,541565:541584|offset_131|00cc00&amp;v=541495:541784&amp;c=444444", "offset 131")</f>
        <v>offset 131</v>
      </c>
    </row>
    <row r="1793" customFormat="false" ht="12.8" hidden="false" customHeight="false" outlineLevel="0" collapsed="false">
      <c r="A1793" s="0" t="s">
        <v>12</v>
      </c>
      <c r="B1793" s="0" t="n">
        <v>541975</v>
      </c>
      <c r="C1793" s="0" t="n">
        <v>541995</v>
      </c>
      <c r="D1793" s="0" t="s">
        <v>5996</v>
      </c>
      <c r="E1793" s="0" t="s">
        <v>5997</v>
      </c>
      <c r="F1793" s="0" t="s">
        <v>15</v>
      </c>
      <c r="G1793" s="0" t="s">
        <v>20</v>
      </c>
      <c r="H1793" s="0" t="n">
        <v>16</v>
      </c>
      <c r="I1793" s="0" t="s">
        <v>5998</v>
      </c>
      <c r="J1793" s="0" t="s">
        <v>5999</v>
      </c>
      <c r="K1793" s="0" t="s">
        <v>6000</v>
      </c>
      <c r="L1793" s="0" t="str">
        <f aca="false">HYPERLINK("https://www.ncbi.nlm.nih.gov/nuccore/CP000058.1?report=graph&amp;tracks=[key:gene_model_track,Options:GeneOnly]&amp;mk=541976:541995|offset_16|00cc00,542015:542034|offset_55|444444,542096:542115|offset_136|444444,542116:542135|offset_156|444444&amp;v=541775:542335&amp;c=444444", "offset 16")</f>
        <v>offset 16</v>
      </c>
    </row>
    <row r="1794" customFormat="false" ht="12.8" hidden="false" customHeight="false" outlineLevel="0" collapsed="false">
      <c r="A1794" s="0" t="s">
        <v>12</v>
      </c>
      <c r="B1794" s="0" t="n">
        <v>542014</v>
      </c>
      <c r="C1794" s="0" t="n">
        <v>542034</v>
      </c>
      <c r="D1794" s="0" t="s">
        <v>5996</v>
      </c>
      <c r="E1794" s="0" t="s">
        <v>5997</v>
      </c>
      <c r="F1794" s="0" t="s">
        <v>15</v>
      </c>
      <c r="G1794" s="0" t="s">
        <v>32</v>
      </c>
      <c r="H1794" s="0" t="n">
        <v>55</v>
      </c>
      <c r="I1794" s="0" t="s">
        <v>6001</v>
      </c>
      <c r="J1794" s="0" t="s">
        <v>6002</v>
      </c>
      <c r="K1794" s="0" t="s">
        <v>6003</v>
      </c>
      <c r="L1794" s="0" t="str">
        <f aca="false">HYPERLINK("https://www.ncbi.nlm.nih.gov/nuccore/CP000058.1?report=graph&amp;tracks=[key:gene_model_track,Options:GeneOnly]&amp;mk=541976:541995|offset_16|444444,542015:542034|offset_55|00cc00,542096:542115|offset_136|444444,542116:542135|offset_156|444444&amp;v=541775:542335&amp;c=444444", "offset 55")</f>
        <v>offset 55</v>
      </c>
    </row>
    <row r="1795" customFormat="false" ht="12.8" hidden="false" customHeight="false" outlineLevel="0" collapsed="false">
      <c r="A1795" s="0" t="s">
        <v>12</v>
      </c>
      <c r="B1795" s="0" t="n">
        <v>542095</v>
      </c>
      <c r="C1795" s="0" t="n">
        <v>542115</v>
      </c>
      <c r="D1795" s="0" t="s">
        <v>5996</v>
      </c>
      <c r="E1795" s="0" t="s">
        <v>5997</v>
      </c>
      <c r="F1795" s="0" t="s">
        <v>15</v>
      </c>
      <c r="G1795" s="0" t="s">
        <v>32</v>
      </c>
      <c r="H1795" s="0" t="n">
        <v>136</v>
      </c>
      <c r="I1795" s="0" t="s">
        <v>6004</v>
      </c>
      <c r="J1795" s="0" t="s">
        <v>6005</v>
      </c>
      <c r="K1795" s="0" t="s">
        <v>6006</v>
      </c>
      <c r="L1795" s="0" t="str">
        <f aca="false">HYPERLINK("https://www.ncbi.nlm.nih.gov/nuccore/CP000058.1?report=graph&amp;tracks=[key:gene_model_track,Options:GeneOnly]&amp;mk=541976:541995|offset_16|444444,542015:542034|offset_55|444444,542096:542115|offset_136|00cc00,542116:542135|offset_156|444444&amp;v=541775:542335&amp;c=444444", "offset 136")</f>
        <v>offset 136</v>
      </c>
    </row>
    <row r="1796" customFormat="false" ht="12.8" hidden="false" customHeight="false" outlineLevel="0" collapsed="false">
      <c r="A1796" s="0" t="s">
        <v>12</v>
      </c>
      <c r="B1796" s="0" t="n">
        <v>542115</v>
      </c>
      <c r="C1796" s="0" t="n">
        <v>542135</v>
      </c>
      <c r="D1796" s="0" t="s">
        <v>5996</v>
      </c>
      <c r="E1796" s="0" t="s">
        <v>5997</v>
      </c>
      <c r="F1796" s="0" t="s">
        <v>15</v>
      </c>
      <c r="G1796" s="0" t="s">
        <v>32</v>
      </c>
      <c r="H1796" s="0" t="n">
        <v>156</v>
      </c>
      <c r="I1796" s="0" t="s">
        <v>6007</v>
      </c>
      <c r="J1796" s="0" t="s">
        <v>6008</v>
      </c>
      <c r="K1796" s="0" t="s">
        <v>6009</v>
      </c>
      <c r="L1796" s="0" t="str">
        <f aca="false">HYPERLINK("https://www.ncbi.nlm.nih.gov/nuccore/CP000058.1?report=graph&amp;tracks=[key:gene_model_track,Options:GeneOnly]&amp;mk=541976:541995|offset_16|444444,542015:542034|offset_55|444444,542096:542115|offset_136|444444,542116:542135|offset_156|00cc00&amp;v=541775:542335&amp;c=444444", "offset 156")</f>
        <v>offset 156</v>
      </c>
    </row>
    <row r="1797" customFormat="false" ht="12.8" hidden="false" customHeight="false" outlineLevel="0" collapsed="false">
      <c r="A1797" s="0" t="s">
        <v>12</v>
      </c>
      <c r="B1797" s="0" t="n">
        <v>542416</v>
      </c>
      <c r="C1797" s="0" t="n">
        <v>542436</v>
      </c>
      <c r="D1797" s="0" t="s">
        <v>6010</v>
      </c>
      <c r="E1797" s="0" t="s">
        <v>6011</v>
      </c>
      <c r="F1797" s="0" t="s">
        <v>15</v>
      </c>
      <c r="G1797" s="0" t="s">
        <v>36</v>
      </c>
      <c r="H1797" s="0" t="n">
        <v>0</v>
      </c>
      <c r="I1797" s="0" t="s">
        <v>6012</v>
      </c>
      <c r="J1797" s="0" t="s">
        <v>6013</v>
      </c>
      <c r="K1797" s="0" t="s">
        <v>6014</v>
      </c>
      <c r="L1797" s="0" t="str">
        <f aca="false">HYPERLINK("https://www.ncbi.nlm.nih.gov/nuccore/CP000058.1?report=graph&amp;tracks=[key:gene_model_track,Options:GeneOnly]&amp;mk=542417:542436|offset_0|00cc00,542450:542469|offset_33|444444,542472:542491|offset_55|444444,542511:542530|offset_94|444444&amp;v=542216:542730&amp;c=444444", "offset 0")</f>
        <v>offset 0</v>
      </c>
    </row>
    <row r="1798" customFormat="false" ht="12.8" hidden="false" customHeight="false" outlineLevel="0" collapsed="false">
      <c r="A1798" s="0" t="s">
        <v>12</v>
      </c>
      <c r="B1798" s="0" t="n">
        <v>542449</v>
      </c>
      <c r="C1798" s="0" t="n">
        <v>542469</v>
      </c>
      <c r="D1798" s="0" t="s">
        <v>6010</v>
      </c>
      <c r="E1798" s="0" t="s">
        <v>6011</v>
      </c>
      <c r="F1798" s="0" t="s">
        <v>15</v>
      </c>
      <c r="G1798" s="0" t="s">
        <v>16</v>
      </c>
      <c r="H1798" s="0" t="n">
        <v>33</v>
      </c>
      <c r="I1798" s="0" t="s">
        <v>6015</v>
      </c>
      <c r="J1798" s="0" t="s">
        <v>6016</v>
      </c>
      <c r="K1798" s="0" t="s">
        <v>6017</v>
      </c>
      <c r="L1798" s="0" t="str">
        <f aca="false">HYPERLINK("https://www.ncbi.nlm.nih.gov/nuccore/CP000058.1?report=graph&amp;tracks=[key:gene_model_track,Options:GeneOnly]&amp;mk=542417:542436|offset_0|444444,542450:542469|offset_33|00cc00,542472:542491|offset_55|444444,542511:542530|offset_94|444444&amp;v=542216:542730&amp;c=444444", "offset 33")</f>
        <v>offset 33</v>
      </c>
    </row>
    <row r="1799" customFormat="false" ht="12.8" hidden="false" customHeight="false" outlineLevel="0" collapsed="false">
      <c r="A1799" s="0" t="s">
        <v>12</v>
      </c>
      <c r="B1799" s="0" t="n">
        <v>542471</v>
      </c>
      <c r="C1799" s="0" t="n">
        <v>542491</v>
      </c>
      <c r="D1799" s="0" t="s">
        <v>6010</v>
      </c>
      <c r="E1799" s="0" t="s">
        <v>6011</v>
      </c>
      <c r="F1799" s="0" t="s">
        <v>15</v>
      </c>
      <c r="G1799" s="0" t="s">
        <v>16</v>
      </c>
      <c r="H1799" s="0" t="n">
        <v>55</v>
      </c>
      <c r="I1799" s="0" t="s">
        <v>6018</v>
      </c>
      <c r="J1799" s="0" t="s">
        <v>6019</v>
      </c>
      <c r="K1799" s="0" t="s">
        <v>6020</v>
      </c>
      <c r="L1799" s="0" t="str">
        <f aca="false">HYPERLINK("https://www.ncbi.nlm.nih.gov/nuccore/CP000058.1?report=graph&amp;tracks=[key:gene_model_track,Options:GeneOnly]&amp;mk=542417:542436|offset_0|444444,542450:542469|offset_33|444444,542472:542491|offset_55|00cc00,542511:542530|offset_94|444444&amp;v=542216:542730&amp;c=444444", "offset 55")</f>
        <v>offset 55</v>
      </c>
    </row>
    <row r="1800" customFormat="false" ht="12.8" hidden="false" customHeight="false" outlineLevel="0" collapsed="false">
      <c r="A1800" s="0" t="s">
        <v>12</v>
      </c>
      <c r="B1800" s="0" t="n">
        <v>542510</v>
      </c>
      <c r="C1800" s="0" t="n">
        <v>542530</v>
      </c>
      <c r="D1800" s="0" t="s">
        <v>6010</v>
      </c>
      <c r="E1800" s="0" t="s">
        <v>6011</v>
      </c>
      <c r="F1800" s="0" t="s">
        <v>15</v>
      </c>
      <c r="G1800" s="0" t="s">
        <v>16</v>
      </c>
      <c r="H1800" s="0" t="n">
        <v>94</v>
      </c>
      <c r="I1800" s="0" t="s">
        <v>6021</v>
      </c>
      <c r="J1800" s="0" t="s">
        <v>6022</v>
      </c>
      <c r="K1800" s="0" t="s">
        <v>6023</v>
      </c>
      <c r="L1800" s="0" t="str">
        <f aca="false">HYPERLINK("https://www.ncbi.nlm.nih.gov/nuccore/CP000058.1?report=graph&amp;tracks=[key:gene_model_track,Options:GeneOnly]&amp;mk=542417:542436|offset_0|444444,542450:542469|offset_33|444444,542472:542491|offset_55|444444,542511:542530|offset_94|00cc00&amp;v=542216:542730&amp;c=444444", "offset 94")</f>
        <v>offset 94</v>
      </c>
    </row>
    <row r="1801" customFormat="false" ht="12.8" hidden="false" customHeight="false" outlineLevel="0" collapsed="false">
      <c r="A1801" s="0" t="s">
        <v>12</v>
      </c>
      <c r="B1801" s="0" t="n">
        <v>542797</v>
      </c>
      <c r="C1801" s="0" t="n">
        <v>542817</v>
      </c>
      <c r="D1801" s="0" t="s">
        <v>6024</v>
      </c>
      <c r="E1801" s="0" t="s">
        <v>6025</v>
      </c>
      <c r="F1801" s="0" t="s">
        <v>15</v>
      </c>
      <c r="G1801" s="0" t="s">
        <v>32</v>
      </c>
      <c r="H1801" s="0" t="n">
        <v>1</v>
      </c>
      <c r="I1801" s="0" t="s">
        <v>6026</v>
      </c>
      <c r="J1801" s="0" t="s">
        <v>6027</v>
      </c>
      <c r="K1801" s="0" t="s">
        <v>6028</v>
      </c>
      <c r="L1801" s="0" t="str">
        <f aca="false">HYPERLINK("https://www.ncbi.nlm.nih.gov/nuccore/CP000058.1?report=graph&amp;tracks=[key:gene_model_track,Options:GeneOnly]&amp;mk=542798:542817|offset_1|00cc00,542819:542838|offset_22|444444,542871:542890|offset_74|444444,542919:542938|offset_122|444444&amp;v=542597:543138&amp;c=444444", "offset 1")</f>
        <v>offset 1</v>
      </c>
    </row>
    <row r="1802" customFormat="false" ht="12.8" hidden="false" customHeight="false" outlineLevel="0" collapsed="false">
      <c r="A1802" s="0" t="s">
        <v>12</v>
      </c>
      <c r="B1802" s="0" t="n">
        <v>542818</v>
      </c>
      <c r="C1802" s="0" t="n">
        <v>542838</v>
      </c>
      <c r="D1802" s="0" t="s">
        <v>6024</v>
      </c>
      <c r="E1802" s="0" t="s">
        <v>6025</v>
      </c>
      <c r="F1802" s="0" t="s">
        <v>15</v>
      </c>
      <c r="G1802" s="0" t="s">
        <v>20</v>
      </c>
      <c r="H1802" s="0" t="n">
        <v>22</v>
      </c>
      <c r="I1802" s="0" t="s">
        <v>6029</v>
      </c>
      <c r="J1802" s="0" t="s">
        <v>6030</v>
      </c>
      <c r="K1802" s="0" t="s">
        <v>6031</v>
      </c>
      <c r="L1802" s="0" t="str">
        <f aca="false">HYPERLINK("https://www.ncbi.nlm.nih.gov/nuccore/CP000058.1?report=graph&amp;tracks=[key:gene_model_track,Options:GeneOnly]&amp;mk=542798:542817|offset_1|444444,542819:542838|offset_22|00cc00,542871:542890|offset_74|444444,542919:542938|offset_122|444444&amp;v=542597:543138&amp;c=444444", "offset 22")</f>
        <v>offset 22</v>
      </c>
    </row>
    <row r="1803" customFormat="false" ht="12.8" hidden="false" customHeight="false" outlineLevel="0" collapsed="false">
      <c r="A1803" s="0" t="s">
        <v>12</v>
      </c>
      <c r="B1803" s="0" t="n">
        <v>542870</v>
      </c>
      <c r="C1803" s="0" t="n">
        <v>542890</v>
      </c>
      <c r="D1803" s="0" t="s">
        <v>6024</v>
      </c>
      <c r="E1803" s="0" t="s">
        <v>6025</v>
      </c>
      <c r="F1803" s="0" t="s">
        <v>15</v>
      </c>
      <c r="G1803" s="0" t="s">
        <v>20</v>
      </c>
      <c r="H1803" s="0" t="n">
        <v>74</v>
      </c>
      <c r="I1803" s="0" t="s">
        <v>6032</v>
      </c>
      <c r="J1803" s="0" t="s">
        <v>6033</v>
      </c>
      <c r="K1803" s="0" t="s">
        <v>6034</v>
      </c>
      <c r="L1803" s="0" t="str">
        <f aca="false">HYPERLINK("https://www.ncbi.nlm.nih.gov/nuccore/CP000058.1?report=graph&amp;tracks=[key:gene_model_track,Options:GeneOnly]&amp;mk=542798:542817|offset_1|444444,542819:542838|offset_22|444444,542871:542890|offset_74|00cc00,542919:542938|offset_122|444444&amp;v=542597:543138&amp;c=444444", "offset 74")</f>
        <v>offset 74</v>
      </c>
    </row>
    <row r="1804" customFormat="false" ht="12.8" hidden="false" customHeight="false" outlineLevel="0" collapsed="false">
      <c r="A1804" s="0" t="s">
        <v>12</v>
      </c>
      <c r="B1804" s="0" t="n">
        <v>542918</v>
      </c>
      <c r="C1804" s="0" t="n">
        <v>542938</v>
      </c>
      <c r="D1804" s="0" t="s">
        <v>6024</v>
      </c>
      <c r="E1804" s="0" t="s">
        <v>6025</v>
      </c>
      <c r="F1804" s="0" t="s">
        <v>15</v>
      </c>
      <c r="G1804" s="0" t="s">
        <v>16</v>
      </c>
      <c r="H1804" s="0" t="n">
        <v>122</v>
      </c>
      <c r="I1804" s="0" t="s">
        <v>6035</v>
      </c>
      <c r="J1804" s="0" t="s">
        <v>6036</v>
      </c>
      <c r="K1804" s="0" t="s">
        <v>6037</v>
      </c>
      <c r="L1804" s="0" t="str">
        <f aca="false">HYPERLINK("https://www.ncbi.nlm.nih.gov/nuccore/CP000058.1?report=graph&amp;tracks=[key:gene_model_track,Options:GeneOnly]&amp;mk=542798:542817|offset_1|444444,542819:542838|offset_22|444444,542871:542890|offset_74|444444,542919:542938|offset_122|00cc00&amp;v=542597:543138&amp;c=444444", "offset 122")</f>
        <v>offset 122</v>
      </c>
    </row>
    <row r="1805" customFormat="false" ht="12.8" hidden="false" customHeight="false" outlineLevel="0" collapsed="false">
      <c r="A1805" s="0" t="s">
        <v>12</v>
      </c>
      <c r="B1805" s="0" t="n">
        <v>543425</v>
      </c>
      <c r="C1805" s="0" t="n">
        <v>543445</v>
      </c>
      <c r="D1805" s="0" t="s">
        <v>6038</v>
      </c>
      <c r="E1805" s="0" t="s">
        <v>6039</v>
      </c>
      <c r="F1805" s="0" t="s">
        <v>15</v>
      </c>
      <c r="G1805" s="0" t="s">
        <v>16</v>
      </c>
      <c r="H1805" s="0" t="n">
        <v>41</v>
      </c>
      <c r="I1805" s="0" t="s">
        <v>6040</v>
      </c>
      <c r="J1805" s="0" t="s">
        <v>6041</v>
      </c>
      <c r="K1805" s="0" t="s">
        <v>6042</v>
      </c>
      <c r="L1805" s="0" t="str">
        <f aca="false">HYPERLINK("https://www.ncbi.nlm.nih.gov/nuccore/CP000058.1?report=graph&amp;tracks=[key:gene_model_track,Options:GeneOnly]&amp;mk=543426:543445|offset_41|00cc00,543485:543504|offset_100|444444,543563:543582|offset_178|444444,543584:543603|offset_199|444444&amp;v=543225:543803&amp;c=444444", "offset 41")</f>
        <v>offset 41</v>
      </c>
    </row>
    <row r="1806" customFormat="false" ht="12.8" hidden="false" customHeight="false" outlineLevel="0" collapsed="false">
      <c r="A1806" s="0" t="s">
        <v>12</v>
      </c>
      <c r="B1806" s="0" t="n">
        <v>543484</v>
      </c>
      <c r="C1806" s="0" t="n">
        <v>543504</v>
      </c>
      <c r="D1806" s="0" t="s">
        <v>6038</v>
      </c>
      <c r="E1806" s="0" t="s">
        <v>6039</v>
      </c>
      <c r="F1806" s="0" t="s">
        <v>15</v>
      </c>
      <c r="G1806" s="0" t="s">
        <v>32</v>
      </c>
      <c r="H1806" s="0" t="n">
        <v>100</v>
      </c>
      <c r="I1806" s="0" t="s">
        <v>6043</v>
      </c>
      <c r="J1806" s="0" t="s">
        <v>6044</v>
      </c>
      <c r="K1806" s="0" t="s">
        <v>6045</v>
      </c>
      <c r="L1806" s="0" t="str">
        <f aca="false">HYPERLINK("https://www.ncbi.nlm.nih.gov/nuccore/CP000058.1?report=graph&amp;tracks=[key:gene_model_track,Options:GeneOnly]&amp;mk=543426:543445|offset_41|444444,543485:543504|offset_100|00cc00,543563:543582|offset_178|444444,543584:543603|offset_199|444444&amp;v=543225:543803&amp;c=444444", "offset 100")</f>
        <v>offset 100</v>
      </c>
    </row>
    <row r="1807" customFormat="false" ht="12.8" hidden="false" customHeight="false" outlineLevel="0" collapsed="false">
      <c r="A1807" s="0" t="s">
        <v>12</v>
      </c>
      <c r="B1807" s="0" t="n">
        <v>543562</v>
      </c>
      <c r="C1807" s="0" t="n">
        <v>543582</v>
      </c>
      <c r="D1807" s="0" t="s">
        <v>6038</v>
      </c>
      <c r="E1807" s="0" t="s">
        <v>6039</v>
      </c>
      <c r="F1807" s="0" t="s">
        <v>15</v>
      </c>
      <c r="G1807" s="0" t="s">
        <v>36</v>
      </c>
      <c r="H1807" s="0" t="n">
        <v>178</v>
      </c>
      <c r="I1807" s="0" t="s">
        <v>6046</v>
      </c>
      <c r="J1807" s="0" t="s">
        <v>6047</v>
      </c>
      <c r="K1807" s="0" t="s">
        <v>6048</v>
      </c>
      <c r="L1807" s="0" t="str">
        <f aca="false">HYPERLINK("https://www.ncbi.nlm.nih.gov/nuccore/CP000058.1?report=graph&amp;tracks=[key:gene_model_track,Options:GeneOnly]&amp;mk=543426:543445|offset_41|444444,543485:543504|offset_100|444444,543563:543582|offset_178|00cc00,543584:543603|offset_199|444444&amp;v=543225:543803&amp;c=444444", "offset 178")</f>
        <v>offset 178</v>
      </c>
    </row>
    <row r="1808" customFormat="false" ht="12.8" hidden="false" customHeight="false" outlineLevel="0" collapsed="false">
      <c r="A1808" s="0" t="s">
        <v>12</v>
      </c>
      <c r="B1808" s="0" t="n">
        <v>543583</v>
      </c>
      <c r="C1808" s="0" t="n">
        <v>543603</v>
      </c>
      <c r="D1808" s="0" t="s">
        <v>6038</v>
      </c>
      <c r="E1808" s="0" t="s">
        <v>6039</v>
      </c>
      <c r="F1808" s="0" t="s">
        <v>15</v>
      </c>
      <c r="G1808" s="0" t="s">
        <v>32</v>
      </c>
      <c r="H1808" s="0" t="n">
        <v>199</v>
      </c>
      <c r="I1808" s="0" t="s">
        <v>6049</v>
      </c>
      <c r="J1808" s="0" t="s">
        <v>6050</v>
      </c>
      <c r="K1808" s="0" t="s">
        <v>6051</v>
      </c>
      <c r="L1808" s="0" t="str">
        <f aca="false">HYPERLINK("https://www.ncbi.nlm.nih.gov/nuccore/CP000058.1?report=graph&amp;tracks=[key:gene_model_track,Options:GeneOnly]&amp;mk=543426:543445|offset_41|444444,543485:543504|offset_100|444444,543563:543582|offset_178|444444,543584:543603|offset_199|00cc00&amp;v=543225:543803&amp;c=444444", "offset 199")</f>
        <v>offset 199</v>
      </c>
    </row>
    <row r="1809" customFormat="false" ht="12.8" hidden="false" customHeight="false" outlineLevel="0" collapsed="false">
      <c r="A1809" s="0" t="s">
        <v>12</v>
      </c>
      <c r="B1809" s="0" t="n">
        <v>545502</v>
      </c>
      <c r="C1809" s="0" t="n">
        <v>545522</v>
      </c>
      <c r="D1809" s="0" t="s">
        <v>6052</v>
      </c>
      <c r="E1809" s="0" t="s">
        <v>75</v>
      </c>
      <c r="F1809" s="0" t="s">
        <v>15</v>
      </c>
      <c r="G1809" s="0" t="s">
        <v>36</v>
      </c>
      <c r="H1809" s="0" t="n">
        <v>28</v>
      </c>
      <c r="I1809" s="0" t="s">
        <v>6053</v>
      </c>
      <c r="J1809" s="0" t="s">
        <v>6054</v>
      </c>
      <c r="K1809" s="0" t="s">
        <v>6055</v>
      </c>
      <c r="L1809" s="0" t="str">
        <f aca="false">HYPERLINK("https://www.ncbi.nlm.nih.gov/nuccore/CP000058.1?report=graph&amp;tracks=[key:gene_model_track,Options:GeneOnly]&amp;mk=545503:545522|offset_28|00cc00,545530:545549|offset_55|444444,545566:545585|offset_91|444444,545602:545621|offset_127|444444&amp;v=545302:545821&amp;c=444444", "offset 28")</f>
        <v>offset 28</v>
      </c>
    </row>
    <row r="1810" customFormat="false" ht="12.8" hidden="false" customHeight="false" outlineLevel="0" collapsed="false">
      <c r="A1810" s="0" t="s">
        <v>12</v>
      </c>
      <c r="B1810" s="0" t="n">
        <v>545529</v>
      </c>
      <c r="C1810" s="0" t="n">
        <v>545549</v>
      </c>
      <c r="D1810" s="0" t="s">
        <v>6052</v>
      </c>
      <c r="E1810" s="0" t="s">
        <v>75</v>
      </c>
      <c r="F1810" s="0" t="s">
        <v>15</v>
      </c>
      <c r="G1810" s="0" t="s">
        <v>16</v>
      </c>
      <c r="H1810" s="0" t="n">
        <v>55</v>
      </c>
      <c r="I1810" s="0" t="s">
        <v>6056</v>
      </c>
      <c r="J1810" s="0" t="s">
        <v>6057</v>
      </c>
      <c r="K1810" s="0" t="s">
        <v>6058</v>
      </c>
      <c r="L1810" s="0" t="str">
        <f aca="false">HYPERLINK("https://www.ncbi.nlm.nih.gov/nuccore/CP000058.1?report=graph&amp;tracks=[key:gene_model_track,Options:GeneOnly]&amp;mk=545503:545522|offset_28|444444,545530:545549|offset_55|00cc00,545566:545585|offset_91|444444,545602:545621|offset_127|444444&amp;v=545302:545821&amp;c=444444", "offset 55")</f>
        <v>offset 55</v>
      </c>
    </row>
    <row r="1811" customFormat="false" ht="12.8" hidden="false" customHeight="false" outlineLevel="0" collapsed="false">
      <c r="A1811" s="0" t="s">
        <v>12</v>
      </c>
      <c r="B1811" s="0" t="n">
        <v>545565</v>
      </c>
      <c r="C1811" s="0" t="n">
        <v>545585</v>
      </c>
      <c r="D1811" s="0" t="s">
        <v>6052</v>
      </c>
      <c r="E1811" s="0" t="s">
        <v>75</v>
      </c>
      <c r="F1811" s="0" t="s">
        <v>15</v>
      </c>
      <c r="G1811" s="0" t="s">
        <v>20</v>
      </c>
      <c r="H1811" s="0" t="n">
        <v>91</v>
      </c>
      <c r="I1811" s="0" t="s">
        <v>6059</v>
      </c>
      <c r="J1811" s="0" t="s">
        <v>6060</v>
      </c>
      <c r="K1811" s="0" t="s">
        <v>6061</v>
      </c>
      <c r="L1811" s="0" t="str">
        <f aca="false">HYPERLINK("https://www.ncbi.nlm.nih.gov/nuccore/CP000058.1?report=graph&amp;tracks=[key:gene_model_track,Options:GeneOnly]&amp;mk=545503:545522|offset_28|444444,545530:545549|offset_55|444444,545566:545585|offset_91|00cc00,545602:545621|offset_127|444444&amp;v=545302:545821&amp;c=444444", "offset 91")</f>
        <v>offset 91</v>
      </c>
    </row>
    <row r="1812" customFormat="false" ht="12.8" hidden="false" customHeight="false" outlineLevel="0" collapsed="false">
      <c r="A1812" s="0" t="s">
        <v>12</v>
      </c>
      <c r="B1812" s="0" t="n">
        <v>545601</v>
      </c>
      <c r="C1812" s="0" t="n">
        <v>545621</v>
      </c>
      <c r="D1812" s="0" t="s">
        <v>6052</v>
      </c>
      <c r="E1812" s="0" t="s">
        <v>75</v>
      </c>
      <c r="F1812" s="0" t="s">
        <v>15</v>
      </c>
      <c r="G1812" s="0" t="s">
        <v>16</v>
      </c>
      <c r="H1812" s="0" t="n">
        <v>127</v>
      </c>
      <c r="I1812" s="0" t="s">
        <v>6062</v>
      </c>
      <c r="J1812" s="0" t="s">
        <v>6063</v>
      </c>
      <c r="K1812" s="0" t="s">
        <v>6064</v>
      </c>
      <c r="L1812" s="0" t="str">
        <f aca="false">HYPERLINK("https://www.ncbi.nlm.nih.gov/nuccore/CP000058.1?report=graph&amp;tracks=[key:gene_model_track,Options:GeneOnly]&amp;mk=545503:545522|offset_28|444444,545530:545549|offset_55|444444,545566:545585|offset_91|444444,545602:545621|offset_127|00cc00&amp;v=545302:545821&amp;c=444444", "offset 127")</f>
        <v>offset 127</v>
      </c>
    </row>
    <row r="1813" customFormat="false" ht="12.8" hidden="false" customHeight="false" outlineLevel="0" collapsed="false">
      <c r="A1813" s="0" t="s">
        <v>12</v>
      </c>
      <c r="B1813" s="0" t="n">
        <v>551447</v>
      </c>
      <c r="C1813" s="0" t="n">
        <v>551467</v>
      </c>
      <c r="D1813" s="0" t="s">
        <v>6065</v>
      </c>
      <c r="E1813" s="0" t="s">
        <v>75</v>
      </c>
      <c r="F1813" s="0" t="s">
        <v>15</v>
      </c>
      <c r="G1813" s="0" t="s">
        <v>32</v>
      </c>
      <c r="H1813" s="0" t="n">
        <v>20</v>
      </c>
      <c r="I1813" s="0" t="s">
        <v>6066</v>
      </c>
      <c r="J1813" s="0" t="s">
        <v>6067</v>
      </c>
      <c r="K1813" s="0" t="s">
        <v>6068</v>
      </c>
      <c r="L1813" s="0" t="str">
        <f aca="false">HYPERLINK("https://www.ncbi.nlm.nih.gov/nuccore/CP000058.1?report=graph&amp;tracks=[key:gene_model_track,Options:GeneOnly]&amp;mk=551448:551467|offset_20|00cc00,551469:551488|offset_41|444444,551499:551518|offset_71|444444,551531:551550|offset_103|444444&amp;v=551247:551750&amp;c=444444", "offset 20")</f>
        <v>offset 20</v>
      </c>
    </row>
    <row r="1814" customFormat="false" ht="12.8" hidden="false" customHeight="false" outlineLevel="0" collapsed="false">
      <c r="A1814" s="0" t="s">
        <v>12</v>
      </c>
      <c r="B1814" s="0" t="n">
        <v>551468</v>
      </c>
      <c r="C1814" s="0" t="n">
        <v>551488</v>
      </c>
      <c r="D1814" s="0" t="s">
        <v>6065</v>
      </c>
      <c r="E1814" s="0" t="s">
        <v>75</v>
      </c>
      <c r="F1814" s="0" t="s">
        <v>15</v>
      </c>
      <c r="G1814" s="0" t="s">
        <v>20</v>
      </c>
      <c r="H1814" s="0" t="n">
        <v>41</v>
      </c>
      <c r="I1814" s="0" t="s">
        <v>6069</v>
      </c>
      <c r="J1814" s="0" t="s">
        <v>6070</v>
      </c>
      <c r="K1814" s="0" t="s">
        <v>6071</v>
      </c>
      <c r="L1814" s="0" t="str">
        <f aca="false">HYPERLINK("https://www.ncbi.nlm.nih.gov/nuccore/CP000058.1?report=graph&amp;tracks=[key:gene_model_track,Options:GeneOnly]&amp;mk=551448:551467|offset_20|444444,551469:551488|offset_41|00cc00,551499:551518|offset_71|444444,551531:551550|offset_103|444444&amp;v=551247:551750&amp;c=444444", "offset 41")</f>
        <v>offset 41</v>
      </c>
    </row>
    <row r="1815" customFormat="false" ht="12.8" hidden="false" customHeight="false" outlineLevel="0" collapsed="false">
      <c r="A1815" s="0" t="s">
        <v>12</v>
      </c>
      <c r="B1815" s="0" t="n">
        <v>551498</v>
      </c>
      <c r="C1815" s="0" t="n">
        <v>551518</v>
      </c>
      <c r="D1815" s="0" t="s">
        <v>6065</v>
      </c>
      <c r="E1815" s="0" t="s">
        <v>75</v>
      </c>
      <c r="F1815" s="0" t="s">
        <v>15</v>
      </c>
      <c r="G1815" s="0" t="s">
        <v>16</v>
      </c>
      <c r="H1815" s="0" t="n">
        <v>71</v>
      </c>
      <c r="I1815" s="0" t="s">
        <v>6072</v>
      </c>
      <c r="J1815" s="0" t="s">
        <v>6073</v>
      </c>
      <c r="K1815" s="0" t="s">
        <v>6074</v>
      </c>
      <c r="L1815" s="0" t="str">
        <f aca="false">HYPERLINK("https://www.ncbi.nlm.nih.gov/nuccore/CP000058.1?report=graph&amp;tracks=[key:gene_model_track,Options:GeneOnly]&amp;mk=551448:551467|offset_20|444444,551469:551488|offset_41|444444,551499:551518|offset_71|00cc00,551531:551550|offset_103|444444&amp;v=551247:551750&amp;c=444444", "offset 71")</f>
        <v>offset 71</v>
      </c>
    </row>
    <row r="1816" customFormat="false" ht="12.8" hidden="false" customHeight="false" outlineLevel="0" collapsed="false">
      <c r="A1816" s="0" t="s">
        <v>12</v>
      </c>
      <c r="B1816" s="0" t="n">
        <v>551530</v>
      </c>
      <c r="C1816" s="0" t="n">
        <v>551550</v>
      </c>
      <c r="D1816" s="0" t="s">
        <v>6065</v>
      </c>
      <c r="E1816" s="0" t="s">
        <v>75</v>
      </c>
      <c r="F1816" s="0" t="s">
        <v>15</v>
      </c>
      <c r="G1816" s="0" t="s">
        <v>16</v>
      </c>
      <c r="H1816" s="0" t="n">
        <v>103</v>
      </c>
      <c r="I1816" s="0" t="s">
        <v>6075</v>
      </c>
      <c r="J1816" s="0" t="s">
        <v>6076</v>
      </c>
      <c r="K1816" s="0" t="s">
        <v>6077</v>
      </c>
      <c r="L1816" s="0" t="str">
        <f aca="false">HYPERLINK("https://www.ncbi.nlm.nih.gov/nuccore/CP000058.1?report=graph&amp;tracks=[key:gene_model_track,Options:GeneOnly]&amp;mk=551448:551467|offset_20|444444,551469:551488|offset_41|444444,551499:551518|offset_71|444444,551531:551550|offset_103|00cc00&amp;v=551247:551750&amp;c=444444", "offset 103")</f>
        <v>offset 103</v>
      </c>
    </row>
    <row r="1817" customFormat="false" ht="12.8" hidden="false" customHeight="false" outlineLevel="0" collapsed="false">
      <c r="A1817" s="0" t="s">
        <v>12</v>
      </c>
      <c r="B1817" s="0" t="n">
        <v>553930</v>
      </c>
      <c r="C1817" s="0" t="n">
        <v>553950</v>
      </c>
      <c r="D1817" s="0" t="s">
        <v>6078</v>
      </c>
      <c r="E1817" s="0" t="s">
        <v>75</v>
      </c>
      <c r="F1817" s="0" t="s">
        <v>90</v>
      </c>
      <c r="G1817" s="0" t="s">
        <v>16</v>
      </c>
      <c r="H1817" s="0" t="n">
        <v>35</v>
      </c>
      <c r="I1817" s="0" t="s">
        <v>6079</v>
      </c>
      <c r="J1817" s="0" t="s">
        <v>6080</v>
      </c>
      <c r="K1817" s="0" t="s">
        <v>6081</v>
      </c>
      <c r="L1817" s="0" t="str">
        <f aca="false">HYPERLINK("https://www.ncbi.nlm.nih.gov/nuccore/CP000058.1?report=graph&amp;tracks=[key:gene_model_track,Options:GeneOnly]&amp;mk=553931:553950|offset_35|00cc00,553902:553921|offset_64|444444,553882:553901|offset_84|444444,553850:553869|offset_116|444444&amp;v=553730:554069&amp;c=444444", "offset 35")</f>
        <v>offset 35</v>
      </c>
    </row>
    <row r="1818" customFormat="false" ht="12.8" hidden="false" customHeight="false" outlineLevel="0" collapsed="false">
      <c r="A1818" s="0" t="s">
        <v>12</v>
      </c>
      <c r="B1818" s="0" t="n">
        <v>553901</v>
      </c>
      <c r="C1818" s="0" t="n">
        <v>553921</v>
      </c>
      <c r="D1818" s="0" t="s">
        <v>6078</v>
      </c>
      <c r="E1818" s="0" t="s">
        <v>75</v>
      </c>
      <c r="F1818" s="0" t="s">
        <v>90</v>
      </c>
      <c r="G1818" s="0" t="s">
        <v>32</v>
      </c>
      <c r="H1818" s="0" t="n">
        <v>64</v>
      </c>
      <c r="I1818" s="0" t="s">
        <v>6082</v>
      </c>
      <c r="J1818" s="0" t="s">
        <v>6083</v>
      </c>
      <c r="K1818" s="0" t="s">
        <v>6084</v>
      </c>
      <c r="L1818" s="0" t="str">
        <f aca="false">HYPERLINK("https://www.ncbi.nlm.nih.gov/nuccore/CP000058.1?report=graph&amp;tracks=[key:gene_model_track,Options:GeneOnly]&amp;mk=553931:553950|offset_35|444444,553902:553921|offset_64|00cc00,553882:553901|offset_84|444444,553850:553869|offset_116|444444&amp;v=553730:554069&amp;c=444444", "offset 64")</f>
        <v>offset 64</v>
      </c>
    </row>
    <row r="1819" customFormat="false" ht="12.8" hidden="false" customHeight="false" outlineLevel="0" collapsed="false">
      <c r="A1819" s="0" t="s">
        <v>12</v>
      </c>
      <c r="B1819" s="0" t="n">
        <v>553881</v>
      </c>
      <c r="C1819" s="0" t="n">
        <v>553901</v>
      </c>
      <c r="D1819" s="0" t="s">
        <v>6078</v>
      </c>
      <c r="E1819" s="0" t="s">
        <v>75</v>
      </c>
      <c r="F1819" s="0" t="s">
        <v>90</v>
      </c>
      <c r="G1819" s="0" t="s">
        <v>36</v>
      </c>
      <c r="H1819" s="0" t="n">
        <v>84</v>
      </c>
      <c r="I1819" s="0" t="s">
        <v>6085</v>
      </c>
      <c r="J1819" s="0" t="s">
        <v>6086</v>
      </c>
      <c r="K1819" s="0" t="s">
        <v>6087</v>
      </c>
      <c r="L1819" s="0" t="str">
        <f aca="false">HYPERLINK("https://www.ncbi.nlm.nih.gov/nuccore/CP000058.1?report=graph&amp;tracks=[key:gene_model_track,Options:GeneOnly]&amp;mk=553931:553950|offset_35|444444,553902:553921|offset_64|444444,553882:553901|offset_84|00cc00,553850:553869|offset_116|444444&amp;v=553730:554069&amp;c=444444", "offset 84")</f>
        <v>offset 84</v>
      </c>
    </row>
    <row r="1820" customFormat="false" ht="12.8" hidden="false" customHeight="false" outlineLevel="0" collapsed="false">
      <c r="A1820" s="0" t="s">
        <v>12</v>
      </c>
      <c r="B1820" s="0" t="n">
        <v>553849</v>
      </c>
      <c r="C1820" s="0" t="n">
        <v>553869</v>
      </c>
      <c r="D1820" s="0" t="s">
        <v>6078</v>
      </c>
      <c r="E1820" s="0" t="s">
        <v>75</v>
      </c>
      <c r="F1820" s="0" t="s">
        <v>90</v>
      </c>
      <c r="G1820" s="0" t="s">
        <v>32</v>
      </c>
      <c r="H1820" s="0" t="n">
        <v>116</v>
      </c>
      <c r="I1820" s="0" t="s">
        <v>6088</v>
      </c>
      <c r="J1820" s="0" t="s">
        <v>6089</v>
      </c>
      <c r="K1820" s="0" t="s">
        <v>6090</v>
      </c>
      <c r="L1820" s="0" t="str">
        <f aca="false">HYPERLINK("https://www.ncbi.nlm.nih.gov/nuccore/CP000058.1?report=graph&amp;tracks=[key:gene_model_track,Options:GeneOnly]&amp;mk=553931:553950|offset_35|444444,553902:553921|offset_64|444444,553882:553901|offset_84|444444,553850:553869|offset_116|00cc00&amp;v=553730:554069&amp;c=444444", "offset 116")</f>
        <v>offset 116</v>
      </c>
    </row>
    <row r="1821" customFormat="false" ht="12.8" hidden="false" customHeight="false" outlineLevel="0" collapsed="false">
      <c r="A1821" s="0" t="s">
        <v>12</v>
      </c>
      <c r="B1821" s="0" t="n">
        <v>554746</v>
      </c>
      <c r="C1821" s="0" t="n">
        <v>554766</v>
      </c>
      <c r="D1821" s="0" t="s">
        <v>6091</v>
      </c>
      <c r="E1821" s="0" t="s">
        <v>75</v>
      </c>
      <c r="F1821" s="0" t="s">
        <v>90</v>
      </c>
      <c r="G1821" s="0" t="s">
        <v>20</v>
      </c>
      <c r="H1821" s="0" t="n">
        <v>23</v>
      </c>
      <c r="I1821" s="0" t="s">
        <v>6092</v>
      </c>
      <c r="J1821" s="0" t="s">
        <v>6093</v>
      </c>
      <c r="K1821" s="0" t="s">
        <v>6094</v>
      </c>
      <c r="L1821" s="0" t="str">
        <f aca="false">HYPERLINK("https://www.ncbi.nlm.nih.gov/nuccore/CP000058.1?report=graph&amp;tracks=[key:gene_model_track,Options:GeneOnly]&amp;mk=554747:554766|offset_23|00cc00,554724:554743|offset_46|444444,554677:554696|offset_93|444444,554646:554665|offset_124|444444&amp;v=554546:554865&amp;c=444444", "offset 23")</f>
        <v>offset 23</v>
      </c>
    </row>
    <row r="1822" customFormat="false" ht="12.8" hidden="false" customHeight="false" outlineLevel="0" collapsed="false">
      <c r="A1822" s="0" t="s">
        <v>12</v>
      </c>
      <c r="B1822" s="0" t="n">
        <v>554723</v>
      </c>
      <c r="C1822" s="0" t="n">
        <v>554743</v>
      </c>
      <c r="D1822" s="0" t="s">
        <v>6091</v>
      </c>
      <c r="E1822" s="0" t="s">
        <v>75</v>
      </c>
      <c r="F1822" s="0" t="s">
        <v>90</v>
      </c>
      <c r="G1822" s="0" t="s">
        <v>32</v>
      </c>
      <c r="H1822" s="0" t="n">
        <v>46</v>
      </c>
      <c r="I1822" s="0" t="s">
        <v>6095</v>
      </c>
      <c r="J1822" s="0" t="s">
        <v>6096</v>
      </c>
      <c r="K1822" s="0" t="s">
        <v>6097</v>
      </c>
      <c r="L1822" s="0" t="str">
        <f aca="false">HYPERLINK("https://www.ncbi.nlm.nih.gov/nuccore/CP000058.1?report=graph&amp;tracks=[key:gene_model_track,Options:GeneOnly]&amp;mk=554747:554766|offset_23|444444,554724:554743|offset_46|00cc00,554677:554696|offset_93|444444,554646:554665|offset_124|444444&amp;v=554546:554865&amp;c=444444", "offset 46")</f>
        <v>offset 46</v>
      </c>
    </row>
    <row r="1823" customFormat="false" ht="12.8" hidden="false" customHeight="false" outlineLevel="0" collapsed="false">
      <c r="A1823" s="0" t="s">
        <v>12</v>
      </c>
      <c r="B1823" s="0" t="n">
        <v>554676</v>
      </c>
      <c r="C1823" s="0" t="n">
        <v>554696</v>
      </c>
      <c r="D1823" s="0" t="s">
        <v>6091</v>
      </c>
      <c r="E1823" s="0" t="s">
        <v>75</v>
      </c>
      <c r="F1823" s="0" t="s">
        <v>90</v>
      </c>
      <c r="G1823" s="0" t="s">
        <v>36</v>
      </c>
      <c r="H1823" s="0" t="n">
        <v>93</v>
      </c>
      <c r="I1823" s="0" t="s">
        <v>6098</v>
      </c>
      <c r="J1823" s="0" t="s">
        <v>6099</v>
      </c>
      <c r="K1823" s="0" t="s">
        <v>6100</v>
      </c>
      <c r="L1823" s="0" t="str">
        <f aca="false">HYPERLINK("https://www.ncbi.nlm.nih.gov/nuccore/CP000058.1?report=graph&amp;tracks=[key:gene_model_track,Options:GeneOnly]&amp;mk=554747:554766|offset_23|444444,554724:554743|offset_46|444444,554677:554696|offset_93|00cc00,554646:554665|offset_124|444444&amp;v=554546:554865&amp;c=444444", "offset 93")</f>
        <v>offset 93</v>
      </c>
    </row>
    <row r="1824" customFormat="false" ht="12.8" hidden="false" customHeight="false" outlineLevel="0" collapsed="false">
      <c r="A1824" s="0" t="s">
        <v>12</v>
      </c>
      <c r="B1824" s="0" t="n">
        <v>554645</v>
      </c>
      <c r="C1824" s="0" t="n">
        <v>554665</v>
      </c>
      <c r="D1824" s="0" t="s">
        <v>6091</v>
      </c>
      <c r="E1824" s="0" t="s">
        <v>75</v>
      </c>
      <c r="F1824" s="0" t="s">
        <v>90</v>
      </c>
      <c r="G1824" s="0" t="s">
        <v>16</v>
      </c>
      <c r="H1824" s="0" t="n">
        <v>124</v>
      </c>
      <c r="I1824" s="0" t="s">
        <v>6101</v>
      </c>
      <c r="J1824" s="0" t="s">
        <v>6102</v>
      </c>
      <c r="K1824" s="0" t="s">
        <v>6103</v>
      </c>
      <c r="L1824" s="0" t="str">
        <f aca="false">HYPERLINK("https://www.ncbi.nlm.nih.gov/nuccore/CP000058.1?report=graph&amp;tracks=[key:gene_model_track,Options:GeneOnly]&amp;mk=554747:554766|offset_23|444444,554724:554743|offset_46|444444,554677:554696|offset_93|444444,554646:554665|offset_124|00cc00&amp;v=554546:554865&amp;c=444444", "offset 124")</f>
        <v>offset 124</v>
      </c>
    </row>
    <row r="1825" customFormat="false" ht="12.8" hidden="false" customHeight="false" outlineLevel="0" collapsed="false">
      <c r="A1825" s="0" t="s">
        <v>12</v>
      </c>
      <c r="B1825" s="0" t="n">
        <v>555043</v>
      </c>
      <c r="C1825" s="0" t="n">
        <v>555063</v>
      </c>
      <c r="D1825" s="0" t="s">
        <v>6104</v>
      </c>
      <c r="E1825" s="0" t="s">
        <v>75</v>
      </c>
      <c r="F1825" s="0" t="s">
        <v>15</v>
      </c>
      <c r="G1825" s="0" t="s">
        <v>16</v>
      </c>
      <c r="H1825" s="0" t="n">
        <v>1</v>
      </c>
      <c r="I1825" s="0" t="s">
        <v>6105</v>
      </c>
      <c r="J1825" s="0" t="s">
        <v>6106</v>
      </c>
      <c r="K1825" s="0" t="s">
        <v>6107</v>
      </c>
      <c r="L1825" s="0" t="str">
        <f aca="false">HYPERLINK("https://www.ncbi.nlm.nih.gov/nuccore/CP000058.1?report=graph&amp;tracks=[key:gene_model_track,Options:GeneOnly]&amp;mk=555044:555063|offset_1|00cc00,555071:555090|offset_28|444444,555098:555117|offset_55|444444,555119:555138|offset_76|444444&amp;v=554843:555338&amp;c=444444", "offset 1")</f>
        <v>offset 1</v>
      </c>
    </row>
    <row r="1826" customFormat="false" ht="12.8" hidden="false" customHeight="false" outlineLevel="0" collapsed="false">
      <c r="A1826" s="0" t="s">
        <v>12</v>
      </c>
      <c r="B1826" s="0" t="n">
        <v>555070</v>
      </c>
      <c r="C1826" s="0" t="n">
        <v>555090</v>
      </c>
      <c r="D1826" s="0" t="s">
        <v>6104</v>
      </c>
      <c r="E1826" s="0" t="s">
        <v>75</v>
      </c>
      <c r="F1826" s="0" t="s">
        <v>15</v>
      </c>
      <c r="G1826" s="0" t="s">
        <v>32</v>
      </c>
      <c r="H1826" s="0" t="n">
        <v>28</v>
      </c>
      <c r="I1826" s="0" t="s">
        <v>6108</v>
      </c>
      <c r="J1826" s="0" t="s">
        <v>6109</v>
      </c>
      <c r="K1826" s="0" t="s">
        <v>6110</v>
      </c>
      <c r="L1826" s="0" t="str">
        <f aca="false">HYPERLINK("https://www.ncbi.nlm.nih.gov/nuccore/CP000058.1?report=graph&amp;tracks=[key:gene_model_track,Options:GeneOnly]&amp;mk=555044:555063|offset_1|444444,555071:555090|offset_28|00cc00,555098:555117|offset_55|444444,555119:555138|offset_76|444444&amp;v=554843:555338&amp;c=444444", "offset 28")</f>
        <v>offset 28</v>
      </c>
    </row>
    <row r="1827" customFormat="false" ht="12.8" hidden="false" customHeight="false" outlineLevel="0" collapsed="false">
      <c r="A1827" s="0" t="s">
        <v>12</v>
      </c>
      <c r="B1827" s="0" t="n">
        <v>555097</v>
      </c>
      <c r="C1827" s="0" t="n">
        <v>555117</v>
      </c>
      <c r="D1827" s="0" t="s">
        <v>6104</v>
      </c>
      <c r="E1827" s="0" t="s">
        <v>75</v>
      </c>
      <c r="F1827" s="0" t="s">
        <v>15</v>
      </c>
      <c r="G1827" s="0" t="s">
        <v>16</v>
      </c>
      <c r="H1827" s="0" t="n">
        <v>55</v>
      </c>
      <c r="I1827" s="0" t="s">
        <v>6111</v>
      </c>
      <c r="J1827" s="0" t="s">
        <v>6112</v>
      </c>
      <c r="K1827" s="0" t="s">
        <v>6113</v>
      </c>
      <c r="L1827" s="0" t="str">
        <f aca="false">HYPERLINK("https://www.ncbi.nlm.nih.gov/nuccore/CP000058.1?report=graph&amp;tracks=[key:gene_model_track,Options:GeneOnly]&amp;mk=555044:555063|offset_1|444444,555071:555090|offset_28|444444,555098:555117|offset_55|00cc00,555119:555138|offset_76|444444&amp;v=554843:555338&amp;c=444444", "offset 55")</f>
        <v>offset 55</v>
      </c>
    </row>
    <row r="1828" customFormat="false" ht="12.8" hidden="false" customHeight="false" outlineLevel="0" collapsed="false">
      <c r="A1828" s="0" t="s">
        <v>12</v>
      </c>
      <c r="B1828" s="0" t="n">
        <v>555118</v>
      </c>
      <c r="C1828" s="0" t="n">
        <v>555138</v>
      </c>
      <c r="D1828" s="0" t="s">
        <v>6104</v>
      </c>
      <c r="E1828" s="0" t="s">
        <v>75</v>
      </c>
      <c r="F1828" s="0" t="s">
        <v>15</v>
      </c>
      <c r="G1828" s="0" t="s">
        <v>20</v>
      </c>
      <c r="H1828" s="0" t="n">
        <v>76</v>
      </c>
      <c r="I1828" s="0" t="s">
        <v>6114</v>
      </c>
      <c r="J1828" s="0" t="s">
        <v>6115</v>
      </c>
      <c r="K1828" s="0" t="s">
        <v>6116</v>
      </c>
      <c r="L1828" s="0" t="str">
        <f aca="false">HYPERLINK("https://www.ncbi.nlm.nih.gov/nuccore/CP000058.1?report=graph&amp;tracks=[key:gene_model_track,Options:GeneOnly]&amp;mk=555044:555063|offset_1|444444,555071:555090|offset_28|444444,555098:555117|offset_55|444444,555119:555138|offset_76|00cc00&amp;v=554843:555338&amp;c=444444", "offset 76")</f>
        <v>offset 76</v>
      </c>
    </row>
    <row r="1829" customFormat="false" ht="12.8" hidden="false" customHeight="false" outlineLevel="0" collapsed="false">
      <c r="A1829" s="0" t="s">
        <v>12</v>
      </c>
      <c r="B1829" s="0" t="n">
        <v>556296</v>
      </c>
      <c r="C1829" s="0" t="n">
        <v>556316</v>
      </c>
      <c r="D1829" s="0" t="s">
        <v>6117</v>
      </c>
      <c r="E1829" s="0" t="s">
        <v>75</v>
      </c>
      <c r="F1829" s="0" t="s">
        <v>15</v>
      </c>
      <c r="G1829" s="0" t="s">
        <v>20</v>
      </c>
      <c r="H1829" s="0" t="n">
        <v>6</v>
      </c>
      <c r="I1829" s="0" t="s">
        <v>6118</v>
      </c>
      <c r="J1829" s="0" t="s">
        <v>6119</v>
      </c>
      <c r="K1829" s="0" t="s">
        <v>6120</v>
      </c>
      <c r="L1829" s="0" t="str">
        <f aca="false">HYPERLINK("https://www.ncbi.nlm.nih.gov/nuccore/CP000058.1?report=graph&amp;tracks=[key:gene_model_track,Options:GeneOnly]&amp;mk=556297:556316|offset_6|00cc00,556340:556359|offset_49|444444,556397:556416|offset_106|444444,556420:556439|offset_129|444444&amp;v=556096:556639&amp;c=444444", "offset 6")</f>
        <v>offset 6</v>
      </c>
    </row>
    <row r="1830" customFormat="false" ht="12.8" hidden="false" customHeight="false" outlineLevel="0" collapsed="false">
      <c r="A1830" s="0" t="s">
        <v>12</v>
      </c>
      <c r="B1830" s="0" t="n">
        <v>556339</v>
      </c>
      <c r="C1830" s="0" t="n">
        <v>556359</v>
      </c>
      <c r="D1830" s="0" t="s">
        <v>6117</v>
      </c>
      <c r="E1830" s="0" t="s">
        <v>75</v>
      </c>
      <c r="F1830" s="0" t="s">
        <v>15</v>
      </c>
      <c r="G1830" s="0" t="s">
        <v>20</v>
      </c>
      <c r="H1830" s="0" t="n">
        <v>49</v>
      </c>
      <c r="I1830" s="0" t="s">
        <v>6121</v>
      </c>
      <c r="J1830" s="0" t="s">
        <v>6122</v>
      </c>
      <c r="K1830" s="0" t="s">
        <v>6123</v>
      </c>
      <c r="L1830" s="0" t="str">
        <f aca="false">HYPERLINK("https://www.ncbi.nlm.nih.gov/nuccore/CP000058.1?report=graph&amp;tracks=[key:gene_model_track,Options:GeneOnly]&amp;mk=556297:556316|offset_6|444444,556340:556359|offset_49|00cc00,556397:556416|offset_106|444444,556420:556439|offset_129|444444&amp;v=556096:556639&amp;c=444444", "offset 49")</f>
        <v>offset 49</v>
      </c>
    </row>
    <row r="1831" customFormat="false" ht="12.8" hidden="false" customHeight="false" outlineLevel="0" collapsed="false">
      <c r="A1831" s="0" t="s">
        <v>12</v>
      </c>
      <c r="B1831" s="0" t="n">
        <v>556396</v>
      </c>
      <c r="C1831" s="0" t="n">
        <v>556416</v>
      </c>
      <c r="D1831" s="0" t="s">
        <v>6117</v>
      </c>
      <c r="E1831" s="0" t="s">
        <v>75</v>
      </c>
      <c r="F1831" s="0" t="s">
        <v>15</v>
      </c>
      <c r="G1831" s="0" t="s">
        <v>20</v>
      </c>
      <c r="H1831" s="0" t="n">
        <v>106</v>
      </c>
      <c r="I1831" s="0" t="s">
        <v>6124</v>
      </c>
      <c r="J1831" s="0" t="s">
        <v>6125</v>
      </c>
      <c r="K1831" s="0" t="s">
        <v>6126</v>
      </c>
      <c r="L1831" s="0" t="str">
        <f aca="false">HYPERLINK("https://www.ncbi.nlm.nih.gov/nuccore/CP000058.1?report=graph&amp;tracks=[key:gene_model_track,Options:GeneOnly]&amp;mk=556297:556316|offset_6|444444,556340:556359|offset_49|444444,556397:556416|offset_106|00cc00,556420:556439|offset_129|444444&amp;v=556096:556639&amp;c=444444", "offset 106")</f>
        <v>offset 106</v>
      </c>
    </row>
    <row r="1832" customFormat="false" ht="12.8" hidden="false" customHeight="false" outlineLevel="0" collapsed="false">
      <c r="A1832" s="0" t="s">
        <v>12</v>
      </c>
      <c r="B1832" s="0" t="n">
        <v>556419</v>
      </c>
      <c r="C1832" s="0" t="n">
        <v>556439</v>
      </c>
      <c r="D1832" s="0" t="s">
        <v>6117</v>
      </c>
      <c r="E1832" s="0" t="s">
        <v>75</v>
      </c>
      <c r="F1832" s="0" t="s">
        <v>15</v>
      </c>
      <c r="G1832" s="0" t="s">
        <v>16</v>
      </c>
      <c r="H1832" s="0" t="n">
        <v>129</v>
      </c>
      <c r="I1832" s="0" t="s">
        <v>6127</v>
      </c>
      <c r="J1832" s="0" t="s">
        <v>6128</v>
      </c>
      <c r="K1832" s="0" t="s">
        <v>6129</v>
      </c>
      <c r="L1832" s="0" t="str">
        <f aca="false">HYPERLINK("https://www.ncbi.nlm.nih.gov/nuccore/CP000058.1?report=graph&amp;tracks=[key:gene_model_track,Options:GeneOnly]&amp;mk=556297:556316|offset_6|444444,556340:556359|offset_49|444444,556397:556416|offset_106|444444,556420:556439|offset_129|00cc00&amp;v=556096:556639&amp;c=444444", "offset 129")</f>
        <v>offset 129</v>
      </c>
    </row>
    <row r="1833" customFormat="false" ht="12.8" hidden="false" customHeight="false" outlineLevel="0" collapsed="false">
      <c r="A1833" s="0" t="s">
        <v>12</v>
      </c>
      <c r="B1833" s="0" t="n">
        <v>557878</v>
      </c>
      <c r="C1833" s="0" t="n">
        <v>557898</v>
      </c>
      <c r="D1833" s="0" t="s">
        <v>6130</v>
      </c>
      <c r="E1833" s="0" t="s">
        <v>75</v>
      </c>
      <c r="F1833" s="0" t="s">
        <v>15</v>
      </c>
      <c r="G1833" s="0" t="s">
        <v>36</v>
      </c>
      <c r="H1833" s="0" t="n">
        <v>14</v>
      </c>
      <c r="I1833" s="0" t="s">
        <v>6131</v>
      </c>
      <c r="J1833" s="0" t="s">
        <v>6132</v>
      </c>
      <c r="K1833" s="0" t="s">
        <v>6133</v>
      </c>
      <c r="L1833" s="0" t="str">
        <f aca="false">HYPERLINK("https://www.ncbi.nlm.nih.gov/nuccore/CP000058.1?report=graph&amp;tracks=[key:gene_model_track,Options:GeneOnly]&amp;mk=557879:557898|offset_14|00cc00,557900:557919|offset_35|444444,557935:557954|offset_70|444444,557961:557980|offset_96|444444&amp;v=557678:558180&amp;c=444444", "offset 14")</f>
        <v>offset 14</v>
      </c>
    </row>
    <row r="1834" customFormat="false" ht="12.8" hidden="false" customHeight="false" outlineLevel="0" collapsed="false">
      <c r="A1834" s="0" t="s">
        <v>12</v>
      </c>
      <c r="B1834" s="0" t="n">
        <v>557899</v>
      </c>
      <c r="C1834" s="0" t="n">
        <v>557919</v>
      </c>
      <c r="D1834" s="0" t="s">
        <v>6130</v>
      </c>
      <c r="E1834" s="0" t="s">
        <v>75</v>
      </c>
      <c r="F1834" s="0" t="s">
        <v>15</v>
      </c>
      <c r="G1834" s="0" t="s">
        <v>20</v>
      </c>
      <c r="H1834" s="0" t="n">
        <v>35</v>
      </c>
      <c r="I1834" s="0" t="s">
        <v>6134</v>
      </c>
      <c r="J1834" s="0" t="s">
        <v>6135</v>
      </c>
      <c r="K1834" s="0" t="s">
        <v>6136</v>
      </c>
      <c r="L1834" s="0" t="str">
        <f aca="false">HYPERLINK("https://www.ncbi.nlm.nih.gov/nuccore/CP000058.1?report=graph&amp;tracks=[key:gene_model_track,Options:GeneOnly]&amp;mk=557879:557898|offset_14|444444,557900:557919|offset_35|00cc00,557935:557954|offset_70|444444,557961:557980|offset_96|444444&amp;v=557678:558180&amp;c=444444", "offset 35")</f>
        <v>offset 35</v>
      </c>
    </row>
    <row r="1835" customFormat="false" ht="12.8" hidden="false" customHeight="false" outlineLevel="0" collapsed="false">
      <c r="A1835" s="0" t="s">
        <v>12</v>
      </c>
      <c r="B1835" s="0" t="n">
        <v>557934</v>
      </c>
      <c r="C1835" s="0" t="n">
        <v>557954</v>
      </c>
      <c r="D1835" s="0" t="s">
        <v>6130</v>
      </c>
      <c r="E1835" s="0" t="s">
        <v>75</v>
      </c>
      <c r="F1835" s="0" t="s">
        <v>15</v>
      </c>
      <c r="G1835" s="0" t="s">
        <v>36</v>
      </c>
      <c r="H1835" s="0" t="n">
        <v>70</v>
      </c>
      <c r="I1835" s="0" t="s">
        <v>6137</v>
      </c>
      <c r="J1835" s="0" t="s">
        <v>6138</v>
      </c>
      <c r="K1835" s="0" t="s">
        <v>6139</v>
      </c>
      <c r="L1835" s="0" t="str">
        <f aca="false">HYPERLINK("https://www.ncbi.nlm.nih.gov/nuccore/CP000058.1?report=graph&amp;tracks=[key:gene_model_track,Options:GeneOnly]&amp;mk=557879:557898|offset_14|444444,557900:557919|offset_35|444444,557935:557954|offset_70|00cc00,557961:557980|offset_96|444444&amp;v=557678:558180&amp;c=444444", "offset 70")</f>
        <v>offset 70</v>
      </c>
    </row>
    <row r="1836" customFormat="false" ht="12.8" hidden="false" customHeight="false" outlineLevel="0" collapsed="false">
      <c r="A1836" s="0" t="s">
        <v>12</v>
      </c>
      <c r="B1836" s="0" t="n">
        <v>557960</v>
      </c>
      <c r="C1836" s="0" t="n">
        <v>557980</v>
      </c>
      <c r="D1836" s="0" t="s">
        <v>6130</v>
      </c>
      <c r="E1836" s="0" t="s">
        <v>75</v>
      </c>
      <c r="F1836" s="0" t="s">
        <v>15</v>
      </c>
      <c r="G1836" s="0" t="s">
        <v>36</v>
      </c>
      <c r="H1836" s="0" t="n">
        <v>96</v>
      </c>
      <c r="I1836" s="0" t="s">
        <v>6140</v>
      </c>
      <c r="J1836" s="0" t="s">
        <v>6141</v>
      </c>
      <c r="K1836" s="0" t="s">
        <v>6142</v>
      </c>
      <c r="L1836" s="0" t="str">
        <f aca="false">HYPERLINK("https://www.ncbi.nlm.nih.gov/nuccore/CP000058.1?report=graph&amp;tracks=[key:gene_model_track,Options:GeneOnly]&amp;mk=557879:557898|offset_14|444444,557900:557919|offset_35|444444,557935:557954|offset_70|444444,557961:557980|offset_96|00cc00&amp;v=557678:558180&amp;c=444444", "offset 96")</f>
        <v>offset 96</v>
      </c>
    </row>
    <row r="1837" customFormat="false" ht="12.8" hidden="false" customHeight="false" outlineLevel="0" collapsed="false">
      <c r="A1837" s="0" t="s">
        <v>12</v>
      </c>
      <c r="B1837" s="0" t="n">
        <v>559505</v>
      </c>
      <c r="C1837" s="0" t="n">
        <v>559525</v>
      </c>
      <c r="D1837" s="0" t="s">
        <v>6143</v>
      </c>
      <c r="E1837" s="0" t="s">
        <v>75</v>
      </c>
      <c r="F1837" s="0" t="s">
        <v>15</v>
      </c>
      <c r="G1837" s="0" t="s">
        <v>16</v>
      </c>
      <c r="H1837" s="0" t="n">
        <v>40</v>
      </c>
      <c r="I1837" s="0" t="s">
        <v>6144</v>
      </c>
      <c r="J1837" s="0" t="s">
        <v>6145</v>
      </c>
      <c r="K1837" s="0" t="s">
        <v>6146</v>
      </c>
      <c r="L1837" s="0" t="str">
        <f aca="false">HYPERLINK("https://www.ncbi.nlm.nih.gov/nuccore/CP000058.1?report=graph&amp;tracks=[key:gene_model_track,Options:GeneOnly]&amp;mk=559506:559525|offset_40|00cc00,559528:559547|offset_62|444444,559554:559573|offset_88|444444,559599:559618|offset_133|444444&amp;v=559305:559818&amp;c=444444", "offset 40")</f>
        <v>offset 40</v>
      </c>
    </row>
    <row r="1838" customFormat="false" ht="12.8" hidden="false" customHeight="false" outlineLevel="0" collapsed="false">
      <c r="A1838" s="0" t="s">
        <v>12</v>
      </c>
      <c r="B1838" s="0" t="n">
        <v>559527</v>
      </c>
      <c r="C1838" s="0" t="n">
        <v>559547</v>
      </c>
      <c r="D1838" s="0" t="s">
        <v>6143</v>
      </c>
      <c r="E1838" s="0" t="s">
        <v>75</v>
      </c>
      <c r="F1838" s="0" t="s">
        <v>15</v>
      </c>
      <c r="G1838" s="0" t="s">
        <v>16</v>
      </c>
      <c r="H1838" s="0" t="n">
        <v>62</v>
      </c>
      <c r="I1838" s="0" t="s">
        <v>6147</v>
      </c>
      <c r="J1838" s="0" t="s">
        <v>6148</v>
      </c>
      <c r="K1838" s="0" t="s">
        <v>6149</v>
      </c>
      <c r="L1838" s="0" t="str">
        <f aca="false">HYPERLINK("https://www.ncbi.nlm.nih.gov/nuccore/CP000058.1?report=graph&amp;tracks=[key:gene_model_track,Options:GeneOnly]&amp;mk=559506:559525|offset_40|444444,559528:559547|offset_62|00cc00,559554:559573|offset_88|444444,559599:559618|offset_133|444444&amp;v=559305:559818&amp;c=444444", "offset 62")</f>
        <v>offset 62</v>
      </c>
    </row>
    <row r="1839" customFormat="false" ht="12.8" hidden="false" customHeight="false" outlineLevel="0" collapsed="false">
      <c r="A1839" s="0" t="s">
        <v>12</v>
      </c>
      <c r="B1839" s="0" t="n">
        <v>559553</v>
      </c>
      <c r="C1839" s="0" t="n">
        <v>559573</v>
      </c>
      <c r="D1839" s="0" t="s">
        <v>6143</v>
      </c>
      <c r="E1839" s="0" t="s">
        <v>75</v>
      </c>
      <c r="F1839" s="0" t="s">
        <v>15</v>
      </c>
      <c r="G1839" s="0" t="s">
        <v>16</v>
      </c>
      <c r="H1839" s="0" t="n">
        <v>88</v>
      </c>
      <c r="I1839" s="0" t="s">
        <v>6150</v>
      </c>
      <c r="J1839" s="0" t="s">
        <v>6151</v>
      </c>
      <c r="K1839" s="0" t="s">
        <v>6152</v>
      </c>
      <c r="L1839" s="0" t="str">
        <f aca="false">HYPERLINK("https://www.ncbi.nlm.nih.gov/nuccore/CP000058.1?report=graph&amp;tracks=[key:gene_model_track,Options:GeneOnly]&amp;mk=559506:559525|offset_40|444444,559528:559547|offset_62|444444,559554:559573|offset_88|00cc00,559599:559618|offset_133|444444&amp;v=559305:559818&amp;c=444444", "offset 88")</f>
        <v>offset 88</v>
      </c>
    </row>
    <row r="1840" customFormat="false" ht="12.8" hidden="false" customHeight="false" outlineLevel="0" collapsed="false">
      <c r="A1840" s="0" t="s">
        <v>12</v>
      </c>
      <c r="B1840" s="0" t="n">
        <v>559598</v>
      </c>
      <c r="C1840" s="0" t="n">
        <v>559618</v>
      </c>
      <c r="D1840" s="0" t="s">
        <v>6143</v>
      </c>
      <c r="E1840" s="0" t="s">
        <v>75</v>
      </c>
      <c r="F1840" s="0" t="s">
        <v>15</v>
      </c>
      <c r="G1840" s="0" t="s">
        <v>16</v>
      </c>
      <c r="H1840" s="0" t="n">
        <v>133</v>
      </c>
      <c r="I1840" s="0" t="s">
        <v>6153</v>
      </c>
      <c r="J1840" s="0" t="s">
        <v>6154</v>
      </c>
      <c r="K1840" s="0" t="s">
        <v>6155</v>
      </c>
      <c r="L1840" s="0" t="str">
        <f aca="false">HYPERLINK("https://www.ncbi.nlm.nih.gov/nuccore/CP000058.1?report=graph&amp;tracks=[key:gene_model_track,Options:GeneOnly]&amp;mk=559506:559525|offset_40|444444,559528:559547|offset_62|444444,559554:559573|offset_88|444444,559599:559618|offset_133|00cc00&amp;v=559305:559818&amp;c=444444", "offset 133")</f>
        <v>offset 133</v>
      </c>
    </row>
    <row r="1841" customFormat="false" ht="12.8" hidden="false" customHeight="false" outlineLevel="0" collapsed="false">
      <c r="A1841" s="0" t="s">
        <v>12</v>
      </c>
      <c r="B1841" s="0" t="n">
        <v>564644</v>
      </c>
      <c r="C1841" s="0" t="n">
        <v>564664</v>
      </c>
      <c r="D1841" s="0" t="s">
        <v>6156</v>
      </c>
      <c r="E1841" s="0" t="s">
        <v>75</v>
      </c>
      <c r="F1841" s="0" t="s">
        <v>90</v>
      </c>
      <c r="G1841" s="0" t="s">
        <v>16</v>
      </c>
      <c r="H1841" s="0" t="n">
        <v>9</v>
      </c>
      <c r="I1841" s="0" t="s">
        <v>6157</v>
      </c>
      <c r="J1841" s="0" t="s">
        <v>6158</v>
      </c>
      <c r="K1841" s="0" t="s">
        <v>6159</v>
      </c>
      <c r="L1841" s="0" t="str">
        <f aca="false">HYPERLINK("https://www.ncbi.nlm.nih.gov/nuccore/CP000058.1?report=graph&amp;tracks=[key:gene_model_track,Options:GeneOnly]&amp;mk=564645:564664|offset_9|00cc00,564620:564639|offset_34|444444,564589:564608|offset_65|444444,564566:564585|offset_88|444444&amp;v=564444:564785&amp;c=444444", "offset 9")</f>
        <v>offset 9</v>
      </c>
    </row>
    <row r="1842" customFormat="false" ht="12.8" hidden="false" customHeight="false" outlineLevel="0" collapsed="false">
      <c r="A1842" s="0" t="s">
        <v>12</v>
      </c>
      <c r="B1842" s="0" t="n">
        <v>564619</v>
      </c>
      <c r="C1842" s="0" t="n">
        <v>564639</v>
      </c>
      <c r="D1842" s="0" t="s">
        <v>6156</v>
      </c>
      <c r="E1842" s="0" t="s">
        <v>75</v>
      </c>
      <c r="F1842" s="0" t="s">
        <v>90</v>
      </c>
      <c r="G1842" s="0" t="s">
        <v>32</v>
      </c>
      <c r="H1842" s="0" t="n">
        <v>34</v>
      </c>
      <c r="I1842" s="0" t="s">
        <v>6160</v>
      </c>
      <c r="J1842" s="0" t="s">
        <v>6161</v>
      </c>
      <c r="K1842" s="0" t="s">
        <v>6162</v>
      </c>
      <c r="L1842" s="0" t="str">
        <f aca="false">HYPERLINK("https://www.ncbi.nlm.nih.gov/nuccore/CP000058.1?report=graph&amp;tracks=[key:gene_model_track,Options:GeneOnly]&amp;mk=564645:564664|offset_9|444444,564620:564639|offset_34|00cc00,564589:564608|offset_65|444444,564566:564585|offset_88|444444&amp;v=564444:564785&amp;c=444444", "offset 34")</f>
        <v>offset 34</v>
      </c>
    </row>
    <row r="1843" customFormat="false" ht="12.8" hidden="false" customHeight="false" outlineLevel="0" collapsed="false">
      <c r="A1843" s="0" t="s">
        <v>12</v>
      </c>
      <c r="B1843" s="0" t="n">
        <v>564588</v>
      </c>
      <c r="C1843" s="0" t="n">
        <v>564608</v>
      </c>
      <c r="D1843" s="0" t="s">
        <v>6156</v>
      </c>
      <c r="E1843" s="0" t="s">
        <v>75</v>
      </c>
      <c r="F1843" s="0" t="s">
        <v>90</v>
      </c>
      <c r="G1843" s="0" t="s">
        <v>20</v>
      </c>
      <c r="H1843" s="0" t="n">
        <v>65</v>
      </c>
      <c r="I1843" s="0" t="s">
        <v>6163</v>
      </c>
      <c r="J1843" s="0" t="s">
        <v>6164</v>
      </c>
      <c r="K1843" s="0" t="s">
        <v>6165</v>
      </c>
      <c r="L1843" s="0" t="str">
        <f aca="false">HYPERLINK("https://www.ncbi.nlm.nih.gov/nuccore/CP000058.1?report=graph&amp;tracks=[key:gene_model_track,Options:GeneOnly]&amp;mk=564645:564664|offset_9|444444,564620:564639|offset_34|444444,564589:564608|offset_65|00cc00,564566:564585|offset_88|444444&amp;v=564444:564785&amp;c=444444", "offset 65")</f>
        <v>offset 65</v>
      </c>
    </row>
    <row r="1844" customFormat="false" ht="12.8" hidden="false" customHeight="false" outlineLevel="0" collapsed="false">
      <c r="A1844" s="0" t="s">
        <v>12</v>
      </c>
      <c r="B1844" s="0" t="n">
        <v>564565</v>
      </c>
      <c r="C1844" s="0" t="n">
        <v>564585</v>
      </c>
      <c r="D1844" s="0" t="s">
        <v>6156</v>
      </c>
      <c r="E1844" s="0" t="s">
        <v>75</v>
      </c>
      <c r="F1844" s="0" t="s">
        <v>90</v>
      </c>
      <c r="G1844" s="0" t="s">
        <v>16</v>
      </c>
      <c r="H1844" s="0" t="n">
        <v>88</v>
      </c>
      <c r="I1844" s="0" t="s">
        <v>6166</v>
      </c>
      <c r="J1844" s="0" t="s">
        <v>6167</v>
      </c>
      <c r="K1844" s="0" t="s">
        <v>6168</v>
      </c>
      <c r="L1844" s="0" t="str">
        <f aca="false">HYPERLINK("https://www.ncbi.nlm.nih.gov/nuccore/CP000058.1?report=graph&amp;tracks=[key:gene_model_track,Options:GeneOnly]&amp;mk=564645:564664|offset_9|444444,564620:564639|offset_34|444444,564589:564608|offset_65|444444,564566:564585|offset_88|00cc00&amp;v=564444:564785&amp;c=444444", "offset 88")</f>
        <v>offset 88</v>
      </c>
    </row>
    <row r="1845" customFormat="false" ht="12.8" hidden="false" customHeight="false" outlineLevel="0" collapsed="false">
      <c r="A1845" s="0" t="s">
        <v>12</v>
      </c>
      <c r="B1845" s="0" t="n">
        <v>566456</v>
      </c>
      <c r="C1845" s="0" t="n">
        <v>566476</v>
      </c>
      <c r="D1845" s="0" t="s">
        <v>6169</v>
      </c>
      <c r="E1845" s="0" t="s">
        <v>75</v>
      </c>
      <c r="F1845" s="0" t="s">
        <v>90</v>
      </c>
      <c r="G1845" s="0" t="s">
        <v>36</v>
      </c>
      <c r="H1845" s="0" t="n">
        <v>17</v>
      </c>
      <c r="I1845" s="0" t="s">
        <v>6170</v>
      </c>
      <c r="J1845" s="0" t="s">
        <v>6171</v>
      </c>
      <c r="K1845" s="0" t="s">
        <v>6172</v>
      </c>
      <c r="L1845" s="0" t="str">
        <f aca="false">HYPERLINK("https://www.ncbi.nlm.nih.gov/nuccore/CP000058.1?report=graph&amp;tracks=[key:gene_model_track,Options:GeneOnly]&amp;mk=566457:566476|offset_17|00cc00,566423:566442|offset_51|444444,566394:566413|offset_80|444444,566365:566384|offset_109|444444&amp;v=566256:566584&amp;c=444444", "offset 17")</f>
        <v>offset 17</v>
      </c>
    </row>
    <row r="1846" customFormat="false" ht="12.8" hidden="false" customHeight="false" outlineLevel="0" collapsed="false">
      <c r="A1846" s="0" t="s">
        <v>12</v>
      </c>
      <c r="B1846" s="0" t="n">
        <v>566422</v>
      </c>
      <c r="C1846" s="0" t="n">
        <v>566442</v>
      </c>
      <c r="D1846" s="0" t="s">
        <v>6169</v>
      </c>
      <c r="E1846" s="0" t="s">
        <v>75</v>
      </c>
      <c r="F1846" s="0" t="s">
        <v>90</v>
      </c>
      <c r="G1846" s="0" t="s">
        <v>16</v>
      </c>
      <c r="H1846" s="0" t="n">
        <v>51</v>
      </c>
      <c r="I1846" s="0" t="s">
        <v>6173</v>
      </c>
      <c r="J1846" s="0" t="s">
        <v>6174</v>
      </c>
      <c r="K1846" s="0" t="s">
        <v>6175</v>
      </c>
      <c r="L1846" s="0" t="str">
        <f aca="false">HYPERLINK("https://www.ncbi.nlm.nih.gov/nuccore/CP000058.1?report=graph&amp;tracks=[key:gene_model_track,Options:GeneOnly]&amp;mk=566457:566476|offset_17|444444,566423:566442|offset_51|00cc00,566394:566413|offset_80|444444,566365:566384|offset_109|444444&amp;v=566256:566584&amp;c=444444", "offset 51")</f>
        <v>offset 51</v>
      </c>
    </row>
    <row r="1847" customFormat="false" ht="12.8" hidden="false" customHeight="false" outlineLevel="0" collapsed="false">
      <c r="A1847" s="0" t="s">
        <v>12</v>
      </c>
      <c r="B1847" s="0" t="n">
        <v>566393</v>
      </c>
      <c r="C1847" s="0" t="n">
        <v>566413</v>
      </c>
      <c r="D1847" s="0" t="s">
        <v>6169</v>
      </c>
      <c r="E1847" s="0" t="s">
        <v>75</v>
      </c>
      <c r="F1847" s="0" t="s">
        <v>90</v>
      </c>
      <c r="G1847" s="0" t="s">
        <v>20</v>
      </c>
      <c r="H1847" s="0" t="n">
        <v>80</v>
      </c>
      <c r="I1847" s="0" t="s">
        <v>6176</v>
      </c>
      <c r="J1847" s="0" t="s">
        <v>6177</v>
      </c>
      <c r="K1847" s="0" t="s">
        <v>6178</v>
      </c>
      <c r="L1847" s="0" t="str">
        <f aca="false">HYPERLINK("https://www.ncbi.nlm.nih.gov/nuccore/CP000058.1?report=graph&amp;tracks=[key:gene_model_track,Options:GeneOnly]&amp;mk=566457:566476|offset_17|444444,566423:566442|offset_51|444444,566394:566413|offset_80|00cc00,566365:566384|offset_109|444444&amp;v=566256:566584&amp;c=444444", "offset 80")</f>
        <v>offset 80</v>
      </c>
    </row>
    <row r="1848" customFormat="false" ht="12.8" hidden="false" customHeight="false" outlineLevel="0" collapsed="false">
      <c r="A1848" s="0" t="s">
        <v>12</v>
      </c>
      <c r="B1848" s="0" t="n">
        <v>566364</v>
      </c>
      <c r="C1848" s="0" t="n">
        <v>566384</v>
      </c>
      <c r="D1848" s="0" t="s">
        <v>6169</v>
      </c>
      <c r="E1848" s="0" t="s">
        <v>75</v>
      </c>
      <c r="F1848" s="0" t="s">
        <v>90</v>
      </c>
      <c r="G1848" s="0" t="s">
        <v>16</v>
      </c>
      <c r="H1848" s="0" t="n">
        <v>109</v>
      </c>
      <c r="I1848" s="0" t="s">
        <v>6179</v>
      </c>
      <c r="J1848" s="0" t="s">
        <v>6180</v>
      </c>
      <c r="K1848" s="0" t="s">
        <v>6181</v>
      </c>
      <c r="L1848" s="0" t="str">
        <f aca="false">HYPERLINK("https://www.ncbi.nlm.nih.gov/nuccore/CP000058.1?report=graph&amp;tracks=[key:gene_model_track,Options:GeneOnly]&amp;mk=566457:566476|offset_17|444444,566423:566442|offset_51|444444,566394:566413|offset_80|444444,566365:566384|offset_109|00cc00&amp;v=566256:566584&amp;c=444444", "offset 109")</f>
        <v>offset 109</v>
      </c>
    </row>
    <row r="1849" customFormat="false" ht="12.8" hidden="false" customHeight="false" outlineLevel="0" collapsed="false">
      <c r="A1849" s="0" t="s">
        <v>12</v>
      </c>
      <c r="B1849" s="0" t="n">
        <v>566977</v>
      </c>
      <c r="C1849" s="0" t="n">
        <v>566997</v>
      </c>
      <c r="D1849" s="0" t="s">
        <v>6182</v>
      </c>
      <c r="E1849" s="0" t="s">
        <v>75</v>
      </c>
      <c r="F1849" s="0" t="s">
        <v>15</v>
      </c>
      <c r="G1849" s="0" t="s">
        <v>36</v>
      </c>
      <c r="H1849" s="0" t="n">
        <v>37</v>
      </c>
      <c r="I1849" s="0" t="s">
        <v>6183</v>
      </c>
      <c r="J1849" s="0" t="s">
        <v>6184</v>
      </c>
      <c r="K1849" s="0" t="s">
        <v>6185</v>
      </c>
      <c r="L1849" s="0" t="str">
        <f aca="false">HYPERLINK("https://www.ncbi.nlm.nih.gov/nuccore/CP000058.1?report=graph&amp;tracks=[key:gene_model_track,Options:GeneOnly]&amp;mk=566978:566997|offset_37|00cc00,567002:567021|offset_61|444444,567051:567070|offset_110|444444,567071:567090|offset_130|444444&amp;v=566777:567290&amp;c=444444", "offset 37")</f>
        <v>offset 37</v>
      </c>
    </row>
    <row r="1850" customFormat="false" ht="12.8" hidden="false" customHeight="false" outlineLevel="0" collapsed="false">
      <c r="A1850" s="0" t="s">
        <v>12</v>
      </c>
      <c r="B1850" s="0" t="n">
        <v>567001</v>
      </c>
      <c r="C1850" s="0" t="n">
        <v>567021</v>
      </c>
      <c r="D1850" s="0" t="s">
        <v>6182</v>
      </c>
      <c r="E1850" s="0" t="s">
        <v>75</v>
      </c>
      <c r="F1850" s="0" t="s">
        <v>15</v>
      </c>
      <c r="G1850" s="0" t="s">
        <v>16</v>
      </c>
      <c r="H1850" s="0" t="n">
        <v>61</v>
      </c>
      <c r="I1850" s="0" t="s">
        <v>6186</v>
      </c>
      <c r="J1850" s="0" t="s">
        <v>6187</v>
      </c>
      <c r="K1850" s="0" t="s">
        <v>6188</v>
      </c>
      <c r="L1850" s="0" t="str">
        <f aca="false">HYPERLINK("https://www.ncbi.nlm.nih.gov/nuccore/CP000058.1?report=graph&amp;tracks=[key:gene_model_track,Options:GeneOnly]&amp;mk=566978:566997|offset_37|444444,567002:567021|offset_61|00cc00,567051:567070|offset_110|444444,567071:567090|offset_130|444444&amp;v=566777:567290&amp;c=444444", "offset 61")</f>
        <v>offset 61</v>
      </c>
    </row>
    <row r="1851" customFormat="false" ht="12.8" hidden="false" customHeight="false" outlineLevel="0" collapsed="false">
      <c r="A1851" s="0" t="s">
        <v>12</v>
      </c>
      <c r="B1851" s="0" t="n">
        <v>567050</v>
      </c>
      <c r="C1851" s="0" t="n">
        <v>567070</v>
      </c>
      <c r="D1851" s="0" t="s">
        <v>6182</v>
      </c>
      <c r="E1851" s="0" t="s">
        <v>75</v>
      </c>
      <c r="F1851" s="0" t="s">
        <v>15</v>
      </c>
      <c r="G1851" s="0" t="s">
        <v>36</v>
      </c>
      <c r="H1851" s="0" t="n">
        <v>110</v>
      </c>
      <c r="I1851" s="0" t="s">
        <v>6189</v>
      </c>
      <c r="J1851" s="0" t="s">
        <v>6190</v>
      </c>
      <c r="K1851" s="0" t="s">
        <v>6191</v>
      </c>
      <c r="L1851" s="0" t="str">
        <f aca="false">HYPERLINK("https://www.ncbi.nlm.nih.gov/nuccore/CP000058.1?report=graph&amp;tracks=[key:gene_model_track,Options:GeneOnly]&amp;mk=566978:566997|offset_37|444444,567002:567021|offset_61|444444,567051:567070|offset_110|00cc00,567071:567090|offset_130|444444&amp;v=566777:567290&amp;c=444444", "offset 110")</f>
        <v>offset 110</v>
      </c>
    </row>
    <row r="1852" customFormat="false" ht="12.8" hidden="false" customHeight="false" outlineLevel="0" collapsed="false">
      <c r="A1852" s="0" t="s">
        <v>12</v>
      </c>
      <c r="B1852" s="0" t="n">
        <v>567070</v>
      </c>
      <c r="C1852" s="0" t="n">
        <v>567090</v>
      </c>
      <c r="D1852" s="0" t="s">
        <v>6182</v>
      </c>
      <c r="E1852" s="0" t="s">
        <v>75</v>
      </c>
      <c r="F1852" s="0" t="s">
        <v>15</v>
      </c>
      <c r="G1852" s="0" t="s">
        <v>20</v>
      </c>
      <c r="H1852" s="0" t="n">
        <v>130</v>
      </c>
      <c r="I1852" s="0" t="s">
        <v>6192</v>
      </c>
      <c r="J1852" s="0" t="s">
        <v>6193</v>
      </c>
      <c r="K1852" s="0" t="s">
        <v>6194</v>
      </c>
      <c r="L1852" s="0" t="str">
        <f aca="false">HYPERLINK("https://www.ncbi.nlm.nih.gov/nuccore/CP000058.1?report=graph&amp;tracks=[key:gene_model_track,Options:GeneOnly]&amp;mk=566978:566997|offset_37|444444,567002:567021|offset_61|444444,567051:567070|offset_110|444444,567071:567090|offset_130|00cc00&amp;v=566777:567290&amp;c=444444", "offset 130")</f>
        <v>offset 130</v>
      </c>
    </row>
    <row r="1853" customFormat="false" ht="12.8" hidden="false" customHeight="false" outlineLevel="0" collapsed="false">
      <c r="A1853" s="0" t="s">
        <v>12</v>
      </c>
      <c r="B1853" s="0" t="n">
        <v>571539</v>
      </c>
      <c r="C1853" s="0" t="n">
        <v>571559</v>
      </c>
      <c r="D1853" s="0" t="s">
        <v>6195</v>
      </c>
      <c r="E1853" s="0" t="s">
        <v>75</v>
      </c>
      <c r="F1853" s="0" t="s">
        <v>90</v>
      </c>
      <c r="G1853" s="0" t="s">
        <v>16</v>
      </c>
      <c r="H1853" s="0" t="n">
        <v>61</v>
      </c>
      <c r="I1853" s="0" t="s">
        <v>6196</v>
      </c>
      <c r="J1853" s="0" t="s">
        <v>6197</v>
      </c>
      <c r="K1853" s="0" t="s">
        <v>6198</v>
      </c>
      <c r="L1853" s="0" t="str">
        <f aca="false">HYPERLINK("https://www.ncbi.nlm.nih.gov/nuccore/CP000058.1?report=graph&amp;tracks=[key:gene_model_track,Options:GeneOnly]&amp;mk=571540:571559|offset_61|00cc00,571520:571539|offset_81|444444,571498:571517|offset_103|444444,571468:571487|offset_133|444444&amp;v=571339:571687&amp;c=444444", "offset 61")</f>
        <v>offset 61</v>
      </c>
    </row>
    <row r="1854" customFormat="false" ht="12.8" hidden="false" customHeight="false" outlineLevel="0" collapsed="false">
      <c r="A1854" s="0" t="s">
        <v>12</v>
      </c>
      <c r="B1854" s="0" t="n">
        <v>571519</v>
      </c>
      <c r="C1854" s="0" t="n">
        <v>571539</v>
      </c>
      <c r="D1854" s="0" t="s">
        <v>6195</v>
      </c>
      <c r="E1854" s="0" t="s">
        <v>75</v>
      </c>
      <c r="F1854" s="0" t="s">
        <v>90</v>
      </c>
      <c r="G1854" s="0" t="s">
        <v>32</v>
      </c>
      <c r="H1854" s="0" t="n">
        <v>81</v>
      </c>
      <c r="I1854" s="0" t="s">
        <v>6199</v>
      </c>
      <c r="J1854" s="0" t="s">
        <v>6200</v>
      </c>
      <c r="K1854" s="0" t="s">
        <v>6201</v>
      </c>
      <c r="L1854" s="0" t="str">
        <f aca="false">HYPERLINK("https://www.ncbi.nlm.nih.gov/nuccore/CP000058.1?report=graph&amp;tracks=[key:gene_model_track,Options:GeneOnly]&amp;mk=571540:571559|offset_61|444444,571520:571539|offset_81|00cc00,571498:571517|offset_103|444444,571468:571487|offset_133|444444&amp;v=571339:571687&amp;c=444444", "offset 81")</f>
        <v>offset 81</v>
      </c>
    </row>
    <row r="1855" customFormat="false" ht="12.8" hidden="false" customHeight="false" outlineLevel="0" collapsed="false">
      <c r="A1855" s="0" t="s">
        <v>12</v>
      </c>
      <c r="B1855" s="0" t="n">
        <v>571497</v>
      </c>
      <c r="C1855" s="0" t="n">
        <v>571517</v>
      </c>
      <c r="D1855" s="0" t="s">
        <v>6195</v>
      </c>
      <c r="E1855" s="0" t="s">
        <v>75</v>
      </c>
      <c r="F1855" s="0" t="s">
        <v>90</v>
      </c>
      <c r="G1855" s="0" t="s">
        <v>16</v>
      </c>
      <c r="H1855" s="0" t="n">
        <v>103</v>
      </c>
      <c r="I1855" s="0" t="s">
        <v>6202</v>
      </c>
      <c r="J1855" s="0" t="s">
        <v>6203</v>
      </c>
      <c r="K1855" s="0" t="s">
        <v>6204</v>
      </c>
      <c r="L1855" s="0" t="str">
        <f aca="false">HYPERLINK("https://www.ncbi.nlm.nih.gov/nuccore/CP000058.1?report=graph&amp;tracks=[key:gene_model_track,Options:GeneOnly]&amp;mk=571540:571559|offset_61|444444,571520:571539|offset_81|444444,571498:571517|offset_103|00cc00,571468:571487|offset_133|444444&amp;v=571339:571687&amp;c=444444", "offset 103")</f>
        <v>offset 103</v>
      </c>
    </row>
    <row r="1856" customFormat="false" ht="12.8" hidden="false" customHeight="false" outlineLevel="0" collapsed="false">
      <c r="A1856" s="0" t="s">
        <v>12</v>
      </c>
      <c r="B1856" s="0" t="n">
        <v>571467</v>
      </c>
      <c r="C1856" s="0" t="n">
        <v>571487</v>
      </c>
      <c r="D1856" s="0" t="s">
        <v>6195</v>
      </c>
      <c r="E1856" s="0" t="s">
        <v>75</v>
      </c>
      <c r="F1856" s="0" t="s">
        <v>90</v>
      </c>
      <c r="G1856" s="0" t="s">
        <v>32</v>
      </c>
      <c r="H1856" s="0" t="n">
        <v>133</v>
      </c>
      <c r="I1856" s="0" t="s">
        <v>6205</v>
      </c>
      <c r="J1856" s="0" t="s">
        <v>6206</v>
      </c>
      <c r="K1856" s="0" t="s">
        <v>6207</v>
      </c>
      <c r="L1856" s="0" t="str">
        <f aca="false">HYPERLINK("https://www.ncbi.nlm.nih.gov/nuccore/CP000058.1?report=graph&amp;tracks=[key:gene_model_track,Options:GeneOnly]&amp;mk=571540:571559|offset_61|444444,571520:571539|offset_81|444444,571498:571517|offset_103|444444,571468:571487|offset_133|00cc00&amp;v=571339:571687&amp;c=444444", "offset 133")</f>
        <v>offset 133</v>
      </c>
    </row>
    <row r="1857" customFormat="false" ht="12.8" hidden="false" customHeight="false" outlineLevel="0" collapsed="false">
      <c r="A1857" s="0" t="s">
        <v>12</v>
      </c>
      <c r="B1857" s="0" t="n">
        <v>575563</v>
      </c>
      <c r="C1857" s="0" t="n">
        <v>575583</v>
      </c>
      <c r="D1857" s="0" t="s">
        <v>6208</v>
      </c>
      <c r="E1857" s="0" t="s">
        <v>6209</v>
      </c>
      <c r="F1857" s="0" t="s">
        <v>90</v>
      </c>
      <c r="G1857" s="0" t="s">
        <v>32</v>
      </c>
      <c r="H1857" s="0" t="n">
        <v>7</v>
      </c>
      <c r="I1857" s="0" t="s">
        <v>6210</v>
      </c>
      <c r="J1857" s="0" t="s">
        <v>6211</v>
      </c>
      <c r="K1857" s="0" t="s">
        <v>6212</v>
      </c>
      <c r="L1857" s="0" t="str">
        <f aca="false">HYPERLINK("https://www.ncbi.nlm.nih.gov/nuccore/CP000058.1?report=graph&amp;tracks=[key:gene_model_track,Options:GeneOnly]&amp;mk=575564:575583|offset_7|00cc00,575533:575552|offset_38|444444,575510:575529|offset_61|444444,575484:575503|offset_87|444444&amp;v=575363:575703&amp;c=444444", "offset 7")</f>
        <v>offset 7</v>
      </c>
    </row>
    <row r="1858" customFormat="false" ht="12.8" hidden="false" customHeight="false" outlineLevel="0" collapsed="false">
      <c r="A1858" s="0" t="s">
        <v>12</v>
      </c>
      <c r="B1858" s="0" t="n">
        <v>575532</v>
      </c>
      <c r="C1858" s="0" t="n">
        <v>575552</v>
      </c>
      <c r="D1858" s="0" t="s">
        <v>6208</v>
      </c>
      <c r="E1858" s="0" t="s">
        <v>6209</v>
      </c>
      <c r="F1858" s="0" t="s">
        <v>90</v>
      </c>
      <c r="G1858" s="0" t="s">
        <v>36</v>
      </c>
      <c r="H1858" s="0" t="n">
        <v>38</v>
      </c>
      <c r="I1858" s="0" t="s">
        <v>6213</v>
      </c>
      <c r="J1858" s="0" t="s">
        <v>6214</v>
      </c>
      <c r="K1858" s="0" t="s">
        <v>6215</v>
      </c>
      <c r="L1858" s="0" t="str">
        <f aca="false">HYPERLINK("https://www.ncbi.nlm.nih.gov/nuccore/CP000058.1?report=graph&amp;tracks=[key:gene_model_track,Options:GeneOnly]&amp;mk=575564:575583|offset_7|444444,575533:575552|offset_38|00cc00,575510:575529|offset_61|444444,575484:575503|offset_87|444444&amp;v=575363:575703&amp;c=444444", "offset 38")</f>
        <v>offset 38</v>
      </c>
    </row>
    <row r="1859" customFormat="false" ht="12.8" hidden="false" customHeight="false" outlineLevel="0" collapsed="false">
      <c r="A1859" s="0" t="s">
        <v>12</v>
      </c>
      <c r="B1859" s="0" t="n">
        <v>575509</v>
      </c>
      <c r="C1859" s="0" t="n">
        <v>575529</v>
      </c>
      <c r="D1859" s="0" t="s">
        <v>6208</v>
      </c>
      <c r="E1859" s="0" t="s">
        <v>6209</v>
      </c>
      <c r="F1859" s="0" t="s">
        <v>90</v>
      </c>
      <c r="G1859" s="0" t="s">
        <v>16</v>
      </c>
      <c r="H1859" s="0" t="n">
        <v>61</v>
      </c>
      <c r="I1859" s="0" t="s">
        <v>6216</v>
      </c>
      <c r="J1859" s="0" t="s">
        <v>6217</v>
      </c>
      <c r="K1859" s="0" t="s">
        <v>6218</v>
      </c>
      <c r="L1859" s="0" t="str">
        <f aca="false">HYPERLINK("https://www.ncbi.nlm.nih.gov/nuccore/CP000058.1?report=graph&amp;tracks=[key:gene_model_track,Options:GeneOnly]&amp;mk=575564:575583|offset_7|444444,575533:575552|offset_38|444444,575510:575529|offset_61|00cc00,575484:575503|offset_87|444444&amp;v=575363:575703&amp;c=444444", "offset 61")</f>
        <v>offset 61</v>
      </c>
    </row>
    <row r="1860" customFormat="false" ht="12.8" hidden="false" customHeight="false" outlineLevel="0" collapsed="false">
      <c r="A1860" s="0" t="s">
        <v>12</v>
      </c>
      <c r="B1860" s="0" t="n">
        <v>575483</v>
      </c>
      <c r="C1860" s="0" t="n">
        <v>575503</v>
      </c>
      <c r="D1860" s="0" t="s">
        <v>6208</v>
      </c>
      <c r="E1860" s="0" t="s">
        <v>6209</v>
      </c>
      <c r="F1860" s="0" t="s">
        <v>90</v>
      </c>
      <c r="G1860" s="0" t="s">
        <v>16</v>
      </c>
      <c r="H1860" s="0" t="n">
        <v>87</v>
      </c>
      <c r="I1860" s="0" t="s">
        <v>6219</v>
      </c>
      <c r="J1860" s="0" t="s">
        <v>6220</v>
      </c>
      <c r="K1860" s="0" t="s">
        <v>6221</v>
      </c>
      <c r="L1860" s="0" t="str">
        <f aca="false">HYPERLINK("https://www.ncbi.nlm.nih.gov/nuccore/CP000058.1?report=graph&amp;tracks=[key:gene_model_track,Options:GeneOnly]&amp;mk=575564:575583|offset_7|444444,575533:575552|offset_38|444444,575510:575529|offset_61|444444,575484:575503|offset_87|00cc00&amp;v=575363:575703&amp;c=444444", "offset 87")</f>
        <v>offset 87</v>
      </c>
    </row>
    <row r="1861" customFormat="false" ht="12.8" hidden="false" customHeight="false" outlineLevel="0" collapsed="false">
      <c r="A1861" s="0" t="s">
        <v>12</v>
      </c>
      <c r="B1861" s="0" t="n">
        <v>575974</v>
      </c>
      <c r="C1861" s="0" t="n">
        <v>575994</v>
      </c>
      <c r="D1861" s="0" t="s">
        <v>6222</v>
      </c>
      <c r="E1861" s="0" t="s">
        <v>6223</v>
      </c>
      <c r="F1861" s="0" t="s">
        <v>15</v>
      </c>
      <c r="G1861" s="0" t="s">
        <v>16</v>
      </c>
      <c r="H1861" s="0" t="n">
        <v>8</v>
      </c>
      <c r="I1861" s="0" t="s">
        <v>6224</v>
      </c>
      <c r="J1861" s="0" t="s">
        <v>6225</v>
      </c>
      <c r="K1861" s="0" t="s">
        <v>6226</v>
      </c>
      <c r="L1861" s="0" t="str">
        <f aca="false">HYPERLINK("https://www.ncbi.nlm.nih.gov/nuccore/CP000058.1?report=graph&amp;tracks=[key:gene_model_track,Options:GeneOnly]&amp;mk=575975:575994|offset_8|00cc00,575995:576014|offset_28|444444,576028:576047|offset_61|444444,576056:576075|offset_89|444444&amp;v=575774:576275&amp;c=444444", "offset 8")</f>
        <v>offset 8</v>
      </c>
    </row>
    <row r="1862" customFormat="false" ht="12.8" hidden="false" customHeight="false" outlineLevel="0" collapsed="false">
      <c r="A1862" s="0" t="s">
        <v>12</v>
      </c>
      <c r="B1862" s="0" t="n">
        <v>575994</v>
      </c>
      <c r="C1862" s="0" t="n">
        <v>576014</v>
      </c>
      <c r="D1862" s="0" t="s">
        <v>6222</v>
      </c>
      <c r="E1862" s="0" t="s">
        <v>6223</v>
      </c>
      <c r="F1862" s="0" t="s">
        <v>15</v>
      </c>
      <c r="G1862" s="0" t="s">
        <v>20</v>
      </c>
      <c r="H1862" s="0" t="n">
        <v>28</v>
      </c>
      <c r="I1862" s="0" t="s">
        <v>6227</v>
      </c>
      <c r="J1862" s="0" t="s">
        <v>6228</v>
      </c>
      <c r="K1862" s="0" t="s">
        <v>6229</v>
      </c>
      <c r="L1862" s="0" t="str">
        <f aca="false">HYPERLINK("https://www.ncbi.nlm.nih.gov/nuccore/CP000058.1?report=graph&amp;tracks=[key:gene_model_track,Options:GeneOnly]&amp;mk=575975:575994|offset_8|444444,575995:576014|offset_28|00cc00,576028:576047|offset_61|444444,576056:576075|offset_89|444444&amp;v=575774:576275&amp;c=444444", "offset 28")</f>
        <v>offset 28</v>
      </c>
    </row>
    <row r="1863" customFormat="false" ht="12.8" hidden="false" customHeight="false" outlineLevel="0" collapsed="false">
      <c r="A1863" s="0" t="s">
        <v>12</v>
      </c>
      <c r="B1863" s="0" t="n">
        <v>576027</v>
      </c>
      <c r="C1863" s="0" t="n">
        <v>576047</v>
      </c>
      <c r="D1863" s="0" t="s">
        <v>6222</v>
      </c>
      <c r="E1863" s="0" t="s">
        <v>6223</v>
      </c>
      <c r="F1863" s="0" t="s">
        <v>15</v>
      </c>
      <c r="G1863" s="0" t="s">
        <v>32</v>
      </c>
      <c r="H1863" s="0" t="n">
        <v>61</v>
      </c>
      <c r="I1863" s="0" t="s">
        <v>6230</v>
      </c>
      <c r="J1863" s="0" t="s">
        <v>6231</v>
      </c>
      <c r="K1863" s="0" t="s">
        <v>6232</v>
      </c>
      <c r="L1863" s="0" t="str">
        <f aca="false">HYPERLINK("https://www.ncbi.nlm.nih.gov/nuccore/CP000058.1?report=graph&amp;tracks=[key:gene_model_track,Options:GeneOnly]&amp;mk=575975:575994|offset_8|444444,575995:576014|offset_28|444444,576028:576047|offset_61|00cc00,576056:576075|offset_89|444444&amp;v=575774:576275&amp;c=444444", "offset 61")</f>
        <v>offset 61</v>
      </c>
    </row>
    <row r="1864" customFormat="false" ht="12.8" hidden="false" customHeight="false" outlineLevel="0" collapsed="false">
      <c r="A1864" s="0" t="s">
        <v>12</v>
      </c>
      <c r="B1864" s="0" t="n">
        <v>576055</v>
      </c>
      <c r="C1864" s="0" t="n">
        <v>576075</v>
      </c>
      <c r="D1864" s="0" t="s">
        <v>6222</v>
      </c>
      <c r="E1864" s="0" t="s">
        <v>6223</v>
      </c>
      <c r="F1864" s="0" t="s">
        <v>15</v>
      </c>
      <c r="G1864" s="0" t="s">
        <v>36</v>
      </c>
      <c r="H1864" s="0" t="n">
        <v>89</v>
      </c>
      <c r="I1864" s="0" t="s">
        <v>6233</v>
      </c>
      <c r="J1864" s="0" t="s">
        <v>6234</v>
      </c>
      <c r="K1864" s="0" t="s">
        <v>6235</v>
      </c>
      <c r="L1864" s="0" t="str">
        <f aca="false">HYPERLINK("https://www.ncbi.nlm.nih.gov/nuccore/CP000058.1?report=graph&amp;tracks=[key:gene_model_track,Options:GeneOnly]&amp;mk=575975:575994|offset_8|444444,575995:576014|offset_28|444444,576028:576047|offset_61|444444,576056:576075|offset_89|00cc00&amp;v=575774:576275&amp;c=444444", "offset 89")</f>
        <v>offset 89</v>
      </c>
    </row>
    <row r="1865" customFormat="false" ht="12.8" hidden="false" customHeight="false" outlineLevel="0" collapsed="false">
      <c r="A1865" s="0" t="s">
        <v>12</v>
      </c>
      <c r="B1865" s="0" t="n">
        <v>578253</v>
      </c>
      <c r="C1865" s="0" t="n">
        <v>578273</v>
      </c>
      <c r="D1865" s="0" t="s">
        <v>6236</v>
      </c>
      <c r="E1865" s="0" t="s">
        <v>75</v>
      </c>
      <c r="F1865" s="0" t="s">
        <v>90</v>
      </c>
      <c r="G1865" s="0" t="s">
        <v>32</v>
      </c>
      <c r="H1865" s="0" t="n">
        <v>23</v>
      </c>
      <c r="I1865" s="0" t="s">
        <v>6237</v>
      </c>
      <c r="J1865" s="0" t="s">
        <v>6238</v>
      </c>
      <c r="K1865" s="0" t="s">
        <v>6239</v>
      </c>
      <c r="L1865" s="0" t="str">
        <f aca="false">HYPERLINK("https://www.ncbi.nlm.nih.gov/nuccore/CP000058.1?report=graph&amp;tracks=[key:gene_model_track,Options:GeneOnly]&amp;mk=578254:578273|offset_23|00cc00,578229:578248|offset_48|444444,578156:578175|offset_121|444444,578132:578151|offset_145|444444&amp;v=578053:578351&amp;c=444444", "offset 23")</f>
        <v>offset 23</v>
      </c>
    </row>
    <row r="1866" customFormat="false" ht="12.8" hidden="false" customHeight="false" outlineLevel="0" collapsed="false">
      <c r="A1866" s="0" t="s">
        <v>12</v>
      </c>
      <c r="B1866" s="0" t="n">
        <v>578228</v>
      </c>
      <c r="C1866" s="0" t="n">
        <v>578248</v>
      </c>
      <c r="D1866" s="0" t="s">
        <v>6236</v>
      </c>
      <c r="E1866" s="0" t="s">
        <v>75</v>
      </c>
      <c r="F1866" s="0" t="s">
        <v>90</v>
      </c>
      <c r="G1866" s="0" t="s">
        <v>36</v>
      </c>
      <c r="H1866" s="0" t="n">
        <v>48</v>
      </c>
      <c r="I1866" s="0" t="s">
        <v>6240</v>
      </c>
      <c r="J1866" s="0" t="s">
        <v>6241</v>
      </c>
      <c r="K1866" s="0" t="s">
        <v>6242</v>
      </c>
      <c r="L1866" s="0" t="str">
        <f aca="false">HYPERLINK("https://www.ncbi.nlm.nih.gov/nuccore/CP000058.1?report=graph&amp;tracks=[key:gene_model_track,Options:GeneOnly]&amp;mk=578254:578273|offset_23|444444,578229:578248|offset_48|00cc00,578156:578175|offset_121|444444,578132:578151|offset_145|444444&amp;v=578053:578351&amp;c=444444", "offset 48")</f>
        <v>offset 48</v>
      </c>
    </row>
    <row r="1867" customFormat="false" ht="12.8" hidden="false" customHeight="false" outlineLevel="0" collapsed="false">
      <c r="A1867" s="0" t="s">
        <v>12</v>
      </c>
      <c r="B1867" s="0" t="n">
        <v>578155</v>
      </c>
      <c r="C1867" s="0" t="n">
        <v>578175</v>
      </c>
      <c r="D1867" s="0" t="s">
        <v>6236</v>
      </c>
      <c r="E1867" s="0" t="s">
        <v>75</v>
      </c>
      <c r="F1867" s="0" t="s">
        <v>90</v>
      </c>
      <c r="G1867" s="0" t="s">
        <v>32</v>
      </c>
      <c r="H1867" s="0" t="n">
        <v>121</v>
      </c>
      <c r="I1867" s="0" t="s">
        <v>6243</v>
      </c>
      <c r="J1867" s="0" t="s">
        <v>6244</v>
      </c>
      <c r="K1867" s="0" t="s">
        <v>6245</v>
      </c>
      <c r="L1867" s="0" t="str">
        <f aca="false">HYPERLINK("https://www.ncbi.nlm.nih.gov/nuccore/CP000058.1?report=graph&amp;tracks=[key:gene_model_track,Options:GeneOnly]&amp;mk=578254:578273|offset_23|444444,578229:578248|offset_48|444444,578156:578175|offset_121|00cc00,578132:578151|offset_145|444444&amp;v=578053:578351&amp;c=444444", "offset 121")</f>
        <v>offset 121</v>
      </c>
    </row>
    <row r="1868" customFormat="false" ht="12.8" hidden="false" customHeight="false" outlineLevel="0" collapsed="false">
      <c r="A1868" s="0" t="s">
        <v>12</v>
      </c>
      <c r="B1868" s="0" t="n">
        <v>578131</v>
      </c>
      <c r="C1868" s="0" t="n">
        <v>578151</v>
      </c>
      <c r="D1868" s="0" t="s">
        <v>6236</v>
      </c>
      <c r="E1868" s="0" t="s">
        <v>75</v>
      </c>
      <c r="F1868" s="0" t="s">
        <v>90</v>
      </c>
      <c r="G1868" s="0" t="s">
        <v>16</v>
      </c>
      <c r="H1868" s="0" t="n">
        <v>145</v>
      </c>
      <c r="I1868" s="0" t="s">
        <v>6246</v>
      </c>
      <c r="J1868" s="0" t="s">
        <v>6247</v>
      </c>
      <c r="K1868" s="0" t="s">
        <v>6248</v>
      </c>
      <c r="L1868" s="0" t="str">
        <f aca="false">HYPERLINK("https://www.ncbi.nlm.nih.gov/nuccore/CP000058.1?report=graph&amp;tracks=[key:gene_model_track,Options:GeneOnly]&amp;mk=578254:578273|offset_23|444444,578229:578248|offset_48|444444,578156:578175|offset_121|444444,578132:578151|offset_145|00cc00&amp;v=578053:578351&amp;c=444444", "offset 145")</f>
        <v>offset 145</v>
      </c>
    </row>
    <row r="1869" customFormat="false" ht="12.8" hidden="false" customHeight="false" outlineLevel="0" collapsed="false">
      <c r="A1869" s="0" t="s">
        <v>12</v>
      </c>
      <c r="B1869" s="0" t="n">
        <v>578625</v>
      </c>
      <c r="C1869" s="0" t="n">
        <v>578645</v>
      </c>
      <c r="D1869" s="0" t="s">
        <v>6249</v>
      </c>
      <c r="E1869" s="0" t="s">
        <v>75</v>
      </c>
      <c r="F1869" s="0" t="s">
        <v>15</v>
      </c>
      <c r="G1869" s="0" t="s">
        <v>32</v>
      </c>
      <c r="H1869" s="0" t="n">
        <v>15</v>
      </c>
      <c r="I1869" s="0" t="s">
        <v>6250</v>
      </c>
      <c r="J1869" s="0" t="s">
        <v>6251</v>
      </c>
      <c r="K1869" s="0" t="s">
        <v>6252</v>
      </c>
      <c r="L1869" s="0" t="str">
        <f aca="false">HYPERLINK("https://www.ncbi.nlm.nih.gov/nuccore/CP000058.1?report=graph&amp;tracks=[key:gene_model_track,Options:GeneOnly]&amp;mk=578626:578645|offset_15|00cc00,578676:578695|offset_65|444444,578837:578856|offset_226|444444,578864:578883|offset_253|444444&amp;v=578425:579083&amp;c=444444", "offset 15")</f>
        <v>offset 15</v>
      </c>
    </row>
    <row r="1870" customFormat="false" ht="12.8" hidden="false" customHeight="false" outlineLevel="0" collapsed="false">
      <c r="A1870" s="0" t="s">
        <v>12</v>
      </c>
      <c r="B1870" s="0" t="n">
        <v>578675</v>
      </c>
      <c r="C1870" s="0" t="n">
        <v>578695</v>
      </c>
      <c r="D1870" s="0" t="s">
        <v>6249</v>
      </c>
      <c r="E1870" s="0" t="s">
        <v>75</v>
      </c>
      <c r="F1870" s="0" t="s">
        <v>15</v>
      </c>
      <c r="G1870" s="0" t="s">
        <v>36</v>
      </c>
      <c r="H1870" s="0" t="n">
        <v>65</v>
      </c>
      <c r="I1870" s="0" t="s">
        <v>6253</v>
      </c>
      <c r="J1870" s="0" t="s">
        <v>6254</v>
      </c>
      <c r="K1870" s="0" t="s">
        <v>6255</v>
      </c>
      <c r="L1870" s="0" t="str">
        <f aca="false">HYPERLINK("https://www.ncbi.nlm.nih.gov/nuccore/CP000058.1?report=graph&amp;tracks=[key:gene_model_track,Options:GeneOnly]&amp;mk=578626:578645|offset_15|444444,578676:578695|offset_65|00cc00,578837:578856|offset_226|444444,578864:578883|offset_253|444444&amp;v=578425:579083&amp;c=444444", "offset 65")</f>
        <v>offset 65</v>
      </c>
    </row>
    <row r="1871" customFormat="false" ht="12.8" hidden="false" customHeight="false" outlineLevel="0" collapsed="false">
      <c r="A1871" s="0" t="s">
        <v>12</v>
      </c>
      <c r="B1871" s="0" t="n">
        <v>578836</v>
      </c>
      <c r="C1871" s="0" t="n">
        <v>578856</v>
      </c>
      <c r="D1871" s="0" t="s">
        <v>6249</v>
      </c>
      <c r="E1871" s="0" t="s">
        <v>75</v>
      </c>
      <c r="F1871" s="0" t="s">
        <v>15</v>
      </c>
      <c r="G1871" s="0" t="s">
        <v>36</v>
      </c>
      <c r="H1871" s="0" t="n">
        <v>226</v>
      </c>
      <c r="I1871" s="0" t="s">
        <v>6256</v>
      </c>
      <c r="J1871" s="0" t="s">
        <v>6257</v>
      </c>
      <c r="K1871" s="0" t="s">
        <v>6258</v>
      </c>
      <c r="L1871" s="0" t="str">
        <f aca="false">HYPERLINK("https://www.ncbi.nlm.nih.gov/nuccore/CP000058.1?report=graph&amp;tracks=[key:gene_model_track,Options:GeneOnly]&amp;mk=578626:578645|offset_15|444444,578676:578695|offset_65|444444,578837:578856|offset_226|00cc00,578864:578883|offset_253|444444&amp;v=578425:579083&amp;c=444444", "offset 226")</f>
        <v>offset 226</v>
      </c>
    </row>
    <row r="1872" customFormat="false" ht="12.8" hidden="false" customHeight="false" outlineLevel="0" collapsed="false">
      <c r="A1872" s="0" t="s">
        <v>12</v>
      </c>
      <c r="B1872" s="0" t="n">
        <v>578863</v>
      </c>
      <c r="C1872" s="0" t="n">
        <v>578883</v>
      </c>
      <c r="D1872" s="0" t="s">
        <v>6249</v>
      </c>
      <c r="E1872" s="0" t="s">
        <v>75</v>
      </c>
      <c r="F1872" s="0" t="s">
        <v>15</v>
      </c>
      <c r="G1872" s="0" t="s">
        <v>36</v>
      </c>
      <c r="H1872" s="0" t="n">
        <v>253</v>
      </c>
      <c r="I1872" s="0" t="s">
        <v>6259</v>
      </c>
      <c r="J1872" s="0" t="s">
        <v>6260</v>
      </c>
      <c r="K1872" s="0" t="s">
        <v>6261</v>
      </c>
      <c r="L1872" s="0" t="str">
        <f aca="false">HYPERLINK("https://www.ncbi.nlm.nih.gov/nuccore/CP000058.1?report=graph&amp;tracks=[key:gene_model_track,Options:GeneOnly]&amp;mk=578626:578645|offset_15|444444,578676:578695|offset_65|444444,578837:578856|offset_226|444444,578864:578883|offset_253|00cc00&amp;v=578425:579083&amp;c=444444", "offset 253")</f>
        <v>offset 253</v>
      </c>
    </row>
    <row r="1873" customFormat="false" ht="12.8" hidden="false" customHeight="false" outlineLevel="0" collapsed="false">
      <c r="A1873" s="0" t="s">
        <v>12</v>
      </c>
      <c r="B1873" s="0" t="n">
        <v>580782</v>
      </c>
      <c r="C1873" s="0" t="n">
        <v>580802</v>
      </c>
      <c r="D1873" s="0" t="s">
        <v>6262</v>
      </c>
      <c r="E1873" s="0" t="s">
        <v>75</v>
      </c>
      <c r="F1873" s="0" t="s">
        <v>15</v>
      </c>
      <c r="G1873" s="0" t="s">
        <v>36</v>
      </c>
      <c r="H1873" s="0" t="n">
        <v>0</v>
      </c>
      <c r="I1873" s="0" t="s">
        <v>6263</v>
      </c>
      <c r="J1873" s="0" t="s">
        <v>6264</v>
      </c>
      <c r="K1873" s="0" t="s">
        <v>6265</v>
      </c>
      <c r="L1873" s="0" t="str">
        <f aca="false">HYPERLINK("https://www.ncbi.nlm.nih.gov/nuccore/CP000058.1?report=graph&amp;tracks=[key:gene_model_track,Options:GeneOnly]&amp;mk=580783:580802|offset_0|00cc00,580807:580826|offset_24|444444,580831:580850|offset_48|444444,580868:580887|offset_85|444444&amp;v=580582:581087&amp;c=444444", "offset 0")</f>
        <v>offset 0</v>
      </c>
    </row>
    <row r="1874" customFormat="false" ht="12.8" hidden="false" customHeight="false" outlineLevel="0" collapsed="false">
      <c r="A1874" s="0" t="s">
        <v>12</v>
      </c>
      <c r="B1874" s="0" t="n">
        <v>580806</v>
      </c>
      <c r="C1874" s="0" t="n">
        <v>580826</v>
      </c>
      <c r="D1874" s="0" t="s">
        <v>6262</v>
      </c>
      <c r="E1874" s="0" t="s">
        <v>75</v>
      </c>
      <c r="F1874" s="0" t="s">
        <v>15</v>
      </c>
      <c r="G1874" s="0" t="s">
        <v>16</v>
      </c>
      <c r="H1874" s="0" t="n">
        <v>24</v>
      </c>
      <c r="I1874" s="0" t="s">
        <v>6266</v>
      </c>
      <c r="J1874" s="0" t="s">
        <v>6267</v>
      </c>
      <c r="K1874" s="0" t="s">
        <v>6268</v>
      </c>
      <c r="L1874" s="0" t="str">
        <f aca="false">HYPERLINK("https://www.ncbi.nlm.nih.gov/nuccore/CP000058.1?report=graph&amp;tracks=[key:gene_model_track,Options:GeneOnly]&amp;mk=580783:580802|offset_0|444444,580807:580826|offset_24|00cc00,580831:580850|offset_48|444444,580868:580887|offset_85|444444&amp;v=580582:581087&amp;c=444444", "offset 24")</f>
        <v>offset 24</v>
      </c>
    </row>
    <row r="1875" customFormat="false" ht="12.8" hidden="false" customHeight="false" outlineLevel="0" collapsed="false">
      <c r="A1875" s="0" t="s">
        <v>12</v>
      </c>
      <c r="B1875" s="0" t="n">
        <v>580830</v>
      </c>
      <c r="C1875" s="0" t="n">
        <v>580850</v>
      </c>
      <c r="D1875" s="0" t="s">
        <v>6262</v>
      </c>
      <c r="E1875" s="0" t="s">
        <v>75</v>
      </c>
      <c r="F1875" s="0" t="s">
        <v>15</v>
      </c>
      <c r="G1875" s="0" t="s">
        <v>16</v>
      </c>
      <c r="H1875" s="0" t="n">
        <v>48</v>
      </c>
      <c r="I1875" s="0" t="s">
        <v>6269</v>
      </c>
      <c r="J1875" s="0" t="s">
        <v>6270</v>
      </c>
      <c r="K1875" s="0" t="s">
        <v>6271</v>
      </c>
      <c r="L1875" s="0" t="str">
        <f aca="false">HYPERLINK("https://www.ncbi.nlm.nih.gov/nuccore/CP000058.1?report=graph&amp;tracks=[key:gene_model_track,Options:GeneOnly]&amp;mk=580783:580802|offset_0|444444,580807:580826|offset_24|444444,580831:580850|offset_48|00cc00,580868:580887|offset_85|444444&amp;v=580582:581087&amp;c=444444", "offset 48")</f>
        <v>offset 48</v>
      </c>
    </row>
    <row r="1876" customFormat="false" ht="12.8" hidden="false" customHeight="false" outlineLevel="0" collapsed="false">
      <c r="A1876" s="0" t="s">
        <v>12</v>
      </c>
      <c r="B1876" s="0" t="n">
        <v>580867</v>
      </c>
      <c r="C1876" s="0" t="n">
        <v>580887</v>
      </c>
      <c r="D1876" s="0" t="s">
        <v>6262</v>
      </c>
      <c r="E1876" s="0" t="s">
        <v>75</v>
      </c>
      <c r="F1876" s="0" t="s">
        <v>15</v>
      </c>
      <c r="G1876" s="0" t="s">
        <v>36</v>
      </c>
      <c r="H1876" s="0" t="n">
        <v>85</v>
      </c>
      <c r="I1876" s="0" t="s">
        <v>6272</v>
      </c>
      <c r="J1876" s="0" t="s">
        <v>6273</v>
      </c>
      <c r="K1876" s="0" t="s">
        <v>6274</v>
      </c>
      <c r="L1876" s="0" t="str">
        <f aca="false">HYPERLINK("https://www.ncbi.nlm.nih.gov/nuccore/CP000058.1?report=graph&amp;tracks=[key:gene_model_track,Options:GeneOnly]&amp;mk=580783:580802|offset_0|444444,580807:580826|offset_24|444444,580831:580850|offset_48|444444,580868:580887|offset_85|00cc00&amp;v=580582:581087&amp;c=444444", "offset 85")</f>
        <v>offset 85</v>
      </c>
    </row>
    <row r="1877" customFormat="false" ht="12.8" hidden="false" customHeight="false" outlineLevel="0" collapsed="false">
      <c r="A1877" s="0" t="s">
        <v>12</v>
      </c>
      <c r="B1877" s="0" t="n">
        <v>581581</v>
      </c>
      <c r="C1877" s="0" t="n">
        <v>581601</v>
      </c>
      <c r="D1877" s="0" t="s">
        <v>6275</v>
      </c>
      <c r="E1877" s="0" t="s">
        <v>75</v>
      </c>
      <c r="F1877" s="0" t="s">
        <v>90</v>
      </c>
      <c r="G1877" s="0" t="s">
        <v>32</v>
      </c>
      <c r="H1877" s="0" t="n">
        <v>19</v>
      </c>
      <c r="I1877" s="0" t="s">
        <v>6276</v>
      </c>
      <c r="J1877" s="0" t="s">
        <v>6277</v>
      </c>
      <c r="K1877" s="0" t="s">
        <v>6278</v>
      </c>
      <c r="L1877" s="0" t="str">
        <f aca="false">HYPERLINK("https://www.ncbi.nlm.nih.gov/nuccore/CP000058.1?report=graph&amp;tracks=[key:gene_model_track,Options:GeneOnly]&amp;mk=581582:581601|offset_19|00cc00,581560:581579|offset_41|444444,581525:581544|offset_76|444444,581504:581523|offset_97|444444&amp;v=581381:581723&amp;c=444444", "offset 19")</f>
        <v>offset 19</v>
      </c>
    </row>
    <row r="1878" customFormat="false" ht="12.8" hidden="false" customHeight="false" outlineLevel="0" collapsed="false">
      <c r="A1878" s="0" t="s">
        <v>12</v>
      </c>
      <c r="B1878" s="0" t="n">
        <v>581559</v>
      </c>
      <c r="C1878" s="0" t="n">
        <v>581579</v>
      </c>
      <c r="D1878" s="0" t="s">
        <v>6275</v>
      </c>
      <c r="E1878" s="0" t="s">
        <v>75</v>
      </c>
      <c r="F1878" s="0" t="s">
        <v>90</v>
      </c>
      <c r="G1878" s="0" t="s">
        <v>20</v>
      </c>
      <c r="H1878" s="0" t="n">
        <v>41</v>
      </c>
      <c r="I1878" s="0" t="s">
        <v>6279</v>
      </c>
      <c r="J1878" s="0" t="s">
        <v>6280</v>
      </c>
      <c r="K1878" s="0" t="s">
        <v>6281</v>
      </c>
      <c r="L1878" s="0" t="str">
        <f aca="false">HYPERLINK("https://www.ncbi.nlm.nih.gov/nuccore/CP000058.1?report=graph&amp;tracks=[key:gene_model_track,Options:GeneOnly]&amp;mk=581582:581601|offset_19|444444,581560:581579|offset_41|00cc00,581525:581544|offset_76|444444,581504:581523|offset_97|444444&amp;v=581381:581723&amp;c=444444", "offset 41")</f>
        <v>offset 41</v>
      </c>
    </row>
    <row r="1879" customFormat="false" ht="12.8" hidden="false" customHeight="false" outlineLevel="0" collapsed="false">
      <c r="A1879" s="0" t="s">
        <v>12</v>
      </c>
      <c r="B1879" s="0" t="n">
        <v>581524</v>
      </c>
      <c r="C1879" s="0" t="n">
        <v>581544</v>
      </c>
      <c r="D1879" s="0" t="s">
        <v>6275</v>
      </c>
      <c r="E1879" s="0" t="s">
        <v>75</v>
      </c>
      <c r="F1879" s="0" t="s">
        <v>90</v>
      </c>
      <c r="G1879" s="0" t="s">
        <v>32</v>
      </c>
      <c r="H1879" s="0" t="n">
        <v>76</v>
      </c>
      <c r="I1879" s="0" t="s">
        <v>6282</v>
      </c>
      <c r="J1879" s="0" t="s">
        <v>6283</v>
      </c>
      <c r="K1879" s="0" t="s">
        <v>6284</v>
      </c>
      <c r="L1879" s="0" t="str">
        <f aca="false">HYPERLINK("https://www.ncbi.nlm.nih.gov/nuccore/CP000058.1?report=graph&amp;tracks=[key:gene_model_track,Options:GeneOnly]&amp;mk=581582:581601|offset_19|444444,581560:581579|offset_41|444444,581525:581544|offset_76|00cc00,581504:581523|offset_97|444444&amp;v=581381:581723&amp;c=444444", "offset 76")</f>
        <v>offset 76</v>
      </c>
    </row>
    <row r="1880" customFormat="false" ht="12.8" hidden="false" customHeight="false" outlineLevel="0" collapsed="false">
      <c r="A1880" s="0" t="s">
        <v>12</v>
      </c>
      <c r="B1880" s="0" t="n">
        <v>581503</v>
      </c>
      <c r="C1880" s="0" t="n">
        <v>581523</v>
      </c>
      <c r="D1880" s="0" t="s">
        <v>6275</v>
      </c>
      <c r="E1880" s="0" t="s">
        <v>75</v>
      </c>
      <c r="F1880" s="0" t="s">
        <v>90</v>
      </c>
      <c r="G1880" s="0" t="s">
        <v>16</v>
      </c>
      <c r="H1880" s="0" t="n">
        <v>97</v>
      </c>
      <c r="I1880" s="0" t="s">
        <v>6285</v>
      </c>
      <c r="J1880" s="0" t="s">
        <v>6286</v>
      </c>
      <c r="K1880" s="0" t="s">
        <v>6287</v>
      </c>
      <c r="L1880" s="0" t="str">
        <f aca="false">HYPERLINK("https://www.ncbi.nlm.nih.gov/nuccore/CP000058.1?report=graph&amp;tracks=[key:gene_model_track,Options:GeneOnly]&amp;mk=581582:581601|offset_19|444444,581560:581579|offset_41|444444,581525:581544|offset_76|444444,581504:581523|offset_97|00cc00&amp;v=581381:581723&amp;c=444444", "offset 97")</f>
        <v>offset 97</v>
      </c>
    </row>
    <row r="1881" customFormat="false" ht="12.8" hidden="false" customHeight="false" outlineLevel="0" collapsed="false">
      <c r="A1881" s="0" t="s">
        <v>12</v>
      </c>
      <c r="B1881" s="0" t="n">
        <v>582086</v>
      </c>
      <c r="C1881" s="0" t="n">
        <v>582106</v>
      </c>
      <c r="D1881" s="0" t="s">
        <v>6288</v>
      </c>
      <c r="E1881" s="0" t="s">
        <v>75</v>
      </c>
      <c r="F1881" s="0" t="s">
        <v>90</v>
      </c>
      <c r="G1881" s="0" t="s">
        <v>16</v>
      </c>
      <c r="H1881" s="0" t="n">
        <v>34</v>
      </c>
      <c r="I1881" s="0" t="s">
        <v>6289</v>
      </c>
      <c r="J1881" s="0" t="s">
        <v>6290</v>
      </c>
      <c r="K1881" s="0" t="s">
        <v>6291</v>
      </c>
      <c r="L1881" s="0" t="str">
        <f aca="false">HYPERLINK("https://www.ncbi.nlm.nih.gov/nuccore/CP000058.1?report=graph&amp;tracks=[key:gene_model_track,Options:GeneOnly]&amp;mk=582087:582106|offset_34|00cc00,582060:582079|offset_61|444444,581987:582006|offset_134|444444,581966:581985|offset_155|444444&amp;v=581886:582185&amp;c=444444", "offset 34")</f>
        <v>offset 34</v>
      </c>
    </row>
    <row r="1882" customFormat="false" ht="12.8" hidden="false" customHeight="false" outlineLevel="0" collapsed="false">
      <c r="A1882" s="0" t="s">
        <v>12</v>
      </c>
      <c r="B1882" s="0" t="n">
        <v>582059</v>
      </c>
      <c r="C1882" s="0" t="n">
        <v>582079</v>
      </c>
      <c r="D1882" s="0" t="s">
        <v>6288</v>
      </c>
      <c r="E1882" s="0" t="s">
        <v>75</v>
      </c>
      <c r="F1882" s="0" t="s">
        <v>90</v>
      </c>
      <c r="G1882" s="0" t="s">
        <v>16</v>
      </c>
      <c r="H1882" s="0" t="n">
        <v>61</v>
      </c>
      <c r="I1882" s="0" t="s">
        <v>6292</v>
      </c>
      <c r="J1882" s="0" t="s">
        <v>6293</v>
      </c>
      <c r="K1882" s="0" t="s">
        <v>6294</v>
      </c>
      <c r="L1882" s="0" t="str">
        <f aca="false">HYPERLINK("https://www.ncbi.nlm.nih.gov/nuccore/CP000058.1?report=graph&amp;tracks=[key:gene_model_track,Options:GeneOnly]&amp;mk=582087:582106|offset_34|444444,582060:582079|offset_61|00cc00,581987:582006|offset_134|444444,581966:581985|offset_155|444444&amp;v=581886:582185&amp;c=444444", "offset 61")</f>
        <v>offset 61</v>
      </c>
    </row>
    <row r="1883" customFormat="false" ht="12.8" hidden="false" customHeight="false" outlineLevel="0" collapsed="false">
      <c r="A1883" s="0" t="s">
        <v>12</v>
      </c>
      <c r="B1883" s="0" t="n">
        <v>581986</v>
      </c>
      <c r="C1883" s="0" t="n">
        <v>582006</v>
      </c>
      <c r="D1883" s="0" t="s">
        <v>6288</v>
      </c>
      <c r="E1883" s="0" t="s">
        <v>75</v>
      </c>
      <c r="F1883" s="0" t="s">
        <v>90</v>
      </c>
      <c r="G1883" s="0" t="s">
        <v>20</v>
      </c>
      <c r="H1883" s="0" t="n">
        <v>134</v>
      </c>
      <c r="I1883" s="0" t="s">
        <v>6295</v>
      </c>
      <c r="J1883" s="0" t="s">
        <v>6296</v>
      </c>
      <c r="K1883" s="0" t="s">
        <v>6297</v>
      </c>
      <c r="L1883" s="0" t="str">
        <f aca="false">HYPERLINK("https://www.ncbi.nlm.nih.gov/nuccore/CP000058.1?report=graph&amp;tracks=[key:gene_model_track,Options:GeneOnly]&amp;mk=582087:582106|offset_34|444444,582060:582079|offset_61|444444,581987:582006|offset_134|00cc00,581966:581985|offset_155|444444&amp;v=581886:582185&amp;c=444444", "offset 134")</f>
        <v>offset 134</v>
      </c>
    </row>
    <row r="1884" customFormat="false" ht="12.8" hidden="false" customHeight="false" outlineLevel="0" collapsed="false">
      <c r="A1884" s="0" t="s">
        <v>12</v>
      </c>
      <c r="B1884" s="0" t="n">
        <v>581965</v>
      </c>
      <c r="C1884" s="0" t="n">
        <v>581985</v>
      </c>
      <c r="D1884" s="0" t="s">
        <v>6288</v>
      </c>
      <c r="E1884" s="0" t="s">
        <v>75</v>
      </c>
      <c r="F1884" s="0" t="s">
        <v>90</v>
      </c>
      <c r="G1884" s="0" t="s">
        <v>20</v>
      </c>
      <c r="H1884" s="0" t="n">
        <v>155</v>
      </c>
      <c r="I1884" s="0" t="s">
        <v>6298</v>
      </c>
      <c r="J1884" s="0" t="s">
        <v>6299</v>
      </c>
      <c r="K1884" s="0" t="s">
        <v>6300</v>
      </c>
      <c r="L1884" s="0" t="str">
        <f aca="false">HYPERLINK("https://www.ncbi.nlm.nih.gov/nuccore/CP000058.1?report=graph&amp;tracks=[key:gene_model_track,Options:GeneOnly]&amp;mk=582087:582106|offset_34|444444,582060:582079|offset_61|444444,581987:582006|offset_134|444444,581966:581985|offset_155|00cc00&amp;v=581886:582185&amp;c=444444", "offset 155")</f>
        <v>offset 155</v>
      </c>
    </row>
    <row r="1885" customFormat="false" ht="12.8" hidden="false" customHeight="false" outlineLevel="0" collapsed="false">
      <c r="A1885" s="0" t="s">
        <v>12</v>
      </c>
      <c r="B1885" s="0" t="n">
        <v>582425</v>
      </c>
      <c r="C1885" s="0" t="n">
        <v>582445</v>
      </c>
      <c r="D1885" s="0" t="s">
        <v>6301</v>
      </c>
      <c r="E1885" s="0" t="s">
        <v>75</v>
      </c>
      <c r="F1885" s="0" t="s">
        <v>15</v>
      </c>
      <c r="G1885" s="0" t="s">
        <v>32</v>
      </c>
      <c r="H1885" s="0" t="n">
        <v>58</v>
      </c>
      <c r="I1885" s="0" t="s">
        <v>6302</v>
      </c>
      <c r="J1885" s="0" t="s">
        <v>6303</v>
      </c>
      <c r="K1885" s="0" t="s">
        <v>6304</v>
      </c>
      <c r="L1885" s="0" t="str">
        <f aca="false">HYPERLINK("https://www.ncbi.nlm.nih.gov/nuccore/CP000058.1?report=graph&amp;tracks=[key:gene_model_track,Options:GeneOnly]&amp;mk=582426:582445|offset_58|00cc00,582448:582467|offset_80|444444,582470:582489|offset_102|444444,582510:582529|offset_142|444444&amp;v=582225:582729&amp;c=444444", "offset 58")</f>
        <v>offset 58</v>
      </c>
    </row>
    <row r="1886" customFormat="false" ht="12.8" hidden="false" customHeight="false" outlineLevel="0" collapsed="false">
      <c r="A1886" s="0" t="s">
        <v>12</v>
      </c>
      <c r="B1886" s="0" t="n">
        <v>582447</v>
      </c>
      <c r="C1886" s="0" t="n">
        <v>582467</v>
      </c>
      <c r="D1886" s="0" t="s">
        <v>6301</v>
      </c>
      <c r="E1886" s="0" t="s">
        <v>75</v>
      </c>
      <c r="F1886" s="0" t="s">
        <v>15</v>
      </c>
      <c r="G1886" s="0" t="s">
        <v>20</v>
      </c>
      <c r="H1886" s="0" t="n">
        <v>80</v>
      </c>
      <c r="I1886" s="0" t="s">
        <v>6305</v>
      </c>
      <c r="J1886" s="0" t="s">
        <v>6306</v>
      </c>
      <c r="K1886" s="0" t="s">
        <v>6307</v>
      </c>
      <c r="L1886" s="0" t="str">
        <f aca="false">HYPERLINK("https://www.ncbi.nlm.nih.gov/nuccore/CP000058.1?report=graph&amp;tracks=[key:gene_model_track,Options:GeneOnly]&amp;mk=582426:582445|offset_58|444444,582448:582467|offset_80|00cc00,582470:582489|offset_102|444444,582510:582529|offset_142|444444&amp;v=582225:582729&amp;c=444444", "offset 80")</f>
        <v>offset 80</v>
      </c>
    </row>
    <row r="1887" customFormat="false" ht="12.8" hidden="false" customHeight="false" outlineLevel="0" collapsed="false">
      <c r="A1887" s="0" t="s">
        <v>12</v>
      </c>
      <c r="B1887" s="0" t="n">
        <v>582469</v>
      </c>
      <c r="C1887" s="0" t="n">
        <v>582489</v>
      </c>
      <c r="D1887" s="0" t="s">
        <v>6301</v>
      </c>
      <c r="E1887" s="0" t="s">
        <v>75</v>
      </c>
      <c r="F1887" s="0" t="s">
        <v>15</v>
      </c>
      <c r="G1887" s="0" t="s">
        <v>20</v>
      </c>
      <c r="H1887" s="0" t="n">
        <v>102</v>
      </c>
      <c r="I1887" s="0" t="s">
        <v>6308</v>
      </c>
      <c r="J1887" s="0" t="s">
        <v>6309</v>
      </c>
      <c r="K1887" s="0" t="s">
        <v>6310</v>
      </c>
      <c r="L1887" s="0" t="str">
        <f aca="false">HYPERLINK("https://www.ncbi.nlm.nih.gov/nuccore/CP000058.1?report=graph&amp;tracks=[key:gene_model_track,Options:GeneOnly]&amp;mk=582426:582445|offset_58|444444,582448:582467|offset_80|444444,582470:582489|offset_102|00cc00,582510:582529|offset_142|444444&amp;v=582225:582729&amp;c=444444", "offset 102")</f>
        <v>offset 102</v>
      </c>
    </row>
    <row r="1888" customFormat="false" ht="12.8" hidden="false" customHeight="false" outlineLevel="0" collapsed="false">
      <c r="A1888" s="0" t="s">
        <v>12</v>
      </c>
      <c r="B1888" s="0" t="n">
        <v>582509</v>
      </c>
      <c r="C1888" s="0" t="n">
        <v>582529</v>
      </c>
      <c r="D1888" s="0" t="s">
        <v>6301</v>
      </c>
      <c r="E1888" s="0" t="s">
        <v>75</v>
      </c>
      <c r="F1888" s="0" t="s">
        <v>15</v>
      </c>
      <c r="G1888" s="0" t="s">
        <v>16</v>
      </c>
      <c r="H1888" s="0" t="n">
        <v>142</v>
      </c>
      <c r="I1888" s="0" t="s">
        <v>6311</v>
      </c>
      <c r="J1888" s="0" t="s">
        <v>6312</v>
      </c>
      <c r="K1888" s="0" t="s">
        <v>6313</v>
      </c>
      <c r="L1888" s="0" t="str">
        <f aca="false">HYPERLINK("https://www.ncbi.nlm.nih.gov/nuccore/CP000058.1?report=graph&amp;tracks=[key:gene_model_track,Options:GeneOnly]&amp;mk=582426:582445|offset_58|444444,582448:582467|offset_80|444444,582470:582489|offset_102|444444,582510:582529|offset_142|00cc00&amp;v=582225:582729&amp;c=444444", "offset 142")</f>
        <v>offset 142</v>
      </c>
    </row>
    <row r="1889" customFormat="false" ht="12.8" hidden="false" customHeight="false" outlineLevel="0" collapsed="false">
      <c r="A1889" s="0" t="s">
        <v>12</v>
      </c>
      <c r="B1889" s="0" t="n">
        <v>585264</v>
      </c>
      <c r="C1889" s="0" t="n">
        <v>585284</v>
      </c>
      <c r="D1889" s="0" t="s">
        <v>6314</v>
      </c>
      <c r="E1889" s="0" t="s">
        <v>6315</v>
      </c>
      <c r="F1889" s="0" t="s">
        <v>90</v>
      </c>
      <c r="G1889" s="0" t="s">
        <v>36</v>
      </c>
      <c r="H1889" s="0" t="n">
        <v>0</v>
      </c>
      <c r="I1889" s="0" t="s">
        <v>6316</v>
      </c>
      <c r="J1889" s="0" t="s">
        <v>6317</v>
      </c>
      <c r="K1889" s="0" t="s">
        <v>6318</v>
      </c>
      <c r="L1889" s="0" t="str">
        <f aca="false">HYPERLINK("https://www.ncbi.nlm.nih.gov/nuccore/CP000058.1?report=graph&amp;tracks=[key:gene_model_track,Options:GeneOnly]&amp;mk=585265:585284|offset_0|00cc00,585245:585264|offset_20|444444,585174:585193|offset_91|444444,585149:585168|offset_116|444444&amp;v=585064:585368&amp;c=444444", "offset 0")</f>
        <v>offset 0</v>
      </c>
    </row>
    <row r="1890" customFormat="false" ht="12.8" hidden="false" customHeight="false" outlineLevel="0" collapsed="false">
      <c r="A1890" s="0" t="s">
        <v>12</v>
      </c>
      <c r="B1890" s="0" t="n">
        <v>585244</v>
      </c>
      <c r="C1890" s="0" t="n">
        <v>585264</v>
      </c>
      <c r="D1890" s="0" t="s">
        <v>6314</v>
      </c>
      <c r="E1890" s="0" t="s">
        <v>6315</v>
      </c>
      <c r="F1890" s="0" t="s">
        <v>90</v>
      </c>
      <c r="G1890" s="0" t="s">
        <v>16</v>
      </c>
      <c r="H1890" s="0" t="n">
        <v>20</v>
      </c>
      <c r="I1890" s="0" t="s">
        <v>6319</v>
      </c>
      <c r="J1890" s="0" t="s">
        <v>6320</v>
      </c>
      <c r="K1890" s="0" t="s">
        <v>6321</v>
      </c>
      <c r="L1890" s="0" t="str">
        <f aca="false">HYPERLINK("https://www.ncbi.nlm.nih.gov/nuccore/CP000058.1?report=graph&amp;tracks=[key:gene_model_track,Options:GeneOnly]&amp;mk=585265:585284|offset_0|444444,585245:585264|offset_20|00cc00,585174:585193|offset_91|444444,585149:585168|offset_116|444444&amp;v=585064:585368&amp;c=444444", "offset 20")</f>
        <v>offset 20</v>
      </c>
    </row>
    <row r="1891" customFormat="false" ht="12.8" hidden="false" customHeight="false" outlineLevel="0" collapsed="false">
      <c r="A1891" s="0" t="s">
        <v>12</v>
      </c>
      <c r="B1891" s="0" t="n">
        <v>585173</v>
      </c>
      <c r="C1891" s="0" t="n">
        <v>585193</v>
      </c>
      <c r="D1891" s="0" t="s">
        <v>6314</v>
      </c>
      <c r="E1891" s="0" t="s">
        <v>6315</v>
      </c>
      <c r="F1891" s="0" t="s">
        <v>90</v>
      </c>
      <c r="G1891" s="0" t="s">
        <v>16</v>
      </c>
      <c r="H1891" s="0" t="n">
        <v>91</v>
      </c>
      <c r="I1891" s="0" t="s">
        <v>6322</v>
      </c>
      <c r="J1891" s="0" t="s">
        <v>6323</v>
      </c>
      <c r="K1891" s="0" t="s">
        <v>6324</v>
      </c>
      <c r="L1891" s="0" t="str">
        <f aca="false">HYPERLINK("https://www.ncbi.nlm.nih.gov/nuccore/CP000058.1?report=graph&amp;tracks=[key:gene_model_track,Options:GeneOnly]&amp;mk=585265:585284|offset_0|444444,585245:585264|offset_20|444444,585174:585193|offset_91|00cc00,585149:585168|offset_116|444444&amp;v=585064:585368&amp;c=444444", "offset 91")</f>
        <v>offset 91</v>
      </c>
    </row>
    <row r="1892" customFormat="false" ht="12.8" hidden="false" customHeight="false" outlineLevel="0" collapsed="false">
      <c r="A1892" s="0" t="s">
        <v>12</v>
      </c>
      <c r="B1892" s="0" t="n">
        <v>585148</v>
      </c>
      <c r="C1892" s="0" t="n">
        <v>585168</v>
      </c>
      <c r="D1892" s="0" t="s">
        <v>6314</v>
      </c>
      <c r="E1892" s="0" t="s">
        <v>6315</v>
      </c>
      <c r="F1892" s="0" t="s">
        <v>90</v>
      </c>
      <c r="G1892" s="0" t="s">
        <v>32</v>
      </c>
      <c r="H1892" s="0" t="n">
        <v>116</v>
      </c>
      <c r="I1892" s="0" t="s">
        <v>6325</v>
      </c>
      <c r="J1892" s="0" t="s">
        <v>6326</v>
      </c>
      <c r="K1892" s="0" t="s">
        <v>6327</v>
      </c>
      <c r="L1892" s="0" t="str">
        <f aca="false">HYPERLINK("https://www.ncbi.nlm.nih.gov/nuccore/CP000058.1?report=graph&amp;tracks=[key:gene_model_track,Options:GeneOnly]&amp;mk=585265:585284|offset_0|444444,585245:585264|offset_20|444444,585174:585193|offset_91|444444,585149:585168|offset_116|00cc00&amp;v=585064:585368&amp;c=444444", "offset 116")</f>
        <v>offset 116</v>
      </c>
    </row>
    <row r="1893" customFormat="false" ht="12.8" hidden="false" customHeight="false" outlineLevel="0" collapsed="false">
      <c r="A1893" s="0" t="s">
        <v>12</v>
      </c>
      <c r="B1893" s="0" t="n">
        <v>586599</v>
      </c>
      <c r="C1893" s="0" t="n">
        <v>586619</v>
      </c>
      <c r="D1893" s="0" t="s">
        <v>6328</v>
      </c>
      <c r="E1893" s="0" t="s">
        <v>75</v>
      </c>
      <c r="F1893" s="0" t="s">
        <v>90</v>
      </c>
      <c r="G1893" s="0" t="s">
        <v>20</v>
      </c>
      <c r="H1893" s="0" t="n">
        <v>19</v>
      </c>
      <c r="I1893" s="0" t="s">
        <v>6329</v>
      </c>
      <c r="J1893" s="0" t="s">
        <v>6330</v>
      </c>
      <c r="K1893" s="0" t="s">
        <v>6331</v>
      </c>
      <c r="L1893" s="0" t="str">
        <f aca="false">HYPERLINK("https://www.ncbi.nlm.nih.gov/nuccore/CP000058.1?report=graph&amp;tracks=[key:gene_model_track,Options:GeneOnly]&amp;mk=586600:586619|offset_19|00cc00,586574:586593|offset_45|444444,586540:586559|offset_79|444444,586516:586535|offset_103|444444&amp;v=586399:586735&amp;c=444444", "offset 19")</f>
        <v>offset 19</v>
      </c>
    </row>
    <row r="1894" customFormat="false" ht="12.8" hidden="false" customHeight="false" outlineLevel="0" collapsed="false">
      <c r="A1894" s="0" t="s">
        <v>12</v>
      </c>
      <c r="B1894" s="0" t="n">
        <v>586573</v>
      </c>
      <c r="C1894" s="0" t="n">
        <v>586593</v>
      </c>
      <c r="D1894" s="0" t="s">
        <v>6328</v>
      </c>
      <c r="E1894" s="0" t="s">
        <v>75</v>
      </c>
      <c r="F1894" s="0" t="s">
        <v>90</v>
      </c>
      <c r="G1894" s="0" t="s">
        <v>36</v>
      </c>
      <c r="H1894" s="0" t="n">
        <v>45</v>
      </c>
      <c r="I1894" s="0" t="s">
        <v>6332</v>
      </c>
      <c r="J1894" s="0" t="s">
        <v>6333</v>
      </c>
      <c r="K1894" s="0" t="s">
        <v>6334</v>
      </c>
      <c r="L1894" s="0" t="str">
        <f aca="false">HYPERLINK("https://www.ncbi.nlm.nih.gov/nuccore/CP000058.1?report=graph&amp;tracks=[key:gene_model_track,Options:GeneOnly]&amp;mk=586600:586619|offset_19|444444,586574:586593|offset_45|00cc00,586540:586559|offset_79|444444,586516:586535|offset_103|444444&amp;v=586399:586735&amp;c=444444", "offset 45")</f>
        <v>offset 45</v>
      </c>
    </row>
    <row r="1895" customFormat="false" ht="12.8" hidden="false" customHeight="false" outlineLevel="0" collapsed="false">
      <c r="A1895" s="0" t="s">
        <v>12</v>
      </c>
      <c r="B1895" s="0" t="n">
        <v>586539</v>
      </c>
      <c r="C1895" s="0" t="n">
        <v>586559</v>
      </c>
      <c r="D1895" s="0" t="s">
        <v>6328</v>
      </c>
      <c r="E1895" s="0" t="s">
        <v>75</v>
      </c>
      <c r="F1895" s="0" t="s">
        <v>90</v>
      </c>
      <c r="G1895" s="0" t="s">
        <v>16</v>
      </c>
      <c r="H1895" s="0" t="n">
        <v>79</v>
      </c>
      <c r="I1895" s="0" t="s">
        <v>6335</v>
      </c>
      <c r="J1895" s="0" t="s">
        <v>6336</v>
      </c>
      <c r="K1895" s="0" t="s">
        <v>6337</v>
      </c>
      <c r="L1895" s="0" t="str">
        <f aca="false">HYPERLINK("https://www.ncbi.nlm.nih.gov/nuccore/CP000058.1?report=graph&amp;tracks=[key:gene_model_track,Options:GeneOnly]&amp;mk=586600:586619|offset_19|444444,586574:586593|offset_45|444444,586540:586559|offset_79|00cc00,586516:586535|offset_103|444444&amp;v=586399:586735&amp;c=444444", "offset 79")</f>
        <v>offset 79</v>
      </c>
    </row>
    <row r="1896" customFormat="false" ht="12.8" hidden="false" customHeight="false" outlineLevel="0" collapsed="false">
      <c r="A1896" s="0" t="s">
        <v>12</v>
      </c>
      <c r="B1896" s="0" t="n">
        <v>586515</v>
      </c>
      <c r="C1896" s="0" t="n">
        <v>586535</v>
      </c>
      <c r="D1896" s="0" t="s">
        <v>6328</v>
      </c>
      <c r="E1896" s="0" t="s">
        <v>75</v>
      </c>
      <c r="F1896" s="0" t="s">
        <v>90</v>
      </c>
      <c r="G1896" s="0" t="s">
        <v>16</v>
      </c>
      <c r="H1896" s="0" t="n">
        <v>103</v>
      </c>
      <c r="I1896" s="0" t="s">
        <v>6338</v>
      </c>
      <c r="J1896" s="0" t="s">
        <v>6339</v>
      </c>
      <c r="K1896" s="0" t="s">
        <v>6340</v>
      </c>
      <c r="L1896" s="0" t="str">
        <f aca="false">HYPERLINK("https://www.ncbi.nlm.nih.gov/nuccore/CP000058.1?report=graph&amp;tracks=[key:gene_model_track,Options:GeneOnly]&amp;mk=586600:586619|offset_19|444444,586574:586593|offset_45|444444,586540:586559|offset_79|444444,586516:586535|offset_103|00cc00&amp;v=586399:586735&amp;c=444444", "offset 103")</f>
        <v>offset 103</v>
      </c>
    </row>
    <row r="1897" customFormat="false" ht="12.8" hidden="false" customHeight="false" outlineLevel="0" collapsed="false">
      <c r="A1897" s="0" t="s">
        <v>12</v>
      </c>
      <c r="B1897" s="0" t="n">
        <v>588140</v>
      </c>
      <c r="C1897" s="0" t="n">
        <v>588160</v>
      </c>
      <c r="D1897" s="0" t="s">
        <v>6341</v>
      </c>
      <c r="E1897" s="0" t="s">
        <v>6342</v>
      </c>
      <c r="F1897" s="0" t="s">
        <v>90</v>
      </c>
      <c r="G1897" s="0" t="s">
        <v>32</v>
      </c>
      <c r="H1897" s="0" t="n">
        <v>55</v>
      </c>
      <c r="I1897" s="0" t="s">
        <v>6343</v>
      </c>
      <c r="J1897" s="0" t="s">
        <v>6344</v>
      </c>
      <c r="K1897" s="0" t="s">
        <v>6345</v>
      </c>
      <c r="L1897" s="0" t="str">
        <f aca="false">HYPERLINK("https://www.ncbi.nlm.nih.gov/nuccore/CP000058.1?report=graph&amp;tracks=[key:gene_model_track,Options:GeneOnly]&amp;mk=588141:588160|offset_55|00cc00,588099:588118|offset_97|444444,588060:588079|offset_136|444444,588032:588051|offset_164|444444&amp;v=587940:588251&amp;c=444444", "offset 55")</f>
        <v>offset 55</v>
      </c>
    </row>
    <row r="1898" customFormat="false" ht="12.8" hidden="false" customHeight="false" outlineLevel="0" collapsed="false">
      <c r="A1898" s="0" t="s">
        <v>12</v>
      </c>
      <c r="B1898" s="0" t="n">
        <v>588098</v>
      </c>
      <c r="C1898" s="0" t="n">
        <v>588118</v>
      </c>
      <c r="D1898" s="0" t="s">
        <v>6341</v>
      </c>
      <c r="E1898" s="0" t="s">
        <v>6342</v>
      </c>
      <c r="F1898" s="0" t="s">
        <v>90</v>
      </c>
      <c r="G1898" s="0" t="s">
        <v>16</v>
      </c>
      <c r="H1898" s="0" t="n">
        <v>97</v>
      </c>
      <c r="I1898" s="0" t="s">
        <v>6346</v>
      </c>
      <c r="J1898" s="0" t="s">
        <v>6347</v>
      </c>
      <c r="K1898" s="0" t="s">
        <v>6348</v>
      </c>
      <c r="L1898" s="0" t="str">
        <f aca="false">HYPERLINK("https://www.ncbi.nlm.nih.gov/nuccore/CP000058.1?report=graph&amp;tracks=[key:gene_model_track,Options:GeneOnly]&amp;mk=588141:588160|offset_55|444444,588099:588118|offset_97|00cc00,588060:588079|offset_136|444444,588032:588051|offset_164|444444&amp;v=587940:588251&amp;c=444444", "offset 97")</f>
        <v>offset 97</v>
      </c>
    </row>
    <row r="1899" customFormat="false" ht="12.8" hidden="false" customHeight="false" outlineLevel="0" collapsed="false">
      <c r="A1899" s="0" t="s">
        <v>12</v>
      </c>
      <c r="B1899" s="0" t="n">
        <v>588059</v>
      </c>
      <c r="C1899" s="0" t="n">
        <v>588079</v>
      </c>
      <c r="D1899" s="0" t="s">
        <v>6341</v>
      </c>
      <c r="E1899" s="0" t="s">
        <v>6342</v>
      </c>
      <c r="F1899" s="0" t="s">
        <v>90</v>
      </c>
      <c r="G1899" s="0" t="s">
        <v>16</v>
      </c>
      <c r="H1899" s="0" t="n">
        <v>136</v>
      </c>
      <c r="I1899" s="0" t="s">
        <v>6349</v>
      </c>
      <c r="J1899" s="0" t="s">
        <v>6350</v>
      </c>
      <c r="K1899" s="0" t="s">
        <v>6351</v>
      </c>
      <c r="L1899" s="0" t="str">
        <f aca="false">HYPERLINK("https://www.ncbi.nlm.nih.gov/nuccore/CP000058.1?report=graph&amp;tracks=[key:gene_model_track,Options:GeneOnly]&amp;mk=588141:588160|offset_55|444444,588099:588118|offset_97|444444,588060:588079|offset_136|00cc00,588032:588051|offset_164|444444&amp;v=587940:588251&amp;c=444444", "offset 136")</f>
        <v>offset 136</v>
      </c>
    </row>
    <row r="1900" customFormat="false" ht="12.8" hidden="false" customHeight="false" outlineLevel="0" collapsed="false">
      <c r="A1900" s="0" t="s">
        <v>12</v>
      </c>
      <c r="B1900" s="0" t="n">
        <v>588031</v>
      </c>
      <c r="C1900" s="0" t="n">
        <v>588051</v>
      </c>
      <c r="D1900" s="0" t="s">
        <v>6341</v>
      </c>
      <c r="E1900" s="0" t="s">
        <v>6342</v>
      </c>
      <c r="F1900" s="0" t="s">
        <v>90</v>
      </c>
      <c r="G1900" s="0" t="s">
        <v>20</v>
      </c>
      <c r="H1900" s="0" t="n">
        <v>164</v>
      </c>
      <c r="I1900" s="0" t="s">
        <v>6352</v>
      </c>
      <c r="J1900" s="0" t="s">
        <v>6353</v>
      </c>
      <c r="K1900" s="0" t="s">
        <v>6354</v>
      </c>
      <c r="L1900" s="0" t="str">
        <f aca="false">HYPERLINK("https://www.ncbi.nlm.nih.gov/nuccore/CP000058.1?report=graph&amp;tracks=[key:gene_model_track,Options:GeneOnly]&amp;mk=588141:588160|offset_55|444444,588099:588118|offset_97|444444,588060:588079|offset_136|444444,588032:588051|offset_164|00cc00&amp;v=587940:588251&amp;c=444444", "offset 164")</f>
        <v>offset 164</v>
      </c>
    </row>
    <row r="1901" customFormat="false" ht="12.8" hidden="false" customHeight="false" outlineLevel="0" collapsed="false">
      <c r="A1901" s="0" t="s">
        <v>12</v>
      </c>
      <c r="B1901" s="0" t="n">
        <v>590047</v>
      </c>
      <c r="C1901" s="0" t="n">
        <v>590067</v>
      </c>
      <c r="D1901" s="0" t="s">
        <v>6355</v>
      </c>
      <c r="E1901" s="0" t="s">
        <v>6356</v>
      </c>
      <c r="F1901" s="0" t="s">
        <v>90</v>
      </c>
      <c r="G1901" s="0" t="s">
        <v>36</v>
      </c>
      <c r="H1901" s="0" t="n">
        <v>24</v>
      </c>
      <c r="I1901" s="0" t="s">
        <v>6357</v>
      </c>
      <c r="J1901" s="0" t="s">
        <v>6358</v>
      </c>
      <c r="K1901" s="0" t="s">
        <v>6359</v>
      </c>
      <c r="L1901" s="0" t="str">
        <f aca="false">HYPERLINK("https://www.ncbi.nlm.nih.gov/nuccore/CP000058.1?report=graph&amp;tracks=[key:gene_model_track,Options:GeneOnly]&amp;mk=590048:590067|offset_24|00cc00,589981:590000|offset_91|444444,589932:589951|offset_140|444444,589903:589922|offset_169|444444&amp;v=589847:590122&amp;c=444444", "offset 24")</f>
        <v>offset 24</v>
      </c>
    </row>
    <row r="1902" customFormat="false" ht="12.8" hidden="false" customHeight="false" outlineLevel="0" collapsed="false">
      <c r="A1902" s="0" t="s">
        <v>12</v>
      </c>
      <c r="B1902" s="0" t="n">
        <v>589980</v>
      </c>
      <c r="C1902" s="0" t="n">
        <v>590000</v>
      </c>
      <c r="D1902" s="0" t="s">
        <v>6355</v>
      </c>
      <c r="E1902" s="0" t="s">
        <v>6356</v>
      </c>
      <c r="F1902" s="0" t="s">
        <v>90</v>
      </c>
      <c r="G1902" s="0" t="s">
        <v>16</v>
      </c>
      <c r="H1902" s="0" t="n">
        <v>91</v>
      </c>
      <c r="I1902" s="0" t="s">
        <v>6360</v>
      </c>
      <c r="J1902" s="0" t="s">
        <v>6361</v>
      </c>
      <c r="K1902" s="0" t="s">
        <v>6362</v>
      </c>
      <c r="L1902" s="0" t="str">
        <f aca="false">HYPERLINK("https://www.ncbi.nlm.nih.gov/nuccore/CP000058.1?report=graph&amp;tracks=[key:gene_model_track,Options:GeneOnly]&amp;mk=590048:590067|offset_24|444444,589981:590000|offset_91|00cc00,589932:589951|offset_140|444444,589903:589922|offset_169|444444&amp;v=589847:590122&amp;c=444444", "offset 91")</f>
        <v>offset 91</v>
      </c>
    </row>
    <row r="1903" customFormat="false" ht="12.8" hidden="false" customHeight="false" outlineLevel="0" collapsed="false">
      <c r="A1903" s="0" t="s">
        <v>12</v>
      </c>
      <c r="B1903" s="0" t="n">
        <v>589931</v>
      </c>
      <c r="C1903" s="0" t="n">
        <v>589951</v>
      </c>
      <c r="D1903" s="0" t="s">
        <v>6355</v>
      </c>
      <c r="E1903" s="0" t="s">
        <v>6356</v>
      </c>
      <c r="F1903" s="0" t="s">
        <v>90</v>
      </c>
      <c r="G1903" s="0" t="s">
        <v>36</v>
      </c>
      <c r="H1903" s="0" t="n">
        <v>140</v>
      </c>
      <c r="I1903" s="0" t="s">
        <v>6363</v>
      </c>
      <c r="J1903" s="0" t="s">
        <v>6364</v>
      </c>
      <c r="K1903" s="0" t="s">
        <v>6365</v>
      </c>
      <c r="L1903" s="0" t="str">
        <f aca="false">HYPERLINK("https://www.ncbi.nlm.nih.gov/nuccore/CP000058.1?report=graph&amp;tracks=[key:gene_model_track,Options:GeneOnly]&amp;mk=590048:590067|offset_24|444444,589981:590000|offset_91|444444,589932:589951|offset_140|00cc00,589903:589922|offset_169|444444&amp;v=589847:590122&amp;c=444444", "offset 140")</f>
        <v>offset 140</v>
      </c>
    </row>
    <row r="1904" customFormat="false" ht="12.8" hidden="false" customHeight="false" outlineLevel="0" collapsed="false">
      <c r="A1904" s="0" t="s">
        <v>12</v>
      </c>
      <c r="B1904" s="0" t="n">
        <v>589902</v>
      </c>
      <c r="C1904" s="0" t="n">
        <v>589922</v>
      </c>
      <c r="D1904" s="0" t="s">
        <v>6355</v>
      </c>
      <c r="E1904" s="0" t="s">
        <v>6356</v>
      </c>
      <c r="F1904" s="0" t="s">
        <v>90</v>
      </c>
      <c r="G1904" s="0" t="s">
        <v>32</v>
      </c>
      <c r="H1904" s="0" t="n">
        <v>169</v>
      </c>
      <c r="I1904" s="0" t="s">
        <v>6366</v>
      </c>
      <c r="J1904" s="0" t="s">
        <v>6367</v>
      </c>
      <c r="K1904" s="0" t="s">
        <v>6368</v>
      </c>
      <c r="L1904" s="0" t="str">
        <f aca="false">HYPERLINK("https://www.ncbi.nlm.nih.gov/nuccore/CP000058.1?report=graph&amp;tracks=[key:gene_model_track,Options:GeneOnly]&amp;mk=590048:590067|offset_24|444444,589981:590000|offset_91|444444,589932:589951|offset_140|444444,589903:589922|offset_169|00cc00&amp;v=589847:590122&amp;c=444444", "offset 169")</f>
        <v>offset 169</v>
      </c>
    </row>
    <row r="1905" customFormat="false" ht="12.8" hidden="false" customHeight="false" outlineLevel="0" collapsed="false">
      <c r="A1905" s="0" t="s">
        <v>12</v>
      </c>
      <c r="B1905" s="0" t="n">
        <v>592848</v>
      </c>
      <c r="C1905" s="0" t="n">
        <v>592868</v>
      </c>
      <c r="D1905" s="0" t="s">
        <v>6369</v>
      </c>
      <c r="E1905" s="0" t="s">
        <v>6370</v>
      </c>
      <c r="F1905" s="0" t="s">
        <v>90</v>
      </c>
      <c r="G1905" s="0" t="s">
        <v>20</v>
      </c>
      <c r="H1905" s="0" t="n">
        <v>11</v>
      </c>
      <c r="I1905" s="0" t="s">
        <v>6371</v>
      </c>
      <c r="J1905" s="0" t="s">
        <v>6372</v>
      </c>
      <c r="K1905" s="0" t="s">
        <v>6373</v>
      </c>
      <c r="L1905" s="0" t="str">
        <f aca="false">HYPERLINK("https://www.ncbi.nlm.nih.gov/nuccore/CP000058.1?report=graph&amp;tracks=[key:gene_model_track,Options:GeneOnly]&amp;mk=592849:592868|offset_11|00cc00,592814:592833|offset_46|444444,592780:592799|offset_80|444444,592760:592779|offset_100|444444&amp;v=592648:592979&amp;c=444444", "offset 11")</f>
        <v>offset 11</v>
      </c>
    </row>
    <row r="1906" customFormat="false" ht="12.8" hidden="false" customHeight="false" outlineLevel="0" collapsed="false">
      <c r="A1906" s="0" t="s">
        <v>12</v>
      </c>
      <c r="B1906" s="0" t="n">
        <v>592813</v>
      </c>
      <c r="C1906" s="0" t="n">
        <v>592833</v>
      </c>
      <c r="D1906" s="0" t="s">
        <v>6369</v>
      </c>
      <c r="E1906" s="0" t="s">
        <v>6370</v>
      </c>
      <c r="F1906" s="0" t="s">
        <v>90</v>
      </c>
      <c r="G1906" s="0" t="s">
        <v>36</v>
      </c>
      <c r="H1906" s="0" t="n">
        <v>46</v>
      </c>
      <c r="I1906" s="0" t="s">
        <v>6374</v>
      </c>
      <c r="J1906" s="0" t="s">
        <v>6375</v>
      </c>
      <c r="K1906" s="0" t="s">
        <v>6376</v>
      </c>
      <c r="L1906" s="0" t="str">
        <f aca="false">HYPERLINK("https://www.ncbi.nlm.nih.gov/nuccore/CP000058.1?report=graph&amp;tracks=[key:gene_model_track,Options:GeneOnly]&amp;mk=592849:592868|offset_11|444444,592814:592833|offset_46|00cc00,592780:592799|offset_80|444444,592760:592779|offset_100|444444&amp;v=592648:592979&amp;c=444444", "offset 46")</f>
        <v>offset 46</v>
      </c>
    </row>
    <row r="1907" customFormat="false" ht="12.8" hidden="false" customHeight="false" outlineLevel="0" collapsed="false">
      <c r="A1907" s="0" t="s">
        <v>12</v>
      </c>
      <c r="B1907" s="0" t="n">
        <v>592779</v>
      </c>
      <c r="C1907" s="0" t="n">
        <v>592799</v>
      </c>
      <c r="D1907" s="0" t="s">
        <v>6369</v>
      </c>
      <c r="E1907" s="0" t="s">
        <v>6370</v>
      </c>
      <c r="F1907" s="0" t="s">
        <v>90</v>
      </c>
      <c r="G1907" s="0" t="s">
        <v>16</v>
      </c>
      <c r="H1907" s="0" t="n">
        <v>80</v>
      </c>
      <c r="I1907" s="0" t="s">
        <v>6377</v>
      </c>
      <c r="J1907" s="0" t="s">
        <v>6378</v>
      </c>
      <c r="K1907" s="0" t="s">
        <v>6379</v>
      </c>
      <c r="L1907" s="0" t="str">
        <f aca="false">HYPERLINK("https://www.ncbi.nlm.nih.gov/nuccore/CP000058.1?report=graph&amp;tracks=[key:gene_model_track,Options:GeneOnly]&amp;mk=592849:592868|offset_11|444444,592814:592833|offset_46|444444,592780:592799|offset_80|00cc00,592760:592779|offset_100|444444&amp;v=592648:592979&amp;c=444444", "offset 80")</f>
        <v>offset 80</v>
      </c>
    </row>
    <row r="1908" customFormat="false" ht="12.8" hidden="false" customHeight="false" outlineLevel="0" collapsed="false">
      <c r="A1908" s="0" t="s">
        <v>12</v>
      </c>
      <c r="B1908" s="0" t="n">
        <v>592759</v>
      </c>
      <c r="C1908" s="0" t="n">
        <v>592779</v>
      </c>
      <c r="D1908" s="0" t="s">
        <v>6369</v>
      </c>
      <c r="E1908" s="0" t="s">
        <v>6370</v>
      </c>
      <c r="F1908" s="0" t="s">
        <v>90</v>
      </c>
      <c r="G1908" s="0" t="s">
        <v>36</v>
      </c>
      <c r="H1908" s="0" t="n">
        <v>100</v>
      </c>
      <c r="I1908" s="0" t="s">
        <v>6380</v>
      </c>
      <c r="J1908" s="0" t="s">
        <v>6381</v>
      </c>
      <c r="K1908" s="0" t="s">
        <v>6382</v>
      </c>
      <c r="L1908" s="0" t="str">
        <f aca="false">HYPERLINK("https://www.ncbi.nlm.nih.gov/nuccore/CP000058.1?report=graph&amp;tracks=[key:gene_model_track,Options:GeneOnly]&amp;mk=592849:592868|offset_11|444444,592814:592833|offset_46|444444,592780:592799|offset_80|444444,592760:592779|offset_100|00cc00&amp;v=592648:592979&amp;c=444444", "offset 100")</f>
        <v>offset 100</v>
      </c>
    </row>
    <row r="1909" customFormat="false" ht="12.8" hidden="false" customHeight="false" outlineLevel="0" collapsed="false">
      <c r="A1909" s="0" t="s">
        <v>12</v>
      </c>
      <c r="B1909" s="0" t="n">
        <v>593264</v>
      </c>
      <c r="C1909" s="0" t="n">
        <v>593284</v>
      </c>
      <c r="D1909" s="0" t="s">
        <v>6383</v>
      </c>
      <c r="E1909" s="0" t="s">
        <v>6384</v>
      </c>
      <c r="F1909" s="0" t="s">
        <v>15</v>
      </c>
      <c r="G1909" s="0" t="s">
        <v>32</v>
      </c>
      <c r="H1909" s="0" t="n">
        <v>1</v>
      </c>
      <c r="I1909" s="0" t="s">
        <v>6385</v>
      </c>
      <c r="J1909" s="0" t="s">
        <v>6386</v>
      </c>
      <c r="K1909" s="0" t="s">
        <v>6387</v>
      </c>
      <c r="L1909" s="0" t="str">
        <f aca="false">HYPERLINK("https://www.ncbi.nlm.nih.gov/nuccore/CP000058.1?report=graph&amp;tracks=[key:gene_model_track,Options:GeneOnly]&amp;mk=593265:593284|offset_1|00cc00,593294:593313|offset_30|444444,593319:593338|offset_55|444444,593343:593362|offset_79|444444&amp;v=593064:593562&amp;c=444444", "offset 1")</f>
        <v>offset 1</v>
      </c>
    </row>
    <row r="1910" customFormat="false" ht="12.8" hidden="false" customHeight="false" outlineLevel="0" collapsed="false">
      <c r="A1910" s="0" t="s">
        <v>12</v>
      </c>
      <c r="B1910" s="0" t="n">
        <v>593293</v>
      </c>
      <c r="C1910" s="0" t="n">
        <v>593313</v>
      </c>
      <c r="D1910" s="0" t="s">
        <v>6383</v>
      </c>
      <c r="E1910" s="0" t="s">
        <v>6384</v>
      </c>
      <c r="F1910" s="0" t="s">
        <v>15</v>
      </c>
      <c r="G1910" s="0" t="s">
        <v>16</v>
      </c>
      <c r="H1910" s="0" t="n">
        <v>30</v>
      </c>
      <c r="I1910" s="0" t="s">
        <v>6388</v>
      </c>
      <c r="J1910" s="0" t="s">
        <v>6389</v>
      </c>
      <c r="K1910" s="0" t="s">
        <v>6390</v>
      </c>
      <c r="L1910" s="0" t="str">
        <f aca="false">HYPERLINK("https://www.ncbi.nlm.nih.gov/nuccore/CP000058.1?report=graph&amp;tracks=[key:gene_model_track,Options:GeneOnly]&amp;mk=593265:593284|offset_1|444444,593294:593313|offset_30|00cc00,593319:593338|offset_55|444444,593343:593362|offset_79|444444&amp;v=593064:593562&amp;c=444444", "offset 30")</f>
        <v>offset 30</v>
      </c>
    </row>
    <row r="1911" customFormat="false" ht="12.8" hidden="false" customHeight="false" outlineLevel="0" collapsed="false">
      <c r="A1911" s="0" t="s">
        <v>12</v>
      </c>
      <c r="B1911" s="0" t="n">
        <v>593318</v>
      </c>
      <c r="C1911" s="0" t="n">
        <v>593338</v>
      </c>
      <c r="D1911" s="0" t="s">
        <v>6383</v>
      </c>
      <c r="E1911" s="0" t="s">
        <v>6384</v>
      </c>
      <c r="F1911" s="0" t="s">
        <v>15</v>
      </c>
      <c r="G1911" s="0" t="s">
        <v>36</v>
      </c>
      <c r="H1911" s="0" t="n">
        <v>55</v>
      </c>
      <c r="I1911" s="0" t="s">
        <v>6391</v>
      </c>
      <c r="J1911" s="0" t="s">
        <v>6392</v>
      </c>
      <c r="K1911" s="0" t="s">
        <v>6393</v>
      </c>
      <c r="L1911" s="0" t="str">
        <f aca="false">HYPERLINK("https://www.ncbi.nlm.nih.gov/nuccore/CP000058.1?report=graph&amp;tracks=[key:gene_model_track,Options:GeneOnly]&amp;mk=593265:593284|offset_1|444444,593294:593313|offset_30|444444,593319:593338|offset_55|00cc00,593343:593362|offset_79|444444&amp;v=593064:593562&amp;c=444444", "offset 55")</f>
        <v>offset 55</v>
      </c>
    </row>
    <row r="1912" customFormat="false" ht="12.8" hidden="false" customHeight="false" outlineLevel="0" collapsed="false">
      <c r="A1912" s="0" t="s">
        <v>12</v>
      </c>
      <c r="B1912" s="0" t="n">
        <v>593342</v>
      </c>
      <c r="C1912" s="0" t="n">
        <v>593362</v>
      </c>
      <c r="D1912" s="0" t="s">
        <v>6383</v>
      </c>
      <c r="E1912" s="0" t="s">
        <v>6384</v>
      </c>
      <c r="F1912" s="0" t="s">
        <v>15</v>
      </c>
      <c r="G1912" s="0" t="s">
        <v>16</v>
      </c>
      <c r="H1912" s="0" t="n">
        <v>79</v>
      </c>
      <c r="I1912" s="0" t="s">
        <v>6394</v>
      </c>
      <c r="J1912" s="0" t="s">
        <v>6395</v>
      </c>
      <c r="K1912" s="0" t="s">
        <v>6396</v>
      </c>
      <c r="L1912" s="0" t="str">
        <f aca="false">HYPERLINK("https://www.ncbi.nlm.nih.gov/nuccore/CP000058.1?report=graph&amp;tracks=[key:gene_model_track,Options:GeneOnly]&amp;mk=593265:593284|offset_1|444444,593294:593313|offset_30|444444,593319:593338|offset_55|444444,593343:593362|offset_79|00cc00&amp;v=593064:593562&amp;c=444444", "offset 79")</f>
        <v>offset 79</v>
      </c>
    </row>
    <row r="1913" customFormat="false" ht="12.8" hidden="false" customHeight="false" outlineLevel="0" collapsed="false">
      <c r="A1913" s="0" t="s">
        <v>12</v>
      </c>
      <c r="B1913" s="0" t="n">
        <v>596374</v>
      </c>
      <c r="C1913" s="0" t="n">
        <v>596394</v>
      </c>
      <c r="D1913" s="0" t="s">
        <v>6397</v>
      </c>
      <c r="E1913" s="0" t="s">
        <v>6398</v>
      </c>
      <c r="F1913" s="0" t="s">
        <v>15</v>
      </c>
      <c r="G1913" s="0" t="s">
        <v>20</v>
      </c>
      <c r="H1913" s="0" t="n">
        <v>24</v>
      </c>
      <c r="I1913" s="0" t="s">
        <v>6399</v>
      </c>
      <c r="J1913" s="0" t="s">
        <v>6400</v>
      </c>
      <c r="K1913" s="0" t="s">
        <v>6401</v>
      </c>
      <c r="L1913" s="0" t="str">
        <f aca="false">HYPERLINK("https://www.ncbi.nlm.nih.gov/nuccore/CP000058.1?report=graph&amp;tracks=[key:gene_model_track,Options:GeneOnly]&amp;mk=596375:596394|offset_24|00cc00,596416:596435|offset_65|444444,596438:596457|offset_87|444444,596463:596482|offset_112|444444&amp;v=596174:596682&amp;c=444444", "offset 24")</f>
        <v>offset 24</v>
      </c>
    </row>
    <row r="1914" customFormat="false" ht="12.8" hidden="false" customHeight="false" outlineLevel="0" collapsed="false">
      <c r="A1914" s="0" t="s">
        <v>12</v>
      </c>
      <c r="B1914" s="0" t="n">
        <v>596415</v>
      </c>
      <c r="C1914" s="0" t="n">
        <v>596435</v>
      </c>
      <c r="D1914" s="0" t="s">
        <v>6397</v>
      </c>
      <c r="E1914" s="0" t="s">
        <v>6398</v>
      </c>
      <c r="F1914" s="0" t="s">
        <v>15</v>
      </c>
      <c r="G1914" s="0" t="s">
        <v>32</v>
      </c>
      <c r="H1914" s="0" t="n">
        <v>65</v>
      </c>
      <c r="I1914" s="0" t="s">
        <v>6402</v>
      </c>
      <c r="J1914" s="0" t="s">
        <v>6403</v>
      </c>
      <c r="K1914" s="0" t="s">
        <v>6404</v>
      </c>
      <c r="L1914" s="0" t="str">
        <f aca="false">HYPERLINK("https://www.ncbi.nlm.nih.gov/nuccore/CP000058.1?report=graph&amp;tracks=[key:gene_model_track,Options:GeneOnly]&amp;mk=596375:596394|offset_24|444444,596416:596435|offset_65|00cc00,596438:596457|offset_87|444444,596463:596482|offset_112|444444&amp;v=596174:596682&amp;c=444444", "offset 65")</f>
        <v>offset 65</v>
      </c>
    </row>
    <row r="1915" customFormat="false" ht="12.8" hidden="false" customHeight="false" outlineLevel="0" collapsed="false">
      <c r="A1915" s="0" t="s">
        <v>12</v>
      </c>
      <c r="B1915" s="0" t="n">
        <v>596437</v>
      </c>
      <c r="C1915" s="0" t="n">
        <v>596457</v>
      </c>
      <c r="D1915" s="0" t="s">
        <v>6397</v>
      </c>
      <c r="E1915" s="0" t="s">
        <v>6398</v>
      </c>
      <c r="F1915" s="0" t="s">
        <v>15</v>
      </c>
      <c r="G1915" s="0" t="s">
        <v>36</v>
      </c>
      <c r="H1915" s="0" t="n">
        <v>87</v>
      </c>
      <c r="I1915" s="0" t="s">
        <v>6405</v>
      </c>
      <c r="J1915" s="0" t="s">
        <v>6406</v>
      </c>
      <c r="K1915" s="0" t="s">
        <v>6407</v>
      </c>
      <c r="L1915" s="0" t="str">
        <f aca="false">HYPERLINK("https://www.ncbi.nlm.nih.gov/nuccore/CP000058.1?report=graph&amp;tracks=[key:gene_model_track,Options:GeneOnly]&amp;mk=596375:596394|offset_24|444444,596416:596435|offset_65|444444,596438:596457|offset_87|00cc00,596463:596482|offset_112|444444&amp;v=596174:596682&amp;c=444444", "offset 87")</f>
        <v>offset 87</v>
      </c>
    </row>
    <row r="1916" customFormat="false" ht="12.8" hidden="false" customHeight="false" outlineLevel="0" collapsed="false">
      <c r="A1916" s="0" t="s">
        <v>12</v>
      </c>
      <c r="B1916" s="0" t="n">
        <v>596462</v>
      </c>
      <c r="C1916" s="0" t="n">
        <v>596482</v>
      </c>
      <c r="D1916" s="0" t="s">
        <v>6397</v>
      </c>
      <c r="E1916" s="0" t="s">
        <v>6398</v>
      </c>
      <c r="F1916" s="0" t="s">
        <v>15</v>
      </c>
      <c r="G1916" s="0" t="s">
        <v>36</v>
      </c>
      <c r="H1916" s="0" t="n">
        <v>112</v>
      </c>
      <c r="I1916" s="0" t="s">
        <v>6408</v>
      </c>
      <c r="J1916" s="0" t="s">
        <v>6409</v>
      </c>
      <c r="K1916" s="0" t="s">
        <v>6410</v>
      </c>
      <c r="L1916" s="0" t="str">
        <f aca="false">HYPERLINK("https://www.ncbi.nlm.nih.gov/nuccore/CP000058.1?report=graph&amp;tracks=[key:gene_model_track,Options:GeneOnly]&amp;mk=596375:596394|offset_24|444444,596416:596435|offset_65|444444,596438:596457|offset_87|444444,596463:596482|offset_112|00cc00&amp;v=596174:596682&amp;c=444444", "offset 112")</f>
        <v>offset 112</v>
      </c>
    </row>
    <row r="1917" customFormat="false" ht="12.8" hidden="false" customHeight="false" outlineLevel="0" collapsed="false">
      <c r="A1917" s="0" t="s">
        <v>12</v>
      </c>
      <c r="B1917" s="0" t="n">
        <v>597434</v>
      </c>
      <c r="C1917" s="0" t="n">
        <v>597454</v>
      </c>
      <c r="D1917" s="0" t="s">
        <v>6411</v>
      </c>
      <c r="E1917" s="0" t="s">
        <v>6412</v>
      </c>
      <c r="F1917" s="0" t="s">
        <v>15</v>
      </c>
      <c r="G1917" s="0" t="s">
        <v>32</v>
      </c>
      <c r="H1917" s="0" t="n">
        <v>47</v>
      </c>
      <c r="I1917" s="0" t="s">
        <v>6413</v>
      </c>
      <c r="J1917" s="0" t="s">
        <v>6414</v>
      </c>
      <c r="K1917" s="0" t="s">
        <v>6415</v>
      </c>
      <c r="L1917" s="0" t="str">
        <f aca="false">HYPERLINK("https://www.ncbi.nlm.nih.gov/nuccore/CP000058.1?report=graph&amp;tracks=[key:gene_model_track,Options:GeneOnly]&amp;mk=597435:597454|offset_47|00cc00,597455:597474|offset_67|444444,597475:597494|offset_87|444444,597515:597534|offset_127|444444&amp;v=597234:597734&amp;c=444444", "offset 47")</f>
        <v>offset 47</v>
      </c>
    </row>
    <row r="1918" customFormat="false" ht="12.8" hidden="false" customHeight="false" outlineLevel="0" collapsed="false">
      <c r="A1918" s="0" t="s">
        <v>12</v>
      </c>
      <c r="B1918" s="0" t="n">
        <v>597454</v>
      </c>
      <c r="C1918" s="0" t="n">
        <v>597474</v>
      </c>
      <c r="D1918" s="0" t="s">
        <v>6411</v>
      </c>
      <c r="E1918" s="0" t="s">
        <v>6412</v>
      </c>
      <c r="F1918" s="0" t="s">
        <v>15</v>
      </c>
      <c r="G1918" s="0" t="s">
        <v>16</v>
      </c>
      <c r="H1918" s="0" t="n">
        <v>67</v>
      </c>
      <c r="I1918" s="0" t="s">
        <v>6416</v>
      </c>
      <c r="J1918" s="0" t="s">
        <v>6417</v>
      </c>
      <c r="K1918" s="0" t="s">
        <v>6418</v>
      </c>
      <c r="L1918" s="0" t="str">
        <f aca="false">HYPERLINK("https://www.ncbi.nlm.nih.gov/nuccore/CP000058.1?report=graph&amp;tracks=[key:gene_model_track,Options:GeneOnly]&amp;mk=597435:597454|offset_47|444444,597455:597474|offset_67|00cc00,597475:597494|offset_87|444444,597515:597534|offset_127|444444&amp;v=597234:597734&amp;c=444444", "offset 67")</f>
        <v>offset 67</v>
      </c>
    </row>
    <row r="1919" customFormat="false" ht="12.8" hidden="false" customHeight="false" outlineLevel="0" collapsed="false">
      <c r="A1919" s="0" t="s">
        <v>12</v>
      </c>
      <c r="B1919" s="0" t="n">
        <v>597474</v>
      </c>
      <c r="C1919" s="0" t="n">
        <v>597494</v>
      </c>
      <c r="D1919" s="0" t="s">
        <v>6411</v>
      </c>
      <c r="E1919" s="0" t="s">
        <v>6412</v>
      </c>
      <c r="F1919" s="0" t="s">
        <v>15</v>
      </c>
      <c r="G1919" s="0" t="s">
        <v>36</v>
      </c>
      <c r="H1919" s="0" t="n">
        <v>87</v>
      </c>
      <c r="I1919" s="0" t="s">
        <v>6419</v>
      </c>
      <c r="J1919" s="0" t="s">
        <v>6420</v>
      </c>
      <c r="K1919" s="0" t="s">
        <v>6421</v>
      </c>
      <c r="L1919" s="0" t="str">
        <f aca="false">HYPERLINK("https://www.ncbi.nlm.nih.gov/nuccore/CP000058.1?report=graph&amp;tracks=[key:gene_model_track,Options:GeneOnly]&amp;mk=597435:597454|offset_47|444444,597455:597474|offset_67|444444,597475:597494|offset_87|00cc00,597515:597534|offset_127|444444&amp;v=597234:597734&amp;c=444444", "offset 87")</f>
        <v>offset 87</v>
      </c>
    </row>
    <row r="1920" customFormat="false" ht="12.8" hidden="false" customHeight="false" outlineLevel="0" collapsed="false">
      <c r="A1920" s="0" t="s">
        <v>12</v>
      </c>
      <c r="B1920" s="0" t="n">
        <v>597514</v>
      </c>
      <c r="C1920" s="0" t="n">
        <v>597534</v>
      </c>
      <c r="D1920" s="0" t="s">
        <v>6411</v>
      </c>
      <c r="E1920" s="0" t="s">
        <v>6412</v>
      </c>
      <c r="F1920" s="0" t="s">
        <v>15</v>
      </c>
      <c r="G1920" s="0" t="s">
        <v>16</v>
      </c>
      <c r="H1920" s="0" t="n">
        <v>127</v>
      </c>
      <c r="I1920" s="0" t="s">
        <v>6422</v>
      </c>
      <c r="J1920" s="0" t="s">
        <v>6423</v>
      </c>
      <c r="K1920" s="0" t="s">
        <v>6424</v>
      </c>
      <c r="L1920" s="0" t="str">
        <f aca="false">HYPERLINK("https://www.ncbi.nlm.nih.gov/nuccore/CP000058.1?report=graph&amp;tracks=[key:gene_model_track,Options:GeneOnly]&amp;mk=597435:597454|offset_47|444444,597455:597474|offset_67|444444,597475:597494|offset_87|444444,597515:597534|offset_127|00cc00&amp;v=597234:597734&amp;c=444444", "offset 127")</f>
        <v>offset 127</v>
      </c>
    </row>
    <row r="1921" customFormat="false" ht="12.8" hidden="false" customHeight="false" outlineLevel="0" collapsed="false">
      <c r="A1921" s="0" t="s">
        <v>12</v>
      </c>
      <c r="B1921" s="0" t="n">
        <v>598487</v>
      </c>
      <c r="C1921" s="0" t="n">
        <v>598507</v>
      </c>
      <c r="D1921" s="0" t="s">
        <v>6425</v>
      </c>
      <c r="E1921" s="0" t="s">
        <v>6426</v>
      </c>
      <c r="F1921" s="0" t="s">
        <v>15</v>
      </c>
      <c r="G1921" s="0" t="s">
        <v>16</v>
      </c>
      <c r="H1921" s="0" t="n">
        <v>36</v>
      </c>
      <c r="I1921" s="0" t="s">
        <v>6427</v>
      </c>
      <c r="J1921" s="0" t="s">
        <v>6428</v>
      </c>
      <c r="K1921" s="0" t="s">
        <v>6429</v>
      </c>
      <c r="L1921" s="0" t="str">
        <f aca="false">HYPERLINK("https://www.ncbi.nlm.nih.gov/nuccore/CP000058.1?report=graph&amp;tracks=[key:gene_model_track,Options:GeneOnly]&amp;mk=598488:598507|offset_36|00cc00,598535:598554|offset_83|444444,598556:598575|offset_104|444444,598590:598609|offset_138|444444&amp;v=598287:598809&amp;c=444444", "offset 36")</f>
        <v>offset 36</v>
      </c>
    </row>
    <row r="1922" customFormat="false" ht="12.8" hidden="false" customHeight="false" outlineLevel="0" collapsed="false">
      <c r="A1922" s="0" t="s">
        <v>12</v>
      </c>
      <c r="B1922" s="0" t="n">
        <v>598534</v>
      </c>
      <c r="C1922" s="0" t="n">
        <v>598554</v>
      </c>
      <c r="D1922" s="0" t="s">
        <v>6425</v>
      </c>
      <c r="E1922" s="0" t="s">
        <v>6426</v>
      </c>
      <c r="F1922" s="0" t="s">
        <v>15</v>
      </c>
      <c r="G1922" s="0" t="s">
        <v>32</v>
      </c>
      <c r="H1922" s="0" t="n">
        <v>83</v>
      </c>
      <c r="I1922" s="0" t="s">
        <v>6430</v>
      </c>
      <c r="J1922" s="0" t="s">
        <v>6431</v>
      </c>
      <c r="K1922" s="0" t="s">
        <v>6432</v>
      </c>
      <c r="L1922" s="0" t="str">
        <f aca="false">HYPERLINK("https://www.ncbi.nlm.nih.gov/nuccore/CP000058.1?report=graph&amp;tracks=[key:gene_model_track,Options:GeneOnly]&amp;mk=598488:598507|offset_36|444444,598535:598554|offset_83|00cc00,598556:598575|offset_104|444444,598590:598609|offset_138|444444&amp;v=598287:598809&amp;c=444444", "offset 83")</f>
        <v>offset 83</v>
      </c>
    </row>
    <row r="1923" customFormat="false" ht="12.8" hidden="false" customHeight="false" outlineLevel="0" collapsed="false">
      <c r="A1923" s="0" t="s">
        <v>12</v>
      </c>
      <c r="B1923" s="0" t="n">
        <v>598555</v>
      </c>
      <c r="C1923" s="0" t="n">
        <v>598575</v>
      </c>
      <c r="D1923" s="0" t="s">
        <v>6425</v>
      </c>
      <c r="E1923" s="0" t="s">
        <v>6426</v>
      </c>
      <c r="F1923" s="0" t="s">
        <v>15</v>
      </c>
      <c r="G1923" s="0" t="s">
        <v>16</v>
      </c>
      <c r="H1923" s="0" t="n">
        <v>104</v>
      </c>
      <c r="I1923" s="0" t="s">
        <v>6433</v>
      </c>
      <c r="J1923" s="0" t="s">
        <v>6434</v>
      </c>
      <c r="K1923" s="0" t="s">
        <v>6435</v>
      </c>
      <c r="L1923" s="0" t="str">
        <f aca="false">HYPERLINK("https://www.ncbi.nlm.nih.gov/nuccore/CP000058.1?report=graph&amp;tracks=[key:gene_model_track,Options:GeneOnly]&amp;mk=598488:598507|offset_36|444444,598535:598554|offset_83|444444,598556:598575|offset_104|00cc00,598590:598609|offset_138|444444&amp;v=598287:598809&amp;c=444444", "offset 104")</f>
        <v>offset 104</v>
      </c>
    </row>
    <row r="1924" customFormat="false" ht="12.8" hidden="false" customHeight="false" outlineLevel="0" collapsed="false">
      <c r="A1924" s="0" t="s">
        <v>12</v>
      </c>
      <c r="B1924" s="0" t="n">
        <v>598589</v>
      </c>
      <c r="C1924" s="0" t="n">
        <v>598609</v>
      </c>
      <c r="D1924" s="0" t="s">
        <v>6425</v>
      </c>
      <c r="E1924" s="0" t="s">
        <v>6426</v>
      </c>
      <c r="F1924" s="0" t="s">
        <v>15</v>
      </c>
      <c r="G1924" s="0" t="s">
        <v>16</v>
      </c>
      <c r="H1924" s="0" t="n">
        <v>138</v>
      </c>
      <c r="I1924" s="0" t="s">
        <v>6436</v>
      </c>
      <c r="J1924" s="0" t="s">
        <v>6437</v>
      </c>
      <c r="K1924" s="0" t="s">
        <v>6438</v>
      </c>
      <c r="L1924" s="0" t="str">
        <f aca="false">HYPERLINK("https://www.ncbi.nlm.nih.gov/nuccore/CP000058.1?report=graph&amp;tracks=[key:gene_model_track,Options:GeneOnly]&amp;mk=598488:598507|offset_36|444444,598535:598554|offset_83|444444,598556:598575|offset_104|444444,598590:598609|offset_138|00cc00&amp;v=598287:598809&amp;c=444444", "offset 138")</f>
        <v>offset 138</v>
      </c>
    </row>
    <row r="1925" customFormat="false" ht="12.8" hidden="false" customHeight="false" outlineLevel="0" collapsed="false">
      <c r="A1925" s="0" t="s">
        <v>12</v>
      </c>
      <c r="B1925" s="0" t="n">
        <v>599586</v>
      </c>
      <c r="C1925" s="0" t="n">
        <v>599606</v>
      </c>
      <c r="D1925" s="0" t="s">
        <v>6439</v>
      </c>
      <c r="E1925" s="0" t="s">
        <v>6440</v>
      </c>
      <c r="F1925" s="0" t="s">
        <v>15</v>
      </c>
      <c r="G1925" s="0" t="s">
        <v>20</v>
      </c>
      <c r="H1925" s="0" t="n">
        <v>14</v>
      </c>
      <c r="I1925" s="0" t="s">
        <v>6441</v>
      </c>
      <c r="J1925" s="0" t="s">
        <v>6442</v>
      </c>
      <c r="K1925" s="0" t="s">
        <v>6443</v>
      </c>
      <c r="L1925" s="0" t="str">
        <f aca="false">HYPERLINK("https://www.ncbi.nlm.nih.gov/nuccore/CP000058.1?report=graph&amp;tracks=[key:gene_model_track,Options:GeneOnly]&amp;mk=599587:599606|offset_14|00cc00,599608:599627|offset_35|444444,599647:599666|offset_74|444444,599683:599702|offset_110|444444&amp;v=599386:599902&amp;c=444444", "offset 14")</f>
        <v>offset 14</v>
      </c>
    </row>
    <row r="1926" customFormat="false" ht="12.8" hidden="false" customHeight="false" outlineLevel="0" collapsed="false">
      <c r="A1926" s="0" t="s">
        <v>12</v>
      </c>
      <c r="B1926" s="0" t="n">
        <v>599607</v>
      </c>
      <c r="C1926" s="0" t="n">
        <v>599627</v>
      </c>
      <c r="D1926" s="0" t="s">
        <v>6439</v>
      </c>
      <c r="E1926" s="0" t="s">
        <v>6440</v>
      </c>
      <c r="F1926" s="0" t="s">
        <v>15</v>
      </c>
      <c r="G1926" s="0" t="s">
        <v>20</v>
      </c>
      <c r="H1926" s="0" t="n">
        <v>35</v>
      </c>
      <c r="I1926" s="0" t="s">
        <v>6444</v>
      </c>
      <c r="J1926" s="0" t="s">
        <v>6445</v>
      </c>
      <c r="K1926" s="0" t="s">
        <v>6446</v>
      </c>
      <c r="L1926" s="0" t="str">
        <f aca="false">HYPERLINK("https://www.ncbi.nlm.nih.gov/nuccore/CP000058.1?report=graph&amp;tracks=[key:gene_model_track,Options:GeneOnly]&amp;mk=599587:599606|offset_14|444444,599608:599627|offset_35|00cc00,599647:599666|offset_74|444444,599683:599702|offset_110|444444&amp;v=599386:599902&amp;c=444444", "offset 35")</f>
        <v>offset 35</v>
      </c>
    </row>
    <row r="1927" customFormat="false" ht="12.8" hidden="false" customHeight="false" outlineLevel="0" collapsed="false">
      <c r="A1927" s="0" t="s">
        <v>12</v>
      </c>
      <c r="B1927" s="0" t="n">
        <v>599646</v>
      </c>
      <c r="C1927" s="0" t="n">
        <v>599666</v>
      </c>
      <c r="D1927" s="0" t="s">
        <v>6439</v>
      </c>
      <c r="E1927" s="0" t="s">
        <v>6440</v>
      </c>
      <c r="F1927" s="0" t="s">
        <v>15</v>
      </c>
      <c r="G1927" s="0" t="s">
        <v>20</v>
      </c>
      <c r="H1927" s="0" t="n">
        <v>74</v>
      </c>
      <c r="I1927" s="0" t="s">
        <v>6447</v>
      </c>
      <c r="J1927" s="0" t="s">
        <v>6448</v>
      </c>
      <c r="K1927" s="0" t="s">
        <v>6449</v>
      </c>
      <c r="L1927" s="0" t="str">
        <f aca="false">HYPERLINK("https://www.ncbi.nlm.nih.gov/nuccore/CP000058.1?report=graph&amp;tracks=[key:gene_model_track,Options:GeneOnly]&amp;mk=599587:599606|offset_14|444444,599608:599627|offset_35|444444,599647:599666|offset_74|00cc00,599683:599702|offset_110|444444&amp;v=599386:599902&amp;c=444444", "offset 74")</f>
        <v>offset 74</v>
      </c>
    </row>
    <row r="1928" customFormat="false" ht="12.8" hidden="false" customHeight="false" outlineLevel="0" collapsed="false">
      <c r="A1928" s="0" t="s">
        <v>12</v>
      </c>
      <c r="B1928" s="0" t="n">
        <v>599682</v>
      </c>
      <c r="C1928" s="0" t="n">
        <v>599702</v>
      </c>
      <c r="D1928" s="0" t="s">
        <v>6439</v>
      </c>
      <c r="E1928" s="0" t="s">
        <v>6440</v>
      </c>
      <c r="F1928" s="0" t="s">
        <v>15</v>
      </c>
      <c r="G1928" s="0" t="s">
        <v>16</v>
      </c>
      <c r="H1928" s="0" t="n">
        <v>110</v>
      </c>
      <c r="I1928" s="0" t="s">
        <v>6450</v>
      </c>
      <c r="J1928" s="0" t="s">
        <v>6451</v>
      </c>
      <c r="K1928" s="0" t="s">
        <v>6452</v>
      </c>
      <c r="L1928" s="0" t="str">
        <f aca="false">HYPERLINK("https://www.ncbi.nlm.nih.gov/nuccore/CP000058.1?report=graph&amp;tracks=[key:gene_model_track,Options:GeneOnly]&amp;mk=599587:599606|offset_14|444444,599608:599627|offset_35|444444,599647:599666|offset_74|444444,599683:599702|offset_110|00cc00&amp;v=599386:599902&amp;c=444444", "offset 110")</f>
        <v>offset 110</v>
      </c>
    </row>
    <row r="1929" customFormat="false" ht="12.8" hidden="false" customHeight="false" outlineLevel="0" collapsed="false">
      <c r="A1929" s="0" t="s">
        <v>12</v>
      </c>
      <c r="B1929" s="0" t="n">
        <v>600402</v>
      </c>
      <c r="C1929" s="0" t="n">
        <v>600422</v>
      </c>
      <c r="D1929" s="0" t="s">
        <v>6453</v>
      </c>
      <c r="E1929" s="0" t="s">
        <v>75</v>
      </c>
      <c r="F1929" s="0" t="s">
        <v>15</v>
      </c>
      <c r="G1929" s="0" t="s">
        <v>36</v>
      </c>
      <c r="H1929" s="0" t="n">
        <v>24</v>
      </c>
      <c r="I1929" s="0" t="s">
        <v>6454</v>
      </c>
      <c r="J1929" s="0" t="s">
        <v>6455</v>
      </c>
      <c r="K1929" s="0" t="s">
        <v>6456</v>
      </c>
      <c r="L1929" s="0" t="str">
        <f aca="false">HYPERLINK("https://www.ncbi.nlm.nih.gov/nuccore/CP000058.1?report=graph&amp;tracks=[key:gene_model_track,Options:GeneOnly]&amp;mk=600403:600422|offset_24|00cc00,600446:600465|offset_67|444444,600476:600495|offset_97|444444,600515:600534|offset_136|444444&amp;v=600202:600734&amp;c=444444", "offset 24")</f>
        <v>offset 24</v>
      </c>
    </row>
    <row r="1930" customFormat="false" ht="12.8" hidden="false" customHeight="false" outlineLevel="0" collapsed="false">
      <c r="A1930" s="0" t="s">
        <v>12</v>
      </c>
      <c r="B1930" s="0" t="n">
        <v>600445</v>
      </c>
      <c r="C1930" s="0" t="n">
        <v>600465</v>
      </c>
      <c r="D1930" s="0" t="s">
        <v>6453</v>
      </c>
      <c r="E1930" s="0" t="s">
        <v>75</v>
      </c>
      <c r="F1930" s="0" t="s">
        <v>15</v>
      </c>
      <c r="G1930" s="0" t="s">
        <v>16</v>
      </c>
      <c r="H1930" s="0" t="n">
        <v>67</v>
      </c>
      <c r="I1930" s="0" t="s">
        <v>6457</v>
      </c>
      <c r="J1930" s="0" t="s">
        <v>6458</v>
      </c>
      <c r="K1930" s="0" t="s">
        <v>6459</v>
      </c>
      <c r="L1930" s="0" t="str">
        <f aca="false">HYPERLINK("https://www.ncbi.nlm.nih.gov/nuccore/CP000058.1?report=graph&amp;tracks=[key:gene_model_track,Options:GeneOnly]&amp;mk=600403:600422|offset_24|444444,600446:600465|offset_67|00cc00,600476:600495|offset_97|444444,600515:600534|offset_136|444444&amp;v=600202:600734&amp;c=444444", "offset 67")</f>
        <v>offset 67</v>
      </c>
    </row>
    <row r="1931" customFormat="false" ht="12.8" hidden="false" customHeight="false" outlineLevel="0" collapsed="false">
      <c r="A1931" s="0" t="s">
        <v>12</v>
      </c>
      <c r="B1931" s="0" t="n">
        <v>600475</v>
      </c>
      <c r="C1931" s="0" t="n">
        <v>600495</v>
      </c>
      <c r="D1931" s="0" t="s">
        <v>6453</v>
      </c>
      <c r="E1931" s="0" t="s">
        <v>75</v>
      </c>
      <c r="F1931" s="0" t="s">
        <v>15</v>
      </c>
      <c r="G1931" s="0" t="s">
        <v>36</v>
      </c>
      <c r="H1931" s="0" t="n">
        <v>97</v>
      </c>
      <c r="I1931" s="0" t="s">
        <v>6460</v>
      </c>
      <c r="J1931" s="0" t="s">
        <v>6461</v>
      </c>
      <c r="K1931" s="0" t="s">
        <v>6462</v>
      </c>
      <c r="L1931" s="0" t="str">
        <f aca="false">HYPERLINK("https://www.ncbi.nlm.nih.gov/nuccore/CP000058.1?report=graph&amp;tracks=[key:gene_model_track,Options:GeneOnly]&amp;mk=600403:600422|offset_24|444444,600446:600465|offset_67|444444,600476:600495|offset_97|00cc00,600515:600534|offset_136|444444&amp;v=600202:600734&amp;c=444444", "offset 97")</f>
        <v>offset 97</v>
      </c>
    </row>
    <row r="1932" customFormat="false" ht="12.8" hidden="false" customHeight="false" outlineLevel="0" collapsed="false">
      <c r="A1932" s="0" t="s">
        <v>12</v>
      </c>
      <c r="B1932" s="0" t="n">
        <v>600514</v>
      </c>
      <c r="C1932" s="0" t="n">
        <v>600534</v>
      </c>
      <c r="D1932" s="0" t="s">
        <v>6453</v>
      </c>
      <c r="E1932" s="0" t="s">
        <v>75</v>
      </c>
      <c r="F1932" s="0" t="s">
        <v>15</v>
      </c>
      <c r="G1932" s="0" t="s">
        <v>16</v>
      </c>
      <c r="H1932" s="0" t="n">
        <v>136</v>
      </c>
      <c r="I1932" s="0" t="s">
        <v>6463</v>
      </c>
      <c r="J1932" s="0" t="s">
        <v>6464</v>
      </c>
      <c r="K1932" s="0" t="s">
        <v>6465</v>
      </c>
      <c r="L1932" s="0" t="str">
        <f aca="false">HYPERLINK("https://www.ncbi.nlm.nih.gov/nuccore/CP000058.1?report=graph&amp;tracks=[key:gene_model_track,Options:GeneOnly]&amp;mk=600403:600422|offset_24|444444,600446:600465|offset_67|444444,600476:600495|offset_97|444444,600515:600534|offset_136|00cc00&amp;v=600202:600734&amp;c=444444", "offset 136")</f>
        <v>offset 136</v>
      </c>
    </row>
    <row r="1933" customFormat="false" ht="12.8" hidden="false" customHeight="false" outlineLevel="0" collapsed="false">
      <c r="A1933" s="0" t="s">
        <v>12</v>
      </c>
      <c r="B1933" s="0" t="n">
        <v>601128</v>
      </c>
      <c r="C1933" s="0" t="n">
        <v>601148</v>
      </c>
      <c r="D1933" s="0" t="s">
        <v>6466</v>
      </c>
      <c r="E1933" s="0" t="s">
        <v>75</v>
      </c>
      <c r="F1933" s="0" t="s">
        <v>15</v>
      </c>
      <c r="G1933" s="0" t="s">
        <v>32</v>
      </c>
      <c r="H1933" s="0" t="n">
        <v>19</v>
      </c>
      <c r="I1933" s="0" t="s">
        <v>6467</v>
      </c>
      <c r="J1933" s="0" t="s">
        <v>6468</v>
      </c>
      <c r="K1933" s="0" t="s">
        <v>6469</v>
      </c>
      <c r="L1933" s="0" t="str">
        <f aca="false">HYPERLINK("https://www.ncbi.nlm.nih.gov/nuccore/CP000058.1?report=graph&amp;tracks=[key:gene_model_track,Options:GeneOnly]&amp;mk=601129:601148|offset_19|00cc00,601163:601182|offset_53|444444,601215:601234|offset_105|444444,601250:601269|offset_140|444444&amp;v=600928:601469&amp;c=444444", "offset 19")</f>
        <v>offset 19</v>
      </c>
    </row>
    <row r="1934" customFormat="false" ht="12.8" hidden="false" customHeight="false" outlineLevel="0" collapsed="false">
      <c r="A1934" s="0" t="s">
        <v>12</v>
      </c>
      <c r="B1934" s="0" t="n">
        <v>601162</v>
      </c>
      <c r="C1934" s="0" t="n">
        <v>601182</v>
      </c>
      <c r="D1934" s="0" t="s">
        <v>6466</v>
      </c>
      <c r="E1934" s="0" t="s">
        <v>75</v>
      </c>
      <c r="F1934" s="0" t="s">
        <v>15</v>
      </c>
      <c r="G1934" s="0" t="s">
        <v>20</v>
      </c>
      <c r="H1934" s="0" t="n">
        <v>53</v>
      </c>
      <c r="I1934" s="0" t="s">
        <v>6470</v>
      </c>
      <c r="J1934" s="0" t="s">
        <v>6471</v>
      </c>
      <c r="K1934" s="0" t="s">
        <v>6472</v>
      </c>
      <c r="L1934" s="0" t="str">
        <f aca="false">HYPERLINK("https://www.ncbi.nlm.nih.gov/nuccore/CP000058.1?report=graph&amp;tracks=[key:gene_model_track,Options:GeneOnly]&amp;mk=601129:601148|offset_19|444444,601163:601182|offset_53|00cc00,601215:601234|offset_105|444444,601250:601269|offset_140|444444&amp;v=600928:601469&amp;c=444444", "offset 53")</f>
        <v>offset 53</v>
      </c>
    </row>
    <row r="1935" customFormat="false" ht="12.8" hidden="false" customHeight="false" outlineLevel="0" collapsed="false">
      <c r="A1935" s="0" t="s">
        <v>12</v>
      </c>
      <c r="B1935" s="0" t="n">
        <v>601214</v>
      </c>
      <c r="C1935" s="0" t="n">
        <v>601234</v>
      </c>
      <c r="D1935" s="0" t="s">
        <v>6466</v>
      </c>
      <c r="E1935" s="0" t="s">
        <v>75</v>
      </c>
      <c r="F1935" s="0" t="s">
        <v>15</v>
      </c>
      <c r="G1935" s="0" t="s">
        <v>36</v>
      </c>
      <c r="H1935" s="0" t="n">
        <v>105</v>
      </c>
      <c r="I1935" s="0" t="s">
        <v>6473</v>
      </c>
      <c r="J1935" s="0" t="s">
        <v>6474</v>
      </c>
      <c r="K1935" s="0" t="s">
        <v>6475</v>
      </c>
      <c r="L1935" s="0" t="str">
        <f aca="false">HYPERLINK("https://www.ncbi.nlm.nih.gov/nuccore/CP000058.1?report=graph&amp;tracks=[key:gene_model_track,Options:GeneOnly]&amp;mk=601129:601148|offset_19|444444,601163:601182|offset_53|444444,601215:601234|offset_105|00cc00,601250:601269|offset_140|444444&amp;v=600928:601469&amp;c=444444", "offset 105")</f>
        <v>offset 105</v>
      </c>
    </row>
    <row r="1936" customFormat="false" ht="12.8" hidden="false" customHeight="false" outlineLevel="0" collapsed="false">
      <c r="A1936" s="0" t="s">
        <v>12</v>
      </c>
      <c r="B1936" s="0" t="n">
        <v>601249</v>
      </c>
      <c r="C1936" s="0" t="n">
        <v>601269</v>
      </c>
      <c r="D1936" s="0" t="s">
        <v>6466</v>
      </c>
      <c r="E1936" s="0" t="s">
        <v>75</v>
      </c>
      <c r="F1936" s="0" t="s">
        <v>15</v>
      </c>
      <c r="G1936" s="0" t="s">
        <v>16</v>
      </c>
      <c r="H1936" s="0" t="n">
        <v>140</v>
      </c>
      <c r="I1936" s="0" t="s">
        <v>6476</v>
      </c>
      <c r="J1936" s="0" t="s">
        <v>6477</v>
      </c>
      <c r="K1936" s="0" t="s">
        <v>6478</v>
      </c>
      <c r="L1936" s="0" t="str">
        <f aca="false">HYPERLINK("https://www.ncbi.nlm.nih.gov/nuccore/CP000058.1?report=graph&amp;tracks=[key:gene_model_track,Options:GeneOnly]&amp;mk=601129:601148|offset_19|444444,601163:601182|offset_53|444444,601215:601234|offset_105|444444,601250:601269|offset_140|00cc00&amp;v=600928:601469&amp;c=444444", "offset 140")</f>
        <v>offset 140</v>
      </c>
    </row>
    <row r="1937" customFormat="false" ht="12.8" hidden="false" customHeight="false" outlineLevel="0" collapsed="false">
      <c r="A1937" s="0" t="s">
        <v>12</v>
      </c>
      <c r="B1937" s="0" t="n">
        <v>601913</v>
      </c>
      <c r="C1937" s="0" t="n">
        <v>601933</v>
      </c>
      <c r="D1937" s="0" t="s">
        <v>6479</v>
      </c>
      <c r="E1937" s="0" t="s">
        <v>75</v>
      </c>
      <c r="F1937" s="0" t="s">
        <v>15</v>
      </c>
      <c r="G1937" s="0" t="s">
        <v>16</v>
      </c>
      <c r="H1937" s="0" t="n">
        <v>25</v>
      </c>
      <c r="I1937" s="0" t="s">
        <v>6480</v>
      </c>
      <c r="J1937" s="0" t="s">
        <v>6481</v>
      </c>
      <c r="K1937" s="0" t="s">
        <v>6482</v>
      </c>
      <c r="L1937" s="0" t="str">
        <f aca="false">HYPERLINK("https://www.ncbi.nlm.nih.gov/nuccore/CP000058.1?report=graph&amp;tracks=[key:gene_model_track,Options:GeneOnly]&amp;mk=601914:601933|offset_25|00cc00,601937:601956|offset_48|444444,601965:601984|offset_76|444444,601992:602011|offset_103|444444&amp;v=601713:602211&amp;c=444444", "offset 25")</f>
        <v>offset 25</v>
      </c>
    </row>
    <row r="1938" customFormat="false" ht="12.8" hidden="false" customHeight="false" outlineLevel="0" collapsed="false">
      <c r="A1938" s="0" t="s">
        <v>12</v>
      </c>
      <c r="B1938" s="0" t="n">
        <v>601936</v>
      </c>
      <c r="C1938" s="0" t="n">
        <v>601956</v>
      </c>
      <c r="D1938" s="0" t="s">
        <v>6479</v>
      </c>
      <c r="E1938" s="0" t="s">
        <v>75</v>
      </c>
      <c r="F1938" s="0" t="s">
        <v>15</v>
      </c>
      <c r="G1938" s="0" t="s">
        <v>16</v>
      </c>
      <c r="H1938" s="0" t="n">
        <v>48</v>
      </c>
      <c r="I1938" s="0" t="s">
        <v>6483</v>
      </c>
      <c r="J1938" s="0" t="s">
        <v>6484</v>
      </c>
      <c r="K1938" s="0" t="s">
        <v>6485</v>
      </c>
      <c r="L1938" s="0" t="str">
        <f aca="false">HYPERLINK("https://www.ncbi.nlm.nih.gov/nuccore/CP000058.1?report=graph&amp;tracks=[key:gene_model_track,Options:GeneOnly]&amp;mk=601914:601933|offset_25|444444,601937:601956|offset_48|00cc00,601965:601984|offset_76|444444,601992:602011|offset_103|444444&amp;v=601713:602211&amp;c=444444", "offset 48")</f>
        <v>offset 48</v>
      </c>
    </row>
    <row r="1939" customFormat="false" ht="12.8" hidden="false" customHeight="false" outlineLevel="0" collapsed="false">
      <c r="A1939" s="0" t="s">
        <v>12</v>
      </c>
      <c r="B1939" s="0" t="n">
        <v>601964</v>
      </c>
      <c r="C1939" s="0" t="n">
        <v>601984</v>
      </c>
      <c r="D1939" s="0" t="s">
        <v>6479</v>
      </c>
      <c r="E1939" s="0" t="s">
        <v>75</v>
      </c>
      <c r="F1939" s="0" t="s">
        <v>15</v>
      </c>
      <c r="G1939" s="0" t="s">
        <v>16</v>
      </c>
      <c r="H1939" s="0" t="n">
        <v>76</v>
      </c>
      <c r="I1939" s="0" t="s">
        <v>6486</v>
      </c>
      <c r="J1939" s="0" t="s">
        <v>6487</v>
      </c>
      <c r="K1939" s="0" t="s">
        <v>6488</v>
      </c>
      <c r="L1939" s="0" t="str">
        <f aca="false">HYPERLINK("https://www.ncbi.nlm.nih.gov/nuccore/CP000058.1?report=graph&amp;tracks=[key:gene_model_track,Options:GeneOnly]&amp;mk=601914:601933|offset_25|444444,601937:601956|offset_48|444444,601965:601984|offset_76|00cc00,601992:602011|offset_103|444444&amp;v=601713:602211&amp;c=444444", "offset 76")</f>
        <v>offset 76</v>
      </c>
    </row>
    <row r="1940" customFormat="false" ht="12.8" hidden="false" customHeight="false" outlineLevel="0" collapsed="false">
      <c r="A1940" s="0" t="s">
        <v>12</v>
      </c>
      <c r="B1940" s="0" t="n">
        <v>601991</v>
      </c>
      <c r="C1940" s="0" t="n">
        <v>602011</v>
      </c>
      <c r="D1940" s="0" t="s">
        <v>6479</v>
      </c>
      <c r="E1940" s="0" t="s">
        <v>75</v>
      </c>
      <c r="F1940" s="0" t="s">
        <v>15</v>
      </c>
      <c r="G1940" s="0" t="s">
        <v>36</v>
      </c>
      <c r="H1940" s="0" t="n">
        <v>103</v>
      </c>
      <c r="I1940" s="0" t="s">
        <v>6489</v>
      </c>
      <c r="J1940" s="0" t="s">
        <v>6490</v>
      </c>
      <c r="K1940" s="0" t="s">
        <v>6491</v>
      </c>
      <c r="L1940" s="0" t="str">
        <f aca="false">HYPERLINK("https://www.ncbi.nlm.nih.gov/nuccore/CP000058.1?report=graph&amp;tracks=[key:gene_model_track,Options:GeneOnly]&amp;mk=601914:601933|offset_25|444444,601937:601956|offset_48|444444,601965:601984|offset_76|444444,601992:602011|offset_103|00cc00&amp;v=601713:602211&amp;c=444444", "offset 103")</f>
        <v>offset 103</v>
      </c>
    </row>
    <row r="1941" customFormat="false" ht="12.8" hidden="false" customHeight="false" outlineLevel="0" collapsed="false">
      <c r="A1941" s="0" t="s">
        <v>12</v>
      </c>
      <c r="B1941" s="0" t="n">
        <v>608623</v>
      </c>
      <c r="C1941" s="0" t="n">
        <v>608643</v>
      </c>
      <c r="D1941" s="0" t="s">
        <v>6492</v>
      </c>
      <c r="E1941" s="0" t="s">
        <v>75</v>
      </c>
      <c r="F1941" s="0" t="s">
        <v>90</v>
      </c>
      <c r="G1941" s="0" t="s">
        <v>16</v>
      </c>
      <c r="H1941" s="0" t="n">
        <v>44</v>
      </c>
      <c r="I1941" s="0" t="s">
        <v>6493</v>
      </c>
      <c r="J1941" s="0" t="s">
        <v>6494</v>
      </c>
      <c r="K1941" s="0" t="s">
        <v>6495</v>
      </c>
      <c r="L1941" s="0" t="str">
        <f aca="false">HYPERLINK("https://www.ncbi.nlm.nih.gov/nuccore/CP000058.1?report=graph&amp;tracks=[key:gene_model_track,Options:GeneOnly]&amp;mk=608624:608643|offset_44|00cc00,608592:608611|offset_76|444444,608567:608586|offset_101|444444,608535:608554|offset_133|444444&amp;v=608423:608754&amp;c=444444", "offset 44")</f>
        <v>offset 44</v>
      </c>
    </row>
    <row r="1942" customFormat="false" ht="12.8" hidden="false" customHeight="false" outlineLevel="0" collapsed="false">
      <c r="A1942" s="0" t="s">
        <v>12</v>
      </c>
      <c r="B1942" s="0" t="n">
        <v>608591</v>
      </c>
      <c r="C1942" s="0" t="n">
        <v>608611</v>
      </c>
      <c r="D1942" s="0" t="s">
        <v>6492</v>
      </c>
      <c r="E1942" s="0" t="s">
        <v>75</v>
      </c>
      <c r="F1942" s="0" t="s">
        <v>90</v>
      </c>
      <c r="G1942" s="0" t="s">
        <v>32</v>
      </c>
      <c r="H1942" s="0" t="n">
        <v>76</v>
      </c>
      <c r="I1942" s="0" t="s">
        <v>6496</v>
      </c>
      <c r="J1942" s="0" t="s">
        <v>6497</v>
      </c>
      <c r="K1942" s="0" t="s">
        <v>6498</v>
      </c>
      <c r="L1942" s="0" t="str">
        <f aca="false">HYPERLINK("https://www.ncbi.nlm.nih.gov/nuccore/CP000058.1?report=graph&amp;tracks=[key:gene_model_track,Options:GeneOnly]&amp;mk=608624:608643|offset_44|444444,608592:608611|offset_76|00cc00,608567:608586|offset_101|444444,608535:608554|offset_133|444444&amp;v=608423:608754&amp;c=444444", "offset 76")</f>
        <v>offset 76</v>
      </c>
    </row>
    <row r="1943" customFormat="false" ht="12.8" hidden="false" customHeight="false" outlineLevel="0" collapsed="false">
      <c r="A1943" s="0" t="s">
        <v>12</v>
      </c>
      <c r="B1943" s="0" t="n">
        <v>608566</v>
      </c>
      <c r="C1943" s="0" t="n">
        <v>608586</v>
      </c>
      <c r="D1943" s="0" t="s">
        <v>6492</v>
      </c>
      <c r="E1943" s="0" t="s">
        <v>75</v>
      </c>
      <c r="F1943" s="0" t="s">
        <v>90</v>
      </c>
      <c r="G1943" s="0" t="s">
        <v>36</v>
      </c>
      <c r="H1943" s="0" t="n">
        <v>101</v>
      </c>
      <c r="I1943" s="0" t="s">
        <v>6499</v>
      </c>
      <c r="J1943" s="0" t="s">
        <v>6500</v>
      </c>
      <c r="K1943" s="0" t="s">
        <v>6501</v>
      </c>
      <c r="L1943" s="0" t="str">
        <f aca="false">HYPERLINK("https://www.ncbi.nlm.nih.gov/nuccore/CP000058.1?report=graph&amp;tracks=[key:gene_model_track,Options:GeneOnly]&amp;mk=608624:608643|offset_44|444444,608592:608611|offset_76|444444,608567:608586|offset_101|00cc00,608535:608554|offset_133|444444&amp;v=608423:608754&amp;c=444444", "offset 101")</f>
        <v>offset 101</v>
      </c>
    </row>
    <row r="1944" customFormat="false" ht="12.8" hidden="false" customHeight="false" outlineLevel="0" collapsed="false">
      <c r="A1944" s="0" t="s">
        <v>12</v>
      </c>
      <c r="B1944" s="0" t="n">
        <v>608534</v>
      </c>
      <c r="C1944" s="0" t="n">
        <v>608554</v>
      </c>
      <c r="D1944" s="0" t="s">
        <v>6492</v>
      </c>
      <c r="E1944" s="0" t="s">
        <v>75</v>
      </c>
      <c r="F1944" s="0" t="s">
        <v>90</v>
      </c>
      <c r="G1944" s="0" t="s">
        <v>32</v>
      </c>
      <c r="H1944" s="0" t="n">
        <v>133</v>
      </c>
      <c r="I1944" s="0" t="s">
        <v>6502</v>
      </c>
      <c r="J1944" s="0" t="s">
        <v>6503</v>
      </c>
      <c r="K1944" s="0" t="s">
        <v>6504</v>
      </c>
      <c r="L1944" s="0" t="str">
        <f aca="false">HYPERLINK("https://www.ncbi.nlm.nih.gov/nuccore/CP000058.1?report=graph&amp;tracks=[key:gene_model_track,Options:GeneOnly]&amp;mk=608624:608643|offset_44|444444,608592:608611|offset_76|444444,608567:608586|offset_101|444444,608535:608554|offset_133|00cc00&amp;v=608423:608754&amp;c=444444", "offset 133")</f>
        <v>offset 133</v>
      </c>
    </row>
    <row r="1945" customFormat="false" ht="12.8" hidden="false" customHeight="false" outlineLevel="0" collapsed="false">
      <c r="A1945" s="0" t="s">
        <v>12</v>
      </c>
      <c r="B1945" s="0" t="n">
        <v>609240</v>
      </c>
      <c r="C1945" s="0" t="n">
        <v>609260</v>
      </c>
      <c r="D1945" s="0" t="s">
        <v>6505</v>
      </c>
      <c r="E1945" s="0" t="s">
        <v>75</v>
      </c>
      <c r="F1945" s="0" t="s">
        <v>90</v>
      </c>
      <c r="G1945" s="0" t="s">
        <v>16</v>
      </c>
      <c r="H1945" s="0" t="n">
        <v>22</v>
      </c>
      <c r="I1945" s="0" t="s">
        <v>6506</v>
      </c>
      <c r="J1945" s="0" t="s">
        <v>6507</v>
      </c>
      <c r="K1945" s="0" t="s">
        <v>6508</v>
      </c>
      <c r="L1945" s="0" t="str">
        <f aca="false">HYPERLINK("https://www.ncbi.nlm.nih.gov/nuccore/CP000058.1?report=graph&amp;tracks=[key:gene_model_track,Options:GeneOnly]&amp;mk=609241:609260|offset_22|00cc00,609207:609226|offset_56|444444,609174:609193|offset_89|444444,609153:609172|offset_110|444444&amp;v=609040:609372&amp;c=444444", "offset 22")</f>
        <v>offset 22</v>
      </c>
    </row>
    <row r="1946" customFormat="false" ht="12.8" hidden="false" customHeight="false" outlineLevel="0" collapsed="false">
      <c r="A1946" s="0" t="s">
        <v>12</v>
      </c>
      <c r="B1946" s="0" t="n">
        <v>609206</v>
      </c>
      <c r="C1946" s="0" t="n">
        <v>609226</v>
      </c>
      <c r="D1946" s="0" t="s">
        <v>6505</v>
      </c>
      <c r="E1946" s="0" t="s">
        <v>75</v>
      </c>
      <c r="F1946" s="0" t="s">
        <v>90</v>
      </c>
      <c r="G1946" s="0" t="s">
        <v>20</v>
      </c>
      <c r="H1946" s="0" t="n">
        <v>56</v>
      </c>
      <c r="I1946" s="0" t="s">
        <v>6509</v>
      </c>
      <c r="J1946" s="0" t="s">
        <v>6510</v>
      </c>
      <c r="K1946" s="0" t="s">
        <v>6511</v>
      </c>
      <c r="L1946" s="0" t="str">
        <f aca="false">HYPERLINK("https://www.ncbi.nlm.nih.gov/nuccore/CP000058.1?report=graph&amp;tracks=[key:gene_model_track,Options:GeneOnly]&amp;mk=609241:609260|offset_22|444444,609207:609226|offset_56|00cc00,609174:609193|offset_89|444444,609153:609172|offset_110|444444&amp;v=609040:609372&amp;c=444444", "offset 56")</f>
        <v>offset 56</v>
      </c>
    </row>
    <row r="1947" customFormat="false" ht="12.8" hidden="false" customHeight="false" outlineLevel="0" collapsed="false">
      <c r="A1947" s="0" t="s">
        <v>12</v>
      </c>
      <c r="B1947" s="0" t="n">
        <v>609173</v>
      </c>
      <c r="C1947" s="0" t="n">
        <v>609193</v>
      </c>
      <c r="D1947" s="0" t="s">
        <v>6505</v>
      </c>
      <c r="E1947" s="0" t="s">
        <v>75</v>
      </c>
      <c r="F1947" s="0" t="s">
        <v>90</v>
      </c>
      <c r="G1947" s="0" t="s">
        <v>36</v>
      </c>
      <c r="H1947" s="0" t="n">
        <v>89</v>
      </c>
      <c r="I1947" s="0" t="s">
        <v>6512</v>
      </c>
      <c r="J1947" s="0" t="s">
        <v>6513</v>
      </c>
      <c r="K1947" s="0" t="s">
        <v>6514</v>
      </c>
      <c r="L1947" s="0" t="str">
        <f aca="false">HYPERLINK("https://www.ncbi.nlm.nih.gov/nuccore/CP000058.1?report=graph&amp;tracks=[key:gene_model_track,Options:GeneOnly]&amp;mk=609241:609260|offset_22|444444,609207:609226|offset_56|444444,609174:609193|offset_89|00cc00,609153:609172|offset_110|444444&amp;v=609040:609372&amp;c=444444", "offset 89")</f>
        <v>offset 89</v>
      </c>
    </row>
    <row r="1948" customFormat="false" ht="12.8" hidden="false" customHeight="false" outlineLevel="0" collapsed="false">
      <c r="A1948" s="0" t="s">
        <v>12</v>
      </c>
      <c r="B1948" s="0" t="n">
        <v>609152</v>
      </c>
      <c r="C1948" s="0" t="n">
        <v>609172</v>
      </c>
      <c r="D1948" s="0" t="s">
        <v>6505</v>
      </c>
      <c r="E1948" s="0" t="s">
        <v>75</v>
      </c>
      <c r="F1948" s="0" t="s">
        <v>90</v>
      </c>
      <c r="G1948" s="0" t="s">
        <v>16</v>
      </c>
      <c r="H1948" s="0" t="n">
        <v>110</v>
      </c>
      <c r="I1948" s="0" t="s">
        <v>6515</v>
      </c>
      <c r="J1948" s="0" t="s">
        <v>6516</v>
      </c>
      <c r="K1948" s="0" t="s">
        <v>6517</v>
      </c>
      <c r="L1948" s="0" t="str">
        <f aca="false">HYPERLINK("https://www.ncbi.nlm.nih.gov/nuccore/CP000058.1?report=graph&amp;tracks=[key:gene_model_track,Options:GeneOnly]&amp;mk=609241:609260|offset_22|444444,609207:609226|offset_56|444444,609174:609193|offset_89|444444,609153:609172|offset_110|00cc00&amp;v=609040:609372&amp;c=444444", "offset 110")</f>
        <v>offset 110</v>
      </c>
    </row>
    <row r="1949" customFormat="false" ht="12.8" hidden="false" customHeight="false" outlineLevel="0" collapsed="false">
      <c r="A1949" s="0" t="s">
        <v>12</v>
      </c>
      <c r="B1949" s="0" t="n">
        <v>609756</v>
      </c>
      <c r="C1949" s="0" t="n">
        <v>609776</v>
      </c>
      <c r="D1949" s="0" t="s">
        <v>6518</v>
      </c>
      <c r="E1949" s="0" t="s">
        <v>75</v>
      </c>
      <c r="F1949" s="0" t="s">
        <v>15</v>
      </c>
      <c r="G1949" s="0" t="s">
        <v>20</v>
      </c>
      <c r="H1949" s="0" t="n">
        <v>17</v>
      </c>
      <c r="I1949" s="0" t="s">
        <v>6519</v>
      </c>
      <c r="J1949" s="0" t="s">
        <v>6520</v>
      </c>
      <c r="K1949" s="0" t="s">
        <v>6521</v>
      </c>
      <c r="L1949" s="0" t="str">
        <f aca="false">HYPERLINK("https://www.ncbi.nlm.nih.gov/nuccore/CP000058.1?report=graph&amp;tracks=[key:gene_model_track,Options:GeneOnly]&amp;mk=609757:609776|offset_17|00cc00,609781:609800|offset_41|444444,609871:609890|offset_131|444444,609923:609942|offset_183|444444&amp;v=609556:610142&amp;c=444444", "offset 17")</f>
        <v>offset 17</v>
      </c>
    </row>
    <row r="1950" customFormat="false" ht="12.8" hidden="false" customHeight="false" outlineLevel="0" collapsed="false">
      <c r="A1950" s="0" t="s">
        <v>12</v>
      </c>
      <c r="B1950" s="0" t="n">
        <v>609780</v>
      </c>
      <c r="C1950" s="0" t="n">
        <v>609800</v>
      </c>
      <c r="D1950" s="0" t="s">
        <v>6518</v>
      </c>
      <c r="E1950" s="0" t="s">
        <v>75</v>
      </c>
      <c r="F1950" s="0" t="s">
        <v>15</v>
      </c>
      <c r="G1950" s="0" t="s">
        <v>32</v>
      </c>
      <c r="H1950" s="0" t="n">
        <v>41</v>
      </c>
      <c r="I1950" s="0" t="s">
        <v>6522</v>
      </c>
      <c r="J1950" s="0" t="s">
        <v>6523</v>
      </c>
      <c r="K1950" s="0" t="s">
        <v>6524</v>
      </c>
      <c r="L1950" s="0" t="str">
        <f aca="false">HYPERLINK("https://www.ncbi.nlm.nih.gov/nuccore/CP000058.1?report=graph&amp;tracks=[key:gene_model_track,Options:GeneOnly]&amp;mk=609757:609776|offset_17|444444,609781:609800|offset_41|00cc00,609871:609890|offset_131|444444,609923:609942|offset_183|444444&amp;v=609556:610142&amp;c=444444", "offset 41")</f>
        <v>offset 41</v>
      </c>
    </row>
    <row r="1951" customFormat="false" ht="12.8" hidden="false" customHeight="false" outlineLevel="0" collapsed="false">
      <c r="A1951" s="0" t="s">
        <v>12</v>
      </c>
      <c r="B1951" s="0" t="n">
        <v>609870</v>
      </c>
      <c r="C1951" s="0" t="n">
        <v>609890</v>
      </c>
      <c r="D1951" s="0" t="s">
        <v>6518</v>
      </c>
      <c r="E1951" s="0" t="s">
        <v>75</v>
      </c>
      <c r="F1951" s="0" t="s">
        <v>15</v>
      </c>
      <c r="G1951" s="0" t="s">
        <v>16</v>
      </c>
      <c r="H1951" s="0" t="n">
        <v>131</v>
      </c>
      <c r="I1951" s="0" t="s">
        <v>6525</v>
      </c>
      <c r="J1951" s="0" t="s">
        <v>6526</v>
      </c>
      <c r="K1951" s="0" t="s">
        <v>6527</v>
      </c>
      <c r="L1951" s="0" t="str">
        <f aca="false">HYPERLINK("https://www.ncbi.nlm.nih.gov/nuccore/CP000058.1?report=graph&amp;tracks=[key:gene_model_track,Options:GeneOnly]&amp;mk=609757:609776|offset_17|444444,609781:609800|offset_41|444444,609871:609890|offset_131|00cc00,609923:609942|offset_183|444444&amp;v=609556:610142&amp;c=444444", "offset 131")</f>
        <v>offset 131</v>
      </c>
    </row>
    <row r="1952" customFormat="false" ht="12.8" hidden="false" customHeight="false" outlineLevel="0" collapsed="false">
      <c r="A1952" s="0" t="s">
        <v>12</v>
      </c>
      <c r="B1952" s="0" t="n">
        <v>609922</v>
      </c>
      <c r="C1952" s="0" t="n">
        <v>609942</v>
      </c>
      <c r="D1952" s="0" t="s">
        <v>6518</v>
      </c>
      <c r="E1952" s="0" t="s">
        <v>75</v>
      </c>
      <c r="F1952" s="0" t="s">
        <v>15</v>
      </c>
      <c r="G1952" s="0" t="s">
        <v>20</v>
      </c>
      <c r="H1952" s="0" t="n">
        <v>183</v>
      </c>
      <c r="I1952" s="0" t="s">
        <v>6528</v>
      </c>
      <c r="J1952" s="0" t="s">
        <v>6529</v>
      </c>
      <c r="K1952" s="0" t="s">
        <v>6530</v>
      </c>
      <c r="L1952" s="0" t="str">
        <f aca="false">HYPERLINK("https://www.ncbi.nlm.nih.gov/nuccore/CP000058.1?report=graph&amp;tracks=[key:gene_model_track,Options:GeneOnly]&amp;mk=609757:609776|offset_17|444444,609781:609800|offset_41|444444,609871:609890|offset_131|444444,609923:609942|offset_183|00cc00&amp;v=609556:610142&amp;c=444444", "offset 183")</f>
        <v>offset 183</v>
      </c>
    </row>
    <row r="1953" customFormat="false" ht="12.8" hidden="false" customHeight="false" outlineLevel="0" collapsed="false">
      <c r="A1953" s="0" t="s">
        <v>12</v>
      </c>
      <c r="B1953" s="0" t="n">
        <v>611537</v>
      </c>
      <c r="C1953" s="0" t="n">
        <v>611557</v>
      </c>
      <c r="D1953" s="0" t="s">
        <v>6531</v>
      </c>
      <c r="E1953" s="0" t="s">
        <v>75</v>
      </c>
      <c r="F1953" s="0" t="s">
        <v>15</v>
      </c>
      <c r="G1953" s="0" t="s">
        <v>16</v>
      </c>
      <c r="H1953" s="0" t="n">
        <v>57</v>
      </c>
      <c r="I1953" s="0" t="s">
        <v>6532</v>
      </c>
      <c r="J1953" s="0" t="s">
        <v>6533</v>
      </c>
      <c r="K1953" s="0" t="s">
        <v>6534</v>
      </c>
      <c r="L1953" s="0" t="str">
        <f aca="false">HYPERLINK("https://www.ncbi.nlm.nih.gov/nuccore/CP000058.1?report=graph&amp;tracks=[key:gene_model_track,Options:GeneOnly]&amp;mk=611538:611557|offset_57|00cc00,611570:611589|offset_89|444444,611614:611633|offset_133|444444,611641:611660|offset_160|444444&amp;v=611337:611860&amp;c=444444", "offset 57")</f>
        <v>offset 57</v>
      </c>
    </row>
    <row r="1954" customFormat="false" ht="12.8" hidden="false" customHeight="false" outlineLevel="0" collapsed="false">
      <c r="A1954" s="0" t="s">
        <v>12</v>
      </c>
      <c r="B1954" s="0" t="n">
        <v>611569</v>
      </c>
      <c r="C1954" s="0" t="n">
        <v>611589</v>
      </c>
      <c r="D1954" s="0" t="s">
        <v>6531</v>
      </c>
      <c r="E1954" s="0" t="s">
        <v>75</v>
      </c>
      <c r="F1954" s="0" t="s">
        <v>15</v>
      </c>
      <c r="G1954" s="0" t="s">
        <v>20</v>
      </c>
      <c r="H1954" s="0" t="n">
        <v>89</v>
      </c>
      <c r="I1954" s="0" t="s">
        <v>6535</v>
      </c>
      <c r="J1954" s="0" t="s">
        <v>6536</v>
      </c>
      <c r="K1954" s="0" t="s">
        <v>6537</v>
      </c>
      <c r="L1954" s="0" t="str">
        <f aca="false">HYPERLINK("https://www.ncbi.nlm.nih.gov/nuccore/CP000058.1?report=graph&amp;tracks=[key:gene_model_track,Options:GeneOnly]&amp;mk=611538:611557|offset_57|444444,611570:611589|offset_89|00cc00,611614:611633|offset_133|444444,611641:611660|offset_160|444444&amp;v=611337:611860&amp;c=444444", "offset 89")</f>
        <v>offset 89</v>
      </c>
    </row>
    <row r="1955" customFormat="false" ht="12.8" hidden="false" customHeight="false" outlineLevel="0" collapsed="false">
      <c r="A1955" s="0" t="s">
        <v>12</v>
      </c>
      <c r="B1955" s="0" t="n">
        <v>611613</v>
      </c>
      <c r="C1955" s="0" t="n">
        <v>611633</v>
      </c>
      <c r="D1955" s="0" t="s">
        <v>6531</v>
      </c>
      <c r="E1955" s="0" t="s">
        <v>75</v>
      </c>
      <c r="F1955" s="0" t="s">
        <v>15</v>
      </c>
      <c r="G1955" s="0" t="s">
        <v>16</v>
      </c>
      <c r="H1955" s="0" t="n">
        <v>133</v>
      </c>
      <c r="I1955" s="0" t="s">
        <v>6538</v>
      </c>
      <c r="J1955" s="0" t="s">
        <v>6539</v>
      </c>
      <c r="K1955" s="0" t="s">
        <v>6540</v>
      </c>
      <c r="L1955" s="0" t="str">
        <f aca="false">HYPERLINK("https://www.ncbi.nlm.nih.gov/nuccore/CP000058.1?report=graph&amp;tracks=[key:gene_model_track,Options:GeneOnly]&amp;mk=611538:611557|offset_57|444444,611570:611589|offset_89|444444,611614:611633|offset_133|00cc00,611641:611660|offset_160|444444&amp;v=611337:611860&amp;c=444444", "offset 133")</f>
        <v>offset 133</v>
      </c>
    </row>
    <row r="1956" customFormat="false" ht="12.8" hidden="false" customHeight="false" outlineLevel="0" collapsed="false">
      <c r="A1956" s="0" t="s">
        <v>12</v>
      </c>
      <c r="B1956" s="0" t="n">
        <v>611640</v>
      </c>
      <c r="C1956" s="0" t="n">
        <v>611660</v>
      </c>
      <c r="D1956" s="0" t="s">
        <v>6531</v>
      </c>
      <c r="E1956" s="0" t="s">
        <v>75</v>
      </c>
      <c r="F1956" s="0" t="s">
        <v>15</v>
      </c>
      <c r="G1956" s="0" t="s">
        <v>16</v>
      </c>
      <c r="H1956" s="0" t="n">
        <v>160</v>
      </c>
      <c r="I1956" s="0" t="s">
        <v>6541</v>
      </c>
      <c r="J1956" s="0" t="s">
        <v>6542</v>
      </c>
      <c r="K1956" s="0" t="s">
        <v>6543</v>
      </c>
      <c r="L1956" s="0" t="str">
        <f aca="false">HYPERLINK("https://www.ncbi.nlm.nih.gov/nuccore/CP000058.1?report=graph&amp;tracks=[key:gene_model_track,Options:GeneOnly]&amp;mk=611538:611557|offset_57|444444,611570:611589|offset_89|444444,611614:611633|offset_133|444444,611641:611660|offset_160|00cc00&amp;v=611337:611860&amp;c=444444", "offset 160")</f>
        <v>offset 160</v>
      </c>
    </row>
    <row r="1957" customFormat="false" ht="12.8" hidden="false" customHeight="false" outlineLevel="0" collapsed="false">
      <c r="A1957" s="0" t="s">
        <v>12</v>
      </c>
      <c r="B1957" s="0" t="n">
        <v>612710</v>
      </c>
      <c r="C1957" s="0" t="n">
        <v>612730</v>
      </c>
      <c r="D1957" s="0" t="s">
        <v>6544</v>
      </c>
      <c r="E1957" s="0" t="s">
        <v>75</v>
      </c>
      <c r="F1957" s="0" t="s">
        <v>15</v>
      </c>
      <c r="G1957" s="0" t="s">
        <v>32</v>
      </c>
      <c r="H1957" s="0" t="n">
        <v>100</v>
      </c>
      <c r="I1957" s="0" t="s">
        <v>6545</v>
      </c>
      <c r="J1957" s="0" t="s">
        <v>6546</v>
      </c>
      <c r="K1957" s="0" t="s">
        <v>6547</v>
      </c>
      <c r="L1957" s="0" t="str">
        <f aca="false">HYPERLINK("https://www.ncbi.nlm.nih.gov/nuccore/CP000058.1?report=graph&amp;tracks=[key:gene_model_track,Options:GeneOnly]&amp;mk=612711:612730|offset_100|00cc00,612736:612755|offset_125|444444,612774:612793|offset_163|444444,612810:612829|offset_199|444444&amp;v=612510:613029&amp;c=444444", "offset 100")</f>
        <v>offset 100</v>
      </c>
    </row>
    <row r="1958" customFormat="false" ht="12.8" hidden="false" customHeight="false" outlineLevel="0" collapsed="false">
      <c r="A1958" s="0" t="s">
        <v>12</v>
      </c>
      <c r="B1958" s="0" t="n">
        <v>612735</v>
      </c>
      <c r="C1958" s="0" t="n">
        <v>612755</v>
      </c>
      <c r="D1958" s="0" t="s">
        <v>6544</v>
      </c>
      <c r="E1958" s="0" t="s">
        <v>75</v>
      </c>
      <c r="F1958" s="0" t="s">
        <v>15</v>
      </c>
      <c r="G1958" s="0" t="s">
        <v>20</v>
      </c>
      <c r="H1958" s="0" t="n">
        <v>125</v>
      </c>
      <c r="I1958" s="0" t="s">
        <v>6548</v>
      </c>
      <c r="J1958" s="0" t="s">
        <v>6549</v>
      </c>
      <c r="K1958" s="0" t="s">
        <v>6550</v>
      </c>
      <c r="L1958" s="0" t="str">
        <f aca="false">HYPERLINK("https://www.ncbi.nlm.nih.gov/nuccore/CP000058.1?report=graph&amp;tracks=[key:gene_model_track,Options:GeneOnly]&amp;mk=612711:612730|offset_100|444444,612736:612755|offset_125|00cc00,612774:612793|offset_163|444444,612810:612829|offset_199|444444&amp;v=612510:613029&amp;c=444444", "offset 125")</f>
        <v>offset 125</v>
      </c>
    </row>
    <row r="1959" customFormat="false" ht="12.8" hidden="false" customHeight="false" outlineLevel="0" collapsed="false">
      <c r="A1959" s="0" t="s">
        <v>12</v>
      </c>
      <c r="B1959" s="0" t="n">
        <v>612773</v>
      </c>
      <c r="C1959" s="0" t="n">
        <v>612793</v>
      </c>
      <c r="D1959" s="0" t="s">
        <v>6544</v>
      </c>
      <c r="E1959" s="0" t="s">
        <v>75</v>
      </c>
      <c r="F1959" s="0" t="s">
        <v>15</v>
      </c>
      <c r="G1959" s="0" t="s">
        <v>20</v>
      </c>
      <c r="H1959" s="0" t="n">
        <v>163</v>
      </c>
      <c r="I1959" s="0" t="s">
        <v>6551</v>
      </c>
      <c r="J1959" s="0" t="s">
        <v>6552</v>
      </c>
      <c r="K1959" s="0" t="s">
        <v>6553</v>
      </c>
      <c r="L1959" s="0" t="str">
        <f aca="false">HYPERLINK("https://www.ncbi.nlm.nih.gov/nuccore/CP000058.1?report=graph&amp;tracks=[key:gene_model_track,Options:GeneOnly]&amp;mk=612711:612730|offset_100|444444,612736:612755|offset_125|444444,612774:612793|offset_163|00cc00,612810:612829|offset_199|444444&amp;v=612510:613029&amp;c=444444", "offset 163")</f>
        <v>offset 163</v>
      </c>
    </row>
    <row r="1960" customFormat="false" ht="12.8" hidden="false" customHeight="false" outlineLevel="0" collapsed="false">
      <c r="A1960" s="0" t="s">
        <v>12</v>
      </c>
      <c r="B1960" s="0" t="n">
        <v>612809</v>
      </c>
      <c r="C1960" s="0" t="n">
        <v>612829</v>
      </c>
      <c r="D1960" s="0" t="s">
        <v>6544</v>
      </c>
      <c r="E1960" s="0" t="s">
        <v>75</v>
      </c>
      <c r="F1960" s="0" t="s">
        <v>15</v>
      </c>
      <c r="G1960" s="0" t="s">
        <v>32</v>
      </c>
      <c r="H1960" s="0" t="n">
        <v>199</v>
      </c>
      <c r="I1960" s="0" t="s">
        <v>6554</v>
      </c>
      <c r="J1960" s="0" t="s">
        <v>6555</v>
      </c>
      <c r="K1960" s="0" t="s">
        <v>6556</v>
      </c>
      <c r="L1960" s="0" t="str">
        <f aca="false">HYPERLINK("https://www.ncbi.nlm.nih.gov/nuccore/CP000058.1?report=graph&amp;tracks=[key:gene_model_track,Options:GeneOnly]&amp;mk=612711:612730|offset_100|444444,612736:612755|offset_125|444444,612774:612793|offset_163|444444,612810:612829|offset_199|00cc00&amp;v=612510:613029&amp;c=444444", "offset 199")</f>
        <v>offset 199</v>
      </c>
    </row>
    <row r="1961" customFormat="false" ht="12.8" hidden="false" customHeight="false" outlineLevel="0" collapsed="false">
      <c r="A1961" s="0" t="s">
        <v>12</v>
      </c>
      <c r="B1961" s="0" t="n">
        <v>613535</v>
      </c>
      <c r="C1961" s="0" t="n">
        <v>613555</v>
      </c>
      <c r="D1961" s="0" t="s">
        <v>6557</v>
      </c>
      <c r="E1961" s="0" t="s">
        <v>75</v>
      </c>
      <c r="F1961" s="0" t="s">
        <v>15</v>
      </c>
      <c r="G1961" s="0" t="s">
        <v>32</v>
      </c>
      <c r="H1961" s="0" t="n">
        <v>62</v>
      </c>
      <c r="I1961" s="0" t="s">
        <v>6558</v>
      </c>
      <c r="J1961" s="0" t="s">
        <v>6559</v>
      </c>
      <c r="K1961" s="0" t="s">
        <v>6560</v>
      </c>
      <c r="L1961" s="0" t="str">
        <f aca="false">HYPERLINK("https://www.ncbi.nlm.nih.gov/nuccore/CP000058.1?report=graph&amp;tracks=[key:gene_model_track,Options:GeneOnly]&amp;mk=613536:613555|offset_62|00cc00,613578:613597|offset_104|444444,613621:613640|offset_147|444444,613658:613677|offset_184|444444&amp;v=613335:613877&amp;c=444444", "offset 62")</f>
        <v>offset 62</v>
      </c>
    </row>
    <row r="1962" customFormat="false" ht="12.8" hidden="false" customHeight="false" outlineLevel="0" collapsed="false">
      <c r="A1962" s="0" t="s">
        <v>12</v>
      </c>
      <c r="B1962" s="0" t="n">
        <v>613577</v>
      </c>
      <c r="C1962" s="0" t="n">
        <v>613597</v>
      </c>
      <c r="D1962" s="0" t="s">
        <v>6557</v>
      </c>
      <c r="E1962" s="0" t="s">
        <v>75</v>
      </c>
      <c r="F1962" s="0" t="s">
        <v>15</v>
      </c>
      <c r="G1962" s="0" t="s">
        <v>20</v>
      </c>
      <c r="H1962" s="0" t="n">
        <v>104</v>
      </c>
      <c r="I1962" s="0" t="s">
        <v>6561</v>
      </c>
      <c r="J1962" s="0" t="s">
        <v>6562</v>
      </c>
      <c r="K1962" s="0" t="s">
        <v>6563</v>
      </c>
      <c r="L1962" s="0" t="str">
        <f aca="false">HYPERLINK("https://www.ncbi.nlm.nih.gov/nuccore/CP000058.1?report=graph&amp;tracks=[key:gene_model_track,Options:GeneOnly]&amp;mk=613536:613555|offset_62|444444,613578:613597|offset_104|00cc00,613621:613640|offset_147|444444,613658:613677|offset_184|444444&amp;v=613335:613877&amp;c=444444", "offset 104")</f>
        <v>offset 104</v>
      </c>
    </row>
    <row r="1963" customFormat="false" ht="12.8" hidden="false" customHeight="false" outlineLevel="0" collapsed="false">
      <c r="A1963" s="0" t="s">
        <v>12</v>
      </c>
      <c r="B1963" s="0" t="n">
        <v>613620</v>
      </c>
      <c r="C1963" s="0" t="n">
        <v>613640</v>
      </c>
      <c r="D1963" s="0" t="s">
        <v>6557</v>
      </c>
      <c r="E1963" s="0" t="s">
        <v>75</v>
      </c>
      <c r="F1963" s="0" t="s">
        <v>15</v>
      </c>
      <c r="G1963" s="0" t="s">
        <v>16</v>
      </c>
      <c r="H1963" s="0" t="n">
        <v>147</v>
      </c>
      <c r="I1963" s="0" t="s">
        <v>6564</v>
      </c>
      <c r="J1963" s="0" t="s">
        <v>6565</v>
      </c>
      <c r="K1963" s="0" t="s">
        <v>6566</v>
      </c>
      <c r="L1963" s="0" t="str">
        <f aca="false">HYPERLINK("https://www.ncbi.nlm.nih.gov/nuccore/CP000058.1?report=graph&amp;tracks=[key:gene_model_track,Options:GeneOnly]&amp;mk=613536:613555|offset_62|444444,613578:613597|offset_104|444444,613621:613640|offset_147|00cc00,613658:613677|offset_184|444444&amp;v=613335:613877&amp;c=444444", "offset 147")</f>
        <v>offset 147</v>
      </c>
    </row>
    <row r="1964" customFormat="false" ht="12.8" hidden="false" customHeight="false" outlineLevel="0" collapsed="false">
      <c r="A1964" s="0" t="s">
        <v>12</v>
      </c>
      <c r="B1964" s="0" t="n">
        <v>613657</v>
      </c>
      <c r="C1964" s="0" t="n">
        <v>613677</v>
      </c>
      <c r="D1964" s="0" t="s">
        <v>6557</v>
      </c>
      <c r="E1964" s="0" t="s">
        <v>75</v>
      </c>
      <c r="F1964" s="0" t="s">
        <v>15</v>
      </c>
      <c r="G1964" s="0" t="s">
        <v>20</v>
      </c>
      <c r="H1964" s="0" t="n">
        <v>184</v>
      </c>
      <c r="I1964" s="0" t="s">
        <v>6567</v>
      </c>
      <c r="J1964" s="0" t="s">
        <v>6568</v>
      </c>
      <c r="K1964" s="0" t="s">
        <v>6569</v>
      </c>
      <c r="L1964" s="0" t="str">
        <f aca="false">HYPERLINK("https://www.ncbi.nlm.nih.gov/nuccore/CP000058.1?report=graph&amp;tracks=[key:gene_model_track,Options:GeneOnly]&amp;mk=613536:613555|offset_62|444444,613578:613597|offset_104|444444,613621:613640|offset_147|444444,613658:613677|offset_184|00cc00&amp;v=613335:613877&amp;c=444444", "offset 184")</f>
        <v>offset 184</v>
      </c>
    </row>
    <row r="1965" customFormat="false" ht="12.8" hidden="false" customHeight="false" outlineLevel="0" collapsed="false">
      <c r="A1965" s="0" t="s">
        <v>12</v>
      </c>
      <c r="B1965" s="0" t="n">
        <v>614944</v>
      </c>
      <c r="C1965" s="0" t="n">
        <v>614964</v>
      </c>
      <c r="D1965" s="0" t="s">
        <v>6570</v>
      </c>
      <c r="E1965" s="0" t="s">
        <v>75</v>
      </c>
      <c r="F1965" s="0" t="s">
        <v>15</v>
      </c>
      <c r="G1965" s="0" t="s">
        <v>32</v>
      </c>
      <c r="H1965" s="0" t="n">
        <v>1</v>
      </c>
      <c r="I1965" s="0" t="s">
        <v>6571</v>
      </c>
      <c r="J1965" s="0" t="s">
        <v>6572</v>
      </c>
      <c r="K1965" s="0" t="s">
        <v>6573</v>
      </c>
      <c r="L1965" s="0" t="str">
        <f aca="false">HYPERLINK("https://www.ncbi.nlm.nih.gov/nuccore/CP000058.1?report=graph&amp;tracks=[key:gene_model_track,Options:GeneOnly]&amp;mk=614945:614964|offset_1|00cc00,614967:614986|offset_23|444444,614994:615013|offset_50|444444,615050:615069|offset_106|444444&amp;v=614744:615269&amp;c=444444", "offset 1")</f>
        <v>offset 1</v>
      </c>
    </row>
    <row r="1966" customFormat="false" ht="12.8" hidden="false" customHeight="false" outlineLevel="0" collapsed="false">
      <c r="A1966" s="0" t="s">
        <v>12</v>
      </c>
      <c r="B1966" s="0" t="n">
        <v>614966</v>
      </c>
      <c r="C1966" s="0" t="n">
        <v>614986</v>
      </c>
      <c r="D1966" s="0" t="s">
        <v>6570</v>
      </c>
      <c r="E1966" s="0" t="s">
        <v>75</v>
      </c>
      <c r="F1966" s="0" t="s">
        <v>15</v>
      </c>
      <c r="G1966" s="0" t="s">
        <v>32</v>
      </c>
      <c r="H1966" s="0" t="n">
        <v>23</v>
      </c>
      <c r="I1966" s="0" t="s">
        <v>6574</v>
      </c>
      <c r="J1966" s="0" t="s">
        <v>6575</v>
      </c>
      <c r="K1966" s="0" t="s">
        <v>6576</v>
      </c>
      <c r="L1966" s="0" t="str">
        <f aca="false">HYPERLINK("https://www.ncbi.nlm.nih.gov/nuccore/CP000058.1?report=graph&amp;tracks=[key:gene_model_track,Options:GeneOnly]&amp;mk=614945:614964|offset_1|444444,614967:614986|offset_23|00cc00,614994:615013|offset_50|444444,615050:615069|offset_106|444444&amp;v=614744:615269&amp;c=444444", "offset 23")</f>
        <v>offset 23</v>
      </c>
    </row>
    <row r="1967" customFormat="false" ht="12.8" hidden="false" customHeight="false" outlineLevel="0" collapsed="false">
      <c r="A1967" s="0" t="s">
        <v>12</v>
      </c>
      <c r="B1967" s="0" t="n">
        <v>614993</v>
      </c>
      <c r="C1967" s="0" t="n">
        <v>615013</v>
      </c>
      <c r="D1967" s="0" t="s">
        <v>6570</v>
      </c>
      <c r="E1967" s="0" t="s">
        <v>75</v>
      </c>
      <c r="F1967" s="0" t="s">
        <v>15</v>
      </c>
      <c r="G1967" s="0" t="s">
        <v>16</v>
      </c>
      <c r="H1967" s="0" t="n">
        <v>50</v>
      </c>
      <c r="I1967" s="0" t="s">
        <v>6577</v>
      </c>
      <c r="J1967" s="0" t="s">
        <v>6578</v>
      </c>
      <c r="K1967" s="0" t="s">
        <v>6579</v>
      </c>
      <c r="L1967" s="0" t="str">
        <f aca="false">HYPERLINK("https://www.ncbi.nlm.nih.gov/nuccore/CP000058.1?report=graph&amp;tracks=[key:gene_model_track,Options:GeneOnly]&amp;mk=614945:614964|offset_1|444444,614967:614986|offset_23|444444,614994:615013|offset_50|00cc00,615050:615069|offset_106|444444&amp;v=614744:615269&amp;c=444444", "offset 50")</f>
        <v>offset 50</v>
      </c>
    </row>
    <row r="1968" customFormat="false" ht="12.8" hidden="false" customHeight="false" outlineLevel="0" collapsed="false">
      <c r="A1968" s="0" t="s">
        <v>12</v>
      </c>
      <c r="B1968" s="0" t="n">
        <v>615049</v>
      </c>
      <c r="C1968" s="0" t="n">
        <v>615069</v>
      </c>
      <c r="D1968" s="0" t="s">
        <v>6570</v>
      </c>
      <c r="E1968" s="0" t="s">
        <v>75</v>
      </c>
      <c r="F1968" s="0" t="s">
        <v>15</v>
      </c>
      <c r="G1968" s="0" t="s">
        <v>16</v>
      </c>
      <c r="H1968" s="0" t="n">
        <v>106</v>
      </c>
      <c r="I1968" s="0" t="s">
        <v>6580</v>
      </c>
      <c r="J1968" s="0" t="s">
        <v>6581</v>
      </c>
      <c r="K1968" s="0" t="s">
        <v>6582</v>
      </c>
      <c r="L1968" s="0" t="str">
        <f aca="false">HYPERLINK("https://www.ncbi.nlm.nih.gov/nuccore/CP000058.1?report=graph&amp;tracks=[key:gene_model_track,Options:GeneOnly]&amp;mk=614945:614964|offset_1|444444,614967:614986|offset_23|444444,614994:615013|offset_50|444444,615050:615069|offset_106|00cc00&amp;v=614744:615269&amp;c=444444", "offset 106")</f>
        <v>offset 106</v>
      </c>
    </row>
    <row r="1969" customFormat="false" ht="12.8" hidden="false" customHeight="false" outlineLevel="0" collapsed="false">
      <c r="A1969" s="0" t="s">
        <v>12</v>
      </c>
      <c r="B1969" s="0" t="n">
        <v>615977</v>
      </c>
      <c r="C1969" s="0" t="n">
        <v>615997</v>
      </c>
      <c r="D1969" s="0" t="s">
        <v>6583</v>
      </c>
      <c r="E1969" s="0" t="s">
        <v>75</v>
      </c>
      <c r="F1969" s="0" t="s">
        <v>15</v>
      </c>
      <c r="G1969" s="0" t="s">
        <v>32</v>
      </c>
      <c r="H1969" s="0" t="n">
        <v>43</v>
      </c>
      <c r="I1969" s="0" t="s">
        <v>6584</v>
      </c>
      <c r="J1969" s="0" t="s">
        <v>6585</v>
      </c>
      <c r="K1969" s="0" t="s">
        <v>6586</v>
      </c>
      <c r="L1969" s="0" t="str">
        <f aca="false">HYPERLINK("https://www.ncbi.nlm.nih.gov/nuccore/CP000058.1?report=graph&amp;tracks=[key:gene_model_track,Options:GeneOnly]&amp;mk=615978:615997|offset_43|00cc00,616027:616046|offset_92|444444,616051:616070|offset_116|444444,616074:616093|offset_139|444444&amp;v=615777:616293&amp;c=444444", "offset 43")</f>
        <v>offset 43</v>
      </c>
    </row>
    <row r="1970" customFormat="false" ht="12.8" hidden="false" customHeight="false" outlineLevel="0" collapsed="false">
      <c r="A1970" s="0" t="s">
        <v>12</v>
      </c>
      <c r="B1970" s="0" t="n">
        <v>616026</v>
      </c>
      <c r="C1970" s="0" t="n">
        <v>616046</v>
      </c>
      <c r="D1970" s="0" t="s">
        <v>6583</v>
      </c>
      <c r="E1970" s="0" t="s">
        <v>75</v>
      </c>
      <c r="F1970" s="0" t="s">
        <v>15</v>
      </c>
      <c r="G1970" s="0" t="s">
        <v>32</v>
      </c>
      <c r="H1970" s="0" t="n">
        <v>92</v>
      </c>
      <c r="I1970" s="0" t="s">
        <v>6587</v>
      </c>
      <c r="J1970" s="0" t="s">
        <v>6588</v>
      </c>
      <c r="K1970" s="0" t="s">
        <v>6589</v>
      </c>
      <c r="L1970" s="0" t="str">
        <f aca="false">HYPERLINK("https://www.ncbi.nlm.nih.gov/nuccore/CP000058.1?report=graph&amp;tracks=[key:gene_model_track,Options:GeneOnly]&amp;mk=615978:615997|offset_43|444444,616027:616046|offset_92|00cc00,616051:616070|offset_116|444444,616074:616093|offset_139|444444&amp;v=615777:616293&amp;c=444444", "offset 92")</f>
        <v>offset 92</v>
      </c>
    </row>
    <row r="1971" customFormat="false" ht="12.8" hidden="false" customHeight="false" outlineLevel="0" collapsed="false">
      <c r="A1971" s="0" t="s">
        <v>12</v>
      </c>
      <c r="B1971" s="0" t="n">
        <v>616050</v>
      </c>
      <c r="C1971" s="0" t="n">
        <v>616070</v>
      </c>
      <c r="D1971" s="0" t="s">
        <v>6583</v>
      </c>
      <c r="E1971" s="0" t="s">
        <v>75</v>
      </c>
      <c r="F1971" s="0" t="s">
        <v>15</v>
      </c>
      <c r="G1971" s="0" t="s">
        <v>32</v>
      </c>
      <c r="H1971" s="0" t="n">
        <v>116</v>
      </c>
      <c r="I1971" s="0" t="s">
        <v>6590</v>
      </c>
      <c r="J1971" s="0" t="s">
        <v>6591</v>
      </c>
      <c r="K1971" s="0" t="s">
        <v>6592</v>
      </c>
      <c r="L1971" s="0" t="str">
        <f aca="false">HYPERLINK("https://www.ncbi.nlm.nih.gov/nuccore/CP000058.1?report=graph&amp;tracks=[key:gene_model_track,Options:GeneOnly]&amp;mk=615978:615997|offset_43|444444,616027:616046|offset_92|444444,616051:616070|offset_116|00cc00,616074:616093|offset_139|444444&amp;v=615777:616293&amp;c=444444", "offset 116")</f>
        <v>offset 116</v>
      </c>
    </row>
    <row r="1972" customFormat="false" ht="12.8" hidden="false" customHeight="false" outlineLevel="0" collapsed="false">
      <c r="A1972" s="0" t="s">
        <v>12</v>
      </c>
      <c r="B1972" s="0" t="n">
        <v>616073</v>
      </c>
      <c r="C1972" s="0" t="n">
        <v>616093</v>
      </c>
      <c r="D1972" s="0" t="s">
        <v>6583</v>
      </c>
      <c r="E1972" s="0" t="s">
        <v>75</v>
      </c>
      <c r="F1972" s="0" t="s">
        <v>15</v>
      </c>
      <c r="G1972" s="0" t="s">
        <v>16</v>
      </c>
      <c r="H1972" s="0" t="n">
        <v>139</v>
      </c>
      <c r="I1972" s="0" t="s">
        <v>6593</v>
      </c>
      <c r="J1972" s="0" t="s">
        <v>6594</v>
      </c>
      <c r="K1972" s="0" t="s">
        <v>6595</v>
      </c>
      <c r="L1972" s="0" t="str">
        <f aca="false">HYPERLINK("https://www.ncbi.nlm.nih.gov/nuccore/CP000058.1?report=graph&amp;tracks=[key:gene_model_track,Options:GeneOnly]&amp;mk=615978:615997|offset_43|444444,616027:616046|offset_92|444444,616051:616070|offset_116|444444,616074:616093|offset_139|00cc00&amp;v=615777:616293&amp;c=444444", "offset 139")</f>
        <v>offset 139</v>
      </c>
    </row>
    <row r="1973" customFormat="false" ht="12.8" hidden="false" customHeight="false" outlineLevel="0" collapsed="false">
      <c r="A1973" s="0" t="s">
        <v>12</v>
      </c>
      <c r="B1973" s="0" t="n">
        <v>616708</v>
      </c>
      <c r="C1973" s="0" t="n">
        <v>616728</v>
      </c>
      <c r="D1973" s="0" t="s">
        <v>6596</v>
      </c>
      <c r="E1973" s="0" t="s">
        <v>75</v>
      </c>
      <c r="F1973" s="0" t="s">
        <v>15</v>
      </c>
      <c r="G1973" s="0" t="s">
        <v>16</v>
      </c>
      <c r="H1973" s="0" t="n">
        <v>14</v>
      </c>
      <c r="I1973" s="0" t="s">
        <v>6597</v>
      </c>
      <c r="J1973" s="0" t="s">
        <v>6598</v>
      </c>
      <c r="K1973" s="0" t="s">
        <v>6599</v>
      </c>
      <c r="L1973" s="0" t="str">
        <f aca="false">HYPERLINK("https://www.ncbi.nlm.nih.gov/nuccore/CP000058.1?report=graph&amp;tracks=[key:gene_model_track,Options:GeneOnly]&amp;mk=616709:616728|offset_14|00cc00,616750:616769|offset_55|444444,616790:616809|offset_95|444444,616831:616850|offset_136|444444&amp;v=616508:617050&amp;c=444444", "offset 14")</f>
        <v>offset 14</v>
      </c>
    </row>
    <row r="1974" customFormat="false" ht="12.8" hidden="false" customHeight="false" outlineLevel="0" collapsed="false">
      <c r="A1974" s="0" t="s">
        <v>12</v>
      </c>
      <c r="B1974" s="0" t="n">
        <v>616749</v>
      </c>
      <c r="C1974" s="0" t="n">
        <v>616769</v>
      </c>
      <c r="D1974" s="0" t="s">
        <v>6596</v>
      </c>
      <c r="E1974" s="0" t="s">
        <v>75</v>
      </c>
      <c r="F1974" s="0" t="s">
        <v>15</v>
      </c>
      <c r="G1974" s="0" t="s">
        <v>16</v>
      </c>
      <c r="H1974" s="0" t="n">
        <v>55</v>
      </c>
      <c r="I1974" s="0" t="s">
        <v>6600</v>
      </c>
      <c r="J1974" s="0" t="s">
        <v>6601</v>
      </c>
      <c r="K1974" s="0" t="s">
        <v>6602</v>
      </c>
      <c r="L1974" s="0" t="str">
        <f aca="false">HYPERLINK("https://www.ncbi.nlm.nih.gov/nuccore/CP000058.1?report=graph&amp;tracks=[key:gene_model_track,Options:GeneOnly]&amp;mk=616709:616728|offset_14|444444,616750:616769|offset_55|00cc00,616790:616809|offset_95|444444,616831:616850|offset_136|444444&amp;v=616508:617050&amp;c=444444", "offset 55")</f>
        <v>offset 55</v>
      </c>
    </row>
    <row r="1975" customFormat="false" ht="12.8" hidden="false" customHeight="false" outlineLevel="0" collapsed="false">
      <c r="A1975" s="0" t="s">
        <v>12</v>
      </c>
      <c r="B1975" s="0" t="n">
        <v>616789</v>
      </c>
      <c r="C1975" s="0" t="n">
        <v>616809</v>
      </c>
      <c r="D1975" s="0" t="s">
        <v>6596</v>
      </c>
      <c r="E1975" s="0" t="s">
        <v>75</v>
      </c>
      <c r="F1975" s="0" t="s">
        <v>15</v>
      </c>
      <c r="G1975" s="0" t="s">
        <v>36</v>
      </c>
      <c r="H1975" s="0" t="n">
        <v>95</v>
      </c>
      <c r="I1975" s="0" t="s">
        <v>6603</v>
      </c>
      <c r="J1975" s="0" t="s">
        <v>6604</v>
      </c>
      <c r="K1975" s="0" t="s">
        <v>6605</v>
      </c>
      <c r="L1975" s="0" t="str">
        <f aca="false">HYPERLINK("https://www.ncbi.nlm.nih.gov/nuccore/CP000058.1?report=graph&amp;tracks=[key:gene_model_track,Options:GeneOnly]&amp;mk=616709:616728|offset_14|444444,616750:616769|offset_55|444444,616790:616809|offset_95|00cc00,616831:616850|offset_136|444444&amp;v=616508:617050&amp;c=444444", "offset 95")</f>
        <v>offset 95</v>
      </c>
    </row>
    <row r="1976" customFormat="false" ht="12.8" hidden="false" customHeight="false" outlineLevel="0" collapsed="false">
      <c r="A1976" s="0" t="s">
        <v>12</v>
      </c>
      <c r="B1976" s="0" t="n">
        <v>616830</v>
      </c>
      <c r="C1976" s="0" t="n">
        <v>616850</v>
      </c>
      <c r="D1976" s="0" t="s">
        <v>6596</v>
      </c>
      <c r="E1976" s="0" t="s">
        <v>75</v>
      </c>
      <c r="F1976" s="0" t="s">
        <v>15</v>
      </c>
      <c r="G1976" s="0" t="s">
        <v>16</v>
      </c>
      <c r="H1976" s="0" t="n">
        <v>136</v>
      </c>
      <c r="I1976" s="0" t="s">
        <v>6606</v>
      </c>
      <c r="J1976" s="0" t="s">
        <v>6607</v>
      </c>
      <c r="K1976" s="0" t="s">
        <v>6608</v>
      </c>
      <c r="L1976" s="0" t="str">
        <f aca="false">HYPERLINK("https://www.ncbi.nlm.nih.gov/nuccore/CP000058.1?report=graph&amp;tracks=[key:gene_model_track,Options:GeneOnly]&amp;mk=616709:616728|offset_14|444444,616750:616769|offset_55|444444,616790:616809|offset_95|444444,616831:616850|offset_136|00cc00&amp;v=616508:617050&amp;c=444444", "offset 136")</f>
        <v>offset 136</v>
      </c>
    </row>
    <row r="1977" customFormat="false" ht="12.8" hidden="false" customHeight="false" outlineLevel="0" collapsed="false">
      <c r="A1977" s="0" t="s">
        <v>12</v>
      </c>
      <c r="B1977" s="0" t="n">
        <v>618562</v>
      </c>
      <c r="C1977" s="0" t="n">
        <v>618582</v>
      </c>
      <c r="D1977" s="0" t="s">
        <v>6609</v>
      </c>
      <c r="E1977" s="0" t="s">
        <v>75</v>
      </c>
      <c r="F1977" s="0" t="s">
        <v>90</v>
      </c>
      <c r="G1977" s="0" t="s">
        <v>32</v>
      </c>
      <c r="H1977" s="0" t="n">
        <v>10</v>
      </c>
      <c r="I1977" s="0" t="s">
        <v>6610</v>
      </c>
      <c r="J1977" s="0" t="s">
        <v>6611</v>
      </c>
      <c r="K1977" s="0" t="s">
        <v>6612</v>
      </c>
      <c r="L1977" s="0" t="str">
        <f aca="false">HYPERLINK("https://www.ncbi.nlm.nih.gov/nuccore/CP000058.1?report=graph&amp;tracks=[key:gene_model_track,Options:GeneOnly]&amp;mk=618563:618582|offset_10|00cc00,618539:618558|offset_34|444444,618514:618533|offset_59|444444,618482:618501|offset_91|444444&amp;v=618362:618701&amp;c=444444", "offset 10")</f>
        <v>offset 10</v>
      </c>
    </row>
    <row r="1978" customFormat="false" ht="12.8" hidden="false" customHeight="false" outlineLevel="0" collapsed="false">
      <c r="A1978" s="0" t="s">
        <v>12</v>
      </c>
      <c r="B1978" s="0" t="n">
        <v>618538</v>
      </c>
      <c r="C1978" s="0" t="n">
        <v>618558</v>
      </c>
      <c r="D1978" s="0" t="s">
        <v>6609</v>
      </c>
      <c r="E1978" s="0" t="s">
        <v>75</v>
      </c>
      <c r="F1978" s="0" t="s">
        <v>90</v>
      </c>
      <c r="G1978" s="0" t="s">
        <v>16</v>
      </c>
      <c r="H1978" s="0" t="n">
        <v>34</v>
      </c>
      <c r="I1978" s="0" t="s">
        <v>6613</v>
      </c>
      <c r="J1978" s="0" t="s">
        <v>6614</v>
      </c>
      <c r="K1978" s="0" t="s">
        <v>6615</v>
      </c>
      <c r="L1978" s="0" t="str">
        <f aca="false">HYPERLINK("https://www.ncbi.nlm.nih.gov/nuccore/CP000058.1?report=graph&amp;tracks=[key:gene_model_track,Options:GeneOnly]&amp;mk=618563:618582|offset_10|444444,618539:618558|offset_34|00cc00,618514:618533|offset_59|444444,618482:618501|offset_91|444444&amp;v=618362:618701&amp;c=444444", "offset 34")</f>
        <v>offset 34</v>
      </c>
    </row>
    <row r="1979" customFormat="false" ht="12.8" hidden="false" customHeight="false" outlineLevel="0" collapsed="false">
      <c r="A1979" s="0" t="s">
        <v>12</v>
      </c>
      <c r="B1979" s="0" t="n">
        <v>618513</v>
      </c>
      <c r="C1979" s="0" t="n">
        <v>618533</v>
      </c>
      <c r="D1979" s="0" t="s">
        <v>6609</v>
      </c>
      <c r="E1979" s="0" t="s">
        <v>75</v>
      </c>
      <c r="F1979" s="0" t="s">
        <v>90</v>
      </c>
      <c r="G1979" s="0" t="s">
        <v>32</v>
      </c>
      <c r="H1979" s="0" t="n">
        <v>59</v>
      </c>
      <c r="I1979" s="0" t="s">
        <v>6616</v>
      </c>
      <c r="J1979" s="0" t="s">
        <v>6617</v>
      </c>
      <c r="K1979" s="0" t="s">
        <v>6618</v>
      </c>
      <c r="L1979" s="0" t="str">
        <f aca="false">HYPERLINK("https://www.ncbi.nlm.nih.gov/nuccore/CP000058.1?report=graph&amp;tracks=[key:gene_model_track,Options:GeneOnly]&amp;mk=618563:618582|offset_10|444444,618539:618558|offset_34|444444,618514:618533|offset_59|00cc00,618482:618501|offset_91|444444&amp;v=618362:618701&amp;c=444444", "offset 59")</f>
        <v>offset 59</v>
      </c>
    </row>
    <row r="1980" customFormat="false" ht="12.8" hidden="false" customHeight="false" outlineLevel="0" collapsed="false">
      <c r="A1980" s="0" t="s">
        <v>12</v>
      </c>
      <c r="B1980" s="0" t="n">
        <v>618481</v>
      </c>
      <c r="C1980" s="0" t="n">
        <v>618501</v>
      </c>
      <c r="D1980" s="0" t="s">
        <v>6609</v>
      </c>
      <c r="E1980" s="0" t="s">
        <v>75</v>
      </c>
      <c r="F1980" s="0" t="s">
        <v>90</v>
      </c>
      <c r="G1980" s="0" t="s">
        <v>16</v>
      </c>
      <c r="H1980" s="0" t="n">
        <v>91</v>
      </c>
      <c r="I1980" s="0" t="s">
        <v>6619</v>
      </c>
      <c r="J1980" s="0" t="s">
        <v>6620</v>
      </c>
      <c r="K1980" s="0" t="s">
        <v>6621</v>
      </c>
      <c r="L1980" s="0" t="str">
        <f aca="false">HYPERLINK("https://www.ncbi.nlm.nih.gov/nuccore/CP000058.1?report=graph&amp;tracks=[key:gene_model_track,Options:GeneOnly]&amp;mk=618563:618582|offset_10|444444,618539:618558|offset_34|444444,618514:618533|offset_59|444444,618482:618501|offset_91|00cc00&amp;v=618362:618701&amp;c=444444", "offset 91")</f>
        <v>offset 91</v>
      </c>
    </row>
    <row r="1981" customFormat="false" ht="12.8" hidden="false" customHeight="false" outlineLevel="0" collapsed="false">
      <c r="A1981" s="0" t="s">
        <v>12</v>
      </c>
      <c r="B1981" s="0" t="n">
        <v>618656</v>
      </c>
      <c r="C1981" s="0" t="n">
        <v>618676</v>
      </c>
      <c r="D1981" s="0" t="s">
        <v>6622</v>
      </c>
      <c r="E1981" s="0" t="s">
        <v>6623</v>
      </c>
      <c r="F1981" s="0" t="s">
        <v>15</v>
      </c>
      <c r="G1981" s="0" t="s">
        <v>20</v>
      </c>
      <c r="H1981" s="0" t="n">
        <v>0</v>
      </c>
      <c r="I1981" s="0" t="s">
        <v>6624</v>
      </c>
      <c r="J1981" s="0" t="s">
        <v>6625</v>
      </c>
      <c r="K1981" s="0" t="s">
        <v>6626</v>
      </c>
      <c r="L1981" s="0" t="str">
        <f aca="false">HYPERLINK("https://www.ncbi.nlm.nih.gov/nuccore/CP000058.1?report=graph&amp;tracks=[key:gene_model_track,Options:GeneOnly]&amp;mk=618657:618676|offset_0|00cc00,618679:618698|offset_22|444444,618707:618726|offset_50|444444,618739:618758|offset_82|444444&amp;v=618456:618958&amp;c=444444", "offset 0")</f>
        <v>offset 0</v>
      </c>
    </row>
    <row r="1982" customFormat="false" ht="12.8" hidden="false" customHeight="false" outlineLevel="0" collapsed="false">
      <c r="A1982" s="0" t="s">
        <v>12</v>
      </c>
      <c r="B1982" s="0" t="n">
        <v>618678</v>
      </c>
      <c r="C1982" s="0" t="n">
        <v>618698</v>
      </c>
      <c r="D1982" s="0" t="s">
        <v>6622</v>
      </c>
      <c r="E1982" s="0" t="s">
        <v>6623</v>
      </c>
      <c r="F1982" s="0" t="s">
        <v>15</v>
      </c>
      <c r="G1982" s="0" t="s">
        <v>16</v>
      </c>
      <c r="H1982" s="0" t="n">
        <v>22</v>
      </c>
      <c r="I1982" s="0" t="s">
        <v>6627</v>
      </c>
      <c r="J1982" s="0" t="s">
        <v>6628</v>
      </c>
      <c r="K1982" s="0" t="s">
        <v>6629</v>
      </c>
      <c r="L1982" s="0" t="str">
        <f aca="false">HYPERLINK("https://www.ncbi.nlm.nih.gov/nuccore/CP000058.1?report=graph&amp;tracks=[key:gene_model_track,Options:GeneOnly]&amp;mk=618657:618676|offset_0|444444,618679:618698|offset_22|00cc00,618707:618726|offset_50|444444,618739:618758|offset_82|444444&amp;v=618456:618958&amp;c=444444", "offset 22")</f>
        <v>offset 22</v>
      </c>
    </row>
    <row r="1983" customFormat="false" ht="12.8" hidden="false" customHeight="false" outlineLevel="0" collapsed="false">
      <c r="A1983" s="0" t="s">
        <v>12</v>
      </c>
      <c r="B1983" s="0" t="n">
        <v>618706</v>
      </c>
      <c r="C1983" s="0" t="n">
        <v>618726</v>
      </c>
      <c r="D1983" s="0" t="s">
        <v>6622</v>
      </c>
      <c r="E1983" s="0" t="s">
        <v>6623</v>
      </c>
      <c r="F1983" s="0" t="s">
        <v>15</v>
      </c>
      <c r="G1983" s="0" t="s">
        <v>20</v>
      </c>
      <c r="H1983" s="0" t="n">
        <v>50</v>
      </c>
      <c r="I1983" s="0" t="s">
        <v>6630</v>
      </c>
      <c r="J1983" s="0" t="s">
        <v>6631</v>
      </c>
      <c r="K1983" s="0" t="s">
        <v>6632</v>
      </c>
      <c r="L1983" s="0" t="str">
        <f aca="false">HYPERLINK("https://www.ncbi.nlm.nih.gov/nuccore/CP000058.1?report=graph&amp;tracks=[key:gene_model_track,Options:GeneOnly]&amp;mk=618657:618676|offset_0|444444,618679:618698|offset_22|444444,618707:618726|offset_50|00cc00,618739:618758|offset_82|444444&amp;v=618456:618958&amp;c=444444", "offset 50")</f>
        <v>offset 50</v>
      </c>
    </row>
    <row r="1984" customFormat="false" ht="12.8" hidden="false" customHeight="false" outlineLevel="0" collapsed="false">
      <c r="A1984" s="0" t="s">
        <v>12</v>
      </c>
      <c r="B1984" s="0" t="n">
        <v>618738</v>
      </c>
      <c r="C1984" s="0" t="n">
        <v>618758</v>
      </c>
      <c r="D1984" s="0" t="s">
        <v>6622</v>
      </c>
      <c r="E1984" s="0" t="s">
        <v>6623</v>
      </c>
      <c r="F1984" s="0" t="s">
        <v>15</v>
      </c>
      <c r="G1984" s="0" t="s">
        <v>20</v>
      </c>
      <c r="H1984" s="0" t="n">
        <v>82</v>
      </c>
      <c r="I1984" s="0" t="s">
        <v>6633</v>
      </c>
      <c r="J1984" s="0" t="s">
        <v>6634</v>
      </c>
      <c r="K1984" s="0" t="s">
        <v>6635</v>
      </c>
      <c r="L1984" s="0" t="str">
        <f aca="false">HYPERLINK("https://www.ncbi.nlm.nih.gov/nuccore/CP000058.1?report=graph&amp;tracks=[key:gene_model_track,Options:GeneOnly]&amp;mk=618657:618676|offset_0|444444,618679:618698|offset_22|444444,618707:618726|offset_50|444444,618739:618758|offset_82|00cc00&amp;v=618456:618958&amp;c=444444", "offset 82")</f>
        <v>offset 82</v>
      </c>
    </row>
    <row r="1985" customFormat="false" ht="12.8" hidden="false" customHeight="false" outlineLevel="0" collapsed="false">
      <c r="A1985" s="0" t="s">
        <v>12</v>
      </c>
      <c r="B1985" s="0" t="n">
        <v>620659</v>
      </c>
      <c r="C1985" s="0" t="n">
        <v>620679</v>
      </c>
      <c r="D1985" s="0" t="s">
        <v>6636</v>
      </c>
      <c r="E1985" s="0" t="s">
        <v>6637</v>
      </c>
      <c r="F1985" s="0" t="s">
        <v>15</v>
      </c>
      <c r="G1985" s="0" t="s">
        <v>32</v>
      </c>
      <c r="H1985" s="0" t="n">
        <v>1</v>
      </c>
      <c r="I1985" s="0" t="s">
        <v>6638</v>
      </c>
      <c r="J1985" s="0" t="s">
        <v>6639</v>
      </c>
      <c r="K1985" s="0" t="s">
        <v>6640</v>
      </c>
      <c r="L1985" s="0" t="str">
        <f aca="false">HYPERLINK("https://www.ncbi.nlm.nih.gov/nuccore/CP000058.1?report=graph&amp;tracks=[key:gene_model_track,Options:GeneOnly]&amp;mk=620660:620679|offset_1|00cc00,620693:620712|offset_34|444444,620747:620766|offset_88|444444,620770:620789|offset_111|444444&amp;v=620459:620989&amp;c=444444", "offset 1")</f>
        <v>offset 1</v>
      </c>
    </row>
    <row r="1986" customFormat="false" ht="12.8" hidden="false" customHeight="false" outlineLevel="0" collapsed="false">
      <c r="A1986" s="0" t="s">
        <v>12</v>
      </c>
      <c r="B1986" s="0" t="n">
        <v>620692</v>
      </c>
      <c r="C1986" s="0" t="n">
        <v>620712</v>
      </c>
      <c r="D1986" s="0" t="s">
        <v>6636</v>
      </c>
      <c r="E1986" s="0" t="s">
        <v>6637</v>
      </c>
      <c r="F1986" s="0" t="s">
        <v>15</v>
      </c>
      <c r="G1986" s="0" t="s">
        <v>36</v>
      </c>
      <c r="H1986" s="0" t="n">
        <v>34</v>
      </c>
      <c r="I1986" s="0" t="s">
        <v>6641</v>
      </c>
      <c r="J1986" s="0" t="s">
        <v>6642</v>
      </c>
      <c r="K1986" s="0" t="s">
        <v>6643</v>
      </c>
      <c r="L1986" s="0" t="str">
        <f aca="false">HYPERLINK("https://www.ncbi.nlm.nih.gov/nuccore/CP000058.1?report=graph&amp;tracks=[key:gene_model_track,Options:GeneOnly]&amp;mk=620660:620679|offset_1|444444,620693:620712|offset_34|00cc00,620747:620766|offset_88|444444,620770:620789|offset_111|444444&amp;v=620459:620989&amp;c=444444", "offset 34")</f>
        <v>offset 34</v>
      </c>
    </row>
    <row r="1987" customFormat="false" ht="12.8" hidden="false" customHeight="false" outlineLevel="0" collapsed="false">
      <c r="A1987" s="0" t="s">
        <v>12</v>
      </c>
      <c r="B1987" s="0" t="n">
        <v>620746</v>
      </c>
      <c r="C1987" s="0" t="n">
        <v>620766</v>
      </c>
      <c r="D1987" s="0" t="s">
        <v>6636</v>
      </c>
      <c r="E1987" s="0" t="s">
        <v>6637</v>
      </c>
      <c r="F1987" s="0" t="s">
        <v>15</v>
      </c>
      <c r="G1987" s="0" t="s">
        <v>20</v>
      </c>
      <c r="H1987" s="0" t="n">
        <v>88</v>
      </c>
      <c r="I1987" s="0" t="s">
        <v>6644</v>
      </c>
      <c r="J1987" s="0" t="s">
        <v>6645</v>
      </c>
      <c r="K1987" s="0" t="s">
        <v>6646</v>
      </c>
      <c r="L1987" s="0" t="str">
        <f aca="false">HYPERLINK("https://www.ncbi.nlm.nih.gov/nuccore/CP000058.1?report=graph&amp;tracks=[key:gene_model_track,Options:GeneOnly]&amp;mk=620660:620679|offset_1|444444,620693:620712|offset_34|444444,620747:620766|offset_88|00cc00,620770:620789|offset_111|444444&amp;v=620459:620989&amp;c=444444", "offset 88")</f>
        <v>offset 88</v>
      </c>
    </row>
    <row r="1988" customFormat="false" ht="12.8" hidden="false" customHeight="false" outlineLevel="0" collapsed="false">
      <c r="A1988" s="0" t="s">
        <v>12</v>
      </c>
      <c r="B1988" s="0" t="n">
        <v>620769</v>
      </c>
      <c r="C1988" s="0" t="n">
        <v>620789</v>
      </c>
      <c r="D1988" s="0" t="s">
        <v>6636</v>
      </c>
      <c r="E1988" s="0" t="s">
        <v>6637</v>
      </c>
      <c r="F1988" s="0" t="s">
        <v>15</v>
      </c>
      <c r="G1988" s="0" t="s">
        <v>16</v>
      </c>
      <c r="H1988" s="0" t="n">
        <v>111</v>
      </c>
      <c r="I1988" s="0" t="s">
        <v>6647</v>
      </c>
      <c r="J1988" s="0" t="s">
        <v>6648</v>
      </c>
      <c r="K1988" s="0" t="s">
        <v>6649</v>
      </c>
      <c r="L1988" s="0" t="str">
        <f aca="false">HYPERLINK("https://www.ncbi.nlm.nih.gov/nuccore/CP000058.1?report=graph&amp;tracks=[key:gene_model_track,Options:GeneOnly]&amp;mk=620660:620679|offset_1|444444,620693:620712|offset_34|444444,620747:620766|offset_88|444444,620770:620789|offset_111|00cc00&amp;v=620459:620989&amp;c=444444", "offset 111")</f>
        <v>offset 111</v>
      </c>
    </row>
    <row r="1989" customFormat="false" ht="12.8" hidden="false" customHeight="false" outlineLevel="0" collapsed="false">
      <c r="A1989" s="0" t="s">
        <v>12</v>
      </c>
      <c r="B1989" s="0" t="n">
        <v>623061</v>
      </c>
      <c r="C1989" s="0" t="n">
        <v>623081</v>
      </c>
      <c r="D1989" s="0" t="s">
        <v>6650</v>
      </c>
      <c r="E1989" s="0" t="s">
        <v>75</v>
      </c>
      <c r="F1989" s="0" t="s">
        <v>90</v>
      </c>
      <c r="G1989" s="0" t="s">
        <v>16</v>
      </c>
      <c r="H1989" s="0" t="n">
        <v>6</v>
      </c>
      <c r="I1989" s="0" t="s">
        <v>6651</v>
      </c>
      <c r="J1989" s="0" t="s">
        <v>6652</v>
      </c>
      <c r="K1989" s="0" t="s">
        <v>6653</v>
      </c>
      <c r="L1989" s="0" t="str">
        <f aca="false">HYPERLINK("https://www.ncbi.nlm.nih.gov/nuccore/CP000058.1?report=graph&amp;tracks=[key:gene_model_track,Options:GeneOnly]&amp;mk=623062:623081|offset_6|00cc00,623039:623058|offset_29|444444,623017:623036|offset_51|444444,622996:623015|offset_72|444444&amp;v=622861:623215&amp;c=444444", "offset 6")</f>
        <v>offset 6</v>
      </c>
    </row>
    <row r="1990" customFormat="false" ht="12.8" hidden="false" customHeight="false" outlineLevel="0" collapsed="false">
      <c r="A1990" s="0" t="s">
        <v>12</v>
      </c>
      <c r="B1990" s="0" t="n">
        <v>623038</v>
      </c>
      <c r="C1990" s="0" t="n">
        <v>623058</v>
      </c>
      <c r="D1990" s="0" t="s">
        <v>6650</v>
      </c>
      <c r="E1990" s="0" t="s">
        <v>75</v>
      </c>
      <c r="F1990" s="0" t="s">
        <v>90</v>
      </c>
      <c r="G1990" s="0" t="s">
        <v>36</v>
      </c>
      <c r="H1990" s="0" t="n">
        <v>29</v>
      </c>
      <c r="I1990" s="0" t="s">
        <v>6654</v>
      </c>
      <c r="J1990" s="0" t="s">
        <v>6655</v>
      </c>
      <c r="K1990" s="0" t="s">
        <v>6656</v>
      </c>
      <c r="L1990" s="0" t="str">
        <f aca="false">HYPERLINK("https://www.ncbi.nlm.nih.gov/nuccore/CP000058.1?report=graph&amp;tracks=[key:gene_model_track,Options:GeneOnly]&amp;mk=623062:623081|offset_6|444444,623039:623058|offset_29|00cc00,623017:623036|offset_51|444444,622996:623015|offset_72|444444&amp;v=622861:623215&amp;c=444444", "offset 29")</f>
        <v>offset 29</v>
      </c>
    </row>
    <row r="1991" customFormat="false" ht="12.8" hidden="false" customHeight="false" outlineLevel="0" collapsed="false">
      <c r="A1991" s="0" t="s">
        <v>12</v>
      </c>
      <c r="B1991" s="0" t="n">
        <v>623016</v>
      </c>
      <c r="C1991" s="0" t="n">
        <v>623036</v>
      </c>
      <c r="D1991" s="0" t="s">
        <v>6650</v>
      </c>
      <c r="E1991" s="0" t="s">
        <v>75</v>
      </c>
      <c r="F1991" s="0" t="s">
        <v>90</v>
      </c>
      <c r="G1991" s="0" t="s">
        <v>16</v>
      </c>
      <c r="H1991" s="0" t="n">
        <v>51</v>
      </c>
      <c r="I1991" s="0" t="s">
        <v>6657</v>
      </c>
      <c r="J1991" s="0" t="s">
        <v>6658</v>
      </c>
      <c r="K1991" s="0" t="s">
        <v>6659</v>
      </c>
      <c r="L1991" s="0" t="str">
        <f aca="false">HYPERLINK("https://www.ncbi.nlm.nih.gov/nuccore/CP000058.1?report=graph&amp;tracks=[key:gene_model_track,Options:GeneOnly]&amp;mk=623062:623081|offset_6|444444,623039:623058|offset_29|444444,623017:623036|offset_51|00cc00,622996:623015|offset_72|444444&amp;v=622861:623215&amp;c=444444", "offset 51")</f>
        <v>offset 51</v>
      </c>
    </row>
    <row r="1992" customFormat="false" ht="12.8" hidden="false" customHeight="false" outlineLevel="0" collapsed="false">
      <c r="A1992" s="0" t="s">
        <v>12</v>
      </c>
      <c r="B1992" s="0" t="n">
        <v>622995</v>
      </c>
      <c r="C1992" s="0" t="n">
        <v>623015</v>
      </c>
      <c r="D1992" s="0" t="s">
        <v>6650</v>
      </c>
      <c r="E1992" s="0" t="s">
        <v>75</v>
      </c>
      <c r="F1992" s="0" t="s">
        <v>90</v>
      </c>
      <c r="G1992" s="0" t="s">
        <v>16</v>
      </c>
      <c r="H1992" s="0" t="n">
        <v>72</v>
      </c>
      <c r="I1992" s="0" t="s">
        <v>6660</v>
      </c>
      <c r="J1992" s="0" t="s">
        <v>6661</v>
      </c>
      <c r="K1992" s="0" t="s">
        <v>6662</v>
      </c>
      <c r="L1992" s="0" t="str">
        <f aca="false">HYPERLINK("https://www.ncbi.nlm.nih.gov/nuccore/CP000058.1?report=graph&amp;tracks=[key:gene_model_track,Options:GeneOnly]&amp;mk=623062:623081|offset_6|444444,623039:623058|offset_29|444444,623017:623036|offset_51|444444,622996:623015|offset_72|00cc00&amp;v=622861:623215&amp;c=444444", "offset 72")</f>
        <v>offset 72</v>
      </c>
    </row>
    <row r="1993" customFormat="false" ht="12.8" hidden="false" customHeight="false" outlineLevel="0" collapsed="false">
      <c r="A1993" s="0" t="s">
        <v>12</v>
      </c>
      <c r="B1993" s="0" t="n">
        <v>623903</v>
      </c>
      <c r="C1993" s="0" t="n">
        <v>623923</v>
      </c>
      <c r="D1993" s="0" t="s">
        <v>6663</v>
      </c>
      <c r="E1993" s="0" t="s">
        <v>75</v>
      </c>
      <c r="F1993" s="0" t="s">
        <v>90</v>
      </c>
      <c r="G1993" s="0" t="s">
        <v>36</v>
      </c>
      <c r="H1993" s="0" t="n">
        <v>10</v>
      </c>
      <c r="I1993" s="0" t="s">
        <v>6664</v>
      </c>
      <c r="J1993" s="0" t="s">
        <v>6665</v>
      </c>
      <c r="K1993" s="0" t="s">
        <v>6666</v>
      </c>
      <c r="L1993" s="0" t="str">
        <f aca="false">HYPERLINK("https://www.ncbi.nlm.nih.gov/nuccore/CP000058.1?report=graph&amp;tracks=[key:gene_model_track,Options:GeneOnly]&amp;mk=623904:623923|offset_10|00cc00,623884:623903|offset_30|444444,623854:623873|offset_60|444444,623825:623844|offset_89|444444&amp;v=623703:624044&amp;c=444444", "offset 10")</f>
        <v>offset 10</v>
      </c>
    </row>
    <row r="1994" customFormat="false" ht="12.8" hidden="false" customHeight="false" outlineLevel="0" collapsed="false">
      <c r="A1994" s="0" t="s">
        <v>12</v>
      </c>
      <c r="B1994" s="0" t="n">
        <v>623883</v>
      </c>
      <c r="C1994" s="0" t="n">
        <v>623903</v>
      </c>
      <c r="D1994" s="0" t="s">
        <v>6663</v>
      </c>
      <c r="E1994" s="0" t="s">
        <v>75</v>
      </c>
      <c r="F1994" s="0" t="s">
        <v>90</v>
      </c>
      <c r="G1994" s="0" t="s">
        <v>16</v>
      </c>
      <c r="H1994" s="0" t="n">
        <v>30</v>
      </c>
      <c r="I1994" s="0" t="s">
        <v>6667</v>
      </c>
      <c r="J1994" s="0" t="s">
        <v>6668</v>
      </c>
      <c r="K1994" s="0" t="s">
        <v>6669</v>
      </c>
      <c r="L1994" s="0" t="str">
        <f aca="false">HYPERLINK("https://www.ncbi.nlm.nih.gov/nuccore/CP000058.1?report=graph&amp;tracks=[key:gene_model_track,Options:GeneOnly]&amp;mk=623904:623923|offset_10|444444,623884:623903|offset_30|00cc00,623854:623873|offset_60|444444,623825:623844|offset_89|444444&amp;v=623703:624044&amp;c=444444", "offset 30")</f>
        <v>offset 30</v>
      </c>
    </row>
    <row r="1995" customFormat="false" ht="12.8" hidden="false" customHeight="false" outlineLevel="0" collapsed="false">
      <c r="A1995" s="0" t="s">
        <v>12</v>
      </c>
      <c r="B1995" s="0" t="n">
        <v>623853</v>
      </c>
      <c r="C1995" s="0" t="n">
        <v>623873</v>
      </c>
      <c r="D1995" s="0" t="s">
        <v>6663</v>
      </c>
      <c r="E1995" s="0" t="s">
        <v>75</v>
      </c>
      <c r="F1995" s="0" t="s">
        <v>90</v>
      </c>
      <c r="G1995" s="0" t="s">
        <v>36</v>
      </c>
      <c r="H1995" s="0" t="n">
        <v>60</v>
      </c>
      <c r="I1995" s="0" t="s">
        <v>6670</v>
      </c>
      <c r="J1995" s="0" t="s">
        <v>6671</v>
      </c>
      <c r="K1995" s="0" t="s">
        <v>6672</v>
      </c>
      <c r="L1995" s="0" t="str">
        <f aca="false">HYPERLINK("https://www.ncbi.nlm.nih.gov/nuccore/CP000058.1?report=graph&amp;tracks=[key:gene_model_track,Options:GeneOnly]&amp;mk=623904:623923|offset_10|444444,623884:623903|offset_30|444444,623854:623873|offset_60|00cc00,623825:623844|offset_89|444444&amp;v=623703:624044&amp;c=444444", "offset 60")</f>
        <v>offset 60</v>
      </c>
    </row>
    <row r="1996" customFormat="false" ht="12.8" hidden="false" customHeight="false" outlineLevel="0" collapsed="false">
      <c r="A1996" s="0" t="s">
        <v>12</v>
      </c>
      <c r="B1996" s="0" t="n">
        <v>623824</v>
      </c>
      <c r="C1996" s="0" t="n">
        <v>623844</v>
      </c>
      <c r="D1996" s="0" t="s">
        <v>6663</v>
      </c>
      <c r="E1996" s="0" t="s">
        <v>75</v>
      </c>
      <c r="F1996" s="0" t="s">
        <v>90</v>
      </c>
      <c r="G1996" s="0" t="s">
        <v>16</v>
      </c>
      <c r="H1996" s="0" t="n">
        <v>89</v>
      </c>
      <c r="I1996" s="0" t="s">
        <v>6673</v>
      </c>
      <c r="J1996" s="0" t="s">
        <v>6674</v>
      </c>
      <c r="K1996" s="0" t="s">
        <v>6675</v>
      </c>
      <c r="L1996" s="0" t="str">
        <f aca="false">HYPERLINK("https://www.ncbi.nlm.nih.gov/nuccore/CP000058.1?report=graph&amp;tracks=[key:gene_model_track,Options:GeneOnly]&amp;mk=623904:623923|offset_10|444444,623884:623903|offset_30|444444,623854:623873|offset_60|444444,623825:623844|offset_89|00cc00&amp;v=623703:624044&amp;c=444444", "offset 89")</f>
        <v>offset 89</v>
      </c>
    </row>
    <row r="1997" customFormat="false" ht="12.8" hidden="false" customHeight="false" outlineLevel="0" collapsed="false">
      <c r="A1997" s="0" t="s">
        <v>12</v>
      </c>
      <c r="B1997" s="0" t="n">
        <v>625072</v>
      </c>
      <c r="C1997" s="0" t="n">
        <v>625092</v>
      </c>
      <c r="D1997" s="0" t="s">
        <v>6676</v>
      </c>
      <c r="E1997" s="0" t="s">
        <v>75</v>
      </c>
      <c r="F1997" s="0" t="s">
        <v>90</v>
      </c>
      <c r="G1997" s="0" t="s">
        <v>32</v>
      </c>
      <c r="H1997" s="0" t="n">
        <v>19</v>
      </c>
      <c r="I1997" s="0" t="s">
        <v>6677</v>
      </c>
      <c r="J1997" s="0" t="s">
        <v>6678</v>
      </c>
      <c r="K1997" s="0" t="s">
        <v>6679</v>
      </c>
      <c r="L1997" s="0" t="str">
        <f aca="false">HYPERLINK("https://www.ncbi.nlm.nih.gov/nuccore/CP000058.1?report=graph&amp;tracks=[key:gene_model_track,Options:GeneOnly]&amp;mk=625073:625092|offset_19|00cc00,625040:625059|offset_52|444444,624977:624996|offset_115|444444,624955:624974|offset_137|444444&amp;v=624872:625174&amp;c=444444", "offset 19")</f>
        <v>offset 19</v>
      </c>
    </row>
    <row r="1998" customFormat="false" ht="12.8" hidden="false" customHeight="false" outlineLevel="0" collapsed="false">
      <c r="A1998" s="0" t="s">
        <v>12</v>
      </c>
      <c r="B1998" s="0" t="n">
        <v>625039</v>
      </c>
      <c r="C1998" s="0" t="n">
        <v>625059</v>
      </c>
      <c r="D1998" s="0" t="s">
        <v>6676</v>
      </c>
      <c r="E1998" s="0" t="s">
        <v>75</v>
      </c>
      <c r="F1998" s="0" t="s">
        <v>90</v>
      </c>
      <c r="G1998" s="0" t="s">
        <v>16</v>
      </c>
      <c r="H1998" s="0" t="n">
        <v>52</v>
      </c>
      <c r="I1998" s="0" t="s">
        <v>6680</v>
      </c>
      <c r="J1998" s="0" t="s">
        <v>6681</v>
      </c>
      <c r="K1998" s="0" t="s">
        <v>6682</v>
      </c>
      <c r="L1998" s="0" t="str">
        <f aca="false">HYPERLINK("https://www.ncbi.nlm.nih.gov/nuccore/CP000058.1?report=graph&amp;tracks=[key:gene_model_track,Options:GeneOnly]&amp;mk=625073:625092|offset_19|444444,625040:625059|offset_52|00cc00,624977:624996|offset_115|444444,624955:624974|offset_137|444444&amp;v=624872:625174&amp;c=444444", "offset 52")</f>
        <v>offset 52</v>
      </c>
    </row>
    <row r="1999" customFormat="false" ht="12.8" hidden="false" customHeight="false" outlineLevel="0" collapsed="false">
      <c r="A1999" s="0" t="s">
        <v>12</v>
      </c>
      <c r="B1999" s="0" t="n">
        <v>624976</v>
      </c>
      <c r="C1999" s="0" t="n">
        <v>624996</v>
      </c>
      <c r="D1999" s="0" t="s">
        <v>6676</v>
      </c>
      <c r="E1999" s="0" t="s">
        <v>75</v>
      </c>
      <c r="F1999" s="0" t="s">
        <v>90</v>
      </c>
      <c r="G1999" s="0" t="s">
        <v>32</v>
      </c>
      <c r="H1999" s="0" t="n">
        <v>115</v>
      </c>
      <c r="I1999" s="0" t="s">
        <v>6683</v>
      </c>
      <c r="J1999" s="0" t="s">
        <v>6684</v>
      </c>
      <c r="K1999" s="0" t="s">
        <v>6685</v>
      </c>
      <c r="L1999" s="0" t="str">
        <f aca="false">HYPERLINK("https://www.ncbi.nlm.nih.gov/nuccore/CP000058.1?report=graph&amp;tracks=[key:gene_model_track,Options:GeneOnly]&amp;mk=625073:625092|offset_19|444444,625040:625059|offset_52|444444,624977:624996|offset_115|00cc00,624955:624974|offset_137|444444&amp;v=624872:625174&amp;c=444444", "offset 115")</f>
        <v>offset 115</v>
      </c>
    </row>
    <row r="2000" customFormat="false" ht="12.8" hidden="false" customHeight="false" outlineLevel="0" collapsed="false">
      <c r="A2000" s="0" t="s">
        <v>12</v>
      </c>
      <c r="B2000" s="0" t="n">
        <v>624954</v>
      </c>
      <c r="C2000" s="0" t="n">
        <v>624974</v>
      </c>
      <c r="D2000" s="0" t="s">
        <v>6676</v>
      </c>
      <c r="E2000" s="0" t="s">
        <v>75</v>
      </c>
      <c r="F2000" s="0" t="s">
        <v>90</v>
      </c>
      <c r="G2000" s="0" t="s">
        <v>20</v>
      </c>
      <c r="H2000" s="0" t="n">
        <v>137</v>
      </c>
      <c r="I2000" s="0" t="s">
        <v>6686</v>
      </c>
      <c r="J2000" s="0" t="s">
        <v>6687</v>
      </c>
      <c r="K2000" s="0" t="s">
        <v>6688</v>
      </c>
      <c r="L2000" s="0" t="str">
        <f aca="false">HYPERLINK("https://www.ncbi.nlm.nih.gov/nuccore/CP000058.1?report=graph&amp;tracks=[key:gene_model_track,Options:GeneOnly]&amp;mk=625073:625092|offset_19|444444,625040:625059|offset_52|444444,624977:624996|offset_115|444444,624955:624974|offset_137|00cc00&amp;v=624872:625174&amp;c=444444", "offset 137")</f>
        <v>offset 137</v>
      </c>
    </row>
    <row r="2001" customFormat="false" ht="12.8" hidden="false" customHeight="false" outlineLevel="0" collapsed="false">
      <c r="A2001" s="0" t="s">
        <v>12</v>
      </c>
      <c r="B2001" s="0" t="n">
        <v>625471</v>
      </c>
      <c r="C2001" s="0" t="n">
        <v>625491</v>
      </c>
      <c r="D2001" s="0" t="s">
        <v>6689</v>
      </c>
      <c r="E2001" s="0" t="s">
        <v>75</v>
      </c>
      <c r="F2001" s="0" t="s">
        <v>90</v>
      </c>
      <c r="G2001" s="0" t="s">
        <v>32</v>
      </c>
      <c r="H2001" s="0" t="n">
        <v>1</v>
      </c>
      <c r="I2001" s="0" t="s">
        <v>6690</v>
      </c>
      <c r="J2001" s="0" t="s">
        <v>6691</v>
      </c>
      <c r="K2001" s="0" t="s">
        <v>6692</v>
      </c>
      <c r="L2001" s="0" t="str">
        <f aca="false">HYPERLINK("https://www.ncbi.nlm.nih.gov/nuccore/CP000058.1?report=graph&amp;tracks=[key:gene_model_track,Options:GeneOnly]&amp;mk=625472:625491|offset_1|00cc00,625442:625461|offset_31|444444,625418:625437|offset_55|444444,625383:625402|offset_90|444444&amp;v=625271:625602&amp;c=444444", "offset 1")</f>
        <v>offset 1</v>
      </c>
    </row>
    <row r="2002" customFormat="false" ht="12.8" hidden="false" customHeight="false" outlineLevel="0" collapsed="false">
      <c r="A2002" s="0" t="s">
        <v>12</v>
      </c>
      <c r="B2002" s="0" t="n">
        <v>625441</v>
      </c>
      <c r="C2002" s="0" t="n">
        <v>625461</v>
      </c>
      <c r="D2002" s="0" t="s">
        <v>6689</v>
      </c>
      <c r="E2002" s="0" t="s">
        <v>75</v>
      </c>
      <c r="F2002" s="0" t="s">
        <v>90</v>
      </c>
      <c r="G2002" s="0" t="s">
        <v>16</v>
      </c>
      <c r="H2002" s="0" t="n">
        <v>31</v>
      </c>
      <c r="I2002" s="0" t="s">
        <v>6693</v>
      </c>
      <c r="J2002" s="0" t="s">
        <v>6694</v>
      </c>
      <c r="K2002" s="0" t="s">
        <v>6695</v>
      </c>
      <c r="L2002" s="0" t="str">
        <f aca="false">HYPERLINK("https://www.ncbi.nlm.nih.gov/nuccore/CP000058.1?report=graph&amp;tracks=[key:gene_model_track,Options:GeneOnly]&amp;mk=625472:625491|offset_1|444444,625442:625461|offset_31|00cc00,625418:625437|offset_55|444444,625383:625402|offset_90|444444&amp;v=625271:625602&amp;c=444444", "offset 31")</f>
        <v>offset 31</v>
      </c>
    </row>
    <row r="2003" customFormat="false" ht="12.8" hidden="false" customHeight="false" outlineLevel="0" collapsed="false">
      <c r="A2003" s="0" t="s">
        <v>12</v>
      </c>
      <c r="B2003" s="0" t="n">
        <v>625417</v>
      </c>
      <c r="C2003" s="0" t="n">
        <v>625437</v>
      </c>
      <c r="D2003" s="0" t="s">
        <v>6689</v>
      </c>
      <c r="E2003" s="0" t="s">
        <v>75</v>
      </c>
      <c r="F2003" s="0" t="s">
        <v>90</v>
      </c>
      <c r="G2003" s="0" t="s">
        <v>32</v>
      </c>
      <c r="H2003" s="0" t="n">
        <v>55</v>
      </c>
      <c r="I2003" s="0" t="s">
        <v>6696</v>
      </c>
      <c r="J2003" s="0" t="s">
        <v>6697</v>
      </c>
      <c r="K2003" s="0" t="s">
        <v>6698</v>
      </c>
      <c r="L2003" s="0" t="str">
        <f aca="false">HYPERLINK("https://www.ncbi.nlm.nih.gov/nuccore/CP000058.1?report=graph&amp;tracks=[key:gene_model_track,Options:GeneOnly]&amp;mk=625472:625491|offset_1|444444,625442:625461|offset_31|444444,625418:625437|offset_55|00cc00,625383:625402|offset_90|444444&amp;v=625271:625602&amp;c=444444", "offset 55")</f>
        <v>offset 55</v>
      </c>
    </row>
    <row r="2004" customFormat="false" ht="12.8" hidden="false" customHeight="false" outlineLevel="0" collapsed="false">
      <c r="A2004" s="0" t="s">
        <v>12</v>
      </c>
      <c r="B2004" s="0" t="n">
        <v>625382</v>
      </c>
      <c r="C2004" s="0" t="n">
        <v>625402</v>
      </c>
      <c r="D2004" s="0" t="s">
        <v>6689</v>
      </c>
      <c r="E2004" s="0" t="s">
        <v>75</v>
      </c>
      <c r="F2004" s="0" t="s">
        <v>90</v>
      </c>
      <c r="G2004" s="0" t="s">
        <v>36</v>
      </c>
      <c r="H2004" s="0" t="n">
        <v>90</v>
      </c>
      <c r="I2004" s="0" t="s">
        <v>6699</v>
      </c>
      <c r="J2004" s="0" t="s">
        <v>6700</v>
      </c>
      <c r="K2004" s="0" t="s">
        <v>6701</v>
      </c>
      <c r="L2004" s="0" t="str">
        <f aca="false">HYPERLINK("https://www.ncbi.nlm.nih.gov/nuccore/CP000058.1?report=graph&amp;tracks=[key:gene_model_track,Options:GeneOnly]&amp;mk=625472:625491|offset_1|444444,625442:625461|offset_31|444444,625418:625437|offset_55|444444,625383:625402|offset_90|00cc00&amp;v=625271:625602&amp;c=444444", "offset 90")</f>
        <v>offset 90</v>
      </c>
    </row>
    <row r="2005" customFormat="false" ht="12.8" hidden="false" customHeight="false" outlineLevel="0" collapsed="false">
      <c r="A2005" s="0" t="s">
        <v>12</v>
      </c>
      <c r="B2005" s="0" t="n">
        <v>625561</v>
      </c>
      <c r="C2005" s="0" t="n">
        <v>625581</v>
      </c>
      <c r="D2005" s="0" t="s">
        <v>6702</v>
      </c>
      <c r="E2005" s="0" t="s">
        <v>6703</v>
      </c>
      <c r="F2005" s="0" t="s">
        <v>15</v>
      </c>
      <c r="G2005" s="0" t="s">
        <v>36</v>
      </c>
      <c r="H2005" s="0" t="n">
        <v>0</v>
      </c>
      <c r="I2005" s="0" t="s">
        <v>6704</v>
      </c>
      <c r="J2005" s="0" t="s">
        <v>6705</v>
      </c>
      <c r="K2005" s="0" t="s">
        <v>6706</v>
      </c>
      <c r="L2005" s="0" t="str">
        <f aca="false">HYPERLINK("https://www.ncbi.nlm.nih.gov/nuccore/CP000058.1?report=graph&amp;tracks=[key:gene_model_track,Options:GeneOnly]&amp;mk=625562:625581|offset_0|00cc00,625584:625603|offset_22|444444,625607:625626|offset_45|444444,625649:625668|offset_87|444444&amp;v=625361:625868&amp;c=444444", "offset 0")</f>
        <v>offset 0</v>
      </c>
    </row>
    <row r="2006" customFormat="false" ht="12.8" hidden="false" customHeight="false" outlineLevel="0" collapsed="false">
      <c r="A2006" s="0" t="s">
        <v>12</v>
      </c>
      <c r="B2006" s="0" t="n">
        <v>625583</v>
      </c>
      <c r="C2006" s="0" t="n">
        <v>625603</v>
      </c>
      <c r="D2006" s="0" t="s">
        <v>6702</v>
      </c>
      <c r="E2006" s="0" t="s">
        <v>6703</v>
      </c>
      <c r="F2006" s="0" t="s">
        <v>15</v>
      </c>
      <c r="G2006" s="0" t="s">
        <v>36</v>
      </c>
      <c r="H2006" s="0" t="n">
        <v>22</v>
      </c>
      <c r="I2006" s="0" t="s">
        <v>6707</v>
      </c>
      <c r="J2006" s="0" t="s">
        <v>6708</v>
      </c>
      <c r="K2006" s="0" t="s">
        <v>6709</v>
      </c>
      <c r="L2006" s="0" t="str">
        <f aca="false">HYPERLINK("https://www.ncbi.nlm.nih.gov/nuccore/CP000058.1?report=graph&amp;tracks=[key:gene_model_track,Options:GeneOnly]&amp;mk=625562:625581|offset_0|444444,625584:625603|offset_22|00cc00,625607:625626|offset_45|444444,625649:625668|offset_87|444444&amp;v=625361:625868&amp;c=444444", "offset 22")</f>
        <v>offset 22</v>
      </c>
    </row>
    <row r="2007" customFormat="false" ht="12.8" hidden="false" customHeight="false" outlineLevel="0" collapsed="false">
      <c r="A2007" s="0" t="s">
        <v>12</v>
      </c>
      <c r="B2007" s="0" t="n">
        <v>625606</v>
      </c>
      <c r="C2007" s="0" t="n">
        <v>625626</v>
      </c>
      <c r="D2007" s="0" t="s">
        <v>6702</v>
      </c>
      <c r="E2007" s="0" t="s">
        <v>6703</v>
      </c>
      <c r="F2007" s="0" t="s">
        <v>15</v>
      </c>
      <c r="G2007" s="0" t="s">
        <v>32</v>
      </c>
      <c r="H2007" s="0" t="n">
        <v>45</v>
      </c>
      <c r="I2007" s="0" t="s">
        <v>6710</v>
      </c>
      <c r="J2007" s="0" t="s">
        <v>6711</v>
      </c>
      <c r="K2007" s="0" t="s">
        <v>6712</v>
      </c>
      <c r="L2007" s="0" t="str">
        <f aca="false">HYPERLINK("https://www.ncbi.nlm.nih.gov/nuccore/CP000058.1?report=graph&amp;tracks=[key:gene_model_track,Options:GeneOnly]&amp;mk=625562:625581|offset_0|444444,625584:625603|offset_22|444444,625607:625626|offset_45|00cc00,625649:625668|offset_87|444444&amp;v=625361:625868&amp;c=444444", "offset 45")</f>
        <v>offset 45</v>
      </c>
    </row>
    <row r="2008" customFormat="false" ht="12.8" hidden="false" customHeight="false" outlineLevel="0" collapsed="false">
      <c r="A2008" s="0" t="s">
        <v>12</v>
      </c>
      <c r="B2008" s="0" t="n">
        <v>625648</v>
      </c>
      <c r="C2008" s="0" t="n">
        <v>625668</v>
      </c>
      <c r="D2008" s="0" t="s">
        <v>6702</v>
      </c>
      <c r="E2008" s="0" t="s">
        <v>6703</v>
      </c>
      <c r="F2008" s="0" t="s">
        <v>15</v>
      </c>
      <c r="G2008" s="0" t="s">
        <v>16</v>
      </c>
      <c r="H2008" s="0" t="n">
        <v>87</v>
      </c>
      <c r="I2008" s="0" t="s">
        <v>6713</v>
      </c>
      <c r="J2008" s="0" t="s">
        <v>6714</v>
      </c>
      <c r="K2008" s="0" t="s">
        <v>6715</v>
      </c>
      <c r="L2008" s="0" t="str">
        <f aca="false">HYPERLINK("https://www.ncbi.nlm.nih.gov/nuccore/CP000058.1?report=graph&amp;tracks=[key:gene_model_track,Options:GeneOnly]&amp;mk=625562:625581|offset_0|444444,625584:625603|offset_22|444444,625607:625626|offset_45|444444,625649:625668|offset_87|00cc00&amp;v=625361:625868&amp;c=444444", "offset 87")</f>
        <v>offset 87</v>
      </c>
    </row>
    <row r="2009" customFormat="false" ht="12.8" hidden="false" customHeight="false" outlineLevel="0" collapsed="false">
      <c r="A2009" s="0" t="s">
        <v>12</v>
      </c>
      <c r="B2009" s="0" t="n">
        <v>628353</v>
      </c>
      <c r="C2009" s="0" t="n">
        <v>628373</v>
      </c>
      <c r="D2009" s="0" t="s">
        <v>6716</v>
      </c>
      <c r="E2009" s="0" t="s">
        <v>75</v>
      </c>
      <c r="F2009" s="0" t="s">
        <v>90</v>
      </c>
      <c r="G2009" s="0" t="s">
        <v>16</v>
      </c>
      <c r="H2009" s="0" t="n">
        <v>7</v>
      </c>
      <c r="I2009" s="0" t="s">
        <v>6717</v>
      </c>
      <c r="J2009" s="0" t="s">
        <v>6718</v>
      </c>
      <c r="K2009" s="0" t="s">
        <v>6719</v>
      </c>
      <c r="L2009" s="0" t="str">
        <f aca="false">HYPERLINK("https://www.ncbi.nlm.nih.gov/nuccore/CP000058.1?report=graph&amp;tracks=[key:gene_model_track,Options:GeneOnly]&amp;mk=628354:628373|offset_7|00cc00,628332:628351|offset_29|444444,628310:628329|offset_51|444444,628252:628271|offset_109|444444&amp;v=628153:628471&amp;c=444444", "offset 7")</f>
        <v>offset 7</v>
      </c>
    </row>
    <row r="2010" customFormat="false" ht="12.8" hidden="false" customHeight="false" outlineLevel="0" collapsed="false">
      <c r="A2010" s="0" t="s">
        <v>12</v>
      </c>
      <c r="B2010" s="0" t="n">
        <v>628331</v>
      </c>
      <c r="C2010" s="0" t="n">
        <v>628351</v>
      </c>
      <c r="D2010" s="0" t="s">
        <v>6716</v>
      </c>
      <c r="E2010" s="0" t="s">
        <v>75</v>
      </c>
      <c r="F2010" s="0" t="s">
        <v>90</v>
      </c>
      <c r="G2010" s="0" t="s">
        <v>20</v>
      </c>
      <c r="H2010" s="0" t="n">
        <v>29</v>
      </c>
      <c r="I2010" s="0" t="s">
        <v>6720</v>
      </c>
      <c r="J2010" s="0" t="s">
        <v>6721</v>
      </c>
      <c r="K2010" s="0" t="s">
        <v>6722</v>
      </c>
      <c r="L2010" s="0" t="str">
        <f aca="false">HYPERLINK("https://www.ncbi.nlm.nih.gov/nuccore/CP000058.1?report=graph&amp;tracks=[key:gene_model_track,Options:GeneOnly]&amp;mk=628354:628373|offset_7|444444,628332:628351|offset_29|00cc00,628310:628329|offset_51|444444,628252:628271|offset_109|444444&amp;v=628153:628471&amp;c=444444", "offset 29")</f>
        <v>offset 29</v>
      </c>
    </row>
    <row r="2011" customFormat="false" ht="12.8" hidden="false" customHeight="false" outlineLevel="0" collapsed="false">
      <c r="A2011" s="0" t="s">
        <v>12</v>
      </c>
      <c r="B2011" s="0" t="n">
        <v>628309</v>
      </c>
      <c r="C2011" s="0" t="n">
        <v>628329</v>
      </c>
      <c r="D2011" s="0" t="s">
        <v>6716</v>
      </c>
      <c r="E2011" s="0" t="s">
        <v>75</v>
      </c>
      <c r="F2011" s="0" t="s">
        <v>90</v>
      </c>
      <c r="G2011" s="0" t="s">
        <v>32</v>
      </c>
      <c r="H2011" s="0" t="n">
        <v>51</v>
      </c>
      <c r="I2011" s="0" t="s">
        <v>6723</v>
      </c>
      <c r="J2011" s="0" t="s">
        <v>6724</v>
      </c>
      <c r="K2011" s="0" t="s">
        <v>6725</v>
      </c>
      <c r="L2011" s="0" t="str">
        <f aca="false">HYPERLINK("https://www.ncbi.nlm.nih.gov/nuccore/CP000058.1?report=graph&amp;tracks=[key:gene_model_track,Options:GeneOnly]&amp;mk=628354:628373|offset_7|444444,628332:628351|offset_29|444444,628310:628329|offset_51|00cc00,628252:628271|offset_109|444444&amp;v=628153:628471&amp;c=444444", "offset 51")</f>
        <v>offset 51</v>
      </c>
    </row>
    <row r="2012" customFormat="false" ht="12.8" hidden="false" customHeight="false" outlineLevel="0" collapsed="false">
      <c r="A2012" s="0" t="s">
        <v>12</v>
      </c>
      <c r="B2012" s="0" t="n">
        <v>628251</v>
      </c>
      <c r="C2012" s="0" t="n">
        <v>628271</v>
      </c>
      <c r="D2012" s="0" t="s">
        <v>6716</v>
      </c>
      <c r="E2012" s="0" t="s">
        <v>75</v>
      </c>
      <c r="F2012" s="0" t="s">
        <v>90</v>
      </c>
      <c r="G2012" s="0" t="s">
        <v>16</v>
      </c>
      <c r="H2012" s="0" t="n">
        <v>109</v>
      </c>
      <c r="I2012" s="0" t="s">
        <v>6726</v>
      </c>
      <c r="J2012" s="0" t="s">
        <v>6727</v>
      </c>
      <c r="K2012" s="0" t="s">
        <v>6728</v>
      </c>
      <c r="L2012" s="0" t="str">
        <f aca="false">HYPERLINK("https://www.ncbi.nlm.nih.gov/nuccore/CP000058.1?report=graph&amp;tracks=[key:gene_model_track,Options:GeneOnly]&amp;mk=628354:628373|offset_7|444444,628332:628351|offset_29|444444,628310:628329|offset_51|444444,628252:628271|offset_109|00cc00&amp;v=628153:628471&amp;c=444444", "offset 109")</f>
        <v>offset 109</v>
      </c>
    </row>
    <row r="2013" customFormat="false" ht="12.8" hidden="false" customHeight="false" outlineLevel="0" collapsed="false">
      <c r="A2013" s="0" t="s">
        <v>12</v>
      </c>
      <c r="B2013" s="0" t="n">
        <v>628853</v>
      </c>
      <c r="C2013" s="0" t="n">
        <v>628873</v>
      </c>
      <c r="D2013" s="0" t="s">
        <v>6729</v>
      </c>
      <c r="E2013" s="0" t="s">
        <v>6730</v>
      </c>
      <c r="F2013" s="0" t="s">
        <v>15</v>
      </c>
      <c r="G2013" s="0" t="s">
        <v>36</v>
      </c>
      <c r="H2013" s="0" t="n">
        <v>28</v>
      </c>
      <c r="I2013" s="0" t="s">
        <v>6731</v>
      </c>
      <c r="J2013" s="0" t="s">
        <v>6732</v>
      </c>
      <c r="K2013" s="0" t="s">
        <v>6733</v>
      </c>
      <c r="L2013" s="0" t="str">
        <f aca="false">HYPERLINK("https://www.ncbi.nlm.nih.gov/nuccore/CP000058.1?report=graph&amp;tracks=[key:gene_model_track,Options:GeneOnly]&amp;mk=628854:628873|offset_28|00cc00,628884:628903|offset_58|444444,628905:628924|offset_79|444444,628939:628958|offset_113|444444&amp;v=628653:629158&amp;c=444444", "offset 28")</f>
        <v>offset 28</v>
      </c>
    </row>
    <row r="2014" customFormat="false" ht="12.8" hidden="false" customHeight="false" outlineLevel="0" collapsed="false">
      <c r="A2014" s="0" t="s">
        <v>12</v>
      </c>
      <c r="B2014" s="0" t="n">
        <v>628883</v>
      </c>
      <c r="C2014" s="0" t="n">
        <v>628903</v>
      </c>
      <c r="D2014" s="0" t="s">
        <v>6729</v>
      </c>
      <c r="E2014" s="0" t="s">
        <v>6730</v>
      </c>
      <c r="F2014" s="0" t="s">
        <v>15</v>
      </c>
      <c r="G2014" s="0" t="s">
        <v>16</v>
      </c>
      <c r="H2014" s="0" t="n">
        <v>58</v>
      </c>
      <c r="I2014" s="0" t="s">
        <v>6734</v>
      </c>
      <c r="J2014" s="0" t="s">
        <v>6735</v>
      </c>
      <c r="K2014" s="0" t="s">
        <v>6736</v>
      </c>
      <c r="L2014" s="0" t="str">
        <f aca="false">HYPERLINK("https://www.ncbi.nlm.nih.gov/nuccore/CP000058.1?report=graph&amp;tracks=[key:gene_model_track,Options:GeneOnly]&amp;mk=628854:628873|offset_28|444444,628884:628903|offset_58|00cc00,628905:628924|offset_79|444444,628939:628958|offset_113|444444&amp;v=628653:629158&amp;c=444444", "offset 58")</f>
        <v>offset 58</v>
      </c>
    </row>
    <row r="2015" customFormat="false" ht="12.8" hidden="false" customHeight="false" outlineLevel="0" collapsed="false">
      <c r="A2015" s="0" t="s">
        <v>12</v>
      </c>
      <c r="B2015" s="0" t="n">
        <v>628904</v>
      </c>
      <c r="C2015" s="0" t="n">
        <v>628924</v>
      </c>
      <c r="D2015" s="0" t="s">
        <v>6729</v>
      </c>
      <c r="E2015" s="0" t="s">
        <v>6730</v>
      </c>
      <c r="F2015" s="0" t="s">
        <v>15</v>
      </c>
      <c r="G2015" s="0" t="s">
        <v>36</v>
      </c>
      <c r="H2015" s="0" t="n">
        <v>79</v>
      </c>
      <c r="I2015" s="0" t="s">
        <v>6737</v>
      </c>
      <c r="J2015" s="0" t="s">
        <v>6738</v>
      </c>
      <c r="K2015" s="0" t="s">
        <v>6739</v>
      </c>
      <c r="L2015" s="0" t="str">
        <f aca="false">HYPERLINK("https://www.ncbi.nlm.nih.gov/nuccore/CP000058.1?report=graph&amp;tracks=[key:gene_model_track,Options:GeneOnly]&amp;mk=628854:628873|offset_28|444444,628884:628903|offset_58|444444,628905:628924|offset_79|00cc00,628939:628958|offset_113|444444&amp;v=628653:629158&amp;c=444444", "offset 79")</f>
        <v>offset 79</v>
      </c>
    </row>
    <row r="2016" customFormat="false" ht="12.8" hidden="false" customHeight="false" outlineLevel="0" collapsed="false">
      <c r="A2016" s="0" t="s">
        <v>12</v>
      </c>
      <c r="B2016" s="0" t="n">
        <v>628938</v>
      </c>
      <c r="C2016" s="0" t="n">
        <v>628958</v>
      </c>
      <c r="D2016" s="0" t="s">
        <v>6729</v>
      </c>
      <c r="E2016" s="0" t="s">
        <v>6730</v>
      </c>
      <c r="F2016" s="0" t="s">
        <v>15</v>
      </c>
      <c r="G2016" s="0" t="s">
        <v>36</v>
      </c>
      <c r="H2016" s="0" t="n">
        <v>113</v>
      </c>
      <c r="I2016" s="0" t="s">
        <v>6740</v>
      </c>
      <c r="J2016" s="0" t="s">
        <v>6741</v>
      </c>
      <c r="K2016" s="0" t="s">
        <v>6742</v>
      </c>
      <c r="L2016" s="0" t="str">
        <f aca="false">HYPERLINK("https://www.ncbi.nlm.nih.gov/nuccore/CP000058.1?report=graph&amp;tracks=[key:gene_model_track,Options:GeneOnly]&amp;mk=628854:628873|offset_28|444444,628884:628903|offset_58|444444,628905:628924|offset_79|444444,628939:628958|offset_113|00cc00&amp;v=628653:629158&amp;c=444444", "offset 113")</f>
        <v>offset 113</v>
      </c>
    </row>
    <row r="2017" customFormat="false" ht="12.8" hidden="false" customHeight="false" outlineLevel="0" collapsed="false">
      <c r="A2017" s="0" t="s">
        <v>12</v>
      </c>
      <c r="B2017" s="0" t="n">
        <v>631078</v>
      </c>
      <c r="C2017" s="0" t="n">
        <v>631098</v>
      </c>
      <c r="D2017" s="0" t="s">
        <v>6743</v>
      </c>
      <c r="E2017" s="0" t="s">
        <v>6744</v>
      </c>
      <c r="F2017" s="0" t="s">
        <v>15</v>
      </c>
      <c r="G2017" s="0" t="s">
        <v>16</v>
      </c>
      <c r="H2017" s="0" t="n">
        <v>128</v>
      </c>
      <c r="I2017" s="0" t="s">
        <v>6745</v>
      </c>
      <c r="J2017" s="0" t="s">
        <v>6746</v>
      </c>
      <c r="K2017" s="0" t="s">
        <v>6747</v>
      </c>
      <c r="L2017" s="0" t="str">
        <f aca="false">HYPERLINK("https://www.ncbi.nlm.nih.gov/nuccore/CP000058.1?report=graph&amp;tracks=[key:gene_model_track,Options:GeneOnly]&amp;mk=631079:631098|offset_128|00cc00,631099:631118|offset_148|444444,631123:631142|offset_172|444444,631144:631163|offset_193|444444&amp;v=630878:631363&amp;c=444444", "offset 128")</f>
        <v>offset 128</v>
      </c>
    </row>
    <row r="2018" customFormat="false" ht="12.8" hidden="false" customHeight="false" outlineLevel="0" collapsed="false">
      <c r="A2018" s="0" t="s">
        <v>12</v>
      </c>
      <c r="B2018" s="0" t="n">
        <v>631098</v>
      </c>
      <c r="C2018" s="0" t="n">
        <v>631118</v>
      </c>
      <c r="D2018" s="0" t="s">
        <v>6743</v>
      </c>
      <c r="E2018" s="0" t="s">
        <v>6744</v>
      </c>
      <c r="F2018" s="0" t="s">
        <v>15</v>
      </c>
      <c r="G2018" s="0" t="s">
        <v>16</v>
      </c>
      <c r="H2018" s="0" t="n">
        <v>148</v>
      </c>
      <c r="I2018" s="0" t="s">
        <v>6748</v>
      </c>
      <c r="J2018" s="0" t="s">
        <v>6749</v>
      </c>
      <c r="K2018" s="0" t="s">
        <v>6750</v>
      </c>
      <c r="L2018" s="0" t="str">
        <f aca="false">HYPERLINK("https://www.ncbi.nlm.nih.gov/nuccore/CP000058.1?report=graph&amp;tracks=[key:gene_model_track,Options:GeneOnly]&amp;mk=631079:631098|offset_128|444444,631099:631118|offset_148|00cc00,631123:631142|offset_172|444444,631144:631163|offset_193|444444&amp;v=630878:631363&amp;c=444444", "offset 148")</f>
        <v>offset 148</v>
      </c>
    </row>
    <row r="2019" customFormat="false" ht="12.8" hidden="false" customHeight="false" outlineLevel="0" collapsed="false">
      <c r="A2019" s="0" t="s">
        <v>12</v>
      </c>
      <c r="B2019" s="0" t="n">
        <v>631122</v>
      </c>
      <c r="C2019" s="0" t="n">
        <v>631142</v>
      </c>
      <c r="D2019" s="0" t="s">
        <v>6743</v>
      </c>
      <c r="E2019" s="0" t="s">
        <v>6744</v>
      </c>
      <c r="F2019" s="0" t="s">
        <v>15</v>
      </c>
      <c r="G2019" s="0" t="s">
        <v>32</v>
      </c>
      <c r="H2019" s="0" t="n">
        <v>172</v>
      </c>
      <c r="I2019" s="0" t="s">
        <v>6751</v>
      </c>
      <c r="J2019" s="0" t="s">
        <v>6752</v>
      </c>
      <c r="K2019" s="0" t="s">
        <v>6753</v>
      </c>
      <c r="L2019" s="0" t="str">
        <f aca="false">HYPERLINK("https://www.ncbi.nlm.nih.gov/nuccore/CP000058.1?report=graph&amp;tracks=[key:gene_model_track,Options:GeneOnly]&amp;mk=631079:631098|offset_128|444444,631099:631118|offset_148|444444,631123:631142|offset_172|00cc00,631144:631163|offset_193|444444&amp;v=630878:631363&amp;c=444444", "offset 172")</f>
        <v>offset 172</v>
      </c>
    </row>
    <row r="2020" customFormat="false" ht="12.8" hidden="false" customHeight="false" outlineLevel="0" collapsed="false">
      <c r="A2020" s="0" t="s">
        <v>12</v>
      </c>
      <c r="B2020" s="0" t="n">
        <v>631143</v>
      </c>
      <c r="C2020" s="0" t="n">
        <v>631163</v>
      </c>
      <c r="D2020" s="0" t="s">
        <v>6743</v>
      </c>
      <c r="E2020" s="0" t="s">
        <v>6744</v>
      </c>
      <c r="F2020" s="0" t="s">
        <v>15</v>
      </c>
      <c r="G2020" s="0" t="s">
        <v>20</v>
      </c>
      <c r="H2020" s="0" t="n">
        <v>193</v>
      </c>
      <c r="I2020" s="0" t="s">
        <v>6754</v>
      </c>
      <c r="J2020" s="0" t="s">
        <v>6755</v>
      </c>
      <c r="K2020" s="0" t="s">
        <v>6756</v>
      </c>
      <c r="L2020" s="0" t="str">
        <f aca="false">HYPERLINK("https://www.ncbi.nlm.nih.gov/nuccore/CP000058.1?report=graph&amp;tracks=[key:gene_model_track,Options:GeneOnly]&amp;mk=631079:631098|offset_128|444444,631099:631118|offset_148|444444,631123:631142|offset_172|444444,631144:631163|offset_193|00cc00&amp;v=630878:631363&amp;c=444444", "offset 193")</f>
        <v>offset 193</v>
      </c>
    </row>
    <row r="2021" customFormat="false" ht="12.8" hidden="false" customHeight="false" outlineLevel="0" collapsed="false">
      <c r="A2021" s="0" t="s">
        <v>12</v>
      </c>
      <c r="B2021" s="0" t="n">
        <v>632085</v>
      </c>
      <c r="C2021" s="0" t="n">
        <v>632105</v>
      </c>
      <c r="D2021" s="0" t="s">
        <v>6757</v>
      </c>
      <c r="E2021" s="0" t="s">
        <v>75</v>
      </c>
      <c r="F2021" s="0" t="s">
        <v>15</v>
      </c>
      <c r="G2021" s="0" t="s">
        <v>32</v>
      </c>
      <c r="H2021" s="0" t="n">
        <v>7</v>
      </c>
      <c r="I2021" s="0" t="s">
        <v>6758</v>
      </c>
      <c r="J2021" s="0" t="s">
        <v>6759</v>
      </c>
      <c r="K2021" s="0" t="s">
        <v>6760</v>
      </c>
      <c r="L2021" s="0" t="str">
        <f aca="false">HYPERLINK("https://www.ncbi.nlm.nih.gov/nuccore/CP000058.1?report=graph&amp;tracks=[key:gene_model_track,Options:GeneOnly]&amp;mk=632086:632105|offset_7|00cc00,632124:632143|offset_45|444444,632175:632194|offset_96|444444,632201:632220|offset_122|444444&amp;v=631885:632420&amp;c=444444", "offset 7")</f>
        <v>offset 7</v>
      </c>
    </row>
    <row r="2022" customFormat="false" ht="12.8" hidden="false" customHeight="false" outlineLevel="0" collapsed="false">
      <c r="A2022" s="0" t="s">
        <v>12</v>
      </c>
      <c r="B2022" s="0" t="n">
        <v>632123</v>
      </c>
      <c r="C2022" s="0" t="n">
        <v>632143</v>
      </c>
      <c r="D2022" s="0" t="s">
        <v>6757</v>
      </c>
      <c r="E2022" s="0" t="s">
        <v>75</v>
      </c>
      <c r="F2022" s="0" t="s">
        <v>15</v>
      </c>
      <c r="G2022" s="0" t="s">
        <v>16</v>
      </c>
      <c r="H2022" s="0" t="n">
        <v>45</v>
      </c>
      <c r="I2022" s="0" t="s">
        <v>6761</v>
      </c>
      <c r="J2022" s="0" t="s">
        <v>6762</v>
      </c>
      <c r="K2022" s="0" t="s">
        <v>6763</v>
      </c>
      <c r="L2022" s="0" t="str">
        <f aca="false">HYPERLINK("https://www.ncbi.nlm.nih.gov/nuccore/CP000058.1?report=graph&amp;tracks=[key:gene_model_track,Options:GeneOnly]&amp;mk=632086:632105|offset_7|444444,632124:632143|offset_45|00cc00,632175:632194|offset_96|444444,632201:632220|offset_122|444444&amp;v=631885:632420&amp;c=444444", "offset 45")</f>
        <v>offset 45</v>
      </c>
    </row>
    <row r="2023" customFormat="false" ht="12.8" hidden="false" customHeight="false" outlineLevel="0" collapsed="false">
      <c r="A2023" s="0" t="s">
        <v>12</v>
      </c>
      <c r="B2023" s="0" t="n">
        <v>632174</v>
      </c>
      <c r="C2023" s="0" t="n">
        <v>632194</v>
      </c>
      <c r="D2023" s="0" t="s">
        <v>6757</v>
      </c>
      <c r="E2023" s="0" t="s">
        <v>75</v>
      </c>
      <c r="F2023" s="0" t="s">
        <v>15</v>
      </c>
      <c r="G2023" s="0" t="s">
        <v>16</v>
      </c>
      <c r="H2023" s="0" t="n">
        <v>96</v>
      </c>
      <c r="I2023" s="0" t="s">
        <v>6764</v>
      </c>
      <c r="J2023" s="0" t="s">
        <v>6765</v>
      </c>
      <c r="K2023" s="0" t="s">
        <v>6766</v>
      </c>
      <c r="L2023" s="0" t="str">
        <f aca="false">HYPERLINK("https://www.ncbi.nlm.nih.gov/nuccore/CP000058.1?report=graph&amp;tracks=[key:gene_model_track,Options:GeneOnly]&amp;mk=632086:632105|offset_7|444444,632124:632143|offset_45|444444,632175:632194|offset_96|00cc00,632201:632220|offset_122|444444&amp;v=631885:632420&amp;c=444444", "offset 96")</f>
        <v>offset 96</v>
      </c>
    </row>
    <row r="2024" customFormat="false" ht="12.8" hidden="false" customHeight="false" outlineLevel="0" collapsed="false">
      <c r="A2024" s="0" t="s">
        <v>12</v>
      </c>
      <c r="B2024" s="0" t="n">
        <v>632200</v>
      </c>
      <c r="C2024" s="0" t="n">
        <v>632220</v>
      </c>
      <c r="D2024" s="0" t="s">
        <v>6757</v>
      </c>
      <c r="E2024" s="0" t="s">
        <v>75</v>
      </c>
      <c r="F2024" s="0" t="s">
        <v>15</v>
      </c>
      <c r="G2024" s="0" t="s">
        <v>32</v>
      </c>
      <c r="H2024" s="0" t="n">
        <v>122</v>
      </c>
      <c r="I2024" s="0" t="s">
        <v>6767</v>
      </c>
      <c r="J2024" s="0" t="s">
        <v>6768</v>
      </c>
      <c r="K2024" s="0" t="s">
        <v>6769</v>
      </c>
      <c r="L2024" s="0" t="str">
        <f aca="false">HYPERLINK("https://www.ncbi.nlm.nih.gov/nuccore/CP000058.1?report=graph&amp;tracks=[key:gene_model_track,Options:GeneOnly]&amp;mk=632086:632105|offset_7|444444,632124:632143|offset_45|444444,632175:632194|offset_96|444444,632201:632220|offset_122|00cc00&amp;v=631885:632420&amp;c=444444", "offset 122")</f>
        <v>offset 122</v>
      </c>
    </row>
    <row r="2025" customFormat="false" ht="12.8" hidden="false" customHeight="false" outlineLevel="0" collapsed="false">
      <c r="A2025" s="0" t="s">
        <v>12</v>
      </c>
      <c r="B2025" s="0" t="n">
        <v>633069</v>
      </c>
      <c r="C2025" s="0" t="n">
        <v>633089</v>
      </c>
      <c r="D2025" s="0" t="s">
        <v>6770</v>
      </c>
      <c r="E2025" s="0" t="s">
        <v>75</v>
      </c>
      <c r="F2025" s="0" t="s">
        <v>90</v>
      </c>
      <c r="G2025" s="0" t="s">
        <v>36</v>
      </c>
      <c r="H2025" s="0" t="n">
        <v>40</v>
      </c>
      <c r="I2025" s="0" t="s">
        <v>6771</v>
      </c>
      <c r="J2025" s="0" t="s">
        <v>6772</v>
      </c>
      <c r="K2025" s="0" t="s">
        <v>6773</v>
      </c>
      <c r="L2025" s="0" t="str">
        <f aca="false">HYPERLINK("https://www.ncbi.nlm.nih.gov/nuccore/CP000058.1?report=graph&amp;tracks=[key:gene_model_track,Options:GeneOnly]&amp;mk=633070:633089|offset_40|00cc00,633045:633064|offset_65|444444,633020:633039|offset_90|444444,632998:633017|offset_112|444444&amp;v=632869:633217&amp;c=444444", "offset 40")</f>
        <v>offset 40</v>
      </c>
    </row>
    <row r="2026" customFormat="false" ht="12.8" hidden="false" customHeight="false" outlineLevel="0" collapsed="false">
      <c r="A2026" s="0" t="s">
        <v>12</v>
      </c>
      <c r="B2026" s="0" t="n">
        <v>633044</v>
      </c>
      <c r="C2026" s="0" t="n">
        <v>633064</v>
      </c>
      <c r="D2026" s="0" t="s">
        <v>6770</v>
      </c>
      <c r="E2026" s="0" t="s">
        <v>75</v>
      </c>
      <c r="F2026" s="0" t="s">
        <v>90</v>
      </c>
      <c r="G2026" s="0" t="s">
        <v>20</v>
      </c>
      <c r="H2026" s="0" t="n">
        <v>65</v>
      </c>
      <c r="I2026" s="0" t="s">
        <v>6774</v>
      </c>
      <c r="J2026" s="0" t="s">
        <v>6775</v>
      </c>
      <c r="K2026" s="0" t="s">
        <v>6776</v>
      </c>
      <c r="L2026" s="0" t="str">
        <f aca="false">HYPERLINK("https://www.ncbi.nlm.nih.gov/nuccore/CP000058.1?report=graph&amp;tracks=[key:gene_model_track,Options:GeneOnly]&amp;mk=633070:633089|offset_40|444444,633045:633064|offset_65|00cc00,633020:633039|offset_90|444444,632998:633017|offset_112|444444&amp;v=632869:633217&amp;c=444444", "offset 65")</f>
        <v>offset 65</v>
      </c>
    </row>
    <row r="2027" customFormat="false" ht="12.8" hidden="false" customHeight="false" outlineLevel="0" collapsed="false">
      <c r="A2027" s="0" t="s">
        <v>12</v>
      </c>
      <c r="B2027" s="0" t="n">
        <v>633019</v>
      </c>
      <c r="C2027" s="0" t="n">
        <v>633039</v>
      </c>
      <c r="D2027" s="0" t="s">
        <v>6770</v>
      </c>
      <c r="E2027" s="0" t="s">
        <v>75</v>
      </c>
      <c r="F2027" s="0" t="s">
        <v>90</v>
      </c>
      <c r="G2027" s="0" t="s">
        <v>16</v>
      </c>
      <c r="H2027" s="0" t="n">
        <v>90</v>
      </c>
      <c r="I2027" s="0" t="s">
        <v>6777</v>
      </c>
      <c r="J2027" s="0" t="s">
        <v>6778</v>
      </c>
      <c r="K2027" s="0" t="s">
        <v>6779</v>
      </c>
      <c r="L2027" s="0" t="str">
        <f aca="false">HYPERLINK("https://www.ncbi.nlm.nih.gov/nuccore/CP000058.1?report=graph&amp;tracks=[key:gene_model_track,Options:GeneOnly]&amp;mk=633070:633089|offset_40|444444,633045:633064|offset_65|444444,633020:633039|offset_90|00cc00,632998:633017|offset_112|444444&amp;v=632869:633217&amp;c=444444", "offset 90")</f>
        <v>offset 90</v>
      </c>
    </row>
    <row r="2028" customFormat="false" ht="12.8" hidden="false" customHeight="false" outlineLevel="0" collapsed="false">
      <c r="A2028" s="0" t="s">
        <v>12</v>
      </c>
      <c r="B2028" s="0" t="n">
        <v>632997</v>
      </c>
      <c r="C2028" s="0" t="n">
        <v>633017</v>
      </c>
      <c r="D2028" s="0" t="s">
        <v>6770</v>
      </c>
      <c r="E2028" s="0" t="s">
        <v>75</v>
      </c>
      <c r="F2028" s="0" t="s">
        <v>90</v>
      </c>
      <c r="G2028" s="0" t="s">
        <v>20</v>
      </c>
      <c r="H2028" s="0" t="n">
        <v>112</v>
      </c>
      <c r="I2028" s="0" t="s">
        <v>6780</v>
      </c>
      <c r="J2028" s="0" t="s">
        <v>6781</v>
      </c>
      <c r="K2028" s="0" t="s">
        <v>6782</v>
      </c>
      <c r="L2028" s="0" t="str">
        <f aca="false">HYPERLINK("https://www.ncbi.nlm.nih.gov/nuccore/CP000058.1?report=graph&amp;tracks=[key:gene_model_track,Options:GeneOnly]&amp;mk=633070:633089|offset_40|444444,633045:633064|offset_65|444444,633020:633039|offset_90|444444,632998:633017|offset_112|00cc00&amp;v=632869:633217&amp;c=444444", "offset 112")</f>
        <v>offset 112</v>
      </c>
    </row>
    <row r="2029" customFormat="false" ht="12.8" hidden="false" customHeight="false" outlineLevel="0" collapsed="false">
      <c r="A2029" s="0" t="s">
        <v>12</v>
      </c>
      <c r="B2029" s="0" t="n">
        <v>633306</v>
      </c>
      <c r="C2029" s="0" t="n">
        <v>633326</v>
      </c>
      <c r="D2029" s="0" t="s">
        <v>6783</v>
      </c>
      <c r="E2029" s="0" t="s">
        <v>75</v>
      </c>
      <c r="F2029" s="0" t="s">
        <v>15</v>
      </c>
      <c r="G2029" s="0" t="s">
        <v>16</v>
      </c>
      <c r="H2029" s="0" t="n">
        <v>0</v>
      </c>
      <c r="I2029" s="0" t="s">
        <v>6784</v>
      </c>
      <c r="J2029" s="0" t="s">
        <v>6785</v>
      </c>
      <c r="K2029" s="0" t="s">
        <v>6786</v>
      </c>
      <c r="L2029" s="0" t="str">
        <f aca="false">HYPERLINK("https://www.ncbi.nlm.nih.gov/nuccore/CP000058.1?report=graph&amp;tracks=[key:gene_model_track,Options:GeneOnly]&amp;mk=633307:633326|offset_0|00cc00,633337:633356|offset_30|444444,633364:633383|offset_57|444444,633438:633457|offset_131|444444&amp;v=633106:633657&amp;c=444444", "offset 0")</f>
        <v>offset 0</v>
      </c>
    </row>
    <row r="2030" customFormat="false" ht="12.8" hidden="false" customHeight="false" outlineLevel="0" collapsed="false">
      <c r="A2030" s="0" t="s">
        <v>12</v>
      </c>
      <c r="B2030" s="0" t="n">
        <v>633336</v>
      </c>
      <c r="C2030" s="0" t="n">
        <v>633356</v>
      </c>
      <c r="D2030" s="0" t="s">
        <v>6783</v>
      </c>
      <c r="E2030" s="0" t="s">
        <v>75</v>
      </c>
      <c r="F2030" s="0" t="s">
        <v>15</v>
      </c>
      <c r="G2030" s="0" t="s">
        <v>36</v>
      </c>
      <c r="H2030" s="0" t="n">
        <v>30</v>
      </c>
      <c r="I2030" s="0" t="s">
        <v>6787</v>
      </c>
      <c r="J2030" s="0" t="s">
        <v>6788</v>
      </c>
      <c r="K2030" s="0" t="s">
        <v>6789</v>
      </c>
      <c r="L2030" s="0" t="str">
        <f aca="false">HYPERLINK("https://www.ncbi.nlm.nih.gov/nuccore/CP000058.1?report=graph&amp;tracks=[key:gene_model_track,Options:GeneOnly]&amp;mk=633307:633326|offset_0|444444,633337:633356|offset_30|00cc00,633364:633383|offset_57|444444,633438:633457|offset_131|444444&amp;v=633106:633657&amp;c=444444", "offset 30")</f>
        <v>offset 30</v>
      </c>
    </row>
    <row r="2031" customFormat="false" ht="12.8" hidden="false" customHeight="false" outlineLevel="0" collapsed="false">
      <c r="A2031" s="0" t="s">
        <v>12</v>
      </c>
      <c r="B2031" s="0" t="n">
        <v>633363</v>
      </c>
      <c r="C2031" s="0" t="n">
        <v>633383</v>
      </c>
      <c r="D2031" s="0" t="s">
        <v>6783</v>
      </c>
      <c r="E2031" s="0" t="s">
        <v>75</v>
      </c>
      <c r="F2031" s="0" t="s">
        <v>15</v>
      </c>
      <c r="G2031" s="0" t="s">
        <v>32</v>
      </c>
      <c r="H2031" s="0" t="n">
        <v>57</v>
      </c>
      <c r="I2031" s="0" t="s">
        <v>6790</v>
      </c>
      <c r="J2031" s="0" t="s">
        <v>6791</v>
      </c>
      <c r="K2031" s="0" t="s">
        <v>6792</v>
      </c>
      <c r="L2031" s="0" t="str">
        <f aca="false">HYPERLINK("https://www.ncbi.nlm.nih.gov/nuccore/CP000058.1?report=graph&amp;tracks=[key:gene_model_track,Options:GeneOnly]&amp;mk=633307:633326|offset_0|444444,633337:633356|offset_30|444444,633364:633383|offset_57|00cc00,633438:633457|offset_131|444444&amp;v=633106:633657&amp;c=444444", "offset 57")</f>
        <v>offset 57</v>
      </c>
    </row>
    <row r="2032" customFormat="false" ht="12.8" hidden="false" customHeight="false" outlineLevel="0" collapsed="false">
      <c r="A2032" s="0" t="s">
        <v>12</v>
      </c>
      <c r="B2032" s="0" t="n">
        <v>633437</v>
      </c>
      <c r="C2032" s="0" t="n">
        <v>633457</v>
      </c>
      <c r="D2032" s="0" t="s">
        <v>6783</v>
      </c>
      <c r="E2032" s="0" t="s">
        <v>75</v>
      </c>
      <c r="F2032" s="0" t="s">
        <v>15</v>
      </c>
      <c r="G2032" s="0" t="s">
        <v>32</v>
      </c>
      <c r="H2032" s="0" t="n">
        <v>131</v>
      </c>
      <c r="I2032" s="0" t="s">
        <v>6793</v>
      </c>
      <c r="J2032" s="0" t="s">
        <v>6794</v>
      </c>
      <c r="K2032" s="0" t="s">
        <v>6795</v>
      </c>
      <c r="L2032" s="0" t="str">
        <f aca="false">HYPERLINK("https://www.ncbi.nlm.nih.gov/nuccore/CP000058.1?report=graph&amp;tracks=[key:gene_model_track,Options:GeneOnly]&amp;mk=633307:633326|offset_0|444444,633337:633356|offset_30|444444,633364:633383|offset_57|444444,633438:633457|offset_131|00cc00&amp;v=633106:633657&amp;c=444444", "offset 131")</f>
        <v>offset 131</v>
      </c>
    </row>
    <row r="2033" customFormat="false" ht="12.8" hidden="false" customHeight="false" outlineLevel="0" collapsed="false">
      <c r="A2033" s="0" t="s">
        <v>12</v>
      </c>
      <c r="B2033" s="0" t="n">
        <v>633976</v>
      </c>
      <c r="C2033" s="0" t="n">
        <v>633996</v>
      </c>
      <c r="D2033" s="0" t="s">
        <v>6796</v>
      </c>
      <c r="E2033" s="0" t="s">
        <v>75</v>
      </c>
      <c r="F2033" s="0" t="s">
        <v>15</v>
      </c>
      <c r="G2033" s="0" t="s">
        <v>16</v>
      </c>
      <c r="H2033" s="0" t="n">
        <v>32</v>
      </c>
      <c r="I2033" s="0" t="s">
        <v>6797</v>
      </c>
      <c r="J2033" s="0" t="s">
        <v>6798</v>
      </c>
      <c r="K2033" s="0" t="s">
        <v>6799</v>
      </c>
      <c r="L2033" s="0" t="str">
        <f aca="false">HYPERLINK("https://www.ncbi.nlm.nih.gov/nuccore/CP000058.1?report=graph&amp;tracks=[key:gene_model_track,Options:GeneOnly]&amp;mk=633977:633996|offset_32|00cc00,634015:634034|offset_70|444444,634037:634056|offset_92|444444,634073:634092|offset_128|444444&amp;v=633776:634292&amp;c=444444", "offset 32")</f>
        <v>offset 32</v>
      </c>
    </row>
    <row r="2034" customFormat="false" ht="12.8" hidden="false" customHeight="false" outlineLevel="0" collapsed="false">
      <c r="A2034" s="0" t="s">
        <v>12</v>
      </c>
      <c r="B2034" s="0" t="n">
        <v>634014</v>
      </c>
      <c r="C2034" s="0" t="n">
        <v>634034</v>
      </c>
      <c r="D2034" s="0" t="s">
        <v>6796</v>
      </c>
      <c r="E2034" s="0" t="s">
        <v>75</v>
      </c>
      <c r="F2034" s="0" t="s">
        <v>15</v>
      </c>
      <c r="G2034" s="0" t="s">
        <v>32</v>
      </c>
      <c r="H2034" s="0" t="n">
        <v>70</v>
      </c>
      <c r="I2034" s="0" t="s">
        <v>6800</v>
      </c>
      <c r="J2034" s="0" t="s">
        <v>6801</v>
      </c>
      <c r="K2034" s="0" t="s">
        <v>6802</v>
      </c>
      <c r="L2034" s="0" t="str">
        <f aca="false">HYPERLINK("https://www.ncbi.nlm.nih.gov/nuccore/CP000058.1?report=graph&amp;tracks=[key:gene_model_track,Options:GeneOnly]&amp;mk=633977:633996|offset_32|444444,634015:634034|offset_70|00cc00,634037:634056|offset_92|444444,634073:634092|offset_128|444444&amp;v=633776:634292&amp;c=444444", "offset 70")</f>
        <v>offset 70</v>
      </c>
    </row>
    <row r="2035" customFormat="false" ht="12.8" hidden="false" customHeight="false" outlineLevel="0" collapsed="false">
      <c r="A2035" s="0" t="s">
        <v>12</v>
      </c>
      <c r="B2035" s="0" t="n">
        <v>634036</v>
      </c>
      <c r="C2035" s="0" t="n">
        <v>634056</v>
      </c>
      <c r="D2035" s="0" t="s">
        <v>6796</v>
      </c>
      <c r="E2035" s="0" t="s">
        <v>75</v>
      </c>
      <c r="F2035" s="0" t="s">
        <v>15</v>
      </c>
      <c r="G2035" s="0" t="s">
        <v>20</v>
      </c>
      <c r="H2035" s="0" t="n">
        <v>92</v>
      </c>
      <c r="I2035" s="0" t="s">
        <v>6803</v>
      </c>
      <c r="J2035" s="0" t="s">
        <v>6804</v>
      </c>
      <c r="K2035" s="0" t="s">
        <v>6805</v>
      </c>
      <c r="L2035" s="0" t="str">
        <f aca="false">HYPERLINK("https://www.ncbi.nlm.nih.gov/nuccore/CP000058.1?report=graph&amp;tracks=[key:gene_model_track,Options:GeneOnly]&amp;mk=633977:633996|offset_32|444444,634015:634034|offset_70|444444,634037:634056|offset_92|00cc00,634073:634092|offset_128|444444&amp;v=633776:634292&amp;c=444444", "offset 92")</f>
        <v>offset 92</v>
      </c>
    </row>
    <row r="2036" customFormat="false" ht="12.8" hidden="false" customHeight="false" outlineLevel="0" collapsed="false">
      <c r="A2036" s="0" t="s">
        <v>12</v>
      </c>
      <c r="B2036" s="0" t="n">
        <v>634072</v>
      </c>
      <c r="C2036" s="0" t="n">
        <v>634092</v>
      </c>
      <c r="D2036" s="0" t="s">
        <v>6796</v>
      </c>
      <c r="E2036" s="0" t="s">
        <v>75</v>
      </c>
      <c r="F2036" s="0" t="s">
        <v>15</v>
      </c>
      <c r="G2036" s="0" t="s">
        <v>16</v>
      </c>
      <c r="H2036" s="0" t="n">
        <v>128</v>
      </c>
      <c r="I2036" s="0" t="s">
        <v>6806</v>
      </c>
      <c r="J2036" s="0" t="s">
        <v>6807</v>
      </c>
      <c r="K2036" s="0" t="s">
        <v>6808</v>
      </c>
      <c r="L2036" s="0" t="str">
        <f aca="false">HYPERLINK("https://www.ncbi.nlm.nih.gov/nuccore/CP000058.1?report=graph&amp;tracks=[key:gene_model_track,Options:GeneOnly]&amp;mk=633977:633996|offset_32|444444,634015:634034|offset_70|444444,634037:634056|offset_92|444444,634073:634092|offset_128|00cc00&amp;v=633776:634292&amp;c=444444", "offset 128")</f>
        <v>offset 128</v>
      </c>
    </row>
    <row r="2037" customFormat="false" ht="12.8" hidden="false" customHeight="false" outlineLevel="0" collapsed="false">
      <c r="A2037" s="0" t="s">
        <v>12</v>
      </c>
      <c r="B2037" s="0" t="n">
        <v>634613</v>
      </c>
      <c r="C2037" s="0" t="n">
        <v>634633</v>
      </c>
      <c r="D2037" s="0" t="s">
        <v>6809</v>
      </c>
      <c r="E2037" s="0" t="s">
        <v>75</v>
      </c>
      <c r="F2037" s="0" t="s">
        <v>15</v>
      </c>
      <c r="G2037" s="0" t="s">
        <v>36</v>
      </c>
      <c r="H2037" s="0" t="n">
        <v>19</v>
      </c>
      <c r="I2037" s="0" t="s">
        <v>6810</v>
      </c>
      <c r="J2037" s="0" t="s">
        <v>6811</v>
      </c>
      <c r="K2037" s="0" t="s">
        <v>6812</v>
      </c>
      <c r="L2037" s="0" t="str">
        <f aca="false">HYPERLINK("https://www.ncbi.nlm.nih.gov/nuccore/CP000058.1?report=graph&amp;tracks=[key:gene_model_track,Options:GeneOnly]&amp;mk=634614:634633|offset_19|00cc00,634650:634669|offset_55|444444,634683:634702|offset_88|444444,634728:634747|offset_133|444444&amp;v=634413:634947&amp;c=444444", "offset 19")</f>
        <v>offset 19</v>
      </c>
    </row>
    <row r="2038" customFormat="false" ht="12.8" hidden="false" customHeight="false" outlineLevel="0" collapsed="false">
      <c r="A2038" s="0" t="s">
        <v>12</v>
      </c>
      <c r="B2038" s="0" t="n">
        <v>634649</v>
      </c>
      <c r="C2038" s="0" t="n">
        <v>634669</v>
      </c>
      <c r="D2038" s="0" t="s">
        <v>6809</v>
      </c>
      <c r="E2038" s="0" t="s">
        <v>75</v>
      </c>
      <c r="F2038" s="0" t="s">
        <v>15</v>
      </c>
      <c r="G2038" s="0" t="s">
        <v>36</v>
      </c>
      <c r="H2038" s="0" t="n">
        <v>55</v>
      </c>
      <c r="I2038" s="0" t="s">
        <v>6813</v>
      </c>
      <c r="J2038" s="0" t="s">
        <v>6814</v>
      </c>
      <c r="K2038" s="0" t="s">
        <v>6815</v>
      </c>
      <c r="L2038" s="0" t="str">
        <f aca="false">HYPERLINK("https://www.ncbi.nlm.nih.gov/nuccore/CP000058.1?report=graph&amp;tracks=[key:gene_model_track,Options:GeneOnly]&amp;mk=634614:634633|offset_19|444444,634650:634669|offset_55|00cc00,634683:634702|offset_88|444444,634728:634747|offset_133|444444&amp;v=634413:634947&amp;c=444444", "offset 55")</f>
        <v>offset 55</v>
      </c>
    </row>
    <row r="2039" customFormat="false" ht="12.8" hidden="false" customHeight="false" outlineLevel="0" collapsed="false">
      <c r="A2039" s="0" t="s">
        <v>12</v>
      </c>
      <c r="B2039" s="0" t="n">
        <v>634682</v>
      </c>
      <c r="C2039" s="0" t="n">
        <v>634702</v>
      </c>
      <c r="D2039" s="0" t="s">
        <v>6809</v>
      </c>
      <c r="E2039" s="0" t="s">
        <v>75</v>
      </c>
      <c r="F2039" s="0" t="s">
        <v>15</v>
      </c>
      <c r="G2039" s="0" t="s">
        <v>36</v>
      </c>
      <c r="H2039" s="0" t="n">
        <v>88</v>
      </c>
      <c r="I2039" s="0" t="s">
        <v>6816</v>
      </c>
      <c r="J2039" s="0" t="s">
        <v>6817</v>
      </c>
      <c r="K2039" s="0" t="s">
        <v>6818</v>
      </c>
      <c r="L2039" s="0" t="str">
        <f aca="false">HYPERLINK("https://www.ncbi.nlm.nih.gov/nuccore/CP000058.1?report=graph&amp;tracks=[key:gene_model_track,Options:GeneOnly]&amp;mk=634614:634633|offset_19|444444,634650:634669|offset_55|444444,634683:634702|offset_88|00cc00,634728:634747|offset_133|444444&amp;v=634413:634947&amp;c=444444", "offset 88")</f>
        <v>offset 88</v>
      </c>
    </row>
    <row r="2040" customFormat="false" ht="12.8" hidden="false" customHeight="false" outlineLevel="0" collapsed="false">
      <c r="A2040" s="0" t="s">
        <v>12</v>
      </c>
      <c r="B2040" s="0" t="n">
        <v>634727</v>
      </c>
      <c r="C2040" s="0" t="n">
        <v>634747</v>
      </c>
      <c r="D2040" s="0" t="s">
        <v>6809</v>
      </c>
      <c r="E2040" s="0" t="s">
        <v>75</v>
      </c>
      <c r="F2040" s="0" t="s">
        <v>15</v>
      </c>
      <c r="G2040" s="0" t="s">
        <v>32</v>
      </c>
      <c r="H2040" s="0" t="n">
        <v>133</v>
      </c>
      <c r="I2040" s="0" t="s">
        <v>6819</v>
      </c>
      <c r="J2040" s="0" t="s">
        <v>6820</v>
      </c>
      <c r="K2040" s="0" t="s">
        <v>6821</v>
      </c>
      <c r="L2040" s="0" t="str">
        <f aca="false">HYPERLINK("https://www.ncbi.nlm.nih.gov/nuccore/CP000058.1?report=graph&amp;tracks=[key:gene_model_track,Options:GeneOnly]&amp;mk=634614:634633|offset_19|444444,634650:634669|offset_55|444444,634683:634702|offset_88|444444,634728:634747|offset_133|00cc00&amp;v=634413:634947&amp;c=444444", "offset 133")</f>
        <v>offset 133</v>
      </c>
    </row>
    <row r="2041" customFormat="false" ht="12.8" hidden="false" customHeight="false" outlineLevel="0" collapsed="false">
      <c r="A2041" s="0" t="s">
        <v>12</v>
      </c>
      <c r="B2041" s="0" t="n">
        <v>635062</v>
      </c>
      <c r="C2041" s="0" t="n">
        <v>635082</v>
      </c>
      <c r="D2041" s="0" t="s">
        <v>6822</v>
      </c>
      <c r="E2041" s="0" t="s">
        <v>75</v>
      </c>
      <c r="F2041" s="0" t="s">
        <v>15</v>
      </c>
      <c r="G2041" s="0" t="s">
        <v>32</v>
      </c>
      <c r="H2041" s="0" t="n">
        <v>6</v>
      </c>
      <c r="I2041" s="0" t="s">
        <v>6823</v>
      </c>
      <c r="J2041" s="0" t="s">
        <v>6824</v>
      </c>
      <c r="K2041" s="0" t="s">
        <v>6825</v>
      </c>
      <c r="L2041" s="0" t="str">
        <f aca="false">HYPERLINK("https://www.ncbi.nlm.nih.gov/nuccore/CP000058.1?report=graph&amp;tracks=[key:gene_model_track,Options:GeneOnly]&amp;mk=635063:635082|offset_6|00cc00,635106:635125|offset_49|444444,635157:635176|offset_100|444444,635191:635210|offset_134|444444&amp;v=634862:635410&amp;c=444444", "offset 6")</f>
        <v>offset 6</v>
      </c>
    </row>
    <row r="2042" customFormat="false" ht="12.8" hidden="false" customHeight="false" outlineLevel="0" collapsed="false">
      <c r="A2042" s="0" t="s">
        <v>12</v>
      </c>
      <c r="B2042" s="0" t="n">
        <v>635105</v>
      </c>
      <c r="C2042" s="0" t="n">
        <v>635125</v>
      </c>
      <c r="D2042" s="0" t="s">
        <v>6822</v>
      </c>
      <c r="E2042" s="0" t="s">
        <v>75</v>
      </c>
      <c r="F2042" s="0" t="s">
        <v>15</v>
      </c>
      <c r="G2042" s="0" t="s">
        <v>16</v>
      </c>
      <c r="H2042" s="0" t="n">
        <v>49</v>
      </c>
      <c r="I2042" s="0" t="s">
        <v>6826</v>
      </c>
      <c r="J2042" s="0" t="s">
        <v>6827</v>
      </c>
      <c r="K2042" s="0" t="s">
        <v>6828</v>
      </c>
      <c r="L2042" s="0" t="str">
        <f aca="false">HYPERLINK("https://www.ncbi.nlm.nih.gov/nuccore/CP000058.1?report=graph&amp;tracks=[key:gene_model_track,Options:GeneOnly]&amp;mk=635063:635082|offset_6|444444,635106:635125|offset_49|00cc00,635157:635176|offset_100|444444,635191:635210|offset_134|444444&amp;v=634862:635410&amp;c=444444", "offset 49")</f>
        <v>offset 49</v>
      </c>
    </row>
    <row r="2043" customFormat="false" ht="12.8" hidden="false" customHeight="false" outlineLevel="0" collapsed="false">
      <c r="A2043" s="0" t="s">
        <v>12</v>
      </c>
      <c r="B2043" s="0" t="n">
        <v>635156</v>
      </c>
      <c r="C2043" s="0" t="n">
        <v>635176</v>
      </c>
      <c r="D2043" s="0" t="s">
        <v>6822</v>
      </c>
      <c r="E2043" s="0" t="s">
        <v>75</v>
      </c>
      <c r="F2043" s="0" t="s">
        <v>15</v>
      </c>
      <c r="G2043" s="0" t="s">
        <v>36</v>
      </c>
      <c r="H2043" s="0" t="n">
        <v>100</v>
      </c>
      <c r="I2043" s="0" t="s">
        <v>6829</v>
      </c>
      <c r="J2043" s="0" t="s">
        <v>6830</v>
      </c>
      <c r="K2043" s="0" t="s">
        <v>6831</v>
      </c>
      <c r="L2043" s="0" t="str">
        <f aca="false">HYPERLINK("https://www.ncbi.nlm.nih.gov/nuccore/CP000058.1?report=graph&amp;tracks=[key:gene_model_track,Options:GeneOnly]&amp;mk=635063:635082|offset_6|444444,635106:635125|offset_49|444444,635157:635176|offset_100|00cc00,635191:635210|offset_134|444444&amp;v=634862:635410&amp;c=444444", "offset 100")</f>
        <v>offset 100</v>
      </c>
    </row>
    <row r="2044" customFormat="false" ht="12.8" hidden="false" customHeight="false" outlineLevel="0" collapsed="false">
      <c r="A2044" s="0" t="s">
        <v>12</v>
      </c>
      <c r="B2044" s="0" t="n">
        <v>635190</v>
      </c>
      <c r="C2044" s="0" t="n">
        <v>635210</v>
      </c>
      <c r="D2044" s="0" t="s">
        <v>6822</v>
      </c>
      <c r="E2044" s="0" t="s">
        <v>75</v>
      </c>
      <c r="F2044" s="0" t="s">
        <v>15</v>
      </c>
      <c r="G2044" s="0" t="s">
        <v>20</v>
      </c>
      <c r="H2044" s="0" t="n">
        <v>134</v>
      </c>
      <c r="I2044" s="0" t="s">
        <v>6832</v>
      </c>
      <c r="J2044" s="0" t="s">
        <v>6833</v>
      </c>
      <c r="K2044" s="0" t="s">
        <v>6834</v>
      </c>
      <c r="L2044" s="0" t="str">
        <f aca="false">HYPERLINK("https://www.ncbi.nlm.nih.gov/nuccore/CP000058.1?report=graph&amp;tracks=[key:gene_model_track,Options:GeneOnly]&amp;mk=635063:635082|offset_6|444444,635106:635125|offset_49|444444,635157:635176|offset_100|444444,635191:635210|offset_134|00cc00&amp;v=634862:635410&amp;c=444444", "offset 134")</f>
        <v>offset 134</v>
      </c>
    </row>
    <row r="2045" customFormat="false" ht="12.8" hidden="false" customHeight="false" outlineLevel="0" collapsed="false">
      <c r="A2045" s="0" t="s">
        <v>12</v>
      </c>
      <c r="B2045" s="0" t="n">
        <v>635969</v>
      </c>
      <c r="C2045" s="0" t="n">
        <v>635989</v>
      </c>
      <c r="D2045" s="0" t="s">
        <v>6835</v>
      </c>
      <c r="E2045" s="0" t="s">
        <v>75</v>
      </c>
      <c r="F2045" s="0" t="s">
        <v>15</v>
      </c>
      <c r="G2045" s="0" t="s">
        <v>20</v>
      </c>
      <c r="H2045" s="0" t="n">
        <v>18</v>
      </c>
      <c r="I2045" s="0" t="s">
        <v>6836</v>
      </c>
      <c r="J2045" s="0" t="s">
        <v>6837</v>
      </c>
      <c r="K2045" s="0" t="s">
        <v>6838</v>
      </c>
      <c r="L2045" s="0" t="str">
        <f aca="false">HYPERLINK("https://www.ncbi.nlm.nih.gov/nuccore/CP000058.1?report=graph&amp;tracks=[key:gene_model_track,Options:GeneOnly]&amp;mk=635970:635989|offset_18|00cc00,636007:636026|offset_55|444444,636034:636053|offset_82|444444,636077:636096|offset_125|444444&amp;v=635769:636296&amp;c=444444", "offset 18")</f>
        <v>offset 18</v>
      </c>
    </row>
    <row r="2046" customFormat="false" ht="12.8" hidden="false" customHeight="false" outlineLevel="0" collapsed="false">
      <c r="A2046" s="0" t="s">
        <v>12</v>
      </c>
      <c r="B2046" s="0" t="n">
        <v>636006</v>
      </c>
      <c r="C2046" s="0" t="n">
        <v>636026</v>
      </c>
      <c r="D2046" s="0" t="s">
        <v>6835</v>
      </c>
      <c r="E2046" s="0" t="s">
        <v>75</v>
      </c>
      <c r="F2046" s="0" t="s">
        <v>15</v>
      </c>
      <c r="G2046" s="0" t="s">
        <v>36</v>
      </c>
      <c r="H2046" s="0" t="n">
        <v>55</v>
      </c>
      <c r="I2046" s="0" t="s">
        <v>6839</v>
      </c>
      <c r="J2046" s="0" t="s">
        <v>6840</v>
      </c>
      <c r="K2046" s="0" t="s">
        <v>6841</v>
      </c>
      <c r="L2046" s="0" t="str">
        <f aca="false">HYPERLINK("https://www.ncbi.nlm.nih.gov/nuccore/CP000058.1?report=graph&amp;tracks=[key:gene_model_track,Options:GeneOnly]&amp;mk=635970:635989|offset_18|444444,636007:636026|offset_55|00cc00,636034:636053|offset_82|444444,636077:636096|offset_125|444444&amp;v=635769:636296&amp;c=444444", "offset 55")</f>
        <v>offset 55</v>
      </c>
    </row>
    <row r="2047" customFormat="false" ht="12.8" hidden="false" customHeight="false" outlineLevel="0" collapsed="false">
      <c r="A2047" s="0" t="s">
        <v>12</v>
      </c>
      <c r="B2047" s="0" t="n">
        <v>636033</v>
      </c>
      <c r="C2047" s="0" t="n">
        <v>636053</v>
      </c>
      <c r="D2047" s="0" t="s">
        <v>6835</v>
      </c>
      <c r="E2047" s="0" t="s">
        <v>75</v>
      </c>
      <c r="F2047" s="0" t="s">
        <v>15</v>
      </c>
      <c r="G2047" s="0" t="s">
        <v>16</v>
      </c>
      <c r="H2047" s="0" t="n">
        <v>82</v>
      </c>
      <c r="I2047" s="0" t="s">
        <v>6842</v>
      </c>
      <c r="J2047" s="0" t="s">
        <v>6843</v>
      </c>
      <c r="K2047" s="0" t="s">
        <v>6844</v>
      </c>
      <c r="L2047" s="0" t="str">
        <f aca="false">HYPERLINK("https://www.ncbi.nlm.nih.gov/nuccore/CP000058.1?report=graph&amp;tracks=[key:gene_model_track,Options:GeneOnly]&amp;mk=635970:635989|offset_18|444444,636007:636026|offset_55|444444,636034:636053|offset_82|00cc00,636077:636096|offset_125|444444&amp;v=635769:636296&amp;c=444444", "offset 82")</f>
        <v>offset 82</v>
      </c>
    </row>
    <row r="2048" customFormat="false" ht="12.8" hidden="false" customHeight="false" outlineLevel="0" collapsed="false">
      <c r="A2048" s="0" t="s">
        <v>12</v>
      </c>
      <c r="B2048" s="0" t="n">
        <v>636076</v>
      </c>
      <c r="C2048" s="0" t="n">
        <v>636096</v>
      </c>
      <c r="D2048" s="0" t="s">
        <v>6835</v>
      </c>
      <c r="E2048" s="0" t="s">
        <v>75</v>
      </c>
      <c r="F2048" s="0" t="s">
        <v>15</v>
      </c>
      <c r="G2048" s="0" t="s">
        <v>36</v>
      </c>
      <c r="H2048" s="0" t="n">
        <v>125</v>
      </c>
      <c r="I2048" s="0" t="s">
        <v>6845</v>
      </c>
      <c r="J2048" s="0" t="s">
        <v>6846</v>
      </c>
      <c r="K2048" s="0" t="s">
        <v>6847</v>
      </c>
      <c r="L2048" s="0" t="str">
        <f aca="false">HYPERLINK("https://www.ncbi.nlm.nih.gov/nuccore/CP000058.1?report=graph&amp;tracks=[key:gene_model_track,Options:GeneOnly]&amp;mk=635970:635989|offset_18|444444,636007:636026|offset_55|444444,636034:636053|offset_82|444444,636077:636096|offset_125|00cc00&amp;v=635769:636296&amp;c=444444", "offset 125")</f>
        <v>offset 125</v>
      </c>
    </row>
    <row r="2049" customFormat="false" ht="12.8" hidden="false" customHeight="false" outlineLevel="0" collapsed="false">
      <c r="A2049" s="0" t="s">
        <v>12</v>
      </c>
      <c r="B2049" s="0" t="n">
        <v>636645</v>
      </c>
      <c r="C2049" s="0" t="n">
        <v>636665</v>
      </c>
      <c r="D2049" s="0" t="s">
        <v>6848</v>
      </c>
      <c r="E2049" s="0" t="s">
        <v>6849</v>
      </c>
      <c r="F2049" s="0" t="s">
        <v>15</v>
      </c>
      <c r="G2049" s="0" t="s">
        <v>36</v>
      </c>
      <c r="H2049" s="0" t="n">
        <v>0</v>
      </c>
      <c r="I2049" s="0" t="s">
        <v>6850</v>
      </c>
      <c r="J2049" s="0" t="s">
        <v>6851</v>
      </c>
      <c r="K2049" s="0" t="s">
        <v>6852</v>
      </c>
      <c r="L2049" s="0" t="str">
        <f aca="false">HYPERLINK("https://www.ncbi.nlm.nih.gov/nuccore/CP000058.1?report=graph&amp;tracks=[key:gene_model_track,Options:GeneOnly]&amp;mk=636646:636665|offset_0|00cc00,636686:636705|offset_40|444444,636712:636731|offset_66|444444,636740:636759|offset_94|444444&amp;v=636445:636959&amp;c=444444", "offset 0")</f>
        <v>offset 0</v>
      </c>
    </row>
    <row r="2050" customFormat="false" ht="12.8" hidden="false" customHeight="false" outlineLevel="0" collapsed="false">
      <c r="A2050" s="0" t="s">
        <v>12</v>
      </c>
      <c r="B2050" s="0" t="n">
        <v>636685</v>
      </c>
      <c r="C2050" s="0" t="n">
        <v>636705</v>
      </c>
      <c r="D2050" s="0" t="s">
        <v>6848</v>
      </c>
      <c r="E2050" s="0" t="s">
        <v>6849</v>
      </c>
      <c r="F2050" s="0" t="s">
        <v>15</v>
      </c>
      <c r="G2050" s="0" t="s">
        <v>32</v>
      </c>
      <c r="H2050" s="0" t="n">
        <v>40</v>
      </c>
      <c r="I2050" s="0" t="s">
        <v>6853</v>
      </c>
      <c r="J2050" s="0" t="s">
        <v>6854</v>
      </c>
      <c r="K2050" s="0" t="s">
        <v>6855</v>
      </c>
      <c r="L2050" s="0" t="str">
        <f aca="false">HYPERLINK("https://www.ncbi.nlm.nih.gov/nuccore/CP000058.1?report=graph&amp;tracks=[key:gene_model_track,Options:GeneOnly]&amp;mk=636646:636665|offset_0|444444,636686:636705|offset_40|00cc00,636712:636731|offset_66|444444,636740:636759|offset_94|444444&amp;v=636445:636959&amp;c=444444", "offset 40")</f>
        <v>offset 40</v>
      </c>
    </row>
    <row r="2051" customFormat="false" ht="12.8" hidden="false" customHeight="false" outlineLevel="0" collapsed="false">
      <c r="A2051" s="0" t="s">
        <v>12</v>
      </c>
      <c r="B2051" s="0" t="n">
        <v>636711</v>
      </c>
      <c r="C2051" s="0" t="n">
        <v>636731</v>
      </c>
      <c r="D2051" s="0" t="s">
        <v>6848</v>
      </c>
      <c r="E2051" s="0" t="s">
        <v>6849</v>
      </c>
      <c r="F2051" s="0" t="s">
        <v>15</v>
      </c>
      <c r="G2051" s="0" t="s">
        <v>16</v>
      </c>
      <c r="H2051" s="0" t="n">
        <v>66</v>
      </c>
      <c r="I2051" s="0" t="s">
        <v>6856</v>
      </c>
      <c r="J2051" s="0" t="s">
        <v>6857</v>
      </c>
      <c r="K2051" s="0" t="s">
        <v>6858</v>
      </c>
      <c r="L2051" s="0" t="str">
        <f aca="false">HYPERLINK("https://www.ncbi.nlm.nih.gov/nuccore/CP000058.1?report=graph&amp;tracks=[key:gene_model_track,Options:GeneOnly]&amp;mk=636646:636665|offset_0|444444,636686:636705|offset_40|444444,636712:636731|offset_66|00cc00,636740:636759|offset_94|444444&amp;v=636445:636959&amp;c=444444", "offset 66")</f>
        <v>offset 66</v>
      </c>
    </row>
    <row r="2052" customFormat="false" ht="12.8" hidden="false" customHeight="false" outlineLevel="0" collapsed="false">
      <c r="A2052" s="0" t="s">
        <v>12</v>
      </c>
      <c r="B2052" s="0" t="n">
        <v>636739</v>
      </c>
      <c r="C2052" s="0" t="n">
        <v>636759</v>
      </c>
      <c r="D2052" s="0" t="s">
        <v>6848</v>
      </c>
      <c r="E2052" s="0" t="s">
        <v>6849</v>
      </c>
      <c r="F2052" s="0" t="s">
        <v>15</v>
      </c>
      <c r="G2052" s="0" t="s">
        <v>16</v>
      </c>
      <c r="H2052" s="0" t="n">
        <v>94</v>
      </c>
      <c r="I2052" s="0" t="s">
        <v>6859</v>
      </c>
      <c r="J2052" s="0" t="s">
        <v>6860</v>
      </c>
      <c r="K2052" s="0" t="s">
        <v>6861</v>
      </c>
      <c r="L2052" s="0" t="str">
        <f aca="false">HYPERLINK("https://www.ncbi.nlm.nih.gov/nuccore/CP000058.1?report=graph&amp;tracks=[key:gene_model_track,Options:GeneOnly]&amp;mk=636646:636665|offset_0|444444,636686:636705|offset_40|444444,636712:636731|offset_66|444444,636740:636759|offset_94|00cc00&amp;v=636445:636959&amp;c=444444", "offset 94")</f>
        <v>offset 94</v>
      </c>
    </row>
    <row r="2053" customFormat="false" ht="12.8" hidden="false" customHeight="false" outlineLevel="0" collapsed="false">
      <c r="A2053" s="0" t="s">
        <v>12</v>
      </c>
      <c r="B2053" s="0" t="n">
        <v>638559</v>
      </c>
      <c r="C2053" s="0" t="n">
        <v>638579</v>
      </c>
      <c r="D2053" s="0" t="s">
        <v>6862</v>
      </c>
      <c r="E2053" s="0" t="s">
        <v>75</v>
      </c>
      <c r="F2053" s="0" t="s">
        <v>15</v>
      </c>
      <c r="G2053" s="0" t="s">
        <v>20</v>
      </c>
      <c r="H2053" s="0" t="n">
        <v>13</v>
      </c>
      <c r="I2053" s="0" t="s">
        <v>6863</v>
      </c>
      <c r="J2053" s="0" t="s">
        <v>6864</v>
      </c>
      <c r="K2053" s="0" t="s">
        <v>6865</v>
      </c>
      <c r="L2053" s="0" t="str">
        <f aca="false">HYPERLINK("https://www.ncbi.nlm.nih.gov/nuccore/CP000058.1?report=graph&amp;tracks=[key:gene_model_track,Options:GeneOnly]&amp;mk=638560:638579|offset_13|00cc00,638592:638611|offset_45|444444,638618:638637|offset_71|444444,638639:638658|offset_92|444444&amp;v=638359:638858&amp;c=444444", "offset 13")</f>
        <v>offset 13</v>
      </c>
    </row>
    <row r="2054" customFormat="false" ht="12.8" hidden="false" customHeight="false" outlineLevel="0" collapsed="false">
      <c r="A2054" s="0" t="s">
        <v>12</v>
      </c>
      <c r="B2054" s="0" t="n">
        <v>638591</v>
      </c>
      <c r="C2054" s="0" t="n">
        <v>638611</v>
      </c>
      <c r="D2054" s="0" t="s">
        <v>6862</v>
      </c>
      <c r="E2054" s="0" t="s">
        <v>75</v>
      </c>
      <c r="F2054" s="0" t="s">
        <v>15</v>
      </c>
      <c r="G2054" s="0" t="s">
        <v>16</v>
      </c>
      <c r="H2054" s="0" t="n">
        <v>45</v>
      </c>
      <c r="I2054" s="0" t="s">
        <v>6866</v>
      </c>
      <c r="J2054" s="0" t="s">
        <v>6867</v>
      </c>
      <c r="K2054" s="0" t="s">
        <v>6868</v>
      </c>
      <c r="L2054" s="0" t="str">
        <f aca="false">HYPERLINK("https://www.ncbi.nlm.nih.gov/nuccore/CP000058.1?report=graph&amp;tracks=[key:gene_model_track,Options:GeneOnly]&amp;mk=638560:638579|offset_13|444444,638592:638611|offset_45|00cc00,638618:638637|offset_71|444444,638639:638658|offset_92|444444&amp;v=638359:638858&amp;c=444444", "offset 45")</f>
        <v>offset 45</v>
      </c>
    </row>
    <row r="2055" customFormat="false" ht="12.8" hidden="false" customHeight="false" outlineLevel="0" collapsed="false">
      <c r="A2055" s="0" t="s">
        <v>12</v>
      </c>
      <c r="B2055" s="0" t="n">
        <v>638617</v>
      </c>
      <c r="C2055" s="0" t="n">
        <v>638637</v>
      </c>
      <c r="D2055" s="0" t="s">
        <v>6862</v>
      </c>
      <c r="E2055" s="0" t="s">
        <v>75</v>
      </c>
      <c r="F2055" s="0" t="s">
        <v>15</v>
      </c>
      <c r="G2055" s="0" t="s">
        <v>20</v>
      </c>
      <c r="H2055" s="0" t="n">
        <v>71</v>
      </c>
      <c r="I2055" s="0" t="s">
        <v>6869</v>
      </c>
      <c r="J2055" s="0" t="s">
        <v>6870</v>
      </c>
      <c r="K2055" s="0" t="s">
        <v>6871</v>
      </c>
      <c r="L2055" s="0" t="str">
        <f aca="false">HYPERLINK("https://www.ncbi.nlm.nih.gov/nuccore/CP000058.1?report=graph&amp;tracks=[key:gene_model_track,Options:GeneOnly]&amp;mk=638560:638579|offset_13|444444,638592:638611|offset_45|444444,638618:638637|offset_71|00cc00,638639:638658|offset_92|444444&amp;v=638359:638858&amp;c=444444", "offset 71")</f>
        <v>offset 71</v>
      </c>
    </row>
    <row r="2056" customFormat="false" ht="12.8" hidden="false" customHeight="false" outlineLevel="0" collapsed="false">
      <c r="A2056" s="0" t="s">
        <v>12</v>
      </c>
      <c r="B2056" s="0" t="n">
        <v>638638</v>
      </c>
      <c r="C2056" s="0" t="n">
        <v>638658</v>
      </c>
      <c r="D2056" s="0" t="s">
        <v>6862</v>
      </c>
      <c r="E2056" s="0" t="s">
        <v>75</v>
      </c>
      <c r="F2056" s="0" t="s">
        <v>15</v>
      </c>
      <c r="G2056" s="0" t="s">
        <v>36</v>
      </c>
      <c r="H2056" s="0" t="n">
        <v>92</v>
      </c>
      <c r="I2056" s="0" t="s">
        <v>6872</v>
      </c>
      <c r="J2056" s="0" t="s">
        <v>6873</v>
      </c>
      <c r="K2056" s="0" t="s">
        <v>6874</v>
      </c>
      <c r="L2056" s="0" t="str">
        <f aca="false">HYPERLINK("https://www.ncbi.nlm.nih.gov/nuccore/CP000058.1?report=graph&amp;tracks=[key:gene_model_track,Options:GeneOnly]&amp;mk=638560:638579|offset_13|444444,638592:638611|offset_45|444444,638618:638637|offset_71|444444,638639:638658|offset_92|00cc00&amp;v=638359:638858&amp;c=444444", "offset 92")</f>
        <v>offset 92</v>
      </c>
    </row>
    <row r="2057" customFormat="false" ht="12.8" hidden="false" customHeight="false" outlineLevel="0" collapsed="false">
      <c r="A2057" s="0" t="s">
        <v>12</v>
      </c>
      <c r="B2057" s="0" t="n">
        <v>639528</v>
      </c>
      <c r="C2057" s="0" t="n">
        <v>639548</v>
      </c>
      <c r="D2057" s="0" t="s">
        <v>6875</v>
      </c>
      <c r="E2057" s="0" t="s">
        <v>75</v>
      </c>
      <c r="F2057" s="0" t="s">
        <v>15</v>
      </c>
      <c r="G2057" s="0" t="s">
        <v>32</v>
      </c>
      <c r="H2057" s="0" t="n">
        <v>8</v>
      </c>
      <c r="I2057" s="0" t="s">
        <v>6876</v>
      </c>
      <c r="J2057" s="0" t="s">
        <v>6877</v>
      </c>
      <c r="K2057" s="0" t="s">
        <v>6878</v>
      </c>
      <c r="L2057" s="0" t="str">
        <f aca="false">HYPERLINK("https://www.ncbi.nlm.nih.gov/nuccore/CP000058.1?report=graph&amp;tracks=[key:gene_model_track,Options:GeneOnly]&amp;mk=639529:639548|offset_8|00cc00,639552:639571|offset_31|444444,639588:639607|offset_67|444444,639652:639671|offset_131|444444&amp;v=639328:639871&amp;c=444444", "offset 8")</f>
        <v>offset 8</v>
      </c>
    </row>
    <row r="2058" customFormat="false" ht="12.8" hidden="false" customHeight="false" outlineLevel="0" collapsed="false">
      <c r="A2058" s="0" t="s">
        <v>12</v>
      </c>
      <c r="B2058" s="0" t="n">
        <v>639551</v>
      </c>
      <c r="C2058" s="0" t="n">
        <v>639571</v>
      </c>
      <c r="D2058" s="0" t="s">
        <v>6875</v>
      </c>
      <c r="E2058" s="0" t="s">
        <v>75</v>
      </c>
      <c r="F2058" s="0" t="s">
        <v>15</v>
      </c>
      <c r="G2058" s="0" t="s">
        <v>16</v>
      </c>
      <c r="H2058" s="0" t="n">
        <v>31</v>
      </c>
      <c r="I2058" s="0" t="s">
        <v>6879</v>
      </c>
      <c r="J2058" s="0" t="s">
        <v>6880</v>
      </c>
      <c r="K2058" s="0" t="s">
        <v>6881</v>
      </c>
      <c r="L2058" s="0" t="str">
        <f aca="false">HYPERLINK("https://www.ncbi.nlm.nih.gov/nuccore/CP000058.1?report=graph&amp;tracks=[key:gene_model_track,Options:GeneOnly]&amp;mk=639529:639548|offset_8|444444,639552:639571|offset_31|00cc00,639588:639607|offset_67|444444,639652:639671|offset_131|444444&amp;v=639328:639871&amp;c=444444", "offset 31")</f>
        <v>offset 31</v>
      </c>
    </row>
    <row r="2059" customFormat="false" ht="12.8" hidden="false" customHeight="false" outlineLevel="0" collapsed="false">
      <c r="A2059" s="0" t="s">
        <v>12</v>
      </c>
      <c r="B2059" s="0" t="n">
        <v>639587</v>
      </c>
      <c r="C2059" s="0" t="n">
        <v>639607</v>
      </c>
      <c r="D2059" s="0" t="s">
        <v>6875</v>
      </c>
      <c r="E2059" s="0" t="s">
        <v>75</v>
      </c>
      <c r="F2059" s="0" t="s">
        <v>15</v>
      </c>
      <c r="G2059" s="0" t="s">
        <v>20</v>
      </c>
      <c r="H2059" s="0" t="n">
        <v>67</v>
      </c>
      <c r="I2059" s="0" t="s">
        <v>6882</v>
      </c>
      <c r="J2059" s="0" t="s">
        <v>6883</v>
      </c>
      <c r="K2059" s="0" t="s">
        <v>6884</v>
      </c>
      <c r="L2059" s="0" t="str">
        <f aca="false">HYPERLINK("https://www.ncbi.nlm.nih.gov/nuccore/CP000058.1?report=graph&amp;tracks=[key:gene_model_track,Options:GeneOnly]&amp;mk=639529:639548|offset_8|444444,639552:639571|offset_31|444444,639588:639607|offset_67|00cc00,639652:639671|offset_131|444444&amp;v=639328:639871&amp;c=444444", "offset 67")</f>
        <v>offset 67</v>
      </c>
    </row>
    <row r="2060" customFormat="false" ht="12.8" hidden="false" customHeight="false" outlineLevel="0" collapsed="false">
      <c r="A2060" s="0" t="s">
        <v>12</v>
      </c>
      <c r="B2060" s="0" t="n">
        <v>639651</v>
      </c>
      <c r="C2060" s="0" t="n">
        <v>639671</v>
      </c>
      <c r="D2060" s="0" t="s">
        <v>6875</v>
      </c>
      <c r="E2060" s="0" t="s">
        <v>75</v>
      </c>
      <c r="F2060" s="0" t="s">
        <v>15</v>
      </c>
      <c r="G2060" s="0" t="s">
        <v>36</v>
      </c>
      <c r="H2060" s="0" t="n">
        <v>131</v>
      </c>
      <c r="I2060" s="0" t="s">
        <v>6885</v>
      </c>
      <c r="J2060" s="0" t="s">
        <v>6886</v>
      </c>
      <c r="K2060" s="0" t="s">
        <v>6887</v>
      </c>
      <c r="L2060" s="0" t="str">
        <f aca="false">HYPERLINK("https://www.ncbi.nlm.nih.gov/nuccore/CP000058.1?report=graph&amp;tracks=[key:gene_model_track,Options:GeneOnly]&amp;mk=639529:639548|offset_8|444444,639552:639571|offset_31|444444,639588:639607|offset_67|444444,639652:639671|offset_131|00cc00&amp;v=639328:639871&amp;c=444444", "offset 131")</f>
        <v>offset 131</v>
      </c>
    </row>
    <row r="2061" customFormat="false" ht="12.8" hidden="false" customHeight="false" outlineLevel="0" collapsed="false">
      <c r="A2061" s="0" t="s">
        <v>12</v>
      </c>
      <c r="B2061" s="0" t="n">
        <v>640077</v>
      </c>
      <c r="C2061" s="0" t="n">
        <v>640097</v>
      </c>
      <c r="D2061" s="0" t="s">
        <v>6888</v>
      </c>
      <c r="E2061" s="0" t="s">
        <v>6889</v>
      </c>
      <c r="F2061" s="0" t="s">
        <v>15</v>
      </c>
      <c r="G2061" s="0" t="s">
        <v>36</v>
      </c>
      <c r="H2061" s="0" t="n">
        <v>13</v>
      </c>
      <c r="I2061" s="0" t="s">
        <v>6890</v>
      </c>
      <c r="J2061" s="0" t="s">
        <v>6891</v>
      </c>
      <c r="K2061" s="0" t="s">
        <v>6892</v>
      </c>
      <c r="L2061" s="0" t="str">
        <f aca="false">HYPERLINK("https://www.ncbi.nlm.nih.gov/nuccore/CP000058.1?report=graph&amp;tracks=[key:gene_model_track,Options:GeneOnly]&amp;mk=640078:640097|offset_13|00cc00,640109:640128|offset_44|444444,640129:640148|offset_64|444444,640153:640172|offset_88|444444&amp;v=639877:640372&amp;c=444444", "offset 13")</f>
        <v>offset 13</v>
      </c>
    </row>
    <row r="2062" customFormat="false" ht="12.8" hidden="false" customHeight="false" outlineLevel="0" collapsed="false">
      <c r="A2062" s="0" t="s">
        <v>12</v>
      </c>
      <c r="B2062" s="0" t="n">
        <v>640108</v>
      </c>
      <c r="C2062" s="0" t="n">
        <v>640128</v>
      </c>
      <c r="D2062" s="0" t="s">
        <v>6888</v>
      </c>
      <c r="E2062" s="0" t="s">
        <v>6889</v>
      </c>
      <c r="F2062" s="0" t="s">
        <v>15</v>
      </c>
      <c r="G2062" s="0" t="s">
        <v>16</v>
      </c>
      <c r="H2062" s="0" t="n">
        <v>44</v>
      </c>
      <c r="I2062" s="0" t="s">
        <v>6893</v>
      </c>
      <c r="J2062" s="0" t="s">
        <v>6894</v>
      </c>
      <c r="K2062" s="0" t="s">
        <v>6895</v>
      </c>
      <c r="L2062" s="0" t="str">
        <f aca="false">HYPERLINK("https://www.ncbi.nlm.nih.gov/nuccore/CP000058.1?report=graph&amp;tracks=[key:gene_model_track,Options:GeneOnly]&amp;mk=640078:640097|offset_13|444444,640109:640128|offset_44|00cc00,640129:640148|offset_64|444444,640153:640172|offset_88|444444&amp;v=639877:640372&amp;c=444444", "offset 44")</f>
        <v>offset 44</v>
      </c>
    </row>
    <row r="2063" customFormat="false" ht="12.8" hidden="false" customHeight="false" outlineLevel="0" collapsed="false">
      <c r="A2063" s="0" t="s">
        <v>12</v>
      </c>
      <c r="B2063" s="0" t="n">
        <v>640128</v>
      </c>
      <c r="C2063" s="0" t="n">
        <v>640148</v>
      </c>
      <c r="D2063" s="0" t="s">
        <v>6888</v>
      </c>
      <c r="E2063" s="0" t="s">
        <v>6889</v>
      </c>
      <c r="F2063" s="0" t="s">
        <v>15</v>
      </c>
      <c r="G2063" s="0" t="s">
        <v>16</v>
      </c>
      <c r="H2063" s="0" t="n">
        <v>64</v>
      </c>
      <c r="I2063" s="0" t="s">
        <v>6896</v>
      </c>
      <c r="J2063" s="0" t="s">
        <v>6897</v>
      </c>
      <c r="K2063" s="0" t="s">
        <v>6898</v>
      </c>
      <c r="L2063" s="0" t="str">
        <f aca="false">HYPERLINK("https://www.ncbi.nlm.nih.gov/nuccore/CP000058.1?report=graph&amp;tracks=[key:gene_model_track,Options:GeneOnly]&amp;mk=640078:640097|offset_13|444444,640109:640128|offset_44|444444,640129:640148|offset_64|00cc00,640153:640172|offset_88|444444&amp;v=639877:640372&amp;c=444444", "offset 64")</f>
        <v>offset 64</v>
      </c>
    </row>
    <row r="2064" customFormat="false" ht="12.8" hidden="false" customHeight="false" outlineLevel="0" collapsed="false">
      <c r="A2064" s="0" t="s">
        <v>12</v>
      </c>
      <c r="B2064" s="0" t="n">
        <v>640152</v>
      </c>
      <c r="C2064" s="0" t="n">
        <v>640172</v>
      </c>
      <c r="D2064" s="0" t="s">
        <v>6888</v>
      </c>
      <c r="E2064" s="0" t="s">
        <v>6889</v>
      </c>
      <c r="F2064" s="0" t="s">
        <v>15</v>
      </c>
      <c r="G2064" s="0" t="s">
        <v>32</v>
      </c>
      <c r="H2064" s="0" t="n">
        <v>88</v>
      </c>
      <c r="I2064" s="0" t="s">
        <v>6899</v>
      </c>
      <c r="J2064" s="0" t="s">
        <v>6900</v>
      </c>
      <c r="K2064" s="0" t="s">
        <v>6901</v>
      </c>
      <c r="L2064" s="0" t="str">
        <f aca="false">HYPERLINK("https://www.ncbi.nlm.nih.gov/nuccore/CP000058.1?report=graph&amp;tracks=[key:gene_model_track,Options:GeneOnly]&amp;mk=640078:640097|offset_13|444444,640109:640128|offset_44|444444,640129:640148|offset_64|444444,640153:640172|offset_88|00cc00&amp;v=639877:640372&amp;c=444444", "offset 88")</f>
        <v>offset 88</v>
      </c>
    </row>
    <row r="2065" customFormat="false" ht="12.8" hidden="false" customHeight="false" outlineLevel="0" collapsed="false">
      <c r="A2065" s="0" t="s">
        <v>12</v>
      </c>
      <c r="B2065" s="0" t="n">
        <v>642520</v>
      </c>
      <c r="C2065" s="0" t="n">
        <v>642540</v>
      </c>
      <c r="D2065" s="0" t="s">
        <v>6902</v>
      </c>
      <c r="E2065" s="0" t="s">
        <v>75</v>
      </c>
      <c r="F2065" s="0" t="s">
        <v>15</v>
      </c>
      <c r="G2065" s="0" t="s">
        <v>20</v>
      </c>
      <c r="H2065" s="0" t="n">
        <v>20</v>
      </c>
      <c r="I2065" s="0" t="s">
        <v>6903</v>
      </c>
      <c r="J2065" s="0" t="s">
        <v>6904</v>
      </c>
      <c r="K2065" s="0" t="s">
        <v>6905</v>
      </c>
      <c r="L2065" s="0" t="str">
        <f aca="false">HYPERLINK("https://www.ncbi.nlm.nih.gov/nuccore/CP000058.1?report=graph&amp;tracks=[key:gene_model_track,Options:GeneOnly]&amp;mk=642521:642540|offset_20|00cc00,642578:642597|offset_77|444444,642615:642634|offset_114|444444,642660:642679|offset_159|444444&amp;v=642320:642879&amp;c=444444", "offset 20")</f>
        <v>offset 20</v>
      </c>
    </row>
    <row r="2066" customFormat="false" ht="12.8" hidden="false" customHeight="false" outlineLevel="0" collapsed="false">
      <c r="A2066" s="0" t="s">
        <v>12</v>
      </c>
      <c r="B2066" s="0" t="n">
        <v>642577</v>
      </c>
      <c r="C2066" s="0" t="n">
        <v>642597</v>
      </c>
      <c r="D2066" s="0" t="s">
        <v>6902</v>
      </c>
      <c r="E2066" s="0" t="s">
        <v>75</v>
      </c>
      <c r="F2066" s="0" t="s">
        <v>15</v>
      </c>
      <c r="G2066" s="0" t="s">
        <v>32</v>
      </c>
      <c r="H2066" s="0" t="n">
        <v>77</v>
      </c>
      <c r="I2066" s="0" t="s">
        <v>6906</v>
      </c>
      <c r="J2066" s="0" t="s">
        <v>6907</v>
      </c>
      <c r="K2066" s="0" t="s">
        <v>6908</v>
      </c>
      <c r="L2066" s="0" t="str">
        <f aca="false">HYPERLINK("https://www.ncbi.nlm.nih.gov/nuccore/CP000058.1?report=graph&amp;tracks=[key:gene_model_track,Options:GeneOnly]&amp;mk=642521:642540|offset_20|444444,642578:642597|offset_77|00cc00,642615:642634|offset_114|444444,642660:642679|offset_159|444444&amp;v=642320:642879&amp;c=444444", "offset 77")</f>
        <v>offset 77</v>
      </c>
    </row>
    <row r="2067" customFormat="false" ht="12.8" hidden="false" customHeight="false" outlineLevel="0" collapsed="false">
      <c r="A2067" s="0" t="s">
        <v>12</v>
      </c>
      <c r="B2067" s="0" t="n">
        <v>642614</v>
      </c>
      <c r="C2067" s="0" t="n">
        <v>642634</v>
      </c>
      <c r="D2067" s="0" t="s">
        <v>6902</v>
      </c>
      <c r="E2067" s="0" t="s">
        <v>75</v>
      </c>
      <c r="F2067" s="0" t="s">
        <v>15</v>
      </c>
      <c r="G2067" s="0" t="s">
        <v>20</v>
      </c>
      <c r="H2067" s="0" t="n">
        <v>114</v>
      </c>
      <c r="I2067" s="0" t="s">
        <v>6909</v>
      </c>
      <c r="J2067" s="0" t="s">
        <v>6910</v>
      </c>
      <c r="K2067" s="0" t="s">
        <v>6911</v>
      </c>
      <c r="L2067" s="0" t="str">
        <f aca="false">HYPERLINK("https://www.ncbi.nlm.nih.gov/nuccore/CP000058.1?report=graph&amp;tracks=[key:gene_model_track,Options:GeneOnly]&amp;mk=642521:642540|offset_20|444444,642578:642597|offset_77|444444,642615:642634|offset_114|00cc00,642660:642679|offset_159|444444&amp;v=642320:642879&amp;c=444444", "offset 114")</f>
        <v>offset 114</v>
      </c>
    </row>
    <row r="2068" customFormat="false" ht="12.8" hidden="false" customHeight="false" outlineLevel="0" collapsed="false">
      <c r="A2068" s="0" t="s">
        <v>12</v>
      </c>
      <c r="B2068" s="0" t="n">
        <v>642659</v>
      </c>
      <c r="C2068" s="0" t="n">
        <v>642679</v>
      </c>
      <c r="D2068" s="0" t="s">
        <v>6902</v>
      </c>
      <c r="E2068" s="0" t="s">
        <v>75</v>
      </c>
      <c r="F2068" s="0" t="s">
        <v>15</v>
      </c>
      <c r="G2068" s="0" t="s">
        <v>20</v>
      </c>
      <c r="H2068" s="0" t="n">
        <v>159</v>
      </c>
      <c r="I2068" s="0" t="s">
        <v>6912</v>
      </c>
      <c r="J2068" s="0" t="s">
        <v>6913</v>
      </c>
      <c r="K2068" s="0" t="s">
        <v>6914</v>
      </c>
      <c r="L2068" s="0" t="str">
        <f aca="false">HYPERLINK("https://www.ncbi.nlm.nih.gov/nuccore/CP000058.1?report=graph&amp;tracks=[key:gene_model_track,Options:GeneOnly]&amp;mk=642521:642540|offset_20|444444,642578:642597|offset_77|444444,642615:642634|offset_114|444444,642660:642679|offset_159|00cc00&amp;v=642320:642879&amp;c=444444", "offset 159")</f>
        <v>offset 159</v>
      </c>
    </row>
    <row r="2069" customFormat="false" ht="12.8" hidden="false" customHeight="false" outlineLevel="0" collapsed="false">
      <c r="A2069" s="0" t="s">
        <v>12</v>
      </c>
      <c r="B2069" s="0" t="n">
        <v>645157</v>
      </c>
      <c r="C2069" s="0" t="n">
        <v>645177</v>
      </c>
      <c r="D2069" s="0" t="s">
        <v>6915</v>
      </c>
      <c r="E2069" s="0" t="s">
        <v>75</v>
      </c>
      <c r="F2069" s="0" t="s">
        <v>90</v>
      </c>
      <c r="G2069" s="0" t="s">
        <v>16</v>
      </c>
      <c r="H2069" s="0" t="n">
        <v>8</v>
      </c>
      <c r="I2069" s="0" t="s">
        <v>6916</v>
      </c>
      <c r="J2069" s="0" t="s">
        <v>6917</v>
      </c>
      <c r="K2069" s="0" t="s">
        <v>6918</v>
      </c>
      <c r="L2069" s="0" t="str">
        <f aca="false">HYPERLINK("https://www.ncbi.nlm.nih.gov/nuccore/CP000058.1?report=graph&amp;tracks=[key:gene_model_track,Options:GeneOnly]&amp;mk=645158:645177|offset_8|00cc00,645138:645157|offset_28|444444,645108:645127|offset_58|444444,645088:645107|offset_78|444444&amp;v=644957:645307&amp;c=444444", "offset 8")</f>
        <v>offset 8</v>
      </c>
    </row>
    <row r="2070" customFormat="false" ht="12.8" hidden="false" customHeight="false" outlineLevel="0" collapsed="false">
      <c r="A2070" s="0" t="s">
        <v>12</v>
      </c>
      <c r="B2070" s="0" t="n">
        <v>645137</v>
      </c>
      <c r="C2070" s="0" t="n">
        <v>645157</v>
      </c>
      <c r="D2070" s="0" t="s">
        <v>6915</v>
      </c>
      <c r="E2070" s="0" t="s">
        <v>75</v>
      </c>
      <c r="F2070" s="0" t="s">
        <v>90</v>
      </c>
      <c r="G2070" s="0" t="s">
        <v>16</v>
      </c>
      <c r="H2070" s="0" t="n">
        <v>28</v>
      </c>
      <c r="I2070" s="0" t="s">
        <v>6919</v>
      </c>
      <c r="J2070" s="0" t="s">
        <v>6920</v>
      </c>
      <c r="K2070" s="0" t="s">
        <v>6921</v>
      </c>
      <c r="L2070" s="0" t="str">
        <f aca="false">HYPERLINK("https://www.ncbi.nlm.nih.gov/nuccore/CP000058.1?report=graph&amp;tracks=[key:gene_model_track,Options:GeneOnly]&amp;mk=645158:645177|offset_8|444444,645138:645157|offset_28|00cc00,645108:645127|offset_58|444444,645088:645107|offset_78|444444&amp;v=644957:645307&amp;c=444444", "offset 28")</f>
        <v>offset 28</v>
      </c>
    </row>
    <row r="2071" customFormat="false" ht="12.8" hidden="false" customHeight="false" outlineLevel="0" collapsed="false">
      <c r="A2071" s="0" t="s">
        <v>12</v>
      </c>
      <c r="B2071" s="0" t="n">
        <v>645107</v>
      </c>
      <c r="C2071" s="0" t="n">
        <v>645127</v>
      </c>
      <c r="D2071" s="0" t="s">
        <v>6915</v>
      </c>
      <c r="E2071" s="0" t="s">
        <v>75</v>
      </c>
      <c r="F2071" s="0" t="s">
        <v>90</v>
      </c>
      <c r="G2071" s="0" t="s">
        <v>36</v>
      </c>
      <c r="H2071" s="0" t="n">
        <v>58</v>
      </c>
      <c r="I2071" s="0" t="s">
        <v>6922</v>
      </c>
      <c r="J2071" s="0" t="s">
        <v>6923</v>
      </c>
      <c r="K2071" s="0" t="s">
        <v>6924</v>
      </c>
      <c r="L2071" s="0" t="str">
        <f aca="false">HYPERLINK("https://www.ncbi.nlm.nih.gov/nuccore/CP000058.1?report=graph&amp;tracks=[key:gene_model_track,Options:GeneOnly]&amp;mk=645158:645177|offset_8|444444,645138:645157|offset_28|444444,645108:645127|offset_58|00cc00,645088:645107|offset_78|444444&amp;v=644957:645307&amp;c=444444", "offset 58")</f>
        <v>offset 58</v>
      </c>
    </row>
    <row r="2072" customFormat="false" ht="12.8" hidden="false" customHeight="false" outlineLevel="0" collapsed="false">
      <c r="A2072" s="0" t="s">
        <v>12</v>
      </c>
      <c r="B2072" s="0" t="n">
        <v>645087</v>
      </c>
      <c r="C2072" s="0" t="n">
        <v>645107</v>
      </c>
      <c r="D2072" s="0" t="s">
        <v>6915</v>
      </c>
      <c r="E2072" s="0" t="s">
        <v>75</v>
      </c>
      <c r="F2072" s="0" t="s">
        <v>90</v>
      </c>
      <c r="G2072" s="0" t="s">
        <v>16</v>
      </c>
      <c r="H2072" s="0" t="n">
        <v>78</v>
      </c>
      <c r="I2072" s="0" t="s">
        <v>6925</v>
      </c>
      <c r="J2072" s="0" t="s">
        <v>6926</v>
      </c>
      <c r="K2072" s="0" t="s">
        <v>6927</v>
      </c>
      <c r="L2072" s="0" t="str">
        <f aca="false">HYPERLINK("https://www.ncbi.nlm.nih.gov/nuccore/CP000058.1?report=graph&amp;tracks=[key:gene_model_track,Options:GeneOnly]&amp;mk=645158:645177|offset_8|444444,645138:645157|offset_28|444444,645108:645127|offset_58|444444,645088:645107|offset_78|00cc00&amp;v=644957:645307&amp;c=444444", "offset 78")</f>
        <v>offset 78</v>
      </c>
    </row>
    <row r="2073" customFormat="false" ht="12.8" hidden="false" customHeight="false" outlineLevel="0" collapsed="false">
      <c r="A2073" s="0" t="s">
        <v>12</v>
      </c>
      <c r="B2073" s="0" t="n">
        <v>645315</v>
      </c>
      <c r="C2073" s="0" t="n">
        <v>645335</v>
      </c>
      <c r="D2073" s="0" t="s">
        <v>6928</v>
      </c>
      <c r="E2073" s="0" t="s">
        <v>75</v>
      </c>
      <c r="F2073" s="0" t="s">
        <v>15</v>
      </c>
      <c r="G2073" s="0" t="s">
        <v>20</v>
      </c>
      <c r="H2073" s="0" t="n">
        <v>1</v>
      </c>
      <c r="I2073" s="0" t="s">
        <v>6929</v>
      </c>
      <c r="J2073" s="0" t="s">
        <v>6930</v>
      </c>
      <c r="K2073" s="0" t="s">
        <v>6931</v>
      </c>
      <c r="L2073" s="0" t="str">
        <f aca="false">HYPERLINK("https://www.ncbi.nlm.nih.gov/nuccore/CP000058.1?report=graph&amp;tracks=[key:gene_model_track,Options:GeneOnly]&amp;mk=645316:645335|offset_1|00cc00,645356:645375|offset_41|444444,645376:645395|offset_61|444444,645437:645456|offset_122|444444&amp;v=645115:645656&amp;c=444444", "offset 1")</f>
        <v>offset 1</v>
      </c>
    </row>
    <row r="2074" customFormat="false" ht="12.8" hidden="false" customHeight="false" outlineLevel="0" collapsed="false">
      <c r="A2074" s="0" t="s">
        <v>12</v>
      </c>
      <c r="B2074" s="0" t="n">
        <v>645355</v>
      </c>
      <c r="C2074" s="0" t="n">
        <v>645375</v>
      </c>
      <c r="D2074" s="0" t="s">
        <v>6928</v>
      </c>
      <c r="E2074" s="0" t="s">
        <v>75</v>
      </c>
      <c r="F2074" s="0" t="s">
        <v>15</v>
      </c>
      <c r="G2074" s="0" t="s">
        <v>16</v>
      </c>
      <c r="H2074" s="0" t="n">
        <v>41</v>
      </c>
      <c r="I2074" s="0" t="s">
        <v>6932</v>
      </c>
      <c r="J2074" s="0" t="s">
        <v>6933</v>
      </c>
      <c r="K2074" s="0" t="s">
        <v>6934</v>
      </c>
      <c r="L2074" s="0" t="str">
        <f aca="false">HYPERLINK("https://www.ncbi.nlm.nih.gov/nuccore/CP000058.1?report=graph&amp;tracks=[key:gene_model_track,Options:GeneOnly]&amp;mk=645316:645335|offset_1|444444,645356:645375|offset_41|00cc00,645376:645395|offset_61|444444,645437:645456|offset_122|444444&amp;v=645115:645656&amp;c=444444", "offset 41")</f>
        <v>offset 41</v>
      </c>
    </row>
    <row r="2075" customFormat="false" ht="12.8" hidden="false" customHeight="false" outlineLevel="0" collapsed="false">
      <c r="A2075" s="0" t="s">
        <v>12</v>
      </c>
      <c r="B2075" s="0" t="n">
        <v>645375</v>
      </c>
      <c r="C2075" s="0" t="n">
        <v>645395</v>
      </c>
      <c r="D2075" s="0" t="s">
        <v>6928</v>
      </c>
      <c r="E2075" s="0" t="s">
        <v>75</v>
      </c>
      <c r="F2075" s="0" t="s">
        <v>15</v>
      </c>
      <c r="G2075" s="0" t="s">
        <v>32</v>
      </c>
      <c r="H2075" s="0" t="n">
        <v>61</v>
      </c>
      <c r="I2075" s="0" t="s">
        <v>6935</v>
      </c>
      <c r="J2075" s="0" t="s">
        <v>6936</v>
      </c>
      <c r="K2075" s="0" t="s">
        <v>6937</v>
      </c>
      <c r="L2075" s="0" t="str">
        <f aca="false">HYPERLINK("https://www.ncbi.nlm.nih.gov/nuccore/CP000058.1?report=graph&amp;tracks=[key:gene_model_track,Options:GeneOnly]&amp;mk=645316:645335|offset_1|444444,645356:645375|offset_41|444444,645376:645395|offset_61|00cc00,645437:645456|offset_122|444444&amp;v=645115:645656&amp;c=444444", "offset 61")</f>
        <v>offset 61</v>
      </c>
    </row>
    <row r="2076" customFormat="false" ht="12.8" hidden="false" customHeight="false" outlineLevel="0" collapsed="false">
      <c r="A2076" s="0" t="s">
        <v>12</v>
      </c>
      <c r="B2076" s="0" t="n">
        <v>645436</v>
      </c>
      <c r="C2076" s="0" t="n">
        <v>645456</v>
      </c>
      <c r="D2076" s="0" t="s">
        <v>6928</v>
      </c>
      <c r="E2076" s="0" t="s">
        <v>75</v>
      </c>
      <c r="F2076" s="0" t="s">
        <v>15</v>
      </c>
      <c r="G2076" s="0" t="s">
        <v>32</v>
      </c>
      <c r="H2076" s="0" t="n">
        <v>122</v>
      </c>
      <c r="I2076" s="0" t="s">
        <v>6938</v>
      </c>
      <c r="J2076" s="0" t="s">
        <v>6939</v>
      </c>
      <c r="K2076" s="0" t="s">
        <v>6940</v>
      </c>
      <c r="L2076" s="0" t="str">
        <f aca="false">HYPERLINK("https://www.ncbi.nlm.nih.gov/nuccore/CP000058.1?report=graph&amp;tracks=[key:gene_model_track,Options:GeneOnly]&amp;mk=645316:645335|offset_1|444444,645356:645375|offset_41|444444,645376:645395|offset_61|444444,645437:645456|offset_122|00cc00&amp;v=645115:645656&amp;c=444444", "offset 122")</f>
        <v>offset 122</v>
      </c>
    </row>
    <row r="2077" customFormat="false" ht="12.8" hidden="false" customHeight="false" outlineLevel="0" collapsed="false">
      <c r="A2077" s="0" t="s">
        <v>12</v>
      </c>
      <c r="B2077" s="0" t="n">
        <v>648217</v>
      </c>
      <c r="C2077" s="0" t="n">
        <v>648237</v>
      </c>
      <c r="D2077" s="0" t="s">
        <v>6941</v>
      </c>
      <c r="E2077" s="0" t="s">
        <v>75</v>
      </c>
      <c r="F2077" s="0" t="s">
        <v>90</v>
      </c>
      <c r="G2077" s="0" t="s">
        <v>32</v>
      </c>
      <c r="H2077" s="0" t="n">
        <v>11</v>
      </c>
      <c r="I2077" s="0" t="s">
        <v>6942</v>
      </c>
      <c r="J2077" s="0" t="s">
        <v>6943</v>
      </c>
      <c r="K2077" s="0" t="s">
        <v>6944</v>
      </c>
      <c r="L2077" s="0" t="str">
        <f aca="false">HYPERLINK("https://www.ncbi.nlm.nih.gov/nuccore/CP000058.1?report=graph&amp;tracks=[key:gene_model_track,Options:GeneOnly]&amp;mk=648218:648237|offset_11|00cc00,648198:648217|offset_31|444444,648177:648196|offset_52|444444,648136:648155|offset_93|444444&amp;v=648017:648355&amp;c=444444", "offset 11")</f>
        <v>offset 11</v>
      </c>
    </row>
    <row r="2078" customFormat="false" ht="12.8" hidden="false" customHeight="false" outlineLevel="0" collapsed="false">
      <c r="A2078" s="0" t="s">
        <v>12</v>
      </c>
      <c r="B2078" s="0" t="n">
        <v>648197</v>
      </c>
      <c r="C2078" s="0" t="n">
        <v>648217</v>
      </c>
      <c r="D2078" s="0" t="s">
        <v>6941</v>
      </c>
      <c r="E2078" s="0" t="s">
        <v>75</v>
      </c>
      <c r="F2078" s="0" t="s">
        <v>90</v>
      </c>
      <c r="G2078" s="0" t="s">
        <v>16</v>
      </c>
      <c r="H2078" s="0" t="n">
        <v>31</v>
      </c>
      <c r="I2078" s="0" t="s">
        <v>6945</v>
      </c>
      <c r="J2078" s="0" t="s">
        <v>6946</v>
      </c>
      <c r="K2078" s="0" t="s">
        <v>6947</v>
      </c>
      <c r="L2078" s="0" t="str">
        <f aca="false">HYPERLINK("https://www.ncbi.nlm.nih.gov/nuccore/CP000058.1?report=graph&amp;tracks=[key:gene_model_track,Options:GeneOnly]&amp;mk=648218:648237|offset_11|444444,648198:648217|offset_31|00cc00,648177:648196|offset_52|444444,648136:648155|offset_93|444444&amp;v=648017:648355&amp;c=444444", "offset 31")</f>
        <v>offset 31</v>
      </c>
    </row>
    <row r="2079" customFormat="false" ht="12.8" hidden="false" customHeight="false" outlineLevel="0" collapsed="false">
      <c r="A2079" s="0" t="s">
        <v>12</v>
      </c>
      <c r="B2079" s="0" t="n">
        <v>648176</v>
      </c>
      <c r="C2079" s="0" t="n">
        <v>648196</v>
      </c>
      <c r="D2079" s="0" t="s">
        <v>6941</v>
      </c>
      <c r="E2079" s="0" t="s">
        <v>75</v>
      </c>
      <c r="F2079" s="0" t="s">
        <v>90</v>
      </c>
      <c r="G2079" s="0" t="s">
        <v>36</v>
      </c>
      <c r="H2079" s="0" t="n">
        <v>52</v>
      </c>
      <c r="I2079" s="0" t="s">
        <v>6948</v>
      </c>
      <c r="J2079" s="0" t="s">
        <v>6949</v>
      </c>
      <c r="K2079" s="0" t="s">
        <v>6950</v>
      </c>
      <c r="L2079" s="0" t="str">
        <f aca="false">HYPERLINK("https://www.ncbi.nlm.nih.gov/nuccore/CP000058.1?report=graph&amp;tracks=[key:gene_model_track,Options:GeneOnly]&amp;mk=648218:648237|offset_11|444444,648198:648217|offset_31|444444,648177:648196|offset_52|00cc00,648136:648155|offset_93|444444&amp;v=648017:648355&amp;c=444444", "offset 52")</f>
        <v>offset 52</v>
      </c>
    </row>
    <row r="2080" customFormat="false" ht="12.8" hidden="false" customHeight="false" outlineLevel="0" collapsed="false">
      <c r="A2080" s="0" t="s">
        <v>12</v>
      </c>
      <c r="B2080" s="0" t="n">
        <v>648135</v>
      </c>
      <c r="C2080" s="0" t="n">
        <v>648155</v>
      </c>
      <c r="D2080" s="0" t="s">
        <v>6941</v>
      </c>
      <c r="E2080" s="0" t="s">
        <v>75</v>
      </c>
      <c r="F2080" s="0" t="s">
        <v>90</v>
      </c>
      <c r="G2080" s="0" t="s">
        <v>36</v>
      </c>
      <c r="H2080" s="0" t="n">
        <v>93</v>
      </c>
      <c r="I2080" s="0" t="s">
        <v>6951</v>
      </c>
      <c r="J2080" s="0" t="s">
        <v>6952</v>
      </c>
      <c r="K2080" s="0" t="s">
        <v>6953</v>
      </c>
      <c r="L2080" s="0" t="str">
        <f aca="false">HYPERLINK("https://www.ncbi.nlm.nih.gov/nuccore/CP000058.1?report=graph&amp;tracks=[key:gene_model_track,Options:GeneOnly]&amp;mk=648218:648237|offset_11|444444,648198:648217|offset_31|444444,648177:648196|offset_52|444444,648136:648155|offset_93|00cc00&amp;v=648017:648355&amp;c=444444", "offset 93")</f>
        <v>offset 93</v>
      </c>
    </row>
    <row r="2081" customFormat="false" ht="12.8" hidden="false" customHeight="false" outlineLevel="0" collapsed="false">
      <c r="A2081" s="0" t="s">
        <v>12</v>
      </c>
      <c r="B2081" s="0" t="n">
        <v>650444</v>
      </c>
      <c r="C2081" s="0" t="n">
        <v>650464</v>
      </c>
      <c r="D2081" s="0" t="s">
        <v>6954</v>
      </c>
      <c r="E2081" s="0" t="s">
        <v>75</v>
      </c>
      <c r="F2081" s="0" t="s">
        <v>90</v>
      </c>
      <c r="G2081" s="0" t="s">
        <v>16</v>
      </c>
      <c r="H2081" s="0" t="n">
        <v>7</v>
      </c>
      <c r="I2081" s="0" t="s">
        <v>6955</v>
      </c>
      <c r="J2081" s="0" t="s">
        <v>6956</v>
      </c>
      <c r="K2081" s="0" t="s">
        <v>6957</v>
      </c>
      <c r="L2081" s="0" t="str">
        <f aca="false">HYPERLINK("https://www.ncbi.nlm.nih.gov/nuccore/CP000058.1?report=graph&amp;tracks=[key:gene_model_track,Options:GeneOnly]&amp;mk=650445:650464|offset_7|00cc00,650413:650432|offset_39|444444,650385:650404|offset_67|444444,650358:650377|offset_94|444444&amp;v=650244:650577&amp;c=444444", "offset 7")</f>
        <v>offset 7</v>
      </c>
    </row>
    <row r="2082" customFormat="false" ht="12.8" hidden="false" customHeight="false" outlineLevel="0" collapsed="false">
      <c r="A2082" s="0" t="s">
        <v>12</v>
      </c>
      <c r="B2082" s="0" t="n">
        <v>650412</v>
      </c>
      <c r="C2082" s="0" t="n">
        <v>650432</v>
      </c>
      <c r="D2082" s="0" t="s">
        <v>6954</v>
      </c>
      <c r="E2082" s="0" t="s">
        <v>75</v>
      </c>
      <c r="F2082" s="0" t="s">
        <v>90</v>
      </c>
      <c r="G2082" s="0" t="s">
        <v>36</v>
      </c>
      <c r="H2082" s="0" t="n">
        <v>39</v>
      </c>
      <c r="I2082" s="0" t="s">
        <v>6958</v>
      </c>
      <c r="J2082" s="0" t="s">
        <v>6959</v>
      </c>
      <c r="K2082" s="0" t="s">
        <v>6960</v>
      </c>
      <c r="L2082" s="0" t="str">
        <f aca="false">HYPERLINK("https://www.ncbi.nlm.nih.gov/nuccore/CP000058.1?report=graph&amp;tracks=[key:gene_model_track,Options:GeneOnly]&amp;mk=650445:650464|offset_7|444444,650413:650432|offset_39|00cc00,650385:650404|offset_67|444444,650358:650377|offset_94|444444&amp;v=650244:650577&amp;c=444444", "offset 39")</f>
        <v>offset 39</v>
      </c>
    </row>
    <row r="2083" customFormat="false" ht="12.8" hidden="false" customHeight="false" outlineLevel="0" collapsed="false">
      <c r="A2083" s="0" t="s">
        <v>12</v>
      </c>
      <c r="B2083" s="0" t="n">
        <v>650384</v>
      </c>
      <c r="C2083" s="0" t="n">
        <v>650404</v>
      </c>
      <c r="D2083" s="0" t="s">
        <v>6954</v>
      </c>
      <c r="E2083" s="0" t="s">
        <v>75</v>
      </c>
      <c r="F2083" s="0" t="s">
        <v>90</v>
      </c>
      <c r="G2083" s="0" t="s">
        <v>36</v>
      </c>
      <c r="H2083" s="0" t="n">
        <v>67</v>
      </c>
      <c r="I2083" s="0" t="s">
        <v>6961</v>
      </c>
      <c r="J2083" s="0" t="s">
        <v>6962</v>
      </c>
      <c r="K2083" s="0" t="s">
        <v>6963</v>
      </c>
      <c r="L2083" s="0" t="str">
        <f aca="false">HYPERLINK("https://www.ncbi.nlm.nih.gov/nuccore/CP000058.1?report=graph&amp;tracks=[key:gene_model_track,Options:GeneOnly]&amp;mk=650445:650464|offset_7|444444,650413:650432|offset_39|444444,650385:650404|offset_67|00cc00,650358:650377|offset_94|444444&amp;v=650244:650577&amp;c=444444", "offset 67")</f>
        <v>offset 67</v>
      </c>
    </row>
    <row r="2084" customFormat="false" ht="12.8" hidden="false" customHeight="false" outlineLevel="0" collapsed="false">
      <c r="A2084" s="0" t="s">
        <v>12</v>
      </c>
      <c r="B2084" s="0" t="n">
        <v>650357</v>
      </c>
      <c r="C2084" s="0" t="n">
        <v>650377</v>
      </c>
      <c r="D2084" s="0" t="s">
        <v>6954</v>
      </c>
      <c r="E2084" s="0" t="s">
        <v>75</v>
      </c>
      <c r="F2084" s="0" t="s">
        <v>90</v>
      </c>
      <c r="G2084" s="0" t="s">
        <v>32</v>
      </c>
      <c r="H2084" s="0" t="n">
        <v>94</v>
      </c>
      <c r="I2084" s="0" t="s">
        <v>6964</v>
      </c>
      <c r="J2084" s="0" t="s">
        <v>6965</v>
      </c>
      <c r="K2084" s="0" t="s">
        <v>6966</v>
      </c>
      <c r="L2084" s="0" t="str">
        <f aca="false">HYPERLINK("https://www.ncbi.nlm.nih.gov/nuccore/CP000058.1?report=graph&amp;tracks=[key:gene_model_track,Options:GeneOnly]&amp;mk=650445:650464|offset_7|444444,650413:650432|offset_39|444444,650385:650404|offset_67|444444,650358:650377|offset_94|00cc00&amp;v=650244:650577&amp;c=444444", "offset 94")</f>
        <v>offset 94</v>
      </c>
    </row>
    <row r="2085" customFormat="false" ht="12.8" hidden="false" customHeight="false" outlineLevel="0" collapsed="false">
      <c r="A2085" s="0" t="s">
        <v>12</v>
      </c>
      <c r="B2085" s="0" t="n">
        <v>651996</v>
      </c>
      <c r="C2085" s="0" t="n">
        <v>652016</v>
      </c>
      <c r="D2085" s="0" t="s">
        <v>6967</v>
      </c>
      <c r="E2085" s="0" t="s">
        <v>75</v>
      </c>
      <c r="F2085" s="0" t="s">
        <v>90</v>
      </c>
      <c r="G2085" s="0" t="s">
        <v>16</v>
      </c>
      <c r="H2085" s="0" t="n">
        <v>36</v>
      </c>
      <c r="I2085" s="0" t="s">
        <v>6968</v>
      </c>
      <c r="J2085" s="0" t="s">
        <v>6969</v>
      </c>
      <c r="K2085" s="0" t="s">
        <v>6970</v>
      </c>
      <c r="L2085" s="0" t="str">
        <f aca="false">HYPERLINK("https://www.ncbi.nlm.nih.gov/nuccore/CP000058.1?report=graph&amp;tracks=[key:gene_model_track,Options:GeneOnly]&amp;mk=651997:652016|offset_36|00cc00,651949:651968|offset_84|444444,651896:651915|offset_137|444444,651857:651876|offset_176|444444&amp;v=651796:652076&amp;c=444444", "offset 36")</f>
        <v>offset 36</v>
      </c>
    </row>
    <row r="2086" customFormat="false" ht="12.8" hidden="false" customHeight="false" outlineLevel="0" collapsed="false">
      <c r="A2086" s="0" t="s">
        <v>12</v>
      </c>
      <c r="B2086" s="0" t="n">
        <v>651948</v>
      </c>
      <c r="C2086" s="0" t="n">
        <v>651968</v>
      </c>
      <c r="D2086" s="0" t="s">
        <v>6967</v>
      </c>
      <c r="E2086" s="0" t="s">
        <v>75</v>
      </c>
      <c r="F2086" s="0" t="s">
        <v>90</v>
      </c>
      <c r="G2086" s="0" t="s">
        <v>16</v>
      </c>
      <c r="H2086" s="0" t="n">
        <v>84</v>
      </c>
      <c r="I2086" s="0" t="s">
        <v>6971</v>
      </c>
      <c r="J2086" s="0" t="s">
        <v>6972</v>
      </c>
      <c r="K2086" s="0" t="s">
        <v>6973</v>
      </c>
      <c r="L2086" s="0" t="str">
        <f aca="false">HYPERLINK("https://www.ncbi.nlm.nih.gov/nuccore/CP000058.1?report=graph&amp;tracks=[key:gene_model_track,Options:GeneOnly]&amp;mk=651997:652016|offset_36|444444,651949:651968|offset_84|00cc00,651896:651915|offset_137|444444,651857:651876|offset_176|444444&amp;v=651796:652076&amp;c=444444", "offset 84")</f>
        <v>offset 84</v>
      </c>
    </row>
    <row r="2087" customFormat="false" ht="12.8" hidden="false" customHeight="false" outlineLevel="0" collapsed="false">
      <c r="A2087" s="0" t="s">
        <v>12</v>
      </c>
      <c r="B2087" s="0" t="n">
        <v>651895</v>
      </c>
      <c r="C2087" s="0" t="n">
        <v>651915</v>
      </c>
      <c r="D2087" s="0" t="s">
        <v>6967</v>
      </c>
      <c r="E2087" s="0" t="s">
        <v>75</v>
      </c>
      <c r="F2087" s="0" t="s">
        <v>90</v>
      </c>
      <c r="G2087" s="0" t="s">
        <v>16</v>
      </c>
      <c r="H2087" s="0" t="n">
        <v>137</v>
      </c>
      <c r="I2087" s="0" t="s">
        <v>6974</v>
      </c>
      <c r="J2087" s="0" t="s">
        <v>6975</v>
      </c>
      <c r="K2087" s="0" t="s">
        <v>6976</v>
      </c>
      <c r="L2087" s="0" t="str">
        <f aca="false">HYPERLINK("https://www.ncbi.nlm.nih.gov/nuccore/CP000058.1?report=graph&amp;tracks=[key:gene_model_track,Options:GeneOnly]&amp;mk=651997:652016|offset_36|444444,651949:651968|offset_84|444444,651896:651915|offset_137|00cc00,651857:651876|offset_176|444444&amp;v=651796:652076&amp;c=444444", "offset 137")</f>
        <v>offset 137</v>
      </c>
    </row>
    <row r="2088" customFormat="false" ht="12.8" hidden="false" customHeight="false" outlineLevel="0" collapsed="false">
      <c r="A2088" s="0" t="s">
        <v>12</v>
      </c>
      <c r="B2088" s="0" t="n">
        <v>651856</v>
      </c>
      <c r="C2088" s="0" t="n">
        <v>651876</v>
      </c>
      <c r="D2088" s="0" t="s">
        <v>6967</v>
      </c>
      <c r="E2088" s="0" t="s">
        <v>75</v>
      </c>
      <c r="F2088" s="0" t="s">
        <v>90</v>
      </c>
      <c r="G2088" s="0" t="s">
        <v>36</v>
      </c>
      <c r="H2088" s="0" t="n">
        <v>176</v>
      </c>
      <c r="I2088" s="0" t="s">
        <v>6977</v>
      </c>
      <c r="J2088" s="0" t="s">
        <v>6978</v>
      </c>
      <c r="K2088" s="0" t="s">
        <v>6979</v>
      </c>
      <c r="L2088" s="0" t="str">
        <f aca="false">HYPERLINK("https://www.ncbi.nlm.nih.gov/nuccore/CP000058.1?report=graph&amp;tracks=[key:gene_model_track,Options:GeneOnly]&amp;mk=651997:652016|offset_36|444444,651949:651968|offset_84|444444,651896:651915|offset_137|444444,651857:651876|offset_176|00cc00&amp;v=651796:652076&amp;c=444444", "offset 176")</f>
        <v>offset 176</v>
      </c>
    </row>
    <row r="2089" customFormat="false" ht="12.8" hidden="false" customHeight="false" outlineLevel="0" collapsed="false">
      <c r="A2089" s="0" t="s">
        <v>12</v>
      </c>
      <c r="B2089" s="0" t="n">
        <v>652259</v>
      </c>
      <c r="C2089" s="0" t="n">
        <v>652279</v>
      </c>
      <c r="D2089" s="0" t="s">
        <v>6980</v>
      </c>
      <c r="E2089" s="0" t="s">
        <v>75</v>
      </c>
      <c r="F2089" s="0" t="s">
        <v>15</v>
      </c>
      <c r="G2089" s="0" t="s">
        <v>20</v>
      </c>
      <c r="H2089" s="0" t="n">
        <v>0</v>
      </c>
      <c r="I2089" s="0" t="s">
        <v>6981</v>
      </c>
      <c r="J2089" s="0" t="s">
        <v>6982</v>
      </c>
      <c r="K2089" s="0" t="s">
        <v>6983</v>
      </c>
      <c r="L2089" s="0" t="str">
        <f aca="false">HYPERLINK("https://www.ncbi.nlm.nih.gov/nuccore/CP000058.1?report=graph&amp;tracks=[key:gene_model_track,Options:GeneOnly]&amp;mk=652260:652279|offset_0|00cc00,652304:652323|offset_44|444444,652324:652343|offset_64|444444,652349:652368|offset_89|444444&amp;v=652059:652568&amp;c=444444", "offset 0")</f>
        <v>offset 0</v>
      </c>
    </row>
    <row r="2090" customFormat="false" ht="12.8" hidden="false" customHeight="false" outlineLevel="0" collapsed="false">
      <c r="A2090" s="0" t="s">
        <v>12</v>
      </c>
      <c r="B2090" s="0" t="n">
        <v>652303</v>
      </c>
      <c r="C2090" s="0" t="n">
        <v>652323</v>
      </c>
      <c r="D2090" s="0" t="s">
        <v>6980</v>
      </c>
      <c r="E2090" s="0" t="s">
        <v>75</v>
      </c>
      <c r="F2090" s="0" t="s">
        <v>15</v>
      </c>
      <c r="G2090" s="0" t="s">
        <v>20</v>
      </c>
      <c r="H2090" s="0" t="n">
        <v>44</v>
      </c>
      <c r="I2090" s="0" t="s">
        <v>6984</v>
      </c>
      <c r="J2090" s="0" t="s">
        <v>6985</v>
      </c>
      <c r="K2090" s="0" t="s">
        <v>6986</v>
      </c>
      <c r="L2090" s="0" t="str">
        <f aca="false">HYPERLINK("https://www.ncbi.nlm.nih.gov/nuccore/CP000058.1?report=graph&amp;tracks=[key:gene_model_track,Options:GeneOnly]&amp;mk=652260:652279|offset_0|444444,652304:652323|offset_44|00cc00,652324:652343|offset_64|444444,652349:652368|offset_89|444444&amp;v=652059:652568&amp;c=444444", "offset 44")</f>
        <v>offset 44</v>
      </c>
    </row>
    <row r="2091" customFormat="false" ht="12.8" hidden="false" customHeight="false" outlineLevel="0" collapsed="false">
      <c r="A2091" s="0" t="s">
        <v>12</v>
      </c>
      <c r="B2091" s="0" t="n">
        <v>652323</v>
      </c>
      <c r="C2091" s="0" t="n">
        <v>652343</v>
      </c>
      <c r="D2091" s="0" t="s">
        <v>6980</v>
      </c>
      <c r="E2091" s="0" t="s">
        <v>75</v>
      </c>
      <c r="F2091" s="0" t="s">
        <v>15</v>
      </c>
      <c r="G2091" s="0" t="s">
        <v>36</v>
      </c>
      <c r="H2091" s="0" t="n">
        <v>64</v>
      </c>
      <c r="I2091" s="0" t="s">
        <v>6987</v>
      </c>
      <c r="J2091" s="0" t="s">
        <v>6988</v>
      </c>
      <c r="K2091" s="0" t="s">
        <v>6989</v>
      </c>
      <c r="L2091" s="0" t="str">
        <f aca="false">HYPERLINK("https://www.ncbi.nlm.nih.gov/nuccore/CP000058.1?report=graph&amp;tracks=[key:gene_model_track,Options:GeneOnly]&amp;mk=652260:652279|offset_0|444444,652304:652323|offset_44|444444,652324:652343|offset_64|00cc00,652349:652368|offset_89|444444&amp;v=652059:652568&amp;c=444444", "offset 64")</f>
        <v>offset 64</v>
      </c>
    </row>
    <row r="2092" customFormat="false" ht="12.8" hidden="false" customHeight="false" outlineLevel="0" collapsed="false">
      <c r="A2092" s="0" t="s">
        <v>12</v>
      </c>
      <c r="B2092" s="0" t="n">
        <v>652348</v>
      </c>
      <c r="C2092" s="0" t="n">
        <v>652368</v>
      </c>
      <c r="D2092" s="0" t="s">
        <v>6980</v>
      </c>
      <c r="E2092" s="0" t="s">
        <v>75</v>
      </c>
      <c r="F2092" s="0" t="s">
        <v>15</v>
      </c>
      <c r="G2092" s="0" t="s">
        <v>32</v>
      </c>
      <c r="H2092" s="0" t="n">
        <v>89</v>
      </c>
      <c r="I2092" s="0" t="s">
        <v>6990</v>
      </c>
      <c r="J2092" s="0" t="s">
        <v>6991</v>
      </c>
      <c r="K2092" s="0" t="s">
        <v>6992</v>
      </c>
      <c r="L2092" s="0" t="str">
        <f aca="false">HYPERLINK("https://www.ncbi.nlm.nih.gov/nuccore/CP000058.1?report=graph&amp;tracks=[key:gene_model_track,Options:GeneOnly]&amp;mk=652260:652279|offset_0|444444,652304:652323|offset_44|444444,652324:652343|offset_64|444444,652349:652368|offset_89|00cc00&amp;v=652059:652568&amp;c=444444", "offset 89")</f>
        <v>offset 89</v>
      </c>
    </row>
    <row r="2093" customFormat="false" ht="12.8" hidden="false" customHeight="false" outlineLevel="0" collapsed="false">
      <c r="A2093" s="0" t="s">
        <v>12</v>
      </c>
      <c r="B2093" s="0" t="n">
        <v>653132</v>
      </c>
      <c r="C2093" s="0" t="n">
        <v>653152</v>
      </c>
      <c r="D2093" s="0" t="s">
        <v>6993</v>
      </c>
      <c r="E2093" s="0" t="s">
        <v>75</v>
      </c>
      <c r="F2093" s="0" t="s">
        <v>15</v>
      </c>
      <c r="G2093" s="0" t="s">
        <v>16</v>
      </c>
      <c r="H2093" s="0" t="n">
        <v>18</v>
      </c>
      <c r="I2093" s="0" t="s">
        <v>6994</v>
      </c>
      <c r="J2093" s="0" t="s">
        <v>6995</v>
      </c>
      <c r="K2093" s="0" t="s">
        <v>6996</v>
      </c>
      <c r="L2093" s="0" t="str">
        <f aca="false">HYPERLINK("https://www.ncbi.nlm.nih.gov/nuccore/CP000058.1?report=graph&amp;tracks=[key:gene_model_track,Options:GeneOnly]&amp;mk=653133:653152|offset_18|00cc00,653185:653204|offset_70|444444,653260:653279|offset_145|444444,653287:653306|offset_172|444444&amp;v=652932:653506&amp;c=444444", "offset 18")</f>
        <v>offset 18</v>
      </c>
    </row>
    <row r="2094" customFormat="false" ht="12.8" hidden="false" customHeight="false" outlineLevel="0" collapsed="false">
      <c r="A2094" s="0" t="s">
        <v>12</v>
      </c>
      <c r="B2094" s="0" t="n">
        <v>653184</v>
      </c>
      <c r="C2094" s="0" t="n">
        <v>653204</v>
      </c>
      <c r="D2094" s="0" t="s">
        <v>6993</v>
      </c>
      <c r="E2094" s="0" t="s">
        <v>75</v>
      </c>
      <c r="F2094" s="0" t="s">
        <v>15</v>
      </c>
      <c r="G2094" s="0" t="s">
        <v>20</v>
      </c>
      <c r="H2094" s="0" t="n">
        <v>70</v>
      </c>
      <c r="I2094" s="0" t="s">
        <v>6997</v>
      </c>
      <c r="J2094" s="0" t="s">
        <v>6998</v>
      </c>
      <c r="K2094" s="0" t="s">
        <v>6999</v>
      </c>
      <c r="L2094" s="0" t="str">
        <f aca="false">HYPERLINK("https://www.ncbi.nlm.nih.gov/nuccore/CP000058.1?report=graph&amp;tracks=[key:gene_model_track,Options:GeneOnly]&amp;mk=653133:653152|offset_18|444444,653185:653204|offset_70|00cc00,653260:653279|offset_145|444444,653287:653306|offset_172|444444&amp;v=652932:653506&amp;c=444444", "offset 70")</f>
        <v>offset 70</v>
      </c>
    </row>
    <row r="2095" customFormat="false" ht="12.8" hidden="false" customHeight="false" outlineLevel="0" collapsed="false">
      <c r="A2095" s="0" t="s">
        <v>12</v>
      </c>
      <c r="B2095" s="0" t="n">
        <v>653259</v>
      </c>
      <c r="C2095" s="0" t="n">
        <v>653279</v>
      </c>
      <c r="D2095" s="0" t="s">
        <v>6993</v>
      </c>
      <c r="E2095" s="0" t="s">
        <v>75</v>
      </c>
      <c r="F2095" s="0" t="s">
        <v>15</v>
      </c>
      <c r="G2095" s="0" t="s">
        <v>32</v>
      </c>
      <c r="H2095" s="0" t="n">
        <v>145</v>
      </c>
      <c r="I2095" s="0" t="s">
        <v>7000</v>
      </c>
      <c r="J2095" s="0" t="s">
        <v>7001</v>
      </c>
      <c r="K2095" s="0" t="s">
        <v>7002</v>
      </c>
      <c r="L2095" s="0" t="str">
        <f aca="false">HYPERLINK("https://www.ncbi.nlm.nih.gov/nuccore/CP000058.1?report=graph&amp;tracks=[key:gene_model_track,Options:GeneOnly]&amp;mk=653133:653152|offset_18|444444,653185:653204|offset_70|444444,653260:653279|offset_145|00cc00,653287:653306|offset_172|444444&amp;v=652932:653506&amp;c=444444", "offset 145")</f>
        <v>offset 145</v>
      </c>
    </row>
    <row r="2096" customFormat="false" ht="12.8" hidden="false" customHeight="false" outlineLevel="0" collapsed="false">
      <c r="A2096" s="0" t="s">
        <v>12</v>
      </c>
      <c r="B2096" s="0" t="n">
        <v>653286</v>
      </c>
      <c r="C2096" s="0" t="n">
        <v>653306</v>
      </c>
      <c r="D2096" s="0" t="s">
        <v>6993</v>
      </c>
      <c r="E2096" s="0" t="s">
        <v>75</v>
      </c>
      <c r="F2096" s="0" t="s">
        <v>15</v>
      </c>
      <c r="G2096" s="0" t="s">
        <v>16</v>
      </c>
      <c r="H2096" s="0" t="n">
        <v>172</v>
      </c>
      <c r="I2096" s="0" t="s">
        <v>7003</v>
      </c>
      <c r="J2096" s="0" t="s">
        <v>7004</v>
      </c>
      <c r="K2096" s="0" t="s">
        <v>7005</v>
      </c>
      <c r="L2096" s="0" t="str">
        <f aca="false">HYPERLINK("https://www.ncbi.nlm.nih.gov/nuccore/CP000058.1?report=graph&amp;tracks=[key:gene_model_track,Options:GeneOnly]&amp;mk=653133:653152|offset_18|444444,653185:653204|offset_70|444444,653260:653279|offset_145|444444,653287:653306|offset_172|00cc00&amp;v=652932:653506&amp;c=444444", "offset 172")</f>
        <v>offset 172</v>
      </c>
    </row>
    <row r="2097" customFormat="false" ht="12.8" hidden="false" customHeight="false" outlineLevel="0" collapsed="false">
      <c r="A2097" s="0" t="s">
        <v>12</v>
      </c>
      <c r="B2097" s="0" t="n">
        <v>655213</v>
      </c>
      <c r="C2097" s="0" t="n">
        <v>655233</v>
      </c>
      <c r="D2097" s="0" t="s">
        <v>7006</v>
      </c>
      <c r="E2097" s="0" t="s">
        <v>7007</v>
      </c>
      <c r="F2097" s="0" t="s">
        <v>90</v>
      </c>
      <c r="G2097" s="0" t="s">
        <v>36</v>
      </c>
      <c r="H2097" s="0" t="n">
        <v>0</v>
      </c>
      <c r="I2097" s="0" t="s">
        <v>7008</v>
      </c>
      <c r="J2097" s="0" t="s">
        <v>7009</v>
      </c>
      <c r="K2097" s="0" t="s">
        <v>7010</v>
      </c>
      <c r="L2097" s="0" t="str">
        <f aca="false">HYPERLINK("https://www.ncbi.nlm.nih.gov/nuccore/CP000058.1?report=graph&amp;tracks=[key:gene_model_track,Options:GeneOnly]&amp;mk=655214:655233|offset_0|00cc00,655144:655163|offset_70|444444,655123:655142|offset_91|444444,655092:655111|offset_122|444444&amp;v=655013:655311&amp;c=444444", "offset 0")</f>
        <v>offset 0</v>
      </c>
    </row>
    <row r="2098" customFormat="false" ht="12.8" hidden="false" customHeight="false" outlineLevel="0" collapsed="false">
      <c r="A2098" s="0" t="s">
        <v>12</v>
      </c>
      <c r="B2098" s="0" t="n">
        <v>655143</v>
      </c>
      <c r="C2098" s="0" t="n">
        <v>655163</v>
      </c>
      <c r="D2098" s="0" t="s">
        <v>7006</v>
      </c>
      <c r="E2098" s="0" t="s">
        <v>7007</v>
      </c>
      <c r="F2098" s="0" t="s">
        <v>90</v>
      </c>
      <c r="G2098" s="0" t="s">
        <v>36</v>
      </c>
      <c r="H2098" s="0" t="n">
        <v>70</v>
      </c>
      <c r="I2098" s="0" t="s">
        <v>7011</v>
      </c>
      <c r="J2098" s="0" t="s">
        <v>7012</v>
      </c>
      <c r="K2098" s="0" t="s">
        <v>7013</v>
      </c>
      <c r="L2098" s="0" t="str">
        <f aca="false">HYPERLINK("https://www.ncbi.nlm.nih.gov/nuccore/CP000058.1?report=graph&amp;tracks=[key:gene_model_track,Options:GeneOnly]&amp;mk=655214:655233|offset_0|444444,655144:655163|offset_70|00cc00,655123:655142|offset_91|444444,655092:655111|offset_122|444444&amp;v=655013:655311&amp;c=444444", "offset 70")</f>
        <v>offset 70</v>
      </c>
    </row>
    <row r="2099" customFormat="false" ht="12.8" hidden="false" customHeight="false" outlineLevel="0" collapsed="false">
      <c r="A2099" s="0" t="s">
        <v>12</v>
      </c>
      <c r="B2099" s="0" t="n">
        <v>655122</v>
      </c>
      <c r="C2099" s="0" t="n">
        <v>655142</v>
      </c>
      <c r="D2099" s="0" t="s">
        <v>7006</v>
      </c>
      <c r="E2099" s="0" t="s">
        <v>7007</v>
      </c>
      <c r="F2099" s="0" t="s">
        <v>90</v>
      </c>
      <c r="G2099" s="0" t="s">
        <v>16</v>
      </c>
      <c r="H2099" s="0" t="n">
        <v>91</v>
      </c>
      <c r="I2099" s="0" t="s">
        <v>7014</v>
      </c>
      <c r="J2099" s="0" t="s">
        <v>7015</v>
      </c>
      <c r="K2099" s="0" t="s">
        <v>7016</v>
      </c>
      <c r="L2099" s="0" t="str">
        <f aca="false">HYPERLINK("https://www.ncbi.nlm.nih.gov/nuccore/CP000058.1?report=graph&amp;tracks=[key:gene_model_track,Options:GeneOnly]&amp;mk=655214:655233|offset_0|444444,655144:655163|offset_70|444444,655123:655142|offset_91|00cc00,655092:655111|offset_122|444444&amp;v=655013:655311&amp;c=444444", "offset 91")</f>
        <v>offset 91</v>
      </c>
    </row>
    <row r="2100" customFormat="false" ht="12.8" hidden="false" customHeight="false" outlineLevel="0" collapsed="false">
      <c r="A2100" s="0" t="s">
        <v>12</v>
      </c>
      <c r="B2100" s="0" t="n">
        <v>655091</v>
      </c>
      <c r="C2100" s="0" t="n">
        <v>655111</v>
      </c>
      <c r="D2100" s="0" t="s">
        <v>7006</v>
      </c>
      <c r="E2100" s="0" t="s">
        <v>7007</v>
      </c>
      <c r="F2100" s="0" t="s">
        <v>90</v>
      </c>
      <c r="G2100" s="0" t="s">
        <v>20</v>
      </c>
      <c r="H2100" s="0" t="n">
        <v>122</v>
      </c>
      <c r="I2100" s="0" t="s">
        <v>7017</v>
      </c>
      <c r="J2100" s="0" t="s">
        <v>7018</v>
      </c>
      <c r="K2100" s="0" t="s">
        <v>7019</v>
      </c>
      <c r="L2100" s="0" t="str">
        <f aca="false">HYPERLINK("https://www.ncbi.nlm.nih.gov/nuccore/CP000058.1?report=graph&amp;tracks=[key:gene_model_track,Options:GeneOnly]&amp;mk=655214:655233|offset_0|444444,655144:655163|offset_70|444444,655123:655142|offset_91|444444,655092:655111|offset_122|00cc00&amp;v=655013:655311&amp;c=444444", "offset 122")</f>
        <v>offset 122</v>
      </c>
    </row>
    <row r="2101" customFormat="false" ht="12.8" hidden="false" customHeight="false" outlineLevel="0" collapsed="false">
      <c r="A2101" s="0" t="s">
        <v>12</v>
      </c>
      <c r="B2101" s="0" t="n">
        <v>655361</v>
      </c>
      <c r="C2101" s="0" t="n">
        <v>655381</v>
      </c>
      <c r="D2101" s="0" t="s">
        <v>7020</v>
      </c>
      <c r="E2101" s="0" t="s">
        <v>7021</v>
      </c>
      <c r="F2101" s="0" t="s">
        <v>15</v>
      </c>
      <c r="G2101" s="0" t="s">
        <v>20</v>
      </c>
      <c r="H2101" s="0" t="n">
        <v>20</v>
      </c>
      <c r="I2101" s="0" t="s">
        <v>7022</v>
      </c>
      <c r="J2101" s="0" t="s">
        <v>7023</v>
      </c>
      <c r="K2101" s="0" t="s">
        <v>7024</v>
      </c>
      <c r="L2101" s="0" t="str">
        <f aca="false">HYPERLINK("https://www.ncbi.nlm.nih.gov/nuccore/CP000058.1?report=graph&amp;tracks=[key:gene_model_track,Options:GeneOnly]&amp;mk=655362:655381|offset_20|00cc00,655388:655407|offset_46|444444,655427:655446|offset_85|444444,655457:655476|offset_115|444444&amp;v=655161:655676&amp;c=444444", "offset 20")</f>
        <v>offset 20</v>
      </c>
    </row>
    <row r="2102" customFormat="false" ht="12.8" hidden="false" customHeight="false" outlineLevel="0" collapsed="false">
      <c r="A2102" s="0" t="s">
        <v>12</v>
      </c>
      <c r="B2102" s="0" t="n">
        <v>655387</v>
      </c>
      <c r="C2102" s="0" t="n">
        <v>655407</v>
      </c>
      <c r="D2102" s="0" t="s">
        <v>7020</v>
      </c>
      <c r="E2102" s="0" t="s">
        <v>7021</v>
      </c>
      <c r="F2102" s="0" t="s">
        <v>15</v>
      </c>
      <c r="G2102" s="0" t="s">
        <v>16</v>
      </c>
      <c r="H2102" s="0" t="n">
        <v>46</v>
      </c>
      <c r="I2102" s="0" t="s">
        <v>7025</v>
      </c>
      <c r="J2102" s="0" t="s">
        <v>7026</v>
      </c>
      <c r="K2102" s="0" t="s">
        <v>7027</v>
      </c>
      <c r="L2102" s="0" t="str">
        <f aca="false">HYPERLINK("https://www.ncbi.nlm.nih.gov/nuccore/CP000058.1?report=graph&amp;tracks=[key:gene_model_track,Options:GeneOnly]&amp;mk=655362:655381|offset_20|444444,655388:655407|offset_46|00cc00,655427:655446|offset_85|444444,655457:655476|offset_115|444444&amp;v=655161:655676&amp;c=444444", "offset 46")</f>
        <v>offset 46</v>
      </c>
    </row>
    <row r="2103" customFormat="false" ht="12.8" hidden="false" customHeight="false" outlineLevel="0" collapsed="false">
      <c r="A2103" s="0" t="s">
        <v>12</v>
      </c>
      <c r="B2103" s="0" t="n">
        <v>655426</v>
      </c>
      <c r="C2103" s="0" t="n">
        <v>655446</v>
      </c>
      <c r="D2103" s="0" t="s">
        <v>7020</v>
      </c>
      <c r="E2103" s="0" t="s">
        <v>7021</v>
      </c>
      <c r="F2103" s="0" t="s">
        <v>15</v>
      </c>
      <c r="G2103" s="0" t="s">
        <v>32</v>
      </c>
      <c r="H2103" s="0" t="n">
        <v>85</v>
      </c>
      <c r="I2103" s="0" t="s">
        <v>7028</v>
      </c>
      <c r="J2103" s="0" t="s">
        <v>7029</v>
      </c>
      <c r="K2103" s="0" t="s">
        <v>7030</v>
      </c>
      <c r="L2103" s="0" t="str">
        <f aca="false">HYPERLINK("https://www.ncbi.nlm.nih.gov/nuccore/CP000058.1?report=graph&amp;tracks=[key:gene_model_track,Options:GeneOnly]&amp;mk=655362:655381|offset_20|444444,655388:655407|offset_46|444444,655427:655446|offset_85|00cc00,655457:655476|offset_115|444444&amp;v=655161:655676&amp;c=444444", "offset 85")</f>
        <v>offset 85</v>
      </c>
    </row>
    <row r="2104" customFormat="false" ht="12.8" hidden="false" customHeight="false" outlineLevel="0" collapsed="false">
      <c r="A2104" s="0" t="s">
        <v>12</v>
      </c>
      <c r="B2104" s="0" t="n">
        <v>655456</v>
      </c>
      <c r="C2104" s="0" t="n">
        <v>655476</v>
      </c>
      <c r="D2104" s="0" t="s">
        <v>7020</v>
      </c>
      <c r="E2104" s="0" t="s">
        <v>7021</v>
      </c>
      <c r="F2104" s="0" t="s">
        <v>15</v>
      </c>
      <c r="G2104" s="0" t="s">
        <v>36</v>
      </c>
      <c r="H2104" s="0" t="n">
        <v>115</v>
      </c>
      <c r="I2104" s="0" t="s">
        <v>7031</v>
      </c>
      <c r="J2104" s="0" t="s">
        <v>7032</v>
      </c>
      <c r="K2104" s="0" t="s">
        <v>7033</v>
      </c>
      <c r="L2104" s="0" t="str">
        <f aca="false">HYPERLINK("https://www.ncbi.nlm.nih.gov/nuccore/CP000058.1?report=graph&amp;tracks=[key:gene_model_track,Options:GeneOnly]&amp;mk=655362:655381|offset_20|444444,655388:655407|offset_46|444444,655427:655446|offset_85|444444,655457:655476|offset_115|00cc00&amp;v=655161:655676&amp;c=444444", "offset 115")</f>
        <v>offset 115</v>
      </c>
    </row>
    <row r="2105" customFormat="false" ht="12.8" hidden="false" customHeight="false" outlineLevel="0" collapsed="false">
      <c r="A2105" s="0" t="s">
        <v>12</v>
      </c>
      <c r="B2105" s="0" t="n">
        <v>655975</v>
      </c>
      <c r="C2105" s="0" t="n">
        <v>655995</v>
      </c>
      <c r="D2105" s="0" t="s">
        <v>7034</v>
      </c>
      <c r="E2105" s="0" t="s">
        <v>75</v>
      </c>
      <c r="F2105" s="0" t="s">
        <v>15</v>
      </c>
      <c r="G2105" s="0" t="s">
        <v>32</v>
      </c>
      <c r="H2105" s="0" t="n">
        <v>1</v>
      </c>
      <c r="I2105" s="0" t="s">
        <v>7035</v>
      </c>
      <c r="J2105" s="0" t="s">
        <v>7036</v>
      </c>
      <c r="K2105" s="0" t="s">
        <v>7037</v>
      </c>
      <c r="L2105" s="0" t="str">
        <f aca="false">HYPERLINK("https://www.ncbi.nlm.nih.gov/nuccore/CP000058.1?report=graph&amp;tracks=[key:gene_model_track,Options:GeneOnly]&amp;mk=655976:655995|offset_1|00cc00,656003:656022|offset_28|444444,656043:656062|offset_68|444444,656130:656149|offset_155|444444&amp;v=655775:656349&amp;c=444444", "offset 1")</f>
        <v>offset 1</v>
      </c>
    </row>
    <row r="2106" customFormat="false" ht="12.8" hidden="false" customHeight="false" outlineLevel="0" collapsed="false">
      <c r="A2106" s="0" t="s">
        <v>12</v>
      </c>
      <c r="B2106" s="0" t="n">
        <v>656002</v>
      </c>
      <c r="C2106" s="0" t="n">
        <v>656022</v>
      </c>
      <c r="D2106" s="0" t="s">
        <v>7034</v>
      </c>
      <c r="E2106" s="0" t="s">
        <v>75</v>
      </c>
      <c r="F2106" s="0" t="s">
        <v>15</v>
      </c>
      <c r="G2106" s="0" t="s">
        <v>32</v>
      </c>
      <c r="H2106" s="0" t="n">
        <v>28</v>
      </c>
      <c r="I2106" s="0" t="s">
        <v>7038</v>
      </c>
      <c r="J2106" s="0" t="s">
        <v>7039</v>
      </c>
      <c r="K2106" s="0" t="s">
        <v>7040</v>
      </c>
      <c r="L2106" s="0" t="str">
        <f aca="false">HYPERLINK("https://www.ncbi.nlm.nih.gov/nuccore/CP000058.1?report=graph&amp;tracks=[key:gene_model_track,Options:GeneOnly]&amp;mk=655976:655995|offset_1|444444,656003:656022|offset_28|00cc00,656043:656062|offset_68|444444,656130:656149|offset_155|444444&amp;v=655775:656349&amp;c=444444", "offset 28")</f>
        <v>offset 28</v>
      </c>
    </row>
    <row r="2107" customFormat="false" ht="12.8" hidden="false" customHeight="false" outlineLevel="0" collapsed="false">
      <c r="A2107" s="0" t="s">
        <v>12</v>
      </c>
      <c r="B2107" s="0" t="n">
        <v>656042</v>
      </c>
      <c r="C2107" s="0" t="n">
        <v>656062</v>
      </c>
      <c r="D2107" s="0" t="s">
        <v>7034</v>
      </c>
      <c r="E2107" s="0" t="s">
        <v>75</v>
      </c>
      <c r="F2107" s="0" t="s">
        <v>15</v>
      </c>
      <c r="G2107" s="0" t="s">
        <v>16</v>
      </c>
      <c r="H2107" s="0" t="n">
        <v>68</v>
      </c>
      <c r="I2107" s="0" t="s">
        <v>7041</v>
      </c>
      <c r="J2107" s="0" t="s">
        <v>7042</v>
      </c>
      <c r="K2107" s="0" t="s">
        <v>7043</v>
      </c>
      <c r="L2107" s="0" t="str">
        <f aca="false">HYPERLINK("https://www.ncbi.nlm.nih.gov/nuccore/CP000058.1?report=graph&amp;tracks=[key:gene_model_track,Options:GeneOnly]&amp;mk=655976:655995|offset_1|444444,656003:656022|offset_28|444444,656043:656062|offset_68|00cc00,656130:656149|offset_155|444444&amp;v=655775:656349&amp;c=444444", "offset 68")</f>
        <v>offset 68</v>
      </c>
    </row>
    <row r="2108" customFormat="false" ht="12.8" hidden="false" customHeight="false" outlineLevel="0" collapsed="false">
      <c r="A2108" s="0" t="s">
        <v>12</v>
      </c>
      <c r="B2108" s="0" t="n">
        <v>656129</v>
      </c>
      <c r="C2108" s="0" t="n">
        <v>656149</v>
      </c>
      <c r="D2108" s="0" t="s">
        <v>7034</v>
      </c>
      <c r="E2108" s="0" t="s">
        <v>75</v>
      </c>
      <c r="F2108" s="0" t="s">
        <v>15</v>
      </c>
      <c r="G2108" s="0" t="s">
        <v>32</v>
      </c>
      <c r="H2108" s="0" t="n">
        <v>155</v>
      </c>
      <c r="I2108" s="0" t="s">
        <v>7044</v>
      </c>
      <c r="J2108" s="0" t="s">
        <v>7045</v>
      </c>
      <c r="K2108" s="0" t="s">
        <v>7046</v>
      </c>
      <c r="L2108" s="0" t="str">
        <f aca="false">HYPERLINK("https://www.ncbi.nlm.nih.gov/nuccore/CP000058.1?report=graph&amp;tracks=[key:gene_model_track,Options:GeneOnly]&amp;mk=655976:655995|offset_1|444444,656003:656022|offset_28|444444,656043:656062|offset_68|444444,656130:656149|offset_155|00cc00&amp;v=655775:656349&amp;c=444444", "offset 155")</f>
        <v>offset 155</v>
      </c>
    </row>
    <row r="2109" customFormat="false" ht="12.8" hidden="false" customHeight="false" outlineLevel="0" collapsed="false">
      <c r="A2109" s="0" t="s">
        <v>12</v>
      </c>
      <c r="B2109" s="0" t="n">
        <v>657925</v>
      </c>
      <c r="C2109" s="0" t="n">
        <v>657945</v>
      </c>
      <c r="D2109" s="0" t="s">
        <v>7047</v>
      </c>
      <c r="E2109" s="0" t="s">
        <v>75</v>
      </c>
      <c r="F2109" s="0" t="s">
        <v>90</v>
      </c>
      <c r="G2109" s="0" t="s">
        <v>16</v>
      </c>
      <c r="H2109" s="0" t="n">
        <v>7</v>
      </c>
      <c r="I2109" s="0" t="s">
        <v>7048</v>
      </c>
      <c r="J2109" s="0" t="s">
        <v>7049</v>
      </c>
      <c r="K2109" s="0" t="s">
        <v>7050</v>
      </c>
      <c r="L2109" s="0" t="str">
        <f aca="false">HYPERLINK("https://www.ncbi.nlm.nih.gov/nuccore/CP000058.1?report=graph&amp;tracks=[key:gene_model_track,Options:GeneOnly]&amp;mk=657926:657945|offset_7|00cc00,657906:657925|offset_27|444444,657884:657903|offset_49|444444,657814:657833|offset_119|444444&amp;v=657725:658033&amp;c=444444", "offset 7")</f>
        <v>offset 7</v>
      </c>
    </row>
    <row r="2110" customFormat="false" ht="12.8" hidden="false" customHeight="false" outlineLevel="0" collapsed="false">
      <c r="A2110" s="0" t="s">
        <v>12</v>
      </c>
      <c r="B2110" s="0" t="n">
        <v>657905</v>
      </c>
      <c r="C2110" s="0" t="n">
        <v>657925</v>
      </c>
      <c r="D2110" s="0" t="s">
        <v>7047</v>
      </c>
      <c r="E2110" s="0" t="s">
        <v>75</v>
      </c>
      <c r="F2110" s="0" t="s">
        <v>90</v>
      </c>
      <c r="G2110" s="0" t="s">
        <v>36</v>
      </c>
      <c r="H2110" s="0" t="n">
        <v>27</v>
      </c>
      <c r="I2110" s="0" t="s">
        <v>7051</v>
      </c>
      <c r="J2110" s="0" t="s">
        <v>7052</v>
      </c>
      <c r="K2110" s="0" t="s">
        <v>7053</v>
      </c>
      <c r="L2110" s="0" t="str">
        <f aca="false">HYPERLINK("https://www.ncbi.nlm.nih.gov/nuccore/CP000058.1?report=graph&amp;tracks=[key:gene_model_track,Options:GeneOnly]&amp;mk=657926:657945|offset_7|444444,657906:657925|offset_27|00cc00,657884:657903|offset_49|444444,657814:657833|offset_119|444444&amp;v=657725:658033&amp;c=444444", "offset 27")</f>
        <v>offset 27</v>
      </c>
    </row>
    <row r="2111" customFormat="false" ht="12.8" hidden="false" customHeight="false" outlineLevel="0" collapsed="false">
      <c r="A2111" s="0" t="s">
        <v>12</v>
      </c>
      <c r="B2111" s="0" t="n">
        <v>657883</v>
      </c>
      <c r="C2111" s="0" t="n">
        <v>657903</v>
      </c>
      <c r="D2111" s="0" t="s">
        <v>7047</v>
      </c>
      <c r="E2111" s="0" t="s">
        <v>75</v>
      </c>
      <c r="F2111" s="0" t="s">
        <v>90</v>
      </c>
      <c r="G2111" s="0" t="s">
        <v>36</v>
      </c>
      <c r="H2111" s="0" t="n">
        <v>49</v>
      </c>
      <c r="I2111" s="0" t="s">
        <v>7054</v>
      </c>
      <c r="J2111" s="0" t="s">
        <v>7055</v>
      </c>
      <c r="K2111" s="0" t="s">
        <v>7056</v>
      </c>
      <c r="L2111" s="0" t="str">
        <f aca="false">HYPERLINK("https://www.ncbi.nlm.nih.gov/nuccore/CP000058.1?report=graph&amp;tracks=[key:gene_model_track,Options:GeneOnly]&amp;mk=657926:657945|offset_7|444444,657906:657925|offset_27|444444,657884:657903|offset_49|00cc00,657814:657833|offset_119|444444&amp;v=657725:658033&amp;c=444444", "offset 49")</f>
        <v>offset 49</v>
      </c>
    </row>
    <row r="2112" customFormat="false" ht="12.8" hidden="false" customHeight="false" outlineLevel="0" collapsed="false">
      <c r="A2112" s="0" t="s">
        <v>12</v>
      </c>
      <c r="B2112" s="0" t="n">
        <v>657813</v>
      </c>
      <c r="C2112" s="0" t="n">
        <v>657833</v>
      </c>
      <c r="D2112" s="0" t="s">
        <v>7047</v>
      </c>
      <c r="E2112" s="0" t="s">
        <v>75</v>
      </c>
      <c r="F2112" s="0" t="s">
        <v>90</v>
      </c>
      <c r="G2112" s="0" t="s">
        <v>20</v>
      </c>
      <c r="H2112" s="0" t="n">
        <v>119</v>
      </c>
      <c r="I2112" s="0" t="s">
        <v>7057</v>
      </c>
      <c r="J2112" s="0" t="s">
        <v>7058</v>
      </c>
      <c r="K2112" s="0" t="s">
        <v>7059</v>
      </c>
      <c r="L2112" s="0" t="str">
        <f aca="false">HYPERLINK("https://www.ncbi.nlm.nih.gov/nuccore/CP000058.1?report=graph&amp;tracks=[key:gene_model_track,Options:GeneOnly]&amp;mk=657926:657945|offset_7|444444,657906:657925|offset_27|444444,657884:657903|offset_49|444444,657814:657833|offset_119|00cc00&amp;v=657725:658033&amp;c=444444", "offset 119")</f>
        <v>offset 119</v>
      </c>
    </row>
    <row r="2113" customFormat="false" ht="12.8" hidden="false" customHeight="false" outlineLevel="0" collapsed="false">
      <c r="A2113" s="0" t="s">
        <v>12</v>
      </c>
      <c r="B2113" s="0" t="n">
        <v>658033</v>
      </c>
      <c r="C2113" s="0" t="n">
        <v>658053</v>
      </c>
      <c r="D2113" s="0" t="s">
        <v>7060</v>
      </c>
      <c r="E2113" s="0" t="s">
        <v>75</v>
      </c>
      <c r="F2113" s="0" t="s">
        <v>15</v>
      </c>
      <c r="G2113" s="0" t="s">
        <v>20</v>
      </c>
      <c r="H2113" s="0" t="n">
        <v>18</v>
      </c>
      <c r="I2113" s="0" t="s">
        <v>7061</v>
      </c>
      <c r="J2113" s="0" t="s">
        <v>7062</v>
      </c>
      <c r="K2113" s="0" t="s">
        <v>7063</v>
      </c>
      <c r="L2113" s="0" t="str">
        <f aca="false">HYPERLINK("https://www.ncbi.nlm.nih.gov/nuccore/CP000058.1?report=graph&amp;tracks=[key:gene_model_track,Options:GeneOnly]&amp;mk=658034:658053|offset_18|00cc00,658062:658081|offset_46|444444,658101:658120|offset_85|444444,658137:658156|offset_121|444444&amp;v=657833:658356&amp;c=444444", "offset 18")</f>
        <v>offset 18</v>
      </c>
    </row>
    <row r="2114" customFormat="false" ht="12.8" hidden="false" customHeight="false" outlineLevel="0" collapsed="false">
      <c r="A2114" s="0" t="s">
        <v>12</v>
      </c>
      <c r="B2114" s="0" t="n">
        <v>658061</v>
      </c>
      <c r="C2114" s="0" t="n">
        <v>658081</v>
      </c>
      <c r="D2114" s="0" t="s">
        <v>7060</v>
      </c>
      <c r="E2114" s="0" t="s">
        <v>75</v>
      </c>
      <c r="F2114" s="0" t="s">
        <v>15</v>
      </c>
      <c r="G2114" s="0" t="s">
        <v>16</v>
      </c>
      <c r="H2114" s="0" t="n">
        <v>46</v>
      </c>
      <c r="I2114" s="0" t="s">
        <v>7064</v>
      </c>
      <c r="J2114" s="0" t="s">
        <v>7065</v>
      </c>
      <c r="K2114" s="0" t="s">
        <v>7066</v>
      </c>
      <c r="L2114" s="0" t="str">
        <f aca="false">HYPERLINK("https://www.ncbi.nlm.nih.gov/nuccore/CP000058.1?report=graph&amp;tracks=[key:gene_model_track,Options:GeneOnly]&amp;mk=658034:658053|offset_18|444444,658062:658081|offset_46|00cc00,658101:658120|offset_85|444444,658137:658156|offset_121|444444&amp;v=657833:658356&amp;c=444444", "offset 46")</f>
        <v>offset 46</v>
      </c>
    </row>
    <row r="2115" customFormat="false" ht="12.8" hidden="false" customHeight="false" outlineLevel="0" collapsed="false">
      <c r="A2115" s="0" t="s">
        <v>12</v>
      </c>
      <c r="B2115" s="0" t="n">
        <v>658100</v>
      </c>
      <c r="C2115" s="0" t="n">
        <v>658120</v>
      </c>
      <c r="D2115" s="0" t="s">
        <v>7060</v>
      </c>
      <c r="E2115" s="0" t="s">
        <v>75</v>
      </c>
      <c r="F2115" s="0" t="s">
        <v>15</v>
      </c>
      <c r="G2115" s="0" t="s">
        <v>16</v>
      </c>
      <c r="H2115" s="0" t="n">
        <v>85</v>
      </c>
      <c r="I2115" s="0" t="s">
        <v>7067</v>
      </c>
      <c r="J2115" s="0" t="s">
        <v>7068</v>
      </c>
      <c r="K2115" s="0" t="s">
        <v>7069</v>
      </c>
      <c r="L2115" s="0" t="str">
        <f aca="false">HYPERLINK("https://www.ncbi.nlm.nih.gov/nuccore/CP000058.1?report=graph&amp;tracks=[key:gene_model_track,Options:GeneOnly]&amp;mk=658034:658053|offset_18|444444,658062:658081|offset_46|444444,658101:658120|offset_85|00cc00,658137:658156|offset_121|444444&amp;v=657833:658356&amp;c=444444", "offset 85")</f>
        <v>offset 85</v>
      </c>
    </row>
    <row r="2116" customFormat="false" ht="12.8" hidden="false" customHeight="false" outlineLevel="0" collapsed="false">
      <c r="A2116" s="0" t="s">
        <v>12</v>
      </c>
      <c r="B2116" s="0" t="n">
        <v>658136</v>
      </c>
      <c r="C2116" s="0" t="n">
        <v>658156</v>
      </c>
      <c r="D2116" s="0" t="s">
        <v>7060</v>
      </c>
      <c r="E2116" s="0" t="s">
        <v>75</v>
      </c>
      <c r="F2116" s="0" t="s">
        <v>15</v>
      </c>
      <c r="G2116" s="0" t="s">
        <v>36</v>
      </c>
      <c r="H2116" s="0" t="n">
        <v>121</v>
      </c>
      <c r="I2116" s="0" t="s">
        <v>7070</v>
      </c>
      <c r="J2116" s="0" t="s">
        <v>7071</v>
      </c>
      <c r="K2116" s="0" t="s">
        <v>7072</v>
      </c>
      <c r="L2116" s="0" t="str">
        <f aca="false">HYPERLINK("https://www.ncbi.nlm.nih.gov/nuccore/CP000058.1?report=graph&amp;tracks=[key:gene_model_track,Options:GeneOnly]&amp;mk=658034:658053|offset_18|444444,658062:658081|offset_46|444444,658101:658120|offset_85|444444,658137:658156|offset_121|00cc00&amp;v=657833:658356&amp;c=444444", "offset 121")</f>
        <v>offset 121</v>
      </c>
    </row>
    <row r="2117" customFormat="false" ht="12.8" hidden="false" customHeight="false" outlineLevel="0" collapsed="false">
      <c r="A2117" s="0" t="s">
        <v>12</v>
      </c>
      <c r="B2117" s="0" t="n">
        <v>659533</v>
      </c>
      <c r="C2117" s="0" t="n">
        <v>659553</v>
      </c>
      <c r="D2117" s="0" t="s">
        <v>7073</v>
      </c>
      <c r="E2117" s="0" t="s">
        <v>75</v>
      </c>
      <c r="F2117" s="0" t="s">
        <v>15</v>
      </c>
      <c r="G2117" s="0" t="s">
        <v>32</v>
      </c>
      <c r="H2117" s="0" t="n">
        <v>19</v>
      </c>
      <c r="I2117" s="0" t="s">
        <v>7074</v>
      </c>
      <c r="J2117" s="0" t="s">
        <v>7075</v>
      </c>
      <c r="K2117" s="0" t="s">
        <v>7076</v>
      </c>
      <c r="L2117" s="0" t="str">
        <f aca="false">HYPERLINK("https://www.ncbi.nlm.nih.gov/nuccore/CP000058.1?report=graph&amp;tracks=[key:gene_model_track,Options:GeneOnly]&amp;mk=659534:659553|offset_19|00cc00,659556:659575|offset_41|444444,659621:659640|offset_106|444444,659660:659679|offset_145|444444&amp;v=659333:659879&amp;c=444444", "offset 19")</f>
        <v>offset 19</v>
      </c>
    </row>
    <row r="2118" customFormat="false" ht="12.8" hidden="false" customHeight="false" outlineLevel="0" collapsed="false">
      <c r="A2118" s="0" t="s">
        <v>12</v>
      </c>
      <c r="B2118" s="0" t="n">
        <v>659555</v>
      </c>
      <c r="C2118" s="0" t="n">
        <v>659575</v>
      </c>
      <c r="D2118" s="0" t="s">
        <v>7073</v>
      </c>
      <c r="E2118" s="0" t="s">
        <v>75</v>
      </c>
      <c r="F2118" s="0" t="s">
        <v>15</v>
      </c>
      <c r="G2118" s="0" t="s">
        <v>20</v>
      </c>
      <c r="H2118" s="0" t="n">
        <v>41</v>
      </c>
      <c r="I2118" s="0" t="s">
        <v>7077</v>
      </c>
      <c r="J2118" s="0" t="s">
        <v>7078</v>
      </c>
      <c r="K2118" s="0" t="s">
        <v>7079</v>
      </c>
      <c r="L2118" s="0" t="str">
        <f aca="false">HYPERLINK("https://www.ncbi.nlm.nih.gov/nuccore/CP000058.1?report=graph&amp;tracks=[key:gene_model_track,Options:GeneOnly]&amp;mk=659534:659553|offset_19|444444,659556:659575|offset_41|00cc00,659621:659640|offset_106|444444,659660:659679|offset_145|444444&amp;v=659333:659879&amp;c=444444", "offset 41")</f>
        <v>offset 41</v>
      </c>
    </row>
    <row r="2119" customFormat="false" ht="12.8" hidden="false" customHeight="false" outlineLevel="0" collapsed="false">
      <c r="A2119" s="0" t="s">
        <v>12</v>
      </c>
      <c r="B2119" s="0" t="n">
        <v>659620</v>
      </c>
      <c r="C2119" s="0" t="n">
        <v>659640</v>
      </c>
      <c r="D2119" s="0" t="s">
        <v>7073</v>
      </c>
      <c r="E2119" s="0" t="s">
        <v>75</v>
      </c>
      <c r="F2119" s="0" t="s">
        <v>15</v>
      </c>
      <c r="G2119" s="0" t="s">
        <v>32</v>
      </c>
      <c r="H2119" s="0" t="n">
        <v>106</v>
      </c>
      <c r="I2119" s="0" t="s">
        <v>7080</v>
      </c>
      <c r="J2119" s="0" t="s">
        <v>7081</v>
      </c>
      <c r="K2119" s="0" t="s">
        <v>7082</v>
      </c>
      <c r="L2119" s="0" t="str">
        <f aca="false">HYPERLINK("https://www.ncbi.nlm.nih.gov/nuccore/CP000058.1?report=graph&amp;tracks=[key:gene_model_track,Options:GeneOnly]&amp;mk=659534:659553|offset_19|444444,659556:659575|offset_41|444444,659621:659640|offset_106|00cc00,659660:659679|offset_145|444444&amp;v=659333:659879&amp;c=444444", "offset 106")</f>
        <v>offset 106</v>
      </c>
    </row>
    <row r="2120" customFormat="false" ht="12.8" hidden="false" customHeight="false" outlineLevel="0" collapsed="false">
      <c r="A2120" s="0" t="s">
        <v>12</v>
      </c>
      <c r="B2120" s="0" t="n">
        <v>659659</v>
      </c>
      <c r="C2120" s="0" t="n">
        <v>659679</v>
      </c>
      <c r="D2120" s="0" t="s">
        <v>7073</v>
      </c>
      <c r="E2120" s="0" t="s">
        <v>75</v>
      </c>
      <c r="F2120" s="0" t="s">
        <v>15</v>
      </c>
      <c r="G2120" s="0" t="s">
        <v>16</v>
      </c>
      <c r="H2120" s="0" t="n">
        <v>145</v>
      </c>
      <c r="I2120" s="0" t="s">
        <v>7083</v>
      </c>
      <c r="J2120" s="0" t="s">
        <v>7084</v>
      </c>
      <c r="K2120" s="0" t="s">
        <v>7085</v>
      </c>
      <c r="L2120" s="0" t="str">
        <f aca="false">HYPERLINK("https://www.ncbi.nlm.nih.gov/nuccore/CP000058.1?report=graph&amp;tracks=[key:gene_model_track,Options:GeneOnly]&amp;mk=659534:659553|offset_19|444444,659556:659575|offset_41|444444,659621:659640|offset_106|444444,659660:659679|offset_145|00cc00&amp;v=659333:659879&amp;c=444444", "offset 145")</f>
        <v>offset 145</v>
      </c>
    </row>
    <row r="2121" customFormat="false" ht="12.8" hidden="false" customHeight="false" outlineLevel="0" collapsed="false">
      <c r="A2121" s="0" t="s">
        <v>12</v>
      </c>
      <c r="B2121" s="0" t="n">
        <v>660027</v>
      </c>
      <c r="C2121" s="0" t="n">
        <v>660047</v>
      </c>
      <c r="D2121" s="0" t="s">
        <v>7086</v>
      </c>
      <c r="E2121" s="0" t="s">
        <v>75</v>
      </c>
      <c r="F2121" s="0" t="s">
        <v>15</v>
      </c>
      <c r="G2121" s="0" t="s">
        <v>36</v>
      </c>
      <c r="H2121" s="0" t="n">
        <v>49</v>
      </c>
      <c r="I2121" s="0" t="s">
        <v>7087</v>
      </c>
      <c r="J2121" s="0" t="s">
        <v>7088</v>
      </c>
      <c r="K2121" s="0" t="s">
        <v>7089</v>
      </c>
      <c r="L2121" s="0" t="str">
        <f aca="false">HYPERLINK("https://www.ncbi.nlm.nih.gov/nuccore/CP000058.1?report=graph&amp;tracks=[key:gene_model_track,Options:GeneOnly]&amp;mk=660028:660047|offset_49|00cc00,660049:660068|offset_70|444444,660071:660090|offset_92|444444,660113:660132|offset_134|444444&amp;v=659827:660332&amp;c=444444", "offset 49")</f>
        <v>offset 49</v>
      </c>
    </row>
    <row r="2122" customFormat="false" ht="12.8" hidden="false" customHeight="false" outlineLevel="0" collapsed="false">
      <c r="A2122" s="0" t="s">
        <v>12</v>
      </c>
      <c r="B2122" s="0" t="n">
        <v>660048</v>
      </c>
      <c r="C2122" s="0" t="n">
        <v>660068</v>
      </c>
      <c r="D2122" s="0" t="s">
        <v>7086</v>
      </c>
      <c r="E2122" s="0" t="s">
        <v>75</v>
      </c>
      <c r="F2122" s="0" t="s">
        <v>15</v>
      </c>
      <c r="G2122" s="0" t="s">
        <v>16</v>
      </c>
      <c r="H2122" s="0" t="n">
        <v>70</v>
      </c>
      <c r="I2122" s="0" t="s">
        <v>7090</v>
      </c>
      <c r="J2122" s="0" t="s">
        <v>7091</v>
      </c>
      <c r="K2122" s="0" t="s">
        <v>7092</v>
      </c>
      <c r="L2122" s="0" t="str">
        <f aca="false">HYPERLINK("https://www.ncbi.nlm.nih.gov/nuccore/CP000058.1?report=graph&amp;tracks=[key:gene_model_track,Options:GeneOnly]&amp;mk=660028:660047|offset_49|444444,660049:660068|offset_70|00cc00,660071:660090|offset_92|444444,660113:660132|offset_134|444444&amp;v=659827:660332&amp;c=444444", "offset 70")</f>
        <v>offset 70</v>
      </c>
    </row>
    <row r="2123" customFormat="false" ht="12.8" hidden="false" customHeight="false" outlineLevel="0" collapsed="false">
      <c r="A2123" s="0" t="s">
        <v>12</v>
      </c>
      <c r="B2123" s="0" t="n">
        <v>660070</v>
      </c>
      <c r="C2123" s="0" t="n">
        <v>660090</v>
      </c>
      <c r="D2123" s="0" t="s">
        <v>7086</v>
      </c>
      <c r="E2123" s="0" t="s">
        <v>75</v>
      </c>
      <c r="F2123" s="0" t="s">
        <v>15</v>
      </c>
      <c r="G2123" s="0" t="s">
        <v>16</v>
      </c>
      <c r="H2123" s="0" t="n">
        <v>92</v>
      </c>
      <c r="I2123" s="0" t="s">
        <v>7093</v>
      </c>
      <c r="J2123" s="0" t="s">
        <v>7094</v>
      </c>
      <c r="K2123" s="0" t="s">
        <v>7095</v>
      </c>
      <c r="L2123" s="0" t="str">
        <f aca="false">HYPERLINK("https://www.ncbi.nlm.nih.gov/nuccore/CP000058.1?report=graph&amp;tracks=[key:gene_model_track,Options:GeneOnly]&amp;mk=660028:660047|offset_49|444444,660049:660068|offset_70|444444,660071:660090|offset_92|00cc00,660113:660132|offset_134|444444&amp;v=659827:660332&amp;c=444444", "offset 92")</f>
        <v>offset 92</v>
      </c>
    </row>
    <row r="2124" customFormat="false" ht="12.8" hidden="false" customHeight="false" outlineLevel="0" collapsed="false">
      <c r="A2124" s="0" t="s">
        <v>12</v>
      </c>
      <c r="B2124" s="0" t="n">
        <v>660112</v>
      </c>
      <c r="C2124" s="0" t="n">
        <v>660132</v>
      </c>
      <c r="D2124" s="0" t="s">
        <v>7086</v>
      </c>
      <c r="E2124" s="0" t="s">
        <v>75</v>
      </c>
      <c r="F2124" s="0" t="s">
        <v>15</v>
      </c>
      <c r="G2124" s="0" t="s">
        <v>20</v>
      </c>
      <c r="H2124" s="0" t="n">
        <v>134</v>
      </c>
      <c r="I2124" s="0" t="s">
        <v>7096</v>
      </c>
      <c r="J2124" s="0" t="s">
        <v>7097</v>
      </c>
      <c r="K2124" s="0" t="s">
        <v>7098</v>
      </c>
      <c r="L2124" s="0" t="str">
        <f aca="false">HYPERLINK("https://www.ncbi.nlm.nih.gov/nuccore/CP000058.1?report=graph&amp;tracks=[key:gene_model_track,Options:GeneOnly]&amp;mk=660028:660047|offset_49|444444,660049:660068|offset_70|444444,660071:660090|offset_92|444444,660113:660132|offset_134|00cc00&amp;v=659827:660332&amp;c=444444", "offset 134")</f>
        <v>offset 134</v>
      </c>
    </row>
    <row r="2125" customFormat="false" ht="12.8" hidden="false" customHeight="false" outlineLevel="0" collapsed="false">
      <c r="A2125" s="0" t="s">
        <v>12</v>
      </c>
      <c r="B2125" s="0" t="n">
        <v>661400</v>
      </c>
      <c r="C2125" s="0" t="n">
        <v>661420</v>
      </c>
      <c r="D2125" s="0" t="s">
        <v>7099</v>
      </c>
      <c r="E2125" s="0" t="s">
        <v>7100</v>
      </c>
      <c r="F2125" s="0" t="s">
        <v>15</v>
      </c>
      <c r="G2125" s="0" t="s">
        <v>16</v>
      </c>
      <c r="H2125" s="0" t="n">
        <v>7</v>
      </c>
      <c r="I2125" s="0" t="s">
        <v>7101</v>
      </c>
      <c r="J2125" s="0" t="s">
        <v>7102</v>
      </c>
      <c r="K2125" s="0" t="s">
        <v>7103</v>
      </c>
      <c r="L2125" s="0" t="str">
        <f aca="false">HYPERLINK("https://www.ncbi.nlm.nih.gov/nuccore/CP000058.1?report=graph&amp;tracks=[key:gene_model_track,Options:GeneOnly]&amp;mk=661401:661420|offset_7|00cc00,661422:661441|offset_28|444444,661447:661466|offset_53|444444,661492:661511|offset_98|444444&amp;v=661200:661711&amp;c=444444", "offset 7")</f>
        <v>offset 7</v>
      </c>
    </row>
    <row r="2126" customFormat="false" ht="12.8" hidden="false" customHeight="false" outlineLevel="0" collapsed="false">
      <c r="A2126" s="0" t="s">
        <v>12</v>
      </c>
      <c r="B2126" s="0" t="n">
        <v>661421</v>
      </c>
      <c r="C2126" s="0" t="n">
        <v>661441</v>
      </c>
      <c r="D2126" s="0" t="s">
        <v>7099</v>
      </c>
      <c r="E2126" s="0" t="s">
        <v>7100</v>
      </c>
      <c r="F2126" s="0" t="s">
        <v>15</v>
      </c>
      <c r="G2126" s="0" t="s">
        <v>16</v>
      </c>
      <c r="H2126" s="0" t="n">
        <v>28</v>
      </c>
      <c r="I2126" s="0" t="s">
        <v>7104</v>
      </c>
      <c r="J2126" s="0" t="s">
        <v>7105</v>
      </c>
      <c r="K2126" s="0" t="s">
        <v>7106</v>
      </c>
      <c r="L2126" s="0" t="str">
        <f aca="false">HYPERLINK("https://www.ncbi.nlm.nih.gov/nuccore/CP000058.1?report=graph&amp;tracks=[key:gene_model_track,Options:GeneOnly]&amp;mk=661401:661420|offset_7|444444,661422:661441|offset_28|00cc00,661447:661466|offset_53|444444,661492:661511|offset_98|444444&amp;v=661200:661711&amp;c=444444", "offset 28")</f>
        <v>offset 28</v>
      </c>
    </row>
    <row r="2127" customFormat="false" ht="12.8" hidden="false" customHeight="false" outlineLevel="0" collapsed="false">
      <c r="A2127" s="0" t="s">
        <v>12</v>
      </c>
      <c r="B2127" s="0" t="n">
        <v>661446</v>
      </c>
      <c r="C2127" s="0" t="n">
        <v>661466</v>
      </c>
      <c r="D2127" s="0" t="s">
        <v>7099</v>
      </c>
      <c r="E2127" s="0" t="s">
        <v>7100</v>
      </c>
      <c r="F2127" s="0" t="s">
        <v>15</v>
      </c>
      <c r="G2127" s="0" t="s">
        <v>20</v>
      </c>
      <c r="H2127" s="0" t="n">
        <v>53</v>
      </c>
      <c r="I2127" s="0" t="s">
        <v>7107</v>
      </c>
      <c r="J2127" s="0" t="s">
        <v>7108</v>
      </c>
      <c r="K2127" s="0" t="s">
        <v>7109</v>
      </c>
      <c r="L2127" s="0" t="str">
        <f aca="false">HYPERLINK("https://www.ncbi.nlm.nih.gov/nuccore/CP000058.1?report=graph&amp;tracks=[key:gene_model_track,Options:GeneOnly]&amp;mk=661401:661420|offset_7|444444,661422:661441|offset_28|444444,661447:661466|offset_53|00cc00,661492:661511|offset_98|444444&amp;v=661200:661711&amp;c=444444", "offset 53")</f>
        <v>offset 53</v>
      </c>
    </row>
    <row r="2128" customFormat="false" ht="12.8" hidden="false" customHeight="false" outlineLevel="0" collapsed="false">
      <c r="A2128" s="0" t="s">
        <v>12</v>
      </c>
      <c r="B2128" s="0" t="n">
        <v>661491</v>
      </c>
      <c r="C2128" s="0" t="n">
        <v>661511</v>
      </c>
      <c r="D2128" s="0" t="s">
        <v>7099</v>
      </c>
      <c r="E2128" s="0" t="s">
        <v>7100</v>
      </c>
      <c r="F2128" s="0" t="s">
        <v>15</v>
      </c>
      <c r="G2128" s="0" t="s">
        <v>32</v>
      </c>
      <c r="H2128" s="0" t="n">
        <v>98</v>
      </c>
      <c r="I2128" s="0" t="s">
        <v>7110</v>
      </c>
      <c r="J2128" s="0" t="s">
        <v>7111</v>
      </c>
      <c r="K2128" s="0" t="s">
        <v>7112</v>
      </c>
      <c r="L2128" s="0" t="str">
        <f aca="false">HYPERLINK("https://www.ncbi.nlm.nih.gov/nuccore/CP000058.1?report=graph&amp;tracks=[key:gene_model_track,Options:GeneOnly]&amp;mk=661401:661420|offset_7|444444,661422:661441|offset_28|444444,661447:661466|offset_53|444444,661492:661511|offset_98|00cc00&amp;v=661200:661711&amp;c=444444", "offset 98")</f>
        <v>offset 98</v>
      </c>
    </row>
    <row r="2129" customFormat="false" ht="12.8" hidden="false" customHeight="false" outlineLevel="0" collapsed="false">
      <c r="A2129" s="0" t="s">
        <v>12</v>
      </c>
      <c r="B2129" s="0" t="n">
        <v>663355</v>
      </c>
      <c r="C2129" s="0" t="n">
        <v>663375</v>
      </c>
      <c r="D2129" s="0" t="s">
        <v>7113</v>
      </c>
      <c r="E2129" s="0" t="s">
        <v>7114</v>
      </c>
      <c r="F2129" s="0" t="s">
        <v>15</v>
      </c>
      <c r="G2129" s="0" t="s">
        <v>20</v>
      </c>
      <c r="H2129" s="0" t="n">
        <v>15</v>
      </c>
      <c r="I2129" s="0" t="s">
        <v>7115</v>
      </c>
      <c r="J2129" s="0" t="s">
        <v>7116</v>
      </c>
      <c r="K2129" s="0" t="s">
        <v>7117</v>
      </c>
      <c r="L2129" s="0" t="str">
        <f aca="false">HYPERLINK("https://www.ncbi.nlm.nih.gov/nuccore/CP000058.1?report=graph&amp;tracks=[key:gene_model_track,Options:GeneOnly]&amp;mk=663356:663375|offset_15|00cc00,663380:663399|offset_39|444444,663403:663422|offset_62|444444,663431:663450|offset_90|444444&amp;v=663155:663650&amp;c=444444", "offset 15")</f>
        <v>offset 15</v>
      </c>
    </row>
    <row r="2130" customFormat="false" ht="12.8" hidden="false" customHeight="false" outlineLevel="0" collapsed="false">
      <c r="A2130" s="0" t="s">
        <v>12</v>
      </c>
      <c r="B2130" s="0" t="n">
        <v>663379</v>
      </c>
      <c r="C2130" s="0" t="n">
        <v>663399</v>
      </c>
      <c r="D2130" s="0" t="s">
        <v>7113</v>
      </c>
      <c r="E2130" s="0" t="s">
        <v>7114</v>
      </c>
      <c r="F2130" s="0" t="s">
        <v>15</v>
      </c>
      <c r="G2130" s="0" t="s">
        <v>20</v>
      </c>
      <c r="H2130" s="0" t="n">
        <v>39</v>
      </c>
      <c r="I2130" s="0" t="s">
        <v>7118</v>
      </c>
      <c r="J2130" s="0" t="s">
        <v>7119</v>
      </c>
      <c r="K2130" s="0" t="s">
        <v>7120</v>
      </c>
      <c r="L2130" s="0" t="str">
        <f aca="false">HYPERLINK("https://www.ncbi.nlm.nih.gov/nuccore/CP000058.1?report=graph&amp;tracks=[key:gene_model_track,Options:GeneOnly]&amp;mk=663356:663375|offset_15|444444,663380:663399|offset_39|00cc00,663403:663422|offset_62|444444,663431:663450|offset_90|444444&amp;v=663155:663650&amp;c=444444", "offset 39")</f>
        <v>offset 39</v>
      </c>
    </row>
    <row r="2131" customFormat="false" ht="12.8" hidden="false" customHeight="false" outlineLevel="0" collapsed="false">
      <c r="A2131" s="0" t="s">
        <v>12</v>
      </c>
      <c r="B2131" s="0" t="n">
        <v>663402</v>
      </c>
      <c r="C2131" s="0" t="n">
        <v>663422</v>
      </c>
      <c r="D2131" s="0" t="s">
        <v>7113</v>
      </c>
      <c r="E2131" s="0" t="s">
        <v>7114</v>
      </c>
      <c r="F2131" s="0" t="s">
        <v>15</v>
      </c>
      <c r="G2131" s="0" t="s">
        <v>20</v>
      </c>
      <c r="H2131" s="0" t="n">
        <v>62</v>
      </c>
      <c r="I2131" s="0" t="s">
        <v>7121</v>
      </c>
      <c r="J2131" s="0" t="s">
        <v>7122</v>
      </c>
      <c r="K2131" s="0" t="s">
        <v>7123</v>
      </c>
      <c r="L2131" s="0" t="str">
        <f aca="false">HYPERLINK("https://www.ncbi.nlm.nih.gov/nuccore/CP000058.1?report=graph&amp;tracks=[key:gene_model_track,Options:GeneOnly]&amp;mk=663356:663375|offset_15|444444,663380:663399|offset_39|444444,663403:663422|offset_62|00cc00,663431:663450|offset_90|444444&amp;v=663155:663650&amp;c=444444", "offset 62")</f>
        <v>offset 62</v>
      </c>
    </row>
    <row r="2132" customFormat="false" ht="12.8" hidden="false" customHeight="false" outlineLevel="0" collapsed="false">
      <c r="A2132" s="0" t="s">
        <v>12</v>
      </c>
      <c r="B2132" s="0" t="n">
        <v>663430</v>
      </c>
      <c r="C2132" s="0" t="n">
        <v>663450</v>
      </c>
      <c r="D2132" s="0" t="s">
        <v>7113</v>
      </c>
      <c r="E2132" s="0" t="s">
        <v>7114</v>
      </c>
      <c r="F2132" s="0" t="s">
        <v>15</v>
      </c>
      <c r="G2132" s="0" t="s">
        <v>20</v>
      </c>
      <c r="H2132" s="0" t="n">
        <v>90</v>
      </c>
      <c r="I2132" s="0" t="s">
        <v>7124</v>
      </c>
      <c r="J2132" s="0" t="s">
        <v>7125</v>
      </c>
      <c r="K2132" s="0" t="s">
        <v>7126</v>
      </c>
      <c r="L2132" s="0" t="str">
        <f aca="false">HYPERLINK("https://www.ncbi.nlm.nih.gov/nuccore/CP000058.1?report=graph&amp;tracks=[key:gene_model_track,Options:GeneOnly]&amp;mk=663356:663375|offset_15|444444,663380:663399|offset_39|444444,663403:663422|offset_62|444444,663431:663450|offset_90|00cc00&amp;v=663155:663650&amp;c=444444", "offset 90")</f>
        <v>offset 90</v>
      </c>
    </row>
    <row r="2133" customFormat="false" ht="12.8" hidden="false" customHeight="false" outlineLevel="0" collapsed="false">
      <c r="A2133" s="0" t="s">
        <v>12</v>
      </c>
      <c r="B2133" s="0" t="n">
        <v>664432</v>
      </c>
      <c r="C2133" s="0" t="n">
        <v>664452</v>
      </c>
      <c r="D2133" s="0" t="s">
        <v>7127</v>
      </c>
      <c r="E2133" s="0" t="s">
        <v>75</v>
      </c>
      <c r="F2133" s="0" t="s">
        <v>15</v>
      </c>
      <c r="G2133" s="0" t="s">
        <v>36</v>
      </c>
      <c r="H2133" s="0" t="n">
        <v>29</v>
      </c>
      <c r="I2133" s="0" t="s">
        <v>7128</v>
      </c>
      <c r="J2133" s="0" t="s">
        <v>7129</v>
      </c>
      <c r="K2133" s="0" t="s">
        <v>7130</v>
      </c>
      <c r="L2133" s="0" t="str">
        <f aca="false">HYPERLINK("https://www.ncbi.nlm.nih.gov/nuccore/CP000058.1?report=graph&amp;tracks=[key:gene_model_track,Options:GeneOnly]&amp;mk=664433:664452|offset_29|00cc00,664481:664500|offset_77|444444,664526:664545|offset_122|444444,664559:664578|offset_155|444444&amp;v=664232:664778&amp;c=444444", "offset 29")</f>
        <v>offset 29</v>
      </c>
    </row>
    <row r="2134" customFormat="false" ht="12.8" hidden="false" customHeight="false" outlineLevel="0" collapsed="false">
      <c r="A2134" s="0" t="s">
        <v>12</v>
      </c>
      <c r="B2134" s="0" t="n">
        <v>664480</v>
      </c>
      <c r="C2134" s="0" t="n">
        <v>664500</v>
      </c>
      <c r="D2134" s="0" t="s">
        <v>7127</v>
      </c>
      <c r="E2134" s="0" t="s">
        <v>75</v>
      </c>
      <c r="F2134" s="0" t="s">
        <v>15</v>
      </c>
      <c r="G2134" s="0" t="s">
        <v>20</v>
      </c>
      <c r="H2134" s="0" t="n">
        <v>77</v>
      </c>
      <c r="I2134" s="0" t="s">
        <v>7131</v>
      </c>
      <c r="J2134" s="0" t="s">
        <v>7132</v>
      </c>
      <c r="K2134" s="0" t="s">
        <v>7133</v>
      </c>
      <c r="L2134" s="0" t="str">
        <f aca="false">HYPERLINK("https://www.ncbi.nlm.nih.gov/nuccore/CP000058.1?report=graph&amp;tracks=[key:gene_model_track,Options:GeneOnly]&amp;mk=664433:664452|offset_29|444444,664481:664500|offset_77|00cc00,664526:664545|offset_122|444444,664559:664578|offset_155|444444&amp;v=664232:664778&amp;c=444444", "offset 77")</f>
        <v>offset 77</v>
      </c>
    </row>
    <row r="2135" customFormat="false" ht="12.8" hidden="false" customHeight="false" outlineLevel="0" collapsed="false">
      <c r="A2135" s="0" t="s">
        <v>12</v>
      </c>
      <c r="B2135" s="0" t="n">
        <v>664525</v>
      </c>
      <c r="C2135" s="0" t="n">
        <v>664545</v>
      </c>
      <c r="D2135" s="0" t="s">
        <v>7127</v>
      </c>
      <c r="E2135" s="0" t="s">
        <v>75</v>
      </c>
      <c r="F2135" s="0" t="s">
        <v>15</v>
      </c>
      <c r="G2135" s="0" t="s">
        <v>32</v>
      </c>
      <c r="H2135" s="0" t="n">
        <v>122</v>
      </c>
      <c r="I2135" s="0" t="s">
        <v>7134</v>
      </c>
      <c r="J2135" s="0" t="s">
        <v>7135</v>
      </c>
      <c r="K2135" s="0" t="s">
        <v>7136</v>
      </c>
      <c r="L2135" s="0" t="str">
        <f aca="false">HYPERLINK("https://www.ncbi.nlm.nih.gov/nuccore/CP000058.1?report=graph&amp;tracks=[key:gene_model_track,Options:GeneOnly]&amp;mk=664433:664452|offset_29|444444,664481:664500|offset_77|444444,664526:664545|offset_122|00cc00,664559:664578|offset_155|444444&amp;v=664232:664778&amp;c=444444", "offset 122")</f>
        <v>offset 122</v>
      </c>
    </row>
    <row r="2136" customFormat="false" ht="12.8" hidden="false" customHeight="false" outlineLevel="0" collapsed="false">
      <c r="A2136" s="0" t="s">
        <v>12</v>
      </c>
      <c r="B2136" s="0" t="n">
        <v>664558</v>
      </c>
      <c r="C2136" s="0" t="n">
        <v>664578</v>
      </c>
      <c r="D2136" s="0" t="s">
        <v>7127</v>
      </c>
      <c r="E2136" s="0" t="s">
        <v>75</v>
      </c>
      <c r="F2136" s="0" t="s">
        <v>15</v>
      </c>
      <c r="G2136" s="0" t="s">
        <v>32</v>
      </c>
      <c r="H2136" s="0" t="n">
        <v>155</v>
      </c>
      <c r="I2136" s="0" t="s">
        <v>7137</v>
      </c>
      <c r="J2136" s="0" t="s">
        <v>7138</v>
      </c>
      <c r="K2136" s="0" t="s">
        <v>7139</v>
      </c>
      <c r="L2136" s="0" t="str">
        <f aca="false">HYPERLINK("https://www.ncbi.nlm.nih.gov/nuccore/CP000058.1?report=graph&amp;tracks=[key:gene_model_track,Options:GeneOnly]&amp;mk=664433:664452|offset_29|444444,664481:664500|offset_77|444444,664526:664545|offset_122|444444,664559:664578|offset_155|00cc00&amp;v=664232:664778&amp;c=444444", "offset 155")</f>
        <v>offset 155</v>
      </c>
    </row>
    <row r="2137" customFormat="false" ht="12.8" hidden="false" customHeight="false" outlineLevel="0" collapsed="false">
      <c r="A2137" s="0" t="s">
        <v>12</v>
      </c>
      <c r="B2137" s="0" t="n">
        <v>664677</v>
      </c>
      <c r="C2137" s="0" t="n">
        <v>664697</v>
      </c>
      <c r="D2137" s="0" t="s">
        <v>7140</v>
      </c>
      <c r="E2137" s="0" t="s">
        <v>75</v>
      </c>
      <c r="F2137" s="0" t="s">
        <v>15</v>
      </c>
      <c r="G2137" s="0" t="s">
        <v>20</v>
      </c>
      <c r="H2137" s="0" t="n">
        <v>1</v>
      </c>
      <c r="I2137" s="0" t="s">
        <v>7141</v>
      </c>
      <c r="J2137" s="0" t="s">
        <v>7142</v>
      </c>
      <c r="K2137" s="0" t="s">
        <v>7143</v>
      </c>
      <c r="L2137" s="0" t="str">
        <f aca="false">HYPERLINK("https://www.ncbi.nlm.nih.gov/nuccore/CP000058.1?report=graph&amp;tracks=[key:gene_model_track,Options:GeneOnly]&amp;mk=664678:664697|offset_1|00cc00,664742:664761|offset_65|444444,664783:664802|offset_106|444444,664804:664823|offset_127|444444&amp;v=664477:665023&amp;c=444444", "offset 1")</f>
        <v>offset 1</v>
      </c>
    </row>
    <row r="2138" customFormat="false" ht="12.8" hidden="false" customHeight="false" outlineLevel="0" collapsed="false">
      <c r="A2138" s="0" t="s">
        <v>12</v>
      </c>
      <c r="B2138" s="0" t="n">
        <v>664741</v>
      </c>
      <c r="C2138" s="0" t="n">
        <v>664761</v>
      </c>
      <c r="D2138" s="0" t="s">
        <v>7140</v>
      </c>
      <c r="E2138" s="0" t="s">
        <v>75</v>
      </c>
      <c r="F2138" s="0" t="s">
        <v>15</v>
      </c>
      <c r="G2138" s="0" t="s">
        <v>36</v>
      </c>
      <c r="H2138" s="0" t="n">
        <v>65</v>
      </c>
      <c r="I2138" s="0" t="s">
        <v>7144</v>
      </c>
      <c r="J2138" s="0" t="s">
        <v>7145</v>
      </c>
      <c r="K2138" s="0" t="s">
        <v>7146</v>
      </c>
      <c r="L2138" s="0" t="str">
        <f aca="false">HYPERLINK("https://www.ncbi.nlm.nih.gov/nuccore/CP000058.1?report=graph&amp;tracks=[key:gene_model_track,Options:GeneOnly]&amp;mk=664678:664697|offset_1|444444,664742:664761|offset_65|00cc00,664783:664802|offset_106|444444,664804:664823|offset_127|444444&amp;v=664477:665023&amp;c=444444", "offset 65")</f>
        <v>offset 65</v>
      </c>
    </row>
    <row r="2139" customFormat="false" ht="12.8" hidden="false" customHeight="false" outlineLevel="0" collapsed="false">
      <c r="A2139" s="0" t="s">
        <v>12</v>
      </c>
      <c r="B2139" s="0" t="n">
        <v>664782</v>
      </c>
      <c r="C2139" s="0" t="n">
        <v>664802</v>
      </c>
      <c r="D2139" s="0" t="s">
        <v>7140</v>
      </c>
      <c r="E2139" s="0" t="s">
        <v>75</v>
      </c>
      <c r="F2139" s="0" t="s">
        <v>15</v>
      </c>
      <c r="G2139" s="0" t="s">
        <v>32</v>
      </c>
      <c r="H2139" s="0" t="n">
        <v>106</v>
      </c>
      <c r="I2139" s="0" t="s">
        <v>7147</v>
      </c>
      <c r="J2139" s="0" t="s">
        <v>7148</v>
      </c>
      <c r="K2139" s="0" t="s">
        <v>7149</v>
      </c>
      <c r="L2139" s="0" t="str">
        <f aca="false">HYPERLINK("https://www.ncbi.nlm.nih.gov/nuccore/CP000058.1?report=graph&amp;tracks=[key:gene_model_track,Options:GeneOnly]&amp;mk=664678:664697|offset_1|444444,664742:664761|offset_65|444444,664783:664802|offset_106|00cc00,664804:664823|offset_127|444444&amp;v=664477:665023&amp;c=444444", "offset 106")</f>
        <v>offset 106</v>
      </c>
    </row>
    <row r="2140" customFormat="false" ht="12.8" hidden="false" customHeight="false" outlineLevel="0" collapsed="false">
      <c r="A2140" s="0" t="s">
        <v>12</v>
      </c>
      <c r="B2140" s="0" t="n">
        <v>664803</v>
      </c>
      <c r="C2140" s="0" t="n">
        <v>664823</v>
      </c>
      <c r="D2140" s="0" t="s">
        <v>7140</v>
      </c>
      <c r="E2140" s="0" t="s">
        <v>75</v>
      </c>
      <c r="F2140" s="0" t="s">
        <v>15</v>
      </c>
      <c r="G2140" s="0" t="s">
        <v>16</v>
      </c>
      <c r="H2140" s="0" t="n">
        <v>127</v>
      </c>
      <c r="I2140" s="0" t="s">
        <v>7150</v>
      </c>
      <c r="J2140" s="0" t="s">
        <v>7151</v>
      </c>
      <c r="K2140" s="0" t="s">
        <v>7152</v>
      </c>
      <c r="L2140" s="0" t="str">
        <f aca="false">HYPERLINK("https://www.ncbi.nlm.nih.gov/nuccore/CP000058.1?report=graph&amp;tracks=[key:gene_model_track,Options:GeneOnly]&amp;mk=664678:664697|offset_1|444444,664742:664761|offset_65|444444,664783:664802|offset_106|444444,664804:664823|offset_127|00cc00&amp;v=664477:665023&amp;c=444444", "offset 127")</f>
        <v>offset 127</v>
      </c>
    </row>
    <row r="2141" customFormat="false" ht="12.8" hidden="false" customHeight="false" outlineLevel="0" collapsed="false">
      <c r="A2141" s="0" t="s">
        <v>12</v>
      </c>
      <c r="B2141" s="0" t="n">
        <v>666092</v>
      </c>
      <c r="C2141" s="0" t="n">
        <v>666112</v>
      </c>
      <c r="D2141" s="0" t="s">
        <v>7153</v>
      </c>
      <c r="E2141" s="0" t="s">
        <v>7154</v>
      </c>
      <c r="F2141" s="0" t="s">
        <v>15</v>
      </c>
      <c r="G2141" s="0" t="s">
        <v>16</v>
      </c>
      <c r="H2141" s="0" t="n">
        <v>18</v>
      </c>
      <c r="I2141" s="0" t="s">
        <v>7155</v>
      </c>
      <c r="J2141" s="0" t="s">
        <v>7156</v>
      </c>
      <c r="K2141" s="0" t="s">
        <v>7157</v>
      </c>
      <c r="L2141" s="0" t="str">
        <f aca="false">HYPERLINK("https://www.ncbi.nlm.nih.gov/nuccore/CP000058.1?report=graph&amp;tracks=[key:gene_model_track,Options:GeneOnly]&amp;mk=666093:666112|offset_18|00cc00,666120:666139|offset_45|444444,666149:666168|offset_74|444444,666178:666197|offset_103|444444&amp;v=665892:666397&amp;c=444444", "offset 18")</f>
        <v>offset 18</v>
      </c>
    </row>
    <row r="2142" customFormat="false" ht="12.8" hidden="false" customHeight="false" outlineLevel="0" collapsed="false">
      <c r="A2142" s="0" t="s">
        <v>12</v>
      </c>
      <c r="B2142" s="0" t="n">
        <v>666119</v>
      </c>
      <c r="C2142" s="0" t="n">
        <v>666139</v>
      </c>
      <c r="D2142" s="0" t="s">
        <v>7153</v>
      </c>
      <c r="E2142" s="0" t="s">
        <v>7154</v>
      </c>
      <c r="F2142" s="0" t="s">
        <v>15</v>
      </c>
      <c r="G2142" s="0" t="s">
        <v>36</v>
      </c>
      <c r="H2142" s="0" t="n">
        <v>45</v>
      </c>
      <c r="I2142" s="0" t="s">
        <v>7158</v>
      </c>
      <c r="J2142" s="0" t="s">
        <v>7159</v>
      </c>
      <c r="K2142" s="0" t="s">
        <v>7160</v>
      </c>
      <c r="L2142" s="0" t="str">
        <f aca="false">HYPERLINK("https://www.ncbi.nlm.nih.gov/nuccore/CP000058.1?report=graph&amp;tracks=[key:gene_model_track,Options:GeneOnly]&amp;mk=666093:666112|offset_18|444444,666120:666139|offset_45|00cc00,666149:666168|offset_74|444444,666178:666197|offset_103|444444&amp;v=665892:666397&amp;c=444444", "offset 45")</f>
        <v>offset 45</v>
      </c>
    </row>
    <row r="2143" customFormat="false" ht="12.8" hidden="false" customHeight="false" outlineLevel="0" collapsed="false">
      <c r="A2143" s="0" t="s">
        <v>12</v>
      </c>
      <c r="B2143" s="0" t="n">
        <v>666148</v>
      </c>
      <c r="C2143" s="0" t="n">
        <v>666168</v>
      </c>
      <c r="D2143" s="0" t="s">
        <v>7153</v>
      </c>
      <c r="E2143" s="0" t="s">
        <v>7154</v>
      </c>
      <c r="F2143" s="0" t="s">
        <v>15</v>
      </c>
      <c r="G2143" s="0" t="s">
        <v>16</v>
      </c>
      <c r="H2143" s="0" t="n">
        <v>74</v>
      </c>
      <c r="I2143" s="0" t="s">
        <v>7161</v>
      </c>
      <c r="J2143" s="0" t="s">
        <v>7162</v>
      </c>
      <c r="K2143" s="0" t="s">
        <v>7163</v>
      </c>
      <c r="L2143" s="0" t="str">
        <f aca="false">HYPERLINK("https://www.ncbi.nlm.nih.gov/nuccore/CP000058.1?report=graph&amp;tracks=[key:gene_model_track,Options:GeneOnly]&amp;mk=666093:666112|offset_18|444444,666120:666139|offset_45|444444,666149:666168|offset_74|00cc00,666178:666197|offset_103|444444&amp;v=665892:666397&amp;c=444444", "offset 74")</f>
        <v>offset 74</v>
      </c>
    </row>
    <row r="2144" customFormat="false" ht="12.8" hidden="false" customHeight="false" outlineLevel="0" collapsed="false">
      <c r="A2144" s="0" t="s">
        <v>12</v>
      </c>
      <c r="B2144" s="0" t="n">
        <v>666177</v>
      </c>
      <c r="C2144" s="0" t="n">
        <v>666197</v>
      </c>
      <c r="D2144" s="0" t="s">
        <v>7153</v>
      </c>
      <c r="E2144" s="0" t="s">
        <v>7154</v>
      </c>
      <c r="F2144" s="0" t="s">
        <v>15</v>
      </c>
      <c r="G2144" s="0" t="s">
        <v>20</v>
      </c>
      <c r="H2144" s="0" t="n">
        <v>103</v>
      </c>
      <c r="I2144" s="0" t="s">
        <v>7164</v>
      </c>
      <c r="J2144" s="0" t="s">
        <v>7165</v>
      </c>
      <c r="K2144" s="0" t="s">
        <v>7166</v>
      </c>
      <c r="L2144" s="0" t="str">
        <f aca="false">HYPERLINK("https://www.ncbi.nlm.nih.gov/nuccore/CP000058.1?report=graph&amp;tracks=[key:gene_model_track,Options:GeneOnly]&amp;mk=666093:666112|offset_18|444444,666120:666139|offset_45|444444,666149:666168|offset_74|444444,666178:666197|offset_103|00cc00&amp;v=665892:666397&amp;c=444444", "offset 103")</f>
        <v>offset 103</v>
      </c>
    </row>
    <row r="2145" customFormat="false" ht="12.8" hidden="false" customHeight="false" outlineLevel="0" collapsed="false">
      <c r="A2145" s="0" t="s">
        <v>12</v>
      </c>
      <c r="B2145" s="0" t="n">
        <v>667298</v>
      </c>
      <c r="C2145" s="0" t="n">
        <v>667318</v>
      </c>
      <c r="D2145" s="0" t="s">
        <v>7167</v>
      </c>
      <c r="E2145" s="0" t="s">
        <v>7168</v>
      </c>
      <c r="F2145" s="0" t="s">
        <v>15</v>
      </c>
      <c r="G2145" s="0" t="s">
        <v>36</v>
      </c>
      <c r="H2145" s="0" t="n">
        <v>25</v>
      </c>
      <c r="I2145" s="0" t="s">
        <v>7169</v>
      </c>
      <c r="J2145" s="0" t="s">
        <v>7170</v>
      </c>
      <c r="K2145" s="0" t="s">
        <v>7171</v>
      </c>
      <c r="L2145" s="0" t="str">
        <f aca="false">HYPERLINK("https://www.ncbi.nlm.nih.gov/nuccore/CP000058.1?report=graph&amp;tracks=[key:gene_model_track,Options:GeneOnly]&amp;mk=667299:667318|offset_25|00cc00,667332:667351|offset_58|444444,667356:667375|offset_82|444444,667399:667418|offset_125|444444&amp;v=667098:667618&amp;c=444444", "offset 25")</f>
        <v>offset 25</v>
      </c>
    </row>
    <row r="2146" customFormat="false" ht="12.8" hidden="false" customHeight="false" outlineLevel="0" collapsed="false">
      <c r="A2146" s="0" t="s">
        <v>12</v>
      </c>
      <c r="B2146" s="0" t="n">
        <v>667331</v>
      </c>
      <c r="C2146" s="0" t="n">
        <v>667351</v>
      </c>
      <c r="D2146" s="0" t="s">
        <v>7167</v>
      </c>
      <c r="E2146" s="0" t="s">
        <v>7168</v>
      </c>
      <c r="F2146" s="0" t="s">
        <v>15</v>
      </c>
      <c r="G2146" s="0" t="s">
        <v>20</v>
      </c>
      <c r="H2146" s="0" t="n">
        <v>58</v>
      </c>
      <c r="I2146" s="0" t="s">
        <v>7172</v>
      </c>
      <c r="J2146" s="0" t="s">
        <v>7173</v>
      </c>
      <c r="K2146" s="0" t="s">
        <v>7174</v>
      </c>
      <c r="L2146" s="0" t="str">
        <f aca="false">HYPERLINK("https://www.ncbi.nlm.nih.gov/nuccore/CP000058.1?report=graph&amp;tracks=[key:gene_model_track,Options:GeneOnly]&amp;mk=667299:667318|offset_25|444444,667332:667351|offset_58|00cc00,667356:667375|offset_82|444444,667399:667418|offset_125|444444&amp;v=667098:667618&amp;c=444444", "offset 58")</f>
        <v>offset 58</v>
      </c>
    </row>
    <row r="2147" customFormat="false" ht="12.8" hidden="false" customHeight="false" outlineLevel="0" collapsed="false">
      <c r="A2147" s="0" t="s">
        <v>12</v>
      </c>
      <c r="B2147" s="0" t="n">
        <v>667355</v>
      </c>
      <c r="C2147" s="0" t="n">
        <v>667375</v>
      </c>
      <c r="D2147" s="0" t="s">
        <v>7167</v>
      </c>
      <c r="E2147" s="0" t="s">
        <v>7168</v>
      </c>
      <c r="F2147" s="0" t="s">
        <v>15</v>
      </c>
      <c r="G2147" s="0" t="s">
        <v>36</v>
      </c>
      <c r="H2147" s="0" t="n">
        <v>82</v>
      </c>
      <c r="I2147" s="0" t="s">
        <v>7175</v>
      </c>
      <c r="J2147" s="0" t="s">
        <v>7176</v>
      </c>
      <c r="K2147" s="0" t="s">
        <v>7177</v>
      </c>
      <c r="L2147" s="0" t="str">
        <f aca="false">HYPERLINK("https://www.ncbi.nlm.nih.gov/nuccore/CP000058.1?report=graph&amp;tracks=[key:gene_model_track,Options:GeneOnly]&amp;mk=667299:667318|offset_25|444444,667332:667351|offset_58|444444,667356:667375|offset_82|00cc00,667399:667418|offset_125|444444&amp;v=667098:667618&amp;c=444444", "offset 82")</f>
        <v>offset 82</v>
      </c>
    </row>
    <row r="2148" customFormat="false" ht="12.8" hidden="false" customHeight="false" outlineLevel="0" collapsed="false">
      <c r="A2148" s="0" t="s">
        <v>12</v>
      </c>
      <c r="B2148" s="0" t="n">
        <v>667398</v>
      </c>
      <c r="C2148" s="0" t="n">
        <v>667418</v>
      </c>
      <c r="D2148" s="0" t="s">
        <v>7167</v>
      </c>
      <c r="E2148" s="0" t="s">
        <v>7168</v>
      </c>
      <c r="F2148" s="0" t="s">
        <v>15</v>
      </c>
      <c r="G2148" s="0" t="s">
        <v>32</v>
      </c>
      <c r="H2148" s="0" t="n">
        <v>125</v>
      </c>
      <c r="I2148" s="0" t="s">
        <v>7178</v>
      </c>
      <c r="J2148" s="0" t="s">
        <v>7179</v>
      </c>
      <c r="K2148" s="0" t="s">
        <v>7180</v>
      </c>
      <c r="L2148" s="0" t="str">
        <f aca="false">HYPERLINK("https://www.ncbi.nlm.nih.gov/nuccore/CP000058.1?report=graph&amp;tracks=[key:gene_model_track,Options:GeneOnly]&amp;mk=667299:667318|offset_25|444444,667332:667351|offset_58|444444,667356:667375|offset_82|444444,667399:667418|offset_125|00cc00&amp;v=667098:667618&amp;c=444444", "offset 125")</f>
        <v>offset 125</v>
      </c>
    </row>
    <row r="2149" customFormat="false" ht="12.8" hidden="false" customHeight="false" outlineLevel="0" collapsed="false">
      <c r="A2149" s="0" t="s">
        <v>12</v>
      </c>
      <c r="B2149" s="0" t="n">
        <v>668430</v>
      </c>
      <c r="C2149" s="0" t="n">
        <v>668450</v>
      </c>
      <c r="D2149" s="0" t="s">
        <v>7181</v>
      </c>
      <c r="E2149" s="0" t="s">
        <v>75</v>
      </c>
      <c r="F2149" s="0" t="s">
        <v>15</v>
      </c>
      <c r="G2149" s="0" t="s">
        <v>16</v>
      </c>
      <c r="H2149" s="0" t="n">
        <v>17</v>
      </c>
      <c r="I2149" s="0" t="s">
        <v>7182</v>
      </c>
      <c r="J2149" s="0" t="s">
        <v>7183</v>
      </c>
      <c r="K2149" s="0" t="s">
        <v>7184</v>
      </c>
      <c r="L2149" s="0" t="str">
        <f aca="false">HYPERLINK("https://www.ncbi.nlm.nih.gov/nuccore/CP000058.1?report=graph&amp;tracks=[key:gene_model_track,Options:GeneOnly]&amp;mk=668431:668450|offset_17|00cc00,668468:668487|offset_54|444444,668500:668519|offset_86|444444,668552:668571|offset_138|444444&amp;v=668230:668771&amp;c=444444", "offset 17")</f>
        <v>offset 17</v>
      </c>
    </row>
    <row r="2150" customFormat="false" ht="12.8" hidden="false" customHeight="false" outlineLevel="0" collapsed="false">
      <c r="A2150" s="0" t="s">
        <v>12</v>
      </c>
      <c r="B2150" s="0" t="n">
        <v>668467</v>
      </c>
      <c r="C2150" s="0" t="n">
        <v>668487</v>
      </c>
      <c r="D2150" s="0" t="s">
        <v>7181</v>
      </c>
      <c r="E2150" s="0" t="s">
        <v>75</v>
      </c>
      <c r="F2150" s="0" t="s">
        <v>15</v>
      </c>
      <c r="G2150" s="0" t="s">
        <v>32</v>
      </c>
      <c r="H2150" s="0" t="n">
        <v>54</v>
      </c>
      <c r="I2150" s="0" t="s">
        <v>7185</v>
      </c>
      <c r="J2150" s="0" t="s">
        <v>7186</v>
      </c>
      <c r="K2150" s="0" t="s">
        <v>7187</v>
      </c>
      <c r="L2150" s="0" t="str">
        <f aca="false">HYPERLINK("https://www.ncbi.nlm.nih.gov/nuccore/CP000058.1?report=graph&amp;tracks=[key:gene_model_track,Options:GeneOnly]&amp;mk=668431:668450|offset_17|444444,668468:668487|offset_54|00cc00,668500:668519|offset_86|444444,668552:668571|offset_138|444444&amp;v=668230:668771&amp;c=444444", "offset 54")</f>
        <v>offset 54</v>
      </c>
    </row>
    <row r="2151" customFormat="false" ht="12.8" hidden="false" customHeight="false" outlineLevel="0" collapsed="false">
      <c r="A2151" s="0" t="s">
        <v>12</v>
      </c>
      <c r="B2151" s="0" t="n">
        <v>668499</v>
      </c>
      <c r="C2151" s="0" t="n">
        <v>668519</v>
      </c>
      <c r="D2151" s="0" t="s">
        <v>7181</v>
      </c>
      <c r="E2151" s="0" t="s">
        <v>75</v>
      </c>
      <c r="F2151" s="0" t="s">
        <v>15</v>
      </c>
      <c r="G2151" s="0" t="s">
        <v>16</v>
      </c>
      <c r="H2151" s="0" t="n">
        <v>86</v>
      </c>
      <c r="I2151" s="0" t="s">
        <v>7188</v>
      </c>
      <c r="J2151" s="0" t="s">
        <v>7189</v>
      </c>
      <c r="K2151" s="0" t="s">
        <v>7190</v>
      </c>
      <c r="L2151" s="0" t="str">
        <f aca="false">HYPERLINK("https://www.ncbi.nlm.nih.gov/nuccore/CP000058.1?report=graph&amp;tracks=[key:gene_model_track,Options:GeneOnly]&amp;mk=668431:668450|offset_17|444444,668468:668487|offset_54|444444,668500:668519|offset_86|00cc00,668552:668571|offset_138|444444&amp;v=668230:668771&amp;c=444444", "offset 86")</f>
        <v>offset 86</v>
      </c>
    </row>
    <row r="2152" customFormat="false" ht="12.8" hidden="false" customHeight="false" outlineLevel="0" collapsed="false">
      <c r="A2152" s="0" t="s">
        <v>12</v>
      </c>
      <c r="B2152" s="0" t="n">
        <v>668551</v>
      </c>
      <c r="C2152" s="0" t="n">
        <v>668571</v>
      </c>
      <c r="D2152" s="0" t="s">
        <v>7181</v>
      </c>
      <c r="E2152" s="0" t="s">
        <v>75</v>
      </c>
      <c r="F2152" s="0" t="s">
        <v>15</v>
      </c>
      <c r="G2152" s="0" t="s">
        <v>16</v>
      </c>
      <c r="H2152" s="0" t="n">
        <v>138</v>
      </c>
      <c r="I2152" s="0" t="s">
        <v>7191</v>
      </c>
      <c r="J2152" s="0" t="s">
        <v>7192</v>
      </c>
      <c r="K2152" s="0" t="s">
        <v>7193</v>
      </c>
      <c r="L2152" s="0" t="str">
        <f aca="false">HYPERLINK("https://www.ncbi.nlm.nih.gov/nuccore/CP000058.1?report=graph&amp;tracks=[key:gene_model_track,Options:GeneOnly]&amp;mk=668431:668450|offset_17|444444,668468:668487|offset_54|444444,668500:668519|offset_86|444444,668552:668571|offset_138|00cc00&amp;v=668230:668771&amp;c=444444", "offset 138")</f>
        <v>offset 138</v>
      </c>
    </row>
    <row r="2153" customFormat="false" ht="12.8" hidden="false" customHeight="false" outlineLevel="0" collapsed="false">
      <c r="A2153" s="0" t="s">
        <v>12</v>
      </c>
      <c r="B2153" s="0" t="n">
        <v>669678</v>
      </c>
      <c r="C2153" s="0" t="n">
        <v>669698</v>
      </c>
      <c r="D2153" s="0" t="s">
        <v>7194</v>
      </c>
      <c r="E2153" s="0" t="s">
        <v>7195</v>
      </c>
      <c r="F2153" s="0" t="s">
        <v>15</v>
      </c>
      <c r="G2153" s="0" t="s">
        <v>20</v>
      </c>
      <c r="H2153" s="0" t="n">
        <v>23</v>
      </c>
      <c r="I2153" s="0" t="s">
        <v>7196</v>
      </c>
      <c r="J2153" s="0" t="s">
        <v>7197</v>
      </c>
      <c r="K2153" s="0" t="s">
        <v>7198</v>
      </c>
      <c r="L2153" s="0" t="str">
        <f aca="false">HYPERLINK("https://www.ncbi.nlm.nih.gov/nuccore/CP000058.1?report=graph&amp;tracks=[key:gene_model_track,Options:GeneOnly]&amp;mk=669679:669698|offset_23|00cc00,669732:669751|offset_76|444444,669769:669788|offset_113|444444,669810:669829|offset_154|444444&amp;v=669478:670029&amp;c=444444", "offset 23")</f>
        <v>offset 23</v>
      </c>
    </row>
    <row r="2154" customFormat="false" ht="12.8" hidden="false" customHeight="false" outlineLevel="0" collapsed="false">
      <c r="A2154" s="0" t="s">
        <v>12</v>
      </c>
      <c r="B2154" s="0" t="n">
        <v>669731</v>
      </c>
      <c r="C2154" s="0" t="n">
        <v>669751</v>
      </c>
      <c r="D2154" s="0" t="s">
        <v>7194</v>
      </c>
      <c r="E2154" s="0" t="s">
        <v>7195</v>
      </c>
      <c r="F2154" s="0" t="s">
        <v>15</v>
      </c>
      <c r="G2154" s="0" t="s">
        <v>16</v>
      </c>
      <c r="H2154" s="0" t="n">
        <v>76</v>
      </c>
      <c r="I2154" s="0" t="s">
        <v>7199</v>
      </c>
      <c r="J2154" s="0" t="s">
        <v>7200</v>
      </c>
      <c r="K2154" s="0" t="s">
        <v>7201</v>
      </c>
      <c r="L2154" s="0" t="str">
        <f aca="false">HYPERLINK("https://www.ncbi.nlm.nih.gov/nuccore/CP000058.1?report=graph&amp;tracks=[key:gene_model_track,Options:GeneOnly]&amp;mk=669679:669698|offset_23|444444,669732:669751|offset_76|00cc00,669769:669788|offset_113|444444,669810:669829|offset_154|444444&amp;v=669478:670029&amp;c=444444", "offset 76")</f>
        <v>offset 76</v>
      </c>
    </row>
    <row r="2155" customFormat="false" ht="12.8" hidden="false" customHeight="false" outlineLevel="0" collapsed="false">
      <c r="A2155" s="0" t="s">
        <v>12</v>
      </c>
      <c r="B2155" s="0" t="n">
        <v>669768</v>
      </c>
      <c r="C2155" s="0" t="n">
        <v>669788</v>
      </c>
      <c r="D2155" s="0" t="s">
        <v>7194</v>
      </c>
      <c r="E2155" s="0" t="s">
        <v>7195</v>
      </c>
      <c r="F2155" s="0" t="s">
        <v>15</v>
      </c>
      <c r="G2155" s="0" t="s">
        <v>32</v>
      </c>
      <c r="H2155" s="0" t="n">
        <v>113</v>
      </c>
      <c r="I2155" s="0" t="s">
        <v>7202</v>
      </c>
      <c r="J2155" s="0" t="s">
        <v>7203</v>
      </c>
      <c r="K2155" s="0" t="s">
        <v>7204</v>
      </c>
      <c r="L2155" s="0" t="str">
        <f aca="false">HYPERLINK("https://www.ncbi.nlm.nih.gov/nuccore/CP000058.1?report=graph&amp;tracks=[key:gene_model_track,Options:GeneOnly]&amp;mk=669679:669698|offset_23|444444,669732:669751|offset_76|444444,669769:669788|offset_113|00cc00,669810:669829|offset_154|444444&amp;v=669478:670029&amp;c=444444", "offset 113")</f>
        <v>offset 113</v>
      </c>
    </row>
    <row r="2156" customFormat="false" ht="12.8" hidden="false" customHeight="false" outlineLevel="0" collapsed="false">
      <c r="A2156" s="0" t="s">
        <v>12</v>
      </c>
      <c r="B2156" s="0" t="n">
        <v>669809</v>
      </c>
      <c r="C2156" s="0" t="n">
        <v>669829</v>
      </c>
      <c r="D2156" s="0" t="s">
        <v>7194</v>
      </c>
      <c r="E2156" s="0" t="s">
        <v>7195</v>
      </c>
      <c r="F2156" s="0" t="s">
        <v>15</v>
      </c>
      <c r="G2156" s="0" t="s">
        <v>16</v>
      </c>
      <c r="H2156" s="0" t="n">
        <v>154</v>
      </c>
      <c r="I2156" s="0" t="s">
        <v>7205</v>
      </c>
      <c r="J2156" s="0" t="s">
        <v>7206</v>
      </c>
      <c r="K2156" s="0" t="s">
        <v>7207</v>
      </c>
      <c r="L2156" s="0" t="str">
        <f aca="false">HYPERLINK("https://www.ncbi.nlm.nih.gov/nuccore/CP000058.1?report=graph&amp;tracks=[key:gene_model_track,Options:GeneOnly]&amp;mk=669679:669698|offset_23|444444,669732:669751|offset_76|444444,669769:669788|offset_113|444444,669810:669829|offset_154|00cc00&amp;v=669478:670029&amp;c=444444", "offset 154")</f>
        <v>offset 154</v>
      </c>
    </row>
    <row r="2157" customFormat="false" ht="12.8" hidden="false" customHeight="false" outlineLevel="0" collapsed="false">
      <c r="A2157" s="0" t="s">
        <v>12</v>
      </c>
      <c r="B2157" s="0" t="n">
        <v>671119</v>
      </c>
      <c r="C2157" s="0" t="n">
        <v>671139</v>
      </c>
      <c r="D2157" s="0" t="s">
        <v>7208</v>
      </c>
      <c r="E2157" s="0" t="s">
        <v>75</v>
      </c>
      <c r="F2157" s="0" t="s">
        <v>15</v>
      </c>
      <c r="G2157" s="0" t="s">
        <v>20</v>
      </c>
      <c r="H2157" s="0" t="n">
        <v>0</v>
      </c>
      <c r="I2157" s="0" t="s">
        <v>7209</v>
      </c>
      <c r="J2157" s="0" t="s">
        <v>7210</v>
      </c>
      <c r="K2157" s="0" t="s">
        <v>7211</v>
      </c>
      <c r="L2157" s="0" t="str">
        <f aca="false">HYPERLINK("https://www.ncbi.nlm.nih.gov/nuccore/CP000058.1?report=graph&amp;tracks=[key:gene_model_track,Options:GeneOnly]&amp;mk=671120:671139|offset_0|00cc00,671152:671171|offset_32|444444,671178:671197|offset_58|444444,671226:671245|offset_106|444444&amp;v=670919:671445&amp;c=444444", "offset 0")</f>
        <v>offset 0</v>
      </c>
    </row>
    <row r="2158" customFormat="false" ht="12.8" hidden="false" customHeight="false" outlineLevel="0" collapsed="false">
      <c r="A2158" s="0" t="s">
        <v>12</v>
      </c>
      <c r="B2158" s="0" t="n">
        <v>671151</v>
      </c>
      <c r="C2158" s="0" t="n">
        <v>671171</v>
      </c>
      <c r="D2158" s="0" t="s">
        <v>7208</v>
      </c>
      <c r="E2158" s="0" t="s">
        <v>75</v>
      </c>
      <c r="F2158" s="0" t="s">
        <v>15</v>
      </c>
      <c r="G2158" s="0" t="s">
        <v>16</v>
      </c>
      <c r="H2158" s="0" t="n">
        <v>32</v>
      </c>
      <c r="I2158" s="0" t="s">
        <v>7212</v>
      </c>
      <c r="J2158" s="0" t="s">
        <v>7213</v>
      </c>
      <c r="K2158" s="0" t="s">
        <v>7214</v>
      </c>
      <c r="L2158" s="0" t="str">
        <f aca="false">HYPERLINK("https://www.ncbi.nlm.nih.gov/nuccore/CP000058.1?report=graph&amp;tracks=[key:gene_model_track,Options:GeneOnly]&amp;mk=671120:671139|offset_0|444444,671152:671171|offset_32|00cc00,671178:671197|offset_58|444444,671226:671245|offset_106|444444&amp;v=670919:671445&amp;c=444444", "offset 32")</f>
        <v>offset 32</v>
      </c>
    </row>
    <row r="2159" customFormat="false" ht="12.8" hidden="false" customHeight="false" outlineLevel="0" collapsed="false">
      <c r="A2159" s="0" t="s">
        <v>12</v>
      </c>
      <c r="B2159" s="0" t="n">
        <v>671177</v>
      </c>
      <c r="C2159" s="0" t="n">
        <v>671197</v>
      </c>
      <c r="D2159" s="0" t="s">
        <v>7208</v>
      </c>
      <c r="E2159" s="0" t="s">
        <v>75</v>
      </c>
      <c r="F2159" s="0" t="s">
        <v>15</v>
      </c>
      <c r="G2159" s="0" t="s">
        <v>36</v>
      </c>
      <c r="H2159" s="0" t="n">
        <v>58</v>
      </c>
      <c r="I2159" s="0" t="s">
        <v>7215</v>
      </c>
      <c r="J2159" s="0" t="s">
        <v>7216</v>
      </c>
      <c r="K2159" s="0" t="s">
        <v>7217</v>
      </c>
      <c r="L2159" s="0" t="str">
        <f aca="false">HYPERLINK("https://www.ncbi.nlm.nih.gov/nuccore/CP000058.1?report=graph&amp;tracks=[key:gene_model_track,Options:GeneOnly]&amp;mk=671120:671139|offset_0|444444,671152:671171|offset_32|444444,671178:671197|offset_58|00cc00,671226:671245|offset_106|444444&amp;v=670919:671445&amp;c=444444", "offset 58")</f>
        <v>offset 58</v>
      </c>
    </row>
    <row r="2160" customFormat="false" ht="12.8" hidden="false" customHeight="false" outlineLevel="0" collapsed="false">
      <c r="A2160" s="0" t="s">
        <v>12</v>
      </c>
      <c r="B2160" s="0" t="n">
        <v>671225</v>
      </c>
      <c r="C2160" s="0" t="n">
        <v>671245</v>
      </c>
      <c r="D2160" s="0" t="s">
        <v>7208</v>
      </c>
      <c r="E2160" s="0" t="s">
        <v>75</v>
      </c>
      <c r="F2160" s="0" t="s">
        <v>15</v>
      </c>
      <c r="G2160" s="0" t="s">
        <v>36</v>
      </c>
      <c r="H2160" s="0" t="n">
        <v>106</v>
      </c>
      <c r="I2160" s="0" t="s">
        <v>7218</v>
      </c>
      <c r="J2160" s="0" t="s">
        <v>7219</v>
      </c>
      <c r="K2160" s="0" t="s">
        <v>7220</v>
      </c>
      <c r="L2160" s="0" t="str">
        <f aca="false">HYPERLINK("https://www.ncbi.nlm.nih.gov/nuccore/CP000058.1?report=graph&amp;tracks=[key:gene_model_track,Options:GeneOnly]&amp;mk=671120:671139|offset_0|444444,671152:671171|offset_32|444444,671178:671197|offset_58|444444,671226:671245|offset_106|00cc00&amp;v=670919:671445&amp;c=444444", "offset 106")</f>
        <v>offset 106</v>
      </c>
    </row>
    <row r="2161" customFormat="false" ht="12.8" hidden="false" customHeight="false" outlineLevel="0" collapsed="false">
      <c r="A2161" s="0" t="s">
        <v>12</v>
      </c>
      <c r="B2161" s="0" t="n">
        <v>673724</v>
      </c>
      <c r="C2161" s="0" t="n">
        <v>673744</v>
      </c>
      <c r="D2161" s="0" t="s">
        <v>7221</v>
      </c>
      <c r="E2161" s="0" t="s">
        <v>7222</v>
      </c>
      <c r="F2161" s="0" t="s">
        <v>15</v>
      </c>
      <c r="G2161" s="0" t="s">
        <v>16</v>
      </c>
      <c r="H2161" s="0" t="n">
        <v>7</v>
      </c>
      <c r="I2161" s="0" t="s">
        <v>7223</v>
      </c>
      <c r="J2161" s="0" t="s">
        <v>7224</v>
      </c>
      <c r="K2161" s="0" t="s">
        <v>7225</v>
      </c>
      <c r="L2161" s="0" t="str">
        <f aca="false">HYPERLINK("https://www.ncbi.nlm.nih.gov/nuccore/CP000058.1?report=graph&amp;tracks=[key:gene_model_track,Options:GeneOnly]&amp;mk=673725:673744|offset_7|00cc00,673745:673764|offset_27|444444,673780:673799|offset_62|444444,673832:673851|offset_114|444444&amp;v=673524:674051&amp;c=444444", "offset 7")</f>
        <v>offset 7</v>
      </c>
    </row>
    <row r="2162" customFormat="false" ht="12.8" hidden="false" customHeight="false" outlineLevel="0" collapsed="false">
      <c r="A2162" s="0" t="s">
        <v>12</v>
      </c>
      <c r="B2162" s="0" t="n">
        <v>673744</v>
      </c>
      <c r="C2162" s="0" t="n">
        <v>673764</v>
      </c>
      <c r="D2162" s="0" t="s">
        <v>7221</v>
      </c>
      <c r="E2162" s="0" t="s">
        <v>7222</v>
      </c>
      <c r="F2162" s="0" t="s">
        <v>15</v>
      </c>
      <c r="G2162" s="0" t="s">
        <v>36</v>
      </c>
      <c r="H2162" s="0" t="n">
        <v>27</v>
      </c>
      <c r="I2162" s="0" t="s">
        <v>7226</v>
      </c>
      <c r="J2162" s="0" t="s">
        <v>7227</v>
      </c>
      <c r="K2162" s="0" t="s">
        <v>7228</v>
      </c>
      <c r="L2162" s="0" t="str">
        <f aca="false">HYPERLINK("https://www.ncbi.nlm.nih.gov/nuccore/CP000058.1?report=graph&amp;tracks=[key:gene_model_track,Options:GeneOnly]&amp;mk=673725:673744|offset_7|444444,673745:673764|offset_27|00cc00,673780:673799|offset_62|444444,673832:673851|offset_114|444444&amp;v=673524:674051&amp;c=444444", "offset 27")</f>
        <v>offset 27</v>
      </c>
    </row>
    <row r="2163" customFormat="false" ht="12.8" hidden="false" customHeight="false" outlineLevel="0" collapsed="false">
      <c r="A2163" s="0" t="s">
        <v>12</v>
      </c>
      <c r="B2163" s="0" t="n">
        <v>673779</v>
      </c>
      <c r="C2163" s="0" t="n">
        <v>673799</v>
      </c>
      <c r="D2163" s="0" t="s">
        <v>7221</v>
      </c>
      <c r="E2163" s="0" t="s">
        <v>7222</v>
      </c>
      <c r="F2163" s="0" t="s">
        <v>15</v>
      </c>
      <c r="G2163" s="0" t="s">
        <v>36</v>
      </c>
      <c r="H2163" s="0" t="n">
        <v>62</v>
      </c>
      <c r="I2163" s="0" t="s">
        <v>7229</v>
      </c>
      <c r="J2163" s="0" t="s">
        <v>7230</v>
      </c>
      <c r="K2163" s="0" t="s">
        <v>7231</v>
      </c>
      <c r="L2163" s="0" t="str">
        <f aca="false">HYPERLINK("https://www.ncbi.nlm.nih.gov/nuccore/CP000058.1?report=graph&amp;tracks=[key:gene_model_track,Options:GeneOnly]&amp;mk=673725:673744|offset_7|444444,673745:673764|offset_27|444444,673780:673799|offset_62|00cc00,673832:673851|offset_114|444444&amp;v=673524:674051&amp;c=444444", "offset 62")</f>
        <v>offset 62</v>
      </c>
    </row>
    <row r="2164" customFormat="false" ht="12.8" hidden="false" customHeight="false" outlineLevel="0" collapsed="false">
      <c r="A2164" s="0" t="s">
        <v>12</v>
      </c>
      <c r="B2164" s="0" t="n">
        <v>673831</v>
      </c>
      <c r="C2164" s="0" t="n">
        <v>673851</v>
      </c>
      <c r="D2164" s="0" t="s">
        <v>7221</v>
      </c>
      <c r="E2164" s="0" t="s">
        <v>7222</v>
      </c>
      <c r="F2164" s="0" t="s">
        <v>15</v>
      </c>
      <c r="G2164" s="0" t="s">
        <v>16</v>
      </c>
      <c r="H2164" s="0" t="n">
        <v>114</v>
      </c>
      <c r="I2164" s="0" t="s">
        <v>7232</v>
      </c>
      <c r="J2164" s="0" t="s">
        <v>7233</v>
      </c>
      <c r="K2164" s="0" t="s">
        <v>7234</v>
      </c>
      <c r="L2164" s="0" t="str">
        <f aca="false">HYPERLINK("https://www.ncbi.nlm.nih.gov/nuccore/CP000058.1?report=graph&amp;tracks=[key:gene_model_track,Options:GeneOnly]&amp;mk=673725:673744|offset_7|444444,673745:673764|offset_27|444444,673780:673799|offset_62|444444,673832:673851|offset_114|00cc00&amp;v=673524:674051&amp;c=444444", "offset 114")</f>
        <v>offset 114</v>
      </c>
    </row>
    <row r="2165" customFormat="false" ht="12.8" hidden="false" customHeight="false" outlineLevel="0" collapsed="false">
      <c r="A2165" s="0" t="s">
        <v>12</v>
      </c>
      <c r="B2165" s="0" t="n">
        <v>676384</v>
      </c>
      <c r="C2165" s="0" t="n">
        <v>676404</v>
      </c>
      <c r="D2165" s="0" t="s">
        <v>7235</v>
      </c>
      <c r="E2165" s="0" t="s">
        <v>75</v>
      </c>
      <c r="F2165" s="0" t="s">
        <v>15</v>
      </c>
      <c r="G2165" s="0" t="s">
        <v>16</v>
      </c>
      <c r="H2165" s="0" t="n">
        <v>37</v>
      </c>
      <c r="I2165" s="0" t="s">
        <v>7236</v>
      </c>
      <c r="J2165" s="0" t="s">
        <v>7237</v>
      </c>
      <c r="K2165" s="0" t="s">
        <v>7238</v>
      </c>
      <c r="L2165" s="0" t="str">
        <f aca="false">HYPERLINK("https://www.ncbi.nlm.nih.gov/nuccore/CP000058.1?report=graph&amp;tracks=[key:gene_model_track,Options:GeneOnly]&amp;mk=676385:676404|offset_37|00cc00,676410:676429|offset_62|444444,676439:676458|offset_91|444444,676502:676521|offset_154|444444&amp;v=676184:676721&amp;c=444444", "offset 37")</f>
        <v>offset 37</v>
      </c>
    </row>
    <row r="2166" customFormat="false" ht="12.8" hidden="false" customHeight="false" outlineLevel="0" collapsed="false">
      <c r="A2166" s="0" t="s">
        <v>12</v>
      </c>
      <c r="B2166" s="0" t="n">
        <v>676409</v>
      </c>
      <c r="C2166" s="0" t="n">
        <v>676429</v>
      </c>
      <c r="D2166" s="0" t="s">
        <v>7235</v>
      </c>
      <c r="E2166" s="0" t="s">
        <v>75</v>
      </c>
      <c r="F2166" s="0" t="s">
        <v>15</v>
      </c>
      <c r="G2166" s="0" t="s">
        <v>36</v>
      </c>
      <c r="H2166" s="0" t="n">
        <v>62</v>
      </c>
      <c r="I2166" s="0" t="s">
        <v>7239</v>
      </c>
      <c r="J2166" s="0" t="s">
        <v>7240</v>
      </c>
      <c r="K2166" s="0" t="s">
        <v>7241</v>
      </c>
      <c r="L2166" s="0" t="str">
        <f aca="false">HYPERLINK("https://www.ncbi.nlm.nih.gov/nuccore/CP000058.1?report=graph&amp;tracks=[key:gene_model_track,Options:GeneOnly]&amp;mk=676385:676404|offset_37|444444,676410:676429|offset_62|00cc00,676439:676458|offset_91|444444,676502:676521|offset_154|444444&amp;v=676184:676721&amp;c=444444", "offset 62")</f>
        <v>offset 62</v>
      </c>
    </row>
    <row r="2167" customFormat="false" ht="12.8" hidden="false" customHeight="false" outlineLevel="0" collapsed="false">
      <c r="A2167" s="0" t="s">
        <v>12</v>
      </c>
      <c r="B2167" s="0" t="n">
        <v>676438</v>
      </c>
      <c r="C2167" s="0" t="n">
        <v>676458</v>
      </c>
      <c r="D2167" s="0" t="s">
        <v>7235</v>
      </c>
      <c r="E2167" s="0" t="s">
        <v>75</v>
      </c>
      <c r="F2167" s="0" t="s">
        <v>15</v>
      </c>
      <c r="G2167" s="0" t="s">
        <v>16</v>
      </c>
      <c r="H2167" s="0" t="n">
        <v>91</v>
      </c>
      <c r="I2167" s="0" t="s">
        <v>7242</v>
      </c>
      <c r="J2167" s="0" t="s">
        <v>7243</v>
      </c>
      <c r="K2167" s="0" t="s">
        <v>7244</v>
      </c>
      <c r="L2167" s="0" t="str">
        <f aca="false">HYPERLINK("https://www.ncbi.nlm.nih.gov/nuccore/CP000058.1?report=graph&amp;tracks=[key:gene_model_track,Options:GeneOnly]&amp;mk=676385:676404|offset_37|444444,676410:676429|offset_62|444444,676439:676458|offset_91|00cc00,676502:676521|offset_154|444444&amp;v=676184:676721&amp;c=444444", "offset 91")</f>
        <v>offset 91</v>
      </c>
    </row>
    <row r="2168" customFormat="false" ht="12.8" hidden="false" customHeight="false" outlineLevel="0" collapsed="false">
      <c r="A2168" s="0" t="s">
        <v>12</v>
      </c>
      <c r="B2168" s="0" t="n">
        <v>676501</v>
      </c>
      <c r="C2168" s="0" t="n">
        <v>676521</v>
      </c>
      <c r="D2168" s="0" t="s">
        <v>7235</v>
      </c>
      <c r="E2168" s="0" t="s">
        <v>75</v>
      </c>
      <c r="F2168" s="0" t="s">
        <v>15</v>
      </c>
      <c r="G2168" s="0" t="s">
        <v>32</v>
      </c>
      <c r="H2168" s="0" t="n">
        <v>154</v>
      </c>
      <c r="I2168" s="0" t="s">
        <v>7245</v>
      </c>
      <c r="J2168" s="0" t="s">
        <v>7246</v>
      </c>
      <c r="K2168" s="0" t="s">
        <v>7247</v>
      </c>
      <c r="L2168" s="0" t="str">
        <f aca="false">HYPERLINK("https://www.ncbi.nlm.nih.gov/nuccore/CP000058.1?report=graph&amp;tracks=[key:gene_model_track,Options:GeneOnly]&amp;mk=676385:676404|offset_37|444444,676410:676429|offset_62|444444,676439:676458|offset_91|444444,676502:676521|offset_154|00cc00&amp;v=676184:676721&amp;c=444444", "offset 154")</f>
        <v>offset 154</v>
      </c>
    </row>
    <row r="2169" customFormat="false" ht="12.8" hidden="false" customHeight="false" outlineLevel="0" collapsed="false">
      <c r="A2169" s="0" t="s">
        <v>12</v>
      </c>
      <c r="B2169" s="0" t="n">
        <v>677354</v>
      </c>
      <c r="C2169" s="0" t="n">
        <v>677374</v>
      </c>
      <c r="D2169" s="0" t="s">
        <v>7248</v>
      </c>
      <c r="E2169" s="0" t="s">
        <v>7249</v>
      </c>
      <c r="F2169" s="0" t="s">
        <v>15</v>
      </c>
      <c r="G2169" s="0" t="s">
        <v>32</v>
      </c>
      <c r="H2169" s="0" t="n">
        <v>32</v>
      </c>
      <c r="I2169" s="0" t="s">
        <v>7250</v>
      </c>
      <c r="J2169" s="0" t="s">
        <v>7251</v>
      </c>
      <c r="K2169" s="0" t="s">
        <v>7252</v>
      </c>
      <c r="L2169" s="0" t="str">
        <f aca="false">HYPERLINK("https://www.ncbi.nlm.nih.gov/nuccore/CP000058.1?report=graph&amp;tracks=[key:gene_model_track,Options:GeneOnly]&amp;mk=677355:677374|offset_32|00cc00,677402:677421|offset_79|444444,677433:677452|offset_110|444444,677454:677473|offset_131|444444&amp;v=677154:677673&amp;c=444444", "offset 32")</f>
        <v>offset 32</v>
      </c>
    </row>
    <row r="2170" customFormat="false" ht="12.8" hidden="false" customHeight="false" outlineLevel="0" collapsed="false">
      <c r="A2170" s="0" t="s">
        <v>12</v>
      </c>
      <c r="B2170" s="0" t="n">
        <v>677401</v>
      </c>
      <c r="C2170" s="0" t="n">
        <v>677421</v>
      </c>
      <c r="D2170" s="0" t="s">
        <v>7248</v>
      </c>
      <c r="E2170" s="0" t="s">
        <v>7249</v>
      </c>
      <c r="F2170" s="0" t="s">
        <v>15</v>
      </c>
      <c r="G2170" s="0" t="s">
        <v>32</v>
      </c>
      <c r="H2170" s="0" t="n">
        <v>79</v>
      </c>
      <c r="I2170" s="0" t="s">
        <v>7253</v>
      </c>
      <c r="J2170" s="0" t="s">
        <v>7254</v>
      </c>
      <c r="K2170" s="0" t="s">
        <v>7255</v>
      </c>
      <c r="L2170" s="0" t="str">
        <f aca="false">HYPERLINK("https://www.ncbi.nlm.nih.gov/nuccore/CP000058.1?report=graph&amp;tracks=[key:gene_model_track,Options:GeneOnly]&amp;mk=677355:677374|offset_32|444444,677402:677421|offset_79|00cc00,677433:677452|offset_110|444444,677454:677473|offset_131|444444&amp;v=677154:677673&amp;c=444444", "offset 79")</f>
        <v>offset 79</v>
      </c>
    </row>
    <row r="2171" customFormat="false" ht="12.8" hidden="false" customHeight="false" outlineLevel="0" collapsed="false">
      <c r="A2171" s="0" t="s">
        <v>12</v>
      </c>
      <c r="B2171" s="0" t="n">
        <v>677432</v>
      </c>
      <c r="C2171" s="0" t="n">
        <v>677452</v>
      </c>
      <c r="D2171" s="0" t="s">
        <v>7248</v>
      </c>
      <c r="E2171" s="0" t="s">
        <v>7249</v>
      </c>
      <c r="F2171" s="0" t="s">
        <v>15</v>
      </c>
      <c r="G2171" s="0" t="s">
        <v>32</v>
      </c>
      <c r="H2171" s="0" t="n">
        <v>110</v>
      </c>
      <c r="I2171" s="0" t="s">
        <v>7256</v>
      </c>
      <c r="J2171" s="0" t="s">
        <v>7257</v>
      </c>
      <c r="K2171" s="0" t="s">
        <v>7258</v>
      </c>
      <c r="L2171" s="0" t="str">
        <f aca="false">HYPERLINK("https://www.ncbi.nlm.nih.gov/nuccore/CP000058.1?report=graph&amp;tracks=[key:gene_model_track,Options:GeneOnly]&amp;mk=677355:677374|offset_32|444444,677402:677421|offset_79|444444,677433:677452|offset_110|00cc00,677454:677473|offset_131|444444&amp;v=677154:677673&amp;c=444444", "offset 110")</f>
        <v>offset 110</v>
      </c>
    </row>
    <row r="2172" customFormat="false" ht="12.8" hidden="false" customHeight="false" outlineLevel="0" collapsed="false">
      <c r="A2172" s="0" t="s">
        <v>12</v>
      </c>
      <c r="B2172" s="0" t="n">
        <v>677453</v>
      </c>
      <c r="C2172" s="0" t="n">
        <v>677473</v>
      </c>
      <c r="D2172" s="0" t="s">
        <v>7248</v>
      </c>
      <c r="E2172" s="0" t="s">
        <v>7249</v>
      </c>
      <c r="F2172" s="0" t="s">
        <v>15</v>
      </c>
      <c r="G2172" s="0" t="s">
        <v>16</v>
      </c>
      <c r="H2172" s="0" t="n">
        <v>131</v>
      </c>
      <c r="I2172" s="0" t="s">
        <v>7259</v>
      </c>
      <c r="J2172" s="0" t="s">
        <v>7260</v>
      </c>
      <c r="K2172" s="0" t="s">
        <v>7261</v>
      </c>
      <c r="L2172" s="0" t="str">
        <f aca="false">HYPERLINK("https://www.ncbi.nlm.nih.gov/nuccore/CP000058.1?report=graph&amp;tracks=[key:gene_model_track,Options:GeneOnly]&amp;mk=677355:677374|offset_32|444444,677402:677421|offset_79|444444,677433:677452|offset_110|444444,677454:677473|offset_131|00cc00&amp;v=677154:677673&amp;c=444444", "offset 131")</f>
        <v>offset 131</v>
      </c>
    </row>
    <row r="2173" customFormat="false" ht="12.8" hidden="false" customHeight="false" outlineLevel="0" collapsed="false">
      <c r="A2173" s="0" t="s">
        <v>12</v>
      </c>
      <c r="B2173" s="0" t="n">
        <v>677793</v>
      </c>
      <c r="C2173" s="0" t="n">
        <v>677813</v>
      </c>
      <c r="D2173" s="0" t="s">
        <v>7262</v>
      </c>
      <c r="E2173" s="0" t="s">
        <v>7263</v>
      </c>
      <c r="F2173" s="0" t="s">
        <v>15</v>
      </c>
      <c r="G2173" s="0" t="s">
        <v>16</v>
      </c>
      <c r="H2173" s="0" t="n">
        <v>17</v>
      </c>
      <c r="I2173" s="0" t="s">
        <v>7264</v>
      </c>
      <c r="J2173" s="0" t="s">
        <v>7265</v>
      </c>
      <c r="K2173" s="0" t="s">
        <v>7266</v>
      </c>
      <c r="L2173" s="0" t="str">
        <f aca="false">HYPERLINK("https://www.ncbi.nlm.nih.gov/nuccore/CP000058.1?report=graph&amp;tracks=[key:gene_model_track,Options:GeneOnly]&amp;mk=677794:677813|offset_17|00cc00,677820:677839|offset_43|444444,677871:677890|offset_94|444444,677900:677919|offset_123|444444&amp;v=677593:678119&amp;c=444444", "offset 17")</f>
        <v>offset 17</v>
      </c>
    </row>
    <row r="2174" customFormat="false" ht="12.8" hidden="false" customHeight="false" outlineLevel="0" collapsed="false">
      <c r="A2174" s="0" t="s">
        <v>12</v>
      </c>
      <c r="B2174" s="0" t="n">
        <v>677819</v>
      </c>
      <c r="C2174" s="0" t="n">
        <v>677839</v>
      </c>
      <c r="D2174" s="0" t="s">
        <v>7262</v>
      </c>
      <c r="E2174" s="0" t="s">
        <v>7263</v>
      </c>
      <c r="F2174" s="0" t="s">
        <v>15</v>
      </c>
      <c r="G2174" s="0" t="s">
        <v>16</v>
      </c>
      <c r="H2174" s="0" t="n">
        <v>43</v>
      </c>
      <c r="I2174" s="0" t="s">
        <v>7267</v>
      </c>
      <c r="J2174" s="0" t="s">
        <v>7268</v>
      </c>
      <c r="K2174" s="0" t="s">
        <v>7269</v>
      </c>
      <c r="L2174" s="0" t="str">
        <f aca="false">HYPERLINK("https://www.ncbi.nlm.nih.gov/nuccore/CP000058.1?report=graph&amp;tracks=[key:gene_model_track,Options:GeneOnly]&amp;mk=677794:677813|offset_17|444444,677820:677839|offset_43|00cc00,677871:677890|offset_94|444444,677900:677919|offset_123|444444&amp;v=677593:678119&amp;c=444444", "offset 43")</f>
        <v>offset 43</v>
      </c>
    </row>
    <row r="2175" customFormat="false" ht="12.8" hidden="false" customHeight="false" outlineLevel="0" collapsed="false">
      <c r="A2175" s="0" t="s">
        <v>12</v>
      </c>
      <c r="B2175" s="0" t="n">
        <v>677870</v>
      </c>
      <c r="C2175" s="0" t="n">
        <v>677890</v>
      </c>
      <c r="D2175" s="0" t="s">
        <v>7262</v>
      </c>
      <c r="E2175" s="0" t="s">
        <v>7263</v>
      </c>
      <c r="F2175" s="0" t="s">
        <v>15</v>
      </c>
      <c r="G2175" s="0" t="s">
        <v>20</v>
      </c>
      <c r="H2175" s="0" t="n">
        <v>94</v>
      </c>
      <c r="I2175" s="0" t="s">
        <v>7270</v>
      </c>
      <c r="J2175" s="0" t="s">
        <v>7271</v>
      </c>
      <c r="K2175" s="0" t="s">
        <v>7272</v>
      </c>
      <c r="L2175" s="0" t="str">
        <f aca="false">HYPERLINK("https://www.ncbi.nlm.nih.gov/nuccore/CP000058.1?report=graph&amp;tracks=[key:gene_model_track,Options:GeneOnly]&amp;mk=677794:677813|offset_17|444444,677820:677839|offset_43|444444,677871:677890|offset_94|00cc00,677900:677919|offset_123|444444&amp;v=677593:678119&amp;c=444444", "offset 94")</f>
        <v>offset 94</v>
      </c>
    </row>
    <row r="2176" customFormat="false" ht="12.8" hidden="false" customHeight="false" outlineLevel="0" collapsed="false">
      <c r="A2176" s="0" t="s">
        <v>12</v>
      </c>
      <c r="B2176" s="0" t="n">
        <v>677899</v>
      </c>
      <c r="C2176" s="0" t="n">
        <v>677919</v>
      </c>
      <c r="D2176" s="0" t="s">
        <v>7262</v>
      </c>
      <c r="E2176" s="0" t="s">
        <v>7263</v>
      </c>
      <c r="F2176" s="0" t="s">
        <v>15</v>
      </c>
      <c r="G2176" s="0" t="s">
        <v>32</v>
      </c>
      <c r="H2176" s="0" t="n">
        <v>123</v>
      </c>
      <c r="I2176" s="0" t="s">
        <v>7273</v>
      </c>
      <c r="J2176" s="0" t="s">
        <v>7274</v>
      </c>
      <c r="K2176" s="0" t="s">
        <v>7275</v>
      </c>
      <c r="L2176" s="0" t="str">
        <f aca="false">HYPERLINK("https://www.ncbi.nlm.nih.gov/nuccore/CP000058.1?report=graph&amp;tracks=[key:gene_model_track,Options:GeneOnly]&amp;mk=677794:677813|offset_17|444444,677820:677839|offset_43|444444,677871:677890|offset_94|444444,677900:677919|offset_123|00cc00&amp;v=677593:678119&amp;c=444444", "offset 123")</f>
        <v>offset 123</v>
      </c>
    </row>
    <row r="2177" customFormat="false" ht="12.8" hidden="false" customHeight="false" outlineLevel="0" collapsed="false">
      <c r="A2177" s="0" t="s">
        <v>12</v>
      </c>
      <c r="B2177" s="0" t="n">
        <v>678056</v>
      </c>
      <c r="C2177" s="0" t="n">
        <v>678076</v>
      </c>
      <c r="D2177" s="0" t="s">
        <v>7276</v>
      </c>
      <c r="E2177" s="0" t="s">
        <v>75</v>
      </c>
      <c r="F2177" s="0" t="s">
        <v>15</v>
      </c>
      <c r="G2177" s="0" t="s">
        <v>36</v>
      </c>
      <c r="H2177" s="0" t="n">
        <v>10</v>
      </c>
      <c r="I2177" s="0" t="s">
        <v>7277</v>
      </c>
      <c r="J2177" s="0" t="s">
        <v>7278</v>
      </c>
      <c r="K2177" s="0" t="s">
        <v>7279</v>
      </c>
      <c r="L2177" s="0" t="str">
        <f aca="false">HYPERLINK("https://www.ncbi.nlm.nih.gov/nuccore/CP000058.1?report=graph&amp;tracks=[key:gene_model_track,Options:GeneOnly]&amp;mk=678057:678076|offset_10|00cc00,678082:678101|offset_35|444444,678125:678144|offset_78|444444,678150:678169|offset_103|444444&amp;v=677856:678369&amp;c=444444", "offset 10")</f>
        <v>offset 10</v>
      </c>
    </row>
    <row r="2178" customFormat="false" ht="12.8" hidden="false" customHeight="false" outlineLevel="0" collapsed="false">
      <c r="A2178" s="0" t="s">
        <v>12</v>
      </c>
      <c r="B2178" s="0" t="n">
        <v>678081</v>
      </c>
      <c r="C2178" s="0" t="n">
        <v>678101</v>
      </c>
      <c r="D2178" s="0" t="s">
        <v>7276</v>
      </c>
      <c r="E2178" s="0" t="s">
        <v>75</v>
      </c>
      <c r="F2178" s="0" t="s">
        <v>15</v>
      </c>
      <c r="G2178" s="0" t="s">
        <v>16</v>
      </c>
      <c r="H2178" s="0" t="n">
        <v>35</v>
      </c>
      <c r="I2178" s="0" t="s">
        <v>7280</v>
      </c>
      <c r="J2178" s="0" t="s">
        <v>7281</v>
      </c>
      <c r="K2178" s="0" t="s">
        <v>7282</v>
      </c>
      <c r="L2178" s="0" t="str">
        <f aca="false">HYPERLINK("https://www.ncbi.nlm.nih.gov/nuccore/CP000058.1?report=graph&amp;tracks=[key:gene_model_track,Options:GeneOnly]&amp;mk=678057:678076|offset_10|444444,678082:678101|offset_35|00cc00,678125:678144|offset_78|444444,678150:678169|offset_103|444444&amp;v=677856:678369&amp;c=444444", "offset 35")</f>
        <v>offset 35</v>
      </c>
    </row>
    <row r="2179" customFormat="false" ht="12.8" hidden="false" customHeight="false" outlineLevel="0" collapsed="false">
      <c r="A2179" s="0" t="s">
        <v>12</v>
      </c>
      <c r="B2179" s="0" t="n">
        <v>678124</v>
      </c>
      <c r="C2179" s="0" t="n">
        <v>678144</v>
      </c>
      <c r="D2179" s="0" t="s">
        <v>7276</v>
      </c>
      <c r="E2179" s="0" t="s">
        <v>75</v>
      </c>
      <c r="F2179" s="0" t="s">
        <v>15</v>
      </c>
      <c r="G2179" s="0" t="s">
        <v>16</v>
      </c>
      <c r="H2179" s="0" t="n">
        <v>78</v>
      </c>
      <c r="I2179" s="0" t="s">
        <v>7283</v>
      </c>
      <c r="J2179" s="0" t="s">
        <v>7284</v>
      </c>
      <c r="K2179" s="0" t="s">
        <v>7285</v>
      </c>
      <c r="L2179" s="0" t="str">
        <f aca="false">HYPERLINK("https://www.ncbi.nlm.nih.gov/nuccore/CP000058.1?report=graph&amp;tracks=[key:gene_model_track,Options:GeneOnly]&amp;mk=678057:678076|offset_10|444444,678082:678101|offset_35|444444,678125:678144|offset_78|00cc00,678150:678169|offset_103|444444&amp;v=677856:678369&amp;c=444444", "offset 78")</f>
        <v>offset 78</v>
      </c>
    </row>
    <row r="2180" customFormat="false" ht="12.8" hidden="false" customHeight="false" outlineLevel="0" collapsed="false">
      <c r="A2180" s="0" t="s">
        <v>12</v>
      </c>
      <c r="B2180" s="0" t="n">
        <v>678149</v>
      </c>
      <c r="C2180" s="0" t="n">
        <v>678169</v>
      </c>
      <c r="D2180" s="0" t="s">
        <v>7276</v>
      </c>
      <c r="E2180" s="0" t="s">
        <v>75</v>
      </c>
      <c r="F2180" s="0" t="s">
        <v>15</v>
      </c>
      <c r="G2180" s="0" t="s">
        <v>16</v>
      </c>
      <c r="H2180" s="0" t="n">
        <v>103</v>
      </c>
      <c r="I2180" s="0" t="s">
        <v>7286</v>
      </c>
      <c r="J2180" s="0" t="s">
        <v>7287</v>
      </c>
      <c r="K2180" s="0" t="s">
        <v>7288</v>
      </c>
      <c r="L2180" s="0" t="str">
        <f aca="false">HYPERLINK("https://www.ncbi.nlm.nih.gov/nuccore/CP000058.1?report=graph&amp;tracks=[key:gene_model_track,Options:GeneOnly]&amp;mk=678057:678076|offset_10|444444,678082:678101|offset_35|444444,678125:678144|offset_78|444444,678150:678169|offset_103|00cc00&amp;v=677856:678369&amp;c=444444", "offset 103")</f>
        <v>offset 103</v>
      </c>
    </row>
    <row r="2181" customFormat="false" ht="12.8" hidden="false" customHeight="false" outlineLevel="0" collapsed="false">
      <c r="A2181" s="0" t="s">
        <v>12</v>
      </c>
      <c r="B2181" s="0" t="n">
        <v>678976</v>
      </c>
      <c r="C2181" s="0" t="n">
        <v>678996</v>
      </c>
      <c r="D2181" s="0" t="s">
        <v>7289</v>
      </c>
      <c r="E2181" s="0" t="s">
        <v>7290</v>
      </c>
      <c r="F2181" s="0" t="s">
        <v>15</v>
      </c>
      <c r="G2181" s="0" t="s">
        <v>20</v>
      </c>
      <c r="H2181" s="0" t="n">
        <v>14</v>
      </c>
      <c r="I2181" s="0" t="s">
        <v>7291</v>
      </c>
      <c r="J2181" s="0" t="s">
        <v>7292</v>
      </c>
      <c r="K2181" s="0" t="s">
        <v>7293</v>
      </c>
      <c r="L2181" s="0" t="str">
        <f aca="false">HYPERLINK("https://www.ncbi.nlm.nih.gov/nuccore/CP000058.1?report=graph&amp;tracks=[key:gene_model_track,Options:GeneOnly]&amp;mk=678977:678996|offset_14|00cc00,678998:679017|offset_35|444444,679033:679052|offset_70|444444,679059:679078|offset_96|444444&amp;v=678776:679278&amp;c=444444", "offset 14")</f>
        <v>offset 14</v>
      </c>
    </row>
    <row r="2182" customFormat="false" ht="12.8" hidden="false" customHeight="false" outlineLevel="0" collapsed="false">
      <c r="A2182" s="0" t="s">
        <v>12</v>
      </c>
      <c r="B2182" s="0" t="n">
        <v>678997</v>
      </c>
      <c r="C2182" s="0" t="n">
        <v>679017</v>
      </c>
      <c r="D2182" s="0" t="s">
        <v>7289</v>
      </c>
      <c r="E2182" s="0" t="s">
        <v>7290</v>
      </c>
      <c r="F2182" s="0" t="s">
        <v>15</v>
      </c>
      <c r="G2182" s="0" t="s">
        <v>20</v>
      </c>
      <c r="H2182" s="0" t="n">
        <v>35</v>
      </c>
      <c r="I2182" s="0" t="s">
        <v>7294</v>
      </c>
      <c r="J2182" s="0" t="s">
        <v>7295</v>
      </c>
      <c r="K2182" s="0" t="s">
        <v>7296</v>
      </c>
      <c r="L2182" s="0" t="str">
        <f aca="false">HYPERLINK("https://www.ncbi.nlm.nih.gov/nuccore/CP000058.1?report=graph&amp;tracks=[key:gene_model_track,Options:GeneOnly]&amp;mk=678977:678996|offset_14|444444,678998:679017|offset_35|00cc00,679033:679052|offset_70|444444,679059:679078|offset_96|444444&amp;v=678776:679278&amp;c=444444", "offset 35")</f>
        <v>offset 35</v>
      </c>
    </row>
    <row r="2183" customFormat="false" ht="12.8" hidden="false" customHeight="false" outlineLevel="0" collapsed="false">
      <c r="A2183" s="0" t="s">
        <v>12</v>
      </c>
      <c r="B2183" s="0" t="n">
        <v>679032</v>
      </c>
      <c r="C2183" s="0" t="n">
        <v>679052</v>
      </c>
      <c r="D2183" s="0" t="s">
        <v>7289</v>
      </c>
      <c r="E2183" s="0" t="s">
        <v>7290</v>
      </c>
      <c r="F2183" s="0" t="s">
        <v>15</v>
      </c>
      <c r="G2183" s="0" t="s">
        <v>16</v>
      </c>
      <c r="H2183" s="0" t="n">
        <v>70</v>
      </c>
      <c r="I2183" s="0" t="s">
        <v>7297</v>
      </c>
      <c r="J2183" s="0" t="s">
        <v>7298</v>
      </c>
      <c r="K2183" s="0" t="s">
        <v>7299</v>
      </c>
      <c r="L2183" s="0" t="str">
        <f aca="false">HYPERLINK("https://www.ncbi.nlm.nih.gov/nuccore/CP000058.1?report=graph&amp;tracks=[key:gene_model_track,Options:GeneOnly]&amp;mk=678977:678996|offset_14|444444,678998:679017|offset_35|444444,679033:679052|offset_70|00cc00,679059:679078|offset_96|444444&amp;v=678776:679278&amp;c=444444", "offset 70")</f>
        <v>offset 70</v>
      </c>
    </row>
    <row r="2184" customFormat="false" ht="12.8" hidden="false" customHeight="false" outlineLevel="0" collapsed="false">
      <c r="A2184" s="0" t="s">
        <v>12</v>
      </c>
      <c r="B2184" s="0" t="n">
        <v>679058</v>
      </c>
      <c r="C2184" s="0" t="n">
        <v>679078</v>
      </c>
      <c r="D2184" s="0" t="s">
        <v>7289</v>
      </c>
      <c r="E2184" s="0" t="s">
        <v>7290</v>
      </c>
      <c r="F2184" s="0" t="s">
        <v>15</v>
      </c>
      <c r="G2184" s="0" t="s">
        <v>20</v>
      </c>
      <c r="H2184" s="0" t="n">
        <v>96</v>
      </c>
      <c r="I2184" s="0" t="s">
        <v>7300</v>
      </c>
      <c r="J2184" s="0" t="s">
        <v>7301</v>
      </c>
      <c r="K2184" s="0" t="s">
        <v>7302</v>
      </c>
      <c r="L2184" s="0" t="str">
        <f aca="false">HYPERLINK("https://www.ncbi.nlm.nih.gov/nuccore/CP000058.1?report=graph&amp;tracks=[key:gene_model_track,Options:GeneOnly]&amp;mk=678977:678996|offset_14|444444,678998:679017|offset_35|444444,679033:679052|offset_70|444444,679059:679078|offset_96|00cc00&amp;v=678776:679278&amp;c=444444", "offset 96")</f>
        <v>offset 96</v>
      </c>
    </row>
    <row r="2185" customFormat="false" ht="12.8" hidden="false" customHeight="false" outlineLevel="0" collapsed="false">
      <c r="A2185" s="0" t="s">
        <v>12</v>
      </c>
      <c r="B2185" s="0" t="n">
        <v>679533</v>
      </c>
      <c r="C2185" s="0" t="n">
        <v>679553</v>
      </c>
      <c r="D2185" s="0" t="s">
        <v>7303</v>
      </c>
      <c r="E2185" s="0" t="s">
        <v>7304</v>
      </c>
      <c r="F2185" s="0" t="s">
        <v>15</v>
      </c>
      <c r="G2185" s="0" t="s">
        <v>32</v>
      </c>
      <c r="H2185" s="0" t="n">
        <v>1</v>
      </c>
      <c r="I2185" s="0" t="s">
        <v>7305</v>
      </c>
      <c r="J2185" s="0" t="s">
        <v>7306</v>
      </c>
      <c r="K2185" s="0" t="s">
        <v>7307</v>
      </c>
      <c r="L2185" s="0" t="str">
        <f aca="false">HYPERLINK("https://www.ncbi.nlm.nih.gov/nuccore/CP000058.1?report=graph&amp;tracks=[key:gene_model_track,Options:GeneOnly]&amp;mk=679534:679553|offset_1|00cc00,679554:679573|offset_21|444444,679576:679595|offset_43|444444,679596:679615|offset_63|444444&amp;v=679333:679815&amp;c=444444", "offset 1")</f>
        <v>offset 1</v>
      </c>
    </row>
    <row r="2186" customFormat="false" ht="12.8" hidden="false" customHeight="false" outlineLevel="0" collapsed="false">
      <c r="A2186" s="0" t="s">
        <v>12</v>
      </c>
      <c r="B2186" s="0" t="n">
        <v>679553</v>
      </c>
      <c r="C2186" s="0" t="n">
        <v>679573</v>
      </c>
      <c r="D2186" s="0" t="s">
        <v>7303</v>
      </c>
      <c r="E2186" s="0" t="s">
        <v>7304</v>
      </c>
      <c r="F2186" s="0" t="s">
        <v>15</v>
      </c>
      <c r="G2186" s="0" t="s">
        <v>36</v>
      </c>
      <c r="H2186" s="0" t="n">
        <v>21</v>
      </c>
      <c r="I2186" s="0" t="s">
        <v>7308</v>
      </c>
      <c r="J2186" s="0" t="s">
        <v>7309</v>
      </c>
      <c r="K2186" s="0" t="s">
        <v>7310</v>
      </c>
      <c r="L2186" s="0" t="str">
        <f aca="false">HYPERLINK("https://www.ncbi.nlm.nih.gov/nuccore/CP000058.1?report=graph&amp;tracks=[key:gene_model_track,Options:GeneOnly]&amp;mk=679534:679553|offset_1|444444,679554:679573|offset_21|00cc00,679576:679595|offset_43|444444,679596:679615|offset_63|444444&amp;v=679333:679815&amp;c=444444", "offset 21")</f>
        <v>offset 21</v>
      </c>
    </row>
    <row r="2187" customFormat="false" ht="12.8" hidden="false" customHeight="false" outlineLevel="0" collapsed="false">
      <c r="A2187" s="0" t="s">
        <v>12</v>
      </c>
      <c r="B2187" s="0" t="n">
        <v>679575</v>
      </c>
      <c r="C2187" s="0" t="n">
        <v>679595</v>
      </c>
      <c r="D2187" s="0" t="s">
        <v>7303</v>
      </c>
      <c r="E2187" s="0" t="s">
        <v>7304</v>
      </c>
      <c r="F2187" s="0" t="s">
        <v>15</v>
      </c>
      <c r="G2187" s="0" t="s">
        <v>16</v>
      </c>
      <c r="H2187" s="0" t="n">
        <v>43</v>
      </c>
      <c r="I2187" s="0" t="s">
        <v>7311</v>
      </c>
      <c r="J2187" s="0" t="s">
        <v>7312</v>
      </c>
      <c r="K2187" s="0" t="s">
        <v>7313</v>
      </c>
      <c r="L2187" s="0" t="str">
        <f aca="false">HYPERLINK("https://www.ncbi.nlm.nih.gov/nuccore/CP000058.1?report=graph&amp;tracks=[key:gene_model_track,Options:GeneOnly]&amp;mk=679534:679553|offset_1|444444,679554:679573|offset_21|444444,679576:679595|offset_43|00cc00,679596:679615|offset_63|444444&amp;v=679333:679815&amp;c=444444", "offset 43")</f>
        <v>offset 43</v>
      </c>
    </row>
    <row r="2188" customFormat="false" ht="12.8" hidden="false" customHeight="false" outlineLevel="0" collapsed="false">
      <c r="A2188" s="0" t="s">
        <v>12</v>
      </c>
      <c r="B2188" s="0" t="n">
        <v>679595</v>
      </c>
      <c r="C2188" s="0" t="n">
        <v>679615</v>
      </c>
      <c r="D2188" s="0" t="s">
        <v>7303</v>
      </c>
      <c r="E2188" s="0" t="s">
        <v>7304</v>
      </c>
      <c r="F2188" s="0" t="s">
        <v>15</v>
      </c>
      <c r="G2188" s="0" t="s">
        <v>32</v>
      </c>
      <c r="H2188" s="0" t="n">
        <v>63</v>
      </c>
      <c r="I2188" s="0" t="s">
        <v>7314</v>
      </c>
      <c r="J2188" s="0" t="s">
        <v>7315</v>
      </c>
      <c r="K2188" s="0" t="s">
        <v>7316</v>
      </c>
      <c r="L2188" s="0" t="str">
        <f aca="false">HYPERLINK("https://www.ncbi.nlm.nih.gov/nuccore/CP000058.1?report=graph&amp;tracks=[key:gene_model_track,Options:GeneOnly]&amp;mk=679534:679553|offset_1|444444,679554:679573|offset_21|444444,679576:679595|offset_43|444444,679596:679615|offset_63|00cc00&amp;v=679333:679815&amp;c=444444", "offset 63")</f>
        <v>offset 63</v>
      </c>
    </row>
    <row r="2189" customFormat="false" ht="12.8" hidden="false" customHeight="false" outlineLevel="0" collapsed="false">
      <c r="A2189" s="0" t="s">
        <v>12</v>
      </c>
      <c r="B2189" s="0" t="n">
        <v>681047</v>
      </c>
      <c r="C2189" s="0" t="n">
        <v>681067</v>
      </c>
      <c r="D2189" s="0" t="s">
        <v>7317</v>
      </c>
      <c r="E2189" s="0" t="s">
        <v>75</v>
      </c>
      <c r="F2189" s="0" t="s">
        <v>15</v>
      </c>
      <c r="G2189" s="0" t="s">
        <v>32</v>
      </c>
      <c r="H2189" s="0" t="n">
        <v>13</v>
      </c>
      <c r="I2189" s="0" t="s">
        <v>7318</v>
      </c>
      <c r="J2189" s="0" t="s">
        <v>7319</v>
      </c>
      <c r="K2189" s="0" t="s">
        <v>7320</v>
      </c>
      <c r="L2189" s="0" t="str">
        <f aca="false">HYPERLINK("https://www.ncbi.nlm.nih.gov/nuccore/CP000058.1?report=graph&amp;tracks=[key:gene_model_track,Options:GeneOnly]&amp;mk=681048:681067|offset_13|00cc00,681068:681087|offset_33|444444,681095:681114|offset_60|444444,681118:681137|offset_83|444444&amp;v=680847:681337&amp;c=444444", "offset 13")</f>
        <v>offset 13</v>
      </c>
    </row>
    <row r="2190" customFormat="false" ht="12.8" hidden="false" customHeight="false" outlineLevel="0" collapsed="false">
      <c r="A2190" s="0" t="s">
        <v>12</v>
      </c>
      <c r="B2190" s="0" t="n">
        <v>681067</v>
      </c>
      <c r="C2190" s="0" t="n">
        <v>681087</v>
      </c>
      <c r="D2190" s="0" t="s">
        <v>7317</v>
      </c>
      <c r="E2190" s="0" t="s">
        <v>75</v>
      </c>
      <c r="F2190" s="0" t="s">
        <v>15</v>
      </c>
      <c r="G2190" s="0" t="s">
        <v>36</v>
      </c>
      <c r="H2190" s="0" t="n">
        <v>33</v>
      </c>
      <c r="I2190" s="0" t="s">
        <v>7321</v>
      </c>
      <c r="J2190" s="0" t="s">
        <v>7322</v>
      </c>
      <c r="K2190" s="0" t="s">
        <v>7323</v>
      </c>
      <c r="L2190" s="0" t="str">
        <f aca="false">HYPERLINK("https://www.ncbi.nlm.nih.gov/nuccore/CP000058.1?report=graph&amp;tracks=[key:gene_model_track,Options:GeneOnly]&amp;mk=681048:681067|offset_13|444444,681068:681087|offset_33|00cc00,681095:681114|offset_60|444444,681118:681137|offset_83|444444&amp;v=680847:681337&amp;c=444444", "offset 33")</f>
        <v>offset 33</v>
      </c>
    </row>
    <row r="2191" customFormat="false" ht="12.8" hidden="false" customHeight="false" outlineLevel="0" collapsed="false">
      <c r="A2191" s="0" t="s">
        <v>12</v>
      </c>
      <c r="B2191" s="0" t="n">
        <v>681094</v>
      </c>
      <c r="C2191" s="0" t="n">
        <v>681114</v>
      </c>
      <c r="D2191" s="0" t="s">
        <v>7317</v>
      </c>
      <c r="E2191" s="0" t="s">
        <v>75</v>
      </c>
      <c r="F2191" s="0" t="s">
        <v>15</v>
      </c>
      <c r="G2191" s="0" t="s">
        <v>32</v>
      </c>
      <c r="H2191" s="0" t="n">
        <v>60</v>
      </c>
      <c r="I2191" s="0" t="s">
        <v>7324</v>
      </c>
      <c r="J2191" s="0" t="s">
        <v>7325</v>
      </c>
      <c r="K2191" s="0" t="s">
        <v>7326</v>
      </c>
      <c r="L2191" s="0" t="str">
        <f aca="false">HYPERLINK("https://www.ncbi.nlm.nih.gov/nuccore/CP000058.1?report=graph&amp;tracks=[key:gene_model_track,Options:GeneOnly]&amp;mk=681048:681067|offset_13|444444,681068:681087|offset_33|444444,681095:681114|offset_60|00cc00,681118:681137|offset_83|444444&amp;v=680847:681337&amp;c=444444", "offset 60")</f>
        <v>offset 60</v>
      </c>
    </row>
    <row r="2192" customFormat="false" ht="12.8" hidden="false" customHeight="false" outlineLevel="0" collapsed="false">
      <c r="A2192" s="0" t="s">
        <v>12</v>
      </c>
      <c r="B2192" s="0" t="n">
        <v>681117</v>
      </c>
      <c r="C2192" s="0" t="n">
        <v>681137</v>
      </c>
      <c r="D2192" s="0" t="s">
        <v>7317</v>
      </c>
      <c r="E2192" s="0" t="s">
        <v>75</v>
      </c>
      <c r="F2192" s="0" t="s">
        <v>15</v>
      </c>
      <c r="G2192" s="0" t="s">
        <v>16</v>
      </c>
      <c r="H2192" s="0" t="n">
        <v>83</v>
      </c>
      <c r="I2192" s="0" t="s">
        <v>7327</v>
      </c>
      <c r="J2192" s="0" t="s">
        <v>7328</v>
      </c>
      <c r="K2192" s="0" t="s">
        <v>7329</v>
      </c>
      <c r="L2192" s="0" t="str">
        <f aca="false">HYPERLINK("https://www.ncbi.nlm.nih.gov/nuccore/CP000058.1?report=graph&amp;tracks=[key:gene_model_track,Options:GeneOnly]&amp;mk=681048:681067|offset_13|444444,681068:681087|offset_33|444444,681095:681114|offset_60|444444,681118:681137|offset_83|00cc00&amp;v=680847:681337&amp;c=444444", "offset 83")</f>
        <v>offset 83</v>
      </c>
    </row>
    <row r="2193" customFormat="false" ht="12.8" hidden="false" customHeight="false" outlineLevel="0" collapsed="false">
      <c r="A2193" s="0" t="s">
        <v>12</v>
      </c>
      <c r="B2193" s="0" t="n">
        <v>686108</v>
      </c>
      <c r="C2193" s="0" t="n">
        <v>686128</v>
      </c>
      <c r="D2193" s="0" t="s">
        <v>7330</v>
      </c>
      <c r="E2193" s="0" t="s">
        <v>75</v>
      </c>
      <c r="F2193" s="0" t="s">
        <v>90</v>
      </c>
      <c r="G2193" s="0" t="s">
        <v>36</v>
      </c>
      <c r="H2193" s="0" t="n">
        <v>18</v>
      </c>
      <c r="I2193" s="0" t="s">
        <v>7331</v>
      </c>
      <c r="J2193" s="0" t="s">
        <v>7332</v>
      </c>
      <c r="K2193" s="0" t="s">
        <v>7333</v>
      </c>
      <c r="L2193" s="0" t="str">
        <f aca="false">HYPERLINK("https://www.ncbi.nlm.nih.gov/nuccore/CP000058.1?report=graph&amp;tracks=[key:gene_model_track,Options:GeneOnly]&amp;mk=686109:686128|offset_18|00cc00,686085:686104|offset_42|444444,686056:686075|offset_71|444444,685979:685998|offset_148|444444&amp;v=685908:686198&amp;c=444444", "offset 18")</f>
        <v>offset 18</v>
      </c>
    </row>
    <row r="2194" customFormat="false" ht="12.8" hidden="false" customHeight="false" outlineLevel="0" collapsed="false">
      <c r="A2194" s="0" t="s">
        <v>12</v>
      </c>
      <c r="B2194" s="0" t="n">
        <v>686084</v>
      </c>
      <c r="C2194" s="0" t="n">
        <v>686104</v>
      </c>
      <c r="D2194" s="0" t="s">
        <v>7330</v>
      </c>
      <c r="E2194" s="0" t="s">
        <v>75</v>
      </c>
      <c r="F2194" s="0" t="s">
        <v>90</v>
      </c>
      <c r="G2194" s="0" t="s">
        <v>16</v>
      </c>
      <c r="H2194" s="0" t="n">
        <v>42</v>
      </c>
      <c r="I2194" s="0" t="s">
        <v>7334</v>
      </c>
      <c r="J2194" s="0" t="s">
        <v>7335</v>
      </c>
      <c r="K2194" s="0" t="s">
        <v>7336</v>
      </c>
      <c r="L2194" s="0" t="str">
        <f aca="false">HYPERLINK("https://www.ncbi.nlm.nih.gov/nuccore/CP000058.1?report=graph&amp;tracks=[key:gene_model_track,Options:GeneOnly]&amp;mk=686109:686128|offset_18|444444,686085:686104|offset_42|00cc00,686056:686075|offset_71|444444,685979:685998|offset_148|444444&amp;v=685908:686198&amp;c=444444", "offset 42")</f>
        <v>offset 42</v>
      </c>
    </row>
    <row r="2195" customFormat="false" ht="12.8" hidden="false" customHeight="false" outlineLevel="0" collapsed="false">
      <c r="A2195" s="0" t="s">
        <v>12</v>
      </c>
      <c r="B2195" s="0" t="n">
        <v>686055</v>
      </c>
      <c r="C2195" s="0" t="n">
        <v>686075</v>
      </c>
      <c r="D2195" s="0" t="s">
        <v>7330</v>
      </c>
      <c r="E2195" s="0" t="s">
        <v>75</v>
      </c>
      <c r="F2195" s="0" t="s">
        <v>90</v>
      </c>
      <c r="G2195" s="0" t="s">
        <v>20</v>
      </c>
      <c r="H2195" s="0" t="n">
        <v>71</v>
      </c>
      <c r="I2195" s="0" t="s">
        <v>7337</v>
      </c>
      <c r="J2195" s="0" t="s">
        <v>7338</v>
      </c>
      <c r="K2195" s="0" t="s">
        <v>7339</v>
      </c>
      <c r="L2195" s="0" t="str">
        <f aca="false">HYPERLINK("https://www.ncbi.nlm.nih.gov/nuccore/CP000058.1?report=graph&amp;tracks=[key:gene_model_track,Options:GeneOnly]&amp;mk=686109:686128|offset_18|444444,686085:686104|offset_42|444444,686056:686075|offset_71|00cc00,685979:685998|offset_148|444444&amp;v=685908:686198&amp;c=444444", "offset 71")</f>
        <v>offset 71</v>
      </c>
    </row>
    <row r="2196" customFormat="false" ht="12.8" hidden="false" customHeight="false" outlineLevel="0" collapsed="false">
      <c r="A2196" s="0" t="s">
        <v>12</v>
      </c>
      <c r="B2196" s="0" t="n">
        <v>685978</v>
      </c>
      <c r="C2196" s="0" t="n">
        <v>685998</v>
      </c>
      <c r="D2196" s="0" t="s">
        <v>7330</v>
      </c>
      <c r="E2196" s="0" t="s">
        <v>75</v>
      </c>
      <c r="F2196" s="0" t="s">
        <v>90</v>
      </c>
      <c r="G2196" s="0" t="s">
        <v>36</v>
      </c>
      <c r="H2196" s="0" t="n">
        <v>148</v>
      </c>
      <c r="I2196" s="0" t="s">
        <v>7340</v>
      </c>
      <c r="J2196" s="0" t="s">
        <v>7341</v>
      </c>
      <c r="K2196" s="0" t="s">
        <v>7342</v>
      </c>
      <c r="L2196" s="0" t="str">
        <f aca="false">HYPERLINK("https://www.ncbi.nlm.nih.gov/nuccore/CP000058.1?report=graph&amp;tracks=[key:gene_model_track,Options:GeneOnly]&amp;mk=686109:686128|offset_18|444444,686085:686104|offset_42|444444,686056:686075|offset_71|444444,685979:685998|offset_148|00cc00&amp;v=685908:686198&amp;c=444444", "offset 148")</f>
        <v>offset 148</v>
      </c>
    </row>
    <row r="2197" customFormat="false" ht="12.8" hidden="false" customHeight="false" outlineLevel="0" collapsed="false">
      <c r="A2197" s="0" t="s">
        <v>12</v>
      </c>
      <c r="B2197" s="0" t="n">
        <v>686420</v>
      </c>
      <c r="C2197" s="0" t="n">
        <v>686440</v>
      </c>
      <c r="D2197" s="0" t="s">
        <v>7343</v>
      </c>
      <c r="E2197" s="0" t="s">
        <v>75</v>
      </c>
      <c r="F2197" s="0" t="s">
        <v>15</v>
      </c>
      <c r="G2197" s="0" t="s">
        <v>16</v>
      </c>
      <c r="H2197" s="0" t="n">
        <v>1</v>
      </c>
      <c r="I2197" s="0" t="s">
        <v>7344</v>
      </c>
      <c r="J2197" s="0" t="s">
        <v>7345</v>
      </c>
      <c r="K2197" s="0" t="s">
        <v>7346</v>
      </c>
      <c r="L2197" s="0" t="str">
        <f aca="false">HYPERLINK("https://www.ncbi.nlm.nih.gov/nuccore/CP000058.1?report=graph&amp;tracks=[key:gene_model_track,Options:GeneOnly]&amp;mk=686421:686440|offset_1|00cc00,686446:686465|offset_26|444444,686489:686508|offset_69|444444,686509:686528|offset_89|444444&amp;v=686220:686728&amp;c=444444", "offset 1")</f>
        <v>offset 1</v>
      </c>
    </row>
    <row r="2198" customFormat="false" ht="12.8" hidden="false" customHeight="false" outlineLevel="0" collapsed="false">
      <c r="A2198" s="0" t="s">
        <v>12</v>
      </c>
      <c r="B2198" s="0" t="n">
        <v>686445</v>
      </c>
      <c r="C2198" s="0" t="n">
        <v>686465</v>
      </c>
      <c r="D2198" s="0" t="s">
        <v>7343</v>
      </c>
      <c r="E2198" s="0" t="s">
        <v>75</v>
      </c>
      <c r="F2198" s="0" t="s">
        <v>15</v>
      </c>
      <c r="G2198" s="0" t="s">
        <v>32</v>
      </c>
      <c r="H2198" s="0" t="n">
        <v>26</v>
      </c>
      <c r="I2198" s="0" t="s">
        <v>7347</v>
      </c>
      <c r="J2198" s="0" t="s">
        <v>7348</v>
      </c>
      <c r="K2198" s="0" t="s">
        <v>7349</v>
      </c>
      <c r="L2198" s="0" t="str">
        <f aca="false">HYPERLINK("https://www.ncbi.nlm.nih.gov/nuccore/CP000058.1?report=graph&amp;tracks=[key:gene_model_track,Options:GeneOnly]&amp;mk=686421:686440|offset_1|444444,686446:686465|offset_26|00cc00,686489:686508|offset_69|444444,686509:686528|offset_89|444444&amp;v=686220:686728&amp;c=444444", "offset 26")</f>
        <v>offset 26</v>
      </c>
    </row>
    <row r="2199" customFormat="false" ht="12.8" hidden="false" customHeight="false" outlineLevel="0" collapsed="false">
      <c r="A2199" s="0" t="s">
        <v>12</v>
      </c>
      <c r="B2199" s="0" t="n">
        <v>686488</v>
      </c>
      <c r="C2199" s="0" t="n">
        <v>686508</v>
      </c>
      <c r="D2199" s="0" t="s">
        <v>7343</v>
      </c>
      <c r="E2199" s="0" t="s">
        <v>75</v>
      </c>
      <c r="F2199" s="0" t="s">
        <v>15</v>
      </c>
      <c r="G2199" s="0" t="s">
        <v>20</v>
      </c>
      <c r="H2199" s="0" t="n">
        <v>69</v>
      </c>
      <c r="I2199" s="0" t="s">
        <v>7350</v>
      </c>
      <c r="J2199" s="0" t="s">
        <v>7351</v>
      </c>
      <c r="K2199" s="0" t="s">
        <v>7352</v>
      </c>
      <c r="L2199" s="0" t="str">
        <f aca="false">HYPERLINK("https://www.ncbi.nlm.nih.gov/nuccore/CP000058.1?report=graph&amp;tracks=[key:gene_model_track,Options:GeneOnly]&amp;mk=686421:686440|offset_1|444444,686446:686465|offset_26|444444,686489:686508|offset_69|00cc00,686509:686528|offset_89|444444&amp;v=686220:686728&amp;c=444444", "offset 69")</f>
        <v>offset 69</v>
      </c>
    </row>
    <row r="2200" customFormat="false" ht="12.8" hidden="false" customHeight="false" outlineLevel="0" collapsed="false">
      <c r="A2200" s="0" t="s">
        <v>12</v>
      </c>
      <c r="B2200" s="0" t="n">
        <v>686508</v>
      </c>
      <c r="C2200" s="0" t="n">
        <v>686528</v>
      </c>
      <c r="D2200" s="0" t="s">
        <v>7343</v>
      </c>
      <c r="E2200" s="0" t="s">
        <v>75</v>
      </c>
      <c r="F2200" s="0" t="s">
        <v>15</v>
      </c>
      <c r="G2200" s="0" t="s">
        <v>36</v>
      </c>
      <c r="H2200" s="0" t="n">
        <v>89</v>
      </c>
      <c r="I2200" s="0" t="s">
        <v>7353</v>
      </c>
      <c r="J2200" s="0" t="s">
        <v>7354</v>
      </c>
      <c r="K2200" s="0" t="s">
        <v>7355</v>
      </c>
      <c r="L2200" s="0" t="str">
        <f aca="false">HYPERLINK("https://www.ncbi.nlm.nih.gov/nuccore/CP000058.1?report=graph&amp;tracks=[key:gene_model_track,Options:GeneOnly]&amp;mk=686421:686440|offset_1|444444,686446:686465|offset_26|444444,686489:686508|offset_69|444444,686509:686528|offset_89|00cc00&amp;v=686220:686728&amp;c=444444", "offset 89")</f>
        <v>offset 89</v>
      </c>
    </row>
    <row r="2201" customFormat="false" ht="12.8" hidden="false" customHeight="false" outlineLevel="0" collapsed="false">
      <c r="A2201" s="0" t="s">
        <v>12</v>
      </c>
      <c r="B2201" s="0" t="n">
        <v>689775</v>
      </c>
      <c r="C2201" s="0" t="n">
        <v>689795</v>
      </c>
      <c r="D2201" s="0" t="s">
        <v>7356</v>
      </c>
      <c r="E2201" s="0" t="s">
        <v>75</v>
      </c>
      <c r="F2201" s="0" t="s">
        <v>15</v>
      </c>
      <c r="G2201" s="0" t="s">
        <v>20</v>
      </c>
      <c r="H2201" s="0" t="n">
        <v>6</v>
      </c>
      <c r="I2201" s="0" t="s">
        <v>7357</v>
      </c>
      <c r="J2201" s="0" t="s">
        <v>7358</v>
      </c>
      <c r="K2201" s="0" t="s">
        <v>7359</v>
      </c>
      <c r="L2201" s="0" t="str">
        <f aca="false">HYPERLINK("https://www.ncbi.nlm.nih.gov/nuccore/CP000058.1?report=graph&amp;tracks=[key:gene_model_track,Options:GeneOnly]&amp;mk=689776:689795|offset_6|00cc00,689799:689818|offset_29|444444,689822:689841|offset_52|444444,689852:689871|offset_82|444444&amp;v=689575:690071&amp;c=444444", "offset 6")</f>
        <v>offset 6</v>
      </c>
    </row>
    <row r="2202" customFormat="false" ht="12.8" hidden="false" customHeight="false" outlineLevel="0" collapsed="false">
      <c r="A2202" s="0" t="s">
        <v>12</v>
      </c>
      <c r="B2202" s="0" t="n">
        <v>689798</v>
      </c>
      <c r="C2202" s="0" t="n">
        <v>689818</v>
      </c>
      <c r="D2202" s="0" t="s">
        <v>7356</v>
      </c>
      <c r="E2202" s="0" t="s">
        <v>75</v>
      </c>
      <c r="F2202" s="0" t="s">
        <v>15</v>
      </c>
      <c r="G2202" s="0" t="s">
        <v>20</v>
      </c>
      <c r="H2202" s="0" t="n">
        <v>29</v>
      </c>
      <c r="I2202" s="0" t="s">
        <v>7360</v>
      </c>
      <c r="J2202" s="0" t="s">
        <v>7361</v>
      </c>
      <c r="K2202" s="0" t="s">
        <v>7362</v>
      </c>
      <c r="L2202" s="0" t="str">
        <f aca="false">HYPERLINK("https://www.ncbi.nlm.nih.gov/nuccore/CP000058.1?report=graph&amp;tracks=[key:gene_model_track,Options:GeneOnly]&amp;mk=689776:689795|offset_6|444444,689799:689818|offset_29|00cc00,689822:689841|offset_52|444444,689852:689871|offset_82|444444&amp;v=689575:690071&amp;c=444444", "offset 29")</f>
        <v>offset 29</v>
      </c>
    </row>
    <row r="2203" customFormat="false" ht="12.8" hidden="false" customHeight="false" outlineLevel="0" collapsed="false">
      <c r="A2203" s="0" t="s">
        <v>12</v>
      </c>
      <c r="B2203" s="0" t="n">
        <v>689821</v>
      </c>
      <c r="C2203" s="0" t="n">
        <v>689841</v>
      </c>
      <c r="D2203" s="0" t="s">
        <v>7356</v>
      </c>
      <c r="E2203" s="0" t="s">
        <v>75</v>
      </c>
      <c r="F2203" s="0" t="s">
        <v>15</v>
      </c>
      <c r="G2203" s="0" t="s">
        <v>16</v>
      </c>
      <c r="H2203" s="0" t="n">
        <v>52</v>
      </c>
      <c r="I2203" s="0" t="s">
        <v>7363</v>
      </c>
      <c r="J2203" s="0" t="s">
        <v>7364</v>
      </c>
      <c r="K2203" s="0" t="s">
        <v>7365</v>
      </c>
      <c r="L2203" s="0" t="str">
        <f aca="false">HYPERLINK("https://www.ncbi.nlm.nih.gov/nuccore/CP000058.1?report=graph&amp;tracks=[key:gene_model_track,Options:GeneOnly]&amp;mk=689776:689795|offset_6|444444,689799:689818|offset_29|444444,689822:689841|offset_52|00cc00,689852:689871|offset_82|444444&amp;v=689575:690071&amp;c=444444", "offset 52")</f>
        <v>offset 52</v>
      </c>
    </row>
    <row r="2204" customFormat="false" ht="12.8" hidden="false" customHeight="false" outlineLevel="0" collapsed="false">
      <c r="A2204" s="0" t="s">
        <v>12</v>
      </c>
      <c r="B2204" s="0" t="n">
        <v>689851</v>
      </c>
      <c r="C2204" s="0" t="n">
        <v>689871</v>
      </c>
      <c r="D2204" s="0" t="s">
        <v>7356</v>
      </c>
      <c r="E2204" s="0" t="s">
        <v>75</v>
      </c>
      <c r="F2204" s="0" t="s">
        <v>15</v>
      </c>
      <c r="G2204" s="0" t="s">
        <v>16</v>
      </c>
      <c r="H2204" s="0" t="n">
        <v>82</v>
      </c>
      <c r="I2204" s="0" t="s">
        <v>7366</v>
      </c>
      <c r="J2204" s="0" t="s">
        <v>7367</v>
      </c>
      <c r="K2204" s="0" t="s">
        <v>7368</v>
      </c>
      <c r="L2204" s="0" t="str">
        <f aca="false">HYPERLINK("https://www.ncbi.nlm.nih.gov/nuccore/CP000058.1?report=graph&amp;tracks=[key:gene_model_track,Options:GeneOnly]&amp;mk=689776:689795|offset_6|444444,689799:689818|offset_29|444444,689822:689841|offset_52|444444,689852:689871|offset_82|00cc00&amp;v=689575:690071&amp;c=444444", "offset 82")</f>
        <v>offset 82</v>
      </c>
    </row>
    <row r="2205" customFormat="false" ht="12.8" hidden="false" customHeight="false" outlineLevel="0" collapsed="false">
      <c r="A2205" s="0" t="s">
        <v>12</v>
      </c>
      <c r="B2205" s="0" t="n">
        <v>692292</v>
      </c>
      <c r="C2205" s="0" t="n">
        <v>692312</v>
      </c>
      <c r="D2205" s="0" t="s">
        <v>7369</v>
      </c>
      <c r="E2205" s="0" t="s">
        <v>75</v>
      </c>
      <c r="F2205" s="0" t="s">
        <v>15</v>
      </c>
      <c r="G2205" s="0" t="s">
        <v>20</v>
      </c>
      <c r="H2205" s="0" t="n">
        <v>10</v>
      </c>
      <c r="I2205" s="0" t="s">
        <v>7370</v>
      </c>
      <c r="J2205" s="0" t="s">
        <v>7371</v>
      </c>
      <c r="K2205" s="0" t="s">
        <v>7372</v>
      </c>
      <c r="L2205" s="0" t="str">
        <f aca="false">HYPERLINK("https://www.ncbi.nlm.nih.gov/nuccore/CP000058.1?report=graph&amp;tracks=[key:gene_model_track,Options:GeneOnly]&amp;mk=692293:692312|offset_10|00cc00,692336:692355|offset_53|444444,692373:692392|offset_90|444444,692401:692420|offset_118|444444&amp;v=692092:692620&amp;c=444444", "offset 10")</f>
        <v>offset 10</v>
      </c>
    </row>
    <row r="2206" customFormat="false" ht="12.8" hidden="false" customHeight="false" outlineLevel="0" collapsed="false">
      <c r="A2206" s="0" t="s">
        <v>12</v>
      </c>
      <c r="B2206" s="0" t="n">
        <v>692335</v>
      </c>
      <c r="C2206" s="0" t="n">
        <v>692355</v>
      </c>
      <c r="D2206" s="0" t="s">
        <v>7369</v>
      </c>
      <c r="E2206" s="0" t="s">
        <v>75</v>
      </c>
      <c r="F2206" s="0" t="s">
        <v>15</v>
      </c>
      <c r="G2206" s="0" t="s">
        <v>36</v>
      </c>
      <c r="H2206" s="0" t="n">
        <v>53</v>
      </c>
      <c r="I2206" s="0" t="s">
        <v>7373</v>
      </c>
      <c r="J2206" s="0" t="s">
        <v>7374</v>
      </c>
      <c r="K2206" s="0" t="s">
        <v>7375</v>
      </c>
      <c r="L2206" s="0" t="str">
        <f aca="false">HYPERLINK("https://www.ncbi.nlm.nih.gov/nuccore/CP000058.1?report=graph&amp;tracks=[key:gene_model_track,Options:GeneOnly]&amp;mk=692293:692312|offset_10|444444,692336:692355|offset_53|00cc00,692373:692392|offset_90|444444,692401:692420|offset_118|444444&amp;v=692092:692620&amp;c=444444", "offset 53")</f>
        <v>offset 53</v>
      </c>
    </row>
    <row r="2207" customFormat="false" ht="12.8" hidden="false" customHeight="false" outlineLevel="0" collapsed="false">
      <c r="A2207" s="0" t="s">
        <v>12</v>
      </c>
      <c r="B2207" s="0" t="n">
        <v>692372</v>
      </c>
      <c r="C2207" s="0" t="n">
        <v>692392</v>
      </c>
      <c r="D2207" s="0" t="s">
        <v>7369</v>
      </c>
      <c r="E2207" s="0" t="s">
        <v>75</v>
      </c>
      <c r="F2207" s="0" t="s">
        <v>15</v>
      </c>
      <c r="G2207" s="0" t="s">
        <v>16</v>
      </c>
      <c r="H2207" s="0" t="n">
        <v>90</v>
      </c>
      <c r="I2207" s="0" t="s">
        <v>7376</v>
      </c>
      <c r="J2207" s="0" t="s">
        <v>7377</v>
      </c>
      <c r="K2207" s="0" t="s">
        <v>7378</v>
      </c>
      <c r="L2207" s="0" t="str">
        <f aca="false">HYPERLINK("https://www.ncbi.nlm.nih.gov/nuccore/CP000058.1?report=graph&amp;tracks=[key:gene_model_track,Options:GeneOnly]&amp;mk=692293:692312|offset_10|444444,692336:692355|offset_53|444444,692373:692392|offset_90|00cc00,692401:692420|offset_118|444444&amp;v=692092:692620&amp;c=444444", "offset 90")</f>
        <v>offset 90</v>
      </c>
    </row>
    <row r="2208" customFormat="false" ht="12.8" hidden="false" customHeight="false" outlineLevel="0" collapsed="false">
      <c r="A2208" s="0" t="s">
        <v>12</v>
      </c>
      <c r="B2208" s="0" t="n">
        <v>692400</v>
      </c>
      <c r="C2208" s="0" t="n">
        <v>692420</v>
      </c>
      <c r="D2208" s="0" t="s">
        <v>7369</v>
      </c>
      <c r="E2208" s="0" t="s">
        <v>75</v>
      </c>
      <c r="F2208" s="0" t="s">
        <v>15</v>
      </c>
      <c r="G2208" s="0" t="s">
        <v>16</v>
      </c>
      <c r="H2208" s="0" t="n">
        <v>118</v>
      </c>
      <c r="I2208" s="0" t="s">
        <v>7379</v>
      </c>
      <c r="J2208" s="0" t="s">
        <v>7380</v>
      </c>
      <c r="K2208" s="0" t="s">
        <v>7381</v>
      </c>
      <c r="L2208" s="0" t="str">
        <f aca="false">HYPERLINK("https://www.ncbi.nlm.nih.gov/nuccore/CP000058.1?report=graph&amp;tracks=[key:gene_model_track,Options:GeneOnly]&amp;mk=692293:692312|offset_10|444444,692336:692355|offset_53|444444,692373:692392|offset_90|444444,692401:692420|offset_118|00cc00&amp;v=692092:692620&amp;c=444444", "offset 118")</f>
        <v>offset 118</v>
      </c>
    </row>
    <row r="2209" customFormat="false" ht="12.8" hidden="false" customHeight="false" outlineLevel="0" collapsed="false">
      <c r="A2209" s="0" t="s">
        <v>12</v>
      </c>
      <c r="B2209" s="0" t="n">
        <v>693372</v>
      </c>
      <c r="C2209" s="0" t="n">
        <v>693392</v>
      </c>
      <c r="D2209" s="0" t="s">
        <v>7382</v>
      </c>
      <c r="E2209" s="0" t="s">
        <v>7383</v>
      </c>
      <c r="F2209" s="0" t="s">
        <v>15</v>
      </c>
      <c r="G2209" s="0" t="s">
        <v>32</v>
      </c>
      <c r="H2209" s="0" t="n">
        <v>43</v>
      </c>
      <c r="I2209" s="0" t="s">
        <v>7384</v>
      </c>
      <c r="J2209" s="0" t="s">
        <v>7385</v>
      </c>
      <c r="K2209" s="0" t="s">
        <v>7386</v>
      </c>
      <c r="L2209" s="0" t="str">
        <f aca="false">HYPERLINK("https://www.ncbi.nlm.nih.gov/nuccore/CP000058.1?report=graph&amp;tracks=[key:gene_model_track,Options:GeneOnly]&amp;mk=693373:693392|offset_43|00cc00,693394:693413|offset_64|444444,693421:693440|offset_91|444444,693442:693461|offset_112|444444&amp;v=693172:693661&amp;c=444444", "offset 43")</f>
        <v>offset 43</v>
      </c>
    </row>
    <row r="2210" customFormat="false" ht="12.8" hidden="false" customHeight="false" outlineLevel="0" collapsed="false">
      <c r="A2210" s="0" t="s">
        <v>12</v>
      </c>
      <c r="B2210" s="0" t="n">
        <v>693393</v>
      </c>
      <c r="C2210" s="0" t="n">
        <v>693413</v>
      </c>
      <c r="D2210" s="0" t="s">
        <v>7382</v>
      </c>
      <c r="E2210" s="0" t="s">
        <v>7383</v>
      </c>
      <c r="F2210" s="0" t="s">
        <v>15</v>
      </c>
      <c r="G2210" s="0" t="s">
        <v>16</v>
      </c>
      <c r="H2210" s="0" t="n">
        <v>64</v>
      </c>
      <c r="I2210" s="0" t="s">
        <v>7387</v>
      </c>
      <c r="J2210" s="0" t="s">
        <v>7388</v>
      </c>
      <c r="K2210" s="0" t="s">
        <v>7389</v>
      </c>
      <c r="L2210" s="0" t="str">
        <f aca="false">HYPERLINK("https://www.ncbi.nlm.nih.gov/nuccore/CP000058.1?report=graph&amp;tracks=[key:gene_model_track,Options:GeneOnly]&amp;mk=693373:693392|offset_43|444444,693394:693413|offset_64|00cc00,693421:693440|offset_91|444444,693442:693461|offset_112|444444&amp;v=693172:693661&amp;c=444444", "offset 64")</f>
        <v>offset 64</v>
      </c>
    </row>
    <row r="2211" customFormat="false" ht="12.8" hidden="false" customHeight="false" outlineLevel="0" collapsed="false">
      <c r="A2211" s="0" t="s">
        <v>12</v>
      </c>
      <c r="B2211" s="0" t="n">
        <v>693420</v>
      </c>
      <c r="C2211" s="0" t="n">
        <v>693440</v>
      </c>
      <c r="D2211" s="0" t="s">
        <v>7382</v>
      </c>
      <c r="E2211" s="0" t="s">
        <v>7383</v>
      </c>
      <c r="F2211" s="0" t="s">
        <v>15</v>
      </c>
      <c r="G2211" s="0" t="s">
        <v>16</v>
      </c>
      <c r="H2211" s="0" t="n">
        <v>91</v>
      </c>
      <c r="I2211" s="0" t="s">
        <v>7390</v>
      </c>
      <c r="J2211" s="0" t="s">
        <v>7391</v>
      </c>
      <c r="K2211" s="0" t="s">
        <v>7392</v>
      </c>
      <c r="L2211" s="0" t="str">
        <f aca="false">HYPERLINK("https://www.ncbi.nlm.nih.gov/nuccore/CP000058.1?report=graph&amp;tracks=[key:gene_model_track,Options:GeneOnly]&amp;mk=693373:693392|offset_43|444444,693394:693413|offset_64|444444,693421:693440|offset_91|00cc00,693442:693461|offset_112|444444&amp;v=693172:693661&amp;c=444444", "offset 91")</f>
        <v>offset 91</v>
      </c>
    </row>
    <row r="2212" customFormat="false" ht="12.8" hidden="false" customHeight="false" outlineLevel="0" collapsed="false">
      <c r="A2212" s="0" t="s">
        <v>12</v>
      </c>
      <c r="B2212" s="0" t="n">
        <v>693441</v>
      </c>
      <c r="C2212" s="0" t="n">
        <v>693461</v>
      </c>
      <c r="D2212" s="0" t="s">
        <v>7382</v>
      </c>
      <c r="E2212" s="0" t="s">
        <v>7383</v>
      </c>
      <c r="F2212" s="0" t="s">
        <v>15</v>
      </c>
      <c r="G2212" s="0" t="s">
        <v>32</v>
      </c>
      <c r="H2212" s="0" t="n">
        <v>112</v>
      </c>
      <c r="I2212" s="0" t="s">
        <v>7393</v>
      </c>
      <c r="J2212" s="0" t="s">
        <v>7394</v>
      </c>
      <c r="K2212" s="0" t="s">
        <v>7395</v>
      </c>
      <c r="L2212" s="0" t="str">
        <f aca="false">HYPERLINK("https://www.ncbi.nlm.nih.gov/nuccore/CP000058.1?report=graph&amp;tracks=[key:gene_model_track,Options:GeneOnly]&amp;mk=693373:693392|offset_43|444444,693394:693413|offset_64|444444,693421:693440|offset_91|444444,693442:693461|offset_112|00cc00&amp;v=693172:693661&amp;c=444444", "offset 112")</f>
        <v>offset 112</v>
      </c>
    </row>
    <row r="2213" customFormat="false" ht="12.8" hidden="false" customHeight="false" outlineLevel="0" collapsed="false">
      <c r="A2213" s="0" t="s">
        <v>12</v>
      </c>
      <c r="B2213" s="0" t="n">
        <v>694933</v>
      </c>
      <c r="C2213" s="0" t="n">
        <v>694953</v>
      </c>
      <c r="D2213" s="0" t="s">
        <v>7396</v>
      </c>
      <c r="E2213" s="0" t="s">
        <v>7397</v>
      </c>
      <c r="F2213" s="0" t="s">
        <v>90</v>
      </c>
      <c r="G2213" s="0" t="s">
        <v>16</v>
      </c>
      <c r="H2213" s="0" t="n">
        <v>10</v>
      </c>
      <c r="I2213" s="0" t="s">
        <v>7398</v>
      </c>
      <c r="J2213" s="0" t="s">
        <v>7399</v>
      </c>
      <c r="K2213" s="0" t="s">
        <v>7400</v>
      </c>
      <c r="L2213" s="0" t="str">
        <f aca="false">HYPERLINK("https://www.ncbi.nlm.nih.gov/nuccore/CP000058.1?report=graph&amp;tracks=[key:gene_model_track,Options:GeneOnly]&amp;mk=694934:694953|offset_10|00cc00,694900:694919|offset_44|444444,694865:694884|offset_79|444444,694828:694847|offset_116|444444&amp;v=694733:695047&amp;c=444444", "offset 10")</f>
        <v>offset 10</v>
      </c>
    </row>
    <row r="2214" customFormat="false" ht="12.8" hidden="false" customHeight="false" outlineLevel="0" collapsed="false">
      <c r="A2214" s="0" t="s">
        <v>12</v>
      </c>
      <c r="B2214" s="0" t="n">
        <v>694899</v>
      </c>
      <c r="C2214" s="0" t="n">
        <v>694919</v>
      </c>
      <c r="D2214" s="0" t="s">
        <v>7396</v>
      </c>
      <c r="E2214" s="0" t="s">
        <v>7397</v>
      </c>
      <c r="F2214" s="0" t="s">
        <v>90</v>
      </c>
      <c r="G2214" s="0" t="s">
        <v>32</v>
      </c>
      <c r="H2214" s="0" t="n">
        <v>44</v>
      </c>
      <c r="I2214" s="0" t="s">
        <v>7401</v>
      </c>
      <c r="J2214" s="0" t="s">
        <v>7402</v>
      </c>
      <c r="K2214" s="0" t="s">
        <v>7403</v>
      </c>
      <c r="L2214" s="0" t="str">
        <f aca="false">HYPERLINK("https://www.ncbi.nlm.nih.gov/nuccore/CP000058.1?report=graph&amp;tracks=[key:gene_model_track,Options:GeneOnly]&amp;mk=694934:694953|offset_10|444444,694900:694919|offset_44|00cc00,694865:694884|offset_79|444444,694828:694847|offset_116|444444&amp;v=694733:695047&amp;c=444444", "offset 44")</f>
        <v>offset 44</v>
      </c>
    </row>
    <row r="2215" customFormat="false" ht="12.8" hidden="false" customHeight="false" outlineLevel="0" collapsed="false">
      <c r="A2215" s="0" t="s">
        <v>12</v>
      </c>
      <c r="B2215" s="0" t="n">
        <v>694864</v>
      </c>
      <c r="C2215" s="0" t="n">
        <v>694884</v>
      </c>
      <c r="D2215" s="0" t="s">
        <v>7396</v>
      </c>
      <c r="E2215" s="0" t="s">
        <v>7397</v>
      </c>
      <c r="F2215" s="0" t="s">
        <v>90</v>
      </c>
      <c r="G2215" s="0" t="s">
        <v>16</v>
      </c>
      <c r="H2215" s="0" t="n">
        <v>79</v>
      </c>
      <c r="I2215" s="0" t="s">
        <v>7404</v>
      </c>
      <c r="J2215" s="0" t="s">
        <v>7405</v>
      </c>
      <c r="K2215" s="0" t="s">
        <v>7406</v>
      </c>
      <c r="L2215" s="0" t="str">
        <f aca="false">HYPERLINK("https://www.ncbi.nlm.nih.gov/nuccore/CP000058.1?report=graph&amp;tracks=[key:gene_model_track,Options:GeneOnly]&amp;mk=694934:694953|offset_10|444444,694900:694919|offset_44|444444,694865:694884|offset_79|00cc00,694828:694847|offset_116|444444&amp;v=694733:695047&amp;c=444444", "offset 79")</f>
        <v>offset 79</v>
      </c>
    </row>
    <row r="2216" customFormat="false" ht="12.8" hidden="false" customHeight="false" outlineLevel="0" collapsed="false">
      <c r="A2216" s="0" t="s">
        <v>12</v>
      </c>
      <c r="B2216" s="0" t="n">
        <v>694827</v>
      </c>
      <c r="C2216" s="0" t="n">
        <v>694847</v>
      </c>
      <c r="D2216" s="0" t="s">
        <v>7396</v>
      </c>
      <c r="E2216" s="0" t="s">
        <v>7397</v>
      </c>
      <c r="F2216" s="0" t="s">
        <v>90</v>
      </c>
      <c r="G2216" s="0" t="s">
        <v>20</v>
      </c>
      <c r="H2216" s="0" t="n">
        <v>116</v>
      </c>
      <c r="I2216" s="0" t="s">
        <v>7407</v>
      </c>
      <c r="J2216" s="0" t="s">
        <v>7408</v>
      </c>
      <c r="K2216" s="0" t="s">
        <v>7409</v>
      </c>
      <c r="L2216" s="0" t="str">
        <f aca="false">HYPERLINK("https://www.ncbi.nlm.nih.gov/nuccore/CP000058.1?report=graph&amp;tracks=[key:gene_model_track,Options:GeneOnly]&amp;mk=694934:694953|offset_10|444444,694900:694919|offset_44|444444,694865:694884|offset_79|444444,694828:694847|offset_116|00cc00&amp;v=694733:695047&amp;c=444444", "offset 116")</f>
        <v>offset 116</v>
      </c>
    </row>
    <row r="2217" customFormat="false" ht="12.8" hidden="false" customHeight="false" outlineLevel="0" collapsed="false">
      <c r="A2217" s="0" t="s">
        <v>12</v>
      </c>
      <c r="B2217" s="0" t="n">
        <v>696177</v>
      </c>
      <c r="C2217" s="0" t="n">
        <v>696197</v>
      </c>
      <c r="D2217" s="0" t="s">
        <v>7410</v>
      </c>
      <c r="E2217" s="0" t="s">
        <v>7411</v>
      </c>
      <c r="F2217" s="0" t="s">
        <v>90</v>
      </c>
      <c r="G2217" s="0" t="s">
        <v>20</v>
      </c>
      <c r="H2217" s="0" t="n">
        <v>16</v>
      </c>
      <c r="I2217" s="0" t="s">
        <v>7412</v>
      </c>
      <c r="J2217" s="0" t="s">
        <v>7413</v>
      </c>
      <c r="K2217" s="0" t="s">
        <v>7414</v>
      </c>
      <c r="L2217" s="0" t="str">
        <f aca="false">HYPERLINK("https://www.ncbi.nlm.nih.gov/nuccore/CP000058.1?report=graph&amp;tracks=[key:gene_model_track,Options:GeneOnly]&amp;mk=696178:696197|offset_16|00cc00,696153:696172|offset_41|444444,696124:696143|offset_70|444444,696096:696115|offset_98|444444&amp;v=695977:696315&amp;c=444444", "offset 16")</f>
        <v>offset 16</v>
      </c>
    </row>
    <row r="2218" customFormat="false" ht="12.8" hidden="false" customHeight="false" outlineLevel="0" collapsed="false">
      <c r="A2218" s="0" t="s">
        <v>12</v>
      </c>
      <c r="B2218" s="0" t="n">
        <v>696152</v>
      </c>
      <c r="C2218" s="0" t="n">
        <v>696172</v>
      </c>
      <c r="D2218" s="0" t="s">
        <v>7410</v>
      </c>
      <c r="E2218" s="0" t="s">
        <v>7411</v>
      </c>
      <c r="F2218" s="0" t="s">
        <v>90</v>
      </c>
      <c r="G2218" s="0" t="s">
        <v>20</v>
      </c>
      <c r="H2218" s="0" t="n">
        <v>41</v>
      </c>
      <c r="I2218" s="0" t="s">
        <v>7415</v>
      </c>
      <c r="J2218" s="0" t="s">
        <v>7416</v>
      </c>
      <c r="K2218" s="0" t="s">
        <v>7417</v>
      </c>
      <c r="L2218" s="0" t="str">
        <f aca="false">HYPERLINK("https://www.ncbi.nlm.nih.gov/nuccore/CP000058.1?report=graph&amp;tracks=[key:gene_model_track,Options:GeneOnly]&amp;mk=696178:696197|offset_16|444444,696153:696172|offset_41|00cc00,696124:696143|offset_70|444444,696096:696115|offset_98|444444&amp;v=695977:696315&amp;c=444444", "offset 41")</f>
        <v>offset 41</v>
      </c>
    </row>
    <row r="2219" customFormat="false" ht="12.8" hidden="false" customHeight="false" outlineLevel="0" collapsed="false">
      <c r="A2219" s="0" t="s">
        <v>12</v>
      </c>
      <c r="B2219" s="0" t="n">
        <v>696123</v>
      </c>
      <c r="C2219" s="0" t="n">
        <v>696143</v>
      </c>
      <c r="D2219" s="0" t="s">
        <v>7410</v>
      </c>
      <c r="E2219" s="0" t="s">
        <v>7411</v>
      </c>
      <c r="F2219" s="0" t="s">
        <v>90</v>
      </c>
      <c r="G2219" s="0" t="s">
        <v>32</v>
      </c>
      <c r="H2219" s="0" t="n">
        <v>70</v>
      </c>
      <c r="I2219" s="0" t="s">
        <v>7418</v>
      </c>
      <c r="J2219" s="0" t="s">
        <v>7419</v>
      </c>
      <c r="K2219" s="0" t="s">
        <v>7420</v>
      </c>
      <c r="L2219" s="0" t="str">
        <f aca="false">HYPERLINK("https://www.ncbi.nlm.nih.gov/nuccore/CP000058.1?report=graph&amp;tracks=[key:gene_model_track,Options:GeneOnly]&amp;mk=696178:696197|offset_16|444444,696153:696172|offset_41|444444,696124:696143|offset_70|00cc00,696096:696115|offset_98|444444&amp;v=695977:696315&amp;c=444444", "offset 70")</f>
        <v>offset 70</v>
      </c>
    </row>
    <row r="2220" customFormat="false" ht="12.8" hidden="false" customHeight="false" outlineLevel="0" collapsed="false">
      <c r="A2220" s="0" t="s">
        <v>12</v>
      </c>
      <c r="B2220" s="0" t="n">
        <v>696095</v>
      </c>
      <c r="C2220" s="0" t="n">
        <v>696115</v>
      </c>
      <c r="D2220" s="0" t="s">
        <v>7410</v>
      </c>
      <c r="E2220" s="0" t="s">
        <v>7411</v>
      </c>
      <c r="F2220" s="0" t="s">
        <v>90</v>
      </c>
      <c r="G2220" s="0" t="s">
        <v>36</v>
      </c>
      <c r="H2220" s="0" t="n">
        <v>98</v>
      </c>
      <c r="I2220" s="0" t="s">
        <v>7421</v>
      </c>
      <c r="J2220" s="0" t="s">
        <v>7422</v>
      </c>
      <c r="K2220" s="0" t="s">
        <v>7423</v>
      </c>
      <c r="L2220" s="0" t="str">
        <f aca="false">HYPERLINK("https://www.ncbi.nlm.nih.gov/nuccore/CP000058.1?report=graph&amp;tracks=[key:gene_model_track,Options:GeneOnly]&amp;mk=696178:696197|offset_16|444444,696153:696172|offset_41|444444,696124:696143|offset_70|444444,696096:696115|offset_98|00cc00&amp;v=695977:696315&amp;c=444444", "offset 98")</f>
        <v>offset 98</v>
      </c>
    </row>
    <row r="2221" customFormat="false" ht="12.8" hidden="false" customHeight="false" outlineLevel="0" collapsed="false">
      <c r="A2221" s="0" t="s">
        <v>12</v>
      </c>
      <c r="B2221" s="0" t="n">
        <v>697174</v>
      </c>
      <c r="C2221" s="0" t="n">
        <v>697194</v>
      </c>
      <c r="D2221" s="0" t="s">
        <v>7424</v>
      </c>
      <c r="E2221" s="0" t="s">
        <v>75</v>
      </c>
      <c r="F2221" s="0" t="s">
        <v>90</v>
      </c>
      <c r="G2221" s="0" t="s">
        <v>36</v>
      </c>
      <c r="H2221" s="0" t="n">
        <v>24</v>
      </c>
      <c r="I2221" s="0" t="s">
        <v>7425</v>
      </c>
      <c r="J2221" s="0" t="s">
        <v>7426</v>
      </c>
      <c r="K2221" s="0" t="s">
        <v>7427</v>
      </c>
      <c r="L2221" s="0" t="str">
        <f aca="false">HYPERLINK("https://www.ncbi.nlm.nih.gov/nuccore/CP000058.1?report=graph&amp;tracks=[key:gene_model_track,Options:GeneOnly]&amp;mk=697175:697194|offset_24|00cc00,697138:697157|offset_61|444444,697084:697103|offset_115|444444,697041:697060|offset_158|444444&amp;v=696974:697260&amp;c=444444", "offset 24")</f>
        <v>offset 24</v>
      </c>
    </row>
    <row r="2222" customFormat="false" ht="12.8" hidden="false" customHeight="false" outlineLevel="0" collapsed="false">
      <c r="A2222" s="0" t="s">
        <v>12</v>
      </c>
      <c r="B2222" s="0" t="n">
        <v>697137</v>
      </c>
      <c r="C2222" s="0" t="n">
        <v>697157</v>
      </c>
      <c r="D2222" s="0" t="s">
        <v>7424</v>
      </c>
      <c r="E2222" s="0" t="s">
        <v>75</v>
      </c>
      <c r="F2222" s="0" t="s">
        <v>90</v>
      </c>
      <c r="G2222" s="0" t="s">
        <v>36</v>
      </c>
      <c r="H2222" s="0" t="n">
        <v>61</v>
      </c>
      <c r="I2222" s="0" t="s">
        <v>7428</v>
      </c>
      <c r="J2222" s="0" t="s">
        <v>7429</v>
      </c>
      <c r="K2222" s="0" t="s">
        <v>7430</v>
      </c>
      <c r="L2222" s="0" t="str">
        <f aca="false">HYPERLINK("https://www.ncbi.nlm.nih.gov/nuccore/CP000058.1?report=graph&amp;tracks=[key:gene_model_track,Options:GeneOnly]&amp;mk=697175:697194|offset_24|444444,697138:697157|offset_61|00cc00,697084:697103|offset_115|444444,697041:697060|offset_158|444444&amp;v=696974:697260&amp;c=444444", "offset 61")</f>
        <v>offset 61</v>
      </c>
    </row>
    <row r="2223" customFormat="false" ht="12.8" hidden="false" customHeight="false" outlineLevel="0" collapsed="false">
      <c r="A2223" s="0" t="s">
        <v>12</v>
      </c>
      <c r="B2223" s="0" t="n">
        <v>697083</v>
      </c>
      <c r="C2223" s="0" t="n">
        <v>697103</v>
      </c>
      <c r="D2223" s="0" t="s">
        <v>7424</v>
      </c>
      <c r="E2223" s="0" t="s">
        <v>75</v>
      </c>
      <c r="F2223" s="0" t="s">
        <v>90</v>
      </c>
      <c r="G2223" s="0" t="s">
        <v>16</v>
      </c>
      <c r="H2223" s="0" t="n">
        <v>115</v>
      </c>
      <c r="I2223" s="0" t="s">
        <v>7431</v>
      </c>
      <c r="J2223" s="0" t="s">
        <v>7432</v>
      </c>
      <c r="K2223" s="0" t="s">
        <v>7433</v>
      </c>
      <c r="L2223" s="0" t="str">
        <f aca="false">HYPERLINK("https://www.ncbi.nlm.nih.gov/nuccore/CP000058.1?report=graph&amp;tracks=[key:gene_model_track,Options:GeneOnly]&amp;mk=697175:697194|offset_24|444444,697138:697157|offset_61|444444,697084:697103|offset_115|00cc00,697041:697060|offset_158|444444&amp;v=696974:697260&amp;c=444444", "offset 115")</f>
        <v>offset 115</v>
      </c>
    </row>
    <row r="2224" customFormat="false" ht="12.8" hidden="false" customHeight="false" outlineLevel="0" collapsed="false">
      <c r="A2224" s="0" t="s">
        <v>12</v>
      </c>
      <c r="B2224" s="0" t="n">
        <v>697040</v>
      </c>
      <c r="C2224" s="0" t="n">
        <v>697060</v>
      </c>
      <c r="D2224" s="0" t="s">
        <v>7424</v>
      </c>
      <c r="E2224" s="0" t="s">
        <v>75</v>
      </c>
      <c r="F2224" s="0" t="s">
        <v>90</v>
      </c>
      <c r="G2224" s="0" t="s">
        <v>36</v>
      </c>
      <c r="H2224" s="0" t="n">
        <v>158</v>
      </c>
      <c r="I2224" s="0" t="s">
        <v>7434</v>
      </c>
      <c r="J2224" s="0" t="s">
        <v>7435</v>
      </c>
      <c r="K2224" s="0" t="s">
        <v>7436</v>
      </c>
      <c r="L2224" s="0" t="str">
        <f aca="false">HYPERLINK("https://www.ncbi.nlm.nih.gov/nuccore/CP000058.1?report=graph&amp;tracks=[key:gene_model_track,Options:GeneOnly]&amp;mk=697175:697194|offset_24|444444,697138:697157|offset_61|444444,697084:697103|offset_115|444444,697041:697060|offset_158|00cc00&amp;v=696974:697260&amp;c=444444", "offset 158")</f>
        <v>offset 158</v>
      </c>
    </row>
    <row r="2225" customFormat="false" ht="12.8" hidden="false" customHeight="false" outlineLevel="0" collapsed="false">
      <c r="A2225" s="0" t="s">
        <v>12</v>
      </c>
      <c r="B2225" s="0" t="n">
        <v>697831</v>
      </c>
      <c r="C2225" s="0" t="n">
        <v>697851</v>
      </c>
      <c r="D2225" s="0" t="s">
        <v>7437</v>
      </c>
      <c r="E2225" s="0" t="s">
        <v>75</v>
      </c>
      <c r="F2225" s="0" t="s">
        <v>15</v>
      </c>
      <c r="G2225" s="0" t="s">
        <v>16</v>
      </c>
      <c r="H2225" s="0" t="n">
        <v>108</v>
      </c>
      <c r="I2225" s="0" t="s">
        <v>7438</v>
      </c>
      <c r="J2225" s="0" t="s">
        <v>7439</v>
      </c>
      <c r="K2225" s="0" t="s">
        <v>7440</v>
      </c>
      <c r="L2225" s="0" t="str">
        <f aca="false">HYPERLINK("https://www.ncbi.nlm.nih.gov/nuccore/CP000058.1?report=graph&amp;tracks=[key:gene_model_track,Options:GeneOnly]&amp;mk=697832:697851|offset_108|00cc00,697893:697912|offset_169|444444,697959:697978|offset_235|444444,697989:698008|offset_265|444444&amp;v=697631:698208&amp;c=444444", "offset 108")</f>
        <v>offset 108</v>
      </c>
    </row>
    <row r="2226" customFormat="false" ht="12.8" hidden="false" customHeight="false" outlineLevel="0" collapsed="false">
      <c r="A2226" s="0" t="s">
        <v>12</v>
      </c>
      <c r="B2226" s="0" t="n">
        <v>697892</v>
      </c>
      <c r="C2226" s="0" t="n">
        <v>697912</v>
      </c>
      <c r="D2226" s="0" t="s">
        <v>7437</v>
      </c>
      <c r="E2226" s="0" t="s">
        <v>75</v>
      </c>
      <c r="F2226" s="0" t="s">
        <v>15</v>
      </c>
      <c r="G2226" s="0" t="s">
        <v>16</v>
      </c>
      <c r="H2226" s="0" t="n">
        <v>169</v>
      </c>
      <c r="I2226" s="0" t="s">
        <v>7441</v>
      </c>
      <c r="J2226" s="0" t="s">
        <v>7442</v>
      </c>
      <c r="K2226" s="0" t="s">
        <v>7443</v>
      </c>
      <c r="L2226" s="0" t="str">
        <f aca="false">HYPERLINK("https://www.ncbi.nlm.nih.gov/nuccore/CP000058.1?report=graph&amp;tracks=[key:gene_model_track,Options:GeneOnly]&amp;mk=697832:697851|offset_108|444444,697893:697912|offset_169|00cc00,697959:697978|offset_235|444444,697989:698008|offset_265|444444&amp;v=697631:698208&amp;c=444444", "offset 169")</f>
        <v>offset 169</v>
      </c>
    </row>
    <row r="2227" customFormat="false" ht="12.8" hidden="false" customHeight="false" outlineLevel="0" collapsed="false">
      <c r="A2227" s="0" t="s">
        <v>12</v>
      </c>
      <c r="B2227" s="0" t="n">
        <v>697958</v>
      </c>
      <c r="C2227" s="0" t="n">
        <v>697978</v>
      </c>
      <c r="D2227" s="0" t="s">
        <v>7437</v>
      </c>
      <c r="E2227" s="0" t="s">
        <v>75</v>
      </c>
      <c r="F2227" s="0" t="s">
        <v>15</v>
      </c>
      <c r="G2227" s="0" t="s">
        <v>20</v>
      </c>
      <c r="H2227" s="0" t="n">
        <v>235</v>
      </c>
      <c r="I2227" s="0" t="s">
        <v>7444</v>
      </c>
      <c r="J2227" s="0" t="s">
        <v>7445</v>
      </c>
      <c r="K2227" s="0" t="s">
        <v>7446</v>
      </c>
      <c r="L2227" s="0" t="str">
        <f aca="false">HYPERLINK("https://www.ncbi.nlm.nih.gov/nuccore/CP000058.1?report=graph&amp;tracks=[key:gene_model_track,Options:GeneOnly]&amp;mk=697832:697851|offset_108|444444,697893:697912|offset_169|444444,697959:697978|offset_235|00cc00,697989:698008|offset_265|444444&amp;v=697631:698208&amp;c=444444", "offset 235")</f>
        <v>offset 235</v>
      </c>
    </row>
    <row r="2228" customFormat="false" ht="12.8" hidden="false" customHeight="false" outlineLevel="0" collapsed="false">
      <c r="A2228" s="0" t="s">
        <v>12</v>
      </c>
      <c r="B2228" s="0" t="n">
        <v>697988</v>
      </c>
      <c r="C2228" s="0" t="n">
        <v>698008</v>
      </c>
      <c r="D2228" s="0" t="s">
        <v>7437</v>
      </c>
      <c r="E2228" s="0" t="s">
        <v>75</v>
      </c>
      <c r="F2228" s="0" t="s">
        <v>15</v>
      </c>
      <c r="G2228" s="0" t="s">
        <v>32</v>
      </c>
      <c r="H2228" s="0" t="n">
        <v>265</v>
      </c>
      <c r="I2228" s="0" t="s">
        <v>7447</v>
      </c>
      <c r="J2228" s="0" t="s">
        <v>7448</v>
      </c>
      <c r="K2228" s="0" t="s">
        <v>7449</v>
      </c>
      <c r="L2228" s="0" t="str">
        <f aca="false">HYPERLINK("https://www.ncbi.nlm.nih.gov/nuccore/CP000058.1?report=graph&amp;tracks=[key:gene_model_track,Options:GeneOnly]&amp;mk=697832:697851|offset_108|444444,697893:697912|offset_169|444444,697959:697978|offset_235|444444,697989:698008|offset_265|00cc00&amp;v=697631:698208&amp;c=444444", "offset 265")</f>
        <v>offset 265</v>
      </c>
    </row>
    <row r="2229" customFormat="false" ht="12.8" hidden="false" customHeight="false" outlineLevel="0" collapsed="false">
      <c r="A2229" s="0" t="s">
        <v>12</v>
      </c>
      <c r="B2229" s="0" t="n">
        <v>699038</v>
      </c>
      <c r="C2229" s="0" t="n">
        <v>699058</v>
      </c>
      <c r="D2229" s="0" t="s">
        <v>7450</v>
      </c>
      <c r="E2229" s="0" t="s">
        <v>7451</v>
      </c>
      <c r="F2229" s="0" t="s">
        <v>15</v>
      </c>
      <c r="G2229" s="0" t="s">
        <v>20</v>
      </c>
      <c r="H2229" s="0" t="n">
        <v>17</v>
      </c>
      <c r="I2229" s="0" t="s">
        <v>7452</v>
      </c>
      <c r="J2229" s="0" t="s">
        <v>7453</v>
      </c>
      <c r="K2229" s="0" t="s">
        <v>7454</v>
      </c>
      <c r="L2229" s="0" t="str">
        <f aca="false">HYPERLINK("https://www.ncbi.nlm.nih.gov/nuccore/CP000058.1?report=graph&amp;tracks=[key:gene_model_track,Options:GeneOnly]&amp;mk=699039:699058|offset_17|00cc00,699065:699084|offset_43|444444,699140:699159|offset_118|444444,699164:699183|offset_142|444444&amp;v=698838:699383&amp;c=444444", "offset 17")</f>
        <v>offset 17</v>
      </c>
    </row>
    <row r="2230" customFormat="false" ht="12.8" hidden="false" customHeight="false" outlineLevel="0" collapsed="false">
      <c r="A2230" s="0" t="s">
        <v>12</v>
      </c>
      <c r="B2230" s="0" t="n">
        <v>699064</v>
      </c>
      <c r="C2230" s="0" t="n">
        <v>699084</v>
      </c>
      <c r="D2230" s="0" t="s">
        <v>7450</v>
      </c>
      <c r="E2230" s="0" t="s">
        <v>7451</v>
      </c>
      <c r="F2230" s="0" t="s">
        <v>15</v>
      </c>
      <c r="G2230" s="0" t="s">
        <v>36</v>
      </c>
      <c r="H2230" s="0" t="n">
        <v>43</v>
      </c>
      <c r="I2230" s="0" t="s">
        <v>7455</v>
      </c>
      <c r="J2230" s="0" t="s">
        <v>7456</v>
      </c>
      <c r="K2230" s="0" t="s">
        <v>7457</v>
      </c>
      <c r="L2230" s="0" t="str">
        <f aca="false">HYPERLINK("https://www.ncbi.nlm.nih.gov/nuccore/CP000058.1?report=graph&amp;tracks=[key:gene_model_track,Options:GeneOnly]&amp;mk=699039:699058|offset_17|444444,699065:699084|offset_43|00cc00,699140:699159|offset_118|444444,699164:699183|offset_142|444444&amp;v=698838:699383&amp;c=444444", "offset 43")</f>
        <v>offset 43</v>
      </c>
    </row>
    <row r="2231" customFormat="false" ht="12.8" hidden="false" customHeight="false" outlineLevel="0" collapsed="false">
      <c r="A2231" s="0" t="s">
        <v>12</v>
      </c>
      <c r="B2231" s="0" t="n">
        <v>699139</v>
      </c>
      <c r="C2231" s="0" t="n">
        <v>699159</v>
      </c>
      <c r="D2231" s="0" t="s">
        <v>7450</v>
      </c>
      <c r="E2231" s="0" t="s">
        <v>7451</v>
      </c>
      <c r="F2231" s="0" t="s">
        <v>15</v>
      </c>
      <c r="G2231" s="0" t="s">
        <v>36</v>
      </c>
      <c r="H2231" s="0" t="n">
        <v>118</v>
      </c>
      <c r="I2231" s="0" t="s">
        <v>7458</v>
      </c>
      <c r="J2231" s="0" t="s">
        <v>7459</v>
      </c>
      <c r="K2231" s="0" t="s">
        <v>7460</v>
      </c>
      <c r="L2231" s="0" t="str">
        <f aca="false">HYPERLINK("https://www.ncbi.nlm.nih.gov/nuccore/CP000058.1?report=graph&amp;tracks=[key:gene_model_track,Options:GeneOnly]&amp;mk=699039:699058|offset_17|444444,699065:699084|offset_43|444444,699140:699159|offset_118|00cc00,699164:699183|offset_142|444444&amp;v=698838:699383&amp;c=444444", "offset 118")</f>
        <v>offset 118</v>
      </c>
    </row>
    <row r="2232" customFormat="false" ht="12.8" hidden="false" customHeight="false" outlineLevel="0" collapsed="false">
      <c r="A2232" s="0" t="s">
        <v>12</v>
      </c>
      <c r="B2232" s="0" t="n">
        <v>699163</v>
      </c>
      <c r="C2232" s="0" t="n">
        <v>699183</v>
      </c>
      <c r="D2232" s="0" t="s">
        <v>7450</v>
      </c>
      <c r="E2232" s="0" t="s">
        <v>7451</v>
      </c>
      <c r="F2232" s="0" t="s">
        <v>15</v>
      </c>
      <c r="G2232" s="0" t="s">
        <v>16</v>
      </c>
      <c r="H2232" s="0" t="n">
        <v>142</v>
      </c>
      <c r="I2232" s="0" t="s">
        <v>7461</v>
      </c>
      <c r="J2232" s="0" t="s">
        <v>7462</v>
      </c>
      <c r="K2232" s="0" t="s">
        <v>7463</v>
      </c>
      <c r="L2232" s="0" t="str">
        <f aca="false">HYPERLINK("https://www.ncbi.nlm.nih.gov/nuccore/CP000058.1?report=graph&amp;tracks=[key:gene_model_track,Options:GeneOnly]&amp;mk=699039:699058|offset_17|444444,699065:699084|offset_43|444444,699140:699159|offset_118|444444,699164:699183|offset_142|00cc00&amp;v=698838:699383&amp;c=444444", "offset 142")</f>
        <v>offset 142</v>
      </c>
    </row>
    <row r="2233" customFormat="false" ht="12.8" hidden="false" customHeight="false" outlineLevel="0" collapsed="false">
      <c r="A2233" s="0" t="s">
        <v>12</v>
      </c>
      <c r="B2233" s="0" t="n">
        <v>699945</v>
      </c>
      <c r="C2233" s="0" t="n">
        <v>699965</v>
      </c>
      <c r="D2233" s="0" t="s">
        <v>7464</v>
      </c>
      <c r="E2233" s="0" t="s">
        <v>7465</v>
      </c>
      <c r="F2233" s="0" t="s">
        <v>15</v>
      </c>
      <c r="G2233" s="0" t="s">
        <v>16</v>
      </c>
      <c r="H2233" s="0" t="n">
        <v>7</v>
      </c>
      <c r="I2233" s="0" t="s">
        <v>7466</v>
      </c>
      <c r="J2233" s="0" t="s">
        <v>7467</v>
      </c>
      <c r="K2233" s="0" t="s">
        <v>7468</v>
      </c>
      <c r="L2233" s="0" t="str">
        <f aca="false">HYPERLINK("https://www.ncbi.nlm.nih.gov/nuccore/CP000058.1?report=graph&amp;tracks=[key:gene_model_track,Options:GeneOnly]&amp;mk=699946:699965|offset_7|00cc00,699975:699994|offset_36|444444,699995:700014|offset_56|444444,700044:700063|offset_105|444444&amp;v=699745:700263&amp;c=444444", "offset 7")</f>
        <v>offset 7</v>
      </c>
    </row>
    <row r="2234" customFormat="false" ht="12.8" hidden="false" customHeight="false" outlineLevel="0" collapsed="false">
      <c r="A2234" s="0" t="s">
        <v>12</v>
      </c>
      <c r="B2234" s="0" t="n">
        <v>699974</v>
      </c>
      <c r="C2234" s="0" t="n">
        <v>699994</v>
      </c>
      <c r="D2234" s="0" t="s">
        <v>7464</v>
      </c>
      <c r="E2234" s="0" t="s">
        <v>7465</v>
      </c>
      <c r="F2234" s="0" t="s">
        <v>15</v>
      </c>
      <c r="G2234" s="0" t="s">
        <v>20</v>
      </c>
      <c r="H2234" s="0" t="n">
        <v>36</v>
      </c>
      <c r="I2234" s="0" t="s">
        <v>7469</v>
      </c>
      <c r="J2234" s="0" t="s">
        <v>7470</v>
      </c>
      <c r="K2234" s="0" t="s">
        <v>7471</v>
      </c>
      <c r="L2234" s="0" t="str">
        <f aca="false">HYPERLINK("https://www.ncbi.nlm.nih.gov/nuccore/CP000058.1?report=graph&amp;tracks=[key:gene_model_track,Options:GeneOnly]&amp;mk=699946:699965|offset_7|444444,699975:699994|offset_36|00cc00,699995:700014|offset_56|444444,700044:700063|offset_105|444444&amp;v=699745:700263&amp;c=444444", "offset 36")</f>
        <v>offset 36</v>
      </c>
    </row>
    <row r="2235" customFormat="false" ht="12.8" hidden="false" customHeight="false" outlineLevel="0" collapsed="false">
      <c r="A2235" s="0" t="s">
        <v>12</v>
      </c>
      <c r="B2235" s="0" t="n">
        <v>699994</v>
      </c>
      <c r="C2235" s="0" t="n">
        <v>700014</v>
      </c>
      <c r="D2235" s="0" t="s">
        <v>7464</v>
      </c>
      <c r="E2235" s="0" t="s">
        <v>7465</v>
      </c>
      <c r="F2235" s="0" t="s">
        <v>15</v>
      </c>
      <c r="G2235" s="0" t="s">
        <v>20</v>
      </c>
      <c r="H2235" s="0" t="n">
        <v>56</v>
      </c>
      <c r="I2235" s="0" t="s">
        <v>7472</v>
      </c>
      <c r="J2235" s="0" t="s">
        <v>7473</v>
      </c>
      <c r="K2235" s="0" t="s">
        <v>7474</v>
      </c>
      <c r="L2235" s="0" t="str">
        <f aca="false">HYPERLINK("https://www.ncbi.nlm.nih.gov/nuccore/CP000058.1?report=graph&amp;tracks=[key:gene_model_track,Options:GeneOnly]&amp;mk=699946:699965|offset_7|444444,699975:699994|offset_36|444444,699995:700014|offset_56|00cc00,700044:700063|offset_105|444444&amp;v=699745:700263&amp;c=444444", "offset 56")</f>
        <v>offset 56</v>
      </c>
    </row>
    <row r="2236" customFormat="false" ht="12.8" hidden="false" customHeight="false" outlineLevel="0" collapsed="false">
      <c r="A2236" s="0" t="s">
        <v>12</v>
      </c>
      <c r="B2236" s="0" t="n">
        <v>700043</v>
      </c>
      <c r="C2236" s="0" t="n">
        <v>700063</v>
      </c>
      <c r="D2236" s="0" t="s">
        <v>7464</v>
      </c>
      <c r="E2236" s="0" t="s">
        <v>7465</v>
      </c>
      <c r="F2236" s="0" t="s">
        <v>15</v>
      </c>
      <c r="G2236" s="0" t="s">
        <v>36</v>
      </c>
      <c r="H2236" s="0" t="n">
        <v>105</v>
      </c>
      <c r="I2236" s="0" t="s">
        <v>7475</v>
      </c>
      <c r="J2236" s="0" t="s">
        <v>7476</v>
      </c>
      <c r="K2236" s="0" t="s">
        <v>7477</v>
      </c>
      <c r="L2236" s="0" t="str">
        <f aca="false">HYPERLINK("https://www.ncbi.nlm.nih.gov/nuccore/CP000058.1?report=graph&amp;tracks=[key:gene_model_track,Options:GeneOnly]&amp;mk=699946:699965|offset_7|444444,699975:699994|offset_36|444444,699995:700014|offset_56|444444,700044:700063|offset_105|00cc00&amp;v=699745:700263&amp;c=444444", "offset 105")</f>
        <v>offset 105</v>
      </c>
    </row>
    <row r="2237" customFormat="false" ht="12.8" hidden="false" customHeight="false" outlineLevel="0" collapsed="false">
      <c r="A2237" s="0" t="s">
        <v>12</v>
      </c>
      <c r="B2237" s="0" t="n">
        <v>701273</v>
      </c>
      <c r="C2237" s="0" t="n">
        <v>701293</v>
      </c>
      <c r="D2237" s="0" t="s">
        <v>7478</v>
      </c>
      <c r="E2237" s="0" t="s">
        <v>75</v>
      </c>
      <c r="F2237" s="0" t="s">
        <v>15</v>
      </c>
      <c r="G2237" s="0" t="s">
        <v>16</v>
      </c>
      <c r="H2237" s="0" t="n">
        <v>25</v>
      </c>
      <c r="I2237" s="0" t="s">
        <v>7479</v>
      </c>
      <c r="J2237" s="0" t="s">
        <v>7480</v>
      </c>
      <c r="K2237" s="0" t="s">
        <v>7481</v>
      </c>
      <c r="L2237" s="0" t="str">
        <f aca="false">HYPERLINK("https://www.ncbi.nlm.nih.gov/nuccore/CP000058.1?report=graph&amp;tracks=[key:gene_model_track,Options:GeneOnly]&amp;mk=701274:701293|offset_25|00cc00,701329:701348|offset_80|444444,701388:701407|offset_139|444444,701409:701428|offset_160|444444&amp;v=701073:701628&amp;c=444444", "offset 25")</f>
        <v>offset 25</v>
      </c>
    </row>
    <row r="2238" customFormat="false" ht="12.8" hidden="false" customHeight="false" outlineLevel="0" collapsed="false">
      <c r="A2238" s="0" t="s">
        <v>12</v>
      </c>
      <c r="B2238" s="0" t="n">
        <v>701328</v>
      </c>
      <c r="C2238" s="0" t="n">
        <v>701348</v>
      </c>
      <c r="D2238" s="0" t="s">
        <v>7478</v>
      </c>
      <c r="E2238" s="0" t="s">
        <v>75</v>
      </c>
      <c r="F2238" s="0" t="s">
        <v>15</v>
      </c>
      <c r="G2238" s="0" t="s">
        <v>20</v>
      </c>
      <c r="H2238" s="0" t="n">
        <v>80</v>
      </c>
      <c r="I2238" s="0" t="s">
        <v>7482</v>
      </c>
      <c r="J2238" s="0" t="s">
        <v>7483</v>
      </c>
      <c r="K2238" s="0" t="s">
        <v>7484</v>
      </c>
      <c r="L2238" s="0" t="str">
        <f aca="false">HYPERLINK("https://www.ncbi.nlm.nih.gov/nuccore/CP000058.1?report=graph&amp;tracks=[key:gene_model_track,Options:GeneOnly]&amp;mk=701274:701293|offset_25|444444,701329:701348|offset_80|00cc00,701388:701407|offset_139|444444,701409:701428|offset_160|444444&amp;v=701073:701628&amp;c=444444", "offset 80")</f>
        <v>offset 80</v>
      </c>
    </row>
    <row r="2239" customFormat="false" ht="12.8" hidden="false" customHeight="false" outlineLevel="0" collapsed="false">
      <c r="A2239" s="0" t="s">
        <v>12</v>
      </c>
      <c r="B2239" s="0" t="n">
        <v>701387</v>
      </c>
      <c r="C2239" s="0" t="n">
        <v>701407</v>
      </c>
      <c r="D2239" s="0" t="s">
        <v>7478</v>
      </c>
      <c r="E2239" s="0" t="s">
        <v>75</v>
      </c>
      <c r="F2239" s="0" t="s">
        <v>15</v>
      </c>
      <c r="G2239" s="0" t="s">
        <v>32</v>
      </c>
      <c r="H2239" s="0" t="n">
        <v>139</v>
      </c>
      <c r="I2239" s="0" t="s">
        <v>7485</v>
      </c>
      <c r="J2239" s="0" t="s">
        <v>7486</v>
      </c>
      <c r="K2239" s="0" t="s">
        <v>7487</v>
      </c>
      <c r="L2239" s="0" t="str">
        <f aca="false">HYPERLINK("https://www.ncbi.nlm.nih.gov/nuccore/CP000058.1?report=graph&amp;tracks=[key:gene_model_track,Options:GeneOnly]&amp;mk=701274:701293|offset_25|444444,701329:701348|offset_80|444444,701388:701407|offset_139|00cc00,701409:701428|offset_160|444444&amp;v=701073:701628&amp;c=444444", "offset 139")</f>
        <v>offset 139</v>
      </c>
    </row>
    <row r="2240" customFormat="false" ht="12.8" hidden="false" customHeight="false" outlineLevel="0" collapsed="false">
      <c r="A2240" s="0" t="s">
        <v>12</v>
      </c>
      <c r="B2240" s="0" t="n">
        <v>701408</v>
      </c>
      <c r="C2240" s="0" t="n">
        <v>701428</v>
      </c>
      <c r="D2240" s="0" t="s">
        <v>7478</v>
      </c>
      <c r="E2240" s="0" t="s">
        <v>75</v>
      </c>
      <c r="F2240" s="0" t="s">
        <v>15</v>
      </c>
      <c r="G2240" s="0" t="s">
        <v>16</v>
      </c>
      <c r="H2240" s="0" t="n">
        <v>160</v>
      </c>
      <c r="I2240" s="0" t="s">
        <v>7488</v>
      </c>
      <c r="J2240" s="0" t="s">
        <v>7489</v>
      </c>
      <c r="K2240" s="0" t="s">
        <v>7490</v>
      </c>
      <c r="L2240" s="0" t="str">
        <f aca="false">HYPERLINK("https://www.ncbi.nlm.nih.gov/nuccore/CP000058.1?report=graph&amp;tracks=[key:gene_model_track,Options:GeneOnly]&amp;mk=701274:701293|offset_25|444444,701329:701348|offset_80|444444,701388:701407|offset_139|444444,701409:701428|offset_160|00cc00&amp;v=701073:701628&amp;c=444444", "offset 160")</f>
        <v>offset 160</v>
      </c>
    </row>
    <row r="2241" customFormat="false" ht="12.8" hidden="false" customHeight="false" outlineLevel="0" collapsed="false">
      <c r="A2241" s="0" t="s">
        <v>12</v>
      </c>
      <c r="B2241" s="0" t="n">
        <v>702132</v>
      </c>
      <c r="C2241" s="0" t="n">
        <v>702152</v>
      </c>
      <c r="D2241" s="0" t="s">
        <v>7491</v>
      </c>
      <c r="E2241" s="0" t="s">
        <v>75</v>
      </c>
      <c r="F2241" s="0" t="s">
        <v>15</v>
      </c>
      <c r="G2241" s="0" t="s">
        <v>16</v>
      </c>
      <c r="H2241" s="0" t="n">
        <v>12</v>
      </c>
      <c r="I2241" s="0" t="s">
        <v>7492</v>
      </c>
      <c r="J2241" s="0" t="s">
        <v>7493</v>
      </c>
      <c r="K2241" s="0" t="s">
        <v>7494</v>
      </c>
      <c r="L2241" s="0" t="str">
        <f aca="false">HYPERLINK("https://www.ncbi.nlm.nih.gov/nuccore/CP000058.1?report=graph&amp;tracks=[key:gene_model_track,Options:GeneOnly]&amp;mk=702133:702152|offset_12|00cc00,702172:702191|offset_51|444444,702239:702258|offset_118|444444,702286:702305|offset_165|444444&amp;v=701932:702505&amp;c=444444", "offset 12")</f>
        <v>offset 12</v>
      </c>
    </row>
    <row r="2242" customFormat="false" ht="12.8" hidden="false" customHeight="false" outlineLevel="0" collapsed="false">
      <c r="A2242" s="0" t="s">
        <v>12</v>
      </c>
      <c r="B2242" s="0" t="n">
        <v>702171</v>
      </c>
      <c r="C2242" s="0" t="n">
        <v>702191</v>
      </c>
      <c r="D2242" s="0" t="s">
        <v>7491</v>
      </c>
      <c r="E2242" s="0" t="s">
        <v>75</v>
      </c>
      <c r="F2242" s="0" t="s">
        <v>15</v>
      </c>
      <c r="G2242" s="0" t="s">
        <v>16</v>
      </c>
      <c r="H2242" s="0" t="n">
        <v>51</v>
      </c>
      <c r="I2242" s="0" t="s">
        <v>7495</v>
      </c>
      <c r="J2242" s="0" t="s">
        <v>7496</v>
      </c>
      <c r="K2242" s="0" t="s">
        <v>7497</v>
      </c>
      <c r="L2242" s="0" t="str">
        <f aca="false">HYPERLINK("https://www.ncbi.nlm.nih.gov/nuccore/CP000058.1?report=graph&amp;tracks=[key:gene_model_track,Options:GeneOnly]&amp;mk=702133:702152|offset_12|444444,702172:702191|offset_51|00cc00,702239:702258|offset_118|444444,702286:702305|offset_165|444444&amp;v=701932:702505&amp;c=444444", "offset 51")</f>
        <v>offset 51</v>
      </c>
    </row>
    <row r="2243" customFormat="false" ht="12.8" hidden="false" customHeight="false" outlineLevel="0" collapsed="false">
      <c r="A2243" s="0" t="s">
        <v>12</v>
      </c>
      <c r="B2243" s="0" t="n">
        <v>702238</v>
      </c>
      <c r="C2243" s="0" t="n">
        <v>702258</v>
      </c>
      <c r="D2243" s="0" t="s">
        <v>7491</v>
      </c>
      <c r="E2243" s="0" t="s">
        <v>75</v>
      </c>
      <c r="F2243" s="0" t="s">
        <v>15</v>
      </c>
      <c r="G2243" s="0" t="s">
        <v>32</v>
      </c>
      <c r="H2243" s="0" t="n">
        <v>118</v>
      </c>
      <c r="I2243" s="0" t="s">
        <v>7498</v>
      </c>
      <c r="J2243" s="0" t="s">
        <v>7499</v>
      </c>
      <c r="K2243" s="0" t="s">
        <v>7500</v>
      </c>
      <c r="L2243" s="0" t="str">
        <f aca="false">HYPERLINK("https://www.ncbi.nlm.nih.gov/nuccore/CP000058.1?report=graph&amp;tracks=[key:gene_model_track,Options:GeneOnly]&amp;mk=702133:702152|offset_12|444444,702172:702191|offset_51|444444,702239:702258|offset_118|00cc00,702286:702305|offset_165|444444&amp;v=701932:702505&amp;c=444444", "offset 118")</f>
        <v>offset 118</v>
      </c>
    </row>
    <row r="2244" customFormat="false" ht="12.8" hidden="false" customHeight="false" outlineLevel="0" collapsed="false">
      <c r="A2244" s="0" t="s">
        <v>12</v>
      </c>
      <c r="B2244" s="0" t="n">
        <v>702285</v>
      </c>
      <c r="C2244" s="0" t="n">
        <v>702305</v>
      </c>
      <c r="D2244" s="0" t="s">
        <v>7491</v>
      </c>
      <c r="E2244" s="0" t="s">
        <v>75</v>
      </c>
      <c r="F2244" s="0" t="s">
        <v>15</v>
      </c>
      <c r="G2244" s="0" t="s">
        <v>16</v>
      </c>
      <c r="H2244" s="0" t="n">
        <v>165</v>
      </c>
      <c r="I2244" s="0" t="s">
        <v>7501</v>
      </c>
      <c r="J2244" s="0" t="s">
        <v>7502</v>
      </c>
      <c r="K2244" s="0" t="s">
        <v>7503</v>
      </c>
      <c r="L2244" s="0" t="str">
        <f aca="false">HYPERLINK("https://www.ncbi.nlm.nih.gov/nuccore/CP000058.1?report=graph&amp;tracks=[key:gene_model_track,Options:GeneOnly]&amp;mk=702133:702152|offset_12|444444,702172:702191|offset_51|444444,702239:702258|offset_118|444444,702286:702305|offset_165|00cc00&amp;v=701932:702505&amp;c=444444", "offset 165")</f>
        <v>offset 165</v>
      </c>
    </row>
    <row r="2245" customFormat="false" ht="12.8" hidden="false" customHeight="false" outlineLevel="0" collapsed="false">
      <c r="A2245" s="0" t="s">
        <v>12</v>
      </c>
      <c r="B2245" s="0" t="n">
        <v>704129</v>
      </c>
      <c r="C2245" s="0" t="n">
        <v>704149</v>
      </c>
      <c r="D2245" s="0" t="s">
        <v>7504</v>
      </c>
      <c r="E2245" s="0" t="s">
        <v>75</v>
      </c>
      <c r="F2245" s="0" t="s">
        <v>90</v>
      </c>
      <c r="G2245" s="0" t="s">
        <v>36</v>
      </c>
      <c r="H2245" s="0" t="n">
        <v>13</v>
      </c>
      <c r="I2245" s="0" t="s">
        <v>7505</v>
      </c>
      <c r="J2245" s="0" t="s">
        <v>7506</v>
      </c>
      <c r="K2245" s="0" t="s">
        <v>7507</v>
      </c>
      <c r="L2245" s="0" t="str">
        <f aca="false">HYPERLINK("https://www.ncbi.nlm.nih.gov/nuccore/CP000058.1?report=graph&amp;tracks=[key:gene_model_track,Options:GeneOnly]&amp;mk=704130:704149|offset_13|00cc00,704073:704092|offset_70|444444,704018:704037|offset_125|444444,703982:704001|offset_161|444444&amp;v=703929:704201&amp;c=444444", "offset 13")</f>
        <v>offset 13</v>
      </c>
    </row>
    <row r="2246" customFormat="false" ht="12.8" hidden="false" customHeight="false" outlineLevel="0" collapsed="false">
      <c r="A2246" s="0" t="s">
        <v>12</v>
      </c>
      <c r="B2246" s="0" t="n">
        <v>704072</v>
      </c>
      <c r="C2246" s="0" t="n">
        <v>704092</v>
      </c>
      <c r="D2246" s="0" t="s">
        <v>7504</v>
      </c>
      <c r="E2246" s="0" t="s">
        <v>75</v>
      </c>
      <c r="F2246" s="0" t="s">
        <v>90</v>
      </c>
      <c r="G2246" s="0" t="s">
        <v>36</v>
      </c>
      <c r="H2246" s="0" t="n">
        <v>70</v>
      </c>
      <c r="I2246" s="0" t="s">
        <v>7508</v>
      </c>
      <c r="J2246" s="0" t="s">
        <v>7509</v>
      </c>
      <c r="K2246" s="0" t="s">
        <v>7510</v>
      </c>
      <c r="L2246" s="0" t="str">
        <f aca="false">HYPERLINK("https://www.ncbi.nlm.nih.gov/nuccore/CP000058.1?report=graph&amp;tracks=[key:gene_model_track,Options:GeneOnly]&amp;mk=704130:704149|offset_13|444444,704073:704092|offset_70|00cc00,704018:704037|offset_125|444444,703982:704001|offset_161|444444&amp;v=703929:704201&amp;c=444444", "offset 70")</f>
        <v>offset 70</v>
      </c>
    </row>
    <row r="2247" customFormat="false" ht="12.8" hidden="false" customHeight="false" outlineLevel="0" collapsed="false">
      <c r="A2247" s="0" t="s">
        <v>12</v>
      </c>
      <c r="B2247" s="0" t="n">
        <v>704017</v>
      </c>
      <c r="C2247" s="0" t="n">
        <v>704037</v>
      </c>
      <c r="D2247" s="0" t="s">
        <v>7504</v>
      </c>
      <c r="E2247" s="0" t="s">
        <v>75</v>
      </c>
      <c r="F2247" s="0" t="s">
        <v>90</v>
      </c>
      <c r="G2247" s="0" t="s">
        <v>36</v>
      </c>
      <c r="H2247" s="0" t="n">
        <v>125</v>
      </c>
      <c r="I2247" s="0" t="s">
        <v>7511</v>
      </c>
      <c r="J2247" s="0" t="s">
        <v>7512</v>
      </c>
      <c r="K2247" s="0" t="s">
        <v>7513</v>
      </c>
      <c r="L2247" s="0" t="str">
        <f aca="false">HYPERLINK("https://www.ncbi.nlm.nih.gov/nuccore/CP000058.1?report=graph&amp;tracks=[key:gene_model_track,Options:GeneOnly]&amp;mk=704130:704149|offset_13|444444,704073:704092|offset_70|444444,704018:704037|offset_125|00cc00,703982:704001|offset_161|444444&amp;v=703929:704201&amp;c=444444", "offset 125")</f>
        <v>offset 125</v>
      </c>
    </row>
    <row r="2248" customFormat="false" ht="12.8" hidden="false" customHeight="false" outlineLevel="0" collapsed="false">
      <c r="A2248" s="0" t="s">
        <v>12</v>
      </c>
      <c r="B2248" s="0" t="n">
        <v>703981</v>
      </c>
      <c r="C2248" s="0" t="n">
        <v>704001</v>
      </c>
      <c r="D2248" s="0" t="s">
        <v>7504</v>
      </c>
      <c r="E2248" s="0" t="s">
        <v>75</v>
      </c>
      <c r="F2248" s="0" t="s">
        <v>90</v>
      </c>
      <c r="G2248" s="0" t="s">
        <v>16</v>
      </c>
      <c r="H2248" s="0" t="n">
        <v>161</v>
      </c>
      <c r="I2248" s="0" t="s">
        <v>7514</v>
      </c>
      <c r="J2248" s="0" t="s">
        <v>7515</v>
      </c>
      <c r="K2248" s="0" t="s">
        <v>7516</v>
      </c>
      <c r="L2248" s="0" t="str">
        <f aca="false">HYPERLINK("https://www.ncbi.nlm.nih.gov/nuccore/CP000058.1?report=graph&amp;tracks=[key:gene_model_track,Options:GeneOnly]&amp;mk=704130:704149|offset_13|444444,704073:704092|offset_70|444444,704018:704037|offset_125|444444,703982:704001|offset_161|00cc00&amp;v=703929:704201&amp;c=444444", "offset 161")</f>
        <v>offset 161</v>
      </c>
    </row>
    <row r="2249" customFormat="false" ht="12.8" hidden="false" customHeight="false" outlineLevel="0" collapsed="false">
      <c r="A2249" s="0" t="s">
        <v>12</v>
      </c>
      <c r="B2249" s="0" t="n">
        <v>704814</v>
      </c>
      <c r="C2249" s="0" t="n">
        <v>704834</v>
      </c>
      <c r="D2249" s="0" t="s">
        <v>7517</v>
      </c>
      <c r="E2249" s="0" t="s">
        <v>75</v>
      </c>
      <c r="F2249" s="0" t="s">
        <v>90</v>
      </c>
      <c r="G2249" s="0" t="s">
        <v>20</v>
      </c>
      <c r="H2249" s="0" t="n">
        <v>44</v>
      </c>
      <c r="I2249" s="0" t="s">
        <v>7518</v>
      </c>
      <c r="J2249" s="0" t="s">
        <v>7519</v>
      </c>
      <c r="K2249" s="0" t="s">
        <v>7520</v>
      </c>
      <c r="L2249" s="0" t="str">
        <f aca="false">HYPERLINK("https://www.ncbi.nlm.nih.gov/nuccore/CP000058.1?report=graph&amp;tracks=[key:gene_model_track,Options:GeneOnly]&amp;mk=704815:704834|offset_44|00cc00,704724:704743|offset_135|444444,704673:704692|offset_186|444444,704621:704640|offset_238|444444&amp;v=704614:704840&amp;c=444444", "offset 44")</f>
        <v>offset 44</v>
      </c>
    </row>
    <row r="2250" customFormat="false" ht="12.8" hidden="false" customHeight="false" outlineLevel="0" collapsed="false">
      <c r="A2250" s="0" t="s">
        <v>12</v>
      </c>
      <c r="B2250" s="0" t="n">
        <v>704723</v>
      </c>
      <c r="C2250" s="0" t="n">
        <v>704743</v>
      </c>
      <c r="D2250" s="0" t="s">
        <v>7517</v>
      </c>
      <c r="E2250" s="0" t="s">
        <v>75</v>
      </c>
      <c r="F2250" s="0" t="s">
        <v>90</v>
      </c>
      <c r="G2250" s="0" t="s">
        <v>20</v>
      </c>
      <c r="H2250" s="0" t="n">
        <v>135</v>
      </c>
      <c r="I2250" s="0" t="s">
        <v>7521</v>
      </c>
      <c r="J2250" s="0" t="s">
        <v>7522</v>
      </c>
      <c r="K2250" s="0" t="s">
        <v>7523</v>
      </c>
      <c r="L2250" s="0" t="str">
        <f aca="false">HYPERLINK("https://www.ncbi.nlm.nih.gov/nuccore/CP000058.1?report=graph&amp;tracks=[key:gene_model_track,Options:GeneOnly]&amp;mk=704815:704834|offset_44|444444,704724:704743|offset_135|00cc00,704673:704692|offset_186|444444,704621:704640|offset_238|444444&amp;v=704614:704840&amp;c=444444", "offset 135")</f>
        <v>offset 135</v>
      </c>
    </row>
    <row r="2251" customFormat="false" ht="12.8" hidden="false" customHeight="false" outlineLevel="0" collapsed="false">
      <c r="A2251" s="0" t="s">
        <v>12</v>
      </c>
      <c r="B2251" s="0" t="n">
        <v>704672</v>
      </c>
      <c r="C2251" s="0" t="n">
        <v>704692</v>
      </c>
      <c r="D2251" s="0" t="s">
        <v>7517</v>
      </c>
      <c r="E2251" s="0" t="s">
        <v>75</v>
      </c>
      <c r="F2251" s="0" t="s">
        <v>90</v>
      </c>
      <c r="G2251" s="0" t="s">
        <v>16</v>
      </c>
      <c r="H2251" s="0" t="n">
        <v>186</v>
      </c>
      <c r="I2251" s="0" t="s">
        <v>7524</v>
      </c>
      <c r="J2251" s="0" t="s">
        <v>7525</v>
      </c>
      <c r="K2251" s="0" t="s">
        <v>7526</v>
      </c>
      <c r="L2251" s="0" t="str">
        <f aca="false">HYPERLINK("https://www.ncbi.nlm.nih.gov/nuccore/CP000058.1?report=graph&amp;tracks=[key:gene_model_track,Options:GeneOnly]&amp;mk=704815:704834|offset_44|444444,704724:704743|offset_135|444444,704673:704692|offset_186|00cc00,704621:704640|offset_238|444444&amp;v=704614:704840&amp;c=444444", "offset 186")</f>
        <v>offset 186</v>
      </c>
    </row>
    <row r="2252" customFormat="false" ht="12.8" hidden="false" customHeight="false" outlineLevel="0" collapsed="false">
      <c r="A2252" s="0" t="s">
        <v>12</v>
      </c>
      <c r="B2252" s="0" t="n">
        <v>704620</v>
      </c>
      <c r="C2252" s="0" t="n">
        <v>704640</v>
      </c>
      <c r="D2252" s="0" t="s">
        <v>7517</v>
      </c>
      <c r="E2252" s="0" t="s">
        <v>75</v>
      </c>
      <c r="F2252" s="0" t="s">
        <v>90</v>
      </c>
      <c r="G2252" s="0" t="s">
        <v>16</v>
      </c>
      <c r="H2252" s="0" t="n">
        <v>238</v>
      </c>
      <c r="I2252" s="0" t="s">
        <v>7527</v>
      </c>
      <c r="J2252" s="0" t="s">
        <v>7528</v>
      </c>
      <c r="K2252" s="0" t="s">
        <v>7529</v>
      </c>
      <c r="L2252" s="0" t="str">
        <f aca="false">HYPERLINK("https://www.ncbi.nlm.nih.gov/nuccore/CP000058.1?report=graph&amp;tracks=[key:gene_model_track,Options:GeneOnly]&amp;mk=704815:704834|offset_44|444444,704724:704743|offset_135|444444,704673:704692|offset_186|444444,704621:704640|offset_238|00cc00&amp;v=704614:704840&amp;c=444444", "offset 238")</f>
        <v>offset 238</v>
      </c>
    </row>
    <row r="2253" customFormat="false" ht="12.8" hidden="false" customHeight="false" outlineLevel="0" collapsed="false">
      <c r="A2253" s="0" t="s">
        <v>12</v>
      </c>
      <c r="B2253" s="0" t="n">
        <v>706491</v>
      </c>
      <c r="C2253" s="0" t="n">
        <v>706511</v>
      </c>
      <c r="D2253" s="0" t="s">
        <v>7530</v>
      </c>
      <c r="E2253" s="0" t="s">
        <v>75</v>
      </c>
      <c r="F2253" s="0" t="s">
        <v>15</v>
      </c>
      <c r="G2253" s="0" t="s">
        <v>32</v>
      </c>
      <c r="H2253" s="0" t="n">
        <v>10</v>
      </c>
      <c r="I2253" s="0" t="s">
        <v>7531</v>
      </c>
      <c r="J2253" s="0" t="s">
        <v>7532</v>
      </c>
      <c r="K2253" s="0" t="s">
        <v>7533</v>
      </c>
      <c r="L2253" s="0" t="str">
        <f aca="false">HYPERLINK("https://www.ncbi.nlm.nih.gov/nuccore/CP000058.1?report=graph&amp;tracks=[key:gene_model_track,Options:GeneOnly]&amp;mk=706492:706511|offset_10|00cc00,706519:706538|offset_37|444444,706540:706559|offset_58|444444,706583:706602|offset_101|444444&amp;v=706291:706802&amp;c=444444", "offset 10")</f>
        <v>offset 10</v>
      </c>
    </row>
    <row r="2254" customFormat="false" ht="12.8" hidden="false" customHeight="false" outlineLevel="0" collapsed="false">
      <c r="A2254" s="0" t="s">
        <v>12</v>
      </c>
      <c r="B2254" s="0" t="n">
        <v>706518</v>
      </c>
      <c r="C2254" s="0" t="n">
        <v>706538</v>
      </c>
      <c r="D2254" s="0" t="s">
        <v>7530</v>
      </c>
      <c r="E2254" s="0" t="s">
        <v>75</v>
      </c>
      <c r="F2254" s="0" t="s">
        <v>15</v>
      </c>
      <c r="G2254" s="0" t="s">
        <v>16</v>
      </c>
      <c r="H2254" s="0" t="n">
        <v>37</v>
      </c>
      <c r="I2254" s="0" t="s">
        <v>7534</v>
      </c>
      <c r="J2254" s="0" t="s">
        <v>7535</v>
      </c>
      <c r="K2254" s="0" t="s">
        <v>7536</v>
      </c>
      <c r="L2254" s="0" t="str">
        <f aca="false">HYPERLINK("https://www.ncbi.nlm.nih.gov/nuccore/CP000058.1?report=graph&amp;tracks=[key:gene_model_track,Options:GeneOnly]&amp;mk=706492:706511|offset_10|444444,706519:706538|offset_37|00cc00,706540:706559|offset_58|444444,706583:706602|offset_101|444444&amp;v=706291:706802&amp;c=444444", "offset 37")</f>
        <v>offset 37</v>
      </c>
    </row>
    <row r="2255" customFormat="false" ht="12.8" hidden="false" customHeight="false" outlineLevel="0" collapsed="false">
      <c r="A2255" s="0" t="s">
        <v>12</v>
      </c>
      <c r="B2255" s="0" t="n">
        <v>706539</v>
      </c>
      <c r="C2255" s="0" t="n">
        <v>706559</v>
      </c>
      <c r="D2255" s="0" t="s">
        <v>7530</v>
      </c>
      <c r="E2255" s="0" t="s">
        <v>75</v>
      </c>
      <c r="F2255" s="0" t="s">
        <v>15</v>
      </c>
      <c r="G2255" s="0" t="s">
        <v>36</v>
      </c>
      <c r="H2255" s="0" t="n">
        <v>58</v>
      </c>
      <c r="I2255" s="0" t="s">
        <v>7537</v>
      </c>
      <c r="J2255" s="0" t="s">
        <v>7538</v>
      </c>
      <c r="K2255" s="0" t="s">
        <v>7539</v>
      </c>
      <c r="L2255" s="0" t="str">
        <f aca="false">HYPERLINK("https://www.ncbi.nlm.nih.gov/nuccore/CP000058.1?report=graph&amp;tracks=[key:gene_model_track,Options:GeneOnly]&amp;mk=706492:706511|offset_10|444444,706519:706538|offset_37|444444,706540:706559|offset_58|00cc00,706583:706602|offset_101|444444&amp;v=706291:706802&amp;c=444444", "offset 58")</f>
        <v>offset 58</v>
      </c>
    </row>
    <row r="2256" customFormat="false" ht="12.8" hidden="false" customHeight="false" outlineLevel="0" collapsed="false">
      <c r="A2256" s="0" t="s">
        <v>12</v>
      </c>
      <c r="B2256" s="0" t="n">
        <v>706582</v>
      </c>
      <c r="C2256" s="0" t="n">
        <v>706602</v>
      </c>
      <c r="D2256" s="0" t="s">
        <v>7530</v>
      </c>
      <c r="E2256" s="0" t="s">
        <v>75</v>
      </c>
      <c r="F2256" s="0" t="s">
        <v>15</v>
      </c>
      <c r="G2256" s="0" t="s">
        <v>16</v>
      </c>
      <c r="H2256" s="0" t="n">
        <v>101</v>
      </c>
      <c r="I2256" s="0" t="s">
        <v>7540</v>
      </c>
      <c r="J2256" s="0" t="s">
        <v>7541</v>
      </c>
      <c r="K2256" s="0" t="s">
        <v>7542</v>
      </c>
      <c r="L2256" s="0" t="str">
        <f aca="false">HYPERLINK("https://www.ncbi.nlm.nih.gov/nuccore/CP000058.1?report=graph&amp;tracks=[key:gene_model_track,Options:GeneOnly]&amp;mk=706492:706511|offset_10|444444,706519:706538|offset_37|444444,706540:706559|offset_58|444444,706583:706602|offset_101|00cc00&amp;v=706291:706802&amp;c=444444", "offset 101")</f>
        <v>offset 101</v>
      </c>
    </row>
    <row r="2257" customFormat="false" ht="12.8" hidden="false" customHeight="false" outlineLevel="0" collapsed="false">
      <c r="A2257" s="0" t="s">
        <v>12</v>
      </c>
      <c r="B2257" s="0" t="n">
        <v>708511</v>
      </c>
      <c r="C2257" s="0" t="n">
        <v>708531</v>
      </c>
      <c r="D2257" s="0" t="s">
        <v>7543</v>
      </c>
      <c r="E2257" s="0" t="s">
        <v>75</v>
      </c>
      <c r="F2257" s="0" t="s">
        <v>90</v>
      </c>
      <c r="G2257" s="0" t="s">
        <v>32</v>
      </c>
      <c r="H2257" s="0" t="n">
        <v>17</v>
      </c>
      <c r="I2257" s="0" t="s">
        <v>7544</v>
      </c>
      <c r="J2257" s="0" t="s">
        <v>7545</v>
      </c>
      <c r="K2257" s="0" t="s">
        <v>7546</v>
      </c>
      <c r="L2257" s="0" t="str">
        <f aca="false">HYPERLINK("https://www.ncbi.nlm.nih.gov/nuccore/CP000058.1?report=graph&amp;tracks=[key:gene_model_track,Options:GeneOnly]&amp;mk=708512:708531|offset_17|00cc00,708490:708509|offset_39|444444,708460:708479|offset_69|444444,708432:708451|offset_97|444444&amp;v=708311:708651&amp;c=444444", "offset 17")</f>
        <v>offset 17</v>
      </c>
    </row>
    <row r="2258" customFormat="false" ht="12.8" hidden="false" customHeight="false" outlineLevel="0" collapsed="false">
      <c r="A2258" s="0" t="s">
        <v>12</v>
      </c>
      <c r="B2258" s="0" t="n">
        <v>708489</v>
      </c>
      <c r="C2258" s="0" t="n">
        <v>708509</v>
      </c>
      <c r="D2258" s="0" t="s">
        <v>7543</v>
      </c>
      <c r="E2258" s="0" t="s">
        <v>75</v>
      </c>
      <c r="F2258" s="0" t="s">
        <v>90</v>
      </c>
      <c r="G2258" s="0" t="s">
        <v>20</v>
      </c>
      <c r="H2258" s="0" t="n">
        <v>39</v>
      </c>
      <c r="I2258" s="0" t="s">
        <v>7547</v>
      </c>
      <c r="J2258" s="0" t="s">
        <v>7548</v>
      </c>
      <c r="K2258" s="0" t="s">
        <v>7549</v>
      </c>
      <c r="L2258" s="0" t="str">
        <f aca="false">HYPERLINK("https://www.ncbi.nlm.nih.gov/nuccore/CP000058.1?report=graph&amp;tracks=[key:gene_model_track,Options:GeneOnly]&amp;mk=708512:708531|offset_17|444444,708490:708509|offset_39|00cc00,708460:708479|offset_69|444444,708432:708451|offset_97|444444&amp;v=708311:708651&amp;c=444444", "offset 39")</f>
        <v>offset 39</v>
      </c>
    </row>
    <row r="2259" customFormat="false" ht="12.8" hidden="false" customHeight="false" outlineLevel="0" collapsed="false">
      <c r="A2259" s="0" t="s">
        <v>12</v>
      </c>
      <c r="B2259" s="0" t="n">
        <v>708459</v>
      </c>
      <c r="C2259" s="0" t="n">
        <v>708479</v>
      </c>
      <c r="D2259" s="0" t="s">
        <v>7543</v>
      </c>
      <c r="E2259" s="0" t="s">
        <v>75</v>
      </c>
      <c r="F2259" s="0" t="s">
        <v>90</v>
      </c>
      <c r="G2259" s="0" t="s">
        <v>16</v>
      </c>
      <c r="H2259" s="0" t="n">
        <v>69</v>
      </c>
      <c r="I2259" s="0" t="s">
        <v>7550</v>
      </c>
      <c r="J2259" s="0" t="s">
        <v>7551</v>
      </c>
      <c r="K2259" s="0" t="s">
        <v>7552</v>
      </c>
      <c r="L2259" s="0" t="str">
        <f aca="false">HYPERLINK("https://www.ncbi.nlm.nih.gov/nuccore/CP000058.1?report=graph&amp;tracks=[key:gene_model_track,Options:GeneOnly]&amp;mk=708512:708531|offset_17|444444,708490:708509|offset_39|444444,708460:708479|offset_69|00cc00,708432:708451|offset_97|444444&amp;v=708311:708651&amp;c=444444", "offset 69")</f>
        <v>offset 69</v>
      </c>
    </row>
    <row r="2260" customFormat="false" ht="12.8" hidden="false" customHeight="false" outlineLevel="0" collapsed="false">
      <c r="A2260" s="0" t="s">
        <v>12</v>
      </c>
      <c r="B2260" s="0" t="n">
        <v>708431</v>
      </c>
      <c r="C2260" s="0" t="n">
        <v>708451</v>
      </c>
      <c r="D2260" s="0" t="s">
        <v>7543</v>
      </c>
      <c r="E2260" s="0" t="s">
        <v>75</v>
      </c>
      <c r="F2260" s="0" t="s">
        <v>90</v>
      </c>
      <c r="G2260" s="0" t="s">
        <v>36</v>
      </c>
      <c r="H2260" s="0" t="n">
        <v>97</v>
      </c>
      <c r="I2260" s="0" t="s">
        <v>7553</v>
      </c>
      <c r="J2260" s="0" t="s">
        <v>7554</v>
      </c>
      <c r="K2260" s="0" t="s">
        <v>7555</v>
      </c>
      <c r="L2260" s="0" t="str">
        <f aca="false">HYPERLINK("https://www.ncbi.nlm.nih.gov/nuccore/CP000058.1?report=graph&amp;tracks=[key:gene_model_track,Options:GeneOnly]&amp;mk=708512:708531|offset_17|444444,708490:708509|offset_39|444444,708460:708479|offset_69|444444,708432:708451|offset_97|00cc00&amp;v=708311:708651&amp;c=444444", "offset 97")</f>
        <v>offset 97</v>
      </c>
    </row>
    <row r="2261" customFormat="false" ht="12.8" hidden="false" customHeight="false" outlineLevel="0" collapsed="false">
      <c r="A2261" s="0" t="s">
        <v>12</v>
      </c>
      <c r="B2261" s="0" t="n">
        <v>710442</v>
      </c>
      <c r="C2261" s="0" t="n">
        <v>710462</v>
      </c>
      <c r="D2261" s="0" t="s">
        <v>7556</v>
      </c>
      <c r="E2261" s="0" t="s">
        <v>7557</v>
      </c>
      <c r="F2261" s="0" t="s">
        <v>90</v>
      </c>
      <c r="G2261" s="0" t="s">
        <v>36</v>
      </c>
      <c r="H2261" s="0" t="n">
        <v>6</v>
      </c>
      <c r="I2261" s="0" t="s">
        <v>7558</v>
      </c>
      <c r="J2261" s="0" t="s">
        <v>7559</v>
      </c>
      <c r="K2261" s="0" t="s">
        <v>7560</v>
      </c>
      <c r="L2261" s="0" t="str">
        <f aca="false">HYPERLINK("https://www.ncbi.nlm.nih.gov/nuccore/CP000058.1?report=graph&amp;tracks=[key:gene_model_track,Options:GeneOnly]&amp;mk=710443:710462|offset_6|00cc00,710423:710442|offset_26|444444,710401:710420|offset_48|444444,710379:710398|offset_70|444444&amp;v=710242:710598&amp;c=444444", "offset 6")</f>
        <v>offset 6</v>
      </c>
    </row>
    <row r="2262" customFormat="false" ht="12.8" hidden="false" customHeight="false" outlineLevel="0" collapsed="false">
      <c r="A2262" s="0" t="s">
        <v>12</v>
      </c>
      <c r="B2262" s="0" t="n">
        <v>710422</v>
      </c>
      <c r="C2262" s="0" t="n">
        <v>710442</v>
      </c>
      <c r="D2262" s="0" t="s">
        <v>7556</v>
      </c>
      <c r="E2262" s="0" t="s">
        <v>7557</v>
      </c>
      <c r="F2262" s="0" t="s">
        <v>90</v>
      </c>
      <c r="G2262" s="0" t="s">
        <v>36</v>
      </c>
      <c r="H2262" s="0" t="n">
        <v>26</v>
      </c>
      <c r="I2262" s="0" t="s">
        <v>7561</v>
      </c>
      <c r="J2262" s="0" t="s">
        <v>7562</v>
      </c>
      <c r="K2262" s="0" t="s">
        <v>7563</v>
      </c>
      <c r="L2262" s="0" t="str">
        <f aca="false">HYPERLINK("https://www.ncbi.nlm.nih.gov/nuccore/CP000058.1?report=graph&amp;tracks=[key:gene_model_track,Options:GeneOnly]&amp;mk=710443:710462|offset_6|444444,710423:710442|offset_26|00cc00,710401:710420|offset_48|444444,710379:710398|offset_70|444444&amp;v=710242:710598&amp;c=444444", "offset 26")</f>
        <v>offset 26</v>
      </c>
    </row>
    <row r="2263" customFormat="false" ht="12.8" hidden="false" customHeight="false" outlineLevel="0" collapsed="false">
      <c r="A2263" s="0" t="s">
        <v>12</v>
      </c>
      <c r="B2263" s="0" t="n">
        <v>710400</v>
      </c>
      <c r="C2263" s="0" t="n">
        <v>710420</v>
      </c>
      <c r="D2263" s="0" t="s">
        <v>7556</v>
      </c>
      <c r="E2263" s="0" t="s">
        <v>7557</v>
      </c>
      <c r="F2263" s="0" t="s">
        <v>90</v>
      </c>
      <c r="G2263" s="0" t="s">
        <v>16</v>
      </c>
      <c r="H2263" s="0" t="n">
        <v>48</v>
      </c>
      <c r="I2263" s="0" t="s">
        <v>7564</v>
      </c>
      <c r="J2263" s="0" t="s">
        <v>7565</v>
      </c>
      <c r="K2263" s="0" t="s">
        <v>7566</v>
      </c>
      <c r="L2263" s="0" t="str">
        <f aca="false">HYPERLINK("https://www.ncbi.nlm.nih.gov/nuccore/CP000058.1?report=graph&amp;tracks=[key:gene_model_track,Options:GeneOnly]&amp;mk=710443:710462|offset_6|444444,710423:710442|offset_26|444444,710401:710420|offset_48|00cc00,710379:710398|offset_70|444444&amp;v=710242:710598&amp;c=444444", "offset 48")</f>
        <v>offset 48</v>
      </c>
    </row>
    <row r="2264" customFormat="false" ht="12.8" hidden="false" customHeight="false" outlineLevel="0" collapsed="false">
      <c r="A2264" s="0" t="s">
        <v>12</v>
      </c>
      <c r="B2264" s="0" t="n">
        <v>710378</v>
      </c>
      <c r="C2264" s="0" t="n">
        <v>710398</v>
      </c>
      <c r="D2264" s="0" t="s">
        <v>7556</v>
      </c>
      <c r="E2264" s="0" t="s">
        <v>7557</v>
      </c>
      <c r="F2264" s="0" t="s">
        <v>90</v>
      </c>
      <c r="G2264" s="0" t="s">
        <v>36</v>
      </c>
      <c r="H2264" s="0" t="n">
        <v>70</v>
      </c>
      <c r="I2264" s="0" t="s">
        <v>7567</v>
      </c>
      <c r="J2264" s="0" t="s">
        <v>7568</v>
      </c>
      <c r="K2264" s="0" t="s">
        <v>7569</v>
      </c>
      <c r="L2264" s="0" t="str">
        <f aca="false">HYPERLINK("https://www.ncbi.nlm.nih.gov/nuccore/CP000058.1?report=graph&amp;tracks=[key:gene_model_track,Options:GeneOnly]&amp;mk=710443:710462|offset_6|444444,710423:710442|offset_26|444444,710401:710420|offset_48|444444,710379:710398|offset_70|00cc00&amp;v=710242:710598&amp;c=444444", "offset 70")</f>
        <v>offset 70</v>
      </c>
    </row>
    <row r="2265" customFormat="false" ht="12.8" hidden="false" customHeight="false" outlineLevel="0" collapsed="false">
      <c r="A2265" s="0" t="s">
        <v>12</v>
      </c>
      <c r="B2265" s="0" t="n">
        <v>711467</v>
      </c>
      <c r="C2265" s="0" t="n">
        <v>711487</v>
      </c>
      <c r="D2265" s="0" t="s">
        <v>7570</v>
      </c>
      <c r="E2265" s="0" t="s">
        <v>7571</v>
      </c>
      <c r="F2265" s="0" t="s">
        <v>90</v>
      </c>
      <c r="G2265" s="0" t="s">
        <v>32</v>
      </c>
      <c r="H2265" s="0" t="n">
        <v>29</v>
      </c>
      <c r="I2265" s="0" t="s">
        <v>7572</v>
      </c>
      <c r="J2265" s="0" t="s">
        <v>7573</v>
      </c>
      <c r="K2265" s="0" t="s">
        <v>7574</v>
      </c>
      <c r="L2265" s="0" t="str">
        <f aca="false">HYPERLINK("https://www.ncbi.nlm.nih.gov/nuccore/CP000058.1?report=graph&amp;tracks=[key:gene_model_track,Options:GeneOnly]&amp;mk=711468:711487|offset_29|00cc00,711425:711444|offset_72|444444,711394:711413|offset_103|444444,711354:711373|offset_143|444444&amp;v=711267:711573&amp;c=444444", "offset 29")</f>
        <v>offset 29</v>
      </c>
    </row>
    <row r="2266" customFormat="false" ht="12.8" hidden="false" customHeight="false" outlineLevel="0" collapsed="false">
      <c r="A2266" s="0" t="s">
        <v>12</v>
      </c>
      <c r="B2266" s="0" t="n">
        <v>711424</v>
      </c>
      <c r="C2266" s="0" t="n">
        <v>711444</v>
      </c>
      <c r="D2266" s="0" t="s">
        <v>7570</v>
      </c>
      <c r="E2266" s="0" t="s">
        <v>7571</v>
      </c>
      <c r="F2266" s="0" t="s">
        <v>90</v>
      </c>
      <c r="G2266" s="0" t="s">
        <v>16</v>
      </c>
      <c r="H2266" s="0" t="n">
        <v>72</v>
      </c>
      <c r="I2266" s="0" t="s">
        <v>7575</v>
      </c>
      <c r="J2266" s="0" t="s">
        <v>7576</v>
      </c>
      <c r="K2266" s="0" t="s">
        <v>7577</v>
      </c>
      <c r="L2266" s="0" t="str">
        <f aca="false">HYPERLINK("https://www.ncbi.nlm.nih.gov/nuccore/CP000058.1?report=graph&amp;tracks=[key:gene_model_track,Options:GeneOnly]&amp;mk=711468:711487|offset_29|444444,711425:711444|offset_72|00cc00,711394:711413|offset_103|444444,711354:711373|offset_143|444444&amp;v=711267:711573&amp;c=444444", "offset 72")</f>
        <v>offset 72</v>
      </c>
    </row>
    <row r="2267" customFormat="false" ht="12.8" hidden="false" customHeight="false" outlineLevel="0" collapsed="false">
      <c r="A2267" s="0" t="s">
        <v>12</v>
      </c>
      <c r="B2267" s="0" t="n">
        <v>711393</v>
      </c>
      <c r="C2267" s="0" t="n">
        <v>711413</v>
      </c>
      <c r="D2267" s="0" t="s">
        <v>7570</v>
      </c>
      <c r="E2267" s="0" t="s">
        <v>7571</v>
      </c>
      <c r="F2267" s="0" t="s">
        <v>90</v>
      </c>
      <c r="G2267" s="0" t="s">
        <v>32</v>
      </c>
      <c r="H2267" s="0" t="n">
        <v>103</v>
      </c>
      <c r="I2267" s="0" t="s">
        <v>7578</v>
      </c>
      <c r="J2267" s="0" t="s">
        <v>7579</v>
      </c>
      <c r="K2267" s="0" t="s">
        <v>7580</v>
      </c>
      <c r="L2267" s="0" t="str">
        <f aca="false">HYPERLINK("https://www.ncbi.nlm.nih.gov/nuccore/CP000058.1?report=graph&amp;tracks=[key:gene_model_track,Options:GeneOnly]&amp;mk=711468:711487|offset_29|444444,711425:711444|offset_72|444444,711394:711413|offset_103|00cc00,711354:711373|offset_143|444444&amp;v=711267:711573&amp;c=444444", "offset 103")</f>
        <v>offset 103</v>
      </c>
    </row>
    <row r="2268" customFormat="false" ht="12.8" hidden="false" customHeight="false" outlineLevel="0" collapsed="false">
      <c r="A2268" s="0" t="s">
        <v>12</v>
      </c>
      <c r="B2268" s="0" t="n">
        <v>711353</v>
      </c>
      <c r="C2268" s="0" t="n">
        <v>711373</v>
      </c>
      <c r="D2268" s="0" t="s">
        <v>7570</v>
      </c>
      <c r="E2268" s="0" t="s">
        <v>7571</v>
      </c>
      <c r="F2268" s="0" t="s">
        <v>90</v>
      </c>
      <c r="G2268" s="0" t="s">
        <v>36</v>
      </c>
      <c r="H2268" s="0" t="n">
        <v>143</v>
      </c>
      <c r="I2268" s="0" t="s">
        <v>7581</v>
      </c>
      <c r="J2268" s="0" t="s">
        <v>7582</v>
      </c>
      <c r="K2268" s="0" t="s">
        <v>7583</v>
      </c>
      <c r="L2268" s="0" t="str">
        <f aca="false">HYPERLINK("https://www.ncbi.nlm.nih.gov/nuccore/CP000058.1?report=graph&amp;tracks=[key:gene_model_track,Options:GeneOnly]&amp;mk=711468:711487|offset_29|444444,711425:711444|offset_72|444444,711394:711413|offset_103|444444,711354:711373|offset_143|00cc00&amp;v=711267:711573&amp;c=444444", "offset 143")</f>
        <v>offset 143</v>
      </c>
    </row>
    <row r="2269" customFormat="false" ht="12.8" hidden="false" customHeight="false" outlineLevel="0" collapsed="false">
      <c r="A2269" s="0" t="s">
        <v>12</v>
      </c>
      <c r="B2269" s="0" t="n">
        <v>711822</v>
      </c>
      <c r="C2269" s="0" t="n">
        <v>711842</v>
      </c>
      <c r="D2269" s="0" t="s">
        <v>7584</v>
      </c>
      <c r="E2269" s="0" t="s">
        <v>7585</v>
      </c>
      <c r="F2269" s="0" t="s">
        <v>90</v>
      </c>
      <c r="G2269" s="0" t="s">
        <v>36</v>
      </c>
      <c r="H2269" s="0" t="n">
        <v>9</v>
      </c>
      <c r="I2269" s="0" t="s">
        <v>7586</v>
      </c>
      <c r="J2269" s="0" t="s">
        <v>7587</v>
      </c>
      <c r="K2269" s="0" t="s">
        <v>7588</v>
      </c>
      <c r="L2269" s="0" t="str">
        <f aca="false">HYPERLINK("https://www.ncbi.nlm.nih.gov/nuccore/CP000058.1?report=graph&amp;tracks=[key:gene_model_track,Options:GeneOnly]&amp;mk=711823:711842|offset_9|00cc00,711794:711813|offset_38|444444,711756:711775|offset_76|444444,711732:711751|offset_100|444444&amp;v=711622:711951&amp;c=444444", "offset 9")</f>
        <v>offset 9</v>
      </c>
    </row>
    <row r="2270" customFormat="false" ht="12.8" hidden="false" customHeight="false" outlineLevel="0" collapsed="false">
      <c r="A2270" s="0" t="s">
        <v>12</v>
      </c>
      <c r="B2270" s="0" t="n">
        <v>711793</v>
      </c>
      <c r="C2270" s="0" t="n">
        <v>711813</v>
      </c>
      <c r="D2270" s="0" t="s">
        <v>7584</v>
      </c>
      <c r="E2270" s="0" t="s">
        <v>7585</v>
      </c>
      <c r="F2270" s="0" t="s">
        <v>90</v>
      </c>
      <c r="G2270" s="0" t="s">
        <v>36</v>
      </c>
      <c r="H2270" s="0" t="n">
        <v>38</v>
      </c>
      <c r="I2270" s="0" t="s">
        <v>7589</v>
      </c>
      <c r="J2270" s="0" t="s">
        <v>7590</v>
      </c>
      <c r="K2270" s="0" t="s">
        <v>7591</v>
      </c>
      <c r="L2270" s="0" t="str">
        <f aca="false">HYPERLINK("https://www.ncbi.nlm.nih.gov/nuccore/CP000058.1?report=graph&amp;tracks=[key:gene_model_track,Options:GeneOnly]&amp;mk=711823:711842|offset_9|444444,711794:711813|offset_38|00cc00,711756:711775|offset_76|444444,711732:711751|offset_100|444444&amp;v=711622:711951&amp;c=444444", "offset 38")</f>
        <v>offset 38</v>
      </c>
    </row>
    <row r="2271" customFormat="false" ht="12.8" hidden="false" customHeight="false" outlineLevel="0" collapsed="false">
      <c r="A2271" s="0" t="s">
        <v>12</v>
      </c>
      <c r="B2271" s="0" t="n">
        <v>711755</v>
      </c>
      <c r="C2271" s="0" t="n">
        <v>711775</v>
      </c>
      <c r="D2271" s="0" t="s">
        <v>7584</v>
      </c>
      <c r="E2271" s="0" t="s">
        <v>7585</v>
      </c>
      <c r="F2271" s="0" t="s">
        <v>90</v>
      </c>
      <c r="G2271" s="0" t="s">
        <v>20</v>
      </c>
      <c r="H2271" s="0" t="n">
        <v>76</v>
      </c>
      <c r="I2271" s="0" t="s">
        <v>7592</v>
      </c>
      <c r="J2271" s="0" t="s">
        <v>7593</v>
      </c>
      <c r="K2271" s="0" t="s">
        <v>7594</v>
      </c>
      <c r="L2271" s="0" t="str">
        <f aca="false">HYPERLINK("https://www.ncbi.nlm.nih.gov/nuccore/CP000058.1?report=graph&amp;tracks=[key:gene_model_track,Options:GeneOnly]&amp;mk=711823:711842|offset_9|444444,711794:711813|offset_38|444444,711756:711775|offset_76|00cc00,711732:711751|offset_100|444444&amp;v=711622:711951&amp;c=444444", "offset 76")</f>
        <v>offset 76</v>
      </c>
    </row>
    <row r="2272" customFormat="false" ht="12.8" hidden="false" customHeight="false" outlineLevel="0" collapsed="false">
      <c r="A2272" s="0" t="s">
        <v>12</v>
      </c>
      <c r="B2272" s="0" t="n">
        <v>711731</v>
      </c>
      <c r="C2272" s="0" t="n">
        <v>711751</v>
      </c>
      <c r="D2272" s="0" t="s">
        <v>7584</v>
      </c>
      <c r="E2272" s="0" t="s">
        <v>7585</v>
      </c>
      <c r="F2272" s="0" t="s">
        <v>90</v>
      </c>
      <c r="G2272" s="0" t="s">
        <v>36</v>
      </c>
      <c r="H2272" s="0" t="n">
        <v>100</v>
      </c>
      <c r="I2272" s="0" t="s">
        <v>7595</v>
      </c>
      <c r="J2272" s="0" t="s">
        <v>7596</v>
      </c>
      <c r="K2272" s="0" t="s">
        <v>7597</v>
      </c>
      <c r="L2272" s="0" t="str">
        <f aca="false">HYPERLINK("https://www.ncbi.nlm.nih.gov/nuccore/CP000058.1?report=graph&amp;tracks=[key:gene_model_track,Options:GeneOnly]&amp;mk=711823:711842|offset_9|444444,711794:711813|offset_38|444444,711756:711775|offset_76|444444,711732:711751|offset_100|00cc00&amp;v=711622:711951&amp;c=444444", "offset 100")</f>
        <v>offset 100</v>
      </c>
    </row>
    <row r="2273" customFormat="false" ht="12.8" hidden="false" customHeight="false" outlineLevel="0" collapsed="false">
      <c r="A2273" s="0" t="s">
        <v>12</v>
      </c>
      <c r="B2273" s="0" t="n">
        <v>713007</v>
      </c>
      <c r="C2273" s="0" t="n">
        <v>713027</v>
      </c>
      <c r="D2273" s="0" t="s">
        <v>7598</v>
      </c>
      <c r="E2273" s="0" t="s">
        <v>7599</v>
      </c>
      <c r="F2273" s="0" t="s">
        <v>90</v>
      </c>
      <c r="G2273" s="0" t="s">
        <v>32</v>
      </c>
      <c r="H2273" s="0" t="n">
        <v>0</v>
      </c>
      <c r="I2273" s="0" t="s">
        <v>7600</v>
      </c>
      <c r="J2273" s="0" t="s">
        <v>7601</v>
      </c>
      <c r="K2273" s="0" t="s">
        <v>7602</v>
      </c>
      <c r="L2273" s="0" t="str">
        <f aca="false">HYPERLINK("https://www.ncbi.nlm.nih.gov/nuccore/CP000058.1?report=graph&amp;tracks=[key:gene_model_track,Options:GeneOnly]&amp;mk=713008:713027|offset_0|00cc00,712988:713007|offset_20|444444,712955:712974|offset_53|444444,712919:712938|offset_89|444444&amp;v=712807:713138&amp;c=444444", "offset 0")</f>
        <v>offset 0</v>
      </c>
    </row>
    <row r="2274" customFormat="false" ht="12.8" hidden="false" customHeight="false" outlineLevel="0" collapsed="false">
      <c r="A2274" s="0" t="s">
        <v>12</v>
      </c>
      <c r="B2274" s="0" t="n">
        <v>712987</v>
      </c>
      <c r="C2274" s="0" t="n">
        <v>713007</v>
      </c>
      <c r="D2274" s="0" t="s">
        <v>7598</v>
      </c>
      <c r="E2274" s="0" t="s">
        <v>7599</v>
      </c>
      <c r="F2274" s="0" t="s">
        <v>90</v>
      </c>
      <c r="G2274" s="0" t="s">
        <v>36</v>
      </c>
      <c r="H2274" s="0" t="n">
        <v>20</v>
      </c>
      <c r="I2274" s="0" t="s">
        <v>7603</v>
      </c>
      <c r="J2274" s="0" t="s">
        <v>7604</v>
      </c>
      <c r="K2274" s="0" t="s">
        <v>7605</v>
      </c>
      <c r="L2274" s="0" t="str">
        <f aca="false">HYPERLINK("https://www.ncbi.nlm.nih.gov/nuccore/CP000058.1?report=graph&amp;tracks=[key:gene_model_track,Options:GeneOnly]&amp;mk=713008:713027|offset_0|444444,712988:713007|offset_20|00cc00,712955:712974|offset_53|444444,712919:712938|offset_89|444444&amp;v=712807:713138&amp;c=444444", "offset 20")</f>
        <v>offset 20</v>
      </c>
    </row>
    <row r="2275" customFormat="false" ht="12.8" hidden="false" customHeight="false" outlineLevel="0" collapsed="false">
      <c r="A2275" s="0" t="s">
        <v>12</v>
      </c>
      <c r="B2275" s="0" t="n">
        <v>712954</v>
      </c>
      <c r="C2275" s="0" t="n">
        <v>712974</v>
      </c>
      <c r="D2275" s="0" t="s">
        <v>7598</v>
      </c>
      <c r="E2275" s="0" t="s">
        <v>7599</v>
      </c>
      <c r="F2275" s="0" t="s">
        <v>90</v>
      </c>
      <c r="G2275" s="0" t="s">
        <v>16</v>
      </c>
      <c r="H2275" s="0" t="n">
        <v>53</v>
      </c>
      <c r="I2275" s="0" t="s">
        <v>7606</v>
      </c>
      <c r="J2275" s="0" t="s">
        <v>7607</v>
      </c>
      <c r="K2275" s="0" t="s">
        <v>7608</v>
      </c>
      <c r="L2275" s="0" t="str">
        <f aca="false">HYPERLINK("https://www.ncbi.nlm.nih.gov/nuccore/CP000058.1?report=graph&amp;tracks=[key:gene_model_track,Options:GeneOnly]&amp;mk=713008:713027|offset_0|444444,712988:713007|offset_20|444444,712955:712974|offset_53|00cc00,712919:712938|offset_89|444444&amp;v=712807:713138&amp;c=444444", "offset 53")</f>
        <v>offset 53</v>
      </c>
    </row>
    <row r="2276" customFormat="false" ht="12.8" hidden="false" customHeight="false" outlineLevel="0" collapsed="false">
      <c r="A2276" s="0" t="s">
        <v>12</v>
      </c>
      <c r="B2276" s="0" t="n">
        <v>712918</v>
      </c>
      <c r="C2276" s="0" t="n">
        <v>712938</v>
      </c>
      <c r="D2276" s="0" t="s">
        <v>7598</v>
      </c>
      <c r="E2276" s="0" t="s">
        <v>7599</v>
      </c>
      <c r="F2276" s="0" t="s">
        <v>90</v>
      </c>
      <c r="G2276" s="0" t="s">
        <v>36</v>
      </c>
      <c r="H2276" s="0" t="n">
        <v>89</v>
      </c>
      <c r="I2276" s="0" t="s">
        <v>7609</v>
      </c>
      <c r="J2276" s="0" t="s">
        <v>7610</v>
      </c>
      <c r="K2276" s="0" t="s">
        <v>7611</v>
      </c>
      <c r="L2276" s="0" t="str">
        <f aca="false">HYPERLINK("https://www.ncbi.nlm.nih.gov/nuccore/CP000058.1?report=graph&amp;tracks=[key:gene_model_track,Options:GeneOnly]&amp;mk=713008:713027|offset_0|444444,712988:713007|offset_20|444444,712955:712974|offset_53|444444,712919:712938|offset_89|00cc00&amp;v=712807:713138&amp;c=444444", "offset 89")</f>
        <v>offset 89</v>
      </c>
    </row>
    <row r="2277" customFormat="false" ht="12.8" hidden="false" customHeight="false" outlineLevel="0" collapsed="false">
      <c r="A2277" s="0" t="s">
        <v>12</v>
      </c>
      <c r="B2277" s="0" t="n">
        <v>714097</v>
      </c>
      <c r="C2277" s="0" t="n">
        <v>714117</v>
      </c>
      <c r="D2277" s="0" t="s">
        <v>7612</v>
      </c>
      <c r="E2277" s="0" t="s">
        <v>75</v>
      </c>
      <c r="F2277" s="0" t="s">
        <v>90</v>
      </c>
      <c r="G2277" s="0" t="s">
        <v>36</v>
      </c>
      <c r="H2277" s="0" t="n">
        <v>12</v>
      </c>
      <c r="I2277" s="0" t="s">
        <v>7613</v>
      </c>
      <c r="J2277" s="0" t="s">
        <v>7614</v>
      </c>
      <c r="K2277" s="0" t="s">
        <v>7615</v>
      </c>
      <c r="L2277" s="0" t="str">
        <f aca="false">HYPERLINK("https://www.ncbi.nlm.nih.gov/nuccore/CP000058.1?report=graph&amp;tracks=[key:gene_model_track,Options:GeneOnly]&amp;mk=714098:714117|offset_12|00cc00,714000:714019|offset_110|444444,713961:713980|offset_149|444444,713911:713930|offset_199|444444&amp;v=713897:714130&amp;c=444444", "offset 12")</f>
        <v>offset 12</v>
      </c>
    </row>
    <row r="2278" customFormat="false" ht="12.8" hidden="false" customHeight="false" outlineLevel="0" collapsed="false">
      <c r="A2278" s="0" t="s">
        <v>12</v>
      </c>
      <c r="B2278" s="0" t="n">
        <v>713999</v>
      </c>
      <c r="C2278" s="0" t="n">
        <v>714019</v>
      </c>
      <c r="D2278" s="0" t="s">
        <v>7612</v>
      </c>
      <c r="E2278" s="0" t="s">
        <v>75</v>
      </c>
      <c r="F2278" s="0" t="s">
        <v>90</v>
      </c>
      <c r="G2278" s="0" t="s">
        <v>20</v>
      </c>
      <c r="H2278" s="0" t="n">
        <v>110</v>
      </c>
      <c r="I2278" s="0" t="s">
        <v>7616</v>
      </c>
      <c r="J2278" s="0" t="s">
        <v>7617</v>
      </c>
      <c r="K2278" s="0" t="s">
        <v>7618</v>
      </c>
      <c r="L2278" s="0" t="str">
        <f aca="false">HYPERLINK("https://www.ncbi.nlm.nih.gov/nuccore/CP000058.1?report=graph&amp;tracks=[key:gene_model_track,Options:GeneOnly]&amp;mk=714098:714117|offset_12|444444,714000:714019|offset_110|00cc00,713961:713980|offset_149|444444,713911:713930|offset_199|444444&amp;v=713897:714130&amp;c=444444", "offset 110")</f>
        <v>offset 110</v>
      </c>
    </row>
    <row r="2279" customFormat="false" ht="12.8" hidden="false" customHeight="false" outlineLevel="0" collapsed="false">
      <c r="A2279" s="0" t="s">
        <v>12</v>
      </c>
      <c r="B2279" s="0" t="n">
        <v>713960</v>
      </c>
      <c r="C2279" s="0" t="n">
        <v>713980</v>
      </c>
      <c r="D2279" s="0" t="s">
        <v>7612</v>
      </c>
      <c r="E2279" s="0" t="s">
        <v>75</v>
      </c>
      <c r="F2279" s="0" t="s">
        <v>90</v>
      </c>
      <c r="G2279" s="0" t="s">
        <v>16</v>
      </c>
      <c r="H2279" s="0" t="n">
        <v>149</v>
      </c>
      <c r="I2279" s="0" t="s">
        <v>7619</v>
      </c>
      <c r="J2279" s="0" t="s">
        <v>7620</v>
      </c>
      <c r="K2279" s="0" t="s">
        <v>7621</v>
      </c>
      <c r="L2279" s="0" t="str">
        <f aca="false">HYPERLINK("https://www.ncbi.nlm.nih.gov/nuccore/CP000058.1?report=graph&amp;tracks=[key:gene_model_track,Options:GeneOnly]&amp;mk=714098:714117|offset_12|444444,714000:714019|offset_110|444444,713961:713980|offset_149|00cc00,713911:713930|offset_199|444444&amp;v=713897:714130&amp;c=444444", "offset 149")</f>
        <v>offset 149</v>
      </c>
    </row>
    <row r="2280" customFormat="false" ht="12.8" hidden="false" customHeight="false" outlineLevel="0" collapsed="false">
      <c r="A2280" s="0" t="s">
        <v>12</v>
      </c>
      <c r="B2280" s="0" t="n">
        <v>713910</v>
      </c>
      <c r="C2280" s="0" t="n">
        <v>713930</v>
      </c>
      <c r="D2280" s="0" t="s">
        <v>7612</v>
      </c>
      <c r="E2280" s="0" t="s">
        <v>75</v>
      </c>
      <c r="F2280" s="0" t="s">
        <v>90</v>
      </c>
      <c r="G2280" s="0" t="s">
        <v>16</v>
      </c>
      <c r="H2280" s="0" t="n">
        <v>199</v>
      </c>
      <c r="I2280" s="0" t="s">
        <v>7622</v>
      </c>
      <c r="J2280" s="0" t="s">
        <v>7623</v>
      </c>
      <c r="K2280" s="0" t="s">
        <v>7624</v>
      </c>
      <c r="L2280" s="0" t="str">
        <f aca="false">HYPERLINK("https://www.ncbi.nlm.nih.gov/nuccore/CP000058.1?report=graph&amp;tracks=[key:gene_model_track,Options:GeneOnly]&amp;mk=714098:714117|offset_12|444444,714000:714019|offset_110|444444,713961:713980|offset_149|444444,713911:713930|offset_199|00cc00&amp;v=713897:714130&amp;c=444444", "offset 199")</f>
        <v>offset 199</v>
      </c>
    </row>
    <row r="2281" customFormat="false" ht="12.8" hidden="false" customHeight="false" outlineLevel="0" collapsed="false">
      <c r="A2281" s="0" t="s">
        <v>12</v>
      </c>
      <c r="B2281" s="0" t="n">
        <v>715145</v>
      </c>
      <c r="C2281" s="0" t="n">
        <v>715165</v>
      </c>
      <c r="D2281" s="0" t="s">
        <v>7625</v>
      </c>
      <c r="E2281" s="0" t="s">
        <v>75</v>
      </c>
      <c r="F2281" s="0" t="s">
        <v>90</v>
      </c>
      <c r="G2281" s="0" t="s">
        <v>36</v>
      </c>
      <c r="H2281" s="0" t="n">
        <v>7</v>
      </c>
      <c r="I2281" s="0" t="s">
        <v>7626</v>
      </c>
      <c r="J2281" s="0" t="s">
        <v>7627</v>
      </c>
      <c r="K2281" s="0" t="s">
        <v>7628</v>
      </c>
      <c r="L2281" s="0" t="str">
        <f aca="false">HYPERLINK("https://www.ncbi.nlm.nih.gov/nuccore/CP000058.1?report=graph&amp;tracks=[key:gene_model_track,Options:GeneOnly]&amp;mk=715146:715165|offset_7|00cc00,715126:715145|offset_27|444444,715083:715102|offset_70|444444,715062:715081|offset_91|444444&amp;v=714945:715281&amp;c=444444", "offset 7")</f>
        <v>offset 7</v>
      </c>
    </row>
    <row r="2282" customFormat="false" ht="12.8" hidden="false" customHeight="false" outlineLevel="0" collapsed="false">
      <c r="A2282" s="0" t="s">
        <v>12</v>
      </c>
      <c r="B2282" s="0" t="n">
        <v>715125</v>
      </c>
      <c r="C2282" s="0" t="n">
        <v>715145</v>
      </c>
      <c r="D2282" s="0" t="s">
        <v>7625</v>
      </c>
      <c r="E2282" s="0" t="s">
        <v>75</v>
      </c>
      <c r="F2282" s="0" t="s">
        <v>90</v>
      </c>
      <c r="G2282" s="0" t="s">
        <v>16</v>
      </c>
      <c r="H2282" s="0" t="n">
        <v>27</v>
      </c>
      <c r="I2282" s="0" t="s">
        <v>7629</v>
      </c>
      <c r="J2282" s="0" t="s">
        <v>7630</v>
      </c>
      <c r="K2282" s="0" t="s">
        <v>7631</v>
      </c>
      <c r="L2282" s="0" t="str">
        <f aca="false">HYPERLINK("https://www.ncbi.nlm.nih.gov/nuccore/CP000058.1?report=graph&amp;tracks=[key:gene_model_track,Options:GeneOnly]&amp;mk=715146:715165|offset_7|444444,715126:715145|offset_27|00cc00,715083:715102|offset_70|444444,715062:715081|offset_91|444444&amp;v=714945:715281&amp;c=444444", "offset 27")</f>
        <v>offset 27</v>
      </c>
    </row>
    <row r="2283" customFormat="false" ht="12.8" hidden="false" customHeight="false" outlineLevel="0" collapsed="false">
      <c r="A2283" s="0" t="s">
        <v>12</v>
      </c>
      <c r="B2283" s="0" t="n">
        <v>715082</v>
      </c>
      <c r="C2283" s="0" t="n">
        <v>715102</v>
      </c>
      <c r="D2283" s="0" t="s">
        <v>7625</v>
      </c>
      <c r="E2283" s="0" t="s">
        <v>75</v>
      </c>
      <c r="F2283" s="0" t="s">
        <v>90</v>
      </c>
      <c r="G2283" s="0" t="s">
        <v>32</v>
      </c>
      <c r="H2283" s="0" t="n">
        <v>70</v>
      </c>
      <c r="I2283" s="0" t="s">
        <v>7632</v>
      </c>
      <c r="J2283" s="0" t="s">
        <v>7633</v>
      </c>
      <c r="K2283" s="0" t="s">
        <v>7634</v>
      </c>
      <c r="L2283" s="0" t="str">
        <f aca="false">HYPERLINK("https://www.ncbi.nlm.nih.gov/nuccore/CP000058.1?report=graph&amp;tracks=[key:gene_model_track,Options:GeneOnly]&amp;mk=715146:715165|offset_7|444444,715126:715145|offset_27|444444,715083:715102|offset_70|00cc00,715062:715081|offset_91|444444&amp;v=714945:715281&amp;c=444444", "offset 70")</f>
        <v>offset 70</v>
      </c>
    </row>
    <row r="2284" customFormat="false" ht="12.8" hidden="false" customHeight="false" outlineLevel="0" collapsed="false">
      <c r="A2284" s="0" t="s">
        <v>12</v>
      </c>
      <c r="B2284" s="0" t="n">
        <v>715061</v>
      </c>
      <c r="C2284" s="0" t="n">
        <v>715081</v>
      </c>
      <c r="D2284" s="0" t="s">
        <v>7625</v>
      </c>
      <c r="E2284" s="0" t="s">
        <v>75</v>
      </c>
      <c r="F2284" s="0" t="s">
        <v>90</v>
      </c>
      <c r="G2284" s="0" t="s">
        <v>16</v>
      </c>
      <c r="H2284" s="0" t="n">
        <v>91</v>
      </c>
      <c r="I2284" s="0" t="s">
        <v>7635</v>
      </c>
      <c r="J2284" s="0" t="s">
        <v>7636</v>
      </c>
      <c r="K2284" s="0" t="s">
        <v>7637</v>
      </c>
      <c r="L2284" s="0" t="str">
        <f aca="false">HYPERLINK("https://www.ncbi.nlm.nih.gov/nuccore/CP000058.1?report=graph&amp;tracks=[key:gene_model_track,Options:GeneOnly]&amp;mk=715146:715165|offset_7|444444,715126:715145|offset_27|444444,715083:715102|offset_70|444444,715062:715081|offset_91|00cc00&amp;v=714945:715281&amp;c=444444", "offset 91")</f>
        <v>offset 91</v>
      </c>
    </row>
    <row r="2285" customFormat="false" ht="12.8" hidden="false" customHeight="false" outlineLevel="0" collapsed="false">
      <c r="A2285" s="0" t="s">
        <v>12</v>
      </c>
      <c r="B2285" s="0" t="n">
        <v>715295</v>
      </c>
      <c r="C2285" s="0" t="n">
        <v>715315</v>
      </c>
      <c r="D2285" s="0" t="s">
        <v>7638</v>
      </c>
      <c r="E2285" s="0" t="s">
        <v>75</v>
      </c>
      <c r="F2285" s="0" t="s">
        <v>15</v>
      </c>
      <c r="G2285" s="0" t="s">
        <v>20</v>
      </c>
      <c r="H2285" s="0" t="n">
        <v>12</v>
      </c>
      <c r="I2285" s="0" t="s">
        <v>7639</v>
      </c>
      <c r="J2285" s="0" t="s">
        <v>7640</v>
      </c>
      <c r="K2285" s="0" t="s">
        <v>7641</v>
      </c>
      <c r="L2285" s="0" t="str">
        <f aca="false">HYPERLINK("https://www.ncbi.nlm.nih.gov/nuccore/CP000058.1?report=graph&amp;tracks=[key:gene_model_track,Options:GeneOnly]&amp;mk=715296:715315|offset_12|00cc00,715318:715337|offset_34|444444,715341:715360|offset_57|444444,715363:715382|offset_79|444444&amp;v=715095:715582&amp;c=444444", "offset 12")</f>
        <v>offset 12</v>
      </c>
    </row>
    <row r="2286" customFormat="false" ht="12.8" hidden="false" customHeight="false" outlineLevel="0" collapsed="false">
      <c r="A2286" s="0" t="s">
        <v>12</v>
      </c>
      <c r="B2286" s="0" t="n">
        <v>715317</v>
      </c>
      <c r="C2286" s="0" t="n">
        <v>715337</v>
      </c>
      <c r="D2286" s="0" t="s">
        <v>7638</v>
      </c>
      <c r="E2286" s="0" t="s">
        <v>75</v>
      </c>
      <c r="F2286" s="0" t="s">
        <v>15</v>
      </c>
      <c r="G2286" s="0" t="s">
        <v>16</v>
      </c>
      <c r="H2286" s="0" t="n">
        <v>34</v>
      </c>
      <c r="I2286" s="0" t="s">
        <v>7642</v>
      </c>
      <c r="J2286" s="0" t="s">
        <v>7643</v>
      </c>
      <c r="K2286" s="0" t="s">
        <v>7644</v>
      </c>
      <c r="L2286" s="0" t="str">
        <f aca="false">HYPERLINK("https://www.ncbi.nlm.nih.gov/nuccore/CP000058.1?report=graph&amp;tracks=[key:gene_model_track,Options:GeneOnly]&amp;mk=715296:715315|offset_12|444444,715318:715337|offset_34|00cc00,715341:715360|offset_57|444444,715363:715382|offset_79|444444&amp;v=715095:715582&amp;c=444444", "offset 34")</f>
        <v>offset 34</v>
      </c>
    </row>
    <row r="2287" customFormat="false" ht="12.8" hidden="false" customHeight="false" outlineLevel="0" collapsed="false">
      <c r="A2287" s="0" t="s">
        <v>12</v>
      </c>
      <c r="B2287" s="0" t="n">
        <v>715340</v>
      </c>
      <c r="C2287" s="0" t="n">
        <v>715360</v>
      </c>
      <c r="D2287" s="0" t="s">
        <v>7638</v>
      </c>
      <c r="E2287" s="0" t="s">
        <v>75</v>
      </c>
      <c r="F2287" s="0" t="s">
        <v>15</v>
      </c>
      <c r="G2287" s="0" t="s">
        <v>20</v>
      </c>
      <c r="H2287" s="0" t="n">
        <v>57</v>
      </c>
      <c r="I2287" s="0" t="s">
        <v>7645</v>
      </c>
      <c r="J2287" s="0" t="s">
        <v>7646</v>
      </c>
      <c r="K2287" s="0" t="s">
        <v>7647</v>
      </c>
      <c r="L2287" s="0" t="str">
        <f aca="false">HYPERLINK("https://www.ncbi.nlm.nih.gov/nuccore/CP000058.1?report=graph&amp;tracks=[key:gene_model_track,Options:GeneOnly]&amp;mk=715296:715315|offset_12|444444,715318:715337|offset_34|444444,715341:715360|offset_57|00cc00,715363:715382|offset_79|444444&amp;v=715095:715582&amp;c=444444", "offset 57")</f>
        <v>offset 57</v>
      </c>
    </row>
    <row r="2288" customFormat="false" ht="12.8" hidden="false" customHeight="false" outlineLevel="0" collapsed="false">
      <c r="A2288" s="0" t="s">
        <v>12</v>
      </c>
      <c r="B2288" s="0" t="n">
        <v>715362</v>
      </c>
      <c r="C2288" s="0" t="n">
        <v>715382</v>
      </c>
      <c r="D2288" s="0" t="s">
        <v>7638</v>
      </c>
      <c r="E2288" s="0" t="s">
        <v>75</v>
      </c>
      <c r="F2288" s="0" t="s">
        <v>15</v>
      </c>
      <c r="G2288" s="0" t="s">
        <v>20</v>
      </c>
      <c r="H2288" s="0" t="n">
        <v>79</v>
      </c>
      <c r="I2288" s="0" t="s">
        <v>7648</v>
      </c>
      <c r="J2288" s="0" t="s">
        <v>7649</v>
      </c>
      <c r="K2288" s="0" t="s">
        <v>7650</v>
      </c>
      <c r="L2288" s="0" t="str">
        <f aca="false">HYPERLINK("https://www.ncbi.nlm.nih.gov/nuccore/CP000058.1?report=graph&amp;tracks=[key:gene_model_track,Options:GeneOnly]&amp;mk=715296:715315|offset_12|444444,715318:715337|offset_34|444444,715341:715360|offset_57|444444,715363:715382|offset_79|00cc00&amp;v=715095:715582&amp;c=444444", "offset 79")</f>
        <v>offset 79</v>
      </c>
    </row>
    <row r="2289" customFormat="false" ht="12.8" hidden="false" customHeight="false" outlineLevel="0" collapsed="false">
      <c r="A2289" s="0" t="s">
        <v>12</v>
      </c>
      <c r="B2289" s="0" t="n">
        <v>717663</v>
      </c>
      <c r="C2289" s="0" t="n">
        <v>717683</v>
      </c>
      <c r="D2289" s="0" t="s">
        <v>7651</v>
      </c>
      <c r="E2289" s="0" t="s">
        <v>75</v>
      </c>
      <c r="F2289" s="0" t="s">
        <v>15</v>
      </c>
      <c r="G2289" s="0" t="s">
        <v>16</v>
      </c>
      <c r="H2289" s="0" t="n">
        <v>6</v>
      </c>
      <c r="I2289" s="0" t="s">
        <v>7652</v>
      </c>
      <c r="J2289" s="0" t="s">
        <v>7653</v>
      </c>
      <c r="K2289" s="0" t="s">
        <v>7654</v>
      </c>
      <c r="L2289" s="0" t="str">
        <f aca="false">HYPERLINK("https://www.ncbi.nlm.nih.gov/nuccore/CP000058.1?report=graph&amp;tracks=[key:gene_model_track,Options:GeneOnly]&amp;mk=717664:717683|offset_6|00cc00,717698:717717|offset_40|444444,717734:717753|offset_76|444444,717767:717786|offset_109|444444&amp;v=717463:717986&amp;c=444444", "offset 6")</f>
        <v>offset 6</v>
      </c>
    </row>
    <row r="2290" customFormat="false" ht="12.8" hidden="false" customHeight="false" outlineLevel="0" collapsed="false">
      <c r="A2290" s="0" t="s">
        <v>12</v>
      </c>
      <c r="B2290" s="0" t="n">
        <v>717697</v>
      </c>
      <c r="C2290" s="0" t="n">
        <v>717717</v>
      </c>
      <c r="D2290" s="0" t="s">
        <v>7651</v>
      </c>
      <c r="E2290" s="0" t="s">
        <v>75</v>
      </c>
      <c r="F2290" s="0" t="s">
        <v>15</v>
      </c>
      <c r="G2290" s="0" t="s">
        <v>32</v>
      </c>
      <c r="H2290" s="0" t="n">
        <v>40</v>
      </c>
      <c r="I2290" s="0" t="s">
        <v>7655</v>
      </c>
      <c r="J2290" s="0" t="s">
        <v>7656</v>
      </c>
      <c r="K2290" s="0" t="s">
        <v>7657</v>
      </c>
      <c r="L2290" s="0" t="str">
        <f aca="false">HYPERLINK("https://www.ncbi.nlm.nih.gov/nuccore/CP000058.1?report=graph&amp;tracks=[key:gene_model_track,Options:GeneOnly]&amp;mk=717664:717683|offset_6|444444,717698:717717|offset_40|00cc00,717734:717753|offset_76|444444,717767:717786|offset_109|444444&amp;v=717463:717986&amp;c=444444", "offset 40")</f>
        <v>offset 40</v>
      </c>
    </row>
    <row r="2291" customFormat="false" ht="12.8" hidden="false" customHeight="false" outlineLevel="0" collapsed="false">
      <c r="A2291" s="0" t="s">
        <v>12</v>
      </c>
      <c r="B2291" s="0" t="n">
        <v>717733</v>
      </c>
      <c r="C2291" s="0" t="n">
        <v>717753</v>
      </c>
      <c r="D2291" s="0" t="s">
        <v>7651</v>
      </c>
      <c r="E2291" s="0" t="s">
        <v>75</v>
      </c>
      <c r="F2291" s="0" t="s">
        <v>15</v>
      </c>
      <c r="G2291" s="0" t="s">
        <v>20</v>
      </c>
      <c r="H2291" s="0" t="n">
        <v>76</v>
      </c>
      <c r="I2291" s="0" t="s">
        <v>7658</v>
      </c>
      <c r="J2291" s="0" t="s">
        <v>7659</v>
      </c>
      <c r="K2291" s="0" t="s">
        <v>7660</v>
      </c>
      <c r="L2291" s="0" t="str">
        <f aca="false">HYPERLINK("https://www.ncbi.nlm.nih.gov/nuccore/CP000058.1?report=graph&amp;tracks=[key:gene_model_track,Options:GeneOnly]&amp;mk=717664:717683|offset_6|444444,717698:717717|offset_40|444444,717734:717753|offset_76|00cc00,717767:717786|offset_109|444444&amp;v=717463:717986&amp;c=444444", "offset 76")</f>
        <v>offset 76</v>
      </c>
    </row>
    <row r="2292" customFormat="false" ht="12.8" hidden="false" customHeight="false" outlineLevel="0" collapsed="false">
      <c r="A2292" s="0" t="s">
        <v>12</v>
      </c>
      <c r="B2292" s="0" t="n">
        <v>717766</v>
      </c>
      <c r="C2292" s="0" t="n">
        <v>717786</v>
      </c>
      <c r="D2292" s="0" t="s">
        <v>7651</v>
      </c>
      <c r="E2292" s="0" t="s">
        <v>75</v>
      </c>
      <c r="F2292" s="0" t="s">
        <v>15</v>
      </c>
      <c r="G2292" s="0" t="s">
        <v>32</v>
      </c>
      <c r="H2292" s="0" t="n">
        <v>109</v>
      </c>
      <c r="I2292" s="0" t="s">
        <v>7661</v>
      </c>
      <c r="J2292" s="0" t="s">
        <v>7662</v>
      </c>
      <c r="K2292" s="0" t="s">
        <v>7663</v>
      </c>
      <c r="L2292" s="0" t="str">
        <f aca="false">HYPERLINK("https://www.ncbi.nlm.nih.gov/nuccore/CP000058.1?report=graph&amp;tracks=[key:gene_model_track,Options:GeneOnly]&amp;mk=717664:717683|offset_6|444444,717698:717717|offset_40|444444,717734:717753|offset_76|444444,717767:717786|offset_109|00cc00&amp;v=717463:717986&amp;c=444444", "offset 109")</f>
        <v>offset 109</v>
      </c>
    </row>
    <row r="2293" customFormat="false" ht="12.8" hidden="false" customHeight="false" outlineLevel="0" collapsed="false">
      <c r="A2293" s="0" t="s">
        <v>12</v>
      </c>
      <c r="B2293" s="0" t="n">
        <v>718236</v>
      </c>
      <c r="C2293" s="0" t="n">
        <v>718256</v>
      </c>
      <c r="D2293" s="0" t="s">
        <v>7664</v>
      </c>
      <c r="E2293" s="0" t="s">
        <v>75</v>
      </c>
      <c r="F2293" s="0" t="s">
        <v>15</v>
      </c>
      <c r="G2293" s="0" t="s">
        <v>20</v>
      </c>
      <c r="H2293" s="0" t="n">
        <v>8</v>
      </c>
      <c r="I2293" s="0" t="s">
        <v>7665</v>
      </c>
      <c r="J2293" s="0" t="s">
        <v>7666</v>
      </c>
      <c r="K2293" s="0" t="s">
        <v>7667</v>
      </c>
      <c r="L2293" s="0" t="str">
        <f aca="false">HYPERLINK("https://www.ncbi.nlm.nih.gov/nuccore/CP000058.1?report=graph&amp;tracks=[key:gene_model_track,Options:GeneOnly]&amp;mk=718237:718256|offset_8|00cc00,718264:718283|offset_35|444444,718297:718316|offset_68|444444,718329:718348|offset_100|444444&amp;v=718036:718548&amp;c=444444", "offset 8")</f>
        <v>offset 8</v>
      </c>
    </row>
    <row r="2294" customFormat="false" ht="12.8" hidden="false" customHeight="false" outlineLevel="0" collapsed="false">
      <c r="A2294" s="0" t="s">
        <v>12</v>
      </c>
      <c r="B2294" s="0" t="n">
        <v>718263</v>
      </c>
      <c r="C2294" s="0" t="n">
        <v>718283</v>
      </c>
      <c r="D2294" s="0" t="s">
        <v>7664</v>
      </c>
      <c r="E2294" s="0" t="s">
        <v>75</v>
      </c>
      <c r="F2294" s="0" t="s">
        <v>15</v>
      </c>
      <c r="G2294" s="0" t="s">
        <v>20</v>
      </c>
      <c r="H2294" s="0" t="n">
        <v>35</v>
      </c>
      <c r="I2294" s="0" t="s">
        <v>7668</v>
      </c>
      <c r="J2294" s="0" t="s">
        <v>7669</v>
      </c>
      <c r="K2294" s="0" t="s">
        <v>7670</v>
      </c>
      <c r="L2294" s="0" t="str">
        <f aca="false">HYPERLINK("https://www.ncbi.nlm.nih.gov/nuccore/CP000058.1?report=graph&amp;tracks=[key:gene_model_track,Options:GeneOnly]&amp;mk=718237:718256|offset_8|444444,718264:718283|offset_35|00cc00,718297:718316|offset_68|444444,718329:718348|offset_100|444444&amp;v=718036:718548&amp;c=444444", "offset 35")</f>
        <v>offset 35</v>
      </c>
    </row>
    <row r="2295" customFormat="false" ht="12.8" hidden="false" customHeight="false" outlineLevel="0" collapsed="false">
      <c r="A2295" s="0" t="s">
        <v>12</v>
      </c>
      <c r="B2295" s="0" t="n">
        <v>718296</v>
      </c>
      <c r="C2295" s="0" t="n">
        <v>718316</v>
      </c>
      <c r="D2295" s="0" t="s">
        <v>7664</v>
      </c>
      <c r="E2295" s="0" t="s">
        <v>75</v>
      </c>
      <c r="F2295" s="0" t="s">
        <v>15</v>
      </c>
      <c r="G2295" s="0" t="s">
        <v>16</v>
      </c>
      <c r="H2295" s="0" t="n">
        <v>68</v>
      </c>
      <c r="I2295" s="0" t="s">
        <v>7671</v>
      </c>
      <c r="J2295" s="0" t="s">
        <v>7672</v>
      </c>
      <c r="K2295" s="0" t="s">
        <v>7673</v>
      </c>
      <c r="L2295" s="0" t="str">
        <f aca="false">HYPERLINK("https://www.ncbi.nlm.nih.gov/nuccore/CP000058.1?report=graph&amp;tracks=[key:gene_model_track,Options:GeneOnly]&amp;mk=718237:718256|offset_8|444444,718264:718283|offset_35|444444,718297:718316|offset_68|00cc00,718329:718348|offset_100|444444&amp;v=718036:718548&amp;c=444444", "offset 68")</f>
        <v>offset 68</v>
      </c>
    </row>
    <row r="2296" customFormat="false" ht="12.8" hidden="false" customHeight="false" outlineLevel="0" collapsed="false">
      <c r="A2296" s="0" t="s">
        <v>12</v>
      </c>
      <c r="B2296" s="0" t="n">
        <v>718328</v>
      </c>
      <c r="C2296" s="0" t="n">
        <v>718348</v>
      </c>
      <c r="D2296" s="0" t="s">
        <v>7664</v>
      </c>
      <c r="E2296" s="0" t="s">
        <v>75</v>
      </c>
      <c r="F2296" s="0" t="s">
        <v>15</v>
      </c>
      <c r="G2296" s="0" t="s">
        <v>16</v>
      </c>
      <c r="H2296" s="0" t="n">
        <v>100</v>
      </c>
      <c r="I2296" s="0" t="s">
        <v>7674</v>
      </c>
      <c r="J2296" s="0" t="s">
        <v>7675</v>
      </c>
      <c r="K2296" s="0" t="s">
        <v>7676</v>
      </c>
      <c r="L2296" s="0" t="str">
        <f aca="false">HYPERLINK("https://www.ncbi.nlm.nih.gov/nuccore/CP000058.1?report=graph&amp;tracks=[key:gene_model_track,Options:GeneOnly]&amp;mk=718237:718256|offset_8|444444,718264:718283|offset_35|444444,718297:718316|offset_68|444444,718329:718348|offset_100|00cc00&amp;v=718036:718548&amp;c=444444", "offset 100")</f>
        <v>offset 100</v>
      </c>
    </row>
    <row r="2297" customFormat="false" ht="12.8" hidden="false" customHeight="false" outlineLevel="0" collapsed="false">
      <c r="A2297" s="0" t="s">
        <v>12</v>
      </c>
      <c r="B2297" s="0" t="n">
        <v>718908</v>
      </c>
      <c r="C2297" s="0" t="n">
        <v>718928</v>
      </c>
      <c r="D2297" s="0" t="s">
        <v>7677</v>
      </c>
      <c r="E2297" s="0" t="s">
        <v>75</v>
      </c>
      <c r="F2297" s="0" t="s">
        <v>15</v>
      </c>
      <c r="G2297" s="0" t="s">
        <v>32</v>
      </c>
      <c r="H2297" s="0" t="n">
        <v>43</v>
      </c>
      <c r="I2297" s="0" t="s">
        <v>7678</v>
      </c>
      <c r="J2297" s="0" t="s">
        <v>7679</v>
      </c>
      <c r="K2297" s="0" t="s">
        <v>7680</v>
      </c>
      <c r="L2297" s="0" t="str">
        <f aca="false">HYPERLINK("https://www.ncbi.nlm.nih.gov/nuccore/CP000058.1?report=graph&amp;tracks=[key:gene_model_track,Options:GeneOnly]&amp;mk=718909:718928|offset_43|00cc00,718933:718952|offset_67|444444,718973:718992|offset_107|444444,719019:719038|offset_153|444444&amp;v=718708:719238&amp;c=444444", "offset 43")</f>
        <v>offset 43</v>
      </c>
    </row>
    <row r="2298" customFormat="false" ht="12.8" hidden="false" customHeight="false" outlineLevel="0" collapsed="false">
      <c r="A2298" s="0" t="s">
        <v>12</v>
      </c>
      <c r="B2298" s="0" t="n">
        <v>718932</v>
      </c>
      <c r="C2298" s="0" t="n">
        <v>718952</v>
      </c>
      <c r="D2298" s="0" t="s">
        <v>7677</v>
      </c>
      <c r="E2298" s="0" t="s">
        <v>75</v>
      </c>
      <c r="F2298" s="0" t="s">
        <v>15</v>
      </c>
      <c r="G2298" s="0" t="s">
        <v>20</v>
      </c>
      <c r="H2298" s="0" t="n">
        <v>67</v>
      </c>
      <c r="I2298" s="0" t="s">
        <v>7681</v>
      </c>
      <c r="J2298" s="0" t="s">
        <v>7682</v>
      </c>
      <c r="K2298" s="0" t="s">
        <v>7683</v>
      </c>
      <c r="L2298" s="0" t="str">
        <f aca="false">HYPERLINK("https://www.ncbi.nlm.nih.gov/nuccore/CP000058.1?report=graph&amp;tracks=[key:gene_model_track,Options:GeneOnly]&amp;mk=718909:718928|offset_43|444444,718933:718952|offset_67|00cc00,718973:718992|offset_107|444444,719019:719038|offset_153|444444&amp;v=718708:719238&amp;c=444444", "offset 67")</f>
        <v>offset 67</v>
      </c>
    </row>
    <row r="2299" customFormat="false" ht="12.8" hidden="false" customHeight="false" outlineLevel="0" collapsed="false">
      <c r="A2299" s="0" t="s">
        <v>12</v>
      </c>
      <c r="B2299" s="0" t="n">
        <v>718972</v>
      </c>
      <c r="C2299" s="0" t="n">
        <v>718992</v>
      </c>
      <c r="D2299" s="0" t="s">
        <v>7677</v>
      </c>
      <c r="E2299" s="0" t="s">
        <v>75</v>
      </c>
      <c r="F2299" s="0" t="s">
        <v>15</v>
      </c>
      <c r="G2299" s="0" t="s">
        <v>16</v>
      </c>
      <c r="H2299" s="0" t="n">
        <v>107</v>
      </c>
      <c r="I2299" s="0" t="s">
        <v>7684</v>
      </c>
      <c r="J2299" s="0" t="s">
        <v>7685</v>
      </c>
      <c r="K2299" s="0" t="s">
        <v>7686</v>
      </c>
      <c r="L2299" s="0" t="str">
        <f aca="false">HYPERLINK("https://www.ncbi.nlm.nih.gov/nuccore/CP000058.1?report=graph&amp;tracks=[key:gene_model_track,Options:GeneOnly]&amp;mk=718909:718928|offset_43|444444,718933:718952|offset_67|444444,718973:718992|offset_107|00cc00,719019:719038|offset_153|444444&amp;v=718708:719238&amp;c=444444", "offset 107")</f>
        <v>offset 107</v>
      </c>
    </row>
    <row r="2300" customFormat="false" ht="12.8" hidden="false" customHeight="false" outlineLevel="0" collapsed="false">
      <c r="A2300" s="0" t="s">
        <v>12</v>
      </c>
      <c r="B2300" s="0" t="n">
        <v>719018</v>
      </c>
      <c r="C2300" s="0" t="n">
        <v>719038</v>
      </c>
      <c r="D2300" s="0" t="s">
        <v>7677</v>
      </c>
      <c r="E2300" s="0" t="s">
        <v>75</v>
      </c>
      <c r="F2300" s="0" t="s">
        <v>15</v>
      </c>
      <c r="G2300" s="0" t="s">
        <v>16</v>
      </c>
      <c r="H2300" s="0" t="n">
        <v>153</v>
      </c>
      <c r="I2300" s="0" t="s">
        <v>7687</v>
      </c>
      <c r="J2300" s="0" t="s">
        <v>7688</v>
      </c>
      <c r="K2300" s="0" t="s">
        <v>7689</v>
      </c>
      <c r="L2300" s="0" t="str">
        <f aca="false">HYPERLINK("https://www.ncbi.nlm.nih.gov/nuccore/CP000058.1?report=graph&amp;tracks=[key:gene_model_track,Options:GeneOnly]&amp;mk=718909:718928|offset_43|444444,718933:718952|offset_67|444444,718973:718992|offset_107|444444,719019:719038|offset_153|00cc00&amp;v=718708:719238&amp;c=444444", "offset 153")</f>
        <v>offset 153</v>
      </c>
    </row>
    <row r="2301" customFormat="false" ht="12.8" hidden="false" customHeight="false" outlineLevel="0" collapsed="false">
      <c r="A2301" s="0" t="s">
        <v>12</v>
      </c>
      <c r="B2301" s="0" t="n">
        <v>720752</v>
      </c>
      <c r="C2301" s="0" t="n">
        <v>720772</v>
      </c>
      <c r="D2301" s="0" t="s">
        <v>7690</v>
      </c>
      <c r="E2301" s="0" t="s">
        <v>75</v>
      </c>
      <c r="F2301" s="0" t="s">
        <v>15</v>
      </c>
      <c r="G2301" s="0" t="s">
        <v>32</v>
      </c>
      <c r="H2301" s="0" t="n">
        <v>22</v>
      </c>
      <c r="I2301" s="0" t="s">
        <v>7691</v>
      </c>
      <c r="J2301" s="0" t="s">
        <v>7692</v>
      </c>
      <c r="K2301" s="0" t="s">
        <v>7693</v>
      </c>
      <c r="L2301" s="0" t="str">
        <f aca="false">HYPERLINK("https://www.ncbi.nlm.nih.gov/nuccore/CP000058.1?report=graph&amp;tracks=[key:gene_model_track,Options:GeneOnly]&amp;mk=720753:720772|offset_22|00cc00,720783:720802|offset_52|444444,720804:720823|offset_73|444444,720829:720848|offset_98|444444&amp;v=720552:721048&amp;c=444444", "offset 22")</f>
        <v>offset 22</v>
      </c>
    </row>
    <row r="2302" customFormat="false" ht="12.8" hidden="false" customHeight="false" outlineLevel="0" collapsed="false">
      <c r="A2302" s="0" t="s">
        <v>12</v>
      </c>
      <c r="B2302" s="0" t="n">
        <v>720782</v>
      </c>
      <c r="C2302" s="0" t="n">
        <v>720802</v>
      </c>
      <c r="D2302" s="0" t="s">
        <v>7690</v>
      </c>
      <c r="E2302" s="0" t="s">
        <v>75</v>
      </c>
      <c r="F2302" s="0" t="s">
        <v>15</v>
      </c>
      <c r="G2302" s="0" t="s">
        <v>20</v>
      </c>
      <c r="H2302" s="0" t="n">
        <v>52</v>
      </c>
      <c r="I2302" s="0" t="s">
        <v>7694</v>
      </c>
      <c r="J2302" s="0" t="s">
        <v>7695</v>
      </c>
      <c r="K2302" s="0" t="s">
        <v>7696</v>
      </c>
      <c r="L2302" s="0" t="str">
        <f aca="false">HYPERLINK("https://www.ncbi.nlm.nih.gov/nuccore/CP000058.1?report=graph&amp;tracks=[key:gene_model_track,Options:GeneOnly]&amp;mk=720753:720772|offset_22|444444,720783:720802|offset_52|00cc00,720804:720823|offset_73|444444,720829:720848|offset_98|444444&amp;v=720552:721048&amp;c=444444", "offset 52")</f>
        <v>offset 52</v>
      </c>
    </row>
    <row r="2303" customFormat="false" ht="12.8" hidden="false" customHeight="false" outlineLevel="0" collapsed="false">
      <c r="A2303" s="0" t="s">
        <v>12</v>
      </c>
      <c r="B2303" s="0" t="n">
        <v>720803</v>
      </c>
      <c r="C2303" s="0" t="n">
        <v>720823</v>
      </c>
      <c r="D2303" s="0" t="s">
        <v>7690</v>
      </c>
      <c r="E2303" s="0" t="s">
        <v>75</v>
      </c>
      <c r="F2303" s="0" t="s">
        <v>15</v>
      </c>
      <c r="G2303" s="0" t="s">
        <v>20</v>
      </c>
      <c r="H2303" s="0" t="n">
        <v>73</v>
      </c>
      <c r="I2303" s="0" t="s">
        <v>7697</v>
      </c>
      <c r="J2303" s="0" t="s">
        <v>7698</v>
      </c>
      <c r="K2303" s="0" t="s">
        <v>7699</v>
      </c>
      <c r="L2303" s="0" t="str">
        <f aca="false">HYPERLINK("https://www.ncbi.nlm.nih.gov/nuccore/CP000058.1?report=graph&amp;tracks=[key:gene_model_track,Options:GeneOnly]&amp;mk=720753:720772|offset_22|444444,720783:720802|offset_52|444444,720804:720823|offset_73|00cc00,720829:720848|offset_98|444444&amp;v=720552:721048&amp;c=444444", "offset 73")</f>
        <v>offset 73</v>
      </c>
    </row>
    <row r="2304" customFormat="false" ht="12.8" hidden="false" customHeight="false" outlineLevel="0" collapsed="false">
      <c r="A2304" s="0" t="s">
        <v>12</v>
      </c>
      <c r="B2304" s="0" t="n">
        <v>720828</v>
      </c>
      <c r="C2304" s="0" t="n">
        <v>720848</v>
      </c>
      <c r="D2304" s="0" t="s">
        <v>7690</v>
      </c>
      <c r="E2304" s="0" t="s">
        <v>75</v>
      </c>
      <c r="F2304" s="0" t="s">
        <v>15</v>
      </c>
      <c r="G2304" s="0" t="s">
        <v>16</v>
      </c>
      <c r="H2304" s="0" t="n">
        <v>98</v>
      </c>
      <c r="I2304" s="0" t="s">
        <v>7700</v>
      </c>
      <c r="J2304" s="0" t="s">
        <v>7701</v>
      </c>
      <c r="K2304" s="0" t="s">
        <v>7702</v>
      </c>
      <c r="L2304" s="0" t="str">
        <f aca="false">HYPERLINK("https://www.ncbi.nlm.nih.gov/nuccore/CP000058.1?report=graph&amp;tracks=[key:gene_model_track,Options:GeneOnly]&amp;mk=720753:720772|offset_22|444444,720783:720802|offset_52|444444,720804:720823|offset_73|444444,720829:720848|offset_98|00cc00&amp;v=720552:721048&amp;c=444444", "offset 98")</f>
        <v>offset 98</v>
      </c>
    </row>
    <row r="2305" customFormat="false" ht="12.8" hidden="false" customHeight="false" outlineLevel="0" collapsed="false">
      <c r="A2305" s="0" t="s">
        <v>12</v>
      </c>
      <c r="B2305" s="0" t="n">
        <v>722115</v>
      </c>
      <c r="C2305" s="0" t="n">
        <v>722135</v>
      </c>
      <c r="D2305" s="0" t="s">
        <v>7703</v>
      </c>
      <c r="E2305" s="0" t="s">
        <v>75</v>
      </c>
      <c r="F2305" s="0" t="s">
        <v>15</v>
      </c>
      <c r="G2305" s="0" t="s">
        <v>20</v>
      </c>
      <c r="H2305" s="0" t="n">
        <v>1</v>
      </c>
      <c r="I2305" s="0" t="s">
        <v>7704</v>
      </c>
      <c r="J2305" s="0" t="s">
        <v>7705</v>
      </c>
      <c r="K2305" s="0" t="s">
        <v>7706</v>
      </c>
      <c r="L2305" s="0" t="str">
        <f aca="false">HYPERLINK("https://www.ncbi.nlm.nih.gov/nuccore/CP000058.1?report=graph&amp;tracks=[key:gene_model_track,Options:GeneOnly]&amp;mk=722116:722135|offset_1|00cc00,722165:722184|offset_50|444444,722187:722206|offset_72|444444,722207:722226|offset_92|444444&amp;v=721915:722426&amp;c=444444", "offset 1")</f>
        <v>offset 1</v>
      </c>
    </row>
    <row r="2306" customFormat="false" ht="12.8" hidden="false" customHeight="false" outlineLevel="0" collapsed="false">
      <c r="A2306" s="0" t="s">
        <v>12</v>
      </c>
      <c r="B2306" s="0" t="n">
        <v>722164</v>
      </c>
      <c r="C2306" s="0" t="n">
        <v>722184</v>
      </c>
      <c r="D2306" s="0" t="s">
        <v>7703</v>
      </c>
      <c r="E2306" s="0" t="s">
        <v>75</v>
      </c>
      <c r="F2306" s="0" t="s">
        <v>15</v>
      </c>
      <c r="G2306" s="0" t="s">
        <v>20</v>
      </c>
      <c r="H2306" s="0" t="n">
        <v>50</v>
      </c>
      <c r="I2306" s="0" t="s">
        <v>7707</v>
      </c>
      <c r="J2306" s="0" t="s">
        <v>7708</v>
      </c>
      <c r="K2306" s="0" t="s">
        <v>7709</v>
      </c>
      <c r="L2306" s="0" t="str">
        <f aca="false">HYPERLINK("https://www.ncbi.nlm.nih.gov/nuccore/CP000058.1?report=graph&amp;tracks=[key:gene_model_track,Options:GeneOnly]&amp;mk=722116:722135|offset_1|444444,722165:722184|offset_50|00cc00,722187:722206|offset_72|444444,722207:722226|offset_92|444444&amp;v=721915:722426&amp;c=444444", "offset 50")</f>
        <v>offset 50</v>
      </c>
    </row>
    <row r="2307" customFormat="false" ht="12.8" hidden="false" customHeight="false" outlineLevel="0" collapsed="false">
      <c r="A2307" s="0" t="s">
        <v>12</v>
      </c>
      <c r="B2307" s="0" t="n">
        <v>722186</v>
      </c>
      <c r="C2307" s="0" t="n">
        <v>722206</v>
      </c>
      <c r="D2307" s="0" t="s">
        <v>7703</v>
      </c>
      <c r="E2307" s="0" t="s">
        <v>75</v>
      </c>
      <c r="F2307" s="0" t="s">
        <v>15</v>
      </c>
      <c r="G2307" s="0" t="s">
        <v>16</v>
      </c>
      <c r="H2307" s="0" t="n">
        <v>72</v>
      </c>
      <c r="I2307" s="0" t="s">
        <v>7710</v>
      </c>
      <c r="J2307" s="0" t="s">
        <v>7711</v>
      </c>
      <c r="K2307" s="0" t="s">
        <v>7712</v>
      </c>
      <c r="L2307" s="0" t="str">
        <f aca="false">HYPERLINK("https://www.ncbi.nlm.nih.gov/nuccore/CP000058.1?report=graph&amp;tracks=[key:gene_model_track,Options:GeneOnly]&amp;mk=722116:722135|offset_1|444444,722165:722184|offset_50|444444,722187:722206|offset_72|00cc00,722207:722226|offset_92|444444&amp;v=721915:722426&amp;c=444444", "offset 72")</f>
        <v>offset 72</v>
      </c>
    </row>
    <row r="2308" customFormat="false" ht="12.8" hidden="false" customHeight="false" outlineLevel="0" collapsed="false">
      <c r="A2308" s="0" t="s">
        <v>12</v>
      </c>
      <c r="B2308" s="0" t="n">
        <v>722206</v>
      </c>
      <c r="C2308" s="0" t="n">
        <v>722226</v>
      </c>
      <c r="D2308" s="0" t="s">
        <v>7703</v>
      </c>
      <c r="E2308" s="0" t="s">
        <v>75</v>
      </c>
      <c r="F2308" s="0" t="s">
        <v>15</v>
      </c>
      <c r="G2308" s="0" t="s">
        <v>36</v>
      </c>
      <c r="H2308" s="0" t="n">
        <v>92</v>
      </c>
      <c r="I2308" s="0" t="s">
        <v>7713</v>
      </c>
      <c r="J2308" s="0" t="s">
        <v>7714</v>
      </c>
      <c r="K2308" s="0" t="s">
        <v>7715</v>
      </c>
      <c r="L2308" s="0" t="str">
        <f aca="false">HYPERLINK("https://www.ncbi.nlm.nih.gov/nuccore/CP000058.1?report=graph&amp;tracks=[key:gene_model_track,Options:GeneOnly]&amp;mk=722116:722135|offset_1|444444,722165:722184|offset_50|444444,722187:722206|offset_72|444444,722207:722226|offset_92|00cc00&amp;v=721915:722426&amp;c=444444", "offset 92")</f>
        <v>offset 92</v>
      </c>
    </row>
    <row r="2309" customFormat="false" ht="12.8" hidden="false" customHeight="false" outlineLevel="0" collapsed="false">
      <c r="A2309" s="0" t="s">
        <v>12</v>
      </c>
      <c r="B2309" s="0" t="n">
        <v>723015</v>
      </c>
      <c r="C2309" s="0" t="n">
        <v>723035</v>
      </c>
      <c r="D2309" s="0" t="s">
        <v>7716</v>
      </c>
      <c r="E2309" s="0" t="s">
        <v>75</v>
      </c>
      <c r="F2309" s="0" t="s">
        <v>15</v>
      </c>
      <c r="G2309" s="0" t="s">
        <v>32</v>
      </c>
      <c r="H2309" s="0" t="n">
        <v>18</v>
      </c>
      <c r="I2309" s="0" t="s">
        <v>7717</v>
      </c>
      <c r="J2309" s="0" t="s">
        <v>7718</v>
      </c>
      <c r="K2309" s="0" t="s">
        <v>7719</v>
      </c>
      <c r="L2309" s="0" t="str">
        <f aca="false">HYPERLINK("https://www.ncbi.nlm.nih.gov/nuccore/CP000058.1?report=graph&amp;tracks=[key:gene_model_track,Options:GeneOnly]&amp;mk=723016:723035|offset_18|00cc00,723056:723075|offset_58|444444,723097:723116|offset_99|444444,723130:723149|offset_132|444444&amp;v=722815:723349&amp;c=444444", "offset 18")</f>
        <v>offset 18</v>
      </c>
    </row>
    <row r="2310" customFormat="false" ht="12.8" hidden="false" customHeight="false" outlineLevel="0" collapsed="false">
      <c r="A2310" s="0" t="s">
        <v>12</v>
      </c>
      <c r="B2310" s="0" t="n">
        <v>723055</v>
      </c>
      <c r="C2310" s="0" t="n">
        <v>723075</v>
      </c>
      <c r="D2310" s="0" t="s">
        <v>7716</v>
      </c>
      <c r="E2310" s="0" t="s">
        <v>75</v>
      </c>
      <c r="F2310" s="0" t="s">
        <v>15</v>
      </c>
      <c r="G2310" s="0" t="s">
        <v>16</v>
      </c>
      <c r="H2310" s="0" t="n">
        <v>58</v>
      </c>
      <c r="I2310" s="0" t="s">
        <v>7720</v>
      </c>
      <c r="J2310" s="0" t="s">
        <v>7721</v>
      </c>
      <c r="K2310" s="0" t="s">
        <v>7722</v>
      </c>
      <c r="L2310" s="0" t="str">
        <f aca="false">HYPERLINK("https://www.ncbi.nlm.nih.gov/nuccore/CP000058.1?report=graph&amp;tracks=[key:gene_model_track,Options:GeneOnly]&amp;mk=723016:723035|offset_18|444444,723056:723075|offset_58|00cc00,723097:723116|offset_99|444444,723130:723149|offset_132|444444&amp;v=722815:723349&amp;c=444444", "offset 58")</f>
        <v>offset 58</v>
      </c>
    </row>
    <row r="2311" customFormat="false" ht="12.8" hidden="false" customHeight="false" outlineLevel="0" collapsed="false">
      <c r="A2311" s="0" t="s">
        <v>12</v>
      </c>
      <c r="B2311" s="0" t="n">
        <v>723096</v>
      </c>
      <c r="C2311" s="0" t="n">
        <v>723116</v>
      </c>
      <c r="D2311" s="0" t="s">
        <v>7716</v>
      </c>
      <c r="E2311" s="0" t="s">
        <v>75</v>
      </c>
      <c r="F2311" s="0" t="s">
        <v>15</v>
      </c>
      <c r="G2311" s="0" t="s">
        <v>32</v>
      </c>
      <c r="H2311" s="0" t="n">
        <v>99</v>
      </c>
      <c r="I2311" s="0" t="s">
        <v>7723</v>
      </c>
      <c r="J2311" s="0" t="s">
        <v>7724</v>
      </c>
      <c r="K2311" s="0" t="s">
        <v>7725</v>
      </c>
      <c r="L2311" s="0" t="str">
        <f aca="false">HYPERLINK("https://www.ncbi.nlm.nih.gov/nuccore/CP000058.1?report=graph&amp;tracks=[key:gene_model_track,Options:GeneOnly]&amp;mk=723016:723035|offset_18|444444,723056:723075|offset_58|444444,723097:723116|offset_99|00cc00,723130:723149|offset_132|444444&amp;v=722815:723349&amp;c=444444", "offset 99")</f>
        <v>offset 99</v>
      </c>
    </row>
    <row r="2312" customFormat="false" ht="12.8" hidden="false" customHeight="false" outlineLevel="0" collapsed="false">
      <c r="A2312" s="0" t="s">
        <v>12</v>
      </c>
      <c r="B2312" s="0" t="n">
        <v>723129</v>
      </c>
      <c r="C2312" s="0" t="n">
        <v>723149</v>
      </c>
      <c r="D2312" s="0" t="s">
        <v>7716</v>
      </c>
      <c r="E2312" s="0" t="s">
        <v>75</v>
      </c>
      <c r="F2312" s="0" t="s">
        <v>15</v>
      </c>
      <c r="G2312" s="0" t="s">
        <v>32</v>
      </c>
      <c r="H2312" s="0" t="n">
        <v>132</v>
      </c>
      <c r="I2312" s="0" t="s">
        <v>7726</v>
      </c>
      <c r="J2312" s="0" t="s">
        <v>7727</v>
      </c>
      <c r="K2312" s="0" t="s">
        <v>7728</v>
      </c>
      <c r="L2312" s="0" t="str">
        <f aca="false">HYPERLINK("https://www.ncbi.nlm.nih.gov/nuccore/CP000058.1?report=graph&amp;tracks=[key:gene_model_track,Options:GeneOnly]&amp;mk=723016:723035|offset_18|444444,723056:723075|offset_58|444444,723097:723116|offset_99|444444,723130:723149|offset_132|00cc00&amp;v=722815:723349&amp;c=444444", "offset 132")</f>
        <v>offset 132</v>
      </c>
    </row>
    <row r="2313" customFormat="false" ht="12.8" hidden="false" customHeight="false" outlineLevel="0" collapsed="false">
      <c r="A2313" s="0" t="s">
        <v>12</v>
      </c>
      <c r="B2313" s="0" t="n">
        <v>725877</v>
      </c>
      <c r="C2313" s="0" t="n">
        <v>725897</v>
      </c>
      <c r="D2313" s="0" t="s">
        <v>7729</v>
      </c>
      <c r="E2313" s="0" t="s">
        <v>75</v>
      </c>
      <c r="F2313" s="0" t="s">
        <v>15</v>
      </c>
      <c r="G2313" s="0" t="s">
        <v>32</v>
      </c>
      <c r="H2313" s="0" t="n">
        <v>0</v>
      </c>
      <c r="I2313" s="0" t="s">
        <v>7730</v>
      </c>
      <c r="J2313" s="0" t="s">
        <v>7731</v>
      </c>
      <c r="K2313" s="0" t="s">
        <v>7732</v>
      </c>
      <c r="L2313" s="0" t="str">
        <f aca="false">HYPERLINK("https://www.ncbi.nlm.nih.gov/nuccore/CP000058.1?report=graph&amp;tracks=[key:gene_model_track,Options:GeneOnly]&amp;mk=725878:725897|offset_0|00cc00,725930:725949|offset_52|444444,725970:725989|offset_92|444444,726000:726019|offset_122|444444&amp;v=725677:726219&amp;c=444444", "offset 0")</f>
        <v>offset 0</v>
      </c>
    </row>
    <row r="2314" customFormat="false" ht="12.8" hidden="false" customHeight="false" outlineLevel="0" collapsed="false">
      <c r="A2314" s="0" t="s">
        <v>12</v>
      </c>
      <c r="B2314" s="0" t="n">
        <v>725929</v>
      </c>
      <c r="C2314" s="0" t="n">
        <v>725949</v>
      </c>
      <c r="D2314" s="0" t="s">
        <v>7729</v>
      </c>
      <c r="E2314" s="0" t="s">
        <v>75</v>
      </c>
      <c r="F2314" s="0" t="s">
        <v>15</v>
      </c>
      <c r="G2314" s="0" t="s">
        <v>32</v>
      </c>
      <c r="H2314" s="0" t="n">
        <v>52</v>
      </c>
      <c r="I2314" s="0" t="s">
        <v>7733</v>
      </c>
      <c r="J2314" s="0" t="s">
        <v>7734</v>
      </c>
      <c r="K2314" s="0" t="s">
        <v>7735</v>
      </c>
      <c r="L2314" s="0" t="str">
        <f aca="false">HYPERLINK("https://www.ncbi.nlm.nih.gov/nuccore/CP000058.1?report=graph&amp;tracks=[key:gene_model_track,Options:GeneOnly]&amp;mk=725878:725897|offset_0|444444,725930:725949|offset_52|00cc00,725970:725989|offset_92|444444,726000:726019|offset_122|444444&amp;v=725677:726219&amp;c=444444", "offset 52")</f>
        <v>offset 52</v>
      </c>
    </row>
    <row r="2315" customFormat="false" ht="12.8" hidden="false" customHeight="false" outlineLevel="0" collapsed="false">
      <c r="A2315" s="0" t="s">
        <v>12</v>
      </c>
      <c r="B2315" s="0" t="n">
        <v>725969</v>
      </c>
      <c r="C2315" s="0" t="n">
        <v>725989</v>
      </c>
      <c r="D2315" s="0" t="s">
        <v>7729</v>
      </c>
      <c r="E2315" s="0" t="s">
        <v>75</v>
      </c>
      <c r="F2315" s="0" t="s">
        <v>15</v>
      </c>
      <c r="G2315" s="0" t="s">
        <v>16</v>
      </c>
      <c r="H2315" s="0" t="n">
        <v>92</v>
      </c>
      <c r="I2315" s="0" t="s">
        <v>7736</v>
      </c>
      <c r="J2315" s="0" t="s">
        <v>7737</v>
      </c>
      <c r="K2315" s="0" t="s">
        <v>7738</v>
      </c>
      <c r="L2315" s="0" t="str">
        <f aca="false">HYPERLINK("https://www.ncbi.nlm.nih.gov/nuccore/CP000058.1?report=graph&amp;tracks=[key:gene_model_track,Options:GeneOnly]&amp;mk=725878:725897|offset_0|444444,725930:725949|offset_52|444444,725970:725989|offset_92|00cc00,726000:726019|offset_122|444444&amp;v=725677:726219&amp;c=444444", "offset 92")</f>
        <v>offset 92</v>
      </c>
    </row>
    <row r="2316" customFormat="false" ht="12.8" hidden="false" customHeight="false" outlineLevel="0" collapsed="false">
      <c r="A2316" s="0" t="s">
        <v>12</v>
      </c>
      <c r="B2316" s="0" t="n">
        <v>725999</v>
      </c>
      <c r="C2316" s="0" t="n">
        <v>726019</v>
      </c>
      <c r="D2316" s="0" t="s">
        <v>7729</v>
      </c>
      <c r="E2316" s="0" t="s">
        <v>75</v>
      </c>
      <c r="F2316" s="0" t="s">
        <v>15</v>
      </c>
      <c r="G2316" s="0" t="s">
        <v>20</v>
      </c>
      <c r="H2316" s="0" t="n">
        <v>122</v>
      </c>
      <c r="I2316" s="0" t="s">
        <v>7739</v>
      </c>
      <c r="J2316" s="0" t="s">
        <v>7740</v>
      </c>
      <c r="K2316" s="0" t="s">
        <v>7741</v>
      </c>
      <c r="L2316" s="0" t="str">
        <f aca="false">HYPERLINK("https://www.ncbi.nlm.nih.gov/nuccore/CP000058.1?report=graph&amp;tracks=[key:gene_model_track,Options:GeneOnly]&amp;mk=725878:725897|offset_0|444444,725930:725949|offset_52|444444,725970:725989|offset_92|444444,726000:726019|offset_122|00cc00&amp;v=725677:726219&amp;c=444444", "offset 122")</f>
        <v>offset 122</v>
      </c>
    </row>
    <row r="2317" customFormat="false" ht="12.8" hidden="false" customHeight="false" outlineLevel="0" collapsed="false">
      <c r="A2317" s="0" t="s">
        <v>12</v>
      </c>
      <c r="B2317" s="0" t="n">
        <v>726929</v>
      </c>
      <c r="C2317" s="0" t="n">
        <v>726949</v>
      </c>
      <c r="D2317" s="0" t="s">
        <v>7742</v>
      </c>
      <c r="E2317" s="0" t="s">
        <v>75</v>
      </c>
      <c r="F2317" s="0" t="s">
        <v>90</v>
      </c>
      <c r="G2317" s="0" t="s">
        <v>32</v>
      </c>
      <c r="H2317" s="0" t="n">
        <v>43</v>
      </c>
      <c r="I2317" s="0" t="s">
        <v>7743</v>
      </c>
      <c r="J2317" s="0" t="s">
        <v>7744</v>
      </c>
      <c r="K2317" s="0" t="s">
        <v>7745</v>
      </c>
      <c r="L2317" s="0" t="str">
        <f aca="false">HYPERLINK("https://www.ncbi.nlm.nih.gov/nuccore/CP000058.1?report=graph&amp;tracks=[key:gene_model_track,Options:GeneOnly]&amp;mk=726930:726949|offset_43|00cc00,726908:726927|offset_65|444444,726874:726893|offset_99|444444&amp;v=726729:727093&amp;c=444444", "offset 43")</f>
        <v>offset 43</v>
      </c>
    </row>
    <row r="2318" customFormat="false" ht="12.8" hidden="false" customHeight="false" outlineLevel="0" collapsed="false">
      <c r="A2318" s="0" t="s">
        <v>12</v>
      </c>
      <c r="B2318" s="0" t="n">
        <v>726907</v>
      </c>
      <c r="C2318" s="0" t="n">
        <v>726927</v>
      </c>
      <c r="D2318" s="0" t="s">
        <v>7742</v>
      </c>
      <c r="E2318" s="0" t="s">
        <v>75</v>
      </c>
      <c r="F2318" s="0" t="s">
        <v>90</v>
      </c>
      <c r="G2318" s="0" t="s">
        <v>20</v>
      </c>
      <c r="H2318" s="0" t="n">
        <v>65</v>
      </c>
      <c r="I2318" s="0" t="s">
        <v>7746</v>
      </c>
      <c r="J2318" s="0" t="s">
        <v>7747</v>
      </c>
      <c r="K2318" s="0" t="s">
        <v>7748</v>
      </c>
      <c r="L2318" s="0" t="str">
        <f aca="false">HYPERLINK("https://www.ncbi.nlm.nih.gov/nuccore/CP000058.1?report=graph&amp;tracks=[key:gene_model_track,Options:GeneOnly]&amp;mk=726930:726949|offset_43|444444,726908:726927|offset_65|00cc00,726874:726893|offset_99|444444&amp;v=726729:727093&amp;c=444444", "offset 65")</f>
        <v>offset 65</v>
      </c>
    </row>
    <row r="2319" customFormat="false" ht="12.8" hidden="false" customHeight="false" outlineLevel="0" collapsed="false">
      <c r="A2319" s="0" t="s">
        <v>12</v>
      </c>
      <c r="B2319" s="0" t="n">
        <v>726873</v>
      </c>
      <c r="C2319" s="0" t="n">
        <v>726893</v>
      </c>
      <c r="D2319" s="0" t="s">
        <v>7742</v>
      </c>
      <c r="E2319" s="0" t="s">
        <v>75</v>
      </c>
      <c r="F2319" s="0" t="s">
        <v>90</v>
      </c>
      <c r="G2319" s="0" t="s">
        <v>32</v>
      </c>
      <c r="H2319" s="0" t="n">
        <v>99</v>
      </c>
      <c r="I2319" s="0" t="s">
        <v>7749</v>
      </c>
      <c r="J2319" s="0" t="s">
        <v>7750</v>
      </c>
      <c r="K2319" s="0" t="s">
        <v>7751</v>
      </c>
      <c r="L2319" s="0" t="str">
        <f aca="false">HYPERLINK("https://www.ncbi.nlm.nih.gov/nuccore/CP000058.1?report=graph&amp;tracks=[key:gene_model_track,Options:GeneOnly]&amp;mk=726930:726949|offset_43|444444,726908:726927|offset_65|444444,726874:726893|offset_99|00cc00&amp;v=726729:727093&amp;c=444444", "offset 99")</f>
        <v>offset 99</v>
      </c>
    </row>
    <row r="2320" customFormat="false" ht="12.8" hidden="false" customHeight="false" outlineLevel="0" collapsed="false">
      <c r="A2320" s="0" t="s">
        <v>12</v>
      </c>
      <c r="B2320" s="0" t="n">
        <v>727260</v>
      </c>
      <c r="C2320" s="0" t="n">
        <v>727280</v>
      </c>
      <c r="D2320" s="0" t="s">
        <v>7752</v>
      </c>
      <c r="E2320" s="0" t="s">
        <v>75</v>
      </c>
      <c r="F2320" s="0" t="s">
        <v>15</v>
      </c>
      <c r="G2320" s="0" t="s">
        <v>36</v>
      </c>
      <c r="H2320" s="0" t="n">
        <v>32</v>
      </c>
      <c r="I2320" s="0" t="s">
        <v>7753</v>
      </c>
      <c r="J2320" s="0" t="s">
        <v>7754</v>
      </c>
      <c r="K2320" s="0" t="s">
        <v>7755</v>
      </c>
      <c r="L2320" s="0" t="str">
        <f aca="false">HYPERLINK("https://www.ncbi.nlm.nih.gov/nuccore/CP000058.1?report=graph&amp;tracks=[key:gene_model_track,Options:GeneOnly]&amp;mk=727261:727280|offset_32|00cc00,727296:727315|offset_67|444444,727332:727351|offset_103|444444,727352:727371|offset_123|444444&amp;v=727060:727571&amp;c=444444", "offset 32")</f>
        <v>offset 32</v>
      </c>
    </row>
    <row r="2321" customFormat="false" ht="12.8" hidden="false" customHeight="false" outlineLevel="0" collapsed="false">
      <c r="A2321" s="0" t="s">
        <v>12</v>
      </c>
      <c r="B2321" s="0" t="n">
        <v>727295</v>
      </c>
      <c r="C2321" s="0" t="n">
        <v>727315</v>
      </c>
      <c r="D2321" s="0" t="s">
        <v>7752</v>
      </c>
      <c r="E2321" s="0" t="s">
        <v>75</v>
      </c>
      <c r="F2321" s="0" t="s">
        <v>15</v>
      </c>
      <c r="G2321" s="0" t="s">
        <v>16</v>
      </c>
      <c r="H2321" s="0" t="n">
        <v>67</v>
      </c>
      <c r="I2321" s="0" t="s">
        <v>7756</v>
      </c>
      <c r="J2321" s="0" t="s">
        <v>7757</v>
      </c>
      <c r="K2321" s="0" t="s">
        <v>7758</v>
      </c>
      <c r="L2321" s="0" t="str">
        <f aca="false">HYPERLINK("https://www.ncbi.nlm.nih.gov/nuccore/CP000058.1?report=graph&amp;tracks=[key:gene_model_track,Options:GeneOnly]&amp;mk=727261:727280|offset_32|444444,727296:727315|offset_67|00cc00,727332:727351|offset_103|444444,727352:727371|offset_123|444444&amp;v=727060:727571&amp;c=444444", "offset 67")</f>
        <v>offset 67</v>
      </c>
    </row>
    <row r="2322" customFormat="false" ht="12.8" hidden="false" customHeight="false" outlineLevel="0" collapsed="false">
      <c r="A2322" s="0" t="s">
        <v>12</v>
      </c>
      <c r="B2322" s="0" t="n">
        <v>727331</v>
      </c>
      <c r="C2322" s="0" t="n">
        <v>727351</v>
      </c>
      <c r="D2322" s="0" t="s">
        <v>7752</v>
      </c>
      <c r="E2322" s="0" t="s">
        <v>75</v>
      </c>
      <c r="F2322" s="0" t="s">
        <v>15</v>
      </c>
      <c r="G2322" s="0" t="s">
        <v>32</v>
      </c>
      <c r="H2322" s="0" t="n">
        <v>103</v>
      </c>
      <c r="I2322" s="0" t="s">
        <v>7759</v>
      </c>
      <c r="J2322" s="0" t="s">
        <v>7760</v>
      </c>
      <c r="K2322" s="0" t="s">
        <v>7761</v>
      </c>
      <c r="L2322" s="0" t="str">
        <f aca="false">HYPERLINK("https://www.ncbi.nlm.nih.gov/nuccore/CP000058.1?report=graph&amp;tracks=[key:gene_model_track,Options:GeneOnly]&amp;mk=727261:727280|offset_32|444444,727296:727315|offset_67|444444,727332:727351|offset_103|00cc00,727352:727371|offset_123|444444&amp;v=727060:727571&amp;c=444444", "offset 103")</f>
        <v>offset 103</v>
      </c>
    </row>
    <row r="2323" customFormat="false" ht="12.8" hidden="false" customHeight="false" outlineLevel="0" collapsed="false">
      <c r="A2323" s="0" t="s">
        <v>12</v>
      </c>
      <c r="B2323" s="0" t="n">
        <v>727351</v>
      </c>
      <c r="C2323" s="0" t="n">
        <v>727371</v>
      </c>
      <c r="D2323" s="0" t="s">
        <v>7752</v>
      </c>
      <c r="E2323" s="0" t="s">
        <v>75</v>
      </c>
      <c r="F2323" s="0" t="s">
        <v>15</v>
      </c>
      <c r="G2323" s="0" t="s">
        <v>36</v>
      </c>
      <c r="H2323" s="0" t="n">
        <v>123</v>
      </c>
      <c r="I2323" s="0" t="s">
        <v>7762</v>
      </c>
      <c r="J2323" s="0" t="s">
        <v>7763</v>
      </c>
      <c r="K2323" s="0" t="s">
        <v>7764</v>
      </c>
      <c r="L2323" s="0" t="str">
        <f aca="false">HYPERLINK("https://www.ncbi.nlm.nih.gov/nuccore/CP000058.1?report=graph&amp;tracks=[key:gene_model_track,Options:GeneOnly]&amp;mk=727261:727280|offset_32|444444,727296:727315|offset_67|444444,727332:727351|offset_103|444444,727352:727371|offset_123|00cc00&amp;v=727060:727571&amp;c=444444", "offset 123")</f>
        <v>offset 123</v>
      </c>
    </row>
    <row r="2324" customFormat="false" ht="12.8" hidden="false" customHeight="false" outlineLevel="0" collapsed="false">
      <c r="A2324" s="0" t="s">
        <v>12</v>
      </c>
      <c r="B2324" s="0" t="n">
        <v>730155</v>
      </c>
      <c r="C2324" s="0" t="n">
        <v>730175</v>
      </c>
      <c r="D2324" s="0" t="s">
        <v>7765</v>
      </c>
      <c r="E2324" s="0" t="s">
        <v>75</v>
      </c>
      <c r="F2324" s="0" t="s">
        <v>90</v>
      </c>
      <c r="G2324" s="0" t="s">
        <v>20</v>
      </c>
      <c r="H2324" s="0" t="n">
        <v>6</v>
      </c>
      <c r="I2324" s="0" t="s">
        <v>7766</v>
      </c>
      <c r="J2324" s="0" t="s">
        <v>7767</v>
      </c>
      <c r="K2324" s="0" t="s">
        <v>7768</v>
      </c>
      <c r="L2324" s="0" t="str">
        <f aca="false">HYPERLINK("https://www.ncbi.nlm.nih.gov/nuccore/CP000058.1?report=graph&amp;tracks=[key:gene_model_track,Options:GeneOnly]&amp;mk=730156:730175|offset_6|00cc00,730119:730138|offset_43|444444,730098:730117|offset_64|444444,730050:730069|offset_112|444444&amp;v=729955:730269&amp;c=444444", "offset 6")</f>
        <v>offset 6</v>
      </c>
    </row>
    <row r="2325" customFormat="false" ht="12.8" hidden="false" customHeight="false" outlineLevel="0" collapsed="false">
      <c r="A2325" s="0" t="s">
        <v>12</v>
      </c>
      <c r="B2325" s="0" t="n">
        <v>730118</v>
      </c>
      <c r="C2325" s="0" t="n">
        <v>730138</v>
      </c>
      <c r="D2325" s="0" t="s">
        <v>7765</v>
      </c>
      <c r="E2325" s="0" t="s">
        <v>75</v>
      </c>
      <c r="F2325" s="0" t="s">
        <v>90</v>
      </c>
      <c r="G2325" s="0" t="s">
        <v>32</v>
      </c>
      <c r="H2325" s="0" t="n">
        <v>43</v>
      </c>
      <c r="I2325" s="0" t="s">
        <v>7769</v>
      </c>
      <c r="J2325" s="0" t="s">
        <v>7770</v>
      </c>
      <c r="K2325" s="0" t="s">
        <v>7771</v>
      </c>
      <c r="L2325" s="0" t="str">
        <f aca="false">HYPERLINK("https://www.ncbi.nlm.nih.gov/nuccore/CP000058.1?report=graph&amp;tracks=[key:gene_model_track,Options:GeneOnly]&amp;mk=730156:730175|offset_6|444444,730119:730138|offset_43|00cc00,730098:730117|offset_64|444444,730050:730069|offset_112|444444&amp;v=729955:730269&amp;c=444444", "offset 43")</f>
        <v>offset 43</v>
      </c>
    </row>
    <row r="2326" customFormat="false" ht="12.8" hidden="false" customHeight="false" outlineLevel="0" collapsed="false">
      <c r="A2326" s="0" t="s">
        <v>12</v>
      </c>
      <c r="B2326" s="0" t="n">
        <v>730097</v>
      </c>
      <c r="C2326" s="0" t="n">
        <v>730117</v>
      </c>
      <c r="D2326" s="0" t="s">
        <v>7765</v>
      </c>
      <c r="E2326" s="0" t="s">
        <v>75</v>
      </c>
      <c r="F2326" s="0" t="s">
        <v>90</v>
      </c>
      <c r="G2326" s="0" t="s">
        <v>20</v>
      </c>
      <c r="H2326" s="0" t="n">
        <v>64</v>
      </c>
      <c r="I2326" s="0" t="s">
        <v>7772</v>
      </c>
      <c r="J2326" s="0" t="s">
        <v>7773</v>
      </c>
      <c r="K2326" s="0" t="s">
        <v>7774</v>
      </c>
      <c r="L2326" s="0" t="str">
        <f aca="false">HYPERLINK("https://www.ncbi.nlm.nih.gov/nuccore/CP000058.1?report=graph&amp;tracks=[key:gene_model_track,Options:GeneOnly]&amp;mk=730156:730175|offset_6|444444,730119:730138|offset_43|444444,730098:730117|offset_64|00cc00,730050:730069|offset_112|444444&amp;v=729955:730269&amp;c=444444", "offset 64")</f>
        <v>offset 64</v>
      </c>
    </row>
    <row r="2327" customFormat="false" ht="12.8" hidden="false" customHeight="false" outlineLevel="0" collapsed="false">
      <c r="A2327" s="0" t="s">
        <v>12</v>
      </c>
      <c r="B2327" s="0" t="n">
        <v>730049</v>
      </c>
      <c r="C2327" s="0" t="n">
        <v>730069</v>
      </c>
      <c r="D2327" s="0" t="s">
        <v>7765</v>
      </c>
      <c r="E2327" s="0" t="s">
        <v>75</v>
      </c>
      <c r="F2327" s="0" t="s">
        <v>90</v>
      </c>
      <c r="G2327" s="0" t="s">
        <v>32</v>
      </c>
      <c r="H2327" s="0" t="n">
        <v>112</v>
      </c>
      <c r="I2327" s="0" t="s">
        <v>7775</v>
      </c>
      <c r="J2327" s="0" t="s">
        <v>7776</v>
      </c>
      <c r="K2327" s="0" t="s">
        <v>7777</v>
      </c>
      <c r="L2327" s="0" t="str">
        <f aca="false">HYPERLINK("https://www.ncbi.nlm.nih.gov/nuccore/CP000058.1?report=graph&amp;tracks=[key:gene_model_track,Options:GeneOnly]&amp;mk=730156:730175|offset_6|444444,730119:730138|offset_43|444444,730098:730117|offset_64|444444,730050:730069|offset_112|00cc00&amp;v=729955:730269&amp;c=444444", "offset 112")</f>
        <v>offset 112</v>
      </c>
    </row>
    <row r="2328" customFormat="false" ht="12.8" hidden="false" customHeight="false" outlineLevel="0" collapsed="false">
      <c r="A2328" s="0" t="s">
        <v>12</v>
      </c>
      <c r="B2328" s="0" t="n">
        <v>734593</v>
      </c>
      <c r="C2328" s="0" t="n">
        <v>734613</v>
      </c>
      <c r="D2328" s="0" t="s">
        <v>7778</v>
      </c>
      <c r="E2328" s="0" t="s">
        <v>7779</v>
      </c>
      <c r="F2328" s="0" t="s">
        <v>90</v>
      </c>
      <c r="G2328" s="0" t="s">
        <v>16</v>
      </c>
      <c r="H2328" s="0" t="n">
        <v>7</v>
      </c>
      <c r="I2328" s="0" t="s">
        <v>7780</v>
      </c>
      <c r="J2328" s="0" t="s">
        <v>7781</v>
      </c>
      <c r="K2328" s="0" t="s">
        <v>7782</v>
      </c>
      <c r="L2328" s="0" t="str">
        <f aca="false">HYPERLINK("https://www.ncbi.nlm.nih.gov/nuccore/CP000058.1?report=graph&amp;tracks=[key:gene_model_track,Options:GeneOnly]&amp;mk=734594:734613|offset_7|00cc00,734552:734571|offset_49|444444,734506:734525|offset_95|444444,734481:734500|offset_120|444444&amp;v=734393:734700&amp;c=444444", "offset 7")</f>
        <v>offset 7</v>
      </c>
    </row>
    <row r="2329" customFormat="false" ht="12.8" hidden="false" customHeight="false" outlineLevel="0" collapsed="false">
      <c r="A2329" s="0" t="s">
        <v>12</v>
      </c>
      <c r="B2329" s="0" t="n">
        <v>734551</v>
      </c>
      <c r="C2329" s="0" t="n">
        <v>734571</v>
      </c>
      <c r="D2329" s="0" t="s">
        <v>7778</v>
      </c>
      <c r="E2329" s="0" t="s">
        <v>7779</v>
      </c>
      <c r="F2329" s="0" t="s">
        <v>90</v>
      </c>
      <c r="G2329" s="0" t="s">
        <v>36</v>
      </c>
      <c r="H2329" s="0" t="n">
        <v>49</v>
      </c>
      <c r="I2329" s="0" t="s">
        <v>7783</v>
      </c>
      <c r="J2329" s="0" t="s">
        <v>7784</v>
      </c>
      <c r="K2329" s="0" t="s">
        <v>7785</v>
      </c>
      <c r="L2329" s="0" t="str">
        <f aca="false">HYPERLINK("https://www.ncbi.nlm.nih.gov/nuccore/CP000058.1?report=graph&amp;tracks=[key:gene_model_track,Options:GeneOnly]&amp;mk=734594:734613|offset_7|444444,734552:734571|offset_49|00cc00,734506:734525|offset_95|444444,734481:734500|offset_120|444444&amp;v=734393:734700&amp;c=444444", "offset 49")</f>
        <v>offset 49</v>
      </c>
    </row>
    <row r="2330" customFormat="false" ht="12.8" hidden="false" customHeight="false" outlineLevel="0" collapsed="false">
      <c r="A2330" s="0" t="s">
        <v>12</v>
      </c>
      <c r="B2330" s="0" t="n">
        <v>734505</v>
      </c>
      <c r="C2330" s="0" t="n">
        <v>734525</v>
      </c>
      <c r="D2330" s="0" t="s">
        <v>7778</v>
      </c>
      <c r="E2330" s="0" t="s">
        <v>7779</v>
      </c>
      <c r="F2330" s="0" t="s">
        <v>90</v>
      </c>
      <c r="G2330" s="0" t="s">
        <v>32</v>
      </c>
      <c r="H2330" s="0" t="n">
        <v>95</v>
      </c>
      <c r="I2330" s="0" t="s">
        <v>7786</v>
      </c>
      <c r="J2330" s="0" t="s">
        <v>7787</v>
      </c>
      <c r="K2330" s="0" t="s">
        <v>7788</v>
      </c>
      <c r="L2330" s="0" t="str">
        <f aca="false">HYPERLINK("https://www.ncbi.nlm.nih.gov/nuccore/CP000058.1?report=graph&amp;tracks=[key:gene_model_track,Options:GeneOnly]&amp;mk=734594:734613|offset_7|444444,734552:734571|offset_49|444444,734506:734525|offset_95|00cc00,734481:734500|offset_120|444444&amp;v=734393:734700&amp;c=444444", "offset 95")</f>
        <v>offset 95</v>
      </c>
    </row>
    <row r="2331" customFormat="false" ht="12.8" hidden="false" customHeight="false" outlineLevel="0" collapsed="false">
      <c r="A2331" s="0" t="s">
        <v>12</v>
      </c>
      <c r="B2331" s="0" t="n">
        <v>734480</v>
      </c>
      <c r="C2331" s="0" t="n">
        <v>734500</v>
      </c>
      <c r="D2331" s="0" t="s">
        <v>7778</v>
      </c>
      <c r="E2331" s="0" t="s">
        <v>7779</v>
      </c>
      <c r="F2331" s="0" t="s">
        <v>90</v>
      </c>
      <c r="G2331" s="0" t="s">
        <v>36</v>
      </c>
      <c r="H2331" s="0" t="n">
        <v>120</v>
      </c>
      <c r="I2331" s="0" t="s">
        <v>7789</v>
      </c>
      <c r="J2331" s="0" t="s">
        <v>7790</v>
      </c>
      <c r="K2331" s="0" t="s">
        <v>7791</v>
      </c>
      <c r="L2331" s="0" t="str">
        <f aca="false">HYPERLINK("https://www.ncbi.nlm.nih.gov/nuccore/CP000058.1?report=graph&amp;tracks=[key:gene_model_track,Options:GeneOnly]&amp;mk=734594:734613|offset_7|444444,734552:734571|offset_49|444444,734506:734525|offset_95|444444,734481:734500|offset_120|00cc00&amp;v=734393:734700&amp;c=444444", "offset 120")</f>
        <v>offset 120</v>
      </c>
    </row>
    <row r="2332" customFormat="false" ht="12.8" hidden="false" customHeight="false" outlineLevel="0" collapsed="false">
      <c r="A2332" s="0" t="s">
        <v>12</v>
      </c>
      <c r="B2332" s="0" t="n">
        <v>736622</v>
      </c>
      <c r="C2332" s="0" t="n">
        <v>736642</v>
      </c>
      <c r="D2332" s="0" t="s">
        <v>7792</v>
      </c>
      <c r="E2332" s="0" t="s">
        <v>7793</v>
      </c>
      <c r="F2332" s="0" t="s">
        <v>90</v>
      </c>
      <c r="G2332" s="0" t="s">
        <v>32</v>
      </c>
      <c r="H2332" s="0" t="n">
        <v>1</v>
      </c>
      <c r="I2332" s="0" t="s">
        <v>7794</v>
      </c>
      <c r="J2332" s="0" t="s">
        <v>7795</v>
      </c>
      <c r="K2332" s="0" t="s">
        <v>7796</v>
      </c>
      <c r="L2332" s="0" t="str">
        <f aca="false">HYPERLINK("https://www.ncbi.nlm.nih.gov/nuccore/CP000058.1?report=graph&amp;tracks=[key:gene_model_track,Options:GeneOnly]&amp;mk=736623:736642|offset_1|00cc00,736586:736605|offset_38|444444,736527:736546|offset_97|444444,736502:736521|offset_122|444444&amp;v=736422:736721&amp;c=444444", "offset 1")</f>
        <v>offset 1</v>
      </c>
    </row>
    <row r="2333" customFormat="false" ht="12.8" hidden="false" customHeight="false" outlineLevel="0" collapsed="false">
      <c r="A2333" s="0" t="s">
        <v>12</v>
      </c>
      <c r="B2333" s="0" t="n">
        <v>736585</v>
      </c>
      <c r="C2333" s="0" t="n">
        <v>736605</v>
      </c>
      <c r="D2333" s="0" t="s">
        <v>7792</v>
      </c>
      <c r="E2333" s="0" t="s">
        <v>7793</v>
      </c>
      <c r="F2333" s="0" t="s">
        <v>90</v>
      </c>
      <c r="G2333" s="0" t="s">
        <v>20</v>
      </c>
      <c r="H2333" s="0" t="n">
        <v>38</v>
      </c>
      <c r="I2333" s="0" t="s">
        <v>7797</v>
      </c>
      <c r="J2333" s="0" t="s">
        <v>7798</v>
      </c>
      <c r="K2333" s="0" t="s">
        <v>7799</v>
      </c>
      <c r="L2333" s="0" t="str">
        <f aca="false">HYPERLINK("https://www.ncbi.nlm.nih.gov/nuccore/CP000058.1?report=graph&amp;tracks=[key:gene_model_track,Options:GeneOnly]&amp;mk=736623:736642|offset_1|444444,736586:736605|offset_38|00cc00,736527:736546|offset_97|444444,736502:736521|offset_122|444444&amp;v=736422:736721&amp;c=444444", "offset 38")</f>
        <v>offset 38</v>
      </c>
    </row>
    <row r="2334" customFormat="false" ht="12.8" hidden="false" customHeight="false" outlineLevel="0" collapsed="false">
      <c r="A2334" s="0" t="s">
        <v>12</v>
      </c>
      <c r="B2334" s="0" t="n">
        <v>736526</v>
      </c>
      <c r="C2334" s="0" t="n">
        <v>736546</v>
      </c>
      <c r="D2334" s="0" t="s">
        <v>7792</v>
      </c>
      <c r="E2334" s="0" t="s">
        <v>7793</v>
      </c>
      <c r="F2334" s="0" t="s">
        <v>90</v>
      </c>
      <c r="G2334" s="0" t="s">
        <v>16</v>
      </c>
      <c r="H2334" s="0" t="n">
        <v>97</v>
      </c>
      <c r="I2334" s="0" t="s">
        <v>7800</v>
      </c>
      <c r="J2334" s="0" t="s">
        <v>7801</v>
      </c>
      <c r="K2334" s="0" t="s">
        <v>7802</v>
      </c>
      <c r="L2334" s="0" t="str">
        <f aca="false">HYPERLINK("https://www.ncbi.nlm.nih.gov/nuccore/CP000058.1?report=graph&amp;tracks=[key:gene_model_track,Options:GeneOnly]&amp;mk=736623:736642|offset_1|444444,736586:736605|offset_38|444444,736527:736546|offset_97|00cc00,736502:736521|offset_122|444444&amp;v=736422:736721&amp;c=444444", "offset 97")</f>
        <v>offset 97</v>
      </c>
    </row>
    <row r="2335" customFormat="false" ht="12.8" hidden="false" customHeight="false" outlineLevel="0" collapsed="false">
      <c r="A2335" s="0" t="s">
        <v>12</v>
      </c>
      <c r="B2335" s="0" t="n">
        <v>736501</v>
      </c>
      <c r="C2335" s="0" t="n">
        <v>736521</v>
      </c>
      <c r="D2335" s="0" t="s">
        <v>7792</v>
      </c>
      <c r="E2335" s="0" t="s">
        <v>7793</v>
      </c>
      <c r="F2335" s="0" t="s">
        <v>90</v>
      </c>
      <c r="G2335" s="0" t="s">
        <v>36</v>
      </c>
      <c r="H2335" s="0" t="n">
        <v>122</v>
      </c>
      <c r="I2335" s="0" t="s">
        <v>7803</v>
      </c>
      <c r="J2335" s="0" t="s">
        <v>7804</v>
      </c>
      <c r="K2335" s="0" t="s">
        <v>7805</v>
      </c>
      <c r="L2335" s="0" t="str">
        <f aca="false">HYPERLINK("https://www.ncbi.nlm.nih.gov/nuccore/CP000058.1?report=graph&amp;tracks=[key:gene_model_track,Options:GeneOnly]&amp;mk=736623:736642|offset_1|444444,736586:736605|offset_38|444444,736527:736546|offset_97|444444,736502:736521|offset_122|00cc00&amp;v=736422:736721&amp;c=444444", "offset 122")</f>
        <v>offset 122</v>
      </c>
    </row>
    <row r="2336" customFormat="false" ht="12.8" hidden="false" customHeight="false" outlineLevel="0" collapsed="false">
      <c r="A2336" s="0" t="s">
        <v>12</v>
      </c>
      <c r="B2336" s="0" t="n">
        <v>737342</v>
      </c>
      <c r="C2336" s="0" t="n">
        <v>737362</v>
      </c>
      <c r="D2336" s="0" t="s">
        <v>7806</v>
      </c>
      <c r="E2336" s="0" t="s">
        <v>7807</v>
      </c>
      <c r="F2336" s="0" t="s">
        <v>90</v>
      </c>
      <c r="G2336" s="0" t="s">
        <v>32</v>
      </c>
      <c r="H2336" s="0" t="n">
        <v>6</v>
      </c>
      <c r="I2336" s="0" t="s">
        <v>7808</v>
      </c>
      <c r="J2336" s="0" t="s">
        <v>7809</v>
      </c>
      <c r="K2336" s="0" t="s">
        <v>7810</v>
      </c>
      <c r="L2336" s="0" t="str">
        <f aca="false">HYPERLINK("https://www.ncbi.nlm.nih.gov/nuccore/CP000058.1?report=graph&amp;tracks=[key:gene_model_track,Options:GeneOnly]&amp;mk=737343:737362|offset_6|00cc00,737316:737335|offset_33|444444,737282:737301|offset_67|444444,737245:737264|offset_104|444444&amp;v=737142:737464&amp;c=444444", "offset 6")</f>
        <v>offset 6</v>
      </c>
    </row>
    <row r="2337" customFormat="false" ht="12.8" hidden="false" customHeight="false" outlineLevel="0" collapsed="false">
      <c r="A2337" s="0" t="s">
        <v>12</v>
      </c>
      <c r="B2337" s="0" t="n">
        <v>737315</v>
      </c>
      <c r="C2337" s="0" t="n">
        <v>737335</v>
      </c>
      <c r="D2337" s="0" t="s">
        <v>7806</v>
      </c>
      <c r="E2337" s="0" t="s">
        <v>7807</v>
      </c>
      <c r="F2337" s="0" t="s">
        <v>90</v>
      </c>
      <c r="G2337" s="0" t="s">
        <v>36</v>
      </c>
      <c r="H2337" s="0" t="n">
        <v>33</v>
      </c>
      <c r="I2337" s="0" t="s">
        <v>7811</v>
      </c>
      <c r="J2337" s="0" t="s">
        <v>7812</v>
      </c>
      <c r="K2337" s="0" t="s">
        <v>7813</v>
      </c>
      <c r="L2337" s="0" t="str">
        <f aca="false">HYPERLINK("https://www.ncbi.nlm.nih.gov/nuccore/CP000058.1?report=graph&amp;tracks=[key:gene_model_track,Options:GeneOnly]&amp;mk=737343:737362|offset_6|444444,737316:737335|offset_33|00cc00,737282:737301|offset_67|444444,737245:737264|offset_104|444444&amp;v=737142:737464&amp;c=444444", "offset 33")</f>
        <v>offset 33</v>
      </c>
    </row>
    <row r="2338" customFormat="false" ht="12.8" hidden="false" customHeight="false" outlineLevel="0" collapsed="false">
      <c r="A2338" s="0" t="s">
        <v>12</v>
      </c>
      <c r="B2338" s="0" t="n">
        <v>737281</v>
      </c>
      <c r="C2338" s="0" t="n">
        <v>737301</v>
      </c>
      <c r="D2338" s="0" t="s">
        <v>7806</v>
      </c>
      <c r="E2338" s="0" t="s">
        <v>7807</v>
      </c>
      <c r="F2338" s="0" t="s">
        <v>90</v>
      </c>
      <c r="G2338" s="0" t="s">
        <v>20</v>
      </c>
      <c r="H2338" s="0" t="n">
        <v>67</v>
      </c>
      <c r="I2338" s="0" t="s">
        <v>7814</v>
      </c>
      <c r="J2338" s="0" t="s">
        <v>7815</v>
      </c>
      <c r="K2338" s="0" t="s">
        <v>7816</v>
      </c>
      <c r="L2338" s="0" t="str">
        <f aca="false">HYPERLINK("https://www.ncbi.nlm.nih.gov/nuccore/CP000058.1?report=graph&amp;tracks=[key:gene_model_track,Options:GeneOnly]&amp;mk=737343:737362|offset_6|444444,737316:737335|offset_33|444444,737282:737301|offset_67|00cc00,737245:737264|offset_104|444444&amp;v=737142:737464&amp;c=444444", "offset 67")</f>
        <v>offset 67</v>
      </c>
    </row>
    <row r="2339" customFormat="false" ht="12.8" hidden="false" customHeight="false" outlineLevel="0" collapsed="false">
      <c r="A2339" s="0" t="s">
        <v>12</v>
      </c>
      <c r="B2339" s="0" t="n">
        <v>737244</v>
      </c>
      <c r="C2339" s="0" t="n">
        <v>737264</v>
      </c>
      <c r="D2339" s="0" t="s">
        <v>7806</v>
      </c>
      <c r="E2339" s="0" t="s">
        <v>7807</v>
      </c>
      <c r="F2339" s="0" t="s">
        <v>90</v>
      </c>
      <c r="G2339" s="0" t="s">
        <v>16</v>
      </c>
      <c r="H2339" s="0" t="n">
        <v>104</v>
      </c>
      <c r="I2339" s="0" t="s">
        <v>7817</v>
      </c>
      <c r="J2339" s="0" t="s">
        <v>7818</v>
      </c>
      <c r="K2339" s="0" t="s">
        <v>7819</v>
      </c>
      <c r="L2339" s="0" t="str">
        <f aca="false">HYPERLINK("https://www.ncbi.nlm.nih.gov/nuccore/CP000058.1?report=graph&amp;tracks=[key:gene_model_track,Options:GeneOnly]&amp;mk=737343:737362|offset_6|444444,737316:737335|offset_33|444444,737282:737301|offset_67|444444,737245:737264|offset_104|00cc00&amp;v=737142:737464&amp;c=444444", "offset 104")</f>
        <v>offset 104</v>
      </c>
    </row>
    <row r="2340" customFormat="false" ht="12.8" hidden="false" customHeight="false" outlineLevel="0" collapsed="false">
      <c r="A2340" s="0" t="s">
        <v>12</v>
      </c>
      <c r="B2340" s="0" t="n">
        <v>737566</v>
      </c>
      <c r="C2340" s="0" t="n">
        <v>737586</v>
      </c>
      <c r="D2340" s="0" t="s">
        <v>7820</v>
      </c>
      <c r="E2340" s="0" t="s">
        <v>7821</v>
      </c>
      <c r="F2340" s="0" t="s">
        <v>15</v>
      </c>
      <c r="G2340" s="0" t="s">
        <v>36</v>
      </c>
      <c r="H2340" s="0" t="n">
        <v>0</v>
      </c>
      <c r="I2340" s="0" t="s">
        <v>7822</v>
      </c>
      <c r="J2340" s="0" t="s">
        <v>7823</v>
      </c>
      <c r="K2340" s="0" t="s">
        <v>7824</v>
      </c>
      <c r="L2340" s="0" t="str">
        <f aca="false">HYPERLINK("https://www.ncbi.nlm.nih.gov/nuccore/CP000058.1?report=graph&amp;tracks=[key:gene_model_track,Options:GeneOnly]&amp;mk=737567:737586|offset_0|00cc00,737592:737611|offset_25|444444,737662:737681|offset_95|444444,737682:737701|offset_115|444444&amp;v=737366:737901&amp;c=444444", "offset 0")</f>
        <v>offset 0</v>
      </c>
    </row>
    <row r="2341" customFormat="false" ht="12.8" hidden="false" customHeight="false" outlineLevel="0" collapsed="false">
      <c r="A2341" s="0" t="s">
        <v>12</v>
      </c>
      <c r="B2341" s="0" t="n">
        <v>737591</v>
      </c>
      <c r="C2341" s="0" t="n">
        <v>737611</v>
      </c>
      <c r="D2341" s="0" t="s">
        <v>7820</v>
      </c>
      <c r="E2341" s="0" t="s">
        <v>7821</v>
      </c>
      <c r="F2341" s="0" t="s">
        <v>15</v>
      </c>
      <c r="G2341" s="0" t="s">
        <v>20</v>
      </c>
      <c r="H2341" s="0" t="n">
        <v>25</v>
      </c>
      <c r="I2341" s="0" t="s">
        <v>7825</v>
      </c>
      <c r="J2341" s="0" t="s">
        <v>7826</v>
      </c>
      <c r="K2341" s="0" t="s">
        <v>7827</v>
      </c>
      <c r="L2341" s="0" t="str">
        <f aca="false">HYPERLINK("https://www.ncbi.nlm.nih.gov/nuccore/CP000058.1?report=graph&amp;tracks=[key:gene_model_track,Options:GeneOnly]&amp;mk=737567:737586|offset_0|444444,737592:737611|offset_25|00cc00,737662:737681|offset_95|444444,737682:737701|offset_115|444444&amp;v=737366:737901&amp;c=444444", "offset 25")</f>
        <v>offset 25</v>
      </c>
    </row>
    <row r="2342" customFormat="false" ht="12.8" hidden="false" customHeight="false" outlineLevel="0" collapsed="false">
      <c r="A2342" s="0" t="s">
        <v>12</v>
      </c>
      <c r="B2342" s="0" t="n">
        <v>737661</v>
      </c>
      <c r="C2342" s="0" t="n">
        <v>737681</v>
      </c>
      <c r="D2342" s="0" t="s">
        <v>7820</v>
      </c>
      <c r="E2342" s="0" t="s">
        <v>7821</v>
      </c>
      <c r="F2342" s="0" t="s">
        <v>15</v>
      </c>
      <c r="G2342" s="0" t="s">
        <v>32</v>
      </c>
      <c r="H2342" s="0" t="n">
        <v>95</v>
      </c>
      <c r="I2342" s="0" t="s">
        <v>7828</v>
      </c>
      <c r="J2342" s="0" t="s">
        <v>7829</v>
      </c>
      <c r="K2342" s="0" t="s">
        <v>7830</v>
      </c>
      <c r="L2342" s="0" t="str">
        <f aca="false">HYPERLINK("https://www.ncbi.nlm.nih.gov/nuccore/CP000058.1?report=graph&amp;tracks=[key:gene_model_track,Options:GeneOnly]&amp;mk=737567:737586|offset_0|444444,737592:737611|offset_25|444444,737662:737681|offset_95|00cc00,737682:737701|offset_115|444444&amp;v=737366:737901&amp;c=444444", "offset 95")</f>
        <v>offset 95</v>
      </c>
    </row>
    <row r="2343" customFormat="false" ht="12.8" hidden="false" customHeight="false" outlineLevel="0" collapsed="false">
      <c r="A2343" s="0" t="s">
        <v>12</v>
      </c>
      <c r="B2343" s="0" t="n">
        <v>737681</v>
      </c>
      <c r="C2343" s="0" t="n">
        <v>737701</v>
      </c>
      <c r="D2343" s="0" t="s">
        <v>7820</v>
      </c>
      <c r="E2343" s="0" t="s">
        <v>7821</v>
      </c>
      <c r="F2343" s="0" t="s">
        <v>15</v>
      </c>
      <c r="G2343" s="0" t="s">
        <v>20</v>
      </c>
      <c r="H2343" s="0" t="n">
        <v>115</v>
      </c>
      <c r="I2343" s="0" t="s">
        <v>7831</v>
      </c>
      <c r="J2343" s="0" t="s">
        <v>7832</v>
      </c>
      <c r="K2343" s="0" t="s">
        <v>7833</v>
      </c>
      <c r="L2343" s="0" t="str">
        <f aca="false">HYPERLINK("https://www.ncbi.nlm.nih.gov/nuccore/CP000058.1?report=graph&amp;tracks=[key:gene_model_track,Options:GeneOnly]&amp;mk=737567:737586|offset_0|444444,737592:737611|offset_25|444444,737662:737681|offset_95|444444,737682:737701|offset_115|00cc00&amp;v=737366:737901&amp;c=444444", "offset 115")</f>
        <v>offset 115</v>
      </c>
    </row>
    <row r="2344" customFormat="false" ht="12.8" hidden="false" customHeight="false" outlineLevel="0" collapsed="false">
      <c r="A2344" s="0" t="s">
        <v>12</v>
      </c>
      <c r="B2344" s="0" t="n">
        <v>739158</v>
      </c>
      <c r="C2344" s="0" t="n">
        <v>739178</v>
      </c>
      <c r="D2344" s="0" t="s">
        <v>7834</v>
      </c>
      <c r="E2344" s="0" t="s">
        <v>75</v>
      </c>
      <c r="F2344" s="0" t="s">
        <v>90</v>
      </c>
      <c r="G2344" s="0" t="s">
        <v>32</v>
      </c>
      <c r="H2344" s="0" t="n">
        <v>28</v>
      </c>
      <c r="I2344" s="0" t="s">
        <v>7835</v>
      </c>
      <c r="J2344" s="0" t="s">
        <v>7836</v>
      </c>
      <c r="K2344" s="0" t="s">
        <v>7837</v>
      </c>
      <c r="L2344" s="0" t="str">
        <f aca="false">HYPERLINK("https://www.ncbi.nlm.nih.gov/nuccore/CP000058.1?report=graph&amp;tracks=[key:gene_model_track,Options:GeneOnly]&amp;mk=739159:739178|offset_28|00cc00,739129:739148|offset_58|444444,739107:739126|offset_80|444444,739063:739082|offset_124|444444&amp;v=738958:739282&amp;c=444444", "offset 28")</f>
        <v>offset 28</v>
      </c>
    </row>
    <row r="2345" customFormat="false" ht="12.8" hidden="false" customHeight="false" outlineLevel="0" collapsed="false">
      <c r="A2345" s="0" t="s">
        <v>12</v>
      </c>
      <c r="B2345" s="0" t="n">
        <v>739128</v>
      </c>
      <c r="C2345" s="0" t="n">
        <v>739148</v>
      </c>
      <c r="D2345" s="0" t="s">
        <v>7834</v>
      </c>
      <c r="E2345" s="0" t="s">
        <v>75</v>
      </c>
      <c r="F2345" s="0" t="s">
        <v>90</v>
      </c>
      <c r="G2345" s="0" t="s">
        <v>20</v>
      </c>
      <c r="H2345" s="0" t="n">
        <v>58</v>
      </c>
      <c r="I2345" s="0" t="s">
        <v>7838</v>
      </c>
      <c r="J2345" s="0" t="s">
        <v>7839</v>
      </c>
      <c r="K2345" s="0" t="s">
        <v>7840</v>
      </c>
      <c r="L2345" s="0" t="str">
        <f aca="false">HYPERLINK("https://www.ncbi.nlm.nih.gov/nuccore/CP000058.1?report=graph&amp;tracks=[key:gene_model_track,Options:GeneOnly]&amp;mk=739159:739178|offset_28|444444,739129:739148|offset_58|00cc00,739107:739126|offset_80|444444,739063:739082|offset_124|444444&amp;v=738958:739282&amp;c=444444", "offset 58")</f>
        <v>offset 58</v>
      </c>
    </row>
    <row r="2346" customFormat="false" ht="12.8" hidden="false" customHeight="false" outlineLevel="0" collapsed="false">
      <c r="A2346" s="0" t="s">
        <v>12</v>
      </c>
      <c r="B2346" s="0" t="n">
        <v>739106</v>
      </c>
      <c r="C2346" s="0" t="n">
        <v>739126</v>
      </c>
      <c r="D2346" s="0" t="s">
        <v>7834</v>
      </c>
      <c r="E2346" s="0" t="s">
        <v>75</v>
      </c>
      <c r="F2346" s="0" t="s">
        <v>90</v>
      </c>
      <c r="G2346" s="0" t="s">
        <v>20</v>
      </c>
      <c r="H2346" s="0" t="n">
        <v>80</v>
      </c>
      <c r="I2346" s="0" t="s">
        <v>7841</v>
      </c>
      <c r="J2346" s="0" t="s">
        <v>7842</v>
      </c>
      <c r="K2346" s="0" t="s">
        <v>7843</v>
      </c>
      <c r="L2346" s="0" t="str">
        <f aca="false">HYPERLINK("https://www.ncbi.nlm.nih.gov/nuccore/CP000058.1?report=graph&amp;tracks=[key:gene_model_track,Options:GeneOnly]&amp;mk=739159:739178|offset_28|444444,739129:739148|offset_58|444444,739107:739126|offset_80|00cc00,739063:739082|offset_124|444444&amp;v=738958:739282&amp;c=444444", "offset 80")</f>
        <v>offset 80</v>
      </c>
    </row>
    <row r="2347" customFormat="false" ht="12.8" hidden="false" customHeight="false" outlineLevel="0" collapsed="false">
      <c r="A2347" s="0" t="s">
        <v>12</v>
      </c>
      <c r="B2347" s="0" t="n">
        <v>739062</v>
      </c>
      <c r="C2347" s="0" t="n">
        <v>739082</v>
      </c>
      <c r="D2347" s="0" t="s">
        <v>7834</v>
      </c>
      <c r="E2347" s="0" t="s">
        <v>75</v>
      </c>
      <c r="F2347" s="0" t="s">
        <v>90</v>
      </c>
      <c r="G2347" s="0" t="s">
        <v>16</v>
      </c>
      <c r="H2347" s="0" t="n">
        <v>124</v>
      </c>
      <c r="I2347" s="0" t="s">
        <v>7844</v>
      </c>
      <c r="J2347" s="0" t="s">
        <v>7845</v>
      </c>
      <c r="K2347" s="0" t="s">
        <v>7846</v>
      </c>
      <c r="L2347" s="0" t="str">
        <f aca="false">HYPERLINK("https://www.ncbi.nlm.nih.gov/nuccore/CP000058.1?report=graph&amp;tracks=[key:gene_model_track,Options:GeneOnly]&amp;mk=739159:739178|offset_28|444444,739129:739148|offset_58|444444,739107:739126|offset_80|444444,739063:739082|offset_124|00cc00&amp;v=738958:739282&amp;c=444444", "offset 124")</f>
        <v>offset 124</v>
      </c>
    </row>
    <row r="2348" customFormat="false" ht="12.8" hidden="false" customHeight="false" outlineLevel="0" collapsed="false">
      <c r="A2348" s="0" t="s">
        <v>12</v>
      </c>
      <c r="B2348" s="0" t="n">
        <v>739297</v>
      </c>
      <c r="C2348" s="0" t="n">
        <v>739317</v>
      </c>
      <c r="D2348" s="0" t="s">
        <v>7847</v>
      </c>
      <c r="E2348" s="0" t="s">
        <v>7848</v>
      </c>
      <c r="F2348" s="0" t="s">
        <v>15</v>
      </c>
      <c r="G2348" s="0" t="s">
        <v>20</v>
      </c>
      <c r="H2348" s="0" t="n">
        <v>26</v>
      </c>
      <c r="I2348" s="0" t="s">
        <v>7849</v>
      </c>
      <c r="J2348" s="0" t="s">
        <v>7850</v>
      </c>
      <c r="K2348" s="0" t="s">
        <v>7851</v>
      </c>
      <c r="L2348" s="0" t="str">
        <f aca="false">HYPERLINK("https://www.ncbi.nlm.nih.gov/nuccore/CP000058.1?report=graph&amp;tracks=[key:gene_model_track,Options:GeneOnly]&amp;mk=739298:739317|offset_26|00cc00,739324:739343|offset_52|444444,739349:739368|offset_77|444444,739378:739397|offset_106|444444&amp;v=739097:739597&amp;c=444444", "offset 26")</f>
        <v>offset 26</v>
      </c>
    </row>
    <row r="2349" customFormat="false" ht="12.8" hidden="false" customHeight="false" outlineLevel="0" collapsed="false">
      <c r="A2349" s="0" t="s">
        <v>12</v>
      </c>
      <c r="B2349" s="0" t="n">
        <v>739323</v>
      </c>
      <c r="C2349" s="0" t="n">
        <v>739343</v>
      </c>
      <c r="D2349" s="0" t="s">
        <v>7847</v>
      </c>
      <c r="E2349" s="0" t="s">
        <v>7848</v>
      </c>
      <c r="F2349" s="0" t="s">
        <v>15</v>
      </c>
      <c r="G2349" s="0" t="s">
        <v>20</v>
      </c>
      <c r="H2349" s="0" t="n">
        <v>52</v>
      </c>
      <c r="I2349" s="0" t="s">
        <v>7852</v>
      </c>
      <c r="J2349" s="0" t="s">
        <v>7853</v>
      </c>
      <c r="K2349" s="0" t="s">
        <v>7854</v>
      </c>
      <c r="L2349" s="0" t="str">
        <f aca="false">HYPERLINK("https://www.ncbi.nlm.nih.gov/nuccore/CP000058.1?report=graph&amp;tracks=[key:gene_model_track,Options:GeneOnly]&amp;mk=739298:739317|offset_26|444444,739324:739343|offset_52|00cc00,739349:739368|offset_77|444444,739378:739397|offset_106|444444&amp;v=739097:739597&amp;c=444444", "offset 52")</f>
        <v>offset 52</v>
      </c>
    </row>
    <row r="2350" customFormat="false" ht="12.8" hidden="false" customHeight="false" outlineLevel="0" collapsed="false">
      <c r="A2350" s="0" t="s">
        <v>12</v>
      </c>
      <c r="B2350" s="0" t="n">
        <v>739348</v>
      </c>
      <c r="C2350" s="0" t="n">
        <v>739368</v>
      </c>
      <c r="D2350" s="0" t="s">
        <v>7847</v>
      </c>
      <c r="E2350" s="0" t="s">
        <v>7848</v>
      </c>
      <c r="F2350" s="0" t="s">
        <v>15</v>
      </c>
      <c r="G2350" s="0" t="s">
        <v>32</v>
      </c>
      <c r="H2350" s="0" t="n">
        <v>77</v>
      </c>
      <c r="I2350" s="0" t="s">
        <v>7855</v>
      </c>
      <c r="J2350" s="0" t="s">
        <v>7856</v>
      </c>
      <c r="K2350" s="0" t="s">
        <v>7857</v>
      </c>
      <c r="L2350" s="0" t="str">
        <f aca="false">HYPERLINK("https://www.ncbi.nlm.nih.gov/nuccore/CP000058.1?report=graph&amp;tracks=[key:gene_model_track,Options:GeneOnly]&amp;mk=739298:739317|offset_26|444444,739324:739343|offset_52|444444,739349:739368|offset_77|00cc00,739378:739397|offset_106|444444&amp;v=739097:739597&amp;c=444444", "offset 77")</f>
        <v>offset 77</v>
      </c>
    </row>
    <row r="2351" customFormat="false" ht="12.8" hidden="false" customHeight="false" outlineLevel="0" collapsed="false">
      <c r="A2351" s="0" t="s">
        <v>12</v>
      </c>
      <c r="B2351" s="0" t="n">
        <v>739377</v>
      </c>
      <c r="C2351" s="0" t="n">
        <v>739397</v>
      </c>
      <c r="D2351" s="0" t="s">
        <v>7847</v>
      </c>
      <c r="E2351" s="0" t="s">
        <v>7848</v>
      </c>
      <c r="F2351" s="0" t="s">
        <v>15</v>
      </c>
      <c r="G2351" s="0" t="s">
        <v>20</v>
      </c>
      <c r="H2351" s="0" t="n">
        <v>106</v>
      </c>
      <c r="I2351" s="0" t="s">
        <v>7858</v>
      </c>
      <c r="J2351" s="0" t="s">
        <v>7859</v>
      </c>
      <c r="K2351" s="0" t="s">
        <v>7860</v>
      </c>
      <c r="L2351" s="0" t="str">
        <f aca="false">HYPERLINK("https://www.ncbi.nlm.nih.gov/nuccore/CP000058.1?report=graph&amp;tracks=[key:gene_model_track,Options:GeneOnly]&amp;mk=739298:739317|offset_26|444444,739324:739343|offset_52|444444,739349:739368|offset_77|444444,739378:739397|offset_106|00cc00&amp;v=739097:739597&amp;c=444444", "offset 106")</f>
        <v>offset 106</v>
      </c>
    </row>
    <row r="2352" customFormat="false" ht="12.8" hidden="false" customHeight="false" outlineLevel="0" collapsed="false">
      <c r="A2352" s="0" t="s">
        <v>12</v>
      </c>
      <c r="B2352" s="0" t="n">
        <v>739638</v>
      </c>
      <c r="C2352" s="0" t="n">
        <v>739658</v>
      </c>
      <c r="D2352" s="0" t="s">
        <v>7861</v>
      </c>
      <c r="E2352" s="0" t="s">
        <v>7862</v>
      </c>
      <c r="F2352" s="0" t="s">
        <v>15</v>
      </c>
      <c r="G2352" s="0" t="s">
        <v>20</v>
      </c>
      <c r="H2352" s="0" t="n">
        <v>23</v>
      </c>
      <c r="I2352" s="0" t="s">
        <v>7863</v>
      </c>
      <c r="J2352" s="0" t="s">
        <v>7864</v>
      </c>
      <c r="K2352" s="0" t="s">
        <v>7865</v>
      </c>
      <c r="L2352" s="0" t="str">
        <f aca="false">HYPERLINK("https://www.ncbi.nlm.nih.gov/nuccore/CP000058.1?report=graph&amp;tracks=[key:gene_model_track,Options:GeneOnly]&amp;mk=739639:739658|offset_23|00cc00,739675:739694|offset_59|444444,739717:739736|offset_101|444444,739744:739763|offset_128|444444&amp;v=739438:739963&amp;c=444444", "offset 23")</f>
        <v>offset 23</v>
      </c>
    </row>
    <row r="2353" customFormat="false" ht="12.8" hidden="false" customHeight="false" outlineLevel="0" collapsed="false">
      <c r="A2353" s="0" t="s">
        <v>12</v>
      </c>
      <c r="B2353" s="0" t="n">
        <v>739674</v>
      </c>
      <c r="C2353" s="0" t="n">
        <v>739694</v>
      </c>
      <c r="D2353" s="0" t="s">
        <v>7861</v>
      </c>
      <c r="E2353" s="0" t="s">
        <v>7862</v>
      </c>
      <c r="F2353" s="0" t="s">
        <v>15</v>
      </c>
      <c r="G2353" s="0" t="s">
        <v>20</v>
      </c>
      <c r="H2353" s="0" t="n">
        <v>59</v>
      </c>
      <c r="I2353" s="0" t="s">
        <v>7866</v>
      </c>
      <c r="J2353" s="0" t="s">
        <v>7867</v>
      </c>
      <c r="K2353" s="0" t="s">
        <v>7868</v>
      </c>
      <c r="L2353" s="0" t="str">
        <f aca="false">HYPERLINK("https://www.ncbi.nlm.nih.gov/nuccore/CP000058.1?report=graph&amp;tracks=[key:gene_model_track,Options:GeneOnly]&amp;mk=739639:739658|offset_23|444444,739675:739694|offset_59|00cc00,739717:739736|offset_101|444444,739744:739763|offset_128|444444&amp;v=739438:739963&amp;c=444444", "offset 59")</f>
        <v>offset 59</v>
      </c>
    </row>
    <row r="2354" customFormat="false" ht="12.8" hidden="false" customHeight="false" outlineLevel="0" collapsed="false">
      <c r="A2354" s="0" t="s">
        <v>12</v>
      </c>
      <c r="B2354" s="0" t="n">
        <v>739716</v>
      </c>
      <c r="C2354" s="0" t="n">
        <v>739736</v>
      </c>
      <c r="D2354" s="0" t="s">
        <v>7861</v>
      </c>
      <c r="E2354" s="0" t="s">
        <v>7862</v>
      </c>
      <c r="F2354" s="0" t="s">
        <v>15</v>
      </c>
      <c r="G2354" s="0" t="s">
        <v>20</v>
      </c>
      <c r="H2354" s="0" t="n">
        <v>101</v>
      </c>
      <c r="I2354" s="0" t="s">
        <v>7869</v>
      </c>
      <c r="J2354" s="0" t="s">
        <v>7870</v>
      </c>
      <c r="K2354" s="0" t="s">
        <v>7871</v>
      </c>
      <c r="L2354" s="0" t="str">
        <f aca="false">HYPERLINK("https://www.ncbi.nlm.nih.gov/nuccore/CP000058.1?report=graph&amp;tracks=[key:gene_model_track,Options:GeneOnly]&amp;mk=739639:739658|offset_23|444444,739675:739694|offset_59|444444,739717:739736|offset_101|00cc00,739744:739763|offset_128|444444&amp;v=739438:739963&amp;c=444444", "offset 101")</f>
        <v>offset 101</v>
      </c>
    </row>
    <row r="2355" customFormat="false" ht="12.8" hidden="false" customHeight="false" outlineLevel="0" collapsed="false">
      <c r="A2355" s="0" t="s">
        <v>12</v>
      </c>
      <c r="B2355" s="0" t="n">
        <v>739743</v>
      </c>
      <c r="C2355" s="0" t="n">
        <v>739763</v>
      </c>
      <c r="D2355" s="0" t="s">
        <v>7861</v>
      </c>
      <c r="E2355" s="0" t="s">
        <v>7862</v>
      </c>
      <c r="F2355" s="0" t="s">
        <v>15</v>
      </c>
      <c r="G2355" s="0" t="s">
        <v>32</v>
      </c>
      <c r="H2355" s="0" t="n">
        <v>128</v>
      </c>
      <c r="I2355" s="0" t="s">
        <v>7872</v>
      </c>
      <c r="J2355" s="0" t="s">
        <v>7873</v>
      </c>
      <c r="K2355" s="0" t="s">
        <v>7874</v>
      </c>
      <c r="L2355" s="0" t="str">
        <f aca="false">HYPERLINK("https://www.ncbi.nlm.nih.gov/nuccore/CP000058.1?report=graph&amp;tracks=[key:gene_model_track,Options:GeneOnly]&amp;mk=739639:739658|offset_23|444444,739675:739694|offset_59|444444,739717:739736|offset_101|444444,739744:739763|offset_128|00cc00&amp;v=739438:739963&amp;c=444444", "offset 128")</f>
        <v>offset 128</v>
      </c>
    </row>
    <row r="2356" customFormat="false" ht="12.8" hidden="false" customHeight="false" outlineLevel="0" collapsed="false">
      <c r="A2356" s="0" t="s">
        <v>12</v>
      </c>
      <c r="B2356" s="0" t="n">
        <v>741408</v>
      </c>
      <c r="C2356" s="0" t="n">
        <v>741428</v>
      </c>
      <c r="D2356" s="0" t="s">
        <v>7875</v>
      </c>
      <c r="E2356" s="0" t="s">
        <v>7876</v>
      </c>
      <c r="F2356" s="0" t="s">
        <v>90</v>
      </c>
      <c r="G2356" s="0" t="s">
        <v>16</v>
      </c>
      <c r="H2356" s="0" t="n">
        <v>38</v>
      </c>
      <c r="I2356" s="0" t="s">
        <v>7877</v>
      </c>
      <c r="J2356" s="0" t="s">
        <v>7878</v>
      </c>
      <c r="K2356" s="0" t="s">
        <v>7879</v>
      </c>
      <c r="L2356" s="0" t="str">
        <f aca="false">HYPERLINK("https://www.ncbi.nlm.nih.gov/nuccore/CP000058.1?report=graph&amp;tracks=[key:gene_model_track,Options:GeneOnly]&amp;mk=741409:741428|offset_38|00cc00,741325:741344|offset_122|444444,741292:741311|offset_155|444444,741257:741276|offset_190|444444&amp;v=741208:741476&amp;c=444444", "offset 38")</f>
        <v>offset 38</v>
      </c>
    </row>
    <row r="2357" customFormat="false" ht="12.8" hidden="false" customHeight="false" outlineLevel="0" collapsed="false">
      <c r="A2357" s="0" t="s">
        <v>12</v>
      </c>
      <c r="B2357" s="0" t="n">
        <v>741324</v>
      </c>
      <c r="C2357" s="0" t="n">
        <v>741344</v>
      </c>
      <c r="D2357" s="0" t="s">
        <v>7875</v>
      </c>
      <c r="E2357" s="0" t="s">
        <v>7876</v>
      </c>
      <c r="F2357" s="0" t="s">
        <v>90</v>
      </c>
      <c r="G2357" s="0" t="s">
        <v>36</v>
      </c>
      <c r="H2357" s="0" t="n">
        <v>122</v>
      </c>
      <c r="I2357" s="0" t="s">
        <v>7880</v>
      </c>
      <c r="J2357" s="0" t="s">
        <v>7881</v>
      </c>
      <c r="K2357" s="0" t="s">
        <v>7882</v>
      </c>
      <c r="L2357" s="0" t="str">
        <f aca="false">HYPERLINK("https://www.ncbi.nlm.nih.gov/nuccore/CP000058.1?report=graph&amp;tracks=[key:gene_model_track,Options:GeneOnly]&amp;mk=741409:741428|offset_38|444444,741325:741344|offset_122|00cc00,741292:741311|offset_155|444444,741257:741276|offset_190|444444&amp;v=741208:741476&amp;c=444444", "offset 122")</f>
        <v>offset 122</v>
      </c>
    </row>
    <row r="2358" customFormat="false" ht="12.8" hidden="false" customHeight="false" outlineLevel="0" collapsed="false">
      <c r="A2358" s="0" t="s">
        <v>12</v>
      </c>
      <c r="B2358" s="0" t="n">
        <v>741291</v>
      </c>
      <c r="C2358" s="0" t="n">
        <v>741311</v>
      </c>
      <c r="D2358" s="0" t="s">
        <v>7875</v>
      </c>
      <c r="E2358" s="0" t="s">
        <v>7876</v>
      </c>
      <c r="F2358" s="0" t="s">
        <v>90</v>
      </c>
      <c r="G2358" s="0" t="s">
        <v>36</v>
      </c>
      <c r="H2358" s="0" t="n">
        <v>155</v>
      </c>
      <c r="I2358" s="0" t="s">
        <v>7883</v>
      </c>
      <c r="J2358" s="0" t="s">
        <v>7884</v>
      </c>
      <c r="K2358" s="0" t="s">
        <v>7885</v>
      </c>
      <c r="L2358" s="0" t="str">
        <f aca="false">HYPERLINK("https://www.ncbi.nlm.nih.gov/nuccore/CP000058.1?report=graph&amp;tracks=[key:gene_model_track,Options:GeneOnly]&amp;mk=741409:741428|offset_38|444444,741325:741344|offset_122|444444,741292:741311|offset_155|00cc00,741257:741276|offset_190|444444&amp;v=741208:741476&amp;c=444444", "offset 155")</f>
        <v>offset 155</v>
      </c>
    </row>
    <row r="2359" customFormat="false" ht="12.8" hidden="false" customHeight="false" outlineLevel="0" collapsed="false">
      <c r="A2359" s="0" t="s">
        <v>12</v>
      </c>
      <c r="B2359" s="0" t="n">
        <v>741256</v>
      </c>
      <c r="C2359" s="0" t="n">
        <v>741276</v>
      </c>
      <c r="D2359" s="0" t="s">
        <v>7875</v>
      </c>
      <c r="E2359" s="0" t="s">
        <v>7876</v>
      </c>
      <c r="F2359" s="0" t="s">
        <v>90</v>
      </c>
      <c r="G2359" s="0" t="s">
        <v>16</v>
      </c>
      <c r="H2359" s="0" t="n">
        <v>190</v>
      </c>
      <c r="I2359" s="0" t="s">
        <v>7886</v>
      </c>
      <c r="J2359" s="0" t="s">
        <v>7887</v>
      </c>
      <c r="K2359" s="0" t="s">
        <v>7888</v>
      </c>
      <c r="L2359" s="0" t="str">
        <f aca="false">HYPERLINK("https://www.ncbi.nlm.nih.gov/nuccore/CP000058.1?report=graph&amp;tracks=[key:gene_model_track,Options:GeneOnly]&amp;mk=741409:741428|offset_38|444444,741325:741344|offset_122|444444,741292:741311|offset_155|444444,741257:741276|offset_190|00cc00&amp;v=741208:741476&amp;c=444444", "offset 190")</f>
        <v>offset 190</v>
      </c>
    </row>
    <row r="2360" customFormat="false" ht="12.8" hidden="false" customHeight="false" outlineLevel="0" collapsed="false">
      <c r="A2360" s="0" t="s">
        <v>12</v>
      </c>
      <c r="B2360" s="0" t="n">
        <v>743099</v>
      </c>
      <c r="C2360" s="0" t="n">
        <v>743119</v>
      </c>
      <c r="D2360" s="0" t="s">
        <v>7889</v>
      </c>
      <c r="E2360" s="0" t="s">
        <v>75</v>
      </c>
      <c r="F2360" s="0" t="s">
        <v>90</v>
      </c>
      <c r="G2360" s="0" t="s">
        <v>16</v>
      </c>
      <c r="H2360" s="0" t="n">
        <v>7</v>
      </c>
      <c r="I2360" s="0" t="s">
        <v>7890</v>
      </c>
      <c r="J2360" s="0" t="s">
        <v>7891</v>
      </c>
      <c r="K2360" s="0" t="s">
        <v>7892</v>
      </c>
      <c r="L2360" s="0" t="str">
        <f aca="false">HYPERLINK("https://www.ncbi.nlm.nih.gov/nuccore/CP000058.1?report=graph&amp;tracks=[key:gene_model_track,Options:GeneOnly]&amp;mk=743100:743119|offset_7|00cc00,743077:743096|offset_30|444444,743039:743058|offset_68|444444,743007:743026|offset_100|444444&amp;v=742899:743226&amp;c=444444", "offset 7")</f>
        <v>offset 7</v>
      </c>
    </row>
    <row r="2361" customFormat="false" ht="12.8" hidden="false" customHeight="false" outlineLevel="0" collapsed="false">
      <c r="A2361" s="0" t="s">
        <v>12</v>
      </c>
      <c r="B2361" s="0" t="n">
        <v>743076</v>
      </c>
      <c r="C2361" s="0" t="n">
        <v>743096</v>
      </c>
      <c r="D2361" s="0" t="s">
        <v>7889</v>
      </c>
      <c r="E2361" s="0" t="s">
        <v>75</v>
      </c>
      <c r="F2361" s="0" t="s">
        <v>90</v>
      </c>
      <c r="G2361" s="0" t="s">
        <v>36</v>
      </c>
      <c r="H2361" s="0" t="n">
        <v>30</v>
      </c>
      <c r="I2361" s="0" t="s">
        <v>7893</v>
      </c>
      <c r="J2361" s="0" t="s">
        <v>7894</v>
      </c>
      <c r="K2361" s="0" t="s">
        <v>7895</v>
      </c>
      <c r="L2361" s="0" t="str">
        <f aca="false">HYPERLINK("https://www.ncbi.nlm.nih.gov/nuccore/CP000058.1?report=graph&amp;tracks=[key:gene_model_track,Options:GeneOnly]&amp;mk=743100:743119|offset_7|444444,743077:743096|offset_30|00cc00,743039:743058|offset_68|444444,743007:743026|offset_100|444444&amp;v=742899:743226&amp;c=444444", "offset 30")</f>
        <v>offset 30</v>
      </c>
    </row>
    <row r="2362" customFormat="false" ht="12.8" hidden="false" customHeight="false" outlineLevel="0" collapsed="false">
      <c r="A2362" s="0" t="s">
        <v>12</v>
      </c>
      <c r="B2362" s="0" t="n">
        <v>743038</v>
      </c>
      <c r="C2362" s="0" t="n">
        <v>743058</v>
      </c>
      <c r="D2362" s="0" t="s">
        <v>7889</v>
      </c>
      <c r="E2362" s="0" t="s">
        <v>75</v>
      </c>
      <c r="F2362" s="0" t="s">
        <v>90</v>
      </c>
      <c r="G2362" s="0" t="s">
        <v>16</v>
      </c>
      <c r="H2362" s="0" t="n">
        <v>68</v>
      </c>
      <c r="I2362" s="0" t="s">
        <v>7896</v>
      </c>
      <c r="J2362" s="0" t="s">
        <v>7897</v>
      </c>
      <c r="K2362" s="0" t="s">
        <v>7898</v>
      </c>
      <c r="L2362" s="0" t="str">
        <f aca="false">HYPERLINK("https://www.ncbi.nlm.nih.gov/nuccore/CP000058.1?report=graph&amp;tracks=[key:gene_model_track,Options:GeneOnly]&amp;mk=743100:743119|offset_7|444444,743077:743096|offset_30|444444,743039:743058|offset_68|00cc00,743007:743026|offset_100|444444&amp;v=742899:743226&amp;c=444444", "offset 68")</f>
        <v>offset 68</v>
      </c>
    </row>
    <row r="2363" customFormat="false" ht="12.8" hidden="false" customHeight="false" outlineLevel="0" collapsed="false">
      <c r="A2363" s="0" t="s">
        <v>12</v>
      </c>
      <c r="B2363" s="0" t="n">
        <v>743006</v>
      </c>
      <c r="C2363" s="0" t="n">
        <v>743026</v>
      </c>
      <c r="D2363" s="0" t="s">
        <v>7889</v>
      </c>
      <c r="E2363" s="0" t="s">
        <v>75</v>
      </c>
      <c r="F2363" s="0" t="s">
        <v>90</v>
      </c>
      <c r="G2363" s="0" t="s">
        <v>16</v>
      </c>
      <c r="H2363" s="0" t="n">
        <v>100</v>
      </c>
      <c r="I2363" s="0" t="s">
        <v>7899</v>
      </c>
      <c r="J2363" s="0" t="s">
        <v>7900</v>
      </c>
      <c r="K2363" s="0" t="s">
        <v>7901</v>
      </c>
      <c r="L2363" s="0" t="str">
        <f aca="false">HYPERLINK("https://www.ncbi.nlm.nih.gov/nuccore/CP000058.1?report=graph&amp;tracks=[key:gene_model_track,Options:GeneOnly]&amp;mk=743100:743119|offset_7|444444,743077:743096|offset_30|444444,743039:743058|offset_68|444444,743007:743026|offset_100|00cc00&amp;v=742899:743226&amp;c=444444", "offset 100")</f>
        <v>offset 100</v>
      </c>
    </row>
    <row r="2364" customFormat="false" ht="12.8" hidden="false" customHeight="false" outlineLevel="0" collapsed="false">
      <c r="A2364" s="0" t="s">
        <v>12</v>
      </c>
      <c r="B2364" s="0" t="n">
        <v>744374</v>
      </c>
      <c r="C2364" s="0" t="n">
        <v>744394</v>
      </c>
      <c r="D2364" s="0" t="s">
        <v>7902</v>
      </c>
      <c r="E2364" s="0" t="s">
        <v>75</v>
      </c>
      <c r="F2364" s="0" t="s">
        <v>90</v>
      </c>
      <c r="G2364" s="0" t="s">
        <v>20</v>
      </c>
      <c r="H2364" s="0" t="n">
        <v>0</v>
      </c>
      <c r="I2364" s="0" t="s">
        <v>7903</v>
      </c>
      <c r="J2364" s="0" t="s">
        <v>7904</v>
      </c>
      <c r="K2364" s="0" t="s">
        <v>7905</v>
      </c>
      <c r="L2364" s="0" t="str">
        <f aca="false">HYPERLINK("https://www.ncbi.nlm.nih.gov/nuccore/CP000058.1?report=graph&amp;tracks=[key:gene_model_track,Options:GeneOnly]&amp;mk=744375:744394|offset_0|00cc00,744355:744374|offset_20|444444,744319:744338|offset_56|444444,744295:744314|offset_80|444444&amp;v=744174:744514&amp;c=444444", "offset 0")</f>
        <v>offset 0</v>
      </c>
    </row>
    <row r="2365" customFormat="false" ht="12.8" hidden="false" customHeight="false" outlineLevel="0" collapsed="false">
      <c r="A2365" s="0" t="s">
        <v>12</v>
      </c>
      <c r="B2365" s="0" t="n">
        <v>744354</v>
      </c>
      <c r="C2365" s="0" t="n">
        <v>744374</v>
      </c>
      <c r="D2365" s="0" t="s">
        <v>7902</v>
      </c>
      <c r="E2365" s="0" t="s">
        <v>75</v>
      </c>
      <c r="F2365" s="0" t="s">
        <v>90</v>
      </c>
      <c r="G2365" s="0" t="s">
        <v>16</v>
      </c>
      <c r="H2365" s="0" t="n">
        <v>20</v>
      </c>
      <c r="I2365" s="0" t="s">
        <v>7906</v>
      </c>
      <c r="J2365" s="0" t="s">
        <v>7907</v>
      </c>
      <c r="K2365" s="0" t="s">
        <v>7908</v>
      </c>
      <c r="L2365" s="0" t="str">
        <f aca="false">HYPERLINK("https://www.ncbi.nlm.nih.gov/nuccore/CP000058.1?report=graph&amp;tracks=[key:gene_model_track,Options:GeneOnly]&amp;mk=744375:744394|offset_0|444444,744355:744374|offset_20|00cc00,744319:744338|offset_56|444444,744295:744314|offset_80|444444&amp;v=744174:744514&amp;c=444444", "offset 20")</f>
        <v>offset 20</v>
      </c>
    </row>
    <row r="2366" customFormat="false" ht="12.8" hidden="false" customHeight="false" outlineLevel="0" collapsed="false">
      <c r="A2366" s="0" t="s">
        <v>12</v>
      </c>
      <c r="B2366" s="0" t="n">
        <v>744318</v>
      </c>
      <c r="C2366" s="0" t="n">
        <v>744338</v>
      </c>
      <c r="D2366" s="0" t="s">
        <v>7902</v>
      </c>
      <c r="E2366" s="0" t="s">
        <v>75</v>
      </c>
      <c r="F2366" s="0" t="s">
        <v>90</v>
      </c>
      <c r="G2366" s="0" t="s">
        <v>16</v>
      </c>
      <c r="H2366" s="0" t="n">
        <v>56</v>
      </c>
      <c r="I2366" s="0" t="s">
        <v>7909</v>
      </c>
      <c r="J2366" s="0" t="s">
        <v>7910</v>
      </c>
      <c r="K2366" s="0" t="s">
        <v>7911</v>
      </c>
      <c r="L2366" s="0" t="str">
        <f aca="false">HYPERLINK("https://www.ncbi.nlm.nih.gov/nuccore/CP000058.1?report=graph&amp;tracks=[key:gene_model_track,Options:GeneOnly]&amp;mk=744375:744394|offset_0|444444,744355:744374|offset_20|444444,744319:744338|offset_56|00cc00,744295:744314|offset_80|444444&amp;v=744174:744514&amp;c=444444", "offset 56")</f>
        <v>offset 56</v>
      </c>
    </row>
    <row r="2367" customFormat="false" ht="12.8" hidden="false" customHeight="false" outlineLevel="0" collapsed="false">
      <c r="A2367" s="0" t="s">
        <v>12</v>
      </c>
      <c r="B2367" s="0" t="n">
        <v>744294</v>
      </c>
      <c r="C2367" s="0" t="n">
        <v>744314</v>
      </c>
      <c r="D2367" s="0" t="s">
        <v>7902</v>
      </c>
      <c r="E2367" s="0" t="s">
        <v>75</v>
      </c>
      <c r="F2367" s="0" t="s">
        <v>90</v>
      </c>
      <c r="G2367" s="0" t="s">
        <v>16</v>
      </c>
      <c r="H2367" s="0" t="n">
        <v>80</v>
      </c>
      <c r="I2367" s="0" t="s">
        <v>7912</v>
      </c>
      <c r="J2367" s="0" t="s">
        <v>7913</v>
      </c>
      <c r="K2367" s="0" t="s">
        <v>7914</v>
      </c>
      <c r="L2367" s="0" t="str">
        <f aca="false">HYPERLINK("https://www.ncbi.nlm.nih.gov/nuccore/CP000058.1?report=graph&amp;tracks=[key:gene_model_track,Options:GeneOnly]&amp;mk=744375:744394|offset_0|444444,744355:744374|offset_20|444444,744319:744338|offset_56|444444,744295:744314|offset_80|00cc00&amp;v=744174:744514&amp;c=444444", "offset 80")</f>
        <v>offset 80</v>
      </c>
    </row>
    <row r="2368" customFormat="false" ht="12.8" hidden="false" customHeight="false" outlineLevel="0" collapsed="false">
      <c r="A2368" s="0" t="s">
        <v>12</v>
      </c>
      <c r="B2368" s="0" t="n">
        <v>746401</v>
      </c>
      <c r="C2368" s="0" t="n">
        <v>746421</v>
      </c>
      <c r="D2368" s="0" t="s">
        <v>7915</v>
      </c>
      <c r="E2368" s="0" t="s">
        <v>75</v>
      </c>
      <c r="F2368" s="0" t="s">
        <v>90</v>
      </c>
      <c r="G2368" s="0" t="s">
        <v>32</v>
      </c>
      <c r="H2368" s="0" t="n">
        <v>17</v>
      </c>
      <c r="I2368" s="0" t="s">
        <v>7916</v>
      </c>
      <c r="J2368" s="0" t="s">
        <v>7917</v>
      </c>
      <c r="K2368" s="0" t="s">
        <v>7918</v>
      </c>
      <c r="L2368" s="0" t="str">
        <f aca="false">HYPERLINK("https://www.ncbi.nlm.nih.gov/nuccore/CP000058.1?report=graph&amp;tracks=[key:gene_model_track,Options:GeneOnly]&amp;mk=746402:746421|offset_17|00cc00,746324:746343|offset_95|444444,746304:746323|offset_115|444444,746283:746302|offset_136|444444&amp;v=746201:746502&amp;c=444444", "offset 17")</f>
        <v>offset 17</v>
      </c>
    </row>
    <row r="2369" customFormat="false" ht="12.8" hidden="false" customHeight="false" outlineLevel="0" collapsed="false">
      <c r="A2369" s="0" t="s">
        <v>12</v>
      </c>
      <c r="B2369" s="0" t="n">
        <v>746323</v>
      </c>
      <c r="C2369" s="0" t="n">
        <v>746343</v>
      </c>
      <c r="D2369" s="0" t="s">
        <v>7915</v>
      </c>
      <c r="E2369" s="0" t="s">
        <v>75</v>
      </c>
      <c r="F2369" s="0" t="s">
        <v>90</v>
      </c>
      <c r="G2369" s="0" t="s">
        <v>16</v>
      </c>
      <c r="H2369" s="0" t="n">
        <v>95</v>
      </c>
      <c r="I2369" s="0" t="s">
        <v>7919</v>
      </c>
      <c r="J2369" s="0" t="s">
        <v>7920</v>
      </c>
      <c r="K2369" s="0" t="s">
        <v>7921</v>
      </c>
      <c r="L2369" s="0" t="str">
        <f aca="false">HYPERLINK("https://www.ncbi.nlm.nih.gov/nuccore/CP000058.1?report=graph&amp;tracks=[key:gene_model_track,Options:GeneOnly]&amp;mk=746402:746421|offset_17|444444,746324:746343|offset_95|00cc00,746304:746323|offset_115|444444,746283:746302|offset_136|444444&amp;v=746201:746502&amp;c=444444", "offset 95")</f>
        <v>offset 95</v>
      </c>
    </row>
    <row r="2370" customFormat="false" ht="12.8" hidden="false" customHeight="false" outlineLevel="0" collapsed="false">
      <c r="A2370" s="0" t="s">
        <v>12</v>
      </c>
      <c r="B2370" s="0" t="n">
        <v>746303</v>
      </c>
      <c r="C2370" s="0" t="n">
        <v>746323</v>
      </c>
      <c r="D2370" s="0" t="s">
        <v>7915</v>
      </c>
      <c r="E2370" s="0" t="s">
        <v>75</v>
      </c>
      <c r="F2370" s="0" t="s">
        <v>90</v>
      </c>
      <c r="G2370" s="0" t="s">
        <v>16</v>
      </c>
      <c r="H2370" s="0" t="n">
        <v>115</v>
      </c>
      <c r="I2370" s="0" t="s">
        <v>7922</v>
      </c>
      <c r="J2370" s="0" t="s">
        <v>7923</v>
      </c>
      <c r="K2370" s="0" t="s">
        <v>7924</v>
      </c>
      <c r="L2370" s="0" t="str">
        <f aca="false">HYPERLINK("https://www.ncbi.nlm.nih.gov/nuccore/CP000058.1?report=graph&amp;tracks=[key:gene_model_track,Options:GeneOnly]&amp;mk=746402:746421|offset_17|444444,746324:746343|offset_95|444444,746304:746323|offset_115|00cc00,746283:746302|offset_136|444444&amp;v=746201:746502&amp;c=444444", "offset 115")</f>
        <v>offset 115</v>
      </c>
    </row>
    <row r="2371" customFormat="false" ht="12.8" hidden="false" customHeight="false" outlineLevel="0" collapsed="false">
      <c r="A2371" s="0" t="s">
        <v>12</v>
      </c>
      <c r="B2371" s="0" t="n">
        <v>746282</v>
      </c>
      <c r="C2371" s="0" t="n">
        <v>746302</v>
      </c>
      <c r="D2371" s="0" t="s">
        <v>7915</v>
      </c>
      <c r="E2371" s="0" t="s">
        <v>75</v>
      </c>
      <c r="F2371" s="0" t="s">
        <v>90</v>
      </c>
      <c r="G2371" s="0" t="s">
        <v>32</v>
      </c>
      <c r="H2371" s="0" t="n">
        <v>136</v>
      </c>
      <c r="I2371" s="0" t="s">
        <v>7925</v>
      </c>
      <c r="J2371" s="0" t="s">
        <v>7926</v>
      </c>
      <c r="K2371" s="0" t="s">
        <v>7927</v>
      </c>
      <c r="L2371" s="0" t="str">
        <f aca="false">HYPERLINK("https://www.ncbi.nlm.nih.gov/nuccore/CP000058.1?report=graph&amp;tracks=[key:gene_model_track,Options:GeneOnly]&amp;mk=746402:746421|offset_17|444444,746324:746343|offset_95|444444,746304:746323|offset_115|444444,746283:746302|offset_136|00cc00&amp;v=746201:746502&amp;c=444444", "offset 136")</f>
        <v>offset 136</v>
      </c>
    </row>
    <row r="2372" customFormat="false" ht="12.8" hidden="false" customHeight="false" outlineLevel="0" collapsed="false">
      <c r="A2372" s="0" t="s">
        <v>12</v>
      </c>
      <c r="B2372" s="0" t="n">
        <v>747016</v>
      </c>
      <c r="C2372" s="0" t="n">
        <v>747036</v>
      </c>
      <c r="D2372" s="0" t="s">
        <v>7928</v>
      </c>
      <c r="E2372" s="0" t="s">
        <v>7929</v>
      </c>
      <c r="F2372" s="0" t="s">
        <v>90</v>
      </c>
      <c r="G2372" s="0" t="s">
        <v>16</v>
      </c>
      <c r="H2372" s="0" t="n">
        <v>7</v>
      </c>
      <c r="I2372" s="0" t="s">
        <v>7930</v>
      </c>
      <c r="J2372" s="0" t="s">
        <v>7931</v>
      </c>
      <c r="K2372" s="0" t="s">
        <v>7932</v>
      </c>
      <c r="L2372" s="0" t="str">
        <f aca="false">HYPERLINK("https://www.ncbi.nlm.nih.gov/nuccore/CP000058.1?report=graph&amp;tracks=[key:gene_model_track,Options:GeneOnly]&amp;mk=747017:747036|offset_7|00cc00,746997:747016|offset_27|444444,746913:746932|offset_111|444444,746867:746886|offset_157|444444&amp;v=746816:747086&amp;c=444444", "offset 7")</f>
        <v>offset 7</v>
      </c>
    </row>
    <row r="2373" customFormat="false" ht="12.8" hidden="false" customHeight="false" outlineLevel="0" collapsed="false">
      <c r="A2373" s="0" t="s">
        <v>12</v>
      </c>
      <c r="B2373" s="0" t="n">
        <v>746996</v>
      </c>
      <c r="C2373" s="0" t="n">
        <v>747016</v>
      </c>
      <c r="D2373" s="0" t="s">
        <v>7928</v>
      </c>
      <c r="E2373" s="0" t="s">
        <v>7929</v>
      </c>
      <c r="F2373" s="0" t="s">
        <v>90</v>
      </c>
      <c r="G2373" s="0" t="s">
        <v>20</v>
      </c>
      <c r="H2373" s="0" t="n">
        <v>27</v>
      </c>
      <c r="I2373" s="0" t="s">
        <v>7933</v>
      </c>
      <c r="J2373" s="0" t="s">
        <v>7934</v>
      </c>
      <c r="K2373" s="0" t="s">
        <v>7935</v>
      </c>
      <c r="L2373" s="0" t="str">
        <f aca="false">HYPERLINK("https://www.ncbi.nlm.nih.gov/nuccore/CP000058.1?report=graph&amp;tracks=[key:gene_model_track,Options:GeneOnly]&amp;mk=747017:747036|offset_7|444444,746997:747016|offset_27|00cc00,746913:746932|offset_111|444444,746867:746886|offset_157|444444&amp;v=746816:747086&amp;c=444444", "offset 27")</f>
        <v>offset 27</v>
      </c>
    </row>
    <row r="2374" customFormat="false" ht="12.8" hidden="false" customHeight="false" outlineLevel="0" collapsed="false">
      <c r="A2374" s="0" t="s">
        <v>12</v>
      </c>
      <c r="B2374" s="0" t="n">
        <v>746912</v>
      </c>
      <c r="C2374" s="0" t="n">
        <v>746932</v>
      </c>
      <c r="D2374" s="0" t="s">
        <v>7928</v>
      </c>
      <c r="E2374" s="0" t="s">
        <v>7929</v>
      </c>
      <c r="F2374" s="0" t="s">
        <v>90</v>
      </c>
      <c r="G2374" s="0" t="s">
        <v>20</v>
      </c>
      <c r="H2374" s="0" t="n">
        <v>111</v>
      </c>
      <c r="I2374" s="0" t="s">
        <v>7936</v>
      </c>
      <c r="J2374" s="0" t="s">
        <v>7937</v>
      </c>
      <c r="K2374" s="0" t="s">
        <v>7938</v>
      </c>
      <c r="L2374" s="0" t="str">
        <f aca="false">HYPERLINK("https://www.ncbi.nlm.nih.gov/nuccore/CP000058.1?report=graph&amp;tracks=[key:gene_model_track,Options:GeneOnly]&amp;mk=747017:747036|offset_7|444444,746997:747016|offset_27|444444,746913:746932|offset_111|00cc00,746867:746886|offset_157|444444&amp;v=746816:747086&amp;c=444444", "offset 111")</f>
        <v>offset 111</v>
      </c>
    </row>
    <row r="2375" customFormat="false" ht="12.8" hidden="false" customHeight="false" outlineLevel="0" collapsed="false">
      <c r="A2375" s="0" t="s">
        <v>12</v>
      </c>
      <c r="B2375" s="0" t="n">
        <v>746866</v>
      </c>
      <c r="C2375" s="0" t="n">
        <v>746886</v>
      </c>
      <c r="D2375" s="0" t="s">
        <v>7928</v>
      </c>
      <c r="E2375" s="0" t="s">
        <v>7929</v>
      </c>
      <c r="F2375" s="0" t="s">
        <v>90</v>
      </c>
      <c r="G2375" s="0" t="s">
        <v>32</v>
      </c>
      <c r="H2375" s="0" t="n">
        <v>157</v>
      </c>
      <c r="I2375" s="0" t="s">
        <v>7939</v>
      </c>
      <c r="J2375" s="0" t="s">
        <v>7940</v>
      </c>
      <c r="K2375" s="0" t="s">
        <v>7941</v>
      </c>
      <c r="L2375" s="0" t="str">
        <f aca="false">HYPERLINK("https://www.ncbi.nlm.nih.gov/nuccore/CP000058.1?report=graph&amp;tracks=[key:gene_model_track,Options:GeneOnly]&amp;mk=747017:747036|offset_7|444444,746997:747016|offset_27|444444,746913:746932|offset_111|444444,746867:746886|offset_157|00cc00&amp;v=746816:747086&amp;c=444444", "offset 157")</f>
        <v>offset 157</v>
      </c>
    </row>
    <row r="2376" customFormat="false" ht="12.8" hidden="false" customHeight="false" outlineLevel="0" collapsed="false">
      <c r="A2376" s="0" t="s">
        <v>12</v>
      </c>
      <c r="B2376" s="0" t="n">
        <v>747900</v>
      </c>
      <c r="C2376" s="0" t="n">
        <v>747920</v>
      </c>
      <c r="D2376" s="0" t="s">
        <v>7942</v>
      </c>
      <c r="E2376" s="0" t="s">
        <v>7943</v>
      </c>
      <c r="F2376" s="0" t="s">
        <v>90</v>
      </c>
      <c r="G2376" s="0" t="s">
        <v>16</v>
      </c>
      <c r="H2376" s="0" t="n">
        <v>16</v>
      </c>
      <c r="I2376" s="0" t="s">
        <v>7944</v>
      </c>
      <c r="J2376" s="0" t="s">
        <v>7945</v>
      </c>
      <c r="K2376" s="0" t="s">
        <v>7946</v>
      </c>
      <c r="L2376" s="0" t="str">
        <f aca="false">HYPERLINK("https://www.ncbi.nlm.nih.gov/nuccore/CP000058.1?report=graph&amp;tracks=[key:gene_model_track,Options:GeneOnly]&amp;mk=747901:747920|offset_16|00cc00,747879:747898|offset_38|444444,747846:747865|offset_71|444444,747788:747807|offset_129|444444&amp;v=747700:748007&amp;c=444444", "offset 16")</f>
        <v>offset 16</v>
      </c>
    </row>
    <row r="2377" customFormat="false" ht="12.8" hidden="false" customHeight="false" outlineLevel="0" collapsed="false">
      <c r="A2377" s="0" t="s">
        <v>12</v>
      </c>
      <c r="B2377" s="0" t="n">
        <v>747878</v>
      </c>
      <c r="C2377" s="0" t="n">
        <v>747898</v>
      </c>
      <c r="D2377" s="0" t="s">
        <v>7942</v>
      </c>
      <c r="E2377" s="0" t="s">
        <v>7943</v>
      </c>
      <c r="F2377" s="0" t="s">
        <v>90</v>
      </c>
      <c r="G2377" s="0" t="s">
        <v>20</v>
      </c>
      <c r="H2377" s="0" t="n">
        <v>38</v>
      </c>
      <c r="I2377" s="0" t="s">
        <v>7947</v>
      </c>
      <c r="J2377" s="0" t="s">
        <v>7948</v>
      </c>
      <c r="K2377" s="0" t="s">
        <v>7949</v>
      </c>
      <c r="L2377" s="0" t="str">
        <f aca="false">HYPERLINK("https://www.ncbi.nlm.nih.gov/nuccore/CP000058.1?report=graph&amp;tracks=[key:gene_model_track,Options:GeneOnly]&amp;mk=747901:747920|offset_16|444444,747879:747898|offset_38|00cc00,747846:747865|offset_71|444444,747788:747807|offset_129|444444&amp;v=747700:748007&amp;c=444444", "offset 38")</f>
        <v>offset 38</v>
      </c>
    </row>
    <row r="2378" customFormat="false" ht="12.8" hidden="false" customHeight="false" outlineLevel="0" collapsed="false">
      <c r="A2378" s="0" t="s">
        <v>12</v>
      </c>
      <c r="B2378" s="0" t="n">
        <v>747845</v>
      </c>
      <c r="C2378" s="0" t="n">
        <v>747865</v>
      </c>
      <c r="D2378" s="0" t="s">
        <v>7942</v>
      </c>
      <c r="E2378" s="0" t="s">
        <v>7943</v>
      </c>
      <c r="F2378" s="0" t="s">
        <v>90</v>
      </c>
      <c r="G2378" s="0" t="s">
        <v>32</v>
      </c>
      <c r="H2378" s="0" t="n">
        <v>71</v>
      </c>
      <c r="I2378" s="0" t="s">
        <v>7950</v>
      </c>
      <c r="J2378" s="0" t="s">
        <v>7951</v>
      </c>
      <c r="K2378" s="0" t="s">
        <v>7952</v>
      </c>
      <c r="L2378" s="0" t="str">
        <f aca="false">HYPERLINK("https://www.ncbi.nlm.nih.gov/nuccore/CP000058.1?report=graph&amp;tracks=[key:gene_model_track,Options:GeneOnly]&amp;mk=747901:747920|offset_16|444444,747879:747898|offset_38|444444,747846:747865|offset_71|00cc00,747788:747807|offset_129|444444&amp;v=747700:748007&amp;c=444444", "offset 71")</f>
        <v>offset 71</v>
      </c>
    </row>
    <row r="2379" customFormat="false" ht="12.8" hidden="false" customHeight="false" outlineLevel="0" collapsed="false">
      <c r="A2379" s="0" t="s">
        <v>12</v>
      </c>
      <c r="B2379" s="0" t="n">
        <v>747787</v>
      </c>
      <c r="C2379" s="0" t="n">
        <v>747807</v>
      </c>
      <c r="D2379" s="0" t="s">
        <v>7942</v>
      </c>
      <c r="E2379" s="0" t="s">
        <v>7943</v>
      </c>
      <c r="F2379" s="0" t="s">
        <v>90</v>
      </c>
      <c r="G2379" s="0" t="s">
        <v>16</v>
      </c>
      <c r="H2379" s="0" t="n">
        <v>129</v>
      </c>
      <c r="I2379" s="0" t="s">
        <v>7953</v>
      </c>
      <c r="J2379" s="0" t="s">
        <v>7954</v>
      </c>
      <c r="K2379" s="0" t="s">
        <v>7955</v>
      </c>
      <c r="L2379" s="0" t="str">
        <f aca="false">HYPERLINK("https://www.ncbi.nlm.nih.gov/nuccore/CP000058.1?report=graph&amp;tracks=[key:gene_model_track,Options:GeneOnly]&amp;mk=747901:747920|offset_16|444444,747879:747898|offset_38|444444,747846:747865|offset_71|444444,747788:747807|offset_129|00cc00&amp;v=747700:748007&amp;c=444444", "offset 129")</f>
        <v>offset 129</v>
      </c>
    </row>
    <row r="2380" customFormat="false" ht="12.8" hidden="false" customHeight="false" outlineLevel="0" collapsed="false">
      <c r="A2380" s="0" t="s">
        <v>12</v>
      </c>
      <c r="B2380" s="0" t="n">
        <v>748340</v>
      </c>
      <c r="C2380" s="0" t="n">
        <v>748360</v>
      </c>
      <c r="D2380" s="0" t="s">
        <v>7956</v>
      </c>
      <c r="E2380" s="0" t="s">
        <v>75</v>
      </c>
      <c r="F2380" s="0" t="s">
        <v>90</v>
      </c>
      <c r="G2380" s="0" t="s">
        <v>20</v>
      </c>
      <c r="H2380" s="0" t="n">
        <v>10</v>
      </c>
      <c r="I2380" s="0" t="s">
        <v>7957</v>
      </c>
      <c r="J2380" s="0" t="s">
        <v>7958</v>
      </c>
      <c r="K2380" s="0" t="s">
        <v>7959</v>
      </c>
      <c r="L2380" s="0" t="str">
        <f aca="false">HYPERLINK("https://www.ncbi.nlm.nih.gov/nuccore/CP000058.1?report=graph&amp;tracks=[key:gene_model_track,Options:GeneOnly]&amp;mk=748341:748360|offset_10|00cc00,748302:748321|offset_49|444444,748228:748247|offset_123|444444,748203:748222|offset_148|444444&amp;v=748140:748422&amp;c=444444", "offset 10")</f>
        <v>offset 10</v>
      </c>
    </row>
    <row r="2381" customFormat="false" ht="12.8" hidden="false" customHeight="false" outlineLevel="0" collapsed="false">
      <c r="A2381" s="0" t="s">
        <v>12</v>
      </c>
      <c r="B2381" s="0" t="n">
        <v>748301</v>
      </c>
      <c r="C2381" s="0" t="n">
        <v>748321</v>
      </c>
      <c r="D2381" s="0" t="s">
        <v>7956</v>
      </c>
      <c r="E2381" s="0" t="s">
        <v>75</v>
      </c>
      <c r="F2381" s="0" t="s">
        <v>90</v>
      </c>
      <c r="G2381" s="0" t="s">
        <v>20</v>
      </c>
      <c r="H2381" s="0" t="n">
        <v>49</v>
      </c>
      <c r="I2381" s="0" t="s">
        <v>7960</v>
      </c>
      <c r="J2381" s="0" t="s">
        <v>7961</v>
      </c>
      <c r="K2381" s="0" t="s">
        <v>7962</v>
      </c>
      <c r="L2381" s="0" t="str">
        <f aca="false">HYPERLINK("https://www.ncbi.nlm.nih.gov/nuccore/CP000058.1?report=graph&amp;tracks=[key:gene_model_track,Options:GeneOnly]&amp;mk=748341:748360|offset_10|444444,748302:748321|offset_49|00cc00,748228:748247|offset_123|444444,748203:748222|offset_148|444444&amp;v=748140:748422&amp;c=444444", "offset 49")</f>
        <v>offset 49</v>
      </c>
    </row>
    <row r="2382" customFormat="false" ht="12.8" hidden="false" customHeight="false" outlineLevel="0" collapsed="false">
      <c r="A2382" s="0" t="s">
        <v>12</v>
      </c>
      <c r="B2382" s="0" t="n">
        <v>748227</v>
      </c>
      <c r="C2382" s="0" t="n">
        <v>748247</v>
      </c>
      <c r="D2382" s="0" t="s">
        <v>7956</v>
      </c>
      <c r="E2382" s="0" t="s">
        <v>75</v>
      </c>
      <c r="F2382" s="0" t="s">
        <v>90</v>
      </c>
      <c r="G2382" s="0" t="s">
        <v>36</v>
      </c>
      <c r="H2382" s="0" t="n">
        <v>123</v>
      </c>
      <c r="I2382" s="0" t="s">
        <v>7963</v>
      </c>
      <c r="J2382" s="0" t="s">
        <v>7964</v>
      </c>
      <c r="K2382" s="0" t="s">
        <v>7965</v>
      </c>
      <c r="L2382" s="0" t="str">
        <f aca="false">HYPERLINK("https://www.ncbi.nlm.nih.gov/nuccore/CP000058.1?report=graph&amp;tracks=[key:gene_model_track,Options:GeneOnly]&amp;mk=748341:748360|offset_10|444444,748302:748321|offset_49|444444,748228:748247|offset_123|00cc00,748203:748222|offset_148|444444&amp;v=748140:748422&amp;c=444444", "offset 123")</f>
        <v>offset 123</v>
      </c>
    </row>
    <row r="2383" customFormat="false" ht="12.8" hidden="false" customHeight="false" outlineLevel="0" collapsed="false">
      <c r="A2383" s="0" t="s">
        <v>12</v>
      </c>
      <c r="B2383" s="0" t="n">
        <v>748202</v>
      </c>
      <c r="C2383" s="0" t="n">
        <v>748222</v>
      </c>
      <c r="D2383" s="0" t="s">
        <v>7956</v>
      </c>
      <c r="E2383" s="0" t="s">
        <v>75</v>
      </c>
      <c r="F2383" s="0" t="s">
        <v>90</v>
      </c>
      <c r="G2383" s="0" t="s">
        <v>20</v>
      </c>
      <c r="H2383" s="0" t="n">
        <v>148</v>
      </c>
      <c r="I2383" s="0" t="s">
        <v>7966</v>
      </c>
      <c r="J2383" s="0" t="s">
        <v>7967</v>
      </c>
      <c r="K2383" s="0" t="s">
        <v>7968</v>
      </c>
      <c r="L2383" s="0" t="str">
        <f aca="false">HYPERLINK("https://www.ncbi.nlm.nih.gov/nuccore/CP000058.1?report=graph&amp;tracks=[key:gene_model_track,Options:GeneOnly]&amp;mk=748341:748360|offset_10|444444,748302:748321|offset_49|444444,748228:748247|offset_123|444444,748203:748222|offset_148|00cc00&amp;v=748140:748422&amp;c=444444", "offset 148")</f>
        <v>offset 148</v>
      </c>
    </row>
    <row r="2384" customFormat="false" ht="12.8" hidden="false" customHeight="false" outlineLevel="0" collapsed="false">
      <c r="A2384" s="0" t="s">
        <v>12</v>
      </c>
      <c r="B2384" s="0" t="n">
        <v>749209</v>
      </c>
      <c r="C2384" s="0" t="n">
        <v>749229</v>
      </c>
      <c r="D2384" s="0" t="s">
        <v>7969</v>
      </c>
      <c r="E2384" s="0" t="s">
        <v>7970</v>
      </c>
      <c r="F2384" s="0" t="s">
        <v>90</v>
      </c>
      <c r="G2384" s="0" t="s">
        <v>16</v>
      </c>
      <c r="H2384" s="0" t="n">
        <v>7</v>
      </c>
      <c r="I2384" s="0" t="s">
        <v>7971</v>
      </c>
      <c r="J2384" s="0" t="s">
        <v>7972</v>
      </c>
      <c r="K2384" s="0" t="s">
        <v>7973</v>
      </c>
      <c r="L2384" s="0" t="str">
        <f aca="false">HYPERLINK("https://www.ncbi.nlm.nih.gov/nuccore/CP000058.1?report=graph&amp;tracks=[key:gene_model_track,Options:GeneOnly]&amp;mk=749210:749229|offset_7|00cc00,749164:749183|offset_53|444444,749126:749145|offset_91|444444,749080:749099|offset_137|444444&amp;v=749009:749299&amp;c=444444", "offset 7")</f>
        <v>offset 7</v>
      </c>
    </row>
    <row r="2385" customFormat="false" ht="12.8" hidden="false" customHeight="false" outlineLevel="0" collapsed="false">
      <c r="A2385" s="0" t="s">
        <v>12</v>
      </c>
      <c r="B2385" s="0" t="n">
        <v>749163</v>
      </c>
      <c r="C2385" s="0" t="n">
        <v>749183</v>
      </c>
      <c r="D2385" s="0" t="s">
        <v>7969</v>
      </c>
      <c r="E2385" s="0" t="s">
        <v>7970</v>
      </c>
      <c r="F2385" s="0" t="s">
        <v>90</v>
      </c>
      <c r="G2385" s="0" t="s">
        <v>20</v>
      </c>
      <c r="H2385" s="0" t="n">
        <v>53</v>
      </c>
      <c r="I2385" s="0" t="s">
        <v>7974</v>
      </c>
      <c r="J2385" s="0" t="s">
        <v>7975</v>
      </c>
      <c r="K2385" s="0" t="s">
        <v>7976</v>
      </c>
      <c r="L2385" s="0" t="str">
        <f aca="false">HYPERLINK("https://www.ncbi.nlm.nih.gov/nuccore/CP000058.1?report=graph&amp;tracks=[key:gene_model_track,Options:GeneOnly]&amp;mk=749210:749229|offset_7|444444,749164:749183|offset_53|00cc00,749126:749145|offset_91|444444,749080:749099|offset_137|444444&amp;v=749009:749299&amp;c=444444", "offset 53")</f>
        <v>offset 53</v>
      </c>
    </row>
    <row r="2386" customFormat="false" ht="12.8" hidden="false" customHeight="false" outlineLevel="0" collapsed="false">
      <c r="A2386" s="0" t="s">
        <v>12</v>
      </c>
      <c r="B2386" s="0" t="n">
        <v>749125</v>
      </c>
      <c r="C2386" s="0" t="n">
        <v>749145</v>
      </c>
      <c r="D2386" s="0" t="s">
        <v>7969</v>
      </c>
      <c r="E2386" s="0" t="s">
        <v>7970</v>
      </c>
      <c r="F2386" s="0" t="s">
        <v>90</v>
      </c>
      <c r="G2386" s="0" t="s">
        <v>32</v>
      </c>
      <c r="H2386" s="0" t="n">
        <v>91</v>
      </c>
      <c r="I2386" s="0" t="s">
        <v>7977</v>
      </c>
      <c r="J2386" s="0" t="s">
        <v>7978</v>
      </c>
      <c r="K2386" s="0" t="s">
        <v>7979</v>
      </c>
      <c r="L2386" s="0" t="str">
        <f aca="false">HYPERLINK("https://www.ncbi.nlm.nih.gov/nuccore/CP000058.1?report=graph&amp;tracks=[key:gene_model_track,Options:GeneOnly]&amp;mk=749210:749229|offset_7|444444,749164:749183|offset_53|444444,749126:749145|offset_91|00cc00,749080:749099|offset_137|444444&amp;v=749009:749299&amp;c=444444", "offset 91")</f>
        <v>offset 91</v>
      </c>
    </row>
    <row r="2387" customFormat="false" ht="12.8" hidden="false" customHeight="false" outlineLevel="0" collapsed="false">
      <c r="A2387" s="0" t="s">
        <v>12</v>
      </c>
      <c r="B2387" s="0" t="n">
        <v>749079</v>
      </c>
      <c r="C2387" s="0" t="n">
        <v>749099</v>
      </c>
      <c r="D2387" s="0" t="s">
        <v>7969</v>
      </c>
      <c r="E2387" s="0" t="s">
        <v>7970</v>
      </c>
      <c r="F2387" s="0" t="s">
        <v>90</v>
      </c>
      <c r="G2387" s="0" t="s">
        <v>32</v>
      </c>
      <c r="H2387" s="0" t="n">
        <v>137</v>
      </c>
      <c r="I2387" s="0" t="s">
        <v>7980</v>
      </c>
      <c r="J2387" s="0" t="s">
        <v>7981</v>
      </c>
      <c r="K2387" s="0" t="s">
        <v>7982</v>
      </c>
      <c r="L2387" s="0" t="str">
        <f aca="false">HYPERLINK("https://www.ncbi.nlm.nih.gov/nuccore/CP000058.1?report=graph&amp;tracks=[key:gene_model_track,Options:GeneOnly]&amp;mk=749210:749229|offset_7|444444,749164:749183|offset_53|444444,749126:749145|offset_91|444444,749080:749099|offset_137|00cc00&amp;v=749009:749299&amp;c=444444", "offset 137")</f>
        <v>offset 137</v>
      </c>
    </row>
    <row r="2388" customFormat="false" ht="12.8" hidden="false" customHeight="false" outlineLevel="0" collapsed="false">
      <c r="A2388" s="0" t="s">
        <v>12</v>
      </c>
      <c r="B2388" s="0" t="n">
        <v>750193</v>
      </c>
      <c r="C2388" s="0" t="n">
        <v>750213</v>
      </c>
      <c r="D2388" s="0" t="s">
        <v>7983</v>
      </c>
      <c r="E2388" s="0" t="s">
        <v>7984</v>
      </c>
      <c r="F2388" s="0" t="s">
        <v>90</v>
      </c>
      <c r="G2388" s="0" t="s">
        <v>36</v>
      </c>
      <c r="H2388" s="0" t="n">
        <v>9</v>
      </c>
      <c r="I2388" s="0" t="s">
        <v>7985</v>
      </c>
      <c r="J2388" s="0" t="s">
        <v>7986</v>
      </c>
      <c r="K2388" s="0" t="s">
        <v>7987</v>
      </c>
      <c r="L2388" s="0" t="str">
        <f aca="false">HYPERLINK("https://www.ncbi.nlm.nih.gov/nuccore/CP000058.1?report=graph&amp;tracks=[key:gene_model_track,Options:GeneOnly]&amp;mk=750194:750213|offset_9|00cc00,750173:750192|offset_30|444444,750150:750169|offset_53|444444,750119:750138|offset_84|444444&amp;v=749993:750338&amp;c=444444", "offset 9")</f>
        <v>offset 9</v>
      </c>
    </row>
    <row r="2389" customFormat="false" ht="12.8" hidden="false" customHeight="false" outlineLevel="0" collapsed="false">
      <c r="A2389" s="0" t="s">
        <v>12</v>
      </c>
      <c r="B2389" s="0" t="n">
        <v>750172</v>
      </c>
      <c r="C2389" s="0" t="n">
        <v>750192</v>
      </c>
      <c r="D2389" s="0" t="s">
        <v>7983</v>
      </c>
      <c r="E2389" s="0" t="s">
        <v>7984</v>
      </c>
      <c r="F2389" s="0" t="s">
        <v>90</v>
      </c>
      <c r="G2389" s="0" t="s">
        <v>36</v>
      </c>
      <c r="H2389" s="0" t="n">
        <v>30</v>
      </c>
      <c r="I2389" s="0" t="s">
        <v>7988</v>
      </c>
      <c r="J2389" s="0" t="s">
        <v>7989</v>
      </c>
      <c r="K2389" s="0" t="s">
        <v>7990</v>
      </c>
      <c r="L2389" s="0" t="str">
        <f aca="false">HYPERLINK("https://www.ncbi.nlm.nih.gov/nuccore/CP000058.1?report=graph&amp;tracks=[key:gene_model_track,Options:GeneOnly]&amp;mk=750194:750213|offset_9|444444,750173:750192|offset_30|00cc00,750150:750169|offset_53|444444,750119:750138|offset_84|444444&amp;v=749993:750338&amp;c=444444", "offset 30")</f>
        <v>offset 30</v>
      </c>
    </row>
    <row r="2390" customFormat="false" ht="12.8" hidden="false" customHeight="false" outlineLevel="0" collapsed="false">
      <c r="A2390" s="0" t="s">
        <v>12</v>
      </c>
      <c r="B2390" s="0" t="n">
        <v>750149</v>
      </c>
      <c r="C2390" s="0" t="n">
        <v>750169</v>
      </c>
      <c r="D2390" s="0" t="s">
        <v>7983</v>
      </c>
      <c r="E2390" s="0" t="s">
        <v>7984</v>
      </c>
      <c r="F2390" s="0" t="s">
        <v>90</v>
      </c>
      <c r="G2390" s="0" t="s">
        <v>36</v>
      </c>
      <c r="H2390" s="0" t="n">
        <v>53</v>
      </c>
      <c r="I2390" s="0" t="s">
        <v>7991</v>
      </c>
      <c r="J2390" s="0" t="s">
        <v>7992</v>
      </c>
      <c r="K2390" s="0" t="s">
        <v>7993</v>
      </c>
      <c r="L2390" s="0" t="str">
        <f aca="false">HYPERLINK("https://www.ncbi.nlm.nih.gov/nuccore/CP000058.1?report=graph&amp;tracks=[key:gene_model_track,Options:GeneOnly]&amp;mk=750194:750213|offset_9|444444,750173:750192|offset_30|444444,750150:750169|offset_53|00cc00,750119:750138|offset_84|444444&amp;v=749993:750338&amp;c=444444", "offset 53")</f>
        <v>offset 53</v>
      </c>
    </row>
    <row r="2391" customFormat="false" ht="12.8" hidden="false" customHeight="false" outlineLevel="0" collapsed="false">
      <c r="A2391" s="0" t="s">
        <v>12</v>
      </c>
      <c r="B2391" s="0" t="n">
        <v>750118</v>
      </c>
      <c r="C2391" s="0" t="n">
        <v>750138</v>
      </c>
      <c r="D2391" s="0" t="s">
        <v>7983</v>
      </c>
      <c r="E2391" s="0" t="s">
        <v>7984</v>
      </c>
      <c r="F2391" s="0" t="s">
        <v>90</v>
      </c>
      <c r="G2391" s="0" t="s">
        <v>20</v>
      </c>
      <c r="H2391" s="0" t="n">
        <v>84</v>
      </c>
      <c r="I2391" s="0" t="s">
        <v>7994</v>
      </c>
      <c r="J2391" s="0" t="s">
        <v>7995</v>
      </c>
      <c r="K2391" s="0" t="s">
        <v>7996</v>
      </c>
      <c r="L2391" s="0" t="str">
        <f aca="false">HYPERLINK("https://www.ncbi.nlm.nih.gov/nuccore/CP000058.1?report=graph&amp;tracks=[key:gene_model_track,Options:GeneOnly]&amp;mk=750194:750213|offset_9|444444,750173:750192|offset_30|444444,750150:750169|offset_53|444444,750119:750138|offset_84|00cc00&amp;v=749993:750338&amp;c=444444", "offset 84")</f>
        <v>offset 84</v>
      </c>
    </row>
    <row r="2392" customFormat="false" ht="12.8" hidden="false" customHeight="false" outlineLevel="0" collapsed="false">
      <c r="A2392" s="0" t="s">
        <v>12</v>
      </c>
      <c r="B2392" s="0" t="n">
        <v>751489</v>
      </c>
      <c r="C2392" s="0" t="n">
        <v>751509</v>
      </c>
      <c r="D2392" s="0" t="s">
        <v>7997</v>
      </c>
      <c r="E2392" s="0" t="s">
        <v>7998</v>
      </c>
      <c r="F2392" s="0" t="s">
        <v>90</v>
      </c>
      <c r="G2392" s="0" t="s">
        <v>36</v>
      </c>
      <c r="H2392" s="0" t="n">
        <v>32</v>
      </c>
      <c r="I2392" s="0" t="s">
        <v>7999</v>
      </c>
      <c r="J2392" s="0" t="s">
        <v>8000</v>
      </c>
      <c r="K2392" s="0" t="s">
        <v>8001</v>
      </c>
      <c r="L2392" s="0" t="str">
        <f aca="false">HYPERLINK("https://www.ncbi.nlm.nih.gov/nuccore/CP000058.1?report=graph&amp;tracks=[key:gene_model_track,Options:GeneOnly]&amp;mk=751490:751509|offset_32|00cc00,751466:751485|offset_56|444444,751435:751454|offset_87|444444,751385:751404|offset_137|444444&amp;v=751289:751604&amp;c=444444", "offset 32")</f>
        <v>offset 32</v>
      </c>
    </row>
    <row r="2393" customFormat="false" ht="12.8" hidden="false" customHeight="false" outlineLevel="0" collapsed="false">
      <c r="A2393" s="0" t="s">
        <v>12</v>
      </c>
      <c r="B2393" s="0" t="n">
        <v>751465</v>
      </c>
      <c r="C2393" s="0" t="n">
        <v>751485</v>
      </c>
      <c r="D2393" s="0" t="s">
        <v>7997</v>
      </c>
      <c r="E2393" s="0" t="s">
        <v>7998</v>
      </c>
      <c r="F2393" s="0" t="s">
        <v>90</v>
      </c>
      <c r="G2393" s="0" t="s">
        <v>20</v>
      </c>
      <c r="H2393" s="0" t="n">
        <v>56</v>
      </c>
      <c r="I2393" s="0" t="s">
        <v>8002</v>
      </c>
      <c r="J2393" s="0" t="s">
        <v>8003</v>
      </c>
      <c r="K2393" s="0" t="s">
        <v>8004</v>
      </c>
      <c r="L2393" s="0" t="str">
        <f aca="false">HYPERLINK("https://www.ncbi.nlm.nih.gov/nuccore/CP000058.1?report=graph&amp;tracks=[key:gene_model_track,Options:GeneOnly]&amp;mk=751490:751509|offset_32|444444,751466:751485|offset_56|00cc00,751435:751454|offset_87|444444,751385:751404|offset_137|444444&amp;v=751289:751604&amp;c=444444", "offset 56")</f>
        <v>offset 56</v>
      </c>
    </row>
    <row r="2394" customFormat="false" ht="12.8" hidden="false" customHeight="false" outlineLevel="0" collapsed="false">
      <c r="A2394" s="0" t="s">
        <v>12</v>
      </c>
      <c r="B2394" s="0" t="n">
        <v>751434</v>
      </c>
      <c r="C2394" s="0" t="n">
        <v>751454</v>
      </c>
      <c r="D2394" s="0" t="s">
        <v>7997</v>
      </c>
      <c r="E2394" s="0" t="s">
        <v>7998</v>
      </c>
      <c r="F2394" s="0" t="s">
        <v>90</v>
      </c>
      <c r="G2394" s="0" t="s">
        <v>20</v>
      </c>
      <c r="H2394" s="0" t="n">
        <v>87</v>
      </c>
      <c r="I2394" s="0" t="s">
        <v>8005</v>
      </c>
      <c r="J2394" s="0" t="s">
        <v>8006</v>
      </c>
      <c r="K2394" s="0" t="s">
        <v>8007</v>
      </c>
      <c r="L2394" s="0" t="str">
        <f aca="false">HYPERLINK("https://www.ncbi.nlm.nih.gov/nuccore/CP000058.1?report=graph&amp;tracks=[key:gene_model_track,Options:GeneOnly]&amp;mk=751490:751509|offset_32|444444,751466:751485|offset_56|444444,751435:751454|offset_87|00cc00,751385:751404|offset_137|444444&amp;v=751289:751604&amp;c=444444", "offset 87")</f>
        <v>offset 87</v>
      </c>
    </row>
    <row r="2395" customFormat="false" ht="12.8" hidden="false" customHeight="false" outlineLevel="0" collapsed="false">
      <c r="A2395" s="0" t="s">
        <v>12</v>
      </c>
      <c r="B2395" s="0" t="n">
        <v>751384</v>
      </c>
      <c r="C2395" s="0" t="n">
        <v>751404</v>
      </c>
      <c r="D2395" s="0" t="s">
        <v>7997</v>
      </c>
      <c r="E2395" s="0" t="s">
        <v>7998</v>
      </c>
      <c r="F2395" s="0" t="s">
        <v>90</v>
      </c>
      <c r="G2395" s="0" t="s">
        <v>32</v>
      </c>
      <c r="H2395" s="0" t="n">
        <v>137</v>
      </c>
      <c r="I2395" s="0" t="s">
        <v>8008</v>
      </c>
      <c r="J2395" s="0" t="s">
        <v>8009</v>
      </c>
      <c r="K2395" s="0" t="s">
        <v>8010</v>
      </c>
      <c r="L2395" s="0" t="str">
        <f aca="false">HYPERLINK("https://www.ncbi.nlm.nih.gov/nuccore/CP000058.1?report=graph&amp;tracks=[key:gene_model_track,Options:GeneOnly]&amp;mk=751490:751509|offset_32|444444,751466:751485|offset_56|444444,751435:751454|offset_87|444444,751385:751404|offset_137|00cc00&amp;v=751289:751604&amp;c=444444", "offset 137")</f>
        <v>offset 137</v>
      </c>
    </row>
    <row r="2396" customFormat="false" ht="12.8" hidden="false" customHeight="false" outlineLevel="0" collapsed="false">
      <c r="A2396" s="0" t="s">
        <v>12</v>
      </c>
      <c r="B2396" s="0" t="n">
        <v>754207</v>
      </c>
      <c r="C2396" s="0" t="n">
        <v>754227</v>
      </c>
      <c r="D2396" s="0" t="s">
        <v>8011</v>
      </c>
      <c r="E2396" s="0" t="s">
        <v>75</v>
      </c>
      <c r="F2396" s="0" t="s">
        <v>90</v>
      </c>
      <c r="G2396" s="0" t="s">
        <v>20</v>
      </c>
      <c r="H2396" s="0" t="n">
        <v>9</v>
      </c>
      <c r="I2396" s="0" t="s">
        <v>8012</v>
      </c>
      <c r="J2396" s="0" t="s">
        <v>8013</v>
      </c>
      <c r="K2396" s="0" t="s">
        <v>8014</v>
      </c>
      <c r="L2396" s="0" t="str">
        <f aca="false">HYPERLINK("https://www.ncbi.nlm.nih.gov/nuccore/CP000058.1?report=graph&amp;tracks=[key:gene_model_track,Options:GeneOnly]&amp;mk=754208:754227|offset_9|00cc00,754183:754202|offset_34|444444,754144:754163|offset_73|444444,754123:754142|offset_94|444444&amp;v=754007:754342&amp;c=444444", "offset 9")</f>
        <v>offset 9</v>
      </c>
    </row>
    <row r="2397" customFormat="false" ht="12.8" hidden="false" customHeight="false" outlineLevel="0" collapsed="false">
      <c r="A2397" s="0" t="s">
        <v>12</v>
      </c>
      <c r="B2397" s="0" t="n">
        <v>754182</v>
      </c>
      <c r="C2397" s="0" t="n">
        <v>754202</v>
      </c>
      <c r="D2397" s="0" t="s">
        <v>8011</v>
      </c>
      <c r="E2397" s="0" t="s">
        <v>75</v>
      </c>
      <c r="F2397" s="0" t="s">
        <v>90</v>
      </c>
      <c r="G2397" s="0" t="s">
        <v>16</v>
      </c>
      <c r="H2397" s="0" t="n">
        <v>34</v>
      </c>
      <c r="I2397" s="0" t="s">
        <v>8015</v>
      </c>
      <c r="J2397" s="0" t="s">
        <v>8016</v>
      </c>
      <c r="K2397" s="0" t="s">
        <v>8017</v>
      </c>
      <c r="L2397" s="0" t="str">
        <f aca="false">HYPERLINK("https://www.ncbi.nlm.nih.gov/nuccore/CP000058.1?report=graph&amp;tracks=[key:gene_model_track,Options:GeneOnly]&amp;mk=754208:754227|offset_9|444444,754183:754202|offset_34|00cc00,754144:754163|offset_73|444444,754123:754142|offset_94|444444&amp;v=754007:754342&amp;c=444444", "offset 34")</f>
        <v>offset 34</v>
      </c>
    </row>
    <row r="2398" customFormat="false" ht="12.8" hidden="false" customHeight="false" outlineLevel="0" collapsed="false">
      <c r="A2398" s="0" t="s">
        <v>12</v>
      </c>
      <c r="B2398" s="0" t="n">
        <v>754143</v>
      </c>
      <c r="C2398" s="0" t="n">
        <v>754163</v>
      </c>
      <c r="D2398" s="0" t="s">
        <v>8011</v>
      </c>
      <c r="E2398" s="0" t="s">
        <v>75</v>
      </c>
      <c r="F2398" s="0" t="s">
        <v>90</v>
      </c>
      <c r="G2398" s="0" t="s">
        <v>20</v>
      </c>
      <c r="H2398" s="0" t="n">
        <v>73</v>
      </c>
      <c r="I2398" s="0" t="s">
        <v>8018</v>
      </c>
      <c r="J2398" s="0" t="s">
        <v>8019</v>
      </c>
      <c r="K2398" s="0" t="s">
        <v>8020</v>
      </c>
      <c r="L2398" s="0" t="str">
        <f aca="false">HYPERLINK("https://www.ncbi.nlm.nih.gov/nuccore/CP000058.1?report=graph&amp;tracks=[key:gene_model_track,Options:GeneOnly]&amp;mk=754208:754227|offset_9|444444,754183:754202|offset_34|444444,754144:754163|offset_73|00cc00,754123:754142|offset_94|444444&amp;v=754007:754342&amp;c=444444", "offset 73")</f>
        <v>offset 73</v>
      </c>
    </row>
    <row r="2399" customFormat="false" ht="12.8" hidden="false" customHeight="false" outlineLevel="0" collapsed="false">
      <c r="A2399" s="0" t="s">
        <v>12</v>
      </c>
      <c r="B2399" s="0" t="n">
        <v>754122</v>
      </c>
      <c r="C2399" s="0" t="n">
        <v>754142</v>
      </c>
      <c r="D2399" s="0" t="s">
        <v>8011</v>
      </c>
      <c r="E2399" s="0" t="s">
        <v>75</v>
      </c>
      <c r="F2399" s="0" t="s">
        <v>90</v>
      </c>
      <c r="G2399" s="0" t="s">
        <v>32</v>
      </c>
      <c r="H2399" s="0" t="n">
        <v>94</v>
      </c>
      <c r="I2399" s="0" t="s">
        <v>8021</v>
      </c>
      <c r="J2399" s="0" t="s">
        <v>8022</v>
      </c>
      <c r="K2399" s="0" t="s">
        <v>8023</v>
      </c>
      <c r="L2399" s="0" t="str">
        <f aca="false">HYPERLINK("https://www.ncbi.nlm.nih.gov/nuccore/CP000058.1?report=graph&amp;tracks=[key:gene_model_track,Options:GeneOnly]&amp;mk=754208:754227|offset_9|444444,754183:754202|offset_34|444444,754144:754163|offset_73|444444,754123:754142|offset_94|00cc00&amp;v=754007:754342&amp;c=444444", "offset 94")</f>
        <v>offset 94</v>
      </c>
    </row>
    <row r="2400" customFormat="false" ht="12.8" hidden="false" customHeight="false" outlineLevel="0" collapsed="false">
      <c r="A2400" s="0" t="s">
        <v>12</v>
      </c>
      <c r="B2400" s="0" t="n">
        <v>754454</v>
      </c>
      <c r="C2400" s="0" t="n">
        <v>754474</v>
      </c>
      <c r="D2400" s="0" t="s">
        <v>8024</v>
      </c>
      <c r="E2400" s="0" t="s">
        <v>75</v>
      </c>
      <c r="F2400" s="0" t="s">
        <v>15</v>
      </c>
      <c r="G2400" s="0" t="s">
        <v>20</v>
      </c>
      <c r="H2400" s="0" t="n">
        <v>23</v>
      </c>
      <c r="I2400" s="0" t="s">
        <v>8025</v>
      </c>
      <c r="J2400" s="0" t="s">
        <v>8026</v>
      </c>
      <c r="K2400" s="0" t="s">
        <v>8027</v>
      </c>
      <c r="L2400" s="0" t="str">
        <f aca="false">HYPERLINK("https://www.ncbi.nlm.nih.gov/nuccore/CP000058.1?report=graph&amp;tracks=[key:gene_model_track,Options:GeneOnly]&amp;mk=754455:754474|offset_23|00cc00,754492:754511|offset_60|444444,754528:754547|offset_96|444444,754550:754569|offset_118|444444&amp;v=754254:754769&amp;c=444444", "offset 23")</f>
        <v>offset 23</v>
      </c>
    </row>
    <row r="2401" customFormat="false" ht="12.8" hidden="false" customHeight="false" outlineLevel="0" collapsed="false">
      <c r="A2401" s="0" t="s">
        <v>12</v>
      </c>
      <c r="B2401" s="0" t="n">
        <v>754491</v>
      </c>
      <c r="C2401" s="0" t="n">
        <v>754511</v>
      </c>
      <c r="D2401" s="0" t="s">
        <v>8024</v>
      </c>
      <c r="E2401" s="0" t="s">
        <v>75</v>
      </c>
      <c r="F2401" s="0" t="s">
        <v>15</v>
      </c>
      <c r="G2401" s="0" t="s">
        <v>32</v>
      </c>
      <c r="H2401" s="0" t="n">
        <v>60</v>
      </c>
      <c r="I2401" s="0" t="s">
        <v>8028</v>
      </c>
      <c r="J2401" s="0" t="s">
        <v>8029</v>
      </c>
      <c r="K2401" s="0" t="s">
        <v>8030</v>
      </c>
      <c r="L2401" s="0" t="str">
        <f aca="false">HYPERLINK("https://www.ncbi.nlm.nih.gov/nuccore/CP000058.1?report=graph&amp;tracks=[key:gene_model_track,Options:GeneOnly]&amp;mk=754455:754474|offset_23|444444,754492:754511|offset_60|00cc00,754528:754547|offset_96|444444,754550:754569|offset_118|444444&amp;v=754254:754769&amp;c=444444", "offset 60")</f>
        <v>offset 60</v>
      </c>
    </row>
    <row r="2402" customFormat="false" ht="12.8" hidden="false" customHeight="false" outlineLevel="0" collapsed="false">
      <c r="A2402" s="0" t="s">
        <v>12</v>
      </c>
      <c r="B2402" s="0" t="n">
        <v>754527</v>
      </c>
      <c r="C2402" s="0" t="n">
        <v>754547</v>
      </c>
      <c r="D2402" s="0" t="s">
        <v>8024</v>
      </c>
      <c r="E2402" s="0" t="s">
        <v>75</v>
      </c>
      <c r="F2402" s="0" t="s">
        <v>15</v>
      </c>
      <c r="G2402" s="0" t="s">
        <v>36</v>
      </c>
      <c r="H2402" s="0" t="n">
        <v>96</v>
      </c>
      <c r="I2402" s="0" t="s">
        <v>8031</v>
      </c>
      <c r="J2402" s="0" t="s">
        <v>8032</v>
      </c>
      <c r="K2402" s="0" t="s">
        <v>8033</v>
      </c>
      <c r="L2402" s="0" t="str">
        <f aca="false">HYPERLINK("https://www.ncbi.nlm.nih.gov/nuccore/CP000058.1?report=graph&amp;tracks=[key:gene_model_track,Options:GeneOnly]&amp;mk=754455:754474|offset_23|444444,754492:754511|offset_60|444444,754528:754547|offset_96|00cc00,754550:754569|offset_118|444444&amp;v=754254:754769&amp;c=444444", "offset 96")</f>
        <v>offset 96</v>
      </c>
    </row>
    <row r="2403" customFormat="false" ht="12.8" hidden="false" customHeight="false" outlineLevel="0" collapsed="false">
      <c r="A2403" s="0" t="s">
        <v>12</v>
      </c>
      <c r="B2403" s="0" t="n">
        <v>754549</v>
      </c>
      <c r="C2403" s="0" t="n">
        <v>754569</v>
      </c>
      <c r="D2403" s="0" t="s">
        <v>8024</v>
      </c>
      <c r="E2403" s="0" t="s">
        <v>75</v>
      </c>
      <c r="F2403" s="0" t="s">
        <v>15</v>
      </c>
      <c r="G2403" s="0" t="s">
        <v>32</v>
      </c>
      <c r="H2403" s="0" t="n">
        <v>118</v>
      </c>
      <c r="I2403" s="0" t="s">
        <v>8034</v>
      </c>
      <c r="J2403" s="0" t="s">
        <v>8035</v>
      </c>
      <c r="K2403" s="0" t="s">
        <v>8036</v>
      </c>
      <c r="L2403" s="0" t="str">
        <f aca="false">HYPERLINK("https://www.ncbi.nlm.nih.gov/nuccore/CP000058.1?report=graph&amp;tracks=[key:gene_model_track,Options:GeneOnly]&amp;mk=754455:754474|offset_23|444444,754492:754511|offset_60|444444,754528:754547|offset_96|444444,754550:754569|offset_118|00cc00&amp;v=754254:754769&amp;c=444444", "offset 118")</f>
        <v>offset 118</v>
      </c>
    </row>
    <row r="2404" customFormat="false" ht="12.8" hidden="false" customHeight="false" outlineLevel="0" collapsed="false">
      <c r="A2404" s="0" t="s">
        <v>12</v>
      </c>
      <c r="B2404" s="0" t="n">
        <v>755531</v>
      </c>
      <c r="C2404" s="0" t="n">
        <v>755551</v>
      </c>
      <c r="D2404" s="0" t="s">
        <v>8037</v>
      </c>
      <c r="E2404" s="0" t="s">
        <v>75</v>
      </c>
      <c r="F2404" s="0" t="s">
        <v>15</v>
      </c>
      <c r="G2404" s="0" t="s">
        <v>32</v>
      </c>
      <c r="H2404" s="0" t="n">
        <v>10</v>
      </c>
      <c r="I2404" s="0" t="s">
        <v>8038</v>
      </c>
      <c r="J2404" s="0" t="s">
        <v>8039</v>
      </c>
      <c r="K2404" s="0" t="s">
        <v>8040</v>
      </c>
      <c r="L2404" s="0" t="str">
        <f aca="false">HYPERLINK("https://www.ncbi.nlm.nih.gov/nuccore/CP000058.1?report=graph&amp;tracks=[key:gene_model_track,Options:GeneOnly]&amp;mk=755532:755551|offset_10|00cc00,755569:755588|offset_47|444444,755589:755608|offset_67|444444,755632:755651|offset_110|444444&amp;v=755331:755851&amp;c=444444", "offset 10")</f>
        <v>offset 10</v>
      </c>
    </row>
    <row r="2405" customFormat="false" ht="12.8" hidden="false" customHeight="false" outlineLevel="0" collapsed="false">
      <c r="A2405" s="0" t="s">
        <v>12</v>
      </c>
      <c r="B2405" s="0" t="n">
        <v>755568</v>
      </c>
      <c r="C2405" s="0" t="n">
        <v>755588</v>
      </c>
      <c r="D2405" s="0" t="s">
        <v>8037</v>
      </c>
      <c r="E2405" s="0" t="s">
        <v>75</v>
      </c>
      <c r="F2405" s="0" t="s">
        <v>15</v>
      </c>
      <c r="G2405" s="0" t="s">
        <v>36</v>
      </c>
      <c r="H2405" s="0" t="n">
        <v>47</v>
      </c>
      <c r="I2405" s="0" t="s">
        <v>8041</v>
      </c>
      <c r="J2405" s="0" t="s">
        <v>8042</v>
      </c>
      <c r="K2405" s="0" t="s">
        <v>8043</v>
      </c>
      <c r="L2405" s="0" t="str">
        <f aca="false">HYPERLINK("https://www.ncbi.nlm.nih.gov/nuccore/CP000058.1?report=graph&amp;tracks=[key:gene_model_track,Options:GeneOnly]&amp;mk=755532:755551|offset_10|444444,755569:755588|offset_47|00cc00,755589:755608|offset_67|444444,755632:755651|offset_110|444444&amp;v=755331:755851&amp;c=444444", "offset 47")</f>
        <v>offset 47</v>
      </c>
    </row>
    <row r="2406" customFormat="false" ht="12.8" hidden="false" customHeight="false" outlineLevel="0" collapsed="false">
      <c r="A2406" s="0" t="s">
        <v>12</v>
      </c>
      <c r="B2406" s="0" t="n">
        <v>755588</v>
      </c>
      <c r="C2406" s="0" t="n">
        <v>755608</v>
      </c>
      <c r="D2406" s="0" t="s">
        <v>8037</v>
      </c>
      <c r="E2406" s="0" t="s">
        <v>75</v>
      </c>
      <c r="F2406" s="0" t="s">
        <v>15</v>
      </c>
      <c r="G2406" s="0" t="s">
        <v>32</v>
      </c>
      <c r="H2406" s="0" t="n">
        <v>67</v>
      </c>
      <c r="I2406" s="0" t="s">
        <v>8044</v>
      </c>
      <c r="J2406" s="0" t="s">
        <v>8045</v>
      </c>
      <c r="K2406" s="0" t="s">
        <v>8046</v>
      </c>
      <c r="L2406" s="0" t="str">
        <f aca="false">HYPERLINK("https://www.ncbi.nlm.nih.gov/nuccore/CP000058.1?report=graph&amp;tracks=[key:gene_model_track,Options:GeneOnly]&amp;mk=755532:755551|offset_10|444444,755569:755588|offset_47|444444,755589:755608|offset_67|00cc00,755632:755651|offset_110|444444&amp;v=755331:755851&amp;c=444444", "offset 67")</f>
        <v>offset 67</v>
      </c>
    </row>
    <row r="2407" customFormat="false" ht="12.8" hidden="false" customHeight="false" outlineLevel="0" collapsed="false">
      <c r="A2407" s="0" t="s">
        <v>12</v>
      </c>
      <c r="B2407" s="0" t="n">
        <v>755631</v>
      </c>
      <c r="C2407" s="0" t="n">
        <v>755651</v>
      </c>
      <c r="D2407" s="0" t="s">
        <v>8037</v>
      </c>
      <c r="E2407" s="0" t="s">
        <v>75</v>
      </c>
      <c r="F2407" s="0" t="s">
        <v>15</v>
      </c>
      <c r="G2407" s="0" t="s">
        <v>32</v>
      </c>
      <c r="H2407" s="0" t="n">
        <v>110</v>
      </c>
      <c r="I2407" s="0" t="s">
        <v>8047</v>
      </c>
      <c r="J2407" s="0" t="s">
        <v>8048</v>
      </c>
      <c r="K2407" s="0" t="s">
        <v>8049</v>
      </c>
      <c r="L2407" s="0" t="str">
        <f aca="false">HYPERLINK("https://www.ncbi.nlm.nih.gov/nuccore/CP000058.1?report=graph&amp;tracks=[key:gene_model_track,Options:GeneOnly]&amp;mk=755532:755551|offset_10|444444,755569:755588|offset_47|444444,755589:755608|offset_67|444444,755632:755651|offset_110|00cc00&amp;v=755331:755851&amp;c=444444", "offset 110")</f>
        <v>offset 110</v>
      </c>
    </row>
    <row r="2408" customFormat="false" ht="12.8" hidden="false" customHeight="false" outlineLevel="0" collapsed="false">
      <c r="A2408" s="0" t="s">
        <v>12</v>
      </c>
      <c r="B2408" s="0" t="n">
        <v>756205</v>
      </c>
      <c r="C2408" s="0" t="n">
        <v>756225</v>
      </c>
      <c r="D2408" s="0" t="s">
        <v>8050</v>
      </c>
      <c r="E2408" s="0" t="s">
        <v>75</v>
      </c>
      <c r="F2408" s="0" t="s">
        <v>15</v>
      </c>
      <c r="G2408" s="0" t="s">
        <v>20</v>
      </c>
      <c r="H2408" s="0" t="n">
        <v>12</v>
      </c>
      <c r="I2408" s="0" t="s">
        <v>8051</v>
      </c>
      <c r="J2408" s="0" t="s">
        <v>8052</v>
      </c>
      <c r="K2408" s="0" t="s">
        <v>8053</v>
      </c>
      <c r="L2408" s="0" t="str">
        <f aca="false">HYPERLINK("https://www.ncbi.nlm.nih.gov/nuccore/CP000058.1?report=graph&amp;tracks=[key:gene_model_track,Options:GeneOnly]&amp;mk=756206:756225|offset_12|00cc00,756246:756265|offset_52|444444,756301:756320|offset_107|444444,756359:756378|offset_165|444444&amp;v=756005:756578&amp;c=444444", "offset 12")</f>
        <v>offset 12</v>
      </c>
    </row>
    <row r="2409" customFormat="false" ht="12.8" hidden="false" customHeight="false" outlineLevel="0" collapsed="false">
      <c r="A2409" s="0" t="s">
        <v>12</v>
      </c>
      <c r="B2409" s="0" t="n">
        <v>756245</v>
      </c>
      <c r="C2409" s="0" t="n">
        <v>756265</v>
      </c>
      <c r="D2409" s="0" t="s">
        <v>8050</v>
      </c>
      <c r="E2409" s="0" t="s">
        <v>75</v>
      </c>
      <c r="F2409" s="0" t="s">
        <v>15</v>
      </c>
      <c r="G2409" s="0" t="s">
        <v>32</v>
      </c>
      <c r="H2409" s="0" t="n">
        <v>52</v>
      </c>
      <c r="I2409" s="0" t="s">
        <v>8054</v>
      </c>
      <c r="J2409" s="0" t="s">
        <v>8055</v>
      </c>
      <c r="K2409" s="0" t="s">
        <v>8056</v>
      </c>
      <c r="L2409" s="0" t="str">
        <f aca="false">HYPERLINK("https://www.ncbi.nlm.nih.gov/nuccore/CP000058.1?report=graph&amp;tracks=[key:gene_model_track,Options:GeneOnly]&amp;mk=756206:756225|offset_12|444444,756246:756265|offset_52|00cc00,756301:756320|offset_107|444444,756359:756378|offset_165|444444&amp;v=756005:756578&amp;c=444444", "offset 52")</f>
        <v>offset 52</v>
      </c>
    </row>
    <row r="2410" customFormat="false" ht="12.8" hidden="false" customHeight="false" outlineLevel="0" collapsed="false">
      <c r="A2410" s="0" t="s">
        <v>12</v>
      </c>
      <c r="B2410" s="0" t="n">
        <v>756300</v>
      </c>
      <c r="C2410" s="0" t="n">
        <v>756320</v>
      </c>
      <c r="D2410" s="0" t="s">
        <v>8050</v>
      </c>
      <c r="E2410" s="0" t="s">
        <v>75</v>
      </c>
      <c r="F2410" s="0" t="s">
        <v>15</v>
      </c>
      <c r="G2410" s="0" t="s">
        <v>20</v>
      </c>
      <c r="H2410" s="0" t="n">
        <v>107</v>
      </c>
      <c r="I2410" s="0" t="s">
        <v>8057</v>
      </c>
      <c r="J2410" s="0" t="s">
        <v>8058</v>
      </c>
      <c r="K2410" s="0" t="s">
        <v>8059</v>
      </c>
      <c r="L2410" s="0" t="str">
        <f aca="false">HYPERLINK("https://www.ncbi.nlm.nih.gov/nuccore/CP000058.1?report=graph&amp;tracks=[key:gene_model_track,Options:GeneOnly]&amp;mk=756206:756225|offset_12|444444,756246:756265|offset_52|444444,756301:756320|offset_107|00cc00,756359:756378|offset_165|444444&amp;v=756005:756578&amp;c=444444", "offset 107")</f>
        <v>offset 107</v>
      </c>
    </row>
    <row r="2411" customFormat="false" ht="12.8" hidden="false" customHeight="false" outlineLevel="0" collapsed="false">
      <c r="A2411" s="0" t="s">
        <v>12</v>
      </c>
      <c r="B2411" s="0" t="n">
        <v>756358</v>
      </c>
      <c r="C2411" s="0" t="n">
        <v>756378</v>
      </c>
      <c r="D2411" s="0" t="s">
        <v>8050</v>
      </c>
      <c r="E2411" s="0" t="s">
        <v>75</v>
      </c>
      <c r="F2411" s="0" t="s">
        <v>15</v>
      </c>
      <c r="G2411" s="0" t="s">
        <v>36</v>
      </c>
      <c r="H2411" s="0" t="n">
        <v>165</v>
      </c>
      <c r="I2411" s="0" t="s">
        <v>8060</v>
      </c>
      <c r="J2411" s="0" t="s">
        <v>8061</v>
      </c>
      <c r="K2411" s="0" t="s">
        <v>8062</v>
      </c>
      <c r="L2411" s="0" t="str">
        <f aca="false">HYPERLINK("https://www.ncbi.nlm.nih.gov/nuccore/CP000058.1?report=graph&amp;tracks=[key:gene_model_track,Options:GeneOnly]&amp;mk=756206:756225|offset_12|444444,756246:756265|offset_52|444444,756301:756320|offset_107|444444,756359:756378|offset_165|00cc00&amp;v=756005:756578&amp;c=444444", "offset 165")</f>
        <v>offset 165</v>
      </c>
    </row>
    <row r="2412" customFormat="false" ht="12.8" hidden="false" customHeight="false" outlineLevel="0" collapsed="false">
      <c r="A2412" s="0" t="s">
        <v>12</v>
      </c>
      <c r="B2412" s="0" t="n">
        <v>757960</v>
      </c>
      <c r="C2412" s="0" t="n">
        <v>757980</v>
      </c>
      <c r="D2412" s="0" t="s">
        <v>8063</v>
      </c>
      <c r="E2412" s="0" t="s">
        <v>75</v>
      </c>
      <c r="F2412" s="0" t="s">
        <v>90</v>
      </c>
      <c r="G2412" s="0" t="s">
        <v>16</v>
      </c>
      <c r="H2412" s="0" t="n">
        <v>12</v>
      </c>
      <c r="I2412" s="0" t="s">
        <v>8064</v>
      </c>
      <c r="J2412" s="0" t="s">
        <v>8065</v>
      </c>
      <c r="K2412" s="0" t="s">
        <v>8066</v>
      </c>
      <c r="L2412" s="0" t="str">
        <f aca="false">HYPERLINK("https://www.ncbi.nlm.nih.gov/nuccore/CP000058.1?report=graph&amp;tracks=[key:gene_model_track,Options:GeneOnly]&amp;mk=757961:757980|offset_12|00cc00,757931:757950|offset_42|444444,757908:757927|offset_65|444444,757879:757898|offset_94|444444&amp;v=757760:758098&amp;c=444444", "offset 12")</f>
        <v>offset 12</v>
      </c>
    </row>
    <row r="2413" customFormat="false" ht="12.8" hidden="false" customHeight="false" outlineLevel="0" collapsed="false">
      <c r="A2413" s="0" t="s">
        <v>12</v>
      </c>
      <c r="B2413" s="0" t="n">
        <v>757930</v>
      </c>
      <c r="C2413" s="0" t="n">
        <v>757950</v>
      </c>
      <c r="D2413" s="0" t="s">
        <v>8063</v>
      </c>
      <c r="E2413" s="0" t="s">
        <v>75</v>
      </c>
      <c r="F2413" s="0" t="s">
        <v>90</v>
      </c>
      <c r="G2413" s="0" t="s">
        <v>20</v>
      </c>
      <c r="H2413" s="0" t="n">
        <v>42</v>
      </c>
      <c r="I2413" s="0" t="s">
        <v>8067</v>
      </c>
      <c r="J2413" s="0" t="s">
        <v>8068</v>
      </c>
      <c r="K2413" s="0" t="s">
        <v>8069</v>
      </c>
      <c r="L2413" s="0" t="str">
        <f aca="false">HYPERLINK("https://www.ncbi.nlm.nih.gov/nuccore/CP000058.1?report=graph&amp;tracks=[key:gene_model_track,Options:GeneOnly]&amp;mk=757961:757980|offset_12|444444,757931:757950|offset_42|00cc00,757908:757927|offset_65|444444,757879:757898|offset_94|444444&amp;v=757760:758098&amp;c=444444", "offset 42")</f>
        <v>offset 42</v>
      </c>
    </row>
    <row r="2414" customFormat="false" ht="12.8" hidden="false" customHeight="false" outlineLevel="0" collapsed="false">
      <c r="A2414" s="0" t="s">
        <v>12</v>
      </c>
      <c r="B2414" s="0" t="n">
        <v>757907</v>
      </c>
      <c r="C2414" s="0" t="n">
        <v>757927</v>
      </c>
      <c r="D2414" s="0" t="s">
        <v>8063</v>
      </c>
      <c r="E2414" s="0" t="s">
        <v>75</v>
      </c>
      <c r="F2414" s="0" t="s">
        <v>90</v>
      </c>
      <c r="G2414" s="0" t="s">
        <v>20</v>
      </c>
      <c r="H2414" s="0" t="n">
        <v>65</v>
      </c>
      <c r="I2414" s="0" t="s">
        <v>8070</v>
      </c>
      <c r="J2414" s="0" t="s">
        <v>8071</v>
      </c>
      <c r="K2414" s="0" t="s">
        <v>8072</v>
      </c>
      <c r="L2414" s="0" t="str">
        <f aca="false">HYPERLINK("https://www.ncbi.nlm.nih.gov/nuccore/CP000058.1?report=graph&amp;tracks=[key:gene_model_track,Options:GeneOnly]&amp;mk=757961:757980|offset_12|444444,757931:757950|offset_42|444444,757908:757927|offset_65|00cc00,757879:757898|offset_94|444444&amp;v=757760:758098&amp;c=444444", "offset 65")</f>
        <v>offset 65</v>
      </c>
    </row>
    <row r="2415" customFormat="false" ht="12.8" hidden="false" customHeight="false" outlineLevel="0" collapsed="false">
      <c r="A2415" s="0" t="s">
        <v>12</v>
      </c>
      <c r="B2415" s="0" t="n">
        <v>757878</v>
      </c>
      <c r="C2415" s="0" t="n">
        <v>757898</v>
      </c>
      <c r="D2415" s="0" t="s">
        <v>8063</v>
      </c>
      <c r="E2415" s="0" t="s">
        <v>75</v>
      </c>
      <c r="F2415" s="0" t="s">
        <v>90</v>
      </c>
      <c r="G2415" s="0" t="s">
        <v>16</v>
      </c>
      <c r="H2415" s="0" t="n">
        <v>94</v>
      </c>
      <c r="I2415" s="0" t="s">
        <v>8073</v>
      </c>
      <c r="J2415" s="0" t="s">
        <v>8074</v>
      </c>
      <c r="K2415" s="0" t="s">
        <v>8075</v>
      </c>
      <c r="L2415" s="0" t="str">
        <f aca="false">HYPERLINK("https://www.ncbi.nlm.nih.gov/nuccore/CP000058.1?report=graph&amp;tracks=[key:gene_model_track,Options:GeneOnly]&amp;mk=757961:757980|offset_12|444444,757931:757950|offset_42|444444,757908:757927|offset_65|444444,757879:757898|offset_94|00cc00&amp;v=757760:758098&amp;c=444444", "offset 94")</f>
        <v>offset 94</v>
      </c>
    </row>
    <row r="2416" customFormat="false" ht="12.8" hidden="false" customHeight="false" outlineLevel="0" collapsed="false">
      <c r="A2416" s="0" t="s">
        <v>12</v>
      </c>
      <c r="B2416" s="0" t="n">
        <v>758116</v>
      </c>
      <c r="C2416" s="0" t="n">
        <v>758136</v>
      </c>
      <c r="D2416" s="0" t="s">
        <v>8076</v>
      </c>
      <c r="E2416" s="0" t="s">
        <v>75</v>
      </c>
      <c r="F2416" s="0" t="s">
        <v>15</v>
      </c>
      <c r="G2416" s="0" t="s">
        <v>16</v>
      </c>
      <c r="H2416" s="0" t="n">
        <v>22</v>
      </c>
      <c r="I2416" s="0" t="s">
        <v>8077</v>
      </c>
      <c r="J2416" s="0" t="s">
        <v>8078</v>
      </c>
      <c r="K2416" s="0" t="s">
        <v>8079</v>
      </c>
      <c r="L2416" s="0" t="str">
        <f aca="false">HYPERLINK("https://www.ncbi.nlm.nih.gov/nuccore/CP000058.1?report=graph&amp;tracks=[key:gene_model_track,Options:GeneOnly]&amp;mk=758117:758136|offset_22|00cc00,758174:758193|offset_79|444444,758197:758216|offset_102|444444,758244:758263|offset_149|444444&amp;v=757916:758463&amp;c=444444", "offset 22")</f>
        <v>offset 22</v>
      </c>
    </row>
    <row r="2417" customFormat="false" ht="12.8" hidden="false" customHeight="false" outlineLevel="0" collapsed="false">
      <c r="A2417" s="0" t="s">
        <v>12</v>
      </c>
      <c r="B2417" s="0" t="n">
        <v>758173</v>
      </c>
      <c r="C2417" s="0" t="n">
        <v>758193</v>
      </c>
      <c r="D2417" s="0" t="s">
        <v>8076</v>
      </c>
      <c r="E2417" s="0" t="s">
        <v>75</v>
      </c>
      <c r="F2417" s="0" t="s">
        <v>15</v>
      </c>
      <c r="G2417" s="0" t="s">
        <v>16</v>
      </c>
      <c r="H2417" s="0" t="n">
        <v>79</v>
      </c>
      <c r="I2417" s="0" t="s">
        <v>8080</v>
      </c>
      <c r="J2417" s="0" t="s">
        <v>8081</v>
      </c>
      <c r="K2417" s="0" t="s">
        <v>8082</v>
      </c>
      <c r="L2417" s="0" t="str">
        <f aca="false">HYPERLINK("https://www.ncbi.nlm.nih.gov/nuccore/CP000058.1?report=graph&amp;tracks=[key:gene_model_track,Options:GeneOnly]&amp;mk=758117:758136|offset_22|444444,758174:758193|offset_79|00cc00,758197:758216|offset_102|444444,758244:758263|offset_149|444444&amp;v=757916:758463&amp;c=444444", "offset 79")</f>
        <v>offset 79</v>
      </c>
    </row>
    <row r="2418" customFormat="false" ht="12.8" hidden="false" customHeight="false" outlineLevel="0" collapsed="false">
      <c r="A2418" s="0" t="s">
        <v>12</v>
      </c>
      <c r="B2418" s="0" t="n">
        <v>758196</v>
      </c>
      <c r="C2418" s="0" t="n">
        <v>758216</v>
      </c>
      <c r="D2418" s="0" t="s">
        <v>8076</v>
      </c>
      <c r="E2418" s="0" t="s">
        <v>75</v>
      </c>
      <c r="F2418" s="0" t="s">
        <v>15</v>
      </c>
      <c r="G2418" s="0" t="s">
        <v>20</v>
      </c>
      <c r="H2418" s="0" t="n">
        <v>102</v>
      </c>
      <c r="I2418" s="0" t="s">
        <v>8083</v>
      </c>
      <c r="J2418" s="0" t="s">
        <v>8084</v>
      </c>
      <c r="K2418" s="0" t="s">
        <v>8085</v>
      </c>
      <c r="L2418" s="0" t="str">
        <f aca="false">HYPERLINK("https://www.ncbi.nlm.nih.gov/nuccore/CP000058.1?report=graph&amp;tracks=[key:gene_model_track,Options:GeneOnly]&amp;mk=758117:758136|offset_22|444444,758174:758193|offset_79|444444,758197:758216|offset_102|00cc00,758244:758263|offset_149|444444&amp;v=757916:758463&amp;c=444444", "offset 102")</f>
        <v>offset 102</v>
      </c>
    </row>
    <row r="2419" customFormat="false" ht="12.8" hidden="false" customHeight="false" outlineLevel="0" collapsed="false">
      <c r="A2419" s="0" t="s">
        <v>12</v>
      </c>
      <c r="B2419" s="0" t="n">
        <v>758243</v>
      </c>
      <c r="C2419" s="0" t="n">
        <v>758263</v>
      </c>
      <c r="D2419" s="0" t="s">
        <v>8076</v>
      </c>
      <c r="E2419" s="0" t="s">
        <v>75</v>
      </c>
      <c r="F2419" s="0" t="s">
        <v>15</v>
      </c>
      <c r="G2419" s="0" t="s">
        <v>36</v>
      </c>
      <c r="H2419" s="0" t="n">
        <v>149</v>
      </c>
      <c r="I2419" s="0" t="s">
        <v>8086</v>
      </c>
      <c r="J2419" s="0" t="s">
        <v>8087</v>
      </c>
      <c r="K2419" s="0" t="s">
        <v>8088</v>
      </c>
      <c r="L2419" s="0" t="str">
        <f aca="false">HYPERLINK("https://www.ncbi.nlm.nih.gov/nuccore/CP000058.1?report=graph&amp;tracks=[key:gene_model_track,Options:GeneOnly]&amp;mk=758117:758136|offset_22|444444,758174:758193|offset_79|444444,758197:758216|offset_102|444444,758244:758263|offset_149|00cc00&amp;v=757916:758463&amp;c=444444", "offset 149")</f>
        <v>offset 149</v>
      </c>
    </row>
    <row r="2420" customFormat="false" ht="12.8" hidden="false" customHeight="false" outlineLevel="0" collapsed="false">
      <c r="A2420" s="0" t="s">
        <v>12</v>
      </c>
      <c r="B2420" s="0" t="n">
        <v>760125</v>
      </c>
      <c r="C2420" s="0" t="n">
        <v>760145</v>
      </c>
      <c r="D2420" s="0" t="s">
        <v>8089</v>
      </c>
      <c r="E2420" s="0" t="s">
        <v>75</v>
      </c>
      <c r="F2420" s="0" t="s">
        <v>15</v>
      </c>
      <c r="G2420" s="0" t="s">
        <v>16</v>
      </c>
      <c r="H2420" s="0" t="n">
        <v>22</v>
      </c>
      <c r="I2420" s="0" t="s">
        <v>8090</v>
      </c>
      <c r="J2420" s="0" t="s">
        <v>8091</v>
      </c>
      <c r="K2420" s="0" t="s">
        <v>8092</v>
      </c>
      <c r="L2420" s="0" t="str">
        <f aca="false">HYPERLINK("https://www.ncbi.nlm.nih.gov/nuccore/CP000058.1?report=graph&amp;tracks=[key:gene_model_track,Options:GeneOnly]&amp;mk=760126:760145|offset_22|00cc00,760177:760196|offset_73|444444,760204:760223|offset_100|444444,760231:760250|offset_127|444444&amp;v=759925:760450&amp;c=444444", "offset 22")</f>
        <v>offset 22</v>
      </c>
    </row>
    <row r="2421" customFormat="false" ht="12.8" hidden="false" customHeight="false" outlineLevel="0" collapsed="false">
      <c r="A2421" s="0" t="s">
        <v>12</v>
      </c>
      <c r="B2421" s="0" t="n">
        <v>760176</v>
      </c>
      <c r="C2421" s="0" t="n">
        <v>760196</v>
      </c>
      <c r="D2421" s="0" t="s">
        <v>8089</v>
      </c>
      <c r="E2421" s="0" t="s">
        <v>75</v>
      </c>
      <c r="F2421" s="0" t="s">
        <v>15</v>
      </c>
      <c r="G2421" s="0" t="s">
        <v>32</v>
      </c>
      <c r="H2421" s="0" t="n">
        <v>73</v>
      </c>
      <c r="I2421" s="0" t="s">
        <v>8093</v>
      </c>
      <c r="J2421" s="0" t="s">
        <v>8094</v>
      </c>
      <c r="K2421" s="0" t="s">
        <v>8095</v>
      </c>
      <c r="L2421" s="0" t="str">
        <f aca="false">HYPERLINK("https://www.ncbi.nlm.nih.gov/nuccore/CP000058.1?report=graph&amp;tracks=[key:gene_model_track,Options:GeneOnly]&amp;mk=760126:760145|offset_22|444444,760177:760196|offset_73|00cc00,760204:760223|offset_100|444444,760231:760250|offset_127|444444&amp;v=759925:760450&amp;c=444444", "offset 73")</f>
        <v>offset 73</v>
      </c>
    </row>
    <row r="2422" customFormat="false" ht="12.8" hidden="false" customHeight="false" outlineLevel="0" collapsed="false">
      <c r="A2422" s="0" t="s">
        <v>12</v>
      </c>
      <c r="B2422" s="0" t="n">
        <v>760203</v>
      </c>
      <c r="C2422" s="0" t="n">
        <v>760223</v>
      </c>
      <c r="D2422" s="0" t="s">
        <v>8089</v>
      </c>
      <c r="E2422" s="0" t="s">
        <v>75</v>
      </c>
      <c r="F2422" s="0" t="s">
        <v>15</v>
      </c>
      <c r="G2422" s="0" t="s">
        <v>32</v>
      </c>
      <c r="H2422" s="0" t="n">
        <v>100</v>
      </c>
      <c r="I2422" s="0" t="s">
        <v>8096</v>
      </c>
      <c r="J2422" s="0" t="s">
        <v>8097</v>
      </c>
      <c r="K2422" s="0" t="s">
        <v>8098</v>
      </c>
      <c r="L2422" s="0" t="str">
        <f aca="false">HYPERLINK("https://www.ncbi.nlm.nih.gov/nuccore/CP000058.1?report=graph&amp;tracks=[key:gene_model_track,Options:GeneOnly]&amp;mk=760126:760145|offset_22|444444,760177:760196|offset_73|444444,760204:760223|offset_100|00cc00,760231:760250|offset_127|444444&amp;v=759925:760450&amp;c=444444", "offset 100")</f>
        <v>offset 100</v>
      </c>
    </row>
    <row r="2423" customFormat="false" ht="12.8" hidden="false" customHeight="false" outlineLevel="0" collapsed="false">
      <c r="A2423" s="0" t="s">
        <v>12</v>
      </c>
      <c r="B2423" s="0" t="n">
        <v>760230</v>
      </c>
      <c r="C2423" s="0" t="n">
        <v>760250</v>
      </c>
      <c r="D2423" s="0" t="s">
        <v>8089</v>
      </c>
      <c r="E2423" s="0" t="s">
        <v>75</v>
      </c>
      <c r="F2423" s="0" t="s">
        <v>15</v>
      </c>
      <c r="G2423" s="0" t="s">
        <v>20</v>
      </c>
      <c r="H2423" s="0" t="n">
        <v>127</v>
      </c>
      <c r="I2423" s="0" t="s">
        <v>8099</v>
      </c>
      <c r="J2423" s="0" t="s">
        <v>8100</v>
      </c>
      <c r="K2423" s="0" t="s">
        <v>8101</v>
      </c>
      <c r="L2423" s="0" t="str">
        <f aca="false">HYPERLINK("https://www.ncbi.nlm.nih.gov/nuccore/CP000058.1?report=graph&amp;tracks=[key:gene_model_track,Options:GeneOnly]&amp;mk=760126:760145|offset_22|444444,760177:760196|offset_73|444444,760204:760223|offset_100|444444,760231:760250|offset_127|00cc00&amp;v=759925:760450&amp;c=444444", "offset 127")</f>
        <v>offset 127</v>
      </c>
    </row>
    <row r="2424" customFormat="false" ht="12.8" hidden="false" customHeight="false" outlineLevel="0" collapsed="false">
      <c r="A2424" s="0" t="s">
        <v>12</v>
      </c>
      <c r="B2424" s="0" t="n">
        <v>761149</v>
      </c>
      <c r="C2424" s="0" t="n">
        <v>761169</v>
      </c>
      <c r="D2424" s="0" t="s">
        <v>8102</v>
      </c>
      <c r="E2424" s="0" t="s">
        <v>75</v>
      </c>
      <c r="F2424" s="0" t="s">
        <v>15</v>
      </c>
      <c r="G2424" s="0" t="s">
        <v>20</v>
      </c>
      <c r="H2424" s="0" t="n">
        <v>101</v>
      </c>
      <c r="I2424" s="0" t="s">
        <v>8103</v>
      </c>
      <c r="J2424" s="0" t="s">
        <v>8104</v>
      </c>
      <c r="K2424" s="0" t="s">
        <v>8105</v>
      </c>
      <c r="L2424" s="0" t="str">
        <f aca="false">HYPERLINK("https://www.ncbi.nlm.nih.gov/nuccore/CP000058.1?report=graph&amp;tracks=[key:gene_model_track,Options:GeneOnly]&amp;mk=761150:761169|offset_101|00cc00,761180:761199|offset_131|444444,761236:761255|offset_187|444444,761267:761286|offset_218|444444&amp;v=760949:761486&amp;c=444444", "offset 101")</f>
        <v>offset 101</v>
      </c>
    </row>
    <row r="2425" customFormat="false" ht="12.8" hidden="false" customHeight="false" outlineLevel="0" collapsed="false">
      <c r="A2425" s="0" t="s">
        <v>12</v>
      </c>
      <c r="B2425" s="0" t="n">
        <v>761179</v>
      </c>
      <c r="C2425" s="0" t="n">
        <v>761199</v>
      </c>
      <c r="D2425" s="0" t="s">
        <v>8102</v>
      </c>
      <c r="E2425" s="0" t="s">
        <v>75</v>
      </c>
      <c r="F2425" s="0" t="s">
        <v>15</v>
      </c>
      <c r="G2425" s="0" t="s">
        <v>20</v>
      </c>
      <c r="H2425" s="0" t="n">
        <v>131</v>
      </c>
      <c r="I2425" s="0" t="s">
        <v>8106</v>
      </c>
      <c r="J2425" s="0" t="s">
        <v>8107</v>
      </c>
      <c r="K2425" s="0" t="s">
        <v>8108</v>
      </c>
      <c r="L2425" s="0" t="str">
        <f aca="false">HYPERLINK("https://www.ncbi.nlm.nih.gov/nuccore/CP000058.1?report=graph&amp;tracks=[key:gene_model_track,Options:GeneOnly]&amp;mk=761150:761169|offset_101|444444,761180:761199|offset_131|00cc00,761236:761255|offset_187|444444,761267:761286|offset_218|444444&amp;v=760949:761486&amp;c=444444", "offset 131")</f>
        <v>offset 131</v>
      </c>
    </row>
    <row r="2426" customFormat="false" ht="12.8" hidden="false" customHeight="false" outlineLevel="0" collapsed="false">
      <c r="A2426" s="0" t="s">
        <v>12</v>
      </c>
      <c r="B2426" s="0" t="n">
        <v>761235</v>
      </c>
      <c r="C2426" s="0" t="n">
        <v>761255</v>
      </c>
      <c r="D2426" s="0" t="s">
        <v>8102</v>
      </c>
      <c r="E2426" s="0" t="s">
        <v>75</v>
      </c>
      <c r="F2426" s="0" t="s">
        <v>15</v>
      </c>
      <c r="G2426" s="0" t="s">
        <v>16</v>
      </c>
      <c r="H2426" s="0" t="n">
        <v>187</v>
      </c>
      <c r="I2426" s="0" t="s">
        <v>8109</v>
      </c>
      <c r="J2426" s="0" t="s">
        <v>8110</v>
      </c>
      <c r="K2426" s="0" t="s">
        <v>8111</v>
      </c>
      <c r="L2426" s="0" t="str">
        <f aca="false">HYPERLINK("https://www.ncbi.nlm.nih.gov/nuccore/CP000058.1?report=graph&amp;tracks=[key:gene_model_track,Options:GeneOnly]&amp;mk=761150:761169|offset_101|444444,761180:761199|offset_131|444444,761236:761255|offset_187|00cc00,761267:761286|offset_218|444444&amp;v=760949:761486&amp;c=444444", "offset 187")</f>
        <v>offset 187</v>
      </c>
    </row>
    <row r="2427" customFormat="false" ht="12.8" hidden="false" customHeight="false" outlineLevel="0" collapsed="false">
      <c r="A2427" s="0" t="s">
        <v>12</v>
      </c>
      <c r="B2427" s="0" t="n">
        <v>761266</v>
      </c>
      <c r="C2427" s="0" t="n">
        <v>761286</v>
      </c>
      <c r="D2427" s="0" t="s">
        <v>8102</v>
      </c>
      <c r="E2427" s="0" t="s">
        <v>75</v>
      </c>
      <c r="F2427" s="0" t="s">
        <v>15</v>
      </c>
      <c r="G2427" s="0" t="s">
        <v>20</v>
      </c>
      <c r="H2427" s="0" t="n">
        <v>218</v>
      </c>
      <c r="I2427" s="0" t="s">
        <v>8112</v>
      </c>
      <c r="J2427" s="0" t="s">
        <v>8113</v>
      </c>
      <c r="K2427" s="0" t="s">
        <v>8114</v>
      </c>
      <c r="L2427" s="0" t="str">
        <f aca="false">HYPERLINK("https://www.ncbi.nlm.nih.gov/nuccore/CP000058.1?report=graph&amp;tracks=[key:gene_model_track,Options:GeneOnly]&amp;mk=761150:761169|offset_101|444444,761180:761199|offset_131|444444,761236:761255|offset_187|444444,761267:761286|offset_218|00cc00&amp;v=760949:761486&amp;c=444444", "offset 218")</f>
        <v>offset 218</v>
      </c>
    </row>
    <row r="2428" customFormat="false" ht="12.8" hidden="false" customHeight="false" outlineLevel="0" collapsed="false">
      <c r="A2428" s="0" t="s">
        <v>12</v>
      </c>
      <c r="B2428" s="0" t="n">
        <v>762255</v>
      </c>
      <c r="C2428" s="0" t="n">
        <v>762275</v>
      </c>
      <c r="D2428" s="0" t="s">
        <v>8115</v>
      </c>
      <c r="E2428" s="0" t="s">
        <v>75</v>
      </c>
      <c r="F2428" s="0" t="s">
        <v>15</v>
      </c>
      <c r="G2428" s="0" t="s">
        <v>20</v>
      </c>
      <c r="H2428" s="0" t="n">
        <v>0</v>
      </c>
      <c r="I2428" s="0" t="s">
        <v>8116</v>
      </c>
      <c r="J2428" s="0" t="s">
        <v>8117</v>
      </c>
      <c r="K2428" s="0" t="s">
        <v>8118</v>
      </c>
      <c r="L2428" s="0" t="str">
        <f aca="false">HYPERLINK("https://www.ncbi.nlm.nih.gov/nuccore/CP000058.1?report=graph&amp;tracks=[key:gene_model_track,Options:GeneOnly]&amp;mk=762256:762275|offset_0|00cc00,762285:762304|offset_29|444444,762305:762324|offset_49|444444,762326:762345|offset_70|444444&amp;v=762055:762545&amp;c=444444", "offset 0")</f>
        <v>offset 0</v>
      </c>
    </row>
    <row r="2429" customFormat="false" ht="12.8" hidden="false" customHeight="false" outlineLevel="0" collapsed="false">
      <c r="A2429" s="0" t="s">
        <v>12</v>
      </c>
      <c r="B2429" s="0" t="n">
        <v>762284</v>
      </c>
      <c r="C2429" s="0" t="n">
        <v>762304</v>
      </c>
      <c r="D2429" s="0" t="s">
        <v>8115</v>
      </c>
      <c r="E2429" s="0" t="s">
        <v>75</v>
      </c>
      <c r="F2429" s="0" t="s">
        <v>15</v>
      </c>
      <c r="G2429" s="0" t="s">
        <v>20</v>
      </c>
      <c r="H2429" s="0" t="n">
        <v>29</v>
      </c>
      <c r="I2429" s="0" t="s">
        <v>8119</v>
      </c>
      <c r="J2429" s="0" t="s">
        <v>8120</v>
      </c>
      <c r="K2429" s="0" t="s">
        <v>8121</v>
      </c>
      <c r="L2429" s="0" t="str">
        <f aca="false">HYPERLINK("https://www.ncbi.nlm.nih.gov/nuccore/CP000058.1?report=graph&amp;tracks=[key:gene_model_track,Options:GeneOnly]&amp;mk=762256:762275|offset_0|444444,762285:762304|offset_29|00cc00,762305:762324|offset_49|444444,762326:762345|offset_70|444444&amp;v=762055:762545&amp;c=444444", "offset 29")</f>
        <v>offset 29</v>
      </c>
    </row>
    <row r="2430" customFormat="false" ht="12.8" hidden="false" customHeight="false" outlineLevel="0" collapsed="false">
      <c r="A2430" s="0" t="s">
        <v>12</v>
      </c>
      <c r="B2430" s="0" t="n">
        <v>762304</v>
      </c>
      <c r="C2430" s="0" t="n">
        <v>762324</v>
      </c>
      <c r="D2430" s="0" t="s">
        <v>8115</v>
      </c>
      <c r="E2430" s="0" t="s">
        <v>75</v>
      </c>
      <c r="F2430" s="0" t="s">
        <v>15</v>
      </c>
      <c r="G2430" s="0" t="s">
        <v>32</v>
      </c>
      <c r="H2430" s="0" t="n">
        <v>49</v>
      </c>
      <c r="I2430" s="0" t="s">
        <v>8122</v>
      </c>
      <c r="J2430" s="0" t="s">
        <v>8123</v>
      </c>
      <c r="K2430" s="0" t="s">
        <v>8124</v>
      </c>
      <c r="L2430" s="0" t="str">
        <f aca="false">HYPERLINK("https://www.ncbi.nlm.nih.gov/nuccore/CP000058.1?report=graph&amp;tracks=[key:gene_model_track,Options:GeneOnly]&amp;mk=762256:762275|offset_0|444444,762285:762304|offset_29|444444,762305:762324|offset_49|00cc00,762326:762345|offset_70|444444&amp;v=762055:762545&amp;c=444444", "offset 49")</f>
        <v>offset 49</v>
      </c>
    </row>
    <row r="2431" customFormat="false" ht="12.8" hidden="false" customHeight="false" outlineLevel="0" collapsed="false">
      <c r="A2431" s="0" t="s">
        <v>12</v>
      </c>
      <c r="B2431" s="0" t="n">
        <v>762325</v>
      </c>
      <c r="C2431" s="0" t="n">
        <v>762345</v>
      </c>
      <c r="D2431" s="0" t="s">
        <v>8115</v>
      </c>
      <c r="E2431" s="0" t="s">
        <v>75</v>
      </c>
      <c r="F2431" s="0" t="s">
        <v>15</v>
      </c>
      <c r="G2431" s="0" t="s">
        <v>16</v>
      </c>
      <c r="H2431" s="0" t="n">
        <v>70</v>
      </c>
      <c r="I2431" s="0" t="s">
        <v>8125</v>
      </c>
      <c r="J2431" s="0" t="s">
        <v>8126</v>
      </c>
      <c r="K2431" s="0" t="s">
        <v>8127</v>
      </c>
      <c r="L2431" s="0" t="str">
        <f aca="false">HYPERLINK("https://www.ncbi.nlm.nih.gov/nuccore/CP000058.1?report=graph&amp;tracks=[key:gene_model_track,Options:GeneOnly]&amp;mk=762256:762275|offset_0|444444,762285:762304|offset_29|444444,762305:762324|offset_49|444444,762326:762345|offset_70|00cc00&amp;v=762055:762545&amp;c=444444", "offset 70")</f>
        <v>offset 70</v>
      </c>
    </row>
    <row r="2432" customFormat="false" ht="12.8" hidden="false" customHeight="false" outlineLevel="0" collapsed="false">
      <c r="A2432" s="0" t="s">
        <v>12</v>
      </c>
      <c r="B2432" s="0" t="n">
        <v>763362</v>
      </c>
      <c r="C2432" s="0" t="n">
        <v>763382</v>
      </c>
      <c r="D2432" s="0" t="s">
        <v>8128</v>
      </c>
      <c r="E2432" s="0" t="s">
        <v>75</v>
      </c>
      <c r="F2432" s="0" t="s">
        <v>15</v>
      </c>
      <c r="G2432" s="0" t="s">
        <v>32</v>
      </c>
      <c r="H2432" s="0" t="n">
        <v>7</v>
      </c>
      <c r="I2432" s="0" t="s">
        <v>8129</v>
      </c>
      <c r="J2432" s="0" t="s">
        <v>8130</v>
      </c>
      <c r="K2432" s="0" t="s">
        <v>8131</v>
      </c>
      <c r="L2432" s="0" t="str">
        <f aca="false">HYPERLINK("https://www.ncbi.nlm.nih.gov/nuccore/CP000058.1?report=graph&amp;tracks=[key:gene_model_track,Options:GeneOnly]&amp;mk=763363:763382|offset_7|00cc00,763390:763409|offset_34|444444,763423:763442|offset_67|444444,763464:763483|offset_108|444444&amp;v=763162:763683&amp;c=444444", "offset 7")</f>
        <v>offset 7</v>
      </c>
    </row>
    <row r="2433" customFormat="false" ht="12.8" hidden="false" customHeight="false" outlineLevel="0" collapsed="false">
      <c r="A2433" s="0" t="s">
        <v>12</v>
      </c>
      <c r="B2433" s="0" t="n">
        <v>763389</v>
      </c>
      <c r="C2433" s="0" t="n">
        <v>763409</v>
      </c>
      <c r="D2433" s="0" t="s">
        <v>8128</v>
      </c>
      <c r="E2433" s="0" t="s">
        <v>75</v>
      </c>
      <c r="F2433" s="0" t="s">
        <v>15</v>
      </c>
      <c r="G2433" s="0" t="s">
        <v>32</v>
      </c>
      <c r="H2433" s="0" t="n">
        <v>34</v>
      </c>
      <c r="I2433" s="0" t="s">
        <v>8132</v>
      </c>
      <c r="J2433" s="0" t="s">
        <v>8133</v>
      </c>
      <c r="K2433" s="0" t="s">
        <v>8134</v>
      </c>
      <c r="L2433" s="0" t="str">
        <f aca="false">HYPERLINK("https://www.ncbi.nlm.nih.gov/nuccore/CP000058.1?report=graph&amp;tracks=[key:gene_model_track,Options:GeneOnly]&amp;mk=763363:763382|offset_7|444444,763390:763409|offset_34|00cc00,763423:763442|offset_67|444444,763464:763483|offset_108|444444&amp;v=763162:763683&amp;c=444444", "offset 34")</f>
        <v>offset 34</v>
      </c>
    </row>
    <row r="2434" customFormat="false" ht="12.8" hidden="false" customHeight="false" outlineLevel="0" collapsed="false">
      <c r="A2434" s="0" t="s">
        <v>12</v>
      </c>
      <c r="B2434" s="0" t="n">
        <v>763422</v>
      </c>
      <c r="C2434" s="0" t="n">
        <v>763442</v>
      </c>
      <c r="D2434" s="0" t="s">
        <v>8128</v>
      </c>
      <c r="E2434" s="0" t="s">
        <v>75</v>
      </c>
      <c r="F2434" s="0" t="s">
        <v>15</v>
      </c>
      <c r="G2434" s="0" t="s">
        <v>16</v>
      </c>
      <c r="H2434" s="0" t="n">
        <v>67</v>
      </c>
      <c r="I2434" s="0" t="s">
        <v>8135</v>
      </c>
      <c r="J2434" s="0" t="s">
        <v>8136</v>
      </c>
      <c r="K2434" s="0" t="s">
        <v>8137</v>
      </c>
      <c r="L2434" s="0" t="str">
        <f aca="false">HYPERLINK("https://www.ncbi.nlm.nih.gov/nuccore/CP000058.1?report=graph&amp;tracks=[key:gene_model_track,Options:GeneOnly]&amp;mk=763363:763382|offset_7|444444,763390:763409|offset_34|444444,763423:763442|offset_67|00cc00,763464:763483|offset_108|444444&amp;v=763162:763683&amp;c=444444", "offset 67")</f>
        <v>offset 67</v>
      </c>
    </row>
    <row r="2435" customFormat="false" ht="12.8" hidden="false" customHeight="false" outlineLevel="0" collapsed="false">
      <c r="A2435" s="0" t="s">
        <v>12</v>
      </c>
      <c r="B2435" s="0" t="n">
        <v>763463</v>
      </c>
      <c r="C2435" s="0" t="n">
        <v>763483</v>
      </c>
      <c r="D2435" s="0" t="s">
        <v>8128</v>
      </c>
      <c r="E2435" s="0" t="s">
        <v>75</v>
      </c>
      <c r="F2435" s="0" t="s">
        <v>15</v>
      </c>
      <c r="G2435" s="0" t="s">
        <v>16</v>
      </c>
      <c r="H2435" s="0" t="n">
        <v>108</v>
      </c>
      <c r="I2435" s="0" t="s">
        <v>8138</v>
      </c>
      <c r="J2435" s="0" t="s">
        <v>8139</v>
      </c>
      <c r="K2435" s="0" t="s">
        <v>8140</v>
      </c>
      <c r="L2435" s="0" t="str">
        <f aca="false">HYPERLINK("https://www.ncbi.nlm.nih.gov/nuccore/CP000058.1?report=graph&amp;tracks=[key:gene_model_track,Options:GeneOnly]&amp;mk=763363:763382|offset_7|444444,763390:763409|offset_34|444444,763423:763442|offset_67|444444,763464:763483|offset_108|00cc00&amp;v=763162:763683&amp;c=444444", "offset 108")</f>
        <v>offset 108</v>
      </c>
    </row>
    <row r="2436" customFormat="false" ht="12.8" hidden="false" customHeight="false" outlineLevel="0" collapsed="false">
      <c r="A2436" s="0" t="s">
        <v>12</v>
      </c>
      <c r="B2436" s="0" t="n">
        <v>764615</v>
      </c>
      <c r="C2436" s="0" t="n">
        <v>764635</v>
      </c>
      <c r="D2436" s="0" t="s">
        <v>8141</v>
      </c>
      <c r="E2436" s="0" t="s">
        <v>75</v>
      </c>
      <c r="F2436" s="0" t="s">
        <v>15</v>
      </c>
      <c r="G2436" s="0" t="s">
        <v>32</v>
      </c>
      <c r="H2436" s="0" t="n">
        <v>1</v>
      </c>
      <c r="I2436" s="0" t="s">
        <v>8142</v>
      </c>
      <c r="J2436" s="0" t="s">
        <v>8143</v>
      </c>
      <c r="K2436" s="0" t="s">
        <v>8144</v>
      </c>
      <c r="L2436" s="0" t="str">
        <f aca="false">HYPERLINK("https://www.ncbi.nlm.nih.gov/nuccore/CP000058.1?report=graph&amp;tracks=[key:gene_model_track,Options:GeneOnly]&amp;mk=764616:764635|offset_1|00cc00,764664:764683|offset_49|444444,764708:764727|offset_93|444444,764762:764781|offset_147|444444&amp;v=764415:764981&amp;c=444444", "offset 1")</f>
        <v>offset 1</v>
      </c>
    </row>
    <row r="2437" customFormat="false" ht="12.8" hidden="false" customHeight="false" outlineLevel="0" collapsed="false">
      <c r="A2437" s="0" t="s">
        <v>12</v>
      </c>
      <c r="B2437" s="0" t="n">
        <v>764663</v>
      </c>
      <c r="C2437" s="0" t="n">
        <v>764683</v>
      </c>
      <c r="D2437" s="0" t="s">
        <v>8141</v>
      </c>
      <c r="E2437" s="0" t="s">
        <v>75</v>
      </c>
      <c r="F2437" s="0" t="s">
        <v>15</v>
      </c>
      <c r="G2437" s="0" t="s">
        <v>20</v>
      </c>
      <c r="H2437" s="0" t="n">
        <v>49</v>
      </c>
      <c r="I2437" s="0" t="s">
        <v>8145</v>
      </c>
      <c r="J2437" s="0" t="s">
        <v>8146</v>
      </c>
      <c r="K2437" s="0" t="s">
        <v>8147</v>
      </c>
      <c r="L2437" s="0" t="str">
        <f aca="false">HYPERLINK("https://www.ncbi.nlm.nih.gov/nuccore/CP000058.1?report=graph&amp;tracks=[key:gene_model_track,Options:GeneOnly]&amp;mk=764616:764635|offset_1|444444,764664:764683|offset_49|00cc00,764708:764727|offset_93|444444,764762:764781|offset_147|444444&amp;v=764415:764981&amp;c=444444", "offset 49")</f>
        <v>offset 49</v>
      </c>
    </row>
    <row r="2438" customFormat="false" ht="12.8" hidden="false" customHeight="false" outlineLevel="0" collapsed="false">
      <c r="A2438" s="0" t="s">
        <v>12</v>
      </c>
      <c r="B2438" s="0" t="n">
        <v>764707</v>
      </c>
      <c r="C2438" s="0" t="n">
        <v>764727</v>
      </c>
      <c r="D2438" s="0" t="s">
        <v>8141</v>
      </c>
      <c r="E2438" s="0" t="s">
        <v>75</v>
      </c>
      <c r="F2438" s="0" t="s">
        <v>15</v>
      </c>
      <c r="G2438" s="0" t="s">
        <v>16</v>
      </c>
      <c r="H2438" s="0" t="n">
        <v>93</v>
      </c>
      <c r="I2438" s="0" t="s">
        <v>8148</v>
      </c>
      <c r="J2438" s="0" t="s">
        <v>8149</v>
      </c>
      <c r="K2438" s="0" t="s">
        <v>8150</v>
      </c>
      <c r="L2438" s="0" t="str">
        <f aca="false">HYPERLINK("https://www.ncbi.nlm.nih.gov/nuccore/CP000058.1?report=graph&amp;tracks=[key:gene_model_track,Options:GeneOnly]&amp;mk=764616:764635|offset_1|444444,764664:764683|offset_49|444444,764708:764727|offset_93|00cc00,764762:764781|offset_147|444444&amp;v=764415:764981&amp;c=444444", "offset 93")</f>
        <v>offset 93</v>
      </c>
    </row>
    <row r="2439" customFormat="false" ht="12.8" hidden="false" customHeight="false" outlineLevel="0" collapsed="false">
      <c r="A2439" s="0" t="s">
        <v>12</v>
      </c>
      <c r="B2439" s="0" t="n">
        <v>764761</v>
      </c>
      <c r="C2439" s="0" t="n">
        <v>764781</v>
      </c>
      <c r="D2439" s="0" t="s">
        <v>8141</v>
      </c>
      <c r="E2439" s="0" t="s">
        <v>75</v>
      </c>
      <c r="F2439" s="0" t="s">
        <v>15</v>
      </c>
      <c r="G2439" s="0" t="s">
        <v>16</v>
      </c>
      <c r="H2439" s="0" t="n">
        <v>147</v>
      </c>
      <c r="I2439" s="0" t="s">
        <v>8151</v>
      </c>
      <c r="J2439" s="0" t="s">
        <v>8152</v>
      </c>
      <c r="K2439" s="0" t="s">
        <v>8153</v>
      </c>
      <c r="L2439" s="0" t="str">
        <f aca="false">HYPERLINK("https://www.ncbi.nlm.nih.gov/nuccore/CP000058.1?report=graph&amp;tracks=[key:gene_model_track,Options:GeneOnly]&amp;mk=764616:764635|offset_1|444444,764664:764683|offset_49|444444,764708:764727|offset_93|444444,764762:764781|offset_147|00cc00&amp;v=764415:764981&amp;c=444444", "offset 147")</f>
        <v>offset 147</v>
      </c>
    </row>
    <row r="2440" customFormat="false" ht="12.8" hidden="false" customHeight="false" outlineLevel="0" collapsed="false">
      <c r="A2440" s="0" t="s">
        <v>12</v>
      </c>
      <c r="B2440" s="0" t="n">
        <v>765571</v>
      </c>
      <c r="C2440" s="0" t="n">
        <v>765591</v>
      </c>
      <c r="D2440" s="0" t="s">
        <v>8154</v>
      </c>
      <c r="E2440" s="0" t="s">
        <v>8155</v>
      </c>
      <c r="F2440" s="0" t="s">
        <v>15</v>
      </c>
      <c r="G2440" s="0" t="s">
        <v>36</v>
      </c>
      <c r="H2440" s="0" t="n">
        <v>9</v>
      </c>
      <c r="I2440" s="0" t="s">
        <v>8156</v>
      </c>
      <c r="J2440" s="0" t="s">
        <v>8157</v>
      </c>
      <c r="K2440" s="0" t="s">
        <v>8158</v>
      </c>
      <c r="L2440" s="0" t="str">
        <f aca="false">HYPERLINK("https://www.ncbi.nlm.nih.gov/nuccore/CP000058.1?report=graph&amp;tracks=[key:gene_model_track,Options:GeneOnly]&amp;mk=765572:765591|offset_9|00cc00,765600:765619|offset_37|444444,765645:765664|offset_82|444444,765695:765714|offset_132|444444&amp;v=765371:765914&amp;c=444444", "offset 9")</f>
        <v>offset 9</v>
      </c>
    </row>
    <row r="2441" customFormat="false" ht="12.8" hidden="false" customHeight="false" outlineLevel="0" collapsed="false">
      <c r="A2441" s="0" t="s">
        <v>12</v>
      </c>
      <c r="B2441" s="0" t="n">
        <v>765599</v>
      </c>
      <c r="C2441" s="0" t="n">
        <v>765619</v>
      </c>
      <c r="D2441" s="0" t="s">
        <v>8154</v>
      </c>
      <c r="E2441" s="0" t="s">
        <v>8155</v>
      </c>
      <c r="F2441" s="0" t="s">
        <v>15</v>
      </c>
      <c r="G2441" s="0" t="s">
        <v>16</v>
      </c>
      <c r="H2441" s="0" t="n">
        <v>37</v>
      </c>
      <c r="I2441" s="0" t="s">
        <v>8159</v>
      </c>
      <c r="J2441" s="0" t="s">
        <v>8160</v>
      </c>
      <c r="K2441" s="0" t="s">
        <v>8161</v>
      </c>
      <c r="L2441" s="0" t="str">
        <f aca="false">HYPERLINK("https://www.ncbi.nlm.nih.gov/nuccore/CP000058.1?report=graph&amp;tracks=[key:gene_model_track,Options:GeneOnly]&amp;mk=765572:765591|offset_9|444444,765600:765619|offset_37|00cc00,765645:765664|offset_82|444444,765695:765714|offset_132|444444&amp;v=765371:765914&amp;c=444444", "offset 37")</f>
        <v>offset 37</v>
      </c>
    </row>
    <row r="2442" customFormat="false" ht="12.8" hidden="false" customHeight="false" outlineLevel="0" collapsed="false">
      <c r="A2442" s="0" t="s">
        <v>12</v>
      </c>
      <c r="B2442" s="0" t="n">
        <v>765644</v>
      </c>
      <c r="C2442" s="0" t="n">
        <v>765664</v>
      </c>
      <c r="D2442" s="0" t="s">
        <v>8154</v>
      </c>
      <c r="E2442" s="0" t="s">
        <v>8155</v>
      </c>
      <c r="F2442" s="0" t="s">
        <v>15</v>
      </c>
      <c r="G2442" s="0" t="s">
        <v>32</v>
      </c>
      <c r="H2442" s="0" t="n">
        <v>82</v>
      </c>
      <c r="I2442" s="0" t="s">
        <v>8162</v>
      </c>
      <c r="J2442" s="0" t="s">
        <v>8163</v>
      </c>
      <c r="K2442" s="0" t="s">
        <v>8164</v>
      </c>
      <c r="L2442" s="0" t="str">
        <f aca="false">HYPERLINK("https://www.ncbi.nlm.nih.gov/nuccore/CP000058.1?report=graph&amp;tracks=[key:gene_model_track,Options:GeneOnly]&amp;mk=765572:765591|offset_9|444444,765600:765619|offset_37|444444,765645:765664|offset_82|00cc00,765695:765714|offset_132|444444&amp;v=765371:765914&amp;c=444444", "offset 82")</f>
        <v>offset 82</v>
      </c>
    </row>
    <row r="2443" customFormat="false" ht="12.8" hidden="false" customHeight="false" outlineLevel="0" collapsed="false">
      <c r="A2443" s="0" t="s">
        <v>12</v>
      </c>
      <c r="B2443" s="0" t="n">
        <v>765694</v>
      </c>
      <c r="C2443" s="0" t="n">
        <v>765714</v>
      </c>
      <c r="D2443" s="0" t="s">
        <v>8154</v>
      </c>
      <c r="E2443" s="0" t="s">
        <v>8155</v>
      </c>
      <c r="F2443" s="0" t="s">
        <v>15</v>
      </c>
      <c r="G2443" s="0" t="s">
        <v>16</v>
      </c>
      <c r="H2443" s="0" t="n">
        <v>132</v>
      </c>
      <c r="I2443" s="0" t="s">
        <v>8165</v>
      </c>
      <c r="J2443" s="0" t="s">
        <v>8166</v>
      </c>
      <c r="K2443" s="0" t="s">
        <v>8167</v>
      </c>
      <c r="L2443" s="0" t="str">
        <f aca="false">HYPERLINK("https://www.ncbi.nlm.nih.gov/nuccore/CP000058.1?report=graph&amp;tracks=[key:gene_model_track,Options:GeneOnly]&amp;mk=765572:765591|offset_9|444444,765600:765619|offset_37|444444,765645:765664|offset_82|444444,765695:765714|offset_132|00cc00&amp;v=765371:765914&amp;c=444444", "offset 132")</f>
        <v>offset 132</v>
      </c>
    </row>
    <row r="2444" customFormat="false" ht="12.8" hidden="false" customHeight="false" outlineLevel="0" collapsed="false">
      <c r="A2444" s="0" t="s">
        <v>12</v>
      </c>
      <c r="B2444" s="0" t="n">
        <v>766272</v>
      </c>
      <c r="C2444" s="0" t="n">
        <v>766292</v>
      </c>
      <c r="D2444" s="0" t="s">
        <v>8168</v>
      </c>
      <c r="E2444" s="0" t="s">
        <v>8169</v>
      </c>
      <c r="F2444" s="0" t="s">
        <v>15</v>
      </c>
      <c r="G2444" s="0" t="s">
        <v>36</v>
      </c>
      <c r="H2444" s="0" t="n">
        <v>6</v>
      </c>
      <c r="I2444" s="0" t="s">
        <v>8170</v>
      </c>
      <c r="J2444" s="0" t="s">
        <v>8171</v>
      </c>
      <c r="K2444" s="0" t="s">
        <v>8172</v>
      </c>
      <c r="L2444" s="0" t="str">
        <f aca="false">HYPERLINK("https://www.ncbi.nlm.nih.gov/nuccore/CP000058.1?report=graph&amp;tracks=[key:gene_model_track,Options:GeneOnly]&amp;mk=766273:766292|offset_6|00cc00,766293:766312|offset_26|444444,766320:766339|offset_53|444444,766346:766365|offset_79|444444&amp;v=766072:766565&amp;c=444444", "offset 6")</f>
        <v>offset 6</v>
      </c>
    </row>
    <row r="2445" customFormat="false" ht="12.8" hidden="false" customHeight="false" outlineLevel="0" collapsed="false">
      <c r="A2445" s="0" t="s">
        <v>12</v>
      </c>
      <c r="B2445" s="0" t="n">
        <v>766292</v>
      </c>
      <c r="C2445" s="0" t="n">
        <v>766312</v>
      </c>
      <c r="D2445" s="0" t="s">
        <v>8168</v>
      </c>
      <c r="E2445" s="0" t="s">
        <v>8169</v>
      </c>
      <c r="F2445" s="0" t="s">
        <v>15</v>
      </c>
      <c r="G2445" s="0" t="s">
        <v>20</v>
      </c>
      <c r="H2445" s="0" t="n">
        <v>26</v>
      </c>
      <c r="I2445" s="0" t="s">
        <v>8173</v>
      </c>
      <c r="J2445" s="0" t="s">
        <v>8174</v>
      </c>
      <c r="K2445" s="0" t="s">
        <v>8175</v>
      </c>
      <c r="L2445" s="0" t="str">
        <f aca="false">HYPERLINK("https://www.ncbi.nlm.nih.gov/nuccore/CP000058.1?report=graph&amp;tracks=[key:gene_model_track,Options:GeneOnly]&amp;mk=766273:766292|offset_6|444444,766293:766312|offset_26|00cc00,766320:766339|offset_53|444444,766346:766365|offset_79|444444&amp;v=766072:766565&amp;c=444444", "offset 26")</f>
        <v>offset 26</v>
      </c>
    </row>
    <row r="2446" customFormat="false" ht="12.8" hidden="false" customHeight="false" outlineLevel="0" collapsed="false">
      <c r="A2446" s="0" t="s">
        <v>12</v>
      </c>
      <c r="B2446" s="0" t="n">
        <v>766319</v>
      </c>
      <c r="C2446" s="0" t="n">
        <v>766339</v>
      </c>
      <c r="D2446" s="0" t="s">
        <v>8168</v>
      </c>
      <c r="E2446" s="0" t="s">
        <v>8169</v>
      </c>
      <c r="F2446" s="0" t="s">
        <v>15</v>
      </c>
      <c r="G2446" s="0" t="s">
        <v>36</v>
      </c>
      <c r="H2446" s="0" t="n">
        <v>53</v>
      </c>
      <c r="I2446" s="0" t="s">
        <v>8176</v>
      </c>
      <c r="J2446" s="0" t="s">
        <v>8177</v>
      </c>
      <c r="K2446" s="0" t="s">
        <v>8178</v>
      </c>
      <c r="L2446" s="0" t="str">
        <f aca="false">HYPERLINK("https://www.ncbi.nlm.nih.gov/nuccore/CP000058.1?report=graph&amp;tracks=[key:gene_model_track,Options:GeneOnly]&amp;mk=766273:766292|offset_6|444444,766293:766312|offset_26|444444,766320:766339|offset_53|00cc00,766346:766365|offset_79|444444&amp;v=766072:766565&amp;c=444444", "offset 53")</f>
        <v>offset 53</v>
      </c>
    </row>
    <row r="2447" customFormat="false" ht="12.8" hidden="false" customHeight="false" outlineLevel="0" collapsed="false">
      <c r="A2447" s="0" t="s">
        <v>12</v>
      </c>
      <c r="B2447" s="0" t="n">
        <v>766345</v>
      </c>
      <c r="C2447" s="0" t="n">
        <v>766365</v>
      </c>
      <c r="D2447" s="0" t="s">
        <v>8168</v>
      </c>
      <c r="E2447" s="0" t="s">
        <v>8169</v>
      </c>
      <c r="F2447" s="0" t="s">
        <v>15</v>
      </c>
      <c r="G2447" s="0" t="s">
        <v>32</v>
      </c>
      <c r="H2447" s="0" t="n">
        <v>79</v>
      </c>
      <c r="I2447" s="0" t="s">
        <v>8179</v>
      </c>
      <c r="J2447" s="0" t="s">
        <v>8180</v>
      </c>
      <c r="K2447" s="0" t="s">
        <v>8181</v>
      </c>
      <c r="L2447" s="0" t="str">
        <f aca="false">HYPERLINK("https://www.ncbi.nlm.nih.gov/nuccore/CP000058.1?report=graph&amp;tracks=[key:gene_model_track,Options:GeneOnly]&amp;mk=766273:766292|offset_6|444444,766293:766312|offset_26|444444,766320:766339|offset_53|444444,766346:766365|offset_79|00cc00&amp;v=766072:766565&amp;c=444444", "offset 79")</f>
        <v>offset 79</v>
      </c>
    </row>
    <row r="2448" customFormat="false" ht="12.8" hidden="false" customHeight="false" outlineLevel="0" collapsed="false">
      <c r="A2448" s="0" t="s">
        <v>12</v>
      </c>
      <c r="B2448" s="0" t="n">
        <v>767129</v>
      </c>
      <c r="C2448" s="0" t="n">
        <v>767149</v>
      </c>
      <c r="D2448" s="0" t="s">
        <v>8182</v>
      </c>
      <c r="E2448" s="0" t="s">
        <v>8183</v>
      </c>
      <c r="F2448" s="0" t="s">
        <v>15</v>
      </c>
      <c r="G2448" s="0" t="s">
        <v>16</v>
      </c>
      <c r="H2448" s="0" t="n">
        <v>8</v>
      </c>
      <c r="I2448" s="0" t="s">
        <v>8184</v>
      </c>
      <c r="J2448" s="0" t="s">
        <v>8185</v>
      </c>
      <c r="K2448" s="0" t="s">
        <v>8186</v>
      </c>
      <c r="L2448" s="0" t="str">
        <f aca="false">HYPERLINK("https://www.ncbi.nlm.nih.gov/nuccore/CP000058.1?report=graph&amp;tracks=[key:gene_model_track,Options:GeneOnly]&amp;mk=767130:767149|offset_8|00cc00,767153:767172|offset_31|444444,767175:767194|offset_53|444444,767198:767217|offset_76|444444&amp;v=766929:767417&amp;c=444444", "offset 8")</f>
        <v>offset 8</v>
      </c>
    </row>
    <row r="2449" customFormat="false" ht="12.8" hidden="false" customHeight="false" outlineLevel="0" collapsed="false">
      <c r="A2449" s="0" t="s">
        <v>12</v>
      </c>
      <c r="B2449" s="0" t="n">
        <v>767152</v>
      </c>
      <c r="C2449" s="0" t="n">
        <v>767172</v>
      </c>
      <c r="D2449" s="0" t="s">
        <v>8182</v>
      </c>
      <c r="E2449" s="0" t="s">
        <v>8183</v>
      </c>
      <c r="F2449" s="0" t="s">
        <v>15</v>
      </c>
      <c r="G2449" s="0" t="s">
        <v>16</v>
      </c>
      <c r="H2449" s="0" t="n">
        <v>31</v>
      </c>
      <c r="I2449" s="0" t="s">
        <v>8187</v>
      </c>
      <c r="J2449" s="0" t="s">
        <v>8188</v>
      </c>
      <c r="K2449" s="0" t="s">
        <v>8189</v>
      </c>
      <c r="L2449" s="0" t="str">
        <f aca="false">HYPERLINK("https://www.ncbi.nlm.nih.gov/nuccore/CP000058.1?report=graph&amp;tracks=[key:gene_model_track,Options:GeneOnly]&amp;mk=767130:767149|offset_8|444444,767153:767172|offset_31|00cc00,767175:767194|offset_53|444444,767198:767217|offset_76|444444&amp;v=766929:767417&amp;c=444444", "offset 31")</f>
        <v>offset 31</v>
      </c>
    </row>
    <row r="2450" customFormat="false" ht="12.8" hidden="false" customHeight="false" outlineLevel="0" collapsed="false">
      <c r="A2450" s="0" t="s">
        <v>12</v>
      </c>
      <c r="B2450" s="0" t="n">
        <v>767174</v>
      </c>
      <c r="C2450" s="0" t="n">
        <v>767194</v>
      </c>
      <c r="D2450" s="0" t="s">
        <v>8182</v>
      </c>
      <c r="E2450" s="0" t="s">
        <v>8183</v>
      </c>
      <c r="F2450" s="0" t="s">
        <v>15</v>
      </c>
      <c r="G2450" s="0" t="s">
        <v>36</v>
      </c>
      <c r="H2450" s="0" t="n">
        <v>53</v>
      </c>
      <c r="I2450" s="0" t="s">
        <v>8190</v>
      </c>
      <c r="J2450" s="0" t="s">
        <v>8191</v>
      </c>
      <c r="K2450" s="0" t="s">
        <v>8192</v>
      </c>
      <c r="L2450" s="0" t="str">
        <f aca="false">HYPERLINK("https://www.ncbi.nlm.nih.gov/nuccore/CP000058.1?report=graph&amp;tracks=[key:gene_model_track,Options:GeneOnly]&amp;mk=767130:767149|offset_8|444444,767153:767172|offset_31|444444,767175:767194|offset_53|00cc00,767198:767217|offset_76|444444&amp;v=766929:767417&amp;c=444444", "offset 53")</f>
        <v>offset 53</v>
      </c>
    </row>
    <row r="2451" customFormat="false" ht="12.8" hidden="false" customHeight="false" outlineLevel="0" collapsed="false">
      <c r="A2451" s="0" t="s">
        <v>12</v>
      </c>
      <c r="B2451" s="0" t="n">
        <v>767197</v>
      </c>
      <c r="C2451" s="0" t="n">
        <v>767217</v>
      </c>
      <c r="D2451" s="0" t="s">
        <v>8182</v>
      </c>
      <c r="E2451" s="0" t="s">
        <v>8183</v>
      </c>
      <c r="F2451" s="0" t="s">
        <v>15</v>
      </c>
      <c r="G2451" s="0" t="s">
        <v>16</v>
      </c>
      <c r="H2451" s="0" t="n">
        <v>76</v>
      </c>
      <c r="I2451" s="0" t="s">
        <v>8193</v>
      </c>
      <c r="J2451" s="0" t="s">
        <v>8194</v>
      </c>
      <c r="K2451" s="0" t="s">
        <v>8195</v>
      </c>
      <c r="L2451" s="0" t="str">
        <f aca="false">HYPERLINK("https://www.ncbi.nlm.nih.gov/nuccore/CP000058.1?report=graph&amp;tracks=[key:gene_model_track,Options:GeneOnly]&amp;mk=767130:767149|offset_8|444444,767153:767172|offset_31|444444,767175:767194|offset_53|444444,767198:767217|offset_76|00cc00&amp;v=766929:767417&amp;c=444444", "offset 76")</f>
        <v>offset 76</v>
      </c>
    </row>
    <row r="2452" customFormat="false" ht="12.8" hidden="false" customHeight="false" outlineLevel="0" collapsed="false">
      <c r="A2452" s="0" t="s">
        <v>12</v>
      </c>
      <c r="B2452" s="0" t="n">
        <v>770839</v>
      </c>
      <c r="C2452" s="0" t="n">
        <v>770859</v>
      </c>
      <c r="D2452" s="0" t="s">
        <v>8196</v>
      </c>
      <c r="E2452" s="0" t="s">
        <v>75</v>
      </c>
      <c r="F2452" s="0" t="s">
        <v>90</v>
      </c>
      <c r="G2452" s="0" t="s">
        <v>32</v>
      </c>
      <c r="H2452" s="0" t="n">
        <v>7</v>
      </c>
      <c r="I2452" s="0" t="s">
        <v>8197</v>
      </c>
      <c r="J2452" s="0" t="s">
        <v>8198</v>
      </c>
      <c r="K2452" s="0" t="s">
        <v>8199</v>
      </c>
      <c r="L2452" s="0" t="str">
        <f aca="false">HYPERLINK("https://www.ncbi.nlm.nih.gov/nuccore/CP000058.1?report=graph&amp;tracks=[key:gene_model_track,Options:GeneOnly]&amp;mk=770840:770859|offset_7|00cc00,770820:770839|offset_27|444444,770792:770811|offset_55|444444,770769:770788|offset_78|444444&amp;v=770639:770988&amp;c=444444", "offset 7")</f>
        <v>offset 7</v>
      </c>
    </row>
    <row r="2453" customFormat="false" ht="12.8" hidden="false" customHeight="false" outlineLevel="0" collapsed="false">
      <c r="A2453" s="0" t="s">
        <v>12</v>
      </c>
      <c r="B2453" s="0" t="n">
        <v>770819</v>
      </c>
      <c r="C2453" s="0" t="n">
        <v>770839</v>
      </c>
      <c r="D2453" s="0" t="s">
        <v>8196</v>
      </c>
      <c r="E2453" s="0" t="s">
        <v>75</v>
      </c>
      <c r="F2453" s="0" t="s">
        <v>90</v>
      </c>
      <c r="G2453" s="0" t="s">
        <v>36</v>
      </c>
      <c r="H2453" s="0" t="n">
        <v>27</v>
      </c>
      <c r="I2453" s="0" t="s">
        <v>8200</v>
      </c>
      <c r="J2453" s="0" t="s">
        <v>8201</v>
      </c>
      <c r="K2453" s="0" t="s">
        <v>8202</v>
      </c>
      <c r="L2453" s="0" t="str">
        <f aca="false">HYPERLINK("https://www.ncbi.nlm.nih.gov/nuccore/CP000058.1?report=graph&amp;tracks=[key:gene_model_track,Options:GeneOnly]&amp;mk=770840:770859|offset_7|444444,770820:770839|offset_27|00cc00,770792:770811|offset_55|444444,770769:770788|offset_78|444444&amp;v=770639:770988&amp;c=444444", "offset 27")</f>
        <v>offset 27</v>
      </c>
    </row>
    <row r="2454" customFormat="false" ht="12.8" hidden="false" customHeight="false" outlineLevel="0" collapsed="false">
      <c r="A2454" s="0" t="s">
        <v>12</v>
      </c>
      <c r="B2454" s="0" t="n">
        <v>770791</v>
      </c>
      <c r="C2454" s="0" t="n">
        <v>770811</v>
      </c>
      <c r="D2454" s="0" t="s">
        <v>8196</v>
      </c>
      <c r="E2454" s="0" t="s">
        <v>75</v>
      </c>
      <c r="F2454" s="0" t="s">
        <v>90</v>
      </c>
      <c r="G2454" s="0" t="s">
        <v>20</v>
      </c>
      <c r="H2454" s="0" t="n">
        <v>55</v>
      </c>
      <c r="I2454" s="0" t="s">
        <v>8203</v>
      </c>
      <c r="J2454" s="0" t="s">
        <v>8204</v>
      </c>
      <c r="K2454" s="0" t="s">
        <v>8205</v>
      </c>
      <c r="L2454" s="0" t="str">
        <f aca="false">HYPERLINK("https://www.ncbi.nlm.nih.gov/nuccore/CP000058.1?report=graph&amp;tracks=[key:gene_model_track,Options:GeneOnly]&amp;mk=770840:770859|offset_7|444444,770820:770839|offset_27|444444,770792:770811|offset_55|00cc00,770769:770788|offset_78|444444&amp;v=770639:770988&amp;c=444444", "offset 55")</f>
        <v>offset 55</v>
      </c>
    </row>
    <row r="2455" customFormat="false" ht="12.8" hidden="false" customHeight="false" outlineLevel="0" collapsed="false">
      <c r="A2455" s="0" t="s">
        <v>12</v>
      </c>
      <c r="B2455" s="0" t="n">
        <v>770768</v>
      </c>
      <c r="C2455" s="0" t="n">
        <v>770788</v>
      </c>
      <c r="D2455" s="0" t="s">
        <v>8196</v>
      </c>
      <c r="E2455" s="0" t="s">
        <v>75</v>
      </c>
      <c r="F2455" s="0" t="s">
        <v>90</v>
      </c>
      <c r="G2455" s="0" t="s">
        <v>36</v>
      </c>
      <c r="H2455" s="0" t="n">
        <v>78</v>
      </c>
      <c r="I2455" s="0" t="s">
        <v>8206</v>
      </c>
      <c r="J2455" s="0" t="s">
        <v>8207</v>
      </c>
      <c r="K2455" s="0" t="s">
        <v>8208</v>
      </c>
      <c r="L2455" s="0" t="str">
        <f aca="false">HYPERLINK("https://www.ncbi.nlm.nih.gov/nuccore/CP000058.1?report=graph&amp;tracks=[key:gene_model_track,Options:GeneOnly]&amp;mk=770840:770859|offset_7|444444,770820:770839|offset_27|444444,770792:770811|offset_55|444444,770769:770788|offset_78|00cc00&amp;v=770639:770988&amp;c=444444", "offset 78")</f>
        <v>offset 78</v>
      </c>
    </row>
    <row r="2456" customFormat="false" ht="12.8" hidden="false" customHeight="false" outlineLevel="0" collapsed="false">
      <c r="A2456" s="0" t="s">
        <v>12</v>
      </c>
      <c r="B2456" s="0" t="n">
        <v>771208</v>
      </c>
      <c r="C2456" s="0" t="n">
        <v>771228</v>
      </c>
      <c r="D2456" s="0" t="s">
        <v>8209</v>
      </c>
      <c r="E2456" s="0" t="s">
        <v>75</v>
      </c>
      <c r="F2456" s="0" t="s">
        <v>90</v>
      </c>
      <c r="G2456" s="0" t="s">
        <v>32</v>
      </c>
      <c r="H2456" s="0" t="n">
        <v>10</v>
      </c>
      <c r="I2456" s="0" t="s">
        <v>8210</v>
      </c>
      <c r="J2456" s="0" t="s">
        <v>8211</v>
      </c>
      <c r="K2456" s="0" t="s">
        <v>8212</v>
      </c>
      <c r="L2456" s="0" t="str">
        <f aca="false">HYPERLINK("https://www.ncbi.nlm.nih.gov/nuccore/CP000058.1?report=graph&amp;tracks=[key:gene_model_track,Options:GeneOnly]&amp;mk=771209:771228|offset_10|00cc00,771155:771174|offset_64|444444,771131:771150|offset_88|444444,771106:771125|offset_113|444444&amp;v=771008:771325&amp;c=444444", "offset 10")</f>
        <v>offset 10</v>
      </c>
    </row>
    <row r="2457" customFormat="false" ht="12.8" hidden="false" customHeight="false" outlineLevel="0" collapsed="false">
      <c r="A2457" s="0" t="s">
        <v>12</v>
      </c>
      <c r="B2457" s="0" t="n">
        <v>771154</v>
      </c>
      <c r="C2457" s="0" t="n">
        <v>771174</v>
      </c>
      <c r="D2457" s="0" t="s">
        <v>8209</v>
      </c>
      <c r="E2457" s="0" t="s">
        <v>75</v>
      </c>
      <c r="F2457" s="0" t="s">
        <v>90</v>
      </c>
      <c r="G2457" s="0" t="s">
        <v>32</v>
      </c>
      <c r="H2457" s="0" t="n">
        <v>64</v>
      </c>
      <c r="I2457" s="0" t="s">
        <v>8213</v>
      </c>
      <c r="J2457" s="0" t="s">
        <v>8214</v>
      </c>
      <c r="K2457" s="0" t="s">
        <v>8215</v>
      </c>
      <c r="L2457" s="0" t="str">
        <f aca="false">HYPERLINK("https://www.ncbi.nlm.nih.gov/nuccore/CP000058.1?report=graph&amp;tracks=[key:gene_model_track,Options:GeneOnly]&amp;mk=771209:771228|offset_10|444444,771155:771174|offset_64|00cc00,771131:771150|offset_88|444444,771106:771125|offset_113|444444&amp;v=771008:771325&amp;c=444444", "offset 64")</f>
        <v>offset 64</v>
      </c>
    </row>
    <row r="2458" customFormat="false" ht="12.8" hidden="false" customHeight="false" outlineLevel="0" collapsed="false">
      <c r="A2458" s="0" t="s">
        <v>12</v>
      </c>
      <c r="B2458" s="0" t="n">
        <v>771130</v>
      </c>
      <c r="C2458" s="0" t="n">
        <v>771150</v>
      </c>
      <c r="D2458" s="0" t="s">
        <v>8209</v>
      </c>
      <c r="E2458" s="0" t="s">
        <v>75</v>
      </c>
      <c r="F2458" s="0" t="s">
        <v>90</v>
      </c>
      <c r="G2458" s="0" t="s">
        <v>16</v>
      </c>
      <c r="H2458" s="0" t="n">
        <v>88</v>
      </c>
      <c r="I2458" s="0" t="s">
        <v>8216</v>
      </c>
      <c r="J2458" s="0" t="s">
        <v>8217</v>
      </c>
      <c r="K2458" s="0" t="s">
        <v>8218</v>
      </c>
      <c r="L2458" s="0" t="str">
        <f aca="false">HYPERLINK("https://www.ncbi.nlm.nih.gov/nuccore/CP000058.1?report=graph&amp;tracks=[key:gene_model_track,Options:GeneOnly]&amp;mk=771209:771228|offset_10|444444,771155:771174|offset_64|444444,771131:771150|offset_88|00cc00,771106:771125|offset_113|444444&amp;v=771008:771325&amp;c=444444", "offset 88")</f>
        <v>offset 88</v>
      </c>
    </row>
    <row r="2459" customFormat="false" ht="12.8" hidden="false" customHeight="false" outlineLevel="0" collapsed="false">
      <c r="A2459" s="0" t="s">
        <v>12</v>
      </c>
      <c r="B2459" s="0" t="n">
        <v>771105</v>
      </c>
      <c r="C2459" s="0" t="n">
        <v>771125</v>
      </c>
      <c r="D2459" s="0" t="s">
        <v>8209</v>
      </c>
      <c r="E2459" s="0" t="s">
        <v>75</v>
      </c>
      <c r="F2459" s="0" t="s">
        <v>90</v>
      </c>
      <c r="G2459" s="0" t="s">
        <v>20</v>
      </c>
      <c r="H2459" s="0" t="n">
        <v>113</v>
      </c>
      <c r="I2459" s="0" t="s">
        <v>8219</v>
      </c>
      <c r="J2459" s="0" t="s">
        <v>8220</v>
      </c>
      <c r="K2459" s="0" t="s">
        <v>8221</v>
      </c>
      <c r="L2459" s="0" t="str">
        <f aca="false">HYPERLINK("https://www.ncbi.nlm.nih.gov/nuccore/CP000058.1?report=graph&amp;tracks=[key:gene_model_track,Options:GeneOnly]&amp;mk=771209:771228|offset_10|444444,771155:771174|offset_64|444444,771131:771150|offset_88|444444,771106:771125|offset_113|00cc00&amp;v=771008:771325&amp;c=444444", "offset 113")</f>
        <v>offset 113</v>
      </c>
    </row>
    <row r="2460" customFormat="false" ht="12.8" hidden="false" customHeight="false" outlineLevel="0" collapsed="false">
      <c r="A2460" s="0" t="s">
        <v>12</v>
      </c>
      <c r="B2460" s="0" t="n">
        <v>771547</v>
      </c>
      <c r="C2460" s="0" t="n">
        <v>771567</v>
      </c>
      <c r="D2460" s="0" t="s">
        <v>8222</v>
      </c>
      <c r="E2460" s="0" t="s">
        <v>75</v>
      </c>
      <c r="F2460" s="0" t="s">
        <v>90</v>
      </c>
      <c r="G2460" s="0" t="s">
        <v>36</v>
      </c>
      <c r="H2460" s="0" t="n">
        <v>17</v>
      </c>
      <c r="I2460" s="0" t="s">
        <v>8223</v>
      </c>
      <c r="J2460" s="0" t="s">
        <v>8224</v>
      </c>
      <c r="K2460" s="0" t="s">
        <v>8225</v>
      </c>
      <c r="L2460" s="0" t="str">
        <f aca="false">HYPERLINK("https://www.ncbi.nlm.nih.gov/nuccore/CP000058.1?report=graph&amp;tracks=[key:gene_model_track,Options:GeneOnly]&amp;mk=771548:771567|offset_17|00cc00,771521:771540|offset_44|444444,771486:771505|offset_79|444444,771455:771474|offset_110|444444&amp;v=771347:771674&amp;c=444444", "offset 17")</f>
        <v>offset 17</v>
      </c>
    </row>
    <row r="2461" customFormat="false" ht="12.8" hidden="false" customHeight="false" outlineLevel="0" collapsed="false">
      <c r="A2461" s="0" t="s">
        <v>12</v>
      </c>
      <c r="B2461" s="0" t="n">
        <v>771520</v>
      </c>
      <c r="C2461" s="0" t="n">
        <v>771540</v>
      </c>
      <c r="D2461" s="0" t="s">
        <v>8222</v>
      </c>
      <c r="E2461" s="0" t="s">
        <v>75</v>
      </c>
      <c r="F2461" s="0" t="s">
        <v>90</v>
      </c>
      <c r="G2461" s="0" t="s">
        <v>20</v>
      </c>
      <c r="H2461" s="0" t="n">
        <v>44</v>
      </c>
      <c r="I2461" s="0" t="s">
        <v>8226</v>
      </c>
      <c r="J2461" s="0" t="s">
        <v>8227</v>
      </c>
      <c r="K2461" s="0" t="s">
        <v>8228</v>
      </c>
      <c r="L2461" s="0" t="str">
        <f aca="false">HYPERLINK("https://www.ncbi.nlm.nih.gov/nuccore/CP000058.1?report=graph&amp;tracks=[key:gene_model_track,Options:GeneOnly]&amp;mk=771548:771567|offset_17|444444,771521:771540|offset_44|00cc00,771486:771505|offset_79|444444,771455:771474|offset_110|444444&amp;v=771347:771674&amp;c=444444", "offset 44")</f>
        <v>offset 44</v>
      </c>
    </row>
    <row r="2462" customFormat="false" ht="12.8" hidden="false" customHeight="false" outlineLevel="0" collapsed="false">
      <c r="A2462" s="0" t="s">
        <v>12</v>
      </c>
      <c r="B2462" s="0" t="n">
        <v>771485</v>
      </c>
      <c r="C2462" s="0" t="n">
        <v>771505</v>
      </c>
      <c r="D2462" s="0" t="s">
        <v>8222</v>
      </c>
      <c r="E2462" s="0" t="s">
        <v>75</v>
      </c>
      <c r="F2462" s="0" t="s">
        <v>90</v>
      </c>
      <c r="G2462" s="0" t="s">
        <v>16</v>
      </c>
      <c r="H2462" s="0" t="n">
        <v>79</v>
      </c>
      <c r="I2462" s="0" t="s">
        <v>8229</v>
      </c>
      <c r="J2462" s="0" t="s">
        <v>8230</v>
      </c>
      <c r="K2462" s="0" t="s">
        <v>8231</v>
      </c>
      <c r="L2462" s="0" t="str">
        <f aca="false">HYPERLINK("https://www.ncbi.nlm.nih.gov/nuccore/CP000058.1?report=graph&amp;tracks=[key:gene_model_track,Options:GeneOnly]&amp;mk=771548:771567|offset_17|444444,771521:771540|offset_44|444444,771486:771505|offset_79|00cc00,771455:771474|offset_110|444444&amp;v=771347:771674&amp;c=444444", "offset 79")</f>
        <v>offset 79</v>
      </c>
    </row>
    <row r="2463" customFormat="false" ht="12.8" hidden="false" customHeight="false" outlineLevel="0" collapsed="false">
      <c r="A2463" s="0" t="s">
        <v>12</v>
      </c>
      <c r="B2463" s="0" t="n">
        <v>771454</v>
      </c>
      <c r="C2463" s="0" t="n">
        <v>771474</v>
      </c>
      <c r="D2463" s="0" t="s">
        <v>8222</v>
      </c>
      <c r="E2463" s="0" t="s">
        <v>75</v>
      </c>
      <c r="F2463" s="0" t="s">
        <v>90</v>
      </c>
      <c r="G2463" s="0" t="s">
        <v>20</v>
      </c>
      <c r="H2463" s="0" t="n">
        <v>110</v>
      </c>
      <c r="I2463" s="0" t="s">
        <v>8232</v>
      </c>
      <c r="J2463" s="0" t="s">
        <v>8233</v>
      </c>
      <c r="K2463" s="0" t="s">
        <v>8234</v>
      </c>
      <c r="L2463" s="0" t="str">
        <f aca="false">HYPERLINK("https://www.ncbi.nlm.nih.gov/nuccore/CP000058.1?report=graph&amp;tracks=[key:gene_model_track,Options:GeneOnly]&amp;mk=771548:771567|offset_17|444444,771521:771540|offset_44|444444,771486:771505|offset_79|444444,771455:771474|offset_110|00cc00&amp;v=771347:771674&amp;c=444444", "offset 110")</f>
        <v>offset 110</v>
      </c>
    </row>
    <row r="2464" customFormat="false" ht="12.8" hidden="false" customHeight="false" outlineLevel="0" collapsed="false">
      <c r="A2464" s="0" t="s">
        <v>12</v>
      </c>
      <c r="B2464" s="0" t="n">
        <v>772307</v>
      </c>
      <c r="C2464" s="0" t="n">
        <v>772327</v>
      </c>
      <c r="D2464" s="0" t="s">
        <v>8235</v>
      </c>
      <c r="E2464" s="0" t="s">
        <v>75</v>
      </c>
      <c r="F2464" s="0" t="s">
        <v>90</v>
      </c>
      <c r="G2464" s="0" t="s">
        <v>32</v>
      </c>
      <c r="H2464" s="0" t="n">
        <v>59</v>
      </c>
      <c r="I2464" s="0" t="s">
        <v>8236</v>
      </c>
      <c r="J2464" s="0" t="s">
        <v>8237</v>
      </c>
      <c r="K2464" s="0" t="s">
        <v>8238</v>
      </c>
      <c r="L2464" s="0" t="str">
        <f aca="false">HYPERLINK("https://www.ncbi.nlm.nih.gov/nuccore/CP000058.1?report=graph&amp;tracks=[key:gene_model_track,Options:GeneOnly]&amp;mk=772308:772327|offset_59|00cc00,772274:772293|offset_93|444444,772235:772254|offset_132|444444,772209:772228|offset_158|444444&amp;v=772107:772428&amp;c=444444", "offset 59")</f>
        <v>offset 59</v>
      </c>
    </row>
    <row r="2465" customFormat="false" ht="12.8" hidden="false" customHeight="false" outlineLevel="0" collapsed="false">
      <c r="A2465" s="0" t="s">
        <v>12</v>
      </c>
      <c r="B2465" s="0" t="n">
        <v>772273</v>
      </c>
      <c r="C2465" s="0" t="n">
        <v>772293</v>
      </c>
      <c r="D2465" s="0" t="s">
        <v>8235</v>
      </c>
      <c r="E2465" s="0" t="s">
        <v>75</v>
      </c>
      <c r="F2465" s="0" t="s">
        <v>90</v>
      </c>
      <c r="G2465" s="0" t="s">
        <v>36</v>
      </c>
      <c r="H2465" s="0" t="n">
        <v>93</v>
      </c>
      <c r="I2465" s="0" t="s">
        <v>8239</v>
      </c>
      <c r="J2465" s="0" t="s">
        <v>8240</v>
      </c>
      <c r="K2465" s="0" t="s">
        <v>8241</v>
      </c>
      <c r="L2465" s="0" t="str">
        <f aca="false">HYPERLINK("https://www.ncbi.nlm.nih.gov/nuccore/CP000058.1?report=graph&amp;tracks=[key:gene_model_track,Options:GeneOnly]&amp;mk=772308:772327|offset_59|444444,772274:772293|offset_93|00cc00,772235:772254|offset_132|444444,772209:772228|offset_158|444444&amp;v=772107:772428&amp;c=444444", "offset 93")</f>
        <v>offset 93</v>
      </c>
    </row>
    <row r="2466" customFormat="false" ht="12.8" hidden="false" customHeight="false" outlineLevel="0" collapsed="false">
      <c r="A2466" s="0" t="s">
        <v>12</v>
      </c>
      <c r="B2466" s="0" t="n">
        <v>772234</v>
      </c>
      <c r="C2466" s="0" t="n">
        <v>772254</v>
      </c>
      <c r="D2466" s="0" t="s">
        <v>8235</v>
      </c>
      <c r="E2466" s="0" t="s">
        <v>75</v>
      </c>
      <c r="F2466" s="0" t="s">
        <v>90</v>
      </c>
      <c r="G2466" s="0" t="s">
        <v>16</v>
      </c>
      <c r="H2466" s="0" t="n">
        <v>132</v>
      </c>
      <c r="I2466" s="0" t="s">
        <v>8242</v>
      </c>
      <c r="J2466" s="0" t="s">
        <v>8243</v>
      </c>
      <c r="K2466" s="0" t="s">
        <v>8244</v>
      </c>
      <c r="L2466" s="0" t="str">
        <f aca="false">HYPERLINK("https://www.ncbi.nlm.nih.gov/nuccore/CP000058.1?report=graph&amp;tracks=[key:gene_model_track,Options:GeneOnly]&amp;mk=772308:772327|offset_59|444444,772274:772293|offset_93|444444,772235:772254|offset_132|00cc00,772209:772228|offset_158|444444&amp;v=772107:772428&amp;c=444444", "offset 132")</f>
        <v>offset 132</v>
      </c>
    </row>
    <row r="2467" customFormat="false" ht="12.8" hidden="false" customHeight="false" outlineLevel="0" collapsed="false">
      <c r="A2467" s="0" t="s">
        <v>12</v>
      </c>
      <c r="B2467" s="0" t="n">
        <v>772208</v>
      </c>
      <c r="C2467" s="0" t="n">
        <v>772228</v>
      </c>
      <c r="D2467" s="0" t="s">
        <v>8235</v>
      </c>
      <c r="E2467" s="0" t="s">
        <v>75</v>
      </c>
      <c r="F2467" s="0" t="s">
        <v>90</v>
      </c>
      <c r="G2467" s="0" t="s">
        <v>20</v>
      </c>
      <c r="H2467" s="0" t="n">
        <v>158</v>
      </c>
      <c r="I2467" s="0" t="s">
        <v>8245</v>
      </c>
      <c r="J2467" s="0" t="s">
        <v>8246</v>
      </c>
      <c r="K2467" s="0" t="s">
        <v>8247</v>
      </c>
      <c r="L2467" s="0" t="str">
        <f aca="false">HYPERLINK("https://www.ncbi.nlm.nih.gov/nuccore/CP000058.1?report=graph&amp;tracks=[key:gene_model_track,Options:GeneOnly]&amp;mk=772308:772327|offset_59|444444,772274:772293|offset_93|444444,772235:772254|offset_132|444444,772209:772228|offset_158|00cc00&amp;v=772107:772428&amp;c=444444", "offset 158")</f>
        <v>offset 158</v>
      </c>
    </row>
    <row r="2468" customFormat="false" ht="12.8" hidden="false" customHeight="false" outlineLevel="0" collapsed="false">
      <c r="A2468" s="0" t="s">
        <v>12</v>
      </c>
      <c r="B2468" s="0" t="n">
        <v>772561</v>
      </c>
      <c r="C2468" s="0" t="n">
        <v>772581</v>
      </c>
      <c r="D2468" s="0" t="s">
        <v>8248</v>
      </c>
      <c r="E2468" s="0" t="s">
        <v>75</v>
      </c>
      <c r="F2468" s="0" t="s">
        <v>15</v>
      </c>
      <c r="G2468" s="0" t="s">
        <v>16</v>
      </c>
      <c r="H2468" s="0" t="n">
        <v>22</v>
      </c>
      <c r="I2468" s="0" t="s">
        <v>8249</v>
      </c>
      <c r="J2468" s="0" t="s">
        <v>8250</v>
      </c>
      <c r="K2468" s="0" t="s">
        <v>8251</v>
      </c>
      <c r="L2468" s="0" t="str">
        <f aca="false">HYPERLINK("https://www.ncbi.nlm.nih.gov/nuccore/CP000058.1?report=graph&amp;tracks=[key:gene_model_track,Options:GeneOnly]&amp;mk=772562:772581|offset_22|00cc00,772602:772621|offset_62|444444,772623:772642|offset_83|444444,772660:772679|offset_120|444444&amp;v=772361:772879&amp;c=444444", "offset 22")</f>
        <v>offset 22</v>
      </c>
    </row>
    <row r="2469" customFormat="false" ht="12.8" hidden="false" customHeight="false" outlineLevel="0" collapsed="false">
      <c r="A2469" s="0" t="s">
        <v>12</v>
      </c>
      <c r="B2469" s="0" t="n">
        <v>772601</v>
      </c>
      <c r="C2469" s="0" t="n">
        <v>772621</v>
      </c>
      <c r="D2469" s="0" t="s">
        <v>8248</v>
      </c>
      <c r="E2469" s="0" t="s">
        <v>75</v>
      </c>
      <c r="F2469" s="0" t="s">
        <v>15</v>
      </c>
      <c r="G2469" s="0" t="s">
        <v>20</v>
      </c>
      <c r="H2469" s="0" t="n">
        <v>62</v>
      </c>
      <c r="I2469" s="0" t="s">
        <v>8252</v>
      </c>
      <c r="J2469" s="0" t="s">
        <v>8253</v>
      </c>
      <c r="K2469" s="0" t="s">
        <v>8254</v>
      </c>
      <c r="L2469" s="0" t="str">
        <f aca="false">HYPERLINK("https://www.ncbi.nlm.nih.gov/nuccore/CP000058.1?report=graph&amp;tracks=[key:gene_model_track,Options:GeneOnly]&amp;mk=772562:772581|offset_22|444444,772602:772621|offset_62|00cc00,772623:772642|offset_83|444444,772660:772679|offset_120|444444&amp;v=772361:772879&amp;c=444444", "offset 62")</f>
        <v>offset 62</v>
      </c>
    </row>
    <row r="2470" customFormat="false" ht="12.8" hidden="false" customHeight="false" outlineLevel="0" collapsed="false">
      <c r="A2470" s="0" t="s">
        <v>12</v>
      </c>
      <c r="B2470" s="0" t="n">
        <v>772622</v>
      </c>
      <c r="C2470" s="0" t="n">
        <v>772642</v>
      </c>
      <c r="D2470" s="0" t="s">
        <v>8248</v>
      </c>
      <c r="E2470" s="0" t="s">
        <v>75</v>
      </c>
      <c r="F2470" s="0" t="s">
        <v>15</v>
      </c>
      <c r="G2470" s="0" t="s">
        <v>36</v>
      </c>
      <c r="H2470" s="0" t="n">
        <v>83</v>
      </c>
      <c r="I2470" s="0" t="s">
        <v>8255</v>
      </c>
      <c r="J2470" s="0" t="s">
        <v>8256</v>
      </c>
      <c r="K2470" s="0" t="s">
        <v>8257</v>
      </c>
      <c r="L2470" s="0" t="str">
        <f aca="false">HYPERLINK("https://www.ncbi.nlm.nih.gov/nuccore/CP000058.1?report=graph&amp;tracks=[key:gene_model_track,Options:GeneOnly]&amp;mk=772562:772581|offset_22|444444,772602:772621|offset_62|444444,772623:772642|offset_83|00cc00,772660:772679|offset_120|444444&amp;v=772361:772879&amp;c=444444", "offset 83")</f>
        <v>offset 83</v>
      </c>
    </row>
    <row r="2471" customFormat="false" ht="12.8" hidden="false" customHeight="false" outlineLevel="0" collapsed="false">
      <c r="A2471" s="0" t="s">
        <v>12</v>
      </c>
      <c r="B2471" s="0" t="n">
        <v>772659</v>
      </c>
      <c r="C2471" s="0" t="n">
        <v>772679</v>
      </c>
      <c r="D2471" s="0" t="s">
        <v>8248</v>
      </c>
      <c r="E2471" s="0" t="s">
        <v>75</v>
      </c>
      <c r="F2471" s="0" t="s">
        <v>15</v>
      </c>
      <c r="G2471" s="0" t="s">
        <v>16</v>
      </c>
      <c r="H2471" s="0" t="n">
        <v>120</v>
      </c>
      <c r="I2471" s="0" t="s">
        <v>8258</v>
      </c>
      <c r="J2471" s="0" t="s">
        <v>8259</v>
      </c>
      <c r="K2471" s="0" t="s">
        <v>8260</v>
      </c>
      <c r="L2471" s="0" t="str">
        <f aca="false">HYPERLINK("https://www.ncbi.nlm.nih.gov/nuccore/CP000058.1?report=graph&amp;tracks=[key:gene_model_track,Options:GeneOnly]&amp;mk=772562:772581|offset_22|444444,772602:772621|offset_62|444444,772623:772642|offset_83|444444,772660:772679|offset_120|00cc00&amp;v=772361:772879&amp;c=444444", "offset 120")</f>
        <v>offset 120</v>
      </c>
    </row>
    <row r="2472" customFormat="false" ht="12.8" hidden="false" customHeight="false" outlineLevel="0" collapsed="false">
      <c r="A2472" s="0" t="s">
        <v>12</v>
      </c>
      <c r="B2472" s="0" t="n">
        <v>773459</v>
      </c>
      <c r="C2472" s="0" t="n">
        <v>773479</v>
      </c>
      <c r="D2472" s="0" t="s">
        <v>8261</v>
      </c>
      <c r="E2472" s="0" t="s">
        <v>75</v>
      </c>
      <c r="F2472" s="0" t="s">
        <v>15</v>
      </c>
      <c r="G2472" s="0" t="s">
        <v>32</v>
      </c>
      <c r="H2472" s="0" t="n">
        <v>7</v>
      </c>
      <c r="I2472" s="0" t="s">
        <v>8262</v>
      </c>
      <c r="J2472" s="0" t="s">
        <v>8263</v>
      </c>
      <c r="K2472" s="0" t="s">
        <v>8264</v>
      </c>
      <c r="L2472" s="0" t="str">
        <f aca="false">HYPERLINK("https://www.ncbi.nlm.nih.gov/nuccore/CP000058.1?report=graph&amp;tracks=[key:gene_model_track,Options:GeneOnly]&amp;mk=773460:773479|offset_7|00cc00,773482:773501|offset_29|444444,773515:773534|offset_62|444444,773535:773554|offset_82|444444&amp;v=773259:773754&amp;c=444444", "offset 7")</f>
        <v>offset 7</v>
      </c>
    </row>
    <row r="2473" customFormat="false" ht="12.8" hidden="false" customHeight="false" outlineLevel="0" collapsed="false">
      <c r="A2473" s="0" t="s">
        <v>12</v>
      </c>
      <c r="B2473" s="0" t="n">
        <v>773481</v>
      </c>
      <c r="C2473" s="0" t="n">
        <v>773501</v>
      </c>
      <c r="D2473" s="0" t="s">
        <v>8261</v>
      </c>
      <c r="E2473" s="0" t="s">
        <v>75</v>
      </c>
      <c r="F2473" s="0" t="s">
        <v>15</v>
      </c>
      <c r="G2473" s="0" t="s">
        <v>32</v>
      </c>
      <c r="H2473" s="0" t="n">
        <v>29</v>
      </c>
      <c r="I2473" s="0" t="s">
        <v>8265</v>
      </c>
      <c r="J2473" s="0" t="s">
        <v>8266</v>
      </c>
      <c r="K2473" s="0" t="s">
        <v>8267</v>
      </c>
      <c r="L2473" s="0" t="str">
        <f aca="false">HYPERLINK("https://www.ncbi.nlm.nih.gov/nuccore/CP000058.1?report=graph&amp;tracks=[key:gene_model_track,Options:GeneOnly]&amp;mk=773460:773479|offset_7|444444,773482:773501|offset_29|00cc00,773515:773534|offset_62|444444,773535:773554|offset_82|444444&amp;v=773259:773754&amp;c=444444", "offset 29")</f>
        <v>offset 29</v>
      </c>
    </row>
    <row r="2474" customFormat="false" ht="12.8" hidden="false" customHeight="false" outlineLevel="0" collapsed="false">
      <c r="A2474" s="0" t="s">
        <v>12</v>
      </c>
      <c r="B2474" s="0" t="n">
        <v>773514</v>
      </c>
      <c r="C2474" s="0" t="n">
        <v>773534</v>
      </c>
      <c r="D2474" s="0" t="s">
        <v>8261</v>
      </c>
      <c r="E2474" s="0" t="s">
        <v>75</v>
      </c>
      <c r="F2474" s="0" t="s">
        <v>15</v>
      </c>
      <c r="G2474" s="0" t="s">
        <v>20</v>
      </c>
      <c r="H2474" s="0" t="n">
        <v>62</v>
      </c>
      <c r="I2474" s="0" t="s">
        <v>8268</v>
      </c>
      <c r="J2474" s="0" t="s">
        <v>8269</v>
      </c>
      <c r="K2474" s="0" t="s">
        <v>8270</v>
      </c>
      <c r="L2474" s="0" t="str">
        <f aca="false">HYPERLINK("https://www.ncbi.nlm.nih.gov/nuccore/CP000058.1?report=graph&amp;tracks=[key:gene_model_track,Options:GeneOnly]&amp;mk=773460:773479|offset_7|444444,773482:773501|offset_29|444444,773515:773534|offset_62|00cc00,773535:773554|offset_82|444444&amp;v=773259:773754&amp;c=444444", "offset 62")</f>
        <v>offset 62</v>
      </c>
    </row>
    <row r="2475" customFormat="false" ht="12.8" hidden="false" customHeight="false" outlineLevel="0" collapsed="false">
      <c r="A2475" s="0" t="s">
        <v>12</v>
      </c>
      <c r="B2475" s="0" t="n">
        <v>773534</v>
      </c>
      <c r="C2475" s="0" t="n">
        <v>773554</v>
      </c>
      <c r="D2475" s="0" t="s">
        <v>8261</v>
      </c>
      <c r="E2475" s="0" t="s">
        <v>75</v>
      </c>
      <c r="F2475" s="0" t="s">
        <v>15</v>
      </c>
      <c r="G2475" s="0" t="s">
        <v>16</v>
      </c>
      <c r="H2475" s="0" t="n">
        <v>82</v>
      </c>
      <c r="I2475" s="0" t="s">
        <v>8271</v>
      </c>
      <c r="J2475" s="0" t="s">
        <v>8272</v>
      </c>
      <c r="K2475" s="0" t="s">
        <v>8273</v>
      </c>
      <c r="L2475" s="0" t="str">
        <f aca="false">HYPERLINK("https://www.ncbi.nlm.nih.gov/nuccore/CP000058.1?report=graph&amp;tracks=[key:gene_model_track,Options:GeneOnly]&amp;mk=773460:773479|offset_7|444444,773482:773501|offset_29|444444,773515:773534|offset_62|444444,773535:773554|offset_82|00cc00&amp;v=773259:773754&amp;c=444444", "offset 82")</f>
        <v>offset 82</v>
      </c>
    </row>
    <row r="2476" customFormat="false" ht="12.8" hidden="false" customHeight="false" outlineLevel="0" collapsed="false">
      <c r="A2476" s="0" t="s">
        <v>12</v>
      </c>
      <c r="B2476" s="0" t="n">
        <v>774747</v>
      </c>
      <c r="C2476" s="0" t="n">
        <v>774767</v>
      </c>
      <c r="D2476" s="0" t="s">
        <v>8274</v>
      </c>
      <c r="E2476" s="0" t="s">
        <v>75</v>
      </c>
      <c r="F2476" s="0" t="s">
        <v>15</v>
      </c>
      <c r="G2476" s="0" t="s">
        <v>32</v>
      </c>
      <c r="H2476" s="0" t="n">
        <v>0</v>
      </c>
      <c r="I2476" s="0" t="s">
        <v>8275</v>
      </c>
      <c r="J2476" s="0" t="s">
        <v>8276</v>
      </c>
      <c r="K2476" s="0" t="s">
        <v>8277</v>
      </c>
      <c r="L2476" s="0" t="str">
        <f aca="false">HYPERLINK("https://www.ncbi.nlm.nih.gov/nuccore/CP000058.1?report=graph&amp;tracks=[key:gene_model_track,Options:GeneOnly]&amp;mk=774748:774767|offset_0|00cc00,774771:774790|offset_23|444444,774848:774867|offset_100|444444,774900:774919|offset_152|444444&amp;v=774547:775119&amp;c=444444", "offset 0")</f>
        <v>offset 0</v>
      </c>
    </row>
    <row r="2477" customFormat="false" ht="12.8" hidden="false" customHeight="false" outlineLevel="0" collapsed="false">
      <c r="A2477" s="0" t="s">
        <v>12</v>
      </c>
      <c r="B2477" s="0" t="n">
        <v>774770</v>
      </c>
      <c r="C2477" s="0" t="n">
        <v>774790</v>
      </c>
      <c r="D2477" s="0" t="s">
        <v>8274</v>
      </c>
      <c r="E2477" s="0" t="s">
        <v>75</v>
      </c>
      <c r="F2477" s="0" t="s">
        <v>15</v>
      </c>
      <c r="G2477" s="0" t="s">
        <v>36</v>
      </c>
      <c r="H2477" s="0" t="n">
        <v>23</v>
      </c>
      <c r="I2477" s="0" t="s">
        <v>8278</v>
      </c>
      <c r="J2477" s="0" t="s">
        <v>8279</v>
      </c>
      <c r="K2477" s="0" t="s">
        <v>8280</v>
      </c>
      <c r="L2477" s="0" t="str">
        <f aca="false">HYPERLINK("https://www.ncbi.nlm.nih.gov/nuccore/CP000058.1?report=graph&amp;tracks=[key:gene_model_track,Options:GeneOnly]&amp;mk=774748:774767|offset_0|444444,774771:774790|offset_23|00cc00,774848:774867|offset_100|444444,774900:774919|offset_152|444444&amp;v=774547:775119&amp;c=444444", "offset 23")</f>
        <v>offset 23</v>
      </c>
    </row>
    <row r="2478" customFormat="false" ht="12.8" hidden="false" customHeight="false" outlineLevel="0" collapsed="false">
      <c r="A2478" s="0" t="s">
        <v>12</v>
      </c>
      <c r="B2478" s="0" t="n">
        <v>774847</v>
      </c>
      <c r="C2478" s="0" t="n">
        <v>774867</v>
      </c>
      <c r="D2478" s="0" t="s">
        <v>8274</v>
      </c>
      <c r="E2478" s="0" t="s">
        <v>75</v>
      </c>
      <c r="F2478" s="0" t="s">
        <v>15</v>
      </c>
      <c r="G2478" s="0" t="s">
        <v>32</v>
      </c>
      <c r="H2478" s="0" t="n">
        <v>100</v>
      </c>
      <c r="I2478" s="0" t="s">
        <v>8281</v>
      </c>
      <c r="J2478" s="0" t="s">
        <v>8282</v>
      </c>
      <c r="K2478" s="0" t="s">
        <v>8283</v>
      </c>
      <c r="L2478" s="0" t="str">
        <f aca="false">HYPERLINK("https://www.ncbi.nlm.nih.gov/nuccore/CP000058.1?report=graph&amp;tracks=[key:gene_model_track,Options:GeneOnly]&amp;mk=774748:774767|offset_0|444444,774771:774790|offset_23|444444,774848:774867|offset_100|00cc00,774900:774919|offset_152|444444&amp;v=774547:775119&amp;c=444444", "offset 100")</f>
        <v>offset 100</v>
      </c>
    </row>
    <row r="2479" customFormat="false" ht="12.8" hidden="false" customHeight="false" outlineLevel="0" collapsed="false">
      <c r="A2479" s="0" t="s">
        <v>12</v>
      </c>
      <c r="B2479" s="0" t="n">
        <v>774899</v>
      </c>
      <c r="C2479" s="0" t="n">
        <v>774919</v>
      </c>
      <c r="D2479" s="0" t="s">
        <v>8274</v>
      </c>
      <c r="E2479" s="0" t="s">
        <v>75</v>
      </c>
      <c r="F2479" s="0" t="s">
        <v>15</v>
      </c>
      <c r="G2479" s="0" t="s">
        <v>16</v>
      </c>
      <c r="H2479" s="0" t="n">
        <v>152</v>
      </c>
      <c r="I2479" s="0" t="s">
        <v>8284</v>
      </c>
      <c r="J2479" s="0" t="s">
        <v>8285</v>
      </c>
      <c r="K2479" s="0" t="s">
        <v>8286</v>
      </c>
      <c r="L2479" s="0" t="str">
        <f aca="false">HYPERLINK("https://www.ncbi.nlm.nih.gov/nuccore/CP000058.1?report=graph&amp;tracks=[key:gene_model_track,Options:GeneOnly]&amp;mk=774748:774767|offset_0|444444,774771:774790|offset_23|444444,774848:774867|offset_100|444444,774900:774919|offset_152|00cc00&amp;v=774547:775119&amp;c=444444", "offset 152")</f>
        <v>offset 152</v>
      </c>
    </row>
    <row r="2480" customFormat="false" ht="12.8" hidden="false" customHeight="false" outlineLevel="0" collapsed="false">
      <c r="A2480" s="0" t="s">
        <v>12</v>
      </c>
      <c r="B2480" s="0" t="n">
        <v>775152</v>
      </c>
      <c r="C2480" s="0" t="n">
        <v>775172</v>
      </c>
      <c r="D2480" s="0" t="s">
        <v>8287</v>
      </c>
      <c r="E2480" s="0" t="s">
        <v>75</v>
      </c>
      <c r="F2480" s="0" t="s">
        <v>15</v>
      </c>
      <c r="G2480" s="0" t="s">
        <v>32</v>
      </c>
      <c r="H2480" s="0" t="n">
        <v>35</v>
      </c>
      <c r="I2480" s="0" t="s">
        <v>8288</v>
      </c>
      <c r="J2480" s="0" t="s">
        <v>8289</v>
      </c>
      <c r="K2480" s="0" t="s">
        <v>8290</v>
      </c>
      <c r="L2480" s="0" t="str">
        <f aca="false">HYPERLINK("https://www.ncbi.nlm.nih.gov/nuccore/CP000058.1?report=graph&amp;tracks=[key:gene_model_track,Options:GeneOnly]&amp;mk=775153:775172|offset_35|00cc00,775188:775207|offset_70|444444,775210:775229|offset_92|444444,775230:775249|offset_112|444444&amp;v=774952:775449&amp;c=444444", "offset 35")</f>
        <v>offset 35</v>
      </c>
    </row>
    <row r="2481" customFormat="false" ht="12.8" hidden="false" customHeight="false" outlineLevel="0" collapsed="false">
      <c r="A2481" s="0" t="s">
        <v>12</v>
      </c>
      <c r="B2481" s="0" t="n">
        <v>775187</v>
      </c>
      <c r="C2481" s="0" t="n">
        <v>775207</v>
      </c>
      <c r="D2481" s="0" t="s">
        <v>8287</v>
      </c>
      <c r="E2481" s="0" t="s">
        <v>75</v>
      </c>
      <c r="F2481" s="0" t="s">
        <v>15</v>
      </c>
      <c r="G2481" s="0" t="s">
        <v>16</v>
      </c>
      <c r="H2481" s="0" t="n">
        <v>70</v>
      </c>
      <c r="I2481" s="0" t="s">
        <v>8291</v>
      </c>
      <c r="J2481" s="0" t="s">
        <v>8292</v>
      </c>
      <c r="K2481" s="0" t="s">
        <v>8293</v>
      </c>
      <c r="L2481" s="0" t="str">
        <f aca="false">HYPERLINK("https://www.ncbi.nlm.nih.gov/nuccore/CP000058.1?report=graph&amp;tracks=[key:gene_model_track,Options:GeneOnly]&amp;mk=775153:775172|offset_35|444444,775188:775207|offset_70|00cc00,775210:775229|offset_92|444444,775230:775249|offset_112|444444&amp;v=774952:775449&amp;c=444444", "offset 70")</f>
        <v>offset 70</v>
      </c>
    </row>
    <row r="2482" customFormat="false" ht="12.8" hidden="false" customHeight="false" outlineLevel="0" collapsed="false">
      <c r="A2482" s="0" t="s">
        <v>12</v>
      </c>
      <c r="B2482" s="0" t="n">
        <v>775209</v>
      </c>
      <c r="C2482" s="0" t="n">
        <v>775229</v>
      </c>
      <c r="D2482" s="0" t="s">
        <v>8287</v>
      </c>
      <c r="E2482" s="0" t="s">
        <v>75</v>
      </c>
      <c r="F2482" s="0" t="s">
        <v>15</v>
      </c>
      <c r="G2482" s="0" t="s">
        <v>20</v>
      </c>
      <c r="H2482" s="0" t="n">
        <v>92</v>
      </c>
      <c r="I2482" s="0" t="s">
        <v>8294</v>
      </c>
      <c r="J2482" s="0" t="s">
        <v>8295</v>
      </c>
      <c r="K2482" s="0" t="s">
        <v>8296</v>
      </c>
      <c r="L2482" s="0" t="str">
        <f aca="false">HYPERLINK("https://www.ncbi.nlm.nih.gov/nuccore/CP000058.1?report=graph&amp;tracks=[key:gene_model_track,Options:GeneOnly]&amp;mk=775153:775172|offset_35|444444,775188:775207|offset_70|444444,775210:775229|offset_92|00cc00,775230:775249|offset_112|444444&amp;v=774952:775449&amp;c=444444", "offset 92")</f>
        <v>offset 92</v>
      </c>
    </row>
    <row r="2483" customFormat="false" ht="12.8" hidden="false" customHeight="false" outlineLevel="0" collapsed="false">
      <c r="A2483" s="0" t="s">
        <v>12</v>
      </c>
      <c r="B2483" s="0" t="n">
        <v>775229</v>
      </c>
      <c r="C2483" s="0" t="n">
        <v>775249</v>
      </c>
      <c r="D2483" s="0" t="s">
        <v>8287</v>
      </c>
      <c r="E2483" s="0" t="s">
        <v>75</v>
      </c>
      <c r="F2483" s="0" t="s">
        <v>15</v>
      </c>
      <c r="G2483" s="0" t="s">
        <v>16</v>
      </c>
      <c r="H2483" s="0" t="n">
        <v>112</v>
      </c>
      <c r="I2483" s="0" t="s">
        <v>8297</v>
      </c>
      <c r="J2483" s="0" t="s">
        <v>8298</v>
      </c>
      <c r="K2483" s="0" t="s">
        <v>8299</v>
      </c>
      <c r="L2483" s="0" t="str">
        <f aca="false">HYPERLINK("https://www.ncbi.nlm.nih.gov/nuccore/CP000058.1?report=graph&amp;tracks=[key:gene_model_track,Options:GeneOnly]&amp;mk=775153:775172|offset_35|444444,775188:775207|offset_70|444444,775210:775229|offset_92|444444,775230:775249|offset_112|00cc00&amp;v=774952:775449&amp;c=444444", "offset 112")</f>
        <v>offset 112</v>
      </c>
    </row>
    <row r="2484" customFormat="false" ht="12.8" hidden="false" customHeight="false" outlineLevel="0" collapsed="false">
      <c r="A2484" s="0" t="s">
        <v>12</v>
      </c>
      <c r="B2484" s="0" t="n">
        <v>775465</v>
      </c>
      <c r="C2484" s="0" t="n">
        <v>775485</v>
      </c>
      <c r="D2484" s="0" t="s">
        <v>8300</v>
      </c>
      <c r="E2484" s="0" t="s">
        <v>75</v>
      </c>
      <c r="F2484" s="0" t="s">
        <v>15</v>
      </c>
      <c r="G2484" s="0" t="s">
        <v>36</v>
      </c>
      <c r="H2484" s="0" t="n">
        <v>38</v>
      </c>
      <c r="I2484" s="0" t="s">
        <v>8301</v>
      </c>
      <c r="J2484" s="0" t="s">
        <v>8302</v>
      </c>
      <c r="K2484" s="0" t="s">
        <v>8303</v>
      </c>
      <c r="L2484" s="0" t="str">
        <f aca="false">HYPERLINK("https://www.ncbi.nlm.nih.gov/nuccore/CP000058.1?report=graph&amp;tracks=[key:gene_model_track,Options:GeneOnly]&amp;mk=775466:775485|offset_38|00cc00,775500:775519|offset_72|444444,775528:775547|offset_100|444444,775548:775567|offset_120|444444&amp;v=775265:775767&amp;c=444444", "offset 38")</f>
        <v>offset 38</v>
      </c>
    </row>
    <row r="2485" customFormat="false" ht="12.8" hidden="false" customHeight="false" outlineLevel="0" collapsed="false">
      <c r="A2485" s="0" t="s">
        <v>12</v>
      </c>
      <c r="B2485" s="0" t="n">
        <v>775499</v>
      </c>
      <c r="C2485" s="0" t="n">
        <v>775519</v>
      </c>
      <c r="D2485" s="0" t="s">
        <v>8300</v>
      </c>
      <c r="E2485" s="0" t="s">
        <v>75</v>
      </c>
      <c r="F2485" s="0" t="s">
        <v>15</v>
      </c>
      <c r="G2485" s="0" t="s">
        <v>36</v>
      </c>
      <c r="H2485" s="0" t="n">
        <v>72</v>
      </c>
      <c r="I2485" s="0" t="s">
        <v>8304</v>
      </c>
      <c r="J2485" s="0" t="s">
        <v>8305</v>
      </c>
      <c r="K2485" s="0" t="s">
        <v>8306</v>
      </c>
      <c r="L2485" s="0" t="str">
        <f aca="false">HYPERLINK("https://www.ncbi.nlm.nih.gov/nuccore/CP000058.1?report=graph&amp;tracks=[key:gene_model_track,Options:GeneOnly]&amp;mk=775466:775485|offset_38|444444,775500:775519|offset_72|00cc00,775528:775547|offset_100|444444,775548:775567|offset_120|444444&amp;v=775265:775767&amp;c=444444", "offset 72")</f>
        <v>offset 72</v>
      </c>
    </row>
    <row r="2486" customFormat="false" ht="12.8" hidden="false" customHeight="false" outlineLevel="0" collapsed="false">
      <c r="A2486" s="0" t="s">
        <v>12</v>
      </c>
      <c r="B2486" s="0" t="n">
        <v>775527</v>
      </c>
      <c r="C2486" s="0" t="n">
        <v>775547</v>
      </c>
      <c r="D2486" s="0" t="s">
        <v>8300</v>
      </c>
      <c r="E2486" s="0" t="s">
        <v>75</v>
      </c>
      <c r="F2486" s="0" t="s">
        <v>15</v>
      </c>
      <c r="G2486" s="0" t="s">
        <v>36</v>
      </c>
      <c r="H2486" s="0" t="n">
        <v>100</v>
      </c>
      <c r="I2486" s="0" t="s">
        <v>8307</v>
      </c>
      <c r="J2486" s="0" t="s">
        <v>8308</v>
      </c>
      <c r="K2486" s="0" t="s">
        <v>8309</v>
      </c>
      <c r="L2486" s="0" t="str">
        <f aca="false">HYPERLINK("https://www.ncbi.nlm.nih.gov/nuccore/CP000058.1?report=graph&amp;tracks=[key:gene_model_track,Options:GeneOnly]&amp;mk=775466:775485|offset_38|444444,775500:775519|offset_72|444444,775528:775547|offset_100|00cc00,775548:775567|offset_120|444444&amp;v=775265:775767&amp;c=444444", "offset 100")</f>
        <v>offset 100</v>
      </c>
    </row>
    <row r="2487" customFormat="false" ht="12.8" hidden="false" customHeight="false" outlineLevel="0" collapsed="false">
      <c r="A2487" s="0" t="s">
        <v>12</v>
      </c>
      <c r="B2487" s="0" t="n">
        <v>775547</v>
      </c>
      <c r="C2487" s="0" t="n">
        <v>775567</v>
      </c>
      <c r="D2487" s="0" t="s">
        <v>8300</v>
      </c>
      <c r="E2487" s="0" t="s">
        <v>75</v>
      </c>
      <c r="F2487" s="0" t="s">
        <v>15</v>
      </c>
      <c r="G2487" s="0" t="s">
        <v>16</v>
      </c>
      <c r="H2487" s="0" t="n">
        <v>120</v>
      </c>
      <c r="I2487" s="0" t="s">
        <v>8310</v>
      </c>
      <c r="J2487" s="0" t="s">
        <v>8311</v>
      </c>
      <c r="K2487" s="0" t="s">
        <v>8312</v>
      </c>
      <c r="L2487" s="0" t="str">
        <f aca="false">HYPERLINK("https://www.ncbi.nlm.nih.gov/nuccore/CP000058.1?report=graph&amp;tracks=[key:gene_model_track,Options:GeneOnly]&amp;mk=775466:775485|offset_38|444444,775500:775519|offset_72|444444,775528:775547|offset_100|444444,775548:775567|offset_120|00cc00&amp;v=775265:775767&amp;c=444444", "offset 120")</f>
        <v>offset 120</v>
      </c>
    </row>
    <row r="2488" customFormat="false" ht="12.8" hidden="false" customHeight="false" outlineLevel="0" collapsed="false">
      <c r="A2488" s="0" t="s">
        <v>12</v>
      </c>
      <c r="B2488" s="0" t="n">
        <v>775932</v>
      </c>
      <c r="C2488" s="0" t="n">
        <v>775952</v>
      </c>
      <c r="D2488" s="0" t="s">
        <v>8313</v>
      </c>
      <c r="E2488" s="0" t="s">
        <v>75</v>
      </c>
      <c r="F2488" s="0" t="s">
        <v>15</v>
      </c>
      <c r="G2488" s="0" t="s">
        <v>20</v>
      </c>
      <c r="H2488" s="0" t="n">
        <v>25</v>
      </c>
      <c r="I2488" s="0" t="s">
        <v>8314</v>
      </c>
      <c r="J2488" s="0" t="s">
        <v>8315</v>
      </c>
      <c r="K2488" s="0" t="s">
        <v>8316</v>
      </c>
      <c r="L2488" s="0" t="str">
        <f aca="false">HYPERLINK("https://www.ncbi.nlm.nih.gov/nuccore/CP000058.1?report=graph&amp;tracks=[key:gene_model_track,Options:GeneOnly]&amp;mk=775933:775952|offset_25|00cc00,775957:775976|offset_49|444444,775986:776005|offset_78|444444,776011:776030|offset_103|444444&amp;v=775732:776230&amp;c=444444", "offset 25")</f>
        <v>offset 25</v>
      </c>
    </row>
    <row r="2489" customFormat="false" ht="12.8" hidden="false" customHeight="false" outlineLevel="0" collapsed="false">
      <c r="A2489" s="0" t="s">
        <v>12</v>
      </c>
      <c r="B2489" s="0" t="n">
        <v>775956</v>
      </c>
      <c r="C2489" s="0" t="n">
        <v>775976</v>
      </c>
      <c r="D2489" s="0" t="s">
        <v>8313</v>
      </c>
      <c r="E2489" s="0" t="s">
        <v>75</v>
      </c>
      <c r="F2489" s="0" t="s">
        <v>15</v>
      </c>
      <c r="G2489" s="0" t="s">
        <v>36</v>
      </c>
      <c r="H2489" s="0" t="n">
        <v>49</v>
      </c>
      <c r="I2489" s="0" t="s">
        <v>8317</v>
      </c>
      <c r="J2489" s="0" t="s">
        <v>8318</v>
      </c>
      <c r="K2489" s="0" t="s">
        <v>8319</v>
      </c>
      <c r="L2489" s="0" t="str">
        <f aca="false">HYPERLINK("https://www.ncbi.nlm.nih.gov/nuccore/CP000058.1?report=graph&amp;tracks=[key:gene_model_track,Options:GeneOnly]&amp;mk=775933:775952|offset_25|444444,775957:775976|offset_49|00cc00,775986:776005|offset_78|444444,776011:776030|offset_103|444444&amp;v=775732:776230&amp;c=444444", "offset 49")</f>
        <v>offset 49</v>
      </c>
    </row>
    <row r="2490" customFormat="false" ht="12.8" hidden="false" customHeight="false" outlineLevel="0" collapsed="false">
      <c r="A2490" s="0" t="s">
        <v>12</v>
      </c>
      <c r="B2490" s="0" t="n">
        <v>775985</v>
      </c>
      <c r="C2490" s="0" t="n">
        <v>776005</v>
      </c>
      <c r="D2490" s="0" t="s">
        <v>8313</v>
      </c>
      <c r="E2490" s="0" t="s">
        <v>75</v>
      </c>
      <c r="F2490" s="0" t="s">
        <v>15</v>
      </c>
      <c r="G2490" s="0" t="s">
        <v>20</v>
      </c>
      <c r="H2490" s="0" t="n">
        <v>78</v>
      </c>
      <c r="I2490" s="0" t="s">
        <v>8320</v>
      </c>
      <c r="J2490" s="0" t="s">
        <v>8321</v>
      </c>
      <c r="K2490" s="0" t="s">
        <v>8322</v>
      </c>
      <c r="L2490" s="0" t="str">
        <f aca="false">HYPERLINK("https://www.ncbi.nlm.nih.gov/nuccore/CP000058.1?report=graph&amp;tracks=[key:gene_model_track,Options:GeneOnly]&amp;mk=775933:775952|offset_25|444444,775957:775976|offset_49|444444,775986:776005|offset_78|00cc00,776011:776030|offset_103|444444&amp;v=775732:776230&amp;c=444444", "offset 78")</f>
        <v>offset 78</v>
      </c>
    </row>
    <row r="2491" customFormat="false" ht="12.8" hidden="false" customHeight="false" outlineLevel="0" collapsed="false">
      <c r="A2491" s="0" t="s">
        <v>12</v>
      </c>
      <c r="B2491" s="0" t="n">
        <v>776010</v>
      </c>
      <c r="C2491" s="0" t="n">
        <v>776030</v>
      </c>
      <c r="D2491" s="0" t="s">
        <v>8313</v>
      </c>
      <c r="E2491" s="0" t="s">
        <v>75</v>
      </c>
      <c r="F2491" s="0" t="s">
        <v>15</v>
      </c>
      <c r="G2491" s="0" t="s">
        <v>16</v>
      </c>
      <c r="H2491" s="0" t="n">
        <v>103</v>
      </c>
      <c r="I2491" s="0" t="s">
        <v>8323</v>
      </c>
      <c r="J2491" s="0" t="s">
        <v>8324</v>
      </c>
      <c r="K2491" s="0" t="s">
        <v>8325</v>
      </c>
      <c r="L2491" s="0" t="str">
        <f aca="false">HYPERLINK("https://www.ncbi.nlm.nih.gov/nuccore/CP000058.1?report=graph&amp;tracks=[key:gene_model_track,Options:GeneOnly]&amp;mk=775933:775952|offset_25|444444,775957:775976|offset_49|444444,775986:776005|offset_78|444444,776011:776030|offset_103|00cc00&amp;v=775732:776230&amp;c=444444", "offset 103")</f>
        <v>offset 103</v>
      </c>
    </row>
    <row r="2492" customFormat="false" ht="12.8" hidden="false" customHeight="false" outlineLevel="0" collapsed="false">
      <c r="A2492" s="0" t="s">
        <v>12</v>
      </c>
      <c r="B2492" s="0" t="n">
        <v>776273</v>
      </c>
      <c r="C2492" s="0" t="n">
        <v>776293</v>
      </c>
      <c r="D2492" s="0" t="s">
        <v>8326</v>
      </c>
      <c r="E2492" s="0" t="s">
        <v>75</v>
      </c>
      <c r="F2492" s="0" t="s">
        <v>15</v>
      </c>
      <c r="G2492" s="0" t="s">
        <v>32</v>
      </c>
      <c r="H2492" s="0" t="n">
        <v>25</v>
      </c>
      <c r="I2492" s="0" t="s">
        <v>8327</v>
      </c>
      <c r="J2492" s="0" t="s">
        <v>8328</v>
      </c>
      <c r="K2492" s="0" t="s">
        <v>8329</v>
      </c>
      <c r="L2492" s="0" t="str">
        <f aca="false">HYPERLINK("https://www.ncbi.nlm.nih.gov/nuccore/CP000058.1?report=graph&amp;tracks=[key:gene_model_track,Options:GeneOnly]&amp;mk=776274:776293|offset_25|00cc00,776301:776320|offset_52|444444,776326:776345|offset_77|444444,776349:776368|offset_100|444444&amp;v=776073:776568&amp;c=444444", "offset 25")</f>
        <v>offset 25</v>
      </c>
    </row>
    <row r="2493" customFormat="false" ht="12.8" hidden="false" customHeight="false" outlineLevel="0" collapsed="false">
      <c r="A2493" s="0" t="s">
        <v>12</v>
      </c>
      <c r="B2493" s="0" t="n">
        <v>776300</v>
      </c>
      <c r="C2493" s="0" t="n">
        <v>776320</v>
      </c>
      <c r="D2493" s="0" t="s">
        <v>8326</v>
      </c>
      <c r="E2493" s="0" t="s">
        <v>75</v>
      </c>
      <c r="F2493" s="0" t="s">
        <v>15</v>
      </c>
      <c r="G2493" s="0" t="s">
        <v>36</v>
      </c>
      <c r="H2493" s="0" t="n">
        <v>52</v>
      </c>
      <c r="I2493" s="0" t="s">
        <v>8330</v>
      </c>
      <c r="J2493" s="0" t="s">
        <v>8331</v>
      </c>
      <c r="K2493" s="0" t="s">
        <v>8332</v>
      </c>
      <c r="L2493" s="0" t="str">
        <f aca="false">HYPERLINK("https://www.ncbi.nlm.nih.gov/nuccore/CP000058.1?report=graph&amp;tracks=[key:gene_model_track,Options:GeneOnly]&amp;mk=776274:776293|offset_25|444444,776301:776320|offset_52|00cc00,776326:776345|offset_77|444444,776349:776368|offset_100|444444&amp;v=776073:776568&amp;c=444444", "offset 52")</f>
        <v>offset 52</v>
      </c>
    </row>
    <row r="2494" customFormat="false" ht="12.8" hidden="false" customHeight="false" outlineLevel="0" collapsed="false">
      <c r="A2494" s="0" t="s">
        <v>12</v>
      </c>
      <c r="B2494" s="0" t="n">
        <v>776325</v>
      </c>
      <c r="C2494" s="0" t="n">
        <v>776345</v>
      </c>
      <c r="D2494" s="0" t="s">
        <v>8326</v>
      </c>
      <c r="E2494" s="0" t="s">
        <v>75</v>
      </c>
      <c r="F2494" s="0" t="s">
        <v>15</v>
      </c>
      <c r="G2494" s="0" t="s">
        <v>36</v>
      </c>
      <c r="H2494" s="0" t="n">
        <v>77</v>
      </c>
      <c r="I2494" s="0" t="s">
        <v>8333</v>
      </c>
      <c r="J2494" s="0" t="s">
        <v>8334</v>
      </c>
      <c r="K2494" s="0" t="s">
        <v>8335</v>
      </c>
      <c r="L2494" s="0" t="str">
        <f aca="false">HYPERLINK("https://www.ncbi.nlm.nih.gov/nuccore/CP000058.1?report=graph&amp;tracks=[key:gene_model_track,Options:GeneOnly]&amp;mk=776274:776293|offset_25|444444,776301:776320|offset_52|444444,776326:776345|offset_77|00cc00,776349:776368|offset_100|444444&amp;v=776073:776568&amp;c=444444", "offset 77")</f>
        <v>offset 77</v>
      </c>
    </row>
    <row r="2495" customFormat="false" ht="12.8" hidden="false" customHeight="false" outlineLevel="0" collapsed="false">
      <c r="A2495" s="0" t="s">
        <v>12</v>
      </c>
      <c r="B2495" s="0" t="n">
        <v>776348</v>
      </c>
      <c r="C2495" s="0" t="n">
        <v>776368</v>
      </c>
      <c r="D2495" s="0" t="s">
        <v>8326</v>
      </c>
      <c r="E2495" s="0" t="s">
        <v>75</v>
      </c>
      <c r="F2495" s="0" t="s">
        <v>15</v>
      </c>
      <c r="G2495" s="0" t="s">
        <v>32</v>
      </c>
      <c r="H2495" s="0" t="n">
        <v>100</v>
      </c>
      <c r="I2495" s="0" t="s">
        <v>8336</v>
      </c>
      <c r="J2495" s="0" t="s">
        <v>8337</v>
      </c>
      <c r="K2495" s="0" t="s">
        <v>8338</v>
      </c>
      <c r="L2495" s="0" t="str">
        <f aca="false">HYPERLINK("https://www.ncbi.nlm.nih.gov/nuccore/CP000058.1?report=graph&amp;tracks=[key:gene_model_track,Options:GeneOnly]&amp;mk=776274:776293|offset_25|444444,776301:776320|offset_52|444444,776326:776345|offset_77|444444,776349:776368|offset_100|00cc00&amp;v=776073:776568&amp;c=444444", "offset 100")</f>
        <v>offset 100</v>
      </c>
    </row>
    <row r="2496" customFormat="false" ht="12.8" hidden="false" customHeight="false" outlineLevel="0" collapsed="false">
      <c r="A2496" s="0" t="s">
        <v>12</v>
      </c>
      <c r="B2496" s="0" t="n">
        <v>778832</v>
      </c>
      <c r="C2496" s="0" t="n">
        <v>778852</v>
      </c>
      <c r="D2496" s="0" t="s">
        <v>8339</v>
      </c>
      <c r="E2496" s="0" t="s">
        <v>75</v>
      </c>
      <c r="F2496" s="0" t="s">
        <v>15</v>
      </c>
      <c r="G2496" s="0" t="s">
        <v>20</v>
      </c>
      <c r="H2496" s="0" t="n">
        <v>23</v>
      </c>
      <c r="I2496" s="0" t="s">
        <v>8340</v>
      </c>
      <c r="J2496" s="0" t="s">
        <v>8341</v>
      </c>
      <c r="K2496" s="0" t="s">
        <v>8342</v>
      </c>
      <c r="L2496" s="0" t="str">
        <f aca="false">HYPERLINK("https://www.ncbi.nlm.nih.gov/nuccore/CP000058.1?report=graph&amp;tracks=[key:gene_model_track,Options:GeneOnly]&amp;mk=778833:778852|offset_23|00cc00,778880:778899|offset_70|444444,778921:778940|offset_111|444444,778999:779018|offset_189|444444&amp;v=778632:779218&amp;c=444444", "offset 23")</f>
        <v>offset 23</v>
      </c>
    </row>
    <row r="2497" customFormat="false" ht="12.8" hidden="false" customHeight="false" outlineLevel="0" collapsed="false">
      <c r="A2497" s="0" t="s">
        <v>12</v>
      </c>
      <c r="B2497" s="0" t="n">
        <v>778879</v>
      </c>
      <c r="C2497" s="0" t="n">
        <v>778899</v>
      </c>
      <c r="D2497" s="0" t="s">
        <v>8339</v>
      </c>
      <c r="E2497" s="0" t="s">
        <v>75</v>
      </c>
      <c r="F2497" s="0" t="s">
        <v>15</v>
      </c>
      <c r="G2497" s="0" t="s">
        <v>16</v>
      </c>
      <c r="H2497" s="0" t="n">
        <v>70</v>
      </c>
      <c r="I2497" s="0" t="s">
        <v>8343</v>
      </c>
      <c r="J2497" s="0" t="s">
        <v>8344</v>
      </c>
      <c r="K2497" s="0" t="s">
        <v>8345</v>
      </c>
      <c r="L2497" s="0" t="str">
        <f aca="false">HYPERLINK("https://www.ncbi.nlm.nih.gov/nuccore/CP000058.1?report=graph&amp;tracks=[key:gene_model_track,Options:GeneOnly]&amp;mk=778833:778852|offset_23|444444,778880:778899|offset_70|00cc00,778921:778940|offset_111|444444,778999:779018|offset_189|444444&amp;v=778632:779218&amp;c=444444", "offset 70")</f>
        <v>offset 70</v>
      </c>
    </row>
    <row r="2498" customFormat="false" ht="12.8" hidden="false" customHeight="false" outlineLevel="0" collapsed="false">
      <c r="A2498" s="0" t="s">
        <v>12</v>
      </c>
      <c r="B2498" s="0" t="n">
        <v>778920</v>
      </c>
      <c r="C2498" s="0" t="n">
        <v>778940</v>
      </c>
      <c r="D2498" s="0" t="s">
        <v>8339</v>
      </c>
      <c r="E2498" s="0" t="s">
        <v>75</v>
      </c>
      <c r="F2498" s="0" t="s">
        <v>15</v>
      </c>
      <c r="G2498" s="0" t="s">
        <v>32</v>
      </c>
      <c r="H2498" s="0" t="n">
        <v>111</v>
      </c>
      <c r="I2498" s="0" t="s">
        <v>8346</v>
      </c>
      <c r="J2498" s="0" t="s">
        <v>8347</v>
      </c>
      <c r="K2498" s="0" t="s">
        <v>8348</v>
      </c>
      <c r="L2498" s="0" t="str">
        <f aca="false">HYPERLINK("https://www.ncbi.nlm.nih.gov/nuccore/CP000058.1?report=graph&amp;tracks=[key:gene_model_track,Options:GeneOnly]&amp;mk=778833:778852|offset_23|444444,778880:778899|offset_70|444444,778921:778940|offset_111|00cc00,778999:779018|offset_189|444444&amp;v=778632:779218&amp;c=444444", "offset 111")</f>
        <v>offset 111</v>
      </c>
    </row>
    <row r="2499" customFormat="false" ht="12.8" hidden="false" customHeight="false" outlineLevel="0" collapsed="false">
      <c r="A2499" s="0" t="s">
        <v>12</v>
      </c>
      <c r="B2499" s="0" t="n">
        <v>778998</v>
      </c>
      <c r="C2499" s="0" t="n">
        <v>779018</v>
      </c>
      <c r="D2499" s="0" t="s">
        <v>8339</v>
      </c>
      <c r="E2499" s="0" t="s">
        <v>75</v>
      </c>
      <c r="F2499" s="0" t="s">
        <v>15</v>
      </c>
      <c r="G2499" s="0" t="s">
        <v>36</v>
      </c>
      <c r="H2499" s="0" t="n">
        <v>189</v>
      </c>
      <c r="I2499" s="0" t="s">
        <v>8349</v>
      </c>
      <c r="J2499" s="0" t="s">
        <v>8350</v>
      </c>
      <c r="K2499" s="0" t="s">
        <v>8351</v>
      </c>
      <c r="L2499" s="0" t="str">
        <f aca="false">HYPERLINK("https://www.ncbi.nlm.nih.gov/nuccore/CP000058.1?report=graph&amp;tracks=[key:gene_model_track,Options:GeneOnly]&amp;mk=778833:778852|offset_23|444444,778880:778899|offset_70|444444,778921:778940|offset_111|444444,778999:779018|offset_189|00cc00&amp;v=778632:779218&amp;c=444444", "offset 189")</f>
        <v>offset 189</v>
      </c>
    </row>
    <row r="2500" customFormat="false" ht="12.8" hidden="false" customHeight="false" outlineLevel="0" collapsed="false">
      <c r="A2500" s="0" t="s">
        <v>12</v>
      </c>
      <c r="B2500" s="0" t="n">
        <v>780198</v>
      </c>
      <c r="C2500" s="0" t="n">
        <v>780218</v>
      </c>
      <c r="D2500" s="0" t="s">
        <v>8352</v>
      </c>
      <c r="E2500" s="0" t="s">
        <v>75</v>
      </c>
      <c r="F2500" s="0" t="s">
        <v>15</v>
      </c>
      <c r="G2500" s="0" t="s">
        <v>36</v>
      </c>
      <c r="H2500" s="0" t="n">
        <v>0</v>
      </c>
      <c r="I2500" s="0" t="s">
        <v>8353</v>
      </c>
      <c r="J2500" s="0" t="s">
        <v>8354</v>
      </c>
      <c r="K2500" s="0" t="s">
        <v>8355</v>
      </c>
      <c r="L2500" s="0" t="str">
        <f aca="false">HYPERLINK("https://www.ncbi.nlm.nih.gov/nuccore/CP000058.1?report=graph&amp;tracks=[key:gene_model_track,Options:GeneOnly]&amp;mk=780199:780218|offset_0|00cc00,780224:780243|offset_25|444444,780251:780270|offset_52|444444,780278:780297|offset_79|444444&amp;v=779998:780497&amp;c=444444", "offset 0")</f>
        <v>offset 0</v>
      </c>
    </row>
    <row r="2501" customFormat="false" ht="12.8" hidden="false" customHeight="false" outlineLevel="0" collapsed="false">
      <c r="A2501" s="0" t="s">
        <v>12</v>
      </c>
      <c r="B2501" s="0" t="n">
        <v>780223</v>
      </c>
      <c r="C2501" s="0" t="n">
        <v>780243</v>
      </c>
      <c r="D2501" s="0" t="s">
        <v>8352</v>
      </c>
      <c r="E2501" s="0" t="s">
        <v>75</v>
      </c>
      <c r="F2501" s="0" t="s">
        <v>15</v>
      </c>
      <c r="G2501" s="0" t="s">
        <v>36</v>
      </c>
      <c r="H2501" s="0" t="n">
        <v>25</v>
      </c>
      <c r="I2501" s="0" t="s">
        <v>8356</v>
      </c>
      <c r="J2501" s="0" t="s">
        <v>8357</v>
      </c>
      <c r="K2501" s="0" t="s">
        <v>8358</v>
      </c>
      <c r="L2501" s="0" t="str">
        <f aca="false">HYPERLINK("https://www.ncbi.nlm.nih.gov/nuccore/CP000058.1?report=graph&amp;tracks=[key:gene_model_track,Options:GeneOnly]&amp;mk=780199:780218|offset_0|444444,780224:780243|offset_25|00cc00,780251:780270|offset_52|444444,780278:780297|offset_79|444444&amp;v=779998:780497&amp;c=444444", "offset 25")</f>
        <v>offset 25</v>
      </c>
    </row>
    <row r="2502" customFormat="false" ht="12.8" hidden="false" customHeight="false" outlineLevel="0" collapsed="false">
      <c r="A2502" s="0" t="s">
        <v>12</v>
      </c>
      <c r="B2502" s="0" t="n">
        <v>780250</v>
      </c>
      <c r="C2502" s="0" t="n">
        <v>780270</v>
      </c>
      <c r="D2502" s="0" t="s">
        <v>8352</v>
      </c>
      <c r="E2502" s="0" t="s">
        <v>75</v>
      </c>
      <c r="F2502" s="0" t="s">
        <v>15</v>
      </c>
      <c r="G2502" s="0" t="s">
        <v>16</v>
      </c>
      <c r="H2502" s="0" t="n">
        <v>52</v>
      </c>
      <c r="I2502" s="0" t="s">
        <v>8359</v>
      </c>
      <c r="J2502" s="0" t="s">
        <v>8360</v>
      </c>
      <c r="K2502" s="0" t="s">
        <v>8361</v>
      </c>
      <c r="L2502" s="0" t="str">
        <f aca="false">HYPERLINK("https://www.ncbi.nlm.nih.gov/nuccore/CP000058.1?report=graph&amp;tracks=[key:gene_model_track,Options:GeneOnly]&amp;mk=780199:780218|offset_0|444444,780224:780243|offset_25|444444,780251:780270|offset_52|00cc00,780278:780297|offset_79|444444&amp;v=779998:780497&amp;c=444444", "offset 52")</f>
        <v>offset 52</v>
      </c>
    </row>
    <row r="2503" customFormat="false" ht="12.8" hidden="false" customHeight="false" outlineLevel="0" collapsed="false">
      <c r="A2503" s="0" t="s">
        <v>12</v>
      </c>
      <c r="B2503" s="0" t="n">
        <v>780277</v>
      </c>
      <c r="C2503" s="0" t="n">
        <v>780297</v>
      </c>
      <c r="D2503" s="0" t="s">
        <v>8352</v>
      </c>
      <c r="E2503" s="0" t="s">
        <v>75</v>
      </c>
      <c r="F2503" s="0" t="s">
        <v>15</v>
      </c>
      <c r="G2503" s="0" t="s">
        <v>16</v>
      </c>
      <c r="H2503" s="0" t="n">
        <v>79</v>
      </c>
      <c r="I2503" s="0" t="s">
        <v>8362</v>
      </c>
      <c r="J2503" s="0" t="s">
        <v>8363</v>
      </c>
      <c r="K2503" s="0" t="s">
        <v>8364</v>
      </c>
      <c r="L2503" s="0" t="str">
        <f aca="false">HYPERLINK("https://www.ncbi.nlm.nih.gov/nuccore/CP000058.1?report=graph&amp;tracks=[key:gene_model_track,Options:GeneOnly]&amp;mk=780199:780218|offset_0|444444,780224:780243|offset_25|444444,780251:780270|offset_52|444444,780278:780297|offset_79|00cc00&amp;v=779998:780497&amp;c=444444", "offset 79")</f>
        <v>offset 79</v>
      </c>
    </row>
    <row r="2504" customFormat="false" ht="12.8" hidden="false" customHeight="false" outlineLevel="0" collapsed="false">
      <c r="A2504" s="0" t="s">
        <v>12</v>
      </c>
      <c r="B2504" s="0" t="n">
        <v>781371</v>
      </c>
      <c r="C2504" s="0" t="n">
        <v>781391</v>
      </c>
      <c r="D2504" s="0" t="s">
        <v>8365</v>
      </c>
      <c r="E2504" s="0" t="s">
        <v>75</v>
      </c>
      <c r="F2504" s="0" t="s">
        <v>15</v>
      </c>
      <c r="G2504" s="0" t="s">
        <v>32</v>
      </c>
      <c r="H2504" s="0" t="n">
        <v>49</v>
      </c>
      <c r="I2504" s="0" t="s">
        <v>8366</v>
      </c>
      <c r="J2504" s="0" t="s">
        <v>8367</v>
      </c>
      <c r="K2504" s="0" t="s">
        <v>8368</v>
      </c>
      <c r="L2504" s="0" t="str">
        <f aca="false">HYPERLINK("https://www.ncbi.nlm.nih.gov/nuccore/CP000058.1?report=graph&amp;tracks=[key:gene_model_track,Options:GeneOnly]&amp;mk=781372:781391|offset_49|00cc00&amp;v=781171:781591&amp;c=444444", "offset 49")</f>
        <v>offset 49</v>
      </c>
    </row>
    <row r="2505" customFormat="false" ht="12.8" hidden="false" customHeight="false" outlineLevel="0" collapsed="false">
      <c r="A2505" s="0" t="s">
        <v>12</v>
      </c>
      <c r="B2505" s="0" t="n">
        <v>781546</v>
      </c>
      <c r="C2505" s="0" t="n">
        <v>781566</v>
      </c>
      <c r="D2505" s="0" t="s">
        <v>8369</v>
      </c>
      <c r="E2505" s="0" t="s">
        <v>75</v>
      </c>
      <c r="F2505" s="0" t="s">
        <v>15</v>
      </c>
      <c r="G2505" s="0" t="s">
        <v>32</v>
      </c>
      <c r="H2505" s="0" t="n">
        <v>0</v>
      </c>
      <c r="I2505" s="0" t="s">
        <v>8370</v>
      </c>
      <c r="J2505" s="0" t="s">
        <v>8371</v>
      </c>
      <c r="K2505" s="0" t="s">
        <v>8372</v>
      </c>
      <c r="L2505" s="0" t="str">
        <f aca="false">HYPERLINK("https://www.ncbi.nlm.nih.gov/nuccore/CP000058.1?report=graph&amp;tracks=[key:gene_model_track,Options:GeneOnly]&amp;mk=781547:781566|offset_0|00cc00,781582:781601|offset_35|444444,781619:781638|offset_72|444444,781641:781660|offset_94|444444&amp;v=781346:781860&amp;c=444444", "offset 0")</f>
        <v>offset 0</v>
      </c>
    </row>
    <row r="2506" customFormat="false" ht="12.8" hidden="false" customHeight="false" outlineLevel="0" collapsed="false">
      <c r="A2506" s="0" t="s">
        <v>12</v>
      </c>
      <c r="B2506" s="0" t="n">
        <v>781581</v>
      </c>
      <c r="C2506" s="0" t="n">
        <v>781601</v>
      </c>
      <c r="D2506" s="0" t="s">
        <v>8369</v>
      </c>
      <c r="E2506" s="0" t="s">
        <v>75</v>
      </c>
      <c r="F2506" s="0" t="s">
        <v>15</v>
      </c>
      <c r="G2506" s="0" t="s">
        <v>20</v>
      </c>
      <c r="H2506" s="0" t="n">
        <v>35</v>
      </c>
      <c r="I2506" s="0" t="s">
        <v>8373</v>
      </c>
      <c r="J2506" s="0" t="s">
        <v>8374</v>
      </c>
      <c r="K2506" s="0" t="s">
        <v>8375</v>
      </c>
      <c r="L2506" s="0" t="str">
        <f aca="false">HYPERLINK("https://www.ncbi.nlm.nih.gov/nuccore/CP000058.1?report=graph&amp;tracks=[key:gene_model_track,Options:GeneOnly]&amp;mk=781547:781566|offset_0|444444,781582:781601|offset_35|00cc00,781619:781638|offset_72|444444,781641:781660|offset_94|444444&amp;v=781346:781860&amp;c=444444", "offset 35")</f>
        <v>offset 35</v>
      </c>
    </row>
    <row r="2507" customFormat="false" ht="12.8" hidden="false" customHeight="false" outlineLevel="0" collapsed="false">
      <c r="A2507" s="0" t="s">
        <v>12</v>
      </c>
      <c r="B2507" s="0" t="n">
        <v>781618</v>
      </c>
      <c r="C2507" s="0" t="n">
        <v>781638</v>
      </c>
      <c r="D2507" s="0" t="s">
        <v>8369</v>
      </c>
      <c r="E2507" s="0" t="s">
        <v>75</v>
      </c>
      <c r="F2507" s="0" t="s">
        <v>15</v>
      </c>
      <c r="G2507" s="0" t="s">
        <v>20</v>
      </c>
      <c r="H2507" s="0" t="n">
        <v>72</v>
      </c>
      <c r="I2507" s="0" t="s">
        <v>8376</v>
      </c>
      <c r="J2507" s="0" t="s">
        <v>8377</v>
      </c>
      <c r="K2507" s="0" t="s">
        <v>8378</v>
      </c>
      <c r="L2507" s="0" t="str">
        <f aca="false">HYPERLINK("https://www.ncbi.nlm.nih.gov/nuccore/CP000058.1?report=graph&amp;tracks=[key:gene_model_track,Options:GeneOnly]&amp;mk=781547:781566|offset_0|444444,781582:781601|offset_35|444444,781619:781638|offset_72|00cc00,781641:781660|offset_94|444444&amp;v=781346:781860&amp;c=444444", "offset 72")</f>
        <v>offset 72</v>
      </c>
    </row>
    <row r="2508" customFormat="false" ht="12.8" hidden="false" customHeight="false" outlineLevel="0" collapsed="false">
      <c r="A2508" s="0" t="s">
        <v>12</v>
      </c>
      <c r="B2508" s="0" t="n">
        <v>781640</v>
      </c>
      <c r="C2508" s="0" t="n">
        <v>781660</v>
      </c>
      <c r="D2508" s="0" t="s">
        <v>8369</v>
      </c>
      <c r="E2508" s="0" t="s">
        <v>75</v>
      </c>
      <c r="F2508" s="0" t="s">
        <v>15</v>
      </c>
      <c r="G2508" s="0" t="s">
        <v>36</v>
      </c>
      <c r="H2508" s="0" t="n">
        <v>94</v>
      </c>
      <c r="I2508" s="0" t="s">
        <v>8379</v>
      </c>
      <c r="J2508" s="0" t="s">
        <v>8380</v>
      </c>
      <c r="K2508" s="0" t="s">
        <v>8381</v>
      </c>
      <c r="L2508" s="0" t="str">
        <f aca="false">HYPERLINK("https://www.ncbi.nlm.nih.gov/nuccore/CP000058.1?report=graph&amp;tracks=[key:gene_model_track,Options:GeneOnly]&amp;mk=781547:781566|offset_0|444444,781582:781601|offset_35|444444,781619:781638|offset_72|444444,781641:781660|offset_94|00cc00&amp;v=781346:781860&amp;c=444444", "offset 94")</f>
        <v>offset 94</v>
      </c>
    </row>
    <row r="2509" customFormat="false" ht="12.8" hidden="false" customHeight="false" outlineLevel="0" collapsed="false">
      <c r="A2509" s="0" t="s">
        <v>12</v>
      </c>
      <c r="B2509" s="0" t="n">
        <v>782114</v>
      </c>
      <c r="C2509" s="0" t="n">
        <v>782134</v>
      </c>
      <c r="D2509" s="0" t="s">
        <v>8382</v>
      </c>
      <c r="E2509" s="0" t="s">
        <v>75</v>
      </c>
      <c r="F2509" s="0" t="s">
        <v>15</v>
      </c>
      <c r="G2509" s="0" t="s">
        <v>20</v>
      </c>
      <c r="H2509" s="0" t="n">
        <v>11</v>
      </c>
      <c r="I2509" s="0" t="s">
        <v>8383</v>
      </c>
      <c r="J2509" s="0" t="s">
        <v>8384</v>
      </c>
      <c r="K2509" s="0" t="s">
        <v>8385</v>
      </c>
      <c r="L2509" s="0" t="str">
        <f aca="false">HYPERLINK("https://www.ncbi.nlm.nih.gov/nuccore/CP000058.1?report=graph&amp;tracks=[key:gene_model_track,Options:GeneOnly]&amp;mk=782115:782134|offset_11|00cc00,782159:782178|offset_55|444444,782301:782320|offset_197|444444,782324:782343|offset_220|444444&amp;v=781914:782543&amp;c=444444", "offset 11")</f>
        <v>offset 11</v>
      </c>
    </row>
    <row r="2510" customFormat="false" ht="12.8" hidden="false" customHeight="false" outlineLevel="0" collapsed="false">
      <c r="A2510" s="0" t="s">
        <v>12</v>
      </c>
      <c r="B2510" s="0" t="n">
        <v>782158</v>
      </c>
      <c r="C2510" s="0" t="n">
        <v>782178</v>
      </c>
      <c r="D2510" s="0" t="s">
        <v>8382</v>
      </c>
      <c r="E2510" s="0" t="s">
        <v>75</v>
      </c>
      <c r="F2510" s="0" t="s">
        <v>15</v>
      </c>
      <c r="G2510" s="0" t="s">
        <v>16</v>
      </c>
      <c r="H2510" s="0" t="n">
        <v>55</v>
      </c>
      <c r="I2510" s="0" t="s">
        <v>8386</v>
      </c>
      <c r="J2510" s="0" t="s">
        <v>8387</v>
      </c>
      <c r="K2510" s="0" t="s">
        <v>8388</v>
      </c>
      <c r="L2510" s="0" t="str">
        <f aca="false">HYPERLINK("https://www.ncbi.nlm.nih.gov/nuccore/CP000058.1?report=graph&amp;tracks=[key:gene_model_track,Options:GeneOnly]&amp;mk=782115:782134|offset_11|444444,782159:782178|offset_55|00cc00,782301:782320|offset_197|444444,782324:782343|offset_220|444444&amp;v=781914:782543&amp;c=444444", "offset 55")</f>
        <v>offset 55</v>
      </c>
    </row>
    <row r="2511" customFormat="false" ht="12.8" hidden="false" customHeight="false" outlineLevel="0" collapsed="false">
      <c r="A2511" s="0" t="s">
        <v>12</v>
      </c>
      <c r="B2511" s="0" t="n">
        <v>782300</v>
      </c>
      <c r="C2511" s="0" t="n">
        <v>782320</v>
      </c>
      <c r="D2511" s="0" t="s">
        <v>8382</v>
      </c>
      <c r="E2511" s="0" t="s">
        <v>75</v>
      </c>
      <c r="F2511" s="0" t="s">
        <v>15</v>
      </c>
      <c r="G2511" s="0" t="s">
        <v>16</v>
      </c>
      <c r="H2511" s="0" t="n">
        <v>197</v>
      </c>
      <c r="I2511" s="0" t="s">
        <v>8389</v>
      </c>
      <c r="J2511" s="0" t="s">
        <v>8390</v>
      </c>
      <c r="K2511" s="0" t="s">
        <v>8391</v>
      </c>
      <c r="L2511" s="0" t="str">
        <f aca="false">HYPERLINK("https://www.ncbi.nlm.nih.gov/nuccore/CP000058.1?report=graph&amp;tracks=[key:gene_model_track,Options:GeneOnly]&amp;mk=782115:782134|offset_11|444444,782159:782178|offset_55|444444,782301:782320|offset_197|00cc00,782324:782343|offset_220|444444&amp;v=781914:782543&amp;c=444444", "offset 197")</f>
        <v>offset 197</v>
      </c>
    </row>
    <row r="2512" customFormat="false" ht="12.8" hidden="false" customHeight="false" outlineLevel="0" collapsed="false">
      <c r="A2512" s="0" t="s">
        <v>12</v>
      </c>
      <c r="B2512" s="0" t="n">
        <v>782323</v>
      </c>
      <c r="C2512" s="0" t="n">
        <v>782343</v>
      </c>
      <c r="D2512" s="0" t="s">
        <v>8382</v>
      </c>
      <c r="E2512" s="0" t="s">
        <v>75</v>
      </c>
      <c r="F2512" s="0" t="s">
        <v>15</v>
      </c>
      <c r="G2512" s="0" t="s">
        <v>32</v>
      </c>
      <c r="H2512" s="0" t="n">
        <v>220</v>
      </c>
      <c r="I2512" s="0" t="s">
        <v>8392</v>
      </c>
      <c r="J2512" s="0" t="s">
        <v>8393</v>
      </c>
      <c r="K2512" s="0" t="s">
        <v>8394</v>
      </c>
      <c r="L2512" s="0" t="str">
        <f aca="false">HYPERLINK("https://www.ncbi.nlm.nih.gov/nuccore/CP000058.1?report=graph&amp;tracks=[key:gene_model_track,Options:GeneOnly]&amp;mk=782115:782134|offset_11|444444,782159:782178|offset_55|444444,782301:782320|offset_197|444444,782324:782343|offset_220|00cc00&amp;v=781914:782543&amp;c=444444", "offset 220")</f>
        <v>offset 220</v>
      </c>
    </row>
    <row r="2513" customFormat="false" ht="12.8" hidden="false" customHeight="false" outlineLevel="0" collapsed="false">
      <c r="A2513" s="0" t="s">
        <v>12</v>
      </c>
      <c r="B2513" s="0" t="n">
        <v>783197</v>
      </c>
      <c r="C2513" s="0" t="n">
        <v>783217</v>
      </c>
      <c r="D2513" s="0" t="s">
        <v>8395</v>
      </c>
      <c r="E2513" s="0" t="s">
        <v>75</v>
      </c>
      <c r="F2513" s="0" t="s">
        <v>15</v>
      </c>
      <c r="G2513" s="0" t="s">
        <v>36</v>
      </c>
      <c r="H2513" s="0" t="n">
        <v>7</v>
      </c>
      <c r="I2513" s="0" t="s">
        <v>8396</v>
      </c>
      <c r="J2513" s="0" t="s">
        <v>8397</v>
      </c>
      <c r="K2513" s="0" t="s">
        <v>8398</v>
      </c>
      <c r="L2513" s="0" t="str">
        <f aca="false">HYPERLINK("https://www.ncbi.nlm.nih.gov/nuccore/CP000058.1?report=graph&amp;tracks=[key:gene_model_track,Options:GeneOnly]&amp;mk=783198:783217|offset_7|00cc00,783220:783239|offset_29|444444,783240:783259|offset_49|444444,783268:783287|offset_77|444444&amp;v=782997:783487&amp;c=444444", "offset 7")</f>
        <v>offset 7</v>
      </c>
    </row>
    <row r="2514" customFormat="false" ht="12.8" hidden="false" customHeight="false" outlineLevel="0" collapsed="false">
      <c r="A2514" s="0" t="s">
        <v>12</v>
      </c>
      <c r="B2514" s="0" t="n">
        <v>783219</v>
      </c>
      <c r="C2514" s="0" t="n">
        <v>783239</v>
      </c>
      <c r="D2514" s="0" t="s">
        <v>8395</v>
      </c>
      <c r="E2514" s="0" t="s">
        <v>75</v>
      </c>
      <c r="F2514" s="0" t="s">
        <v>15</v>
      </c>
      <c r="G2514" s="0" t="s">
        <v>32</v>
      </c>
      <c r="H2514" s="0" t="n">
        <v>29</v>
      </c>
      <c r="I2514" s="0" t="s">
        <v>8399</v>
      </c>
      <c r="J2514" s="0" t="s">
        <v>8400</v>
      </c>
      <c r="K2514" s="0" t="s">
        <v>8401</v>
      </c>
      <c r="L2514" s="0" t="str">
        <f aca="false">HYPERLINK("https://www.ncbi.nlm.nih.gov/nuccore/CP000058.1?report=graph&amp;tracks=[key:gene_model_track,Options:GeneOnly]&amp;mk=783198:783217|offset_7|444444,783220:783239|offset_29|00cc00,783240:783259|offset_49|444444,783268:783287|offset_77|444444&amp;v=782997:783487&amp;c=444444", "offset 29")</f>
        <v>offset 29</v>
      </c>
    </row>
    <row r="2515" customFormat="false" ht="12.8" hidden="false" customHeight="false" outlineLevel="0" collapsed="false">
      <c r="A2515" s="0" t="s">
        <v>12</v>
      </c>
      <c r="B2515" s="0" t="n">
        <v>783239</v>
      </c>
      <c r="C2515" s="0" t="n">
        <v>783259</v>
      </c>
      <c r="D2515" s="0" t="s">
        <v>8395</v>
      </c>
      <c r="E2515" s="0" t="s">
        <v>75</v>
      </c>
      <c r="F2515" s="0" t="s">
        <v>15</v>
      </c>
      <c r="G2515" s="0" t="s">
        <v>20</v>
      </c>
      <c r="H2515" s="0" t="n">
        <v>49</v>
      </c>
      <c r="I2515" s="0" t="s">
        <v>8402</v>
      </c>
      <c r="J2515" s="0" t="s">
        <v>8403</v>
      </c>
      <c r="K2515" s="0" t="s">
        <v>8404</v>
      </c>
      <c r="L2515" s="0" t="str">
        <f aca="false">HYPERLINK("https://www.ncbi.nlm.nih.gov/nuccore/CP000058.1?report=graph&amp;tracks=[key:gene_model_track,Options:GeneOnly]&amp;mk=783198:783217|offset_7|444444,783220:783239|offset_29|444444,783240:783259|offset_49|00cc00,783268:783287|offset_77|444444&amp;v=782997:783487&amp;c=444444", "offset 49")</f>
        <v>offset 49</v>
      </c>
    </row>
    <row r="2516" customFormat="false" ht="12.8" hidden="false" customHeight="false" outlineLevel="0" collapsed="false">
      <c r="A2516" s="0" t="s">
        <v>12</v>
      </c>
      <c r="B2516" s="0" t="n">
        <v>783267</v>
      </c>
      <c r="C2516" s="0" t="n">
        <v>783287</v>
      </c>
      <c r="D2516" s="0" t="s">
        <v>8395</v>
      </c>
      <c r="E2516" s="0" t="s">
        <v>75</v>
      </c>
      <c r="F2516" s="0" t="s">
        <v>15</v>
      </c>
      <c r="G2516" s="0" t="s">
        <v>20</v>
      </c>
      <c r="H2516" s="0" t="n">
        <v>77</v>
      </c>
      <c r="I2516" s="0" t="s">
        <v>8405</v>
      </c>
      <c r="J2516" s="0" t="s">
        <v>8406</v>
      </c>
      <c r="K2516" s="0" t="s">
        <v>8407</v>
      </c>
      <c r="L2516" s="0" t="str">
        <f aca="false">HYPERLINK("https://www.ncbi.nlm.nih.gov/nuccore/CP000058.1?report=graph&amp;tracks=[key:gene_model_track,Options:GeneOnly]&amp;mk=783198:783217|offset_7|444444,783220:783239|offset_29|444444,783240:783259|offset_49|444444,783268:783287|offset_77|00cc00&amp;v=782997:783487&amp;c=444444", "offset 77")</f>
        <v>offset 77</v>
      </c>
    </row>
    <row r="2517" customFormat="false" ht="12.8" hidden="false" customHeight="false" outlineLevel="0" collapsed="false">
      <c r="A2517" s="0" t="s">
        <v>12</v>
      </c>
      <c r="B2517" s="0" t="n">
        <v>784872</v>
      </c>
      <c r="C2517" s="0" t="n">
        <v>784892</v>
      </c>
      <c r="D2517" s="0" t="s">
        <v>8408</v>
      </c>
      <c r="E2517" s="0" t="s">
        <v>75</v>
      </c>
      <c r="F2517" s="0" t="s">
        <v>90</v>
      </c>
      <c r="G2517" s="0" t="s">
        <v>36</v>
      </c>
      <c r="H2517" s="0" t="n">
        <v>38</v>
      </c>
      <c r="I2517" s="0" t="s">
        <v>8409</v>
      </c>
      <c r="J2517" s="0" t="s">
        <v>8410</v>
      </c>
      <c r="K2517" s="0" t="s">
        <v>8411</v>
      </c>
      <c r="L2517" s="0" t="str">
        <f aca="false">HYPERLINK("https://www.ncbi.nlm.nih.gov/nuccore/CP000058.1?report=graph&amp;tracks=[key:gene_model_track,Options:GeneOnly]&amp;mk=784873:784892|offset_38|00cc00,784803:784822|offset_108|444444,784775:784794|offset_136|444444&amp;v=784672:784994&amp;c=444444", "offset 38")</f>
        <v>offset 38</v>
      </c>
    </row>
    <row r="2518" customFormat="false" ht="12.8" hidden="false" customHeight="false" outlineLevel="0" collapsed="false">
      <c r="A2518" s="0" t="s">
        <v>12</v>
      </c>
      <c r="B2518" s="0" t="n">
        <v>784802</v>
      </c>
      <c r="C2518" s="0" t="n">
        <v>784822</v>
      </c>
      <c r="D2518" s="0" t="s">
        <v>8408</v>
      </c>
      <c r="E2518" s="0" t="s">
        <v>75</v>
      </c>
      <c r="F2518" s="0" t="s">
        <v>90</v>
      </c>
      <c r="G2518" s="0" t="s">
        <v>32</v>
      </c>
      <c r="H2518" s="0" t="n">
        <v>108</v>
      </c>
      <c r="I2518" s="0" t="s">
        <v>8412</v>
      </c>
      <c r="J2518" s="0" t="s">
        <v>8413</v>
      </c>
      <c r="K2518" s="0" t="s">
        <v>8414</v>
      </c>
      <c r="L2518" s="0" t="str">
        <f aca="false">HYPERLINK("https://www.ncbi.nlm.nih.gov/nuccore/CP000058.1?report=graph&amp;tracks=[key:gene_model_track,Options:GeneOnly]&amp;mk=784873:784892|offset_38|444444,784803:784822|offset_108|00cc00,784775:784794|offset_136|444444&amp;v=784672:784994&amp;c=444444", "offset 108")</f>
        <v>offset 108</v>
      </c>
    </row>
    <row r="2519" customFormat="false" ht="12.8" hidden="false" customHeight="false" outlineLevel="0" collapsed="false">
      <c r="A2519" s="0" t="s">
        <v>12</v>
      </c>
      <c r="B2519" s="0" t="n">
        <v>784774</v>
      </c>
      <c r="C2519" s="0" t="n">
        <v>784794</v>
      </c>
      <c r="D2519" s="0" t="s">
        <v>8408</v>
      </c>
      <c r="E2519" s="0" t="s">
        <v>75</v>
      </c>
      <c r="F2519" s="0" t="s">
        <v>90</v>
      </c>
      <c r="G2519" s="0" t="s">
        <v>36</v>
      </c>
      <c r="H2519" s="0" t="n">
        <v>136</v>
      </c>
      <c r="I2519" s="0" t="s">
        <v>8415</v>
      </c>
      <c r="J2519" s="0" t="s">
        <v>8416</v>
      </c>
      <c r="K2519" s="0" t="s">
        <v>8417</v>
      </c>
      <c r="L2519" s="0" t="str">
        <f aca="false">HYPERLINK("https://www.ncbi.nlm.nih.gov/nuccore/CP000058.1?report=graph&amp;tracks=[key:gene_model_track,Options:GeneOnly]&amp;mk=784873:784892|offset_38|444444,784803:784822|offset_108|444444,784775:784794|offset_136|00cc00&amp;v=784672:784994&amp;c=444444", "offset 136")</f>
        <v>offset 136</v>
      </c>
    </row>
    <row r="2520" customFormat="false" ht="12.8" hidden="false" customHeight="false" outlineLevel="0" collapsed="false">
      <c r="A2520" s="0" t="s">
        <v>12</v>
      </c>
      <c r="B2520" s="0" t="n">
        <v>785611</v>
      </c>
      <c r="C2520" s="0" t="n">
        <v>785631</v>
      </c>
      <c r="D2520" s="0" t="s">
        <v>8418</v>
      </c>
      <c r="E2520" s="0" t="s">
        <v>75</v>
      </c>
      <c r="F2520" s="0" t="s">
        <v>90</v>
      </c>
      <c r="G2520" s="0" t="s">
        <v>36</v>
      </c>
      <c r="H2520" s="0" t="n">
        <v>33</v>
      </c>
      <c r="I2520" s="0" t="s">
        <v>8419</v>
      </c>
      <c r="J2520" s="0" t="s">
        <v>8420</v>
      </c>
      <c r="K2520" s="0" t="s">
        <v>8421</v>
      </c>
      <c r="L2520" s="0" t="str">
        <f aca="false">HYPERLINK("https://www.ncbi.nlm.nih.gov/nuccore/CP000058.1?report=graph&amp;tracks=[key:gene_model_track,Options:GeneOnly]&amp;mk=785612:785631|offset_33|00cc00,785589:785608|offset_56|444444,785564:785583|offset_81|444444,785539:785558|offset_106|444444&amp;v=785411:785758&amp;c=444444", "offset 33")</f>
        <v>offset 33</v>
      </c>
    </row>
    <row r="2521" customFormat="false" ht="12.8" hidden="false" customHeight="false" outlineLevel="0" collapsed="false">
      <c r="A2521" s="0" t="s">
        <v>12</v>
      </c>
      <c r="B2521" s="0" t="n">
        <v>785588</v>
      </c>
      <c r="C2521" s="0" t="n">
        <v>785608</v>
      </c>
      <c r="D2521" s="0" t="s">
        <v>8418</v>
      </c>
      <c r="E2521" s="0" t="s">
        <v>75</v>
      </c>
      <c r="F2521" s="0" t="s">
        <v>90</v>
      </c>
      <c r="G2521" s="0" t="s">
        <v>20</v>
      </c>
      <c r="H2521" s="0" t="n">
        <v>56</v>
      </c>
      <c r="I2521" s="0" t="s">
        <v>8422</v>
      </c>
      <c r="J2521" s="0" t="s">
        <v>8423</v>
      </c>
      <c r="K2521" s="0" t="s">
        <v>8424</v>
      </c>
      <c r="L2521" s="0" t="str">
        <f aca="false">HYPERLINK("https://www.ncbi.nlm.nih.gov/nuccore/CP000058.1?report=graph&amp;tracks=[key:gene_model_track,Options:GeneOnly]&amp;mk=785612:785631|offset_33|444444,785589:785608|offset_56|00cc00,785564:785583|offset_81|444444,785539:785558|offset_106|444444&amp;v=785411:785758&amp;c=444444", "offset 56")</f>
        <v>offset 56</v>
      </c>
    </row>
    <row r="2522" customFormat="false" ht="12.8" hidden="false" customHeight="false" outlineLevel="0" collapsed="false">
      <c r="A2522" s="0" t="s">
        <v>12</v>
      </c>
      <c r="B2522" s="0" t="n">
        <v>785563</v>
      </c>
      <c r="C2522" s="0" t="n">
        <v>785583</v>
      </c>
      <c r="D2522" s="0" t="s">
        <v>8418</v>
      </c>
      <c r="E2522" s="0" t="s">
        <v>75</v>
      </c>
      <c r="F2522" s="0" t="s">
        <v>90</v>
      </c>
      <c r="G2522" s="0" t="s">
        <v>36</v>
      </c>
      <c r="H2522" s="0" t="n">
        <v>81</v>
      </c>
      <c r="I2522" s="0" t="s">
        <v>8425</v>
      </c>
      <c r="J2522" s="0" t="s">
        <v>8426</v>
      </c>
      <c r="K2522" s="0" t="s">
        <v>8427</v>
      </c>
      <c r="L2522" s="0" t="str">
        <f aca="false">HYPERLINK("https://www.ncbi.nlm.nih.gov/nuccore/CP000058.1?report=graph&amp;tracks=[key:gene_model_track,Options:GeneOnly]&amp;mk=785612:785631|offset_33|444444,785589:785608|offset_56|444444,785564:785583|offset_81|00cc00,785539:785558|offset_106|444444&amp;v=785411:785758&amp;c=444444", "offset 81")</f>
        <v>offset 81</v>
      </c>
    </row>
    <row r="2523" customFormat="false" ht="12.8" hidden="false" customHeight="false" outlineLevel="0" collapsed="false">
      <c r="A2523" s="0" t="s">
        <v>12</v>
      </c>
      <c r="B2523" s="0" t="n">
        <v>785538</v>
      </c>
      <c r="C2523" s="0" t="n">
        <v>785558</v>
      </c>
      <c r="D2523" s="0" t="s">
        <v>8418</v>
      </c>
      <c r="E2523" s="0" t="s">
        <v>75</v>
      </c>
      <c r="F2523" s="0" t="s">
        <v>90</v>
      </c>
      <c r="G2523" s="0" t="s">
        <v>32</v>
      </c>
      <c r="H2523" s="0" t="n">
        <v>106</v>
      </c>
      <c r="I2523" s="0" t="s">
        <v>8428</v>
      </c>
      <c r="J2523" s="0" t="s">
        <v>8429</v>
      </c>
      <c r="K2523" s="0" t="s">
        <v>8430</v>
      </c>
      <c r="L2523" s="0" t="str">
        <f aca="false">HYPERLINK("https://www.ncbi.nlm.nih.gov/nuccore/CP000058.1?report=graph&amp;tracks=[key:gene_model_track,Options:GeneOnly]&amp;mk=785612:785631|offset_33|444444,785589:785608|offset_56|444444,785564:785583|offset_81|444444,785539:785558|offset_106|00cc00&amp;v=785411:785758&amp;c=444444", "offset 106")</f>
        <v>offset 106</v>
      </c>
    </row>
    <row r="2524" customFormat="false" ht="12.8" hidden="false" customHeight="false" outlineLevel="0" collapsed="false">
      <c r="A2524" s="0" t="s">
        <v>12</v>
      </c>
      <c r="B2524" s="0" t="n">
        <v>785706</v>
      </c>
      <c r="C2524" s="0" t="n">
        <v>785726</v>
      </c>
      <c r="D2524" s="0" t="s">
        <v>8431</v>
      </c>
      <c r="E2524" s="0" t="s">
        <v>75</v>
      </c>
      <c r="F2524" s="0" t="s">
        <v>15</v>
      </c>
      <c r="G2524" s="0" t="s">
        <v>16</v>
      </c>
      <c r="H2524" s="0" t="n">
        <v>18</v>
      </c>
      <c r="I2524" s="0" t="s">
        <v>8432</v>
      </c>
      <c r="J2524" s="0" t="s">
        <v>8433</v>
      </c>
      <c r="K2524" s="0" t="s">
        <v>8434</v>
      </c>
      <c r="L2524" s="0" t="str">
        <f aca="false">HYPERLINK("https://www.ncbi.nlm.nih.gov/nuccore/CP000058.1?report=graph&amp;tracks=[key:gene_model_track,Options:GeneOnly]&amp;mk=785707:785726|offset_18|00cc00,785744:785763|offset_55|444444,785787:785806|offset_98|444444,785819:785838|offset_130|444444&amp;v=785506:786038&amp;c=444444", "offset 18")</f>
        <v>offset 18</v>
      </c>
    </row>
    <row r="2525" customFormat="false" ht="12.8" hidden="false" customHeight="false" outlineLevel="0" collapsed="false">
      <c r="A2525" s="0" t="s">
        <v>12</v>
      </c>
      <c r="B2525" s="0" t="n">
        <v>785743</v>
      </c>
      <c r="C2525" s="0" t="n">
        <v>785763</v>
      </c>
      <c r="D2525" s="0" t="s">
        <v>8431</v>
      </c>
      <c r="E2525" s="0" t="s">
        <v>75</v>
      </c>
      <c r="F2525" s="0" t="s">
        <v>15</v>
      </c>
      <c r="G2525" s="0" t="s">
        <v>16</v>
      </c>
      <c r="H2525" s="0" t="n">
        <v>55</v>
      </c>
      <c r="I2525" s="0" t="s">
        <v>8435</v>
      </c>
      <c r="J2525" s="0" t="s">
        <v>8436</v>
      </c>
      <c r="K2525" s="0" t="s">
        <v>8437</v>
      </c>
      <c r="L2525" s="0" t="str">
        <f aca="false">HYPERLINK("https://www.ncbi.nlm.nih.gov/nuccore/CP000058.1?report=graph&amp;tracks=[key:gene_model_track,Options:GeneOnly]&amp;mk=785707:785726|offset_18|444444,785744:785763|offset_55|00cc00,785787:785806|offset_98|444444,785819:785838|offset_130|444444&amp;v=785506:786038&amp;c=444444", "offset 55")</f>
        <v>offset 55</v>
      </c>
    </row>
    <row r="2526" customFormat="false" ht="12.8" hidden="false" customHeight="false" outlineLevel="0" collapsed="false">
      <c r="A2526" s="0" t="s">
        <v>12</v>
      </c>
      <c r="B2526" s="0" t="n">
        <v>785786</v>
      </c>
      <c r="C2526" s="0" t="n">
        <v>785806</v>
      </c>
      <c r="D2526" s="0" t="s">
        <v>8431</v>
      </c>
      <c r="E2526" s="0" t="s">
        <v>75</v>
      </c>
      <c r="F2526" s="0" t="s">
        <v>15</v>
      </c>
      <c r="G2526" s="0" t="s">
        <v>32</v>
      </c>
      <c r="H2526" s="0" t="n">
        <v>98</v>
      </c>
      <c r="I2526" s="0" t="s">
        <v>8438</v>
      </c>
      <c r="J2526" s="0" t="s">
        <v>8439</v>
      </c>
      <c r="K2526" s="0" t="s">
        <v>8440</v>
      </c>
      <c r="L2526" s="0" t="str">
        <f aca="false">HYPERLINK("https://www.ncbi.nlm.nih.gov/nuccore/CP000058.1?report=graph&amp;tracks=[key:gene_model_track,Options:GeneOnly]&amp;mk=785707:785726|offset_18|444444,785744:785763|offset_55|444444,785787:785806|offset_98|00cc00,785819:785838|offset_130|444444&amp;v=785506:786038&amp;c=444444", "offset 98")</f>
        <v>offset 98</v>
      </c>
    </row>
    <row r="2527" customFormat="false" ht="12.8" hidden="false" customHeight="false" outlineLevel="0" collapsed="false">
      <c r="A2527" s="0" t="s">
        <v>12</v>
      </c>
      <c r="B2527" s="0" t="n">
        <v>785818</v>
      </c>
      <c r="C2527" s="0" t="n">
        <v>785838</v>
      </c>
      <c r="D2527" s="0" t="s">
        <v>8431</v>
      </c>
      <c r="E2527" s="0" t="s">
        <v>75</v>
      </c>
      <c r="F2527" s="0" t="s">
        <v>15</v>
      </c>
      <c r="G2527" s="0" t="s">
        <v>16</v>
      </c>
      <c r="H2527" s="0" t="n">
        <v>130</v>
      </c>
      <c r="I2527" s="0" t="s">
        <v>8441</v>
      </c>
      <c r="J2527" s="0" t="s">
        <v>8442</v>
      </c>
      <c r="K2527" s="0" t="s">
        <v>8443</v>
      </c>
      <c r="L2527" s="0" t="str">
        <f aca="false">HYPERLINK("https://www.ncbi.nlm.nih.gov/nuccore/CP000058.1?report=graph&amp;tracks=[key:gene_model_track,Options:GeneOnly]&amp;mk=785707:785726|offset_18|444444,785744:785763|offset_55|444444,785787:785806|offset_98|444444,785819:785838|offset_130|00cc00&amp;v=785506:786038&amp;c=444444", "offset 130")</f>
        <v>offset 130</v>
      </c>
    </row>
    <row r="2528" customFormat="false" ht="12.8" hidden="false" customHeight="false" outlineLevel="0" collapsed="false">
      <c r="A2528" s="0" t="s">
        <v>12</v>
      </c>
      <c r="B2528" s="0" t="n">
        <v>787292</v>
      </c>
      <c r="C2528" s="0" t="n">
        <v>787312</v>
      </c>
      <c r="D2528" s="0" t="s">
        <v>8444</v>
      </c>
      <c r="E2528" s="0" t="s">
        <v>75</v>
      </c>
      <c r="F2528" s="0" t="s">
        <v>15</v>
      </c>
      <c r="G2528" s="0" t="s">
        <v>16</v>
      </c>
      <c r="H2528" s="0" t="n">
        <v>18</v>
      </c>
      <c r="I2528" s="0" t="s">
        <v>8445</v>
      </c>
      <c r="J2528" s="0" t="s">
        <v>8446</v>
      </c>
      <c r="K2528" s="0" t="s">
        <v>8447</v>
      </c>
      <c r="L2528" s="0" t="str">
        <f aca="false">HYPERLINK("https://www.ncbi.nlm.nih.gov/nuccore/CP000058.1?report=graph&amp;tracks=[key:gene_model_track,Options:GeneOnly]&amp;mk=787293:787312|offset_18|00cc00,787322:787341|offset_47|444444,787402:787421|offset_127|444444,787463:787482|offset_188|444444&amp;v=787092:787682&amp;c=444444", "offset 18")</f>
        <v>offset 18</v>
      </c>
    </row>
    <row r="2529" customFormat="false" ht="12.8" hidden="false" customHeight="false" outlineLevel="0" collapsed="false">
      <c r="A2529" s="0" t="s">
        <v>12</v>
      </c>
      <c r="B2529" s="0" t="n">
        <v>787321</v>
      </c>
      <c r="C2529" s="0" t="n">
        <v>787341</v>
      </c>
      <c r="D2529" s="0" t="s">
        <v>8444</v>
      </c>
      <c r="E2529" s="0" t="s">
        <v>75</v>
      </c>
      <c r="F2529" s="0" t="s">
        <v>15</v>
      </c>
      <c r="G2529" s="0" t="s">
        <v>16</v>
      </c>
      <c r="H2529" s="0" t="n">
        <v>47</v>
      </c>
      <c r="I2529" s="0" t="s">
        <v>8448</v>
      </c>
      <c r="J2529" s="0" t="s">
        <v>8449</v>
      </c>
      <c r="K2529" s="0" t="s">
        <v>8450</v>
      </c>
      <c r="L2529" s="0" t="str">
        <f aca="false">HYPERLINK("https://www.ncbi.nlm.nih.gov/nuccore/CP000058.1?report=graph&amp;tracks=[key:gene_model_track,Options:GeneOnly]&amp;mk=787293:787312|offset_18|444444,787322:787341|offset_47|00cc00,787402:787421|offset_127|444444,787463:787482|offset_188|444444&amp;v=787092:787682&amp;c=444444", "offset 47")</f>
        <v>offset 47</v>
      </c>
    </row>
    <row r="2530" customFormat="false" ht="12.8" hidden="false" customHeight="false" outlineLevel="0" collapsed="false">
      <c r="A2530" s="0" t="s">
        <v>12</v>
      </c>
      <c r="B2530" s="0" t="n">
        <v>787401</v>
      </c>
      <c r="C2530" s="0" t="n">
        <v>787421</v>
      </c>
      <c r="D2530" s="0" t="s">
        <v>8444</v>
      </c>
      <c r="E2530" s="0" t="s">
        <v>75</v>
      </c>
      <c r="F2530" s="0" t="s">
        <v>15</v>
      </c>
      <c r="G2530" s="0" t="s">
        <v>32</v>
      </c>
      <c r="H2530" s="0" t="n">
        <v>127</v>
      </c>
      <c r="I2530" s="0" t="s">
        <v>8451</v>
      </c>
      <c r="J2530" s="0" t="s">
        <v>8452</v>
      </c>
      <c r="K2530" s="0" t="s">
        <v>8453</v>
      </c>
      <c r="L2530" s="0" t="str">
        <f aca="false">HYPERLINK("https://www.ncbi.nlm.nih.gov/nuccore/CP000058.1?report=graph&amp;tracks=[key:gene_model_track,Options:GeneOnly]&amp;mk=787293:787312|offset_18|444444,787322:787341|offset_47|444444,787402:787421|offset_127|00cc00,787463:787482|offset_188|444444&amp;v=787092:787682&amp;c=444444", "offset 127")</f>
        <v>offset 127</v>
      </c>
    </row>
    <row r="2531" customFormat="false" ht="12.8" hidden="false" customHeight="false" outlineLevel="0" collapsed="false">
      <c r="A2531" s="0" t="s">
        <v>12</v>
      </c>
      <c r="B2531" s="0" t="n">
        <v>787462</v>
      </c>
      <c r="C2531" s="0" t="n">
        <v>787482</v>
      </c>
      <c r="D2531" s="0" t="s">
        <v>8444</v>
      </c>
      <c r="E2531" s="0" t="s">
        <v>75</v>
      </c>
      <c r="F2531" s="0" t="s">
        <v>15</v>
      </c>
      <c r="G2531" s="0" t="s">
        <v>36</v>
      </c>
      <c r="H2531" s="0" t="n">
        <v>188</v>
      </c>
      <c r="I2531" s="0" t="s">
        <v>8454</v>
      </c>
      <c r="J2531" s="0" t="s">
        <v>8455</v>
      </c>
      <c r="K2531" s="0" t="s">
        <v>8456</v>
      </c>
      <c r="L2531" s="0" t="str">
        <f aca="false">HYPERLINK("https://www.ncbi.nlm.nih.gov/nuccore/CP000058.1?report=graph&amp;tracks=[key:gene_model_track,Options:GeneOnly]&amp;mk=787293:787312|offset_18|444444,787322:787341|offset_47|444444,787402:787421|offset_127|444444,787463:787482|offset_188|00cc00&amp;v=787092:787682&amp;c=444444", "offset 188")</f>
        <v>offset 188</v>
      </c>
    </row>
    <row r="2532" customFormat="false" ht="12.8" hidden="false" customHeight="false" outlineLevel="0" collapsed="false">
      <c r="A2532" s="0" t="s">
        <v>12</v>
      </c>
      <c r="B2532" s="0" t="n">
        <v>788793</v>
      </c>
      <c r="C2532" s="0" t="n">
        <v>788813</v>
      </c>
      <c r="D2532" s="0" t="s">
        <v>8457</v>
      </c>
      <c r="E2532" s="0" t="s">
        <v>8458</v>
      </c>
      <c r="F2532" s="0" t="s">
        <v>15</v>
      </c>
      <c r="G2532" s="0" t="s">
        <v>20</v>
      </c>
      <c r="H2532" s="0" t="n">
        <v>37</v>
      </c>
      <c r="I2532" s="0" t="s">
        <v>8459</v>
      </c>
      <c r="J2532" s="0" t="s">
        <v>8460</v>
      </c>
      <c r="K2532" s="0" t="s">
        <v>8461</v>
      </c>
      <c r="L2532" s="0" t="str">
        <f aca="false">HYPERLINK("https://www.ncbi.nlm.nih.gov/nuccore/CP000058.1?report=graph&amp;tracks=[key:gene_model_track,Options:GeneOnly]&amp;mk=788794:788813|offset_37|00cc00,788830:788849|offset_73|444444,788863:788882|offset_106|444444,788888:788907|offset_131|444444&amp;v=788593:789107&amp;c=444444", "offset 37")</f>
        <v>offset 37</v>
      </c>
    </row>
    <row r="2533" customFormat="false" ht="12.8" hidden="false" customHeight="false" outlineLevel="0" collapsed="false">
      <c r="A2533" s="0" t="s">
        <v>12</v>
      </c>
      <c r="B2533" s="0" t="n">
        <v>788829</v>
      </c>
      <c r="C2533" s="0" t="n">
        <v>788849</v>
      </c>
      <c r="D2533" s="0" t="s">
        <v>8457</v>
      </c>
      <c r="E2533" s="0" t="s">
        <v>8458</v>
      </c>
      <c r="F2533" s="0" t="s">
        <v>15</v>
      </c>
      <c r="G2533" s="0" t="s">
        <v>16</v>
      </c>
      <c r="H2533" s="0" t="n">
        <v>73</v>
      </c>
      <c r="I2533" s="0" t="s">
        <v>8462</v>
      </c>
      <c r="J2533" s="0" t="s">
        <v>8463</v>
      </c>
      <c r="K2533" s="0" t="s">
        <v>8464</v>
      </c>
      <c r="L2533" s="0" t="str">
        <f aca="false">HYPERLINK("https://www.ncbi.nlm.nih.gov/nuccore/CP000058.1?report=graph&amp;tracks=[key:gene_model_track,Options:GeneOnly]&amp;mk=788794:788813|offset_37|444444,788830:788849|offset_73|00cc00,788863:788882|offset_106|444444,788888:788907|offset_131|444444&amp;v=788593:789107&amp;c=444444", "offset 73")</f>
        <v>offset 73</v>
      </c>
    </row>
    <row r="2534" customFormat="false" ht="12.8" hidden="false" customHeight="false" outlineLevel="0" collapsed="false">
      <c r="A2534" s="0" t="s">
        <v>12</v>
      </c>
      <c r="B2534" s="0" t="n">
        <v>788862</v>
      </c>
      <c r="C2534" s="0" t="n">
        <v>788882</v>
      </c>
      <c r="D2534" s="0" t="s">
        <v>8457</v>
      </c>
      <c r="E2534" s="0" t="s">
        <v>8458</v>
      </c>
      <c r="F2534" s="0" t="s">
        <v>15</v>
      </c>
      <c r="G2534" s="0" t="s">
        <v>32</v>
      </c>
      <c r="H2534" s="0" t="n">
        <v>106</v>
      </c>
      <c r="I2534" s="0" t="s">
        <v>8465</v>
      </c>
      <c r="J2534" s="0" t="s">
        <v>8466</v>
      </c>
      <c r="K2534" s="0" t="s">
        <v>8467</v>
      </c>
      <c r="L2534" s="0" t="str">
        <f aca="false">HYPERLINK("https://www.ncbi.nlm.nih.gov/nuccore/CP000058.1?report=graph&amp;tracks=[key:gene_model_track,Options:GeneOnly]&amp;mk=788794:788813|offset_37|444444,788830:788849|offset_73|444444,788863:788882|offset_106|00cc00,788888:788907|offset_131|444444&amp;v=788593:789107&amp;c=444444", "offset 106")</f>
        <v>offset 106</v>
      </c>
    </row>
    <row r="2535" customFormat="false" ht="12.8" hidden="false" customHeight="false" outlineLevel="0" collapsed="false">
      <c r="A2535" s="0" t="s">
        <v>12</v>
      </c>
      <c r="B2535" s="0" t="n">
        <v>788887</v>
      </c>
      <c r="C2535" s="0" t="n">
        <v>788907</v>
      </c>
      <c r="D2535" s="0" t="s">
        <v>8457</v>
      </c>
      <c r="E2535" s="0" t="s">
        <v>8458</v>
      </c>
      <c r="F2535" s="0" t="s">
        <v>15</v>
      </c>
      <c r="G2535" s="0" t="s">
        <v>36</v>
      </c>
      <c r="H2535" s="0" t="n">
        <v>131</v>
      </c>
      <c r="I2535" s="0" t="s">
        <v>8468</v>
      </c>
      <c r="J2535" s="0" t="s">
        <v>8469</v>
      </c>
      <c r="K2535" s="0" t="s">
        <v>8470</v>
      </c>
      <c r="L2535" s="0" t="str">
        <f aca="false">HYPERLINK("https://www.ncbi.nlm.nih.gov/nuccore/CP000058.1?report=graph&amp;tracks=[key:gene_model_track,Options:GeneOnly]&amp;mk=788794:788813|offset_37|444444,788830:788849|offset_73|444444,788863:788882|offset_106|444444,788888:788907|offset_131|00cc00&amp;v=788593:789107&amp;c=444444", "offset 131")</f>
        <v>offset 131</v>
      </c>
    </row>
    <row r="2536" customFormat="false" ht="12.8" hidden="false" customHeight="false" outlineLevel="0" collapsed="false">
      <c r="A2536" s="0" t="s">
        <v>12</v>
      </c>
      <c r="B2536" s="0" t="n">
        <v>789377</v>
      </c>
      <c r="C2536" s="0" t="n">
        <v>789397</v>
      </c>
      <c r="D2536" s="0" t="s">
        <v>8471</v>
      </c>
      <c r="E2536" s="0" t="s">
        <v>8472</v>
      </c>
      <c r="F2536" s="0" t="s">
        <v>15</v>
      </c>
      <c r="G2536" s="0" t="s">
        <v>36</v>
      </c>
      <c r="H2536" s="0" t="n">
        <v>0</v>
      </c>
      <c r="I2536" s="0" t="s">
        <v>8473</v>
      </c>
      <c r="J2536" s="0" t="s">
        <v>8474</v>
      </c>
      <c r="K2536" s="0" t="s">
        <v>8475</v>
      </c>
      <c r="L2536" s="0" t="str">
        <f aca="false">HYPERLINK("https://www.ncbi.nlm.nih.gov/nuccore/CP000058.1?report=graph&amp;tracks=[key:gene_model_track,Options:GeneOnly]&amp;mk=789378:789397|offset_0|00cc00,789404:789423|offset_26|444444,789425:789444|offset_47|444444,789469:789488|offset_91|444444&amp;v=789177:789688&amp;c=444444", "offset 0")</f>
        <v>offset 0</v>
      </c>
    </row>
    <row r="2537" customFormat="false" ht="12.8" hidden="false" customHeight="false" outlineLevel="0" collapsed="false">
      <c r="A2537" s="0" t="s">
        <v>12</v>
      </c>
      <c r="B2537" s="0" t="n">
        <v>789403</v>
      </c>
      <c r="C2537" s="0" t="n">
        <v>789423</v>
      </c>
      <c r="D2537" s="0" t="s">
        <v>8471</v>
      </c>
      <c r="E2537" s="0" t="s">
        <v>8472</v>
      </c>
      <c r="F2537" s="0" t="s">
        <v>15</v>
      </c>
      <c r="G2537" s="0" t="s">
        <v>16</v>
      </c>
      <c r="H2537" s="0" t="n">
        <v>26</v>
      </c>
      <c r="I2537" s="0" t="s">
        <v>8476</v>
      </c>
      <c r="J2537" s="0" t="s">
        <v>8477</v>
      </c>
      <c r="K2537" s="0" t="s">
        <v>8478</v>
      </c>
      <c r="L2537" s="0" t="str">
        <f aca="false">HYPERLINK("https://www.ncbi.nlm.nih.gov/nuccore/CP000058.1?report=graph&amp;tracks=[key:gene_model_track,Options:GeneOnly]&amp;mk=789378:789397|offset_0|444444,789404:789423|offset_26|00cc00,789425:789444|offset_47|444444,789469:789488|offset_91|444444&amp;v=789177:789688&amp;c=444444", "offset 26")</f>
        <v>offset 26</v>
      </c>
    </row>
    <row r="2538" customFormat="false" ht="12.8" hidden="false" customHeight="false" outlineLevel="0" collapsed="false">
      <c r="A2538" s="0" t="s">
        <v>12</v>
      </c>
      <c r="B2538" s="0" t="n">
        <v>789424</v>
      </c>
      <c r="C2538" s="0" t="n">
        <v>789444</v>
      </c>
      <c r="D2538" s="0" t="s">
        <v>8471</v>
      </c>
      <c r="E2538" s="0" t="s">
        <v>8472</v>
      </c>
      <c r="F2538" s="0" t="s">
        <v>15</v>
      </c>
      <c r="G2538" s="0" t="s">
        <v>20</v>
      </c>
      <c r="H2538" s="0" t="n">
        <v>47</v>
      </c>
      <c r="I2538" s="0" t="s">
        <v>8479</v>
      </c>
      <c r="J2538" s="0" t="s">
        <v>8480</v>
      </c>
      <c r="K2538" s="0" t="s">
        <v>8481</v>
      </c>
      <c r="L2538" s="0" t="str">
        <f aca="false">HYPERLINK("https://www.ncbi.nlm.nih.gov/nuccore/CP000058.1?report=graph&amp;tracks=[key:gene_model_track,Options:GeneOnly]&amp;mk=789378:789397|offset_0|444444,789404:789423|offset_26|444444,789425:789444|offset_47|00cc00,789469:789488|offset_91|444444&amp;v=789177:789688&amp;c=444444", "offset 47")</f>
        <v>offset 47</v>
      </c>
    </row>
    <row r="2539" customFormat="false" ht="12.8" hidden="false" customHeight="false" outlineLevel="0" collapsed="false">
      <c r="A2539" s="0" t="s">
        <v>12</v>
      </c>
      <c r="B2539" s="0" t="n">
        <v>789468</v>
      </c>
      <c r="C2539" s="0" t="n">
        <v>789488</v>
      </c>
      <c r="D2539" s="0" t="s">
        <v>8471</v>
      </c>
      <c r="E2539" s="0" t="s">
        <v>8472</v>
      </c>
      <c r="F2539" s="0" t="s">
        <v>15</v>
      </c>
      <c r="G2539" s="0" t="s">
        <v>16</v>
      </c>
      <c r="H2539" s="0" t="n">
        <v>91</v>
      </c>
      <c r="I2539" s="0" t="s">
        <v>8482</v>
      </c>
      <c r="J2539" s="0" t="s">
        <v>8483</v>
      </c>
      <c r="K2539" s="0" t="s">
        <v>8484</v>
      </c>
      <c r="L2539" s="0" t="str">
        <f aca="false">HYPERLINK("https://www.ncbi.nlm.nih.gov/nuccore/CP000058.1?report=graph&amp;tracks=[key:gene_model_track,Options:GeneOnly]&amp;mk=789378:789397|offset_0|444444,789404:789423|offset_26|444444,789425:789444|offset_47|444444,789469:789488|offset_91|00cc00&amp;v=789177:789688&amp;c=444444", "offset 91")</f>
        <v>offset 91</v>
      </c>
    </row>
    <row r="2540" customFormat="false" ht="12.8" hidden="false" customHeight="false" outlineLevel="0" collapsed="false">
      <c r="A2540" s="0" t="s">
        <v>12</v>
      </c>
      <c r="B2540" s="0" t="n">
        <v>790435</v>
      </c>
      <c r="C2540" s="0" t="n">
        <v>790455</v>
      </c>
      <c r="D2540" s="0" t="s">
        <v>8485</v>
      </c>
      <c r="E2540" s="0" t="s">
        <v>8486</v>
      </c>
      <c r="F2540" s="0" t="s">
        <v>15</v>
      </c>
      <c r="G2540" s="0" t="s">
        <v>32</v>
      </c>
      <c r="H2540" s="0" t="n">
        <v>12</v>
      </c>
      <c r="I2540" s="0" t="s">
        <v>8487</v>
      </c>
      <c r="J2540" s="0" t="s">
        <v>8488</v>
      </c>
      <c r="K2540" s="0" t="s">
        <v>8489</v>
      </c>
      <c r="L2540" s="0" t="str">
        <f aca="false">HYPERLINK("https://www.ncbi.nlm.nih.gov/nuccore/CP000058.1?report=graph&amp;tracks=[key:gene_model_track,Options:GeneOnly]&amp;mk=790436:790455|offset_12|00cc00,790462:790481|offset_38|444444,790485:790504|offset_61|444444,790509:790528|offset_85|444444&amp;v=790235:790728&amp;c=444444", "offset 12")</f>
        <v>offset 12</v>
      </c>
    </row>
    <row r="2541" customFormat="false" ht="12.8" hidden="false" customHeight="false" outlineLevel="0" collapsed="false">
      <c r="A2541" s="0" t="s">
        <v>12</v>
      </c>
      <c r="B2541" s="0" t="n">
        <v>790461</v>
      </c>
      <c r="C2541" s="0" t="n">
        <v>790481</v>
      </c>
      <c r="D2541" s="0" t="s">
        <v>8485</v>
      </c>
      <c r="E2541" s="0" t="s">
        <v>8486</v>
      </c>
      <c r="F2541" s="0" t="s">
        <v>15</v>
      </c>
      <c r="G2541" s="0" t="s">
        <v>16</v>
      </c>
      <c r="H2541" s="0" t="n">
        <v>38</v>
      </c>
      <c r="I2541" s="0" t="s">
        <v>8490</v>
      </c>
      <c r="J2541" s="0" t="s">
        <v>8491</v>
      </c>
      <c r="K2541" s="0" t="s">
        <v>8492</v>
      </c>
      <c r="L2541" s="0" t="str">
        <f aca="false">HYPERLINK("https://www.ncbi.nlm.nih.gov/nuccore/CP000058.1?report=graph&amp;tracks=[key:gene_model_track,Options:GeneOnly]&amp;mk=790436:790455|offset_12|444444,790462:790481|offset_38|00cc00,790485:790504|offset_61|444444,790509:790528|offset_85|444444&amp;v=790235:790728&amp;c=444444", "offset 38")</f>
        <v>offset 38</v>
      </c>
    </row>
    <row r="2542" customFormat="false" ht="12.8" hidden="false" customHeight="false" outlineLevel="0" collapsed="false">
      <c r="A2542" s="0" t="s">
        <v>12</v>
      </c>
      <c r="B2542" s="0" t="n">
        <v>790484</v>
      </c>
      <c r="C2542" s="0" t="n">
        <v>790504</v>
      </c>
      <c r="D2542" s="0" t="s">
        <v>8485</v>
      </c>
      <c r="E2542" s="0" t="s">
        <v>8486</v>
      </c>
      <c r="F2542" s="0" t="s">
        <v>15</v>
      </c>
      <c r="G2542" s="0" t="s">
        <v>36</v>
      </c>
      <c r="H2542" s="0" t="n">
        <v>61</v>
      </c>
      <c r="I2542" s="0" t="s">
        <v>8493</v>
      </c>
      <c r="J2542" s="0" t="s">
        <v>8494</v>
      </c>
      <c r="K2542" s="0" t="s">
        <v>8495</v>
      </c>
      <c r="L2542" s="0" t="str">
        <f aca="false">HYPERLINK("https://www.ncbi.nlm.nih.gov/nuccore/CP000058.1?report=graph&amp;tracks=[key:gene_model_track,Options:GeneOnly]&amp;mk=790436:790455|offset_12|444444,790462:790481|offset_38|444444,790485:790504|offset_61|00cc00,790509:790528|offset_85|444444&amp;v=790235:790728&amp;c=444444", "offset 61")</f>
        <v>offset 61</v>
      </c>
    </row>
    <row r="2543" customFormat="false" ht="12.8" hidden="false" customHeight="false" outlineLevel="0" collapsed="false">
      <c r="A2543" s="0" t="s">
        <v>12</v>
      </c>
      <c r="B2543" s="0" t="n">
        <v>790508</v>
      </c>
      <c r="C2543" s="0" t="n">
        <v>790528</v>
      </c>
      <c r="D2543" s="0" t="s">
        <v>8485</v>
      </c>
      <c r="E2543" s="0" t="s">
        <v>8486</v>
      </c>
      <c r="F2543" s="0" t="s">
        <v>15</v>
      </c>
      <c r="G2543" s="0" t="s">
        <v>16</v>
      </c>
      <c r="H2543" s="0" t="n">
        <v>85</v>
      </c>
      <c r="I2543" s="0" t="s">
        <v>8496</v>
      </c>
      <c r="J2543" s="0" t="s">
        <v>8497</v>
      </c>
      <c r="K2543" s="0" t="s">
        <v>8498</v>
      </c>
      <c r="L2543" s="0" t="str">
        <f aca="false">HYPERLINK("https://www.ncbi.nlm.nih.gov/nuccore/CP000058.1?report=graph&amp;tracks=[key:gene_model_track,Options:GeneOnly]&amp;mk=790436:790455|offset_12|444444,790462:790481|offset_38|444444,790485:790504|offset_61|444444,790509:790528|offset_85|00cc00&amp;v=790235:790728&amp;c=444444", "offset 85")</f>
        <v>offset 85</v>
      </c>
    </row>
    <row r="2544" customFormat="false" ht="12.8" hidden="false" customHeight="false" outlineLevel="0" collapsed="false">
      <c r="A2544" s="0" t="s">
        <v>12</v>
      </c>
      <c r="B2544" s="0" t="n">
        <v>791320</v>
      </c>
      <c r="C2544" s="0" t="n">
        <v>791340</v>
      </c>
      <c r="D2544" s="0" t="s">
        <v>8499</v>
      </c>
      <c r="E2544" s="0" t="s">
        <v>75</v>
      </c>
      <c r="F2544" s="0" t="s">
        <v>15</v>
      </c>
      <c r="G2544" s="0" t="s">
        <v>16</v>
      </c>
      <c r="H2544" s="0" t="n">
        <v>31</v>
      </c>
      <c r="I2544" s="0" t="s">
        <v>8500</v>
      </c>
      <c r="J2544" s="0" t="s">
        <v>8501</v>
      </c>
      <c r="K2544" s="0" t="s">
        <v>8502</v>
      </c>
      <c r="L2544" s="0" t="str">
        <f aca="false">HYPERLINK("https://www.ncbi.nlm.nih.gov/nuccore/CP000058.1?report=graph&amp;tracks=[key:gene_model_track,Options:GeneOnly]&amp;mk=791321:791340|offset_31|00cc00,791349:791368|offset_59|444444,791369:791388|offset_79|444444,791404:791423|offset_114|444444&amp;v=791120:791623&amp;c=444444", "offset 31")</f>
        <v>offset 31</v>
      </c>
    </row>
    <row r="2545" customFormat="false" ht="12.8" hidden="false" customHeight="false" outlineLevel="0" collapsed="false">
      <c r="A2545" s="0" t="s">
        <v>12</v>
      </c>
      <c r="B2545" s="0" t="n">
        <v>791348</v>
      </c>
      <c r="C2545" s="0" t="n">
        <v>791368</v>
      </c>
      <c r="D2545" s="0" t="s">
        <v>8499</v>
      </c>
      <c r="E2545" s="0" t="s">
        <v>75</v>
      </c>
      <c r="F2545" s="0" t="s">
        <v>15</v>
      </c>
      <c r="G2545" s="0" t="s">
        <v>20</v>
      </c>
      <c r="H2545" s="0" t="n">
        <v>59</v>
      </c>
      <c r="I2545" s="0" t="s">
        <v>8503</v>
      </c>
      <c r="J2545" s="0" t="s">
        <v>8504</v>
      </c>
      <c r="K2545" s="0" t="s">
        <v>8505</v>
      </c>
      <c r="L2545" s="0" t="str">
        <f aca="false">HYPERLINK("https://www.ncbi.nlm.nih.gov/nuccore/CP000058.1?report=graph&amp;tracks=[key:gene_model_track,Options:GeneOnly]&amp;mk=791321:791340|offset_31|444444,791349:791368|offset_59|00cc00,791369:791388|offset_79|444444,791404:791423|offset_114|444444&amp;v=791120:791623&amp;c=444444", "offset 59")</f>
        <v>offset 59</v>
      </c>
    </row>
    <row r="2546" customFormat="false" ht="12.8" hidden="false" customHeight="false" outlineLevel="0" collapsed="false">
      <c r="A2546" s="0" t="s">
        <v>12</v>
      </c>
      <c r="B2546" s="0" t="n">
        <v>791368</v>
      </c>
      <c r="C2546" s="0" t="n">
        <v>791388</v>
      </c>
      <c r="D2546" s="0" t="s">
        <v>8499</v>
      </c>
      <c r="E2546" s="0" t="s">
        <v>75</v>
      </c>
      <c r="F2546" s="0" t="s">
        <v>15</v>
      </c>
      <c r="G2546" s="0" t="s">
        <v>16</v>
      </c>
      <c r="H2546" s="0" t="n">
        <v>79</v>
      </c>
      <c r="I2546" s="0" t="s">
        <v>8506</v>
      </c>
      <c r="J2546" s="0" t="s">
        <v>8507</v>
      </c>
      <c r="K2546" s="0" t="s">
        <v>8508</v>
      </c>
      <c r="L2546" s="0" t="str">
        <f aca="false">HYPERLINK("https://www.ncbi.nlm.nih.gov/nuccore/CP000058.1?report=graph&amp;tracks=[key:gene_model_track,Options:GeneOnly]&amp;mk=791321:791340|offset_31|444444,791349:791368|offset_59|444444,791369:791388|offset_79|00cc00,791404:791423|offset_114|444444&amp;v=791120:791623&amp;c=444444", "offset 79")</f>
        <v>offset 79</v>
      </c>
    </row>
    <row r="2547" customFormat="false" ht="12.8" hidden="false" customHeight="false" outlineLevel="0" collapsed="false">
      <c r="A2547" s="0" t="s">
        <v>12</v>
      </c>
      <c r="B2547" s="0" t="n">
        <v>791403</v>
      </c>
      <c r="C2547" s="0" t="n">
        <v>791423</v>
      </c>
      <c r="D2547" s="0" t="s">
        <v>8499</v>
      </c>
      <c r="E2547" s="0" t="s">
        <v>75</v>
      </c>
      <c r="F2547" s="0" t="s">
        <v>15</v>
      </c>
      <c r="G2547" s="0" t="s">
        <v>20</v>
      </c>
      <c r="H2547" s="0" t="n">
        <v>114</v>
      </c>
      <c r="I2547" s="0" t="s">
        <v>8509</v>
      </c>
      <c r="J2547" s="0" t="s">
        <v>8510</v>
      </c>
      <c r="K2547" s="0" t="s">
        <v>8511</v>
      </c>
      <c r="L2547" s="0" t="str">
        <f aca="false">HYPERLINK("https://www.ncbi.nlm.nih.gov/nuccore/CP000058.1?report=graph&amp;tracks=[key:gene_model_track,Options:GeneOnly]&amp;mk=791321:791340|offset_31|444444,791349:791368|offset_59|444444,791369:791388|offset_79|444444,791404:791423|offset_114|00cc00&amp;v=791120:791623&amp;c=444444", "offset 114")</f>
        <v>offset 114</v>
      </c>
    </row>
    <row r="2548" customFormat="false" ht="12.8" hidden="false" customHeight="false" outlineLevel="0" collapsed="false">
      <c r="A2548" s="0" t="s">
        <v>12</v>
      </c>
      <c r="B2548" s="0" t="n">
        <v>792597</v>
      </c>
      <c r="C2548" s="0" t="n">
        <v>792617</v>
      </c>
      <c r="D2548" s="0" t="s">
        <v>8512</v>
      </c>
      <c r="E2548" s="0" t="s">
        <v>8513</v>
      </c>
      <c r="F2548" s="0" t="s">
        <v>90</v>
      </c>
      <c r="G2548" s="0" t="s">
        <v>36</v>
      </c>
      <c r="H2548" s="0" t="n">
        <v>24</v>
      </c>
      <c r="I2548" s="0" t="s">
        <v>8514</v>
      </c>
      <c r="J2548" s="0" t="s">
        <v>8515</v>
      </c>
      <c r="K2548" s="0" t="s">
        <v>8516</v>
      </c>
      <c r="L2548" s="0" t="str">
        <f aca="false">HYPERLINK("https://www.ncbi.nlm.nih.gov/nuccore/CP000058.1?report=graph&amp;tracks=[key:gene_model_track,Options:GeneOnly]&amp;mk=792598:792617|offset_24|00cc00,792568:792587|offset_54|444444,792545:792564|offset_77|444444,792429:792448|offset_193|444444&amp;v=792397:792648&amp;c=444444", "offset 24")</f>
        <v>offset 24</v>
      </c>
    </row>
    <row r="2549" customFormat="false" ht="12.8" hidden="false" customHeight="false" outlineLevel="0" collapsed="false">
      <c r="A2549" s="0" t="s">
        <v>12</v>
      </c>
      <c r="B2549" s="0" t="n">
        <v>792567</v>
      </c>
      <c r="C2549" s="0" t="n">
        <v>792587</v>
      </c>
      <c r="D2549" s="0" t="s">
        <v>8512</v>
      </c>
      <c r="E2549" s="0" t="s">
        <v>8513</v>
      </c>
      <c r="F2549" s="0" t="s">
        <v>90</v>
      </c>
      <c r="G2549" s="0" t="s">
        <v>36</v>
      </c>
      <c r="H2549" s="0" t="n">
        <v>54</v>
      </c>
      <c r="I2549" s="0" t="s">
        <v>8517</v>
      </c>
      <c r="J2549" s="0" t="s">
        <v>8518</v>
      </c>
      <c r="K2549" s="0" t="s">
        <v>8519</v>
      </c>
      <c r="L2549" s="0" t="str">
        <f aca="false">HYPERLINK("https://www.ncbi.nlm.nih.gov/nuccore/CP000058.1?report=graph&amp;tracks=[key:gene_model_track,Options:GeneOnly]&amp;mk=792598:792617|offset_24|444444,792568:792587|offset_54|00cc00,792545:792564|offset_77|444444,792429:792448|offset_193|444444&amp;v=792397:792648&amp;c=444444", "offset 54")</f>
        <v>offset 54</v>
      </c>
    </row>
    <row r="2550" customFormat="false" ht="12.8" hidden="false" customHeight="false" outlineLevel="0" collapsed="false">
      <c r="A2550" s="0" t="s">
        <v>12</v>
      </c>
      <c r="B2550" s="0" t="n">
        <v>792544</v>
      </c>
      <c r="C2550" s="0" t="n">
        <v>792564</v>
      </c>
      <c r="D2550" s="0" t="s">
        <v>8512</v>
      </c>
      <c r="E2550" s="0" t="s">
        <v>8513</v>
      </c>
      <c r="F2550" s="0" t="s">
        <v>90</v>
      </c>
      <c r="G2550" s="0" t="s">
        <v>36</v>
      </c>
      <c r="H2550" s="0" t="n">
        <v>77</v>
      </c>
      <c r="I2550" s="0" t="s">
        <v>8520</v>
      </c>
      <c r="J2550" s="0" t="s">
        <v>8521</v>
      </c>
      <c r="K2550" s="0" t="s">
        <v>8522</v>
      </c>
      <c r="L2550" s="0" t="str">
        <f aca="false">HYPERLINK("https://www.ncbi.nlm.nih.gov/nuccore/CP000058.1?report=graph&amp;tracks=[key:gene_model_track,Options:GeneOnly]&amp;mk=792598:792617|offset_24|444444,792568:792587|offset_54|444444,792545:792564|offset_77|00cc00,792429:792448|offset_193|444444&amp;v=792397:792648&amp;c=444444", "offset 77")</f>
        <v>offset 77</v>
      </c>
    </row>
    <row r="2551" customFormat="false" ht="12.8" hidden="false" customHeight="false" outlineLevel="0" collapsed="false">
      <c r="A2551" s="0" t="s">
        <v>12</v>
      </c>
      <c r="B2551" s="0" t="n">
        <v>792428</v>
      </c>
      <c r="C2551" s="0" t="n">
        <v>792448</v>
      </c>
      <c r="D2551" s="0" t="s">
        <v>8512</v>
      </c>
      <c r="E2551" s="0" t="s">
        <v>8513</v>
      </c>
      <c r="F2551" s="0" t="s">
        <v>90</v>
      </c>
      <c r="G2551" s="0" t="s">
        <v>20</v>
      </c>
      <c r="H2551" s="0" t="n">
        <v>193</v>
      </c>
      <c r="I2551" s="0" t="s">
        <v>8523</v>
      </c>
      <c r="J2551" s="0" t="s">
        <v>8524</v>
      </c>
      <c r="K2551" s="0" t="s">
        <v>8525</v>
      </c>
      <c r="L2551" s="0" t="str">
        <f aca="false">HYPERLINK("https://www.ncbi.nlm.nih.gov/nuccore/CP000058.1?report=graph&amp;tracks=[key:gene_model_track,Options:GeneOnly]&amp;mk=792598:792617|offset_24|444444,792568:792587|offset_54|444444,792545:792564|offset_77|444444,792429:792448|offset_193|00cc00&amp;v=792397:792648&amp;c=444444", "offset 193")</f>
        <v>offset 193</v>
      </c>
    </row>
    <row r="2552" customFormat="false" ht="12.8" hidden="false" customHeight="false" outlineLevel="0" collapsed="false">
      <c r="A2552" s="0" t="s">
        <v>12</v>
      </c>
      <c r="B2552" s="0" t="n">
        <v>792671</v>
      </c>
      <c r="C2552" s="0" t="n">
        <v>792691</v>
      </c>
      <c r="D2552" s="0" t="s">
        <v>8526</v>
      </c>
      <c r="E2552" s="0" t="s">
        <v>75</v>
      </c>
      <c r="F2552" s="0" t="s">
        <v>15</v>
      </c>
      <c r="G2552" s="0" t="s">
        <v>32</v>
      </c>
      <c r="H2552" s="0" t="n">
        <v>7</v>
      </c>
      <c r="I2552" s="0" t="s">
        <v>8527</v>
      </c>
      <c r="J2552" s="0" t="s">
        <v>8528</v>
      </c>
      <c r="K2552" s="0" t="s">
        <v>8529</v>
      </c>
      <c r="L2552" s="0" t="str">
        <f aca="false">HYPERLINK("https://www.ncbi.nlm.nih.gov/nuccore/CP000058.1?report=graph&amp;tracks=[key:gene_model_track,Options:GeneOnly]&amp;mk=792672:792691|offset_7|00cc00,792703:792722|offset_38|444444,792724:792743|offset_59|444444,792755:792774|offset_90|444444&amp;v=792471:792974&amp;c=444444", "offset 7")</f>
        <v>offset 7</v>
      </c>
    </row>
    <row r="2553" customFormat="false" ht="12.8" hidden="false" customHeight="false" outlineLevel="0" collapsed="false">
      <c r="A2553" s="0" t="s">
        <v>12</v>
      </c>
      <c r="B2553" s="0" t="n">
        <v>792702</v>
      </c>
      <c r="C2553" s="0" t="n">
        <v>792722</v>
      </c>
      <c r="D2553" s="0" t="s">
        <v>8526</v>
      </c>
      <c r="E2553" s="0" t="s">
        <v>75</v>
      </c>
      <c r="F2553" s="0" t="s">
        <v>15</v>
      </c>
      <c r="G2553" s="0" t="s">
        <v>20</v>
      </c>
      <c r="H2553" s="0" t="n">
        <v>38</v>
      </c>
      <c r="I2553" s="0" t="s">
        <v>8530</v>
      </c>
      <c r="J2553" s="0" t="s">
        <v>8531</v>
      </c>
      <c r="K2553" s="0" t="s">
        <v>8532</v>
      </c>
      <c r="L2553" s="0" t="str">
        <f aca="false">HYPERLINK("https://www.ncbi.nlm.nih.gov/nuccore/CP000058.1?report=graph&amp;tracks=[key:gene_model_track,Options:GeneOnly]&amp;mk=792672:792691|offset_7|444444,792703:792722|offset_38|00cc00,792724:792743|offset_59|444444,792755:792774|offset_90|444444&amp;v=792471:792974&amp;c=444444", "offset 38")</f>
        <v>offset 38</v>
      </c>
    </row>
    <row r="2554" customFormat="false" ht="12.8" hidden="false" customHeight="false" outlineLevel="0" collapsed="false">
      <c r="A2554" s="0" t="s">
        <v>12</v>
      </c>
      <c r="B2554" s="0" t="n">
        <v>792723</v>
      </c>
      <c r="C2554" s="0" t="n">
        <v>792743</v>
      </c>
      <c r="D2554" s="0" t="s">
        <v>8526</v>
      </c>
      <c r="E2554" s="0" t="s">
        <v>75</v>
      </c>
      <c r="F2554" s="0" t="s">
        <v>15</v>
      </c>
      <c r="G2554" s="0" t="s">
        <v>32</v>
      </c>
      <c r="H2554" s="0" t="n">
        <v>59</v>
      </c>
      <c r="I2554" s="0" t="s">
        <v>8533</v>
      </c>
      <c r="J2554" s="0" t="s">
        <v>8534</v>
      </c>
      <c r="K2554" s="0" t="s">
        <v>8535</v>
      </c>
      <c r="L2554" s="0" t="str">
        <f aca="false">HYPERLINK("https://www.ncbi.nlm.nih.gov/nuccore/CP000058.1?report=graph&amp;tracks=[key:gene_model_track,Options:GeneOnly]&amp;mk=792672:792691|offset_7|444444,792703:792722|offset_38|444444,792724:792743|offset_59|00cc00,792755:792774|offset_90|444444&amp;v=792471:792974&amp;c=444444", "offset 59")</f>
        <v>offset 59</v>
      </c>
    </row>
    <row r="2555" customFormat="false" ht="12.8" hidden="false" customHeight="false" outlineLevel="0" collapsed="false">
      <c r="A2555" s="0" t="s">
        <v>12</v>
      </c>
      <c r="B2555" s="0" t="n">
        <v>792754</v>
      </c>
      <c r="C2555" s="0" t="n">
        <v>792774</v>
      </c>
      <c r="D2555" s="0" t="s">
        <v>8526</v>
      </c>
      <c r="E2555" s="0" t="s">
        <v>75</v>
      </c>
      <c r="F2555" s="0" t="s">
        <v>15</v>
      </c>
      <c r="G2555" s="0" t="s">
        <v>20</v>
      </c>
      <c r="H2555" s="0" t="n">
        <v>90</v>
      </c>
      <c r="I2555" s="0" t="s">
        <v>8536</v>
      </c>
      <c r="J2555" s="0" t="s">
        <v>8537</v>
      </c>
      <c r="K2555" s="0" t="s">
        <v>8538</v>
      </c>
      <c r="L2555" s="0" t="str">
        <f aca="false">HYPERLINK("https://www.ncbi.nlm.nih.gov/nuccore/CP000058.1?report=graph&amp;tracks=[key:gene_model_track,Options:GeneOnly]&amp;mk=792672:792691|offset_7|444444,792703:792722|offset_38|444444,792724:792743|offset_59|444444,792755:792774|offset_90|00cc00&amp;v=792471:792974&amp;c=444444", "offset 90")</f>
        <v>offset 90</v>
      </c>
    </row>
    <row r="2556" customFormat="false" ht="12.8" hidden="false" customHeight="false" outlineLevel="0" collapsed="false">
      <c r="A2556" s="0" t="s">
        <v>12</v>
      </c>
      <c r="B2556" s="0" t="n">
        <v>793538</v>
      </c>
      <c r="C2556" s="0" t="n">
        <v>793558</v>
      </c>
      <c r="D2556" s="0" t="s">
        <v>8539</v>
      </c>
      <c r="E2556" s="0" t="s">
        <v>8540</v>
      </c>
      <c r="F2556" s="0" t="s">
        <v>15</v>
      </c>
      <c r="G2556" s="0" t="s">
        <v>32</v>
      </c>
      <c r="H2556" s="0" t="n">
        <v>23</v>
      </c>
      <c r="I2556" s="0" t="s">
        <v>8541</v>
      </c>
      <c r="J2556" s="0" t="s">
        <v>8542</v>
      </c>
      <c r="K2556" s="0" t="s">
        <v>8543</v>
      </c>
      <c r="L2556" s="0" t="str">
        <f aca="false">HYPERLINK("https://www.ncbi.nlm.nih.gov/nuccore/CP000058.1?report=graph&amp;tracks=[key:gene_model_track,Options:GeneOnly]&amp;mk=793539:793558|offset_23|00cc00,793565:793584|offset_49|444444,793604:793623|offset_88|444444,793662:793681|offset_146|444444&amp;v=793338:793881&amp;c=444444", "offset 23")</f>
        <v>offset 23</v>
      </c>
    </row>
    <row r="2557" customFormat="false" ht="12.8" hidden="false" customHeight="false" outlineLevel="0" collapsed="false">
      <c r="A2557" s="0" t="s">
        <v>12</v>
      </c>
      <c r="B2557" s="0" t="n">
        <v>793564</v>
      </c>
      <c r="C2557" s="0" t="n">
        <v>793584</v>
      </c>
      <c r="D2557" s="0" t="s">
        <v>8539</v>
      </c>
      <c r="E2557" s="0" t="s">
        <v>8540</v>
      </c>
      <c r="F2557" s="0" t="s">
        <v>15</v>
      </c>
      <c r="G2557" s="0" t="s">
        <v>20</v>
      </c>
      <c r="H2557" s="0" t="n">
        <v>49</v>
      </c>
      <c r="I2557" s="0" t="s">
        <v>8544</v>
      </c>
      <c r="J2557" s="0" t="s">
        <v>8545</v>
      </c>
      <c r="K2557" s="0" t="s">
        <v>8546</v>
      </c>
      <c r="L2557" s="0" t="str">
        <f aca="false">HYPERLINK("https://www.ncbi.nlm.nih.gov/nuccore/CP000058.1?report=graph&amp;tracks=[key:gene_model_track,Options:GeneOnly]&amp;mk=793539:793558|offset_23|444444,793565:793584|offset_49|00cc00,793604:793623|offset_88|444444,793662:793681|offset_146|444444&amp;v=793338:793881&amp;c=444444", "offset 49")</f>
        <v>offset 49</v>
      </c>
    </row>
    <row r="2558" customFormat="false" ht="12.8" hidden="false" customHeight="false" outlineLevel="0" collapsed="false">
      <c r="A2558" s="0" t="s">
        <v>12</v>
      </c>
      <c r="B2558" s="0" t="n">
        <v>793603</v>
      </c>
      <c r="C2558" s="0" t="n">
        <v>793623</v>
      </c>
      <c r="D2558" s="0" t="s">
        <v>8539</v>
      </c>
      <c r="E2558" s="0" t="s">
        <v>8540</v>
      </c>
      <c r="F2558" s="0" t="s">
        <v>15</v>
      </c>
      <c r="G2558" s="0" t="s">
        <v>36</v>
      </c>
      <c r="H2558" s="0" t="n">
        <v>88</v>
      </c>
      <c r="I2558" s="0" t="s">
        <v>8547</v>
      </c>
      <c r="J2558" s="0" t="s">
        <v>8548</v>
      </c>
      <c r="K2558" s="0" t="s">
        <v>8549</v>
      </c>
      <c r="L2558" s="0" t="str">
        <f aca="false">HYPERLINK("https://www.ncbi.nlm.nih.gov/nuccore/CP000058.1?report=graph&amp;tracks=[key:gene_model_track,Options:GeneOnly]&amp;mk=793539:793558|offset_23|444444,793565:793584|offset_49|444444,793604:793623|offset_88|00cc00,793662:793681|offset_146|444444&amp;v=793338:793881&amp;c=444444", "offset 88")</f>
        <v>offset 88</v>
      </c>
    </row>
    <row r="2559" customFormat="false" ht="12.8" hidden="false" customHeight="false" outlineLevel="0" collapsed="false">
      <c r="A2559" s="0" t="s">
        <v>12</v>
      </c>
      <c r="B2559" s="0" t="n">
        <v>793661</v>
      </c>
      <c r="C2559" s="0" t="n">
        <v>793681</v>
      </c>
      <c r="D2559" s="0" t="s">
        <v>8539</v>
      </c>
      <c r="E2559" s="0" t="s">
        <v>8540</v>
      </c>
      <c r="F2559" s="0" t="s">
        <v>15</v>
      </c>
      <c r="G2559" s="0" t="s">
        <v>20</v>
      </c>
      <c r="H2559" s="0" t="n">
        <v>146</v>
      </c>
      <c r="I2559" s="0" t="s">
        <v>8550</v>
      </c>
      <c r="J2559" s="0" t="s">
        <v>8551</v>
      </c>
      <c r="K2559" s="0" t="s">
        <v>8552</v>
      </c>
      <c r="L2559" s="0" t="str">
        <f aca="false">HYPERLINK("https://www.ncbi.nlm.nih.gov/nuccore/CP000058.1?report=graph&amp;tracks=[key:gene_model_track,Options:GeneOnly]&amp;mk=793539:793558|offset_23|444444,793565:793584|offset_49|444444,793604:793623|offset_88|444444,793662:793681|offset_146|00cc00&amp;v=793338:793881&amp;c=444444", "offset 146")</f>
        <v>offset 146</v>
      </c>
    </row>
    <row r="2560" customFormat="false" ht="12.8" hidden="false" customHeight="false" outlineLevel="0" collapsed="false">
      <c r="A2560" s="0" t="s">
        <v>12</v>
      </c>
      <c r="B2560" s="0" t="n">
        <v>795014</v>
      </c>
      <c r="C2560" s="0" t="n">
        <v>795034</v>
      </c>
      <c r="D2560" s="0" t="s">
        <v>8553</v>
      </c>
      <c r="E2560" s="0" t="s">
        <v>75</v>
      </c>
      <c r="F2560" s="0" t="s">
        <v>90</v>
      </c>
      <c r="G2560" s="0" t="s">
        <v>36</v>
      </c>
      <c r="H2560" s="0" t="n">
        <v>0</v>
      </c>
      <c r="I2560" s="0" t="s">
        <v>8554</v>
      </c>
      <c r="J2560" s="0" t="s">
        <v>8555</v>
      </c>
      <c r="K2560" s="0" t="s">
        <v>8556</v>
      </c>
      <c r="L2560" s="0" t="str">
        <f aca="false">HYPERLINK("https://www.ncbi.nlm.nih.gov/nuccore/CP000058.1?report=graph&amp;tracks=[key:gene_model_track,Options:GeneOnly]&amp;mk=795015:795034|offset_0|00cc00,794990:795009|offset_25|444444,794963:794982|offset_52|444444,794937:794956|offset_78|444444&amp;v=794814:795156&amp;c=444444", "offset 0")</f>
        <v>offset 0</v>
      </c>
    </row>
    <row r="2561" customFormat="false" ht="12.8" hidden="false" customHeight="false" outlineLevel="0" collapsed="false">
      <c r="A2561" s="0" t="s">
        <v>12</v>
      </c>
      <c r="B2561" s="0" t="n">
        <v>794989</v>
      </c>
      <c r="C2561" s="0" t="n">
        <v>795009</v>
      </c>
      <c r="D2561" s="0" t="s">
        <v>8553</v>
      </c>
      <c r="E2561" s="0" t="s">
        <v>75</v>
      </c>
      <c r="F2561" s="0" t="s">
        <v>90</v>
      </c>
      <c r="G2561" s="0" t="s">
        <v>36</v>
      </c>
      <c r="H2561" s="0" t="n">
        <v>25</v>
      </c>
      <c r="I2561" s="0" t="s">
        <v>8557</v>
      </c>
      <c r="J2561" s="0" t="s">
        <v>8558</v>
      </c>
      <c r="K2561" s="0" t="s">
        <v>8559</v>
      </c>
      <c r="L2561" s="0" t="str">
        <f aca="false">HYPERLINK("https://www.ncbi.nlm.nih.gov/nuccore/CP000058.1?report=graph&amp;tracks=[key:gene_model_track,Options:GeneOnly]&amp;mk=795015:795034|offset_0|444444,794990:795009|offset_25|00cc00,794963:794982|offset_52|444444,794937:794956|offset_78|444444&amp;v=794814:795156&amp;c=444444", "offset 25")</f>
        <v>offset 25</v>
      </c>
    </row>
    <row r="2562" customFormat="false" ht="12.8" hidden="false" customHeight="false" outlineLevel="0" collapsed="false">
      <c r="A2562" s="0" t="s">
        <v>12</v>
      </c>
      <c r="B2562" s="0" t="n">
        <v>794962</v>
      </c>
      <c r="C2562" s="0" t="n">
        <v>794982</v>
      </c>
      <c r="D2562" s="0" t="s">
        <v>8553</v>
      </c>
      <c r="E2562" s="0" t="s">
        <v>75</v>
      </c>
      <c r="F2562" s="0" t="s">
        <v>90</v>
      </c>
      <c r="G2562" s="0" t="s">
        <v>16</v>
      </c>
      <c r="H2562" s="0" t="n">
        <v>52</v>
      </c>
      <c r="I2562" s="0" t="s">
        <v>8560</v>
      </c>
      <c r="J2562" s="0" t="s">
        <v>8561</v>
      </c>
      <c r="K2562" s="0" t="s">
        <v>8562</v>
      </c>
      <c r="L2562" s="0" t="str">
        <f aca="false">HYPERLINK("https://www.ncbi.nlm.nih.gov/nuccore/CP000058.1?report=graph&amp;tracks=[key:gene_model_track,Options:GeneOnly]&amp;mk=795015:795034|offset_0|444444,794990:795009|offset_25|444444,794963:794982|offset_52|00cc00,794937:794956|offset_78|444444&amp;v=794814:795156&amp;c=444444", "offset 52")</f>
        <v>offset 52</v>
      </c>
    </row>
    <row r="2563" customFormat="false" ht="12.8" hidden="false" customHeight="false" outlineLevel="0" collapsed="false">
      <c r="A2563" s="0" t="s">
        <v>12</v>
      </c>
      <c r="B2563" s="0" t="n">
        <v>794936</v>
      </c>
      <c r="C2563" s="0" t="n">
        <v>794956</v>
      </c>
      <c r="D2563" s="0" t="s">
        <v>8553</v>
      </c>
      <c r="E2563" s="0" t="s">
        <v>75</v>
      </c>
      <c r="F2563" s="0" t="s">
        <v>90</v>
      </c>
      <c r="G2563" s="0" t="s">
        <v>32</v>
      </c>
      <c r="H2563" s="0" t="n">
        <v>78</v>
      </c>
      <c r="I2563" s="0" t="s">
        <v>8563</v>
      </c>
      <c r="J2563" s="0" t="s">
        <v>8564</v>
      </c>
      <c r="K2563" s="0" t="s">
        <v>8565</v>
      </c>
      <c r="L2563" s="0" t="str">
        <f aca="false">HYPERLINK("https://www.ncbi.nlm.nih.gov/nuccore/CP000058.1?report=graph&amp;tracks=[key:gene_model_track,Options:GeneOnly]&amp;mk=795015:795034|offset_0|444444,794990:795009|offset_25|444444,794963:794982|offset_52|444444,794937:794956|offset_78|00cc00&amp;v=794814:795156&amp;c=444444", "offset 78")</f>
        <v>offset 78</v>
      </c>
    </row>
    <row r="2564" customFormat="false" ht="12.8" hidden="false" customHeight="false" outlineLevel="0" collapsed="false">
      <c r="A2564" s="0" t="s">
        <v>12</v>
      </c>
      <c r="B2564" s="0" t="n">
        <v>795456</v>
      </c>
      <c r="C2564" s="0" t="n">
        <v>795476</v>
      </c>
      <c r="D2564" s="0" t="s">
        <v>8566</v>
      </c>
      <c r="E2564" s="0" t="s">
        <v>75</v>
      </c>
      <c r="F2564" s="0" t="s">
        <v>90</v>
      </c>
      <c r="G2564" s="0" t="s">
        <v>32</v>
      </c>
      <c r="H2564" s="0" t="n">
        <v>19</v>
      </c>
      <c r="I2564" s="0" t="s">
        <v>8567</v>
      </c>
      <c r="J2564" s="0" t="s">
        <v>8568</v>
      </c>
      <c r="K2564" s="0" t="s">
        <v>8569</v>
      </c>
      <c r="L2564" s="0" t="str">
        <f aca="false">HYPERLINK("https://www.ncbi.nlm.nih.gov/nuccore/CP000058.1?report=graph&amp;tracks=[key:gene_model_track,Options:GeneOnly]&amp;mk=795457:795476|offset_19|00cc00,795434:795453|offset_42|444444,795408:795427|offset_68|444444,795382:795401|offset_94|444444&amp;v=795256:795601&amp;c=444444", "offset 19")</f>
        <v>offset 19</v>
      </c>
    </row>
    <row r="2565" customFormat="false" ht="12.8" hidden="false" customHeight="false" outlineLevel="0" collapsed="false">
      <c r="A2565" s="0" t="s">
        <v>12</v>
      </c>
      <c r="B2565" s="0" t="n">
        <v>795433</v>
      </c>
      <c r="C2565" s="0" t="n">
        <v>795453</v>
      </c>
      <c r="D2565" s="0" t="s">
        <v>8566</v>
      </c>
      <c r="E2565" s="0" t="s">
        <v>75</v>
      </c>
      <c r="F2565" s="0" t="s">
        <v>90</v>
      </c>
      <c r="G2565" s="0" t="s">
        <v>16</v>
      </c>
      <c r="H2565" s="0" t="n">
        <v>42</v>
      </c>
      <c r="I2565" s="0" t="s">
        <v>8570</v>
      </c>
      <c r="J2565" s="0" t="s">
        <v>8571</v>
      </c>
      <c r="K2565" s="0" t="s">
        <v>8572</v>
      </c>
      <c r="L2565" s="0" t="str">
        <f aca="false">HYPERLINK("https://www.ncbi.nlm.nih.gov/nuccore/CP000058.1?report=graph&amp;tracks=[key:gene_model_track,Options:GeneOnly]&amp;mk=795457:795476|offset_19|444444,795434:795453|offset_42|00cc00,795408:795427|offset_68|444444,795382:795401|offset_94|444444&amp;v=795256:795601&amp;c=444444", "offset 42")</f>
        <v>offset 42</v>
      </c>
    </row>
    <row r="2566" customFormat="false" ht="12.8" hidden="false" customHeight="false" outlineLevel="0" collapsed="false">
      <c r="A2566" s="0" t="s">
        <v>12</v>
      </c>
      <c r="B2566" s="0" t="n">
        <v>795407</v>
      </c>
      <c r="C2566" s="0" t="n">
        <v>795427</v>
      </c>
      <c r="D2566" s="0" t="s">
        <v>8566</v>
      </c>
      <c r="E2566" s="0" t="s">
        <v>75</v>
      </c>
      <c r="F2566" s="0" t="s">
        <v>90</v>
      </c>
      <c r="G2566" s="0" t="s">
        <v>32</v>
      </c>
      <c r="H2566" s="0" t="n">
        <v>68</v>
      </c>
      <c r="I2566" s="0" t="s">
        <v>8573</v>
      </c>
      <c r="J2566" s="0" t="s">
        <v>8574</v>
      </c>
      <c r="K2566" s="0" t="s">
        <v>8575</v>
      </c>
      <c r="L2566" s="0" t="str">
        <f aca="false">HYPERLINK("https://www.ncbi.nlm.nih.gov/nuccore/CP000058.1?report=graph&amp;tracks=[key:gene_model_track,Options:GeneOnly]&amp;mk=795457:795476|offset_19|444444,795434:795453|offset_42|444444,795408:795427|offset_68|00cc00,795382:795401|offset_94|444444&amp;v=795256:795601&amp;c=444444", "offset 68")</f>
        <v>offset 68</v>
      </c>
    </row>
    <row r="2567" customFormat="false" ht="12.8" hidden="false" customHeight="false" outlineLevel="0" collapsed="false">
      <c r="A2567" s="0" t="s">
        <v>12</v>
      </c>
      <c r="B2567" s="0" t="n">
        <v>795381</v>
      </c>
      <c r="C2567" s="0" t="n">
        <v>795401</v>
      </c>
      <c r="D2567" s="0" t="s">
        <v>8566</v>
      </c>
      <c r="E2567" s="0" t="s">
        <v>75</v>
      </c>
      <c r="F2567" s="0" t="s">
        <v>90</v>
      </c>
      <c r="G2567" s="0" t="s">
        <v>36</v>
      </c>
      <c r="H2567" s="0" t="n">
        <v>94</v>
      </c>
      <c r="I2567" s="0" t="s">
        <v>8576</v>
      </c>
      <c r="J2567" s="0" t="s">
        <v>8577</v>
      </c>
      <c r="K2567" s="0" t="s">
        <v>8578</v>
      </c>
      <c r="L2567" s="0" t="str">
        <f aca="false">HYPERLINK("https://www.ncbi.nlm.nih.gov/nuccore/CP000058.1?report=graph&amp;tracks=[key:gene_model_track,Options:GeneOnly]&amp;mk=795457:795476|offset_19|444444,795434:795453|offset_42|444444,795408:795427|offset_68|444444,795382:795401|offset_94|00cc00&amp;v=795256:795601&amp;c=444444", "offset 94")</f>
        <v>offset 94</v>
      </c>
    </row>
    <row r="2568" customFormat="false" ht="12.8" hidden="false" customHeight="false" outlineLevel="0" collapsed="false">
      <c r="A2568" s="0" t="s">
        <v>12</v>
      </c>
      <c r="B2568" s="0" t="n">
        <v>796348</v>
      </c>
      <c r="C2568" s="0" t="n">
        <v>796368</v>
      </c>
      <c r="D2568" s="0" t="s">
        <v>8579</v>
      </c>
      <c r="E2568" s="0" t="s">
        <v>75</v>
      </c>
      <c r="F2568" s="0" t="s">
        <v>90</v>
      </c>
      <c r="G2568" s="0" t="s">
        <v>36</v>
      </c>
      <c r="H2568" s="0" t="n">
        <v>7</v>
      </c>
      <c r="I2568" s="0" t="s">
        <v>8580</v>
      </c>
      <c r="J2568" s="0" t="s">
        <v>8581</v>
      </c>
      <c r="K2568" s="0" t="s">
        <v>8582</v>
      </c>
      <c r="L2568" s="0" t="str">
        <f aca="false">HYPERLINK("https://www.ncbi.nlm.nih.gov/nuccore/CP000058.1?report=graph&amp;tracks=[key:gene_model_track,Options:GeneOnly]&amp;mk=796349:796368|offset_7|00cc00,796322:796341|offset_34|444444,796298:796317|offset_58|444444,796270:796289|offset_86|444444&amp;v=796148:796489&amp;c=444444", "offset 7")</f>
        <v>offset 7</v>
      </c>
    </row>
    <row r="2569" customFormat="false" ht="12.8" hidden="false" customHeight="false" outlineLevel="0" collapsed="false">
      <c r="A2569" s="0" t="s">
        <v>12</v>
      </c>
      <c r="B2569" s="0" t="n">
        <v>796321</v>
      </c>
      <c r="C2569" s="0" t="n">
        <v>796341</v>
      </c>
      <c r="D2569" s="0" t="s">
        <v>8579</v>
      </c>
      <c r="E2569" s="0" t="s">
        <v>75</v>
      </c>
      <c r="F2569" s="0" t="s">
        <v>90</v>
      </c>
      <c r="G2569" s="0" t="s">
        <v>32</v>
      </c>
      <c r="H2569" s="0" t="n">
        <v>34</v>
      </c>
      <c r="I2569" s="0" t="s">
        <v>8583</v>
      </c>
      <c r="J2569" s="0" t="s">
        <v>8584</v>
      </c>
      <c r="K2569" s="0" t="s">
        <v>8585</v>
      </c>
      <c r="L2569" s="0" t="str">
        <f aca="false">HYPERLINK("https://www.ncbi.nlm.nih.gov/nuccore/CP000058.1?report=graph&amp;tracks=[key:gene_model_track,Options:GeneOnly]&amp;mk=796349:796368|offset_7|444444,796322:796341|offset_34|00cc00,796298:796317|offset_58|444444,796270:796289|offset_86|444444&amp;v=796148:796489&amp;c=444444", "offset 34")</f>
        <v>offset 34</v>
      </c>
    </row>
    <row r="2570" customFormat="false" ht="12.8" hidden="false" customHeight="false" outlineLevel="0" collapsed="false">
      <c r="A2570" s="0" t="s">
        <v>12</v>
      </c>
      <c r="B2570" s="0" t="n">
        <v>796297</v>
      </c>
      <c r="C2570" s="0" t="n">
        <v>796317</v>
      </c>
      <c r="D2570" s="0" t="s">
        <v>8579</v>
      </c>
      <c r="E2570" s="0" t="s">
        <v>75</v>
      </c>
      <c r="F2570" s="0" t="s">
        <v>90</v>
      </c>
      <c r="G2570" s="0" t="s">
        <v>16</v>
      </c>
      <c r="H2570" s="0" t="n">
        <v>58</v>
      </c>
      <c r="I2570" s="0" t="s">
        <v>8586</v>
      </c>
      <c r="J2570" s="0" t="s">
        <v>8587</v>
      </c>
      <c r="K2570" s="0" t="s">
        <v>8588</v>
      </c>
      <c r="L2570" s="0" t="str">
        <f aca="false">HYPERLINK("https://www.ncbi.nlm.nih.gov/nuccore/CP000058.1?report=graph&amp;tracks=[key:gene_model_track,Options:GeneOnly]&amp;mk=796349:796368|offset_7|444444,796322:796341|offset_34|444444,796298:796317|offset_58|00cc00,796270:796289|offset_86|444444&amp;v=796148:796489&amp;c=444444", "offset 58")</f>
        <v>offset 58</v>
      </c>
    </row>
    <row r="2571" customFormat="false" ht="12.8" hidden="false" customHeight="false" outlineLevel="0" collapsed="false">
      <c r="A2571" s="0" t="s">
        <v>12</v>
      </c>
      <c r="B2571" s="0" t="n">
        <v>796269</v>
      </c>
      <c r="C2571" s="0" t="n">
        <v>796289</v>
      </c>
      <c r="D2571" s="0" t="s">
        <v>8579</v>
      </c>
      <c r="E2571" s="0" t="s">
        <v>75</v>
      </c>
      <c r="F2571" s="0" t="s">
        <v>90</v>
      </c>
      <c r="G2571" s="0" t="s">
        <v>20</v>
      </c>
      <c r="H2571" s="0" t="n">
        <v>86</v>
      </c>
      <c r="I2571" s="0" t="s">
        <v>8589</v>
      </c>
      <c r="J2571" s="0" t="s">
        <v>8590</v>
      </c>
      <c r="K2571" s="0" t="s">
        <v>8591</v>
      </c>
      <c r="L2571" s="0" t="str">
        <f aca="false">HYPERLINK("https://www.ncbi.nlm.nih.gov/nuccore/CP000058.1?report=graph&amp;tracks=[key:gene_model_track,Options:GeneOnly]&amp;mk=796349:796368|offset_7|444444,796322:796341|offset_34|444444,796298:796317|offset_58|444444,796270:796289|offset_86|00cc00&amp;v=796148:796489&amp;c=444444", "offset 86")</f>
        <v>offset 86</v>
      </c>
    </row>
    <row r="2572" customFormat="false" ht="12.8" hidden="false" customHeight="false" outlineLevel="0" collapsed="false">
      <c r="A2572" s="0" t="s">
        <v>12</v>
      </c>
      <c r="B2572" s="0" t="n">
        <v>797320</v>
      </c>
      <c r="C2572" s="0" t="n">
        <v>797340</v>
      </c>
      <c r="D2572" s="0" t="s">
        <v>8592</v>
      </c>
      <c r="E2572" s="0" t="s">
        <v>75</v>
      </c>
      <c r="F2572" s="0" t="s">
        <v>90</v>
      </c>
      <c r="G2572" s="0" t="s">
        <v>16</v>
      </c>
      <c r="H2572" s="0" t="n">
        <v>7</v>
      </c>
      <c r="I2572" s="0" t="s">
        <v>8593</v>
      </c>
      <c r="J2572" s="0" t="s">
        <v>8594</v>
      </c>
      <c r="K2572" s="0" t="s">
        <v>8595</v>
      </c>
      <c r="L2572" s="0" t="str">
        <f aca="false">HYPERLINK("https://www.ncbi.nlm.nih.gov/nuccore/CP000058.1?report=graph&amp;tracks=[key:gene_model_track,Options:GeneOnly]&amp;mk=797321:797340|offset_7|00cc00,797261:797280|offset_67|444444,797194:797213|offset_134|444444,797165:797184|offset_163|444444&amp;v=797120:797384&amp;c=444444", "offset 7")</f>
        <v>offset 7</v>
      </c>
    </row>
    <row r="2573" customFormat="false" ht="12.8" hidden="false" customHeight="false" outlineLevel="0" collapsed="false">
      <c r="A2573" s="0" t="s">
        <v>12</v>
      </c>
      <c r="B2573" s="0" t="n">
        <v>797260</v>
      </c>
      <c r="C2573" s="0" t="n">
        <v>797280</v>
      </c>
      <c r="D2573" s="0" t="s">
        <v>8592</v>
      </c>
      <c r="E2573" s="0" t="s">
        <v>75</v>
      </c>
      <c r="F2573" s="0" t="s">
        <v>90</v>
      </c>
      <c r="G2573" s="0" t="s">
        <v>16</v>
      </c>
      <c r="H2573" s="0" t="n">
        <v>67</v>
      </c>
      <c r="I2573" s="0" t="s">
        <v>8596</v>
      </c>
      <c r="J2573" s="0" t="s">
        <v>8597</v>
      </c>
      <c r="K2573" s="0" t="s">
        <v>8598</v>
      </c>
      <c r="L2573" s="0" t="str">
        <f aca="false">HYPERLINK("https://www.ncbi.nlm.nih.gov/nuccore/CP000058.1?report=graph&amp;tracks=[key:gene_model_track,Options:GeneOnly]&amp;mk=797321:797340|offset_7|444444,797261:797280|offset_67|00cc00,797194:797213|offset_134|444444,797165:797184|offset_163|444444&amp;v=797120:797384&amp;c=444444", "offset 67")</f>
        <v>offset 67</v>
      </c>
    </row>
    <row r="2574" customFormat="false" ht="12.8" hidden="false" customHeight="false" outlineLevel="0" collapsed="false">
      <c r="A2574" s="0" t="s">
        <v>12</v>
      </c>
      <c r="B2574" s="0" t="n">
        <v>797193</v>
      </c>
      <c r="C2574" s="0" t="n">
        <v>797213</v>
      </c>
      <c r="D2574" s="0" t="s">
        <v>8592</v>
      </c>
      <c r="E2574" s="0" t="s">
        <v>75</v>
      </c>
      <c r="F2574" s="0" t="s">
        <v>90</v>
      </c>
      <c r="G2574" s="0" t="s">
        <v>32</v>
      </c>
      <c r="H2574" s="0" t="n">
        <v>134</v>
      </c>
      <c r="I2574" s="0" t="s">
        <v>8599</v>
      </c>
      <c r="J2574" s="0" t="s">
        <v>8600</v>
      </c>
      <c r="K2574" s="0" t="s">
        <v>8601</v>
      </c>
      <c r="L2574" s="0" t="str">
        <f aca="false">HYPERLINK("https://www.ncbi.nlm.nih.gov/nuccore/CP000058.1?report=graph&amp;tracks=[key:gene_model_track,Options:GeneOnly]&amp;mk=797321:797340|offset_7|444444,797261:797280|offset_67|444444,797194:797213|offset_134|00cc00,797165:797184|offset_163|444444&amp;v=797120:797384&amp;c=444444", "offset 134")</f>
        <v>offset 134</v>
      </c>
    </row>
    <row r="2575" customFormat="false" ht="12.8" hidden="false" customHeight="false" outlineLevel="0" collapsed="false">
      <c r="A2575" s="0" t="s">
        <v>12</v>
      </c>
      <c r="B2575" s="0" t="n">
        <v>797164</v>
      </c>
      <c r="C2575" s="0" t="n">
        <v>797184</v>
      </c>
      <c r="D2575" s="0" t="s">
        <v>8592</v>
      </c>
      <c r="E2575" s="0" t="s">
        <v>75</v>
      </c>
      <c r="F2575" s="0" t="s">
        <v>90</v>
      </c>
      <c r="G2575" s="0" t="s">
        <v>36</v>
      </c>
      <c r="H2575" s="0" t="n">
        <v>163</v>
      </c>
      <c r="I2575" s="0" t="s">
        <v>8602</v>
      </c>
      <c r="J2575" s="0" t="s">
        <v>8603</v>
      </c>
      <c r="K2575" s="0" t="s">
        <v>8604</v>
      </c>
      <c r="L2575" s="0" t="str">
        <f aca="false">HYPERLINK("https://www.ncbi.nlm.nih.gov/nuccore/CP000058.1?report=graph&amp;tracks=[key:gene_model_track,Options:GeneOnly]&amp;mk=797321:797340|offset_7|444444,797261:797280|offset_67|444444,797194:797213|offset_134|444444,797165:797184|offset_163|00cc00&amp;v=797120:797384&amp;c=444444", "offset 163")</f>
        <v>offset 163</v>
      </c>
    </row>
    <row r="2576" customFormat="false" ht="12.8" hidden="false" customHeight="false" outlineLevel="0" collapsed="false">
      <c r="A2576" s="0" t="s">
        <v>12</v>
      </c>
      <c r="B2576" s="0" t="n">
        <v>797803</v>
      </c>
      <c r="C2576" s="0" t="n">
        <v>797823</v>
      </c>
      <c r="D2576" s="0" t="s">
        <v>8605</v>
      </c>
      <c r="E2576" s="0" t="s">
        <v>75</v>
      </c>
      <c r="F2576" s="0" t="s">
        <v>90</v>
      </c>
      <c r="G2576" s="0" t="s">
        <v>36</v>
      </c>
      <c r="H2576" s="0" t="n">
        <v>61</v>
      </c>
      <c r="I2576" s="0" t="s">
        <v>8606</v>
      </c>
      <c r="J2576" s="0" t="s">
        <v>8607</v>
      </c>
      <c r="K2576" s="0" t="s">
        <v>8608</v>
      </c>
      <c r="L2576" s="0" t="str">
        <f aca="false">HYPERLINK("https://www.ncbi.nlm.nih.gov/nuccore/CP000058.1?report=graph&amp;tracks=[key:gene_model_track,Options:GeneOnly]&amp;mk=797804:797823|offset_61|00cc00,797746:797765|offset_119|444444,797710:797729|offset_155|444444,797590:797609|offset_275|444444&amp;v=797603:797809&amp;c=444444", "offset 61")</f>
        <v>offset 61</v>
      </c>
    </row>
    <row r="2577" customFormat="false" ht="12.8" hidden="false" customHeight="false" outlineLevel="0" collapsed="false">
      <c r="A2577" s="0" t="s">
        <v>12</v>
      </c>
      <c r="B2577" s="0" t="n">
        <v>797745</v>
      </c>
      <c r="C2577" s="0" t="n">
        <v>797765</v>
      </c>
      <c r="D2577" s="0" t="s">
        <v>8605</v>
      </c>
      <c r="E2577" s="0" t="s">
        <v>75</v>
      </c>
      <c r="F2577" s="0" t="s">
        <v>90</v>
      </c>
      <c r="G2577" s="0" t="s">
        <v>16</v>
      </c>
      <c r="H2577" s="0" t="n">
        <v>119</v>
      </c>
      <c r="I2577" s="0" t="s">
        <v>8609</v>
      </c>
      <c r="J2577" s="0" t="s">
        <v>8610</v>
      </c>
      <c r="K2577" s="0" t="s">
        <v>8611</v>
      </c>
      <c r="L2577" s="0" t="str">
        <f aca="false">HYPERLINK("https://www.ncbi.nlm.nih.gov/nuccore/CP000058.1?report=graph&amp;tracks=[key:gene_model_track,Options:GeneOnly]&amp;mk=797804:797823|offset_61|444444,797746:797765|offset_119|00cc00,797710:797729|offset_155|444444,797590:797609|offset_275|444444&amp;v=797603:797809&amp;c=444444", "offset 119")</f>
        <v>offset 119</v>
      </c>
    </row>
    <row r="2578" customFormat="false" ht="12.8" hidden="false" customHeight="false" outlineLevel="0" collapsed="false">
      <c r="A2578" s="0" t="s">
        <v>12</v>
      </c>
      <c r="B2578" s="0" t="n">
        <v>797709</v>
      </c>
      <c r="C2578" s="0" t="n">
        <v>797729</v>
      </c>
      <c r="D2578" s="0" t="s">
        <v>8605</v>
      </c>
      <c r="E2578" s="0" t="s">
        <v>75</v>
      </c>
      <c r="F2578" s="0" t="s">
        <v>90</v>
      </c>
      <c r="G2578" s="0" t="s">
        <v>16</v>
      </c>
      <c r="H2578" s="0" t="n">
        <v>155</v>
      </c>
      <c r="I2578" s="0" t="s">
        <v>8612</v>
      </c>
      <c r="J2578" s="0" t="s">
        <v>8613</v>
      </c>
      <c r="K2578" s="0" t="s">
        <v>8614</v>
      </c>
      <c r="L2578" s="0" t="str">
        <f aca="false">HYPERLINK("https://www.ncbi.nlm.nih.gov/nuccore/CP000058.1?report=graph&amp;tracks=[key:gene_model_track,Options:GeneOnly]&amp;mk=797804:797823|offset_61|444444,797746:797765|offset_119|444444,797710:797729|offset_155|00cc00,797590:797609|offset_275|444444&amp;v=797603:797809&amp;c=444444", "offset 155")</f>
        <v>offset 155</v>
      </c>
    </row>
    <row r="2579" customFormat="false" ht="12.8" hidden="false" customHeight="false" outlineLevel="0" collapsed="false">
      <c r="A2579" s="0" t="s">
        <v>12</v>
      </c>
      <c r="B2579" s="0" t="n">
        <v>797589</v>
      </c>
      <c r="C2579" s="0" t="n">
        <v>797609</v>
      </c>
      <c r="D2579" s="0" t="s">
        <v>8605</v>
      </c>
      <c r="E2579" s="0" t="s">
        <v>75</v>
      </c>
      <c r="F2579" s="0" t="s">
        <v>90</v>
      </c>
      <c r="G2579" s="0" t="s">
        <v>20</v>
      </c>
      <c r="H2579" s="0" t="n">
        <v>275</v>
      </c>
      <c r="I2579" s="0" t="s">
        <v>8615</v>
      </c>
      <c r="J2579" s="0" t="s">
        <v>8616</v>
      </c>
      <c r="K2579" s="0" t="s">
        <v>8617</v>
      </c>
      <c r="L2579" s="0" t="str">
        <f aca="false">HYPERLINK("https://www.ncbi.nlm.nih.gov/nuccore/CP000058.1?report=graph&amp;tracks=[key:gene_model_track,Options:GeneOnly]&amp;mk=797804:797823|offset_61|444444,797746:797765|offset_119|444444,797710:797729|offset_155|444444,797590:797609|offset_275|00cc00&amp;v=797603:797809&amp;c=444444", "offset 275")</f>
        <v>offset 275</v>
      </c>
    </row>
    <row r="2580" customFormat="false" ht="12.8" hidden="false" customHeight="false" outlineLevel="0" collapsed="false">
      <c r="A2580" s="0" t="s">
        <v>12</v>
      </c>
      <c r="B2580" s="0" t="n">
        <v>798057</v>
      </c>
      <c r="C2580" s="0" t="n">
        <v>798077</v>
      </c>
      <c r="D2580" s="0" t="s">
        <v>8618</v>
      </c>
      <c r="E2580" s="0" t="s">
        <v>8619</v>
      </c>
      <c r="F2580" s="0" t="s">
        <v>15</v>
      </c>
      <c r="G2580" s="0" t="s">
        <v>16</v>
      </c>
      <c r="H2580" s="0" t="n">
        <v>40</v>
      </c>
      <c r="I2580" s="0" t="s">
        <v>8620</v>
      </c>
      <c r="J2580" s="0" t="s">
        <v>8621</v>
      </c>
      <c r="K2580" s="0" t="s">
        <v>8622</v>
      </c>
      <c r="L2580" s="0" t="str">
        <f aca="false">HYPERLINK("https://www.ncbi.nlm.nih.gov/nuccore/CP000058.1?report=graph&amp;tracks=[key:gene_model_track,Options:GeneOnly]&amp;mk=798058:798077|offset_40|00cc00,798093:798112|offset_75|444444,798118:798137|offset_100|444444,798141:798160|offset_123|444444&amp;v=797857:798360&amp;c=444444", "offset 40")</f>
        <v>offset 40</v>
      </c>
    </row>
    <row r="2581" customFormat="false" ht="12.8" hidden="false" customHeight="false" outlineLevel="0" collapsed="false">
      <c r="A2581" s="0" t="s">
        <v>12</v>
      </c>
      <c r="B2581" s="0" t="n">
        <v>798092</v>
      </c>
      <c r="C2581" s="0" t="n">
        <v>798112</v>
      </c>
      <c r="D2581" s="0" t="s">
        <v>8618</v>
      </c>
      <c r="E2581" s="0" t="s">
        <v>8619</v>
      </c>
      <c r="F2581" s="0" t="s">
        <v>15</v>
      </c>
      <c r="G2581" s="0" t="s">
        <v>16</v>
      </c>
      <c r="H2581" s="0" t="n">
        <v>75</v>
      </c>
      <c r="I2581" s="0" t="s">
        <v>8623</v>
      </c>
      <c r="J2581" s="0" t="s">
        <v>8624</v>
      </c>
      <c r="K2581" s="0" t="s">
        <v>8625</v>
      </c>
      <c r="L2581" s="0" t="str">
        <f aca="false">HYPERLINK("https://www.ncbi.nlm.nih.gov/nuccore/CP000058.1?report=graph&amp;tracks=[key:gene_model_track,Options:GeneOnly]&amp;mk=798058:798077|offset_40|444444,798093:798112|offset_75|00cc00,798118:798137|offset_100|444444,798141:798160|offset_123|444444&amp;v=797857:798360&amp;c=444444", "offset 75")</f>
        <v>offset 75</v>
      </c>
    </row>
    <row r="2582" customFormat="false" ht="12.8" hidden="false" customHeight="false" outlineLevel="0" collapsed="false">
      <c r="A2582" s="0" t="s">
        <v>12</v>
      </c>
      <c r="B2582" s="0" t="n">
        <v>798117</v>
      </c>
      <c r="C2582" s="0" t="n">
        <v>798137</v>
      </c>
      <c r="D2582" s="0" t="s">
        <v>8618</v>
      </c>
      <c r="E2582" s="0" t="s">
        <v>8619</v>
      </c>
      <c r="F2582" s="0" t="s">
        <v>15</v>
      </c>
      <c r="G2582" s="0" t="s">
        <v>20</v>
      </c>
      <c r="H2582" s="0" t="n">
        <v>100</v>
      </c>
      <c r="I2582" s="0" t="s">
        <v>8626</v>
      </c>
      <c r="J2582" s="0" t="s">
        <v>8627</v>
      </c>
      <c r="K2582" s="0" t="s">
        <v>8628</v>
      </c>
      <c r="L2582" s="0" t="str">
        <f aca="false">HYPERLINK("https://www.ncbi.nlm.nih.gov/nuccore/CP000058.1?report=graph&amp;tracks=[key:gene_model_track,Options:GeneOnly]&amp;mk=798058:798077|offset_40|444444,798093:798112|offset_75|444444,798118:798137|offset_100|00cc00,798141:798160|offset_123|444444&amp;v=797857:798360&amp;c=444444", "offset 100")</f>
        <v>offset 100</v>
      </c>
    </row>
    <row r="2583" customFormat="false" ht="12.8" hidden="false" customHeight="false" outlineLevel="0" collapsed="false">
      <c r="A2583" s="0" t="s">
        <v>12</v>
      </c>
      <c r="B2583" s="0" t="n">
        <v>798140</v>
      </c>
      <c r="C2583" s="0" t="n">
        <v>798160</v>
      </c>
      <c r="D2583" s="0" t="s">
        <v>8618</v>
      </c>
      <c r="E2583" s="0" t="s">
        <v>8619</v>
      </c>
      <c r="F2583" s="0" t="s">
        <v>15</v>
      </c>
      <c r="G2583" s="0" t="s">
        <v>32</v>
      </c>
      <c r="H2583" s="0" t="n">
        <v>123</v>
      </c>
      <c r="I2583" s="0" t="s">
        <v>8629</v>
      </c>
      <c r="J2583" s="0" t="s">
        <v>8630</v>
      </c>
      <c r="K2583" s="0" t="s">
        <v>8631</v>
      </c>
      <c r="L2583" s="0" t="str">
        <f aca="false">HYPERLINK("https://www.ncbi.nlm.nih.gov/nuccore/CP000058.1?report=graph&amp;tracks=[key:gene_model_track,Options:GeneOnly]&amp;mk=798058:798077|offset_40|444444,798093:798112|offset_75|444444,798118:798137|offset_100|444444,798141:798160|offset_123|00cc00&amp;v=797857:798360&amp;c=444444", "offset 123")</f>
        <v>offset 123</v>
      </c>
    </row>
    <row r="2584" customFormat="false" ht="12.8" hidden="false" customHeight="false" outlineLevel="0" collapsed="false">
      <c r="A2584" s="0" t="s">
        <v>12</v>
      </c>
      <c r="B2584" s="0" t="n">
        <v>799167</v>
      </c>
      <c r="C2584" s="0" t="n">
        <v>799187</v>
      </c>
      <c r="D2584" s="0" t="s">
        <v>8632</v>
      </c>
      <c r="E2584" s="0" t="s">
        <v>75</v>
      </c>
      <c r="F2584" s="0" t="s">
        <v>15</v>
      </c>
      <c r="G2584" s="0" t="s">
        <v>20</v>
      </c>
      <c r="H2584" s="0" t="n">
        <v>16</v>
      </c>
      <c r="I2584" s="0" t="s">
        <v>8633</v>
      </c>
      <c r="J2584" s="0" t="s">
        <v>8634</v>
      </c>
      <c r="K2584" s="0" t="s">
        <v>8635</v>
      </c>
      <c r="L2584" s="0" t="str">
        <f aca="false">HYPERLINK("https://www.ncbi.nlm.nih.gov/nuccore/CP000058.1?report=graph&amp;tracks=[key:gene_model_track,Options:GeneOnly]&amp;mk=799168:799187|offset_16|00cc00,799197:799216|offset_45|444444,799222:799241|offset_70|444444,799327:799346|offset_175|444444&amp;v=798967:799546&amp;c=444444", "offset 16")</f>
        <v>offset 16</v>
      </c>
    </row>
    <row r="2585" customFormat="false" ht="12.8" hidden="false" customHeight="false" outlineLevel="0" collapsed="false">
      <c r="A2585" s="0" t="s">
        <v>12</v>
      </c>
      <c r="B2585" s="0" t="n">
        <v>799196</v>
      </c>
      <c r="C2585" s="0" t="n">
        <v>799216</v>
      </c>
      <c r="D2585" s="0" t="s">
        <v>8632</v>
      </c>
      <c r="E2585" s="0" t="s">
        <v>75</v>
      </c>
      <c r="F2585" s="0" t="s">
        <v>15</v>
      </c>
      <c r="G2585" s="0" t="s">
        <v>16</v>
      </c>
      <c r="H2585" s="0" t="n">
        <v>45</v>
      </c>
      <c r="I2585" s="0" t="s">
        <v>8636</v>
      </c>
      <c r="J2585" s="0" t="s">
        <v>8637</v>
      </c>
      <c r="K2585" s="0" t="s">
        <v>8638</v>
      </c>
      <c r="L2585" s="0" t="str">
        <f aca="false">HYPERLINK("https://www.ncbi.nlm.nih.gov/nuccore/CP000058.1?report=graph&amp;tracks=[key:gene_model_track,Options:GeneOnly]&amp;mk=799168:799187|offset_16|444444,799197:799216|offset_45|00cc00,799222:799241|offset_70|444444,799327:799346|offset_175|444444&amp;v=798967:799546&amp;c=444444", "offset 45")</f>
        <v>offset 45</v>
      </c>
    </row>
    <row r="2586" customFormat="false" ht="12.8" hidden="false" customHeight="false" outlineLevel="0" collapsed="false">
      <c r="A2586" s="0" t="s">
        <v>12</v>
      </c>
      <c r="B2586" s="0" t="n">
        <v>799221</v>
      </c>
      <c r="C2586" s="0" t="n">
        <v>799241</v>
      </c>
      <c r="D2586" s="0" t="s">
        <v>8632</v>
      </c>
      <c r="E2586" s="0" t="s">
        <v>75</v>
      </c>
      <c r="F2586" s="0" t="s">
        <v>15</v>
      </c>
      <c r="G2586" s="0" t="s">
        <v>36</v>
      </c>
      <c r="H2586" s="0" t="n">
        <v>70</v>
      </c>
      <c r="I2586" s="0" t="s">
        <v>8639</v>
      </c>
      <c r="J2586" s="0" t="s">
        <v>8640</v>
      </c>
      <c r="K2586" s="0" t="s">
        <v>8641</v>
      </c>
      <c r="L2586" s="0" t="str">
        <f aca="false">HYPERLINK("https://www.ncbi.nlm.nih.gov/nuccore/CP000058.1?report=graph&amp;tracks=[key:gene_model_track,Options:GeneOnly]&amp;mk=799168:799187|offset_16|444444,799197:799216|offset_45|444444,799222:799241|offset_70|00cc00,799327:799346|offset_175|444444&amp;v=798967:799546&amp;c=444444", "offset 70")</f>
        <v>offset 70</v>
      </c>
    </row>
    <row r="2587" customFormat="false" ht="12.8" hidden="false" customHeight="false" outlineLevel="0" collapsed="false">
      <c r="A2587" s="0" t="s">
        <v>12</v>
      </c>
      <c r="B2587" s="0" t="n">
        <v>799326</v>
      </c>
      <c r="C2587" s="0" t="n">
        <v>799346</v>
      </c>
      <c r="D2587" s="0" t="s">
        <v>8632</v>
      </c>
      <c r="E2587" s="0" t="s">
        <v>75</v>
      </c>
      <c r="F2587" s="0" t="s">
        <v>15</v>
      </c>
      <c r="G2587" s="0" t="s">
        <v>16</v>
      </c>
      <c r="H2587" s="0" t="n">
        <v>175</v>
      </c>
      <c r="I2587" s="0" t="s">
        <v>8642</v>
      </c>
      <c r="J2587" s="0" t="s">
        <v>8643</v>
      </c>
      <c r="K2587" s="0" t="s">
        <v>8644</v>
      </c>
      <c r="L2587" s="0" t="str">
        <f aca="false">HYPERLINK("https://www.ncbi.nlm.nih.gov/nuccore/CP000058.1?report=graph&amp;tracks=[key:gene_model_track,Options:GeneOnly]&amp;mk=799168:799187|offset_16|444444,799197:799216|offset_45|444444,799222:799241|offset_70|444444,799327:799346|offset_175|00cc00&amp;v=798967:799546&amp;c=444444", "offset 175")</f>
        <v>offset 175</v>
      </c>
    </row>
    <row r="2588" customFormat="false" ht="12.8" hidden="false" customHeight="false" outlineLevel="0" collapsed="false">
      <c r="A2588" s="0" t="s">
        <v>12</v>
      </c>
      <c r="B2588" s="0" t="n">
        <v>800638</v>
      </c>
      <c r="C2588" s="0" t="n">
        <v>800658</v>
      </c>
      <c r="D2588" s="0" t="s">
        <v>8645</v>
      </c>
      <c r="E2588" s="0" t="s">
        <v>75</v>
      </c>
      <c r="F2588" s="0" t="s">
        <v>90</v>
      </c>
      <c r="G2588" s="0" t="s">
        <v>32</v>
      </c>
      <c r="H2588" s="0" t="n">
        <v>1</v>
      </c>
      <c r="I2588" s="0" t="s">
        <v>8646</v>
      </c>
      <c r="J2588" s="0" t="s">
        <v>8647</v>
      </c>
      <c r="K2588" s="0" t="s">
        <v>8648</v>
      </c>
      <c r="L2588" s="0" t="str">
        <f aca="false">HYPERLINK("https://www.ncbi.nlm.nih.gov/nuccore/CP000058.1?report=graph&amp;tracks=[key:gene_model_track,Options:GeneOnly]&amp;mk=800639:800658|offset_1|00cc00,800609:800628|offset_31|444444,800579:800598|offset_61|444444,800530:800549|offset_110|444444&amp;v=800438:800749&amp;c=444444", "offset 1")</f>
        <v>offset 1</v>
      </c>
    </row>
    <row r="2589" customFormat="false" ht="12.8" hidden="false" customHeight="false" outlineLevel="0" collapsed="false">
      <c r="A2589" s="0" t="s">
        <v>12</v>
      </c>
      <c r="B2589" s="0" t="n">
        <v>800608</v>
      </c>
      <c r="C2589" s="0" t="n">
        <v>800628</v>
      </c>
      <c r="D2589" s="0" t="s">
        <v>8645</v>
      </c>
      <c r="E2589" s="0" t="s">
        <v>75</v>
      </c>
      <c r="F2589" s="0" t="s">
        <v>90</v>
      </c>
      <c r="G2589" s="0" t="s">
        <v>16</v>
      </c>
      <c r="H2589" s="0" t="n">
        <v>31</v>
      </c>
      <c r="I2589" s="0" t="s">
        <v>8649</v>
      </c>
      <c r="J2589" s="0" t="s">
        <v>8650</v>
      </c>
      <c r="K2589" s="0" t="s">
        <v>8651</v>
      </c>
      <c r="L2589" s="0" t="str">
        <f aca="false">HYPERLINK("https://www.ncbi.nlm.nih.gov/nuccore/CP000058.1?report=graph&amp;tracks=[key:gene_model_track,Options:GeneOnly]&amp;mk=800639:800658|offset_1|444444,800609:800628|offset_31|00cc00,800579:800598|offset_61|444444,800530:800549|offset_110|444444&amp;v=800438:800749&amp;c=444444", "offset 31")</f>
        <v>offset 31</v>
      </c>
    </row>
    <row r="2590" customFormat="false" ht="12.8" hidden="false" customHeight="false" outlineLevel="0" collapsed="false">
      <c r="A2590" s="0" t="s">
        <v>12</v>
      </c>
      <c r="B2590" s="0" t="n">
        <v>800578</v>
      </c>
      <c r="C2590" s="0" t="n">
        <v>800598</v>
      </c>
      <c r="D2590" s="0" t="s">
        <v>8645</v>
      </c>
      <c r="E2590" s="0" t="s">
        <v>75</v>
      </c>
      <c r="F2590" s="0" t="s">
        <v>90</v>
      </c>
      <c r="G2590" s="0" t="s">
        <v>36</v>
      </c>
      <c r="H2590" s="0" t="n">
        <v>61</v>
      </c>
      <c r="I2590" s="0" t="s">
        <v>8652</v>
      </c>
      <c r="J2590" s="0" t="s">
        <v>8653</v>
      </c>
      <c r="K2590" s="0" t="s">
        <v>8654</v>
      </c>
      <c r="L2590" s="0" t="str">
        <f aca="false">HYPERLINK("https://www.ncbi.nlm.nih.gov/nuccore/CP000058.1?report=graph&amp;tracks=[key:gene_model_track,Options:GeneOnly]&amp;mk=800639:800658|offset_1|444444,800609:800628|offset_31|444444,800579:800598|offset_61|00cc00,800530:800549|offset_110|444444&amp;v=800438:800749&amp;c=444444", "offset 61")</f>
        <v>offset 61</v>
      </c>
    </row>
    <row r="2591" customFormat="false" ht="12.8" hidden="false" customHeight="false" outlineLevel="0" collapsed="false">
      <c r="A2591" s="0" t="s">
        <v>12</v>
      </c>
      <c r="B2591" s="0" t="n">
        <v>800529</v>
      </c>
      <c r="C2591" s="0" t="n">
        <v>800549</v>
      </c>
      <c r="D2591" s="0" t="s">
        <v>8645</v>
      </c>
      <c r="E2591" s="0" t="s">
        <v>75</v>
      </c>
      <c r="F2591" s="0" t="s">
        <v>90</v>
      </c>
      <c r="G2591" s="0" t="s">
        <v>36</v>
      </c>
      <c r="H2591" s="0" t="n">
        <v>110</v>
      </c>
      <c r="I2591" s="0" t="s">
        <v>8655</v>
      </c>
      <c r="J2591" s="0" t="s">
        <v>8656</v>
      </c>
      <c r="K2591" s="0" t="s">
        <v>8657</v>
      </c>
      <c r="L2591" s="0" t="str">
        <f aca="false">HYPERLINK("https://www.ncbi.nlm.nih.gov/nuccore/CP000058.1?report=graph&amp;tracks=[key:gene_model_track,Options:GeneOnly]&amp;mk=800639:800658|offset_1|444444,800609:800628|offset_31|444444,800579:800598|offset_61|444444,800530:800549|offset_110|00cc00&amp;v=800438:800749&amp;c=444444", "offset 110")</f>
        <v>offset 110</v>
      </c>
    </row>
    <row r="2592" customFormat="false" ht="12.8" hidden="false" customHeight="false" outlineLevel="0" collapsed="false">
      <c r="A2592" s="0" t="s">
        <v>12</v>
      </c>
      <c r="B2592" s="0" t="n">
        <v>802061</v>
      </c>
      <c r="C2592" s="0" t="n">
        <v>802081</v>
      </c>
      <c r="D2592" s="0" t="s">
        <v>8658</v>
      </c>
      <c r="E2592" s="0" t="s">
        <v>75</v>
      </c>
      <c r="F2592" s="0" t="s">
        <v>90</v>
      </c>
      <c r="G2592" s="0" t="s">
        <v>20</v>
      </c>
      <c r="H2592" s="0" t="n">
        <v>0</v>
      </c>
      <c r="I2592" s="0" t="s">
        <v>8659</v>
      </c>
      <c r="J2592" s="0" t="s">
        <v>8660</v>
      </c>
      <c r="K2592" s="0" t="s">
        <v>8661</v>
      </c>
      <c r="L2592" s="0" t="str">
        <f aca="false">HYPERLINK("https://www.ncbi.nlm.nih.gov/nuccore/CP000058.1?report=graph&amp;tracks=[key:gene_model_track,Options:GeneOnly]&amp;mk=802062:802081|offset_0|00cc00,802035:802054|offset_27|444444,802012:802031|offset_50|444444,801989:802008|offset_73|444444&amp;v=801861:802208&amp;c=444444", "offset 0")</f>
        <v>offset 0</v>
      </c>
    </row>
    <row r="2593" customFormat="false" ht="12.8" hidden="false" customHeight="false" outlineLevel="0" collapsed="false">
      <c r="A2593" s="0" t="s">
        <v>12</v>
      </c>
      <c r="B2593" s="0" t="n">
        <v>802034</v>
      </c>
      <c r="C2593" s="0" t="n">
        <v>802054</v>
      </c>
      <c r="D2593" s="0" t="s">
        <v>8658</v>
      </c>
      <c r="E2593" s="0" t="s">
        <v>75</v>
      </c>
      <c r="F2593" s="0" t="s">
        <v>90</v>
      </c>
      <c r="G2593" s="0" t="s">
        <v>36</v>
      </c>
      <c r="H2593" s="0" t="n">
        <v>27</v>
      </c>
      <c r="I2593" s="0" t="s">
        <v>8662</v>
      </c>
      <c r="J2593" s="0" t="s">
        <v>8663</v>
      </c>
      <c r="K2593" s="0" t="s">
        <v>8664</v>
      </c>
      <c r="L2593" s="0" t="str">
        <f aca="false">HYPERLINK("https://www.ncbi.nlm.nih.gov/nuccore/CP000058.1?report=graph&amp;tracks=[key:gene_model_track,Options:GeneOnly]&amp;mk=802062:802081|offset_0|444444,802035:802054|offset_27|00cc00,802012:802031|offset_50|444444,801989:802008|offset_73|444444&amp;v=801861:802208&amp;c=444444", "offset 27")</f>
        <v>offset 27</v>
      </c>
    </row>
    <row r="2594" customFormat="false" ht="12.8" hidden="false" customHeight="false" outlineLevel="0" collapsed="false">
      <c r="A2594" s="0" t="s">
        <v>12</v>
      </c>
      <c r="B2594" s="0" t="n">
        <v>802011</v>
      </c>
      <c r="C2594" s="0" t="n">
        <v>802031</v>
      </c>
      <c r="D2594" s="0" t="s">
        <v>8658</v>
      </c>
      <c r="E2594" s="0" t="s">
        <v>75</v>
      </c>
      <c r="F2594" s="0" t="s">
        <v>90</v>
      </c>
      <c r="G2594" s="0" t="s">
        <v>20</v>
      </c>
      <c r="H2594" s="0" t="n">
        <v>50</v>
      </c>
      <c r="I2594" s="0" t="s">
        <v>8665</v>
      </c>
      <c r="J2594" s="0" t="s">
        <v>8666</v>
      </c>
      <c r="K2594" s="0" t="s">
        <v>8667</v>
      </c>
      <c r="L2594" s="0" t="str">
        <f aca="false">HYPERLINK("https://www.ncbi.nlm.nih.gov/nuccore/CP000058.1?report=graph&amp;tracks=[key:gene_model_track,Options:GeneOnly]&amp;mk=802062:802081|offset_0|444444,802035:802054|offset_27|444444,802012:802031|offset_50|00cc00,801989:802008|offset_73|444444&amp;v=801861:802208&amp;c=444444", "offset 50")</f>
        <v>offset 50</v>
      </c>
    </row>
    <row r="2595" customFormat="false" ht="12.8" hidden="false" customHeight="false" outlineLevel="0" collapsed="false">
      <c r="A2595" s="0" t="s">
        <v>12</v>
      </c>
      <c r="B2595" s="0" t="n">
        <v>801988</v>
      </c>
      <c r="C2595" s="0" t="n">
        <v>802008</v>
      </c>
      <c r="D2595" s="0" t="s">
        <v>8658</v>
      </c>
      <c r="E2595" s="0" t="s">
        <v>75</v>
      </c>
      <c r="F2595" s="0" t="s">
        <v>90</v>
      </c>
      <c r="G2595" s="0" t="s">
        <v>16</v>
      </c>
      <c r="H2595" s="0" t="n">
        <v>73</v>
      </c>
      <c r="I2595" s="0" t="s">
        <v>8668</v>
      </c>
      <c r="J2595" s="0" t="s">
        <v>8669</v>
      </c>
      <c r="K2595" s="0" t="s">
        <v>8670</v>
      </c>
      <c r="L2595" s="0" t="str">
        <f aca="false">HYPERLINK("https://www.ncbi.nlm.nih.gov/nuccore/CP000058.1?report=graph&amp;tracks=[key:gene_model_track,Options:GeneOnly]&amp;mk=802062:802081|offset_0|444444,802035:802054|offset_27|444444,802012:802031|offset_50|444444,801989:802008|offset_73|00cc00&amp;v=801861:802208&amp;c=444444", "offset 73")</f>
        <v>offset 73</v>
      </c>
    </row>
    <row r="2596" customFormat="false" ht="12.8" hidden="false" customHeight="false" outlineLevel="0" collapsed="false">
      <c r="A2596" s="0" t="s">
        <v>12</v>
      </c>
      <c r="B2596" s="0" t="n">
        <v>802338</v>
      </c>
      <c r="C2596" s="0" t="n">
        <v>802358</v>
      </c>
      <c r="D2596" s="0" t="s">
        <v>8671</v>
      </c>
      <c r="E2596" s="0" t="s">
        <v>8672</v>
      </c>
      <c r="F2596" s="0" t="s">
        <v>15</v>
      </c>
      <c r="G2596" s="0" t="s">
        <v>20</v>
      </c>
      <c r="H2596" s="0" t="n">
        <v>56</v>
      </c>
      <c r="I2596" s="0" t="s">
        <v>8673</v>
      </c>
      <c r="J2596" s="0" t="s">
        <v>8674</v>
      </c>
      <c r="K2596" s="0" t="s">
        <v>8675</v>
      </c>
      <c r="L2596" s="0" t="str">
        <f aca="false">HYPERLINK("https://www.ncbi.nlm.nih.gov/nuccore/CP000058.1?report=graph&amp;tracks=[key:gene_model_track,Options:GeneOnly]&amp;mk=802339:802358|offset_56|00cc00,802378:802397|offset_95|444444,802408:802427|offset_125|444444,802429:802448|offset_146|444444&amp;v=802138:802648&amp;c=444444", "offset 56")</f>
        <v>offset 56</v>
      </c>
    </row>
    <row r="2597" customFormat="false" ht="12.8" hidden="false" customHeight="false" outlineLevel="0" collapsed="false">
      <c r="A2597" s="0" t="s">
        <v>12</v>
      </c>
      <c r="B2597" s="0" t="n">
        <v>802377</v>
      </c>
      <c r="C2597" s="0" t="n">
        <v>802397</v>
      </c>
      <c r="D2597" s="0" t="s">
        <v>8671</v>
      </c>
      <c r="E2597" s="0" t="s">
        <v>8672</v>
      </c>
      <c r="F2597" s="0" t="s">
        <v>15</v>
      </c>
      <c r="G2597" s="0" t="s">
        <v>32</v>
      </c>
      <c r="H2597" s="0" t="n">
        <v>95</v>
      </c>
      <c r="I2597" s="0" t="s">
        <v>8676</v>
      </c>
      <c r="J2597" s="0" t="s">
        <v>8677</v>
      </c>
      <c r="K2597" s="0" t="s">
        <v>8678</v>
      </c>
      <c r="L2597" s="0" t="str">
        <f aca="false">HYPERLINK("https://www.ncbi.nlm.nih.gov/nuccore/CP000058.1?report=graph&amp;tracks=[key:gene_model_track,Options:GeneOnly]&amp;mk=802339:802358|offset_56|444444,802378:802397|offset_95|00cc00,802408:802427|offset_125|444444,802429:802448|offset_146|444444&amp;v=802138:802648&amp;c=444444", "offset 95")</f>
        <v>offset 95</v>
      </c>
    </row>
    <row r="2598" customFormat="false" ht="12.8" hidden="false" customHeight="false" outlineLevel="0" collapsed="false">
      <c r="A2598" s="0" t="s">
        <v>12</v>
      </c>
      <c r="B2598" s="0" t="n">
        <v>802407</v>
      </c>
      <c r="C2598" s="0" t="n">
        <v>802427</v>
      </c>
      <c r="D2598" s="0" t="s">
        <v>8671</v>
      </c>
      <c r="E2598" s="0" t="s">
        <v>8672</v>
      </c>
      <c r="F2598" s="0" t="s">
        <v>15</v>
      </c>
      <c r="G2598" s="0" t="s">
        <v>36</v>
      </c>
      <c r="H2598" s="0" t="n">
        <v>125</v>
      </c>
      <c r="I2598" s="0" t="s">
        <v>8679</v>
      </c>
      <c r="J2598" s="0" t="s">
        <v>8680</v>
      </c>
      <c r="K2598" s="0" t="s">
        <v>8681</v>
      </c>
      <c r="L2598" s="0" t="str">
        <f aca="false">HYPERLINK("https://www.ncbi.nlm.nih.gov/nuccore/CP000058.1?report=graph&amp;tracks=[key:gene_model_track,Options:GeneOnly]&amp;mk=802339:802358|offset_56|444444,802378:802397|offset_95|444444,802408:802427|offset_125|00cc00,802429:802448|offset_146|444444&amp;v=802138:802648&amp;c=444444", "offset 125")</f>
        <v>offset 125</v>
      </c>
    </row>
    <row r="2599" customFormat="false" ht="12.8" hidden="false" customHeight="false" outlineLevel="0" collapsed="false">
      <c r="A2599" s="0" t="s">
        <v>12</v>
      </c>
      <c r="B2599" s="0" t="n">
        <v>802428</v>
      </c>
      <c r="C2599" s="0" t="n">
        <v>802448</v>
      </c>
      <c r="D2599" s="0" t="s">
        <v>8671</v>
      </c>
      <c r="E2599" s="0" t="s">
        <v>8672</v>
      </c>
      <c r="F2599" s="0" t="s">
        <v>15</v>
      </c>
      <c r="G2599" s="0" t="s">
        <v>20</v>
      </c>
      <c r="H2599" s="0" t="n">
        <v>146</v>
      </c>
      <c r="I2599" s="0" t="s">
        <v>8682</v>
      </c>
      <c r="J2599" s="0" t="s">
        <v>8683</v>
      </c>
      <c r="K2599" s="0" t="s">
        <v>8684</v>
      </c>
      <c r="L2599" s="0" t="str">
        <f aca="false">HYPERLINK("https://www.ncbi.nlm.nih.gov/nuccore/CP000058.1?report=graph&amp;tracks=[key:gene_model_track,Options:GeneOnly]&amp;mk=802339:802358|offset_56|444444,802378:802397|offset_95|444444,802408:802427|offset_125|444444,802429:802448|offset_146|00cc00&amp;v=802138:802648&amp;c=444444", "offset 146")</f>
        <v>offset 146</v>
      </c>
    </row>
    <row r="2600" customFormat="false" ht="12.8" hidden="false" customHeight="false" outlineLevel="0" collapsed="false">
      <c r="A2600" s="0" t="s">
        <v>12</v>
      </c>
      <c r="B2600" s="0" t="n">
        <v>809454</v>
      </c>
      <c r="C2600" s="0" t="n">
        <v>809474</v>
      </c>
      <c r="D2600" s="0" t="s">
        <v>8685</v>
      </c>
      <c r="E2600" s="0" t="s">
        <v>8686</v>
      </c>
      <c r="F2600" s="0" t="s">
        <v>15</v>
      </c>
      <c r="G2600" s="0" t="s">
        <v>16</v>
      </c>
      <c r="H2600" s="0" t="n">
        <v>7</v>
      </c>
      <c r="I2600" s="0" t="s">
        <v>8687</v>
      </c>
      <c r="J2600" s="0" t="s">
        <v>8688</v>
      </c>
      <c r="K2600" s="0" t="s">
        <v>8689</v>
      </c>
      <c r="L2600" s="0" t="str">
        <f aca="false">HYPERLINK("https://www.ncbi.nlm.nih.gov/nuccore/CP000058.1?report=graph&amp;tracks=[key:gene_model_track,Options:GeneOnly]&amp;mk=809455:809474|offset_7|00cc00,809501:809520|offset_53|444444,809522:809541|offset_74|444444,809550:809569|offset_102|444444&amp;v=809254:809769&amp;c=444444", "offset 7")</f>
        <v>offset 7</v>
      </c>
    </row>
    <row r="2601" customFormat="false" ht="12.8" hidden="false" customHeight="false" outlineLevel="0" collapsed="false">
      <c r="A2601" s="0" t="s">
        <v>12</v>
      </c>
      <c r="B2601" s="0" t="n">
        <v>809500</v>
      </c>
      <c r="C2601" s="0" t="n">
        <v>809520</v>
      </c>
      <c r="D2601" s="0" t="s">
        <v>8685</v>
      </c>
      <c r="E2601" s="0" t="s">
        <v>8686</v>
      </c>
      <c r="F2601" s="0" t="s">
        <v>15</v>
      </c>
      <c r="G2601" s="0" t="s">
        <v>16</v>
      </c>
      <c r="H2601" s="0" t="n">
        <v>53</v>
      </c>
      <c r="I2601" s="0" t="s">
        <v>8690</v>
      </c>
      <c r="J2601" s="0" t="s">
        <v>8691</v>
      </c>
      <c r="K2601" s="0" t="s">
        <v>8692</v>
      </c>
      <c r="L2601" s="0" t="str">
        <f aca="false">HYPERLINK("https://www.ncbi.nlm.nih.gov/nuccore/CP000058.1?report=graph&amp;tracks=[key:gene_model_track,Options:GeneOnly]&amp;mk=809455:809474|offset_7|444444,809501:809520|offset_53|00cc00,809522:809541|offset_74|444444,809550:809569|offset_102|444444&amp;v=809254:809769&amp;c=444444", "offset 53")</f>
        <v>offset 53</v>
      </c>
    </row>
    <row r="2602" customFormat="false" ht="12.8" hidden="false" customHeight="false" outlineLevel="0" collapsed="false">
      <c r="A2602" s="0" t="s">
        <v>12</v>
      </c>
      <c r="B2602" s="0" t="n">
        <v>809521</v>
      </c>
      <c r="C2602" s="0" t="n">
        <v>809541</v>
      </c>
      <c r="D2602" s="0" t="s">
        <v>8685</v>
      </c>
      <c r="E2602" s="0" t="s">
        <v>8686</v>
      </c>
      <c r="F2602" s="0" t="s">
        <v>15</v>
      </c>
      <c r="G2602" s="0" t="s">
        <v>20</v>
      </c>
      <c r="H2602" s="0" t="n">
        <v>74</v>
      </c>
      <c r="I2602" s="0" t="s">
        <v>8693</v>
      </c>
      <c r="J2602" s="0" t="s">
        <v>8694</v>
      </c>
      <c r="K2602" s="0" t="s">
        <v>8695</v>
      </c>
      <c r="L2602" s="0" t="str">
        <f aca="false">HYPERLINK("https://www.ncbi.nlm.nih.gov/nuccore/CP000058.1?report=graph&amp;tracks=[key:gene_model_track,Options:GeneOnly]&amp;mk=809455:809474|offset_7|444444,809501:809520|offset_53|444444,809522:809541|offset_74|00cc00,809550:809569|offset_102|444444&amp;v=809254:809769&amp;c=444444", "offset 74")</f>
        <v>offset 74</v>
      </c>
    </row>
    <row r="2603" customFormat="false" ht="12.8" hidden="false" customHeight="false" outlineLevel="0" collapsed="false">
      <c r="A2603" s="0" t="s">
        <v>12</v>
      </c>
      <c r="B2603" s="0" t="n">
        <v>809549</v>
      </c>
      <c r="C2603" s="0" t="n">
        <v>809569</v>
      </c>
      <c r="D2603" s="0" t="s">
        <v>8685</v>
      </c>
      <c r="E2603" s="0" t="s">
        <v>8686</v>
      </c>
      <c r="F2603" s="0" t="s">
        <v>15</v>
      </c>
      <c r="G2603" s="0" t="s">
        <v>32</v>
      </c>
      <c r="H2603" s="0" t="n">
        <v>102</v>
      </c>
      <c r="I2603" s="0" t="s">
        <v>8696</v>
      </c>
      <c r="J2603" s="0" t="s">
        <v>8697</v>
      </c>
      <c r="K2603" s="0" t="s">
        <v>8698</v>
      </c>
      <c r="L2603" s="0" t="str">
        <f aca="false">HYPERLINK("https://www.ncbi.nlm.nih.gov/nuccore/CP000058.1?report=graph&amp;tracks=[key:gene_model_track,Options:GeneOnly]&amp;mk=809455:809474|offset_7|444444,809501:809520|offset_53|444444,809522:809541|offset_74|444444,809550:809569|offset_102|00cc00&amp;v=809254:809769&amp;c=444444", "offset 102")</f>
        <v>offset 102</v>
      </c>
    </row>
    <row r="2604" customFormat="false" ht="12.8" hidden="false" customHeight="false" outlineLevel="0" collapsed="false">
      <c r="A2604" s="0" t="s">
        <v>12</v>
      </c>
      <c r="B2604" s="0" t="n">
        <v>812936</v>
      </c>
      <c r="C2604" s="0" t="n">
        <v>812956</v>
      </c>
      <c r="D2604" s="0" t="s">
        <v>8699</v>
      </c>
      <c r="E2604" s="0" t="s">
        <v>8700</v>
      </c>
      <c r="F2604" s="0" t="s">
        <v>15</v>
      </c>
      <c r="G2604" s="0" t="s">
        <v>36</v>
      </c>
      <c r="H2604" s="0" t="n">
        <v>16</v>
      </c>
      <c r="I2604" s="0" t="s">
        <v>8701</v>
      </c>
      <c r="J2604" s="0" t="s">
        <v>8702</v>
      </c>
      <c r="K2604" s="0" t="s">
        <v>8703</v>
      </c>
      <c r="L2604" s="0" t="str">
        <f aca="false">HYPERLINK("https://www.ncbi.nlm.nih.gov/nuccore/CP000058.1?report=graph&amp;tracks=[key:gene_model_track,Options:GeneOnly]&amp;mk=812937:812956|offset_16|00cc00,812960:812979|offset_39|444444,812988:813007|offset_67|444444,813009:813028|offset_88|444444&amp;v=812736:813228&amp;c=444444", "offset 16")</f>
        <v>offset 16</v>
      </c>
    </row>
    <row r="2605" customFormat="false" ht="12.8" hidden="false" customHeight="false" outlineLevel="0" collapsed="false">
      <c r="A2605" s="0" t="s">
        <v>12</v>
      </c>
      <c r="B2605" s="0" t="n">
        <v>812959</v>
      </c>
      <c r="C2605" s="0" t="n">
        <v>812979</v>
      </c>
      <c r="D2605" s="0" t="s">
        <v>8699</v>
      </c>
      <c r="E2605" s="0" t="s">
        <v>8700</v>
      </c>
      <c r="F2605" s="0" t="s">
        <v>15</v>
      </c>
      <c r="G2605" s="0" t="s">
        <v>32</v>
      </c>
      <c r="H2605" s="0" t="n">
        <v>39</v>
      </c>
      <c r="I2605" s="0" t="s">
        <v>8704</v>
      </c>
      <c r="J2605" s="0" t="s">
        <v>8705</v>
      </c>
      <c r="K2605" s="0" t="s">
        <v>8706</v>
      </c>
      <c r="L2605" s="0" t="str">
        <f aca="false">HYPERLINK("https://www.ncbi.nlm.nih.gov/nuccore/CP000058.1?report=graph&amp;tracks=[key:gene_model_track,Options:GeneOnly]&amp;mk=812937:812956|offset_16|444444,812960:812979|offset_39|00cc00,812988:813007|offset_67|444444,813009:813028|offset_88|444444&amp;v=812736:813228&amp;c=444444", "offset 39")</f>
        <v>offset 39</v>
      </c>
    </row>
    <row r="2606" customFormat="false" ht="12.8" hidden="false" customHeight="false" outlineLevel="0" collapsed="false">
      <c r="A2606" s="0" t="s">
        <v>12</v>
      </c>
      <c r="B2606" s="0" t="n">
        <v>812987</v>
      </c>
      <c r="C2606" s="0" t="n">
        <v>813007</v>
      </c>
      <c r="D2606" s="0" t="s">
        <v>8699</v>
      </c>
      <c r="E2606" s="0" t="s">
        <v>8700</v>
      </c>
      <c r="F2606" s="0" t="s">
        <v>15</v>
      </c>
      <c r="G2606" s="0" t="s">
        <v>32</v>
      </c>
      <c r="H2606" s="0" t="n">
        <v>67</v>
      </c>
      <c r="I2606" s="0" t="s">
        <v>8707</v>
      </c>
      <c r="J2606" s="0" t="s">
        <v>8708</v>
      </c>
      <c r="K2606" s="0" t="s">
        <v>8709</v>
      </c>
      <c r="L2606" s="0" t="str">
        <f aca="false">HYPERLINK("https://www.ncbi.nlm.nih.gov/nuccore/CP000058.1?report=graph&amp;tracks=[key:gene_model_track,Options:GeneOnly]&amp;mk=812937:812956|offset_16|444444,812960:812979|offset_39|444444,812988:813007|offset_67|00cc00,813009:813028|offset_88|444444&amp;v=812736:813228&amp;c=444444", "offset 67")</f>
        <v>offset 67</v>
      </c>
    </row>
    <row r="2607" customFormat="false" ht="12.8" hidden="false" customHeight="false" outlineLevel="0" collapsed="false">
      <c r="A2607" s="0" t="s">
        <v>12</v>
      </c>
      <c r="B2607" s="0" t="n">
        <v>813008</v>
      </c>
      <c r="C2607" s="0" t="n">
        <v>813028</v>
      </c>
      <c r="D2607" s="0" t="s">
        <v>8699</v>
      </c>
      <c r="E2607" s="0" t="s">
        <v>8700</v>
      </c>
      <c r="F2607" s="0" t="s">
        <v>15</v>
      </c>
      <c r="G2607" s="0" t="s">
        <v>20</v>
      </c>
      <c r="H2607" s="0" t="n">
        <v>88</v>
      </c>
      <c r="I2607" s="0" t="s">
        <v>8710</v>
      </c>
      <c r="J2607" s="0" t="s">
        <v>8711</v>
      </c>
      <c r="K2607" s="0" t="s">
        <v>8712</v>
      </c>
      <c r="L2607" s="0" t="str">
        <f aca="false">HYPERLINK("https://www.ncbi.nlm.nih.gov/nuccore/CP000058.1?report=graph&amp;tracks=[key:gene_model_track,Options:GeneOnly]&amp;mk=812937:812956|offset_16|444444,812960:812979|offset_39|444444,812988:813007|offset_67|444444,813009:813028|offset_88|00cc00&amp;v=812736:813228&amp;c=444444", "offset 88")</f>
        <v>offset 88</v>
      </c>
    </row>
    <row r="2608" customFormat="false" ht="12.8" hidden="false" customHeight="false" outlineLevel="0" collapsed="false">
      <c r="A2608" s="0" t="s">
        <v>12</v>
      </c>
      <c r="B2608" s="0" t="n">
        <v>816617</v>
      </c>
      <c r="C2608" s="0" t="n">
        <v>816637</v>
      </c>
      <c r="D2608" s="0" t="s">
        <v>8713</v>
      </c>
      <c r="E2608" s="0" t="s">
        <v>8714</v>
      </c>
      <c r="F2608" s="0" t="s">
        <v>15</v>
      </c>
      <c r="G2608" s="0" t="s">
        <v>16</v>
      </c>
      <c r="H2608" s="0" t="n">
        <v>8</v>
      </c>
      <c r="I2608" s="0" t="s">
        <v>8715</v>
      </c>
      <c r="J2608" s="0" t="s">
        <v>8716</v>
      </c>
      <c r="K2608" s="0" t="s">
        <v>8717</v>
      </c>
      <c r="L2608" s="0" t="str">
        <f aca="false">HYPERLINK("https://www.ncbi.nlm.nih.gov/nuccore/CP000058.1?report=graph&amp;tracks=[key:gene_model_track,Options:GeneOnly]&amp;mk=816618:816637|offset_8|00cc00,816640:816659|offset_30|444444,816663:816682|offset_53|444444,816708:816727|offset_98|444444&amp;v=816417:816927&amp;c=444444", "offset 8")</f>
        <v>offset 8</v>
      </c>
    </row>
    <row r="2609" customFormat="false" ht="12.8" hidden="false" customHeight="false" outlineLevel="0" collapsed="false">
      <c r="A2609" s="0" t="s">
        <v>12</v>
      </c>
      <c r="B2609" s="0" t="n">
        <v>816639</v>
      </c>
      <c r="C2609" s="0" t="n">
        <v>816659</v>
      </c>
      <c r="D2609" s="0" t="s">
        <v>8713</v>
      </c>
      <c r="E2609" s="0" t="s">
        <v>8714</v>
      </c>
      <c r="F2609" s="0" t="s">
        <v>15</v>
      </c>
      <c r="G2609" s="0" t="s">
        <v>36</v>
      </c>
      <c r="H2609" s="0" t="n">
        <v>30</v>
      </c>
      <c r="I2609" s="0" t="s">
        <v>8718</v>
      </c>
      <c r="J2609" s="0" t="s">
        <v>8719</v>
      </c>
      <c r="K2609" s="0" t="s">
        <v>8720</v>
      </c>
      <c r="L2609" s="0" t="str">
        <f aca="false">HYPERLINK("https://www.ncbi.nlm.nih.gov/nuccore/CP000058.1?report=graph&amp;tracks=[key:gene_model_track,Options:GeneOnly]&amp;mk=816618:816637|offset_8|444444,816640:816659|offset_30|00cc00,816663:816682|offset_53|444444,816708:816727|offset_98|444444&amp;v=816417:816927&amp;c=444444", "offset 30")</f>
        <v>offset 30</v>
      </c>
    </row>
    <row r="2610" customFormat="false" ht="12.8" hidden="false" customHeight="false" outlineLevel="0" collapsed="false">
      <c r="A2610" s="0" t="s">
        <v>12</v>
      </c>
      <c r="B2610" s="0" t="n">
        <v>816662</v>
      </c>
      <c r="C2610" s="0" t="n">
        <v>816682</v>
      </c>
      <c r="D2610" s="0" t="s">
        <v>8713</v>
      </c>
      <c r="E2610" s="0" t="s">
        <v>8714</v>
      </c>
      <c r="F2610" s="0" t="s">
        <v>15</v>
      </c>
      <c r="G2610" s="0" t="s">
        <v>20</v>
      </c>
      <c r="H2610" s="0" t="n">
        <v>53</v>
      </c>
      <c r="I2610" s="0" t="s">
        <v>8721</v>
      </c>
      <c r="J2610" s="0" t="s">
        <v>8722</v>
      </c>
      <c r="K2610" s="0" t="s">
        <v>8723</v>
      </c>
      <c r="L2610" s="0" t="str">
        <f aca="false">HYPERLINK("https://www.ncbi.nlm.nih.gov/nuccore/CP000058.1?report=graph&amp;tracks=[key:gene_model_track,Options:GeneOnly]&amp;mk=816618:816637|offset_8|444444,816640:816659|offset_30|444444,816663:816682|offset_53|00cc00,816708:816727|offset_98|444444&amp;v=816417:816927&amp;c=444444", "offset 53")</f>
        <v>offset 53</v>
      </c>
    </row>
    <row r="2611" customFormat="false" ht="12.8" hidden="false" customHeight="false" outlineLevel="0" collapsed="false">
      <c r="A2611" s="0" t="s">
        <v>12</v>
      </c>
      <c r="B2611" s="0" t="n">
        <v>816707</v>
      </c>
      <c r="C2611" s="0" t="n">
        <v>816727</v>
      </c>
      <c r="D2611" s="0" t="s">
        <v>8713</v>
      </c>
      <c r="E2611" s="0" t="s">
        <v>8714</v>
      </c>
      <c r="F2611" s="0" t="s">
        <v>15</v>
      </c>
      <c r="G2611" s="0" t="s">
        <v>20</v>
      </c>
      <c r="H2611" s="0" t="n">
        <v>98</v>
      </c>
      <c r="I2611" s="0" t="s">
        <v>8724</v>
      </c>
      <c r="J2611" s="0" t="s">
        <v>8725</v>
      </c>
      <c r="K2611" s="0" t="s">
        <v>8726</v>
      </c>
      <c r="L2611" s="0" t="str">
        <f aca="false">HYPERLINK("https://www.ncbi.nlm.nih.gov/nuccore/CP000058.1?report=graph&amp;tracks=[key:gene_model_track,Options:GeneOnly]&amp;mk=816618:816637|offset_8|444444,816640:816659|offset_30|444444,816663:816682|offset_53|444444,816708:816727|offset_98|00cc00&amp;v=816417:816927&amp;c=444444", "offset 98")</f>
        <v>offset 98</v>
      </c>
    </row>
    <row r="2612" customFormat="false" ht="12.8" hidden="false" customHeight="false" outlineLevel="0" collapsed="false">
      <c r="A2612" s="0" t="s">
        <v>12</v>
      </c>
      <c r="B2612" s="0" t="n">
        <v>818864</v>
      </c>
      <c r="C2612" s="0" t="n">
        <v>818884</v>
      </c>
      <c r="D2612" s="0" t="s">
        <v>8727</v>
      </c>
      <c r="E2612" s="0" t="s">
        <v>75</v>
      </c>
      <c r="F2612" s="0" t="s">
        <v>15</v>
      </c>
      <c r="G2612" s="0" t="s">
        <v>16</v>
      </c>
      <c r="H2612" s="0" t="n">
        <v>41</v>
      </c>
      <c r="I2612" s="0" t="s">
        <v>8728</v>
      </c>
      <c r="J2612" s="0" t="s">
        <v>8729</v>
      </c>
      <c r="K2612" s="0" t="s">
        <v>8730</v>
      </c>
      <c r="L2612" s="0" t="str">
        <f aca="false">HYPERLINK("https://www.ncbi.nlm.nih.gov/nuccore/CP000058.1?report=graph&amp;tracks=[key:gene_model_track,Options:GeneOnly]&amp;mk=818865:818884|offset_41|00cc00,818899:818918|offset_75|444444,818987:819006|offset_163|444444,819032:819051|offset_208|444444&amp;v=818664:819251&amp;c=444444", "offset 41")</f>
        <v>offset 41</v>
      </c>
    </row>
    <row r="2613" customFormat="false" ht="12.8" hidden="false" customHeight="false" outlineLevel="0" collapsed="false">
      <c r="A2613" s="0" t="s">
        <v>12</v>
      </c>
      <c r="B2613" s="0" t="n">
        <v>818898</v>
      </c>
      <c r="C2613" s="0" t="n">
        <v>818918</v>
      </c>
      <c r="D2613" s="0" t="s">
        <v>8727</v>
      </c>
      <c r="E2613" s="0" t="s">
        <v>75</v>
      </c>
      <c r="F2613" s="0" t="s">
        <v>15</v>
      </c>
      <c r="G2613" s="0" t="s">
        <v>16</v>
      </c>
      <c r="H2613" s="0" t="n">
        <v>75</v>
      </c>
      <c r="I2613" s="0" t="s">
        <v>8731</v>
      </c>
      <c r="J2613" s="0" t="s">
        <v>8732</v>
      </c>
      <c r="K2613" s="0" t="s">
        <v>8733</v>
      </c>
      <c r="L2613" s="0" t="str">
        <f aca="false">HYPERLINK("https://www.ncbi.nlm.nih.gov/nuccore/CP000058.1?report=graph&amp;tracks=[key:gene_model_track,Options:GeneOnly]&amp;mk=818865:818884|offset_41|444444,818899:818918|offset_75|00cc00,818987:819006|offset_163|444444,819032:819051|offset_208|444444&amp;v=818664:819251&amp;c=444444", "offset 75")</f>
        <v>offset 75</v>
      </c>
    </row>
    <row r="2614" customFormat="false" ht="12.8" hidden="false" customHeight="false" outlineLevel="0" collapsed="false">
      <c r="A2614" s="0" t="s">
        <v>12</v>
      </c>
      <c r="B2614" s="0" t="n">
        <v>818986</v>
      </c>
      <c r="C2614" s="0" t="n">
        <v>819006</v>
      </c>
      <c r="D2614" s="0" t="s">
        <v>8727</v>
      </c>
      <c r="E2614" s="0" t="s">
        <v>75</v>
      </c>
      <c r="F2614" s="0" t="s">
        <v>15</v>
      </c>
      <c r="G2614" s="0" t="s">
        <v>16</v>
      </c>
      <c r="H2614" s="0" t="n">
        <v>163</v>
      </c>
      <c r="I2614" s="0" t="s">
        <v>8734</v>
      </c>
      <c r="J2614" s="0" t="s">
        <v>8735</v>
      </c>
      <c r="K2614" s="0" t="s">
        <v>8736</v>
      </c>
      <c r="L2614" s="0" t="str">
        <f aca="false">HYPERLINK("https://www.ncbi.nlm.nih.gov/nuccore/CP000058.1?report=graph&amp;tracks=[key:gene_model_track,Options:GeneOnly]&amp;mk=818865:818884|offset_41|444444,818899:818918|offset_75|444444,818987:819006|offset_163|00cc00,819032:819051|offset_208|444444&amp;v=818664:819251&amp;c=444444", "offset 163")</f>
        <v>offset 163</v>
      </c>
    </row>
    <row r="2615" customFormat="false" ht="12.8" hidden="false" customHeight="false" outlineLevel="0" collapsed="false">
      <c r="A2615" s="0" t="s">
        <v>12</v>
      </c>
      <c r="B2615" s="0" t="n">
        <v>819031</v>
      </c>
      <c r="C2615" s="0" t="n">
        <v>819051</v>
      </c>
      <c r="D2615" s="0" t="s">
        <v>8727</v>
      </c>
      <c r="E2615" s="0" t="s">
        <v>75</v>
      </c>
      <c r="F2615" s="0" t="s">
        <v>15</v>
      </c>
      <c r="G2615" s="0" t="s">
        <v>32</v>
      </c>
      <c r="H2615" s="0" t="n">
        <v>208</v>
      </c>
      <c r="I2615" s="0" t="s">
        <v>8737</v>
      </c>
      <c r="J2615" s="0" t="s">
        <v>8738</v>
      </c>
      <c r="K2615" s="0" t="s">
        <v>8739</v>
      </c>
      <c r="L2615" s="0" t="str">
        <f aca="false">HYPERLINK("https://www.ncbi.nlm.nih.gov/nuccore/CP000058.1?report=graph&amp;tracks=[key:gene_model_track,Options:GeneOnly]&amp;mk=818865:818884|offset_41|444444,818899:818918|offset_75|444444,818987:819006|offset_163|444444,819032:819051|offset_208|00cc00&amp;v=818664:819251&amp;c=444444", "offset 208")</f>
        <v>offset 208</v>
      </c>
    </row>
    <row r="2616" customFormat="false" ht="12.8" hidden="false" customHeight="false" outlineLevel="0" collapsed="false">
      <c r="A2616" s="0" t="s">
        <v>12</v>
      </c>
      <c r="B2616" s="0" t="n">
        <v>821429</v>
      </c>
      <c r="C2616" s="0" t="n">
        <v>821449</v>
      </c>
      <c r="D2616" s="0" t="s">
        <v>8740</v>
      </c>
      <c r="E2616" s="0" t="s">
        <v>75</v>
      </c>
      <c r="F2616" s="0" t="s">
        <v>90</v>
      </c>
      <c r="G2616" s="0" t="s">
        <v>36</v>
      </c>
      <c r="H2616" s="0" t="n">
        <v>16</v>
      </c>
      <c r="I2616" s="0" t="s">
        <v>8741</v>
      </c>
      <c r="J2616" s="0" t="s">
        <v>8742</v>
      </c>
      <c r="K2616" s="0" t="s">
        <v>8743</v>
      </c>
      <c r="L2616" s="0" t="str">
        <f aca="false">HYPERLINK("https://www.ncbi.nlm.nih.gov/nuccore/CP000058.1?report=graph&amp;tracks=[key:gene_model_track,Options:GeneOnly]&amp;mk=821430:821449|offset_16|00cc00,821409:821428|offset_37|444444,821380:821399|offset_66|444444,821316:821335|offset_130|444444&amp;v=821229:821535&amp;c=444444", "offset 16")</f>
        <v>offset 16</v>
      </c>
    </row>
    <row r="2617" customFormat="false" ht="12.8" hidden="false" customHeight="false" outlineLevel="0" collapsed="false">
      <c r="A2617" s="0" t="s">
        <v>12</v>
      </c>
      <c r="B2617" s="0" t="n">
        <v>821408</v>
      </c>
      <c r="C2617" s="0" t="n">
        <v>821428</v>
      </c>
      <c r="D2617" s="0" t="s">
        <v>8740</v>
      </c>
      <c r="E2617" s="0" t="s">
        <v>75</v>
      </c>
      <c r="F2617" s="0" t="s">
        <v>90</v>
      </c>
      <c r="G2617" s="0" t="s">
        <v>20</v>
      </c>
      <c r="H2617" s="0" t="n">
        <v>37</v>
      </c>
      <c r="I2617" s="0" t="s">
        <v>8744</v>
      </c>
      <c r="J2617" s="0" t="s">
        <v>8745</v>
      </c>
      <c r="K2617" s="0" t="s">
        <v>8746</v>
      </c>
      <c r="L2617" s="0" t="str">
        <f aca="false">HYPERLINK("https://www.ncbi.nlm.nih.gov/nuccore/CP000058.1?report=graph&amp;tracks=[key:gene_model_track,Options:GeneOnly]&amp;mk=821430:821449|offset_16|444444,821409:821428|offset_37|00cc00,821380:821399|offset_66|444444,821316:821335|offset_130|444444&amp;v=821229:821535&amp;c=444444", "offset 37")</f>
        <v>offset 37</v>
      </c>
    </row>
    <row r="2618" customFormat="false" ht="12.8" hidden="false" customHeight="false" outlineLevel="0" collapsed="false">
      <c r="A2618" s="0" t="s">
        <v>12</v>
      </c>
      <c r="B2618" s="0" t="n">
        <v>821379</v>
      </c>
      <c r="C2618" s="0" t="n">
        <v>821399</v>
      </c>
      <c r="D2618" s="0" t="s">
        <v>8740</v>
      </c>
      <c r="E2618" s="0" t="s">
        <v>75</v>
      </c>
      <c r="F2618" s="0" t="s">
        <v>90</v>
      </c>
      <c r="G2618" s="0" t="s">
        <v>20</v>
      </c>
      <c r="H2618" s="0" t="n">
        <v>66</v>
      </c>
      <c r="I2618" s="0" t="s">
        <v>8747</v>
      </c>
      <c r="J2618" s="0" t="s">
        <v>8748</v>
      </c>
      <c r="K2618" s="0" t="s">
        <v>8749</v>
      </c>
      <c r="L2618" s="0" t="str">
        <f aca="false">HYPERLINK("https://www.ncbi.nlm.nih.gov/nuccore/CP000058.1?report=graph&amp;tracks=[key:gene_model_track,Options:GeneOnly]&amp;mk=821430:821449|offset_16|444444,821409:821428|offset_37|444444,821380:821399|offset_66|00cc00,821316:821335|offset_130|444444&amp;v=821229:821535&amp;c=444444", "offset 66")</f>
        <v>offset 66</v>
      </c>
    </row>
    <row r="2619" customFormat="false" ht="12.8" hidden="false" customHeight="false" outlineLevel="0" collapsed="false">
      <c r="A2619" s="0" t="s">
        <v>12</v>
      </c>
      <c r="B2619" s="0" t="n">
        <v>821315</v>
      </c>
      <c r="C2619" s="0" t="n">
        <v>821335</v>
      </c>
      <c r="D2619" s="0" t="s">
        <v>8740</v>
      </c>
      <c r="E2619" s="0" t="s">
        <v>75</v>
      </c>
      <c r="F2619" s="0" t="s">
        <v>90</v>
      </c>
      <c r="G2619" s="0" t="s">
        <v>20</v>
      </c>
      <c r="H2619" s="0" t="n">
        <v>130</v>
      </c>
      <c r="I2619" s="0" t="s">
        <v>8750</v>
      </c>
      <c r="J2619" s="0" t="s">
        <v>8751</v>
      </c>
      <c r="K2619" s="0" t="s">
        <v>8752</v>
      </c>
      <c r="L2619" s="0" t="str">
        <f aca="false">HYPERLINK("https://www.ncbi.nlm.nih.gov/nuccore/CP000058.1?report=graph&amp;tracks=[key:gene_model_track,Options:GeneOnly]&amp;mk=821430:821449|offset_16|444444,821409:821428|offset_37|444444,821380:821399|offset_66|444444,821316:821335|offset_130|00cc00&amp;v=821229:821535&amp;c=444444", "offset 130")</f>
        <v>offset 130</v>
      </c>
    </row>
    <row r="2620" customFormat="false" ht="12.8" hidden="false" customHeight="false" outlineLevel="0" collapsed="false">
      <c r="A2620" s="0" t="s">
        <v>12</v>
      </c>
      <c r="B2620" s="0" t="n">
        <v>824141</v>
      </c>
      <c r="C2620" s="0" t="n">
        <v>824161</v>
      </c>
      <c r="D2620" s="0" t="s">
        <v>8753</v>
      </c>
      <c r="E2620" s="0" t="s">
        <v>75</v>
      </c>
      <c r="F2620" s="0" t="s">
        <v>90</v>
      </c>
      <c r="G2620" s="0" t="s">
        <v>20</v>
      </c>
      <c r="H2620" s="0" t="n">
        <v>1370</v>
      </c>
      <c r="I2620" s="0" t="s">
        <v>8754</v>
      </c>
      <c r="J2620" s="0" t="s">
        <v>8755</v>
      </c>
      <c r="K2620" s="0" t="s">
        <v>8756</v>
      </c>
      <c r="L2620" s="0" t="str">
        <f aca="false">HYPERLINK("https://www.ncbi.nlm.nih.gov/nuccore/CP000058.1?report=graph&amp;tracks=[key:gene_model_track,Options:GeneOnly]&amp;mk=824142:824161|offset_1370|00cc00,824115:824134|offset_1397|444444,823996:824015|offset_1516|444444,823968:823987|offset_1544|444444&amp;v=823941:824187&amp;c=444444", "offset 1370")</f>
        <v>offset 1370</v>
      </c>
    </row>
    <row r="2621" customFormat="false" ht="12.8" hidden="false" customHeight="false" outlineLevel="0" collapsed="false">
      <c r="A2621" s="0" t="s">
        <v>12</v>
      </c>
      <c r="B2621" s="0" t="n">
        <v>824114</v>
      </c>
      <c r="C2621" s="0" t="n">
        <v>824134</v>
      </c>
      <c r="D2621" s="0" t="s">
        <v>8753</v>
      </c>
      <c r="E2621" s="0" t="s">
        <v>75</v>
      </c>
      <c r="F2621" s="0" t="s">
        <v>90</v>
      </c>
      <c r="G2621" s="0" t="s">
        <v>16</v>
      </c>
      <c r="H2621" s="0" t="n">
        <v>1397</v>
      </c>
      <c r="I2621" s="0" t="s">
        <v>8757</v>
      </c>
      <c r="J2621" s="0" t="s">
        <v>8758</v>
      </c>
      <c r="K2621" s="0" t="s">
        <v>8759</v>
      </c>
      <c r="L2621" s="0" t="str">
        <f aca="false">HYPERLINK("https://www.ncbi.nlm.nih.gov/nuccore/CP000058.1?report=graph&amp;tracks=[key:gene_model_track,Options:GeneOnly]&amp;mk=824142:824161|offset_1370|444444,824115:824134|offset_1397|00cc00,823996:824015|offset_1516|444444,823968:823987|offset_1544|444444&amp;v=823941:824187&amp;c=444444", "offset 1397")</f>
        <v>offset 1397</v>
      </c>
    </row>
    <row r="2622" customFormat="false" ht="12.8" hidden="false" customHeight="false" outlineLevel="0" collapsed="false">
      <c r="A2622" s="0" t="s">
        <v>12</v>
      </c>
      <c r="B2622" s="0" t="n">
        <v>823995</v>
      </c>
      <c r="C2622" s="0" t="n">
        <v>824015</v>
      </c>
      <c r="D2622" s="0" t="s">
        <v>8753</v>
      </c>
      <c r="E2622" s="0" t="s">
        <v>75</v>
      </c>
      <c r="F2622" s="0" t="s">
        <v>90</v>
      </c>
      <c r="G2622" s="0" t="s">
        <v>20</v>
      </c>
      <c r="H2622" s="0" t="n">
        <v>1516</v>
      </c>
      <c r="I2622" s="0" t="s">
        <v>8760</v>
      </c>
      <c r="J2622" s="0" t="s">
        <v>8761</v>
      </c>
      <c r="K2622" s="0" t="s">
        <v>8762</v>
      </c>
      <c r="L2622" s="0" t="str">
        <f aca="false">HYPERLINK("https://www.ncbi.nlm.nih.gov/nuccore/CP000058.1?report=graph&amp;tracks=[key:gene_model_track,Options:GeneOnly]&amp;mk=824142:824161|offset_1370|444444,824115:824134|offset_1397|444444,823996:824015|offset_1516|00cc00,823968:823987|offset_1544|444444&amp;v=823941:824187&amp;c=444444", "offset 1516")</f>
        <v>offset 1516</v>
      </c>
    </row>
    <row r="2623" customFormat="false" ht="12.8" hidden="false" customHeight="false" outlineLevel="0" collapsed="false">
      <c r="A2623" s="0" t="s">
        <v>12</v>
      </c>
      <c r="B2623" s="0" t="n">
        <v>823967</v>
      </c>
      <c r="C2623" s="0" t="n">
        <v>823987</v>
      </c>
      <c r="D2623" s="0" t="s">
        <v>8753</v>
      </c>
      <c r="E2623" s="0" t="s">
        <v>75</v>
      </c>
      <c r="F2623" s="0" t="s">
        <v>90</v>
      </c>
      <c r="G2623" s="0" t="s">
        <v>20</v>
      </c>
      <c r="H2623" s="0" t="n">
        <v>1544</v>
      </c>
      <c r="I2623" s="0" t="s">
        <v>8763</v>
      </c>
      <c r="J2623" s="0" t="s">
        <v>8764</v>
      </c>
      <c r="K2623" s="0" t="s">
        <v>8765</v>
      </c>
      <c r="L2623" s="0" t="str">
        <f aca="false">HYPERLINK("https://www.ncbi.nlm.nih.gov/nuccore/CP000058.1?report=graph&amp;tracks=[key:gene_model_track,Options:GeneOnly]&amp;mk=824142:824161|offset_1370|444444,824115:824134|offset_1397|444444,823996:824015|offset_1516|444444,823968:823987|offset_1544|00cc00&amp;v=823941:824187&amp;c=444444", "offset 1544")</f>
        <v>offset 1544</v>
      </c>
    </row>
    <row r="2624" customFormat="false" ht="12.8" hidden="false" customHeight="false" outlineLevel="0" collapsed="false">
      <c r="A2624" s="0" t="s">
        <v>12</v>
      </c>
      <c r="B2624" s="0" t="n">
        <v>826455</v>
      </c>
      <c r="C2624" s="0" t="n">
        <v>826475</v>
      </c>
      <c r="D2624" s="0" t="s">
        <v>8766</v>
      </c>
      <c r="E2624" s="0" t="s">
        <v>8767</v>
      </c>
      <c r="F2624" s="0" t="s">
        <v>15</v>
      </c>
      <c r="G2624" s="0" t="s">
        <v>32</v>
      </c>
      <c r="H2624" s="0" t="n">
        <v>43</v>
      </c>
      <c r="I2624" s="0" t="s">
        <v>8768</v>
      </c>
      <c r="J2624" s="0" t="s">
        <v>8769</v>
      </c>
      <c r="K2624" s="0" t="s">
        <v>8770</v>
      </c>
      <c r="L2624" s="0" t="str">
        <f aca="false">HYPERLINK("https://www.ncbi.nlm.nih.gov/nuccore/CP000058.1?report=graph&amp;tracks=[key:gene_model_track,Options:GeneOnly]&amp;mk=826456:826475|offset_43|00cc00,826478:826497|offset_65|444444,826501:826520|offset_88|444444,826528:826547|offset_115|444444&amp;v=826255:826747&amp;c=444444", "offset 43")</f>
        <v>offset 43</v>
      </c>
    </row>
    <row r="2625" customFormat="false" ht="12.8" hidden="false" customHeight="false" outlineLevel="0" collapsed="false">
      <c r="A2625" s="0" t="s">
        <v>12</v>
      </c>
      <c r="B2625" s="0" t="n">
        <v>826477</v>
      </c>
      <c r="C2625" s="0" t="n">
        <v>826497</v>
      </c>
      <c r="D2625" s="0" t="s">
        <v>8766</v>
      </c>
      <c r="E2625" s="0" t="s">
        <v>8767</v>
      </c>
      <c r="F2625" s="0" t="s">
        <v>15</v>
      </c>
      <c r="G2625" s="0" t="s">
        <v>32</v>
      </c>
      <c r="H2625" s="0" t="n">
        <v>65</v>
      </c>
      <c r="I2625" s="0" t="s">
        <v>8771</v>
      </c>
      <c r="J2625" s="0" t="s">
        <v>8772</v>
      </c>
      <c r="K2625" s="0" t="s">
        <v>8773</v>
      </c>
      <c r="L2625" s="0" t="str">
        <f aca="false">HYPERLINK("https://www.ncbi.nlm.nih.gov/nuccore/CP000058.1?report=graph&amp;tracks=[key:gene_model_track,Options:GeneOnly]&amp;mk=826456:826475|offset_43|444444,826478:826497|offset_65|00cc00,826501:826520|offset_88|444444,826528:826547|offset_115|444444&amp;v=826255:826747&amp;c=444444", "offset 65")</f>
        <v>offset 65</v>
      </c>
    </row>
    <row r="2626" customFormat="false" ht="12.8" hidden="false" customHeight="false" outlineLevel="0" collapsed="false">
      <c r="A2626" s="0" t="s">
        <v>12</v>
      </c>
      <c r="B2626" s="0" t="n">
        <v>826500</v>
      </c>
      <c r="C2626" s="0" t="n">
        <v>826520</v>
      </c>
      <c r="D2626" s="0" t="s">
        <v>8766</v>
      </c>
      <c r="E2626" s="0" t="s">
        <v>8767</v>
      </c>
      <c r="F2626" s="0" t="s">
        <v>15</v>
      </c>
      <c r="G2626" s="0" t="s">
        <v>36</v>
      </c>
      <c r="H2626" s="0" t="n">
        <v>88</v>
      </c>
      <c r="I2626" s="0" t="s">
        <v>8774</v>
      </c>
      <c r="J2626" s="0" t="s">
        <v>8775</v>
      </c>
      <c r="K2626" s="0" t="s">
        <v>8776</v>
      </c>
      <c r="L2626" s="0" t="str">
        <f aca="false">HYPERLINK("https://www.ncbi.nlm.nih.gov/nuccore/CP000058.1?report=graph&amp;tracks=[key:gene_model_track,Options:GeneOnly]&amp;mk=826456:826475|offset_43|444444,826478:826497|offset_65|444444,826501:826520|offset_88|00cc00,826528:826547|offset_115|444444&amp;v=826255:826747&amp;c=444444", "offset 88")</f>
        <v>offset 88</v>
      </c>
    </row>
    <row r="2627" customFormat="false" ht="12.8" hidden="false" customHeight="false" outlineLevel="0" collapsed="false">
      <c r="A2627" s="0" t="s">
        <v>12</v>
      </c>
      <c r="B2627" s="0" t="n">
        <v>826527</v>
      </c>
      <c r="C2627" s="0" t="n">
        <v>826547</v>
      </c>
      <c r="D2627" s="0" t="s">
        <v>8766</v>
      </c>
      <c r="E2627" s="0" t="s">
        <v>8767</v>
      </c>
      <c r="F2627" s="0" t="s">
        <v>15</v>
      </c>
      <c r="G2627" s="0" t="s">
        <v>36</v>
      </c>
      <c r="H2627" s="0" t="n">
        <v>115</v>
      </c>
      <c r="I2627" s="0" t="s">
        <v>8777</v>
      </c>
      <c r="J2627" s="0" t="s">
        <v>8778</v>
      </c>
      <c r="K2627" s="0" t="s">
        <v>8779</v>
      </c>
      <c r="L2627" s="0" t="str">
        <f aca="false">HYPERLINK("https://www.ncbi.nlm.nih.gov/nuccore/CP000058.1?report=graph&amp;tracks=[key:gene_model_track,Options:GeneOnly]&amp;mk=826456:826475|offset_43|444444,826478:826497|offset_65|444444,826501:826520|offset_88|444444,826528:826547|offset_115|00cc00&amp;v=826255:826747&amp;c=444444", "offset 115")</f>
        <v>offset 115</v>
      </c>
    </row>
    <row r="2628" customFormat="false" ht="12.8" hidden="false" customHeight="false" outlineLevel="0" collapsed="false">
      <c r="A2628" s="0" t="s">
        <v>12</v>
      </c>
      <c r="B2628" s="0" t="n">
        <v>827694</v>
      </c>
      <c r="C2628" s="0" t="n">
        <v>827714</v>
      </c>
      <c r="D2628" s="0" t="s">
        <v>8780</v>
      </c>
      <c r="E2628" s="0" t="s">
        <v>75</v>
      </c>
      <c r="F2628" s="0" t="s">
        <v>90</v>
      </c>
      <c r="G2628" s="0" t="s">
        <v>32</v>
      </c>
      <c r="H2628" s="0" t="n">
        <v>7</v>
      </c>
      <c r="I2628" s="0" t="s">
        <v>8781</v>
      </c>
      <c r="J2628" s="0" t="s">
        <v>8782</v>
      </c>
      <c r="K2628" s="0" t="s">
        <v>8783</v>
      </c>
      <c r="L2628" s="0" t="str">
        <f aca="false">HYPERLINK("https://www.ncbi.nlm.nih.gov/nuccore/CP000058.1?report=graph&amp;tracks=[key:gene_model_track,Options:GeneOnly]&amp;mk=827695:827714|offset_7|00cc00,827658:827677|offset_44|444444,827634:827653|offset_68|444444,827614:827633|offset_88|444444&amp;v=827494:827833&amp;c=444444", "offset 7")</f>
        <v>offset 7</v>
      </c>
    </row>
    <row r="2629" customFormat="false" ht="12.8" hidden="false" customHeight="false" outlineLevel="0" collapsed="false">
      <c r="A2629" s="0" t="s">
        <v>12</v>
      </c>
      <c r="B2629" s="0" t="n">
        <v>827657</v>
      </c>
      <c r="C2629" s="0" t="n">
        <v>827677</v>
      </c>
      <c r="D2629" s="0" t="s">
        <v>8780</v>
      </c>
      <c r="E2629" s="0" t="s">
        <v>75</v>
      </c>
      <c r="F2629" s="0" t="s">
        <v>90</v>
      </c>
      <c r="G2629" s="0" t="s">
        <v>32</v>
      </c>
      <c r="H2629" s="0" t="n">
        <v>44</v>
      </c>
      <c r="I2629" s="0" t="s">
        <v>8784</v>
      </c>
      <c r="J2629" s="0" t="s">
        <v>8785</v>
      </c>
      <c r="K2629" s="0" t="s">
        <v>8786</v>
      </c>
      <c r="L2629" s="0" t="str">
        <f aca="false">HYPERLINK("https://www.ncbi.nlm.nih.gov/nuccore/CP000058.1?report=graph&amp;tracks=[key:gene_model_track,Options:GeneOnly]&amp;mk=827695:827714|offset_7|444444,827658:827677|offset_44|00cc00,827634:827653|offset_68|444444,827614:827633|offset_88|444444&amp;v=827494:827833&amp;c=444444", "offset 44")</f>
        <v>offset 44</v>
      </c>
    </row>
    <row r="2630" customFormat="false" ht="12.8" hidden="false" customHeight="false" outlineLevel="0" collapsed="false">
      <c r="A2630" s="0" t="s">
        <v>12</v>
      </c>
      <c r="B2630" s="0" t="n">
        <v>827633</v>
      </c>
      <c r="C2630" s="0" t="n">
        <v>827653</v>
      </c>
      <c r="D2630" s="0" t="s">
        <v>8780</v>
      </c>
      <c r="E2630" s="0" t="s">
        <v>75</v>
      </c>
      <c r="F2630" s="0" t="s">
        <v>90</v>
      </c>
      <c r="G2630" s="0" t="s">
        <v>20</v>
      </c>
      <c r="H2630" s="0" t="n">
        <v>68</v>
      </c>
      <c r="I2630" s="0" t="s">
        <v>8787</v>
      </c>
      <c r="J2630" s="0" t="s">
        <v>8788</v>
      </c>
      <c r="K2630" s="0" t="s">
        <v>8789</v>
      </c>
      <c r="L2630" s="0" t="str">
        <f aca="false">HYPERLINK("https://www.ncbi.nlm.nih.gov/nuccore/CP000058.1?report=graph&amp;tracks=[key:gene_model_track,Options:GeneOnly]&amp;mk=827695:827714|offset_7|444444,827658:827677|offset_44|444444,827634:827653|offset_68|00cc00,827614:827633|offset_88|444444&amp;v=827494:827833&amp;c=444444", "offset 68")</f>
        <v>offset 68</v>
      </c>
    </row>
    <row r="2631" customFormat="false" ht="12.8" hidden="false" customHeight="false" outlineLevel="0" collapsed="false">
      <c r="A2631" s="0" t="s">
        <v>12</v>
      </c>
      <c r="B2631" s="0" t="n">
        <v>827613</v>
      </c>
      <c r="C2631" s="0" t="n">
        <v>827633</v>
      </c>
      <c r="D2631" s="0" t="s">
        <v>8780</v>
      </c>
      <c r="E2631" s="0" t="s">
        <v>75</v>
      </c>
      <c r="F2631" s="0" t="s">
        <v>90</v>
      </c>
      <c r="G2631" s="0" t="s">
        <v>32</v>
      </c>
      <c r="H2631" s="0" t="n">
        <v>88</v>
      </c>
      <c r="I2631" s="0" t="s">
        <v>8790</v>
      </c>
      <c r="J2631" s="0" t="s">
        <v>8791</v>
      </c>
      <c r="K2631" s="0" t="s">
        <v>8792</v>
      </c>
      <c r="L2631" s="0" t="str">
        <f aca="false">HYPERLINK("https://www.ncbi.nlm.nih.gov/nuccore/CP000058.1?report=graph&amp;tracks=[key:gene_model_track,Options:GeneOnly]&amp;mk=827695:827714|offset_7|444444,827658:827677|offset_44|444444,827634:827653|offset_68|444444,827614:827633|offset_88|00cc00&amp;v=827494:827833&amp;c=444444", "offset 88")</f>
        <v>offset 88</v>
      </c>
    </row>
    <row r="2632" customFormat="false" ht="12.8" hidden="false" customHeight="false" outlineLevel="0" collapsed="false">
      <c r="A2632" s="0" t="s">
        <v>12</v>
      </c>
      <c r="B2632" s="0" t="n">
        <v>828224</v>
      </c>
      <c r="C2632" s="0" t="n">
        <v>828244</v>
      </c>
      <c r="D2632" s="0" t="s">
        <v>8793</v>
      </c>
      <c r="E2632" s="0" t="s">
        <v>75</v>
      </c>
      <c r="F2632" s="0" t="s">
        <v>90</v>
      </c>
      <c r="G2632" s="0" t="s">
        <v>20</v>
      </c>
      <c r="H2632" s="0" t="n">
        <v>71</v>
      </c>
      <c r="I2632" s="0" t="s">
        <v>8794</v>
      </c>
      <c r="J2632" s="0" t="s">
        <v>8795</v>
      </c>
      <c r="K2632" s="0" t="s">
        <v>8796</v>
      </c>
      <c r="L2632" s="0" t="str">
        <f aca="false">HYPERLINK("https://www.ncbi.nlm.nih.gov/nuccore/CP000058.1?report=graph&amp;tracks=[key:gene_model_track,Options:GeneOnly]&amp;mk=828225:828244|offset_71|00cc00,828205:828224|offset_91|444444,828171:828190|offset_125|444444,828147:828166|offset_149|444444&amp;v=828024:828366&amp;c=444444", "offset 71")</f>
        <v>offset 71</v>
      </c>
    </row>
    <row r="2633" customFormat="false" ht="12.8" hidden="false" customHeight="false" outlineLevel="0" collapsed="false">
      <c r="A2633" s="0" t="s">
        <v>12</v>
      </c>
      <c r="B2633" s="0" t="n">
        <v>828204</v>
      </c>
      <c r="C2633" s="0" t="n">
        <v>828224</v>
      </c>
      <c r="D2633" s="0" t="s">
        <v>8793</v>
      </c>
      <c r="E2633" s="0" t="s">
        <v>75</v>
      </c>
      <c r="F2633" s="0" t="s">
        <v>90</v>
      </c>
      <c r="G2633" s="0" t="s">
        <v>36</v>
      </c>
      <c r="H2633" s="0" t="n">
        <v>91</v>
      </c>
      <c r="I2633" s="0" t="s">
        <v>8797</v>
      </c>
      <c r="J2633" s="0" t="s">
        <v>8798</v>
      </c>
      <c r="K2633" s="0" t="s">
        <v>8799</v>
      </c>
      <c r="L2633" s="0" t="str">
        <f aca="false">HYPERLINK("https://www.ncbi.nlm.nih.gov/nuccore/CP000058.1?report=graph&amp;tracks=[key:gene_model_track,Options:GeneOnly]&amp;mk=828225:828244|offset_71|444444,828205:828224|offset_91|00cc00,828171:828190|offset_125|444444,828147:828166|offset_149|444444&amp;v=828024:828366&amp;c=444444", "offset 91")</f>
        <v>offset 91</v>
      </c>
    </row>
    <row r="2634" customFormat="false" ht="12.8" hidden="false" customHeight="false" outlineLevel="0" collapsed="false">
      <c r="A2634" s="0" t="s">
        <v>12</v>
      </c>
      <c r="B2634" s="0" t="n">
        <v>828170</v>
      </c>
      <c r="C2634" s="0" t="n">
        <v>828190</v>
      </c>
      <c r="D2634" s="0" t="s">
        <v>8793</v>
      </c>
      <c r="E2634" s="0" t="s">
        <v>75</v>
      </c>
      <c r="F2634" s="0" t="s">
        <v>90</v>
      </c>
      <c r="G2634" s="0" t="s">
        <v>16</v>
      </c>
      <c r="H2634" s="0" t="n">
        <v>125</v>
      </c>
      <c r="I2634" s="0" t="s">
        <v>8800</v>
      </c>
      <c r="J2634" s="0" t="s">
        <v>8801</v>
      </c>
      <c r="K2634" s="0" t="s">
        <v>8802</v>
      </c>
      <c r="L2634" s="0" t="str">
        <f aca="false">HYPERLINK("https://www.ncbi.nlm.nih.gov/nuccore/CP000058.1?report=graph&amp;tracks=[key:gene_model_track,Options:GeneOnly]&amp;mk=828225:828244|offset_71|444444,828205:828224|offset_91|444444,828171:828190|offset_125|00cc00,828147:828166|offset_149|444444&amp;v=828024:828366&amp;c=444444", "offset 125")</f>
        <v>offset 125</v>
      </c>
    </row>
    <row r="2635" customFormat="false" ht="12.8" hidden="false" customHeight="false" outlineLevel="0" collapsed="false">
      <c r="A2635" s="0" t="s">
        <v>12</v>
      </c>
      <c r="B2635" s="0" t="n">
        <v>828146</v>
      </c>
      <c r="C2635" s="0" t="n">
        <v>828166</v>
      </c>
      <c r="D2635" s="0" t="s">
        <v>8793</v>
      </c>
      <c r="E2635" s="0" t="s">
        <v>75</v>
      </c>
      <c r="F2635" s="0" t="s">
        <v>90</v>
      </c>
      <c r="G2635" s="0" t="s">
        <v>36</v>
      </c>
      <c r="H2635" s="0" t="n">
        <v>149</v>
      </c>
      <c r="I2635" s="0" t="s">
        <v>8803</v>
      </c>
      <c r="J2635" s="0" t="s">
        <v>8804</v>
      </c>
      <c r="K2635" s="0" t="s">
        <v>8805</v>
      </c>
      <c r="L2635" s="0" t="str">
        <f aca="false">HYPERLINK("https://www.ncbi.nlm.nih.gov/nuccore/CP000058.1?report=graph&amp;tracks=[key:gene_model_track,Options:GeneOnly]&amp;mk=828225:828244|offset_71|444444,828205:828224|offset_91|444444,828171:828190|offset_125|444444,828147:828166|offset_149|00cc00&amp;v=828024:828366&amp;c=444444", "offset 149")</f>
        <v>offset 149</v>
      </c>
    </row>
    <row r="2636" customFormat="false" ht="12.8" hidden="false" customHeight="false" outlineLevel="0" collapsed="false">
      <c r="A2636" s="0" t="s">
        <v>12</v>
      </c>
      <c r="B2636" s="0" t="n">
        <v>829093</v>
      </c>
      <c r="C2636" s="0" t="n">
        <v>829113</v>
      </c>
      <c r="D2636" s="0" t="s">
        <v>8806</v>
      </c>
      <c r="E2636" s="0" t="s">
        <v>75</v>
      </c>
      <c r="F2636" s="0" t="s">
        <v>90</v>
      </c>
      <c r="G2636" s="0" t="s">
        <v>36</v>
      </c>
      <c r="H2636" s="0" t="n">
        <v>26</v>
      </c>
      <c r="I2636" s="0" t="s">
        <v>8807</v>
      </c>
      <c r="J2636" s="0" t="s">
        <v>8808</v>
      </c>
      <c r="K2636" s="0" t="s">
        <v>8809</v>
      </c>
      <c r="L2636" s="0" t="str">
        <f aca="false">HYPERLINK("https://www.ncbi.nlm.nih.gov/nuccore/CP000058.1?report=graph&amp;tracks=[key:gene_model_track,Options:GeneOnly]&amp;mk=829094:829113|offset_26|00cc00,829050:829069|offset_70|444444,829023:829042|offset_97|444444,828993:829012|offset_127|444444&amp;v=828893:829212&amp;c=444444", "offset 26")</f>
        <v>offset 26</v>
      </c>
    </row>
    <row r="2637" customFormat="false" ht="12.8" hidden="false" customHeight="false" outlineLevel="0" collapsed="false">
      <c r="A2637" s="0" t="s">
        <v>12</v>
      </c>
      <c r="B2637" s="0" t="n">
        <v>829049</v>
      </c>
      <c r="C2637" s="0" t="n">
        <v>829069</v>
      </c>
      <c r="D2637" s="0" t="s">
        <v>8806</v>
      </c>
      <c r="E2637" s="0" t="s">
        <v>75</v>
      </c>
      <c r="F2637" s="0" t="s">
        <v>90</v>
      </c>
      <c r="G2637" s="0" t="s">
        <v>36</v>
      </c>
      <c r="H2637" s="0" t="n">
        <v>70</v>
      </c>
      <c r="I2637" s="0" t="s">
        <v>8810</v>
      </c>
      <c r="J2637" s="0" t="s">
        <v>8811</v>
      </c>
      <c r="K2637" s="0" t="s">
        <v>8812</v>
      </c>
      <c r="L2637" s="0" t="str">
        <f aca="false">HYPERLINK("https://www.ncbi.nlm.nih.gov/nuccore/CP000058.1?report=graph&amp;tracks=[key:gene_model_track,Options:GeneOnly]&amp;mk=829094:829113|offset_26|444444,829050:829069|offset_70|00cc00,829023:829042|offset_97|444444,828993:829012|offset_127|444444&amp;v=828893:829212&amp;c=444444", "offset 70")</f>
        <v>offset 70</v>
      </c>
    </row>
    <row r="2638" customFormat="false" ht="12.8" hidden="false" customHeight="false" outlineLevel="0" collapsed="false">
      <c r="A2638" s="0" t="s">
        <v>12</v>
      </c>
      <c r="B2638" s="0" t="n">
        <v>829022</v>
      </c>
      <c r="C2638" s="0" t="n">
        <v>829042</v>
      </c>
      <c r="D2638" s="0" t="s">
        <v>8806</v>
      </c>
      <c r="E2638" s="0" t="s">
        <v>75</v>
      </c>
      <c r="F2638" s="0" t="s">
        <v>90</v>
      </c>
      <c r="G2638" s="0" t="s">
        <v>16</v>
      </c>
      <c r="H2638" s="0" t="n">
        <v>97</v>
      </c>
      <c r="I2638" s="0" t="s">
        <v>8813</v>
      </c>
      <c r="J2638" s="0" t="s">
        <v>8814</v>
      </c>
      <c r="K2638" s="0" t="s">
        <v>8815</v>
      </c>
      <c r="L2638" s="0" t="str">
        <f aca="false">HYPERLINK("https://www.ncbi.nlm.nih.gov/nuccore/CP000058.1?report=graph&amp;tracks=[key:gene_model_track,Options:GeneOnly]&amp;mk=829094:829113|offset_26|444444,829050:829069|offset_70|444444,829023:829042|offset_97|00cc00,828993:829012|offset_127|444444&amp;v=828893:829212&amp;c=444444", "offset 97")</f>
        <v>offset 97</v>
      </c>
    </row>
    <row r="2639" customFormat="false" ht="12.8" hidden="false" customHeight="false" outlineLevel="0" collapsed="false">
      <c r="A2639" s="0" t="s">
        <v>12</v>
      </c>
      <c r="B2639" s="0" t="n">
        <v>828992</v>
      </c>
      <c r="C2639" s="0" t="n">
        <v>829012</v>
      </c>
      <c r="D2639" s="0" t="s">
        <v>8806</v>
      </c>
      <c r="E2639" s="0" t="s">
        <v>75</v>
      </c>
      <c r="F2639" s="0" t="s">
        <v>90</v>
      </c>
      <c r="G2639" s="0" t="s">
        <v>16</v>
      </c>
      <c r="H2639" s="0" t="n">
        <v>127</v>
      </c>
      <c r="I2639" s="0" t="s">
        <v>8816</v>
      </c>
      <c r="J2639" s="0" t="s">
        <v>8817</v>
      </c>
      <c r="K2639" s="0" t="s">
        <v>8818</v>
      </c>
      <c r="L2639" s="0" t="str">
        <f aca="false">HYPERLINK("https://www.ncbi.nlm.nih.gov/nuccore/CP000058.1?report=graph&amp;tracks=[key:gene_model_track,Options:GeneOnly]&amp;mk=829094:829113|offset_26|444444,829050:829069|offset_70|444444,829023:829042|offset_97|444444,828993:829012|offset_127|00cc00&amp;v=828893:829212&amp;c=444444", "offset 127")</f>
        <v>offset 127</v>
      </c>
    </row>
    <row r="2640" customFormat="false" ht="12.8" hidden="false" customHeight="false" outlineLevel="0" collapsed="false">
      <c r="A2640" s="0" t="s">
        <v>12</v>
      </c>
      <c r="B2640" s="0" t="n">
        <v>829903</v>
      </c>
      <c r="C2640" s="0" t="n">
        <v>829923</v>
      </c>
      <c r="D2640" s="0" t="s">
        <v>8819</v>
      </c>
      <c r="E2640" s="0" t="s">
        <v>75</v>
      </c>
      <c r="F2640" s="0" t="s">
        <v>90</v>
      </c>
      <c r="G2640" s="0" t="s">
        <v>36</v>
      </c>
      <c r="H2640" s="0" t="n">
        <v>7</v>
      </c>
      <c r="I2640" s="0" t="s">
        <v>8820</v>
      </c>
      <c r="J2640" s="0" t="s">
        <v>8821</v>
      </c>
      <c r="K2640" s="0" t="s">
        <v>8822</v>
      </c>
      <c r="L2640" s="0" t="str">
        <f aca="false">HYPERLINK("https://www.ncbi.nlm.nih.gov/nuccore/CP000058.1?report=graph&amp;tracks=[key:gene_model_track,Options:GeneOnly]&amp;mk=829904:829923|offset_7|00cc00,829876:829895|offset_35|444444,829800:829819|offset_111|444444,829768:829787|offset_143|444444&amp;v=829703:829987&amp;c=444444", "offset 7")</f>
        <v>offset 7</v>
      </c>
    </row>
    <row r="2641" customFormat="false" ht="12.8" hidden="false" customHeight="false" outlineLevel="0" collapsed="false">
      <c r="A2641" s="0" t="s">
        <v>12</v>
      </c>
      <c r="B2641" s="0" t="n">
        <v>829875</v>
      </c>
      <c r="C2641" s="0" t="n">
        <v>829895</v>
      </c>
      <c r="D2641" s="0" t="s">
        <v>8819</v>
      </c>
      <c r="E2641" s="0" t="s">
        <v>75</v>
      </c>
      <c r="F2641" s="0" t="s">
        <v>90</v>
      </c>
      <c r="G2641" s="0" t="s">
        <v>32</v>
      </c>
      <c r="H2641" s="0" t="n">
        <v>35</v>
      </c>
      <c r="I2641" s="0" t="s">
        <v>8823</v>
      </c>
      <c r="J2641" s="0" t="s">
        <v>8824</v>
      </c>
      <c r="K2641" s="0" t="s">
        <v>8825</v>
      </c>
      <c r="L2641" s="0" t="str">
        <f aca="false">HYPERLINK("https://www.ncbi.nlm.nih.gov/nuccore/CP000058.1?report=graph&amp;tracks=[key:gene_model_track,Options:GeneOnly]&amp;mk=829904:829923|offset_7|444444,829876:829895|offset_35|00cc00,829800:829819|offset_111|444444,829768:829787|offset_143|444444&amp;v=829703:829987&amp;c=444444", "offset 35")</f>
        <v>offset 35</v>
      </c>
    </row>
    <row r="2642" customFormat="false" ht="12.8" hidden="false" customHeight="false" outlineLevel="0" collapsed="false">
      <c r="A2642" s="0" t="s">
        <v>12</v>
      </c>
      <c r="B2642" s="0" t="n">
        <v>829799</v>
      </c>
      <c r="C2642" s="0" t="n">
        <v>829819</v>
      </c>
      <c r="D2642" s="0" t="s">
        <v>8819</v>
      </c>
      <c r="E2642" s="0" t="s">
        <v>75</v>
      </c>
      <c r="F2642" s="0" t="s">
        <v>90</v>
      </c>
      <c r="G2642" s="0" t="s">
        <v>16</v>
      </c>
      <c r="H2642" s="0" t="n">
        <v>111</v>
      </c>
      <c r="I2642" s="0" t="s">
        <v>8826</v>
      </c>
      <c r="J2642" s="0" t="s">
        <v>8827</v>
      </c>
      <c r="K2642" s="0" t="s">
        <v>8828</v>
      </c>
      <c r="L2642" s="0" t="str">
        <f aca="false">HYPERLINK("https://www.ncbi.nlm.nih.gov/nuccore/CP000058.1?report=graph&amp;tracks=[key:gene_model_track,Options:GeneOnly]&amp;mk=829904:829923|offset_7|444444,829876:829895|offset_35|444444,829800:829819|offset_111|00cc00,829768:829787|offset_143|444444&amp;v=829703:829987&amp;c=444444", "offset 111")</f>
        <v>offset 111</v>
      </c>
    </row>
    <row r="2643" customFormat="false" ht="12.8" hidden="false" customHeight="false" outlineLevel="0" collapsed="false">
      <c r="A2643" s="0" t="s">
        <v>12</v>
      </c>
      <c r="B2643" s="0" t="n">
        <v>829767</v>
      </c>
      <c r="C2643" s="0" t="n">
        <v>829787</v>
      </c>
      <c r="D2643" s="0" t="s">
        <v>8819</v>
      </c>
      <c r="E2643" s="0" t="s">
        <v>75</v>
      </c>
      <c r="F2643" s="0" t="s">
        <v>90</v>
      </c>
      <c r="G2643" s="0" t="s">
        <v>20</v>
      </c>
      <c r="H2643" s="0" t="n">
        <v>143</v>
      </c>
      <c r="I2643" s="0" t="s">
        <v>8829</v>
      </c>
      <c r="J2643" s="0" t="s">
        <v>8830</v>
      </c>
      <c r="K2643" s="0" t="s">
        <v>8831</v>
      </c>
      <c r="L2643" s="0" t="str">
        <f aca="false">HYPERLINK("https://www.ncbi.nlm.nih.gov/nuccore/CP000058.1?report=graph&amp;tracks=[key:gene_model_track,Options:GeneOnly]&amp;mk=829904:829923|offset_7|444444,829876:829895|offset_35|444444,829800:829819|offset_111|444444,829768:829787|offset_143|00cc00&amp;v=829703:829987&amp;c=444444", "offset 143")</f>
        <v>offset 143</v>
      </c>
    </row>
    <row r="2644" customFormat="false" ht="12.8" hidden="false" customHeight="false" outlineLevel="0" collapsed="false">
      <c r="A2644" s="0" t="s">
        <v>12</v>
      </c>
      <c r="B2644" s="0" t="n">
        <v>830757</v>
      </c>
      <c r="C2644" s="0" t="n">
        <v>830777</v>
      </c>
      <c r="D2644" s="0" t="s">
        <v>8832</v>
      </c>
      <c r="E2644" s="0" t="s">
        <v>75</v>
      </c>
      <c r="F2644" s="0" t="s">
        <v>90</v>
      </c>
      <c r="G2644" s="0" t="s">
        <v>32</v>
      </c>
      <c r="H2644" s="0" t="n">
        <v>1</v>
      </c>
      <c r="I2644" s="0" t="s">
        <v>8833</v>
      </c>
      <c r="J2644" s="0" t="s">
        <v>8834</v>
      </c>
      <c r="K2644" s="0" t="s">
        <v>8835</v>
      </c>
      <c r="L2644" s="0" t="str">
        <f aca="false">HYPERLINK("https://www.ncbi.nlm.nih.gov/nuccore/CP000058.1?report=graph&amp;tracks=[key:gene_model_track,Options:GeneOnly]&amp;mk=830758:830777|offset_1|00cc00,830731:830750|offset_28|444444,830707:830726|offset_52|444444,830686:830705|offset_73|444444&amp;v=830557:830905&amp;c=444444", "offset 1")</f>
        <v>offset 1</v>
      </c>
    </row>
    <row r="2645" customFormat="false" ht="12.8" hidden="false" customHeight="false" outlineLevel="0" collapsed="false">
      <c r="A2645" s="0" t="s">
        <v>12</v>
      </c>
      <c r="B2645" s="0" t="n">
        <v>830730</v>
      </c>
      <c r="C2645" s="0" t="n">
        <v>830750</v>
      </c>
      <c r="D2645" s="0" t="s">
        <v>8832</v>
      </c>
      <c r="E2645" s="0" t="s">
        <v>75</v>
      </c>
      <c r="F2645" s="0" t="s">
        <v>90</v>
      </c>
      <c r="G2645" s="0" t="s">
        <v>16</v>
      </c>
      <c r="H2645" s="0" t="n">
        <v>28</v>
      </c>
      <c r="I2645" s="0" t="s">
        <v>8836</v>
      </c>
      <c r="J2645" s="0" t="s">
        <v>8837</v>
      </c>
      <c r="K2645" s="0" t="s">
        <v>8838</v>
      </c>
      <c r="L2645" s="0" t="str">
        <f aca="false">HYPERLINK("https://www.ncbi.nlm.nih.gov/nuccore/CP000058.1?report=graph&amp;tracks=[key:gene_model_track,Options:GeneOnly]&amp;mk=830758:830777|offset_1|444444,830731:830750|offset_28|00cc00,830707:830726|offset_52|444444,830686:830705|offset_73|444444&amp;v=830557:830905&amp;c=444444", "offset 28")</f>
        <v>offset 28</v>
      </c>
    </row>
    <row r="2646" customFormat="false" ht="12.8" hidden="false" customHeight="false" outlineLevel="0" collapsed="false">
      <c r="A2646" s="0" t="s">
        <v>12</v>
      </c>
      <c r="B2646" s="0" t="n">
        <v>830706</v>
      </c>
      <c r="C2646" s="0" t="n">
        <v>830726</v>
      </c>
      <c r="D2646" s="0" t="s">
        <v>8832</v>
      </c>
      <c r="E2646" s="0" t="s">
        <v>75</v>
      </c>
      <c r="F2646" s="0" t="s">
        <v>90</v>
      </c>
      <c r="G2646" s="0" t="s">
        <v>16</v>
      </c>
      <c r="H2646" s="0" t="n">
        <v>52</v>
      </c>
      <c r="I2646" s="0" t="s">
        <v>8839</v>
      </c>
      <c r="J2646" s="0" t="s">
        <v>8840</v>
      </c>
      <c r="K2646" s="0" t="s">
        <v>8841</v>
      </c>
      <c r="L2646" s="0" t="str">
        <f aca="false">HYPERLINK("https://www.ncbi.nlm.nih.gov/nuccore/CP000058.1?report=graph&amp;tracks=[key:gene_model_track,Options:GeneOnly]&amp;mk=830758:830777|offset_1|444444,830731:830750|offset_28|444444,830707:830726|offset_52|00cc00,830686:830705|offset_73|444444&amp;v=830557:830905&amp;c=444444", "offset 52")</f>
        <v>offset 52</v>
      </c>
    </row>
    <row r="2647" customFormat="false" ht="12.8" hidden="false" customHeight="false" outlineLevel="0" collapsed="false">
      <c r="A2647" s="0" t="s">
        <v>12</v>
      </c>
      <c r="B2647" s="0" t="n">
        <v>830685</v>
      </c>
      <c r="C2647" s="0" t="n">
        <v>830705</v>
      </c>
      <c r="D2647" s="0" t="s">
        <v>8832</v>
      </c>
      <c r="E2647" s="0" t="s">
        <v>75</v>
      </c>
      <c r="F2647" s="0" t="s">
        <v>90</v>
      </c>
      <c r="G2647" s="0" t="s">
        <v>16</v>
      </c>
      <c r="H2647" s="0" t="n">
        <v>73</v>
      </c>
      <c r="I2647" s="0" t="s">
        <v>8842</v>
      </c>
      <c r="J2647" s="0" t="s">
        <v>8843</v>
      </c>
      <c r="K2647" s="0" t="s">
        <v>8844</v>
      </c>
      <c r="L2647" s="0" t="str">
        <f aca="false">HYPERLINK("https://www.ncbi.nlm.nih.gov/nuccore/CP000058.1?report=graph&amp;tracks=[key:gene_model_track,Options:GeneOnly]&amp;mk=830758:830777|offset_1|444444,830731:830750|offset_28|444444,830707:830726|offset_52|444444,830686:830705|offset_73|00cc00&amp;v=830557:830905&amp;c=444444", "offset 73")</f>
        <v>offset 73</v>
      </c>
    </row>
    <row r="2648" customFormat="false" ht="12.8" hidden="false" customHeight="false" outlineLevel="0" collapsed="false">
      <c r="A2648" s="0" t="s">
        <v>12</v>
      </c>
      <c r="B2648" s="0" t="n">
        <v>832054</v>
      </c>
      <c r="C2648" s="0" t="n">
        <v>832074</v>
      </c>
      <c r="D2648" s="0" t="s">
        <v>8845</v>
      </c>
      <c r="E2648" s="0" t="s">
        <v>75</v>
      </c>
      <c r="F2648" s="0" t="s">
        <v>15</v>
      </c>
      <c r="G2648" s="0" t="s">
        <v>16</v>
      </c>
      <c r="H2648" s="0" t="n">
        <v>7</v>
      </c>
      <c r="I2648" s="0" t="s">
        <v>8846</v>
      </c>
      <c r="J2648" s="0" t="s">
        <v>8847</v>
      </c>
      <c r="K2648" s="0" t="s">
        <v>8848</v>
      </c>
      <c r="L2648" s="0" t="str">
        <f aca="false">HYPERLINK("https://www.ncbi.nlm.nih.gov/nuccore/CP000058.1?report=graph&amp;tracks=[key:gene_model_track,Options:GeneOnly]&amp;mk=832055:832074|offset_7|00cc00,832099:832118|offset_51|444444,832120:832139|offset_72|444444,832147:832166|offset_99|444444&amp;v=831854:832366&amp;c=444444", "offset 7")</f>
        <v>offset 7</v>
      </c>
    </row>
    <row r="2649" customFormat="false" ht="12.8" hidden="false" customHeight="false" outlineLevel="0" collapsed="false">
      <c r="A2649" s="0" t="s">
        <v>12</v>
      </c>
      <c r="B2649" s="0" t="n">
        <v>832098</v>
      </c>
      <c r="C2649" s="0" t="n">
        <v>832118</v>
      </c>
      <c r="D2649" s="0" t="s">
        <v>8845</v>
      </c>
      <c r="E2649" s="0" t="s">
        <v>75</v>
      </c>
      <c r="F2649" s="0" t="s">
        <v>15</v>
      </c>
      <c r="G2649" s="0" t="s">
        <v>16</v>
      </c>
      <c r="H2649" s="0" t="n">
        <v>51</v>
      </c>
      <c r="I2649" s="0" t="s">
        <v>8849</v>
      </c>
      <c r="J2649" s="0" t="s">
        <v>8850</v>
      </c>
      <c r="K2649" s="0" t="s">
        <v>8851</v>
      </c>
      <c r="L2649" s="0" t="str">
        <f aca="false">HYPERLINK("https://www.ncbi.nlm.nih.gov/nuccore/CP000058.1?report=graph&amp;tracks=[key:gene_model_track,Options:GeneOnly]&amp;mk=832055:832074|offset_7|444444,832099:832118|offset_51|00cc00,832120:832139|offset_72|444444,832147:832166|offset_99|444444&amp;v=831854:832366&amp;c=444444", "offset 51")</f>
        <v>offset 51</v>
      </c>
    </row>
    <row r="2650" customFormat="false" ht="12.8" hidden="false" customHeight="false" outlineLevel="0" collapsed="false">
      <c r="A2650" s="0" t="s">
        <v>12</v>
      </c>
      <c r="B2650" s="0" t="n">
        <v>832119</v>
      </c>
      <c r="C2650" s="0" t="n">
        <v>832139</v>
      </c>
      <c r="D2650" s="0" t="s">
        <v>8845</v>
      </c>
      <c r="E2650" s="0" t="s">
        <v>75</v>
      </c>
      <c r="F2650" s="0" t="s">
        <v>15</v>
      </c>
      <c r="G2650" s="0" t="s">
        <v>16</v>
      </c>
      <c r="H2650" s="0" t="n">
        <v>72</v>
      </c>
      <c r="I2650" s="0" t="s">
        <v>8852</v>
      </c>
      <c r="J2650" s="0" t="s">
        <v>8853</v>
      </c>
      <c r="K2650" s="0" t="s">
        <v>8854</v>
      </c>
      <c r="L2650" s="0" t="str">
        <f aca="false">HYPERLINK("https://www.ncbi.nlm.nih.gov/nuccore/CP000058.1?report=graph&amp;tracks=[key:gene_model_track,Options:GeneOnly]&amp;mk=832055:832074|offset_7|444444,832099:832118|offset_51|444444,832120:832139|offset_72|00cc00,832147:832166|offset_99|444444&amp;v=831854:832366&amp;c=444444", "offset 72")</f>
        <v>offset 72</v>
      </c>
    </row>
    <row r="2651" customFormat="false" ht="12.8" hidden="false" customHeight="false" outlineLevel="0" collapsed="false">
      <c r="A2651" s="0" t="s">
        <v>12</v>
      </c>
      <c r="B2651" s="0" t="n">
        <v>832146</v>
      </c>
      <c r="C2651" s="0" t="n">
        <v>832166</v>
      </c>
      <c r="D2651" s="0" t="s">
        <v>8845</v>
      </c>
      <c r="E2651" s="0" t="s">
        <v>75</v>
      </c>
      <c r="F2651" s="0" t="s">
        <v>15</v>
      </c>
      <c r="G2651" s="0" t="s">
        <v>20</v>
      </c>
      <c r="H2651" s="0" t="n">
        <v>99</v>
      </c>
      <c r="I2651" s="0" t="s">
        <v>8855</v>
      </c>
      <c r="J2651" s="0" t="s">
        <v>8856</v>
      </c>
      <c r="K2651" s="0" t="s">
        <v>8857</v>
      </c>
      <c r="L2651" s="0" t="str">
        <f aca="false">HYPERLINK("https://www.ncbi.nlm.nih.gov/nuccore/CP000058.1?report=graph&amp;tracks=[key:gene_model_track,Options:GeneOnly]&amp;mk=832055:832074|offset_7|444444,832099:832118|offset_51|444444,832120:832139|offset_72|444444,832147:832166|offset_99|00cc00&amp;v=831854:832366&amp;c=444444", "offset 99")</f>
        <v>offset 99</v>
      </c>
    </row>
    <row r="2652" customFormat="false" ht="12.8" hidden="false" customHeight="false" outlineLevel="0" collapsed="false">
      <c r="A2652" s="0" t="s">
        <v>12</v>
      </c>
      <c r="B2652" s="0" t="n">
        <v>833247</v>
      </c>
      <c r="C2652" s="0" t="n">
        <v>833267</v>
      </c>
      <c r="D2652" s="0" t="s">
        <v>8858</v>
      </c>
      <c r="E2652" s="0" t="s">
        <v>75</v>
      </c>
      <c r="F2652" s="0" t="s">
        <v>15</v>
      </c>
      <c r="G2652" s="0" t="s">
        <v>20</v>
      </c>
      <c r="H2652" s="0" t="n">
        <v>16</v>
      </c>
      <c r="I2652" s="0" t="s">
        <v>8859</v>
      </c>
      <c r="J2652" s="0" t="s">
        <v>8860</v>
      </c>
      <c r="K2652" s="0" t="s">
        <v>8861</v>
      </c>
      <c r="L2652" s="0" t="str">
        <f aca="false">HYPERLINK("https://www.ncbi.nlm.nih.gov/nuccore/CP000058.1?report=graph&amp;tracks=[key:gene_model_track,Options:GeneOnly]&amp;mk=833248:833267|offset_16|00cc00,833285:833304|offset_53|444444,833326:833345|offset_94|444444,833364:833383|offset_132|444444&amp;v=833047:833583&amp;c=444444", "offset 16")</f>
        <v>offset 16</v>
      </c>
    </row>
    <row r="2653" customFormat="false" ht="12.8" hidden="false" customHeight="false" outlineLevel="0" collapsed="false">
      <c r="A2653" s="0" t="s">
        <v>12</v>
      </c>
      <c r="B2653" s="0" t="n">
        <v>833284</v>
      </c>
      <c r="C2653" s="0" t="n">
        <v>833304</v>
      </c>
      <c r="D2653" s="0" t="s">
        <v>8858</v>
      </c>
      <c r="E2653" s="0" t="s">
        <v>75</v>
      </c>
      <c r="F2653" s="0" t="s">
        <v>15</v>
      </c>
      <c r="G2653" s="0" t="s">
        <v>20</v>
      </c>
      <c r="H2653" s="0" t="n">
        <v>53</v>
      </c>
      <c r="I2653" s="0" t="s">
        <v>8862</v>
      </c>
      <c r="J2653" s="0" t="s">
        <v>8863</v>
      </c>
      <c r="K2653" s="0" t="s">
        <v>8864</v>
      </c>
      <c r="L2653" s="0" t="str">
        <f aca="false">HYPERLINK("https://www.ncbi.nlm.nih.gov/nuccore/CP000058.1?report=graph&amp;tracks=[key:gene_model_track,Options:GeneOnly]&amp;mk=833248:833267|offset_16|444444,833285:833304|offset_53|00cc00,833326:833345|offset_94|444444,833364:833383|offset_132|444444&amp;v=833047:833583&amp;c=444444", "offset 53")</f>
        <v>offset 53</v>
      </c>
    </row>
    <row r="2654" customFormat="false" ht="12.8" hidden="false" customHeight="false" outlineLevel="0" collapsed="false">
      <c r="A2654" s="0" t="s">
        <v>12</v>
      </c>
      <c r="B2654" s="0" t="n">
        <v>833325</v>
      </c>
      <c r="C2654" s="0" t="n">
        <v>833345</v>
      </c>
      <c r="D2654" s="0" t="s">
        <v>8858</v>
      </c>
      <c r="E2654" s="0" t="s">
        <v>75</v>
      </c>
      <c r="F2654" s="0" t="s">
        <v>15</v>
      </c>
      <c r="G2654" s="0" t="s">
        <v>32</v>
      </c>
      <c r="H2654" s="0" t="n">
        <v>94</v>
      </c>
      <c r="I2654" s="0" t="s">
        <v>8865</v>
      </c>
      <c r="J2654" s="0" t="s">
        <v>8866</v>
      </c>
      <c r="K2654" s="0" t="s">
        <v>8867</v>
      </c>
      <c r="L2654" s="0" t="str">
        <f aca="false">HYPERLINK("https://www.ncbi.nlm.nih.gov/nuccore/CP000058.1?report=graph&amp;tracks=[key:gene_model_track,Options:GeneOnly]&amp;mk=833248:833267|offset_16|444444,833285:833304|offset_53|444444,833326:833345|offset_94|00cc00,833364:833383|offset_132|444444&amp;v=833047:833583&amp;c=444444", "offset 94")</f>
        <v>offset 94</v>
      </c>
    </row>
    <row r="2655" customFormat="false" ht="12.8" hidden="false" customHeight="false" outlineLevel="0" collapsed="false">
      <c r="A2655" s="0" t="s">
        <v>12</v>
      </c>
      <c r="B2655" s="0" t="n">
        <v>833363</v>
      </c>
      <c r="C2655" s="0" t="n">
        <v>833383</v>
      </c>
      <c r="D2655" s="0" t="s">
        <v>8858</v>
      </c>
      <c r="E2655" s="0" t="s">
        <v>75</v>
      </c>
      <c r="F2655" s="0" t="s">
        <v>15</v>
      </c>
      <c r="G2655" s="0" t="s">
        <v>32</v>
      </c>
      <c r="H2655" s="0" t="n">
        <v>132</v>
      </c>
      <c r="I2655" s="0" t="s">
        <v>8868</v>
      </c>
      <c r="J2655" s="0" t="s">
        <v>8869</v>
      </c>
      <c r="K2655" s="0" t="s">
        <v>8870</v>
      </c>
      <c r="L2655" s="0" t="str">
        <f aca="false">HYPERLINK("https://www.ncbi.nlm.nih.gov/nuccore/CP000058.1?report=graph&amp;tracks=[key:gene_model_track,Options:GeneOnly]&amp;mk=833248:833267|offset_16|444444,833285:833304|offset_53|444444,833326:833345|offset_94|444444,833364:833383|offset_132|00cc00&amp;v=833047:833583&amp;c=444444", "offset 132")</f>
        <v>offset 132</v>
      </c>
    </row>
    <row r="2656" customFormat="false" ht="12.8" hidden="false" customHeight="false" outlineLevel="0" collapsed="false">
      <c r="A2656" s="0" t="s">
        <v>12</v>
      </c>
      <c r="B2656" s="0" t="n">
        <v>834144</v>
      </c>
      <c r="C2656" s="0" t="n">
        <v>834164</v>
      </c>
      <c r="D2656" s="0" t="s">
        <v>8871</v>
      </c>
      <c r="E2656" s="0" t="s">
        <v>8872</v>
      </c>
      <c r="F2656" s="0" t="s">
        <v>15</v>
      </c>
      <c r="G2656" s="0" t="s">
        <v>32</v>
      </c>
      <c r="H2656" s="0" t="n">
        <v>1</v>
      </c>
      <c r="I2656" s="0" t="s">
        <v>8873</v>
      </c>
      <c r="J2656" s="0" t="s">
        <v>8874</v>
      </c>
      <c r="K2656" s="0" t="s">
        <v>8875</v>
      </c>
      <c r="L2656" s="0" t="str">
        <f aca="false">HYPERLINK("https://www.ncbi.nlm.nih.gov/nuccore/CP000058.1?report=graph&amp;tracks=[key:gene_model_track,Options:GeneOnly]&amp;mk=834145:834164|offset_1|00cc00,834193:834212|offset_49|444444,834214:834233|offset_70|444444,834245:834264|offset_101|444444&amp;v=833944:834464&amp;c=444444", "offset 1")</f>
        <v>offset 1</v>
      </c>
    </row>
    <row r="2657" customFormat="false" ht="12.8" hidden="false" customHeight="false" outlineLevel="0" collapsed="false">
      <c r="A2657" s="0" t="s">
        <v>12</v>
      </c>
      <c r="B2657" s="0" t="n">
        <v>834192</v>
      </c>
      <c r="C2657" s="0" t="n">
        <v>834212</v>
      </c>
      <c r="D2657" s="0" t="s">
        <v>8871</v>
      </c>
      <c r="E2657" s="0" t="s">
        <v>8872</v>
      </c>
      <c r="F2657" s="0" t="s">
        <v>15</v>
      </c>
      <c r="G2657" s="0" t="s">
        <v>16</v>
      </c>
      <c r="H2657" s="0" t="n">
        <v>49</v>
      </c>
      <c r="I2657" s="0" t="s">
        <v>8876</v>
      </c>
      <c r="J2657" s="0" t="s">
        <v>8877</v>
      </c>
      <c r="K2657" s="0" t="s">
        <v>8878</v>
      </c>
      <c r="L2657" s="0" t="str">
        <f aca="false">HYPERLINK("https://www.ncbi.nlm.nih.gov/nuccore/CP000058.1?report=graph&amp;tracks=[key:gene_model_track,Options:GeneOnly]&amp;mk=834145:834164|offset_1|444444,834193:834212|offset_49|00cc00,834214:834233|offset_70|444444,834245:834264|offset_101|444444&amp;v=833944:834464&amp;c=444444", "offset 49")</f>
        <v>offset 49</v>
      </c>
    </row>
    <row r="2658" customFormat="false" ht="12.8" hidden="false" customHeight="false" outlineLevel="0" collapsed="false">
      <c r="A2658" s="0" t="s">
        <v>12</v>
      </c>
      <c r="B2658" s="0" t="n">
        <v>834213</v>
      </c>
      <c r="C2658" s="0" t="n">
        <v>834233</v>
      </c>
      <c r="D2658" s="0" t="s">
        <v>8871</v>
      </c>
      <c r="E2658" s="0" t="s">
        <v>8872</v>
      </c>
      <c r="F2658" s="0" t="s">
        <v>15</v>
      </c>
      <c r="G2658" s="0" t="s">
        <v>36</v>
      </c>
      <c r="H2658" s="0" t="n">
        <v>70</v>
      </c>
      <c r="I2658" s="0" t="s">
        <v>8879</v>
      </c>
      <c r="J2658" s="0" t="s">
        <v>8880</v>
      </c>
      <c r="K2658" s="0" t="s">
        <v>8881</v>
      </c>
      <c r="L2658" s="0" t="str">
        <f aca="false">HYPERLINK("https://www.ncbi.nlm.nih.gov/nuccore/CP000058.1?report=graph&amp;tracks=[key:gene_model_track,Options:GeneOnly]&amp;mk=834145:834164|offset_1|444444,834193:834212|offset_49|444444,834214:834233|offset_70|00cc00,834245:834264|offset_101|444444&amp;v=833944:834464&amp;c=444444", "offset 70")</f>
        <v>offset 70</v>
      </c>
    </row>
    <row r="2659" customFormat="false" ht="12.8" hidden="false" customHeight="false" outlineLevel="0" collapsed="false">
      <c r="A2659" s="0" t="s">
        <v>12</v>
      </c>
      <c r="B2659" s="0" t="n">
        <v>834244</v>
      </c>
      <c r="C2659" s="0" t="n">
        <v>834264</v>
      </c>
      <c r="D2659" s="0" t="s">
        <v>8871</v>
      </c>
      <c r="E2659" s="0" t="s">
        <v>8872</v>
      </c>
      <c r="F2659" s="0" t="s">
        <v>15</v>
      </c>
      <c r="G2659" s="0" t="s">
        <v>16</v>
      </c>
      <c r="H2659" s="0" t="n">
        <v>101</v>
      </c>
      <c r="I2659" s="0" t="s">
        <v>8882</v>
      </c>
      <c r="J2659" s="0" t="s">
        <v>8883</v>
      </c>
      <c r="K2659" s="0" t="s">
        <v>8884</v>
      </c>
      <c r="L2659" s="0" t="str">
        <f aca="false">HYPERLINK("https://www.ncbi.nlm.nih.gov/nuccore/CP000058.1?report=graph&amp;tracks=[key:gene_model_track,Options:GeneOnly]&amp;mk=834145:834164|offset_1|444444,834193:834212|offset_49|444444,834214:834233|offset_70|444444,834245:834264|offset_101|00cc00&amp;v=833944:834464&amp;c=444444", "offset 101")</f>
        <v>offset 101</v>
      </c>
    </row>
    <row r="2660" customFormat="false" ht="12.8" hidden="false" customHeight="false" outlineLevel="0" collapsed="false">
      <c r="A2660" s="0" t="s">
        <v>12</v>
      </c>
      <c r="B2660" s="0" t="n">
        <v>834799</v>
      </c>
      <c r="C2660" s="0" t="n">
        <v>834819</v>
      </c>
      <c r="D2660" s="0" t="s">
        <v>8885</v>
      </c>
      <c r="E2660" s="0" t="s">
        <v>75</v>
      </c>
      <c r="F2660" s="0" t="s">
        <v>15</v>
      </c>
      <c r="G2660" s="0" t="s">
        <v>32</v>
      </c>
      <c r="H2660" s="0" t="n">
        <v>10</v>
      </c>
      <c r="I2660" s="0" t="s">
        <v>8886</v>
      </c>
      <c r="J2660" s="0" t="s">
        <v>8887</v>
      </c>
      <c r="K2660" s="0" t="s">
        <v>8888</v>
      </c>
      <c r="L2660" s="0" t="str">
        <f aca="false">HYPERLINK("https://www.ncbi.nlm.nih.gov/nuccore/CP000058.1?report=graph&amp;tracks=[key:gene_model_track,Options:GeneOnly]&amp;mk=834800:834819|offset_10|00cc00,834854:834873|offset_64|444444,834876:834895|offset_86|444444,834897:834916|offset_107|444444&amp;v=834599:835116&amp;c=444444", "offset 10")</f>
        <v>offset 10</v>
      </c>
    </row>
    <row r="2661" customFormat="false" ht="12.8" hidden="false" customHeight="false" outlineLevel="0" collapsed="false">
      <c r="A2661" s="0" t="s">
        <v>12</v>
      </c>
      <c r="B2661" s="0" t="n">
        <v>834853</v>
      </c>
      <c r="C2661" s="0" t="n">
        <v>834873</v>
      </c>
      <c r="D2661" s="0" t="s">
        <v>8885</v>
      </c>
      <c r="E2661" s="0" t="s">
        <v>75</v>
      </c>
      <c r="F2661" s="0" t="s">
        <v>15</v>
      </c>
      <c r="G2661" s="0" t="s">
        <v>16</v>
      </c>
      <c r="H2661" s="0" t="n">
        <v>64</v>
      </c>
      <c r="I2661" s="0" t="s">
        <v>8889</v>
      </c>
      <c r="J2661" s="0" t="s">
        <v>8890</v>
      </c>
      <c r="K2661" s="0" t="s">
        <v>8891</v>
      </c>
      <c r="L2661" s="0" t="str">
        <f aca="false">HYPERLINK("https://www.ncbi.nlm.nih.gov/nuccore/CP000058.1?report=graph&amp;tracks=[key:gene_model_track,Options:GeneOnly]&amp;mk=834800:834819|offset_10|444444,834854:834873|offset_64|00cc00,834876:834895|offset_86|444444,834897:834916|offset_107|444444&amp;v=834599:835116&amp;c=444444", "offset 64")</f>
        <v>offset 64</v>
      </c>
    </row>
    <row r="2662" customFormat="false" ht="12.8" hidden="false" customHeight="false" outlineLevel="0" collapsed="false">
      <c r="A2662" s="0" t="s">
        <v>12</v>
      </c>
      <c r="B2662" s="0" t="n">
        <v>834875</v>
      </c>
      <c r="C2662" s="0" t="n">
        <v>834895</v>
      </c>
      <c r="D2662" s="0" t="s">
        <v>8885</v>
      </c>
      <c r="E2662" s="0" t="s">
        <v>75</v>
      </c>
      <c r="F2662" s="0" t="s">
        <v>15</v>
      </c>
      <c r="G2662" s="0" t="s">
        <v>32</v>
      </c>
      <c r="H2662" s="0" t="n">
        <v>86</v>
      </c>
      <c r="I2662" s="0" t="s">
        <v>8892</v>
      </c>
      <c r="J2662" s="0" t="s">
        <v>8893</v>
      </c>
      <c r="K2662" s="0" t="s">
        <v>8894</v>
      </c>
      <c r="L2662" s="0" t="str">
        <f aca="false">HYPERLINK("https://www.ncbi.nlm.nih.gov/nuccore/CP000058.1?report=graph&amp;tracks=[key:gene_model_track,Options:GeneOnly]&amp;mk=834800:834819|offset_10|444444,834854:834873|offset_64|444444,834876:834895|offset_86|00cc00,834897:834916|offset_107|444444&amp;v=834599:835116&amp;c=444444", "offset 86")</f>
        <v>offset 86</v>
      </c>
    </row>
    <row r="2663" customFormat="false" ht="12.8" hidden="false" customHeight="false" outlineLevel="0" collapsed="false">
      <c r="A2663" s="0" t="s">
        <v>12</v>
      </c>
      <c r="B2663" s="0" t="n">
        <v>834896</v>
      </c>
      <c r="C2663" s="0" t="n">
        <v>834916</v>
      </c>
      <c r="D2663" s="0" t="s">
        <v>8885</v>
      </c>
      <c r="E2663" s="0" t="s">
        <v>75</v>
      </c>
      <c r="F2663" s="0" t="s">
        <v>15</v>
      </c>
      <c r="G2663" s="0" t="s">
        <v>16</v>
      </c>
      <c r="H2663" s="0" t="n">
        <v>107</v>
      </c>
      <c r="I2663" s="0" t="s">
        <v>8895</v>
      </c>
      <c r="J2663" s="0" t="s">
        <v>8896</v>
      </c>
      <c r="K2663" s="0" t="s">
        <v>8897</v>
      </c>
      <c r="L2663" s="0" t="str">
        <f aca="false">HYPERLINK("https://www.ncbi.nlm.nih.gov/nuccore/CP000058.1?report=graph&amp;tracks=[key:gene_model_track,Options:GeneOnly]&amp;mk=834800:834819|offset_10|444444,834854:834873|offset_64|444444,834876:834895|offset_86|444444,834897:834916|offset_107|00cc00&amp;v=834599:835116&amp;c=444444", "offset 107")</f>
        <v>offset 107</v>
      </c>
    </row>
    <row r="2664" customFormat="false" ht="12.8" hidden="false" customHeight="false" outlineLevel="0" collapsed="false">
      <c r="A2664" s="0" t="s">
        <v>12</v>
      </c>
      <c r="B2664" s="0" t="n">
        <v>836707</v>
      </c>
      <c r="C2664" s="0" t="n">
        <v>836727</v>
      </c>
      <c r="D2664" s="0" t="s">
        <v>8898</v>
      </c>
      <c r="E2664" s="0" t="s">
        <v>8899</v>
      </c>
      <c r="F2664" s="0" t="s">
        <v>90</v>
      </c>
      <c r="G2664" s="0" t="s">
        <v>36</v>
      </c>
      <c r="H2664" s="0" t="n">
        <v>9</v>
      </c>
      <c r="I2664" s="0" t="s">
        <v>8900</v>
      </c>
      <c r="J2664" s="0" t="s">
        <v>8901</v>
      </c>
      <c r="K2664" s="0" t="s">
        <v>8902</v>
      </c>
      <c r="L2664" s="0" t="str">
        <f aca="false">HYPERLINK("https://www.ncbi.nlm.nih.gov/nuccore/CP000058.1?report=graph&amp;tracks=[key:gene_model_track,Options:GeneOnly]&amp;mk=836708:836727|offset_9|00cc00,836668:836687|offset_49|444444,836627:836646|offset_90|444444,836570:836589|offset_147|444444&amp;v=836507:836789&amp;c=444444", "offset 9")</f>
        <v>offset 9</v>
      </c>
    </row>
    <row r="2665" customFormat="false" ht="12.8" hidden="false" customHeight="false" outlineLevel="0" collapsed="false">
      <c r="A2665" s="0" t="s">
        <v>12</v>
      </c>
      <c r="B2665" s="0" t="n">
        <v>836667</v>
      </c>
      <c r="C2665" s="0" t="n">
        <v>836687</v>
      </c>
      <c r="D2665" s="0" t="s">
        <v>8898</v>
      </c>
      <c r="E2665" s="0" t="s">
        <v>8899</v>
      </c>
      <c r="F2665" s="0" t="s">
        <v>90</v>
      </c>
      <c r="G2665" s="0" t="s">
        <v>16</v>
      </c>
      <c r="H2665" s="0" t="n">
        <v>49</v>
      </c>
      <c r="I2665" s="0" t="s">
        <v>8903</v>
      </c>
      <c r="J2665" s="0" t="s">
        <v>8904</v>
      </c>
      <c r="K2665" s="0" t="s">
        <v>8905</v>
      </c>
      <c r="L2665" s="0" t="str">
        <f aca="false">HYPERLINK("https://www.ncbi.nlm.nih.gov/nuccore/CP000058.1?report=graph&amp;tracks=[key:gene_model_track,Options:GeneOnly]&amp;mk=836708:836727|offset_9|444444,836668:836687|offset_49|00cc00,836627:836646|offset_90|444444,836570:836589|offset_147|444444&amp;v=836507:836789&amp;c=444444", "offset 49")</f>
        <v>offset 49</v>
      </c>
    </row>
    <row r="2666" customFormat="false" ht="12.8" hidden="false" customHeight="false" outlineLevel="0" collapsed="false">
      <c r="A2666" s="0" t="s">
        <v>12</v>
      </c>
      <c r="B2666" s="0" t="n">
        <v>836626</v>
      </c>
      <c r="C2666" s="0" t="n">
        <v>836646</v>
      </c>
      <c r="D2666" s="0" t="s">
        <v>8898</v>
      </c>
      <c r="E2666" s="0" t="s">
        <v>8899</v>
      </c>
      <c r="F2666" s="0" t="s">
        <v>90</v>
      </c>
      <c r="G2666" s="0" t="s">
        <v>16</v>
      </c>
      <c r="H2666" s="0" t="n">
        <v>90</v>
      </c>
      <c r="I2666" s="0" t="s">
        <v>8906</v>
      </c>
      <c r="J2666" s="0" t="s">
        <v>8907</v>
      </c>
      <c r="K2666" s="0" t="s">
        <v>8908</v>
      </c>
      <c r="L2666" s="0" t="str">
        <f aca="false">HYPERLINK("https://www.ncbi.nlm.nih.gov/nuccore/CP000058.1?report=graph&amp;tracks=[key:gene_model_track,Options:GeneOnly]&amp;mk=836708:836727|offset_9|444444,836668:836687|offset_49|444444,836627:836646|offset_90|00cc00,836570:836589|offset_147|444444&amp;v=836507:836789&amp;c=444444", "offset 90")</f>
        <v>offset 90</v>
      </c>
    </row>
    <row r="2667" customFormat="false" ht="12.8" hidden="false" customHeight="false" outlineLevel="0" collapsed="false">
      <c r="A2667" s="0" t="s">
        <v>12</v>
      </c>
      <c r="B2667" s="0" t="n">
        <v>836569</v>
      </c>
      <c r="C2667" s="0" t="n">
        <v>836589</v>
      </c>
      <c r="D2667" s="0" t="s">
        <v>8898</v>
      </c>
      <c r="E2667" s="0" t="s">
        <v>8899</v>
      </c>
      <c r="F2667" s="0" t="s">
        <v>90</v>
      </c>
      <c r="G2667" s="0" t="s">
        <v>16</v>
      </c>
      <c r="H2667" s="0" t="n">
        <v>147</v>
      </c>
      <c r="I2667" s="0" t="s">
        <v>8909</v>
      </c>
      <c r="J2667" s="0" t="s">
        <v>8910</v>
      </c>
      <c r="K2667" s="0" t="s">
        <v>8911</v>
      </c>
      <c r="L2667" s="0" t="str">
        <f aca="false">HYPERLINK("https://www.ncbi.nlm.nih.gov/nuccore/CP000058.1?report=graph&amp;tracks=[key:gene_model_track,Options:GeneOnly]&amp;mk=836708:836727|offset_9|444444,836668:836687|offset_49|444444,836627:836646|offset_90|444444,836570:836589|offset_147|00cc00&amp;v=836507:836789&amp;c=444444", "offset 147")</f>
        <v>offset 147</v>
      </c>
    </row>
    <row r="2668" customFormat="false" ht="12.8" hidden="false" customHeight="false" outlineLevel="0" collapsed="false">
      <c r="A2668" s="0" t="s">
        <v>12</v>
      </c>
      <c r="B2668" s="0" t="n">
        <v>836834</v>
      </c>
      <c r="C2668" s="0" t="n">
        <v>836854</v>
      </c>
      <c r="D2668" s="0" t="s">
        <v>8912</v>
      </c>
      <c r="E2668" s="0" t="s">
        <v>8913</v>
      </c>
      <c r="F2668" s="0" t="s">
        <v>15</v>
      </c>
      <c r="G2668" s="0" t="s">
        <v>20</v>
      </c>
      <c r="H2668" s="0" t="n">
        <v>6</v>
      </c>
      <c r="I2668" s="0" t="s">
        <v>8914</v>
      </c>
      <c r="J2668" s="0" t="s">
        <v>8915</v>
      </c>
      <c r="K2668" s="0" t="s">
        <v>8916</v>
      </c>
      <c r="L2668" s="0" t="str">
        <f aca="false">HYPERLINK("https://www.ncbi.nlm.nih.gov/nuccore/CP000058.1?report=graph&amp;tracks=[key:gene_model_track,Options:GeneOnly]&amp;mk=836835:836854|offset_6|00cc00,836855:836874|offset_26|444444,836875:836894|offset_46|444444,836899:836918|offset_70|444444&amp;v=836634:837118&amp;c=444444", "offset 6")</f>
        <v>offset 6</v>
      </c>
    </row>
    <row r="2669" customFormat="false" ht="12.8" hidden="false" customHeight="false" outlineLevel="0" collapsed="false">
      <c r="A2669" s="0" t="s">
        <v>12</v>
      </c>
      <c r="B2669" s="0" t="n">
        <v>836854</v>
      </c>
      <c r="C2669" s="0" t="n">
        <v>836874</v>
      </c>
      <c r="D2669" s="0" t="s">
        <v>8912</v>
      </c>
      <c r="E2669" s="0" t="s">
        <v>8913</v>
      </c>
      <c r="F2669" s="0" t="s">
        <v>15</v>
      </c>
      <c r="G2669" s="0" t="s">
        <v>20</v>
      </c>
      <c r="H2669" s="0" t="n">
        <v>26</v>
      </c>
      <c r="I2669" s="0" t="s">
        <v>8917</v>
      </c>
      <c r="J2669" s="0" t="s">
        <v>8918</v>
      </c>
      <c r="K2669" s="0" t="s">
        <v>8919</v>
      </c>
      <c r="L2669" s="0" t="str">
        <f aca="false">HYPERLINK("https://www.ncbi.nlm.nih.gov/nuccore/CP000058.1?report=graph&amp;tracks=[key:gene_model_track,Options:GeneOnly]&amp;mk=836835:836854|offset_6|444444,836855:836874|offset_26|00cc00,836875:836894|offset_46|444444,836899:836918|offset_70|444444&amp;v=836634:837118&amp;c=444444", "offset 26")</f>
        <v>offset 26</v>
      </c>
    </row>
    <row r="2670" customFormat="false" ht="12.8" hidden="false" customHeight="false" outlineLevel="0" collapsed="false">
      <c r="A2670" s="0" t="s">
        <v>12</v>
      </c>
      <c r="B2670" s="0" t="n">
        <v>836874</v>
      </c>
      <c r="C2670" s="0" t="n">
        <v>836894</v>
      </c>
      <c r="D2670" s="0" t="s">
        <v>8912</v>
      </c>
      <c r="E2670" s="0" t="s">
        <v>8913</v>
      </c>
      <c r="F2670" s="0" t="s">
        <v>15</v>
      </c>
      <c r="G2670" s="0" t="s">
        <v>20</v>
      </c>
      <c r="H2670" s="0" t="n">
        <v>46</v>
      </c>
      <c r="I2670" s="0" t="s">
        <v>8920</v>
      </c>
      <c r="J2670" s="0" t="s">
        <v>8921</v>
      </c>
      <c r="K2670" s="0" t="s">
        <v>8922</v>
      </c>
      <c r="L2670" s="0" t="str">
        <f aca="false">HYPERLINK("https://www.ncbi.nlm.nih.gov/nuccore/CP000058.1?report=graph&amp;tracks=[key:gene_model_track,Options:GeneOnly]&amp;mk=836835:836854|offset_6|444444,836855:836874|offset_26|444444,836875:836894|offset_46|00cc00,836899:836918|offset_70|444444&amp;v=836634:837118&amp;c=444444", "offset 46")</f>
        <v>offset 46</v>
      </c>
    </row>
    <row r="2671" customFormat="false" ht="12.8" hidden="false" customHeight="false" outlineLevel="0" collapsed="false">
      <c r="A2671" s="0" t="s">
        <v>12</v>
      </c>
      <c r="B2671" s="0" t="n">
        <v>836898</v>
      </c>
      <c r="C2671" s="0" t="n">
        <v>836918</v>
      </c>
      <c r="D2671" s="0" t="s">
        <v>8912</v>
      </c>
      <c r="E2671" s="0" t="s">
        <v>8913</v>
      </c>
      <c r="F2671" s="0" t="s">
        <v>15</v>
      </c>
      <c r="G2671" s="0" t="s">
        <v>16</v>
      </c>
      <c r="H2671" s="0" t="n">
        <v>70</v>
      </c>
      <c r="I2671" s="0" t="s">
        <v>8923</v>
      </c>
      <c r="J2671" s="0" t="s">
        <v>8924</v>
      </c>
      <c r="K2671" s="0" t="s">
        <v>8925</v>
      </c>
      <c r="L2671" s="0" t="str">
        <f aca="false">HYPERLINK("https://www.ncbi.nlm.nih.gov/nuccore/CP000058.1?report=graph&amp;tracks=[key:gene_model_track,Options:GeneOnly]&amp;mk=836835:836854|offset_6|444444,836855:836874|offset_26|444444,836875:836894|offset_46|444444,836899:836918|offset_70|00cc00&amp;v=836634:837118&amp;c=444444", "offset 70")</f>
        <v>offset 70</v>
      </c>
    </row>
    <row r="2672" customFormat="false" ht="12.8" hidden="false" customHeight="false" outlineLevel="0" collapsed="false">
      <c r="A2672" s="0" t="s">
        <v>12</v>
      </c>
      <c r="B2672" s="0" t="n">
        <v>837350</v>
      </c>
      <c r="C2672" s="0" t="n">
        <v>837370</v>
      </c>
      <c r="D2672" s="0" t="s">
        <v>8926</v>
      </c>
      <c r="E2672" s="0" t="s">
        <v>8927</v>
      </c>
      <c r="F2672" s="0" t="s">
        <v>15</v>
      </c>
      <c r="G2672" s="0" t="s">
        <v>36</v>
      </c>
      <c r="H2672" s="0" t="n">
        <v>31</v>
      </c>
      <c r="I2672" s="0" t="s">
        <v>8928</v>
      </c>
      <c r="J2672" s="0" t="s">
        <v>8929</v>
      </c>
      <c r="K2672" s="0" t="s">
        <v>8930</v>
      </c>
      <c r="L2672" s="0" t="str">
        <f aca="false">HYPERLINK("https://www.ncbi.nlm.nih.gov/nuccore/CP000058.1?report=graph&amp;tracks=[key:gene_model_track,Options:GeneOnly]&amp;mk=837351:837370|offset_31|00cc00,837375:837394|offset_55|444444,837406:837425|offset_86|444444,837450:837469|offset_130|444444&amp;v=837150:837669&amp;c=444444", "offset 31")</f>
        <v>offset 31</v>
      </c>
    </row>
    <row r="2673" customFormat="false" ht="12.8" hidden="false" customHeight="false" outlineLevel="0" collapsed="false">
      <c r="A2673" s="0" t="s">
        <v>12</v>
      </c>
      <c r="B2673" s="0" t="n">
        <v>837374</v>
      </c>
      <c r="C2673" s="0" t="n">
        <v>837394</v>
      </c>
      <c r="D2673" s="0" t="s">
        <v>8926</v>
      </c>
      <c r="E2673" s="0" t="s">
        <v>8927</v>
      </c>
      <c r="F2673" s="0" t="s">
        <v>15</v>
      </c>
      <c r="G2673" s="0" t="s">
        <v>32</v>
      </c>
      <c r="H2673" s="0" t="n">
        <v>55</v>
      </c>
      <c r="I2673" s="0" t="s">
        <v>8931</v>
      </c>
      <c r="J2673" s="0" t="s">
        <v>8932</v>
      </c>
      <c r="K2673" s="0" t="s">
        <v>8933</v>
      </c>
      <c r="L2673" s="0" t="str">
        <f aca="false">HYPERLINK("https://www.ncbi.nlm.nih.gov/nuccore/CP000058.1?report=graph&amp;tracks=[key:gene_model_track,Options:GeneOnly]&amp;mk=837351:837370|offset_31|444444,837375:837394|offset_55|00cc00,837406:837425|offset_86|444444,837450:837469|offset_130|444444&amp;v=837150:837669&amp;c=444444", "offset 55")</f>
        <v>offset 55</v>
      </c>
    </row>
    <row r="2674" customFormat="false" ht="12.8" hidden="false" customHeight="false" outlineLevel="0" collapsed="false">
      <c r="A2674" s="0" t="s">
        <v>12</v>
      </c>
      <c r="B2674" s="0" t="n">
        <v>837405</v>
      </c>
      <c r="C2674" s="0" t="n">
        <v>837425</v>
      </c>
      <c r="D2674" s="0" t="s">
        <v>8926</v>
      </c>
      <c r="E2674" s="0" t="s">
        <v>8927</v>
      </c>
      <c r="F2674" s="0" t="s">
        <v>15</v>
      </c>
      <c r="G2674" s="0" t="s">
        <v>32</v>
      </c>
      <c r="H2674" s="0" t="n">
        <v>86</v>
      </c>
      <c r="I2674" s="0" t="s">
        <v>8934</v>
      </c>
      <c r="J2674" s="0" t="s">
        <v>8935</v>
      </c>
      <c r="K2674" s="0" t="s">
        <v>8936</v>
      </c>
      <c r="L2674" s="0" t="str">
        <f aca="false">HYPERLINK("https://www.ncbi.nlm.nih.gov/nuccore/CP000058.1?report=graph&amp;tracks=[key:gene_model_track,Options:GeneOnly]&amp;mk=837351:837370|offset_31|444444,837375:837394|offset_55|444444,837406:837425|offset_86|00cc00,837450:837469|offset_130|444444&amp;v=837150:837669&amp;c=444444", "offset 86")</f>
        <v>offset 86</v>
      </c>
    </row>
    <row r="2675" customFormat="false" ht="12.8" hidden="false" customHeight="false" outlineLevel="0" collapsed="false">
      <c r="A2675" s="0" t="s">
        <v>12</v>
      </c>
      <c r="B2675" s="0" t="n">
        <v>837449</v>
      </c>
      <c r="C2675" s="0" t="n">
        <v>837469</v>
      </c>
      <c r="D2675" s="0" t="s">
        <v>8926</v>
      </c>
      <c r="E2675" s="0" t="s">
        <v>8927</v>
      </c>
      <c r="F2675" s="0" t="s">
        <v>15</v>
      </c>
      <c r="G2675" s="0" t="s">
        <v>36</v>
      </c>
      <c r="H2675" s="0" t="n">
        <v>130</v>
      </c>
      <c r="I2675" s="0" t="s">
        <v>8937</v>
      </c>
      <c r="J2675" s="0" t="s">
        <v>8938</v>
      </c>
      <c r="K2675" s="0" t="s">
        <v>8939</v>
      </c>
      <c r="L2675" s="0" t="str">
        <f aca="false">HYPERLINK("https://www.ncbi.nlm.nih.gov/nuccore/CP000058.1?report=graph&amp;tracks=[key:gene_model_track,Options:GeneOnly]&amp;mk=837351:837370|offset_31|444444,837375:837394|offset_55|444444,837406:837425|offset_86|444444,837450:837469|offset_130|00cc00&amp;v=837150:837669&amp;c=444444", "offset 130")</f>
        <v>offset 130</v>
      </c>
    </row>
    <row r="2676" customFormat="false" ht="12.8" hidden="false" customHeight="false" outlineLevel="0" collapsed="false">
      <c r="A2676" s="0" t="s">
        <v>12</v>
      </c>
      <c r="B2676" s="0" t="n">
        <v>837836</v>
      </c>
      <c r="C2676" s="0" t="n">
        <v>837856</v>
      </c>
      <c r="D2676" s="0" t="s">
        <v>8940</v>
      </c>
      <c r="E2676" s="0" t="s">
        <v>75</v>
      </c>
      <c r="F2676" s="0" t="s">
        <v>15</v>
      </c>
      <c r="G2676" s="0" t="s">
        <v>32</v>
      </c>
      <c r="H2676" s="0" t="n">
        <v>25</v>
      </c>
      <c r="I2676" s="0" t="s">
        <v>8941</v>
      </c>
      <c r="J2676" s="0" t="s">
        <v>8942</v>
      </c>
      <c r="K2676" s="0" t="s">
        <v>8943</v>
      </c>
      <c r="L2676" s="0" t="str">
        <f aca="false">HYPERLINK("https://www.ncbi.nlm.nih.gov/nuccore/CP000058.1?report=graph&amp;tracks=[key:gene_model_track,Options:GeneOnly]&amp;mk=837837:837856|offset_25|00cc00,837883:837902|offset_71|444444,837914:837933|offset_102|444444,837960:837979|offset_148|444444&amp;v=837636:838179&amp;c=444444", "offset 25")</f>
        <v>offset 25</v>
      </c>
    </row>
    <row r="2677" customFormat="false" ht="12.8" hidden="false" customHeight="false" outlineLevel="0" collapsed="false">
      <c r="A2677" s="0" t="s">
        <v>12</v>
      </c>
      <c r="B2677" s="0" t="n">
        <v>837882</v>
      </c>
      <c r="C2677" s="0" t="n">
        <v>837902</v>
      </c>
      <c r="D2677" s="0" t="s">
        <v>8940</v>
      </c>
      <c r="E2677" s="0" t="s">
        <v>75</v>
      </c>
      <c r="F2677" s="0" t="s">
        <v>15</v>
      </c>
      <c r="G2677" s="0" t="s">
        <v>16</v>
      </c>
      <c r="H2677" s="0" t="n">
        <v>71</v>
      </c>
      <c r="I2677" s="0" t="s">
        <v>8944</v>
      </c>
      <c r="J2677" s="0" t="s">
        <v>8945</v>
      </c>
      <c r="K2677" s="0" t="s">
        <v>8946</v>
      </c>
      <c r="L2677" s="0" t="str">
        <f aca="false">HYPERLINK("https://www.ncbi.nlm.nih.gov/nuccore/CP000058.1?report=graph&amp;tracks=[key:gene_model_track,Options:GeneOnly]&amp;mk=837837:837856|offset_25|444444,837883:837902|offset_71|00cc00,837914:837933|offset_102|444444,837960:837979|offset_148|444444&amp;v=837636:838179&amp;c=444444", "offset 71")</f>
        <v>offset 71</v>
      </c>
    </row>
    <row r="2678" customFormat="false" ht="12.8" hidden="false" customHeight="false" outlineLevel="0" collapsed="false">
      <c r="A2678" s="0" t="s">
        <v>12</v>
      </c>
      <c r="B2678" s="0" t="n">
        <v>837913</v>
      </c>
      <c r="C2678" s="0" t="n">
        <v>837933</v>
      </c>
      <c r="D2678" s="0" t="s">
        <v>8940</v>
      </c>
      <c r="E2678" s="0" t="s">
        <v>75</v>
      </c>
      <c r="F2678" s="0" t="s">
        <v>15</v>
      </c>
      <c r="G2678" s="0" t="s">
        <v>16</v>
      </c>
      <c r="H2678" s="0" t="n">
        <v>102</v>
      </c>
      <c r="I2678" s="0" t="s">
        <v>8947</v>
      </c>
      <c r="J2678" s="0" t="s">
        <v>8948</v>
      </c>
      <c r="K2678" s="0" t="s">
        <v>8949</v>
      </c>
      <c r="L2678" s="0" t="str">
        <f aca="false">HYPERLINK("https://www.ncbi.nlm.nih.gov/nuccore/CP000058.1?report=graph&amp;tracks=[key:gene_model_track,Options:GeneOnly]&amp;mk=837837:837856|offset_25|444444,837883:837902|offset_71|444444,837914:837933|offset_102|00cc00,837960:837979|offset_148|444444&amp;v=837636:838179&amp;c=444444", "offset 102")</f>
        <v>offset 102</v>
      </c>
    </row>
    <row r="2679" customFormat="false" ht="12.8" hidden="false" customHeight="false" outlineLevel="0" collapsed="false">
      <c r="A2679" s="0" t="s">
        <v>12</v>
      </c>
      <c r="B2679" s="0" t="n">
        <v>837959</v>
      </c>
      <c r="C2679" s="0" t="n">
        <v>837979</v>
      </c>
      <c r="D2679" s="0" t="s">
        <v>8940</v>
      </c>
      <c r="E2679" s="0" t="s">
        <v>75</v>
      </c>
      <c r="F2679" s="0" t="s">
        <v>15</v>
      </c>
      <c r="G2679" s="0" t="s">
        <v>16</v>
      </c>
      <c r="H2679" s="0" t="n">
        <v>148</v>
      </c>
      <c r="I2679" s="0" t="s">
        <v>8950</v>
      </c>
      <c r="J2679" s="0" t="s">
        <v>8951</v>
      </c>
      <c r="K2679" s="0" t="s">
        <v>8952</v>
      </c>
      <c r="L2679" s="0" t="str">
        <f aca="false">HYPERLINK("https://www.ncbi.nlm.nih.gov/nuccore/CP000058.1?report=graph&amp;tracks=[key:gene_model_track,Options:GeneOnly]&amp;mk=837837:837856|offset_25|444444,837883:837902|offset_71|444444,837914:837933|offset_102|444444,837960:837979|offset_148|00cc00&amp;v=837636:838179&amp;c=444444", "offset 148")</f>
        <v>offset 148</v>
      </c>
    </row>
    <row r="2680" customFormat="false" ht="12.8" hidden="false" customHeight="false" outlineLevel="0" collapsed="false">
      <c r="A2680" s="0" t="s">
        <v>12</v>
      </c>
      <c r="B2680" s="0" t="n">
        <v>839149</v>
      </c>
      <c r="C2680" s="0" t="n">
        <v>839169</v>
      </c>
      <c r="D2680" s="0" t="s">
        <v>8953</v>
      </c>
      <c r="E2680" s="0" t="s">
        <v>8954</v>
      </c>
      <c r="F2680" s="0" t="s">
        <v>15</v>
      </c>
      <c r="G2680" s="0" t="s">
        <v>36</v>
      </c>
      <c r="H2680" s="0" t="n">
        <v>13</v>
      </c>
      <c r="I2680" s="0" t="s">
        <v>8955</v>
      </c>
      <c r="J2680" s="0" t="s">
        <v>8956</v>
      </c>
      <c r="K2680" s="0" t="s">
        <v>8957</v>
      </c>
      <c r="L2680" s="0" t="str">
        <f aca="false">HYPERLINK("https://www.ncbi.nlm.nih.gov/nuccore/CP000058.1?report=graph&amp;tracks=[key:gene_model_track,Options:GeneOnly]&amp;mk=839150:839169|offset_13|00cc00,839189:839208|offset_52|444444,839219:839238|offset_82|444444,839288:839307|offset_151|444444&amp;v=838949:839507&amp;c=444444", "offset 13")</f>
        <v>offset 13</v>
      </c>
    </row>
    <row r="2681" customFormat="false" ht="12.8" hidden="false" customHeight="false" outlineLevel="0" collapsed="false">
      <c r="A2681" s="0" t="s">
        <v>12</v>
      </c>
      <c r="B2681" s="0" t="n">
        <v>839188</v>
      </c>
      <c r="C2681" s="0" t="n">
        <v>839208</v>
      </c>
      <c r="D2681" s="0" t="s">
        <v>8953</v>
      </c>
      <c r="E2681" s="0" t="s">
        <v>8954</v>
      </c>
      <c r="F2681" s="0" t="s">
        <v>15</v>
      </c>
      <c r="G2681" s="0" t="s">
        <v>16</v>
      </c>
      <c r="H2681" s="0" t="n">
        <v>52</v>
      </c>
      <c r="I2681" s="0" t="s">
        <v>8958</v>
      </c>
      <c r="J2681" s="0" t="s">
        <v>8959</v>
      </c>
      <c r="K2681" s="0" t="s">
        <v>8960</v>
      </c>
      <c r="L2681" s="0" t="str">
        <f aca="false">HYPERLINK("https://www.ncbi.nlm.nih.gov/nuccore/CP000058.1?report=graph&amp;tracks=[key:gene_model_track,Options:GeneOnly]&amp;mk=839150:839169|offset_13|444444,839189:839208|offset_52|00cc00,839219:839238|offset_82|444444,839288:839307|offset_151|444444&amp;v=838949:839507&amp;c=444444", "offset 52")</f>
        <v>offset 52</v>
      </c>
    </row>
    <row r="2682" customFormat="false" ht="12.8" hidden="false" customHeight="false" outlineLevel="0" collapsed="false">
      <c r="A2682" s="0" t="s">
        <v>12</v>
      </c>
      <c r="B2682" s="0" t="n">
        <v>839218</v>
      </c>
      <c r="C2682" s="0" t="n">
        <v>839238</v>
      </c>
      <c r="D2682" s="0" t="s">
        <v>8953</v>
      </c>
      <c r="E2682" s="0" t="s">
        <v>8954</v>
      </c>
      <c r="F2682" s="0" t="s">
        <v>15</v>
      </c>
      <c r="G2682" s="0" t="s">
        <v>32</v>
      </c>
      <c r="H2682" s="0" t="n">
        <v>82</v>
      </c>
      <c r="I2682" s="0" t="s">
        <v>8961</v>
      </c>
      <c r="J2682" s="0" t="s">
        <v>8962</v>
      </c>
      <c r="K2682" s="0" t="s">
        <v>8963</v>
      </c>
      <c r="L2682" s="0" t="str">
        <f aca="false">HYPERLINK("https://www.ncbi.nlm.nih.gov/nuccore/CP000058.1?report=graph&amp;tracks=[key:gene_model_track,Options:GeneOnly]&amp;mk=839150:839169|offset_13|444444,839189:839208|offset_52|444444,839219:839238|offset_82|00cc00,839288:839307|offset_151|444444&amp;v=838949:839507&amp;c=444444", "offset 82")</f>
        <v>offset 82</v>
      </c>
    </row>
    <row r="2683" customFormat="false" ht="12.8" hidden="false" customHeight="false" outlineLevel="0" collapsed="false">
      <c r="A2683" s="0" t="s">
        <v>12</v>
      </c>
      <c r="B2683" s="0" t="n">
        <v>839287</v>
      </c>
      <c r="C2683" s="0" t="n">
        <v>839307</v>
      </c>
      <c r="D2683" s="0" t="s">
        <v>8953</v>
      </c>
      <c r="E2683" s="0" t="s">
        <v>8954</v>
      </c>
      <c r="F2683" s="0" t="s">
        <v>15</v>
      </c>
      <c r="G2683" s="0" t="s">
        <v>16</v>
      </c>
      <c r="H2683" s="0" t="n">
        <v>151</v>
      </c>
      <c r="I2683" s="0" t="s">
        <v>8964</v>
      </c>
      <c r="J2683" s="0" t="s">
        <v>8965</v>
      </c>
      <c r="K2683" s="0" t="s">
        <v>8966</v>
      </c>
      <c r="L2683" s="0" t="str">
        <f aca="false">HYPERLINK("https://www.ncbi.nlm.nih.gov/nuccore/CP000058.1?report=graph&amp;tracks=[key:gene_model_track,Options:GeneOnly]&amp;mk=839150:839169|offset_13|444444,839189:839208|offset_52|444444,839219:839238|offset_82|444444,839288:839307|offset_151|00cc00&amp;v=838949:839507&amp;c=444444", "offset 151")</f>
        <v>offset 151</v>
      </c>
    </row>
    <row r="2684" customFormat="false" ht="12.8" hidden="false" customHeight="false" outlineLevel="0" collapsed="false">
      <c r="A2684" s="0" t="s">
        <v>12</v>
      </c>
      <c r="B2684" s="0" t="n">
        <v>840301</v>
      </c>
      <c r="C2684" s="0" t="n">
        <v>840321</v>
      </c>
      <c r="D2684" s="0" t="s">
        <v>8967</v>
      </c>
      <c r="E2684" s="0" t="s">
        <v>75</v>
      </c>
      <c r="F2684" s="0" t="s">
        <v>15</v>
      </c>
      <c r="G2684" s="0" t="s">
        <v>16</v>
      </c>
      <c r="H2684" s="0" t="n">
        <v>31</v>
      </c>
      <c r="I2684" s="0" t="s">
        <v>8968</v>
      </c>
      <c r="J2684" s="0" t="s">
        <v>8969</v>
      </c>
      <c r="K2684" s="0" t="s">
        <v>8970</v>
      </c>
      <c r="L2684" s="0" t="str">
        <f aca="false">HYPERLINK("https://www.ncbi.nlm.nih.gov/nuccore/CP000058.1?report=graph&amp;tracks=[key:gene_model_track,Options:GeneOnly]&amp;mk=840302:840321|offset_31|00cc00,840376:840395|offset_105|444444,840412:840431|offset_141|444444,840449:840468|offset_178|444444&amp;v=840101:840668&amp;c=444444", "offset 31")</f>
        <v>offset 31</v>
      </c>
    </row>
    <row r="2685" customFormat="false" ht="12.8" hidden="false" customHeight="false" outlineLevel="0" collapsed="false">
      <c r="A2685" s="0" t="s">
        <v>12</v>
      </c>
      <c r="B2685" s="0" t="n">
        <v>840375</v>
      </c>
      <c r="C2685" s="0" t="n">
        <v>840395</v>
      </c>
      <c r="D2685" s="0" t="s">
        <v>8967</v>
      </c>
      <c r="E2685" s="0" t="s">
        <v>75</v>
      </c>
      <c r="F2685" s="0" t="s">
        <v>15</v>
      </c>
      <c r="G2685" s="0" t="s">
        <v>16</v>
      </c>
      <c r="H2685" s="0" t="n">
        <v>105</v>
      </c>
      <c r="I2685" s="0" t="s">
        <v>8971</v>
      </c>
      <c r="J2685" s="0" t="s">
        <v>8972</v>
      </c>
      <c r="K2685" s="0" t="s">
        <v>8973</v>
      </c>
      <c r="L2685" s="0" t="str">
        <f aca="false">HYPERLINK("https://www.ncbi.nlm.nih.gov/nuccore/CP000058.1?report=graph&amp;tracks=[key:gene_model_track,Options:GeneOnly]&amp;mk=840302:840321|offset_31|444444,840376:840395|offset_105|00cc00,840412:840431|offset_141|444444,840449:840468|offset_178|444444&amp;v=840101:840668&amp;c=444444", "offset 105")</f>
        <v>offset 105</v>
      </c>
    </row>
    <row r="2686" customFormat="false" ht="12.8" hidden="false" customHeight="false" outlineLevel="0" collapsed="false">
      <c r="A2686" s="0" t="s">
        <v>12</v>
      </c>
      <c r="B2686" s="0" t="n">
        <v>840411</v>
      </c>
      <c r="C2686" s="0" t="n">
        <v>840431</v>
      </c>
      <c r="D2686" s="0" t="s">
        <v>8967</v>
      </c>
      <c r="E2686" s="0" t="s">
        <v>75</v>
      </c>
      <c r="F2686" s="0" t="s">
        <v>15</v>
      </c>
      <c r="G2686" s="0" t="s">
        <v>36</v>
      </c>
      <c r="H2686" s="0" t="n">
        <v>141</v>
      </c>
      <c r="I2686" s="0" t="s">
        <v>8974</v>
      </c>
      <c r="J2686" s="0" t="s">
        <v>8975</v>
      </c>
      <c r="K2686" s="0" t="s">
        <v>8976</v>
      </c>
      <c r="L2686" s="0" t="str">
        <f aca="false">HYPERLINK("https://www.ncbi.nlm.nih.gov/nuccore/CP000058.1?report=graph&amp;tracks=[key:gene_model_track,Options:GeneOnly]&amp;mk=840302:840321|offset_31|444444,840376:840395|offset_105|444444,840412:840431|offset_141|00cc00,840449:840468|offset_178|444444&amp;v=840101:840668&amp;c=444444", "offset 141")</f>
        <v>offset 141</v>
      </c>
    </row>
    <row r="2687" customFormat="false" ht="12.8" hidden="false" customHeight="false" outlineLevel="0" collapsed="false">
      <c r="A2687" s="0" t="s">
        <v>12</v>
      </c>
      <c r="B2687" s="0" t="n">
        <v>840448</v>
      </c>
      <c r="C2687" s="0" t="n">
        <v>840468</v>
      </c>
      <c r="D2687" s="0" t="s">
        <v>8967</v>
      </c>
      <c r="E2687" s="0" t="s">
        <v>75</v>
      </c>
      <c r="F2687" s="0" t="s">
        <v>15</v>
      </c>
      <c r="G2687" s="0" t="s">
        <v>32</v>
      </c>
      <c r="H2687" s="0" t="n">
        <v>178</v>
      </c>
      <c r="I2687" s="0" t="s">
        <v>8977</v>
      </c>
      <c r="J2687" s="0" t="s">
        <v>8978</v>
      </c>
      <c r="K2687" s="0" t="s">
        <v>8979</v>
      </c>
      <c r="L2687" s="0" t="str">
        <f aca="false">HYPERLINK("https://www.ncbi.nlm.nih.gov/nuccore/CP000058.1?report=graph&amp;tracks=[key:gene_model_track,Options:GeneOnly]&amp;mk=840302:840321|offset_31|444444,840376:840395|offset_105|444444,840412:840431|offset_141|444444,840449:840468|offset_178|00cc00&amp;v=840101:840668&amp;c=444444", "offset 178")</f>
        <v>offset 178</v>
      </c>
    </row>
    <row r="2688" customFormat="false" ht="12.8" hidden="false" customHeight="false" outlineLevel="0" collapsed="false">
      <c r="A2688" s="0" t="s">
        <v>12</v>
      </c>
      <c r="B2688" s="0" t="n">
        <v>841194</v>
      </c>
      <c r="C2688" s="0" t="n">
        <v>841214</v>
      </c>
      <c r="D2688" s="0" t="s">
        <v>8980</v>
      </c>
      <c r="E2688" s="0" t="s">
        <v>8981</v>
      </c>
      <c r="F2688" s="0" t="s">
        <v>90</v>
      </c>
      <c r="G2688" s="0" t="s">
        <v>32</v>
      </c>
      <c r="H2688" s="0" t="n">
        <v>7</v>
      </c>
      <c r="I2688" s="0" t="s">
        <v>8982</v>
      </c>
      <c r="J2688" s="0" t="s">
        <v>8983</v>
      </c>
      <c r="K2688" s="0" t="s">
        <v>8984</v>
      </c>
      <c r="L2688" s="0" t="str">
        <f aca="false">HYPERLINK("https://www.ncbi.nlm.nih.gov/nuccore/CP000058.1?report=graph&amp;tracks=[key:gene_model_track,Options:GeneOnly]&amp;mk=841195:841214|offset_7|00cc00,841143:841162|offset_59|444444,841123:841142|offset_79|444444,841087:841106|offset_115|444444&amp;v=840994:841306&amp;c=444444", "offset 7")</f>
        <v>offset 7</v>
      </c>
    </row>
    <row r="2689" customFormat="false" ht="12.8" hidden="false" customHeight="false" outlineLevel="0" collapsed="false">
      <c r="A2689" s="0" t="s">
        <v>12</v>
      </c>
      <c r="B2689" s="0" t="n">
        <v>841142</v>
      </c>
      <c r="C2689" s="0" t="n">
        <v>841162</v>
      </c>
      <c r="D2689" s="0" t="s">
        <v>8980</v>
      </c>
      <c r="E2689" s="0" t="s">
        <v>8981</v>
      </c>
      <c r="F2689" s="0" t="s">
        <v>90</v>
      </c>
      <c r="G2689" s="0" t="s">
        <v>32</v>
      </c>
      <c r="H2689" s="0" t="n">
        <v>59</v>
      </c>
      <c r="I2689" s="0" t="s">
        <v>8985</v>
      </c>
      <c r="J2689" s="0" t="s">
        <v>8986</v>
      </c>
      <c r="K2689" s="0" t="s">
        <v>8987</v>
      </c>
      <c r="L2689" s="0" t="str">
        <f aca="false">HYPERLINK("https://www.ncbi.nlm.nih.gov/nuccore/CP000058.1?report=graph&amp;tracks=[key:gene_model_track,Options:GeneOnly]&amp;mk=841195:841214|offset_7|444444,841143:841162|offset_59|00cc00,841123:841142|offset_79|444444,841087:841106|offset_115|444444&amp;v=840994:841306&amp;c=444444", "offset 59")</f>
        <v>offset 59</v>
      </c>
    </row>
    <row r="2690" customFormat="false" ht="12.8" hidden="false" customHeight="false" outlineLevel="0" collapsed="false">
      <c r="A2690" s="0" t="s">
        <v>12</v>
      </c>
      <c r="B2690" s="0" t="n">
        <v>841122</v>
      </c>
      <c r="C2690" s="0" t="n">
        <v>841142</v>
      </c>
      <c r="D2690" s="0" t="s">
        <v>8980</v>
      </c>
      <c r="E2690" s="0" t="s">
        <v>8981</v>
      </c>
      <c r="F2690" s="0" t="s">
        <v>90</v>
      </c>
      <c r="G2690" s="0" t="s">
        <v>32</v>
      </c>
      <c r="H2690" s="0" t="n">
        <v>79</v>
      </c>
      <c r="I2690" s="0" t="s">
        <v>8988</v>
      </c>
      <c r="J2690" s="0" t="s">
        <v>8989</v>
      </c>
      <c r="K2690" s="0" t="s">
        <v>8990</v>
      </c>
      <c r="L2690" s="0" t="str">
        <f aca="false">HYPERLINK("https://www.ncbi.nlm.nih.gov/nuccore/CP000058.1?report=graph&amp;tracks=[key:gene_model_track,Options:GeneOnly]&amp;mk=841195:841214|offset_7|444444,841143:841162|offset_59|444444,841123:841142|offset_79|00cc00,841087:841106|offset_115|444444&amp;v=840994:841306&amp;c=444444", "offset 79")</f>
        <v>offset 79</v>
      </c>
    </row>
    <row r="2691" customFormat="false" ht="12.8" hidden="false" customHeight="false" outlineLevel="0" collapsed="false">
      <c r="A2691" s="0" t="s">
        <v>12</v>
      </c>
      <c r="B2691" s="0" t="n">
        <v>841086</v>
      </c>
      <c r="C2691" s="0" t="n">
        <v>841106</v>
      </c>
      <c r="D2691" s="0" t="s">
        <v>8980</v>
      </c>
      <c r="E2691" s="0" t="s">
        <v>8981</v>
      </c>
      <c r="F2691" s="0" t="s">
        <v>90</v>
      </c>
      <c r="G2691" s="0" t="s">
        <v>32</v>
      </c>
      <c r="H2691" s="0" t="n">
        <v>115</v>
      </c>
      <c r="I2691" s="0" t="s">
        <v>8991</v>
      </c>
      <c r="J2691" s="0" t="s">
        <v>8992</v>
      </c>
      <c r="K2691" s="0" t="s">
        <v>8993</v>
      </c>
      <c r="L2691" s="0" t="str">
        <f aca="false">HYPERLINK("https://www.ncbi.nlm.nih.gov/nuccore/CP000058.1?report=graph&amp;tracks=[key:gene_model_track,Options:GeneOnly]&amp;mk=841195:841214|offset_7|444444,841143:841162|offset_59|444444,841123:841142|offset_79|444444,841087:841106|offset_115|00cc00&amp;v=840994:841306&amp;c=444444", "offset 115")</f>
        <v>offset 115</v>
      </c>
    </row>
    <row r="2692" customFormat="false" ht="12.8" hidden="false" customHeight="false" outlineLevel="0" collapsed="false">
      <c r="A2692" s="0" t="s">
        <v>12</v>
      </c>
      <c r="B2692" s="0" t="n">
        <v>841496</v>
      </c>
      <c r="C2692" s="0" t="n">
        <v>841516</v>
      </c>
      <c r="D2692" s="0" t="s">
        <v>8994</v>
      </c>
      <c r="E2692" s="0" t="s">
        <v>8995</v>
      </c>
      <c r="F2692" s="0" t="s">
        <v>15</v>
      </c>
      <c r="G2692" s="0" t="s">
        <v>16</v>
      </c>
      <c r="H2692" s="0" t="n">
        <v>25</v>
      </c>
      <c r="I2692" s="0" t="s">
        <v>8996</v>
      </c>
      <c r="J2692" s="0" t="s">
        <v>8997</v>
      </c>
      <c r="K2692" s="0" t="s">
        <v>8998</v>
      </c>
      <c r="L2692" s="0" t="str">
        <f aca="false">HYPERLINK("https://www.ncbi.nlm.nih.gov/nuccore/CP000058.1?report=graph&amp;tracks=[key:gene_model_track,Options:GeneOnly]&amp;mk=841497:841516|offset_25|00cc00,841524:841543|offset_52|444444,841551:841570|offset_79|444444,841575:841594|offset_103|444444&amp;v=841296:841794&amp;c=444444", "offset 25")</f>
        <v>offset 25</v>
      </c>
    </row>
    <row r="2693" customFormat="false" ht="12.8" hidden="false" customHeight="false" outlineLevel="0" collapsed="false">
      <c r="A2693" s="0" t="s">
        <v>12</v>
      </c>
      <c r="B2693" s="0" t="n">
        <v>841523</v>
      </c>
      <c r="C2693" s="0" t="n">
        <v>841543</v>
      </c>
      <c r="D2693" s="0" t="s">
        <v>8994</v>
      </c>
      <c r="E2693" s="0" t="s">
        <v>8995</v>
      </c>
      <c r="F2693" s="0" t="s">
        <v>15</v>
      </c>
      <c r="G2693" s="0" t="s">
        <v>36</v>
      </c>
      <c r="H2693" s="0" t="n">
        <v>52</v>
      </c>
      <c r="I2693" s="0" t="s">
        <v>8999</v>
      </c>
      <c r="J2693" s="0" t="s">
        <v>9000</v>
      </c>
      <c r="K2693" s="0" t="s">
        <v>9001</v>
      </c>
      <c r="L2693" s="0" t="str">
        <f aca="false">HYPERLINK("https://www.ncbi.nlm.nih.gov/nuccore/CP000058.1?report=graph&amp;tracks=[key:gene_model_track,Options:GeneOnly]&amp;mk=841497:841516|offset_25|444444,841524:841543|offset_52|00cc00,841551:841570|offset_79|444444,841575:841594|offset_103|444444&amp;v=841296:841794&amp;c=444444", "offset 52")</f>
        <v>offset 52</v>
      </c>
    </row>
    <row r="2694" customFormat="false" ht="12.8" hidden="false" customHeight="false" outlineLevel="0" collapsed="false">
      <c r="A2694" s="0" t="s">
        <v>12</v>
      </c>
      <c r="B2694" s="0" t="n">
        <v>841550</v>
      </c>
      <c r="C2694" s="0" t="n">
        <v>841570</v>
      </c>
      <c r="D2694" s="0" t="s">
        <v>8994</v>
      </c>
      <c r="E2694" s="0" t="s">
        <v>8995</v>
      </c>
      <c r="F2694" s="0" t="s">
        <v>15</v>
      </c>
      <c r="G2694" s="0" t="s">
        <v>32</v>
      </c>
      <c r="H2694" s="0" t="n">
        <v>79</v>
      </c>
      <c r="I2694" s="0" t="s">
        <v>9002</v>
      </c>
      <c r="J2694" s="0" t="s">
        <v>9003</v>
      </c>
      <c r="K2694" s="0" t="s">
        <v>9004</v>
      </c>
      <c r="L2694" s="0" t="str">
        <f aca="false">HYPERLINK("https://www.ncbi.nlm.nih.gov/nuccore/CP000058.1?report=graph&amp;tracks=[key:gene_model_track,Options:GeneOnly]&amp;mk=841497:841516|offset_25|444444,841524:841543|offset_52|444444,841551:841570|offset_79|00cc00,841575:841594|offset_103|444444&amp;v=841296:841794&amp;c=444444", "offset 79")</f>
        <v>offset 79</v>
      </c>
    </row>
    <row r="2695" customFormat="false" ht="12.8" hidden="false" customHeight="false" outlineLevel="0" collapsed="false">
      <c r="A2695" s="0" t="s">
        <v>12</v>
      </c>
      <c r="B2695" s="0" t="n">
        <v>841574</v>
      </c>
      <c r="C2695" s="0" t="n">
        <v>841594</v>
      </c>
      <c r="D2695" s="0" t="s">
        <v>8994</v>
      </c>
      <c r="E2695" s="0" t="s">
        <v>8995</v>
      </c>
      <c r="F2695" s="0" t="s">
        <v>15</v>
      </c>
      <c r="G2695" s="0" t="s">
        <v>16</v>
      </c>
      <c r="H2695" s="0" t="n">
        <v>103</v>
      </c>
      <c r="I2695" s="0" t="s">
        <v>9005</v>
      </c>
      <c r="J2695" s="0" t="s">
        <v>9006</v>
      </c>
      <c r="K2695" s="0" t="s">
        <v>9007</v>
      </c>
      <c r="L2695" s="0" t="str">
        <f aca="false">HYPERLINK("https://www.ncbi.nlm.nih.gov/nuccore/CP000058.1?report=graph&amp;tracks=[key:gene_model_track,Options:GeneOnly]&amp;mk=841497:841516|offset_25|444444,841524:841543|offset_52|444444,841551:841570|offset_79|444444,841575:841594|offset_103|00cc00&amp;v=841296:841794&amp;c=444444", "offset 103")</f>
        <v>offset 103</v>
      </c>
    </row>
    <row r="2696" customFormat="false" ht="12.8" hidden="false" customHeight="false" outlineLevel="0" collapsed="false">
      <c r="A2696" s="0" t="s">
        <v>12</v>
      </c>
      <c r="B2696" s="0" t="n">
        <v>843040</v>
      </c>
      <c r="C2696" s="0" t="n">
        <v>843060</v>
      </c>
      <c r="D2696" s="0" t="s">
        <v>9008</v>
      </c>
      <c r="E2696" s="0" t="s">
        <v>9009</v>
      </c>
      <c r="F2696" s="0" t="s">
        <v>15</v>
      </c>
      <c r="G2696" s="0" t="s">
        <v>32</v>
      </c>
      <c r="H2696" s="0" t="n">
        <v>16</v>
      </c>
      <c r="I2696" s="0" t="s">
        <v>9010</v>
      </c>
      <c r="J2696" s="0" t="s">
        <v>9011</v>
      </c>
      <c r="K2696" s="0" t="s">
        <v>9012</v>
      </c>
      <c r="L2696" s="0" t="str">
        <f aca="false">HYPERLINK("https://www.ncbi.nlm.nih.gov/nuccore/CP000058.1?report=graph&amp;tracks=[key:gene_model_track,Options:GeneOnly]&amp;mk=843041:843060|offset_16|00cc00,843077:843096|offset_52|444444,843111:843130|offset_86|444444,843153:843172|offset_128|444444&amp;v=842840:843372&amp;c=444444", "offset 16")</f>
        <v>offset 16</v>
      </c>
    </row>
    <row r="2697" customFormat="false" ht="12.8" hidden="false" customHeight="false" outlineLevel="0" collapsed="false">
      <c r="A2697" s="0" t="s">
        <v>12</v>
      </c>
      <c r="B2697" s="0" t="n">
        <v>843076</v>
      </c>
      <c r="C2697" s="0" t="n">
        <v>843096</v>
      </c>
      <c r="D2697" s="0" t="s">
        <v>9008</v>
      </c>
      <c r="E2697" s="0" t="s">
        <v>9009</v>
      </c>
      <c r="F2697" s="0" t="s">
        <v>15</v>
      </c>
      <c r="G2697" s="0" t="s">
        <v>20</v>
      </c>
      <c r="H2697" s="0" t="n">
        <v>52</v>
      </c>
      <c r="I2697" s="0" t="s">
        <v>9013</v>
      </c>
      <c r="J2697" s="0" t="s">
        <v>9014</v>
      </c>
      <c r="K2697" s="0" t="s">
        <v>9015</v>
      </c>
      <c r="L2697" s="0" t="str">
        <f aca="false">HYPERLINK("https://www.ncbi.nlm.nih.gov/nuccore/CP000058.1?report=graph&amp;tracks=[key:gene_model_track,Options:GeneOnly]&amp;mk=843041:843060|offset_16|444444,843077:843096|offset_52|00cc00,843111:843130|offset_86|444444,843153:843172|offset_128|444444&amp;v=842840:843372&amp;c=444444", "offset 52")</f>
        <v>offset 52</v>
      </c>
    </row>
    <row r="2698" customFormat="false" ht="12.8" hidden="false" customHeight="false" outlineLevel="0" collapsed="false">
      <c r="A2698" s="0" t="s">
        <v>12</v>
      </c>
      <c r="B2698" s="0" t="n">
        <v>843110</v>
      </c>
      <c r="C2698" s="0" t="n">
        <v>843130</v>
      </c>
      <c r="D2698" s="0" t="s">
        <v>9008</v>
      </c>
      <c r="E2698" s="0" t="s">
        <v>9009</v>
      </c>
      <c r="F2698" s="0" t="s">
        <v>15</v>
      </c>
      <c r="G2698" s="0" t="s">
        <v>32</v>
      </c>
      <c r="H2698" s="0" t="n">
        <v>86</v>
      </c>
      <c r="I2698" s="0" t="s">
        <v>9016</v>
      </c>
      <c r="J2698" s="0" t="s">
        <v>9017</v>
      </c>
      <c r="K2698" s="0" t="s">
        <v>9018</v>
      </c>
      <c r="L2698" s="0" t="str">
        <f aca="false">HYPERLINK("https://www.ncbi.nlm.nih.gov/nuccore/CP000058.1?report=graph&amp;tracks=[key:gene_model_track,Options:GeneOnly]&amp;mk=843041:843060|offset_16|444444,843077:843096|offset_52|444444,843111:843130|offset_86|00cc00,843153:843172|offset_128|444444&amp;v=842840:843372&amp;c=444444", "offset 86")</f>
        <v>offset 86</v>
      </c>
    </row>
    <row r="2699" customFormat="false" ht="12.8" hidden="false" customHeight="false" outlineLevel="0" collapsed="false">
      <c r="A2699" s="0" t="s">
        <v>12</v>
      </c>
      <c r="B2699" s="0" t="n">
        <v>843152</v>
      </c>
      <c r="C2699" s="0" t="n">
        <v>843172</v>
      </c>
      <c r="D2699" s="0" t="s">
        <v>9008</v>
      </c>
      <c r="E2699" s="0" t="s">
        <v>9009</v>
      </c>
      <c r="F2699" s="0" t="s">
        <v>15</v>
      </c>
      <c r="G2699" s="0" t="s">
        <v>20</v>
      </c>
      <c r="H2699" s="0" t="n">
        <v>128</v>
      </c>
      <c r="I2699" s="0" t="s">
        <v>9019</v>
      </c>
      <c r="J2699" s="0" t="s">
        <v>9020</v>
      </c>
      <c r="K2699" s="0" t="s">
        <v>9021</v>
      </c>
      <c r="L2699" s="0" t="str">
        <f aca="false">HYPERLINK("https://www.ncbi.nlm.nih.gov/nuccore/CP000058.1?report=graph&amp;tracks=[key:gene_model_track,Options:GeneOnly]&amp;mk=843041:843060|offset_16|444444,843077:843096|offset_52|444444,843111:843130|offset_86|444444,843153:843172|offset_128|00cc00&amp;v=842840:843372&amp;c=444444", "offset 128")</f>
        <v>offset 128</v>
      </c>
    </row>
    <row r="2700" customFormat="false" ht="12.8" hidden="false" customHeight="false" outlineLevel="0" collapsed="false">
      <c r="A2700" s="0" t="s">
        <v>12</v>
      </c>
      <c r="B2700" s="0" t="n">
        <v>844098</v>
      </c>
      <c r="C2700" s="0" t="n">
        <v>844118</v>
      </c>
      <c r="D2700" s="0" t="s">
        <v>9022</v>
      </c>
      <c r="E2700" s="0" t="s">
        <v>9023</v>
      </c>
      <c r="F2700" s="0" t="s">
        <v>15</v>
      </c>
      <c r="G2700" s="0" t="s">
        <v>32</v>
      </c>
      <c r="H2700" s="0" t="n">
        <v>19</v>
      </c>
      <c r="I2700" s="0" t="s">
        <v>9024</v>
      </c>
      <c r="J2700" s="0" t="s">
        <v>9025</v>
      </c>
      <c r="K2700" s="0" t="s">
        <v>9026</v>
      </c>
      <c r="L2700" s="0" t="str">
        <f aca="false">HYPERLINK("https://www.ncbi.nlm.nih.gov/nuccore/CP000058.1?report=graph&amp;tracks=[key:gene_model_track,Options:GeneOnly]&amp;mk=844099:844118|offset_19|00cc00,844120:844139|offset_40|444444,844142:844161|offset_62|444444,844190:844209|offset_110|444444&amp;v=843898:844409&amp;c=444444", "offset 19")</f>
        <v>offset 19</v>
      </c>
    </row>
    <row r="2701" customFormat="false" ht="12.8" hidden="false" customHeight="false" outlineLevel="0" collapsed="false">
      <c r="A2701" s="0" t="s">
        <v>12</v>
      </c>
      <c r="B2701" s="0" t="n">
        <v>844119</v>
      </c>
      <c r="C2701" s="0" t="n">
        <v>844139</v>
      </c>
      <c r="D2701" s="0" t="s">
        <v>9022</v>
      </c>
      <c r="E2701" s="0" t="s">
        <v>9023</v>
      </c>
      <c r="F2701" s="0" t="s">
        <v>15</v>
      </c>
      <c r="G2701" s="0" t="s">
        <v>16</v>
      </c>
      <c r="H2701" s="0" t="n">
        <v>40</v>
      </c>
      <c r="I2701" s="0" t="s">
        <v>9027</v>
      </c>
      <c r="J2701" s="0" t="s">
        <v>9028</v>
      </c>
      <c r="K2701" s="0" t="s">
        <v>9029</v>
      </c>
      <c r="L2701" s="0" t="str">
        <f aca="false">HYPERLINK("https://www.ncbi.nlm.nih.gov/nuccore/CP000058.1?report=graph&amp;tracks=[key:gene_model_track,Options:GeneOnly]&amp;mk=844099:844118|offset_19|444444,844120:844139|offset_40|00cc00,844142:844161|offset_62|444444,844190:844209|offset_110|444444&amp;v=843898:844409&amp;c=444444", "offset 40")</f>
        <v>offset 40</v>
      </c>
    </row>
    <row r="2702" customFormat="false" ht="12.8" hidden="false" customHeight="false" outlineLevel="0" collapsed="false">
      <c r="A2702" s="0" t="s">
        <v>12</v>
      </c>
      <c r="B2702" s="0" t="n">
        <v>844141</v>
      </c>
      <c r="C2702" s="0" t="n">
        <v>844161</v>
      </c>
      <c r="D2702" s="0" t="s">
        <v>9022</v>
      </c>
      <c r="E2702" s="0" t="s">
        <v>9023</v>
      </c>
      <c r="F2702" s="0" t="s">
        <v>15</v>
      </c>
      <c r="G2702" s="0" t="s">
        <v>20</v>
      </c>
      <c r="H2702" s="0" t="n">
        <v>62</v>
      </c>
      <c r="I2702" s="0" t="s">
        <v>9030</v>
      </c>
      <c r="J2702" s="0" t="s">
        <v>9031</v>
      </c>
      <c r="K2702" s="0" t="s">
        <v>9032</v>
      </c>
      <c r="L2702" s="0" t="str">
        <f aca="false">HYPERLINK("https://www.ncbi.nlm.nih.gov/nuccore/CP000058.1?report=graph&amp;tracks=[key:gene_model_track,Options:GeneOnly]&amp;mk=844099:844118|offset_19|444444,844120:844139|offset_40|444444,844142:844161|offset_62|00cc00,844190:844209|offset_110|444444&amp;v=843898:844409&amp;c=444444", "offset 62")</f>
        <v>offset 62</v>
      </c>
    </row>
    <row r="2703" customFormat="false" ht="12.8" hidden="false" customHeight="false" outlineLevel="0" collapsed="false">
      <c r="A2703" s="0" t="s">
        <v>12</v>
      </c>
      <c r="B2703" s="0" t="n">
        <v>844189</v>
      </c>
      <c r="C2703" s="0" t="n">
        <v>844209</v>
      </c>
      <c r="D2703" s="0" t="s">
        <v>9022</v>
      </c>
      <c r="E2703" s="0" t="s">
        <v>9023</v>
      </c>
      <c r="F2703" s="0" t="s">
        <v>15</v>
      </c>
      <c r="G2703" s="0" t="s">
        <v>20</v>
      </c>
      <c r="H2703" s="0" t="n">
        <v>110</v>
      </c>
      <c r="I2703" s="0" t="s">
        <v>9033</v>
      </c>
      <c r="J2703" s="0" t="s">
        <v>9034</v>
      </c>
      <c r="K2703" s="0" t="s">
        <v>9035</v>
      </c>
      <c r="L2703" s="0" t="str">
        <f aca="false">HYPERLINK("https://www.ncbi.nlm.nih.gov/nuccore/CP000058.1?report=graph&amp;tracks=[key:gene_model_track,Options:GeneOnly]&amp;mk=844099:844118|offset_19|444444,844120:844139|offset_40|444444,844142:844161|offset_62|444444,844190:844209|offset_110|00cc00&amp;v=843898:844409&amp;c=444444", "offset 110")</f>
        <v>offset 110</v>
      </c>
    </row>
    <row r="2704" customFormat="false" ht="12.8" hidden="false" customHeight="false" outlineLevel="0" collapsed="false">
      <c r="A2704" s="0" t="s">
        <v>12</v>
      </c>
      <c r="B2704" s="0" t="n">
        <v>846916</v>
      </c>
      <c r="C2704" s="0" t="n">
        <v>846936</v>
      </c>
      <c r="D2704" s="0" t="s">
        <v>9036</v>
      </c>
      <c r="E2704" s="0" t="s">
        <v>9037</v>
      </c>
      <c r="F2704" s="0" t="s">
        <v>15</v>
      </c>
      <c r="G2704" s="0" t="s">
        <v>20</v>
      </c>
      <c r="H2704" s="0" t="n">
        <v>13</v>
      </c>
      <c r="I2704" s="0" t="s">
        <v>9038</v>
      </c>
      <c r="J2704" s="0" t="s">
        <v>9039</v>
      </c>
      <c r="K2704" s="0" t="s">
        <v>9040</v>
      </c>
      <c r="L2704" s="0" t="str">
        <f aca="false">HYPERLINK("https://www.ncbi.nlm.nih.gov/nuccore/CP000058.1?report=graph&amp;tracks=[key:gene_model_track,Options:GeneOnly]&amp;mk=846917:846936|offset_13|00cc00,846972:846991|offset_68|444444,847001:847020|offset_97|444444,847033:847052|offset_129|444444&amp;v=846716:847252&amp;c=444444", "offset 13")</f>
        <v>offset 13</v>
      </c>
    </row>
    <row r="2705" customFormat="false" ht="12.8" hidden="false" customHeight="false" outlineLevel="0" collapsed="false">
      <c r="A2705" s="0" t="s">
        <v>12</v>
      </c>
      <c r="B2705" s="0" t="n">
        <v>846971</v>
      </c>
      <c r="C2705" s="0" t="n">
        <v>846991</v>
      </c>
      <c r="D2705" s="0" t="s">
        <v>9036</v>
      </c>
      <c r="E2705" s="0" t="s">
        <v>9037</v>
      </c>
      <c r="F2705" s="0" t="s">
        <v>15</v>
      </c>
      <c r="G2705" s="0" t="s">
        <v>32</v>
      </c>
      <c r="H2705" s="0" t="n">
        <v>68</v>
      </c>
      <c r="I2705" s="0" t="s">
        <v>9041</v>
      </c>
      <c r="J2705" s="0" t="s">
        <v>9042</v>
      </c>
      <c r="K2705" s="0" t="s">
        <v>9043</v>
      </c>
      <c r="L2705" s="0" t="str">
        <f aca="false">HYPERLINK("https://www.ncbi.nlm.nih.gov/nuccore/CP000058.1?report=graph&amp;tracks=[key:gene_model_track,Options:GeneOnly]&amp;mk=846917:846936|offset_13|444444,846972:846991|offset_68|00cc00,847001:847020|offset_97|444444,847033:847052|offset_129|444444&amp;v=846716:847252&amp;c=444444", "offset 68")</f>
        <v>offset 68</v>
      </c>
    </row>
    <row r="2706" customFormat="false" ht="12.8" hidden="false" customHeight="false" outlineLevel="0" collapsed="false">
      <c r="A2706" s="0" t="s">
        <v>12</v>
      </c>
      <c r="B2706" s="0" t="n">
        <v>847000</v>
      </c>
      <c r="C2706" s="0" t="n">
        <v>847020</v>
      </c>
      <c r="D2706" s="0" t="s">
        <v>9036</v>
      </c>
      <c r="E2706" s="0" t="s">
        <v>9037</v>
      </c>
      <c r="F2706" s="0" t="s">
        <v>15</v>
      </c>
      <c r="G2706" s="0" t="s">
        <v>20</v>
      </c>
      <c r="H2706" s="0" t="n">
        <v>97</v>
      </c>
      <c r="I2706" s="0" t="s">
        <v>9044</v>
      </c>
      <c r="J2706" s="0" t="s">
        <v>9045</v>
      </c>
      <c r="K2706" s="0" t="s">
        <v>9046</v>
      </c>
      <c r="L2706" s="0" t="str">
        <f aca="false">HYPERLINK("https://www.ncbi.nlm.nih.gov/nuccore/CP000058.1?report=graph&amp;tracks=[key:gene_model_track,Options:GeneOnly]&amp;mk=846917:846936|offset_13|444444,846972:846991|offset_68|444444,847001:847020|offset_97|00cc00,847033:847052|offset_129|444444&amp;v=846716:847252&amp;c=444444", "offset 97")</f>
        <v>offset 97</v>
      </c>
    </row>
    <row r="2707" customFormat="false" ht="12.8" hidden="false" customHeight="false" outlineLevel="0" collapsed="false">
      <c r="A2707" s="0" t="s">
        <v>12</v>
      </c>
      <c r="B2707" s="0" t="n">
        <v>847032</v>
      </c>
      <c r="C2707" s="0" t="n">
        <v>847052</v>
      </c>
      <c r="D2707" s="0" t="s">
        <v>9036</v>
      </c>
      <c r="E2707" s="0" t="s">
        <v>9037</v>
      </c>
      <c r="F2707" s="0" t="s">
        <v>15</v>
      </c>
      <c r="G2707" s="0" t="s">
        <v>16</v>
      </c>
      <c r="H2707" s="0" t="n">
        <v>129</v>
      </c>
      <c r="I2707" s="0" t="s">
        <v>9047</v>
      </c>
      <c r="J2707" s="0" t="s">
        <v>9048</v>
      </c>
      <c r="K2707" s="0" t="s">
        <v>9049</v>
      </c>
      <c r="L2707" s="0" t="str">
        <f aca="false">HYPERLINK("https://www.ncbi.nlm.nih.gov/nuccore/CP000058.1?report=graph&amp;tracks=[key:gene_model_track,Options:GeneOnly]&amp;mk=846917:846936|offset_13|444444,846972:846991|offset_68|444444,847001:847020|offset_97|444444,847033:847052|offset_129|00cc00&amp;v=846716:847252&amp;c=444444", "offset 129")</f>
        <v>offset 129</v>
      </c>
    </row>
    <row r="2708" customFormat="false" ht="12.8" hidden="false" customHeight="false" outlineLevel="0" collapsed="false">
      <c r="A2708" s="0" t="s">
        <v>12</v>
      </c>
      <c r="B2708" s="0" t="n">
        <v>847472</v>
      </c>
      <c r="C2708" s="0" t="n">
        <v>847492</v>
      </c>
      <c r="D2708" s="0" t="s">
        <v>9050</v>
      </c>
      <c r="E2708" s="0" t="s">
        <v>75</v>
      </c>
      <c r="F2708" s="0" t="s">
        <v>15</v>
      </c>
      <c r="G2708" s="0" t="s">
        <v>20</v>
      </c>
      <c r="H2708" s="0" t="n">
        <v>70</v>
      </c>
      <c r="I2708" s="0" t="s">
        <v>9051</v>
      </c>
      <c r="J2708" s="0" t="s">
        <v>9052</v>
      </c>
      <c r="K2708" s="0" t="s">
        <v>9053</v>
      </c>
      <c r="L2708" s="0" t="str">
        <f aca="false">HYPERLINK("https://www.ncbi.nlm.nih.gov/nuccore/CP000058.1?report=graph&amp;tracks=[key:gene_model_track,Options:GeneOnly]&amp;mk=847473:847492|offset_70|00cc00,847509:847528|offset_106|444444,847535:847554|offset_132|444444,847564:847583|offset_161|444444&amp;v=847272:847783&amp;c=444444", "offset 70")</f>
        <v>offset 70</v>
      </c>
    </row>
    <row r="2709" customFormat="false" ht="12.8" hidden="false" customHeight="false" outlineLevel="0" collapsed="false">
      <c r="A2709" s="0" t="s">
        <v>12</v>
      </c>
      <c r="B2709" s="0" t="n">
        <v>847508</v>
      </c>
      <c r="C2709" s="0" t="n">
        <v>847528</v>
      </c>
      <c r="D2709" s="0" t="s">
        <v>9050</v>
      </c>
      <c r="E2709" s="0" t="s">
        <v>75</v>
      </c>
      <c r="F2709" s="0" t="s">
        <v>15</v>
      </c>
      <c r="G2709" s="0" t="s">
        <v>16</v>
      </c>
      <c r="H2709" s="0" t="n">
        <v>106</v>
      </c>
      <c r="I2709" s="0" t="s">
        <v>9054</v>
      </c>
      <c r="J2709" s="0" t="s">
        <v>9055</v>
      </c>
      <c r="K2709" s="0" t="s">
        <v>9056</v>
      </c>
      <c r="L2709" s="0" t="str">
        <f aca="false">HYPERLINK("https://www.ncbi.nlm.nih.gov/nuccore/CP000058.1?report=graph&amp;tracks=[key:gene_model_track,Options:GeneOnly]&amp;mk=847473:847492|offset_70|444444,847509:847528|offset_106|00cc00,847535:847554|offset_132|444444,847564:847583|offset_161|444444&amp;v=847272:847783&amp;c=444444", "offset 106")</f>
        <v>offset 106</v>
      </c>
    </row>
    <row r="2710" customFormat="false" ht="12.8" hidden="false" customHeight="false" outlineLevel="0" collapsed="false">
      <c r="A2710" s="0" t="s">
        <v>12</v>
      </c>
      <c r="B2710" s="0" t="n">
        <v>847534</v>
      </c>
      <c r="C2710" s="0" t="n">
        <v>847554</v>
      </c>
      <c r="D2710" s="0" t="s">
        <v>9050</v>
      </c>
      <c r="E2710" s="0" t="s">
        <v>75</v>
      </c>
      <c r="F2710" s="0" t="s">
        <v>15</v>
      </c>
      <c r="G2710" s="0" t="s">
        <v>16</v>
      </c>
      <c r="H2710" s="0" t="n">
        <v>132</v>
      </c>
      <c r="I2710" s="0" t="s">
        <v>9057</v>
      </c>
      <c r="J2710" s="0" t="s">
        <v>9058</v>
      </c>
      <c r="K2710" s="0" t="s">
        <v>9059</v>
      </c>
      <c r="L2710" s="0" t="str">
        <f aca="false">HYPERLINK("https://www.ncbi.nlm.nih.gov/nuccore/CP000058.1?report=graph&amp;tracks=[key:gene_model_track,Options:GeneOnly]&amp;mk=847473:847492|offset_70|444444,847509:847528|offset_106|444444,847535:847554|offset_132|00cc00,847564:847583|offset_161|444444&amp;v=847272:847783&amp;c=444444", "offset 132")</f>
        <v>offset 132</v>
      </c>
    </row>
    <row r="2711" customFormat="false" ht="12.8" hidden="false" customHeight="false" outlineLevel="0" collapsed="false">
      <c r="A2711" s="0" t="s">
        <v>12</v>
      </c>
      <c r="B2711" s="0" t="n">
        <v>847563</v>
      </c>
      <c r="C2711" s="0" t="n">
        <v>847583</v>
      </c>
      <c r="D2711" s="0" t="s">
        <v>9050</v>
      </c>
      <c r="E2711" s="0" t="s">
        <v>75</v>
      </c>
      <c r="F2711" s="0" t="s">
        <v>15</v>
      </c>
      <c r="G2711" s="0" t="s">
        <v>20</v>
      </c>
      <c r="H2711" s="0" t="n">
        <v>161</v>
      </c>
      <c r="I2711" s="0" t="s">
        <v>9060</v>
      </c>
      <c r="J2711" s="0" t="s">
        <v>9061</v>
      </c>
      <c r="K2711" s="0" t="s">
        <v>9062</v>
      </c>
      <c r="L2711" s="0" t="str">
        <f aca="false">HYPERLINK("https://www.ncbi.nlm.nih.gov/nuccore/CP000058.1?report=graph&amp;tracks=[key:gene_model_track,Options:GeneOnly]&amp;mk=847473:847492|offset_70|444444,847509:847528|offset_106|444444,847535:847554|offset_132|444444,847564:847583|offset_161|00cc00&amp;v=847272:847783&amp;c=444444", "offset 161")</f>
        <v>offset 161</v>
      </c>
    </row>
    <row r="2712" customFormat="false" ht="12.8" hidden="false" customHeight="false" outlineLevel="0" collapsed="false">
      <c r="A2712" s="0" t="s">
        <v>12</v>
      </c>
      <c r="B2712" s="0" t="n">
        <v>847955</v>
      </c>
      <c r="C2712" s="0" t="n">
        <v>847975</v>
      </c>
      <c r="D2712" s="0" t="s">
        <v>9063</v>
      </c>
      <c r="E2712" s="0" t="s">
        <v>9064</v>
      </c>
      <c r="F2712" s="0" t="s">
        <v>15</v>
      </c>
      <c r="G2712" s="0" t="s">
        <v>32</v>
      </c>
      <c r="H2712" s="0" t="n">
        <v>19</v>
      </c>
      <c r="I2712" s="0" t="s">
        <v>9065</v>
      </c>
      <c r="J2712" s="0" t="s">
        <v>9066</v>
      </c>
      <c r="K2712" s="0" t="s">
        <v>9067</v>
      </c>
      <c r="L2712" s="0" t="str">
        <f aca="false">HYPERLINK("https://www.ncbi.nlm.nih.gov/nuccore/CP000058.1?report=graph&amp;tracks=[key:gene_model_track,Options:GeneOnly]&amp;mk=847956:847975|offset_19|00cc00,847977:847996|offset_40|444444,848030:848049|offset_93|444444,848083:848102|offset_146|444444&amp;v=847755:848302&amp;c=444444", "offset 19")</f>
        <v>offset 19</v>
      </c>
    </row>
    <row r="2713" customFormat="false" ht="12.8" hidden="false" customHeight="false" outlineLevel="0" collapsed="false">
      <c r="A2713" s="0" t="s">
        <v>12</v>
      </c>
      <c r="B2713" s="0" t="n">
        <v>847976</v>
      </c>
      <c r="C2713" s="0" t="n">
        <v>847996</v>
      </c>
      <c r="D2713" s="0" t="s">
        <v>9063</v>
      </c>
      <c r="E2713" s="0" t="s">
        <v>9064</v>
      </c>
      <c r="F2713" s="0" t="s">
        <v>15</v>
      </c>
      <c r="G2713" s="0" t="s">
        <v>16</v>
      </c>
      <c r="H2713" s="0" t="n">
        <v>40</v>
      </c>
      <c r="I2713" s="0" t="s">
        <v>9068</v>
      </c>
      <c r="J2713" s="0" t="s">
        <v>9069</v>
      </c>
      <c r="K2713" s="0" t="s">
        <v>9070</v>
      </c>
      <c r="L2713" s="0" t="str">
        <f aca="false">HYPERLINK("https://www.ncbi.nlm.nih.gov/nuccore/CP000058.1?report=graph&amp;tracks=[key:gene_model_track,Options:GeneOnly]&amp;mk=847956:847975|offset_19|444444,847977:847996|offset_40|00cc00,848030:848049|offset_93|444444,848083:848102|offset_146|444444&amp;v=847755:848302&amp;c=444444", "offset 40")</f>
        <v>offset 40</v>
      </c>
    </row>
    <row r="2714" customFormat="false" ht="12.8" hidden="false" customHeight="false" outlineLevel="0" collapsed="false">
      <c r="A2714" s="0" t="s">
        <v>12</v>
      </c>
      <c r="B2714" s="0" t="n">
        <v>848029</v>
      </c>
      <c r="C2714" s="0" t="n">
        <v>848049</v>
      </c>
      <c r="D2714" s="0" t="s">
        <v>9063</v>
      </c>
      <c r="E2714" s="0" t="s">
        <v>9064</v>
      </c>
      <c r="F2714" s="0" t="s">
        <v>15</v>
      </c>
      <c r="G2714" s="0" t="s">
        <v>16</v>
      </c>
      <c r="H2714" s="0" t="n">
        <v>93</v>
      </c>
      <c r="I2714" s="0" t="s">
        <v>9071</v>
      </c>
      <c r="J2714" s="0" t="s">
        <v>9072</v>
      </c>
      <c r="K2714" s="0" t="s">
        <v>9073</v>
      </c>
      <c r="L2714" s="0" t="str">
        <f aca="false">HYPERLINK("https://www.ncbi.nlm.nih.gov/nuccore/CP000058.1?report=graph&amp;tracks=[key:gene_model_track,Options:GeneOnly]&amp;mk=847956:847975|offset_19|444444,847977:847996|offset_40|444444,848030:848049|offset_93|00cc00,848083:848102|offset_146|444444&amp;v=847755:848302&amp;c=444444", "offset 93")</f>
        <v>offset 93</v>
      </c>
    </row>
    <row r="2715" customFormat="false" ht="12.8" hidden="false" customHeight="false" outlineLevel="0" collapsed="false">
      <c r="A2715" s="0" t="s">
        <v>12</v>
      </c>
      <c r="B2715" s="0" t="n">
        <v>848082</v>
      </c>
      <c r="C2715" s="0" t="n">
        <v>848102</v>
      </c>
      <c r="D2715" s="0" t="s">
        <v>9063</v>
      </c>
      <c r="E2715" s="0" t="s">
        <v>9064</v>
      </c>
      <c r="F2715" s="0" t="s">
        <v>15</v>
      </c>
      <c r="G2715" s="0" t="s">
        <v>20</v>
      </c>
      <c r="H2715" s="0" t="n">
        <v>146</v>
      </c>
      <c r="I2715" s="0" t="s">
        <v>9074</v>
      </c>
      <c r="J2715" s="0" t="s">
        <v>9075</v>
      </c>
      <c r="K2715" s="0" t="s">
        <v>9076</v>
      </c>
      <c r="L2715" s="0" t="str">
        <f aca="false">HYPERLINK("https://www.ncbi.nlm.nih.gov/nuccore/CP000058.1?report=graph&amp;tracks=[key:gene_model_track,Options:GeneOnly]&amp;mk=847956:847975|offset_19|444444,847977:847996|offset_40|444444,848030:848049|offset_93|444444,848083:848102|offset_146|00cc00&amp;v=847755:848302&amp;c=444444", "offset 146")</f>
        <v>offset 146</v>
      </c>
    </row>
    <row r="2716" customFormat="false" ht="12.8" hidden="false" customHeight="false" outlineLevel="0" collapsed="false">
      <c r="A2716" s="0" t="s">
        <v>12</v>
      </c>
      <c r="B2716" s="0" t="n">
        <v>849304</v>
      </c>
      <c r="C2716" s="0" t="n">
        <v>849324</v>
      </c>
      <c r="D2716" s="0" t="s">
        <v>9077</v>
      </c>
      <c r="E2716" s="0" t="s">
        <v>75</v>
      </c>
      <c r="F2716" s="0" t="s">
        <v>90</v>
      </c>
      <c r="G2716" s="0" t="s">
        <v>32</v>
      </c>
      <c r="H2716" s="0" t="n">
        <v>67</v>
      </c>
      <c r="I2716" s="0" t="s">
        <v>9078</v>
      </c>
      <c r="J2716" s="0" t="s">
        <v>9079</v>
      </c>
      <c r="K2716" s="0" t="s">
        <v>9080</v>
      </c>
      <c r="L2716" s="0" t="str">
        <f aca="false">HYPERLINK("https://www.ncbi.nlm.nih.gov/nuccore/CP000058.1?report=graph&amp;tracks=[key:gene_model_track,Options:GeneOnly]&amp;mk=849305:849324|offset_67|00cc00,849266:849285|offset_106|444444,849233:849252|offset_139|444444,849206:849225|offset_166|444444&amp;v=849104:849425&amp;c=444444", "offset 67")</f>
        <v>offset 67</v>
      </c>
    </row>
    <row r="2717" customFormat="false" ht="12.8" hidden="false" customHeight="false" outlineLevel="0" collapsed="false">
      <c r="A2717" s="0" t="s">
        <v>12</v>
      </c>
      <c r="B2717" s="0" t="n">
        <v>849265</v>
      </c>
      <c r="C2717" s="0" t="n">
        <v>849285</v>
      </c>
      <c r="D2717" s="0" t="s">
        <v>9077</v>
      </c>
      <c r="E2717" s="0" t="s">
        <v>75</v>
      </c>
      <c r="F2717" s="0" t="s">
        <v>90</v>
      </c>
      <c r="G2717" s="0" t="s">
        <v>32</v>
      </c>
      <c r="H2717" s="0" t="n">
        <v>106</v>
      </c>
      <c r="I2717" s="0" t="s">
        <v>9081</v>
      </c>
      <c r="J2717" s="0" t="s">
        <v>9082</v>
      </c>
      <c r="K2717" s="0" t="s">
        <v>9083</v>
      </c>
      <c r="L2717" s="0" t="str">
        <f aca="false">HYPERLINK("https://www.ncbi.nlm.nih.gov/nuccore/CP000058.1?report=graph&amp;tracks=[key:gene_model_track,Options:GeneOnly]&amp;mk=849305:849324|offset_67|444444,849266:849285|offset_106|00cc00,849233:849252|offset_139|444444,849206:849225|offset_166|444444&amp;v=849104:849425&amp;c=444444", "offset 106")</f>
        <v>offset 106</v>
      </c>
    </row>
    <row r="2718" customFormat="false" ht="12.8" hidden="false" customHeight="false" outlineLevel="0" collapsed="false">
      <c r="A2718" s="0" t="s">
        <v>12</v>
      </c>
      <c r="B2718" s="0" t="n">
        <v>849232</v>
      </c>
      <c r="C2718" s="0" t="n">
        <v>849252</v>
      </c>
      <c r="D2718" s="0" t="s">
        <v>9077</v>
      </c>
      <c r="E2718" s="0" t="s">
        <v>75</v>
      </c>
      <c r="F2718" s="0" t="s">
        <v>90</v>
      </c>
      <c r="G2718" s="0" t="s">
        <v>32</v>
      </c>
      <c r="H2718" s="0" t="n">
        <v>139</v>
      </c>
      <c r="I2718" s="0" t="s">
        <v>9084</v>
      </c>
      <c r="J2718" s="0" t="s">
        <v>9085</v>
      </c>
      <c r="K2718" s="0" t="s">
        <v>9086</v>
      </c>
      <c r="L2718" s="0" t="str">
        <f aca="false">HYPERLINK("https://www.ncbi.nlm.nih.gov/nuccore/CP000058.1?report=graph&amp;tracks=[key:gene_model_track,Options:GeneOnly]&amp;mk=849305:849324|offset_67|444444,849266:849285|offset_106|444444,849233:849252|offset_139|00cc00,849206:849225|offset_166|444444&amp;v=849104:849425&amp;c=444444", "offset 139")</f>
        <v>offset 139</v>
      </c>
    </row>
    <row r="2719" customFormat="false" ht="12.8" hidden="false" customHeight="false" outlineLevel="0" collapsed="false">
      <c r="A2719" s="0" t="s">
        <v>12</v>
      </c>
      <c r="B2719" s="0" t="n">
        <v>849205</v>
      </c>
      <c r="C2719" s="0" t="n">
        <v>849225</v>
      </c>
      <c r="D2719" s="0" t="s">
        <v>9077</v>
      </c>
      <c r="E2719" s="0" t="s">
        <v>75</v>
      </c>
      <c r="F2719" s="0" t="s">
        <v>90</v>
      </c>
      <c r="G2719" s="0" t="s">
        <v>16</v>
      </c>
      <c r="H2719" s="0" t="n">
        <v>166</v>
      </c>
      <c r="I2719" s="0" t="s">
        <v>9087</v>
      </c>
      <c r="J2719" s="0" t="s">
        <v>9088</v>
      </c>
      <c r="K2719" s="0" t="s">
        <v>9089</v>
      </c>
      <c r="L2719" s="0" t="str">
        <f aca="false">HYPERLINK("https://www.ncbi.nlm.nih.gov/nuccore/CP000058.1?report=graph&amp;tracks=[key:gene_model_track,Options:GeneOnly]&amp;mk=849305:849324|offset_67|444444,849266:849285|offset_106|444444,849233:849252|offset_139|444444,849206:849225|offset_166|00cc00&amp;v=849104:849425&amp;c=444444", "offset 166")</f>
        <v>offset 166</v>
      </c>
    </row>
    <row r="2720" customFormat="false" ht="12.8" hidden="false" customHeight="false" outlineLevel="0" collapsed="false">
      <c r="A2720" s="0" t="s">
        <v>12</v>
      </c>
      <c r="B2720" s="0" t="n">
        <v>849538</v>
      </c>
      <c r="C2720" s="0" t="n">
        <v>849558</v>
      </c>
      <c r="D2720" s="0" t="s">
        <v>9090</v>
      </c>
      <c r="E2720" s="0" t="s">
        <v>75</v>
      </c>
      <c r="F2720" s="0" t="s">
        <v>15</v>
      </c>
      <c r="G2720" s="0" t="s">
        <v>32</v>
      </c>
      <c r="H2720" s="0" t="n">
        <v>16</v>
      </c>
      <c r="I2720" s="0" t="s">
        <v>9091</v>
      </c>
      <c r="J2720" s="0" t="s">
        <v>9092</v>
      </c>
      <c r="K2720" s="0" t="s">
        <v>9093</v>
      </c>
      <c r="L2720" s="0" t="str">
        <f aca="false">HYPERLINK("https://www.ncbi.nlm.nih.gov/nuccore/CP000058.1?report=graph&amp;tracks=[key:gene_model_track,Options:GeneOnly]&amp;mk=849539:849558|offset_16|00cc00,849578:849597|offset_55|444444,849609:849628|offset_86|444444,849644:849663|offset_121|444444&amp;v=849338:849863&amp;c=444444", "offset 16")</f>
        <v>offset 16</v>
      </c>
    </row>
    <row r="2721" customFormat="false" ht="12.8" hidden="false" customHeight="false" outlineLevel="0" collapsed="false">
      <c r="A2721" s="0" t="s">
        <v>12</v>
      </c>
      <c r="B2721" s="0" t="n">
        <v>849577</v>
      </c>
      <c r="C2721" s="0" t="n">
        <v>849597</v>
      </c>
      <c r="D2721" s="0" t="s">
        <v>9090</v>
      </c>
      <c r="E2721" s="0" t="s">
        <v>75</v>
      </c>
      <c r="F2721" s="0" t="s">
        <v>15</v>
      </c>
      <c r="G2721" s="0" t="s">
        <v>36</v>
      </c>
      <c r="H2721" s="0" t="n">
        <v>55</v>
      </c>
      <c r="I2721" s="0" t="s">
        <v>9094</v>
      </c>
      <c r="J2721" s="0" t="s">
        <v>9095</v>
      </c>
      <c r="K2721" s="0" t="s">
        <v>9096</v>
      </c>
      <c r="L2721" s="0" t="str">
        <f aca="false">HYPERLINK("https://www.ncbi.nlm.nih.gov/nuccore/CP000058.1?report=graph&amp;tracks=[key:gene_model_track,Options:GeneOnly]&amp;mk=849539:849558|offset_16|444444,849578:849597|offset_55|00cc00,849609:849628|offset_86|444444,849644:849663|offset_121|444444&amp;v=849338:849863&amp;c=444444", "offset 55")</f>
        <v>offset 55</v>
      </c>
    </row>
    <row r="2722" customFormat="false" ht="12.8" hidden="false" customHeight="false" outlineLevel="0" collapsed="false">
      <c r="A2722" s="0" t="s">
        <v>12</v>
      </c>
      <c r="B2722" s="0" t="n">
        <v>849608</v>
      </c>
      <c r="C2722" s="0" t="n">
        <v>849628</v>
      </c>
      <c r="D2722" s="0" t="s">
        <v>9090</v>
      </c>
      <c r="E2722" s="0" t="s">
        <v>75</v>
      </c>
      <c r="F2722" s="0" t="s">
        <v>15</v>
      </c>
      <c r="G2722" s="0" t="s">
        <v>36</v>
      </c>
      <c r="H2722" s="0" t="n">
        <v>86</v>
      </c>
      <c r="I2722" s="0" t="s">
        <v>9097</v>
      </c>
      <c r="J2722" s="0" t="s">
        <v>9098</v>
      </c>
      <c r="K2722" s="0" t="s">
        <v>9099</v>
      </c>
      <c r="L2722" s="0" t="str">
        <f aca="false">HYPERLINK("https://www.ncbi.nlm.nih.gov/nuccore/CP000058.1?report=graph&amp;tracks=[key:gene_model_track,Options:GeneOnly]&amp;mk=849539:849558|offset_16|444444,849578:849597|offset_55|444444,849609:849628|offset_86|00cc00,849644:849663|offset_121|444444&amp;v=849338:849863&amp;c=444444", "offset 86")</f>
        <v>offset 86</v>
      </c>
    </row>
    <row r="2723" customFormat="false" ht="12.8" hidden="false" customHeight="false" outlineLevel="0" collapsed="false">
      <c r="A2723" s="0" t="s">
        <v>12</v>
      </c>
      <c r="B2723" s="0" t="n">
        <v>849643</v>
      </c>
      <c r="C2723" s="0" t="n">
        <v>849663</v>
      </c>
      <c r="D2723" s="0" t="s">
        <v>9090</v>
      </c>
      <c r="E2723" s="0" t="s">
        <v>75</v>
      </c>
      <c r="F2723" s="0" t="s">
        <v>15</v>
      </c>
      <c r="G2723" s="0" t="s">
        <v>16</v>
      </c>
      <c r="H2723" s="0" t="n">
        <v>121</v>
      </c>
      <c r="I2723" s="0" t="s">
        <v>9100</v>
      </c>
      <c r="J2723" s="0" t="s">
        <v>9101</v>
      </c>
      <c r="K2723" s="0" t="s">
        <v>9102</v>
      </c>
      <c r="L2723" s="0" t="str">
        <f aca="false">HYPERLINK("https://www.ncbi.nlm.nih.gov/nuccore/CP000058.1?report=graph&amp;tracks=[key:gene_model_track,Options:GeneOnly]&amp;mk=849539:849558|offset_16|444444,849578:849597|offset_55|444444,849609:849628|offset_86|444444,849644:849663|offset_121|00cc00&amp;v=849338:849863&amp;c=444444", "offset 121")</f>
        <v>offset 121</v>
      </c>
    </row>
    <row r="2724" customFormat="false" ht="12.8" hidden="false" customHeight="false" outlineLevel="0" collapsed="false">
      <c r="A2724" s="0" t="s">
        <v>12</v>
      </c>
      <c r="B2724" s="0" t="n">
        <v>850004</v>
      </c>
      <c r="C2724" s="0" t="n">
        <v>850024</v>
      </c>
      <c r="D2724" s="0" t="s">
        <v>9103</v>
      </c>
      <c r="E2724" s="0" t="s">
        <v>75</v>
      </c>
      <c r="F2724" s="0" t="s">
        <v>15</v>
      </c>
      <c r="G2724" s="0" t="s">
        <v>36</v>
      </c>
      <c r="H2724" s="0" t="n">
        <v>16</v>
      </c>
      <c r="I2724" s="0" t="s">
        <v>9104</v>
      </c>
      <c r="J2724" s="0" t="s">
        <v>9105</v>
      </c>
      <c r="K2724" s="0" t="s">
        <v>9106</v>
      </c>
      <c r="L2724" s="0" t="str">
        <f aca="false">HYPERLINK("https://www.ncbi.nlm.nih.gov/nuccore/CP000058.1?report=graph&amp;tracks=[key:gene_model_track,Options:GeneOnly]&amp;mk=850005:850024|offset_16|00cc00,850029:850048|offset_40|444444,850060:850079|offset_71|444444,850083:850102|offset_94|444444&amp;v=849804:850302&amp;c=444444", "offset 16")</f>
        <v>offset 16</v>
      </c>
    </row>
    <row r="2725" customFormat="false" ht="12.8" hidden="false" customHeight="false" outlineLevel="0" collapsed="false">
      <c r="A2725" s="0" t="s">
        <v>12</v>
      </c>
      <c r="B2725" s="0" t="n">
        <v>850028</v>
      </c>
      <c r="C2725" s="0" t="n">
        <v>850048</v>
      </c>
      <c r="D2725" s="0" t="s">
        <v>9103</v>
      </c>
      <c r="E2725" s="0" t="s">
        <v>75</v>
      </c>
      <c r="F2725" s="0" t="s">
        <v>15</v>
      </c>
      <c r="G2725" s="0" t="s">
        <v>36</v>
      </c>
      <c r="H2725" s="0" t="n">
        <v>40</v>
      </c>
      <c r="I2725" s="0" t="s">
        <v>9107</v>
      </c>
      <c r="J2725" s="0" t="s">
        <v>9108</v>
      </c>
      <c r="K2725" s="0" t="s">
        <v>9109</v>
      </c>
      <c r="L2725" s="0" t="str">
        <f aca="false">HYPERLINK("https://www.ncbi.nlm.nih.gov/nuccore/CP000058.1?report=graph&amp;tracks=[key:gene_model_track,Options:GeneOnly]&amp;mk=850005:850024|offset_16|444444,850029:850048|offset_40|00cc00,850060:850079|offset_71|444444,850083:850102|offset_94|444444&amp;v=849804:850302&amp;c=444444", "offset 40")</f>
        <v>offset 40</v>
      </c>
    </row>
    <row r="2726" customFormat="false" ht="12.8" hidden="false" customHeight="false" outlineLevel="0" collapsed="false">
      <c r="A2726" s="0" t="s">
        <v>12</v>
      </c>
      <c r="B2726" s="0" t="n">
        <v>850059</v>
      </c>
      <c r="C2726" s="0" t="n">
        <v>850079</v>
      </c>
      <c r="D2726" s="0" t="s">
        <v>9103</v>
      </c>
      <c r="E2726" s="0" t="s">
        <v>75</v>
      </c>
      <c r="F2726" s="0" t="s">
        <v>15</v>
      </c>
      <c r="G2726" s="0" t="s">
        <v>20</v>
      </c>
      <c r="H2726" s="0" t="n">
        <v>71</v>
      </c>
      <c r="I2726" s="0" t="s">
        <v>9110</v>
      </c>
      <c r="J2726" s="0" t="s">
        <v>9111</v>
      </c>
      <c r="K2726" s="0" t="s">
        <v>9112</v>
      </c>
      <c r="L2726" s="0" t="str">
        <f aca="false">HYPERLINK("https://www.ncbi.nlm.nih.gov/nuccore/CP000058.1?report=graph&amp;tracks=[key:gene_model_track,Options:GeneOnly]&amp;mk=850005:850024|offset_16|444444,850029:850048|offset_40|444444,850060:850079|offset_71|00cc00,850083:850102|offset_94|444444&amp;v=849804:850302&amp;c=444444", "offset 71")</f>
        <v>offset 71</v>
      </c>
    </row>
    <row r="2727" customFormat="false" ht="12.8" hidden="false" customHeight="false" outlineLevel="0" collapsed="false">
      <c r="A2727" s="0" t="s">
        <v>12</v>
      </c>
      <c r="B2727" s="0" t="n">
        <v>850082</v>
      </c>
      <c r="C2727" s="0" t="n">
        <v>850102</v>
      </c>
      <c r="D2727" s="0" t="s">
        <v>9103</v>
      </c>
      <c r="E2727" s="0" t="s">
        <v>75</v>
      </c>
      <c r="F2727" s="0" t="s">
        <v>15</v>
      </c>
      <c r="G2727" s="0" t="s">
        <v>16</v>
      </c>
      <c r="H2727" s="0" t="n">
        <v>94</v>
      </c>
      <c r="I2727" s="0" t="s">
        <v>9113</v>
      </c>
      <c r="J2727" s="0" t="s">
        <v>9114</v>
      </c>
      <c r="K2727" s="0" t="s">
        <v>9115</v>
      </c>
      <c r="L2727" s="0" t="str">
        <f aca="false">HYPERLINK("https://www.ncbi.nlm.nih.gov/nuccore/CP000058.1?report=graph&amp;tracks=[key:gene_model_track,Options:GeneOnly]&amp;mk=850005:850024|offset_16|444444,850029:850048|offset_40|444444,850060:850079|offset_71|444444,850083:850102|offset_94|00cc00&amp;v=849804:850302&amp;c=444444", "offset 94")</f>
        <v>offset 94</v>
      </c>
    </row>
    <row r="2728" customFormat="false" ht="12.8" hidden="false" customHeight="false" outlineLevel="0" collapsed="false">
      <c r="A2728" s="0" t="s">
        <v>12</v>
      </c>
      <c r="B2728" s="0" t="n">
        <v>850512</v>
      </c>
      <c r="C2728" s="0" t="n">
        <v>850532</v>
      </c>
      <c r="D2728" s="0" t="s">
        <v>9116</v>
      </c>
      <c r="E2728" s="0" t="s">
        <v>75</v>
      </c>
      <c r="F2728" s="0" t="s">
        <v>15</v>
      </c>
      <c r="G2728" s="0" t="s">
        <v>16</v>
      </c>
      <c r="H2728" s="0" t="n">
        <v>12</v>
      </c>
      <c r="I2728" s="0" t="s">
        <v>9117</v>
      </c>
      <c r="J2728" s="0" t="s">
        <v>9118</v>
      </c>
      <c r="K2728" s="0" t="s">
        <v>9119</v>
      </c>
      <c r="L2728" s="0" t="str">
        <f aca="false">HYPERLINK("https://www.ncbi.nlm.nih.gov/nuccore/CP000058.1?report=graph&amp;tracks=[key:gene_model_track,Options:GeneOnly]&amp;mk=850513:850532|offset_12|00cc00,850575:850594|offset_74|444444,850601:850620|offset_100|444444,850623:850642|offset_122|444444&amp;v=850312:850842&amp;c=444444", "offset 12")</f>
        <v>offset 12</v>
      </c>
    </row>
    <row r="2729" customFormat="false" ht="12.8" hidden="false" customHeight="false" outlineLevel="0" collapsed="false">
      <c r="A2729" s="0" t="s">
        <v>12</v>
      </c>
      <c r="B2729" s="0" t="n">
        <v>850574</v>
      </c>
      <c r="C2729" s="0" t="n">
        <v>850594</v>
      </c>
      <c r="D2729" s="0" t="s">
        <v>9116</v>
      </c>
      <c r="E2729" s="0" t="s">
        <v>75</v>
      </c>
      <c r="F2729" s="0" t="s">
        <v>15</v>
      </c>
      <c r="G2729" s="0" t="s">
        <v>20</v>
      </c>
      <c r="H2729" s="0" t="n">
        <v>74</v>
      </c>
      <c r="I2729" s="0" t="s">
        <v>9120</v>
      </c>
      <c r="J2729" s="0" t="s">
        <v>9121</v>
      </c>
      <c r="K2729" s="0" t="s">
        <v>9122</v>
      </c>
      <c r="L2729" s="0" t="str">
        <f aca="false">HYPERLINK("https://www.ncbi.nlm.nih.gov/nuccore/CP000058.1?report=graph&amp;tracks=[key:gene_model_track,Options:GeneOnly]&amp;mk=850513:850532|offset_12|444444,850575:850594|offset_74|00cc00,850601:850620|offset_100|444444,850623:850642|offset_122|444444&amp;v=850312:850842&amp;c=444444", "offset 74")</f>
        <v>offset 74</v>
      </c>
    </row>
    <row r="2730" customFormat="false" ht="12.8" hidden="false" customHeight="false" outlineLevel="0" collapsed="false">
      <c r="A2730" s="0" t="s">
        <v>12</v>
      </c>
      <c r="B2730" s="0" t="n">
        <v>850600</v>
      </c>
      <c r="C2730" s="0" t="n">
        <v>850620</v>
      </c>
      <c r="D2730" s="0" t="s">
        <v>9116</v>
      </c>
      <c r="E2730" s="0" t="s">
        <v>75</v>
      </c>
      <c r="F2730" s="0" t="s">
        <v>15</v>
      </c>
      <c r="G2730" s="0" t="s">
        <v>16</v>
      </c>
      <c r="H2730" s="0" t="n">
        <v>100</v>
      </c>
      <c r="I2730" s="0" t="s">
        <v>9123</v>
      </c>
      <c r="J2730" s="0" t="s">
        <v>9124</v>
      </c>
      <c r="K2730" s="0" t="s">
        <v>9125</v>
      </c>
      <c r="L2730" s="0" t="str">
        <f aca="false">HYPERLINK("https://www.ncbi.nlm.nih.gov/nuccore/CP000058.1?report=graph&amp;tracks=[key:gene_model_track,Options:GeneOnly]&amp;mk=850513:850532|offset_12|444444,850575:850594|offset_74|444444,850601:850620|offset_100|00cc00,850623:850642|offset_122|444444&amp;v=850312:850842&amp;c=444444", "offset 100")</f>
        <v>offset 100</v>
      </c>
    </row>
    <row r="2731" customFormat="false" ht="12.8" hidden="false" customHeight="false" outlineLevel="0" collapsed="false">
      <c r="A2731" s="0" t="s">
        <v>12</v>
      </c>
      <c r="B2731" s="0" t="n">
        <v>850622</v>
      </c>
      <c r="C2731" s="0" t="n">
        <v>850642</v>
      </c>
      <c r="D2731" s="0" t="s">
        <v>9116</v>
      </c>
      <c r="E2731" s="0" t="s">
        <v>75</v>
      </c>
      <c r="F2731" s="0" t="s">
        <v>15</v>
      </c>
      <c r="G2731" s="0" t="s">
        <v>32</v>
      </c>
      <c r="H2731" s="0" t="n">
        <v>122</v>
      </c>
      <c r="I2731" s="0" t="s">
        <v>9126</v>
      </c>
      <c r="J2731" s="0" t="s">
        <v>9127</v>
      </c>
      <c r="K2731" s="0" t="s">
        <v>9128</v>
      </c>
      <c r="L2731" s="0" t="str">
        <f aca="false">HYPERLINK("https://www.ncbi.nlm.nih.gov/nuccore/CP000058.1?report=graph&amp;tracks=[key:gene_model_track,Options:GeneOnly]&amp;mk=850513:850532|offset_12|444444,850575:850594|offset_74|444444,850601:850620|offset_100|444444,850623:850642|offset_122|00cc00&amp;v=850312:850842&amp;c=444444", "offset 122")</f>
        <v>offset 122</v>
      </c>
    </row>
    <row r="2732" customFormat="false" ht="12.8" hidden="false" customHeight="false" outlineLevel="0" collapsed="false">
      <c r="A2732" s="0" t="s">
        <v>12</v>
      </c>
      <c r="B2732" s="0" t="n">
        <v>851232</v>
      </c>
      <c r="C2732" s="0" t="n">
        <v>851252</v>
      </c>
      <c r="D2732" s="0" t="s">
        <v>9129</v>
      </c>
      <c r="E2732" s="0" t="s">
        <v>75</v>
      </c>
      <c r="F2732" s="0" t="s">
        <v>15</v>
      </c>
      <c r="G2732" s="0" t="s">
        <v>16</v>
      </c>
      <c r="H2732" s="0" t="n">
        <v>28</v>
      </c>
      <c r="I2732" s="0" t="s">
        <v>9130</v>
      </c>
      <c r="J2732" s="0" t="s">
        <v>9131</v>
      </c>
      <c r="K2732" s="0" t="s">
        <v>9132</v>
      </c>
      <c r="L2732" s="0" t="str">
        <f aca="false">HYPERLINK("https://www.ncbi.nlm.nih.gov/nuccore/CP000058.1?report=graph&amp;tracks=[key:gene_model_track,Options:GeneOnly]&amp;mk=851233:851252|offset_28|00cc00,851256:851275|offset_51|444444,851353:851372|offset_148|444444,851402:851421|offset_197|444444&amp;v=851032:851621&amp;c=444444", "offset 28")</f>
        <v>offset 28</v>
      </c>
    </row>
    <row r="2733" customFormat="false" ht="12.8" hidden="false" customHeight="false" outlineLevel="0" collapsed="false">
      <c r="A2733" s="0" t="s">
        <v>12</v>
      </c>
      <c r="B2733" s="0" t="n">
        <v>851255</v>
      </c>
      <c r="C2733" s="0" t="n">
        <v>851275</v>
      </c>
      <c r="D2733" s="0" t="s">
        <v>9129</v>
      </c>
      <c r="E2733" s="0" t="s">
        <v>75</v>
      </c>
      <c r="F2733" s="0" t="s">
        <v>15</v>
      </c>
      <c r="G2733" s="0" t="s">
        <v>20</v>
      </c>
      <c r="H2733" s="0" t="n">
        <v>51</v>
      </c>
      <c r="I2733" s="0" t="s">
        <v>9133</v>
      </c>
      <c r="J2733" s="0" t="s">
        <v>9134</v>
      </c>
      <c r="K2733" s="0" t="s">
        <v>9135</v>
      </c>
      <c r="L2733" s="0" t="str">
        <f aca="false">HYPERLINK("https://www.ncbi.nlm.nih.gov/nuccore/CP000058.1?report=graph&amp;tracks=[key:gene_model_track,Options:GeneOnly]&amp;mk=851233:851252|offset_28|444444,851256:851275|offset_51|00cc00,851353:851372|offset_148|444444,851402:851421|offset_197|444444&amp;v=851032:851621&amp;c=444444", "offset 51")</f>
        <v>offset 51</v>
      </c>
    </row>
    <row r="2734" customFormat="false" ht="12.8" hidden="false" customHeight="false" outlineLevel="0" collapsed="false">
      <c r="A2734" s="0" t="s">
        <v>12</v>
      </c>
      <c r="B2734" s="0" t="n">
        <v>851352</v>
      </c>
      <c r="C2734" s="0" t="n">
        <v>851372</v>
      </c>
      <c r="D2734" s="0" t="s">
        <v>9129</v>
      </c>
      <c r="E2734" s="0" t="s">
        <v>75</v>
      </c>
      <c r="F2734" s="0" t="s">
        <v>15</v>
      </c>
      <c r="G2734" s="0" t="s">
        <v>36</v>
      </c>
      <c r="H2734" s="0" t="n">
        <v>148</v>
      </c>
      <c r="I2734" s="0" t="s">
        <v>9136</v>
      </c>
      <c r="J2734" s="0" t="s">
        <v>9137</v>
      </c>
      <c r="K2734" s="0" t="s">
        <v>9138</v>
      </c>
      <c r="L2734" s="0" t="str">
        <f aca="false">HYPERLINK("https://www.ncbi.nlm.nih.gov/nuccore/CP000058.1?report=graph&amp;tracks=[key:gene_model_track,Options:GeneOnly]&amp;mk=851233:851252|offset_28|444444,851256:851275|offset_51|444444,851353:851372|offset_148|00cc00,851402:851421|offset_197|444444&amp;v=851032:851621&amp;c=444444", "offset 148")</f>
        <v>offset 148</v>
      </c>
    </row>
    <row r="2735" customFormat="false" ht="12.8" hidden="false" customHeight="false" outlineLevel="0" collapsed="false">
      <c r="A2735" s="0" t="s">
        <v>12</v>
      </c>
      <c r="B2735" s="0" t="n">
        <v>851401</v>
      </c>
      <c r="C2735" s="0" t="n">
        <v>851421</v>
      </c>
      <c r="D2735" s="0" t="s">
        <v>9129</v>
      </c>
      <c r="E2735" s="0" t="s">
        <v>75</v>
      </c>
      <c r="F2735" s="0" t="s">
        <v>15</v>
      </c>
      <c r="G2735" s="0" t="s">
        <v>32</v>
      </c>
      <c r="H2735" s="0" t="n">
        <v>197</v>
      </c>
      <c r="I2735" s="0" t="s">
        <v>9139</v>
      </c>
      <c r="J2735" s="0" t="s">
        <v>9140</v>
      </c>
      <c r="K2735" s="0" t="s">
        <v>9141</v>
      </c>
      <c r="L2735" s="0" t="str">
        <f aca="false">HYPERLINK("https://www.ncbi.nlm.nih.gov/nuccore/CP000058.1?report=graph&amp;tracks=[key:gene_model_track,Options:GeneOnly]&amp;mk=851233:851252|offset_28|444444,851256:851275|offset_51|444444,851353:851372|offset_148|444444,851402:851421|offset_197|00cc00&amp;v=851032:851621&amp;c=444444", "offset 197")</f>
        <v>offset 197</v>
      </c>
    </row>
    <row r="2736" customFormat="false" ht="12.8" hidden="false" customHeight="false" outlineLevel="0" collapsed="false">
      <c r="A2736" s="0" t="s">
        <v>12</v>
      </c>
      <c r="B2736" s="0" t="n">
        <v>851735</v>
      </c>
      <c r="C2736" s="0" t="n">
        <v>851755</v>
      </c>
      <c r="D2736" s="0" t="s">
        <v>9142</v>
      </c>
      <c r="E2736" s="0" t="s">
        <v>75</v>
      </c>
      <c r="F2736" s="0" t="s">
        <v>15</v>
      </c>
      <c r="G2736" s="0" t="s">
        <v>16</v>
      </c>
      <c r="H2736" s="0" t="n">
        <v>26</v>
      </c>
      <c r="I2736" s="0" t="s">
        <v>9143</v>
      </c>
      <c r="J2736" s="0" t="s">
        <v>9144</v>
      </c>
      <c r="K2736" s="0" t="s">
        <v>9145</v>
      </c>
      <c r="L2736" s="0" t="str">
        <f aca="false">HYPERLINK("https://www.ncbi.nlm.nih.gov/nuccore/CP000058.1?report=graph&amp;tracks=[key:gene_model_track,Options:GeneOnly]&amp;mk=851736:851755|offset_26|00cc00,851791:851810|offset_81|444444,851821:851840|offset_111|444444,851845:851864|offset_135|444444&amp;v=851535:852064&amp;c=444444", "offset 26")</f>
        <v>offset 26</v>
      </c>
    </row>
    <row r="2737" customFormat="false" ht="12.8" hidden="false" customHeight="false" outlineLevel="0" collapsed="false">
      <c r="A2737" s="0" t="s">
        <v>12</v>
      </c>
      <c r="B2737" s="0" t="n">
        <v>851790</v>
      </c>
      <c r="C2737" s="0" t="n">
        <v>851810</v>
      </c>
      <c r="D2737" s="0" t="s">
        <v>9142</v>
      </c>
      <c r="E2737" s="0" t="s">
        <v>75</v>
      </c>
      <c r="F2737" s="0" t="s">
        <v>15</v>
      </c>
      <c r="G2737" s="0" t="s">
        <v>16</v>
      </c>
      <c r="H2737" s="0" t="n">
        <v>81</v>
      </c>
      <c r="I2737" s="0" t="s">
        <v>9146</v>
      </c>
      <c r="J2737" s="0" t="s">
        <v>9147</v>
      </c>
      <c r="K2737" s="0" t="s">
        <v>9148</v>
      </c>
      <c r="L2737" s="0" t="str">
        <f aca="false">HYPERLINK("https://www.ncbi.nlm.nih.gov/nuccore/CP000058.1?report=graph&amp;tracks=[key:gene_model_track,Options:GeneOnly]&amp;mk=851736:851755|offset_26|444444,851791:851810|offset_81|00cc00,851821:851840|offset_111|444444,851845:851864|offset_135|444444&amp;v=851535:852064&amp;c=444444", "offset 81")</f>
        <v>offset 81</v>
      </c>
    </row>
    <row r="2738" customFormat="false" ht="12.8" hidden="false" customHeight="false" outlineLevel="0" collapsed="false">
      <c r="A2738" s="0" t="s">
        <v>12</v>
      </c>
      <c r="B2738" s="0" t="n">
        <v>851820</v>
      </c>
      <c r="C2738" s="0" t="n">
        <v>851840</v>
      </c>
      <c r="D2738" s="0" t="s">
        <v>9142</v>
      </c>
      <c r="E2738" s="0" t="s">
        <v>75</v>
      </c>
      <c r="F2738" s="0" t="s">
        <v>15</v>
      </c>
      <c r="G2738" s="0" t="s">
        <v>16</v>
      </c>
      <c r="H2738" s="0" t="n">
        <v>111</v>
      </c>
      <c r="I2738" s="0" t="s">
        <v>9149</v>
      </c>
      <c r="J2738" s="0" t="s">
        <v>9150</v>
      </c>
      <c r="K2738" s="0" t="s">
        <v>9151</v>
      </c>
      <c r="L2738" s="0" t="str">
        <f aca="false">HYPERLINK("https://www.ncbi.nlm.nih.gov/nuccore/CP000058.1?report=graph&amp;tracks=[key:gene_model_track,Options:GeneOnly]&amp;mk=851736:851755|offset_26|444444,851791:851810|offset_81|444444,851821:851840|offset_111|00cc00,851845:851864|offset_135|444444&amp;v=851535:852064&amp;c=444444", "offset 111")</f>
        <v>offset 111</v>
      </c>
    </row>
    <row r="2739" customFormat="false" ht="12.8" hidden="false" customHeight="false" outlineLevel="0" collapsed="false">
      <c r="A2739" s="0" t="s">
        <v>12</v>
      </c>
      <c r="B2739" s="0" t="n">
        <v>851844</v>
      </c>
      <c r="C2739" s="0" t="n">
        <v>851864</v>
      </c>
      <c r="D2739" s="0" t="s">
        <v>9142</v>
      </c>
      <c r="E2739" s="0" t="s">
        <v>75</v>
      </c>
      <c r="F2739" s="0" t="s">
        <v>15</v>
      </c>
      <c r="G2739" s="0" t="s">
        <v>20</v>
      </c>
      <c r="H2739" s="0" t="n">
        <v>135</v>
      </c>
      <c r="I2739" s="0" t="s">
        <v>9152</v>
      </c>
      <c r="J2739" s="0" t="s">
        <v>9153</v>
      </c>
      <c r="K2739" s="0" t="s">
        <v>9154</v>
      </c>
      <c r="L2739" s="0" t="str">
        <f aca="false">HYPERLINK("https://www.ncbi.nlm.nih.gov/nuccore/CP000058.1?report=graph&amp;tracks=[key:gene_model_track,Options:GeneOnly]&amp;mk=851736:851755|offset_26|444444,851791:851810|offset_81|444444,851821:851840|offset_111|444444,851845:851864|offset_135|00cc00&amp;v=851535:852064&amp;c=444444", "offset 135")</f>
        <v>offset 135</v>
      </c>
    </row>
    <row r="2740" customFormat="false" ht="12.8" hidden="false" customHeight="false" outlineLevel="0" collapsed="false">
      <c r="A2740" s="0" t="s">
        <v>12</v>
      </c>
      <c r="B2740" s="0" t="n">
        <v>854937</v>
      </c>
      <c r="C2740" s="0" t="n">
        <v>854957</v>
      </c>
      <c r="D2740" s="0" t="s">
        <v>9155</v>
      </c>
      <c r="E2740" s="0" t="s">
        <v>75</v>
      </c>
      <c r="F2740" s="0" t="s">
        <v>15</v>
      </c>
      <c r="G2740" s="0" t="s">
        <v>32</v>
      </c>
      <c r="H2740" s="0" t="n">
        <v>16</v>
      </c>
      <c r="I2740" s="0" t="s">
        <v>9156</v>
      </c>
      <c r="J2740" s="0" t="s">
        <v>9157</v>
      </c>
      <c r="K2740" s="0" t="s">
        <v>9158</v>
      </c>
      <c r="L2740" s="0" t="str">
        <f aca="false">HYPERLINK("https://www.ncbi.nlm.nih.gov/nuccore/CP000058.1?report=graph&amp;tracks=[key:gene_model_track,Options:GeneOnly]&amp;mk=854938:854957|offset_16|00cc00,854995:855014|offset_73|444444,855019:855038|offset_97|444444,855055:855074|offset_133|444444&amp;v=854737:855274&amp;c=444444", "offset 16")</f>
        <v>offset 16</v>
      </c>
    </row>
    <row r="2741" customFormat="false" ht="12.8" hidden="false" customHeight="false" outlineLevel="0" collapsed="false">
      <c r="A2741" s="0" t="s">
        <v>12</v>
      </c>
      <c r="B2741" s="0" t="n">
        <v>854994</v>
      </c>
      <c r="C2741" s="0" t="n">
        <v>855014</v>
      </c>
      <c r="D2741" s="0" t="s">
        <v>9155</v>
      </c>
      <c r="E2741" s="0" t="s">
        <v>75</v>
      </c>
      <c r="F2741" s="0" t="s">
        <v>15</v>
      </c>
      <c r="G2741" s="0" t="s">
        <v>16</v>
      </c>
      <c r="H2741" s="0" t="n">
        <v>73</v>
      </c>
      <c r="I2741" s="0" t="s">
        <v>9159</v>
      </c>
      <c r="J2741" s="0" t="s">
        <v>9160</v>
      </c>
      <c r="K2741" s="0" t="s">
        <v>9161</v>
      </c>
      <c r="L2741" s="0" t="str">
        <f aca="false">HYPERLINK("https://www.ncbi.nlm.nih.gov/nuccore/CP000058.1?report=graph&amp;tracks=[key:gene_model_track,Options:GeneOnly]&amp;mk=854938:854957|offset_16|444444,854995:855014|offset_73|00cc00,855019:855038|offset_97|444444,855055:855074|offset_133|444444&amp;v=854737:855274&amp;c=444444", "offset 73")</f>
        <v>offset 73</v>
      </c>
    </row>
    <row r="2742" customFormat="false" ht="12.8" hidden="false" customHeight="false" outlineLevel="0" collapsed="false">
      <c r="A2742" s="0" t="s">
        <v>12</v>
      </c>
      <c r="B2742" s="0" t="n">
        <v>855018</v>
      </c>
      <c r="C2742" s="0" t="n">
        <v>855038</v>
      </c>
      <c r="D2742" s="0" t="s">
        <v>9155</v>
      </c>
      <c r="E2742" s="0" t="s">
        <v>75</v>
      </c>
      <c r="F2742" s="0" t="s">
        <v>15</v>
      </c>
      <c r="G2742" s="0" t="s">
        <v>16</v>
      </c>
      <c r="H2742" s="0" t="n">
        <v>97</v>
      </c>
      <c r="I2742" s="0" t="s">
        <v>9162</v>
      </c>
      <c r="J2742" s="0" t="s">
        <v>9163</v>
      </c>
      <c r="K2742" s="0" t="s">
        <v>9164</v>
      </c>
      <c r="L2742" s="0" t="str">
        <f aca="false">HYPERLINK("https://www.ncbi.nlm.nih.gov/nuccore/CP000058.1?report=graph&amp;tracks=[key:gene_model_track,Options:GeneOnly]&amp;mk=854938:854957|offset_16|444444,854995:855014|offset_73|444444,855019:855038|offset_97|00cc00,855055:855074|offset_133|444444&amp;v=854737:855274&amp;c=444444", "offset 97")</f>
        <v>offset 97</v>
      </c>
    </row>
    <row r="2743" customFormat="false" ht="12.8" hidden="false" customHeight="false" outlineLevel="0" collapsed="false">
      <c r="A2743" s="0" t="s">
        <v>12</v>
      </c>
      <c r="B2743" s="0" t="n">
        <v>855054</v>
      </c>
      <c r="C2743" s="0" t="n">
        <v>855074</v>
      </c>
      <c r="D2743" s="0" t="s">
        <v>9155</v>
      </c>
      <c r="E2743" s="0" t="s">
        <v>75</v>
      </c>
      <c r="F2743" s="0" t="s">
        <v>15</v>
      </c>
      <c r="G2743" s="0" t="s">
        <v>32</v>
      </c>
      <c r="H2743" s="0" t="n">
        <v>133</v>
      </c>
      <c r="I2743" s="0" t="s">
        <v>9165</v>
      </c>
      <c r="J2743" s="0" t="s">
        <v>9166</v>
      </c>
      <c r="K2743" s="0" t="s">
        <v>9167</v>
      </c>
      <c r="L2743" s="0" t="str">
        <f aca="false">HYPERLINK("https://www.ncbi.nlm.nih.gov/nuccore/CP000058.1?report=graph&amp;tracks=[key:gene_model_track,Options:GeneOnly]&amp;mk=854938:854957|offset_16|444444,854995:855014|offset_73|444444,855019:855038|offset_97|444444,855055:855074|offset_133|00cc00&amp;v=854737:855274&amp;c=444444", "offset 133")</f>
        <v>offset 133</v>
      </c>
    </row>
    <row r="2744" customFormat="false" ht="12.8" hidden="false" customHeight="false" outlineLevel="0" collapsed="false">
      <c r="A2744" s="0" t="s">
        <v>12</v>
      </c>
      <c r="B2744" s="0" t="n">
        <v>855360</v>
      </c>
      <c r="C2744" s="0" t="n">
        <v>855380</v>
      </c>
      <c r="D2744" s="0" t="s">
        <v>9168</v>
      </c>
      <c r="E2744" s="0" t="s">
        <v>9169</v>
      </c>
      <c r="F2744" s="0" t="s">
        <v>15</v>
      </c>
      <c r="G2744" s="0" t="s">
        <v>32</v>
      </c>
      <c r="H2744" s="0" t="n">
        <v>7</v>
      </c>
      <c r="I2744" s="0" t="s">
        <v>9170</v>
      </c>
      <c r="J2744" s="0" t="s">
        <v>9171</v>
      </c>
      <c r="K2744" s="0" t="s">
        <v>9172</v>
      </c>
      <c r="L2744" s="0" t="str">
        <f aca="false">HYPERLINK("https://www.ncbi.nlm.nih.gov/nuccore/CP000058.1?report=graph&amp;tracks=[key:gene_model_track,Options:GeneOnly]&amp;mk=855361:855380|offset_7|00cc00,855409:855428|offset_55|444444,855481:855500|offset_127|444444,855507:855526|offset_153|444444&amp;v=855160:855726&amp;c=444444", "offset 7")</f>
        <v>offset 7</v>
      </c>
    </row>
    <row r="2745" customFormat="false" ht="12.8" hidden="false" customHeight="false" outlineLevel="0" collapsed="false">
      <c r="A2745" s="0" t="s">
        <v>12</v>
      </c>
      <c r="B2745" s="0" t="n">
        <v>855408</v>
      </c>
      <c r="C2745" s="0" t="n">
        <v>855428</v>
      </c>
      <c r="D2745" s="0" t="s">
        <v>9168</v>
      </c>
      <c r="E2745" s="0" t="s">
        <v>9169</v>
      </c>
      <c r="F2745" s="0" t="s">
        <v>15</v>
      </c>
      <c r="G2745" s="0" t="s">
        <v>16</v>
      </c>
      <c r="H2745" s="0" t="n">
        <v>55</v>
      </c>
      <c r="I2745" s="0" t="s">
        <v>9173</v>
      </c>
      <c r="J2745" s="0" t="s">
        <v>9174</v>
      </c>
      <c r="K2745" s="0" t="s">
        <v>9175</v>
      </c>
      <c r="L2745" s="0" t="str">
        <f aca="false">HYPERLINK("https://www.ncbi.nlm.nih.gov/nuccore/CP000058.1?report=graph&amp;tracks=[key:gene_model_track,Options:GeneOnly]&amp;mk=855361:855380|offset_7|444444,855409:855428|offset_55|00cc00,855481:855500|offset_127|444444,855507:855526|offset_153|444444&amp;v=855160:855726&amp;c=444444", "offset 55")</f>
        <v>offset 55</v>
      </c>
    </row>
    <row r="2746" customFormat="false" ht="12.8" hidden="false" customHeight="false" outlineLevel="0" collapsed="false">
      <c r="A2746" s="0" t="s">
        <v>12</v>
      </c>
      <c r="B2746" s="0" t="n">
        <v>855480</v>
      </c>
      <c r="C2746" s="0" t="n">
        <v>855500</v>
      </c>
      <c r="D2746" s="0" t="s">
        <v>9168</v>
      </c>
      <c r="E2746" s="0" t="s">
        <v>9169</v>
      </c>
      <c r="F2746" s="0" t="s">
        <v>15</v>
      </c>
      <c r="G2746" s="0" t="s">
        <v>20</v>
      </c>
      <c r="H2746" s="0" t="n">
        <v>127</v>
      </c>
      <c r="I2746" s="0" t="s">
        <v>9176</v>
      </c>
      <c r="J2746" s="0" t="s">
        <v>9177</v>
      </c>
      <c r="K2746" s="0" t="s">
        <v>9178</v>
      </c>
      <c r="L2746" s="0" t="str">
        <f aca="false">HYPERLINK("https://www.ncbi.nlm.nih.gov/nuccore/CP000058.1?report=graph&amp;tracks=[key:gene_model_track,Options:GeneOnly]&amp;mk=855361:855380|offset_7|444444,855409:855428|offset_55|444444,855481:855500|offset_127|00cc00,855507:855526|offset_153|444444&amp;v=855160:855726&amp;c=444444", "offset 127")</f>
        <v>offset 127</v>
      </c>
    </row>
    <row r="2747" customFormat="false" ht="12.8" hidden="false" customHeight="false" outlineLevel="0" collapsed="false">
      <c r="A2747" s="0" t="s">
        <v>12</v>
      </c>
      <c r="B2747" s="0" t="n">
        <v>855506</v>
      </c>
      <c r="C2747" s="0" t="n">
        <v>855526</v>
      </c>
      <c r="D2747" s="0" t="s">
        <v>9168</v>
      </c>
      <c r="E2747" s="0" t="s">
        <v>9169</v>
      </c>
      <c r="F2747" s="0" t="s">
        <v>15</v>
      </c>
      <c r="G2747" s="0" t="s">
        <v>16</v>
      </c>
      <c r="H2747" s="0" t="n">
        <v>153</v>
      </c>
      <c r="I2747" s="0" t="s">
        <v>9179</v>
      </c>
      <c r="J2747" s="0" t="s">
        <v>9180</v>
      </c>
      <c r="K2747" s="0" t="s">
        <v>9181</v>
      </c>
      <c r="L2747" s="0" t="str">
        <f aca="false">HYPERLINK("https://www.ncbi.nlm.nih.gov/nuccore/CP000058.1?report=graph&amp;tracks=[key:gene_model_track,Options:GeneOnly]&amp;mk=855361:855380|offset_7|444444,855409:855428|offset_55|444444,855481:855500|offset_127|444444,855507:855526|offset_153|00cc00&amp;v=855160:855726&amp;c=444444", "offset 153")</f>
        <v>offset 153</v>
      </c>
    </row>
    <row r="2748" customFormat="false" ht="12.8" hidden="false" customHeight="false" outlineLevel="0" collapsed="false">
      <c r="A2748" s="0" t="s">
        <v>12</v>
      </c>
      <c r="B2748" s="0" t="n">
        <v>859524</v>
      </c>
      <c r="C2748" s="0" t="n">
        <v>859544</v>
      </c>
      <c r="D2748" s="0" t="s">
        <v>9182</v>
      </c>
      <c r="E2748" s="0" t="s">
        <v>75</v>
      </c>
      <c r="F2748" s="0" t="s">
        <v>90</v>
      </c>
      <c r="G2748" s="0" t="s">
        <v>16</v>
      </c>
      <c r="H2748" s="0" t="n">
        <v>14</v>
      </c>
      <c r="I2748" s="0" t="s">
        <v>9183</v>
      </c>
      <c r="J2748" s="0" t="s">
        <v>9184</v>
      </c>
      <c r="K2748" s="0" t="s">
        <v>9185</v>
      </c>
      <c r="L2748" s="0" t="str">
        <f aca="false">HYPERLINK("https://www.ncbi.nlm.nih.gov/nuccore/CP000058.1?report=graph&amp;tracks=[key:gene_model_track,Options:GeneOnly]&amp;mk=859525:859544|offset_14|00cc00,859502:859521|offset_37|444444,859481:859500|offset_58|444444,859451:859470|offset_88|444444&amp;v=859324:859670&amp;c=444444", "offset 14")</f>
        <v>offset 14</v>
      </c>
    </row>
    <row r="2749" customFormat="false" ht="12.8" hidden="false" customHeight="false" outlineLevel="0" collapsed="false">
      <c r="A2749" s="0" t="s">
        <v>12</v>
      </c>
      <c r="B2749" s="0" t="n">
        <v>859501</v>
      </c>
      <c r="C2749" s="0" t="n">
        <v>859521</v>
      </c>
      <c r="D2749" s="0" t="s">
        <v>9182</v>
      </c>
      <c r="E2749" s="0" t="s">
        <v>75</v>
      </c>
      <c r="F2749" s="0" t="s">
        <v>90</v>
      </c>
      <c r="G2749" s="0" t="s">
        <v>16</v>
      </c>
      <c r="H2749" s="0" t="n">
        <v>37</v>
      </c>
      <c r="I2749" s="0" t="s">
        <v>9186</v>
      </c>
      <c r="J2749" s="0" t="s">
        <v>9187</v>
      </c>
      <c r="K2749" s="0" t="s">
        <v>9188</v>
      </c>
      <c r="L2749" s="0" t="str">
        <f aca="false">HYPERLINK("https://www.ncbi.nlm.nih.gov/nuccore/CP000058.1?report=graph&amp;tracks=[key:gene_model_track,Options:GeneOnly]&amp;mk=859525:859544|offset_14|444444,859502:859521|offset_37|00cc00,859481:859500|offset_58|444444,859451:859470|offset_88|444444&amp;v=859324:859670&amp;c=444444", "offset 37")</f>
        <v>offset 37</v>
      </c>
    </row>
    <row r="2750" customFormat="false" ht="12.8" hidden="false" customHeight="false" outlineLevel="0" collapsed="false">
      <c r="A2750" s="0" t="s">
        <v>12</v>
      </c>
      <c r="B2750" s="0" t="n">
        <v>859480</v>
      </c>
      <c r="C2750" s="0" t="n">
        <v>859500</v>
      </c>
      <c r="D2750" s="0" t="s">
        <v>9182</v>
      </c>
      <c r="E2750" s="0" t="s">
        <v>75</v>
      </c>
      <c r="F2750" s="0" t="s">
        <v>90</v>
      </c>
      <c r="G2750" s="0" t="s">
        <v>36</v>
      </c>
      <c r="H2750" s="0" t="n">
        <v>58</v>
      </c>
      <c r="I2750" s="0" t="s">
        <v>9189</v>
      </c>
      <c r="J2750" s="0" t="s">
        <v>9190</v>
      </c>
      <c r="K2750" s="0" t="s">
        <v>9191</v>
      </c>
      <c r="L2750" s="0" t="str">
        <f aca="false">HYPERLINK("https://www.ncbi.nlm.nih.gov/nuccore/CP000058.1?report=graph&amp;tracks=[key:gene_model_track,Options:GeneOnly]&amp;mk=859525:859544|offset_14|444444,859502:859521|offset_37|444444,859481:859500|offset_58|00cc00,859451:859470|offset_88|444444&amp;v=859324:859670&amp;c=444444", "offset 58")</f>
        <v>offset 58</v>
      </c>
    </row>
    <row r="2751" customFormat="false" ht="12.8" hidden="false" customHeight="false" outlineLevel="0" collapsed="false">
      <c r="A2751" s="0" t="s">
        <v>12</v>
      </c>
      <c r="B2751" s="0" t="n">
        <v>859450</v>
      </c>
      <c r="C2751" s="0" t="n">
        <v>859470</v>
      </c>
      <c r="D2751" s="0" t="s">
        <v>9182</v>
      </c>
      <c r="E2751" s="0" t="s">
        <v>75</v>
      </c>
      <c r="F2751" s="0" t="s">
        <v>90</v>
      </c>
      <c r="G2751" s="0" t="s">
        <v>16</v>
      </c>
      <c r="H2751" s="0" t="n">
        <v>88</v>
      </c>
      <c r="I2751" s="0" t="s">
        <v>9192</v>
      </c>
      <c r="J2751" s="0" t="s">
        <v>9193</v>
      </c>
      <c r="K2751" s="0" t="s">
        <v>9194</v>
      </c>
      <c r="L2751" s="0" t="str">
        <f aca="false">HYPERLINK("https://www.ncbi.nlm.nih.gov/nuccore/CP000058.1?report=graph&amp;tracks=[key:gene_model_track,Options:GeneOnly]&amp;mk=859525:859544|offset_14|444444,859502:859521|offset_37|444444,859481:859500|offset_58|444444,859451:859470|offset_88|00cc00&amp;v=859324:859670&amp;c=444444", "offset 88")</f>
        <v>offset 88</v>
      </c>
    </row>
    <row r="2752" customFormat="false" ht="12.8" hidden="false" customHeight="false" outlineLevel="0" collapsed="false">
      <c r="A2752" s="0" t="s">
        <v>12</v>
      </c>
      <c r="B2752" s="0" t="n">
        <v>860607</v>
      </c>
      <c r="C2752" s="0" t="n">
        <v>860627</v>
      </c>
      <c r="D2752" s="0" t="s">
        <v>9195</v>
      </c>
      <c r="E2752" s="0" t="s">
        <v>75</v>
      </c>
      <c r="F2752" s="0" t="s">
        <v>90</v>
      </c>
      <c r="G2752" s="0" t="s">
        <v>32</v>
      </c>
      <c r="H2752" s="0" t="n">
        <v>16</v>
      </c>
      <c r="I2752" s="0" t="s">
        <v>9196</v>
      </c>
      <c r="J2752" s="0" t="s">
        <v>9197</v>
      </c>
      <c r="K2752" s="0" t="s">
        <v>9198</v>
      </c>
      <c r="L2752" s="0" t="str">
        <f aca="false">HYPERLINK("https://www.ncbi.nlm.nih.gov/nuccore/CP000058.1?report=graph&amp;tracks=[key:gene_model_track,Options:GeneOnly]&amp;mk=860608:860627|offset_16|00cc00,860584:860603|offset_40|444444,860564:860583|offset_60|444444,860540:860559|offset_84|444444&amp;v=860407:860759&amp;c=444444", "offset 16")</f>
        <v>offset 16</v>
      </c>
    </row>
    <row r="2753" customFormat="false" ht="12.8" hidden="false" customHeight="false" outlineLevel="0" collapsed="false">
      <c r="A2753" s="0" t="s">
        <v>12</v>
      </c>
      <c r="B2753" s="0" t="n">
        <v>860583</v>
      </c>
      <c r="C2753" s="0" t="n">
        <v>860603</v>
      </c>
      <c r="D2753" s="0" t="s">
        <v>9195</v>
      </c>
      <c r="E2753" s="0" t="s">
        <v>75</v>
      </c>
      <c r="F2753" s="0" t="s">
        <v>90</v>
      </c>
      <c r="G2753" s="0" t="s">
        <v>16</v>
      </c>
      <c r="H2753" s="0" t="n">
        <v>40</v>
      </c>
      <c r="I2753" s="0" t="s">
        <v>9199</v>
      </c>
      <c r="J2753" s="0" t="s">
        <v>9200</v>
      </c>
      <c r="K2753" s="0" t="s">
        <v>9201</v>
      </c>
      <c r="L2753" s="0" t="str">
        <f aca="false">HYPERLINK("https://www.ncbi.nlm.nih.gov/nuccore/CP000058.1?report=graph&amp;tracks=[key:gene_model_track,Options:GeneOnly]&amp;mk=860608:860627|offset_16|444444,860584:860603|offset_40|00cc00,860564:860583|offset_60|444444,860540:860559|offset_84|444444&amp;v=860407:860759&amp;c=444444", "offset 40")</f>
        <v>offset 40</v>
      </c>
    </row>
    <row r="2754" customFormat="false" ht="12.8" hidden="false" customHeight="false" outlineLevel="0" collapsed="false">
      <c r="A2754" s="0" t="s">
        <v>12</v>
      </c>
      <c r="B2754" s="0" t="n">
        <v>860563</v>
      </c>
      <c r="C2754" s="0" t="n">
        <v>860583</v>
      </c>
      <c r="D2754" s="0" t="s">
        <v>9195</v>
      </c>
      <c r="E2754" s="0" t="s">
        <v>75</v>
      </c>
      <c r="F2754" s="0" t="s">
        <v>90</v>
      </c>
      <c r="G2754" s="0" t="s">
        <v>32</v>
      </c>
      <c r="H2754" s="0" t="n">
        <v>60</v>
      </c>
      <c r="I2754" s="0" t="s">
        <v>9202</v>
      </c>
      <c r="J2754" s="0" t="s">
        <v>9203</v>
      </c>
      <c r="K2754" s="0" t="s">
        <v>9204</v>
      </c>
      <c r="L2754" s="0" t="str">
        <f aca="false">HYPERLINK("https://www.ncbi.nlm.nih.gov/nuccore/CP000058.1?report=graph&amp;tracks=[key:gene_model_track,Options:GeneOnly]&amp;mk=860608:860627|offset_16|444444,860584:860603|offset_40|444444,860564:860583|offset_60|00cc00,860540:860559|offset_84|444444&amp;v=860407:860759&amp;c=444444", "offset 60")</f>
        <v>offset 60</v>
      </c>
    </row>
    <row r="2755" customFormat="false" ht="12.8" hidden="false" customHeight="false" outlineLevel="0" collapsed="false">
      <c r="A2755" s="0" t="s">
        <v>12</v>
      </c>
      <c r="B2755" s="0" t="n">
        <v>860539</v>
      </c>
      <c r="C2755" s="0" t="n">
        <v>860559</v>
      </c>
      <c r="D2755" s="0" t="s">
        <v>9195</v>
      </c>
      <c r="E2755" s="0" t="s">
        <v>75</v>
      </c>
      <c r="F2755" s="0" t="s">
        <v>90</v>
      </c>
      <c r="G2755" s="0" t="s">
        <v>32</v>
      </c>
      <c r="H2755" s="0" t="n">
        <v>84</v>
      </c>
      <c r="I2755" s="0" t="s">
        <v>9205</v>
      </c>
      <c r="J2755" s="0" t="s">
        <v>9206</v>
      </c>
      <c r="K2755" s="0" t="s">
        <v>9207</v>
      </c>
      <c r="L2755" s="0" t="str">
        <f aca="false">HYPERLINK("https://www.ncbi.nlm.nih.gov/nuccore/CP000058.1?report=graph&amp;tracks=[key:gene_model_track,Options:GeneOnly]&amp;mk=860608:860627|offset_16|444444,860584:860603|offset_40|444444,860564:860583|offset_60|444444,860540:860559|offset_84|00cc00&amp;v=860407:860759&amp;c=444444", "offset 84")</f>
        <v>offset 84</v>
      </c>
    </row>
    <row r="2756" customFormat="false" ht="12.8" hidden="false" customHeight="false" outlineLevel="0" collapsed="false">
      <c r="A2756" s="0" t="s">
        <v>12</v>
      </c>
      <c r="B2756" s="0" t="n">
        <v>861480</v>
      </c>
      <c r="C2756" s="0" t="n">
        <v>861500</v>
      </c>
      <c r="D2756" s="0" t="s">
        <v>9208</v>
      </c>
      <c r="E2756" s="0" t="s">
        <v>75</v>
      </c>
      <c r="F2756" s="0" t="s">
        <v>90</v>
      </c>
      <c r="G2756" s="0" t="s">
        <v>16</v>
      </c>
      <c r="H2756" s="0" t="n">
        <v>46</v>
      </c>
      <c r="I2756" s="0" t="s">
        <v>9209</v>
      </c>
      <c r="J2756" s="0" t="s">
        <v>9210</v>
      </c>
      <c r="K2756" s="0" t="s">
        <v>9211</v>
      </c>
      <c r="L2756" s="0" t="str">
        <f aca="false">HYPERLINK("https://www.ncbi.nlm.nih.gov/nuccore/CP000058.1?report=graph&amp;tracks=[key:gene_model_track,Options:GeneOnly]&amp;mk=861481:861500|offset_46|00cc00,861447:861466|offset_80|444444,861415:861434|offset_112|444444,861395:861414|offset_132|444444&amp;v=861280:861614&amp;c=444444", "offset 46")</f>
        <v>offset 46</v>
      </c>
    </row>
    <row r="2757" customFormat="false" ht="12.8" hidden="false" customHeight="false" outlineLevel="0" collapsed="false">
      <c r="A2757" s="0" t="s">
        <v>12</v>
      </c>
      <c r="B2757" s="0" t="n">
        <v>861446</v>
      </c>
      <c r="C2757" s="0" t="n">
        <v>861466</v>
      </c>
      <c r="D2757" s="0" t="s">
        <v>9208</v>
      </c>
      <c r="E2757" s="0" t="s">
        <v>75</v>
      </c>
      <c r="F2757" s="0" t="s">
        <v>90</v>
      </c>
      <c r="G2757" s="0" t="s">
        <v>16</v>
      </c>
      <c r="H2757" s="0" t="n">
        <v>80</v>
      </c>
      <c r="I2757" s="0" t="s">
        <v>9212</v>
      </c>
      <c r="J2757" s="0" t="s">
        <v>9213</v>
      </c>
      <c r="K2757" s="0" t="s">
        <v>9214</v>
      </c>
      <c r="L2757" s="0" t="str">
        <f aca="false">HYPERLINK("https://www.ncbi.nlm.nih.gov/nuccore/CP000058.1?report=graph&amp;tracks=[key:gene_model_track,Options:GeneOnly]&amp;mk=861481:861500|offset_46|444444,861447:861466|offset_80|00cc00,861415:861434|offset_112|444444,861395:861414|offset_132|444444&amp;v=861280:861614&amp;c=444444", "offset 80")</f>
        <v>offset 80</v>
      </c>
    </row>
    <row r="2758" customFormat="false" ht="12.8" hidden="false" customHeight="false" outlineLevel="0" collapsed="false">
      <c r="A2758" s="0" t="s">
        <v>12</v>
      </c>
      <c r="B2758" s="0" t="n">
        <v>861414</v>
      </c>
      <c r="C2758" s="0" t="n">
        <v>861434</v>
      </c>
      <c r="D2758" s="0" t="s">
        <v>9208</v>
      </c>
      <c r="E2758" s="0" t="s">
        <v>75</v>
      </c>
      <c r="F2758" s="0" t="s">
        <v>90</v>
      </c>
      <c r="G2758" s="0" t="s">
        <v>16</v>
      </c>
      <c r="H2758" s="0" t="n">
        <v>112</v>
      </c>
      <c r="I2758" s="0" t="s">
        <v>9215</v>
      </c>
      <c r="J2758" s="0" t="s">
        <v>9216</v>
      </c>
      <c r="K2758" s="0" t="s">
        <v>9217</v>
      </c>
      <c r="L2758" s="0" t="str">
        <f aca="false">HYPERLINK("https://www.ncbi.nlm.nih.gov/nuccore/CP000058.1?report=graph&amp;tracks=[key:gene_model_track,Options:GeneOnly]&amp;mk=861481:861500|offset_46|444444,861447:861466|offset_80|444444,861415:861434|offset_112|00cc00,861395:861414|offset_132|444444&amp;v=861280:861614&amp;c=444444", "offset 112")</f>
        <v>offset 112</v>
      </c>
    </row>
    <row r="2759" customFormat="false" ht="12.8" hidden="false" customHeight="false" outlineLevel="0" collapsed="false">
      <c r="A2759" s="0" t="s">
        <v>12</v>
      </c>
      <c r="B2759" s="0" t="n">
        <v>861394</v>
      </c>
      <c r="C2759" s="0" t="n">
        <v>861414</v>
      </c>
      <c r="D2759" s="0" t="s">
        <v>9208</v>
      </c>
      <c r="E2759" s="0" t="s">
        <v>75</v>
      </c>
      <c r="F2759" s="0" t="s">
        <v>90</v>
      </c>
      <c r="G2759" s="0" t="s">
        <v>36</v>
      </c>
      <c r="H2759" s="0" t="n">
        <v>132</v>
      </c>
      <c r="I2759" s="0" t="s">
        <v>9218</v>
      </c>
      <c r="J2759" s="0" t="s">
        <v>9219</v>
      </c>
      <c r="K2759" s="0" t="s">
        <v>9220</v>
      </c>
      <c r="L2759" s="0" t="str">
        <f aca="false">HYPERLINK("https://www.ncbi.nlm.nih.gov/nuccore/CP000058.1?report=graph&amp;tracks=[key:gene_model_track,Options:GeneOnly]&amp;mk=861481:861500|offset_46|444444,861447:861466|offset_80|444444,861415:861434|offset_112|444444,861395:861414|offset_132|00cc00&amp;v=861280:861614&amp;c=444444", "offset 132")</f>
        <v>offset 132</v>
      </c>
    </row>
    <row r="2760" customFormat="false" ht="12.8" hidden="false" customHeight="false" outlineLevel="0" collapsed="false">
      <c r="A2760" s="0" t="s">
        <v>12</v>
      </c>
      <c r="B2760" s="0" t="n">
        <v>863003</v>
      </c>
      <c r="C2760" s="0" t="n">
        <v>863023</v>
      </c>
      <c r="D2760" s="0" t="s">
        <v>9221</v>
      </c>
      <c r="E2760" s="0" t="s">
        <v>9222</v>
      </c>
      <c r="F2760" s="0" t="s">
        <v>90</v>
      </c>
      <c r="G2760" s="0" t="s">
        <v>32</v>
      </c>
      <c r="H2760" s="0" t="n">
        <v>8</v>
      </c>
      <c r="I2760" s="0" t="s">
        <v>9223</v>
      </c>
      <c r="J2760" s="0" t="s">
        <v>9224</v>
      </c>
      <c r="K2760" s="0" t="s">
        <v>9225</v>
      </c>
      <c r="L2760" s="0" t="str">
        <f aca="false">HYPERLINK("https://www.ncbi.nlm.nih.gov/nuccore/CP000058.1?report=graph&amp;tracks=[key:gene_model_track,Options:GeneOnly]&amp;mk=863004:863023|offset_8|00cc00,862970:862989|offset_42|444444,862918:862937|offset_94|444444,862897:862916|offset_115|444444&amp;v=862803:863116&amp;c=444444", "offset 8")</f>
        <v>offset 8</v>
      </c>
    </row>
    <row r="2761" customFormat="false" ht="12.8" hidden="false" customHeight="false" outlineLevel="0" collapsed="false">
      <c r="A2761" s="0" t="s">
        <v>12</v>
      </c>
      <c r="B2761" s="0" t="n">
        <v>862969</v>
      </c>
      <c r="C2761" s="0" t="n">
        <v>862989</v>
      </c>
      <c r="D2761" s="0" t="s">
        <v>9221</v>
      </c>
      <c r="E2761" s="0" t="s">
        <v>9222</v>
      </c>
      <c r="F2761" s="0" t="s">
        <v>90</v>
      </c>
      <c r="G2761" s="0" t="s">
        <v>16</v>
      </c>
      <c r="H2761" s="0" t="n">
        <v>42</v>
      </c>
      <c r="I2761" s="0" t="s">
        <v>9226</v>
      </c>
      <c r="J2761" s="0" t="s">
        <v>9227</v>
      </c>
      <c r="K2761" s="0" t="s">
        <v>9228</v>
      </c>
      <c r="L2761" s="0" t="str">
        <f aca="false">HYPERLINK("https://www.ncbi.nlm.nih.gov/nuccore/CP000058.1?report=graph&amp;tracks=[key:gene_model_track,Options:GeneOnly]&amp;mk=863004:863023|offset_8|444444,862970:862989|offset_42|00cc00,862918:862937|offset_94|444444,862897:862916|offset_115|444444&amp;v=862803:863116&amp;c=444444", "offset 42")</f>
        <v>offset 42</v>
      </c>
    </row>
    <row r="2762" customFormat="false" ht="12.8" hidden="false" customHeight="false" outlineLevel="0" collapsed="false">
      <c r="A2762" s="0" t="s">
        <v>12</v>
      </c>
      <c r="B2762" s="0" t="n">
        <v>862917</v>
      </c>
      <c r="C2762" s="0" t="n">
        <v>862937</v>
      </c>
      <c r="D2762" s="0" t="s">
        <v>9221</v>
      </c>
      <c r="E2762" s="0" t="s">
        <v>9222</v>
      </c>
      <c r="F2762" s="0" t="s">
        <v>90</v>
      </c>
      <c r="G2762" s="0" t="s">
        <v>36</v>
      </c>
      <c r="H2762" s="0" t="n">
        <v>94</v>
      </c>
      <c r="I2762" s="0" t="s">
        <v>9229</v>
      </c>
      <c r="J2762" s="0" t="s">
        <v>9230</v>
      </c>
      <c r="K2762" s="0" t="s">
        <v>9231</v>
      </c>
      <c r="L2762" s="0" t="str">
        <f aca="false">HYPERLINK("https://www.ncbi.nlm.nih.gov/nuccore/CP000058.1?report=graph&amp;tracks=[key:gene_model_track,Options:GeneOnly]&amp;mk=863004:863023|offset_8|444444,862970:862989|offset_42|444444,862918:862937|offset_94|00cc00,862897:862916|offset_115|444444&amp;v=862803:863116&amp;c=444444", "offset 94")</f>
        <v>offset 94</v>
      </c>
    </row>
    <row r="2763" customFormat="false" ht="12.8" hidden="false" customHeight="false" outlineLevel="0" collapsed="false">
      <c r="A2763" s="0" t="s">
        <v>12</v>
      </c>
      <c r="B2763" s="0" t="n">
        <v>862896</v>
      </c>
      <c r="C2763" s="0" t="n">
        <v>862916</v>
      </c>
      <c r="D2763" s="0" t="s">
        <v>9221</v>
      </c>
      <c r="E2763" s="0" t="s">
        <v>9222</v>
      </c>
      <c r="F2763" s="0" t="s">
        <v>90</v>
      </c>
      <c r="G2763" s="0" t="s">
        <v>16</v>
      </c>
      <c r="H2763" s="0" t="n">
        <v>115</v>
      </c>
      <c r="I2763" s="0" t="s">
        <v>9232</v>
      </c>
      <c r="J2763" s="0" t="s">
        <v>9233</v>
      </c>
      <c r="K2763" s="0" t="s">
        <v>9234</v>
      </c>
      <c r="L2763" s="0" t="str">
        <f aca="false">HYPERLINK("https://www.ncbi.nlm.nih.gov/nuccore/CP000058.1?report=graph&amp;tracks=[key:gene_model_track,Options:GeneOnly]&amp;mk=863004:863023|offset_8|444444,862970:862989|offset_42|444444,862918:862937|offset_94|444444,862897:862916|offset_115|00cc00&amp;v=862803:863116&amp;c=444444", "offset 115")</f>
        <v>offset 115</v>
      </c>
    </row>
    <row r="2764" customFormat="false" ht="12.8" hidden="false" customHeight="false" outlineLevel="0" collapsed="false">
      <c r="A2764" s="0" t="s">
        <v>12</v>
      </c>
      <c r="B2764" s="0" t="n">
        <v>864588</v>
      </c>
      <c r="C2764" s="0" t="n">
        <v>864608</v>
      </c>
      <c r="D2764" s="0" t="s">
        <v>9235</v>
      </c>
      <c r="E2764" s="0" t="s">
        <v>9236</v>
      </c>
      <c r="F2764" s="0" t="s">
        <v>90</v>
      </c>
      <c r="G2764" s="0" t="s">
        <v>36</v>
      </c>
      <c r="H2764" s="0" t="n">
        <v>18</v>
      </c>
      <c r="I2764" s="0" t="s">
        <v>9237</v>
      </c>
      <c r="J2764" s="0" t="s">
        <v>9238</v>
      </c>
      <c r="K2764" s="0" t="s">
        <v>9239</v>
      </c>
      <c r="L2764" s="0" t="str">
        <f aca="false">HYPERLINK("https://www.ncbi.nlm.nih.gov/nuccore/CP000058.1?report=graph&amp;tracks=[key:gene_model_track,Options:GeneOnly]&amp;mk=864589:864608|offset_18|00cc00,864545:864564|offset_62|444444,864509:864528|offset_98|444444,864483:864502|offset_124|444444&amp;v=864388:864702&amp;c=444444", "offset 18")</f>
        <v>offset 18</v>
      </c>
    </row>
    <row r="2765" customFormat="false" ht="12.8" hidden="false" customHeight="false" outlineLevel="0" collapsed="false">
      <c r="A2765" s="0" t="s">
        <v>12</v>
      </c>
      <c r="B2765" s="0" t="n">
        <v>864544</v>
      </c>
      <c r="C2765" s="0" t="n">
        <v>864564</v>
      </c>
      <c r="D2765" s="0" t="s">
        <v>9235</v>
      </c>
      <c r="E2765" s="0" t="s">
        <v>9236</v>
      </c>
      <c r="F2765" s="0" t="s">
        <v>90</v>
      </c>
      <c r="G2765" s="0" t="s">
        <v>32</v>
      </c>
      <c r="H2765" s="0" t="n">
        <v>62</v>
      </c>
      <c r="I2765" s="0" t="s">
        <v>9240</v>
      </c>
      <c r="J2765" s="0" t="s">
        <v>9241</v>
      </c>
      <c r="K2765" s="0" t="s">
        <v>9242</v>
      </c>
      <c r="L2765" s="0" t="str">
        <f aca="false">HYPERLINK("https://www.ncbi.nlm.nih.gov/nuccore/CP000058.1?report=graph&amp;tracks=[key:gene_model_track,Options:GeneOnly]&amp;mk=864589:864608|offset_18|444444,864545:864564|offset_62|00cc00,864509:864528|offset_98|444444,864483:864502|offset_124|444444&amp;v=864388:864702&amp;c=444444", "offset 62")</f>
        <v>offset 62</v>
      </c>
    </row>
    <row r="2766" customFormat="false" ht="12.8" hidden="false" customHeight="false" outlineLevel="0" collapsed="false">
      <c r="A2766" s="0" t="s">
        <v>12</v>
      </c>
      <c r="B2766" s="0" t="n">
        <v>864508</v>
      </c>
      <c r="C2766" s="0" t="n">
        <v>864528</v>
      </c>
      <c r="D2766" s="0" t="s">
        <v>9235</v>
      </c>
      <c r="E2766" s="0" t="s">
        <v>9236</v>
      </c>
      <c r="F2766" s="0" t="s">
        <v>90</v>
      </c>
      <c r="G2766" s="0" t="s">
        <v>20</v>
      </c>
      <c r="H2766" s="0" t="n">
        <v>98</v>
      </c>
      <c r="I2766" s="0" t="s">
        <v>9243</v>
      </c>
      <c r="J2766" s="0" t="s">
        <v>9244</v>
      </c>
      <c r="K2766" s="0" t="s">
        <v>9245</v>
      </c>
      <c r="L2766" s="0" t="str">
        <f aca="false">HYPERLINK("https://www.ncbi.nlm.nih.gov/nuccore/CP000058.1?report=graph&amp;tracks=[key:gene_model_track,Options:GeneOnly]&amp;mk=864589:864608|offset_18|444444,864545:864564|offset_62|444444,864509:864528|offset_98|00cc00,864483:864502|offset_124|444444&amp;v=864388:864702&amp;c=444444", "offset 98")</f>
        <v>offset 98</v>
      </c>
    </row>
    <row r="2767" customFormat="false" ht="12.8" hidden="false" customHeight="false" outlineLevel="0" collapsed="false">
      <c r="A2767" s="0" t="s">
        <v>12</v>
      </c>
      <c r="B2767" s="0" t="n">
        <v>864482</v>
      </c>
      <c r="C2767" s="0" t="n">
        <v>864502</v>
      </c>
      <c r="D2767" s="0" t="s">
        <v>9235</v>
      </c>
      <c r="E2767" s="0" t="s">
        <v>9236</v>
      </c>
      <c r="F2767" s="0" t="s">
        <v>90</v>
      </c>
      <c r="G2767" s="0" t="s">
        <v>16</v>
      </c>
      <c r="H2767" s="0" t="n">
        <v>124</v>
      </c>
      <c r="I2767" s="0" t="s">
        <v>9246</v>
      </c>
      <c r="J2767" s="0" t="s">
        <v>9247</v>
      </c>
      <c r="K2767" s="0" t="s">
        <v>9248</v>
      </c>
      <c r="L2767" s="0" t="str">
        <f aca="false">HYPERLINK("https://www.ncbi.nlm.nih.gov/nuccore/CP000058.1?report=graph&amp;tracks=[key:gene_model_track,Options:GeneOnly]&amp;mk=864589:864608|offset_18|444444,864545:864564|offset_62|444444,864509:864528|offset_98|444444,864483:864502|offset_124|00cc00&amp;v=864388:864702&amp;c=444444", "offset 124")</f>
        <v>offset 124</v>
      </c>
    </row>
    <row r="2768" customFormat="false" ht="12.8" hidden="false" customHeight="false" outlineLevel="0" collapsed="false">
      <c r="A2768" s="0" t="s">
        <v>12</v>
      </c>
      <c r="B2768" s="0" t="n">
        <v>864810</v>
      </c>
      <c r="C2768" s="0" t="n">
        <v>864830</v>
      </c>
      <c r="D2768" s="0" t="s">
        <v>9249</v>
      </c>
      <c r="E2768" s="0" t="s">
        <v>75</v>
      </c>
      <c r="F2768" s="0" t="s">
        <v>90</v>
      </c>
      <c r="G2768" s="0" t="s">
        <v>16</v>
      </c>
      <c r="H2768" s="0" t="n">
        <v>25</v>
      </c>
      <c r="I2768" s="0" t="s">
        <v>9250</v>
      </c>
      <c r="J2768" s="0" t="s">
        <v>9251</v>
      </c>
      <c r="K2768" s="0" t="s">
        <v>9252</v>
      </c>
      <c r="L2768" s="0" t="str">
        <f aca="false">HYPERLINK("https://www.ncbi.nlm.nih.gov/nuccore/CP000058.1?report=graph&amp;tracks=[key:gene_model_track,Options:GeneOnly]&amp;mk=864811:864830|offset_25|00cc00,864774:864793|offset_62|444444,864748:864767|offset_88|444444,864721:864740|offset_115|444444&amp;v=864610:864940&amp;c=444444", "offset 25")</f>
        <v>offset 25</v>
      </c>
    </row>
    <row r="2769" customFormat="false" ht="12.8" hidden="false" customHeight="false" outlineLevel="0" collapsed="false">
      <c r="A2769" s="0" t="s">
        <v>12</v>
      </c>
      <c r="B2769" s="0" t="n">
        <v>864773</v>
      </c>
      <c r="C2769" s="0" t="n">
        <v>864793</v>
      </c>
      <c r="D2769" s="0" t="s">
        <v>9249</v>
      </c>
      <c r="E2769" s="0" t="s">
        <v>75</v>
      </c>
      <c r="F2769" s="0" t="s">
        <v>90</v>
      </c>
      <c r="G2769" s="0" t="s">
        <v>20</v>
      </c>
      <c r="H2769" s="0" t="n">
        <v>62</v>
      </c>
      <c r="I2769" s="0" t="s">
        <v>9253</v>
      </c>
      <c r="J2769" s="0" t="s">
        <v>9254</v>
      </c>
      <c r="K2769" s="0" t="s">
        <v>9255</v>
      </c>
      <c r="L2769" s="0" t="str">
        <f aca="false">HYPERLINK("https://www.ncbi.nlm.nih.gov/nuccore/CP000058.1?report=graph&amp;tracks=[key:gene_model_track,Options:GeneOnly]&amp;mk=864811:864830|offset_25|444444,864774:864793|offset_62|00cc00,864748:864767|offset_88|444444,864721:864740|offset_115|444444&amp;v=864610:864940&amp;c=444444", "offset 62")</f>
        <v>offset 62</v>
      </c>
    </row>
    <row r="2770" customFormat="false" ht="12.8" hidden="false" customHeight="false" outlineLevel="0" collapsed="false">
      <c r="A2770" s="0" t="s">
        <v>12</v>
      </c>
      <c r="B2770" s="0" t="n">
        <v>864747</v>
      </c>
      <c r="C2770" s="0" t="n">
        <v>864767</v>
      </c>
      <c r="D2770" s="0" t="s">
        <v>9249</v>
      </c>
      <c r="E2770" s="0" t="s">
        <v>75</v>
      </c>
      <c r="F2770" s="0" t="s">
        <v>90</v>
      </c>
      <c r="G2770" s="0" t="s">
        <v>36</v>
      </c>
      <c r="H2770" s="0" t="n">
        <v>88</v>
      </c>
      <c r="I2770" s="0" t="s">
        <v>9256</v>
      </c>
      <c r="J2770" s="0" t="s">
        <v>9257</v>
      </c>
      <c r="K2770" s="0" t="s">
        <v>9258</v>
      </c>
      <c r="L2770" s="0" t="str">
        <f aca="false">HYPERLINK("https://www.ncbi.nlm.nih.gov/nuccore/CP000058.1?report=graph&amp;tracks=[key:gene_model_track,Options:GeneOnly]&amp;mk=864811:864830|offset_25|444444,864774:864793|offset_62|444444,864748:864767|offset_88|00cc00,864721:864740|offset_115|444444&amp;v=864610:864940&amp;c=444444", "offset 88")</f>
        <v>offset 88</v>
      </c>
    </row>
    <row r="2771" customFormat="false" ht="12.8" hidden="false" customHeight="false" outlineLevel="0" collapsed="false">
      <c r="A2771" s="0" t="s">
        <v>12</v>
      </c>
      <c r="B2771" s="0" t="n">
        <v>864720</v>
      </c>
      <c r="C2771" s="0" t="n">
        <v>864740</v>
      </c>
      <c r="D2771" s="0" t="s">
        <v>9249</v>
      </c>
      <c r="E2771" s="0" t="s">
        <v>75</v>
      </c>
      <c r="F2771" s="0" t="s">
        <v>90</v>
      </c>
      <c r="G2771" s="0" t="s">
        <v>32</v>
      </c>
      <c r="H2771" s="0" t="n">
        <v>115</v>
      </c>
      <c r="I2771" s="0" t="s">
        <v>9259</v>
      </c>
      <c r="J2771" s="0" t="s">
        <v>9260</v>
      </c>
      <c r="K2771" s="0" t="s">
        <v>9261</v>
      </c>
      <c r="L2771" s="0" t="str">
        <f aca="false">HYPERLINK("https://www.ncbi.nlm.nih.gov/nuccore/CP000058.1?report=graph&amp;tracks=[key:gene_model_track,Options:GeneOnly]&amp;mk=864811:864830|offset_25|444444,864774:864793|offset_62|444444,864748:864767|offset_88|444444,864721:864740|offset_115|00cc00&amp;v=864610:864940&amp;c=444444", "offset 115")</f>
        <v>offset 115</v>
      </c>
    </row>
    <row r="2772" customFormat="false" ht="12.8" hidden="false" customHeight="false" outlineLevel="0" collapsed="false">
      <c r="A2772" s="0" t="s">
        <v>12</v>
      </c>
      <c r="B2772" s="0" t="n">
        <v>865986</v>
      </c>
      <c r="C2772" s="0" t="n">
        <v>866006</v>
      </c>
      <c r="D2772" s="0" t="s">
        <v>9262</v>
      </c>
      <c r="E2772" s="0" t="s">
        <v>9263</v>
      </c>
      <c r="F2772" s="0" t="s">
        <v>90</v>
      </c>
      <c r="G2772" s="0" t="s">
        <v>32</v>
      </c>
      <c r="H2772" s="0" t="n">
        <v>1</v>
      </c>
      <c r="I2772" s="0" t="s">
        <v>9264</v>
      </c>
      <c r="J2772" s="0" t="s">
        <v>9265</v>
      </c>
      <c r="K2772" s="0" t="s">
        <v>9266</v>
      </c>
      <c r="L2772" s="0" t="str">
        <f aca="false">HYPERLINK("https://www.ncbi.nlm.nih.gov/nuccore/CP000058.1?report=graph&amp;tracks=[key:gene_model_track,Options:GeneOnly]&amp;mk=865987:866006|offset_1|00cc00,865957:865976|offset_31|444444,865936:865955|offset_52|444444,865905:865924|offset_83|444444&amp;v=865786:866124&amp;c=444444", "offset 1")</f>
        <v>offset 1</v>
      </c>
    </row>
    <row r="2773" customFormat="false" ht="12.8" hidden="false" customHeight="false" outlineLevel="0" collapsed="false">
      <c r="A2773" s="0" t="s">
        <v>12</v>
      </c>
      <c r="B2773" s="0" t="n">
        <v>865956</v>
      </c>
      <c r="C2773" s="0" t="n">
        <v>865976</v>
      </c>
      <c r="D2773" s="0" t="s">
        <v>9262</v>
      </c>
      <c r="E2773" s="0" t="s">
        <v>9263</v>
      </c>
      <c r="F2773" s="0" t="s">
        <v>90</v>
      </c>
      <c r="G2773" s="0" t="s">
        <v>32</v>
      </c>
      <c r="H2773" s="0" t="n">
        <v>31</v>
      </c>
      <c r="I2773" s="0" t="s">
        <v>9267</v>
      </c>
      <c r="J2773" s="0" t="s">
        <v>9268</v>
      </c>
      <c r="K2773" s="0" t="s">
        <v>9269</v>
      </c>
      <c r="L2773" s="0" t="str">
        <f aca="false">HYPERLINK("https://www.ncbi.nlm.nih.gov/nuccore/CP000058.1?report=graph&amp;tracks=[key:gene_model_track,Options:GeneOnly]&amp;mk=865987:866006|offset_1|444444,865957:865976|offset_31|00cc00,865936:865955|offset_52|444444,865905:865924|offset_83|444444&amp;v=865786:866124&amp;c=444444", "offset 31")</f>
        <v>offset 31</v>
      </c>
    </row>
    <row r="2774" customFormat="false" ht="12.8" hidden="false" customHeight="false" outlineLevel="0" collapsed="false">
      <c r="A2774" s="0" t="s">
        <v>12</v>
      </c>
      <c r="B2774" s="0" t="n">
        <v>865935</v>
      </c>
      <c r="C2774" s="0" t="n">
        <v>865955</v>
      </c>
      <c r="D2774" s="0" t="s">
        <v>9262</v>
      </c>
      <c r="E2774" s="0" t="s">
        <v>9263</v>
      </c>
      <c r="F2774" s="0" t="s">
        <v>90</v>
      </c>
      <c r="G2774" s="0" t="s">
        <v>20</v>
      </c>
      <c r="H2774" s="0" t="n">
        <v>52</v>
      </c>
      <c r="I2774" s="0" t="s">
        <v>9270</v>
      </c>
      <c r="J2774" s="0" t="s">
        <v>9271</v>
      </c>
      <c r="K2774" s="0" t="s">
        <v>9272</v>
      </c>
      <c r="L2774" s="0" t="str">
        <f aca="false">HYPERLINK("https://www.ncbi.nlm.nih.gov/nuccore/CP000058.1?report=graph&amp;tracks=[key:gene_model_track,Options:GeneOnly]&amp;mk=865987:866006|offset_1|444444,865957:865976|offset_31|444444,865936:865955|offset_52|00cc00,865905:865924|offset_83|444444&amp;v=865786:866124&amp;c=444444", "offset 52")</f>
        <v>offset 52</v>
      </c>
    </row>
    <row r="2775" customFormat="false" ht="12.8" hidden="false" customHeight="false" outlineLevel="0" collapsed="false">
      <c r="A2775" s="0" t="s">
        <v>12</v>
      </c>
      <c r="B2775" s="0" t="n">
        <v>865904</v>
      </c>
      <c r="C2775" s="0" t="n">
        <v>865924</v>
      </c>
      <c r="D2775" s="0" t="s">
        <v>9262</v>
      </c>
      <c r="E2775" s="0" t="s">
        <v>9263</v>
      </c>
      <c r="F2775" s="0" t="s">
        <v>90</v>
      </c>
      <c r="G2775" s="0" t="s">
        <v>20</v>
      </c>
      <c r="H2775" s="0" t="n">
        <v>83</v>
      </c>
      <c r="I2775" s="0" t="s">
        <v>9273</v>
      </c>
      <c r="J2775" s="0" t="s">
        <v>9274</v>
      </c>
      <c r="K2775" s="0" t="s">
        <v>9275</v>
      </c>
      <c r="L2775" s="0" t="str">
        <f aca="false">HYPERLINK("https://www.ncbi.nlm.nih.gov/nuccore/CP000058.1?report=graph&amp;tracks=[key:gene_model_track,Options:GeneOnly]&amp;mk=865987:866006|offset_1|444444,865957:865976|offset_31|444444,865936:865955|offset_52|444444,865905:865924|offset_83|00cc00&amp;v=865786:866124&amp;c=444444", "offset 83")</f>
        <v>offset 83</v>
      </c>
    </row>
    <row r="2776" customFormat="false" ht="12.8" hidden="false" customHeight="false" outlineLevel="0" collapsed="false">
      <c r="A2776" s="0" t="s">
        <v>12</v>
      </c>
      <c r="B2776" s="0" t="n">
        <v>866163</v>
      </c>
      <c r="C2776" s="0" t="n">
        <v>866183</v>
      </c>
      <c r="D2776" s="0" t="s">
        <v>9276</v>
      </c>
      <c r="E2776" s="0" t="s">
        <v>9277</v>
      </c>
      <c r="F2776" s="0" t="s">
        <v>15</v>
      </c>
      <c r="G2776" s="0" t="s">
        <v>16</v>
      </c>
      <c r="H2776" s="0" t="n">
        <v>7</v>
      </c>
      <c r="I2776" s="0" t="s">
        <v>9278</v>
      </c>
      <c r="J2776" s="0" t="s">
        <v>9279</v>
      </c>
      <c r="K2776" s="0" t="s">
        <v>9280</v>
      </c>
      <c r="L2776" s="0" t="str">
        <f aca="false">HYPERLINK("https://www.ncbi.nlm.nih.gov/nuccore/CP000058.1?report=graph&amp;tracks=[key:gene_model_track,Options:GeneOnly]&amp;mk=866164:866183|offset_7|00cc00,866193:866212|offset_36|444444,866216:866235|offset_59|444444,866264:866283|offset_107|444444&amp;v=865963:866483&amp;c=444444", "offset 7")</f>
        <v>offset 7</v>
      </c>
    </row>
    <row r="2777" customFormat="false" ht="12.8" hidden="false" customHeight="false" outlineLevel="0" collapsed="false">
      <c r="A2777" s="0" t="s">
        <v>12</v>
      </c>
      <c r="B2777" s="0" t="n">
        <v>866192</v>
      </c>
      <c r="C2777" s="0" t="n">
        <v>866212</v>
      </c>
      <c r="D2777" s="0" t="s">
        <v>9276</v>
      </c>
      <c r="E2777" s="0" t="s">
        <v>9277</v>
      </c>
      <c r="F2777" s="0" t="s">
        <v>15</v>
      </c>
      <c r="G2777" s="0" t="s">
        <v>16</v>
      </c>
      <c r="H2777" s="0" t="n">
        <v>36</v>
      </c>
      <c r="I2777" s="0" t="s">
        <v>9281</v>
      </c>
      <c r="J2777" s="0" t="s">
        <v>9282</v>
      </c>
      <c r="K2777" s="0" t="s">
        <v>9283</v>
      </c>
      <c r="L2777" s="0" t="str">
        <f aca="false">HYPERLINK("https://www.ncbi.nlm.nih.gov/nuccore/CP000058.1?report=graph&amp;tracks=[key:gene_model_track,Options:GeneOnly]&amp;mk=866164:866183|offset_7|444444,866193:866212|offset_36|00cc00,866216:866235|offset_59|444444,866264:866283|offset_107|444444&amp;v=865963:866483&amp;c=444444", "offset 36")</f>
        <v>offset 36</v>
      </c>
    </row>
    <row r="2778" customFormat="false" ht="12.8" hidden="false" customHeight="false" outlineLevel="0" collapsed="false">
      <c r="A2778" s="0" t="s">
        <v>12</v>
      </c>
      <c r="B2778" s="0" t="n">
        <v>866215</v>
      </c>
      <c r="C2778" s="0" t="n">
        <v>866235</v>
      </c>
      <c r="D2778" s="0" t="s">
        <v>9276</v>
      </c>
      <c r="E2778" s="0" t="s">
        <v>9277</v>
      </c>
      <c r="F2778" s="0" t="s">
        <v>15</v>
      </c>
      <c r="G2778" s="0" t="s">
        <v>20</v>
      </c>
      <c r="H2778" s="0" t="n">
        <v>59</v>
      </c>
      <c r="I2778" s="0" t="s">
        <v>9284</v>
      </c>
      <c r="J2778" s="0" t="s">
        <v>9285</v>
      </c>
      <c r="K2778" s="0" t="s">
        <v>9286</v>
      </c>
      <c r="L2778" s="0" t="str">
        <f aca="false">HYPERLINK("https://www.ncbi.nlm.nih.gov/nuccore/CP000058.1?report=graph&amp;tracks=[key:gene_model_track,Options:GeneOnly]&amp;mk=866164:866183|offset_7|444444,866193:866212|offset_36|444444,866216:866235|offset_59|00cc00,866264:866283|offset_107|444444&amp;v=865963:866483&amp;c=444444", "offset 59")</f>
        <v>offset 59</v>
      </c>
    </row>
    <row r="2779" customFormat="false" ht="12.8" hidden="false" customHeight="false" outlineLevel="0" collapsed="false">
      <c r="A2779" s="0" t="s">
        <v>12</v>
      </c>
      <c r="B2779" s="0" t="n">
        <v>866263</v>
      </c>
      <c r="C2779" s="0" t="n">
        <v>866283</v>
      </c>
      <c r="D2779" s="0" t="s">
        <v>9276</v>
      </c>
      <c r="E2779" s="0" t="s">
        <v>9277</v>
      </c>
      <c r="F2779" s="0" t="s">
        <v>15</v>
      </c>
      <c r="G2779" s="0" t="s">
        <v>20</v>
      </c>
      <c r="H2779" s="0" t="n">
        <v>107</v>
      </c>
      <c r="I2779" s="0" t="s">
        <v>9287</v>
      </c>
      <c r="J2779" s="0" t="s">
        <v>9288</v>
      </c>
      <c r="K2779" s="0" t="s">
        <v>9289</v>
      </c>
      <c r="L2779" s="0" t="str">
        <f aca="false">HYPERLINK("https://www.ncbi.nlm.nih.gov/nuccore/CP000058.1?report=graph&amp;tracks=[key:gene_model_track,Options:GeneOnly]&amp;mk=866164:866183|offset_7|444444,866193:866212|offset_36|444444,866216:866235|offset_59|444444,866264:866283|offset_107|00cc00&amp;v=865963:866483&amp;c=444444", "offset 107")</f>
        <v>offset 107</v>
      </c>
    </row>
    <row r="2780" customFormat="false" ht="12.8" hidden="false" customHeight="false" outlineLevel="0" collapsed="false">
      <c r="A2780" s="0" t="s">
        <v>12</v>
      </c>
      <c r="B2780" s="0" t="n">
        <v>867136</v>
      </c>
      <c r="C2780" s="0" t="n">
        <v>867156</v>
      </c>
      <c r="D2780" s="0" t="s">
        <v>9290</v>
      </c>
      <c r="E2780" s="0" t="s">
        <v>75</v>
      </c>
      <c r="F2780" s="0" t="s">
        <v>15</v>
      </c>
      <c r="G2780" s="0" t="s">
        <v>20</v>
      </c>
      <c r="H2780" s="0" t="n">
        <v>21</v>
      </c>
      <c r="I2780" s="0" t="s">
        <v>9291</v>
      </c>
      <c r="J2780" s="0" t="s">
        <v>9292</v>
      </c>
      <c r="K2780" s="0" t="s">
        <v>9293</v>
      </c>
      <c r="L2780" s="0" t="str">
        <f aca="false">HYPERLINK("https://www.ncbi.nlm.nih.gov/nuccore/CP000058.1?report=graph&amp;tracks=[key:gene_model_track,Options:GeneOnly]&amp;mk=867137:867156|offset_21|00cc00,867177:867196|offset_61|444444,867204:867223|offset_88|444444,867247:867266|offset_131|444444&amp;v=866936:867466&amp;c=444444", "offset 21")</f>
        <v>offset 21</v>
      </c>
    </row>
    <row r="2781" customFormat="false" ht="12.8" hidden="false" customHeight="false" outlineLevel="0" collapsed="false">
      <c r="A2781" s="0" t="s">
        <v>12</v>
      </c>
      <c r="B2781" s="0" t="n">
        <v>867176</v>
      </c>
      <c r="C2781" s="0" t="n">
        <v>867196</v>
      </c>
      <c r="D2781" s="0" t="s">
        <v>9290</v>
      </c>
      <c r="E2781" s="0" t="s">
        <v>75</v>
      </c>
      <c r="F2781" s="0" t="s">
        <v>15</v>
      </c>
      <c r="G2781" s="0" t="s">
        <v>32</v>
      </c>
      <c r="H2781" s="0" t="n">
        <v>61</v>
      </c>
      <c r="I2781" s="0" t="s">
        <v>9294</v>
      </c>
      <c r="J2781" s="0" t="s">
        <v>9295</v>
      </c>
      <c r="K2781" s="0" t="s">
        <v>9296</v>
      </c>
      <c r="L2781" s="0" t="str">
        <f aca="false">HYPERLINK("https://www.ncbi.nlm.nih.gov/nuccore/CP000058.1?report=graph&amp;tracks=[key:gene_model_track,Options:GeneOnly]&amp;mk=867137:867156|offset_21|444444,867177:867196|offset_61|00cc00,867204:867223|offset_88|444444,867247:867266|offset_131|444444&amp;v=866936:867466&amp;c=444444", "offset 61")</f>
        <v>offset 61</v>
      </c>
    </row>
    <row r="2782" customFormat="false" ht="12.8" hidden="false" customHeight="false" outlineLevel="0" collapsed="false">
      <c r="A2782" s="0" t="s">
        <v>12</v>
      </c>
      <c r="B2782" s="0" t="n">
        <v>867203</v>
      </c>
      <c r="C2782" s="0" t="n">
        <v>867223</v>
      </c>
      <c r="D2782" s="0" t="s">
        <v>9290</v>
      </c>
      <c r="E2782" s="0" t="s">
        <v>75</v>
      </c>
      <c r="F2782" s="0" t="s">
        <v>15</v>
      </c>
      <c r="G2782" s="0" t="s">
        <v>36</v>
      </c>
      <c r="H2782" s="0" t="n">
        <v>88</v>
      </c>
      <c r="I2782" s="0" t="s">
        <v>9297</v>
      </c>
      <c r="J2782" s="0" t="s">
        <v>9298</v>
      </c>
      <c r="K2782" s="0" t="s">
        <v>9299</v>
      </c>
      <c r="L2782" s="0" t="str">
        <f aca="false">HYPERLINK("https://www.ncbi.nlm.nih.gov/nuccore/CP000058.1?report=graph&amp;tracks=[key:gene_model_track,Options:GeneOnly]&amp;mk=867137:867156|offset_21|444444,867177:867196|offset_61|444444,867204:867223|offset_88|00cc00,867247:867266|offset_131|444444&amp;v=866936:867466&amp;c=444444", "offset 88")</f>
        <v>offset 88</v>
      </c>
    </row>
    <row r="2783" customFormat="false" ht="12.8" hidden="false" customHeight="false" outlineLevel="0" collapsed="false">
      <c r="A2783" s="0" t="s">
        <v>12</v>
      </c>
      <c r="B2783" s="0" t="n">
        <v>867246</v>
      </c>
      <c r="C2783" s="0" t="n">
        <v>867266</v>
      </c>
      <c r="D2783" s="0" t="s">
        <v>9290</v>
      </c>
      <c r="E2783" s="0" t="s">
        <v>75</v>
      </c>
      <c r="F2783" s="0" t="s">
        <v>15</v>
      </c>
      <c r="G2783" s="0" t="s">
        <v>36</v>
      </c>
      <c r="H2783" s="0" t="n">
        <v>131</v>
      </c>
      <c r="I2783" s="0" t="s">
        <v>9300</v>
      </c>
      <c r="J2783" s="0" t="s">
        <v>9301</v>
      </c>
      <c r="K2783" s="0" t="s">
        <v>9302</v>
      </c>
      <c r="L2783" s="0" t="str">
        <f aca="false">HYPERLINK("https://www.ncbi.nlm.nih.gov/nuccore/CP000058.1?report=graph&amp;tracks=[key:gene_model_track,Options:GeneOnly]&amp;mk=867137:867156|offset_21|444444,867177:867196|offset_61|444444,867204:867223|offset_88|444444,867247:867266|offset_131|00cc00&amp;v=866936:867466&amp;c=444444", "offset 131")</f>
        <v>offset 131</v>
      </c>
    </row>
    <row r="2784" customFormat="false" ht="12.8" hidden="false" customHeight="false" outlineLevel="0" collapsed="false">
      <c r="A2784" s="0" t="s">
        <v>12</v>
      </c>
      <c r="B2784" s="0" t="n">
        <v>868037</v>
      </c>
      <c r="C2784" s="0" t="n">
        <v>868057</v>
      </c>
      <c r="D2784" s="0" t="s">
        <v>9303</v>
      </c>
      <c r="E2784" s="0" t="s">
        <v>9304</v>
      </c>
      <c r="F2784" s="0" t="s">
        <v>15</v>
      </c>
      <c r="G2784" s="0" t="s">
        <v>32</v>
      </c>
      <c r="H2784" s="0" t="n">
        <v>22</v>
      </c>
      <c r="I2784" s="0" t="s">
        <v>9305</v>
      </c>
      <c r="J2784" s="0" t="s">
        <v>9306</v>
      </c>
      <c r="K2784" s="0" t="s">
        <v>9307</v>
      </c>
      <c r="L2784" s="0" t="str">
        <f aca="false">HYPERLINK("https://www.ncbi.nlm.nih.gov/nuccore/CP000058.1?report=graph&amp;tracks=[key:gene_model_track,Options:GeneOnly]&amp;mk=868038:868057|offset_22|00cc00,868062:868081|offset_46|444444,868087:868106|offset_71|444444,868109:868128|offset_93|444444&amp;v=867837:868328&amp;c=444444", "offset 22")</f>
        <v>offset 22</v>
      </c>
    </row>
    <row r="2785" customFormat="false" ht="12.8" hidden="false" customHeight="false" outlineLevel="0" collapsed="false">
      <c r="A2785" s="0" t="s">
        <v>12</v>
      </c>
      <c r="B2785" s="0" t="n">
        <v>868061</v>
      </c>
      <c r="C2785" s="0" t="n">
        <v>868081</v>
      </c>
      <c r="D2785" s="0" t="s">
        <v>9303</v>
      </c>
      <c r="E2785" s="0" t="s">
        <v>9304</v>
      </c>
      <c r="F2785" s="0" t="s">
        <v>15</v>
      </c>
      <c r="G2785" s="0" t="s">
        <v>16</v>
      </c>
      <c r="H2785" s="0" t="n">
        <v>46</v>
      </c>
      <c r="I2785" s="0" t="s">
        <v>9308</v>
      </c>
      <c r="J2785" s="0" t="s">
        <v>9309</v>
      </c>
      <c r="K2785" s="0" t="s">
        <v>9310</v>
      </c>
      <c r="L2785" s="0" t="str">
        <f aca="false">HYPERLINK("https://www.ncbi.nlm.nih.gov/nuccore/CP000058.1?report=graph&amp;tracks=[key:gene_model_track,Options:GeneOnly]&amp;mk=868038:868057|offset_22|444444,868062:868081|offset_46|00cc00,868087:868106|offset_71|444444,868109:868128|offset_93|444444&amp;v=867837:868328&amp;c=444444", "offset 46")</f>
        <v>offset 46</v>
      </c>
    </row>
    <row r="2786" customFormat="false" ht="12.8" hidden="false" customHeight="false" outlineLevel="0" collapsed="false">
      <c r="A2786" s="0" t="s">
        <v>12</v>
      </c>
      <c r="B2786" s="0" t="n">
        <v>868086</v>
      </c>
      <c r="C2786" s="0" t="n">
        <v>868106</v>
      </c>
      <c r="D2786" s="0" t="s">
        <v>9303</v>
      </c>
      <c r="E2786" s="0" t="s">
        <v>9304</v>
      </c>
      <c r="F2786" s="0" t="s">
        <v>15</v>
      </c>
      <c r="G2786" s="0" t="s">
        <v>20</v>
      </c>
      <c r="H2786" s="0" t="n">
        <v>71</v>
      </c>
      <c r="I2786" s="0" t="s">
        <v>9311</v>
      </c>
      <c r="J2786" s="0" t="s">
        <v>9312</v>
      </c>
      <c r="K2786" s="0" t="s">
        <v>9313</v>
      </c>
      <c r="L2786" s="0" t="str">
        <f aca="false">HYPERLINK("https://www.ncbi.nlm.nih.gov/nuccore/CP000058.1?report=graph&amp;tracks=[key:gene_model_track,Options:GeneOnly]&amp;mk=868038:868057|offset_22|444444,868062:868081|offset_46|444444,868087:868106|offset_71|00cc00,868109:868128|offset_93|444444&amp;v=867837:868328&amp;c=444444", "offset 71")</f>
        <v>offset 71</v>
      </c>
    </row>
    <row r="2787" customFormat="false" ht="12.8" hidden="false" customHeight="false" outlineLevel="0" collapsed="false">
      <c r="A2787" s="0" t="s">
        <v>12</v>
      </c>
      <c r="B2787" s="0" t="n">
        <v>868108</v>
      </c>
      <c r="C2787" s="0" t="n">
        <v>868128</v>
      </c>
      <c r="D2787" s="0" t="s">
        <v>9303</v>
      </c>
      <c r="E2787" s="0" t="s">
        <v>9304</v>
      </c>
      <c r="F2787" s="0" t="s">
        <v>15</v>
      </c>
      <c r="G2787" s="0" t="s">
        <v>20</v>
      </c>
      <c r="H2787" s="0" t="n">
        <v>93</v>
      </c>
      <c r="I2787" s="0" t="s">
        <v>9314</v>
      </c>
      <c r="J2787" s="0" t="s">
        <v>9315</v>
      </c>
      <c r="K2787" s="0" t="s">
        <v>9316</v>
      </c>
      <c r="L2787" s="0" t="str">
        <f aca="false">HYPERLINK("https://www.ncbi.nlm.nih.gov/nuccore/CP000058.1?report=graph&amp;tracks=[key:gene_model_track,Options:GeneOnly]&amp;mk=868038:868057|offset_22|444444,868062:868081|offset_46|444444,868087:868106|offset_71|444444,868109:868128|offset_93|00cc00&amp;v=867837:868328&amp;c=444444", "offset 93")</f>
        <v>offset 93</v>
      </c>
    </row>
    <row r="2788" customFormat="false" ht="12.8" hidden="false" customHeight="false" outlineLevel="0" collapsed="false">
      <c r="A2788" s="0" t="s">
        <v>12</v>
      </c>
      <c r="B2788" s="0" t="n">
        <v>872784</v>
      </c>
      <c r="C2788" s="0" t="n">
        <v>872804</v>
      </c>
      <c r="D2788" s="0" t="s">
        <v>9317</v>
      </c>
      <c r="E2788" s="0" t="s">
        <v>75</v>
      </c>
      <c r="F2788" s="0" t="s">
        <v>90</v>
      </c>
      <c r="G2788" s="0" t="s">
        <v>36</v>
      </c>
      <c r="H2788" s="0" t="n">
        <v>35</v>
      </c>
      <c r="I2788" s="0" t="s">
        <v>9318</v>
      </c>
      <c r="J2788" s="0" t="s">
        <v>9319</v>
      </c>
      <c r="K2788" s="0" t="s">
        <v>9320</v>
      </c>
      <c r="L2788" s="0" t="str">
        <f aca="false">HYPERLINK("https://www.ncbi.nlm.nih.gov/nuccore/CP000058.1?report=graph&amp;tracks=[key:gene_model_track,Options:GeneOnly]&amp;mk=872785:872804|offset_35|00cc00,872761:872780|offset_59|444444,872738:872757|offset_82|444444,872672:872691|offset_148|444444&amp;v=872584:872891&amp;c=444444", "offset 35")</f>
        <v>offset 35</v>
      </c>
    </row>
    <row r="2789" customFormat="false" ht="12.8" hidden="false" customHeight="false" outlineLevel="0" collapsed="false">
      <c r="A2789" s="0" t="s">
        <v>12</v>
      </c>
      <c r="B2789" s="0" t="n">
        <v>872760</v>
      </c>
      <c r="C2789" s="0" t="n">
        <v>872780</v>
      </c>
      <c r="D2789" s="0" t="s">
        <v>9317</v>
      </c>
      <c r="E2789" s="0" t="s">
        <v>75</v>
      </c>
      <c r="F2789" s="0" t="s">
        <v>90</v>
      </c>
      <c r="G2789" s="0" t="s">
        <v>36</v>
      </c>
      <c r="H2789" s="0" t="n">
        <v>59</v>
      </c>
      <c r="I2789" s="0" t="s">
        <v>9321</v>
      </c>
      <c r="J2789" s="0" t="s">
        <v>9322</v>
      </c>
      <c r="K2789" s="0" t="s">
        <v>9323</v>
      </c>
      <c r="L2789" s="0" t="str">
        <f aca="false">HYPERLINK("https://www.ncbi.nlm.nih.gov/nuccore/CP000058.1?report=graph&amp;tracks=[key:gene_model_track,Options:GeneOnly]&amp;mk=872785:872804|offset_35|444444,872761:872780|offset_59|00cc00,872738:872757|offset_82|444444,872672:872691|offset_148|444444&amp;v=872584:872891&amp;c=444444", "offset 59")</f>
        <v>offset 59</v>
      </c>
    </row>
    <row r="2790" customFormat="false" ht="12.8" hidden="false" customHeight="false" outlineLevel="0" collapsed="false">
      <c r="A2790" s="0" t="s">
        <v>12</v>
      </c>
      <c r="B2790" s="0" t="n">
        <v>872737</v>
      </c>
      <c r="C2790" s="0" t="n">
        <v>872757</v>
      </c>
      <c r="D2790" s="0" t="s">
        <v>9317</v>
      </c>
      <c r="E2790" s="0" t="s">
        <v>75</v>
      </c>
      <c r="F2790" s="0" t="s">
        <v>90</v>
      </c>
      <c r="G2790" s="0" t="s">
        <v>32</v>
      </c>
      <c r="H2790" s="0" t="n">
        <v>82</v>
      </c>
      <c r="I2790" s="0" t="s">
        <v>9324</v>
      </c>
      <c r="J2790" s="0" t="s">
        <v>9325</v>
      </c>
      <c r="K2790" s="0" t="s">
        <v>9326</v>
      </c>
      <c r="L2790" s="0" t="str">
        <f aca="false">HYPERLINK("https://www.ncbi.nlm.nih.gov/nuccore/CP000058.1?report=graph&amp;tracks=[key:gene_model_track,Options:GeneOnly]&amp;mk=872785:872804|offset_35|444444,872761:872780|offset_59|444444,872738:872757|offset_82|00cc00,872672:872691|offset_148|444444&amp;v=872584:872891&amp;c=444444", "offset 82")</f>
        <v>offset 82</v>
      </c>
    </row>
    <row r="2791" customFormat="false" ht="12.8" hidden="false" customHeight="false" outlineLevel="0" collapsed="false">
      <c r="A2791" s="0" t="s">
        <v>12</v>
      </c>
      <c r="B2791" s="0" t="n">
        <v>872671</v>
      </c>
      <c r="C2791" s="0" t="n">
        <v>872691</v>
      </c>
      <c r="D2791" s="0" t="s">
        <v>9317</v>
      </c>
      <c r="E2791" s="0" t="s">
        <v>75</v>
      </c>
      <c r="F2791" s="0" t="s">
        <v>90</v>
      </c>
      <c r="G2791" s="0" t="s">
        <v>32</v>
      </c>
      <c r="H2791" s="0" t="n">
        <v>148</v>
      </c>
      <c r="I2791" s="0" t="s">
        <v>9327</v>
      </c>
      <c r="J2791" s="0" t="s">
        <v>9328</v>
      </c>
      <c r="K2791" s="0" t="s">
        <v>9329</v>
      </c>
      <c r="L2791" s="0" t="str">
        <f aca="false">HYPERLINK("https://www.ncbi.nlm.nih.gov/nuccore/CP000058.1?report=graph&amp;tracks=[key:gene_model_track,Options:GeneOnly]&amp;mk=872785:872804|offset_35|444444,872761:872780|offset_59|444444,872738:872757|offset_82|444444,872672:872691|offset_148|00cc00&amp;v=872584:872891&amp;c=444444", "offset 148")</f>
        <v>offset 148</v>
      </c>
    </row>
    <row r="2792" customFormat="false" ht="12.8" hidden="false" customHeight="false" outlineLevel="0" collapsed="false">
      <c r="A2792" s="0" t="s">
        <v>12</v>
      </c>
      <c r="B2792" s="0" t="n">
        <v>872842</v>
      </c>
      <c r="C2792" s="0" t="n">
        <v>872862</v>
      </c>
      <c r="D2792" s="0" t="s">
        <v>9330</v>
      </c>
      <c r="E2792" s="0" t="s">
        <v>75</v>
      </c>
      <c r="F2792" s="0" t="s">
        <v>90</v>
      </c>
      <c r="G2792" s="0" t="s">
        <v>16</v>
      </c>
      <c r="H2792" s="0" t="n">
        <v>270</v>
      </c>
      <c r="I2792" s="0" t="s">
        <v>9331</v>
      </c>
      <c r="J2792" s="0" t="s">
        <v>9332</v>
      </c>
      <c r="K2792" s="0" t="s">
        <v>9333</v>
      </c>
      <c r="L2792" s="0" t="str">
        <f aca="false">HYPERLINK("https://www.ncbi.nlm.nih.gov/nuccore/CP000058.1?report=graph&amp;tracks=[key:gene_model_track,Options:GeneOnly]&amp;mk=872843:872862|offset_270|00cc00&amp;v=872642:873062&amp;c=444444", "offset 270")</f>
        <v>offset 270</v>
      </c>
    </row>
    <row r="2793" customFormat="false" ht="12.8" hidden="false" customHeight="false" outlineLevel="0" collapsed="false">
      <c r="A2793" s="0" t="s">
        <v>12</v>
      </c>
      <c r="B2793" s="0" t="n">
        <v>874716</v>
      </c>
      <c r="C2793" s="0" t="n">
        <v>874736</v>
      </c>
      <c r="D2793" s="0" t="s">
        <v>9334</v>
      </c>
      <c r="E2793" s="0" t="s">
        <v>75</v>
      </c>
      <c r="F2793" s="0" t="s">
        <v>90</v>
      </c>
      <c r="G2793" s="0" t="s">
        <v>32</v>
      </c>
      <c r="H2793" s="0" t="n">
        <v>1</v>
      </c>
      <c r="I2793" s="0" t="s">
        <v>9335</v>
      </c>
      <c r="J2793" s="0" t="s">
        <v>9336</v>
      </c>
      <c r="K2793" s="0" t="s">
        <v>9337</v>
      </c>
      <c r="L2793" s="0" t="str">
        <f aca="false">HYPERLINK("https://www.ncbi.nlm.nih.gov/nuccore/CP000058.1?report=graph&amp;tracks=[key:gene_model_track,Options:GeneOnly]&amp;mk=874717:874736|offset_1|00cc00,874692:874711|offset_26|444444,874609:874628|offset_109|444444,874570:874589|offset_148|444444&amp;v=874516:874789&amp;c=444444", "offset 1")</f>
        <v>offset 1</v>
      </c>
    </row>
    <row r="2794" customFormat="false" ht="12.8" hidden="false" customHeight="false" outlineLevel="0" collapsed="false">
      <c r="A2794" s="0" t="s">
        <v>12</v>
      </c>
      <c r="B2794" s="0" t="n">
        <v>874691</v>
      </c>
      <c r="C2794" s="0" t="n">
        <v>874711</v>
      </c>
      <c r="D2794" s="0" t="s">
        <v>9334</v>
      </c>
      <c r="E2794" s="0" t="s">
        <v>75</v>
      </c>
      <c r="F2794" s="0" t="s">
        <v>90</v>
      </c>
      <c r="G2794" s="0" t="s">
        <v>20</v>
      </c>
      <c r="H2794" s="0" t="n">
        <v>26</v>
      </c>
      <c r="I2794" s="0" t="s">
        <v>9338</v>
      </c>
      <c r="J2794" s="0" t="s">
        <v>9339</v>
      </c>
      <c r="K2794" s="0" t="s">
        <v>9340</v>
      </c>
      <c r="L2794" s="0" t="str">
        <f aca="false">HYPERLINK("https://www.ncbi.nlm.nih.gov/nuccore/CP000058.1?report=graph&amp;tracks=[key:gene_model_track,Options:GeneOnly]&amp;mk=874717:874736|offset_1|444444,874692:874711|offset_26|00cc00,874609:874628|offset_109|444444,874570:874589|offset_148|444444&amp;v=874516:874789&amp;c=444444", "offset 26")</f>
        <v>offset 26</v>
      </c>
    </row>
    <row r="2795" customFormat="false" ht="12.8" hidden="false" customHeight="false" outlineLevel="0" collapsed="false">
      <c r="A2795" s="0" t="s">
        <v>12</v>
      </c>
      <c r="B2795" s="0" t="n">
        <v>874608</v>
      </c>
      <c r="C2795" s="0" t="n">
        <v>874628</v>
      </c>
      <c r="D2795" s="0" t="s">
        <v>9334</v>
      </c>
      <c r="E2795" s="0" t="s">
        <v>75</v>
      </c>
      <c r="F2795" s="0" t="s">
        <v>90</v>
      </c>
      <c r="G2795" s="0" t="s">
        <v>36</v>
      </c>
      <c r="H2795" s="0" t="n">
        <v>109</v>
      </c>
      <c r="I2795" s="0" t="s">
        <v>9341</v>
      </c>
      <c r="J2795" s="0" t="s">
        <v>9342</v>
      </c>
      <c r="K2795" s="0" t="s">
        <v>9343</v>
      </c>
      <c r="L2795" s="0" t="str">
        <f aca="false">HYPERLINK("https://www.ncbi.nlm.nih.gov/nuccore/CP000058.1?report=graph&amp;tracks=[key:gene_model_track,Options:GeneOnly]&amp;mk=874717:874736|offset_1|444444,874692:874711|offset_26|444444,874609:874628|offset_109|00cc00,874570:874589|offset_148|444444&amp;v=874516:874789&amp;c=444444", "offset 109")</f>
        <v>offset 109</v>
      </c>
    </row>
    <row r="2796" customFormat="false" ht="12.8" hidden="false" customHeight="false" outlineLevel="0" collapsed="false">
      <c r="A2796" s="0" t="s">
        <v>12</v>
      </c>
      <c r="B2796" s="0" t="n">
        <v>874569</v>
      </c>
      <c r="C2796" s="0" t="n">
        <v>874589</v>
      </c>
      <c r="D2796" s="0" t="s">
        <v>9334</v>
      </c>
      <c r="E2796" s="0" t="s">
        <v>75</v>
      </c>
      <c r="F2796" s="0" t="s">
        <v>90</v>
      </c>
      <c r="G2796" s="0" t="s">
        <v>36</v>
      </c>
      <c r="H2796" s="0" t="n">
        <v>148</v>
      </c>
      <c r="I2796" s="0" t="s">
        <v>9344</v>
      </c>
      <c r="J2796" s="0" t="s">
        <v>9345</v>
      </c>
      <c r="K2796" s="0" t="s">
        <v>9346</v>
      </c>
      <c r="L2796" s="0" t="str">
        <f aca="false">HYPERLINK("https://www.ncbi.nlm.nih.gov/nuccore/CP000058.1?report=graph&amp;tracks=[key:gene_model_track,Options:GeneOnly]&amp;mk=874717:874736|offset_1|444444,874692:874711|offset_26|444444,874609:874628|offset_109|444444,874570:874589|offset_148|00cc00&amp;v=874516:874789&amp;c=444444", "offset 148")</f>
        <v>offset 148</v>
      </c>
    </row>
    <row r="2797" customFormat="false" ht="12.8" hidden="false" customHeight="false" outlineLevel="0" collapsed="false">
      <c r="A2797" s="0" t="s">
        <v>12</v>
      </c>
      <c r="B2797" s="0" t="n">
        <v>875821</v>
      </c>
      <c r="C2797" s="0" t="n">
        <v>875841</v>
      </c>
      <c r="D2797" s="0" t="s">
        <v>9347</v>
      </c>
      <c r="E2797" s="0" t="s">
        <v>75</v>
      </c>
      <c r="F2797" s="0" t="s">
        <v>90</v>
      </c>
      <c r="G2797" s="0" t="s">
        <v>32</v>
      </c>
      <c r="H2797" s="0" t="n">
        <v>1</v>
      </c>
      <c r="I2797" s="0" t="s">
        <v>9348</v>
      </c>
      <c r="J2797" s="0" t="s">
        <v>9349</v>
      </c>
      <c r="K2797" s="0" t="s">
        <v>9350</v>
      </c>
      <c r="L2797" s="0" t="str">
        <f aca="false">HYPERLINK("https://www.ncbi.nlm.nih.gov/nuccore/CP000058.1?report=graph&amp;tracks=[key:gene_model_track,Options:GeneOnly]&amp;mk=875822:875841|offset_1|00cc00,875802:875821|offset_21|444444,875779:875798|offset_44|444444,875755:875774|offset_68|444444&amp;v=875621:875974&amp;c=444444", "offset 1")</f>
        <v>offset 1</v>
      </c>
    </row>
    <row r="2798" customFormat="false" ht="12.8" hidden="false" customHeight="false" outlineLevel="0" collapsed="false">
      <c r="A2798" s="0" t="s">
        <v>12</v>
      </c>
      <c r="B2798" s="0" t="n">
        <v>875801</v>
      </c>
      <c r="C2798" s="0" t="n">
        <v>875821</v>
      </c>
      <c r="D2798" s="0" t="s">
        <v>9347</v>
      </c>
      <c r="E2798" s="0" t="s">
        <v>75</v>
      </c>
      <c r="F2798" s="0" t="s">
        <v>90</v>
      </c>
      <c r="G2798" s="0" t="s">
        <v>20</v>
      </c>
      <c r="H2798" s="0" t="n">
        <v>21</v>
      </c>
      <c r="I2798" s="0" t="s">
        <v>9351</v>
      </c>
      <c r="J2798" s="0" t="s">
        <v>9352</v>
      </c>
      <c r="K2798" s="0" t="s">
        <v>9353</v>
      </c>
      <c r="L2798" s="0" t="str">
        <f aca="false">HYPERLINK("https://www.ncbi.nlm.nih.gov/nuccore/CP000058.1?report=graph&amp;tracks=[key:gene_model_track,Options:GeneOnly]&amp;mk=875822:875841|offset_1|444444,875802:875821|offset_21|00cc00,875779:875798|offset_44|444444,875755:875774|offset_68|444444&amp;v=875621:875974&amp;c=444444", "offset 21")</f>
        <v>offset 21</v>
      </c>
    </row>
    <row r="2799" customFormat="false" ht="12.8" hidden="false" customHeight="false" outlineLevel="0" collapsed="false">
      <c r="A2799" s="0" t="s">
        <v>12</v>
      </c>
      <c r="B2799" s="0" t="n">
        <v>875778</v>
      </c>
      <c r="C2799" s="0" t="n">
        <v>875798</v>
      </c>
      <c r="D2799" s="0" t="s">
        <v>9347</v>
      </c>
      <c r="E2799" s="0" t="s">
        <v>75</v>
      </c>
      <c r="F2799" s="0" t="s">
        <v>90</v>
      </c>
      <c r="G2799" s="0" t="s">
        <v>20</v>
      </c>
      <c r="H2799" s="0" t="n">
        <v>44</v>
      </c>
      <c r="I2799" s="0" t="s">
        <v>9354</v>
      </c>
      <c r="J2799" s="0" t="s">
        <v>9355</v>
      </c>
      <c r="K2799" s="0" t="s">
        <v>9356</v>
      </c>
      <c r="L2799" s="0" t="str">
        <f aca="false">HYPERLINK("https://www.ncbi.nlm.nih.gov/nuccore/CP000058.1?report=graph&amp;tracks=[key:gene_model_track,Options:GeneOnly]&amp;mk=875822:875841|offset_1|444444,875802:875821|offset_21|444444,875779:875798|offset_44|00cc00,875755:875774|offset_68|444444&amp;v=875621:875974&amp;c=444444", "offset 44")</f>
        <v>offset 44</v>
      </c>
    </row>
    <row r="2800" customFormat="false" ht="12.8" hidden="false" customHeight="false" outlineLevel="0" collapsed="false">
      <c r="A2800" s="0" t="s">
        <v>12</v>
      </c>
      <c r="B2800" s="0" t="n">
        <v>875754</v>
      </c>
      <c r="C2800" s="0" t="n">
        <v>875774</v>
      </c>
      <c r="D2800" s="0" t="s">
        <v>9347</v>
      </c>
      <c r="E2800" s="0" t="s">
        <v>75</v>
      </c>
      <c r="F2800" s="0" t="s">
        <v>90</v>
      </c>
      <c r="G2800" s="0" t="s">
        <v>20</v>
      </c>
      <c r="H2800" s="0" t="n">
        <v>68</v>
      </c>
      <c r="I2800" s="0" t="s">
        <v>9357</v>
      </c>
      <c r="J2800" s="0" t="s">
        <v>9358</v>
      </c>
      <c r="K2800" s="0" t="s">
        <v>9359</v>
      </c>
      <c r="L2800" s="0" t="str">
        <f aca="false">HYPERLINK("https://www.ncbi.nlm.nih.gov/nuccore/CP000058.1?report=graph&amp;tracks=[key:gene_model_track,Options:GeneOnly]&amp;mk=875822:875841|offset_1|444444,875802:875821|offset_21|444444,875779:875798|offset_44|444444,875755:875774|offset_68|00cc00&amp;v=875621:875974&amp;c=444444", "offset 68")</f>
        <v>offset 68</v>
      </c>
    </row>
    <row r="2801" customFormat="false" ht="12.8" hidden="false" customHeight="false" outlineLevel="0" collapsed="false">
      <c r="A2801" s="0" t="s">
        <v>12</v>
      </c>
      <c r="B2801" s="0" t="n">
        <v>877885</v>
      </c>
      <c r="C2801" s="0" t="n">
        <v>877905</v>
      </c>
      <c r="D2801" s="0" t="s">
        <v>9360</v>
      </c>
      <c r="E2801" s="0" t="s">
        <v>75</v>
      </c>
      <c r="F2801" s="0" t="s">
        <v>90</v>
      </c>
      <c r="G2801" s="0" t="s">
        <v>16</v>
      </c>
      <c r="H2801" s="0" t="n">
        <v>0</v>
      </c>
      <c r="I2801" s="0" t="s">
        <v>9361</v>
      </c>
      <c r="J2801" s="0" t="s">
        <v>9362</v>
      </c>
      <c r="K2801" s="0" t="s">
        <v>9363</v>
      </c>
      <c r="L2801" s="0" t="str">
        <f aca="false">HYPERLINK("https://www.ncbi.nlm.nih.gov/nuccore/CP000058.1?report=graph&amp;tracks=[key:gene_model_track,Options:GeneOnly]&amp;mk=877886:877905|offset_0|00cc00,877851:877870|offset_35|444444,877819:877838|offset_67|444444,877780:877799|offset_106|444444&amp;v=877685:877999&amp;c=444444", "offset 0")</f>
        <v>offset 0</v>
      </c>
    </row>
    <row r="2802" customFormat="false" ht="12.8" hidden="false" customHeight="false" outlineLevel="0" collapsed="false">
      <c r="A2802" s="0" t="s">
        <v>12</v>
      </c>
      <c r="B2802" s="0" t="n">
        <v>877850</v>
      </c>
      <c r="C2802" s="0" t="n">
        <v>877870</v>
      </c>
      <c r="D2802" s="0" t="s">
        <v>9360</v>
      </c>
      <c r="E2802" s="0" t="s">
        <v>75</v>
      </c>
      <c r="F2802" s="0" t="s">
        <v>90</v>
      </c>
      <c r="G2802" s="0" t="s">
        <v>32</v>
      </c>
      <c r="H2802" s="0" t="n">
        <v>35</v>
      </c>
      <c r="I2802" s="0" t="s">
        <v>9364</v>
      </c>
      <c r="J2802" s="0" t="s">
        <v>9365</v>
      </c>
      <c r="K2802" s="0" t="s">
        <v>9366</v>
      </c>
      <c r="L2802" s="0" t="str">
        <f aca="false">HYPERLINK("https://www.ncbi.nlm.nih.gov/nuccore/CP000058.1?report=graph&amp;tracks=[key:gene_model_track,Options:GeneOnly]&amp;mk=877886:877905|offset_0|444444,877851:877870|offset_35|00cc00,877819:877838|offset_67|444444,877780:877799|offset_106|444444&amp;v=877685:877999&amp;c=444444", "offset 35")</f>
        <v>offset 35</v>
      </c>
    </row>
    <row r="2803" customFormat="false" ht="12.8" hidden="false" customHeight="false" outlineLevel="0" collapsed="false">
      <c r="A2803" s="0" t="s">
        <v>12</v>
      </c>
      <c r="B2803" s="0" t="n">
        <v>877818</v>
      </c>
      <c r="C2803" s="0" t="n">
        <v>877838</v>
      </c>
      <c r="D2803" s="0" t="s">
        <v>9360</v>
      </c>
      <c r="E2803" s="0" t="s">
        <v>75</v>
      </c>
      <c r="F2803" s="0" t="s">
        <v>90</v>
      </c>
      <c r="G2803" s="0" t="s">
        <v>32</v>
      </c>
      <c r="H2803" s="0" t="n">
        <v>67</v>
      </c>
      <c r="I2803" s="0" t="s">
        <v>9367</v>
      </c>
      <c r="J2803" s="0" t="s">
        <v>9368</v>
      </c>
      <c r="K2803" s="0" t="s">
        <v>9369</v>
      </c>
      <c r="L2803" s="0" t="str">
        <f aca="false">HYPERLINK("https://www.ncbi.nlm.nih.gov/nuccore/CP000058.1?report=graph&amp;tracks=[key:gene_model_track,Options:GeneOnly]&amp;mk=877886:877905|offset_0|444444,877851:877870|offset_35|444444,877819:877838|offset_67|00cc00,877780:877799|offset_106|444444&amp;v=877685:877999&amp;c=444444", "offset 67")</f>
        <v>offset 67</v>
      </c>
    </row>
    <row r="2804" customFormat="false" ht="12.8" hidden="false" customHeight="false" outlineLevel="0" collapsed="false">
      <c r="A2804" s="0" t="s">
        <v>12</v>
      </c>
      <c r="B2804" s="0" t="n">
        <v>877779</v>
      </c>
      <c r="C2804" s="0" t="n">
        <v>877799</v>
      </c>
      <c r="D2804" s="0" t="s">
        <v>9360</v>
      </c>
      <c r="E2804" s="0" t="s">
        <v>75</v>
      </c>
      <c r="F2804" s="0" t="s">
        <v>90</v>
      </c>
      <c r="G2804" s="0" t="s">
        <v>20</v>
      </c>
      <c r="H2804" s="0" t="n">
        <v>106</v>
      </c>
      <c r="I2804" s="0" t="s">
        <v>9370</v>
      </c>
      <c r="J2804" s="0" t="s">
        <v>9371</v>
      </c>
      <c r="K2804" s="0" t="s">
        <v>9372</v>
      </c>
      <c r="L2804" s="0" t="str">
        <f aca="false">HYPERLINK("https://www.ncbi.nlm.nih.gov/nuccore/CP000058.1?report=graph&amp;tracks=[key:gene_model_track,Options:GeneOnly]&amp;mk=877886:877905|offset_0|444444,877851:877870|offset_35|444444,877819:877838|offset_67|444444,877780:877799|offset_106|00cc00&amp;v=877685:877999&amp;c=444444", "offset 106")</f>
        <v>offset 106</v>
      </c>
    </row>
    <row r="2805" customFormat="false" ht="12.8" hidden="false" customHeight="false" outlineLevel="0" collapsed="false">
      <c r="A2805" s="0" t="s">
        <v>12</v>
      </c>
      <c r="B2805" s="0" t="n">
        <v>879493</v>
      </c>
      <c r="C2805" s="0" t="n">
        <v>879513</v>
      </c>
      <c r="D2805" s="0" t="s">
        <v>9373</v>
      </c>
      <c r="E2805" s="0" t="s">
        <v>75</v>
      </c>
      <c r="F2805" s="0" t="s">
        <v>90</v>
      </c>
      <c r="G2805" s="0" t="s">
        <v>36</v>
      </c>
      <c r="H2805" s="0" t="n">
        <v>27</v>
      </c>
      <c r="I2805" s="0" t="s">
        <v>9374</v>
      </c>
      <c r="J2805" s="0" t="s">
        <v>9375</v>
      </c>
      <c r="K2805" s="0" t="s">
        <v>9376</v>
      </c>
      <c r="L2805" s="0" t="str">
        <f aca="false">HYPERLINK("https://www.ncbi.nlm.nih.gov/nuccore/CP000058.1?report=graph&amp;tracks=[key:gene_model_track,Options:GeneOnly]&amp;mk=879494:879513|offset_27|00cc00,879472:879491|offset_49|444444,879415:879434|offset_106|444444,879382:879401|offset_139|444444&amp;v=879293:879601&amp;c=444444", "offset 27")</f>
        <v>offset 27</v>
      </c>
    </row>
    <row r="2806" customFormat="false" ht="12.8" hidden="false" customHeight="false" outlineLevel="0" collapsed="false">
      <c r="A2806" s="0" t="s">
        <v>12</v>
      </c>
      <c r="B2806" s="0" t="n">
        <v>879471</v>
      </c>
      <c r="C2806" s="0" t="n">
        <v>879491</v>
      </c>
      <c r="D2806" s="0" t="s">
        <v>9373</v>
      </c>
      <c r="E2806" s="0" t="s">
        <v>75</v>
      </c>
      <c r="F2806" s="0" t="s">
        <v>90</v>
      </c>
      <c r="G2806" s="0" t="s">
        <v>16</v>
      </c>
      <c r="H2806" s="0" t="n">
        <v>49</v>
      </c>
      <c r="I2806" s="0" t="s">
        <v>9377</v>
      </c>
      <c r="J2806" s="0" t="s">
        <v>9378</v>
      </c>
      <c r="K2806" s="0" t="s">
        <v>9379</v>
      </c>
      <c r="L2806" s="0" t="str">
        <f aca="false">HYPERLINK("https://www.ncbi.nlm.nih.gov/nuccore/CP000058.1?report=graph&amp;tracks=[key:gene_model_track,Options:GeneOnly]&amp;mk=879494:879513|offset_27|444444,879472:879491|offset_49|00cc00,879415:879434|offset_106|444444,879382:879401|offset_139|444444&amp;v=879293:879601&amp;c=444444", "offset 49")</f>
        <v>offset 49</v>
      </c>
    </row>
    <row r="2807" customFormat="false" ht="12.8" hidden="false" customHeight="false" outlineLevel="0" collapsed="false">
      <c r="A2807" s="0" t="s">
        <v>12</v>
      </c>
      <c r="B2807" s="0" t="n">
        <v>879414</v>
      </c>
      <c r="C2807" s="0" t="n">
        <v>879434</v>
      </c>
      <c r="D2807" s="0" t="s">
        <v>9373</v>
      </c>
      <c r="E2807" s="0" t="s">
        <v>75</v>
      </c>
      <c r="F2807" s="0" t="s">
        <v>90</v>
      </c>
      <c r="G2807" s="0" t="s">
        <v>16</v>
      </c>
      <c r="H2807" s="0" t="n">
        <v>106</v>
      </c>
      <c r="I2807" s="0" t="s">
        <v>9380</v>
      </c>
      <c r="J2807" s="0" t="s">
        <v>9381</v>
      </c>
      <c r="K2807" s="0" t="s">
        <v>9382</v>
      </c>
      <c r="L2807" s="0" t="str">
        <f aca="false">HYPERLINK("https://www.ncbi.nlm.nih.gov/nuccore/CP000058.1?report=graph&amp;tracks=[key:gene_model_track,Options:GeneOnly]&amp;mk=879494:879513|offset_27|444444,879472:879491|offset_49|444444,879415:879434|offset_106|00cc00,879382:879401|offset_139|444444&amp;v=879293:879601&amp;c=444444", "offset 106")</f>
        <v>offset 106</v>
      </c>
    </row>
    <row r="2808" customFormat="false" ht="12.8" hidden="false" customHeight="false" outlineLevel="0" collapsed="false">
      <c r="A2808" s="0" t="s">
        <v>12</v>
      </c>
      <c r="B2808" s="0" t="n">
        <v>879381</v>
      </c>
      <c r="C2808" s="0" t="n">
        <v>879401</v>
      </c>
      <c r="D2808" s="0" t="s">
        <v>9373</v>
      </c>
      <c r="E2808" s="0" t="s">
        <v>75</v>
      </c>
      <c r="F2808" s="0" t="s">
        <v>90</v>
      </c>
      <c r="G2808" s="0" t="s">
        <v>16</v>
      </c>
      <c r="H2808" s="0" t="n">
        <v>139</v>
      </c>
      <c r="I2808" s="0" t="s">
        <v>9383</v>
      </c>
      <c r="J2808" s="0" t="s">
        <v>9384</v>
      </c>
      <c r="K2808" s="0" t="s">
        <v>9385</v>
      </c>
      <c r="L2808" s="0" t="str">
        <f aca="false">HYPERLINK("https://www.ncbi.nlm.nih.gov/nuccore/CP000058.1?report=graph&amp;tracks=[key:gene_model_track,Options:GeneOnly]&amp;mk=879494:879513|offset_27|444444,879472:879491|offset_49|444444,879415:879434|offset_106|444444,879382:879401|offset_139|00cc00&amp;v=879293:879601&amp;c=444444", "offset 139")</f>
        <v>offset 139</v>
      </c>
    </row>
    <row r="2809" customFormat="false" ht="12.8" hidden="false" customHeight="false" outlineLevel="0" collapsed="false">
      <c r="A2809" s="0" t="s">
        <v>12</v>
      </c>
      <c r="B2809" s="0" t="n">
        <v>881336</v>
      </c>
      <c r="C2809" s="0" t="n">
        <v>881356</v>
      </c>
      <c r="D2809" s="0" t="s">
        <v>9386</v>
      </c>
      <c r="E2809" s="0" t="s">
        <v>75</v>
      </c>
      <c r="F2809" s="0" t="s">
        <v>90</v>
      </c>
      <c r="G2809" s="0" t="s">
        <v>20</v>
      </c>
      <c r="H2809" s="0" t="n">
        <v>10</v>
      </c>
      <c r="I2809" s="0" t="s">
        <v>9387</v>
      </c>
      <c r="J2809" s="0" t="s">
        <v>9388</v>
      </c>
      <c r="K2809" s="0" t="s">
        <v>9389</v>
      </c>
      <c r="L2809" s="0" t="str">
        <f aca="false">HYPERLINK("https://www.ncbi.nlm.nih.gov/nuccore/CP000058.1?report=graph&amp;tracks=[key:gene_model_track,Options:GeneOnly]&amp;mk=881337:881356|offset_10|00cc00,881303:881322|offset_44|444444,881240:881259|offset_107|444444,881208:881227|offset_139|444444&amp;v=881136:881427&amp;c=444444", "offset 10")</f>
        <v>offset 10</v>
      </c>
    </row>
    <row r="2810" customFormat="false" ht="12.8" hidden="false" customHeight="false" outlineLevel="0" collapsed="false">
      <c r="A2810" s="0" t="s">
        <v>12</v>
      </c>
      <c r="B2810" s="0" t="n">
        <v>881302</v>
      </c>
      <c r="C2810" s="0" t="n">
        <v>881322</v>
      </c>
      <c r="D2810" s="0" t="s">
        <v>9386</v>
      </c>
      <c r="E2810" s="0" t="s">
        <v>75</v>
      </c>
      <c r="F2810" s="0" t="s">
        <v>90</v>
      </c>
      <c r="G2810" s="0" t="s">
        <v>20</v>
      </c>
      <c r="H2810" s="0" t="n">
        <v>44</v>
      </c>
      <c r="I2810" s="0" t="s">
        <v>9390</v>
      </c>
      <c r="J2810" s="0" t="s">
        <v>9391</v>
      </c>
      <c r="K2810" s="0" t="s">
        <v>9392</v>
      </c>
      <c r="L2810" s="0" t="str">
        <f aca="false">HYPERLINK("https://www.ncbi.nlm.nih.gov/nuccore/CP000058.1?report=graph&amp;tracks=[key:gene_model_track,Options:GeneOnly]&amp;mk=881337:881356|offset_10|444444,881303:881322|offset_44|00cc00,881240:881259|offset_107|444444,881208:881227|offset_139|444444&amp;v=881136:881427&amp;c=444444", "offset 44")</f>
        <v>offset 44</v>
      </c>
    </row>
    <row r="2811" customFormat="false" ht="12.8" hidden="false" customHeight="false" outlineLevel="0" collapsed="false">
      <c r="A2811" s="0" t="s">
        <v>12</v>
      </c>
      <c r="B2811" s="0" t="n">
        <v>881239</v>
      </c>
      <c r="C2811" s="0" t="n">
        <v>881259</v>
      </c>
      <c r="D2811" s="0" t="s">
        <v>9386</v>
      </c>
      <c r="E2811" s="0" t="s">
        <v>75</v>
      </c>
      <c r="F2811" s="0" t="s">
        <v>90</v>
      </c>
      <c r="G2811" s="0" t="s">
        <v>20</v>
      </c>
      <c r="H2811" s="0" t="n">
        <v>107</v>
      </c>
      <c r="I2811" s="0" t="s">
        <v>9393</v>
      </c>
      <c r="J2811" s="0" t="s">
        <v>9394</v>
      </c>
      <c r="K2811" s="0" t="s">
        <v>9395</v>
      </c>
      <c r="L2811" s="0" t="str">
        <f aca="false">HYPERLINK("https://www.ncbi.nlm.nih.gov/nuccore/CP000058.1?report=graph&amp;tracks=[key:gene_model_track,Options:GeneOnly]&amp;mk=881337:881356|offset_10|444444,881303:881322|offset_44|444444,881240:881259|offset_107|00cc00,881208:881227|offset_139|444444&amp;v=881136:881427&amp;c=444444", "offset 107")</f>
        <v>offset 107</v>
      </c>
    </row>
    <row r="2812" customFormat="false" ht="12.8" hidden="false" customHeight="false" outlineLevel="0" collapsed="false">
      <c r="A2812" s="0" t="s">
        <v>12</v>
      </c>
      <c r="B2812" s="0" t="n">
        <v>881207</v>
      </c>
      <c r="C2812" s="0" t="n">
        <v>881227</v>
      </c>
      <c r="D2812" s="0" t="s">
        <v>9386</v>
      </c>
      <c r="E2812" s="0" t="s">
        <v>75</v>
      </c>
      <c r="F2812" s="0" t="s">
        <v>90</v>
      </c>
      <c r="G2812" s="0" t="s">
        <v>32</v>
      </c>
      <c r="H2812" s="0" t="n">
        <v>139</v>
      </c>
      <c r="I2812" s="0" t="s">
        <v>9396</v>
      </c>
      <c r="J2812" s="0" t="s">
        <v>9397</v>
      </c>
      <c r="K2812" s="0" t="s">
        <v>9398</v>
      </c>
      <c r="L2812" s="0" t="str">
        <f aca="false">HYPERLINK("https://www.ncbi.nlm.nih.gov/nuccore/CP000058.1?report=graph&amp;tracks=[key:gene_model_track,Options:GeneOnly]&amp;mk=881337:881356|offset_10|444444,881303:881322|offset_44|444444,881240:881259|offset_107|444444,881208:881227|offset_139|00cc00&amp;v=881136:881427&amp;c=444444", "offset 139")</f>
        <v>offset 139</v>
      </c>
    </row>
    <row r="2813" customFormat="false" ht="12.8" hidden="false" customHeight="false" outlineLevel="0" collapsed="false">
      <c r="A2813" s="0" t="s">
        <v>12</v>
      </c>
      <c r="B2813" s="0" t="n">
        <v>882523</v>
      </c>
      <c r="C2813" s="0" t="n">
        <v>882543</v>
      </c>
      <c r="D2813" s="0" t="s">
        <v>9399</v>
      </c>
      <c r="E2813" s="0" t="s">
        <v>75</v>
      </c>
      <c r="F2813" s="0" t="s">
        <v>15</v>
      </c>
      <c r="G2813" s="0" t="s">
        <v>32</v>
      </c>
      <c r="H2813" s="0" t="n">
        <v>17</v>
      </c>
      <c r="I2813" s="0" t="s">
        <v>9400</v>
      </c>
      <c r="J2813" s="0" t="s">
        <v>9401</v>
      </c>
      <c r="K2813" s="0" t="s">
        <v>9402</v>
      </c>
      <c r="L2813" s="0" t="str">
        <f aca="false">HYPERLINK("https://www.ncbi.nlm.nih.gov/nuccore/CP000058.1?report=graph&amp;tracks=[key:gene_model_track,Options:GeneOnly]&amp;mk=882524:882543|offset_17|00cc00,882546:882565|offset_39|444444,882570:882589|offset_63|444444,882599:882618|offset_92|444444&amp;v=882323:882818&amp;c=444444", "offset 17")</f>
        <v>offset 17</v>
      </c>
    </row>
    <row r="2814" customFormat="false" ht="12.8" hidden="false" customHeight="false" outlineLevel="0" collapsed="false">
      <c r="A2814" s="0" t="s">
        <v>12</v>
      </c>
      <c r="B2814" s="0" t="n">
        <v>882545</v>
      </c>
      <c r="C2814" s="0" t="n">
        <v>882565</v>
      </c>
      <c r="D2814" s="0" t="s">
        <v>9399</v>
      </c>
      <c r="E2814" s="0" t="s">
        <v>75</v>
      </c>
      <c r="F2814" s="0" t="s">
        <v>15</v>
      </c>
      <c r="G2814" s="0" t="s">
        <v>16</v>
      </c>
      <c r="H2814" s="0" t="n">
        <v>39</v>
      </c>
      <c r="I2814" s="0" t="s">
        <v>9403</v>
      </c>
      <c r="J2814" s="0" t="s">
        <v>9404</v>
      </c>
      <c r="K2814" s="0" t="s">
        <v>9405</v>
      </c>
      <c r="L2814" s="0" t="str">
        <f aca="false">HYPERLINK("https://www.ncbi.nlm.nih.gov/nuccore/CP000058.1?report=graph&amp;tracks=[key:gene_model_track,Options:GeneOnly]&amp;mk=882524:882543|offset_17|444444,882546:882565|offset_39|00cc00,882570:882589|offset_63|444444,882599:882618|offset_92|444444&amp;v=882323:882818&amp;c=444444", "offset 39")</f>
        <v>offset 39</v>
      </c>
    </row>
    <row r="2815" customFormat="false" ht="12.8" hidden="false" customHeight="false" outlineLevel="0" collapsed="false">
      <c r="A2815" s="0" t="s">
        <v>12</v>
      </c>
      <c r="B2815" s="0" t="n">
        <v>882569</v>
      </c>
      <c r="C2815" s="0" t="n">
        <v>882589</v>
      </c>
      <c r="D2815" s="0" t="s">
        <v>9399</v>
      </c>
      <c r="E2815" s="0" t="s">
        <v>75</v>
      </c>
      <c r="F2815" s="0" t="s">
        <v>15</v>
      </c>
      <c r="G2815" s="0" t="s">
        <v>32</v>
      </c>
      <c r="H2815" s="0" t="n">
        <v>63</v>
      </c>
      <c r="I2815" s="0" t="s">
        <v>9406</v>
      </c>
      <c r="J2815" s="0" t="s">
        <v>9407</v>
      </c>
      <c r="K2815" s="0" t="s">
        <v>9408</v>
      </c>
      <c r="L2815" s="0" t="str">
        <f aca="false">HYPERLINK("https://www.ncbi.nlm.nih.gov/nuccore/CP000058.1?report=graph&amp;tracks=[key:gene_model_track,Options:GeneOnly]&amp;mk=882524:882543|offset_17|444444,882546:882565|offset_39|444444,882570:882589|offset_63|00cc00,882599:882618|offset_92|444444&amp;v=882323:882818&amp;c=444444", "offset 63")</f>
        <v>offset 63</v>
      </c>
    </row>
    <row r="2816" customFormat="false" ht="12.8" hidden="false" customHeight="false" outlineLevel="0" collapsed="false">
      <c r="A2816" s="0" t="s">
        <v>12</v>
      </c>
      <c r="B2816" s="0" t="n">
        <v>882598</v>
      </c>
      <c r="C2816" s="0" t="n">
        <v>882618</v>
      </c>
      <c r="D2816" s="0" t="s">
        <v>9399</v>
      </c>
      <c r="E2816" s="0" t="s">
        <v>75</v>
      </c>
      <c r="F2816" s="0" t="s">
        <v>15</v>
      </c>
      <c r="G2816" s="0" t="s">
        <v>20</v>
      </c>
      <c r="H2816" s="0" t="n">
        <v>92</v>
      </c>
      <c r="I2816" s="0" t="s">
        <v>9409</v>
      </c>
      <c r="J2816" s="0" t="s">
        <v>9410</v>
      </c>
      <c r="K2816" s="0" t="s">
        <v>9411</v>
      </c>
      <c r="L2816" s="0" t="str">
        <f aca="false">HYPERLINK("https://www.ncbi.nlm.nih.gov/nuccore/CP000058.1?report=graph&amp;tracks=[key:gene_model_track,Options:GeneOnly]&amp;mk=882524:882543|offset_17|444444,882546:882565|offset_39|444444,882570:882589|offset_63|444444,882599:882618|offset_92|00cc00&amp;v=882323:882818&amp;c=444444", "offset 92")</f>
        <v>offset 92</v>
      </c>
    </row>
    <row r="2817" customFormat="false" ht="12.8" hidden="false" customHeight="false" outlineLevel="0" collapsed="false">
      <c r="A2817" s="0" t="s">
        <v>12</v>
      </c>
      <c r="B2817" s="0" t="n">
        <v>884453</v>
      </c>
      <c r="C2817" s="0" t="n">
        <v>884473</v>
      </c>
      <c r="D2817" s="0" t="s">
        <v>9412</v>
      </c>
      <c r="E2817" s="0" t="s">
        <v>75</v>
      </c>
      <c r="F2817" s="0" t="s">
        <v>15</v>
      </c>
      <c r="G2817" s="0" t="s">
        <v>16</v>
      </c>
      <c r="H2817" s="0" t="n">
        <v>9</v>
      </c>
      <c r="I2817" s="0" t="s">
        <v>9413</v>
      </c>
      <c r="J2817" s="0" t="s">
        <v>9414</v>
      </c>
      <c r="K2817" s="0" t="s">
        <v>9415</v>
      </c>
      <c r="L2817" s="0" t="str">
        <f aca="false">HYPERLINK("https://www.ncbi.nlm.nih.gov/nuccore/CP000058.1?report=graph&amp;tracks=[key:gene_model_track,Options:GeneOnly]&amp;mk=884454:884473|offset_9|00cc00,884476:884495|offset_31|444444,884501:884520|offset_56|444444,884526:884545|offset_81|444444&amp;v=884253:884745&amp;c=444444", "offset 9")</f>
        <v>offset 9</v>
      </c>
    </row>
    <row r="2818" customFormat="false" ht="12.8" hidden="false" customHeight="false" outlineLevel="0" collapsed="false">
      <c r="A2818" s="0" t="s">
        <v>12</v>
      </c>
      <c r="B2818" s="0" t="n">
        <v>884475</v>
      </c>
      <c r="C2818" s="0" t="n">
        <v>884495</v>
      </c>
      <c r="D2818" s="0" t="s">
        <v>9412</v>
      </c>
      <c r="E2818" s="0" t="s">
        <v>75</v>
      </c>
      <c r="F2818" s="0" t="s">
        <v>15</v>
      </c>
      <c r="G2818" s="0" t="s">
        <v>36</v>
      </c>
      <c r="H2818" s="0" t="n">
        <v>31</v>
      </c>
      <c r="I2818" s="0" t="s">
        <v>9416</v>
      </c>
      <c r="J2818" s="0" t="s">
        <v>9417</v>
      </c>
      <c r="K2818" s="0" t="s">
        <v>9418</v>
      </c>
      <c r="L2818" s="0" t="str">
        <f aca="false">HYPERLINK("https://www.ncbi.nlm.nih.gov/nuccore/CP000058.1?report=graph&amp;tracks=[key:gene_model_track,Options:GeneOnly]&amp;mk=884454:884473|offset_9|444444,884476:884495|offset_31|00cc00,884501:884520|offset_56|444444,884526:884545|offset_81|444444&amp;v=884253:884745&amp;c=444444", "offset 31")</f>
        <v>offset 31</v>
      </c>
    </row>
    <row r="2819" customFormat="false" ht="12.8" hidden="false" customHeight="false" outlineLevel="0" collapsed="false">
      <c r="A2819" s="0" t="s">
        <v>12</v>
      </c>
      <c r="B2819" s="0" t="n">
        <v>884500</v>
      </c>
      <c r="C2819" s="0" t="n">
        <v>884520</v>
      </c>
      <c r="D2819" s="0" t="s">
        <v>9412</v>
      </c>
      <c r="E2819" s="0" t="s">
        <v>75</v>
      </c>
      <c r="F2819" s="0" t="s">
        <v>15</v>
      </c>
      <c r="G2819" s="0" t="s">
        <v>36</v>
      </c>
      <c r="H2819" s="0" t="n">
        <v>56</v>
      </c>
      <c r="I2819" s="0" t="s">
        <v>9419</v>
      </c>
      <c r="J2819" s="0" t="s">
        <v>9420</v>
      </c>
      <c r="K2819" s="0" t="s">
        <v>9421</v>
      </c>
      <c r="L2819" s="0" t="str">
        <f aca="false">HYPERLINK("https://www.ncbi.nlm.nih.gov/nuccore/CP000058.1?report=graph&amp;tracks=[key:gene_model_track,Options:GeneOnly]&amp;mk=884454:884473|offset_9|444444,884476:884495|offset_31|444444,884501:884520|offset_56|00cc00,884526:884545|offset_81|444444&amp;v=884253:884745&amp;c=444444", "offset 56")</f>
        <v>offset 56</v>
      </c>
    </row>
    <row r="2820" customFormat="false" ht="12.8" hidden="false" customHeight="false" outlineLevel="0" collapsed="false">
      <c r="A2820" s="0" t="s">
        <v>12</v>
      </c>
      <c r="B2820" s="0" t="n">
        <v>884525</v>
      </c>
      <c r="C2820" s="0" t="n">
        <v>884545</v>
      </c>
      <c r="D2820" s="0" t="s">
        <v>9412</v>
      </c>
      <c r="E2820" s="0" t="s">
        <v>75</v>
      </c>
      <c r="F2820" s="0" t="s">
        <v>15</v>
      </c>
      <c r="G2820" s="0" t="s">
        <v>16</v>
      </c>
      <c r="H2820" s="0" t="n">
        <v>81</v>
      </c>
      <c r="I2820" s="0" t="s">
        <v>9422</v>
      </c>
      <c r="J2820" s="0" t="s">
        <v>9423</v>
      </c>
      <c r="K2820" s="0" t="s">
        <v>9424</v>
      </c>
      <c r="L2820" s="0" t="str">
        <f aca="false">HYPERLINK("https://www.ncbi.nlm.nih.gov/nuccore/CP000058.1?report=graph&amp;tracks=[key:gene_model_track,Options:GeneOnly]&amp;mk=884454:884473|offset_9|444444,884476:884495|offset_31|444444,884501:884520|offset_56|444444,884526:884545|offset_81|00cc00&amp;v=884253:884745&amp;c=444444", "offset 81")</f>
        <v>offset 81</v>
      </c>
    </row>
    <row r="2821" customFormat="false" ht="12.8" hidden="false" customHeight="false" outlineLevel="0" collapsed="false">
      <c r="A2821" s="0" t="s">
        <v>12</v>
      </c>
      <c r="B2821" s="0" t="n">
        <v>887404</v>
      </c>
      <c r="C2821" s="0" t="n">
        <v>887424</v>
      </c>
      <c r="D2821" s="0" t="s">
        <v>9425</v>
      </c>
      <c r="E2821" s="0" t="s">
        <v>75</v>
      </c>
      <c r="F2821" s="0" t="s">
        <v>15</v>
      </c>
      <c r="G2821" s="0" t="s">
        <v>36</v>
      </c>
      <c r="H2821" s="0" t="n">
        <v>69</v>
      </c>
      <c r="I2821" s="0" t="s">
        <v>9426</v>
      </c>
      <c r="J2821" s="0" t="s">
        <v>9427</v>
      </c>
      <c r="K2821" s="0" t="s">
        <v>9428</v>
      </c>
      <c r="L2821" s="0" t="str">
        <f aca="false">HYPERLINK("https://www.ncbi.nlm.nih.gov/nuccore/CP000058.1?report=graph&amp;tracks=[key:gene_model_track,Options:GeneOnly]&amp;mk=887405:887424|offset_69|00cc00,887430:887449|offset_94|444444,887459:887478|offset_123|444444,887497:887516|offset_161|444444&amp;v=887204:887716&amp;c=444444", "offset 69")</f>
        <v>offset 69</v>
      </c>
    </row>
    <row r="2822" customFormat="false" ht="12.8" hidden="false" customHeight="false" outlineLevel="0" collapsed="false">
      <c r="A2822" s="0" t="s">
        <v>12</v>
      </c>
      <c r="B2822" s="0" t="n">
        <v>887429</v>
      </c>
      <c r="C2822" s="0" t="n">
        <v>887449</v>
      </c>
      <c r="D2822" s="0" t="s">
        <v>9425</v>
      </c>
      <c r="E2822" s="0" t="s">
        <v>75</v>
      </c>
      <c r="F2822" s="0" t="s">
        <v>15</v>
      </c>
      <c r="G2822" s="0" t="s">
        <v>16</v>
      </c>
      <c r="H2822" s="0" t="n">
        <v>94</v>
      </c>
      <c r="I2822" s="0" t="s">
        <v>9429</v>
      </c>
      <c r="J2822" s="0" t="s">
        <v>9430</v>
      </c>
      <c r="K2822" s="0" t="s">
        <v>9431</v>
      </c>
      <c r="L2822" s="0" t="str">
        <f aca="false">HYPERLINK("https://www.ncbi.nlm.nih.gov/nuccore/CP000058.1?report=graph&amp;tracks=[key:gene_model_track,Options:GeneOnly]&amp;mk=887405:887424|offset_69|444444,887430:887449|offset_94|00cc00,887459:887478|offset_123|444444,887497:887516|offset_161|444444&amp;v=887204:887716&amp;c=444444", "offset 94")</f>
        <v>offset 94</v>
      </c>
    </row>
    <row r="2823" customFormat="false" ht="12.8" hidden="false" customHeight="false" outlineLevel="0" collapsed="false">
      <c r="A2823" s="0" t="s">
        <v>12</v>
      </c>
      <c r="B2823" s="0" t="n">
        <v>887458</v>
      </c>
      <c r="C2823" s="0" t="n">
        <v>887478</v>
      </c>
      <c r="D2823" s="0" t="s">
        <v>9425</v>
      </c>
      <c r="E2823" s="0" t="s">
        <v>75</v>
      </c>
      <c r="F2823" s="0" t="s">
        <v>15</v>
      </c>
      <c r="G2823" s="0" t="s">
        <v>36</v>
      </c>
      <c r="H2823" s="0" t="n">
        <v>123</v>
      </c>
      <c r="I2823" s="0" t="s">
        <v>9432</v>
      </c>
      <c r="J2823" s="0" t="s">
        <v>9433</v>
      </c>
      <c r="K2823" s="0" t="s">
        <v>9434</v>
      </c>
      <c r="L2823" s="0" t="str">
        <f aca="false">HYPERLINK("https://www.ncbi.nlm.nih.gov/nuccore/CP000058.1?report=graph&amp;tracks=[key:gene_model_track,Options:GeneOnly]&amp;mk=887405:887424|offset_69|444444,887430:887449|offset_94|444444,887459:887478|offset_123|00cc00,887497:887516|offset_161|444444&amp;v=887204:887716&amp;c=444444", "offset 123")</f>
        <v>offset 123</v>
      </c>
    </row>
    <row r="2824" customFormat="false" ht="12.8" hidden="false" customHeight="false" outlineLevel="0" collapsed="false">
      <c r="A2824" s="0" t="s">
        <v>12</v>
      </c>
      <c r="B2824" s="0" t="n">
        <v>887496</v>
      </c>
      <c r="C2824" s="0" t="n">
        <v>887516</v>
      </c>
      <c r="D2824" s="0" t="s">
        <v>9425</v>
      </c>
      <c r="E2824" s="0" t="s">
        <v>75</v>
      </c>
      <c r="F2824" s="0" t="s">
        <v>15</v>
      </c>
      <c r="G2824" s="0" t="s">
        <v>32</v>
      </c>
      <c r="H2824" s="0" t="n">
        <v>161</v>
      </c>
      <c r="I2824" s="0" t="s">
        <v>9435</v>
      </c>
      <c r="J2824" s="0" t="s">
        <v>9436</v>
      </c>
      <c r="K2824" s="0" t="s">
        <v>9437</v>
      </c>
      <c r="L2824" s="0" t="str">
        <f aca="false">HYPERLINK("https://www.ncbi.nlm.nih.gov/nuccore/CP000058.1?report=graph&amp;tracks=[key:gene_model_track,Options:GeneOnly]&amp;mk=887405:887424|offset_69|444444,887430:887449|offset_94|444444,887459:887478|offset_123|444444,887497:887516|offset_161|00cc00&amp;v=887204:887716&amp;c=444444", "offset 161")</f>
        <v>offset 161</v>
      </c>
    </row>
    <row r="2825" customFormat="false" ht="12.8" hidden="false" customHeight="false" outlineLevel="0" collapsed="false">
      <c r="A2825" s="0" t="s">
        <v>12</v>
      </c>
      <c r="B2825" s="0" t="n">
        <v>887899</v>
      </c>
      <c r="C2825" s="0" t="n">
        <v>887919</v>
      </c>
      <c r="D2825" s="0" t="s">
        <v>9438</v>
      </c>
      <c r="E2825" s="0" t="s">
        <v>75</v>
      </c>
      <c r="F2825" s="0" t="s">
        <v>15</v>
      </c>
      <c r="G2825" s="0" t="s">
        <v>32</v>
      </c>
      <c r="H2825" s="0" t="n">
        <v>22</v>
      </c>
      <c r="I2825" s="0" t="s">
        <v>9439</v>
      </c>
      <c r="J2825" s="0" t="s">
        <v>9440</v>
      </c>
      <c r="K2825" s="0" t="s">
        <v>9441</v>
      </c>
      <c r="L2825" s="0" t="str">
        <f aca="false">HYPERLINK("https://www.ncbi.nlm.nih.gov/nuccore/CP000058.1?report=graph&amp;tracks=[key:gene_model_track,Options:GeneOnly]&amp;mk=887900:887919|offset_22|00cc00,887937:887956|offset_59|444444,887963:887982|offset_85|444444,887985:888004|offset_107|444444&amp;v=887699:888204&amp;c=444444", "offset 22")</f>
        <v>offset 22</v>
      </c>
    </row>
    <row r="2826" customFormat="false" ht="12.8" hidden="false" customHeight="false" outlineLevel="0" collapsed="false">
      <c r="A2826" s="0" t="s">
        <v>12</v>
      </c>
      <c r="B2826" s="0" t="n">
        <v>887936</v>
      </c>
      <c r="C2826" s="0" t="n">
        <v>887956</v>
      </c>
      <c r="D2826" s="0" t="s">
        <v>9438</v>
      </c>
      <c r="E2826" s="0" t="s">
        <v>75</v>
      </c>
      <c r="F2826" s="0" t="s">
        <v>15</v>
      </c>
      <c r="G2826" s="0" t="s">
        <v>32</v>
      </c>
      <c r="H2826" s="0" t="n">
        <v>59</v>
      </c>
      <c r="I2826" s="0" t="s">
        <v>9442</v>
      </c>
      <c r="J2826" s="0" t="s">
        <v>9443</v>
      </c>
      <c r="K2826" s="0" t="s">
        <v>9444</v>
      </c>
      <c r="L2826" s="0" t="str">
        <f aca="false">HYPERLINK("https://www.ncbi.nlm.nih.gov/nuccore/CP000058.1?report=graph&amp;tracks=[key:gene_model_track,Options:GeneOnly]&amp;mk=887900:887919|offset_22|444444,887937:887956|offset_59|00cc00,887963:887982|offset_85|444444,887985:888004|offset_107|444444&amp;v=887699:888204&amp;c=444444", "offset 59")</f>
        <v>offset 59</v>
      </c>
    </row>
    <row r="2827" customFormat="false" ht="12.8" hidden="false" customHeight="false" outlineLevel="0" collapsed="false">
      <c r="A2827" s="0" t="s">
        <v>12</v>
      </c>
      <c r="B2827" s="0" t="n">
        <v>887962</v>
      </c>
      <c r="C2827" s="0" t="n">
        <v>887982</v>
      </c>
      <c r="D2827" s="0" t="s">
        <v>9438</v>
      </c>
      <c r="E2827" s="0" t="s">
        <v>75</v>
      </c>
      <c r="F2827" s="0" t="s">
        <v>15</v>
      </c>
      <c r="G2827" s="0" t="s">
        <v>16</v>
      </c>
      <c r="H2827" s="0" t="n">
        <v>85</v>
      </c>
      <c r="I2827" s="0" t="s">
        <v>9445</v>
      </c>
      <c r="J2827" s="0" t="s">
        <v>9446</v>
      </c>
      <c r="K2827" s="0" t="s">
        <v>9447</v>
      </c>
      <c r="L2827" s="0" t="str">
        <f aca="false">HYPERLINK("https://www.ncbi.nlm.nih.gov/nuccore/CP000058.1?report=graph&amp;tracks=[key:gene_model_track,Options:GeneOnly]&amp;mk=887900:887919|offset_22|444444,887937:887956|offset_59|444444,887963:887982|offset_85|00cc00,887985:888004|offset_107|444444&amp;v=887699:888204&amp;c=444444", "offset 85")</f>
        <v>offset 85</v>
      </c>
    </row>
    <row r="2828" customFormat="false" ht="12.8" hidden="false" customHeight="false" outlineLevel="0" collapsed="false">
      <c r="A2828" s="0" t="s">
        <v>12</v>
      </c>
      <c r="B2828" s="0" t="n">
        <v>887984</v>
      </c>
      <c r="C2828" s="0" t="n">
        <v>888004</v>
      </c>
      <c r="D2828" s="0" t="s">
        <v>9438</v>
      </c>
      <c r="E2828" s="0" t="s">
        <v>75</v>
      </c>
      <c r="F2828" s="0" t="s">
        <v>15</v>
      </c>
      <c r="G2828" s="0" t="s">
        <v>16</v>
      </c>
      <c r="H2828" s="0" t="n">
        <v>107</v>
      </c>
      <c r="I2828" s="0" t="s">
        <v>9448</v>
      </c>
      <c r="J2828" s="0" t="s">
        <v>9449</v>
      </c>
      <c r="K2828" s="0" t="s">
        <v>9450</v>
      </c>
      <c r="L2828" s="0" t="str">
        <f aca="false">HYPERLINK("https://www.ncbi.nlm.nih.gov/nuccore/CP000058.1?report=graph&amp;tracks=[key:gene_model_track,Options:GeneOnly]&amp;mk=887900:887919|offset_22|444444,887937:887956|offset_59|444444,887963:887982|offset_85|444444,887985:888004|offset_107|00cc00&amp;v=887699:888204&amp;c=444444", "offset 107")</f>
        <v>offset 107</v>
      </c>
    </row>
    <row r="2829" customFormat="false" ht="12.8" hidden="false" customHeight="false" outlineLevel="0" collapsed="false">
      <c r="A2829" s="0" t="s">
        <v>12</v>
      </c>
      <c r="B2829" s="0" t="n">
        <v>889740</v>
      </c>
      <c r="C2829" s="0" t="n">
        <v>889760</v>
      </c>
      <c r="D2829" s="0" t="s">
        <v>9451</v>
      </c>
      <c r="E2829" s="0" t="s">
        <v>75</v>
      </c>
      <c r="F2829" s="0" t="s">
        <v>90</v>
      </c>
      <c r="G2829" s="0" t="s">
        <v>32</v>
      </c>
      <c r="H2829" s="0" t="n">
        <v>71</v>
      </c>
      <c r="I2829" s="0" t="s">
        <v>9452</v>
      </c>
      <c r="J2829" s="0" t="s">
        <v>9453</v>
      </c>
      <c r="K2829" s="0" t="s">
        <v>9454</v>
      </c>
      <c r="L2829" s="0" t="str">
        <f aca="false">HYPERLINK("https://www.ncbi.nlm.nih.gov/nuccore/CP000058.1?report=graph&amp;tracks=[key:gene_model_track,Options:GeneOnly]&amp;mk=889741:889760|offset_71|00cc00,889718:889737|offset_94|444444,889687:889706|offset_125|444444,889664:889683|offset_148|444444&amp;v=889540:889883&amp;c=444444", "offset 71")</f>
        <v>offset 71</v>
      </c>
    </row>
    <row r="2830" customFormat="false" ht="12.8" hidden="false" customHeight="false" outlineLevel="0" collapsed="false">
      <c r="A2830" s="0" t="s">
        <v>12</v>
      </c>
      <c r="B2830" s="0" t="n">
        <v>889717</v>
      </c>
      <c r="C2830" s="0" t="n">
        <v>889737</v>
      </c>
      <c r="D2830" s="0" t="s">
        <v>9451</v>
      </c>
      <c r="E2830" s="0" t="s">
        <v>75</v>
      </c>
      <c r="F2830" s="0" t="s">
        <v>90</v>
      </c>
      <c r="G2830" s="0" t="s">
        <v>16</v>
      </c>
      <c r="H2830" s="0" t="n">
        <v>94</v>
      </c>
      <c r="I2830" s="0" t="s">
        <v>9455</v>
      </c>
      <c r="J2830" s="0" t="s">
        <v>9456</v>
      </c>
      <c r="K2830" s="0" t="s">
        <v>9457</v>
      </c>
      <c r="L2830" s="0" t="str">
        <f aca="false">HYPERLINK("https://www.ncbi.nlm.nih.gov/nuccore/CP000058.1?report=graph&amp;tracks=[key:gene_model_track,Options:GeneOnly]&amp;mk=889741:889760|offset_71|444444,889718:889737|offset_94|00cc00,889687:889706|offset_125|444444,889664:889683|offset_148|444444&amp;v=889540:889883&amp;c=444444", "offset 94")</f>
        <v>offset 94</v>
      </c>
    </row>
    <row r="2831" customFormat="false" ht="12.8" hidden="false" customHeight="false" outlineLevel="0" collapsed="false">
      <c r="A2831" s="0" t="s">
        <v>12</v>
      </c>
      <c r="B2831" s="0" t="n">
        <v>889686</v>
      </c>
      <c r="C2831" s="0" t="n">
        <v>889706</v>
      </c>
      <c r="D2831" s="0" t="s">
        <v>9451</v>
      </c>
      <c r="E2831" s="0" t="s">
        <v>75</v>
      </c>
      <c r="F2831" s="0" t="s">
        <v>90</v>
      </c>
      <c r="G2831" s="0" t="s">
        <v>20</v>
      </c>
      <c r="H2831" s="0" t="n">
        <v>125</v>
      </c>
      <c r="I2831" s="0" t="s">
        <v>9458</v>
      </c>
      <c r="J2831" s="0" t="s">
        <v>9459</v>
      </c>
      <c r="K2831" s="0" t="s">
        <v>9460</v>
      </c>
      <c r="L2831" s="0" t="str">
        <f aca="false">HYPERLINK("https://www.ncbi.nlm.nih.gov/nuccore/CP000058.1?report=graph&amp;tracks=[key:gene_model_track,Options:GeneOnly]&amp;mk=889741:889760|offset_71|444444,889718:889737|offset_94|444444,889687:889706|offset_125|00cc00,889664:889683|offset_148|444444&amp;v=889540:889883&amp;c=444444", "offset 125")</f>
        <v>offset 125</v>
      </c>
    </row>
    <row r="2832" customFormat="false" ht="12.8" hidden="false" customHeight="false" outlineLevel="0" collapsed="false">
      <c r="A2832" s="0" t="s">
        <v>12</v>
      </c>
      <c r="B2832" s="0" t="n">
        <v>889663</v>
      </c>
      <c r="C2832" s="0" t="n">
        <v>889683</v>
      </c>
      <c r="D2832" s="0" t="s">
        <v>9451</v>
      </c>
      <c r="E2832" s="0" t="s">
        <v>75</v>
      </c>
      <c r="F2832" s="0" t="s">
        <v>90</v>
      </c>
      <c r="G2832" s="0" t="s">
        <v>16</v>
      </c>
      <c r="H2832" s="0" t="n">
        <v>148</v>
      </c>
      <c r="I2832" s="0" t="s">
        <v>9461</v>
      </c>
      <c r="J2832" s="0" t="s">
        <v>9462</v>
      </c>
      <c r="K2832" s="0" t="s">
        <v>9463</v>
      </c>
      <c r="L2832" s="0" t="str">
        <f aca="false">HYPERLINK("https://www.ncbi.nlm.nih.gov/nuccore/CP000058.1?report=graph&amp;tracks=[key:gene_model_track,Options:GeneOnly]&amp;mk=889741:889760|offset_71|444444,889718:889737|offset_94|444444,889687:889706|offset_125|444444,889664:889683|offset_148|00cc00&amp;v=889540:889883&amp;c=444444", "offset 148")</f>
        <v>offset 148</v>
      </c>
    </row>
    <row r="2833" customFormat="false" ht="12.8" hidden="false" customHeight="false" outlineLevel="0" collapsed="false">
      <c r="A2833" s="0" t="s">
        <v>12</v>
      </c>
      <c r="B2833" s="0" t="n">
        <v>890808</v>
      </c>
      <c r="C2833" s="0" t="n">
        <v>890828</v>
      </c>
      <c r="D2833" s="0" t="s">
        <v>9464</v>
      </c>
      <c r="E2833" s="0" t="s">
        <v>75</v>
      </c>
      <c r="F2833" s="0" t="s">
        <v>90</v>
      </c>
      <c r="G2833" s="0" t="s">
        <v>16</v>
      </c>
      <c r="H2833" s="0" t="n">
        <v>12</v>
      </c>
      <c r="I2833" s="0" t="s">
        <v>9465</v>
      </c>
      <c r="J2833" s="0" t="s">
        <v>9466</v>
      </c>
      <c r="K2833" s="0" t="s">
        <v>9467</v>
      </c>
      <c r="L2833" s="0" t="str">
        <f aca="false">HYPERLINK("https://www.ncbi.nlm.nih.gov/nuccore/CP000058.1?report=graph&amp;tracks=[key:gene_model_track,Options:GeneOnly]&amp;mk=890809:890828|offset_12|00cc00,890781:890800|offset_40|444444,890720:890739|offset_101|444444,890694:890713|offset_127|444444&amp;v=890608:890913&amp;c=444444", "offset 12")</f>
        <v>offset 12</v>
      </c>
    </row>
    <row r="2834" customFormat="false" ht="12.8" hidden="false" customHeight="false" outlineLevel="0" collapsed="false">
      <c r="A2834" s="0" t="s">
        <v>12</v>
      </c>
      <c r="B2834" s="0" t="n">
        <v>890780</v>
      </c>
      <c r="C2834" s="0" t="n">
        <v>890800</v>
      </c>
      <c r="D2834" s="0" t="s">
        <v>9464</v>
      </c>
      <c r="E2834" s="0" t="s">
        <v>75</v>
      </c>
      <c r="F2834" s="0" t="s">
        <v>90</v>
      </c>
      <c r="G2834" s="0" t="s">
        <v>16</v>
      </c>
      <c r="H2834" s="0" t="n">
        <v>40</v>
      </c>
      <c r="I2834" s="0" t="s">
        <v>9468</v>
      </c>
      <c r="J2834" s="0" t="s">
        <v>9469</v>
      </c>
      <c r="K2834" s="0" t="s">
        <v>9470</v>
      </c>
      <c r="L2834" s="0" t="str">
        <f aca="false">HYPERLINK("https://www.ncbi.nlm.nih.gov/nuccore/CP000058.1?report=graph&amp;tracks=[key:gene_model_track,Options:GeneOnly]&amp;mk=890809:890828|offset_12|444444,890781:890800|offset_40|00cc00,890720:890739|offset_101|444444,890694:890713|offset_127|444444&amp;v=890608:890913&amp;c=444444", "offset 40")</f>
        <v>offset 40</v>
      </c>
    </row>
    <row r="2835" customFormat="false" ht="12.8" hidden="false" customHeight="false" outlineLevel="0" collapsed="false">
      <c r="A2835" s="0" t="s">
        <v>12</v>
      </c>
      <c r="B2835" s="0" t="n">
        <v>890719</v>
      </c>
      <c r="C2835" s="0" t="n">
        <v>890739</v>
      </c>
      <c r="D2835" s="0" t="s">
        <v>9464</v>
      </c>
      <c r="E2835" s="0" t="s">
        <v>75</v>
      </c>
      <c r="F2835" s="0" t="s">
        <v>90</v>
      </c>
      <c r="G2835" s="0" t="s">
        <v>36</v>
      </c>
      <c r="H2835" s="0" t="n">
        <v>101</v>
      </c>
      <c r="I2835" s="0" t="s">
        <v>9471</v>
      </c>
      <c r="J2835" s="0" t="s">
        <v>9472</v>
      </c>
      <c r="K2835" s="0" t="s">
        <v>9473</v>
      </c>
      <c r="L2835" s="0" t="str">
        <f aca="false">HYPERLINK("https://www.ncbi.nlm.nih.gov/nuccore/CP000058.1?report=graph&amp;tracks=[key:gene_model_track,Options:GeneOnly]&amp;mk=890809:890828|offset_12|444444,890781:890800|offset_40|444444,890720:890739|offset_101|00cc00,890694:890713|offset_127|444444&amp;v=890608:890913&amp;c=444444", "offset 101")</f>
        <v>offset 101</v>
      </c>
    </row>
    <row r="2836" customFormat="false" ht="12.8" hidden="false" customHeight="false" outlineLevel="0" collapsed="false">
      <c r="A2836" s="0" t="s">
        <v>12</v>
      </c>
      <c r="B2836" s="0" t="n">
        <v>890693</v>
      </c>
      <c r="C2836" s="0" t="n">
        <v>890713</v>
      </c>
      <c r="D2836" s="0" t="s">
        <v>9464</v>
      </c>
      <c r="E2836" s="0" t="s">
        <v>75</v>
      </c>
      <c r="F2836" s="0" t="s">
        <v>90</v>
      </c>
      <c r="G2836" s="0" t="s">
        <v>20</v>
      </c>
      <c r="H2836" s="0" t="n">
        <v>127</v>
      </c>
      <c r="I2836" s="0" t="s">
        <v>9474</v>
      </c>
      <c r="J2836" s="0" t="s">
        <v>9475</v>
      </c>
      <c r="K2836" s="0" t="s">
        <v>9476</v>
      </c>
      <c r="L2836" s="0" t="str">
        <f aca="false">HYPERLINK("https://www.ncbi.nlm.nih.gov/nuccore/CP000058.1?report=graph&amp;tracks=[key:gene_model_track,Options:GeneOnly]&amp;mk=890809:890828|offset_12|444444,890781:890800|offset_40|444444,890720:890739|offset_101|444444,890694:890713|offset_127|00cc00&amp;v=890608:890913&amp;c=444444", "offset 127")</f>
        <v>offset 127</v>
      </c>
    </row>
    <row r="2837" customFormat="false" ht="12.8" hidden="false" customHeight="false" outlineLevel="0" collapsed="false">
      <c r="A2837" s="0" t="s">
        <v>12</v>
      </c>
      <c r="B2837" s="0" t="n">
        <v>891546</v>
      </c>
      <c r="C2837" s="0" t="n">
        <v>891566</v>
      </c>
      <c r="D2837" s="0" t="s">
        <v>9477</v>
      </c>
      <c r="E2837" s="0" t="s">
        <v>75</v>
      </c>
      <c r="F2837" s="0" t="s">
        <v>90</v>
      </c>
      <c r="G2837" s="0" t="s">
        <v>36</v>
      </c>
      <c r="H2837" s="0" t="n">
        <v>9</v>
      </c>
      <c r="I2837" s="0" t="s">
        <v>9478</v>
      </c>
      <c r="J2837" s="0" t="s">
        <v>9479</v>
      </c>
      <c r="K2837" s="0" t="s">
        <v>9480</v>
      </c>
      <c r="L2837" s="0" t="str">
        <f aca="false">HYPERLINK("https://www.ncbi.nlm.nih.gov/nuccore/CP000058.1?report=graph&amp;tracks=[key:gene_model_track,Options:GeneOnly]&amp;mk=891547:891566|offset_9|00cc00,891522:891541|offset_34|444444,891500:891519|offset_56|444444,891480:891499|offset_76|444444&amp;v=891346:891699&amp;c=444444", "offset 9")</f>
        <v>offset 9</v>
      </c>
    </row>
    <row r="2838" customFormat="false" ht="12.8" hidden="false" customHeight="false" outlineLevel="0" collapsed="false">
      <c r="A2838" s="0" t="s">
        <v>12</v>
      </c>
      <c r="B2838" s="0" t="n">
        <v>891521</v>
      </c>
      <c r="C2838" s="0" t="n">
        <v>891541</v>
      </c>
      <c r="D2838" s="0" t="s">
        <v>9477</v>
      </c>
      <c r="E2838" s="0" t="s">
        <v>75</v>
      </c>
      <c r="F2838" s="0" t="s">
        <v>90</v>
      </c>
      <c r="G2838" s="0" t="s">
        <v>32</v>
      </c>
      <c r="H2838" s="0" t="n">
        <v>34</v>
      </c>
      <c r="I2838" s="0" t="s">
        <v>9481</v>
      </c>
      <c r="J2838" s="0" t="s">
        <v>9482</v>
      </c>
      <c r="K2838" s="0" t="s">
        <v>9483</v>
      </c>
      <c r="L2838" s="0" t="str">
        <f aca="false">HYPERLINK("https://www.ncbi.nlm.nih.gov/nuccore/CP000058.1?report=graph&amp;tracks=[key:gene_model_track,Options:GeneOnly]&amp;mk=891547:891566|offset_9|444444,891522:891541|offset_34|00cc00,891500:891519|offset_56|444444,891480:891499|offset_76|444444&amp;v=891346:891699&amp;c=444444", "offset 34")</f>
        <v>offset 34</v>
      </c>
    </row>
    <row r="2839" customFormat="false" ht="12.8" hidden="false" customHeight="false" outlineLevel="0" collapsed="false">
      <c r="A2839" s="0" t="s">
        <v>12</v>
      </c>
      <c r="B2839" s="0" t="n">
        <v>891499</v>
      </c>
      <c r="C2839" s="0" t="n">
        <v>891519</v>
      </c>
      <c r="D2839" s="0" t="s">
        <v>9477</v>
      </c>
      <c r="E2839" s="0" t="s">
        <v>75</v>
      </c>
      <c r="F2839" s="0" t="s">
        <v>90</v>
      </c>
      <c r="G2839" s="0" t="s">
        <v>20</v>
      </c>
      <c r="H2839" s="0" t="n">
        <v>56</v>
      </c>
      <c r="I2839" s="0" t="s">
        <v>9484</v>
      </c>
      <c r="J2839" s="0" t="s">
        <v>9485</v>
      </c>
      <c r="K2839" s="0" t="s">
        <v>9486</v>
      </c>
      <c r="L2839" s="0" t="str">
        <f aca="false">HYPERLINK("https://www.ncbi.nlm.nih.gov/nuccore/CP000058.1?report=graph&amp;tracks=[key:gene_model_track,Options:GeneOnly]&amp;mk=891547:891566|offset_9|444444,891522:891541|offset_34|444444,891500:891519|offset_56|00cc00,891480:891499|offset_76|444444&amp;v=891346:891699&amp;c=444444", "offset 56")</f>
        <v>offset 56</v>
      </c>
    </row>
    <row r="2840" customFormat="false" ht="12.8" hidden="false" customHeight="false" outlineLevel="0" collapsed="false">
      <c r="A2840" s="0" t="s">
        <v>12</v>
      </c>
      <c r="B2840" s="0" t="n">
        <v>891479</v>
      </c>
      <c r="C2840" s="0" t="n">
        <v>891499</v>
      </c>
      <c r="D2840" s="0" t="s">
        <v>9477</v>
      </c>
      <c r="E2840" s="0" t="s">
        <v>75</v>
      </c>
      <c r="F2840" s="0" t="s">
        <v>90</v>
      </c>
      <c r="G2840" s="0" t="s">
        <v>36</v>
      </c>
      <c r="H2840" s="0" t="n">
        <v>76</v>
      </c>
      <c r="I2840" s="0" t="s">
        <v>9487</v>
      </c>
      <c r="J2840" s="0" t="s">
        <v>9488</v>
      </c>
      <c r="K2840" s="0" t="s">
        <v>9489</v>
      </c>
      <c r="L2840" s="0" t="str">
        <f aca="false">HYPERLINK("https://www.ncbi.nlm.nih.gov/nuccore/CP000058.1?report=graph&amp;tracks=[key:gene_model_track,Options:GeneOnly]&amp;mk=891547:891566|offset_9|444444,891522:891541|offset_34|444444,891500:891519|offset_56|444444,891480:891499|offset_76|00cc00&amp;v=891346:891699&amp;c=444444", "offset 76")</f>
        <v>offset 76</v>
      </c>
    </row>
    <row r="2841" customFormat="false" ht="12.8" hidden="false" customHeight="false" outlineLevel="0" collapsed="false">
      <c r="A2841" s="0" t="s">
        <v>12</v>
      </c>
      <c r="B2841" s="0" t="n">
        <v>892505</v>
      </c>
      <c r="C2841" s="0" t="n">
        <v>892525</v>
      </c>
      <c r="D2841" s="0" t="s">
        <v>9490</v>
      </c>
      <c r="E2841" s="0" t="s">
        <v>75</v>
      </c>
      <c r="F2841" s="0" t="s">
        <v>90</v>
      </c>
      <c r="G2841" s="0" t="s">
        <v>16</v>
      </c>
      <c r="H2841" s="0" t="n">
        <v>37</v>
      </c>
      <c r="I2841" s="0" t="s">
        <v>9491</v>
      </c>
      <c r="J2841" s="0" t="s">
        <v>9492</v>
      </c>
      <c r="K2841" s="0" t="s">
        <v>9493</v>
      </c>
      <c r="L2841" s="0" t="str">
        <f aca="false">HYPERLINK("https://www.ncbi.nlm.nih.gov/nuccore/CP000058.1?report=graph&amp;tracks=[key:gene_model_track,Options:GeneOnly]&amp;mk=892506:892525|offset_37|00cc00,892454:892473|offset_89|444444,892426:892445|offset_117|444444,892371:892390|offset_172|444444&amp;v=892305:892590&amp;c=444444", "offset 37")</f>
        <v>offset 37</v>
      </c>
    </row>
    <row r="2842" customFormat="false" ht="12.8" hidden="false" customHeight="false" outlineLevel="0" collapsed="false">
      <c r="A2842" s="0" t="s">
        <v>12</v>
      </c>
      <c r="B2842" s="0" t="n">
        <v>892453</v>
      </c>
      <c r="C2842" s="0" t="n">
        <v>892473</v>
      </c>
      <c r="D2842" s="0" t="s">
        <v>9490</v>
      </c>
      <c r="E2842" s="0" t="s">
        <v>75</v>
      </c>
      <c r="F2842" s="0" t="s">
        <v>90</v>
      </c>
      <c r="G2842" s="0" t="s">
        <v>36</v>
      </c>
      <c r="H2842" s="0" t="n">
        <v>89</v>
      </c>
      <c r="I2842" s="0" t="s">
        <v>9494</v>
      </c>
      <c r="J2842" s="0" t="s">
        <v>9495</v>
      </c>
      <c r="K2842" s="0" t="s">
        <v>9496</v>
      </c>
      <c r="L2842" s="0" t="str">
        <f aca="false">HYPERLINK("https://www.ncbi.nlm.nih.gov/nuccore/CP000058.1?report=graph&amp;tracks=[key:gene_model_track,Options:GeneOnly]&amp;mk=892506:892525|offset_37|444444,892454:892473|offset_89|00cc00,892426:892445|offset_117|444444,892371:892390|offset_172|444444&amp;v=892305:892590&amp;c=444444", "offset 89")</f>
        <v>offset 89</v>
      </c>
    </row>
    <row r="2843" customFormat="false" ht="12.8" hidden="false" customHeight="false" outlineLevel="0" collapsed="false">
      <c r="A2843" s="0" t="s">
        <v>12</v>
      </c>
      <c r="B2843" s="0" t="n">
        <v>892425</v>
      </c>
      <c r="C2843" s="0" t="n">
        <v>892445</v>
      </c>
      <c r="D2843" s="0" t="s">
        <v>9490</v>
      </c>
      <c r="E2843" s="0" t="s">
        <v>75</v>
      </c>
      <c r="F2843" s="0" t="s">
        <v>90</v>
      </c>
      <c r="G2843" s="0" t="s">
        <v>32</v>
      </c>
      <c r="H2843" s="0" t="n">
        <v>117</v>
      </c>
      <c r="I2843" s="0" t="s">
        <v>9497</v>
      </c>
      <c r="J2843" s="0" t="s">
        <v>9498</v>
      </c>
      <c r="K2843" s="0" t="s">
        <v>9499</v>
      </c>
      <c r="L2843" s="0" t="str">
        <f aca="false">HYPERLINK("https://www.ncbi.nlm.nih.gov/nuccore/CP000058.1?report=graph&amp;tracks=[key:gene_model_track,Options:GeneOnly]&amp;mk=892506:892525|offset_37|444444,892454:892473|offset_89|444444,892426:892445|offset_117|00cc00,892371:892390|offset_172|444444&amp;v=892305:892590&amp;c=444444", "offset 117")</f>
        <v>offset 117</v>
      </c>
    </row>
    <row r="2844" customFormat="false" ht="12.8" hidden="false" customHeight="false" outlineLevel="0" collapsed="false">
      <c r="A2844" s="0" t="s">
        <v>12</v>
      </c>
      <c r="B2844" s="0" t="n">
        <v>892370</v>
      </c>
      <c r="C2844" s="0" t="n">
        <v>892390</v>
      </c>
      <c r="D2844" s="0" t="s">
        <v>9490</v>
      </c>
      <c r="E2844" s="0" t="s">
        <v>75</v>
      </c>
      <c r="F2844" s="0" t="s">
        <v>90</v>
      </c>
      <c r="G2844" s="0" t="s">
        <v>20</v>
      </c>
      <c r="H2844" s="0" t="n">
        <v>172</v>
      </c>
      <c r="I2844" s="0" t="s">
        <v>9500</v>
      </c>
      <c r="J2844" s="0" t="s">
        <v>9501</v>
      </c>
      <c r="K2844" s="0" t="s">
        <v>9502</v>
      </c>
      <c r="L2844" s="0" t="str">
        <f aca="false">HYPERLINK("https://www.ncbi.nlm.nih.gov/nuccore/CP000058.1?report=graph&amp;tracks=[key:gene_model_track,Options:GeneOnly]&amp;mk=892506:892525|offset_37|444444,892454:892473|offset_89|444444,892426:892445|offset_117|444444,892371:892390|offset_172|00cc00&amp;v=892305:892590&amp;c=444444", "offset 172")</f>
        <v>offset 172</v>
      </c>
    </row>
    <row r="2845" customFormat="false" ht="12.8" hidden="false" customHeight="false" outlineLevel="0" collapsed="false">
      <c r="A2845" s="0" t="s">
        <v>12</v>
      </c>
      <c r="B2845" s="0" t="n">
        <v>894012</v>
      </c>
      <c r="C2845" s="0" t="n">
        <v>894032</v>
      </c>
      <c r="D2845" s="0" t="s">
        <v>9503</v>
      </c>
      <c r="E2845" s="0" t="s">
        <v>9504</v>
      </c>
      <c r="F2845" s="0" t="s">
        <v>90</v>
      </c>
      <c r="G2845" s="0" t="s">
        <v>32</v>
      </c>
      <c r="H2845" s="0" t="n">
        <v>10</v>
      </c>
      <c r="I2845" s="0" t="s">
        <v>9505</v>
      </c>
      <c r="J2845" s="0" t="s">
        <v>9506</v>
      </c>
      <c r="K2845" s="0" t="s">
        <v>9507</v>
      </c>
      <c r="L2845" s="0" t="str">
        <f aca="false">HYPERLINK("https://www.ncbi.nlm.nih.gov/nuccore/CP000058.1?report=graph&amp;tracks=[key:gene_model_track,Options:GeneOnly]&amp;mk=894013:894032|offset_10|00cc00,893962:893981|offset_61|444444,893930:893949|offset_93|444444,893871:893890|offset_152|444444&amp;v=893812:894090&amp;c=444444", "offset 10")</f>
        <v>offset 10</v>
      </c>
    </row>
    <row r="2846" customFormat="false" ht="12.8" hidden="false" customHeight="false" outlineLevel="0" collapsed="false">
      <c r="A2846" s="0" t="s">
        <v>12</v>
      </c>
      <c r="B2846" s="0" t="n">
        <v>893961</v>
      </c>
      <c r="C2846" s="0" t="n">
        <v>893981</v>
      </c>
      <c r="D2846" s="0" t="s">
        <v>9503</v>
      </c>
      <c r="E2846" s="0" t="s">
        <v>9504</v>
      </c>
      <c r="F2846" s="0" t="s">
        <v>90</v>
      </c>
      <c r="G2846" s="0" t="s">
        <v>16</v>
      </c>
      <c r="H2846" s="0" t="n">
        <v>61</v>
      </c>
      <c r="I2846" s="0" t="s">
        <v>9508</v>
      </c>
      <c r="J2846" s="0" t="s">
        <v>9509</v>
      </c>
      <c r="K2846" s="0" t="s">
        <v>9510</v>
      </c>
      <c r="L2846" s="0" t="str">
        <f aca="false">HYPERLINK("https://www.ncbi.nlm.nih.gov/nuccore/CP000058.1?report=graph&amp;tracks=[key:gene_model_track,Options:GeneOnly]&amp;mk=894013:894032|offset_10|444444,893962:893981|offset_61|00cc00,893930:893949|offset_93|444444,893871:893890|offset_152|444444&amp;v=893812:894090&amp;c=444444", "offset 61")</f>
        <v>offset 61</v>
      </c>
    </row>
    <row r="2847" customFormat="false" ht="12.8" hidden="false" customHeight="false" outlineLevel="0" collapsed="false">
      <c r="A2847" s="0" t="s">
        <v>12</v>
      </c>
      <c r="B2847" s="0" t="n">
        <v>893929</v>
      </c>
      <c r="C2847" s="0" t="n">
        <v>893949</v>
      </c>
      <c r="D2847" s="0" t="s">
        <v>9503</v>
      </c>
      <c r="E2847" s="0" t="s">
        <v>9504</v>
      </c>
      <c r="F2847" s="0" t="s">
        <v>90</v>
      </c>
      <c r="G2847" s="0" t="s">
        <v>36</v>
      </c>
      <c r="H2847" s="0" t="n">
        <v>93</v>
      </c>
      <c r="I2847" s="0" t="s">
        <v>9511</v>
      </c>
      <c r="J2847" s="0" t="s">
        <v>9512</v>
      </c>
      <c r="K2847" s="0" t="s">
        <v>9513</v>
      </c>
      <c r="L2847" s="0" t="str">
        <f aca="false">HYPERLINK("https://www.ncbi.nlm.nih.gov/nuccore/CP000058.1?report=graph&amp;tracks=[key:gene_model_track,Options:GeneOnly]&amp;mk=894013:894032|offset_10|444444,893962:893981|offset_61|444444,893930:893949|offset_93|00cc00,893871:893890|offset_152|444444&amp;v=893812:894090&amp;c=444444", "offset 93")</f>
        <v>offset 93</v>
      </c>
    </row>
    <row r="2848" customFormat="false" ht="12.8" hidden="false" customHeight="false" outlineLevel="0" collapsed="false">
      <c r="A2848" s="0" t="s">
        <v>12</v>
      </c>
      <c r="B2848" s="0" t="n">
        <v>893870</v>
      </c>
      <c r="C2848" s="0" t="n">
        <v>893890</v>
      </c>
      <c r="D2848" s="0" t="s">
        <v>9503</v>
      </c>
      <c r="E2848" s="0" t="s">
        <v>9504</v>
      </c>
      <c r="F2848" s="0" t="s">
        <v>90</v>
      </c>
      <c r="G2848" s="0" t="s">
        <v>16</v>
      </c>
      <c r="H2848" s="0" t="n">
        <v>152</v>
      </c>
      <c r="I2848" s="0" t="s">
        <v>9514</v>
      </c>
      <c r="J2848" s="0" t="s">
        <v>9515</v>
      </c>
      <c r="K2848" s="0" t="s">
        <v>9516</v>
      </c>
      <c r="L2848" s="0" t="str">
        <f aca="false">HYPERLINK("https://www.ncbi.nlm.nih.gov/nuccore/CP000058.1?report=graph&amp;tracks=[key:gene_model_track,Options:GeneOnly]&amp;mk=894013:894032|offset_10|444444,893962:893981|offset_61|444444,893930:893949|offset_93|444444,893871:893890|offset_152|00cc00&amp;v=893812:894090&amp;c=444444", "offset 152")</f>
        <v>offset 152</v>
      </c>
    </row>
    <row r="2849" customFormat="false" ht="12.8" hidden="false" customHeight="false" outlineLevel="0" collapsed="false">
      <c r="A2849" s="0" t="s">
        <v>12</v>
      </c>
      <c r="B2849" s="0" t="n">
        <v>895056</v>
      </c>
      <c r="C2849" s="0" t="n">
        <v>895076</v>
      </c>
      <c r="D2849" s="0" t="s">
        <v>9517</v>
      </c>
      <c r="E2849" s="0" t="s">
        <v>9518</v>
      </c>
      <c r="F2849" s="0" t="s">
        <v>90</v>
      </c>
      <c r="G2849" s="0" t="s">
        <v>20</v>
      </c>
      <c r="H2849" s="0" t="n">
        <v>40</v>
      </c>
      <c r="I2849" s="0" t="s">
        <v>9519</v>
      </c>
      <c r="J2849" s="0" t="s">
        <v>9520</v>
      </c>
      <c r="K2849" s="0" t="s">
        <v>9521</v>
      </c>
      <c r="L2849" s="0" t="str">
        <f aca="false">HYPERLINK("https://www.ncbi.nlm.nih.gov/nuccore/CP000058.1?report=graph&amp;tracks=[key:gene_model_track,Options:GeneOnly]&amp;mk=895057:895076|offset_40|00cc00,895016:895035|offset_81|444444,894992:895011|offset_105|444444,894968:894987|offset_129|444444&amp;v=894856:895187&amp;c=444444", "offset 40")</f>
        <v>offset 40</v>
      </c>
    </row>
    <row r="2850" customFormat="false" ht="12.8" hidden="false" customHeight="false" outlineLevel="0" collapsed="false">
      <c r="A2850" s="0" t="s">
        <v>12</v>
      </c>
      <c r="B2850" s="0" t="n">
        <v>895015</v>
      </c>
      <c r="C2850" s="0" t="n">
        <v>895035</v>
      </c>
      <c r="D2850" s="0" t="s">
        <v>9517</v>
      </c>
      <c r="E2850" s="0" t="s">
        <v>9518</v>
      </c>
      <c r="F2850" s="0" t="s">
        <v>90</v>
      </c>
      <c r="G2850" s="0" t="s">
        <v>36</v>
      </c>
      <c r="H2850" s="0" t="n">
        <v>81</v>
      </c>
      <c r="I2850" s="0" t="s">
        <v>9522</v>
      </c>
      <c r="J2850" s="0" t="s">
        <v>9523</v>
      </c>
      <c r="K2850" s="0" t="s">
        <v>9524</v>
      </c>
      <c r="L2850" s="0" t="str">
        <f aca="false">HYPERLINK("https://www.ncbi.nlm.nih.gov/nuccore/CP000058.1?report=graph&amp;tracks=[key:gene_model_track,Options:GeneOnly]&amp;mk=895057:895076|offset_40|444444,895016:895035|offset_81|00cc00,894992:895011|offset_105|444444,894968:894987|offset_129|444444&amp;v=894856:895187&amp;c=444444", "offset 81")</f>
        <v>offset 81</v>
      </c>
    </row>
    <row r="2851" customFormat="false" ht="12.8" hidden="false" customHeight="false" outlineLevel="0" collapsed="false">
      <c r="A2851" s="0" t="s">
        <v>12</v>
      </c>
      <c r="B2851" s="0" t="n">
        <v>894991</v>
      </c>
      <c r="C2851" s="0" t="n">
        <v>895011</v>
      </c>
      <c r="D2851" s="0" t="s">
        <v>9517</v>
      </c>
      <c r="E2851" s="0" t="s">
        <v>9518</v>
      </c>
      <c r="F2851" s="0" t="s">
        <v>90</v>
      </c>
      <c r="G2851" s="0" t="s">
        <v>36</v>
      </c>
      <c r="H2851" s="0" t="n">
        <v>105</v>
      </c>
      <c r="I2851" s="0" t="s">
        <v>9525</v>
      </c>
      <c r="J2851" s="0" t="s">
        <v>9526</v>
      </c>
      <c r="K2851" s="0" t="s">
        <v>9527</v>
      </c>
      <c r="L2851" s="0" t="str">
        <f aca="false">HYPERLINK("https://www.ncbi.nlm.nih.gov/nuccore/CP000058.1?report=graph&amp;tracks=[key:gene_model_track,Options:GeneOnly]&amp;mk=895057:895076|offset_40|444444,895016:895035|offset_81|444444,894992:895011|offset_105|00cc00,894968:894987|offset_129|444444&amp;v=894856:895187&amp;c=444444", "offset 105")</f>
        <v>offset 105</v>
      </c>
    </row>
    <row r="2852" customFormat="false" ht="12.8" hidden="false" customHeight="false" outlineLevel="0" collapsed="false">
      <c r="A2852" s="0" t="s">
        <v>12</v>
      </c>
      <c r="B2852" s="0" t="n">
        <v>894967</v>
      </c>
      <c r="C2852" s="0" t="n">
        <v>894987</v>
      </c>
      <c r="D2852" s="0" t="s">
        <v>9517</v>
      </c>
      <c r="E2852" s="0" t="s">
        <v>9518</v>
      </c>
      <c r="F2852" s="0" t="s">
        <v>90</v>
      </c>
      <c r="G2852" s="0" t="s">
        <v>32</v>
      </c>
      <c r="H2852" s="0" t="n">
        <v>129</v>
      </c>
      <c r="I2852" s="0" t="s">
        <v>9528</v>
      </c>
      <c r="J2852" s="0" t="s">
        <v>9529</v>
      </c>
      <c r="K2852" s="0" t="s">
        <v>9530</v>
      </c>
      <c r="L2852" s="0" t="str">
        <f aca="false">HYPERLINK("https://www.ncbi.nlm.nih.gov/nuccore/CP000058.1?report=graph&amp;tracks=[key:gene_model_track,Options:GeneOnly]&amp;mk=895057:895076|offset_40|444444,895016:895035|offset_81|444444,894992:895011|offset_105|444444,894968:894987|offset_129|00cc00&amp;v=894856:895187&amp;c=444444", "offset 129")</f>
        <v>offset 129</v>
      </c>
    </row>
    <row r="2853" customFormat="false" ht="12.8" hidden="false" customHeight="false" outlineLevel="0" collapsed="false">
      <c r="A2853" s="0" t="s">
        <v>12</v>
      </c>
      <c r="B2853" s="0" t="n">
        <v>896005</v>
      </c>
      <c r="C2853" s="0" t="n">
        <v>896025</v>
      </c>
      <c r="D2853" s="0" t="s">
        <v>9531</v>
      </c>
      <c r="E2853" s="0" t="s">
        <v>9532</v>
      </c>
      <c r="F2853" s="0" t="s">
        <v>15</v>
      </c>
      <c r="G2853" s="0" t="s">
        <v>32</v>
      </c>
      <c r="H2853" s="0" t="n">
        <v>23</v>
      </c>
      <c r="I2853" s="0" t="s">
        <v>9533</v>
      </c>
      <c r="J2853" s="0" t="s">
        <v>9534</v>
      </c>
      <c r="K2853" s="0" t="s">
        <v>9535</v>
      </c>
      <c r="L2853" s="0" t="str">
        <f aca="false">HYPERLINK("https://www.ncbi.nlm.nih.gov/nuccore/CP000058.1?report=graph&amp;tracks=[key:gene_model_track,Options:GeneOnly]&amp;mk=896006:896025|offset_23|00cc00,896048:896067|offset_65|444444,896086:896105|offset_103|444444,896144:896163|offset_161|444444&amp;v=895805:896363&amp;c=444444", "offset 23")</f>
        <v>offset 23</v>
      </c>
    </row>
    <row r="2854" customFormat="false" ht="12.8" hidden="false" customHeight="false" outlineLevel="0" collapsed="false">
      <c r="A2854" s="0" t="s">
        <v>12</v>
      </c>
      <c r="B2854" s="0" t="n">
        <v>896047</v>
      </c>
      <c r="C2854" s="0" t="n">
        <v>896067</v>
      </c>
      <c r="D2854" s="0" t="s">
        <v>9531</v>
      </c>
      <c r="E2854" s="0" t="s">
        <v>9532</v>
      </c>
      <c r="F2854" s="0" t="s">
        <v>15</v>
      </c>
      <c r="G2854" s="0" t="s">
        <v>32</v>
      </c>
      <c r="H2854" s="0" t="n">
        <v>65</v>
      </c>
      <c r="I2854" s="0" t="s">
        <v>9536</v>
      </c>
      <c r="J2854" s="0" t="s">
        <v>9537</v>
      </c>
      <c r="K2854" s="0" t="s">
        <v>9538</v>
      </c>
      <c r="L2854" s="0" t="str">
        <f aca="false">HYPERLINK("https://www.ncbi.nlm.nih.gov/nuccore/CP000058.1?report=graph&amp;tracks=[key:gene_model_track,Options:GeneOnly]&amp;mk=896006:896025|offset_23|444444,896048:896067|offset_65|00cc00,896086:896105|offset_103|444444,896144:896163|offset_161|444444&amp;v=895805:896363&amp;c=444444", "offset 65")</f>
        <v>offset 65</v>
      </c>
    </row>
    <row r="2855" customFormat="false" ht="12.8" hidden="false" customHeight="false" outlineLevel="0" collapsed="false">
      <c r="A2855" s="0" t="s">
        <v>12</v>
      </c>
      <c r="B2855" s="0" t="n">
        <v>896085</v>
      </c>
      <c r="C2855" s="0" t="n">
        <v>896105</v>
      </c>
      <c r="D2855" s="0" t="s">
        <v>9531</v>
      </c>
      <c r="E2855" s="0" t="s">
        <v>9532</v>
      </c>
      <c r="F2855" s="0" t="s">
        <v>15</v>
      </c>
      <c r="G2855" s="0" t="s">
        <v>16</v>
      </c>
      <c r="H2855" s="0" t="n">
        <v>103</v>
      </c>
      <c r="I2855" s="0" t="s">
        <v>9539</v>
      </c>
      <c r="J2855" s="0" t="s">
        <v>9540</v>
      </c>
      <c r="K2855" s="0" t="s">
        <v>9541</v>
      </c>
      <c r="L2855" s="0" t="str">
        <f aca="false">HYPERLINK("https://www.ncbi.nlm.nih.gov/nuccore/CP000058.1?report=graph&amp;tracks=[key:gene_model_track,Options:GeneOnly]&amp;mk=896006:896025|offset_23|444444,896048:896067|offset_65|444444,896086:896105|offset_103|00cc00,896144:896163|offset_161|444444&amp;v=895805:896363&amp;c=444444", "offset 103")</f>
        <v>offset 103</v>
      </c>
    </row>
    <row r="2856" customFormat="false" ht="12.8" hidden="false" customHeight="false" outlineLevel="0" collapsed="false">
      <c r="A2856" s="0" t="s">
        <v>12</v>
      </c>
      <c r="B2856" s="0" t="n">
        <v>896143</v>
      </c>
      <c r="C2856" s="0" t="n">
        <v>896163</v>
      </c>
      <c r="D2856" s="0" t="s">
        <v>9531</v>
      </c>
      <c r="E2856" s="0" t="s">
        <v>9532</v>
      </c>
      <c r="F2856" s="0" t="s">
        <v>15</v>
      </c>
      <c r="G2856" s="0" t="s">
        <v>36</v>
      </c>
      <c r="H2856" s="0" t="n">
        <v>161</v>
      </c>
      <c r="I2856" s="0" t="s">
        <v>9542</v>
      </c>
      <c r="J2856" s="0" t="s">
        <v>9543</v>
      </c>
      <c r="K2856" s="0" t="s">
        <v>9544</v>
      </c>
      <c r="L2856" s="0" t="str">
        <f aca="false">HYPERLINK("https://www.ncbi.nlm.nih.gov/nuccore/CP000058.1?report=graph&amp;tracks=[key:gene_model_track,Options:GeneOnly]&amp;mk=896006:896025|offset_23|444444,896048:896067|offset_65|444444,896086:896105|offset_103|444444,896144:896163|offset_161|00cc00&amp;v=895805:896363&amp;c=444444", "offset 161")</f>
        <v>offset 161</v>
      </c>
    </row>
    <row r="2857" customFormat="false" ht="12.8" hidden="false" customHeight="false" outlineLevel="0" collapsed="false">
      <c r="A2857" s="0" t="s">
        <v>12</v>
      </c>
      <c r="B2857" s="0" t="n">
        <v>896482</v>
      </c>
      <c r="C2857" s="0" t="n">
        <v>896502</v>
      </c>
      <c r="D2857" s="0" t="s">
        <v>9545</v>
      </c>
      <c r="E2857" s="0" t="s">
        <v>75</v>
      </c>
      <c r="F2857" s="0" t="s">
        <v>15</v>
      </c>
      <c r="G2857" s="0" t="s">
        <v>16</v>
      </c>
      <c r="H2857" s="0" t="n">
        <v>49</v>
      </c>
      <c r="I2857" s="0" t="s">
        <v>9546</v>
      </c>
      <c r="J2857" s="0" t="s">
        <v>9547</v>
      </c>
      <c r="K2857" s="0" t="s">
        <v>9548</v>
      </c>
      <c r="L2857" s="0" t="str">
        <f aca="false">HYPERLINK("https://www.ncbi.nlm.nih.gov/nuccore/CP000058.1?report=graph&amp;tracks=[key:gene_model_track,Options:GeneOnly]&amp;mk=896483:896502|offset_49|00cc00,896509:896528|offset_75|444444,896578:896597|offset_144|444444,896628:896647|offset_194|444444&amp;v=896282:896847&amp;c=444444", "offset 49")</f>
        <v>offset 49</v>
      </c>
    </row>
    <row r="2858" customFormat="false" ht="12.8" hidden="false" customHeight="false" outlineLevel="0" collapsed="false">
      <c r="A2858" s="0" t="s">
        <v>12</v>
      </c>
      <c r="B2858" s="0" t="n">
        <v>896508</v>
      </c>
      <c r="C2858" s="0" t="n">
        <v>896528</v>
      </c>
      <c r="D2858" s="0" t="s">
        <v>9545</v>
      </c>
      <c r="E2858" s="0" t="s">
        <v>75</v>
      </c>
      <c r="F2858" s="0" t="s">
        <v>15</v>
      </c>
      <c r="G2858" s="0" t="s">
        <v>20</v>
      </c>
      <c r="H2858" s="0" t="n">
        <v>75</v>
      </c>
      <c r="I2858" s="0" t="s">
        <v>9549</v>
      </c>
      <c r="J2858" s="0" t="s">
        <v>9550</v>
      </c>
      <c r="K2858" s="0" t="s">
        <v>9551</v>
      </c>
      <c r="L2858" s="0" t="str">
        <f aca="false">HYPERLINK("https://www.ncbi.nlm.nih.gov/nuccore/CP000058.1?report=graph&amp;tracks=[key:gene_model_track,Options:GeneOnly]&amp;mk=896483:896502|offset_49|444444,896509:896528|offset_75|00cc00,896578:896597|offset_144|444444,896628:896647|offset_194|444444&amp;v=896282:896847&amp;c=444444", "offset 75")</f>
        <v>offset 75</v>
      </c>
    </row>
    <row r="2859" customFormat="false" ht="12.8" hidden="false" customHeight="false" outlineLevel="0" collapsed="false">
      <c r="A2859" s="0" t="s">
        <v>12</v>
      </c>
      <c r="B2859" s="0" t="n">
        <v>896577</v>
      </c>
      <c r="C2859" s="0" t="n">
        <v>896597</v>
      </c>
      <c r="D2859" s="0" t="s">
        <v>9545</v>
      </c>
      <c r="E2859" s="0" t="s">
        <v>75</v>
      </c>
      <c r="F2859" s="0" t="s">
        <v>15</v>
      </c>
      <c r="G2859" s="0" t="s">
        <v>20</v>
      </c>
      <c r="H2859" s="0" t="n">
        <v>144</v>
      </c>
      <c r="I2859" s="0" t="s">
        <v>9552</v>
      </c>
      <c r="J2859" s="0" t="s">
        <v>9553</v>
      </c>
      <c r="K2859" s="0" t="s">
        <v>9554</v>
      </c>
      <c r="L2859" s="0" t="str">
        <f aca="false">HYPERLINK("https://www.ncbi.nlm.nih.gov/nuccore/CP000058.1?report=graph&amp;tracks=[key:gene_model_track,Options:GeneOnly]&amp;mk=896483:896502|offset_49|444444,896509:896528|offset_75|444444,896578:896597|offset_144|00cc00,896628:896647|offset_194|444444&amp;v=896282:896847&amp;c=444444", "offset 144")</f>
        <v>offset 144</v>
      </c>
    </row>
    <row r="2860" customFormat="false" ht="12.8" hidden="false" customHeight="false" outlineLevel="0" collapsed="false">
      <c r="A2860" s="0" t="s">
        <v>12</v>
      </c>
      <c r="B2860" s="0" t="n">
        <v>896627</v>
      </c>
      <c r="C2860" s="0" t="n">
        <v>896647</v>
      </c>
      <c r="D2860" s="0" t="s">
        <v>9545</v>
      </c>
      <c r="E2860" s="0" t="s">
        <v>75</v>
      </c>
      <c r="F2860" s="0" t="s">
        <v>15</v>
      </c>
      <c r="G2860" s="0" t="s">
        <v>32</v>
      </c>
      <c r="H2860" s="0" t="n">
        <v>194</v>
      </c>
      <c r="I2860" s="0" t="s">
        <v>9555</v>
      </c>
      <c r="J2860" s="0" t="s">
        <v>9556</v>
      </c>
      <c r="K2860" s="0" t="s">
        <v>9557</v>
      </c>
      <c r="L2860" s="0" t="str">
        <f aca="false">HYPERLINK("https://www.ncbi.nlm.nih.gov/nuccore/CP000058.1?report=graph&amp;tracks=[key:gene_model_track,Options:GeneOnly]&amp;mk=896483:896502|offset_49|444444,896509:896528|offset_75|444444,896578:896597|offset_144|444444,896628:896647|offset_194|00cc00&amp;v=896282:896847&amp;c=444444", "offset 194")</f>
        <v>offset 194</v>
      </c>
    </row>
    <row r="2861" customFormat="false" ht="12.8" hidden="false" customHeight="false" outlineLevel="0" collapsed="false">
      <c r="A2861" s="0" t="s">
        <v>12</v>
      </c>
      <c r="B2861" s="0" t="n">
        <v>898909</v>
      </c>
      <c r="C2861" s="0" t="n">
        <v>898929</v>
      </c>
      <c r="D2861" s="0" t="s">
        <v>9558</v>
      </c>
      <c r="E2861" s="0" t="s">
        <v>9559</v>
      </c>
      <c r="F2861" s="0" t="s">
        <v>90</v>
      </c>
      <c r="G2861" s="0" t="s">
        <v>20</v>
      </c>
      <c r="H2861" s="0" t="n">
        <v>34</v>
      </c>
      <c r="I2861" s="0" t="s">
        <v>9560</v>
      </c>
      <c r="J2861" s="0" t="s">
        <v>9561</v>
      </c>
      <c r="K2861" s="0" t="s">
        <v>9562</v>
      </c>
      <c r="L2861" s="0" t="str">
        <f aca="false">HYPERLINK("https://www.ncbi.nlm.nih.gov/nuccore/CP000058.1?report=graph&amp;tracks=[key:gene_model_track,Options:GeneOnly]&amp;mk=898910:898929|offset_34|00cc00,898889:898908|offset_55|444444,898832:898851|offset_112|444444,898808:898827|offset_136|444444&amp;v=898709:899027&amp;c=444444", "offset 34")</f>
        <v>offset 34</v>
      </c>
    </row>
    <row r="2862" customFormat="false" ht="12.8" hidden="false" customHeight="false" outlineLevel="0" collapsed="false">
      <c r="A2862" s="0" t="s">
        <v>12</v>
      </c>
      <c r="B2862" s="0" t="n">
        <v>898888</v>
      </c>
      <c r="C2862" s="0" t="n">
        <v>898908</v>
      </c>
      <c r="D2862" s="0" t="s">
        <v>9558</v>
      </c>
      <c r="E2862" s="0" t="s">
        <v>9559</v>
      </c>
      <c r="F2862" s="0" t="s">
        <v>90</v>
      </c>
      <c r="G2862" s="0" t="s">
        <v>20</v>
      </c>
      <c r="H2862" s="0" t="n">
        <v>55</v>
      </c>
      <c r="I2862" s="0" t="s">
        <v>9563</v>
      </c>
      <c r="J2862" s="0" t="s">
        <v>9564</v>
      </c>
      <c r="K2862" s="0" t="s">
        <v>9565</v>
      </c>
      <c r="L2862" s="0" t="str">
        <f aca="false">HYPERLINK("https://www.ncbi.nlm.nih.gov/nuccore/CP000058.1?report=graph&amp;tracks=[key:gene_model_track,Options:GeneOnly]&amp;mk=898910:898929|offset_34|444444,898889:898908|offset_55|00cc00,898832:898851|offset_112|444444,898808:898827|offset_136|444444&amp;v=898709:899027&amp;c=444444", "offset 55")</f>
        <v>offset 55</v>
      </c>
    </row>
    <row r="2863" customFormat="false" ht="12.8" hidden="false" customHeight="false" outlineLevel="0" collapsed="false">
      <c r="A2863" s="0" t="s">
        <v>12</v>
      </c>
      <c r="B2863" s="0" t="n">
        <v>898831</v>
      </c>
      <c r="C2863" s="0" t="n">
        <v>898851</v>
      </c>
      <c r="D2863" s="0" t="s">
        <v>9558</v>
      </c>
      <c r="E2863" s="0" t="s">
        <v>9559</v>
      </c>
      <c r="F2863" s="0" t="s">
        <v>90</v>
      </c>
      <c r="G2863" s="0" t="s">
        <v>16</v>
      </c>
      <c r="H2863" s="0" t="n">
        <v>112</v>
      </c>
      <c r="I2863" s="0" t="s">
        <v>9566</v>
      </c>
      <c r="J2863" s="0" t="s">
        <v>9567</v>
      </c>
      <c r="K2863" s="0" t="s">
        <v>9568</v>
      </c>
      <c r="L2863" s="0" t="str">
        <f aca="false">HYPERLINK("https://www.ncbi.nlm.nih.gov/nuccore/CP000058.1?report=graph&amp;tracks=[key:gene_model_track,Options:GeneOnly]&amp;mk=898910:898929|offset_34|444444,898889:898908|offset_55|444444,898832:898851|offset_112|00cc00,898808:898827|offset_136|444444&amp;v=898709:899027&amp;c=444444", "offset 112")</f>
        <v>offset 112</v>
      </c>
    </row>
    <row r="2864" customFormat="false" ht="12.8" hidden="false" customHeight="false" outlineLevel="0" collapsed="false">
      <c r="A2864" s="0" t="s">
        <v>12</v>
      </c>
      <c r="B2864" s="0" t="n">
        <v>898807</v>
      </c>
      <c r="C2864" s="0" t="n">
        <v>898827</v>
      </c>
      <c r="D2864" s="0" t="s">
        <v>9558</v>
      </c>
      <c r="E2864" s="0" t="s">
        <v>9559</v>
      </c>
      <c r="F2864" s="0" t="s">
        <v>90</v>
      </c>
      <c r="G2864" s="0" t="s">
        <v>16</v>
      </c>
      <c r="H2864" s="0" t="n">
        <v>136</v>
      </c>
      <c r="I2864" s="0" t="s">
        <v>9569</v>
      </c>
      <c r="J2864" s="0" t="s">
        <v>9570</v>
      </c>
      <c r="K2864" s="0" t="s">
        <v>9571</v>
      </c>
      <c r="L2864" s="0" t="str">
        <f aca="false">HYPERLINK("https://www.ncbi.nlm.nih.gov/nuccore/CP000058.1?report=graph&amp;tracks=[key:gene_model_track,Options:GeneOnly]&amp;mk=898910:898929|offset_34|444444,898889:898908|offset_55|444444,898832:898851|offset_112|444444,898808:898827|offset_136|00cc00&amp;v=898709:899027&amp;c=444444", "offset 136")</f>
        <v>offset 136</v>
      </c>
    </row>
    <row r="2865" customFormat="false" ht="12.8" hidden="false" customHeight="false" outlineLevel="0" collapsed="false">
      <c r="A2865" s="0" t="s">
        <v>12</v>
      </c>
      <c r="B2865" s="0" t="n">
        <v>900206</v>
      </c>
      <c r="C2865" s="0" t="n">
        <v>900226</v>
      </c>
      <c r="D2865" s="0" t="s">
        <v>9572</v>
      </c>
      <c r="E2865" s="0" t="s">
        <v>75</v>
      </c>
      <c r="F2865" s="0" t="s">
        <v>90</v>
      </c>
      <c r="G2865" s="0" t="s">
        <v>36</v>
      </c>
      <c r="H2865" s="0" t="n">
        <v>0</v>
      </c>
      <c r="I2865" s="0" t="s">
        <v>9573</v>
      </c>
      <c r="J2865" s="0" t="s">
        <v>9574</v>
      </c>
      <c r="K2865" s="0" t="s">
        <v>9575</v>
      </c>
      <c r="L2865" s="0" t="str">
        <f aca="false">HYPERLINK("https://www.ncbi.nlm.nih.gov/nuccore/CP000058.1?report=graph&amp;tracks=[key:gene_model_track,Options:GeneOnly]&amp;mk=900207:900226|offset_0|00cc00,900176:900195|offset_31|444444,900086:900105|offset_121|444444,900046:900065|offset_161|444444&amp;v=900006:900265&amp;c=444444", "offset 0")</f>
        <v>offset 0</v>
      </c>
    </row>
    <row r="2866" customFormat="false" ht="12.8" hidden="false" customHeight="false" outlineLevel="0" collapsed="false">
      <c r="A2866" s="0" t="s">
        <v>12</v>
      </c>
      <c r="B2866" s="0" t="n">
        <v>900175</v>
      </c>
      <c r="C2866" s="0" t="n">
        <v>900195</v>
      </c>
      <c r="D2866" s="0" t="s">
        <v>9572</v>
      </c>
      <c r="E2866" s="0" t="s">
        <v>75</v>
      </c>
      <c r="F2866" s="0" t="s">
        <v>90</v>
      </c>
      <c r="G2866" s="0" t="s">
        <v>16</v>
      </c>
      <c r="H2866" s="0" t="n">
        <v>31</v>
      </c>
      <c r="I2866" s="0" t="s">
        <v>9576</v>
      </c>
      <c r="J2866" s="0" t="s">
        <v>9577</v>
      </c>
      <c r="K2866" s="0" t="s">
        <v>9578</v>
      </c>
      <c r="L2866" s="0" t="str">
        <f aca="false">HYPERLINK("https://www.ncbi.nlm.nih.gov/nuccore/CP000058.1?report=graph&amp;tracks=[key:gene_model_track,Options:GeneOnly]&amp;mk=900207:900226|offset_0|444444,900176:900195|offset_31|00cc00,900086:900105|offset_121|444444,900046:900065|offset_161|444444&amp;v=900006:900265&amp;c=444444", "offset 31")</f>
        <v>offset 31</v>
      </c>
    </row>
    <row r="2867" customFormat="false" ht="12.8" hidden="false" customHeight="false" outlineLevel="0" collapsed="false">
      <c r="A2867" s="0" t="s">
        <v>12</v>
      </c>
      <c r="B2867" s="0" t="n">
        <v>900085</v>
      </c>
      <c r="C2867" s="0" t="n">
        <v>900105</v>
      </c>
      <c r="D2867" s="0" t="s">
        <v>9572</v>
      </c>
      <c r="E2867" s="0" t="s">
        <v>75</v>
      </c>
      <c r="F2867" s="0" t="s">
        <v>90</v>
      </c>
      <c r="G2867" s="0" t="s">
        <v>32</v>
      </c>
      <c r="H2867" s="0" t="n">
        <v>121</v>
      </c>
      <c r="I2867" s="0" t="s">
        <v>9579</v>
      </c>
      <c r="J2867" s="0" t="s">
        <v>9580</v>
      </c>
      <c r="K2867" s="0" t="s">
        <v>9581</v>
      </c>
      <c r="L2867" s="0" t="str">
        <f aca="false">HYPERLINK("https://www.ncbi.nlm.nih.gov/nuccore/CP000058.1?report=graph&amp;tracks=[key:gene_model_track,Options:GeneOnly]&amp;mk=900207:900226|offset_0|444444,900176:900195|offset_31|444444,900086:900105|offset_121|00cc00,900046:900065|offset_161|444444&amp;v=900006:900265&amp;c=444444", "offset 121")</f>
        <v>offset 121</v>
      </c>
    </row>
    <row r="2868" customFormat="false" ht="12.8" hidden="false" customHeight="false" outlineLevel="0" collapsed="false">
      <c r="A2868" s="0" t="s">
        <v>12</v>
      </c>
      <c r="B2868" s="0" t="n">
        <v>900045</v>
      </c>
      <c r="C2868" s="0" t="n">
        <v>900065</v>
      </c>
      <c r="D2868" s="0" t="s">
        <v>9572</v>
      </c>
      <c r="E2868" s="0" t="s">
        <v>75</v>
      </c>
      <c r="F2868" s="0" t="s">
        <v>90</v>
      </c>
      <c r="G2868" s="0" t="s">
        <v>20</v>
      </c>
      <c r="H2868" s="0" t="n">
        <v>161</v>
      </c>
      <c r="I2868" s="0" t="s">
        <v>9582</v>
      </c>
      <c r="J2868" s="0" t="s">
        <v>9583</v>
      </c>
      <c r="K2868" s="0" t="s">
        <v>9584</v>
      </c>
      <c r="L2868" s="0" t="str">
        <f aca="false">HYPERLINK("https://www.ncbi.nlm.nih.gov/nuccore/CP000058.1?report=graph&amp;tracks=[key:gene_model_track,Options:GeneOnly]&amp;mk=900207:900226|offset_0|444444,900176:900195|offset_31|444444,900086:900105|offset_121|444444,900046:900065|offset_161|00cc00&amp;v=900006:900265&amp;c=444444", "offset 161")</f>
        <v>offset 161</v>
      </c>
    </row>
    <row r="2869" customFormat="false" ht="12.8" hidden="false" customHeight="false" outlineLevel="0" collapsed="false">
      <c r="A2869" s="0" t="s">
        <v>12</v>
      </c>
      <c r="B2869" s="0" t="n">
        <v>901806</v>
      </c>
      <c r="C2869" s="0" t="n">
        <v>901826</v>
      </c>
      <c r="D2869" s="0" t="s">
        <v>9585</v>
      </c>
      <c r="E2869" s="0" t="s">
        <v>75</v>
      </c>
      <c r="F2869" s="0" t="s">
        <v>15</v>
      </c>
      <c r="G2869" s="0" t="s">
        <v>20</v>
      </c>
      <c r="H2869" s="0" t="n">
        <v>119</v>
      </c>
      <c r="I2869" s="0" t="s">
        <v>9586</v>
      </c>
      <c r="J2869" s="0" t="s">
        <v>9587</v>
      </c>
      <c r="K2869" s="0" t="s">
        <v>9588</v>
      </c>
      <c r="L2869" s="0" t="str">
        <f aca="false">HYPERLINK("https://www.ncbi.nlm.nih.gov/nuccore/CP000058.1?report=graph&amp;tracks=[key:gene_model_track,Options:GeneOnly]&amp;mk=901807:901826|offset_119|00cc00,901833:901852|offset_145|444444,901886:901905|offset_198|444444,901910:901929|offset_222|444444&amp;v=901606:902129&amp;c=444444", "offset 119")</f>
        <v>offset 119</v>
      </c>
    </row>
    <row r="2870" customFormat="false" ht="12.8" hidden="false" customHeight="false" outlineLevel="0" collapsed="false">
      <c r="A2870" s="0" t="s">
        <v>12</v>
      </c>
      <c r="B2870" s="0" t="n">
        <v>901832</v>
      </c>
      <c r="C2870" s="0" t="n">
        <v>901852</v>
      </c>
      <c r="D2870" s="0" t="s">
        <v>9585</v>
      </c>
      <c r="E2870" s="0" t="s">
        <v>75</v>
      </c>
      <c r="F2870" s="0" t="s">
        <v>15</v>
      </c>
      <c r="G2870" s="0" t="s">
        <v>32</v>
      </c>
      <c r="H2870" s="0" t="n">
        <v>145</v>
      </c>
      <c r="I2870" s="0" t="s">
        <v>9589</v>
      </c>
      <c r="J2870" s="0" t="s">
        <v>9590</v>
      </c>
      <c r="K2870" s="0" t="s">
        <v>9591</v>
      </c>
      <c r="L2870" s="0" t="str">
        <f aca="false">HYPERLINK("https://www.ncbi.nlm.nih.gov/nuccore/CP000058.1?report=graph&amp;tracks=[key:gene_model_track,Options:GeneOnly]&amp;mk=901807:901826|offset_119|444444,901833:901852|offset_145|00cc00,901886:901905|offset_198|444444,901910:901929|offset_222|444444&amp;v=901606:902129&amp;c=444444", "offset 145")</f>
        <v>offset 145</v>
      </c>
    </row>
    <row r="2871" customFormat="false" ht="12.8" hidden="false" customHeight="false" outlineLevel="0" collapsed="false">
      <c r="A2871" s="0" t="s">
        <v>12</v>
      </c>
      <c r="B2871" s="0" t="n">
        <v>901885</v>
      </c>
      <c r="C2871" s="0" t="n">
        <v>901905</v>
      </c>
      <c r="D2871" s="0" t="s">
        <v>9585</v>
      </c>
      <c r="E2871" s="0" t="s">
        <v>75</v>
      </c>
      <c r="F2871" s="0" t="s">
        <v>15</v>
      </c>
      <c r="G2871" s="0" t="s">
        <v>32</v>
      </c>
      <c r="H2871" s="0" t="n">
        <v>198</v>
      </c>
      <c r="I2871" s="0" t="s">
        <v>9592</v>
      </c>
      <c r="J2871" s="0" t="s">
        <v>9593</v>
      </c>
      <c r="K2871" s="0" t="s">
        <v>9594</v>
      </c>
      <c r="L2871" s="0" t="str">
        <f aca="false">HYPERLINK("https://www.ncbi.nlm.nih.gov/nuccore/CP000058.1?report=graph&amp;tracks=[key:gene_model_track,Options:GeneOnly]&amp;mk=901807:901826|offset_119|444444,901833:901852|offset_145|444444,901886:901905|offset_198|00cc00,901910:901929|offset_222|444444&amp;v=901606:902129&amp;c=444444", "offset 198")</f>
        <v>offset 198</v>
      </c>
    </row>
    <row r="2872" customFormat="false" ht="12.8" hidden="false" customHeight="false" outlineLevel="0" collapsed="false">
      <c r="A2872" s="0" t="s">
        <v>12</v>
      </c>
      <c r="B2872" s="0" t="n">
        <v>901909</v>
      </c>
      <c r="C2872" s="0" t="n">
        <v>901929</v>
      </c>
      <c r="D2872" s="0" t="s">
        <v>9585</v>
      </c>
      <c r="E2872" s="0" t="s">
        <v>75</v>
      </c>
      <c r="F2872" s="0" t="s">
        <v>15</v>
      </c>
      <c r="G2872" s="0" t="s">
        <v>36</v>
      </c>
      <c r="H2872" s="0" t="n">
        <v>222</v>
      </c>
      <c r="I2872" s="0" t="s">
        <v>9595</v>
      </c>
      <c r="J2872" s="0" t="s">
        <v>9596</v>
      </c>
      <c r="K2872" s="0" t="s">
        <v>9597</v>
      </c>
      <c r="L2872" s="0" t="str">
        <f aca="false">HYPERLINK("https://www.ncbi.nlm.nih.gov/nuccore/CP000058.1?report=graph&amp;tracks=[key:gene_model_track,Options:GeneOnly]&amp;mk=901807:901826|offset_119|444444,901833:901852|offset_145|444444,901886:901905|offset_198|444444,901910:901929|offset_222|00cc00&amp;v=901606:902129&amp;c=444444", "offset 222")</f>
        <v>offset 222</v>
      </c>
    </row>
    <row r="2873" customFormat="false" ht="12.8" hidden="false" customHeight="false" outlineLevel="0" collapsed="false">
      <c r="A2873" s="0" t="s">
        <v>12</v>
      </c>
      <c r="B2873" s="0" t="n">
        <v>904837</v>
      </c>
      <c r="C2873" s="0" t="n">
        <v>904857</v>
      </c>
      <c r="D2873" s="0" t="s">
        <v>9598</v>
      </c>
      <c r="E2873" s="0" t="s">
        <v>75</v>
      </c>
      <c r="F2873" s="0" t="s">
        <v>90</v>
      </c>
      <c r="G2873" s="0" t="s">
        <v>32</v>
      </c>
      <c r="H2873" s="0" t="n">
        <v>11</v>
      </c>
      <c r="I2873" s="0" t="s">
        <v>9599</v>
      </c>
      <c r="J2873" s="0" t="s">
        <v>9600</v>
      </c>
      <c r="K2873" s="0" t="s">
        <v>9601</v>
      </c>
      <c r="L2873" s="0" t="str">
        <f aca="false">HYPERLINK("https://www.ncbi.nlm.nih.gov/nuccore/CP000058.1?report=graph&amp;tracks=[key:gene_model_track,Options:GeneOnly]&amp;mk=904838:904857|offset_11|00cc00,904767:904786|offset_82|444444,904744:904763|offset_105|444444,904724:904743|offset_125|444444&amp;v=904637:904943&amp;c=444444", "offset 11")</f>
        <v>offset 11</v>
      </c>
    </row>
    <row r="2874" customFormat="false" ht="12.8" hidden="false" customHeight="false" outlineLevel="0" collapsed="false">
      <c r="A2874" s="0" t="s">
        <v>12</v>
      </c>
      <c r="B2874" s="0" t="n">
        <v>904766</v>
      </c>
      <c r="C2874" s="0" t="n">
        <v>904786</v>
      </c>
      <c r="D2874" s="0" t="s">
        <v>9598</v>
      </c>
      <c r="E2874" s="0" t="s">
        <v>75</v>
      </c>
      <c r="F2874" s="0" t="s">
        <v>90</v>
      </c>
      <c r="G2874" s="0" t="s">
        <v>16</v>
      </c>
      <c r="H2874" s="0" t="n">
        <v>82</v>
      </c>
      <c r="I2874" s="0" t="s">
        <v>9602</v>
      </c>
      <c r="J2874" s="0" t="s">
        <v>9603</v>
      </c>
      <c r="K2874" s="0" t="s">
        <v>9604</v>
      </c>
      <c r="L2874" s="0" t="str">
        <f aca="false">HYPERLINK("https://www.ncbi.nlm.nih.gov/nuccore/CP000058.1?report=graph&amp;tracks=[key:gene_model_track,Options:GeneOnly]&amp;mk=904838:904857|offset_11|444444,904767:904786|offset_82|00cc00,904744:904763|offset_105|444444,904724:904743|offset_125|444444&amp;v=904637:904943&amp;c=444444", "offset 82")</f>
        <v>offset 82</v>
      </c>
    </row>
    <row r="2875" customFormat="false" ht="12.8" hidden="false" customHeight="false" outlineLevel="0" collapsed="false">
      <c r="A2875" s="0" t="s">
        <v>12</v>
      </c>
      <c r="B2875" s="0" t="n">
        <v>904743</v>
      </c>
      <c r="C2875" s="0" t="n">
        <v>904763</v>
      </c>
      <c r="D2875" s="0" t="s">
        <v>9598</v>
      </c>
      <c r="E2875" s="0" t="s">
        <v>75</v>
      </c>
      <c r="F2875" s="0" t="s">
        <v>90</v>
      </c>
      <c r="G2875" s="0" t="s">
        <v>32</v>
      </c>
      <c r="H2875" s="0" t="n">
        <v>105</v>
      </c>
      <c r="I2875" s="0" t="s">
        <v>9605</v>
      </c>
      <c r="J2875" s="0" t="s">
        <v>9606</v>
      </c>
      <c r="K2875" s="0" t="s">
        <v>9607</v>
      </c>
      <c r="L2875" s="0" t="str">
        <f aca="false">HYPERLINK("https://www.ncbi.nlm.nih.gov/nuccore/CP000058.1?report=graph&amp;tracks=[key:gene_model_track,Options:GeneOnly]&amp;mk=904838:904857|offset_11|444444,904767:904786|offset_82|444444,904744:904763|offset_105|00cc00,904724:904743|offset_125|444444&amp;v=904637:904943&amp;c=444444", "offset 105")</f>
        <v>offset 105</v>
      </c>
    </row>
    <row r="2876" customFormat="false" ht="12.8" hidden="false" customHeight="false" outlineLevel="0" collapsed="false">
      <c r="A2876" s="0" t="s">
        <v>12</v>
      </c>
      <c r="B2876" s="0" t="n">
        <v>904723</v>
      </c>
      <c r="C2876" s="0" t="n">
        <v>904743</v>
      </c>
      <c r="D2876" s="0" t="s">
        <v>9598</v>
      </c>
      <c r="E2876" s="0" t="s">
        <v>75</v>
      </c>
      <c r="F2876" s="0" t="s">
        <v>90</v>
      </c>
      <c r="G2876" s="0" t="s">
        <v>20</v>
      </c>
      <c r="H2876" s="0" t="n">
        <v>125</v>
      </c>
      <c r="I2876" s="0" t="s">
        <v>9608</v>
      </c>
      <c r="J2876" s="0" t="s">
        <v>9609</v>
      </c>
      <c r="K2876" s="0" t="s">
        <v>9610</v>
      </c>
      <c r="L2876" s="0" t="str">
        <f aca="false">HYPERLINK("https://www.ncbi.nlm.nih.gov/nuccore/CP000058.1?report=graph&amp;tracks=[key:gene_model_track,Options:GeneOnly]&amp;mk=904838:904857|offset_11|444444,904767:904786|offset_82|444444,904744:904763|offset_105|444444,904724:904743|offset_125|00cc00&amp;v=904637:904943&amp;c=444444", "offset 125")</f>
        <v>offset 125</v>
      </c>
    </row>
    <row r="2877" customFormat="false" ht="12.8" hidden="false" customHeight="false" outlineLevel="0" collapsed="false">
      <c r="A2877" s="0" t="s">
        <v>12</v>
      </c>
      <c r="B2877" s="0" t="n">
        <v>906215</v>
      </c>
      <c r="C2877" s="0" t="n">
        <v>906235</v>
      </c>
      <c r="D2877" s="0" t="s">
        <v>9611</v>
      </c>
      <c r="E2877" s="0" t="s">
        <v>75</v>
      </c>
      <c r="F2877" s="0" t="s">
        <v>90</v>
      </c>
      <c r="G2877" s="0" t="s">
        <v>32</v>
      </c>
      <c r="H2877" s="0" t="n">
        <v>14</v>
      </c>
      <c r="I2877" s="0" t="s">
        <v>9612</v>
      </c>
      <c r="J2877" s="0" t="s">
        <v>9613</v>
      </c>
      <c r="K2877" s="0" t="s">
        <v>9614</v>
      </c>
      <c r="L2877" s="0" t="str">
        <f aca="false">HYPERLINK("https://www.ncbi.nlm.nih.gov/nuccore/CP000058.1?report=graph&amp;tracks=[key:gene_model_track,Options:GeneOnly]&amp;mk=906216:906235|offset_14|00cc00,906147:906166|offset_83|444444&amp;v=906015:906366&amp;c=444444", "offset 14")</f>
        <v>offset 14</v>
      </c>
    </row>
    <row r="2878" customFormat="false" ht="12.8" hidden="false" customHeight="false" outlineLevel="0" collapsed="false">
      <c r="A2878" s="0" t="s">
        <v>12</v>
      </c>
      <c r="B2878" s="0" t="n">
        <v>906146</v>
      </c>
      <c r="C2878" s="0" t="n">
        <v>906166</v>
      </c>
      <c r="D2878" s="0" t="s">
        <v>9611</v>
      </c>
      <c r="E2878" s="0" t="s">
        <v>75</v>
      </c>
      <c r="F2878" s="0" t="s">
        <v>90</v>
      </c>
      <c r="G2878" s="0" t="s">
        <v>32</v>
      </c>
      <c r="H2878" s="0" t="n">
        <v>83</v>
      </c>
      <c r="I2878" s="0" t="s">
        <v>9615</v>
      </c>
      <c r="J2878" s="0" t="s">
        <v>9616</v>
      </c>
      <c r="K2878" s="0" t="s">
        <v>9617</v>
      </c>
      <c r="L2878" s="0" t="str">
        <f aca="false">HYPERLINK("https://www.ncbi.nlm.nih.gov/nuccore/CP000058.1?report=graph&amp;tracks=[key:gene_model_track,Options:GeneOnly]&amp;mk=906216:906235|offset_14|444444,906147:906166|offset_83|00cc00&amp;v=906015:906366&amp;c=444444", "offset 83")</f>
        <v>offset 83</v>
      </c>
    </row>
    <row r="2879" customFormat="false" ht="12.8" hidden="false" customHeight="false" outlineLevel="0" collapsed="false">
      <c r="A2879" s="0" t="s">
        <v>12</v>
      </c>
      <c r="B2879" s="0" t="n">
        <v>910144</v>
      </c>
      <c r="C2879" s="0" t="n">
        <v>910164</v>
      </c>
      <c r="D2879" s="0" t="s">
        <v>9618</v>
      </c>
      <c r="E2879" s="0" t="s">
        <v>75</v>
      </c>
      <c r="F2879" s="0" t="s">
        <v>90</v>
      </c>
      <c r="G2879" s="0" t="s">
        <v>36</v>
      </c>
      <c r="H2879" s="0" t="n">
        <v>26</v>
      </c>
      <c r="I2879" s="0" t="s">
        <v>9619</v>
      </c>
      <c r="J2879" s="0" t="s">
        <v>9620</v>
      </c>
      <c r="K2879" s="0" t="s">
        <v>9621</v>
      </c>
      <c r="L2879" s="0" t="str">
        <f aca="false">HYPERLINK("https://www.ncbi.nlm.nih.gov/nuccore/CP000058.1?report=graph&amp;tracks=[key:gene_model_track,Options:GeneOnly]&amp;mk=910145:910164|offset_26|00cc00,910107:910126|offset_64|444444,910074:910093|offset_97|444444,910021:910040|offset_150|444444&amp;v=909944:910240&amp;c=444444", "offset 26")</f>
        <v>offset 26</v>
      </c>
    </row>
    <row r="2880" customFormat="false" ht="12.8" hidden="false" customHeight="false" outlineLevel="0" collapsed="false">
      <c r="A2880" s="0" t="s">
        <v>12</v>
      </c>
      <c r="B2880" s="0" t="n">
        <v>910106</v>
      </c>
      <c r="C2880" s="0" t="n">
        <v>910126</v>
      </c>
      <c r="D2880" s="0" t="s">
        <v>9618</v>
      </c>
      <c r="E2880" s="0" t="s">
        <v>75</v>
      </c>
      <c r="F2880" s="0" t="s">
        <v>90</v>
      </c>
      <c r="G2880" s="0" t="s">
        <v>16</v>
      </c>
      <c r="H2880" s="0" t="n">
        <v>64</v>
      </c>
      <c r="I2880" s="0" t="s">
        <v>9622</v>
      </c>
      <c r="J2880" s="0" t="s">
        <v>9623</v>
      </c>
      <c r="K2880" s="0" t="s">
        <v>9624</v>
      </c>
      <c r="L2880" s="0" t="str">
        <f aca="false">HYPERLINK("https://www.ncbi.nlm.nih.gov/nuccore/CP000058.1?report=graph&amp;tracks=[key:gene_model_track,Options:GeneOnly]&amp;mk=910145:910164|offset_26|444444,910107:910126|offset_64|00cc00,910074:910093|offset_97|444444,910021:910040|offset_150|444444&amp;v=909944:910240&amp;c=444444", "offset 64")</f>
        <v>offset 64</v>
      </c>
    </row>
    <row r="2881" customFormat="false" ht="12.8" hidden="false" customHeight="false" outlineLevel="0" collapsed="false">
      <c r="A2881" s="0" t="s">
        <v>12</v>
      </c>
      <c r="B2881" s="0" t="n">
        <v>910073</v>
      </c>
      <c r="C2881" s="0" t="n">
        <v>910093</v>
      </c>
      <c r="D2881" s="0" t="s">
        <v>9618</v>
      </c>
      <c r="E2881" s="0" t="s">
        <v>75</v>
      </c>
      <c r="F2881" s="0" t="s">
        <v>90</v>
      </c>
      <c r="G2881" s="0" t="s">
        <v>16</v>
      </c>
      <c r="H2881" s="0" t="n">
        <v>97</v>
      </c>
      <c r="I2881" s="0" t="s">
        <v>9625</v>
      </c>
      <c r="J2881" s="0" t="s">
        <v>9626</v>
      </c>
      <c r="K2881" s="0" t="s">
        <v>9627</v>
      </c>
      <c r="L2881" s="0" t="str">
        <f aca="false">HYPERLINK("https://www.ncbi.nlm.nih.gov/nuccore/CP000058.1?report=graph&amp;tracks=[key:gene_model_track,Options:GeneOnly]&amp;mk=910145:910164|offset_26|444444,910107:910126|offset_64|444444,910074:910093|offset_97|00cc00,910021:910040|offset_150|444444&amp;v=909944:910240&amp;c=444444", "offset 97")</f>
        <v>offset 97</v>
      </c>
    </row>
    <row r="2882" customFormat="false" ht="12.8" hidden="false" customHeight="false" outlineLevel="0" collapsed="false">
      <c r="A2882" s="0" t="s">
        <v>12</v>
      </c>
      <c r="B2882" s="0" t="n">
        <v>910020</v>
      </c>
      <c r="C2882" s="0" t="n">
        <v>910040</v>
      </c>
      <c r="D2882" s="0" t="s">
        <v>9618</v>
      </c>
      <c r="E2882" s="0" t="s">
        <v>75</v>
      </c>
      <c r="F2882" s="0" t="s">
        <v>90</v>
      </c>
      <c r="G2882" s="0" t="s">
        <v>32</v>
      </c>
      <c r="H2882" s="0" t="n">
        <v>150</v>
      </c>
      <c r="I2882" s="0" t="s">
        <v>9628</v>
      </c>
      <c r="J2882" s="0" t="s">
        <v>9629</v>
      </c>
      <c r="K2882" s="0" t="s">
        <v>9630</v>
      </c>
      <c r="L2882" s="0" t="str">
        <f aca="false">HYPERLINK("https://www.ncbi.nlm.nih.gov/nuccore/CP000058.1?report=graph&amp;tracks=[key:gene_model_track,Options:GeneOnly]&amp;mk=910145:910164|offset_26|444444,910107:910126|offset_64|444444,910074:910093|offset_97|444444,910021:910040|offset_150|00cc00&amp;v=909944:910240&amp;c=444444", "offset 150")</f>
        <v>offset 150</v>
      </c>
    </row>
    <row r="2883" customFormat="false" ht="12.8" hidden="false" customHeight="false" outlineLevel="0" collapsed="false">
      <c r="A2883" s="0" t="s">
        <v>12</v>
      </c>
      <c r="B2883" s="0" t="n">
        <v>910926</v>
      </c>
      <c r="C2883" s="0" t="n">
        <v>910946</v>
      </c>
      <c r="D2883" s="0" t="s">
        <v>9631</v>
      </c>
      <c r="E2883" s="0" t="s">
        <v>75</v>
      </c>
      <c r="F2883" s="0" t="s">
        <v>90</v>
      </c>
      <c r="G2883" s="0" t="s">
        <v>20</v>
      </c>
      <c r="H2883" s="0" t="n">
        <v>29</v>
      </c>
      <c r="I2883" s="0" t="s">
        <v>9632</v>
      </c>
      <c r="J2883" s="0" t="s">
        <v>9633</v>
      </c>
      <c r="K2883" s="0" t="s">
        <v>9634</v>
      </c>
      <c r="L2883" s="0" t="str">
        <f aca="false">HYPERLINK("https://www.ncbi.nlm.nih.gov/nuccore/CP000058.1?report=graph&amp;tracks=[key:gene_model_track,Options:GeneOnly]&amp;mk=910927:910946|offset_29|00cc00,910895:910914|offset_61|444444,910872:910891|offset_84|444444,910831:910850|offset_125|444444&amp;v=910726:911050&amp;c=444444", "offset 29")</f>
        <v>offset 29</v>
      </c>
    </row>
    <row r="2884" customFormat="false" ht="12.8" hidden="false" customHeight="false" outlineLevel="0" collapsed="false">
      <c r="A2884" s="0" t="s">
        <v>12</v>
      </c>
      <c r="B2884" s="0" t="n">
        <v>910894</v>
      </c>
      <c r="C2884" s="0" t="n">
        <v>910914</v>
      </c>
      <c r="D2884" s="0" t="s">
        <v>9631</v>
      </c>
      <c r="E2884" s="0" t="s">
        <v>75</v>
      </c>
      <c r="F2884" s="0" t="s">
        <v>90</v>
      </c>
      <c r="G2884" s="0" t="s">
        <v>32</v>
      </c>
      <c r="H2884" s="0" t="n">
        <v>61</v>
      </c>
      <c r="I2884" s="0" t="s">
        <v>9635</v>
      </c>
      <c r="J2884" s="0" t="s">
        <v>9636</v>
      </c>
      <c r="K2884" s="0" t="s">
        <v>9637</v>
      </c>
      <c r="L2884" s="0" t="str">
        <f aca="false">HYPERLINK("https://www.ncbi.nlm.nih.gov/nuccore/CP000058.1?report=graph&amp;tracks=[key:gene_model_track,Options:GeneOnly]&amp;mk=910927:910946|offset_29|444444,910895:910914|offset_61|00cc00,910872:910891|offset_84|444444,910831:910850|offset_125|444444&amp;v=910726:911050&amp;c=444444", "offset 61")</f>
        <v>offset 61</v>
      </c>
    </row>
    <row r="2885" customFormat="false" ht="12.8" hidden="false" customHeight="false" outlineLevel="0" collapsed="false">
      <c r="A2885" s="0" t="s">
        <v>12</v>
      </c>
      <c r="B2885" s="0" t="n">
        <v>910871</v>
      </c>
      <c r="C2885" s="0" t="n">
        <v>910891</v>
      </c>
      <c r="D2885" s="0" t="s">
        <v>9631</v>
      </c>
      <c r="E2885" s="0" t="s">
        <v>75</v>
      </c>
      <c r="F2885" s="0" t="s">
        <v>90</v>
      </c>
      <c r="G2885" s="0" t="s">
        <v>16</v>
      </c>
      <c r="H2885" s="0" t="n">
        <v>84</v>
      </c>
      <c r="I2885" s="0" t="s">
        <v>9638</v>
      </c>
      <c r="J2885" s="0" t="s">
        <v>9639</v>
      </c>
      <c r="K2885" s="0" t="s">
        <v>9640</v>
      </c>
      <c r="L2885" s="0" t="str">
        <f aca="false">HYPERLINK("https://www.ncbi.nlm.nih.gov/nuccore/CP000058.1?report=graph&amp;tracks=[key:gene_model_track,Options:GeneOnly]&amp;mk=910927:910946|offset_29|444444,910895:910914|offset_61|444444,910872:910891|offset_84|00cc00,910831:910850|offset_125|444444&amp;v=910726:911050&amp;c=444444", "offset 84")</f>
        <v>offset 84</v>
      </c>
    </row>
    <row r="2886" customFormat="false" ht="12.8" hidden="false" customHeight="false" outlineLevel="0" collapsed="false">
      <c r="A2886" s="0" t="s">
        <v>12</v>
      </c>
      <c r="B2886" s="0" t="n">
        <v>910830</v>
      </c>
      <c r="C2886" s="0" t="n">
        <v>910850</v>
      </c>
      <c r="D2886" s="0" t="s">
        <v>9631</v>
      </c>
      <c r="E2886" s="0" t="s">
        <v>75</v>
      </c>
      <c r="F2886" s="0" t="s">
        <v>90</v>
      </c>
      <c r="G2886" s="0" t="s">
        <v>32</v>
      </c>
      <c r="H2886" s="0" t="n">
        <v>125</v>
      </c>
      <c r="I2886" s="0" t="s">
        <v>9641</v>
      </c>
      <c r="J2886" s="0" t="s">
        <v>9642</v>
      </c>
      <c r="K2886" s="0" t="s">
        <v>9643</v>
      </c>
      <c r="L2886" s="0" t="str">
        <f aca="false">HYPERLINK("https://www.ncbi.nlm.nih.gov/nuccore/CP000058.1?report=graph&amp;tracks=[key:gene_model_track,Options:GeneOnly]&amp;mk=910927:910946|offset_29|444444,910895:910914|offset_61|444444,910872:910891|offset_84|444444,910831:910850|offset_125|00cc00&amp;v=910726:911050&amp;c=444444", "offset 125")</f>
        <v>offset 125</v>
      </c>
    </row>
    <row r="2887" customFormat="false" ht="12.8" hidden="false" customHeight="false" outlineLevel="0" collapsed="false">
      <c r="A2887" s="0" t="s">
        <v>12</v>
      </c>
      <c r="B2887" s="0" t="n">
        <v>913794</v>
      </c>
      <c r="C2887" s="0" t="n">
        <v>913814</v>
      </c>
      <c r="D2887" s="0" t="s">
        <v>9644</v>
      </c>
      <c r="E2887" s="0" t="s">
        <v>75</v>
      </c>
      <c r="F2887" s="0" t="s">
        <v>90</v>
      </c>
      <c r="G2887" s="0" t="s">
        <v>32</v>
      </c>
      <c r="H2887" s="0" t="n">
        <v>18</v>
      </c>
      <c r="I2887" s="0" t="s">
        <v>9645</v>
      </c>
      <c r="J2887" s="0" t="s">
        <v>9646</v>
      </c>
      <c r="K2887" s="0" t="s">
        <v>9647</v>
      </c>
      <c r="L2887" s="0" t="str">
        <f aca="false">HYPERLINK("https://www.ncbi.nlm.nih.gov/nuccore/CP000058.1?report=graph&amp;tracks=[key:gene_model_track,Options:GeneOnly]&amp;mk=913795:913814|offset_18|00cc00,913717:913736|offset_96|444444,913615:913634|offset_198|444444,913573:913592|offset_240|444444&amp;v=913594:913792&amp;c=444444", "offset 18")</f>
        <v>offset 18</v>
      </c>
    </row>
    <row r="2888" customFormat="false" ht="12.8" hidden="false" customHeight="false" outlineLevel="0" collapsed="false">
      <c r="A2888" s="0" t="s">
        <v>12</v>
      </c>
      <c r="B2888" s="0" t="n">
        <v>913716</v>
      </c>
      <c r="C2888" s="0" t="n">
        <v>913736</v>
      </c>
      <c r="D2888" s="0" t="s">
        <v>9644</v>
      </c>
      <c r="E2888" s="0" t="s">
        <v>75</v>
      </c>
      <c r="F2888" s="0" t="s">
        <v>90</v>
      </c>
      <c r="G2888" s="0" t="s">
        <v>32</v>
      </c>
      <c r="H2888" s="0" t="n">
        <v>96</v>
      </c>
      <c r="I2888" s="0" t="s">
        <v>9648</v>
      </c>
      <c r="J2888" s="0" t="s">
        <v>9649</v>
      </c>
      <c r="K2888" s="0" t="s">
        <v>9650</v>
      </c>
      <c r="L2888" s="0" t="str">
        <f aca="false">HYPERLINK("https://www.ncbi.nlm.nih.gov/nuccore/CP000058.1?report=graph&amp;tracks=[key:gene_model_track,Options:GeneOnly]&amp;mk=913795:913814|offset_18|444444,913717:913736|offset_96|00cc00,913615:913634|offset_198|444444,913573:913592|offset_240|444444&amp;v=913594:913792&amp;c=444444", "offset 96")</f>
        <v>offset 96</v>
      </c>
    </row>
    <row r="2889" customFormat="false" ht="12.8" hidden="false" customHeight="false" outlineLevel="0" collapsed="false">
      <c r="A2889" s="0" t="s">
        <v>12</v>
      </c>
      <c r="B2889" s="0" t="n">
        <v>913614</v>
      </c>
      <c r="C2889" s="0" t="n">
        <v>913634</v>
      </c>
      <c r="D2889" s="0" t="s">
        <v>9644</v>
      </c>
      <c r="E2889" s="0" t="s">
        <v>75</v>
      </c>
      <c r="F2889" s="0" t="s">
        <v>90</v>
      </c>
      <c r="G2889" s="0" t="s">
        <v>20</v>
      </c>
      <c r="H2889" s="0" t="n">
        <v>198</v>
      </c>
      <c r="I2889" s="0" t="s">
        <v>9651</v>
      </c>
      <c r="J2889" s="0" t="s">
        <v>9652</v>
      </c>
      <c r="K2889" s="0" t="s">
        <v>9653</v>
      </c>
      <c r="L2889" s="0" t="str">
        <f aca="false">HYPERLINK("https://www.ncbi.nlm.nih.gov/nuccore/CP000058.1?report=graph&amp;tracks=[key:gene_model_track,Options:GeneOnly]&amp;mk=913795:913814|offset_18|444444,913717:913736|offset_96|444444,913615:913634|offset_198|00cc00,913573:913592|offset_240|444444&amp;v=913594:913792&amp;c=444444", "offset 198")</f>
        <v>offset 198</v>
      </c>
    </row>
    <row r="2890" customFormat="false" ht="12.8" hidden="false" customHeight="false" outlineLevel="0" collapsed="false">
      <c r="A2890" s="0" t="s">
        <v>12</v>
      </c>
      <c r="B2890" s="0" t="n">
        <v>913572</v>
      </c>
      <c r="C2890" s="0" t="n">
        <v>913592</v>
      </c>
      <c r="D2890" s="0" t="s">
        <v>9644</v>
      </c>
      <c r="E2890" s="0" t="s">
        <v>75</v>
      </c>
      <c r="F2890" s="0" t="s">
        <v>90</v>
      </c>
      <c r="G2890" s="0" t="s">
        <v>32</v>
      </c>
      <c r="H2890" s="0" t="n">
        <v>240</v>
      </c>
      <c r="I2890" s="0" t="s">
        <v>9654</v>
      </c>
      <c r="J2890" s="0" t="s">
        <v>9655</v>
      </c>
      <c r="K2890" s="0" t="s">
        <v>9656</v>
      </c>
      <c r="L2890" s="0" t="str">
        <f aca="false">HYPERLINK("https://www.ncbi.nlm.nih.gov/nuccore/CP000058.1?report=graph&amp;tracks=[key:gene_model_track,Options:GeneOnly]&amp;mk=913795:913814|offset_18|444444,913717:913736|offset_96|444444,913615:913634|offset_198|444444,913573:913592|offset_240|00cc00&amp;v=913594:913792&amp;c=444444", "offset 240")</f>
        <v>offset 240</v>
      </c>
    </row>
    <row r="2891" customFormat="false" ht="12.8" hidden="false" customHeight="false" outlineLevel="0" collapsed="false">
      <c r="A2891" s="0" t="s">
        <v>12</v>
      </c>
      <c r="B2891" s="0" t="n">
        <v>914324</v>
      </c>
      <c r="C2891" s="0" t="n">
        <v>914344</v>
      </c>
      <c r="D2891" s="0" t="s">
        <v>9657</v>
      </c>
      <c r="E2891" s="0" t="s">
        <v>75</v>
      </c>
      <c r="F2891" s="0" t="s">
        <v>15</v>
      </c>
      <c r="G2891" s="0" t="s">
        <v>32</v>
      </c>
      <c r="H2891" s="0" t="n">
        <v>32</v>
      </c>
      <c r="I2891" s="0" t="s">
        <v>9658</v>
      </c>
      <c r="J2891" s="0" t="s">
        <v>9659</v>
      </c>
      <c r="K2891" s="0" t="s">
        <v>9660</v>
      </c>
      <c r="L2891" s="0" t="str">
        <f aca="false">HYPERLINK("https://www.ncbi.nlm.nih.gov/nuccore/CP000058.1?report=graph&amp;tracks=[key:gene_model_track,Options:GeneOnly]&amp;mk=914325:914344|offset_32|00cc00,914379:914398|offset_86|444444,914403:914422|offset_110|444444,914435:914454|offset_142|444444&amp;v=914124:914654&amp;c=444444", "offset 32")</f>
        <v>offset 32</v>
      </c>
    </row>
    <row r="2892" customFormat="false" ht="12.8" hidden="false" customHeight="false" outlineLevel="0" collapsed="false">
      <c r="A2892" s="0" t="s">
        <v>12</v>
      </c>
      <c r="B2892" s="0" t="n">
        <v>914378</v>
      </c>
      <c r="C2892" s="0" t="n">
        <v>914398</v>
      </c>
      <c r="D2892" s="0" t="s">
        <v>9657</v>
      </c>
      <c r="E2892" s="0" t="s">
        <v>75</v>
      </c>
      <c r="F2892" s="0" t="s">
        <v>15</v>
      </c>
      <c r="G2892" s="0" t="s">
        <v>20</v>
      </c>
      <c r="H2892" s="0" t="n">
        <v>86</v>
      </c>
      <c r="I2892" s="0" t="s">
        <v>9661</v>
      </c>
      <c r="J2892" s="0" t="s">
        <v>9662</v>
      </c>
      <c r="K2892" s="0" t="s">
        <v>9663</v>
      </c>
      <c r="L2892" s="0" t="str">
        <f aca="false">HYPERLINK("https://www.ncbi.nlm.nih.gov/nuccore/CP000058.1?report=graph&amp;tracks=[key:gene_model_track,Options:GeneOnly]&amp;mk=914325:914344|offset_32|444444,914379:914398|offset_86|00cc00,914403:914422|offset_110|444444,914435:914454|offset_142|444444&amp;v=914124:914654&amp;c=444444", "offset 86")</f>
        <v>offset 86</v>
      </c>
    </row>
    <row r="2893" customFormat="false" ht="12.8" hidden="false" customHeight="false" outlineLevel="0" collapsed="false">
      <c r="A2893" s="0" t="s">
        <v>12</v>
      </c>
      <c r="B2893" s="0" t="n">
        <v>914402</v>
      </c>
      <c r="C2893" s="0" t="n">
        <v>914422</v>
      </c>
      <c r="D2893" s="0" t="s">
        <v>9657</v>
      </c>
      <c r="E2893" s="0" t="s">
        <v>75</v>
      </c>
      <c r="F2893" s="0" t="s">
        <v>15</v>
      </c>
      <c r="G2893" s="0" t="s">
        <v>36</v>
      </c>
      <c r="H2893" s="0" t="n">
        <v>110</v>
      </c>
      <c r="I2893" s="0" t="s">
        <v>9664</v>
      </c>
      <c r="J2893" s="0" t="s">
        <v>9665</v>
      </c>
      <c r="K2893" s="0" t="s">
        <v>9666</v>
      </c>
      <c r="L2893" s="0" t="str">
        <f aca="false">HYPERLINK("https://www.ncbi.nlm.nih.gov/nuccore/CP000058.1?report=graph&amp;tracks=[key:gene_model_track,Options:GeneOnly]&amp;mk=914325:914344|offset_32|444444,914379:914398|offset_86|444444,914403:914422|offset_110|00cc00,914435:914454|offset_142|444444&amp;v=914124:914654&amp;c=444444", "offset 110")</f>
        <v>offset 110</v>
      </c>
    </row>
    <row r="2894" customFormat="false" ht="12.8" hidden="false" customHeight="false" outlineLevel="0" collapsed="false">
      <c r="A2894" s="0" t="s">
        <v>12</v>
      </c>
      <c r="B2894" s="0" t="n">
        <v>914434</v>
      </c>
      <c r="C2894" s="0" t="n">
        <v>914454</v>
      </c>
      <c r="D2894" s="0" t="s">
        <v>9657</v>
      </c>
      <c r="E2894" s="0" t="s">
        <v>75</v>
      </c>
      <c r="F2894" s="0" t="s">
        <v>15</v>
      </c>
      <c r="G2894" s="0" t="s">
        <v>36</v>
      </c>
      <c r="H2894" s="0" t="n">
        <v>142</v>
      </c>
      <c r="I2894" s="0" t="s">
        <v>9667</v>
      </c>
      <c r="J2894" s="0" t="s">
        <v>9668</v>
      </c>
      <c r="K2894" s="0" t="s">
        <v>9669</v>
      </c>
      <c r="L2894" s="0" t="str">
        <f aca="false">HYPERLINK("https://www.ncbi.nlm.nih.gov/nuccore/CP000058.1?report=graph&amp;tracks=[key:gene_model_track,Options:GeneOnly]&amp;mk=914325:914344|offset_32|444444,914379:914398|offset_86|444444,914403:914422|offset_110|444444,914435:914454|offset_142|00cc00&amp;v=914124:914654&amp;c=444444", "offset 142")</f>
        <v>offset 142</v>
      </c>
    </row>
    <row r="2895" customFormat="false" ht="12.8" hidden="false" customHeight="false" outlineLevel="0" collapsed="false">
      <c r="A2895" s="0" t="s">
        <v>12</v>
      </c>
      <c r="B2895" s="0" t="n">
        <v>916986</v>
      </c>
      <c r="C2895" s="0" t="n">
        <v>917006</v>
      </c>
      <c r="D2895" s="0" t="s">
        <v>9670</v>
      </c>
      <c r="E2895" s="0" t="s">
        <v>75</v>
      </c>
      <c r="F2895" s="0" t="s">
        <v>15</v>
      </c>
      <c r="G2895" s="0" t="s">
        <v>32</v>
      </c>
      <c r="H2895" s="0" t="n">
        <v>33</v>
      </c>
      <c r="I2895" s="0" t="s">
        <v>9671</v>
      </c>
      <c r="J2895" s="0" t="s">
        <v>9672</v>
      </c>
      <c r="K2895" s="0" t="s">
        <v>9673</v>
      </c>
      <c r="L2895" s="0" t="str">
        <f aca="false">HYPERLINK("https://www.ncbi.nlm.nih.gov/nuccore/CP000058.1?report=graph&amp;tracks=[key:gene_model_track,Options:GeneOnly]&amp;mk=916987:917006|offset_33|00cc00,917042:917061|offset_88|444444,917064:917083|offset_110|444444,917085:917104|offset_131|444444&amp;v=916786:917304&amp;c=444444", "offset 33")</f>
        <v>offset 33</v>
      </c>
    </row>
    <row r="2896" customFormat="false" ht="12.8" hidden="false" customHeight="false" outlineLevel="0" collapsed="false">
      <c r="A2896" s="0" t="s">
        <v>12</v>
      </c>
      <c r="B2896" s="0" t="n">
        <v>917041</v>
      </c>
      <c r="C2896" s="0" t="n">
        <v>917061</v>
      </c>
      <c r="D2896" s="0" t="s">
        <v>9670</v>
      </c>
      <c r="E2896" s="0" t="s">
        <v>75</v>
      </c>
      <c r="F2896" s="0" t="s">
        <v>15</v>
      </c>
      <c r="G2896" s="0" t="s">
        <v>36</v>
      </c>
      <c r="H2896" s="0" t="n">
        <v>88</v>
      </c>
      <c r="I2896" s="0" t="s">
        <v>9674</v>
      </c>
      <c r="J2896" s="0" t="s">
        <v>9675</v>
      </c>
      <c r="K2896" s="0" t="s">
        <v>9676</v>
      </c>
      <c r="L2896" s="0" t="str">
        <f aca="false">HYPERLINK("https://www.ncbi.nlm.nih.gov/nuccore/CP000058.1?report=graph&amp;tracks=[key:gene_model_track,Options:GeneOnly]&amp;mk=916987:917006|offset_33|444444,917042:917061|offset_88|00cc00,917064:917083|offset_110|444444,917085:917104|offset_131|444444&amp;v=916786:917304&amp;c=444444", "offset 88")</f>
        <v>offset 88</v>
      </c>
    </row>
    <row r="2897" customFormat="false" ht="12.8" hidden="false" customHeight="false" outlineLevel="0" collapsed="false">
      <c r="A2897" s="0" t="s">
        <v>12</v>
      </c>
      <c r="B2897" s="0" t="n">
        <v>917063</v>
      </c>
      <c r="C2897" s="0" t="n">
        <v>917083</v>
      </c>
      <c r="D2897" s="0" t="s">
        <v>9670</v>
      </c>
      <c r="E2897" s="0" t="s">
        <v>75</v>
      </c>
      <c r="F2897" s="0" t="s">
        <v>15</v>
      </c>
      <c r="G2897" s="0" t="s">
        <v>32</v>
      </c>
      <c r="H2897" s="0" t="n">
        <v>110</v>
      </c>
      <c r="I2897" s="0" t="s">
        <v>9677</v>
      </c>
      <c r="J2897" s="0" t="s">
        <v>9678</v>
      </c>
      <c r="K2897" s="0" t="s">
        <v>9679</v>
      </c>
      <c r="L2897" s="0" t="str">
        <f aca="false">HYPERLINK("https://www.ncbi.nlm.nih.gov/nuccore/CP000058.1?report=graph&amp;tracks=[key:gene_model_track,Options:GeneOnly]&amp;mk=916987:917006|offset_33|444444,917042:917061|offset_88|444444,917064:917083|offset_110|00cc00,917085:917104|offset_131|444444&amp;v=916786:917304&amp;c=444444", "offset 110")</f>
        <v>offset 110</v>
      </c>
    </row>
    <row r="2898" customFormat="false" ht="12.8" hidden="false" customHeight="false" outlineLevel="0" collapsed="false">
      <c r="A2898" s="0" t="s">
        <v>12</v>
      </c>
      <c r="B2898" s="0" t="n">
        <v>917084</v>
      </c>
      <c r="C2898" s="0" t="n">
        <v>917104</v>
      </c>
      <c r="D2898" s="0" t="s">
        <v>9670</v>
      </c>
      <c r="E2898" s="0" t="s">
        <v>75</v>
      </c>
      <c r="F2898" s="0" t="s">
        <v>15</v>
      </c>
      <c r="G2898" s="0" t="s">
        <v>32</v>
      </c>
      <c r="H2898" s="0" t="n">
        <v>131</v>
      </c>
      <c r="I2898" s="0" t="s">
        <v>9680</v>
      </c>
      <c r="J2898" s="0" t="s">
        <v>9681</v>
      </c>
      <c r="K2898" s="0" t="s">
        <v>9682</v>
      </c>
      <c r="L2898" s="0" t="str">
        <f aca="false">HYPERLINK("https://www.ncbi.nlm.nih.gov/nuccore/CP000058.1?report=graph&amp;tracks=[key:gene_model_track,Options:GeneOnly]&amp;mk=916987:917006|offset_33|444444,917042:917061|offset_88|444444,917064:917083|offset_110|444444,917085:917104|offset_131|00cc00&amp;v=916786:917304&amp;c=444444", "offset 131")</f>
        <v>offset 131</v>
      </c>
    </row>
    <row r="2899" customFormat="false" ht="12.8" hidden="false" customHeight="false" outlineLevel="0" collapsed="false">
      <c r="A2899" s="0" t="s">
        <v>12</v>
      </c>
      <c r="B2899" s="0" t="n">
        <v>918727</v>
      </c>
      <c r="C2899" s="0" t="n">
        <v>918747</v>
      </c>
      <c r="D2899" s="0" t="s">
        <v>9683</v>
      </c>
      <c r="E2899" s="0" t="s">
        <v>75</v>
      </c>
      <c r="F2899" s="0" t="s">
        <v>15</v>
      </c>
      <c r="G2899" s="0" t="s">
        <v>32</v>
      </c>
      <c r="H2899" s="0" t="n">
        <v>1</v>
      </c>
      <c r="I2899" s="0" t="s">
        <v>9684</v>
      </c>
      <c r="J2899" s="0" t="s">
        <v>9685</v>
      </c>
      <c r="K2899" s="0" t="s">
        <v>9686</v>
      </c>
      <c r="L2899" s="0" t="str">
        <f aca="false">HYPERLINK("https://www.ncbi.nlm.nih.gov/nuccore/CP000058.1?report=graph&amp;tracks=[key:gene_model_track,Options:GeneOnly]&amp;mk=918728:918747|offset_1|00cc00,918757:918776|offset_30|444444,918793:918812|offset_66|444444,918831:918850|offset_104|444444&amp;v=918527:919050&amp;c=444444", "offset 1")</f>
        <v>offset 1</v>
      </c>
    </row>
    <row r="2900" customFormat="false" ht="12.8" hidden="false" customHeight="false" outlineLevel="0" collapsed="false">
      <c r="A2900" s="0" t="s">
        <v>12</v>
      </c>
      <c r="B2900" s="0" t="n">
        <v>918756</v>
      </c>
      <c r="C2900" s="0" t="n">
        <v>918776</v>
      </c>
      <c r="D2900" s="0" t="s">
        <v>9683</v>
      </c>
      <c r="E2900" s="0" t="s">
        <v>75</v>
      </c>
      <c r="F2900" s="0" t="s">
        <v>15</v>
      </c>
      <c r="G2900" s="0" t="s">
        <v>36</v>
      </c>
      <c r="H2900" s="0" t="n">
        <v>30</v>
      </c>
      <c r="I2900" s="0" t="s">
        <v>9687</v>
      </c>
      <c r="J2900" s="0" t="s">
        <v>9688</v>
      </c>
      <c r="K2900" s="0" t="s">
        <v>9689</v>
      </c>
      <c r="L2900" s="0" t="str">
        <f aca="false">HYPERLINK("https://www.ncbi.nlm.nih.gov/nuccore/CP000058.1?report=graph&amp;tracks=[key:gene_model_track,Options:GeneOnly]&amp;mk=918728:918747|offset_1|444444,918757:918776|offset_30|00cc00,918793:918812|offset_66|444444,918831:918850|offset_104|444444&amp;v=918527:919050&amp;c=444444", "offset 30")</f>
        <v>offset 30</v>
      </c>
    </row>
    <row r="2901" customFormat="false" ht="12.8" hidden="false" customHeight="false" outlineLevel="0" collapsed="false">
      <c r="A2901" s="0" t="s">
        <v>12</v>
      </c>
      <c r="B2901" s="0" t="n">
        <v>918792</v>
      </c>
      <c r="C2901" s="0" t="n">
        <v>918812</v>
      </c>
      <c r="D2901" s="0" t="s">
        <v>9683</v>
      </c>
      <c r="E2901" s="0" t="s">
        <v>75</v>
      </c>
      <c r="F2901" s="0" t="s">
        <v>15</v>
      </c>
      <c r="G2901" s="0" t="s">
        <v>20</v>
      </c>
      <c r="H2901" s="0" t="n">
        <v>66</v>
      </c>
      <c r="I2901" s="0" t="s">
        <v>9690</v>
      </c>
      <c r="J2901" s="0" t="s">
        <v>9691</v>
      </c>
      <c r="K2901" s="0" t="s">
        <v>9692</v>
      </c>
      <c r="L2901" s="0" t="str">
        <f aca="false">HYPERLINK("https://www.ncbi.nlm.nih.gov/nuccore/CP000058.1?report=graph&amp;tracks=[key:gene_model_track,Options:GeneOnly]&amp;mk=918728:918747|offset_1|444444,918757:918776|offset_30|444444,918793:918812|offset_66|00cc00,918831:918850|offset_104|444444&amp;v=918527:919050&amp;c=444444", "offset 66")</f>
        <v>offset 66</v>
      </c>
    </row>
    <row r="2902" customFormat="false" ht="12.8" hidden="false" customHeight="false" outlineLevel="0" collapsed="false">
      <c r="A2902" s="0" t="s">
        <v>12</v>
      </c>
      <c r="B2902" s="0" t="n">
        <v>918830</v>
      </c>
      <c r="C2902" s="0" t="n">
        <v>918850</v>
      </c>
      <c r="D2902" s="0" t="s">
        <v>9683</v>
      </c>
      <c r="E2902" s="0" t="s">
        <v>75</v>
      </c>
      <c r="F2902" s="0" t="s">
        <v>15</v>
      </c>
      <c r="G2902" s="0" t="s">
        <v>36</v>
      </c>
      <c r="H2902" s="0" t="n">
        <v>104</v>
      </c>
      <c r="I2902" s="0" t="s">
        <v>9693</v>
      </c>
      <c r="J2902" s="0" t="s">
        <v>9694</v>
      </c>
      <c r="K2902" s="0" t="s">
        <v>9695</v>
      </c>
      <c r="L2902" s="0" t="str">
        <f aca="false">HYPERLINK("https://www.ncbi.nlm.nih.gov/nuccore/CP000058.1?report=graph&amp;tracks=[key:gene_model_track,Options:GeneOnly]&amp;mk=918728:918747|offset_1|444444,918757:918776|offset_30|444444,918793:918812|offset_66|444444,918831:918850|offset_104|00cc00&amp;v=918527:919050&amp;c=444444", "offset 104")</f>
        <v>offset 104</v>
      </c>
    </row>
    <row r="2903" customFormat="false" ht="12.8" hidden="false" customHeight="false" outlineLevel="0" collapsed="false">
      <c r="A2903" s="0" t="s">
        <v>12</v>
      </c>
      <c r="B2903" s="0" t="n">
        <v>924526</v>
      </c>
      <c r="C2903" s="0" t="n">
        <v>924546</v>
      </c>
      <c r="D2903" s="0" t="s">
        <v>9696</v>
      </c>
      <c r="E2903" s="0" t="s">
        <v>75</v>
      </c>
      <c r="F2903" s="0" t="s">
        <v>15</v>
      </c>
      <c r="G2903" s="0" t="s">
        <v>32</v>
      </c>
      <c r="H2903" s="0" t="n">
        <v>10</v>
      </c>
      <c r="I2903" s="0" t="s">
        <v>9697</v>
      </c>
      <c r="J2903" s="0" t="s">
        <v>9698</v>
      </c>
      <c r="K2903" s="0" t="s">
        <v>9699</v>
      </c>
      <c r="L2903" s="0" t="str">
        <f aca="false">HYPERLINK("https://www.ncbi.nlm.nih.gov/nuccore/CP000058.1?report=graph&amp;tracks=[key:gene_model_track,Options:GeneOnly]&amp;mk=924527:924546|offset_10|00cc00,924547:924566|offset_30|444444,924588:924607|offset_71|444444,924614:924633|offset_97|444444&amp;v=924326:924833&amp;c=444444", "offset 10")</f>
        <v>offset 10</v>
      </c>
    </row>
    <row r="2904" customFormat="false" ht="12.8" hidden="false" customHeight="false" outlineLevel="0" collapsed="false">
      <c r="A2904" s="0" t="s">
        <v>12</v>
      </c>
      <c r="B2904" s="0" t="n">
        <v>924546</v>
      </c>
      <c r="C2904" s="0" t="n">
        <v>924566</v>
      </c>
      <c r="D2904" s="0" t="s">
        <v>9696</v>
      </c>
      <c r="E2904" s="0" t="s">
        <v>75</v>
      </c>
      <c r="F2904" s="0" t="s">
        <v>15</v>
      </c>
      <c r="G2904" s="0" t="s">
        <v>20</v>
      </c>
      <c r="H2904" s="0" t="n">
        <v>30</v>
      </c>
      <c r="I2904" s="0" t="s">
        <v>9700</v>
      </c>
      <c r="J2904" s="0" t="s">
        <v>9701</v>
      </c>
      <c r="K2904" s="0" t="s">
        <v>9702</v>
      </c>
      <c r="L2904" s="0" t="str">
        <f aca="false">HYPERLINK("https://www.ncbi.nlm.nih.gov/nuccore/CP000058.1?report=graph&amp;tracks=[key:gene_model_track,Options:GeneOnly]&amp;mk=924527:924546|offset_10|444444,924547:924566|offset_30|00cc00,924588:924607|offset_71|444444,924614:924633|offset_97|444444&amp;v=924326:924833&amp;c=444444", "offset 30")</f>
        <v>offset 30</v>
      </c>
    </row>
    <row r="2905" customFormat="false" ht="12.8" hidden="false" customHeight="false" outlineLevel="0" collapsed="false">
      <c r="A2905" s="0" t="s">
        <v>12</v>
      </c>
      <c r="B2905" s="0" t="n">
        <v>924587</v>
      </c>
      <c r="C2905" s="0" t="n">
        <v>924607</v>
      </c>
      <c r="D2905" s="0" t="s">
        <v>9696</v>
      </c>
      <c r="E2905" s="0" t="s">
        <v>75</v>
      </c>
      <c r="F2905" s="0" t="s">
        <v>15</v>
      </c>
      <c r="G2905" s="0" t="s">
        <v>20</v>
      </c>
      <c r="H2905" s="0" t="n">
        <v>71</v>
      </c>
      <c r="I2905" s="0" t="s">
        <v>9703</v>
      </c>
      <c r="J2905" s="0" t="s">
        <v>9704</v>
      </c>
      <c r="K2905" s="0" t="s">
        <v>9705</v>
      </c>
      <c r="L2905" s="0" t="str">
        <f aca="false">HYPERLINK("https://www.ncbi.nlm.nih.gov/nuccore/CP000058.1?report=graph&amp;tracks=[key:gene_model_track,Options:GeneOnly]&amp;mk=924527:924546|offset_10|444444,924547:924566|offset_30|444444,924588:924607|offset_71|00cc00,924614:924633|offset_97|444444&amp;v=924326:924833&amp;c=444444", "offset 71")</f>
        <v>offset 71</v>
      </c>
    </row>
    <row r="2906" customFormat="false" ht="12.8" hidden="false" customHeight="false" outlineLevel="0" collapsed="false">
      <c r="A2906" s="0" t="s">
        <v>12</v>
      </c>
      <c r="B2906" s="0" t="n">
        <v>924613</v>
      </c>
      <c r="C2906" s="0" t="n">
        <v>924633</v>
      </c>
      <c r="D2906" s="0" t="s">
        <v>9696</v>
      </c>
      <c r="E2906" s="0" t="s">
        <v>75</v>
      </c>
      <c r="F2906" s="0" t="s">
        <v>15</v>
      </c>
      <c r="G2906" s="0" t="s">
        <v>16</v>
      </c>
      <c r="H2906" s="0" t="n">
        <v>97</v>
      </c>
      <c r="I2906" s="0" t="s">
        <v>9706</v>
      </c>
      <c r="J2906" s="0" t="s">
        <v>9707</v>
      </c>
      <c r="K2906" s="0" t="s">
        <v>9708</v>
      </c>
      <c r="L2906" s="0" t="str">
        <f aca="false">HYPERLINK("https://www.ncbi.nlm.nih.gov/nuccore/CP000058.1?report=graph&amp;tracks=[key:gene_model_track,Options:GeneOnly]&amp;mk=924527:924546|offset_10|444444,924547:924566|offset_30|444444,924588:924607|offset_71|444444,924614:924633|offset_97|00cc00&amp;v=924326:924833&amp;c=444444", "offset 97")</f>
        <v>offset 97</v>
      </c>
    </row>
    <row r="2907" customFormat="false" ht="12.8" hidden="false" customHeight="false" outlineLevel="0" collapsed="false">
      <c r="A2907" s="0" t="s">
        <v>12</v>
      </c>
      <c r="B2907" s="0" t="n">
        <v>926871</v>
      </c>
      <c r="C2907" s="0" t="n">
        <v>926891</v>
      </c>
      <c r="D2907" s="0" t="s">
        <v>9709</v>
      </c>
      <c r="E2907" s="0" t="s">
        <v>75</v>
      </c>
      <c r="F2907" s="0" t="s">
        <v>90</v>
      </c>
      <c r="G2907" s="0" t="s">
        <v>16</v>
      </c>
      <c r="H2907" s="0" t="n">
        <v>6</v>
      </c>
      <c r="I2907" s="0" t="s">
        <v>9710</v>
      </c>
      <c r="J2907" s="0" t="s">
        <v>9711</v>
      </c>
      <c r="K2907" s="0" t="s">
        <v>9712</v>
      </c>
      <c r="L2907" s="0" t="str">
        <f aca="false">HYPERLINK("https://www.ncbi.nlm.nih.gov/nuccore/CP000058.1?report=graph&amp;tracks=[key:gene_model_track,Options:GeneOnly]&amp;mk=926872:926891|offset_6|00cc00,926840:926859|offset_38|444444,926812:926831|offset_66|444444,926778:926797|offset_100|444444&amp;v=926671:926997&amp;c=444444", "offset 6")</f>
        <v>offset 6</v>
      </c>
    </row>
    <row r="2908" customFormat="false" ht="12.8" hidden="false" customHeight="false" outlineLevel="0" collapsed="false">
      <c r="A2908" s="0" t="s">
        <v>12</v>
      </c>
      <c r="B2908" s="0" t="n">
        <v>926839</v>
      </c>
      <c r="C2908" s="0" t="n">
        <v>926859</v>
      </c>
      <c r="D2908" s="0" t="s">
        <v>9709</v>
      </c>
      <c r="E2908" s="0" t="s">
        <v>75</v>
      </c>
      <c r="F2908" s="0" t="s">
        <v>90</v>
      </c>
      <c r="G2908" s="0" t="s">
        <v>20</v>
      </c>
      <c r="H2908" s="0" t="n">
        <v>38</v>
      </c>
      <c r="I2908" s="0" t="s">
        <v>9713</v>
      </c>
      <c r="J2908" s="0" t="s">
        <v>9714</v>
      </c>
      <c r="K2908" s="0" t="s">
        <v>9715</v>
      </c>
      <c r="L2908" s="0" t="str">
        <f aca="false">HYPERLINK("https://www.ncbi.nlm.nih.gov/nuccore/CP000058.1?report=graph&amp;tracks=[key:gene_model_track,Options:GeneOnly]&amp;mk=926872:926891|offset_6|444444,926840:926859|offset_38|00cc00,926812:926831|offset_66|444444,926778:926797|offset_100|444444&amp;v=926671:926997&amp;c=444444", "offset 38")</f>
        <v>offset 38</v>
      </c>
    </row>
    <row r="2909" customFormat="false" ht="12.8" hidden="false" customHeight="false" outlineLevel="0" collapsed="false">
      <c r="A2909" s="0" t="s">
        <v>12</v>
      </c>
      <c r="B2909" s="0" t="n">
        <v>926811</v>
      </c>
      <c r="C2909" s="0" t="n">
        <v>926831</v>
      </c>
      <c r="D2909" s="0" t="s">
        <v>9709</v>
      </c>
      <c r="E2909" s="0" t="s">
        <v>75</v>
      </c>
      <c r="F2909" s="0" t="s">
        <v>90</v>
      </c>
      <c r="G2909" s="0" t="s">
        <v>36</v>
      </c>
      <c r="H2909" s="0" t="n">
        <v>66</v>
      </c>
      <c r="I2909" s="0" t="s">
        <v>9716</v>
      </c>
      <c r="J2909" s="0" t="s">
        <v>9717</v>
      </c>
      <c r="K2909" s="0" t="s">
        <v>9718</v>
      </c>
      <c r="L2909" s="0" t="str">
        <f aca="false">HYPERLINK("https://www.ncbi.nlm.nih.gov/nuccore/CP000058.1?report=graph&amp;tracks=[key:gene_model_track,Options:GeneOnly]&amp;mk=926872:926891|offset_6|444444,926840:926859|offset_38|444444,926812:926831|offset_66|00cc00,926778:926797|offset_100|444444&amp;v=926671:926997&amp;c=444444", "offset 66")</f>
        <v>offset 66</v>
      </c>
    </row>
    <row r="2910" customFormat="false" ht="12.8" hidden="false" customHeight="false" outlineLevel="0" collapsed="false">
      <c r="A2910" s="0" t="s">
        <v>12</v>
      </c>
      <c r="B2910" s="0" t="n">
        <v>926777</v>
      </c>
      <c r="C2910" s="0" t="n">
        <v>926797</v>
      </c>
      <c r="D2910" s="0" t="s">
        <v>9709</v>
      </c>
      <c r="E2910" s="0" t="s">
        <v>75</v>
      </c>
      <c r="F2910" s="0" t="s">
        <v>90</v>
      </c>
      <c r="G2910" s="0" t="s">
        <v>16</v>
      </c>
      <c r="H2910" s="0" t="n">
        <v>100</v>
      </c>
      <c r="I2910" s="0" t="s">
        <v>9719</v>
      </c>
      <c r="J2910" s="0" t="s">
        <v>9720</v>
      </c>
      <c r="K2910" s="0" t="s">
        <v>9721</v>
      </c>
      <c r="L2910" s="0" t="str">
        <f aca="false">HYPERLINK("https://www.ncbi.nlm.nih.gov/nuccore/CP000058.1?report=graph&amp;tracks=[key:gene_model_track,Options:GeneOnly]&amp;mk=926872:926891|offset_6|444444,926840:926859|offset_38|444444,926812:926831|offset_66|444444,926778:926797|offset_100|00cc00&amp;v=926671:926997&amp;c=444444", "offset 100")</f>
        <v>offset 100</v>
      </c>
    </row>
    <row r="2911" customFormat="false" ht="12.8" hidden="false" customHeight="false" outlineLevel="0" collapsed="false">
      <c r="A2911" s="0" t="s">
        <v>12</v>
      </c>
      <c r="B2911" s="0" t="n">
        <v>930235</v>
      </c>
      <c r="C2911" s="0" t="n">
        <v>930255</v>
      </c>
      <c r="D2911" s="0" t="s">
        <v>9722</v>
      </c>
      <c r="E2911" s="0" t="s">
        <v>75</v>
      </c>
      <c r="F2911" s="0" t="s">
        <v>15</v>
      </c>
      <c r="G2911" s="0" t="s">
        <v>16</v>
      </c>
      <c r="H2911" s="0" t="n">
        <v>175</v>
      </c>
      <c r="I2911" s="0" t="s">
        <v>9723</v>
      </c>
      <c r="J2911" s="0" t="s">
        <v>9724</v>
      </c>
      <c r="K2911" s="0" t="s">
        <v>9725</v>
      </c>
      <c r="L2911" s="0" t="str">
        <f aca="false">HYPERLINK("https://www.ncbi.nlm.nih.gov/nuccore/CP000058.1?report=graph&amp;tracks=[key:gene_model_track,Options:GeneOnly]&amp;mk=930236:930255|offset_175|00cc00&amp;v=930035:930455&amp;c=444444", "offset 175")</f>
        <v>offset 175</v>
      </c>
    </row>
    <row r="2912" customFormat="false" ht="12.8" hidden="false" customHeight="false" outlineLevel="0" collapsed="false">
      <c r="A2912" s="0" t="s">
        <v>12</v>
      </c>
      <c r="B2912" s="0" t="n">
        <v>931136</v>
      </c>
      <c r="C2912" s="0" t="n">
        <v>931156</v>
      </c>
      <c r="D2912" s="0" t="s">
        <v>9726</v>
      </c>
      <c r="E2912" s="0" t="s">
        <v>75</v>
      </c>
      <c r="F2912" s="0" t="s">
        <v>15</v>
      </c>
      <c r="G2912" s="0" t="s">
        <v>36</v>
      </c>
      <c r="H2912" s="0" t="n">
        <v>756</v>
      </c>
      <c r="I2912" s="0" t="s">
        <v>9727</v>
      </c>
      <c r="J2912" s="0" t="s">
        <v>9728</v>
      </c>
      <c r="K2912" s="0" t="s">
        <v>9729</v>
      </c>
      <c r="L2912" s="0" t="str">
        <f aca="false">HYPERLINK("https://www.ncbi.nlm.nih.gov/nuccore/CP000058.1?report=graph&amp;tracks=[key:gene_model_track,Options:GeneOnly]&amp;mk=931137:931156|offset_756|00cc00&amp;v=930936:931356&amp;c=444444", "offset 756")</f>
        <v>offset 756</v>
      </c>
    </row>
    <row r="2913" customFormat="false" ht="12.8" hidden="false" customHeight="false" outlineLevel="0" collapsed="false">
      <c r="A2913" s="0" t="s">
        <v>12</v>
      </c>
      <c r="B2913" s="0" t="n">
        <v>935469</v>
      </c>
      <c r="C2913" s="0" t="n">
        <v>935489</v>
      </c>
      <c r="D2913" s="0" t="s">
        <v>9730</v>
      </c>
      <c r="E2913" s="0" t="s">
        <v>75</v>
      </c>
      <c r="F2913" s="0" t="s">
        <v>90</v>
      </c>
      <c r="G2913" s="0" t="s">
        <v>36</v>
      </c>
      <c r="H2913" s="0" t="n">
        <v>8</v>
      </c>
      <c r="I2913" s="0" t="s">
        <v>9731</v>
      </c>
      <c r="J2913" s="0" t="s">
        <v>9732</v>
      </c>
      <c r="K2913" s="0" t="s">
        <v>9733</v>
      </c>
      <c r="L2913" s="0" t="str">
        <f aca="false">HYPERLINK("https://www.ncbi.nlm.nih.gov/nuccore/CP000058.1?report=graph&amp;tracks=[key:gene_model_track,Options:GeneOnly]&amp;mk=935470:935489|offset_8|00cc00,935418:935437|offset_60|444444,935387:935406|offset_91|444444,935359:935378|offset_119|444444&amp;v=935269:935578&amp;c=444444", "offset 8")</f>
        <v>offset 8</v>
      </c>
    </row>
    <row r="2914" customFormat="false" ht="12.8" hidden="false" customHeight="false" outlineLevel="0" collapsed="false">
      <c r="A2914" s="0" t="s">
        <v>12</v>
      </c>
      <c r="B2914" s="0" t="n">
        <v>935417</v>
      </c>
      <c r="C2914" s="0" t="n">
        <v>935437</v>
      </c>
      <c r="D2914" s="0" t="s">
        <v>9730</v>
      </c>
      <c r="E2914" s="0" t="s">
        <v>75</v>
      </c>
      <c r="F2914" s="0" t="s">
        <v>90</v>
      </c>
      <c r="G2914" s="0" t="s">
        <v>32</v>
      </c>
      <c r="H2914" s="0" t="n">
        <v>60</v>
      </c>
      <c r="I2914" s="0" t="s">
        <v>9734</v>
      </c>
      <c r="J2914" s="0" t="s">
        <v>9735</v>
      </c>
      <c r="K2914" s="0" t="s">
        <v>9736</v>
      </c>
      <c r="L2914" s="0" t="str">
        <f aca="false">HYPERLINK("https://www.ncbi.nlm.nih.gov/nuccore/CP000058.1?report=graph&amp;tracks=[key:gene_model_track,Options:GeneOnly]&amp;mk=935470:935489|offset_8|444444,935418:935437|offset_60|00cc00,935387:935406|offset_91|444444,935359:935378|offset_119|444444&amp;v=935269:935578&amp;c=444444", "offset 60")</f>
        <v>offset 60</v>
      </c>
    </row>
    <row r="2915" customFormat="false" ht="12.8" hidden="false" customHeight="false" outlineLevel="0" collapsed="false">
      <c r="A2915" s="0" t="s">
        <v>12</v>
      </c>
      <c r="B2915" s="0" t="n">
        <v>935386</v>
      </c>
      <c r="C2915" s="0" t="n">
        <v>935406</v>
      </c>
      <c r="D2915" s="0" t="s">
        <v>9730</v>
      </c>
      <c r="E2915" s="0" t="s">
        <v>75</v>
      </c>
      <c r="F2915" s="0" t="s">
        <v>90</v>
      </c>
      <c r="G2915" s="0" t="s">
        <v>32</v>
      </c>
      <c r="H2915" s="0" t="n">
        <v>91</v>
      </c>
      <c r="I2915" s="0" t="s">
        <v>9737</v>
      </c>
      <c r="J2915" s="0" t="s">
        <v>9738</v>
      </c>
      <c r="K2915" s="0" t="s">
        <v>9739</v>
      </c>
      <c r="L2915" s="0" t="str">
        <f aca="false">HYPERLINK("https://www.ncbi.nlm.nih.gov/nuccore/CP000058.1?report=graph&amp;tracks=[key:gene_model_track,Options:GeneOnly]&amp;mk=935470:935489|offset_8|444444,935418:935437|offset_60|444444,935387:935406|offset_91|00cc00,935359:935378|offset_119|444444&amp;v=935269:935578&amp;c=444444", "offset 91")</f>
        <v>offset 91</v>
      </c>
    </row>
    <row r="2916" customFormat="false" ht="12.8" hidden="false" customHeight="false" outlineLevel="0" collapsed="false">
      <c r="A2916" s="0" t="s">
        <v>12</v>
      </c>
      <c r="B2916" s="0" t="n">
        <v>935358</v>
      </c>
      <c r="C2916" s="0" t="n">
        <v>935378</v>
      </c>
      <c r="D2916" s="0" t="s">
        <v>9730</v>
      </c>
      <c r="E2916" s="0" t="s">
        <v>75</v>
      </c>
      <c r="F2916" s="0" t="s">
        <v>90</v>
      </c>
      <c r="G2916" s="0" t="s">
        <v>16</v>
      </c>
      <c r="H2916" s="0" t="n">
        <v>119</v>
      </c>
      <c r="I2916" s="0" t="s">
        <v>9740</v>
      </c>
      <c r="J2916" s="0" t="s">
        <v>9741</v>
      </c>
      <c r="K2916" s="0" t="s">
        <v>9742</v>
      </c>
      <c r="L2916" s="0" t="str">
        <f aca="false">HYPERLINK("https://www.ncbi.nlm.nih.gov/nuccore/CP000058.1?report=graph&amp;tracks=[key:gene_model_track,Options:GeneOnly]&amp;mk=935470:935489|offset_8|444444,935418:935437|offset_60|444444,935387:935406|offset_91|444444,935359:935378|offset_119|00cc00&amp;v=935269:935578&amp;c=444444", "offset 119")</f>
        <v>offset 119</v>
      </c>
    </row>
    <row r="2917" customFormat="false" ht="12.8" hidden="false" customHeight="false" outlineLevel="0" collapsed="false">
      <c r="A2917" s="0" t="s">
        <v>12</v>
      </c>
      <c r="B2917" s="0" t="n">
        <v>935856</v>
      </c>
      <c r="C2917" s="0" t="n">
        <v>935876</v>
      </c>
      <c r="D2917" s="0" t="s">
        <v>9743</v>
      </c>
      <c r="E2917" s="0" t="s">
        <v>75</v>
      </c>
      <c r="F2917" s="0" t="s">
        <v>15</v>
      </c>
      <c r="G2917" s="0" t="s">
        <v>16</v>
      </c>
      <c r="H2917" s="0" t="n">
        <v>24</v>
      </c>
      <c r="I2917" s="0" t="s">
        <v>9744</v>
      </c>
      <c r="J2917" s="0" t="s">
        <v>9745</v>
      </c>
      <c r="K2917" s="0" t="s">
        <v>9746</v>
      </c>
      <c r="L2917" s="0" t="str">
        <f aca="false">HYPERLINK("https://www.ncbi.nlm.nih.gov/nuccore/CP000058.1?report=graph&amp;tracks=[key:gene_model_track,Options:GeneOnly]&amp;mk=935857:935876|offset_24|00cc00,935900:935919|offset_67|444444,935969:935988|offset_136|444444,936067:936086|offset_234|444444&amp;v=935656:936286&amp;c=444444", "offset 24")</f>
        <v>offset 24</v>
      </c>
    </row>
    <row r="2918" customFormat="false" ht="12.8" hidden="false" customHeight="false" outlineLevel="0" collapsed="false">
      <c r="A2918" s="0" t="s">
        <v>12</v>
      </c>
      <c r="B2918" s="0" t="n">
        <v>935899</v>
      </c>
      <c r="C2918" s="0" t="n">
        <v>935919</v>
      </c>
      <c r="D2918" s="0" t="s">
        <v>9743</v>
      </c>
      <c r="E2918" s="0" t="s">
        <v>75</v>
      </c>
      <c r="F2918" s="0" t="s">
        <v>15</v>
      </c>
      <c r="G2918" s="0" t="s">
        <v>32</v>
      </c>
      <c r="H2918" s="0" t="n">
        <v>67</v>
      </c>
      <c r="I2918" s="0" t="s">
        <v>9747</v>
      </c>
      <c r="J2918" s="0" t="s">
        <v>9748</v>
      </c>
      <c r="K2918" s="0" t="s">
        <v>9749</v>
      </c>
      <c r="L2918" s="0" t="str">
        <f aca="false">HYPERLINK("https://www.ncbi.nlm.nih.gov/nuccore/CP000058.1?report=graph&amp;tracks=[key:gene_model_track,Options:GeneOnly]&amp;mk=935857:935876|offset_24|444444,935900:935919|offset_67|00cc00,935969:935988|offset_136|444444,936067:936086|offset_234|444444&amp;v=935656:936286&amp;c=444444", "offset 67")</f>
        <v>offset 67</v>
      </c>
    </row>
    <row r="2919" customFormat="false" ht="12.8" hidden="false" customHeight="false" outlineLevel="0" collapsed="false">
      <c r="A2919" s="0" t="s">
        <v>12</v>
      </c>
      <c r="B2919" s="0" t="n">
        <v>935968</v>
      </c>
      <c r="C2919" s="0" t="n">
        <v>935988</v>
      </c>
      <c r="D2919" s="0" t="s">
        <v>9743</v>
      </c>
      <c r="E2919" s="0" t="s">
        <v>75</v>
      </c>
      <c r="F2919" s="0" t="s">
        <v>15</v>
      </c>
      <c r="G2919" s="0" t="s">
        <v>16</v>
      </c>
      <c r="H2919" s="0" t="n">
        <v>136</v>
      </c>
      <c r="I2919" s="0" t="s">
        <v>9750</v>
      </c>
      <c r="J2919" s="0" t="s">
        <v>9751</v>
      </c>
      <c r="K2919" s="0" t="s">
        <v>9752</v>
      </c>
      <c r="L2919" s="0" t="str">
        <f aca="false">HYPERLINK("https://www.ncbi.nlm.nih.gov/nuccore/CP000058.1?report=graph&amp;tracks=[key:gene_model_track,Options:GeneOnly]&amp;mk=935857:935876|offset_24|444444,935900:935919|offset_67|444444,935969:935988|offset_136|00cc00,936067:936086|offset_234|444444&amp;v=935656:936286&amp;c=444444", "offset 136")</f>
        <v>offset 136</v>
      </c>
    </row>
    <row r="2920" customFormat="false" ht="12.8" hidden="false" customHeight="false" outlineLevel="0" collapsed="false">
      <c r="A2920" s="0" t="s">
        <v>12</v>
      </c>
      <c r="B2920" s="0" t="n">
        <v>936066</v>
      </c>
      <c r="C2920" s="0" t="n">
        <v>936086</v>
      </c>
      <c r="D2920" s="0" t="s">
        <v>9743</v>
      </c>
      <c r="E2920" s="0" t="s">
        <v>75</v>
      </c>
      <c r="F2920" s="0" t="s">
        <v>15</v>
      </c>
      <c r="G2920" s="0" t="s">
        <v>20</v>
      </c>
      <c r="H2920" s="0" t="n">
        <v>234</v>
      </c>
      <c r="I2920" s="0" t="s">
        <v>9753</v>
      </c>
      <c r="J2920" s="0" t="s">
        <v>9754</v>
      </c>
      <c r="K2920" s="0" t="s">
        <v>9755</v>
      </c>
      <c r="L2920" s="0" t="str">
        <f aca="false">HYPERLINK("https://www.ncbi.nlm.nih.gov/nuccore/CP000058.1?report=graph&amp;tracks=[key:gene_model_track,Options:GeneOnly]&amp;mk=935857:935876|offset_24|444444,935900:935919|offset_67|444444,935969:935988|offset_136|444444,936067:936086|offset_234|00cc00&amp;v=935656:936286&amp;c=444444", "offset 234")</f>
        <v>offset 234</v>
      </c>
    </row>
    <row r="2921" customFormat="false" ht="12.8" hidden="false" customHeight="false" outlineLevel="0" collapsed="false">
      <c r="A2921" s="0" t="s">
        <v>12</v>
      </c>
      <c r="B2921" s="0" t="n">
        <v>936599</v>
      </c>
      <c r="C2921" s="0" t="n">
        <v>936619</v>
      </c>
      <c r="D2921" s="0" t="s">
        <v>9756</v>
      </c>
      <c r="E2921" s="0" t="s">
        <v>75</v>
      </c>
      <c r="F2921" s="0" t="s">
        <v>90</v>
      </c>
      <c r="G2921" s="0" t="s">
        <v>32</v>
      </c>
      <c r="H2921" s="0" t="n">
        <v>1</v>
      </c>
      <c r="I2921" s="0" t="s">
        <v>9757</v>
      </c>
      <c r="J2921" s="0" t="s">
        <v>9758</v>
      </c>
      <c r="K2921" s="0" t="s">
        <v>9759</v>
      </c>
      <c r="L2921" s="0" t="str">
        <f aca="false">HYPERLINK("https://www.ncbi.nlm.nih.gov/nuccore/CP000058.1?report=graph&amp;tracks=[key:gene_model_track,Options:GeneOnly]&amp;mk=936600:936619|offset_1|00cc00,936580:936599|offset_21|444444,936560:936579|offset_41|444444,936512:936531|offset_89|444444&amp;v=936399:936731&amp;c=444444", "offset 1")</f>
        <v>offset 1</v>
      </c>
    </row>
    <row r="2922" customFormat="false" ht="12.8" hidden="false" customHeight="false" outlineLevel="0" collapsed="false">
      <c r="A2922" s="0" t="s">
        <v>12</v>
      </c>
      <c r="B2922" s="0" t="n">
        <v>936579</v>
      </c>
      <c r="C2922" s="0" t="n">
        <v>936599</v>
      </c>
      <c r="D2922" s="0" t="s">
        <v>9756</v>
      </c>
      <c r="E2922" s="0" t="s">
        <v>75</v>
      </c>
      <c r="F2922" s="0" t="s">
        <v>90</v>
      </c>
      <c r="G2922" s="0" t="s">
        <v>32</v>
      </c>
      <c r="H2922" s="0" t="n">
        <v>21</v>
      </c>
      <c r="I2922" s="0" t="s">
        <v>9760</v>
      </c>
      <c r="J2922" s="0" t="s">
        <v>9761</v>
      </c>
      <c r="K2922" s="0" t="s">
        <v>9762</v>
      </c>
      <c r="L2922" s="0" t="str">
        <f aca="false">HYPERLINK("https://www.ncbi.nlm.nih.gov/nuccore/CP000058.1?report=graph&amp;tracks=[key:gene_model_track,Options:GeneOnly]&amp;mk=936600:936619|offset_1|444444,936580:936599|offset_21|00cc00,936560:936579|offset_41|444444,936512:936531|offset_89|444444&amp;v=936399:936731&amp;c=444444", "offset 21")</f>
        <v>offset 21</v>
      </c>
    </row>
    <row r="2923" customFormat="false" ht="12.8" hidden="false" customHeight="false" outlineLevel="0" collapsed="false">
      <c r="A2923" s="0" t="s">
        <v>12</v>
      </c>
      <c r="B2923" s="0" t="n">
        <v>936559</v>
      </c>
      <c r="C2923" s="0" t="n">
        <v>936579</v>
      </c>
      <c r="D2923" s="0" t="s">
        <v>9756</v>
      </c>
      <c r="E2923" s="0" t="s">
        <v>75</v>
      </c>
      <c r="F2923" s="0" t="s">
        <v>90</v>
      </c>
      <c r="G2923" s="0" t="s">
        <v>20</v>
      </c>
      <c r="H2923" s="0" t="n">
        <v>41</v>
      </c>
      <c r="I2923" s="0" t="s">
        <v>9763</v>
      </c>
      <c r="J2923" s="0" t="s">
        <v>9764</v>
      </c>
      <c r="K2923" s="0" t="s">
        <v>9765</v>
      </c>
      <c r="L2923" s="0" t="str">
        <f aca="false">HYPERLINK("https://www.ncbi.nlm.nih.gov/nuccore/CP000058.1?report=graph&amp;tracks=[key:gene_model_track,Options:GeneOnly]&amp;mk=936600:936619|offset_1|444444,936580:936599|offset_21|444444,936560:936579|offset_41|00cc00,936512:936531|offset_89|444444&amp;v=936399:936731&amp;c=444444", "offset 41")</f>
        <v>offset 41</v>
      </c>
    </row>
    <row r="2924" customFormat="false" ht="12.8" hidden="false" customHeight="false" outlineLevel="0" collapsed="false">
      <c r="A2924" s="0" t="s">
        <v>12</v>
      </c>
      <c r="B2924" s="0" t="n">
        <v>936511</v>
      </c>
      <c r="C2924" s="0" t="n">
        <v>936531</v>
      </c>
      <c r="D2924" s="0" t="s">
        <v>9756</v>
      </c>
      <c r="E2924" s="0" t="s">
        <v>75</v>
      </c>
      <c r="F2924" s="0" t="s">
        <v>90</v>
      </c>
      <c r="G2924" s="0" t="s">
        <v>32</v>
      </c>
      <c r="H2924" s="0" t="n">
        <v>89</v>
      </c>
      <c r="I2924" s="0" t="s">
        <v>9766</v>
      </c>
      <c r="J2924" s="0" t="s">
        <v>9767</v>
      </c>
      <c r="K2924" s="0" t="s">
        <v>9768</v>
      </c>
      <c r="L2924" s="0" t="str">
        <f aca="false">HYPERLINK("https://www.ncbi.nlm.nih.gov/nuccore/CP000058.1?report=graph&amp;tracks=[key:gene_model_track,Options:GeneOnly]&amp;mk=936600:936619|offset_1|444444,936580:936599|offset_21|444444,936560:936579|offset_41|444444,936512:936531|offset_89|00cc00&amp;v=936399:936731&amp;c=444444", "offset 89")</f>
        <v>offset 89</v>
      </c>
    </row>
    <row r="2925" customFormat="false" ht="12.8" hidden="false" customHeight="false" outlineLevel="0" collapsed="false">
      <c r="A2925" s="0" t="s">
        <v>12</v>
      </c>
      <c r="B2925" s="0" t="n">
        <v>936960</v>
      </c>
      <c r="C2925" s="0" t="n">
        <v>936980</v>
      </c>
      <c r="D2925" s="0" t="s">
        <v>9769</v>
      </c>
      <c r="E2925" s="0" t="s">
        <v>75</v>
      </c>
      <c r="F2925" s="0" t="s">
        <v>15</v>
      </c>
      <c r="G2925" s="0" t="s">
        <v>16</v>
      </c>
      <c r="H2925" s="0" t="n">
        <v>46</v>
      </c>
      <c r="I2925" s="0" t="s">
        <v>9770</v>
      </c>
      <c r="J2925" s="0" t="s">
        <v>9771</v>
      </c>
      <c r="K2925" s="0" t="s">
        <v>9772</v>
      </c>
      <c r="L2925" s="0" t="str">
        <f aca="false">HYPERLINK("https://www.ncbi.nlm.nih.gov/nuccore/CP000058.1?report=graph&amp;tracks=[key:gene_model_track,Options:GeneOnly]&amp;mk=936961:936980|offset_46|00cc00,936998:937017|offset_83|444444,937018:937037|offset_103|444444,937056:937075|offset_141|444444&amp;v=936760:937275&amp;c=444444", "offset 46")</f>
        <v>offset 46</v>
      </c>
    </row>
    <row r="2926" customFormat="false" ht="12.8" hidden="false" customHeight="false" outlineLevel="0" collapsed="false">
      <c r="A2926" s="0" t="s">
        <v>12</v>
      </c>
      <c r="B2926" s="0" t="n">
        <v>936997</v>
      </c>
      <c r="C2926" s="0" t="n">
        <v>937017</v>
      </c>
      <c r="D2926" s="0" t="s">
        <v>9769</v>
      </c>
      <c r="E2926" s="0" t="s">
        <v>75</v>
      </c>
      <c r="F2926" s="0" t="s">
        <v>15</v>
      </c>
      <c r="G2926" s="0" t="s">
        <v>20</v>
      </c>
      <c r="H2926" s="0" t="n">
        <v>83</v>
      </c>
      <c r="I2926" s="0" t="s">
        <v>9773</v>
      </c>
      <c r="J2926" s="0" t="s">
        <v>9774</v>
      </c>
      <c r="K2926" s="0" t="s">
        <v>9775</v>
      </c>
      <c r="L2926" s="0" t="str">
        <f aca="false">HYPERLINK("https://www.ncbi.nlm.nih.gov/nuccore/CP000058.1?report=graph&amp;tracks=[key:gene_model_track,Options:GeneOnly]&amp;mk=936961:936980|offset_46|444444,936998:937017|offset_83|00cc00,937018:937037|offset_103|444444,937056:937075|offset_141|444444&amp;v=936760:937275&amp;c=444444", "offset 83")</f>
        <v>offset 83</v>
      </c>
    </row>
    <row r="2927" customFormat="false" ht="12.8" hidden="false" customHeight="false" outlineLevel="0" collapsed="false">
      <c r="A2927" s="0" t="s">
        <v>12</v>
      </c>
      <c r="B2927" s="0" t="n">
        <v>937017</v>
      </c>
      <c r="C2927" s="0" t="n">
        <v>937037</v>
      </c>
      <c r="D2927" s="0" t="s">
        <v>9769</v>
      </c>
      <c r="E2927" s="0" t="s">
        <v>75</v>
      </c>
      <c r="F2927" s="0" t="s">
        <v>15</v>
      </c>
      <c r="G2927" s="0" t="s">
        <v>20</v>
      </c>
      <c r="H2927" s="0" t="n">
        <v>103</v>
      </c>
      <c r="I2927" s="0" t="s">
        <v>9776</v>
      </c>
      <c r="J2927" s="0" t="s">
        <v>9777</v>
      </c>
      <c r="K2927" s="0" t="s">
        <v>9778</v>
      </c>
      <c r="L2927" s="0" t="str">
        <f aca="false">HYPERLINK("https://www.ncbi.nlm.nih.gov/nuccore/CP000058.1?report=graph&amp;tracks=[key:gene_model_track,Options:GeneOnly]&amp;mk=936961:936980|offset_46|444444,936998:937017|offset_83|444444,937018:937037|offset_103|00cc00,937056:937075|offset_141|444444&amp;v=936760:937275&amp;c=444444", "offset 103")</f>
        <v>offset 103</v>
      </c>
    </row>
    <row r="2928" customFormat="false" ht="12.8" hidden="false" customHeight="false" outlineLevel="0" collapsed="false">
      <c r="A2928" s="0" t="s">
        <v>12</v>
      </c>
      <c r="B2928" s="0" t="n">
        <v>937055</v>
      </c>
      <c r="C2928" s="0" t="n">
        <v>937075</v>
      </c>
      <c r="D2928" s="0" t="s">
        <v>9769</v>
      </c>
      <c r="E2928" s="0" t="s">
        <v>75</v>
      </c>
      <c r="F2928" s="0" t="s">
        <v>15</v>
      </c>
      <c r="G2928" s="0" t="s">
        <v>20</v>
      </c>
      <c r="H2928" s="0" t="n">
        <v>141</v>
      </c>
      <c r="I2928" s="0" t="s">
        <v>9779</v>
      </c>
      <c r="J2928" s="0" t="s">
        <v>9780</v>
      </c>
      <c r="K2928" s="0" t="s">
        <v>9781</v>
      </c>
      <c r="L2928" s="0" t="str">
        <f aca="false">HYPERLINK("https://www.ncbi.nlm.nih.gov/nuccore/CP000058.1?report=graph&amp;tracks=[key:gene_model_track,Options:GeneOnly]&amp;mk=936961:936980|offset_46|444444,936998:937017|offset_83|444444,937018:937037|offset_103|444444,937056:937075|offset_141|00cc00&amp;v=936760:937275&amp;c=444444", "offset 141")</f>
        <v>offset 141</v>
      </c>
    </row>
    <row r="2929" customFormat="false" ht="12.8" hidden="false" customHeight="false" outlineLevel="0" collapsed="false">
      <c r="A2929" s="0" t="s">
        <v>12</v>
      </c>
      <c r="B2929" s="0" t="n">
        <v>938170</v>
      </c>
      <c r="C2929" s="0" t="n">
        <v>938190</v>
      </c>
      <c r="D2929" s="0" t="s">
        <v>9782</v>
      </c>
      <c r="E2929" s="0" t="s">
        <v>75</v>
      </c>
      <c r="F2929" s="0" t="s">
        <v>15</v>
      </c>
      <c r="G2929" s="0" t="s">
        <v>16</v>
      </c>
      <c r="H2929" s="0" t="n">
        <v>18</v>
      </c>
      <c r="I2929" s="0" t="s">
        <v>9783</v>
      </c>
      <c r="J2929" s="0" t="s">
        <v>9784</v>
      </c>
      <c r="K2929" s="0" t="s">
        <v>9785</v>
      </c>
      <c r="L2929" s="0" t="str">
        <f aca="false">HYPERLINK("https://www.ncbi.nlm.nih.gov/nuccore/CP000058.1?report=graph&amp;tracks=[key:gene_model_track,Options:GeneOnly]&amp;mk=938171:938190|offset_18|00cc00,938193:938212|offset_40|444444,938220:938239|offset_67|444444,938242:938261|offset_89|444444&amp;v=937970:938461&amp;c=444444", "offset 18")</f>
        <v>offset 18</v>
      </c>
    </row>
    <row r="2930" customFormat="false" ht="12.8" hidden="false" customHeight="false" outlineLevel="0" collapsed="false">
      <c r="A2930" s="0" t="s">
        <v>12</v>
      </c>
      <c r="B2930" s="0" t="n">
        <v>938192</v>
      </c>
      <c r="C2930" s="0" t="n">
        <v>938212</v>
      </c>
      <c r="D2930" s="0" t="s">
        <v>9782</v>
      </c>
      <c r="E2930" s="0" t="s">
        <v>75</v>
      </c>
      <c r="F2930" s="0" t="s">
        <v>15</v>
      </c>
      <c r="G2930" s="0" t="s">
        <v>32</v>
      </c>
      <c r="H2930" s="0" t="n">
        <v>40</v>
      </c>
      <c r="I2930" s="0" t="s">
        <v>9786</v>
      </c>
      <c r="J2930" s="0" t="s">
        <v>9787</v>
      </c>
      <c r="K2930" s="0" t="s">
        <v>9788</v>
      </c>
      <c r="L2930" s="0" t="str">
        <f aca="false">HYPERLINK("https://www.ncbi.nlm.nih.gov/nuccore/CP000058.1?report=graph&amp;tracks=[key:gene_model_track,Options:GeneOnly]&amp;mk=938171:938190|offset_18|444444,938193:938212|offset_40|00cc00,938220:938239|offset_67|444444,938242:938261|offset_89|444444&amp;v=937970:938461&amp;c=444444", "offset 40")</f>
        <v>offset 40</v>
      </c>
    </row>
    <row r="2931" customFormat="false" ht="12.8" hidden="false" customHeight="false" outlineLevel="0" collapsed="false">
      <c r="A2931" s="0" t="s">
        <v>12</v>
      </c>
      <c r="B2931" s="0" t="n">
        <v>938219</v>
      </c>
      <c r="C2931" s="0" t="n">
        <v>938239</v>
      </c>
      <c r="D2931" s="0" t="s">
        <v>9782</v>
      </c>
      <c r="E2931" s="0" t="s">
        <v>75</v>
      </c>
      <c r="F2931" s="0" t="s">
        <v>15</v>
      </c>
      <c r="G2931" s="0" t="s">
        <v>32</v>
      </c>
      <c r="H2931" s="0" t="n">
        <v>67</v>
      </c>
      <c r="I2931" s="0" t="s">
        <v>9789</v>
      </c>
      <c r="J2931" s="0" t="s">
        <v>9790</v>
      </c>
      <c r="K2931" s="0" t="s">
        <v>9791</v>
      </c>
      <c r="L2931" s="0" t="str">
        <f aca="false">HYPERLINK("https://www.ncbi.nlm.nih.gov/nuccore/CP000058.1?report=graph&amp;tracks=[key:gene_model_track,Options:GeneOnly]&amp;mk=938171:938190|offset_18|444444,938193:938212|offset_40|444444,938220:938239|offset_67|00cc00,938242:938261|offset_89|444444&amp;v=937970:938461&amp;c=444444", "offset 67")</f>
        <v>offset 67</v>
      </c>
    </row>
    <row r="2932" customFormat="false" ht="12.8" hidden="false" customHeight="false" outlineLevel="0" collapsed="false">
      <c r="A2932" s="0" t="s">
        <v>12</v>
      </c>
      <c r="B2932" s="0" t="n">
        <v>938241</v>
      </c>
      <c r="C2932" s="0" t="n">
        <v>938261</v>
      </c>
      <c r="D2932" s="0" t="s">
        <v>9782</v>
      </c>
      <c r="E2932" s="0" t="s">
        <v>75</v>
      </c>
      <c r="F2932" s="0" t="s">
        <v>15</v>
      </c>
      <c r="G2932" s="0" t="s">
        <v>32</v>
      </c>
      <c r="H2932" s="0" t="n">
        <v>89</v>
      </c>
      <c r="I2932" s="0" t="s">
        <v>9792</v>
      </c>
      <c r="J2932" s="0" t="s">
        <v>9793</v>
      </c>
      <c r="K2932" s="0" t="s">
        <v>9794</v>
      </c>
      <c r="L2932" s="0" t="str">
        <f aca="false">HYPERLINK("https://www.ncbi.nlm.nih.gov/nuccore/CP000058.1?report=graph&amp;tracks=[key:gene_model_track,Options:GeneOnly]&amp;mk=938171:938190|offset_18|444444,938193:938212|offset_40|444444,938220:938239|offset_67|444444,938242:938261|offset_89|00cc00&amp;v=937970:938461&amp;c=444444", "offset 89")</f>
        <v>offset 89</v>
      </c>
    </row>
    <row r="2933" customFormat="false" ht="12.8" hidden="false" customHeight="false" outlineLevel="0" collapsed="false">
      <c r="A2933" s="0" t="s">
        <v>12</v>
      </c>
      <c r="B2933" s="0" t="n">
        <v>940301</v>
      </c>
      <c r="C2933" s="0" t="n">
        <v>940321</v>
      </c>
      <c r="D2933" s="0" t="s">
        <v>9795</v>
      </c>
      <c r="E2933" s="0" t="s">
        <v>75</v>
      </c>
      <c r="F2933" s="0" t="s">
        <v>15</v>
      </c>
      <c r="G2933" s="0" t="s">
        <v>20</v>
      </c>
      <c r="H2933" s="0" t="n">
        <v>29</v>
      </c>
      <c r="I2933" s="0" t="s">
        <v>9796</v>
      </c>
      <c r="J2933" s="0" t="s">
        <v>9797</v>
      </c>
      <c r="K2933" s="0" t="s">
        <v>9798</v>
      </c>
      <c r="L2933" s="0" t="str">
        <f aca="false">HYPERLINK("https://www.ncbi.nlm.nih.gov/nuccore/CP000058.1?report=graph&amp;tracks=[key:gene_model_track,Options:GeneOnly]&amp;mk=940302:940321|offset_29|00cc00,940341:940360|offset_68|444444,940368:940387|offset_95|444444,940412:940431|offset_139|444444&amp;v=940101:940631&amp;c=444444", "offset 29")</f>
        <v>offset 29</v>
      </c>
    </row>
    <row r="2934" customFormat="false" ht="12.8" hidden="false" customHeight="false" outlineLevel="0" collapsed="false">
      <c r="A2934" s="0" t="s">
        <v>12</v>
      </c>
      <c r="B2934" s="0" t="n">
        <v>940340</v>
      </c>
      <c r="C2934" s="0" t="n">
        <v>940360</v>
      </c>
      <c r="D2934" s="0" t="s">
        <v>9795</v>
      </c>
      <c r="E2934" s="0" t="s">
        <v>75</v>
      </c>
      <c r="F2934" s="0" t="s">
        <v>15</v>
      </c>
      <c r="G2934" s="0" t="s">
        <v>20</v>
      </c>
      <c r="H2934" s="0" t="n">
        <v>68</v>
      </c>
      <c r="I2934" s="0" t="s">
        <v>9799</v>
      </c>
      <c r="J2934" s="0" t="s">
        <v>9800</v>
      </c>
      <c r="K2934" s="0" t="s">
        <v>9801</v>
      </c>
      <c r="L2934" s="0" t="str">
        <f aca="false">HYPERLINK("https://www.ncbi.nlm.nih.gov/nuccore/CP000058.1?report=graph&amp;tracks=[key:gene_model_track,Options:GeneOnly]&amp;mk=940302:940321|offset_29|444444,940341:940360|offset_68|00cc00,940368:940387|offset_95|444444,940412:940431|offset_139|444444&amp;v=940101:940631&amp;c=444444", "offset 68")</f>
        <v>offset 68</v>
      </c>
    </row>
    <row r="2935" customFormat="false" ht="12.8" hidden="false" customHeight="false" outlineLevel="0" collapsed="false">
      <c r="A2935" s="0" t="s">
        <v>12</v>
      </c>
      <c r="B2935" s="0" t="n">
        <v>940367</v>
      </c>
      <c r="C2935" s="0" t="n">
        <v>940387</v>
      </c>
      <c r="D2935" s="0" t="s">
        <v>9795</v>
      </c>
      <c r="E2935" s="0" t="s">
        <v>75</v>
      </c>
      <c r="F2935" s="0" t="s">
        <v>15</v>
      </c>
      <c r="G2935" s="0" t="s">
        <v>36</v>
      </c>
      <c r="H2935" s="0" t="n">
        <v>95</v>
      </c>
      <c r="I2935" s="0" t="s">
        <v>9802</v>
      </c>
      <c r="J2935" s="0" t="s">
        <v>9803</v>
      </c>
      <c r="K2935" s="0" t="s">
        <v>9804</v>
      </c>
      <c r="L2935" s="0" t="str">
        <f aca="false">HYPERLINK("https://www.ncbi.nlm.nih.gov/nuccore/CP000058.1?report=graph&amp;tracks=[key:gene_model_track,Options:GeneOnly]&amp;mk=940302:940321|offset_29|444444,940341:940360|offset_68|444444,940368:940387|offset_95|00cc00,940412:940431|offset_139|444444&amp;v=940101:940631&amp;c=444444", "offset 95")</f>
        <v>offset 95</v>
      </c>
    </row>
    <row r="2936" customFormat="false" ht="12.8" hidden="false" customHeight="false" outlineLevel="0" collapsed="false">
      <c r="A2936" s="0" t="s">
        <v>12</v>
      </c>
      <c r="B2936" s="0" t="n">
        <v>940411</v>
      </c>
      <c r="C2936" s="0" t="n">
        <v>940431</v>
      </c>
      <c r="D2936" s="0" t="s">
        <v>9795</v>
      </c>
      <c r="E2936" s="0" t="s">
        <v>75</v>
      </c>
      <c r="F2936" s="0" t="s">
        <v>15</v>
      </c>
      <c r="G2936" s="0" t="s">
        <v>16</v>
      </c>
      <c r="H2936" s="0" t="n">
        <v>139</v>
      </c>
      <c r="I2936" s="0" t="s">
        <v>9805</v>
      </c>
      <c r="J2936" s="0" t="s">
        <v>9806</v>
      </c>
      <c r="K2936" s="0" t="s">
        <v>9807</v>
      </c>
      <c r="L2936" s="0" t="str">
        <f aca="false">HYPERLINK("https://www.ncbi.nlm.nih.gov/nuccore/CP000058.1?report=graph&amp;tracks=[key:gene_model_track,Options:GeneOnly]&amp;mk=940302:940321|offset_29|444444,940341:940360|offset_68|444444,940368:940387|offset_95|444444,940412:940431|offset_139|00cc00&amp;v=940101:940631&amp;c=444444", "offset 139")</f>
        <v>offset 139</v>
      </c>
    </row>
    <row r="2937" customFormat="false" ht="12.8" hidden="false" customHeight="false" outlineLevel="0" collapsed="false">
      <c r="A2937" s="0" t="s">
        <v>12</v>
      </c>
      <c r="B2937" s="0" t="n">
        <v>941753</v>
      </c>
      <c r="C2937" s="0" t="n">
        <v>941773</v>
      </c>
      <c r="D2937" s="0" t="s">
        <v>9808</v>
      </c>
      <c r="E2937" s="0" t="s">
        <v>75</v>
      </c>
      <c r="F2937" s="0" t="s">
        <v>15</v>
      </c>
      <c r="G2937" s="0" t="s">
        <v>32</v>
      </c>
      <c r="H2937" s="0" t="n">
        <v>40</v>
      </c>
      <c r="I2937" s="0" t="s">
        <v>9809</v>
      </c>
      <c r="J2937" s="0" t="s">
        <v>9810</v>
      </c>
      <c r="K2937" s="0" t="s">
        <v>9811</v>
      </c>
      <c r="L2937" s="0" t="str">
        <f aca="false">HYPERLINK("https://www.ncbi.nlm.nih.gov/nuccore/CP000058.1?report=graph&amp;tracks=[key:gene_model_track,Options:GeneOnly]&amp;mk=941754:941773|offset_40|00cc00,941809:941828|offset_95|444444,941832:941851|offset_118|444444,941893:941912|offset_179|444444&amp;v=941553:942112&amp;c=444444", "offset 40")</f>
        <v>offset 40</v>
      </c>
    </row>
    <row r="2938" customFormat="false" ht="12.8" hidden="false" customHeight="false" outlineLevel="0" collapsed="false">
      <c r="A2938" s="0" t="s">
        <v>12</v>
      </c>
      <c r="B2938" s="0" t="n">
        <v>941808</v>
      </c>
      <c r="C2938" s="0" t="n">
        <v>941828</v>
      </c>
      <c r="D2938" s="0" t="s">
        <v>9808</v>
      </c>
      <c r="E2938" s="0" t="s">
        <v>75</v>
      </c>
      <c r="F2938" s="0" t="s">
        <v>15</v>
      </c>
      <c r="G2938" s="0" t="s">
        <v>20</v>
      </c>
      <c r="H2938" s="0" t="n">
        <v>95</v>
      </c>
      <c r="I2938" s="0" t="s">
        <v>9812</v>
      </c>
      <c r="J2938" s="0" t="s">
        <v>9813</v>
      </c>
      <c r="K2938" s="0" t="s">
        <v>9814</v>
      </c>
      <c r="L2938" s="0" t="str">
        <f aca="false">HYPERLINK("https://www.ncbi.nlm.nih.gov/nuccore/CP000058.1?report=graph&amp;tracks=[key:gene_model_track,Options:GeneOnly]&amp;mk=941754:941773|offset_40|444444,941809:941828|offset_95|00cc00,941832:941851|offset_118|444444,941893:941912|offset_179|444444&amp;v=941553:942112&amp;c=444444", "offset 95")</f>
        <v>offset 95</v>
      </c>
    </row>
    <row r="2939" customFormat="false" ht="12.8" hidden="false" customHeight="false" outlineLevel="0" collapsed="false">
      <c r="A2939" s="0" t="s">
        <v>12</v>
      </c>
      <c r="B2939" s="0" t="n">
        <v>941831</v>
      </c>
      <c r="C2939" s="0" t="n">
        <v>941851</v>
      </c>
      <c r="D2939" s="0" t="s">
        <v>9808</v>
      </c>
      <c r="E2939" s="0" t="s">
        <v>75</v>
      </c>
      <c r="F2939" s="0" t="s">
        <v>15</v>
      </c>
      <c r="G2939" s="0" t="s">
        <v>32</v>
      </c>
      <c r="H2939" s="0" t="n">
        <v>118</v>
      </c>
      <c r="I2939" s="0" t="s">
        <v>9815</v>
      </c>
      <c r="J2939" s="0" t="s">
        <v>9816</v>
      </c>
      <c r="K2939" s="0" t="s">
        <v>9817</v>
      </c>
      <c r="L2939" s="0" t="str">
        <f aca="false">HYPERLINK("https://www.ncbi.nlm.nih.gov/nuccore/CP000058.1?report=graph&amp;tracks=[key:gene_model_track,Options:GeneOnly]&amp;mk=941754:941773|offset_40|444444,941809:941828|offset_95|444444,941832:941851|offset_118|00cc00,941893:941912|offset_179|444444&amp;v=941553:942112&amp;c=444444", "offset 118")</f>
        <v>offset 118</v>
      </c>
    </row>
    <row r="2940" customFormat="false" ht="12.8" hidden="false" customHeight="false" outlineLevel="0" collapsed="false">
      <c r="A2940" s="0" t="s">
        <v>12</v>
      </c>
      <c r="B2940" s="0" t="n">
        <v>941892</v>
      </c>
      <c r="C2940" s="0" t="n">
        <v>941912</v>
      </c>
      <c r="D2940" s="0" t="s">
        <v>9808</v>
      </c>
      <c r="E2940" s="0" t="s">
        <v>75</v>
      </c>
      <c r="F2940" s="0" t="s">
        <v>15</v>
      </c>
      <c r="G2940" s="0" t="s">
        <v>32</v>
      </c>
      <c r="H2940" s="0" t="n">
        <v>179</v>
      </c>
      <c r="I2940" s="0" t="s">
        <v>9818</v>
      </c>
      <c r="J2940" s="0" t="s">
        <v>9819</v>
      </c>
      <c r="K2940" s="0" t="s">
        <v>9820</v>
      </c>
      <c r="L2940" s="0" t="str">
        <f aca="false">HYPERLINK("https://www.ncbi.nlm.nih.gov/nuccore/CP000058.1?report=graph&amp;tracks=[key:gene_model_track,Options:GeneOnly]&amp;mk=941754:941773|offset_40|444444,941809:941828|offset_95|444444,941832:941851|offset_118|444444,941893:941912|offset_179|00cc00&amp;v=941553:942112&amp;c=444444", "offset 179")</f>
        <v>offset 179</v>
      </c>
    </row>
    <row r="2941" customFormat="false" ht="12.8" hidden="false" customHeight="false" outlineLevel="0" collapsed="false">
      <c r="A2941" s="0" t="s">
        <v>12</v>
      </c>
      <c r="B2941" s="0" t="n">
        <v>943773</v>
      </c>
      <c r="C2941" s="0" t="n">
        <v>943793</v>
      </c>
      <c r="D2941" s="0" t="s">
        <v>9821</v>
      </c>
      <c r="E2941" s="0" t="s">
        <v>75</v>
      </c>
      <c r="F2941" s="0" t="s">
        <v>15</v>
      </c>
      <c r="G2941" s="0" t="s">
        <v>20</v>
      </c>
      <c r="H2941" s="0" t="n">
        <v>44</v>
      </c>
      <c r="I2941" s="0" t="s">
        <v>9822</v>
      </c>
      <c r="J2941" s="0" t="s">
        <v>9823</v>
      </c>
      <c r="K2941" s="0" t="s">
        <v>9824</v>
      </c>
      <c r="L2941" s="0" t="str">
        <f aca="false">HYPERLINK("https://www.ncbi.nlm.nih.gov/nuccore/CP000058.1?report=graph&amp;tracks=[key:gene_model_track,Options:GeneOnly]&amp;mk=943774:943793|offset_44|00cc00,943798:943817|offset_68|444444,943824:943843|offset_94|444444,943879:943898|offset_149|444444&amp;v=943573:944098&amp;c=444444", "offset 44")</f>
        <v>offset 44</v>
      </c>
    </row>
    <row r="2942" customFormat="false" ht="12.8" hidden="false" customHeight="false" outlineLevel="0" collapsed="false">
      <c r="A2942" s="0" t="s">
        <v>12</v>
      </c>
      <c r="B2942" s="0" t="n">
        <v>943797</v>
      </c>
      <c r="C2942" s="0" t="n">
        <v>943817</v>
      </c>
      <c r="D2942" s="0" t="s">
        <v>9821</v>
      </c>
      <c r="E2942" s="0" t="s">
        <v>75</v>
      </c>
      <c r="F2942" s="0" t="s">
        <v>15</v>
      </c>
      <c r="G2942" s="0" t="s">
        <v>32</v>
      </c>
      <c r="H2942" s="0" t="n">
        <v>68</v>
      </c>
      <c r="I2942" s="0" t="s">
        <v>9825</v>
      </c>
      <c r="J2942" s="0" t="s">
        <v>9826</v>
      </c>
      <c r="K2942" s="0" t="s">
        <v>9827</v>
      </c>
      <c r="L2942" s="0" t="str">
        <f aca="false">HYPERLINK("https://www.ncbi.nlm.nih.gov/nuccore/CP000058.1?report=graph&amp;tracks=[key:gene_model_track,Options:GeneOnly]&amp;mk=943774:943793|offset_44|444444,943798:943817|offset_68|00cc00,943824:943843|offset_94|444444,943879:943898|offset_149|444444&amp;v=943573:944098&amp;c=444444", "offset 68")</f>
        <v>offset 68</v>
      </c>
    </row>
    <row r="2943" customFormat="false" ht="12.8" hidden="false" customHeight="false" outlineLevel="0" collapsed="false">
      <c r="A2943" s="0" t="s">
        <v>12</v>
      </c>
      <c r="B2943" s="0" t="n">
        <v>943823</v>
      </c>
      <c r="C2943" s="0" t="n">
        <v>943843</v>
      </c>
      <c r="D2943" s="0" t="s">
        <v>9821</v>
      </c>
      <c r="E2943" s="0" t="s">
        <v>75</v>
      </c>
      <c r="F2943" s="0" t="s">
        <v>15</v>
      </c>
      <c r="G2943" s="0" t="s">
        <v>32</v>
      </c>
      <c r="H2943" s="0" t="n">
        <v>94</v>
      </c>
      <c r="I2943" s="0" t="s">
        <v>9828</v>
      </c>
      <c r="J2943" s="0" t="s">
        <v>9829</v>
      </c>
      <c r="K2943" s="0" t="s">
        <v>9830</v>
      </c>
      <c r="L2943" s="0" t="str">
        <f aca="false">HYPERLINK("https://www.ncbi.nlm.nih.gov/nuccore/CP000058.1?report=graph&amp;tracks=[key:gene_model_track,Options:GeneOnly]&amp;mk=943774:943793|offset_44|444444,943798:943817|offset_68|444444,943824:943843|offset_94|00cc00,943879:943898|offset_149|444444&amp;v=943573:944098&amp;c=444444", "offset 94")</f>
        <v>offset 94</v>
      </c>
    </row>
    <row r="2944" customFormat="false" ht="12.8" hidden="false" customHeight="false" outlineLevel="0" collapsed="false">
      <c r="A2944" s="0" t="s">
        <v>12</v>
      </c>
      <c r="B2944" s="0" t="n">
        <v>943878</v>
      </c>
      <c r="C2944" s="0" t="n">
        <v>943898</v>
      </c>
      <c r="D2944" s="0" t="s">
        <v>9821</v>
      </c>
      <c r="E2944" s="0" t="s">
        <v>75</v>
      </c>
      <c r="F2944" s="0" t="s">
        <v>15</v>
      </c>
      <c r="G2944" s="0" t="s">
        <v>32</v>
      </c>
      <c r="H2944" s="0" t="n">
        <v>149</v>
      </c>
      <c r="I2944" s="0" t="s">
        <v>9831</v>
      </c>
      <c r="J2944" s="0" t="s">
        <v>9832</v>
      </c>
      <c r="K2944" s="0" t="s">
        <v>9833</v>
      </c>
      <c r="L2944" s="0" t="str">
        <f aca="false">HYPERLINK("https://www.ncbi.nlm.nih.gov/nuccore/CP000058.1?report=graph&amp;tracks=[key:gene_model_track,Options:GeneOnly]&amp;mk=943774:943793|offset_44|444444,943798:943817|offset_68|444444,943824:943843|offset_94|444444,943879:943898|offset_149|00cc00&amp;v=943573:944098&amp;c=444444", "offset 149")</f>
        <v>offset 149</v>
      </c>
    </row>
    <row r="2945" customFormat="false" ht="12.8" hidden="false" customHeight="false" outlineLevel="0" collapsed="false">
      <c r="A2945" s="0" t="s">
        <v>12</v>
      </c>
      <c r="B2945" s="0" t="n">
        <v>944108</v>
      </c>
      <c r="C2945" s="0" t="n">
        <v>944128</v>
      </c>
      <c r="D2945" s="0" t="s">
        <v>9834</v>
      </c>
      <c r="E2945" s="0" t="s">
        <v>75</v>
      </c>
      <c r="F2945" s="0" t="s">
        <v>90</v>
      </c>
      <c r="G2945" s="0" t="s">
        <v>32</v>
      </c>
      <c r="H2945" s="0" t="n">
        <v>91</v>
      </c>
      <c r="I2945" s="0" t="s">
        <v>9835</v>
      </c>
      <c r="J2945" s="0" t="s">
        <v>9836</v>
      </c>
      <c r="K2945" s="0" t="s">
        <v>9837</v>
      </c>
      <c r="L2945" s="0" t="str">
        <f aca="false">HYPERLINK("https://www.ncbi.nlm.nih.gov/nuccore/CP000058.1?report=graph&amp;tracks=[key:gene_model_track,Options:GeneOnly]&amp;mk=944109:944128|offset_91|00cc00,944074:944093|offset_126|444444,944025:944044|offset_175|444444&amp;v=943908:944244&amp;c=444444", "offset 91")</f>
        <v>offset 91</v>
      </c>
    </row>
    <row r="2946" customFormat="false" ht="12.8" hidden="false" customHeight="false" outlineLevel="0" collapsed="false">
      <c r="A2946" s="0" t="s">
        <v>12</v>
      </c>
      <c r="B2946" s="0" t="n">
        <v>944073</v>
      </c>
      <c r="C2946" s="0" t="n">
        <v>944093</v>
      </c>
      <c r="D2946" s="0" t="s">
        <v>9834</v>
      </c>
      <c r="E2946" s="0" t="s">
        <v>75</v>
      </c>
      <c r="F2946" s="0" t="s">
        <v>90</v>
      </c>
      <c r="G2946" s="0" t="s">
        <v>16</v>
      </c>
      <c r="H2946" s="0" t="n">
        <v>126</v>
      </c>
      <c r="I2946" s="0" t="s">
        <v>9838</v>
      </c>
      <c r="J2946" s="0" t="s">
        <v>9839</v>
      </c>
      <c r="K2946" s="0" t="s">
        <v>9840</v>
      </c>
      <c r="L2946" s="0" t="str">
        <f aca="false">HYPERLINK("https://www.ncbi.nlm.nih.gov/nuccore/CP000058.1?report=graph&amp;tracks=[key:gene_model_track,Options:GeneOnly]&amp;mk=944109:944128|offset_91|444444,944074:944093|offset_126|00cc00,944025:944044|offset_175|444444&amp;v=943908:944244&amp;c=444444", "offset 126")</f>
        <v>offset 126</v>
      </c>
    </row>
    <row r="2947" customFormat="false" ht="12.8" hidden="false" customHeight="false" outlineLevel="0" collapsed="false">
      <c r="A2947" s="0" t="s">
        <v>12</v>
      </c>
      <c r="B2947" s="0" t="n">
        <v>944024</v>
      </c>
      <c r="C2947" s="0" t="n">
        <v>944044</v>
      </c>
      <c r="D2947" s="0" t="s">
        <v>9834</v>
      </c>
      <c r="E2947" s="0" t="s">
        <v>75</v>
      </c>
      <c r="F2947" s="0" t="s">
        <v>90</v>
      </c>
      <c r="G2947" s="0" t="s">
        <v>32</v>
      </c>
      <c r="H2947" s="0" t="n">
        <v>175</v>
      </c>
      <c r="I2947" s="0" t="s">
        <v>9841</v>
      </c>
      <c r="J2947" s="0" t="s">
        <v>9842</v>
      </c>
      <c r="K2947" s="0" t="s">
        <v>9843</v>
      </c>
      <c r="L2947" s="0" t="str">
        <f aca="false">HYPERLINK("https://www.ncbi.nlm.nih.gov/nuccore/CP000058.1?report=graph&amp;tracks=[key:gene_model_track,Options:GeneOnly]&amp;mk=944109:944128|offset_91|444444,944074:944093|offset_126|444444,944025:944044|offset_175|00cc00&amp;v=943908:944244&amp;c=444444", "offset 175")</f>
        <v>offset 175</v>
      </c>
    </row>
    <row r="2948" customFormat="false" ht="12.8" hidden="false" customHeight="false" outlineLevel="0" collapsed="false">
      <c r="A2948" s="0" t="s">
        <v>12</v>
      </c>
      <c r="B2948" s="0" t="n">
        <v>944505</v>
      </c>
      <c r="C2948" s="0" t="n">
        <v>944525</v>
      </c>
      <c r="D2948" s="0" t="s">
        <v>9844</v>
      </c>
      <c r="E2948" s="0" t="s">
        <v>75</v>
      </c>
      <c r="F2948" s="0" t="s">
        <v>90</v>
      </c>
      <c r="G2948" s="0" t="s">
        <v>36</v>
      </c>
      <c r="H2948" s="0" t="n">
        <v>7</v>
      </c>
      <c r="I2948" s="0" t="s">
        <v>9845</v>
      </c>
      <c r="J2948" s="0" t="s">
        <v>9846</v>
      </c>
      <c r="K2948" s="0" t="s">
        <v>9847</v>
      </c>
      <c r="L2948" s="0" t="str">
        <f aca="false">HYPERLINK("https://www.ncbi.nlm.nih.gov/nuccore/CP000058.1?report=graph&amp;tracks=[key:gene_model_track,Options:GeneOnly]&amp;mk=944506:944525|offset_7|00cc00,944446:944465|offset_67|444444,944413:944432|offset_100|444444&amp;v=944305:944632&amp;c=444444", "offset 7")</f>
        <v>offset 7</v>
      </c>
    </row>
    <row r="2949" customFormat="false" ht="12.8" hidden="false" customHeight="false" outlineLevel="0" collapsed="false">
      <c r="A2949" s="0" t="s">
        <v>12</v>
      </c>
      <c r="B2949" s="0" t="n">
        <v>944445</v>
      </c>
      <c r="C2949" s="0" t="n">
        <v>944465</v>
      </c>
      <c r="D2949" s="0" t="s">
        <v>9844</v>
      </c>
      <c r="E2949" s="0" t="s">
        <v>75</v>
      </c>
      <c r="F2949" s="0" t="s">
        <v>90</v>
      </c>
      <c r="G2949" s="0" t="s">
        <v>16</v>
      </c>
      <c r="H2949" s="0" t="n">
        <v>67</v>
      </c>
      <c r="I2949" s="0" t="s">
        <v>9848</v>
      </c>
      <c r="J2949" s="0" t="s">
        <v>9849</v>
      </c>
      <c r="K2949" s="0" t="s">
        <v>9850</v>
      </c>
      <c r="L2949" s="0" t="str">
        <f aca="false">HYPERLINK("https://www.ncbi.nlm.nih.gov/nuccore/CP000058.1?report=graph&amp;tracks=[key:gene_model_track,Options:GeneOnly]&amp;mk=944506:944525|offset_7|444444,944446:944465|offset_67|00cc00,944413:944432|offset_100|444444&amp;v=944305:944632&amp;c=444444", "offset 67")</f>
        <v>offset 67</v>
      </c>
    </row>
    <row r="2950" customFormat="false" ht="12.8" hidden="false" customHeight="false" outlineLevel="0" collapsed="false">
      <c r="A2950" s="0" t="s">
        <v>12</v>
      </c>
      <c r="B2950" s="0" t="n">
        <v>944412</v>
      </c>
      <c r="C2950" s="0" t="n">
        <v>944432</v>
      </c>
      <c r="D2950" s="0" t="s">
        <v>9844</v>
      </c>
      <c r="E2950" s="0" t="s">
        <v>75</v>
      </c>
      <c r="F2950" s="0" t="s">
        <v>90</v>
      </c>
      <c r="G2950" s="0" t="s">
        <v>32</v>
      </c>
      <c r="H2950" s="0" t="n">
        <v>100</v>
      </c>
      <c r="I2950" s="0" t="s">
        <v>9851</v>
      </c>
      <c r="J2950" s="0" t="s">
        <v>9852</v>
      </c>
      <c r="K2950" s="0" t="s">
        <v>9853</v>
      </c>
      <c r="L2950" s="0" t="str">
        <f aca="false">HYPERLINK("https://www.ncbi.nlm.nih.gov/nuccore/CP000058.1?report=graph&amp;tracks=[key:gene_model_track,Options:GeneOnly]&amp;mk=944506:944525|offset_7|444444,944446:944465|offset_67|444444,944413:944432|offset_100|00cc00&amp;v=944305:944632&amp;c=444444", "offset 100")</f>
        <v>offset 100</v>
      </c>
    </row>
    <row r="2951" customFormat="false" ht="12.8" hidden="false" customHeight="false" outlineLevel="0" collapsed="false">
      <c r="A2951" s="0" t="s">
        <v>12</v>
      </c>
      <c r="B2951" s="0" t="n">
        <v>945627</v>
      </c>
      <c r="C2951" s="0" t="n">
        <v>945647</v>
      </c>
      <c r="D2951" s="0" t="s">
        <v>9854</v>
      </c>
      <c r="E2951" s="0" t="s">
        <v>9855</v>
      </c>
      <c r="F2951" s="0" t="s">
        <v>90</v>
      </c>
      <c r="G2951" s="0" t="s">
        <v>16</v>
      </c>
      <c r="H2951" s="0" t="n">
        <v>46</v>
      </c>
      <c r="I2951" s="0" t="s">
        <v>9856</v>
      </c>
      <c r="J2951" s="0" t="s">
        <v>9857</v>
      </c>
      <c r="K2951" s="0" t="s">
        <v>9858</v>
      </c>
      <c r="L2951" s="0" t="str">
        <f aca="false">HYPERLINK("https://www.ncbi.nlm.nih.gov/nuccore/CP000058.1?report=graph&amp;tracks=[key:gene_model_track,Options:GeneOnly]&amp;mk=945628:945647|offset_46|00cc00,945604:945623|offset_70|444444,945555:945574|offset_119|444444,945518:945537|offset_156|444444&amp;v=945427:945737&amp;c=444444", "offset 46")</f>
        <v>offset 46</v>
      </c>
    </row>
    <row r="2952" customFormat="false" ht="12.8" hidden="false" customHeight="false" outlineLevel="0" collapsed="false">
      <c r="A2952" s="0" t="s">
        <v>12</v>
      </c>
      <c r="B2952" s="0" t="n">
        <v>945603</v>
      </c>
      <c r="C2952" s="0" t="n">
        <v>945623</v>
      </c>
      <c r="D2952" s="0" t="s">
        <v>9854</v>
      </c>
      <c r="E2952" s="0" t="s">
        <v>9855</v>
      </c>
      <c r="F2952" s="0" t="s">
        <v>90</v>
      </c>
      <c r="G2952" s="0" t="s">
        <v>32</v>
      </c>
      <c r="H2952" s="0" t="n">
        <v>70</v>
      </c>
      <c r="I2952" s="0" t="s">
        <v>9859</v>
      </c>
      <c r="J2952" s="0" t="s">
        <v>9860</v>
      </c>
      <c r="K2952" s="0" t="s">
        <v>9861</v>
      </c>
      <c r="L2952" s="0" t="str">
        <f aca="false">HYPERLINK("https://www.ncbi.nlm.nih.gov/nuccore/CP000058.1?report=graph&amp;tracks=[key:gene_model_track,Options:GeneOnly]&amp;mk=945628:945647|offset_46|444444,945604:945623|offset_70|00cc00,945555:945574|offset_119|444444,945518:945537|offset_156|444444&amp;v=945427:945737&amp;c=444444", "offset 70")</f>
        <v>offset 70</v>
      </c>
    </row>
    <row r="2953" customFormat="false" ht="12.8" hidden="false" customHeight="false" outlineLevel="0" collapsed="false">
      <c r="A2953" s="0" t="s">
        <v>12</v>
      </c>
      <c r="B2953" s="0" t="n">
        <v>945554</v>
      </c>
      <c r="C2953" s="0" t="n">
        <v>945574</v>
      </c>
      <c r="D2953" s="0" t="s">
        <v>9854</v>
      </c>
      <c r="E2953" s="0" t="s">
        <v>9855</v>
      </c>
      <c r="F2953" s="0" t="s">
        <v>90</v>
      </c>
      <c r="G2953" s="0" t="s">
        <v>36</v>
      </c>
      <c r="H2953" s="0" t="n">
        <v>119</v>
      </c>
      <c r="I2953" s="0" t="s">
        <v>9862</v>
      </c>
      <c r="J2953" s="0" t="s">
        <v>9863</v>
      </c>
      <c r="K2953" s="0" t="s">
        <v>9864</v>
      </c>
      <c r="L2953" s="0" t="str">
        <f aca="false">HYPERLINK("https://www.ncbi.nlm.nih.gov/nuccore/CP000058.1?report=graph&amp;tracks=[key:gene_model_track,Options:GeneOnly]&amp;mk=945628:945647|offset_46|444444,945604:945623|offset_70|444444,945555:945574|offset_119|00cc00,945518:945537|offset_156|444444&amp;v=945427:945737&amp;c=444444", "offset 119")</f>
        <v>offset 119</v>
      </c>
    </row>
    <row r="2954" customFormat="false" ht="12.8" hidden="false" customHeight="false" outlineLevel="0" collapsed="false">
      <c r="A2954" s="0" t="s">
        <v>12</v>
      </c>
      <c r="B2954" s="0" t="n">
        <v>945517</v>
      </c>
      <c r="C2954" s="0" t="n">
        <v>945537</v>
      </c>
      <c r="D2954" s="0" t="s">
        <v>9854</v>
      </c>
      <c r="E2954" s="0" t="s">
        <v>9855</v>
      </c>
      <c r="F2954" s="0" t="s">
        <v>90</v>
      </c>
      <c r="G2954" s="0" t="s">
        <v>16</v>
      </c>
      <c r="H2954" s="0" t="n">
        <v>156</v>
      </c>
      <c r="I2954" s="0" t="s">
        <v>9865</v>
      </c>
      <c r="J2954" s="0" t="s">
        <v>9866</v>
      </c>
      <c r="K2954" s="0" t="s">
        <v>9867</v>
      </c>
      <c r="L2954" s="0" t="str">
        <f aca="false">HYPERLINK("https://www.ncbi.nlm.nih.gov/nuccore/CP000058.1?report=graph&amp;tracks=[key:gene_model_track,Options:GeneOnly]&amp;mk=945628:945647|offset_46|444444,945604:945623|offset_70|444444,945555:945574|offset_119|444444,945518:945537|offset_156|00cc00&amp;v=945427:945737&amp;c=444444", "offset 156")</f>
        <v>offset 156</v>
      </c>
    </row>
    <row r="2955" customFormat="false" ht="12.8" hidden="false" customHeight="false" outlineLevel="0" collapsed="false">
      <c r="A2955" s="0" t="s">
        <v>12</v>
      </c>
      <c r="B2955" s="0" t="n">
        <v>946157</v>
      </c>
      <c r="C2955" s="0" t="n">
        <v>946177</v>
      </c>
      <c r="D2955" s="0" t="s">
        <v>9868</v>
      </c>
      <c r="E2955" s="0" t="s">
        <v>9869</v>
      </c>
      <c r="F2955" s="0" t="s">
        <v>90</v>
      </c>
      <c r="G2955" s="0" t="s">
        <v>20</v>
      </c>
      <c r="H2955" s="0" t="n">
        <v>12</v>
      </c>
      <c r="I2955" s="0" t="s">
        <v>9870</v>
      </c>
      <c r="J2955" s="0" t="s">
        <v>9871</v>
      </c>
      <c r="K2955" s="0" t="s">
        <v>9872</v>
      </c>
      <c r="L2955" s="0" t="str">
        <f aca="false">HYPERLINK("https://www.ncbi.nlm.nih.gov/nuccore/CP000058.1?report=graph&amp;tracks=[key:gene_model_track,Options:GeneOnly]&amp;mk=946158:946177|offset_12|00cc00,946128:946147|offset_42|444444,946106:946125|offset_64|444444,946058:946077|offset_112|444444&amp;v=945957:946277&amp;c=444444", "offset 12")</f>
        <v>offset 12</v>
      </c>
    </row>
    <row r="2956" customFormat="false" ht="12.8" hidden="false" customHeight="false" outlineLevel="0" collapsed="false">
      <c r="A2956" s="0" t="s">
        <v>12</v>
      </c>
      <c r="B2956" s="0" t="n">
        <v>946127</v>
      </c>
      <c r="C2956" s="0" t="n">
        <v>946147</v>
      </c>
      <c r="D2956" s="0" t="s">
        <v>9868</v>
      </c>
      <c r="E2956" s="0" t="s">
        <v>9869</v>
      </c>
      <c r="F2956" s="0" t="s">
        <v>90</v>
      </c>
      <c r="G2956" s="0" t="s">
        <v>20</v>
      </c>
      <c r="H2956" s="0" t="n">
        <v>42</v>
      </c>
      <c r="I2956" s="0" t="s">
        <v>9873</v>
      </c>
      <c r="J2956" s="0" t="s">
        <v>9874</v>
      </c>
      <c r="K2956" s="0" t="s">
        <v>9875</v>
      </c>
      <c r="L2956" s="0" t="str">
        <f aca="false">HYPERLINK("https://www.ncbi.nlm.nih.gov/nuccore/CP000058.1?report=graph&amp;tracks=[key:gene_model_track,Options:GeneOnly]&amp;mk=946158:946177|offset_12|444444,946128:946147|offset_42|00cc00,946106:946125|offset_64|444444,946058:946077|offset_112|444444&amp;v=945957:946277&amp;c=444444", "offset 42")</f>
        <v>offset 42</v>
      </c>
    </row>
    <row r="2957" customFormat="false" ht="12.8" hidden="false" customHeight="false" outlineLevel="0" collapsed="false">
      <c r="A2957" s="0" t="s">
        <v>12</v>
      </c>
      <c r="B2957" s="0" t="n">
        <v>946105</v>
      </c>
      <c r="C2957" s="0" t="n">
        <v>946125</v>
      </c>
      <c r="D2957" s="0" t="s">
        <v>9868</v>
      </c>
      <c r="E2957" s="0" t="s">
        <v>9869</v>
      </c>
      <c r="F2957" s="0" t="s">
        <v>90</v>
      </c>
      <c r="G2957" s="0" t="s">
        <v>36</v>
      </c>
      <c r="H2957" s="0" t="n">
        <v>64</v>
      </c>
      <c r="I2957" s="0" t="s">
        <v>9876</v>
      </c>
      <c r="J2957" s="0" t="s">
        <v>9877</v>
      </c>
      <c r="K2957" s="0" t="s">
        <v>9878</v>
      </c>
      <c r="L2957" s="0" t="str">
        <f aca="false">HYPERLINK("https://www.ncbi.nlm.nih.gov/nuccore/CP000058.1?report=graph&amp;tracks=[key:gene_model_track,Options:GeneOnly]&amp;mk=946158:946177|offset_12|444444,946128:946147|offset_42|444444,946106:946125|offset_64|00cc00,946058:946077|offset_112|444444&amp;v=945957:946277&amp;c=444444", "offset 64")</f>
        <v>offset 64</v>
      </c>
    </row>
    <row r="2958" customFormat="false" ht="12.8" hidden="false" customHeight="false" outlineLevel="0" collapsed="false">
      <c r="A2958" s="0" t="s">
        <v>12</v>
      </c>
      <c r="B2958" s="0" t="n">
        <v>946057</v>
      </c>
      <c r="C2958" s="0" t="n">
        <v>946077</v>
      </c>
      <c r="D2958" s="0" t="s">
        <v>9868</v>
      </c>
      <c r="E2958" s="0" t="s">
        <v>9869</v>
      </c>
      <c r="F2958" s="0" t="s">
        <v>90</v>
      </c>
      <c r="G2958" s="0" t="s">
        <v>20</v>
      </c>
      <c r="H2958" s="0" t="n">
        <v>112</v>
      </c>
      <c r="I2958" s="0" t="s">
        <v>9879</v>
      </c>
      <c r="J2958" s="0" t="s">
        <v>9880</v>
      </c>
      <c r="K2958" s="0" t="s">
        <v>9881</v>
      </c>
      <c r="L2958" s="0" t="str">
        <f aca="false">HYPERLINK("https://www.ncbi.nlm.nih.gov/nuccore/CP000058.1?report=graph&amp;tracks=[key:gene_model_track,Options:GeneOnly]&amp;mk=946158:946177|offset_12|444444,946128:946147|offset_42|444444,946106:946125|offset_64|444444,946058:946077|offset_112|00cc00&amp;v=945957:946277&amp;c=444444", "offset 112")</f>
        <v>offset 112</v>
      </c>
    </row>
    <row r="2959" customFormat="false" ht="12.8" hidden="false" customHeight="false" outlineLevel="0" collapsed="false">
      <c r="A2959" s="0" t="s">
        <v>12</v>
      </c>
      <c r="B2959" s="0" t="n">
        <v>946969</v>
      </c>
      <c r="C2959" s="0" t="n">
        <v>946989</v>
      </c>
      <c r="D2959" s="0" t="s">
        <v>9882</v>
      </c>
      <c r="E2959" s="0" t="s">
        <v>9883</v>
      </c>
      <c r="F2959" s="0" t="s">
        <v>90</v>
      </c>
      <c r="G2959" s="0" t="s">
        <v>20</v>
      </c>
      <c r="H2959" s="0" t="n">
        <v>6</v>
      </c>
      <c r="I2959" s="0" t="s">
        <v>9884</v>
      </c>
      <c r="J2959" s="0" t="s">
        <v>9885</v>
      </c>
      <c r="K2959" s="0" t="s">
        <v>9886</v>
      </c>
      <c r="L2959" s="0" t="str">
        <f aca="false">HYPERLINK("https://www.ncbi.nlm.nih.gov/nuccore/CP000058.1?report=graph&amp;tracks=[key:gene_model_track,Options:GeneOnly]&amp;mk=946970:946989|offset_6|00cc00,946935:946954|offset_41|444444,946885:946904|offset_91|444444,946863:946882|offset_113|444444&amp;v=946769:947082&amp;c=444444", "offset 6")</f>
        <v>offset 6</v>
      </c>
    </row>
    <row r="2960" customFormat="false" ht="12.8" hidden="false" customHeight="false" outlineLevel="0" collapsed="false">
      <c r="A2960" s="0" t="s">
        <v>12</v>
      </c>
      <c r="B2960" s="0" t="n">
        <v>946934</v>
      </c>
      <c r="C2960" s="0" t="n">
        <v>946954</v>
      </c>
      <c r="D2960" s="0" t="s">
        <v>9882</v>
      </c>
      <c r="E2960" s="0" t="s">
        <v>9883</v>
      </c>
      <c r="F2960" s="0" t="s">
        <v>90</v>
      </c>
      <c r="G2960" s="0" t="s">
        <v>32</v>
      </c>
      <c r="H2960" s="0" t="n">
        <v>41</v>
      </c>
      <c r="I2960" s="0" t="s">
        <v>9887</v>
      </c>
      <c r="J2960" s="0" t="s">
        <v>9888</v>
      </c>
      <c r="K2960" s="0" t="s">
        <v>9889</v>
      </c>
      <c r="L2960" s="0" t="str">
        <f aca="false">HYPERLINK("https://www.ncbi.nlm.nih.gov/nuccore/CP000058.1?report=graph&amp;tracks=[key:gene_model_track,Options:GeneOnly]&amp;mk=946970:946989|offset_6|444444,946935:946954|offset_41|00cc00,946885:946904|offset_91|444444,946863:946882|offset_113|444444&amp;v=946769:947082&amp;c=444444", "offset 41")</f>
        <v>offset 41</v>
      </c>
    </row>
    <row r="2961" customFormat="false" ht="12.8" hidden="false" customHeight="false" outlineLevel="0" collapsed="false">
      <c r="A2961" s="0" t="s">
        <v>12</v>
      </c>
      <c r="B2961" s="0" t="n">
        <v>946884</v>
      </c>
      <c r="C2961" s="0" t="n">
        <v>946904</v>
      </c>
      <c r="D2961" s="0" t="s">
        <v>9882</v>
      </c>
      <c r="E2961" s="0" t="s">
        <v>9883</v>
      </c>
      <c r="F2961" s="0" t="s">
        <v>90</v>
      </c>
      <c r="G2961" s="0" t="s">
        <v>32</v>
      </c>
      <c r="H2961" s="0" t="n">
        <v>91</v>
      </c>
      <c r="I2961" s="0" t="s">
        <v>9890</v>
      </c>
      <c r="J2961" s="0" t="s">
        <v>9891</v>
      </c>
      <c r="K2961" s="0" t="s">
        <v>9892</v>
      </c>
      <c r="L2961" s="0" t="str">
        <f aca="false">HYPERLINK("https://www.ncbi.nlm.nih.gov/nuccore/CP000058.1?report=graph&amp;tracks=[key:gene_model_track,Options:GeneOnly]&amp;mk=946970:946989|offset_6|444444,946935:946954|offset_41|444444,946885:946904|offset_91|00cc00,946863:946882|offset_113|444444&amp;v=946769:947082&amp;c=444444", "offset 91")</f>
        <v>offset 91</v>
      </c>
    </row>
    <row r="2962" customFormat="false" ht="12.8" hidden="false" customHeight="false" outlineLevel="0" collapsed="false">
      <c r="A2962" s="0" t="s">
        <v>12</v>
      </c>
      <c r="B2962" s="0" t="n">
        <v>946862</v>
      </c>
      <c r="C2962" s="0" t="n">
        <v>946882</v>
      </c>
      <c r="D2962" s="0" t="s">
        <v>9882</v>
      </c>
      <c r="E2962" s="0" t="s">
        <v>9883</v>
      </c>
      <c r="F2962" s="0" t="s">
        <v>90</v>
      </c>
      <c r="G2962" s="0" t="s">
        <v>16</v>
      </c>
      <c r="H2962" s="0" t="n">
        <v>113</v>
      </c>
      <c r="I2962" s="0" t="s">
        <v>9893</v>
      </c>
      <c r="J2962" s="0" t="s">
        <v>9894</v>
      </c>
      <c r="K2962" s="0" t="s">
        <v>9895</v>
      </c>
      <c r="L2962" s="0" t="str">
        <f aca="false">HYPERLINK("https://www.ncbi.nlm.nih.gov/nuccore/CP000058.1?report=graph&amp;tracks=[key:gene_model_track,Options:GeneOnly]&amp;mk=946970:946989|offset_6|444444,946935:946954|offset_41|444444,946885:946904|offset_91|444444,946863:946882|offset_113|00cc00&amp;v=946769:947082&amp;c=444444", "offset 113")</f>
        <v>offset 113</v>
      </c>
    </row>
    <row r="2963" customFormat="false" ht="12.8" hidden="false" customHeight="false" outlineLevel="0" collapsed="false">
      <c r="A2963" s="0" t="s">
        <v>12</v>
      </c>
      <c r="B2963" s="0" t="n">
        <v>947493</v>
      </c>
      <c r="C2963" s="0" t="n">
        <v>947513</v>
      </c>
      <c r="D2963" s="0" t="s">
        <v>9896</v>
      </c>
      <c r="E2963" s="0" t="s">
        <v>9897</v>
      </c>
      <c r="F2963" s="0" t="s">
        <v>90</v>
      </c>
      <c r="G2963" s="0" t="s">
        <v>16</v>
      </c>
      <c r="H2963" s="0" t="n">
        <v>31</v>
      </c>
      <c r="I2963" s="0" t="s">
        <v>9898</v>
      </c>
      <c r="J2963" s="0" t="s">
        <v>9899</v>
      </c>
      <c r="K2963" s="0" t="s">
        <v>9900</v>
      </c>
      <c r="L2963" s="0" t="str">
        <f aca="false">HYPERLINK("https://www.ncbi.nlm.nih.gov/nuccore/CP000058.1?report=graph&amp;tracks=[key:gene_model_track,Options:GeneOnly]&amp;mk=947494:947513|offset_31|00cc00,947463:947482|offset_62|444444,947431:947450|offset_94|444444,947388:947407|offset_137|444444&amp;v=947293:947607&amp;c=444444", "offset 31")</f>
        <v>offset 31</v>
      </c>
    </row>
    <row r="2964" customFormat="false" ht="12.8" hidden="false" customHeight="false" outlineLevel="0" collapsed="false">
      <c r="A2964" s="0" t="s">
        <v>12</v>
      </c>
      <c r="B2964" s="0" t="n">
        <v>947462</v>
      </c>
      <c r="C2964" s="0" t="n">
        <v>947482</v>
      </c>
      <c r="D2964" s="0" t="s">
        <v>9896</v>
      </c>
      <c r="E2964" s="0" t="s">
        <v>9897</v>
      </c>
      <c r="F2964" s="0" t="s">
        <v>90</v>
      </c>
      <c r="G2964" s="0" t="s">
        <v>20</v>
      </c>
      <c r="H2964" s="0" t="n">
        <v>62</v>
      </c>
      <c r="I2964" s="0" t="s">
        <v>9901</v>
      </c>
      <c r="J2964" s="0" t="s">
        <v>9902</v>
      </c>
      <c r="K2964" s="0" t="s">
        <v>9903</v>
      </c>
      <c r="L2964" s="0" t="str">
        <f aca="false">HYPERLINK("https://www.ncbi.nlm.nih.gov/nuccore/CP000058.1?report=graph&amp;tracks=[key:gene_model_track,Options:GeneOnly]&amp;mk=947494:947513|offset_31|444444,947463:947482|offset_62|00cc00,947431:947450|offset_94|444444,947388:947407|offset_137|444444&amp;v=947293:947607&amp;c=444444", "offset 62")</f>
        <v>offset 62</v>
      </c>
    </row>
    <row r="2965" customFormat="false" ht="12.8" hidden="false" customHeight="false" outlineLevel="0" collapsed="false">
      <c r="A2965" s="0" t="s">
        <v>12</v>
      </c>
      <c r="B2965" s="0" t="n">
        <v>947430</v>
      </c>
      <c r="C2965" s="0" t="n">
        <v>947450</v>
      </c>
      <c r="D2965" s="0" t="s">
        <v>9896</v>
      </c>
      <c r="E2965" s="0" t="s">
        <v>9897</v>
      </c>
      <c r="F2965" s="0" t="s">
        <v>90</v>
      </c>
      <c r="G2965" s="0" t="s">
        <v>32</v>
      </c>
      <c r="H2965" s="0" t="n">
        <v>94</v>
      </c>
      <c r="I2965" s="0" t="s">
        <v>9904</v>
      </c>
      <c r="J2965" s="0" t="s">
        <v>9905</v>
      </c>
      <c r="K2965" s="0" t="s">
        <v>9906</v>
      </c>
      <c r="L2965" s="0" t="str">
        <f aca="false">HYPERLINK("https://www.ncbi.nlm.nih.gov/nuccore/CP000058.1?report=graph&amp;tracks=[key:gene_model_track,Options:GeneOnly]&amp;mk=947494:947513|offset_31|444444,947463:947482|offset_62|444444,947431:947450|offset_94|00cc00,947388:947407|offset_137|444444&amp;v=947293:947607&amp;c=444444", "offset 94")</f>
        <v>offset 94</v>
      </c>
    </row>
    <row r="2966" customFormat="false" ht="12.8" hidden="false" customHeight="false" outlineLevel="0" collapsed="false">
      <c r="A2966" s="0" t="s">
        <v>12</v>
      </c>
      <c r="B2966" s="0" t="n">
        <v>947387</v>
      </c>
      <c r="C2966" s="0" t="n">
        <v>947407</v>
      </c>
      <c r="D2966" s="0" t="s">
        <v>9896</v>
      </c>
      <c r="E2966" s="0" t="s">
        <v>9897</v>
      </c>
      <c r="F2966" s="0" t="s">
        <v>90</v>
      </c>
      <c r="G2966" s="0" t="s">
        <v>20</v>
      </c>
      <c r="H2966" s="0" t="n">
        <v>137</v>
      </c>
      <c r="I2966" s="0" t="s">
        <v>9907</v>
      </c>
      <c r="J2966" s="0" t="s">
        <v>9908</v>
      </c>
      <c r="K2966" s="0" t="s">
        <v>9909</v>
      </c>
      <c r="L2966" s="0" t="str">
        <f aca="false">HYPERLINK("https://www.ncbi.nlm.nih.gov/nuccore/CP000058.1?report=graph&amp;tracks=[key:gene_model_track,Options:GeneOnly]&amp;mk=947494:947513|offset_31|444444,947463:947482|offset_62|444444,947431:947450|offset_94|444444,947388:947407|offset_137|00cc00&amp;v=947293:947607&amp;c=444444", "offset 137")</f>
        <v>offset 137</v>
      </c>
    </row>
    <row r="2967" customFormat="false" ht="12.8" hidden="false" customHeight="false" outlineLevel="0" collapsed="false">
      <c r="A2967" s="0" t="s">
        <v>12</v>
      </c>
      <c r="B2967" s="0" t="n">
        <v>949196</v>
      </c>
      <c r="C2967" s="0" t="n">
        <v>949216</v>
      </c>
      <c r="D2967" s="0" t="s">
        <v>9910</v>
      </c>
      <c r="E2967" s="0" t="s">
        <v>75</v>
      </c>
      <c r="F2967" s="0" t="s">
        <v>90</v>
      </c>
      <c r="G2967" s="0" t="s">
        <v>32</v>
      </c>
      <c r="H2967" s="0" t="n">
        <v>34</v>
      </c>
      <c r="I2967" s="0" t="s">
        <v>9911</v>
      </c>
      <c r="J2967" s="0" t="s">
        <v>9912</v>
      </c>
      <c r="K2967" s="0" t="s">
        <v>9913</v>
      </c>
      <c r="L2967" s="0" t="str">
        <f aca="false">HYPERLINK("https://www.ncbi.nlm.nih.gov/nuccore/CP000058.1?report=graph&amp;tracks=[key:gene_model_track,Options:GeneOnly]&amp;mk=949197:949216|offset_34|00cc00,949158:949177|offset_73|444444,949137:949156|offset_94|444444,949112:949131|offset_119|444444&amp;v=948996:949331&amp;c=444444", "offset 34")</f>
        <v>offset 34</v>
      </c>
    </row>
    <row r="2968" customFormat="false" ht="12.8" hidden="false" customHeight="false" outlineLevel="0" collapsed="false">
      <c r="A2968" s="0" t="s">
        <v>12</v>
      </c>
      <c r="B2968" s="0" t="n">
        <v>949157</v>
      </c>
      <c r="C2968" s="0" t="n">
        <v>949177</v>
      </c>
      <c r="D2968" s="0" t="s">
        <v>9910</v>
      </c>
      <c r="E2968" s="0" t="s">
        <v>75</v>
      </c>
      <c r="F2968" s="0" t="s">
        <v>90</v>
      </c>
      <c r="G2968" s="0" t="s">
        <v>16</v>
      </c>
      <c r="H2968" s="0" t="n">
        <v>73</v>
      </c>
      <c r="I2968" s="0" t="s">
        <v>9914</v>
      </c>
      <c r="J2968" s="0" t="s">
        <v>9915</v>
      </c>
      <c r="K2968" s="0" t="s">
        <v>9916</v>
      </c>
      <c r="L2968" s="0" t="str">
        <f aca="false">HYPERLINK("https://www.ncbi.nlm.nih.gov/nuccore/CP000058.1?report=graph&amp;tracks=[key:gene_model_track,Options:GeneOnly]&amp;mk=949197:949216|offset_34|444444,949158:949177|offset_73|00cc00,949137:949156|offset_94|444444,949112:949131|offset_119|444444&amp;v=948996:949331&amp;c=444444", "offset 73")</f>
        <v>offset 73</v>
      </c>
    </row>
    <row r="2969" customFormat="false" ht="12.8" hidden="false" customHeight="false" outlineLevel="0" collapsed="false">
      <c r="A2969" s="0" t="s">
        <v>12</v>
      </c>
      <c r="B2969" s="0" t="n">
        <v>949136</v>
      </c>
      <c r="C2969" s="0" t="n">
        <v>949156</v>
      </c>
      <c r="D2969" s="0" t="s">
        <v>9910</v>
      </c>
      <c r="E2969" s="0" t="s">
        <v>75</v>
      </c>
      <c r="F2969" s="0" t="s">
        <v>90</v>
      </c>
      <c r="G2969" s="0" t="s">
        <v>32</v>
      </c>
      <c r="H2969" s="0" t="n">
        <v>94</v>
      </c>
      <c r="I2969" s="0" t="s">
        <v>9917</v>
      </c>
      <c r="J2969" s="0" t="s">
        <v>9918</v>
      </c>
      <c r="K2969" s="0" t="s">
        <v>9919</v>
      </c>
      <c r="L2969" s="0" t="str">
        <f aca="false">HYPERLINK("https://www.ncbi.nlm.nih.gov/nuccore/CP000058.1?report=graph&amp;tracks=[key:gene_model_track,Options:GeneOnly]&amp;mk=949197:949216|offset_34|444444,949158:949177|offset_73|444444,949137:949156|offset_94|00cc00,949112:949131|offset_119|444444&amp;v=948996:949331&amp;c=444444", "offset 94")</f>
        <v>offset 94</v>
      </c>
    </row>
    <row r="2970" customFormat="false" ht="12.8" hidden="false" customHeight="false" outlineLevel="0" collapsed="false">
      <c r="A2970" s="0" t="s">
        <v>12</v>
      </c>
      <c r="B2970" s="0" t="n">
        <v>949111</v>
      </c>
      <c r="C2970" s="0" t="n">
        <v>949131</v>
      </c>
      <c r="D2970" s="0" t="s">
        <v>9910</v>
      </c>
      <c r="E2970" s="0" t="s">
        <v>75</v>
      </c>
      <c r="F2970" s="0" t="s">
        <v>90</v>
      </c>
      <c r="G2970" s="0" t="s">
        <v>32</v>
      </c>
      <c r="H2970" s="0" t="n">
        <v>119</v>
      </c>
      <c r="I2970" s="0" t="s">
        <v>9920</v>
      </c>
      <c r="J2970" s="0" t="s">
        <v>9921</v>
      </c>
      <c r="K2970" s="0" t="s">
        <v>9922</v>
      </c>
      <c r="L2970" s="0" t="str">
        <f aca="false">HYPERLINK("https://www.ncbi.nlm.nih.gov/nuccore/CP000058.1?report=graph&amp;tracks=[key:gene_model_track,Options:GeneOnly]&amp;mk=949197:949216|offset_34|444444,949158:949177|offset_73|444444,949137:949156|offset_94|444444,949112:949131|offset_119|00cc00&amp;v=948996:949331&amp;c=444444", "offset 119")</f>
        <v>offset 119</v>
      </c>
    </row>
    <row r="2971" customFormat="false" ht="12.8" hidden="false" customHeight="false" outlineLevel="0" collapsed="false">
      <c r="A2971" s="0" t="s">
        <v>12</v>
      </c>
      <c r="B2971" s="0" t="n">
        <v>951296</v>
      </c>
      <c r="C2971" s="0" t="n">
        <v>951316</v>
      </c>
      <c r="D2971" s="0" t="s">
        <v>9923</v>
      </c>
      <c r="E2971" s="0" t="s">
        <v>9924</v>
      </c>
      <c r="F2971" s="0" t="s">
        <v>90</v>
      </c>
      <c r="G2971" s="0" t="s">
        <v>32</v>
      </c>
      <c r="H2971" s="0" t="n">
        <v>67</v>
      </c>
      <c r="I2971" s="0" t="s">
        <v>9925</v>
      </c>
      <c r="J2971" s="0" t="s">
        <v>9926</v>
      </c>
      <c r="K2971" s="0" t="s">
        <v>9927</v>
      </c>
      <c r="L2971" s="0" t="str">
        <f aca="false">HYPERLINK("https://www.ncbi.nlm.nih.gov/nuccore/CP000058.1?report=graph&amp;tracks=[key:gene_model_track,Options:GeneOnly]&amp;mk=951297:951316|offset_67|00cc00,951262:951281|offset_102|444444,951230:951249|offset_134|444444,951201:951220|offset_163|444444&amp;v=951096:951420&amp;c=444444", "offset 67")</f>
        <v>offset 67</v>
      </c>
    </row>
    <row r="2972" customFormat="false" ht="12.8" hidden="false" customHeight="false" outlineLevel="0" collapsed="false">
      <c r="A2972" s="0" t="s">
        <v>12</v>
      </c>
      <c r="B2972" s="0" t="n">
        <v>951261</v>
      </c>
      <c r="C2972" s="0" t="n">
        <v>951281</v>
      </c>
      <c r="D2972" s="0" t="s">
        <v>9923</v>
      </c>
      <c r="E2972" s="0" t="s">
        <v>9924</v>
      </c>
      <c r="F2972" s="0" t="s">
        <v>90</v>
      </c>
      <c r="G2972" s="0" t="s">
        <v>16</v>
      </c>
      <c r="H2972" s="0" t="n">
        <v>102</v>
      </c>
      <c r="I2972" s="0" t="s">
        <v>9928</v>
      </c>
      <c r="J2972" s="0" t="s">
        <v>9929</v>
      </c>
      <c r="K2972" s="0" t="s">
        <v>9930</v>
      </c>
      <c r="L2972" s="0" t="str">
        <f aca="false">HYPERLINK("https://www.ncbi.nlm.nih.gov/nuccore/CP000058.1?report=graph&amp;tracks=[key:gene_model_track,Options:GeneOnly]&amp;mk=951297:951316|offset_67|444444,951262:951281|offset_102|00cc00,951230:951249|offset_134|444444,951201:951220|offset_163|444444&amp;v=951096:951420&amp;c=444444", "offset 102")</f>
        <v>offset 102</v>
      </c>
    </row>
    <row r="2973" customFormat="false" ht="12.8" hidden="false" customHeight="false" outlineLevel="0" collapsed="false">
      <c r="A2973" s="0" t="s">
        <v>12</v>
      </c>
      <c r="B2973" s="0" t="n">
        <v>951229</v>
      </c>
      <c r="C2973" s="0" t="n">
        <v>951249</v>
      </c>
      <c r="D2973" s="0" t="s">
        <v>9923</v>
      </c>
      <c r="E2973" s="0" t="s">
        <v>9924</v>
      </c>
      <c r="F2973" s="0" t="s">
        <v>90</v>
      </c>
      <c r="G2973" s="0" t="s">
        <v>16</v>
      </c>
      <c r="H2973" s="0" t="n">
        <v>134</v>
      </c>
      <c r="I2973" s="0" t="s">
        <v>9931</v>
      </c>
      <c r="J2973" s="0" t="s">
        <v>9932</v>
      </c>
      <c r="K2973" s="0" t="s">
        <v>9933</v>
      </c>
      <c r="L2973" s="0" t="str">
        <f aca="false">HYPERLINK("https://www.ncbi.nlm.nih.gov/nuccore/CP000058.1?report=graph&amp;tracks=[key:gene_model_track,Options:GeneOnly]&amp;mk=951297:951316|offset_67|444444,951262:951281|offset_102|444444,951230:951249|offset_134|00cc00,951201:951220|offset_163|444444&amp;v=951096:951420&amp;c=444444", "offset 134")</f>
        <v>offset 134</v>
      </c>
    </row>
    <row r="2974" customFormat="false" ht="12.8" hidden="false" customHeight="false" outlineLevel="0" collapsed="false">
      <c r="A2974" s="0" t="s">
        <v>12</v>
      </c>
      <c r="B2974" s="0" t="n">
        <v>951200</v>
      </c>
      <c r="C2974" s="0" t="n">
        <v>951220</v>
      </c>
      <c r="D2974" s="0" t="s">
        <v>9923</v>
      </c>
      <c r="E2974" s="0" t="s">
        <v>9924</v>
      </c>
      <c r="F2974" s="0" t="s">
        <v>90</v>
      </c>
      <c r="G2974" s="0" t="s">
        <v>16</v>
      </c>
      <c r="H2974" s="0" t="n">
        <v>163</v>
      </c>
      <c r="I2974" s="0" t="s">
        <v>9934</v>
      </c>
      <c r="J2974" s="0" t="s">
        <v>9935</v>
      </c>
      <c r="K2974" s="0" t="s">
        <v>9936</v>
      </c>
      <c r="L2974" s="0" t="str">
        <f aca="false">HYPERLINK("https://www.ncbi.nlm.nih.gov/nuccore/CP000058.1?report=graph&amp;tracks=[key:gene_model_track,Options:GeneOnly]&amp;mk=951297:951316|offset_67|444444,951262:951281|offset_102|444444,951230:951249|offset_134|444444,951201:951220|offset_163|00cc00&amp;v=951096:951420&amp;c=444444", "offset 163")</f>
        <v>offset 163</v>
      </c>
    </row>
    <row r="2975" customFormat="false" ht="12.8" hidden="false" customHeight="false" outlineLevel="0" collapsed="false">
      <c r="A2975" s="0" t="s">
        <v>12</v>
      </c>
      <c r="B2975" s="0" t="n">
        <v>951694</v>
      </c>
      <c r="C2975" s="0" t="n">
        <v>951714</v>
      </c>
      <c r="D2975" s="0" t="s">
        <v>9937</v>
      </c>
      <c r="E2975" s="0" t="s">
        <v>75</v>
      </c>
      <c r="F2975" s="0" t="s">
        <v>90</v>
      </c>
      <c r="G2975" s="0" t="s">
        <v>32</v>
      </c>
      <c r="H2975" s="0" t="n">
        <v>6</v>
      </c>
      <c r="I2975" s="0" t="s">
        <v>9938</v>
      </c>
      <c r="J2975" s="0" t="s">
        <v>9939</v>
      </c>
      <c r="K2975" s="0" t="s">
        <v>9940</v>
      </c>
      <c r="L2975" s="0" t="str">
        <f aca="false">HYPERLINK("https://www.ncbi.nlm.nih.gov/nuccore/CP000058.1?report=graph&amp;tracks=[key:gene_model_track,Options:GeneOnly]&amp;mk=951695:951714|offset_6|00cc00,951667:951686|offset_34|444444,951628:951647|offset_73|444444,951599:951618|offset_102|444444&amp;v=951494:951818&amp;c=444444", "offset 6")</f>
        <v>offset 6</v>
      </c>
    </row>
    <row r="2976" customFormat="false" ht="12.8" hidden="false" customHeight="false" outlineLevel="0" collapsed="false">
      <c r="A2976" s="0" t="s">
        <v>12</v>
      </c>
      <c r="B2976" s="0" t="n">
        <v>951666</v>
      </c>
      <c r="C2976" s="0" t="n">
        <v>951686</v>
      </c>
      <c r="D2976" s="0" t="s">
        <v>9937</v>
      </c>
      <c r="E2976" s="0" t="s">
        <v>75</v>
      </c>
      <c r="F2976" s="0" t="s">
        <v>90</v>
      </c>
      <c r="G2976" s="0" t="s">
        <v>32</v>
      </c>
      <c r="H2976" s="0" t="n">
        <v>34</v>
      </c>
      <c r="I2976" s="0" t="s">
        <v>9941</v>
      </c>
      <c r="J2976" s="0" t="s">
        <v>9942</v>
      </c>
      <c r="K2976" s="0" t="s">
        <v>9943</v>
      </c>
      <c r="L2976" s="0" t="str">
        <f aca="false">HYPERLINK("https://www.ncbi.nlm.nih.gov/nuccore/CP000058.1?report=graph&amp;tracks=[key:gene_model_track,Options:GeneOnly]&amp;mk=951695:951714|offset_6|444444,951667:951686|offset_34|00cc00,951628:951647|offset_73|444444,951599:951618|offset_102|444444&amp;v=951494:951818&amp;c=444444", "offset 34")</f>
        <v>offset 34</v>
      </c>
    </row>
    <row r="2977" customFormat="false" ht="12.8" hidden="false" customHeight="false" outlineLevel="0" collapsed="false">
      <c r="A2977" s="0" t="s">
        <v>12</v>
      </c>
      <c r="B2977" s="0" t="n">
        <v>951627</v>
      </c>
      <c r="C2977" s="0" t="n">
        <v>951647</v>
      </c>
      <c r="D2977" s="0" t="s">
        <v>9937</v>
      </c>
      <c r="E2977" s="0" t="s">
        <v>75</v>
      </c>
      <c r="F2977" s="0" t="s">
        <v>90</v>
      </c>
      <c r="G2977" s="0" t="s">
        <v>16</v>
      </c>
      <c r="H2977" s="0" t="n">
        <v>73</v>
      </c>
      <c r="I2977" s="0" t="s">
        <v>9944</v>
      </c>
      <c r="J2977" s="0" t="s">
        <v>9945</v>
      </c>
      <c r="K2977" s="0" t="s">
        <v>9946</v>
      </c>
      <c r="L2977" s="0" t="str">
        <f aca="false">HYPERLINK("https://www.ncbi.nlm.nih.gov/nuccore/CP000058.1?report=graph&amp;tracks=[key:gene_model_track,Options:GeneOnly]&amp;mk=951695:951714|offset_6|444444,951667:951686|offset_34|444444,951628:951647|offset_73|00cc00,951599:951618|offset_102|444444&amp;v=951494:951818&amp;c=444444", "offset 73")</f>
        <v>offset 73</v>
      </c>
    </row>
    <row r="2978" customFormat="false" ht="12.8" hidden="false" customHeight="false" outlineLevel="0" collapsed="false">
      <c r="A2978" s="0" t="s">
        <v>12</v>
      </c>
      <c r="B2978" s="0" t="n">
        <v>951598</v>
      </c>
      <c r="C2978" s="0" t="n">
        <v>951618</v>
      </c>
      <c r="D2978" s="0" t="s">
        <v>9937</v>
      </c>
      <c r="E2978" s="0" t="s">
        <v>75</v>
      </c>
      <c r="F2978" s="0" t="s">
        <v>90</v>
      </c>
      <c r="G2978" s="0" t="s">
        <v>32</v>
      </c>
      <c r="H2978" s="0" t="n">
        <v>102</v>
      </c>
      <c r="I2978" s="0" t="s">
        <v>9947</v>
      </c>
      <c r="J2978" s="0" t="s">
        <v>9948</v>
      </c>
      <c r="K2978" s="0" t="s">
        <v>9949</v>
      </c>
      <c r="L2978" s="0" t="str">
        <f aca="false">HYPERLINK("https://www.ncbi.nlm.nih.gov/nuccore/CP000058.1?report=graph&amp;tracks=[key:gene_model_track,Options:GeneOnly]&amp;mk=951695:951714|offset_6|444444,951667:951686|offset_34|444444,951628:951647|offset_73|444444,951599:951618|offset_102|00cc00&amp;v=951494:951818&amp;c=444444", "offset 102")</f>
        <v>offset 102</v>
      </c>
    </row>
    <row r="2979" customFormat="false" ht="12.8" hidden="false" customHeight="false" outlineLevel="0" collapsed="false">
      <c r="A2979" s="0" t="s">
        <v>12</v>
      </c>
      <c r="B2979" s="0" t="n">
        <v>952048</v>
      </c>
      <c r="C2979" s="0" t="n">
        <v>952068</v>
      </c>
      <c r="D2979" s="0" t="s">
        <v>9950</v>
      </c>
      <c r="E2979" s="0" t="s">
        <v>9951</v>
      </c>
      <c r="F2979" s="0" t="s">
        <v>90</v>
      </c>
      <c r="G2979" s="0" t="s">
        <v>16</v>
      </c>
      <c r="H2979" s="0" t="n">
        <v>44</v>
      </c>
      <c r="I2979" s="0" t="s">
        <v>9952</v>
      </c>
      <c r="J2979" s="0" t="s">
        <v>9953</v>
      </c>
      <c r="K2979" s="0" t="s">
        <v>9954</v>
      </c>
      <c r="L2979" s="0" t="str">
        <f aca="false">HYPERLINK("https://www.ncbi.nlm.nih.gov/nuccore/CP000058.1?report=graph&amp;tracks=[key:gene_model_track,Options:GeneOnly]&amp;mk=952049:952068|offset_44|00cc00,952017:952036|offset_76|444444,951996:952015|offset_97|444444,951963:951982|offset_130|444444&amp;v=951848:952182&amp;c=444444", "offset 44")</f>
        <v>offset 44</v>
      </c>
    </row>
    <row r="2980" customFormat="false" ht="12.8" hidden="false" customHeight="false" outlineLevel="0" collapsed="false">
      <c r="A2980" s="0" t="s">
        <v>12</v>
      </c>
      <c r="B2980" s="0" t="n">
        <v>952016</v>
      </c>
      <c r="C2980" s="0" t="n">
        <v>952036</v>
      </c>
      <c r="D2980" s="0" t="s">
        <v>9950</v>
      </c>
      <c r="E2980" s="0" t="s">
        <v>9951</v>
      </c>
      <c r="F2980" s="0" t="s">
        <v>90</v>
      </c>
      <c r="G2980" s="0" t="s">
        <v>16</v>
      </c>
      <c r="H2980" s="0" t="n">
        <v>76</v>
      </c>
      <c r="I2980" s="0" t="s">
        <v>9955</v>
      </c>
      <c r="J2980" s="0" t="s">
        <v>9956</v>
      </c>
      <c r="K2980" s="0" t="s">
        <v>9957</v>
      </c>
      <c r="L2980" s="0" t="str">
        <f aca="false">HYPERLINK("https://www.ncbi.nlm.nih.gov/nuccore/CP000058.1?report=graph&amp;tracks=[key:gene_model_track,Options:GeneOnly]&amp;mk=952049:952068|offset_44|444444,952017:952036|offset_76|00cc00,951996:952015|offset_97|444444,951963:951982|offset_130|444444&amp;v=951848:952182&amp;c=444444", "offset 76")</f>
        <v>offset 76</v>
      </c>
    </row>
    <row r="2981" customFormat="false" ht="12.8" hidden="false" customHeight="false" outlineLevel="0" collapsed="false">
      <c r="A2981" s="0" t="s">
        <v>12</v>
      </c>
      <c r="B2981" s="0" t="n">
        <v>951995</v>
      </c>
      <c r="C2981" s="0" t="n">
        <v>952015</v>
      </c>
      <c r="D2981" s="0" t="s">
        <v>9950</v>
      </c>
      <c r="E2981" s="0" t="s">
        <v>9951</v>
      </c>
      <c r="F2981" s="0" t="s">
        <v>90</v>
      </c>
      <c r="G2981" s="0" t="s">
        <v>20</v>
      </c>
      <c r="H2981" s="0" t="n">
        <v>97</v>
      </c>
      <c r="I2981" s="0" t="s">
        <v>9958</v>
      </c>
      <c r="J2981" s="0" t="s">
        <v>9959</v>
      </c>
      <c r="K2981" s="0" t="s">
        <v>9960</v>
      </c>
      <c r="L2981" s="0" t="str">
        <f aca="false">HYPERLINK("https://www.ncbi.nlm.nih.gov/nuccore/CP000058.1?report=graph&amp;tracks=[key:gene_model_track,Options:GeneOnly]&amp;mk=952049:952068|offset_44|444444,952017:952036|offset_76|444444,951996:952015|offset_97|00cc00,951963:951982|offset_130|444444&amp;v=951848:952182&amp;c=444444", "offset 97")</f>
        <v>offset 97</v>
      </c>
    </row>
    <row r="2982" customFormat="false" ht="12.8" hidden="false" customHeight="false" outlineLevel="0" collapsed="false">
      <c r="A2982" s="0" t="s">
        <v>12</v>
      </c>
      <c r="B2982" s="0" t="n">
        <v>951962</v>
      </c>
      <c r="C2982" s="0" t="n">
        <v>951982</v>
      </c>
      <c r="D2982" s="0" t="s">
        <v>9950</v>
      </c>
      <c r="E2982" s="0" t="s">
        <v>9951</v>
      </c>
      <c r="F2982" s="0" t="s">
        <v>90</v>
      </c>
      <c r="G2982" s="0" t="s">
        <v>16</v>
      </c>
      <c r="H2982" s="0" t="n">
        <v>130</v>
      </c>
      <c r="I2982" s="0" t="s">
        <v>9961</v>
      </c>
      <c r="J2982" s="0" t="s">
        <v>9962</v>
      </c>
      <c r="K2982" s="0" t="s">
        <v>9963</v>
      </c>
      <c r="L2982" s="0" t="str">
        <f aca="false">HYPERLINK("https://www.ncbi.nlm.nih.gov/nuccore/CP000058.1?report=graph&amp;tracks=[key:gene_model_track,Options:GeneOnly]&amp;mk=952049:952068|offset_44|444444,952017:952036|offset_76|444444,951996:952015|offset_97|444444,951963:951982|offset_130|00cc00&amp;v=951848:952182&amp;c=444444", "offset 130")</f>
        <v>offset 130</v>
      </c>
    </row>
    <row r="2983" customFormat="false" ht="12.8" hidden="false" customHeight="false" outlineLevel="0" collapsed="false">
      <c r="A2983" s="0" t="s">
        <v>12</v>
      </c>
      <c r="B2983" s="0" t="n">
        <v>953300</v>
      </c>
      <c r="C2983" s="0" t="n">
        <v>953320</v>
      </c>
      <c r="D2983" s="0" t="s">
        <v>9964</v>
      </c>
      <c r="E2983" s="0" t="s">
        <v>75</v>
      </c>
      <c r="F2983" s="0" t="s">
        <v>90</v>
      </c>
      <c r="G2983" s="0" t="s">
        <v>32</v>
      </c>
      <c r="H2983" s="0" t="n">
        <v>16</v>
      </c>
      <c r="I2983" s="0" t="s">
        <v>9965</v>
      </c>
      <c r="J2983" s="0" t="s">
        <v>9966</v>
      </c>
      <c r="K2983" s="0" t="s">
        <v>9967</v>
      </c>
      <c r="L2983" s="0" t="str">
        <f aca="false">HYPERLINK("https://www.ncbi.nlm.nih.gov/nuccore/CP000058.1?report=graph&amp;tracks=[key:gene_model_track,Options:GeneOnly]&amp;mk=953301:953320|offset_16|00cc00,953275:953294|offset_42|444444,953248:953267|offset_69|444444,953222:953241|offset_95|444444&amp;v=953100:953441&amp;c=444444", "offset 16")</f>
        <v>offset 16</v>
      </c>
    </row>
    <row r="2984" customFormat="false" ht="12.8" hidden="false" customHeight="false" outlineLevel="0" collapsed="false">
      <c r="A2984" s="0" t="s">
        <v>12</v>
      </c>
      <c r="B2984" s="0" t="n">
        <v>953274</v>
      </c>
      <c r="C2984" s="0" t="n">
        <v>953294</v>
      </c>
      <c r="D2984" s="0" t="s">
        <v>9964</v>
      </c>
      <c r="E2984" s="0" t="s">
        <v>75</v>
      </c>
      <c r="F2984" s="0" t="s">
        <v>90</v>
      </c>
      <c r="G2984" s="0" t="s">
        <v>16</v>
      </c>
      <c r="H2984" s="0" t="n">
        <v>42</v>
      </c>
      <c r="I2984" s="0" t="s">
        <v>9968</v>
      </c>
      <c r="J2984" s="0" t="s">
        <v>9969</v>
      </c>
      <c r="K2984" s="0" t="s">
        <v>9970</v>
      </c>
      <c r="L2984" s="0" t="str">
        <f aca="false">HYPERLINK("https://www.ncbi.nlm.nih.gov/nuccore/CP000058.1?report=graph&amp;tracks=[key:gene_model_track,Options:GeneOnly]&amp;mk=953301:953320|offset_16|444444,953275:953294|offset_42|00cc00,953248:953267|offset_69|444444,953222:953241|offset_95|444444&amp;v=953100:953441&amp;c=444444", "offset 42")</f>
        <v>offset 42</v>
      </c>
    </row>
    <row r="2985" customFormat="false" ht="12.8" hidden="false" customHeight="false" outlineLevel="0" collapsed="false">
      <c r="A2985" s="0" t="s">
        <v>12</v>
      </c>
      <c r="B2985" s="0" t="n">
        <v>953247</v>
      </c>
      <c r="C2985" s="0" t="n">
        <v>953267</v>
      </c>
      <c r="D2985" s="0" t="s">
        <v>9964</v>
      </c>
      <c r="E2985" s="0" t="s">
        <v>75</v>
      </c>
      <c r="F2985" s="0" t="s">
        <v>90</v>
      </c>
      <c r="G2985" s="0" t="s">
        <v>36</v>
      </c>
      <c r="H2985" s="0" t="n">
        <v>69</v>
      </c>
      <c r="I2985" s="0" t="s">
        <v>9971</v>
      </c>
      <c r="J2985" s="0" t="s">
        <v>9972</v>
      </c>
      <c r="K2985" s="0" t="s">
        <v>9973</v>
      </c>
      <c r="L2985" s="0" t="str">
        <f aca="false">HYPERLINK("https://www.ncbi.nlm.nih.gov/nuccore/CP000058.1?report=graph&amp;tracks=[key:gene_model_track,Options:GeneOnly]&amp;mk=953301:953320|offset_16|444444,953275:953294|offset_42|444444,953248:953267|offset_69|00cc00,953222:953241|offset_95|444444&amp;v=953100:953441&amp;c=444444", "offset 69")</f>
        <v>offset 69</v>
      </c>
    </row>
    <row r="2986" customFormat="false" ht="12.8" hidden="false" customHeight="false" outlineLevel="0" collapsed="false">
      <c r="A2986" s="0" t="s">
        <v>12</v>
      </c>
      <c r="B2986" s="0" t="n">
        <v>953221</v>
      </c>
      <c r="C2986" s="0" t="n">
        <v>953241</v>
      </c>
      <c r="D2986" s="0" t="s">
        <v>9964</v>
      </c>
      <c r="E2986" s="0" t="s">
        <v>75</v>
      </c>
      <c r="F2986" s="0" t="s">
        <v>90</v>
      </c>
      <c r="G2986" s="0" t="s">
        <v>20</v>
      </c>
      <c r="H2986" s="0" t="n">
        <v>95</v>
      </c>
      <c r="I2986" s="0" t="s">
        <v>9974</v>
      </c>
      <c r="J2986" s="0" t="s">
        <v>9975</v>
      </c>
      <c r="K2986" s="0" t="s">
        <v>9976</v>
      </c>
      <c r="L2986" s="0" t="str">
        <f aca="false">HYPERLINK("https://www.ncbi.nlm.nih.gov/nuccore/CP000058.1?report=graph&amp;tracks=[key:gene_model_track,Options:GeneOnly]&amp;mk=953301:953320|offset_16|444444,953275:953294|offset_42|444444,953248:953267|offset_69|444444,953222:953241|offset_95|00cc00&amp;v=953100:953441&amp;c=444444", "offset 95")</f>
        <v>offset 95</v>
      </c>
    </row>
    <row r="2987" customFormat="false" ht="12.8" hidden="false" customHeight="false" outlineLevel="0" collapsed="false">
      <c r="A2987" s="0" t="s">
        <v>12</v>
      </c>
      <c r="B2987" s="0" t="n">
        <v>955039</v>
      </c>
      <c r="C2987" s="0" t="n">
        <v>955059</v>
      </c>
      <c r="D2987" s="0" t="s">
        <v>9977</v>
      </c>
      <c r="E2987" s="0" t="s">
        <v>9978</v>
      </c>
      <c r="F2987" s="0" t="s">
        <v>90</v>
      </c>
      <c r="G2987" s="0" t="s">
        <v>32</v>
      </c>
      <c r="H2987" s="0" t="n">
        <v>58</v>
      </c>
      <c r="I2987" s="0" t="s">
        <v>9979</v>
      </c>
      <c r="J2987" s="0" t="s">
        <v>9980</v>
      </c>
      <c r="K2987" s="0" t="s">
        <v>9981</v>
      </c>
      <c r="L2987" s="0" t="str">
        <f aca="false">HYPERLINK("https://www.ncbi.nlm.nih.gov/nuccore/CP000058.1?report=graph&amp;tracks=[key:gene_model_track,Options:GeneOnly]&amp;mk=955040:955059|offset_58|00cc00,955004:955023|offset_94|444444,954983:955002|offset_115|444444,954960:954979|offset_138|444444&amp;v=954839:955179&amp;c=444444", "offset 58")</f>
        <v>offset 58</v>
      </c>
    </row>
    <row r="2988" customFormat="false" ht="12.8" hidden="false" customHeight="false" outlineLevel="0" collapsed="false">
      <c r="A2988" s="0" t="s">
        <v>12</v>
      </c>
      <c r="B2988" s="0" t="n">
        <v>955003</v>
      </c>
      <c r="C2988" s="0" t="n">
        <v>955023</v>
      </c>
      <c r="D2988" s="0" t="s">
        <v>9977</v>
      </c>
      <c r="E2988" s="0" t="s">
        <v>9978</v>
      </c>
      <c r="F2988" s="0" t="s">
        <v>90</v>
      </c>
      <c r="G2988" s="0" t="s">
        <v>32</v>
      </c>
      <c r="H2988" s="0" t="n">
        <v>94</v>
      </c>
      <c r="I2988" s="0" t="s">
        <v>9982</v>
      </c>
      <c r="J2988" s="0" t="s">
        <v>9983</v>
      </c>
      <c r="K2988" s="0" t="s">
        <v>9984</v>
      </c>
      <c r="L2988" s="0" t="str">
        <f aca="false">HYPERLINK("https://www.ncbi.nlm.nih.gov/nuccore/CP000058.1?report=graph&amp;tracks=[key:gene_model_track,Options:GeneOnly]&amp;mk=955040:955059|offset_58|444444,955004:955023|offset_94|00cc00,954983:955002|offset_115|444444,954960:954979|offset_138|444444&amp;v=954839:955179&amp;c=444444", "offset 94")</f>
        <v>offset 94</v>
      </c>
    </row>
    <row r="2989" customFormat="false" ht="12.8" hidden="false" customHeight="false" outlineLevel="0" collapsed="false">
      <c r="A2989" s="0" t="s">
        <v>12</v>
      </c>
      <c r="B2989" s="0" t="n">
        <v>954982</v>
      </c>
      <c r="C2989" s="0" t="n">
        <v>955002</v>
      </c>
      <c r="D2989" s="0" t="s">
        <v>9977</v>
      </c>
      <c r="E2989" s="0" t="s">
        <v>9978</v>
      </c>
      <c r="F2989" s="0" t="s">
        <v>90</v>
      </c>
      <c r="G2989" s="0" t="s">
        <v>32</v>
      </c>
      <c r="H2989" s="0" t="n">
        <v>115</v>
      </c>
      <c r="I2989" s="0" t="s">
        <v>9985</v>
      </c>
      <c r="J2989" s="0" t="s">
        <v>9986</v>
      </c>
      <c r="K2989" s="0" t="s">
        <v>9987</v>
      </c>
      <c r="L2989" s="0" t="str">
        <f aca="false">HYPERLINK("https://www.ncbi.nlm.nih.gov/nuccore/CP000058.1?report=graph&amp;tracks=[key:gene_model_track,Options:GeneOnly]&amp;mk=955040:955059|offset_58|444444,955004:955023|offset_94|444444,954983:955002|offset_115|00cc00,954960:954979|offset_138|444444&amp;v=954839:955179&amp;c=444444", "offset 115")</f>
        <v>offset 115</v>
      </c>
    </row>
    <row r="2990" customFormat="false" ht="12.8" hidden="false" customHeight="false" outlineLevel="0" collapsed="false">
      <c r="A2990" s="0" t="s">
        <v>12</v>
      </c>
      <c r="B2990" s="0" t="n">
        <v>954959</v>
      </c>
      <c r="C2990" s="0" t="n">
        <v>954979</v>
      </c>
      <c r="D2990" s="0" t="s">
        <v>9977</v>
      </c>
      <c r="E2990" s="0" t="s">
        <v>9978</v>
      </c>
      <c r="F2990" s="0" t="s">
        <v>90</v>
      </c>
      <c r="G2990" s="0" t="s">
        <v>16</v>
      </c>
      <c r="H2990" s="0" t="n">
        <v>138</v>
      </c>
      <c r="I2990" s="0" t="s">
        <v>9988</v>
      </c>
      <c r="J2990" s="0" t="s">
        <v>9989</v>
      </c>
      <c r="K2990" s="0" t="s">
        <v>9990</v>
      </c>
      <c r="L2990" s="0" t="str">
        <f aca="false">HYPERLINK("https://www.ncbi.nlm.nih.gov/nuccore/CP000058.1?report=graph&amp;tracks=[key:gene_model_track,Options:GeneOnly]&amp;mk=955040:955059|offset_58|444444,955004:955023|offset_94|444444,954983:955002|offset_115|444444,954960:954979|offset_138|00cc00&amp;v=954839:955179&amp;c=444444", "offset 138")</f>
        <v>offset 138</v>
      </c>
    </row>
    <row r="2991" customFormat="false" ht="12.8" hidden="false" customHeight="false" outlineLevel="0" collapsed="false">
      <c r="A2991" s="0" t="s">
        <v>12</v>
      </c>
      <c r="B2991" s="0" t="n">
        <v>955840</v>
      </c>
      <c r="C2991" s="0" t="n">
        <v>955860</v>
      </c>
      <c r="D2991" s="0" t="s">
        <v>9991</v>
      </c>
      <c r="E2991" s="0" t="s">
        <v>75</v>
      </c>
      <c r="F2991" s="0" t="s">
        <v>90</v>
      </c>
      <c r="G2991" s="0" t="s">
        <v>36</v>
      </c>
      <c r="H2991" s="0" t="n">
        <v>8</v>
      </c>
      <c r="I2991" s="0" t="s">
        <v>9992</v>
      </c>
      <c r="J2991" s="0" t="s">
        <v>9993</v>
      </c>
      <c r="K2991" s="0" t="s">
        <v>9994</v>
      </c>
      <c r="L2991" s="0" t="str">
        <f aca="false">HYPERLINK("https://www.ncbi.nlm.nih.gov/nuccore/CP000058.1?report=graph&amp;tracks=[key:gene_model_track,Options:GeneOnly]&amp;mk=955841:955860|offset_8|00cc00,955821:955840|offset_28|444444,955778:955797|offset_71|444444,955713:955732|offset_136|444444&amp;v=955640:955932&amp;c=444444", "offset 8")</f>
        <v>offset 8</v>
      </c>
    </row>
    <row r="2992" customFormat="false" ht="12.8" hidden="false" customHeight="false" outlineLevel="0" collapsed="false">
      <c r="A2992" s="0" t="s">
        <v>12</v>
      </c>
      <c r="B2992" s="0" t="n">
        <v>955820</v>
      </c>
      <c r="C2992" s="0" t="n">
        <v>955840</v>
      </c>
      <c r="D2992" s="0" t="s">
        <v>9991</v>
      </c>
      <c r="E2992" s="0" t="s">
        <v>75</v>
      </c>
      <c r="F2992" s="0" t="s">
        <v>90</v>
      </c>
      <c r="G2992" s="0" t="s">
        <v>16</v>
      </c>
      <c r="H2992" s="0" t="n">
        <v>28</v>
      </c>
      <c r="I2992" s="0" t="s">
        <v>9995</v>
      </c>
      <c r="J2992" s="0" t="s">
        <v>9996</v>
      </c>
      <c r="K2992" s="0" t="s">
        <v>9997</v>
      </c>
      <c r="L2992" s="0" t="str">
        <f aca="false">HYPERLINK("https://www.ncbi.nlm.nih.gov/nuccore/CP000058.1?report=graph&amp;tracks=[key:gene_model_track,Options:GeneOnly]&amp;mk=955841:955860|offset_8|444444,955821:955840|offset_28|00cc00,955778:955797|offset_71|444444,955713:955732|offset_136|444444&amp;v=955640:955932&amp;c=444444", "offset 28")</f>
        <v>offset 28</v>
      </c>
    </row>
    <row r="2993" customFormat="false" ht="12.8" hidden="false" customHeight="false" outlineLevel="0" collapsed="false">
      <c r="A2993" s="0" t="s">
        <v>12</v>
      </c>
      <c r="B2993" s="0" t="n">
        <v>955777</v>
      </c>
      <c r="C2993" s="0" t="n">
        <v>955797</v>
      </c>
      <c r="D2993" s="0" t="s">
        <v>9991</v>
      </c>
      <c r="E2993" s="0" t="s">
        <v>75</v>
      </c>
      <c r="F2993" s="0" t="s">
        <v>90</v>
      </c>
      <c r="G2993" s="0" t="s">
        <v>36</v>
      </c>
      <c r="H2993" s="0" t="n">
        <v>71</v>
      </c>
      <c r="I2993" s="0" t="s">
        <v>9998</v>
      </c>
      <c r="J2993" s="0" t="s">
        <v>9999</v>
      </c>
      <c r="K2993" s="0" t="s">
        <v>10000</v>
      </c>
      <c r="L2993" s="0" t="str">
        <f aca="false">HYPERLINK("https://www.ncbi.nlm.nih.gov/nuccore/CP000058.1?report=graph&amp;tracks=[key:gene_model_track,Options:GeneOnly]&amp;mk=955841:955860|offset_8|444444,955821:955840|offset_28|444444,955778:955797|offset_71|00cc00,955713:955732|offset_136|444444&amp;v=955640:955932&amp;c=444444", "offset 71")</f>
        <v>offset 71</v>
      </c>
    </row>
    <row r="2994" customFormat="false" ht="12.8" hidden="false" customHeight="false" outlineLevel="0" collapsed="false">
      <c r="A2994" s="0" t="s">
        <v>12</v>
      </c>
      <c r="B2994" s="0" t="n">
        <v>955712</v>
      </c>
      <c r="C2994" s="0" t="n">
        <v>955732</v>
      </c>
      <c r="D2994" s="0" t="s">
        <v>9991</v>
      </c>
      <c r="E2994" s="0" t="s">
        <v>75</v>
      </c>
      <c r="F2994" s="0" t="s">
        <v>90</v>
      </c>
      <c r="G2994" s="0" t="s">
        <v>16</v>
      </c>
      <c r="H2994" s="0" t="n">
        <v>136</v>
      </c>
      <c r="I2994" s="0" t="s">
        <v>10001</v>
      </c>
      <c r="J2994" s="0" t="s">
        <v>10002</v>
      </c>
      <c r="K2994" s="0" t="s">
        <v>10003</v>
      </c>
      <c r="L2994" s="0" t="str">
        <f aca="false">HYPERLINK("https://www.ncbi.nlm.nih.gov/nuccore/CP000058.1?report=graph&amp;tracks=[key:gene_model_track,Options:GeneOnly]&amp;mk=955841:955860|offset_8|444444,955821:955840|offset_28|444444,955778:955797|offset_71|444444,955713:955732|offset_136|00cc00&amp;v=955640:955932&amp;c=444444", "offset 136")</f>
        <v>offset 136</v>
      </c>
    </row>
    <row r="2995" customFormat="false" ht="12.8" hidden="false" customHeight="false" outlineLevel="0" collapsed="false">
      <c r="A2995" s="0" t="s">
        <v>12</v>
      </c>
      <c r="B2995" s="0" t="n">
        <v>956474</v>
      </c>
      <c r="C2995" s="0" t="n">
        <v>956494</v>
      </c>
      <c r="D2995" s="0" t="s">
        <v>10004</v>
      </c>
      <c r="E2995" s="0" t="s">
        <v>75</v>
      </c>
      <c r="F2995" s="0" t="s">
        <v>90</v>
      </c>
      <c r="G2995" s="0" t="s">
        <v>20</v>
      </c>
      <c r="H2995" s="0" t="n">
        <v>0</v>
      </c>
      <c r="I2995" s="0" t="s">
        <v>10005</v>
      </c>
      <c r="J2995" s="0" t="s">
        <v>10006</v>
      </c>
      <c r="K2995" s="0" t="s">
        <v>10007</v>
      </c>
      <c r="L2995" s="0" t="str">
        <f aca="false">HYPERLINK("https://www.ncbi.nlm.nih.gov/nuccore/CP000058.1?report=graph&amp;tracks=[key:gene_model_track,Options:GeneOnly]&amp;mk=956475:956494|offset_0|00cc00,956455:956474|offset_20|444444,956432:956451|offset_43|444444,956408:956427|offset_67|444444&amp;v=956274:956627&amp;c=444444", "offset 0")</f>
        <v>offset 0</v>
      </c>
    </row>
    <row r="2996" customFormat="false" ht="12.8" hidden="false" customHeight="false" outlineLevel="0" collapsed="false">
      <c r="A2996" s="0" t="s">
        <v>12</v>
      </c>
      <c r="B2996" s="0" t="n">
        <v>956454</v>
      </c>
      <c r="C2996" s="0" t="n">
        <v>956474</v>
      </c>
      <c r="D2996" s="0" t="s">
        <v>10004</v>
      </c>
      <c r="E2996" s="0" t="s">
        <v>75</v>
      </c>
      <c r="F2996" s="0" t="s">
        <v>90</v>
      </c>
      <c r="G2996" s="0" t="s">
        <v>20</v>
      </c>
      <c r="H2996" s="0" t="n">
        <v>20</v>
      </c>
      <c r="I2996" s="0" t="s">
        <v>10008</v>
      </c>
      <c r="J2996" s="0" t="s">
        <v>10009</v>
      </c>
      <c r="K2996" s="0" t="s">
        <v>10010</v>
      </c>
      <c r="L2996" s="0" t="str">
        <f aca="false">HYPERLINK("https://www.ncbi.nlm.nih.gov/nuccore/CP000058.1?report=graph&amp;tracks=[key:gene_model_track,Options:GeneOnly]&amp;mk=956475:956494|offset_0|444444,956455:956474|offset_20|00cc00,956432:956451|offset_43|444444,956408:956427|offset_67|444444&amp;v=956274:956627&amp;c=444444", "offset 20")</f>
        <v>offset 20</v>
      </c>
    </row>
    <row r="2997" customFormat="false" ht="12.8" hidden="false" customHeight="false" outlineLevel="0" collapsed="false">
      <c r="A2997" s="0" t="s">
        <v>12</v>
      </c>
      <c r="B2997" s="0" t="n">
        <v>956431</v>
      </c>
      <c r="C2997" s="0" t="n">
        <v>956451</v>
      </c>
      <c r="D2997" s="0" t="s">
        <v>10004</v>
      </c>
      <c r="E2997" s="0" t="s">
        <v>75</v>
      </c>
      <c r="F2997" s="0" t="s">
        <v>90</v>
      </c>
      <c r="G2997" s="0" t="s">
        <v>16</v>
      </c>
      <c r="H2997" s="0" t="n">
        <v>43</v>
      </c>
      <c r="I2997" s="0" t="s">
        <v>10011</v>
      </c>
      <c r="J2997" s="0" t="s">
        <v>10012</v>
      </c>
      <c r="K2997" s="0" t="s">
        <v>10013</v>
      </c>
      <c r="L2997" s="0" t="str">
        <f aca="false">HYPERLINK("https://www.ncbi.nlm.nih.gov/nuccore/CP000058.1?report=graph&amp;tracks=[key:gene_model_track,Options:GeneOnly]&amp;mk=956475:956494|offset_0|444444,956455:956474|offset_20|444444,956432:956451|offset_43|00cc00,956408:956427|offset_67|444444&amp;v=956274:956627&amp;c=444444", "offset 43")</f>
        <v>offset 43</v>
      </c>
    </row>
    <row r="2998" customFormat="false" ht="12.8" hidden="false" customHeight="false" outlineLevel="0" collapsed="false">
      <c r="A2998" s="0" t="s">
        <v>12</v>
      </c>
      <c r="B2998" s="0" t="n">
        <v>956407</v>
      </c>
      <c r="C2998" s="0" t="n">
        <v>956427</v>
      </c>
      <c r="D2998" s="0" t="s">
        <v>10004</v>
      </c>
      <c r="E2998" s="0" t="s">
        <v>75</v>
      </c>
      <c r="F2998" s="0" t="s">
        <v>90</v>
      </c>
      <c r="G2998" s="0" t="s">
        <v>32</v>
      </c>
      <c r="H2998" s="0" t="n">
        <v>67</v>
      </c>
      <c r="I2998" s="0" t="s">
        <v>10014</v>
      </c>
      <c r="J2998" s="0" t="s">
        <v>10015</v>
      </c>
      <c r="K2998" s="0" t="s">
        <v>10016</v>
      </c>
      <c r="L2998" s="0" t="str">
        <f aca="false">HYPERLINK("https://www.ncbi.nlm.nih.gov/nuccore/CP000058.1?report=graph&amp;tracks=[key:gene_model_track,Options:GeneOnly]&amp;mk=956475:956494|offset_0|444444,956455:956474|offset_20|444444,956432:956451|offset_43|444444,956408:956427|offset_67|00cc00&amp;v=956274:956627&amp;c=444444", "offset 67")</f>
        <v>offset 67</v>
      </c>
    </row>
    <row r="2999" customFormat="false" ht="12.8" hidden="false" customHeight="false" outlineLevel="0" collapsed="false">
      <c r="A2999" s="0" t="s">
        <v>12</v>
      </c>
      <c r="B2999" s="0" t="n">
        <v>956691</v>
      </c>
      <c r="C2999" s="0" t="n">
        <v>956711</v>
      </c>
      <c r="D2999" s="0" t="s">
        <v>10017</v>
      </c>
      <c r="E2999" s="0" t="s">
        <v>75</v>
      </c>
      <c r="F2999" s="0" t="s">
        <v>15</v>
      </c>
      <c r="G2999" s="0" t="s">
        <v>20</v>
      </c>
      <c r="H2999" s="0" t="n">
        <v>9</v>
      </c>
      <c r="I2999" s="0" t="s">
        <v>10018</v>
      </c>
      <c r="J2999" s="0" t="s">
        <v>10019</v>
      </c>
      <c r="K2999" s="0" t="s">
        <v>10020</v>
      </c>
      <c r="L2999" s="0" t="str">
        <f aca="false">HYPERLINK("https://www.ncbi.nlm.nih.gov/nuccore/CP000058.1?report=graph&amp;tracks=[key:gene_model_track,Options:GeneOnly]&amp;mk=956692:956711|offset_9|00cc00,956718:956737|offset_35|444444,956846:956865|offset_163|444444,956867:956886|offset_184|444444&amp;v=956491:957086&amp;c=444444", "offset 9")</f>
        <v>offset 9</v>
      </c>
    </row>
    <row r="3000" customFormat="false" ht="12.8" hidden="false" customHeight="false" outlineLevel="0" collapsed="false">
      <c r="A3000" s="0" t="s">
        <v>12</v>
      </c>
      <c r="B3000" s="0" t="n">
        <v>956717</v>
      </c>
      <c r="C3000" s="0" t="n">
        <v>956737</v>
      </c>
      <c r="D3000" s="0" t="s">
        <v>10017</v>
      </c>
      <c r="E3000" s="0" t="s">
        <v>75</v>
      </c>
      <c r="F3000" s="0" t="s">
        <v>15</v>
      </c>
      <c r="G3000" s="0" t="s">
        <v>20</v>
      </c>
      <c r="H3000" s="0" t="n">
        <v>35</v>
      </c>
      <c r="I3000" s="0" t="s">
        <v>10021</v>
      </c>
      <c r="J3000" s="0" t="s">
        <v>10022</v>
      </c>
      <c r="K3000" s="0" t="s">
        <v>10023</v>
      </c>
      <c r="L3000" s="0" t="str">
        <f aca="false">HYPERLINK("https://www.ncbi.nlm.nih.gov/nuccore/CP000058.1?report=graph&amp;tracks=[key:gene_model_track,Options:GeneOnly]&amp;mk=956692:956711|offset_9|444444,956718:956737|offset_35|00cc00,956846:956865|offset_163|444444,956867:956886|offset_184|444444&amp;v=956491:957086&amp;c=444444", "offset 35")</f>
        <v>offset 35</v>
      </c>
    </row>
    <row r="3001" customFormat="false" ht="12.8" hidden="false" customHeight="false" outlineLevel="0" collapsed="false">
      <c r="A3001" s="0" t="s">
        <v>12</v>
      </c>
      <c r="B3001" s="0" t="n">
        <v>956845</v>
      </c>
      <c r="C3001" s="0" t="n">
        <v>956865</v>
      </c>
      <c r="D3001" s="0" t="s">
        <v>10017</v>
      </c>
      <c r="E3001" s="0" t="s">
        <v>75</v>
      </c>
      <c r="F3001" s="0" t="s">
        <v>15</v>
      </c>
      <c r="G3001" s="0" t="s">
        <v>20</v>
      </c>
      <c r="H3001" s="0" t="n">
        <v>163</v>
      </c>
      <c r="I3001" s="0" t="s">
        <v>10024</v>
      </c>
      <c r="J3001" s="0" t="s">
        <v>10025</v>
      </c>
      <c r="K3001" s="0" t="s">
        <v>10026</v>
      </c>
      <c r="L3001" s="0" t="str">
        <f aca="false">HYPERLINK("https://www.ncbi.nlm.nih.gov/nuccore/CP000058.1?report=graph&amp;tracks=[key:gene_model_track,Options:GeneOnly]&amp;mk=956692:956711|offset_9|444444,956718:956737|offset_35|444444,956846:956865|offset_163|00cc00,956867:956886|offset_184|444444&amp;v=956491:957086&amp;c=444444", "offset 163")</f>
        <v>offset 163</v>
      </c>
    </row>
    <row r="3002" customFormat="false" ht="12.8" hidden="false" customHeight="false" outlineLevel="0" collapsed="false">
      <c r="A3002" s="0" t="s">
        <v>12</v>
      </c>
      <c r="B3002" s="0" t="n">
        <v>956866</v>
      </c>
      <c r="C3002" s="0" t="n">
        <v>956886</v>
      </c>
      <c r="D3002" s="0" t="s">
        <v>10017</v>
      </c>
      <c r="E3002" s="0" t="s">
        <v>75</v>
      </c>
      <c r="F3002" s="0" t="s">
        <v>15</v>
      </c>
      <c r="G3002" s="0" t="s">
        <v>16</v>
      </c>
      <c r="H3002" s="0" t="n">
        <v>184</v>
      </c>
      <c r="I3002" s="0" t="s">
        <v>10027</v>
      </c>
      <c r="J3002" s="0" t="s">
        <v>10028</v>
      </c>
      <c r="K3002" s="0" t="s">
        <v>10029</v>
      </c>
      <c r="L3002" s="0" t="str">
        <f aca="false">HYPERLINK("https://www.ncbi.nlm.nih.gov/nuccore/CP000058.1?report=graph&amp;tracks=[key:gene_model_track,Options:GeneOnly]&amp;mk=956692:956711|offset_9|444444,956718:956737|offset_35|444444,956846:956865|offset_163|444444,956867:956886|offset_184|00cc00&amp;v=956491:957086&amp;c=444444", "offset 184")</f>
        <v>offset 184</v>
      </c>
    </row>
    <row r="3003" customFormat="false" ht="12.8" hidden="false" customHeight="false" outlineLevel="0" collapsed="false">
      <c r="A3003" s="0" t="s">
        <v>12</v>
      </c>
      <c r="B3003" s="0" t="n">
        <v>958268</v>
      </c>
      <c r="C3003" s="0" t="n">
        <v>958288</v>
      </c>
      <c r="D3003" s="0" t="s">
        <v>10030</v>
      </c>
      <c r="E3003" s="0" t="s">
        <v>75</v>
      </c>
      <c r="F3003" s="0" t="s">
        <v>15</v>
      </c>
      <c r="G3003" s="0" t="s">
        <v>20</v>
      </c>
      <c r="H3003" s="0" t="n">
        <v>33</v>
      </c>
      <c r="I3003" s="0" t="s">
        <v>10031</v>
      </c>
      <c r="J3003" s="0" t="s">
        <v>10032</v>
      </c>
      <c r="K3003" s="0" t="s">
        <v>10033</v>
      </c>
      <c r="L3003" s="0" t="str">
        <f aca="false">HYPERLINK("https://www.ncbi.nlm.nih.gov/nuccore/CP000058.1?report=graph&amp;tracks=[key:gene_model_track,Options:GeneOnly]&amp;mk=958269:958288|offset_33|00cc00,958294:958313|offset_58|444444,958328:958347|offset_92|444444,958360:958379|offset_124|444444&amp;v=958068:958579&amp;c=444444", "offset 33")</f>
        <v>offset 33</v>
      </c>
    </row>
    <row r="3004" customFormat="false" ht="12.8" hidden="false" customHeight="false" outlineLevel="0" collapsed="false">
      <c r="A3004" s="0" t="s">
        <v>12</v>
      </c>
      <c r="B3004" s="0" t="n">
        <v>958293</v>
      </c>
      <c r="C3004" s="0" t="n">
        <v>958313</v>
      </c>
      <c r="D3004" s="0" t="s">
        <v>10030</v>
      </c>
      <c r="E3004" s="0" t="s">
        <v>75</v>
      </c>
      <c r="F3004" s="0" t="s">
        <v>15</v>
      </c>
      <c r="G3004" s="0" t="s">
        <v>16</v>
      </c>
      <c r="H3004" s="0" t="n">
        <v>58</v>
      </c>
      <c r="I3004" s="0" t="s">
        <v>10034</v>
      </c>
      <c r="J3004" s="0" t="s">
        <v>10035</v>
      </c>
      <c r="K3004" s="0" t="s">
        <v>10036</v>
      </c>
      <c r="L3004" s="0" t="str">
        <f aca="false">HYPERLINK("https://www.ncbi.nlm.nih.gov/nuccore/CP000058.1?report=graph&amp;tracks=[key:gene_model_track,Options:GeneOnly]&amp;mk=958269:958288|offset_33|444444,958294:958313|offset_58|00cc00,958328:958347|offset_92|444444,958360:958379|offset_124|444444&amp;v=958068:958579&amp;c=444444", "offset 58")</f>
        <v>offset 58</v>
      </c>
    </row>
    <row r="3005" customFormat="false" ht="12.8" hidden="false" customHeight="false" outlineLevel="0" collapsed="false">
      <c r="A3005" s="0" t="s">
        <v>12</v>
      </c>
      <c r="B3005" s="0" t="n">
        <v>958327</v>
      </c>
      <c r="C3005" s="0" t="n">
        <v>958347</v>
      </c>
      <c r="D3005" s="0" t="s">
        <v>10030</v>
      </c>
      <c r="E3005" s="0" t="s">
        <v>75</v>
      </c>
      <c r="F3005" s="0" t="s">
        <v>15</v>
      </c>
      <c r="G3005" s="0" t="s">
        <v>32</v>
      </c>
      <c r="H3005" s="0" t="n">
        <v>92</v>
      </c>
      <c r="I3005" s="0" t="s">
        <v>10037</v>
      </c>
      <c r="J3005" s="0" t="s">
        <v>10038</v>
      </c>
      <c r="K3005" s="0" t="s">
        <v>10039</v>
      </c>
      <c r="L3005" s="0" t="str">
        <f aca="false">HYPERLINK("https://www.ncbi.nlm.nih.gov/nuccore/CP000058.1?report=graph&amp;tracks=[key:gene_model_track,Options:GeneOnly]&amp;mk=958269:958288|offset_33|444444,958294:958313|offset_58|444444,958328:958347|offset_92|00cc00,958360:958379|offset_124|444444&amp;v=958068:958579&amp;c=444444", "offset 92")</f>
        <v>offset 92</v>
      </c>
    </row>
    <row r="3006" customFormat="false" ht="12.8" hidden="false" customHeight="false" outlineLevel="0" collapsed="false">
      <c r="A3006" s="0" t="s">
        <v>12</v>
      </c>
      <c r="B3006" s="0" t="n">
        <v>958359</v>
      </c>
      <c r="C3006" s="0" t="n">
        <v>958379</v>
      </c>
      <c r="D3006" s="0" t="s">
        <v>10030</v>
      </c>
      <c r="E3006" s="0" t="s">
        <v>75</v>
      </c>
      <c r="F3006" s="0" t="s">
        <v>15</v>
      </c>
      <c r="G3006" s="0" t="s">
        <v>36</v>
      </c>
      <c r="H3006" s="0" t="n">
        <v>124</v>
      </c>
      <c r="I3006" s="0" t="s">
        <v>10040</v>
      </c>
      <c r="J3006" s="0" t="s">
        <v>10041</v>
      </c>
      <c r="K3006" s="0" t="s">
        <v>10042</v>
      </c>
      <c r="L3006" s="0" t="str">
        <f aca="false">HYPERLINK("https://www.ncbi.nlm.nih.gov/nuccore/CP000058.1?report=graph&amp;tracks=[key:gene_model_track,Options:GeneOnly]&amp;mk=958269:958288|offset_33|444444,958294:958313|offset_58|444444,958328:958347|offset_92|444444,958360:958379|offset_124|00cc00&amp;v=958068:958579&amp;c=444444", "offset 124")</f>
        <v>offset 124</v>
      </c>
    </row>
    <row r="3007" customFormat="false" ht="12.8" hidden="false" customHeight="false" outlineLevel="0" collapsed="false">
      <c r="A3007" s="0" t="s">
        <v>12</v>
      </c>
      <c r="B3007" s="0" t="n">
        <v>960403</v>
      </c>
      <c r="C3007" s="0" t="n">
        <v>960423</v>
      </c>
      <c r="D3007" s="0" t="s">
        <v>10043</v>
      </c>
      <c r="E3007" s="0" t="s">
        <v>75</v>
      </c>
      <c r="F3007" s="0" t="s">
        <v>15</v>
      </c>
      <c r="G3007" s="0" t="s">
        <v>16</v>
      </c>
      <c r="H3007" s="0" t="n">
        <v>13</v>
      </c>
      <c r="I3007" s="0" t="s">
        <v>10044</v>
      </c>
      <c r="J3007" s="0" t="s">
        <v>10045</v>
      </c>
      <c r="K3007" s="0" t="s">
        <v>10046</v>
      </c>
      <c r="L3007" s="0" t="str">
        <f aca="false">HYPERLINK("https://www.ncbi.nlm.nih.gov/nuccore/CP000058.1?report=graph&amp;tracks=[key:gene_model_track,Options:GeneOnly]&amp;mk=960404:960423|offset_13|00cc00,960435:960454|offset_44|444444,960481:960500|offset_90|444444,960514:960533|offset_123|444444&amp;v=960203:960733&amp;c=444444", "offset 13")</f>
        <v>offset 13</v>
      </c>
    </row>
    <row r="3008" customFormat="false" ht="12.8" hidden="false" customHeight="false" outlineLevel="0" collapsed="false">
      <c r="A3008" s="0" t="s">
        <v>12</v>
      </c>
      <c r="B3008" s="0" t="n">
        <v>960434</v>
      </c>
      <c r="C3008" s="0" t="n">
        <v>960454</v>
      </c>
      <c r="D3008" s="0" t="s">
        <v>10043</v>
      </c>
      <c r="E3008" s="0" t="s">
        <v>75</v>
      </c>
      <c r="F3008" s="0" t="s">
        <v>15</v>
      </c>
      <c r="G3008" s="0" t="s">
        <v>16</v>
      </c>
      <c r="H3008" s="0" t="n">
        <v>44</v>
      </c>
      <c r="I3008" s="0" t="s">
        <v>10047</v>
      </c>
      <c r="J3008" s="0" t="s">
        <v>10048</v>
      </c>
      <c r="K3008" s="0" t="s">
        <v>10049</v>
      </c>
      <c r="L3008" s="0" t="str">
        <f aca="false">HYPERLINK("https://www.ncbi.nlm.nih.gov/nuccore/CP000058.1?report=graph&amp;tracks=[key:gene_model_track,Options:GeneOnly]&amp;mk=960404:960423|offset_13|444444,960435:960454|offset_44|00cc00,960481:960500|offset_90|444444,960514:960533|offset_123|444444&amp;v=960203:960733&amp;c=444444", "offset 44")</f>
        <v>offset 44</v>
      </c>
    </row>
    <row r="3009" customFormat="false" ht="12.8" hidden="false" customHeight="false" outlineLevel="0" collapsed="false">
      <c r="A3009" s="0" t="s">
        <v>12</v>
      </c>
      <c r="B3009" s="0" t="n">
        <v>960480</v>
      </c>
      <c r="C3009" s="0" t="n">
        <v>960500</v>
      </c>
      <c r="D3009" s="0" t="s">
        <v>10043</v>
      </c>
      <c r="E3009" s="0" t="s">
        <v>75</v>
      </c>
      <c r="F3009" s="0" t="s">
        <v>15</v>
      </c>
      <c r="G3009" s="0" t="s">
        <v>36</v>
      </c>
      <c r="H3009" s="0" t="n">
        <v>90</v>
      </c>
      <c r="I3009" s="0" t="s">
        <v>10050</v>
      </c>
      <c r="J3009" s="0" t="s">
        <v>10051</v>
      </c>
      <c r="K3009" s="0" t="s">
        <v>10052</v>
      </c>
      <c r="L3009" s="0" t="str">
        <f aca="false">HYPERLINK("https://www.ncbi.nlm.nih.gov/nuccore/CP000058.1?report=graph&amp;tracks=[key:gene_model_track,Options:GeneOnly]&amp;mk=960404:960423|offset_13|444444,960435:960454|offset_44|444444,960481:960500|offset_90|00cc00,960514:960533|offset_123|444444&amp;v=960203:960733&amp;c=444444", "offset 90")</f>
        <v>offset 90</v>
      </c>
    </row>
    <row r="3010" customFormat="false" ht="12.8" hidden="false" customHeight="false" outlineLevel="0" collapsed="false">
      <c r="A3010" s="0" t="s">
        <v>12</v>
      </c>
      <c r="B3010" s="0" t="n">
        <v>960513</v>
      </c>
      <c r="C3010" s="0" t="n">
        <v>960533</v>
      </c>
      <c r="D3010" s="0" t="s">
        <v>10043</v>
      </c>
      <c r="E3010" s="0" t="s">
        <v>75</v>
      </c>
      <c r="F3010" s="0" t="s">
        <v>15</v>
      </c>
      <c r="G3010" s="0" t="s">
        <v>36</v>
      </c>
      <c r="H3010" s="0" t="n">
        <v>123</v>
      </c>
      <c r="I3010" s="0" t="s">
        <v>10053</v>
      </c>
      <c r="J3010" s="0" t="s">
        <v>10054</v>
      </c>
      <c r="K3010" s="0" t="s">
        <v>10055</v>
      </c>
      <c r="L3010" s="0" t="str">
        <f aca="false">HYPERLINK("https://www.ncbi.nlm.nih.gov/nuccore/CP000058.1?report=graph&amp;tracks=[key:gene_model_track,Options:GeneOnly]&amp;mk=960404:960423|offset_13|444444,960435:960454|offset_44|444444,960481:960500|offset_90|444444,960514:960533|offset_123|00cc00&amp;v=960203:960733&amp;c=444444", "offset 123")</f>
        <v>offset 123</v>
      </c>
    </row>
    <row r="3011" customFormat="false" ht="12.8" hidden="false" customHeight="false" outlineLevel="0" collapsed="false">
      <c r="A3011" s="0" t="s">
        <v>12</v>
      </c>
      <c r="B3011" s="0" t="n">
        <v>962090</v>
      </c>
      <c r="C3011" s="0" t="n">
        <v>962110</v>
      </c>
      <c r="D3011" s="0" t="s">
        <v>10056</v>
      </c>
      <c r="E3011" s="0" t="s">
        <v>75</v>
      </c>
      <c r="F3011" s="0" t="s">
        <v>15</v>
      </c>
      <c r="G3011" s="0" t="s">
        <v>20</v>
      </c>
      <c r="H3011" s="0" t="n">
        <v>99</v>
      </c>
      <c r="I3011" s="0" t="s">
        <v>10057</v>
      </c>
      <c r="J3011" s="0" t="s">
        <v>10058</v>
      </c>
      <c r="K3011" s="0" t="s">
        <v>10059</v>
      </c>
      <c r="L3011" s="0" t="str">
        <f aca="false">HYPERLINK("https://www.ncbi.nlm.nih.gov/nuccore/CP000058.1?report=graph&amp;tracks=[key:gene_model_track,Options:GeneOnly]&amp;mk=962091:962110|offset_99|00cc00,962115:962134|offset_123|444444,962145:962164|offset_153|444444,962175:962194|offset_183|444444&amp;v=961890:962394&amp;c=444444", "offset 99")</f>
        <v>offset 99</v>
      </c>
    </row>
    <row r="3012" customFormat="false" ht="12.8" hidden="false" customHeight="false" outlineLevel="0" collapsed="false">
      <c r="A3012" s="0" t="s">
        <v>12</v>
      </c>
      <c r="B3012" s="0" t="n">
        <v>962114</v>
      </c>
      <c r="C3012" s="0" t="n">
        <v>962134</v>
      </c>
      <c r="D3012" s="0" t="s">
        <v>10056</v>
      </c>
      <c r="E3012" s="0" t="s">
        <v>75</v>
      </c>
      <c r="F3012" s="0" t="s">
        <v>15</v>
      </c>
      <c r="G3012" s="0" t="s">
        <v>20</v>
      </c>
      <c r="H3012" s="0" t="n">
        <v>123</v>
      </c>
      <c r="I3012" s="0" t="s">
        <v>10060</v>
      </c>
      <c r="J3012" s="0" t="s">
        <v>10061</v>
      </c>
      <c r="K3012" s="0" t="s">
        <v>10062</v>
      </c>
      <c r="L3012" s="0" t="str">
        <f aca="false">HYPERLINK("https://www.ncbi.nlm.nih.gov/nuccore/CP000058.1?report=graph&amp;tracks=[key:gene_model_track,Options:GeneOnly]&amp;mk=962091:962110|offset_99|444444,962115:962134|offset_123|00cc00,962145:962164|offset_153|444444,962175:962194|offset_183|444444&amp;v=961890:962394&amp;c=444444", "offset 123")</f>
        <v>offset 123</v>
      </c>
    </row>
    <row r="3013" customFormat="false" ht="12.8" hidden="false" customHeight="false" outlineLevel="0" collapsed="false">
      <c r="A3013" s="0" t="s">
        <v>12</v>
      </c>
      <c r="B3013" s="0" t="n">
        <v>962144</v>
      </c>
      <c r="C3013" s="0" t="n">
        <v>962164</v>
      </c>
      <c r="D3013" s="0" t="s">
        <v>10056</v>
      </c>
      <c r="E3013" s="0" t="s">
        <v>75</v>
      </c>
      <c r="F3013" s="0" t="s">
        <v>15</v>
      </c>
      <c r="G3013" s="0" t="s">
        <v>16</v>
      </c>
      <c r="H3013" s="0" t="n">
        <v>153</v>
      </c>
      <c r="I3013" s="0" t="s">
        <v>10063</v>
      </c>
      <c r="J3013" s="0" t="s">
        <v>10064</v>
      </c>
      <c r="K3013" s="0" t="s">
        <v>10065</v>
      </c>
      <c r="L3013" s="0" t="str">
        <f aca="false">HYPERLINK("https://www.ncbi.nlm.nih.gov/nuccore/CP000058.1?report=graph&amp;tracks=[key:gene_model_track,Options:GeneOnly]&amp;mk=962091:962110|offset_99|444444,962115:962134|offset_123|444444,962145:962164|offset_153|00cc00,962175:962194|offset_183|444444&amp;v=961890:962394&amp;c=444444", "offset 153")</f>
        <v>offset 153</v>
      </c>
    </row>
    <row r="3014" customFormat="false" ht="12.8" hidden="false" customHeight="false" outlineLevel="0" collapsed="false">
      <c r="A3014" s="0" t="s">
        <v>12</v>
      </c>
      <c r="B3014" s="0" t="n">
        <v>962174</v>
      </c>
      <c r="C3014" s="0" t="n">
        <v>962194</v>
      </c>
      <c r="D3014" s="0" t="s">
        <v>10056</v>
      </c>
      <c r="E3014" s="0" t="s">
        <v>75</v>
      </c>
      <c r="F3014" s="0" t="s">
        <v>15</v>
      </c>
      <c r="G3014" s="0" t="s">
        <v>32</v>
      </c>
      <c r="H3014" s="0" t="n">
        <v>183</v>
      </c>
      <c r="I3014" s="0" t="s">
        <v>10066</v>
      </c>
      <c r="J3014" s="0" t="s">
        <v>10067</v>
      </c>
      <c r="K3014" s="0" t="s">
        <v>10068</v>
      </c>
      <c r="L3014" s="0" t="str">
        <f aca="false">HYPERLINK("https://www.ncbi.nlm.nih.gov/nuccore/CP000058.1?report=graph&amp;tracks=[key:gene_model_track,Options:GeneOnly]&amp;mk=962091:962110|offset_99|444444,962115:962134|offset_123|444444,962145:962164|offset_153|444444,962175:962194|offset_183|00cc00&amp;v=961890:962394&amp;c=444444", "offset 183")</f>
        <v>offset 183</v>
      </c>
    </row>
    <row r="3015" customFormat="false" ht="12.8" hidden="false" customHeight="false" outlineLevel="0" collapsed="false">
      <c r="A3015" s="0" t="s">
        <v>12</v>
      </c>
      <c r="B3015" s="0" t="n">
        <v>977957</v>
      </c>
      <c r="C3015" s="0" t="n">
        <v>977977</v>
      </c>
      <c r="D3015" s="0" t="s">
        <v>10069</v>
      </c>
      <c r="E3015" s="0" t="s">
        <v>75</v>
      </c>
      <c r="F3015" s="0" t="s">
        <v>90</v>
      </c>
      <c r="G3015" s="0" t="s">
        <v>32</v>
      </c>
      <c r="H3015" s="0" t="n">
        <v>0</v>
      </c>
      <c r="I3015" s="0" t="s">
        <v>10070</v>
      </c>
      <c r="J3015" s="0" t="s">
        <v>10071</v>
      </c>
      <c r="K3015" s="0" t="s">
        <v>10072</v>
      </c>
      <c r="L3015" s="0" t="str">
        <f aca="false">HYPERLINK("https://www.ncbi.nlm.nih.gov/nuccore/CP000058.1?report=graph&amp;tracks=[key:gene_model_track,Options:GeneOnly]&amp;mk=977958:977977|offset_0|00cc00,977936:977955|offset_22|444444,977909:977928|offset_49|444444,977860:977879|offset_98|444444&amp;v=977757:978079&amp;c=444444", "offset 0")</f>
        <v>offset 0</v>
      </c>
    </row>
    <row r="3016" customFormat="false" ht="12.8" hidden="false" customHeight="false" outlineLevel="0" collapsed="false">
      <c r="A3016" s="0" t="s">
        <v>12</v>
      </c>
      <c r="B3016" s="0" t="n">
        <v>977935</v>
      </c>
      <c r="C3016" s="0" t="n">
        <v>977955</v>
      </c>
      <c r="D3016" s="0" t="s">
        <v>10069</v>
      </c>
      <c r="E3016" s="0" t="s">
        <v>75</v>
      </c>
      <c r="F3016" s="0" t="s">
        <v>90</v>
      </c>
      <c r="G3016" s="0" t="s">
        <v>20</v>
      </c>
      <c r="H3016" s="0" t="n">
        <v>22</v>
      </c>
      <c r="I3016" s="0" t="s">
        <v>10073</v>
      </c>
      <c r="J3016" s="0" t="s">
        <v>10074</v>
      </c>
      <c r="K3016" s="0" t="s">
        <v>10075</v>
      </c>
      <c r="L3016" s="0" t="str">
        <f aca="false">HYPERLINK("https://www.ncbi.nlm.nih.gov/nuccore/CP000058.1?report=graph&amp;tracks=[key:gene_model_track,Options:GeneOnly]&amp;mk=977958:977977|offset_0|444444,977936:977955|offset_22|00cc00,977909:977928|offset_49|444444,977860:977879|offset_98|444444&amp;v=977757:978079&amp;c=444444", "offset 22")</f>
        <v>offset 22</v>
      </c>
    </row>
    <row r="3017" customFormat="false" ht="12.8" hidden="false" customHeight="false" outlineLevel="0" collapsed="false">
      <c r="A3017" s="0" t="s">
        <v>12</v>
      </c>
      <c r="B3017" s="0" t="n">
        <v>977908</v>
      </c>
      <c r="C3017" s="0" t="n">
        <v>977928</v>
      </c>
      <c r="D3017" s="0" t="s">
        <v>10069</v>
      </c>
      <c r="E3017" s="0" t="s">
        <v>75</v>
      </c>
      <c r="F3017" s="0" t="s">
        <v>90</v>
      </c>
      <c r="G3017" s="0" t="s">
        <v>16</v>
      </c>
      <c r="H3017" s="0" t="n">
        <v>49</v>
      </c>
      <c r="I3017" s="0" t="s">
        <v>10076</v>
      </c>
      <c r="J3017" s="0" t="s">
        <v>10077</v>
      </c>
      <c r="K3017" s="0" t="s">
        <v>10078</v>
      </c>
      <c r="L3017" s="0" t="str">
        <f aca="false">HYPERLINK("https://www.ncbi.nlm.nih.gov/nuccore/CP000058.1?report=graph&amp;tracks=[key:gene_model_track,Options:GeneOnly]&amp;mk=977958:977977|offset_0|444444,977936:977955|offset_22|444444,977909:977928|offset_49|00cc00,977860:977879|offset_98|444444&amp;v=977757:978079&amp;c=444444", "offset 49")</f>
        <v>offset 49</v>
      </c>
    </row>
    <row r="3018" customFormat="false" ht="12.8" hidden="false" customHeight="false" outlineLevel="0" collapsed="false">
      <c r="A3018" s="0" t="s">
        <v>12</v>
      </c>
      <c r="B3018" s="0" t="n">
        <v>977859</v>
      </c>
      <c r="C3018" s="0" t="n">
        <v>977879</v>
      </c>
      <c r="D3018" s="0" t="s">
        <v>10069</v>
      </c>
      <c r="E3018" s="0" t="s">
        <v>75</v>
      </c>
      <c r="F3018" s="0" t="s">
        <v>90</v>
      </c>
      <c r="G3018" s="0" t="s">
        <v>20</v>
      </c>
      <c r="H3018" s="0" t="n">
        <v>98</v>
      </c>
      <c r="I3018" s="0" t="s">
        <v>10079</v>
      </c>
      <c r="J3018" s="0" t="s">
        <v>10080</v>
      </c>
      <c r="K3018" s="0" t="s">
        <v>10081</v>
      </c>
      <c r="L3018" s="0" t="str">
        <f aca="false">HYPERLINK("https://www.ncbi.nlm.nih.gov/nuccore/CP000058.1?report=graph&amp;tracks=[key:gene_model_track,Options:GeneOnly]&amp;mk=977958:977977|offset_0|444444,977936:977955|offset_22|444444,977909:977928|offset_49|444444,977860:977879|offset_98|00cc00&amp;v=977757:978079&amp;c=444444", "offset 98")</f>
        <v>offset 98</v>
      </c>
    </row>
    <row r="3019" customFormat="false" ht="12.8" hidden="false" customHeight="false" outlineLevel="0" collapsed="false">
      <c r="A3019" s="0" t="s">
        <v>12</v>
      </c>
      <c r="B3019" s="0" t="n">
        <v>978578</v>
      </c>
      <c r="C3019" s="0" t="n">
        <v>978598</v>
      </c>
      <c r="D3019" s="0" t="s">
        <v>10082</v>
      </c>
      <c r="E3019" s="0" t="s">
        <v>10083</v>
      </c>
      <c r="F3019" s="0" t="s">
        <v>90</v>
      </c>
      <c r="G3019" s="0" t="s">
        <v>36</v>
      </c>
      <c r="H3019" s="0" t="n">
        <v>11</v>
      </c>
      <c r="I3019" s="0" t="s">
        <v>10084</v>
      </c>
      <c r="J3019" s="0" t="s">
        <v>10085</v>
      </c>
      <c r="K3019" s="0" t="s">
        <v>10086</v>
      </c>
      <c r="L3019" s="0" t="str">
        <f aca="false">HYPERLINK("https://www.ncbi.nlm.nih.gov/nuccore/CP000058.1?report=graph&amp;tracks=[key:gene_model_track,Options:GeneOnly]&amp;mk=978579:978598|offset_11|00cc00,978552:978571|offset_38|444444,978502:978521|offset_88|444444,978475:978494|offset_115|444444&amp;v=978378:978694&amp;c=444444", "offset 11")</f>
        <v>offset 11</v>
      </c>
    </row>
    <row r="3020" customFormat="false" ht="12.8" hidden="false" customHeight="false" outlineLevel="0" collapsed="false">
      <c r="A3020" s="0" t="s">
        <v>12</v>
      </c>
      <c r="B3020" s="0" t="n">
        <v>978551</v>
      </c>
      <c r="C3020" s="0" t="n">
        <v>978571</v>
      </c>
      <c r="D3020" s="0" t="s">
        <v>10082</v>
      </c>
      <c r="E3020" s="0" t="s">
        <v>10083</v>
      </c>
      <c r="F3020" s="0" t="s">
        <v>90</v>
      </c>
      <c r="G3020" s="0" t="s">
        <v>20</v>
      </c>
      <c r="H3020" s="0" t="n">
        <v>38</v>
      </c>
      <c r="I3020" s="0" t="s">
        <v>10087</v>
      </c>
      <c r="J3020" s="0" t="s">
        <v>10088</v>
      </c>
      <c r="K3020" s="0" t="s">
        <v>10089</v>
      </c>
      <c r="L3020" s="0" t="str">
        <f aca="false">HYPERLINK("https://www.ncbi.nlm.nih.gov/nuccore/CP000058.1?report=graph&amp;tracks=[key:gene_model_track,Options:GeneOnly]&amp;mk=978579:978598|offset_11|444444,978552:978571|offset_38|00cc00,978502:978521|offset_88|444444,978475:978494|offset_115|444444&amp;v=978378:978694&amp;c=444444", "offset 38")</f>
        <v>offset 38</v>
      </c>
    </row>
    <row r="3021" customFormat="false" ht="12.8" hidden="false" customHeight="false" outlineLevel="0" collapsed="false">
      <c r="A3021" s="0" t="s">
        <v>12</v>
      </c>
      <c r="B3021" s="0" t="n">
        <v>978501</v>
      </c>
      <c r="C3021" s="0" t="n">
        <v>978521</v>
      </c>
      <c r="D3021" s="0" t="s">
        <v>10082</v>
      </c>
      <c r="E3021" s="0" t="s">
        <v>10083</v>
      </c>
      <c r="F3021" s="0" t="s">
        <v>90</v>
      </c>
      <c r="G3021" s="0" t="s">
        <v>32</v>
      </c>
      <c r="H3021" s="0" t="n">
        <v>88</v>
      </c>
      <c r="I3021" s="0" t="s">
        <v>10090</v>
      </c>
      <c r="J3021" s="0" t="s">
        <v>10091</v>
      </c>
      <c r="K3021" s="0" t="s">
        <v>10092</v>
      </c>
      <c r="L3021" s="0" t="str">
        <f aca="false">HYPERLINK("https://www.ncbi.nlm.nih.gov/nuccore/CP000058.1?report=graph&amp;tracks=[key:gene_model_track,Options:GeneOnly]&amp;mk=978579:978598|offset_11|444444,978552:978571|offset_38|444444,978502:978521|offset_88|00cc00,978475:978494|offset_115|444444&amp;v=978378:978694&amp;c=444444", "offset 88")</f>
        <v>offset 88</v>
      </c>
    </row>
    <row r="3022" customFormat="false" ht="12.8" hidden="false" customHeight="false" outlineLevel="0" collapsed="false">
      <c r="A3022" s="0" t="s">
        <v>12</v>
      </c>
      <c r="B3022" s="0" t="n">
        <v>978474</v>
      </c>
      <c r="C3022" s="0" t="n">
        <v>978494</v>
      </c>
      <c r="D3022" s="0" t="s">
        <v>10082</v>
      </c>
      <c r="E3022" s="0" t="s">
        <v>10083</v>
      </c>
      <c r="F3022" s="0" t="s">
        <v>90</v>
      </c>
      <c r="G3022" s="0" t="s">
        <v>16</v>
      </c>
      <c r="H3022" s="0" t="n">
        <v>115</v>
      </c>
      <c r="I3022" s="0" t="s">
        <v>10093</v>
      </c>
      <c r="J3022" s="0" t="s">
        <v>10094</v>
      </c>
      <c r="K3022" s="0" t="s">
        <v>10095</v>
      </c>
      <c r="L3022" s="0" t="str">
        <f aca="false">HYPERLINK("https://www.ncbi.nlm.nih.gov/nuccore/CP000058.1?report=graph&amp;tracks=[key:gene_model_track,Options:GeneOnly]&amp;mk=978579:978598|offset_11|444444,978552:978571|offset_38|444444,978502:978521|offset_88|444444,978475:978494|offset_115|00cc00&amp;v=978378:978694&amp;c=444444", "offset 115")</f>
        <v>offset 115</v>
      </c>
    </row>
    <row r="3023" customFormat="false" ht="12.8" hidden="false" customHeight="false" outlineLevel="0" collapsed="false">
      <c r="A3023" s="0" t="s">
        <v>12</v>
      </c>
      <c r="B3023" s="0" t="n">
        <v>979452</v>
      </c>
      <c r="C3023" s="0" t="n">
        <v>979472</v>
      </c>
      <c r="D3023" s="0" t="s">
        <v>10096</v>
      </c>
      <c r="E3023" s="0" t="s">
        <v>10097</v>
      </c>
      <c r="F3023" s="0" t="s">
        <v>90</v>
      </c>
      <c r="G3023" s="0" t="s">
        <v>36</v>
      </c>
      <c r="H3023" s="0" t="n">
        <v>6</v>
      </c>
      <c r="I3023" s="0" t="s">
        <v>10098</v>
      </c>
      <c r="J3023" s="0" t="s">
        <v>10099</v>
      </c>
      <c r="K3023" s="0" t="s">
        <v>10100</v>
      </c>
      <c r="L3023" s="0" t="str">
        <f aca="false">HYPERLINK("https://www.ncbi.nlm.nih.gov/nuccore/CP000058.1?report=graph&amp;tracks=[key:gene_model_track,Options:GeneOnly]&amp;mk=979453:979472|offset_6|00cc00,979426:979445|offset_33|444444,979391:979410|offset_68|444444,979355:979374|offset_104|444444&amp;v=979252:979574&amp;c=444444", "offset 6")</f>
        <v>offset 6</v>
      </c>
    </row>
    <row r="3024" customFormat="false" ht="12.8" hidden="false" customHeight="false" outlineLevel="0" collapsed="false">
      <c r="A3024" s="0" t="s">
        <v>12</v>
      </c>
      <c r="B3024" s="0" t="n">
        <v>979425</v>
      </c>
      <c r="C3024" s="0" t="n">
        <v>979445</v>
      </c>
      <c r="D3024" s="0" t="s">
        <v>10096</v>
      </c>
      <c r="E3024" s="0" t="s">
        <v>10097</v>
      </c>
      <c r="F3024" s="0" t="s">
        <v>90</v>
      </c>
      <c r="G3024" s="0" t="s">
        <v>16</v>
      </c>
      <c r="H3024" s="0" t="n">
        <v>33</v>
      </c>
      <c r="I3024" s="0" t="s">
        <v>10101</v>
      </c>
      <c r="J3024" s="0" t="s">
        <v>10102</v>
      </c>
      <c r="K3024" s="0" t="s">
        <v>10103</v>
      </c>
      <c r="L3024" s="0" t="str">
        <f aca="false">HYPERLINK("https://www.ncbi.nlm.nih.gov/nuccore/CP000058.1?report=graph&amp;tracks=[key:gene_model_track,Options:GeneOnly]&amp;mk=979453:979472|offset_6|444444,979426:979445|offset_33|00cc00,979391:979410|offset_68|444444,979355:979374|offset_104|444444&amp;v=979252:979574&amp;c=444444", "offset 33")</f>
        <v>offset 33</v>
      </c>
    </row>
    <row r="3025" customFormat="false" ht="12.8" hidden="false" customHeight="false" outlineLevel="0" collapsed="false">
      <c r="A3025" s="0" t="s">
        <v>12</v>
      </c>
      <c r="B3025" s="0" t="n">
        <v>979390</v>
      </c>
      <c r="C3025" s="0" t="n">
        <v>979410</v>
      </c>
      <c r="D3025" s="0" t="s">
        <v>10096</v>
      </c>
      <c r="E3025" s="0" t="s">
        <v>10097</v>
      </c>
      <c r="F3025" s="0" t="s">
        <v>90</v>
      </c>
      <c r="G3025" s="0" t="s">
        <v>20</v>
      </c>
      <c r="H3025" s="0" t="n">
        <v>68</v>
      </c>
      <c r="I3025" s="0" t="s">
        <v>10104</v>
      </c>
      <c r="J3025" s="0" t="s">
        <v>10105</v>
      </c>
      <c r="K3025" s="0" t="s">
        <v>10106</v>
      </c>
      <c r="L3025" s="0" t="str">
        <f aca="false">HYPERLINK("https://www.ncbi.nlm.nih.gov/nuccore/CP000058.1?report=graph&amp;tracks=[key:gene_model_track,Options:GeneOnly]&amp;mk=979453:979472|offset_6|444444,979426:979445|offset_33|444444,979391:979410|offset_68|00cc00,979355:979374|offset_104|444444&amp;v=979252:979574&amp;c=444444", "offset 68")</f>
        <v>offset 68</v>
      </c>
    </row>
    <row r="3026" customFormat="false" ht="12.8" hidden="false" customHeight="false" outlineLevel="0" collapsed="false">
      <c r="A3026" s="0" t="s">
        <v>12</v>
      </c>
      <c r="B3026" s="0" t="n">
        <v>979354</v>
      </c>
      <c r="C3026" s="0" t="n">
        <v>979374</v>
      </c>
      <c r="D3026" s="0" t="s">
        <v>10096</v>
      </c>
      <c r="E3026" s="0" t="s">
        <v>10097</v>
      </c>
      <c r="F3026" s="0" t="s">
        <v>90</v>
      </c>
      <c r="G3026" s="0" t="s">
        <v>16</v>
      </c>
      <c r="H3026" s="0" t="n">
        <v>104</v>
      </c>
      <c r="I3026" s="0" t="s">
        <v>10107</v>
      </c>
      <c r="J3026" s="0" t="s">
        <v>10108</v>
      </c>
      <c r="K3026" s="0" t="s">
        <v>10109</v>
      </c>
      <c r="L3026" s="0" t="str">
        <f aca="false">HYPERLINK("https://www.ncbi.nlm.nih.gov/nuccore/CP000058.1?report=graph&amp;tracks=[key:gene_model_track,Options:GeneOnly]&amp;mk=979453:979472|offset_6|444444,979426:979445|offset_33|444444,979391:979410|offset_68|444444,979355:979374|offset_104|00cc00&amp;v=979252:979574&amp;c=444444", "offset 104")</f>
        <v>offset 104</v>
      </c>
    </row>
    <row r="3027" customFormat="false" ht="12.8" hidden="false" customHeight="false" outlineLevel="0" collapsed="false">
      <c r="A3027" s="0" t="s">
        <v>12</v>
      </c>
      <c r="B3027" s="0" t="n">
        <v>980670</v>
      </c>
      <c r="C3027" s="0" t="n">
        <v>980690</v>
      </c>
      <c r="D3027" s="0" t="s">
        <v>10110</v>
      </c>
      <c r="E3027" s="0" t="s">
        <v>10111</v>
      </c>
      <c r="F3027" s="0" t="s">
        <v>90</v>
      </c>
      <c r="G3027" s="0" t="s">
        <v>32</v>
      </c>
      <c r="H3027" s="0" t="n">
        <v>7</v>
      </c>
      <c r="I3027" s="0" t="s">
        <v>10112</v>
      </c>
      <c r="J3027" s="0" t="s">
        <v>10113</v>
      </c>
      <c r="K3027" s="0" t="s">
        <v>10114</v>
      </c>
      <c r="L3027" s="0" t="str">
        <f aca="false">HYPERLINK("https://www.ncbi.nlm.nih.gov/nuccore/CP000058.1?report=graph&amp;tracks=[key:gene_model_track,Options:GeneOnly]&amp;mk=980671:980690|offset_7|00cc00,980536:980555|offset_142|444444,980483:980502|offset_195|444444,980446:980465|offset_232|444444&amp;v=980470:980665&amp;c=444444", "offset 7")</f>
        <v>offset 7</v>
      </c>
    </row>
    <row r="3028" customFormat="false" ht="12.8" hidden="false" customHeight="false" outlineLevel="0" collapsed="false">
      <c r="A3028" s="0" t="s">
        <v>12</v>
      </c>
      <c r="B3028" s="0" t="n">
        <v>980535</v>
      </c>
      <c r="C3028" s="0" t="n">
        <v>980555</v>
      </c>
      <c r="D3028" s="0" t="s">
        <v>10110</v>
      </c>
      <c r="E3028" s="0" t="s">
        <v>10111</v>
      </c>
      <c r="F3028" s="0" t="s">
        <v>90</v>
      </c>
      <c r="G3028" s="0" t="s">
        <v>32</v>
      </c>
      <c r="H3028" s="0" t="n">
        <v>142</v>
      </c>
      <c r="I3028" s="0" t="s">
        <v>10115</v>
      </c>
      <c r="J3028" s="0" t="s">
        <v>10116</v>
      </c>
      <c r="K3028" s="0" t="s">
        <v>10117</v>
      </c>
      <c r="L3028" s="0" t="str">
        <f aca="false">HYPERLINK("https://www.ncbi.nlm.nih.gov/nuccore/CP000058.1?report=graph&amp;tracks=[key:gene_model_track,Options:GeneOnly]&amp;mk=980671:980690|offset_7|444444,980536:980555|offset_142|00cc00,980483:980502|offset_195|444444,980446:980465|offset_232|444444&amp;v=980470:980665&amp;c=444444", "offset 142")</f>
        <v>offset 142</v>
      </c>
    </row>
    <row r="3029" customFormat="false" ht="12.8" hidden="false" customHeight="false" outlineLevel="0" collapsed="false">
      <c r="A3029" s="0" t="s">
        <v>12</v>
      </c>
      <c r="B3029" s="0" t="n">
        <v>980482</v>
      </c>
      <c r="C3029" s="0" t="n">
        <v>980502</v>
      </c>
      <c r="D3029" s="0" t="s">
        <v>10110</v>
      </c>
      <c r="E3029" s="0" t="s">
        <v>10111</v>
      </c>
      <c r="F3029" s="0" t="s">
        <v>90</v>
      </c>
      <c r="G3029" s="0" t="s">
        <v>16</v>
      </c>
      <c r="H3029" s="0" t="n">
        <v>195</v>
      </c>
      <c r="I3029" s="0" t="s">
        <v>10118</v>
      </c>
      <c r="J3029" s="0" t="s">
        <v>10119</v>
      </c>
      <c r="K3029" s="0" t="s">
        <v>10120</v>
      </c>
      <c r="L3029" s="0" t="str">
        <f aca="false">HYPERLINK("https://www.ncbi.nlm.nih.gov/nuccore/CP000058.1?report=graph&amp;tracks=[key:gene_model_track,Options:GeneOnly]&amp;mk=980671:980690|offset_7|444444,980536:980555|offset_142|444444,980483:980502|offset_195|00cc00,980446:980465|offset_232|444444&amp;v=980470:980665&amp;c=444444", "offset 195")</f>
        <v>offset 195</v>
      </c>
    </row>
    <row r="3030" customFormat="false" ht="12.8" hidden="false" customHeight="false" outlineLevel="0" collapsed="false">
      <c r="A3030" s="0" t="s">
        <v>12</v>
      </c>
      <c r="B3030" s="0" t="n">
        <v>980445</v>
      </c>
      <c r="C3030" s="0" t="n">
        <v>980465</v>
      </c>
      <c r="D3030" s="0" t="s">
        <v>10110</v>
      </c>
      <c r="E3030" s="0" t="s">
        <v>10111</v>
      </c>
      <c r="F3030" s="0" t="s">
        <v>90</v>
      </c>
      <c r="G3030" s="0" t="s">
        <v>32</v>
      </c>
      <c r="H3030" s="0" t="n">
        <v>232</v>
      </c>
      <c r="I3030" s="0" t="s">
        <v>10121</v>
      </c>
      <c r="J3030" s="0" t="s">
        <v>10122</v>
      </c>
      <c r="K3030" s="0" t="s">
        <v>10123</v>
      </c>
      <c r="L3030" s="0" t="str">
        <f aca="false">HYPERLINK("https://www.ncbi.nlm.nih.gov/nuccore/CP000058.1?report=graph&amp;tracks=[key:gene_model_track,Options:GeneOnly]&amp;mk=980671:980690|offset_7|444444,980536:980555|offset_142|444444,980483:980502|offset_195|444444,980446:980465|offset_232|00cc00&amp;v=980470:980665&amp;c=444444", "offset 232")</f>
        <v>offset 232</v>
      </c>
    </row>
    <row r="3031" customFormat="false" ht="12.8" hidden="false" customHeight="false" outlineLevel="0" collapsed="false">
      <c r="A3031" s="0" t="s">
        <v>12</v>
      </c>
      <c r="B3031" s="0" t="n">
        <v>982357</v>
      </c>
      <c r="C3031" s="0" t="n">
        <v>982377</v>
      </c>
      <c r="D3031" s="0" t="s">
        <v>10124</v>
      </c>
      <c r="E3031" s="0" t="s">
        <v>10125</v>
      </c>
      <c r="F3031" s="0" t="s">
        <v>90</v>
      </c>
      <c r="G3031" s="0" t="s">
        <v>20</v>
      </c>
      <c r="H3031" s="0" t="n">
        <v>17</v>
      </c>
      <c r="I3031" s="0" t="s">
        <v>10126</v>
      </c>
      <c r="J3031" s="0" t="s">
        <v>10127</v>
      </c>
      <c r="K3031" s="0" t="s">
        <v>10128</v>
      </c>
      <c r="L3031" s="0" t="str">
        <f aca="false">HYPERLINK("https://www.ncbi.nlm.nih.gov/nuccore/CP000058.1?report=graph&amp;tracks=[key:gene_model_track,Options:GeneOnly]&amp;mk=982358:982377|offset_17|00cc00,982331:982350|offset_44|444444,982277:982296|offset_98|444444,982244:982263|offset_131|444444&amp;v=982157:982463&amp;c=444444", "offset 17")</f>
        <v>offset 17</v>
      </c>
    </row>
    <row r="3032" customFormat="false" ht="12.8" hidden="false" customHeight="false" outlineLevel="0" collapsed="false">
      <c r="A3032" s="0" t="s">
        <v>12</v>
      </c>
      <c r="B3032" s="0" t="n">
        <v>982330</v>
      </c>
      <c r="C3032" s="0" t="n">
        <v>982350</v>
      </c>
      <c r="D3032" s="0" t="s">
        <v>10124</v>
      </c>
      <c r="E3032" s="0" t="s">
        <v>10125</v>
      </c>
      <c r="F3032" s="0" t="s">
        <v>90</v>
      </c>
      <c r="G3032" s="0" t="s">
        <v>32</v>
      </c>
      <c r="H3032" s="0" t="n">
        <v>44</v>
      </c>
      <c r="I3032" s="0" t="s">
        <v>10129</v>
      </c>
      <c r="J3032" s="0" t="s">
        <v>10130</v>
      </c>
      <c r="K3032" s="0" t="s">
        <v>10131</v>
      </c>
      <c r="L3032" s="0" t="str">
        <f aca="false">HYPERLINK("https://www.ncbi.nlm.nih.gov/nuccore/CP000058.1?report=graph&amp;tracks=[key:gene_model_track,Options:GeneOnly]&amp;mk=982358:982377|offset_17|444444,982331:982350|offset_44|00cc00,982277:982296|offset_98|444444,982244:982263|offset_131|444444&amp;v=982157:982463&amp;c=444444", "offset 44")</f>
        <v>offset 44</v>
      </c>
    </row>
    <row r="3033" customFormat="false" ht="12.8" hidden="false" customHeight="false" outlineLevel="0" collapsed="false">
      <c r="A3033" s="0" t="s">
        <v>12</v>
      </c>
      <c r="B3033" s="0" t="n">
        <v>982276</v>
      </c>
      <c r="C3033" s="0" t="n">
        <v>982296</v>
      </c>
      <c r="D3033" s="0" t="s">
        <v>10124</v>
      </c>
      <c r="E3033" s="0" t="s">
        <v>10125</v>
      </c>
      <c r="F3033" s="0" t="s">
        <v>90</v>
      </c>
      <c r="G3033" s="0" t="s">
        <v>16</v>
      </c>
      <c r="H3033" s="0" t="n">
        <v>98</v>
      </c>
      <c r="I3033" s="0" t="s">
        <v>10132</v>
      </c>
      <c r="J3033" s="0" t="s">
        <v>10133</v>
      </c>
      <c r="K3033" s="0" t="s">
        <v>10134</v>
      </c>
      <c r="L3033" s="0" t="str">
        <f aca="false">HYPERLINK("https://www.ncbi.nlm.nih.gov/nuccore/CP000058.1?report=graph&amp;tracks=[key:gene_model_track,Options:GeneOnly]&amp;mk=982358:982377|offset_17|444444,982331:982350|offset_44|444444,982277:982296|offset_98|00cc00,982244:982263|offset_131|444444&amp;v=982157:982463&amp;c=444444", "offset 98")</f>
        <v>offset 98</v>
      </c>
    </row>
    <row r="3034" customFormat="false" ht="12.8" hidden="false" customHeight="false" outlineLevel="0" collapsed="false">
      <c r="A3034" s="0" t="s">
        <v>12</v>
      </c>
      <c r="B3034" s="0" t="n">
        <v>982243</v>
      </c>
      <c r="C3034" s="0" t="n">
        <v>982263</v>
      </c>
      <c r="D3034" s="0" t="s">
        <v>10124</v>
      </c>
      <c r="E3034" s="0" t="s">
        <v>10125</v>
      </c>
      <c r="F3034" s="0" t="s">
        <v>90</v>
      </c>
      <c r="G3034" s="0" t="s">
        <v>32</v>
      </c>
      <c r="H3034" s="0" t="n">
        <v>131</v>
      </c>
      <c r="I3034" s="0" t="s">
        <v>10135</v>
      </c>
      <c r="J3034" s="0" t="s">
        <v>10136</v>
      </c>
      <c r="K3034" s="0" t="s">
        <v>10137</v>
      </c>
      <c r="L3034" s="0" t="str">
        <f aca="false">HYPERLINK("https://www.ncbi.nlm.nih.gov/nuccore/CP000058.1?report=graph&amp;tracks=[key:gene_model_track,Options:GeneOnly]&amp;mk=982358:982377|offset_17|444444,982331:982350|offset_44|444444,982277:982296|offset_98|444444,982244:982263|offset_131|00cc00&amp;v=982157:982463&amp;c=444444", "offset 131")</f>
        <v>offset 131</v>
      </c>
    </row>
    <row r="3035" customFormat="false" ht="12.8" hidden="false" customHeight="false" outlineLevel="0" collapsed="false">
      <c r="A3035" s="0" t="s">
        <v>12</v>
      </c>
      <c r="B3035" s="0" t="n">
        <v>982702</v>
      </c>
      <c r="C3035" s="0" t="n">
        <v>982722</v>
      </c>
      <c r="D3035" s="0" t="s">
        <v>10138</v>
      </c>
      <c r="E3035" s="0" t="s">
        <v>75</v>
      </c>
      <c r="F3035" s="0" t="s">
        <v>15</v>
      </c>
      <c r="G3035" s="0" t="s">
        <v>16</v>
      </c>
      <c r="H3035" s="0" t="n">
        <v>84</v>
      </c>
      <c r="I3035" s="0" t="s">
        <v>10139</v>
      </c>
      <c r="J3035" s="0" t="s">
        <v>10140</v>
      </c>
      <c r="K3035" s="0" t="s">
        <v>10141</v>
      </c>
      <c r="L3035" s="0" t="str">
        <f aca="false">HYPERLINK("https://www.ncbi.nlm.nih.gov/nuccore/CP000058.1?report=graph&amp;tracks=[key:gene_model_track,Options:GeneOnly]&amp;mk=982703:982722|offset_84|00cc00,982740:982759|offset_121|444444,982830:982849|offset_211|444444,982879:982898|offset_260|444444&amp;v=982502:983098&amp;c=444444", "offset 84")</f>
        <v>offset 84</v>
      </c>
    </row>
    <row r="3036" customFormat="false" ht="12.8" hidden="false" customHeight="false" outlineLevel="0" collapsed="false">
      <c r="A3036" s="0" t="s">
        <v>12</v>
      </c>
      <c r="B3036" s="0" t="n">
        <v>982739</v>
      </c>
      <c r="C3036" s="0" t="n">
        <v>982759</v>
      </c>
      <c r="D3036" s="0" t="s">
        <v>10138</v>
      </c>
      <c r="E3036" s="0" t="s">
        <v>75</v>
      </c>
      <c r="F3036" s="0" t="s">
        <v>15</v>
      </c>
      <c r="G3036" s="0" t="s">
        <v>32</v>
      </c>
      <c r="H3036" s="0" t="n">
        <v>121</v>
      </c>
      <c r="I3036" s="0" t="s">
        <v>10142</v>
      </c>
      <c r="J3036" s="0" t="s">
        <v>10143</v>
      </c>
      <c r="K3036" s="0" t="s">
        <v>10144</v>
      </c>
      <c r="L3036" s="0" t="str">
        <f aca="false">HYPERLINK("https://www.ncbi.nlm.nih.gov/nuccore/CP000058.1?report=graph&amp;tracks=[key:gene_model_track,Options:GeneOnly]&amp;mk=982703:982722|offset_84|444444,982740:982759|offset_121|00cc00,982830:982849|offset_211|444444,982879:982898|offset_260|444444&amp;v=982502:983098&amp;c=444444", "offset 121")</f>
        <v>offset 121</v>
      </c>
    </row>
    <row r="3037" customFormat="false" ht="12.8" hidden="false" customHeight="false" outlineLevel="0" collapsed="false">
      <c r="A3037" s="0" t="s">
        <v>12</v>
      </c>
      <c r="B3037" s="0" t="n">
        <v>982829</v>
      </c>
      <c r="C3037" s="0" t="n">
        <v>982849</v>
      </c>
      <c r="D3037" s="0" t="s">
        <v>10138</v>
      </c>
      <c r="E3037" s="0" t="s">
        <v>75</v>
      </c>
      <c r="F3037" s="0" t="s">
        <v>15</v>
      </c>
      <c r="G3037" s="0" t="s">
        <v>36</v>
      </c>
      <c r="H3037" s="0" t="n">
        <v>211</v>
      </c>
      <c r="I3037" s="0" t="s">
        <v>10145</v>
      </c>
      <c r="J3037" s="0" t="s">
        <v>10146</v>
      </c>
      <c r="K3037" s="0" t="s">
        <v>10147</v>
      </c>
      <c r="L3037" s="0" t="str">
        <f aca="false">HYPERLINK("https://www.ncbi.nlm.nih.gov/nuccore/CP000058.1?report=graph&amp;tracks=[key:gene_model_track,Options:GeneOnly]&amp;mk=982703:982722|offset_84|444444,982740:982759|offset_121|444444,982830:982849|offset_211|00cc00,982879:982898|offset_260|444444&amp;v=982502:983098&amp;c=444444", "offset 211")</f>
        <v>offset 211</v>
      </c>
    </row>
    <row r="3038" customFormat="false" ht="12.8" hidden="false" customHeight="false" outlineLevel="0" collapsed="false">
      <c r="A3038" s="0" t="s">
        <v>12</v>
      </c>
      <c r="B3038" s="0" t="n">
        <v>982878</v>
      </c>
      <c r="C3038" s="0" t="n">
        <v>982898</v>
      </c>
      <c r="D3038" s="0" t="s">
        <v>10138</v>
      </c>
      <c r="E3038" s="0" t="s">
        <v>75</v>
      </c>
      <c r="F3038" s="0" t="s">
        <v>15</v>
      </c>
      <c r="G3038" s="0" t="s">
        <v>36</v>
      </c>
      <c r="H3038" s="0" t="n">
        <v>260</v>
      </c>
      <c r="I3038" s="0" t="s">
        <v>10148</v>
      </c>
      <c r="J3038" s="0" t="s">
        <v>10149</v>
      </c>
      <c r="K3038" s="0" t="s">
        <v>10150</v>
      </c>
      <c r="L3038" s="0" t="str">
        <f aca="false">HYPERLINK("https://www.ncbi.nlm.nih.gov/nuccore/CP000058.1?report=graph&amp;tracks=[key:gene_model_track,Options:GeneOnly]&amp;mk=982703:982722|offset_84|444444,982740:982759|offset_121|444444,982830:982849|offset_211|444444,982879:982898|offset_260|00cc00&amp;v=982502:983098&amp;c=444444", "offset 260")</f>
        <v>offset 260</v>
      </c>
    </row>
    <row r="3039" customFormat="false" ht="12.8" hidden="false" customHeight="false" outlineLevel="0" collapsed="false">
      <c r="A3039" s="0" t="s">
        <v>12</v>
      </c>
      <c r="B3039" s="0" t="n">
        <v>986078</v>
      </c>
      <c r="C3039" s="0" t="n">
        <v>986098</v>
      </c>
      <c r="D3039" s="0" t="s">
        <v>10151</v>
      </c>
      <c r="E3039" s="0" t="s">
        <v>75</v>
      </c>
      <c r="F3039" s="0" t="s">
        <v>90</v>
      </c>
      <c r="G3039" s="0" t="s">
        <v>32</v>
      </c>
      <c r="H3039" s="0" t="n">
        <v>9</v>
      </c>
      <c r="I3039" s="0" t="s">
        <v>10152</v>
      </c>
      <c r="J3039" s="0" t="s">
        <v>10153</v>
      </c>
      <c r="K3039" s="0" t="s">
        <v>10154</v>
      </c>
      <c r="L3039" s="0" t="str">
        <f aca="false">HYPERLINK("https://www.ncbi.nlm.nih.gov/nuccore/CP000058.1?report=graph&amp;tracks=[key:gene_model_track,Options:GeneOnly]&amp;mk=986079:986098|offset_9|00cc00,986007:986026|offset_81|444444,985923:985942|offset_165|444444,985901:985920|offset_187|444444&amp;v=985878:986120&amp;c=444444", "offset 9")</f>
        <v>offset 9</v>
      </c>
    </row>
    <row r="3040" customFormat="false" ht="12.8" hidden="false" customHeight="false" outlineLevel="0" collapsed="false">
      <c r="A3040" s="0" t="s">
        <v>12</v>
      </c>
      <c r="B3040" s="0" t="n">
        <v>986006</v>
      </c>
      <c r="C3040" s="0" t="n">
        <v>986026</v>
      </c>
      <c r="D3040" s="0" t="s">
        <v>10151</v>
      </c>
      <c r="E3040" s="0" t="s">
        <v>75</v>
      </c>
      <c r="F3040" s="0" t="s">
        <v>90</v>
      </c>
      <c r="G3040" s="0" t="s">
        <v>20</v>
      </c>
      <c r="H3040" s="0" t="n">
        <v>81</v>
      </c>
      <c r="I3040" s="0" t="s">
        <v>10155</v>
      </c>
      <c r="J3040" s="0" t="s">
        <v>10156</v>
      </c>
      <c r="K3040" s="0" t="s">
        <v>10157</v>
      </c>
      <c r="L3040" s="0" t="str">
        <f aca="false">HYPERLINK("https://www.ncbi.nlm.nih.gov/nuccore/CP000058.1?report=graph&amp;tracks=[key:gene_model_track,Options:GeneOnly]&amp;mk=986079:986098|offset_9|444444,986007:986026|offset_81|00cc00,985923:985942|offset_165|444444,985901:985920|offset_187|444444&amp;v=985878:986120&amp;c=444444", "offset 81")</f>
        <v>offset 81</v>
      </c>
    </row>
    <row r="3041" customFormat="false" ht="12.8" hidden="false" customHeight="false" outlineLevel="0" collapsed="false">
      <c r="A3041" s="0" t="s">
        <v>12</v>
      </c>
      <c r="B3041" s="0" t="n">
        <v>985922</v>
      </c>
      <c r="C3041" s="0" t="n">
        <v>985942</v>
      </c>
      <c r="D3041" s="0" t="s">
        <v>10151</v>
      </c>
      <c r="E3041" s="0" t="s">
        <v>75</v>
      </c>
      <c r="F3041" s="0" t="s">
        <v>90</v>
      </c>
      <c r="G3041" s="0" t="s">
        <v>20</v>
      </c>
      <c r="H3041" s="0" t="n">
        <v>165</v>
      </c>
      <c r="I3041" s="0" t="s">
        <v>10158</v>
      </c>
      <c r="J3041" s="0" t="s">
        <v>10159</v>
      </c>
      <c r="K3041" s="0" t="s">
        <v>10160</v>
      </c>
      <c r="L3041" s="0" t="str">
        <f aca="false">HYPERLINK("https://www.ncbi.nlm.nih.gov/nuccore/CP000058.1?report=graph&amp;tracks=[key:gene_model_track,Options:GeneOnly]&amp;mk=986079:986098|offset_9|444444,986007:986026|offset_81|444444,985923:985942|offset_165|00cc00,985901:985920|offset_187|444444&amp;v=985878:986120&amp;c=444444", "offset 165")</f>
        <v>offset 165</v>
      </c>
    </row>
    <row r="3042" customFormat="false" ht="12.8" hidden="false" customHeight="false" outlineLevel="0" collapsed="false">
      <c r="A3042" s="0" t="s">
        <v>12</v>
      </c>
      <c r="B3042" s="0" t="n">
        <v>985900</v>
      </c>
      <c r="C3042" s="0" t="n">
        <v>985920</v>
      </c>
      <c r="D3042" s="0" t="s">
        <v>10151</v>
      </c>
      <c r="E3042" s="0" t="s">
        <v>75</v>
      </c>
      <c r="F3042" s="0" t="s">
        <v>90</v>
      </c>
      <c r="G3042" s="0" t="s">
        <v>20</v>
      </c>
      <c r="H3042" s="0" t="n">
        <v>187</v>
      </c>
      <c r="I3042" s="0" t="s">
        <v>10161</v>
      </c>
      <c r="J3042" s="0" t="s">
        <v>10162</v>
      </c>
      <c r="K3042" s="0" t="s">
        <v>10163</v>
      </c>
      <c r="L3042" s="0" t="str">
        <f aca="false">HYPERLINK("https://www.ncbi.nlm.nih.gov/nuccore/CP000058.1?report=graph&amp;tracks=[key:gene_model_track,Options:GeneOnly]&amp;mk=986079:986098|offset_9|444444,986007:986026|offset_81|444444,985923:985942|offset_165|444444,985901:985920|offset_187|00cc00&amp;v=985878:986120&amp;c=444444", "offset 187")</f>
        <v>offset 187</v>
      </c>
    </row>
    <row r="3043" customFormat="false" ht="12.8" hidden="false" customHeight="false" outlineLevel="0" collapsed="false">
      <c r="A3043" s="0" t="s">
        <v>12</v>
      </c>
      <c r="B3043" s="0" t="n">
        <v>989115</v>
      </c>
      <c r="C3043" s="0" t="n">
        <v>989135</v>
      </c>
      <c r="D3043" s="0" t="s">
        <v>10164</v>
      </c>
      <c r="E3043" s="0" t="s">
        <v>75</v>
      </c>
      <c r="F3043" s="0" t="s">
        <v>90</v>
      </c>
      <c r="G3043" s="0" t="s">
        <v>20</v>
      </c>
      <c r="H3043" s="0" t="n">
        <v>68</v>
      </c>
      <c r="I3043" s="0" t="s">
        <v>10165</v>
      </c>
      <c r="J3043" s="0" t="s">
        <v>10166</v>
      </c>
      <c r="K3043" s="0" t="s">
        <v>10167</v>
      </c>
      <c r="L3043" s="0" t="str">
        <f aca="false">HYPERLINK("https://www.ncbi.nlm.nih.gov/nuccore/CP000058.1?report=graph&amp;tracks=[key:gene_model_track,Options:GeneOnly]&amp;mk=989116:989135|offset_68|00cc00,989095:989114|offset_89|444444,989075:989094|offset_109|444444,989048:989067|offset_136|444444&amp;v=988915:989267&amp;c=444444", "offset 68")</f>
        <v>offset 68</v>
      </c>
    </row>
    <row r="3044" customFormat="false" ht="12.8" hidden="false" customHeight="false" outlineLevel="0" collapsed="false">
      <c r="A3044" s="0" t="s">
        <v>12</v>
      </c>
      <c r="B3044" s="0" t="n">
        <v>989094</v>
      </c>
      <c r="C3044" s="0" t="n">
        <v>989114</v>
      </c>
      <c r="D3044" s="0" t="s">
        <v>10164</v>
      </c>
      <c r="E3044" s="0" t="s">
        <v>75</v>
      </c>
      <c r="F3044" s="0" t="s">
        <v>90</v>
      </c>
      <c r="G3044" s="0" t="s">
        <v>32</v>
      </c>
      <c r="H3044" s="0" t="n">
        <v>89</v>
      </c>
      <c r="I3044" s="0" t="s">
        <v>10168</v>
      </c>
      <c r="J3044" s="0" t="s">
        <v>10169</v>
      </c>
      <c r="K3044" s="0" t="s">
        <v>10170</v>
      </c>
      <c r="L3044" s="0" t="str">
        <f aca="false">HYPERLINK("https://www.ncbi.nlm.nih.gov/nuccore/CP000058.1?report=graph&amp;tracks=[key:gene_model_track,Options:GeneOnly]&amp;mk=989116:989135|offset_68|444444,989095:989114|offset_89|00cc00,989075:989094|offset_109|444444,989048:989067|offset_136|444444&amp;v=988915:989267&amp;c=444444", "offset 89")</f>
        <v>offset 89</v>
      </c>
    </row>
    <row r="3045" customFormat="false" ht="12.8" hidden="false" customHeight="false" outlineLevel="0" collapsed="false">
      <c r="A3045" s="0" t="s">
        <v>12</v>
      </c>
      <c r="B3045" s="0" t="n">
        <v>989074</v>
      </c>
      <c r="C3045" s="0" t="n">
        <v>989094</v>
      </c>
      <c r="D3045" s="0" t="s">
        <v>10164</v>
      </c>
      <c r="E3045" s="0" t="s">
        <v>75</v>
      </c>
      <c r="F3045" s="0" t="s">
        <v>90</v>
      </c>
      <c r="G3045" s="0" t="s">
        <v>16</v>
      </c>
      <c r="H3045" s="0" t="n">
        <v>109</v>
      </c>
      <c r="I3045" s="0" t="s">
        <v>10171</v>
      </c>
      <c r="J3045" s="0" t="s">
        <v>10172</v>
      </c>
      <c r="K3045" s="0" t="s">
        <v>10173</v>
      </c>
      <c r="L3045" s="0" t="str">
        <f aca="false">HYPERLINK("https://www.ncbi.nlm.nih.gov/nuccore/CP000058.1?report=graph&amp;tracks=[key:gene_model_track,Options:GeneOnly]&amp;mk=989116:989135|offset_68|444444,989095:989114|offset_89|444444,989075:989094|offset_109|00cc00,989048:989067|offset_136|444444&amp;v=988915:989267&amp;c=444444", "offset 109")</f>
        <v>offset 109</v>
      </c>
    </row>
    <row r="3046" customFormat="false" ht="12.8" hidden="false" customHeight="false" outlineLevel="0" collapsed="false">
      <c r="A3046" s="0" t="s">
        <v>12</v>
      </c>
      <c r="B3046" s="0" t="n">
        <v>989047</v>
      </c>
      <c r="C3046" s="0" t="n">
        <v>989067</v>
      </c>
      <c r="D3046" s="0" t="s">
        <v>10164</v>
      </c>
      <c r="E3046" s="0" t="s">
        <v>75</v>
      </c>
      <c r="F3046" s="0" t="s">
        <v>90</v>
      </c>
      <c r="G3046" s="0" t="s">
        <v>16</v>
      </c>
      <c r="H3046" s="0" t="n">
        <v>136</v>
      </c>
      <c r="I3046" s="0" t="s">
        <v>10174</v>
      </c>
      <c r="J3046" s="0" t="s">
        <v>10175</v>
      </c>
      <c r="K3046" s="0" t="s">
        <v>10176</v>
      </c>
      <c r="L3046" s="0" t="str">
        <f aca="false">HYPERLINK("https://www.ncbi.nlm.nih.gov/nuccore/CP000058.1?report=graph&amp;tracks=[key:gene_model_track,Options:GeneOnly]&amp;mk=989116:989135|offset_68|444444,989095:989114|offset_89|444444,989075:989094|offset_109|444444,989048:989067|offset_136|00cc00&amp;v=988915:989267&amp;c=444444", "offset 136")</f>
        <v>offset 136</v>
      </c>
    </row>
    <row r="3047" customFormat="false" ht="12.8" hidden="false" customHeight="false" outlineLevel="0" collapsed="false">
      <c r="A3047" s="0" t="s">
        <v>12</v>
      </c>
      <c r="B3047" s="0" t="n">
        <v>989336</v>
      </c>
      <c r="C3047" s="0" t="n">
        <v>989356</v>
      </c>
      <c r="D3047" s="0" t="s">
        <v>10177</v>
      </c>
      <c r="E3047" s="0" t="s">
        <v>75</v>
      </c>
      <c r="F3047" s="0" t="s">
        <v>15</v>
      </c>
      <c r="G3047" s="0" t="s">
        <v>20</v>
      </c>
      <c r="H3047" s="0" t="n">
        <v>14</v>
      </c>
      <c r="I3047" s="0" t="s">
        <v>10178</v>
      </c>
      <c r="J3047" s="0" t="s">
        <v>10179</v>
      </c>
      <c r="K3047" s="0" t="s">
        <v>10180</v>
      </c>
      <c r="L3047" s="0" t="str">
        <f aca="false">HYPERLINK("https://www.ncbi.nlm.nih.gov/nuccore/CP000058.1?report=graph&amp;tracks=[key:gene_model_track,Options:GeneOnly]&amp;mk=989337:989356|offset_14|00cc00,989392:989411|offset_69|444444,989414:989433|offset_91|444444,989435:989454|offset_112|444444&amp;v=989136:989654&amp;c=444444", "offset 14")</f>
        <v>offset 14</v>
      </c>
    </row>
    <row r="3048" customFormat="false" ht="12.8" hidden="false" customHeight="false" outlineLevel="0" collapsed="false">
      <c r="A3048" s="0" t="s">
        <v>12</v>
      </c>
      <c r="B3048" s="0" t="n">
        <v>989391</v>
      </c>
      <c r="C3048" s="0" t="n">
        <v>989411</v>
      </c>
      <c r="D3048" s="0" t="s">
        <v>10177</v>
      </c>
      <c r="E3048" s="0" t="s">
        <v>75</v>
      </c>
      <c r="F3048" s="0" t="s">
        <v>15</v>
      </c>
      <c r="G3048" s="0" t="s">
        <v>20</v>
      </c>
      <c r="H3048" s="0" t="n">
        <v>69</v>
      </c>
      <c r="I3048" s="0" t="s">
        <v>10181</v>
      </c>
      <c r="J3048" s="0" t="s">
        <v>10182</v>
      </c>
      <c r="K3048" s="0" t="s">
        <v>10183</v>
      </c>
      <c r="L3048" s="0" t="str">
        <f aca="false">HYPERLINK("https://www.ncbi.nlm.nih.gov/nuccore/CP000058.1?report=graph&amp;tracks=[key:gene_model_track,Options:GeneOnly]&amp;mk=989337:989356|offset_14|444444,989392:989411|offset_69|00cc00,989414:989433|offset_91|444444,989435:989454|offset_112|444444&amp;v=989136:989654&amp;c=444444", "offset 69")</f>
        <v>offset 69</v>
      </c>
    </row>
    <row r="3049" customFormat="false" ht="12.8" hidden="false" customHeight="false" outlineLevel="0" collapsed="false">
      <c r="A3049" s="0" t="s">
        <v>12</v>
      </c>
      <c r="B3049" s="0" t="n">
        <v>989413</v>
      </c>
      <c r="C3049" s="0" t="n">
        <v>989433</v>
      </c>
      <c r="D3049" s="0" t="s">
        <v>10177</v>
      </c>
      <c r="E3049" s="0" t="s">
        <v>75</v>
      </c>
      <c r="F3049" s="0" t="s">
        <v>15</v>
      </c>
      <c r="G3049" s="0" t="s">
        <v>20</v>
      </c>
      <c r="H3049" s="0" t="n">
        <v>91</v>
      </c>
      <c r="I3049" s="0" t="s">
        <v>10184</v>
      </c>
      <c r="J3049" s="0" t="s">
        <v>10185</v>
      </c>
      <c r="K3049" s="0" t="s">
        <v>10186</v>
      </c>
      <c r="L3049" s="0" t="str">
        <f aca="false">HYPERLINK("https://www.ncbi.nlm.nih.gov/nuccore/CP000058.1?report=graph&amp;tracks=[key:gene_model_track,Options:GeneOnly]&amp;mk=989337:989356|offset_14|444444,989392:989411|offset_69|444444,989414:989433|offset_91|00cc00,989435:989454|offset_112|444444&amp;v=989136:989654&amp;c=444444", "offset 91")</f>
        <v>offset 91</v>
      </c>
    </row>
    <row r="3050" customFormat="false" ht="12.8" hidden="false" customHeight="false" outlineLevel="0" collapsed="false">
      <c r="A3050" s="0" t="s">
        <v>12</v>
      </c>
      <c r="B3050" s="0" t="n">
        <v>989434</v>
      </c>
      <c r="C3050" s="0" t="n">
        <v>989454</v>
      </c>
      <c r="D3050" s="0" t="s">
        <v>10177</v>
      </c>
      <c r="E3050" s="0" t="s">
        <v>75</v>
      </c>
      <c r="F3050" s="0" t="s">
        <v>15</v>
      </c>
      <c r="G3050" s="0" t="s">
        <v>16</v>
      </c>
      <c r="H3050" s="0" t="n">
        <v>112</v>
      </c>
      <c r="I3050" s="0" t="s">
        <v>10187</v>
      </c>
      <c r="J3050" s="0" t="s">
        <v>10188</v>
      </c>
      <c r="K3050" s="0" t="s">
        <v>10189</v>
      </c>
      <c r="L3050" s="0" t="str">
        <f aca="false">HYPERLINK("https://www.ncbi.nlm.nih.gov/nuccore/CP000058.1?report=graph&amp;tracks=[key:gene_model_track,Options:GeneOnly]&amp;mk=989337:989356|offset_14|444444,989392:989411|offset_69|444444,989414:989433|offset_91|444444,989435:989454|offset_112|00cc00&amp;v=989136:989654&amp;c=444444", "offset 112")</f>
        <v>offset 112</v>
      </c>
    </row>
    <row r="3051" customFormat="false" ht="12.8" hidden="false" customHeight="false" outlineLevel="0" collapsed="false">
      <c r="A3051" s="0" t="s">
        <v>12</v>
      </c>
      <c r="B3051" s="0" t="n">
        <v>990393</v>
      </c>
      <c r="C3051" s="0" t="n">
        <v>990413</v>
      </c>
      <c r="D3051" s="0" t="s">
        <v>10190</v>
      </c>
      <c r="E3051" s="0" t="s">
        <v>75</v>
      </c>
      <c r="F3051" s="0" t="s">
        <v>15</v>
      </c>
      <c r="G3051" s="0" t="s">
        <v>32</v>
      </c>
      <c r="H3051" s="0" t="n">
        <v>18</v>
      </c>
      <c r="I3051" s="0" t="s">
        <v>10191</v>
      </c>
      <c r="J3051" s="0" t="s">
        <v>10192</v>
      </c>
      <c r="K3051" s="0" t="s">
        <v>10193</v>
      </c>
      <c r="L3051" s="0" t="str">
        <f aca="false">HYPERLINK("https://www.ncbi.nlm.nih.gov/nuccore/CP000058.1?report=graph&amp;tracks=[key:gene_model_track,Options:GeneOnly]&amp;mk=990394:990413|offset_18|00cc00,990422:990441|offset_46|444444,990510:990529|offset_134|444444,990540:990559|offset_164|444444&amp;v=990193:990759&amp;c=444444", "offset 18")</f>
        <v>offset 18</v>
      </c>
    </row>
    <row r="3052" customFormat="false" ht="12.8" hidden="false" customHeight="false" outlineLevel="0" collapsed="false">
      <c r="A3052" s="0" t="s">
        <v>12</v>
      </c>
      <c r="B3052" s="0" t="n">
        <v>990421</v>
      </c>
      <c r="C3052" s="0" t="n">
        <v>990441</v>
      </c>
      <c r="D3052" s="0" t="s">
        <v>10190</v>
      </c>
      <c r="E3052" s="0" t="s">
        <v>75</v>
      </c>
      <c r="F3052" s="0" t="s">
        <v>15</v>
      </c>
      <c r="G3052" s="0" t="s">
        <v>36</v>
      </c>
      <c r="H3052" s="0" t="n">
        <v>46</v>
      </c>
      <c r="I3052" s="0" t="s">
        <v>10194</v>
      </c>
      <c r="J3052" s="0" t="s">
        <v>10195</v>
      </c>
      <c r="K3052" s="0" t="s">
        <v>10196</v>
      </c>
      <c r="L3052" s="0" t="str">
        <f aca="false">HYPERLINK("https://www.ncbi.nlm.nih.gov/nuccore/CP000058.1?report=graph&amp;tracks=[key:gene_model_track,Options:GeneOnly]&amp;mk=990394:990413|offset_18|444444,990422:990441|offset_46|00cc00,990510:990529|offset_134|444444,990540:990559|offset_164|444444&amp;v=990193:990759&amp;c=444444", "offset 46")</f>
        <v>offset 46</v>
      </c>
    </row>
    <row r="3053" customFormat="false" ht="12.8" hidden="false" customHeight="false" outlineLevel="0" collapsed="false">
      <c r="A3053" s="0" t="s">
        <v>12</v>
      </c>
      <c r="B3053" s="0" t="n">
        <v>990509</v>
      </c>
      <c r="C3053" s="0" t="n">
        <v>990529</v>
      </c>
      <c r="D3053" s="0" t="s">
        <v>10190</v>
      </c>
      <c r="E3053" s="0" t="s">
        <v>75</v>
      </c>
      <c r="F3053" s="0" t="s">
        <v>15</v>
      </c>
      <c r="G3053" s="0" t="s">
        <v>32</v>
      </c>
      <c r="H3053" s="0" t="n">
        <v>134</v>
      </c>
      <c r="I3053" s="0" t="s">
        <v>10197</v>
      </c>
      <c r="J3053" s="0" t="s">
        <v>10198</v>
      </c>
      <c r="K3053" s="0" t="s">
        <v>10199</v>
      </c>
      <c r="L3053" s="0" t="str">
        <f aca="false">HYPERLINK("https://www.ncbi.nlm.nih.gov/nuccore/CP000058.1?report=graph&amp;tracks=[key:gene_model_track,Options:GeneOnly]&amp;mk=990394:990413|offset_18|444444,990422:990441|offset_46|444444,990510:990529|offset_134|00cc00,990540:990559|offset_164|444444&amp;v=990193:990759&amp;c=444444", "offset 134")</f>
        <v>offset 134</v>
      </c>
    </row>
    <row r="3054" customFormat="false" ht="12.8" hidden="false" customHeight="false" outlineLevel="0" collapsed="false">
      <c r="A3054" s="0" t="s">
        <v>12</v>
      </c>
      <c r="B3054" s="0" t="n">
        <v>990539</v>
      </c>
      <c r="C3054" s="0" t="n">
        <v>990559</v>
      </c>
      <c r="D3054" s="0" t="s">
        <v>10190</v>
      </c>
      <c r="E3054" s="0" t="s">
        <v>75</v>
      </c>
      <c r="F3054" s="0" t="s">
        <v>15</v>
      </c>
      <c r="G3054" s="0" t="s">
        <v>32</v>
      </c>
      <c r="H3054" s="0" t="n">
        <v>164</v>
      </c>
      <c r="I3054" s="0" t="s">
        <v>10200</v>
      </c>
      <c r="J3054" s="0" t="s">
        <v>10201</v>
      </c>
      <c r="K3054" s="0" t="s">
        <v>10202</v>
      </c>
      <c r="L3054" s="0" t="str">
        <f aca="false">HYPERLINK("https://www.ncbi.nlm.nih.gov/nuccore/CP000058.1?report=graph&amp;tracks=[key:gene_model_track,Options:GeneOnly]&amp;mk=990394:990413|offset_18|444444,990422:990441|offset_46|444444,990510:990529|offset_134|444444,990540:990559|offset_164|00cc00&amp;v=990193:990759&amp;c=444444", "offset 164")</f>
        <v>offset 164</v>
      </c>
    </row>
    <row r="3055" customFormat="false" ht="12.8" hidden="false" customHeight="false" outlineLevel="0" collapsed="false">
      <c r="A3055" s="0" t="s">
        <v>12</v>
      </c>
      <c r="B3055" s="0" t="n">
        <v>991606</v>
      </c>
      <c r="C3055" s="0" t="n">
        <v>991626</v>
      </c>
      <c r="D3055" s="0" t="s">
        <v>10203</v>
      </c>
      <c r="E3055" s="0" t="s">
        <v>75</v>
      </c>
      <c r="F3055" s="0" t="s">
        <v>15</v>
      </c>
      <c r="G3055" s="0" t="s">
        <v>32</v>
      </c>
      <c r="H3055" s="0" t="n">
        <v>25</v>
      </c>
      <c r="I3055" s="0" t="s">
        <v>10204</v>
      </c>
      <c r="J3055" s="0" t="s">
        <v>10205</v>
      </c>
      <c r="K3055" s="0" t="s">
        <v>10206</v>
      </c>
      <c r="L3055" s="0" t="str">
        <f aca="false">HYPERLINK("https://www.ncbi.nlm.nih.gov/nuccore/CP000058.1?report=graph&amp;tracks=[key:gene_model_track,Options:GeneOnly]&amp;mk=991607:991626|offset_25|00cc00,991632:991651|offset_50|444444,991670:991689|offset_88|444444,991716:991735|offset_134|444444&amp;v=991406:991935&amp;c=444444", "offset 25")</f>
        <v>offset 25</v>
      </c>
    </row>
    <row r="3056" customFormat="false" ht="12.8" hidden="false" customHeight="false" outlineLevel="0" collapsed="false">
      <c r="A3056" s="0" t="s">
        <v>12</v>
      </c>
      <c r="B3056" s="0" t="n">
        <v>991631</v>
      </c>
      <c r="C3056" s="0" t="n">
        <v>991651</v>
      </c>
      <c r="D3056" s="0" t="s">
        <v>10203</v>
      </c>
      <c r="E3056" s="0" t="s">
        <v>75</v>
      </c>
      <c r="F3056" s="0" t="s">
        <v>15</v>
      </c>
      <c r="G3056" s="0" t="s">
        <v>20</v>
      </c>
      <c r="H3056" s="0" t="n">
        <v>50</v>
      </c>
      <c r="I3056" s="0" t="s">
        <v>10207</v>
      </c>
      <c r="J3056" s="0" t="s">
        <v>10208</v>
      </c>
      <c r="K3056" s="0" t="s">
        <v>10209</v>
      </c>
      <c r="L3056" s="0" t="str">
        <f aca="false">HYPERLINK("https://www.ncbi.nlm.nih.gov/nuccore/CP000058.1?report=graph&amp;tracks=[key:gene_model_track,Options:GeneOnly]&amp;mk=991607:991626|offset_25|444444,991632:991651|offset_50|00cc00,991670:991689|offset_88|444444,991716:991735|offset_134|444444&amp;v=991406:991935&amp;c=444444", "offset 50")</f>
        <v>offset 50</v>
      </c>
    </row>
    <row r="3057" customFormat="false" ht="12.8" hidden="false" customHeight="false" outlineLevel="0" collapsed="false">
      <c r="A3057" s="0" t="s">
        <v>12</v>
      </c>
      <c r="B3057" s="0" t="n">
        <v>991669</v>
      </c>
      <c r="C3057" s="0" t="n">
        <v>991689</v>
      </c>
      <c r="D3057" s="0" t="s">
        <v>10203</v>
      </c>
      <c r="E3057" s="0" t="s">
        <v>75</v>
      </c>
      <c r="F3057" s="0" t="s">
        <v>15</v>
      </c>
      <c r="G3057" s="0" t="s">
        <v>32</v>
      </c>
      <c r="H3057" s="0" t="n">
        <v>88</v>
      </c>
      <c r="I3057" s="0" t="s">
        <v>10210</v>
      </c>
      <c r="J3057" s="0" t="s">
        <v>10211</v>
      </c>
      <c r="K3057" s="0" t="s">
        <v>10212</v>
      </c>
      <c r="L3057" s="0" t="str">
        <f aca="false">HYPERLINK("https://www.ncbi.nlm.nih.gov/nuccore/CP000058.1?report=graph&amp;tracks=[key:gene_model_track,Options:GeneOnly]&amp;mk=991607:991626|offset_25|444444,991632:991651|offset_50|444444,991670:991689|offset_88|00cc00,991716:991735|offset_134|444444&amp;v=991406:991935&amp;c=444444", "offset 88")</f>
        <v>offset 88</v>
      </c>
    </row>
    <row r="3058" customFormat="false" ht="12.8" hidden="false" customHeight="false" outlineLevel="0" collapsed="false">
      <c r="A3058" s="0" t="s">
        <v>12</v>
      </c>
      <c r="B3058" s="0" t="n">
        <v>991715</v>
      </c>
      <c r="C3058" s="0" t="n">
        <v>991735</v>
      </c>
      <c r="D3058" s="0" t="s">
        <v>10203</v>
      </c>
      <c r="E3058" s="0" t="s">
        <v>75</v>
      </c>
      <c r="F3058" s="0" t="s">
        <v>15</v>
      </c>
      <c r="G3058" s="0" t="s">
        <v>36</v>
      </c>
      <c r="H3058" s="0" t="n">
        <v>134</v>
      </c>
      <c r="I3058" s="0" t="s">
        <v>10213</v>
      </c>
      <c r="J3058" s="0" t="s">
        <v>10214</v>
      </c>
      <c r="K3058" s="0" t="s">
        <v>10215</v>
      </c>
      <c r="L3058" s="0" t="str">
        <f aca="false">HYPERLINK("https://www.ncbi.nlm.nih.gov/nuccore/CP000058.1?report=graph&amp;tracks=[key:gene_model_track,Options:GeneOnly]&amp;mk=991607:991626|offset_25|444444,991632:991651|offset_50|444444,991670:991689|offset_88|444444,991716:991735|offset_134|00cc00&amp;v=991406:991935&amp;c=444444", "offset 134")</f>
        <v>offset 134</v>
      </c>
    </row>
    <row r="3059" customFormat="false" ht="12.8" hidden="false" customHeight="false" outlineLevel="0" collapsed="false">
      <c r="A3059" s="0" t="s">
        <v>12</v>
      </c>
      <c r="B3059" s="0" t="n">
        <v>992721</v>
      </c>
      <c r="C3059" s="0" t="n">
        <v>992741</v>
      </c>
      <c r="D3059" s="0" t="s">
        <v>10216</v>
      </c>
      <c r="E3059" s="0" t="s">
        <v>75</v>
      </c>
      <c r="F3059" s="0" t="s">
        <v>15</v>
      </c>
      <c r="G3059" s="0" t="s">
        <v>16</v>
      </c>
      <c r="H3059" s="0" t="n">
        <v>14</v>
      </c>
      <c r="I3059" s="0" t="s">
        <v>10217</v>
      </c>
      <c r="J3059" s="0" t="s">
        <v>10218</v>
      </c>
      <c r="K3059" s="0" t="s">
        <v>10219</v>
      </c>
      <c r="L3059" s="0" t="str">
        <f aca="false">HYPERLINK("https://www.ncbi.nlm.nih.gov/nuccore/CP000058.1?report=graph&amp;tracks=[key:gene_model_track,Options:GeneOnly]&amp;mk=992722:992741|offset_14|00cc00,992761:992780|offset_53|444444,992781:992800|offset_73|444444,992844:992863|offset_136|444444&amp;v=992521:993063&amp;c=444444", "offset 14")</f>
        <v>offset 14</v>
      </c>
    </row>
    <row r="3060" customFormat="false" ht="12.8" hidden="false" customHeight="false" outlineLevel="0" collapsed="false">
      <c r="A3060" s="0" t="s">
        <v>12</v>
      </c>
      <c r="B3060" s="0" t="n">
        <v>992760</v>
      </c>
      <c r="C3060" s="0" t="n">
        <v>992780</v>
      </c>
      <c r="D3060" s="0" t="s">
        <v>10216</v>
      </c>
      <c r="E3060" s="0" t="s">
        <v>75</v>
      </c>
      <c r="F3060" s="0" t="s">
        <v>15</v>
      </c>
      <c r="G3060" s="0" t="s">
        <v>32</v>
      </c>
      <c r="H3060" s="0" t="n">
        <v>53</v>
      </c>
      <c r="I3060" s="0" t="s">
        <v>10220</v>
      </c>
      <c r="J3060" s="0" t="s">
        <v>10221</v>
      </c>
      <c r="K3060" s="0" t="s">
        <v>10222</v>
      </c>
      <c r="L3060" s="0" t="str">
        <f aca="false">HYPERLINK("https://www.ncbi.nlm.nih.gov/nuccore/CP000058.1?report=graph&amp;tracks=[key:gene_model_track,Options:GeneOnly]&amp;mk=992722:992741|offset_14|444444,992761:992780|offset_53|00cc00,992781:992800|offset_73|444444,992844:992863|offset_136|444444&amp;v=992521:993063&amp;c=444444", "offset 53")</f>
        <v>offset 53</v>
      </c>
    </row>
    <row r="3061" customFormat="false" ht="12.8" hidden="false" customHeight="false" outlineLevel="0" collapsed="false">
      <c r="A3061" s="0" t="s">
        <v>12</v>
      </c>
      <c r="B3061" s="0" t="n">
        <v>992780</v>
      </c>
      <c r="C3061" s="0" t="n">
        <v>992800</v>
      </c>
      <c r="D3061" s="0" t="s">
        <v>10216</v>
      </c>
      <c r="E3061" s="0" t="s">
        <v>75</v>
      </c>
      <c r="F3061" s="0" t="s">
        <v>15</v>
      </c>
      <c r="G3061" s="0" t="s">
        <v>16</v>
      </c>
      <c r="H3061" s="0" t="n">
        <v>73</v>
      </c>
      <c r="I3061" s="0" t="s">
        <v>10223</v>
      </c>
      <c r="J3061" s="0" t="s">
        <v>10224</v>
      </c>
      <c r="K3061" s="0" t="s">
        <v>10225</v>
      </c>
      <c r="L3061" s="0" t="str">
        <f aca="false">HYPERLINK("https://www.ncbi.nlm.nih.gov/nuccore/CP000058.1?report=graph&amp;tracks=[key:gene_model_track,Options:GeneOnly]&amp;mk=992722:992741|offset_14|444444,992761:992780|offset_53|444444,992781:992800|offset_73|00cc00,992844:992863|offset_136|444444&amp;v=992521:993063&amp;c=444444", "offset 73")</f>
        <v>offset 73</v>
      </c>
    </row>
    <row r="3062" customFormat="false" ht="12.8" hidden="false" customHeight="false" outlineLevel="0" collapsed="false">
      <c r="A3062" s="0" t="s">
        <v>12</v>
      </c>
      <c r="B3062" s="0" t="n">
        <v>992843</v>
      </c>
      <c r="C3062" s="0" t="n">
        <v>992863</v>
      </c>
      <c r="D3062" s="0" t="s">
        <v>10216</v>
      </c>
      <c r="E3062" s="0" t="s">
        <v>75</v>
      </c>
      <c r="F3062" s="0" t="s">
        <v>15</v>
      </c>
      <c r="G3062" s="0" t="s">
        <v>32</v>
      </c>
      <c r="H3062" s="0" t="n">
        <v>136</v>
      </c>
      <c r="I3062" s="0" t="s">
        <v>10226</v>
      </c>
      <c r="J3062" s="0" t="s">
        <v>10227</v>
      </c>
      <c r="K3062" s="0" t="s">
        <v>10228</v>
      </c>
      <c r="L3062" s="0" t="str">
        <f aca="false">HYPERLINK("https://www.ncbi.nlm.nih.gov/nuccore/CP000058.1?report=graph&amp;tracks=[key:gene_model_track,Options:GeneOnly]&amp;mk=992722:992741|offset_14|444444,992761:992780|offset_53|444444,992781:992800|offset_73|444444,992844:992863|offset_136|00cc00&amp;v=992521:993063&amp;c=444444", "offset 136")</f>
        <v>offset 136</v>
      </c>
    </row>
    <row r="3063" customFormat="false" ht="12.8" hidden="false" customHeight="false" outlineLevel="0" collapsed="false">
      <c r="A3063" s="0" t="s">
        <v>12</v>
      </c>
      <c r="B3063" s="0" t="n">
        <v>993470</v>
      </c>
      <c r="C3063" s="0" t="n">
        <v>993490</v>
      </c>
      <c r="D3063" s="0" t="s">
        <v>10229</v>
      </c>
      <c r="E3063" s="0" t="s">
        <v>75</v>
      </c>
      <c r="F3063" s="0" t="s">
        <v>15</v>
      </c>
      <c r="G3063" s="0" t="s">
        <v>20</v>
      </c>
      <c r="H3063" s="0" t="n">
        <v>12</v>
      </c>
      <c r="I3063" s="0" t="s">
        <v>10230</v>
      </c>
      <c r="J3063" s="0" t="s">
        <v>10231</v>
      </c>
      <c r="K3063" s="0" t="s">
        <v>10232</v>
      </c>
      <c r="L3063" s="0" t="str">
        <f aca="false">HYPERLINK("https://www.ncbi.nlm.nih.gov/nuccore/CP000058.1?report=graph&amp;tracks=[key:gene_model_track,Options:GeneOnly]&amp;mk=993471:993490|offset_12|00cc00,993556:993575|offset_97|444444,993581:993600|offset_122|444444,993631:993650|offset_172|444444&amp;v=993270:993850&amp;c=444444", "offset 12")</f>
        <v>offset 12</v>
      </c>
    </row>
    <row r="3064" customFormat="false" ht="12.8" hidden="false" customHeight="false" outlineLevel="0" collapsed="false">
      <c r="A3064" s="0" t="s">
        <v>12</v>
      </c>
      <c r="B3064" s="0" t="n">
        <v>993555</v>
      </c>
      <c r="C3064" s="0" t="n">
        <v>993575</v>
      </c>
      <c r="D3064" s="0" t="s">
        <v>10229</v>
      </c>
      <c r="E3064" s="0" t="s">
        <v>75</v>
      </c>
      <c r="F3064" s="0" t="s">
        <v>15</v>
      </c>
      <c r="G3064" s="0" t="s">
        <v>32</v>
      </c>
      <c r="H3064" s="0" t="n">
        <v>97</v>
      </c>
      <c r="I3064" s="0" t="s">
        <v>10233</v>
      </c>
      <c r="J3064" s="0" t="s">
        <v>10234</v>
      </c>
      <c r="K3064" s="0" t="s">
        <v>10235</v>
      </c>
      <c r="L3064" s="0" t="str">
        <f aca="false">HYPERLINK("https://www.ncbi.nlm.nih.gov/nuccore/CP000058.1?report=graph&amp;tracks=[key:gene_model_track,Options:GeneOnly]&amp;mk=993471:993490|offset_12|444444,993556:993575|offset_97|00cc00,993581:993600|offset_122|444444,993631:993650|offset_172|444444&amp;v=993270:993850&amp;c=444444", "offset 97")</f>
        <v>offset 97</v>
      </c>
    </row>
    <row r="3065" customFormat="false" ht="12.8" hidden="false" customHeight="false" outlineLevel="0" collapsed="false">
      <c r="A3065" s="0" t="s">
        <v>12</v>
      </c>
      <c r="B3065" s="0" t="n">
        <v>993580</v>
      </c>
      <c r="C3065" s="0" t="n">
        <v>993600</v>
      </c>
      <c r="D3065" s="0" t="s">
        <v>10229</v>
      </c>
      <c r="E3065" s="0" t="s">
        <v>75</v>
      </c>
      <c r="F3065" s="0" t="s">
        <v>15</v>
      </c>
      <c r="G3065" s="0" t="s">
        <v>20</v>
      </c>
      <c r="H3065" s="0" t="n">
        <v>122</v>
      </c>
      <c r="I3065" s="0" t="s">
        <v>10236</v>
      </c>
      <c r="J3065" s="0" t="s">
        <v>10237</v>
      </c>
      <c r="K3065" s="0" t="s">
        <v>10238</v>
      </c>
      <c r="L3065" s="0" t="str">
        <f aca="false">HYPERLINK("https://www.ncbi.nlm.nih.gov/nuccore/CP000058.1?report=graph&amp;tracks=[key:gene_model_track,Options:GeneOnly]&amp;mk=993471:993490|offset_12|444444,993556:993575|offset_97|444444,993581:993600|offset_122|00cc00,993631:993650|offset_172|444444&amp;v=993270:993850&amp;c=444444", "offset 122")</f>
        <v>offset 122</v>
      </c>
    </row>
    <row r="3066" customFormat="false" ht="12.8" hidden="false" customHeight="false" outlineLevel="0" collapsed="false">
      <c r="A3066" s="0" t="s">
        <v>12</v>
      </c>
      <c r="B3066" s="0" t="n">
        <v>993630</v>
      </c>
      <c r="C3066" s="0" t="n">
        <v>993650</v>
      </c>
      <c r="D3066" s="0" t="s">
        <v>10229</v>
      </c>
      <c r="E3066" s="0" t="s">
        <v>75</v>
      </c>
      <c r="F3066" s="0" t="s">
        <v>15</v>
      </c>
      <c r="G3066" s="0" t="s">
        <v>16</v>
      </c>
      <c r="H3066" s="0" t="n">
        <v>172</v>
      </c>
      <c r="I3066" s="0" t="s">
        <v>10239</v>
      </c>
      <c r="J3066" s="0" t="s">
        <v>10240</v>
      </c>
      <c r="K3066" s="0" t="s">
        <v>10241</v>
      </c>
      <c r="L3066" s="0" t="str">
        <f aca="false">HYPERLINK("https://www.ncbi.nlm.nih.gov/nuccore/CP000058.1?report=graph&amp;tracks=[key:gene_model_track,Options:GeneOnly]&amp;mk=993471:993490|offset_12|444444,993556:993575|offset_97|444444,993581:993600|offset_122|444444,993631:993650|offset_172|00cc00&amp;v=993270:993850&amp;c=444444", "offset 172")</f>
        <v>offset 172</v>
      </c>
    </row>
    <row r="3067" customFormat="false" ht="12.8" hidden="false" customHeight="false" outlineLevel="0" collapsed="false">
      <c r="A3067" s="0" t="s">
        <v>12</v>
      </c>
      <c r="B3067" s="0" t="n">
        <v>994559</v>
      </c>
      <c r="C3067" s="0" t="n">
        <v>994579</v>
      </c>
      <c r="D3067" s="0" t="s">
        <v>10242</v>
      </c>
      <c r="E3067" s="0" t="s">
        <v>75</v>
      </c>
      <c r="F3067" s="0" t="s">
        <v>15</v>
      </c>
      <c r="G3067" s="0" t="s">
        <v>20</v>
      </c>
      <c r="H3067" s="0" t="n">
        <v>7</v>
      </c>
      <c r="I3067" s="0" t="s">
        <v>10243</v>
      </c>
      <c r="J3067" s="0" t="s">
        <v>10244</v>
      </c>
      <c r="K3067" s="0" t="s">
        <v>10245</v>
      </c>
      <c r="L3067" s="0" t="str">
        <f aca="false">HYPERLINK("https://www.ncbi.nlm.nih.gov/nuccore/CP000058.1?report=graph&amp;tracks=[key:gene_model_track,Options:GeneOnly]&amp;mk=994560:994579|offset_7|00cc00,994601:994620|offset_48|444444,994649:994668|offset_96|444444,994675:994694|offset_122|444444&amp;v=994359:994894&amp;c=444444", "offset 7")</f>
        <v>offset 7</v>
      </c>
    </row>
    <row r="3068" customFormat="false" ht="12.8" hidden="false" customHeight="false" outlineLevel="0" collapsed="false">
      <c r="A3068" s="0" t="s">
        <v>12</v>
      </c>
      <c r="B3068" s="0" t="n">
        <v>994600</v>
      </c>
      <c r="C3068" s="0" t="n">
        <v>994620</v>
      </c>
      <c r="D3068" s="0" t="s">
        <v>10242</v>
      </c>
      <c r="E3068" s="0" t="s">
        <v>75</v>
      </c>
      <c r="F3068" s="0" t="s">
        <v>15</v>
      </c>
      <c r="G3068" s="0" t="s">
        <v>36</v>
      </c>
      <c r="H3068" s="0" t="n">
        <v>48</v>
      </c>
      <c r="I3068" s="0" t="s">
        <v>10246</v>
      </c>
      <c r="J3068" s="0" t="s">
        <v>10247</v>
      </c>
      <c r="K3068" s="0" t="s">
        <v>10248</v>
      </c>
      <c r="L3068" s="0" t="str">
        <f aca="false">HYPERLINK("https://www.ncbi.nlm.nih.gov/nuccore/CP000058.1?report=graph&amp;tracks=[key:gene_model_track,Options:GeneOnly]&amp;mk=994560:994579|offset_7|444444,994601:994620|offset_48|00cc00,994649:994668|offset_96|444444,994675:994694|offset_122|444444&amp;v=994359:994894&amp;c=444444", "offset 48")</f>
        <v>offset 48</v>
      </c>
    </row>
    <row r="3069" customFormat="false" ht="12.8" hidden="false" customHeight="false" outlineLevel="0" collapsed="false">
      <c r="A3069" s="0" t="s">
        <v>12</v>
      </c>
      <c r="B3069" s="0" t="n">
        <v>994648</v>
      </c>
      <c r="C3069" s="0" t="n">
        <v>994668</v>
      </c>
      <c r="D3069" s="0" t="s">
        <v>10242</v>
      </c>
      <c r="E3069" s="0" t="s">
        <v>75</v>
      </c>
      <c r="F3069" s="0" t="s">
        <v>15</v>
      </c>
      <c r="G3069" s="0" t="s">
        <v>36</v>
      </c>
      <c r="H3069" s="0" t="n">
        <v>96</v>
      </c>
      <c r="I3069" s="0" t="s">
        <v>10249</v>
      </c>
      <c r="J3069" s="0" t="s">
        <v>10250</v>
      </c>
      <c r="K3069" s="0" t="s">
        <v>10251</v>
      </c>
      <c r="L3069" s="0" t="str">
        <f aca="false">HYPERLINK("https://www.ncbi.nlm.nih.gov/nuccore/CP000058.1?report=graph&amp;tracks=[key:gene_model_track,Options:GeneOnly]&amp;mk=994560:994579|offset_7|444444,994601:994620|offset_48|444444,994649:994668|offset_96|00cc00,994675:994694|offset_122|444444&amp;v=994359:994894&amp;c=444444", "offset 96")</f>
        <v>offset 96</v>
      </c>
    </row>
    <row r="3070" customFormat="false" ht="12.8" hidden="false" customHeight="false" outlineLevel="0" collapsed="false">
      <c r="A3070" s="0" t="s">
        <v>12</v>
      </c>
      <c r="B3070" s="0" t="n">
        <v>994674</v>
      </c>
      <c r="C3070" s="0" t="n">
        <v>994694</v>
      </c>
      <c r="D3070" s="0" t="s">
        <v>10242</v>
      </c>
      <c r="E3070" s="0" t="s">
        <v>75</v>
      </c>
      <c r="F3070" s="0" t="s">
        <v>15</v>
      </c>
      <c r="G3070" s="0" t="s">
        <v>20</v>
      </c>
      <c r="H3070" s="0" t="n">
        <v>122</v>
      </c>
      <c r="I3070" s="0" t="s">
        <v>10252</v>
      </c>
      <c r="J3070" s="0" t="s">
        <v>10253</v>
      </c>
      <c r="K3070" s="0" t="s">
        <v>10254</v>
      </c>
      <c r="L3070" s="0" t="str">
        <f aca="false">HYPERLINK("https://www.ncbi.nlm.nih.gov/nuccore/CP000058.1?report=graph&amp;tracks=[key:gene_model_track,Options:GeneOnly]&amp;mk=994560:994579|offset_7|444444,994601:994620|offset_48|444444,994649:994668|offset_96|444444,994675:994694|offset_122|00cc00&amp;v=994359:994894&amp;c=444444", "offset 122")</f>
        <v>offset 122</v>
      </c>
    </row>
    <row r="3071" customFormat="false" ht="12.8" hidden="false" customHeight="false" outlineLevel="0" collapsed="false">
      <c r="A3071" s="0" t="s">
        <v>12</v>
      </c>
      <c r="B3071" s="0" t="n">
        <v>995586</v>
      </c>
      <c r="C3071" s="0" t="n">
        <v>995606</v>
      </c>
      <c r="D3071" s="0" t="s">
        <v>10255</v>
      </c>
      <c r="E3071" s="0" t="s">
        <v>75</v>
      </c>
      <c r="F3071" s="0" t="s">
        <v>15</v>
      </c>
      <c r="G3071" s="0" t="s">
        <v>20</v>
      </c>
      <c r="H3071" s="0" t="n">
        <v>14</v>
      </c>
      <c r="I3071" s="0" t="s">
        <v>10256</v>
      </c>
      <c r="J3071" s="0" t="s">
        <v>10257</v>
      </c>
      <c r="K3071" s="0" t="s">
        <v>10258</v>
      </c>
      <c r="L3071" s="0" t="str">
        <f aca="false">HYPERLINK("https://www.ncbi.nlm.nih.gov/nuccore/CP000058.1?report=graph&amp;tracks=[key:gene_model_track,Options:GeneOnly]&amp;mk=995587:995606|offset_14|00cc00,995616:995635|offset_43|444444,995642:995661|offset_69|444444,995673:995692|offset_100|444444&amp;v=995386:995892&amp;c=444444", "offset 14")</f>
        <v>offset 14</v>
      </c>
    </row>
    <row r="3072" customFormat="false" ht="12.8" hidden="false" customHeight="false" outlineLevel="0" collapsed="false">
      <c r="A3072" s="0" t="s">
        <v>12</v>
      </c>
      <c r="B3072" s="0" t="n">
        <v>995615</v>
      </c>
      <c r="C3072" s="0" t="n">
        <v>995635</v>
      </c>
      <c r="D3072" s="0" t="s">
        <v>10255</v>
      </c>
      <c r="E3072" s="0" t="s">
        <v>75</v>
      </c>
      <c r="F3072" s="0" t="s">
        <v>15</v>
      </c>
      <c r="G3072" s="0" t="s">
        <v>32</v>
      </c>
      <c r="H3072" s="0" t="n">
        <v>43</v>
      </c>
      <c r="I3072" s="0" t="s">
        <v>10259</v>
      </c>
      <c r="J3072" s="0" t="s">
        <v>10260</v>
      </c>
      <c r="K3072" s="0" t="s">
        <v>10261</v>
      </c>
      <c r="L3072" s="0" t="str">
        <f aca="false">HYPERLINK("https://www.ncbi.nlm.nih.gov/nuccore/CP000058.1?report=graph&amp;tracks=[key:gene_model_track,Options:GeneOnly]&amp;mk=995587:995606|offset_14|444444,995616:995635|offset_43|00cc00,995642:995661|offset_69|444444,995673:995692|offset_100|444444&amp;v=995386:995892&amp;c=444444", "offset 43")</f>
        <v>offset 43</v>
      </c>
    </row>
    <row r="3073" customFormat="false" ht="12.8" hidden="false" customHeight="false" outlineLevel="0" collapsed="false">
      <c r="A3073" s="0" t="s">
        <v>12</v>
      </c>
      <c r="B3073" s="0" t="n">
        <v>995641</v>
      </c>
      <c r="C3073" s="0" t="n">
        <v>995661</v>
      </c>
      <c r="D3073" s="0" t="s">
        <v>10255</v>
      </c>
      <c r="E3073" s="0" t="s">
        <v>75</v>
      </c>
      <c r="F3073" s="0" t="s">
        <v>15</v>
      </c>
      <c r="G3073" s="0" t="s">
        <v>20</v>
      </c>
      <c r="H3073" s="0" t="n">
        <v>69</v>
      </c>
      <c r="I3073" s="0" t="s">
        <v>10262</v>
      </c>
      <c r="J3073" s="0" t="s">
        <v>10263</v>
      </c>
      <c r="K3073" s="0" t="s">
        <v>10264</v>
      </c>
      <c r="L3073" s="0" t="str">
        <f aca="false">HYPERLINK("https://www.ncbi.nlm.nih.gov/nuccore/CP000058.1?report=graph&amp;tracks=[key:gene_model_track,Options:GeneOnly]&amp;mk=995587:995606|offset_14|444444,995616:995635|offset_43|444444,995642:995661|offset_69|00cc00,995673:995692|offset_100|444444&amp;v=995386:995892&amp;c=444444", "offset 69")</f>
        <v>offset 69</v>
      </c>
    </row>
    <row r="3074" customFormat="false" ht="12.8" hidden="false" customHeight="false" outlineLevel="0" collapsed="false">
      <c r="A3074" s="0" t="s">
        <v>12</v>
      </c>
      <c r="B3074" s="0" t="n">
        <v>995672</v>
      </c>
      <c r="C3074" s="0" t="n">
        <v>995692</v>
      </c>
      <c r="D3074" s="0" t="s">
        <v>10255</v>
      </c>
      <c r="E3074" s="0" t="s">
        <v>75</v>
      </c>
      <c r="F3074" s="0" t="s">
        <v>15</v>
      </c>
      <c r="G3074" s="0" t="s">
        <v>20</v>
      </c>
      <c r="H3074" s="0" t="n">
        <v>100</v>
      </c>
      <c r="I3074" s="0" t="s">
        <v>10265</v>
      </c>
      <c r="J3074" s="0" t="s">
        <v>10266</v>
      </c>
      <c r="K3074" s="0" t="s">
        <v>10267</v>
      </c>
      <c r="L3074" s="0" t="str">
        <f aca="false">HYPERLINK("https://www.ncbi.nlm.nih.gov/nuccore/CP000058.1?report=graph&amp;tracks=[key:gene_model_track,Options:GeneOnly]&amp;mk=995587:995606|offset_14|444444,995616:995635|offset_43|444444,995642:995661|offset_69|444444,995673:995692|offset_100|00cc00&amp;v=995386:995892&amp;c=444444", "offset 100")</f>
        <v>offset 100</v>
      </c>
    </row>
    <row r="3075" customFormat="false" ht="12.8" hidden="false" customHeight="false" outlineLevel="0" collapsed="false">
      <c r="A3075" s="0" t="s">
        <v>12</v>
      </c>
      <c r="B3075" s="0" t="n">
        <v>996323</v>
      </c>
      <c r="C3075" s="0" t="n">
        <v>996343</v>
      </c>
      <c r="D3075" s="0" t="s">
        <v>10268</v>
      </c>
      <c r="E3075" s="0" t="s">
        <v>10269</v>
      </c>
      <c r="F3075" s="0" t="s">
        <v>15</v>
      </c>
      <c r="G3075" s="0" t="s">
        <v>32</v>
      </c>
      <c r="H3075" s="0" t="n">
        <v>26</v>
      </c>
      <c r="I3075" s="0" t="s">
        <v>10270</v>
      </c>
      <c r="J3075" s="0" t="s">
        <v>10271</v>
      </c>
      <c r="K3075" s="0" t="s">
        <v>10272</v>
      </c>
      <c r="L3075" s="0" t="str">
        <f aca="false">HYPERLINK("https://www.ncbi.nlm.nih.gov/nuccore/CP000058.1?report=graph&amp;tracks=[key:gene_model_track,Options:GeneOnly]&amp;mk=996324:996343|offset_26|00cc00,996347:996366|offset_49|444444,996381:996400|offset_83|444444,996404:996423|offset_106|444444&amp;v=996123:996623&amp;c=444444", "offset 26")</f>
        <v>offset 26</v>
      </c>
    </row>
    <row r="3076" customFormat="false" ht="12.8" hidden="false" customHeight="false" outlineLevel="0" collapsed="false">
      <c r="A3076" s="0" t="s">
        <v>12</v>
      </c>
      <c r="B3076" s="0" t="n">
        <v>996346</v>
      </c>
      <c r="C3076" s="0" t="n">
        <v>996366</v>
      </c>
      <c r="D3076" s="0" t="s">
        <v>10268</v>
      </c>
      <c r="E3076" s="0" t="s">
        <v>10269</v>
      </c>
      <c r="F3076" s="0" t="s">
        <v>15</v>
      </c>
      <c r="G3076" s="0" t="s">
        <v>16</v>
      </c>
      <c r="H3076" s="0" t="n">
        <v>49</v>
      </c>
      <c r="I3076" s="0" t="s">
        <v>10273</v>
      </c>
      <c r="J3076" s="0" t="s">
        <v>10274</v>
      </c>
      <c r="K3076" s="0" t="s">
        <v>10275</v>
      </c>
      <c r="L3076" s="0" t="str">
        <f aca="false">HYPERLINK("https://www.ncbi.nlm.nih.gov/nuccore/CP000058.1?report=graph&amp;tracks=[key:gene_model_track,Options:GeneOnly]&amp;mk=996324:996343|offset_26|444444,996347:996366|offset_49|00cc00,996381:996400|offset_83|444444,996404:996423|offset_106|444444&amp;v=996123:996623&amp;c=444444", "offset 49")</f>
        <v>offset 49</v>
      </c>
    </row>
    <row r="3077" customFormat="false" ht="12.8" hidden="false" customHeight="false" outlineLevel="0" collapsed="false">
      <c r="A3077" s="0" t="s">
        <v>12</v>
      </c>
      <c r="B3077" s="0" t="n">
        <v>996380</v>
      </c>
      <c r="C3077" s="0" t="n">
        <v>996400</v>
      </c>
      <c r="D3077" s="0" t="s">
        <v>10268</v>
      </c>
      <c r="E3077" s="0" t="s">
        <v>10269</v>
      </c>
      <c r="F3077" s="0" t="s">
        <v>15</v>
      </c>
      <c r="G3077" s="0" t="s">
        <v>20</v>
      </c>
      <c r="H3077" s="0" t="n">
        <v>83</v>
      </c>
      <c r="I3077" s="0" t="s">
        <v>10276</v>
      </c>
      <c r="J3077" s="0" t="s">
        <v>10277</v>
      </c>
      <c r="K3077" s="0" t="s">
        <v>10278</v>
      </c>
      <c r="L3077" s="0" t="str">
        <f aca="false">HYPERLINK("https://www.ncbi.nlm.nih.gov/nuccore/CP000058.1?report=graph&amp;tracks=[key:gene_model_track,Options:GeneOnly]&amp;mk=996324:996343|offset_26|444444,996347:996366|offset_49|444444,996381:996400|offset_83|00cc00,996404:996423|offset_106|444444&amp;v=996123:996623&amp;c=444444", "offset 83")</f>
        <v>offset 83</v>
      </c>
    </row>
    <row r="3078" customFormat="false" ht="12.8" hidden="false" customHeight="false" outlineLevel="0" collapsed="false">
      <c r="A3078" s="0" t="s">
        <v>12</v>
      </c>
      <c r="B3078" s="0" t="n">
        <v>996403</v>
      </c>
      <c r="C3078" s="0" t="n">
        <v>996423</v>
      </c>
      <c r="D3078" s="0" t="s">
        <v>10268</v>
      </c>
      <c r="E3078" s="0" t="s">
        <v>10269</v>
      </c>
      <c r="F3078" s="0" t="s">
        <v>15</v>
      </c>
      <c r="G3078" s="0" t="s">
        <v>32</v>
      </c>
      <c r="H3078" s="0" t="n">
        <v>106</v>
      </c>
      <c r="I3078" s="0" t="s">
        <v>10279</v>
      </c>
      <c r="J3078" s="0" t="s">
        <v>10280</v>
      </c>
      <c r="K3078" s="0" t="s">
        <v>10281</v>
      </c>
      <c r="L3078" s="0" t="str">
        <f aca="false">HYPERLINK("https://www.ncbi.nlm.nih.gov/nuccore/CP000058.1?report=graph&amp;tracks=[key:gene_model_track,Options:GeneOnly]&amp;mk=996324:996343|offset_26|444444,996347:996366|offset_49|444444,996381:996400|offset_83|444444,996404:996423|offset_106|00cc00&amp;v=996123:996623&amp;c=444444", "offset 106")</f>
        <v>offset 106</v>
      </c>
    </row>
    <row r="3079" customFormat="false" ht="12.8" hidden="false" customHeight="false" outlineLevel="0" collapsed="false">
      <c r="A3079" s="0" t="s">
        <v>12</v>
      </c>
      <c r="B3079" s="0" t="n">
        <v>996894</v>
      </c>
      <c r="C3079" s="0" t="n">
        <v>996914</v>
      </c>
      <c r="D3079" s="0" t="s">
        <v>10282</v>
      </c>
      <c r="E3079" s="0" t="s">
        <v>10283</v>
      </c>
      <c r="F3079" s="0" t="s">
        <v>15</v>
      </c>
      <c r="G3079" s="0" t="s">
        <v>36</v>
      </c>
      <c r="H3079" s="0" t="n">
        <v>7</v>
      </c>
      <c r="I3079" s="0" t="s">
        <v>10284</v>
      </c>
      <c r="J3079" s="0" t="s">
        <v>10285</v>
      </c>
      <c r="K3079" s="0" t="s">
        <v>10286</v>
      </c>
      <c r="L3079" s="0" t="str">
        <f aca="false">HYPERLINK("https://www.ncbi.nlm.nih.gov/nuccore/CP000058.1?report=graph&amp;tracks=[key:gene_model_track,Options:GeneOnly]&amp;mk=996895:996914|offset_7|00cc00,996921:996940|offset_33|444444,996961:996980|offset_73|444444,996998:997017|offset_110|444444&amp;v=996694:997217&amp;c=444444", "offset 7")</f>
        <v>offset 7</v>
      </c>
    </row>
    <row r="3080" customFormat="false" ht="12.8" hidden="false" customHeight="false" outlineLevel="0" collapsed="false">
      <c r="A3080" s="0" t="s">
        <v>12</v>
      </c>
      <c r="B3080" s="0" t="n">
        <v>996920</v>
      </c>
      <c r="C3080" s="0" t="n">
        <v>996940</v>
      </c>
      <c r="D3080" s="0" t="s">
        <v>10282</v>
      </c>
      <c r="E3080" s="0" t="s">
        <v>10283</v>
      </c>
      <c r="F3080" s="0" t="s">
        <v>15</v>
      </c>
      <c r="G3080" s="0" t="s">
        <v>32</v>
      </c>
      <c r="H3080" s="0" t="n">
        <v>33</v>
      </c>
      <c r="I3080" s="0" t="s">
        <v>10287</v>
      </c>
      <c r="J3080" s="0" t="s">
        <v>10288</v>
      </c>
      <c r="K3080" s="0" t="s">
        <v>10289</v>
      </c>
      <c r="L3080" s="0" t="str">
        <f aca="false">HYPERLINK("https://www.ncbi.nlm.nih.gov/nuccore/CP000058.1?report=graph&amp;tracks=[key:gene_model_track,Options:GeneOnly]&amp;mk=996895:996914|offset_7|444444,996921:996940|offset_33|00cc00,996961:996980|offset_73|444444,996998:997017|offset_110|444444&amp;v=996694:997217&amp;c=444444", "offset 33")</f>
        <v>offset 33</v>
      </c>
    </row>
    <row r="3081" customFormat="false" ht="12.8" hidden="false" customHeight="false" outlineLevel="0" collapsed="false">
      <c r="A3081" s="0" t="s">
        <v>12</v>
      </c>
      <c r="B3081" s="0" t="n">
        <v>996960</v>
      </c>
      <c r="C3081" s="0" t="n">
        <v>996980</v>
      </c>
      <c r="D3081" s="0" t="s">
        <v>10282</v>
      </c>
      <c r="E3081" s="0" t="s">
        <v>10283</v>
      </c>
      <c r="F3081" s="0" t="s">
        <v>15</v>
      </c>
      <c r="G3081" s="0" t="s">
        <v>36</v>
      </c>
      <c r="H3081" s="0" t="n">
        <v>73</v>
      </c>
      <c r="I3081" s="0" t="s">
        <v>10290</v>
      </c>
      <c r="J3081" s="0" t="s">
        <v>10291</v>
      </c>
      <c r="K3081" s="0" t="s">
        <v>10292</v>
      </c>
      <c r="L3081" s="0" t="str">
        <f aca="false">HYPERLINK("https://www.ncbi.nlm.nih.gov/nuccore/CP000058.1?report=graph&amp;tracks=[key:gene_model_track,Options:GeneOnly]&amp;mk=996895:996914|offset_7|444444,996921:996940|offset_33|444444,996961:996980|offset_73|00cc00,996998:997017|offset_110|444444&amp;v=996694:997217&amp;c=444444", "offset 73")</f>
        <v>offset 73</v>
      </c>
    </row>
    <row r="3082" customFormat="false" ht="12.8" hidden="false" customHeight="false" outlineLevel="0" collapsed="false">
      <c r="A3082" s="0" t="s">
        <v>12</v>
      </c>
      <c r="B3082" s="0" t="n">
        <v>996997</v>
      </c>
      <c r="C3082" s="0" t="n">
        <v>997017</v>
      </c>
      <c r="D3082" s="0" t="s">
        <v>10282</v>
      </c>
      <c r="E3082" s="0" t="s">
        <v>10283</v>
      </c>
      <c r="F3082" s="0" t="s">
        <v>15</v>
      </c>
      <c r="G3082" s="0" t="s">
        <v>20</v>
      </c>
      <c r="H3082" s="0" t="n">
        <v>110</v>
      </c>
      <c r="I3082" s="0" t="s">
        <v>10293</v>
      </c>
      <c r="J3082" s="0" t="s">
        <v>10294</v>
      </c>
      <c r="K3082" s="0" t="s">
        <v>10295</v>
      </c>
      <c r="L3082" s="0" t="str">
        <f aca="false">HYPERLINK("https://www.ncbi.nlm.nih.gov/nuccore/CP000058.1?report=graph&amp;tracks=[key:gene_model_track,Options:GeneOnly]&amp;mk=996895:996914|offset_7|444444,996921:996940|offset_33|444444,996961:996980|offset_73|444444,996998:997017|offset_110|00cc00&amp;v=996694:997217&amp;c=444444", "offset 110")</f>
        <v>offset 110</v>
      </c>
    </row>
    <row r="3083" customFormat="false" ht="12.8" hidden="false" customHeight="false" outlineLevel="0" collapsed="false">
      <c r="A3083" s="0" t="s">
        <v>12</v>
      </c>
      <c r="B3083" s="0" t="n">
        <v>998227</v>
      </c>
      <c r="C3083" s="0" t="n">
        <v>998247</v>
      </c>
      <c r="D3083" s="0" t="s">
        <v>10296</v>
      </c>
      <c r="E3083" s="0" t="s">
        <v>10297</v>
      </c>
      <c r="F3083" s="0" t="s">
        <v>15</v>
      </c>
      <c r="G3083" s="0" t="s">
        <v>16</v>
      </c>
      <c r="H3083" s="0" t="n">
        <v>77</v>
      </c>
      <c r="I3083" s="0" t="s">
        <v>10298</v>
      </c>
      <c r="J3083" s="0" t="s">
        <v>10299</v>
      </c>
      <c r="K3083" s="0" t="s">
        <v>10300</v>
      </c>
      <c r="L3083" s="0" t="str">
        <f aca="false">HYPERLINK("https://www.ncbi.nlm.nih.gov/nuccore/CP000058.1?report=graph&amp;tracks=[key:gene_model_track,Options:GeneOnly]&amp;mk=998228:998247|offset_77|00cc00,998254:998273|offset_103|444444,998275:998294|offset_124|444444,998296:998315|offset_145|444444&amp;v=998027:998515&amp;c=444444", "offset 77")</f>
        <v>offset 77</v>
      </c>
    </row>
    <row r="3084" customFormat="false" ht="12.8" hidden="false" customHeight="false" outlineLevel="0" collapsed="false">
      <c r="A3084" s="0" t="s">
        <v>12</v>
      </c>
      <c r="B3084" s="0" t="n">
        <v>998253</v>
      </c>
      <c r="C3084" s="0" t="n">
        <v>998273</v>
      </c>
      <c r="D3084" s="0" t="s">
        <v>10296</v>
      </c>
      <c r="E3084" s="0" t="s">
        <v>10297</v>
      </c>
      <c r="F3084" s="0" t="s">
        <v>15</v>
      </c>
      <c r="G3084" s="0" t="s">
        <v>16</v>
      </c>
      <c r="H3084" s="0" t="n">
        <v>103</v>
      </c>
      <c r="I3084" s="0" t="s">
        <v>10301</v>
      </c>
      <c r="J3084" s="0" t="s">
        <v>10302</v>
      </c>
      <c r="K3084" s="0" t="s">
        <v>10303</v>
      </c>
      <c r="L3084" s="0" t="str">
        <f aca="false">HYPERLINK("https://www.ncbi.nlm.nih.gov/nuccore/CP000058.1?report=graph&amp;tracks=[key:gene_model_track,Options:GeneOnly]&amp;mk=998228:998247|offset_77|444444,998254:998273|offset_103|00cc00,998275:998294|offset_124|444444,998296:998315|offset_145|444444&amp;v=998027:998515&amp;c=444444", "offset 103")</f>
        <v>offset 103</v>
      </c>
    </row>
    <row r="3085" customFormat="false" ht="12.8" hidden="false" customHeight="false" outlineLevel="0" collapsed="false">
      <c r="A3085" s="0" t="s">
        <v>12</v>
      </c>
      <c r="B3085" s="0" t="n">
        <v>998274</v>
      </c>
      <c r="C3085" s="0" t="n">
        <v>998294</v>
      </c>
      <c r="D3085" s="0" t="s">
        <v>10296</v>
      </c>
      <c r="E3085" s="0" t="s">
        <v>10297</v>
      </c>
      <c r="F3085" s="0" t="s">
        <v>15</v>
      </c>
      <c r="G3085" s="0" t="s">
        <v>16</v>
      </c>
      <c r="H3085" s="0" t="n">
        <v>124</v>
      </c>
      <c r="I3085" s="0" t="s">
        <v>10304</v>
      </c>
      <c r="J3085" s="0" t="s">
        <v>10305</v>
      </c>
      <c r="K3085" s="0" t="s">
        <v>10306</v>
      </c>
      <c r="L3085" s="0" t="str">
        <f aca="false">HYPERLINK("https://www.ncbi.nlm.nih.gov/nuccore/CP000058.1?report=graph&amp;tracks=[key:gene_model_track,Options:GeneOnly]&amp;mk=998228:998247|offset_77|444444,998254:998273|offset_103|444444,998275:998294|offset_124|00cc00,998296:998315|offset_145|444444&amp;v=998027:998515&amp;c=444444", "offset 124")</f>
        <v>offset 124</v>
      </c>
    </row>
    <row r="3086" customFormat="false" ht="12.8" hidden="false" customHeight="false" outlineLevel="0" collapsed="false">
      <c r="A3086" s="0" t="s">
        <v>12</v>
      </c>
      <c r="B3086" s="0" t="n">
        <v>998295</v>
      </c>
      <c r="C3086" s="0" t="n">
        <v>998315</v>
      </c>
      <c r="D3086" s="0" t="s">
        <v>10296</v>
      </c>
      <c r="E3086" s="0" t="s">
        <v>10297</v>
      </c>
      <c r="F3086" s="0" t="s">
        <v>15</v>
      </c>
      <c r="G3086" s="0" t="s">
        <v>32</v>
      </c>
      <c r="H3086" s="0" t="n">
        <v>145</v>
      </c>
      <c r="I3086" s="0" t="s">
        <v>10307</v>
      </c>
      <c r="J3086" s="0" t="s">
        <v>10308</v>
      </c>
      <c r="K3086" s="0" t="s">
        <v>10309</v>
      </c>
      <c r="L3086" s="0" t="str">
        <f aca="false">HYPERLINK("https://www.ncbi.nlm.nih.gov/nuccore/CP000058.1?report=graph&amp;tracks=[key:gene_model_track,Options:GeneOnly]&amp;mk=998228:998247|offset_77|444444,998254:998273|offset_103|444444,998275:998294|offset_124|444444,998296:998315|offset_145|00cc00&amp;v=998027:998515&amp;c=444444", "offset 145")</f>
        <v>offset 145</v>
      </c>
    </row>
    <row r="3087" customFormat="false" ht="12.8" hidden="false" customHeight="false" outlineLevel="0" collapsed="false">
      <c r="A3087" s="0" t="s">
        <v>12</v>
      </c>
      <c r="B3087" s="0" t="n">
        <v>998639</v>
      </c>
      <c r="C3087" s="0" t="n">
        <v>998659</v>
      </c>
      <c r="D3087" s="0" t="s">
        <v>10310</v>
      </c>
      <c r="E3087" s="0" t="s">
        <v>10311</v>
      </c>
      <c r="F3087" s="0" t="s">
        <v>15</v>
      </c>
      <c r="G3087" s="0" t="s">
        <v>20</v>
      </c>
      <c r="H3087" s="0" t="n">
        <v>13</v>
      </c>
      <c r="I3087" s="0" t="s">
        <v>10312</v>
      </c>
      <c r="J3087" s="0" t="s">
        <v>10313</v>
      </c>
      <c r="K3087" s="0" t="s">
        <v>10314</v>
      </c>
      <c r="L3087" s="0" t="str">
        <f aca="false">HYPERLINK("https://www.ncbi.nlm.nih.gov/nuccore/CP000058.1?report=graph&amp;tracks=[key:gene_model_track,Options:GeneOnly]&amp;mk=998640:998659|offset_13|00cc00,998683:998702|offset_56|444444,998718:998737|offset_91|444444,998742:998761|offset_115|444444&amp;v=998439:998961&amp;c=444444", "offset 13")</f>
        <v>offset 13</v>
      </c>
    </row>
    <row r="3088" customFormat="false" ht="12.8" hidden="false" customHeight="false" outlineLevel="0" collapsed="false">
      <c r="A3088" s="0" t="s">
        <v>12</v>
      </c>
      <c r="B3088" s="0" t="n">
        <v>998682</v>
      </c>
      <c r="C3088" s="0" t="n">
        <v>998702</v>
      </c>
      <c r="D3088" s="0" t="s">
        <v>10310</v>
      </c>
      <c r="E3088" s="0" t="s">
        <v>10311</v>
      </c>
      <c r="F3088" s="0" t="s">
        <v>15</v>
      </c>
      <c r="G3088" s="0" t="s">
        <v>20</v>
      </c>
      <c r="H3088" s="0" t="n">
        <v>56</v>
      </c>
      <c r="I3088" s="0" t="s">
        <v>10315</v>
      </c>
      <c r="J3088" s="0" t="s">
        <v>10316</v>
      </c>
      <c r="K3088" s="0" t="s">
        <v>10317</v>
      </c>
      <c r="L3088" s="0" t="str">
        <f aca="false">HYPERLINK("https://www.ncbi.nlm.nih.gov/nuccore/CP000058.1?report=graph&amp;tracks=[key:gene_model_track,Options:GeneOnly]&amp;mk=998640:998659|offset_13|444444,998683:998702|offset_56|00cc00,998718:998737|offset_91|444444,998742:998761|offset_115|444444&amp;v=998439:998961&amp;c=444444", "offset 56")</f>
        <v>offset 56</v>
      </c>
    </row>
    <row r="3089" customFormat="false" ht="12.8" hidden="false" customHeight="false" outlineLevel="0" collapsed="false">
      <c r="A3089" s="0" t="s">
        <v>12</v>
      </c>
      <c r="B3089" s="0" t="n">
        <v>998717</v>
      </c>
      <c r="C3089" s="0" t="n">
        <v>998737</v>
      </c>
      <c r="D3089" s="0" t="s">
        <v>10310</v>
      </c>
      <c r="E3089" s="0" t="s">
        <v>10311</v>
      </c>
      <c r="F3089" s="0" t="s">
        <v>15</v>
      </c>
      <c r="G3089" s="0" t="s">
        <v>36</v>
      </c>
      <c r="H3089" s="0" t="n">
        <v>91</v>
      </c>
      <c r="I3089" s="0" t="s">
        <v>10318</v>
      </c>
      <c r="J3089" s="0" t="s">
        <v>10319</v>
      </c>
      <c r="K3089" s="0" t="s">
        <v>10320</v>
      </c>
      <c r="L3089" s="0" t="str">
        <f aca="false">HYPERLINK("https://www.ncbi.nlm.nih.gov/nuccore/CP000058.1?report=graph&amp;tracks=[key:gene_model_track,Options:GeneOnly]&amp;mk=998640:998659|offset_13|444444,998683:998702|offset_56|444444,998718:998737|offset_91|00cc00,998742:998761|offset_115|444444&amp;v=998439:998961&amp;c=444444", "offset 91")</f>
        <v>offset 91</v>
      </c>
    </row>
    <row r="3090" customFormat="false" ht="12.8" hidden="false" customHeight="false" outlineLevel="0" collapsed="false">
      <c r="A3090" s="0" t="s">
        <v>12</v>
      </c>
      <c r="B3090" s="0" t="n">
        <v>998741</v>
      </c>
      <c r="C3090" s="0" t="n">
        <v>998761</v>
      </c>
      <c r="D3090" s="0" t="s">
        <v>10310</v>
      </c>
      <c r="E3090" s="0" t="s">
        <v>10311</v>
      </c>
      <c r="F3090" s="0" t="s">
        <v>15</v>
      </c>
      <c r="G3090" s="0" t="s">
        <v>36</v>
      </c>
      <c r="H3090" s="0" t="n">
        <v>115</v>
      </c>
      <c r="I3090" s="0" t="s">
        <v>10321</v>
      </c>
      <c r="J3090" s="0" t="s">
        <v>10322</v>
      </c>
      <c r="K3090" s="0" t="s">
        <v>10323</v>
      </c>
      <c r="L3090" s="0" t="str">
        <f aca="false">HYPERLINK("https://www.ncbi.nlm.nih.gov/nuccore/CP000058.1?report=graph&amp;tracks=[key:gene_model_track,Options:GeneOnly]&amp;mk=998640:998659|offset_13|444444,998683:998702|offset_56|444444,998718:998737|offset_91|444444,998742:998761|offset_115|00cc00&amp;v=998439:998961&amp;c=444444", "offset 115")</f>
        <v>offset 115</v>
      </c>
    </row>
    <row r="3091" customFormat="false" ht="12.8" hidden="false" customHeight="false" outlineLevel="0" collapsed="false">
      <c r="A3091" s="0" t="s">
        <v>12</v>
      </c>
      <c r="B3091" s="0" t="n">
        <v>999720</v>
      </c>
      <c r="C3091" s="0" t="n">
        <v>999740</v>
      </c>
      <c r="D3091" s="0" t="s">
        <v>10324</v>
      </c>
      <c r="E3091" s="0" t="s">
        <v>10325</v>
      </c>
      <c r="F3091" s="0" t="s">
        <v>15</v>
      </c>
      <c r="G3091" s="0" t="s">
        <v>20</v>
      </c>
      <c r="H3091" s="0" t="n">
        <v>32</v>
      </c>
      <c r="I3091" s="0" t="s">
        <v>10326</v>
      </c>
      <c r="J3091" s="0" t="s">
        <v>10327</v>
      </c>
      <c r="K3091" s="0" t="s">
        <v>10328</v>
      </c>
      <c r="L3091" s="0" t="str">
        <f aca="false">HYPERLINK("https://www.ncbi.nlm.nih.gov/nuccore/CP000058.1?report=graph&amp;tracks=[key:gene_model_track,Options:GeneOnly]&amp;mk=999721:999740|offset_32|00cc00,999742:999761|offset_53|444444,999782:999801|offset_93|444444,999811:999830|offset_122|444444&amp;v=999520:1000030&amp;c=444444", "offset 32")</f>
        <v>offset 32</v>
      </c>
    </row>
    <row r="3092" customFormat="false" ht="12.8" hidden="false" customHeight="false" outlineLevel="0" collapsed="false">
      <c r="A3092" s="0" t="s">
        <v>12</v>
      </c>
      <c r="B3092" s="0" t="n">
        <v>999741</v>
      </c>
      <c r="C3092" s="0" t="n">
        <v>999761</v>
      </c>
      <c r="D3092" s="0" t="s">
        <v>10324</v>
      </c>
      <c r="E3092" s="0" t="s">
        <v>10325</v>
      </c>
      <c r="F3092" s="0" t="s">
        <v>15</v>
      </c>
      <c r="G3092" s="0" t="s">
        <v>36</v>
      </c>
      <c r="H3092" s="0" t="n">
        <v>53</v>
      </c>
      <c r="I3092" s="0" t="s">
        <v>10329</v>
      </c>
      <c r="J3092" s="0" t="s">
        <v>10330</v>
      </c>
      <c r="K3092" s="0" t="s">
        <v>10331</v>
      </c>
      <c r="L3092" s="0" t="str">
        <f aca="false">HYPERLINK("https://www.ncbi.nlm.nih.gov/nuccore/CP000058.1?report=graph&amp;tracks=[key:gene_model_track,Options:GeneOnly]&amp;mk=999721:999740|offset_32|444444,999742:999761|offset_53|00cc00,999782:999801|offset_93|444444,999811:999830|offset_122|444444&amp;v=999520:1000030&amp;c=444444", "offset 53")</f>
        <v>offset 53</v>
      </c>
    </row>
    <row r="3093" customFormat="false" ht="12.8" hidden="false" customHeight="false" outlineLevel="0" collapsed="false">
      <c r="A3093" s="0" t="s">
        <v>12</v>
      </c>
      <c r="B3093" s="0" t="n">
        <v>999781</v>
      </c>
      <c r="C3093" s="0" t="n">
        <v>999801</v>
      </c>
      <c r="D3093" s="0" t="s">
        <v>10324</v>
      </c>
      <c r="E3093" s="0" t="s">
        <v>10325</v>
      </c>
      <c r="F3093" s="0" t="s">
        <v>15</v>
      </c>
      <c r="G3093" s="0" t="s">
        <v>16</v>
      </c>
      <c r="H3093" s="0" t="n">
        <v>93</v>
      </c>
      <c r="I3093" s="0" t="s">
        <v>10332</v>
      </c>
      <c r="J3093" s="0" t="s">
        <v>10333</v>
      </c>
      <c r="K3093" s="0" t="s">
        <v>10334</v>
      </c>
      <c r="L3093" s="0" t="str">
        <f aca="false">HYPERLINK("https://www.ncbi.nlm.nih.gov/nuccore/CP000058.1?report=graph&amp;tracks=[key:gene_model_track,Options:GeneOnly]&amp;mk=999721:999740|offset_32|444444,999742:999761|offset_53|444444,999782:999801|offset_93|00cc00,999811:999830|offset_122|444444&amp;v=999520:1000030&amp;c=444444", "offset 93")</f>
        <v>offset 93</v>
      </c>
    </row>
    <row r="3094" customFormat="false" ht="12.8" hidden="false" customHeight="false" outlineLevel="0" collapsed="false">
      <c r="A3094" s="0" t="s">
        <v>12</v>
      </c>
      <c r="B3094" s="0" t="n">
        <v>999810</v>
      </c>
      <c r="C3094" s="0" t="n">
        <v>999830</v>
      </c>
      <c r="D3094" s="0" t="s">
        <v>10324</v>
      </c>
      <c r="E3094" s="0" t="s">
        <v>10325</v>
      </c>
      <c r="F3094" s="0" t="s">
        <v>15</v>
      </c>
      <c r="G3094" s="0" t="s">
        <v>20</v>
      </c>
      <c r="H3094" s="0" t="n">
        <v>122</v>
      </c>
      <c r="I3094" s="0" t="s">
        <v>10335</v>
      </c>
      <c r="J3094" s="0" t="s">
        <v>10336</v>
      </c>
      <c r="K3094" s="0" t="s">
        <v>10337</v>
      </c>
      <c r="L3094" s="0" t="str">
        <f aca="false">HYPERLINK("https://www.ncbi.nlm.nih.gov/nuccore/CP000058.1?report=graph&amp;tracks=[key:gene_model_track,Options:GeneOnly]&amp;mk=999721:999740|offset_32|444444,999742:999761|offset_53|444444,999782:999801|offset_93|444444,999811:999830|offset_122|00cc00&amp;v=999520:1000030&amp;c=444444", "offset 122")</f>
        <v>offset 122</v>
      </c>
    </row>
    <row r="3095" customFormat="false" ht="12.8" hidden="false" customHeight="false" outlineLevel="0" collapsed="false">
      <c r="A3095" s="0" t="s">
        <v>12</v>
      </c>
      <c r="B3095" s="0" t="n">
        <v>1000355</v>
      </c>
      <c r="C3095" s="0" t="n">
        <v>1000375</v>
      </c>
      <c r="D3095" s="0" t="s">
        <v>10338</v>
      </c>
      <c r="E3095" s="0" t="s">
        <v>10339</v>
      </c>
      <c r="F3095" s="0" t="s">
        <v>15</v>
      </c>
      <c r="G3095" s="0" t="s">
        <v>16</v>
      </c>
      <c r="H3095" s="0" t="n">
        <v>54</v>
      </c>
      <c r="I3095" s="0" t="s">
        <v>10340</v>
      </c>
      <c r="J3095" s="0" t="s">
        <v>10341</v>
      </c>
      <c r="K3095" s="0" t="s">
        <v>10342</v>
      </c>
      <c r="L3095" s="0" t="str">
        <f aca="false">HYPERLINK("https://www.ncbi.nlm.nih.gov/nuccore/CP000058.1?report=graph&amp;tracks=[key:gene_model_track,Options:GeneOnly]&amp;mk=1000356:1000375|offset_54|00cc00,1000395:1000414|offset_93|444444,1000424:1000443|offset_122|444444,1000510:1000529|offset_208|444444&amp;v=1000155:1000729&amp;c=444444", "offset 54")</f>
        <v>offset 54</v>
      </c>
    </row>
    <row r="3096" customFormat="false" ht="12.8" hidden="false" customHeight="false" outlineLevel="0" collapsed="false">
      <c r="A3096" s="0" t="s">
        <v>12</v>
      </c>
      <c r="B3096" s="0" t="n">
        <v>1000394</v>
      </c>
      <c r="C3096" s="0" t="n">
        <v>1000414</v>
      </c>
      <c r="D3096" s="0" t="s">
        <v>10338</v>
      </c>
      <c r="E3096" s="0" t="s">
        <v>10339</v>
      </c>
      <c r="F3096" s="0" t="s">
        <v>15</v>
      </c>
      <c r="G3096" s="0" t="s">
        <v>32</v>
      </c>
      <c r="H3096" s="0" t="n">
        <v>93</v>
      </c>
      <c r="I3096" s="0" t="s">
        <v>10343</v>
      </c>
      <c r="J3096" s="0" t="s">
        <v>10344</v>
      </c>
      <c r="K3096" s="0" t="s">
        <v>10345</v>
      </c>
      <c r="L3096" s="0" t="str">
        <f aca="false">HYPERLINK("https://www.ncbi.nlm.nih.gov/nuccore/CP000058.1?report=graph&amp;tracks=[key:gene_model_track,Options:GeneOnly]&amp;mk=1000356:1000375|offset_54|444444,1000395:1000414|offset_93|00cc00,1000424:1000443|offset_122|444444,1000510:1000529|offset_208|444444&amp;v=1000155:1000729&amp;c=444444", "offset 93")</f>
        <v>offset 93</v>
      </c>
    </row>
    <row r="3097" customFormat="false" ht="12.8" hidden="false" customHeight="false" outlineLevel="0" collapsed="false">
      <c r="A3097" s="0" t="s">
        <v>12</v>
      </c>
      <c r="B3097" s="0" t="n">
        <v>1000423</v>
      </c>
      <c r="C3097" s="0" t="n">
        <v>1000443</v>
      </c>
      <c r="D3097" s="0" t="s">
        <v>10338</v>
      </c>
      <c r="E3097" s="0" t="s">
        <v>10339</v>
      </c>
      <c r="F3097" s="0" t="s">
        <v>15</v>
      </c>
      <c r="G3097" s="0" t="s">
        <v>20</v>
      </c>
      <c r="H3097" s="0" t="n">
        <v>122</v>
      </c>
      <c r="I3097" s="0" t="s">
        <v>10346</v>
      </c>
      <c r="J3097" s="0" t="s">
        <v>10347</v>
      </c>
      <c r="K3097" s="0" t="s">
        <v>10348</v>
      </c>
      <c r="L3097" s="0" t="str">
        <f aca="false">HYPERLINK("https://www.ncbi.nlm.nih.gov/nuccore/CP000058.1?report=graph&amp;tracks=[key:gene_model_track,Options:GeneOnly]&amp;mk=1000356:1000375|offset_54|444444,1000395:1000414|offset_93|444444,1000424:1000443|offset_122|00cc00,1000510:1000529|offset_208|444444&amp;v=1000155:1000729&amp;c=444444", "offset 122")</f>
        <v>offset 122</v>
      </c>
    </row>
    <row r="3098" customFormat="false" ht="12.8" hidden="false" customHeight="false" outlineLevel="0" collapsed="false">
      <c r="A3098" s="0" t="s">
        <v>12</v>
      </c>
      <c r="B3098" s="0" t="n">
        <v>1000509</v>
      </c>
      <c r="C3098" s="0" t="n">
        <v>1000529</v>
      </c>
      <c r="D3098" s="0" t="s">
        <v>10338</v>
      </c>
      <c r="E3098" s="0" t="s">
        <v>10339</v>
      </c>
      <c r="F3098" s="0" t="s">
        <v>15</v>
      </c>
      <c r="G3098" s="0" t="s">
        <v>16</v>
      </c>
      <c r="H3098" s="0" t="n">
        <v>208</v>
      </c>
      <c r="I3098" s="0" t="s">
        <v>10349</v>
      </c>
      <c r="J3098" s="0" t="s">
        <v>10350</v>
      </c>
      <c r="K3098" s="0" t="s">
        <v>10351</v>
      </c>
      <c r="L3098" s="0" t="str">
        <f aca="false">HYPERLINK("https://www.ncbi.nlm.nih.gov/nuccore/CP000058.1?report=graph&amp;tracks=[key:gene_model_track,Options:GeneOnly]&amp;mk=1000356:1000375|offset_54|444444,1000395:1000414|offset_93|444444,1000424:1000443|offset_122|444444,1000510:1000529|offset_208|00cc00&amp;v=1000155:1000729&amp;c=444444", "offset 208")</f>
        <v>offset 208</v>
      </c>
    </row>
    <row r="3099" customFormat="false" ht="12.8" hidden="false" customHeight="false" outlineLevel="0" collapsed="false">
      <c r="A3099" s="0" t="s">
        <v>12</v>
      </c>
      <c r="B3099" s="0" t="n">
        <v>1002378</v>
      </c>
      <c r="C3099" s="0" t="n">
        <v>1002398</v>
      </c>
      <c r="D3099" s="0" t="s">
        <v>10352</v>
      </c>
      <c r="E3099" s="0" t="s">
        <v>75</v>
      </c>
      <c r="F3099" s="0" t="s">
        <v>90</v>
      </c>
      <c r="G3099" s="0" t="s">
        <v>36</v>
      </c>
      <c r="H3099" s="0" t="n">
        <v>30</v>
      </c>
      <c r="I3099" s="0" t="s">
        <v>10353</v>
      </c>
      <c r="J3099" s="0" t="s">
        <v>10354</v>
      </c>
      <c r="K3099" s="0" t="s">
        <v>10355</v>
      </c>
      <c r="L3099" s="0" t="str">
        <f aca="false">HYPERLINK("https://www.ncbi.nlm.nih.gov/nuccore/CP000058.1?report=graph&amp;tracks=[key:gene_model_track,Options:GeneOnly]&amp;mk=1002379:1002398|offset_30|00cc00,1002345:1002364|offset_64|444444,1002324:1002343|offset_85|444444,1002285:1002304|offset_124|444444&amp;v=1002178:1002504&amp;c=444444", "offset 30")</f>
        <v>offset 30</v>
      </c>
    </row>
    <row r="3100" customFormat="false" ht="12.8" hidden="false" customHeight="false" outlineLevel="0" collapsed="false">
      <c r="A3100" s="0" t="s">
        <v>12</v>
      </c>
      <c r="B3100" s="0" t="n">
        <v>1002344</v>
      </c>
      <c r="C3100" s="0" t="n">
        <v>1002364</v>
      </c>
      <c r="D3100" s="0" t="s">
        <v>10352</v>
      </c>
      <c r="E3100" s="0" t="s">
        <v>75</v>
      </c>
      <c r="F3100" s="0" t="s">
        <v>90</v>
      </c>
      <c r="G3100" s="0" t="s">
        <v>36</v>
      </c>
      <c r="H3100" s="0" t="n">
        <v>64</v>
      </c>
      <c r="I3100" s="0" t="s">
        <v>10356</v>
      </c>
      <c r="J3100" s="0" t="s">
        <v>10357</v>
      </c>
      <c r="K3100" s="0" t="s">
        <v>10358</v>
      </c>
      <c r="L3100" s="0" t="str">
        <f aca="false">HYPERLINK("https://www.ncbi.nlm.nih.gov/nuccore/CP000058.1?report=graph&amp;tracks=[key:gene_model_track,Options:GeneOnly]&amp;mk=1002379:1002398|offset_30|444444,1002345:1002364|offset_64|00cc00,1002324:1002343|offset_85|444444,1002285:1002304|offset_124|444444&amp;v=1002178:1002504&amp;c=444444", "offset 64")</f>
        <v>offset 64</v>
      </c>
    </row>
    <row r="3101" customFormat="false" ht="12.8" hidden="false" customHeight="false" outlineLevel="0" collapsed="false">
      <c r="A3101" s="0" t="s">
        <v>12</v>
      </c>
      <c r="B3101" s="0" t="n">
        <v>1002323</v>
      </c>
      <c r="C3101" s="0" t="n">
        <v>1002343</v>
      </c>
      <c r="D3101" s="0" t="s">
        <v>10352</v>
      </c>
      <c r="E3101" s="0" t="s">
        <v>75</v>
      </c>
      <c r="F3101" s="0" t="s">
        <v>90</v>
      </c>
      <c r="G3101" s="0" t="s">
        <v>16</v>
      </c>
      <c r="H3101" s="0" t="n">
        <v>85</v>
      </c>
      <c r="I3101" s="0" t="s">
        <v>10359</v>
      </c>
      <c r="J3101" s="0" t="s">
        <v>10360</v>
      </c>
      <c r="K3101" s="0" t="s">
        <v>10361</v>
      </c>
      <c r="L3101" s="0" t="str">
        <f aca="false">HYPERLINK("https://www.ncbi.nlm.nih.gov/nuccore/CP000058.1?report=graph&amp;tracks=[key:gene_model_track,Options:GeneOnly]&amp;mk=1002379:1002398|offset_30|444444,1002345:1002364|offset_64|444444,1002324:1002343|offset_85|00cc00,1002285:1002304|offset_124|444444&amp;v=1002178:1002504&amp;c=444444", "offset 85")</f>
        <v>offset 85</v>
      </c>
    </row>
    <row r="3102" customFormat="false" ht="12.8" hidden="false" customHeight="false" outlineLevel="0" collapsed="false">
      <c r="A3102" s="0" t="s">
        <v>12</v>
      </c>
      <c r="B3102" s="0" t="n">
        <v>1002284</v>
      </c>
      <c r="C3102" s="0" t="n">
        <v>1002304</v>
      </c>
      <c r="D3102" s="0" t="s">
        <v>10352</v>
      </c>
      <c r="E3102" s="0" t="s">
        <v>75</v>
      </c>
      <c r="F3102" s="0" t="s">
        <v>90</v>
      </c>
      <c r="G3102" s="0" t="s">
        <v>32</v>
      </c>
      <c r="H3102" s="0" t="n">
        <v>124</v>
      </c>
      <c r="I3102" s="0" t="s">
        <v>10362</v>
      </c>
      <c r="J3102" s="0" t="s">
        <v>10363</v>
      </c>
      <c r="K3102" s="0" t="s">
        <v>10364</v>
      </c>
      <c r="L3102" s="0" t="str">
        <f aca="false">HYPERLINK("https://www.ncbi.nlm.nih.gov/nuccore/CP000058.1?report=graph&amp;tracks=[key:gene_model_track,Options:GeneOnly]&amp;mk=1002379:1002398|offset_30|444444,1002345:1002364|offset_64|444444,1002324:1002343|offset_85|444444,1002285:1002304|offset_124|00cc00&amp;v=1002178:1002504&amp;c=444444", "offset 124")</f>
        <v>offset 124</v>
      </c>
    </row>
    <row r="3103" customFormat="false" ht="12.8" hidden="false" customHeight="false" outlineLevel="0" collapsed="false">
      <c r="A3103" s="0" t="s">
        <v>12</v>
      </c>
      <c r="B3103" s="0" t="n">
        <v>1003146</v>
      </c>
      <c r="C3103" s="0" t="n">
        <v>1003166</v>
      </c>
      <c r="D3103" s="0" t="s">
        <v>10365</v>
      </c>
      <c r="E3103" s="0" t="s">
        <v>75</v>
      </c>
      <c r="F3103" s="0" t="s">
        <v>90</v>
      </c>
      <c r="G3103" s="0" t="s">
        <v>36</v>
      </c>
      <c r="H3103" s="0" t="n">
        <v>57</v>
      </c>
      <c r="I3103" s="0" t="s">
        <v>10366</v>
      </c>
      <c r="J3103" s="0" t="s">
        <v>10367</v>
      </c>
      <c r="K3103" s="0" t="s">
        <v>10368</v>
      </c>
      <c r="L3103" s="0" t="str">
        <f aca="false">HYPERLINK("https://www.ncbi.nlm.nih.gov/nuccore/CP000058.1?report=graph&amp;tracks=[key:gene_model_track,Options:GeneOnly]&amp;mk=1003147:1003166|offset_57|00cc00,1003122:1003141|offset_82|444444,1003101:1003120|offset_103|444444,1003080:1003099|offset_124|444444&amp;v=1002946:1003299&amp;c=444444", "offset 57")</f>
        <v>offset 57</v>
      </c>
    </row>
    <row r="3104" customFormat="false" ht="12.8" hidden="false" customHeight="false" outlineLevel="0" collapsed="false">
      <c r="A3104" s="0" t="s">
        <v>12</v>
      </c>
      <c r="B3104" s="0" t="n">
        <v>1003121</v>
      </c>
      <c r="C3104" s="0" t="n">
        <v>1003141</v>
      </c>
      <c r="D3104" s="0" t="s">
        <v>10365</v>
      </c>
      <c r="E3104" s="0" t="s">
        <v>75</v>
      </c>
      <c r="F3104" s="0" t="s">
        <v>90</v>
      </c>
      <c r="G3104" s="0" t="s">
        <v>16</v>
      </c>
      <c r="H3104" s="0" t="n">
        <v>82</v>
      </c>
      <c r="I3104" s="0" t="s">
        <v>10369</v>
      </c>
      <c r="J3104" s="0" t="s">
        <v>10370</v>
      </c>
      <c r="K3104" s="0" t="s">
        <v>10371</v>
      </c>
      <c r="L3104" s="0" t="str">
        <f aca="false">HYPERLINK("https://www.ncbi.nlm.nih.gov/nuccore/CP000058.1?report=graph&amp;tracks=[key:gene_model_track,Options:GeneOnly]&amp;mk=1003147:1003166|offset_57|444444,1003122:1003141|offset_82|00cc00,1003101:1003120|offset_103|444444,1003080:1003099|offset_124|444444&amp;v=1002946:1003299&amp;c=444444", "offset 82")</f>
        <v>offset 82</v>
      </c>
    </row>
    <row r="3105" customFormat="false" ht="12.8" hidden="false" customHeight="false" outlineLevel="0" collapsed="false">
      <c r="A3105" s="0" t="s">
        <v>12</v>
      </c>
      <c r="B3105" s="0" t="n">
        <v>1003100</v>
      </c>
      <c r="C3105" s="0" t="n">
        <v>1003120</v>
      </c>
      <c r="D3105" s="0" t="s">
        <v>10365</v>
      </c>
      <c r="E3105" s="0" t="s">
        <v>75</v>
      </c>
      <c r="F3105" s="0" t="s">
        <v>90</v>
      </c>
      <c r="G3105" s="0" t="s">
        <v>20</v>
      </c>
      <c r="H3105" s="0" t="n">
        <v>103</v>
      </c>
      <c r="I3105" s="0" t="s">
        <v>10372</v>
      </c>
      <c r="J3105" s="0" t="s">
        <v>10373</v>
      </c>
      <c r="K3105" s="0" t="s">
        <v>10374</v>
      </c>
      <c r="L3105" s="0" t="str">
        <f aca="false">HYPERLINK("https://www.ncbi.nlm.nih.gov/nuccore/CP000058.1?report=graph&amp;tracks=[key:gene_model_track,Options:GeneOnly]&amp;mk=1003147:1003166|offset_57|444444,1003122:1003141|offset_82|444444,1003101:1003120|offset_103|00cc00,1003080:1003099|offset_124|444444&amp;v=1002946:1003299&amp;c=444444", "offset 103")</f>
        <v>offset 103</v>
      </c>
    </row>
    <row r="3106" customFormat="false" ht="12.8" hidden="false" customHeight="false" outlineLevel="0" collapsed="false">
      <c r="A3106" s="0" t="s">
        <v>12</v>
      </c>
      <c r="B3106" s="0" t="n">
        <v>1003079</v>
      </c>
      <c r="C3106" s="0" t="n">
        <v>1003099</v>
      </c>
      <c r="D3106" s="0" t="s">
        <v>10365</v>
      </c>
      <c r="E3106" s="0" t="s">
        <v>75</v>
      </c>
      <c r="F3106" s="0" t="s">
        <v>90</v>
      </c>
      <c r="G3106" s="0" t="s">
        <v>32</v>
      </c>
      <c r="H3106" s="0" t="n">
        <v>124</v>
      </c>
      <c r="I3106" s="0" t="s">
        <v>10375</v>
      </c>
      <c r="J3106" s="0" t="s">
        <v>10376</v>
      </c>
      <c r="K3106" s="0" t="s">
        <v>10377</v>
      </c>
      <c r="L3106" s="0" t="str">
        <f aca="false">HYPERLINK("https://www.ncbi.nlm.nih.gov/nuccore/CP000058.1?report=graph&amp;tracks=[key:gene_model_track,Options:GeneOnly]&amp;mk=1003147:1003166|offset_57|444444,1003122:1003141|offset_82|444444,1003101:1003120|offset_103|444444,1003080:1003099|offset_124|00cc00&amp;v=1002946:1003299&amp;c=444444", "offset 124")</f>
        <v>offset 124</v>
      </c>
    </row>
    <row r="3107" customFormat="false" ht="12.8" hidden="false" customHeight="false" outlineLevel="0" collapsed="false">
      <c r="A3107" s="0" t="s">
        <v>12</v>
      </c>
      <c r="B3107" s="0" t="n">
        <v>1004445</v>
      </c>
      <c r="C3107" s="0" t="n">
        <v>1004465</v>
      </c>
      <c r="D3107" s="0" t="s">
        <v>10378</v>
      </c>
      <c r="E3107" s="0" t="s">
        <v>10379</v>
      </c>
      <c r="F3107" s="0" t="s">
        <v>90</v>
      </c>
      <c r="G3107" s="0" t="s">
        <v>16</v>
      </c>
      <c r="H3107" s="0" t="n">
        <v>6</v>
      </c>
      <c r="I3107" s="0" t="s">
        <v>10380</v>
      </c>
      <c r="J3107" s="0" t="s">
        <v>10381</v>
      </c>
      <c r="K3107" s="0" t="s">
        <v>10382</v>
      </c>
      <c r="L3107" s="0" t="str">
        <f aca="false">HYPERLINK("https://www.ncbi.nlm.nih.gov/nuccore/CP000058.1?report=graph&amp;tracks=[key:gene_model_track,Options:GeneOnly]&amp;mk=1004446:1004465|offset_6|00cc00,1004426:1004445|offset_26|444444,1004406:1004425|offset_46|444444,1004358:1004377|offset_94|444444&amp;v=1004245:1004577&amp;c=444444", "offset 6")</f>
        <v>offset 6</v>
      </c>
    </row>
    <row r="3108" customFormat="false" ht="12.8" hidden="false" customHeight="false" outlineLevel="0" collapsed="false">
      <c r="A3108" s="0" t="s">
        <v>12</v>
      </c>
      <c r="B3108" s="0" t="n">
        <v>1004425</v>
      </c>
      <c r="C3108" s="0" t="n">
        <v>1004445</v>
      </c>
      <c r="D3108" s="0" t="s">
        <v>10378</v>
      </c>
      <c r="E3108" s="0" t="s">
        <v>10379</v>
      </c>
      <c r="F3108" s="0" t="s">
        <v>90</v>
      </c>
      <c r="G3108" s="0" t="s">
        <v>20</v>
      </c>
      <c r="H3108" s="0" t="n">
        <v>26</v>
      </c>
      <c r="I3108" s="0" t="s">
        <v>10383</v>
      </c>
      <c r="J3108" s="0" t="s">
        <v>10384</v>
      </c>
      <c r="K3108" s="0" t="s">
        <v>10385</v>
      </c>
      <c r="L3108" s="0" t="str">
        <f aca="false">HYPERLINK("https://www.ncbi.nlm.nih.gov/nuccore/CP000058.1?report=graph&amp;tracks=[key:gene_model_track,Options:GeneOnly]&amp;mk=1004446:1004465|offset_6|444444,1004426:1004445|offset_26|00cc00,1004406:1004425|offset_46|444444,1004358:1004377|offset_94|444444&amp;v=1004245:1004577&amp;c=444444", "offset 26")</f>
        <v>offset 26</v>
      </c>
    </row>
    <row r="3109" customFormat="false" ht="12.8" hidden="false" customHeight="false" outlineLevel="0" collapsed="false">
      <c r="A3109" s="0" t="s">
        <v>12</v>
      </c>
      <c r="B3109" s="0" t="n">
        <v>1004405</v>
      </c>
      <c r="C3109" s="0" t="n">
        <v>1004425</v>
      </c>
      <c r="D3109" s="0" t="s">
        <v>10378</v>
      </c>
      <c r="E3109" s="0" t="s">
        <v>10379</v>
      </c>
      <c r="F3109" s="0" t="s">
        <v>90</v>
      </c>
      <c r="G3109" s="0" t="s">
        <v>32</v>
      </c>
      <c r="H3109" s="0" t="n">
        <v>46</v>
      </c>
      <c r="I3109" s="0" t="s">
        <v>10386</v>
      </c>
      <c r="J3109" s="0" t="s">
        <v>10387</v>
      </c>
      <c r="K3109" s="0" t="s">
        <v>10388</v>
      </c>
      <c r="L3109" s="0" t="str">
        <f aca="false">HYPERLINK("https://www.ncbi.nlm.nih.gov/nuccore/CP000058.1?report=graph&amp;tracks=[key:gene_model_track,Options:GeneOnly]&amp;mk=1004446:1004465|offset_6|444444,1004426:1004445|offset_26|444444,1004406:1004425|offset_46|00cc00,1004358:1004377|offset_94|444444&amp;v=1004245:1004577&amp;c=444444", "offset 46")</f>
        <v>offset 46</v>
      </c>
    </row>
    <row r="3110" customFormat="false" ht="12.8" hidden="false" customHeight="false" outlineLevel="0" collapsed="false">
      <c r="A3110" s="0" t="s">
        <v>12</v>
      </c>
      <c r="B3110" s="0" t="n">
        <v>1004357</v>
      </c>
      <c r="C3110" s="0" t="n">
        <v>1004377</v>
      </c>
      <c r="D3110" s="0" t="s">
        <v>10378</v>
      </c>
      <c r="E3110" s="0" t="s">
        <v>10379</v>
      </c>
      <c r="F3110" s="0" t="s">
        <v>90</v>
      </c>
      <c r="G3110" s="0" t="s">
        <v>16</v>
      </c>
      <c r="H3110" s="0" t="n">
        <v>94</v>
      </c>
      <c r="I3110" s="0" t="s">
        <v>10389</v>
      </c>
      <c r="J3110" s="0" t="s">
        <v>10390</v>
      </c>
      <c r="K3110" s="0" t="s">
        <v>10391</v>
      </c>
      <c r="L3110" s="0" t="str">
        <f aca="false">HYPERLINK("https://www.ncbi.nlm.nih.gov/nuccore/CP000058.1?report=graph&amp;tracks=[key:gene_model_track,Options:GeneOnly]&amp;mk=1004446:1004465|offset_6|444444,1004426:1004445|offset_26|444444,1004406:1004425|offset_46|444444,1004358:1004377|offset_94|00cc00&amp;v=1004245:1004577&amp;c=444444", "offset 94")</f>
        <v>offset 94</v>
      </c>
    </row>
    <row r="3111" customFormat="false" ht="12.8" hidden="false" customHeight="false" outlineLevel="0" collapsed="false">
      <c r="A3111" s="0" t="s">
        <v>12</v>
      </c>
      <c r="B3111" s="0" t="n">
        <v>1004828</v>
      </c>
      <c r="C3111" s="0" t="n">
        <v>1004848</v>
      </c>
      <c r="D3111" s="0" t="s">
        <v>10392</v>
      </c>
      <c r="E3111" s="0" t="s">
        <v>75</v>
      </c>
      <c r="F3111" s="0" t="s">
        <v>15</v>
      </c>
      <c r="G3111" s="0" t="s">
        <v>16</v>
      </c>
      <c r="H3111" s="0" t="n">
        <v>6</v>
      </c>
      <c r="I3111" s="0" t="s">
        <v>10393</v>
      </c>
      <c r="J3111" s="0" t="s">
        <v>10394</v>
      </c>
      <c r="K3111" s="0" t="s">
        <v>10395</v>
      </c>
      <c r="L3111" s="0" t="str">
        <f aca="false">HYPERLINK("https://www.ncbi.nlm.nih.gov/nuccore/CP000058.1?report=graph&amp;tracks=[key:gene_model_track,Options:GeneOnly]&amp;mk=1004829:1004848|offset_6|00cc00,1004850:1004869|offset_27|444444,1004881:1004900|offset_58|444444,1004904:1004923|offset_81|444444&amp;v=1004628:1005123&amp;c=444444", "offset 6")</f>
        <v>offset 6</v>
      </c>
    </row>
    <row r="3112" customFormat="false" ht="12.8" hidden="false" customHeight="false" outlineLevel="0" collapsed="false">
      <c r="A3112" s="0" t="s">
        <v>12</v>
      </c>
      <c r="B3112" s="0" t="n">
        <v>1004849</v>
      </c>
      <c r="C3112" s="0" t="n">
        <v>1004869</v>
      </c>
      <c r="D3112" s="0" t="s">
        <v>10392</v>
      </c>
      <c r="E3112" s="0" t="s">
        <v>75</v>
      </c>
      <c r="F3112" s="0" t="s">
        <v>15</v>
      </c>
      <c r="G3112" s="0" t="s">
        <v>16</v>
      </c>
      <c r="H3112" s="0" t="n">
        <v>27</v>
      </c>
      <c r="I3112" s="0" t="s">
        <v>10396</v>
      </c>
      <c r="J3112" s="0" t="s">
        <v>10397</v>
      </c>
      <c r="K3112" s="0" t="s">
        <v>10398</v>
      </c>
      <c r="L3112" s="0" t="str">
        <f aca="false">HYPERLINK("https://www.ncbi.nlm.nih.gov/nuccore/CP000058.1?report=graph&amp;tracks=[key:gene_model_track,Options:GeneOnly]&amp;mk=1004829:1004848|offset_6|444444,1004850:1004869|offset_27|00cc00,1004881:1004900|offset_58|444444,1004904:1004923|offset_81|444444&amp;v=1004628:1005123&amp;c=444444", "offset 27")</f>
        <v>offset 27</v>
      </c>
    </row>
    <row r="3113" customFormat="false" ht="12.8" hidden="false" customHeight="false" outlineLevel="0" collapsed="false">
      <c r="A3113" s="0" t="s">
        <v>12</v>
      </c>
      <c r="B3113" s="0" t="n">
        <v>1004880</v>
      </c>
      <c r="C3113" s="0" t="n">
        <v>1004900</v>
      </c>
      <c r="D3113" s="0" t="s">
        <v>10392</v>
      </c>
      <c r="E3113" s="0" t="s">
        <v>75</v>
      </c>
      <c r="F3113" s="0" t="s">
        <v>15</v>
      </c>
      <c r="G3113" s="0" t="s">
        <v>16</v>
      </c>
      <c r="H3113" s="0" t="n">
        <v>58</v>
      </c>
      <c r="I3113" s="0" t="s">
        <v>10399</v>
      </c>
      <c r="J3113" s="0" t="s">
        <v>10400</v>
      </c>
      <c r="K3113" s="0" t="s">
        <v>10401</v>
      </c>
      <c r="L3113" s="0" t="str">
        <f aca="false">HYPERLINK("https://www.ncbi.nlm.nih.gov/nuccore/CP000058.1?report=graph&amp;tracks=[key:gene_model_track,Options:GeneOnly]&amp;mk=1004829:1004848|offset_6|444444,1004850:1004869|offset_27|444444,1004881:1004900|offset_58|00cc00,1004904:1004923|offset_81|444444&amp;v=1004628:1005123&amp;c=444444", "offset 58")</f>
        <v>offset 58</v>
      </c>
    </row>
    <row r="3114" customFormat="false" ht="12.8" hidden="false" customHeight="false" outlineLevel="0" collapsed="false">
      <c r="A3114" s="0" t="s">
        <v>12</v>
      </c>
      <c r="B3114" s="0" t="n">
        <v>1004903</v>
      </c>
      <c r="C3114" s="0" t="n">
        <v>1004923</v>
      </c>
      <c r="D3114" s="0" t="s">
        <v>10392</v>
      </c>
      <c r="E3114" s="0" t="s">
        <v>75</v>
      </c>
      <c r="F3114" s="0" t="s">
        <v>15</v>
      </c>
      <c r="G3114" s="0" t="s">
        <v>20</v>
      </c>
      <c r="H3114" s="0" t="n">
        <v>81</v>
      </c>
      <c r="I3114" s="0" t="s">
        <v>10402</v>
      </c>
      <c r="J3114" s="0" t="s">
        <v>10403</v>
      </c>
      <c r="K3114" s="0" t="s">
        <v>10404</v>
      </c>
      <c r="L3114" s="0" t="str">
        <f aca="false">HYPERLINK("https://www.ncbi.nlm.nih.gov/nuccore/CP000058.1?report=graph&amp;tracks=[key:gene_model_track,Options:GeneOnly]&amp;mk=1004829:1004848|offset_6|444444,1004850:1004869|offset_27|444444,1004881:1004900|offset_58|444444,1004904:1004923|offset_81|00cc00&amp;v=1004628:1005123&amp;c=444444", "offset 81")</f>
        <v>offset 81</v>
      </c>
    </row>
    <row r="3115" customFormat="false" ht="12.8" hidden="false" customHeight="false" outlineLevel="0" collapsed="false">
      <c r="A3115" s="0" t="s">
        <v>12</v>
      </c>
      <c r="B3115" s="0" t="n">
        <v>1007273</v>
      </c>
      <c r="C3115" s="0" t="n">
        <v>1007293</v>
      </c>
      <c r="D3115" s="0" t="s">
        <v>10405</v>
      </c>
      <c r="E3115" s="0" t="s">
        <v>10406</v>
      </c>
      <c r="F3115" s="0" t="s">
        <v>15</v>
      </c>
      <c r="G3115" s="0" t="s">
        <v>36</v>
      </c>
      <c r="H3115" s="0" t="n">
        <v>14</v>
      </c>
      <c r="I3115" s="0" t="s">
        <v>10407</v>
      </c>
      <c r="J3115" s="0" t="s">
        <v>10408</v>
      </c>
      <c r="K3115" s="0" t="s">
        <v>10409</v>
      </c>
      <c r="L3115" s="0" t="str">
        <f aca="false">HYPERLINK("https://www.ncbi.nlm.nih.gov/nuccore/CP000058.1?report=graph&amp;tracks=[key:gene_model_track,Options:GeneOnly]&amp;mk=1007274:1007293|offset_14|00cc00,1007310:1007329|offset_50|444444,1007335:1007354|offset_75|444444,1007364:1007383|offset_104|444444&amp;v=1007073:1007583&amp;c=444444", "offset 14")</f>
        <v>offset 14</v>
      </c>
    </row>
    <row r="3116" customFormat="false" ht="12.8" hidden="false" customHeight="false" outlineLevel="0" collapsed="false">
      <c r="A3116" s="0" t="s">
        <v>12</v>
      </c>
      <c r="B3116" s="0" t="n">
        <v>1007309</v>
      </c>
      <c r="C3116" s="0" t="n">
        <v>1007329</v>
      </c>
      <c r="D3116" s="0" t="s">
        <v>10405</v>
      </c>
      <c r="E3116" s="0" t="s">
        <v>10406</v>
      </c>
      <c r="F3116" s="0" t="s">
        <v>15</v>
      </c>
      <c r="G3116" s="0" t="s">
        <v>36</v>
      </c>
      <c r="H3116" s="0" t="n">
        <v>50</v>
      </c>
      <c r="I3116" s="0" t="s">
        <v>10410</v>
      </c>
      <c r="J3116" s="0" t="s">
        <v>10411</v>
      </c>
      <c r="K3116" s="0" t="s">
        <v>10412</v>
      </c>
      <c r="L3116" s="0" t="str">
        <f aca="false">HYPERLINK("https://www.ncbi.nlm.nih.gov/nuccore/CP000058.1?report=graph&amp;tracks=[key:gene_model_track,Options:GeneOnly]&amp;mk=1007274:1007293|offset_14|444444,1007310:1007329|offset_50|00cc00,1007335:1007354|offset_75|444444,1007364:1007383|offset_104|444444&amp;v=1007073:1007583&amp;c=444444", "offset 50")</f>
        <v>offset 50</v>
      </c>
    </row>
    <row r="3117" customFormat="false" ht="12.8" hidden="false" customHeight="false" outlineLevel="0" collapsed="false">
      <c r="A3117" s="0" t="s">
        <v>12</v>
      </c>
      <c r="B3117" s="0" t="n">
        <v>1007334</v>
      </c>
      <c r="C3117" s="0" t="n">
        <v>1007354</v>
      </c>
      <c r="D3117" s="0" t="s">
        <v>10405</v>
      </c>
      <c r="E3117" s="0" t="s">
        <v>10406</v>
      </c>
      <c r="F3117" s="0" t="s">
        <v>15</v>
      </c>
      <c r="G3117" s="0" t="s">
        <v>20</v>
      </c>
      <c r="H3117" s="0" t="n">
        <v>75</v>
      </c>
      <c r="I3117" s="0" t="s">
        <v>10413</v>
      </c>
      <c r="J3117" s="0" t="s">
        <v>10414</v>
      </c>
      <c r="K3117" s="0" t="s">
        <v>10415</v>
      </c>
      <c r="L3117" s="0" t="str">
        <f aca="false">HYPERLINK("https://www.ncbi.nlm.nih.gov/nuccore/CP000058.1?report=graph&amp;tracks=[key:gene_model_track,Options:GeneOnly]&amp;mk=1007274:1007293|offset_14|444444,1007310:1007329|offset_50|444444,1007335:1007354|offset_75|00cc00,1007364:1007383|offset_104|444444&amp;v=1007073:1007583&amp;c=444444", "offset 75")</f>
        <v>offset 75</v>
      </c>
    </row>
    <row r="3118" customFormat="false" ht="12.8" hidden="false" customHeight="false" outlineLevel="0" collapsed="false">
      <c r="A3118" s="0" t="s">
        <v>12</v>
      </c>
      <c r="B3118" s="0" t="n">
        <v>1007363</v>
      </c>
      <c r="C3118" s="0" t="n">
        <v>1007383</v>
      </c>
      <c r="D3118" s="0" t="s">
        <v>10405</v>
      </c>
      <c r="E3118" s="0" t="s">
        <v>10406</v>
      </c>
      <c r="F3118" s="0" t="s">
        <v>15</v>
      </c>
      <c r="G3118" s="0" t="s">
        <v>32</v>
      </c>
      <c r="H3118" s="0" t="n">
        <v>104</v>
      </c>
      <c r="I3118" s="0" t="s">
        <v>10416</v>
      </c>
      <c r="J3118" s="0" t="s">
        <v>10417</v>
      </c>
      <c r="K3118" s="0" t="s">
        <v>10418</v>
      </c>
      <c r="L3118" s="0" t="str">
        <f aca="false">HYPERLINK("https://www.ncbi.nlm.nih.gov/nuccore/CP000058.1?report=graph&amp;tracks=[key:gene_model_track,Options:GeneOnly]&amp;mk=1007274:1007293|offset_14|444444,1007310:1007329|offset_50|444444,1007335:1007354|offset_75|444444,1007364:1007383|offset_104|00cc00&amp;v=1007073:1007583&amp;c=444444", "offset 104")</f>
        <v>offset 104</v>
      </c>
    </row>
    <row r="3119" customFormat="false" ht="12.8" hidden="false" customHeight="false" outlineLevel="0" collapsed="false">
      <c r="A3119" s="0" t="s">
        <v>12</v>
      </c>
      <c r="B3119" s="0" t="n">
        <v>1007851</v>
      </c>
      <c r="C3119" s="0" t="n">
        <v>1007871</v>
      </c>
      <c r="D3119" s="0" t="s">
        <v>10419</v>
      </c>
      <c r="E3119" s="0" t="s">
        <v>10420</v>
      </c>
      <c r="F3119" s="0" t="s">
        <v>15</v>
      </c>
      <c r="G3119" s="0" t="s">
        <v>16</v>
      </c>
      <c r="H3119" s="0" t="n">
        <v>28</v>
      </c>
      <c r="I3119" s="0" t="s">
        <v>10421</v>
      </c>
      <c r="J3119" s="0" t="s">
        <v>10422</v>
      </c>
      <c r="K3119" s="0" t="s">
        <v>10423</v>
      </c>
      <c r="L3119" s="0" t="str">
        <f aca="false">HYPERLINK("https://www.ncbi.nlm.nih.gov/nuccore/CP000058.1?report=graph&amp;tracks=[key:gene_model_track,Options:GeneOnly]&amp;mk=1007852:1007871|offset_28|00cc00,1007905:1007924|offset_81|444444,1007936:1007955|offset_112|444444,1007959:1007978|offset_135|444444&amp;v=1007651:1008178&amp;c=444444", "offset 28")</f>
        <v>offset 28</v>
      </c>
    </row>
    <row r="3120" customFormat="false" ht="12.8" hidden="false" customHeight="false" outlineLevel="0" collapsed="false">
      <c r="A3120" s="0" t="s">
        <v>12</v>
      </c>
      <c r="B3120" s="0" t="n">
        <v>1007904</v>
      </c>
      <c r="C3120" s="0" t="n">
        <v>1007924</v>
      </c>
      <c r="D3120" s="0" t="s">
        <v>10419</v>
      </c>
      <c r="E3120" s="0" t="s">
        <v>10420</v>
      </c>
      <c r="F3120" s="0" t="s">
        <v>15</v>
      </c>
      <c r="G3120" s="0" t="s">
        <v>36</v>
      </c>
      <c r="H3120" s="0" t="n">
        <v>81</v>
      </c>
      <c r="I3120" s="0" t="s">
        <v>10424</v>
      </c>
      <c r="J3120" s="0" t="s">
        <v>10425</v>
      </c>
      <c r="K3120" s="0" t="s">
        <v>10426</v>
      </c>
      <c r="L3120" s="0" t="str">
        <f aca="false">HYPERLINK("https://www.ncbi.nlm.nih.gov/nuccore/CP000058.1?report=graph&amp;tracks=[key:gene_model_track,Options:GeneOnly]&amp;mk=1007852:1007871|offset_28|444444,1007905:1007924|offset_81|00cc00,1007936:1007955|offset_112|444444,1007959:1007978|offset_135|444444&amp;v=1007651:1008178&amp;c=444444", "offset 81")</f>
        <v>offset 81</v>
      </c>
    </row>
    <row r="3121" customFormat="false" ht="12.8" hidden="false" customHeight="false" outlineLevel="0" collapsed="false">
      <c r="A3121" s="0" t="s">
        <v>12</v>
      </c>
      <c r="B3121" s="0" t="n">
        <v>1007935</v>
      </c>
      <c r="C3121" s="0" t="n">
        <v>1007955</v>
      </c>
      <c r="D3121" s="0" t="s">
        <v>10419</v>
      </c>
      <c r="E3121" s="0" t="s">
        <v>10420</v>
      </c>
      <c r="F3121" s="0" t="s">
        <v>15</v>
      </c>
      <c r="G3121" s="0" t="s">
        <v>32</v>
      </c>
      <c r="H3121" s="0" t="n">
        <v>112</v>
      </c>
      <c r="I3121" s="0" t="s">
        <v>10427</v>
      </c>
      <c r="J3121" s="0" t="s">
        <v>10428</v>
      </c>
      <c r="K3121" s="0" t="s">
        <v>10429</v>
      </c>
      <c r="L3121" s="0" t="str">
        <f aca="false">HYPERLINK("https://www.ncbi.nlm.nih.gov/nuccore/CP000058.1?report=graph&amp;tracks=[key:gene_model_track,Options:GeneOnly]&amp;mk=1007852:1007871|offset_28|444444,1007905:1007924|offset_81|444444,1007936:1007955|offset_112|00cc00,1007959:1007978|offset_135|444444&amp;v=1007651:1008178&amp;c=444444", "offset 112")</f>
        <v>offset 112</v>
      </c>
    </row>
    <row r="3122" customFormat="false" ht="12.8" hidden="false" customHeight="false" outlineLevel="0" collapsed="false">
      <c r="A3122" s="0" t="s">
        <v>12</v>
      </c>
      <c r="B3122" s="0" t="n">
        <v>1007958</v>
      </c>
      <c r="C3122" s="0" t="n">
        <v>1007978</v>
      </c>
      <c r="D3122" s="0" t="s">
        <v>10419</v>
      </c>
      <c r="E3122" s="0" t="s">
        <v>10420</v>
      </c>
      <c r="F3122" s="0" t="s">
        <v>15</v>
      </c>
      <c r="G3122" s="0" t="s">
        <v>36</v>
      </c>
      <c r="H3122" s="0" t="n">
        <v>135</v>
      </c>
      <c r="I3122" s="0" t="s">
        <v>10430</v>
      </c>
      <c r="J3122" s="0" t="s">
        <v>10431</v>
      </c>
      <c r="K3122" s="0" t="s">
        <v>10432</v>
      </c>
      <c r="L3122" s="0" t="str">
        <f aca="false">HYPERLINK("https://www.ncbi.nlm.nih.gov/nuccore/CP000058.1?report=graph&amp;tracks=[key:gene_model_track,Options:GeneOnly]&amp;mk=1007852:1007871|offset_28|444444,1007905:1007924|offset_81|444444,1007936:1007955|offset_112|444444,1007959:1007978|offset_135|00cc00&amp;v=1007651:1008178&amp;c=444444", "offset 135")</f>
        <v>offset 135</v>
      </c>
    </row>
    <row r="3123" customFormat="false" ht="12.8" hidden="false" customHeight="false" outlineLevel="0" collapsed="false">
      <c r="A3123" s="0" t="s">
        <v>12</v>
      </c>
      <c r="B3123" s="0" t="n">
        <v>1009450</v>
      </c>
      <c r="C3123" s="0" t="n">
        <v>1009470</v>
      </c>
      <c r="D3123" s="0" t="s">
        <v>10433</v>
      </c>
      <c r="E3123" s="0" t="s">
        <v>75</v>
      </c>
      <c r="F3123" s="0" t="s">
        <v>90</v>
      </c>
      <c r="G3123" s="0" t="s">
        <v>36</v>
      </c>
      <c r="H3123" s="0" t="n">
        <v>19</v>
      </c>
      <c r="I3123" s="0" t="s">
        <v>10434</v>
      </c>
      <c r="J3123" s="0" t="s">
        <v>10435</v>
      </c>
      <c r="K3123" s="0" t="s">
        <v>10436</v>
      </c>
      <c r="L3123" s="0" t="str">
        <f aca="false">HYPERLINK("https://www.ncbi.nlm.nih.gov/nuccore/CP000058.1?report=graph&amp;tracks=[key:gene_model_track,Options:GeneOnly]&amp;mk=1009451:1009470|offset_19|00cc00,1009418:1009437|offset_52|444444,1009390:1009409|offset_80|444444,1009316:1009335|offset_154|444444&amp;v=1009250:1009535&amp;c=444444", "offset 19")</f>
        <v>offset 19</v>
      </c>
    </row>
    <row r="3124" customFormat="false" ht="12.8" hidden="false" customHeight="false" outlineLevel="0" collapsed="false">
      <c r="A3124" s="0" t="s">
        <v>12</v>
      </c>
      <c r="B3124" s="0" t="n">
        <v>1009417</v>
      </c>
      <c r="C3124" s="0" t="n">
        <v>1009437</v>
      </c>
      <c r="D3124" s="0" t="s">
        <v>10433</v>
      </c>
      <c r="E3124" s="0" t="s">
        <v>75</v>
      </c>
      <c r="F3124" s="0" t="s">
        <v>90</v>
      </c>
      <c r="G3124" s="0" t="s">
        <v>16</v>
      </c>
      <c r="H3124" s="0" t="n">
        <v>52</v>
      </c>
      <c r="I3124" s="0" t="s">
        <v>10437</v>
      </c>
      <c r="J3124" s="0" t="s">
        <v>10438</v>
      </c>
      <c r="K3124" s="0" t="s">
        <v>10439</v>
      </c>
      <c r="L3124" s="0" t="str">
        <f aca="false">HYPERLINK("https://www.ncbi.nlm.nih.gov/nuccore/CP000058.1?report=graph&amp;tracks=[key:gene_model_track,Options:GeneOnly]&amp;mk=1009451:1009470|offset_19|444444,1009418:1009437|offset_52|00cc00,1009390:1009409|offset_80|444444,1009316:1009335|offset_154|444444&amp;v=1009250:1009535&amp;c=444444", "offset 52")</f>
        <v>offset 52</v>
      </c>
    </row>
    <row r="3125" customFormat="false" ht="12.8" hidden="false" customHeight="false" outlineLevel="0" collapsed="false">
      <c r="A3125" s="0" t="s">
        <v>12</v>
      </c>
      <c r="B3125" s="0" t="n">
        <v>1009389</v>
      </c>
      <c r="C3125" s="0" t="n">
        <v>1009409</v>
      </c>
      <c r="D3125" s="0" t="s">
        <v>10433</v>
      </c>
      <c r="E3125" s="0" t="s">
        <v>75</v>
      </c>
      <c r="F3125" s="0" t="s">
        <v>90</v>
      </c>
      <c r="G3125" s="0" t="s">
        <v>20</v>
      </c>
      <c r="H3125" s="0" t="n">
        <v>80</v>
      </c>
      <c r="I3125" s="0" t="s">
        <v>10440</v>
      </c>
      <c r="J3125" s="0" t="s">
        <v>10441</v>
      </c>
      <c r="K3125" s="0" t="s">
        <v>10442</v>
      </c>
      <c r="L3125" s="0" t="str">
        <f aca="false">HYPERLINK("https://www.ncbi.nlm.nih.gov/nuccore/CP000058.1?report=graph&amp;tracks=[key:gene_model_track,Options:GeneOnly]&amp;mk=1009451:1009470|offset_19|444444,1009418:1009437|offset_52|444444,1009390:1009409|offset_80|00cc00,1009316:1009335|offset_154|444444&amp;v=1009250:1009535&amp;c=444444", "offset 80")</f>
        <v>offset 80</v>
      </c>
    </row>
    <row r="3126" customFormat="false" ht="12.8" hidden="false" customHeight="false" outlineLevel="0" collapsed="false">
      <c r="A3126" s="0" t="s">
        <v>12</v>
      </c>
      <c r="B3126" s="0" t="n">
        <v>1009315</v>
      </c>
      <c r="C3126" s="0" t="n">
        <v>1009335</v>
      </c>
      <c r="D3126" s="0" t="s">
        <v>10433</v>
      </c>
      <c r="E3126" s="0" t="s">
        <v>75</v>
      </c>
      <c r="F3126" s="0" t="s">
        <v>90</v>
      </c>
      <c r="G3126" s="0" t="s">
        <v>16</v>
      </c>
      <c r="H3126" s="0" t="n">
        <v>154</v>
      </c>
      <c r="I3126" s="0" t="s">
        <v>10443</v>
      </c>
      <c r="J3126" s="0" t="s">
        <v>10444</v>
      </c>
      <c r="K3126" s="0" t="s">
        <v>10445</v>
      </c>
      <c r="L3126" s="0" t="str">
        <f aca="false">HYPERLINK("https://www.ncbi.nlm.nih.gov/nuccore/CP000058.1?report=graph&amp;tracks=[key:gene_model_track,Options:GeneOnly]&amp;mk=1009451:1009470|offset_19|444444,1009418:1009437|offset_52|444444,1009390:1009409|offset_80|444444,1009316:1009335|offset_154|00cc00&amp;v=1009250:1009535&amp;c=444444", "offset 154")</f>
        <v>offset 154</v>
      </c>
    </row>
    <row r="3127" customFormat="false" ht="12.8" hidden="false" customHeight="false" outlineLevel="0" collapsed="false">
      <c r="A3127" s="0" t="s">
        <v>12</v>
      </c>
      <c r="B3127" s="0" t="n">
        <v>1010415</v>
      </c>
      <c r="C3127" s="0" t="n">
        <v>1010435</v>
      </c>
      <c r="D3127" s="0" t="s">
        <v>10446</v>
      </c>
      <c r="E3127" s="0" t="s">
        <v>10447</v>
      </c>
      <c r="F3127" s="0" t="s">
        <v>90</v>
      </c>
      <c r="G3127" s="0" t="s">
        <v>32</v>
      </c>
      <c r="H3127" s="0" t="n">
        <v>52</v>
      </c>
      <c r="I3127" s="0" t="s">
        <v>10448</v>
      </c>
      <c r="J3127" s="0" t="s">
        <v>10449</v>
      </c>
      <c r="K3127" s="0" t="s">
        <v>10450</v>
      </c>
      <c r="L3127" s="0" t="str">
        <f aca="false">HYPERLINK("https://www.ncbi.nlm.nih.gov/nuccore/CP000058.1?report=graph&amp;tracks=[key:gene_model_track,Options:GeneOnly]&amp;mk=1010416:1010435|offset_52|00cc00,1010392:1010411|offset_76|444444,1010372:1010391|offset_96|444444,1010325:1010344|offset_143|444444&amp;v=1010215:1010544&amp;c=444444", "offset 52")</f>
        <v>offset 52</v>
      </c>
    </row>
    <row r="3128" customFormat="false" ht="12.8" hidden="false" customHeight="false" outlineLevel="0" collapsed="false">
      <c r="A3128" s="0" t="s">
        <v>12</v>
      </c>
      <c r="B3128" s="0" t="n">
        <v>1010391</v>
      </c>
      <c r="C3128" s="0" t="n">
        <v>1010411</v>
      </c>
      <c r="D3128" s="0" t="s">
        <v>10446</v>
      </c>
      <c r="E3128" s="0" t="s">
        <v>10447</v>
      </c>
      <c r="F3128" s="0" t="s">
        <v>90</v>
      </c>
      <c r="G3128" s="0" t="s">
        <v>16</v>
      </c>
      <c r="H3128" s="0" t="n">
        <v>76</v>
      </c>
      <c r="I3128" s="0" t="s">
        <v>10451</v>
      </c>
      <c r="J3128" s="0" t="s">
        <v>10452</v>
      </c>
      <c r="K3128" s="0" t="s">
        <v>10453</v>
      </c>
      <c r="L3128" s="0" t="str">
        <f aca="false">HYPERLINK("https://www.ncbi.nlm.nih.gov/nuccore/CP000058.1?report=graph&amp;tracks=[key:gene_model_track,Options:GeneOnly]&amp;mk=1010416:1010435|offset_52|444444,1010392:1010411|offset_76|00cc00,1010372:1010391|offset_96|444444,1010325:1010344|offset_143|444444&amp;v=1010215:1010544&amp;c=444444", "offset 76")</f>
        <v>offset 76</v>
      </c>
    </row>
    <row r="3129" customFormat="false" ht="12.8" hidden="false" customHeight="false" outlineLevel="0" collapsed="false">
      <c r="A3129" s="0" t="s">
        <v>12</v>
      </c>
      <c r="B3129" s="0" t="n">
        <v>1010371</v>
      </c>
      <c r="C3129" s="0" t="n">
        <v>1010391</v>
      </c>
      <c r="D3129" s="0" t="s">
        <v>10446</v>
      </c>
      <c r="E3129" s="0" t="s">
        <v>10447</v>
      </c>
      <c r="F3129" s="0" t="s">
        <v>90</v>
      </c>
      <c r="G3129" s="0" t="s">
        <v>16</v>
      </c>
      <c r="H3129" s="0" t="n">
        <v>96</v>
      </c>
      <c r="I3129" s="0" t="s">
        <v>10454</v>
      </c>
      <c r="J3129" s="0" t="s">
        <v>10455</v>
      </c>
      <c r="K3129" s="0" t="s">
        <v>10456</v>
      </c>
      <c r="L3129" s="0" t="str">
        <f aca="false">HYPERLINK("https://www.ncbi.nlm.nih.gov/nuccore/CP000058.1?report=graph&amp;tracks=[key:gene_model_track,Options:GeneOnly]&amp;mk=1010416:1010435|offset_52|444444,1010392:1010411|offset_76|444444,1010372:1010391|offset_96|00cc00,1010325:1010344|offset_143|444444&amp;v=1010215:1010544&amp;c=444444", "offset 96")</f>
        <v>offset 96</v>
      </c>
    </row>
    <row r="3130" customFormat="false" ht="12.8" hidden="false" customHeight="false" outlineLevel="0" collapsed="false">
      <c r="A3130" s="0" t="s">
        <v>12</v>
      </c>
      <c r="B3130" s="0" t="n">
        <v>1010324</v>
      </c>
      <c r="C3130" s="0" t="n">
        <v>1010344</v>
      </c>
      <c r="D3130" s="0" t="s">
        <v>10446</v>
      </c>
      <c r="E3130" s="0" t="s">
        <v>10447</v>
      </c>
      <c r="F3130" s="0" t="s">
        <v>90</v>
      </c>
      <c r="G3130" s="0" t="s">
        <v>16</v>
      </c>
      <c r="H3130" s="0" t="n">
        <v>143</v>
      </c>
      <c r="I3130" s="0" t="s">
        <v>10457</v>
      </c>
      <c r="J3130" s="0" t="s">
        <v>10458</v>
      </c>
      <c r="K3130" s="0" t="s">
        <v>10459</v>
      </c>
      <c r="L3130" s="0" t="str">
        <f aca="false">HYPERLINK("https://www.ncbi.nlm.nih.gov/nuccore/CP000058.1?report=graph&amp;tracks=[key:gene_model_track,Options:GeneOnly]&amp;mk=1010416:1010435|offset_52|444444,1010392:1010411|offset_76|444444,1010372:1010391|offset_96|444444,1010325:1010344|offset_143|00cc00&amp;v=1010215:1010544&amp;c=444444", "offset 143")</f>
        <v>offset 143</v>
      </c>
    </row>
    <row r="3131" customFormat="false" ht="12.8" hidden="false" customHeight="false" outlineLevel="0" collapsed="false">
      <c r="A3131" s="0" t="s">
        <v>12</v>
      </c>
      <c r="B3131" s="0" t="n">
        <v>1010872</v>
      </c>
      <c r="C3131" s="0" t="n">
        <v>1010892</v>
      </c>
      <c r="D3131" s="0" t="s">
        <v>10460</v>
      </c>
      <c r="E3131" s="0" t="s">
        <v>75</v>
      </c>
      <c r="F3131" s="0" t="s">
        <v>15</v>
      </c>
      <c r="G3131" s="0" t="s">
        <v>32</v>
      </c>
      <c r="H3131" s="0" t="n">
        <v>31</v>
      </c>
      <c r="I3131" s="0" t="s">
        <v>10461</v>
      </c>
      <c r="J3131" s="0" t="s">
        <v>10462</v>
      </c>
      <c r="K3131" s="0" t="s">
        <v>10463</v>
      </c>
      <c r="L3131" s="0" t="str">
        <f aca="false">HYPERLINK("https://www.ncbi.nlm.nih.gov/nuccore/CP000058.1?report=graph&amp;tracks=[key:gene_model_track,Options:GeneOnly]&amp;mk=1010873:1010892|offset_31|00cc00,1010903:1010922|offset_61|444444,1010925:1010944|offset_83|444444,1010951:1010970|offset_109|444444&amp;v=1010672:1011170&amp;c=444444", "offset 31")</f>
        <v>offset 31</v>
      </c>
    </row>
    <row r="3132" customFormat="false" ht="12.8" hidden="false" customHeight="false" outlineLevel="0" collapsed="false">
      <c r="A3132" s="0" t="s">
        <v>12</v>
      </c>
      <c r="B3132" s="0" t="n">
        <v>1010902</v>
      </c>
      <c r="C3132" s="0" t="n">
        <v>1010922</v>
      </c>
      <c r="D3132" s="0" t="s">
        <v>10460</v>
      </c>
      <c r="E3132" s="0" t="s">
        <v>75</v>
      </c>
      <c r="F3132" s="0" t="s">
        <v>15</v>
      </c>
      <c r="G3132" s="0" t="s">
        <v>16</v>
      </c>
      <c r="H3132" s="0" t="n">
        <v>61</v>
      </c>
      <c r="I3132" s="0" t="s">
        <v>10464</v>
      </c>
      <c r="J3132" s="0" t="s">
        <v>10465</v>
      </c>
      <c r="K3132" s="0" t="s">
        <v>10466</v>
      </c>
      <c r="L3132" s="0" t="str">
        <f aca="false">HYPERLINK("https://www.ncbi.nlm.nih.gov/nuccore/CP000058.1?report=graph&amp;tracks=[key:gene_model_track,Options:GeneOnly]&amp;mk=1010873:1010892|offset_31|444444,1010903:1010922|offset_61|00cc00,1010925:1010944|offset_83|444444,1010951:1010970|offset_109|444444&amp;v=1010672:1011170&amp;c=444444", "offset 61")</f>
        <v>offset 61</v>
      </c>
    </row>
    <row r="3133" customFormat="false" ht="12.8" hidden="false" customHeight="false" outlineLevel="0" collapsed="false">
      <c r="A3133" s="0" t="s">
        <v>12</v>
      </c>
      <c r="B3133" s="0" t="n">
        <v>1010924</v>
      </c>
      <c r="C3133" s="0" t="n">
        <v>1010944</v>
      </c>
      <c r="D3133" s="0" t="s">
        <v>10460</v>
      </c>
      <c r="E3133" s="0" t="s">
        <v>75</v>
      </c>
      <c r="F3133" s="0" t="s">
        <v>15</v>
      </c>
      <c r="G3133" s="0" t="s">
        <v>32</v>
      </c>
      <c r="H3133" s="0" t="n">
        <v>83</v>
      </c>
      <c r="I3133" s="0" t="s">
        <v>10467</v>
      </c>
      <c r="J3133" s="0" t="s">
        <v>10468</v>
      </c>
      <c r="K3133" s="0" t="s">
        <v>10469</v>
      </c>
      <c r="L3133" s="0" t="str">
        <f aca="false">HYPERLINK("https://www.ncbi.nlm.nih.gov/nuccore/CP000058.1?report=graph&amp;tracks=[key:gene_model_track,Options:GeneOnly]&amp;mk=1010873:1010892|offset_31|444444,1010903:1010922|offset_61|444444,1010925:1010944|offset_83|00cc00,1010951:1010970|offset_109|444444&amp;v=1010672:1011170&amp;c=444444", "offset 83")</f>
        <v>offset 83</v>
      </c>
    </row>
    <row r="3134" customFormat="false" ht="12.8" hidden="false" customHeight="false" outlineLevel="0" collapsed="false">
      <c r="A3134" s="0" t="s">
        <v>12</v>
      </c>
      <c r="B3134" s="0" t="n">
        <v>1010950</v>
      </c>
      <c r="C3134" s="0" t="n">
        <v>1010970</v>
      </c>
      <c r="D3134" s="0" t="s">
        <v>10460</v>
      </c>
      <c r="E3134" s="0" t="s">
        <v>75</v>
      </c>
      <c r="F3134" s="0" t="s">
        <v>15</v>
      </c>
      <c r="G3134" s="0" t="s">
        <v>16</v>
      </c>
      <c r="H3134" s="0" t="n">
        <v>109</v>
      </c>
      <c r="I3134" s="0" t="s">
        <v>10470</v>
      </c>
      <c r="J3134" s="0" t="s">
        <v>10471</v>
      </c>
      <c r="K3134" s="0" t="s">
        <v>10472</v>
      </c>
      <c r="L3134" s="0" t="str">
        <f aca="false">HYPERLINK("https://www.ncbi.nlm.nih.gov/nuccore/CP000058.1?report=graph&amp;tracks=[key:gene_model_track,Options:GeneOnly]&amp;mk=1010873:1010892|offset_31|444444,1010903:1010922|offset_61|444444,1010925:1010944|offset_83|444444,1010951:1010970|offset_109|00cc00&amp;v=1010672:1011170&amp;c=444444", "offset 109")</f>
        <v>offset 109</v>
      </c>
    </row>
    <row r="3135" customFormat="false" ht="12.8" hidden="false" customHeight="false" outlineLevel="0" collapsed="false">
      <c r="A3135" s="0" t="s">
        <v>12</v>
      </c>
      <c r="B3135" s="0" t="n">
        <v>1013727</v>
      </c>
      <c r="C3135" s="0" t="n">
        <v>1013747</v>
      </c>
      <c r="D3135" s="0" t="s">
        <v>10473</v>
      </c>
      <c r="E3135" s="0" t="s">
        <v>10474</v>
      </c>
      <c r="F3135" s="0" t="s">
        <v>15</v>
      </c>
      <c r="G3135" s="0" t="s">
        <v>36</v>
      </c>
      <c r="H3135" s="0" t="n">
        <v>19</v>
      </c>
      <c r="I3135" s="0" t="s">
        <v>10475</v>
      </c>
      <c r="J3135" s="0" t="s">
        <v>10476</v>
      </c>
      <c r="K3135" s="0" t="s">
        <v>10477</v>
      </c>
      <c r="L3135" s="0" t="str">
        <f aca="false">HYPERLINK("https://www.ncbi.nlm.nih.gov/nuccore/CP000058.1?report=graph&amp;tracks=[key:gene_model_track,Options:GeneOnly]&amp;mk=1013728:1013747|offset_19|00cc00,1013753:1013772|offset_44|444444,1013786:1013805|offset_77|444444,1013834:1013853|offset_125|444444&amp;v=1013527:1014053&amp;c=444444", "offset 19")</f>
        <v>offset 19</v>
      </c>
    </row>
    <row r="3136" customFormat="false" ht="12.8" hidden="false" customHeight="false" outlineLevel="0" collapsed="false">
      <c r="A3136" s="0" t="s">
        <v>12</v>
      </c>
      <c r="B3136" s="0" t="n">
        <v>1013752</v>
      </c>
      <c r="C3136" s="0" t="n">
        <v>1013772</v>
      </c>
      <c r="D3136" s="0" t="s">
        <v>10473</v>
      </c>
      <c r="E3136" s="0" t="s">
        <v>10474</v>
      </c>
      <c r="F3136" s="0" t="s">
        <v>15</v>
      </c>
      <c r="G3136" s="0" t="s">
        <v>20</v>
      </c>
      <c r="H3136" s="0" t="n">
        <v>44</v>
      </c>
      <c r="I3136" s="0" t="s">
        <v>10478</v>
      </c>
      <c r="J3136" s="0" t="s">
        <v>10479</v>
      </c>
      <c r="K3136" s="0" t="s">
        <v>10480</v>
      </c>
      <c r="L3136" s="0" t="str">
        <f aca="false">HYPERLINK("https://www.ncbi.nlm.nih.gov/nuccore/CP000058.1?report=graph&amp;tracks=[key:gene_model_track,Options:GeneOnly]&amp;mk=1013728:1013747|offset_19|444444,1013753:1013772|offset_44|00cc00,1013786:1013805|offset_77|444444,1013834:1013853|offset_125|444444&amp;v=1013527:1014053&amp;c=444444", "offset 44")</f>
        <v>offset 44</v>
      </c>
    </row>
    <row r="3137" customFormat="false" ht="12.8" hidden="false" customHeight="false" outlineLevel="0" collapsed="false">
      <c r="A3137" s="0" t="s">
        <v>12</v>
      </c>
      <c r="B3137" s="0" t="n">
        <v>1013785</v>
      </c>
      <c r="C3137" s="0" t="n">
        <v>1013805</v>
      </c>
      <c r="D3137" s="0" t="s">
        <v>10473</v>
      </c>
      <c r="E3137" s="0" t="s">
        <v>10474</v>
      </c>
      <c r="F3137" s="0" t="s">
        <v>15</v>
      </c>
      <c r="G3137" s="0" t="s">
        <v>32</v>
      </c>
      <c r="H3137" s="0" t="n">
        <v>77</v>
      </c>
      <c r="I3137" s="0" t="s">
        <v>10481</v>
      </c>
      <c r="J3137" s="0" t="s">
        <v>10482</v>
      </c>
      <c r="K3137" s="0" t="s">
        <v>10483</v>
      </c>
      <c r="L3137" s="0" t="str">
        <f aca="false">HYPERLINK("https://www.ncbi.nlm.nih.gov/nuccore/CP000058.1?report=graph&amp;tracks=[key:gene_model_track,Options:GeneOnly]&amp;mk=1013728:1013747|offset_19|444444,1013753:1013772|offset_44|444444,1013786:1013805|offset_77|00cc00,1013834:1013853|offset_125|444444&amp;v=1013527:1014053&amp;c=444444", "offset 77")</f>
        <v>offset 77</v>
      </c>
    </row>
    <row r="3138" customFormat="false" ht="12.8" hidden="false" customHeight="false" outlineLevel="0" collapsed="false">
      <c r="A3138" s="0" t="s">
        <v>12</v>
      </c>
      <c r="B3138" s="0" t="n">
        <v>1013833</v>
      </c>
      <c r="C3138" s="0" t="n">
        <v>1013853</v>
      </c>
      <c r="D3138" s="0" t="s">
        <v>10473</v>
      </c>
      <c r="E3138" s="0" t="s">
        <v>10474</v>
      </c>
      <c r="F3138" s="0" t="s">
        <v>15</v>
      </c>
      <c r="G3138" s="0" t="s">
        <v>20</v>
      </c>
      <c r="H3138" s="0" t="n">
        <v>125</v>
      </c>
      <c r="I3138" s="0" t="s">
        <v>10484</v>
      </c>
      <c r="J3138" s="0" t="s">
        <v>10485</v>
      </c>
      <c r="K3138" s="0" t="s">
        <v>10486</v>
      </c>
      <c r="L3138" s="0" t="str">
        <f aca="false">HYPERLINK("https://www.ncbi.nlm.nih.gov/nuccore/CP000058.1?report=graph&amp;tracks=[key:gene_model_track,Options:GeneOnly]&amp;mk=1013728:1013747|offset_19|444444,1013753:1013772|offset_44|444444,1013786:1013805|offset_77|444444,1013834:1013853|offset_125|00cc00&amp;v=1013527:1014053&amp;c=444444", "offset 125")</f>
        <v>offset 125</v>
      </c>
    </row>
    <row r="3139" customFormat="false" ht="12.8" hidden="false" customHeight="false" outlineLevel="0" collapsed="false">
      <c r="A3139" s="0" t="s">
        <v>12</v>
      </c>
      <c r="B3139" s="0" t="n">
        <v>1014675</v>
      </c>
      <c r="C3139" s="0" t="n">
        <v>1014695</v>
      </c>
      <c r="D3139" s="0" t="s">
        <v>10487</v>
      </c>
      <c r="E3139" s="0" t="s">
        <v>75</v>
      </c>
      <c r="F3139" s="0" t="s">
        <v>15</v>
      </c>
      <c r="G3139" s="0" t="s">
        <v>32</v>
      </c>
      <c r="H3139" s="0" t="n">
        <v>13</v>
      </c>
      <c r="I3139" s="0" t="s">
        <v>10488</v>
      </c>
      <c r="J3139" s="0" t="s">
        <v>10489</v>
      </c>
      <c r="K3139" s="0" t="s">
        <v>10490</v>
      </c>
      <c r="L3139" s="0" t="str">
        <f aca="false">HYPERLINK("https://www.ncbi.nlm.nih.gov/nuccore/CP000058.1?report=graph&amp;tracks=[key:gene_model_track,Options:GeneOnly]&amp;mk=1014676:1014695|offset_13|00cc00,1014752:1014771|offset_89|444444,1014786:1014805|offset_123|444444,1014829:1014848|offset_166|444444&amp;v=1014475:1015048&amp;c=444444", "offset 13")</f>
        <v>offset 13</v>
      </c>
    </row>
    <row r="3140" customFormat="false" ht="12.8" hidden="false" customHeight="false" outlineLevel="0" collapsed="false">
      <c r="A3140" s="0" t="s">
        <v>12</v>
      </c>
      <c r="B3140" s="0" t="n">
        <v>1014751</v>
      </c>
      <c r="C3140" s="0" t="n">
        <v>1014771</v>
      </c>
      <c r="D3140" s="0" t="s">
        <v>10487</v>
      </c>
      <c r="E3140" s="0" t="s">
        <v>75</v>
      </c>
      <c r="F3140" s="0" t="s">
        <v>15</v>
      </c>
      <c r="G3140" s="0" t="s">
        <v>32</v>
      </c>
      <c r="H3140" s="0" t="n">
        <v>89</v>
      </c>
      <c r="I3140" s="0" t="s">
        <v>10491</v>
      </c>
      <c r="J3140" s="0" t="s">
        <v>10492</v>
      </c>
      <c r="K3140" s="0" t="s">
        <v>10493</v>
      </c>
      <c r="L3140" s="0" t="str">
        <f aca="false">HYPERLINK("https://www.ncbi.nlm.nih.gov/nuccore/CP000058.1?report=graph&amp;tracks=[key:gene_model_track,Options:GeneOnly]&amp;mk=1014676:1014695|offset_13|444444,1014752:1014771|offset_89|00cc00,1014786:1014805|offset_123|444444,1014829:1014848|offset_166|444444&amp;v=1014475:1015048&amp;c=444444", "offset 89")</f>
        <v>offset 89</v>
      </c>
    </row>
    <row r="3141" customFormat="false" ht="12.8" hidden="false" customHeight="false" outlineLevel="0" collapsed="false">
      <c r="A3141" s="0" t="s">
        <v>12</v>
      </c>
      <c r="B3141" s="0" t="n">
        <v>1014785</v>
      </c>
      <c r="C3141" s="0" t="n">
        <v>1014805</v>
      </c>
      <c r="D3141" s="0" t="s">
        <v>10487</v>
      </c>
      <c r="E3141" s="0" t="s">
        <v>75</v>
      </c>
      <c r="F3141" s="0" t="s">
        <v>15</v>
      </c>
      <c r="G3141" s="0" t="s">
        <v>36</v>
      </c>
      <c r="H3141" s="0" t="n">
        <v>123</v>
      </c>
      <c r="I3141" s="0" t="s">
        <v>10494</v>
      </c>
      <c r="J3141" s="0" t="s">
        <v>10495</v>
      </c>
      <c r="K3141" s="0" t="s">
        <v>10496</v>
      </c>
      <c r="L3141" s="0" t="str">
        <f aca="false">HYPERLINK("https://www.ncbi.nlm.nih.gov/nuccore/CP000058.1?report=graph&amp;tracks=[key:gene_model_track,Options:GeneOnly]&amp;mk=1014676:1014695|offset_13|444444,1014752:1014771|offset_89|444444,1014786:1014805|offset_123|00cc00,1014829:1014848|offset_166|444444&amp;v=1014475:1015048&amp;c=444444", "offset 123")</f>
        <v>offset 123</v>
      </c>
    </row>
    <row r="3142" customFormat="false" ht="12.8" hidden="false" customHeight="false" outlineLevel="0" collapsed="false">
      <c r="A3142" s="0" t="s">
        <v>12</v>
      </c>
      <c r="B3142" s="0" t="n">
        <v>1014828</v>
      </c>
      <c r="C3142" s="0" t="n">
        <v>1014848</v>
      </c>
      <c r="D3142" s="0" t="s">
        <v>10487</v>
      </c>
      <c r="E3142" s="0" t="s">
        <v>75</v>
      </c>
      <c r="F3142" s="0" t="s">
        <v>15</v>
      </c>
      <c r="G3142" s="0" t="s">
        <v>16</v>
      </c>
      <c r="H3142" s="0" t="n">
        <v>166</v>
      </c>
      <c r="I3142" s="0" t="s">
        <v>10497</v>
      </c>
      <c r="J3142" s="0" t="s">
        <v>10498</v>
      </c>
      <c r="K3142" s="0" t="s">
        <v>10499</v>
      </c>
      <c r="L3142" s="0" t="str">
        <f aca="false">HYPERLINK("https://www.ncbi.nlm.nih.gov/nuccore/CP000058.1?report=graph&amp;tracks=[key:gene_model_track,Options:GeneOnly]&amp;mk=1014676:1014695|offset_13|444444,1014752:1014771|offset_89|444444,1014786:1014805|offset_123|444444,1014829:1014848|offset_166|00cc00&amp;v=1014475:1015048&amp;c=444444", "offset 166")</f>
        <v>offset 166</v>
      </c>
    </row>
    <row r="3143" customFormat="false" ht="12.8" hidden="false" customHeight="false" outlineLevel="0" collapsed="false">
      <c r="A3143" s="0" t="s">
        <v>12</v>
      </c>
      <c r="B3143" s="0" t="n">
        <v>1017581</v>
      </c>
      <c r="C3143" s="0" t="n">
        <v>1017601</v>
      </c>
      <c r="D3143" s="0" t="s">
        <v>10500</v>
      </c>
      <c r="E3143" s="0" t="s">
        <v>10501</v>
      </c>
      <c r="F3143" s="0" t="s">
        <v>90</v>
      </c>
      <c r="G3143" s="0" t="s">
        <v>32</v>
      </c>
      <c r="H3143" s="0" t="n">
        <v>1</v>
      </c>
      <c r="I3143" s="0" t="s">
        <v>10502</v>
      </c>
      <c r="J3143" s="0" t="s">
        <v>10503</v>
      </c>
      <c r="K3143" s="0" t="s">
        <v>10504</v>
      </c>
      <c r="L3143" s="0" t="str">
        <f aca="false">HYPERLINK("https://www.ncbi.nlm.nih.gov/nuccore/CP000058.1?report=graph&amp;tracks=[key:gene_model_track,Options:GeneOnly]&amp;mk=1017582:1017601|offset_1|00cc00,1017558:1017577|offset_25|444444,1017513:1017532|offset_70|444444,1017459:1017478|offset_124|444444&amp;v=1017381:1017678&amp;c=444444", "offset 1")</f>
        <v>offset 1</v>
      </c>
    </row>
    <row r="3144" customFormat="false" ht="12.8" hidden="false" customHeight="false" outlineLevel="0" collapsed="false">
      <c r="A3144" s="0" t="s">
        <v>12</v>
      </c>
      <c r="B3144" s="0" t="n">
        <v>1017557</v>
      </c>
      <c r="C3144" s="0" t="n">
        <v>1017577</v>
      </c>
      <c r="D3144" s="0" t="s">
        <v>10500</v>
      </c>
      <c r="E3144" s="0" t="s">
        <v>10501</v>
      </c>
      <c r="F3144" s="0" t="s">
        <v>90</v>
      </c>
      <c r="G3144" s="0" t="s">
        <v>16</v>
      </c>
      <c r="H3144" s="0" t="n">
        <v>25</v>
      </c>
      <c r="I3144" s="0" t="s">
        <v>10505</v>
      </c>
      <c r="J3144" s="0" t="s">
        <v>10506</v>
      </c>
      <c r="K3144" s="0" t="s">
        <v>10507</v>
      </c>
      <c r="L3144" s="0" t="str">
        <f aca="false">HYPERLINK("https://www.ncbi.nlm.nih.gov/nuccore/CP000058.1?report=graph&amp;tracks=[key:gene_model_track,Options:GeneOnly]&amp;mk=1017582:1017601|offset_1|444444,1017558:1017577|offset_25|00cc00,1017513:1017532|offset_70|444444,1017459:1017478|offset_124|444444&amp;v=1017381:1017678&amp;c=444444", "offset 25")</f>
        <v>offset 25</v>
      </c>
    </row>
    <row r="3145" customFormat="false" ht="12.8" hidden="false" customHeight="false" outlineLevel="0" collapsed="false">
      <c r="A3145" s="0" t="s">
        <v>12</v>
      </c>
      <c r="B3145" s="0" t="n">
        <v>1017512</v>
      </c>
      <c r="C3145" s="0" t="n">
        <v>1017532</v>
      </c>
      <c r="D3145" s="0" t="s">
        <v>10500</v>
      </c>
      <c r="E3145" s="0" t="s">
        <v>10501</v>
      </c>
      <c r="F3145" s="0" t="s">
        <v>90</v>
      </c>
      <c r="G3145" s="0" t="s">
        <v>32</v>
      </c>
      <c r="H3145" s="0" t="n">
        <v>70</v>
      </c>
      <c r="I3145" s="0" t="s">
        <v>10508</v>
      </c>
      <c r="J3145" s="0" t="s">
        <v>10509</v>
      </c>
      <c r="K3145" s="0" t="s">
        <v>10510</v>
      </c>
      <c r="L3145" s="0" t="str">
        <f aca="false">HYPERLINK("https://www.ncbi.nlm.nih.gov/nuccore/CP000058.1?report=graph&amp;tracks=[key:gene_model_track,Options:GeneOnly]&amp;mk=1017582:1017601|offset_1|444444,1017558:1017577|offset_25|444444,1017513:1017532|offset_70|00cc00,1017459:1017478|offset_124|444444&amp;v=1017381:1017678&amp;c=444444", "offset 70")</f>
        <v>offset 70</v>
      </c>
    </row>
    <row r="3146" customFormat="false" ht="12.8" hidden="false" customHeight="false" outlineLevel="0" collapsed="false">
      <c r="A3146" s="0" t="s">
        <v>12</v>
      </c>
      <c r="B3146" s="0" t="n">
        <v>1017458</v>
      </c>
      <c r="C3146" s="0" t="n">
        <v>1017478</v>
      </c>
      <c r="D3146" s="0" t="s">
        <v>10500</v>
      </c>
      <c r="E3146" s="0" t="s">
        <v>10501</v>
      </c>
      <c r="F3146" s="0" t="s">
        <v>90</v>
      </c>
      <c r="G3146" s="0" t="s">
        <v>16</v>
      </c>
      <c r="H3146" s="0" t="n">
        <v>124</v>
      </c>
      <c r="I3146" s="0" t="s">
        <v>10511</v>
      </c>
      <c r="J3146" s="0" t="s">
        <v>10512</v>
      </c>
      <c r="K3146" s="0" t="s">
        <v>10513</v>
      </c>
      <c r="L3146" s="0" t="str">
        <f aca="false">HYPERLINK("https://www.ncbi.nlm.nih.gov/nuccore/CP000058.1?report=graph&amp;tracks=[key:gene_model_track,Options:GeneOnly]&amp;mk=1017582:1017601|offset_1|444444,1017558:1017577|offset_25|444444,1017513:1017532|offset_70|444444,1017459:1017478|offset_124|00cc00&amp;v=1017381:1017678&amp;c=444444", "offset 124")</f>
        <v>offset 124</v>
      </c>
    </row>
    <row r="3147" customFormat="false" ht="12.8" hidden="false" customHeight="false" outlineLevel="0" collapsed="false">
      <c r="A3147" s="0" t="s">
        <v>12</v>
      </c>
      <c r="B3147" s="0" t="n">
        <v>1018534</v>
      </c>
      <c r="C3147" s="0" t="n">
        <v>1018554</v>
      </c>
      <c r="D3147" s="0" t="s">
        <v>10514</v>
      </c>
      <c r="E3147" s="0" t="s">
        <v>75</v>
      </c>
      <c r="F3147" s="0" t="s">
        <v>90</v>
      </c>
      <c r="G3147" s="0" t="s">
        <v>16</v>
      </c>
      <c r="H3147" s="0" t="n">
        <v>14</v>
      </c>
      <c r="I3147" s="0" t="s">
        <v>10515</v>
      </c>
      <c r="J3147" s="0" t="s">
        <v>10516</v>
      </c>
      <c r="K3147" s="0" t="s">
        <v>10517</v>
      </c>
      <c r="L3147" s="0" t="str">
        <f aca="false">HYPERLINK("https://www.ncbi.nlm.nih.gov/nuccore/CP000058.1?report=graph&amp;tracks=[key:gene_model_track,Options:GeneOnly]&amp;mk=1018535:1018554|offset_14|00cc00,1018505:1018524|offset_44|444444,1018484:1018503|offset_65|444444,1018464:1018483|offset_85|444444&amp;v=1018334:1018683&amp;c=444444", "offset 14")</f>
        <v>offset 14</v>
      </c>
    </row>
    <row r="3148" customFormat="false" ht="12.8" hidden="false" customHeight="false" outlineLevel="0" collapsed="false">
      <c r="A3148" s="0" t="s">
        <v>12</v>
      </c>
      <c r="B3148" s="0" t="n">
        <v>1018504</v>
      </c>
      <c r="C3148" s="0" t="n">
        <v>1018524</v>
      </c>
      <c r="D3148" s="0" t="s">
        <v>10514</v>
      </c>
      <c r="E3148" s="0" t="s">
        <v>75</v>
      </c>
      <c r="F3148" s="0" t="s">
        <v>90</v>
      </c>
      <c r="G3148" s="0" t="s">
        <v>20</v>
      </c>
      <c r="H3148" s="0" t="n">
        <v>44</v>
      </c>
      <c r="I3148" s="0" t="s">
        <v>10518</v>
      </c>
      <c r="J3148" s="0" t="s">
        <v>10519</v>
      </c>
      <c r="K3148" s="0" t="s">
        <v>10520</v>
      </c>
      <c r="L3148" s="0" t="str">
        <f aca="false">HYPERLINK("https://www.ncbi.nlm.nih.gov/nuccore/CP000058.1?report=graph&amp;tracks=[key:gene_model_track,Options:GeneOnly]&amp;mk=1018535:1018554|offset_14|444444,1018505:1018524|offset_44|00cc00,1018484:1018503|offset_65|444444,1018464:1018483|offset_85|444444&amp;v=1018334:1018683&amp;c=444444", "offset 44")</f>
        <v>offset 44</v>
      </c>
    </row>
    <row r="3149" customFormat="false" ht="12.8" hidden="false" customHeight="false" outlineLevel="0" collapsed="false">
      <c r="A3149" s="0" t="s">
        <v>12</v>
      </c>
      <c r="B3149" s="0" t="n">
        <v>1018483</v>
      </c>
      <c r="C3149" s="0" t="n">
        <v>1018503</v>
      </c>
      <c r="D3149" s="0" t="s">
        <v>10514</v>
      </c>
      <c r="E3149" s="0" t="s">
        <v>75</v>
      </c>
      <c r="F3149" s="0" t="s">
        <v>90</v>
      </c>
      <c r="G3149" s="0" t="s">
        <v>32</v>
      </c>
      <c r="H3149" s="0" t="n">
        <v>65</v>
      </c>
      <c r="I3149" s="0" t="s">
        <v>10521</v>
      </c>
      <c r="J3149" s="0" t="s">
        <v>10522</v>
      </c>
      <c r="K3149" s="0" t="s">
        <v>10523</v>
      </c>
      <c r="L3149" s="0" t="str">
        <f aca="false">HYPERLINK("https://www.ncbi.nlm.nih.gov/nuccore/CP000058.1?report=graph&amp;tracks=[key:gene_model_track,Options:GeneOnly]&amp;mk=1018535:1018554|offset_14|444444,1018505:1018524|offset_44|444444,1018484:1018503|offset_65|00cc00,1018464:1018483|offset_85|444444&amp;v=1018334:1018683&amp;c=444444", "offset 65")</f>
        <v>offset 65</v>
      </c>
    </row>
    <row r="3150" customFormat="false" ht="12.8" hidden="false" customHeight="false" outlineLevel="0" collapsed="false">
      <c r="A3150" s="0" t="s">
        <v>12</v>
      </c>
      <c r="B3150" s="0" t="n">
        <v>1018463</v>
      </c>
      <c r="C3150" s="0" t="n">
        <v>1018483</v>
      </c>
      <c r="D3150" s="0" t="s">
        <v>10514</v>
      </c>
      <c r="E3150" s="0" t="s">
        <v>75</v>
      </c>
      <c r="F3150" s="0" t="s">
        <v>90</v>
      </c>
      <c r="G3150" s="0" t="s">
        <v>32</v>
      </c>
      <c r="H3150" s="0" t="n">
        <v>85</v>
      </c>
      <c r="I3150" s="0" t="s">
        <v>10524</v>
      </c>
      <c r="J3150" s="0" t="s">
        <v>10525</v>
      </c>
      <c r="K3150" s="0" t="s">
        <v>10526</v>
      </c>
      <c r="L3150" s="0" t="str">
        <f aca="false">HYPERLINK("https://www.ncbi.nlm.nih.gov/nuccore/CP000058.1?report=graph&amp;tracks=[key:gene_model_track,Options:GeneOnly]&amp;mk=1018535:1018554|offset_14|444444,1018505:1018524|offset_44|444444,1018484:1018503|offset_65|444444,1018464:1018483|offset_85|00cc00&amp;v=1018334:1018683&amp;c=444444", "offset 85")</f>
        <v>offset 85</v>
      </c>
    </row>
    <row r="3151" customFormat="false" ht="12.8" hidden="false" customHeight="false" outlineLevel="0" collapsed="false">
      <c r="A3151" s="0" t="s">
        <v>12</v>
      </c>
      <c r="B3151" s="0" t="n">
        <v>1020410</v>
      </c>
      <c r="C3151" s="0" t="n">
        <v>1020430</v>
      </c>
      <c r="D3151" s="0" t="s">
        <v>10527</v>
      </c>
      <c r="E3151" s="0" t="s">
        <v>10528</v>
      </c>
      <c r="F3151" s="0" t="s">
        <v>90</v>
      </c>
      <c r="G3151" s="0" t="s">
        <v>16</v>
      </c>
      <c r="H3151" s="0" t="n">
        <v>14</v>
      </c>
      <c r="I3151" s="0" t="s">
        <v>10529</v>
      </c>
      <c r="J3151" s="0" t="s">
        <v>10530</v>
      </c>
      <c r="K3151" s="0" t="s">
        <v>10531</v>
      </c>
      <c r="L3151" s="0" t="str">
        <f aca="false">HYPERLINK("https://www.ncbi.nlm.nih.gov/nuccore/CP000058.1?report=graph&amp;tracks=[key:gene_model_track,Options:GeneOnly]&amp;mk=1020411:1020430|offset_14|00cc00,1020391:1020410|offset_34|444444,1020357:1020376|offset_68|444444,1020308:1020327|offset_117|444444&amp;v=1020210:1020527&amp;c=444444", "offset 14")</f>
        <v>offset 14</v>
      </c>
    </row>
    <row r="3152" customFormat="false" ht="12.8" hidden="false" customHeight="false" outlineLevel="0" collapsed="false">
      <c r="A3152" s="0" t="s">
        <v>12</v>
      </c>
      <c r="B3152" s="0" t="n">
        <v>1020390</v>
      </c>
      <c r="C3152" s="0" t="n">
        <v>1020410</v>
      </c>
      <c r="D3152" s="0" t="s">
        <v>10527</v>
      </c>
      <c r="E3152" s="0" t="s">
        <v>10528</v>
      </c>
      <c r="F3152" s="0" t="s">
        <v>90</v>
      </c>
      <c r="G3152" s="0" t="s">
        <v>16</v>
      </c>
      <c r="H3152" s="0" t="n">
        <v>34</v>
      </c>
      <c r="I3152" s="0" t="s">
        <v>10532</v>
      </c>
      <c r="J3152" s="0" t="s">
        <v>10533</v>
      </c>
      <c r="K3152" s="0" t="s">
        <v>10534</v>
      </c>
      <c r="L3152" s="0" t="str">
        <f aca="false">HYPERLINK("https://www.ncbi.nlm.nih.gov/nuccore/CP000058.1?report=graph&amp;tracks=[key:gene_model_track,Options:GeneOnly]&amp;mk=1020411:1020430|offset_14|444444,1020391:1020410|offset_34|00cc00,1020357:1020376|offset_68|444444,1020308:1020327|offset_117|444444&amp;v=1020210:1020527&amp;c=444444", "offset 34")</f>
        <v>offset 34</v>
      </c>
    </row>
    <row r="3153" customFormat="false" ht="12.8" hidden="false" customHeight="false" outlineLevel="0" collapsed="false">
      <c r="A3153" s="0" t="s">
        <v>12</v>
      </c>
      <c r="B3153" s="0" t="n">
        <v>1020356</v>
      </c>
      <c r="C3153" s="0" t="n">
        <v>1020376</v>
      </c>
      <c r="D3153" s="0" t="s">
        <v>10527</v>
      </c>
      <c r="E3153" s="0" t="s">
        <v>10528</v>
      </c>
      <c r="F3153" s="0" t="s">
        <v>90</v>
      </c>
      <c r="G3153" s="0" t="s">
        <v>16</v>
      </c>
      <c r="H3153" s="0" t="n">
        <v>68</v>
      </c>
      <c r="I3153" s="0" t="s">
        <v>10535</v>
      </c>
      <c r="J3153" s="0" t="s">
        <v>10536</v>
      </c>
      <c r="K3153" s="0" t="s">
        <v>10537</v>
      </c>
      <c r="L3153" s="0" t="str">
        <f aca="false">HYPERLINK("https://www.ncbi.nlm.nih.gov/nuccore/CP000058.1?report=graph&amp;tracks=[key:gene_model_track,Options:GeneOnly]&amp;mk=1020411:1020430|offset_14|444444,1020391:1020410|offset_34|444444,1020357:1020376|offset_68|00cc00,1020308:1020327|offset_117|444444&amp;v=1020210:1020527&amp;c=444444", "offset 68")</f>
        <v>offset 68</v>
      </c>
    </row>
    <row r="3154" customFormat="false" ht="12.8" hidden="false" customHeight="false" outlineLevel="0" collapsed="false">
      <c r="A3154" s="0" t="s">
        <v>12</v>
      </c>
      <c r="B3154" s="0" t="n">
        <v>1020307</v>
      </c>
      <c r="C3154" s="0" t="n">
        <v>1020327</v>
      </c>
      <c r="D3154" s="0" t="s">
        <v>10527</v>
      </c>
      <c r="E3154" s="0" t="s">
        <v>10528</v>
      </c>
      <c r="F3154" s="0" t="s">
        <v>90</v>
      </c>
      <c r="G3154" s="0" t="s">
        <v>16</v>
      </c>
      <c r="H3154" s="0" t="n">
        <v>117</v>
      </c>
      <c r="I3154" s="0" t="s">
        <v>10538</v>
      </c>
      <c r="J3154" s="0" t="s">
        <v>10539</v>
      </c>
      <c r="K3154" s="0" t="s">
        <v>10540</v>
      </c>
      <c r="L3154" s="0" t="str">
        <f aca="false">HYPERLINK("https://www.ncbi.nlm.nih.gov/nuccore/CP000058.1?report=graph&amp;tracks=[key:gene_model_track,Options:GeneOnly]&amp;mk=1020411:1020430|offset_14|444444,1020391:1020410|offset_34|444444,1020357:1020376|offset_68|444444,1020308:1020327|offset_117|00cc00&amp;v=1020210:1020527&amp;c=444444", "offset 117")</f>
        <v>offset 117</v>
      </c>
    </row>
    <row r="3155" customFormat="false" ht="12.8" hidden="false" customHeight="false" outlineLevel="0" collapsed="false">
      <c r="A3155" s="0" t="s">
        <v>12</v>
      </c>
      <c r="B3155" s="0" t="n">
        <v>1021510</v>
      </c>
      <c r="C3155" s="0" t="n">
        <v>1021530</v>
      </c>
      <c r="D3155" s="0" t="s">
        <v>10541</v>
      </c>
      <c r="E3155" s="0" t="s">
        <v>10542</v>
      </c>
      <c r="F3155" s="0" t="s">
        <v>90</v>
      </c>
      <c r="G3155" s="0" t="s">
        <v>16</v>
      </c>
      <c r="H3155" s="0" t="n">
        <v>19</v>
      </c>
      <c r="I3155" s="0" t="s">
        <v>10543</v>
      </c>
      <c r="J3155" s="0" t="s">
        <v>10544</v>
      </c>
      <c r="K3155" s="0" t="s">
        <v>10545</v>
      </c>
      <c r="L3155" s="0" t="str">
        <f aca="false">HYPERLINK("https://www.ncbi.nlm.nih.gov/nuccore/CP000058.1?report=graph&amp;tracks=[key:gene_model_track,Options:GeneOnly]&amp;mk=1021511:1021530|offset_19|00cc00,1021490:1021509|offset_40|444444,1021446:1021465|offset_84|444444,1021420:1021439|offset_110|444444&amp;v=1021310:1021639&amp;c=444444", "offset 19")</f>
        <v>offset 19</v>
      </c>
    </row>
    <row r="3156" customFormat="false" ht="12.8" hidden="false" customHeight="false" outlineLevel="0" collapsed="false">
      <c r="A3156" s="0" t="s">
        <v>12</v>
      </c>
      <c r="B3156" s="0" t="n">
        <v>1021489</v>
      </c>
      <c r="C3156" s="0" t="n">
        <v>1021509</v>
      </c>
      <c r="D3156" s="0" t="s">
        <v>10541</v>
      </c>
      <c r="E3156" s="0" t="s">
        <v>10542</v>
      </c>
      <c r="F3156" s="0" t="s">
        <v>90</v>
      </c>
      <c r="G3156" s="0" t="s">
        <v>16</v>
      </c>
      <c r="H3156" s="0" t="n">
        <v>40</v>
      </c>
      <c r="I3156" s="0" t="s">
        <v>10546</v>
      </c>
      <c r="J3156" s="0" t="s">
        <v>10547</v>
      </c>
      <c r="K3156" s="0" t="s">
        <v>10548</v>
      </c>
      <c r="L3156" s="0" t="str">
        <f aca="false">HYPERLINK("https://www.ncbi.nlm.nih.gov/nuccore/CP000058.1?report=graph&amp;tracks=[key:gene_model_track,Options:GeneOnly]&amp;mk=1021511:1021530|offset_19|444444,1021490:1021509|offset_40|00cc00,1021446:1021465|offset_84|444444,1021420:1021439|offset_110|444444&amp;v=1021310:1021639&amp;c=444444", "offset 40")</f>
        <v>offset 40</v>
      </c>
    </row>
    <row r="3157" customFormat="false" ht="12.8" hidden="false" customHeight="false" outlineLevel="0" collapsed="false">
      <c r="A3157" s="0" t="s">
        <v>12</v>
      </c>
      <c r="B3157" s="0" t="n">
        <v>1021445</v>
      </c>
      <c r="C3157" s="0" t="n">
        <v>1021465</v>
      </c>
      <c r="D3157" s="0" t="s">
        <v>10541</v>
      </c>
      <c r="E3157" s="0" t="s">
        <v>10542</v>
      </c>
      <c r="F3157" s="0" t="s">
        <v>90</v>
      </c>
      <c r="G3157" s="0" t="s">
        <v>16</v>
      </c>
      <c r="H3157" s="0" t="n">
        <v>84</v>
      </c>
      <c r="I3157" s="0" t="s">
        <v>10549</v>
      </c>
      <c r="J3157" s="0" t="s">
        <v>10550</v>
      </c>
      <c r="K3157" s="0" t="s">
        <v>10551</v>
      </c>
      <c r="L3157" s="0" t="str">
        <f aca="false">HYPERLINK("https://www.ncbi.nlm.nih.gov/nuccore/CP000058.1?report=graph&amp;tracks=[key:gene_model_track,Options:GeneOnly]&amp;mk=1021511:1021530|offset_19|444444,1021490:1021509|offset_40|444444,1021446:1021465|offset_84|00cc00,1021420:1021439|offset_110|444444&amp;v=1021310:1021639&amp;c=444444", "offset 84")</f>
        <v>offset 84</v>
      </c>
    </row>
    <row r="3158" customFormat="false" ht="12.8" hidden="false" customHeight="false" outlineLevel="0" collapsed="false">
      <c r="A3158" s="0" t="s">
        <v>12</v>
      </c>
      <c r="B3158" s="0" t="n">
        <v>1021419</v>
      </c>
      <c r="C3158" s="0" t="n">
        <v>1021439</v>
      </c>
      <c r="D3158" s="0" t="s">
        <v>10541</v>
      </c>
      <c r="E3158" s="0" t="s">
        <v>10542</v>
      </c>
      <c r="F3158" s="0" t="s">
        <v>90</v>
      </c>
      <c r="G3158" s="0" t="s">
        <v>32</v>
      </c>
      <c r="H3158" s="0" t="n">
        <v>110</v>
      </c>
      <c r="I3158" s="0" t="s">
        <v>10552</v>
      </c>
      <c r="J3158" s="0" t="s">
        <v>10553</v>
      </c>
      <c r="K3158" s="0" t="s">
        <v>10554</v>
      </c>
      <c r="L3158" s="0" t="str">
        <f aca="false">HYPERLINK("https://www.ncbi.nlm.nih.gov/nuccore/CP000058.1?report=graph&amp;tracks=[key:gene_model_track,Options:GeneOnly]&amp;mk=1021511:1021530|offset_19|444444,1021490:1021509|offset_40|444444,1021446:1021465|offset_84|444444,1021420:1021439|offset_110|00cc00&amp;v=1021310:1021639&amp;c=444444", "offset 110")</f>
        <v>offset 110</v>
      </c>
    </row>
    <row r="3159" customFormat="false" ht="12.8" hidden="false" customHeight="false" outlineLevel="0" collapsed="false">
      <c r="A3159" s="0" t="s">
        <v>12</v>
      </c>
      <c r="B3159" s="0" t="n">
        <v>1022320</v>
      </c>
      <c r="C3159" s="0" t="n">
        <v>1022340</v>
      </c>
      <c r="D3159" s="0" t="s">
        <v>10555</v>
      </c>
      <c r="E3159" s="0" t="s">
        <v>10556</v>
      </c>
      <c r="F3159" s="0" t="s">
        <v>90</v>
      </c>
      <c r="G3159" s="0" t="s">
        <v>16</v>
      </c>
      <c r="H3159" s="0" t="n">
        <v>6</v>
      </c>
      <c r="I3159" s="0" t="s">
        <v>10557</v>
      </c>
      <c r="J3159" s="0" t="s">
        <v>10558</v>
      </c>
      <c r="K3159" s="0" t="s">
        <v>10559</v>
      </c>
      <c r="L3159" s="0" t="str">
        <f aca="false">HYPERLINK("https://www.ncbi.nlm.nih.gov/nuccore/CP000058.1?report=graph&amp;tracks=[key:gene_model_track,Options:GeneOnly]&amp;mk=1022321:1022340|offset_6|00cc00,1022293:1022312|offset_34|444444,1022266:1022285|offset_61|444444,1022242:1022261|offset_85|444444&amp;v=1022120:1022461&amp;c=444444", "offset 6")</f>
        <v>offset 6</v>
      </c>
    </row>
    <row r="3160" customFormat="false" ht="12.8" hidden="false" customHeight="false" outlineLevel="0" collapsed="false">
      <c r="A3160" s="0" t="s">
        <v>12</v>
      </c>
      <c r="B3160" s="0" t="n">
        <v>1022292</v>
      </c>
      <c r="C3160" s="0" t="n">
        <v>1022312</v>
      </c>
      <c r="D3160" s="0" t="s">
        <v>10555</v>
      </c>
      <c r="E3160" s="0" t="s">
        <v>10556</v>
      </c>
      <c r="F3160" s="0" t="s">
        <v>90</v>
      </c>
      <c r="G3160" s="0" t="s">
        <v>32</v>
      </c>
      <c r="H3160" s="0" t="n">
        <v>34</v>
      </c>
      <c r="I3160" s="0" t="s">
        <v>10560</v>
      </c>
      <c r="J3160" s="0" t="s">
        <v>10561</v>
      </c>
      <c r="K3160" s="0" t="s">
        <v>10562</v>
      </c>
      <c r="L3160" s="0" t="str">
        <f aca="false">HYPERLINK("https://www.ncbi.nlm.nih.gov/nuccore/CP000058.1?report=graph&amp;tracks=[key:gene_model_track,Options:GeneOnly]&amp;mk=1022321:1022340|offset_6|444444,1022293:1022312|offset_34|00cc00,1022266:1022285|offset_61|444444,1022242:1022261|offset_85|444444&amp;v=1022120:1022461&amp;c=444444", "offset 34")</f>
        <v>offset 34</v>
      </c>
    </row>
    <row r="3161" customFormat="false" ht="12.8" hidden="false" customHeight="false" outlineLevel="0" collapsed="false">
      <c r="A3161" s="0" t="s">
        <v>12</v>
      </c>
      <c r="B3161" s="0" t="n">
        <v>1022265</v>
      </c>
      <c r="C3161" s="0" t="n">
        <v>1022285</v>
      </c>
      <c r="D3161" s="0" t="s">
        <v>10555</v>
      </c>
      <c r="E3161" s="0" t="s">
        <v>10556</v>
      </c>
      <c r="F3161" s="0" t="s">
        <v>90</v>
      </c>
      <c r="G3161" s="0" t="s">
        <v>32</v>
      </c>
      <c r="H3161" s="0" t="n">
        <v>61</v>
      </c>
      <c r="I3161" s="0" t="s">
        <v>10563</v>
      </c>
      <c r="J3161" s="0" t="s">
        <v>10564</v>
      </c>
      <c r="K3161" s="0" t="s">
        <v>10565</v>
      </c>
      <c r="L3161" s="0" t="str">
        <f aca="false">HYPERLINK("https://www.ncbi.nlm.nih.gov/nuccore/CP000058.1?report=graph&amp;tracks=[key:gene_model_track,Options:GeneOnly]&amp;mk=1022321:1022340|offset_6|444444,1022293:1022312|offset_34|444444,1022266:1022285|offset_61|00cc00,1022242:1022261|offset_85|444444&amp;v=1022120:1022461&amp;c=444444", "offset 61")</f>
        <v>offset 61</v>
      </c>
    </row>
    <row r="3162" customFormat="false" ht="12.8" hidden="false" customHeight="false" outlineLevel="0" collapsed="false">
      <c r="A3162" s="0" t="s">
        <v>12</v>
      </c>
      <c r="B3162" s="0" t="n">
        <v>1022241</v>
      </c>
      <c r="C3162" s="0" t="n">
        <v>1022261</v>
      </c>
      <c r="D3162" s="0" t="s">
        <v>10555</v>
      </c>
      <c r="E3162" s="0" t="s">
        <v>10556</v>
      </c>
      <c r="F3162" s="0" t="s">
        <v>90</v>
      </c>
      <c r="G3162" s="0" t="s">
        <v>20</v>
      </c>
      <c r="H3162" s="0" t="n">
        <v>85</v>
      </c>
      <c r="I3162" s="0" t="s">
        <v>10566</v>
      </c>
      <c r="J3162" s="0" t="s">
        <v>10567</v>
      </c>
      <c r="K3162" s="0" t="s">
        <v>10568</v>
      </c>
      <c r="L3162" s="0" t="str">
        <f aca="false">HYPERLINK("https://www.ncbi.nlm.nih.gov/nuccore/CP000058.1?report=graph&amp;tracks=[key:gene_model_track,Options:GeneOnly]&amp;mk=1022321:1022340|offset_6|444444,1022293:1022312|offset_34|444444,1022266:1022285|offset_61|444444,1022242:1022261|offset_85|00cc00&amp;v=1022120:1022461&amp;c=444444", "offset 85")</f>
        <v>offset 85</v>
      </c>
    </row>
    <row r="3163" customFormat="false" ht="12.8" hidden="false" customHeight="false" outlineLevel="0" collapsed="false">
      <c r="A3163" s="0" t="s">
        <v>12</v>
      </c>
      <c r="B3163" s="0" t="n">
        <v>1023049</v>
      </c>
      <c r="C3163" s="0" t="n">
        <v>1023069</v>
      </c>
      <c r="D3163" s="0" t="s">
        <v>10569</v>
      </c>
      <c r="E3163" s="0" t="s">
        <v>10570</v>
      </c>
      <c r="F3163" s="0" t="s">
        <v>90</v>
      </c>
      <c r="G3163" s="0" t="s">
        <v>16</v>
      </c>
      <c r="H3163" s="0" t="n">
        <v>12</v>
      </c>
      <c r="I3163" s="0" t="s">
        <v>10571</v>
      </c>
      <c r="J3163" s="0" t="s">
        <v>10572</v>
      </c>
      <c r="K3163" s="0" t="s">
        <v>10573</v>
      </c>
      <c r="L3163" s="0" t="str">
        <f aca="false">HYPERLINK("https://www.ncbi.nlm.nih.gov/nuccore/CP000058.1?report=graph&amp;tracks=[key:gene_model_track,Options:GeneOnly]&amp;mk=1023050:1023069|offset_12|00cc00,1023018:1023037|offset_44|444444,1022997:1023016|offset_65|444444,1022974:1022993|offset_88|444444&amp;v=1022849:1023193&amp;c=444444", "offset 12")</f>
        <v>offset 12</v>
      </c>
    </row>
    <row r="3164" customFormat="false" ht="12.8" hidden="false" customHeight="false" outlineLevel="0" collapsed="false">
      <c r="A3164" s="0" t="s">
        <v>12</v>
      </c>
      <c r="B3164" s="0" t="n">
        <v>1023017</v>
      </c>
      <c r="C3164" s="0" t="n">
        <v>1023037</v>
      </c>
      <c r="D3164" s="0" t="s">
        <v>10569</v>
      </c>
      <c r="E3164" s="0" t="s">
        <v>10570</v>
      </c>
      <c r="F3164" s="0" t="s">
        <v>90</v>
      </c>
      <c r="G3164" s="0" t="s">
        <v>20</v>
      </c>
      <c r="H3164" s="0" t="n">
        <v>44</v>
      </c>
      <c r="I3164" s="0" t="s">
        <v>10574</v>
      </c>
      <c r="J3164" s="0" t="s">
        <v>10575</v>
      </c>
      <c r="K3164" s="0" t="s">
        <v>10576</v>
      </c>
      <c r="L3164" s="0" t="str">
        <f aca="false">HYPERLINK("https://www.ncbi.nlm.nih.gov/nuccore/CP000058.1?report=graph&amp;tracks=[key:gene_model_track,Options:GeneOnly]&amp;mk=1023050:1023069|offset_12|444444,1023018:1023037|offset_44|00cc00,1022997:1023016|offset_65|444444,1022974:1022993|offset_88|444444&amp;v=1022849:1023193&amp;c=444444", "offset 44")</f>
        <v>offset 44</v>
      </c>
    </row>
    <row r="3165" customFormat="false" ht="12.8" hidden="false" customHeight="false" outlineLevel="0" collapsed="false">
      <c r="A3165" s="0" t="s">
        <v>12</v>
      </c>
      <c r="B3165" s="0" t="n">
        <v>1022996</v>
      </c>
      <c r="C3165" s="0" t="n">
        <v>1023016</v>
      </c>
      <c r="D3165" s="0" t="s">
        <v>10569</v>
      </c>
      <c r="E3165" s="0" t="s">
        <v>10570</v>
      </c>
      <c r="F3165" s="0" t="s">
        <v>90</v>
      </c>
      <c r="G3165" s="0" t="s">
        <v>36</v>
      </c>
      <c r="H3165" s="0" t="n">
        <v>65</v>
      </c>
      <c r="I3165" s="0" t="s">
        <v>10577</v>
      </c>
      <c r="J3165" s="0" t="s">
        <v>10578</v>
      </c>
      <c r="K3165" s="0" t="s">
        <v>10579</v>
      </c>
      <c r="L3165" s="0" t="str">
        <f aca="false">HYPERLINK("https://www.ncbi.nlm.nih.gov/nuccore/CP000058.1?report=graph&amp;tracks=[key:gene_model_track,Options:GeneOnly]&amp;mk=1023050:1023069|offset_12|444444,1023018:1023037|offset_44|444444,1022997:1023016|offset_65|00cc00,1022974:1022993|offset_88|444444&amp;v=1022849:1023193&amp;c=444444", "offset 65")</f>
        <v>offset 65</v>
      </c>
    </row>
    <row r="3166" customFormat="false" ht="12.8" hidden="false" customHeight="false" outlineLevel="0" collapsed="false">
      <c r="A3166" s="0" t="s">
        <v>12</v>
      </c>
      <c r="B3166" s="0" t="n">
        <v>1022973</v>
      </c>
      <c r="C3166" s="0" t="n">
        <v>1022993</v>
      </c>
      <c r="D3166" s="0" t="s">
        <v>10569</v>
      </c>
      <c r="E3166" s="0" t="s">
        <v>10570</v>
      </c>
      <c r="F3166" s="0" t="s">
        <v>90</v>
      </c>
      <c r="G3166" s="0" t="s">
        <v>36</v>
      </c>
      <c r="H3166" s="0" t="n">
        <v>88</v>
      </c>
      <c r="I3166" s="0" t="s">
        <v>10580</v>
      </c>
      <c r="J3166" s="0" t="s">
        <v>10581</v>
      </c>
      <c r="K3166" s="0" t="s">
        <v>10582</v>
      </c>
      <c r="L3166" s="0" t="str">
        <f aca="false">HYPERLINK("https://www.ncbi.nlm.nih.gov/nuccore/CP000058.1?report=graph&amp;tracks=[key:gene_model_track,Options:GeneOnly]&amp;mk=1023050:1023069|offset_12|444444,1023018:1023037|offset_44|444444,1022997:1023016|offset_65|444444,1022974:1022993|offset_88|00cc00&amp;v=1022849:1023193&amp;c=444444", "offset 88")</f>
        <v>offset 88</v>
      </c>
    </row>
    <row r="3167" customFormat="false" ht="12.8" hidden="false" customHeight="false" outlineLevel="0" collapsed="false">
      <c r="A3167" s="0" t="s">
        <v>12</v>
      </c>
      <c r="B3167" s="0" t="n">
        <v>1024516</v>
      </c>
      <c r="C3167" s="0" t="n">
        <v>1024536</v>
      </c>
      <c r="D3167" s="0" t="s">
        <v>10583</v>
      </c>
      <c r="E3167" s="0" t="s">
        <v>10584</v>
      </c>
      <c r="F3167" s="0" t="s">
        <v>90</v>
      </c>
      <c r="G3167" s="0" t="s">
        <v>36</v>
      </c>
      <c r="H3167" s="0" t="n">
        <v>13</v>
      </c>
      <c r="I3167" s="0" t="s">
        <v>10585</v>
      </c>
      <c r="J3167" s="0" t="s">
        <v>10586</v>
      </c>
      <c r="K3167" s="0" t="s">
        <v>10587</v>
      </c>
      <c r="L3167" s="0" t="str">
        <f aca="false">HYPERLINK("https://www.ncbi.nlm.nih.gov/nuccore/CP000058.1?report=graph&amp;tracks=[key:gene_model_track,Options:GeneOnly]&amp;mk=1024517:1024536|offset_13|00cc00,1024495:1024514|offset_35|444444,1024474:1024493|offset_56|444444,1024438:1024457|offset_92|444444&amp;v=1024316:1024657&amp;c=444444", "offset 13")</f>
        <v>offset 13</v>
      </c>
    </row>
    <row r="3168" customFormat="false" ht="12.8" hidden="false" customHeight="false" outlineLevel="0" collapsed="false">
      <c r="A3168" s="0" t="s">
        <v>12</v>
      </c>
      <c r="B3168" s="0" t="n">
        <v>1024494</v>
      </c>
      <c r="C3168" s="0" t="n">
        <v>1024514</v>
      </c>
      <c r="D3168" s="0" t="s">
        <v>10583</v>
      </c>
      <c r="E3168" s="0" t="s">
        <v>10584</v>
      </c>
      <c r="F3168" s="0" t="s">
        <v>90</v>
      </c>
      <c r="G3168" s="0" t="s">
        <v>32</v>
      </c>
      <c r="H3168" s="0" t="n">
        <v>35</v>
      </c>
      <c r="I3168" s="0" t="s">
        <v>10588</v>
      </c>
      <c r="J3168" s="0" t="s">
        <v>10589</v>
      </c>
      <c r="K3168" s="0" t="s">
        <v>10590</v>
      </c>
      <c r="L3168" s="0" t="str">
        <f aca="false">HYPERLINK("https://www.ncbi.nlm.nih.gov/nuccore/CP000058.1?report=graph&amp;tracks=[key:gene_model_track,Options:GeneOnly]&amp;mk=1024517:1024536|offset_13|444444,1024495:1024514|offset_35|00cc00,1024474:1024493|offset_56|444444,1024438:1024457|offset_92|444444&amp;v=1024316:1024657&amp;c=444444", "offset 35")</f>
        <v>offset 35</v>
      </c>
    </row>
    <row r="3169" customFormat="false" ht="12.8" hidden="false" customHeight="false" outlineLevel="0" collapsed="false">
      <c r="A3169" s="0" t="s">
        <v>12</v>
      </c>
      <c r="B3169" s="0" t="n">
        <v>1024473</v>
      </c>
      <c r="C3169" s="0" t="n">
        <v>1024493</v>
      </c>
      <c r="D3169" s="0" t="s">
        <v>10583</v>
      </c>
      <c r="E3169" s="0" t="s">
        <v>10584</v>
      </c>
      <c r="F3169" s="0" t="s">
        <v>90</v>
      </c>
      <c r="G3169" s="0" t="s">
        <v>20</v>
      </c>
      <c r="H3169" s="0" t="n">
        <v>56</v>
      </c>
      <c r="I3169" s="0" t="s">
        <v>10591</v>
      </c>
      <c r="J3169" s="0" t="s">
        <v>10592</v>
      </c>
      <c r="K3169" s="0" t="s">
        <v>10593</v>
      </c>
      <c r="L3169" s="0" t="str">
        <f aca="false">HYPERLINK("https://www.ncbi.nlm.nih.gov/nuccore/CP000058.1?report=graph&amp;tracks=[key:gene_model_track,Options:GeneOnly]&amp;mk=1024517:1024536|offset_13|444444,1024495:1024514|offset_35|444444,1024474:1024493|offset_56|00cc00,1024438:1024457|offset_92|444444&amp;v=1024316:1024657&amp;c=444444", "offset 56")</f>
        <v>offset 56</v>
      </c>
    </row>
    <row r="3170" customFormat="false" ht="12.8" hidden="false" customHeight="false" outlineLevel="0" collapsed="false">
      <c r="A3170" s="0" t="s">
        <v>12</v>
      </c>
      <c r="B3170" s="0" t="n">
        <v>1024437</v>
      </c>
      <c r="C3170" s="0" t="n">
        <v>1024457</v>
      </c>
      <c r="D3170" s="0" t="s">
        <v>10583</v>
      </c>
      <c r="E3170" s="0" t="s">
        <v>10584</v>
      </c>
      <c r="F3170" s="0" t="s">
        <v>90</v>
      </c>
      <c r="G3170" s="0" t="s">
        <v>32</v>
      </c>
      <c r="H3170" s="0" t="n">
        <v>92</v>
      </c>
      <c r="I3170" s="0" t="s">
        <v>10594</v>
      </c>
      <c r="J3170" s="0" t="s">
        <v>10595</v>
      </c>
      <c r="K3170" s="0" t="s">
        <v>10596</v>
      </c>
      <c r="L3170" s="0" t="str">
        <f aca="false">HYPERLINK("https://www.ncbi.nlm.nih.gov/nuccore/CP000058.1?report=graph&amp;tracks=[key:gene_model_track,Options:GeneOnly]&amp;mk=1024517:1024536|offset_13|444444,1024495:1024514|offset_35|444444,1024474:1024493|offset_56|444444,1024438:1024457|offset_92|00cc00&amp;v=1024316:1024657&amp;c=444444", "offset 92")</f>
        <v>offset 92</v>
      </c>
    </row>
    <row r="3171" customFormat="false" ht="12.8" hidden="false" customHeight="false" outlineLevel="0" collapsed="false">
      <c r="A3171" s="0" t="s">
        <v>12</v>
      </c>
      <c r="B3171" s="0" t="n">
        <v>1026585</v>
      </c>
      <c r="C3171" s="0" t="n">
        <v>1026605</v>
      </c>
      <c r="D3171" s="0" t="s">
        <v>10597</v>
      </c>
      <c r="E3171" s="0" t="s">
        <v>75</v>
      </c>
      <c r="F3171" s="0" t="s">
        <v>90</v>
      </c>
      <c r="G3171" s="0" t="s">
        <v>16</v>
      </c>
      <c r="H3171" s="0" t="n">
        <v>6</v>
      </c>
      <c r="I3171" s="0" t="s">
        <v>10598</v>
      </c>
      <c r="J3171" s="0" t="s">
        <v>10599</v>
      </c>
      <c r="K3171" s="0" t="s">
        <v>10600</v>
      </c>
      <c r="L3171" s="0" t="str">
        <f aca="false">HYPERLINK("https://www.ncbi.nlm.nih.gov/nuccore/CP000058.1?report=graph&amp;tracks=[key:gene_model_track,Options:GeneOnly]&amp;mk=1026586:1026605|offset_6|00cc00,1026551:1026570|offset_41|444444,1026498:1026517|offset_94|444444,1026460:1026479|offset_132|444444&amp;v=1026385:1026679&amp;c=444444", "offset 6")</f>
        <v>offset 6</v>
      </c>
    </row>
    <row r="3172" customFormat="false" ht="12.8" hidden="false" customHeight="false" outlineLevel="0" collapsed="false">
      <c r="A3172" s="0" t="s">
        <v>12</v>
      </c>
      <c r="B3172" s="0" t="n">
        <v>1026550</v>
      </c>
      <c r="C3172" s="0" t="n">
        <v>1026570</v>
      </c>
      <c r="D3172" s="0" t="s">
        <v>10597</v>
      </c>
      <c r="E3172" s="0" t="s">
        <v>75</v>
      </c>
      <c r="F3172" s="0" t="s">
        <v>90</v>
      </c>
      <c r="G3172" s="0" t="s">
        <v>16</v>
      </c>
      <c r="H3172" s="0" t="n">
        <v>41</v>
      </c>
      <c r="I3172" s="0" t="s">
        <v>10601</v>
      </c>
      <c r="J3172" s="0" t="s">
        <v>10602</v>
      </c>
      <c r="K3172" s="0" t="s">
        <v>10603</v>
      </c>
      <c r="L3172" s="0" t="str">
        <f aca="false">HYPERLINK("https://www.ncbi.nlm.nih.gov/nuccore/CP000058.1?report=graph&amp;tracks=[key:gene_model_track,Options:GeneOnly]&amp;mk=1026586:1026605|offset_6|444444,1026551:1026570|offset_41|00cc00,1026498:1026517|offset_94|444444,1026460:1026479|offset_132|444444&amp;v=1026385:1026679&amp;c=444444", "offset 41")</f>
        <v>offset 41</v>
      </c>
    </row>
    <row r="3173" customFormat="false" ht="12.8" hidden="false" customHeight="false" outlineLevel="0" collapsed="false">
      <c r="A3173" s="0" t="s">
        <v>12</v>
      </c>
      <c r="B3173" s="0" t="n">
        <v>1026497</v>
      </c>
      <c r="C3173" s="0" t="n">
        <v>1026517</v>
      </c>
      <c r="D3173" s="0" t="s">
        <v>10597</v>
      </c>
      <c r="E3173" s="0" t="s">
        <v>75</v>
      </c>
      <c r="F3173" s="0" t="s">
        <v>90</v>
      </c>
      <c r="G3173" s="0" t="s">
        <v>16</v>
      </c>
      <c r="H3173" s="0" t="n">
        <v>94</v>
      </c>
      <c r="I3173" s="0" t="s">
        <v>10604</v>
      </c>
      <c r="J3173" s="0" t="s">
        <v>10605</v>
      </c>
      <c r="K3173" s="0" t="s">
        <v>10606</v>
      </c>
      <c r="L3173" s="0" t="str">
        <f aca="false">HYPERLINK("https://www.ncbi.nlm.nih.gov/nuccore/CP000058.1?report=graph&amp;tracks=[key:gene_model_track,Options:GeneOnly]&amp;mk=1026586:1026605|offset_6|444444,1026551:1026570|offset_41|444444,1026498:1026517|offset_94|00cc00,1026460:1026479|offset_132|444444&amp;v=1026385:1026679&amp;c=444444", "offset 94")</f>
        <v>offset 94</v>
      </c>
    </row>
    <row r="3174" customFormat="false" ht="12.8" hidden="false" customHeight="false" outlineLevel="0" collapsed="false">
      <c r="A3174" s="0" t="s">
        <v>12</v>
      </c>
      <c r="B3174" s="0" t="n">
        <v>1026459</v>
      </c>
      <c r="C3174" s="0" t="n">
        <v>1026479</v>
      </c>
      <c r="D3174" s="0" t="s">
        <v>10597</v>
      </c>
      <c r="E3174" s="0" t="s">
        <v>75</v>
      </c>
      <c r="F3174" s="0" t="s">
        <v>90</v>
      </c>
      <c r="G3174" s="0" t="s">
        <v>16</v>
      </c>
      <c r="H3174" s="0" t="n">
        <v>132</v>
      </c>
      <c r="I3174" s="0" t="s">
        <v>10607</v>
      </c>
      <c r="J3174" s="0" t="s">
        <v>10608</v>
      </c>
      <c r="K3174" s="0" t="s">
        <v>10609</v>
      </c>
      <c r="L3174" s="0" t="str">
        <f aca="false">HYPERLINK("https://www.ncbi.nlm.nih.gov/nuccore/CP000058.1?report=graph&amp;tracks=[key:gene_model_track,Options:GeneOnly]&amp;mk=1026586:1026605|offset_6|444444,1026551:1026570|offset_41|444444,1026498:1026517|offset_94|444444,1026460:1026479|offset_132|00cc00&amp;v=1026385:1026679&amp;c=444444", "offset 132")</f>
        <v>offset 132</v>
      </c>
    </row>
    <row r="3175" customFormat="false" ht="12.8" hidden="false" customHeight="false" outlineLevel="0" collapsed="false">
      <c r="A3175" s="0" t="s">
        <v>12</v>
      </c>
      <c r="B3175" s="0" t="n">
        <v>1029522</v>
      </c>
      <c r="C3175" s="0" t="n">
        <v>1029542</v>
      </c>
      <c r="D3175" s="0" t="s">
        <v>10610</v>
      </c>
      <c r="E3175" s="0" t="s">
        <v>75</v>
      </c>
      <c r="F3175" s="0" t="s">
        <v>90</v>
      </c>
      <c r="G3175" s="0" t="s">
        <v>16</v>
      </c>
      <c r="H3175" s="0" t="n">
        <v>40</v>
      </c>
      <c r="I3175" s="0" t="s">
        <v>10611</v>
      </c>
      <c r="J3175" s="0" t="s">
        <v>10612</v>
      </c>
      <c r="K3175" s="0" t="s">
        <v>10613</v>
      </c>
      <c r="L3175" s="0" t="str">
        <f aca="false">HYPERLINK("https://www.ncbi.nlm.nih.gov/nuccore/CP000058.1?report=graph&amp;tracks=[key:gene_model_track,Options:GeneOnly]&amp;mk=1029523:1029542|offset_40|00cc00,1029493:1029512|offset_70|444444,1029467:1029486|offset_96|444444,1029446:1029465|offset_117|444444&amp;v=1029322:1029665&amp;c=444444", "offset 40")</f>
        <v>offset 40</v>
      </c>
    </row>
    <row r="3176" customFormat="false" ht="12.8" hidden="false" customHeight="false" outlineLevel="0" collapsed="false">
      <c r="A3176" s="0" t="s">
        <v>12</v>
      </c>
      <c r="B3176" s="0" t="n">
        <v>1029492</v>
      </c>
      <c r="C3176" s="0" t="n">
        <v>1029512</v>
      </c>
      <c r="D3176" s="0" t="s">
        <v>10610</v>
      </c>
      <c r="E3176" s="0" t="s">
        <v>75</v>
      </c>
      <c r="F3176" s="0" t="s">
        <v>90</v>
      </c>
      <c r="G3176" s="0" t="s">
        <v>20</v>
      </c>
      <c r="H3176" s="0" t="n">
        <v>70</v>
      </c>
      <c r="I3176" s="0" t="s">
        <v>10614</v>
      </c>
      <c r="J3176" s="0" t="s">
        <v>10615</v>
      </c>
      <c r="K3176" s="0" t="s">
        <v>10616</v>
      </c>
      <c r="L3176" s="0" t="str">
        <f aca="false">HYPERLINK("https://www.ncbi.nlm.nih.gov/nuccore/CP000058.1?report=graph&amp;tracks=[key:gene_model_track,Options:GeneOnly]&amp;mk=1029523:1029542|offset_40|444444,1029493:1029512|offset_70|00cc00,1029467:1029486|offset_96|444444,1029446:1029465|offset_117|444444&amp;v=1029322:1029665&amp;c=444444", "offset 70")</f>
        <v>offset 70</v>
      </c>
    </row>
    <row r="3177" customFormat="false" ht="12.8" hidden="false" customHeight="false" outlineLevel="0" collapsed="false">
      <c r="A3177" s="0" t="s">
        <v>12</v>
      </c>
      <c r="B3177" s="0" t="n">
        <v>1029466</v>
      </c>
      <c r="C3177" s="0" t="n">
        <v>1029486</v>
      </c>
      <c r="D3177" s="0" t="s">
        <v>10610</v>
      </c>
      <c r="E3177" s="0" t="s">
        <v>75</v>
      </c>
      <c r="F3177" s="0" t="s">
        <v>90</v>
      </c>
      <c r="G3177" s="0" t="s">
        <v>32</v>
      </c>
      <c r="H3177" s="0" t="n">
        <v>96</v>
      </c>
      <c r="I3177" s="0" t="s">
        <v>10617</v>
      </c>
      <c r="J3177" s="0" t="s">
        <v>10618</v>
      </c>
      <c r="K3177" s="0" t="s">
        <v>10619</v>
      </c>
      <c r="L3177" s="0" t="str">
        <f aca="false">HYPERLINK("https://www.ncbi.nlm.nih.gov/nuccore/CP000058.1?report=graph&amp;tracks=[key:gene_model_track,Options:GeneOnly]&amp;mk=1029523:1029542|offset_40|444444,1029493:1029512|offset_70|444444,1029467:1029486|offset_96|00cc00,1029446:1029465|offset_117|444444&amp;v=1029322:1029665&amp;c=444444", "offset 96")</f>
        <v>offset 96</v>
      </c>
    </row>
    <row r="3178" customFormat="false" ht="12.8" hidden="false" customHeight="false" outlineLevel="0" collapsed="false">
      <c r="A3178" s="0" t="s">
        <v>12</v>
      </c>
      <c r="B3178" s="0" t="n">
        <v>1029445</v>
      </c>
      <c r="C3178" s="0" t="n">
        <v>1029465</v>
      </c>
      <c r="D3178" s="0" t="s">
        <v>10610</v>
      </c>
      <c r="E3178" s="0" t="s">
        <v>75</v>
      </c>
      <c r="F3178" s="0" t="s">
        <v>90</v>
      </c>
      <c r="G3178" s="0" t="s">
        <v>16</v>
      </c>
      <c r="H3178" s="0" t="n">
        <v>117</v>
      </c>
      <c r="I3178" s="0" t="s">
        <v>10620</v>
      </c>
      <c r="J3178" s="0" t="s">
        <v>10621</v>
      </c>
      <c r="K3178" s="0" t="s">
        <v>10622</v>
      </c>
      <c r="L3178" s="0" t="str">
        <f aca="false">HYPERLINK("https://www.ncbi.nlm.nih.gov/nuccore/CP000058.1?report=graph&amp;tracks=[key:gene_model_track,Options:GeneOnly]&amp;mk=1029523:1029542|offset_40|444444,1029493:1029512|offset_70|444444,1029467:1029486|offset_96|444444,1029446:1029465|offset_117|00cc00&amp;v=1029322:1029665&amp;c=444444", "offset 117")</f>
        <v>offset 117</v>
      </c>
    </row>
    <row r="3179" customFormat="false" ht="12.8" hidden="false" customHeight="false" outlineLevel="0" collapsed="false">
      <c r="A3179" s="0" t="s">
        <v>12</v>
      </c>
      <c r="B3179" s="0" t="n">
        <v>1029714</v>
      </c>
      <c r="C3179" s="0" t="n">
        <v>1029734</v>
      </c>
      <c r="D3179" s="0" t="s">
        <v>10623</v>
      </c>
      <c r="E3179" s="0" t="s">
        <v>75</v>
      </c>
      <c r="F3179" s="0" t="s">
        <v>90</v>
      </c>
      <c r="G3179" s="0" t="s">
        <v>16</v>
      </c>
      <c r="H3179" s="0" t="n">
        <v>14</v>
      </c>
      <c r="I3179" s="0" t="s">
        <v>10624</v>
      </c>
      <c r="J3179" s="0" t="s">
        <v>10625</v>
      </c>
      <c r="K3179" s="0" t="s">
        <v>10626</v>
      </c>
      <c r="L3179" s="0" t="str">
        <f aca="false">HYPERLINK("https://www.ncbi.nlm.nih.gov/nuccore/CP000058.1?report=graph&amp;tracks=[key:gene_model_track,Options:GeneOnly]&amp;mk=1029715:1029734|offset_14|00cc00,1029672:1029691|offset_57|444444,1029641:1029660|offset_88|444444,1029604:1029623|offset_125|444444&amp;v=1029514:1029823&amp;c=444444", "offset 14")</f>
        <v>offset 14</v>
      </c>
    </row>
    <row r="3180" customFormat="false" ht="12.8" hidden="false" customHeight="false" outlineLevel="0" collapsed="false">
      <c r="A3180" s="0" t="s">
        <v>12</v>
      </c>
      <c r="B3180" s="0" t="n">
        <v>1029671</v>
      </c>
      <c r="C3180" s="0" t="n">
        <v>1029691</v>
      </c>
      <c r="D3180" s="0" t="s">
        <v>10623</v>
      </c>
      <c r="E3180" s="0" t="s">
        <v>75</v>
      </c>
      <c r="F3180" s="0" t="s">
        <v>90</v>
      </c>
      <c r="G3180" s="0" t="s">
        <v>16</v>
      </c>
      <c r="H3180" s="0" t="n">
        <v>57</v>
      </c>
      <c r="I3180" s="0" t="s">
        <v>10627</v>
      </c>
      <c r="J3180" s="0" t="s">
        <v>10628</v>
      </c>
      <c r="K3180" s="0" t="s">
        <v>10629</v>
      </c>
      <c r="L3180" s="0" t="str">
        <f aca="false">HYPERLINK("https://www.ncbi.nlm.nih.gov/nuccore/CP000058.1?report=graph&amp;tracks=[key:gene_model_track,Options:GeneOnly]&amp;mk=1029715:1029734|offset_14|444444,1029672:1029691|offset_57|00cc00,1029641:1029660|offset_88|444444,1029604:1029623|offset_125|444444&amp;v=1029514:1029823&amp;c=444444", "offset 57")</f>
        <v>offset 57</v>
      </c>
    </row>
    <row r="3181" customFormat="false" ht="12.8" hidden="false" customHeight="false" outlineLevel="0" collapsed="false">
      <c r="A3181" s="0" t="s">
        <v>12</v>
      </c>
      <c r="B3181" s="0" t="n">
        <v>1029640</v>
      </c>
      <c r="C3181" s="0" t="n">
        <v>1029660</v>
      </c>
      <c r="D3181" s="0" t="s">
        <v>10623</v>
      </c>
      <c r="E3181" s="0" t="s">
        <v>75</v>
      </c>
      <c r="F3181" s="0" t="s">
        <v>90</v>
      </c>
      <c r="G3181" s="0" t="s">
        <v>16</v>
      </c>
      <c r="H3181" s="0" t="n">
        <v>88</v>
      </c>
      <c r="I3181" s="0" t="s">
        <v>10630</v>
      </c>
      <c r="J3181" s="0" t="s">
        <v>10631</v>
      </c>
      <c r="K3181" s="0" t="s">
        <v>10632</v>
      </c>
      <c r="L3181" s="0" t="str">
        <f aca="false">HYPERLINK("https://www.ncbi.nlm.nih.gov/nuccore/CP000058.1?report=graph&amp;tracks=[key:gene_model_track,Options:GeneOnly]&amp;mk=1029715:1029734|offset_14|444444,1029672:1029691|offset_57|444444,1029641:1029660|offset_88|00cc00,1029604:1029623|offset_125|444444&amp;v=1029514:1029823&amp;c=444444", "offset 88")</f>
        <v>offset 88</v>
      </c>
    </row>
    <row r="3182" customFormat="false" ht="12.8" hidden="false" customHeight="false" outlineLevel="0" collapsed="false">
      <c r="A3182" s="0" t="s">
        <v>12</v>
      </c>
      <c r="B3182" s="0" t="n">
        <v>1029603</v>
      </c>
      <c r="C3182" s="0" t="n">
        <v>1029623</v>
      </c>
      <c r="D3182" s="0" t="s">
        <v>10623</v>
      </c>
      <c r="E3182" s="0" t="s">
        <v>75</v>
      </c>
      <c r="F3182" s="0" t="s">
        <v>90</v>
      </c>
      <c r="G3182" s="0" t="s">
        <v>20</v>
      </c>
      <c r="H3182" s="0" t="n">
        <v>125</v>
      </c>
      <c r="I3182" s="0" t="s">
        <v>10633</v>
      </c>
      <c r="J3182" s="0" t="s">
        <v>10634</v>
      </c>
      <c r="K3182" s="0" t="s">
        <v>10635</v>
      </c>
      <c r="L3182" s="0" t="str">
        <f aca="false">HYPERLINK("https://www.ncbi.nlm.nih.gov/nuccore/CP000058.1?report=graph&amp;tracks=[key:gene_model_track,Options:GeneOnly]&amp;mk=1029715:1029734|offset_14|444444,1029672:1029691|offset_57|444444,1029641:1029660|offset_88|444444,1029604:1029623|offset_125|00cc00&amp;v=1029514:1029823&amp;c=444444", "offset 125")</f>
        <v>offset 125</v>
      </c>
    </row>
    <row r="3183" customFormat="false" ht="12.8" hidden="false" customHeight="false" outlineLevel="0" collapsed="false">
      <c r="A3183" s="0" t="s">
        <v>12</v>
      </c>
      <c r="B3183" s="0" t="n">
        <v>1030823</v>
      </c>
      <c r="C3183" s="0" t="n">
        <v>1030843</v>
      </c>
      <c r="D3183" s="0" t="s">
        <v>10636</v>
      </c>
      <c r="E3183" s="0" t="s">
        <v>75</v>
      </c>
      <c r="F3183" s="0" t="s">
        <v>90</v>
      </c>
      <c r="G3183" s="0" t="s">
        <v>16</v>
      </c>
      <c r="H3183" s="0" t="n">
        <v>26</v>
      </c>
      <c r="I3183" s="0" t="s">
        <v>10637</v>
      </c>
      <c r="J3183" s="0" t="s">
        <v>10638</v>
      </c>
      <c r="K3183" s="0" t="s">
        <v>10639</v>
      </c>
      <c r="L3183" s="0" t="str">
        <f aca="false">HYPERLINK("https://www.ncbi.nlm.nih.gov/nuccore/CP000058.1?report=graph&amp;tracks=[key:gene_model_track,Options:GeneOnly]&amp;mk=1030824:1030843|offset_26|00cc00,1030775:1030794|offset_75|444444,1030746:1030765|offset_104|444444,1030719:1030738|offset_131|444444&amp;v=1030623:1030938&amp;c=444444", "offset 26")</f>
        <v>offset 26</v>
      </c>
    </row>
    <row r="3184" customFormat="false" ht="12.8" hidden="false" customHeight="false" outlineLevel="0" collapsed="false">
      <c r="A3184" s="0" t="s">
        <v>12</v>
      </c>
      <c r="B3184" s="0" t="n">
        <v>1030774</v>
      </c>
      <c r="C3184" s="0" t="n">
        <v>1030794</v>
      </c>
      <c r="D3184" s="0" t="s">
        <v>10636</v>
      </c>
      <c r="E3184" s="0" t="s">
        <v>75</v>
      </c>
      <c r="F3184" s="0" t="s">
        <v>90</v>
      </c>
      <c r="G3184" s="0" t="s">
        <v>16</v>
      </c>
      <c r="H3184" s="0" t="n">
        <v>75</v>
      </c>
      <c r="I3184" s="0" t="s">
        <v>10640</v>
      </c>
      <c r="J3184" s="0" t="s">
        <v>10641</v>
      </c>
      <c r="K3184" s="0" t="s">
        <v>10642</v>
      </c>
      <c r="L3184" s="0" t="str">
        <f aca="false">HYPERLINK("https://www.ncbi.nlm.nih.gov/nuccore/CP000058.1?report=graph&amp;tracks=[key:gene_model_track,Options:GeneOnly]&amp;mk=1030824:1030843|offset_26|444444,1030775:1030794|offset_75|00cc00,1030746:1030765|offset_104|444444,1030719:1030738|offset_131|444444&amp;v=1030623:1030938&amp;c=444444", "offset 75")</f>
        <v>offset 75</v>
      </c>
    </row>
    <row r="3185" customFormat="false" ht="12.8" hidden="false" customHeight="false" outlineLevel="0" collapsed="false">
      <c r="A3185" s="0" t="s">
        <v>12</v>
      </c>
      <c r="B3185" s="0" t="n">
        <v>1030745</v>
      </c>
      <c r="C3185" s="0" t="n">
        <v>1030765</v>
      </c>
      <c r="D3185" s="0" t="s">
        <v>10636</v>
      </c>
      <c r="E3185" s="0" t="s">
        <v>75</v>
      </c>
      <c r="F3185" s="0" t="s">
        <v>90</v>
      </c>
      <c r="G3185" s="0" t="s">
        <v>36</v>
      </c>
      <c r="H3185" s="0" t="n">
        <v>104</v>
      </c>
      <c r="I3185" s="0" t="s">
        <v>10643</v>
      </c>
      <c r="J3185" s="0" t="s">
        <v>10644</v>
      </c>
      <c r="K3185" s="0" t="s">
        <v>10645</v>
      </c>
      <c r="L3185" s="0" t="str">
        <f aca="false">HYPERLINK("https://www.ncbi.nlm.nih.gov/nuccore/CP000058.1?report=graph&amp;tracks=[key:gene_model_track,Options:GeneOnly]&amp;mk=1030824:1030843|offset_26|444444,1030775:1030794|offset_75|444444,1030746:1030765|offset_104|00cc00,1030719:1030738|offset_131|444444&amp;v=1030623:1030938&amp;c=444444", "offset 104")</f>
        <v>offset 104</v>
      </c>
    </row>
    <row r="3186" customFormat="false" ht="12.8" hidden="false" customHeight="false" outlineLevel="0" collapsed="false">
      <c r="A3186" s="0" t="s">
        <v>12</v>
      </c>
      <c r="B3186" s="0" t="n">
        <v>1030718</v>
      </c>
      <c r="C3186" s="0" t="n">
        <v>1030738</v>
      </c>
      <c r="D3186" s="0" t="s">
        <v>10636</v>
      </c>
      <c r="E3186" s="0" t="s">
        <v>75</v>
      </c>
      <c r="F3186" s="0" t="s">
        <v>90</v>
      </c>
      <c r="G3186" s="0" t="s">
        <v>36</v>
      </c>
      <c r="H3186" s="0" t="n">
        <v>131</v>
      </c>
      <c r="I3186" s="0" t="s">
        <v>10646</v>
      </c>
      <c r="J3186" s="0" t="s">
        <v>10647</v>
      </c>
      <c r="K3186" s="0" t="s">
        <v>10648</v>
      </c>
      <c r="L3186" s="0" t="str">
        <f aca="false">HYPERLINK("https://www.ncbi.nlm.nih.gov/nuccore/CP000058.1?report=graph&amp;tracks=[key:gene_model_track,Options:GeneOnly]&amp;mk=1030824:1030843|offset_26|444444,1030775:1030794|offset_75|444444,1030746:1030765|offset_104|444444,1030719:1030738|offset_131|00cc00&amp;v=1030623:1030938&amp;c=444444", "offset 131")</f>
        <v>offset 131</v>
      </c>
    </row>
    <row r="3187" customFormat="false" ht="12.8" hidden="false" customHeight="false" outlineLevel="0" collapsed="false">
      <c r="A3187" s="0" t="s">
        <v>12</v>
      </c>
      <c r="B3187" s="0" t="n">
        <v>1031917</v>
      </c>
      <c r="C3187" s="0" t="n">
        <v>1031937</v>
      </c>
      <c r="D3187" s="0" t="s">
        <v>10649</v>
      </c>
      <c r="E3187" s="0" t="s">
        <v>10650</v>
      </c>
      <c r="F3187" s="0" t="s">
        <v>90</v>
      </c>
      <c r="G3187" s="0" t="s">
        <v>36</v>
      </c>
      <c r="H3187" s="0" t="n">
        <v>6</v>
      </c>
      <c r="I3187" s="0" t="s">
        <v>10651</v>
      </c>
      <c r="J3187" s="0" t="s">
        <v>10652</v>
      </c>
      <c r="K3187" s="0" t="s">
        <v>10653</v>
      </c>
      <c r="L3187" s="0" t="str">
        <f aca="false">HYPERLINK("https://www.ncbi.nlm.nih.gov/nuccore/CP000058.1?report=graph&amp;tracks=[key:gene_model_track,Options:GeneOnly]&amp;mk=1031918:1031937|offset_6|00cc00,1031895:1031914|offset_29|444444,1031873:1031892|offset_51|444444,1031834:1031853|offset_90|444444&amp;v=1031717:1032053&amp;c=444444", "offset 6")</f>
        <v>offset 6</v>
      </c>
    </row>
    <row r="3188" customFormat="false" ht="12.8" hidden="false" customHeight="false" outlineLevel="0" collapsed="false">
      <c r="A3188" s="0" t="s">
        <v>12</v>
      </c>
      <c r="B3188" s="0" t="n">
        <v>1031894</v>
      </c>
      <c r="C3188" s="0" t="n">
        <v>1031914</v>
      </c>
      <c r="D3188" s="0" t="s">
        <v>10649</v>
      </c>
      <c r="E3188" s="0" t="s">
        <v>10650</v>
      </c>
      <c r="F3188" s="0" t="s">
        <v>90</v>
      </c>
      <c r="G3188" s="0" t="s">
        <v>32</v>
      </c>
      <c r="H3188" s="0" t="n">
        <v>29</v>
      </c>
      <c r="I3188" s="0" t="s">
        <v>10654</v>
      </c>
      <c r="J3188" s="0" t="s">
        <v>10655</v>
      </c>
      <c r="K3188" s="0" t="s">
        <v>10656</v>
      </c>
      <c r="L3188" s="0" t="str">
        <f aca="false">HYPERLINK("https://www.ncbi.nlm.nih.gov/nuccore/CP000058.1?report=graph&amp;tracks=[key:gene_model_track,Options:GeneOnly]&amp;mk=1031918:1031937|offset_6|444444,1031895:1031914|offset_29|00cc00,1031873:1031892|offset_51|444444,1031834:1031853|offset_90|444444&amp;v=1031717:1032053&amp;c=444444", "offset 29")</f>
        <v>offset 29</v>
      </c>
    </row>
    <row r="3189" customFormat="false" ht="12.8" hidden="false" customHeight="false" outlineLevel="0" collapsed="false">
      <c r="A3189" s="0" t="s">
        <v>12</v>
      </c>
      <c r="B3189" s="0" t="n">
        <v>1031872</v>
      </c>
      <c r="C3189" s="0" t="n">
        <v>1031892</v>
      </c>
      <c r="D3189" s="0" t="s">
        <v>10649</v>
      </c>
      <c r="E3189" s="0" t="s">
        <v>10650</v>
      </c>
      <c r="F3189" s="0" t="s">
        <v>90</v>
      </c>
      <c r="G3189" s="0" t="s">
        <v>36</v>
      </c>
      <c r="H3189" s="0" t="n">
        <v>51</v>
      </c>
      <c r="I3189" s="0" t="s">
        <v>10657</v>
      </c>
      <c r="J3189" s="0" t="s">
        <v>10658</v>
      </c>
      <c r="K3189" s="0" t="s">
        <v>10659</v>
      </c>
      <c r="L3189" s="0" t="str">
        <f aca="false">HYPERLINK("https://www.ncbi.nlm.nih.gov/nuccore/CP000058.1?report=graph&amp;tracks=[key:gene_model_track,Options:GeneOnly]&amp;mk=1031918:1031937|offset_6|444444,1031895:1031914|offset_29|444444,1031873:1031892|offset_51|00cc00,1031834:1031853|offset_90|444444&amp;v=1031717:1032053&amp;c=444444", "offset 51")</f>
        <v>offset 51</v>
      </c>
    </row>
    <row r="3190" customFormat="false" ht="12.8" hidden="false" customHeight="false" outlineLevel="0" collapsed="false">
      <c r="A3190" s="0" t="s">
        <v>12</v>
      </c>
      <c r="B3190" s="0" t="n">
        <v>1031833</v>
      </c>
      <c r="C3190" s="0" t="n">
        <v>1031853</v>
      </c>
      <c r="D3190" s="0" t="s">
        <v>10649</v>
      </c>
      <c r="E3190" s="0" t="s">
        <v>10650</v>
      </c>
      <c r="F3190" s="0" t="s">
        <v>90</v>
      </c>
      <c r="G3190" s="0" t="s">
        <v>36</v>
      </c>
      <c r="H3190" s="0" t="n">
        <v>90</v>
      </c>
      <c r="I3190" s="0" t="s">
        <v>10660</v>
      </c>
      <c r="J3190" s="0" t="s">
        <v>10661</v>
      </c>
      <c r="K3190" s="0" t="s">
        <v>10662</v>
      </c>
      <c r="L3190" s="0" t="str">
        <f aca="false">HYPERLINK("https://www.ncbi.nlm.nih.gov/nuccore/CP000058.1?report=graph&amp;tracks=[key:gene_model_track,Options:GeneOnly]&amp;mk=1031918:1031937|offset_6|444444,1031895:1031914|offset_29|444444,1031873:1031892|offset_51|444444,1031834:1031853|offset_90|00cc00&amp;v=1031717:1032053&amp;c=444444", "offset 90")</f>
        <v>offset 90</v>
      </c>
    </row>
    <row r="3191" customFormat="false" ht="12.8" hidden="false" customHeight="false" outlineLevel="0" collapsed="false">
      <c r="A3191" s="0" t="s">
        <v>12</v>
      </c>
      <c r="B3191" s="0" t="n">
        <v>1032294</v>
      </c>
      <c r="C3191" s="0" t="n">
        <v>1032314</v>
      </c>
      <c r="D3191" s="0" t="s">
        <v>10663</v>
      </c>
      <c r="E3191" s="0" t="s">
        <v>75</v>
      </c>
      <c r="F3191" s="0" t="s">
        <v>15</v>
      </c>
      <c r="G3191" s="0" t="s">
        <v>32</v>
      </c>
      <c r="H3191" s="0" t="n">
        <v>1</v>
      </c>
      <c r="I3191" s="0" t="s">
        <v>10664</v>
      </c>
      <c r="J3191" s="0" t="s">
        <v>10665</v>
      </c>
      <c r="K3191" s="0" t="s">
        <v>10666</v>
      </c>
      <c r="L3191" s="0" t="str">
        <f aca="false">HYPERLINK("https://www.ncbi.nlm.nih.gov/nuccore/CP000058.1?report=graph&amp;tracks=[key:gene_model_track,Options:GeneOnly]&amp;mk=1032295:1032314|offset_1|00cc00,1032328:1032347|offset_34|444444,1032367:1032386|offset_73|444444,1032404:1032423|offset_110|444444&amp;v=1032094:1032623&amp;c=444444", "offset 1")</f>
        <v>offset 1</v>
      </c>
    </row>
    <row r="3192" customFormat="false" ht="12.8" hidden="false" customHeight="false" outlineLevel="0" collapsed="false">
      <c r="A3192" s="0" t="s">
        <v>12</v>
      </c>
      <c r="B3192" s="0" t="n">
        <v>1032327</v>
      </c>
      <c r="C3192" s="0" t="n">
        <v>1032347</v>
      </c>
      <c r="D3192" s="0" t="s">
        <v>10663</v>
      </c>
      <c r="E3192" s="0" t="s">
        <v>75</v>
      </c>
      <c r="F3192" s="0" t="s">
        <v>15</v>
      </c>
      <c r="G3192" s="0" t="s">
        <v>32</v>
      </c>
      <c r="H3192" s="0" t="n">
        <v>34</v>
      </c>
      <c r="I3192" s="0" t="s">
        <v>10667</v>
      </c>
      <c r="J3192" s="0" t="s">
        <v>10668</v>
      </c>
      <c r="K3192" s="0" t="s">
        <v>10669</v>
      </c>
      <c r="L3192" s="0" t="str">
        <f aca="false">HYPERLINK("https://www.ncbi.nlm.nih.gov/nuccore/CP000058.1?report=graph&amp;tracks=[key:gene_model_track,Options:GeneOnly]&amp;mk=1032295:1032314|offset_1|444444,1032328:1032347|offset_34|00cc00,1032367:1032386|offset_73|444444,1032404:1032423|offset_110|444444&amp;v=1032094:1032623&amp;c=444444", "offset 34")</f>
        <v>offset 34</v>
      </c>
    </row>
    <row r="3193" customFormat="false" ht="12.8" hidden="false" customHeight="false" outlineLevel="0" collapsed="false">
      <c r="A3193" s="0" t="s">
        <v>12</v>
      </c>
      <c r="B3193" s="0" t="n">
        <v>1032366</v>
      </c>
      <c r="C3193" s="0" t="n">
        <v>1032386</v>
      </c>
      <c r="D3193" s="0" t="s">
        <v>10663</v>
      </c>
      <c r="E3193" s="0" t="s">
        <v>75</v>
      </c>
      <c r="F3193" s="0" t="s">
        <v>15</v>
      </c>
      <c r="G3193" s="0" t="s">
        <v>32</v>
      </c>
      <c r="H3193" s="0" t="n">
        <v>73</v>
      </c>
      <c r="I3193" s="0" t="s">
        <v>10670</v>
      </c>
      <c r="J3193" s="0" t="s">
        <v>10671</v>
      </c>
      <c r="K3193" s="0" t="s">
        <v>10672</v>
      </c>
      <c r="L3193" s="0" t="str">
        <f aca="false">HYPERLINK("https://www.ncbi.nlm.nih.gov/nuccore/CP000058.1?report=graph&amp;tracks=[key:gene_model_track,Options:GeneOnly]&amp;mk=1032295:1032314|offset_1|444444,1032328:1032347|offset_34|444444,1032367:1032386|offset_73|00cc00,1032404:1032423|offset_110|444444&amp;v=1032094:1032623&amp;c=444444", "offset 73")</f>
        <v>offset 73</v>
      </c>
    </row>
    <row r="3194" customFormat="false" ht="12.8" hidden="false" customHeight="false" outlineLevel="0" collapsed="false">
      <c r="A3194" s="0" t="s">
        <v>12</v>
      </c>
      <c r="B3194" s="0" t="n">
        <v>1032403</v>
      </c>
      <c r="C3194" s="0" t="n">
        <v>1032423</v>
      </c>
      <c r="D3194" s="0" t="s">
        <v>10663</v>
      </c>
      <c r="E3194" s="0" t="s">
        <v>75</v>
      </c>
      <c r="F3194" s="0" t="s">
        <v>15</v>
      </c>
      <c r="G3194" s="0" t="s">
        <v>20</v>
      </c>
      <c r="H3194" s="0" t="n">
        <v>110</v>
      </c>
      <c r="I3194" s="0" t="s">
        <v>10673</v>
      </c>
      <c r="J3194" s="0" t="s">
        <v>10674</v>
      </c>
      <c r="K3194" s="0" t="s">
        <v>10675</v>
      </c>
      <c r="L3194" s="0" t="str">
        <f aca="false">HYPERLINK("https://www.ncbi.nlm.nih.gov/nuccore/CP000058.1?report=graph&amp;tracks=[key:gene_model_track,Options:GeneOnly]&amp;mk=1032295:1032314|offset_1|444444,1032328:1032347|offset_34|444444,1032367:1032386|offset_73|444444,1032404:1032423|offset_110|00cc00&amp;v=1032094:1032623&amp;c=444444", "offset 110")</f>
        <v>offset 110</v>
      </c>
    </row>
    <row r="3195" customFormat="false" ht="12.8" hidden="false" customHeight="false" outlineLevel="0" collapsed="false">
      <c r="A3195" s="0" t="s">
        <v>12</v>
      </c>
      <c r="B3195" s="0" t="n">
        <v>1033480</v>
      </c>
      <c r="C3195" s="0" t="n">
        <v>1033500</v>
      </c>
      <c r="D3195" s="0" t="s">
        <v>10676</v>
      </c>
      <c r="E3195" s="0" t="s">
        <v>10677</v>
      </c>
      <c r="F3195" s="0" t="s">
        <v>15</v>
      </c>
      <c r="G3195" s="0" t="s">
        <v>16</v>
      </c>
      <c r="H3195" s="0" t="n">
        <v>15</v>
      </c>
      <c r="I3195" s="0" t="s">
        <v>10678</v>
      </c>
      <c r="J3195" s="0" t="s">
        <v>10679</v>
      </c>
      <c r="K3195" s="0" t="s">
        <v>10680</v>
      </c>
      <c r="L3195" s="0" t="str">
        <f aca="false">HYPERLINK("https://www.ncbi.nlm.nih.gov/nuccore/CP000058.1?report=graph&amp;tracks=[key:gene_model_track,Options:GeneOnly]&amp;mk=1033481:1033500|offset_15|00cc00,1033501:1033520|offset_35|444444,1033542:1033561|offset_76|444444,1033563:1033582|offset_97|444444&amp;v=1033280:1033782&amp;c=444444", "offset 15")</f>
        <v>offset 15</v>
      </c>
    </row>
    <row r="3196" customFormat="false" ht="12.8" hidden="false" customHeight="false" outlineLevel="0" collapsed="false">
      <c r="A3196" s="0" t="s">
        <v>12</v>
      </c>
      <c r="B3196" s="0" t="n">
        <v>1033500</v>
      </c>
      <c r="C3196" s="0" t="n">
        <v>1033520</v>
      </c>
      <c r="D3196" s="0" t="s">
        <v>10676</v>
      </c>
      <c r="E3196" s="0" t="s">
        <v>10677</v>
      </c>
      <c r="F3196" s="0" t="s">
        <v>15</v>
      </c>
      <c r="G3196" s="0" t="s">
        <v>20</v>
      </c>
      <c r="H3196" s="0" t="n">
        <v>35</v>
      </c>
      <c r="I3196" s="0" t="s">
        <v>10681</v>
      </c>
      <c r="J3196" s="0" t="s">
        <v>10682</v>
      </c>
      <c r="K3196" s="0" t="s">
        <v>10683</v>
      </c>
      <c r="L3196" s="0" t="str">
        <f aca="false">HYPERLINK("https://www.ncbi.nlm.nih.gov/nuccore/CP000058.1?report=graph&amp;tracks=[key:gene_model_track,Options:GeneOnly]&amp;mk=1033481:1033500|offset_15|444444,1033501:1033520|offset_35|00cc00,1033542:1033561|offset_76|444444,1033563:1033582|offset_97|444444&amp;v=1033280:1033782&amp;c=444444", "offset 35")</f>
        <v>offset 35</v>
      </c>
    </row>
    <row r="3197" customFormat="false" ht="12.8" hidden="false" customHeight="false" outlineLevel="0" collapsed="false">
      <c r="A3197" s="0" t="s">
        <v>12</v>
      </c>
      <c r="B3197" s="0" t="n">
        <v>1033541</v>
      </c>
      <c r="C3197" s="0" t="n">
        <v>1033561</v>
      </c>
      <c r="D3197" s="0" t="s">
        <v>10676</v>
      </c>
      <c r="E3197" s="0" t="s">
        <v>10677</v>
      </c>
      <c r="F3197" s="0" t="s">
        <v>15</v>
      </c>
      <c r="G3197" s="0" t="s">
        <v>16</v>
      </c>
      <c r="H3197" s="0" t="n">
        <v>76</v>
      </c>
      <c r="I3197" s="0" t="s">
        <v>10684</v>
      </c>
      <c r="J3197" s="0" t="s">
        <v>10685</v>
      </c>
      <c r="K3197" s="0" t="s">
        <v>10686</v>
      </c>
      <c r="L3197" s="0" t="str">
        <f aca="false">HYPERLINK("https://www.ncbi.nlm.nih.gov/nuccore/CP000058.1?report=graph&amp;tracks=[key:gene_model_track,Options:GeneOnly]&amp;mk=1033481:1033500|offset_15|444444,1033501:1033520|offset_35|444444,1033542:1033561|offset_76|00cc00,1033563:1033582|offset_97|444444&amp;v=1033280:1033782&amp;c=444444", "offset 76")</f>
        <v>offset 76</v>
      </c>
    </row>
    <row r="3198" customFormat="false" ht="12.8" hidden="false" customHeight="false" outlineLevel="0" collapsed="false">
      <c r="A3198" s="0" t="s">
        <v>12</v>
      </c>
      <c r="B3198" s="0" t="n">
        <v>1033562</v>
      </c>
      <c r="C3198" s="0" t="n">
        <v>1033582</v>
      </c>
      <c r="D3198" s="0" t="s">
        <v>10676</v>
      </c>
      <c r="E3198" s="0" t="s">
        <v>10677</v>
      </c>
      <c r="F3198" s="0" t="s">
        <v>15</v>
      </c>
      <c r="G3198" s="0" t="s">
        <v>32</v>
      </c>
      <c r="H3198" s="0" t="n">
        <v>97</v>
      </c>
      <c r="I3198" s="0" t="s">
        <v>10687</v>
      </c>
      <c r="J3198" s="0" t="s">
        <v>10688</v>
      </c>
      <c r="K3198" s="0" t="s">
        <v>10689</v>
      </c>
      <c r="L3198" s="0" t="str">
        <f aca="false">HYPERLINK("https://www.ncbi.nlm.nih.gov/nuccore/CP000058.1?report=graph&amp;tracks=[key:gene_model_track,Options:GeneOnly]&amp;mk=1033481:1033500|offset_15|444444,1033501:1033520|offset_35|444444,1033542:1033561|offset_76|444444,1033563:1033582|offset_97|00cc00&amp;v=1033280:1033782&amp;c=444444", "offset 97")</f>
        <v>offset 97</v>
      </c>
    </row>
    <row r="3199" customFormat="false" ht="12.8" hidden="false" customHeight="false" outlineLevel="0" collapsed="false">
      <c r="A3199" s="0" t="s">
        <v>12</v>
      </c>
      <c r="B3199" s="0" t="n">
        <v>1034507</v>
      </c>
      <c r="C3199" s="0" t="n">
        <v>1034527</v>
      </c>
      <c r="D3199" s="0" t="s">
        <v>10690</v>
      </c>
      <c r="E3199" s="0" t="s">
        <v>75</v>
      </c>
      <c r="F3199" s="0" t="s">
        <v>90</v>
      </c>
      <c r="G3199" s="0" t="s">
        <v>20</v>
      </c>
      <c r="H3199" s="0" t="n">
        <v>11</v>
      </c>
      <c r="I3199" s="0" t="s">
        <v>10691</v>
      </c>
      <c r="J3199" s="0" t="s">
        <v>10692</v>
      </c>
      <c r="K3199" s="0" t="s">
        <v>10693</v>
      </c>
      <c r="L3199" s="0" t="str">
        <f aca="false">HYPERLINK("https://www.ncbi.nlm.nih.gov/nuccore/CP000058.1?report=graph&amp;tracks=[key:gene_model_track,Options:GeneOnly]&amp;mk=1034508:1034527|offset_11|00cc00,1034479:1034498|offset_40|444444,1034400:1034419|offset_119|444444,1034377:1034396|offset_142|444444&amp;v=1034307:1034596&amp;c=444444", "offset 11")</f>
        <v>offset 11</v>
      </c>
    </row>
    <row r="3200" customFormat="false" ht="12.8" hidden="false" customHeight="false" outlineLevel="0" collapsed="false">
      <c r="A3200" s="0" t="s">
        <v>12</v>
      </c>
      <c r="B3200" s="0" t="n">
        <v>1034478</v>
      </c>
      <c r="C3200" s="0" t="n">
        <v>1034498</v>
      </c>
      <c r="D3200" s="0" t="s">
        <v>10690</v>
      </c>
      <c r="E3200" s="0" t="s">
        <v>75</v>
      </c>
      <c r="F3200" s="0" t="s">
        <v>90</v>
      </c>
      <c r="G3200" s="0" t="s">
        <v>36</v>
      </c>
      <c r="H3200" s="0" t="n">
        <v>40</v>
      </c>
      <c r="I3200" s="0" t="s">
        <v>10694</v>
      </c>
      <c r="J3200" s="0" t="s">
        <v>10695</v>
      </c>
      <c r="K3200" s="0" t="s">
        <v>10696</v>
      </c>
      <c r="L3200" s="0" t="str">
        <f aca="false">HYPERLINK("https://www.ncbi.nlm.nih.gov/nuccore/CP000058.1?report=graph&amp;tracks=[key:gene_model_track,Options:GeneOnly]&amp;mk=1034508:1034527|offset_11|444444,1034479:1034498|offset_40|00cc00,1034400:1034419|offset_119|444444,1034377:1034396|offset_142|444444&amp;v=1034307:1034596&amp;c=444444", "offset 40")</f>
        <v>offset 40</v>
      </c>
    </row>
    <row r="3201" customFormat="false" ht="12.8" hidden="false" customHeight="false" outlineLevel="0" collapsed="false">
      <c r="A3201" s="0" t="s">
        <v>12</v>
      </c>
      <c r="B3201" s="0" t="n">
        <v>1034399</v>
      </c>
      <c r="C3201" s="0" t="n">
        <v>1034419</v>
      </c>
      <c r="D3201" s="0" t="s">
        <v>10690</v>
      </c>
      <c r="E3201" s="0" t="s">
        <v>75</v>
      </c>
      <c r="F3201" s="0" t="s">
        <v>90</v>
      </c>
      <c r="G3201" s="0" t="s">
        <v>16</v>
      </c>
      <c r="H3201" s="0" t="n">
        <v>119</v>
      </c>
      <c r="I3201" s="0" t="s">
        <v>10697</v>
      </c>
      <c r="J3201" s="0" t="s">
        <v>10698</v>
      </c>
      <c r="K3201" s="0" t="s">
        <v>10699</v>
      </c>
      <c r="L3201" s="0" t="str">
        <f aca="false">HYPERLINK("https://www.ncbi.nlm.nih.gov/nuccore/CP000058.1?report=graph&amp;tracks=[key:gene_model_track,Options:GeneOnly]&amp;mk=1034508:1034527|offset_11|444444,1034479:1034498|offset_40|444444,1034400:1034419|offset_119|00cc00,1034377:1034396|offset_142|444444&amp;v=1034307:1034596&amp;c=444444", "offset 119")</f>
        <v>offset 119</v>
      </c>
    </row>
    <row r="3202" customFormat="false" ht="12.8" hidden="false" customHeight="false" outlineLevel="0" collapsed="false">
      <c r="A3202" s="0" t="s">
        <v>12</v>
      </c>
      <c r="B3202" s="0" t="n">
        <v>1034376</v>
      </c>
      <c r="C3202" s="0" t="n">
        <v>1034396</v>
      </c>
      <c r="D3202" s="0" t="s">
        <v>10690</v>
      </c>
      <c r="E3202" s="0" t="s">
        <v>75</v>
      </c>
      <c r="F3202" s="0" t="s">
        <v>90</v>
      </c>
      <c r="G3202" s="0" t="s">
        <v>36</v>
      </c>
      <c r="H3202" s="0" t="n">
        <v>142</v>
      </c>
      <c r="I3202" s="0" t="s">
        <v>10700</v>
      </c>
      <c r="J3202" s="0" t="s">
        <v>10701</v>
      </c>
      <c r="K3202" s="0" t="s">
        <v>10702</v>
      </c>
      <c r="L3202" s="0" t="str">
        <f aca="false">HYPERLINK("https://www.ncbi.nlm.nih.gov/nuccore/CP000058.1?report=graph&amp;tracks=[key:gene_model_track,Options:GeneOnly]&amp;mk=1034508:1034527|offset_11|444444,1034479:1034498|offset_40|444444,1034400:1034419|offset_119|444444,1034377:1034396|offset_142|00cc00&amp;v=1034307:1034596&amp;c=444444", "offset 142")</f>
        <v>offset 142</v>
      </c>
    </row>
    <row r="3203" customFormat="false" ht="12.8" hidden="false" customHeight="false" outlineLevel="0" collapsed="false">
      <c r="A3203" s="0" t="s">
        <v>12</v>
      </c>
      <c r="B3203" s="0" t="n">
        <v>1034753</v>
      </c>
      <c r="C3203" s="0" t="n">
        <v>1034773</v>
      </c>
      <c r="D3203" s="0" t="s">
        <v>10703</v>
      </c>
      <c r="E3203" s="0" t="s">
        <v>10704</v>
      </c>
      <c r="F3203" s="0" t="s">
        <v>15</v>
      </c>
      <c r="G3203" s="0" t="s">
        <v>32</v>
      </c>
      <c r="H3203" s="0" t="n">
        <v>1</v>
      </c>
      <c r="I3203" s="0" t="s">
        <v>10705</v>
      </c>
      <c r="J3203" s="0" t="s">
        <v>10706</v>
      </c>
      <c r="K3203" s="0" t="s">
        <v>10707</v>
      </c>
      <c r="L3203" s="0" t="str">
        <f aca="false">HYPERLINK("https://www.ncbi.nlm.nih.gov/nuccore/CP000058.1?report=graph&amp;tracks=[key:gene_model_track,Options:GeneOnly]&amp;mk=1034754:1034773|offset_1|00cc00,1034823:1034842|offset_70|444444,1034882:1034901|offset_129|444444,1034915:1034934|offset_162|444444&amp;v=1034553:1035134&amp;c=444444", "offset 1")</f>
        <v>offset 1</v>
      </c>
    </row>
    <row r="3204" customFormat="false" ht="12.8" hidden="false" customHeight="false" outlineLevel="0" collapsed="false">
      <c r="A3204" s="0" t="s">
        <v>12</v>
      </c>
      <c r="B3204" s="0" t="n">
        <v>1034822</v>
      </c>
      <c r="C3204" s="0" t="n">
        <v>1034842</v>
      </c>
      <c r="D3204" s="0" t="s">
        <v>10703</v>
      </c>
      <c r="E3204" s="0" t="s">
        <v>10704</v>
      </c>
      <c r="F3204" s="0" t="s">
        <v>15</v>
      </c>
      <c r="G3204" s="0" t="s">
        <v>36</v>
      </c>
      <c r="H3204" s="0" t="n">
        <v>70</v>
      </c>
      <c r="I3204" s="0" t="s">
        <v>10708</v>
      </c>
      <c r="J3204" s="0" t="s">
        <v>10709</v>
      </c>
      <c r="K3204" s="0" t="s">
        <v>10710</v>
      </c>
      <c r="L3204" s="0" t="str">
        <f aca="false">HYPERLINK("https://www.ncbi.nlm.nih.gov/nuccore/CP000058.1?report=graph&amp;tracks=[key:gene_model_track,Options:GeneOnly]&amp;mk=1034754:1034773|offset_1|444444,1034823:1034842|offset_70|00cc00,1034882:1034901|offset_129|444444,1034915:1034934|offset_162|444444&amp;v=1034553:1035134&amp;c=444444", "offset 70")</f>
        <v>offset 70</v>
      </c>
    </row>
    <row r="3205" customFormat="false" ht="12.8" hidden="false" customHeight="false" outlineLevel="0" collapsed="false">
      <c r="A3205" s="0" t="s">
        <v>12</v>
      </c>
      <c r="B3205" s="0" t="n">
        <v>1034881</v>
      </c>
      <c r="C3205" s="0" t="n">
        <v>1034901</v>
      </c>
      <c r="D3205" s="0" t="s">
        <v>10703</v>
      </c>
      <c r="E3205" s="0" t="s">
        <v>10704</v>
      </c>
      <c r="F3205" s="0" t="s">
        <v>15</v>
      </c>
      <c r="G3205" s="0" t="s">
        <v>20</v>
      </c>
      <c r="H3205" s="0" t="n">
        <v>129</v>
      </c>
      <c r="I3205" s="0" t="s">
        <v>10711</v>
      </c>
      <c r="J3205" s="0" t="s">
        <v>10712</v>
      </c>
      <c r="K3205" s="0" t="s">
        <v>10713</v>
      </c>
      <c r="L3205" s="0" t="str">
        <f aca="false">HYPERLINK("https://www.ncbi.nlm.nih.gov/nuccore/CP000058.1?report=graph&amp;tracks=[key:gene_model_track,Options:GeneOnly]&amp;mk=1034754:1034773|offset_1|444444,1034823:1034842|offset_70|444444,1034882:1034901|offset_129|00cc00,1034915:1034934|offset_162|444444&amp;v=1034553:1035134&amp;c=444444", "offset 129")</f>
        <v>offset 129</v>
      </c>
    </row>
    <row r="3206" customFormat="false" ht="12.8" hidden="false" customHeight="false" outlineLevel="0" collapsed="false">
      <c r="A3206" s="0" t="s">
        <v>12</v>
      </c>
      <c r="B3206" s="0" t="n">
        <v>1034914</v>
      </c>
      <c r="C3206" s="0" t="n">
        <v>1034934</v>
      </c>
      <c r="D3206" s="0" t="s">
        <v>10703</v>
      </c>
      <c r="E3206" s="0" t="s">
        <v>10704</v>
      </c>
      <c r="F3206" s="0" t="s">
        <v>15</v>
      </c>
      <c r="G3206" s="0" t="s">
        <v>16</v>
      </c>
      <c r="H3206" s="0" t="n">
        <v>162</v>
      </c>
      <c r="I3206" s="0" t="s">
        <v>10714</v>
      </c>
      <c r="J3206" s="0" t="s">
        <v>10715</v>
      </c>
      <c r="K3206" s="0" t="s">
        <v>10716</v>
      </c>
      <c r="L3206" s="0" t="str">
        <f aca="false">HYPERLINK("https://www.ncbi.nlm.nih.gov/nuccore/CP000058.1?report=graph&amp;tracks=[key:gene_model_track,Options:GeneOnly]&amp;mk=1034754:1034773|offset_1|444444,1034823:1034842|offset_70|444444,1034882:1034901|offset_129|444444,1034915:1034934|offset_162|00cc00&amp;v=1034553:1035134&amp;c=444444", "offset 162")</f>
        <v>offset 162</v>
      </c>
    </row>
    <row r="3207" customFormat="false" ht="12.8" hidden="false" customHeight="false" outlineLevel="0" collapsed="false">
      <c r="A3207" s="0" t="s">
        <v>12</v>
      </c>
      <c r="B3207" s="0" t="n">
        <v>1036233</v>
      </c>
      <c r="C3207" s="0" t="n">
        <v>1036253</v>
      </c>
      <c r="D3207" s="0" t="s">
        <v>10717</v>
      </c>
      <c r="E3207" s="0" t="s">
        <v>75</v>
      </c>
      <c r="F3207" s="0" t="s">
        <v>90</v>
      </c>
      <c r="G3207" s="0" t="s">
        <v>16</v>
      </c>
      <c r="H3207" s="0" t="n">
        <v>7</v>
      </c>
      <c r="I3207" s="0" t="s">
        <v>10718</v>
      </c>
      <c r="J3207" s="0" t="s">
        <v>10719</v>
      </c>
      <c r="K3207" s="0" t="s">
        <v>10720</v>
      </c>
      <c r="L3207" s="0" t="str">
        <f aca="false">HYPERLINK("https://www.ncbi.nlm.nih.gov/nuccore/CP000058.1?report=graph&amp;tracks=[key:gene_model_track,Options:GeneOnly]&amp;mk=1036234:1036253|offset_7|00cc00,1036214:1036233|offset_27|444444,1036142:1036161|offset_99|444444,1036117:1036136|offset_124|444444&amp;v=1036033:1036336&amp;c=444444", "offset 7")</f>
        <v>offset 7</v>
      </c>
    </row>
    <row r="3208" customFormat="false" ht="12.8" hidden="false" customHeight="false" outlineLevel="0" collapsed="false">
      <c r="A3208" s="0" t="s">
        <v>12</v>
      </c>
      <c r="B3208" s="0" t="n">
        <v>1036213</v>
      </c>
      <c r="C3208" s="0" t="n">
        <v>1036233</v>
      </c>
      <c r="D3208" s="0" t="s">
        <v>10717</v>
      </c>
      <c r="E3208" s="0" t="s">
        <v>75</v>
      </c>
      <c r="F3208" s="0" t="s">
        <v>90</v>
      </c>
      <c r="G3208" s="0" t="s">
        <v>36</v>
      </c>
      <c r="H3208" s="0" t="n">
        <v>27</v>
      </c>
      <c r="I3208" s="0" t="s">
        <v>10721</v>
      </c>
      <c r="J3208" s="0" t="s">
        <v>10722</v>
      </c>
      <c r="K3208" s="0" t="s">
        <v>10723</v>
      </c>
      <c r="L3208" s="0" t="str">
        <f aca="false">HYPERLINK("https://www.ncbi.nlm.nih.gov/nuccore/CP000058.1?report=graph&amp;tracks=[key:gene_model_track,Options:GeneOnly]&amp;mk=1036234:1036253|offset_7|444444,1036214:1036233|offset_27|00cc00,1036142:1036161|offset_99|444444,1036117:1036136|offset_124|444444&amp;v=1036033:1036336&amp;c=444444", "offset 27")</f>
        <v>offset 27</v>
      </c>
    </row>
    <row r="3209" customFormat="false" ht="12.8" hidden="false" customHeight="false" outlineLevel="0" collapsed="false">
      <c r="A3209" s="0" t="s">
        <v>12</v>
      </c>
      <c r="B3209" s="0" t="n">
        <v>1036141</v>
      </c>
      <c r="C3209" s="0" t="n">
        <v>1036161</v>
      </c>
      <c r="D3209" s="0" t="s">
        <v>10717</v>
      </c>
      <c r="E3209" s="0" t="s">
        <v>75</v>
      </c>
      <c r="F3209" s="0" t="s">
        <v>90</v>
      </c>
      <c r="G3209" s="0" t="s">
        <v>16</v>
      </c>
      <c r="H3209" s="0" t="n">
        <v>99</v>
      </c>
      <c r="I3209" s="0" t="s">
        <v>10724</v>
      </c>
      <c r="J3209" s="0" t="s">
        <v>10725</v>
      </c>
      <c r="K3209" s="0" t="s">
        <v>10726</v>
      </c>
      <c r="L3209" s="0" t="str">
        <f aca="false">HYPERLINK("https://www.ncbi.nlm.nih.gov/nuccore/CP000058.1?report=graph&amp;tracks=[key:gene_model_track,Options:GeneOnly]&amp;mk=1036234:1036253|offset_7|444444,1036214:1036233|offset_27|444444,1036142:1036161|offset_99|00cc00,1036117:1036136|offset_124|444444&amp;v=1036033:1036336&amp;c=444444", "offset 99")</f>
        <v>offset 99</v>
      </c>
    </row>
    <row r="3210" customFormat="false" ht="12.8" hidden="false" customHeight="false" outlineLevel="0" collapsed="false">
      <c r="A3210" s="0" t="s">
        <v>12</v>
      </c>
      <c r="B3210" s="0" t="n">
        <v>1036116</v>
      </c>
      <c r="C3210" s="0" t="n">
        <v>1036136</v>
      </c>
      <c r="D3210" s="0" t="s">
        <v>10717</v>
      </c>
      <c r="E3210" s="0" t="s">
        <v>75</v>
      </c>
      <c r="F3210" s="0" t="s">
        <v>90</v>
      </c>
      <c r="G3210" s="0" t="s">
        <v>16</v>
      </c>
      <c r="H3210" s="0" t="n">
        <v>124</v>
      </c>
      <c r="I3210" s="0" t="s">
        <v>10727</v>
      </c>
      <c r="J3210" s="0" t="s">
        <v>10728</v>
      </c>
      <c r="K3210" s="0" t="s">
        <v>10729</v>
      </c>
      <c r="L3210" s="0" t="str">
        <f aca="false">HYPERLINK("https://www.ncbi.nlm.nih.gov/nuccore/CP000058.1?report=graph&amp;tracks=[key:gene_model_track,Options:GeneOnly]&amp;mk=1036234:1036253|offset_7|444444,1036214:1036233|offset_27|444444,1036142:1036161|offset_99|444444,1036117:1036136|offset_124|00cc00&amp;v=1036033:1036336&amp;c=444444", "offset 124")</f>
        <v>offset 124</v>
      </c>
    </row>
    <row r="3211" customFormat="false" ht="12.8" hidden="false" customHeight="false" outlineLevel="0" collapsed="false">
      <c r="A3211" s="0" t="s">
        <v>12</v>
      </c>
      <c r="B3211" s="0" t="n">
        <v>1037952</v>
      </c>
      <c r="C3211" s="0" t="n">
        <v>1037972</v>
      </c>
      <c r="D3211" s="0" t="s">
        <v>10730</v>
      </c>
      <c r="E3211" s="0" t="s">
        <v>75</v>
      </c>
      <c r="F3211" s="0" t="s">
        <v>90</v>
      </c>
      <c r="G3211" s="0" t="s">
        <v>36</v>
      </c>
      <c r="H3211" s="0" t="n">
        <v>45</v>
      </c>
      <c r="I3211" s="0" t="s">
        <v>10731</v>
      </c>
      <c r="J3211" s="0" t="s">
        <v>10732</v>
      </c>
      <c r="K3211" s="0" t="s">
        <v>10733</v>
      </c>
      <c r="L3211" s="0" t="str">
        <f aca="false">HYPERLINK("https://www.ncbi.nlm.nih.gov/nuccore/CP000058.1?report=graph&amp;tracks=[key:gene_model_track,Options:GeneOnly]&amp;mk=1037953:1037972|offset_45|00cc00,1037933:1037952|offset_65|444444,1037878:1037897|offset_120|444444,1037858:1037877|offset_140|444444&amp;v=1037752:1038077&amp;c=444444", "offset 45")</f>
        <v>offset 45</v>
      </c>
    </row>
    <row r="3212" customFormat="false" ht="12.8" hidden="false" customHeight="false" outlineLevel="0" collapsed="false">
      <c r="A3212" s="0" t="s">
        <v>12</v>
      </c>
      <c r="B3212" s="0" t="n">
        <v>1037932</v>
      </c>
      <c r="C3212" s="0" t="n">
        <v>1037952</v>
      </c>
      <c r="D3212" s="0" t="s">
        <v>10730</v>
      </c>
      <c r="E3212" s="0" t="s">
        <v>75</v>
      </c>
      <c r="F3212" s="0" t="s">
        <v>90</v>
      </c>
      <c r="G3212" s="0" t="s">
        <v>20</v>
      </c>
      <c r="H3212" s="0" t="n">
        <v>65</v>
      </c>
      <c r="I3212" s="0" t="s">
        <v>10734</v>
      </c>
      <c r="J3212" s="0" t="s">
        <v>10735</v>
      </c>
      <c r="K3212" s="0" t="s">
        <v>10736</v>
      </c>
      <c r="L3212" s="0" t="str">
        <f aca="false">HYPERLINK("https://www.ncbi.nlm.nih.gov/nuccore/CP000058.1?report=graph&amp;tracks=[key:gene_model_track,Options:GeneOnly]&amp;mk=1037953:1037972|offset_45|444444,1037933:1037952|offset_65|00cc00,1037878:1037897|offset_120|444444,1037858:1037877|offset_140|444444&amp;v=1037752:1038077&amp;c=444444", "offset 65")</f>
        <v>offset 65</v>
      </c>
    </row>
    <row r="3213" customFormat="false" ht="12.8" hidden="false" customHeight="false" outlineLevel="0" collapsed="false">
      <c r="A3213" s="0" t="s">
        <v>12</v>
      </c>
      <c r="B3213" s="0" t="n">
        <v>1037877</v>
      </c>
      <c r="C3213" s="0" t="n">
        <v>1037897</v>
      </c>
      <c r="D3213" s="0" t="s">
        <v>10730</v>
      </c>
      <c r="E3213" s="0" t="s">
        <v>75</v>
      </c>
      <c r="F3213" s="0" t="s">
        <v>90</v>
      </c>
      <c r="G3213" s="0" t="s">
        <v>20</v>
      </c>
      <c r="H3213" s="0" t="n">
        <v>120</v>
      </c>
      <c r="I3213" s="0" t="s">
        <v>10737</v>
      </c>
      <c r="J3213" s="0" t="s">
        <v>10738</v>
      </c>
      <c r="K3213" s="0" t="s">
        <v>10739</v>
      </c>
      <c r="L3213" s="0" t="str">
        <f aca="false">HYPERLINK("https://www.ncbi.nlm.nih.gov/nuccore/CP000058.1?report=graph&amp;tracks=[key:gene_model_track,Options:GeneOnly]&amp;mk=1037953:1037972|offset_45|444444,1037933:1037952|offset_65|444444,1037878:1037897|offset_120|00cc00,1037858:1037877|offset_140|444444&amp;v=1037752:1038077&amp;c=444444", "offset 120")</f>
        <v>offset 120</v>
      </c>
    </row>
    <row r="3214" customFormat="false" ht="12.8" hidden="false" customHeight="false" outlineLevel="0" collapsed="false">
      <c r="A3214" s="0" t="s">
        <v>12</v>
      </c>
      <c r="B3214" s="0" t="n">
        <v>1037857</v>
      </c>
      <c r="C3214" s="0" t="n">
        <v>1037877</v>
      </c>
      <c r="D3214" s="0" t="s">
        <v>10730</v>
      </c>
      <c r="E3214" s="0" t="s">
        <v>75</v>
      </c>
      <c r="F3214" s="0" t="s">
        <v>90</v>
      </c>
      <c r="G3214" s="0" t="s">
        <v>32</v>
      </c>
      <c r="H3214" s="0" t="n">
        <v>140</v>
      </c>
      <c r="I3214" s="0" t="s">
        <v>10740</v>
      </c>
      <c r="J3214" s="0" t="s">
        <v>10741</v>
      </c>
      <c r="K3214" s="0" t="s">
        <v>10742</v>
      </c>
      <c r="L3214" s="0" t="str">
        <f aca="false">HYPERLINK("https://www.ncbi.nlm.nih.gov/nuccore/CP000058.1?report=graph&amp;tracks=[key:gene_model_track,Options:GeneOnly]&amp;mk=1037953:1037972|offset_45|444444,1037933:1037952|offset_65|444444,1037878:1037897|offset_120|444444,1037858:1037877|offset_140|00cc00&amp;v=1037752:1038077&amp;c=444444", "offset 140")</f>
        <v>offset 140</v>
      </c>
    </row>
    <row r="3215" customFormat="false" ht="12.8" hidden="false" customHeight="false" outlineLevel="0" collapsed="false">
      <c r="A3215" s="0" t="s">
        <v>12</v>
      </c>
      <c r="B3215" s="0" t="n">
        <v>1038028</v>
      </c>
      <c r="C3215" s="0" t="n">
        <v>1038048</v>
      </c>
      <c r="D3215" s="0" t="s">
        <v>10743</v>
      </c>
      <c r="E3215" s="0" t="s">
        <v>75</v>
      </c>
      <c r="F3215" s="0" t="s">
        <v>15</v>
      </c>
      <c r="G3215" s="0" t="s">
        <v>36</v>
      </c>
      <c r="H3215" s="0" t="n">
        <v>13</v>
      </c>
      <c r="I3215" s="0" t="s">
        <v>10744</v>
      </c>
      <c r="J3215" s="0" t="s">
        <v>10745</v>
      </c>
      <c r="K3215" s="0" t="s">
        <v>10746</v>
      </c>
      <c r="L3215" s="0" t="str">
        <f aca="false">HYPERLINK("https://www.ncbi.nlm.nih.gov/nuccore/CP000058.1?report=graph&amp;tracks=[key:gene_model_track,Options:GeneOnly]&amp;mk=1038029:1038048|offset_13|00cc00,1038058:1038077|offset_42|444444,1038114:1038133|offset_98|444444,1038137:1038156|offset_121|444444&amp;v=1037828:1038356&amp;c=444444", "offset 13")</f>
        <v>offset 13</v>
      </c>
    </row>
    <row r="3216" customFormat="false" ht="12.8" hidden="false" customHeight="false" outlineLevel="0" collapsed="false">
      <c r="A3216" s="0" t="s">
        <v>12</v>
      </c>
      <c r="B3216" s="0" t="n">
        <v>1038057</v>
      </c>
      <c r="C3216" s="0" t="n">
        <v>1038077</v>
      </c>
      <c r="D3216" s="0" t="s">
        <v>10743</v>
      </c>
      <c r="E3216" s="0" t="s">
        <v>75</v>
      </c>
      <c r="F3216" s="0" t="s">
        <v>15</v>
      </c>
      <c r="G3216" s="0" t="s">
        <v>20</v>
      </c>
      <c r="H3216" s="0" t="n">
        <v>42</v>
      </c>
      <c r="I3216" s="0" t="s">
        <v>10747</v>
      </c>
      <c r="J3216" s="0" t="s">
        <v>10748</v>
      </c>
      <c r="K3216" s="0" t="s">
        <v>10749</v>
      </c>
      <c r="L3216" s="0" t="str">
        <f aca="false">HYPERLINK("https://www.ncbi.nlm.nih.gov/nuccore/CP000058.1?report=graph&amp;tracks=[key:gene_model_track,Options:GeneOnly]&amp;mk=1038029:1038048|offset_13|444444,1038058:1038077|offset_42|00cc00,1038114:1038133|offset_98|444444,1038137:1038156|offset_121|444444&amp;v=1037828:1038356&amp;c=444444", "offset 42")</f>
        <v>offset 42</v>
      </c>
    </row>
    <row r="3217" customFormat="false" ht="12.8" hidden="false" customHeight="false" outlineLevel="0" collapsed="false">
      <c r="A3217" s="0" t="s">
        <v>12</v>
      </c>
      <c r="B3217" s="0" t="n">
        <v>1038113</v>
      </c>
      <c r="C3217" s="0" t="n">
        <v>1038133</v>
      </c>
      <c r="D3217" s="0" t="s">
        <v>10743</v>
      </c>
      <c r="E3217" s="0" t="s">
        <v>75</v>
      </c>
      <c r="F3217" s="0" t="s">
        <v>15</v>
      </c>
      <c r="G3217" s="0" t="s">
        <v>20</v>
      </c>
      <c r="H3217" s="0" t="n">
        <v>98</v>
      </c>
      <c r="I3217" s="0" t="s">
        <v>10750</v>
      </c>
      <c r="J3217" s="0" t="s">
        <v>10751</v>
      </c>
      <c r="K3217" s="0" t="s">
        <v>10752</v>
      </c>
      <c r="L3217" s="0" t="str">
        <f aca="false">HYPERLINK("https://www.ncbi.nlm.nih.gov/nuccore/CP000058.1?report=graph&amp;tracks=[key:gene_model_track,Options:GeneOnly]&amp;mk=1038029:1038048|offset_13|444444,1038058:1038077|offset_42|444444,1038114:1038133|offset_98|00cc00,1038137:1038156|offset_121|444444&amp;v=1037828:1038356&amp;c=444444", "offset 98")</f>
        <v>offset 98</v>
      </c>
    </row>
    <row r="3218" customFormat="false" ht="12.8" hidden="false" customHeight="false" outlineLevel="0" collapsed="false">
      <c r="A3218" s="0" t="s">
        <v>12</v>
      </c>
      <c r="B3218" s="0" t="n">
        <v>1038136</v>
      </c>
      <c r="C3218" s="0" t="n">
        <v>1038156</v>
      </c>
      <c r="D3218" s="0" t="s">
        <v>10743</v>
      </c>
      <c r="E3218" s="0" t="s">
        <v>75</v>
      </c>
      <c r="F3218" s="0" t="s">
        <v>15</v>
      </c>
      <c r="G3218" s="0" t="s">
        <v>32</v>
      </c>
      <c r="H3218" s="0" t="n">
        <v>121</v>
      </c>
      <c r="I3218" s="0" t="s">
        <v>10753</v>
      </c>
      <c r="J3218" s="0" t="s">
        <v>10754</v>
      </c>
      <c r="K3218" s="0" t="s">
        <v>10755</v>
      </c>
      <c r="L3218" s="0" t="str">
        <f aca="false">HYPERLINK("https://www.ncbi.nlm.nih.gov/nuccore/CP000058.1?report=graph&amp;tracks=[key:gene_model_track,Options:GeneOnly]&amp;mk=1038029:1038048|offset_13|444444,1038058:1038077|offset_42|444444,1038114:1038133|offset_98|444444,1038137:1038156|offset_121|00cc00&amp;v=1037828:1038356&amp;c=444444", "offset 121")</f>
        <v>offset 121</v>
      </c>
    </row>
    <row r="3219" customFormat="false" ht="12.8" hidden="false" customHeight="false" outlineLevel="0" collapsed="false">
      <c r="A3219" s="0" t="s">
        <v>12</v>
      </c>
      <c r="B3219" s="0" t="n">
        <v>1040375</v>
      </c>
      <c r="C3219" s="0" t="n">
        <v>1040395</v>
      </c>
      <c r="D3219" s="0" t="s">
        <v>10756</v>
      </c>
      <c r="E3219" s="0" t="s">
        <v>75</v>
      </c>
      <c r="F3219" s="0" t="s">
        <v>15</v>
      </c>
      <c r="G3219" s="0" t="s">
        <v>32</v>
      </c>
      <c r="H3219" s="0" t="n">
        <v>51</v>
      </c>
      <c r="I3219" s="0" t="s">
        <v>10757</v>
      </c>
      <c r="J3219" s="0" t="s">
        <v>10758</v>
      </c>
      <c r="K3219" s="0" t="s">
        <v>10759</v>
      </c>
      <c r="L3219" s="0" t="str">
        <f aca="false">HYPERLINK("https://www.ncbi.nlm.nih.gov/nuccore/CP000058.1?report=graph&amp;tracks=[key:gene_model_track,Options:GeneOnly]&amp;mk=1040376:1040395|offset_51|00cc00,1040413:1040432|offset_88|444444,1040436:1040455|offset_111|444444,1040464:1040483|offset_139|444444&amp;v=1040175:1040683&amp;c=444444", "offset 51")</f>
        <v>offset 51</v>
      </c>
    </row>
    <row r="3220" customFormat="false" ht="12.8" hidden="false" customHeight="false" outlineLevel="0" collapsed="false">
      <c r="A3220" s="0" t="s">
        <v>12</v>
      </c>
      <c r="B3220" s="0" t="n">
        <v>1040412</v>
      </c>
      <c r="C3220" s="0" t="n">
        <v>1040432</v>
      </c>
      <c r="D3220" s="0" t="s">
        <v>10756</v>
      </c>
      <c r="E3220" s="0" t="s">
        <v>75</v>
      </c>
      <c r="F3220" s="0" t="s">
        <v>15</v>
      </c>
      <c r="G3220" s="0" t="s">
        <v>32</v>
      </c>
      <c r="H3220" s="0" t="n">
        <v>88</v>
      </c>
      <c r="I3220" s="0" t="s">
        <v>10760</v>
      </c>
      <c r="J3220" s="0" t="s">
        <v>10761</v>
      </c>
      <c r="K3220" s="0" t="s">
        <v>10762</v>
      </c>
      <c r="L3220" s="0" t="str">
        <f aca="false">HYPERLINK("https://www.ncbi.nlm.nih.gov/nuccore/CP000058.1?report=graph&amp;tracks=[key:gene_model_track,Options:GeneOnly]&amp;mk=1040376:1040395|offset_51|444444,1040413:1040432|offset_88|00cc00,1040436:1040455|offset_111|444444,1040464:1040483|offset_139|444444&amp;v=1040175:1040683&amp;c=444444", "offset 88")</f>
        <v>offset 88</v>
      </c>
    </row>
    <row r="3221" customFormat="false" ht="12.8" hidden="false" customHeight="false" outlineLevel="0" collapsed="false">
      <c r="A3221" s="0" t="s">
        <v>12</v>
      </c>
      <c r="B3221" s="0" t="n">
        <v>1040435</v>
      </c>
      <c r="C3221" s="0" t="n">
        <v>1040455</v>
      </c>
      <c r="D3221" s="0" t="s">
        <v>10756</v>
      </c>
      <c r="E3221" s="0" t="s">
        <v>75</v>
      </c>
      <c r="F3221" s="0" t="s">
        <v>15</v>
      </c>
      <c r="G3221" s="0" t="s">
        <v>16</v>
      </c>
      <c r="H3221" s="0" t="n">
        <v>111</v>
      </c>
      <c r="I3221" s="0" t="s">
        <v>10763</v>
      </c>
      <c r="J3221" s="0" t="s">
        <v>10764</v>
      </c>
      <c r="K3221" s="0" t="s">
        <v>10765</v>
      </c>
      <c r="L3221" s="0" t="str">
        <f aca="false">HYPERLINK("https://www.ncbi.nlm.nih.gov/nuccore/CP000058.1?report=graph&amp;tracks=[key:gene_model_track,Options:GeneOnly]&amp;mk=1040376:1040395|offset_51|444444,1040413:1040432|offset_88|444444,1040436:1040455|offset_111|00cc00,1040464:1040483|offset_139|444444&amp;v=1040175:1040683&amp;c=444444", "offset 111")</f>
        <v>offset 111</v>
      </c>
    </row>
    <row r="3222" customFormat="false" ht="12.8" hidden="false" customHeight="false" outlineLevel="0" collapsed="false">
      <c r="A3222" s="0" t="s">
        <v>12</v>
      </c>
      <c r="B3222" s="0" t="n">
        <v>1040463</v>
      </c>
      <c r="C3222" s="0" t="n">
        <v>1040483</v>
      </c>
      <c r="D3222" s="0" t="s">
        <v>10756</v>
      </c>
      <c r="E3222" s="0" t="s">
        <v>75</v>
      </c>
      <c r="F3222" s="0" t="s">
        <v>15</v>
      </c>
      <c r="G3222" s="0" t="s">
        <v>32</v>
      </c>
      <c r="H3222" s="0" t="n">
        <v>139</v>
      </c>
      <c r="I3222" s="0" t="s">
        <v>10766</v>
      </c>
      <c r="J3222" s="0" t="s">
        <v>10767</v>
      </c>
      <c r="K3222" s="0" t="s">
        <v>10768</v>
      </c>
      <c r="L3222" s="0" t="str">
        <f aca="false">HYPERLINK("https://www.ncbi.nlm.nih.gov/nuccore/CP000058.1?report=graph&amp;tracks=[key:gene_model_track,Options:GeneOnly]&amp;mk=1040376:1040395|offset_51|444444,1040413:1040432|offset_88|444444,1040436:1040455|offset_111|444444,1040464:1040483|offset_139|00cc00&amp;v=1040175:1040683&amp;c=444444", "offset 139")</f>
        <v>offset 139</v>
      </c>
    </row>
    <row r="3223" customFormat="false" ht="12.8" hidden="false" customHeight="false" outlineLevel="0" collapsed="false">
      <c r="A3223" s="0" t="s">
        <v>12</v>
      </c>
      <c r="B3223" s="0" t="n">
        <v>1041112</v>
      </c>
      <c r="C3223" s="0" t="n">
        <v>1041132</v>
      </c>
      <c r="D3223" s="0" t="s">
        <v>10769</v>
      </c>
      <c r="E3223" s="0" t="s">
        <v>75</v>
      </c>
      <c r="F3223" s="0" t="s">
        <v>15</v>
      </c>
      <c r="G3223" s="0" t="s">
        <v>20</v>
      </c>
      <c r="H3223" s="0" t="n">
        <v>18</v>
      </c>
      <c r="I3223" s="0" t="s">
        <v>10770</v>
      </c>
      <c r="J3223" s="0" t="s">
        <v>10771</v>
      </c>
      <c r="K3223" s="0" t="s">
        <v>10772</v>
      </c>
      <c r="L3223" s="0" t="str">
        <f aca="false">HYPERLINK("https://www.ncbi.nlm.nih.gov/nuccore/CP000058.1?report=graph&amp;tracks=[key:gene_model_track,Options:GeneOnly]&amp;mk=1041113:1041132|offset_18|00cc00,1041182:1041201|offset_87|444444,1041215:1041234|offset_120|444444,1041265:1041284|offset_170|444444&amp;v=1040912:1041484&amp;c=444444", "offset 18")</f>
        <v>offset 18</v>
      </c>
    </row>
    <row r="3224" customFormat="false" ht="12.8" hidden="false" customHeight="false" outlineLevel="0" collapsed="false">
      <c r="A3224" s="0" t="s">
        <v>12</v>
      </c>
      <c r="B3224" s="0" t="n">
        <v>1041181</v>
      </c>
      <c r="C3224" s="0" t="n">
        <v>1041201</v>
      </c>
      <c r="D3224" s="0" t="s">
        <v>10769</v>
      </c>
      <c r="E3224" s="0" t="s">
        <v>75</v>
      </c>
      <c r="F3224" s="0" t="s">
        <v>15</v>
      </c>
      <c r="G3224" s="0" t="s">
        <v>16</v>
      </c>
      <c r="H3224" s="0" t="n">
        <v>87</v>
      </c>
      <c r="I3224" s="0" t="s">
        <v>10773</v>
      </c>
      <c r="J3224" s="0" t="s">
        <v>10774</v>
      </c>
      <c r="K3224" s="0" t="s">
        <v>10775</v>
      </c>
      <c r="L3224" s="0" t="str">
        <f aca="false">HYPERLINK("https://www.ncbi.nlm.nih.gov/nuccore/CP000058.1?report=graph&amp;tracks=[key:gene_model_track,Options:GeneOnly]&amp;mk=1041113:1041132|offset_18|444444,1041182:1041201|offset_87|00cc00,1041215:1041234|offset_120|444444,1041265:1041284|offset_170|444444&amp;v=1040912:1041484&amp;c=444444", "offset 87")</f>
        <v>offset 87</v>
      </c>
    </row>
    <row r="3225" customFormat="false" ht="12.8" hidden="false" customHeight="false" outlineLevel="0" collapsed="false">
      <c r="A3225" s="0" t="s">
        <v>12</v>
      </c>
      <c r="B3225" s="0" t="n">
        <v>1041214</v>
      </c>
      <c r="C3225" s="0" t="n">
        <v>1041234</v>
      </c>
      <c r="D3225" s="0" t="s">
        <v>10769</v>
      </c>
      <c r="E3225" s="0" t="s">
        <v>75</v>
      </c>
      <c r="F3225" s="0" t="s">
        <v>15</v>
      </c>
      <c r="G3225" s="0" t="s">
        <v>16</v>
      </c>
      <c r="H3225" s="0" t="n">
        <v>120</v>
      </c>
      <c r="I3225" s="0" t="s">
        <v>10776</v>
      </c>
      <c r="J3225" s="0" t="s">
        <v>10777</v>
      </c>
      <c r="K3225" s="0" t="s">
        <v>10778</v>
      </c>
      <c r="L3225" s="0" t="str">
        <f aca="false">HYPERLINK("https://www.ncbi.nlm.nih.gov/nuccore/CP000058.1?report=graph&amp;tracks=[key:gene_model_track,Options:GeneOnly]&amp;mk=1041113:1041132|offset_18|444444,1041182:1041201|offset_87|444444,1041215:1041234|offset_120|00cc00,1041265:1041284|offset_170|444444&amp;v=1040912:1041484&amp;c=444444", "offset 120")</f>
        <v>offset 120</v>
      </c>
    </row>
    <row r="3226" customFormat="false" ht="12.8" hidden="false" customHeight="false" outlineLevel="0" collapsed="false">
      <c r="A3226" s="0" t="s">
        <v>12</v>
      </c>
      <c r="B3226" s="0" t="n">
        <v>1041264</v>
      </c>
      <c r="C3226" s="0" t="n">
        <v>1041284</v>
      </c>
      <c r="D3226" s="0" t="s">
        <v>10769</v>
      </c>
      <c r="E3226" s="0" t="s">
        <v>75</v>
      </c>
      <c r="F3226" s="0" t="s">
        <v>15</v>
      </c>
      <c r="G3226" s="0" t="s">
        <v>20</v>
      </c>
      <c r="H3226" s="0" t="n">
        <v>170</v>
      </c>
      <c r="I3226" s="0" t="s">
        <v>10779</v>
      </c>
      <c r="J3226" s="0" t="s">
        <v>10780</v>
      </c>
      <c r="K3226" s="0" t="s">
        <v>10781</v>
      </c>
      <c r="L3226" s="0" t="str">
        <f aca="false">HYPERLINK("https://www.ncbi.nlm.nih.gov/nuccore/CP000058.1?report=graph&amp;tracks=[key:gene_model_track,Options:GeneOnly]&amp;mk=1041113:1041132|offset_18|444444,1041182:1041201|offset_87|444444,1041215:1041234|offset_120|444444,1041265:1041284|offset_170|00cc00&amp;v=1040912:1041484&amp;c=444444", "offset 170")</f>
        <v>offset 170</v>
      </c>
    </row>
    <row r="3227" customFormat="false" ht="12.8" hidden="false" customHeight="false" outlineLevel="0" collapsed="false">
      <c r="A3227" s="0" t="s">
        <v>12</v>
      </c>
      <c r="B3227" s="0" t="n">
        <v>1041808</v>
      </c>
      <c r="C3227" s="0" t="n">
        <v>1041828</v>
      </c>
      <c r="D3227" s="0" t="s">
        <v>10782</v>
      </c>
      <c r="E3227" s="0" t="s">
        <v>75</v>
      </c>
      <c r="F3227" s="0" t="s">
        <v>90</v>
      </c>
      <c r="G3227" s="0" t="s">
        <v>16</v>
      </c>
      <c r="H3227" s="0" t="n">
        <v>22</v>
      </c>
      <c r="I3227" s="0" t="s">
        <v>10783</v>
      </c>
      <c r="J3227" s="0" t="s">
        <v>10784</v>
      </c>
      <c r="K3227" s="0" t="s">
        <v>10785</v>
      </c>
      <c r="L3227" s="0" t="str">
        <f aca="false">HYPERLINK("https://www.ncbi.nlm.nih.gov/nuccore/CP000058.1?report=graph&amp;tracks=[key:gene_model_track,Options:GeneOnly]&amp;mk=1041809:1041828|offset_22|00cc00,1041785:1041804|offset_46|444444,1041720:1041739|offset_111|444444,1041678:1041697|offset_153|444444&amp;v=1041608:1041897&amp;c=444444", "offset 22")</f>
        <v>offset 22</v>
      </c>
    </row>
    <row r="3228" customFormat="false" ht="12.8" hidden="false" customHeight="false" outlineLevel="0" collapsed="false">
      <c r="A3228" s="0" t="s">
        <v>12</v>
      </c>
      <c r="B3228" s="0" t="n">
        <v>1041784</v>
      </c>
      <c r="C3228" s="0" t="n">
        <v>1041804</v>
      </c>
      <c r="D3228" s="0" t="s">
        <v>10782</v>
      </c>
      <c r="E3228" s="0" t="s">
        <v>75</v>
      </c>
      <c r="F3228" s="0" t="s">
        <v>90</v>
      </c>
      <c r="G3228" s="0" t="s">
        <v>32</v>
      </c>
      <c r="H3228" s="0" t="n">
        <v>46</v>
      </c>
      <c r="I3228" s="0" t="s">
        <v>10786</v>
      </c>
      <c r="J3228" s="0" t="s">
        <v>10787</v>
      </c>
      <c r="K3228" s="0" t="s">
        <v>10788</v>
      </c>
      <c r="L3228" s="0" t="str">
        <f aca="false">HYPERLINK("https://www.ncbi.nlm.nih.gov/nuccore/CP000058.1?report=graph&amp;tracks=[key:gene_model_track,Options:GeneOnly]&amp;mk=1041809:1041828|offset_22|444444,1041785:1041804|offset_46|00cc00,1041720:1041739|offset_111|444444,1041678:1041697|offset_153|444444&amp;v=1041608:1041897&amp;c=444444", "offset 46")</f>
        <v>offset 46</v>
      </c>
    </row>
    <row r="3229" customFormat="false" ht="12.8" hidden="false" customHeight="false" outlineLevel="0" collapsed="false">
      <c r="A3229" s="0" t="s">
        <v>12</v>
      </c>
      <c r="B3229" s="0" t="n">
        <v>1041719</v>
      </c>
      <c r="C3229" s="0" t="n">
        <v>1041739</v>
      </c>
      <c r="D3229" s="0" t="s">
        <v>10782</v>
      </c>
      <c r="E3229" s="0" t="s">
        <v>75</v>
      </c>
      <c r="F3229" s="0" t="s">
        <v>90</v>
      </c>
      <c r="G3229" s="0" t="s">
        <v>36</v>
      </c>
      <c r="H3229" s="0" t="n">
        <v>111</v>
      </c>
      <c r="I3229" s="0" t="s">
        <v>10789</v>
      </c>
      <c r="J3229" s="0" t="s">
        <v>10790</v>
      </c>
      <c r="K3229" s="0" t="s">
        <v>10791</v>
      </c>
      <c r="L3229" s="0" t="str">
        <f aca="false">HYPERLINK("https://www.ncbi.nlm.nih.gov/nuccore/CP000058.1?report=graph&amp;tracks=[key:gene_model_track,Options:GeneOnly]&amp;mk=1041809:1041828|offset_22|444444,1041785:1041804|offset_46|444444,1041720:1041739|offset_111|00cc00,1041678:1041697|offset_153|444444&amp;v=1041608:1041897&amp;c=444444", "offset 111")</f>
        <v>offset 111</v>
      </c>
    </row>
    <row r="3230" customFormat="false" ht="12.8" hidden="false" customHeight="false" outlineLevel="0" collapsed="false">
      <c r="A3230" s="0" t="s">
        <v>12</v>
      </c>
      <c r="B3230" s="0" t="n">
        <v>1041677</v>
      </c>
      <c r="C3230" s="0" t="n">
        <v>1041697</v>
      </c>
      <c r="D3230" s="0" t="s">
        <v>10782</v>
      </c>
      <c r="E3230" s="0" t="s">
        <v>75</v>
      </c>
      <c r="F3230" s="0" t="s">
        <v>90</v>
      </c>
      <c r="G3230" s="0" t="s">
        <v>16</v>
      </c>
      <c r="H3230" s="0" t="n">
        <v>153</v>
      </c>
      <c r="I3230" s="0" t="s">
        <v>10792</v>
      </c>
      <c r="J3230" s="0" t="s">
        <v>10793</v>
      </c>
      <c r="K3230" s="0" t="s">
        <v>10794</v>
      </c>
      <c r="L3230" s="0" t="str">
        <f aca="false">HYPERLINK("https://www.ncbi.nlm.nih.gov/nuccore/CP000058.1?report=graph&amp;tracks=[key:gene_model_track,Options:GeneOnly]&amp;mk=1041809:1041828|offset_22|444444,1041785:1041804|offset_46|444444,1041720:1041739|offset_111|444444,1041678:1041697|offset_153|00cc00&amp;v=1041608:1041897&amp;c=444444", "offset 153")</f>
        <v>offset 153</v>
      </c>
    </row>
    <row r="3231" customFormat="false" ht="12.8" hidden="false" customHeight="false" outlineLevel="0" collapsed="false">
      <c r="A3231" s="0" t="s">
        <v>12</v>
      </c>
      <c r="B3231" s="0" t="n">
        <v>1042282</v>
      </c>
      <c r="C3231" s="0" t="n">
        <v>1042302</v>
      </c>
      <c r="D3231" s="0" t="s">
        <v>10795</v>
      </c>
      <c r="E3231" s="0" t="s">
        <v>10796</v>
      </c>
      <c r="F3231" s="0" t="s">
        <v>15</v>
      </c>
      <c r="G3231" s="0" t="s">
        <v>16</v>
      </c>
      <c r="H3231" s="0" t="n">
        <v>35</v>
      </c>
      <c r="I3231" s="0" t="s">
        <v>10797</v>
      </c>
      <c r="J3231" s="0" t="s">
        <v>10798</v>
      </c>
      <c r="K3231" s="0" t="s">
        <v>10799</v>
      </c>
      <c r="L3231" s="0" t="str">
        <f aca="false">HYPERLINK("https://www.ncbi.nlm.nih.gov/nuccore/CP000058.1?report=graph&amp;tracks=[key:gene_model_track,Options:GeneOnly]&amp;mk=1042283:1042302|offset_35|00cc00,1042325:1042344|offset_77|444444,1042357:1042376|offset_109|444444,1042382:1042401|offset_134|444444&amp;v=1042082:1042601&amp;c=444444", "offset 35")</f>
        <v>offset 35</v>
      </c>
    </row>
    <row r="3232" customFormat="false" ht="12.8" hidden="false" customHeight="false" outlineLevel="0" collapsed="false">
      <c r="A3232" s="0" t="s">
        <v>12</v>
      </c>
      <c r="B3232" s="0" t="n">
        <v>1042324</v>
      </c>
      <c r="C3232" s="0" t="n">
        <v>1042344</v>
      </c>
      <c r="D3232" s="0" t="s">
        <v>10795</v>
      </c>
      <c r="E3232" s="0" t="s">
        <v>10796</v>
      </c>
      <c r="F3232" s="0" t="s">
        <v>15</v>
      </c>
      <c r="G3232" s="0" t="s">
        <v>36</v>
      </c>
      <c r="H3232" s="0" t="n">
        <v>77</v>
      </c>
      <c r="I3232" s="0" t="s">
        <v>10800</v>
      </c>
      <c r="J3232" s="0" t="s">
        <v>10801</v>
      </c>
      <c r="K3232" s="0" t="s">
        <v>10802</v>
      </c>
      <c r="L3232" s="0" t="str">
        <f aca="false">HYPERLINK("https://www.ncbi.nlm.nih.gov/nuccore/CP000058.1?report=graph&amp;tracks=[key:gene_model_track,Options:GeneOnly]&amp;mk=1042283:1042302|offset_35|444444,1042325:1042344|offset_77|00cc00,1042357:1042376|offset_109|444444,1042382:1042401|offset_134|444444&amp;v=1042082:1042601&amp;c=444444", "offset 77")</f>
        <v>offset 77</v>
      </c>
    </row>
    <row r="3233" customFormat="false" ht="12.8" hidden="false" customHeight="false" outlineLevel="0" collapsed="false">
      <c r="A3233" s="0" t="s">
        <v>12</v>
      </c>
      <c r="B3233" s="0" t="n">
        <v>1042356</v>
      </c>
      <c r="C3233" s="0" t="n">
        <v>1042376</v>
      </c>
      <c r="D3233" s="0" t="s">
        <v>10795</v>
      </c>
      <c r="E3233" s="0" t="s">
        <v>10796</v>
      </c>
      <c r="F3233" s="0" t="s">
        <v>15</v>
      </c>
      <c r="G3233" s="0" t="s">
        <v>36</v>
      </c>
      <c r="H3233" s="0" t="n">
        <v>109</v>
      </c>
      <c r="I3233" s="0" t="s">
        <v>10803</v>
      </c>
      <c r="J3233" s="0" t="s">
        <v>10804</v>
      </c>
      <c r="K3233" s="0" t="s">
        <v>10805</v>
      </c>
      <c r="L3233" s="0" t="str">
        <f aca="false">HYPERLINK("https://www.ncbi.nlm.nih.gov/nuccore/CP000058.1?report=graph&amp;tracks=[key:gene_model_track,Options:GeneOnly]&amp;mk=1042283:1042302|offset_35|444444,1042325:1042344|offset_77|444444,1042357:1042376|offset_109|00cc00,1042382:1042401|offset_134|444444&amp;v=1042082:1042601&amp;c=444444", "offset 109")</f>
        <v>offset 109</v>
      </c>
    </row>
    <row r="3234" customFormat="false" ht="12.8" hidden="false" customHeight="false" outlineLevel="0" collapsed="false">
      <c r="A3234" s="0" t="s">
        <v>12</v>
      </c>
      <c r="B3234" s="0" t="n">
        <v>1042381</v>
      </c>
      <c r="C3234" s="0" t="n">
        <v>1042401</v>
      </c>
      <c r="D3234" s="0" t="s">
        <v>10795</v>
      </c>
      <c r="E3234" s="0" t="s">
        <v>10796</v>
      </c>
      <c r="F3234" s="0" t="s">
        <v>15</v>
      </c>
      <c r="G3234" s="0" t="s">
        <v>32</v>
      </c>
      <c r="H3234" s="0" t="n">
        <v>134</v>
      </c>
      <c r="I3234" s="0" t="s">
        <v>10806</v>
      </c>
      <c r="J3234" s="0" t="s">
        <v>10807</v>
      </c>
      <c r="K3234" s="0" t="s">
        <v>10808</v>
      </c>
      <c r="L3234" s="0" t="str">
        <f aca="false">HYPERLINK("https://www.ncbi.nlm.nih.gov/nuccore/CP000058.1?report=graph&amp;tracks=[key:gene_model_track,Options:GeneOnly]&amp;mk=1042283:1042302|offset_35|444444,1042325:1042344|offset_77|444444,1042357:1042376|offset_109|444444,1042382:1042401|offset_134|00cc00&amp;v=1042082:1042601&amp;c=444444", "offset 134")</f>
        <v>offset 134</v>
      </c>
    </row>
    <row r="3235" customFormat="false" ht="12.8" hidden="false" customHeight="false" outlineLevel="0" collapsed="false">
      <c r="A3235" s="0" t="s">
        <v>12</v>
      </c>
      <c r="B3235" s="0" t="n">
        <v>1043982</v>
      </c>
      <c r="C3235" s="0" t="n">
        <v>1044002</v>
      </c>
      <c r="D3235" s="0" t="s">
        <v>10809</v>
      </c>
      <c r="E3235" s="0" t="s">
        <v>10810</v>
      </c>
      <c r="F3235" s="0" t="s">
        <v>15</v>
      </c>
      <c r="G3235" s="0" t="s">
        <v>32</v>
      </c>
      <c r="H3235" s="0" t="n">
        <v>8</v>
      </c>
      <c r="I3235" s="0" t="s">
        <v>10811</v>
      </c>
      <c r="J3235" s="0" t="s">
        <v>10812</v>
      </c>
      <c r="K3235" s="0" t="s">
        <v>10813</v>
      </c>
      <c r="L3235" s="0" t="str">
        <f aca="false">HYPERLINK("https://www.ncbi.nlm.nih.gov/nuccore/CP000058.1?report=graph&amp;tracks=[key:gene_model_track,Options:GeneOnly]&amp;mk=1043983:1044002|offset_8|00cc00,1044014:1044033|offset_39|444444,1044048:1044067|offset_73|444444,1044073:1044092|offset_98|444444&amp;v=1043782:1044292&amp;c=444444", "offset 8")</f>
        <v>offset 8</v>
      </c>
    </row>
    <row r="3236" customFormat="false" ht="12.8" hidden="false" customHeight="false" outlineLevel="0" collapsed="false">
      <c r="A3236" s="0" t="s">
        <v>12</v>
      </c>
      <c r="B3236" s="0" t="n">
        <v>1044013</v>
      </c>
      <c r="C3236" s="0" t="n">
        <v>1044033</v>
      </c>
      <c r="D3236" s="0" t="s">
        <v>10809</v>
      </c>
      <c r="E3236" s="0" t="s">
        <v>10810</v>
      </c>
      <c r="F3236" s="0" t="s">
        <v>15</v>
      </c>
      <c r="G3236" s="0" t="s">
        <v>16</v>
      </c>
      <c r="H3236" s="0" t="n">
        <v>39</v>
      </c>
      <c r="I3236" s="0" t="s">
        <v>10814</v>
      </c>
      <c r="J3236" s="0" t="s">
        <v>10815</v>
      </c>
      <c r="K3236" s="0" t="s">
        <v>10816</v>
      </c>
      <c r="L3236" s="0" t="str">
        <f aca="false">HYPERLINK("https://www.ncbi.nlm.nih.gov/nuccore/CP000058.1?report=graph&amp;tracks=[key:gene_model_track,Options:GeneOnly]&amp;mk=1043983:1044002|offset_8|444444,1044014:1044033|offset_39|00cc00,1044048:1044067|offset_73|444444,1044073:1044092|offset_98|444444&amp;v=1043782:1044292&amp;c=444444", "offset 39")</f>
        <v>offset 39</v>
      </c>
    </row>
    <row r="3237" customFormat="false" ht="12.8" hidden="false" customHeight="false" outlineLevel="0" collapsed="false">
      <c r="A3237" s="0" t="s">
        <v>12</v>
      </c>
      <c r="B3237" s="0" t="n">
        <v>1044047</v>
      </c>
      <c r="C3237" s="0" t="n">
        <v>1044067</v>
      </c>
      <c r="D3237" s="0" t="s">
        <v>10809</v>
      </c>
      <c r="E3237" s="0" t="s">
        <v>10810</v>
      </c>
      <c r="F3237" s="0" t="s">
        <v>15</v>
      </c>
      <c r="G3237" s="0" t="s">
        <v>36</v>
      </c>
      <c r="H3237" s="0" t="n">
        <v>73</v>
      </c>
      <c r="I3237" s="0" t="s">
        <v>10817</v>
      </c>
      <c r="J3237" s="0" t="s">
        <v>10818</v>
      </c>
      <c r="K3237" s="0" t="s">
        <v>10819</v>
      </c>
      <c r="L3237" s="0" t="str">
        <f aca="false">HYPERLINK("https://www.ncbi.nlm.nih.gov/nuccore/CP000058.1?report=graph&amp;tracks=[key:gene_model_track,Options:GeneOnly]&amp;mk=1043983:1044002|offset_8|444444,1044014:1044033|offset_39|444444,1044048:1044067|offset_73|00cc00,1044073:1044092|offset_98|444444&amp;v=1043782:1044292&amp;c=444444", "offset 73")</f>
        <v>offset 73</v>
      </c>
    </row>
    <row r="3238" customFormat="false" ht="12.8" hidden="false" customHeight="false" outlineLevel="0" collapsed="false">
      <c r="A3238" s="0" t="s">
        <v>12</v>
      </c>
      <c r="B3238" s="0" t="n">
        <v>1044072</v>
      </c>
      <c r="C3238" s="0" t="n">
        <v>1044092</v>
      </c>
      <c r="D3238" s="0" t="s">
        <v>10809</v>
      </c>
      <c r="E3238" s="0" t="s">
        <v>10810</v>
      </c>
      <c r="F3238" s="0" t="s">
        <v>15</v>
      </c>
      <c r="G3238" s="0" t="s">
        <v>20</v>
      </c>
      <c r="H3238" s="0" t="n">
        <v>98</v>
      </c>
      <c r="I3238" s="0" t="s">
        <v>10820</v>
      </c>
      <c r="J3238" s="0" t="s">
        <v>10821</v>
      </c>
      <c r="K3238" s="0" t="s">
        <v>10822</v>
      </c>
      <c r="L3238" s="0" t="str">
        <f aca="false">HYPERLINK("https://www.ncbi.nlm.nih.gov/nuccore/CP000058.1?report=graph&amp;tracks=[key:gene_model_track,Options:GeneOnly]&amp;mk=1043983:1044002|offset_8|444444,1044014:1044033|offset_39|444444,1044048:1044067|offset_73|444444,1044073:1044092|offset_98|00cc00&amp;v=1043782:1044292&amp;c=444444", "offset 98")</f>
        <v>offset 98</v>
      </c>
    </row>
    <row r="3239" customFormat="false" ht="12.8" hidden="false" customHeight="false" outlineLevel="0" collapsed="false">
      <c r="A3239" s="0" t="s">
        <v>12</v>
      </c>
      <c r="B3239" s="0" t="n">
        <v>1044514</v>
      </c>
      <c r="C3239" s="0" t="n">
        <v>1044534</v>
      </c>
      <c r="D3239" s="0" t="s">
        <v>10823</v>
      </c>
      <c r="E3239" s="0" t="s">
        <v>10824</v>
      </c>
      <c r="F3239" s="0" t="s">
        <v>15</v>
      </c>
      <c r="G3239" s="0" t="s">
        <v>32</v>
      </c>
      <c r="H3239" s="0" t="n">
        <v>1</v>
      </c>
      <c r="I3239" s="0" t="s">
        <v>10825</v>
      </c>
      <c r="J3239" s="0" t="s">
        <v>10826</v>
      </c>
      <c r="K3239" s="0" t="s">
        <v>10827</v>
      </c>
      <c r="L3239" s="0" t="str">
        <f aca="false">HYPERLINK("https://www.ncbi.nlm.nih.gov/nuccore/CP000058.1?report=graph&amp;tracks=[key:gene_model_track,Options:GeneOnly]&amp;mk=1044515:1044534|offset_1|00cc00,1044546:1044565|offset_32|444444,1044575:1044594|offset_61|444444,1044600:1044619|offset_86|444444&amp;v=1044314:1044819&amp;c=444444", "offset 1")</f>
        <v>offset 1</v>
      </c>
    </row>
    <row r="3240" customFormat="false" ht="12.8" hidden="false" customHeight="false" outlineLevel="0" collapsed="false">
      <c r="A3240" s="0" t="s">
        <v>12</v>
      </c>
      <c r="B3240" s="0" t="n">
        <v>1044545</v>
      </c>
      <c r="C3240" s="0" t="n">
        <v>1044565</v>
      </c>
      <c r="D3240" s="0" t="s">
        <v>10823</v>
      </c>
      <c r="E3240" s="0" t="s">
        <v>10824</v>
      </c>
      <c r="F3240" s="0" t="s">
        <v>15</v>
      </c>
      <c r="G3240" s="0" t="s">
        <v>20</v>
      </c>
      <c r="H3240" s="0" t="n">
        <v>32</v>
      </c>
      <c r="I3240" s="0" t="s">
        <v>10828</v>
      </c>
      <c r="J3240" s="0" t="s">
        <v>10829</v>
      </c>
      <c r="K3240" s="0" t="s">
        <v>10830</v>
      </c>
      <c r="L3240" s="0" t="str">
        <f aca="false">HYPERLINK("https://www.ncbi.nlm.nih.gov/nuccore/CP000058.1?report=graph&amp;tracks=[key:gene_model_track,Options:GeneOnly]&amp;mk=1044515:1044534|offset_1|444444,1044546:1044565|offset_32|00cc00,1044575:1044594|offset_61|444444,1044600:1044619|offset_86|444444&amp;v=1044314:1044819&amp;c=444444", "offset 32")</f>
        <v>offset 32</v>
      </c>
    </row>
    <row r="3241" customFormat="false" ht="12.8" hidden="false" customHeight="false" outlineLevel="0" collapsed="false">
      <c r="A3241" s="0" t="s">
        <v>12</v>
      </c>
      <c r="B3241" s="0" t="n">
        <v>1044574</v>
      </c>
      <c r="C3241" s="0" t="n">
        <v>1044594</v>
      </c>
      <c r="D3241" s="0" t="s">
        <v>10823</v>
      </c>
      <c r="E3241" s="0" t="s">
        <v>10824</v>
      </c>
      <c r="F3241" s="0" t="s">
        <v>15</v>
      </c>
      <c r="G3241" s="0" t="s">
        <v>32</v>
      </c>
      <c r="H3241" s="0" t="n">
        <v>61</v>
      </c>
      <c r="I3241" s="0" t="s">
        <v>10831</v>
      </c>
      <c r="J3241" s="0" t="s">
        <v>10832</v>
      </c>
      <c r="K3241" s="0" t="s">
        <v>10833</v>
      </c>
      <c r="L3241" s="0" t="str">
        <f aca="false">HYPERLINK("https://www.ncbi.nlm.nih.gov/nuccore/CP000058.1?report=graph&amp;tracks=[key:gene_model_track,Options:GeneOnly]&amp;mk=1044515:1044534|offset_1|444444,1044546:1044565|offset_32|444444,1044575:1044594|offset_61|00cc00,1044600:1044619|offset_86|444444&amp;v=1044314:1044819&amp;c=444444", "offset 61")</f>
        <v>offset 61</v>
      </c>
    </row>
    <row r="3242" customFormat="false" ht="12.8" hidden="false" customHeight="false" outlineLevel="0" collapsed="false">
      <c r="A3242" s="0" t="s">
        <v>12</v>
      </c>
      <c r="B3242" s="0" t="n">
        <v>1044599</v>
      </c>
      <c r="C3242" s="0" t="n">
        <v>1044619</v>
      </c>
      <c r="D3242" s="0" t="s">
        <v>10823</v>
      </c>
      <c r="E3242" s="0" t="s">
        <v>10824</v>
      </c>
      <c r="F3242" s="0" t="s">
        <v>15</v>
      </c>
      <c r="G3242" s="0" t="s">
        <v>32</v>
      </c>
      <c r="H3242" s="0" t="n">
        <v>86</v>
      </c>
      <c r="I3242" s="0" t="s">
        <v>10834</v>
      </c>
      <c r="J3242" s="0" t="s">
        <v>10835</v>
      </c>
      <c r="K3242" s="0" t="s">
        <v>10836</v>
      </c>
      <c r="L3242" s="0" t="str">
        <f aca="false">HYPERLINK("https://www.ncbi.nlm.nih.gov/nuccore/CP000058.1?report=graph&amp;tracks=[key:gene_model_track,Options:GeneOnly]&amp;mk=1044515:1044534|offset_1|444444,1044546:1044565|offset_32|444444,1044575:1044594|offset_61|444444,1044600:1044619|offset_86|00cc00&amp;v=1044314:1044819&amp;c=444444", "offset 86")</f>
        <v>offset 86</v>
      </c>
    </row>
    <row r="3243" customFormat="false" ht="12.8" hidden="false" customHeight="false" outlineLevel="0" collapsed="false">
      <c r="A3243" s="0" t="s">
        <v>12</v>
      </c>
      <c r="B3243" s="0" t="n">
        <v>1045676</v>
      </c>
      <c r="C3243" s="0" t="n">
        <v>1045696</v>
      </c>
      <c r="D3243" s="0" t="s">
        <v>10837</v>
      </c>
      <c r="E3243" s="0" t="s">
        <v>10838</v>
      </c>
      <c r="F3243" s="0" t="s">
        <v>15</v>
      </c>
      <c r="G3243" s="0" t="s">
        <v>32</v>
      </c>
      <c r="H3243" s="0" t="n">
        <v>1</v>
      </c>
      <c r="I3243" s="0" t="s">
        <v>10839</v>
      </c>
      <c r="J3243" s="0" t="s">
        <v>10840</v>
      </c>
      <c r="K3243" s="0" t="s">
        <v>10841</v>
      </c>
      <c r="L3243" s="0" t="str">
        <f aca="false">HYPERLINK("https://www.ncbi.nlm.nih.gov/nuccore/CP000058.1?report=graph&amp;tracks=[key:gene_model_track,Options:GeneOnly]&amp;mk=1045677:1045696|offset_1|00cc00,1045700:1045719|offset_24|444444,1045733:1045752|offset_57|444444,1045767:1045786|offset_91|444444&amp;v=1045476:1045986&amp;c=444444", "offset 1")</f>
        <v>offset 1</v>
      </c>
    </row>
    <row r="3244" customFormat="false" ht="12.8" hidden="false" customHeight="false" outlineLevel="0" collapsed="false">
      <c r="A3244" s="0" t="s">
        <v>12</v>
      </c>
      <c r="B3244" s="0" t="n">
        <v>1045699</v>
      </c>
      <c r="C3244" s="0" t="n">
        <v>1045719</v>
      </c>
      <c r="D3244" s="0" t="s">
        <v>10837</v>
      </c>
      <c r="E3244" s="0" t="s">
        <v>10838</v>
      </c>
      <c r="F3244" s="0" t="s">
        <v>15</v>
      </c>
      <c r="G3244" s="0" t="s">
        <v>20</v>
      </c>
      <c r="H3244" s="0" t="n">
        <v>24</v>
      </c>
      <c r="I3244" s="0" t="s">
        <v>10842</v>
      </c>
      <c r="J3244" s="0" t="s">
        <v>10843</v>
      </c>
      <c r="K3244" s="0" t="s">
        <v>10844</v>
      </c>
      <c r="L3244" s="0" t="str">
        <f aca="false">HYPERLINK("https://www.ncbi.nlm.nih.gov/nuccore/CP000058.1?report=graph&amp;tracks=[key:gene_model_track,Options:GeneOnly]&amp;mk=1045677:1045696|offset_1|444444,1045700:1045719|offset_24|00cc00,1045733:1045752|offset_57|444444,1045767:1045786|offset_91|444444&amp;v=1045476:1045986&amp;c=444444", "offset 24")</f>
        <v>offset 24</v>
      </c>
    </row>
    <row r="3245" customFormat="false" ht="12.8" hidden="false" customHeight="false" outlineLevel="0" collapsed="false">
      <c r="A3245" s="0" t="s">
        <v>12</v>
      </c>
      <c r="B3245" s="0" t="n">
        <v>1045732</v>
      </c>
      <c r="C3245" s="0" t="n">
        <v>1045752</v>
      </c>
      <c r="D3245" s="0" t="s">
        <v>10837</v>
      </c>
      <c r="E3245" s="0" t="s">
        <v>10838</v>
      </c>
      <c r="F3245" s="0" t="s">
        <v>15</v>
      </c>
      <c r="G3245" s="0" t="s">
        <v>20</v>
      </c>
      <c r="H3245" s="0" t="n">
        <v>57</v>
      </c>
      <c r="I3245" s="0" t="s">
        <v>10845</v>
      </c>
      <c r="J3245" s="0" t="s">
        <v>10846</v>
      </c>
      <c r="K3245" s="0" t="s">
        <v>10847</v>
      </c>
      <c r="L3245" s="0" t="str">
        <f aca="false">HYPERLINK("https://www.ncbi.nlm.nih.gov/nuccore/CP000058.1?report=graph&amp;tracks=[key:gene_model_track,Options:GeneOnly]&amp;mk=1045677:1045696|offset_1|444444,1045700:1045719|offset_24|444444,1045733:1045752|offset_57|00cc00,1045767:1045786|offset_91|444444&amp;v=1045476:1045986&amp;c=444444", "offset 57")</f>
        <v>offset 57</v>
      </c>
    </row>
    <row r="3246" customFormat="false" ht="12.8" hidden="false" customHeight="false" outlineLevel="0" collapsed="false">
      <c r="A3246" s="0" t="s">
        <v>12</v>
      </c>
      <c r="B3246" s="0" t="n">
        <v>1045766</v>
      </c>
      <c r="C3246" s="0" t="n">
        <v>1045786</v>
      </c>
      <c r="D3246" s="0" t="s">
        <v>10837</v>
      </c>
      <c r="E3246" s="0" t="s">
        <v>10838</v>
      </c>
      <c r="F3246" s="0" t="s">
        <v>15</v>
      </c>
      <c r="G3246" s="0" t="s">
        <v>16</v>
      </c>
      <c r="H3246" s="0" t="n">
        <v>91</v>
      </c>
      <c r="I3246" s="0" t="s">
        <v>10848</v>
      </c>
      <c r="J3246" s="0" t="s">
        <v>10849</v>
      </c>
      <c r="K3246" s="0" t="s">
        <v>10850</v>
      </c>
      <c r="L3246" s="0" t="str">
        <f aca="false">HYPERLINK("https://www.ncbi.nlm.nih.gov/nuccore/CP000058.1?report=graph&amp;tracks=[key:gene_model_track,Options:GeneOnly]&amp;mk=1045677:1045696|offset_1|444444,1045700:1045719|offset_24|444444,1045733:1045752|offset_57|444444,1045767:1045786|offset_91|00cc00&amp;v=1045476:1045986&amp;c=444444", "offset 91")</f>
        <v>offset 91</v>
      </c>
    </row>
    <row r="3247" customFormat="false" ht="12.8" hidden="false" customHeight="false" outlineLevel="0" collapsed="false">
      <c r="A3247" s="0" t="s">
        <v>12</v>
      </c>
      <c r="B3247" s="0" t="n">
        <v>1046608</v>
      </c>
      <c r="C3247" s="0" t="n">
        <v>1046628</v>
      </c>
      <c r="D3247" s="0" t="s">
        <v>10851</v>
      </c>
      <c r="E3247" s="0" t="s">
        <v>75</v>
      </c>
      <c r="F3247" s="0" t="s">
        <v>15</v>
      </c>
      <c r="G3247" s="0" t="s">
        <v>20</v>
      </c>
      <c r="H3247" s="0" t="n">
        <v>18</v>
      </c>
      <c r="I3247" s="0" t="s">
        <v>10852</v>
      </c>
      <c r="J3247" s="0" t="s">
        <v>10853</v>
      </c>
      <c r="K3247" s="0" t="s">
        <v>10854</v>
      </c>
      <c r="L3247" s="0" t="str">
        <f aca="false">HYPERLINK("https://www.ncbi.nlm.nih.gov/nuccore/CP000058.1?report=graph&amp;tracks=[key:gene_model_track,Options:GeneOnly]&amp;mk=1046609:1046628|offset_18|00cc00,1046645:1046664|offset_54|444444,1046703:1046722|offset_112|444444,1046765:1046784|offset_174|444444&amp;v=1046408:1046984&amp;c=444444", "offset 18")</f>
        <v>offset 18</v>
      </c>
    </row>
    <row r="3248" customFormat="false" ht="12.8" hidden="false" customHeight="false" outlineLevel="0" collapsed="false">
      <c r="A3248" s="0" t="s">
        <v>12</v>
      </c>
      <c r="B3248" s="0" t="n">
        <v>1046644</v>
      </c>
      <c r="C3248" s="0" t="n">
        <v>1046664</v>
      </c>
      <c r="D3248" s="0" t="s">
        <v>10851</v>
      </c>
      <c r="E3248" s="0" t="s">
        <v>75</v>
      </c>
      <c r="F3248" s="0" t="s">
        <v>15</v>
      </c>
      <c r="G3248" s="0" t="s">
        <v>20</v>
      </c>
      <c r="H3248" s="0" t="n">
        <v>54</v>
      </c>
      <c r="I3248" s="0" t="s">
        <v>10855</v>
      </c>
      <c r="J3248" s="0" t="s">
        <v>10856</v>
      </c>
      <c r="K3248" s="0" t="s">
        <v>10857</v>
      </c>
      <c r="L3248" s="0" t="str">
        <f aca="false">HYPERLINK("https://www.ncbi.nlm.nih.gov/nuccore/CP000058.1?report=graph&amp;tracks=[key:gene_model_track,Options:GeneOnly]&amp;mk=1046609:1046628|offset_18|444444,1046645:1046664|offset_54|00cc00,1046703:1046722|offset_112|444444,1046765:1046784|offset_174|444444&amp;v=1046408:1046984&amp;c=444444", "offset 54")</f>
        <v>offset 54</v>
      </c>
    </row>
    <row r="3249" customFormat="false" ht="12.8" hidden="false" customHeight="false" outlineLevel="0" collapsed="false">
      <c r="A3249" s="0" t="s">
        <v>12</v>
      </c>
      <c r="B3249" s="0" t="n">
        <v>1046702</v>
      </c>
      <c r="C3249" s="0" t="n">
        <v>1046722</v>
      </c>
      <c r="D3249" s="0" t="s">
        <v>10851</v>
      </c>
      <c r="E3249" s="0" t="s">
        <v>75</v>
      </c>
      <c r="F3249" s="0" t="s">
        <v>15</v>
      </c>
      <c r="G3249" s="0" t="s">
        <v>16</v>
      </c>
      <c r="H3249" s="0" t="n">
        <v>112</v>
      </c>
      <c r="I3249" s="0" t="s">
        <v>10858</v>
      </c>
      <c r="J3249" s="0" t="s">
        <v>10859</v>
      </c>
      <c r="K3249" s="0" t="s">
        <v>10860</v>
      </c>
      <c r="L3249" s="0" t="str">
        <f aca="false">HYPERLINK("https://www.ncbi.nlm.nih.gov/nuccore/CP000058.1?report=graph&amp;tracks=[key:gene_model_track,Options:GeneOnly]&amp;mk=1046609:1046628|offset_18|444444,1046645:1046664|offset_54|444444,1046703:1046722|offset_112|00cc00,1046765:1046784|offset_174|444444&amp;v=1046408:1046984&amp;c=444444", "offset 112")</f>
        <v>offset 112</v>
      </c>
    </row>
    <row r="3250" customFormat="false" ht="12.8" hidden="false" customHeight="false" outlineLevel="0" collapsed="false">
      <c r="A3250" s="0" t="s">
        <v>12</v>
      </c>
      <c r="B3250" s="0" t="n">
        <v>1046764</v>
      </c>
      <c r="C3250" s="0" t="n">
        <v>1046784</v>
      </c>
      <c r="D3250" s="0" t="s">
        <v>10851</v>
      </c>
      <c r="E3250" s="0" t="s">
        <v>75</v>
      </c>
      <c r="F3250" s="0" t="s">
        <v>15</v>
      </c>
      <c r="G3250" s="0" t="s">
        <v>36</v>
      </c>
      <c r="H3250" s="0" t="n">
        <v>174</v>
      </c>
      <c r="I3250" s="0" t="s">
        <v>10861</v>
      </c>
      <c r="J3250" s="0" t="s">
        <v>10862</v>
      </c>
      <c r="K3250" s="0" t="s">
        <v>10863</v>
      </c>
      <c r="L3250" s="0" t="str">
        <f aca="false">HYPERLINK("https://www.ncbi.nlm.nih.gov/nuccore/CP000058.1?report=graph&amp;tracks=[key:gene_model_track,Options:GeneOnly]&amp;mk=1046609:1046628|offset_18|444444,1046645:1046664|offset_54|444444,1046703:1046722|offset_112|444444,1046765:1046784|offset_174|00cc00&amp;v=1046408:1046984&amp;c=444444", "offset 174")</f>
        <v>offset 174</v>
      </c>
    </row>
    <row r="3251" customFormat="false" ht="12.8" hidden="false" customHeight="false" outlineLevel="0" collapsed="false">
      <c r="A3251" s="0" t="s">
        <v>12</v>
      </c>
      <c r="B3251" s="0" t="n">
        <v>1047614</v>
      </c>
      <c r="C3251" s="0" t="n">
        <v>1047634</v>
      </c>
      <c r="D3251" s="0" t="s">
        <v>10864</v>
      </c>
      <c r="E3251" s="0" t="s">
        <v>75</v>
      </c>
      <c r="F3251" s="0" t="s">
        <v>15</v>
      </c>
      <c r="G3251" s="0" t="s">
        <v>36</v>
      </c>
      <c r="H3251" s="0" t="n">
        <v>11</v>
      </c>
      <c r="I3251" s="0" t="s">
        <v>10865</v>
      </c>
      <c r="J3251" s="0" t="s">
        <v>10866</v>
      </c>
      <c r="K3251" s="0" t="s">
        <v>10867</v>
      </c>
      <c r="L3251" s="0" t="str">
        <f aca="false">HYPERLINK("https://www.ncbi.nlm.nih.gov/nuccore/CP000058.1?report=graph&amp;tracks=[key:gene_model_track,Options:GeneOnly]&amp;mk=1047615:1047634|offset_11|00cc00,1047644:1047663|offset_40|444444,1047692:1047711|offset_88|444444,1047770:1047789|offset_166|444444&amp;v=1047414:1047989&amp;c=444444", "offset 11")</f>
        <v>offset 11</v>
      </c>
    </row>
    <row r="3252" customFormat="false" ht="12.8" hidden="false" customHeight="false" outlineLevel="0" collapsed="false">
      <c r="A3252" s="0" t="s">
        <v>12</v>
      </c>
      <c r="B3252" s="0" t="n">
        <v>1047643</v>
      </c>
      <c r="C3252" s="0" t="n">
        <v>1047663</v>
      </c>
      <c r="D3252" s="0" t="s">
        <v>10864</v>
      </c>
      <c r="E3252" s="0" t="s">
        <v>75</v>
      </c>
      <c r="F3252" s="0" t="s">
        <v>15</v>
      </c>
      <c r="G3252" s="0" t="s">
        <v>16</v>
      </c>
      <c r="H3252" s="0" t="n">
        <v>40</v>
      </c>
      <c r="I3252" s="0" t="s">
        <v>10868</v>
      </c>
      <c r="J3252" s="0" t="s">
        <v>10869</v>
      </c>
      <c r="K3252" s="0" t="s">
        <v>10870</v>
      </c>
      <c r="L3252" s="0" t="str">
        <f aca="false">HYPERLINK("https://www.ncbi.nlm.nih.gov/nuccore/CP000058.1?report=graph&amp;tracks=[key:gene_model_track,Options:GeneOnly]&amp;mk=1047615:1047634|offset_11|444444,1047644:1047663|offset_40|00cc00,1047692:1047711|offset_88|444444,1047770:1047789|offset_166|444444&amp;v=1047414:1047989&amp;c=444444", "offset 40")</f>
        <v>offset 40</v>
      </c>
    </row>
    <row r="3253" customFormat="false" ht="12.8" hidden="false" customHeight="false" outlineLevel="0" collapsed="false">
      <c r="A3253" s="0" t="s">
        <v>12</v>
      </c>
      <c r="B3253" s="0" t="n">
        <v>1047691</v>
      </c>
      <c r="C3253" s="0" t="n">
        <v>1047711</v>
      </c>
      <c r="D3253" s="0" t="s">
        <v>10864</v>
      </c>
      <c r="E3253" s="0" t="s">
        <v>75</v>
      </c>
      <c r="F3253" s="0" t="s">
        <v>15</v>
      </c>
      <c r="G3253" s="0" t="s">
        <v>20</v>
      </c>
      <c r="H3253" s="0" t="n">
        <v>88</v>
      </c>
      <c r="I3253" s="0" t="s">
        <v>10871</v>
      </c>
      <c r="J3253" s="0" t="s">
        <v>10872</v>
      </c>
      <c r="K3253" s="0" t="s">
        <v>10873</v>
      </c>
      <c r="L3253" s="0" t="str">
        <f aca="false">HYPERLINK("https://www.ncbi.nlm.nih.gov/nuccore/CP000058.1?report=graph&amp;tracks=[key:gene_model_track,Options:GeneOnly]&amp;mk=1047615:1047634|offset_11|444444,1047644:1047663|offset_40|444444,1047692:1047711|offset_88|00cc00,1047770:1047789|offset_166|444444&amp;v=1047414:1047989&amp;c=444444", "offset 88")</f>
        <v>offset 88</v>
      </c>
    </row>
    <row r="3254" customFormat="false" ht="12.8" hidden="false" customHeight="false" outlineLevel="0" collapsed="false">
      <c r="A3254" s="0" t="s">
        <v>12</v>
      </c>
      <c r="B3254" s="0" t="n">
        <v>1047769</v>
      </c>
      <c r="C3254" s="0" t="n">
        <v>1047789</v>
      </c>
      <c r="D3254" s="0" t="s">
        <v>10864</v>
      </c>
      <c r="E3254" s="0" t="s">
        <v>75</v>
      </c>
      <c r="F3254" s="0" t="s">
        <v>15</v>
      </c>
      <c r="G3254" s="0" t="s">
        <v>32</v>
      </c>
      <c r="H3254" s="0" t="n">
        <v>166</v>
      </c>
      <c r="I3254" s="0" t="s">
        <v>10874</v>
      </c>
      <c r="J3254" s="0" t="s">
        <v>10875</v>
      </c>
      <c r="K3254" s="0" t="s">
        <v>10876</v>
      </c>
      <c r="L3254" s="0" t="str">
        <f aca="false">HYPERLINK("https://www.ncbi.nlm.nih.gov/nuccore/CP000058.1?report=graph&amp;tracks=[key:gene_model_track,Options:GeneOnly]&amp;mk=1047615:1047634|offset_11|444444,1047644:1047663|offset_40|444444,1047692:1047711|offset_88|444444,1047770:1047789|offset_166|00cc00&amp;v=1047414:1047989&amp;c=444444", "offset 166")</f>
        <v>offset 166</v>
      </c>
    </row>
    <row r="3255" customFormat="false" ht="12.8" hidden="false" customHeight="false" outlineLevel="0" collapsed="false">
      <c r="A3255" s="0" t="s">
        <v>12</v>
      </c>
      <c r="B3255" s="0" t="n">
        <v>1055185</v>
      </c>
      <c r="C3255" s="0" t="n">
        <v>1055205</v>
      </c>
      <c r="D3255" s="0" t="s">
        <v>10877</v>
      </c>
      <c r="E3255" s="0" t="s">
        <v>75</v>
      </c>
      <c r="F3255" s="0" t="s">
        <v>90</v>
      </c>
      <c r="G3255" s="0" t="s">
        <v>16</v>
      </c>
      <c r="H3255" s="0" t="n">
        <v>38</v>
      </c>
      <c r="I3255" s="0" t="s">
        <v>10878</v>
      </c>
      <c r="J3255" s="0" t="s">
        <v>10879</v>
      </c>
      <c r="K3255" s="0" t="s">
        <v>10880</v>
      </c>
      <c r="L3255" s="0" t="str">
        <f aca="false">HYPERLINK("https://www.ncbi.nlm.nih.gov/nuccore/CP000058.1?report=graph&amp;tracks=[key:gene_model_track,Options:GeneOnly]&amp;mk=1055186:1055205|offset_38|00cc00,1055157:1055176|offset_67|444444,1055127:1055146|offset_97|444444,1055106:1055125|offset_118|444444&amp;v=1054985:1055325&amp;c=444444", "offset 38")</f>
        <v>offset 38</v>
      </c>
    </row>
    <row r="3256" customFormat="false" ht="12.8" hidden="false" customHeight="false" outlineLevel="0" collapsed="false">
      <c r="A3256" s="0" t="s">
        <v>12</v>
      </c>
      <c r="B3256" s="0" t="n">
        <v>1055156</v>
      </c>
      <c r="C3256" s="0" t="n">
        <v>1055176</v>
      </c>
      <c r="D3256" s="0" t="s">
        <v>10877</v>
      </c>
      <c r="E3256" s="0" t="s">
        <v>75</v>
      </c>
      <c r="F3256" s="0" t="s">
        <v>90</v>
      </c>
      <c r="G3256" s="0" t="s">
        <v>20</v>
      </c>
      <c r="H3256" s="0" t="n">
        <v>67</v>
      </c>
      <c r="I3256" s="0" t="s">
        <v>10881</v>
      </c>
      <c r="J3256" s="0" t="s">
        <v>10882</v>
      </c>
      <c r="K3256" s="0" t="s">
        <v>10883</v>
      </c>
      <c r="L3256" s="0" t="str">
        <f aca="false">HYPERLINK("https://www.ncbi.nlm.nih.gov/nuccore/CP000058.1?report=graph&amp;tracks=[key:gene_model_track,Options:GeneOnly]&amp;mk=1055186:1055205|offset_38|444444,1055157:1055176|offset_67|00cc00,1055127:1055146|offset_97|444444,1055106:1055125|offset_118|444444&amp;v=1054985:1055325&amp;c=444444", "offset 67")</f>
        <v>offset 67</v>
      </c>
    </row>
    <row r="3257" customFormat="false" ht="12.8" hidden="false" customHeight="false" outlineLevel="0" collapsed="false">
      <c r="A3257" s="0" t="s">
        <v>12</v>
      </c>
      <c r="B3257" s="0" t="n">
        <v>1055126</v>
      </c>
      <c r="C3257" s="0" t="n">
        <v>1055146</v>
      </c>
      <c r="D3257" s="0" t="s">
        <v>10877</v>
      </c>
      <c r="E3257" s="0" t="s">
        <v>75</v>
      </c>
      <c r="F3257" s="0" t="s">
        <v>90</v>
      </c>
      <c r="G3257" s="0" t="s">
        <v>36</v>
      </c>
      <c r="H3257" s="0" t="n">
        <v>97</v>
      </c>
      <c r="I3257" s="0" t="s">
        <v>10884</v>
      </c>
      <c r="J3257" s="0" t="s">
        <v>10885</v>
      </c>
      <c r="K3257" s="0" t="s">
        <v>10886</v>
      </c>
      <c r="L3257" s="0" t="str">
        <f aca="false">HYPERLINK("https://www.ncbi.nlm.nih.gov/nuccore/CP000058.1?report=graph&amp;tracks=[key:gene_model_track,Options:GeneOnly]&amp;mk=1055186:1055205|offset_38|444444,1055157:1055176|offset_67|444444,1055127:1055146|offset_97|00cc00,1055106:1055125|offset_118|444444&amp;v=1054985:1055325&amp;c=444444", "offset 97")</f>
        <v>offset 97</v>
      </c>
    </row>
    <row r="3258" customFormat="false" ht="12.8" hidden="false" customHeight="false" outlineLevel="0" collapsed="false">
      <c r="A3258" s="0" t="s">
        <v>12</v>
      </c>
      <c r="B3258" s="0" t="n">
        <v>1055105</v>
      </c>
      <c r="C3258" s="0" t="n">
        <v>1055125</v>
      </c>
      <c r="D3258" s="0" t="s">
        <v>10877</v>
      </c>
      <c r="E3258" s="0" t="s">
        <v>75</v>
      </c>
      <c r="F3258" s="0" t="s">
        <v>90</v>
      </c>
      <c r="G3258" s="0" t="s">
        <v>32</v>
      </c>
      <c r="H3258" s="0" t="n">
        <v>118</v>
      </c>
      <c r="I3258" s="0" t="s">
        <v>10887</v>
      </c>
      <c r="J3258" s="0" t="s">
        <v>10888</v>
      </c>
      <c r="K3258" s="0" t="s">
        <v>10889</v>
      </c>
      <c r="L3258" s="0" t="str">
        <f aca="false">HYPERLINK("https://www.ncbi.nlm.nih.gov/nuccore/CP000058.1?report=graph&amp;tracks=[key:gene_model_track,Options:GeneOnly]&amp;mk=1055186:1055205|offset_38|444444,1055157:1055176|offset_67|444444,1055127:1055146|offset_97|444444,1055106:1055125|offset_118|00cc00&amp;v=1054985:1055325&amp;c=444444", "offset 118")</f>
        <v>offset 118</v>
      </c>
    </row>
    <row r="3259" customFormat="false" ht="12.8" hidden="false" customHeight="false" outlineLevel="0" collapsed="false">
      <c r="A3259" s="0" t="s">
        <v>12</v>
      </c>
      <c r="B3259" s="0" t="n">
        <v>1058159</v>
      </c>
      <c r="C3259" s="0" t="n">
        <v>1058179</v>
      </c>
      <c r="D3259" s="0" t="s">
        <v>10890</v>
      </c>
      <c r="E3259" s="0" t="s">
        <v>75</v>
      </c>
      <c r="F3259" s="0" t="s">
        <v>90</v>
      </c>
      <c r="G3259" s="0" t="s">
        <v>32</v>
      </c>
      <c r="H3259" s="0" t="n">
        <v>8</v>
      </c>
      <c r="I3259" s="0" t="s">
        <v>10891</v>
      </c>
      <c r="J3259" s="0" t="s">
        <v>10892</v>
      </c>
      <c r="K3259" s="0" t="s">
        <v>10893</v>
      </c>
      <c r="L3259" s="0" t="str">
        <f aca="false">HYPERLINK("https://www.ncbi.nlm.nih.gov/nuccore/CP000058.1?report=graph&amp;tracks=[key:gene_model_track,Options:GeneOnly]&amp;mk=1058160:1058179|offset_8|00cc00,1058139:1058158|offset_29|444444,1058119:1058138|offset_49|444444,1058093:1058112|offset_75|444444&amp;v=1057959:1058312&amp;c=444444", "offset 8")</f>
        <v>offset 8</v>
      </c>
    </row>
    <row r="3260" customFormat="false" ht="12.8" hidden="false" customHeight="false" outlineLevel="0" collapsed="false">
      <c r="A3260" s="0" t="s">
        <v>12</v>
      </c>
      <c r="B3260" s="0" t="n">
        <v>1058138</v>
      </c>
      <c r="C3260" s="0" t="n">
        <v>1058158</v>
      </c>
      <c r="D3260" s="0" t="s">
        <v>10890</v>
      </c>
      <c r="E3260" s="0" t="s">
        <v>75</v>
      </c>
      <c r="F3260" s="0" t="s">
        <v>90</v>
      </c>
      <c r="G3260" s="0" t="s">
        <v>16</v>
      </c>
      <c r="H3260" s="0" t="n">
        <v>29</v>
      </c>
      <c r="I3260" s="0" t="s">
        <v>10894</v>
      </c>
      <c r="J3260" s="0" t="s">
        <v>10895</v>
      </c>
      <c r="K3260" s="0" t="s">
        <v>10896</v>
      </c>
      <c r="L3260" s="0" t="str">
        <f aca="false">HYPERLINK("https://www.ncbi.nlm.nih.gov/nuccore/CP000058.1?report=graph&amp;tracks=[key:gene_model_track,Options:GeneOnly]&amp;mk=1058160:1058179|offset_8|444444,1058139:1058158|offset_29|00cc00,1058119:1058138|offset_49|444444,1058093:1058112|offset_75|444444&amp;v=1057959:1058312&amp;c=444444", "offset 29")</f>
        <v>offset 29</v>
      </c>
    </row>
    <row r="3261" customFormat="false" ht="12.8" hidden="false" customHeight="false" outlineLevel="0" collapsed="false">
      <c r="A3261" s="0" t="s">
        <v>12</v>
      </c>
      <c r="B3261" s="0" t="n">
        <v>1058118</v>
      </c>
      <c r="C3261" s="0" t="n">
        <v>1058138</v>
      </c>
      <c r="D3261" s="0" t="s">
        <v>10890</v>
      </c>
      <c r="E3261" s="0" t="s">
        <v>75</v>
      </c>
      <c r="F3261" s="0" t="s">
        <v>90</v>
      </c>
      <c r="G3261" s="0" t="s">
        <v>16</v>
      </c>
      <c r="H3261" s="0" t="n">
        <v>49</v>
      </c>
      <c r="I3261" s="0" t="s">
        <v>10897</v>
      </c>
      <c r="J3261" s="0" t="s">
        <v>10898</v>
      </c>
      <c r="K3261" s="0" t="s">
        <v>10899</v>
      </c>
      <c r="L3261" s="0" t="str">
        <f aca="false">HYPERLINK("https://www.ncbi.nlm.nih.gov/nuccore/CP000058.1?report=graph&amp;tracks=[key:gene_model_track,Options:GeneOnly]&amp;mk=1058160:1058179|offset_8|444444,1058139:1058158|offset_29|444444,1058119:1058138|offset_49|00cc00,1058093:1058112|offset_75|444444&amp;v=1057959:1058312&amp;c=444444", "offset 49")</f>
        <v>offset 49</v>
      </c>
    </row>
    <row r="3262" customFormat="false" ht="12.8" hidden="false" customHeight="false" outlineLevel="0" collapsed="false">
      <c r="A3262" s="0" t="s">
        <v>12</v>
      </c>
      <c r="B3262" s="0" t="n">
        <v>1058092</v>
      </c>
      <c r="C3262" s="0" t="n">
        <v>1058112</v>
      </c>
      <c r="D3262" s="0" t="s">
        <v>10890</v>
      </c>
      <c r="E3262" s="0" t="s">
        <v>75</v>
      </c>
      <c r="F3262" s="0" t="s">
        <v>90</v>
      </c>
      <c r="G3262" s="0" t="s">
        <v>16</v>
      </c>
      <c r="H3262" s="0" t="n">
        <v>75</v>
      </c>
      <c r="I3262" s="0" t="s">
        <v>10900</v>
      </c>
      <c r="J3262" s="0" t="s">
        <v>10901</v>
      </c>
      <c r="K3262" s="0" t="s">
        <v>10902</v>
      </c>
      <c r="L3262" s="0" t="str">
        <f aca="false">HYPERLINK("https://www.ncbi.nlm.nih.gov/nuccore/CP000058.1?report=graph&amp;tracks=[key:gene_model_track,Options:GeneOnly]&amp;mk=1058160:1058179|offset_8|444444,1058139:1058158|offset_29|444444,1058119:1058138|offset_49|444444,1058093:1058112|offset_75|00cc00&amp;v=1057959:1058312&amp;c=444444", "offset 75")</f>
        <v>offset 75</v>
      </c>
    </row>
    <row r="3263" customFormat="false" ht="12.8" hidden="false" customHeight="false" outlineLevel="0" collapsed="false">
      <c r="A3263" s="0" t="s">
        <v>12</v>
      </c>
      <c r="B3263" s="0" t="n">
        <v>1058852</v>
      </c>
      <c r="C3263" s="0" t="n">
        <v>1058872</v>
      </c>
      <c r="D3263" s="0" t="s">
        <v>10903</v>
      </c>
      <c r="E3263" s="0" t="s">
        <v>75</v>
      </c>
      <c r="F3263" s="0" t="s">
        <v>90</v>
      </c>
      <c r="G3263" s="0" t="s">
        <v>16</v>
      </c>
      <c r="H3263" s="0" t="n">
        <v>19</v>
      </c>
      <c r="I3263" s="0" t="s">
        <v>10904</v>
      </c>
      <c r="J3263" s="0" t="s">
        <v>10905</v>
      </c>
      <c r="K3263" s="0" t="s">
        <v>10906</v>
      </c>
      <c r="L3263" s="0" t="str">
        <f aca="false">HYPERLINK("https://www.ncbi.nlm.nih.gov/nuccore/CP000058.1?report=graph&amp;tracks=[key:gene_model_track,Options:GeneOnly]&amp;mk=1058853:1058872|offset_19|00cc00,1058833:1058852|offset_39|444444,1058795:1058814|offset_77|444444,1058772:1058791|offset_100|444444&amp;v=1058652:1058991&amp;c=444444", "offset 19")</f>
        <v>offset 19</v>
      </c>
    </row>
    <row r="3264" customFormat="false" ht="12.8" hidden="false" customHeight="false" outlineLevel="0" collapsed="false">
      <c r="A3264" s="0" t="s">
        <v>12</v>
      </c>
      <c r="B3264" s="0" t="n">
        <v>1058832</v>
      </c>
      <c r="C3264" s="0" t="n">
        <v>1058852</v>
      </c>
      <c r="D3264" s="0" t="s">
        <v>10903</v>
      </c>
      <c r="E3264" s="0" t="s">
        <v>75</v>
      </c>
      <c r="F3264" s="0" t="s">
        <v>90</v>
      </c>
      <c r="G3264" s="0" t="s">
        <v>16</v>
      </c>
      <c r="H3264" s="0" t="n">
        <v>39</v>
      </c>
      <c r="I3264" s="0" t="s">
        <v>10907</v>
      </c>
      <c r="J3264" s="0" t="s">
        <v>10908</v>
      </c>
      <c r="K3264" s="0" t="s">
        <v>10909</v>
      </c>
      <c r="L3264" s="0" t="str">
        <f aca="false">HYPERLINK("https://www.ncbi.nlm.nih.gov/nuccore/CP000058.1?report=graph&amp;tracks=[key:gene_model_track,Options:GeneOnly]&amp;mk=1058853:1058872|offset_19|444444,1058833:1058852|offset_39|00cc00,1058795:1058814|offset_77|444444,1058772:1058791|offset_100|444444&amp;v=1058652:1058991&amp;c=444444", "offset 39")</f>
        <v>offset 39</v>
      </c>
    </row>
    <row r="3265" customFormat="false" ht="12.8" hidden="false" customHeight="false" outlineLevel="0" collapsed="false">
      <c r="A3265" s="0" t="s">
        <v>12</v>
      </c>
      <c r="B3265" s="0" t="n">
        <v>1058794</v>
      </c>
      <c r="C3265" s="0" t="n">
        <v>1058814</v>
      </c>
      <c r="D3265" s="0" t="s">
        <v>10903</v>
      </c>
      <c r="E3265" s="0" t="s">
        <v>75</v>
      </c>
      <c r="F3265" s="0" t="s">
        <v>90</v>
      </c>
      <c r="G3265" s="0" t="s">
        <v>16</v>
      </c>
      <c r="H3265" s="0" t="n">
        <v>77</v>
      </c>
      <c r="I3265" s="0" t="s">
        <v>10910</v>
      </c>
      <c r="J3265" s="0" t="s">
        <v>10911</v>
      </c>
      <c r="K3265" s="0" t="s">
        <v>10912</v>
      </c>
      <c r="L3265" s="0" t="str">
        <f aca="false">HYPERLINK("https://www.ncbi.nlm.nih.gov/nuccore/CP000058.1?report=graph&amp;tracks=[key:gene_model_track,Options:GeneOnly]&amp;mk=1058853:1058872|offset_19|444444,1058833:1058852|offset_39|444444,1058795:1058814|offset_77|00cc00,1058772:1058791|offset_100|444444&amp;v=1058652:1058991&amp;c=444444", "offset 77")</f>
        <v>offset 77</v>
      </c>
    </row>
    <row r="3266" customFormat="false" ht="12.8" hidden="false" customHeight="false" outlineLevel="0" collapsed="false">
      <c r="A3266" s="0" t="s">
        <v>12</v>
      </c>
      <c r="B3266" s="0" t="n">
        <v>1058771</v>
      </c>
      <c r="C3266" s="0" t="n">
        <v>1058791</v>
      </c>
      <c r="D3266" s="0" t="s">
        <v>10903</v>
      </c>
      <c r="E3266" s="0" t="s">
        <v>75</v>
      </c>
      <c r="F3266" s="0" t="s">
        <v>90</v>
      </c>
      <c r="G3266" s="0" t="s">
        <v>36</v>
      </c>
      <c r="H3266" s="0" t="n">
        <v>100</v>
      </c>
      <c r="I3266" s="0" t="s">
        <v>10913</v>
      </c>
      <c r="J3266" s="0" t="s">
        <v>10914</v>
      </c>
      <c r="K3266" s="0" t="s">
        <v>10915</v>
      </c>
      <c r="L3266" s="0" t="str">
        <f aca="false">HYPERLINK("https://www.ncbi.nlm.nih.gov/nuccore/CP000058.1?report=graph&amp;tracks=[key:gene_model_track,Options:GeneOnly]&amp;mk=1058853:1058872|offset_19|444444,1058833:1058852|offset_39|444444,1058795:1058814|offset_77|444444,1058772:1058791|offset_100|00cc00&amp;v=1058652:1058991&amp;c=444444", "offset 100")</f>
        <v>offset 100</v>
      </c>
    </row>
    <row r="3267" customFormat="false" ht="12.8" hidden="false" customHeight="false" outlineLevel="0" collapsed="false">
      <c r="A3267" s="0" t="s">
        <v>12</v>
      </c>
      <c r="B3267" s="0" t="n">
        <v>1060126</v>
      </c>
      <c r="C3267" s="0" t="n">
        <v>1060146</v>
      </c>
      <c r="D3267" s="0" t="s">
        <v>10916</v>
      </c>
      <c r="E3267" s="0" t="s">
        <v>75</v>
      </c>
      <c r="F3267" s="0" t="s">
        <v>90</v>
      </c>
      <c r="G3267" s="0" t="s">
        <v>36</v>
      </c>
      <c r="H3267" s="0" t="n">
        <v>12</v>
      </c>
      <c r="I3267" s="0" t="s">
        <v>10917</v>
      </c>
      <c r="J3267" s="0" t="s">
        <v>10918</v>
      </c>
      <c r="K3267" s="0" t="s">
        <v>10919</v>
      </c>
      <c r="L3267" s="0" t="str">
        <f aca="false">HYPERLINK("https://www.ncbi.nlm.nih.gov/nuccore/CP000058.1?report=graph&amp;tracks=[key:gene_model_track,Options:GeneOnly]&amp;mk=1060127:1060146|offset_12|00cc00,1060107:1060126|offset_32|444444,1060079:1060098|offset_60|444444,1060059:1060078|offset_80|444444&amp;v=1059926:1060278&amp;c=444444", "offset 12")</f>
        <v>offset 12</v>
      </c>
    </row>
    <row r="3268" customFormat="false" ht="12.8" hidden="false" customHeight="false" outlineLevel="0" collapsed="false">
      <c r="A3268" s="0" t="s">
        <v>12</v>
      </c>
      <c r="B3268" s="0" t="n">
        <v>1060106</v>
      </c>
      <c r="C3268" s="0" t="n">
        <v>1060126</v>
      </c>
      <c r="D3268" s="0" t="s">
        <v>10916</v>
      </c>
      <c r="E3268" s="0" t="s">
        <v>75</v>
      </c>
      <c r="F3268" s="0" t="s">
        <v>90</v>
      </c>
      <c r="G3268" s="0" t="s">
        <v>20</v>
      </c>
      <c r="H3268" s="0" t="n">
        <v>32</v>
      </c>
      <c r="I3268" s="0" t="s">
        <v>10920</v>
      </c>
      <c r="J3268" s="0" t="s">
        <v>10921</v>
      </c>
      <c r="K3268" s="0" t="s">
        <v>10922</v>
      </c>
      <c r="L3268" s="0" t="str">
        <f aca="false">HYPERLINK("https://www.ncbi.nlm.nih.gov/nuccore/CP000058.1?report=graph&amp;tracks=[key:gene_model_track,Options:GeneOnly]&amp;mk=1060127:1060146|offset_12|444444,1060107:1060126|offset_32|00cc00,1060079:1060098|offset_60|444444,1060059:1060078|offset_80|444444&amp;v=1059926:1060278&amp;c=444444", "offset 32")</f>
        <v>offset 32</v>
      </c>
    </row>
    <row r="3269" customFormat="false" ht="12.8" hidden="false" customHeight="false" outlineLevel="0" collapsed="false">
      <c r="A3269" s="0" t="s">
        <v>12</v>
      </c>
      <c r="B3269" s="0" t="n">
        <v>1060078</v>
      </c>
      <c r="C3269" s="0" t="n">
        <v>1060098</v>
      </c>
      <c r="D3269" s="0" t="s">
        <v>10916</v>
      </c>
      <c r="E3269" s="0" t="s">
        <v>75</v>
      </c>
      <c r="F3269" s="0" t="s">
        <v>90</v>
      </c>
      <c r="G3269" s="0" t="s">
        <v>36</v>
      </c>
      <c r="H3269" s="0" t="n">
        <v>60</v>
      </c>
      <c r="I3269" s="0" t="s">
        <v>10923</v>
      </c>
      <c r="J3269" s="0" t="s">
        <v>10924</v>
      </c>
      <c r="K3269" s="0" t="s">
        <v>10925</v>
      </c>
      <c r="L3269" s="0" t="str">
        <f aca="false">HYPERLINK("https://www.ncbi.nlm.nih.gov/nuccore/CP000058.1?report=graph&amp;tracks=[key:gene_model_track,Options:GeneOnly]&amp;mk=1060127:1060146|offset_12|444444,1060107:1060126|offset_32|444444,1060079:1060098|offset_60|00cc00,1060059:1060078|offset_80|444444&amp;v=1059926:1060278&amp;c=444444", "offset 60")</f>
        <v>offset 60</v>
      </c>
    </row>
    <row r="3270" customFormat="false" ht="12.8" hidden="false" customHeight="false" outlineLevel="0" collapsed="false">
      <c r="A3270" s="0" t="s">
        <v>12</v>
      </c>
      <c r="B3270" s="0" t="n">
        <v>1060058</v>
      </c>
      <c r="C3270" s="0" t="n">
        <v>1060078</v>
      </c>
      <c r="D3270" s="0" t="s">
        <v>10916</v>
      </c>
      <c r="E3270" s="0" t="s">
        <v>75</v>
      </c>
      <c r="F3270" s="0" t="s">
        <v>90</v>
      </c>
      <c r="G3270" s="0" t="s">
        <v>32</v>
      </c>
      <c r="H3270" s="0" t="n">
        <v>80</v>
      </c>
      <c r="I3270" s="0" t="s">
        <v>10926</v>
      </c>
      <c r="J3270" s="0" t="s">
        <v>10927</v>
      </c>
      <c r="K3270" s="0" t="s">
        <v>10928</v>
      </c>
      <c r="L3270" s="0" t="str">
        <f aca="false">HYPERLINK("https://www.ncbi.nlm.nih.gov/nuccore/CP000058.1?report=graph&amp;tracks=[key:gene_model_track,Options:GeneOnly]&amp;mk=1060127:1060146|offset_12|444444,1060107:1060126|offset_32|444444,1060079:1060098|offset_60|444444,1060059:1060078|offset_80|00cc00&amp;v=1059926:1060278&amp;c=444444", "offset 80")</f>
        <v>offset 80</v>
      </c>
    </row>
    <row r="3271" customFormat="false" ht="12.8" hidden="false" customHeight="false" outlineLevel="0" collapsed="false">
      <c r="A3271" s="0" t="s">
        <v>12</v>
      </c>
      <c r="B3271" s="0" t="n">
        <v>1060302</v>
      </c>
      <c r="C3271" s="0" t="n">
        <v>1060322</v>
      </c>
      <c r="D3271" s="0" t="s">
        <v>10929</v>
      </c>
      <c r="E3271" s="0" t="s">
        <v>75</v>
      </c>
      <c r="F3271" s="0" t="s">
        <v>15</v>
      </c>
      <c r="G3271" s="0" t="s">
        <v>36</v>
      </c>
      <c r="H3271" s="0" t="n">
        <v>0</v>
      </c>
      <c r="I3271" s="0" t="s">
        <v>10930</v>
      </c>
      <c r="J3271" s="0" t="s">
        <v>10931</v>
      </c>
      <c r="K3271" s="0" t="s">
        <v>10932</v>
      </c>
      <c r="L3271" s="0" t="str">
        <f aca="false">HYPERLINK("https://www.ncbi.nlm.nih.gov/nuccore/CP000058.1?report=graph&amp;tracks=[key:gene_model_track,Options:GeneOnly]&amp;mk=1060303:1060322|offset_0|00cc00,1060326:1060345|offset_23|444444,1060366:1060385|offset_63|444444,1060393:1060412|offset_90|444444&amp;v=1060102:1060612&amp;c=444444", "offset 0")</f>
        <v>offset 0</v>
      </c>
    </row>
    <row r="3272" customFormat="false" ht="12.8" hidden="false" customHeight="false" outlineLevel="0" collapsed="false">
      <c r="A3272" s="0" t="s">
        <v>12</v>
      </c>
      <c r="B3272" s="0" t="n">
        <v>1060325</v>
      </c>
      <c r="C3272" s="0" t="n">
        <v>1060345</v>
      </c>
      <c r="D3272" s="0" t="s">
        <v>10929</v>
      </c>
      <c r="E3272" s="0" t="s">
        <v>75</v>
      </c>
      <c r="F3272" s="0" t="s">
        <v>15</v>
      </c>
      <c r="G3272" s="0" t="s">
        <v>16</v>
      </c>
      <c r="H3272" s="0" t="n">
        <v>23</v>
      </c>
      <c r="I3272" s="0" t="s">
        <v>10933</v>
      </c>
      <c r="J3272" s="0" t="s">
        <v>10934</v>
      </c>
      <c r="K3272" s="0" t="s">
        <v>10935</v>
      </c>
      <c r="L3272" s="0" t="str">
        <f aca="false">HYPERLINK("https://www.ncbi.nlm.nih.gov/nuccore/CP000058.1?report=graph&amp;tracks=[key:gene_model_track,Options:GeneOnly]&amp;mk=1060303:1060322|offset_0|444444,1060326:1060345|offset_23|00cc00,1060366:1060385|offset_63|444444,1060393:1060412|offset_90|444444&amp;v=1060102:1060612&amp;c=444444", "offset 23")</f>
        <v>offset 23</v>
      </c>
    </row>
    <row r="3273" customFormat="false" ht="12.8" hidden="false" customHeight="false" outlineLevel="0" collapsed="false">
      <c r="A3273" s="0" t="s">
        <v>12</v>
      </c>
      <c r="B3273" s="0" t="n">
        <v>1060365</v>
      </c>
      <c r="C3273" s="0" t="n">
        <v>1060385</v>
      </c>
      <c r="D3273" s="0" t="s">
        <v>10929</v>
      </c>
      <c r="E3273" s="0" t="s">
        <v>75</v>
      </c>
      <c r="F3273" s="0" t="s">
        <v>15</v>
      </c>
      <c r="G3273" s="0" t="s">
        <v>16</v>
      </c>
      <c r="H3273" s="0" t="n">
        <v>63</v>
      </c>
      <c r="I3273" s="0" t="s">
        <v>10936</v>
      </c>
      <c r="J3273" s="0" t="s">
        <v>10937</v>
      </c>
      <c r="K3273" s="0" t="s">
        <v>10938</v>
      </c>
      <c r="L3273" s="0" t="str">
        <f aca="false">HYPERLINK("https://www.ncbi.nlm.nih.gov/nuccore/CP000058.1?report=graph&amp;tracks=[key:gene_model_track,Options:GeneOnly]&amp;mk=1060303:1060322|offset_0|444444,1060326:1060345|offset_23|444444,1060366:1060385|offset_63|00cc00,1060393:1060412|offset_90|444444&amp;v=1060102:1060612&amp;c=444444", "offset 63")</f>
        <v>offset 63</v>
      </c>
    </row>
    <row r="3274" customFormat="false" ht="12.8" hidden="false" customHeight="false" outlineLevel="0" collapsed="false">
      <c r="A3274" s="0" t="s">
        <v>12</v>
      </c>
      <c r="B3274" s="0" t="n">
        <v>1060392</v>
      </c>
      <c r="C3274" s="0" t="n">
        <v>1060412</v>
      </c>
      <c r="D3274" s="0" t="s">
        <v>10929</v>
      </c>
      <c r="E3274" s="0" t="s">
        <v>75</v>
      </c>
      <c r="F3274" s="0" t="s">
        <v>15</v>
      </c>
      <c r="G3274" s="0" t="s">
        <v>36</v>
      </c>
      <c r="H3274" s="0" t="n">
        <v>90</v>
      </c>
      <c r="I3274" s="0" t="s">
        <v>10939</v>
      </c>
      <c r="J3274" s="0" t="s">
        <v>10940</v>
      </c>
      <c r="K3274" s="0" t="s">
        <v>10941</v>
      </c>
      <c r="L3274" s="0" t="str">
        <f aca="false">HYPERLINK("https://www.ncbi.nlm.nih.gov/nuccore/CP000058.1?report=graph&amp;tracks=[key:gene_model_track,Options:GeneOnly]&amp;mk=1060303:1060322|offset_0|444444,1060326:1060345|offset_23|444444,1060366:1060385|offset_63|444444,1060393:1060412|offset_90|00cc00&amp;v=1060102:1060612&amp;c=444444", "offset 90")</f>
        <v>offset 90</v>
      </c>
    </row>
    <row r="3275" customFormat="false" ht="12.8" hidden="false" customHeight="false" outlineLevel="0" collapsed="false">
      <c r="A3275" s="0" t="s">
        <v>12</v>
      </c>
      <c r="B3275" s="0" t="n">
        <v>1061111</v>
      </c>
      <c r="C3275" s="0" t="n">
        <v>1061131</v>
      </c>
      <c r="D3275" s="0" t="s">
        <v>10942</v>
      </c>
      <c r="E3275" s="0" t="s">
        <v>10943</v>
      </c>
      <c r="F3275" s="0" t="s">
        <v>15</v>
      </c>
      <c r="G3275" s="0" t="s">
        <v>16</v>
      </c>
      <c r="H3275" s="0" t="n">
        <v>13</v>
      </c>
      <c r="I3275" s="0" t="s">
        <v>10944</v>
      </c>
      <c r="J3275" s="0" t="s">
        <v>10945</v>
      </c>
      <c r="K3275" s="0" t="s">
        <v>10946</v>
      </c>
      <c r="L3275" s="0" t="str">
        <f aca="false">HYPERLINK("https://www.ncbi.nlm.nih.gov/nuccore/CP000058.1?report=graph&amp;tracks=[key:gene_model_track,Options:GeneOnly]&amp;mk=1061112:1061131|offset_13|00cc00,1061133:1061152|offset_34|444444,1061182:1061201|offset_83|444444,1061215:1061234|offset_116|444444&amp;v=1060911:1061434&amp;c=444444", "offset 13")</f>
        <v>offset 13</v>
      </c>
    </row>
    <row r="3276" customFormat="false" ht="12.8" hidden="false" customHeight="false" outlineLevel="0" collapsed="false">
      <c r="A3276" s="0" t="s">
        <v>12</v>
      </c>
      <c r="B3276" s="0" t="n">
        <v>1061132</v>
      </c>
      <c r="C3276" s="0" t="n">
        <v>1061152</v>
      </c>
      <c r="D3276" s="0" t="s">
        <v>10942</v>
      </c>
      <c r="E3276" s="0" t="s">
        <v>10943</v>
      </c>
      <c r="F3276" s="0" t="s">
        <v>15</v>
      </c>
      <c r="G3276" s="0" t="s">
        <v>16</v>
      </c>
      <c r="H3276" s="0" t="n">
        <v>34</v>
      </c>
      <c r="I3276" s="0" t="s">
        <v>10947</v>
      </c>
      <c r="J3276" s="0" t="s">
        <v>10948</v>
      </c>
      <c r="K3276" s="0" t="s">
        <v>10949</v>
      </c>
      <c r="L3276" s="0" t="str">
        <f aca="false">HYPERLINK("https://www.ncbi.nlm.nih.gov/nuccore/CP000058.1?report=graph&amp;tracks=[key:gene_model_track,Options:GeneOnly]&amp;mk=1061112:1061131|offset_13|444444,1061133:1061152|offset_34|00cc00,1061182:1061201|offset_83|444444,1061215:1061234|offset_116|444444&amp;v=1060911:1061434&amp;c=444444", "offset 34")</f>
        <v>offset 34</v>
      </c>
    </row>
    <row r="3277" customFormat="false" ht="12.8" hidden="false" customHeight="false" outlineLevel="0" collapsed="false">
      <c r="A3277" s="0" t="s">
        <v>12</v>
      </c>
      <c r="B3277" s="0" t="n">
        <v>1061181</v>
      </c>
      <c r="C3277" s="0" t="n">
        <v>1061201</v>
      </c>
      <c r="D3277" s="0" t="s">
        <v>10942</v>
      </c>
      <c r="E3277" s="0" t="s">
        <v>10943</v>
      </c>
      <c r="F3277" s="0" t="s">
        <v>15</v>
      </c>
      <c r="G3277" s="0" t="s">
        <v>32</v>
      </c>
      <c r="H3277" s="0" t="n">
        <v>83</v>
      </c>
      <c r="I3277" s="0" t="s">
        <v>10950</v>
      </c>
      <c r="J3277" s="0" t="s">
        <v>10951</v>
      </c>
      <c r="K3277" s="0" t="s">
        <v>10952</v>
      </c>
      <c r="L3277" s="0" t="str">
        <f aca="false">HYPERLINK("https://www.ncbi.nlm.nih.gov/nuccore/CP000058.1?report=graph&amp;tracks=[key:gene_model_track,Options:GeneOnly]&amp;mk=1061112:1061131|offset_13|444444,1061133:1061152|offset_34|444444,1061182:1061201|offset_83|00cc00,1061215:1061234|offset_116|444444&amp;v=1060911:1061434&amp;c=444444", "offset 83")</f>
        <v>offset 83</v>
      </c>
    </row>
    <row r="3278" customFormat="false" ht="12.8" hidden="false" customHeight="false" outlineLevel="0" collapsed="false">
      <c r="A3278" s="0" t="s">
        <v>12</v>
      </c>
      <c r="B3278" s="0" t="n">
        <v>1061214</v>
      </c>
      <c r="C3278" s="0" t="n">
        <v>1061234</v>
      </c>
      <c r="D3278" s="0" t="s">
        <v>10942</v>
      </c>
      <c r="E3278" s="0" t="s">
        <v>10943</v>
      </c>
      <c r="F3278" s="0" t="s">
        <v>15</v>
      </c>
      <c r="G3278" s="0" t="s">
        <v>20</v>
      </c>
      <c r="H3278" s="0" t="n">
        <v>116</v>
      </c>
      <c r="I3278" s="0" t="s">
        <v>10953</v>
      </c>
      <c r="J3278" s="0" t="s">
        <v>10954</v>
      </c>
      <c r="K3278" s="0" t="s">
        <v>10955</v>
      </c>
      <c r="L3278" s="0" t="str">
        <f aca="false">HYPERLINK("https://www.ncbi.nlm.nih.gov/nuccore/CP000058.1?report=graph&amp;tracks=[key:gene_model_track,Options:GeneOnly]&amp;mk=1061112:1061131|offset_13|444444,1061133:1061152|offset_34|444444,1061182:1061201|offset_83|444444,1061215:1061234|offset_116|00cc00&amp;v=1060911:1061434&amp;c=444444", "offset 116")</f>
        <v>offset 116</v>
      </c>
    </row>
    <row r="3279" customFormat="false" ht="12.8" hidden="false" customHeight="false" outlineLevel="0" collapsed="false">
      <c r="A3279" s="0" t="s">
        <v>12</v>
      </c>
      <c r="B3279" s="0" t="n">
        <v>1061948</v>
      </c>
      <c r="C3279" s="0" t="n">
        <v>1061968</v>
      </c>
      <c r="D3279" s="0" t="s">
        <v>10956</v>
      </c>
      <c r="E3279" s="0" t="s">
        <v>75</v>
      </c>
      <c r="F3279" s="0" t="s">
        <v>90</v>
      </c>
      <c r="G3279" s="0" t="s">
        <v>36</v>
      </c>
      <c r="H3279" s="0" t="n">
        <v>0</v>
      </c>
      <c r="I3279" s="0" t="s">
        <v>10957</v>
      </c>
      <c r="J3279" s="0" t="s">
        <v>10958</v>
      </c>
      <c r="K3279" s="0" t="s">
        <v>10959</v>
      </c>
      <c r="L3279" s="0" t="str">
        <f aca="false">HYPERLINK("https://www.ncbi.nlm.nih.gov/nuccore/CP000058.1?report=graph&amp;tracks=[key:gene_model_track,Options:GeneOnly]&amp;mk=1061949:1061968|offset_0|00cc00,1061928:1061947|offset_21|444444,1061904:1061923|offset_45|444444,1061884:1061903|offset_65|444444&amp;v=1061748:1062103&amp;c=444444", "offset 0")</f>
        <v>offset 0</v>
      </c>
    </row>
    <row r="3280" customFormat="false" ht="12.8" hidden="false" customHeight="false" outlineLevel="0" collapsed="false">
      <c r="A3280" s="0" t="s">
        <v>12</v>
      </c>
      <c r="B3280" s="0" t="n">
        <v>1061927</v>
      </c>
      <c r="C3280" s="0" t="n">
        <v>1061947</v>
      </c>
      <c r="D3280" s="0" t="s">
        <v>10956</v>
      </c>
      <c r="E3280" s="0" t="s">
        <v>75</v>
      </c>
      <c r="F3280" s="0" t="s">
        <v>90</v>
      </c>
      <c r="G3280" s="0" t="s">
        <v>16</v>
      </c>
      <c r="H3280" s="0" t="n">
        <v>21</v>
      </c>
      <c r="I3280" s="0" t="s">
        <v>10960</v>
      </c>
      <c r="J3280" s="0" t="s">
        <v>10961</v>
      </c>
      <c r="K3280" s="0" t="s">
        <v>10962</v>
      </c>
      <c r="L3280" s="0" t="str">
        <f aca="false">HYPERLINK("https://www.ncbi.nlm.nih.gov/nuccore/CP000058.1?report=graph&amp;tracks=[key:gene_model_track,Options:GeneOnly]&amp;mk=1061949:1061968|offset_0|444444,1061928:1061947|offset_21|00cc00,1061904:1061923|offset_45|444444,1061884:1061903|offset_65|444444&amp;v=1061748:1062103&amp;c=444444", "offset 21")</f>
        <v>offset 21</v>
      </c>
    </row>
    <row r="3281" customFormat="false" ht="12.8" hidden="false" customHeight="false" outlineLevel="0" collapsed="false">
      <c r="A3281" s="0" t="s">
        <v>12</v>
      </c>
      <c r="B3281" s="0" t="n">
        <v>1061903</v>
      </c>
      <c r="C3281" s="0" t="n">
        <v>1061923</v>
      </c>
      <c r="D3281" s="0" t="s">
        <v>10956</v>
      </c>
      <c r="E3281" s="0" t="s">
        <v>75</v>
      </c>
      <c r="F3281" s="0" t="s">
        <v>90</v>
      </c>
      <c r="G3281" s="0" t="s">
        <v>36</v>
      </c>
      <c r="H3281" s="0" t="n">
        <v>45</v>
      </c>
      <c r="I3281" s="0" t="s">
        <v>10963</v>
      </c>
      <c r="J3281" s="0" t="s">
        <v>10964</v>
      </c>
      <c r="K3281" s="0" t="s">
        <v>10965</v>
      </c>
      <c r="L3281" s="0" t="str">
        <f aca="false">HYPERLINK("https://www.ncbi.nlm.nih.gov/nuccore/CP000058.1?report=graph&amp;tracks=[key:gene_model_track,Options:GeneOnly]&amp;mk=1061949:1061968|offset_0|444444,1061928:1061947|offset_21|444444,1061904:1061923|offset_45|00cc00,1061884:1061903|offset_65|444444&amp;v=1061748:1062103&amp;c=444444", "offset 45")</f>
        <v>offset 45</v>
      </c>
    </row>
    <row r="3282" customFormat="false" ht="12.8" hidden="false" customHeight="false" outlineLevel="0" collapsed="false">
      <c r="A3282" s="0" t="s">
        <v>12</v>
      </c>
      <c r="B3282" s="0" t="n">
        <v>1061883</v>
      </c>
      <c r="C3282" s="0" t="n">
        <v>1061903</v>
      </c>
      <c r="D3282" s="0" t="s">
        <v>10956</v>
      </c>
      <c r="E3282" s="0" t="s">
        <v>75</v>
      </c>
      <c r="F3282" s="0" t="s">
        <v>90</v>
      </c>
      <c r="G3282" s="0" t="s">
        <v>16</v>
      </c>
      <c r="H3282" s="0" t="n">
        <v>65</v>
      </c>
      <c r="I3282" s="0" t="s">
        <v>10966</v>
      </c>
      <c r="J3282" s="0" t="s">
        <v>10967</v>
      </c>
      <c r="K3282" s="0" t="s">
        <v>10968</v>
      </c>
      <c r="L3282" s="0" t="str">
        <f aca="false">HYPERLINK("https://www.ncbi.nlm.nih.gov/nuccore/CP000058.1?report=graph&amp;tracks=[key:gene_model_track,Options:GeneOnly]&amp;mk=1061949:1061968|offset_0|444444,1061928:1061947|offset_21|444444,1061904:1061923|offset_45|444444,1061884:1061903|offset_65|00cc00&amp;v=1061748:1062103&amp;c=444444", "offset 65")</f>
        <v>offset 65</v>
      </c>
    </row>
    <row r="3283" customFormat="false" ht="12.8" hidden="false" customHeight="false" outlineLevel="0" collapsed="false">
      <c r="A3283" s="0" t="s">
        <v>12</v>
      </c>
      <c r="B3283" s="0" t="n">
        <v>1062158</v>
      </c>
      <c r="C3283" s="0" t="n">
        <v>1062178</v>
      </c>
      <c r="D3283" s="0" t="s">
        <v>10969</v>
      </c>
      <c r="E3283" s="0" t="s">
        <v>75</v>
      </c>
      <c r="F3283" s="0" t="s">
        <v>15</v>
      </c>
      <c r="G3283" s="0" t="s">
        <v>20</v>
      </c>
      <c r="H3283" s="0" t="n">
        <v>20</v>
      </c>
      <c r="I3283" s="0" t="s">
        <v>10970</v>
      </c>
      <c r="J3283" s="0" t="s">
        <v>10971</v>
      </c>
      <c r="K3283" s="0" t="s">
        <v>10972</v>
      </c>
      <c r="L3283" s="0" t="str">
        <f aca="false">HYPERLINK("https://www.ncbi.nlm.nih.gov/nuccore/CP000058.1?report=graph&amp;tracks=[key:gene_model_track,Options:GeneOnly]&amp;mk=1062159:1062178|offset_20|00cc00,1062185:1062204|offset_46|444444,1062207:1062226|offset_68|444444,1062230:1062249|offset_91|444444&amp;v=1061958:1062449&amp;c=444444", "offset 20")</f>
        <v>offset 20</v>
      </c>
    </row>
    <row r="3284" customFormat="false" ht="12.8" hidden="false" customHeight="false" outlineLevel="0" collapsed="false">
      <c r="A3284" s="0" t="s">
        <v>12</v>
      </c>
      <c r="B3284" s="0" t="n">
        <v>1062184</v>
      </c>
      <c r="C3284" s="0" t="n">
        <v>1062204</v>
      </c>
      <c r="D3284" s="0" t="s">
        <v>10969</v>
      </c>
      <c r="E3284" s="0" t="s">
        <v>75</v>
      </c>
      <c r="F3284" s="0" t="s">
        <v>15</v>
      </c>
      <c r="G3284" s="0" t="s">
        <v>16</v>
      </c>
      <c r="H3284" s="0" t="n">
        <v>46</v>
      </c>
      <c r="I3284" s="0" t="s">
        <v>10973</v>
      </c>
      <c r="J3284" s="0" t="s">
        <v>10974</v>
      </c>
      <c r="K3284" s="0" t="s">
        <v>10975</v>
      </c>
      <c r="L3284" s="0" t="str">
        <f aca="false">HYPERLINK("https://www.ncbi.nlm.nih.gov/nuccore/CP000058.1?report=graph&amp;tracks=[key:gene_model_track,Options:GeneOnly]&amp;mk=1062159:1062178|offset_20|444444,1062185:1062204|offset_46|00cc00,1062207:1062226|offset_68|444444,1062230:1062249|offset_91|444444&amp;v=1061958:1062449&amp;c=444444", "offset 46")</f>
        <v>offset 46</v>
      </c>
    </row>
    <row r="3285" customFormat="false" ht="12.8" hidden="false" customHeight="false" outlineLevel="0" collapsed="false">
      <c r="A3285" s="0" t="s">
        <v>12</v>
      </c>
      <c r="B3285" s="0" t="n">
        <v>1062206</v>
      </c>
      <c r="C3285" s="0" t="n">
        <v>1062226</v>
      </c>
      <c r="D3285" s="0" t="s">
        <v>10969</v>
      </c>
      <c r="E3285" s="0" t="s">
        <v>75</v>
      </c>
      <c r="F3285" s="0" t="s">
        <v>15</v>
      </c>
      <c r="G3285" s="0" t="s">
        <v>36</v>
      </c>
      <c r="H3285" s="0" t="n">
        <v>68</v>
      </c>
      <c r="I3285" s="0" t="s">
        <v>10976</v>
      </c>
      <c r="J3285" s="0" t="s">
        <v>10977</v>
      </c>
      <c r="K3285" s="0" t="s">
        <v>10978</v>
      </c>
      <c r="L3285" s="0" t="str">
        <f aca="false">HYPERLINK("https://www.ncbi.nlm.nih.gov/nuccore/CP000058.1?report=graph&amp;tracks=[key:gene_model_track,Options:GeneOnly]&amp;mk=1062159:1062178|offset_20|444444,1062185:1062204|offset_46|444444,1062207:1062226|offset_68|00cc00,1062230:1062249|offset_91|444444&amp;v=1061958:1062449&amp;c=444444", "offset 68")</f>
        <v>offset 68</v>
      </c>
    </row>
    <row r="3286" customFormat="false" ht="12.8" hidden="false" customHeight="false" outlineLevel="0" collapsed="false">
      <c r="A3286" s="0" t="s">
        <v>12</v>
      </c>
      <c r="B3286" s="0" t="n">
        <v>1062229</v>
      </c>
      <c r="C3286" s="0" t="n">
        <v>1062249</v>
      </c>
      <c r="D3286" s="0" t="s">
        <v>10969</v>
      </c>
      <c r="E3286" s="0" t="s">
        <v>75</v>
      </c>
      <c r="F3286" s="0" t="s">
        <v>15</v>
      </c>
      <c r="G3286" s="0" t="s">
        <v>36</v>
      </c>
      <c r="H3286" s="0" t="n">
        <v>91</v>
      </c>
      <c r="I3286" s="0" t="s">
        <v>10979</v>
      </c>
      <c r="J3286" s="0" t="s">
        <v>10980</v>
      </c>
      <c r="K3286" s="0" t="s">
        <v>10981</v>
      </c>
      <c r="L3286" s="0" t="str">
        <f aca="false">HYPERLINK("https://www.ncbi.nlm.nih.gov/nuccore/CP000058.1?report=graph&amp;tracks=[key:gene_model_track,Options:GeneOnly]&amp;mk=1062159:1062178|offset_20|444444,1062185:1062204|offset_46|444444,1062207:1062226|offset_68|444444,1062230:1062249|offset_91|00cc00&amp;v=1061958:1062449&amp;c=444444", "offset 91")</f>
        <v>offset 91</v>
      </c>
    </row>
    <row r="3287" customFormat="false" ht="12.8" hidden="false" customHeight="false" outlineLevel="0" collapsed="false">
      <c r="A3287" s="0" t="s">
        <v>12</v>
      </c>
      <c r="B3287" s="0" t="n">
        <v>1064504</v>
      </c>
      <c r="C3287" s="0" t="n">
        <v>1064524</v>
      </c>
      <c r="D3287" s="0" t="s">
        <v>10982</v>
      </c>
      <c r="E3287" s="0" t="s">
        <v>75</v>
      </c>
      <c r="F3287" s="0" t="s">
        <v>90</v>
      </c>
      <c r="G3287" s="0" t="s">
        <v>16</v>
      </c>
      <c r="H3287" s="0" t="n">
        <v>1</v>
      </c>
      <c r="I3287" s="0" t="s">
        <v>10983</v>
      </c>
      <c r="J3287" s="0" t="s">
        <v>10984</v>
      </c>
      <c r="K3287" s="0" t="s">
        <v>10985</v>
      </c>
      <c r="L3287" s="0" t="str">
        <f aca="false">HYPERLINK("https://www.ncbi.nlm.nih.gov/nuccore/CP000058.1?report=graph&amp;tracks=[key:gene_model_track,Options:GeneOnly]&amp;mk=1064505:1064524|offset_1|00cc00,1064480:1064499|offset_26|444444,1064458:1064477|offset_48|444444,1064430:1064449|offset_76|444444&amp;v=1064304:1064649&amp;c=444444", "offset 1")</f>
        <v>offset 1</v>
      </c>
    </row>
    <row r="3288" customFormat="false" ht="12.8" hidden="false" customHeight="false" outlineLevel="0" collapsed="false">
      <c r="A3288" s="0" t="s">
        <v>12</v>
      </c>
      <c r="B3288" s="0" t="n">
        <v>1064479</v>
      </c>
      <c r="C3288" s="0" t="n">
        <v>1064499</v>
      </c>
      <c r="D3288" s="0" t="s">
        <v>10982</v>
      </c>
      <c r="E3288" s="0" t="s">
        <v>75</v>
      </c>
      <c r="F3288" s="0" t="s">
        <v>90</v>
      </c>
      <c r="G3288" s="0" t="s">
        <v>20</v>
      </c>
      <c r="H3288" s="0" t="n">
        <v>26</v>
      </c>
      <c r="I3288" s="0" t="s">
        <v>10986</v>
      </c>
      <c r="J3288" s="0" t="s">
        <v>10987</v>
      </c>
      <c r="K3288" s="0" t="s">
        <v>10988</v>
      </c>
      <c r="L3288" s="0" t="str">
        <f aca="false">HYPERLINK("https://www.ncbi.nlm.nih.gov/nuccore/CP000058.1?report=graph&amp;tracks=[key:gene_model_track,Options:GeneOnly]&amp;mk=1064505:1064524|offset_1|444444,1064480:1064499|offset_26|00cc00,1064458:1064477|offset_48|444444,1064430:1064449|offset_76|444444&amp;v=1064304:1064649&amp;c=444444", "offset 26")</f>
        <v>offset 26</v>
      </c>
    </row>
    <row r="3289" customFormat="false" ht="12.8" hidden="false" customHeight="false" outlineLevel="0" collapsed="false">
      <c r="A3289" s="0" t="s">
        <v>12</v>
      </c>
      <c r="B3289" s="0" t="n">
        <v>1064457</v>
      </c>
      <c r="C3289" s="0" t="n">
        <v>1064477</v>
      </c>
      <c r="D3289" s="0" t="s">
        <v>10982</v>
      </c>
      <c r="E3289" s="0" t="s">
        <v>75</v>
      </c>
      <c r="F3289" s="0" t="s">
        <v>90</v>
      </c>
      <c r="G3289" s="0" t="s">
        <v>32</v>
      </c>
      <c r="H3289" s="0" t="n">
        <v>48</v>
      </c>
      <c r="I3289" s="0" t="s">
        <v>10989</v>
      </c>
      <c r="J3289" s="0" t="s">
        <v>10990</v>
      </c>
      <c r="K3289" s="0" t="s">
        <v>10991</v>
      </c>
      <c r="L3289" s="0" t="str">
        <f aca="false">HYPERLINK("https://www.ncbi.nlm.nih.gov/nuccore/CP000058.1?report=graph&amp;tracks=[key:gene_model_track,Options:GeneOnly]&amp;mk=1064505:1064524|offset_1|444444,1064480:1064499|offset_26|444444,1064458:1064477|offset_48|00cc00,1064430:1064449|offset_76|444444&amp;v=1064304:1064649&amp;c=444444", "offset 48")</f>
        <v>offset 48</v>
      </c>
    </row>
    <row r="3290" customFormat="false" ht="12.8" hidden="false" customHeight="false" outlineLevel="0" collapsed="false">
      <c r="A3290" s="0" t="s">
        <v>12</v>
      </c>
      <c r="B3290" s="0" t="n">
        <v>1064429</v>
      </c>
      <c r="C3290" s="0" t="n">
        <v>1064449</v>
      </c>
      <c r="D3290" s="0" t="s">
        <v>10982</v>
      </c>
      <c r="E3290" s="0" t="s">
        <v>75</v>
      </c>
      <c r="F3290" s="0" t="s">
        <v>90</v>
      </c>
      <c r="G3290" s="0" t="s">
        <v>36</v>
      </c>
      <c r="H3290" s="0" t="n">
        <v>76</v>
      </c>
      <c r="I3290" s="0" t="s">
        <v>10992</v>
      </c>
      <c r="J3290" s="0" t="s">
        <v>10993</v>
      </c>
      <c r="K3290" s="0" t="s">
        <v>10994</v>
      </c>
      <c r="L3290" s="0" t="str">
        <f aca="false">HYPERLINK("https://www.ncbi.nlm.nih.gov/nuccore/CP000058.1?report=graph&amp;tracks=[key:gene_model_track,Options:GeneOnly]&amp;mk=1064505:1064524|offset_1|444444,1064480:1064499|offset_26|444444,1064458:1064477|offset_48|444444,1064430:1064449|offset_76|00cc00&amp;v=1064304:1064649&amp;c=444444", "offset 76")</f>
        <v>offset 76</v>
      </c>
    </row>
    <row r="3291" customFormat="false" ht="12.8" hidden="false" customHeight="false" outlineLevel="0" collapsed="false">
      <c r="A3291" s="0" t="s">
        <v>12</v>
      </c>
      <c r="B3291" s="0" t="n">
        <v>1065265</v>
      </c>
      <c r="C3291" s="0" t="n">
        <v>1065285</v>
      </c>
      <c r="D3291" s="0" t="s">
        <v>10995</v>
      </c>
      <c r="E3291" s="0" t="s">
        <v>75</v>
      </c>
      <c r="F3291" s="0" t="s">
        <v>90</v>
      </c>
      <c r="G3291" s="0" t="s">
        <v>16</v>
      </c>
      <c r="H3291" s="0" t="n">
        <v>7</v>
      </c>
      <c r="I3291" s="0" t="s">
        <v>10996</v>
      </c>
      <c r="J3291" s="0" t="s">
        <v>10997</v>
      </c>
      <c r="K3291" s="0" t="s">
        <v>10998</v>
      </c>
      <c r="L3291" s="0" t="str">
        <f aca="false">HYPERLINK("https://www.ncbi.nlm.nih.gov/nuccore/CP000058.1?report=graph&amp;tracks=[key:gene_model_track,Options:GeneOnly]&amp;mk=1065266:1065285|offset_7|00cc00,1065233:1065252|offset_40|444444,1065143:1065162|offset_130|444444,1065116:1065135|offset_157|444444&amp;v=1065065:1065335&amp;c=444444", "offset 7")</f>
        <v>offset 7</v>
      </c>
    </row>
    <row r="3292" customFormat="false" ht="12.8" hidden="false" customHeight="false" outlineLevel="0" collapsed="false">
      <c r="A3292" s="0" t="s">
        <v>12</v>
      </c>
      <c r="B3292" s="0" t="n">
        <v>1065232</v>
      </c>
      <c r="C3292" s="0" t="n">
        <v>1065252</v>
      </c>
      <c r="D3292" s="0" t="s">
        <v>10995</v>
      </c>
      <c r="E3292" s="0" t="s">
        <v>75</v>
      </c>
      <c r="F3292" s="0" t="s">
        <v>90</v>
      </c>
      <c r="G3292" s="0" t="s">
        <v>32</v>
      </c>
      <c r="H3292" s="0" t="n">
        <v>40</v>
      </c>
      <c r="I3292" s="0" t="s">
        <v>10999</v>
      </c>
      <c r="J3292" s="0" t="s">
        <v>11000</v>
      </c>
      <c r="K3292" s="0" t="s">
        <v>11001</v>
      </c>
      <c r="L3292" s="0" t="str">
        <f aca="false">HYPERLINK("https://www.ncbi.nlm.nih.gov/nuccore/CP000058.1?report=graph&amp;tracks=[key:gene_model_track,Options:GeneOnly]&amp;mk=1065266:1065285|offset_7|444444,1065233:1065252|offset_40|00cc00,1065143:1065162|offset_130|444444,1065116:1065135|offset_157|444444&amp;v=1065065:1065335&amp;c=444444", "offset 40")</f>
        <v>offset 40</v>
      </c>
    </row>
    <row r="3293" customFormat="false" ht="12.8" hidden="false" customHeight="false" outlineLevel="0" collapsed="false">
      <c r="A3293" s="0" t="s">
        <v>12</v>
      </c>
      <c r="B3293" s="0" t="n">
        <v>1065142</v>
      </c>
      <c r="C3293" s="0" t="n">
        <v>1065162</v>
      </c>
      <c r="D3293" s="0" t="s">
        <v>10995</v>
      </c>
      <c r="E3293" s="0" t="s">
        <v>75</v>
      </c>
      <c r="F3293" s="0" t="s">
        <v>90</v>
      </c>
      <c r="G3293" s="0" t="s">
        <v>32</v>
      </c>
      <c r="H3293" s="0" t="n">
        <v>130</v>
      </c>
      <c r="I3293" s="0" t="s">
        <v>11002</v>
      </c>
      <c r="J3293" s="0" t="s">
        <v>11003</v>
      </c>
      <c r="K3293" s="0" t="s">
        <v>11004</v>
      </c>
      <c r="L3293" s="0" t="str">
        <f aca="false">HYPERLINK("https://www.ncbi.nlm.nih.gov/nuccore/CP000058.1?report=graph&amp;tracks=[key:gene_model_track,Options:GeneOnly]&amp;mk=1065266:1065285|offset_7|444444,1065233:1065252|offset_40|444444,1065143:1065162|offset_130|00cc00,1065116:1065135|offset_157|444444&amp;v=1065065:1065335&amp;c=444444", "offset 130")</f>
        <v>offset 130</v>
      </c>
    </row>
    <row r="3294" customFormat="false" ht="12.8" hidden="false" customHeight="false" outlineLevel="0" collapsed="false">
      <c r="A3294" s="0" t="s">
        <v>12</v>
      </c>
      <c r="B3294" s="0" t="n">
        <v>1065115</v>
      </c>
      <c r="C3294" s="0" t="n">
        <v>1065135</v>
      </c>
      <c r="D3294" s="0" t="s">
        <v>10995</v>
      </c>
      <c r="E3294" s="0" t="s">
        <v>75</v>
      </c>
      <c r="F3294" s="0" t="s">
        <v>90</v>
      </c>
      <c r="G3294" s="0" t="s">
        <v>36</v>
      </c>
      <c r="H3294" s="0" t="n">
        <v>157</v>
      </c>
      <c r="I3294" s="0" t="s">
        <v>11005</v>
      </c>
      <c r="J3294" s="0" t="s">
        <v>11006</v>
      </c>
      <c r="K3294" s="0" t="s">
        <v>11007</v>
      </c>
      <c r="L3294" s="0" t="str">
        <f aca="false">HYPERLINK("https://www.ncbi.nlm.nih.gov/nuccore/CP000058.1?report=graph&amp;tracks=[key:gene_model_track,Options:GeneOnly]&amp;mk=1065266:1065285|offset_7|444444,1065233:1065252|offset_40|444444,1065143:1065162|offset_130|444444,1065116:1065135|offset_157|00cc00&amp;v=1065065:1065335&amp;c=444444", "offset 157")</f>
        <v>offset 157</v>
      </c>
    </row>
    <row r="3295" customFormat="false" ht="12.8" hidden="false" customHeight="false" outlineLevel="0" collapsed="false">
      <c r="A3295" s="0" t="s">
        <v>12</v>
      </c>
      <c r="B3295" s="0" t="n">
        <v>1065515</v>
      </c>
      <c r="C3295" s="0" t="n">
        <v>1065535</v>
      </c>
      <c r="D3295" s="0" t="s">
        <v>11008</v>
      </c>
      <c r="E3295" s="0" t="s">
        <v>75</v>
      </c>
      <c r="F3295" s="0" t="s">
        <v>90</v>
      </c>
      <c r="G3295" s="0" t="s">
        <v>20</v>
      </c>
      <c r="H3295" s="0" t="n">
        <v>11</v>
      </c>
      <c r="I3295" s="0" t="s">
        <v>11009</v>
      </c>
      <c r="J3295" s="0" t="s">
        <v>11010</v>
      </c>
      <c r="K3295" s="0" t="s">
        <v>11011</v>
      </c>
      <c r="L3295" s="0" t="str">
        <f aca="false">HYPERLINK("https://www.ncbi.nlm.nih.gov/nuccore/CP000058.1?report=graph&amp;tracks=[key:gene_model_track,Options:GeneOnly]&amp;mk=1065516:1065535|offset_11|00cc00,1065472:1065491|offset_55|444444,1065438:1065457|offset_89|444444,1065396:1065415|offset_131|444444&amp;v=1065315:1065615&amp;c=444444", "offset 11")</f>
        <v>offset 11</v>
      </c>
    </row>
    <row r="3296" customFormat="false" ht="12.8" hidden="false" customHeight="false" outlineLevel="0" collapsed="false">
      <c r="A3296" s="0" t="s">
        <v>12</v>
      </c>
      <c r="B3296" s="0" t="n">
        <v>1065471</v>
      </c>
      <c r="C3296" s="0" t="n">
        <v>1065491</v>
      </c>
      <c r="D3296" s="0" t="s">
        <v>11008</v>
      </c>
      <c r="E3296" s="0" t="s">
        <v>75</v>
      </c>
      <c r="F3296" s="0" t="s">
        <v>90</v>
      </c>
      <c r="G3296" s="0" t="s">
        <v>36</v>
      </c>
      <c r="H3296" s="0" t="n">
        <v>55</v>
      </c>
      <c r="I3296" s="0" t="s">
        <v>11012</v>
      </c>
      <c r="J3296" s="0" t="s">
        <v>11013</v>
      </c>
      <c r="K3296" s="0" t="s">
        <v>11014</v>
      </c>
      <c r="L3296" s="0" t="str">
        <f aca="false">HYPERLINK("https://www.ncbi.nlm.nih.gov/nuccore/CP000058.1?report=graph&amp;tracks=[key:gene_model_track,Options:GeneOnly]&amp;mk=1065516:1065535|offset_11|444444,1065472:1065491|offset_55|00cc00,1065438:1065457|offset_89|444444,1065396:1065415|offset_131|444444&amp;v=1065315:1065615&amp;c=444444", "offset 55")</f>
        <v>offset 55</v>
      </c>
    </row>
    <row r="3297" customFormat="false" ht="12.8" hidden="false" customHeight="false" outlineLevel="0" collapsed="false">
      <c r="A3297" s="0" t="s">
        <v>12</v>
      </c>
      <c r="B3297" s="0" t="n">
        <v>1065437</v>
      </c>
      <c r="C3297" s="0" t="n">
        <v>1065457</v>
      </c>
      <c r="D3297" s="0" t="s">
        <v>11008</v>
      </c>
      <c r="E3297" s="0" t="s">
        <v>75</v>
      </c>
      <c r="F3297" s="0" t="s">
        <v>90</v>
      </c>
      <c r="G3297" s="0" t="s">
        <v>20</v>
      </c>
      <c r="H3297" s="0" t="n">
        <v>89</v>
      </c>
      <c r="I3297" s="0" t="s">
        <v>11015</v>
      </c>
      <c r="J3297" s="0" t="s">
        <v>11016</v>
      </c>
      <c r="K3297" s="0" t="s">
        <v>11017</v>
      </c>
      <c r="L3297" s="0" t="str">
        <f aca="false">HYPERLINK("https://www.ncbi.nlm.nih.gov/nuccore/CP000058.1?report=graph&amp;tracks=[key:gene_model_track,Options:GeneOnly]&amp;mk=1065516:1065535|offset_11|444444,1065472:1065491|offset_55|444444,1065438:1065457|offset_89|00cc00,1065396:1065415|offset_131|444444&amp;v=1065315:1065615&amp;c=444444", "offset 89")</f>
        <v>offset 89</v>
      </c>
    </row>
    <row r="3298" customFormat="false" ht="12.8" hidden="false" customHeight="false" outlineLevel="0" collapsed="false">
      <c r="A3298" s="0" t="s">
        <v>12</v>
      </c>
      <c r="B3298" s="0" t="n">
        <v>1065395</v>
      </c>
      <c r="C3298" s="0" t="n">
        <v>1065415</v>
      </c>
      <c r="D3298" s="0" t="s">
        <v>11008</v>
      </c>
      <c r="E3298" s="0" t="s">
        <v>75</v>
      </c>
      <c r="F3298" s="0" t="s">
        <v>90</v>
      </c>
      <c r="G3298" s="0" t="s">
        <v>20</v>
      </c>
      <c r="H3298" s="0" t="n">
        <v>131</v>
      </c>
      <c r="I3298" s="0" t="s">
        <v>11018</v>
      </c>
      <c r="J3298" s="0" t="s">
        <v>11019</v>
      </c>
      <c r="K3298" s="0" t="s">
        <v>11020</v>
      </c>
      <c r="L3298" s="0" t="str">
        <f aca="false">HYPERLINK("https://www.ncbi.nlm.nih.gov/nuccore/CP000058.1?report=graph&amp;tracks=[key:gene_model_track,Options:GeneOnly]&amp;mk=1065516:1065535|offset_11|444444,1065472:1065491|offset_55|444444,1065438:1065457|offset_89|444444,1065396:1065415|offset_131|00cc00&amp;v=1065315:1065615&amp;c=444444", "offset 131")</f>
        <v>offset 131</v>
      </c>
    </row>
    <row r="3299" customFormat="false" ht="12.8" hidden="false" customHeight="false" outlineLevel="0" collapsed="false">
      <c r="A3299" s="0" t="s">
        <v>12</v>
      </c>
      <c r="B3299" s="0" t="n">
        <v>1067550</v>
      </c>
      <c r="C3299" s="0" t="n">
        <v>1067570</v>
      </c>
      <c r="D3299" s="0" t="s">
        <v>11021</v>
      </c>
      <c r="E3299" s="0" t="s">
        <v>75</v>
      </c>
      <c r="F3299" s="0" t="s">
        <v>90</v>
      </c>
      <c r="G3299" s="0" t="s">
        <v>32</v>
      </c>
      <c r="H3299" s="0" t="n">
        <v>23</v>
      </c>
      <c r="I3299" s="0" t="s">
        <v>11022</v>
      </c>
      <c r="J3299" s="0" t="s">
        <v>11023</v>
      </c>
      <c r="K3299" s="0" t="s">
        <v>11024</v>
      </c>
      <c r="L3299" s="0" t="str">
        <f aca="false">HYPERLINK("https://www.ncbi.nlm.nih.gov/nuccore/CP000058.1?report=graph&amp;tracks=[key:gene_model_track,Options:GeneOnly]&amp;mk=1067551:1067570|offset_23|00cc00,1067519:1067538|offset_55|444444,1067467:1067486|offset_107|444444,1067441:1067460|offset_133|444444&amp;v=1067350:1067660&amp;c=444444", "offset 23")</f>
        <v>offset 23</v>
      </c>
    </row>
    <row r="3300" customFormat="false" ht="12.8" hidden="false" customHeight="false" outlineLevel="0" collapsed="false">
      <c r="A3300" s="0" t="s">
        <v>12</v>
      </c>
      <c r="B3300" s="0" t="n">
        <v>1067518</v>
      </c>
      <c r="C3300" s="0" t="n">
        <v>1067538</v>
      </c>
      <c r="D3300" s="0" t="s">
        <v>11021</v>
      </c>
      <c r="E3300" s="0" t="s">
        <v>75</v>
      </c>
      <c r="F3300" s="0" t="s">
        <v>90</v>
      </c>
      <c r="G3300" s="0" t="s">
        <v>16</v>
      </c>
      <c r="H3300" s="0" t="n">
        <v>55</v>
      </c>
      <c r="I3300" s="0" t="s">
        <v>11025</v>
      </c>
      <c r="J3300" s="0" t="s">
        <v>11026</v>
      </c>
      <c r="K3300" s="0" t="s">
        <v>11027</v>
      </c>
      <c r="L3300" s="0" t="str">
        <f aca="false">HYPERLINK("https://www.ncbi.nlm.nih.gov/nuccore/CP000058.1?report=graph&amp;tracks=[key:gene_model_track,Options:GeneOnly]&amp;mk=1067551:1067570|offset_23|444444,1067519:1067538|offset_55|00cc00,1067467:1067486|offset_107|444444,1067441:1067460|offset_133|444444&amp;v=1067350:1067660&amp;c=444444", "offset 55")</f>
        <v>offset 55</v>
      </c>
    </row>
    <row r="3301" customFormat="false" ht="12.8" hidden="false" customHeight="false" outlineLevel="0" collapsed="false">
      <c r="A3301" s="0" t="s">
        <v>12</v>
      </c>
      <c r="B3301" s="0" t="n">
        <v>1067466</v>
      </c>
      <c r="C3301" s="0" t="n">
        <v>1067486</v>
      </c>
      <c r="D3301" s="0" t="s">
        <v>11021</v>
      </c>
      <c r="E3301" s="0" t="s">
        <v>75</v>
      </c>
      <c r="F3301" s="0" t="s">
        <v>90</v>
      </c>
      <c r="G3301" s="0" t="s">
        <v>20</v>
      </c>
      <c r="H3301" s="0" t="n">
        <v>107</v>
      </c>
      <c r="I3301" s="0" t="s">
        <v>11028</v>
      </c>
      <c r="J3301" s="0" t="s">
        <v>11029</v>
      </c>
      <c r="K3301" s="0" t="s">
        <v>11030</v>
      </c>
      <c r="L3301" s="0" t="str">
        <f aca="false">HYPERLINK("https://www.ncbi.nlm.nih.gov/nuccore/CP000058.1?report=graph&amp;tracks=[key:gene_model_track,Options:GeneOnly]&amp;mk=1067551:1067570|offset_23|444444,1067519:1067538|offset_55|444444,1067467:1067486|offset_107|00cc00,1067441:1067460|offset_133|444444&amp;v=1067350:1067660&amp;c=444444", "offset 107")</f>
        <v>offset 107</v>
      </c>
    </row>
    <row r="3302" customFormat="false" ht="12.8" hidden="false" customHeight="false" outlineLevel="0" collapsed="false">
      <c r="A3302" s="0" t="s">
        <v>12</v>
      </c>
      <c r="B3302" s="0" t="n">
        <v>1067440</v>
      </c>
      <c r="C3302" s="0" t="n">
        <v>1067460</v>
      </c>
      <c r="D3302" s="0" t="s">
        <v>11021</v>
      </c>
      <c r="E3302" s="0" t="s">
        <v>75</v>
      </c>
      <c r="F3302" s="0" t="s">
        <v>90</v>
      </c>
      <c r="G3302" s="0" t="s">
        <v>32</v>
      </c>
      <c r="H3302" s="0" t="n">
        <v>133</v>
      </c>
      <c r="I3302" s="0" t="s">
        <v>11031</v>
      </c>
      <c r="J3302" s="0" t="s">
        <v>11032</v>
      </c>
      <c r="K3302" s="0" t="s">
        <v>11033</v>
      </c>
      <c r="L3302" s="0" t="str">
        <f aca="false">HYPERLINK("https://www.ncbi.nlm.nih.gov/nuccore/CP000058.1?report=graph&amp;tracks=[key:gene_model_track,Options:GeneOnly]&amp;mk=1067551:1067570|offset_23|444444,1067519:1067538|offset_55|444444,1067467:1067486|offset_107|444444,1067441:1067460|offset_133|00cc00&amp;v=1067350:1067660&amp;c=444444", "offset 133")</f>
        <v>offset 133</v>
      </c>
    </row>
    <row r="3303" customFormat="false" ht="12.8" hidden="false" customHeight="false" outlineLevel="0" collapsed="false">
      <c r="A3303" s="0" t="s">
        <v>12</v>
      </c>
      <c r="B3303" s="0" t="n">
        <v>1068892</v>
      </c>
      <c r="C3303" s="0" t="n">
        <v>1068912</v>
      </c>
      <c r="D3303" s="0" t="s">
        <v>11034</v>
      </c>
      <c r="E3303" s="0" t="s">
        <v>75</v>
      </c>
      <c r="F3303" s="0" t="s">
        <v>90</v>
      </c>
      <c r="G3303" s="0" t="s">
        <v>16</v>
      </c>
      <c r="H3303" s="0" t="n">
        <v>19</v>
      </c>
      <c r="I3303" s="0" t="s">
        <v>11035</v>
      </c>
      <c r="J3303" s="0" t="s">
        <v>11036</v>
      </c>
      <c r="K3303" s="0" t="s">
        <v>11037</v>
      </c>
      <c r="L3303" s="0" t="str">
        <f aca="false">HYPERLINK("https://www.ncbi.nlm.nih.gov/nuccore/CP000058.1?report=graph&amp;tracks=[key:gene_model_track,Options:GeneOnly]&amp;mk=1068893:1068912|offset_19|00cc00,1068849:1068868|offset_63|444444,1068822:1068841|offset_90|444444,1068787:1068806|offset_125|444444&amp;v=1068692:1069006&amp;c=444444", "offset 19")</f>
        <v>offset 19</v>
      </c>
    </row>
    <row r="3304" customFormat="false" ht="12.8" hidden="false" customHeight="false" outlineLevel="0" collapsed="false">
      <c r="A3304" s="0" t="s">
        <v>12</v>
      </c>
      <c r="B3304" s="0" t="n">
        <v>1068848</v>
      </c>
      <c r="C3304" s="0" t="n">
        <v>1068868</v>
      </c>
      <c r="D3304" s="0" t="s">
        <v>11034</v>
      </c>
      <c r="E3304" s="0" t="s">
        <v>75</v>
      </c>
      <c r="F3304" s="0" t="s">
        <v>90</v>
      </c>
      <c r="G3304" s="0" t="s">
        <v>20</v>
      </c>
      <c r="H3304" s="0" t="n">
        <v>63</v>
      </c>
      <c r="I3304" s="0" t="s">
        <v>11038</v>
      </c>
      <c r="J3304" s="0" t="s">
        <v>11039</v>
      </c>
      <c r="K3304" s="0" t="s">
        <v>11040</v>
      </c>
      <c r="L3304" s="0" t="str">
        <f aca="false">HYPERLINK("https://www.ncbi.nlm.nih.gov/nuccore/CP000058.1?report=graph&amp;tracks=[key:gene_model_track,Options:GeneOnly]&amp;mk=1068893:1068912|offset_19|444444,1068849:1068868|offset_63|00cc00,1068822:1068841|offset_90|444444,1068787:1068806|offset_125|444444&amp;v=1068692:1069006&amp;c=444444", "offset 63")</f>
        <v>offset 63</v>
      </c>
    </row>
    <row r="3305" customFormat="false" ht="12.8" hidden="false" customHeight="false" outlineLevel="0" collapsed="false">
      <c r="A3305" s="0" t="s">
        <v>12</v>
      </c>
      <c r="B3305" s="0" t="n">
        <v>1068821</v>
      </c>
      <c r="C3305" s="0" t="n">
        <v>1068841</v>
      </c>
      <c r="D3305" s="0" t="s">
        <v>11034</v>
      </c>
      <c r="E3305" s="0" t="s">
        <v>75</v>
      </c>
      <c r="F3305" s="0" t="s">
        <v>90</v>
      </c>
      <c r="G3305" s="0" t="s">
        <v>36</v>
      </c>
      <c r="H3305" s="0" t="n">
        <v>90</v>
      </c>
      <c r="I3305" s="0" t="s">
        <v>11041</v>
      </c>
      <c r="J3305" s="0" t="s">
        <v>11042</v>
      </c>
      <c r="K3305" s="0" t="s">
        <v>11043</v>
      </c>
      <c r="L3305" s="0" t="str">
        <f aca="false">HYPERLINK("https://www.ncbi.nlm.nih.gov/nuccore/CP000058.1?report=graph&amp;tracks=[key:gene_model_track,Options:GeneOnly]&amp;mk=1068893:1068912|offset_19|444444,1068849:1068868|offset_63|444444,1068822:1068841|offset_90|00cc00,1068787:1068806|offset_125|444444&amp;v=1068692:1069006&amp;c=444444", "offset 90")</f>
        <v>offset 90</v>
      </c>
    </row>
    <row r="3306" customFormat="false" ht="12.8" hidden="false" customHeight="false" outlineLevel="0" collapsed="false">
      <c r="A3306" s="0" t="s">
        <v>12</v>
      </c>
      <c r="B3306" s="0" t="n">
        <v>1068786</v>
      </c>
      <c r="C3306" s="0" t="n">
        <v>1068806</v>
      </c>
      <c r="D3306" s="0" t="s">
        <v>11034</v>
      </c>
      <c r="E3306" s="0" t="s">
        <v>75</v>
      </c>
      <c r="F3306" s="0" t="s">
        <v>90</v>
      </c>
      <c r="G3306" s="0" t="s">
        <v>36</v>
      </c>
      <c r="H3306" s="0" t="n">
        <v>125</v>
      </c>
      <c r="I3306" s="0" t="s">
        <v>11044</v>
      </c>
      <c r="J3306" s="0" t="s">
        <v>11045</v>
      </c>
      <c r="K3306" s="0" t="s">
        <v>11046</v>
      </c>
      <c r="L3306" s="0" t="str">
        <f aca="false">HYPERLINK("https://www.ncbi.nlm.nih.gov/nuccore/CP000058.1?report=graph&amp;tracks=[key:gene_model_track,Options:GeneOnly]&amp;mk=1068893:1068912|offset_19|444444,1068849:1068868|offset_63|444444,1068822:1068841|offset_90|444444,1068787:1068806|offset_125|00cc00&amp;v=1068692:1069006&amp;c=444444", "offset 125")</f>
        <v>offset 125</v>
      </c>
    </row>
    <row r="3307" customFormat="false" ht="12.8" hidden="false" customHeight="false" outlineLevel="0" collapsed="false">
      <c r="A3307" s="0" t="s">
        <v>12</v>
      </c>
      <c r="B3307" s="0" t="n">
        <v>1069150</v>
      </c>
      <c r="C3307" s="0" t="n">
        <v>1069170</v>
      </c>
      <c r="D3307" s="0" t="s">
        <v>11047</v>
      </c>
      <c r="E3307" s="0" t="s">
        <v>75</v>
      </c>
      <c r="F3307" s="0" t="s">
        <v>15</v>
      </c>
      <c r="G3307" s="0" t="s">
        <v>16</v>
      </c>
      <c r="H3307" s="0" t="n">
        <v>12</v>
      </c>
      <c r="I3307" s="0" t="s">
        <v>11048</v>
      </c>
      <c r="J3307" s="0" t="s">
        <v>11049</v>
      </c>
      <c r="K3307" s="0" t="s">
        <v>11050</v>
      </c>
      <c r="L3307" s="0" t="str">
        <f aca="false">HYPERLINK("https://www.ncbi.nlm.nih.gov/nuccore/CP000058.1?report=graph&amp;tracks=[key:gene_model_track,Options:GeneOnly]&amp;mk=1069151:1069170|offset_12|00cc00,1069173:1069192|offset_34|444444,1069198:1069217|offset_59|444444,1069221:1069240|offset_82|444444&amp;v=1068950:1069440&amp;c=444444", "offset 12")</f>
        <v>offset 12</v>
      </c>
    </row>
    <row r="3308" customFormat="false" ht="12.8" hidden="false" customHeight="false" outlineLevel="0" collapsed="false">
      <c r="A3308" s="0" t="s">
        <v>12</v>
      </c>
      <c r="B3308" s="0" t="n">
        <v>1069172</v>
      </c>
      <c r="C3308" s="0" t="n">
        <v>1069192</v>
      </c>
      <c r="D3308" s="0" t="s">
        <v>11047</v>
      </c>
      <c r="E3308" s="0" t="s">
        <v>75</v>
      </c>
      <c r="F3308" s="0" t="s">
        <v>15</v>
      </c>
      <c r="G3308" s="0" t="s">
        <v>16</v>
      </c>
      <c r="H3308" s="0" t="n">
        <v>34</v>
      </c>
      <c r="I3308" s="0" t="s">
        <v>11051</v>
      </c>
      <c r="J3308" s="0" t="s">
        <v>11052</v>
      </c>
      <c r="K3308" s="0" t="s">
        <v>11053</v>
      </c>
      <c r="L3308" s="0" t="str">
        <f aca="false">HYPERLINK("https://www.ncbi.nlm.nih.gov/nuccore/CP000058.1?report=graph&amp;tracks=[key:gene_model_track,Options:GeneOnly]&amp;mk=1069151:1069170|offset_12|444444,1069173:1069192|offset_34|00cc00,1069198:1069217|offset_59|444444,1069221:1069240|offset_82|444444&amp;v=1068950:1069440&amp;c=444444", "offset 34")</f>
        <v>offset 34</v>
      </c>
    </row>
    <row r="3309" customFormat="false" ht="12.8" hidden="false" customHeight="false" outlineLevel="0" collapsed="false">
      <c r="A3309" s="0" t="s">
        <v>12</v>
      </c>
      <c r="B3309" s="0" t="n">
        <v>1069197</v>
      </c>
      <c r="C3309" s="0" t="n">
        <v>1069217</v>
      </c>
      <c r="D3309" s="0" t="s">
        <v>11047</v>
      </c>
      <c r="E3309" s="0" t="s">
        <v>75</v>
      </c>
      <c r="F3309" s="0" t="s">
        <v>15</v>
      </c>
      <c r="G3309" s="0" t="s">
        <v>20</v>
      </c>
      <c r="H3309" s="0" t="n">
        <v>59</v>
      </c>
      <c r="I3309" s="0" t="s">
        <v>11054</v>
      </c>
      <c r="J3309" s="0" t="s">
        <v>11055</v>
      </c>
      <c r="K3309" s="0" t="s">
        <v>11056</v>
      </c>
      <c r="L3309" s="0" t="str">
        <f aca="false">HYPERLINK("https://www.ncbi.nlm.nih.gov/nuccore/CP000058.1?report=graph&amp;tracks=[key:gene_model_track,Options:GeneOnly]&amp;mk=1069151:1069170|offset_12|444444,1069173:1069192|offset_34|444444,1069198:1069217|offset_59|00cc00,1069221:1069240|offset_82|444444&amp;v=1068950:1069440&amp;c=444444", "offset 59")</f>
        <v>offset 59</v>
      </c>
    </row>
    <row r="3310" customFormat="false" ht="12.8" hidden="false" customHeight="false" outlineLevel="0" collapsed="false">
      <c r="A3310" s="0" t="s">
        <v>12</v>
      </c>
      <c r="B3310" s="0" t="n">
        <v>1069220</v>
      </c>
      <c r="C3310" s="0" t="n">
        <v>1069240</v>
      </c>
      <c r="D3310" s="0" t="s">
        <v>11047</v>
      </c>
      <c r="E3310" s="0" t="s">
        <v>75</v>
      </c>
      <c r="F3310" s="0" t="s">
        <v>15</v>
      </c>
      <c r="G3310" s="0" t="s">
        <v>36</v>
      </c>
      <c r="H3310" s="0" t="n">
        <v>82</v>
      </c>
      <c r="I3310" s="0" t="s">
        <v>11057</v>
      </c>
      <c r="J3310" s="0" t="s">
        <v>11058</v>
      </c>
      <c r="K3310" s="0" t="s">
        <v>11059</v>
      </c>
      <c r="L3310" s="0" t="str">
        <f aca="false">HYPERLINK("https://www.ncbi.nlm.nih.gov/nuccore/CP000058.1?report=graph&amp;tracks=[key:gene_model_track,Options:GeneOnly]&amp;mk=1069151:1069170|offset_12|444444,1069173:1069192|offset_34|444444,1069198:1069217|offset_59|444444,1069221:1069240|offset_82|00cc00&amp;v=1068950:1069440&amp;c=444444", "offset 82")</f>
        <v>offset 82</v>
      </c>
    </row>
    <row r="3311" customFormat="false" ht="12.8" hidden="false" customHeight="false" outlineLevel="0" collapsed="false">
      <c r="A3311" s="0" t="s">
        <v>12</v>
      </c>
      <c r="B3311" s="0" t="n">
        <v>1069589</v>
      </c>
      <c r="C3311" s="0" t="n">
        <v>1069609</v>
      </c>
      <c r="D3311" s="0" t="s">
        <v>11060</v>
      </c>
      <c r="E3311" s="0" t="s">
        <v>75</v>
      </c>
      <c r="F3311" s="0" t="s">
        <v>15</v>
      </c>
      <c r="G3311" s="0" t="s">
        <v>16</v>
      </c>
      <c r="H3311" s="0" t="n">
        <v>1</v>
      </c>
      <c r="I3311" s="0" t="s">
        <v>11061</v>
      </c>
      <c r="J3311" s="0" t="s">
        <v>11062</v>
      </c>
      <c r="K3311" s="0" t="s">
        <v>11063</v>
      </c>
      <c r="L3311" s="0" t="str">
        <f aca="false">HYPERLINK("https://www.ncbi.nlm.nih.gov/nuccore/CP000058.1?report=graph&amp;tracks=[key:gene_model_track,Options:GeneOnly]&amp;mk=1069590:1069609|offset_1|00cc00,1069611:1069630|offset_22|444444,1069696:1069715|offset_107|444444,1069725:1069744|offset_136|444444&amp;v=1069389:1069944&amp;c=444444", "offset 1")</f>
        <v>offset 1</v>
      </c>
    </row>
    <row r="3312" customFormat="false" ht="12.8" hidden="false" customHeight="false" outlineLevel="0" collapsed="false">
      <c r="A3312" s="0" t="s">
        <v>12</v>
      </c>
      <c r="B3312" s="0" t="n">
        <v>1069610</v>
      </c>
      <c r="C3312" s="0" t="n">
        <v>1069630</v>
      </c>
      <c r="D3312" s="0" t="s">
        <v>11060</v>
      </c>
      <c r="E3312" s="0" t="s">
        <v>75</v>
      </c>
      <c r="F3312" s="0" t="s">
        <v>15</v>
      </c>
      <c r="G3312" s="0" t="s">
        <v>36</v>
      </c>
      <c r="H3312" s="0" t="n">
        <v>22</v>
      </c>
      <c r="I3312" s="0" t="s">
        <v>11064</v>
      </c>
      <c r="J3312" s="0" t="s">
        <v>11065</v>
      </c>
      <c r="K3312" s="0" t="s">
        <v>11066</v>
      </c>
      <c r="L3312" s="0" t="str">
        <f aca="false">HYPERLINK("https://www.ncbi.nlm.nih.gov/nuccore/CP000058.1?report=graph&amp;tracks=[key:gene_model_track,Options:GeneOnly]&amp;mk=1069590:1069609|offset_1|444444,1069611:1069630|offset_22|00cc00,1069696:1069715|offset_107|444444,1069725:1069744|offset_136|444444&amp;v=1069389:1069944&amp;c=444444", "offset 22")</f>
        <v>offset 22</v>
      </c>
    </row>
    <row r="3313" customFormat="false" ht="12.8" hidden="false" customHeight="false" outlineLevel="0" collapsed="false">
      <c r="A3313" s="0" t="s">
        <v>12</v>
      </c>
      <c r="B3313" s="0" t="n">
        <v>1069695</v>
      </c>
      <c r="C3313" s="0" t="n">
        <v>1069715</v>
      </c>
      <c r="D3313" s="0" t="s">
        <v>11060</v>
      </c>
      <c r="E3313" s="0" t="s">
        <v>75</v>
      </c>
      <c r="F3313" s="0" t="s">
        <v>15</v>
      </c>
      <c r="G3313" s="0" t="s">
        <v>32</v>
      </c>
      <c r="H3313" s="0" t="n">
        <v>107</v>
      </c>
      <c r="I3313" s="0" t="s">
        <v>11067</v>
      </c>
      <c r="J3313" s="0" t="s">
        <v>11068</v>
      </c>
      <c r="K3313" s="0" t="s">
        <v>11069</v>
      </c>
      <c r="L3313" s="0" t="str">
        <f aca="false">HYPERLINK("https://www.ncbi.nlm.nih.gov/nuccore/CP000058.1?report=graph&amp;tracks=[key:gene_model_track,Options:GeneOnly]&amp;mk=1069590:1069609|offset_1|444444,1069611:1069630|offset_22|444444,1069696:1069715|offset_107|00cc00,1069725:1069744|offset_136|444444&amp;v=1069389:1069944&amp;c=444444", "offset 107")</f>
        <v>offset 107</v>
      </c>
    </row>
    <row r="3314" customFormat="false" ht="12.8" hidden="false" customHeight="false" outlineLevel="0" collapsed="false">
      <c r="A3314" s="0" t="s">
        <v>12</v>
      </c>
      <c r="B3314" s="0" t="n">
        <v>1069724</v>
      </c>
      <c r="C3314" s="0" t="n">
        <v>1069744</v>
      </c>
      <c r="D3314" s="0" t="s">
        <v>11060</v>
      </c>
      <c r="E3314" s="0" t="s">
        <v>75</v>
      </c>
      <c r="F3314" s="0" t="s">
        <v>15</v>
      </c>
      <c r="G3314" s="0" t="s">
        <v>16</v>
      </c>
      <c r="H3314" s="0" t="n">
        <v>136</v>
      </c>
      <c r="I3314" s="0" t="s">
        <v>11070</v>
      </c>
      <c r="J3314" s="0" t="s">
        <v>11071</v>
      </c>
      <c r="K3314" s="0" t="s">
        <v>11072</v>
      </c>
      <c r="L3314" s="0" t="str">
        <f aca="false">HYPERLINK("https://www.ncbi.nlm.nih.gov/nuccore/CP000058.1?report=graph&amp;tracks=[key:gene_model_track,Options:GeneOnly]&amp;mk=1069590:1069609|offset_1|444444,1069611:1069630|offset_22|444444,1069696:1069715|offset_107|444444,1069725:1069744|offset_136|00cc00&amp;v=1069389:1069944&amp;c=444444", "offset 136")</f>
        <v>offset 136</v>
      </c>
    </row>
    <row r="3315" customFormat="false" ht="12.8" hidden="false" customHeight="false" outlineLevel="0" collapsed="false">
      <c r="A3315" s="0" t="s">
        <v>12</v>
      </c>
      <c r="B3315" s="0" t="n">
        <v>1071438</v>
      </c>
      <c r="C3315" s="0" t="n">
        <v>1071458</v>
      </c>
      <c r="D3315" s="0" t="s">
        <v>11073</v>
      </c>
      <c r="E3315" s="0" t="s">
        <v>75</v>
      </c>
      <c r="F3315" s="0" t="s">
        <v>15</v>
      </c>
      <c r="G3315" s="0" t="s">
        <v>20</v>
      </c>
      <c r="H3315" s="0" t="n">
        <v>18</v>
      </c>
      <c r="I3315" s="0" t="s">
        <v>11074</v>
      </c>
      <c r="J3315" s="0" t="s">
        <v>11075</v>
      </c>
      <c r="K3315" s="0" t="s">
        <v>11076</v>
      </c>
      <c r="L3315" s="0" t="str">
        <f aca="false">HYPERLINK("https://www.ncbi.nlm.nih.gov/nuccore/CP000058.1?report=graph&amp;tracks=[key:gene_model_track,Options:GeneOnly]&amp;mk=1071439:1071458|offset_18|00cc00,1071487:1071506|offset_66|444444,1071533:1071552|offset_112|444444,1071557:1071576|offset_136|444444&amp;v=1071238:1071776&amp;c=444444", "offset 18")</f>
        <v>offset 18</v>
      </c>
    </row>
    <row r="3316" customFormat="false" ht="12.8" hidden="false" customHeight="false" outlineLevel="0" collapsed="false">
      <c r="A3316" s="0" t="s">
        <v>12</v>
      </c>
      <c r="B3316" s="0" t="n">
        <v>1071486</v>
      </c>
      <c r="C3316" s="0" t="n">
        <v>1071506</v>
      </c>
      <c r="D3316" s="0" t="s">
        <v>11073</v>
      </c>
      <c r="E3316" s="0" t="s">
        <v>75</v>
      </c>
      <c r="F3316" s="0" t="s">
        <v>15</v>
      </c>
      <c r="G3316" s="0" t="s">
        <v>20</v>
      </c>
      <c r="H3316" s="0" t="n">
        <v>66</v>
      </c>
      <c r="I3316" s="0" t="s">
        <v>11077</v>
      </c>
      <c r="J3316" s="0" t="s">
        <v>11078</v>
      </c>
      <c r="K3316" s="0" t="s">
        <v>11079</v>
      </c>
      <c r="L3316" s="0" t="str">
        <f aca="false">HYPERLINK("https://www.ncbi.nlm.nih.gov/nuccore/CP000058.1?report=graph&amp;tracks=[key:gene_model_track,Options:GeneOnly]&amp;mk=1071439:1071458|offset_18|444444,1071487:1071506|offset_66|00cc00,1071533:1071552|offset_112|444444,1071557:1071576|offset_136|444444&amp;v=1071238:1071776&amp;c=444444", "offset 66")</f>
        <v>offset 66</v>
      </c>
    </row>
    <row r="3317" customFormat="false" ht="12.8" hidden="false" customHeight="false" outlineLevel="0" collapsed="false">
      <c r="A3317" s="0" t="s">
        <v>12</v>
      </c>
      <c r="B3317" s="0" t="n">
        <v>1071532</v>
      </c>
      <c r="C3317" s="0" t="n">
        <v>1071552</v>
      </c>
      <c r="D3317" s="0" t="s">
        <v>11073</v>
      </c>
      <c r="E3317" s="0" t="s">
        <v>75</v>
      </c>
      <c r="F3317" s="0" t="s">
        <v>15</v>
      </c>
      <c r="G3317" s="0" t="s">
        <v>20</v>
      </c>
      <c r="H3317" s="0" t="n">
        <v>112</v>
      </c>
      <c r="I3317" s="0" t="s">
        <v>11080</v>
      </c>
      <c r="J3317" s="0" t="s">
        <v>11081</v>
      </c>
      <c r="K3317" s="0" t="s">
        <v>11082</v>
      </c>
      <c r="L3317" s="0" t="str">
        <f aca="false">HYPERLINK("https://www.ncbi.nlm.nih.gov/nuccore/CP000058.1?report=graph&amp;tracks=[key:gene_model_track,Options:GeneOnly]&amp;mk=1071439:1071458|offset_18|444444,1071487:1071506|offset_66|444444,1071533:1071552|offset_112|00cc00,1071557:1071576|offset_136|444444&amp;v=1071238:1071776&amp;c=444444", "offset 112")</f>
        <v>offset 112</v>
      </c>
    </row>
    <row r="3318" customFormat="false" ht="12.8" hidden="false" customHeight="false" outlineLevel="0" collapsed="false">
      <c r="A3318" s="0" t="s">
        <v>12</v>
      </c>
      <c r="B3318" s="0" t="n">
        <v>1071556</v>
      </c>
      <c r="C3318" s="0" t="n">
        <v>1071576</v>
      </c>
      <c r="D3318" s="0" t="s">
        <v>11073</v>
      </c>
      <c r="E3318" s="0" t="s">
        <v>75</v>
      </c>
      <c r="F3318" s="0" t="s">
        <v>15</v>
      </c>
      <c r="G3318" s="0" t="s">
        <v>32</v>
      </c>
      <c r="H3318" s="0" t="n">
        <v>136</v>
      </c>
      <c r="I3318" s="0" t="s">
        <v>11083</v>
      </c>
      <c r="J3318" s="0" t="s">
        <v>11084</v>
      </c>
      <c r="K3318" s="0" t="s">
        <v>11085</v>
      </c>
      <c r="L3318" s="0" t="str">
        <f aca="false">HYPERLINK("https://www.ncbi.nlm.nih.gov/nuccore/CP000058.1?report=graph&amp;tracks=[key:gene_model_track,Options:GeneOnly]&amp;mk=1071439:1071458|offset_18|444444,1071487:1071506|offset_66|444444,1071533:1071552|offset_112|444444,1071557:1071576|offset_136|00cc00&amp;v=1071238:1071776&amp;c=444444", "offset 136")</f>
        <v>offset 136</v>
      </c>
    </row>
    <row r="3319" customFormat="false" ht="12.8" hidden="false" customHeight="false" outlineLevel="0" collapsed="false">
      <c r="A3319" s="0" t="s">
        <v>12</v>
      </c>
      <c r="B3319" s="0" t="n">
        <v>1073446</v>
      </c>
      <c r="C3319" s="0" t="n">
        <v>1073466</v>
      </c>
      <c r="D3319" s="0" t="s">
        <v>11086</v>
      </c>
      <c r="E3319" s="0" t="s">
        <v>75</v>
      </c>
      <c r="F3319" s="0" t="s">
        <v>90</v>
      </c>
      <c r="G3319" s="0" t="s">
        <v>36</v>
      </c>
      <c r="H3319" s="0" t="n">
        <v>0</v>
      </c>
      <c r="I3319" s="0" t="s">
        <v>11087</v>
      </c>
      <c r="J3319" s="0" t="s">
        <v>11088</v>
      </c>
      <c r="K3319" s="0" t="s">
        <v>11089</v>
      </c>
      <c r="L3319" s="0" t="str">
        <f aca="false">HYPERLINK("https://www.ncbi.nlm.nih.gov/nuccore/CP000058.1?report=graph&amp;tracks=[key:gene_model_track,Options:GeneOnly]&amp;mk=1073447:1073466|offset_0|00cc00,1073422:1073441|offset_25|444444,1073389:1073408|offset_58|444444,1073364:1073383|offset_83|444444&amp;v=1073246:1073583&amp;c=444444", "offset 0")</f>
        <v>offset 0</v>
      </c>
    </row>
    <row r="3320" customFormat="false" ht="12.8" hidden="false" customHeight="false" outlineLevel="0" collapsed="false">
      <c r="A3320" s="0" t="s">
        <v>12</v>
      </c>
      <c r="B3320" s="0" t="n">
        <v>1073421</v>
      </c>
      <c r="C3320" s="0" t="n">
        <v>1073441</v>
      </c>
      <c r="D3320" s="0" t="s">
        <v>11086</v>
      </c>
      <c r="E3320" s="0" t="s">
        <v>75</v>
      </c>
      <c r="F3320" s="0" t="s">
        <v>90</v>
      </c>
      <c r="G3320" s="0" t="s">
        <v>32</v>
      </c>
      <c r="H3320" s="0" t="n">
        <v>25</v>
      </c>
      <c r="I3320" s="0" t="s">
        <v>11090</v>
      </c>
      <c r="J3320" s="0" t="s">
        <v>11091</v>
      </c>
      <c r="K3320" s="0" t="s">
        <v>11092</v>
      </c>
      <c r="L3320" s="0" t="str">
        <f aca="false">HYPERLINK("https://www.ncbi.nlm.nih.gov/nuccore/CP000058.1?report=graph&amp;tracks=[key:gene_model_track,Options:GeneOnly]&amp;mk=1073447:1073466|offset_0|444444,1073422:1073441|offset_25|00cc00,1073389:1073408|offset_58|444444,1073364:1073383|offset_83|444444&amp;v=1073246:1073583&amp;c=444444", "offset 25")</f>
        <v>offset 25</v>
      </c>
    </row>
    <row r="3321" customFormat="false" ht="12.8" hidden="false" customHeight="false" outlineLevel="0" collapsed="false">
      <c r="A3321" s="0" t="s">
        <v>12</v>
      </c>
      <c r="B3321" s="0" t="n">
        <v>1073388</v>
      </c>
      <c r="C3321" s="0" t="n">
        <v>1073408</v>
      </c>
      <c r="D3321" s="0" t="s">
        <v>11086</v>
      </c>
      <c r="E3321" s="0" t="s">
        <v>75</v>
      </c>
      <c r="F3321" s="0" t="s">
        <v>90</v>
      </c>
      <c r="G3321" s="0" t="s">
        <v>16</v>
      </c>
      <c r="H3321" s="0" t="n">
        <v>58</v>
      </c>
      <c r="I3321" s="0" t="s">
        <v>11093</v>
      </c>
      <c r="J3321" s="0" t="s">
        <v>11094</v>
      </c>
      <c r="K3321" s="0" t="s">
        <v>11095</v>
      </c>
      <c r="L3321" s="0" t="str">
        <f aca="false">HYPERLINK("https://www.ncbi.nlm.nih.gov/nuccore/CP000058.1?report=graph&amp;tracks=[key:gene_model_track,Options:GeneOnly]&amp;mk=1073447:1073466|offset_0|444444,1073422:1073441|offset_25|444444,1073389:1073408|offset_58|00cc00,1073364:1073383|offset_83|444444&amp;v=1073246:1073583&amp;c=444444", "offset 58")</f>
        <v>offset 58</v>
      </c>
    </row>
    <row r="3322" customFormat="false" ht="12.8" hidden="false" customHeight="false" outlineLevel="0" collapsed="false">
      <c r="A3322" s="0" t="s">
        <v>12</v>
      </c>
      <c r="B3322" s="0" t="n">
        <v>1073363</v>
      </c>
      <c r="C3322" s="0" t="n">
        <v>1073383</v>
      </c>
      <c r="D3322" s="0" t="s">
        <v>11086</v>
      </c>
      <c r="E3322" s="0" t="s">
        <v>75</v>
      </c>
      <c r="F3322" s="0" t="s">
        <v>90</v>
      </c>
      <c r="G3322" s="0" t="s">
        <v>20</v>
      </c>
      <c r="H3322" s="0" t="n">
        <v>83</v>
      </c>
      <c r="I3322" s="0" t="s">
        <v>11096</v>
      </c>
      <c r="J3322" s="0" t="s">
        <v>11097</v>
      </c>
      <c r="K3322" s="0" t="s">
        <v>11098</v>
      </c>
      <c r="L3322" s="0" t="str">
        <f aca="false">HYPERLINK("https://www.ncbi.nlm.nih.gov/nuccore/CP000058.1?report=graph&amp;tracks=[key:gene_model_track,Options:GeneOnly]&amp;mk=1073447:1073466|offset_0|444444,1073422:1073441|offset_25|444444,1073389:1073408|offset_58|444444,1073364:1073383|offset_83|00cc00&amp;v=1073246:1073583&amp;c=444444", "offset 83")</f>
        <v>offset 83</v>
      </c>
    </row>
    <row r="3323" customFormat="false" ht="12.8" hidden="false" customHeight="false" outlineLevel="0" collapsed="false">
      <c r="A3323" s="0" t="s">
        <v>12</v>
      </c>
      <c r="B3323" s="0" t="n">
        <v>1075537</v>
      </c>
      <c r="C3323" s="0" t="n">
        <v>1075557</v>
      </c>
      <c r="D3323" s="0" t="s">
        <v>11099</v>
      </c>
      <c r="E3323" s="0" t="s">
        <v>75</v>
      </c>
      <c r="F3323" s="0" t="s">
        <v>90</v>
      </c>
      <c r="G3323" s="0" t="s">
        <v>16</v>
      </c>
      <c r="H3323" s="0" t="n">
        <v>6</v>
      </c>
      <c r="I3323" s="0" t="s">
        <v>11100</v>
      </c>
      <c r="J3323" s="0" t="s">
        <v>11101</v>
      </c>
      <c r="K3323" s="0" t="s">
        <v>11102</v>
      </c>
      <c r="L3323" s="0" t="str">
        <f aca="false">HYPERLINK("https://www.ncbi.nlm.nih.gov/nuccore/CP000058.1?report=graph&amp;tracks=[key:gene_model_track,Options:GeneOnly]&amp;mk=1075538:1075557|offset_6|00cc00,1075514:1075533|offset_30|444444,1075490:1075509|offset_54|444444,1075468:1075487|offset_76|444444&amp;v=1075337:1075687&amp;c=444444", "offset 6")</f>
        <v>offset 6</v>
      </c>
    </row>
    <row r="3324" customFormat="false" ht="12.8" hidden="false" customHeight="false" outlineLevel="0" collapsed="false">
      <c r="A3324" s="0" t="s">
        <v>12</v>
      </c>
      <c r="B3324" s="0" t="n">
        <v>1075513</v>
      </c>
      <c r="C3324" s="0" t="n">
        <v>1075533</v>
      </c>
      <c r="D3324" s="0" t="s">
        <v>11099</v>
      </c>
      <c r="E3324" s="0" t="s">
        <v>75</v>
      </c>
      <c r="F3324" s="0" t="s">
        <v>90</v>
      </c>
      <c r="G3324" s="0" t="s">
        <v>32</v>
      </c>
      <c r="H3324" s="0" t="n">
        <v>30</v>
      </c>
      <c r="I3324" s="0" t="s">
        <v>11103</v>
      </c>
      <c r="J3324" s="0" t="s">
        <v>11104</v>
      </c>
      <c r="K3324" s="0" t="s">
        <v>11105</v>
      </c>
      <c r="L3324" s="0" t="str">
        <f aca="false">HYPERLINK("https://www.ncbi.nlm.nih.gov/nuccore/CP000058.1?report=graph&amp;tracks=[key:gene_model_track,Options:GeneOnly]&amp;mk=1075538:1075557|offset_6|444444,1075514:1075533|offset_30|00cc00,1075490:1075509|offset_54|444444,1075468:1075487|offset_76|444444&amp;v=1075337:1075687&amp;c=444444", "offset 30")</f>
        <v>offset 30</v>
      </c>
    </row>
    <row r="3325" customFormat="false" ht="12.8" hidden="false" customHeight="false" outlineLevel="0" collapsed="false">
      <c r="A3325" s="0" t="s">
        <v>12</v>
      </c>
      <c r="B3325" s="0" t="n">
        <v>1075489</v>
      </c>
      <c r="C3325" s="0" t="n">
        <v>1075509</v>
      </c>
      <c r="D3325" s="0" t="s">
        <v>11099</v>
      </c>
      <c r="E3325" s="0" t="s">
        <v>75</v>
      </c>
      <c r="F3325" s="0" t="s">
        <v>90</v>
      </c>
      <c r="G3325" s="0" t="s">
        <v>16</v>
      </c>
      <c r="H3325" s="0" t="n">
        <v>54</v>
      </c>
      <c r="I3325" s="0" t="s">
        <v>11106</v>
      </c>
      <c r="J3325" s="0" t="s">
        <v>11107</v>
      </c>
      <c r="K3325" s="0" t="s">
        <v>11108</v>
      </c>
      <c r="L3325" s="0" t="str">
        <f aca="false">HYPERLINK("https://www.ncbi.nlm.nih.gov/nuccore/CP000058.1?report=graph&amp;tracks=[key:gene_model_track,Options:GeneOnly]&amp;mk=1075538:1075557|offset_6|444444,1075514:1075533|offset_30|444444,1075490:1075509|offset_54|00cc00,1075468:1075487|offset_76|444444&amp;v=1075337:1075687&amp;c=444444", "offset 54")</f>
        <v>offset 54</v>
      </c>
    </row>
    <row r="3326" customFormat="false" ht="12.8" hidden="false" customHeight="false" outlineLevel="0" collapsed="false">
      <c r="A3326" s="0" t="s">
        <v>12</v>
      </c>
      <c r="B3326" s="0" t="n">
        <v>1075467</v>
      </c>
      <c r="C3326" s="0" t="n">
        <v>1075487</v>
      </c>
      <c r="D3326" s="0" t="s">
        <v>11099</v>
      </c>
      <c r="E3326" s="0" t="s">
        <v>75</v>
      </c>
      <c r="F3326" s="0" t="s">
        <v>90</v>
      </c>
      <c r="G3326" s="0" t="s">
        <v>16</v>
      </c>
      <c r="H3326" s="0" t="n">
        <v>76</v>
      </c>
      <c r="I3326" s="0" t="s">
        <v>11109</v>
      </c>
      <c r="J3326" s="0" t="s">
        <v>11110</v>
      </c>
      <c r="K3326" s="0" t="s">
        <v>11111</v>
      </c>
      <c r="L3326" s="0" t="str">
        <f aca="false">HYPERLINK("https://www.ncbi.nlm.nih.gov/nuccore/CP000058.1?report=graph&amp;tracks=[key:gene_model_track,Options:GeneOnly]&amp;mk=1075538:1075557|offset_6|444444,1075514:1075533|offset_30|444444,1075490:1075509|offset_54|444444,1075468:1075487|offset_76|00cc00&amp;v=1075337:1075687&amp;c=444444", "offset 76")</f>
        <v>offset 76</v>
      </c>
    </row>
    <row r="3327" customFormat="false" ht="12.8" hidden="false" customHeight="false" outlineLevel="0" collapsed="false">
      <c r="A3327" s="0" t="s">
        <v>12</v>
      </c>
      <c r="B3327" s="0" t="n">
        <v>1075828</v>
      </c>
      <c r="C3327" s="0" t="n">
        <v>1075848</v>
      </c>
      <c r="D3327" s="0" t="s">
        <v>11112</v>
      </c>
      <c r="E3327" s="0" t="s">
        <v>75</v>
      </c>
      <c r="F3327" s="0" t="s">
        <v>15</v>
      </c>
      <c r="G3327" s="0" t="s">
        <v>32</v>
      </c>
      <c r="H3327" s="0" t="n">
        <v>1</v>
      </c>
      <c r="I3327" s="0" t="s">
        <v>11113</v>
      </c>
      <c r="J3327" s="0" t="s">
        <v>11114</v>
      </c>
      <c r="K3327" s="0" t="s">
        <v>11115</v>
      </c>
      <c r="L3327" s="0" t="str">
        <f aca="false">HYPERLINK("https://www.ncbi.nlm.nih.gov/nuccore/CP000058.1?report=graph&amp;tracks=[key:gene_model_track,Options:GeneOnly]&amp;mk=1075829:1075848|offset_1|00cc00,1075850:1075869|offset_22|444444,1075901:1075920|offset_73|444444,1075922:1075941|offset_94|444444&amp;v=1075628:1076141&amp;c=444444", "offset 1")</f>
        <v>offset 1</v>
      </c>
    </row>
    <row r="3328" customFormat="false" ht="12.8" hidden="false" customHeight="false" outlineLevel="0" collapsed="false">
      <c r="A3328" s="0" t="s">
        <v>12</v>
      </c>
      <c r="B3328" s="0" t="n">
        <v>1075849</v>
      </c>
      <c r="C3328" s="0" t="n">
        <v>1075869</v>
      </c>
      <c r="D3328" s="0" t="s">
        <v>11112</v>
      </c>
      <c r="E3328" s="0" t="s">
        <v>75</v>
      </c>
      <c r="F3328" s="0" t="s">
        <v>15</v>
      </c>
      <c r="G3328" s="0" t="s">
        <v>32</v>
      </c>
      <c r="H3328" s="0" t="n">
        <v>22</v>
      </c>
      <c r="I3328" s="0" t="s">
        <v>11116</v>
      </c>
      <c r="J3328" s="0" t="s">
        <v>11117</v>
      </c>
      <c r="K3328" s="0" t="s">
        <v>11118</v>
      </c>
      <c r="L3328" s="0" t="str">
        <f aca="false">HYPERLINK("https://www.ncbi.nlm.nih.gov/nuccore/CP000058.1?report=graph&amp;tracks=[key:gene_model_track,Options:GeneOnly]&amp;mk=1075829:1075848|offset_1|444444,1075850:1075869|offset_22|00cc00,1075901:1075920|offset_73|444444,1075922:1075941|offset_94|444444&amp;v=1075628:1076141&amp;c=444444", "offset 22")</f>
        <v>offset 22</v>
      </c>
    </row>
    <row r="3329" customFormat="false" ht="12.8" hidden="false" customHeight="false" outlineLevel="0" collapsed="false">
      <c r="A3329" s="0" t="s">
        <v>12</v>
      </c>
      <c r="B3329" s="0" t="n">
        <v>1075900</v>
      </c>
      <c r="C3329" s="0" t="n">
        <v>1075920</v>
      </c>
      <c r="D3329" s="0" t="s">
        <v>11112</v>
      </c>
      <c r="E3329" s="0" t="s">
        <v>75</v>
      </c>
      <c r="F3329" s="0" t="s">
        <v>15</v>
      </c>
      <c r="G3329" s="0" t="s">
        <v>36</v>
      </c>
      <c r="H3329" s="0" t="n">
        <v>73</v>
      </c>
      <c r="I3329" s="0" t="s">
        <v>11119</v>
      </c>
      <c r="J3329" s="0" t="s">
        <v>11120</v>
      </c>
      <c r="K3329" s="0" t="s">
        <v>11121</v>
      </c>
      <c r="L3329" s="0" t="str">
        <f aca="false">HYPERLINK("https://www.ncbi.nlm.nih.gov/nuccore/CP000058.1?report=graph&amp;tracks=[key:gene_model_track,Options:GeneOnly]&amp;mk=1075829:1075848|offset_1|444444,1075850:1075869|offset_22|444444,1075901:1075920|offset_73|00cc00,1075922:1075941|offset_94|444444&amp;v=1075628:1076141&amp;c=444444", "offset 73")</f>
        <v>offset 73</v>
      </c>
    </row>
    <row r="3330" customFormat="false" ht="12.8" hidden="false" customHeight="false" outlineLevel="0" collapsed="false">
      <c r="A3330" s="0" t="s">
        <v>12</v>
      </c>
      <c r="B3330" s="0" t="n">
        <v>1075921</v>
      </c>
      <c r="C3330" s="0" t="n">
        <v>1075941</v>
      </c>
      <c r="D3330" s="0" t="s">
        <v>11112</v>
      </c>
      <c r="E3330" s="0" t="s">
        <v>75</v>
      </c>
      <c r="F3330" s="0" t="s">
        <v>15</v>
      </c>
      <c r="G3330" s="0" t="s">
        <v>32</v>
      </c>
      <c r="H3330" s="0" t="n">
        <v>94</v>
      </c>
      <c r="I3330" s="0" t="s">
        <v>11122</v>
      </c>
      <c r="J3330" s="0" t="s">
        <v>11123</v>
      </c>
      <c r="K3330" s="0" t="s">
        <v>11124</v>
      </c>
      <c r="L3330" s="0" t="str">
        <f aca="false">HYPERLINK("https://www.ncbi.nlm.nih.gov/nuccore/CP000058.1?report=graph&amp;tracks=[key:gene_model_track,Options:GeneOnly]&amp;mk=1075829:1075848|offset_1|444444,1075850:1075869|offset_22|444444,1075901:1075920|offset_73|444444,1075922:1075941|offset_94|00cc00&amp;v=1075628:1076141&amp;c=444444", "offset 94")</f>
        <v>offset 94</v>
      </c>
    </row>
    <row r="3331" customFormat="false" ht="12.8" hidden="false" customHeight="false" outlineLevel="0" collapsed="false">
      <c r="A3331" s="0" t="s">
        <v>12</v>
      </c>
      <c r="B3331" s="0" t="n">
        <v>1077862</v>
      </c>
      <c r="C3331" s="0" t="n">
        <v>1077882</v>
      </c>
      <c r="D3331" s="0" t="s">
        <v>11125</v>
      </c>
      <c r="E3331" s="0" t="s">
        <v>75</v>
      </c>
      <c r="F3331" s="0" t="s">
        <v>90</v>
      </c>
      <c r="G3331" s="0" t="s">
        <v>36</v>
      </c>
      <c r="H3331" s="0" t="n">
        <v>32</v>
      </c>
      <c r="I3331" s="0" t="s">
        <v>11126</v>
      </c>
      <c r="J3331" s="0" t="s">
        <v>11127</v>
      </c>
      <c r="K3331" s="0" t="s">
        <v>11128</v>
      </c>
      <c r="L3331" s="0" t="str">
        <f aca="false">HYPERLINK("https://www.ncbi.nlm.nih.gov/nuccore/CP000058.1?report=graph&amp;tracks=[key:gene_model_track,Options:GeneOnly]&amp;mk=1077863:1077882|offset_32|00cc00,1077829:1077848|offset_66|444444,1077750:1077769|offset_145|444444,1077679:1077698|offset_216|444444&amp;v=1077662:1077898&amp;c=444444", "offset 32")</f>
        <v>offset 32</v>
      </c>
    </row>
    <row r="3332" customFormat="false" ht="12.8" hidden="false" customHeight="false" outlineLevel="0" collapsed="false">
      <c r="A3332" s="0" t="s">
        <v>12</v>
      </c>
      <c r="B3332" s="0" t="n">
        <v>1077828</v>
      </c>
      <c r="C3332" s="0" t="n">
        <v>1077848</v>
      </c>
      <c r="D3332" s="0" t="s">
        <v>11125</v>
      </c>
      <c r="E3332" s="0" t="s">
        <v>75</v>
      </c>
      <c r="F3332" s="0" t="s">
        <v>90</v>
      </c>
      <c r="G3332" s="0" t="s">
        <v>32</v>
      </c>
      <c r="H3332" s="0" t="n">
        <v>66</v>
      </c>
      <c r="I3332" s="0" t="s">
        <v>11129</v>
      </c>
      <c r="J3332" s="0" t="s">
        <v>11130</v>
      </c>
      <c r="K3332" s="0" t="s">
        <v>11131</v>
      </c>
      <c r="L3332" s="0" t="str">
        <f aca="false">HYPERLINK("https://www.ncbi.nlm.nih.gov/nuccore/CP000058.1?report=graph&amp;tracks=[key:gene_model_track,Options:GeneOnly]&amp;mk=1077863:1077882|offset_32|444444,1077829:1077848|offset_66|00cc00,1077750:1077769|offset_145|444444,1077679:1077698|offset_216|444444&amp;v=1077662:1077898&amp;c=444444", "offset 66")</f>
        <v>offset 66</v>
      </c>
    </row>
    <row r="3333" customFormat="false" ht="12.8" hidden="false" customHeight="false" outlineLevel="0" collapsed="false">
      <c r="A3333" s="0" t="s">
        <v>12</v>
      </c>
      <c r="B3333" s="0" t="n">
        <v>1077749</v>
      </c>
      <c r="C3333" s="0" t="n">
        <v>1077769</v>
      </c>
      <c r="D3333" s="0" t="s">
        <v>11125</v>
      </c>
      <c r="E3333" s="0" t="s">
        <v>75</v>
      </c>
      <c r="F3333" s="0" t="s">
        <v>90</v>
      </c>
      <c r="G3333" s="0" t="s">
        <v>36</v>
      </c>
      <c r="H3333" s="0" t="n">
        <v>145</v>
      </c>
      <c r="I3333" s="0" t="s">
        <v>11132</v>
      </c>
      <c r="J3333" s="0" t="s">
        <v>11133</v>
      </c>
      <c r="K3333" s="0" t="s">
        <v>11134</v>
      </c>
      <c r="L3333" s="0" t="str">
        <f aca="false">HYPERLINK("https://www.ncbi.nlm.nih.gov/nuccore/CP000058.1?report=graph&amp;tracks=[key:gene_model_track,Options:GeneOnly]&amp;mk=1077863:1077882|offset_32|444444,1077829:1077848|offset_66|444444,1077750:1077769|offset_145|00cc00,1077679:1077698|offset_216|444444&amp;v=1077662:1077898&amp;c=444444", "offset 145")</f>
        <v>offset 145</v>
      </c>
    </row>
    <row r="3334" customFormat="false" ht="12.8" hidden="false" customHeight="false" outlineLevel="0" collapsed="false">
      <c r="A3334" s="0" t="s">
        <v>12</v>
      </c>
      <c r="B3334" s="0" t="n">
        <v>1077678</v>
      </c>
      <c r="C3334" s="0" t="n">
        <v>1077698</v>
      </c>
      <c r="D3334" s="0" t="s">
        <v>11125</v>
      </c>
      <c r="E3334" s="0" t="s">
        <v>75</v>
      </c>
      <c r="F3334" s="0" t="s">
        <v>90</v>
      </c>
      <c r="G3334" s="0" t="s">
        <v>16</v>
      </c>
      <c r="H3334" s="0" t="n">
        <v>216</v>
      </c>
      <c r="I3334" s="0" t="s">
        <v>11135</v>
      </c>
      <c r="J3334" s="0" t="s">
        <v>11136</v>
      </c>
      <c r="K3334" s="0" t="s">
        <v>11137</v>
      </c>
      <c r="L3334" s="0" t="str">
        <f aca="false">HYPERLINK("https://www.ncbi.nlm.nih.gov/nuccore/CP000058.1?report=graph&amp;tracks=[key:gene_model_track,Options:GeneOnly]&amp;mk=1077863:1077882|offset_32|444444,1077829:1077848|offset_66|444444,1077750:1077769|offset_145|444444,1077679:1077698|offset_216|00cc00&amp;v=1077662:1077898&amp;c=444444", "offset 216")</f>
        <v>offset 216</v>
      </c>
    </row>
    <row r="3335" customFormat="false" ht="12.8" hidden="false" customHeight="false" outlineLevel="0" collapsed="false">
      <c r="A3335" s="0" t="s">
        <v>12</v>
      </c>
      <c r="B3335" s="0" t="n">
        <v>1079067</v>
      </c>
      <c r="C3335" s="0" t="n">
        <v>1079087</v>
      </c>
      <c r="D3335" s="0" t="s">
        <v>11138</v>
      </c>
      <c r="E3335" s="0" t="s">
        <v>75</v>
      </c>
      <c r="F3335" s="0" t="s">
        <v>90</v>
      </c>
      <c r="G3335" s="0" t="s">
        <v>16</v>
      </c>
      <c r="H3335" s="0" t="n">
        <v>14</v>
      </c>
      <c r="I3335" s="0" t="s">
        <v>11139</v>
      </c>
      <c r="J3335" s="0" t="s">
        <v>11140</v>
      </c>
      <c r="K3335" s="0" t="s">
        <v>11141</v>
      </c>
      <c r="L3335" s="0" t="str">
        <f aca="false">HYPERLINK("https://www.ncbi.nlm.nih.gov/nuccore/CP000058.1?report=graph&amp;tracks=[key:gene_model_track,Options:GeneOnly]&amp;mk=1079068:1079087|offset_14|00cc00,1079047:1079066|offset_35|444444,1079014:1079033|offset_68|444444,1078987:1079006|offset_95|444444&amp;v=1078867:1079206&amp;c=444444", "offset 14")</f>
        <v>offset 14</v>
      </c>
    </row>
    <row r="3336" customFormat="false" ht="12.8" hidden="false" customHeight="false" outlineLevel="0" collapsed="false">
      <c r="A3336" s="0" t="s">
        <v>12</v>
      </c>
      <c r="B3336" s="0" t="n">
        <v>1079046</v>
      </c>
      <c r="C3336" s="0" t="n">
        <v>1079066</v>
      </c>
      <c r="D3336" s="0" t="s">
        <v>11138</v>
      </c>
      <c r="E3336" s="0" t="s">
        <v>75</v>
      </c>
      <c r="F3336" s="0" t="s">
        <v>90</v>
      </c>
      <c r="G3336" s="0" t="s">
        <v>32</v>
      </c>
      <c r="H3336" s="0" t="n">
        <v>35</v>
      </c>
      <c r="I3336" s="0" t="s">
        <v>11142</v>
      </c>
      <c r="J3336" s="0" t="s">
        <v>11143</v>
      </c>
      <c r="K3336" s="0" t="s">
        <v>11144</v>
      </c>
      <c r="L3336" s="0" t="str">
        <f aca="false">HYPERLINK("https://www.ncbi.nlm.nih.gov/nuccore/CP000058.1?report=graph&amp;tracks=[key:gene_model_track,Options:GeneOnly]&amp;mk=1079068:1079087|offset_14|444444,1079047:1079066|offset_35|00cc00,1079014:1079033|offset_68|444444,1078987:1079006|offset_95|444444&amp;v=1078867:1079206&amp;c=444444", "offset 35")</f>
        <v>offset 35</v>
      </c>
    </row>
    <row r="3337" customFormat="false" ht="12.8" hidden="false" customHeight="false" outlineLevel="0" collapsed="false">
      <c r="A3337" s="0" t="s">
        <v>12</v>
      </c>
      <c r="B3337" s="0" t="n">
        <v>1079013</v>
      </c>
      <c r="C3337" s="0" t="n">
        <v>1079033</v>
      </c>
      <c r="D3337" s="0" t="s">
        <v>11138</v>
      </c>
      <c r="E3337" s="0" t="s">
        <v>75</v>
      </c>
      <c r="F3337" s="0" t="s">
        <v>90</v>
      </c>
      <c r="G3337" s="0" t="s">
        <v>20</v>
      </c>
      <c r="H3337" s="0" t="n">
        <v>68</v>
      </c>
      <c r="I3337" s="0" t="s">
        <v>11145</v>
      </c>
      <c r="J3337" s="0" t="s">
        <v>11146</v>
      </c>
      <c r="K3337" s="0" t="s">
        <v>11147</v>
      </c>
      <c r="L3337" s="0" t="str">
        <f aca="false">HYPERLINK("https://www.ncbi.nlm.nih.gov/nuccore/CP000058.1?report=graph&amp;tracks=[key:gene_model_track,Options:GeneOnly]&amp;mk=1079068:1079087|offset_14|444444,1079047:1079066|offset_35|444444,1079014:1079033|offset_68|00cc00,1078987:1079006|offset_95|444444&amp;v=1078867:1079206&amp;c=444444", "offset 68")</f>
        <v>offset 68</v>
      </c>
    </row>
    <row r="3338" customFormat="false" ht="12.8" hidden="false" customHeight="false" outlineLevel="0" collapsed="false">
      <c r="A3338" s="0" t="s">
        <v>12</v>
      </c>
      <c r="B3338" s="0" t="n">
        <v>1078986</v>
      </c>
      <c r="C3338" s="0" t="n">
        <v>1079006</v>
      </c>
      <c r="D3338" s="0" t="s">
        <v>11138</v>
      </c>
      <c r="E3338" s="0" t="s">
        <v>75</v>
      </c>
      <c r="F3338" s="0" t="s">
        <v>90</v>
      </c>
      <c r="G3338" s="0" t="s">
        <v>20</v>
      </c>
      <c r="H3338" s="0" t="n">
        <v>95</v>
      </c>
      <c r="I3338" s="0" t="s">
        <v>11148</v>
      </c>
      <c r="J3338" s="0" t="s">
        <v>11149</v>
      </c>
      <c r="K3338" s="0" t="s">
        <v>11150</v>
      </c>
      <c r="L3338" s="0" t="str">
        <f aca="false">HYPERLINK("https://www.ncbi.nlm.nih.gov/nuccore/CP000058.1?report=graph&amp;tracks=[key:gene_model_track,Options:GeneOnly]&amp;mk=1079068:1079087|offset_14|444444,1079047:1079066|offset_35|444444,1079014:1079033|offset_68|444444,1078987:1079006|offset_95|00cc00&amp;v=1078867:1079206&amp;c=444444", "offset 95")</f>
        <v>offset 95</v>
      </c>
    </row>
    <row r="3339" customFormat="false" ht="12.8" hidden="false" customHeight="false" outlineLevel="0" collapsed="false">
      <c r="A3339" s="0" t="s">
        <v>12</v>
      </c>
      <c r="B3339" s="0" t="n">
        <v>1079495</v>
      </c>
      <c r="C3339" s="0" t="n">
        <v>1079515</v>
      </c>
      <c r="D3339" s="0" t="s">
        <v>11151</v>
      </c>
      <c r="E3339" s="0" t="s">
        <v>75</v>
      </c>
      <c r="F3339" s="0" t="s">
        <v>15</v>
      </c>
      <c r="G3339" s="0" t="s">
        <v>16</v>
      </c>
      <c r="H3339" s="0" t="n">
        <v>46</v>
      </c>
      <c r="I3339" s="0" t="s">
        <v>11152</v>
      </c>
      <c r="J3339" s="0" t="s">
        <v>11153</v>
      </c>
      <c r="K3339" s="0" t="s">
        <v>11154</v>
      </c>
      <c r="L3339" s="0" t="str">
        <f aca="false">HYPERLINK("https://www.ncbi.nlm.nih.gov/nuccore/CP000058.1?report=graph&amp;tracks=[key:gene_model_track,Options:GeneOnly]&amp;mk=1079496:1079515|offset_46|00cc00,1079565:1079584|offset_115|444444,1079586:1079605|offset_136|444444,1079622:1079641|offset_172|444444&amp;v=1079295:1079841&amp;c=444444", "offset 46")</f>
        <v>offset 46</v>
      </c>
    </row>
    <row r="3340" customFormat="false" ht="12.8" hidden="false" customHeight="false" outlineLevel="0" collapsed="false">
      <c r="A3340" s="0" t="s">
        <v>12</v>
      </c>
      <c r="B3340" s="0" t="n">
        <v>1079564</v>
      </c>
      <c r="C3340" s="0" t="n">
        <v>1079584</v>
      </c>
      <c r="D3340" s="0" t="s">
        <v>11151</v>
      </c>
      <c r="E3340" s="0" t="s">
        <v>75</v>
      </c>
      <c r="F3340" s="0" t="s">
        <v>15</v>
      </c>
      <c r="G3340" s="0" t="s">
        <v>32</v>
      </c>
      <c r="H3340" s="0" t="n">
        <v>115</v>
      </c>
      <c r="I3340" s="0" t="s">
        <v>11155</v>
      </c>
      <c r="J3340" s="0" t="s">
        <v>11156</v>
      </c>
      <c r="K3340" s="0" t="s">
        <v>11157</v>
      </c>
      <c r="L3340" s="0" t="str">
        <f aca="false">HYPERLINK("https://www.ncbi.nlm.nih.gov/nuccore/CP000058.1?report=graph&amp;tracks=[key:gene_model_track,Options:GeneOnly]&amp;mk=1079496:1079515|offset_46|444444,1079565:1079584|offset_115|00cc00,1079586:1079605|offset_136|444444,1079622:1079641|offset_172|444444&amp;v=1079295:1079841&amp;c=444444", "offset 115")</f>
        <v>offset 115</v>
      </c>
    </row>
    <row r="3341" customFormat="false" ht="12.8" hidden="false" customHeight="false" outlineLevel="0" collapsed="false">
      <c r="A3341" s="0" t="s">
        <v>12</v>
      </c>
      <c r="B3341" s="0" t="n">
        <v>1079585</v>
      </c>
      <c r="C3341" s="0" t="n">
        <v>1079605</v>
      </c>
      <c r="D3341" s="0" t="s">
        <v>11151</v>
      </c>
      <c r="E3341" s="0" t="s">
        <v>75</v>
      </c>
      <c r="F3341" s="0" t="s">
        <v>15</v>
      </c>
      <c r="G3341" s="0" t="s">
        <v>32</v>
      </c>
      <c r="H3341" s="0" t="n">
        <v>136</v>
      </c>
      <c r="I3341" s="0" t="s">
        <v>11158</v>
      </c>
      <c r="J3341" s="0" t="s">
        <v>11159</v>
      </c>
      <c r="K3341" s="0" t="s">
        <v>11160</v>
      </c>
      <c r="L3341" s="0" t="str">
        <f aca="false">HYPERLINK("https://www.ncbi.nlm.nih.gov/nuccore/CP000058.1?report=graph&amp;tracks=[key:gene_model_track,Options:GeneOnly]&amp;mk=1079496:1079515|offset_46|444444,1079565:1079584|offset_115|444444,1079586:1079605|offset_136|00cc00,1079622:1079641|offset_172|444444&amp;v=1079295:1079841&amp;c=444444", "offset 136")</f>
        <v>offset 136</v>
      </c>
    </row>
    <row r="3342" customFormat="false" ht="12.8" hidden="false" customHeight="false" outlineLevel="0" collapsed="false">
      <c r="A3342" s="0" t="s">
        <v>12</v>
      </c>
      <c r="B3342" s="0" t="n">
        <v>1079621</v>
      </c>
      <c r="C3342" s="0" t="n">
        <v>1079641</v>
      </c>
      <c r="D3342" s="0" t="s">
        <v>11151</v>
      </c>
      <c r="E3342" s="0" t="s">
        <v>75</v>
      </c>
      <c r="F3342" s="0" t="s">
        <v>15</v>
      </c>
      <c r="G3342" s="0" t="s">
        <v>16</v>
      </c>
      <c r="H3342" s="0" t="n">
        <v>172</v>
      </c>
      <c r="I3342" s="0" t="s">
        <v>11161</v>
      </c>
      <c r="J3342" s="0" t="s">
        <v>11162</v>
      </c>
      <c r="K3342" s="0" t="s">
        <v>11163</v>
      </c>
      <c r="L3342" s="0" t="str">
        <f aca="false">HYPERLINK("https://www.ncbi.nlm.nih.gov/nuccore/CP000058.1?report=graph&amp;tracks=[key:gene_model_track,Options:GeneOnly]&amp;mk=1079496:1079515|offset_46|444444,1079565:1079584|offset_115|444444,1079586:1079605|offset_136|444444,1079622:1079641|offset_172|00cc00&amp;v=1079295:1079841&amp;c=444444", "offset 172")</f>
        <v>offset 172</v>
      </c>
    </row>
    <row r="3343" customFormat="false" ht="12.8" hidden="false" customHeight="false" outlineLevel="0" collapsed="false">
      <c r="A3343" s="0" t="s">
        <v>12</v>
      </c>
      <c r="B3343" s="0" t="n">
        <v>1080959</v>
      </c>
      <c r="C3343" s="0" t="n">
        <v>1080979</v>
      </c>
      <c r="D3343" s="0" t="s">
        <v>11164</v>
      </c>
      <c r="E3343" s="0" t="s">
        <v>75</v>
      </c>
      <c r="F3343" s="0" t="s">
        <v>15</v>
      </c>
      <c r="G3343" s="0" t="s">
        <v>16</v>
      </c>
      <c r="H3343" s="0" t="n">
        <v>22</v>
      </c>
      <c r="I3343" s="0" t="s">
        <v>11165</v>
      </c>
      <c r="J3343" s="0" t="s">
        <v>11166</v>
      </c>
      <c r="K3343" s="0" t="s">
        <v>11167</v>
      </c>
      <c r="L3343" s="0" t="str">
        <f aca="false">HYPERLINK("https://www.ncbi.nlm.nih.gov/nuccore/CP000058.1?report=graph&amp;tracks=[key:gene_model_track,Options:GeneOnly]&amp;mk=1080960:1080979|offset_22|00cc00,1081029:1081048|offset_91|444444,1081078:1081097|offset_140|444444,1081099:1081118|offset_161|444444&amp;v=1080759:1081318&amp;c=444444", "offset 22")</f>
        <v>offset 22</v>
      </c>
    </row>
    <row r="3344" customFormat="false" ht="12.8" hidden="false" customHeight="false" outlineLevel="0" collapsed="false">
      <c r="A3344" s="0" t="s">
        <v>12</v>
      </c>
      <c r="B3344" s="0" t="n">
        <v>1081028</v>
      </c>
      <c r="C3344" s="0" t="n">
        <v>1081048</v>
      </c>
      <c r="D3344" s="0" t="s">
        <v>11164</v>
      </c>
      <c r="E3344" s="0" t="s">
        <v>75</v>
      </c>
      <c r="F3344" s="0" t="s">
        <v>15</v>
      </c>
      <c r="G3344" s="0" t="s">
        <v>16</v>
      </c>
      <c r="H3344" s="0" t="n">
        <v>91</v>
      </c>
      <c r="I3344" s="0" t="s">
        <v>11168</v>
      </c>
      <c r="J3344" s="0" t="s">
        <v>11169</v>
      </c>
      <c r="K3344" s="0" t="s">
        <v>11170</v>
      </c>
      <c r="L3344" s="0" t="str">
        <f aca="false">HYPERLINK("https://www.ncbi.nlm.nih.gov/nuccore/CP000058.1?report=graph&amp;tracks=[key:gene_model_track,Options:GeneOnly]&amp;mk=1080960:1080979|offset_22|444444,1081029:1081048|offset_91|00cc00,1081078:1081097|offset_140|444444,1081099:1081118|offset_161|444444&amp;v=1080759:1081318&amp;c=444444", "offset 91")</f>
        <v>offset 91</v>
      </c>
    </row>
    <row r="3345" customFormat="false" ht="12.8" hidden="false" customHeight="false" outlineLevel="0" collapsed="false">
      <c r="A3345" s="0" t="s">
        <v>12</v>
      </c>
      <c r="B3345" s="0" t="n">
        <v>1081077</v>
      </c>
      <c r="C3345" s="0" t="n">
        <v>1081097</v>
      </c>
      <c r="D3345" s="0" t="s">
        <v>11164</v>
      </c>
      <c r="E3345" s="0" t="s">
        <v>75</v>
      </c>
      <c r="F3345" s="0" t="s">
        <v>15</v>
      </c>
      <c r="G3345" s="0" t="s">
        <v>20</v>
      </c>
      <c r="H3345" s="0" t="n">
        <v>140</v>
      </c>
      <c r="I3345" s="0" t="s">
        <v>11171</v>
      </c>
      <c r="J3345" s="0" t="s">
        <v>11172</v>
      </c>
      <c r="K3345" s="0" t="s">
        <v>11173</v>
      </c>
      <c r="L3345" s="0" t="str">
        <f aca="false">HYPERLINK("https://www.ncbi.nlm.nih.gov/nuccore/CP000058.1?report=graph&amp;tracks=[key:gene_model_track,Options:GeneOnly]&amp;mk=1080960:1080979|offset_22|444444,1081029:1081048|offset_91|444444,1081078:1081097|offset_140|00cc00,1081099:1081118|offset_161|444444&amp;v=1080759:1081318&amp;c=444444", "offset 140")</f>
        <v>offset 140</v>
      </c>
    </row>
    <row r="3346" customFormat="false" ht="12.8" hidden="false" customHeight="false" outlineLevel="0" collapsed="false">
      <c r="A3346" s="0" t="s">
        <v>12</v>
      </c>
      <c r="B3346" s="0" t="n">
        <v>1081098</v>
      </c>
      <c r="C3346" s="0" t="n">
        <v>1081118</v>
      </c>
      <c r="D3346" s="0" t="s">
        <v>11164</v>
      </c>
      <c r="E3346" s="0" t="s">
        <v>75</v>
      </c>
      <c r="F3346" s="0" t="s">
        <v>15</v>
      </c>
      <c r="G3346" s="0" t="s">
        <v>20</v>
      </c>
      <c r="H3346" s="0" t="n">
        <v>161</v>
      </c>
      <c r="I3346" s="0" t="s">
        <v>11174</v>
      </c>
      <c r="J3346" s="0" t="s">
        <v>11175</v>
      </c>
      <c r="K3346" s="0" t="s">
        <v>11176</v>
      </c>
      <c r="L3346" s="0" t="str">
        <f aca="false">HYPERLINK("https://www.ncbi.nlm.nih.gov/nuccore/CP000058.1?report=graph&amp;tracks=[key:gene_model_track,Options:GeneOnly]&amp;mk=1080960:1080979|offset_22|444444,1081029:1081048|offset_91|444444,1081078:1081097|offset_140|444444,1081099:1081118|offset_161|00cc00&amp;v=1080759:1081318&amp;c=444444", "offset 161")</f>
        <v>offset 161</v>
      </c>
    </row>
    <row r="3347" customFormat="false" ht="12.8" hidden="false" customHeight="false" outlineLevel="0" collapsed="false">
      <c r="A3347" s="0" t="s">
        <v>12</v>
      </c>
      <c r="B3347" s="0" t="n">
        <v>1082228</v>
      </c>
      <c r="C3347" s="0" t="n">
        <v>1082248</v>
      </c>
      <c r="D3347" s="0" t="s">
        <v>11177</v>
      </c>
      <c r="E3347" s="0" t="s">
        <v>75</v>
      </c>
      <c r="F3347" s="0" t="s">
        <v>15</v>
      </c>
      <c r="G3347" s="0" t="s">
        <v>36</v>
      </c>
      <c r="H3347" s="0" t="n">
        <v>0</v>
      </c>
      <c r="I3347" s="0" t="s">
        <v>11178</v>
      </c>
      <c r="J3347" s="0" t="s">
        <v>11179</v>
      </c>
      <c r="K3347" s="0" t="s">
        <v>11180</v>
      </c>
      <c r="L3347" s="0" t="str">
        <f aca="false">HYPERLINK("https://www.ncbi.nlm.nih.gov/nuccore/CP000058.1?report=graph&amp;tracks=[key:gene_model_track,Options:GeneOnly]&amp;mk=1082229:1082248|offset_0|00cc00,1082275:1082294|offset_46|444444,1082347:1082366|offset_118|444444,1082398:1082417|offset_169|444444&amp;v=1082028:1082617&amp;c=444444", "offset 0")</f>
        <v>offset 0</v>
      </c>
    </row>
    <row r="3348" customFormat="false" ht="12.8" hidden="false" customHeight="false" outlineLevel="0" collapsed="false">
      <c r="A3348" s="0" t="s">
        <v>12</v>
      </c>
      <c r="B3348" s="0" t="n">
        <v>1082274</v>
      </c>
      <c r="C3348" s="0" t="n">
        <v>1082294</v>
      </c>
      <c r="D3348" s="0" t="s">
        <v>11177</v>
      </c>
      <c r="E3348" s="0" t="s">
        <v>75</v>
      </c>
      <c r="F3348" s="0" t="s">
        <v>15</v>
      </c>
      <c r="G3348" s="0" t="s">
        <v>32</v>
      </c>
      <c r="H3348" s="0" t="n">
        <v>46</v>
      </c>
      <c r="I3348" s="0" t="s">
        <v>11181</v>
      </c>
      <c r="J3348" s="0" t="s">
        <v>11182</v>
      </c>
      <c r="K3348" s="0" t="s">
        <v>11183</v>
      </c>
      <c r="L3348" s="0" t="str">
        <f aca="false">HYPERLINK("https://www.ncbi.nlm.nih.gov/nuccore/CP000058.1?report=graph&amp;tracks=[key:gene_model_track,Options:GeneOnly]&amp;mk=1082229:1082248|offset_0|444444,1082275:1082294|offset_46|00cc00,1082347:1082366|offset_118|444444,1082398:1082417|offset_169|444444&amp;v=1082028:1082617&amp;c=444444", "offset 46")</f>
        <v>offset 46</v>
      </c>
    </row>
    <row r="3349" customFormat="false" ht="12.8" hidden="false" customHeight="false" outlineLevel="0" collapsed="false">
      <c r="A3349" s="0" t="s">
        <v>12</v>
      </c>
      <c r="B3349" s="0" t="n">
        <v>1082346</v>
      </c>
      <c r="C3349" s="0" t="n">
        <v>1082366</v>
      </c>
      <c r="D3349" s="0" t="s">
        <v>11177</v>
      </c>
      <c r="E3349" s="0" t="s">
        <v>75</v>
      </c>
      <c r="F3349" s="0" t="s">
        <v>15</v>
      </c>
      <c r="G3349" s="0" t="s">
        <v>16</v>
      </c>
      <c r="H3349" s="0" t="n">
        <v>118</v>
      </c>
      <c r="I3349" s="0" t="s">
        <v>11184</v>
      </c>
      <c r="J3349" s="0" t="s">
        <v>11185</v>
      </c>
      <c r="K3349" s="0" t="s">
        <v>11186</v>
      </c>
      <c r="L3349" s="0" t="str">
        <f aca="false">HYPERLINK("https://www.ncbi.nlm.nih.gov/nuccore/CP000058.1?report=graph&amp;tracks=[key:gene_model_track,Options:GeneOnly]&amp;mk=1082229:1082248|offset_0|444444,1082275:1082294|offset_46|444444,1082347:1082366|offset_118|00cc00,1082398:1082417|offset_169|444444&amp;v=1082028:1082617&amp;c=444444", "offset 118")</f>
        <v>offset 118</v>
      </c>
    </row>
    <row r="3350" customFormat="false" ht="12.8" hidden="false" customHeight="false" outlineLevel="0" collapsed="false">
      <c r="A3350" s="0" t="s">
        <v>12</v>
      </c>
      <c r="B3350" s="0" t="n">
        <v>1082397</v>
      </c>
      <c r="C3350" s="0" t="n">
        <v>1082417</v>
      </c>
      <c r="D3350" s="0" t="s">
        <v>11177</v>
      </c>
      <c r="E3350" s="0" t="s">
        <v>75</v>
      </c>
      <c r="F3350" s="0" t="s">
        <v>15</v>
      </c>
      <c r="G3350" s="0" t="s">
        <v>16</v>
      </c>
      <c r="H3350" s="0" t="n">
        <v>169</v>
      </c>
      <c r="I3350" s="0" t="s">
        <v>11187</v>
      </c>
      <c r="J3350" s="0" t="s">
        <v>11188</v>
      </c>
      <c r="K3350" s="0" t="s">
        <v>11189</v>
      </c>
      <c r="L3350" s="0" t="str">
        <f aca="false">HYPERLINK("https://www.ncbi.nlm.nih.gov/nuccore/CP000058.1?report=graph&amp;tracks=[key:gene_model_track,Options:GeneOnly]&amp;mk=1082229:1082248|offset_0|444444,1082275:1082294|offset_46|444444,1082347:1082366|offset_118|444444,1082398:1082417|offset_169|00cc00&amp;v=1082028:1082617&amp;c=444444", "offset 169")</f>
        <v>offset 169</v>
      </c>
    </row>
    <row r="3351" customFormat="false" ht="12.8" hidden="false" customHeight="false" outlineLevel="0" collapsed="false">
      <c r="A3351" s="0" t="s">
        <v>12</v>
      </c>
      <c r="B3351" s="0" t="n">
        <v>1083705</v>
      </c>
      <c r="C3351" s="0" t="n">
        <v>1083725</v>
      </c>
      <c r="D3351" s="0" t="s">
        <v>11190</v>
      </c>
      <c r="E3351" s="0" t="s">
        <v>75</v>
      </c>
      <c r="F3351" s="0" t="s">
        <v>90</v>
      </c>
      <c r="G3351" s="0" t="s">
        <v>32</v>
      </c>
      <c r="H3351" s="0" t="n">
        <v>1</v>
      </c>
      <c r="I3351" s="0" t="s">
        <v>11191</v>
      </c>
      <c r="J3351" s="0" t="s">
        <v>11192</v>
      </c>
      <c r="K3351" s="0" t="s">
        <v>11193</v>
      </c>
      <c r="L3351" s="0" t="str">
        <f aca="false">HYPERLINK("https://www.ncbi.nlm.nih.gov/nuccore/CP000058.1?report=graph&amp;tracks=[key:gene_model_track,Options:GeneOnly]&amp;mk=1083706:1083725|offset_1|00cc00,1083684:1083703|offset_23|444444,1083664:1083683|offset_43|444444,1083633:1083652|offset_74|444444&amp;v=1083505:1083852&amp;c=444444", "offset 1")</f>
        <v>offset 1</v>
      </c>
    </row>
    <row r="3352" customFormat="false" ht="12.8" hidden="false" customHeight="false" outlineLevel="0" collapsed="false">
      <c r="A3352" s="0" t="s">
        <v>12</v>
      </c>
      <c r="B3352" s="0" t="n">
        <v>1083683</v>
      </c>
      <c r="C3352" s="0" t="n">
        <v>1083703</v>
      </c>
      <c r="D3352" s="0" t="s">
        <v>11190</v>
      </c>
      <c r="E3352" s="0" t="s">
        <v>75</v>
      </c>
      <c r="F3352" s="0" t="s">
        <v>90</v>
      </c>
      <c r="G3352" s="0" t="s">
        <v>16</v>
      </c>
      <c r="H3352" s="0" t="n">
        <v>23</v>
      </c>
      <c r="I3352" s="0" t="s">
        <v>11194</v>
      </c>
      <c r="J3352" s="0" t="s">
        <v>11195</v>
      </c>
      <c r="K3352" s="0" t="s">
        <v>11196</v>
      </c>
      <c r="L3352" s="0" t="str">
        <f aca="false">HYPERLINK("https://www.ncbi.nlm.nih.gov/nuccore/CP000058.1?report=graph&amp;tracks=[key:gene_model_track,Options:GeneOnly]&amp;mk=1083706:1083725|offset_1|444444,1083684:1083703|offset_23|00cc00,1083664:1083683|offset_43|444444,1083633:1083652|offset_74|444444&amp;v=1083505:1083852&amp;c=444444", "offset 23")</f>
        <v>offset 23</v>
      </c>
    </row>
    <row r="3353" customFormat="false" ht="12.8" hidden="false" customHeight="false" outlineLevel="0" collapsed="false">
      <c r="A3353" s="0" t="s">
        <v>12</v>
      </c>
      <c r="B3353" s="0" t="n">
        <v>1083663</v>
      </c>
      <c r="C3353" s="0" t="n">
        <v>1083683</v>
      </c>
      <c r="D3353" s="0" t="s">
        <v>11190</v>
      </c>
      <c r="E3353" s="0" t="s">
        <v>75</v>
      </c>
      <c r="F3353" s="0" t="s">
        <v>90</v>
      </c>
      <c r="G3353" s="0" t="s">
        <v>32</v>
      </c>
      <c r="H3353" s="0" t="n">
        <v>43</v>
      </c>
      <c r="I3353" s="0" t="s">
        <v>11197</v>
      </c>
      <c r="J3353" s="0" t="s">
        <v>11198</v>
      </c>
      <c r="K3353" s="0" t="s">
        <v>11199</v>
      </c>
      <c r="L3353" s="0" t="str">
        <f aca="false">HYPERLINK("https://www.ncbi.nlm.nih.gov/nuccore/CP000058.1?report=graph&amp;tracks=[key:gene_model_track,Options:GeneOnly]&amp;mk=1083706:1083725|offset_1|444444,1083684:1083703|offset_23|444444,1083664:1083683|offset_43|00cc00,1083633:1083652|offset_74|444444&amp;v=1083505:1083852&amp;c=444444", "offset 43")</f>
        <v>offset 43</v>
      </c>
    </row>
    <row r="3354" customFormat="false" ht="12.8" hidden="false" customHeight="false" outlineLevel="0" collapsed="false">
      <c r="A3354" s="0" t="s">
        <v>12</v>
      </c>
      <c r="B3354" s="0" t="n">
        <v>1083632</v>
      </c>
      <c r="C3354" s="0" t="n">
        <v>1083652</v>
      </c>
      <c r="D3354" s="0" t="s">
        <v>11190</v>
      </c>
      <c r="E3354" s="0" t="s">
        <v>75</v>
      </c>
      <c r="F3354" s="0" t="s">
        <v>90</v>
      </c>
      <c r="G3354" s="0" t="s">
        <v>20</v>
      </c>
      <c r="H3354" s="0" t="n">
        <v>74</v>
      </c>
      <c r="I3354" s="0" t="s">
        <v>11200</v>
      </c>
      <c r="J3354" s="0" t="s">
        <v>11201</v>
      </c>
      <c r="K3354" s="0" t="s">
        <v>11202</v>
      </c>
      <c r="L3354" s="0" t="str">
        <f aca="false">HYPERLINK("https://www.ncbi.nlm.nih.gov/nuccore/CP000058.1?report=graph&amp;tracks=[key:gene_model_track,Options:GeneOnly]&amp;mk=1083706:1083725|offset_1|444444,1083684:1083703|offset_23|444444,1083664:1083683|offset_43|444444,1083633:1083652|offset_74|00cc00&amp;v=1083505:1083852&amp;c=444444", "offset 74")</f>
        <v>offset 74</v>
      </c>
    </row>
    <row r="3355" customFormat="false" ht="12.8" hidden="false" customHeight="false" outlineLevel="0" collapsed="false">
      <c r="A3355" s="0" t="s">
        <v>12</v>
      </c>
      <c r="B3355" s="0" t="n">
        <v>1085414</v>
      </c>
      <c r="C3355" s="0" t="n">
        <v>1085434</v>
      </c>
      <c r="D3355" s="0" t="s">
        <v>11203</v>
      </c>
      <c r="E3355" s="0" t="s">
        <v>11204</v>
      </c>
      <c r="F3355" s="0" t="s">
        <v>90</v>
      </c>
      <c r="G3355" s="0" t="s">
        <v>16</v>
      </c>
      <c r="H3355" s="0" t="n">
        <v>18</v>
      </c>
      <c r="I3355" s="0" t="s">
        <v>11205</v>
      </c>
      <c r="J3355" s="0" t="s">
        <v>11206</v>
      </c>
      <c r="K3355" s="0" t="s">
        <v>11207</v>
      </c>
      <c r="L3355" s="0" t="str">
        <f aca="false">HYPERLINK("https://www.ncbi.nlm.nih.gov/nuccore/CP000058.1?report=graph&amp;tracks=[key:gene_model_track,Options:GeneOnly]&amp;mk=1085415:1085434|offset_18|00cc00,1085393:1085412|offset_40|444444,1085362:1085381|offset_71|444444,1085325:1085344|offset_108|444444&amp;v=1085214:1085544&amp;c=444444", "offset 18")</f>
        <v>offset 18</v>
      </c>
    </row>
    <row r="3356" customFormat="false" ht="12.8" hidden="false" customHeight="false" outlineLevel="0" collapsed="false">
      <c r="A3356" s="0" t="s">
        <v>12</v>
      </c>
      <c r="B3356" s="0" t="n">
        <v>1085392</v>
      </c>
      <c r="C3356" s="0" t="n">
        <v>1085412</v>
      </c>
      <c r="D3356" s="0" t="s">
        <v>11203</v>
      </c>
      <c r="E3356" s="0" t="s">
        <v>11204</v>
      </c>
      <c r="F3356" s="0" t="s">
        <v>90</v>
      </c>
      <c r="G3356" s="0" t="s">
        <v>16</v>
      </c>
      <c r="H3356" s="0" t="n">
        <v>40</v>
      </c>
      <c r="I3356" s="0" t="s">
        <v>11208</v>
      </c>
      <c r="J3356" s="0" t="s">
        <v>11209</v>
      </c>
      <c r="K3356" s="0" t="s">
        <v>11210</v>
      </c>
      <c r="L3356" s="0" t="str">
        <f aca="false">HYPERLINK("https://www.ncbi.nlm.nih.gov/nuccore/CP000058.1?report=graph&amp;tracks=[key:gene_model_track,Options:GeneOnly]&amp;mk=1085415:1085434|offset_18|444444,1085393:1085412|offset_40|00cc00,1085362:1085381|offset_71|444444,1085325:1085344|offset_108|444444&amp;v=1085214:1085544&amp;c=444444", "offset 40")</f>
        <v>offset 40</v>
      </c>
    </row>
    <row r="3357" customFormat="false" ht="12.8" hidden="false" customHeight="false" outlineLevel="0" collapsed="false">
      <c r="A3357" s="0" t="s">
        <v>12</v>
      </c>
      <c r="B3357" s="0" t="n">
        <v>1085361</v>
      </c>
      <c r="C3357" s="0" t="n">
        <v>1085381</v>
      </c>
      <c r="D3357" s="0" t="s">
        <v>11203</v>
      </c>
      <c r="E3357" s="0" t="s">
        <v>11204</v>
      </c>
      <c r="F3357" s="0" t="s">
        <v>90</v>
      </c>
      <c r="G3357" s="0" t="s">
        <v>20</v>
      </c>
      <c r="H3357" s="0" t="n">
        <v>71</v>
      </c>
      <c r="I3357" s="0" t="s">
        <v>11211</v>
      </c>
      <c r="J3357" s="0" t="s">
        <v>11212</v>
      </c>
      <c r="K3357" s="0" t="s">
        <v>11213</v>
      </c>
      <c r="L3357" s="0" t="str">
        <f aca="false">HYPERLINK("https://www.ncbi.nlm.nih.gov/nuccore/CP000058.1?report=graph&amp;tracks=[key:gene_model_track,Options:GeneOnly]&amp;mk=1085415:1085434|offset_18|444444,1085393:1085412|offset_40|444444,1085362:1085381|offset_71|00cc00,1085325:1085344|offset_108|444444&amp;v=1085214:1085544&amp;c=444444", "offset 71")</f>
        <v>offset 71</v>
      </c>
    </row>
    <row r="3358" customFormat="false" ht="12.8" hidden="false" customHeight="false" outlineLevel="0" collapsed="false">
      <c r="A3358" s="0" t="s">
        <v>12</v>
      </c>
      <c r="B3358" s="0" t="n">
        <v>1085324</v>
      </c>
      <c r="C3358" s="0" t="n">
        <v>1085344</v>
      </c>
      <c r="D3358" s="0" t="s">
        <v>11203</v>
      </c>
      <c r="E3358" s="0" t="s">
        <v>11204</v>
      </c>
      <c r="F3358" s="0" t="s">
        <v>90</v>
      </c>
      <c r="G3358" s="0" t="s">
        <v>16</v>
      </c>
      <c r="H3358" s="0" t="n">
        <v>108</v>
      </c>
      <c r="I3358" s="0" t="s">
        <v>11214</v>
      </c>
      <c r="J3358" s="0" t="s">
        <v>11215</v>
      </c>
      <c r="K3358" s="0" t="s">
        <v>11216</v>
      </c>
      <c r="L3358" s="0" t="str">
        <f aca="false">HYPERLINK("https://www.ncbi.nlm.nih.gov/nuccore/CP000058.1?report=graph&amp;tracks=[key:gene_model_track,Options:GeneOnly]&amp;mk=1085415:1085434|offset_18|444444,1085393:1085412|offset_40|444444,1085362:1085381|offset_71|444444,1085325:1085344|offset_108|00cc00&amp;v=1085214:1085544&amp;c=444444", "offset 108")</f>
        <v>offset 108</v>
      </c>
    </row>
    <row r="3359" customFormat="false" ht="12.8" hidden="false" customHeight="false" outlineLevel="0" collapsed="false">
      <c r="A3359" s="0" t="s">
        <v>12</v>
      </c>
      <c r="B3359" s="0" t="n">
        <v>1085974</v>
      </c>
      <c r="C3359" s="0" t="n">
        <v>1085994</v>
      </c>
      <c r="D3359" s="0" t="s">
        <v>11217</v>
      </c>
      <c r="E3359" s="0" t="s">
        <v>75</v>
      </c>
      <c r="F3359" s="0" t="s">
        <v>90</v>
      </c>
      <c r="G3359" s="0" t="s">
        <v>36</v>
      </c>
      <c r="H3359" s="0" t="n">
        <v>18</v>
      </c>
      <c r="I3359" s="0" t="s">
        <v>11218</v>
      </c>
      <c r="J3359" s="0" t="s">
        <v>11219</v>
      </c>
      <c r="K3359" s="0" t="s">
        <v>11220</v>
      </c>
      <c r="L3359" s="0" t="str">
        <f aca="false">HYPERLINK("https://www.ncbi.nlm.nih.gov/nuccore/CP000058.1?report=graph&amp;tracks=[key:gene_model_track,Options:GeneOnly]&amp;mk=1085975:1085994|offset_18|00cc00,1085943:1085962|offset_50|444444,1085923:1085942|offset_70|444444,1085895:1085914|offset_98|444444&amp;v=1085774:1086114&amp;c=444444", "offset 18")</f>
        <v>offset 18</v>
      </c>
    </row>
    <row r="3360" customFormat="false" ht="12.8" hidden="false" customHeight="false" outlineLevel="0" collapsed="false">
      <c r="A3360" s="0" t="s">
        <v>12</v>
      </c>
      <c r="B3360" s="0" t="n">
        <v>1085942</v>
      </c>
      <c r="C3360" s="0" t="n">
        <v>1085962</v>
      </c>
      <c r="D3360" s="0" t="s">
        <v>11217</v>
      </c>
      <c r="E3360" s="0" t="s">
        <v>75</v>
      </c>
      <c r="F3360" s="0" t="s">
        <v>90</v>
      </c>
      <c r="G3360" s="0" t="s">
        <v>36</v>
      </c>
      <c r="H3360" s="0" t="n">
        <v>50</v>
      </c>
      <c r="I3360" s="0" t="s">
        <v>11221</v>
      </c>
      <c r="J3360" s="0" t="s">
        <v>11222</v>
      </c>
      <c r="K3360" s="0" t="s">
        <v>11223</v>
      </c>
      <c r="L3360" s="0" t="str">
        <f aca="false">HYPERLINK("https://www.ncbi.nlm.nih.gov/nuccore/CP000058.1?report=graph&amp;tracks=[key:gene_model_track,Options:GeneOnly]&amp;mk=1085975:1085994|offset_18|444444,1085943:1085962|offset_50|00cc00,1085923:1085942|offset_70|444444,1085895:1085914|offset_98|444444&amp;v=1085774:1086114&amp;c=444444", "offset 50")</f>
        <v>offset 50</v>
      </c>
    </row>
    <row r="3361" customFormat="false" ht="12.8" hidden="false" customHeight="false" outlineLevel="0" collapsed="false">
      <c r="A3361" s="0" t="s">
        <v>12</v>
      </c>
      <c r="B3361" s="0" t="n">
        <v>1085922</v>
      </c>
      <c r="C3361" s="0" t="n">
        <v>1085942</v>
      </c>
      <c r="D3361" s="0" t="s">
        <v>11217</v>
      </c>
      <c r="E3361" s="0" t="s">
        <v>75</v>
      </c>
      <c r="F3361" s="0" t="s">
        <v>90</v>
      </c>
      <c r="G3361" s="0" t="s">
        <v>32</v>
      </c>
      <c r="H3361" s="0" t="n">
        <v>70</v>
      </c>
      <c r="I3361" s="0" t="s">
        <v>11224</v>
      </c>
      <c r="J3361" s="0" t="s">
        <v>11225</v>
      </c>
      <c r="K3361" s="0" t="s">
        <v>11226</v>
      </c>
      <c r="L3361" s="0" t="str">
        <f aca="false">HYPERLINK("https://www.ncbi.nlm.nih.gov/nuccore/CP000058.1?report=graph&amp;tracks=[key:gene_model_track,Options:GeneOnly]&amp;mk=1085975:1085994|offset_18|444444,1085943:1085962|offset_50|444444,1085923:1085942|offset_70|00cc00,1085895:1085914|offset_98|444444&amp;v=1085774:1086114&amp;c=444444", "offset 70")</f>
        <v>offset 70</v>
      </c>
    </row>
    <row r="3362" customFormat="false" ht="12.8" hidden="false" customHeight="false" outlineLevel="0" collapsed="false">
      <c r="A3362" s="0" t="s">
        <v>12</v>
      </c>
      <c r="B3362" s="0" t="n">
        <v>1085894</v>
      </c>
      <c r="C3362" s="0" t="n">
        <v>1085914</v>
      </c>
      <c r="D3362" s="0" t="s">
        <v>11217</v>
      </c>
      <c r="E3362" s="0" t="s">
        <v>75</v>
      </c>
      <c r="F3362" s="0" t="s">
        <v>90</v>
      </c>
      <c r="G3362" s="0" t="s">
        <v>36</v>
      </c>
      <c r="H3362" s="0" t="n">
        <v>98</v>
      </c>
      <c r="I3362" s="0" t="s">
        <v>11227</v>
      </c>
      <c r="J3362" s="0" t="s">
        <v>11228</v>
      </c>
      <c r="K3362" s="0" t="s">
        <v>11229</v>
      </c>
      <c r="L3362" s="0" t="str">
        <f aca="false">HYPERLINK("https://www.ncbi.nlm.nih.gov/nuccore/CP000058.1?report=graph&amp;tracks=[key:gene_model_track,Options:GeneOnly]&amp;mk=1085975:1085994|offset_18|444444,1085943:1085962|offset_50|444444,1085923:1085942|offset_70|444444,1085895:1085914|offset_98|00cc00&amp;v=1085774:1086114&amp;c=444444", "offset 98")</f>
        <v>offset 98</v>
      </c>
    </row>
    <row r="3363" customFormat="false" ht="12.8" hidden="false" customHeight="false" outlineLevel="0" collapsed="false">
      <c r="A3363" s="0" t="s">
        <v>12</v>
      </c>
      <c r="B3363" s="0" t="n">
        <v>1086221</v>
      </c>
      <c r="C3363" s="0" t="n">
        <v>1086241</v>
      </c>
      <c r="D3363" s="0" t="s">
        <v>11230</v>
      </c>
      <c r="E3363" s="0" t="s">
        <v>75</v>
      </c>
      <c r="F3363" s="0" t="s">
        <v>15</v>
      </c>
      <c r="G3363" s="0" t="s">
        <v>20</v>
      </c>
      <c r="H3363" s="0" t="n">
        <v>21</v>
      </c>
      <c r="I3363" s="0" t="s">
        <v>11231</v>
      </c>
      <c r="J3363" s="0" t="s">
        <v>11232</v>
      </c>
      <c r="K3363" s="0" t="s">
        <v>11233</v>
      </c>
      <c r="L3363" s="0" t="str">
        <f aca="false">HYPERLINK("https://www.ncbi.nlm.nih.gov/nuccore/CP000058.1?report=graph&amp;tracks=[key:gene_model_track,Options:GeneOnly]&amp;mk=1086222:1086241|offset_21|00cc00,1086255:1086274|offset_54|444444,1086305:1086324|offset_104|444444,1086337:1086356|offset_136|444444&amp;v=1086021:1086556&amp;c=444444", "offset 21")</f>
        <v>offset 21</v>
      </c>
    </row>
    <row r="3364" customFormat="false" ht="12.8" hidden="false" customHeight="false" outlineLevel="0" collapsed="false">
      <c r="A3364" s="0" t="s">
        <v>12</v>
      </c>
      <c r="B3364" s="0" t="n">
        <v>1086254</v>
      </c>
      <c r="C3364" s="0" t="n">
        <v>1086274</v>
      </c>
      <c r="D3364" s="0" t="s">
        <v>11230</v>
      </c>
      <c r="E3364" s="0" t="s">
        <v>75</v>
      </c>
      <c r="F3364" s="0" t="s">
        <v>15</v>
      </c>
      <c r="G3364" s="0" t="s">
        <v>16</v>
      </c>
      <c r="H3364" s="0" t="n">
        <v>54</v>
      </c>
      <c r="I3364" s="0" t="s">
        <v>11234</v>
      </c>
      <c r="J3364" s="0" t="s">
        <v>11235</v>
      </c>
      <c r="K3364" s="0" t="s">
        <v>11236</v>
      </c>
      <c r="L3364" s="0" t="str">
        <f aca="false">HYPERLINK("https://www.ncbi.nlm.nih.gov/nuccore/CP000058.1?report=graph&amp;tracks=[key:gene_model_track,Options:GeneOnly]&amp;mk=1086222:1086241|offset_21|444444,1086255:1086274|offset_54|00cc00,1086305:1086324|offset_104|444444,1086337:1086356|offset_136|444444&amp;v=1086021:1086556&amp;c=444444", "offset 54")</f>
        <v>offset 54</v>
      </c>
    </row>
    <row r="3365" customFormat="false" ht="12.8" hidden="false" customHeight="false" outlineLevel="0" collapsed="false">
      <c r="A3365" s="0" t="s">
        <v>12</v>
      </c>
      <c r="B3365" s="0" t="n">
        <v>1086304</v>
      </c>
      <c r="C3365" s="0" t="n">
        <v>1086324</v>
      </c>
      <c r="D3365" s="0" t="s">
        <v>11230</v>
      </c>
      <c r="E3365" s="0" t="s">
        <v>75</v>
      </c>
      <c r="F3365" s="0" t="s">
        <v>15</v>
      </c>
      <c r="G3365" s="0" t="s">
        <v>20</v>
      </c>
      <c r="H3365" s="0" t="n">
        <v>104</v>
      </c>
      <c r="I3365" s="0" t="s">
        <v>11237</v>
      </c>
      <c r="J3365" s="0" t="s">
        <v>11238</v>
      </c>
      <c r="K3365" s="0" t="s">
        <v>11239</v>
      </c>
      <c r="L3365" s="0" t="str">
        <f aca="false">HYPERLINK("https://www.ncbi.nlm.nih.gov/nuccore/CP000058.1?report=graph&amp;tracks=[key:gene_model_track,Options:GeneOnly]&amp;mk=1086222:1086241|offset_21|444444,1086255:1086274|offset_54|444444,1086305:1086324|offset_104|00cc00,1086337:1086356|offset_136|444444&amp;v=1086021:1086556&amp;c=444444", "offset 104")</f>
        <v>offset 104</v>
      </c>
    </row>
    <row r="3366" customFormat="false" ht="12.8" hidden="false" customHeight="false" outlineLevel="0" collapsed="false">
      <c r="A3366" s="0" t="s">
        <v>12</v>
      </c>
      <c r="B3366" s="0" t="n">
        <v>1086336</v>
      </c>
      <c r="C3366" s="0" t="n">
        <v>1086356</v>
      </c>
      <c r="D3366" s="0" t="s">
        <v>11230</v>
      </c>
      <c r="E3366" s="0" t="s">
        <v>75</v>
      </c>
      <c r="F3366" s="0" t="s">
        <v>15</v>
      </c>
      <c r="G3366" s="0" t="s">
        <v>36</v>
      </c>
      <c r="H3366" s="0" t="n">
        <v>136</v>
      </c>
      <c r="I3366" s="0" t="s">
        <v>11240</v>
      </c>
      <c r="J3366" s="0" t="s">
        <v>11241</v>
      </c>
      <c r="K3366" s="0" t="s">
        <v>11242</v>
      </c>
      <c r="L3366" s="0" t="str">
        <f aca="false">HYPERLINK("https://www.ncbi.nlm.nih.gov/nuccore/CP000058.1?report=graph&amp;tracks=[key:gene_model_track,Options:GeneOnly]&amp;mk=1086222:1086241|offset_21|444444,1086255:1086274|offset_54|444444,1086305:1086324|offset_104|444444,1086337:1086356|offset_136|00cc00&amp;v=1086021:1086556&amp;c=444444", "offset 136")</f>
        <v>offset 136</v>
      </c>
    </row>
    <row r="3367" customFormat="false" ht="12.8" hidden="false" customHeight="false" outlineLevel="0" collapsed="false">
      <c r="A3367" s="0" t="s">
        <v>12</v>
      </c>
      <c r="B3367" s="0" t="n">
        <v>1086611</v>
      </c>
      <c r="C3367" s="0" t="n">
        <v>1086631</v>
      </c>
      <c r="D3367" s="0" t="s">
        <v>11243</v>
      </c>
      <c r="E3367" s="0" t="s">
        <v>11244</v>
      </c>
      <c r="F3367" s="0" t="s">
        <v>15</v>
      </c>
      <c r="G3367" s="0" t="s">
        <v>32</v>
      </c>
      <c r="H3367" s="0" t="n">
        <v>1</v>
      </c>
      <c r="I3367" s="0" t="s">
        <v>11245</v>
      </c>
      <c r="J3367" s="0" t="s">
        <v>11246</v>
      </c>
      <c r="K3367" s="0" t="s">
        <v>11247</v>
      </c>
      <c r="L3367" s="0" t="str">
        <f aca="false">HYPERLINK("https://www.ncbi.nlm.nih.gov/nuccore/CP000058.1?report=graph&amp;tracks=[key:gene_model_track,Options:GeneOnly]&amp;mk=1086612:1086631|offset_1|00cc00,1086652:1086671|offset_41|444444,1086705:1086724|offset_94|444444,1086738:1086757|offset_127|444444&amp;v=1086411:1086957&amp;c=444444", "offset 1")</f>
        <v>offset 1</v>
      </c>
    </row>
    <row r="3368" customFormat="false" ht="12.8" hidden="false" customHeight="false" outlineLevel="0" collapsed="false">
      <c r="A3368" s="0" t="s">
        <v>12</v>
      </c>
      <c r="B3368" s="0" t="n">
        <v>1086651</v>
      </c>
      <c r="C3368" s="0" t="n">
        <v>1086671</v>
      </c>
      <c r="D3368" s="0" t="s">
        <v>11243</v>
      </c>
      <c r="E3368" s="0" t="s">
        <v>11244</v>
      </c>
      <c r="F3368" s="0" t="s">
        <v>15</v>
      </c>
      <c r="G3368" s="0" t="s">
        <v>20</v>
      </c>
      <c r="H3368" s="0" t="n">
        <v>41</v>
      </c>
      <c r="I3368" s="0" t="s">
        <v>11248</v>
      </c>
      <c r="J3368" s="0" t="s">
        <v>11249</v>
      </c>
      <c r="K3368" s="0" t="s">
        <v>11250</v>
      </c>
      <c r="L3368" s="0" t="str">
        <f aca="false">HYPERLINK("https://www.ncbi.nlm.nih.gov/nuccore/CP000058.1?report=graph&amp;tracks=[key:gene_model_track,Options:GeneOnly]&amp;mk=1086612:1086631|offset_1|444444,1086652:1086671|offset_41|00cc00,1086705:1086724|offset_94|444444,1086738:1086757|offset_127|444444&amp;v=1086411:1086957&amp;c=444444", "offset 41")</f>
        <v>offset 41</v>
      </c>
    </row>
    <row r="3369" customFormat="false" ht="12.8" hidden="false" customHeight="false" outlineLevel="0" collapsed="false">
      <c r="A3369" s="0" t="s">
        <v>12</v>
      </c>
      <c r="B3369" s="0" t="n">
        <v>1086704</v>
      </c>
      <c r="C3369" s="0" t="n">
        <v>1086724</v>
      </c>
      <c r="D3369" s="0" t="s">
        <v>11243</v>
      </c>
      <c r="E3369" s="0" t="s">
        <v>11244</v>
      </c>
      <c r="F3369" s="0" t="s">
        <v>15</v>
      </c>
      <c r="G3369" s="0" t="s">
        <v>36</v>
      </c>
      <c r="H3369" s="0" t="n">
        <v>94</v>
      </c>
      <c r="I3369" s="0" t="s">
        <v>11251</v>
      </c>
      <c r="J3369" s="0" t="s">
        <v>11252</v>
      </c>
      <c r="K3369" s="0" t="s">
        <v>11253</v>
      </c>
      <c r="L3369" s="0" t="str">
        <f aca="false">HYPERLINK("https://www.ncbi.nlm.nih.gov/nuccore/CP000058.1?report=graph&amp;tracks=[key:gene_model_track,Options:GeneOnly]&amp;mk=1086612:1086631|offset_1|444444,1086652:1086671|offset_41|444444,1086705:1086724|offset_94|00cc00,1086738:1086757|offset_127|444444&amp;v=1086411:1086957&amp;c=444444", "offset 94")</f>
        <v>offset 94</v>
      </c>
    </row>
    <row r="3370" customFormat="false" ht="12.8" hidden="false" customHeight="false" outlineLevel="0" collapsed="false">
      <c r="A3370" s="0" t="s">
        <v>12</v>
      </c>
      <c r="B3370" s="0" t="n">
        <v>1086737</v>
      </c>
      <c r="C3370" s="0" t="n">
        <v>1086757</v>
      </c>
      <c r="D3370" s="0" t="s">
        <v>11243</v>
      </c>
      <c r="E3370" s="0" t="s">
        <v>11244</v>
      </c>
      <c r="F3370" s="0" t="s">
        <v>15</v>
      </c>
      <c r="G3370" s="0" t="s">
        <v>16</v>
      </c>
      <c r="H3370" s="0" t="n">
        <v>127</v>
      </c>
      <c r="I3370" s="0" t="s">
        <v>11254</v>
      </c>
      <c r="J3370" s="0" t="s">
        <v>11255</v>
      </c>
      <c r="K3370" s="0" t="s">
        <v>11256</v>
      </c>
      <c r="L3370" s="0" t="str">
        <f aca="false">HYPERLINK("https://www.ncbi.nlm.nih.gov/nuccore/CP000058.1?report=graph&amp;tracks=[key:gene_model_track,Options:GeneOnly]&amp;mk=1086612:1086631|offset_1|444444,1086652:1086671|offset_41|444444,1086705:1086724|offset_94|444444,1086738:1086757|offset_127|00cc00&amp;v=1086411:1086957&amp;c=444444", "offset 127")</f>
        <v>offset 127</v>
      </c>
    </row>
    <row r="3371" customFormat="false" ht="12.8" hidden="false" customHeight="false" outlineLevel="0" collapsed="false">
      <c r="A3371" s="0" t="s">
        <v>12</v>
      </c>
      <c r="B3371" s="0" t="n">
        <v>1087558</v>
      </c>
      <c r="C3371" s="0" t="n">
        <v>1087578</v>
      </c>
      <c r="D3371" s="0" t="s">
        <v>11257</v>
      </c>
      <c r="E3371" s="0" t="s">
        <v>75</v>
      </c>
      <c r="F3371" s="0" t="s">
        <v>15</v>
      </c>
      <c r="G3371" s="0" t="s">
        <v>32</v>
      </c>
      <c r="H3371" s="0" t="n">
        <v>34</v>
      </c>
      <c r="I3371" s="0" t="s">
        <v>11258</v>
      </c>
      <c r="J3371" s="0" t="s">
        <v>11259</v>
      </c>
      <c r="K3371" s="0" t="s">
        <v>11260</v>
      </c>
      <c r="L3371" s="0" t="str">
        <f aca="false">HYPERLINK("https://www.ncbi.nlm.nih.gov/nuccore/CP000058.1?report=graph&amp;tracks=[key:gene_model_track,Options:GeneOnly]&amp;mk=1087559:1087578|offset_34|00cc00,1087592:1087611|offset_67|444444,1087630:1087649|offset_105|444444,1087658:1087677|offset_133|444444&amp;v=1087358:1087877&amp;c=444444", "offset 34")</f>
        <v>offset 34</v>
      </c>
    </row>
    <row r="3372" customFormat="false" ht="12.8" hidden="false" customHeight="false" outlineLevel="0" collapsed="false">
      <c r="A3372" s="0" t="s">
        <v>12</v>
      </c>
      <c r="B3372" s="0" t="n">
        <v>1087591</v>
      </c>
      <c r="C3372" s="0" t="n">
        <v>1087611</v>
      </c>
      <c r="D3372" s="0" t="s">
        <v>11257</v>
      </c>
      <c r="E3372" s="0" t="s">
        <v>75</v>
      </c>
      <c r="F3372" s="0" t="s">
        <v>15</v>
      </c>
      <c r="G3372" s="0" t="s">
        <v>16</v>
      </c>
      <c r="H3372" s="0" t="n">
        <v>67</v>
      </c>
      <c r="I3372" s="0" t="s">
        <v>11261</v>
      </c>
      <c r="J3372" s="0" t="s">
        <v>11262</v>
      </c>
      <c r="K3372" s="0" t="s">
        <v>11263</v>
      </c>
      <c r="L3372" s="0" t="str">
        <f aca="false">HYPERLINK("https://www.ncbi.nlm.nih.gov/nuccore/CP000058.1?report=graph&amp;tracks=[key:gene_model_track,Options:GeneOnly]&amp;mk=1087559:1087578|offset_34|444444,1087592:1087611|offset_67|00cc00,1087630:1087649|offset_105|444444,1087658:1087677|offset_133|444444&amp;v=1087358:1087877&amp;c=444444", "offset 67")</f>
        <v>offset 67</v>
      </c>
    </row>
    <row r="3373" customFormat="false" ht="12.8" hidden="false" customHeight="false" outlineLevel="0" collapsed="false">
      <c r="A3373" s="0" t="s">
        <v>12</v>
      </c>
      <c r="B3373" s="0" t="n">
        <v>1087629</v>
      </c>
      <c r="C3373" s="0" t="n">
        <v>1087649</v>
      </c>
      <c r="D3373" s="0" t="s">
        <v>11257</v>
      </c>
      <c r="E3373" s="0" t="s">
        <v>75</v>
      </c>
      <c r="F3373" s="0" t="s">
        <v>15</v>
      </c>
      <c r="G3373" s="0" t="s">
        <v>16</v>
      </c>
      <c r="H3373" s="0" t="n">
        <v>105</v>
      </c>
      <c r="I3373" s="0" t="s">
        <v>11264</v>
      </c>
      <c r="J3373" s="0" t="s">
        <v>11265</v>
      </c>
      <c r="K3373" s="0" t="s">
        <v>11266</v>
      </c>
      <c r="L3373" s="0" t="str">
        <f aca="false">HYPERLINK("https://www.ncbi.nlm.nih.gov/nuccore/CP000058.1?report=graph&amp;tracks=[key:gene_model_track,Options:GeneOnly]&amp;mk=1087559:1087578|offset_34|444444,1087592:1087611|offset_67|444444,1087630:1087649|offset_105|00cc00,1087658:1087677|offset_133|444444&amp;v=1087358:1087877&amp;c=444444", "offset 105")</f>
        <v>offset 105</v>
      </c>
    </row>
    <row r="3374" customFormat="false" ht="12.8" hidden="false" customHeight="false" outlineLevel="0" collapsed="false">
      <c r="A3374" s="0" t="s">
        <v>12</v>
      </c>
      <c r="B3374" s="0" t="n">
        <v>1087657</v>
      </c>
      <c r="C3374" s="0" t="n">
        <v>1087677</v>
      </c>
      <c r="D3374" s="0" t="s">
        <v>11257</v>
      </c>
      <c r="E3374" s="0" t="s">
        <v>75</v>
      </c>
      <c r="F3374" s="0" t="s">
        <v>15</v>
      </c>
      <c r="G3374" s="0" t="s">
        <v>32</v>
      </c>
      <c r="H3374" s="0" t="n">
        <v>133</v>
      </c>
      <c r="I3374" s="0" t="s">
        <v>11267</v>
      </c>
      <c r="J3374" s="0" t="s">
        <v>11268</v>
      </c>
      <c r="K3374" s="0" t="s">
        <v>11269</v>
      </c>
      <c r="L3374" s="0" t="str">
        <f aca="false">HYPERLINK("https://www.ncbi.nlm.nih.gov/nuccore/CP000058.1?report=graph&amp;tracks=[key:gene_model_track,Options:GeneOnly]&amp;mk=1087559:1087578|offset_34|444444,1087592:1087611|offset_67|444444,1087630:1087649|offset_105|444444,1087658:1087677|offset_133|00cc00&amp;v=1087358:1087877&amp;c=444444", "offset 133")</f>
        <v>offset 133</v>
      </c>
    </row>
    <row r="3375" customFormat="false" ht="12.8" hidden="false" customHeight="false" outlineLevel="0" collapsed="false">
      <c r="A3375" s="0" t="s">
        <v>12</v>
      </c>
      <c r="B3375" s="0" t="n">
        <v>1089701</v>
      </c>
      <c r="C3375" s="0" t="n">
        <v>1089721</v>
      </c>
      <c r="D3375" s="0" t="s">
        <v>11270</v>
      </c>
      <c r="E3375" s="0" t="s">
        <v>75</v>
      </c>
      <c r="F3375" s="0" t="s">
        <v>15</v>
      </c>
      <c r="G3375" s="0" t="s">
        <v>32</v>
      </c>
      <c r="H3375" s="0" t="n">
        <v>1</v>
      </c>
      <c r="I3375" s="0" t="s">
        <v>11271</v>
      </c>
      <c r="J3375" s="0" t="s">
        <v>11272</v>
      </c>
      <c r="K3375" s="0" t="s">
        <v>11273</v>
      </c>
      <c r="L3375" s="0" t="str">
        <f aca="false">HYPERLINK("https://www.ncbi.nlm.nih.gov/nuccore/CP000058.1?report=graph&amp;tracks=[key:gene_model_track,Options:GeneOnly]&amp;mk=1089702:1089721|offset_1|00cc00,1089732:1089751|offset_31|444444,1089753:1089772|offset_52|444444,1089811:1089830|offset_110|444444&amp;v=1089501:1090030&amp;c=444444", "offset 1")</f>
        <v>offset 1</v>
      </c>
    </row>
    <row r="3376" customFormat="false" ht="12.8" hidden="false" customHeight="false" outlineLevel="0" collapsed="false">
      <c r="A3376" s="0" t="s">
        <v>12</v>
      </c>
      <c r="B3376" s="0" t="n">
        <v>1089731</v>
      </c>
      <c r="C3376" s="0" t="n">
        <v>1089751</v>
      </c>
      <c r="D3376" s="0" t="s">
        <v>11270</v>
      </c>
      <c r="E3376" s="0" t="s">
        <v>75</v>
      </c>
      <c r="F3376" s="0" t="s">
        <v>15</v>
      </c>
      <c r="G3376" s="0" t="s">
        <v>20</v>
      </c>
      <c r="H3376" s="0" t="n">
        <v>31</v>
      </c>
      <c r="I3376" s="0" t="s">
        <v>11274</v>
      </c>
      <c r="J3376" s="0" t="s">
        <v>11275</v>
      </c>
      <c r="K3376" s="0" t="s">
        <v>11276</v>
      </c>
      <c r="L3376" s="0" t="str">
        <f aca="false">HYPERLINK("https://www.ncbi.nlm.nih.gov/nuccore/CP000058.1?report=graph&amp;tracks=[key:gene_model_track,Options:GeneOnly]&amp;mk=1089702:1089721|offset_1|444444,1089732:1089751|offset_31|00cc00,1089753:1089772|offset_52|444444,1089811:1089830|offset_110|444444&amp;v=1089501:1090030&amp;c=444444", "offset 31")</f>
        <v>offset 31</v>
      </c>
    </row>
    <row r="3377" customFormat="false" ht="12.8" hidden="false" customHeight="false" outlineLevel="0" collapsed="false">
      <c r="A3377" s="0" t="s">
        <v>12</v>
      </c>
      <c r="B3377" s="0" t="n">
        <v>1089752</v>
      </c>
      <c r="C3377" s="0" t="n">
        <v>1089772</v>
      </c>
      <c r="D3377" s="0" t="s">
        <v>11270</v>
      </c>
      <c r="E3377" s="0" t="s">
        <v>75</v>
      </c>
      <c r="F3377" s="0" t="s">
        <v>15</v>
      </c>
      <c r="G3377" s="0" t="s">
        <v>32</v>
      </c>
      <c r="H3377" s="0" t="n">
        <v>52</v>
      </c>
      <c r="I3377" s="0" t="s">
        <v>11277</v>
      </c>
      <c r="J3377" s="0" t="s">
        <v>11278</v>
      </c>
      <c r="K3377" s="0" t="s">
        <v>11279</v>
      </c>
      <c r="L3377" s="0" t="str">
        <f aca="false">HYPERLINK("https://www.ncbi.nlm.nih.gov/nuccore/CP000058.1?report=graph&amp;tracks=[key:gene_model_track,Options:GeneOnly]&amp;mk=1089702:1089721|offset_1|444444,1089732:1089751|offset_31|444444,1089753:1089772|offset_52|00cc00,1089811:1089830|offset_110|444444&amp;v=1089501:1090030&amp;c=444444", "offset 52")</f>
        <v>offset 52</v>
      </c>
    </row>
    <row r="3378" customFormat="false" ht="12.8" hidden="false" customHeight="false" outlineLevel="0" collapsed="false">
      <c r="A3378" s="0" t="s">
        <v>12</v>
      </c>
      <c r="B3378" s="0" t="n">
        <v>1089810</v>
      </c>
      <c r="C3378" s="0" t="n">
        <v>1089830</v>
      </c>
      <c r="D3378" s="0" t="s">
        <v>11270</v>
      </c>
      <c r="E3378" s="0" t="s">
        <v>75</v>
      </c>
      <c r="F3378" s="0" t="s">
        <v>15</v>
      </c>
      <c r="G3378" s="0" t="s">
        <v>16</v>
      </c>
      <c r="H3378" s="0" t="n">
        <v>110</v>
      </c>
      <c r="I3378" s="0" t="s">
        <v>11280</v>
      </c>
      <c r="J3378" s="0" t="s">
        <v>11281</v>
      </c>
      <c r="K3378" s="0" t="s">
        <v>11282</v>
      </c>
      <c r="L3378" s="0" t="str">
        <f aca="false">HYPERLINK("https://www.ncbi.nlm.nih.gov/nuccore/CP000058.1?report=graph&amp;tracks=[key:gene_model_track,Options:GeneOnly]&amp;mk=1089702:1089721|offset_1|444444,1089732:1089751|offset_31|444444,1089753:1089772|offset_52|444444,1089811:1089830|offset_110|00cc00&amp;v=1089501:1090030&amp;c=444444", "offset 110")</f>
        <v>offset 110</v>
      </c>
    </row>
    <row r="3379" customFormat="false" ht="12.8" hidden="false" customHeight="false" outlineLevel="0" collapsed="false">
      <c r="A3379" s="0" t="s">
        <v>12</v>
      </c>
      <c r="B3379" s="0" t="n">
        <v>1090431</v>
      </c>
      <c r="C3379" s="0" t="n">
        <v>1090451</v>
      </c>
      <c r="D3379" s="0" t="s">
        <v>11283</v>
      </c>
      <c r="E3379" s="0" t="s">
        <v>75</v>
      </c>
      <c r="F3379" s="0" t="s">
        <v>15</v>
      </c>
      <c r="G3379" s="0" t="s">
        <v>32</v>
      </c>
      <c r="H3379" s="0" t="n">
        <v>18</v>
      </c>
      <c r="I3379" s="0" t="s">
        <v>11284</v>
      </c>
      <c r="J3379" s="0" t="s">
        <v>11285</v>
      </c>
      <c r="K3379" s="0" t="s">
        <v>11286</v>
      </c>
      <c r="L3379" s="0" t="str">
        <f aca="false">HYPERLINK("https://www.ncbi.nlm.nih.gov/nuccore/CP000058.1?report=graph&amp;tracks=[key:gene_model_track,Options:GeneOnly]&amp;mk=1090432:1090451|offset_18|00cc00,1090457:1090476|offset_43|444444,1090505:1090524|offset_91|444444,1090541:1090560|offset_127|444444&amp;v=1090231:1090760&amp;c=444444", "offset 18")</f>
        <v>offset 18</v>
      </c>
    </row>
    <row r="3380" customFormat="false" ht="12.8" hidden="false" customHeight="false" outlineLevel="0" collapsed="false">
      <c r="A3380" s="0" t="s">
        <v>12</v>
      </c>
      <c r="B3380" s="0" t="n">
        <v>1090456</v>
      </c>
      <c r="C3380" s="0" t="n">
        <v>1090476</v>
      </c>
      <c r="D3380" s="0" t="s">
        <v>11283</v>
      </c>
      <c r="E3380" s="0" t="s">
        <v>75</v>
      </c>
      <c r="F3380" s="0" t="s">
        <v>15</v>
      </c>
      <c r="G3380" s="0" t="s">
        <v>36</v>
      </c>
      <c r="H3380" s="0" t="n">
        <v>43</v>
      </c>
      <c r="I3380" s="0" t="s">
        <v>11287</v>
      </c>
      <c r="J3380" s="0" t="s">
        <v>11288</v>
      </c>
      <c r="K3380" s="0" t="s">
        <v>11289</v>
      </c>
      <c r="L3380" s="0" t="str">
        <f aca="false">HYPERLINK("https://www.ncbi.nlm.nih.gov/nuccore/CP000058.1?report=graph&amp;tracks=[key:gene_model_track,Options:GeneOnly]&amp;mk=1090432:1090451|offset_18|444444,1090457:1090476|offset_43|00cc00,1090505:1090524|offset_91|444444,1090541:1090560|offset_127|444444&amp;v=1090231:1090760&amp;c=444444", "offset 43")</f>
        <v>offset 43</v>
      </c>
    </row>
    <row r="3381" customFormat="false" ht="12.8" hidden="false" customHeight="false" outlineLevel="0" collapsed="false">
      <c r="A3381" s="0" t="s">
        <v>12</v>
      </c>
      <c r="B3381" s="0" t="n">
        <v>1090504</v>
      </c>
      <c r="C3381" s="0" t="n">
        <v>1090524</v>
      </c>
      <c r="D3381" s="0" t="s">
        <v>11283</v>
      </c>
      <c r="E3381" s="0" t="s">
        <v>75</v>
      </c>
      <c r="F3381" s="0" t="s">
        <v>15</v>
      </c>
      <c r="G3381" s="0" t="s">
        <v>16</v>
      </c>
      <c r="H3381" s="0" t="n">
        <v>91</v>
      </c>
      <c r="I3381" s="0" t="s">
        <v>11290</v>
      </c>
      <c r="J3381" s="0" t="s">
        <v>11291</v>
      </c>
      <c r="K3381" s="0" t="s">
        <v>11292</v>
      </c>
      <c r="L3381" s="0" t="str">
        <f aca="false">HYPERLINK("https://www.ncbi.nlm.nih.gov/nuccore/CP000058.1?report=graph&amp;tracks=[key:gene_model_track,Options:GeneOnly]&amp;mk=1090432:1090451|offset_18|444444,1090457:1090476|offset_43|444444,1090505:1090524|offset_91|00cc00,1090541:1090560|offset_127|444444&amp;v=1090231:1090760&amp;c=444444", "offset 91")</f>
        <v>offset 91</v>
      </c>
    </row>
    <row r="3382" customFormat="false" ht="12.8" hidden="false" customHeight="false" outlineLevel="0" collapsed="false">
      <c r="A3382" s="0" t="s">
        <v>12</v>
      </c>
      <c r="B3382" s="0" t="n">
        <v>1090540</v>
      </c>
      <c r="C3382" s="0" t="n">
        <v>1090560</v>
      </c>
      <c r="D3382" s="0" t="s">
        <v>11283</v>
      </c>
      <c r="E3382" s="0" t="s">
        <v>75</v>
      </c>
      <c r="F3382" s="0" t="s">
        <v>15</v>
      </c>
      <c r="G3382" s="0" t="s">
        <v>16</v>
      </c>
      <c r="H3382" s="0" t="n">
        <v>127</v>
      </c>
      <c r="I3382" s="0" t="s">
        <v>11293</v>
      </c>
      <c r="J3382" s="0" t="s">
        <v>11294</v>
      </c>
      <c r="K3382" s="0" t="s">
        <v>11295</v>
      </c>
      <c r="L3382" s="0" t="str">
        <f aca="false">HYPERLINK("https://www.ncbi.nlm.nih.gov/nuccore/CP000058.1?report=graph&amp;tracks=[key:gene_model_track,Options:GeneOnly]&amp;mk=1090432:1090451|offset_18|444444,1090457:1090476|offset_43|444444,1090505:1090524|offset_91|444444,1090541:1090560|offset_127|00cc00&amp;v=1090231:1090760&amp;c=444444", "offset 127")</f>
        <v>offset 127</v>
      </c>
    </row>
    <row r="3383" customFormat="false" ht="12.8" hidden="false" customHeight="false" outlineLevel="0" collapsed="false">
      <c r="A3383" s="0" t="s">
        <v>12</v>
      </c>
      <c r="B3383" s="0" t="n">
        <v>1093019</v>
      </c>
      <c r="C3383" s="0" t="n">
        <v>1093039</v>
      </c>
      <c r="D3383" s="0" t="s">
        <v>11296</v>
      </c>
      <c r="E3383" s="0" t="s">
        <v>75</v>
      </c>
      <c r="F3383" s="0" t="s">
        <v>15</v>
      </c>
      <c r="G3383" s="0" t="s">
        <v>16</v>
      </c>
      <c r="H3383" s="0" t="n">
        <v>69</v>
      </c>
      <c r="I3383" s="0" t="s">
        <v>11297</v>
      </c>
      <c r="J3383" s="0" t="s">
        <v>11298</v>
      </c>
      <c r="K3383" s="0" t="s">
        <v>11299</v>
      </c>
      <c r="L3383" s="0" t="str">
        <f aca="false">HYPERLINK("https://www.ncbi.nlm.nih.gov/nuccore/CP000058.1?report=graph&amp;tracks=[key:gene_model_track,Options:GeneOnly]&amp;mk=1093020:1093039|offset_69|00cc00,1093050:1093069|offset_99|444444,1093106:1093125|offset_155|444444,1093150:1093169|offset_199|444444&amp;v=1092819:1093369&amp;c=444444", "offset 69")</f>
        <v>offset 69</v>
      </c>
    </row>
    <row r="3384" customFormat="false" ht="12.8" hidden="false" customHeight="false" outlineLevel="0" collapsed="false">
      <c r="A3384" s="0" t="s">
        <v>12</v>
      </c>
      <c r="B3384" s="0" t="n">
        <v>1093049</v>
      </c>
      <c r="C3384" s="0" t="n">
        <v>1093069</v>
      </c>
      <c r="D3384" s="0" t="s">
        <v>11296</v>
      </c>
      <c r="E3384" s="0" t="s">
        <v>75</v>
      </c>
      <c r="F3384" s="0" t="s">
        <v>15</v>
      </c>
      <c r="G3384" s="0" t="s">
        <v>32</v>
      </c>
      <c r="H3384" s="0" t="n">
        <v>99</v>
      </c>
      <c r="I3384" s="0" t="s">
        <v>11300</v>
      </c>
      <c r="J3384" s="0" t="s">
        <v>11301</v>
      </c>
      <c r="K3384" s="0" t="s">
        <v>11302</v>
      </c>
      <c r="L3384" s="0" t="str">
        <f aca="false">HYPERLINK("https://www.ncbi.nlm.nih.gov/nuccore/CP000058.1?report=graph&amp;tracks=[key:gene_model_track,Options:GeneOnly]&amp;mk=1093020:1093039|offset_69|444444,1093050:1093069|offset_99|00cc00,1093106:1093125|offset_155|444444,1093150:1093169|offset_199|444444&amp;v=1092819:1093369&amp;c=444444", "offset 99")</f>
        <v>offset 99</v>
      </c>
    </row>
    <row r="3385" customFormat="false" ht="12.8" hidden="false" customHeight="false" outlineLevel="0" collapsed="false">
      <c r="A3385" s="0" t="s">
        <v>12</v>
      </c>
      <c r="B3385" s="0" t="n">
        <v>1093105</v>
      </c>
      <c r="C3385" s="0" t="n">
        <v>1093125</v>
      </c>
      <c r="D3385" s="0" t="s">
        <v>11296</v>
      </c>
      <c r="E3385" s="0" t="s">
        <v>75</v>
      </c>
      <c r="F3385" s="0" t="s">
        <v>15</v>
      </c>
      <c r="G3385" s="0" t="s">
        <v>20</v>
      </c>
      <c r="H3385" s="0" t="n">
        <v>155</v>
      </c>
      <c r="I3385" s="0" t="s">
        <v>11303</v>
      </c>
      <c r="J3385" s="0" t="s">
        <v>11304</v>
      </c>
      <c r="K3385" s="0" t="s">
        <v>11305</v>
      </c>
      <c r="L3385" s="0" t="str">
        <f aca="false">HYPERLINK("https://www.ncbi.nlm.nih.gov/nuccore/CP000058.1?report=graph&amp;tracks=[key:gene_model_track,Options:GeneOnly]&amp;mk=1093020:1093039|offset_69|444444,1093050:1093069|offset_99|444444,1093106:1093125|offset_155|00cc00,1093150:1093169|offset_199|444444&amp;v=1092819:1093369&amp;c=444444", "offset 155")</f>
        <v>offset 155</v>
      </c>
    </row>
    <row r="3386" customFormat="false" ht="12.8" hidden="false" customHeight="false" outlineLevel="0" collapsed="false">
      <c r="A3386" s="0" t="s">
        <v>12</v>
      </c>
      <c r="B3386" s="0" t="n">
        <v>1093149</v>
      </c>
      <c r="C3386" s="0" t="n">
        <v>1093169</v>
      </c>
      <c r="D3386" s="0" t="s">
        <v>11296</v>
      </c>
      <c r="E3386" s="0" t="s">
        <v>75</v>
      </c>
      <c r="F3386" s="0" t="s">
        <v>15</v>
      </c>
      <c r="G3386" s="0" t="s">
        <v>32</v>
      </c>
      <c r="H3386" s="0" t="n">
        <v>199</v>
      </c>
      <c r="I3386" s="0" t="s">
        <v>11306</v>
      </c>
      <c r="J3386" s="0" t="s">
        <v>11307</v>
      </c>
      <c r="K3386" s="0" t="s">
        <v>11308</v>
      </c>
      <c r="L3386" s="0" t="str">
        <f aca="false">HYPERLINK("https://www.ncbi.nlm.nih.gov/nuccore/CP000058.1?report=graph&amp;tracks=[key:gene_model_track,Options:GeneOnly]&amp;mk=1093020:1093039|offset_69|444444,1093050:1093069|offset_99|444444,1093106:1093125|offset_155|444444,1093150:1093169|offset_199|00cc00&amp;v=1092819:1093369&amp;c=444444", "offset 199")</f>
        <v>offset 199</v>
      </c>
    </row>
    <row r="3387" customFormat="false" ht="12.8" hidden="false" customHeight="false" outlineLevel="0" collapsed="false">
      <c r="A3387" s="0" t="s">
        <v>12</v>
      </c>
      <c r="B3387" s="0" t="n">
        <v>1093627</v>
      </c>
      <c r="C3387" s="0" t="n">
        <v>1093647</v>
      </c>
      <c r="D3387" s="0" t="s">
        <v>11309</v>
      </c>
      <c r="E3387" s="0" t="s">
        <v>75</v>
      </c>
      <c r="F3387" s="0" t="s">
        <v>15</v>
      </c>
      <c r="G3387" s="0" t="s">
        <v>32</v>
      </c>
      <c r="H3387" s="0" t="n">
        <v>21</v>
      </c>
      <c r="I3387" s="0" t="s">
        <v>11310</v>
      </c>
      <c r="J3387" s="0" t="s">
        <v>11311</v>
      </c>
      <c r="K3387" s="0" t="s">
        <v>11312</v>
      </c>
      <c r="L3387" s="0" t="str">
        <f aca="false">HYPERLINK("https://www.ncbi.nlm.nih.gov/nuccore/CP000058.1?report=graph&amp;tracks=[key:gene_model_track,Options:GeneOnly]&amp;mk=1093628:1093647|offset_21|00cc00,1093658:1093677|offset_51|444444,1093692:1093711|offset_85|444444,1093718:1093737|offset_111|444444&amp;v=1093427:1093937&amp;c=444444", "offset 21")</f>
        <v>offset 21</v>
      </c>
    </row>
    <row r="3388" customFormat="false" ht="12.8" hidden="false" customHeight="false" outlineLevel="0" collapsed="false">
      <c r="A3388" s="0" t="s">
        <v>12</v>
      </c>
      <c r="B3388" s="0" t="n">
        <v>1093657</v>
      </c>
      <c r="C3388" s="0" t="n">
        <v>1093677</v>
      </c>
      <c r="D3388" s="0" t="s">
        <v>11309</v>
      </c>
      <c r="E3388" s="0" t="s">
        <v>75</v>
      </c>
      <c r="F3388" s="0" t="s">
        <v>15</v>
      </c>
      <c r="G3388" s="0" t="s">
        <v>16</v>
      </c>
      <c r="H3388" s="0" t="n">
        <v>51</v>
      </c>
      <c r="I3388" s="0" t="s">
        <v>11313</v>
      </c>
      <c r="J3388" s="0" t="s">
        <v>11314</v>
      </c>
      <c r="K3388" s="0" t="s">
        <v>11315</v>
      </c>
      <c r="L3388" s="0" t="str">
        <f aca="false">HYPERLINK("https://www.ncbi.nlm.nih.gov/nuccore/CP000058.1?report=graph&amp;tracks=[key:gene_model_track,Options:GeneOnly]&amp;mk=1093628:1093647|offset_21|444444,1093658:1093677|offset_51|00cc00,1093692:1093711|offset_85|444444,1093718:1093737|offset_111|444444&amp;v=1093427:1093937&amp;c=444444", "offset 51")</f>
        <v>offset 51</v>
      </c>
    </row>
    <row r="3389" customFormat="false" ht="12.8" hidden="false" customHeight="false" outlineLevel="0" collapsed="false">
      <c r="A3389" s="0" t="s">
        <v>12</v>
      </c>
      <c r="B3389" s="0" t="n">
        <v>1093691</v>
      </c>
      <c r="C3389" s="0" t="n">
        <v>1093711</v>
      </c>
      <c r="D3389" s="0" t="s">
        <v>11309</v>
      </c>
      <c r="E3389" s="0" t="s">
        <v>75</v>
      </c>
      <c r="F3389" s="0" t="s">
        <v>15</v>
      </c>
      <c r="G3389" s="0" t="s">
        <v>16</v>
      </c>
      <c r="H3389" s="0" t="n">
        <v>85</v>
      </c>
      <c r="I3389" s="0" t="s">
        <v>11316</v>
      </c>
      <c r="J3389" s="0" t="s">
        <v>11317</v>
      </c>
      <c r="K3389" s="0" t="s">
        <v>11318</v>
      </c>
      <c r="L3389" s="0" t="str">
        <f aca="false">HYPERLINK("https://www.ncbi.nlm.nih.gov/nuccore/CP000058.1?report=graph&amp;tracks=[key:gene_model_track,Options:GeneOnly]&amp;mk=1093628:1093647|offset_21|444444,1093658:1093677|offset_51|444444,1093692:1093711|offset_85|00cc00,1093718:1093737|offset_111|444444&amp;v=1093427:1093937&amp;c=444444", "offset 85")</f>
        <v>offset 85</v>
      </c>
    </row>
    <row r="3390" customFormat="false" ht="12.8" hidden="false" customHeight="false" outlineLevel="0" collapsed="false">
      <c r="A3390" s="0" t="s">
        <v>12</v>
      </c>
      <c r="B3390" s="0" t="n">
        <v>1093717</v>
      </c>
      <c r="C3390" s="0" t="n">
        <v>1093737</v>
      </c>
      <c r="D3390" s="0" t="s">
        <v>11309</v>
      </c>
      <c r="E3390" s="0" t="s">
        <v>75</v>
      </c>
      <c r="F3390" s="0" t="s">
        <v>15</v>
      </c>
      <c r="G3390" s="0" t="s">
        <v>16</v>
      </c>
      <c r="H3390" s="0" t="n">
        <v>111</v>
      </c>
      <c r="I3390" s="0" t="s">
        <v>11319</v>
      </c>
      <c r="J3390" s="0" t="s">
        <v>11320</v>
      </c>
      <c r="K3390" s="0" t="s">
        <v>11321</v>
      </c>
      <c r="L3390" s="0" t="str">
        <f aca="false">HYPERLINK("https://www.ncbi.nlm.nih.gov/nuccore/CP000058.1?report=graph&amp;tracks=[key:gene_model_track,Options:GeneOnly]&amp;mk=1093628:1093647|offset_21|444444,1093658:1093677|offset_51|444444,1093692:1093711|offset_85|444444,1093718:1093737|offset_111|00cc00&amp;v=1093427:1093937&amp;c=444444", "offset 111")</f>
        <v>offset 111</v>
      </c>
    </row>
    <row r="3391" customFormat="false" ht="12.8" hidden="false" customHeight="false" outlineLevel="0" collapsed="false">
      <c r="A3391" s="0" t="s">
        <v>12</v>
      </c>
      <c r="B3391" s="0" t="n">
        <v>1097438</v>
      </c>
      <c r="C3391" s="0" t="n">
        <v>1097458</v>
      </c>
      <c r="D3391" s="0" t="s">
        <v>11322</v>
      </c>
      <c r="E3391" s="0" t="s">
        <v>75</v>
      </c>
      <c r="F3391" s="0" t="s">
        <v>90</v>
      </c>
      <c r="G3391" s="0" t="s">
        <v>16</v>
      </c>
      <c r="H3391" s="0" t="n">
        <v>6</v>
      </c>
      <c r="I3391" s="0" t="s">
        <v>11323</v>
      </c>
      <c r="J3391" s="0" t="s">
        <v>11324</v>
      </c>
      <c r="K3391" s="0" t="s">
        <v>11325</v>
      </c>
      <c r="L3391" s="0" t="str">
        <f aca="false">HYPERLINK("https://www.ncbi.nlm.nih.gov/nuccore/CP000058.1?report=graph&amp;tracks=[key:gene_model_track,Options:GeneOnly]&amp;mk=1097439:1097458|offset_6|00cc00,1097418:1097437|offset_27|444444,1097395:1097414|offset_50|444444,1097371:1097390|offset_74|444444&amp;v=1097238:1097590&amp;c=444444", "offset 6")</f>
        <v>offset 6</v>
      </c>
    </row>
    <row r="3392" customFormat="false" ht="12.8" hidden="false" customHeight="false" outlineLevel="0" collapsed="false">
      <c r="A3392" s="0" t="s">
        <v>12</v>
      </c>
      <c r="B3392" s="0" t="n">
        <v>1097417</v>
      </c>
      <c r="C3392" s="0" t="n">
        <v>1097437</v>
      </c>
      <c r="D3392" s="0" t="s">
        <v>11322</v>
      </c>
      <c r="E3392" s="0" t="s">
        <v>75</v>
      </c>
      <c r="F3392" s="0" t="s">
        <v>90</v>
      </c>
      <c r="G3392" s="0" t="s">
        <v>32</v>
      </c>
      <c r="H3392" s="0" t="n">
        <v>27</v>
      </c>
      <c r="I3392" s="0" t="s">
        <v>11326</v>
      </c>
      <c r="J3392" s="0" t="s">
        <v>11327</v>
      </c>
      <c r="K3392" s="0" t="s">
        <v>11328</v>
      </c>
      <c r="L3392" s="0" t="str">
        <f aca="false">HYPERLINK("https://www.ncbi.nlm.nih.gov/nuccore/CP000058.1?report=graph&amp;tracks=[key:gene_model_track,Options:GeneOnly]&amp;mk=1097439:1097458|offset_6|444444,1097418:1097437|offset_27|00cc00,1097395:1097414|offset_50|444444,1097371:1097390|offset_74|444444&amp;v=1097238:1097590&amp;c=444444", "offset 27")</f>
        <v>offset 27</v>
      </c>
    </row>
    <row r="3393" customFormat="false" ht="12.8" hidden="false" customHeight="false" outlineLevel="0" collapsed="false">
      <c r="A3393" s="0" t="s">
        <v>12</v>
      </c>
      <c r="B3393" s="0" t="n">
        <v>1097394</v>
      </c>
      <c r="C3393" s="0" t="n">
        <v>1097414</v>
      </c>
      <c r="D3393" s="0" t="s">
        <v>11322</v>
      </c>
      <c r="E3393" s="0" t="s">
        <v>75</v>
      </c>
      <c r="F3393" s="0" t="s">
        <v>90</v>
      </c>
      <c r="G3393" s="0" t="s">
        <v>32</v>
      </c>
      <c r="H3393" s="0" t="n">
        <v>50</v>
      </c>
      <c r="I3393" s="0" t="s">
        <v>11329</v>
      </c>
      <c r="J3393" s="0" t="s">
        <v>11330</v>
      </c>
      <c r="K3393" s="0" t="s">
        <v>11331</v>
      </c>
      <c r="L3393" s="0" t="str">
        <f aca="false">HYPERLINK("https://www.ncbi.nlm.nih.gov/nuccore/CP000058.1?report=graph&amp;tracks=[key:gene_model_track,Options:GeneOnly]&amp;mk=1097439:1097458|offset_6|444444,1097418:1097437|offset_27|444444,1097395:1097414|offset_50|00cc00,1097371:1097390|offset_74|444444&amp;v=1097238:1097590&amp;c=444444", "offset 50")</f>
        <v>offset 50</v>
      </c>
    </row>
    <row r="3394" customFormat="false" ht="12.8" hidden="false" customHeight="false" outlineLevel="0" collapsed="false">
      <c r="A3394" s="0" t="s">
        <v>12</v>
      </c>
      <c r="B3394" s="0" t="n">
        <v>1097370</v>
      </c>
      <c r="C3394" s="0" t="n">
        <v>1097390</v>
      </c>
      <c r="D3394" s="0" t="s">
        <v>11322</v>
      </c>
      <c r="E3394" s="0" t="s">
        <v>75</v>
      </c>
      <c r="F3394" s="0" t="s">
        <v>90</v>
      </c>
      <c r="G3394" s="0" t="s">
        <v>36</v>
      </c>
      <c r="H3394" s="0" t="n">
        <v>74</v>
      </c>
      <c r="I3394" s="0" t="s">
        <v>11332</v>
      </c>
      <c r="J3394" s="0" t="s">
        <v>11333</v>
      </c>
      <c r="K3394" s="0" t="s">
        <v>11334</v>
      </c>
      <c r="L3394" s="0" t="str">
        <f aca="false">HYPERLINK("https://www.ncbi.nlm.nih.gov/nuccore/CP000058.1?report=graph&amp;tracks=[key:gene_model_track,Options:GeneOnly]&amp;mk=1097439:1097458|offset_6|444444,1097418:1097437|offset_27|444444,1097395:1097414|offset_50|444444,1097371:1097390|offset_74|00cc00&amp;v=1097238:1097590&amp;c=444444", "offset 74")</f>
        <v>offset 74</v>
      </c>
    </row>
    <row r="3395" customFormat="false" ht="12.8" hidden="false" customHeight="false" outlineLevel="0" collapsed="false">
      <c r="A3395" s="0" t="s">
        <v>12</v>
      </c>
      <c r="B3395" s="0" t="n">
        <v>1098142</v>
      </c>
      <c r="C3395" s="0" t="n">
        <v>1098162</v>
      </c>
      <c r="D3395" s="0" t="s">
        <v>11335</v>
      </c>
      <c r="E3395" s="0" t="s">
        <v>75</v>
      </c>
      <c r="F3395" s="0" t="s">
        <v>90</v>
      </c>
      <c r="G3395" s="0" t="s">
        <v>32</v>
      </c>
      <c r="H3395" s="0" t="n">
        <v>67</v>
      </c>
      <c r="I3395" s="0" t="s">
        <v>11336</v>
      </c>
      <c r="J3395" s="0" t="s">
        <v>11337</v>
      </c>
      <c r="K3395" s="0" t="s">
        <v>11338</v>
      </c>
      <c r="L3395" s="0" t="str">
        <f aca="false">HYPERLINK("https://www.ncbi.nlm.nih.gov/nuccore/CP000058.1?report=graph&amp;tracks=[key:gene_model_track,Options:GeneOnly]&amp;mk=1098143:1098162|offset_67|00cc00,1098104:1098123|offset_106|444444,1098049:1098068|offset_161|444444,1098029:1098048|offset_181|444444&amp;v=1097942:1098248&amp;c=444444", "offset 67")</f>
        <v>offset 67</v>
      </c>
    </row>
    <row r="3396" customFormat="false" ht="12.8" hidden="false" customHeight="false" outlineLevel="0" collapsed="false">
      <c r="A3396" s="0" t="s">
        <v>12</v>
      </c>
      <c r="B3396" s="0" t="n">
        <v>1098103</v>
      </c>
      <c r="C3396" s="0" t="n">
        <v>1098123</v>
      </c>
      <c r="D3396" s="0" t="s">
        <v>11335</v>
      </c>
      <c r="E3396" s="0" t="s">
        <v>75</v>
      </c>
      <c r="F3396" s="0" t="s">
        <v>90</v>
      </c>
      <c r="G3396" s="0" t="s">
        <v>20</v>
      </c>
      <c r="H3396" s="0" t="n">
        <v>106</v>
      </c>
      <c r="I3396" s="0" t="s">
        <v>11339</v>
      </c>
      <c r="J3396" s="0" t="s">
        <v>11340</v>
      </c>
      <c r="K3396" s="0" t="s">
        <v>11341</v>
      </c>
      <c r="L3396" s="0" t="str">
        <f aca="false">HYPERLINK("https://www.ncbi.nlm.nih.gov/nuccore/CP000058.1?report=graph&amp;tracks=[key:gene_model_track,Options:GeneOnly]&amp;mk=1098143:1098162|offset_67|444444,1098104:1098123|offset_106|00cc00,1098049:1098068|offset_161|444444,1098029:1098048|offset_181|444444&amp;v=1097942:1098248&amp;c=444444", "offset 106")</f>
        <v>offset 106</v>
      </c>
    </row>
    <row r="3397" customFormat="false" ht="12.8" hidden="false" customHeight="false" outlineLevel="0" collapsed="false">
      <c r="A3397" s="0" t="s">
        <v>12</v>
      </c>
      <c r="B3397" s="0" t="n">
        <v>1098048</v>
      </c>
      <c r="C3397" s="0" t="n">
        <v>1098068</v>
      </c>
      <c r="D3397" s="0" t="s">
        <v>11335</v>
      </c>
      <c r="E3397" s="0" t="s">
        <v>75</v>
      </c>
      <c r="F3397" s="0" t="s">
        <v>90</v>
      </c>
      <c r="G3397" s="0" t="s">
        <v>20</v>
      </c>
      <c r="H3397" s="0" t="n">
        <v>161</v>
      </c>
      <c r="I3397" s="0" t="s">
        <v>11342</v>
      </c>
      <c r="J3397" s="0" t="s">
        <v>11343</v>
      </c>
      <c r="K3397" s="0" t="s">
        <v>11344</v>
      </c>
      <c r="L3397" s="0" t="str">
        <f aca="false">HYPERLINK("https://www.ncbi.nlm.nih.gov/nuccore/CP000058.1?report=graph&amp;tracks=[key:gene_model_track,Options:GeneOnly]&amp;mk=1098143:1098162|offset_67|444444,1098104:1098123|offset_106|444444,1098049:1098068|offset_161|00cc00,1098029:1098048|offset_181|444444&amp;v=1097942:1098248&amp;c=444444", "offset 161")</f>
        <v>offset 161</v>
      </c>
    </row>
    <row r="3398" customFormat="false" ht="12.8" hidden="false" customHeight="false" outlineLevel="0" collapsed="false">
      <c r="A3398" s="0" t="s">
        <v>12</v>
      </c>
      <c r="B3398" s="0" t="n">
        <v>1098028</v>
      </c>
      <c r="C3398" s="0" t="n">
        <v>1098048</v>
      </c>
      <c r="D3398" s="0" t="s">
        <v>11335</v>
      </c>
      <c r="E3398" s="0" t="s">
        <v>75</v>
      </c>
      <c r="F3398" s="0" t="s">
        <v>90</v>
      </c>
      <c r="G3398" s="0" t="s">
        <v>36</v>
      </c>
      <c r="H3398" s="0" t="n">
        <v>181</v>
      </c>
      <c r="I3398" s="0" t="s">
        <v>11345</v>
      </c>
      <c r="J3398" s="0" t="s">
        <v>11346</v>
      </c>
      <c r="K3398" s="0" t="s">
        <v>11347</v>
      </c>
      <c r="L3398" s="0" t="str">
        <f aca="false">HYPERLINK("https://www.ncbi.nlm.nih.gov/nuccore/CP000058.1?report=graph&amp;tracks=[key:gene_model_track,Options:GeneOnly]&amp;mk=1098143:1098162|offset_67|444444,1098104:1098123|offset_106|444444,1098049:1098068|offset_161|444444,1098029:1098048|offset_181|00cc00&amp;v=1097942:1098248&amp;c=444444", "offset 181")</f>
        <v>offset 181</v>
      </c>
    </row>
    <row r="3399" customFormat="false" ht="12.8" hidden="false" customHeight="false" outlineLevel="0" collapsed="false">
      <c r="A3399" s="0" t="s">
        <v>12</v>
      </c>
      <c r="B3399" s="0" t="n">
        <v>1098654</v>
      </c>
      <c r="C3399" s="0" t="n">
        <v>1098674</v>
      </c>
      <c r="D3399" s="0" t="s">
        <v>11348</v>
      </c>
      <c r="E3399" s="0" t="s">
        <v>75</v>
      </c>
      <c r="F3399" s="0" t="s">
        <v>90</v>
      </c>
      <c r="G3399" s="0" t="s">
        <v>32</v>
      </c>
      <c r="H3399" s="0" t="n">
        <v>1</v>
      </c>
      <c r="I3399" s="0" t="s">
        <v>11349</v>
      </c>
      <c r="J3399" s="0" t="s">
        <v>11350</v>
      </c>
      <c r="K3399" s="0" t="s">
        <v>11351</v>
      </c>
      <c r="L3399" s="0" t="str">
        <f aca="false">HYPERLINK("https://www.ncbi.nlm.nih.gov/nuccore/CP000058.1?report=graph&amp;tracks=[key:gene_model_track,Options:GeneOnly]&amp;mk=1098655:1098674|offset_1|00cc00,1098626:1098645|offset_30|444444,1098577:1098596|offset_79|444444,1098536:1098555|offset_120|444444&amp;v=1098454:1098755&amp;c=444444", "offset 1")</f>
        <v>offset 1</v>
      </c>
    </row>
    <row r="3400" customFormat="false" ht="12.8" hidden="false" customHeight="false" outlineLevel="0" collapsed="false">
      <c r="A3400" s="0" t="s">
        <v>12</v>
      </c>
      <c r="B3400" s="0" t="n">
        <v>1098625</v>
      </c>
      <c r="C3400" s="0" t="n">
        <v>1098645</v>
      </c>
      <c r="D3400" s="0" t="s">
        <v>11348</v>
      </c>
      <c r="E3400" s="0" t="s">
        <v>75</v>
      </c>
      <c r="F3400" s="0" t="s">
        <v>90</v>
      </c>
      <c r="G3400" s="0" t="s">
        <v>16</v>
      </c>
      <c r="H3400" s="0" t="n">
        <v>30</v>
      </c>
      <c r="I3400" s="0" t="s">
        <v>11352</v>
      </c>
      <c r="J3400" s="0" t="s">
        <v>11353</v>
      </c>
      <c r="K3400" s="0" t="s">
        <v>11354</v>
      </c>
      <c r="L3400" s="0" t="str">
        <f aca="false">HYPERLINK("https://www.ncbi.nlm.nih.gov/nuccore/CP000058.1?report=graph&amp;tracks=[key:gene_model_track,Options:GeneOnly]&amp;mk=1098655:1098674|offset_1|444444,1098626:1098645|offset_30|00cc00,1098577:1098596|offset_79|444444,1098536:1098555|offset_120|444444&amp;v=1098454:1098755&amp;c=444444", "offset 30")</f>
        <v>offset 30</v>
      </c>
    </row>
    <row r="3401" customFormat="false" ht="12.8" hidden="false" customHeight="false" outlineLevel="0" collapsed="false">
      <c r="A3401" s="0" t="s">
        <v>12</v>
      </c>
      <c r="B3401" s="0" t="n">
        <v>1098576</v>
      </c>
      <c r="C3401" s="0" t="n">
        <v>1098596</v>
      </c>
      <c r="D3401" s="0" t="s">
        <v>11348</v>
      </c>
      <c r="E3401" s="0" t="s">
        <v>75</v>
      </c>
      <c r="F3401" s="0" t="s">
        <v>90</v>
      </c>
      <c r="G3401" s="0" t="s">
        <v>36</v>
      </c>
      <c r="H3401" s="0" t="n">
        <v>79</v>
      </c>
      <c r="I3401" s="0" t="s">
        <v>11355</v>
      </c>
      <c r="J3401" s="0" t="s">
        <v>11356</v>
      </c>
      <c r="K3401" s="0" t="s">
        <v>11357</v>
      </c>
      <c r="L3401" s="0" t="str">
        <f aca="false">HYPERLINK("https://www.ncbi.nlm.nih.gov/nuccore/CP000058.1?report=graph&amp;tracks=[key:gene_model_track,Options:GeneOnly]&amp;mk=1098655:1098674|offset_1|444444,1098626:1098645|offset_30|444444,1098577:1098596|offset_79|00cc00,1098536:1098555|offset_120|444444&amp;v=1098454:1098755&amp;c=444444", "offset 79")</f>
        <v>offset 79</v>
      </c>
    </row>
    <row r="3402" customFormat="false" ht="12.8" hidden="false" customHeight="false" outlineLevel="0" collapsed="false">
      <c r="A3402" s="0" t="s">
        <v>12</v>
      </c>
      <c r="B3402" s="0" t="n">
        <v>1098535</v>
      </c>
      <c r="C3402" s="0" t="n">
        <v>1098555</v>
      </c>
      <c r="D3402" s="0" t="s">
        <v>11348</v>
      </c>
      <c r="E3402" s="0" t="s">
        <v>75</v>
      </c>
      <c r="F3402" s="0" t="s">
        <v>90</v>
      </c>
      <c r="G3402" s="0" t="s">
        <v>16</v>
      </c>
      <c r="H3402" s="0" t="n">
        <v>120</v>
      </c>
      <c r="I3402" s="0" t="s">
        <v>11358</v>
      </c>
      <c r="J3402" s="0" t="s">
        <v>11359</v>
      </c>
      <c r="K3402" s="0" t="s">
        <v>11360</v>
      </c>
      <c r="L3402" s="0" t="str">
        <f aca="false">HYPERLINK("https://www.ncbi.nlm.nih.gov/nuccore/CP000058.1?report=graph&amp;tracks=[key:gene_model_track,Options:GeneOnly]&amp;mk=1098655:1098674|offset_1|444444,1098626:1098645|offset_30|444444,1098577:1098596|offset_79|444444,1098536:1098555|offset_120|00cc00&amp;v=1098454:1098755&amp;c=444444", "offset 120")</f>
        <v>offset 120</v>
      </c>
    </row>
    <row r="3403" customFormat="false" ht="12.8" hidden="false" customHeight="false" outlineLevel="0" collapsed="false">
      <c r="A3403" s="0" t="s">
        <v>12</v>
      </c>
      <c r="B3403" s="0" t="n">
        <v>1098949</v>
      </c>
      <c r="C3403" s="0" t="n">
        <v>1098969</v>
      </c>
      <c r="D3403" s="0" t="s">
        <v>11361</v>
      </c>
      <c r="E3403" s="0" t="s">
        <v>75</v>
      </c>
      <c r="F3403" s="0" t="s">
        <v>15</v>
      </c>
      <c r="G3403" s="0" t="s">
        <v>32</v>
      </c>
      <c r="H3403" s="0" t="n">
        <v>7</v>
      </c>
      <c r="I3403" s="0" t="s">
        <v>11362</v>
      </c>
      <c r="J3403" s="0" t="s">
        <v>11363</v>
      </c>
      <c r="K3403" s="0" t="s">
        <v>11364</v>
      </c>
      <c r="L3403" s="0" t="str">
        <f aca="false">HYPERLINK("https://www.ncbi.nlm.nih.gov/nuccore/CP000058.1?report=graph&amp;tracks=[key:gene_model_track,Options:GeneOnly]&amp;mk=1098950:1098969|offset_7|00cc00,1099010:1099029|offset_67|444444,1099049:1099068|offset_106|444444,1099077:1099096|offset_134|444444&amp;v=1098749:1099296&amp;c=444444", "offset 7")</f>
        <v>offset 7</v>
      </c>
    </row>
    <row r="3404" customFormat="false" ht="12.8" hidden="false" customHeight="false" outlineLevel="0" collapsed="false">
      <c r="A3404" s="0" t="s">
        <v>12</v>
      </c>
      <c r="B3404" s="0" t="n">
        <v>1099009</v>
      </c>
      <c r="C3404" s="0" t="n">
        <v>1099029</v>
      </c>
      <c r="D3404" s="0" t="s">
        <v>11361</v>
      </c>
      <c r="E3404" s="0" t="s">
        <v>75</v>
      </c>
      <c r="F3404" s="0" t="s">
        <v>15</v>
      </c>
      <c r="G3404" s="0" t="s">
        <v>36</v>
      </c>
      <c r="H3404" s="0" t="n">
        <v>67</v>
      </c>
      <c r="I3404" s="0" t="s">
        <v>11365</v>
      </c>
      <c r="J3404" s="0" t="s">
        <v>11366</v>
      </c>
      <c r="K3404" s="0" t="s">
        <v>11367</v>
      </c>
      <c r="L3404" s="0" t="str">
        <f aca="false">HYPERLINK("https://www.ncbi.nlm.nih.gov/nuccore/CP000058.1?report=graph&amp;tracks=[key:gene_model_track,Options:GeneOnly]&amp;mk=1098950:1098969|offset_7|444444,1099010:1099029|offset_67|00cc00,1099049:1099068|offset_106|444444,1099077:1099096|offset_134|444444&amp;v=1098749:1099296&amp;c=444444", "offset 67")</f>
        <v>offset 67</v>
      </c>
    </row>
    <row r="3405" customFormat="false" ht="12.8" hidden="false" customHeight="false" outlineLevel="0" collapsed="false">
      <c r="A3405" s="0" t="s">
        <v>12</v>
      </c>
      <c r="B3405" s="0" t="n">
        <v>1099048</v>
      </c>
      <c r="C3405" s="0" t="n">
        <v>1099068</v>
      </c>
      <c r="D3405" s="0" t="s">
        <v>11361</v>
      </c>
      <c r="E3405" s="0" t="s">
        <v>75</v>
      </c>
      <c r="F3405" s="0" t="s">
        <v>15</v>
      </c>
      <c r="G3405" s="0" t="s">
        <v>36</v>
      </c>
      <c r="H3405" s="0" t="n">
        <v>106</v>
      </c>
      <c r="I3405" s="0" t="s">
        <v>11368</v>
      </c>
      <c r="J3405" s="0" t="s">
        <v>11369</v>
      </c>
      <c r="K3405" s="0" t="s">
        <v>11370</v>
      </c>
      <c r="L3405" s="0" t="str">
        <f aca="false">HYPERLINK("https://www.ncbi.nlm.nih.gov/nuccore/CP000058.1?report=graph&amp;tracks=[key:gene_model_track,Options:GeneOnly]&amp;mk=1098950:1098969|offset_7|444444,1099010:1099029|offset_67|444444,1099049:1099068|offset_106|00cc00,1099077:1099096|offset_134|444444&amp;v=1098749:1099296&amp;c=444444", "offset 106")</f>
        <v>offset 106</v>
      </c>
    </row>
    <row r="3406" customFormat="false" ht="12.8" hidden="false" customHeight="false" outlineLevel="0" collapsed="false">
      <c r="A3406" s="0" t="s">
        <v>12</v>
      </c>
      <c r="B3406" s="0" t="n">
        <v>1099076</v>
      </c>
      <c r="C3406" s="0" t="n">
        <v>1099096</v>
      </c>
      <c r="D3406" s="0" t="s">
        <v>11361</v>
      </c>
      <c r="E3406" s="0" t="s">
        <v>75</v>
      </c>
      <c r="F3406" s="0" t="s">
        <v>15</v>
      </c>
      <c r="G3406" s="0" t="s">
        <v>16</v>
      </c>
      <c r="H3406" s="0" t="n">
        <v>134</v>
      </c>
      <c r="I3406" s="0" t="s">
        <v>11371</v>
      </c>
      <c r="J3406" s="0" t="s">
        <v>11372</v>
      </c>
      <c r="K3406" s="0" t="s">
        <v>11373</v>
      </c>
      <c r="L3406" s="0" t="str">
        <f aca="false">HYPERLINK("https://www.ncbi.nlm.nih.gov/nuccore/CP000058.1?report=graph&amp;tracks=[key:gene_model_track,Options:GeneOnly]&amp;mk=1098950:1098969|offset_7|444444,1099010:1099029|offset_67|444444,1099049:1099068|offset_106|444444,1099077:1099096|offset_134|00cc00&amp;v=1098749:1099296&amp;c=444444", "offset 134")</f>
        <v>offset 134</v>
      </c>
    </row>
    <row r="3407" customFormat="false" ht="12.8" hidden="false" customHeight="false" outlineLevel="0" collapsed="false">
      <c r="A3407" s="0" t="s">
        <v>12</v>
      </c>
      <c r="B3407" s="0" t="n">
        <v>1099950</v>
      </c>
      <c r="C3407" s="0" t="n">
        <v>1099970</v>
      </c>
      <c r="D3407" s="0" t="s">
        <v>11374</v>
      </c>
      <c r="E3407" s="0" t="s">
        <v>75</v>
      </c>
      <c r="F3407" s="0" t="s">
        <v>15</v>
      </c>
      <c r="G3407" s="0" t="s">
        <v>36</v>
      </c>
      <c r="H3407" s="0" t="n">
        <v>0</v>
      </c>
      <c r="I3407" s="0" t="s">
        <v>11375</v>
      </c>
      <c r="J3407" s="0" t="s">
        <v>11376</v>
      </c>
      <c r="K3407" s="0" t="s">
        <v>11377</v>
      </c>
      <c r="L3407" s="0" t="str">
        <f aca="false">HYPERLINK("https://www.ncbi.nlm.nih.gov/nuccore/CP000058.1?report=graph&amp;tracks=[key:gene_model_track,Options:GeneOnly]&amp;mk=1099951:1099970|offset_0|00cc00,1099983:1100002|offset_32|444444,1100037:1100056|offset_86|444444,1100079:1100098|offset_128|444444&amp;v=1099750:1100298&amp;c=444444", "offset 0")</f>
        <v>offset 0</v>
      </c>
    </row>
    <row r="3408" customFormat="false" ht="12.8" hidden="false" customHeight="false" outlineLevel="0" collapsed="false">
      <c r="A3408" s="0" t="s">
        <v>12</v>
      </c>
      <c r="B3408" s="0" t="n">
        <v>1099982</v>
      </c>
      <c r="C3408" s="0" t="n">
        <v>1100002</v>
      </c>
      <c r="D3408" s="0" t="s">
        <v>11374</v>
      </c>
      <c r="E3408" s="0" t="s">
        <v>75</v>
      </c>
      <c r="F3408" s="0" t="s">
        <v>15</v>
      </c>
      <c r="G3408" s="0" t="s">
        <v>32</v>
      </c>
      <c r="H3408" s="0" t="n">
        <v>32</v>
      </c>
      <c r="I3408" s="0" t="s">
        <v>11378</v>
      </c>
      <c r="J3408" s="0" t="s">
        <v>11379</v>
      </c>
      <c r="K3408" s="0" t="s">
        <v>11380</v>
      </c>
      <c r="L3408" s="0" t="str">
        <f aca="false">HYPERLINK("https://www.ncbi.nlm.nih.gov/nuccore/CP000058.1?report=graph&amp;tracks=[key:gene_model_track,Options:GeneOnly]&amp;mk=1099951:1099970|offset_0|444444,1099983:1100002|offset_32|00cc00,1100037:1100056|offset_86|444444,1100079:1100098|offset_128|444444&amp;v=1099750:1100298&amp;c=444444", "offset 32")</f>
        <v>offset 32</v>
      </c>
    </row>
    <row r="3409" customFormat="false" ht="12.8" hidden="false" customHeight="false" outlineLevel="0" collapsed="false">
      <c r="A3409" s="0" t="s">
        <v>12</v>
      </c>
      <c r="B3409" s="0" t="n">
        <v>1100036</v>
      </c>
      <c r="C3409" s="0" t="n">
        <v>1100056</v>
      </c>
      <c r="D3409" s="0" t="s">
        <v>11374</v>
      </c>
      <c r="E3409" s="0" t="s">
        <v>75</v>
      </c>
      <c r="F3409" s="0" t="s">
        <v>15</v>
      </c>
      <c r="G3409" s="0" t="s">
        <v>20</v>
      </c>
      <c r="H3409" s="0" t="n">
        <v>86</v>
      </c>
      <c r="I3409" s="0" t="s">
        <v>11381</v>
      </c>
      <c r="J3409" s="0" t="s">
        <v>11382</v>
      </c>
      <c r="K3409" s="0" t="s">
        <v>11383</v>
      </c>
      <c r="L3409" s="0" t="str">
        <f aca="false">HYPERLINK("https://www.ncbi.nlm.nih.gov/nuccore/CP000058.1?report=graph&amp;tracks=[key:gene_model_track,Options:GeneOnly]&amp;mk=1099951:1099970|offset_0|444444,1099983:1100002|offset_32|444444,1100037:1100056|offset_86|00cc00,1100079:1100098|offset_128|444444&amp;v=1099750:1100298&amp;c=444444", "offset 86")</f>
        <v>offset 86</v>
      </c>
    </row>
    <row r="3410" customFormat="false" ht="12.8" hidden="false" customHeight="false" outlineLevel="0" collapsed="false">
      <c r="A3410" s="0" t="s">
        <v>12</v>
      </c>
      <c r="B3410" s="0" t="n">
        <v>1100078</v>
      </c>
      <c r="C3410" s="0" t="n">
        <v>1100098</v>
      </c>
      <c r="D3410" s="0" t="s">
        <v>11374</v>
      </c>
      <c r="E3410" s="0" t="s">
        <v>75</v>
      </c>
      <c r="F3410" s="0" t="s">
        <v>15</v>
      </c>
      <c r="G3410" s="0" t="s">
        <v>16</v>
      </c>
      <c r="H3410" s="0" t="n">
        <v>128</v>
      </c>
      <c r="I3410" s="0" t="s">
        <v>11384</v>
      </c>
      <c r="J3410" s="0" t="s">
        <v>11385</v>
      </c>
      <c r="K3410" s="0" t="s">
        <v>11386</v>
      </c>
      <c r="L3410" s="0" t="str">
        <f aca="false">HYPERLINK("https://www.ncbi.nlm.nih.gov/nuccore/CP000058.1?report=graph&amp;tracks=[key:gene_model_track,Options:GeneOnly]&amp;mk=1099951:1099970|offset_0|444444,1099983:1100002|offset_32|444444,1100037:1100056|offset_86|444444,1100079:1100098|offset_128|00cc00&amp;v=1099750:1100298&amp;c=444444", "offset 128")</f>
        <v>offset 128</v>
      </c>
    </row>
    <row r="3411" customFormat="false" ht="12.8" hidden="false" customHeight="false" outlineLevel="0" collapsed="false">
      <c r="A3411" s="0" t="s">
        <v>12</v>
      </c>
      <c r="B3411" s="0" t="n">
        <v>1100538</v>
      </c>
      <c r="C3411" s="0" t="n">
        <v>1100558</v>
      </c>
      <c r="D3411" s="0" t="s">
        <v>11387</v>
      </c>
      <c r="E3411" s="0" t="s">
        <v>11388</v>
      </c>
      <c r="F3411" s="0" t="s">
        <v>15</v>
      </c>
      <c r="G3411" s="0" t="s">
        <v>20</v>
      </c>
      <c r="H3411" s="0" t="n">
        <v>9</v>
      </c>
      <c r="I3411" s="0" t="s">
        <v>11389</v>
      </c>
      <c r="J3411" s="0" t="s">
        <v>11390</v>
      </c>
      <c r="K3411" s="0" t="s">
        <v>11391</v>
      </c>
      <c r="L3411" s="0" t="str">
        <f aca="false">HYPERLINK("https://www.ncbi.nlm.nih.gov/nuccore/CP000058.1?report=graph&amp;tracks=[key:gene_model_track,Options:GeneOnly]&amp;mk=1100539:1100558|offset_9|00cc00,1100563:1100582|offset_33|444444,1100595:1100614|offset_65|444444,1100618:1100637|offset_88|444444&amp;v=1100338:1100837&amp;c=444444", "offset 9")</f>
        <v>offset 9</v>
      </c>
    </row>
    <row r="3412" customFormat="false" ht="12.8" hidden="false" customHeight="false" outlineLevel="0" collapsed="false">
      <c r="A3412" s="0" t="s">
        <v>12</v>
      </c>
      <c r="B3412" s="0" t="n">
        <v>1100562</v>
      </c>
      <c r="C3412" s="0" t="n">
        <v>1100582</v>
      </c>
      <c r="D3412" s="0" t="s">
        <v>11387</v>
      </c>
      <c r="E3412" s="0" t="s">
        <v>11388</v>
      </c>
      <c r="F3412" s="0" t="s">
        <v>15</v>
      </c>
      <c r="G3412" s="0" t="s">
        <v>20</v>
      </c>
      <c r="H3412" s="0" t="n">
        <v>33</v>
      </c>
      <c r="I3412" s="0" t="s">
        <v>11392</v>
      </c>
      <c r="J3412" s="0" t="s">
        <v>11393</v>
      </c>
      <c r="K3412" s="0" t="s">
        <v>11394</v>
      </c>
      <c r="L3412" s="0" t="str">
        <f aca="false">HYPERLINK("https://www.ncbi.nlm.nih.gov/nuccore/CP000058.1?report=graph&amp;tracks=[key:gene_model_track,Options:GeneOnly]&amp;mk=1100539:1100558|offset_9|444444,1100563:1100582|offset_33|00cc00,1100595:1100614|offset_65|444444,1100618:1100637|offset_88|444444&amp;v=1100338:1100837&amp;c=444444", "offset 33")</f>
        <v>offset 33</v>
      </c>
    </row>
    <row r="3413" customFormat="false" ht="12.8" hidden="false" customHeight="false" outlineLevel="0" collapsed="false">
      <c r="A3413" s="0" t="s">
        <v>12</v>
      </c>
      <c r="B3413" s="0" t="n">
        <v>1100594</v>
      </c>
      <c r="C3413" s="0" t="n">
        <v>1100614</v>
      </c>
      <c r="D3413" s="0" t="s">
        <v>11387</v>
      </c>
      <c r="E3413" s="0" t="s">
        <v>11388</v>
      </c>
      <c r="F3413" s="0" t="s">
        <v>15</v>
      </c>
      <c r="G3413" s="0" t="s">
        <v>36</v>
      </c>
      <c r="H3413" s="0" t="n">
        <v>65</v>
      </c>
      <c r="I3413" s="0" t="s">
        <v>11395</v>
      </c>
      <c r="J3413" s="0" t="s">
        <v>11396</v>
      </c>
      <c r="K3413" s="0" t="s">
        <v>11397</v>
      </c>
      <c r="L3413" s="0" t="str">
        <f aca="false">HYPERLINK("https://www.ncbi.nlm.nih.gov/nuccore/CP000058.1?report=graph&amp;tracks=[key:gene_model_track,Options:GeneOnly]&amp;mk=1100539:1100558|offset_9|444444,1100563:1100582|offset_33|444444,1100595:1100614|offset_65|00cc00,1100618:1100637|offset_88|444444&amp;v=1100338:1100837&amp;c=444444", "offset 65")</f>
        <v>offset 65</v>
      </c>
    </row>
    <row r="3414" customFormat="false" ht="12.8" hidden="false" customHeight="false" outlineLevel="0" collapsed="false">
      <c r="A3414" s="0" t="s">
        <v>12</v>
      </c>
      <c r="B3414" s="0" t="n">
        <v>1100617</v>
      </c>
      <c r="C3414" s="0" t="n">
        <v>1100637</v>
      </c>
      <c r="D3414" s="0" t="s">
        <v>11387</v>
      </c>
      <c r="E3414" s="0" t="s">
        <v>11388</v>
      </c>
      <c r="F3414" s="0" t="s">
        <v>15</v>
      </c>
      <c r="G3414" s="0" t="s">
        <v>32</v>
      </c>
      <c r="H3414" s="0" t="n">
        <v>88</v>
      </c>
      <c r="I3414" s="0" t="s">
        <v>11398</v>
      </c>
      <c r="J3414" s="0" t="s">
        <v>11399</v>
      </c>
      <c r="K3414" s="0" t="s">
        <v>11400</v>
      </c>
      <c r="L3414" s="0" t="str">
        <f aca="false">HYPERLINK("https://www.ncbi.nlm.nih.gov/nuccore/CP000058.1?report=graph&amp;tracks=[key:gene_model_track,Options:GeneOnly]&amp;mk=1100539:1100558|offset_9|444444,1100563:1100582|offset_33|444444,1100595:1100614|offset_65|444444,1100618:1100637|offset_88|00cc00&amp;v=1100338:1100837&amp;c=444444", "offset 88")</f>
        <v>offset 88</v>
      </c>
    </row>
    <row r="3415" customFormat="false" ht="12.8" hidden="false" customHeight="false" outlineLevel="0" collapsed="false">
      <c r="A3415" s="0" t="s">
        <v>12</v>
      </c>
      <c r="B3415" s="0" t="n">
        <v>1102442</v>
      </c>
      <c r="C3415" s="0" t="n">
        <v>1102462</v>
      </c>
      <c r="D3415" s="0" t="s">
        <v>11401</v>
      </c>
      <c r="E3415" s="0" t="s">
        <v>11402</v>
      </c>
      <c r="F3415" s="0" t="s">
        <v>90</v>
      </c>
      <c r="G3415" s="0" t="s">
        <v>36</v>
      </c>
      <c r="H3415" s="0" t="n">
        <v>8</v>
      </c>
      <c r="I3415" s="0" t="s">
        <v>11403</v>
      </c>
      <c r="J3415" s="0" t="s">
        <v>11404</v>
      </c>
      <c r="K3415" s="0" t="s">
        <v>11405</v>
      </c>
      <c r="L3415" s="0" t="str">
        <f aca="false">HYPERLINK("https://www.ncbi.nlm.nih.gov/nuccore/CP000058.1?report=graph&amp;tracks=[key:gene_model_track,Options:GeneOnly]&amp;mk=1102443:1102462|offset_8|00cc00,1102380:1102399|offset_71|444444,1102356:1102375|offset_95|444444,1102335:1102354|offset_116|444444&amp;v=1102242:1102554&amp;c=444444", "offset 8")</f>
        <v>offset 8</v>
      </c>
    </row>
    <row r="3416" customFormat="false" ht="12.8" hidden="false" customHeight="false" outlineLevel="0" collapsed="false">
      <c r="A3416" s="0" t="s">
        <v>12</v>
      </c>
      <c r="B3416" s="0" t="n">
        <v>1102379</v>
      </c>
      <c r="C3416" s="0" t="n">
        <v>1102399</v>
      </c>
      <c r="D3416" s="0" t="s">
        <v>11401</v>
      </c>
      <c r="E3416" s="0" t="s">
        <v>11402</v>
      </c>
      <c r="F3416" s="0" t="s">
        <v>90</v>
      </c>
      <c r="G3416" s="0" t="s">
        <v>20</v>
      </c>
      <c r="H3416" s="0" t="n">
        <v>71</v>
      </c>
      <c r="I3416" s="0" t="s">
        <v>11406</v>
      </c>
      <c r="J3416" s="0" t="s">
        <v>11407</v>
      </c>
      <c r="K3416" s="0" t="s">
        <v>11408</v>
      </c>
      <c r="L3416" s="0" t="str">
        <f aca="false">HYPERLINK("https://www.ncbi.nlm.nih.gov/nuccore/CP000058.1?report=graph&amp;tracks=[key:gene_model_track,Options:GeneOnly]&amp;mk=1102443:1102462|offset_8|444444,1102380:1102399|offset_71|00cc00,1102356:1102375|offset_95|444444,1102335:1102354|offset_116|444444&amp;v=1102242:1102554&amp;c=444444", "offset 71")</f>
        <v>offset 71</v>
      </c>
    </row>
    <row r="3417" customFormat="false" ht="12.8" hidden="false" customHeight="false" outlineLevel="0" collapsed="false">
      <c r="A3417" s="0" t="s">
        <v>12</v>
      </c>
      <c r="B3417" s="0" t="n">
        <v>1102355</v>
      </c>
      <c r="C3417" s="0" t="n">
        <v>1102375</v>
      </c>
      <c r="D3417" s="0" t="s">
        <v>11401</v>
      </c>
      <c r="E3417" s="0" t="s">
        <v>11402</v>
      </c>
      <c r="F3417" s="0" t="s">
        <v>90</v>
      </c>
      <c r="G3417" s="0" t="s">
        <v>20</v>
      </c>
      <c r="H3417" s="0" t="n">
        <v>95</v>
      </c>
      <c r="I3417" s="0" t="s">
        <v>11409</v>
      </c>
      <c r="J3417" s="0" t="s">
        <v>11410</v>
      </c>
      <c r="K3417" s="0" t="s">
        <v>11411</v>
      </c>
      <c r="L3417" s="0" t="str">
        <f aca="false">HYPERLINK("https://www.ncbi.nlm.nih.gov/nuccore/CP000058.1?report=graph&amp;tracks=[key:gene_model_track,Options:GeneOnly]&amp;mk=1102443:1102462|offset_8|444444,1102380:1102399|offset_71|444444,1102356:1102375|offset_95|00cc00,1102335:1102354|offset_116|444444&amp;v=1102242:1102554&amp;c=444444", "offset 95")</f>
        <v>offset 95</v>
      </c>
    </row>
    <row r="3418" customFormat="false" ht="12.8" hidden="false" customHeight="false" outlineLevel="0" collapsed="false">
      <c r="A3418" s="0" t="s">
        <v>12</v>
      </c>
      <c r="B3418" s="0" t="n">
        <v>1102334</v>
      </c>
      <c r="C3418" s="0" t="n">
        <v>1102354</v>
      </c>
      <c r="D3418" s="0" t="s">
        <v>11401</v>
      </c>
      <c r="E3418" s="0" t="s">
        <v>11402</v>
      </c>
      <c r="F3418" s="0" t="s">
        <v>90</v>
      </c>
      <c r="G3418" s="0" t="s">
        <v>16</v>
      </c>
      <c r="H3418" s="0" t="n">
        <v>116</v>
      </c>
      <c r="I3418" s="0" t="s">
        <v>11412</v>
      </c>
      <c r="J3418" s="0" t="s">
        <v>11413</v>
      </c>
      <c r="K3418" s="0" t="s">
        <v>11414</v>
      </c>
      <c r="L3418" s="0" t="str">
        <f aca="false">HYPERLINK("https://www.ncbi.nlm.nih.gov/nuccore/CP000058.1?report=graph&amp;tracks=[key:gene_model_track,Options:GeneOnly]&amp;mk=1102443:1102462|offset_8|444444,1102380:1102399|offset_71|444444,1102356:1102375|offset_95|444444,1102335:1102354|offset_116|00cc00&amp;v=1102242:1102554&amp;c=444444", "offset 116")</f>
        <v>offset 116</v>
      </c>
    </row>
    <row r="3419" customFormat="false" ht="12.8" hidden="false" customHeight="false" outlineLevel="0" collapsed="false">
      <c r="A3419" s="0" t="s">
        <v>12</v>
      </c>
      <c r="B3419" s="0" t="n">
        <v>1103042</v>
      </c>
      <c r="C3419" s="0" t="n">
        <v>1103062</v>
      </c>
      <c r="D3419" s="0" t="s">
        <v>11415</v>
      </c>
      <c r="E3419" s="0" t="s">
        <v>75</v>
      </c>
      <c r="F3419" s="0" t="s">
        <v>90</v>
      </c>
      <c r="G3419" s="0" t="s">
        <v>32</v>
      </c>
      <c r="H3419" s="0" t="n">
        <v>16</v>
      </c>
      <c r="I3419" s="0" t="s">
        <v>11416</v>
      </c>
      <c r="J3419" s="0" t="s">
        <v>11417</v>
      </c>
      <c r="K3419" s="0" t="s">
        <v>11418</v>
      </c>
      <c r="L3419" s="0" t="str">
        <f aca="false">HYPERLINK("https://www.ncbi.nlm.nih.gov/nuccore/CP000058.1?report=graph&amp;tracks=[key:gene_model_track,Options:GeneOnly]&amp;mk=1103043:1103062|offset_16|00cc00,1103016:1103035|offset_43|444444,1102989:1103008|offset_70|444444,1102965:1102984|offset_94|444444&amp;v=1102842:1103184&amp;c=444444", "offset 16")</f>
        <v>offset 16</v>
      </c>
    </row>
    <row r="3420" customFormat="false" ht="12.8" hidden="false" customHeight="false" outlineLevel="0" collapsed="false">
      <c r="A3420" s="0" t="s">
        <v>12</v>
      </c>
      <c r="B3420" s="0" t="n">
        <v>1103015</v>
      </c>
      <c r="C3420" s="0" t="n">
        <v>1103035</v>
      </c>
      <c r="D3420" s="0" t="s">
        <v>11415</v>
      </c>
      <c r="E3420" s="0" t="s">
        <v>75</v>
      </c>
      <c r="F3420" s="0" t="s">
        <v>90</v>
      </c>
      <c r="G3420" s="0" t="s">
        <v>36</v>
      </c>
      <c r="H3420" s="0" t="n">
        <v>43</v>
      </c>
      <c r="I3420" s="0" t="s">
        <v>11419</v>
      </c>
      <c r="J3420" s="0" t="s">
        <v>11420</v>
      </c>
      <c r="K3420" s="0" t="s">
        <v>11421</v>
      </c>
      <c r="L3420" s="0" t="str">
        <f aca="false">HYPERLINK("https://www.ncbi.nlm.nih.gov/nuccore/CP000058.1?report=graph&amp;tracks=[key:gene_model_track,Options:GeneOnly]&amp;mk=1103043:1103062|offset_16|444444,1103016:1103035|offset_43|00cc00,1102989:1103008|offset_70|444444,1102965:1102984|offset_94|444444&amp;v=1102842:1103184&amp;c=444444", "offset 43")</f>
        <v>offset 43</v>
      </c>
    </row>
    <row r="3421" customFormat="false" ht="12.8" hidden="false" customHeight="false" outlineLevel="0" collapsed="false">
      <c r="A3421" s="0" t="s">
        <v>12</v>
      </c>
      <c r="B3421" s="0" t="n">
        <v>1102988</v>
      </c>
      <c r="C3421" s="0" t="n">
        <v>1103008</v>
      </c>
      <c r="D3421" s="0" t="s">
        <v>11415</v>
      </c>
      <c r="E3421" s="0" t="s">
        <v>75</v>
      </c>
      <c r="F3421" s="0" t="s">
        <v>90</v>
      </c>
      <c r="G3421" s="0" t="s">
        <v>36</v>
      </c>
      <c r="H3421" s="0" t="n">
        <v>70</v>
      </c>
      <c r="I3421" s="0" t="s">
        <v>11422</v>
      </c>
      <c r="J3421" s="0" t="s">
        <v>11423</v>
      </c>
      <c r="K3421" s="0" t="s">
        <v>11424</v>
      </c>
      <c r="L3421" s="0" t="str">
        <f aca="false">HYPERLINK("https://www.ncbi.nlm.nih.gov/nuccore/CP000058.1?report=graph&amp;tracks=[key:gene_model_track,Options:GeneOnly]&amp;mk=1103043:1103062|offset_16|444444,1103016:1103035|offset_43|444444,1102989:1103008|offset_70|00cc00,1102965:1102984|offset_94|444444&amp;v=1102842:1103184&amp;c=444444", "offset 70")</f>
        <v>offset 70</v>
      </c>
    </row>
    <row r="3422" customFormat="false" ht="12.8" hidden="false" customHeight="false" outlineLevel="0" collapsed="false">
      <c r="A3422" s="0" t="s">
        <v>12</v>
      </c>
      <c r="B3422" s="0" t="n">
        <v>1102964</v>
      </c>
      <c r="C3422" s="0" t="n">
        <v>1102984</v>
      </c>
      <c r="D3422" s="0" t="s">
        <v>11415</v>
      </c>
      <c r="E3422" s="0" t="s">
        <v>75</v>
      </c>
      <c r="F3422" s="0" t="s">
        <v>90</v>
      </c>
      <c r="G3422" s="0" t="s">
        <v>16</v>
      </c>
      <c r="H3422" s="0" t="n">
        <v>94</v>
      </c>
      <c r="I3422" s="0" t="s">
        <v>11425</v>
      </c>
      <c r="J3422" s="0" t="s">
        <v>11426</v>
      </c>
      <c r="K3422" s="0" t="s">
        <v>11427</v>
      </c>
      <c r="L3422" s="0" t="str">
        <f aca="false">HYPERLINK("https://www.ncbi.nlm.nih.gov/nuccore/CP000058.1?report=graph&amp;tracks=[key:gene_model_track,Options:GeneOnly]&amp;mk=1103043:1103062|offset_16|444444,1103016:1103035|offset_43|444444,1102989:1103008|offset_70|444444,1102965:1102984|offset_94|00cc00&amp;v=1102842:1103184&amp;c=444444", "offset 94")</f>
        <v>offset 94</v>
      </c>
    </row>
    <row r="3423" customFormat="false" ht="12.8" hidden="false" customHeight="false" outlineLevel="0" collapsed="false">
      <c r="A3423" s="0" t="s">
        <v>12</v>
      </c>
      <c r="B3423" s="0" t="n">
        <v>1105152</v>
      </c>
      <c r="C3423" s="0" t="n">
        <v>1105172</v>
      </c>
      <c r="D3423" s="0" t="s">
        <v>11428</v>
      </c>
      <c r="E3423" s="0" t="s">
        <v>75</v>
      </c>
      <c r="F3423" s="0" t="s">
        <v>90</v>
      </c>
      <c r="G3423" s="0" t="s">
        <v>32</v>
      </c>
      <c r="H3423" s="0" t="n">
        <v>15</v>
      </c>
      <c r="I3423" s="0" t="s">
        <v>11429</v>
      </c>
      <c r="J3423" s="0" t="s">
        <v>11430</v>
      </c>
      <c r="K3423" s="0" t="s">
        <v>11431</v>
      </c>
      <c r="L3423" s="0" t="str">
        <f aca="false">HYPERLINK("https://www.ncbi.nlm.nih.gov/nuccore/CP000058.1?report=graph&amp;tracks=[key:gene_model_track,Options:GeneOnly]&amp;mk=1105153:1105172|offset_15|00cc00,1105133:1105152|offset_35|444444,1105050:1105069|offset_118|444444,1105019:1105038|offset_149|444444&amp;v=1104952:1105238&amp;c=444444", "offset 15")</f>
        <v>offset 15</v>
      </c>
    </row>
    <row r="3424" customFormat="false" ht="12.8" hidden="false" customHeight="false" outlineLevel="0" collapsed="false">
      <c r="A3424" s="0" t="s">
        <v>12</v>
      </c>
      <c r="B3424" s="0" t="n">
        <v>1105132</v>
      </c>
      <c r="C3424" s="0" t="n">
        <v>1105152</v>
      </c>
      <c r="D3424" s="0" t="s">
        <v>11428</v>
      </c>
      <c r="E3424" s="0" t="s">
        <v>75</v>
      </c>
      <c r="F3424" s="0" t="s">
        <v>90</v>
      </c>
      <c r="G3424" s="0" t="s">
        <v>32</v>
      </c>
      <c r="H3424" s="0" t="n">
        <v>35</v>
      </c>
      <c r="I3424" s="0" t="s">
        <v>11432</v>
      </c>
      <c r="J3424" s="0" t="s">
        <v>11433</v>
      </c>
      <c r="K3424" s="0" t="s">
        <v>11434</v>
      </c>
      <c r="L3424" s="0" t="str">
        <f aca="false">HYPERLINK("https://www.ncbi.nlm.nih.gov/nuccore/CP000058.1?report=graph&amp;tracks=[key:gene_model_track,Options:GeneOnly]&amp;mk=1105153:1105172|offset_15|444444,1105133:1105152|offset_35|00cc00,1105050:1105069|offset_118|444444,1105019:1105038|offset_149|444444&amp;v=1104952:1105238&amp;c=444444", "offset 35")</f>
        <v>offset 35</v>
      </c>
    </row>
    <row r="3425" customFormat="false" ht="12.8" hidden="false" customHeight="false" outlineLevel="0" collapsed="false">
      <c r="A3425" s="0" t="s">
        <v>12</v>
      </c>
      <c r="B3425" s="0" t="n">
        <v>1105049</v>
      </c>
      <c r="C3425" s="0" t="n">
        <v>1105069</v>
      </c>
      <c r="D3425" s="0" t="s">
        <v>11428</v>
      </c>
      <c r="E3425" s="0" t="s">
        <v>75</v>
      </c>
      <c r="F3425" s="0" t="s">
        <v>90</v>
      </c>
      <c r="G3425" s="0" t="s">
        <v>32</v>
      </c>
      <c r="H3425" s="0" t="n">
        <v>118</v>
      </c>
      <c r="I3425" s="0" t="s">
        <v>11435</v>
      </c>
      <c r="J3425" s="0" t="s">
        <v>11436</v>
      </c>
      <c r="K3425" s="0" t="s">
        <v>11437</v>
      </c>
      <c r="L3425" s="0" t="str">
        <f aca="false">HYPERLINK("https://www.ncbi.nlm.nih.gov/nuccore/CP000058.1?report=graph&amp;tracks=[key:gene_model_track,Options:GeneOnly]&amp;mk=1105153:1105172|offset_15|444444,1105133:1105152|offset_35|444444,1105050:1105069|offset_118|00cc00,1105019:1105038|offset_149|444444&amp;v=1104952:1105238&amp;c=444444", "offset 118")</f>
        <v>offset 118</v>
      </c>
    </row>
    <row r="3426" customFormat="false" ht="12.8" hidden="false" customHeight="false" outlineLevel="0" collapsed="false">
      <c r="A3426" s="0" t="s">
        <v>12</v>
      </c>
      <c r="B3426" s="0" t="n">
        <v>1105018</v>
      </c>
      <c r="C3426" s="0" t="n">
        <v>1105038</v>
      </c>
      <c r="D3426" s="0" t="s">
        <v>11428</v>
      </c>
      <c r="E3426" s="0" t="s">
        <v>75</v>
      </c>
      <c r="F3426" s="0" t="s">
        <v>90</v>
      </c>
      <c r="G3426" s="0" t="s">
        <v>32</v>
      </c>
      <c r="H3426" s="0" t="n">
        <v>149</v>
      </c>
      <c r="I3426" s="0" t="s">
        <v>11438</v>
      </c>
      <c r="J3426" s="0" t="s">
        <v>11439</v>
      </c>
      <c r="K3426" s="0" t="s">
        <v>11440</v>
      </c>
      <c r="L3426" s="0" t="str">
        <f aca="false">HYPERLINK("https://www.ncbi.nlm.nih.gov/nuccore/CP000058.1?report=graph&amp;tracks=[key:gene_model_track,Options:GeneOnly]&amp;mk=1105153:1105172|offset_15|444444,1105133:1105152|offset_35|444444,1105050:1105069|offset_118|444444,1105019:1105038|offset_149|00cc00&amp;v=1104952:1105238&amp;c=444444", "offset 149")</f>
        <v>offset 149</v>
      </c>
    </row>
    <row r="3427" customFormat="false" ht="12.8" hidden="false" customHeight="false" outlineLevel="0" collapsed="false">
      <c r="A3427" s="0" t="s">
        <v>12</v>
      </c>
      <c r="B3427" s="0" t="n">
        <v>1105387</v>
      </c>
      <c r="C3427" s="0" t="n">
        <v>1105407</v>
      </c>
      <c r="D3427" s="0" t="s">
        <v>11441</v>
      </c>
      <c r="E3427" s="0" t="s">
        <v>75</v>
      </c>
      <c r="F3427" s="0" t="s">
        <v>90</v>
      </c>
      <c r="G3427" s="0" t="s">
        <v>32</v>
      </c>
      <c r="H3427" s="0" t="n">
        <v>8</v>
      </c>
      <c r="I3427" s="0" t="s">
        <v>11442</v>
      </c>
      <c r="J3427" s="0" t="s">
        <v>11443</v>
      </c>
      <c r="K3427" s="0" t="s">
        <v>11444</v>
      </c>
      <c r="L3427" s="0" t="str">
        <f aca="false">HYPERLINK("https://www.ncbi.nlm.nih.gov/nuccore/CP000058.1?report=graph&amp;tracks=[key:gene_model_track,Options:GeneOnly]&amp;mk=1105388:1105407|offset_8|00cc00,1105348:1105367|offset_48|444444&amp;v=1105187:1105567&amp;c=444444", "offset 8")</f>
        <v>offset 8</v>
      </c>
    </row>
    <row r="3428" customFormat="false" ht="12.8" hidden="false" customHeight="false" outlineLevel="0" collapsed="false">
      <c r="A3428" s="0" t="s">
        <v>12</v>
      </c>
      <c r="B3428" s="0" t="n">
        <v>1105347</v>
      </c>
      <c r="C3428" s="0" t="n">
        <v>1105367</v>
      </c>
      <c r="D3428" s="0" t="s">
        <v>11441</v>
      </c>
      <c r="E3428" s="0" t="s">
        <v>75</v>
      </c>
      <c r="F3428" s="0" t="s">
        <v>90</v>
      </c>
      <c r="G3428" s="0" t="s">
        <v>16</v>
      </c>
      <c r="H3428" s="0" t="n">
        <v>48</v>
      </c>
      <c r="I3428" s="0" t="s">
        <v>11445</v>
      </c>
      <c r="J3428" s="0" t="s">
        <v>11446</v>
      </c>
      <c r="K3428" s="0" t="s">
        <v>11447</v>
      </c>
      <c r="L3428" s="0" t="str">
        <f aca="false">HYPERLINK("https://www.ncbi.nlm.nih.gov/nuccore/CP000058.1?report=graph&amp;tracks=[key:gene_model_track,Options:GeneOnly]&amp;mk=1105388:1105407|offset_8|444444,1105348:1105367|offset_48|00cc00&amp;v=1105187:1105567&amp;c=444444", "offset 48")</f>
        <v>offset 48</v>
      </c>
    </row>
    <row r="3429" customFormat="false" ht="12.8" hidden="false" customHeight="false" outlineLevel="0" collapsed="false">
      <c r="A3429" s="0" t="s">
        <v>12</v>
      </c>
      <c r="B3429" s="0" t="n">
        <v>1106245</v>
      </c>
      <c r="C3429" s="0" t="n">
        <v>1106265</v>
      </c>
      <c r="D3429" s="0" t="s">
        <v>11448</v>
      </c>
      <c r="E3429" s="0" t="s">
        <v>75</v>
      </c>
      <c r="F3429" s="0" t="s">
        <v>90</v>
      </c>
      <c r="G3429" s="0" t="s">
        <v>20</v>
      </c>
      <c r="H3429" s="0" t="n">
        <v>35</v>
      </c>
      <c r="I3429" s="0" t="s">
        <v>11449</v>
      </c>
      <c r="J3429" s="0" t="s">
        <v>11450</v>
      </c>
      <c r="K3429" s="0" t="s">
        <v>11451</v>
      </c>
      <c r="L3429" s="0" t="str">
        <f aca="false">HYPERLINK("https://www.ncbi.nlm.nih.gov/nuccore/CP000058.1?report=graph&amp;tracks=[key:gene_model_track,Options:GeneOnly]&amp;mk=1106246:1106265|offset_35|00cc00,1106224:1106243|offset_57|444444,1106193:1106212|offset_88|444444,1106173:1106192|offset_108|444444&amp;v=1106045:1106392&amp;c=444444", "offset 35")</f>
        <v>offset 35</v>
      </c>
    </row>
    <row r="3430" customFormat="false" ht="12.8" hidden="false" customHeight="false" outlineLevel="0" collapsed="false">
      <c r="A3430" s="0" t="s">
        <v>12</v>
      </c>
      <c r="B3430" s="0" t="n">
        <v>1106223</v>
      </c>
      <c r="C3430" s="0" t="n">
        <v>1106243</v>
      </c>
      <c r="D3430" s="0" t="s">
        <v>11448</v>
      </c>
      <c r="E3430" s="0" t="s">
        <v>75</v>
      </c>
      <c r="F3430" s="0" t="s">
        <v>90</v>
      </c>
      <c r="G3430" s="0" t="s">
        <v>36</v>
      </c>
      <c r="H3430" s="0" t="n">
        <v>57</v>
      </c>
      <c r="I3430" s="0" t="s">
        <v>11452</v>
      </c>
      <c r="J3430" s="0" t="s">
        <v>11453</v>
      </c>
      <c r="K3430" s="0" t="s">
        <v>11454</v>
      </c>
      <c r="L3430" s="0" t="str">
        <f aca="false">HYPERLINK("https://www.ncbi.nlm.nih.gov/nuccore/CP000058.1?report=graph&amp;tracks=[key:gene_model_track,Options:GeneOnly]&amp;mk=1106246:1106265|offset_35|444444,1106224:1106243|offset_57|00cc00,1106193:1106212|offset_88|444444,1106173:1106192|offset_108|444444&amp;v=1106045:1106392&amp;c=444444", "offset 57")</f>
        <v>offset 57</v>
      </c>
    </row>
    <row r="3431" customFormat="false" ht="12.8" hidden="false" customHeight="false" outlineLevel="0" collapsed="false">
      <c r="A3431" s="0" t="s">
        <v>12</v>
      </c>
      <c r="B3431" s="0" t="n">
        <v>1106192</v>
      </c>
      <c r="C3431" s="0" t="n">
        <v>1106212</v>
      </c>
      <c r="D3431" s="0" t="s">
        <v>11448</v>
      </c>
      <c r="E3431" s="0" t="s">
        <v>75</v>
      </c>
      <c r="F3431" s="0" t="s">
        <v>90</v>
      </c>
      <c r="G3431" s="0" t="s">
        <v>16</v>
      </c>
      <c r="H3431" s="0" t="n">
        <v>88</v>
      </c>
      <c r="I3431" s="0" t="s">
        <v>11455</v>
      </c>
      <c r="J3431" s="0" t="s">
        <v>11456</v>
      </c>
      <c r="K3431" s="0" t="s">
        <v>11457</v>
      </c>
      <c r="L3431" s="0" t="str">
        <f aca="false">HYPERLINK("https://www.ncbi.nlm.nih.gov/nuccore/CP000058.1?report=graph&amp;tracks=[key:gene_model_track,Options:GeneOnly]&amp;mk=1106246:1106265|offset_35|444444,1106224:1106243|offset_57|444444,1106193:1106212|offset_88|00cc00,1106173:1106192|offset_108|444444&amp;v=1106045:1106392&amp;c=444444", "offset 88")</f>
        <v>offset 88</v>
      </c>
    </row>
    <row r="3432" customFormat="false" ht="12.8" hidden="false" customHeight="false" outlineLevel="0" collapsed="false">
      <c r="A3432" s="0" t="s">
        <v>12</v>
      </c>
      <c r="B3432" s="0" t="n">
        <v>1106172</v>
      </c>
      <c r="C3432" s="0" t="n">
        <v>1106192</v>
      </c>
      <c r="D3432" s="0" t="s">
        <v>11448</v>
      </c>
      <c r="E3432" s="0" t="s">
        <v>75</v>
      </c>
      <c r="F3432" s="0" t="s">
        <v>90</v>
      </c>
      <c r="G3432" s="0" t="s">
        <v>36</v>
      </c>
      <c r="H3432" s="0" t="n">
        <v>108</v>
      </c>
      <c r="I3432" s="0" t="s">
        <v>11458</v>
      </c>
      <c r="J3432" s="0" t="s">
        <v>11459</v>
      </c>
      <c r="K3432" s="0" t="s">
        <v>11460</v>
      </c>
      <c r="L3432" s="0" t="str">
        <f aca="false">HYPERLINK("https://www.ncbi.nlm.nih.gov/nuccore/CP000058.1?report=graph&amp;tracks=[key:gene_model_track,Options:GeneOnly]&amp;mk=1106246:1106265|offset_35|444444,1106224:1106243|offset_57|444444,1106193:1106212|offset_88|444444,1106173:1106192|offset_108|00cc00&amp;v=1106045:1106392&amp;c=444444", "offset 108")</f>
        <v>offset 108</v>
      </c>
    </row>
    <row r="3433" customFormat="false" ht="12.8" hidden="false" customHeight="false" outlineLevel="0" collapsed="false">
      <c r="A3433" s="0" t="s">
        <v>12</v>
      </c>
      <c r="B3433" s="0" t="n">
        <v>1107227</v>
      </c>
      <c r="C3433" s="0" t="n">
        <v>1107247</v>
      </c>
      <c r="D3433" s="0" t="s">
        <v>11461</v>
      </c>
      <c r="E3433" s="0" t="s">
        <v>75</v>
      </c>
      <c r="F3433" s="0" t="s">
        <v>90</v>
      </c>
      <c r="G3433" s="0" t="s">
        <v>36</v>
      </c>
      <c r="H3433" s="0" t="n">
        <v>11</v>
      </c>
      <c r="I3433" s="0" t="s">
        <v>11462</v>
      </c>
      <c r="J3433" s="0" t="s">
        <v>11463</v>
      </c>
      <c r="K3433" s="0" t="s">
        <v>11464</v>
      </c>
      <c r="L3433" s="0" t="str">
        <f aca="false">HYPERLINK("https://www.ncbi.nlm.nih.gov/nuccore/CP000058.1?report=graph&amp;tracks=[key:gene_model_track,Options:GeneOnly]&amp;mk=1107228:1107247|offset_11|00cc00,1107202:1107221|offset_37|444444,1107178:1107197|offset_61|444444,1107124:1107143|offset_115|444444&amp;v=1107027:1107343&amp;c=444444", "offset 11")</f>
        <v>offset 11</v>
      </c>
    </row>
    <row r="3434" customFormat="false" ht="12.8" hidden="false" customHeight="false" outlineLevel="0" collapsed="false">
      <c r="A3434" s="0" t="s">
        <v>12</v>
      </c>
      <c r="B3434" s="0" t="n">
        <v>1107201</v>
      </c>
      <c r="C3434" s="0" t="n">
        <v>1107221</v>
      </c>
      <c r="D3434" s="0" t="s">
        <v>11461</v>
      </c>
      <c r="E3434" s="0" t="s">
        <v>75</v>
      </c>
      <c r="F3434" s="0" t="s">
        <v>90</v>
      </c>
      <c r="G3434" s="0" t="s">
        <v>16</v>
      </c>
      <c r="H3434" s="0" t="n">
        <v>37</v>
      </c>
      <c r="I3434" s="0" t="s">
        <v>11465</v>
      </c>
      <c r="J3434" s="0" t="s">
        <v>11466</v>
      </c>
      <c r="K3434" s="0" t="s">
        <v>11467</v>
      </c>
      <c r="L3434" s="0" t="str">
        <f aca="false">HYPERLINK("https://www.ncbi.nlm.nih.gov/nuccore/CP000058.1?report=graph&amp;tracks=[key:gene_model_track,Options:GeneOnly]&amp;mk=1107228:1107247|offset_11|444444,1107202:1107221|offset_37|00cc00,1107178:1107197|offset_61|444444,1107124:1107143|offset_115|444444&amp;v=1107027:1107343&amp;c=444444", "offset 37")</f>
        <v>offset 37</v>
      </c>
    </row>
    <row r="3435" customFormat="false" ht="12.8" hidden="false" customHeight="false" outlineLevel="0" collapsed="false">
      <c r="A3435" s="0" t="s">
        <v>12</v>
      </c>
      <c r="B3435" s="0" t="n">
        <v>1107177</v>
      </c>
      <c r="C3435" s="0" t="n">
        <v>1107197</v>
      </c>
      <c r="D3435" s="0" t="s">
        <v>11461</v>
      </c>
      <c r="E3435" s="0" t="s">
        <v>75</v>
      </c>
      <c r="F3435" s="0" t="s">
        <v>90</v>
      </c>
      <c r="G3435" s="0" t="s">
        <v>20</v>
      </c>
      <c r="H3435" s="0" t="n">
        <v>61</v>
      </c>
      <c r="I3435" s="0" t="s">
        <v>11468</v>
      </c>
      <c r="J3435" s="0" t="s">
        <v>11469</v>
      </c>
      <c r="K3435" s="0" t="s">
        <v>11470</v>
      </c>
      <c r="L3435" s="0" t="str">
        <f aca="false">HYPERLINK("https://www.ncbi.nlm.nih.gov/nuccore/CP000058.1?report=graph&amp;tracks=[key:gene_model_track,Options:GeneOnly]&amp;mk=1107228:1107247|offset_11|444444,1107202:1107221|offset_37|444444,1107178:1107197|offset_61|00cc00,1107124:1107143|offset_115|444444&amp;v=1107027:1107343&amp;c=444444", "offset 61")</f>
        <v>offset 61</v>
      </c>
    </row>
    <row r="3436" customFormat="false" ht="12.8" hidden="false" customHeight="false" outlineLevel="0" collapsed="false">
      <c r="A3436" s="0" t="s">
        <v>12</v>
      </c>
      <c r="B3436" s="0" t="n">
        <v>1107123</v>
      </c>
      <c r="C3436" s="0" t="n">
        <v>1107143</v>
      </c>
      <c r="D3436" s="0" t="s">
        <v>11461</v>
      </c>
      <c r="E3436" s="0" t="s">
        <v>75</v>
      </c>
      <c r="F3436" s="0" t="s">
        <v>90</v>
      </c>
      <c r="G3436" s="0" t="s">
        <v>16</v>
      </c>
      <c r="H3436" s="0" t="n">
        <v>115</v>
      </c>
      <c r="I3436" s="0" t="s">
        <v>11471</v>
      </c>
      <c r="J3436" s="0" t="s">
        <v>11472</v>
      </c>
      <c r="K3436" s="0" t="s">
        <v>11473</v>
      </c>
      <c r="L3436" s="0" t="str">
        <f aca="false">HYPERLINK("https://www.ncbi.nlm.nih.gov/nuccore/CP000058.1?report=graph&amp;tracks=[key:gene_model_track,Options:GeneOnly]&amp;mk=1107228:1107247|offset_11|444444,1107202:1107221|offset_37|444444,1107178:1107197|offset_61|444444,1107124:1107143|offset_115|00cc00&amp;v=1107027:1107343&amp;c=444444", "offset 115")</f>
        <v>offset 115</v>
      </c>
    </row>
    <row r="3437" customFormat="false" ht="12.8" hidden="false" customHeight="false" outlineLevel="0" collapsed="false">
      <c r="A3437" s="0" t="s">
        <v>12</v>
      </c>
      <c r="B3437" s="0" t="n">
        <v>1108558</v>
      </c>
      <c r="C3437" s="0" t="n">
        <v>1108578</v>
      </c>
      <c r="D3437" s="0" t="s">
        <v>11474</v>
      </c>
      <c r="E3437" s="0" t="s">
        <v>11475</v>
      </c>
      <c r="F3437" s="0" t="s">
        <v>90</v>
      </c>
      <c r="G3437" s="0" t="s">
        <v>20</v>
      </c>
      <c r="H3437" s="0" t="n">
        <v>44</v>
      </c>
      <c r="I3437" s="0" t="s">
        <v>11476</v>
      </c>
      <c r="J3437" s="0" t="s">
        <v>11477</v>
      </c>
      <c r="K3437" s="0" t="s">
        <v>11478</v>
      </c>
      <c r="L3437" s="0" t="str">
        <f aca="false">HYPERLINK("https://www.ncbi.nlm.nih.gov/nuccore/CP000058.1?report=graph&amp;tracks=[key:gene_model_track,Options:GeneOnly]&amp;mk=1108559:1108578|offset_44|00cc00,1108539:1108558|offset_64|444444,1108518:1108537|offset_85|444444,1108489:1108508|offset_114|444444&amp;v=1108358:1108708&amp;c=444444", "offset 44")</f>
        <v>offset 44</v>
      </c>
    </row>
    <row r="3438" customFormat="false" ht="12.8" hidden="false" customHeight="false" outlineLevel="0" collapsed="false">
      <c r="A3438" s="0" t="s">
        <v>12</v>
      </c>
      <c r="B3438" s="0" t="n">
        <v>1108538</v>
      </c>
      <c r="C3438" s="0" t="n">
        <v>1108558</v>
      </c>
      <c r="D3438" s="0" t="s">
        <v>11474</v>
      </c>
      <c r="E3438" s="0" t="s">
        <v>11475</v>
      </c>
      <c r="F3438" s="0" t="s">
        <v>90</v>
      </c>
      <c r="G3438" s="0" t="s">
        <v>20</v>
      </c>
      <c r="H3438" s="0" t="n">
        <v>64</v>
      </c>
      <c r="I3438" s="0" t="s">
        <v>11479</v>
      </c>
      <c r="J3438" s="0" t="s">
        <v>11480</v>
      </c>
      <c r="K3438" s="0" t="s">
        <v>11481</v>
      </c>
      <c r="L3438" s="0" t="str">
        <f aca="false">HYPERLINK("https://www.ncbi.nlm.nih.gov/nuccore/CP000058.1?report=graph&amp;tracks=[key:gene_model_track,Options:GeneOnly]&amp;mk=1108559:1108578|offset_44|444444,1108539:1108558|offset_64|00cc00,1108518:1108537|offset_85|444444,1108489:1108508|offset_114|444444&amp;v=1108358:1108708&amp;c=444444", "offset 64")</f>
        <v>offset 64</v>
      </c>
    </row>
    <row r="3439" customFormat="false" ht="12.8" hidden="false" customHeight="false" outlineLevel="0" collapsed="false">
      <c r="A3439" s="0" t="s">
        <v>12</v>
      </c>
      <c r="B3439" s="0" t="n">
        <v>1108517</v>
      </c>
      <c r="C3439" s="0" t="n">
        <v>1108537</v>
      </c>
      <c r="D3439" s="0" t="s">
        <v>11474</v>
      </c>
      <c r="E3439" s="0" t="s">
        <v>11475</v>
      </c>
      <c r="F3439" s="0" t="s">
        <v>90</v>
      </c>
      <c r="G3439" s="0" t="s">
        <v>36</v>
      </c>
      <c r="H3439" s="0" t="n">
        <v>85</v>
      </c>
      <c r="I3439" s="0" t="s">
        <v>11482</v>
      </c>
      <c r="J3439" s="0" t="s">
        <v>11483</v>
      </c>
      <c r="K3439" s="0" t="s">
        <v>11484</v>
      </c>
      <c r="L3439" s="0" t="str">
        <f aca="false">HYPERLINK("https://www.ncbi.nlm.nih.gov/nuccore/CP000058.1?report=graph&amp;tracks=[key:gene_model_track,Options:GeneOnly]&amp;mk=1108559:1108578|offset_44|444444,1108539:1108558|offset_64|444444,1108518:1108537|offset_85|00cc00,1108489:1108508|offset_114|444444&amp;v=1108358:1108708&amp;c=444444", "offset 85")</f>
        <v>offset 85</v>
      </c>
    </row>
    <row r="3440" customFormat="false" ht="12.8" hidden="false" customHeight="false" outlineLevel="0" collapsed="false">
      <c r="A3440" s="0" t="s">
        <v>12</v>
      </c>
      <c r="B3440" s="0" t="n">
        <v>1108488</v>
      </c>
      <c r="C3440" s="0" t="n">
        <v>1108508</v>
      </c>
      <c r="D3440" s="0" t="s">
        <v>11474</v>
      </c>
      <c r="E3440" s="0" t="s">
        <v>11475</v>
      </c>
      <c r="F3440" s="0" t="s">
        <v>90</v>
      </c>
      <c r="G3440" s="0" t="s">
        <v>32</v>
      </c>
      <c r="H3440" s="0" t="n">
        <v>114</v>
      </c>
      <c r="I3440" s="0" t="s">
        <v>11485</v>
      </c>
      <c r="J3440" s="0" t="s">
        <v>11486</v>
      </c>
      <c r="K3440" s="0" t="s">
        <v>11487</v>
      </c>
      <c r="L3440" s="0" t="str">
        <f aca="false">HYPERLINK("https://www.ncbi.nlm.nih.gov/nuccore/CP000058.1?report=graph&amp;tracks=[key:gene_model_track,Options:GeneOnly]&amp;mk=1108559:1108578|offset_44|444444,1108539:1108558|offset_64|444444,1108518:1108537|offset_85|444444,1108489:1108508|offset_114|00cc00&amp;v=1108358:1108708&amp;c=444444", "offset 114")</f>
        <v>offset 114</v>
      </c>
    </row>
    <row r="3441" customFormat="false" ht="12.8" hidden="false" customHeight="false" outlineLevel="0" collapsed="false">
      <c r="A3441" s="0" t="s">
        <v>12</v>
      </c>
      <c r="B3441" s="0" t="n">
        <v>1109147</v>
      </c>
      <c r="C3441" s="0" t="n">
        <v>1109167</v>
      </c>
      <c r="D3441" s="0" t="s">
        <v>11488</v>
      </c>
      <c r="E3441" s="0" t="s">
        <v>75</v>
      </c>
      <c r="F3441" s="0" t="s">
        <v>90</v>
      </c>
      <c r="G3441" s="0" t="s">
        <v>16</v>
      </c>
      <c r="H3441" s="0" t="n">
        <v>22</v>
      </c>
      <c r="I3441" s="0" t="s">
        <v>11489</v>
      </c>
      <c r="J3441" s="0" t="s">
        <v>11490</v>
      </c>
      <c r="K3441" s="0" t="s">
        <v>11491</v>
      </c>
      <c r="L3441" s="0" t="str">
        <f aca="false">HYPERLINK("https://www.ncbi.nlm.nih.gov/nuccore/CP000058.1?report=graph&amp;tracks=[key:gene_model_track,Options:GeneOnly]&amp;mk=1109148:1109167|offset_22|00cc00,1109070:1109089|offset_100|444444,1109046:1109065|offset_124|444444,1109019:1109038|offset_151|444444&amp;v=1108947:1109238&amp;c=444444", "offset 22")</f>
        <v>offset 22</v>
      </c>
    </row>
    <row r="3442" customFormat="false" ht="12.8" hidden="false" customHeight="false" outlineLevel="0" collapsed="false">
      <c r="A3442" s="0" t="s">
        <v>12</v>
      </c>
      <c r="B3442" s="0" t="n">
        <v>1109069</v>
      </c>
      <c r="C3442" s="0" t="n">
        <v>1109089</v>
      </c>
      <c r="D3442" s="0" t="s">
        <v>11488</v>
      </c>
      <c r="E3442" s="0" t="s">
        <v>75</v>
      </c>
      <c r="F3442" s="0" t="s">
        <v>90</v>
      </c>
      <c r="G3442" s="0" t="s">
        <v>16</v>
      </c>
      <c r="H3442" s="0" t="n">
        <v>100</v>
      </c>
      <c r="I3442" s="0" t="s">
        <v>11492</v>
      </c>
      <c r="J3442" s="0" t="s">
        <v>11493</v>
      </c>
      <c r="K3442" s="0" t="s">
        <v>11494</v>
      </c>
      <c r="L3442" s="0" t="str">
        <f aca="false">HYPERLINK("https://www.ncbi.nlm.nih.gov/nuccore/CP000058.1?report=graph&amp;tracks=[key:gene_model_track,Options:GeneOnly]&amp;mk=1109148:1109167|offset_22|444444,1109070:1109089|offset_100|00cc00,1109046:1109065|offset_124|444444,1109019:1109038|offset_151|444444&amp;v=1108947:1109238&amp;c=444444", "offset 100")</f>
        <v>offset 100</v>
      </c>
    </row>
    <row r="3443" customFormat="false" ht="12.8" hidden="false" customHeight="false" outlineLevel="0" collapsed="false">
      <c r="A3443" s="0" t="s">
        <v>12</v>
      </c>
      <c r="B3443" s="0" t="n">
        <v>1109045</v>
      </c>
      <c r="C3443" s="0" t="n">
        <v>1109065</v>
      </c>
      <c r="D3443" s="0" t="s">
        <v>11488</v>
      </c>
      <c r="E3443" s="0" t="s">
        <v>75</v>
      </c>
      <c r="F3443" s="0" t="s">
        <v>90</v>
      </c>
      <c r="G3443" s="0" t="s">
        <v>36</v>
      </c>
      <c r="H3443" s="0" t="n">
        <v>124</v>
      </c>
      <c r="I3443" s="0" t="s">
        <v>11495</v>
      </c>
      <c r="J3443" s="0" t="s">
        <v>11496</v>
      </c>
      <c r="K3443" s="0" t="s">
        <v>11497</v>
      </c>
      <c r="L3443" s="0" t="str">
        <f aca="false">HYPERLINK("https://www.ncbi.nlm.nih.gov/nuccore/CP000058.1?report=graph&amp;tracks=[key:gene_model_track,Options:GeneOnly]&amp;mk=1109148:1109167|offset_22|444444,1109070:1109089|offset_100|444444,1109046:1109065|offset_124|00cc00,1109019:1109038|offset_151|444444&amp;v=1108947:1109238&amp;c=444444", "offset 124")</f>
        <v>offset 124</v>
      </c>
    </row>
    <row r="3444" customFormat="false" ht="12.8" hidden="false" customHeight="false" outlineLevel="0" collapsed="false">
      <c r="A3444" s="0" t="s">
        <v>12</v>
      </c>
      <c r="B3444" s="0" t="n">
        <v>1109018</v>
      </c>
      <c r="C3444" s="0" t="n">
        <v>1109038</v>
      </c>
      <c r="D3444" s="0" t="s">
        <v>11488</v>
      </c>
      <c r="E3444" s="0" t="s">
        <v>75</v>
      </c>
      <c r="F3444" s="0" t="s">
        <v>90</v>
      </c>
      <c r="G3444" s="0" t="s">
        <v>36</v>
      </c>
      <c r="H3444" s="0" t="n">
        <v>151</v>
      </c>
      <c r="I3444" s="0" t="s">
        <v>11498</v>
      </c>
      <c r="J3444" s="0" t="s">
        <v>11499</v>
      </c>
      <c r="K3444" s="0" t="s">
        <v>11500</v>
      </c>
      <c r="L3444" s="0" t="str">
        <f aca="false">HYPERLINK("https://www.ncbi.nlm.nih.gov/nuccore/CP000058.1?report=graph&amp;tracks=[key:gene_model_track,Options:GeneOnly]&amp;mk=1109148:1109167|offset_22|444444,1109070:1109089|offset_100|444444,1109046:1109065|offset_124|444444,1109019:1109038|offset_151|00cc00&amp;v=1108947:1109238&amp;c=444444", "offset 151")</f>
        <v>offset 151</v>
      </c>
    </row>
    <row r="3445" customFormat="false" ht="12.8" hidden="false" customHeight="false" outlineLevel="0" collapsed="false">
      <c r="A3445" s="0" t="s">
        <v>12</v>
      </c>
      <c r="B3445" s="0" t="n">
        <v>1110217</v>
      </c>
      <c r="C3445" s="0" t="n">
        <v>1110237</v>
      </c>
      <c r="D3445" s="0" t="s">
        <v>11501</v>
      </c>
      <c r="E3445" s="0" t="s">
        <v>11502</v>
      </c>
      <c r="F3445" s="0" t="s">
        <v>90</v>
      </c>
      <c r="G3445" s="0" t="s">
        <v>32</v>
      </c>
      <c r="H3445" s="0" t="n">
        <v>1</v>
      </c>
      <c r="I3445" s="0" t="s">
        <v>11503</v>
      </c>
      <c r="J3445" s="0" t="s">
        <v>11504</v>
      </c>
      <c r="K3445" s="0" t="s">
        <v>11505</v>
      </c>
      <c r="L3445" s="0" t="str">
        <f aca="false">HYPERLINK("https://www.ncbi.nlm.nih.gov/nuccore/CP000058.1?report=graph&amp;tracks=[key:gene_model_track,Options:GeneOnly]&amp;mk=1110218:1110237|offset_1|00cc00,1110180:1110199|offset_39|444444,1110125:1110144|offset_94|444444,1110099:1110118|offset_120|444444&amp;v=1110017:1110318&amp;c=444444", "offset 1")</f>
        <v>offset 1</v>
      </c>
    </row>
    <row r="3446" customFormat="false" ht="12.8" hidden="false" customHeight="false" outlineLevel="0" collapsed="false">
      <c r="A3446" s="0" t="s">
        <v>12</v>
      </c>
      <c r="B3446" s="0" t="n">
        <v>1110179</v>
      </c>
      <c r="C3446" s="0" t="n">
        <v>1110199</v>
      </c>
      <c r="D3446" s="0" t="s">
        <v>11501</v>
      </c>
      <c r="E3446" s="0" t="s">
        <v>11502</v>
      </c>
      <c r="F3446" s="0" t="s">
        <v>90</v>
      </c>
      <c r="G3446" s="0" t="s">
        <v>32</v>
      </c>
      <c r="H3446" s="0" t="n">
        <v>39</v>
      </c>
      <c r="I3446" s="0" t="s">
        <v>11506</v>
      </c>
      <c r="J3446" s="0" t="s">
        <v>11507</v>
      </c>
      <c r="K3446" s="0" t="s">
        <v>11508</v>
      </c>
      <c r="L3446" s="0" t="str">
        <f aca="false">HYPERLINK("https://www.ncbi.nlm.nih.gov/nuccore/CP000058.1?report=graph&amp;tracks=[key:gene_model_track,Options:GeneOnly]&amp;mk=1110218:1110237|offset_1|444444,1110180:1110199|offset_39|00cc00,1110125:1110144|offset_94|444444,1110099:1110118|offset_120|444444&amp;v=1110017:1110318&amp;c=444444", "offset 39")</f>
        <v>offset 39</v>
      </c>
    </row>
    <row r="3447" customFormat="false" ht="12.8" hidden="false" customHeight="false" outlineLevel="0" collapsed="false">
      <c r="A3447" s="0" t="s">
        <v>12</v>
      </c>
      <c r="B3447" s="0" t="n">
        <v>1110124</v>
      </c>
      <c r="C3447" s="0" t="n">
        <v>1110144</v>
      </c>
      <c r="D3447" s="0" t="s">
        <v>11501</v>
      </c>
      <c r="E3447" s="0" t="s">
        <v>11502</v>
      </c>
      <c r="F3447" s="0" t="s">
        <v>90</v>
      </c>
      <c r="G3447" s="0" t="s">
        <v>16</v>
      </c>
      <c r="H3447" s="0" t="n">
        <v>94</v>
      </c>
      <c r="I3447" s="0" t="s">
        <v>11509</v>
      </c>
      <c r="J3447" s="0" t="s">
        <v>11510</v>
      </c>
      <c r="K3447" s="0" t="s">
        <v>11511</v>
      </c>
      <c r="L3447" s="0" t="str">
        <f aca="false">HYPERLINK("https://www.ncbi.nlm.nih.gov/nuccore/CP000058.1?report=graph&amp;tracks=[key:gene_model_track,Options:GeneOnly]&amp;mk=1110218:1110237|offset_1|444444,1110180:1110199|offset_39|444444,1110125:1110144|offset_94|00cc00,1110099:1110118|offset_120|444444&amp;v=1110017:1110318&amp;c=444444", "offset 94")</f>
        <v>offset 94</v>
      </c>
    </row>
    <row r="3448" customFormat="false" ht="12.8" hidden="false" customHeight="false" outlineLevel="0" collapsed="false">
      <c r="A3448" s="0" t="s">
        <v>12</v>
      </c>
      <c r="B3448" s="0" t="n">
        <v>1110098</v>
      </c>
      <c r="C3448" s="0" t="n">
        <v>1110118</v>
      </c>
      <c r="D3448" s="0" t="s">
        <v>11501</v>
      </c>
      <c r="E3448" s="0" t="s">
        <v>11502</v>
      </c>
      <c r="F3448" s="0" t="s">
        <v>90</v>
      </c>
      <c r="G3448" s="0" t="s">
        <v>16</v>
      </c>
      <c r="H3448" s="0" t="n">
        <v>120</v>
      </c>
      <c r="I3448" s="0" t="s">
        <v>11512</v>
      </c>
      <c r="J3448" s="0" t="s">
        <v>11513</v>
      </c>
      <c r="K3448" s="0" t="s">
        <v>11514</v>
      </c>
      <c r="L3448" s="0" t="str">
        <f aca="false">HYPERLINK("https://www.ncbi.nlm.nih.gov/nuccore/CP000058.1?report=graph&amp;tracks=[key:gene_model_track,Options:GeneOnly]&amp;mk=1110218:1110237|offset_1|444444,1110180:1110199|offset_39|444444,1110125:1110144|offset_94|444444,1110099:1110118|offset_120|00cc00&amp;v=1110017:1110318&amp;c=444444", "offset 120")</f>
        <v>offset 120</v>
      </c>
    </row>
    <row r="3449" customFormat="false" ht="12.8" hidden="false" customHeight="false" outlineLevel="0" collapsed="false">
      <c r="A3449" s="0" t="s">
        <v>12</v>
      </c>
      <c r="B3449" s="0" t="n">
        <v>1111200</v>
      </c>
      <c r="C3449" s="0" t="n">
        <v>1111220</v>
      </c>
      <c r="D3449" s="0" t="s">
        <v>11515</v>
      </c>
      <c r="E3449" s="0" t="s">
        <v>75</v>
      </c>
      <c r="F3449" s="0" t="s">
        <v>90</v>
      </c>
      <c r="G3449" s="0" t="s">
        <v>16</v>
      </c>
      <c r="H3449" s="0" t="n">
        <v>10</v>
      </c>
      <c r="I3449" s="0" t="s">
        <v>11516</v>
      </c>
      <c r="J3449" s="0" t="s">
        <v>11517</v>
      </c>
      <c r="K3449" s="0" t="s">
        <v>11518</v>
      </c>
      <c r="L3449" s="0" t="str">
        <f aca="false">HYPERLINK("https://www.ncbi.nlm.nih.gov/nuccore/CP000058.1?report=graph&amp;tracks=[key:gene_model_track,Options:GeneOnly]&amp;mk=1111201:1111220|offset_10|00cc00,1111174:1111193|offset_37|444444,1111140:1111159|offset_71|444444,1111115:1111134|offset_96|444444&amp;v=1111000:1111334&amp;c=444444", "offset 10")</f>
        <v>offset 10</v>
      </c>
    </row>
    <row r="3450" customFormat="false" ht="12.8" hidden="false" customHeight="false" outlineLevel="0" collapsed="false">
      <c r="A3450" s="0" t="s">
        <v>12</v>
      </c>
      <c r="B3450" s="0" t="n">
        <v>1111173</v>
      </c>
      <c r="C3450" s="0" t="n">
        <v>1111193</v>
      </c>
      <c r="D3450" s="0" t="s">
        <v>11515</v>
      </c>
      <c r="E3450" s="0" t="s">
        <v>75</v>
      </c>
      <c r="F3450" s="0" t="s">
        <v>90</v>
      </c>
      <c r="G3450" s="0" t="s">
        <v>32</v>
      </c>
      <c r="H3450" s="0" t="n">
        <v>37</v>
      </c>
      <c r="I3450" s="0" t="s">
        <v>11519</v>
      </c>
      <c r="J3450" s="0" t="s">
        <v>11520</v>
      </c>
      <c r="K3450" s="0" t="s">
        <v>11521</v>
      </c>
      <c r="L3450" s="0" t="str">
        <f aca="false">HYPERLINK("https://www.ncbi.nlm.nih.gov/nuccore/CP000058.1?report=graph&amp;tracks=[key:gene_model_track,Options:GeneOnly]&amp;mk=1111201:1111220|offset_10|444444,1111174:1111193|offset_37|00cc00,1111140:1111159|offset_71|444444,1111115:1111134|offset_96|444444&amp;v=1111000:1111334&amp;c=444444", "offset 37")</f>
        <v>offset 37</v>
      </c>
    </row>
    <row r="3451" customFormat="false" ht="12.8" hidden="false" customHeight="false" outlineLevel="0" collapsed="false">
      <c r="A3451" s="0" t="s">
        <v>12</v>
      </c>
      <c r="B3451" s="0" t="n">
        <v>1111139</v>
      </c>
      <c r="C3451" s="0" t="n">
        <v>1111159</v>
      </c>
      <c r="D3451" s="0" t="s">
        <v>11515</v>
      </c>
      <c r="E3451" s="0" t="s">
        <v>75</v>
      </c>
      <c r="F3451" s="0" t="s">
        <v>90</v>
      </c>
      <c r="G3451" s="0" t="s">
        <v>32</v>
      </c>
      <c r="H3451" s="0" t="n">
        <v>71</v>
      </c>
      <c r="I3451" s="0" t="s">
        <v>11522</v>
      </c>
      <c r="J3451" s="0" t="s">
        <v>11523</v>
      </c>
      <c r="K3451" s="0" t="s">
        <v>11524</v>
      </c>
      <c r="L3451" s="0" t="str">
        <f aca="false">HYPERLINK("https://www.ncbi.nlm.nih.gov/nuccore/CP000058.1?report=graph&amp;tracks=[key:gene_model_track,Options:GeneOnly]&amp;mk=1111201:1111220|offset_10|444444,1111174:1111193|offset_37|444444,1111140:1111159|offset_71|00cc00,1111115:1111134|offset_96|444444&amp;v=1111000:1111334&amp;c=444444", "offset 71")</f>
        <v>offset 71</v>
      </c>
    </row>
    <row r="3452" customFormat="false" ht="12.8" hidden="false" customHeight="false" outlineLevel="0" collapsed="false">
      <c r="A3452" s="0" t="s">
        <v>12</v>
      </c>
      <c r="B3452" s="0" t="n">
        <v>1111114</v>
      </c>
      <c r="C3452" s="0" t="n">
        <v>1111134</v>
      </c>
      <c r="D3452" s="0" t="s">
        <v>11515</v>
      </c>
      <c r="E3452" s="0" t="s">
        <v>75</v>
      </c>
      <c r="F3452" s="0" t="s">
        <v>90</v>
      </c>
      <c r="G3452" s="0" t="s">
        <v>32</v>
      </c>
      <c r="H3452" s="0" t="n">
        <v>96</v>
      </c>
      <c r="I3452" s="0" t="s">
        <v>11525</v>
      </c>
      <c r="J3452" s="0" t="s">
        <v>11526</v>
      </c>
      <c r="K3452" s="0" t="s">
        <v>11527</v>
      </c>
      <c r="L3452" s="0" t="str">
        <f aca="false">HYPERLINK("https://www.ncbi.nlm.nih.gov/nuccore/CP000058.1?report=graph&amp;tracks=[key:gene_model_track,Options:GeneOnly]&amp;mk=1111201:1111220|offset_10|444444,1111174:1111193|offset_37|444444,1111140:1111159|offset_71|444444,1111115:1111134|offset_96|00cc00&amp;v=1111000:1111334&amp;c=444444", "offset 96")</f>
        <v>offset 96</v>
      </c>
    </row>
    <row r="3453" customFormat="false" ht="12.8" hidden="false" customHeight="false" outlineLevel="0" collapsed="false">
      <c r="A3453" s="0" t="s">
        <v>12</v>
      </c>
      <c r="B3453" s="0" t="n">
        <v>1112075</v>
      </c>
      <c r="C3453" s="0" t="n">
        <v>1112095</v>
      </c>
      <c r="D3453" s="0" t="s">
        <v>11528</v>
      </c>
      <c r="E3453" s="0" t="s">
        <v>75</v>
      </c>
      <c r="F3453" s="0" t="s">
        <v>90</v>
      </c>
      <c r="G3453" s="0" t="s">
        <v>32</v>
      </c>
      <c r="H3453" s="0" t="n">
        <v>19</v>
      </c>
      <c r="I3453" s="0" t="s">
        <v>11529</v>
      </c>
      <c r="J3453" s="0" t="s">
        <v>11530</v>
      </c>
      <c r="K3453" s="0" t="s">
        <v>11531</v>
      </c>
      <c r="L3453" s="0" t="str">
        <f aca="false">HYPERLINK("https://www.ncbi.nlm.nih.gov/nuccore/CP000058.1?report=graph&amp;tracks=[key:gene_model_track,Options:GeneOnly]&amp;mk=1112076:1112095|offset_19|00cc00,1112054:1112073|offset_41|444444,1111997:1112016|offset_98|444444,1111976:1111995|offset_119|444444&amp;v=1111875:1112195&amp;c=444444", "offset 19")</f>
        <v>offset 19</v>
      </c>
    </row>
    <row r="3454" customFormat="false" ht="12.8" hidden="false" customHeight="false" outlineLevel="0" collapsed="false">
      <c r="A3454" s="0" t="s">
        <v>12</v>
      </c>
      <c r="B3454" s="0" t="n">
        <v>1112053</v>
      </c>
      <c r="C3454" s="0" t="n">
        <v>1112073</v>
      </c>
      <c r="D3454" s="0" t="s">
        <v>11528</v>
      </c>
      <c r="E3454" s="0" t="s">
        <v>75</v>
      </c>
      <c r="F3454" s="0" t="s">
        <v>90</v>
      </c>
      <c r="G3454" s="0" t="s">
        <v>20</v>
      </c>
      <c r="H3454" s="0" t="n">
        <v>41</v>
      </c>
      <c r="I3454" s="0" t="s">
        <v>11532</v>
      </c>
      <c r="J3454" s="0" t="s">
        <v>11533</v>
      </c>
      <c r="K3454" s="0" t="s">
        <v>11534</v>
      </c>
      <c r="L3454" s="0" t="str">
        <f aca="false">HYPERLINK("https://www.ncbi.nlm.nih.gov/nuccore/CP000058.1?report=graph&amp;tracks=[key:gene_model_track,Options:GeneOnly]&amp;mk=1112076:1112095|offset_19|444444,1112054:1112073|offset_41|00cc00,1111997:1112016|offset_98|444444,1111976:1111995|offset_119|444444&amp;v=1111875:1112195&amp;c=444444", "offset 41")</f>
        <v>offset 41</v>
      </c>
    </row>
    <row r="3455" customFormat="false" ht="12.8" hidden="false" customHeight="false" outlineLevel="0" collapsed="false">
      <c r="A3455" s="0" t="s">
        <v>12</v>
      </c>
      <c r="B3455" s="0" t="n">
        <v>1111996</v>
      </c>
      <c r="C3455" s="0" t="n">
        <v>1112016</v>
      </c>
      <c r="D3455" s="0" t="s">
        <v>11528</v>
      </c>
      <c r="E3455" s="0" t="s">
        <v>75</v>
      </c>
      <c r="F3455" s="0" t="s">
        <v>90</v>
      </c>
      <c r="G3455" s="0" t="s">
        <v>36</v>
      </c>
      <c r="H3455" s="0" t="n">
        <v>98</v>
      </c>
      <c r="I3455" s="0" t="s">
        <v>11535</v>
      </c>
      <c r="J3455" s="0" t="s">
        <v>11536</v>
      </c>
      <c r="K3455" s="0" t="s">
        <v>11537</v>
      </c>
      <c r="L3455" s="0" t="str">
        <f aca="false">HYPERLINK("https://www.ncbi.nlm.nih.gov/nuccore/CP000058.1?report=graph&amp;tracks=[key:gene_model_track,Options:GeneOnly]&amp;mk=1112076:1112095|offset_19|444444,1112054:1112073|offset_41|444444,1111997:1112016|offset_98|00cc00,1111976:1111995|offset_119|444444&amp;v=1111875:1112195&amp;c=444444", "offset 98")</f>
        <v>offset 98</v>
      </c>
    </row>
    <row r="3456" customFormat="false" ht="12.8" hidden="false" customHeight="false" outlineLevel="0" collapsed="false">
      <c r="A3456" s="0" t="s">
        <v>12</v>
      </c>
      <c r="B3456" s="0" t="n">
        <v>1111975</v>
      </c>
      <c r="C3456" s="0" t="n">
        <v>1111995</v>
      </c>
      <c r="D3456" s="0" t="s">
        <v>11528</v>
      </c>
      <c r="E3456" s="0" t="s">
        <v>75</v>
      </c>
      <c r="F3456" s="0" t="s">
        <v>90</v>
      </c>
      <c r="G3456" s="0" t="s">
        <v>20</v>
      </c>
      <c r="H3456" s="0" t="n">
        <v>119</v>
      </c>
      <c r="I3456" s="0" t="s">
        <v>11538</v>
      </c>
      <c r="J3456" s="0" t="s">
        <v>11539</v>
      </c>
      <c r="K3456" s="0" t="s">
        <v>11540</v>
      </c>
      <c r="L3456" s="0" t="str">
        <f aca="false">HYPERLINK("https://www.ncbi.nlm.nih.gov/nuccore/CP000058.1?report=graph&amp;tracks=[key:gene_model_track,Options:GeneOnly]&amp;mk=1112076:1112095|offset_19|444444,1112054:1112073|offset_41|444444,1111997:1112016|offset_98|444444,1111976:1111995|offset_119|00cc00&amp;v=1111875:1112195&amp;c=444444", "offset 119")</f>
        <v>offset 119</v>
      </c>
    </row>
    <row r="3457" customFormat="false" ht="12.8" hidden="false" customHeight="false" outlineLevel="0" collapsed="false">
      <c r="A3457" s="0" t="s">
        <v>12</v>
      </c>
      <c r="B3457" s="0" t="n">
        <v>1113535</v>
      </c>
      <c r="C3457" s="0" t="n">
        <v>1113555</v>
      </c>
      <c r="D3457" s="0" t="s">
        <v>11541</v>
      </c>
      <c r="E3457" s="0" t="s">
        <v>75</v>
      </c>
      <c r="F3457" s="0" t="s">
        <v>90</v>
      </c>
      <c r="G3457" s="0" t="s">
        <v>36</v>
      </c>
      <c r="H3457" s="0" t="n">
        <v>19</v>
      </c>
      <c r="I3457" s="0" t="s">
        <v>11542</v>
      </c>
      <c r="J3457" s="0" t="s">
        <v>11543</v>
      </c>
      <c r="K3457" s="0" t="s">
        <v>11544</v>
      </c>
      <c r="L3457" s="0" t="str">
        <f aca="false">HYPERLINK("https://www.ncbi.nlm.nih.gov/nuccore/CP000058.1?report=graph&amp;tracks=[key:gene_model_track,Options:GeneOnly]&amp;mk=1113536:1113555|offset_19|00cc00,1113490:1113509|offset_65|444444,1113452:1113471|offset_103|444444,1113415:1113434|offset_140|444444&amp;v=1113335:1113634&amp;c=444444", "offset 19")</f>
        <v>offset 19</v>
      </c>
    </row>
    <row r="3458" customFormat="false" ht="12.8" hidden="false" customHeight="false" outlineLevel="0" collapsed="false">
      <c r="A3458" s="0" t="s">
        <v>12</v>
      </c>
      <c r="B3458" s="0" t="n">
        <v>1113489</v>
      </c>
      <c r="C3458" s="0" t="n">
        <v>1113509</v>
      </c>
      <c r="D3458" s="0" t="s">
        <v>11541</v>
      </c>
      <c r="E3458" s="0" t="s">
        <v>75</v>
      </c>
      <c r="F3458" s="0" t="s">
        <v>90</v>
      </c>
      <c r="G3458" s="0" t="s">
        <v>36</v>
      </c>
      <c r="H3458" s="0" t="n">
        <v>65</v>
      </c>
      <c r="I3458" s="0" t="s">
        <v>11545</v>
      </c>
      <c r="J3458" s="0" t="s">
        <v>11546</v>
      </c>
      <c r="K3458" s="0" t="s">
        <v>11547</v>
      </c>
      <c r="L3458" s="0" t="str">
        <f aca="false">HYPERLINK("https://www.ncbi.nlm.nih.gov/nuccore/CP000058.1?report=graph&amp;tracks=[key:gene_model_track,Options:GeneOnly]&amp;mk=1113536:1113555|offset_19|444444,1113490:1113509|offset_65|00cc00,1113452:1113471|offset_103|444444,1113415:1113434|offset_140|444444&amp;v=1113335:1113634&amp;c=444444", "offset 65")</f>
        <v>offset 65</v>
      </c>
    </row>
    <row r="3459" customFormat="false" ht="12.8" hidden="false" customHeight="false" outlineLevel="0" collapsed="false">
      <c r="A3459" s="0" t="s">
        <v>12</v>
      </c>
      <c r="B3459" s="0" t="n">
        <v>1113451</v>
      </c>
      <c r="C3459" s="0" t="n">
        <v>1113471</v>
      </c>
      <c r="D3459" s="0" t="s">
        <v>11541</v>
      </c>
      <c r="E3459" s="0" t="s">
        <v>75</v>
      </c>
      <c r="F3459" s="0" t="s">
        <v>90</v>
      </c>
      <c r="G3459" s="0" t="s">
        <v>32</v>
      </c>
      <c r="H3459" s="0" t="n">
        <v>103</v>
      </c>
      <c r="I3459" s="0" t="s">
        <v>11548</v>
      </c>
      <c r="J3459" s="0" t="s">
        <v>11549</v>
      </c>
      <c r="K3459" s="0" t="s">
        <v>11550</v>
      </c>
      <c r="L3459" s="0" t="str">
        <f aca="false">HYPERLINK("https://www.ncbi.nlm.nih.gov/nuccore/CP000058.1?report=graph&amp;tracks=[key:gene_model_track,Options:GeneOnly]&amp;mk=1113536:1113555|offset_19|444444,1113490:1113509|offset_65|444444,1113452:1113471|offset_103|00cc00,1113415:1113434|offset_140|444444&amp;v=1113335:1113634&amp;c=444444", "offset 103")</f>
        <v>offset 103</v>
      </c>
    </row>
    <row r="3460" customFormat="false" ht="12.8" hidden="false" customHeight="false" outlineLevel="0" collapsed="false">
      <c r="A3460" s="0" t="s">
        <v>12</v>
      </c>
      <c r="B3460" s="0" t="n">
        <v>1113414</v>
      </c>
      <c r="C3460" s="0" t="n">
        <v>1113434</v>
      </c>
      <c r="D3460" s="0" t="s">
        <v>11541</v>
      </c>
      <c r="E3460" s="0" t="s">
        <v>75</v>
      </c>
      <c r="F3460" s="0" t="s">
        <v>90</v>
      </c>
      <c r="G3460" s="0" t="s">
        <v>16</v>
      </c>
      <c r="H3460" s="0" t="n">
        <v>140</v>
      </c>
      <c r="I3460" s="0" t="s">
        <v>11551</v>
      </c>
      <c r="J3460" s="0" t="s">
        <v>11552</v>
      </c>
      <c r="K3460" s="0" t="s">
        <v>11553</v>
      </c>
      <c r="L3460" s="0" t="str">
        <f aca="false">HYPERLINK("https://www.ncbi.nlm.nih.gov/nuccore/CP000058.1?report=graph&amp;tracks=[key:gene_model_track,Options:GeneOnly]&amp;mk=1113536:1113555|offset_19|444444,1113490:1113509|offset_65|444444,1113452:1113471|offset_103|444444,1113415:1113434|offset_140|00cc00&amp;v=1113335:1113634&amp;c=444444", "offset 140")</f>
        <v>offset 140</v>
      </c>
    </row>
    <row r="3461" customFormat="false" ht="12.8" hidden="false" customHeight="false" outlineLevel="0" collapsed="false">
      <c r="A3461" s="0" t="s">
        <v>12</v>
      </c>
      <c r="B3461" s="0" t="n">
        <v>1114055</v>
      </c>
      <c r="C3461" s="0" t="n">
        <v>1114075</v>
      </c>
      <c r="D3461" s="0" t="s">
        <v>11554</v>
      </c>
      <c r="E3461" s="0" t="s">
        <v>75</v>
      </c>
      <c r="F3461" s="0" t="s">
        <v>15</v>
      </c>
      <c r="G3461" s="0" t="s">
        <v>36</v>
      </c>
      <c r="H3461" s="0" t="n">
        <v>16</v>
      </c>
      <c r="I3461" s="0" t="s">
        <v>11555</v>
      </c>
      <c r="J3461" s="0" t="s">
        <v>11556</v>
      </c>
      <c r="K3461" s="0" t="s">
        <v>11557</v>
      </c>
      <c r="L3461" s="0" t="str">
        <f aca="false">HYPERLINK("https://www.ncbi.nlm.nih.gov/nuccore/CP000058.1?report=graph&amp;tracks=[key:gene_model_track,Options:GeneOnly]&amp;mk=1114056:1114075|offset_16|00cc00,1114077:1114096|offset_37|444444,1114104:1114123|offset_64|444444,1114153:1114172|offset_113|444444&amp;v=1113855:1114372&amp;c=444444", "offset 16")</f>
        <v>offset 16</v>
      </c>
    </row>
    <row r="3462" customFormat="false" ht="12.8" hidden="false" customHeight="false" outlineLevel="0" collapsed="false">
      <c r="A3462" s="0" t="s">
        <v>12</v>
      </c>
      <c r="B3462" s="0" t="n">
        <v>1114076</v>
      </c>
      <c r="C3462" s="0" t="n">
        <v>1114096</v>
      </c>
      <c r="D3462" s="0" t="s">
        <v>11554</v>
      </c>
      <c r="E3462" s="0" t="s">
        <v>75</v>
      </c>
      <c r="F3462" s="0" t="s">
        <v>15</v>
      </c>
      <c r="G3462" s="0" t="s">
        <v>16</v>
      </c>
      <c r="H3462" s="0" t="n">
        <v>37</v>
      </c>
      <c r="I3462" s="0" t="s">
        <v>11558</v>
      </c>
      <c r="J3462" s="0" t="s">
        <v>11559</v>
      </c>
      <c r="K3462" s="0" t="s">
        <v>11560</v>
      </c>
      <c r="L3462" s="0" t="str">
        <f aca="false">HYPERLINK("https://www.ncbi.nlm.nih.gov/nuccore/CP000058.1?report=graph&amp;tracks=[key:gene_model_track,Options:GeneOnly]&amp;mk=1114056:1114075|offset_16|444444,1114077:1114096|offset_37|00cc00,1114104:1114123|offset_64|444444,1114153:1114172|offset_113|444444&amp;v=1113855:1114372&amp;c=444444", "offset 37")</f>
        <v>offset 37</v>
      </c>
    </row>
    <row r="3463" customFormat="false" ht="12.8" hidden="false" customHeight="false" outlineLevel="0" collapsed="false">
      <c r="A3463" s="0" t="s">
        <v>12</v>
      </c>
      <c r="B3463" s="0" t="n">
        <v>1114103</v>
      </c>
      <c r="C3463" s="0" t="n">
        <v>1114123</v>
      </c>
      <c r="D3463" s="0" t="s">
        <v>11554</v>
      </c>
      <c r="E3463" s="0" t="s">
        <v>75</v>
      </c>
      <c r="F3463" s="0" t="s">
        <v>15</v>
      </c>
      <c r="G3463" s="0" t="s">
        <v>32</v>
      </c>
      <c r="H3463" s="0" t="n">
        <v>64</v>
      </c>
      <c r="I3463" s="0" t="s">
        <v>11561</v>
      </c>
      <c r="J3463" s="0" t="s">
        <v>11562</v>
      </c>
      <c r="K3463" s="0" t="s">
        <v>11563</v>
      </c>
      <c r="L3463" s="0" t="str">
        <f aca="false">HYPERLINK("https://www.ncbi.nlm.nih.gov/nuccore/CP000058.1?report=graph&amp;tracks=[key:gene_model_track,Options:GeneOnly]&amp;mk=1114056:1114075|offset_16|444444,1114077:1114096|offset_37|444444,1114104:1114123|offset_64|00cc00,1114153:1114172|offset_113|444444&amp;v=1113855:1114372&amp;c=444444", "offset 64")</f>
        <v>offset 64</v>
      </c>
    </row>
    <row r="3464" customFormat="false" ht="12.8" hidden="false" customHeight="false" outlineLevel="0" collapsed="false">
      <c r="A3464" s="0" t="s">
        <v>12</v>
      </c>
      <c r="B3464" s="0" t="n">
        <v>1114152</v>
      </c>
      <c r="C3464" s="0" t="n">
        <v>1114172</v>
      </c>
      <c r="D3464" s="0" t="s">
        <v>11554</v>
      </c>
      <c r="E3464" s="0" t="s">
        <v>75</v>
      </c>
      <c r="F3464" s="0" t="s">
        <v>15</v>
      </c>
      <c r="G3464" s="0" t="s">
        <v>16</v>
      </c>
      <c r="H3464" s="0" t="n">
        <v>113</v>
      </c>
      <c r="I3464" s="0" t="s">
        <v>11564</v>
      </c>
      <c r="J3464" s="0" t="s">
        <v>11565</v>
      </c>
      <c r="K3464" s="0" t="s">
        <v>11566</v>
      </c>
      <c r="L3464" s="0" t="str">
        <f aca="false">HYPERLINK("https://www.ncbi.nlm.nih.gov/nuccore/CP000058.1?report=graph&amp;tracks=[key:gene_model_track,Options:GeneOnly]&amp;mk=1114056:1114075|offset_16|444444,1114077:1114096|offset_37|444444,1114104:1114123|offset_64|444444,1114153:1114172|offset_113|00cc00&amp;v=1113855:1114372&amp;c=444444", "offset 113")</f>
        <v>offset 113</v>
      </c>
    </row>
    <row r="3465" customFormat="false" ht="12.8" hidden="false" customHeight="false" outlineLevel="0" collapsed="false">
      <c r="A3465" s="0" t="s">
        <v>12</v>
      </c>
      <c r="B3465" s="0" t="n">
        <v>1116799</v>
      </c>
      <c r="C3465" s="0" t="n">
        <v>1116819</v>
      </c>
      <c r="D3465" s="0" t="s">
        <v>11567</v>
      </c>
      <c r="E3465" s="0" t="s">
        <v>75</v>
      </c>
      <c r="F3465" s="0" t="s">
        <v>90</v>
      </c>
      <c r="G3465" s="0" t="s">
        <v>36</v>
      </c>
      <c r="H3465" s="0" t="n">
        <v>46</v>
      </c>
      <c r="I3465" s="0" t="s">
        <v>11568</v>
      </c>
      <c r="J3465" s="0" t="s">
        <v>11569</v>
      </c>
      <c r="K3465" s="0" t="s">
        <v>11570</v>
      </c>
      <c r="L3465" s="0" t="str">
        <f aca="false">HYPERLINK("https://www.ncbi.nlm.nih.gov/nuccore/CP000058.1?report=graph&amp;tracks=[key:gene_model_track,Options:GeneOnly]&amp;mk=1116800:1116819|offset_46|00cc00,1116743:1116762|offset_103|444444,1116683:1116702|offset_163|444444,1116659:1116678|offset_187|444444&amp;v=1116599:1116878&amp;c=444444", "offset 46")</f>
        <v>offset 46</v>
      </c>
    </row>
    <row r="3466" customFormat="false" ht="12.8" hidden="false" customHeight="false" outlineLevel="0" collapsed="false">
      <c r="A3466" s="0" t="s">
        <v>12</v>
      </c>
      <c r="B3466" s="0" t="n">
        <v>1116742</v>
      </c>
      <c r="C3466" s="0" t="n">
        <v>1116762</v>
      </c>
      <c r="D3466" s="0" t="s">
        <v>11567</v>
      </c>
      <c r="E3466" s="0" t="s">
        <v>75</v>
      </c>
      <c r="F3466" s="0" t="s">
        <v>90</v>
      </c>
      <c r="G3466" s="0" t="s">
        <v>32</v>
      </c>
      <c r="H3466" s="0" t="n">
        <v>103</v>
      </c>
      <c r="I3466" s="0" t="s">
        <v>11571</v>
      </c>
      <c r="J3466" s="0" t="s">
        <v>11572</v>
      </c>
      <c r="K3466" s="0" t="s">
        <v>11573</v>
      </c>
      <c r="L3466" s="0" t="str">
        <f aca="false">HYPERLINK("https://www.ncbi.nlm.nih.gov/nuccore/CP000058.1?report=graph&amp;tracks=[key:gene_model_track,Options:GeneOnly]&amp;mk=1116800:1116819|offset_46|444444,1116743:1116762|offset_103|00cc00,1116683:1116702|offset_163|444444,1116659:1116678|offset_187|444444&amp;v=1116599:1116878&amp;c=444444", "offset 103")</f>
        <v>offset 103</v>
      </c>
    </row>
    <row r="3467" customFormat="false" ht="12.8" hidden="false" customHeight="false" outlineLevel="0" collapsed="false">
      <c r="A3467" s="0" t="s">
        <v>12</v>
      </c>
      <c r="B3467" s="0" t="n">
        <v>1116682</v>
      </c>
      <c r="C3467" s="0" t="n">
        <v>1116702</v>
      </c>
      <c r="D3467" s="0" t="s">
        <v>11567</v>
      </c>
      <c r="E3467" s="0" t="s">
        <v>75</v>
      </c>
      <c r="F3467" s="0" t="s">
        <v>90</v>
      </c>
      <c r="G3467" s="0" t="s">
        <v>36</v>
      </c>
      <c r="H3467" s="0" t="n">
        <v>163</v>
      </c>
      <c r="I3467" s="0" t="s">
        <v>11574</v>
      </c>
      <c r="J3467" s="0" t="s">
        <v>11575</v>
      </c>
      <c r="K3467" s="0" t="s">
        <v>11576</v>
      </c>
      <c r="L3467" s="0" t="str">
        <f aca="false">HYPERLINK("https://www.ncbi.nlm.nih.gov/nuccore/CP000058.1?report=graph&amp;tracks=[key:gene_model_track,Options:GeneOnly]&amp;mk=1116800:1116819|offset_46|444444,1116743:1116762|offset_103|444444,1116683:1116702|offset_163|00cc00,1116659:1116678|offset_187|444444&amp;v=1116599:1116878&amp;c=444444", "offset 163")</f>
        <v>offset 163</v>
      </c>
    </row>
    <row r="3468" customFormat="false" ht="12.8" hidden="false" customHeight="false" outlineLevel="0" collapsed="false">
      <c r="A3468" s="0" t="s">
        <v>12</v>
      </c>
      <c r="B3468" s="0" t="n">
        <v>1116658</v>
      </c>
      <c r="C3468" s="0" t="n">
        <v>1116678</v>
      </c>
      <c r="D3468" s="0" t="s">
        <v>11567</v>
      </c>
      <c r="E3468" s="0" t="s">
        <v>75</v>
      </c>
      <c r="F3468" s="0" t="s">
        <v>90</v>
      </c>
      <c r="G3468" s="0" t="s">
        <v>36</v>
      </c>
      <c r="H3468" s="0" t="n">
        <v>187</v>
      </c>
      <c r="I3468" s="0" t="s">
        <v>11577</v>
      </c>
      <c r="J3468" s="0" t="s">
        <v>11578</v>
      </c>
      <c r="K3468" s="0" t="s">
        <v>11579</v>
      </c>
      <c r="L3468" s="0" t="str">
        <f aca="false">HYPERLINK("https://www.ncbi.nlm.nih.gov/nuccore/CP000058.1?report=graph&amp;tracks=[key:gene_model_track,Options:GeneOnly]&amp;mk=1116800:1116819|offset_46|444444,1116743:1116762|offset_103|444444,1116683:1116702|offset_163|444444,1116659:1116678|offset_187|00cc00&amp;v=1116599:1116878&amp;c=444444", "offset 187")</f>
        <v>offset 187</v>
      </c>
    </row>
    <row r="3469" customFormat="false" ht="12.8" hidden="false" customHeight="false" outlineLevel="0" collapsed="false">
      <c r="A3469" s="0" t="s">
        <v>12</v>
      </c>
      <c r="B3469" s="0" t="n">
        <v>1119415</v>
      </c>
      <c r="C3469" s="0" t="n">
        <v>1119435</v>
      </c>
      <c r="D3469" s="0" t="s">
        <v>11580</v>
      </c>
      <c r="E3469" s="0" t="s">
        <v>75</v>
      </c>
      <c r="F3469" s="0" t="s">
        <v>90</v>
      </c>
      <c r="G3469" s="0" t="s">
        <v>16</v>
      </c>
      <c r="H3469" s="0" t="n">
        <v>31</v>
      </c>
      <c r="I3469" s="0" t="s">
        <v>11581</v>
      </c>
      <c r="J3469" s="0" t="s">
        <v>11582</v>
      </c>
      <c r="K3469" s="0" t="s">
        <v>11583</v>
      </c>
      <c r="L3469" s="0" t="str">
        <f aca="false">HYPERLINK("https://www.ncbi.nlm.nih.gov/nuccore/CP000058.1?report=graph&amp;tracks=[key:gene_model_track,Options:GeneOnly]&amp;mk=1119416:1119435|offset_31|00cc00,1119387:1119406|offset_60|444444,1119349:1119368|offset_98|444444,1119305:1119324|offset_142|444444&amp;v=1119215:1119524&amp;c=444444", "offset 31")</f>
        <v>offset 31</v>
      </c>
    </row>
    <row r="3470" customFormat="false" ht="12.8" hidden="false" customHeight="false" outlineLevel="0" collapsed="false">
      <c r="A3470" s="0" t="s">
        <v>12</v>
      </c>
      <c r="B3470" s="0" t="n">
        <v>1119386</v>
      </c>
      <c r="C3470" s="0" t="n">
        <v>1119406</v>
      </c>
      <c r="D3470" s="0" t="s">
        <v>11580</v>
      </c>
      <c r="E3470" s="0" t="s">
        <v>75</v>
      </c>
      <c r="F3470" s="0" t="s">
        <v>90</v>
      </c>
      <c r="G3470" s="0" t="s">
        <v>36</v>
      </c>
      <c r="H3470" s="0" t="n">
        <v>60</v>
      </c>
      <c r="I3470" s="0" t="s">
        <v>11584</v>
      </c>
      <c r="J3470" s="0" t="s">
        <v>11585</v>
      </c>
      <c r="K3470" s="0" t="s">
        <v>11586</v>
      </c>
      <c r="L3470" s="0" t="str">
        <f aca="false">HYPERLINK("https://www.ncbi.nlm.nih.gov/nuccore/CP000058.1?report=graph&amp;tracks=[key:gene_model_track,Options:GeneOnly]&amp;mk=1119416:1119435|offset_31|444444,1119387:1119406|offset_60|00cc00,1119349:1119368|offset_98|444444,1119305:1119324|offset_142|444444&amp;v=1119215:1119524&amp;c=444444", "offset 60")</f>
        <v>offset 60</v>
      </c>
    </row>
    <row r="3471" customFormat="false" ht="12.8" hidden="false" customHeight="false" outlineLevel="0" collapsed="false">
      <c r="A3471" s="0" t="s">
        <v>12</v>
      </c>
      <c r="B3471" s="0" t="n">
        <v>1119348</v>
      </c>
      <c r="C3471" s="0" t="n">
        <v>1119368</v>
      </c>
      <c r="D3471" s="0" t="s">
        <v>11580</v>
      </c>
      <c r="E3471" s="0" t="s">
        <v>75</v>
      </c>
      <c r="F3471" s="0" t="s">
        <v>90</v>
      </c>
      <c r="G3471" s="0" t="s">
        <v>16</v>
      </c>
      <c r="H3471" s="0" t="n">
        <v>98</v>
      </c>
      <c r="I3471" s="0" t="s">
        <v>11587</v>
      </c>
      <c r="J3471" s="0" t="s">
        <v>11588</v>
      </c>
      <c r="K3471" s="0" t="s">
        <v>11589</v>
      </c>
      <c r="L3471" s="0" t="str">
        <f aca="false">HYPERLINK("https://www.ncbi.nlm.nih.gov/nuccore/CP000058.1?report=graph&amp;tracks=[key:gene_model_track,Options:GeneOnly]&amp;mk=1119416:1119435|offset_31|444444,1119387:1119406|offset_60|444444,1119349:1119368|offset_98|00cc00,1119305:1119324|offset_142|444444&amp;v=1119215:1119524&amp;c=444444", "offset 98")</f>
        <v>offset 98</v>
      </c>
    </row>
    <row r="3472" customFormat="false" ht="12.8" hidden="false" customHeight="false" outlineLevel="0" collapsed="false">
      <c r="A3472" s="0" t="s">
        <v>12</v>
      </c>
      <c r="B3472" s="0" t="n">
        <v>1119304</v>
      </c>
      <c r="C3472" s="0" t="n">
        <v>1119324</v>
      </c>
      <c r="D3472" s="0" t="s">
        <v>11580</v>
      </c>
      <c r="E3472" s="0" t="s">
        <v>75</v>
      </c>
      <c r="F3472" s="0" t="s">
        <v>90</v>
      </c>
      <c r="G3472" s="0" t="s">
        <v>32</v>
      </c>
      <c r="H3472" s="0" t="n">
        <v>142</v>
      </c>
      <c r="I3472" s="0" t="s">
        <v>11590</v>
      </c>
      <c r="J3472" s="0" t="s">
        <v>11591</v>
      </c>
      <c r="K3472" s="0" t="s">
        <v>11592</v>
      </c>
      <c r="L3472" s="0" t="str">
        <f aca="false">HYPERLINK("https://www.ncbi.nlm.nih.gov/nuccore/CP000058.1?report=graph&amp;tracks=[key:gene_model_track,Options:GeneOnly]&amp;mk=1119416:1119435|offset_31|444444,1119387:1119406|offset_60|444444,1119349:1119368|offset_98|444444,1119305:1119324|offset_142|00cc00&amp;v=1119215:1119524&amp;c=444444", "offset 142")</f>
        <v>offset 142</v>
      </c>
    </row>
    <row r="3473" customFormat="false" ht="12.8" hidden="false" customHeight="false" outlineLevel="0" collapsed="false">
      <c r="A3473" s="0" t="s">
        <v>12</v>
      </c>
      <c r="B3473" s="0" t="n">
        <v>1119742</v>
      </c>
      <c r="C3473" s="0" t="n">
        <v>1119762</v>
      </c>
      <c r="D3473" s="0" t="s">
        <v>11593</v>
      </c>
      <c r="E3473" s="0" t="s">
        <v>75</v>
      </c>
      <c r="F3473" s="0" t="s">
        <v>15</v>
      </c>
      <c r="G3473" s="0" t="s">
        <v>20</v>
      </c>
      <c r="H3473" s="0" t="n">
        <v>8</v>
      </c>
      <c r="I3473" s="0" t="s">
        <v>11594</v>
      </c>
      <c r="J3473" s="0" t="s">
        <v>11595</v>
      </c>
      <c r="K3473" s="0" t="s">
        <v>11596</v>
      </c>
      <c r="L3473" s="0" t="str">
        <f aca="false">HYPERLINK("https://www.ncbi.nlm.nih.gov/nuccore/CP000058.1?report=graph&amp;tracks=[key:gene_model_track,Options:GeneOnly]&amp;mk=1119743:1119762|offset_8|00cc00,1119772:1119791|offset_37|444444,1119795:1119814|offset_60|444444,1119823:1119842|offset_88|444444&amp;v=1119542:1120042&amp;c=444444", "offset 8")</f>
        <v>offset 8</v>
      </c>
    </row>
    <row r="3474" customFormat="false" ht="12.8" hidden="false" customHeight="false" outlineLevel="0" collapsed="false">
      <c r="A3474" s="0" t="s">
        <v>12</v>
      </c>
      <c r="B3474" s="0" t="n">
        <v>1119771</v>
      </c>
      <c r="C3474" s="0" t="n">
        <v>1119791</v>
      </c>
      <c r="D3474" s="0" t="s">
        <v>11593</v>
      </c>
      <c r="E3474" s="0" t="s">
        <v>75</v>
      </c>
      <c r="F3474" s="0" t="s">
        <v>15</v>
      </c>
      <c r="G3474" s="0" t="s">
        <v>36</v>
      </c>
      <c r="H3474" s="0" t="n">
        <v>37</v>
      </c>
      <c r="I3474" s="0" t="s">
        <v>11597</v>
      </c>
      <c r="J3474" s="0" t="s">
        <v>11598</v>
      </c>
      <c r="K3474" s="0" t="s">
        <v>11599</v>
      </c>
      <c r="L3474" s="0" t="str">
        <f aca="false">HYPERLINK("https://www.ncbi.nlm.nih.gov/nuccore/CP000058.1?report=graph&amp;tracks=[key:gene_model_track,Options:GeneOnly]&amp;mk=1119743:1119762|offset_8|444444,1119772:1119791|offset_37|00cc00,1119795:1119814|offset_60|444444,1119823:1119842|offset_88|444444&amp;v=1119542:1120042&amp;c=444444", "offset 37")</f>
        <v>offset 37</v>
      </c>
    </row>
    <row r="3475" customFormat="false" ht="12.8" hidden="false" customHeight="false" outlineLevel="0" collapsed="false">
      <c r="A3475" s="0" t="s">
        <v>12</v>
      </c>
      <c r="B3475" s="0" t="n">
        <v>1119794</v>
      </c>
      <c r="C3475" s="0" t="n">
        <v>1119814</v>
      </c>
      <c r="D3475" s="0" t="s">
        <v>11593</v>
      </c>
      <c r="E3475" s="0" t="s">
        <v>75</v>
      </c>
      <c r="F3475" s="0" t="s">
        <v>15</v>
      </c>
      <c r="G3475" s="0" t="s">
        <v>20</v>
      </c>
      <c r="H3475" s="0" t="n">
        <v>60</v>
      </c>
      <c r="I3475" s="0" t="s">
        <v>11600</v>
      </c>
      <c r="J3475" s="0" t="s">
        <v>11601</v>
      </c>
      <c r="K3475" s="0" t="s">
        <v>11602</v>
      </c>
      <c r="L3475" s="0" t="str">
        <f aca="false">HYPERLINK("https://www.ncbi.nlm.nih.gov/nuccore/CP000058.1?report=graph&amp;tracks=[key:gene_model_track,Options:GeneOnly]&amp;mk=1119743:1119762|offset_8|444444,1119772:1119791|offset_37|444444,1119795:1119814|offset_60|00cc00,1119823:1119842|offset_88|444444&amp;v=1119542:1120042&amp;c=444444", "offset 60")</f>
        <v>offset 60</v>
      </c>
    </row>
    <row r="3476" customFormat="false" ht="12.8" hidden="false" customHeight="false" outlineLevel="0" collapsed="false">
      <c r="A3476" s="0" t="s">
        <v>12</v>
      </c>
      <c r="B3476" s="0" t="n">
        <v>1119822</v>
      </c>
      <c r="C3476" s="0" t="n">
        <v>1119842</v>
      </c>
      <c r="D3476" s="0" t="s">
        <v>11593</v>
      </c>
      <c r="E3476" s="0" t="s">
        <v>75</v>
      </c>
      <c r="F3476" s="0" t="s">
        <v>15</v>
      </c>
      <c r="G3476" s="0" t="s">
        <v>16</v>
      </c>
      <c r="H3476" s="0" t="n">
        <v>88</v>
      </c>
      <c r="I3476" s="0" t="s">
        <v>11603</v>
      </c>
      <c r="J3476" s="0" t="s">
        <v>11604</v>
      </c>
      <c r="K3476" s="0" t="s">
        <v>11605</v>
      </c>
      <c r="L3476" s="0" t="str">
        <f aca="false">HYPERLINK("https://www.ncbi.nlm.nih.gov/nuccore/CP000058.1?report=graph&amp;tracks=[key:gene_model_track,Options:GeneOnly]&amp;mk=1119743:1119762|offset_8|444444,1119772:1119791|offset_37|444444,1119795:1119814|offset_60|444444,1119823:1119842|offset_88|00cc00&amp;v=1119542:1120042&amp;c=444444", "offset 88")</f>
        <v>offset 88</v>
      </c>
    </row>
    <row r="3477" customFormat="false" ht="12.8" hidden="false" customHeight="false" outlineLevel="0" collapsed="false">
      <c r="A3477" s="0" t="s">
        <v>12</v>
      </c>
      <c r="B3477" s="0" t="n">
        <v>1121305</v>
      </c>
      <c r="C3477" s="0" t="n">
        <v>1121325</v>
      </c>
      <c r="D3477" s="0" t="s">
        <v>11606</v>
      </c>
      <c r="E3477" s="0" t="s">
        <v>75</v>
      </c>
      <c r="F3477" s="0" t="s">
        <v>15</v>
      </c>
      <c r="G3477" s="0" t="s">
        <v>36</v>
      </c>
      <c r="H3477" s="0" t="n">
        <v>34</v>
      </c>
      <c r="I3477" s="0" t="s">
        <v>11607</v>
      </c>
      <c r="J3477" s="0" t="s">
        <v>11608</v>
      </c>
      <c r="K3477" s="0" t="s">
        <v>11609</v>
      </c>
      <c r="L3477" s="0" t="str">
        <f aca="false">HYPERLINK("https://www.ncbi.nlm.nih.gov/nuccore/CP000058.1?report=graph&amp;tracks=[key:gene_model_track,Options:GeneOnly]&amp;mk=1121306:1121325|offset_34|00cc00,1121346:1121365|offset_74|444444,1121373:1121392|offset_101|444444,1121394:1121413|offset_122|444444&amp;v=1121105:1121613&amp;c=444444", "offset 34")</f>
        <v>offset 34</v>
      </c>
    </row>
    <row r="3478" customFormat="false" ht="12.8" hidden="false" customHeight="false" outlineLevel="0" collapsed="false">
      <c r="A3478" s="0" t="s">
        <v>12</v>
      </c>
      <c r="B3478" s="0" t="n">
        <v>1121345</v>
      </c>
      <c r="C3478" s="0" t="n">
        <v>1121365</v>
      </c>
      <c r="D3478" s="0" t="s">
        <v>11606</v>
      </c>
      <c r="E3478" s="0" t="s">
        <v>75</v>
      </c>
      <c r="F3478" s="0" t="s">
        <v>15</v>
      </c>
      <c r="G3478" s="0" t="s">
        <v>20</v>
      </c>
      <c r="H3478" s="0" t="n">
        <v>74</v>
      </c>
      <c r="I3478" s="0" t="s">
        <v>11610</v>
      </c>
      <c r="J3478" s="0" t="s">
        <v>11611</v>
      </c>
      <c r="K3478" s="0" t="s">
        <v>11612</v>
      </c>
      <c r="L3478" s="0" t="str">
        <f aca="false">HYPERLINK("https://www.ncbi.nlm.nih.gov/nuccore/CP000058.1?report=graph&amp;tracks=[key:gene_model_track,Options:GeneOnly]&amp;mk=1121306:1121325|offset_34|444444,1121346:1121365|offset_74|00cc00,1121373:1121392|offset_101|444444,1121394:1121413|offset_122|444444&amp;v=1121105:1121613&amp;c=444444", "offset 74")</f>
        <v>offset 74</v>
      </c>
    </row>
    <row r="3479" customFormat="false" ht="12.8" hidden="false" customHeight="false" outlineLevel="0" collapsed="false">
      <c r="A3479" s="0" t="s">
        <v>12</v>
      </c>
      <c r="B3479" s="0" t="n">
        <v>1121372</v>
      </c>
      <c r="C3479" s="0" t="n">
        <v>1121392</v>
      </c>
      <c r="D3479" s="0" t="s">
        <v>11606</v>
      </c>
      <c r="E3479" s="0" t="s">
        <v>75</v>
      </c>
      <c r="F3479" s="0" t="s">
        <v>15</v>
      </c>
      <c r="G3479" s="0" t="s">
        <v>36</v>
      </c>
      <c r="H3479" s="0" t="n">
        <v>101</v>
      </c>
      <c r="I3479" s="0" t="s">
        <v>11613</v>
      </c>
      <c r="J3479" s="0" t="s">
        <v>11614</v>
      </c>
      <c r="K3479" s="0" t="s">
        <v>11615</v>
      </c>
      <c r="L3479" s="0" t="str">
        <f aca="false">HYPERLINK("https://www.ncbi.nlm.nih.gov/nuccore/CP000058.1?report=graph&amp;tracks=[key:gene_model_track,Options:GeneOnly]&amp;mk=1121306:1121325|offset_34|444444,1121346:1121365|offset_74|444444,1121373:1121392|offset_101|00cc00,1121394:1121413|offset_122|444444&amp;v=1121105:1121613&amp;c=444444", "offset 101")</f>
        <v>offset 101</v>
      </c>
    </row>
    <row r="3480" customFormat="false" ht="12.8" hidden="false" customHeight="false" outlineLevel="0" collapsed="false">
      <c r="A3480" s="0" t="s">
        <v>12</v>
      </c>
      <c r="B3480" s="0" t="n">
        <v>1121393</v>
      </c>
      <c r="C3480" s="0" t="n">
        <v>1121413</v>
      </c>
      <c r="D3480" s="0" t="s">
        <v>11606</v>
      </c>
      <c r="E3480" s="0" t="s">
        <v>75</v>
      </c>
      <c r="F3480" s="0" t="s">
        <v>15</v>
      </c>
      <c r="G3480" s="0" t="s">
        <v>20</v>
      </c>
      <c r="H3480" s="0" t="n">
        <v>122</v>
      </c>
      <c r="I3480" s="0" t="s">
        <v>11616</v>
      </c>
      <c r="J3480" s="0" t="s">
        <v>11617</v>
      </c>
      <c r="K3480" s="0" t="s">
        <v>11618</v>
      </c>
      <c r="L3480" s="0" t="str">
        <f aca="false">HYPERLINK("https://www.ncbi.nlm.nih.gov/nuccore/CP000058.1?report=graph&amp;tracks=[key:gene_model_track,Options:GeneOnly]&amp;mk=1121306:1121325|offset_34|444444,1121346:1121365|offset_74|444444,1121373:1121392|offset_101|444444,1121394:1121413|offset_122|00cc00&amp;v=1121105:1121613&amp;c=444444", "offset 122")</f>
        <v>offset 122</v>
      </c>
    </row>
    <row r="3481" customFormat="false" ht="12.8" hidden="false" customHeight="false" outlineLevel="0" collapsed="false">
      <c r="A3481" s="0" t="s">
        <v>12</v>
      </c>
      <c r="B3481" s="0" t="n">
        <v>1124107</v>
      </c>
      <c r="C3481" s="0" t="n">
        <v>1124127</v>
      </c>
      <c r="D3481" s="0" t="s">
        <v>11619</v>
      </c>
      <c r="E3481" s="0" t="s">
        <v>75</v>
      </c>
      <c r="F3481" s="0" t="s">
        <v>15</v>
      </c>
      <c r="G3481" s="0" t="s">
        <v>16</v>
      </c>
      <c r="H3481" s="0" t="n">
        <v>477</v>
      </c>
      <c r="I3481" s="0" t="s">
        <v>11620</v>
      </c>
      <c r="J3481" s="0" t="s">
        <v>11621</v>
      </c>
      <c r="K3481" s="0" t="s">
        <v>11622</v>
      </c>
      <c r="L3481" s="0" t="str">
        <f aca="false">HYPERLINK("https://www.ncbi.nlm.nih.gov/nuccore/CP000058.1?report=graph&amp;tracks=[key:gene_model_track,Options:GeneOnly]&amp;mk=1124108:1124127|offset_477|00cc00&amp;v=1123907:1124327&amp;c=444444", "offset 477")</f>
        <v>offset 477</v>
      </c>
    </row>
    <row r="3482" customFormat="false" ht="12.8" hidden="false" customHeight="false" outlineLevel="0" collapsed="false">
      <c r="A3482" s="0" t="s">
        <v>12</v>
      </c>
      <c r="B3482" s="0" t="n">
        <v>1124730</v>
      </c>
      <c r="C3482" s="0" t="n">
        <v>1124750</v>
      </c>
      <c r="D3482" s="0" t="s">
        <v>11623</v>
      </c>
      <c r="E3482" s="0" t="s">
        <v>75</v>
      </c>
      <c r="F3482" s="0" t="s">
        <v>90</v>
      </c>
      <c r="G3482" s="0" t="s">
        <v>16</v>
      </c>
      <c r="H3482" s="0" t="n">
        <v>1</v>
      </c>
      <c r="I3482" s="0" t="s">
        <v>11624</v>
      </c>
      <c r="J3482" s="0" t="s">
        <v>11625</v>
      </c>
      <c r="K3482" s="0" t="s">
        <v>11626</v>
      </c>
      <c r="L3482" s="0" t="str">
        <f aca="false">HYPERLINK("https://www.ncbi.nlm.nih.gov/nuccore/CP000058.1?report=graph&amp;tracks=[key:gene_model_track,Options:GeneOnly]&amp;mk=1124731:1124750|offset_1|00cc00,1124705:1124724|offset_27|444444,1124670:1124689|offset_62|444444,1124649:1124668|offset_83|444444&amp;v=1124530:1124868&amp;c=444444", "offset 1")</f>
        <v>offset 1</v>
      </c>
    </row>
    <row r="3483" customFormat="false" ht="12.8" hidden="false" customHeight="false" outlineLevel="0" collapsed="false">
      <c r="A3483" s="0" t="s">
        <v>12</v>
      </c>
      <c r="B3483" s="0" t="n">
        <v>1124704</v>
      </c>
      <c r="C3483" s="0" t="n">
        <v>1124724</v>
      </c>
      <c r="D3483" s="0" t="s">
        <v>11623</v>
      </c>
      <c r="E3483" s="0" t="s">
        <v>75</v>
      </c>
      <c r="F3483" s="0" t="s">
        <v>90</v>
      </c>
      <c r="G3483" s="0" t="s">
        <v>20</v>
      </c>
      <c r="H3483" s="0" t="n">
        <v>27</v>
      </c>
      <c r="I3483" s="0" t="s">
        <v>11627</v>
      </c>
      <c r="J3483" s="0" t="s">
        <v>11628</v>
      </c>
      <c r="K3483" s="0" t="s">
        <v>11629</v>
      </c>
      <c r="L3483" s="0" t="str">
        <f aca="false">HYPERLINK("https://www.ncbi.nlm.nih.gov/nuccore/CP000058.1?report=graph&amp;tracks=[key:gene_model_track,Options:GeneOnly]&amp;mk=1124731:1124750|offset_1|444444,1124705:1124724|offset_27|00cc00,1124670:1124689|offset_62|444444,1124649:1124668|offset_83|444444&amp;v=1124530:1124868&amp;c=444444", "offset 27")</f>
        <v>offset 27</v>
      </c>
    </row>
    <row r="3484" customFormat="false" ht="12.8" hidden="false" customHeight="false" outlineLevel="0" collapsed="false">
      <c r="A3484" s="0" t="s">
        <v>12</v>
      </c>
      <c r="B3484" s="0" t="n">
        <v>1124669</v>
      </c>
      <c r="C3484" s="0" t="n">
        <v>1124689</v>
      </c>
      <c r="D3484" s="0" t="s">
        <v>11623</v>
      </c>
      <c r="E3484" s="0" t="s">
        <v>75</v>
      </c>
      <c r="F3484" s="0" t="s">
        <v>90</v>
      </c>
      <c r="G3484" s="0" t="s">
        <v>16</v>
      </c>
      <c r="H3484" s="0" t="n">
        <v>62</v>
      </c>
      <c r="I3484" s="0" t="s">
        <v>11630</v>
      </c>
      <c r="J3484" s="0" t="s">
        <v>11631</v>
      </c>
      <c r="K3484" s="0" t="s">
        <v>11632</v>
      </c>
      <c r="L3484" s="0" t="str">
        <f aca="false">HYPERLINK("https://www.ncbi.nlm.nih.gov/nuccore/CP000058.1?report=graph&amp;tracks=[key:gene_model_track,Options:GeneOnly]&amp;mk=1124731:1124750|offset_1|444444,1124705:1124724|offset_27|444444,1124670:1124689|offset_62|00cc00,1124649:1124668|offset_83|444444&amp;v=1124530:1124868&amp;c=444444", "offset 62")</f>
        <v>offset 62</v>
      </c>
    </row>
    <row r="3485" customFormat="false" ht="12.8" hidden="false" customHeight="false" outlineLevel="0" collapsed="false">
      <c r="A3485" s="0" t="s">
        <v>12</v>
      </c>
      <c r="B3485" s="0" t="n">
        <v>1124648</v>
      </c>
      <c r="C3485" s="0" t="n">
        <v>1124668</v>
      </c>
      <c r="D3485" s="0" t="s">
        <v>11623</v>
      </c>
      <c r="E3485" s="0" t="s">
        <v>75</v>
      </c>
      <c r="F3485" s="0" t="s">
        <v>90</v>
      </c>
      <c r="G3485" s="0" t="s">
        <v>20</v>
      </c>
      <c r="H3485" s="0" t="n">
        <v>83</v>
      </c>
      <c r="I3485" s="0" t="s">
        <v>11633</v>
      </c>
      <c r="J3485" s="0" t="s">
        <v>11634</v>
      </c>
      <c r="K3485" s="0" t="s">
        <v>11635</v>
      </c>
      <c r="L3485" s="0" t="str">
        <f aca="false">HYPERLINK("https://www.ncbi.nlm.nih.gov/nuccore/CP000058.1?report=graph&amp;tracks=[key:gene_model_track,Options:GeneOnly]&amp;mk=1124731:1124750|offset_1|444444,1124705:1124724|offset_27|444444,1124670:1124689|offset_62|444444,1124649:1124668|offset_83|00cc00&amp;v=1124530:1124868&amp;c=444444", "offset 83")</f>
        <v>offset 83</v>
      </c>
    </row>
    <row r="3486" customFormat="false" ht="12.8" hidden="false" customHeight="false" outlineLevel="0" collapsed="false">
      <c r="A3486" s="0" t="s">
        <v>12</v>
      </c>
      <c r="B3486" s="0" t="n">
        <v>1125478</v>
      </c>
      <c r="C3486" s="0" t="n">
        <v>1125498</v>
      </c>
      <c r="D3486" s="0" t="s">
        <v>11636</v>
      </c>
      <c r="E3486" s="0" t="s">
        <v>75</v>
      </c>
      <c r="F3486" s="0" t="s">
        <v>90</v>
      </c>
      <c r="G3486" s="0" t="s">
        <v>16</v>
      </c>
      <c r="H3486" s="0" t="n">
        <v>17</v>
      </c>
      <c r="I3486" s="0" t="s">
        <v>11637</v>
      </c>
      <c r="J3486" s="0" t="s">
        <v>11638</v>
      </c>
      <c r="K3486" s="0" t="s">
        <v>11639</v>
      </c>
      <c r="L3486" s="0" t="str">
        <f aca="false">HYPERLINK("https://www.ncbi.nlm.nih.gov/nuccore/CP000058.1?report=graph&amp;tracks=[key:gene_model_track,Options:GeneOnly]&amp;mk=1125479:1125498|offset_17|00cc00,1125455:1125474|offset_41|444444,1125422:1125441|offset_74|444444,1125372:1125391|offset_124|444444&amp;v=1125278:1125591&amp;c=444444", "offset 17")</f>
        <v>offset 17</v>
      </c>
    </row>
    <row r="3487" customFormat="false" ht="12.8" hidden="false" customHeight="false" outlineLevel="0" collapsed="false">
      <c r="A3487" s="0" t="s">
        <v>12</v>
      </c>
      <c r="B3487" s="0" t="n">
        <v>1125454</v>
      </c>
      <c r="C3487" s="0" t="n">
        <v>1125474</v>
      </c>
      <c r="D3487" s="0" t="s">
        <v>11636</v>
      </c>
      <c r="E3487" s="0" t="s">
        <v>75</v>
      </c>
      <c r="F3487" s="0" t="s">
        <v>90</v>
      </c>
      <c r="G3487" s="0" t="s">
        <v>20</v>
      </c>
      <c r="H3487" s="0" t="n">
        <v>41</v>
      </c>
      <c r="I3487" s="0" t="s">
        <v>11640</v>
      </c>
      <c r="J3487" s="0" t="s">
        <v>11641</v>
      </c>
      <c r="K3487" s="0" t="s">
        <v>11642</v>
      </c>
      <c r="L3487" s="0" t="str">
        <f aca="false">HYPERLINK("https://www.ncbi.nlm.nih.gov/nuccore/CP000058.1?report=graph&amp;tracks=[key:gene_model_track,Options:GeneOnly]&amp;mk=1125479:1125498|offset_17|444444,1125455:1125474|offset_41|00cc00,1125422:1125441|offset_74|444444,1125372:1125391|offset_124|444444&amp;v=1125278:1125591&amp;c=444444", "offset 41")</f>
        <v>offset 41</v>
      </c>
    </row>
    <row r="3488" customFormat="false" ht="12.8" hidden="false" customHeight="false" outlineLevel="0" collapsed="false">
      <c r="A3488" s="0" t="s">
        <v>12</v>
      </c>
      <c r="B3488" s="0" t="n">
        <v>1125421</v>
      </c>
      <c r="C3488" s="0" t="n">
        <v>1125441</v>
      </c>
      <c r="D3488" s="0" t="s">
        <v>11636</v>
      </c>
      <c r="E3488" s="0" t="s">
        <v>75</v>
      </c>
      <c r="F3488" s="0" t="s">
        <v>90</v>
      </c>
      <c r="G3488" s="0" t="s">
        <v>32</v>
      </c>
      <c r="H3488" s="0" t="n">
        <v>74</v>
      </c>
      <c r="I3488" s="0" t="s">
        <v>11643</v>
      </c>
      <c r="J3488" s="0" t="s">
        <v>11644</v>
      </c>
      <c r="K3488" s="0" t="s">
        <v>11645</v>
      </c>
      <c r="L3488" s="0" t="str">
        <f aca="false">HYPERLINK("https://www.ncbi.nlm.nih.gov/nuccore/CP000058.1?report=graph&amp;tracks=[key:gene_model_track,Options:GeneOnly]&amp;mk=1125479:1125498|offset_17|444444,1125455:1125474|offset_41|444444,1125422:1125441|offset_74|00cc00,1125372:1125391|offset_124|444444&amp;v=1125278:1125591&amp;c=444444", "offset 74")</f>
        <v>offset 74</v>
      </c>
    </row>
    <row r="3489" customFormat="false" ht="12.8" hidden="false" customHeight="false" outlineLevel="0" collapsed="false">
      <c r="A3489" s="0" t="s">
        <v>12</v>
      </c>
      <c r="B3489" s="0" t="n">
        <v>1125371</v>
      </c>
      <c r="C3489" s="0" t="n">
        <v>1125391</v>
      </c>
      <c r="D3489" s="0" t="s">
        <v>11636</v>
      </c>
      <c r="E3489" s="0" t="s">
        <v>75</v>
      </c>
      <c r="F3489" s="0" t="s">
        <v>90</v>
      </c>
      <c r="G3489" s="0" t="s">
        <v>32</v>
      </c>
      <c r="H3489" s="0" t="n">
        <v>124</v>
      </c>
      <c r="I3489" s="0" t="s">
        <v>11646</v>
      </c>
      <c r="J3489" s="0" t="s">
        <v>11647</v>
      </c>
      <c r="K3489" s="0" t="s">
        <v>11648</v>
      </c>
      <c r="L3489" s="0" t="str">
        <f aca="false">HYPERLINK("https://www.ncbi.nlm.nih.gov/nuccore/CP000058.1?report=graph&amp;tracks=[key:gene_model_track,Options:GeneOnly]&amp;mk=1125479:1125498|offset_17|444444,1125455:1125474|offset_41|444444,1125422:1125441|offset_74|444444,1125372:1125391|offset_124|00cc00&amp;v=1125278:1125591&amp;c=444444", "offset 124")</f>
        <v>offset 124</v>
      </c>
    </row>
    <row r="3490" customFormat="false" ht="12.8" hidden="false" customHeight="false" outlineLevel="0" collapsed="false">
      <c r="A3490" s="0" t="s">
        <v>12</v>
      </c>
      <c r="B3490" s="0" t="n">
        <v>1127199</v>
      </c>
      <c r="C3490" s="0" t="n">
        <v>1127219</v>
      </c>
      <c r="D3490" s="0" t="s">
        <v>11649</v>
      </c>
      <c r="E3490" s="0" t="s">
        <v>75</v>
      </c>
      <c r="F3490" s="0" t="s">
        <v>90</v>
      </c>
      <c r="G3490" s="0" t="s">
        <v>32</v>
      </c>
      <c r="H3490" s="0" t="n">
        <v>1</v>
      </c>
      <c r="I3490" s="0" t="s">
        <v>11650</v>
      </c>
      <c r="J3490" s="0" t="s">
        <v>11651</v>
      </c>
      <c r="K3490" s="0" t="s">
        <v>11652</v>
      </c>
      <c r="L3490" s="0" t="str">
        <f aca="false">HYPERLINK("https://www.ncbi.nlm.nih.gov/nuccore/CP000058.1?report=graph&amp;tracks=[key:gene_model_track,Options:GeneOnly]&amp;mk=1127200:1127219|offset_1|00cc00,1127177:1127196|offset_24|444444,1127155:1127174|offset_46|444444,1127095:1127114|offset_106|444444&amp;v=1126999:1127314&amp;c=444444", "offset 1")</f>
        <v>offset 1</v>
      </c>
    </row>
    <row r="3491" customFormat="false" ht="12.8" hidden="false" customHeight="false" outlineLevel="0" collapsed="false">
      <c r="A3491" s="0" t="s">
        <v>12</v>
      </c>
      <c r="B3491" s="0" t="n">
        <v>1127176</v>
      </c>
      <c r="C3491" s="0" t="n">
        <v>1127196</v>
      </c>
      <c r="D3491" s="0" t="s">
        <v>11649</v>
      </c>
      <c r="E3491" s="0" t="s">
        <v>75</v>
      </c>
      <c r="F3491" s="0" t="s">
        <v>90</v>
      </c>
      <c r="G3491" s="0" t="s">
        <v>16</v>
      </c>
      <c r="H3491" s="0" t="n">
        <v>24</v>
      </c>
      <c r="I3491" s="0" t="s">
        <v>11653</v>
      </c>
      <c r="J3491" s="0" t="s">
        <v>11654</v>
      </c>
      <c r="K3491" s="0" t="s">
        <v>11655</v>
      </c>
      <c r="L3491" s="0" t="str">
        <f aca="false">HYPERLINK("https://www.ncbi.nlm.nih.gov/nuccore/CP000058.1?report=graph&amp;tracks=[key:gene_model_track,Options:GeneOnly]&amp;mk=1127200:1127219|offset_1|444444,1127177:1127196|offset_24|00cc00,1127155:1127174|offset_46|444444,1127095:1127114|offset_106|444444&amp;v=1126999:1127314&amp;c=444444", "offset 24")</f>
        <v>offset 24</v>
      </c>
    </row>
    <row r="3492" customFormat="false" ht="12.8" hidden="false" customHeight="false" outlineLevel="0" collapsed="false">
      <c r="A3492" s="0" t="s">
        <v>12</v>
      </c>
      <c r="B3492" s="0" t="n">
        <v>1127154</v>
      </c>
      <c r="C3492" s="0" t="n">
        <v>1127174</v>
      </c>
      <c r="D3492" s="0" t="s">
        <v>11649</v>
      </c>
      <c r="E3492" s="0" t="s">
        <v>75</v>
      </c>
      <c r="F3492" s="0" t="s">
        <v>90</v>
      </c>
      <c r="G3492" s="0" t="s">
        <v>32</v>
      </c>
      <c r="H3492" s="0" t="n">
        <v>46</v>
      </c>
      <c r="I3492" s="0" t="s">
        <v>11656</v>
      </c>
      <c r="J3492" s="0" t="s">
        <v>11657</v>
      </c>
      <c r="K3492" s="0" t="s">
        <v>11658</v>
      </c>
      <c r="L3492" s="0" t="str">
        <f aca="false">HYPERLINK("https://www.ncbi.nlm.nih.gov/nuccore/CP000058.1?report=graph&amp;tracks=[key:gene_model_track,Options:GeneOnly]&amp;mk=1127200:1127219|offset_1|444444,1127177:1127196|offset_24|444444,1127155:1127174|offset_46|00cc00,1127095:1127114|offset_106|444444&amp;v=1126999:1127314&amp;c=444444", "offset 46")</f>
        <v>offset 46</v>
      </c>
    </row>
    <row r="3493" customFormat="false" ht="12.8" hidden="false" customHeight="false" outlineLevel="0" collapsed="false">
      <c r="A3493" s="0" t="s">
        <v>12</v>
      </c>
      <c r="B3493" s="0" t="n">
        <v>1127094</v>
      </c>
      <c r="C3493" s="0" t="n">
        <v>1127114</v>
      </c>
      <c r="D3493" s="0" t="s">
        <v>11649</v>
      </c>
      <c r="E3493" s="0" t="s">
        <v>75</v>
      </c>
      <c r="F3493" s="0" t="s">
        <v>90</v>
      </c>
      <c r="G3493" s="0" t="s">
        <v>32</v>
      </c>
      <c r="H3493" s="0" t="n">
        <v>106</v>
      </c>
      <c r="I3493" s="0" t="s">
        <v>11659</v>
      </c>
      <c r="J3493" s="0" t="s">
        <v>11660</v>
      </c>
      <c r="K3493" s="0" t="s">
        <v>11661</v>
      </c>
      <c r="L3493" s="0" t="str">
        <f aca="false">HYPERLINK("https://www.ncbi.nlm.nih.gov/nuccore/CP000058.1?report=graph&amp;tracks=[key:gene_model_track,Options:GeneOnly]&amp;mk=1127200:1127219|offset_1|444444,1127177:1127196|offset_24|444444,1127155:1127174|offset_46|444444,1127095:1127114|offset_106|00cc00&amp;v=1126999:1127314&amp;c=444444", "offset 106")</f>
        <v>offset 106</v>
      </c>
    </row>
    <row r="3494" customFormat="false" ht="12.8" hidden="false" customHeight="false" outlineLevel="0" collapsed="false">
      <c r="A3494" s="0" t="s">
        <v>12</v>
      </c>
      <c r="B3494" s="0" t="n">
        <v>1127579</v>
      </c>
      <c r="C3494" s="0" t="n">
        <v>1127599</v>
      </c>
      <c r="D3494" s="0" t="s">
        <v>11662</v>
      </c>
      <c r="E3494" s="0" t="s">
        <v>75</v>
      </c>
      <c r="F3494" s="0" t="s">
        <v>15</v>
      </c>
      <c r="G3494" s="0" t="s">
        <v>32</v>
      </c>
      <c r="H3494" s="0" t="n">
        <v>21</v>
      </c>
      <c r="I3494" s="0" t="s">
        <v>11663</v>
      </c>
      <c r="J3494" s="0" t="s">
        <v>11664</v>
      </c>
      <c r="K3494" s="0" t="s">
        <v>11665</v>
      </c>
      <c r="L3494" s="0" t="str">
        <f aca="false">HYPERLINK("https://www.ncbi.nlm.nih.gov/nuccore/CP000058.1?report=graph&amp;tracks=[key:gene_model_track,Options:GeneOnly]&amp;mk=1127580:1127599|offset_21|00cc00,1127636:1127655|offset_77|444444,1127680:1127699|offset_121|444444,1127713:1127732|offset_154|444444&amp;v=1127379:1127932&amp;c=444444", "offset 21")</f>
        <v>offset 21</v>
      </c>
    </row>
    <row r="3495" customFormat="false" ht="12.8" hidden="false" customHeight="false" outlineLevel="0" collapsed="false">
      <c r="A3495" s="0" t="s">
        <v>12</v>
      </c>
      <c r="B3495" s="0" t="n">
        <v>1127635</v>
      </c>
      <c r="C3495" s="0" t="n">
        <v>1127655</v>
      </c>
      <c r="D3495" s="0" t="s">
        <v>11662</v>
      </c>
      <c r="E3495" s="0" t="s">
        <v>75</v>
      </c>
      <c r="F3495" s="0" t="s">
        <v>15</v>
      </c>
      <c r="G3495" s="0" t="s">
        <v>20</v>
      </c>
      <c r="H3495" s="0" t="n">
        <v>77</v>
      </c>
      <c r="I3495" s="0" t="s">
        <v>11666</v>
      </c>
      <c r="J3495" s="0" t="s">
        <v>11667</v>
      </c>
      <c r="K3495" s="0" t="s">
        <v>11668</v>
      </c>
      <c r="L3495" s="0" t="str">
        <f aca="false">HYPERLINK("https://www.ncbi.nlm.nih.gov/nuccore/CP000058.1?report=graph&amp;tracks=[key:gene_model_track,Options:GeneOnly]&amp;mk=1127580:1127599|offset_21|444444,1127636:1127655|offset_77|00cc00,1127680:1127699|offset_121|444444,1127713:1127732|offset_154|444444&amp;v=1127379:1127932&amp;c=444444", "offset 77")</f>
        <v>offset 77</v>
      </c>
    </row>
    <row r="3496" customFormat="false" ht="12.8" hidden="false" customHeight="false" outlineLevel="0" collapsed="false">
      <c r="A3496" s="0" t="s">
        <v>12</v>
      </c>
      <c r="B3496" s="0" t="n">
        <v>1127679</v>
      </c>
      <c r="C3496" s="0" t="n">
        <v>1127699</v>
      </c>
      <c r="D3496" s="0" t="s">
        <v>11662</v>
      </c>
      <c r="E3496" s="0" t="s">
        <v>75</v>
      </c>
      <c r="F3496" s="0" t="s">
        <v>15</v>
      </c>
      <c r="G3496" s="0" t="s">
        <v>32</v>
      </c>
      <c r="H3496" s="0" t="n">
        <v>121</v>
      </c>
      <c r="I3496" s="0" t="s">
        <v>11669</v>
      </c>
      <c r="J3496" s="0" t="s">
        <v>11670</v>
      </c>
      <c r="K3496" s="0" t="s">
        <v>11671</v>
      </c>
      <c r="L3496" s="0" t="str">
        <f aca="false">HYPERLINK("https://www.ncbi.nlm.nih.gov/nuccore/CP000058.1?report=graph&amp;tracks=[key:gene_model_track,Options:GeneOnly]&amp;mk=1127580:1127599|offset_21|444444,1127636:1127655|offset_77|444444,1127680:1127699|offset_121|00cc00,1127713:1127732|offset_154|444444&amp;v=1127379:1127932&amp;c=444444", "offset 121")</f>
        <v>offset 121</v>
      </c>
    </row>
    <row r="3497" customFormat="false" ht="12.8" hidden="false" customHeight="false" outlineLevel="0" collapsed="false">
      <c r="A3497" s="0" t="s">
        <v>12</v>
      </c>
      <c r="B3497" s="0" t="n">
        <v>1127712</v>
      </c>
      <c r="C3497" s="0" t="n">
        <v>1127732</v>
      </c>
      <c r="D3497" s="0" t="s">
        <v>11662</v>
      </c>
      <c r="E3497" s="0" t="s">
        <v>75</v>
      </c>
      <c r="F3497" s="0" t="s">
        <v>15</v>
      </c>
      <c r="G3497" s="0" t="s">
        <v>16</v>
      </c>
      <c r="H3497" s="0" t="n">
        <v>154</v>
      </c>
      <c r="I3497" s="0" t="s">
        <v>11672</v>
      </c>
      <c r="J3497" s="0" t="s">
        <v>11673</v>
      </c>
      <c r="K3497" s="0" t="s">
        <v>11674</v>
      </c>
      <c r="L3497" s="0" t="str">
        <f aca="false">HYPERLINK("https://www.ncbi.nlm.nih.gov/nuccore/CP000058.1?report=graph&amp;tracks=[key:gene_model_track,Options:GeneOnly]&amp;mk=1127580:1127599|offset_21|444444,1127636:1127655|offset_77|444444,1127680:1127699|offset_121|444444,1127713:1127732|offset_154|00cc00&amp;v=1127379:1127932&amp;c=444444", "offset 154")</f>
        <v>offset 154</v>
      </c>
    </row>
    <row r="3498" customFormat="false" ht="12.8" hidden="false" customHeight="false" outlineLevel="0" collapsed="false">
      <c r="A3498" s="0" t="s">
        <v>12</v>
      </c>
      <c r="B3498" s="0" t="n">
        <v>1130742</v>
      </c>
      <c r="C3498" s="0" t="n">
        <v>1130762</v>
      </c>
      <c r="D3498" s="0" t="s">
        <v>11675</v>
      </c>
      <c r="E3498" s="0" t="s">
        <v>75</v>
      </c>
      <c r="F3498" s="0" t="s">
        <v>90</v>
      </c>
      <c r="G3498" s="0" t="s">
        <v>20</v>
      </c>
      <c r="H3498" s="0" t="n">
        <v>31</v>
      </c>
      <c r="I3498" s="0" t="s">
        <v>11676</v>
      </c>
      <c r="J3498" s="0" t="s">
        <v>11677</v>
      </c>
      <c r="K3498" s="0" t="s">
        <v>11678</v>
      </c>
      <c r="L3498" s="0" t="str">
        <f aca="false">HYPERLINK("https://www.ncbi.nlm.nih.gov/nuccore/CP000058.1?report=graph&amp;tracks=[key:gene_model_track,Options:GeneOnly]&amp;mk=1130743:1130762|offset_31|00cc00,1130700:1130719|offset_74|444444,1130643:1130662|offset_131|444444,1130622:1130641|offset_152|444444&amp;v=1130542:1130841&amp;c=444444", "offset 31")</f>
        <v>offset 31</v>
      </c>
    </row>
    <row r="3499" customFormat="false" ht="12.8" hidden="false" customHeight="false" outlineLevel="0" collapsed="false">
      <c r="A3499" s="0" t="s">
        <v>12</v>
      </c>
      <c r="B3499" s="0" t="n">
        <v>1130699</v>
      </c>
      <c r="C3499" s="0" t="n">
        <v>1130719</v>
      </c>
      <c r="D3499" s="0" t="s">
        <v>11675</v>
      </c>
      <c r="E3499" s="0" t="s">
        <v>75</v>
      </c>
      <c r="F3499" s="0" t="s">
        <v>90</v>
      </c>
      <c r="G3499" s="0" t="s">
        <v>32</v>
      </c>
      <c r="H3499" s="0" t="n">
        <v>74</v>
      </c>
      <c r="I3499" s="0" t="s">
        <v>11679</v>
      </c>
      <c r="J3499" s="0" t="s">
        <v>11680</v>
      </c>
      <c r="K3499" s="0" t="s">
        <v>11681</v>
      </c>
      <c r="L3499" s="0" t="str">
        <f aca="false">HYPERLINK("https://www.ncbi.nlm.nih.gov/nuccore/CP000058.1?report=graph&amp;tracks=[key:gene_model_track,Options:GeneOnly]&amp;mk=1130743:1130762|offset_31|444444,1130700:1130719|offset_74|00cc00,1130643:1130662|offset_131|444444,1130622:1130641|offset_152|444444&amp;v=1130542:1130841&amp;c=444444", "offset 74")</f>
        <v>offset 74</v>
      </c>
    </row>
    <row r="3500" customFormat="false" ht="12.8" hidden="false" customHeight="false" outlineLevel="0" collapsed="false">
      <c r="A3500" s="0" t="s">
        <v>12</v>
      </c>
      <c r="B3500" s="0" t="n">
        <v>1130642</v>
      </c>
      <c r="C3500" s="0" t="n">
        <v>1130662</v>
      </c>
      <c r="D3500" s="0" t="s">
        <v>11675</v>
      </c>
      <c r="E3500" s="0" t="s">
        <v>75</v>
      </c>
      <c r="F3500" s="0" t="s">
        <v>90</v>
      </c>
      <c r="G3500" s="0" t="s">
        <v>36</v>
      </c>
      <c r="H3500" s="0" t="n">
        <v>131</v>
      </c>
      <c r="I3500" s="0" t="s">
        <v>11682</v>
      </c>
      <c r="J3500" s="0" t="s">
        <v>11683</v>
      </c>
      <c r="K3500" s="0" t="s">
        <v>11684</v>
      </c>
      <c r="L3500" s="0" t="str">
        <f aca="false">HYPERLINK("https://www.ncbi.nlm.nih.gov/nuccore/CP000058.1?report=graph&amp;tracks=[key:gene_model_track,Options:GeneOnly]&amp;mk=1130743:1130762|offset_31|444444,1130700:1130719|offset_74|444444,1130643:1130662|offset_131|00cc00,1130622:1130641|offset_152|444444&amp;v=1130542:1130841&amp;c=444444", "offset 131")</f>
        <v>offset 131</v>
      </c>
    </row>
    <row r="3501" customFormat="false" ht="12.8" hidden="false" customHeight="false" outlineLevel="0" collapsed="false">
      <c r="A3501" s="0" t="s">
        <v>12</v>
      </c>
      <c r="B3501" s="0" t="n">
        <v>1130621</v>
      </c>
      <c r="C3501" s="0" t="n">
        <v>1130641</v>
      </c>
      <c r="D3501" s="0" t="s">
        <v>11675</v>
      </c>
      <c r="E3501" s="0" t="s">
        <v>75</v>
      </c>
      <c r="F3501" s="0" t="s">
        <v>90</v>
      </c>
      <c r="G3501" s="0" t="s">
        <v>20</v>
      </c>
      <c r="H3501" s="0" t="n">
        <v>152</v>
      </c>
      <c r="I3501" s="0" t="s">
        <v>11685</v>
      </c>
      <c r="J3501" s="0" t="s">
        <v>11686</v>
      </c>
      <c r="K3501" s="0" t="s">
        <v>11687</v>
      </c>
      <c r="L3501" s="0" t="str">
        <f aca="false">HYPERLINK("https://www.ncbi.nlm.nih.gov/nuccore/CP000058.1?report=graph&amp;tracks=[key:gene_model_track,Options:GeneOnly]&amp;mk=1130743:1130762|offset_31|444444,1130700:1130719|offset_74|444444,1130643:1130662|offset_131|444444,1130622:1130641|offset_152|00cc00&amp;v=1130542:1130841&amp;c=444444", "offset 152")</f>
        <v>offset 152</v>
      </c>
    </row>
    <row r="3502" customFormat="false" ht="12.8" hidden="false" customHeight="false" outlineLevel="0" collapsed="false">
      <c r="A3502" s="0" t="s">
        <v>12</v>
      </c>
      <c r="B3502" s="0" t="n">
        <v>1131772</v>
      </c>
      <c r="C3502" s="0" t="n">
        <v>1131792</v>
      </c>
      <c r="D3502" s="0" t="s">
        <v>11688</v>
      </c>
      <c r="E3502" s="0" t="s">
        <v>75</v>
      </c>
      <c r="F3502" s="0" t="s">
        <v>90</v>
      </c>
      <c r="G3502" s="0" t="s">
        <v>16</v>
      </c>
      <c r="H3502" s="0" t="n">
        <v>13</v>
      </c>
      <c r="I3502" s="0" t="s">
        <v>11689</v>
      </c>
      <c r="J3502" s="0" t="s">
        <v>11690</v>
      </c>
      <c r="K3502" s="0" t="s">
        <v>11691</v>
      </c>
      <c r="L3502" s="0" t="str">
        <f aca="false">HYPERLINK("https://www.ncbi.nlm.nih.gov/nuccore/CP000058.1?report=graph&amp;tracks=[key:gene_model_track,Options:GeneOnly]&amp;mk=1131773:1131792|offset_13|00cc00,1131752:1131771|offset_34|444444,1131730:1131749|offset_56|444444,1131707:1131726|offset_79|444444&amp;v=1131572:1131926&amp;c=444444", "offset 13")</f>
        <v>offset 13</v>
      </c>
    </row>
    <row r="3503" customFormat="false" ht="12.8" hidden="false" customHeight="false" outlineLevel="0" collapsed="false">
      <c r="A3503" s="0" t="s">
        <v>12</v>
      </c>
      <c r="B3503" s="0" t="n">
        <v>1131751</v>
      </c>
      <c r="C3503" s="0" t="n">
        <v>1131771</v>
      </c>
      <c r="D3503" s="0" t="s">
        <v>11688</v>
      </c>
      <c r="E3503" s="0" t="s">
        <v>75</v>
      </c>
      <c r="F3503" s="0" t="s">
        <v>90</v>
      </c>
      <c r="G3503" s="0" t="s">
        <v>16</v>
      </c>
      <c r="H3503" s="0" t="n">
        <v>34</v>
      </c>
      <c r="I3503" s="0" t="s">
        <v>11692</v>
      </c>
      <c r="J3503" s="0" t="s">
        <v>11693</v>
      </c>
      <c r="K3503" s="0" t="s">
        <v>11694</v>
      </c>
      <c r="L3503" s="0" t="str">
        <f aca="false">HYPERLINK("https://www.ncbi.nlm.nih.gov/nuccore/CP000058.1?report=graph&amp;tracks=[key:gene_model_track,Options:GeneOnly]&amp;mk=1131773:1131792|offset_13|444444,1131752:1131771|offset_34|00cc00,1131730:1131749|offset_56|444444,1131707:1131726|offset_79|444444&amp;v=1131572:1131926&amp;c=444444", "offset 34")</f>
        <v>offset 34</v>
      </c>
    </row>
    <row r="3504" customFormat="false" ht="12.8" hidden="false" customHeight="false" outlineLevel="0" collapsed="false">
      <c r="A3504" s="0" t="s">
        <v>12</v>
      </c>
      <c r="B3504" s="0" t="n">
        <v>1131729</v>
      </c>
      <c r="C3504" s="0" t="n">
        <v>1131749</v>
      </c>
      <c r="D3504" s="0" t="s">
        <v>11688</v>
      </c>
      <c r="E3504" s="0" t="s">
        <v>75</v>
      </c>
      <c r="F3504" s="0" t="s">
        <v>90</v>
      </c>
      <c r="G3504" s="0" t="s">
        <v>16</v>
      </c>
      <c r="H3504" s="0" t="n">
        <v>56</v>
      </c>
      <c r="I3504" s="0" t="s">
        <v>11695</v>
      </c>
      <c r="J3504" s="0" t="s">
        <v>11696</v>
      </c>
      <c r="K3504" s="0" t="s">
        <v>11697</v>
      </c>
      <c r="L3504" s="0" t="str">
        <f aca="false">HYPERLINK("https://www.ncbi.nlm.nih.gov/nuccore/CP000058.1?report=graph&amp;tracks=[key:gene_model_track,Options:GeneOnly]&amp;mk=1131773:1131792|offset_13|444444,1131752:1131771|offset_34|444444,1131730:1131749|offset_56|00cc00,1131707:1131726|offset_79|444444&amp;v=1131572:1131926&amp;c=444444", "offset 56")</f>
        <v>offset 56</v>
      </c>
    </row>
    <row r="3505" customFormat="false" ht="12.8" hidden="false" customHeight="false" outlineLevel="0" collapsed="false">
      <c r="A3505" s="0" t="s">
        <v>12</v>
      </c>
      <c r="B3505" s="0" t="n">
        <v>1131706</v>
      </c>
      <c r="C3505" s="0" t="n">
        <v>1131726</v>
      </c>
      <c r="D3505" s="0" t="s">
        <v>11688</v>
      </c>
      <c r="E3505" s="0" t="s">
        <v>75</v>
      </c>
      <c r="F3505" s="0" t="s">
        <v>90</v>
      </c>
      <c r="G3505" s="0" t="s">
        <v>16</v>
      </c>
      <c r="H3505" s="0" t="n">
        <v>79</v>
      </c>
      <c r="I3505" s="0" t="s">
        <v>11698</v>
      </c>
      <c r="J3505" s="0" t="s">
        <v>11699</v>
      </c>
      <c r="K3505" s="0" t="s">
        <v>11700</v>
      </c>
      <c r="L3505" s="0" t="str">
        <f aca="false">HYPERLINK("https://www.ncbi.nlm.nih.gov/nuccore/CP000058.1?report=graph&amp;tracks=[key:gene_model_track,Options:GeneOnly]&amp;mk=1131773:1131792|offset_13|444444,1131752:1131771|offset_34|444444,1131730:1131749|offset_56|444444,1131707:1131726|offset_79|00cc00&amp;v=1131572:1131926&amp;c=444444", "offset 79")</f>
        <v>offset 79</v>
      </c>
    </row>
    <row r="3506" customFormat="false" ht="12.8" hidden="false" customHeight="false" outlineLevel="0" collapsed="false">
      <c r="A3506" s="0" t="s">
        <v>12</v>
      </c>
      <c r="B3506" s="0" t="n">
        <v>1132797</v>
      </c>
      <c r="C3506" s="0" t="n">
        <v>1132817</v>
      </c>
      <c r="D3506" s="0" t="s">
        <v>11701</v>
      </c>
      <c r="E3506" s="0" t="s">
        <v>11702</v>
      </c>
      <c r="F3506" s="0" t="s">
        <v>90</v>
      </c>
      <c r="G3506" s="0" t="s">
        <v>16</v>
      </c>
      <c r="H3506" s="0" t="n">
        <v>19</v>
      </c>
      <c r="I3506" s="0" t="s">
        <v>11703</v>
      </c>
      <c r="J3506" s="0" t="s">
        <v>11704</v>
      </c>
      <c r="K3506" s="0" t="s">
        <v>11705</v>
      </c>
      <c r="L3506" s="0" t="str">
        <f aca="false">HYPERLINK("https://www.ncbi.nlm.nih.gov/nuccore/CP000058.1?report=graph&amp;tracks=[key:gene_model_track,Options:GeneOnly]&amp;mk=1132798:1132817|offset_19|00cc00,1132770:1132789|offset_47|444444,1132738:1132757|offset_79|444444,1132714:1132733|offset_103|444444&amp;v=1132597:1132933&amp;c=444444", "offset 19")</f>
        <v>offset 19</v>
      </c>
    </row>
    <row r="3507" customFormat="false" ht="12.8" hidden="false" customHeight="false" outlineLevel="0" collapsed="false">
      <c r="A3507" s="0" t="s">
        <v>12</v>
      </c>
      <c r="B3507" s="0" t="n">
        <v>1132769</v>
      </c>
      <c r="C3507" s="0" t="n">
        <v>1132789</v>
      </c>
      <c r="D3507" s="0" t="s">
        <v>11701</v>
      </c>
      <c r="E3507" s="0" t="s">
        <v>11702</v>
      </c>
      <c r="F3507" s="0" t="s">
        <v>90</v>
      </c>
      <c r="G3507" s="0" t="s">
        <v>20</v>
      </c>
      <c r="H3507" s="0" t="n">
        <v>47</v>
      </c>
      <c r="I3507" s="0" t="s">
        <v>11706</v>
      </c>
      <c r="J3507" s="0" t="s">
        <v>11707</v>
      </c>
      <c r="K3507" s="0" t="s">
        <v>11708</v>
      </c>
      <c r="L3507" s="0" t="str">
        <f aca="false">HYPERLINK("https://www.ncbi.nlm.nih.gov/nuccore/CP000058.1?report=graph&amp;tracks=[key:gene_model_track,Options:GeneOnly]&amp;mk=1132798:1132817|offset_19|444444,1132770:1132789|offset_47|00cc00,1132738:1132757|offset_79|444444,1132714:1132733|offset_103|444444&amp;v=1132597:1132933&amp;c=444444", "offset 47")</f>
        <v>offset 47</v>
      </c>
    </row>
    <row r="3508" customFormat="false" ht="12.8" hidden="false" customHeight="false" outlineLevel="0" collapsed="false">
      <c r="A3508" s="0" t="s">
        <v>12</v>
      </c>
      <c r="B3508" s="0" t="n">
        <v>1132737</v>
      </c>
      <c r="C3508" s="0" t="n">
        <v>1132757</v>
      </c>
      <c r="D3508" s="0" t="s">
        <v>11701</v>
      </c>
      <c r="E3508" s="0" t="s">
        <v>11702</v>
      </c>
      <c r="F3508" s="0" t="s">
        <v>90</v>
      </c>
      <c r="G3508" s="0" t="s">
        <v>16</v>
      </c>
      <c r="H3508" s="0" t="n">
        <v>79</v>
      </c>
      <c r="I3508" s="0" t="s">
        <v>11709</v>
      </c>
      <c r="J3508" s="0" t="s">
        <v>11710</v>
      </c>
      <c r="K3508" s="0" t="s">
        <v>11711</v>
      </c>
      <c r="L3508" s="0" t="str">
        <f aca="false">HYPERLINK("https://www.ncbi.nlm.nih.gov/nuccore/CP000058.1?report=graph&amp;tracks=[key:gene_model_track,Options:GeneOnly]&amp;mk=1132798:1132817|offset_19|444444,1132770:1132789|offset_47|444444,1132738:1132757|offset_79|00cc00,1132714:1132733|offset_103|444444&amp;v=1132597:1132933&amp;c=444444", "offset 79")</f>
        <v>offset 79</v>
      </c>
    </row>
    <row r="3509" customFormat="false" ht="12.8" hidden="false" customHeight="false" outlineLevel="0" collapsed="false">
      <c r="A3509" s="0" t="s">
        <v>12</v>
      </c>
      <c r="B3509" s="0" t="n">
        <v>1132713</v>
      </c>
      <c r="C3509" s="0" t="n">
        <v>1132733</v>
      </c>
      <c r="D3509" s="0" t="s">
        <v>11701</v>
      </c>
      <c r="E3509" s="0" t="s">
        <v>11702</v>
      </c>
      <c r="F3509" s="0" t="s">
        <v>90</v>
      </c>
      <c r="G3509" s="0" t="s">
        <v>32</v>
      </c>
      <c r="H3509" s="0" t="n">
        <v>103</v>
      </c>
      <c r="I3509" s="0" t="s">
        <v>11712</v>
      </c>
      <c r="J3509" s="0" t="s">
        <v>11713</v>
      </c>
      <c r="K3509" s="0" t="s">
        <v>11714</v>
      </c>
      <c r="L3509" s="0" t="str">
        <f aca="false">HYPERLINK("https://www.ncbi.nlm.nih.gov/nuccore/CP000058.1?report=graph&amp;tracks=[key:gene_model_track,Options:GeneOnly]&amp;mk=1132798:1132817|offset_19|444444,1132770:1132789|offset_47|444444,1132738:1132757|offset_79|444444,1132714:1132733|offset_103|00cc00&amp;v=1132597:1132933&amp;c=444444", "offset 103")</f>
        <v>offset 103</v>
      </c>
    </row>
    <row r="3510" customFormat="false" ht="12.8" hidden="false" customHeight="false" outlineLevel="0" collapsed="false">
      <c r="A3510" s="0" t="s">
        <v>12</v>
      </c>
      <c r="B3510" s="0" t="n">
        <v>1133391</v>
      </c>
      <c r="C3510" s="0" t="n">
        <v>1133411</v>
      </c>
      <c r="D3510" s="0" t="s">
        <v>11715</v>
      </c>
      <c r="E3510" s="0" t="s">
        <v>75</v>
      </c>
      <c r="F3510" s="0" t="s">
        <v>15</v>
      </c>
      <c r="G3510" s="0" t="s">
        <v>20</v>
      </c>
      <c r="H3510" s="0" t="n">
        <v>23</v>
      </c>
      <c r="I3510" s="0" t="s">
        <v>11716</v>
      </c>
      <c r="J3510" s="0" t="s">
        <v>11717</v>
      </c>
      <c r="K3510" s="0" t="s">
        <v>11718</v>
      </c>
      <c r="L3510" s="0" t="str">
        <f aca="false">HYPERLINK("https://www.ncbi.nlm.nih.gov/nuccore/CP000058.1?report=graph&amp;tracks=[key:gene_model_track,Options:GeneOnly]&amp;mk=1133392:1133411|offset_23|00cc00,1133442:1133461|offset_73|444444,1133464:1133483|offset_95|444444,1133491:1133510|offset_122|444444&amp;v=1133191:1133710&amp;c=444444", "offset 23")</f>
        <v>offset 23</v>
      </c>
    </row>
    <row r="3511" customFormat="false" ht="12.8" hidden="false" customHeight="false" outlineLevel="0" collapsed="false">
      <c r="A3511" s="0" t="s">
        <v>12</v>
      </c>
      <c r="B3511" s="0" t="n">
        <v>1133441</v>
      </c>
      <c r="C3511" s="0" t="n">
        <v>1133461</v>
      </c>
      <c r="D3511" s="0" t="s">
        <v>11715</v>
      </c>
      <c r="E3511" s="0" t="s">
        <v>75</v>
      </c>
      <c r="F3511" s="0" t="s">
        <v>15</v>
      </c>
      <c r="G3511" s="0" t="s">
        <v>16</v>
      </c>
      <c r="H3511" s="0" t="n">
        <v>73</v>
      </c>
      <c r="I3511" s="0" t="s">
        <v>11719</v>
      </c>
      <c r="J3511" s="0" t="s">
        <v>11720</v>
      </c>
      <c r="K3511" s="0" t="s">
        <v>11721</v>
      </c>
      <c r="L3511" s="0" t="str">
        <f aca="false">HYPERLINK("https://www.ncbi.nlm.nih.gov/nuccore/CP000058.1?report=graph&amp;tracks=[key:gene_model_track,Options:GeneOnly]&amp;mk=1133392:1133411|offset_23|444444,1133442:1133461|offset_73|00cc00,1133464:1133483|offset_95|444444,1133491:1133510|offset_122|444444&amp;v=1133191:1133710&amp;c=444444", "offset 73")</f>
        <v>offset 73</v>
      </c>
    </row>
    <row r="3512" customFormat="false" ht="12.8" hidden="false" customHeight="false" outlineLevel="0" collapsed="false">
      <c r="A3512" s="0" t="s">
        <v>12</v>
      </c>
      <c r="B3512" s="0" t="n">
        <v>1133463</v>
      </c>
      <c r="C3512" s="0" t="n">
        <v>1133483</v>
      </c>
      <c r="D3512" s="0" t="s">
        <v>11715</v>
      </c>
      <c r="E3512" s="0" t="s">
        <v>75</v>
      </c>
      <c r="F3512" s="0" t="s">
        <v>15</v>
      </c>
      <c r="G3512" s="0" t="s">
        <v>20</v>
      </c>
      <c r="H3512" s="0" t="n">
        <v>95</v>
      </c>
      <c r="I3512" s="0" t="s">
        <v>11722</v>
      </c>
      <c r="J3512" s="0" t="s">
        <v>11723</v>
      </c>
      <c r="K3512" s="0" t="s">
        <v>11724</v>
      </c>
      <c r="L3512" s="0" t="str">
        <f aca="false">HYPERLINK("https://www.ncbi.nlm.nih.gov/nuccore/CP000058.1?report=graph&amp;tracks=[key:gene_model_track,Options:GeneOnly]&amp;mk=1133392:1133411|offset_23|444444,1133442:1133461|offset_73|444444,1133464:1133483|offset_95|00cc00,1133491:1133510|offset_122|444444&amp;v=1133191:1133710&amp;c=444444", "offset 95")</f>
        <v>offset 95</v>
      </c>
    </row>
    <row r="3513" customFormat="false" ht="12.8" hidden="false" customHeight="false" outlineLevel="0" collapsed="false">
      <c r="A3513" s="0" t="s">
        <v>12</v>
      </c>
      <c r="B3513" s="0" t="n">
        <v>1133490</v>
      </c>
      <c r="C3513" s="0" t="n">
        <v>1133510</v>
      </c>
      <c r="D3513" s="0" t="s">
        <v>11715</v>
      </c>
      <c r="E3513" s="0" t="s">
        <v>75</v>
      </c>
      <c r="F3513" s="0" t="s">
        <v>15</v>
      </c>
      <c r="G3513" s="0" t="s">
        <v>36</v>
      </c>
      <c r="H3513" s="0" t="n">
        <v>122</v>
      </c>
      <c r="I3513" s="0" t="s">
        <v>11725</v>
      </c>
      <c r="J3513" s="0" t="s">
        <v>11726</v>
      </c>
      <c r="K3513" s="0" t="s">
        <v>11727</v>
      </c>
      <c r="L3513" s="0" t="str">
        <f aca="false">HYPERLINK("https://www.ncbi.nlm.nih.gov/nuccore/CP000058.1?report=graph&amp;tracks=[key:gene_model_track,Options:GeneOnly]&amp;mk=1133392:1133411|offset_23|444444,1133442:1133461|offset_73|444444,1133464:1133483|offset_95|444444,1133491:1133510|offset_122|00cc00&amp;v=1133191:1133710&amp;c=444444", "offset 122")</f>
        <v>offset 122</v>
      </c>
    </row>
    <row r="3514" customFormat="false" ht="12.8" hidden="false" customHeight="false" outlineLevel="0" collapsed="false">
      <c r="A3514" s="0" t="s">
        <v>12</v>
      </c>
      <c r="B3514" s="0" t="n">
        <v>1134196</v>
      </c>
      <c r="C3514" s="0" t="n">
        <v>1134216</v>
      </c>
      <c r="D3514" s="0" t="s">
        <v>11728</v>
      </c>
      <c r="E3514" s="0" t="s">
        <v>75</v>
      </c>
      <c r="F3514" s="0" t="s">
        <v>15</v>
      </c>
      <c r="G3514" s="0" t="s">
        <v>20</v>
      </c>
      <c r="H3514" s="0" t="n">
        <v>37</v>
      </c>
      <c r="I3514" s="0" t="s">
        <v>11729</v>
      </c>
      <c r="J3514" s="0" t="s">
        <v>11730</v>
      </c>
      <c r="K3514" s="0" t="s">
        <v>11731</v>
      </c>
      <c r="L3514" s="0" t="str">
        <f aca="false">HYPERLINK("https://www.ncbi.nlm.nih.gov/nuccore/CP000058.1?report=graph&amp;tracks=[key:gene_model_track,Options:GeneOnly]&amp;mk=1134197:1134216|offset_37|00cc00,1134254:1134273|offset_94|444444,1134279:1134298|offset_119|444444,1134308:1134327|offset_148|444444&amp;v=1133996:1134527&amp;c=444444", "offset 37")</f>
        <v>offset 37</v>
      </c>
    </row>
    <row r="3515" customFormat="false" ht="12.8" hidden="false" customHeight="false" outlineLevel="0" collapsed="false">
      <c r="A3515" s="0" t="s">
        <v>12</v>
      </c>
      <c r="B3515" s="0" t="n">
        <v>1134253</v>
      </c>
      <c r="C3515" s="0" t="n">
        <v>1134273</v>
      </c>
      <c r="D3515" s="0" t="s">
        <v>11728</v>
      </c>
      <c r="E3515" s="0" t="s">
        <v>75</v>
      </c>
      <c r="F3515" s="0" t="s">
        <v>15</v>
      </c>
      <c r="G3515" s="0" t="s">
        <v>32</v>
      </c>
      <c r="H3515" s="0" t="n">
        <v>94</v>
      </c>
      <c r="I3515" s="0" t="s">
        <v>11732</v>
      </c>
      <c r="J3515" s="0" t="s">
        <v>11733</v>
      </c>
      <c r="K3515" s="0" t="s">
        <v>11734</v>
      </c>
      <c r="L3515" s="0" t="str">
        <f aca="false">HYPERLINK("https://www.ncbi.nlm.nih.gov/nuccore/CP000058.1?report=graph&amp;tracks=[key:gene_model_track,Options:GeneOnly]&amp;mk=1134197:1134216|offset_37|444444,1134254:1134273|offset_94|00cc00,1134279:1134298|offset_119|444444,1134308:1134327|offset_148|444444&amp;v=1133996:1134527&amp;c=444444", "offset 94")</f>
        <v>offset 94</v>
      </c>
    </row>
    <row r="3516" customFormat="false" ht="12.8" hidden="false" customHeight="false" outlineLevel="0" collapsed="false">
      <c r="A3516" s="0" t="s">
        <v>12</v>
      </c>
      <c r="B3516" s="0" t="n">
        <v>1134278</v>
      </c>
      <c r="C3516" s="0" t="n">
        <v>1134298</v>
      </c>
      <c r="D3516" s="0" t="s">
        <v>11728</v>
      </c>
      <c r="E3516" s="0" t="s">
        <v>75</v>
      </c>
      <c r="F3516" s="0" t="s">
        <v>15</v>
      </c>
      <c r="G3516" s="0" t="s">
        <v>20</v>
      </c>
      <c r="H3516" s="0" t="n">
        <v>119</v>
      </c>
      <c r="I3516" s="0" t="s">
        <v>11735</v>
      </c>
      <c r="J3516" s="0" t="s">
        <v>11736</v>
      </c>
      <c r="K3516" s="0" t="s">
        <v>11737</v>
      </c>
      <c r="L3516" s="0" t="str">
        <f aca="false">HYPERLINK("https://www.ncbi.nlm.nih.gov/nuccore/CP000058.1?report=graph&amp;tracks=[key:gene_model_track,Options:GeneOnly]&amp;mk=1134197:1134216|offset_37|444444,1134254:1134273|offset_94|444444,1134279:1134298|offset_119|00cc00,1134308:1134327|offset_148|444444&amp;v=1133996:1134527&amp;c=444444", "offset 119")</f>
        <v>offset 119</v>
      </c>
    </row>
    <row r="3517" customFormat="false" ht="12.8" hidden="false" customHeight="false" outlineLevel="0" collapsed="false">
      <c r="A3517" s="0" t="s">
        <v>12</v>
      </c>
      <c r="B3517" s="0" t="n">
        <v>1134307</v>
      </c>
      <c r="C3517" s="0" t="n">
        <v>1134327</v>
      </c>
      <c r="D3517" s="0" t="s">
        <v>11728</v>
      </c>
      <c r="E3517" s="0" t="s">
        <v>75</v>
      </c>
      <c r="F3517" s="0" t="s">
        <v>15</v>
      </c>
      <c r="G3517" s="0" t="s">
        <v>16</v>
      </c>
      <c r="H3517" s="0" t="n">
        <v>148</v>
      </c>
      <c r="I3517" s="0" t="s">
        <v>11738</v>
      </c>
      <c r="J3517" s="0" t="s">
        <v>11739</v>
      </c>
      <c r="K3517" s="0" t="s">
        <v>11740</v>
      </c>
      <c r="L3517" s="0" t="str">
        <f aca="false">HYPERLINK("https://www.ncbi.nlm.nih.gov/nuccore/CP000058.1?report=graph&amp;tracks=[key:gene_model_track,Options:GeneOnly]&amp;mk=1134197:1134216|offset_37|444444,1134254:1134273|offset_94|444444,1134279:1134298|offset_119|444444,1134308:1134327|offset_148|00cc00&amp;v=1133996:1134527&amp;c=444444", "offset 148")</f>
        <v>offset 148</v>
      </c>
    </row>
    <row r="3518" customFormat="false" ht="12.8" hidden="false" customHeight="false" outlineLevel="0" collapsed="false">
      <c r="A3518" s="0" t="s">
        <v>12</v>
      </c>
      <c r="B3518" s="0" t="n">
        <v>1135385</v>
      </c>
      <c r="C3518" s="0" t="n">
        <v>1135405</v>
      </c>
      <c r="D3518" s="0" t="s">
        <v>11741</v>
      </c>
      <c r="E3518" s="0" t="s">
        <v>75</v>
      </c>
      <c r="F3518" s="0" t="s">
        <v>15</v>
      </c>
      <c r="G3518" s="0" t="s">
        <v>16</v>
      </c>
      <c r="H3518" s="0" t="n">
        <v>12</v>
      </c>
      <c r="I3518" s="0" t="s">
        <v>11742</v>
      </c>
      <c r="J3518" s="0" t="s">
        <v>11743</v>
      </c>
      <c r="K3518" s="0" t="s">
        <v>11744</v>
      </c>
      <c r="L3518" s="0" t="str">
        <f aca="false">HYPERLINK("https://www.ncbi.nlm.nih.gov/nuccore/CP000058.1?report=graph&amp;tracks=[key:gene_model_track,Options:GeneOnly]&amp;mk=1135386:1135405|offset_12|00cc00,1135445:1135464|offset_71|444444,1135466:1135485|offset_92|444444,1135491:1135510|offset_117|444444&amp;v=1135185:1135710&amp;c=444444", "offset 12")</f>
        <v>offset 12</v>
      </c>
    </row>
    <row r="3519" customFormat="false" ht="12.8" hidden="false" customHeight="false" outlineLevel="0" collapsed="false">
      <c r="A3519" s="0" t="s">
        <v>12</v>
      </c>
      <c r="B3519" s="0" t="n">
        <v>1135444</v>
      </c>
      <c r="C3519" s="0" t="n">
        <v>1135464</v>
      </c>
      <c r="D3519" s="0" t="s">
        <v>11741</v>
      </c>
      <c r="E3519" s="0" t="s">
        <v>75</v>
      </c>
      <c r="F3519" s="0" t="s">
        <v>15</v>
      </c>
      <c r="G3519" s="0" t="s">
        <v>32</v>
      </c>
      <c r="H3519" s="0" t="n">
        <v>71</v>
      </c>
      <c r="I3519" s="0" t="s">
        <v>11745</v>
      </c>
      <c r="J3519" s="0" t="s">
        <v>11746</v>
      </c>
      <c r="K3519" s="0" t="s">
        <v>11747</v>
      </c>
      <c r="L3519" s="0" t="str">
        <f aca="false">HYPERLINK("https://www.ncbi.nlm.nih.gov/nuccore/CP000058.1?report=graph&amp;tracks=[key:gene_model_track,Options:GeneOnly]&amp;mk=1135386:1135405|offset_12|444444,1135445:1135464|offset_71|00cc00,1135466:1135485|offset_92|444444,1135491:1135510|offset_117|444444&amp;v=1135185:1135710&amp;c=444444", "offset 71")</f>
        <v>offset 71</v>
      </c>
    </row>
    <row r="3520" customFormat="false" ht="12.8" hidden="false" customHeight="false" outlineLevel="0" collapsed="false">
      <c r="A3520" s="0" t="s">
        <v>12</v>
      </c>
      <c r="B3520" s="0" t="n">
        <v>1135465</v>
      </c>
      <c r="C3520" s="0" t="n">
        <v>1135485</v>
      </c>
      <c r="D3520" s="0" t="s">
        <v>11741</v>
      </c>
      <c r="E3520" s="0" t="s">
        <v>75</v>
      </c>
      <c r="F3520" s="0" t="s">
        <v>15</v>
      </c>
      <c r="G3520" s="0" t="s">
        <v>20</v>
      </c>
      <c r="H3520" s="0" t="n">
        <v>92</v>
      </c>
      <c r="I3520" s="0" t="s">
        <v>11748</v>
      </c>
      <c r="J3520" s="0" t="s">
        <v>11749</v>
      </c>
      <c r="K3520" s="0" t="s">
        <v>11750</v>
      </c>
      <c r="L3520" s="0" t="str">
        <f aca="false">HYPERLINK("https://www.ncbi.nlm.nih.gov/nuccore/CP000058.1?report=graph&amp;tracks=[key:gene_model_track,Options:GeneOnly]&amp;mk=1135386:1135405|offset_12|444444,1135445:1135464|offset_71|444444,1135466:1135485|offset_92|00cc00,1135491:1135510|offset_117|444444&amp;v=1135185:1135710&amp;c=444444", "offset 92")</f>
        <v>offset 92</v>
      </c>
    </row>
    <row r="3521" customFormat="false" ht="12.8" hidden="false" customHeight="false" outlineLevel="0" collapsed="false">
      <c r="A3521" s="0" t="s">
        <v>12</v>
      </c>
      <c r="B3521" s="0" t="n">
        <v>1135490</v>
      </c>
      <c r="C3521" s="0" t="n">
        <v>1135510</v>
      </c>
      <c r="D3521" s="0" t="s">
        <v>11741</v>
      </c>
      <c r="E3521" s="0" t="s">
        <v>75</v>
      </c>
      <c r="F3521" s="0" t="s">
        <v>15</v>
      </c>
      <c r="G3521" s="0" t="s">
        <v>32</v>
      </c>
      <c r="H3521" s="0" t="n">
        <v>117</v>
      </c>
      <c r="I3521" s="0" t="s">
        <v>11751</v>
      </c>
      <c r="J3521" s="0" t="s">
        <v>11752</v>
      </c>
      <c r="K3521" s="0" t="s">
        <v>11753</v>
      </c>
      <c r="L3521" s="0" t="str">
        <f aca="false">HYPERLINK("https://www.ncbi.nlm.nih.gov/nuccore/CP000058.1?report=graph&amp;tracks=[key:gene_model_track,Options:GeneOnly]&amp;mk=1135386:1135405|offset_12|444444,1135445:1135464|offset_71|444444,1135466:1135485|offset_92|444444,1135491:1135510|offset_117|00cc00&amp;v=1135185:1135710&amp;c=444444", "offset 117")</f>
        <v>offset 117</v>
      </c>
    </row>
    <row r="3522" customFormat="false" ht="12.8" hidden="false" customHeight="false" outlineLevel="0" collapsed="false">
      <c r="A3522" s="0" t="s">
        <v>12</v>
      </c>
      <c r="B3522" s="0" t="n">
        <v>1137015</v>
      </c>
      <c r="C3522" s="0" t="n">
        <v>1137035</v>
      </c>
      <c r="D3522" s="0" t="s">
        <v>11754</v>
      </c>
      <c r="E3522" s="0" t="s">
        <v>75</v>
      </c>
      <c r="F3522" s="0" t="s">
        <v>15</v>
      </c>
      <c r="G3522" s="0" t="s">
        <v>16</v>
      </c>
      <c r="H3522" s="0" t="n">
        <v>62</v>
      </c>
      <c r="I3522" s="0" t="s">
        <v>11755</v>
      </c>
      <c r="J3522" s="0" t="s">
        <v>11756</v>
      </c>
      <c r="K3522" s="0" t="s">
        <v>11757</v>
      </c>
      <c r="L3522" s="0" t="str">
        <f aca="false">HYPERLINK("https://www.ncbi.nlm.nih.gov/nuccore/CP000058.1?report=graph&amp;tracks=[key:gene_model_track,Options:GeneOnly]&amp;mk=1137016:1137035|offset_62|00cc00,1137036:1137055|offset_82|444444,1137057:1137076|offset_103|444444,1137110:1137129|offset_156|444444&amp;v=1136815:1137329&amp;c=444444", "offset 62")</f>
        <v>offset 62</v>
      </c>
    </row>
    <row r="3523" customFormat="false" ht="12.8" hidden="false" customHeight="false" outlineLevel="0" collapsed="false">
      <c r="A3523" s="0" t="s">
        <v>12</v>
      </c>
      <c r="B3523" s="0" t="n">
        <v>1137035</v>
      </c>
      <c r="C3523" s="0" t="n">
        <v>1137055</v>
      </c>
      <c r="D3523" s="0" t="s">
        <v>11754</v>
      </c>
      <c r="E3523" s="0" t="s">
        <v>75</v>
      </c>
      <c r="F3523" s="0" t="s">
        <v>15</v>
      </c>
      <c r="G3523" s="0" t="s">
        <v>36</v>
      </c>
      <c r="H3523" s="0" t="n">
        <v>82</v>
      </c>
      <c r="I3523" s="0" t="s">
        <v>11758</v>
      </c>
      <c r="J3523" s="0" t="s">
        <v>11759</v>
      </c>
      <c r="K3523" s="0" t="s">
        <v>11760</v>
      </c>
      <c r="L3523" s="0" t="str">
        <f aca="false">HYPERLINK("https://www.ncbi.nlm.nih.gov/nuccore/CP000058.1?report=graph&amp;tracks=[key:gene_model_track,Options:GeneOnly]&amp;mk=1137016:1137035|offset_62|444444,1137036:1137055|offset_82|00cc00,1137057:1137076|offset_103|444444,1137110:1137129|offset_156|444444&amp;v=1136815:1137329&amp;c=444444", "offset 82")</f>
        <v>offset 82</v>
      </c>
    </row>
    <row r="3524" customFormat="false" ht="12.8" hidden="false" customHeight="false" outlineLevel="0" collapsed="false">
      <c r="A3524" s="0" t="s">
        <v>12</v>
      </c>
      <c r="B3524" s="0" t="n">
        <v>1137056</v>
      </c>
      <c r="C3524" s="0" t="n">
        <v>1137076</v>
      </c>
      <c r="D3524" s="0" t="s">
        <v>11754</v>
      </c>
      <c r="E3524" s="0" t="s">
        <v>75</v>
      </c>
      <c r="F3524" s="0" t="s">
        <v>15</v>
      </c>
      <c r="G3524" s="0" t="s">
        <v>16</v>
      </c>
      <c r="H3524" s="0" t="n">
        <v>103</v>
      </c>
      <c r="I3524" s="0" t="s">
        <v>11761</v>
      </c>
      <c r="J3524" s="0" t="s">
        <v>11762</v>
      </c>
      <c r="K3524" s="0" t="s">
        <v>11763</v>
      </c>
      <c r="L3524" s="0" t="str">
        <f aca="false">HYPERLINK("https://www.ncbi.nlm.nih.gov/nuccore/CP000058.1?report=graph&amp;tracks=[key:gene_model_track,Options:GeneOnly]&amp;mk=1137016:1137035|offset_62|444444,1137036:1137055|offset_82|444444,1137057:1137076|offset_103|00cc00,1137110:1137129|offset_156|444444&amp;v=1136815:1137329&amp;c=444444", "offset 103")</f>
        <v>offset 103</v>
      </c>
    </row>
    <row r="3525" customFormat="false" ht="12.8" hidden="false" customHeight="false" outlineLevel="0" collapsed="false">
      <c r="A3525" s="0" t="s">
        <v>12</v>
      </c>
      <c r="B3525" s="0" t="n">
        <v>1137109</v>
      </c>
      <c r="C3525" s="0" t="n">
        <v>1137129</v>
      </c>
      <c r="D3525" s="0" t="s">
        <v>11754</v>
      </c>
      <c r="E3525" s="0" t="s">
        <v>75</v>
      </c>
      <c r="F3525" s="0" t="s">
        <v>15</v>
      </c>
      <c r="G3525" s="0" t="s">
        <v>16</v>
      </c>
      <c r="H3525" s="0" t="n">
        <v>156</v>
      </c>
      <c r="I3525" s="0" t="s">
        <v>11764</v>
      </c>
      <c r="J3525" s="0" t="s">
        <v>11765</v>
      </c>
      <c r="K3525" s="0" t="s">
        <v>11766</v>
      </c>
      <c r="L3525" s="0" t="str">
        <f aca="false">HYPERLINK("https://www.ncbi.nlm.nih.gov/nuccore/CP000058.1?report=graph&amp;tracks=[key:gene_model_track,Options:GeneOnly]&amp;mk=1137016:1137035|offset_62|444444,1137036:1137055|offset_82|444444,1137057:1137076|offset_103|444444,1137110:1137129|offset_156|00cc00&amp;v=1136815:1137329&amp;c=444444", "offset 156")</f>
        <v>offset 156</v>
      </c>
    </row>
    <row r="3526" customFormat="false" ht="12.8" hidden="false" customHeight="false" outlineLevel="0" collapsed="false">
      <c r="A3526" s="0" t="s">
        <v>12</v>
      </c>
      <c r="B3526" s="0" t="n">
        <v>1139731</v>
      </c>
      <c r="C3526" s="0" t="n">
        <v>1139751</v>
      </c>
      <c r="D3526" s="0" t="s">
        <v>11767</v>
      </c>
      <c r="E3526" s="0" t="s">
        <v>75</v>
      </c>
      <c r="F3526" s="0" t="s">
        <v>15</v>
      </c>
      <c r="G3526" s="0" t="s">
        <v>32</v>
      </c>
      <c r="H3526" s="0" t="n">
        <v>10</v>
      </c>
      <c r="I3526" s="0" t="s">
        <v>11768</v>
      </c>
      <c r="J3526" s="0" t="s">
        <v>11769</v>
      </c>
      <c r="K3526" s="0" t="s">
        <v>11770</v>
      </c>
      <c r="L3526" s="0" t="str">
        <f aca="false">HYPERLINK("https://www.ncbi.nlm.nih.gov/nuccore/CP000058.1?report=graph&amp;tracks=[key:gene_model_track,Options:GeneOnly]&amp;mk=1139732:1139751|offset_10|00cc00,1139754:1139773|offset_32|444444,1139780:1139799|offset_58|444444,1139863:1139882|offset_141|444444&amp;v=1139531:1140082&amp;c=444444", "offset 10")</f>
        <v>offset 10</v>
      </c>
    </row>
    <row r="3527" customFormat="false" ht="12.8" hidden="false" customHeight="false" outlineLevel="0" collapsed="false">
      <c r="A3527" s="0" t="s">
        <v>12</v>
      </c>
      <c r="B3527" s="0" t="n">
        <v>1139753</v>
      </c>
      <c r="C3527" s="0" t="n">
        <v>1139773</v>
      </c>
      <c r="D3527" s="0" t="s">
        <v>11767</v>
      </c>
      <c r="E3527" s="0" t="s">
        <v>75</v>
      </c>
      <c r="F3527" s="0" t="s">
        <v>15</v>
      </c>
      <c r="G3527" s="0" t="s">
        <v>20</v>
      </c>
      <c r="H3527" s="0" t="n">
        <v>32</v>
      </c>
      <c r="I3527" s="0" t="s">
        <v>11771</v>
      </c>
      <c r="J3527" s="0" t="s">
        <v>11772</v>
      </c>
      <c r="K3527" s="0" t="s">
        <v>11773</v>
      </c>
      <c r="L3527" s="0" t="str">
        <f aca="false">HYPERLINK("https://www.ncbi.nlm.nih.gov/nuccore/CP000058.1?report=graph&amp;tracks=[key:gene_model_track,Options:GeneOnly]&amp;mk=1139732:1139751|offset_10|444444,1139754:1139773|offset_32|00cc00,1139780:1139799|offset_58|444444,1139863:1139882|offset_141|444444&amp;v=1139531:1140082&amp;c=444444", "offset 32")</f>
        <v>offset 32</v>
      </c>
    </row>
    <row r="3528" customFormat="false" ht="12.8" hidden="false" customHeight="false" outlineLevel="0" collapsed="false">
      <c r="A3528" s="0" t="s">
        <v>12</v>
      </c>
      <c r="B3528" s="0" t="n">
        <v>1139779</v>
      </c>
      <c r="C3528" s="0" t="n">
        <v>1139799</v>
      </c>
      <c r="D3528" s="0" t="s">
        <v>11767</v>
      </c>
      <c r="E3528" s="0" t="s">
        <v>75</v>
      </c>
      <c r="F3528" s="0" t="s">
        <v>15</v>
      </c>
      <c r="G3528" s="0" t="s">
        <v>16</v>
      </c>
      <c r="H3528" s="0" t="n">
        <v>58</v>
      </c>
      <c r="I3528" s="0" t="s">
        <v>11774</v>
      </c>
      <c r="J3528" s="0" t="s">
        <v>11775</v>
      </c>
      <c r="K3528" s="0" t="s">
        <v>11776</v>
      </c>
      <c r="L3528" s="0" t="str">
        <f aca="false">HYPERLINK("https://www.ncbi.nlm.nih.gov/nuccore/CP000058.1?report=graph&amp;tracks=[key:gene_model_track,Options:GeneOnly]&amp;mk=1139732:1139751|offset_10|444444,1139754:1139773|offset_32|444444,1139780:1139799|offset_58|00cc00,1139863:1139882|offset_141|444444&amp;v=1139531:1140082&amp;c=444444", "offset 58")</f>
        <v>offset 58</v>
      </c>
    </row>
    <row r="3529" customFormat="false" ht="12.8" hidden="false" customHeight="false" outlineLevel="0" collapsed="false">
      <c r="A3529" s="0" t="s">
        <v>12</v>
      </c>
      <c r="B3529" s="0" t="n">
        <v>1139862</v>
      </c>
      <c r="C3529" s="0" t="n">
        <v>1139882</v>
      </c>
      <c r="D3529" s="0" t="s">
        <v>11767</v>
      </c>
      <c r="E3529" s="0" t="s">
        <v>75</v>
      </c>
      <c r="F3529" s="0" t="s">
        <v>15</v>
      </c>
      <c r="G3529" s="0" t="s">
        <v>20</v>
      </c>
      <c r="H3529" s="0" t="n">
        <v>141</v>
      </c>
      <c r="I3529" s="0" t="s">
        <v>11777</v>
      </c>
      <c r="J3529" s="0" t="s">
        <v>11778</v>
      </c>
      <c r="K3529" s="0" t="s">
        <v>11779</v>
      </c>
      <c r="L3529" s="0" t="str">
        <f aca="false">HYPERLINK("https://www.ncbi.nlm.nih.gov/nuccore/CP000058.1?report=graph&amp;tracks=[key:gene_model_track,Options:GeneOnly]&amp;mk=1139732:1139751|offset_10|444444,1139754:1139773|offset_32|444444,1139780:1139799|offset_58|444444,1139863:1139882|offset_141|00cc00&amp;v=1139531:1140082&amp;c=444444", "offset 141")</f>
        <v>offset 141</v>
      </c>
    </row>
    <row r="3530" customFormat="false" ht="12.8" hidden="false" customHeight="false" outlineLevel="0" collapsed="false">
      <c r="A3530" s="0" t="s">
        <v>12</v>
      </c>
      <c r="B3530" s="0" t="n">
        <v>1140823</v>
      </c>
      <c r="C3530" s="0" t="n">
        <v>1140843</v>
      </c>
      <c r="D3530" s="0" t="s">
        <v>11780</v>
      </c>
      <c r="E3530" s="0" t="s">
        <v>75</v>
      </c>
      <c r="F3530" s="0" t="s">
        <v>15</v>
      </c>
      <c r="G3530" s="0" t="s">
        <v>16</v>
      </c>
      <c r="H3530" s="0" t="n">
        <v>23</v>
      </c>
      <c r="I3530" s="0" t="s">
        <v>11781</v>
      </c>
      <c r="J3530" s="0" t="s">
        <v>11782</v>
      </c>
      <c r="K3530" s="0" t="s">
        <v>11783</v>
      </c>
      <c r="L3530" s="0" t="str">
        <f aca="false">HYPERLINK("https://www.ncbi.nlm.nih.gov/nuccore/CP000058.1?report=graph&amp;tracks=[key:gene_model_track,Options:GeneOnly]&amp;mk=1140824:1140843|offset_23|00cc00,1140861:1140880|offset_60|444444,1140915:1140934|offset_114|444444,1140937:1140956|offset_136|444444&amp;v=1140623:1141156&amp;c=444444", "offset 23")</f>
        <v>offset 23</v>
      </c>
    </row>
    <row r="3531" customFormat="false" ht="12.8" hidden="false" customHeight="false" outlineLevel="0" collapsed="false">
      <c r="A3531" s="0" t="s">
        <v>12</v>
      </c>
      <c r="B3531" s="0" t="n">
        <v>1140860</v>
      </c>
      <c r="C3531" s="0" t="n">
        <v>1140880</v>
      </c>
      <c r="D3531" s="0" t="s">
        <v>11780</v>
      </c>
      <c r="E3531" s="0" t="s">
        <v>75</v>
      </c>
      <c r="F3531" s="0" t="s">
        <v>15</v>
      </c>
      <c r="G3531" s="0" t="s">
        <v>20</v>
      </c>
      <c r="H3531" s="0" t="n">
        <v>60</v>
      </c>
      <c r="I3531" s="0" t="s">
        <v>11784</v>
      </c>
      <c r="J3531" s="0" t="s">
        <v>11785</v>
      </c>
      <c r="K3531" s="0" t="s">
        <v>11786</v>
      </c>
      <c r="L3531" s="0" t="str">
        <f aca="false">HYPERLINK("https://www.ncbi.nlm.nih.gov/nuccore/CP000058.1?report=graph&amp;tracks=[key:gene_model_track,Options:GeneOnly]&amp;mk=1140824:1140843|offset_23|444444,1140861:1140880|offset_60|00cc00,1140915:1140934|offset_114|444444,1140937:1140956|offset_136|444444&amp;v=1140623:1141156&amp;c=444444", "offset 60")</f>
        <v>offset 60</v>
      </c>
    </row>
    <row r="3532" customFormat="false" ht="12.8" hidden="false" customHeight="false" outlineLevel="0" collapsed="false">
      <c r="A3532" s="0" t="s">
        <v>12</v>
      </c>
      <c r="B3532" s="0" t="n">
        <v>1140914</v>
      </c>
      <c r="C3532" s="0" t="n">
        <v>1140934</v>
      </c>
      <c r="D3532" s="0" t="s">
        <v>11780</v>
      </c>
      <c r="E3532" s="0" t="s">
        <v>75</v>
      </c>
      <c r="F3532" s="0" t="s">
        <v>15</v>
      </c>
      <c r="G3532" s="0" t="s">
        <v>20</v>
      </c>
      <c r="H3532" s="0" t="n">
        <v>114</v>
      </c>
      <c r="I3532" s="0" t="s">
        <v>11787</v>
      </c>
      <c r="J3532" s="0" t="s">
        <v>11788</v>
      </c>
      <c r="K3532" s="0" t="s">
        <v>11789</v>
      </c>
      <c r="L3532" s="0" t="str">
        <f aca="false">HYPERLINK("https://www.ncbi.nlm.nih.gov/nuccore/CP000058.1?report=graph&amp;tracks=[key:gene_model_track,Options:GeneOnly]&amp;mk=1140824:1140843|offset_23|444444,1140861:1140880|offset_60|444444,1140915:1140934|offset_114|00cc00,1140937:1140956|offset_136|444444&amp;v=1140623:1141156&amp;c=444444", "offset 114")</f>
        <v>offset 114</v>
      </c>
    </row>
    <row r="3533" customFormat="false" ht="12.8" hidden="false" customHeight="false" outlineLevel="0" collapsed="false">
      <c r="A3533" s="0" t="s">
        <v>12</v>
      </c>
      <c r="B3533" s="0" t="n">
        <v>1140936</v>
      </c>
      <c r="C3533" s="0" t="n">
        <v>1140956</v>
      </c>
      <c r="D3533" s="0" t="s">
        <v>11780</v>
      </c>
      <c r="E3533" s="0" t="s">
        <v>75</v>
      </c>
      <c r="F3533" s="0" t="s">
        <v>15</v>
      </c>
      <c r="G3533" s="0" t="s">
        <v>32</v>
      </c>
      <c r="H3533" s="0" t="n">
        <v>136</v>
      </c>
      <c r="I3533" s="0" t="s">
        <v>11790</v>
      </c>
      <c r="J3533" s="0" t="s">
        <v>11791</v>
      </c>
      <c r="K3533" s="0" t="s">
        <v>11792</v>
      </c>
      <c r="L3533" s="0" t="str">
        <f aca="false">HYPERLINK("https://www.ncbi.nlm.nih.gov/nuccore/CP000058.1?report=graph&amp;tracks=[key:gene_model_track,Options:GeneOnly]&amp;mk=1140824:1140843|offset_23|444444,1140861:1140880|offset_60|444444,1140915:1140934|offset_114|444444,1140937:1140956|offset_136|00cc00&amp;v=1140623:1141156&amp;c=444444", "offset 136")</f>
        <v>offset 136</v>
      </c>
    </row>
    <row r="3534" customFormat="false" ht="12.8" hidden="false" customHeight="false" outlineLevel="0" collapsed="false">
      <c r="A3534" s="0" t="s">
        <v>12</v>
      </c>
      <c r="B3534" s="0" t="n">
        <v>1141659</v>
      </c>
      <c r="C3534" s="0" t="n">
        <v>1141679</v>
      </c>
      <c r="D3534" s="0" t="s">
        <v>11793</v>
      </c>
      <c r="E3534" s="0" t="s">
        <v>75</v>
      </c>
      <c r="F3534" s="0" t="s">
        <v>15</v>
      </c>
      <c r="G3534" s="0" t="s">
        <v>36</v>
      </c>
      <c r="H3534" s="0" t="n">
        <v>17</v>
      </c>
      <c r="I3534" s="0" t="s">
        <v>11794</v>
      </c>
      <c r="J3534" s="0" t="s">
        <v>11795</v>
      </c>
      <c r="K3534" s="0" t="s">
        <v>11796</v>
      </c>
      <c r="L3534" s="0" t="str">
        <f aca="false">HYPERLINK("https://www.ncbi.nlm.nih.gov/nuccore/CP000058.1?report=graph&amp;tracks=[key:gene_model_track,Options:GeneOnly]&amp;mk=1141660:1141679|offset_17|00cc00,1141681:1141700|offset_38|444444,1141713:1141732|offset_70|444444,1141743:1141762|offset_100|444444&amp;v=1141459:1141962&amp;c=444444", "offset 17")</f>
        <v>offset 17</v>
      </c>
    </row>
    <row r="3535" customFormat="false" ht="12.8" hidden="false" customHeight="false" outlineLevel="0" collapsed="false">
      <c r="A3535" s="0" t="s">
        <v>12</v>
      </c>
      <c r="B3535" s="0" t="n">
        <v>1141680</v>
      </c>
      <c r="C3535" s="0" t="n">
        <v>1141700</v>
      </c>
      <c r="D3535" s="0" t="s">
        <v>11793</v>
      </c>
      <c r="E3535" s="0" t="s">
        <v>75</v>
      </c>
      <c r="F3535" s="0" t="s">
        <v>15</v>
      </c>
      <c r="G3535" s="0" t="s">
        <v>36</v>
      </c>
      <c r="H3535" s="0" t="n">
        <v>38</v>
      </c>
      <c r="I3535" s="0" t="s">
        <v>11797</v>
      </c>
      <c r="J3535" s="0" t="s">
        <v>11798</v>
      </c>
      <c r="K3535" s="0" t="s">
        <v>11799</v>
      </c>
      <c r="L3535" s="0" t="str">
        <f aca="false">HYPERLINK("https://www.ncbi.nlm.nih.gov/nuccore/CP000058.1?report=graph&amp;tracks=[key:gene_model_track,Options:GeneOnly]&amp;mk=1141660:1141679|offset_17|444444,1141681:1141700|offset_38|00cc00,1141713:1141732|offset_70|444444,1141743:1141762|offset_100|444444&amp;v=1141459:1141962&amp;c=444444", "offset 38")</f>
        <v>offset 38</v>
      </c>
    </row>
    <row r="3536" customFormat="false" ht="12.8" hidden="false" customHeight="false" outlineLevel="0" collapsed="false">
      <c r="A3536" s="0" t="s">
        <v>12</v>
      </c>
      <c r="B3536" s="0" t="n">
        <v>1141712</v>
      </c>
      <c r="C3536" s="0" t="n">
        <v>1141732</v>
      </c>
      <c r="D3536" s="0" t="s">
        <v>11793</v>
      </c>
      <c r="E3536" s="0" t="s">
        <v>75</v>
      </c>
      <c r="F3536" s="0" t="s">
        <v>15</v>
      </c>
      <c r="G3536" s="0" t="s">
        <v>36</v>
      </c>
      <c r="H3536" s="0" t="n">
        <v>70</v>
      </c>
      <c r="I3536" s="0" t="s">
        <v>11800</v>
      </c>
      <c r="J3536" s="0" t="s">
        <v>11801</v>
      </c>
      <c r="K3536" s="0" t="s">
        <v>11802</v>
      </c>
      <c r="L3536" s="0" t="str">
        <f aca="false">HYPERLINK("https://www.ncbi.nlm.nih.gov/nuccore/CP000058.1?report=graph&amp;tracks=[key:gene_model_track,Options:GeneOnly]&amp;mk=1141660:1141679|offset_17|444444,1141681:1141700|offset_38|444444,1141713:1141732|offset_70|00cc00,1141743:1141762|offset_100|444444&amp;v=1141459:1141962&amp;c=444444", "offset 70")</f>
        <v>offset 70</v>
      </c>
    </row>
    <row r="3537" customFormat="false" ht="12.8" hidden="false" customHeight="false" outlineLevel="0" collapsed="false">
      <c r="A3537" s="0" t="s">
        <v>12</v>
      </c>
      <c r="B3537" s="0" t="n">
        <v>1141742</v>
      </c>
      <c r="C3537" s="0" t="n">
        <v>1141762</v>
      </c>
      <c r="D3537" s="0" t="s">
        <v>11793</v>
      </c>
      <c r="E3537" s="0" t="s">
        <v>75</v>
      </c>
      <c r="F3537" s="0" t="s">
        <v>15</v>
      </c>
      <c r="G3537" s="0" t="s">
        <v>32</v>
      </c>
      <c r="H3537" s="0" t="n">
        <v>100</v>
      </c>
      <c r="I3537" s="0" t="s">
        <v>11803</v>
      </c>
      <c r="J3537" s="0" t="s">
        <v>11804</v>
      </c>
      <c r="K3537" s="0" t="s">
        <v>11805</v>
      </c>
      <c r="L3537" s="0" t="str">
        <f aca="false">HYPERLINK("https://www.ncbi.nlm.nih.gov/nuccore/CP000058.1?report=graph&amp;tracks=[key:gene_model_track,Options:GeneOnly]&amp;mk=1141660:1141679|offset_17|444444,1141681:1141700|offset_38|444444,1141713:1141732|offset_70|444444,1141743:1141762|offset_100|00cc00&amp;v=1141459:1141962&amp;c=444444", "offset 100")</f>
        <v>offset 100</v>
      </c>
    </row>
    <row r="3538" customFormat="false" ht="12.8" hidden="false" customHeight="false" outlineLevel="0" collapsed="false">
      <c r="A3538" s="0" t="s">
        <v>12</v>
      </c>
      <c r="B3538" s="0" t="n">
        <v>1142636</v>
      </c>
      <c r="C3538" s="0" t="n">
        <v>1142656</v>
      </c>
      <c r="D3538" s="0" t="s">
        <v>11806</v>
      </c>
      <c r="E3538" s="0" t="s">
        <v>75</v>
      </c>
      <c r="F3538" s="0" t="s">
        <v>15</v>
      </c>
      <c r="G3538" s="0" t="s">
        <v>16</v>
      </c>
      <c r="H3538" s="0" t="n">
        <v>22</v>
      </c>
      <c r="I3538" s="0" t="s">
        <v>11807</v>
      </c>
      <c r="J3538" s="0" t="s">
        <v>11808</v>
      </c>
      <c r="K3538" s="0" t="s">
        <v>11809</v>
      </c>
      <c r="L3538" s="0" t="str">
        <f aca="false">HYPERLINK("https://www.ncbi.nlm.nih.gov/nuccore/CP000058.1?report=graph&amp;tracks=[key:gene_model_track,Options:GeneOnly]&amp;mk=1142637:1142656|offset_22|00cc00,1142676:1142695|offset_61|444444,1142711:1142730|offset_96|444444,1142773:1142792|offset_158|444444&amp;v=1142436:1142992&amp;c=444444", "offset 22")</f>
        <v>offset 22</v>
      </c>
    </row>
    <row r="3539" customFormat="false" ht="12.8" hidden="false" customHeight="false" outlineLevel="0" collapsed="false">
      <c r="A3539" s="0" t="s">
        <v>12</v>
      </c>
      <c r="B3539" s="0" t="n">
        <v>1142675</v>
      </c>
      <c r="C3539" s="0" t="n">
        <v>1142695</v>
      </c>
      <c r="D3539" s="0" t="s">
        <v>11806</v>
      </c>
      <c r="E3539" s="0" t="s">
        <v>75</v>
      </c>
      <c r="F3539" s="0" t="s">
        <v>15</v>
      </c>
      <c r="G3539" s="0" t="s">
        <v>32</v>
      </c>
      <c r="H3539" s="0" t="n">
        <v>61</v>
      </c>
      <c r="I3539" s="0" t="s">
        <v>11810</v>
      </c>
      <c r="J3539" s="0" t="s">
        <v>11811</v>
      </c>
      <c r="K3539" s="0" t="s">
        <v>11812</v>
      </c>
      <c r="L3539" s="0" t="str">
        <f aca="false">HYPERLINK("https://www.ncbi.nlm.nih.gov/nuccore/CP000058.1?report=graph&amp;tracks=[key:gene_model_track,Options:GeneOnly]&amp;mk=1142637:1142656|offset_22|444444,1142676:1142695|offset_61|00cc00,1142711:1142730|offset_96|444444,1142773:1142792|offset_158|444444&amp;v=1142436:1142992&amp;c=444444", "offset 61")</f>
        <v>offset 61</v>
      </c>
    </row>
    <row r="3540" customFormat="false" ht="12.8" hidden="false" customHeight="false" outlineLevel="0" collapsed="false">
      <c r="A3540" s="0" t="s">
        <v>12</v>
      </c>
      <c r="B3540" s="0" t="n">
        <v>1142710</v>
      </c>
      <c r="C3540" s="0" t="n">
        <v>1142730</v>
      </c>
      <c r="D3540" s="0" t="s">
        <v>11806</v>
      </c>
      <c r="E3540" s="0" t="s">
        <v>75</v>
      </c>
      <c r="F3540" s="0" t="s">
        <v>15</v>
      </c>
      <c r="G3540" s="0" t="s">
        <v>36</v>
      </c>
      <c r="H3540" s="0" t="n">
        <v>96</v>
      </c>
      <c r="I3540" s="0" t="s">
        <v>11813</v>
      </c>
      <c r="J3540" s="0" t="s">
        <v>11814</v>
      </c>
      <c r="K3540" s="0" t="s">
        <v>11815</v>
      </c>
      <c r="L3540" s="0" t="str">
        <f aca="false">HYPERLINK("https://www.ncbi.nlm.nih.gov/nuccore/CP000058.1?report=graph&amp;tracks=[key:gene_model_track,Options:GeneOnly]&amp;mk=1142637:1142656|offset_22|444444,1142676:1142695|offset_61|444444,1142711:1142730|offset_96|00cc00,1142773:1142792|offset_158|444444&amp;v=1142436:1142992&amp;c=444444", "offset 96")</f>
        <v>offset 96</v>
      </c>
    </row>
    <row r="3541" customFormat="false" ht="12.8" hidden="false" customHeight="false" outlineLevel="0" collapsed="false">
      <c r="A3541" s="0" t="s">
        <v>12</v>
      </c>
      <c r="B3541" s="0" t="n">
        <v>1142772</v>
      </c>
      <c r="C3541" s="0" t="n">
        <v>1142792</v>
      </c>
      <c r="D3541" s="0" t="s">
        <v>11806</v>
      </c>
      <c r="E3541" s="0" t="s">
        <v>75</v>
      </c>
      <c r="F3541" s="0" t="s">
        <v>15</v>
      </c>
      <c r="G3541" s="0" t="s">
        <v>20</v>
      </c>
      <c r="H3541" s="0" t="n">
        <v>158</v>
      </c>
      <c r="I3541" s="0" t="s">
        <v>11816</v>
      </c>
      <c r="J3541" s="0" t="s">
        <v>11817</v>
      </c>
      <c r="K3541" s="0" t="s">
        <v>11818</v>
      </c>
      <c r="L3541" s="0" t="str">
        <f aca="false">HYPERLINK("https://www.ncbi.nlm.nih.gov/nuccore/CP000058.1?report=graph&amp;tracks=[key:gene_model_track,Options:GeneOnly]&amp;mk=1142637:1142656|offset_22|444444,1142676:1142695|offset_61|444444,1142711:1142730|offset_96|444444,1142773:1142792|offset_158|00cc00&amp;v=1142436:1142992&amp;c=444444", "offset 158")</f>
        <v>offset 158</v>
      </c>
    </row>
    <row r="3542" customFormat="false" ht="12.8" hidden="false" customHeight="false" outlineLevel="0" collapsed="false">
      <c r="A3542" s="0" t="s">
        <v>12</v>
      </c>
      <c r="B3542" s="0" t="n">
        <v>1143411</v>
      </c>
      <c r="C3542" s="0" t="n">
        <v>1143431</v>
      </c>
      <c r="D3542" s="0" t="s">
        <v>11819</v>
      </c>
      <c r="E3542" s="0" t="s">
        <v>75</v>
      </c>
      <c r="F3542" s="0" t="s">
        <v>15</v>
      </c>
      <c r="G3542" s="0" t="s">
        <v>32</v>
      </c>
      <c r="H3542" s="0" t="n">
        <v>49</v>
      </c>
      <c r="I3542" s="0" t="s">
        <v>11820</v>
      </c>
      <c r="J3542" s="0" t="s">
        <v>11821</v>
      </c>
      <c r="K3542" s="0" t="s">
        <v>11822</v>
      </c>
      <c r="L3542" s="0" t="str">
        <f aca="false">HYPERLINK("https://www.ncbi.nlm.nih.gov/nuccore/CP000058.1?report=graph&amp;tracks=[key:gene_model_track,Options:GeneOnly]&amp;mk=1143412:1143431|offset_49|00cc00,1143467:1143486|offset_104|444444,1143527:1143546|offset_164|444444,1143577:1143596|offset_214|444444&amp;v=1143211:1143796&amp;c=444444", "offset 49")</f>
        <v>offset 49</v>
      </c>
    </row>
    <row r="3543" customFormat="false" ht="12.8" hidden="false" customHeight="false" outlineLevel="0" collapsed="false">
      <c r="A3543" s="0" t="s">
        <v>12</v>
      </c>
      <c r="B3543" s="0" t="n">
        <v>1143466</v>
      </c>
      <c r="C3543" s="0" t="n">
        <v>1143486</v>
      </c>
      <c r="D3543" s="0" t="s">
        <v>11819</v>
      </c>
      <c r="E3543" s="0" t="s">
        <v>75</v>
      </c>
      <c r="F3543" s="0" t="s">
        <v>15</v>
      </c>
      <c r="G3543" s="0" t="s">
        <v>20</v>
      </c>
      <c r="H3543" s="0" t="n">
        <v>104</v>
      </c>
      <c r="I3543" s="0" t="s">
        <v>11823</v>
      </c>
      <c r="J3543" s="0" t="s">
        <v>11824</v>
      </c>
      <c r="K3543" s="0" t="s">
        <v>11825</v>
      </c>
      <c r="L3543" s="0" t="str">
        <f aca="false">HYPERLINK("https://www.ncbi.nlm.nih.gov/nuccore/CP000058.1?report=graph&amp;tracks=[key:gene_model_track,Options:GeneOnly]&amp;mk=1143412:1143431|offset_49|444444,1143467:1143486|offset_104|00cc00,1143527:1143546|offset_164|444444,1143577:1143596|offset_214|444444&amp;v=1143211:1143796&amp;c=444444", "offset 104")</f>
        <v>offset 104</v>
      </c>
    </row>
    <row r="3544" customFormat="false" ht="12.8" hidden="false" customHeight="false" outlineLevel="0" collapsed="false">
      <c r="A3544" s="0" t="s">
        <v>12</v>
      </c>
      <c r="B3544" s="0" t="n">
        <v>1143526</v>
      </c>
      <c r="C3544" s="0" t="n">
        <v>1143546</v>
      </c>
      <c r="D3544" s="0" t="s">
        <v>11819</v>
      </c>
      <c r="E3544" s="0" t="s">
        <v>75</v>
      </c>
      <c r="F3544" s="0" t="s">
        <v>15</v>
      </c>
      <c r="G3544" s="0" t="s">
        <v>32</v>
      </c>
      <c r="H3544" s="0" t="n">
        <v>164</v>
      </c>
      <c r="I3544" s="0" t="s">
        <v>11826</v>
      </c>
      <c r="J3544" s="0" t="s">
        <v>11827</v>
      </c>
      <c r="K3544" s="0" t="s">
        <v>11828</v>
      </c>
      <c r="L3544" s="0" t="str">
        <f aca="false">HYPERLINK("https://www.ncbi.nlm.nih.gov/nuccore/CP000058.1?report=graph&amp;tracks=[key:gene_model_track,Options:GeneOnly]&amp;mk=1143412:1143431|offset_49|444444,1143467:1143486|offset_104|444444,1143527:1143546|offset_164|00cc00,1143577:1143596|offset_214|444444&amp;v=1143211:1143796&amp;c=444444", "offset 164")</f>
        <v>offset 164</v>
      </c>
    </row>
    <row r="3545" customFormat="false" ht="12.8" hidden="false" customHeight="false" outlineLevel="0" collapsed="false">
      <c r="A3545" s="0" t="s">
        <v>12</v>
      </c>
      <c r="B3545" s="0" t="n">
        <v>1143576</v>
      </c>
      <c r="C3545" s="0" t="n">
        <v>1143596</v>
      </c>
      <c r="D3545" s="0" t="s">
        <v>11819</v>
      </c>
      <c r="E3545" s="0" t="s">
        <v>75</v>
      </c>
      <c r="F3545" s="0" t="s">
        <v>15</v>
      </c>
      <c r="G3545" s="0" t="s">
        <v>16</v>
      </c>
      <c r="H3545" s="0" t="n">
        <v>214</v>
      </c>
      <c r="I3545" s="0" t="s">
        <v>11829</v>
      </c>
      <c r="J3545" s="0" t="s">
        <v>11830</v>
      </c>
      <c r="K3545" s="0" t="s">
        <v>11831</v>
      </c>
      <c r="L3545" s="0" t="str">
        <f aca="false">HYPERLINK("https://www.ncbi.nlm.nih.gov/nuccore/CP000058.1?report=graph&amp;tracks=[key:gene_model_track,Options:GeneOnly]&amp;mk=1143412:1143431|offset_49|444444,1143467:1143486|offset_104|444444,1143527:1143546|offset_164|444444,1143577:1143596|offset_214|00cc00&amp;v=1143211:1143796&amp;c=444444", "offset 214")</f>
        <v>offset 214</v>
      </c>
    </row>
    <row r="3546" customFormat="false" ht="12.8" hidden="false" customHeight="false" outlineLevel="0" collapsed="false">
      <c r="A3546" s="0" t="s">
        <v>12</v>
      </c>
      <c r="B3546" s="0" t="n">
        <v>1144536</v>
      </c>
      <c r="C3546" s="0" t="n">
        <v>1144556</v>
      </c>
      <c r="D3546" s="0" t="s">
        <v>11832</v>
      </c>
      <c r="E3546" s="0" t="s">
        <v>75</v>
      </c>
      <c r="F3546" s="0" t="s">
        <v>15</v>
      </c>
      <c r="G3546" s="0" t="s">
        <v>32</v>
      </c>
      <c r="H3546" s="0" t="n">
        <v>109</v>
      </c>
      <c r="I3546" s="0" t="s">
        <v>11833</v>
      </c>
      <c r="J3546" s="0" t="s">
        <v>11834</v>
      </c>
      <c r="K3546" s="0" t="s">
        <v>11835</v>
      </c>
      <c r="L3546" s="0" t="str">
        <f aca="false">HYPERLINK("https://www.ncbi.nlm.nih.gov/nuccore/CP000058.1?report=graph&amp;tracks=[key:gene_model_track,Options:GeneOnly]&amp;mk=1144537:1144556|offset_109|00cc00,1144601:1144620|offset_173|444444,1144632:1144651|offset_204|444444,1144679:1144698|offset_251|444444&amp;v=1144336:1144898&amp;c=444444", "offset 109")</f>
        <v>offset 109</v>
      </c>
    </row>
    <row r="3547" customFormat="false" ht="12.8" hidden="false" customHeight="false" outlineLevel="0" collapsed="false">
      <c r="A3547" s="0" t="s">
        <v>12</v>
      </c>
      <c r="B3547" s="0" t="n">
        <v>1144600</v>
      </c>
      <c r="C3547" s="0" t="n">
        <v>1144620</v>
      </c>
      <c r="D3547" s="0" t="s">
        <v>11832</v>
      </c>
      <c r="E3547" s="0" t="s">
        <v>75</v>
      </c>
      <c r="F3547" s="0" t="s">
        <v>15</v>
      </c>
      <c r="G3547" s="0" t="s">
        <v>32</v>
      </c>
      <c r="H3547" s="0" t="n">
        <v>173</v>
      </c>
      <c r="I3547" s="0" t="s">
        <v>11836</v>
      </c>
      <c r="J3547" s="0" t="s">
        <v>11837</v>
      </c>
      <c r="K3547" s="0" t="s">
        <v>11838</v>
      </c>
      <c r="L3547" s="0" t="str">
        <f aca="false">HYPERLINK("https://www.ncbi.nlm.nih.gov/nuccore/CP000058.1?report=graph&amp;tracks=[key:gene_model_track,Options:GeneOnly]&amp;mk=1144537:1144556|offset_109|444444,1144601:1144620|offset_173|00cc00,1144632:1144651|offset_204|444444,1144679:1144698|offset_251|444444&amp;v=1144336:1144898&amp;c=444444", "offset 173")</f>
        <v>offset 173</v>
      </c>
    </row>
    <row r="3548" customFormat="false" ht="12.8" hidden="false" customHeight="false" outlineLevel="0" collapsed="false">
      <c r="A3548" s="0" t="s">
        <v>12</v>
      </c>
      <c r="B3548" s="0" t="n">
        <v>1144631</v>
      </c>
      <c r="C3548" s="0" t="n">
        <v>1144651</v>
      </c>
      <c r="D3548" s="0" t="s">
        <v>11832</v>
      </c>
      <c r="E3548" s="0" t="s">
        <v>75</v>
      </c>
      <c r="F3548" s="0" t="s">
        <v>15</v>
      </c>
      <c r="G3548" s="0" t="s">
        <v>16</v>
      </c>
      <c r="H3548" s="0" t="n">
        <v>204</v>
      </c>
      <c r="I3548" s="0" t="s">
        <v>11839</v>
      </c>
      <c r="J3548" s="0" t="s">
        <v>11840</v>
      </c>
      <c r="K3548" s="0" t="s">
        <v>11841</v>
      </c>
      <c r="L3548" s="0" t="str">
        <f aca="false">HYPERLINK("https://www.ncbi.nlm.nih.gov/nuccore/CP000058.1?report=graph&amp;tracks=[key:gene_model_track,Options:GeneOnly]&amp;mk=1144537:1144556|offset_109|444444,1144601:1144620|offset_173|444444,1144632:1144651|offset_204|00cc00,1144679:1144698|offset_251|444444&amp;v=1144336:1144898&amp;c=444444", "offset 204")</f>
        <v>offset 204</v>
      </c>
    </row>
    <row r="3549" customFormat="false" ht="12.8" hidden="false" customHeight="false" outlineLevel="0" collapsed="false">
      <c r="A3549" s="0" t="s">
        <v>12</v>
      </c>
      <c r="B3549" s="0" t="n">
        <v>1144678</v>
      </c>
      <c r="C3549" s="0" t="n">
        <v>1144698</v>
      </c>
      <c r="D3549" s="0" t="s">
        <v>11832</v>
      </c>
      <c r="E3549" s="0" t="s">
        <v>75</v>
      </c>
      <c r="F3549" s="0" t="s">
        <v>15</v>
      </c>
      <c r="G3549" s="0" t="s">
        <v>36</v>
      </c>
      <c r="H3549" s="0" t="n">
        <v>251</v>
      </c>
      <c r="I3549" s="0" t="s">
        <v>11842</v>
      </c>
      <c r="J3549" s="0" t="s">
        <v>11843</v>
      </c>
      <c r="K3549" s="0" t="s">
        <v>11844</v>
      </c>
      <c r="L3549" s="0" t="str">
        <f aca="false">HYPERLINK("https://www.ncbi.nlm.nih.gov/nuccore/CP000058.1?report=graph&amp;tracks=[key:gene_model_track,Options:GeneOnly]&amp;mk=1144537:1144556|offset_109|444444,1144601:1144620|offset_173|444444,1144632:1144651|offset_204|444444,1144679:1144698|offset_251|00cc00&amp;v=1144336:1144898&amp;c=444444", "offset 251")</f>
        <v>offset 251</v>
      </c>
    </row>
    <row r="3550" customFormat="false" ht="12.8" hidden="false" customHeight="false" outlineLevel="0" collapsed="false">
      <c r="A3550" s="0" t="s">
        <v>12</v>
      </c>
      <c r="B3550" s="0" t="n">
        <v>1145954</v>
      </c>
      <c r="C3550" s="0" t="n">
        <v>1145974</v>
      </c>
      <c r="D3550" s="0" t="s">
        <v>11845</v>
      </c>
      <c r="E3550" s="0" t="s">
        <v>75</v>
      </c>
      <c r="F3550" s="0" t="s">
        <v>15</v>
      </c>
      <c r="G3550" s="0" t="s">
        <v>36</v>
      </c>
      <c r="H3550" s="0" t="n">
        <v>14</v>
      </c>
      <c r="I3550" s="0" t="s">
        <v>11846</v>
      </c>
      <c r="J3550" s="0" t="s">
        <v>11847</v>
      </c>
      <c r="K3550" s="0" t="s">
        <v>11848</v>
      </c>
      <c r="L3550" s="0" t="str">
        <f aca="false">HYPERLINK("https://www.ncbi.nlm.nih.gov/nuccore/CP000058.1?report=graph&amp;tracks=[key:gene_model_track,Options:GeneOnly]&amp;mk=1145955:1145974|offset_14|00cc00,1145995:1146014|offset_54|444444,1146050:1146069|offset_109|444444,1146088:1146107|offset_147|444444&amp;v=1145754:1146307&amp;c=444444", "offset 14")</f>
        <v>offset 14</v>
      </c>
    </row>
    <row r="3551" customFormat="false" ht="12.8" hidden="false" customHeight="false" outlineLevel="0" collapsed="false">
      <c r="A3551" s="0" t="s">
        <v>12</v>
      </c>
      <c r="B3551" s="0" t="n">
        <v>1145994</v>
      </c>
      <c r="C3551" s="0" t="n">
        <v>1146014</v>
      </c>
      <c r="D3551" s="0" t="s">
        <v>11845</v>
      </c>
      <c r="E3551" s="0" t="s">
        <v>75</v>
      </c>
      <c r="F3551" s="0" t="s">
        <v>15</v>
      </c>
      <c r="G3551" s="0" t="s">
        <v>32</v>
      </c>
      <c r="H3551" s="0" t="n">
        <v>54</v>
      </c>
      <c r="I3551" s="0" t="s">
        <v>11849</v>
      </c>
      <c r="J3551" s="0" t="s">
        <v>11850</v>
      </c>
      <c r="K3551" s="0" t="s">
        <v>11851</v>
      </c>
      <c r="L3551" s="0" t="str">
        <f aca="false">HYPERLINK("https://www.ncbi.nlm.nih.gov/nuccore/CP000058.1?report=graph&amp;tracks=[key:gene_model_track,Options:GeneOnly]&amp;mk=1145955:1145974|offset_14|444444,1145995:1146014|offset_54|00cc00,1146050:1146069|offset_109|444444,1146088:1146107|offset_147|444444&amp;v=1145754:1146307&amp;c=444444", "offset 54")</f>
        <v>offset 54</v>
      </c>
    </row>
    <row r="3552" customFormat="false" ht="12.8" hidden="false" customHeight="false" outlineLevel="0" collapsed="false">
      <c r="A3552" s="0" t="s">
        <v>12</v>
      </c>
      <c r="B3552" s="0" t="n">
        <v>1146049</v>
      </c>
      <c r="C3552" s="0" t="n">
        <v>1146069</v>
      </c>
      <c r="D3552" s="0" t="s">
        <v>11845</v>
      </c>
      <c r="E3552" s="0" t="s">
        <v>75</v>
      </c>
      <c r="F3552" s="0" t="s">
        <v>15</v>
      </c>
      <c r="G3552" s="0" t="s">
        <v>32</v>
      </c>
      <c r="H3552" s="0" t="n">
        <v>109</v>
      </c>
      <c r="I3552" s="0" t="s">
        <v>11852</v>
      </c>
      <c r="J3552" s="0" t="s">
        <v>11853</v>
      </c>
      <c r="K3552" s="0" t="s">
        <v>11854</v>
      </c>
      <c r="L3552" s="0" t="str">
        <f aca="false">HYPERLINK("https://www.ncbi.nlm.nih.gov/nuccore/CP000058.1?report=graph&amp;tracks=[key:gene_model_track,Options:GeneOnly]&amp;mk=1145955:1145974|offset_14|444444,1145995:1146014|offset_54|444444,1146050:1146069|offset_109|00cc00,1146088:1146107|offset_147|444444&amp;v=1145754:1146307&amp;c=444444", "offset 109")</f>
        <v>offset 109</v>
      </c>
    </row>
    <row r="3553" customFormat="false" ht="12.8" hidden="false" customHeight="false" outlineLevel="0" collapsed="false">
      <c r="A3553" s="0" t="s">
        <v>12</v>
      </c>
      <c r="B3553" s="0" t="n">
        <v>1146087</v>
      </c>
      <c r="C3553" s="0" t="n">
        <v>1146107</v>
      </c>
      <c r="D3553" s="0" t="s">
        <v>11845</v>
      </c>
      <c r="E3553" s="0" t="s">
        <v>75</v>
      </c>
      <c r="F3553" s="0" t="s">
        <v>15</v>
      </c>
      <c r="G3553" s="0" t="s">
        <v>36</v>
      </c>
      <c r="H3553" s="0" t="n">
        <v>147</v>
      </c>
      <c r="I3553" s="0" t="s">
        <v>11855</v>
      </c>
      <c r="J3553" s="0" t="s">
        <v>11856</v>
      </c>
      <c r="K3553" s="0" t="s">
        <v>11857</v>
      </c>
      <c r="L3553" s="0" t="str">
        <f aca="false">HYPERLINK("https://www.ncbi.nlm.nih.gov/nuccore/CP000058.1?report=graph&amp;tracks=[key:gene_model_track,Options:GeneOnly]&amp;mk=1145955:1145974|offset_14|444444,1145995:1146014|offset_54|444444,1146050:1146069|offset_109|444444,1146088:1146107|offset_147|00cc00&amp;v=1145754:1146307&amp;c=444444", "offset 147")</f>
        <v>offset 147</v>
      </c>
    </row>
    <row r="3554" customFormat="false" ht="12.8" hidden="false" customHeight="false" outlineLevel="0" collapsed="false">
      <c r="A3554" s="0" t="s">
        <v>12</v>
      </c>
      <c r="B3554" s="0" t="n">
        <v>1149148</v>
      </c>
      <c r="C3554" s="0" t="n">
        <v>1149168</v>
      </c>
      <c r="D3554" s="0" t="s">
        <v>11858</v>
      </c>
      <c r="E3554" s="0" t="s">
        <v>75</v>
      </c>
      <c r="F3554" s="0" t="s">
        <v>90</v>
      </c>
      <c r="G3554" s="0" t="s">
        <v>16</v>
      </c>
      <c r="H3554" s="0" t="n">
        <v>7</v>
      </c>
      <c r="I3554" s="0" t="s">
        <v>11859</v>
      </c>
      <c r="J3554" s="0" t="s">
        <v>11860</v>
      </c>
      <c r="K3554" s="0" t="s">
        <v>11861</v>
      </c>
      <c r="L3554" s="0" t="str">
        <f aca="false">HYPERLINK("https://www.ncbi.nlm.nih.gov/nuccore/CP000058.1?report=graph&amp;tracks=[key:gene_model_track,Options:GeneOnly]&amp;mk=1149149:1149168|offset_7|00cc00,1149115:1149134|offset_41|444444,1149057:1149076|offset_99|444444,1149003:1149022|offset_153|444444&amp;v=1148948:1149222&amp;c=444444", "offset 7")</f>
        <v>offset 7</v>
      </c>
    </row>
    <row r="3555" customFormat="false" ht="12.8" hidden="false" customHeight="false" outlineLevel="0" collapsed="false">
      <c r="A3555" s="0" t="s">
        <v>12</v>
      </c>
      <c r="B3555" s="0" t="n">
        <v>1149114</v>
      </c>
      <c r="C3555" s="0" t="n">
        <v>1149134</v>
      </c>
      <c r="D3555" s="0" t="s">
        <v>11858</v>
      </c>
      <c r="E3555" s="0" t="s">
        <v>75</v>
      </c>
      <c r="F3555" s="0" t="s">
        <v>90</v>
      </c>
      <c r="G3555" s="0" t="s">
        <v>36</v>
      </c>
      <c r="H3555" s="0" t="n">
        <v>41</v>
      </c>
      <c r="I3555" s="0" t="s">
        <v>11862</v>
      </c>
      <c r="J3555" s="0" t="s">
        <v>11863</v>
      </c>
      <c r="K3555" s="0" t="s">
        <v>11864</v>
      </c>
      <c r="L3555" s="0" t="str">
        <f aca="false">HYPERLINK("https://www.ncbi.nlm.nih.gov/nuccore/CP000058.1?report=graph&amp;tracks=[key:gene_model_track,Options:GeneOnly]&amp;mk=1149149:1149168|offset_7|444444,1149115:1149134|offset_41|00cc00,1149057:1149076|offset_99|444444,1149003:1149022|offset_153|444444&amp;v=1148948:1149222&amp;c=444444", "offset 41")</f>
        <v>offset 41</v>
      </c>
    </row>
    <row r="3556" customFormat="false" ht="12.8" hidden="false" customHeight="false" outlineLevel="0" collapsed="false">
      <c r="A3556" s="0" t="s">
        <v>12</v>
      </c>
      <c r="B3556" s="0" t="n">
        <v>1149056</v>
      </c>
      <c r="C3556" s="0" t="n">
        <v>1149076</v>
      </c>
      <c r="D3556" s="0" t="s">
        <v>11858</v>
      </c>
      <c r="E3556" s="0" t="s">
        <v>75</v>
      </c>
      <c r="F3556" s="0" t="s">
        <v>90</v>
      </c>
      <c r="G3556" s="0" t="s">
        <v>36</v>
      </c>
      <c r="H3556" s="0" t="n">
        <v>99</v>
      </c>
      <c r="I3556" s="0" t="s">
        <v>11865</v>
      </c>
      <c r="J3556" s="0" t="s">
        <v>11866</v>
      </c>
      <c r="K3556" s="0" t="s">
        <v>11867</v>
      </c>
      <c r="L3556" s="0" t="str">
        <f aca="false">HYPERLINK("https://www.ncbi.nlm.nih.gov/nuccore/CP000058.1?report=graph&amp;tracks=[key:gene_model_track,Options:GeneOnly]&amp;mk=1149149:1149168|offset_7|444444,1149115:1149134|offset_41|444444,1149057:1149076|offset_99|00cc00,1149003:1149022|offset_153|444444&amp;v=1148948:1149222&amp;c=444444", "offset 99")</f>
        <v>offset 99</v>
      </c>
    </row>
    <row r="3557" customFormat="false" ht="12.8" hidden="false" customHeight="false" outlineLevel="0" collapsed="false">
      <c r="A3557" s="0" t="s">
        <v>12</v>
      </c>
      <c r="B3557" s="0" t="n">
        <v>1149002</v>
      </c>
      <c r="C3557" s="0" t="n">
        <v>1149022</v>
      </c>
      <c r="D3557" s="0" t="s">
        <v>11858</v>
      </c>
      <c r="E3557" s="0" t="s">
        <v>75</v>
      </c>
      <c r="F3557" s="0" t="s">
        <v>90</v>
      </c>
      <c r="G3557" s="0" t="s">
        <v>20</v>
      </c>
      <c r="H3557" s="0" t="n">
        <v>153</v>
      </c>
      <c r="I3557" s="0" t="s">
        <v>11868</v>
      </c>
      <c r="J3557" s="0" t="s">
        <v>11869</v>
      </c>
      <c r="K3557" s="0" t="s">
        <v>11870</v>
      </c>
      <c r="L3557" s="0" t="str">
        <f aca="false">HYPERLINK("https://www.ncbi.nlm.nih.gov/nuccore/CP000058.1?report=graph&amp;tracks=[key:gene_model_track,Options:GeneOnly]&amp;mk=1149149:1149168|offset_7|444444,1149115:1149134|offset_41|444444,1149057:1149076|offset_99|444444,1149003:1149022|offset_153|00cc00&amp;v=1148948:1149222&amp;c=444444", "offset 153")</f>
        <v>offset 153</v>
      </c>
    </row>
    <row r="3558" customFormat="false" ht="12.8" hidden="false" customHeight="false" outlineLevel="0" collapsed="false">
      <c r="A3558" s="0" t="s">
        <v>12</v>
      </c>
      <c r="B3558" s="0" t="n">
        <v>1149479</v>
      </c>
      <c r="C3558" s="0" t="n">
        <v>1149499</v>
      </c>
      <c r="D3558" s="0" t="s">
        <v>11871</v>
      </c>
      <c r="E3558" s="0" t="s">
        <v>75</v>
      </c>
      <c r="F3558" s="0" t="s">
        <v>15</v>
      </c>
      <c r="G3558" s="0" t="s">
        <v>36</v>
      </c>
      <c r="H3558" s="0" t="n">
        <v>176</v>
      </c>
      <c r="I3558" s="0" t="s">
        <v>11872</v>
      </c>
      <c r="J3558" s="0" t="s">
        <v>11873</v>
      </c>
      <c r="K3558" s="0" t="s">
        <v>11874</v>
      </c>
      <c r="L3558" s="0" t="str">
        <f aca="false">HYPERLINK("https://www.ncbi.nlm.nih.gov/nuccore/CP000058.1?report=graph&amp;tracks=[key:gene_model_track,Options:GeneOnly]&amp;mk=1149480:1149499|offset_176|00cc00,1149507:1149526|offset_203|444444,1149529:1149548|offset_225|444444,1149551:1149570|offset_247|444444&amp;v=1149279:1149770&amp;c=444444", "offset 176")</f>
        <v>offset 176</v>
      </c>
    </row>
    <row r="3559" customFormat="false" ht="12.8" hidden="false" customHeight="false" outlineLevel="0" collapsed="false">
      <c r="A3559" s="0" t="s">
        <v>12</v>
      </c>
      <c r="B3559" s="0" t="n">
        <v>1149506</v>
      </c>
      <c r="C3559" s="0" t="n">
        <v>1149526</v>
      </c>
      <c r="D3559" s="0" t="s">
        <v>11871</v>
      </c>
      <c r="E3559" s="0" t="s">
        <v>75</v>
      </c>
      <c r="F3559" s="0" t="s">
        <v>15</v>
      </c>
      <c r="G3559" s="0" t="s">
        <v>20</v>
      </c>
      <c r="H3559" s="0" t="n">
        <v>203</v>
      </c>
      <c r="I3559" s="0" t="s">
        <v>11875</v>
      </c>
      <c r="J3559" s="0" t="s">
        <v>11876</v>
      </c>
      <c r="K3559" s="0" t="s">
        <v>11877</v>
      </c>
      <c r="L3559" s="0" t="str">
        <f aca="false">HYPERLINK("https://www.ncbi.nlm.nih.gov/nuccore/CP000058.1?report=graph&amp;tracks=[key:gene_model_track,Options:GeneOnly]&amp;mk=1149480:1149499|offset_176|444444,1149507:1149526|offset_203|00cc00,1149529:1149548|offset_225|444444,1149551:1149570|offset_247|444444&amp;v=1149279:1149770&amp;c=444444", "offset 203")</f>
        <v>offset 203</v>
      </c>
    </row>
    <row r="3560" customFormat="false" ht="12.8" hidden="false" customHeight="false" outlineLevel="0" collapsed="false">
      <c r="A3560" s="0" t="s">
        <v>12</v>
      </c>
      <c r="B3560" s="0" t="n">
        <v>1149528</v>
      </c>
      <c r="C3560" s="0" t="n">
        <v>1149548</v>
      </c>
      <c r="D3560" s="0" t="s">
        <v>11871</v>
      </c>
      <c r="E3560" s="0" t="s">
        <v>75</v>
      </c>
      <c r="F3560" s="0" t="s">
        <v>15</v>
      </c>
      <c r="G3560" s="0" t="s">
        <v>16</v>
      </c>
      <c r="H3560" s="0" t="n">
        <v>225</v>
      </c>
      <c r="I3560" s="0" t="s">
        <v>11878</v>
      </c>
      <c r="J3560" s="0" t="s">
        <v>11879</v>
      </c>
      <c r="K3560" s="0" t="s">
        <v>11880</v>
      </c>
      <c r="L3560" s="0" t="str">
        <f aca="false">HYPERLINK("https://www.ncbi.nlm.nih.gov/nuccore/CP000058.1?report=graph&amp;tracks=[key:gene_model_track,Options:GeneOnly]&amp;mk=1149480:1149499|offset_176|444444,1149507:1149526|offset_203|444444,1149529:1149548|offset_225|00cc00,1149551:1149570|offset_247|444444&amp;v=1149279:1149770&amp;c=444444", "offset 225")</f>
        <v>offset 225</v>
      </c>
    </row>
    <row r="3561" customFormat="false" ht="12.8" hidden="false" customHeight="false" outlineLevel="0" collapsed="false">
      <c r="A3561" s="0" t="s">
        <v>12</v>
      </c>
      <c r="B3561" s="0" t="n">
        <v>1149550</v>
      </c>
      <c r="C3561" s="0" t="n">
        <v>1149570</v>
      </c>
      <c r="D3561" s="0" t="s">
        <v>11871</v>
      </c>
      <c r="E3561" s="0" t="s">
        <v>75</v>
      </c>
      <c r="F3561" s="0" t="s">
        <v>15</v>
      </c>
      <c r="G3561" s="0" t="s">
        <v>20</v>
      </c>
      <c r="H3561" s="0" t="n">
        <v>247</v>
      </c>
      <c r="I3561" s="0" t="s">
        <v>11881</v>
      </c>
      <c r="J3561" s="0" t="s">
        <v>11882</v>
      </c>
      <c r="K3561" s="0" t="s">
        <v>11883</v>
      </c>
      <c r="L3561" s="0" t="str">
        <f aca="false">HYPERLINK("https://www.ncbi.nlm.nih.gov/nuccore/CP000058.1?report=graph&amp;tracks=[key:gene_model_track,Options:GeneOnly]&amp;mk=1149480:1149499|offset_176|444444,1149507:1149526|offset_203|444444,1149529:1149548|offset_225|444444,1149551:1149570|offset_247|00cc00&amp;v=1149279:1149770&amp;c=444444", "offset 247")</f>
        <v>offset 247</v>
      </c>
    </row>
    <row r="3562" customFormat="false" ht="12.8" hidden="false" customHeight="false" outlineLevel="0" collapsed="false">
      <c r="A3562" s="0" t="s">
        <v>12</v>
      </c>
      <c r="B3562" s="0" t="n">
        <v>1151286</v>
      </c>
      <c r="C3562" s="0" t="n">
        <v>1151306</v>
      </c>
      <c r="D3562" s="0" t="s">
        <v>11884</v>
      </c>
      <c r="E3562" s="0" t="s">
        <v>11885</v>
      </c>
      <c r="F3562" s="0" t="s">
        <v>90</v>
      </c>
      <c r="G3562" s="0" t="s">
        <v>36</v>
      </c>
      <c r="H3562" s="0" t="n">
        <v>43</v>
      </c>
      <c r="I3562" s="0" t="s">
        <v>11886</v>
      </c>
      <c r="J3562" s="0" t="s">
        <v>11887</v>
      </c>
      <c r="K3562" s="0" t="s">
        <v>11888</v>
      </c>
      <c r="L3562" s="0" t="str">
        <f aca="false">HYPERLINK("https://www.ncbi.nlm.nih.gov/nuccore/CP000058.1?report=graph&amp;tracks=[key:gene_model_track,Options:GeneOnly]&amp;mk=1151287:1151306|offset_43|00cc00,1151257:1151276|offset_73|444444,1151228:1151247|offset_102|444444,1151191:1151210|offset_139|444444&amp;v=1151086:1151410&amp;c=444444", "offset 43")</f>
        <v>offset 43</v>
      </c>
    </row>
    <row r="3563" customFormat="false" ht="12.8" hidden="false" customHeight="false" outlineLevel="0" collapsed="false">
      <c r="A3563" s="0" t="s">
        <v>12</v>
      </c>
      <c r="B3563" s="0" t="n">
        <v>1151256</v>
      </c>
      <c r="C3563" s="0" t="n">
        <v>1151276</v>
      </c>
      <c r="D3563" s="0" t="s">
        <v>11884</v>
      </c>
      <c r="E3563" s="0" t="s">
        <v>11885</v>
      </c>
      <c r="F3563" s="0" t="s">
        <v>90</v>
      </c>
      <c r="G3563" s="0" t="s">
        <v>32</v>
      </c>
      <c r="H3563" s="0" t="n">
        <v>73</v>
      </c>
      <c r="I3563" s="0" t="s">
        <v>11889</v>
      </c>
      <c r="J3563" s="0" t="s">
        <v>11890</v>
      </c>
      <c r="K3563" s="0" t="s">
        <v>11891</v>
      </c>
      <c r="L3563" s="0" t="str">
        <f aca="false">HYPERLINK("https://www.ncbi.nlm.nih.gov/nuccore/CP000058.1?report=graph&amp;tracks=[key:gene_model_track,Options:GeneOnly]&amp;mk=1151287:1151306|offset_43|444444,1151257:1151276|offset_73|00cc00,1151228:1151247|offset_102|444444,1151191:1151210|offset_139|444444&amp;v=1151086:1151410&amp;c=444444", "offset 73")</f>
        <v>offset 73</v>
      </c>
    </row>
    <row r="3564" customFormat="false" ht="12.8" hidden="false" customHeight="false" outlineLevel="0" collapsed="false">
      <c r="A3564" s="0" t="s">
        <v>12</v>
      </c>
      <c r="B3564" s="0" t="n">
        <v>1151227</v>
      </c>
      <c r="C3564" s="0" t="n">
        <v>1151247</v>
      </c>
      <c r="D3564" s="0" t="s">
        <v>11884</v>
      </c>
      <c r="E3564" s="0" t="s">
        <v>11885</v>
      </c>
      <c r="F3564" s="0" t="s">
        <v>90</v>
      </c>
      <c r="G3564" s="0" t="s">
        <v>16</v>
      </c>
      <c r="H3564" s="0" t="n">
        <v>102</v>
      </c>
      <c r="I3564" s="0" t="s">
        <v>11892</v>
      </c>
      <c r="J3564" s="0" t="s">
        <v>11893</v>
      </c>
      <c r="K3564" s="0" t="s">
        <v>11894</v>
      </c>
      <c r="L3564" s="0" t="str">
        <f aca="false">HYPERLINK("https://www.ncbi.nlm.nih.gov/nuccore/CP000058.1?report=graph&amp;tracks=[key:gene_model_track,Options:GeneOnly]&amp;mk=1151287:1151306|offset_43|444444,1151257:1151276|offset_73|444444,1151228:1151247|offset_102|00cc00,1151191:1151210|offset_139|444444&amp;v=1151086:1151410&amp;c=444444", "offset 102")</f>
        <v>offset 102</v>
      </c>
    </row>
    <row r="3565" customFormat="false" ht="12.8" hidden="false" customHeight="false" outlineLevel="0" collapsed="false">
      <c r="A3565" s="0" t="s">
        <v>12</v>
      </c>
      <c r="B3565" s="0" t="n">
        <v>1151190</v>
      </c>
      <c r="C3565" s="0" t="n">
        <v>1151210</v>
      </c>
      <c r="D3565" s="0" t="s">
        <v>11884</v>
      </c>
      <c r="E3565" s="0" t="s">
        <v>11885</v>
      </c>
      <c r="F3565" s="0" t="s">
        <v>90</v>
      </c>
      <c r="G3565" s="0" t="s">
        <v>16</v>
      </c>
      <c r="H3565" s="0" t="n">
        <v>139</v>
      </c>
      <c r="I3565" s="0" t="s">
        <v>11895</v>
      </c>
      <c r="J3565" s="0" t="s">
        <v>11896</v>
      </c>
      <c r="K3565" s="0" t="s">
        <v>11897</v>
      </c>
      <c r="L3565" s="0" t="str">
        <f aca="false">HYPERLINK("https://www.ncbi.nlm.nih.gov/nuccore/CP000058.1?report=graph&amp;tracks=[key:gene_model_track,Options:GeneOnly]&amp;mk=1151287:1151306|offset_43|444444,1151257:1151276|offset_73|444444,1151228:1151247|offset_102|444444,1151191:1151210|offset_139|00cc00&amp;v=1151086:1151410&amp;c=444444", "offset 139")</f>
        <v>offset 139</v>
      </c>
    </row>
    <row r="3566" customFormat="false" ht="12.8" hidden="false" customHeight="false" outlineLevel="0" collapsed="false">
      <c r="A3566" s="0" t="s">
        <v>12</v>
      </c>
      <c r="B3566" s="0" t="n">
        <v>1152133</v>
      </c>
      <c r="C3566" s="0" t="n">
        <v>1152153</v>
      </c>
      <c r="D3566" s="0" t="s">
        <v>11898</v>
      </c>
      <c r="E3566" s="0" t="s">
        <v>11899</v>
      </c>
      <c r="F3566" s="0" t="s">
        <v>90</v>
      </c>
      <c r="G3566" s="0" t="s">
        <v>20</v>
      </c>
      <c r="H3566" s="0" t="n">
        <v>110</v>
      </c>
      <c r="I3566" s="0" t="s">
        <v>11900</v>
      </c>
      <c r="J3566" s="0" t="s">
        <v>11901</v>
      </c>
      <c r="K3566" s="0" t="s">
        <v>11902</v>
      </c>
      <c r="L3566" s="0" t="str">
        <f aca="false">HYPERLINK("https://www.ncbi.nlm.nih.gov/nuccore/CP000058.1?report=graph&amp;tracks=[key:gene_model_track,Options:GeneOnly]&amp;mk=1152134:1152153|offset_110|00cc00,1152113:1152132|offset_131|444444,1152078:1152097|offset_166|444444,1152045:1152064|offset_199|444444&amp;v=1151933:1152264&amp;c=444444", "offset 110")</f>
        <v>offset 110</v>
      </c>
    </row>
    <row r="3567" customFormat="false" ht="12.8" hidden="false" customHeight="false" outlineLevel="0" collapsed="false">
      <c r="A3567" s="0" t="s">
        <v>12</v>
      </c>
      <c r="B3567" s="0" t="n">
        <v>1152112</v>
      </c>
      <c r="C3567" s="0" t="n">
        <v>1152132</v>
      </c>
      <c r="D3567" s="0" t="s">
        <v>11898</v>
      </c>
      <c r="E3567" s="0" t="s">
        <v>11899</v>
      </c>
      <c r="F3567" s="0" t="s">
        <v>90</v>
      </c>
      <c r="G3567" s="0" t="s">
        <v>20</v>
      </c>
      <c r="H3567" s="0" t="n">
        <v>131</v>
      </c>
      <c r="I3567" s="0" t="s">
        <v>11903</v>
      </c>
      <c r="J3567" s="0" t="s">
        <v>11904</v>
      </c>
      <c r="K3567" s="0" t="s">
        <v>11905</v>
      </c>
      <c r="L3567" s="0" t="str">
        <f aca="false">HYPERLINK("https://www.ncbi.nlm.nih.gov/nuccore/CP000058.1?report=graph&amp;tracks=[key:gene_model_track,Options:GeneOnly]&amp;mk=1152134:1152153|offset_110|444444,1152113:1152132|offset_131|00cc00,1152078:1152097|offset_166|444444,1152045:1152064|offset_199|444444&amp;v=1151933:1152264&amp;c=444444", "offset 131")</f>
        <v>offset 131</v>
      </c>
    </row>
    <row r="3568" customFormat="false" ht="12.8" hidden="false" customHeight="false" outlineLevel="0" collapsed="false">
      <c r="A3568" s="0" t="s">
        <v>12</v>
      </c>
      <c r="B3568" s="0" t="n">
        <v>1152077</v>
      </c>
      <c r="C3568" s="0" t="n">
        <v>1152097</v>
      </c>
      <c r="D3568" s="0" t="s">
        <v>11898</v>
      </c>
      <c r="E3568" s="0" t="s">
        <v>11899</v>
      </c>
      <c r="F3568" s="0" t="s">
        <v>90</v>
      </c>
      <c r="G3568" s="0" t="s">
        <v>36</v>
      </c>
      <c r="H3568" s="0" t="n">
        <v>166</v>
      </c>
      <c r="I3568" s="0" t="s">
        <v>11906</v>
      </c>
      <c r="J3568" s="0" t="s">
        <v>11907</v>
      </c>
      <c r="K3568" s="0" t="s">
        <v>11908</v>
      </c>
      <c r="L3568" s="0" t="str">
        <f aca="false">HYPERLINK("https://www.ncbi.nlm.nih.gov/nuccore/CP000058.1?report=graph&amp;tracks=[key:gene_model_track,Options:GeneOnly]&amp;mk=1152134:1152153|offset_110|444444,1152113:1152132|offset_131|444444,1152078:1152097|offset_166|00cc00,1152045:1152064|offset_199|444444&amp;v=1151933:1152264&amp;c=444444", "offset 166")</f>
        <v>offset 166</v>
      </c>
    </row>
    <row r="3569" customFormat="false" ht="12.8" hidden="false" customHeight="false" outlineLevel="0" collapsed="false">
      <c r="A3569" s="0" t="s">
        <v>12</v>
      </c>
      <c r="B3569" s="0" t="n">
        <v>1152044</v>
      </c>
      <c r="C3569" s="0" t="n">
        <v>1152064</v>
      </c>
      <c r="D3569" s="0" t="s">
        <v>11898</v>
      </c>
      <c r="E3569" s="0" t="s">
        <v>11899</v>
      </c>
      <c r="F3569" s="0" t="s">
        <v>90</v>
      </c>
      <c r="G3569" s="0" t="s">
        <v>16</v>
      </c>
      <c r="H3569" s="0" t="n">
        <v>199</v>
      </c>
      <c r="I3569" s="0" t="s">
        <v>11909</v>
      </c>
      <c r="J3569" s="0" t="s">
        <v>11910</v>
      </c>
      <c r="K3569" s="0" t="s">
        <v>11911</v>
      </c>
      <c r="L3569" s="0" t="str">
        <f aca="false">HYPERLINK("https://www.ncbi.nlm.nih.gov/nuccore/CP000058.1?report=graph&amp;tracks=[key:gene_model_track,Options:GeneOnly]&amp;mk=1152134:1152153|offset_110|444444,1152113:1152132|offset_131|444444,1152078:1152097|offset_166|444444,1152045:1152064|offset_199|00cc00&amp;v=1151933:1152264&amp;c=444444", "offset 199")</f>
        <v>offset 199</v>
      </c>
    </row>
    <row r="3570" customFormat="false" ht="12.8" hidden="false" customHeight="false" outlineLevel="0" collapsed="false">
      <c r="A3570" s="0" t="s">
        <v>12</v>
      </c>
      <c r="B3570" s="0" t="n">
        <v>1153315</v>
      </c>
      <c r="C3570" s="0" t="n">
        <v>1153335</v>
      </c>
      <c r="D3570" s="0" t="s">
        <v>11912</v>
      </c>
      <c r="E3570" s="0" t="s">
        <v>11913</v>
      </c>
      <c r="F3570" s="0" t="s">
        <v>90</v>
      </c>
      <c r="G3570" s="0" t="s">
        <v>16</v>
      </c>
      <c r="H3570" s="0" t="n">
        <v>25</v>
      </c>
      <c r="I3570" s="0" t="s">
        <v>11914</v>
      </c>
      <c r="J3570" s="0" t="s">
        <v>11915</v>
      </c>
      <c r="K3570" s="0" t="s">
        <v>11916</v>
      </c>
      <c r="L3570" s="0" t="str">
        <f aca="false">HYPERLINK("https://www.ncbi.nlm.nih.gov/nuccore/CP000058.1?report=graph&amp;tracks=[key:gene_model_track,Options:GeneOnly]&amp;mk=1153316:1153335|offset_25|00cc00,1153263:1153282|offset_78|444444,1153225:1153244|offset_116|444444,1153157:1153176|offset_184|444444&amp;v=1153115:1153376&amp;c=444444", "offset 25")</f>
        <v>offset 25</v>
      </c>
    </row>
    <row r="3571" customFormat="false" ht="12.8" hidden="false" customHeight="false" outlineLevel="0" collapsed="false">
      <c r="A3571" s="0" t="s">
        <v>12</v>
      </c>
      <c r="B3571" s="0" t="n">
        <v>1153262</v>
      </c>
      <c r="C3571" s="0" t="n">
        <v>1153282</v>
      </c>
      <c r="D3571" s="0" t="s">
        <v>11912</v>
      </c>
      <c r="E3571" s="0" t="s">
        <v>11913</v>
      </c>
      <c r="F3571" s="0" t="s">
        <v>90</v>
      </c>
      <c r="G3571" s="0" t="s">
        <v>16</v>
      </c>
      <c r="H3571" s="0" t="n">
        <v>78</v>
      </c>
      <c r="I3571" s="0" t="s">
        <v>11917</v>
      </c>
      <c r="J3571" s="0" t="s">
        <v>11918</v>
      </c>
      <c r="K3571" s="0" t="s">
        <v>11919</v>
      </c>
      <c r="L3571" s="0" t="str">
        <f aca="false">HYPERLINK("https://www.ncbi.nlm.nih.gov/nuccore/CP000058.1?report=graph&amp;tracks=[key:gene_model_track,Options:GeneOnly]&amp;mk=1153316:1153335|offset_25|444444,1153263:1153282|offset_78|00cc00,1153225:1153244|offset_116|444444,1153157:1153176|offset_184|444444&amp;v=1153115:1153376&amp;c=444444", "offset 78")</f>
        <v>offset 78</v>
      </c>
    </row>
    <row r="3572" customFormat="false" ht="12.8" hidden="false" customHeight="false" outlineLevel="0" collapsed="false">
      <c r="A3572" s="0" t="s">
        <v>12</v>
      </c>
      <c r="B3572" s="0" t="n">
        <v>1153224</v>
      </c>
      <c r="C3572" s="0" t="n">
        <v>1153244</v>
      </c>
      <c r="D3572" s="0" t="s">
        <v>11912</v>
      </c>
      <c r="E3572" s="0" t="s">
        <v>11913</v>
      </c>
      <c r="F3572" s="0" t="s">
        <v>90</v>
      </c>
      <c r="G3572" s="0" t="s">
        <v>20</v>
      </c>
      <c r="H3572" s="0" t="n">
        <v>116</v>
      </c>
      <c r="I3572" s="0" t="s">
        <v>11920</v>
      </c>
      <c r="J3572" s="0" t="s">
        <v>11921</v>
      </c>
      <c r="K3572" s="0" t="s">
        <v>11922</v>
      </c>
      <c r="L3572" s="0" t="str">
        <f aca="false">HYPERLINK("https://www.ncbi.nlm.nih.gov/nuccore/CP000058.1?report=graph&amp;tracks=[key:gene_model_track,Options:GeneOnly]&amp;mk=1153316:1153335|offset_25|444444,1153263:1153282|offset_78|444444,1153225:1153244|offset_116|00cc00,1153157:1153176|offset_184|444444&amp;v=1153115:1153376&amp;c=444444", "offset 116")</f>
        <v>offset 116</v>
      </c>
    </row>
    <row r="3573" customFormat="false" ht="12.8" hidden="false" customHeight="false" outlineLevel="0" collapsed="false">
      <c r="A3573" s="0" t="s">
        <v>12</v>
      </c>
      <c r="B3573" s="0" t="n">
        <v>1153156</v>
      </c>
      <c r="C3573" s="0" t="n">
        <v>1153176</v>
      </c>
      <c r="D3573" s="0" t="s">
        <v>11912</v>
      </c>
      <c r="E3573" s="0" t="s">
        <v>11913</v>
      </c>
      <c r="F3573" s="0" t="s">
        <v>90</v>
      </c>
      <c r="G3573" s="0" t="s">
        <v>16</v>
      </c>
      <c r="H3573" s="0" t="n">
        <v>184</v>
      </c>
      <c r="I3573" s="0" t="s">
        <v>11923</v>
      </c>
      <c r="J3573" s="0" t="s">
        <v>11924</v>
      </c>
      <c r="K3573" s="0" t="s">
        <v>11925</v>
      </c>
      <c r="L3573" s="0" t="str">
        <f aca="false">HYPERLINK("https://www.ncbi.nlm.nih.gov/nuccore/CP000058.1?report=graph&amp;tracks=[key:gene_model_track,Options:GeneOnly]&amp;mk=1153316:1153335|offset_25|444444,1153263:1153282|offset_78|444444,1153225:1153244|offset_116|444444,1153157:1153176|offset_184|00cc00&amp;v=1153115:1153376&amp;c=444444", "offset 184")</f>
        <v>offset 184</v>
      </c>
    </row>
    <row r="3574" customFormat="false" ht="12.8" hidden="false" customHeight="false" outlineLevel="0" collapsed="false">
      <c r="A3574" s="0" t="s">
        <v>12</v>
      </c>
      <c r="B3574" s="0" t="n">
        <v>1154250</v>
      </c>
      <c r="C3574" s="0" t="n">
        <v>1154270</v>
      </c>
      <c r="D3574" s="0" t="s">
        <v>11926</v>
      </c>
      <c r="E3574" s="0" t="s">
        <v>75</v>
      </c>
      <c r="F3574" s="0" t="s">
        <v>90</v>
      </c>
      <c r="G3574" s="0" t="s">
        <v>20</v>
      </c>
      <c r="H3574" s="0" t="n">
        <v>83</v>
      </c>
      <c r="I3574" s="0" t="s">
        <v>11927</v>
      </c>
      <c r="J3574" s="0" t="s">
        <v>11928</v>
      </c>
      <c r="K3574" s="0" t="s">
        <v>11929</v>
      </c>
      <c r="L3574" s="0" t="str">
        <f aca="false">HYPERLINK("https://www.ncbi.nlm.nih.gov/nuccore/CP000058.1?report=graph&amp;tracks=[key:gene_model_track,Options:GeneOnly]&amp;mk=1154251:1154270|offset_83|00cc00,1154226:1154245|offset_108|444444,1154160:1154179|offset_174|444444,1154125:1154144|offset_209|444444&amp;v=1154050:1154344&amp;c=444444", "offset 83")</f>
        <v>offset 83</v>
      </c>
    </row>
    <row r="3575" customFormat="false" ht="12.8" hidden="false" customHeight="false" outlineLevel="0" collapsed="false">
      <c r="A3575" s="0" t="s">
        <v>12</v>
      </c>
      <c r="B3575" s="0" t="n">
        <v>1154225</v>
      </c>
      <c r="C3575" s="0" t="n">
        <v>1154245</v>
      </c>
      <c r="D3575" s="0" t="s">
        <v>11926</v>
      </c>
      <c r="E3575" s="0" t="s">
        <v>75</v>
      </c>
      <c r="F3575" s="0" t="s">
        <v>90</v>
      </c>
      <c r="G3575" s="0" t="s">
        <v>20</v>
      </c>
      <c r="H3575" s="0" t="n">
        <v>108</v>
      </c>
      <c r="I3575" s="0" t="s">
        <v>11930</v>
      </c>
      <c r="J3575" s="0" t="s">
        <v>11931</v>
      </c>
      <c r="K3575" s="0" t="s">
        <v>11932</v>
      </c>
      <c r="L3575" s="0" t="str">
        <f aca="false">HYPERLINK("https://www.ncbi.nlm.nih.gov/nuccore/CP000058.1?report=graph&amp;tracks=[key:gene_model_track,Options:GeneOnly]&amp;mk=1154251:1154270|offset_83|444444,1154226:1154245|offset_108|00cc00,1154160:1154179|offset_174|444444,1154125:1154144|offset_209|444444&amp;v=1154050:1154344&amp;c=444444", "offset 108")</f>
        <v>offset 108</v>
      </c>
    </row>
    <row r="3576" customFormat="false" ht="12.8" hidden="false" customHeight="false" outlineLevel="0" collapsed="false">
      <c r="A3576" s="0" t="s">
        <v>12</v>
      </c>
      <c r="B3576" s="0" t="n">
        <v>1154159</v>
      </c>
      <c r="C3576" s="0" t="n">
        <v>1154179</v>
      </c>
      <c r="D3576" s="0" t="s">
        <v>11926</v>
      </c>
      <c r="E3576" s="0" t="s">
        <v>75</v>
      </c>
      <c r="F3576" s="0" t="s">
        <v>90</v>
      </c>
      <c r="G3576" s="0" t="s">
        <v>32</v>
      </c>
      <c r="H3576" s="0" t="n">
        <v>174</v>
      </c>
      <c r="I3576" s="0" t="s">
        <v>11933</v>
      </c>
      <c r="J3576" s="0" t="s">
        <v>11934</v>
      </c>
      <c r="K3576" s="0" t="s">
        <v>11935</v>
      </c>
      <c r="L3576" s="0" t="str">
        <f aca="false">HYPERLINK("https://www.ncbi.nlm.nih.gov/nuccore/CP000058.1?report=graph&amp;tracks=[key:gene_model_track,Options:GeneOnly]&amp;mk=1154251:1154270|offset_83|444444,1154226:1154245|offset_108|444444,1154160:1154179|offset_174|00cc00,1154125:1154144|offset_209|444444&amp;v=1154050:1154344&amp;c=444444", "offset 174")</f>
        <v>offset 174</v>
      </c>
    </row>
    <row r="3577" customFormat="false" ht="12.8" hidden="false" customHeight="false" outlineLevel="0" collapsed="false">
      <c r="A3577" s="0" t="s">
        <v>12</v>
      </c>
      <c r="B3577" s="0" t="n">
        <v>1154124</v>
      </c>
      <c r="C3577" s="0" t="n">
        <v>1154144</v>
      </c>
      <c r="D3577" s="0" t="s">
        <v>11926</v>
      </c>
      <c r="E3577" s="0" t="s">
        <v>75</v>
      </c>
      <c r="F3577" s="0" t="s">
        <v>90</v>
      </c>
      <c r="G3577" s="0" t="s">
        <v>36</v>
      </c>
      <c r="H3577" s="0" t="n">
        <v>209</v>
      </c>
      <c r="I3577" s="0" t="s">
        <v>11936</v>
      </c>
      <c r="J3577" s="0" t="s">
        <v>11937</v>
      </c>
      <c r="K3577" s="0" t="s">
        <v>11938</v>
      </c>
      <c r="L3577" s="0" t="str">
        <f aca="false">HYPERLINK("https://www.ncbi.nlm.nih.gov/nuccore/CP000058.1?report=graph&amp;tracks=[key:gene_model_track,Options:GeneOnly]&amp;mk=1154251:1154270|offset_83|444444,1154226:1154245|offset_108|444444,1154160:1154179|offset_174|444444,1154125:1154144|offset_209|00cc00&amp;v=1154050:1154344&amp;c=444444", "offset 209")</f>
        <v>offset 209</v>
      </c>
    </row>
    <row r="3578" customFormat="false" ht="12.8" hidden="false" customHeight="false" outlineLevel="0" collapsed="false">
      <c r="A3578" s="0" t="s">
        <v>12</v>
      </c>
      <c r="B3578" s="0" t="n">
        <v>1155759</v>
      </c>
      <c r="C3578" s="0" t="n">
        <v>1155779</v>
      </c>
      <c r="D3578" s="0" t="s">
        <v>11939</v>
      </c>
      <c r="E3578" s="0" t="s">
        <v>75</v>
      </c>
      <c r="F3578" s="0" t="s">
        <v>90</v>
      </c>
      <c r="G3578" s="0" t="s">
        <v>16</v>
      </c>
      <c r="H3578" s="0" t="n">
        <v>27</v>
      </c>
      <c r="I3578" s="0" t="s">
        <v>11940</v>
      </c>
      <c r="J3578" s="0" t="s">
        <v>11941</v>
      </c>
      <c r="K3578" s="0" t="s">
        <v>11942</v>
      </c>
      <c r="L3578" s="0" t="str">
        <f aca="false">HYPERLINK("https://www.ncbi.nlm.nih.gov/nuccore/CP000058.1?report=graph&amp;tracks=[key:gene_model_track,Options:GeneOnly]&amp;mk=1155760:1155779|offset_27|00cc00,1155706:1155725|offset_81|444444,1155634:1155653|offset_153|444444,1155584:1155603|offset_203|444444&amp;v=1155559:1155803&amp;c=444444", "offset 27")</f>
        <v>offset 27</v>
      </c>
    </row>
    <row r="3579" customFormat="false" ht="12.8" hidden="false" customHeight="false" outlineLevel="0" collapsed="false">
      <c r="A3579" s="0" t="s">
        <v>12</v>
      </c>
      <c r="B3579" s="0" t="n">
        <v>1155705</v>
      </c>
      <c r="C3579" s="0" t="n">
        <v>1155725</v>
      </c>
      <c r="D3579" s="0" t="s">
        <v>11939</v>
      </c>
      <c r="E3579" s="0" t="s">
        <v>75</v>
      </c>
      <c r="F3579" s="0" t="s">
        <v>90</v>
      </c>
      <c r="G3579" s="0" t="s">
        <v>20</v>
      </c>
      <c r="H3579" s="0" t="n">
        <v>81</v>
      </c>
      <c r="I3579" s="0" t="s">
        <v>11943</v>
      </c>
      <c r="J3579" s="0" t="s">
        <v>11944</v>
      </c>
      <c r="K3579" s="0" t="s">
        <v>11945</v>
      </c>
      <c r="L3579" s="0" t="str">
        <f aca="false">HYPERLINK("https://www.ncbi.nlm.nih.gov/nuccore/CP000058.1?report=graph&amp;tracks=[key:gene_model_track,Options:GeneOnly]&amp;mk=1155760:1155779|offset_27|444444,1155706:1155725|offset_81|00cc00,1155634:1155653|offset_153|444444,1155584:1155603|offset_203|444444&amp;v=1155559:1155803&amp;c=444444", "offset 81")</f>
        <v>offset 81</v>
      </c>
    </row>
    <row r="3580" customFormat="false" ht="12.8" hidden="false" customHeight="false" outlineLevel="0" collapsed="false">
      <c r="A3580" s="0" t="s">
        <v>12</v>
      </c>
      <c r="B3580" s="0" t="n">
        <v>1155633</v>
      </c>
      <c r="C3580" s="0" t="n">
        <v>1155653</v>
      </c>
      <c r="D3580" s="0" t="s">
        <v>11939</v>
      </c>
      <c r="E3580" s="0" t="s">
        <v>75</v>
      </c>
      <c r="F3580" s="0" t="s">
        <v>90</v>
      </c>
      <c r="G3580" s="0" t="s">
        <v>20</v>
      </c>
      <c r="H3580" s="0" t="n">
        <v>153</v>
      </c>
      <c r="I3580" s="0" t="s">
        <v>11946</v>
      </c>
      <c r="J3580" s="0" t="s">
        <v>11947</v>
      </c>
      <c r="K3580" s="0" t="s">
        <v>11948</v>
      </c>
      <c r="L3580" s="0" t="str">
        <f aca="false">HYPERLINK("https://www.ncbi.nlm.nih.gov/nuccore/CP000058.1?report=graph&amp;tracks=[key:gene_model_track,Options:GeneOnly]&amp;mk=1155760:1155779|offset_27|444444,1155706:1155725|offset_81|444444,1155634:1155653|offset_153|00cc00,1155584:1155603|offset_203|444444&amp;v=1155559:1155803&amp;c=444444", "offset 153")</f>
        <v>offset 153</v>
      </c>
    </row>
    <row r="3581" customFormat="false" ht="12.8" hidden="false" customHeight="false" outlineLevel="0" collapsed="false">
      <c r="A3581" s="0" t="s">
        <v>12</v>
      </c>
      <c r="B3581" s="0" t="n">
        <v>1155583</v>
      </c>
      <c r="C3581" s="0" t="n">
        <v>1155603</v>
      </c>
      <c r="D3581" s="0" t="s">
        <v>11939</v>
      </c>
      <c r="E3581" s="0" t="s">
        <v>75</v>
      </c>
      <c r="F3581" s="0" t="s">
        <v>90</v>
      </c>
      <c r="G3581" s="0" t="s">
        <v>20</v>
      </c>
      <c r="H3581" s="0" t="n">
        <v>203</v>
      </c>
      <c r="I3581" s="0" t="s">
        <v>11949</v>
      </c>
      <c r="J3581" s="0" t="s">
        <v>11950</v>
      </c>
      <c r="K3581" s="0" t="s">
        <v>11951</v>
      </c>
      <c r="L3581" s="0" t="str">
        <f aca="false">HYPERLINK("https://www.ncbi.nlm.nih.gov/nuccore/CP000058.1?report=graph&amp;tracks=[key:gene_model_track,Options:GeneOnly]&amp;mk=1155760:1155779|offset_27|444444,1155706:1155725|offset_81|444444,1155634:1155653|offset_153|444444,1155584:1155603|offset_203|00cc00&amp;v=1155559:1155803&amp;c=444444", "offset 203")</f>
        <v>offset 203</v>
      </c>
    </row>
    <row r="3582" customFormat="false" ht="12.8" hidden="false" customHeight="false" outlineLevel="0" collapsed="false">
      <c r="A3582" s="0" t="s">
        <v>12</v>
      </c>
      <c r="B3582" s="0" t="n">
        <v>1159567</v>
      </c>
      <c r="C3582" s="0" t="n">
        <v>1159587</v>
      </c>
      <c r="D3582" s="0" t="s">
        <v>11952</v>
      </c>
      <c r="E3582" s="0" t="s">
        <v>75</v>
      </c>
      <c r="F3582" s="0" t="s">
        <v>90</v>
      </c>
      <c r="G3582" s="0" t="s">
        <v>20</v>
      </c>
      <c r="H3582" s="0" t="n">
        <v>17</v>
      </c>
      <c r="I3582" s="0" t="s">
        <v>11953</v>
      </c>
      <c r="J3582" s="0" t="s">
        <v>11954</v>
      </c>
      <c r="K3582" s="0" t="s">
        <v>11955</v>
      </c>
      <c r="L3582" s="0" t="str">
        <f aca="false">HYPERLINK("https://www.ncbi.nlm.nih.gov/nuccore/CP000058.1?report=graph&amp;tracks=[key:gene_model_track,Options:GeneOnly]&amp;mk=1159568:1159587|offset_17|00cc00,1159518:1159537|offset_67|444444,1159497:1159516|offset_88|444444,1159464:1159483|offset_121|444444&amp;v=1159367:1159683&amp;c=444444", "offset 17")</f>
        <v>offset 17</v>
      </c>
    </row>
    <row r="3583" customFormat="false" ht="12.8" hidden="false" customHeight="false" outlineLevel="0" collapsed="false">
      <c r="A3583" s="0" t="s">
        <v>12</v>
      </c>
      <c r="B3583" s="0" t="n">
        <v>1159517</v>
      </c>
      <c r="C3583" s="0" t="n">
        <v>1159537</v>
      </c>
      <c r="D3583" s="0" t="s">
        <v>11952</v>
      </c>
      <c r="E3583" s="0" t="s">
        <v>75</v>
      </c>
      <c r="F3583" s="0" t="s">
        <v>90</v>
      </c>
      <c r="G3583" s="0" t="s">
        <v>32</v>
      </c>
      <c r="H3583" s="0" t="n">
        <v>67</v>
      </c>
      <c r="I3583" s="0" t="s">
        <v>11956</v>
      </c>
      <c r="J3583" s="0" t="s">
        <v>11957</v>
      </c>
      <c r="K3583" s="0" t="s">
        <v>11958</v>
      </c>
      <c r="L3583" s="0" t="str">
        <f aca="false">HYPERLINK("https://www.ncbi.nlm.nih.gov/nuccore/CP000058.1?report=graph&amp;tracks=[key:gene_model_track,Options:GeneOnly]&amp;mk=1159568:1159587|offset_17|444444,1159518:1159537|offset_67|00cc00,1159497:1159516|offset_88|444444,1159464:1159483|offset_121|444444&amp;v=1159367:1159683&amp;c=444444", "offset 67")</f>
        <v>offset 67</v>
      </c>
    </row>
    <row r="3584" customFormat="false" ht="12.8" hidden="false" customHeight="false" outlineLevel="0" collapsed="false">
      <c r="A3584" s="0" t="s">
        <v>12</v>
      </c>
      <c r="B3584" s="0" t="n">
        <v>1159496</v>
      </c>
      <c r="C3584" s="0" t="n">
        <v>1159516</v>
      </c>
      <c r="D3584" s="0" t="s">
        <v>11952</v>
      </c>
      <c r="E3584" s="0" t="s">
        <v>75</v>
      </c>
      <c r="F3584" s="0" t="s">
        <v>90</v>
      </c>
      <c r="G3584" s="0" t="s">
        <v>36</v>
      </c>
      <c r="H3584" s="0" t="n">
        <v>88</v>
      </c>
      <c r="I3584" s="0" t="s">
        <v>11959</v>
      </c>
      <c r="J3584" s="0" t="s">
        <v>11960</v>
      </c>
      <c r="K3584" s="0" t="s">
        <v>11961</v>
      </c>
      <c r="L3584" s="0" t="str">
        <f aca="false">HYPERLINK("https://www.ncbi.nlm.nih.gov/nuccore/CP000058.1?report=graph&amp;tracks=[key:gene_model_track,Options:GeneOnly]&amp;mk=1159568:1159587|offset_17|444444,1159518:1159537|offset_67|444444,1159497:1159516|offset_88|00cc00,1159464:1159483|offset_121|444444&amp;v=1159367:1159683&amp;c=444444", "offset 88")</f>
        <v>offset 88</v>
      </c>
    </row>
    <row r="3585" customFormat="false" ht="12.8" hidden="false" customHeight="false" outlineLevel="0" collapsed="false">
      <c r="A3585" s="0" t="s">
        <v>12</v>
      </c>
      <c r="B3585" s="0" t="n">
        <v>1159463</v>
      </c>
      <c r="C3585" s="0" t="n">
        <v>1159483</v>
      </c>
      <c r="D3585" s="0" t="s">
        <v>11952</v>
      </c>
      <c r="E3585" s="0" t="s">
        <v>75</v>
      </c>
      <c r="F3585" s="0" t="s">
        <v>90</v>
      </c>
      <c r="G3585" s="0" t="s">
        <v>32</v>
      </c>
      <c r="H3585" s="0" t="n">
        <v>121</v>
      </c>
      <c r="I3585" s="0" t="s">
        <v>11962</v>
      </c>
      <c r="J3585" s="0" t="s">
        <v>11963</v>
      </c>
      <c r="K3585" s="0" t="s">
        <v>11964</v>
      </c>
      <c r="L3585" s="0" t="str">
        <f aca="false">HYPERLINK("https://www.ncbi.nlm.nih.gov/nuccore/CP000058.1?report=graph&amp;tracks=[key:gene_model_track,Options:GeneOnly]&amp;mk=1159568:1159587|offset_17|444444,1159518:1159537|offset_67|444444,1159497:1159516|offset_88|444444,1159464:1159483|offset_121|00cc00&amp;v=1159367:1159683&amp;c=444444", "offset 121")</f>
        <v>offset 121</v>
      </c>
    </row>
    <row r="3586" customFormat="false" ht="12.8" hidden="false" customHeight="false" outlineLevel="0" collapsed="false">
      <c r="A3586" s="0" t="s">
        <v>12</v>
      </c>
      <c r="B3586" s="0" t="n">
        <v>1161209</v>
      </c>
      <c r="C3586" s="0" t="n">
        <v>1161229</v>
      </c>
      <c r="D3586" s="0" t="s">
        <v>11965</v>
      </c>
      <c r="E3586" s="0" t="s">
        <v>75</v>
      </c>
      <c r="F3586" s="0" t="s">
        <v>90</v>
      </c>
      <c r="G3586" s="0" t="s">
        <v>16</v>
      </c>
      <c r="H3586" s="0" t="n">
        <v>24</v>
      </c>
      <c r="I3586" s="0" t="s">
        <v>11966</v>
      </c>
      <c r="J3586" s="0" t="s">
        <v>11967</v>
      </c>
      <c r="K3586" s="0" t="s">
        <v>11968</v>
      </c>
      <c r="L3586" s="0" t="str">
        <f aca="false">HYPERLINK("https://www.ncbi.nlm.nih.gov/nuccore/CP000058.1?report=graph&amp;tracks=[key:gene_model_track,Options:GeneOnly]&amp;mk=1161210:1161229|offset_24|00cc00,1161155:1161174|offset_79|444444,1161128:1161147|offset_106|444444,1161083:1161102|offset_151|444444&amp;v=1161009:1161302&amp;c=444444", "offset 24")</f>
        <v>offset 24</v>
      </c>
    </row>
    <row r="3587" customFormat="false" ht="12.8" hidden="false" customHeight="false" outlineLevel="0" collapsed="false">
      <c r="A3587" s="0" t="s">
        <v>12</v>
      </c>
      <c r="B3587" s="0" t="n">
        <v>1161154</v>
      </c>
      <c r="C3587" s="0" t="n">
        <v>1161174</v>
      </c>
      <c r="D3587" s="0" t="s">
        <v>11965</v>
      </c>
      <c r="E3587" s="0" t="s">
        <v>75</v>
      </c>
      <c r="F3587" s="0" t="s">
        <v>90</v>
      </c>
      <c r="G3587" s="0" t="s">
        <v>16</v>
      </c>
      <c r="H3587" s="0" t="n">
        <v>79</v>
      </c>
      <c r="I3587" s="0" t="s">
        <v>11969</v>
      </c>
      <c r="J3587" s="0" t="s">
        <v>11970</v>
      </c>
      <c r="K3587" s="0" t="s">
        <v>11971</v>
      </c>
      <c r="L3587" s="0" t="str">
        <f aca="false">HYPERLINK("https://www.ncbi.nlm.nih.gov/nuccore/CP000058.1?report=graph&amp;tracks=[key:gene_model_track,Options:GeneOnly]&amp;mk=1161210:1161229|offset_24|444444,1161155:1161174|offset_79|00cc00,1161128:1161147|offset_106|444444,1161083:1161102|offset_151|444444&amp;v=1161009:1161302&amp;c=444444", "offset 79")</f>
        <v>offset 79</v>
      </c>
    </row>
    <row r="3588" customFormat="false" ht="12.8" hidden="false" customHeight="false" outlineLevel="0" collapsed="false">
      <c r="A3588" s="0" t="s">
        <v>12</v>
      </c>
      <c r="B3588" s="0" t="n">
        <v>1161127</v>
      </c>
      <c r="C3588" s="0" t="n">
        <v>1161147</v>
      </c>
      <c r="D3588" s="0" t="s">
        <v>11965</v>
      </c>
      <c r="E3588" s="0" t="s">
        <v>75</v>
      </c>
      <c r="F3588" s="0" t="s">
        <v>90</v>
      </c>
      <c r="G3588" s="0" t="s">
        <v>32</v>
      </c>
      <c r="H3588" s="0" t="n">
        <v>106</v>
      </c>
      <c r="I3588" s="0" t="s">
        <v>11972</v>
      </c>
      <c r="J3588" s="0" t="s">
        <v>11973</v>
      </c>
      <c r="K3588" s="0" t="s">
        <v>11974</v>
      </c>
      <c r="L3588" s="0" t="str">
        <f aca="false">HYPERLINK("https://www.ncbi.nlm.nih.gov/nuccore/CP000058.1?report=graph&amp;tracks=[key:gene_model_track,Options:GeneOnly]&amp;mk=1161210:1161229|offset_24|444444,1161155:1161174|offset_79|444444,1161128:1161147|offset_106|00cc00,1161083:1161102|offset_151|444444&amp;v=1161009:1161302&amp;c=444444", "offset 106")</f>
        <v>offset 106</v>
      </c>
    </row>
    <row r="3589" customFormat="false" ht="12.8" hidden="false" customHeight="false" outlineLevel="0" collapsed="false">
      <c r="A3589" s="0" t="s">
        <v>12</v>
      </c>
      <c r="B3589" s="0" t="n">
        <v>1161082</v>
      </c>
      <c r="C3589" s="0" t="n">
        <v>1161102</v>
      </c>
      <c r="D3589" s="0" t="s">
        <v>11965</v>
      </c>
      <c r="E3589" s="0" t="s">
        <v>75</v>
      </c>
      <c r="F3589" s="0" t="s">
        <v>90</v>
      </c>
      <c r="G3589" s="0" t="s">
        <v>36</v>
      </c>
      <c r="H3589" s="0" t="n">
        <v>151</v>
      </c>
      <c r="I3589" s="0" t="s">
        <v>11975</v>
      </c>
      <c r="J3589" s="0" t="s">
        <v>11976</v>
      </c>
      <c r="K3589" s="0" t="s">
        <v>11977</v>
      </c>
      <c r="L3589" s="0" t="str">
        <f aca="false">HYPERLINK("https://www.ncbi.nlm.nih.gov/nuccore/CP000058.1?report=graph&amp;tracks=[key:gene_model_track,Options:GeneOnly]&amp;mk=1161210:1161229|offset_24|444444,1161155:1161174|offset_79|444444,1161128:1161147|offset_106|444444,1161083:1161102|offset_151|00cc00&amp;v=1161009:1161302&amp;c=444444", "offset 151")</f>
        <v>offset 151</v>
      </c>
    </row>
    <row r="3590" customFormat="false" ht="12.8" hidden="false" customHeight="false" outlineLevel="0" collapsed="false">
      <c r="A3590" s="0" t="s">
        <v>12</v>
      </c>
      <c r="B3590" s="0" t="n">
        <v>1161976</v>
      </c>
      <c r="C3590" s="0" t="n">
        <v>1161996</v>
      </c>
      <c r="D3590" s="0" t="s">
        <v>11978</v>
      </c>
      <c r="E3590" s="0" t="s">
        <v>75</v>
      </c>
      <c r="F3590" s="0" t="s">
        <v>90</v>
      </c>
      <c r="G3590" s="0" t="s">
        <v>20</v>
      </c>
      <c r="H3590" s="0" t="n">
        <v>77</v>
      </c>
      <c r="I3590" s="0" t="s">
        <v>11979</v>
      </c>
      <c r="J3590" s="0" t="s">
        <v>11980</v>
      </c>
      <c r="K3590" s="0" t="s">
        <v>11981</v>
      </c>
      <c r="L3590" s="0" t="str">
        <f aca="false">HYPERLINK("https://www.ncbi.nlm.nih.gov/nuccore/CP000058.1?report=graph&amp;tracks=[key:gene_model_track,Options:GeneOnly]&amp;mk=1161977:1161996|offset_77|00cc00,1161934:1161953|offset_120|444444,1161887:1161906|offset_167|444444,1161852:1161871|offset_202|444444&amp;v=1161776:1162071&amp;c=444444", "offset 77")</f>
        <v>offset 77</v>
      </c>
    </row>
    <row r="3591" customFormat="false" ht="12.8" hidden="false" customHeight="false" outlineLevel="0" collapsed="false">
      <c r="A3591" s="0" t="s">
        <v>12</v>
      </c>
      <c r="B3591" s="0" t="n">
        <v>1161933</v>
      </c>
      <c r="C3591" s="0" t="n">
        <v>1161953</v>
      </c>
      <c r="D3591" s="0" t="s">
        <v>11978</v>
      </c>
      <c r="E3591" s="0" t="s">
        <v>75</v>
      </c>
      <c r="F3591" s="0" t="s">
        <v>90</v>
      </c>
      <c r="G3591" s="0" t="s">
        <v>20</v>
      </c>
      <c r="H3591" s="0" t="n">
        <v>120</v>
      </c>
      <c r="I3591" s="0" t="s">
        <v>11982</v>
      </c>
      <c r="J3591" s="0" t="s">
        <v>11983</v>
      </c>
      <c r="K3591" s="0" t="s">
        <v>11984</v>
      </c>
      <c r="L3591" s="0" t="str">
        <f aca="false">HYPERLINK("https://www.ncbi.nlm.nih.gov/nuccore/CP000058.1?report=graph&amp;tracks=[key:gene_model_track,Options:GeneOnly]&amp;mk=1161977:1161996|offset_77|444444,1161934:1161953|offset_120|00cc00,1161887:1161906|offset_167|444444,1161852:1161871|offset_202|444444&amp;v=1161776:1162071&amp;c=444444", "offset 120")</f>
        <v>offset 120</v>
      </c>
    </row>
    <row r="3592" customFormat="false" ht="12.8" hidden="false" customHeight="false" outlineLevel="0" collapsed="false">
      <c r="A3592" s="0" t="s">
        <v>12</v>
      </c>
      <c r="B3592" s="0" t="n">
        <v>1161886</v>
      </c>
      <c r="C3592" s="0" t="n">
        <v>1161906</v>
      </c>
      <c r="D3592" s="0" t="s">
        <v>11978</v>
      </c>
      <c r="E3592" s="0" t="s">
        <v>75</v>
      </c>
      <c r="F3592" s="0" t="s">
        <v>90</v>
      </c>
      <c r="G3592" s="0" t="s">
        <v>16</v>
      </c>
      <c r="H3592" s="0" t="n">
        <v>167</v>
      </c>
      <c r="I3592" s="0" t="s">
        <v>11985</v>
      </c>
      <c r="J3592" s="0" t="s">
        <v>11986</v>
      </c>
      <c r="K3592" s="0" t="s">
        <v>11987</v>
      </c>
      <c r="L3592" s="0" t="str">
        <f aca="false">HYPERLINK("https://www.ncbi.nlm.nih.gov/nuccore/CP000058.1?report=graph&amp;tracks=[key:gene_model_track,Options:GeneOnly]&amp;mk=1161977:1161996|offset_77|444444,1161934:1161953|offset_120|444444,1161887:1161906|offset_167|00cc00,1161852:1161871|offset_202|444444&amp;v=1161776:1162071&amp;c=444444", "offset 167")</f>
        <v>offset 167</v>
      </c>
    </row>
    <row r="3593" customFormat="false" ht="12.8" hidden="false" customHeight="false" outlineLevel="0" collapsed="false">
      <c r="A3593" s="0" t="s">
        <v>12</v>
      </c>
      <c r="B3593" s="0" t="n">
        <v>1161851</v>
      </c>
      <c r="C3593" s="0" t="n">
        <v>1161871</v>
      </c>
      <c r="D3593" s="0" t="s">
        <v>11978</v>
      </c>
      <c r="E3593" s="0" t="s">
        <v>75</v>
      </c>
      <c r="F3593" s="0" t="s">
        <v>90</v>
      </c>
      <c r="G3593" s="0" t="s">
        <v>32</v>
      </c>
      <c r="H3593" s="0" t="n">
        <v>202</v>
      </c>
      <c r="I3593" s="0" t="s">
        <v>11988</v>
      </c>
      <c r="J3593" s="0" t="s">
        <v>11989</v>
      </c>
      <c r="K3593" s="0" t="s">
        <v>11990</v>
      </c>
      <c r="L3593" s="0" t="str">
        <f aca="false">HYPERLINK("https://www.ncbi.nlm.nih.gov/nuccore/CP000058.1?report=graph&amp;tracks=[key:gene_model_track,Options:GeneOnly]&amp;mk=1161977:1161996|offset_77|444444,1161934:1161953|offset_120|444444,1161887:1161906|offset_167|444444,1161852:1161871|offset_202|00cc00&amp;v=1161776:1162071&amp;c=444444", "offset 202")</f>
        <v>offset 202</v>
      </c>
    </row>
    <row r="3594" customFormat="false" ht="12.8" hidden="false" customHeight="false" outlineLevel="0" collapsed="false">
      <c r="A3594" s="0" t="s">
        <v>12</v>
      </c>
      <c r="B3594" s="0" t="n">
        <v>1164499</v>
      </c>
      <c r="C3594" s="0" t="n">
        <v>1164519</v>
      </c>
      <c r="D3594" s="0" t="s">
        <v>11991</v>
      </c>
      <c r="E3594" s="0" t="s">
        <v>75</v>
      </c>
      <c r="F3594" s="0" t="s">
        <v>90</v>
      </c>
      <c r="G3594" s="0" t="s">
        <v>16</v>
      </c>
      <c r="H3594" s="0" t="n">
        <v>31</v>
      </c>
      <c r="I3594" s="0" t="s">
        <v>11992</v>
      </c>
      <c r="J3594" s="0" t="s">
        <v>11993</v>
      </c>
      <c r="K3594" s="0" t="s">
        <v>11994</v>
      </c>
      <c r="L3594" s="0" t="str">
        <f aca="false">HYPERLINK("https://www.ncbi.nlm.nih.gov/nuccore/CP000058.1?report=graph&amp;tracks=[key:gene_model_track,Options:GeneOnly]&amp;mk=1164500:1164519|offset_31|00cc00,1164470:1164489|offset_61|444444,1164449:1164468|offset_82|444444,1164407:1164426|offset_124|444444&amp;v=1164299:1164626&amp;c=444444", "offset 31")</f>
        <v>offset 31</v>
      </c>
    </row>
    <row r="3595" customFormat="false" ht="12.8" hidden="false" customHeight="false" outlineLevel="0" collapsed="false">
      <c r="A3595" s="0" t="s">
        <v>12</v>
      </c>
      <c r="B3595" s="0" t="n">
        <v>1164469</v>
      </c>
      <c r="C3595" s="0" t="n">
        <v>1164489</v>
      </c>
      <c r="D3595" s="0" t="s">
        <v>11991</v>
      </c>
      <c r="E3595" s="0" t="s">
        <v>75</v>
      </c>
      <c r="F3595" s="0" t="s">
        <v>90</v>
      </c>
      <c r="G3595" s="0" t="s">
        <v>20</v>
      </c>
      <c r="H3595" s="0" t="n">
        <v>61</v>
      </c>
      <c r="I3595" s="0" t="s">
        <v>11995</v>
      </c>
      <c r="J3595" s="0" t="s">
        <v>11996</v>
      </c>
      <c r="K3595" s="0" t="s">
        <v>11997</v>
      </c>
      <c r="L3595" s="0" t="str">
        <f aca="false">HYPERLINK("https://www.ncbi.nlm.nih.gov/nuccore/CP000058.1?report=graph&amp;tracks=[key:gene_model_track,Options:GeneOnly]&amp;mk=1164500:1164519|offset_31|444444,1164470:1164489|offset_61|00cc00,1164449:1164468|offset_82|444444,1164407:1164426|offset_124|444444&amp;v=1164299:1164626&amp;c=444444", "offset 61")</f>
        <v>offset 61</v>
      </c>
    </row>
    <row r="3596" customFormat="false" ht="12.8" hidden="false" customHeight="false" outlineLevel="0" collapsed="false">
      <c r="A3596" s="0" t="s">
        <v>12</v>
      </c>
      <c r="B3596" s="0" t="n">
        <v>1164448</v>
      </c>
      <c r="C3596" s="0" t="n">
        <v>1164468</v>
      </c>
      <c r="D3596" s="0" t="s">
        <v>11991</v>
      </c>
      <c r="E3596" s="0" t="s">
        <v>75</v>
      </c>
      <c r="F3596" s="0" t="s">
        <v>90</v>
      </c>
      <c r="G3596" s="0" t="s">
        <v>16</v>
      </c>
      <c r="H3596" s="0" t="n">
        <v>82</v>
      </c>
      <c r="I3596" s="0" t="s">
        <v>11998</v>
      </c>
      <c r="J3596" s="0" t="s">
        <v>11999</v>
      </c>
      <c r="K3596" s="0" t="s">
        <v>12000</v>
      </c>
      <c r="L3596" s="0" t="str">
        <f aca="false">HYPERLINK("https://www.ncbi.nlm.nih.gov/nuccore/CP000058.1?report=graph&amp;tracks=[key:gene_model_track,Options:GeneOnly]&amp;mk=1164500:1164519|offset_31|444444,1164470:1164489|offset_61|444444,1164449:1164468|offset_82|00cc00,1164407:1164426|offset_124|444444&amp;v=1164299:1164626&amp;c=444444", "offset 82")</f>
        <v>offset 82</v>
      </c>
    </row>
    <row r="3597" customFormat="false" ht="12.8" hidden="false" customHeight="false" outlineLevel="0" collapsed="false">
      <c r="A3597" s="0" t="s">
        <v>12</v>
      </c>
      <c r="B3597" s="0" t="n">
        <v>1164406</v>
      </c>
      <c r="C3597" s="0" t="n">
        <v>1164426</v>
      </c>
      <c r="D3597" s="0" t="s">
        <v>11991</v>
      </c>
      <c r="E3597" s="0" t="s">
        <v>75</v>
      </c>
      <c r="F3597" s="0" t="s">
        <v>90</v>
      </c>
      <c r="G3597" s="0" t="s">
        <v>36</v>
      </c>
      <c r="H3597" s="0" t="n">
        <v>124</v>
      </c>
      <c r="I3597" s="0" t="s">
        <v>12001</v>
      </c>
      <c r="J3597" s="0" t="s">
        <v>12002</v>
      </c>
      <c r="K3597" s="0" t="s">
        <v>12003</v>
      </c>
      <c r="L3597" s="0" t="str">
        <f aca="false">HYPERLINK("https://www.ncbi.nlm.nih.gov/nuccore/CP000058.1?report=graph&amp;tracks=[key:gene_model_track,Options:GeneOnly]&amp;mk=1164500:1164519|offset_31|444444,1164470:1164489|offset_61|444444,1164449:1164468|offset_82|444444,1164407:1164426|offset_124|00cc00&amp;v=1164299:1164626&amp;c=444444", "offset 124")</f>
        <v>offset 124</v>
      </c>
    </row>
    <row r="3598" customFormat="false" ht="12.8" hidden="false" customHeight="false" outlineLevel="0" collapsed="false">
      <c r="A3598" s="0" t="s">
        <v>12</v>
      </c>
      <c r="B3598" s="0" t="n">
        <v>1165269</v>
      </c>
      <c r="C3598" s="0" t="n">
        <v>1165289</v>
      </c>
      <c r="D3598" s="0" t="s">
        <v>12004</v>
      </c>
      <c r="E3598" s="0" t="s">
        <v>75</v>
      </c>
      <c r="F3598" s="0" t="s">
        <v>90</v>
      </c>
      <c r="G3598" s="0" t="s">
        <v>20</v>
      </c>
      <c r="H3598" s="0" t="n">
        <v>1</v>
      </c>
      <c r="I3598" s="0" t="s">
        <v>12005</v>
      </c>
      <c r="J3598" s="0" t="s">
        <v>12006</v>
      </c>
      <c r="K3598" s="0" t="s">
        <v>12007</v>
      </c>
      <c r="L3598" s="0" t="str">
        <f aca="false">HYPERLINK("https://www.ncbi.nlm.nih.gov/nuccore/CP000058.1?report=graph&amp;tracks=[key:gene_model_track,Options:GeneOnly]&amp;mk=1165270:1165289|offset_1|00cc00,1165250:1165269|offset_21|444444,1165227:1165246|offset_44|444444,1165191:1165210|offset_80|444444&amp;v=1165069:1165410&amp;c=444444", "offset 1")</f>
        <v>offset 1</v>
      </c>
    </row>
    <row r="3599" customFormat="false" ht="12.8" hidden="false" customHeight="false" outlineLevel="0" collapsed="false">
      <c r="A3599" s="0" t="s">
        <v>12</v>
      </c>
      <c r="B3599" s="0" t="n">
        <v>1165249</v>
      </c>
      <c r="C3599" s="0" t="n">
        <v>1165269</v>
      </c>
      <c r="D3599" s="0" t="s">
        <v>12004</v>
      </c>
      <c r="E3599" s="0" t="s">
        <v>75</v>
      </c>
      <c r="F3599" s="0" t="s">
        <v>90</v>
      </c>
      <c r="G3599" s="0" t="s">
        <v>16</v>
      </c>
      <c r="H3599" s="0" t="n">
        <v>21</v>
      </c>
      <c r="I3599" s="0" t="s">
        <v>12008</v>
      </c>
      <c r="J3599" s="0" t="s">
        <v>12009</v>
      </c>
      <c r="K3599" s="0" t="s">
        <v>12010</v>
      </c>
      <c r="L3599" s="0" t="str">
        <f aca="false">HYPERLINK("https://www.ncbi.nlm.nih.gov/nuccore/CP000058.1?report=graph&amp;tracks=[key:gene_model_track,Options:GeneOnly]&amp;mk=1165270:1165289|offset_1|444444,1165250:1165269|offset_21|00cc00,1165227:1165246|offset_44|444444,1165191:1165210|offset_80|444444&amp;v=1165069:1165410&amp;c=444444", "offset 21")</f>
        <v>offset 21</v>
      </c>
    </row>
    <row r="3600" customFormat="false" ht="12.8" hidden="false" customHeight="false" outlineLevel="0" collapsed="false">
      <c r="A3600" s="0" t="s">
        <v>12</v>
      </c>
      <c r="B3600" s="0" t="n">
        <v>1165226</v>
      </c>
      <c r="C3600" s="0" t="n">
        <v>1165246</v>
      </c>
      <c r="D3600" s="0" t="s">
        <v>12004</v>
      </c>
      <c r="E3600" s="0" t="s">
        <v>75</v>
      </c>
      <c r="F3600" s="0" t="s">
        <v>90</v>
      </c>
      <c r="G3600" s="0" t="s">
        <v>32</v>
      </c>
      <c r="H3600" s="0" t="n">
        <v>44</v>
      </c>
      <c r="I3600" s="0" t="s">
        <v>12011</v>
      </c>
      <c r="J3600" s="0" t="s">
        <v>12012</v>
      </c>
      <c r="K3600" s="0" t="s">
        <v>12013</v>
      </c>
      <c r="L3600" s="0" t="str">
        <f aca="false">HYPERLINK("https://www.ncbi.nlm.nih.gov/nuccore/CP000058.1?report=graph&amp;tracks=[key:gene_model_track,Options:GeneOnly]&amp;mk=1165270:1165289|offset_1|444444,1165250:1165269|offset_21|444444,1165227:1165246|offset_44|00cc00,1165191:1165210|offset_80|444444&amp;v=1165069:1165410&amp;c=444444", "offset 44")</f>
        <v>offset 44</v>
      </c>
    </row>
    <row r="3601" customFormat="false" ht="12.8" hidden="false" customHeight="false" outlineLevel="0" collapsed="false">
      <c r="A3601" s="0" t="s">
        <v>12</v>
      </c>
      <c r="B3601" s="0" t="n">
        <v>1165190</v>
      </c>
      <c r="C3601" s="0" t="n">
        <v>1165210</v>
      </c>
      <c r="D3601" s="0" t="s">
        <v>12004</v>
      </c>
      <c r="E3601" s="0" t="s">
        <v>75</v>
      </c>
      <c r="F3601" s="0" t="s">
        <v>90</v>
      </c>
      <c r="G3601" s="0" t="s">
        <v>20</v>
      </c>
      <c r="H3601" s="0" t="n">
        <v>80</v>
      </c>
      <c r="I3601" s="0" t="s">
        <v>12014</v>
      </c>
      <c r="J3601" s="0" t="s">
        <v>12015</v>
      </c>
      <c r="K3601" s="0" t="s">
        <v>12016</v>
      </c>
      <c r="L3601" s="0" t="str">
        <f aca="false">HYPERLINK("https://www.ncbi.nlm.nih.gov/nuccore/CP000058.1?report=graph&amp;tracks=[key:gene_model_track,Options:GeneOnly]&amp;mk=1165270:1165289|offset_1|444444,1165250:1165269|offset_21|444444,1165227:1165246|offset_44|444444,1165191:1165210|offset_80|00cc00&amp;v=1165069:1165410&amp;c=444444", "offset 80")</f>
        <v>offset 80</v>
      </c>
    </row>
    <row r="3602" customFormat="false" ht="12.8" hidden="false" customHeight="false" outlineLevel="0" collapsed="false">
      <c r="A3602" s="0" t="s">
        <v>12</v>
      </c>
      <c r="B3602" s="0" t="n">
        <v>1166920</v>
      </c>
      <c r="C3602" s="0" t="n">
        <v>1166940</v>
      </c>
      <c r="D3602" s="0" t="s">
        <v>12017</v>
      </c>
      <c r="E3602" s="0" t="s">
        <v>75</v>
      </c>
      <c r="F3602" s="0" t="s">
        <v>90</v>
      </c>
      <c r="G3602" s="0" t="s">
        <v>32</v>
      </c>
      <c r="H3602" s="0" t="n">
        <v>1</v>
      </c>
      <c r="I3602" s="0" t="s">
        <v>12018</v>
      </c>
      <c r="J3602" s="0" t="s">
        <v>12019</v>
      </c>
      <c r="K3602" s="0" t="s">
        <v>12020</v>
      </c>
      <c r="L3602" s="0" t="str">
        <f aca="false">HYPERLINK("https://www.ncbi.nlm.nih.gov/nuccore/CP000058.1?report=graph&amp;tracks=[key:gene_model_track,Options:GeneOnly]&amp;mk=1166921:1166940|offset_1|00cc00,1166894:1166913|offset_28|444444,1166849:1166868|offset_73|444444,1166825:1166844|offset_97|444444&amp;v=1166720:1167044&amp;c=444444", "offset 1")</f>
        <v>offset 1</v>
      </c>
    </row>
    <row r="3603" customFormat="false" ht="12.8" hidden="false" customHeight="false" outlineLevel="0" collapsed="false">
      <c r="A3603" s="0" t="s">
        <v>12</v>
      </c>
      <c r="B3603" s="0" t="n">
        <v>1166893</v>
      </c>
      <c r="C3603" s="0" t="n">
        <v>1166913</v>
      </c>
      <c r="D3603" s="0" t="s">
        <v>12017</v>
      </c>
      <c r="E3603" s="0" t="s">
        <v>75</v>
      </c>
      <c r="F3603" s="0" t="s">
        <v>90</v>
      </c>
      <c r="G3603" s="0" t="s">
        <v>36</v>
      </c>
      <c r="H3603" s="0" t="n">
        <v>28</v>
      </c>
      <c r="I3603" s="0" t="s">
        <v>12021</v>
      </c>
      <c r="J3603" s="0" t="s">
        <v>12022</v>
      </c>
      <c r="K3603" s="0" t="s">
        <v>12023</v>
      </c>
      <c r="L3603" s="0" t="str">
        <f aca="false">HYPERLINK("https://www.ncbi.nlm.nih.gov/nuccore/CP000058.1?report=graph&amp;tracks=[key:gene_model_track,Options:GeneOnly]&amp;mk=1166921:1166940|offset_1|444444,1166894:1166913|offset_28|00cc00,1166849:1166868|offset_73|444444,1166825:1166844|offset_97|444444&amp;v=1166720:1167044&amp;c=444444", "offset 28")</f>
        <v>offset 28</v>
      </c>
    </row>
    <row r="3604" customFormat="false" ht="12.8" hidden="false" customHeight="false" outlineLevel="0" collapsed="false">
      <c r="A3604" s="0" t="s">
        <v>12</v>
      </c>
      <c r="B3604" s="0" t="n">
        <v>1166848</v>
      </c>
      <c r="C3604" s="0" t="n">
        <v>1166868</v>
      </c>
      <c r="D3604" s="0" t="s">
        <v>12017</v>
      </c>
      <c r="E3604" s="0" t="s">
        <v>75</v>
      </c>
      <c r="F3604" s="0" t="s">
        <v>90</v>
      </c>
      <c r="G3604" s="0" t="s">
        <v>36</v>
      </c>
      <c r="H3604" s="0" t="n">
        <v>73</v>
      </c>
      <c r="I3604" s="0" t="s">
        <v>12024</v>
      </c>
      <c r="J3604" s="0" t="s">
        <v>12025</v>
      </c>
      <c r="K3604" s="0" t="s">
        <v>12026</v>
      </c>
      <c r="L3604" s="0" t="str">
        <f aca="false">HYPERLINK("https://www.ncbi.nlm.nih.gov/nuccore/CP000058.1?report=graph&amp;tracks=[key:gene_model_track,Options:GeneOnly]&amp;mk=1166921:1166940|offset_1|444444,1166894:1166913|offset_28|444444,1166849:1166868|offset_73|00cc00,1166825:1166844|offset_97|444444&amp;v=1166720:1167044&amp;c=444444", "offset 73")</f>
        <v>offset 73</v>
      </c>
    </row>
    <row r="3605" customFormat="false" ht="12.8" hidden="false" customHeight="false" outlineLevel="0" collapsed="false">
      <c r="A3605" s="0" t="s">
        <v>12</v>
      </c>
      <c r="B3605" s="0" t="n">
        <v>1166824</v>
      </c>
      <c r="C3605" s="0" t="n">
        <v>1166844</v>
      </c>
      <c r="D3605" s="0" t="s">
        <v>12017</v>
      </c>
      <c r="E3605" s="0" t="s">
        <v>75</v>
      </c>
      <c r="F3605" s="0" t="s">
        <v>90</v>
      </c>
      <c r="G3605" s="0" t="s">
        <v>20</v>
      </c>
      <c r="H3605" s="0" t="n">
        <v>97</v>
      </c>
      <c r="I3605" s="0" t="s">
        <v>12027</v>
      </c>
      <c r="J3605" s="0" t="s">
        <v>12028</v>
      </c>
      <c r="K3605" s="0" t="s">
        <v>12029</v>
      </c>
      <c r="L3605" s="0" t="str">
        <f aca="false">HYPERLINK("https://www.ncbi.nlm.nih.gov/nuccore/CP000058.1?report=graph&amp;tracks=[key:gene_model_track,Options:GeneOnly]&amp;mk=1166921:1166940|offset_1|444444,1166894:1166913|offset_28|444444,1166849:1166868|offset_73|444444,1166825:1166844|offset_97|00cc00&amp;v=1166720:1167044&amp;c=444444", "offset 97")</f>
        <v>offset 97</v>
      </c>
    </row>
    <row r="3606" customFormat="false" ht="12.8" hidden="false" customHeight="false" outlineLevel="0" collapsed="false">
      <c r="A3606" s="0" t="s">
        <v>12</v>
      </c>
      <c r="B3606" s="0" t="n">
        <v>1168499</v>
      </c>
      <c r="C3606" s="0" t="n">
        <v>1168519</v>
      </c>
      <c r="D3606" s="0" t="s">
        <v>12030</v>
      </c>
      <c r="E3606" s="0" t="s">
        <v>75</v>
      </c>
      <c r="F3606" s="0" t="s">
        <v>90</v>
      </c>
      <c r="G3606" s="0" t="s">
        <v>16</v>
      </c>
      <c r="H3606" s="0" t="n">
        <v>8</v>
      </c>
      <c r="I3606" s="0" t="s">
        <v>12031</v>
      </c>
      <c r="J3606" s="0" t="s">
        <v>12032</v>
      </c>
      <c r="K3606" s="0" t="s">
        <v>12033</v>
      </c>
      <c r="L3606" s="0" t="str">
        <f aca="false">HYPERLINK("https://www.ncbi.nlm.nih.gov/nuccore/CP000058.1?report=graph&amp;tracks=[key:gene_model_track,Options:GeneOnly]&amp;mk=1168500:1168519|offset_8|00cc00,1168474:1168493|offset_34|444444,1168453:1168472|offset_55|444444,1168425:1168444|offset_83|444444&amp;v=1168299:1168644&amp;c=444444", "offset 8")</f>
        <v>offset 8</v>
      </c>
    </row>
    <row r="3607" customFormat="false" ht="12.8" hidden="false" customHeight="false" outlineLevel="0" collapsed="false">
      <c r="A3607" s="0" t="s">
        <v>12</v>
      </c>
      <c r="B3607" s="0" t="n">
        <v>1168473</v>
      </c>
      <c r="C3607" s="0" t="n">
        <v>1168493</v>
      </c>
      <c r="D3607" s="0" t="s">
        <v>12030</v>
      </c>
      <c r="E3607" s="0" t="s">
        <v>75</v>
      </c>
      <c r="F3607" s="0" t="s">
        <v>90</v>
      </c>
      <c r="G3607" s="0" t="s">
        <v>16</v>
      </c>
      <c r="H3607" s="0" t="n">
        <v>34</v>
      </c>
      <c r="I3607" s="0" t="s">
        <v>12034</v>
      </c>
      <c r="J3607" s="0" t="s">
        <v>12035</v>
      </c>
      <c r="K3607" s="0" t="s">
        <v>12036</v>
      </c>
      <c r="L3607" s="0" t="str">
        <f aca="false">HYPERLINK("https://www.ncbi.nlm.nih.gov/nuccore/CP000058.1?report=graph&amp;tracks=[key:gene_model_track,Options:GeneOnly]&amp;mk=1168500:1168519|offset_8|444444,1168474:1168493|offset_34|00cc00,1168453:1168472|offset_55|444444,1168425:1168444|offset_83|444444&amp;v=1168299:1168644&amp;c=444444", "offset 34")</f>
        <v>offset 34</v>
      </c>
    </row>
    <row r="3608" customFormat="false" ht="12.8" hidden="false" customHeight="false" outlineLevel="0" collapsed="false">
      <c r="A3608" s="0" t="s">
        <v>12</v>
      </c>
      <c r="B3608" s="0" t="n">
        <v>1168452</v>
      </c>
      <c r="C3608" s="0" t="n">
        <v>1168472</v>
      </c>
      <c r="D3608" s="0" t="s">
        <v>12030</v>
      </c>
      <c r="E3608" s="0" t="s">
        <v>75</v>
      </c>
      <c r="F3608" s="0" t="s">
        <v>90</v>
      </c>
      <c r="G3608" s="0" t="s">
        <v>16</v>
      </c>
      <c r="H3608" s="0" t="n">
        <v>55</v>
      </c>
      <c r="I3608" s="0" t="s">
        <v>12037</v>
      </c>
      <c r="J3608" s="0" t="s">
        <v>12038</v>
      </c>
      <c r="K3608" s="0" t="s">
        <v>12039</v>
      </c>
      <c r="L3608" s="0" t="str">
        <f aca="false">HYPERLINK("https://www.ncbi.nlm.nih.gov/nuccore/CP000058.1?report=graph&amp;tracks=[key:gene_model_track,Options:GeneOnly]&amp;mk=1168500:1168519|offset_8|444444,1168474:1168493|offset_34|444444,1168453:1168472|offset_55|00cc00,1168425:1168444|offset_83|444444&amp;v=1168299:1168644&amp;c=444444", "offset 55")</f>
        <v>offset 55</v>
      </c>
    </row>
    <row r="3609" customFormat="false" ht="12.8" hidden="false" customHeight="false" outlineLevel="0" collapsed="false">
      <c r="A3609" s="0" t="s">
        <v>12</v>
      </c>
      <c r="B3609" s="0" t="n">
        <v>1168424</v>
      </c>
      <c r="C3609" s="0" t="n">
        <v>1168444</v>
      </c>
      <c r="D3609" s="0" t="s">
        <v>12030</v>
      </c>
      <c r="E3609" s="0" t="s">
        <v>75</v>
      </c>
      <c r="F3609" s="0" t="s">
        <v>90</v>
      </c>
      <c r="G3609" s="0" t="s">
        <v>20</v>
      </c>
      <c r="H3609" s="0" t="n">
        <v>83</v>
      </c>
      <c r="I3609" s="0" t="s">
        <v>12040</v>
      </c>
      <c r="J3609" s="0" t="s">
        <v>12041</v>
      </c>
      <c r="K3609" s="0" t="s">
        <v>12042</v>
      </c>
      <c r="L3609" s="0" t="str">
        <f aca="false">HYPERLINK("https://www.ncbi.nlm.nih.gov/nuccore/CP000058.1?report=graph&amp;tracks=[key:gene_model_track,Options:GeneOnly]&amp;mk=1168500:1168519|offset_8|444444,1168474:1168493|offset_34|444444,1168453:1168472|offset_55|444444,1168425:1168444|offset_83|00cc00&amp;v=1168299:1168644&amp;c=444444", "offset 83")</f>
        <v>offset 83</v>
      </c>
    </row>
    <row r="3610" customFormat="false" ht="12.8" hidden="false" customHeight="false" outlineLevel="0" collapsed="false">
      <c r="A3610" s="0" t="s">
        <v>12</v>
      </c>
      <c r="B3610" s="0" t="n">
        <v>1169538</v>
      </c>
      <c r="C3610" s="0" t="n">
        <v>1169558</v>
      </c>
      <c r="D3610" s="0" t="s">
        <v>12043</v>
      </c>
      <c r="E3610" s="0" t="s">
        <v>75</v>
      </c>
      <c r="F3610" s="0" t="s">
        <v>90</v>
      </c>
      <c r="G3610" s="0" t="s">
        <v>32</v>
      </c>
      <c r="H3610" s="0" t="n">
        <v>12</v>
      </c>
      <c r="I3610" s="0" t="s">
        <v>12044</v>
      </c>
      <c r="J3610" s="0" t="s">
        <v>12045</v>
      </c>
      <c r="K3610" s="0" t="s">
        <v>12046</v>
      </c>
      <c r="L3610" s="0" t="str">
        <f aca="false">HYPERLINK("https://www.ncbi.nlm.nih.gov/nuccore/CP000058.1?report=graph&amp;tracks=[key:gene_model_track,Options:GeneOnly]&amp;mk=1169539:1169558|offset_12|00cc00,1169491:1169510|offset_60|444444,1169466:1169485|offset_85|444444,1169443:1169462|offset_108|444444&amp;v=1169338:1169662&amp;c=444444", "offset 12")</f>
        <v>offset 12</v>
      </c>
    </row>
    <row r="3611" customFormat="false" ht="12.8" hidden="false" customHeight="false" outlineLevel="0" collapsed="false">
      <c r="A3611" s="0" t="s">
        <v>12</v>
      </c>
      <c r="B3611" s="0" t="n">
        <v>1169490</v>
      </c>
      <c r="C3611" s="0" t="n">
        <v>1169510</v>
      </c>
      <c r="D3611" s="0" t="s">
        <v>12043</v>
      </c>
      <c r="E3611" s="0" t="s">
        <v>75</v>
      </c>
      <c r="F3611" s="0" t="s">
        <v>90</v>
      </c>
      <c r="G3611" s="0" t="s">
        <v>16</v>
      </c>
      <c r="H3611" s="0" t="n">
        <v>60</v>
      </c>
      <c r="I3611" s="0" t="s">
        <v>12047</v>
      </c>
      <c r="J3611" s="0" t="s">
        <v>12048</v>
      </c>
      <c r="K3611" s="0" t="s">
        <v>12049</v>
      </c>
      <c r="L3611" s="0" t="str">
        <f aca="false">HYPERLINK("https://www.ncbi.nlm.nih.gov/nuccore/CP000058.1?report=graph&amp;tracks=[key:gene_model_track,Options:GeneOnly]&amp;mk=1169539:1169558|offset_12|444444,1169491:1169510|offset_60|00cc00,1169466:1169485|offset_85|444444,1169443:1169462|offset_108|444444&amp;v=1169338:1169662&amp;c=444444", "offset 60")</f>
        <v>offset 60</v>
      </c>
    </row>
    <row r="3612" customFormat="false" ht="12.8" hidden="false" customHeight="false" outlineLevel="0" collapsed="false">
      <c r="A3612" s="0" t="s">
        <v>12</v>
      </c>
      <c r="B3612" s="0" t="n">
        <v>1169465</v>
      </c>
      <c r="C3612" s="0" t="n">
        <v>1169485</v>
      </c>
      <c r="D3612" s="0" t="s">
        <v>12043</v>
      </c>
      <c r="E3612" s="0" t="s">
        <v>75</v>
      </c>
      <c r="F3612" s="0" t="s">
        <v>90</v>
      </c>
      <c r="G3612" s="0" t="s">
        <v>20</v>
      </c>
      <c r="H3612" s="0" t="n">
        <v>85</v>
      </c>
      <c r="I3612" s="0" t="s">
        <v>12050</v>
      </c>
      <c r="J3612" s="0" t="s">
        <v>12051</v>
      </c>
      <c r="K3612" s="0" t="s">
        <v>12052</v>
      </c>
      <c r="L3612" s="0" t="str">
        <f aca="false">HYPERLINK("https://www.ncbi.nlm.nih.gov/nuccore/CP000058.1?report=graph&amp;tracks=[key:gene_model_track,Options:GeneOnly]&amp;mk=1169539:1169558|offset_12|444444,1169491:1169510|offset_60|444444,1169466:1169485|offset_85|00cc00,1169443:1169462|offset_108|444444&amp;v=1169338:1169662&amp;c=444444", "offset 85")</f>
        <v>offset 85</v>
      </c>
    </row>
    <row r="3613" customFormat="false" ht="12.8" hidden="false" customHeight="false" outlineLevel="0" collapsed="false">
      <c r="A3613" s="0" t="s">
        <v>12</v>
      </c>
      <c r="B3613" s="0" t="n">
        <v>1169442</v>
      </c>
      <c r="C3613" s="0" t="n">
        <v>1169462</v>
      </c>
      <c r="D3613" s="0" t="s">
        <v>12043</v>
      </c>
      <c r="E3613" s="0" t="s">
        <v>75</v>
      </c>
      <c r="F3613" s="0" t="s">
        <v>90</v>
      </c>
      <c r="G3613" s="0" t="s">
        <v>20</v>
      </c>
      <c r="H3613" s="0" t="n">
        <v>108</v>
      </c>
      <c r="I3613" s="0" t="s">
        <v>12053</v>
      </c>
      <c r="J3613" s="0" t="s">
        <v>12054</v>
      </c>
      <c r="K3613" s="0" t="s">
        <v>12055</v>
      </c>
      <c r="L3613" s="0" t="str">
        <f aca="false">HYPERLINK("https://www.ncbi.nlm.nih.gov/nuccore/CP000058.1?report=graph&amp;tracks=[key:gene_model_track,Options:GeneOnly]&amp;mk=1169539:1169558|offset_12|444444,1169491:1169510|offset_60|444444,1169466:1169485|offset_85|444444,1169443:1169462|offset_108|00cc00&amp;v=1169338:1169662&amp;c=444444", "offset 108")</f>
        <v>offset 108</v>
      </c>
    </row>
    <row r="3614" customFormat="false" ht="12.8" hidden="false" customHeight="false" outlineLevel="0" collapsed="false">
      <c r="A3614" s="0" t="s">
        <v>12</v>
      </c>
      <c r="B3614" s="0" t="n">
        <v>1170349</v>
      </c>
      <c r="C3614" s="0" t="n">
        <v>1170369</v>
      </c>
      <c r="D3614" s="0" t="s">
        <v>12056</v>
      </c>
      <c r="E3614" s="0" t="s">
        <v>75</v>
      </c>
      <c r="F3614" s="0" t="s">
        <v>15</v>
      </c>
      <c r="G3614" s="0" t="s">
        <v>36</v>
      </c>
      <c r="H3614" s="0" t="n">
        <v>37</v>
      </c>
      <c r="I3614" s="0" t="s">
        <v>12057</v>
      </c>
      <c r="J3614" s="0" t="s">
        <v>12058</v>
      </c>
      <c r="K3614" s="0" t="s">
        <v>12059</v>
      </c>
      <c r="L3614" s="0" t="str">
        <f aca="false">HYPERLINK("https://www.ncbi.nlm.nih.gov/nuccore/CP000058.1?report=graph&amp;tracks=[key:gene_model_track,Options:GeneOnly]&amp;mk=1170350:1170369|offset_37|00cc00,1170410:1170429|offset_97|444444,1170463:1170482|offset_150|444444,1170497:1170516|offset_184|444444&amp;v=1170149:1170716&amp;c=444444", "offset 37")</f>
        <v>offset 37</v>
      </c>
    </row>
    <row r="3615" customFormat="false" ht="12.8" hidden="false" customHeight="false" outlineLevel="0" collapsed="false">
      <c r="A3615" s="0" t="s">
        <v>12</v>
      </c>
      <c r="B3615" s="0" t="n">
        <v>1170409</v>
      </c>
      <c r="C3615" s="0" t="n">
        <v>1170429</v>
      </c>
      <c r="D3615" s="0" t="s">
        <v>12056</v>
      </c>
      <c r="E3615" s="0" t="s">
        <v>75</v>
      </c>
      <c r="F3615" s="0" t="s">
        <v>15</v>
      </c>
      <c r="G3615" s="0" t="s">
        <v>20</v>
      </c>
      <c r="H3615" s="0" t="n">
        <v>97</v>
      </c>
      <c r="I3615" s="0" t="s">
        <v>12060</v>
      </c>
      <c r="J3615" s="0" t="s">
        <v>12061</v>
      </c>
      <c r="K3615" s="0" t="s">
        <v>12062</v>
      </c>
      <c r="L3615" s="0" t="str">
        <f aca="false">HYPERLINK("https://www.ncbi.nlm.nih.gov/nuccore/CP000058.1?report=graph&amp;tracks=[key:gene_model_track,Options:GeneOnly]&amp;mk=1170350:1170369|offset_37|444444,1170410:1170429|offset_97|00cc00,1170463:1170482|offset_150|444444,1170497:1170516|offset_184|444444&amp;v=1170149:1170716&amp;c=444444", "offset 97")</f>
        <v>offset 97</v>
      </c>
    </row>
    <row r="3616" customFormat="false" ht="12.8" hidden="false" customHeight="false" outlineLevel="0" collapsed="false">
      <c r="A3616" s="0" t="s">
        <v>12</v>
      </c>
      <c r="B3616" s="0" t="n">
        <v>1170462</v>
      </c>
      <c r="C3616" s="0" t="n">
        <v>1170482</v>
      </c>
      <c r="D3616" s="0" t="s">
        <v>12056</v>
      </c>
      <c r="E3616" s="0" t="s">
        <v>75</v>
      </c>
      <c r="F3616" s="0" t="s">
        <v>15</v>
      </c>
      <c r="G3616" s="0" t="s">
        <v>36</v>
      </c>
      <c r="H3616" s="0" t="n">
        <v>150</v>
      </c>
      <c r="I3616" s="0" t="s">
        <v>12063</v>
      </c>
      <c r="J3616" s="0" t="s">
        <v>12064</v>
      </c>
      <c r="K3616" s="0" t="s">
        <v>12065</v>
      </c>
      <c r="L3616" s="0" t="str">
        <f aca="false">HYPERLINK("https://www.ncbi.nlm.nih.gov/nuccore/CP000058.1?report=graph&amp;tracks=[key:gene_model_track,Options:GeneOnly]&amp;mk=1170350:1170369|offset_37|444444,1170410:1170429|offset_97|444444,1170463:1170482|offset_150|00cc00,1170497:1170516|offset_184|444444&amp;v=1170149:1170716&amp;c=444444", "offset 150")</f>
        <v>offset 150</v>
      </c>
    </row>
    <row r="3617" customFormat="false" ht="12.8" hidden="false" customHeight="false" outlineLevel="0" collapsed="false">
      <c r="A3617" s="0" t="s">
        <v>12</v>
      </c>
      <c r="B3617" s="0" t="n">
        <v>1170496</v>
      </c>
      <c r="C3617" s="0" t="n">
        <v>1170516</v>
      </c>
      <c r="D3617" s="0" t="s">
        <v>12056</v>
      </c>
      <c r="E3617" s="0" t="s">
        <v>75</v>
      </c>
      <c r="F3617" s="0" t="s">
        <v>15</v>
      </c>
      <c r="G3617" s="0" t="s">
        <v>20</v>
      </c>
      <c r="H3617" s="0" t="n">
        <v>184</v>
      </c>
      <c r="I3617" s="0" t="s">
        <v>12066</v>
      </c>
      <c r="J3617" s="0" t="s">
        <v>12067</v>
      </c>
      <c r="K3617" s="0" t="s">
        <v>12068</v>
      </c>
      <c r="L3617" s="0" t="str">
        <f aca="false">HYPERLINK("https://www.ncbi.nlm.nih.gov/nuccore/CP000058.1?report=graph&amp;tracks=[key:gene_model_track,Options:GeneOnly]&amp;mk=1170350:1170369|offset_37|444444,1170410:1170429|offset_97|444444,1170463:1170482|offset_150|444444,1170497:1170516|offset_184|00cc00&amp;v=1170149:1170716&amp;c=444444", "offset 184")</f>
        <v>offset 184</v>
      </c>
    </row>
    <row r="3618" customFormat="false" ht="12.8" hidden="false" customHeight="false" outlineLevel="0" collapsed="false">
      <c r="A3618" s="0" t="s">
        <v>12</v>
      </c>
      <c r="B3618" s="0" t="n">
        <v>1172111</v>
      </c>
      <c r="C3618" s="0" t="n">
        <v>1172131</v>
      </c>
      <c r="D3618" s="0" t="s">
        <v>12069</v>
      </c>
      <c r="E3618" s="0" t="s">
        <v>75</v>
      </c>
      <c r="F3618" s="0" t="s">
        <v>15</v>
      </c>
      <c r="G3618" s="0" t="s">
        <v>32</v>
      </c>
      <c r="H3618" s="0" t="n">
        <v>22</v>
      </c>
      <c r="I3618" s="0" t="s">
        <v>12070</v>
      </c>
      <c r="J3618" s="0" t="s">
        <v>12071</v>
      </c>
      <c r="K3618" s="0" t="s">
        <v>12072</v>
      </c>
      <c r="L3618" s="0" t="str">
        <f aca="false">HYPERLINK("https://www.ncbi.nlm.nih.gov/nuccore/CP000058.1?report=graph&amp;tracks=[key:gene_model_track,Options:GeneOnly]&amp;mk=1172112:1172131|offset_22|00cc00,1172141:1172160|offset_51|444444,1172164:1172183|offset_74|444444,1172200:1172219|offset_110|444444&amp;v=1171911:1172419&amp;c=444444", "offset 22")</f>
        <v>offset 22</v>
      </c>
    </row>
    <row r="3619" customFormat="false" ht="12.8" hidden="false" customHeight="false" outlineLevel="0" collapsed="false">
      <c r="A3619" s="0" t="s">
        <v>12</v>
      </c>
      <c r="B3619" s="0" t="n">
        <v>1172140</v>
      </c>
      <c r="C3619" s="0" t="n">
        <v>1172160</v>
      </c>
      <c r="D3619" s="0" t="s">
        <v>12069</v>
      </c>
      <c r="E3619" s="0" t="s">
        <v>75</v>
      </c>
      <c r="F3619" s="0" t="s">
        <v>15</v>
      </c>
      <c r="G3619" s="0" t="s">
        <v>20</v>
      </c>
      <c r="H3619" s="0" t="n">
        <v>51</v>
      </c>
      <c r="I3619" s="0" t="s">
        <v>12073</v>
      </c>
      <c r="J3619" s="0" t="s">
        <v>12074</v>
      </c>
      <c r="K3619" s="0" t="s">
        <v>12075</v>
      </c>
      <c r="L3619" s="0" t="str">
        <f aca="false">HYPERLINK("https://www.ncbi.nlm.nih.gov/nuccore/CP000058.1?report=graph&amp;tracks=[key:gene_model_track,Options:GeneOnly]&amp;mk=1172112:1172131|offset_22|444444,1172141:1172160|offset_51|00cc00,1172164:1172183|offset_74|444444,1172200:1172219|offset_110|444444&amp;v=1171911:1172419&amp;c=444444", "offset 51")</f>
        <v>offset 51</v>
      </c>
    </row>
    <row r="3620" customFormat="false" ht="12.8" hidden="false" customHeight="false" outlineLevel="0" collapsed="false">
      <c r="A3620" s="0" t="s">
        <v>12</v>
      </c>
      <c r="B3620" s="0" t="n">
        <v>1172163</v>
      </c>
      <c r="C3620" s="0" t="n">
        <v>1172183</v>
      </c>
      <c r="D3620" s="0" t="s">
        <v>12069</v>
      </c>
      <c r="E3620" s="0" t="s">
        <v>75</v>
      </c>
      <c r="F3620" s="0" t="s">
        <v>15</v>
      </c>
      <c r="G3620" s="0" t="s">
        <v>16</v>
      </c>
      <c r="H3620" s="0" t="n">
        <v>74</v>
      </c>
      <c r="I3620" s="0" t="s">
        <v>12076</v>
      </c>
      <c r="J3620" s="0" t="s">
        <v>12077</v>
      </c>
      <c r="K3620" s="0" t="s">
        <v>12078</v>
      </c>
      <c r="L3620" s="0" t="str">
        <f aca="false">HYPERLINK("https://www.ncbi.nlm.nih.gov/nuccore/CP000058.1?report=graph&amp;tracks=[key:gene_model_track,Options:GeneOnly]&amp;mk=1172112:1172131|offset_22|444444,1172141:1172160|offset_51|444444,1172164:1172183|offset_74|00cc00,1172200:1172219|offset_110|444444&amp;v=1171911:1172419&amp;c=444444", "offset 74")</f>
        <v>offset 74</v>
      </c>
    </row>
    <row r="3621" customFormat="false" ht="12.8" hidden="false" customHeight="false" outlineLevel="0" collapsed="false">
      <c r="A3621" s="0" t="s">
        <v>12</v>
      </c>
      <c r="B3621" s="0" t="n">
        <v>1172199</v>
      </c>
      <c r="C3621" s="0" t="n">
        <v>1172219</v>
      </c>
      <c r="D3621" s="0" t="s">
        <v>12069</v>
      </c>
      <c r="E3621" s="0" t="s">
        <v>75</v>
      </c>
      <c r="F3621" s="0" t="s">
        <v>15</v>
      </c>
      <c r="G3621" s="0" t="s">
        <v>20</v>
      </c>
      <c r="H3621" s="0" t="n">
        <v>110</v>
      </c>
      <c r="I3621" s="0" t="s">
        <v>12079</v>
      </c>
      <c r="J3621" s="0" t="s">
        <v>12080</v>
      </c>
      <c r="K3621" s="0" t="s">
        <v>12081</v>
      </c>
      <c r="L3621" s="0" t="str">
        <f aca="false">HYPERLINK("https://www.ncbi.nlm.nih.gov/nuccore/CP000058.1?report=graph&amp;tracks=[key:gene_model_track,Options:GeneOnly]&amp;mk=1172112:1172131|offset_22|444444,1172141:1172160|offset_51|444444,1172164:1172183|offset_74|444444,1172200:1172219|offset_110|00cc00&amp;v=1171911:1172419&amp;c=444444", "offset 110")</f>
        <v>offset 110</v>
      </c>
    </row>
    <row r="3622" customFormat="false" ht="12.8" hidden="false" customHeight="false" outlineLevel="0" collapsed="false">
      <c r="A3622" s="0" t="s">
        <v>12</v>
      </c>
      <c r="B3622" s="0" t="n">
        <v>1173432</v>
      </c>
      <c r="C3622" s="0" t="n">
        <v>1173452</v>
      </c>
      <c r="D3622" s="0" t="s">
        <v>12082</v>
      </c>
      <c r="E3622" s="0" t="s">
        <v>75</v>
      </c>
      <c r="F3622" s="0" t="s">
        <v>15</v>
      </c>
      <c r="G3622" s="0" t="s">
        <v>20</v>
      </c>
      <c r="H3622" s="0" t="n">
        <v>18</v>
      </c>
      <c r="I3622" s="0" t="s">
        <v>12083</v>
      </c>
      <c r="J3622" s="0" t="s">
        <v>12084</v>
      </c>
      <c r="K3622" s="0" t="s">
        <v>12085</v>
      </c>
      <c r="L3622" s="0" t="str">
        <f aca="false">HYPERLINK("https://www.ncbi.nlm.nih.gov/nuccore/CP000058.1?report=graph&amp;tracks=[key:gene_model_track,Options:GeneOnly]&amp;mk=1173433:1173452|offset_18|00cc00,1173470:1173489|offset_55|444444,1173490:1173509|offset_75|444444,1173570:1173589|offset_155|444444&amp;v=1173232:1173789&amp;c=444444", "offset 18")</f>
        <v>offset 18</v>
      </c>
    </row>
    <row r="3623" customFormat="false" ht="12.8" hidden="false" customHeight="false" outlineLevel="0" collapsed="false">
      <c r="A3623" s="0" t="s">
        <v>12</v>
      </c>
      <c r="B3623" s="0" t="n">
        <v>1173469</v>
      </c>
      <c r="C3623" s="0" t="n">
        <v>1173489</v>
      </c>
      <c r="D3623" s="0" t="s">
        <v>12082</v>
      </c>
      <c r="E3623" s="0" t="s">
        <v>75</v>
      </c>
      <c r="F3623" s="0" t="s">
        <v>15</v>
      </c>
      <c r="G3623" s="0" t="s">
        <v>36</v>
      </c>
      <c r="H3623" s="0" t="n">
        <v>55</v>
      </c>
      <c r="I3623" s="0" t="s">
        <v>12086</v>
      </c>
      <c r="J3623" s="0" t="s">
        <v>12087</v>
      </c>
      <c r="K3623" s="0" t="s">
        <v>12088</v>
      </c>
      <c r="L3623" s="0" t="str">
        <f aca="false">HYPERLINK("https://www.ncbi.nlm.nih.gov/nuccore/CP000058.1?report=graph&amp;tracks=[key:gene_model_track,Options:GeneOnly]&amp;mk=1173433:1173452|offset_18|444444,1173470:1173489|offset_55|00cc00,1173490:1173509|offset_75|444444,1173570:1173589|offset_155|444444&amp;v=1173232:1173789&amp;c=444444", "offset 55")</f>
        <v>offset 55</v>
      </c>
    </row>
    <row r="3624" customFormat="false" ht="12.8" hidden="false" customHeight="false" outlineLevel="0" collapsed="false">
      <c r="A3624" s="0" t="s">
        <v>12</v>
      </c>
      <c r="B3624" s="0" t="n">
        <v>1173489</v>
      </c>
      <c r="C3624" s="0" t="n">
        <v>1173509</v>
      </c>
      <c r="D3624" s="0" t="s">
        <v>12082</v>
      </c>
      <c r="E3624" s="0" t="s">
        <v>75</v>
      </c>
      <c r="F3624" s="0" t="s">
        <v>15</v>
      </c>
      <c r="G3624" s="0" t="s">
        <v>20</v>
      </c>
      <c r="H3624" s="0" t="n">
        <v>75</v>
      </c>
      <c r="I3624" s="0" t="s">
        <v>12089</v>
      </c>
      <c r="J3624" s="0" t="s">
        <v>12090</v>
      </c>
      <c r="K3624" s="0" t="s">
        <v>12091</v>
      </c>
      <c r="L3624" s="0" t="str">
        <f aca="false">HYPERLINK("https://www.ncbi.nlm.nih.gov/nuccore/CP000058.1?report=graph&amp;tracks=[key:gene_model_track,Options:GeneOnly]&amp;mk=1173433:1173452|offset_18|444444,1173470:1173489|offset_55|444444,1173490:1173509|offset_75|00cc00,1173570:1173589|offset_155|444444&amp;v=1173232:1173789&amp;c=444444", "offset 75")</f>
        <v>offset 75</v>
      </c>
    </row>
    <row r="3625" customFormat="false" ht="12.8" hidden="false" customHeight="false" outlineLevel="0" collapsed="false">
      <c r="A3625" s="0" t="s">
        <v>12</v>
      </c>
      <c r="B3625" s="0" t="n">
        <v>1173569</v>
      </c>
      <c r="C3625" s="0" t="n">
        <v>1173589</v>
      </c>
      <c r="D3625" s="0" t="s">
        <v>12082</v>
      </c>
      <c r="E3625" s="0" t="s">
        <v>75</v>
      </c>
      <c r="F3625" s="0" t="s">
        <v>15</v>
      </c>
      <c r="G3625" s="0" t="s">
        <v>36</v>
      </c>
      <c r="H3625" s="0" t="n">
        <v>155</v>
      </c>
      <c r="I3625" s="0" t="s">
        <v>12092</v>
      </c>
      <c r="J3625" s="0" t="s">
        <v>12093</v>
      </c>
      <c r="K3625" s="0" t="s">
        <v>12094</v>
      </c>
      <c r="L3625" s="0" t="str">
        <f aca="false">HYPERLINK("https://www.ncbi.nlm.nih.gov/nuccore/CP000058.1?report=graph&amp;tracks=[key:gene_model_track,Options:GeneOnly]&amp;mk=1173433:1173452|offset_18|444444,1173470:1173489|offset_55|444444,1173490:1173509|offset_75|444444,1173570:1173589|offset_155|00cc00&amp;v=1173232:1173789&amp;c=444444", "offset 155")</f>
        <v>offset 155</v>
      </c>
    </row>
    <row r="3626" customFormat="false" ht="12.8" hidden="false" customHeight="false" outlineLevel="0" collapsed="false">
      <c r="A3626" s="0" t="s">
        <v>12</v>
      </c>
      <c r="B3626" s="0" t="n">
        <v>1175941</v>
      </c>
      <c r="C3626" s="0" t="n">
        <v>1175961</v>
      </c>
      <c r="D3626" s="0" t="s">
        <v>12095</v>
      </c>
      <c r="E3626" s="0" t="s">
        <v>75</v>
      </c>
      <c r="F3626" s="0" t="s">
        <v>90</v>
      </c>
      <c r="G3626" s="0" t="s">
        <v>16</v>
      </c>
      <c r="H3626" s="0" t="n">
        <v>49</v>
      </c>
      <c r="I3626" s="0" t="s">
        <v>12096</v>
      </c>
      <c r="J3626" s="0" t="s">
        <v>12097</v>
      </c>
      <c r="K3626" s="0" t="s">
        <v>12098</v>
      </c>
      <c r="L3626" s="0" t="str">
        <f aca="false">HYPERLINK("https://www.ncbi.nlm.nih.gov/nuccore/CP000058.1?report=graph&amp;tracks=[key:gene_model_track,Options:GeneOnly]&amp;mk=1175942:1175961|offset_49|00cc00,1175912:1175931|offset_79|444444,1175853:1175872|offset_138|444444,1175833:1175852|offset_158|444444&amp;v=1175741:1176052&amp;c=444444", "offset 49")</f>
        <v>offset 49</v>
      </c>
    </row>
    <row r="3627" customFormat="false" ht="12.8" hidden="false" customHeight="false" outlineLevel="0" collapsed="false">
      <c r="A3627" s="0" t="s">
        <v>12</v>
      </c>
      <c r="B3627" s="0" t="n">
        <v>1175911</v>
      </c>
      <c r="C3627" s="0" t="n">
        <v>1175931</v>
      </c>
      <c r="D3627" s="0" t="s">
        <v>12095</v>
      </c>
      <c r="E3627" s="0" t="s">
        <v>75</v>
      </c>
      <c r="F3627" s="0" t="s">
        <v>90</v>
      </c>
      <c r="G3627" s="0" t="s">
        <v>32</v>
      </c>
      <c r="H3627" s="0" t="n">
        <v>79</v>
      </c>
      <c r="I3627" s="0" t="s">
        <v>12099</v>
      </c>
      <c r="J3627" s="0" t="s">
        <v>12100</v>
      </c>
      <c r="K3627" s="0" t="s">
        <v>12101</v>
      </c>
      <c r="L3627" s="0" t="str">
        <f aca="false">HYPERLINK("https://www.ncbi.nlm.nih.gov/nuccore/CP000058.1?report=graph&amp;tracks=[key:gene_model_track,Options:GeneOnly]&amp;mk=1175942:1175961|offset_49|444444,1175912:1175931|offset_79|00cc00,1175853:1175872|offset_138|444444,1175833:1175852|offset_158|444444&amp;v=1175741:1176052&amp;c=444444", "offset 79")</f>
        <v>offset 79</v>
      </c>
    </row>
    <row r="3628" customFormat="false" ht="12.8" hidden="false" customHeight="false" outlineLevel="0" collapsed="false">
      <c r="A3628" s="0" t="s">
        <v>12</v>
      </c>
      <c r="B3628" s="0" t="n">
        <v>1175852</v>
      </c>
      <c r="C3628" s="0" t="n">
        <v>1175872</v>
      </c>
      <c r="D3628" s="0" t="s">
        <v>12095</v>
      </c>
      <c r="E3628" s="0" t="s">
        <v>75</v>
      </c>
      <c r="F3628" s="0" t="s">
        <v>90</v>
      </c>
      <c r="G3628" s="0" t="s">
        <v>32</v>
      </c>
      <c r="H3628" s="0" t="n">
        <v>138</v>
      </c>
      <c r="I3628" s="0" t="s">
        <v>12102</v>
      </c>
      <c r="J3628" s="0" t="s">
        <v>12103</v>
      </c>
      <c r="K3628" s="0" t="s">
        <v>12104</v>
      </c>
      <c r="L3628" s="0" t="str">
        <f aca="false">HYPERLINK("https://www.ncbi.nlm.nih.gov/nuccore/CP000058.1?report=graph&amp;tracks=[key:gene_model_track,Options:GeneOnly]&amp;mk=1175942:1175961|offset_49|444444,1175912:1175931|offset_79|444444,1175853:1175872|offset_138|00cc00,1175833:1175852|offset_158|444444&amp;v=1175741:1176052&amp;c=444444", "offset 138")</f>
        <v>offset 138</v>
      </c>
    </row>
    <row r="3629" customFormat="false" ht="12.8" hidden="false" customHeight="false" outlineLevel="0" collapsed="false">
      <c r="A3629" s="0" t="s">
        <v>12</v>
      </c>
      <c r="B3629" s="0" t="n">
        <v>1175832</v>
      </c>
      <c r="C3629" s="0" t="n">
        <v>1175852</v>
      </c>
      <c r="D3629" s="0" t="s">
        <v>12095</v>
      </c>
      <c r="E3629" s="0" t="s">
        <v>75</v>
      </c>
      <c r="F3629" s="0" t="s">
        <v>90</v>
      </c>
      <c r="G3629" s="0" t="s">
        <v>20</v>
      </c>
      <c r="H3629" s="0" t="n">
        <v>158</v>
      </c>
      <c r="I3629" s="0" t="s">
        <v>12105</v>
      </c>
      <c r="J3629" s="0" t="s">
        <v>12106</v>
      </c>
      <c r="K3629" s="0" t="s">
        <v>12107</v>
      </c>
      <c r="L3629" s="0" t="str">
        <f aca="false">HYPERLINK("https://www.ncbi.nlm.nih.gov/nuccore/CP000058.1?report=graph&amp;tracks=[key:gene_model_track,Options:GeneOnly]&amp;mk=1175942:1175961|offset_49|444444,1175912:1175931|offset_79|444444,1175853:1175872|offset_138|444444,1175833:1175852|offset_158|00cc00&amp;v=1175741:1176052&amp;c=444444", "offset 158")</f>
        <v>offset 158</v>
      </c>
    </row>
    <row r="3630" customFormat="false" ht="12.8" hidden="false" customHeight="false" outlineLevel="0" collapsed="false">
      <c r="A3630" s="0" t="s">
        <v>12</v>
      </c>
      <c r="B3630" s="0" t="n">
        <v>1176298</v>
      </c>
      <c r="C3630" s="0" t="n">
        <v>1176318</v>
      </c>
      <c r="D3630" s="0" t="s">
        <v>12108</v>
      </c>
      <c r="E3630" s="0" t="s">
        <v>75</v>
      </c>
      <c r="F3630" s="0" t="s">
        <v>15</v>
      </c>
      <c r="G3630" s="0" t="s">
        <v>36</v>
      </c>
      <c r="H3630" s="0" t="n">
        <v>10</v>
      </c>
      <c r="I3630" s="0" t="s">
        <v>12109</v>
      </c>
      <c r="J3630" s="0" t="s">
        <v>12110</v>
      </c>
      <c r="K3630" s="0" t="s">
        <v>12111</v>
      </c>
      <c r="L3630" s="0" t="str">
        <f aca="false">HYPERLINK("https://www.ncbi.nlm.nih.gov/nuccore/CP000058.1?report=graph&amp;tracks=[key:gene_model_track,Options:GeneOnly]&amp;mk=1176299:1176318|offset_10|00cc00,1176340:1176359|offset_51|444444,1176360:1176379|offset_71|444444,1176422:1176441|offset_133|444444&amp;v=1176098:1176641&amp;c=444444", "offset 10")</f>
        <v>offset 10</v>
      </c>
    </row>
    <row r="3631" customFormat="false" ht="12.8" hidden="false" customHeight="false" outlineLevel="0" collapsed="false">
      <c r="A3631" s="0" t="s">
        <v>12</v>
      </c>
      <c r="B3631" s="0" t="n">
        <v>1176339</v>
      </c>
      <c r="C3631" s="0" t="n">
        <v>1176359</v>
      </c>
      <c r="D3631" s="0" t="s">
        <v>12108</v>
      </c>
      <c r="E3631" s="0" t="s">
        <v>75</v>
      </c>
      <c r="F3631" s="0" t="s">
        <v>15</v>
      </c>
      <c r="G3631" s="0" t="s">
        <v>20</v>
      </c>
      <c r="H3631" s="0" t="n">
        <v>51</v>
      </c>
      <c r="I3631" s="0" t="s">
        <v>12112</v>
      </c>
      <c r="J3631" s="0" t="s">
        <v>12113</v>
      </c>
      <c r="K3631" s="0" t="s">
        <v>12114</v>
      </c>
      <c r="L3631" s="0" t="str">
        <f aca="false">HYPERLINK("https://www.ncbi.nlm.nih.gov/nuccore/CP000058.1?report=graph&amp;tracks=[key:gene_model_track,Options:GeneOnly]&amp;mk=1176299:1176318|offset_10|444444,1176340:1176359|offset_51|00cc00,1176360:1176379|offset_71|444444,1176422:1176441|offset_133|444444&amp;v=1176098:1176641&amp;c=444444", "offset 51")</f>
        <v>offset 51</v>
      </c>
    </row>
    <row r="3632" customFormat="false" ht="12.8" hidden="false" customHeight="false" outlineLevel="0" collapsed="false">
      <c r="A3632" s="0" t="s">
        <v>12</v>
      </c>
      <c r="B3632" s="0" t="n">
        <v>1176359</v>
      </c>
      <c r="C3632" s="0" t="n">
        <v>1176379</v>
      </c>
      <c r="D3632" s="0" t="s">
        <v>12108</v>
      </c>
      <c r="E3632" s="0" t="s">
        <v>75</v>
      </c>
      <c r="F3632" s="0" t="s">
        <v>15</v>
      </c>
      <c r="G3632" s="0" t="s">
        <v>36</v>
      </c>
      <c r="H3632" s="0" t="n">
        <v>71</v>
      </c>
      <c r="I3632" s="0" t="s">
        <v>12115</v>
      </c>
      <c r="J3632" s="0" t="s">
        <v>12116</v>
      </c>
      <c r="K3632" s="0" t="s">
        <v>12117</v>
      </c>
      <c r="L3632" s="0" t="str">
        <f aca="false">HYPERLINK("https://www.ncbi.nlm.nih.gov/nuccore/CP000058.1?report=graph&amp;tracks=[key:gene_model_track,Options:GeneOnly]&amp;mk=1176299:1176318|offset_10|444444,1176340:1176359|offset_51|444444,1176360:1176379|offset_71|00cc00,1176422:1176441|offset_133|444444&amp;v=1176098:1176641&amp;c=444444", "offset 71")</f>
        <v>offset 71</v>
      </c>
    </row>
    <row r="3633" customFormat="false" ht="12.8" hidden="false" customHeight="false" outlineLevel="0" collapsed="false">
      <c r="A3633" s="0" t="s">
        <v>12</v>
      </c>
      <c r="B3633" s="0" t="n">
        <v>1176421</v>
      </c>
      <c r="C3633" s="0" t="n">
        <v>1176441</v>
      </c>
      <c r="D3633" s="0" t="s">
        <v>12108</v>
      </c>
      <c r="E3633" s="0" t="s">
        <v>75</v>
      </c>
      <c r="F3633" s="0" t="s">
        <v>15</v>
      </c>
      <c r="G3633" s="0" t="s">
        <v>36</v>
      </c>
      <c r="H3633" s="0" t="n">
        <v>133</v>
      </c>
      <c r="I3633" s="0" t="s">
        <v>12118</v>
      </c>
      <c r="J3633" s="0" t="s">
        <v>12119</v>
      </c>
      <c r="K3633" s="0" t="s">
        <v>12120</v>
      </c>
      <c r="L3633" s="0" t="str">
        <f aca="false">HYPERLINK("https://www.ncbi.nlm.nih.gov/nuccore/CP000058.1?report=graph&amp;tracks=[key:gene_model_track,Options:GeneOnly]&amp;mk=1176299:1176318|offset_10|444444,1176340:1176359|offset_51|444444,1176360:1176379|offset_71|444444,1176422:1176441|offset_133|00cc00&amp;v=1176098:1176641&amp;c=444444", "offset 133")</f>
        <v>offset 133</v>
      </c>
    </row>
    <row r="3634" customFormat="false" ht="12.8" hidden="false" customHeight="false" outlineLevel="0" collapsed="false">
      <c r="A3634" s="0" t="s">
        <v>12</v>
      </c>
      <c r="B3634" s="0" t="n">
        <v>1177983</v>
      </c>
      <c r="C3634" s="0" t="n">
        <v>1178003</v>
      </c>
      <c r="D3634" s="0" t="s">
        <v>12121</v>
      </c>
      <c r="E3634" s="0" t="s">
        <v>75</v>
      </c>
      <c r="F3634" s="0" t="s">
        <v>15</v>
      </c>
      <c r="G3634" s="0" t="s">
        <v>36</v>
      </c>
      <c r="H3634" s="0" t="n">
        <v>17</v>
      </c>
      <c r="I3634" s="0" t="s">
        <v>12122</v>
      </c>
      <c r="J3634" s="0" t="s">
        <v>12123</v>
      </c>
      <c r="K3634" s="0" t="s">
        <v>12124</v>
      </c>
      <c r="L3634" s="0" t="str">
        <f aca="false">HYPERLINK("https://www.ncbi.nlm.nih.gov/nuccore/CP000058.1?report=graph&amp;tracks=[key:gene_model_track,Options:GeneOnly]&amp;mk=1177984:1178003|offset_17|00cc00,1178043:1178062|offset_76|444444,1178063:1178082|offset_96|444444,1178096:1178115|offset_129|444444&amp;v=1177783:1178315&amp;c=444444", "offset 17")</f>
        <v>offset 17</v>
      </c>
    </row>
    <row r="3635" customFormat="false" ht="12.8" hidden="false" customHeight="false" outlineLevel="0" collapsed="false">
      <c r="A3635" s="0" t="s">
        <v>12</v>
      </c>
      <c r="B3635" s="0" t="n">
        <v>1178042</v>
      </c>
      <c r="C3635" s="0" t="n">
        <v>1178062</v>
      </c>
      <c r="D3635" s="0" t="s">
        <v>12121</v>
      </c>
      <c r="E3635" s="0" t="s">
        <v>75</v>
      </c>
      <c r="F3635" s="0" t="s">
        <v>15</v>
      </c>
      <c r="G3635" s="0" t="s">
        <v>36</v>
      </c>
      <c r="H3635" s="0" t="n">
        <v>76</v>
      </c>
      <c r="I3635" s="0" t="s">
        <v>12125</v>
      </c>
      <c r="J3635" s="0" t="s">
        <v>12126</v>
      </c>
      <c r="K3635" s="0" t="s">
        <v>12127</v>
      </c>
      <c r="L3635" s="0" t="str">
        <f aca="false">HYPERLINK("https://www.ncbi.nlm.nih.gov/nuccore/CP000058.1?report=graph&amp;tracks=[key:gene_model_track,Options:GeneOnly]&amp;mk=1177984:1178003|offset_17|444444,1178043:1178062|offset_76|00cc00,1178063:1178082|offset_96|444444,1178096:1178115|offset_129|444444&amp;v=1177783:1178315&amp;c=444444", "offset 76")</f>
        <v>offset 76</v>
      </c>
    </row>
    <row r="3636" customFormat="false" ht="12.8" hidden="false" customHeight="false" outlineLevel="0" collapsed="false">
      <c r="A3636" s="0" t="s">
        <v>12</v>
      </c>
      <c r="B3636" s="0" t="n">
        <v>1178062</v>
      </c>
      <c r="C3636" s="0" t="n">
        <v>1178082</v>
      </c>
      <c r="D3636" s="0" t="s">
        <v>12121</v>
      </c>
      <c r="E3636" s="0" t="s">
        <v>75</v>
      </c>
      <c r="F3636" s="0" t="s">
        <v>15</v>
      </c>
      <c r="G3636" s="0" t="s">
        <v>20</v>
      </c>
      <c r="H3636" s="0" t="n">
        <v>96</v>
      </c>
      <c r="I3636" s="0" t="s">
        <v>12128</v>
      </c>
      <c r="J3636" s="0" t="s">
        <v>12129</v>
      </c>
      <c r="K3636" s="0" t="s">
        <v>12130</v>
      </c>
      <c r="L3636" s="0" t="str">
        <f aca="false">HYPERLINK("https://www.ncbi.nlm.nih.gov/nuccore/CP000058.1?report=graph&amp;tracks=[key:gene_model_track,Options:GeneOnly]&amp;mk=1177984:1178003|offset_17|444444,1178043:1178062|offset_76|444444,1178063:1178082|offset_96|00cc00,1178096:1178115|offset_129|444444&amp;v=1177783:1178315&amp;c=444444", "offset 96")</f>
        <v>offset 96</v>
      </c>
    </row>
    <row r="3637" customFormat="false" ht="12.8" hidden="false" customHeight="false" outlineLevel="0" collapsed="false">
      <c r="A3637" s="0" t="s">
        <v>12</v>
      </c>
      <c r="B3637" s="0" t="n">
        <v>1178095</v>
      </c>
      <c r="C3637" s="0" t="n">
        <v>1178115</v>
      </c>
      <c r="D3637" s="0" t="s">
        <v>12121</v>
      </c>
      <c r="E3637" s="0" t="s">
        <v>75</v>
      </c>
      <c r="F3637" s="0" t="s">
        <v>15</v>
      </c>
      <c r="G3637" s="0" t="s">
        <v>32</v>
      </c>
      <c r="H3637" s="0" t="n">
        <v>129</v>
      </c>
      <c r="I3637" s="0" t="s">
        <v>12131</v>
      </c>
      <c r="J3637" s="0" t="s">
        <v>12132</v>
      </c>
      <c r="K3637" s="0" t="s">
        <v>12133</v>
      </c>
      <c r="L3637" s="0" t="str">
        <f aca="false">HYPERLINK("https://www.ncbi.nlm.nih.gov/nuccore/CP000058.1?report=graph&amp;tracks=[key:gene_model_track,Options:GeneOnly]&amp;mk=1177984:1178003|offset_17|444444,1178043:1178062|offset_76|444444,1178063:1178082|offset_96|444444,1178096:1178115|offset_129|00cc00&amp;v=1177783:1178315&amp;c=444444", "offset 129")</f>
        <v>offset 129</v>
      </c>
    </row>
    <row r="3638" customFormat="false" ht="12.8" hidden="false" customHeight="false" outlineLevel="0" collapsed="false">
      <c r="A3638" s="0" t="s">
        <v>12</v>
      </c>
      <c r="B3638" s="0" t="n">
        <v>1183626</v>
      </c>
      <c r="C3638" s="0" t="n">
        <v>1183646</v>
      </c>
      <c r="D3638" s="0" t="s">
        <v>12134</v>
      </c>
      <c r="E3638" s="0" t="s">
        <v>12135</v>
      </c>
      <c r="F3638" s="0" t="s">
        <v>90</v>
      </c>
      <c r="G3638" s="0" t="s">
        <v>32</v>
      </c>
      <c r="H3638" s="0" t="n">
        <v>1</v>
      </c>
      <c r="I3638" s="0" t="s">
        <v>12136</v>
      </c>
      <c r="J3638" s="0" t="s">
        <v>12137</v>
      </c>
      <c r="K3638" s="0" t="s">
        <v>12138</v>
      </c>
      <c r="L3638" s="0" t="str">
        <f aca="false">HYPERLINK("https://www.ncbi.nlm.nih.gov/nuccore/CP000058.1?report=graph&amp;tracks=[key:gene_model_track,Options:GeneOnly]&amp;mk=1183627:1183646|offset_1|00cc00,1183599:1183618|offset_29|444444,1183579:1183598|offset_49|444444,1183558:1183577|offset_70|444444&amp;v=1183426:1183777&amp;c=444444", "offset 1")</f>
        <v>offset 1</v>
      </c>
    </row>
    <row r="3639" customFormat="false" ht="12.8" hidden="false" customHeight="false" outlineLevel="0" collapsed="false">
      <c r="A3639" s="0" t="s">
        <v>12</v>
      </c>
      <c r="B3639" s="0" t="n">
        <v>1183598</v>
      </c>
      <c r="C3639" s="0" t="n">
        <v>1183618</v>
      </c>
      <c r="D3639" s="0" t="s">
        <v>12134</v>
      </c>
      <c r="E3639" s="0" t="s">
        <v>12135</v>
      </c>
      <c r="F3639" s="0" t="s">
        <v>90</v>
      </c>
      <c r="G3639" s="0" t="s">
        <v>20</v>
      </c>
      <c r="H3639" s="0" t="n">
        <v>29</v>
      </c>
      <c r="I3639" s="0" t="s">
        <v>12139</v>
      </c>
      <c r="J3639" s="0" t="s">
        <v>12140</v>
      </c>
      <c r="K3639" s="0" t="s">
        <v>12141</v>
      </c>
      <c r="L3639" s="0" t="str">
        <f aca="false">HYPERLINK("https://www.ncbi.nlm.nih.gov/nuccore/CP000058.1?report=graph&amp;tracks=[key:gene_model_track,Options:GeneOnly]&amp;mk=1183627:1183646|offset_1|444444,1183599:1183618|offset_29|00cc00,1183579:1183598|offset_49|444444,1183558:1183577|offset_70|444444&amp;v=1183426:1183777&amp;c=444444", "offset 29")</f>
        <v>offset 29</v>
      </c>
    </row>
    <row r="3640" customFormat="false" ht="12.8" hidden="false" customHeight="false" outlineLevel="0" collapsed="false">
      <c r="A3640" s="0" t="s">
        <v>12</v>
      </c>
      <c r="B3640" s="0" t="n">
        <v>1183578</v>
      </c>
      <c r="C3640" s="0" t="n">
        <v>1183598</v>
      </c>
      <c r="D3640" s="0" t="s">
        <v>12134</v>
      </c>
      <c r="E3640" s="0" t="s">
        <v>12135</v>
      </c>
      <c r="F3640" s="0" t="s">
        <v>90</v>
      </c>
      <c r="G3640" s="0" t="s">
        <v>32</v>
      </c>
      <c r="H3640" s="0" t="n">
        <v>49</v>
      </c>
      <c r="I3640" s="0" t="s">
        <v>12142</v>
      </c>
      <c r="J3640" s="0" t="s">
        <v>12143</v>
      </c>
      <c r="K3640" s="0" t="s">
        <v>12144</v>
      </c>
      <c r="L3640" s="0" t="str">
        <f aca="false">HYPERLINK("https://www.ncbi.nlm.nih.gov/nuccore/CP000058.1?report=graph&amp;tracks=[key:gene_model_track,Options:GeneOnly]&amp;mk=1183627:1183646|offset_1|444444,1183599:1183618|offset_29|444444,1183579:1183598|offset_49|00cc00,1183558:1183577|offset_70|444444&amp;v=1183426:1183777&amp;c=444444", "offset 49")</f>
        <v>offset 49</v>
      </c>
    </row>
    <row r="3641" customFormat="false" ht="12.8" hidden="false" customHeight="false" outlineLevel="0" collapsed="false">
      <c r="A3641" s="0" t="s">
        <v>12</v>
      </c>
      <c r="B3641" s="0" t="n">
        <v>1183557</v>
      </c>
      <c r="C3641" s="0" t="n">
        <v>1183577</v>
      </c>
      <c r="D3641" s="0" t="s">
        <v>12134</v>
      </c>
      <c r="E3641" s="0" t="s">
        <v>12135</v>
      </c>
      <c r="F3641" s="0" t="s">
        <v>90</v>
      </c>
      <c r="G3641" s="0" t="s">
        <v>32</v>
      </c>
      <c r="H3641" s="0" t="n">
        <v>70</v>
      </c>
      <c r="I3641" s="0" t="s">
        <v>12145</v>
      </c>
      <c r="J3641" s="0" t="s">
        <v>12146</v>
      </c>
      <c r="K3641" s="0" t="s">
        <v>12147</v>
      </c>
      <c r="L3641" s="0" t="str">
        <f aca="false">HYPERLINK("https://www.ncbi.nlm.nih.gov/nuccore/CP000058.1?report=graph&amp;tracks=[key:gene_model_track,Options:GeneOnly]&amp;mk=1183627:1183646|offset_1|444444,1183599:1183618|offset_29|444444,1183579:1183598|offset_49|444444,1183558:1183577|offset_70|00cc00&amp;v=1183426:1183777&amp;c=444444", "offset 70")</f>
        <v>offset 70</v>
      </c>
    </row>
    <row r="3642" customFormat="false" ht="12.8" hidden="false" customHeight="false" outlineLevel="0" collapsed="false">
      <c r="A3642" s="0" t="s">
        <v>12</v>
      </c>
      <c r="B3642" s="0" t="n">
        <v>1184226</v>
      </c>
      <c r="C3642" s="0" t="n">
        <v>1184246</v>
      </c>
      <c r="D3642" s="0" t="s">
        <v>12148</v>
      </c>
      <c r="E3642" s="0" t="s">
        <v>12149</v>
      </c>
      <c r="F3642" s="0" t="s">
        <v>90</v>
      </c>
      <c r="G3642" s="0" t="s">
        <v>16</v>
      </c>
      <c r="H3642" s="0" t="n">
        <v>7</v>
      </c>
      <c r="I3642" s="0" t="s">
        <v>12150</v>
      </c>
      <c r="J3642" s="0" t="s">
        <v>12151</v>
      </c>
      <c r="K3642" s="0" t="s">
        <v>12152</v>
      </c>
      <c r="L3642" s="0" t="str">
        <f aca="false">HYPERLINK("https://www.ncbi.nlm.nih.gov/nuccore/CP000058.1?report=graph&amp;tracks=[key:gene_model_track,Options:GeneOnly]&amp;mk=1184227:1184246|offset_7|00cc00,1184205:1184224|offset_29|444444,1184173:1184192|offset_61|444444,1184108:1184127|offset_126|444444&amp;v=1184026:1184327&amp;c=444444", "offset 7")</f>
        <v>offset 7</v>
      </c>
    </row>
    <row r="3643" customFormat="false" ht="12.8" hidden="false" customHeight="false" outlineLevel="0" collapsed="false">
      <c r="A3643" s="0" t="s">
        <v>12</v>
      </c>
      <c r="B3643" s="0" t="n">
        <v>1184204</v>
      </c>
      <c r="C3643" s="0" t="n">
        <v>1184224</v>
      </c>
      <c r="D3643" s="0" t="s">
        <v>12148</v>
      </c>
      <c r="E3643" s="0" t="s">
        <v>12149</v>
      </c>
      <c r="F3643" s="0" t="s">
        <v>90</v>
      </c>
      <c r="G3643" s="0" t="s">
        <v>20</v>
      </c>
      <c r="H3643" s="0" t="n">
        <v>29</v>
      </c>
      <c r="I3643" s="0" t="s">
        <v>12153</v>
      </c>
      <c r="J3643" s="0" t="s">
        <v>12154</v>
      </c>
      <c r="K3643" s="0" t="s">
        <v>12155</v>
      </c>
      <c r="L3643" s="0" t="str">
        <f aca="false">HYPERLINK("https://www.ncbi.nlm.nih.gov/nuccore/CP000058.1?report=graph&amp;tracks=[key:gene_model_track,Options:GeneOnly]&amp;mk=1184227:1184246|offset_7|444444,1184205:1184224|offset_29|00cc00,1184173:1184192|offset_61|444444,1184108:1184127|offset_126|444444&amp;v=1184026:1184327&amp;c=444444", "offset 29")</f>
        <v>offset 29</v>
      </c>
    </row>
    <row r="3644" customFormat="false" ht="12.8" hidden="false" customHeight="false" outlineLevel="0" collapsed="false">
      <c r="A3644" s="0" t="s">
        <v>12</v>
      </c>
      <c r="B3644" s="0" t="n">
        <v>1184172</v>
      </c>
      <c r="C3644" s="0" t="n">
        <v>1184192</v>
      </c>
      <c r="D3644" s="0" t="s">
        <v>12148</v>
      </c>
      <c r="E3644" s="0" t="s">
        <v>12149</v>
      </c>
      <c r="F3644" s="0" t="s">
        <v>90</v>
      </c>
      <c r="G3644" s="0" t="s">
        <v>36</v>
      </c>
      <c r="H3644" s="0" t="n">
        <v>61</v>
      </c>
      <c r="I3644" s="0" t="s">
        <v>12156</v>
      </c>
      <c r="J3644" s="0" t="s">
        <v>12157</v>
      </c>
      <c r="K3644" s="0" t="s">
        <v>12158</v>
      </c>
      <c r="L3644" s="0" t="str">
        <f aca="false">HYPERLINK("https://www.ncbi.nlm.nih.gov/nuccore/CP000058.1?report=graph&amp;tracks=[key:gene_model_track,Options:GeneOnly]&amp;mk=1184227:1184246|offset_7|444444,1184205:1184224|offset_29|444444,1184173:1184192|offset_61|00cc00,1184108:1184127|offset_126|444444&amp;v=1184026:1184327&amp;c=444444", "offset 61")</f>
        <v>offset 61</v>
      </c>
    </row>
    <row r="3645" customFormat="false" ht="12.8" hidden="false" customHeight="false" outlineLevel="0" collapsed="false">
      <c r="A3645" s="0" t="s">
        <v>12</v>
      </c>
      <c r="B3645" s="0" t="n">
        <v>1184107</v>
      </c>
      <c r="C3645" s="0" t="n">
        <v>1184127</v>
      </c>
      <c r="D3645" s="0" t="s">
        <v>12148</v>
      </c>
      <c r="E3645" s="0" t="s">
        <v>12149</v>
      </c>
      <c r="F3645" s="0" t="s">
        <v>90</v>
      </c>
      <c r="G3645" s="0" t="s">
        <v>36</v>
      </c>
      <c r="H3645" s="0" t="n">
        <v>126</v>
      </c>
      <c r="I3645" s="0" t="s">
        <v>12159</v>
      </c>
      <c r="J3645" s="0" t="s">
        <v>12160</v>
      </c>
      <c r="K3645" s="0" t="s">
        <v>12161</v>
      </c>
      <c r="L3645" s="0" t="str">
        <f aca="false">HYPERLINK("https://www.ncbi.nlm.nih.gov/nuccore/CP000058.1?report=graph&amp;tracks=[key:gene_model_track,Options:GeneOnly]&amp;mk=1184227:1184246|offset_7|444444,1184205:1184224|offset_29|444444,1184173:1184192|offset_61|444444,1184108:1184127|offset_126|00cc00&amp;v=1184026:1184327&amp;c=444444", "offset 126")</f>
        <v>offset 126</v>
      </c>
    </row>
    <row r="3646" customFormat="false" ht="12.8" hidden="false" customHeight="false" outlineLevel="0" collapsed="false">
      <c r="A3646" s="0" t="s">
        <v>12</v>
      </c>
      <c r="B3646" s="0" t="n">
        <v>1184993</v>
      </c>
      <c r="C3646" s="0" t="n">
        <v>1185013</v>
      </c>
      <c r="D3646" s="0" t="s">
        <v>12162</v>
      </c>
      <c r="E3646" s="0" t="s">
        <v>75</v>
      </c>
      <c r="F3646" s="0" t="s">
        <v>90</v>
      </c>
      <c r="G3646" s="0" t="s">
        <v>36</v>
      </c>
      <c r="H3646" s="0" t="n">
        <v>16</v>
      </c>
      <c r="I3646" s="0" t="s">
        <v>12163</v>
      </c>
      <c r="J3646" s="0" t="s">
        <v>12164</v>
      </c>
      <c r="K3646" s="0" t="s">
        <v>12165</v>
      </c>
      <c r="L3646" s="0" t="str">
        <f aca="false">HYPERLINK("https://www.ncbi.nlm.nih.gov/nuccore/CP000058.1?report=graph&amp;tracks=[key:gene_model_track,Options:GeneOnly]&amp;mk=1184994:1185013|offset_16|00cc00,1184973:1184992|offset_37|444444,1184951:1184970|offset_59|444444,1184931:1184950|offset_79|444444&amp;v=1184793:1185150&amp;c=444444", "offset 16")</f>
        <v>offset 16</v>
      </c>
    </row>
    <row r="3647" customFormat="false" ht="12.8" hidden="false" customHeight="false" outlineLevel="0" collapsed="false">
      <c r="A3647" s="0" t="s">
        <v>12</v>
      </c>
      <c r="B3647" s="0" t="n">
        <v>1184972</v>
      </c>
      <c r="C3647" s="0" t="n">
        <v>1184992</v>
      </c>
      <c r="D3647" s="0" t="s">
        <v>12162</v>
      </c>
      <c r="E3647" s="0" t="s">
        <v>75</v>
      </c>
      <c r="F3647" s="0" t="s">
        <v>90</v>
      </c>
      <c r="G3647" s="0" t="s">
        <v>16</v>
      </c>
      <c r="H3647" s="0" t="n">
        <v>37</v>
      </c>
      <c r="I3647" s="0" t="s">
        <v>12166</v>
      </c>
      <c r="J3647" s="0" t="s">
        <v>12167</v>
      </c>
      <c r="K3647" s="0" t="s">
        <v>12168</v>
      </c>
      <c r="L3647" s="0" t="str">
        <f aca="false">HYPERLINK("https://www.ncbi.nlm.nih.gov/nuccore/CP000058.1?report=graph&amp;tracks=[key:gene_model_track,Options:GeneOnly]&amp;mk=1184994:1185013|offset_16|444444,1184973:1184992|offset_37|00cc00,1184951:1184970|offset_59|444444,1184931:1184950|offset_79|444444&amp;v=1184793:1185150&amp;c=444444", "offset 37")</f>
        <v>offset 37</v>
      </c>
    </row>
    <row r="3648" customFormat="false" ht="12.8" hidden="false" customHeight="false" outlineLevel="0" collapsed="false">
      <c r="A3648" s="0" t="s">
        <v>12</v>
      </c>
      <c r="B3648" s="0" t="n">
        <v>1184950</v>
      </c>
      <c r="C3648" s="0" t="n">
        <v>1184970</v>
      </c>
      <c r="D3648" s="0" t="s">
        <v>12162</v>
      </c>
      <c r="E3648" s="0" t="s">
        <v>75</v>
      </c>
      <c r="F3648" s="0" t="s">
        <v>90</v>
      </c>
      <c r="G3648" s="0" t="s">
        <v>16</v>
      </c>
      <c r="H3648" s="0" t="n">
        <v>59</v>
      </c>
      <c r="I3648" s="0" t="s">
        <v>12169</v>
      </c>
      <c r="J3648" s="0" t="s">
        <v>12170</v>
      </c>
      <c r="K3648" s="0" t="s">
        <v>12171</v>
      </c>
      <c r="L3648" s="0" t="str">
        <f aca="false">HYPERLINK("https://www.ncbi.nlm.nih.gov/nuccore/CP000058.1?report=graph&amp;tracks=[key:gene_model_track,Options:GeneOnly]&amp;mk=1184994:1185013|offset_16|444444,1184973:1184992|offset_37|444444,1184951:1184970|offset_59|00cc00,1184931:1184950|offset_79|444444&amp;v=1184793:1185150&amp;c=444444", "offset 59")</f>
        <v>offset 59</v>
      </c>
    </row>
    <row r="3649" customFormat="false" ht="12.8" hidden="false" customHeight="false" outlineLevel="0" collapsed="false">
      <c r="A3649" s="0" t="s">
        <v>12</v>
      </c>
      <c r="B3649" s="0" t="n">
        <v>1184930</v>
      </c>
      <c r="C3649" s="0" t="n">
        <v>1184950</v>
      </c>
      <c r="D3649" s="0" t="s">
        <v>12162</v>
      </c>
      <c r="E3649" s="0" t="s">
        <v>75</v>
      </c>
      <c r="F3649" s="0" t="s">
        <v>90</v>
      </c>
      <c r="G3649" s="0" t="s">
        <v>32</v>
      </c>
      <c r="H3649" s="0" t="n">
        <v>79</v>
      </c>
      <c r="I3649" s="0" t="s">
        <v>12172</v>
      </c>
      <c r="J3649" s="0" t="s">
        <v>12173</v>
      </c>
      <c r="K3649" s="0" t="s">
        <v>12174</v>
      </c>
      <c r="L3649" s="0" t="str">
        <f aca="false">HYPERLINK("https://www.ncbi.nlm.nih.gov/nuccore/CP000058.1?report=graph&amp;tracks=[key:gene_model_track,Options:GeneOnly]&amp;mk=1184994:1185013|offset_16|444444,1184973:1184992|offset_37|444444,1184951:1184970|offset_59|444444,1184931:1184950|offset_79|00cc00&amp;v=1184793:1185150&amp;c=444444", "offset 79")</f>
        <v>offset 79</v>
      </c>
    </row>
    <row r="3650" customFormat="false" ht="12.8" hidden="false" customHeight="false" outlineLevel="0" collapsed="false">
      <c r="A3650" s="0" t="s">
        <v>12</v>
      </c>
      <c r="B3650" s="0" t="n">
        <v>1186068</v>
      </c>
      <c r="C3650" s="0" t="n">
        <v>1186088</v>
      </c>
      <c r="D3650" s="0" t="s">
        <v>12175</v>
      </c>
      <c r="E3650" s="0" t="s">
        <v>12176</v>
      </c>
      <c r="F3650" s="0" t="s">
        <v>90</v>
      </c>
      <c r="G3650" s="0" t="s">
        <v>32</v>
      </c>
      <c r="H3650" s="0" t="n">
        <v>7</v>
      </c>
      <c r="I3650" s="0" t="s">
        <v>12177</v>
      </c>
      <c r="J3650" s="0" t="s">
        <v>12178</v>
      </c>
      <c r="K3650" s="0" t="s">
        <v>12179</v>
      </c>
      <c r="L3650" s="0" t="str">
        <f aca="false">HYPERLINK("https://www.ncbi.nlm.nih.gov/nuccore/CP000058.1?report=graph&amp;tracks=[key:gene_model_track,Options:GeneOnly]&amp;mk=1186069:1186088|offset_7|00cc00,1186042:1186061|offset_34|444444,1185999:1186018|offset_77|444444,1185967:1185986|offset_109|444444&amp;v=1185868:1186186&amp;c=444444", "offset 7")</f>
        <v>offset 7</v>
      </c>
    </row>
    <row r="3651" customFormat="false" ht="12.8" hidden="false" customHeight="false" outlineLevel="0" collapsed="false">
      <c r="A3651" s="0" t="s">
        <v>12</v>
      </c>
      <c r="B3651" s="0" t="n">
        <v>1186041</v>
      </c>
      <c r="C3651" s="0" t="n">
        <v>1186061</v>
      </c>
      <c r="D3651" s="0" t="s">
        <v>12175</v>
      </c>
      <c r="E3651" s="0" t="s">
        <v>12176</v>
      </c>
      <c r="F3651" s="0" t="s">
        <v>90</v>
      </c>
      <c r="G3651" s="0" t="s">
        <v>32</v>
      </c>
      <c r="H3651" s="0" t="n">
        <v>34</v>
      </c>
      <c r="I3651" s="0" t="s">
        <v>12180</v>
      </c>
      <c r="J3651" s="0" t="s">
        <v>12181</v>
      </c>
      <c r="K3651" s="0" t="s">
        <v>12182</v>
      </c>
      <c r="L3651" s="0" t="str">
        <f aca="false">HYPERLINK("https://www.ncbi.nlm.nih.gov/nuccore/CP000058.1?report=graph&amp;tracks=[key:gene_model_track,Options:GeneOnly]&amp;mk=1186069:1186088|offset_7|444444,1186042:1186061|offset_34|00cc00,1185999:1186018|offset_77|444444,1185967:1185986|offset_109|444444&amp;v=1185868:1186186&amp;c=444444", "offset 34")</f>
        <v>offset 34</v>
      </c>
    </row>
    <row r="3652" customFormat="false" ht="12.8" hidden="false" customHeight="false" outlineLevel="0" collapsed="false">
      <c r="A3652" s="0" t="s">
        <v>12</v>
      </c>
      <c r="B3652" s="0" t="n">
        <v>1185998</v>
      </c>
      <c r="C3652" s="0" t="n">
        <v>1186018</v>
      </c>
      <c r="D3652" s="0" t="s">
        <v>12175</v>
      </c>
      <c r="E3652" s="0" t="s">
        <v>12176</v>
      </c>
      <c r="F3652" s="0" t="s">
        <v>90</v>
      </c>
      <c r="G3652" s="0" t="s">
        <v>36</v>
      </c>
      <c r="H3652" s="0" t="n">
        <v>77</v>
      </c>
      <c r="I3652" s="0" t="s">
        <v>12183</v>
      </c>
      <c r="J3652" s="0" t="s">
        <v>12184</v>
      </c>
      <c r="K3652" s="0" t="s">
        <v>12185</v>
      </c>
      <c r="L3652" s="0" t="str">
        <f aca="false">HYPERLINK("https://www.ncbi.nlm.nih.gov/nuccore/CP000058.1?report=graph&amp;tracks=[key:gene_model_track,Options:GeneOnly]&amp;mk=1186069:1186088|offset_7|444444,1186042:1186061|offset_34|444444,1185999:1186018|offset_77|00cc00,1185967:1185986|offset_109|444444&amp;v=1185868:1186186&amp;c=444444", "offset 77")</f>
        <v>offset 77</v>
      </c>
    </row>
    <row r="3653" customFormat="false" ht="12.8" hidden="false" customHeight="false" outlineLevel="0" collapsed="false">
      <c r="A3653" s="0" t="s">
        <v>12</v>
      </c>
      <c r="B3653" s="0" t="n">
        <v>1185966</v>
      </c>
      <c r="C3653" s="0" t="n">
        <v>1185986</v>
      </c>
      <c r="D3653" s="0" t="s">
        <v>12175</v>
      </c>
      <c r="E3653" s="0" t="s">
        <v>12176</v>
      </c>
      <c r="F3653" s="0" t="s">
        <v>90</v>
      </c>
      <c r="G3653" s="0" t="s">
        <v>16</v>
      </c>
      <c r="H3653" s="0" t="n">
        <v>109</v>
      </c>
      <c r="I3653" s="0" t="s">
        <v>12186</v>
      </c>
      <c r="J3653" s="0" t="s">
        <v>12187</v>
      </c>
      <c r="K3653" s="0" t="s">
        <v>12188</v>
      </c>
      <c r="L3653" s="0" t="str">
        <f aca="false">HYPERLINK("https://www.ncbi.nlm.nih.gov/nuccore/CP000058.1?report=graph&amp;tracks=[key:gene_model_track,Options:GeneOnly]&amp;mk=1186069:1186088|offset_7|444444,1186042:1186061|offset_34|444444,1185999:1186018|offset_77|444444,1185967:1185986|offset_109|00cc00&amp;v=1185868:1186186&amp;c=444444", "offset 109")</f>
        <v>offset 109</v>
      </c>
    </row>
    <row r="3654" customFormat="false" ht="12.8" hidden="false" customHeight="false" outlineLevel="0" collapsed="false">
      <c r="A3654" s="0" t="s">
        <v>12</v>
      </c>
      <c r="B3654" s="0" t="n">
        <v>1187098</v>
      </c>
      <c r="C3654" s="0" t="n">
        <v>1187118</v>
      </c>
      <c r="D3654" s="0" t="s">
        <v>12189</v>
      </c>
      <c r="E3654" s="0" t="s">
        <v>12190</v>
      </c>
      <c r="F3654" s="0" t="s">
        <v>90</v>
      </c>
      <c r="G3654" s="0" t="s">
        <v>32</v>
      </c>
      <c r="H3654" s="0" t="n">
        <v>1</v>
      </c>
      <c r="I3654" s="0" t="s">
        <v>12191</v>
      </c>
      <c r="J3654" s="0" t="s">
        <v>12192</v>
      </c>
      <c r="K3654" s="0" t="s">
        <v>12193</v>
      </c>
      <c r="L3654" s="0" t="str">
        <f aca="false">HYPERLINK("https://www.ncbi.nlm.nih.gov/nuccore/CP000058.1?report=graph&amp;tracks=[key:gene_model_track,Options:GeneOnly]&amp;mk=1187099:1187118|offset_1|00cc00,1187075:1187094|offset_25|444444,1187055:1187074|offset_45|444444,1187035:1187054|offset_65|444444&amp;v=1186898:1187254&amp;c=444444", "offset 1")</f>
        <v>offset 1</v>
      </c>
    </row>
    <row r="3655" customFormat="false" ht="12.8" hidden="false" customHeight="false" outlineLevel="0" collapsed="false">
      <c r="A3655" s="0" t="s">
        <v>12</v>
      </c>
      <c r="B3655" s="0" t="n">
        <v>1187074</v>
      </c>
      <c r="C3655" s="0" t="n">
        <v>1187094</v>
      </c>
      <c r="D3655" s="0" t="s">
        <v>12189</v>
      </c>
      <c r="E3655" s="0" t="s">
        <v>12190</v>
      </c>
      <c r="F3655" s="0" t="s">
        <v>90</v>
      </c>
      <c r="G3655" s="0" t="s">
        <v>32</v>
      </c>
      <c r="H3655" s="0" t="n">
        <v>25</v>
      </c>
      <c r="I3655" s="0" t="s">
        <v>12194</v>
      </c>
      <c r="J3655" s="0" t="s">
        <v>12195</v>
      </c>
      <c r="K3655" s="0" t="s">
        <v>12196</v>
      </c>
      <c r="L3655" s="0" t="str">
        <f aca="false">HYPERLINK("https://www.ncbi.nlm.nih.gov/nuccore/CP000058.1?report=graph&amp;tracks=[key:gene_model_track,Options:GeneOnly]&amp;mk=1187099:1187118|offset_1|444444,1187075:1187094|offset_25|00cc00,1187055:1187074|offset_45|444444,1187035:1187054|offset_65|444444&amp;v=1186898:1187254&amp;c=444444", "offset 25")</f>
        <v>offset 25</v>
      </c>
    </row>
    <row r="3656" customFormat="false" ht="12.8" hidden="false" customHeight="false" outlineLevel="0" collapsed="false">
      <c r="A3656" s="0" t="s">
        <v>12</v>
      </c>
      <c r="B3656" s="0" t="n">
        <v>1187054</v>
      </c>
      <c r="C3656" s="0" t="n">
        <v>1187074</v>
      </c>
      <c r="D3656" s="0" t="s">
        <v>12189</v>
      </c>
      <c r="E3656" s="0" t="s">
        <v>12190</v>
      </c>
      <c r="F3656" s="0" t="s">
        <v>90</v>
      </c>
      <c r="G3656" s="0" t="s">
        <v>20</v>
      </c>
      <c r="H3656" s="0" t="n">
        <v>45</v>
      </c>
      <c r="I3656" s="0" t="s">
        <v>12197</v>
      </c>
      <c r="J3656" s="0" t="s">
        <v>12198</v>
      </c>
      <c r="K3656" s="0" t="s">
        <v>12199</v>
      </c>
      <c r="L3656" s="0" t="str">
        <f aca="false">HYPERLINK("https://www.ncbi.nlm.nih.gov/nuccore/CP000058.1?report=graph&amp;tracks=[key:gene_model_track,Options:GeneOnly]&amp;mk=1187099:1187118|offset_1|444444,1187075:1187094|offset_25|444444,1187055:1187074|offset_45|00cc00,1187035:1187054|offset_65|444444&amp;v=1186898:1187254&amp;c=444444", "offset 45")</f>
        <v>offset 45</v>
      </c>
    </row>
    <row r="3657" customFormat="false" ht="12.8" hidden="false" customHeight="false" outlineLevel="0" collapsed="false">
      <c r="A3657" s="0" t="s">
        <v>12</v>
      </c>
      <c r="B3657" s="0" t="n">
        <v>1187034</v>
      </c>
      <c r="C3657" s="0" t="n">
        <v>1187054</v>
      </c>
      <c r="D3657" s="0" t="s">
        <v>12189</v>
      </c>
      <c r="E3657" s="0" t="s">
        <v>12190</v>
      </c>
      <c r="F3657" s="0" t="s">
        <v>90</v>
      </c>
      <c r="G3657" s="0" t="s">
        <v>20</v>
      </c>
      <c r="H3657" s="0" t="n">
        <v>65</v>
      </c>
      <c r="I3657" s="0" t="s">
        <v>12200</v>
      </c>
      <c r="J3657" s="0" t="s">
        <v>12201</v>
      </c>
      <c r="K3657" s="0" t="s">
        <v>12202</v>
      </c>
      <c r="L3657" s="0" t="str">
        <f aca="false">HYPERLINK("https://www.ncbi.nlm.nih.gov/nuccore/CP000058.1?report=graph&amp;tracks=[key:gene_model_track,Options:GeneOnly]&amp;mk=1187099:1187118|offset_1|444444,1187075:1187094|offset_25|444444,1187055:1187074|offset_45|444444,1187035:1187054|offset_65|00cc00&amp;v=1186898:1187254&amp;c=444444", "offset 65")</f>
        <v>offset 65</v>
      </c>
    </row>
    <row r="3658" customFormat="false" ht="12.8" hidden="false" customHeight="false" outlineLevel="0" collapsed="false">
      <c r="A3658" s="0" t="s">
        <v>12</v>
      </c>
      <c r="B3658" s="0" t="n">
        <v>1187705</v>
      </c>
      <c r="C3658" s="0" t="n">
        <v>1187725</v>
      </c>
      <c r="D3658" s="0" t="s">
        <v>12203</v>
      </c>
      <c r="E3658" s="0" t="s">
        <v>12204</v>
      </c>
      <c r="F3658" s="0" t="s">
        <v>90</v>
      </c>
      <c r="G3658" s="0" t="s">
        <v>32</v>
      </c>
      <c r="H3658" s="0" t="n">
        <v>14</v>
      </c>
      <c r="I3658" s="0" t="s">
        <v>12205</v>
      </c>
      <c r="J3658" s="0" t="s">
        <v>12206</v>
      </c>
      <c r="K3658" s="0" t="s">
        <v>12207</v>
      </c>
      <c r="L3658" s="0" t="str">
        <f aca="false">HYPERLINK("https://www.ncbi.nlm.nih.gov/nuccore/CP000058.1?report=graph&amp;tracks=[key:gene_model_track,Options:GeneOnly]&amp;mk=1187706:1187725|offset_14|00cc00,1187679:1187698|offset_41|444444,1187650:1187669|offset_70|444444,1187622:1187641|offset_98|444444&amp;v=1187505:1187841&amp;c=444444", "offset 14")</f>
        <v>offset 14</v>
      </c>
    </row>
    <row r="3659" customFormat="false" ht="12.8" hidden="false" customHeight="false" outlineLevel="0" collapsed="false">
      <c r="A3659" s="0" t="s">
        <v>12</v>
      </c>
      <c r="B3659" s="0" t="n">
        <v>1187678</v>
      </c>
      <c r="C3659" s="0" t="n">
        <v>1187698</v>
      </c>
      <c r="D3659" s="0" t="s">
        <v>12203</v>
      </c>
      <c r="E3659" s="0" t="s">
        <v>12204</v>
      </c>
      <c r="F3659" s="0" t="s">
        <v>90</v>
      </c>
      <c r="G3659" s="0" t="s">
        <v>20</v>
      </c>
      <c r="H3659" s="0" t="n">
        <v>41</v>
      </c>
      <c r="I3659" s="0" t="s">
        <v>12208</v>
      </c>
      <c r="J3659" s="0" t="s">
        <v>12209</v>
      </c>
      <c r="K3659" s="0" t="s">
        <v>12210</v>
      </c>
      <c r="L3659" s="0" t="str">
        <f aca="false">HYPERLINK("https://www.ncbi.nlm.nih.gov/nuccore/CP000058.1?report=graph&amp;tracks=[key:gene_model_track,Options:GeneOnly]&amp;mk=1187706:1187725|offset_14|444444,1187679:1187698|offset_41|00cc00,1187650:1187669|offset_70|444444,1187622:1187641|offset_98|444444&amp;v=1187505:1187841&amp;c=444444", "offset 41")</f>
        <v>offset 41</v>
      </c>
    </row>
    <row r="3660" customFormat="false" ht="12.8" hidden="false" customHeight="false" outlineLevel="0" collapsed="false">
      <c r="A3660" s="0" t="s">
        <v>12</v>
      </c>
      <c r="B3660" s="0" t="n">
        <v>1187649</v>
      </c>
      <c r="C3660" s="0" t="n">
        <v>1187669</v>
      </c>
      <c r="D3660" s="0" t="s">
        <v>12203</v>
      </c>
      <c r="E3660" s="0" t="s">
        <v>12204</v>
      </c>
      <c r="F3660" s="0" t="s">
        <v>90</v>
      </c>
      <c r="G3660" s="0" t="s">
        <v>36</v>
      </c>
      <c r="H3660" s="0" t="n">
        <v>70</v>
      </c>
      <c r="I3660" s="0" t="s">
        <v>12211</v>
      </c>
      <c r="J3660" s="0" t="s">
        <v>12212</v>
      </c>
      <c r="K3660" s="0" t="s">
        <v>12213</v>
      </c>
      <c r="L3660" s="0" t="str">
        <f aca="false">HYPERLINK("https://www.ncbi.nlm.nih.gov/nuccore/CP000058.1?report=graph&amp;tracks=[key:gene_model_track,Options:GeneOnly]&amp;mk=1187706:1187725|offset_14|444444,1187679:1187698|offset_41|444444,1187650:1187669|offset_70|00cc00,1187622:1187641|offset_98|444444&amp;v=1187505:1187841&amp;c=444444", "offset 70")</f>
        <v>offset 70</v>
      </c>
    </row>
    <row r="3661" customFormat="false" ht="12.8" hidden="false" customHeight="false" outlineLevel="0" collapsed="false">
      <c r="A3661" s="0" t="s">
        <v>12</v>
      </c>
      <c r="B3661" s="0" t="n">
        <v>1187621</v>
      </c>
      <c r="C3661" s="0" t="n">
        <v>1187641</v>
      </c>
      <c r="D3661" s="0" t="s">
        <v>12203</v>
      </c>
      <c r="E3661" s="0" t="s">
        <v>12204</v>
      </c>
      <c r="F3661" s="0" t="s">
        <v>90</v>
      </c>
      <c r="G3661" s="0" t="s">
        <v>36</v>
      </c>
      <c r="H3661" s="0" t="n">
        <v>98</v>
      </c>
      <c r="I3661" s="0" t="s">
        <v>12214</v>
      </c>
      <c r="J3661" s="0" t="s">
        <v>12215</v>
      </c>
      <c r="K3661" s="0" t="s">
        <v>12216</v>
      </c>
      <c r="L3661" s="0" t="str">
        <f aca="false">HYPERLINK("https://www.ncbi.nlm.nih.gov/nuccore/CP000058.1?report=graph&amp;tracks=[key:gene_model_track,Options:GeneOnly]&amp;mk=1187706:1187725|offset_14|444444,1187679:1187698|offset_41|444444,1187650:1187669|offset_70|444444,1187622:1187641|offset_98|00cc00&amp;v=1187505:1187841&amp;c=444444", "offset 98")</f>
        <v>offset 98</v>
      </c>
    </row>
    <row r="3662" customFormat="false" ht="12.8" hidden="false" customHeight="false" outlineLevel="0" collapsed="false">
      <c r="A3662" s="0" t="s">
        <v>12</v>
      </c>
      <c r="B3662" s="0" t="n">
        <v>1189521</v>
      </c>
      <c r="C3662" s="0" t="n">
        <v>1189541</v>
      </c>
      <c r="D3662" s="0" t="s">
        <v>12217</v>
      </c>
      <c r="E3662" s="0" t="s">
        <v>75</v>
      </c>
      <c r="F3662" s="0" t="s">
        <v>90</v>
      </c>
      <c r="G3662" s="0" t="s">
        <v>16</v>
      </c>
      <c r="H3662" s="0" t="n">
        <v>17</v>
      </c>
      <c r="I3662" s="0" t="s">
        <v>12218</v>
      </c>
      <c r="J3662" s="0" t="s">
        <v>12219</v>
      </c>
      <c r="K3662" s="0" t="s">
        <v>12220</v>
      </c>
      <c r="L3662" s="0" t="str">
        <f aca="false">HYPERLINK("https://www.ncbi.nlm.nih.gov/nuccore/CP000058.1?report=graph&amp;tracks=[key:gene_model_track,Options:GeneOnly]&amp;mk=1189522:1189541|offset_17|00cc00,1189496:1189515|offset_43|444444,1189475:1189494|offset_64|444444,1189439:1189458|offset_100|444444&amp;v=1189321:1189658&amp;c=444444", "offset 17")</f>
        <v>offset 17</v>
      </c>
    </row>
    <row r="3663" customFormat="false" ht="12.8" hidden="false" customHeight="false" outlineLevel="0" collapsed="false">
      <c r="A3663" s="0" t="s">
        <v>12</v>
      </c>
      <c r="B3663" s="0" t="n">
        <v>1189495</v>
      </c>
      <c r="C3663" s="0" t="n">
        <v>1189515</v>
      </c>
      <c r="D3663" s="0" t="s">
        <v>12217</v>
      </c>
      <c r="E3663" s="0" t="s">
        <v>75</v>
      </c>
      <c r="F3663" s="0" t="s">
        <v>90</v>
      </c>
      <c r="G3663" s="0" t="s">
        <v>20</v>
      </c>
      <c r="H3663" s="0" t="n">
        <v>43</v>
      </c>
      <c r="I3663" s="0" t="s">
        <v>12221</v>
      </c>
      <c r="J3663" s="0" t="s">
        <v>12222</v>
      </c>
      <c r="K3663" s="0" t="s">
        <v>12223</v>
      </c>
      <c r="L3663" s="0" t="str">
        <f aca="false">HYPERLINK("https://www.ncbi.nlm.nih.gov/nuccore/CP000058.1?report=graph&amp;tracks=[key:gene_model_track,Options:GeneOnly]&amp;mk=1189522:1189541|offset_17|444444,1189496:1189515|offset_43|00cc00,1189475:1189494|offset_64|444444,1189439:1189458|offset_100|444444&amp;v=1189321:1189658&amp;c=444444", "offset 43")</f>
        <v>offset 43</v>
      </c>
    </row>
    <row r="3664" customFormat="false" ht="12.8" hidden="false" customHeight="false" outlineLevel="0" collapsed="false">
      <c r="A3664" s="0" t="s">
        <v>12</v>
      </c>
      <c r="B3664" s="0" t="n">
        <v>1189474</v>
      </c>
      <c r="C3664" s="0" t="n">
        <v>1189494</v>
      </c>
      <c r="D3664" s="0" t="s">
        <v>12217</v>
      </c>
      <c r="E3664" s="0" t="s">
        <v>75</v>
      </c>
      <c r="F3664" s="0" t="s">
        <v>90</v>
      </c>
      <c r="G3664" s="0" t="s">
        <v>16</v>
      </c>
      <c r="H3664" s="0" t="n">
        <v>64</v>
      </c>
      <c r="I3664" s="0" t="s">
        <v>12224</v>
      </c>
      <c r="J3664" s="0" t="s">
        <v>12225</v>
      </c>
      <c r="K3664" s="0" t="s">
        <v>12226</v>
      </c>
      <c r="L3664" s="0" t="str">
        <f aca="false">HYPERLINK("https://www.ncbi.nlm.nih.gov/nuccore/CP000058.1?report=graph&amp;tracks=[key:gene_model_track,Options:GeneOnly]&amp;mk=1189522:1189541|offset_17|444444,1189496:1189515|offset_43|444444,1189475:1189494|offset_64|00cc00,1189439:1189458|offset_100|444444&amp;v=1189321:1189658&amp;c=444444", "offset 64")</f>
        <v>offset 64</v>
      </c>
    </row>
    <row r="3665" customFormat="false" ht="12.8" hidden="false" customHeight="false" outlineLevel="0" collapsed="false">
      <c r="A3665" s="0" t="s">
        <v>12</v>
      </c>
      <c r="B3665" s="0" t="n">
        <v>1189438</v>
      </c>
      <c r="C3665" s="0" t="n">
        <v>1189458</v>
      </c>
      <c r="D3665" s="0" t="s">
        <v>12217</v>
      </c>
      <c r="E3665" s="0" t="s">
        <v>75</v>
      </c>
      <c r="F3665" s="0" t="s">
        <v>90</v>
      </c>
      <c r="G3665" s="0" t="s">
        <v>20</v>
      </c>
      <c r="H3665" s="0" t="n">
        <v>100</v>
      </c>
      <c r="I3665" s="0" t="s">
        <v>12227</v>
      </c>
      <c r="J3665" s="0" t="s">
        <v>12228</v>
      </c>
      <c r="K3665" s="0" t="s">
        <v>12229</v>
      </c>
      <c r="L3665" s="0" t="str">
        <f aca="false">HYPERLINK("https://www.ncbi.nlm.nih.gov/nuccore/CP000058.1?report=graph&amp;tracks=[key:gene_model_track,Options:GeneOnly]&amp;mk=1189522:1189541|offset_17|444444,1189496:1189515|offset_43|444444,1189475:1189494|offset_64|444444,1189439:1189458|offset_100|00cc00&amp;v=1189321:1189658&amp;c=444444", "offset 100")</f>
        <v>offset 100</v>
      </c>
    </row>
    <row r="3666" customFormat="false" ht="12.8" hidden="false" customHeight="false" outlineLevel="0" collapsed="false">
      <c r="A3666" s="0" t="s">
        <v>12</v>
      </c>
      <c r="B3666" s="0" t="n">
        <v>1189704</v>
      </c>
      <c r="C3666" s="0" t="n">
        <v>1189724</v>
      </c>
      <c r="D3666" s="0" t="s">
        <v>12230</v>
      </c>
      <c r="E3666" s="0" t="s">
        <v>12231</v>
      </c>
      <c r="F3666" s="0" t="s">
        <v>15</v>
      </c>
      <c r="G3666" s="0" t="s">
        <v>20</v>
      </c>
      <c r="H3666" s="0" t="n">
        <v>7</v>
      </c>
      <c r="I3666" s="0" t="s">
        <v>12232</v>
      </c>
      <c r="J3666" s="0" t="s">
        <v>12233</v>
      </c>
      <c r="K3666" s="0" t="s">
        <v>12234</v>
      </c>
      <c r="L3666" s="0" t="str">
        <f aca="false">HYPERLINK("https://www.ncbi.nlm.nih.gov/nuccore/CP000058.1?report=graph&amp;tracks=[key:gene_model_track,Options:GeneOnly]&amp;mk=1189705:1189724|offset_7|00cc00,1189735:1189754|offset_37|444444,1189771:1189790|offset_73|444444,1189808:1189827|offset_110|444444&amp;v=1189504:1190027&amp;c=444444", "offset 7")</f>
        <v>offset 7</v>
      </c>
    </row>
    <row r="3667" customFormat="false" ht="12.8" hidden="false" customHeight="false" outlineLevel="0" collapsed="false">
      <c r="A3667" s="0" t="s">
        <v>12</v>
      </c>
      <c r="B3667" s="0" t="n">
        <v>1189734</v>
      </c>
      <c r="C3667" s="0" t="n">
        <v>1189754</v>
      </c>
      <c r="D3667" s="0" t="s">
        <v>12230</v>
      </c>
      <c r="E3667" s="0" t="s">
        <v>12231</v>
      </c>
      <c r="F3667" s="0" t="s">
        <v>15</v>
      </c>
      <c r="G3667" s="0" t="s">
        <v>16</v>
      </c>
      <c r="H3667" s="0" t="n">
        <v>37</v>
      </c>
      <c r="I3667" s="0" t="s">
        <v>12235</v>
      </c>
      <c r="J3667" s="0" t="s">
        <v>12236</v>
      </c>
      <c r="K3667" s="0" t="s">
        <v>12237</v>
      </c>
      <c r="L3667" s="0" t="str">
        <f aca="false">HYPERLINK("https://www.ncbi.nlm.nih.gov/nuccore/CP000058.1?report=graph&amp;tracks=[key:gene_model_track,Options:GeneOnly]&amp;mk=1189705:1189724|offset_7|444444,1189735:1189754|offset_37|00cc00,1189771:1189790|offset_73|444444,1189808:1189827|offset_110|444444&amp;v=1189504:1190027&amp;c=444444", "offset 37")</f>
        <v>offset 37</v>
      </c>
    </row>
    <row r="3668" customFormat="false" ht="12.8" hidden="false" customHeight="false" outlineLevel="0" collapsed="false">
      <c r="A3668" s="0" t="s">
        <v>12</v>
      </c>
      <c r="B3668" s="0" t="n">
        <v>1189770</v>
      </c>
      <c r="C3668" s="0" t="n">
        <v>1189790</v>
      </c>
      <c r="D3668" s="0" t="s">
        <v>12230</v>
      </c>
      <c r="E3668" s="0" t="s">
        <v>12231</v>
      </c>
      <c r="F3668" s="0" t="s">
        <v>15</v>
      </c>
      <c r="G3668" s="0" t="s">
        <v>36</v>
      </c>
      <c r="H3668" s="0" t="n">
        <v>73</v>
      </c>
      <c r="I3668" s="0" t="s">
        <v>12238</v>
      </c>
      <c r="J3668" s="0" t="s">
        <v>12239</v>
      </c>
      <c r="K3668" s="0" t="s">
        <v>12240</v>
      </c>
      <c r="L3668" s="0" t="str">
        <f aca="false">HYPERLINK("https://www.ncbi.nlm.nih.gov/nuccore/CP000058.1?report=graph&amp;tracks=[key:gene_model_track,Options:GeneOnly]&amp;mk=1189705:1189724|offset_7|444444,1189735:1189754|offset_37|444444,1189771:1189790|offset_73|00cc00,1189808:1189827|offset_110|444444&amp;v=1189504:1190027&amp;c=444444", "offset 73")</f>
        <v>offset 73</v>
      </c>
    </row>
    <row r="3669" customFormat="false" ht="12.8" hidden="false" customHeight="false" outlineLevel="0" collapsed="false">
      <c r="A3669" s="0" t="s">
        <v>12</v>
      </c>
      <c r="B3669" s="0" t="n">
        <v>1189807</v>
      </c>
      <c r="C3669" s="0" t="n">
        <v>1189827</v>
      </c>
      <c r="D3669" s="0" t="s">
        <v>12230</v>
      </c>
      <c r="E3669" s="0" t="s">
        <v>12231</v>
      </c>
      <c r="F3669" s="0" t="s">
        <v>15</v>
      </c>
      <c r="G3669" s="0" t="s">
        <v>32</v>
      </c>
      <c r="H3669" s="0" t="n">
        <v>110</v>
      </c>
      <c r="I3669" s="0" t="s">
        <v>12241</v>
      </c>
      <c r="J3669" s="0" t="s">
        <v>12242</v>
      </c>
      <c r="K3669" s="0" t="s">
        <v>12243</v>
      </c>
      <c r="L3669" s="0" t="str">
        <f aca="false">HYPERLINK("https://www.ncbi.nlm.nih.gov/nuccore/CP000058.1?report=graph&amp;tracks=[key:gene_model_track,Options:GeneOnly]&amp;mk=1189705:1189724|offset_7|444444,1189735:1189754|offset_37|444444,1189771:1189790|offset_73|444444,1189808:1189827|offset_110|00cc00&amp;v=1189504:1190027&amp;c=444444", "offset 110")</f>
        <v>offset 110</v>
      </c>
    </row>
    <row r="3670" customFormat="false" ht="12.8" hidden="false" customHeight="false" outlineLevel="0" collapsed="false">
      <c r="A3670" s="0" t="s">
        <v>12</v>
      </c>
      <c r="B3670" s="0" t="n">
        <v>1191006</v>
      </c>
      <c r="C3670" s="0" t="n">
        <v>1191026</v>
      </c>
      <c r="D3670" s="0" t="s">
        <v>12244</v>
      </c>
      <c r="E3670" s="0" t="s">
        <v>12245</v>
      </c>
      <c r="F3670" s="0" t="s">
        <v>15</v>
      </c>
      <c r="G3670" s="0" t="s">
        <v>20</v>
      </c>
      <c r="H3670" s="0" t="n">
        <v>35</v>
      </c>
      <c r="I3670" s="0" t="s">
        <v>12246</v>
      </c>
      <c r="J3670" s="0" t="s">
        <v>12247</v>
      </c>
      <c r="K3670" s="0" t="s">
        <v>12248</v>
      </c>
      <c r="L3670" s="0" t="str">
        <f aca="false">HYPERLINK("https://www.ncbi.nlm.nih.gov/nuccore/CP000058.1?report=graph&amp;tracks=[key:gene_model_track,Options:GeneOnly]&amp;mk=1191007:1191026|offset_35|00cc00,1191033:1191052|offset_61|444444,1191084:1191103|offset_112|444444,1191113:1191132|offset_141|444444&amp;v=1190806:1191332&amp;c=444444", "offset 35")</f>
        <v>offset 35</v>
      </c>
    </row>
    <row r="3671" customFormat="false" ht="12.8" hidden="false" customHeight="false" outlineLevel="0" collapsed="false">
      <c r="A3671" s="0" t="s">
        <v>12</v>
      </c>
      <c r="B3671" s="0" t="n">
        <v>1191032</v>
      </c>
      <c r="C3671" s="0" t="n">
        <v>1191052</v>
      </c>
      <c r="D3671" s="0" t="s">
        <v>12244</v>
      </c>
      <c r="E3671" s="0" t="s">
        <v>12245</v>
      </c>
      <c r="F3671" s="0" t="s">
        <v>15</v>
      </c>
      <c r="G3671" s="0" t="s">
        <v>16</v>
      </c>
      <c r="H3671" s="0" t="n">
        <v>61</v>
      </c>
      <c r="I3671" s="0" t="s">
        <v>12249</v>
      </c>
      <c r="J3671" s="0" t="s">
        <v>12250</v>
      </c>
      <c r="K3671" s="0" t="s">
        <v>12251</v>
      </c>
      <c r="L3671" s="0" t="str">
        <f aca="false">HYPERLINK("https://www.ncbi.nlm.nih.gov/nuccore/CP000058.1?report=graph&amp;tracks=[key:gene_model_track,Options:GeneOnly]&amp;mk=1191007:1191026|offset_35|444444,1191033:1191052|offset_61|00cc00,1191084:1191103|offset_112|444444,1191113:1191132|offset_141|444444&amp;v=1190806:1191332&amp;c=444444", "offset 61")</f>
        <v>offset 61</v>
      </c>
    </row>
    <row r="3672" customFormat="false" ht="12.8" hidden="false" customHeight="false" outlineLevel="0" collapsed="false">
      <c r="A3672" s="0" t="s">
        <v>12</v>
      </c>
      <c r="B3672" s="0" t="n">
        <v>1191083</v>
      </c>
      <c r="C3672" s="0" t="n">
        <v>1191103</v>
      </c>
      <c r="D3672" s="0" t="s">
        <v>12244</v>
      </c>
      <c r="E3672" s="0" t="s">
        <v>12245</v>
      </c>
      <c r="F3672" s="0" t="s">
        <v>15</v>
      </c>
      <c r="G3672" s="0" t="s">
        <v>20</v>
      </c>
      <c r="H3672" s="0" t="n">
        <v>112</v>
      </c>
      <c r="I3672" s="0" t="s">
        <v>12252</v>
      </c>
      <c r="J3672" s="0" t="s">
        <v>12253</v>
      </c>
      <c r="K3672" s="0" t="s">
        <v>12254</v>
      </c>
      <c r="L3672" s="0" t="str">
        <f aca="false">HYPERLINK("https://www.ncbi.nlm.nih.gov/nuccore/CP000058.1?report=graph&amp;tracks=[key:gene_model_track,Options:GeneOnly]&amp;mk=1191007:1191026|offset_35|444444,1191033:1191052|offset_61|444444,1191084:1191103|offset_112|00cc00,1191113:1191132|offset_141|444444&amp;v=1190806:1191332&amp;c=444444", "offset 112")</f>
        <v>offset 112</v>
      </c>
    </row>
    <row r="3673" customFormat="false" ht="12.8" hidden="false" customHeight="false" outlineLevel="0" collapsed="false">
      <c r="A3673" s="0" t="s">
        <v>12</v>
      </c>
      <c r="B3673" s="0" t="n">
        <v>1191112</v>
      </c>
      <c r="C3673" s="0" t="n">
        <v>1191132</v>
      </c>
      <c r="D3673" s="0" t="s">
        <v>12244</v>
      </c>
      <c r="E3673" s="0" t="s">
        <v>12245</v>
      </c>
      <c r="F3673" s="0" t="s">
        <v>15</v>
      </c>
      <c r="G3673" s="0" t="s">
        <v>16</v>
      </c>
      <c r="H3673" s="0" t="n">
        <v>141</v>
      </c>
      <c r="I3673" s="0" t="s">
        <v>12255</v>
      </c>
      <c r="J3673" s="0" t="s">
        <v>12256</v>
      </c>
      <c r="K3673" s="0" t="s">
        <v>12257</v>
      </c>
      <c r="L3673" s="0" t="str">
        <f aca="false">HYPERLINK("https://www.ncbi.nlm.nih.gov/nuccore/CP000058.1?report=graph&amp;tracks=[key:gene_model_track,Options:GeneOnly]&amp;mk=1191007:1191026|offset_35|444444,1191033:1191052|offset_61|444444,1191084:1191103|offset_112|444444,1191113:1191132|offset_141|00cc00&amp;v=1190806:1191332&amp;c=444444", "offset 141")</f>
        <v>offset 141</v>
      </c>
    </row>
    <row r="3674" customFormat="false" ht="12.8" hidden="false" customHeight="false" outlineLevel="0" collapsed="false">
      <c r="A3674" s="0" t="s">
        <v>12</v>
      </c>
      <c r="B3674" s="0" t="n">
        <v>1192061</v>
      </c>
      <c r="C3674" s="0" t="n">
        <v>1192081</v>
      </c>
      <c r="D3674" s="0" t="s">
        <v>12258</v>
      </c>
      <c r="E3674" s="0" t="s">
        <v>12259</v>
      </c>
      <c r="F3674" s="0" t="s">
        <v>15</v>
      </c>
      <c r="G3674" s="0" t="s">
        <v>32</v>
      </c>
      <c r="H3674" s="0" t="n">
        <v>7</v>
      </c>
      <c r="I3674" s="0" t="s">
        <v>12260</v>
      </c>
      <c r="J3674" s="0" t="s">
        <v>12261</v>
      </c>
      <c r="K3674" s="0" t="s">
        <v>12262</v>
      </c>
      <c r="L3674" s="0" t="str">
        <f aca="false">HYPERLINK("https://www.ncbi.nlm.nih.gov/nuccore/CP000058.1?report=graph&amp;tracks=[key:gene_model_track,Options:GeneOnly]&amp;mk=1192062:1192081|offset_7|00cc00,1192089:1192108|offset_34|444444,1192110:1192129|offset_55|444444,1192157:1192176|offset_102|444444&amp;v=1191861:1192376&amp;c=444444", "offset 7")</f>
        <v>offset 7</v>
      </c>
    </row>
    <row r="3675" customFormat="false" ht="12.8" hidden="false" customHeight="false" outlineLevel="0" collapsed="false">
      <c r="A3675" s="0" t="s">
        <v>12</v>
      </c>
      <c r="B3675" s="0" t="n">
        <v>1192088</v>
      </c>
      <c r="C3675" s="0" t="n">
        <v>1192108</v>
      </c>
      <c r="D3675" s="0" t="s">
        <v>12258</v>
      </c>
      <c r="E3675" s="0" t="s">
        <v>12259</v>
      </c>
      <c r="F3675" s="0" t="s">
        <v>15</v>
      </c>
      <c r="G3675" s="0" t="s">
        <v>16</v>
      </c>
      <c r="H3675" s="0" t="n">
        <v>34</v>
      </c>
      <c r="I3675" s="0" t="s">
        <v>12263</v>
      </c>
      <c r="J3675" s="0" t="s">
        <v>12264</v>
      </c>
      <c r="K3675" s="0" t="s">
        <v>12265</v>
      </c>
      <c r="L3675" s="0" t="str">
        <f aca="false">HYPERLINK("https://www.ncbi.nlm.nih.gov/nuccore/CP000058.1?report=graph&amp;tracks=[key:gene_model_track,Options:GeneOnly]&amp;mk=1192062:1192081|offset_7|444444,1192089:1192108|offset_34|00cc00,1192110:1192129|offset_55|444444,1192157:1192176|offset_102|444444&amp;v=1191861:1192376&amp;c=444444", "offset 34")</f>
        <v>offset 34</v>
      </c>
    </row>
    <row r="3676" customFormat="false" ht="12.8" hidden="false" customHeight="false" outlineLevel="0" collapsed="false">
      <c r="A3676" s="0" t="s">
        <v>12</v>
      </c>
      <c r="B3676" s="0" t="n">
        <v>1192109</v>
      </c>
      <c r="C3676" s="0" t="n">
        <v>1192129</v>
      </c>
      <c r="D3676" s="0" t="s">
        <v>12258</v>
      </c>
      <c r="E3676" s="0" t="s">
        <v>12259</v>
      </c>
      <c r="F3676" s="0" t="s">
        <v>15</v>
      </c>
      <c r="G3676" s="0" t="s">
        <v>16</v>
      </c>
      <c r="H3676" s="0" t="n">
        <v>55</v>
      </c>
      <c r="I3676" s="0" t="s">
        <v>12266</v>
      </c>
      <c r="J3676" s="0" t="s">
        <v>12267</v>
      </c>
      <c r="K3676" s="0" t="s">
        <v>12268</v>
      </c>
      <c r="L3676" s="0" t="str">
        <f aca="false">HYPERLINK("https://www.ncbi.nlm.nih.gov/nuccore/CP000058.1?report=graph&amp;tracks=[key:gene_model_track,Options:GeneOnly]&amp;mk=1192062:1192081|offset_7|444444,1192089:1192108|offset_34|444444,1192110:1192129|offset_55|00cc00,1192157:1192176|offset_102|444444&amp;v=1191861:1192376&amp;c=444444", "offset 55")</f>
        <v>offset 55</v>
      </c>
    </row>
    <row r="3677" customFormat="false" ht="12.8" hidden="false" customHeight="false" outlineLevel="0" collapsed="false">
      <c r="A3677" s="0" t="s">
        <v>12</v>
      </c>
      <c r="B3677" s="0" t="n">
        <v>1192156</v>
      </c>
      <c r="C3677" s="0" t="n">
        <v>1192176</v>
      </c>
      <c r="D3677" s="0" t="s">
        <v>12258</v>
      </c>
      <c r="E3677" s="0" t="s">
        <v>12259</v>
      </c>
      <c r="F3677" s="0" t="s">
        <v>15</v>
      </c>
      <c r="G3677" s="0" t="s">
        <v>16</v>
      </c>
      <c r="H3677" s="0" t="n">
        <v>102</v>
      </c>
      <c r="I3677" s="0" t="s">
        <v>12269</v>
      </c>
      <c r="J3677" s="0" t="s">
        <v>12270</v>
      </c>
      <c r="K3677" s="0" t="s">
        <v>12271</v>
      </c>
      <c r="L3677" s="0" t="str">
        <f aca="false">HYPERLINK("https://www.ncbi.nlm.nih.gov/nuccore/CP000058.1?report=graph&amp;tracks=[key:gene_model_track,Options:GeneOnly]&amp;mk=1192062:1192081|offset_7|444444,1192089:1192108|offset_34|444444,1192110:1192129|offset_55|444444,1192157:1192176|offset_102|00cc00&amp;v=1191861:1192376&amp;c=444444", "offset 102")</f>
        <v>offset 102</v>
      </c>
    </row>
    <row r="3678" customFormat="false" ht="12.8" hidden="false" customHeight="false" outlineLevel="0" collapsed="false">
      <c r="A3678" s="0" t="s">
        <v>12</v>
      </c>
      <c r="B3678" s="0" t="n">
        <v>1192919</v>
      </c>
      <c r="C3678" s="0" t="n">
        <v>1192939</v>
      </c>
      <c r="D3678" s="0" t="s">
        <v>12272</v>
      </c>
      <c r="E3678" s="0" t="s">
        <v>75</v>
      </c>
      <c r="F3678" s="0" t="s">
        <v>15</v>
      </c>
      <c r="G3678" s="0" t="s">
        <v>32</v>
      </c>
      <c r="H3678" s="0" t="n">
        <v>47</v>
      </c>
      <c r="I3678" s="0" t="s">
        <v>12273</v>
      </c>
      <c r="J3678" s="0" t="s">
        <v>12274</v>
      </c>
      <c r="K3678" s="0" t="s">
        <v>12275</v>
      </c>
      <c r="L3678" s="0" t="str">
        <f aca="false">HYPERLINK("https://www.ncbi.nlm.nih.gov/nuccore/CP000058.1?report=graph&amp;tracks=[key:gene_model_track,Options:GeneOnly]&amp;mk=1192920:1192939|offset_47|00cc00,1192953:1192972|offset_80|444444,1193011:1193030|offset_138|444444,1193079:1193098|offset_206|444444&amp;v=1192719:1193298&amp;c=444444", "offset 47")</f>
        <v>offset 47</v>
      </c>
    </row>
    <row r="3679" customFormat="false" ht="12.8" hidden="false" customHeight="false" outlineLevel="0" collapsed="false">
      <c r="A3679" s="0" t="s">
        <v>12</v>
      </c>
      <c r="B3679" s="0" t="n">
        <v>1192952</v>
      </c>
      <c r="C3679" s="0" t="n">
        <v>1192972</v>
      </c>
      <c r="D3679" s="0" t="s">
        <v>12272</v>
      </c>
      <c r="E3679" s="0" t="s">
        <v>75</v>
      </c>
      <c r="F3679" s="0" t="s">
        <v>15</v>
      </c>
      <c r="G3679" s="0" t="s">
        <v>32</v>
      </c>
      <c r="H3679" s="0" t="n">
        <v>80</v>
      </c>
      <c r="I3679" s="0" t="s">
        <v>12276</v>
      </c>
      <c r="J3679" s="0" t="s">
        <v>12277</v>
      </c>
      <c r="K3679" s="0" t="s">
        <v>12278</v>
      </c>
      <c r="L3679" s="0" t="str">
        <f aca="false">HYPERLINK("https://www.ncbi.nlm.nih.gov/nuccore/CP000058.1?report=graph&amp;tracks=[key:gene_model_track,Options:GeneOnly]&amp;mk=1192920:1192939|offset_47|444444,1192953:1192972|offset_80|00cc00,1193011:1193030|offset_138|444444,1193079:1193098|offset_206|444444&amp;v=1192719:1193298&amp;c=444444", "offset 80")</f>
        <v>offset 80</v>
      </c>
    </row>
    <row r="3680" customFormat="false" ht="12.8" hidden="false" customHeight="false" outlineLevel="0" collapsed="false">
      <c r="A3680" s="0" t="s">
        <v>12</v>
      </c>
      <c r="B3680" s="0" t="n">
        <v>1193010</v>
      </c>
      <c r="C3680" s="0" t="n">
        <v>1193030</v>
      </c>
      <c r="D3680" s="0" t="s">
        <v>12272</v>
      </c>
      <c r="E3680" s="0" t="s">
        <v>75</v>
      </c>
      <c r="F3680" s="0" t="s">
        <v>15</v>
      </c>
      <c r="G3680" s="0" t="s">
        <v>16</v>
      </c>
      <c r="H3680" s="0" t="n">
        <v>138</v>
      </c>
      <c r="I3680" s="0" t="s">
        <v>12279</v>
      </c>
      <c r="J3680" s="0" t="s">
        <v>12280</v>
      </c>
      <c r="K3680" s="0" t="s">
        <v>12281</v>
      </c>
      <c r="L3680" s="0" t="str">
        <f aca="false">HYPERLINK("https://www.ncbi.nlm.nih.gov/nuccore/CP000058.1?report=graph&amp;tracks=[key:gene_model_track,Options:GeneOnly]&amp;mk=1192920:1192939|offset_47|444444,1192953:1192972|offset_80|444444,1193011:1193030|offset_138|00cc00,1193079:1193098|offset_206|444444&amp;v=1192719:1193298&amp;c=444444", "offset 138")</f>
        <v>offset 138</v>
      </c>
    </row>
    <row r="3681" customFormat="false" ht="12.8" hidden="false" customHeight="false" outlineLevel="0" collapsed="false">
      <c r="A3681" s="0" t="s">
        <v>12</v>
      </c>
      <c r="B3681" s="0" t="n">
        <v>1193078</v>
      </c>
      <c r="C3681" s="0" t="n">
        <v>1193098</v>
      </c>
      <c r="D3681" s="0" t="s">
        <v>12272</v>
      </c>
      <c r="E3681" s="0" t="s">
        <v>75</v>
      </c>
      <c r="F3681" s="0" t="s">
        <v>15</v>
      </c>
      <c r="G3681" s="0" t="s">
        <v>20</v>
      </c>
      <c r="H3681" s="0" t="n">
        <v>206</v>
      </c>
      <c r="I3681" s="0" t="s">
        <v>12282</v>
      </c>
      <c r="J3681" s="0" t="s">
        <v>12283</v>
      </c>
      <c r="K3681" s="0" t="s">
        <v>12284</v>
      </c>
      <c r="L3681" s="0" t="str">
        <f aca="false">HYPERLINK("https://www.ncbi.nlm.nih.gov/nuccore/CP000058.1?report=graph&amp;tracks=[key:gene_model_track,Options:GeneOnly]&amp;mk=1192920:1192939|offset_47|444444,1192953:1192972|offset_80|444444,1193011:1193030|offset_138|444444,1193079:1193098|offset_206|00cc00&amp;v=1192719:1193298&amp;c=444444", "offset 206")</f>
        <v>offset 206</v>
      </c>
    </row>
    <row r="3682" customFormat="false" ht="12.8" hidden="false" customHeight="false" outlineLevel="0" collapsed="false">
      <c r="A3682" s="0" t="s">
        <v>12</v>
      </c>
      <c r="B3682" s="0" t="n">
        <v>1193667</v>
      </c>
      <c r="C3682" s="0" t="n">
        <v>1193687</v>
      </c>
      <c r="D3682" s="0" t="s">
        <v>12285</v>
      </c>
      <c r="E3682" s="0" t="s">
        <v>12286</v>
      </c>
      <c r="F3682" s="0" t="s">
        <v>15</v>
      </c>
      <c r="G3682" s="0" t="s">
        <v>32</v>
      </c>
      <c r="H3682" s="0" t="n">
        <v>23</v>
      </c>
      <c r="I3682" s="0" t="s">
        <v>12287</v>
      </c>
      <c r="J3682" s="0" t="s">
        <v>12288</v>
      </c>
      <c r="K3682" s="0" t="s">
        <v>12289</v>
      </c>
      <c r="L3682" s="0" t="str">
        <f aca="false">HYPERLINK("https://www.ncbi.nlm.nih.gov/nuccore/CP000058.1?report=graph&amp;tracks=[key:gene_model_track,Options:GeneOnly]&amp;mk=1193668:1193687|offset_23|00cc00,1193703:1193722|offset_58|444444,1193737:1193756|offset_92|444444,1193792:1193811|offset_147|444444&amp;v=1193467:1194011&amp;c=444444", "offset 23")</f>
        <v>offset 23</v>
      </c>
    </row>
    <row r="3683" customFormat="false" ht="12.8" hidden="false" customHeight="false" outlineLevel="0" collapsed="false">
      <c r="A3683" s="0" t="s">
        <v>12</v>
      </c>
      <c r="B3683" s="0" t="n">
        <v>1193702</v>
      </c>
      <c r="C3683" s="0" t="n">
        <v>1193722</v>
      </c>
      <c r="D3683" s="0" t="s">
        <v>12285</v>
      </c>
      <c r="E3683" s="0" t="s">
        <v>12286</v>
      </c>
      <c r="F3683" s="0" t="s">
        <v>15</v>
      </c>
      <c r="G3683" s="0" t="s">
        <v>16</v>
      </c>
      <c r="H3683" s="0" t="n">
        <v>58</v>
      </c>
      <c r="I3683" s="0" t="s">
        <v>12290</v>
      </c>
      <c r="J3683" s="0" t="s">
        <v>12291</v>
      </c>
      <c r="K3683" s="0" t="s">
        <v>12292</v>
      </c>
      <c r="L3683" s="0" t="str">
        <f aca="false">HYPERLINK("https://www.ncbi.nlm.nih.gov/nuccore/CP000058.1?report=graph&amp;tracks=[key:gene_model_track,Options:GeneOnly]&amp;mk=1193668:1193687|offset_23|444444,1193703:1193722|offset_58|00cc00,1193737:1193756|offset_92|444444,1193792:1193811|offset_147|444444&amp;v=1193467:1194011&amp;c=444444", "offset 58")</f>
        <v>offset 58</v>
      </c>
    </row>
    <row r="3684" customFormat="false" ht="12.8" hidden="false" customHeight="false" outlineLevel="0" collapsed="false">
      <c r="A3684" s="0" t="s">
        <v>12</v>
      </c>
      <c r="B3684" s="0" t="n">
        <v>1193736</v>
      </c>
      <c r="C3684" s="0" t="n">
        <v>1193756</v>
      </c>
      <c r="D3684" s="0" t="s">
        <v>12285</v>
      </c>
      <c r="E3684" s="0" t="s">
        <v>12286</v>
      </c>
      <c r="F3684" s="0" t="s">
        <v>15</v>
      </c>
      <c r="G3684" s="0" t="s">
        <v>16</v>
      </c>
      <c r="H3684" s="0" t="n">
        <v>92</v>
      </c>
      <c r="I3684" s="0" t="s">
        <v>12293</v>
      </c>
      <c r="J3684" s="0" t="s">
        <v>12294</v>
      </c>
      <c r="K3684" s="0" t="s">
        <v>12295</v>
      </c>
      <c r="L3684" s="0" t="str">
        <f aca="false">HYPERLINK("https://www.ncbi.nlm.nih.gov/nuccore/CP000058.1?report=graph&amp;tracks=[key:gene_model_track,Options:GeneOnly]&amp;mk=1193668:1193687|offset_23|444444,1193703:1193722|offset_58|444444,1193737:1193756|offset_92|00cc00,1193792:1193811|offset_147|444444&amp;v=1193467:1194011&amp;c=444444", "offset 92")</f>
        <v>offset 92</v>
      </c>
    </row>
    <row r="3685" customFormat="false" ht="12.8" hidden="false" customHeight="false" outlineLevel="0" collapsed="false">
      <c r="A3685" s="0" t="s">
        <v>12</v>
      </c>
      <c r="B3685" s="0" t="n">
        <v>1193791</v>
      </c>
      <c r="C3685" s="0" t="n">
        <v>1193811</v>
      </c>
      <c r="D3685" s="0" t="s">
        <v>12285</v>
      </c>
      <c r="E3685" s="0" t="s">
        <v>12286</v>
      </c>
      <c r="F3685" s="0" t="s">
        <v>15</v>
      </c>
      <c r="G3685" s="0" t="s">
        <v>20</v>
      </c>
      <c r="H3685" s="0" t="n">
        <v>147</v>
      </c>
      <c r="I3685" s="0" t="s">
        <v>12296</v>
      </c>
      <c r="J3685" s="0" t="s">
        <v>12297</v>
      </c>
      <c r="K3685" s="0" t="s">
        <v>12298</v>
      </c>
      <c r="L3685" s="0" t="str">
        <f aca="false">HYPERLINK("https://www.ncbi.nlm.nih.gov/nuccore/CP000058.1?report=graph&amp;tracks=[key:gene_model_track,Options:GeneOnly]&amp;mk=1193668:1193687|offset_23|444444,1193703:1193722|offset_58|444444,1193737:1193756|offset_92|444444,1193792:1193811|offset_147|00cc00&amp;v=1193467:1194011&amp;c=444444", "offset 147")</f>
        <v>offset 147</v>
      </c>
    </row>
    <row r="3686" customFormat="false" ht="12.8" hidden="false" customHeight="false" outlineLevel="0" collapsed="false">
      <c r="A3686" s="0" t="s">
        <v>12</v>
      </c>
      <c r="B3686" s="0" t="n">
        <v>1194598</v>
      </c>
      <c r="C3686" s="0" t="n">
        <v>1194618</v>
      </c>
      <c r="D3686" s="0" t="s">
        <v>12299</v>
      </c>
      <c r="E3686" s="0" t="s">
        <v>75</v>
      </c>
      <c r="F3686" s="0" t="s">
        <v>15</v>
      </c>
      <c r="G3686" s="0" t="s">
        <v>20</v>
      </c>
      <c r="H3686" s="0" t="n">
        <v>20</v>
      </c>
      <c r="I3686" s="0" t="s">
        <v>12300</v>
      </c>
      <c r="J3686" s="0" t="s">
        <v>12301</v>
      </c>
      <c r="K3686" s="0" t="s">
        <v>12302</v>
      </c>
      <c r="L3686" s="0" t="str">
        <f aca="false">HYPERLINK("https://www.ncbi.nlm.nih.gov/nuccore/CP000058.1?report=graph&amp;tracks=[key:gene_model_track,Options:GeneOnly]&amp;mk=1194599:1194618|offset_20|00cc00,1194679:1194698|offset_100|444444,1194733:1194752|offset_154|444444,1194755:1194774|offset_176|444444&amp;v=1194398:1194974&amp;c=444444", "offset 20")</f>
        <v>offset 20</v>
      </c>
    </row>
    <row r="3687" customFormat="false" ht="12.8" hidden="false" customHeight="false" outlineLevel="0" collapsed="false">
      <c r="A3687" s="0" t="s">
        <v>12</v>
      </c>
      <c r="B3687" s="0" t="n">
        <v>1194678</v>
      </c>
      <c r="C3687" s="0" t="n">
        <v>1194698</v>
      </c>
      <c r="D3687" s="0" t="s">
        <v>12299</v>
      </c>
      <c r="E3687" s="0" t="s">
        <v>75</v>
      </c>
      <c r="F3687" s="0" t="s">
        <v>15</v>
      </c>
      <c r="G3687" s="0" t="s">
        <v>16</v>
      </c>
      <c r="H3687" s="0" t="n">
        <v>100</v>
      </c>
      <c r="I3687" s="0" t="s">
        <v>12303</v>
      </c>
      <c r="J3687" s="0" t="s">
        <v>12304</v>
      </c>
      <c r="K3687" s="0" t="s">
        <v>12305</v>
      </c>
      <c r="L3687" s="0" t="str">
        <f aca="false">HYPERLINK("https://www.ncbi.nlm.nih.gov/nuccore/CP000058.1?report=graph&amp;tracks=[key:gene_model_track,Options:GeneOnly]&amp;mk=1194599:1194618|offset_20|444444,1194679:1194698|offset_100|00cc00,1194733:1194752|offset_154|444444,1194755:1194774|offset_176|444444&amp;v=1194398:1194974&amp;c=444444", "offset 100")</f>
        <v>offset 100</v>
      </c>
    </row>
    <row r="3688" customFormat="false" ht="12.8" hidden="false" customHeight="false" outlineLevel="0" collapsed="false">
      <c r="A3688" s="0" t="s">
        <v>12</v>
      </c>
      <c r="B3688" s="0" t="n">
        <v>1194732</v>
      </c>
      <c r="C3688" s="0" t="n">
        <v>1194752</v>
      </c>
      <c r="D3688" s="0" t="s">
        <v>12299</v>
      </c>
      <c r="E3688" s="0" t="s">
        <v>75</v>
      </c>
      <c r="F3688" s="0" t="s">
        <v>15</v>
      </c>
      <c r="G3688" s="0" t="s">
        <v>20</v>
      </c>
      <c r="H3688" s="0" t="n">
        <v>154</v>
      </c>
      <c r="I3688" s="0" t="s">
        <v>12306</v>
      </c>
      <c r="J3688" s="0" t="s">
        <v>12307</v>
      </c>
      <c r="K3688" s="0" t="s">
        <v>12308</v>
      </c>
      <c r="L3688" s="0" t="str">
        <f aca="false">HYPERLINK("https://www.ncbi.nlm.nih.gov/nuccore/CP000058.1?report=graph&amp;tracks=[key:gene_model_track,Options:GeneOnly]&amp;mk=1194599:1194618|offset_20|444444,1194679:1194698|offset_100|444444,1194733:1194752|offset_154|00cc00,1194755:1194774|offset_176|444444&amp;v=1194398:1194974&amp;c=444444", "offset 154")</f>
        <v>offset 154</v>
      </c>
    </row>
    <row r="3689" customFormat="false" ht="12.8" hidden="false" customHeight="false" outlineLevel="0" collapsed="false">
      <c r="A3689" s="0" t="s">
        <v>12</v>
      </c>
      <c r="B3689" s="0" t="n">
        <v>1194754</v>
      </c>
      <c r="C3689" s="0" t="n">
        <v>1194774</v>
      </c>
      <c r="D3689" s="0" t="s">
        <v>12299</v>
      </c>
      <c r="E3689" s="0" t="s">
        <v>75</v>
      </c>
      <c r="F3689" s="0" t="s">
        <v>15</v>
      </c>
      <c r="G3689" s="0" t="s">
        <v>16</v>
      </c>
      <c r="H3689" s="0" t="n">
        <v>176</v>
      </c>
      <c r="I3689" s="0" t="s">
        <v>12309</v>
      </c>
      <c r="J3689" s="0" t="s">
        <v>12310</v>
      </c>
      <c r="K3689" s="0" t="s">
        <v>12311</v>
      </c>
      <c r="L3689" s="0" t="str">
        <f aca="false">HYPERLINK("https://www.ncbi.nlm.nih.gov/nuccore/CP000058.1?report=graph&amp;tracks=[key:gene_model_track,Options:GeneOnly]&amp;mk=1194599:1194618|offset_20|444444,1194679:1194698|offset_100|444444,1194733:1194752|offset_154|444444,1194755:1194774|offset_176|00cc00&amp;v=1194398:1194974&amp;c=444444", "offset 176")</f>
        <v>offset 176</v>
      </c>
    </row>
    <row r="3690" customFormat="false" ht="12.8" hidden="false" customHeight="false" outlineLevel="0" collapsed="false">
      <c r="A3690" s="0" t="s">
        <v>12</v>
      </c>
      <c r="B3690" s="0" t="n">
        <v>1195117</v>
      </c>
      <c r="C3690" s="0" t="n">
        <v>1195137</v>
      </c>
      <c r="D3690" s="0" t="s">
        <v>12312</v>
      </c>
      <c r="E3690" s="0" t="s">
        <v>75</v>
      </c>
      <c r="F3690" s="0" t="s">
        <v>15</v>
      </c>
      <c r="G3690" s="0" t="s">
        <v>32</v>
      </c>
      <c r="H3690" s="0" t="n">
        <v>19</v>
      </c>
      <c r="I3690" s="0" t="s">
        <v>12313</v>
      </c>
      <c r="J3690" s="0" t="s">
        <v>12314</v>
      </c>
      <c r="K3690" s="0" t="s">
        <v>12315</v>
      </c>
      <c r="L3690" s="0" t="str">
        <f aca="false">HYPERLINK("https://www.ncbi.nlm.nih.gov/nuccore/CP000058.1?report=graph&amp;tracks=[key:gene_model_track,Options:GeneOnly]&amp;mk=1195118:1195137|offset_19|00cc00,1195147:1195166|offset_48|444444&amp;v=1194917:1195366&amp;c=444444", "offset 19")</f>
        <v>offset 19</v>
      </c>
    </row>
    <row r="3691" customFormat="false" ht="12.8" hidden="false" customHeight="false" outlineLevel="0" collapsed="false">
      <c r="A3691" s="0" t="s">
        <v>12</v>
      </c>
      <c r="B3691" s="0" t="n">
        <v>1195146</v>
      </c>
      <c r="C3691" s="0" t="n">
        <v>1195166</v>
      </c>
      <c r="D3691" s="0" t="s">
        <v>12312</v>
      </c>
      <c r="E3691" s="0" t="s">
        <v>75</v>
      </c>
      <c r="F3691" s="0" t="s">
        <v>15</v>
      </c>
      <c r="G3691" s="0" t="s">
        <v>36</v>
      </c>
      <c r="H3691" s="0" t="n">
        <v>48</v>
      </c>
      <c r="I3691" s="0" t="s">
        <v>12316</v>
      </c>
      <c r="J3691" s="0" t="s">
        <v>12317</v>
      </c>
      <c r="K3691" s="0" t="s">
        <v>12318</v>
      </c>
      <c r="L3691" s="0" t="str">
        <f aca="false">HYPERLINK("https://www.ncbi.nlm.nih.gov/nuccore/CP000058.1?report=graph&amp;tracks=[key:gene_model_track,Options:GeneOnly]&amp;mk=1195118:1195137|offset_19|444444,1195147:1195166|offset_48|00cc00&amp;v=1194917:1195366&amp;c=444444", "offset 48")</f>
        <v>offset 48</v>
      </c>
    </row>
    <row r="3692" customFormat="false" ht="12.8" hidden="false" customHeight="false" outlineLevel="0" collapsed="false">
      <c r="A3692" s="0" t="s">
        <v>12</v>
      </c>
      <c r="B3692" s="0" t="n">
        <v>1195725</v>
      </c>
      <c r="C3692" s="0" t="n">
        <v>1195745</v>
      </c>
      <c r="D3692" s="0" t="s">
        <v>12319</v>
      </c>
      <c r="E3692" s="0" t="s">
        <v>75</v>
      </c>
      <c r="F3692" s="0" t="s">
        <v>90</v>
      </c>
      <c r="G3692" s="0" t="s">
        <v>16</v>
      </c>
      <c r="H3692" s="0" t="n">
        <v>13</v>
      </c>
      <c r="I3692" s="0" t="s">
        <v>12320</v>
      </c>
      <c r="J3692" s="0" t="s">
        <v>12321</v>
      </c>
      <c r="K3692" s="0" t="s">
        <v>12322</v>
      </c>
      <c r="L3692" s="0" t="str">
        <f aca="false">HYPERLINK("https://www.ncbi.nlm.nih.gov/nuccore/CP000058.1?report=graph&amp;tracks=[key:gene_model_track,Options:GeneOnly]&amp;mk=1195726:1195745|offset_13|00cc00,1195693:1195712|offset_46|444444,1195624:1195643|offset_115|444444,1195596:1195615|offset_143|444444&amp;v=1195525:1195815&amp;c=444444", "offset 13")</f>
        <v>offset 13</v>
      </c>
    </row>
    <row r="3693" customFormat="false" ht="12.8" hidden="false" customHeight="false" outlineLevel="0" collapsed="false">
      <c r="A3693" s="0" t="s">
        <v>12</v>
      </c>
      <c r="B3693" s="0" t="n">
        <v>1195692</v>
      </c>
      <c r="C3693" s="0" t="n">
        <v>1195712</v>
      </c>
      <c r="D3693" s="0" t="s">
        <v>12319</v>
      </c>
      <c r="E3693" s="0" t="s">
        <v>75</v>
      </c>
      <c r="F3693" s="0" t="s">
        <v>90</v>
      </c>
      <c r="G3693" s="0" t="s">
        <v>16</v>
      </c>
      <c r="H3693" s="0" t="n">
        <v>46</v>
      </c>
      <c r="I3693" s="0" t="s">
        <v>12323</v>
      </c>
      <c r="J3693" s="0" t="s">
        <v>12324</v>
      </c>
      <c r="K3693" s="0" t="s">
        <v>12325</v>
      </c>
      <c r="L3693" s="0" t="str">
        <f aca="false">HYPERLINK("https://www.ncbi.nlm.nih.gov/nuccore/CP000058.1?report=graph&amp;tracks=[key:gene_model_track,Options:GeneOnly]&amp;mk=1195726:1195745|offset_13|444444,1195693:1195712|offset_46|00cc00,1195624:1195643|offset_115|444444,1195596:1195615|offset_143|444444&amp;v=1195525:1195815&amp;c=444444", "offset 46")</f>
        <v>offset 46</v>
      </c>
    </row>
    <row r="3694" customFormat="false" ht="12.8" hidden="false" customHeight="false" outlineLevel="0" collapsed="false">
      <c r="A3694" s="0" t="s">
        <v>12</v>
      </c>
      <c r="B3694" s="0" t="n">
        <v>1195623</v>
      </c>
      <c r="C3694" s="0" t="n">
        <v>1195643</v>
      </c>
      <c r="D3694" s="0" t="s">
        <v>12319</v>
      </c>
      <c r="E3694" s="0" t="s">
        <v>75</v>
      </c>
      <c r="F3694" s="0" t="s">
        <v>90</v>
      </c>
      <c r="G3694" s="0" t="s">
        <v>32</v>
      </c>
      <c r="H3694" s="0" t="n">
        <v>115</v>
      </c>
      <c r="I3694" s="0" t="s">
        <v>12326</v>
      </c>
      <c r="J3694" s="0" t="s">
        <v>12327</v>
      </c>
      <c r="K3694" s="0" t="s">
        <v>12328</v>
      </c>
      <c r="L3694" s="0" t="str">
        <f aca="false">HYPERLINK("https://www.ncbi.nlm.nih.gov/nuccore/CP000058.1?report=graph&amp;tracks=[key:gene_model_track,Options:GeneOnly]&amp;mk=1195726:1195745|offset_13|444444,1195693:1195712|offset_46|444444,1195624:1195643|offset_115|00cc00,1195596:1195615|offset_143|444444&amp;v=1195525:1195815&amp;c=444444", "offset 115")</f>
        <v>offset 115</v>
      </c>
    </row>
    <row r="3695" customFormat="false" ht="12.8" hidden="false" customHeight="false" outlineLevel="0" collapsed="false">
      <c r="A3695" s="0" t="s">
        <v>12</v>
      </c>
      <c r="B3695" s="0" t="n">
        <v>1195595</v>
      </c>
      <c r="C3695" s="0" t="n">
        <v>1195615</v>
      </c>
      <c r="D3695" s="0" t="s">
        <v>12319</v>
      </c>
      <c r="E3695" s="0" t="s">
        <v>75</v>
      </c>
      <c r="F3695" s="0" t="s">
        <v>90</v>
      </c>
      <c r="G3695" s="0" t="s">
        <v>36</v>
      </c>
      <c r="H3695" s="0" t="n">
        <v>143</v>
      </c>
      <c r="I3695" s="0" t="s">
        <v>12329</v>
      </c>
      <c r="J3695" s="0" t="s">
        <v>12330</v>
      </c>
      <c r="K3695" s="0" t="s">
        <v>12331</v>
      </c>
      <c r="L3695" s="0" t="str">
        <f aca="false">HYPERLINK("https://www.ncbi.nlm.nih.gov/nuccore/CP000058.1?report=graph&amp;tracks=[key:gene_model_track,Options:GeneOnly]&amp;mk=1195726:1195745|offset_13|444444,1195693:1195712|offset_46|444444,1195624:1195643|offset_115|444444,1195596:1195615|offset_143|00cc00&amp;v=1195525:1195815&amp;c=444444", "offset 143")</f>
        <v>offset 143</v>
      </c>
    </row>
    <row r="3696" customFormat="false" ht="12.8" hidden="false" customHeight="false" outlineLevel="0" collapsed="false">
      <c r="A3696" s="0" t="s">
        <v>12</v>
      </c>
      <c r="B3696" s="0" t="n">
        <v>1196318</v>
      </c>
      <c r="C3696" s="0" t="n">
        <v>1196338</v>
      </c>
      <c r="D3696" s="0" t="s">
        <v>12332</v>
      </c>
      <c r="E3696" s="0" t="s">
        <v>75</v>
      </c>
      <c r="F3696" s="0" t="s">
        <v>90</v>
      </c>
      <c r="G3696" s="0" t="s">
        <v>32</v>
      </c>
      <c r="H3696" s="0" t="n">
        <v>52</v>
      </c>
      <c r="I3696" s="0" t="s">
        <v>12333</v>
      </c>
      <c r="J3696" s="0" t="s">
        <v>12334</v>
      </c>
      <c r="K3696" s="0" t="s">
        <v>12335</v>
      </c>
      <c r="L3696" s="0" t="str">
        <f aca="false">HYPERLINK("https://www.ncbi.nlm.nih.gov/nuccore/CP000058.1?report=graph&amp;tracks=[key:gene_model_track,Options:GeneOnly]&amp;mk=1196319:1196338|offset_52|00cc00,1196286:1196305|offset_85|444444,1196214:1196233|offset_157|444444,1196192:1196211|offset_179|444444&amp;v=1196118:1196411&amp;c=444444", "offset 52")</f>
        <v>offset 52</v>
      </c>
    </row>
    <row r="3697" customFormat="false" ht="12.8" hidden="false" customHeight="false" outlineLevel="0" collapsed="false">
      <c r="A3697" s="0" t="s">
        <v>12</v>
      </c>
      <c r="B3697" s="0" t="n">
        <v>1196285</v>
      </c>
      <c r="C3697" s="0" t="n">
        <v>1196305</v>
      </c>
      <c r="D3697" s="0" t="s">
        <v>12332</v>
      </c>
      <c r="E3697" s="0" t="s">
        <v>75</v>
      </c>
      <c r="F3697" s="0" t="s">
        <v>90</v>
      </c>
      <c r="G3697" s="0" t="s">
        <v>20</v>
      </c>
      <c r="H3697" s="0" t="n">
        <v>85</v>
      </c>
      <c r="I3697" s="0" t="s">
        <v>12336</v>
      </c>
      <c r="J3697" s="0" t="s">
        <v>12337</v>
      </c>
      <c r="K3697" s="0" t="s">
        <v>12338</v>
      </c>
      <c r="L3697" s="0" t="str">
        <f aca="false">HYPERLINK("https://www.ncbi.nlm.nih.gov/nuccore/CP000058.1?report=graph&amp;tracks=[key:gene_model_track,Options:GeneOnly]&amp;mk=1196319:1196338|offset_52|444444,1196286:1196305|offset_85|00cc00,1196214:1196233|offset_157|444444,1196192:1196211|offset_179|444444&amp;v=1196118:1196411&amp;c=444444", "offset 85")</f>
        <v>offset 85</v>
      </c>
    </row>
    <row r="3698" customFormat="false" ht="12.8" hidden="false" customHeight="false" outlineLevel="0" collapsed="false">
      <c r="A3698" s="0" t="s">
        <v>12</v>
      </c>
      <c r="B3698" s="0" t="n">
        <v>1196213</v>
      </c>
      <c r="C3698" s="0" t="n">
        <v>1196233</v>
      </c>
      <c r="D3698" s="0" t="s">
        <v>12332</v>
      </c>
      <c r="E3698" s="0" t="s">
        <v>75</v>
      </c>
      <c r="F3698" s="0" t="s">
        <v>90</v>
      </c>
      <c r="G3698" s="0" t="s">
        <v>32</v>
      </c>
      <c r="H3698" s="0" t="n">
        <v>157</v>
      </c>
      <c r="I3698" s="0" t="s">
        <v>12339</v>
      </c>
      <c r="J3698" s="0" t="s">
        <v>12340</v>
      </c>
      <c r="K3698" s="0" t="s">
        <v>12341</v>
      </c>
      <c r="L3698" s="0" t="str">
        <f aca="false">HYPERLINK("https://www.ncbi.nlm.nih.gov/nuccore/CP000058.1?report=graph&amp;tracks=[key:gene_model_track,Options:GeneOnly]&amp;mk=1196319:1196338|offset_52|444444,1196286:1196305|offset_85|444444,1196214:1196233|offset_157|00cc00,1196192:1196211|offset_179|444444&amp;v=1196118:1196411&amp;c=444444", "offset 157")</f>
        <v>offset 157</v>
      </c>
    </row>
    <row r="3699" customFormat="false" ht="12.8" hidden="false" customHeight="false" outlineLevel="0" collapsed="false">
      <c r="A3699" s="0" t="s">
        <v>12</v>
      </c>
      <c r="B3699" s="0" t="n">
        <v>1196191</v>
      </c>
      <c r="C3699" s="0" t="n">
        <v>1196211</v>
      </c>
      <c r="D3699" s="0" t="s">
        <v>12332</v>
      </c>
      <c r="E3699" s="0" t="s">
        <v>75</v>
      </c>
      <c r="F3699" s="0" t="s">
        <v>90</v>
      </c>
      <c r="G3699" s="0" t="s">
        <v>16</v>
      </c>
      <c r="H3699" s="0" t="n">
        <v>179</v>
      </c>
      <c r="I3699" s="0" t="s">
        <v>12342</v>
      </c>
      <c r="J3699" s="0" t="s">
        <v>12343</v>
      </c>
      <c r="K3699" s="0" t="s">
        <v>12344</v>
      </c>
      <c r="L3699" s="0" t="str">
        <f aca="false">HYPERLINK("https://www.ncbi.nlm.nih.gov/nuccore/CP000058.1?report=graph&amp;tracks=[key:gene_model_track,Options:GeneOnly]&amp;mk=1196319:1196338|offset_52|444444,1196286:1196305|offset_85|444444,1196214:1196233|offset_157|444444,1196192:1196211|offset_179|00cc00&amp;v=1196118:1196411&amp;c=444444", "offset 179")</f>
        <v>offset 179</v>
      </c>
    </row>
    <row r="3700" customFormat="false" ht="12.8" hidden="false" customHeight="false" outlineLevel="0" collapsed="false">
      <c r="A3700" s="0" t="s">
        <v>12</v>
      </c>
      <c r="B3700" s="0" t="n">
        <v>1197567</v>
      </c>
      <c r="C3700" s="0" t="n">
        <v>1197587</v>
      </c>
      <c r="D3700" s="0" t="s">
        <v>12345</v>
      </c>
      <c r="E3700" s="0" t="s">
        <v>12346</v>
      </c>
      <c r="F3700" s="0" t="s">
        <v>90</v>
      </c>
      <c r="G3700" s="0" t="s">
        <v>32</v>
      </c>
      <c r="H3700" s="0" t="n">
        <v>31</v>
      </c>
      <c r="I3700" s="0" t="s">
        <v>12347</v>
      </c>
      <c r="J3700" s="0" t="s">
        <v>12348</v>
      </c>
      <c r="K3700" s="0" t="s">
        <v>12349</v>
      </c>
      <c r="L3700" s="0" t="str">
        <f aca="false">HYPERLINK("https://www.ncbi.nlm.nih.gov/nuccore/CP000058.1?report=graph&amp;tracks=[key:gene_model_track,Options:GeneOnly]&amp;mk=1197568:1197587|offset_31|00cc00,1197541:1197560|offset_58|444444,1197489:1197508|offset_110|444444,1197459:1197478|offset_140|444444&amp;v=1197367:1197678&amp;c=444444", "offset 31")</f>
        <v>offset 31</v>
      </c>
    </row>
    <row r="3701" customFormat="false" ht="12.8" hidden="false" customHeight="false" outlineLevel="0" collapsed="false">
      <c r="A3701" s="0" t="s">
        <v>12</v>
      </c>
      <c r="B3701" s="0" t="n">
        <v>1197540</v>
      </c>
      <c r="C3701" s="0" t="n">
        <v>1197560</v>
      </c>
      <c r="D3701" s="0" t="s">
        <v>12345</v>
      </c>
      <c r="E3701" s="0" t="s">
        <v>12346</v>
      </c>
      <c r="F3701" s="0" t="s">
        <v>90</v>
      </c>
      <c r="G3701" s="0" t="s">
        <v>32</v>
      </c>
      <c r="H3701" s="0" t="n">
        <v>58</v>
      </c>
      <c r="I3701" s="0" t="s">
        <v>12350</v>
      </c>
      <c r="J3701" s="0" t="s">
        <v>12351</v>
      </c>
      <c r="K3701" s="0" t="s">
        <v>12352</v>
      </c>
      <c r="L3701" s="0" t="str">
        <f aca="false">HYPERLINK("https://www.ncbi.nlm.nih.gov/nuccore/CP000058.1?report=graph&amp;tracks=[key:gene_model_track,Options:GeneOnly]&amp;mk=1197568:1197587|offset_31|444444,1197541:1197560|offset_58|00cc00,1197489:1197508|offset_110|444444,1197459:1197478|offset_140|444444&amp;v=1197367:1197678&amp;c=444444", "offset 58")</f>
        <v>offset 58</v>
      </c>
    </row>
    <row r="3702" customFormat="false" ht="12.8" hidden="false" customHeight="false" outlineLevel="0" collapsed="false">
      <c r="A3702" s="0" t="s">
        <v>12</v>
      </c>
      <c r="B3702" s="0" t="n">
        <v>1197488</v>
      </c>
      <c r="C3702" s="0" t="n">
        <v>1197508</v>
      </c>
      <c r="D3702" s="0" t="s">
        <v>12345</v>
      </c>
      <c r="E3702" s="0" t="s">
        <v>12346</v>
      </c>
      <c r="F3702" s="0" t="s">
        <v>90</v>
      </c>
      <c r="G3702" s="0" t="s">
        <v>32</v>
      </c>
      <c r="H3702" s="0" t="n">
        <v>110</v>
      </c>
      <c r="I3702" s="0" t="s">
        <v>12353</v>
      </c>
      <c r="J3702" s="0" t="s">
        <v>12354</v>
      </c>
      <c r="K3702" s="0" t="s">
        <v>12355</v>
      </c>
      <c r="L3702" s="0" t="str">
        <f aca="false">HYPERLINK("https://www.ncbi.nlm.nih.gov/nuccore/CP000058.1?report=graph&amp;tracks=[key:gene_model_track,Options:GeneOnly]&amp;mk=1197568:1197587|offset_31|444444,1197541:1197560|offset_58|444444,1197489:1197508|offset_110|00cc00,1197459:1197478|offset_140|444444&amp;v=1197367:1197678&amp;c=444444", "offset 110")</f>
        <v>offset 110</v>
      </c>
    </row>
    <row r="3703" customFormat="false" ht="12.8" hidden="false" customHeight="false" outlineLevel="0" collapsed="false">
      <c r="A3703" s="0" t="s">
        <v>12</v>
      </c>
      <c r="B3703" s="0" t="n">
        <v>1197458</v>
      </c>
      <c r="C3703" s="0" t="n">
        <v>1197478</v>
      </c>
      <c r="D3703" s="0" t="s">
        <v>12345</v>
      </c>
      <c r="E3703" s="0" t="s">
        <v>12346</v>
      </c>
      <c r="F3703" s="0" t="s">
        <v>90</v>
      </c>
      <c r="G3703" s="0" t="s">
        <v>32</v>
      </c>
      <c r="H3703" s="0" t="n">
        <v>140</v>
      </c>
      <c r="I3703" s="0" t="s">
        <v>12356</v>
      </c>
      <c r="J3703" s="0" t="s">
        <v>12357</v>
      </c>
      <c r="K3703" s="0" t="s">
        <v>12358</v>
      </c>
      <c r="L3703" s="0" t="str">
        <f aca="false">HYPERLINK("https://www.ncbi.nlm.nih.gov/nuccore/CP000058.1?report=graph&amp;tracks=[key:gene_model_track,Options:GeneOnly]&amp;mk=1197568:1197587|offset_31|444444,1197541:1197560|offset_58|444444,1197489:1197508|offset_110|444444,1197459:1197478|offset_140|00cc00&amp;v=1197367:1197678&amp;c=444444", "offset 140")</f>
        <v>offset 140</v>
      </c>
    </row>
    <row r="3704" customFormat="false" ht="12.8" hidden="false" customHeight="false" outlineLevel="0" collapsed="false">
      <c r="A3704" s="0" t="s">
        <v>12</v>
      </c>
      <c r="B3704" s="0" t="n">
        <v>1198350</v>
      </c>
      <c r="C3704" s="0" t="n">
        <v>1198370</v>
      </c>
      <c r="D3704" s="0" t="s">
        <v>12359</v>
      </c>
      <c r="E3704" s="0" t="s">
        <v>75</v>
      </c>
      <c r="F3704" s="0" t="s">
        <v>90</v>
      </c>
      <c r="G3704" s="0" t="s">
        <v>32</v>
      </c>
      <c r="H3704" s="0" t="n">
        <v>35</v>
      </c>
      <c r="I3704" s="0" t="s">
        <v>12360</v>
      </c>
      <c r="J3704" s="0" t="s">
        <v>12361</v>
      </c>
      <c r="K3704" s="0" t="s">
        <v>12362</v>
      </c>
      <c r="L3704" s="0" t="str">
        <f aca="false">HYPERLINK("https://www.ncbi.nlm.nih.gov/nuccore/CP000058.1?report=graph&amp;tracks=[key:gene_model_track,Options:GeneOnly]&amp;mk=1198351:1198370|offset_35|00cc00,1198328:1198347|offset_58|444444,1198303:1198322|offset_83|444444,1198254:1198273|offset_132|444444&amp;v=1198150:1198473&amp;c=444444", "offset 35")</f>
        <v>offset 35</v>
      </c>
    </row>
    <row r="3705" customFormat="false" ht="12.8" hidden="false" customHeight="false" outlineLevel="0" collapsed="false">
      <c r="A3705" s="0" t="s">
        <v>12</v>
      </c>
      <c r="B3705" s="0" t="n">
        <v>1198327</v>
      </c>
      <c r="C3705" s="0" t="n">
        <v>1198347</v>
      </c>
      <c r="D3705" s="0" t="s">
        <v>12359</v>
      </c>
      <c r="E3705" s="0" t="s">
        <v>75</v>
      </c>
      <c r="F3705" s="0" t="s">
        <v>90</v>
      </c>
      <c r="G3705" s="0" t="s">
        <v>36</v>
      </c>
      <c r="H3705" s="0" t="n">
        <v>58</v>
      </c>
      <c r="I3705" s="0" t="s">
        <v>12363</v>
      </c>
      <c r="J3705" s="0" t="s">
        <v>12364</v>
      </c>
      <c r="K3705" s="0" t="s">
        <v>12365</v>
      </c>
      <c r="L3705" s="0" t="str">
        <f aca="false">HYPERLINK("https://www.ncbi.nlm.nih.gov/nuccore/CP000058.1?report=graph&amp;tracks=[key:gene_model_track,Options:GeneOnly]&amp;mk=1198351:1198370|offset_35|444444,1198328:1198347|offset_58|00cc00,1198303:1198322|offset_83|444444,1198254:1198273|offset_132|444444&amp;v=1198150:1198473&amp;c=444444", "offset 58")</f>
        <v>offset 58</v>
      </c>
    </row>
    <row r="3706" customFormat="false" ht="12.8" hidden="false" customHeight="false" outlineLevel="0" collapsed="false">
      <c r="A3706" s="0" t="s">
        <v>12</v>
      </c>
      <c r="B3706" s="0" t="n">
        <v>1198302</v>
      </c>
      <c r="C3706" s="0" t="n">
        <v>1198322</v>
      </c>
      <c r="D3706" s="0" t="s">
        <v>12359</v>
      </c>
      <c r="E3706" s="0" t="s">
        <v>75</v>
      </c>
      <c r="F3706" s="0" t="s">
        <v>90</v>
      </c>
      <c r="G3706" s="0" t="s">
        <v>20</v>
      </c>
      <c r="H3706" s="0" t="n">
        <v>83</v>
      </c>
      <c r="I3706" s="0" t="s">
        <v>12366</v>
      </c>
      <c r="J3706" s="0" t="s">
        <v>12367</v>
      </c>
      <c r="K3706" s="0" t="s">
        <v>12368</v>
      </c>
      <c r="L3706" s="0" t="str">
        <f aca="false">HYPERLINK("https://www.ncbi.nlm.nih.gov/nuccore/CP000058.1?report=graph&amp;tracks=[key:gene_model_track,Options:GeneOnly]&amp;mk=1198351:1198370|offset_35|444444,1198328:1198347|offset_58|444444,1198303:1198322|offset_83|00cc00,1198254:1198273|offset_132|444444&amp;v=1198150:1198473&amp;c=444444", "offset 83")</f>
        <v>offset 83</v>
      </c>
    </row>
    <row r="3707" customFormat="false" ht="12.8" hidden="false" customHeight="false" outlineLevel="0" collapsed="false">
      <c r="A3707" s="0" t="s">
        <v>12</v>
      </c>
      <c r="B3707" s="0" t="n">
        <v>1198253</v>
      </c>
      <c r="C3707" s="0" t="n">
        <v>1198273</v>
      </c>
      <c r="D3707" s="0" t="s">
        <v>12359</v>
      </c>
      <c r="E3707" s="0" t="s">
        <v>75</v>
      </c>
      <c r="F3707" s="0" t="s">
        <v>90</v>
      </c>
      <c r="G3707" s="0" t="s">
        <v>32</v>
      </c>
      <c r="H3707" s="0" t="n">
        <v>132</v>
      </c>
      <c r="I3707" s="0" t="s">
        <v>12369</v>
      </c>
      <c r="J3707" s="0" t="s">
        <v>12370</v>
      </c>
      <c r="K3707" s="0" t="s">
        <v>12371</v>
      </c>
      <c r="L3707" s="0" t="str">
        <f aca="false">HYPERLINK("https://www.ncbi.nlm.nih.gov/nuccore/CP000058.1?report=graph&amp;tracks=[key:gene_model_track,Options:GeneOnly]&amp;mk=1198351:1198370|offset_35|444444,1198328:1198347|offset_58|444444,1198303:1198322|offset_83|444444,1198254:1198273|offset_132|00cc00&amp;v=1198150:1198473&amp;c=444444", "offset 132")</f>
        <v>offset 132</v>
      </c>
    </row>
    <row r="3708" customFormat="false" ht="12.8" hidden="false" customHeight="false" outlineLevel="0" collapsed="false">
      <c r="A3708" s="0" t="s">
        <v>12</v>
      </c>
      <c r="B3708" s="0" t="n">
        <v>1199616</v>
      </c>
      <c r="C3708" s="0" t="n">
        <v>1199636</v>
      </c>
      <c r="D3708" s="0" t="s">
        <v>12372</v>
      </c>
      <c r="E3708" s="0" t="s">
        <v>75</v>
      </c>
      <c r="F3708" s="0" t="s">
        <v>90</v>
      </c>
      <c r="G3708" s="0" t="s">
        <v>16</v>
      </c>
      <c r="H3708" s="0" t="n">
        <v>13</v>
      </c>
      <c r="I3708" s="0" t="s">
        <v>12373</v>
      </c>
      <c r="J3708" s="0" t="s">
        <v>12374</v>
      </c>
      <c r="K3708" s="0" t="s">
        <v>12375</v>
      </c>
      <c r="L3708" s="0" t="str">
        <f aca="false">HYPERLINK("https://www.ncbi.nlm.nih.gov/nuccore/CP000058.1?report=graph&amp;tracks=[key:gene_model_track,Options:GeneOnly]&amp;mk=1199617:1199636|offset_13|00cc00,1199592:1199611|offset_38|444444,1199568:1199587|offset_62|444444,1199539:1199558|offset_91|444444&amp;v=1199416:1199758&amp;c=444444", "offset 13")</f>
        <v>offset 13</v>
      </c>
    </row>
    <row r="3709" customFormat="false" ht="12.8" hidden="false" customHeight="false" outlineLevel="0" collapsed="false">
      <c r="A3709" s="0" t="s">
        <v>12</v>
      </c>
      <c r="B3709" s="0" t="n">
        <v>1199591</v>
      </c>
      <c r="C3709" s="0" t="n">
        <v>1199611</v>
      </c>
      <c r="D3709" s="0" t="s">
        <v>12372</v>
      </c>
      <c r="E3709" s="0" t="s">
        <v>75</v>
      </c>
      <c r="F3709" s="0" t="s">
        <v>90</v>
      </c>
      <c r="G3709" s="0" t="s">
        <v>20</v>
      </c>
      <c r="H3709" s="0" t="n">
        <v>38</v>
      </c>
      <c r="I3709" s="0" t="s">
        <v>12376</v>
      </c>
      <c r="J3709" s="0" t="s">
        <v>12377</v>
      </c>
      <c r="K3709" s="0" t="s">
        <v>12378</v>
      </c>
      <c r="L3709" s="0" t="str">
        <f aca="false">HYPERLINK("https://www.ncbi.nlm.nih.gov/nuccore/CP000058.1?report=graph&amp;tracks=[key:gene_model_track,Options:GeneOnly]&amp;mk=1199617:1199636|offset_13|444444,1199592:1199611|offset_38|00cc00,1199568:1199587|offset_62|444444,1199539:1199558|offset_91|444444&amp;v=1199416:1199758&amp;c=444444", "offset 38")</f>
        <v>offset 38</v>
      </c>
    </row>
    <row r="3710" customFormat="false" ht="12.8" hidden="false" customHeight="false" outlineLevel="0" collapsed="false">
      <c r="A3710" s="0" t="s">
        <v>12</v>
      </c>
      <c r="B3710" s="0" t="n">
        <v>1199567</v>
      </c>
      <c r="C3710" s="0" t="n">
        <v>1199587</v>
      </c>
      <c r="D3710" s="0" t="s">
        <v>12372</v>
      </c>
      <c r="E3710" s="0" t="s">
        <v>75</v>
      </c>
      <c r="F3710" s="0" t="s">
        <v>90</v>
      </c>
      <c r="G3710" s="0" t="s">
        <v>16</v>
      </c>
      <c r="H3710" s="0" t="n">
        <v>62</v>
      </c>
      <c r="I3710" s="0" t="s">
        <v>12379</v>
      </c>
      <c r="J3710" s="0" t="s">
        <v>12380</v>
      </c>
      <c r="K3710" s="0" t="s">
        <v>12381</v>
      </c>
      <c r="L3710" s="0" t="str">
        <f aca="false">HYPERLINK("https://www.ncbi.nlm.nih.gov/nuccore/CP000058.1?report=graph&amp;tracks=[key:gene_model_track,Options:GeneOnly]&amp;mk=1199617:1199636|offset_13|444444,1199592:1199611|offset_38|444444,1199568:1199587|offset_62|00cc00,1199539:1199558|offset_91|444444&amp;v=1199416:1199758&amp;c=444444", "offset 62")</f>
        <v>offset 62</v>
      </c>
    </row>
    <row r="3711" customFormat="false" ht="12.8" hidden="false" customHeight="false" outlineLevel="0" collapsed="false">
      <c r="A3711" s="0" t="s">
        <v>12</v>
      </c>
      <c r="B3711" s="0" t="n">
        <v>1199538</v>
      </c>
      <c r="C3711" s="0" t="n">
        <v>1199558</v>
      </c>
      <c r="D3711" s="0" t="s">
        <v>12372</v>
      </c>
      <c r="E3711" s="0" t="s">
        <v>75</v>
      </c>
      <c r="F3711" s="0" t="s">
        <v>90</v>
      </c>
      <c r="G3711" s="0" t="s">
        <v>20</v>
      </c>
      <c r="H3711" s="0" t="n">
        <v>91</v>
      </c>
      <c r="I3711" s="0" t="s">
        <v>12382</v>
      </c>
      <c r="J3711" s="0" t="s">
        <v>12383</v>
      </c>
      <c r="K3711" s="0" t="s">
        <v>12384</v>
      </c>
      <c r="L3711" s="0" t="str">
        <f aca="false">HYPERLINK("https://www.ncbi.nlm.nih.gov/nuccore/CP000058.1?report=graph&amp;tracks=[key:gene_model_track,Options:GeneOnly]&amp;mk=1199617:1199636|offset_13|444444,1199592:1199611|offset_38|444444,1199568:1199587|offset_62|444444,1199539:1199558|offset_91|00cc00&amp;v=1199416:1199758&amp;c=444444", "offset 91")</f>
        <v>offset 91</v>
      </c>
    </row>
    <row r="3712" customFormat="false" ht="12.8" hidden="false" customHeight="false" outlineLevel="0" collapsed="false">
      <c r="A3712" s="0" t="s">
        <v>12</v>
      </c>
      <c r="B3712" s="0" t="n">
        <v>1200402</v>
      </c>
      <c r="C3712" s="0" t="n">
        <v>1200422</v>
      </c>
      <c r="D3712" s="0" t="s">
        <v>12385</v>
      </c>
      <c r="E3712" s="0" t="s">
        <v>75</v>
      </c>
      <c r="F3712" s="0" t="s">
        <v>90</v>
      </c>
      <c r="G3712" s="0" t="s">
        <v>20</v>
      </c>
      <c r="H3712" s="0" t="n">
        <v>12</v>
      </c>
      <c r="I3712" s="0" t="s">
        <v>12386</v>
      </c>
      <c r="J3712" s="0" t="s">
        <v>12387</v>
      </c>
      <c r="K3712" s="0" t="s">
        <v>12388</v>
      </c>
      <c r="L3712" s="0" t="str">
        <f aca="false">HYPERLINK("https://www.ncbi.nlm.nih.gov/nuccore/CP000058.1?report=graph&amp;tracks=[key:gene_model_track,Options:GeneOnly]&amp;mk=1200403:1200422|offset_12|00cc00,1200378:1200397|offset_37|444444,1200345:1200364|offset_70|444444,1200306:1200325|offset_109|444444&amp;v=1200202:1200525&amp;c=444444", "offset 12")</f>
        <v>offset 12</v>
      </c>
    </row>
    <row r="3713" customFormat="false" ht="12.8" hidden="false" customHeight="false" outlineLevel="0" collapsed="false">
      <c r="A3713" s="0" t="s">
        <v>12</v>
      </c>
      <c r="B3713" s="0" t="n">
        <v>1200377</v>
      </c>
      <c r="C3713" s="0" t="n">
        <v>1200397</v>
      </c>
      <c r="D3713" s="0" t="s">
        <v>12385</v>
      </c>
      <c r="E3713" s="0" t="s">
        <v>75</v>
      </c>
      <c r="F3713" s="0" t="s">
        <v>90</v>
      </c>
      <c r="G3713" s="0" t="s">
        <v>16</v>
      </c>
      <c r="H3713" s="0" t="n">
        <v>37</v>
      </c>
      <c r="I3713" s="0" t="s">
        <v>12389</v>
      </c>
      <c r="J3713" s="0" t="s">
        <v>12390</v>
      </c>
      <c r="K3713" s="0" t="s">
        <v>12391</v>
      </c>
      <c r="L3713" s="0" t="str">
        <f aca="false">HYPERLINK("https://www.ncbi.nlm.nih.gov/nuccore/CP000058.1?report=graph&amp;tracks=[key:gene_model_track,Options:GeneOnly]&amp;mk=1200403:1200422|offset_12|444444,1200378:1200397|offset_37|00cc00,1200345:1200364|offset_70|444444,1200306:1200325|offset_109|444444&amp;v=1200202:1200525&amp;c=444444", "offset 37")</f>
        <v>offset 37</v>
      </c>
    </row>
    <row r="3714" customFormat="false" ht="12.8" hidden="false" customHeight="false" outlineLevel="0" collapsed="false">
      <c r="A3714" s="0" t="s">
        <v>12</v>
      </c>
      <c r="B3714" s="0" t="n">
        <v>1200344</v>
      </c>
      <c r="C3714" s="0" t="n">
        <v>1200364</v>
      </c>
      <c r="D3714" s="0" t="s">
        <v>12385</v>
      </c>
      <c r="E3714" s="0" t="s">
        <v>75</v>
      </c>
      <c r="F3714" s="0" t="s">
        <v>90</v>
      </c>
      <c r="G3714" s="0" t="s">
        <v>32</v>
      </c>
      <c r="H3714" s="0" t="n">
        <v>70</v>
      </c>
      <c r="I3714" s="0" t="s">
        <v>12392</v>
      </c>
      <c r="J3714" s="0" t="s">
        <v>12393</v>
      </c>
      <c r="K3714" s="0" t="s">
        <v>12394</v>
      </c>
      <c r="L3714" s="0" t="str">
        <f aca="false">HYPERLINK("https://www.ncbi.nlm.nih.gov/nuccore/CP000058.1?report=graph&amp;tracks=[key:gene_model_track,Options:GeneOnly]&amp;mk=1200403:1200422|offset_12|444444,1200378:1200397|offset_37|444444,1200345:1200364|offset_70|00cc00,1200306:1200325|offset_109|444444&amp;v=1200202:1200525&amp;c=444444", "offset 70")</f>
        <v>offset 70</v>
      </c>
    </row>
    <row r="3715" customFormat="false" ht="12.8" hidden="false" customHeight="false" outlineLevel="0" collapsed="false">
      <c r="A3715" s="0" t="s">
        <v>12</v>
      </c>
      <c r="B3715" s="0" t="n">
        <v>1200305</v>
      </c>
      <c r="C3715" s="0" t="n">
        <v>1200325</v>
      </c>
      <c r="D3715" s="0" t="s">
        <v>12385</v>
      </c>
      <c r="E3715" s="0" t="s">
        <v>75</v>
      </c>
      <c r="F3715" s="0" t="s">
        <v>90</v>
      </c>
      <c r="G3715" s="0" t="s">
        <v>16</v>
      </c>
      <c r="H3715" s="0" t="n">
        <v>109</v>
      </c>
      <c r="I3715" s="0" t="s">
        <v>12395</v>
      </c>
      <c r="J3715" s="0" t="s">
        <v>12396</v>
      </c>
      <c r="K3715" s="0" t="s">
        <v>12397</v>
      </c>
      <c r="L3715" s="0" t="str">
        <f aca="false">HYPERLINK("https://www.ncbi.nlm.nih.gov/nuccore/CP000058.1?report=graph&amp;tracks=[key:gene_model_track,Options:GeneOnly]&amp;mk=1200403:1200422|offset_12|444444,1200378:1200397|offset_37|444444,1200345:1200364|offset_70|444444,1200306:1200325|offset_109|00cc00&amp;v=1200202:1200525&amp;c=444444", "offset 109")</f>
        <v>offset 109</v>
      </c>
    </row>
    <row r="3716" customFormat="false" ht="12.8" hidden="false" customHeight="false" outlineLevel="0" collapsed="false">
      <c r="A3716" s="0" t="s">
        <v>12</v>
      </c>
      <c r="B3716" s="0" t="n">
        <v>1200819</v>
      </c>
      <c r="C3716" s="0" t="n">
        <v>1200839</v>
      </c>
      <c r="D3716" s="0" t="s">
        <v>12398</v>
      </c>
      <c r="E3716" s="0" t="s">
        <v>75</v>
      </c>
      <c r="F3716" s="0" t="s">
        <v>90</v>
      </c>
      <c r="G3716" s="0" t="s">
        <v>20</v>
      </c>
      <c r="H3716" s="0" t="n">
        <v>14</v>
      </c>
      <c r="I3716" s="0" t="s">
        <v>12399</v>
      </c>
      <c r="J3716" s="0" t="s">
        <v>12400</v>
      </c>
      <c r="K3716" s="0" t="s">
        <v>12401</v>
      </c>
      <c r="L3716" s="0" t="str">
        <f aca="false">HYPERLINK("https://www.ncbi.nlm.nih.gov/nuccore/CP000058.1?report=graph&amp;tracks=[key:gene_model_track,Options:GeneOnly]&amp;mk=1200820:1200839|offset_14|00cc00,1200775:1200794|offset_59|444444,1200727:1200746|offset_107|444444,1200706:1200725|offset_128|444444&amp;v=1200619:1200925&amp;c=444444", "offset 14")</f>
        <v>offset 14</v>
      </c>
    </row>
    <row r="3717" customFormat="false" ht="12.8" hidden="false" customHeight="false" outlineLevel="0" collapsed="false">
      <c r="A3717" s="0" t="s">
        <v>12</v>
      </c>
      <c r="B3717" s="0" t="n">
        <v>1200774</v>
      </c>
      <c r="C3717" s="0" t="n">
        <v>1200794</v>
      </c>
      <c r="D3717" s="0" t="s">
        <v>12398</v>
      </c>
      <c r="E3717" s="0" t="s">
        <v>75</v>
      </c>
      <c r="F3717" s="0" t="s">
        <v>90</v>
      </c>
      <c r="G3717" s="0" t="s">
        <v>20</v>
      </c>
      <c r="H3717" s="0" t="n">
        <v>59</v>
      </c>
      <c r="I3717" s="0" t="s">
        <v>12402</v>
      </c>
      <c r="J3717" s="0" t="s">
        <v>12403</v>
      </c>
      <c r="K3717" s="0" t="s">
        <v>12404</v>
      </c>
      <c r="L3717" s="0" t="str">
        <f aca="false">HYPERLINK("https://www.ncbi.nlm.nih.gov/nuccore/CP000058.1?report=graph&amp;tracks=[key:gene_model_track,Options:GeneOnly]&amp;mk=1200820:1200839|offset_14|444444,1200775:1200794|offset_59|00cc00,1200727:1200746|offset_107|444444,1200706:1200725|offset_128|444444&amp;v=1200619:1200925&amp;c=444444", "offset 59")</f>
        <v>offset 59</v>
      </c>
    </row>
    <row r="3718" customFormat="false" ht="12.8" hidden="false" customHeight="false" outlineLevel="0" collapsed="false">
      <c r="A3718" s="0" t="s">
        <v>12</v>
      </c>
      <c r="B3718" s="0" t="n">
        <v>1200726</v>
      </c>
      <c r="C3718" s="0" t="n">
        <v>1200746</v>
      </c>
      <c r="D3718" s="0" t="s">
        <v>12398</v>
      </c>
      <c r="E3718" s="0" t="s">
        <v>75</v>
      </c>
      <c r="F3718" s="0" t="s">
        <v>90</v>
      </c>
      <c r="G3718" s="0" t="s">
        <v>36</v>
      </c>
      <c r="H3718" s="0" t="n">
        <v>107</v>
      </c>
      <c r="I3718" s="0" t="s">
        <v>12405</v>
      </c>
      <c r="J3718" s="0" t="s">
        <v>12406</v>
      </c>
      <c r="K3718" s="0" t="s">
        <v>12407</v>
      </c>
      <c r="L3718" s="0" t="str">
        <f aca="false">HYPERLINK("https://www.ncbi.nlm.nih.gov/nuccore/CP000058.1?report=graph&amp;tracks=[key:gene_model_track,Options:GeneOnly]&amp;mk=1200820:1200839|offset_14|444444,1200775:1200794|offset_59|444444,1200727:1200746|offset_107|00cc00,1200706:1200725|offset_128|444444&amp;v=1200619:1200925&amp;c=444444", "offset 107")</f>
        <v>offset 107</v>
      </c>
    </row>
    <row r="3719" customFormat="false" ht="12.8" hidden="false" customHeight="false" outlineLevel="0" collapsed="false">
      <c r="A3719" s="0" t="s">
        <v>12</v>
      </c>
      <c r="B3719" s="0" t="n">
        <v>1200705</v>
      </c>
      <c r="C3719" s="0" t="n">
        <v>1200725</v>
      </c>
      <c r="D3719" s="0" t="s">
        <v>12398</v>
      </c>
      <c r="E3719" s="0" t="s">
        <v>75</v>
      </c>
      <c r="F3719" s="0" t="s">
        <v>90</v>
      </c>
      <c r="G3719" s="0" t="s">
        <v>20</v>
      </c>
      <c r="H3719" s="0" t="n">
        <v>128</v>
      </c>
      <c r="I3719" s="0" t="s">
        <v>12408</v>
      </c>
      <c r="J3719" s="0" t="s">
        <v>12409</v>
      </c>
      <c r="K3719" s="0" t="s">
        <v>12410</v>
      </c>
      <c r="L3719" s="0" t="str">
        <f aca="false">HYPERLINK("https://www.ncbi.nlm.nih.gov/nuccore/CP000058.1?report=graph&amp;tracks=[key:gene_model_track,Options:GeneOnly]&amp;mk=1200820:1200839|offset_14|444444,1200775:1200794|offset_59|444444,1200727:1200746|offset_107|444444,1200706:1200725|offset_128|00cc00&amp;v=1200619:1200925&amp;c=444444", "offset 128")</f>
        <v>offset 128</v>
      </c>
    </row>
    <row r="3720" customFormat="false" ht="12.8" hidden="false" customHeight="false" outlineLevel="0" collapsed="false">
      <c r="A3720" s="0" t="s">
        <v>12</v>
      </c>
      <c r="B3720" s="0" t="n">
        <v>1202245</v>
      </c>
      <c r="C3720" s="0" t="n">
        <v>1202265</v>
      </c>
      <c r="D3720" s="0" t="s">
        <v>12411</v>
      </c>
      <c r="E3720" s="0" t="s">
        <v>12412</v>
      </c>
      <c r="F3720" s="0" t="s">
        <v>90</v>
      </c>
      <c r="G3720" s="0" t="s">
        <v>20</v>
      </c>
      <c r="H3720" s="0" t="n">
        <v>29</v>
      </c>
      <c r="I3720" s="0" t="s">
        <v>12413</v>
      </c>
      <c r="J3720" s="0" t="s">
        <v>12414</v>
      </c>
      <c r="K3720" s="0" t="s">
        <v>12415</v>
      </c>
      <c r="L3720" s="0" t="str">
        <f aca="false">HYPERLINK("https://www.ncbi.nlm.nih.gov/nuccore/CP000058.1?report=graph&amp;tracks=[key:gene_model_track,Options:GeneOnly]&amp;mk=1202246:1202265|offset_29|00cc00,1202226:1202245|offset_49|444444,1202180:1202199|offset_95|444444,1202153:1202172|offset_122|444444&amp;v=1202045:1202372&amp;c=444444", "offset 29")</f>
        <v>offset 29</v>
      </c>
    </row>
    <row r="3721" customFormat="false" ht="12.8" hidden="false" customHeight="false" outlineLevel="0" collapsed="false">
      <c r="A3721" s="0" t="s">
        <v>12</v>
      </c>
      <c r="B3721" s="0" t="n">
        <v>1202225</v>
      </c>
      <c r="C3721" s="0" t="n">
        <v>1202245</v>
      </c>
      <c r="D3721" s="0" t="s">
        <v>12411</v>
      </c>
      <c r="E3721" s="0" t="s">
        <v>12412</v>
      </c>
      <c r="F3721" s="0" t="s">
        <v>90</v>
      </c>
      <c r="G3721" s="0" t="s">
        <v>16</v>
      </c>
      <c r="H3721" s="0" t="n">
        <v>49</v>
      </c>
      <c r="I3721" s="0" t="s">
        <v>12416</v>
      </c>
      <c r="J3721" s="0" t="s">
        <v>12417</v>
      </c>
      <c r="K3721" s="0" t="s">
        <v>12418</v>
      </c>
      <c r="L3721" s="0" t="str">
        <f aca="false">HYPERLINK("https://www.ncbi.nlm.nih.gov/nuccore/CP000058.1?report=graph&amp;tracks=[key:gene_model_track,Options:GeneOnly]&amp;mk=1202246:1202265|offset_29|444444,1202226:1202245|offset_49|00cc00,1202180:1202199|offset_95|444444,1202153:1202172|offset_122|444444&amp;v=1202045:1202372&amp;c=444444", "offset 49")</f>
        <v>offset 49</v>
      </c>
    </row>
    <row r="3722" customFormat="false" ht="12.8" hidden="false" customHeight="false" outlineLevel="0" collapsed="false">
      <c r="A3722" s="0" t="s">
        <v>12</v>
      </c>
      <c r="B3722" s="0" t="n">
        <v>1202179</v>
      </c>
      <c r="C3722" s="0" t="n">
        <v>1202199</v>
      </c>
      <c r="D3722" s="0" t="s">
        <v>12411</v>
      </c>
      <c r="E3722" s="0" t="s">
        <v>12412</v>
      </c>
      <c r="F3722" s="0" t="s">
        <v>90</v>
      </c>
      <c r="G3722" s="0" t="s">
        <v>20</v>
      </c>
      <c r="H3722" s="0" t="n">
        <v>95</v>
      </c>
      <c r="I3722" s="0" t="s">
        <v>12419</v>
      </c>
      <c r="J3722" s="0" t="s">
        <v>12420</v>
      </c>
      <c r="K3722" s="0" t="s">
        <v>12421</v>
      </c>
      <c r="L3722" s="0" t="str">
        <f aca="false">HYPERLINK("https://www.ncbi.nlm.nih.gov/nuccore/CP000058.1?report=graph&amp;tracks=[key:gene_model_track,Options:GeneOnly]&amp;mk=1202246:1202265|offset_29|444444,1202226:1202245|offset_49|444444,1202180:1202199|offset_95|00cc00,1202153:1202172|offset_122|444444&amp;v=1202045:1202372&amp;c=444444", "offset 95")</f>
        <v>offset 95</v>
      </c>
    </row>
    <row r="3723" customFormat="false" ht="12.8" hidden="false" customHeight="false" outlineLevel="0" collapsed="false">
      <c r="A3723" s="0" t="s">
        <v>12</v>
      </c>
      <c r="B3723" s="0" t="n">
        <v>1202152</v>
      </c>
      <c r="C3723" s="0" t="n">
        <v>1202172</v>
      </c>
      <c r="D3723" s="0" t="s">
        <v>12411</v>
      </c>
      <c r="E3723" s="0" t="s">
        <v>12412</v>
      </c>
      <c r="F3723" s="0" t="s">
        <v>90</v>
      </c>
      <c r="G3723" s="0" t="s">
        <v>32</v>
      </c>
      <c r="H3723" s="0" t="n">
        <v>122</v>
      </c>
      <c r="I3723" s="0" t="s">
        <v>12422</v>
      </c>
      <c r="J3723" s="0" t="s">
        <v>12423</v>
      </c>
      <c r="K3723" s="0" t="s">
        <v>12424</v>
      </c>
      <c r="L3723" s="0" t="str">
        <f aca="false">HYPERLINK("https://www.ncbi.nlm.nih.gov/nuccore/CP000058.1?report=graph&amp;tracks=[key:gene_model_track,Options:GeneOnly]&amp;mk=1202246:1202265|offset_29|444444,1202226:1202245|offset_49|444444,1202180:1202199|offset_95|444444,1202153:1202172|offset_122|00cc00&amp;v=1202045:1202372&amp;c=444444", "offset 122")</f>
        <v>offset 122</v>
      </c>
    </row>
    <row r="3724" customFormat="false" ht="12.8" hidden="false" customHeight="false" outlineLevel="0" collapsed="false">
      <c r="A3724" s="0" t="s">
        <v>12</v>
      </c>
      <c r="B3724" s="0" t="n">
        <v>1203159</v>
      </c>
      <c r="C3724" s="0" t="n">
        <v>1203179</v>
      </c>
      <c r="D3724" s="0" t="s">
        <v>12425</v>
      </c>
      <c r="E3724" s="0" t="s">
        <v>75</v>
      </c>
      <c r="F3724" s="0" t="s">
        <v>90</v>
      </c>
      <c r="G3724" s="0" t="s">
        <v>16</v>
      </c>
      <c r="H3724" s="0" t="n">
        <v>27</v>
      </c>
      <c r="I3724" s="0" t="s">
        <v>12426</v>
      </c>
      <c r="J3724" s="0" t="s">
        <v>12427</v>
      </c>
      <c r="K3724" s="0" t="s">
        <v>12428</v>
      </c>
      <c r="L3724" s="0" t="str">
        <f aca="false">HYPERLINK("https://www.ncbi.nlm.nih.gov/nuccore/CP000058.1?report=graph&amp;tracks=[key:gene_model_track,Options:GeneOnly]&amp;mk=1203160:1203179|offset_27|00cc00,1203140:1203159|offset_47|444444,1203108:1203127|offset_79|444444,1203083:1203102|offset_104|444444&amp;v=1202959:1203302&amp;c=444444", "offset 27")</f>
        <v>offset 27</v>
      </c>
    </row>
    <row r="3725" customFormat="false" ht="12.8" hidden="false" customHeight="false" outlineLevel="0" collapsed="false">
      <c r="A3725" s="0" t="s">
        <v>12</v>
      </c>
      <c r="B3725" s="0" t="n">
        <v>1203139</v>
      </c>
      <c r="C3725" s="0" t="n">
        <v>1203159</v>
      </c>
      <c r="D3725" s="0" t="s">
        <v>12425</v>
      </c>
      <c r="E3725" s="0" t="s">
        <v>75</v>
      </c>
      <c r="F3725" s="0" t="s">
        <v>90</v>
      </c>
      <c r="G3725" s="0" t="s">
        <v>16</v>
      </c>
      <c r="H3725" s="0" t="n">
        <v>47</v>
      </c>
      <c r="I3725" s="0" t="s">
        <v>12429</v>
      </c>
      <c r="J3725" s="0" t="s">
        <v>12430</v>
      </c>
      <c r="K3725" s="0" t="s">
        <v>12431</v>
      </c>
      <c r="L3725" s="0" t="str">
        <f aca="false">HYPERLINK("https://www.ncbi.nlm.nih.gov/nuccore/CP000058.1?report=graph&amp;tracks=[key:gene_model_track,Options:GeneOnly]&amp;mk=1203160:1203179|offset_27|444444,1203140:1203159|offset_47|00cc00,1203108:1203127|offset_79|444444,1203083:1203102|offset_104|444444&amp;v=1202959:1203302&amp;c=444444", "offset 47")</f>
        <v>offset 47</v>
      </c>
    </row>
    <row r="3726" customFormat="false" ht="12.8" hidden="false" customHeight="false" outlineLevel="0" collapsed="false">
      <c r="A3726" s="0" t="s">
        <v>12</v>
      </c>
      <c r="B3726" s="0" t="n">
        <v>1203107</v>
      </c>
      <c r="C3726" s="0" t="n">
        <v>1203127</v>
      </c>
      <c r="D3726" s="0" t="s">
        <v>12425</v>
      </c>
      <c r="E3726" s="0" t="s">
        <v>75</v>
      </c>
      <c r="F3726" s="0" t="s">
        <v>90</v>
      </c>
      <c r="G3726" s="0" t="s">
        <v>16</v>
      </c>
      <c r="H3726" s="0" t="n">
        <v>79</v>
      </c>
      <c r="I3726" s="0" t="s">
        <v>12432</v>
      </c>
      <c r="J3726" s="0" t="s">
        <v>12433</v>
      </c>
      <c r="K3726" s="0" t="s">
        <v>12434</v>
      </c>
      <c r="L3726" s="0" t="str">
        <f aca="false">HYPERLINK("https://www.ncbi.nlm.nih.gov/nuccore/CP000058.1?report=graph&amp;tracks=[key:gene_model_track,Options:GeneOnly]&amp;mk=1203160:1203179|offset_27|444444,1203140:1203159|offset_47|444444,1203108:1203127|offset_79|00cc00,1203083:1203102|offset_104|444444&amp;v=1202959:1203302&amp;c=444444", "offset 79")</f>
        <v>offset 79</v>
      </c>
    </row>
    <row r="3727" customFormat="false" ht="12.8" hidden="false" customHeight="false" outlineLevel="0" collapsed="false">
      <c r="A3727" s="0" t="s">
        <v>12</v>
      </c>
      <c r="B3727" s="0" t="n">
        <v>1203082</v>
      </c>
      <c r="C3727" s="0" t="n">
        <v>1203102</v>
      </c>
      <c r="D3727" s="0" t="s">
        <v>12425</v>
      </c>
      <c r="E3727" s="0" t="s">
        <v>75</v>
      </c>
      <c r="F3727" s="0" t="s">
        <v>90</v>
      </c>
      <c r="G3727" s="0" t="s">
        <v>16</v>
      </c>
      <c r="H3727" s="0" t="n">
        <v>104</v>
      </c>
      <c r="I3727" s="0" t="s">
        <v>12435</v>
      </c>
      <c r="J3727" s="0" t="s">
        <v>12436</v>
      </c>
      <c r="K3727" s="0" t="s">
        <v>12437</v>
      </c>
      <c r="L3727" s="0" t="str">
        <f aca="false">HYPERLINK("https://www.ncbi.nlm.nih.gov/nuccore/CP000058.1?report=graph&amp;tracks=[key:gene_model_track,Options:GeneOnly]&amp;mk=1203160:1203179|offset_27|444444,1203140:1203159|offset_47|444444,1203108:1203127|offset_79|444444,1203083:1203102|offset_104|00cc00&amp;v=1202959:1203302&amp;c=444444", "offset 104")</f>
        <v>offset 104</v>
      </c>
    </row>
    <row r="3728" customFormat="false" ht="12.8" hidden="false" customHeight="false" outlineLevel="0" collapsed="false">
      <c r="A3728" s="0" t="s">
        <v>12</v>
      </c>
      <c r="B3728" s="0" t="n">
        <v>1204146</v>
      </c>
      <c r="C3728" s="0" t="n">
        <v>1204166</v>
      </c>
      <c r="D3728" s="0" t="s">
        <v>12438</v>
      </c>
      <c r="E3728" s="0" t="s">
        <v>75</v>
      </c>
      <c r="F3728" s="0" t="s">
        <v>90</v>
      </c>
      <c r="G3728" s="0" t="s">
        <v>32</v>
      </c>
      <c r="H3728" s="0" t="n">
        <v>0</v>
      </c>
      <c r="I3728" s="0" t="s">
        <v>12439</v>
      </c>
      <c r="J3728" s="0" t="s">
        <v>12440</v>
      </c>
      <c r="K3728" s="0" t="s">
        <v>12441</v>
      </c>
      <c r="L3728" s="0" t="str">
        <f aca="false">HYPERLINK("https://www.ncbi.nlm.nih.gov/nuccore/CP000058.1?report=graph&amp;tracks=[key:gene_model_track,Options:GeneOnly]&amp;mk=1204147:1204166|offset_0|00cc00,1204126:1204145|offset_21|444444,1204103:1204122|offset_44|444444,1204070:1204089|offset_77|444444&amp;v=1203946:1204289&amp;c=444444", "offset 0")</f>
        <v>offset 0</v>
      </c>
    </row>
    <row r="3729" customFormat="false" ht="12.8" hidden="false" customHeight="false" outlineLevel="0" collapsed="false">
      <c r="A3729" s="0" t="s">
        <v>12</v>
      </c>
      <c r="B3729" s="0" t="n">
        <v>1204125</v>
      </c>
      <c r="C3729" s="0" t="n">
        <v>1204145</v>
      </c>
      <c r="D3729" s="0" t="s">
        <v>12438</v>
      </c>
      <c r="E3729" s="0" t="s">
        <v>75</v>
      </c>
      <c r="F3729" s="0" t="s">
        <v>90</v>
      </c>
      <c r="G3729" s="0" t="s">
        <v>36</v>
      </c>
      <c r="H3729" s="0" t="n">
        <v>21</v>
      </c>
      <c r="I3729" s="0" t="s">
        <v>12442</v>
      </c>
      <c r="J3729" s="0" t="s">
        <v>12443</v>
      </c>
      <c r="K3729" s="0" t="s">
        <v>12444</v>
      </c>
      <c r="L3729" s="0" t="str">
        <f aca="false">HYPERLINK("https://www.ncbi.nlm.nih.gov/nuccore/CP000058.1?report=graph&amp;tracks=[key:gene_model_track,Options:GeneOnly]&amp;mk=1204147:1204166|offset_0|444444,1204126:1204145|offset_21|00cc00,1204103:1204122|offset_44|444444,1204070:1204089|offset_77|444444&amp;v=1203946:1204289&amp;c=444444", "offset 21")</f>
        <v>offset 21</v>
      </c>
    </row>
    <row r="3730" customFormat="false" ht="12.8" hidden="false" customHeight="false" outlineLevel="0" collapsed="false">
      <c r="A3730" s="0" t="s">
        <v>12</v>
      </c>
      <c r="B3730" s="0" t="n">
        <v>1204102</v>
      </c>
      <c r="C3730" s="0" t="n">
        <v>1204122</v>
      </c>
      <c r="D3730" s="0" t="s">
        <v>12438</v>
      </c>
      <c r="E3730" s="0" t="s">
        <v>75</v>
      </c>
      <c r="F3730" s="0" t="s">
        <v>90</v>
      </c>
      <c r="G3730" s="0" t="s">
        <v>20</v>
      </c>
      <c r="H3730" s="0" t="n">
        <v>44</v>
      </c>
      <c r="I3730" s="0" t="s">
        <v>12445</v>
      </c>
      <c r="J3730" s="0" t="s">
        <v>12446</v>
      </c>
      <c r="K3730" s="0" t="s">
        <v>12447</v>
      </c>
      <c r="L3730" s="0" t="str">
        <f aca="false">HYPERLINK("https://www.ncbi.nlm.nih.gov/nuccore/CP000058.1?report=graph&amp;tracks=[key:gene_model_track,Options:GeneOnly]&amp;mk=1204147:1204166|offset_0|444444,1204126:1204145|offset_21|444444,1204103:1204122|offset_44|00cc00,1204070:1204089|offset_77|444444&amp;v=1203946:1204289&amp;c=444444", "offset 44")</f>
        <v>offset 44</v>
      </c>
    </row>
    <row r="3731" customFormat="false" ht="12.8" hidden="false" customHeight="false" outlineLevel="0" collapsed="false">
      <c r="A3731" s="0" t="s">
        <v>12</v>
      </c>
      <c r="B3731" s="0" t="n">
        <v>1204069</v>
      </c>
      <c r="C3731" s="0" t="n">
        <v>1204089</v>
      </c>
      <c r="D3731" s="0" t="s">
        <v>12438</v>
      </c>
      <c r="E3731" s="0" t="s">
        <v>75</v>
      </c>
      <c r="F3731" s="0" t="s">
        <v>90</v>
      </c>
      <c r="G3731" s="0" t="s">
        <v>32</v>
      </c>
      <c r="H3731" s="0" t="n">
        <v>77</v>
      </c>
      <c r="I3731" s="0" t="s">
        <v>12448</v>
      </c>
      <c r="J3731" s="0" t="s">
        <v>12449</v>
      </c>
      <c r="K3731" s="0" t="s">
        <v>12450</v>
      </c>
      <c r="L3731" s="0" t="str">
        <f aca="false">HYPERLINK("https://www.ncbi.nlm.nih.gov/nuccore/CP000058.1?report=graph&amp;tracks=[key:gene_model_track,Options:GeneOnly]&amp;mk=1204147:1204166|offset_0|444444,1204126:1204145|offset_21|444444,1204103:1204122|offset_44|444444,1204070:1204089|offset_77|00cc00&amp;v=1203946:1204289&amp;c=444444", "offset 77")</f>
        <v>offset 77</v>
      </c>
    </row>
    <row r="3732" customFormat="false" ht="12.8" hidden="false" customHeight="false" outlineLevel="0" collapsed="false">
      <c r="A3732" s="0" t="s">
        <v>12</v>
      </c>
      <c r="B3732" s="0" t="n">
        <v>1204578</v>
      </c>
      <c r="C3732" s="0" t="n">
        <v>1204598</v>
      </c>
      <c r="D3732" s="0" t="s">
        <v>12451</v>
      </c>
      <c r="E3732" s="0" t="s">
        <v>75</v>
      </c>
      <c r="F3732" s="0" t="s">
        <v>90</v>
      </c>
      <c r="G3732" s="0" t="s">
        <v>36</v>
      </c>
      <c r="H3732" s="0" t="n">
        <v>17</v>
      </c>
      <c r="I3732" s="0" t="s">
        <v>12452</v>
      </c>
      <c r="J3732" s="0" t="s">
        <v>12453</v>
      </c>
      <c r="K3732" s="0" t="s">
        <v>12454</v>
      </c>
      <c r="L3732" s="0" t="str">
        <f aca="false">HYPERLINK("https://www.ncbi.nlm.nih.gov/nuccore/CP000058.1?report=graph&amp;tracks=[key:gene_model_track,Options:GeneOnly]&amp;mk=1204579:1204598|offset_17|00cc00,1204550:1204569|offset_46|444444,1204457:1204476|offset_139|444444,1204428:1204447|offset_168|444444&amp;v=1204378:1204647&amp;c=444444", "offset 17")</f>
        <v>offset 17</v>
      </c>
    </row>
    <row r="3733" customFormat="false" ht="12.8" hidden="false" customHeight="false" outlineLevel="0" collapsed="false">
      <c r="A3733" s="0" t="s">
        <v>12</v>
      </c>
      <c r="B3733" s="0" t="n">
        <v>1204549</v>
      </c>
      <c r="C3733" s="0" t="n">
        <v>1204569</v>
      </c>
      <c r="D3733" s="0" t="s">
        <v>12451</v>
      </c>
      <c r="E3733" s="0" t="s">
        <v>75</v>
      </c>
      <c r="F3733" s="0" t="s">
        <v>90</v>
      </c>
      <c r="G3733" s="0" t="s">
        <v>16</v>
      </c>
      <c r="H3733" s="0" t="n">
        <v>46</v>
      </c>
      <c r="I3733" s="0" t="s">
        <v>12455</v>
      </c>
      <c r="J3733" s="0" t="s">
        <v>12456</v>
      </c>
      <c r="K3733" s="0" t="s">
        <v>12457</v>
      </c>
      <c r="L3733" s="0" t="str">
        <f aca="false">HYPERLINK("https://www.ncbi.nlm.nih.gov/nuccore/CP000058.1?report=graph&amp;tracks=[key:gene_model_track,Options:GeneOnly]&amp;mk=1204579:1204598|offset_17|444444,1204550:1204569|offset_46|00cc00,1204457:1204476|offset_139|444444,1204428:1204447|offset_168|444444&amp;v=1204378:1204647&amp;c=444444", "offset 46")</f>
        <v>offset 46</v>
      </c>
    </row>
    <row r="3734" customFormat="false" ht="12.8" hidden="false" customHeight="false" outlineLevel="0" collapsed="false">
      <c r="A3734" s="0" t="s">
        <v>12</v>
      </c>
      <c r="B3734" s="0" t="n">
        <v>1204456</v>
      </c>
      <c r="C3734" s="0" t="n">
        <v>1204476</v>
      </c>
      <c r="D3734" s="0" t="s">
        <v>12451</v>
      </c>
      <c r="E3734" s="0" t="s">
        <v>75</v>
      </c>
      <c r="F3734" s="0" t="s">
        <v>90</v>
      </c>
      <c r="G3734" s="0" t="s">
        <v>16</v>
      </c>
      <c r="H3734" s="0" t="n">
        <v>139</v>
      </c>
      <c r="I3734" s="0" t="s">
        <v>12458</v>
      </c>
      <c r="J3734" s="0" t="s">
        <v>12459</v>
      </c>
      <c r="K3734" s="0" t="s">
        <v>12460</v>
      </c>
      <c r="L3734" s="0" t="str">
        <f aca="false">HYPERLINK("https://www.ncbi.nlm.nih.gov/nuccore/CP000058.1?report=graph&amp;tracks=[key:gene_model_track,Options:GeneOnly]&amp;mk=1204579:1204598|offset_17|444444,1204550:1204569|offset_46|444444,1204457:1204476|offset_139|00cc00,1204428:1204447|offset_168|444444&amp;v=1204378:1204647&amp;c=444444", "offset 139")</f>
        <v>offset 139</v>
      </c>
    </row>
    <row r="3735" customFormat="false" ht="12.8" hidden="false" customHeight="false" outlineLevel="0" collapsed="false">
      <c r="A3735" s="0" t="s">
        <v>12</v>
      </c>
      <c r="B3735" s="0" t="n">
        <v>1204427</v>
      </c>
      <c r="C3735" s="0" t="n">
        <v>1204447</v>
      </c>
      <c r="D3735" s="0" t="s">
        <v>12451</v>
      </c>
      <c r="E3735" s="0" t="s">
        <v>75</v>
      </c>
      <c r="F3735" s="0" t="s">
        <v>90</v>
      </c>
      <c r="G3735" s="0" t="s">
        <v>16</v>
      </c>
      <c r="H3735" s="0" t="n">
        <v>168</v>
      </c>
      <c r="I3735" s="0" t="s">
        <v>12461</v>
      </c>
      <c r="J3735" s="0" t="s">
        <v>12462</v>
      </c>
      <c r="K3735" s="0" t="s">
        <v>12463</v>
      </c>
      <c r="L3735" s="0" t="str">
        <f aca="false">HYPERLINK("https://www.ncbi.nlm.nih.gov/nuccore/CP000058.1?report=graph&amp;tracks=[key:gene_model_track,Options:GeneOnly]&amp;mk=1204579:1204598|offset_17|444444,1204550:1204569|offset_46|444444,1204457:1204476|offset_139|444444,1204428:1204447|offset_168|00cc00&amp;v=1204378:1204647&amp;c=444444", "offset 168")</f>
        <v>offset 168</v>
      </c>
    </row>
    <row r="3736" customFormat="false" ht="12.8" hidden="false" customHeight="false" outlineLevel="0" collapsed="false">
      <c r="A3736" s="0" t="s">
        <v>12</v>
      </c>
      <c r="B3736" s="0" t="n">
        <v>1205578</v>
      </c>
      <c r="C3736" s="0" t="n">
        <v>1205598</v>
      </c>
      <c r="D3736" s="0" t="s">
        <v>12464</v>
      </c>
      <c r="E3736" s="0" t="s">
        <v>75</v>
      </c>
      <c r="F3736" s="0" t="s">
        <v>90</v>
      </c>
      <c r="G3736" s="0" t="s">
        <v>20</v>
      </c>
      <c r="H3736" s="0" t="n">
        <v>0</v>
      </c>
      <c r="I3736" s="0" t="s">
        <v>12465</v>
      </c>
      <c r="J3736" s="0" t="s">
        <v>12466</v>
      </c>
      <c r="K3736" s="0" t="s">
        <v>12467</v>
      </c>
      <c r="L3736" s="0" t="str">
        <f aca="false">HYPERLINK("https://www.ncbi.nlm.nih.gov/nuccore/CP000058.1?report=graph&amp;tracks=[key:gene_model_track,Options:GeneOnly]&amp;mk=1205579:1205598|offset_0|00cc00,1205548:1205567|offset_31|444444,1205524:1205543|offset_55|444444,1205490:1205509|offset_89|444444&amp;v=1205378:1205709&amp;c=444444", "offset 0")</f>
        <v>offset 0</v>
      </c>
    </row>
    <row r="3737" customFormat="false" ht="12.8" hidden="false" customHeight="false" outlineLevel="0" collapsed="false">
      <c r="A3737" s="0" t="s">
        <v>12</v>
      </c>
      <c r="B3737" s="0" t="n">
        <v>1205547</v>
      </c>
      <c r="C3737" s="0" t="n">
        <v>1205567</v>
      </c>
      <c r="D3737" s="0" t="s">
        <v>12464</v>
      </c>
      <c r="E3737" s="0" t="s">
        <v>75</v>
      </c>
      <c r="F3737" s="0" t="s">
        <v>90</v>
      </c>
      <c r="G3737" s="0" t="s">
        <v>16</v>
      </c>
      <c r="H3737" s="0" t="n">
        <v>31</v>
      </c>
      <c r="I3737" s="0" t="s">
        <v>12468</v>
      </c>
      <c r="J3737" s="0" t="s">
        <v>12469</v>
      </c>
      <c r="K3737" s="0" t="s">
        <v>12470</v>
      </c>
      <c r="L3737" s="0" t="str">
        <f aca="false">HYPERLINK("https://www.ncbi.nlm.nih.gov/nuccore/CP000058.1?report=graph&amp;tracks=[key:gene_model_track,Options:GeneOnly]&amp;mk=1205579:1205598|offset_0|444444,1205548:1205567|offset_31|00cc00,1205524:1205543|offset_55|444444,1205490:1205509|offset_89|444444&amp;v=1205378:1205709&amp;c=444444", "offset 31")</f>
        <v>offset 31</v>
      </c>
    </row>
    <row r="3738" customFormat="false" ht="12.8" hidden="false" customHeight="false" outlineLevel="0" collapsed="false">
      <c r="A3738" s="0" t="s">
        <v>12</v>
      </c>
      <c r="B3738" s="0" t="n">
        <v>1205523</v>
      </c>
      <c r="C3738" s="0" t="n">
        <v>1205543</v>
      </c>
      <c r="D3738" s="0" t="s">
        <v>12464</v>
      </c>
      <c r="E3738" s="0" t="s">
        <v>75</v>
      </c>
      <c r="F3738" s="0" t="s">
        <v>90</v>
      </c>
      <c r="G3738" s="0" t="s">
        <v>36</v>
      </c>
      <c r="H3738" s="0" t="n">
        <v>55</v>
      </c>
      <c r="I3738" s="0" t="s">
        <v>12471</v>
      </c>
      <c r="J3738" s="0" t="s">
        <v>12472</v>
      </c>
      <c r="K3738" s="0" t="s">
        <v>12473</v>
      </c>
      <c r="L3738" s="0" t="str">
        <f aca="false">HYPERLINK("https://www.ncbi.nlm.nih.gov/nuccore/CP000058.1?report=graph&amp;tracks=[key:gene_model_track,Options:GeneOnly]&amp;mk=1205579:1205598|offset_0|444444,1205548:1205567|offset_31|444444,1205524:1205543|offset_55|00cc00,1205490:1205509|offset_89|444444&amp;v=1205378:1205709&amp;c=444444", "offset 55")</f>
        <v>offset 55</v>
      </c>
    </row>
    <row r="3739" customFormat="false" ht="12.8" hidden="false" customHeight="false" outlineLevel="0" collapsed="false">
      <c r="A3739" s="0" t="s">
        <v>12</v>
      </c>
      <c r="B3739" s="0" t="n">
        <v>1205489</v>
      </c>
      <c r="C3739" s="0" t="n">
        <v>1205509</v>
      </c>
      <c r="D3739" s="0" t="s">
        <v>12464</v>
      </c>
      <c r="E3739" s="0" t="s">
        <v>75</v>
      </c>
      <c r="F3739" s="0" t="s">
        <v>90</v>
      </c>
      <c r="G3739" s="0" t="s">
        <v>20</v>
      </c>
      <c r="H3739" s="0" t="n">
        <v>89</v>
      </c>
      <c r="I3739" s="0" t="s">
        <v>12474</v>
      </c>
      <c r="J3739" s="0" t="s">
        <v>12475</v>
      </c>
      <c r="K3739" s="0" t="s">
        <v>12476</v>
      </c>
      <c r="L3739" s="0" t="str">
        <f aca="false">HYPERLINK("https://www.ncbi.nlm.nih.gov/nuccore/CP000058.1?report=graph&amp;tracks=[key:gene_model_track,Options:GeneOnly]&amp;mk=1205579:1205598|offset_0|444444,1205548:1205567|offset_31|444444,1205524:1205543|offset_55|444444,1205490:1205509|offset_89|00cc00&amp;v=1205378:1205709&amp;c=444444", "offset 89")</f>
        <v>offset 89</v>
      </c>
    </row>
    <row r="3740" customFormat="false" ht="12.8" hidden="false" customHeight="false" outlineLevel="0" collapsed="false">
      <c r="A3740" s="0" t="s">
        <v>12</v>
      </c>
      <c r="B3740" s="0" t="n">
        <v>1205781</v>
      </c>
      <c r="C3740" s="0" t="n">
        <v>1205801</v>
      </c>
      <c r="D3740" s="0" t="s">
        <v>12477</v>
      </c>
      <c r="E3740" s="0" t="s">
        <v>75</v>
      </c>
      <c r="F3740" s="0" t="s">
        <v>15</v>
      </c>
      <c r="G3740" s="0" t="s">
        <v>20</v>
      </c>
      <c r="H3740" s="0" t="n">
        <v>0</v>
      </c>
      <c r="I3740" s="0" t="s">
        <v>12478</v>
      </c>
      <c r="J3740" s="0" t="s">
        <v>12479</v>
      </c>
      <c r="K3740" s="0" t="s">
        <v>12480</v>
      </c>
      <c r="L3740" s="0" t="str">
        <f aca="false">HYPERLINK("https://www.ncbi.nlm.nih.gov/nuccore/CP000058.1?report=graph&amp;tracks=[key:gene_model_track,Options:GeneOnly]&amp;mk=1205782:1205801|offset_0|00cc00,1205810:1205829|offset_28|444444,1205871:1205890|offset_89|444444,1205906:1205925|offset_124|444444&amp;v=1205581:1206125&amp;c=444444", "offset 0")</f>
        <v>offset 0</v>
      </c>
    </row>
    <row r="3741" customFormat="false" ht="12.8" hidden="false" customHeight="false" outlineLevel="0" collapsed="false">
      <c r="A3741" s="0" t="s">
        <v>12</v>
      </c>
      <c r="B3741" s="0" t="n">
        <v>1205809</v>
      </c>
      <c r="C3741" s="0" t="n">
        <v>1205829</v>
      </c>
      <c r="D3741" s="0" t="s">
        <v>12477</v>
      </c>
      <c r="E3741" s="0" t="s">
        <v>75</v>
      </c>
      <c r="F3741" s="0" t="s">
        <v>15</v>
      </c>
      <c r="G3741" s="0" t="s">
        <v>16</v>
      </c>
      <c r="H3741" s="0" t="n">
        <v>28</v>
      </c>
      <c r="I3741" s="0" t="s">
        <v>12481</v>
      </c>
      <c r="J3741" s="0" t="s">
        <v>12482</v>
      </c>
      <c r="K3741" s="0" t="s">
        <v>12483</v>
      </c>
      <c r="L3741" s="0" t="str">
        <f aca="false">HYPERLINK("https://www.ncbi.nlm.nih.gov/nuccore/CP000058.1?report=graph&amp;tracks=[key:gene_model_track,Options:GeneOnly]&amp;mk=1205782:1205801|offset_0|444444,1205810:1205829|offset_28|00cc00,1205871:1205890|offset_89|444444,1205906:1205925|offset_124|444444&amp;v=1205581:1206125&amp;c=444444", "offset 28")</f>
        <v>offset 28</v>
      </c>
    </row>
    <row r="3742" customFormat="false" ht="12.8" hidden="false" customHeight="false" outlineLevel="0" collapsed="false">
      <c r="A3742" s="0" t="s">
        <v>12</v>
      </c>
      <c r="B3742" s="0" t="n">
        <v>1205870</v>
      </c>
      <c r="C3742" s="0" t="n">
        <v>1205890</v>
      </c>
      <c r="D3742" s="0" t="s">
        <v>12477</v>
      </c>
      <c r="E3742" s="0" t="s">
        <v>75</v>
      </c>
      <c r="F3742" s="0" t="s">
        <v>15</v>
      </c>
      <c r="G3742" s="0" t="s">
        <v>32</v>
      </c>
      <c r="H3742" s="0" t="n">
        <v>89</v>
      </c>
      <c r="I3742" s="0" t="s">
        <v>12484</v>
      </c>
      <c r="J3742" s="0" t="s">
        <v>12485</v>
      </c>
      <c r="K3742" s="0" t="s">
        <v>12486</v>
      </c>
      <c r="L3742" s="0" t="str">
        <f aca="false">HYPERLINK("https://www.ncbi.nlm.nih.gov/nuccore/CP000058.1?report=graph&amp;tracks=[key:gene_model_track,Options:GeneOnly]&amp;mk=1205782:1205801|offset_0|444444,1205810:1205829|offset_28|444444,1205871:1205890|offset_89|00cc00,1205906:1205925|offset_124|444444&amp;v=1205581:1206125&amp;c=444444", "offset 89")</f>
        <v>offset 89</v>
      </c>
    </row>
    <row r="3743" customFormat="false" ht="12.8" hidden="false" customHeight="false" outlineLevel="0" collapsed="false">
      <c r="A3743" s="0" t="s">
        <v>12</v>
      </c>
      <c r="B3743" s="0" t="n">
        <v>1205905</v>
      </c>
      <c r="C3743" s="0" t="n">
        <v>1205925</v>
      </c>
      <c r="D3743" s="0" t="s">
        <v>12477</v>
      </c>
      <c r="E3743" s="0" t="s">
        <v>75</v>
      </c>
      <c r="F3743" s="0" t="s">
        <v>15</v>
      </c>
      <c r="G3743" s="0" t="s">
        <v>16</v>
      </c>
      <c r="H3743" s="0" t="n">
        <v>124</v>
      </c>
      <c r="I3743" s="0" t="s">
        <v>12487</v>
      </c>
      <c r="J3743" s="0" t="s">
        <v>12488</v>
      </c>
      <c r="K3743" s="0" t="s">
        <v>12489</v>
      </c>
      <c r="L3743" s="0" t="str">
        <f aca="false">HYPERLINK("https://www.ncbi.nlm.nih.gov/nuccore/CP000058.1?report=graph&amp;tracks=[key:gene_model_track,Options:GeneOnly]&amp;mk=1205782:1205801|offset_0|444444,1205810:1205829|offset_28|444444,1205871:1205890|offset_89|444444,1205906:1205925|offset_124|00cc00&amp;v=1205581:1206125&amp;c=444444", "offset 124")</f>
        <v>offset 124</v>
      </c>
    </row>
    <row r="3744" customFormat="false" ht="12.8" hidden="false" customHeight="false" outlineLevel="0" collapsed="false">
      <c r="A3744" s="0" t="s">
        <v>12</v>
      </c>
      <c r="B3744" s="0" t="n">
        <v>1206818</v>
      </c>
      <c r="C3744" s="0" t="n">
        <v>1206838</v>
      </c>
      <c r="D3744" s="0" t="s">
        <v>12490</v>
      </c>
      <c r="E3744" s="0" t="s">
        <v>12491</v>
      </c>
      <c r="F3744" s="0" t="s">
        <v>15</v>
      </c>
      <c r="G3744" s="0" t="s">
        <v>16</v>
      </c>
      <c r="H3744" s="0" t="n">
        <v>7</v>
      </c>
      <c r="I3744" s="0" t="s">
        <v>12492</v>
      </c>
      <c r="J3744" s="0" t="s">
        <v>12493</v>
      </c>
      <c r="K3744" s="0" t="s">
        <v>12494</v>
      </c>
      <c r="L3744" s="0" t="str">
        <f aca="false">HYPERLINK("https://www.ncbi.nlm.nih.gov/nuccore/CP000058.1?report=graph&amp;tracks=[key:gene_model_track,Options:GeneOnly]&amp;mk=1206819:1206838|offset_7|00cc00,1206854:1206873|offset_42|444444,1206895:1206914|offset_83|444444,1206925:1206944|offset_113|444444&amp;v=1206618:1207144&amp;c=444444", "offset 7")</f>
        <v>offset 7</v>
      </c>
    </row>
    <row r="3745" customFormat="false" ht="12.8" hidden="false" customHeight="false" outlineLevel="0" collapsed="false">
      <c r="A3745" s="0" t="s">
        <v>12</v>
      </c>
      <c r="B3745" s="0" t="n">
        <v>1206853</v>
      </c>
      <c r="C3745" s="0" t="n">
        <v>1206873</v>
      </c>
      <c r="D3745" s="0" t="s">
        <v>12490</v>
      </c>
      <c r="E3745" s="0" t="s">
        <v>12491</v>
      </c>
      <c r="F3745" s="0" t="s">
        <v>15</v>
      </c>
      <c r="G3745" s="0" t="s">
        <v>20</v>
      </c>
      <c r="H3745" s="0" t="n">
        <v>42</v>
      </c>
      <c r="I3745" s="0" t="s">
        <v>12495</v>
      </c>
      <c r="J3745" s="0" t="s">
        <v>12496</v>
      </c>
      <c r="K3745" s="0" t="s">
        <v>12497</v>
      </c>
      <c r="L3745" s="0" t="str">
        <f aca="false">HYPERLINK("https://www.ncbi.nlm.nih.gov/nuccore/CP000058.1?report=graph&amp;tracks=[key:gene_model_track,Options:GeneOnly]&amp;mk=1206819:1206838|offset_7|444444,1206854:1206873|offset_42|00cc00,1206895:1206914|offset_83|444444,1206925:1206944|offset_113|444444&amp;v=1206618:1207144&amp;c=444444", "offset 42")</f>
        <v>offset 42</v>
      </c>
    </row>
    <row r="3746" customFormat="false" ht="12.8" hidden="false" customHeight="false" outlineLevel="0" collapsed="false">
      <c r="A3746" s="0" t="s">
        <v>12</v>
      </c>
      <c r="B3746" s="0" t="n">
        <v>1206894</v>
      </c>
      <c r="C3746" s="0" t="n">
        <v>1206914</v>
      </c>
      <c r="D3746" s="0" t="s">
        <v>12490</v>
      </c>
      <c r="E3746" s="0" t="s">
        <v>12491</v>
      </c>
      <c r="F3746" s="0" t="s">
        <v>15</v>
      </c>
      <c r="G3746" s="0" t="s">
        <v>32</v>
      </c>
      <c r="H3746" s="0" t="n">
        <v>83</v>
      </c>
      <c r="I3746" s="0" t="s">
        <v>12498</v>
      </c>
      <c r="J3746" s="0" t="s">
        <v>12499</v>
      </c>
      <c r="K3746" s="0" t="s">
        <v>12500</v>
      </c>
      <c r="L3746" s="0" t="str">
        <f aca="false">HYPERLINK("https://www.ncbi.nlm.nih.gov/nuccore/CP000058.1?report=graph&amp;tracks=[key:gene_model_track,Options:GeneOnly]&amp;mk=1206819:1206838|offset_7|444444,1206854:1206873|offset_42|444444,1206895:1206914|offset_83|00cc00,1206925:1206944|offset_113|444444&amp;v=1206618:1207144&amp;c=444444", "offset 83")</f>
        <v>offset 83</v>
      </c>
    </row>
    <row r="3747" customFormat="false" ht="12.8" hidden="false" customHeight="false" outlineLevel="0" collapsed="false">
      <c r="A3747" s="0" t="s">
        <v>12</v>
      </c>
      <c r="B3747" s="0" t="n">
        <v>1206924</v>
      </c>
      <c r="C3747" s="0" t="n">
        <v>1206944</v>
      </c>
      <c r="D3747" s="0" t="s">
        <v>12490</v>
      </c>
      <c r="E3747" s="0" t="s">
        <v>12491</v>
      </c>
      <c r="F3747" s="0" t="s">
        <v>15</v>
      </c>
      <c r="G3747" s="0" t="s">
        <v>20</v>
      </c>
      <c r="H3747" s="0" t="n">
        <v>113</v>
      </c>
      <c r="I3747" s="0" t="s">
        <v>12501</v>
      </c>
      <c r="J3747" s="0" t="s">
        <v>12502</v>
      </c>
      <c r="K3747" s="0" t="s">
        <v>12503</v>
      </c>
      <c r="L3747" s="0" t="str">
        <f aca="false">HYPERLINK("https://www.ncbi.nlm.nih.gov/nuccore/CP000058.1?report=graph&amp;tracks=[key:gene_model_track,Options:GeneOnly]&amp;mk=1206819:1206838|offset_7|444444,1206854:1206873|offset_42|444444,1206895:1206914|offset_83|444444,1206925:1206944|offset_113|00cc00&amp;v=1206618:1207144&amp;c=444444", "offset 113")</f>
        <v>offset 113</v>
      </c>
    </row>
    <row r="3748" customFormat="false" ht="12.8" hidden="false" customHeight="false" outlineLevel="0" collapsed="false">
      <c r="A3748" s="0" t="s">
        <v>12</v>
      </c>
      <c r="B3748" s="0" t="n">
        <v>1209280</v>
      </c>
      <c r="C3748" s="0" t="n">
        <v>1209300</v>
      </c>
      <c r="D3748" s="0" t="s">
        <v>12504</v>
      </c>
      <c r="E3748" s="0" t="s">
        <v>12505</v>
      </c>
      <c r="F3748" s="0" t="s">
        <v>90</v>
      </c>
      <c r="G3748" s="0" t="s">
        <v>16</v>
      </c>
      <c r="H3748" s="0" t="n">
        <v>0</v>
      </c>
      <c r="I3748" s="0" t="s">
        <v>12506</v>
      </c>
      <c r="J3748" s="0" t="s">
        <v>12507</v>
      </c>
      <c r="K3748" s="0" t="s">
        <v>12508</v>
      </c>
      <c r="L3748" s="0" t="str">
        <f aca="false">HYPERLINK("https://www.ncbi.nlm.nih.gov/nuccore/CP000058.1?report=graph&amp;tracks=[key:gene_model_track,Options:GeneOnly]&amp;mk=1209281:1209300|offset_0|00cc00,1209254:1209273|offset_27|444444,1209232:1209251|offset_49|444444,1209208:1209227|offset_73|444444&amp;v=1209080:1209427&amp;c=444444", "offset 0")</f>
        <v>offset 0</v>
      </c>
    </row>
    <row r="3749" customFormat="false" ht="12.8" hidden="false" customHeight="false" outlineLevel="0" collapsed="false">
      <c r="A3749" s="0" t="s">
        <v>12</v>
      </c>
      <c r="B3749" s="0" t="n">
        <v>1209253</v>
      </c>
      <c r="C3749" s="0" t="n">
        <v>1209273</v>
      </c>
      <c r="D3749" s="0" t="s">
        <v>12504</v>
      </c>
      <c r="E3749" s="0" t="s">
        <v>12505</v>
      </c>
      <c r="F3749" s="0" t="s">
        <v>90</v>
      </c>
      <c r="G3749" s="0" t="s">
        <v>32</v>
      </c>
      <c r="H3749" s="0" t="n">
        <v>27</v>
      </c>
      <c r="I3749" s="0" t="s">
        <v>12509</v>
      </c>
      <c r="J3749" s="0" t="s">
        <v>12510</v>
      </c>
      <c r="K3749" s="0" t="s">
        <v>12511</v>
      </c>
      <c r="L3749" s="0" t="str">
        <f aca="false">HYPERLINK("https://www.ncbi.nlm.nih.gov/nuccore/CP000058.1?report=graph&amp;tracks=[key:gene_model_track,Options:GeneOnly]&amp;mk=1209281:1209300|offset_0|444444,1209254:1209273|offset_27|00cc00,1209232:1209251|offset_49|444444,1209208:1209227|offset_73|444444&amp;v=1209080:1209427&amp;c=444444", "offset 27")</f>
        <v>offset 27</v>
      </c>
    </row>
    <row r="3750" customFormat="false" ht="12.8" hidden="false" customHeight="false" outlineLevel="0" collapsed="false">
      <c r="A3750" s="0" t="s">
        <v>12</v>
      </c>
      <c r="B3750" s="0" t="n">
        <v>1209231</v>
      </c>
      <c r="C3750" s="0" t="n">
        <v>1209251</v>
      </c>
      <c r="D3750" s="0" t="s">
        <v>12504</v>
      </c>
      <c r="E3750" s="0" t="s">
        <v>12505</v>
      </c>
      <c r="F3750" s="0" t="s">
        <v>90</v>
      </c>
      <c r="G3750" s="0" t="s">
        <v>16</v>
      </c>
      <c r="H3750" s="0" t="n">
        <v>49</v>
      </c>
      <c r="I3750" s="0" t="s">
        <v>12512</v>
      </c>
      <c r="J3750" s="0" t="s">
        <v>12513</v>
      </c>
      <c r="K3750" s="0" t="s">
        <v>12514</v>
      </c>
      <c r="L3750" s="0" t="str">
        <f aca="false">HYPERLINK("https://www.ncbi.nlm.nih.gov/nuccore/CP000058.1?report=graph&amp;tracks=[key:gene_model_track,Options:GeneOnly]&amp;mk=1209281:1209300|offset_0|444444,1209254:1209273|offset_27|444444,1209232:1209251|offset_49|00cc00,1209208:1209227|offset_73|444444&amp;v=1209080:1209427&amp;c=444444", "offset 49")</f>
        <v>offset 49</v>
      </c>
    </row>
    <row r="3751" customFormat="false" ht="12.8" hidden="false" customHeight="false" outlineLevel="0" collapsed="false">
      <c r="A3751" s="0" t="s">
        <v>12</v>
      </c>
      <c r="B3751" s="0" t="n">
        <v>1209207</v>
      </c>
      <c r="C3751" s="0" t="n">
        <v>1209227</v>
      </c>
      <c r="D3751" s="0" t="s">
        <v>12504</v>
      </c>
      <c r="E3751" s="0" t="s">
        <v>12505</v>
      </c>
      <c r="F3751" s="0" t="s">
        <v>90</v>
      </c>
      <c r="G3751" s="0" t="s">
        <v>20</v>
      </c>
      <c r="H3751" s="0" t="n">
        <v>73</v>
      </c>
      <c r="I3751" s="0" t="s">
        <v>12515</v>
      </c>
      <c r="J3751" s="0" t="s">
        <v>12516</v>
      </c>
      <c r="K3751" s="0" t="s">
        <v>12517</v>
      </c>
      <c r="L3751" s="0" t="str">
        <f aca="false">HYPERLINK("https://www.ncbi.nlm.nih.gov/nuccore/CP000058.1?report=graph&amp;tracks=[key:gene_model_track,Options:GeneOnly]&amp;mk=1209281:1209300|offset_0|444444,1209254:1209273|offset_27|444444,1209232:1209251|offset_49|444444,1209208:1209227|offset_73|00cc00&amp;v=1209080:1209427&amp;c=444444", "offset 73")</f>
        <v>offset 73</v>
      </c>
    </row>
    <row r="3752" customFormat="false" ht="12.8" hidden="false" customHeight="false" outlineLevel="0" collapsed="false">
      <c r="A3752" s="0" t="s">
        <v>12</v>
      </c>
      <c r="B3752" s="0" t="n">
        <v>1209923</v>
      </c>
      <c r="C3752" s="0" t="n">
        <v>1209943</v>
      </c>
      <c r="D3752" s="0" t="s">
        <v>12518</v>
      </c>
      <c r="E3752" s="0" t="s">
        <v>12519</v>
      </c>
      <c r="F3752" s="0" t="s">
        <v>90</v>
      </c>
      <c r="G3752" s="0" t="s">
        <v>36</v>
      </c>
      <c r="H3752" s="0" t="n">
        <v>0</v>
      </c>
      <c r="I3752" s="0" t="s">
        <v>12520</v>
      </c>
      <c r="J3752" s="0" t="s">
        <v>12521</v>
      </c>
      <c r="K3752" s="0" t="s">
        <v>12522</v>
      </c>
      <c r="L3752" s="0" t="str">
        <f aca="false">HYPERLINK("https://www.ncbi.nlm.nih.gov/nuccore/CP000058.1?report=graph&amp;tracks=[key:gene_model_track,Options:GeneOnly]&amp;mk=1209924:1209943|offset_0|00cc00,1209904:1209923|offset_20|444444,1209874:1209893|offset_50|444444,1209848:1209867|offset_76|444444&amp;v=1209723:1210067&amp;c=444444", "offset 0")</f>
        <v>offset 0</v>
      </c>
    </row>
    <row r="3753" customFormat="false" ht="12.8" hidden="false" customHeight="false" outlineLevel="0" collapsed="false">
      <c r="A3753" s="0" t="s">
        <v>12</v>
      </c>
      <c r="B3753" s="0" t="n">
        <v>1209903</v>
      </c>
      <c r="C3753" s="0" t="n">
        <v>1209923</v>
      </c>
      <c r="D3753" s="0" t="s">
        <v>12518</v>
      </c>
      <c r="E3753" s="0" t="s">
        <v>12519</v>
      </c>
      <c r="F3753" s="0" t="s">
        <v>90</v>
      </c>
      <c r="G3753" s="0" t="s">
        <v>16</v>
      </c>
      <c r="H3753" s="0" t="n">
        <v>20</v>
      </c>
      <c r="I3753" s="0" t="s">
        <v>12523</v>
      </c>
      <c r="J3753" s="0" t="s">
        <v>12524</v>
      </c>
      <c r="K3753" s="0" t="s">
        <v>12525</v>
      </c>
      <c r="L3753" s="0" t="str">
        <f aca="false">HYPERLINK("https://www.ncbi.nlm.nih.gov/nuccore/CP000058.1?report=graph&amp;tracks=[key:gene_model_track,Options:GeneOnly]&amp;mk=1209924:1209943|offset_0|444444,1209904:1209923|offset_20|00cc00,1209874:1209893|offset_50|444444,1209848:1209867|offset_76|444444&amp;v=1209723:1210067&amp;c=444444", "offset 20")</f>
        <v>offset 20</v>
      </c>
    </row>
    <row r="3754" customFormat="false" ht="12.8" hidden="false" customHeight="false" outlineLevel="0" collapsed="false">
      <c r="A3754" s="0" t="s">
        <v>12</v>
      </c>
      <c r="B3754" s="0" t="n">
        <v>1209873</v>
      </c>
      <c r="C3754" s="0" t="n">
        <v>1209893</v>
      </c>
      <c r="D3754" s="0" t="s">
        <v>12518</v>
      </c>
      <c r="E3754" s="0" t="s">
        <v>12519</v>
      </c>
      <c r="F3754" s="0" t="s">
        <v>90</v>
      </c>
      <c r="G3754" s="0" t="s">
        <v>20</v>
      </c>
      <c r="H3754" s="0" t="n">
        <v>50</v>
      </c>
      <c r="I3754" s="0" t="s">
        <v>12526</v>
      </c>
      <c r="J3754" s="0" t="s">
        <v>12527</v>
      </c>
      <c r="K3754" s="0" t="s">
        <v>12528</v>
      </c>
      <c r="L3754" s="0" t="str">
        <f aca="false">HYPERLINK("https://www.ncbi.nlm.nih.gov/nuccore/CP000058.1?report=graph&amp;tracks=[key:gene_model_track,Options:GeneOnly]&amp;mk=1209924:1209943|offset_0|444444,1209904:1209923|offset_20|444444,1209874:1209893|offset_50|00cc00,1209848:1209867|offset_76|444444&amp;v=1209723:1210067&amp;c=444444", "offset 50")</f>
        <v>offset 50</v>
      </c>
    </row>
    <row r="3755" customFormat="false" ht="12.8" hidden="false" customHeight="false" outlineLevel="0" collapsed="false">
      <c r="A3755" s="0" t="s">
        <v>12</v>
      </c>
      <c r="B3755" s="0" t="n">
        <v>1209847</v>
      </c>
      <c r="C3755" s="0" t="n">
        <v>1209867</v>
      </c>
      <c r="D3755" s="0" t="s">
        <v>12518</v>
      </c>
      <c r="E3755" s="0" t="s">
        <v>12519</v>
      </c>
      <c r="F3755" s="0" t="s">
        <v>90</v>
      </c>
      <c r="G3755" s="0" t="s">
        <v>32</v>
      </c>
      <c r="H3755" s="0" t="n">
        <v>76</v>
      </c>
      <c r="I3755" s="0" t="s">
        <v>12529</v>
      </c>
      <c r="J3755" s="0" t="s">
        <v>12530</v>
      </c>
      <c r="K3755" s="0" t="s">
        <v>12531</v>
      </c>
      <c r="L3755" s="0" t="str">
        <f aca="false">HYPERLINK("https://www.ncbi.nlm.nih.gov/nuccore/CP000058.1?report=graph&amp;tracks=[key:gene_model_track,Options:GeneOnly]&amp;mk=1209924:1209943|offset_0|444444,1209904:1209923|offset_20|444444,1209874:1209893|offset_50|444444,1209848:1209867|offset_76|00cc00&amp;v=1209723:1210067&amp;c=444444", "offset 76")</f>
        <v>offset 76</v>
      </c>
    </row>
    <row r="3756" customFormat="false" ht="12.8" hidden="false" customHeight="false" outlineLevel="0" collapsed="false">
      <c r="A3756" s="0" t="s">
        <v>12</v>
      </c>
      <c r="B3756" s="0" t="n">
        <v>1210157</v>
      </c>
      <c r="C3756" s="0" t="n">
        <v>1210177</v>
      </c>
      <c r="D3756" s="0" t="s">
        <v>12532</v>
      </c>
      <c r="E3756" s="0" t="s">
        <v>12533</v>
      </c>
      <c r="F3756" s="0" t="s">
        <v>15</v>
      </c>
      <c r="G3756" s="0" t="s">
        <v>16</v>
      </c>
      <c r="H3756" s="0" t="n">
        <v>7</v>
      </c>
      <c r="I3756" s="0" t="s">
        <v>12534</v>
      </c>
      <c r="J3756" s="0" t="s">
        <v>12535</v>
      </c>
      <c r="K3756" s="0" t="s">
        <v>12536</v>
      </c>
      <c r="L3756" s="0" t="str">
        <f aca="false">HYPERLINK("https://www.ncbi.nlm.nih.gov/nuccore/CP000058.1?report=graph&amp;tracks=[key:gene_model_track,Options:GeneOnly]&amp;mk=1210158:1210177|offset_7|00cc00,1210197:1210216|offset_46|444444,1210218:1210237|offset_67|444444,1210239:1210258|offset_88|444444&amp;v=1209957:1210458&amp;c=444444", "offset 7")</f>
        <v>offset 7</v>
      </c>
    </row>
    <row r="3757" customFormat="false" ht="12.8" hidden="false" customHeight="false" outlineLevel="0" collapsed="false">
      <c r="A3757" s="0" t="s">
        <v>12</v>
      </c>
      <c r="B3757" s="0" t="n">
        <v>1210196</v>
      </c>
      <c r="C3757" s="0" t="n">
        <v>1210216</v>
      </c>
      <c r="D3757" s="0" t="s">
        <v>12532</v>
      </c>
      <c r="E3757" s="0" t="s">
        <v>12533</v>
      </c>
      <c r="F3757" s="0" t="s">
        <v>15</v>
      </c>
      <c r="G3757" s="0" t="s">
        <v>16</v>
      </c>
      <c r="H3757" s="0" t="n">
        <v>46</v>
      </c>
      <c r="I3757" s="0" t="s">
        <v>12537</v>
      </c>
      <c r="J3757" s="0" t="s">
        <v>12538</v>
      </c>
      <c r="K3757" s="0" t="s">
        <v>12539</v>
      </c>
      <c r="L3757" s="0" t="str">
        <f aca="false">HYPERLINK("https://www.ncbi.nlm.nih.gov/nuccore/CP000058.1?report=graph&amp;tracks=[key:gene_model_track,Options:GeneOnly]&amp;mk=1210158:1210177|offset_7|444444,1210197:1210216|offset_46|00cc00,1210218:1210237|offset_67|444444,1210239:1210258|offset_88|444444&amp;v=1209957:1210458&amp;c=444444", "offset 46")</f>
        <v>offset 46</v>
      </c>
    </row>
    <row r="3758" customFormat="false" ht="12.8" hidden="false" customHeight="false" outlineLevel="0" collapsed="false">
      <c r="A3758" s="0" t="s">
        <v>12</v>
      </c>
      <c r="B3758" s="0" t="n">
        <v>1210217</v>
      </c>
      <c r="C3758" s="0" t="n">
        <v>1210237</v>
      </c>
      <c r="D3758" s="0" t="s">
        <v>12532</v>
      </c>
      <c r="E3758" s="0" t="s">
        <v>12533</v>
      </c>
      <c r="F3758" s="0" t="s">
        <v>15</v>
      </c>
      <c r="G3758" s="0" t="s">
        <v>16</v>
      </c>
      <c r="H3758" s="0" t="n">
        <v>67</v>
      </c>
      <c r="I3758" s="0" t="s">
        <v>12540</v>
      </c>
      <c r="J3758" s="0" t="s">
        <v>12541</v>
      </c>
      <c r="K3758" s="0" t="s">
        <v>12542</v>
      </c>
      <c r="L3758" s="0" t="str">
        <f aca="false">HYPERLINK("https://www.ncbi.nlm.nih.gov/nuccore/CP000058.1?report=graph&amp;tracks=[key:gene_model_track,Options:GeneOnly]&amp;mk=1210158:1210177|offset_7|444444,1210197:1210216|offset_46|444444,1210218:1210237|offset_67|00cc00,1210239:1210258|offset_88|444444&amp;v=1209957:1210458&amp;c=444444", "offset 67")</f>
        <v>offset 67</v>
      </c>
    </row>
    <row r="3759" customFormat="false" ht="12.8" hidden="false" customHeight="false" outlineLevel="0" collapsed="false">
      <c r="A3759" s="0" t="s">
        <v>12</v>
      </c>
      <c r="B3759" s="0" t="n">
        <v>1210238</v>
      </c>
      <c r="C3759" s="0" t="n">
        <v>1210258</v>
      </c>
      <c r="D3759" s="0" t="s">
        <v>12532</v>
      </c>
      <c r="E3759" s="0" t="s">
        <v>12533</v>
      </c>
      <c r="F3759" s="0" t="s">
        <v>15</v>
      </c>
      <c r="G3759" s="0" t="s">
        <v>36</v>
      </c>
      <c r="H3759" s="0" t="n">
        <v>88</v>
      </c>
      <c r="I3759" s="0" t="s">
        <v>12543</v>
      </c>
      <c r="J3759" s="0" t="s">
        <v>12544</v>
      </c>
      <c r="K3759" s="0" t="s">
        <v>12545</v>
      </c>
      <c r="L3759" s="0" t="str">
        <f aca="false">HYPERLINK("https://www.ncbi.nlm.nih.gov/nuccore/CP000058.1?report=graph&amp;tracks=[key:gene_model_track,Options:GeneOnly]&amp;mk=1210158:1210177|offset_7|444444,1210197:1210216|offset_46|444444,1210218:1210237|offset_67|444444,1210239:1210258|offset_88|00cc00&amp;v=1209957:1210458&amp;c=444444", "offset 88")</f>
        <v>offset 88</v>
      </c>
    </row>
    <row r="3760" customFormat="false" ht="12.8" hidden="false" customHeight="false" outlineLevel="0" collapsed="false">
      <c r="A3760" s="0" t="s">
        <v>12</v>
      </c>
      <c r="B3760" s="0" t="n">
        <v>1210799</v>
      </c>
      <c r="C3760" s="0" t="n">
        <v>1210819</v>
      </c>
      <c r="D3760" s="0" t="s">
        <v>12546</v>
      </c>
      <c r="E3760" s="0" t="s">
        <v>75</v>
      </c>
      <c r="F3760" s="0" t="s">
        <v>15</v>
      </c>
      <c r="G3760" s="0" t="s">
        <v>16</v>
      </c>
      <c r="H3760" s="0" t="n">
        <v>25</v>
      </c>
      <c r="I3760" s="0" t="s">
        <v>12547</v>
      </c>
      <c r="J3760" s="0" t="s">
        <v>12548</v>
      </c>
      <c r="K3760" s="0" t="s">
        <v>12549</v>
      </c>
      <c r="L3760" s="0" t="str">
        <f aca="false">HYPERLINK("https://www.ncbi.nlm.nih.gov/nuccore/CP000058.1?report=graph&amp;tracks=[key:gene_model_track,Options:GeneOnly]&amp;mk=1210800:1210819|offset_25|00cc00,1210836:1210855|offset_61|444444,1210860:1210879|offset_85|444444,1210882:1210901|offset_107|444444&amp;v=1210599:1211101&amp;c=444444", "offset 25")</f>
        <v>offset 25</v>
      </c>
    </row>
    <row r="3761" customFormat="false" ht="12.8" hidden="false" customHeight="false" outlineLevel="0" collapsed="false">
      <c r="A3761" s="0" t="s">
        <v>12</v>
      </c>
      <c r="B3761" s="0" t="n">
        <v>1210835</v>
      </c>
      <c r="C3761" s="0" t="n">
        <v>1210855</v>
      </c>
      <c r="D3761" s="0" t="s">
        <v>12546</v>
      </c>
      <c r="E3761" s="0" t="s">
        <v>75</v>
      </c>
      <c r="F3761" s="0" t="s">
        <v>15</v>
      </c>
      <c r="G3761" s="0" t="s">
        <v>16</v>
      </c>
      <c r="H3761" s="0" t="n">
        <v>61</v>
      </c>
      <c r="I3761" s="0" t="s">
        <v>12550</v>
      </c>
      <c r="J3761" s="0" t="s">
        <v>12551</v>
      </c>
      <c r="K3761" s="0" t="s">
        <v>12552</v>
      </c>
      <c r="L3761" s="0" t="str">
        <f aca="false">HYPERLINK("https://www.ncbi.nlm.nih.gov/nuccore/CP000058.1?report=graph&amp;tracks=[key:gene_model_track,Options:GeneOnly]&amp;mk=1210800:1210819|offset_25|444444,1210836:1210855|offset_61|00cc00,1210860:1210879|offset_85|444444,1210882:1210901|offset_107|444444&amp;v=1210599:1211101&amp;c=444444", "offset 61")</f>
        <v>offset 61</v>
      </c>
    </row>
    <row r="3762" customFormat="false" ht="12.8" hidden="false" customHeight="false" outlineLevel="0" collapsed="false">
      <c r="A3762" s="0" t="s">
        <v>12</v>
      </c>
      <c r="B3762" s="0" t="n">
        <v>1210859</v>
      </c>
      <c r="C3762" s="0" t="n">
        <v>1210879</v>
      </c>
      <c r="D3762" s="0" t="s">
        <v>12546</v>
      </c>
      <c r="E3762" s="0" t="s">
        <v>75</v>
      </c>
      <c r="F3762" s="0" t="s">
        <v>15</v>
      </c>
      <c r="G3762" s="0" t="s">
        <v>32</v>
      </c>
      <c r="H3762" s="0" t="n">
        <v>85</v>
      </c>
      <c r="I3762" s="0" t="s">
        <v>12553</v>
      </c>
      <c r="J3762" s="0" t="s">
        <v>12554</v>
      </c>
      <c r="K3762" s="0" t="s">
        <v>12555</v>
      </c>
      <c r="L3762" s="0" t="str">
        <f aca="false">HYPERLINK("https://www.ncbi.nlm.nih.gov/nuccore/CP000058.1?report=graph&amp;tracks=[key:gene_model_track,Options:GeneOnly]&amp;mk=1210800:1210819|offset_25|444444,1210836:1210855|offset_61|444444,1210860:1210879|offset_85|00cc00,1210882:1210901|offset_107|444444&amp;v=1210599:1211101&amp;c=444444", "offset 85")</f>
        <v>offset 85</v>
      </c>
    </row>
    <row r="3763" customFormat="false" ht="12.8" hidden="false" customHeight="false" outlineLevel="0" collapsed="false">
      <c r="A3763" s="0" t="s">
        <v>12</v>
      </c>
      <c r="B3763" s="0" t="n">
        <v>1210881</v>
      </c>
      <c r="C3763" s="0" t="n">
        <v>1210901</v>
      </c>
      <c r="D3763" s="0" t="s">
        <v>12546</v>
      </c>
      <c r="E3763" s="0" t="s">
        <v>75</v>
      </c>
      <c r="F3763" s="0" t="s">
        <v>15</v>
      </c>
      <c r="G3763" s="0" t="s">
        <v>20</v>
      </c>
      <c r="H3763" s="0" t="n">
        <v>107</v>
      </c>
      <c r="I3763" s="0" t="s">
        <v>12556</v>
      </c>
      <c r="J3763" s="0" t="s">
        <v>12557</v>
      </c>
      <c r="K3763" s="0" t="s">
        <v>12558</v>
      </c>
      <c r="L3763" s="0" t="str">
        <f aca="false">HYPERLINK("https://www.ncbi.nlm.nih.gov/nuccore/CP000058.1?report=graph&amp;tracks=[key:gene_model_track,Options:GeneOnly]&amp;mk=1210800:1210819|offset_25|444444,1210836:1210855|offset_61|444444,1210860:1210879|offset_85|444444,1210882:1210901|offset_107|00cc00&amp;v=1210599:1211101&amp;c=444444", "offset 107")</f>
        <v>offset 107</v>
      </c>
    </row>
    <row r="3764" customFormat="false" ht="12.8" hidden="false" customHeight="false" outlineLevel="0" collapsed="false">
      <c r="A3764" s="0" t="s">
        <v>12</v>
      </c>
      <c r="B3764" s="0" t="n">
        <v>1211409</v>
      </c>
      <c r="C3764" s="0" t="n">
        <v>1211429</v>
      </c>
      <c r="D3764" s="0" t="s">
        <v>12559</v>
      </c>
      <c r="E3764" s="0" t="s">
        <v>75</v>
      </c>
      <c r="F3764" s="0" t="s">
        <v>15</v>
      </c>
      <c r="G3764" s="0" t="s">
        <v>20</v>
      </c>
      <c r="H3764" s="0" t="n">
        <v>65</v>
      </c>
      <c r="I3764" s="0" t="s">
        <v>12560</v>
      </c>
      <c r="J3764" s="0" t="s">
        <v>12561</v>
      </c>
      <c r="K3764" s="0" t="s">
        <v>12562</v>
      </c>
      <c r="L3764" s="0" t="str">
        <f aca="false">HYPERLINK("https://www.ncbi.nlm.nih.gov/nuccore/CP000058.1?report=graph&amp;tracks=[key:gene_model_track,Options:GeneOnly]&amp;mk=1211410:1211429|offset_65|00cc00,1211436:1211455|offset_91|444444,1211466:1211485|offset_121|444444,1211527:1211546|offset_182|444444&amp;v=1211209:1211746&amp;c=444444", "offset 65")</f>
        <v>offset 65</v>
      </c>
    </row>
    <row r="3765" customFormat="false" ht="12.8" hidden="false" customHeight="false" outlineLevel="0" collapsed="false">
      <c r="A3765" s="0" t="s">
        <v>12</v>
      </c>
      <c r="B3765" s="0" t="n">
        <v>1211435</v>
      </c>
      <c r="C3765" s="0" t="n">
        <v>1211455</v>
      </c>
      <c r="D3765" s="0" t="s">
        <v>12559</v>
      </c>
      <c r="E3765" s="0" t="s">
        <v>75</v>
      </c>
      <c r="F3765" s="0" t="s">
        <v>15</v>
      </c>
      <c r="G3765" s="0" t="s">
        <v>20</v>
      </c>
      <c r="H3765" s="0" t="n">
        <v>91</v>
      </c>
      <c r="I3765" s="0" t="s">
        <v>12563</v>
      </c>
      <c r="J3765" s="0" t="s">
        <v>12564</v>
      </c>
      <c r="K3765" s="0" t="s">
        <v>12565</v>
      </c>
      <c r="L3765" s="0" t="str">
        <f aca="false">HYPERLINK("https://www.ncbi.nlm.nih.gov/nuccore/CP000058.1?report=graph&amp;tracks=[key:gene_model_track,Options:GeneOnly]&amp;mk=1211410:1211429|offset_65|444444,1211436:1211455|offset_91|00cc00,1211466:1211485|offset_121|444444,1211527:1211546|offset_182|444444&amp;v=1211209:1211746&amp;c=444444", "offset 91")</f>
        <v>offset 91</v>
      </c>
    </row>
    <row r="3766" customFormat="false" ht="12.8" hidden="false" customHeight="false" outlineLevel="0" collapsed="false">
      <c r="A3766" s="0" t="s">
        <v>12</v>
      </c>
      <c r="B3766" s="0" t="n">
        <v>1211465</v>
      </c>
      <c r="C3766" s="0" t="n">
        <v>1211485</v>
      </c>
      <c r="D3766" s="0" t="s">
        <v>12559</v>
      </c>
      <c r="E3766" s="0" t="s">
        <v>75</v>
      </c>
      <c r="F3766" s="0" t="s">
        <v>15</v>
      </c>
      <c r="G3766" s="0" t="s">
        <v>20</v>
      </c>
      <c r="H3766" s="0" t="n">
        <v>121</v>
      </c>
      <c r="I3766" s="0" t="s">
        <v>12566</v>
      </c>
      <c r="J3766" s="0" t="s">
        <v>12567</v>
      </c>
      <c r="K3766" s="0" t="s">
        <v>12568</v>
      </c>
      <c r="L3766" s="0" t="str">
        <f aca="false">HYPERLINK("https://www.ncbi.nlm.nih.gov/nuccore/CP000058.1?report=graph&amp;tracks=[key:gene_model_track,Options:GeneOnly]&amp;mk=1211410:1211429|offset_65|444444,1211436:1211455|offset_91|444444,1211466:1211485|offset_121|00cc00,1211527:1211546|offset_182|444444&amp;v=1211209:1211746&amp;c=444444", "offset 121")</f>
        <v>offset 121</v>
      </c>
    </row>
    <row r="3767" customFormat="false" ht="12.8" hidden="false" customHeight="false" outlineLevel="0" collapsed="false">
      <c r="A3767" s="0" t="s">
        <v>12</v>
      </c>
      <c r="B3767" s="0" t="n">
        <v>1211526</v>
      </c>
      <c r="C3767" s="0" t="n">
        <v>1211546</v>
      </c>
      <c r="D3767" s="0" t="s">
        <v>12559</v>
      </c>
      <c r="E3767" s="0" t="s">
        <v>75</v>
      </c>
      <c r="F3767" s="0" t="s">
        <v>15</v>
      </c>
      <c r="G3767" s="0" t="s">
        <v>32</v>
      </c>
      <c r="H3767" s="0" t="n">
        <v>182</v>
      </c>
      <c r="I3767" s="0" t="s">
        <v>12569</v>
      </c>
      <c r="J3767" s="0" t="s">
        <v>12570</v>
      </c>
      <c r="K3767" s="0" t="s">
        <v>12571</v>
      </c>
      <c r="L3767" s="0" t="str">
        <f aca="false">HYPERLINK("https://www.ncbi.nlm.nih.gov/nuccore/CP000058.1?report=graph&amp;tracks=[key:gene_model_track,Options:GeneOnly]&amp;mk=1211410:1211429|offset_65|444444,1211436:1211455|offset_91|444444,1211466:1211485|offset_121|444444,1211527:1211546|offset_182|00cc00&amp;v=1211209:1211746&amp;c=444444", "offset 182")</f>
        <v>offset 182</v>
      </c>
    </row>
    <row r="3768" customFormat="false" ht="12.8" hidden="false" customHeight="false" outlineLevel="0" collapsed="false">
      <c r="A3768" s="0" t="s">
        <v>12</v>
      </c>
      <c r="B3768" s="0" t="n">
        <v>1212605</v>
      </c>
      <c r="C3768" s="0" t="n">
        <v>1212625</v>
      </c>
      <c r="D3768" s="0" t="s">
        <v>12572</v>
      </c>
      <c r="E3768" s="0" t="s">
        <v>75</v>
      </c>
      <c r="F3768" s="0" t="s">
        <v>90</v>
      </c>
      <c r="G3768" s="0" t="s">
        <v>32</v>
      </c>
      <c r="H3768" s="0" t="n">
        <v>14</v>
      </c>
      <c r="I3768" s="0" t="s">
        <v>12573</v>
      </c>
      <c r="J3768" s="0" t="s">
        <v>12574</v>
      </c>
      <c r="K3768" s="0" t="s">
        <v>12575</v>
      </c>
      <c r="L3768" s="0" t="str">
        <f aca="false">HYPERLINK("https://www.ncbi.nlm.nih.gov/nuccore/CP000058.1?report=graph&amp;tracks=[key:gene_model_track,Options:GeneOnly]&amp;mk=1212606:1212625|offset_14|00cc00,1212570:1212589|offset_50|444444,1212546:1212565|offset_74|444444,1212526:1212545|offset_94|444444&amp;v=1212405:1212745&amp;c=444444", "offset 14")</f>
        <v>offset 14</v>
      </c>
    </row>
    <row r="3769" customFormat="false" ht="12.8" hidden="false" customHeight="false" outlineLevel="0" collapsed="false">
      <c r="A3769" s="0" t="s">
        <v>12</v>
      </c>
      <c r="B3769" s="0" t="n">
        <v>1212569</v>
      </c>
      <c r="C3769" s="0" t="n">
        <v>1212589</v>
      </c>
      <c r="D3769" s="0" t="s">
        <v>12572</v>
      </c>
      <c r="E3769" s="0" t="s">
        <v>75</v>
      </c>
      <c r="F3769" s="0" t="s">
        <v>90</v>
      </c>
      <c r="G3769" s="0" t="s">
        <v>20</v>
      </c>
      <c r="H3769" s="0" t="n">
        <v>50</v>
      </c>
      <c r="I3769" s="0" t="s">
        <v>12576</v>
      </c>
      <c r="J3769" s="0" t="s">
        <v>12577</v>
      </c>
      <c r="K3769" s="0" t="s">
        <v>12578</v>
      </c>
      <c r="L3769" s="0" t="str">
        <f aca="false">HYPERLINK("https://www.ncbi.nlm.nih.gov/nuccore/CP000058.1?report=graph&amp;tracks=[key:gene_model_track,Options:GeneOnly]&amp;mk=1212606:1212625|offset_14|444444,1212570:1212589|offset_50|00cc00,1212546:1212565|offset_74|444444,1212526:1212545|offset_94|444444&amp;v=1212405:1212745&amp;c=444444", "offset 50")</f>
        <v>offset 50</v>
      </c>
    </row>
    <row r="3770" customFormat="false" ht="12.8" hidden="false" customHeight="false" outlineLevel="0" collapsed="false">
      <c r="A3770" s="0" t="s">
        <v>12</v>
      </c>
      <c r="B3770" s="0" t="n">
        <v>1212545</v>
      </c>
      <c r="C3770" s="0" t="n">
        <v>1212565</v>
      </c>
      <c r="D3770" s="0" t="s">
        <v>12572</v>
      </c>
      <c r="E3770" s="0" t="s">
        <v>75</v>
      </c>
      <c r="F3770" s="0" t="s">
        <v>90</v>
      </c>
      <c r="G3770" s="0" t="s">
        <v>16</v>
      </c>
      <c r="H3770" s="0" t="n">
        <v>74</v>
      </c>
      <c r="I3770" s="0" t="s">
        <v>12579</v>
      </c>
      <c r="J3770" s="0" t="s">
        <v>12580</v>
      </c>
      <c r="K3770" s="0" t="s">
        <v>12581</v>
      </c>
      <c r="L3770" s="0" t="str">
        <f aca="false">HYPERLINK("https://www.ncbi.nlm.nih.gov/nuccore/CP000058.1?report=graph&amp;tracks=[key:gene_model_track,Options:GeneOnly]&amp;mk=1212606:1212625|offset_14|444444,1212570:1212589|offset_50|444444,1212546:1212565|offset_74|00cc00,1212526:1212545|offset_94|444444&amp;v=1212405:1212745&amp;c=444444", "offset 74")</f>
        <v>offset 74</v>
      </c>
    </row>
    <row r="3771" customFormat="false" ht="12.8" hidden="false" customHeight="false" outlineLevel="0" collapsed="false">
      <c r="A3771" s="0" t="s">
        <v>12</v>
      </c>
      <c r="B3771" s="0" t="n">
        <v>1212525</v>
      </c>
      <c r="C3771" s="0" t="n">
        <v>1212545</v>
      </c>
      <c r="D3771" s="0" t="s">
        <v>12572</v>
      </c>
      <c r="E3771" s="0" t="s">
        <v>75</v>
      </c>
      <c r="F3771" s="0" t="s">
        <v>90</v>
      </c>
      <c r="G3771" s="0" t="s">
        <v>20</v>
      </c>
      <c r="H3771" s="0" t="n">
        <v>94</v>
      </c>
      <c r="I3771" s="0" t="s">
        <v>12582</v>
      </c>
      <c r="J3771" s="0" t="s">
        <v>12583</v>
      </c>
      <c r="K3771" s="0" t="s">
        <v>12584</v>
      </c>
      <c r="L3771" s="0" t="str">
        <f aca="false">HYPERLINK("https://www.ncbi.nlm.nih.gov/nuccore/CP000058.1?report=graph&amp;tracks=[key:gene_model_track,Options:GeneOnly]&amp;mk=1212606:1212625|offset_14|444444,1212570:1212589|offset_50|444444,1212546:1212565|offset_74|444444,1212526:1212545|offset_94|00cc00&amp;v=1212405:1212745&amp;c=444444", "offset 94")</f>
        <v>offset 94</v>
      </c>
    </row>
    <row r="3772" customFormat="false" ht="12.8" hidden="false" customHeight="false" outlineLevel="0" collapsed="false">
      <c r="A3772" s="0" t="s">
        <v>12</v>
      </c>
      <c r="B3772" s="0" t="n">
        <v>1213388</v>
      </c>
      <c r="C3772" s="0" t="n">
        <v>1213408</v>
      </c>
      <c r="D3772" s="0" t="s">
        <v>12585</v>
      </c>
      <c r="E3772" s="0" t="s">
        <v>75</v>
      </c>
      <c r="F3772" s="0" t="s">
        <v>90</v>
      </c>
      <c r="G3772" s="0" t="s">
        <v>20</v>
      </c>
      <c r="H3772" s="0" t="n">
        <v>49</v>
      </c>
      <c r="I3772" s="0" t="s">
        <v>12586</v>
      </c>
      <c r="J3772" s="0" t="s">
        <v>12587</v>
      </c>
      <c r="K3772" s="0" t="s">
        <v>12588</v>
      </c>
      <c r="L3772" s="0" t="str">
        <f aca="false">HYPERLINK("https://www.ncbi.nlm.nih.gov/nuccore/CP000058.1?report=graph&amp;tracks=[key:gene_model_track,Options:GeneOnly]&amp;mk=1213389:1213408|offset_49|00cc00,1213365:1213384|offset_73|444444,1213322:1213341|offset_116|444444,1213302:1213321|offset_136|444444&amp;v=1213188:1213521&amp;c=444444", "offset 49")</f>
        <v>offset 49</v>
      </c>
    </row>
    <row r="3773" customFormat="false" ht="12.8" hidden="false" customHeight="false" outlineLevel="0" collapsed="false">
      <c r="A3773" s="0" t="s">
        <v>12</v>
      </c>
      <c r="B3773" s="0" t="n">
        <v>1213364</v>
      </c>
      <c r="C3773" s="0" t="n">
        <v>1213384</v>
      </c>
      <c r="D3773" s="0" t="s">
        <v>12585</v>
      </c>
      <c r="E3773" s="0" t="s">
        <v>75</v>
      </c>
      <c r="F3773" s="0" t="s">
        <v>90</v>
      </c>
      <c r="G3773" s="0" t="s">
        <v>32</v>
      </c>
      <c r="H3773" s="0" t="n">
        <v>73</v>
      </c>
      <c r="I3773" s="0" t="s">
        <v>12589</v>
      </c>
      <c r="J3773" s="0" t="s">
        <v>12590</v>
      </c>
      <c r="K3773" s="0" t="s">
        <v>12591</v>
      </c>
      <c r="L3773" s="0" t="str">
        <f aca="false">HYPERLINK("https://www.ncbi.nlm.nih.gov/nuccore/CP000058.1?report=graph&amp;tracks=[key:gene_model_track,Options:GeneOnly]&amp;mk=1213389:1213408|offset_49|444444,1213365:1213384|offset_73|00cc00,1213322:1213341|offset_116|444444,1213302:1213321|offset_136|444444&amp;v=1213188:1213521&amp;c=444444", "offset 73")</f>
        <v>offset 73</v>
      </c>
    </row>
    <row r="3774" customFormat="false" ht="12.8" hidden="false" customHeight="false" outlineLevel="0" collapsed="false">
      <c r="A3774" s="0" t="s">
        <v>12</v>
      </c>
      <c r="B3774" s="0" t="n">
        <v>1213321</v>
      </c>
      <c r="C3774" s="0" t="n">
        <v>1213341</v>
      </c>
      <c r="D3774" s="0" t="s">
        <v>12585</v>
      </c>
      <c r="E3774" s="0" t="s">
        <v>75</v>
      </c>
      <c r="F3774" s="0" t="s">
        <v>90</v>
      </c>
      <c r="G3774" s="0" t="s">
        <v>20</v>
      </c>
      <c r="H3774" s="0" t="n">
        <v>116</v>
      </c>
      <c r="I3774" s="0" t="s">
        <v>12592</v>
      </c>
      <c r="J3774" s="0" t="s">
        <v>12593</v>
      </c>
      <c r="K3774" s="0" t="s">
        <v>12594</v>
      </c>
      <c r="L3774" s="0" t="str">
        <f aca="false">HYPERLINK("https://www.ncbi.nlm.nih.gov/nuccore/CP000058.1?report=graph&amp;tracks=[key:gene_model_track,Options:GeneOnly]&amp;mk=1213389:1213408|offset_49|444444,1213365:1213384|offset_73|444444,1213322:1213341|offset_116|00cc00,1213302:1213321|offset_136|444444&amp;v=1213188:1213521&amp;c=444444", "offset 116")</f>
        <v>offset 116</v>
      </c>
    </row>
    <row r="3775" customFormat="false" ht="12.8" hidden="false" customHeight="false" outlineLevel="0" collapsed="false">
      <c r="A3775" s="0" t="s">
        <v>12</v>
      </c>
      <c r="B3775" s="0" t="n">
        <v>1213301</v>
      </c>
      <c r="C3775" s="0" t="n">
        <v>1213321</v>
      </c>
      <c r="D3775" s="0" t="s">
        <v>12585</v>
      </c>
      <c r="E3775" s="0" t="s">
        <v>75</v>
      </c>
      <c r="F3775" s="0" t="s">
        <v>90</v>
      </c>
      <c r="G3775" s="0" t="s">
        <v>20</v>
      </c>
      <c r="H3775" s="0" t="n">
        <v>136</v>
      </c>
      <c r="I3775" s="0" t="s">
        <v>12595</v>
      </c>
      <c r="J3775" s="0" t="s">
        <v>12596</v>
      </c>
      <c r="K3775" s="0" t="s">
        <v>12597</v>
      </c>
      <c r="L3775" s="0" t="str">
        <f aca="false">HYPERLINK("https://www.ncbi.nlm.nih.gov/nuccore/CP000058.1?report=graph&amp;tracks=[key:gene_model_track,Options:GeneOnly]&amp;mk=1213389:1213408|offset_49|444444,1213365:1213384|offset_73|444444,1213322:1213341|offset_116|444444,1213302:1213321|offset_136|00cc00&amp;v=1213188:1213521&amp;c=444444", "offset 136")</f>
        <v>offset 136</v>
      </c>
    </row>
    <row r="3776" customFormat="false" ht="12.8" hidden="false" customHeight="false" outlineLevel="0" collapsed="false">
      <c r="A3776" s="0" t="s">
        <v>12</v>
      </c>
      <c r="B3776" s="0" t="n">
        <v>1213612</v>
      </c>
      <c r="C3776" s="0" t="n">
        <v>1213632</v>
      </c>
      <c r="D3776" s="0" t="s">
        <v>12598</v>
      </c>
      <c r="E3776" s="0" t="s">
        <v>75</v>
      </c>
      <c r="F3776" s="0" t="s">
        <v>15</v>
      </c>
      <c r="G3776" s="0" t="s">
        <v>16</v>
      </c>
      <c r="H3776" s="0" t="n">
        <v>44</v>
      </c>
      <c r="I3776" s="0" t="s">
        <v>12599</v>
      </c>
      <c r="J3776" s="0" t="s">
        <v>12600</v>
      </c>
      <c r="K3776" s="0" t="s">
        <v>12601</v>
      </c>
      <c r="L3776" s="0" t="str">
        <f aca="false">HYPERLINK("https://www.ncbi.nlm.nih.gov/nuccore/CP000058.1?report=graph&amp;tracks=[key:gene_model_track,Options:GeneOnly]&amp;mk=1213613:1213632|offset_44|00cc00,1213636:1213655|offset_67|444444,1213683:1213702|offset_114|444444,1213708:1213727|offset_139|444444&amp;v=1213412:1213927&amp;c=444444", "offset 44")</f>
        <v>offset 44</v>
      </c>
    </row>
    <row r="3777" customFormat="false" ht="12.8" hidden="false" customHeight="false" outlineLevel="0" collapsed="false">
      <c r="A3777" s="0" t="s">
        <v>12</v>
      </c>
      <c r="B3777" s="0" t="n">
        <v>1213635</v>
      </c>
      <c r="C3777" s="0" t="n">
        <v>1213655</v>
      </c>
      <c r="D3777" s="0" t="s">
        <v>12598</v>
      </c>
      <c r="E3777" s="0" t="s">
        <v>75</v>
      </c>
      <c r="F3777" s="0" t="s">
        <v>15</v>
      </c>
      <c r="G3777" s="0" t="s">
        <v>36</v>
      </c>
      <c r="H3777" s="0" t="n">
        <v>67</v>
      </c>
      <c r="I3777" s="0" t="s">
        <v>12602</v>
      </c>
      <c r="J3777" s="0" t="s">
        <v>12603</v>
      </c>
      <c r="K3777" s="0" t="s">
        <v>12604</v>
      </c>
      <c r="L3777" s="0" t="str">
        <f aca="false">HYPERLINK("https://www.ncbi.nlm.nih.gov/nuccore/CP000058.1?report=graph&amp;tracks=[key:gene_model_track,Options:GeneOnly]&amp;mk=1213613:1213632|offset_44|444444,1213636:1213655|offset_67|00cc00,1213683:1213702|offset_114|444444,1213708:1213727|offset_139|444444&amp;v=1213412:1213927&amp;c=444444", "offset 67")</f>
        <v>offset 67</v>
      </c>
    </row>
    <row r="3778" customFormat="false" ht="12.8" hidden="false" customHeight="false" outlineLevel="0" collapsed="false">
      <c r="A3778" s="0" t="s">
        <v>12</v>
      </c>
      <c r="B3778" s="0" t="n">
        <v>1213682</v>
      </c>
      <c r="C3778" s="0" t="n">
        <v>1213702</v>
      </c>
      <c r="D3778" s="0" t="s">
        <v>12598</v>
      </c>
      <c r="E3778" s="0" t="s">
        <v>75</v>
      </c>
      <c r="F3778" s="0" t="s">
        <v>15</v>
      </c>
      <c r="G3778" s="0" t="s">
        <v>20</v>
      </c>
      <c r="H3778" s="0" t="n">
        <v>114</v>
      </c>
      <c r="I3778" s="0" t="s">
        <v>12605</v>
      </c>
      <c r="J3778" s="0" t="s">
        <v>12606</v>
      </c>
      <c r="K3778" s="0" t="s">
        <v>12607</v>
      </c>
      <c r="L3778" s="0" t="str">
        <f aca="false">HYPERLINK("https://www.ncbi.nlm.nih.gov/nuccore/CP000058.1?report=graph&amp;tracks=[key:gene_model_track,Options:GeneOnly]&amp;mk=1213613:1213632|offset_44|444444,1213636:1213655|offset_67|444444,1213683:1213702|offset_114|00cc00,1213708:1213727|offset_139|444444&amp;v=1213412:1213927&amp;c=444444", "offset 114")</f>
        <v>offset 114</v>
      </c>
    </row>
    <row r="3779" customFormat="false" ht="12.8" hidden="false" customHeight="false" outlineLevel="0" collapsed="false">
      <c r="A3779" s="0" t="s">
        <v>12</v>
      </c>
      <c r="B3779" s="0" t="n">
        <v>1213707</v>
      </c>
      <c r="C3779" s="0" t="n">
        <v>1213727</v>
      </c>
      <c r="D3779" s="0" t="s">
        <v>12598</v>
      </c>
      <c r="E3779" s="0" t="s">
        <v>75</v>
      </c>
      <c r="F3779" s="0" t="s">
        <v>15</v>
      </c>
      <c r="G3779" s="0" t="s">
        <v>16</v>
      </c>
      <c r="H3779" s="0" t="n">
        <v>139</v>
      </c>
      <c r="I3779" s="0" t="s">
        <v>12608</v>
      </c>
      <c r="J3779" s="0" t="s">
        <v>12609</v>
      </c>
      <c r="K3779" s="0" t="s">
        <v>12610</v>
      </c>
      <c r="L3779" s="0" t="str">
        <f aca="false">HYPERLINK("https://www.ncbi.nlm.nih.gov/nuccore/CP000058.1?report=graph&amp;tracks=[key:gene_model_track,Options:GeneOnly]&amp;mk=1213613:1213632|offset_44|444444,1213636:1213655|offset_67|444444,1213683:1213702|offset_114|444444,1213708:1213727|offset_139|00cc00&amp;v=1213412:1213927&amp;c=444444", "offset 139")</f>
        <v>offset 139</v>
      </c>
    </row>
    <row r="3780" customFormat="false" ht="12.8" hidden="false" customHeight="false" outlineLevel="0" collapsed="false">
      <c r="A3780" s="0" t="s">
        <v>12</v>
      </c>
      <c r="B3780" s="0" t="n">
        <v>1215998</v>
      </c>
      <c r="C3780" s="0" t="n">
        <v>1216018</v>
      </c>
      <c r="D3780" s="0" t="s">
        <v>12611</v>
      </c>
      <c r="E3780" s="0" t="s">
        <v>12612</v>
      </c>
      <c r="F3780" s="0" t="s">
        <v>90</v>
      </c>
      <c r="G3780" s="0" t="s">
        <v>32</v>
      </c>
      <c r="H3780" s="0" t="n">
        <v>58</v>
      </c>
      <c r="I3780" s="0" t="s">
        <v>12613</v>
      </c>
      <c r="J3780" s="0" t="s">
        <v>12614</v>
      </c>
      <c r="K3780" s="0" t="s">
        <v>12615</v>
      </c>
      <c r="L3780" s="0" t="str">
        <f aca="false">HYPERLINK("https://www.ncbi.nlm.nih.gov/nuccore/CP000058.1?report=graph&amp;tracks=[key:gene_model_track,Options:GeneOnly]&amp;mk=1215999:1216018|offset_58|00cc00,1215968:1215987|offset_89|444444,1215930:1215949|offset_127|444444,1215908:1215927|offset_149|444444&amp;v=1215798:1216127&amp;c=444444", "offset 58")</f>
        <v>offset 58</v>
      </c>
    </row>
    <row r="3781" customFormat="false" ht="12.8" hidden="false" customHeight="false" outlineLevel="0" collapsed="false">
      <c r="A3781" s="0" t="s">
        <v>12</v>
      </c>
      <c r="B3781" s="0" t="n">
        <v>1215967</v>
      </c>
      <c r="C3781" s="0" t="n">
        <v>1215987</v>
      </c>
      <c r="D3781" s="0" t="s">
        <v>12611</v>
      </c>
      <c r="E3781" s="0" t="s">
        <v>12612</v>
      </c>
      <c r="F3781" s="0" t="s">
        <v>90</v>
      </c>
      <c r="G3781" s="0" t="s">
        <v>36</v>
      </c>
      <c r="H3781" s="0" t="n">
        <v>89</v>
      </c>
      <c r="I3781" s="0" t="s">
        <v>12616</v>
      </c>
      <c r="J3781" s="0" t="s">
        <v>12617</v>
      </c>
      <c r="K3781" s="0" t="s">
        <v>12618</v>
      </c>
      <c r="L3781" s="0" t="str">
        <f aca="false">HYPERLINK("https://www.ncbi.nlm.nih.gov/nuccore/CP000058.1?report=graph&amp;tracks=[key:gene_model_track,Options:GeneOnly]&amp;mk=1215999:1216018|offset_58|444444,1215968:1215987|offset_89|00cc00,1215930:1215949|offset_127|444444,1215908:1215927|offset_149|444444&amp;v=1215798:1216127&amp;c=444444", "offset 89")</f>
        <v>offset 89</v>
      </c>
    </row>
    <row r="3782" customFormat="false" ht="12.8" hidden="false" customHeight="false" outlineLevel="0" collapsed="false">
      <c r="A3782" s="0" t="s">
        <v>12</v>
      </c>
      <c r="B3782" s="0" t="n">
        <v>1215929</v>
      </c>
      <c r="C3782" s="0" t="n">
        <v>1215949</v>
      </c>
      <c r="D3782" s="0" t="s">
        <v>12611</v>
      </c>
      <c r="E3782" s="0" t="s">
        <v>12612</v>
      </c>
      <c r="F3782" s="0" t="s">
        <v>90</v>
      </c>
      <c r="G3782" s="0" t="s">
        <v>16</v>
      </c>
      <c r="H3782" s="0" t="n">
        <v>127</v>
      </c>
      <c r="I3782" s="0" t="s">
        <v>12619</v>
      </c>
      <c r="J3782" s="0" t="s">
        <v>12620</v>
      </c>
      <c r="K3782" s="0" t="s">
        <v>12621</v>
      </c>
      <c r="L3782" s="0" t="str">
        <f aca="false">HYPERLINK("https://www.ncbi.nlm.nih.gov/nuccore/CP000058.1?report=graph&amp;tracks=[key:gene_model_track,Options:GeneOnly]&amp;mk=1215999:1216018|offset_58|444444,1215968:1215987|offset_89|444444,1215930:1215949|offset_127|00cc00,1215908:1215927|offset_149|444444&amp;v=1215798:1216127&amp;c=444444", "offset 127")</f>
        <v>offset 127</v>
      </c>
    </row>
    <row r="3783" customFormat="false" ht="12.8" hidden="false" customHeight="false" outlineLevel="0" collapsed="false">
      <c r="A3783" s="0" t="s">
        <v>12</v>
      </c>
      <c r="B3783" s="0" t="n">
        <v>1215907</v>
      </c>
      <c r="C3783" s="0" t="n">
        <v>1215927</v>
      </c>
      <c r="D3783" s="0" t="s">
        <v>12611</v>
      </c>
      <c r="E3783" s="0" t="s">
        <v>12612</v>
      </c>
      <c r="F3783" s="0" t="s">
        <v>90</v>
      </c>
      <c r="G3783" s="0" t="s">
        <v>36</v>
      </c>
      <c r="H3783" s="0" t="n">
        <v>149</v>
      </c>
      <c r="I3783" s="0" t="s">
        <v>12622</v>
      </c>
      <c r="J3783" s="0" t="s">
        <v>12623</v>
      </c>
      <c r="K3783" s="0" t="s">
        <v>12624</v>
      </c>
      <c r="L3783" s="0" t="str">
        <f aca="false">HYPERLINK("https://www.ncbi.nlm.nih.gov/nuccore/CP000058.1?report=graph&amp;tracks=[key:gene_model_track,Options:GeneOnly]&amp;mk=1215999:1216018|offset_58|444444,1215968:1215987|offset_89|444444,1215930:1215949|offset_127|444444,1215908:1215927|offset_149|00cc00&amp;v=1215798:1216127&amp;c=444444", "offset 149")</f>
        <v>offset 149</v>
      </c>
    </row>
    <row r="3784" customFormat="false" ht="12.8" hidden="false" customHeight="false" outlineLevel="0" collapsed="false">
      <c r="A3784" s="0" t="s">
        <v>12</v>
      </c>
      <c r="B3784" s="0" t="n">
        <v>1217010</v>
      </c>
      <c r="C3784" s="0" t="n">
        <v>1217030</v>
      </c>
      <c r="D3784" s="0" t="s">
        <v>12625</v>
      </c>
      <c r="E3784" s="0" t="s">
        <v>75</v>
      </c>
      <c r="F3784" s="0" t="s">
        <v>90</v>
      </c>
      <c r="G3784" s="0" t="s">
        <v>32</v>
      </c>
      <c r="H3784" s="0" t="n">
        <v>1</v>
      </c>
      <c r="I3784" s="0" t="s">
        <v>12626</v>
      </c>
      <c r="J3784" s="0" t="s">
        <v>12627</v>
      </c>
      <c r="K3784" s="0" t="s">
        <v>12628</v>
      </c>
      <c r="L3784" s="0" t="str">
        <f aca="false">HYPERLINK("https://www.ncbi.nlm.nih.gov/nuccore/CP000058.1?report=graph&amp;tracks=[key:gene_model_track,Options:GeneOnly]&amp;mk=1217011:1217030|offset_1|00cc00,1216984:1217003|offset_28|444444,1216932:1216951|offset_80|444444,1216905:1216924|offset_107|444444&amp;v=1216810:1217124&amp;c=444444", "offset 1")</f>
        <v>offset 1</v>
      </c>
    </row>
    <row r="3785" customFormat="false" ht="12.8" hidden="false" customHeight="false" outlineLevel="0" collapsed="false">
      <c r="A3785" s="0" t="s">
        <v>12</v>
      </c>
      <c r="B3785" s="0" t="n">
        <v>1216983</v>
      </c>
      <c r="C3785" s="0" t="n">
        <v>1217003</v>
      </c>
      <c r="D3785" s="0" t="s">
        <v>12625</v>
      </c>
      <c r="E3785" s="0" t="s">
        <v>75</v>
      </c>
      <c r="F3785" s="0" t="s">
        <v>90</v>
      </c>
      <c r="G3785" s="0" t="s">
        <v>32</v>
      </c>
      <c r="H3785" s="0" t="n">
        <v>28</v>
      </c>
      <c r="I3785" s="0" t="s">
        <v>12629</v>
      </c>
      <c r="J3785" s="0" t="s">
        <v>12630</v>
      </c>
      <c r="K3785" s="0" t="s">
        <v>12631</v>
      </c>
      <c r="L3785" s="0" t="str">
        <f aca="false">HYPERLINK("https://www.ncbi.nlm.nih.gov/nuccore/CP000058.1?report=graph&amp;tracks=[key:gene_model_track,Options:GeneOnly]&amp;mk=1217011:1217030|offset_1|444444,1216984:1217003|offset_28|00cc00,1216932:1216951|offset_80|444444,1216905:1216924|offset_107|444444&amp;v=1216810:1217124&amp;c=444444", "offset 28")</f>
        <v>offset 28</v>
      </c>
    </row>
    <row r="3786" customFormat="false" ht="12.8" hidden="false" customHeight="false" outlineLevel="0" collapsed="false">
      <c r="A3786" s="0" t="s">
        <v>12</v>
      </c>
      <c r="B3786" s="0" t="n">
        <v>1216931</v>
      </c>
      <c r="C3786" s="0" t="n">
        <v>1216951</v>
      </c>
      <c r="D3786" s="0" t="s">
        <v>12625</v>
      </c>
      <c r="E3786" s="0" t="s">
        <v>75</v>
      </c>
      <c r="F3786" s="0" t="s">
        <v>90</v>
      </c>
      <c r="G3786" s="0" t="s">
        <v>16</v>
      </c>
      <c r="H3786" s="0" t="n">
        <v>80</v>
      </c>
      <c r="I3786" s="0" t="s">
        <v>12632</v>
      </c>
      <c r="J3786" s="0" t="s">
        <v>12633</v>
      </c>
      <c r="K3786" s="0" t="s">
        <v>12634</v>
      </c>
      <c r="L3786" s="0" t="str">
        <f aca="false">HYPERLINK("https://www.ncbi.nlm.nih.gov/nuccore/CP000058.1?report=graph&amp;tracks=[key:gene_model_track,Options:GeneOnly]&amp;mk=1217011:1217030|offset_1|444444,1216984:1217003|offset_28|444444,1216932:1216951|offset_80|00cc00,1216905:1216924|offset_107|444444&amp;v=1216810:1217124&amp;c=444444", "offset 80")</f>
        <v>offset 80</v>
      </c>
    </row>
    <row r="3787" customFormat="false" ht="12.8" hidden="false" customHeight="false" outlineLevel="0" collapsed="false">
      <c r="A3787" s="0" t="s">
        <v>12</v>
      </c>
      <c r="B3787" s="0" t="n">
        <v>1216904</v>
      </c>
      <c r="C3787" s="0" t="n">
        <v>1216924</v>
      </c>
      <c r="D3787" s="0" t="s">
        <v>12625</v>
      </c>
      <c r="E3787" s="0" t="s">
        <v>75</v>
      </c>
      <c r="F3787" s="0" t="s">
        <v>90</v>
      </c>
      <c r="G3787" s="0" t="s">
        <v>36</v>
      </c>
      <c r="H3787" s="0" t="n">
        <v>107</v>
      </c>
      <c r="I3787" s="0" t="s">
        <v>12635</v>
      </c>
      <c r="J3787" s="0" t="s">
        <v>12636</v>
      </c>
      <c r="K3787" s="0" t="s">
        <v>12637</v>
      </c>
      <c r="L3787" s="0" t="str">
        <f aca="false">HYPERLINK("https://www.ncbi.nlm.nih.gov/nuccore/CP000058.1?report=graph&amp;tracks=[key:gene_model_track,Options:GeneOnly]&amp;mk=1217011:1217030|offset_1|444444,1216984:1217003|offset_28|444444,1216932:1216951|offset_80|444444,1216905:1216924|offset_107|00cc00&amp;v=1216810:1217124&amp;c=444444", "offset 107")</f>
        <v>offset 107</v>
      </c>
    </row>
    <row r="3788" customFormat="false" ht="12.8" hidden="false" customHeight="false" outlineLevel="0" collapsed="false">
      <c r="A3788" s="0" t="s">
        <v>12</v>
      </c>
      <c r="B3788" s="0" t="n">
        <v>1217308</v>
      </c>
      <c r="C3788" s="0" t="n">
        <v>1217328</v>
      </c>
      <c r="D3788" s="0" t="s">
        <v>12638</v>
      </c>
      <c r="E3788" s="0" t="s">
        <v>75</v>
      </c>
      <c r="F3788" s="0" t="s">
        <v>15</v>
      </c>
      <c r="G3788" s="0" t="s">
        <v>36</v>
      </c>
      <c r="H3788" s="0" t="n">
        <v>49</v>
      </c>
      <c r="I3788" s="0" t="s">
        <v>12639</v>
      </c>
      <c r="J3788" s="0" t="s">
        <v>12640</v>
      </c>
      <c r="K3788" s="0" t="s">
        <v>12641</v>
      </c>
      <c r="L3788" s="0" t="str">
        <f aca="false">HYPERLINK("https://www.ncbi.nlm.nih.gov/nuccore/CP000058.1?report=graph&amp;tracks=[key:gene_model_track,Options:GeneOnly]&amp;mk=1217309:1217328|offset_49|00cc00,1217332:1217351|offset_72|444444,1217353:1217372|offset_93|444444,1217378:1217397|offset_118|444444&amp;v=1217108:1217597&amp;c=444444", "offset 49")</f>
        <v>offset 49</v>
      </c>
    </row>
    <row r="3789" customFormat="false" ht="12.8" hidden="false" customHeight="false" outlineLevel="0" collapsed="false">
      <c r="A3789" s="0" t="s">
        <v>12</v>
      </c>
      <c r="B3789" s="0" t="n">
        <v>1217331</v>
      </c>
      <c r="C3789" s="0" t="n">
        <v>1217351</v>
      </c>
      <c r="D3789" s="0" t="s">
        <v>12638</v>
      </c>
      <c r="E3789" s="0" t="s">
        <v>75</v>
      </c>
      <c r="F3789" s="0" t="s">
        <v>15</v>
      </c>
      <c r="G3789" s="0" t="s">
        <v>16</v>
      </c>
      <c r="H3789" s="0" t="n">
        <v>72</v>
      </c>
      <c r="I3789" s="0" t="s">
        <v>12642</v>
      </c>
      <c r="J3789" s="0" t="s">
        <v>12643</v>
      </c>
      <c r="K3789" s="0" t="s">
        <v>12644</v>
      </c>
      <c r="L3789" s="0" t="str">
        <f aca="false">HYPERLINK("https://www.ncbi.nlm.nih.gov/nuccore/CP000058.1?report=graph&amp;tracks=[key:gene_model_track,Options:GeneOnly]&amp;mk=1217309:1217328|offset_49|444444,1217332:1217351|offset_72|00cc00,1217353:1217372|offset_93|444444,1217378:1217397|offset_118|444444&amp;v=1217108:1217597&amp;c=444444", "offset 72")</f>
        <v>offset 72</v>
      </c>
    </row>
    <row r="3790" customFormat="false" ht="12.8" hidden="false" customHeight="false" outlineLevel="0" collapsed="false">
      <c r="A3790" s="0" t="s">
        <v>12</v>
      </c>
      <c r="B3790" s="0" t="n">
        <v>1217352</v>
      </c>
      <c r="C3790" s="0" t="n">
        <v>1217372</v>
      </c>
      <c r="D3790" s="0" t="s">
        <v>12638</v>
      </c>
      <c r="E3790" s="0" t="s">
        <v>75</v>
      </c>
      <c r="F3790" s="0" t="s">
        <v>15</v>
      </c>
      <c r="G3790" s="0" t="s">
        <v>36</v>
      </c>
      <c r="H3790" s="0" t="n">
        <v>93</v>
      </c>
      <c r="I3790" s="0" t="s">
        <v>12645</v>
      </c>
      <c r="J3790" s="0" t="s">
        <v>12646</v>
      </c>
      <c r="K3790" s="0" t="s">
        <v>12647</v>
      </c>
      <c r="L3790" s="0" t="str">
        <f aca="false">HYPERLINK("https://www.ncbi.nlm.nih.gov/nuccore/CP000058.1?report=graph&amp;tracks=[key:gene_model_track,Options:GeneOnly]&amp;mk=1217309:1217328|offset_49|444444,1217332:1217351|offset_72|444444,1217353:1217372|offset_93|00cc00,1217378:1217397|offset_118|444444&amp;v=1217108:1217597&amp;c=444444", "offset 93")</f>
        <v>offset 93</v>
      </c>
    </row>
    <row r="3791" customFormat="false" ht="12.8" hidden="false" customHeight="false" outlineLevel="0" collapsed="false">
      <c r="A3791" s="0" t="s">
        <v>12</v>
      </c>
      <c r="B3791" s="0" t="n">
        <v>1217377</v>
      </c>
      <c r="C3791" s="0" t="n">
        <v>1217397</v>
      </c>
      <c r="D3791" s="0" t="s">
        <v>12638</v>
      </c>
      <c r="E3791" s="0" t="s">
        <v>75</v>
      </c>
      <c r="F3791" s="0" t="s">
        <v>15</v>
      </c>
      <c r="G3791" s="0" t="s">
        <v>16</v>
      </c>
      <c r="H3791" s="0" t="n">
        <v>118</v>
      </c>
      <c r="I3791" s="0" t="s">
        <v>12648</v>
      </c>
      <c r="J3791" s="0" t="s">
        <v>12649</v>
      </c>
      <c r="K3791" s="0" t="s">
        <v>12650</v>
      </c>
      <c r="L3791" s="0" t="str">
        <f aca="false">HYPERLINK("https://www.ncbi.nlm.nih.gov/nuccore/CP000058.1?report=graph&amp;tracks=[key:gene_model_track,Options:GeneOnly]&amp;mk=1217309:1217328|offset_49|444444,1217332:1217351|offset_72|444444,1217353:1217372|offset_93|444444,1217378:1217397|offset_118|00cc00&amp;v=1217108:1217597&amp;c=444444", "offset 118")</f>
        <v>offset 118</v>
      </c>
    </row>
    <row r="3792" customFormat="false" ht="12.8" hidden="false" customHeight="false" outlineLevel="0" collapsed="false">
      <c r="A3792" s="0" t="s">
        <v>12</v>
      </c>
      <c r="B3792" s="0" t="n">
        <v>1217948</v>
      </c>
      <c r="C3792" s="0" t="n">
        <v>1217968</v>
      </c>
      <c r="D3792" s="0" t="s">
        <v>12651</v>
      </c>
      <c r="E3792" s="0" t="s">
        <v>75</v>
      </c>
      <c r="F3792" s="0" t="s">
        <v>15</v>
      </c>
      <c r="G3792" s="0" t="s">
        <v>32</v>
      </c>
      <c r="H3792" s="0" t="n">
        <v>18</v>
      </c>
      <c r="I3792" s="0" t="s">
        <v>12652</v>
      </c>
      <c r="J3792" s="0" t="s">
        <v>12653</v>
      </c>
      <c r="K3792" s="0" t="s">
        <v>12654</v>
      </c>
      <c r="L3792" s="0" t="str">
        <f aca="false">HYPERLINK("https://www.ncbi.nlm.nih.gov/nuccore/CP000058.1?report=graph&amp;tracks=[key:gene_model_track,Options:GeneOnly]&amp;mk=1217949:1217968|offset_18|00cc00,1217988:1218007|offset_57|444444,1218018:1218037|offset_87|444444,1218042:1218061|offset_111|444444&amp;v=1217748:1218261&amp;c=444444", "offset 18")</f>
        <v>offset 18</v>
      </c>
    </row>
    <row r="3793" customFormat="false" ht="12.8" hidden="false" customHeight="false" outlineLevel="0" collapsed="false">
      <c r="A3793" s="0" t="s">
        <v>12</v>
      </c>
      <c r="B3793" s="0" t="n">
        <v>1217987</v>
      </c>
      <c r="C3793" s="0" t="n">
        <v>1218007</v>
      </c>
      <c r="D3793" s="0" t="s">
        <v>12651</v>
      </c>
      <c r="E3793" s="0" t="s">
        <v>75</v>
      </c>
      <c r="F3793" s="0" t="s">
        <v>15</v>
      </c>
      <c r="G3793" s="0" t="s">
        <v>20</v>
      </c>
      <c r="H3793" s="0" t="n">
        <v>57</v>
      </c>
      <c r="I3793" s="0" t="s">
        <v>12655</v>
      </c>
      <c r="J3793" s="0" t="s">
        <v>12656</v>
      </c>
      <c r="K3793" s="0" t="s">
        <v>12657</v>
      </c>
      <c r="L3793" s="0" t="str">
        <f aca="false">HYPERLINK("https://www.ncbi.nlm.nih.gov/nuccore/CP000058.1?report=graph&amp;tracks=[key:gene_model_track,Options:GeneOnly]&amp;mk=1217949:1217968|offset_18|444444,1217988:1218007|offset_57|00cc00,1218018:1218037|offset_87|444444,1218042:1218061|offset_111|444444&amp;v=1217748:1218261&amp;c=444444", "offset 57")</f>
        <v>offset 57</v>
      </c>
    </row>
    <row r="3794" customFormat="false" ht="12.8" hidden="false" customHeight="false" outlineLevel="0" collapsed="false">
      <c r="A3794" s="0" t="s">
        <v>12</v>
      </c>
      <c r="B3794" s="0" t="n">
        <v>1218017</v>
      </c>
      <c r="C3794" s="0" t="n">
        <v>1218037</v>
      </c>
      <c r="D3794" s="0" t="s">
        <v>12651</v>
      </c>
      <c r="E3794" s="0" t="s">
        <v>75</v>
      </c>
      <c r="F3794" s="0" t="s">
        <v>15</v>
      </c>
      <c r="G3794" s="0" t="s">
        <v>36</v>
      </c>
      <c r="H3794" s="0" t="n">
        <v>87</v>
      </c>
      <c r="I3794" s="0" t="s">
        <v>12658</v>
      </c>
      <c r="J3794" s="0" t="s">
        <v>12659</v>
      </c>
      <c r="K3794" s="0" t="s">
        <v>12660</v>
      </c>
      <c r="L3794" s="0" t="str">
        <f aca="false">HYPERLINK("https://www.ncbi.nlm.nih.gov/nuccore/CP000058.1?report=graph&amp;tracks=[key:gene_model_track,Options:GeneOnly]&amp;mk=1217949:1217968|offset_18|444444,1217988:1218007|offset_57|444444,1218018:1218037|offset_87|00cc00,1218042:1218061|offset_111|444444&amp;v=1217748:1218261&amp;c=444444", "offset 87")</f>
        <v>offset 87</v>
      </c>
    </row>
    <row r="3795" customFormat="false" ht="12.8" hidden="false" customHeight="false" outlineLevel="0" collapsed="false">
      <c r="A3795" s="0" t="s">
        <v>12</v>
      </c>
      <c r="B3795" s="0" t="n">
        <v>1218041</v>
      </c>
      <c r="C3795" s="0" t="n">
        <v>1218061</v>
      </c>
      <c r="D3795" s="0" t="s">
        <v>12651</v>
      </c>
      <c r="E3795" s="0" t="s">
        <v>75</v>
      </c>
      <c r="F3795" s="0" t="s">
        <v>15</v>
      </c>
      <c r="G3795" s="0" t="s">
        <v>32</v>
      </c>
      <c r="H3795" s="0" t="n">
        <v>111</v>
      </c>
      <c r="I3795" s="0" t="s">
        <v>12661</v>
      </c>
      <c r="J3795" s="0" t="s">
        <v>12662</v>
      </c>
      <c r="K3795" s="0" t="s">
        <v>12663</v>
      </c>
      <c r="L3795" s="0" t="str">
        <f aca="false">HYPERLINK("https://www.ncbi.nlm.nih.gov/nuccore/CP000058.1?report=graph&amp;tracks=[key:gene_model_track,Options:GeneOnly]&amp;mk=1217949:1217968|offset_18|444444,1217988:1218007|offset_57|444444,1218018:1218037|offset_87|444444,1218042:1218061|offset_111|00cc00&amp;v=1217748:1218261&amp;c=444444", "offset 111")</f>
        <v>offset 111</v>
      </c>
    </row>
    <row r="3796" customFormat="false" ht="12.8" hidden="false" customHeight="false" outlineLevel="0" collapsed="false">
      <c r="A3796" s="0" t="s">
        <v>12</v>
      </c>
      <c r="B3796" s="0" t="n">
        <v>1219474</v>
      </c>
      <c r="C3796" s="0" t="n">
        <v>1219494</v>
      </c>
      <c r="D3796" s="0" t="s">
        <v>12664</v>
      </c>
      <c r="E3796" s="0" t="s">
        <v>75</v>
      </c>
      <c r="F3796" s="0" t="s">
        <v>15</v>
      </c>
      <c r="G3796" s="0" t="s">
        <v>20</v>
      </c>
      <c r="H3796" s="0" t="n">
        <v>33</v>
      </c>
      <c r="I3796" s="0" t="s">
        <v>12665</v>
      </c>
      <c r="J3796" s="0" t="s">
        <v>12666</v>
      </c>
      <c r="K3796" s="0" t="s">
        <v>12667</v>
      </c>
      <c r="L3796" s="0" t="str">
        <f aca="false">HYPERLINK("https://www.ncbi.nlm.nih.gov/nuccore/CP000058.1?report=graph&amp;tracks=[key:gene_model_track,Options:GeneOnly]&amp;mk=1219475:1219494|offset_33|00cc00,1219504:1219523|offset_62|444444,1219527:1219546|offset_85|444444,1219622:1219641|offset_180|444444&amp;v=1219274:1219841&amp;c=444444", "offset 33")</f>
        <v>offset 33</v>
      </c>
    </row>
    <row r="3797" customFormat="false" ht="12.8" hidden="false" customHeight="false" outlineLevel="0" collapsed="false">
      <c r="A3797" s="0" t="s">
        <v>12</v>
      </c>
      <c r="B3797" s="0" t="n">
        <v>1219503</v>
      </c>
      <c r="C3797" s="0" t="n">
        <v>1219523</v>
      </c>
      <c r="D3797" s="0" t="s">
        <v>12664</v>
      </c>
      <c r="E3797" s="0" t="s">
        <v>75</v>
      </c>
      <c r="F3797" s="0" t="s">
        <v>15</v>
      </c>
      <c r="G3797" s="0" t="s">
        <v>36</v>
      </c>
      <c r="H3797" s="0" t="n">
        <v>62</v>
      </c>
      <c r="I3797" s="0" t="s">
        <v>12668</v>
      </c>
      <c r="J3797" s="0" t="s">
        <v>12669</v>
      </c>
      <c r="K3797" s="0" t="s">
        <v>12670</v>
      </c>
      <c r="L3797" s="0" t="str">
        <f aca="false">HYPERLINK("https://www.ncbi.nlm.nih.gov/nuccore/CP000058.1?report=graph&amp;tracks=[key:gene_model_track,Options:GeneOnly]&amp;mk=1219475:1219494|offset_33|444444,1219504:1219523|offset_62|00cc00,1219527:1219546|offset_85|444444,1219622:1219641|offset_180|444444&amp;v=1219274:1219841&amp;c=444444", "offset 62")</f>
        <v>offset 62</v>
      </c>
    </row>
    <row r="3798" customFormat="false" ht="12.8" hidden="false" customHeight="false" outlineLevel="0" collapsed="false">
      <c r="A3798" s="0" t="s">
        <v>12</v>
      </c>
      <c r="B3798" s="0" t="n">
        <v>1219526</v>
      </c>
      <c r="C3798" s="0" t="n">
        <v>1219546</v>
      </c>
      <c r="D3798" s="0" t="s">
        <v>12664</v>
      </c>
      <c r="E3798" s="0" t="s">
        <v>75</v>
      </c>
      <c r="F3798" s="0" t="s">
        <v>15</v>
      </c>
      <c r="G3798" s="0" t="s">
        <v>32</v>
      </c>
      <c r="H3798" s="0" t="n">
        <v>85</v>
      </c>
      <c r="I3798" s="0" t="s">
        <v>12671</v>
      </c>
      <c r="J3798" s="0" t="s">
        <v>12672</v>
      </c>
      <c r="K3798" s="0" t="s">
        <v>12673</v>
      </c>
      <c r="L3798" s="0" t="str">
        <f aca="false">HYPERLINK("https://www.ncbi.nlm.nih.gov/nuccore/CP000058.1?report=graph&amp;tracks=[key:gene_model_track,Options:GeneOnly]&amp;mk=1219475:1219494|offset_33|444444,1219504:1219523|offset_62|444444,1219527:1219546|offset_85|00cc00,1219622:1219641|offset_180|444444&amp;v=1219274:1219841&amp;c=444444", "offset 85")</f>
        <v>offset 85</v>
      </c>
    </row>
    <row r="3799" customFormat="false" ht="12.8" hidden="false" customHeight="false" outlineLevel="0" collapsed="false">
      <c r="A3799" s="0" t="s">
        <v>12</v>
      </c>
      <c r="B3799" s="0" t="n">
        <v>1219621</v>
      </c>
      <c r="C3799" s="0" t="n">
        <v>1219641</v>
      </c>
      <c r="D3799" s="0" t="s">
        <v>12664</v>
      </c>
      <c r="E3799" s="0" t="s">
        <v>75</v>
      </c>
      <c r="F3799" s="0" t="s">
        <v>15</v>
      </c>
      <c r="G3799" s="0" t="s">
        <v>20</v>
      </c>
      <c r="H3799" s="0" t="n">
        <v>180</v>
      </c>
      <c r="I3799" s="0" t="s">
        <v>12674</v>
      </c>
      <c r="J3799" s="0" t="s">
        <v>12675</v>
      </c>
      <c r="K3799" s="0" t="s">
        <v>12676</v>
      </c>
      <c r="L3799" s="0" t="str">
        <f aca="false">HYPERLINK("https://www.ncbi.nlm.nih.gov/nuccore/CP000058.1?report=graph&amp;tracks=[key:gene_model_track,Options:GeneOnly]&amp;mk=1219475:1219494|offset_33|444444,1219504:1219523|offset_62|444444,1219527:1219546|offset_85|444444,1219622:1219641|offset_180|00cc00&amp;v=1219274:1219841&amp;c=444444", "offset 180")</f>
        <v>offset 180</v>
      </c>
    </row>
    <row r="3800" customFormat="false" ht="12.8" hidden="false" customHeight="false" outlineLevel="0" collapsed="false">
      <c r="A3800" s="0" t="s">
        <v>12</v>
      </c>
      <c r="B3800" s="0" t="n">
        <v>1220492</v>
      </c>
      <c r="C3800" s="0" t="n">
        <v>1220512</v>
      </c>
      <c r="D3800" s="0" t="s">
        <v>12677</v>
      </c>
      <c r="E3800" s="0" t="s">
        <v>75</v>
      </c>
      <c r="F3800" s="0" t="s">
        <v>90</v>
      </c>
      <c r="G3800" s="0" t="s">
        <v>20</v>
      </c>
      <c r="H3800" s="0" t="n">
        <v>11</v>
      </c>
      <c r="I3800" s="0" t="s">
        <v>12678</v>
      </c>
      <c r="J3800" s="0" t="s">
        <v>12679</v>
      </c>
      <c r="K3800" s="0" t="s">
        <v>12680</v>
      </c>
      <c r="L3800" s="0" t="str">
        <f aca="false">HYPERLINK("https://www.ncbi.nlm.nih.gov/nuccore/CP000058.1?report=graph&amp;tracks=[key:gene_model_track,Options:GeneOnly]&amp;mk=1220493:1220512|offset_11|00cc00,1220430:1220449|offset_74|444444,1220377:1220396|offset_127|444444,1220313:1220332|offset_191|444444&amp;v=1220292:1220532&amp;c=444444", "offset 11")</f>
        <v>offset 11</v>
      </c>
    </row>
    <row r="3801" customFormat="false" ht="12.8" hidden="false" customHeight="false" outlineLevel="0" collapsed="false">
      <c r="A3801" s="0" t="s">
        <v>12</v>
      </c>
      <c r="B3801" s="0" t="n">
        <v>1220429</v>
      </c>
      <c r="C3801" s="0" t="n">
        <v>1220449</v>
      </c>
      <c r="D3801" s="0" t="s">
        <v>12677</v>
      </c>
      <c r="E3801" s="0" t="s">
        <v>75</v>
      </c>
      <c r="F3801" s="0" t="s">
        <v>90</v>
      </c>
      <c r="G3801" s="0" t="s">
        <v>20</v>
      </c>
      <c r="H3801" s="0" t="n">
        <v>74</v>
      </c>
      <c r="I3801" s="0" t="s">
        <v>12681</v>
      </c>
      <c r="J3801" s="0" t="s">
        <v>12682</v>
      </c>
      <c r="K3801" s="0" t="s">
        <v>12683</v>
      </c>
      <c r="L3801" s="0" t="str">
        <f aca="false">HYPERLINK("https://www.ncbi.nlm.nih.gov/nuccore/CP000058.1?report=graph&amp;tracks=[key:gene_model_track,Options:GeneOnly]&amp;mk=1220493:1220512|offset_11|444444,1220430:1220449|offset_74|00cc00,1220377:1220396|offset_127|444444,1220313:1220332|offset_191|444444&amp;v=1220292:1220532&amp;c=444444", "offset 74")</f>
        <v>offset 74</v>
      </c>
    </row>
    <row r="3802" customFormat="false" ht="12.8" hidden="false" customHeight="false" outlineLevel="0" collapsed="false">
      <c r="A3802" s="0" t="s">
        <v>12</v>
      </c>
      <c r="B3802" s="0" t="n">
        <v>1220376</v>
      </c>
      <c r="C3802" s="0" t="n">
        <v>1220396</v>
      </c>
      <c r="D3802" s="0" t="s">
        <v>12677</v>
      </c>
      <c r="E3802" s="0" t="s">
        <v>75</v>
      </c>
      <c r="F3802" s="0" t="s">
        <v>90</v>
      </c>
      <c r="G3802" s="0" t="s">
        <v>20</v>
      </c>
      <c r="H3802" s="0" t="n">
        <v>127</v>
      </c>
      <c r="I3802" s="0" t="s">
        <v>12684</v>
      </c>
      <c r="J3802" s="0" t="s">
        <v>12685</v>
      </c>
      <c r="K3802" s="0" t="s">
        <v>12686</v>
      </c>
      <c r="L3802" s="0" t="str">
        <f aca="false">HYPERLINK("https://www.ncbi.nlm.nih.gov/nuccore/CP000058.1?report=graph&amp;tracks=[key:gene_model_track,Options:GeneOnly]&amp;mk=1220493:1220512|offset_11|444444,1220430:1220449|offset_74|444444,1220377:1220396|offset_127|00cc00,1220313:1220332|offset_191|444444&amp;v=1220292:1220532&amp;c=444444", "offset 127")</f>
        <v>offset 127</v>
      </c>
    </row>
    <row r="3803" customFormat="false" ht="12.8" hidden="false" customHeight="false" outlineLevel="0" collapsed="false">
      <c r="A3803" s="0" t="s">
        <v>12</v>
      </c>
      <c r="B3803" s="0" t="n">
        <v>1220312</v>
      </c>
      <c r="C3803" s="0" t="n">
        <v>1220332</v>
      </c>
      <c r="D3803" s="0" t="s">
        <v>12677</v>
      </c>
      <c r="E3803" s="0" t="s">
        <v>75</v>
      </c>
      <c r="F3803" s="0" t="s">
        <v>90</v>
      </c>
      <c r="G3803" s="0" t="s">
        <v>20</v>
      </c>
      <c r="H3803" s="0" t="n">
        <v>191</v>
      </c>
      <c r="I3803" s="0" t="s">
        <v>12687</v>
      </c>
      <c r="J3803" s="0" t="s">
        <v>12688</v>
      </c>
      <c r="K3803" s="0" t="s">
        <v>12689</v>
      </c>
      <c r="L3803" s="0" t="str">
        <f aca="false">HYPERLINK("https://www.ncbi.nlm.nih.gov/nuccore/CP000058.1?report=graph&amp;tracks=[key:gene_model_track,Options:GeneOnly]&amp;mk=1220493:1220512|offset_11|444444,1220430:1220449|offset_74|444444,1220377:1220396|offset_127|444444,1220313:1220332|offset_191|00cc00&amp;v=1220292:1220532&amp;c=444444", "offset 191")</f>
        <v>offset 191</v>
      </c>
    </row>
    <row r="3804" customFormat="false" ht="12.8" hidden="false" customHeight="false" outlineLevel="0" collapsed="false">
      <c r="A3804" s="0" t="s">
        <v>12</v>
      </c>
      <c r="B3804" s="0" t="n">
        <v>1221883</v>
      </c>
      <c r="C3804" s="0" t="n">
        <v>1221903</v>
      </c>
      <c r="D3804" s="0" t="s">
        <v>12690</v>
      </c>
      <c r="E3804" s="0" t="s">
        <v>75</v>
      </c>
      <c r="F3804" s="0" t="s">
        <v>90</v>
      </c>
      <c r="G3804" s="0" t="s">
        <v>32</v>
      </c>
      <c r="H3804" s="0" t="n">
        <v>19</v>
      </c>
      <c r="I3804" s="0" t="s">
        <v>12691</v>
      </c>
      <c r="J3804" s="0" t="s">
        <v>12692</v>
      </c>
      <c r="K3804" s="0" t="s">
        <v>12693</v>
      </c>
      <c r="L3804" s="0" t="str">
        <f aca="false">HYPERLINK("https://www.ncbi.nlm.nih.gov/nuccore/CP000058.1?report=graph&amp;tracks=[key:gene_model_track,Options:GeneOnly]&amp;mk=1221884:1221903|offset_19|00cc00,1221856:1221875|offset_47|444444,1221821:1221840|offset_82|444444,1221796:1221815|offset_107|444444&amp;v=1221683:1222015&amp;c=444444", "offset 19")</f>
        <v>offset 19</v>
      </c>
    </row>
    <row r="3805" customFormat="false" ht="12.8" hidden="false" customHeight="false" outlineLevel="0" collapsed="false">
      <c r="A3805" s="0" t="s">
        <v>12</v>
      </c>
      <c r="B3805" s="0" t="n">
        <v>1221855</v>
      </c>
      <c r="C3805" s="0" t="n">
        <v>1221875</v>
      </c>
      <c r="D3805" s="0" t="s">
        <v>12690</v>
      </c>
      <c r="E3805" s="0" t="s">
        <v>75</v>
      </c>
      <c r="F3805" s="0" t="s">
        <v>90</v>
      </c>
      <c r="G3805" s="0" t="s">
        <v>36</v>
      </c>
      <c r="H3805" s="0" t="n">
        <v>47</v>
      </c>
      <c r="I3805" s="0" t="s">
        <v>12694</v>
      </c>
      <c r="J3805" s="0" t="s">
        <v>12695</v>
      </c>
      <c r="K3805" s="0" t="s">
        <v>12696</v>
      </c>
      <c r="L3805" s="0" t="str">
        <f aca="false">HYPERLINK("https://www.ncbi.nlm.nih.gov/nuccore/CP000058.1?report=graph&amp;tracks=[key:gene_model_track,Options:GeneOnly]&amp;mk=1221884:1221903|offset_19|444444,1221856:1221875|offset_47|00cc00,1221821:1221840|offset_82|444444,1221796:1221815|offset_107|444444&amp;v=1221683:1222015&amp;c=444444", "offset 47")</f>
        <v>offset 47</v>
      </c>
    </row>
    <row r="3806" customFormat="false" ht="12.8" hidden="false" customHeight="false" outlineLevel="0" collapsed="false">
      <c r="A3806" s="0" t="s">
        <v>12</v>
      </c>
      <c r="B3806" s="0" t="n">
        <v>1221820</v>
      </c>
      <c r="C3806" s="0" t="n">
        <v>1221840</v>
      </c>
      <c r="D3806" s="0" t="s">
        <v>12690</v>
      </c>
      <c r="E3806" s="0" t="s">
        <v>75</v>
      </c>
      <c r="F3806" s="0" t="s">
        <v>90</v>
      </c>
      <c r="G3806" s="0" t="s">
        <v>20</v>
      </c>
      <c r="H3806" s="0" t="n">
        <v>82</v>
      </c>
      <c r="I3806" s="0" t="s">
        <v>12697</v>
      </c>
      <c r="J3806" s="0" t="s">
        <v>12698</v>
      </c>
      <c r="K3806" s="0" t="s">
        <v>12699</v>
      </c>
      <c r="L3806" s="0" t="str">
        <f aca="false">HYPERLINK("https://www.ncbi.nlm.nih.gov/nuccore/CP000058.1?report=graph&amp;tracks=[key:gene_model_track,Options:GeneOnly]&amp;mk=1221884:1221903|offset_19|444444,1221856:1221875|offset_47|444444,1221821:1221840|offset_82|00cc00,1221796:1221815|offset_107|444444&amp;v=1221683:1222015&amp;c=444444", "offset 82")</f>
        <v>offset 82</v>
      </c>
    </row>
    <row r="3807" customFormat="false" ht="12.8" hidden="false" customHeight="false" outlineLevel="0" collapsed="false">
      <c r="A3807" s="0" t="s">
        <v>12</v>
      </c>
      <c r="B3807" s="0" t="n">
        <v>1221795</v>
      </c>
      <c r="C3807" s="0" t="n">
        <v>1221815</v>
      </c>
      <c r="D3807" s="0" t="s">
        <v>12690</v>
      </c>
      <c r="E3807" s="0" t="s">
        <v>75</v>
      </c>
      <c r="F3807" s="0" t="s">
        <v>90</v>
      </c>
      <c r="G3807" s="0" t="s">
        <v>16</v>
      </c>
      <c r="H3807" s="0" t="n">
        <v>107</v>
      </c>
      <c r="I3807" s="0" t="s">
        <v>12700</v>
      </c>
      <c r="J3807" s="0" t="s">
        <v>12701</v>
      </c>
      <c r="K3807" s="0" t="s">
        <v>12702</v>
      </c>
      <c r="L3807" s="0" t="str">
        <f aca="false">HYPERLINK("https://www.ncbi.nlm.nih.gov/nuccore/CP000058.1?report=graph&amp;tracks=[key:gene_model_track,Options:GeneOnly]&amp;mk=1221884:1221903|offset_19|444444,1221856:1221875|offset_47|444444,1221821:1221840|offset_82|444444,1221796:1221815|offset_107|00cc00&amp;v=1221683:1222015&amp;c=444444", "offset 107")</f>
        <v>offset 107</v>
      </c>
    </row>
    <row r="3808" customFormat="false" ht="12.8" hidden="false" customHeight="false" outlineLevel="0" collapsed="false">
      <c r="A3808" s="0" t="s">
        <v>12</v>
      </c>
      <c r="B3808" s="0" t="n">
        <v>1222057</v>
      </c>
      <c r="C3808" s="0" t="n">
        <v>1222077</v>
      </c>
      <c r="D3808" s="0" t="s">
        <v>12703</v>
      </c>
      <c r="E3808" s="0" t="s">
        <v>75</v>
      </c>
      <c r="F3808" s="0" t="s">
        <v>15</v>
      </c>
      <c r="G3808" s="0" t="s">
        <v>36</v>
      </c>
      <c r="H3808" s="0" t="n">
        <v>29</v>
      </c>
      <c r="I3808" s="0" t="s">
        <v>12704</v>
      </c>
      <c r="J3808" s="0" t="s">
        <v>12705</v>
      </c>
      <c r="K3808" s="0" t="s">
        <v>12706</v>
      </c>
      <c r="L3808" s="0" t="str">
        <f aca="false">HYPERLINK("https://www.ncbi.nlm.nih.gov/nuccore/CP000058.1?report=graph&amp;tracks=[key:gene_model_track,Options:GeneOnly]&amp;mk=1222058:1222077|offset_29|00cc00,1222084:1222103|offset_55|444444,1222131:1222150|offset_102|444444,1222168:1222187|offset_139|444444&amp;v=1221857:1222387&amp;c=444444", "offset 29")</f>
        <v>offset 29</v>
      </c>
    </row>
    <row r="3809" customFormat="false" ht="12.8" hidden="false" customHeight="false" outlineLevel="0" collapsed="false">
      <c r="A3809" s="0" t="s">
        <v>12</v>
      </c>
      <c r="B3809" s="0" t="n">
        <v>1222083</v>
      </c>
      <c r="C3809" s="0" t="n">
        <v>1222103</v>
      </c>
      <c r="D3809" s="0" t="s">
        <v>12703</v>
      </c>
      <c r="E3809" s="0" t="s">
        <v>75</v>
      </c>
      <c r="F3809" s="0" t="s">
        <v>15</v>
      </c>
      <c r="G3809" s="0" t="s">
        <v>16</v>
      </c>
      <c r="H3809" s="0" t="n">
        <v>55</v>
      </c>
      <c r="I3809" s="0" t="s">
        <v>12707</v>
      </c>
      <c r="J3809" s="0" t="s">
        <v>12708</v>
      </c>
      <c r="K3809" s="0" t="s">
        <v>12709</v>
      </c>
      <c r="L3809" s="0" t="str">
        <f aca="false">HYPERLINK("https://www.ncbi.nlm.nih.gov/nuccore/CP000058.1?report=graph&amp;tracks=[key:gene_model_track,Options:GeneOnly]&amp;mk=1222058:1222077|offset_29|444444,1222084:1222103|offset_55|00cc00,1222131:1222150|offset_102|444444,1222168:1222187|offset_139|444444&amp;v=1221857:1222387&amp;c=444444", "offset 55")</f>
        <v>offset 55</v>
      </c>
    </row>
    <row r="3810" customFormat="false" ht="12.8" hidden="false" customHeight="false" outlineLevel="0" collapsed="false">
      <c r="A3810" s="0" t="s">
        <v>12</v>
      </c>
      <c r="B3810" s="0" t="n">
        <v>1222130</v>
      </c>
      <c r="C3810" s="0" t="n">
        <v>1222150</v>
      </c>
      <c r="D3810" s="0" t="s">
        <v>12703</v>
      </c>
      <c r="E3810" s="0" t="s">
        <v>75</v>
      </c>
      <c r="F3810" s="0" t="s">
        <v>15</v>
      </c>
      <c r="G3810" s="0" t="s">
        <v>16</v>
      </c>
      <c r="H3810" s="0" t="n">
        <v>102</v>
      </c>
      <c r="I3810" s="0" t="s">
        <v>12710</v>
      </c>
      <c r="J3810" s="0" t="s">
        <v>12711</v>
      </c>
      <c r="K3810" s="0" t="s">
        <v>12712</v>
      </c>
      <c r="L3810" s="0" t="str">
        <f aca="false">HYPERLINK("https://www.ncbi.nlm.nih.gov/nuccore/CP000058.1?report=graph&amp;tracks=[key:gene_model_track,Options:GeneOnly]&amp;mk=1222058:1222077|offset_29|444444,1222084:1222103|offset_55|444444,1222131:1222150|offset_102|00cc00,1222168:1222187|offset_139|444444&amp;v=1221857:1222387&amp;c=444444", "offset 102")</f>
        <v>offset 102</v>
      </c>
    </row>
    <row r="3811" customFormat="false" ht="12.8" hidden="false" customHeight="false" outlineLevel="0" collapsed="false">
      <c r="A3811" s="0" t="s">
        <v>12</v>
      </c>
      <c r="B3811" s="0" t="n">
        <v>1222167</v>
      </c>
      <c r="C3811" s="0" t="n">
        <v>1222187</v>
      </c>
      <c r="D3811" s="0" t="s">
        <v>12703</v>
      </c>
      <c r="E3811" s="0" t="s">
        <v>75</v>
      </c>
      <c r="F3811" s="0" t="s">
        <v>15</v>
      </c>
      <c r="G3811" s="0" t="s">
        <v>16</v>
      </c>
      <c r="H3811" s="0" t="n">
        <v>139</v>
      </c>
      <c r="I3811" s="0" t="s">
        <v>12713</v>
      </c>
      <c r="J3811" s="0" t="s">
        <v>12714</v>
      </c>
      <c r="K3811" s="0" t="s">
        <v>12715</v>
      </c>
      <c r="L3811" s="0" t="str">
        <f aca="false">HYPERLINK("https://www.ncbi.nlm.nih.gov/nuccore/CP000058.1?report=graph&amp;tracks=[key:gene_model_track,Options:GeneOnly]&amp;mk=1222058:1222077|offset_29|444444,1222084:1222103|offset_55|444444,1222131:1222150|offset_102|444444,1222168:1222187|offset_139|00cc00&amp;v=1221857:1222387&amp;c=444444", "offset 139")</f>
        <v>offset 139</v>
      </c>
    </row>
    <row r="3812" customFormat="false" ht="12.8" hidden="false" customHeight="false" outlineLevel="0" collapsed="false">
      <c r="A3812" s="0" t="s">
        <v>12</v>
      </c>
      <c r="B3812" s="0" t="n">
        <v>1222231</v>
      </c>
      <c r="C3812" s="0" t="n">
        <v>1222251</v>
      </c>
      <c r="D3812" s="0" t="s">
        <v>12716</v>
      </c>
      <c r="E3812" s="0" t="s">
        <v>75</v>
      </c>
      <c r="F3812" s="0" t="s">
        <v>15</v>
      </c>
      <c r="G3812" s="0" t="s">
        <v>36</v>
      </c>
      <c r="H3812" s="0" t="n">
        <v>21</v>
      </c>
      <c r="I3812" s="0" t="s">
        <v>12717</v>
      </c>
      <c r="J3812" s="0" t="s">
        <v>12718</v>
      </c>
      <c r="K3812" s="0" t="s">
        <v>12719</v>
      </c>
      <c r="L3812" s="0" t="str">
        <f aca="false">HYPERLINK("https://www.ncbi.nlm.nih.gov/nuccore/CP000058.1?report=graph&amp;tracks=[key:gene_model_track,Options:GeneOnly]&amp;mk=1222232:1222251|offset_21|00cc00,1222275:1222294|offset_64|444444,1222302:1222321|offset_91|444444,1222337:1222356|offset_126|444444&amp;v=1222031:1222556&amp;c=444444", "offset 21")</f>
        <v>offset 21</v>
      </c>
    </row>
    <row r="3813" customFormat="false" ht="12.8" hidden="false" customHeight="false" outlineLevel="0" collapsed="false">
      <c r="A3813" s="0" t="s">
        <v>12</v>
      </c>
      <c r="B3813" s="0" t="n">
        <v>1222274</v>
      </c>
      <c r="C3813" s="0" t="n">
        <v>1222294</v>
      </c>
      <c r="D3813" s="0" t="s">
        <v>12716</v>
      </c>
      <c r="E3813" s="0" t="s">
        <v>75</v>
      </c>
      <c r="F3813" s="0" t="s">
        <v>15</v>
      </c>
      <c r="G3813" s="0" t="s">
        <v>32</v>
      </c>
      <c r="H3813" s="0" t="n">
        <v>64</v>
      </c>
      <c r="I3813" s="0" t="s">
        <v>12720</v>
      </c>
      <c r="J3813" s="0" t="s">
        <v>12721</v>
      </c>
      <c r="K3813" s="0" t="s">
        <v>12722</v>
      </c>
      <c r="L3813" s="0" t="str">
        <f aca="false">HYPERLINK("https://www.ncbi.nlm.nih.gov/nuccore/CP000058.1?report=graph&amp;tracks=[key:gene_model_track,Options:GeneOnly]&amp;mk=1222232:1222251|offset_21|444444,1222275:1222294|offset_64|00cc00,1222302:1222321|offset_91|444444,1222337:1222356|offset_126|444444&amp;v=1222031:1222556&amp;c=444444", "offset 64")</f>
        <v>offset 64</v>
      </c>
    </row>
    <row r="3814" customFormat="false" ht="12.8" hidden="false" customHeight="false" outlineLevel="0" collapsed="false">
      <c r="A3814" s="0" t="s">
        <v>12</v>
      </c>
      <c r="B3814" s="0" t="n">
        <v>1222301</v>
      </c>
      <c r="C3814" s="0" t="n">
        <v>1222321</v>
      </c>
      <c r="D3814" s="0" t="s">
        <v>12716</v>
      </c>
      <c r="E3814" s="0" t="s">
        <v>75</v>
      </c>
      <c r="F3814" s="0" t="s">
        <v>15</v>
      </c>
      <c r="G3814" s="0" t="s">
        <v>16</v>
      </c>
      <c r="H3814" s="0" t="n">
        <v>91</v>
      </c>
      <c r="I3814" s="0" t="s">
        <v>12723</v>
      </c>
      <c r="J3814" s="0" t="s">
        <v>12724</v>
      </c>
      <c r="K3814" s="0" t="s">
        <v>12725</v>
      </c>
      <c r="L3814" s="0" t="str">
        <f aca="false">HYPERLINK("https://www.ncbi.nlm.nih.gov/nuccore/CP000058.1?report=graph&amp;tracks=[key:gene_model_track,Options:GeneOnly]&amp;mk=1222232:1222251|offset_21|444444,1222275:1222294|offset_64|444444,1222302:1222321|offset_91|00cc00,1222337:1222356|offset_126|444444&amp;v=1222031:1222556&amp;c=444444", "offset 91")</f>
        <v>offset 91</v>
      </c>
    </row>
    <row r="3815" customFormat="false" ht="12.8" hidden="false" customHeight="false" outlineLevel="0" collapsed="false">
      <c r="A3815" s="0" t="s">
        <v>12</v>
      </c>
      <c r="B3815" s="0" t="n">
        <v>1222336</v>
      </c>
      <c r="C3815" s="0" t="n">
        <v>1222356</v>
      </c>
      <c r="D3815" s="0" t="s">
        <v>12716</v>
      </c>
      <c r="E3815" s="0" t="s">
        <v>75</v>
      </c>
      <c r="F3815" s="0" t="s">
        <v>15</v>
      </c>
      <c r="G3815" s="0" t="s">
        <v>16</v>
      </c>
      <c r="H3815" s="0" t="n">
        <v>126</v>
      </c>
      <c r="I3815" s="0" t="s">
        <v>12726</v>
      </c>
      <c r="J3815" s="0" t="s">
        <v>12727</v>
      </c>
      <c r="K3815" s="0" t="s">
        <v>12728</v>
      </c>
      <c r="L3815" s="0" t="str">
        <f aca="false">HYPERLINK("https://www.ncbi.nlm.nih.gov/nuccore/CP000058.1?report=graph&amp;tracks=[key:gene_model_track,Options:GeneOnly]&amp;mk=1222232:1222251|offset_21|444444,1222275:1222294|offset_64|444444,1222302:1222321|offset_91|444444,1222337:1222356|offset_126|00cc00&amp;v=1222031:1222556&amp;c=444444", "offset 126")</f>
        <v>offset 126</v>
      </c>
    </row>
    <row r="3816" customFormat="false" ht="12.8" hidden="false" customHeight="false" outlineLevel="0" collapsed="false">
      <c r="A3816" s="0" t="s">
        <v>12</v>
      </c>
      <c r="B3816" s="0" t="n">
        <v>1222500</v>
      </c>
      <c r="C3816" s="0" t="n">
        <v>1222520</v>
      </c>
      <c r="D3816" s="0" t="s">
        <v>12729</v>
      </c>
      <c r="E3816" s="0" t="s">
        <v>75</v>
      </c>
      <c r="F3816" s="0" t="s">
        <v>15</v>
      </c>
      <c r="G3816" s="0" t="s">
        <v>36</v>
      </c>
      <c r="H3816" s="0" t="n">
        <v>0</v>
      </c>
      <c r="I3816" s="0" t="s">
        <v>12730</v>
      </c>
      <c r="J3816" s="0" t="s">
        <v>12731</v>
      </c>
      <c r="K3816" s="0" t="s">
        <v>12732</v>
      </c>
      <c r="L3816" s="0" t="str">
        <f aca="false">HYPERLINK("https://www.ncbi.nlm.nih.gov/nuccore/CP000058.1?report=graph&amp;tracks=[key:gene_model_track,Options:GeneOnly]&amp;mk=1222501:1222520|offset_0|00cc00,1222521:1222540|offset_20|444444,1222541:1222560|offset_40|444444,1222564:1222583|offset_63|444444&amp;v=1222300:1222783&amp;c=444444", "offset 0")</f>
        <v>offset 0</v>
      </c>
    </row>
    <row r="3817" customFormat="false" ht="12.8" hidden="false" customHeight="false" outlineLevel="0" collapsed="false">
      <c r="A3817" s="0" t="s">
        <v>12</v>
      </c>
      <c r="B3817" s="0" t="n">
        <v>1222520</v>
      </c>
      <c r="C3817" s="0" t="n">
        <v>1222540</v>
      </c>
      <c r="D3817" s="0" t="s">
        <v>12729</v>
      </c>
      <c r="E3817" s="0" t="s">
        <v>75</v>
      </c>
      <c r="F3817" s="0" t="s">
        <v>15</v>
      </c>
      <c r="G3817" s="0" t="s">
        <v>20</v>
      </c>
      <c r="H3817" s="0" t="n">
        <v>20</v>
      </c>
      <c r="I3817" s="0" t="s">
        <v>12733</v>
      </c>
      <c r="J3817" s="0" t="s">
        <v>12734</v>
      </c>
      <c r="K3817" s="0" t="s">
        <v>12735</v>
      </c>
      <c r="L3817" s="0" t="str">
        <f aca="false">HYPERLINK("https://www.ncbi.nlm.nih.gov/nuccore/CP000058.1?report=graph&amp;tracks=[key:gene_model_track,Options:GeneOnly]&amp;mk=1222501:1222520|offset_0|444444,1222521:1222540|offset_20|00cc00,1222541:1222560|offset_40|444444,1222564:1222583|offset_63|444444&amp;v=1222300:1222783&amp;c=444444", "offset 20")</f>
        <v>offset 20</v>
      </c>
    </row>
    <row r="3818" customFormat="false" ht="12.8" hidden="false" customHeight="false" outlineLevel="0" collapsed="false">
      <c r="A3818" s="0" t="s">
        <v>12</v>
      </c>
      <c r="B3818" s="0" t="n">
        <v>1222540</v>
      </c>
      <c r="C3818" s="0" t="n">
        <v>1222560</v>
      </c>
      <c r="D3818" s="0" t="s">
        <v>12729</v>
      </c>
      <c r="E3818" s="0" t="s">
        <v>75</v>
      </c>
      <c r="F3818" s="0" t="s">
        <v>15</v>
      </c>
      <c r="G3818" s="0" t="s">
        <v>20</v>
      </c>
      <c r="H3818" s="0" t="n">
        <v>40</v>
      </c>
      <c r="I3818" s="0" t="s">
        <v>12736</v>
      </c>
      <c r="J3818" s="0" t="s">
        <v>12737</v>
      </c>
      <c r="K3818" s="0" t="s">
        <v>12738</v>
      </c>
      <c r="L3818" s="0" t="str">
        <f aca="false">HYPERLINK("https://www.ncbi.nlm.nih.gov/nuccore/CP000058.1?report=graph&amp;tracks=[key:gene_model_track,Options:GeneOnly]&amp;mk=1222501:1222520|offset_0|444444,1222521:1222540|offset_20|444444,1222541:1222560|offset_40|00cc00,1222564:1222583|offset_63|444444&amp;v=1222300:1222783&amp;c=444444", "offset 40")</f>
        <v>offset 40</v>
      </c>
    </row>
    <row r="3819" customFormat="false" ht="12.8" hidden="false" customHeight="false" outlineLevel="0" collapsed="false">
      <c r="A3819" s="0" t="s">
        <v>12</v>
      </c>
      <c r="B3819" s="0" t="n">
        <v>1222563</v>
      </c>
      <c r="C3819" s="0" t="n">
        <v>1222583</v>
      </c>
      <c r="D3819" s="0" t="s">
        <v>12729</v>
      </c>
      <c r="E3819" s="0" t="s">
        <v>75</v>
      </c>
      <c r="F3819" s="0" t="s">
        <v>15</v>
      </c>
      <c r="G3819" s="0" t="s">
        <v>36</v>
      </c>
      <c r="H3819" s="0" t="n">
        <v>63</v>
      </c>
      <c r="I3819" s="0" t="s">
        <v>12739</v>
      </c>
      <c r="J3819" s="0" t="s">
        <v>12740</v>
      </c>
      <c r="K3819" s="0" t="s">
        <v>12741</v>
      </c>
      <c r="L3819" s="0" t="str">
        <f aca="false">HYPERLINK("https://www.ncbi.nlm.nih.gov/nuccore/CP000058.1?report=graph&amp;tracks=[key:gene_model_track,Options:GeneOnly]&amp;mk=1222501:1222520|offset_0|444444,1222521:1222540|offset_20|444444,1222541:1222560|offset_40|444444,1222564:1222583|offset_63|00cc00&amp;v=1222300:1222783&amp;c=444444", "offset 63")</f>
        <v>offset 63</v>
      </c>
    </row>
    <row r="3820" customFormat="false" ht="12.8" hidden="false" customHeight="false" outlineLevel="0" collapsed="false">
      <c r="A3820" s="0" t="s">
        <v>12</v>
      </c>
      <c r="B3820" s="0" t="n">
        <v>1223313</v>
      </c>
      <c r="C3820" s="0" t="n">
        <v>1223333</v>
      </c>
      <c r="D3820" s="0" t="s">
        <v>12742</v>
      </c>
      <c r="E3820" s="0" t="s">
        <v>75</v>
      </c>
      <c r="F3820" s="0" t="s">
        <v>15</v>
      </c>
      <c r="G3820" s="0" t="s">
        <v>32</v>
      </c>
      <c r="H3820" s="0" t="n">
        <v>1</v>
      </c>
      <c r="I3820" s="0" t="s">
        <v>12743</v>
      </c>
      <c r="J3820" s="0" t="s">
        <v>12744</v>
      </c>
      <c r="K3820" s="0" t="s">
        <v>12745</v>
      </c>
      <c r="L3820" s="0" t="str">
        <f aca="false">HYPERLINK("https://www.ncbi.nlm.nih.gov/nuccore/CP000058.1?report=graph&amp;tracks=[key:gene_model_track,Options:GeneOnly]&amp;mk=1223314:1223333|offset_1|00cc00,1223386:1223405|offset_73|444444,1223443:1223462|offset_130|444444,1223470:1223489|offset_157|444444&amp;v=1223113:1223689&amp;c=444444", "offset 1")</f>
        <v>offset 1</v>
      </c>
    </row>
    <row r="3821" customFormat="false" ht="12.8" hidden="false" customHeight="false" outlineLevel="0" collapsed="false">
      <c r="A3821" s="0" t="s">
        <v>12</v>
      </c>
      <c r="B3821" s="0" t="n">
        <v>1223385</v>
      </c>
      <c r="C3821" s="0" t="n">
        <v>1223405</v>
      </c>
      <c r="D3821" s="0" t="s">
        <v>12742</v>
      </c>
      <c r="E3821" s="0" t="s">
        <v>75</v>
      </c>
      <c r="F3821" s="0" t="s">
        <v>15</v>
      </c>
      <c r="G3821" s="0" t="s">
        <v>32</v>
      </c>
      <c r="H3821" s="0" t="n">
        <v>73</v>
      </c>
      <c r="I3821" s="0" t="s">
        <v>12746</v>
      </c>
      <c r="J3821" s="0" t="s">
        <v>12747</v>
      </c>
      <c r="K3821" s="0" t="s">
        <v>12748</v>
      </c>
      <c r="L3821" s="0" t="str">
        <f aca="false">HYPERLINK("https://www.ncbi.nlm.nih.gov/nuccore/CP000058.1?report=graph&amp;tracks=[key:gene_model_track,Options:GeneOnly]&amp;mk=1223314:1223333|offset_1|444444,1223386:1223405|offset_73|00cc00,1223443:1223462|offset_130|444444,1223470:1223489|offset_157|444444&amp;v=1223113:1223689&amp;c=444444", "offset 73")</f>
        <v>offset 73</v>
      </c>
    </row>
    <row r="3822" customFormat="false" ht="12.8" hidden="false" customHeight="false" outlineLevel="0" collapsed="false">
      <c r="A3822" s="0" t="s">
        <v>12</v>
      </c>
      <c r="B3822" s="0" t="n">
        <v>1223442</v>
      </c>
      <c r="C3822" s="0" t="n">
        <v>1223462</v>
      </c>
      <c r="D3822" s="0" t="s">
        <v>12742</v>
      </c>
      <c r="E3822" s="0" t="s">
        <v>75</v>
      </c>
      <c r="F3822" s="0" t="s">
        <v>15</v>
      </c>
      <c r="G3822" s="0" t="s">
        <v>32</v>
      </c>
      <c r="H3822" s="0" t="n">
        <v>130</v>
      </c>
      <c r="I3822" s="0" t="s">
        <v>12749</v>
      </c>
      <c r="J3822" s="0" t="s">
        <v>12750</v>
      </c>
      <c r="K3822" s="0" t="s">
        <v>12751</v>
      </c>
      <c r="L3822" s="0" t="str">
        <f aca="false">HYPERLINK("https://www.ncbi.nlm.nih.gov/nuccore/CP000058.1?report=graph&amp;tracks=[key:gene_model_track,Options:GeneOnly]&amp;mk=1223314:1223333|offset_1|444444,1223386:1223405|offset_73|444444,1223443:1223462|offset_130|00cc00,1223470:1223489|offset_157|444444&amp;v=1223113:1223689&amp;c=444444", "offset 130")</f>
        <v>offset 130</v>
      </c>
    </row>
    <row r="3823" customFormat="false" ht="12.8" hidden="false" customHeight="false" outlineLevel="0" collapsed="false">
      <c r="A3823" s="0" t="s">
        <v>12</v>
      </c>
      <c r="B3823" s="0" t="n">
        <v>1223469</v>
      </c>
      <c r="C3823" s="0" t="n">
        <v>1223489</v>
      </c>
      <c r="D3823" s="0" t="s">
        <v>12742</v>
      </c>
      <c r="E3823" s="0" t="s">
        <v>75</v>
      </c>
      <c r="F3823" s="0" t="s">
        <v>15</v>
      </c>
      <c r="G3823" s="0" t="s">
        <v>36</v>
      </c>
      <c r="H3823" s="0" t="n">
        <v>157</v>
      </c>
      <c r="I3823" s="0" t="s">
        <v>12752</v>
      </c>
      <c r="J3823" s="0" t="s">
        <v>12753</v>
      </c>
      <c r="K3823" s="0" t="s">
        <v>12754</v>
      </c>
      <c r="L3823" s="0" t="str">
        <f aca="false">HYPERLINK("https://www.ncbi.nlm.nih.gov/nuccore/CP000058.1?report=graph&amp;tracks=[key:gene_model_track,Options:GeneOnly]&amp;mk=1223314:1223333|offset_1|444444,1223386:1223405|offset_73|444444,1223443:1223462|offset_130|444444,1223470:1223489|offset_157|00cc00&amp;v=1223113:1223689&amp;c=444444", "offset 157")</f>
        <v>offset 157</v>
      </c>
    </row>
    <row r="3824" customFormat="false" ht="12.8" hidden="false" customHeight="false" outlineLevel="0" collapsed="false">
      <c r="A3824" s="0" t="s">
        <v>12</v>
      </c>
      <c r="B3824" s="0" t="n">
        <v>1224724</v>
      </c>
      <c r="C3824" s="0" t="n">
        <v>1224744</v>
      </c>
      <c r="D3824" s="0" t="s">
        <v>12755</v>
      </c>
      <c r="E3824" s="0" t="s">
        <v>75</v>
      </c>
      <c r="F3824" s="0" t="s">
        <v>90</v>
      </c>
      <c r="G3824" s="0" t="s">
        <v>36</v>
      </c>
      <c r="H3824" s="0" t="n">
        <v>23</v>
      </c>
      <c r="I3824" s="0" t="s">
        <v>12756</v>
      </c>
      <c r="J3824" s="0" t="s">
        <v>12757</v>
      </c>
      <c r="K3824" s="0" t="s">
        <v>12758</v>
      </c>
      <c r="L3824" s="0" t="str">
        <f aca="false">HYPERLINK("https://www.ncbi.nlm.nih.gov/nuccore/CP000058.1?report=graph&amp;tracks=[key:gene_model_track,Options:GeneOnly]&amp;mk=1224725:1224744|offset_23|00cc00,1224660:1224679|offset_88|444444,1224637:1224656|offset_111|444444,1224603:1224622|offset_145|444444&amp;v=1224524:1224822&amp;c=444444", "offset 23")</f>
        <v>offset 23</v>
      </c>
    </row>
    <row r="3825" customFormat="false" ht="12.8" hidden="false" customHeight="false" outlineLevel="0" collapsed="false">
      <c r="A3825" s="0" t="s">
        <v>12</v>
      </c>
      <c r="B3825" s="0" t="n">
        <v>1224659</v>
      </c>
      <c r="C3825" s="0" t="n">
        <v>1224679</v>
      </c>
      <c r="D3825" s="0" t="s">
        <v>12755</v>
      </c>
      <c r="E3825" s="0" t="s">
        <v>75</v>
      </c>
      <c r="F3825" s="0" t="s">
        <v>90</v>
      </c>
      <c r="G3825" s="0" t="s">
        <v>16</v>
      </c>
      <c r="H3825" s="0" t="n">
        <v>88</v>
      </c>
      <c r="I3825" s="0" t="s">
        <v>12759</v>
      </c>
      <c r="J3825" s="0" t="s">
        <v>12760</v>
      </c>
      <c r="K3825" s="0" t="s">
        <v>12761</v>
      </c>
      <c r="L3825" s="0" t="str">
        <f aca="false">HYPERLINK("https://www.ncbi.nlm.nih.gov/nuccore/CP000058.1?report=graph&amp;tracks=[key:gene_model_track,Options:GeneOnly]&amp;mk=1224725:1224744|offset_23|444444,1224660:1224679|offset_88|00cc00,1224637:1224656|offset_111|444444,1224603:1224622|offset_145|444444&amp;v=1224524:1224822&amp;c=444444", "offset 88")</f>
        <v>offset 88</v>
      </c>
    </row>
    <row r="3826" customFormat="false" ht="12.8" hidden="false" customHeight="false" outlineLevel="0" collapsed="false">
      <c r="A3826" s="0" t="s">
        <v>12</v>
      </c>
      <c r="B3826" s="0" t="n">
        <v>1224636</v>
      </c>
      <c r="C3826" s="0" t="n">
        <v>1224656</v>
      </c>
      <c r="D3826" s="0" t="s">
        <v>12755</v>
      </c>
      <c r="E3826" s="0" t="s">
        <v>75</v>
      </c>
      <c r="F3826" s="0" t="s">
        <v>90</v>
      </c>
      <c r="G3826" s="0" t="s">
        <v>16</v>
      </c>
      <c r="H3826" s="0" t="n">
        <v>111</v>
      </c>
      <c r="I3826" s="0" t="s">
        <v>12762</v>
      </c>
      <c r="J3826" s="0" t="s">
        <v>12763</v>
      </c>
      <c r="K3826" s="0" t="s">
        <v>12764</v>
      </c>
      <c r="L3826" s="0" t="str">
        <f aca="false">HYPERLINK("https://www.ncbi.nlm.nih.gov/nuccore/CP000058.1?report=graph&amp;tracks=[key:gene_model_track,Options:GeneOnly]&amp;mk=1224725:1224744|offset_23|444444,1224660:1224679|offset_88|444444,1224637:1224656|offset_111|00cc00,1224603:1224622|offset_145|444444&amp;v=1224524:1224822&amp;c=444444", "offset 111")</f>
        <v>offset 111</v>
      </c>
    </row>
    <row r="3827" customFormat="false" ht="12.8" hidden="false" customHeight="false" outlineLevel="0" collapsed="false">
      <c r="A3827" s="0" t="s">
        <v>12</v>
      </c>
      <c r="B3827" s="0" t="n">
        <v>1224602</v>
      </c>
      <c r="C3827" s="0" t="n">
        <v>1224622</v>
      </c>
      <c r="D3827" s="0" t="s">
        <v>12755</v>
      </c>
      <c r="E3827" s="0" t="s">
        <v>75</v>
      </c>
      <c r="F3827" s="0" t="s">
        <v>90</v>
      </c>
      <c r="G3827" s="0" t="s">
        <v>32</v>
      </c>
      <c r="H3827" s="0" t="n">
        <v>145</v>
      </c>
      <c r="I3827" s="0" t="s">
        <v>12765</v>
      </c>
      <c r="J3827" s="0" t="s">
        <v>12766</v>
      </c>
      <c r="K3827" s="0" t="s">
        <v>12767</v>
      </c>
      <c r="L3827" s="0" t="str">
        <f aca="false">HYPERLINK("https://www.ncbi.nlm.nih.gov/nuccore/CP000058.1?report=graph&amp;tracks=[key:gene_model_track,Options:GeneOnly]&amp;mk=1224725:1224744|offset_23|444444,1224660:1224679|offset_88|444444,1224637:1224656|offset_111|444444,1224603:1224622|offset_145|00cc00&amp;v=1224524:1224822&amp;c=444444", "offset 145")</f>
        <v>offset 145</v>
      </c>
    </row>
    <row r="3828" customFormat="false" ht="12.8" hidden="false" customHeight="false" outlineLevel="0" collapsed="false">
      <c r="A3828" s="0" t="s">
        <v>12</v>
      </c>
      <c r="B3828" s="0" t="n">
        <v>1225991</v>
      </c>
      <c r="C3828" s="0" t="n">
        <v>1226011</v>
      </c>
      <c r="D3828" s="0" t="s">
        <v>12768</v>
      </c>
      <c r="E3828" s="0" t="s">
        <v>12769</v>
      </c>
      <c r="F3828" s="0" t="s">
        <v>90</v>
      </c>
      <c r="G3828" s="0" t="s">
        <v>32</v>
      </c>
      <c r="H3828" s="0" t="n">
        <v>1</v>
      </c>
      <c r="I3828" s="0" t="s">
        <v>12770</v>
      </c>
      <c r="J3828" s="0" t="s">
        <v>12771</v>
      </c>
      <c r="K3828" s="0" t="s">
        <v>12772</v>
      </c>
      <c r="L3828" s="0" t="str">
        <f aca="false">HYPERLINK("https://www.ncbi.nlm.nih.gov/nuccore/CP000058.1?report=graph&amp;tracks=[key:gene_model_track,Options:GeneOnly]&amp;mk=1225992:1226011|offset_1|00cc00,1225964:1225983|offset_29|444444,1225918:1225937|offset_75|444444,1225891:1225910|offset_102|444444&amp;v=1225791:1226110&amp;c=444444", "offset 1")</f>
        <v>offset 1</v>
      </c>
    </row>
    <row r="3829" customFormat="false" ht="12.8" hidden="false" customHeight="false" outlineLevel="0" collapsed="false">
      <c r="A3829" s="0" t="s">
        <v>12</v>
      </c>
      <c r="B3829" s="0" t="n">
        <v>1225963</v>
      </c>
      <c r="C3829" s="0" t="n">
        <v>1225983</v>
      </c>
      <c r="D3829" s="0" t="s">
        <v>12768</v>
      </c>
      <c r="E3829" s="0" t="s">
        <v>12769</v>
      </c>
      <c r="F3829" s="0" t="s">
        <v>90</v>
      </c>
      <c r="G3829" s="0" t="s">
        <v>16</v>
      </c>
      <c r="H3829" s="0" t="n">
        <v>29</v>
      </c>
      <c r="I3829" s="0" t="s">
        <v>12773</v>
      </c>
      <c r="J3829" s="0" t="s">
        <v>12774</v>
      </c>
      <c r="K3829" s="0" t="s">
        <v>12775</v>
      </c>
      <c r="L3829" s="0" t="str">
        <f aca="false">HYPERLINK("https://www.ncbi.nlm.nih.gov/nuccore/CP000058.1?report=graph&amp;tracks=[key:gene_model_track,Options:GeneOnly]&amp;mk=1225992:1226011|offset_1|444444,1225964:1225983|offset_29|00cc00,1225918:1225937|offset_75|444444,1225891:1225910|offset_102|444444&amp;v=1225791:1226110&amp;c=444444", "offset 29")</f>
        <v>offset 29</v>
      </c>
    </row>
    <row r="3830" customFormat="false" ht="12.8" hidden="false" customHeight="false" outlineLevel="0" collapsed="false">
      <c r="A3830" s="0" t="s">
        <v>12</v>
      </c>
      <c r="B3830" s="0" t="n">
        <v>1225917</v>
      </c>
      <c r="C3830" s="0" t="n">
        <v>1225937</v>
      </c>
      <c r="D3830" s="0" t="s">
        <v>12768</v>
      </c>
      <c r="E3830" s="0" t="s">
        <v>12769</v>
      </c>
      <c r="F3830" s="0" t="s">
        <v>90</v>
      </c>
      <c r="G3830" s="0" t="s">
        <v>36</v>
      </c>
      <c r="H3830" s="0" t="n">
        <v>75</v>
      </c>
      <c r="I3830" s="0" t="s">
        <v>12776</v>
      </c>
      <c r="J3830" s="0" t="s">
        <v>12777</v>
      </c>
      <c r="K3830" s="0" t="s">
        <v>12778</v>
      </c>
      <c r="L3830" s="0" t="str">
        <f aca="false">HYPERLINK("https://www.ncbi.nlm.nih.gov/nuccore/CP000058.1?report=graph&amp;tracks=[key:gene_model_track,Options:GeneOnly]&amp;mk=1225992:1226011|offset_1|444444,1225964:1225983|offset_29|444444,1225918:1225937|offset_75|00cc00,1225891:1225910|offset_102|444444&amp;v=1225791:1226110&amp;c=444444", "offset 75")</f>
        <v>offset 75</v>
      </c>
    </row>
    <row r="3831" customFormat="false" ht="12.8" hidden="false" customHeight="false" outlineLevel="0" collapsed="false">
      <c r="A3831" s="0" t="s">
        <v>12</v>
      </c>
      <c r="B3831" s="0" t="n">
        <v>1225890</v>
      </c>
      <c r="C3831" s="0" t="n">
        <v>1225910</v>
      </c>
      <c r="D3831" s="0" t="s">
        <v>12768</v>
      </c>
      <c r="E3831" s="0" t="s">
        <v>12769</v>
      </c>
      <c r="F3831" s="0" t="s">
        <v>90</v>
      </c>
      <c r="G3831" s="0" t="s">
        <v>16</v>
      </c>
      <c r="H3831" s="0" t="n">
        <v>102</v>
      </c>
      <c r="I3831" s="0" t="s">
        <v>12779</v>
      </c>
      <c r="J3831" s="0" t="s">
        <v>12780</v>
      </c>
      <c r="K3831" s="0" t="s">
        <v>12781</v>
      </c>
      <c r="L3831" s="0" t="str">
        <f aca="false">HYPERLINK("https://www.ncbi.nlm.nih.gov/nuccore/CP000058.1?report=graph&amp;tracks=[key:gene_model_track,Options:GeneOnly]&amp;mk=1225992:1226011|offset_1|444444,1225964:1225983|offset_29|444444,1225918:1225937|offset_75|444444,1225891:1225910|offset_102|00cc00&amp;v=1225791:1226110&amp;c=444444", "offset 102")</f>
        <v>offset 102</v>
      </c>
    </row>
    <row r="3832" customFormat="false" ht="12.8" hidden="false" customHeight="false" outlineLevel="0" collapsed="false">
      <c r="A3832" s="0" t="s">
        <v>12</v>
      </c>
      <c r="B3832" s="0" t="n">
        <v>1226355</v>
      </c>
      <c r="C3832" s="0" t="n">
        <v>1226375</v>
      </c>
      <c r="D3832" s="0" t="s">
        <v>12782</v>
      </c>
      <c r="E3832" s="0" t="s">
        <v>75</v>
      </c>
      <c r="F3832" s="0" t="s">
        <v>15</v>
      </c>
      <c r="G3832" s="0" t="s">
        <v>16</v>
      </c>
      <c r="H3832" s="0" t="n">
        <v>25</v>
      </c>
      <c r="I3832" s="0" t="s">
        <v>12783</v>
      </c>
      <c r="J3832" s="0" t="s">
        <v>12784</v>
      </c>
      <c r="K3832" s="0" t="s">
        <v>12785</v>
      </c>
      <c r="L3832" s="0" t="str">
        <f aca="false">HYPERLINK("https://www.ncbi.nlm.nih.gov/nuccore/CP000058.1?report=graph&amp;tracks=[key:gene_model_track,Options:GeneOnly]&amp;mk=1226356:1226375|offset_25|00cc00,1226380:1226399|offset_49|444444,1226452:1226471|offset_121|444444,1226479:1226498|offset_148|444444&amp;v=1226155:1226698&amp;c=444444", "offset 25")</f>
        <v>offset 25</v>
      </c>
    </row>
    <row r="3833" customFormat="false" ht="12.8" hidden="false" customHeight="false" outlineLevel="0" collapsed="false">
      <c r="A3833" s="0" t="s">
        <v>12</v>
      </c>
      <c r="B3833" s="0" t="n">
        <v>1226379</v>
      </c>
      <c r="C3833" s="0" t="n">
        <v>1226399</v>
      </c>
      <c r="D3833" s="0" t="s">
        <v>12782</v>
      </c>
      <c r="E3833" s="0" t="s">
        <v>75</v>
      </c>
      <c r="F3833" s="0" t="s">
        <v>15</v>
      </c>
      <c r="G3833" s="0" t="s">
        <v>16</v>
      </c>
      <c r="H3833" s="0" t="n">
        <v>49</v>
      </c>
      <c r="I3833" s="0" t="s">
        <v>12786</v>
      </c>
      <c r="J3833" s="0" t="s">
        <v>12787</v>
      </c>
      <c r="K3833" s="0" t="s">
        <v>12788</v>
      </c>
      <c r="L3833" s="0" t="str">
        <f aca="false">HYPERLINK("https://www.ncbi.nlm.nih.gov/nuccore/CP000058.1?report=graph&amp;tracks=[key:gene_model_track,Options:GeneOnly]&amp;mk=1226356:1226375|offset_25|444444,1226380:1226399|offset_49|00cc00,1226452:1226471|offset_121|444444,1226479:1226498|offset_148|444444&amp;v=1226155:1226698&amp;c=444444", "offset 49")</f>
        <v>offset 49</v>
      </c>
    </row>
    <row r="3834" customFormat="false" ht="12.8" hidden="false" customHeight="false" outlineLevel="0" collapsed="false">
      <c r="A3834" s="0" t="s">
        <v>12</v>
      </c>
      <c r="B3834" s="0" t="n">
        <v>1226451</v>
      </c>
      <c r="C3834" s="0" t="n">
        <v>1226471</v>
      </c>
      <c r="D3834" s="0" t="s">
        <v>12782</v>
      </c>
      <c r="E3834" s="0" t="s">
        <v>75</v>
      </c>
      <c r="F3834" s="0" t="s">
        <v>15</v>
      </c>
      <c r="G3834" s="0" t="s">
        <v>20</v>
      </c>
      <c r="H3834" s="0" t="n">
        <v>121</v>
      </c>
      <c r="I3834" s="0" t="s">
        <v>12789</v>
      </c>
      <c r="J3834" s="0" t="s">
        <v>12790</v>
      </c>
      <c r="K3834" s="0" t="s">
        <v>12791</v>
      </c>
      <c r="L3834" s="0" t="str">
        <f aca="false">HYPERLINK("https://www.ncbi.nlm.nih.gov/nuccore/CP000058.1?report=graph&amp;tracks=[key:gene_model_track,Options:GeneOnly]&amp;mk=1226356:1226375|offset_25|444444,1226380:1226399|offset_49|444444,1226452:1226471|offset_121|00cc00,1226479:1226498|offset_148|444444&amp;v=1226155:1226698&amp;c=444444", "offset 121")</f>
        <v>offset 121</v>
      </c>
    </row>
    <row r="3835" customFormat="false" ht="12.8" hidden="false" customHeight="false" outlineLevel="0" collapsed="false">
      <c r="A3835" s="0" t="s">
        <v>12</v>
      </c>
      <c r="B3835" s="0" t="n">
        <v>1226478</v>
      </c>
      <c r="C3835" s="0" t="n">
        <v>1226498</v>
      </c>
      <c r="D3835" s="0" t="s">
        <v>12782</v>
      </c>
      <c r="E3835" s="0" t="s">
        <v>75</v>
      </c>
      <c r="F3835" s="0" t="s">
        <v>15</v>
      </c>
      <c r="G3835" s="0" t="s">
        <v>32</v>
      </c>
      <c r="H3835" s="0" t="n">
        <v>148</v>
      </c>
      <c r="I3835" s="0" t="s">
        <v>12792</v>
      </c>
      <c r="J3835" s="0" t="s">
        <v>12793</v>
      </c>
      <c r="K3835" s="0" t="s">
        <v>12794</v>
      </c>
      <c r="L3835" s="0" t="str">
        <f aca="false">HYPERLINK("https://www.ncbi.nlm.nih.gov/nuccore/CP000058.1?report=graph&amp;tracks=[key:gene_model_track,Options:GeneOnly]&amp;mk=1226356:1226375|offset_25|444444,1226380:1226399|offset_49|444444,1226452:1226471|offset_121|444444,1226479:1226498|offset_148|00cc00&amp;v=1226155:1226698&amp;c=444444", "offset 148")</f>
        <v>offset 148</v>
      </c>
    </row>
    <row r="3836" customFormat="false" ht="12.8" hidden="false" customHeight="false" outlineLevel="0" collapsed="false">
      <c r="A3836" s="0" t="s">
        <v>12</v>
      </c>
      <c r="B3836" s="0" t="n">
        <v>1227158</v>
      </c>
      <c r="C3836" s="0" t="n">
        <v>1227178</v>
      </c>
      <c r="D3836" s="0" t="s">
        <v>12795</v>
      </c>
      <c r="E3836" s="0" t="s">
        <v>12796</v>
      </c>
      <c r="F3836" s="0" t="s">
        <v>15</v>
      </c>
      <c r="G3836" s="0" t="s">
        <v>36</v>
      </c>
      <c r="H3836" s="0" t="n">
        <v>27</v>
      </c>
      <c r="I3836" s="0" t="s">
        <v>12797</v>
      </c>
      <c r="J3836" s="0" t="s">
        <v>12798</v>
      </c>
      <c r="K3836" s="0" t="s">
        <v>12799</v>
      </c>
      <c r="L3836" s="0" t="str">
        <f aca="false">HYPERLINK("https://www.ncbi.nlm.nih.gov/nuccore/CP000058.1?report=graph&amp;tracks=[key:gene_model_track,Options:GeneOnly]&amp;mk=1227159:1227178|offset_27|00cc00,1227183:1227202|offset_51|444444,1227211:1227230|offset_79|444444,1227248:1227267|offset_116|444444&amp;v=1226958:1227467&amp;c=444444", "offset 27")</f>
        <v>offset 27</v>
      </c>
    </row>
    <row r="3837" customFormat="false" ht="12.8" hidden="false" customHeight="false" outlineLevel="0" collapsed="false">
      <c r="A3837" s="0" t="s">
        <v>12</v>
      </c>
      <c r="B3837" s="0" t="n">
        <v>1227182</v>
      </c>
      <c r="C3837" s="0" t="n">
        <v>1227202</v>
      </c>
      <c r="D3837" s="0" t="s">
        <v>12795</v>
      </c>
      <c r="E3837" s="0" t="s">
        <v>12796</v>
      </c>
      <c r="F3837" s="0" t="s">
        <v>15</v>
      </c>
      <c r="G3837" s="0" t="s">
        <v>20</v>
      </c>
      <c r="H3837" s="0" t="n">
        <v>51</v>
      </c>
      <c r="I3837" s="0" t="s">
        <v>12800</v>
      </c>
      <c r="J3837" s="0" t="s">
        <v>12801</v>
      </c>
      <c r="K3837" s="0" t="s">
        <v>12802</v>
      </c>
      <c r="L3837" s="0" t="str">
        <f aca="false">HYPERLINK("https://www.ncbi.nlm.nih.gov/nuccore/CP000058.1?report=graph&amp;tracks=[key:gene_model_track,Options:GeneOnly]&amp;mk=1227159:1227178|offset_27|444444,1227183:1227202|offset_51|00cc00,1227211:1227230|offset_79|444444,1227248:1227267|offset_116|444444&amp;v=1226958:1227467&amp;c=444444", "offset 51")</f>
        <v>offset 51</v>
      </c>
    </row>
    <row r="3838" customFormat="false" ht="12.8" hidden="false" customHeight="false" outlineLevel="0" collapsed="false">
      <c r="A3838" s="0" t="s">
        <v>12</v>
      </c>
      <c r="B3838" s="0" t="n">
        <v>1227210</v>
      </c>
      <c r="C3838" s="0" t="n">
        <v>1227230</v>
      </c>
      <c r="D3838" s="0" t="s">
        <v>12795</v>
      </c>
      <c r="E3838" s="0" t="s">
        <v>12796</v>
      </c>
      <c r="F3838" s="0" t="s">
        <v>15</v>
      </c>
      <c r="G3838" s="0" t="s">
        <v>16</v>
      </c>
      <c r="H3838" s="0" t="n">
        <v>79</v>
      </c>
      <c r="I3838" s="0" t="s">
        <v>12803</v>
      </c>
      <c r="J3838" s="0" t="s">
        <v>12804</v>
      </c>
      <c r="K3838" s="0" t="s">
        <v>12805</v>
      </c>
      <c r="L3838" s="0" t="str">
        <f aca="false">HYPERLINK("https://www.ncbi.nlm.nih.gov/nuccore/CP000058.1?report=graph&amp;tracks=[key:gene_model_track,Options:GeneOnly]&amp;mk=1227159:1227178|offset_27|444444,1227183:1227202|offset_51|444444,1227211:1227230|offset_79|00cc00,1227248:1227267|offset_116|444444&amp;v=1226958:1227467&amp;c=444444", "offset 79")</f>
        <v>offset 79</v>
      </c>
    </row>
    <row r="3839" customFormat="false" ht="12.8" hidden="false" customHeight="false" outlineLevel="0" collapsed="false">
      <c r="A3839" s="0" t="s">
        <v>12</v>
      </c>
      <c r="B3839" s="0" t="n">
        <v>1227247</v>
      </c>
      <c r="C3839" s="0" t="n">
        <v>1227267</v>
      </c>
      <c r="D3839" s="0" t="s">
        <v>12795</v>
      </c>
      <c r="E3839" s="0" t="s">
        <v>12796</v>
      </c>
      <c r="F3839" s="0" t="s">
        <v>15</v>
      </c>
      <c r="G3839" s="0" t="s">
        <v>16</v>
      </c>
      <c r="H3839" s="0" t="n">
        <v>116</v>
      </c>
      <c r="I3839" s="0" t="s">
        <v>12806</v>
      </c>
      <c r="J3839" s="0" t="s">
        <v>12807</v>
      </c>
      <c r="K3839" s="0" t="s">
        <v>12808</v>
      </c>
      <c r="L3839" s="0" t="str">
        <f aca="false">HYPERLINK("https://www.ncbi.nlm.nih.gov/nuccore/CP000058.1?report=graph&amp;tracks=[key:gene_model_track,Options:GeneOnly]&amp;mk=1227159:1227178|offset_27|444444,1227183:1227202|offset_51|444444,1227211:1227230|offset_79|444444,1227248:1227267|offset_116|00cc00&amp;v=1226958:1227467&amp;c=444444", "offset 116")</f>
        <v>offset 116</v>
      </c>
    </row>
    <row r="3840" customFormat="false" ht="12.8" hidden="false" customHeight="false" outlineLevel="0" collapsed="false">
      <c r="A3840" s="0" t="s">
        <v>12</v>
      </c>
      <c r="B3840" s="0" t="n">
        <v>1229140</v>
      </c>
      <c r="C3840" s="0" t="n">
        <v>1229160</v>
      </c>
      <c r="D3840" s="0" t="s">
        <v>12809</v>
      </c>
      <c r="E3840" s="0" t="s">
        <v>75</v>
      </c>
      <c r="F3840" s="0" t="s">
        <v>15</v>
      </c>
      <c r="G3840" s="0" t="s">
        <v>36</v>
      </c>
      <c r="H3840" s="0" t="n">
        <v>15</v>
      </c>
      <c r="I3840" s="0" t="s">
        <v>12810</v>
      </c>
      <c r="J3840" s="0" t="s">
        <v>12811</v>
      </c>
      <c r="K3840" s="0" t="s">
        <v>12812</v>
      </c>
      <c r="L3840" s="0" t="str">
        <f aca="false">HYPERLINK("https://www.ncbi.nlm.nih.gov/nuccore/CP000058.1?report=graph&amp;tracks=[key:gene_model_track,Options:GeneOnly]&amp;mk=1229141:1229160|offset_15|00cc00,1229168:1229187|offset_42|444444,1229190:1229209|offset_64|444444,1229220:1229239|offset_94|444444&amp;v=1228940:1229439&amp;c=444444", "offset 15")</f>
        <v>offset 15</v>
      </c>
    </row>
    <row r="3841" customFormat="false" ht="12.8" hidden="false" customHeight="false" outlineLevel="0" collapsed="false">
      <c r="A3841" s="0" t="s">
        <v>12</v>
      </c>
      <c r="B3841" s="0" t="n">
        <v>1229167</v>
      </c>
      <c r="C3841" s="0" t="n">
        <v>1229187</v>
      </c>
      <c r="D3841" s="0" t="s">
        <v>12809</v>
      </c>
      <c r="E3841" s="0" t="s">
        <v>75</v>
      </c>
      <c r="F3841" s="0" t="s">
        <v>15</v>
      </c>
      <c r="G3841" s="0" t="s">
        <v>20</v>
      </c>
      <c r="H3841" s="0" t="n">
        <v>42</v>
      </c>
      <c r="I3841" s="0" t="s">
        <v>12813</v>
      </c>
      <c r="J3841" s="0" t="s">
        <v>12814</v>
      </c>
      <c r="K3841" s="0" t="s">
        <v>12815</v>
      </c>
      <c r="L3841" s="0" t="str">
        <f aca="false">HYPERLINK("https://www.ncbi.nlm.nih.gov/nuccore/CP000058.1?report=graph&amp;tracks=[key:gene_model_track,Options:GeneOnly]&amp;mk=1229141:1229160|offset_15|444444,1229168:1229187|offset_42|00cc00,1229190:1229209|offset_64|444444,1229220:1229239|offset_94|444444&amp;v=1228940:1229439&amp;c=444444", "offset 42")</f>
        <v>offset 42</v>
      </c>
    </row>
    <row r="3842" customFormat="false" ht="12.8" hidden="false" customHeight="false" outlineLevel="0" collapsed="false">
      <c r="A3842" s="0" t="s">
        <v>12</v>
      </c>
      <c r="B3842" s="0" t="n">
        <v>1229189</v>
      </c>
      <c r="C3842" s="0" t="n">
        <v>1229209</v>
      </c>
      <c r="D3842" s="0" t="s">
        <v>12809</v>
      </c>
      <c r="E3842" s="0" t="s">
        <v>75</v>
      </c>
      <c r="F3842" s="0" t="s">
        <v>15</v>
      </c>
      <c r="G3842" s="0" t="s">
        <v>20</v>
      </c>
      <c r="H3842" s="0" t="n">
        <v>64</v>
      </c>
      <c r="I3842" s="0" t="s">
        <v>12816</v>
      </c>
      <c r="J3842" s="0" t="s">
        <v>12817</v>
      </c>
      <c r="K3842" s="0" t="s">
        <v>12818</v>
      </c>
      <c r="L3842" s="0" t="str">
        <f aca="false">HYPERLINK("https://www.ncbi.nlm.nih.gov/nuccore/CP000058.1?report=graph&amp;tracks=[key:gene_model_track,Options:GeneOnly]&amp;mk=1229141:1229160|offset_15|444444,1229168:1229187|offset_42|444444,1229190:1229209|offset_64|00cc00,1229220:1229239|offset_94|444444&amp;v=1228940:1229439&amp;c=444444", "offset 64")</f>
        <v>offset 64</v>
      </c>
    </row>
    <row r="3843" customFormat="false" ht="12.8" hidden="false" customHeight="false" outlineLevel="0" collapsed="false">
      <c r="A3843" s="0" t="s">
        <v>12</v>
      </c>
      <c r="B3843" s="0" t="n">
        <v>1229219</v>
      </c>
      <c r="C3843" s="0" t="n">
        <v>1229239</v>
      </c>
      <c r="D3843" s="0" t="s">
        <v>12809</v>
      </c>
      <c r="E3843" s="0" t="s">
        <v>75</v>
      </c>
      <c r="F3843" s="0" t="s">
        <v>15</v>
      </c>
      <c r="G3843" s="0" t="s">
        <v>20</v>
      </c>
      <c r="H3843" s="0" t="n">
        <v>94</v>
      </c>
      <c r="I3843" s="0" t="s">
        <v>12819</v>
      </c>
      <c r="J3843" s="0" t="s">
        <v>12820</v>
      </c>
      <c r="K3843" s="0" t="s">
        <v>12821</v>
      </c>
      <c r="L3843" s="0" t="str">
        <f aca="false">HYPERLINK("https://www.ncbi.nlm.nih.gov/nuccore/CP000058.1?report=graph&amp;tracks=[key:gene_model_track,Options:GeneOnly]&amp;mk=1229141:1229160|offset_15|444444,1229168:1229187|offset_42|444444,1229190:1229209|offset_64|444444,1229220:1229239|offset_94|00cc00&amp;v=1228940:1229439&amp;c=444444", "offset 94")</f>
        <v>offset 94</v>
      </c>
    </row>
    <row r="3844" customFormat="false" ht="12.8" hidden="false" customHeight="false" outlineLevel="0" collapsed="false">
      <c r="A3844" s="0" t="s">
        <v>12</v>
      </c>
      <c r="B3844" s="0" t="n">
        <v>1231122</v>
      </c>
      <c r="C3844" s="0" t="n">
        <v>1231142</v>
      </c>
      <c r="D3844" s="0" t="s">
        <v>12822</v>
      </c>
      <c r="E3844" s="0" t="s">
        <v>75</v>
      </c>
      <c r="F3844" s="0" t="s">
        <v>15</v>
      </c>
      <c r="G3844" s="0" t="s">
        <v>16</v>
      </c>
      <c r="H3844" s="0" t="n">
        <v>10</v>
      </c>
      <c r="I3844" s="0" t="s">
        <v>12823</v>
      </c>
      <c r="J3844" s="0" t="s">
        <v>12824</v>
      </c>
      <c r="K3844" s="0" t="s">
        <v>12825</v>
      </c>
      <c r="L3844" s="0" t="str">
        <f aca="false">HYPERLINK("https://www.ncbi.nlm.nih.gov/nuccore/CP000058.1?report=graph&amp;tracks=[key:gene_model_track,Options:GeneOnly]&amp;mk=1231123:1231142|offset_10|00cc00,1231153:1231172|offset_40|444444,1231174:1231193|offset_61|444444,1231201:1231220|offset_88|444444&amp;v=1230922:1231420&amp;c=444444", "offset 10")</f>
        <v>offset 10</v>
      </c>
    </row>
    <row r="3845" customFormat="false" ht="12.8" hidden="false" customHeight="false" outlineLevel="0" collapsed="false">
      <c r="A3845" s="0" t="s">
        <v>12</v>
      </c>
      <c r="B3845" s="0" t="n">
        <v>1231152</v>
      </c>
      <c r="C3845" s="0" t="n">
        <v>1231172</v>
      </c>
      <c r="D3845" s="0" t="s">
        <v>12822</v>
      </c>
      <c r="E3845" s="0" t="s">
        <v>75</v>
      </c>
      <c r="F3845" s="0" t="s">
        <v>15</v>
      </c>
      <c r="G3845" s="0" t="s">
        <v>32</v>
      </c>
      <c r="H3845" s="0" t="n">
        <v>40</v>
      </c>
      <c r="I3845" s="0" t="s">
        <v>12826</v>
      </c>
      <c r="J3845" s="0" t="s">
        <v>12827</v>
      </c>
      <c r="K3845" s="0" t="s">
        <v>12828</v>
      </c>
      <c r="L3845" s="0" t="str">
        <f aca="false">HYPERLINK("https://www.ncbi.nlm.nih.gov/nuccore/CP000058.1?report=graph&amp;tracks=[key:gene_model_track,Options:GeneOnly]&amp;mk=1231123:1231142|offset_10|444444,1231153:1231172|offset_40|00cc00,1231174:1231193|offset_61|444444,1231201:1231220|offset_88|444444&amp;v=1230922:1231420&amp;c=444444", "offset 40")</f>
        <v>offset 40</v>
      </c>
    </row>
    <row r="3846" customFormat="false" ht="12.8" hidden="false" customHeight="false" outlineLevel="0" collapsed="false">
      <c r="A3846" s="0" t="s">
        <v>12</v>
      </c>
      <c r="B3846" s="0" t="n">
        <v>1231173</v>
      </c>
      <c r="C3846" s="0" t="n">
        <v>1231193</v>
      </c>
      <c r="D3846" s="0" t="s">
        <v>12822</v>
      </c>
      <c r="E3846" s="0" t="s">
        <v>75</v>
      </c>
      <c r="F3846" s="0" t="s">
        <v>15</v>
      </c>
      <c r="G3846" s="0" t="s">
        <v>16</v>
      </c>
      <c r="H3846" s="0" t="n">
        <v>61</v>
      </c>
      <c r="I3846" s="0" t="s">
        <v>12829</v>
      </c>
      <c r="J3846" s="0" t="s">
        <v>12830</v>
      </c>
      <c r="K3846" s="0" t="s">
        <v>12831</v>
      </c>
      <c r="L3846" s="0" t="str">
        <f aca="false">HYPERLINK("https://www.ncbi.nlm.nih.gov/nuccore/CP000058.1?report=graph&amp;tracks=[key:gene_model_track,Options:GeneOnly]&amp;mk=1231123:1231142|offset_10|444444,1231153:1231172|offset_40|444444,1231174:1231193|offset_61|00cc00,1231201:1231220|offset_88|444444&amp;v=1230922:1231420&amp;c=444444", "offset 61")</f>
        <v>offset 61</v>
      </c>
    </row>
    <row r="3847" customFormat="false" ht="12.8" hidden="false" customHeight="false" outlineLevel="0" collapsed="false">
      <c r="A3847" s="0" t="s">
        <v>12</v>
      </c>
      <c r="B3847" s="0" t="n">
        <v>1231200</v>
      </c>
      <c r="C3847" s="0" t="n">
        <v>1231220</v>
      </c>
      <c r="D3847" s="0" t="s">
        <v>12822</v>
      </c>
      <c r="E3847" s="0" t="s">
        <v>75</v>
      </c>
      <c r="F3847" s="0" t="s">
        <v>15</v>
      </c>
      <c r="G3847" s="0" t="s">
        <v>20</v>
      </c>
      <c r="H3847" s="0" t="n">
        <v>88</v>
      </c>
      <c r="I3847" s="0" t="s">
        <v>12832</v>
      </c>
      <c r="J3847" s="0" t="s">
        <v>12833</v>
      </c>
      <c r="K3847" s="0" t="s">
        <v>12834</v>
      </c>
      <c r="L3847" s="0" t="str">
        <f aca="false">HYPERLINK("https://www.ncbi.nlm.nih.gov/nuccore/CP000058.1?report=graph&amp;tracks=[key:gene_model_track,Options:GeneOnly]&amp;mk=1231123:1231142|offset_10|444444,1231153:1231172|offset_40|444444,1231174:1231193|offset_61|444444,1231201:1231220|offset_88|00cc00&amp;v=1230922:1231420&amp;c=444444", "offset 88")</f>
        <v>offset 88</v>
      </c>
    </row>
    <row r="3848" customFormat="false" ht="12.8" hidden="false" customHeight="false" outlineLevel="0" collapsed="false">
      <c r="A3848" s="0" t="s">
        <v>12</v>
      </c>
      <c r="B3848" s="0" t="n">
        <v>1236571</v>
      </c>
      <c r="C3848" s="0" t="n">
        <v>1236591</v>
      </c>
      <c r="D3848" s="0" t="s">
        <v>12835</v>
      </c>
      <c r="E3848" s="0" t="s">
        <v>75</v>
      </c>
      <c r="F3848" s="0" t="s">
        <v>90</v>
      </c>
      <c r="G3848" s="0" t="s">
        <v>36</v>
      </c>
      <c r="H3848" s="0" t="n">
        <v>17</v>
      </c>
      <c r="I3848" s="0" t="s">
        <v>12836</v>
      </c>
      <c r="J3848" s="0" t="s">
        <v>12837</v>
      </c>
      <c r="K3848" s="0" t="s">
        <v>12838</v>
      </c>
      <c r="L3848" s="0" t="str">
        <f aca="false">HYPERLINK("https://www.ncbi.nlm.nih.gov/nuccore/CP000058.1?report=graph&amp;tracks=[key:gene_model_track,Options:GeneOnly]&amp;mk=1236572:1236591|offset_17|00cc00,1236539:1236558|offset_50|444444,1236516:1236535|offset_73|444444,1236449:1236468|offset_140|444444&amp;v=1236371:1236668&amp;c=444444", "offset 17")</f>
        <v>offset 17</v>
      </c>
    </row>
    <row r="3849" customFormat="false" ht="12.8" hidden="false" customHeight="false" outlineLevel="0" collapsed="false">
      <c r="A3849" s="0" t="s">
        <v>12</v>
      </c>
      <c r="B3849" s="0" t="n">
        <v>1236538</v>
      </c>
      <c r="C3849" s="0" t="n">
        <v>1236558</v>
      </c>
      <c r="D3849" s="0" t="s">
        <v>12835</v>
      </c>
      <c r="E3849" s="0" t="s">
        <v>75</v>
      </c>
      <c r="F3849" s="0" t="s">
        <v>90</v>
      </c>
      <c r="G3849" s="0" t="s">
        <v>32</v>
      </c>
      <c r="H3849" s="0" t="n">
        <v>50</v>
      </c>
      <c r="I3849" s="0" t="s">
        <v>12839</v>
      </c>
      <c r="J3849" s="0" t="s">
        <v>12840</v>
      </c>
      <c r="K3849" s="0" t="s">
        <v>12841</v>
      </c>
      <c r="L3849" s="0" t="str">
        <f aca="false">HYPERLINK("https://www.ncbi.nlm.nih.gov/nuccore/CP000058.1?report=graph&amp;tracks=[key:gene_model_track,Options:GeneOnly]&amp;mk=1236572:1236591|offset_17|444444,1236539:1236558|offset_50|00cc00,1236516:1236535|offset_73|444444,1236449:1236468|offset_140|444444&amp;v=1236371:1236668&amp;c=444444", "offset 50")</f>
        <v>offset 50</v>
      </c>
    </row>
    <row r="3850" customFormat="false" ht="12.8" hidden="false" customHeight="false" outlineLevel="0" collapsed="false">
      <c r="A3850" s="0" t="s">
        <v>12</v>
      </c>
      <c r="B3850" s="0" t="n">
        <v>1236515</v>
      </c>
      <c r="C3850" s="0" t="n">
        <v>1236535</v>
      </c>
      <c r="D3850" s="0" t="s">
        <v>12835</v>
      </c>
      <c r="E3850" s="0" t="s">
        <v>75</v>
      </c>
      <c r="F3850" s="0" t="s">
        <v>90</v>
      </c>
      <c r="G3850" s="0" t="s">
        <v>32</v>
      </c>
      <c r="H3850" s="0" t="n">
        <v>73</v>
      </c>
      <c r="I3850" s="0" t="s">
        <v>12842</v>
      </c>
      <c r="J3850" s="0" t="s">
        <v>12843</v>
      </c>
      <c r="K3850" s="0" t="s">
        <v>12844</v>
      </c>
      <c r="L3850" s="0" t="str">
        <f aca="false">HYPERLINK("https://www.ncbi.nlm.nih.gov/nuccore/CP000058.1?report=graph&amp;tracks=[key:gene_model_track,Options:GeneOnly]&amp;mk=1236572:1236591|offset_17|444444,1236539:1236558|offset_50|444444,1236516:1236535|offset_73|00cc00,1236449:1236468|offset_140|444444&amp;v=1236371:1236668&amp;c=444444", "offset 73")</f>
        <v>offset 73</v>
      </c>
    </row>
    <row r="3851" customFormat="false" ht="12.8" hidden="false" customHeight="false" outlineLevel="0" collapsed="false">
      <c r="A3851" s="0" t="s">
        <v>12</v>
      </c>
      <c r="B3851" s="0" t="n">
        <v>1236448</v>
      </c>
      <c r="C3851" s="0" t="n">
        <v>1236468</v>
      </c>
      <c r="D3851" s="0" t="s">
        <v>12835</v>
      </c>
      <c r="E3851" s="0" t="s">
        <v>75</v>
      </c>
      <c r="F3851" s="0" t="s">
        <v>90</v>
      </c>
      <c r="G3851" s="0" t="s">
        <v>32</v>
      </c>
      <c r="H3851" s="0" t="n">
        <v>140</v>
      </c>
      <c r="I3851" s="0" t="s">
        <v>12845</v>
      </c>
      <c r="J3851" s="0" t="s">
        <v>12846</v>
      </c>
      <c r="K3851" s="0" t="s">
        <v>12847</v>
      </c>
      <c r="L3851" s="0" t="str">
        <f aca="false">HYPERLINK("https://www.ncbi.nlm.nih.gov/nuccore/CP000058.1?report=graph&amp;tracks=[key:gene_model_track,Options:GeneOnly]&amp;mk=1236572:1236591|offset_17|444444,1236539:1236558|offset_50|444444,1236516:1236535|offset_73|444444,1236449:1236468|offset_140|00cc00&amp;v=1236371:1236668&amp;c=444444", "offset 140")</f>
        <v>offset 140</v>
      </c>
    </row>
    <row r="3852" customFormat="false" ht="12.8" hidden="false" customHeight="false" outlineLevel="0" collapsed="false">
      <c r="A3852" s="0" t="s">
        <v>12</v>
      </c>
      <c r="B3852" s="0" t="n">
        <v>1237410</v>
      </c>
      <c r="C3852" s="0" t="n">
        <v>1237430</v>
      </c>
      <c r="D3852" s="0" t="s">
        <v>12848</v>
      </c>
      <c r="E3852" s="0" t="s">
        <v>12849</v>
      </c>
      <c r="F3852" s="0" t="s">
        <v>90</v>
      </c>
      <c r="G3852" s="0" t="s">
        <v>36</v>
      </c>
      <c r="H3852" s="0" t="n">
        <v>0</v>
      </c>
      <c r="I3852" s="0" t="s">
        <v>12850</v>
      </c>
      <c r="J3852" s="0" t="s">
        <v>12851</v>
      </c>
      <c r="K3852" s="0" t="s">
        <v>12852</v>
      </c>
      <c r="L3852" s="0" t="str">
        <f aca="false">HYPERLINK("https://www.ncbi.nlm.nih.gov/nuccore/CP000058.1?report=graph&amp;tracks=[key:gene_model_track,Options:GeneOnly]&amp;mk=1237411:1237430|offset_0|00cc00,1237389:1237408|offset_22|444444,1237367:1237386|offset_44|444444,1237332:1237351|offset_79|444444&amp;v=1237210:1237551&amp;c=444444", "offset 0")</f>
        <v>offset 0</v>
      </c>
    </row>
    <row r="3853" customFormat="false" ht="12.8" hidden="false" customHeight="false" outlineLevel="0" collapsed="false">
      <c r="A3853" s="0" t="s">
        <v>12</v>
      </c>
      <c r="B3853" s="0" t="n">
        <v>1237388</v>
      </c>
      <c r="C3853" s="0" t="n">
        <v>1237408</v>
      </c>
      <c r="D3853" s="0" t="s">
        <v>12848</v>
      </c>
      <c r="E3853" s="0" t="s">
        <v>12849</v>
      </c>
      <c r="F3853" s="0" t="s">
        <v>90</v>
      </c>
      <c r="G3853" s="0" t="s">
        <v>36</v>
      </c>
      <c r="H3853" s="0" t="n">
        <v>22</v>
      </c>
      <c r="I3853" s="0" t="s">
        <v>12853</v>
      </c>
      <c r="J3853" s="0" t="s">
        <v>12854</v>
      </c>
      <c r="K3853" s="0" t="s">
        <v>12855</v>
      </c>
      <c r="L3853" s="0" t="str">
        <f aca="false">HYPERLINK("https://www.ncbi.nlm.nih.gov/nuccore/CP000058.1?report=graph&amp;tracks=[key:gene_model_track,Options:GeneOnly]&amp;mk=1237411:1237430|offset_0|444444,1237389:1237408|offset_22|00cc00,1237367:1237386|offset_44|444444,1237332:1237351|offset_79|444444&amp;v=1237210:1237551&amp;c=444444", "offset 22")</f>
        <v>offset 22</v>
      </c>
    </row>
    <row r="3854" customFormat="false" ht="12.8" hidden="false" customHeight="false" outlineLevel="0" collapsed="false">
      <c r="A3854" s="0" t="s">
        <v>12</v>
      </c>
      <c r="B3854" s="0" t="n">
        <v>1237366</v>
      </c>
      <c r="C3854" s="0" t="n">
        <v>1237386</v>
      </c>
      <c r="D3854" s="0" t="s">
        <v>12848</v>
      </c>
      <c r="E3854" s="0" t="s">
        <v>12849</v>
      </c>
      <c r="F3854" s="0" t="s">
        <v>90</v>
      </c>
      <c r="G3854" s="0" t="s">
        <v>36</v>
      </c>
      <c r="H3854" s="0" t="n">
        <v>44</v>
      </c>
      <c r="I3854" s="0" t="s">
        <v>12856</v>
      </c>
      <c r="J3854" s="0" t="s">
        <v>12857</v>
      </c>
      <c r="K3854" s="0" t="s">
        <v>12858</v>
      </c>
      <c r="L3854" s="0" t="str">
        <f aca="false">HYPERLINK("https://www.ncbi.nlm.nih.gov/nuccore/CP000058.1?report=graph&amp;tracks=[key:gene_model_track,Options:GeneOnly]&amp;mk=1237411:1237430|offset_0|444444,1237389:1237408|offset_22|444444,1237367:1237386|offset_44|00cc00,1237332:1237351|offset_79|444444&amp;v=1237210:1237551&amp;c=444444", "offset 44")</f>
        <v>offset 44</v>
      </c>
    </row>
    <row r="3855" customFormat="false" ht="12.8" hidden="false" customHeight="false" outlineLevel="0" collapsed="false">
      <c r="A3855" s="0" t="s">
        <v>12</v>
      </c>
      <c r="B3855" s="0" t="n">
        <v>1237331</v>
      </c>
      <c r="C3855" s="0" t="n">
        <v>1237351</v>
      </c>
      <c r="D3855" s="0" t="s">
        <v>12848</v>
      </c>
      <c r="E3855" s="0" t="s">
        <v>12849</v>
      </c>
      <c r="F3855" s="0" t="s">
        <v>90</v>
      </c>
      <c r="G3855" s="0" t="s">
        <v>32</v>
      </c>
      <c r="H3855" s="0" t="n">
        <v>79</v>
      </c>
      <c r="I3855" s="0" t="s">
        <v>12859</v>
      </c>
      <c r="J3855" s="0" t="s">
        <v>12860</v>
      </c>
      <c r="K3855" s="0" t="s">
        <v>12861</v>
      </c>
      <c r="L3855" s="0" t="str">
        <f aca="false">HYPERLINK("https://www.ncbi.nlm.nih.gov/nuccore/CP000058.1?report=graph&amp;tracks=[key:gene_model_track,Options:GeneOnly]&amp;mk=1237411:1237430|offset_0|444444,1237389:1237408|offset_22|444444,1237367:1237386|offset_44|444444,1237332:1237351|offset_79|00cc00&amp;v=1237210:1237551&amp;c=444444", "offset 79")</f>
        <v>offset 79</v>
      </c>
    </row>
    <row r="3856" customFormat="false" ht="12.8" hidden="false" customHeight="false" outlineLevel="0" collapsed="false">
      <c r="A3856" s="0" t="s">
        <v>12</v>
      </c>
      <c r="B3856" s="0" t="n">
        <v>1238169</v>
      </c>
      <c r="C3856" s="0" t="n">
        <v>1238189</v>
      </c>
      <c r="D3856" s="0" t="s">
        <v>12862</v>
      </c>
      <c r="E3856" s="0" t="s">
        <v>75</v>
      </c>
      <c r="F3856" s="0" t="s">
        <v>90</v>
      </c>
      <c r="G3856" s="0" t="s">
        <v>16</v>
      </c>
      <c r="H3856" s="0" t="n">
        <v>34</v>
      </c>
      <c r="I3856" s="0" t="s">
        <v>12863</v>
      </c>
      <c r="J3856" s="0" t="s">
        <v>12864</v>
      </c>
      <c r="K3856" s="0" t="s">
        <v>12865</v>
      </c>
      <c r="L3856" s="0" t="str">
        <f aca="false">HYPERLINK("https://www.ncbi.nlm.nih.gov/nuccore/CP000058.1?report=graph&amp;tracks=[key:gene_model_track,Options:GeneOnly]&amp;mk=1238170:1238189|offset_34|00cc00,1238143:1238162|offset_61|444444,1238092:1238111|offset_112|444444,1238043:1238062|offset_161|444444&amp;v=1237969:1238262&amp;c=444444", "offset 34")</f>
        <v>offset 34</v>
      </c>
    </row>
    <row r="3857" customFormat="false" ht="12.8" hidden="false" customHeight="false" outlineLevel="0" collapsed="false">
      <c r="A3857" s="0" t="s">
        <v>12</v>
      </c>
      <c r="B3857" s="0" t="n">
        <v>1238142</v>
      </c>
      <c r="C3857" s="0" t="n">
        <v>1238162</v>
      </c>
      <c r="D3857" s="0" t="s">
        <v>12862</v>
      </c>
      <c r="E3857" s="0" t="s">
        <v>75</v>
      </c>
      <c r="F3857" s="0" t="s">
        <v>90</v>
      </c>
      <c r="G3857" s="0" t="s">
        <v>16</v>
      </c>
      <c r="H3857" s="0" t="n">
        <v>61</v>
      </c>
      <c r="I3857" s="0" t="s">
        <v>12866</v>
      </c>
      <c r="J3857" s="0" t="s">
        <v>12867</v>
      </c>
      <c r="K3857" s="0" t="s">
        <v>12868</v>
      </c>
      <c r="L3857" s="0" t="str">
        <f aca="false">HYPERLINK("https://www.ncbi.nlm.nih.gov/nuccore/CP000058.1?report=graph&amp;tracks=[key:gene_model_track,Options:GeneOnly]&amp;mk=1238170:1238189|offset_34|444444,1238143:1238162|offset_61|00cc00,1238092:1238111|offset_112|444444,1238043:1238062|offset_161|444444&amp;v=1237969:1238262&amp;c=444444", "offset 61")</f>
        <v>offset 61</v>
      </c>
    </row>
    <row r="3858" customFormat="false" ht="12.8" hidden="false" customHeight="false" outlineLevel="0" collapsed="false">
      <c r="A3858" s="0" t="s">
        <v>12</v>
      </c>
      <c r="B3858" s="0" t="n">
        <v>1238091</v>
      </c>
      <c r="C3858" s="0" t="n">
        <v>1238111</v>
      </c>
      <c r="D3858" s="0" t="s">
        <v>12862</v>
      </c>
      <c r="E3858" s="0" t="s">
        <v>75</v>
      </c>
      <c r="F3858" s="0" t="s">
        <v>90</v>
      </c>
      <c r="G3858" s="0" t="s">
        <v>36</v>
      </c>
      <c r="H3858" s="0" t="n">
        <v>112</v>
      </c>
      <c r="I3858" s="0" t="s">
        <v>12869</v>
      </c>
      <c r="J3858" s="0" t="s">
        <v>12870</v>
      </c>
      <c r="K3858" s="0" t="s">
        <v>12871</v>
      </c>
      <c r="L3858" s="0" t="str">
        <f aca="false">HYPERLINK("https://www.ncbi.nlm.nih.gov/nuccore/CP000058.1?report=graph&amp;tracks=[key:gene_model_track,Options:GeneOnly]&amp;mk=1238170:1238189|offset_34|444444,1238143:1238162|offset_61|444444,1238092:1238111|offset_112|00cc00,1238043:1238062|offset_161|444444&amp;v=1237969:1238262&amp;c=444444", "offset 112")</f>
        <v>offset 112</v>
      </c>
    </row>
    <row r="3859" customFormat="false" ht="12.8" hidden="false" customHeight="false" outlineLevel="0" collapsed="false">
      <c r="A3859" s="0" t="s">
        <v>12</v>
      </c>
      <c r="B3859" s="0" t="n">
        <v>1238042</v>
      </c>
      <c r="C3859" s="0" t="n">
        <v>1238062</v>
      </c>
      <c r="D3859" s="0" t="s">
        <v>12862</v>
      </c>
      <c r="E3859" s="0" t="s">
        <v>75</v>
      </c>
      <c r="F3859" s="0" t="s">
        <v>90</v>
      </c>
      <c r="G3859" s="0" t="s">
        <v>36</v>
      </c>
      <c r="H3859" s="0" t="n">
        <v>161</v>
      </c>
      <c r="I3859" s="0" t="s">
        <v>12872</v>
      </c>
      <c r="J3859" s="0" t="s">
        <v>12873</v>
      </c>
      <c r="K3859" s="0" t="s">
        <v>12874</v>
      </c>
      <c r="L3859" s="0" t="str">
        <f aca="false">HYPERLINK("https://www.ncbi.nlm.nih.gov/nuccore/CP000058.1?report=graph&amp;tracks=[key:gene_model_track,Options:GeneOnly]&amp;mk=1238170:1238189|offset_34|444444,1238143:1238162|offset_61|444444,1238092:1238111|offset_112|444444,1238043:1238062|offset_161|00cc00&amp;v=1237969:1238262&amp;c=444444", "offset 161")</f>
        <v>offset 161</v>
      </c>
    </row>
    <row r="3860" customFormat="false" ht="12.8" hidden="false" customHeight="false" outlineLevel="0" collapsed="false">
      <c r="A3860" s="0" t="s">
        <v>12</v>
      </c>
      <c r="B3860" s="0" t="n">
        <v>1238624</v>
      </c>
      <c r="C3860" s="0" t="n">
        <v>1238644</v>
      </c>
      <c r="D3860" s="0" t="s">
        <v>12875</v>
      </c>
      <c r="E3860" s="0" t="s">
        <v>75</v>
      </c>
      <c r="F3860" s="0" t="s">
        <v>90</v>
      </c>
      <c r="G3860" s="0" t="s">
        <v>32</v>
      </c>
      <c r="H3860" s="0" t="n">
        <v>7</v>
      </c>
      <c r="I3860" s="0" t="s">
        <v>12876</v>
      </c>
      <c r="J3860" s="0" t="s">
        <v>12877</v>
      </c>
      <c r="K3860" s="0" t="s">
        <v>12878</v>
      </c>
      <c r="L3860" s="0" t="str">
        <f aca="false">HYPERLINK("https://www.ncbi.nlm.nih.gov/nuccore/CP000058.1?report=graph&amp;tracks=[key:gene_model_track,Options:GeneOnly]&amp;mk=1238625:1238644|offset_7|00cc00,1238598:1238617|offset_34|444444,1238572:1238591|offset_60|444444,1238527:1238546|offset_105|444444&amp;v=1238424:1238746&amp;c=444444", "offset 7")</f>
        <v>offset 7</v>
      </c>
    </row>
    <row r="3861" customFormat="false" ht="12.8" hidden="false" customHeight="false" outlineLevel="0" collapsed="false">
      <c r="A3861" s="0" t="s">
        <v>12</v>
      </c>
      <c r="B3861" s="0" t="n">
        <v>1238597</v>
      </c>
      <c r="C3861" s="0" t="n">
        <v>1238617</v>
      </c>
      <c r="D3861" s="0" t="s">
        <v>12875</v>
      </c>
      <c r="E3861" s="0" t="s">
        <v>75</v>
      </c>
      <c r="F3861" s="0" t="s">
        <v>90</v>
      </c>
      <c r="G3861" s="0" t="s">
        <v>32</v>
      </c>
      <c r="H3861" s="0" t="n">
        <v>34</v>
      </c>
      <c r="I3861" s="0" t="s">
        <v>12879</v>
      </c>
      <c r="J3861" s="0" t="s">
        <v>12880</v>
      </c>
      <c r="K3861" s="0" t="s">
        <v>12881</v>
      </c>
      <c r="L3861" s="0" t="str">
        <f aca="false">HYPERLINK("https://www.ncbi.nlm.nih.gov/nuccore/CP000058.1?report=graph&amp;tracks=[key:gene_model_track,Options:GeneOnly]&amp;mk=1238625:1238644|offset_7|444444,1238598:1238617|offset_34|00cc00,1238572:1238591|offset_60|444444,1238527:1238546|offset_105|444444&amp;v=1238424:1238746&amp;c=444444", "offset 34")</f>
        <v>offset 34</v>
      </c>
    </row>
    <row r="3862" customFormat="false" ht="12.8" hidden="false" customHeight="false" outlineLevel="0" collapsed="false">
      <c r="A3862" s="0" t="s">
        <v>12</v>
      </c>
      <c r="B3862" s="0" t="n">
        <v>1238571</v>
      </c>
      <c r="C3862" s="0" t="n">
        <v>1238591</v>
      </c>
      <c r="D3862" s="0" t="s">
        <v>12875</v>
      </c>
      <c r="E3862" s="0" t="s">
        <v>75</v>
      </c>
      <c r="F3862" s="0" t="s">
        <v>90</v>
      </c>
      <c r="G3862" s="0" t="s">
        <v>16</v>
      </c>
      <c r="H3862" s="0" t="n">
        <v>60</v>
      </c>
      <c r="I3862" s="0" t="s">
        <v>12882</v>
      </c>
      <c r="J3862" s="0" t="s">
        <v>12883</v>
      </c>
      <c r="K3862" s="0" t="s">
        <v>12884</v>
      </c>
      <c r="L3862" s="0" t="str">
        <f aca="false">HYPERLINK("https://www.ncbi.nlm.nih.gov/nuccore/CP000058.1?report=graph&amp;tracks=[key:gene_model_track,Options:GeneOnly]&amp;mk=1238625:1238644|offset_7|444444,1238598:1238617|offset_34|444444,1238572:1238591|offset_60|00cc00,1238527:1238546|offset_105|444444&amp;v=1238424:1238746&amp;c=444444", "offset 60")</f>
        <v>offset 60</v>
      </c>
    </row>
    <row r="3863" customFormat="false" ht="12.8" hidden="false" customHeight="false" outlineLevel="0" collapsed="false">
      <c r="A3863" s="0" t="s">
        <v>12</v>
      </c>
      <c r="B3863" s="0" t="n">
        <v>1238526</v>
      </c>
      <c r="C3863" s="0" t="n">
        <v>1238546</v>
      </c>
      <c r="D3863" s="0" t="s">
        <v>12875</v>
      </c>
      <c r="E3863" s="0" t="s">
        <v>75</v>
      </c>
      <c r="F3863" s="0" t="s">
        <v>90</v>
      </c>
      <c r="G3863" s="0" t="s">
        <v>16</v>
      </c>
      <c r="H3863" s="0" t="n">
        <v>105</v>
      </c>
      <c r="I3863" s="0" t="s">
        <v>12885</v>
      </c>
      <c r="J3863" s="0" t="s">
        <v>12886</v>
      </c>
      <c r="K3863" s="0" t="s">
        <v>12887</v>
      </c>
      <c r="L3863" s="0" t="str">
        <f aca="false">HYPERLINK("https://www.ncbi.nlm.nih.gov/nuccore/CP000058.1?report=graph&amp;tracks=[key:gene_model_track,Options:GeneOnly]&amp;mk=1238625:1238644|offset_7|444444,1238598:1238617|offset_34|444444,1238572:1238591|offset_60|444444,1238527:1238546|offset_105|00cc00&amp;v=1238424:1238746&amp;c=444444", "offset 105")</f>
        <v>offset 105</v>
      </c>
    </row>
    <row r="3864" customFormat="false" ht="12.8" hidden="false" customHeight="false" outlineLevel="0" collapsed="false">
      <c r="A3864" s="0" t="s">
        <v>12</v>
      </c>
      <c r="B3864" s="0" t="n">
        <v>1239340</v>
      </c>
      <c r="C3864" s="0" t="n">
        <v>1239360</v>
      </c>
      <c r="D3864" s="0" t="s">
        <v>12888</v>
      </c>
      <c r="E3864" s="0" t="s">
        <v>75</v>
      </c>
      <c r="F3864" s="0" t="s">
        <v>90</v>
      </c>
      <c r="G3864" s="0" t="s">
        <v>16</v>
      </c>
      <c r="H3864" s="0" t="n">
        <v>39</v>
      </c>
      <c r="I3864" s="0" t="s">
        <v>12889</v>
      </c>
      <c r="J3864" s="0" t="s">
        <v>12890</v>
      </c>
      <c r="K3864" s="0" t="s">
        <v>12891</v>
      </c>
      <c r="L3864" s="0" t="str">
        <f aca="false">HYPERLINK("https://www.ncbi.nlm.nih.gov/nuccore/CP000058.1?report=graph&amp;tracks=[key:gene_model_track,Options:GeneOnly]&amp;mk=1239341:1239360|offset_39|00cc00,1239310:1239329|offset_70|444444,1239284:1239303|offset_96|444444,1239244:1239263|offset_136|444444&amp;v=1239140:1239463&amp;c=444444", "offset 39")</f>
        <v>offset 39</v>
      </c>
    </row>
    <row r="3865" customFormat="false" ht="12.8" hidden="false" customHeight="false" outlineLevel="0" collapsed="false">
      <c r="A3865" s="0" t="s">
        <v>12</v>
      </c>
      <c r="B3865" s="0" t="n">
        <v>1239309</v>
      </c>
      <c r="C3865" s="0" t="n">
        <v>1239329</v>
      </c>
      <c r="D3865" s="0" t="s">
        <v>12888</v>
      </c>
      <c r="E3865" s="0" t="s">
        <v>75</v>
      </c>
      <c r="F3865" s="0" t="s">
        <v>90</v>
      </c>
      <c r="G3865" s="0" t="s">
        <v>36</v>
      </c>
      <c r="H3865" s="0" t="n">
        <v>70</v>
      </c>
      <c r="I3865" s="0" t="s">
        <v>12892</v>
      </c>
      <c r="J3865" s="0" t="s">
        <v>12893</v>
      </c>
      <c r="K3865" s="0" t="s">
        <v>12894</v>
      </c>
      <c r="L3865" s="0" t="str">
        <f aca="false">HYPERLINK("https://www.ncbi.nlm.nih.gov/nuccore/CP000058.1?report=graph&amp;tracks=[key:gene_model_track,Options:GeneOnly]&amp;mk=1239341:1239360|offset_39|444444,1239310:1239329|offset_70|00cc00,1239284:1239303|offset_96|444444,1239244:1239263|offset_136|444444&amp;v=1239140:1239463&amp;c=444444", "offset 70")</f>
        <v>offset 70</v>
      </c>
    </row>
    <row r="3866" customFormat="false" ht="12.8" hidden="false" customHeight="false" outlineLevel="0" collapsed="false">
      <c r="A3866" s="0" t="s">
        <v>12</v>
      </c>
      <c r="B3866" s="0" t="n">
        <v>1239283</v>
      </c>
      <c r="C3866" s="0" t="n">
        <v>1239303</v>
      </c>
      <c r="D3866" s="0" t="s">
        <v>12888</v>
      </c>
      <c r="E3866" s="0" t="s">
        <v>75</v>
      </c>
      <c r="F3866" s="0" t="s">
        <v>90</v>
      </c>
      <c r="G3866" s="0" t="s">
        <v>36</v>
      </c>
      <c r="H3866" s="0" t="n">
        <v>96</v>
      </c>
      <c r="I3866" s="0" t="s">
        <v>12895</v>
      </c>
      <c r="J3866" s="0" t="s">
        <v>12896</v>
      </c>
      <c r="K3866" s="0" t="s">
        <v>12897</v>
      </c>
      <c r="L3866" s="0" t="str">
        <f aca="false">HYPERLINK("https://www.ncbi.nlm.nih.gov/nuccore/CP000058.1?report=graph&amp;tracks=[key:gene_model_track,Options:GeneOnly]&amp;mk=1239341:1239360|offset_39|444444,1239310:1239329|offset_70|444444,1239284:1239303|offset_96|00cc00,1239244:1239263|offset_136|444444&amp;v=1239140:1239463&amp;c=444444", "offset 96")</f>
        <v>offset 96</v>
      </c>
    </row>
    <row r="3867" customFormat="false" ht="12.8" hidden="false" customHeight="false" outlineLevel="0" collapsed="false">
      <c r="A3867" s="0" t="s">
        <v>12</v>
      </c>
      <c r="B3867" s="0" t="n">
        <v>1239243</v>
      </c>
      <c r="C3867" s="0" t="n">
        <v>1239263</v>
      </c>
      <c r="D3867" s="0" t="s">
        <v>12888</v>
      </c>
      <c r="E3867" s="0" t="s">
        <v>75</v>
      </c>
      <c r="F3867" s="0" t="s">
        <v>90</v>
      </c>
      <c r="G3867" s="0" t="s">
        <v>20</v>
      </c>
      <c r="H3867" s="0" t="n">
        <v>136</v>
      </c>
      <c r="I3867" s="0" t="s">
        <v>12898</v>
      </c>
      <c r="J3867" s="0" t="s">
        <v>12899</v>
      </c>
      <c r="K3867" s="0" t="s">
        <v>12900</v>
      </c>
      <c r="L3867" s="0" t="str">
        <f aca="false">HYPERLINK("https://www.ncbi.nlm.nih.gov/nuccore/CP000058.1?report=graph&amp;tracks=[key:gene_model_track,Options:GeneOnly]&amp;mk=1239341:1239360|offset_39|444444,1239310:1239329|offset_70|444444,1239284:1239303|offset_96|444444,1239244:1239263|offset_136|00cc00&amp;v=1239140:1239463&amp;c=444444", "offset 136")</f>
        <v>offset 136</v>
      </c>
    </row>
    <row r="3868" customFormat="false" ht="12.8" hidden="false" customHeight="false" outlineLevel="0" collapsed="false">
      <c r="A3868" s="0" t="s">
        <v>12</v>
      </c>
      <c r="B3868" s="0" t="n">
        <v>1240438</v>
      </c>
      <c r="C3868" s="0" t="n">
        <v>1240458</v>
      </c>
      <c r="D3868" s="0" t="s">
        <v>12901</v>
      </c>
      <c r="E3868" s="0" t="s">
        <v>75</v>
      </c>
      <c r="F3868" s="0" t="s">
        <v>90</v>
      </c>
      <c r="G3868" s="0" t="s">
        <v>36</v>
      </c>
      <c r="H3868" s="0" t="n">
        <v>23</v>
      </c>
      <c r="I3868" s="0" t="s">
        <v>12902</v>
      </c>
      <c r="J3868" s="0" t="s">
        <v>12903</v>
      </c>
      <c r="K3868" s="0" t="s">
        <v>12904</v>
      </c>
      <c r="L3868" s="0" t="str">
        <f aca="false">HYPERLINK("https://www.ncbi.nlm.nih.gov/nuccore/CP000058.1?report=graph&amp;tracks=[key:gene_model_track,Options:GeneOnly]&amp;mk=1240439:1240458|offset_23|00cc00,1240410:1240429|offset_52|444444,1240387:1240406|offset_75|444444,1240350:1240369|offset_112|444444&amp;v=1240238:1240569&amp;c=444444", "offset 23")</f>
        <v>offset 23</v>
      </c>
    </row>
    <row r="3869" customFormat="false" ht="12.8" hidden="false" customHeight="false" outlineLevel="0" collapsed="false">
      <c r="A3869" s="0" t="s">
        <v>12</v>
      </c>
      <c r="B3869" s="0" t="n">
        <v>1240409</v>
      </c>
      <c r="C3869" s="0" t="n">
        <v>1240429</v>
      </c>
      <c r="D3869" s="0" t="s">
        <v>12901</v>
      </c>
      <c r="E3869" s="0" t="s">
        <v>75</v>
      </c>
      <c r="F3869" s="0" t="s">
        <v>90</v>
      </c>
      <c r="G3869" s="0" t="s">
        <v>32</v>
      </c>
      <c r="H3869" s="0" t="n">
        <v>52</v>
      </c>
      <c r="I3869" s="0" t="s">
        <v>12905</v>
      </c>
      <c r="J3869" s="0" t="s">
        <v>12906</v>
      </c>
      <c r="K3869" s="0" t="s">
        <v>12907</v>
      </c>
      <c r="L3869" s="0" t="str">
        <f aca="false">HYPERLINK("https://www.ncbi.nlm.nih.gov/nuccore/CP000058.1?report=graph&amp;tracks=[key:gene_model_track,Options:GeneOnly]&amp;mk=1240439:1240458|offset_23|444444,1240410:1240429|offset_52|00cc00,1240387:1240406|offset_75|444444,1240350:1240369|offset_112|444444&amp;v=1240238:1240569&amp;c=444444", "offset 52")</f>
        <v>offset 52</v>
      </c>
    </row>
    <row r="3870" customFormat="false" ht="12.8" hidden="false" customHeight="false" outlineLevel="0" collapsed="false">
      <c r="A3870" s="0" t="s">
        <v>12</v>
      </c>
      <c r="B3870" s="0" t="n">
        <v>1240386</v>
      </c>
      <c r="C3870" s="0" t="n">
        <v>1240406</v>
      </c>
      <c r="D3870" s="0" t="s">
        <v>12901</v>
      </c>
      <c r="E3870" s="0" t="s">
        <v>75</v>
      </c>
      <c r="F3870" s="0" t="s">
        <v>90</v>
      </c>
      <c r="G3870" s="0" t="s">
        <v>16</v>
      </c>
      <c r="H3870" s="0" t="n">
        <v>75</v>
      </c>
      <c r="I3870" s="0" t="s">
        <v>12908</v>
      </c>
      <c r="J3870" s="0" t="s">
        <v>12909</v>
      </c>
      <c r="K3870" s="0" t="s">
        <v>12910</v>
      </c>
      <c r="L3870" s="0" t="str">
        <f aca="false">HYPERLINK("https://www.ncbi.nlm.nih.gov/nuccore/CP000058.1?report=graph&amp;tracks=[key:gene_model_track,Options:GeneOnly]&amp;mk=1240439:1240458|offset_23|444444,1240410:1240429|offset_52|444444,1240387:1240406|offset_75|00cc00,1240350:1240369|offset_112|444444&amp;v=1240238:1240569&amp;c=444444", "offset 75")</f>
        <v>offset 75</v>
      </c>
    </row>
    <row r="3871" customFormat="false" ht="12.8" hidden="false" customHeight="false" outlineLevel="0" collapsed="false">
      <c r="A3871" s="0" t="s">
        <v>12</v>
      </c>
      <c r="B3871" s="0" t="n">
        <v>1240349</v>
      </c>
      <c r="C3871" s="0" t="n">
        <v>1240369</v>
      </c>
      <c r="D3871" s="0" t="s">
        <v>12901</v>
      </c>
      <c r="E3871" s="0" t="s">
        <v>75</v>
      </c>
      <c r="F3871" s="0" t="s">
        <v>90</v>
      </c>
      <c r="G3871" s="0" t="s">
        <v>16</v>
      </c>
      <c r="H3871" s="0" t="n">
        <v>112</v>
      </c>
      <c r="I3871" s="0" t="s">
        <v>12911</v>
      </c>
      <c r="J3871" s="0" t="s">
        <v>12912</v>
      </c>
      <c r="K3871" s="0" t="s">
        <v>12913</v>
      </c>
      <c r="L3871" s="0" t="str">
        <f aca="false">HYPERLINK("https://www.ncbi.nlm.nih.gov/nuccore/CP000058.1?report=graph&amp;tracks=[key:gene_model_track,Options:GeneOnly]&amp;mk=1240439:1240458|offset_23|444444,1240410:1240429|offset_52|444444,1240387:1240406|offset_75|444444,1240350:1240369|offset_112|00cc00&amp;v=1240238:1240569&amp;c=444444", "offset 112")</f>
        <v>offset 112</v>
      </c>
    </row>
    <row r="3872" customFormat="false" ht="12.8" hidden="false" customHeight="false" outlineLevel="0" collapsed="false">
      <c r="A3872" s="0" t="s">
        <v>12</v>
      </c>
      <c r="B3872" s="0" t="n">
        <v>1240680</v>
      </c>
      <c r="C3872" s="0" t="n">
        <v>1240700</v>
      </c>
      <c r="D3872" s="0" t="s">
        <v>12914</v>
      </c>
      <c r="E3872" s="0" t="s">
        <v>75</v>
      </c>
      <c r="F3872" s="0" t="s">
        <v>15</v>
      </c>
      <c r="G3872" s="0" t="s">
        <v>16</v>
      </c>
      <c r="H3872" s="0" t="n">
        <v>37</v>
      </c>
      <c r="I3872" s="0" t="s">
        <v>12915</v>
      </c>
      <c r="J3872" s="0" t="s">
        <v>12916</v>
      </c>
      <c r="K3872" s="0" t="s">
        <v>12917</v>
      </c>
      <c r="L3872" s="0" t="str">
        <f aca="false">HYPERLINK("https://www.ncbi.nlm.nih.gov/nuccore/CP000058.1?report=graph&amp;tracks=[key:gene_model_track,Options:GeneOnly]&amp;mk=1240681:1240700|offset_37|00cc00,1240716:1240735|offset_72|444444,1240773:1240792|offset_129|444444,1240818:1240837|offset_174|444444&amp;v=1240480:1241037&amp;c=444444", "offset 37")</f>
        <v>offset 37</v>
      </c>
    </row>
    <row r="3873" customFormat="false" ht="12.8" hidden="false" customHeight="false" outlineLevel="0" collapsed="false">
      <c r="A3873" s="0" t="s">
        <v>12</v>
      </c>
      <c r="B3873" s="0" t="n">
        <v>1240715</v>
      </c>
      <c r="C3873" s="0" t="n">
        <v>1240735</v>
      </c>
      <c r="D3873" s="0" t="s">
        <v>12914</v>
      </c>
      <c r="E3873" s="0" t="s">
        <v>75</v>
      </c>
      <c r="F3873" s="0" t="s">
        <v>15</v>
      </c>
      <c r="G3873" s="0" t="s">
        <v>36</v>
      </c>
      <c r="H3873" s="0" t="n">
        <v>72</v>
      </c>
      <c r="I3873" s="0" t="s">
        <v>12918</v>
      </c>
      <c r="J3873" s="0" t="s">
        <v>12919</v>
      </c>
      <c r="K3873" s="0" t="s">
        <v>12920</v>
      </c>
      <c r="L3873" s="0" t="str">
        <f aca="false">HYPERLINK("https://www.ncbi.nlm.nih.gov/nuccore/CP000058.1?report=graph&amp;tracks=[key:gene_model_track,Options:GeneOnly]&amp;mk=1240681:1240700|offset_37|444444,1240716:1240735|offset_72|00cc00,1240773:1240792|offset_129|444444,1240818:1240837|offset_174|444444&amp;v=1240480:1241037&amp;c=444444", "offset 72")</f>
        <v>offset 72</v>
      </c>
    </row>
    <row r="3874" customFormat="false" ht="12.8" hidden="false" customHeight="false" outlineLevel="0" collapsed="false">
      <c r="A3874" s="0" t="s">
        <v>12</v>
      </c>
      <c r="B3874" s="0" t="n">
        <v>1240772</v>
      </c>
      <c r="C3874" s="0" t="n">
        <v>1240792</v>
      </c>
      <c r="D3874" s="0" t="s">
        <v>12914</v>
      </c>
      <c r="E3874" s="0" t="s">
        <v>75</v>
      </c>
      <c r="F3874" s="0" t="s">
        <v>15</v>
      </c>
      <c r="G3874" s="0" t="s">
        <v>20</v>
      </c>
      <c r="H3874" s="0" t="n">
        <v>129</v>
      </c>
      <c r="I3874" s="0" t="s">
        <v>12921</v>
      </c>
      <c r="J3874" s="0" t="s">
        <v>12922</v>
      </c>
      <c r="K3874" s="0" t="s">
        <v>12923</v>
      </c>
      <c r="L3874" s="0" t="str">
        <f aca="false">HYPERLINK("https://www.ncbi.nlm.nih.gov/nuccore/CP000058.1?report=graph&amp;tracks=[key:gene_model_track,Options:GeneOnly]&amp;mk=1240681:1240700|offset_37|444444,1240716:1240735|offset_72|444444,1240773:1240792|offset_129|00cc00,1240818:1240837|offset_174|444444&amp;v=1240480:1241037&amp;c=444444", "offset 129")</f>
        <v>offset 129</v>
      </c>
    </row>
    <row r="3875" customFormat="false" ht="12.8" hidden="false" customHeight="false" outlineLevel="0" collapsed="false">
      <c r="A3875" s="0" t="s">
        <v>12</v>
      </c>
      <c r="B3875" s="0" t="n">
        <v>1240817</v>
      </c>
      <c r="C3875" s="0" t="n">
        <v>1240837</v>
      </c>
      <c r="D3875" s="0" t="s">
        <v>12914</v>
      </c>
      <c r="E3875" s="0" t="s">
        <v>75</v>
      </c>
      <c r="F3875" s="0" t="s">
        <v>15</v>
      </c>
      <c r="G3875" s="0" t="s">
        <v>36</v>
      </c>
      <c r="H3875" s="0" t="n">
        <v>174</v>
      </c>
      <c r="I3875" s="0" t="s">
        <v>12924</v>
      </c>
      <c r="J3875" s="0" t="s">
        <v>12925</v>
      </c>
      <c r="K3875" s="0" t="s">
        <v>12926</v>
      </c>
      <c r="L3875" s="0" t="str">
        <f aca="false">HYPERLINK("https://www.ncbi.nlm.nih.gov/nuccore/CP000058.1?report=graph&amp;tracks=[key:gene_model_track,Options:GeneOnly]&amp;mk=1240681:1240700|offset_37|444444,1240716:1240735|offset_72|444444,1240773:1240792|offset_129|444444,1240818:1240837|offset_174|00cc00&amp;v=1240480:1241037&amp;c=444444", "offset 174")</f>
        <v>offset 174</v>
      </c>
    </row>
    <row r="3876" customFormat="false" ht="12.8" hidden="false" customHeight="false" outlineLevel="0" collapsed="false">
      <c r="A3876" s="0" t="s">
        <v>12</v>
      </c>
      <c r="B3876" s="0" t="n">
        <v>1241722</v>
      </c>
      <c r="C3876" s="0" t="n">
        <v>1241742</v>
      </c>
      <c r="D3876" s="0" t="s">
        <v>12927</v>
      </c>
      <c r="E3876" s="0" t="s">
        <v>75</v>
      </c>
      <c r="F3876" s="0" t="s">
        <v>15</v>
      </c>
      <c r="G3876" s="0" t="s">
        <v>36</v>
      </c>
      <c r="H3876" s="0" t="n">
        <v>21</v>
      </c>
      <c r="I3876" s="0" t="s">
        <v>12928</v>
      </c>
      <c r="J3876" s="0" t="s">
        <v>12929</v>
      </c>
      <c r="K3876" s="0" t="s">
        <v>12930</v>
      </c>
      <c r="L3876" s="0" t="str">
        <f aca="false">HYPERLINK("https://www.ncbi.nlm.nih.gov/nuccore/CP000058.1?report=graph&amp;tracks=[key:gene_model_track,Options:GeneOnly]&amp;mk=1241723:1241742|offset_21|00cc00,1241757:1241776|offset_55|444444,1241787:1241806|offset_85|444444,1241811:1241830|offset_109|444444&amp;v=1241522:1242030&amp;c=444444", "offset 21")</f>
        <v>offset 21</v>
      </c>
    </row>
    <row r="3877" customFormat="false" ht="12.8" hidden="false" customHeight="false" outlineLevel="0" collapsed="false">
      <c r="A3877" s="0" t="s">
        <v>12</v>
      </c>
      <c r="B3877" s="0" t="n">
        <v>1241756</v>
      </c>
      <c r="C3877" s="0" t="n">
        <v>1241776</v>
      </c>
      <c r="D3877" s="0" t="s">
        <v>12927</v>
      </c>
      <c r="E3877" s="0" t="s">
        <v>75</v>
      </c>
      <c r="F3877" s="0" t="s">
        <v>15</v>
      </c>
      <c r="G3877" s="0" t="s">
        <v>16</v>
      </c>
      <c r="H3877" s="0" t="n">
        <v>55</v>
      </c>
      <c r="I3877" s="0" t="s">
        <v>12931</v>
      </c>
      <c r="J3877" s="0" t="s">
        <v>12932</v>
      </c>
      <c r="K3877" s="0" t="s">
        <v>12933</v>
      </c>
      <c r="L3877" s="0" t="str">
        <f aca="false">HYPERLINK("https://www.ncbi.nlm.nih.gov/nuccore/CP000058.1?report=graph&amp;tracks=[key:gene_model_track,Options:GeneOnly]&amp;mk=1241723:1241742|offset_21|444444,1241757:1241776|offset_55|00cc00,1241787:1241806|offset_85|444444,1241811:1241830|offset_109|444444&amp;v=1241522:1242030&amp;c=444444", "offset 55")</f>
        <v>offset 55</v>
      </c>
    </row>
    <row r="3878" customFormat="false" ht="12.8" hidden="false" customHeight="false" outlineLevel="0" collapsed="false">
      <c r="A3878" s="0" t="s">
        <v>12</v>
      </c>
      <c r="B3878" s="0" t="n">
        <v>1241786</v>
      </c>
      <c r="C3878" s="0" t="n">
        <v>1241806</v>
      </c>
      <c r="D3878" s="0" t="s">
        <v>12927</v>
      </c>
      <c r="E3878" s="0" t="s">
        <v>75</v>
      </c>
      <c r="F3878" s="0" t="s">
        <v>15</v>
      </c>
      <c r="G3878" s="0" t="s">
        <v>36</v>
      </c>
      <c r="H3878" s="0" t="n">
        <v>85</v>
      </c>
      <c r="I3878" s="0" t="s">
        <v>12934</v>
      </c>
      <c r="J3878" s="0" t="s">
        <v>12935</v>
      </c>
      <c r="K3878" s="0" t="s">
        <v>12936</v>
      </c>
      <c r="L3878" s="0" t="str">
        <f aca="false">HYPERLINK("https://www.ncbi.nlm.nih.gov/nuccore/CP000058.1?report=graph&amp;tracks=[key:gene_model_track,Options:GeneOnly]&amp;mk=1241723:1241742|offset_21|444444,1241757:1241776|offset_55|444444,1241787:1241806|offset_85|00cc00,1241811:1241830|offset_109|444444&amp;v=1241522:1242030&amp;c=444444", "offset 85")</f>
        <v>offset 85</v>
      </c>
    </row>
    <row r="3879" customFormat="false" ht="12.8" hidden="false" customHeight="false" outlineLevel="0" collapsed="false">
      <c r="A3879" s="0" t="s">
        <v>12</v>
      </c>
      <c r="B3879" s="0" t="n">
        <v>1241810</v>
      </c>
      <c r="C3879" s="0" t="n">
        <v>1241830</v>
      </c>
      <c r="D3879" s="0" t="s">
        <v>12927</v>
      </c>
      <c r="E3879" s="0" t="s">
        <v>75</v>
      </c>
      <c r="F3879" s="0" t="s">
        <v>15</v>
      </c>
      <c r="G3879" s="0" t="s">
        <v>32</v>
      </c>
      <c r="H3879" s="0" t="n">
        <v>109</v>
      </c>
      <c r="I3879" s="0" t="s">
        <v>12937</v>
      </c>
      <c r="J3879" s="0" t="s">
        <v>12938</v>
      </c>
      <c r="K3879" s="0" t="s">
        <v>12939</v>
      </c>
      <c r="L3879" s="0" t="str">
        <f aca="false">HYPERLINK("https://www.ncbi.nlm.nih.gov/nuccore/CP000058.1?report=graph&amp;tracks=[key:gene_model_track,Options:GeneOnly]&amp;mk=1241723:1241742|offset_21|444444,1241757:1241776|offset_55|444444,1241787:1241806|offset_85|444444,1241811:1241830|offset_109|00cc00&amp;v=1241522:1242030&amp;c=444444", "offset 109")</f>
        <v>offset 109</v>
      </c>
    </row>
    <row r="3880" customFormat="false" ht="12.8" hidden="false" customHeight="false" outlineLevel="0" collapsed="false">
      <c r="A3880" s="0" t="s">
        <v>12</v>
      </c>
      <c r="B3880" s="0" t="n">
        <v>1242865</v>
      </c>
      <c r="C3880" s="0" t="n">
        <v>1242885</v>
      </c>
      <c r="D3880" s="0" t="s">
        <v>12940</v>
      </c>
      <c r="E3880" s="0" t="s">
        <v>75</v>
      </c>
      <c r="F3880" s="0" t="s">
        <v>15</v>
      </c>
      <c r="G3880" s="0" t="s">
        <v>16</v>
      </c>
      <c r="H3880" s="0" t="n">
        <v>76</v>
      </c>
      <c r="I3880" s="0" t="s">
        <v>12941</v>
      </c>
      <c r="J3880" s="0" t="s">
        <v>12942</v>
      </c>
      <c r="K3880" s="0" t="s">
        <v>12943</v>
      </c>
      <c r="L3880" s="0" t="str">
        <f aca="false">HYPERLINK("https://www.ncbi.nlm.nih.gov/nuccore/CP000058.1?report=graph&amp;tracks=[key:gene_model_track,Options:GeneOnly]&amp;mk=1242866:1242885|offset_76|00cc00,1242950:1242969|offset_160|444444,1242996:1243015|offset_206|444444,1243016:1243035|offset_226|444444&amp;v=1242665:1243235&amp;c=444444", "offset 76")</f>
        <v>offset 76</v>
      </c>
    </row>
    <row r="3881" customFormat="false" ht="12.8" hidden="false" customHeight="false" outlineLevel="0" collapsed="false">
      <c r="A3881" s="0" t="s">
        <v>12</v>
      </c>
      <c r="B3881" s="0" t="n">
        <v>1242949</v>
      </c>
      <c r="C3881" s="0" t="n">
        <v>1242969</v>
      </c>
      <c r="D3881" s="0" t="s">
        <v>12940</v>
      </c>
      <c r="E3881" s="0" t="s">
        <v>75</v>
      </c>
      <c r="F3881" s="0" t="s">
        <v>15</v>
      </c>
      <c r="G3881" s="0" t="s">
        <v>16</v>
      </c>
      <c r="H3881" s="0" t="n">
        <v>160</v>
      </c>
      <c r="I3881" s="0" t="s">
        <v>12944</v>
      </c>
      <c r="J3881" s="0" t="s">
        <v>12945</v>
      </c>
      <c r="K3881" s="0" t="s">
        <v>12946</v>
      </c>
      <c r="L3881" s="0" t="str">
        <f aca="false">HYPERLINK("https://www.ncbi.nlm.nih.gov/nuccore/CP000058.1?report=graph&amp;tracks=[key:gene_model_track,Options:GeneOnly]&amp;mk=1242866:1242885|offset_76|444444,1242950:1242969|offset_160|00cc00,1242996:1243015|offset_206|444444,1243016:1243035|offset_226|444444&amp;v=1242665:1243235&amp;c=444444", "offset 160")</f>
        <v>offset 160</v>
      </c>
    </row>
    <row r="3882" customFormat="false" ht="12.8" hidden="false" customHeight="false" outlineLevel="0" collapsed="false">
      <c r="A3882" s="0" t="s">
        <v>12</v>
      </c>
      <c r="B3882" s="0" t="n">
        <v>1242995</v>
      </c>
      <c r="C3882" s="0" t="n">
        <v>1243015</v>
      </c>
      <c r="D3882" s="0" t="s">
        <v>12940</v>
      </c>
      <c r="E3882" s="0" t="s">
        <v>75</v>
      </c>
      <c r="F3882" s="0" t="s">
        <v>15</v>
      </c>
      <c r="G3882" s="0" t="s">
        <v>36</v>
      </c>
      <c r="H3882" s="0" t="n">
        <v>206</v>
      </c>
      <c r="I3882" s="0" t="s">
        <v>12947</v>
      </c>
      <c r="J3882" s="0" t="s">
        <v>12948</v>
      </c>
      <c r="K3882" s="0" t="s">
        <v>12949</v>
      </c>
      <c r="L3882" s="0" t="str">
        <f aca="false">HYPERLINK("https://www.ncbi.nlm.nih.gov/nuccore/CP000058.1?report=graph&amp;tracks=[key:gene_model_track,Options:GeneOnly]&amp;mk=1242866:1242885|offset_76|444444,1242950:1242969|offset_160|444444,1242996:1243015|offset_206|00cc00,1243016:1243035|offset_226|444444&amp;v=1242665:1243235&amp;c=444444", "offset 206")</f>
        <v>offset 206</v>
      </c>
    </row>
    <row r="3883" customFormat="false" ht="12.8" hidden="false" customHeight="false" outlineLevel="0" collapsed="false">
      <c r="A3883" s="0" t="s">
        <v>12</v>
      </c>
      <c r="B3883" s="0" t="n">
        <v>1243015</v>
      </c>
      <c r="C3883" s="0" t="n">
        <v>1243035</v>
      </c>
      <c r="D3883" s="0" t="s">
        <v>12940</v>
      </c>
      <c r="E3883" s="0" t="s">
        <v>75</v>
      </c>
      <c r="F3883" s="0" t="s">
        <v>15</v>
      </c>
      <c r="G3883" s="0" t="s">
        <v>32</v>
      </c>
      <c r="H3883" s="0" t="n">
        <v>226</v>
      </c>
      <c r="I3883" s="0" t="s">
        <v>12950</v>
      </c>
      <c r="J3883" s="0" t="s">
        <v>12951</v>
      </c>
      <c r="K3883" s="0" t="s">
        <v>12952</v>
      </c>
      <c r="L3883" s="0" t="str">
        <f aca="false">HYPERLINK("https://www.ncbi.nlm.nih.gov/nuccore/CP000058.1?report=graph&amp;tracks=[key:gene_model_track,Options:GeneOnly]&amp;mk=1242866:1242885|offset_76|444444,1242950:1242969|offset_160|444444,1242996:1243015|offset_206|444444,1243016:1243035|offset_226|00cc00&amp;v=1242665:1243235&amp;c=444444", "offset 226")</f>
        <v>offset 226</v>
      </c>
    </row>
    <row r="3884" customFormat="false" ht="12.8" hidden="false" customHeight="false" outlineLevel="0" collapsed="false">
      <c r="A3884" s="0" t="s">
        <v>12</v>
      </c>
      <c r="B3884" s="0" t="n">
        <v>1244326</v>
      </c>
      <c r="C3884" s="0" t="n">
        <v>1244346</v>
      </c>
      <c r="D3884" s="0" t="s">
        <v>12953</v>
      </c>
      <c r="E3884" s="0" t="s">
        <v>75</v>
      </c>
      <c r="F3884" s="0" t="s">
        <v>15</v>
      </c>
      <c r="G3884" s="0" t="s">
        <v>16</v>
      </c>
      <c r="H3884" s="0" t="n">
        <v>36</v>
      </c>
      <c r="I3884" s="0" t="s">
        <v>12954</v>
      </c>
      <c r="J3884" s="0" t="s">
        <v>12955</v>
      </c>
      <c r="K3884" s="0" t="s">
        <v>12956</v>
      </c>
      <c r="L3884" s="0" t="str">
        <f aca="false">HYPERLINK("https://www.ncbi.nlm.nih.gov/nuccore/CP000058.1?report=graph&amp;tracks=[key:gene_model_track,Options:GeneOnly]&amp;mk=1244327:1244346|offset_36|00cc00,1244353:1244372|offset_62|444444,1244390:1244409|offset_99|444444,1244412:1244431|offset_121|444444&amp;v=1244126:1244631&amp;c=444444", "offset 36")</f>
        <v>offset 36</v>
      </c>
    </row>
    <row r="3885" customFormat="false" ht="12.8" hidden="false" customHeight="false" outlineLevel="0" collapsed="false">
      <c r="A3885" s="0" t="s">
        <v>12</v>
      </c>
      <c r="B3885" s="0" t="n">
        <v>1244352</v>
      </c>
      <c r="C3885" s="0" t="n">
        <v>1244372</v>
      </c>
      <c r="D3885" s="0" t="s">
        <v>12953</v>
      </c>
      <c r="E3885" s="0" t="s">
        <v>75</v>
      </c>
      <c r="F3885" s="0" t="s">
        <v>15</v>
      </c>
      <c r="G3885" s="0" t="s">
        <v>16</v>
      </c>
      <c r="H3885" s="0" t="n">
        <v>62</v>
      </c>
      <c r="I3885" s="0" t="s">
        <v>12957</v>
      </c>
      <c r="J3885" s="0" t="s">
        <v>12958</v>
      </c>
      <c r="K3885" s="0" t="s">
        <v>12959</v>
      </c>
      <c r="L3885" s="0" t="str">
        <f aca="false">HYPERLINK("https://www.ncbi.nlm.nih.gov/nuccore/CP000058.1?report=graph&amp;tracks=[key:gene_model_track,Options:GeneOnly]&amp;mk=1244327:1244346|offset_36|444444,1244353:1244372|offset_62|00cc00,1244390:1244409|offset_99|444444,1244412:1244431|offset_121|444444&amp;v=1244126:1244631&amp;c=444444", "offset 62")</f>
        <v>offset 62</v>
      </c>
    </row>
    <row r="3886" customFormat="false" ht="12.8" hidden="false" customHeight="false" outlineLevel="0" collapsed="false">
      <c r="A3886" s="0" t="s">
        <v>12</v>
      </c>
      <c r="B3886" s="0" t="n">
        <v>1244389</v>
      </c>
      <c r="C3886" s="0" t="n">
        <v>1244409</v>
      </c>
      <c r="D3886" s="0" t="s">
        <v>12953</v>
      </c>
      <c r="E3886" s="0" t="s">
        <v>75</v>
      </c>
      <c r="F3886" s="0" t="s">
        <v>15</v>
      </c>
      <c r="G3886" s="0" t="s">
        <v>36</v>
      </c>
      <c r="H3886" s="0" t="n">
        <v>99</v>
      </c>
      <c r="I3886" s="0" t="s">
        <v>12960</v>
      </c>
      <c r="J3886" s="0" t="s">
        <v>12961</v>
      </c>
      <c r="K3886" s="0" t="s">
        <v>12962</v>
      </c>
      <c r="L3886" s="0" t="str">
        <f aca="false">HYPERLINK("https://www.ncbi.nlm.nih.gov/nuccore/CP000058.1?report=graph&amp;tracks=[key:gene_model_track,Options:GeneOnly]&amp;mk=1244327:1244346|offset_36|444444,1244353:1244372|offset_62|444444,1244390:1244409|offset_99|00cc00,1244412:1244431|offset_121|444444&amp;v=1244126:1244631&amp;c=444444", "offset 99")</f>
        <v>offset 99</v>
      </c>
    </row>
    <row r="3887" customFormat="false" ht="12.8" hidden="false" customHeight="false" outlineLevel="0" collapsed="false">
      <c r="A3887" s="0" t="s">
        <v>12</v>
      </c>
      <c r="B3887" s="0" t="n">
        <v>1244411</v>
      </c>
      <c r="C3887" s="0" t="n">
        <v>1244431</v>
      </c>
      <c r="D3887" s="0" t="s">
        <v>12953</v>
      </c>
      <c r="E3887" s="0" t="s">
        <v>75</v>
      </c>
      <c r="F3887" s="0" t="s">
        <v>15</v>
      </c>
      <c r="G3887" s="0" t="s">
        <v>36</v>
      </c>
      <c r="H3887" s="0" t="n">
        <v>121</v>
      </c>
      <c r="I3887" s="0" t="s">
        <v>12963</v>
      </c>
      <c r="J3887" s="0" t="s">
        <v>12964</v>
      </c>
      <c r="K3887" s="0" t="s">
        <v>12965</v>
      </c>
      <c r="L3887" s="0" t="str">
        <f aca="false">HYPERLINK("https://www.ncbi.nlm.nih.gov/nuccore/CP000058.1?report=graph&amp;tracks=[key:gene_model_track,Options:GeneOnly]&amp;mk=1244327:1244346|offset_36|444444,1244353:1244372|offset_62|444444,1244390:1244409|offset_99|444444,1244412:1244431|offset_121|00cc00&amp;v=1244126:1244631&amp;c=444444", "offset 121")</f>
        <v>offset 121</v>
      </c>
    </row>
    <row r="3888" customFormat="false" ht="12.8" hidden="false" customHeight="false" outlineLevel="0" collapsed="false">
      <c r="A3888" s="0" t="s">
        <v>12</v>
      </c>
      <c r="B3888" s="0" t="n">
        <v>1245421</v>
      </c>
      <c r="C3888" s="0" t="n">
        <v>1245441</v>
      </c>
      <c r="D3888" s="0" t="s">
        <v>12966</v>
      </c>
      <c r="E3888" s="0" t="s">
        <v>75</v>
      </c>
      <c r="F3888" s="0" t="s">
        <v>15</v>
      </c>
      <c r="G3888" s="0" t="s">
        <v>36</v>
      </c>
      <c r="H3888" s="0" t="n">
        <v>16</v>
      </c>
      <c r="I3888" s="0" t="s">
        <v>12967</v>
      </c>
      <c r="J3888" s="0" t="s">
        <v>12968</v>
      </c>
      <c r="K3888" s="0" t="s">
        <v>12969</v>
      </c>
      <c r="L3888" s="0" t="str">
        <f aca="false">HYPERLINK("https://www.ncbi.nlm.nih.gov/nuccore/CP000058.1?report=graph&amp;tracks=[key:gene_model_track,Options:GeneOnly]&amp;mk=1245422:1245441|offset_16|00cc00,1245442:1245461|offset_36|444444,1245470:1245489|offset_64|444444,1245573:1245592|offset_167|444444&amp;v=1245221:1245792&amp;c=444444", "offset 16")</f>
        <v>offset 16</v>
      </c>
    </row>
    <row r="3889" customFormat="false" ht="12.8" hidden="false" customHeight="false" outlineLevel="0" collapsed="false">
      <c r="A3889" s="0" t="s">
        <v>12</v>
      </c>
      <c r="B3889" s="0" t="n">
        <v>1245441</v>
      </c>
      <c r="C3889" s="0" t="n">
        <v>1245461</v>
      </c>
      <c r="D3889" s="0" t="s">
        <v>12966</v>
      </c>
      <c r="E3889" s="0" t="s">
        <v>75</v>
      </c>
      <c r="F3889" s="0" t="s">
        <v>15</v>
      </c>
      <c r="G3889" s="0" t="s">
        <v>16</v>
      </c>
      <c r="H3889" s="0" t="n">
        <v>36</v>
      </c>
      <c r="I3889" s="0" t="s">
        <v>12970</v>
      </c>
      <c r="J3889" s="0" t="s">
        <v>12971</v>
      </c>
      <c r="K3889" s="0" t="s">
        <v>12972</v>
      </c>
      <c r="L3889" s="0" t="str">
        <f aca="false">HYPERLINK("https://www.ncbi.nlm.nih.gov/nuccore/CP000058.1?report=graph&amp;tracks=[key:gene_model_track,Options:GeneOnly]&amp;mk=1245422:1245441|offset_16|444444,1245442:1245461|offset_36|00cc00,1245470:1245489|offset_64|444444,1245573:1245592|offset_167|444444&amp;v=1245221:1245792&amp;c=444444", "offset 36")</f>
        <v>offset 36</v>
      </c>
    </row>
    <row r="3890" customFormat="false" ht="12.8" hidden="false" customHeight="false" outlineLevel="0" collapsed="false">
      <c r="A3890" s="0" t="s">
        <v>12</v>
      </c>
      <c r="B3890" s="0" t="n">
        <v>1245469</v>
      </c>
      <c r="C3890" s="0" t="n">
        <v>1245489</v>
      </c>
      <c r="D3890" s="0" t="s">
        <v>12966</v>
      </c>
      <c r="E3890" s="0" t="s">
        <v>75</v>
      </c>
      <c r="F3890" s="0" t="s">
        <v>15</v>
      </c>
      <c r="G3890" s="0" t="s">
        <v>16</v>
      </c>
      <c r="H3890" s="0" t="n">
        <v>64</v>
      </c>
      <c r="I3890" s="0" t="s">
        <v>12973</v>
      </c>
      <c r="J3890" s="0" t="s">
        <v>12974</v>
      </c>
      <c r="K3890" s="0" t="s">
        <v>12975</v>
      </c>
      <c r="L3890" s="0" t="str">
        <f aca="false">HYPERLINK("https://www.ncbi.nlm.nih.gov/nuccore/CP000058.1?report=graph&amp;tracks=[key:gene_model_track,Options:GeneOnly]&amp;mk=1245422:1245441|offset_16|444444,1245442:1245461|offset_36|444444,1245470:1245489|offset_64|00cc00,1245573:1245592|offset_167|444444&amp;v=1245221:1245792&amp;c=444444", "offset 64")</f>
        <v>offset 64</v>
      </c>
    </row>
    <row r="3891" customFormat="false" ht="12.8" hidden="false" customHeight="false" outlineLevel="0" collapsed="false">
      <c r="A3891" s="0" t="s">
        <v>12</v>
      </c>
      <c r="B3891" s="0" t="n">
        <v>1245572</v>
      </c>
      <c r="C3891" s="0" t="n">
        <v>1245592</v>
      </c>
      <c r="D3891" s="0" t="s">
        <v>12966</v>
      </c>
      <c r="E3891" s="0" t="s">
        <v>75</v>
      </c>
      <c r="F3891" s="0" t="s">
        <v>15</v>
      </c>
      <c r="G3891" s="0" t="s">
        <v>20</v>
      </c>
      <c r="H3891" s="0" t="n">
        <v>167</v>
      </c>
      <c r="I3891" s="0" t="s">
        <v>12976</v>
      </c>
      <c r="J3891" s="0" t="s">
        <v>12977</v>
      </c>
      <c r="K3891" s="0" t="s">
        <v>12978</v>
      </c>
      <c r="L3891" s="0" t="str">
        <f aca="false">HYPERLINK("https://www.ncbi.nlm.nih.gov/nuccore/CP000058.1?report=graph&amp;tracks=[key:gene_model_track,Options:GeneOnly]&amp;mk=1245422:1245441|offset_16|444444,1245442:1245461|offset_36|444444,1245470:1245489|offset_64|444444,1245573:1245592|offset_167|00cc00&amp;v=1245221:1245792&amp;c=444444", "offset 167")</f>
        <v>offset 167</v>
      </c>
    </row>
    <row r="3892" customFormat="false" ht="12.8" hidden="false" customHeight="false" outlineLevel="0" collapsed="false">
      <c r="A3892" s="0" t="s">
        <v>12</v>
      </c>
      <c r="B3892" s="0" t="n">
        <v>1246455</v>
      </c>
      <c r="C3892" s="0" t="n">
        <v>1246475</v>
      </c>
      <c r="D3892" s="0" t="s">
        <v>12979</v>
      </c>
      <c r="E3892" s="0" t="s">
        <v>75</v>
      </c>
      <c r="F3892" s="0" t="s">
        <v>15</v>
      </c>
      <c r="G3892" s="0" t="s">
        <v>20</v>
      </c>
      <c r="H3892" s="0" t="n">
        <v>10</v>
      </c>
      <c r="I3892" s="0" t="s">
        <v>12980</v>
      </c>
      <c r="J3892" s="0" t="s">
        <v>12981</v>
      </c>
      <c r="K3892" s="0" t="s">
        <v>12982</v>
      </c>
      <c r="L3892" s="0" t="str">
        <f aca="false">HYPERLINK("https://www.ncbi.nlm.nih.gov/nuccore/CP000058.1?report=graph&amp;tracks=[key:gene_model_track,Options:GeneOnly]&amp;mk=1246456:1246475|offset_10|00cc00,1246480:1246499|offset_34|444444,1246516:1246535|offset_70|444444,1246538:1246557|offset_92|444444&amp;v=1246255:1246757&amp;c=444444", "offset 10")</f>
        <v>offset 10</v>
      </c>
    </row>
    <row r="3893" customFormat="false" ht="12.8" hidden="false" customHeight="false" outlineLevel="0" collapsed="false">
      <c r="A3893" s="0" t="s">
        <v>12</v>
      </c>
      <c r="B3893" s="0" t="n">
        <v>1246479</v>
      </c>
      <c r="C3893" s="0" t="n">
        <v>1246499</v>
      </c>
      <c r="D3893" s="0" t="s">
        <v>12979</v>
      </c>
      <c r="E3893" s="0" t="s">
        <v>75</v>
      </c>
      <c r="F3893" s="0" t="s">
        <v>15</v>
      </c>
      <c r="G3893" s="0" t="s">
        <v>32</v>
      </c>
      <c r="H3893" s="0" t="n">
        <v>34</v>
      </c>
      <c r="I3893" s="0" t="s">
        <v>12983</v>
      </c>
      <c r="J3893" s="0" t="s">
        <v>12984</v>
      </c>
      <c r="K3893" s="0" t="s">
        <v>12985</v>
      </c>
      <c r="L3893" s="0" t="str">
        <f aca="false">HYPERLINK("https://www.ncbi.nlm.nih.gov/nuccore/CP000058.1?report=graph&amp;tracks=[key:gene_model_track,Options:GeneOnly]&amp;mk=1246456:1246475|offset_10|444444,1246480:1246499|offset_34|00cc00,1246516:1246535|offset_70|444444,1246538:1246557|offset_92|444444&amp;v=1246255:1246757&amp;c=444444", "offset 34")</f>
        <v>offset 34</v>
      </c>
    </row>
    <row r="3894" customFormat="false" ht="12.8" hidden="false" customHeight="false" outlineLevel="0" collapsed="false">
      <c r="A3894" s="0" t="s">
        <v>12</v>
      </c>
      <c r="B3894" s="0" t="n">
        <v>1246515</v>
      </c>
      <c r="C3894" s="0" t="n">
        <v>1246535</v>
      </c>
      <c r="D3894" s="0" t="s">
        <v>12979</v>
      </c>
      <c r="E3894" s="0" t="s">
        <v>75</v>
      </c>
      <c r="F3894" s="0" t="s">
        <v>15</v>
      </c>
      <c r="G3894" s="0" t="s">
        <v>32</v>
      </c>
      <c r="H3894" s="0" t="n">
        <v>70</v>
      </c>
      <c r="I3894" s="0" t="s">
        <v>12986</v>
      </c>
      <c r="J3894" s="0" t="s">
        <v>12987</v>
      </c>
      <c r="K3894" s="0" t="s">
        <v>12988</v>
      </c>
      <c r="L3894" s="0" t="str">
        <f aca="false">HYPERLINK("https://www.ncbi.nlm.nih.gov/nuccore/CP000058.1?report=graph&amp;tracks=[key:gene_model_track,Options:GeneOnly]&amp;mk=1246456:1246475|offset_10|444444,1246480:1246499|offset_34|444444,1246516:1246535|offset_70|00cc00,1246538:1246557|offset_92|444444&amp;v=1246255:1246757&amp;c=444444", "offset 70")</f>
        <v>offset 70</v>
      </c>
    </row>
    <row r="3895" customFormat="false" ht="12.8" hidden="false" customHeight="false" outlineLevel="0" collapsed="false">
      <c r="A3895" s="0" t="s">
        <v>12</v>
      </c>
      <c r="B3895" s="0" t="n">
        <v>1246537</v>
      </c>
      <c r="C3895" s="0" t="n">
        <v>1246557</v>
      </c>
      <c r="D3895" s="0" t="s">
        <v>12979</v>
      </c>
      <c r="E3895" s="0" t="s">
        <v>75</v>
      </c>
      <c r="F3895" s="0" t="s">
        <v>15</v>
      </c>
      <c r="G3895" s="0" t="s">
        <v>32</v>
      </c>
      <c r="H3895" s="0" t="n">
        <v>92</v>
      </c>
      <c r="I3895" s="0" t="s">
        <v>12989</v>
      </c>
      <c r="J3895" s="0" t="s">
        <v>12990</v>
      </c>
      <c r="K3895" s="0" t="s">
        <v>12991</v>
      </c>
      <c r="L3895" s="0" t="str">
        <f aca="false">HYPERLINK("https://www.ncbi.nlm.nih.gov/nuccore/CP000058.1?report=graph&amp;tracks=[key:gene_model_track,Options:GeneOnly]&amp;mk=1246456:1246475|offset_10|444444,1246480:1246499|offset_34|444444,1246516:1246535|offset_70|444444,1246538:1246557|offset_92|00cc00&amp;v=1246255:1246757&amp;c=444444", "offset 92")</f>
        <v>offset 92</v>
      </c>
    </row>
    <row r="3896" customFormat="false" ht="12.8" hidden="false" customHeight="false" outlineLevel="0" collapsed="false">
      <c r="A3896" s="0" t="s">
        <v>12</v>
      </c>
      <c r="B3896" s="0" t="n">
        <v>1248146</v>
      </c>
      <c r="C3896" s="0" t="n">
        <v>1248166</v>
      </c>
      <c r="D3896" s="0" t="s">
        <v>12992</v>
      </c>
      <c r="E3896" s="0" t="s">
        <v>75</v>
      </c>
      <c r="F3896" s="0" t="s">
        <v>90</v>
      </c>
      <c r="G3896" s="0" t="s">
        <v>20</v>
      </c>
      <c r="H3896" s="0" t="n">
        <v>11</v>
      </c>
      <c r="I3896" s="0" t="s">
        <v>12993</v>
      </c>
      <c r="J3896" s="0" t="s">
        <v>12994</v>
      </c>
      <c r="K3896" s="0" t="s">
        <v>12995</v>
      </c>
      <c r="L3896" s="0" t="str">
        <f aca="false">HYPERLINK("https://www.ncbi.nlm.nih.gov/nuccore/CP000058.1?report=graph&amp;tracks=[key:gene_model_track,Options:GeneOnly]&amp;mk=1248147:1248166|offset_11|00cc00,1248094:1248113|offset_64|444444,1248057:1248076|offset_101|444444,1248016:1248035|offset_142|444444&amp;v=1247946:1248235&amp;c=444444", "offset 11")</f>
        <v>offset 11</v>
      </c>
    </row>
    <row r="3897" customFormat="false" ht="12.8" hidden="false" customHeight="false" outlineLevel="0" collapsed="false">
      <c r="A3897" s="0" t="s">
        <v>12</v>
      </c>
      <c r="B3897" s="0" t="n">
        <v>1248093</v>
      </c>
      <c r="C3897" s="0" t="n">
        <v>1248113</v>
      </c>
      <c r="D3897" s="0" t="s">
        <v>12992</v>
      </c>
      <c r="E3897" s="0" t="s">
        <v>75</v>
      </c>
      <c r="F3897" s="0" t="s">
        <v>90</v>
      </c>
      <c r="G3897" s="0" t="s">
        <v>32</v>
      </c>
      <c r="H3897" s="0" t="n">
        <v>64</v>
      </c>
      <c r="I3897" s="0" t="s">
        <v>12996</v>
      </c>
      <c r="J3897" s="0" t="s">
        <v>12997</v>
      </c>
      <c r="K3897" s="0" t="s">
        <v>12998</v>
      </c>
      <c r="L3897" s="0" t="str">
        <f aca="false">HYPERLINK("https://www.ncbi.nlm.nih.gov/nuccore/CP000058.1?report=graph&amp;tracks=[key:gene_model_track,Options:GeneOnly]&amp;mk=1248147:1248166|offset_11|444444,1248094:1248113|offset_64|00cc00,1248057:1248076|offset_101|444444,1248016:1248035|offset_142|444444&amp;v=1247946:1248235&amp;c=444444", "offset 64")</f>
        <v>offset 64</v>
      </c>
    </row>
    <row r="3898" customFormat="false" ht="12.8" hidden="false" customHeight="false" outlineLevel="0" collapsed="false">
      <c r="A3898" s="0" t="s">
        <v>12</v>
      </c>
      <c r="B3898" s="0" t="n">
        <v>1248056</v>
      </c>
      <c r="C3898" s="0" t="n">
        <v>1248076</v>
      </c>
      <c r="D3898" s="0" t="s">
        <v>12992</v>
      </c>
      <c r="E3898" s="0" t="s">
        <v>75</v>
      </c>
      <c r="F3898" s="0" t="s">
        <v>90</v>
      </c>
      <c r="G3898" s="0" t="s">
        <v>20</v>
      </c>
      <c r="H3898" s="0" t="n">
        <v>101</v>
      </c>
      <c r="I3898" s="0" t="s">
        <v>12999</v>
      </c>
      <c r="J3898" s="0" t="s">
        <v>13000</v>
      </c>
      <c r="K3898" s="0" t="s">
        <v>13001</v>
      </c>
      <c r="L3898" s="0" t="str">
        <f aca="false">HYPERLINK("https://www.ncbi.nlm.nih.gov/nuccore/CP000058.1?report=graph&amp;tracks=[key:gene_model_track,Options:GeneOnly]&amp;mk=1248147:1248166|offset_11|444444,1248094:1248113|offset_64|444444,1248057:1248076|offset_101|00cc00,1248016:1248035|offset_142|444444&amp;v=1247946:1248235&amp;c=444444", "offset 101")</f>
        <v>offset 101</v>
      </c>
    </row>
    <row r="3899" customFormat="false" ht="12.8" hidden="false" customHeight="false" outlineLevel="0" collapsed="false">
      <c r="A3899" s="0" t="s">
        <v>12</v>
      </c>
      <c r="B3899" s="0" t="n">
        <v>1248015</v>
      </c>
      <c r="C3899" s="0" t="n">
        <v>1248035</v>
      </c>
      <c r="D3899" s="0" t="s">
        <v>12992</v>
      </c>
      <c r="E3899" s="0" t="s">
        <v>75</v>
      </c>
      <c r="F3899" s="0" t="s">
        <v>90</v>
      </c>
      <c r="G3899" s="0" t="s">
        <v>16</v>
      </c>
      <c r="H3899" s="0" t="n">
        <v>142</v>
      </c>
      <c r="I3899" s="0" t="s">
        <v>13002</v>
      </c>
      <c r="J3899" s="0" t="s">
        <v>13003</v>
      </c>
      <c r="K3899" s="0" t="s">
        <v>13004</v>
      </c>
      <c r="L3899" s="0" t="str">
        <f aca="false">HYPERLINK("https://www.ncbi.nlm.nih.gov/nuccore/CP000058.1?report=graph&amp;tracks=[key:gene_model_track,Options:GeneOnly]&amp;mk=1248147:1248166|offset_11|444444,1248094:1248113|offset_64|444444,1248057:1248076|offset_101|444444,1248016:1248035|offset_142|00cc00&amp;v=1247946:1248235&amp;c=444444", "offset 142")</f>
        <v>offset 142</v>
      </c>
    </row>
    <row r="3900" customFormat="false" ht="12.8" hidden="false" customHeight="false" outlineLevel="0" collapsed="false">
      <c r="A3900" s="0" t="s">
        <v>12</v>
      </c>
      <c r="B3900" s="0" t="n">
        <v>1250289</v>
      </c>
      <c r="C3900" s="0" t="n">
        <v>1250309</v>
      </c>
      <c r="D3900" s="0" t="s">
        <v>13005</v>
      </c>
      <c r="E3900" s="0" t="s">
        <v>13006</v>
      </c>
      <c r="F3900" s="0" t="s">
        <v>90</v>
      </c>
      <c r="G3900" s="0" t="s">
        <v>36</v>
      </c>
      <c r="H3900" s="0" t="n">
        <v>22</v>
      </c>
      <c r="I3900" s="0" t="s">
        <v>13007</v>
      </c>
      <c r="J3900" s="0" t="s">
        <v>13008</v>
      </c>
      <c r="K3900" s="0" t="s">
        <v>13009</v>
      </c>
      <c r="L3900" s="0" t="str">
        <f aca="false">HYPERLINK("https://www.ncbi.nlm.nih.gov/nuccore/CP000058.1?report=graph&amp;tracks=[key:gene_model_track,Options:GeneOnly]&amp;mk=1250290:1250309|offset_22|00cc00,1250263:1250282|offset_49|444444,1250198:1250217|offset_114|444444,1250166:1250185|offset_146|444444&amp;v=1250089:1250385&amp;c=444444", "offset 22")</f>
        <v>offset 22</v>
      </c>
    </row>
    <row r="3901" customFormat="false" ht="12.8" hidden="false" customHeight="false" outlineLevel="0" collapsed="false">
      <c r="A3901" s="0" t="s">
        <v>12</v>
      </c>
      <c r="B3901" s="0" t="n">
        <v>1250262</v>
      </c>
      <c r="C3901" s="0" t="n">
        <v>1250282</v>
      </c>
      <c r="D3901" s="0" t="s">
        <v>13005</v>
      </c>
      <c r="E3901" s="0" t="s">
        <v>13006</v>
      </c>
      <c r="F3901" s="0" t="s">
        <v>90</v>
      </c>
      <c r="G3901" s="0" t="s">
        <v>20</v>
      </c>
      <c r="H3901" s="0" t="n">
        <v>49</v>
      </c>
      <c r="I3901" s="0" t="s">
        <v>13010</v>
      </c>
      <c r="J3901" s="0" t="s">
        <v>13011</v>
      </c>
      <c r="K3901" s="0" t="s">
        <v>13012</v>
      </c>
      <c r="L3901" s="0" t="str">
        <f aca="false">HYPERLINK("https://www.ncbi.nlm.nih.gov/nuccore/CP000058.1?report=graph&amp;tracks=[key:gene_model_track,Options:GeneOnly]&amp;mk=1250290:1250309|offset_22|444444,1250263:1250282|offset_49|00cc00,1250198:1250217|offset_114|444444,1250166:1250185|offset_146|444444&amp;v=1250089:1250385&amp;c=444444", "offset 49")</f>
        <v>offset 49</v>
      </c>
    </row>
    <row r="3902" customFormat="false" ht="12.8" hidden="false" customHeight="false" outlineLevel="0" collapsed="false">
      <c r="A3902" s="0" t="s">
        <v>12</v>
      </c>
      <c r="B3902" s="0" t="n">
        <v>1250197</v>
      </c>
      <c r="C3902" s="0" t="n">
        <v>1250217</v>
      </c>
      <c r="D3902" s="0" t="s">
        <v>13005</v>
      </c>
      <c r="E3902" s="0" t="s">
        <v>13006</v>
      </c>
      <c r="F3902" s="0" t="s">
        <v>90</v>
      </c>
      <c r="G3902" s="0" t="s">
        <v>16</v>
      </c>
      <c r="H3902" s="0" t="n">
        <v>114</v>
      </c>
      <c r="I3902" s="0" t="s">
        <v>13013</v>
      </c>
      <c r="J3902" s="0" t="s">
        <v>13014</v>
      </c>
      <c r="K3902" s="0" t="s">
        <v>13015</v>
      </c>
      <c r="L3902" s="0" t="str">
        <f aca="false">HYPERLINK("https://www.ncbi.nlm.nih.gov/nuccore/CP000058.1?report=graph&amp;tracks=[key:gene_model_track,Options:GeneOnly]&amp;mk=1250290:1250309|offset_22|444444,1250263:1250282|offset_49|444444,1250198:1250217|offset_114|00cc00,1250166:1250185|offset_146|444444&amp;v=1250089:1250385&amp;c=444444", "offset 114")</f>
        <v>offset 114</v>
      </c>
    </row>
    <row r="3903" customFormat="false" ht="12.8" hidden="false" customHeight="false" outlineLevel="0" collapsed="false">
      <c r="A3903" s="0" t="s">
        <v>12</v>
      </c>
      <c r="B3903" s="0" t="n">
        <v>1250165</v>
      </c>
      <c r="C3903" s="0" t="n">
        <v>1250185</v>
      </c>
      <c r="D3903" s="0" t="s">
        <v>13005</v>
      </c>
      <c r="E3903" s="0" t="s">
        <v>13006</v>
      </c>
      <c r="F3903" s="0" t="s">
        <v>90</v>
      </c>
      <c r="G3903" s="0" t="s">
        <v>36</v>
      </c>
      <c r="H3903" s="0" t="n">
        <v>146</v>
      </c>
      <c r="I3903" s="0" t="s">
        <v>13016</v>
      </c>
      <c r="J3903" s="0" t="s">
        <v>13017</v>
      </c>
      <c r="K3903" s="0" t="s">
        <v>13018</v>
      </c>
      <c r="L3903" s="0" t="str">
        <f aca="false">HYPERLINK("https://www.ncbi.nlm.nih.gov/nuccore/CP000058.1?report=graph&amp;tracks=[key:gene_model_track,Options:GeneOnly]&amp;mk=1250290:1250309|offset_22|444444,1250263:1250282|offset_49|444444,1250198:1250217|offset_114|444444,1250166:1250185|offset_146|00cc00&amp;v=1250089:1250385&amp;c=444444", "offset 146")</f>
        <v>offset 146</v>
      </c>
    </row>
    <row r="3904" customFormat="false" ht="12.8" hidden="false" customHeight="false" outlineLevel="0" collapsed="false">
      <c r="A3904" s="0" t="s">
        <v>12</v>
      </c>
      <c r="B3904" s="0" t="n">
        <v>1250660</v>
      </c>
      <c r="C3904" s="0" t="n">
        <v>1250680</v>
      </c>
      <c r="D3904" s="0" t="s">
        <v>13019</v>
      </c>
      <c r="E3904" s="0" t="s">
        <v>75</v>
      </c>
      <c r="F3904" s="0" t="s">
        <v>90</v>
      </c>
      <c r="G3904" s="0" t="s">
        <v>32</v>
      </c>
      <c r="H3904" s="0" t="n">
        <v>34</v>
      </c>
      <c r="I3904" s="0" t="s">
        <v>13020</v>
      </c>
      <c r="J3904" s="0" t="s">
        <v>13021</v>
      </c>
      <c r="K3904" s="0" t="s">
        <v>13022</v>
      </c>
      <c r="L3904" s="0" t="str">
        <f aca="false">HYPERLINK("https://www.ncbi.nlm.nih.gov/nuccore/CP000058.1?report=graph&amp;tracks=[key:gene_model_track,Options:GeneOnly]&amp;mk=1250661:1250680|offset_34|00cc00,1250620:1250639|offset_75|444444,1250559:1250578|offset_136|444444,1250531:1250550|offset_164|444444&amp;v=1250460:1250750&amp;c=444444", "offset 34")</f>
        <v>offset 34</v>
      </c>
    </row>
    <row r="3905" customFormat="false" ht="12.8" hidden="false" customHeight="false" outlineLevel="0" collapsed="false">
      <c r="A3905" s="0" t="s">
        <v>12</v>
      </c>
      <c r="B3905" s="0" t="n">
        <v>1250619</v>
      </c>
      <c r="C3905" s="0" t="n">
        <v>1250639</v>
      </c>
      <c r="D3905" s="0" t="s">
        <v>13019</v>
      </c>
      <c r="E3905" s="0" t="s">
        <v>75</v>
      </c>
      <c r="F3905" s="0" t="s">
        <v>90</v>
      </c>
      <c r="G3905" s="0" t="s">
        <v>36</v>
      </c>
      <c r="H3905" s="0" t="n">
        <v>75</v>
      </c>
      <c r="I3905" s="0" t="s">
        <v>13023</v>
      </c>
      <c r="J3905" s="0" t="s">
        <v>13024</v>
      </c>
      <c r="K3905" s="0" t="s">
        <v>13025</v>
      </c>
      <c r="L3905" s="0" t="str">
        <f aca="false">HYPERLINK("https://www.ncbi.nlm.nih.gov/nuccore/CP000058.1?report=graph&amp;tracks=[key:gene_model_track,Options:GeneOnly]&amp;mk=1250661:1250680|offset_34|444444,1250620:1250639|offset_75|00cc00,1250559:1250578|offset_136|444444,1250531:1250550|offset_164|444444&amp;v=1250460:1250750&amp;c=444444", "offset 75")</f>
        <v>offset 75</v>
      </c>
    </row>
    <row r="3906" customFormat="false" ht="12.8" hidden="false" customHeight="false" outlineLevel="0" collapsed="false">
      <c r="A3906" s="0" t="s">
        <v>12</v>
      </c>
      <c r="B3906" s="0" t="n">
        <v>1250558</v>
      </c>
      <c r="C3906" s="0" t="n">
        <v>1250578</v>
      </c>
      <c r="D3906" s="0" t="s">
        <v>13019</v>
      </c>
      <c r="E3906" s="0" t="s">
        <v>75</v>
      </c>
      <c r="F3906" s="0" t="s">
        <v>90</v>
      </c>
      <c r="G3906" s="0" t="s">
        <v>36</v>
      </c>
      <c r="H3906" s="0" t="n">
        <v>136</v>
      </c>
      <c r="I3906" s="0" t="s">
        <v>13026</v>
      </c>
      <c r="J3906" s="0" t="s">
        <v>13027</v>
      </c>
      <c r="K3906" s="0" t="s">
        <v>13028</v>
      </c>
      <c r="L3906" s="0" t="str">
        <f aca="false">HYPERLINK("https://www.ncbi.nlm.nih.gov/nuccore/CP000058.1?report=graph&amp;tracks=[key:gene_model_track,Options:GeneOnly]&amp;mk=1250661:1250680|offset_34|444444,1250620:1250639|offset_75|444444,1250559:1250578|offset_136|00cc00,1250531:1250550|offset_164|444444&amp;v=1250460:1250750&amp;c=444444", "offset 136")</f>
        <v>offset 136</v>
      </c>
    </row>
    <row r="3907" customFormat="false" ht="12.8" hidden="false" customHeight="false" outlineLevel="0" collapsed="false">
      <c r="A3907" s="0" t="s">
        <v>12</v>
      </c>
      <c r="B3907" s="0" t="n">
        <v>1250530</v>
      </c>
      <c r="C3907" s="0" t="n">
        <v>1250550</v>
      </c>
      <c r="D3907" s="0" t="s">
        <v>13019</v>
      </c>
      <c r="E3907" s="0" t="s">
        <v>75</v>
      </c>
      <c r="F3907" s="0" t="s">
        <v>90</v>
      </c>
      <c r="G3907" s="0" t="s">
        <v>20</v>
      </c>
      <c r="H3907" s="0" t="n">
        <v>164</v>
      </c>
      <c r="I3907" s="0" t="s">
        <v>13029</v>
      </c>
      <c r="J3907" s="0" t="s">
        <v>13030</v>
      </c>
      <c r="K3907" s="0" t="s">
        <v>13031</v>
      </c>
      <c r="L3907" s="0" t="str">
        <f aca="false">HYPERLINK("https://www.ncbi.nlm.nih.gov/nuccore/CP000058.1?report=graph&amp;tracks=[key:gene_model_track,Options:GeneOnly]&amp;mk=1250661:1250680|offset_34|444444,1250620:1250639|offset_75|444444,1250559:1250578|offset_136|444444,1250531:1250550|offset_164|00cc00&amp;v=1250460:1250750&amp;c=444444", "offset 164")</f>
        <v>offset 164</v>
      </c>
    </row>
    <row r="3908" customFormat="false" ht="12.8" hidden="false" customHeight="false" outlineLevel="0" collapsed="false">
      <c r="A3908" s="0" t="s">
        <v>12</v>
      </c>
      <c r="B3908" s="0" t="n">
        <v>1250728</v>
      </c>
      <c r="C3908" s="0" t="n">
        <v>1250748</v>
      </c>
      <c r="D3908" s="0" t="s">
        <v>13032</v>
      </c>
      <c r="E3908" s="0" t="s">
        <v>75</v>
      </c>
      <c r="F3908" s="0" t="s">
        <v>15</v>
      </c>
      <c r="G3908" s="0" t="s">
        <v>36</v>
      </c>
      <c r="H3908" s="0" t="n">
        <v>0</v>
      </c>
      <c r="I3908" s="0" t="s">
        <v>13033</v>
      </c>
      <c r="J3908" s="0" t="s">
        <v>13034</v>
      </c>
      <c r="K3908" s="0" t="s">
        <v>13035</v>
      </c>
      <c r="L3908" s="0" t="str">
        <f aca="false">HYPERLINK("https://www.ncbi.nlm.nih.gov/nuccore/CP000058.1?report=graph&amp;tracks=[key:gene_model_track,Options:GeneOnly]&amp;mk=1250729:1250748|offset_0|00cc00,1250760:1250779|offset_31|444444,1250811:1250830|offset_82|444444,1250833:1250852|offset_104|444444&amp;v=1250528:1251052&amp;c=444444", "offset 0")</f>
        <v>offset 0</v>
      </c>
    </row>
    <row r="3909" customFormat="false" ht="12.8" hidden="false" customHeight="false" outlineLevel="0" collapsed="false">
      <c r="A3909" s="0" t="s">
        <v>12</v>
      </c>
      <c r="B3909" s="0" t="n">
        <v>1250759</v>
      </c>
      <c r="C3909" s="0" t="n">
        <v>1250779</v>
      </c>
      <c r="D3909" s="0" t="s">
        <v>13032</v>
      </c>
      <c r="E3909" s="0" t="s">
        <v>75</v>
      </c>
      <c r="F3909" s="0" t="s">
        <v>15</v>
      </c>
      <c r="G3909" s="0" t="s">
        <v>32</v>
      </c>
      <c r="H3909" s="0" t="n">
        <v>31</v>
      </c>
      <c r="I3909" s="0" t="s">
        <v>13036</v>
      </c>
      <c r="J3909" s="0" t="s">
        <v>13037</v>
      </c>
      <c r="K3909" s="0" t="s">
        <v>13038</v>
      </c>
      <c r="L3909" s="0" t="str">
        <f aca="false">HYPERLINK("https://www.ncbi.nlm.nih.gov/nuccore/CP000058.1?report=graph&amp;tracks=[key:gene_model_track,Options:GeneOnly]&amp;mk=1250729:1250748|offset_0|444444,1250760:1250779|offset_31|00cc00,1250811:1250830|offset_82|444444,1250833:1250852|offset_104|444444&amp;v=1250528:1251052&amp;c=444444", "offset 31")</f>
        <v>offset 31</v>
      </c>
    </row>
    <row r="3910" customFormat="false" ht="12.8" hidden="false" customHeight="false" outlineLevel="0" collapsed="false">
      <c r="A3910" s="0" t="s">
        <v>12</v>
      </c>
      <c r="B3910" s="0" t="n">
        <v>1250810</v>
      </c>
      <c r="C3910" s="0" t="n">
        <v>1250830</v>
      </c>
      <c r="D3910" s="0" t="s">
        <v>13032</v>
      </c>
      <c r="E3910" s="0" t="s">
        <v>75</v>
      </c>
      <c r="F3910" s="0" t="s">
        <v>15</v>
      </c>
      <c r="G3910" s="0" t="s">
        <v>16</v>
      </c>
      <c r="H3910" s="0" t="n">
        <v>82</v>
      </c>
      <c r="I3910" s="0" t="s">
        <v>13039</v>
      </c>
      <c r="J3910" s="0" t="s">
        <v>13040</v>
      </c>
      <c r="K3910" s="0" t="s">
        <v>13041</v>
      </c>
      <c r="L3910" s="0" t="str">
        <f aca="false">HYPERLINK("https://www.ncbi.nlm.nih.gov/nuccore/CP000058.1?report=graph&amp;tracks=[key:gene_model_track,Options:GeneOnly]&amp;mk=1250729:1250748|offset_0|444444,1250760:1250779|offset_31|444444,1250811:1250830|offset_82|00cc00,1250833:1250852|offset_104|444444&amp;v=1250528:1251052&amp;c=444444", "offset 82")</f>
        <v>offset 82</v>
      </c>
    </row>
    <row r="3911" customFormat="false" ht="12.8" hidden="false" customHeight="false" outlineLevel="0" collapsed="false">
      <c r="A3911" s="0" t="s">
        <v>12</v>
      </c>
      <c r="B3911" s="0" t="n">
        <v>1250832</v>
      </c>
      <c r="C3911" s="0" t="n">
        <v>1250852</v>
      </c>
      <c r="D3911" s="0" t="s">
        <v>13032</v>
      </c>
      <c r="E3911" s="0" t="s">
        <v>75</v>
      </c>
      <c r="F3911" s="0" t="s">
        <v>15</v>
      </c>
      <c r="G3911" s="0" t="s">
        <v>20</v>
      </c>
      <c r="H3911" s="0" t="n">
        <v>104</v>
      </c>
      <c r="I3911" s="0" t="s">
        <v>13042</v>
      </c>
      <c r="J3911" s="0" t="s">
        <v>13043</v>
      </c>
      <c r="K3911" s="0" t="s">
        <v>13044</v>
      </c>
      <c r="L3911" s="0" t="str">
        <f aca="false">HYPERLINK("https://www.ncbi.nlm.nih.gov/nuccore/CP000058.1?report=graph&amp;tracks=[key:gene_model_track,Options:GeneOnly]&amp;mk=1250729:1250748|offset_0|444444,1250760:1250779|offset_31|444444,1250811:1250830|offset_82|444444,1250833:1250852|offset_104|00cc00&amp;v=1250528:1251052&amp;c=444444", "offset 104")</f>
        <v>offset 104</v>
      </c>
    </row>
    <row r="3912" customFormat="false" ht="12.8" hidden="false" customHeight="false" outlineLevel="0" collapsed="false">
      <c r="A3912" s="0" t="s">
        <v>12</v>
      </c>
      <c r="B3912" s="0" t="n">
        <v>1251400</v>
      </c>
      <c r="C3912" s="0" t="n">
        <v>1251420</v>
      </c>
      <c r="D3912" s="0" t="s">
        <v>13045</v>
      </c>
      <c r="E3912" s="0" t="s">
        <v>75</v>
      </c>
      <c r="F3912" s="0" t="s">
        <v>15</v>
      </c>
      <c r="G3912" s="0" t="s">
        <v>16</v>
      </c>
      <c r="H3912" s="0" t="n">
        <v>54</v>
      </c>
      <c r="I3912" s="0" t="s">
        <v>13046</v>
      </c>
      <c r="J3912" s="0" t="s">
        <v>13047</v>
      </c>
      <c r="K3912" s="0" t="s">
        <v>13048</v>
      </c>
      <c r="L3912" s="0" t="str">
        <f aca="false">HYPERLINK("https://www.ncbi.nlm.nih.gov/nuccore/CP000058.1?report=graph&amp;tracks=[key:gene_model_track,Options:GeneOnly]&amp;mk=1251401:1251420|offset_54|00cc00,1251450:1251469|offset_103|444444,1251490:1251509|offset_143|444444,1251517:1251536|offset_170|444444&amp;v=1251200:1251736&amp;c=444444", "offset 54")</f>
        <v>offset 54</v>
      </c>
    </row>
    <row r="3913" customFormat="false" ht="12.8" hidden="false" customHeight="false" outlineLevel="0" collapsed="false">
      <c r="A3913" s="0" t="s">
        <v>12</v>
      </c>
      <c r="B3913" s="0" t="n">
        <v>1251449</v>
      </c>
      <c r="C3913" s="0" t="n">
        <v>1251469</v>
      </c>
      <c r="D3913" s="0" t="s">
        <v>13045</v>
      </c>
      <c r="E3913" s="0" t="s">
        <v>75</v>
      </c>
      <c r="F3913" s="0" t="s">
        <v>15</v>
      </c>
      <c r="G3913" s="0" t="s">
        <v>32</v>
      </c>
      <c r="H3913" s="0" t="n">
        <v>103</v>
      </c>
      <c r="I3913" s="0" t="s">
        <v>13049</v>
      </c>
      <c r="J3913" s="0" t="s">
        <v>13050</v>
      </c>
      <c r="K3913" s="0" t="s">
        <v>13051</v>
      </c>
      <c r="L3913" s="0" t="str">
        <f aca="false">HYPERLINK("https://www.ncbi.nlm.nih.gov/nuccore/CP000058.1?report=graph&amp;tracks=[key:gene_model_track,Options:GeneOnly]&amp;mk=1251401:1251420|offset_54|444444,1251450:1251469|offset_103|00cc00,1251490:1251509|offset_143|444444,1251517:1251536|offset_170|444444&amp;v=1251200:1251736&amp;c=444444", "offset 103")</f>
        <v>offset 103</v>
      </c>
    </row>
    <row r="3914" customFormat="false" ht="12.8" hidden="false" customHeight="false" outlineLevel="0" collapsed="false">
      <c r="A3914" s="0" t="s">
        <v>12</v>
      </c>
      <c r="B3914" s="0" t="n">
        <v>1251489</v>
      </c>
      <c r="C3914" s="0" t="n">
        <v>1251509</v>
      </c>
      <c r="D3914" s="0" t="s">
        <v>13045</v>
      </c>
      <c r="E3914" s="0" t="s">
        <v>75</v>
      </c>
      <c r="F3914" s="0" t="s">
        <v>15</v>
      </c>
      <c r="G3914" s="0" t="s">
        <v>20</v>
      </c>
      <c r="H3914" s="0" t="n">
        <v>143</v>
      </c>
      <c r="I3914" s="0" t="s">
        <v>13052</v>
      </c>
      <c r="J3914" s="0" t="s">
        <v>13053</v>
      </c>
      <c r="K3914" s="0" t="s">
        <v>13054</v>
      </c>
      <c r="L3914" s="0" t="str">
        <f aca="false">HYPERLINK("https://www.ncbi.nlm.nih.gov/nuccore/CP000058.1?report=graph&amp;tracks=[key:gene_model_track,Options:GeneOnly]&amp;mk=1251401:1251420|offset_54|444444,1251450:1251469|offset_103|444444,1251490:1251509|offset_143|00cc00,1251517:1251536|offset_170|444444&amp;v=1251200:1251736&amp;c=444444", "offset 143")</f>
        <v>offset 143</v>
      </c>
    </row>
    <row r="3915" customFormat="false" ht="12.8" hidden="false" customHeight="false" outlineLevel="0" collapsed="false">
      <c r="A3915" s="0" t="s">
        <v>12</v>
      </c>
      <c r="B3915" s="0" t="n">
        <v>1251516</v>
      </c>
      <c r="C3915" s="0" t="n">
        <v>1251536</v>
      </c>
      <c r="D3915" s="0" t="s">
        <v>13045</v>
      </c>
      <c r="E3915" s="0" t="s">
        <v>75</v>
      </c>
      <c r="F3915" s="0" t="s">
        <v>15</v>
      </c>
      <c r="G3915" s="0" t="s">
        <v>20</v>
      </c>
      <c r="H3915" s="0" t="n">
        <v>170</v>
      </c>
      <c r="I3915" s="0" t="s">
        <v>13055</v>
      </c>
      <c r="J3915" s="0" t="s">
        <v>13056</v>
      </c>
      <c r="K3915" s="0" t="s">
        <v>13057</v>
      </c>
      <c r="L3915" s="0" t="str">
        <f aca="false">HYPERLINK("https://www.ncbi.nlm.nih.gov/nuccore/CP000058.1?report=graph&amp;tracks=[key:gene_model_track,Options:GeneOnly]&amp;mk=1251401:1251420|offset_54|444444,1251450:1251469|offset_103|444444,1251490:1251509|offset_143|444444,1251517:1251536|offset_170|00cc00&amp;v=1251200:1251736&amp;c=444444", "offset 170")</f>
        <v>offset 170</v>
      </c>
    </row>
    <row r="3916" customFormat="false" ht="12.8" hidden="false" customHeight="false" outlineLevel="0" collapsed="false">
      <c r="A3916" s="0" t="s">
        <v>12</v>
      </c>
      <c r="B3916" s="0" t="n">
        <v>1252031</v>
      </c>
      <c r="C3916" s="0" t="n">
        <v>1252051</v>
      </c>
      <c r="D3916" s="0" t="s">
        <v>13058</v>
      </c>
      <c r="E3916" s="0" t="s">
        <v>75</v>
      </c>
      <c r="F3916" s="0" t="s">
        <v>15</v>
      </c>
      <c r="G3916" s="0" t="s">
        <v>20</v>
      </c>
      <c r="H3916" s="0" t="n">
        <v>16</v>
      </c>
      <c r="I3916" s="0" t="s">
        <v>13059</v>
      </c>
      <c r="J3916" s="0" t="s">
        <v>13060</v>
      </c>
      <c r="K3916" s="0" t="s">
        <v>13061</v>
      </c>
      <c r="L3916" s="0" t="str">
        <f aca="false">HYPERLINK("https://www.ncbi.nlm.nih.gov/nuccore/CP000058.1?report=graph&amp;tracks=[key:gene_model_track,Options:GeneOnly]&amp;mk=1252032:1252051|offset_16|00cc00,1252060:1252079|offset_44|444444,1252091:1252110|offset_75|444444,1252112:1252131|offset_96|444444&amp;v=1251831:1252331&amp;c=444444", "offset 16")</f>
        <v>offset 16</v>
      </c>
    </row>
    <row r="3917" customFormat="false" ht="12.8" hidden="false" customHeight="false" outlineLevel="0" collapsed="false">
      <c r="A3917" s="0" t="s">
        <v>12</v>
      </c>
      <c r="B3917" s="0" t="n">
        <v>1252059</v>
      </c>
      <c r="C3917" s="0" t="n">
        <v>1252079</v>
      </c>
      <c r="D3917" s="0" t="s">
        <v>13058</v>
      </c>
      <c r="E3917" s="0" t="s">
        <v>75</v>
      </c>
      <c r="F3917" s="0" t="s">
        <v>15</v>
      </c>
      <c r="G3917" s="0" t="s">
        <v>20</v>
      </c>
      <c r="H3917" s="0" t="n">
        <v>44</v>
      </c>
      <c r="I3917" s="0" t="s">
        <v>13062</v>
      </c>
      <c r="J3917" s="0" t="s">
        <v>13063</v>
      </c>
      <c r="K3917" s="0" t="s">
        <v>13064</v>
      </c>
      <c r="L3917" s="0" t="str">
        <f aca="false">HYPERLINK("https://www.ncbi.nlm.nih.gov/nuccore/CP000058.1?report=graph&amp;tracks=[key:gene_model_track,Options:GeneOnly]&amp;mk=1252032:1252051|offset_16|444444,1252060:1252079|offset_44|00cc00,1252091:1252110|offset_75|444444,1252112:1252131|offset_96|444444&amp;v=1251831:1252331&amp;c=444444", "offset 44")</f>
        <v>offset 44</v>
      </c>
    </row>
    <row r="3918" customFormat="false" ht="12.8" hidden="false" customHeight="false" outlineLevel="0" collapsed="false">
      <c r="A3918" s="0" t="s">
        <v>12</v>
      </c>
      <c r="B3918" s="0" t="n">
        <v>1252090</v>
      </c>
      <c r="C3918" s="0" t="n">
        <v>1252110</v>
      </c>
      <c r="D3918" s="0" t="s">
        <v>13058</v>
      </c>
      <c r="E3918" s="0" t="s">
        <v>75</v>
      </c>
      <c r="F3918" s="0" t="s">
        <v>15</v>
      </c>
      <c r="G3918" s="0" t="s">
        <v>36</v>
      </c>
      <c r="H3918" s="0" t="n">
        <v>75</v>
      </c>
      <c r="I3918" s="0" t="s">
        <v>13065</v>
      </c>
      <c r="J3918" s="0" t="s">
        <v>13066</v>
      </c>
      <c r="K3918" s="0" t="s">
        <v>13067</v>
      </c>
      <c r="L3918" s="0" t="str">
        <f aca="false">HYPERLINK("https://www.ncbi.nlm.nih.gov/nuccore/CP000058.1?report=graph&amp;tracks=[key:gene_model_track,Options:GeneOnly]&amp;mk=1252032:1252051|offset_16|444444,1252060:1252079|offset_44|444444,1252091:1252110|offset_75|00cc00,1252112:1252131|offset_96|444444&amp;v=1251831:1252331&amp;c=444444", "offset 75")</f>
        <v>offset 75</v>
      </c>
    </row>
    <row r="3919" customFormat="false" ht="12.8" hidden="false" customHeight="false" outlineLevel="0" collapsed="false">
      <c r="A3919" s="0" t="s">
        <v>12</v>
      </c>
      <c r="B3919" s="0" t="n">
        <v>1252111</v>
      </c>
      <c r="C3919" s="0" t="n">
        <v>1252131</v>
      </c>
      <c r="D3919" s="0" t="s">
        <v>13058</v>
      </c>
      <c r="E3919" s="0" t="s">
        <v>75</v>
      </c>
      <c r="F3919" s="0" t="s">
        <v>15</v>
      </c>
      <c r="G3919" s="0" t="s">
        <v>16</v>
      </c>
      <c r="H3919" s="0" t="n">
        <v>96</v>
      </c>
      <c r="I3919" s="0" t="s">
        <v>13068</v>
      </c>
      <c r="J3919" s="0" t="s">
        <v>13069</v>
      </c>
      <c r="K3919" s="0" t="s">
        <v>13070</v>
      </c>
      <c r="L3919" s="0" t="str">
        <f aca="false">HYPERLINK("https://www.ncbi.nlm.nih.gov/nuccore/CP000058.1?report=graph&amp;tracks=[key:gene_model_track,Options:GeneOnly]&amp;mk=1252032:1252051|offset_16|444444,1252060:1252079|offset_44|444444,1252091:1252110|offset_75|444444,1252112:1252131|offset_96|00cc00&amp;v=1251831:1252331&amp;c=444444", "offset 96")</f>
        <v>offset 96</v>
      </c>
    </row>
    <row r="3920" customFormat="false" ht="12.8" hidden="false" customHeight="false" outlineLevel="0" collapsed="false">
      <c r="A3920" s="0" t="s">
        <v>12</v>
      </c>
      <c r="B3920" s="0" t="n">
        <v>1254288</v>
      </c>
      <c r="C3920" s="0" t="n">
        <v>1254308</v>
      </c>
      <c r="D3920" s="0" t="s">
        <v>13071</v>
      </c>
      <c r="E3920" s="0" t="s">
        <v>75</v>
      </c>
      <c r="F3920" s="0" t="s">
        <v>90</v>
      </c>
      <c r="G3920" s="0" t="s">
        <v>36</v>
      </c>
      <c r="H3920" s="0" t="n">
        <v>0</v>
      </c>
      <c r="I3920" s="0" t="s">
        <v>13072</v>
      </c>
      <c r="J3920" s="0" t="s">
        <v>13073</v>
      </c>
      <c r="K3920" s="0" t="s">
        <v>13074</v>
      </c>
      <c r="L3920" s="0" t="str">
        <f aca="false">HYPERLINK("https://www.ncbi.nlm.nih.gov/nuccore/CP000058.1?report=graph&amp;tracks=[key:gene_model_track,Options:GeneOnly]&amp;mk=1254289:1254308|offset_0|00cc00,1254264:1254283|offset_25|444444,1254241:1254260|offset_48|444444,1254216:1254235|offset_73|444444&amp;v=1254088:1254435&amp;c=444444", "offset 0")</f>
        <v>offset 0</v>
      </c>
    </row>
    <row r="3921" customFormat="false" ht="12.8" hidden="false" customHeight="false" outlineLevel="0" collapsed="false">
      <c r="A3921" s="0" t="s">
        <v>12</v>
      </c>
      <c r="B3921" s="0" t="n">
        <v>1254263</v>
      </c>
      <c r="C3921" s="0" t="n">
        <v>1254283</v>
      </c>
      <c r="D3921" s="0" t="s">
        <v>13071</v>
      </c>
      <c r="E3921" s="0" t="s">
        <v>75</v>
      </c>
      <c r="F3921" s="0" t="s">
        <v>90</v>
      </c>
      <c r="G3921" s="0" t="s">
        <v>36</v>
      </c>
      <c r="H3921" s="0" t="n">
        <v>25</v>
      </c>
      <c r="I3921" s="0" t="s">
        <v>13075</v>
      </c>
      <c r="J3921" s="0" t="s">
        <v>13076</v>
      </c>
      <c r="K3921" s="0" t="s">
        <v>13077</v>
      </c>
      <c r="L3921" s="0" t="str">
        <f aca="false">HYPERLINK("https://www.ncbi.nlm.nih.gov/nuccore/CP000058.1?report=graph&amp;tracks=[key:gene_model_track,Options:GeneOnly]&amp;mk=1254289:1254308|offset_0|444444,1254264:1254283|offset_25|00cc00,1254241:1254260|offset_48|444444,1254216:1254235|offset_73|444444&amp;v=1254088:1254435&amp;c=444444", "offset 25")</f>
        <v>offset 25</v>
      </c>
    </row>
    <row r="3922" customFormat="false" ht="12.8" hidden="false" customHeight="false" outlineLevel="0" collapsed="false">
      <c r="A3922" s="0" t="s">
        <v>12</v>
      </c>
      <c r="B3922" s="0" t="n">
        <v>1254240</v>
      </c>
      <c r="C3922" s="0" t="n">
        <v>1254260</v>
      </c>
      <c r="D3922" s="0" t="s">
        <v>13071</v>
      </c>
      <c r="E3922" s="0" t="s">
        <v>75</v>
      </c>
      <c r="F3922" s="0" t="s">
        <v>90</v>
      </c>
      <c r="G3922" s="0" t="s">
        <v>36</v>
      </c>
      <c r="H3922" s="0" t="n">
        <v>48</v>
      </c>
      <c r="I3922" s="0" t="s">
        <v>13078</v>
      </c>
      <c r="J3922" s="0" t="s">
        <v>13079</v>
      </c>
      <c r="K3922" s="0" t="s">
        <v>13080</v>
      </c>
      <c r="L3922" s="0" t="str">
        <f aca="false">HYPERLINK("https://www.ncbi.nlm.nih.gov/nuccore/CP000058.1?report=graph&amp;tracks=[key:gene_model_track,Options:GeneOnly]&amp;mk=1254289:1254308|offset_0|444444,1254264:1254283|offset_25|444444,1254241:1254260|offset_48|00cc00,1254216:1254235|offset_73|444444&amp;v=1254088:1254435&amp;c=444444", "offset 48")</f>
        <v>offset 48</v>
      </c>
    </row>
    <row r="3923" customFormat="false" ht="12.8" hidden="false" customHeight="false" outlineLevel="0" collapsed="false">
      <c r="A3923" s="0" t="s">
        <v>12</v>
      </c>
      <c r="B3923" s="0" t="n">
        <v>1254215</v>
      </c>
      <c r="C3923" s="0" t="n">
        <v>1254235</v>
      </c>
      <c r="D3923" s="0" t="s">
        <v>13071</v>
      </c>
      <c r="E3923" s="0" t="s">
        <v>75</v>
      </c>
      <c r="F3923" s="0" t="s">
        <v>90</v>
      </c>
      <c r="G3923" s="0" t="s">
        <v>36</v>
      </c>
      <c r="H3923" s="0" t="n">
        <v>73</v>
      </c>
      <c r="I3923" s="0" t="s">
        <v>13081</v>
      </c>
      <c r="J3923" s="0" t="s">
        <v>13082</v>
      </c>
      <c r="K3923" s="0" t="s">
        <v>13083</v>
      </c>
      <c r="L3923" s="0" t="str">
        <f aca="false">HYPERLINK("https://www.ncbi.nlm.nih.gov/nuccore/CP000058.1?report=graph&amp;tracks=[key:gene_model_track,Options:GeneOnly]&amp;mk=1254289:1254308|offset_0|444444,1254264:1254283|offset_25|444444,1254241:1254260|offset_48|444444,1254216:1254235|offset_73|00cc00&amp;v=1254088:1254435&amp;c=444444", "offset 73")</f>
        <v>offset 73</v>
      </c>
    </row>
    <row r="3924" customFormat="false" ht="12.8" hidden="false" customHeight="false" outlineLevel="0" collapsed="false">
      <c r="A3924" s="0" t="s">
        <v>12</v>
      </c>
      <c r="B3924" s="0" t="n">
        <v>1254692</v>
      </c>
      <c r="C3924" s="0" t="n">
        <v>1254712</v>
      </c>
      <c r="D3924" s="0" t="s">
        <v>13084</v>
      </c>
      <c r="E3924" s="0" t="s">
        <v>75</v>
      </c>
      <c r="F3924" s="0" t="s">
        <v>15</v>
      </c>
      <c r="G3924" s="0" t="s">
        <v>20</v>
      </c>
      <c r="H3924" s="0" t="n">
        <v>97</v>
      </c>
      <c r="I3924" s="0" t="s">
        <v>13085</v>
      </c>
      <c r="J3924" s="0" t="s">
        <v>13086</v>
      </c>
      <c r="K3924" s="0" t="s">
        <v>13087</v>
      </c>
      <c r="L3924" s="0" t="str">
        <f aca="false">HYPERLINK("https://www.ncbi.nlm.nih.gov/nuccore/CP000058.1?report=graph&amp;tracks=[key:gene_model_track,Options:GeneOnly]&amp;mk=1254693:1254712|offset_97|00cc00,1254720:1254739|offset_124|444444,1254770:1254789|offset_174|444444,1254804:1254823|offset_208|444444&amp;v=1254492:1255023&amp;c=444444", "offset 97")</f>
        <v>offset 97</v>
      </c>
    </row>
    <row r="3925" customFormat="false" ht="12.8" hidden="false" customHeight="false" outlineLevel="0" collapsed="false">
      <c r="A3925" s="0" t="s">
        <v>12</v>
      </c>
      <c r="B3925" s="0" t="n">
        <v>1254719</v>
      </c>
      <c r="C3925" s="0" t="n">
        <v>1254739</v>
      </c>
      <c r="D3925" s="0" t="s">
        <v>13084</v>
      </c>
      <c r="E3925" s="0" t="s">
        <v>75</v>
      </c>
      <c r="F3925" s="0" t="s">
        <v>15</v>
      </c>
      <c r="G3925" s="0" t="s">
        <v>20</v>
      </c>
      <c r="H3925" s="0" t="n">
        <v>124</v>
      </c>
      <c r="I3925" s="0" t="s">
        <v>13088</v>
      </c>
      <c r="J3925" s="0" t="s">
        <v>13089</v>
      </c>
      <c r="K3925" s="0" t="s">
        <v>13090</v>
      </c>
      <c r="L3925" s="0" t="str">
        <f aca="false">HYPERLINK("https://www.ncbi.nlm.nih.gov/nuccore/CP000058.1?report=graph&amp;tracks=[key:gene_model_track,Options:GeneOnly]&amp;mk=1254693:1254712|offset_97|444444,1254720:1254739|offset_124|00cc00,1254770:1254789|offset_174|444444,1254804:1254823|offset_208|444444&amp;v=1254492:1255023&amp;c=444444", "offset 124")</f>
        <v>offset 124</v>
      </c>
    </row>
    <row r="3926" customFormat="false" ht="12.8" hidden="false" customHeight="false" outlineLevel="0" collapsed="false">
      <c r="A3926" s="0" t="s">
        <v>12</v>
      </c>
      <c r="B3926" s="0" t="n">
        <v>1254769</v>
      </c>
      <c r="C3926" s="0" t="n">
        <v>1254789</v>
      </c>
      <c r="D3926" s="0" t="s">
        <v>13084</v>
      </c>
      <c r="E3926" s="0" t="s">
        <v>75</v>
      </c>
      <c r="F3926" s="0" t="s">
        <v>15</v>
      </c>
      <c r="G3926" s="0" t="s">
        <v>16</v>
      </c>
      <c r="H3926" s="0" t="n">
        <v>174</v>
      </c>
      <c r="I3926" s="0" t="s">
        <v>13091</v>
      </c>
      <c r="J3926" s="0" t="s">
        <v>13092</v>
      </c>
      <c r="K3926" s="0" t="s">
        <v>13093</v>
      </c>
      <c r="L3926" s="0" t="str">
        <f aca="false">HYPERLINK("https://www.ncbi.nlm.nih.gov/nuccore/CP000058.1?report=graph&amp;tracks=[key:gene_model_track,Options:GeneOnly]&amp;mk=1254693:1254712|offset_97|444444,1254720:1254739|offset_124|444444,1254770:1254789|offset_174|00cc00,1254804:1254823|offset_208|444444&amp;v=1254492:1255023&amp;c=444444", "offset 174")</f>
        <v>offset 174</v>
      </c>
    </row>
    <row r="3927" customFormat="false" ht="12.8" hidden="false" customHeight="false" outlineLevel="0" collapsed="false">
      <c r="A3927" s="0" t="s">
        <v>12</v>
      </c>
      <c r="B3927" s="0" t="n">
        <v>1254803</v>
      </c>
      <c r="C3927" s="0" t="n">
        <v>1254823</v>
      </c>
      <c r="D3927" s="0" t="s">
        <v>13084</v>
      </c>
      <c r="E3927" s="0" t="s">
        <v>75</v>
      </c>
      <c r="F3927" s="0" t="s">
        <v>15</v>
      </c>
      <c r="G3927" s="0" t="s">
        <v>16</v>
      </c>
      <c r="H3927" s="0" t="n">
        <v>208</v>
      </c>
      <c r="I3927" s="0" t="s">
        <v>13094</v>
      </c>
      <c r="J3927" s="0" t="s">
        <v>13095</v>
      </c>
      <c r="K3927" s="0" t="s">
        <v>13096</v>
      </c>
      <c r="L3927" s="0" t="str">
        <f aca="false">HYPERLINK("https://www.ncbi.nlm.nih.gov/nuccore/CP000058.1?report=graph&amp;tracks=[key:gene_model_track,Options:GeneOnly]&amp;mk=1254693:1254712|offset_97|444444,1254720:1254739|offset_124|444444,1254770:1254789|offset_174|444444,1254804:1254823|offset_208|00cc00&amp;v=1254492:1255023&amp;c=444444", "offset 208")</f>
        <v>offset 208</v>
      </c>
    </row>
    <row r="3928" customFormat="false" ht="12.8" hidden="false" customHeight="false" outlineLevel="0" collapsed="false">
      <c r="A3928" s="0" t="s">
        <v>12</v>
      </c>
      <c r="B3928" s="0" t="n">
        <v>1255973</v>
      </c>
      <c r="C3928" s="0" t="n">
        <v>1255993</v>
      </c>
      <c r="D3928" s="0" t="s">
        <v>13097</v>
      </c>
      <c r="E3928" s="0" t="s">
        <v>75</v>
      </c>
      <c r="F3928" s="0" t="s">
        <v>15</v>
      </c>
      <c r="G3928" s="0" t="s">
        <v>32</v>
      </c>
      <c r="H3928" s="0" t="n">
        <v>24</v>
      </c>
      <c r="I3928" s="0" t="s">
        <v>13098</v>
      </c>
      <c r="J3928" s="0" t="s">
        <v>13099</v>
      </c>
      <c r="K3928" s="0" t="s">
        <v>13100</v>
      </c>
      <c r="L3928" s="0" t="str">
        <f aca="false">HYPERLINK("https://www.ncbi.nlm.nih.gov/nuccore/CP000058.1?report=graph&amp;tracks=[key:gene_model_track,Options:GeneOnly]&amp;mk=1255974:1255993|offset_24|00cc00,1256019:1256038|offset_69|444444,1256148:1256167|offset_198|444444,1256170:1256189|offset_220|444444&amp;v=1255773:1256389&amp;c=444444", "offset 24")</f>
        <v>offset 24</v>
      </c>
    </row>
    <row r="3929" customFormat="false" ht="12.8" hidden="false" customHeight="false" outlineLevel="0" collapsed="false">
      <c r="A3929" s="0" t="s">
        <v>12</v>
      </c>
      <c r="B3929" s="0" t="n">
        <v>1256018</v>
      </c>
      <c r="C3929" s="0" t="n">
        <v>1256038</v>
      </c>
      <c r="D3929" s="0" t="s">
        <v>13097</v>
      </c>
      <c r="E3929" s="0" t="s">
        <v>75</v>
      </c>
      <c r="F3929" s="0" t="s">
        <v>15</v>
      </c>
      <c r="G3929" s="0" t="s">
        <v>16</v>
      </c>
      <c r="H3929" s="0" t="n">
        <v>69</v>
      </c>
      <c r="I3929" s="0" t="s">
        <v>13101</v>
      </c>
      <c r="J3929" s="0" t="s">
        <v>13102</v>
      </c>
      <c r="K3929" s="0" t="s">
        <v>13103</v>
      </c>
      <c r="L3929" s="0" t="str">
        <f aca="false">HYPERLINK("https://www.ncbi.nlm.nih.gov/nuccore/CP000058.1?report=graph&amp;tracks=[key:gene_model_track,Options:GeneOnly]&amp;mk=1255974:1255993|offset_24|444444,1256019:1256038|offset_69|00cc00,1256148:1256167|offset_198|444444,1256170:1256189|offset_220|444444&amp;v=1255773:1256389&amp;c=444444", "offset 69")</f>
        <v>offset 69</v>
      </c>
    </row>
    <row r="3930" customFormat="false" ht="12.8" hidden="false" customHeight="false" outlineLevel="0" collapsed="false">
      <c r="A3930" s="0" t="s">
        <v>12</v>
      </c>
      <c r="B3930" s="0" t="n">
        <v>1256147</v>
      </c>
      <c r="C3930" s="0" t="n">
        <v>1256167</v>
      </c>
      <c r="D3930" s="0" t="s">
        <v>13097</v>
      </c>
      <c r="E3930" s="0" t="s">
        <v>75</v>
      </c>
      <c r="F3930" s="0" t="s">
        <v>15</v>
      </c>
      <c r="G3930" s="0" t="s">
        <v>36</v>
      </c>
      <c r="H3930" s="0" t="n">
        <v>198</v>
      </c>
      <c r="I3930" s="0" t="s">
        <v>13104</v>
      </c>
      <c r="J3930" s="0" t="s">
        <v>13105</v>
      </c>
      <c r="K3930" s="0" t="s">
        <v>13106</v>
      </c>
      <c r="L3930" s="0" t="str">
        <f aca="false">HYPERLINK("https://www.ncbi.nlm.nih.gov/nuccore/CP000058.1?report=graph&amp;tracks=[key:gene_model_track,Options:GeneOnly]&amp;mk=1255974:1255993|offset_24|444444,1256019:1256038|offset_69|444444,1256148:1256167|offset_198|00cc00,1256170:1256189|offset_220|444444&amp;v=1255773:1256389&amp;c=444444", "offset 198")</f>
        <v>offset 198</v>
      </c>
    </row>
    <row r="3931" customFormat="false" ht="12.8" hidden="false" customHeight="false" outlineLevel="0" collapsed="false">
      <c r="A3931" s="0" t="s">
        <v>12</v>
      </c>
      <c r="B3931" s="0" t="n">
        <v>1256169</v>
      </c>
      <c r="C3931" s="0" t="n">
        <v>1256189</v>
      </c>
      <c r="D3931" s="0" t="s">
        <v>13097</v>
      </c>
      <c r="E3931" s="0" t="s">
        <v>75</v>
      </c>
      <c r="F3931" s="0" t="s">
        <v>15</v>
      </c>
      <c r="G3931" s="0" t="s">
        <v>16</v>
      </c>
      <c r="H3931" s="0" t="n">
        <v>220</v>
      </c>
      <c r="I3931" s="0" t="s">
        <v>13107</v>
      </c>
      <c r="J3931" s="0" t="s">
        <v>13108</v>
      </c>
      <c r="K3931" s="0" t="s">
        <v>13109</v>
      </c>
      <c r="L3931" s="0" t="str">
        <f aca="false">HYPERLINK("https://www.ncbi.nlm.nih.gov/nuccore/CP000058.1?report=graph&amp;tracks=[key:gene_model_track,Options:GeneOnly]&amp;mk=1255974:1255993|offset_24|444444,1256019:1256038|offset_69|444444,1256148:1256167|offset_198|444444,1256170:1256189|offset_220|00cc00&amp;v=1255773:1256389&amp;c=444444", "offset 220")</f>
        <v>offset 220</v>
      </c>
    </row>
    <row r="3932" customFormat="false" ht="12.8" hidden="false" customHeight="false" outlineLevel="0" collapsed="false">
      <c r="A3932" s="0" t="s">
        <v>12</v>
      </c>
      <c r="B3932" s="0" t="n">
        <v>1258336</v>
      </c>
      <c r="C3932" s="0" t="n">
        <v>1258356</v>
      </c>
      <c r="D3932" s="0" t="s">
        <v>13110</v>
      </c>
      <c r="E3932" s="0" t="s">
        <v>75</v>
      </c>
      <c r="F3932" s="0" t="s">
        <v>90</v>
      </c>
      <c r="G3932" s="0" t="s">
        <v>32</v>
      </c>
      <c r="H3932" s="0" t="n">
        <v>12</v>
      </c>
      <c r="I3932" s="0" t="s">
        <v>13111</v>
      </c>
      <c r="J3932" s="0" t="s">
        <v>13112</v>
      </c>
      <c r="K3932" s="0" t="s">
        <v>13113</v>
      </c>
      <c r="L3932" s="0" t="str">
        <f aca="false">HYPERLINK("https://www.ncbi.nlm.nih.gov/nuccore/CP000058.1?report=graph&amp;tracks=[key:gene_model_track,Options:GeneOnly]&amp;mk=1258337:1258356|offset_12|00cc00,1258315:1258334|offset_34|444444,1258258:1258277|offset_91|444444,1258209:1258228|offset_140|444444&amp;v=1258136:1258428&amp;c=444444", "offset 12")</f>
        <v>offset 12</v>
      </c>
    </row>
    <row r="3933" customFormat="false" ht="12.8" hidden="false" customHeight="false" outlineLevel="0" collapsed="false">
      <c r="A3933" s="0" t="s">
        <v>12</v>
      </c>
      <c r="B3933" s="0" t="n">
        <v>1258314</v>
      </c>
      <c r="C3933" s="0" t="n">
        <v>1258334</v>
      </c>
      <c r="D3933" s="0" t="s">
        <v>13110</v>
      </c>
      <c r="E3933" s="0" t="s">
        <v>75</v>
      </c>
      <c r="F3933" s="0" t="s">
        <v>90</v>
      </c>
      <c r="G3933" s="0" t="s">
        <v>16</v>
      </c>
      <c r="H3933" s="0" t="n">
        <v>34</v>
      </c>
      <c r="I3933" s="0" t="s">
        <v>13114</v>
      </c>
      <c r="J3933" s="0" t="s">
        <v>13115</v>
      </c>
      <c r="K3933" s="0" t="s">
        <v>13116</v>
      </c>
      <c r="L3933" s="0" t="str">
        <f aca="false">HYPERLINK("https://www.ncbi.nlm.nih.gov/nuccore/CP000058.1?report=graph&amp;tracks=[key:gene_model_track,Options:GeneOnly]&amp;mk=1258337:1258356|offset_12|444444,1258315:1258334|offset_34|00cc00,1258258:1258277|offset_91|444444,1258209:1258228|offset_140|444444&amp;v=1258136:1258428&amp;c=444444", "offset 34")</f>
        <v>offset 34</v>
      </c>
    </row>
    <row r="3934" customFormat="false" ht="12.8" hidden="false" customHeight="false" outlineLevel="0" collapsed="false">
      <c r="A3934" s="0" t="s">
        <v>12</v>
      </c>
      <c r="B3934" s="0" t="n">
        <v>1258257</v>
      </c>
      <c r="C3934" s="0" t="n">
        <v>1258277</v>
      </c>
      <c r="D3934" s="0" t="s">
        <v>13110</v>
      </c>
      <c r="E3934" s="0" t="s">
        <v>75</v>
      </c>
      <c r="F3934" s="0" t="s">
        <v>90</v>
      </c>
      <c r="G3934" s="0" t="s">
        <v>16</v>
      </c>
      <c r="H3934" s="0" t="n">
        <v>91</v>
      </c>
      <c r="I3934" s="0" t="s">
        <v>13117</v>
      </c>
      <c r="J3934" s="0" t="s">
        <v>13118</v>
      </c>
      <c r="K3934" s="0" t="s">
        <v>13119</v>
      </c>
      <c r="L3934" s="0" t="str">
        <f aca="false">HYPERLINK("https://www.ncbi.nlm.nih.gov/nuccore/CP000058.1?report=graph&amp;tracks=[key:gene_model_track,Options:GeneOnly]&amp;mk=1258337:1258356|offset_12|444444,1258315:1258334|offset_34|444444,1258258:1258277|offset_91|00cc00,1258209:1258228|offset_140|444444&amp;v=1258136:1258428&amp;c=444444", "offset 91")</f>
        <v>offset 91</v>
      </c>
    </row>
    <row r="3935" customFormat="false" ht="12.8" hidden="false" customHeight="false" outlineLevel="0" collapsed="false">
      <c r="A3935" s="0" t="s">
        <v>12</v>
      </c>
      <c r="B3935" s="0" t="n">
        <v>1258208</v>
      </c>
      <c r="C3935" s="0" t="n">
        <v>1258228</v>
      </c>
      <c r="D3935" s="0" t="s">
        <v>13110</v>
      </c>
      <c r="E3935" s="0" t="s">
        <v>75</v>
      </c>
      <c r="F3935" s="0" t="s">
        <v>90</v>
      </c>
      <c r="G3935" s="0" t="s">
        <v>36</v>
      </c>
      <c r="H3935" s="0" t="n">
        <v>140</v>
      </c>
      <c r="I3935" s="0" t="s">
        <v>13120</v>
      </c>
      <c r="J3935" s="0" t="s">
        <v>13121</v>
      </c>
      <c r="K3935" s="0" t="s">
        <v>13122</v>
      </c>
      <c r="L3935" s="0" t="str">
        <f aca="false">HYPERLINK("https://www.ncbi.nlm.nih.gov/nuccore/CP000058.1?report=graph&amp;tracks=[key:gene_model_track,Options:GeneOnly]&amp;mk=1258337:1258356|offset_12|444444,1258315:1258334|offset_34|444444,1258258:1258277|offset_91|444444,1258209:1258228|offset_140|00cc00&amp;v=1258136:1258428&amp;c=444444", "offset 140")</f>
        <v>offset 140</v>
      </c>
    </row>
    <row r="3936" customFormat="false" ht="12.8" hidden="false" customHeight="false" outlineLevel="0" collapsed="false">
      <c r="A3936" s="0" t="s">
        <v>12</v>
      </c>
      <c r="B3936" s="0" t="n">
        <v>1259291</v>
      </c>
      <c r="C3936" s="0" t="n">
        <v>1259311</v>
      </c>
      <c r="D3936" s="0" t="s">
        <v>13123</v>
      </c>
      <c r="E3936" s="0" t="s">
        <v>13124</v>
      </c>
      <c r="F3936" s="0" t="s">
        <v>90</v>
      </c>
      <c r="G3936" s="0" t="s">
        <v>32</v>
      </c>
      <c r="H3936" s="0" t="n">
        <v>1</v>
      </c>
      <c r="I3936" s="0" t="s">
        <v>13125</v>
      </c>
      <c r="J3936" s="0" t="s">
        <v>13126</v>
      </c>
      <c r="K3936" s="0" t="s">
        <v>13127</v>
      </c>
      <c r="L3936" s="0" t="str">
        <f aca="false">HYPERLINK("https://www.ncbi.nlm.nih.gov/nuccore/CP000058.1?report=graph&amp;tracks=[key:gene_model_track,Options:GeneOnly]&amp;mk=1259292:1259311|offset_1|00cc00,1259271:1259290|offset_22|444444,1259240:1259259|offset_53|444444,1259207:1259226|offset_86|444444&amp;v=1259091:1259426&amp;c=444444", "offset 1")</f>
        <v>offset 1</v>
      </c>
    </row>
    <row r="3937" customFormat="false" ht="12.8" hidden="false" customHeight="false" outlineLevel="0" collapsed="false">
      <c r="A3937" s="0" t="s">
        <v>12</v>
      </c>
      <c r="B3937" s="0" t="n">
        <v>1259270</v>
      </c>
      <c r="C3937" s="0" t="n">
        <v>1259290</v>
      </c>
      <c r="D3937" s="0" t="s">
        <v>13123</v>
      </c>
      <c r="E3937" s="0" t="s">
        <v>13124</v>
      </c>
      <c r="F3937" s="0" t="s">
        <v>90</v>
      </c>
      <c r="G3937" s="0" t="s">
        <v>16</v>
      </c>
      <c r="H3937" s="0" t="n">
        <v>22</v>
      </c>
      <c r="I3937" s="0" t="s">
        <v>13128</v>
      </c>
      <c r="J3937" s="0" t="s">
        <v>13129</v>
      </c>
      <c r="K3937" s="0" t="s">
        <v>13130</v>
      </c>
      <c r="L3937" s="0" t="str">
        <f aca="false">HYPERLINK("https://www.ncbi.nlm.nih.gov/nuccore/CP000058.1?report=graph&amp;tracks=[key:gene_model_track,Options:GeneOnly]&amp;mk=1259292:1259311|offset_1|444444,1259271:1259290|offset_22|00cc00,1259240:1259259|offset_53|444444,1259207:1259226|offset_86|444444&amp;v=1259091:1259426&amp;c=444444", "offset 22")</f>
        <v>offset 22</v>
      </c>
    </row>
    <row r="3938" customFormat="false" ht="12.8" hidden="false" customHeight="false" outlineLevel="0" collapsed="false">
      <c r="A3938" s="0" t="s">
        <v>12</v>
      </c>
      <c r="B3938" s="0" t="n">
        <v>1259239</v>
      </c>
      <c r="C3938" s="0" t="n">
        <v>1259259</v>
      </c>
      <c r="D3938" s="0" t="s">
        <v>13123</v>
      </c>
      <c r="E3938" s="0" t="s">
        <v>13124</v>
      </c>
      <c r="F3938" s="0" t="s">
        <v>90</v>
      </c>
      <c r="G3938" s="0" t="s">
        <v>20</v>
      </c>
      <c r="H3938" s="0" t="n">
        <v>53</v>
      </c>
      <c r="I3938" s="0" t="s">
        <v>13131</v>
      </c>
      <c r="J3938" s="0" t="s">
        <v>13132</v>
      </c>
      <c r="K3938" s="0" t="s">
        <v>13133</v>
      </c>
      <c r="L3938" s="0" t="str">
        <f aca="false">HYPERLINK("https://www.ncbi.nlm.nih.gov/nuccore/CP000058.1?report=graph&amp;tracks=[key:gene_model_track,Options:GeneOnly]&amp;mk=1259292:1259311|offset_1|444444,1259271:1259290|offset_22|444444,1259240:1259259|offset_53|00cc00,1259207:1259226|offset_86|444444&amp;v=1259091:1259426&amp;c=444444", "offset 53")</f>
        <v>offset 53</v>
      </c>
    </row>
    <row r="3939" customFormat="false" ht="12.8" hidden="false" customHeight="false" outlineLevel="0" collapsed="false">
      <c r="A3939" s="0" t="s">
        <v>12</v>
      </c>
      <c r="B3939" s="0" t="n">
        <v>1259206</v>
      </c>
      <c r="C3939" s="0" t="n">
        <v>1259226</v>
      </c>
      <c r="D3939" s="0" t="s">
        <v>13123</v>
      </c>
      <c r="E3939" s="0" t="s">
        <v>13124</v>
      </c>
      <c r="F3939" s="0" t="s">
        <v>90</v>
      </c>
      <c r="G3939" s="0" t="s">
        <v>20</v>
      </c>
      <c r="H3939" s="0" t="n">
        <v>86</v>
      </c>
      <c r="I3939" s="0" t="s">
        <v>13134</v>
      </c>
      <c r="J3939" s="0" t="s">
        <v>13135</v>
      </c>
      <c r="K3939" s="0" t="s">
        <v>13136</v>
      </c>
      <c r="L3939" s="0" t="str">
        <f aca="false">HYPERLINK("https://www.ncbi.nlm.nih.gov/nuccore/CP000058.1?report=graph&amp;tracks=[key:gene_model_track,Options:GeneOnly]&amp;mk=1259292:1259311|offset_1|444444,1259271:1259290|offset_22|444444,1259240:1259259|offset_53|444444,1259207:1259226|offset_86|00cc00&amp;v=1259091:1259426&amp;c=444444", "offset 86")</f>
        <v>offset 86</v>
      </c>
    </row>
    <row r="3940" customFormat="false" ht="12.8" hidden="false" customHeight="false" outlineLevel="0" collapsed="false">
      <c r="A3940" s="0" t="s">
        <v>12</v>
      </c>
      <c r="B3940" s="0" t="n">
        <v>1259695</v>
      </c>
      <c r="C3940" s="0" t="n">
        <v>1259715</v>
      </c>
      <c r="D3940" s="0" t="s">
        <v>13137</v>
      </c>
      <c r="E3940" s="0" t="s">
        <v>13138</v>
      </c>
      <c r="F3940" s="0" t="s">
        <v>15</v>
      </c>
      <c r="G3940" s="0" t="s">
        <v>36</v>
      </c>
      <c r="H3940" s="0" t="n">
        <v>22</v>
      </c>
      <c r="I3940" s="0" t="s">
        <v>13139</v>
      </c>
      <c r="J3940" s="0" t="s">
        <v>13140</v>
      </c>
      <c r="K3940" s="0" t="s">
        <v>13141</v>
      </c>
      <c r="L3940" s="0" t="str">
        <f aca="false">HYPERLINK("https://www.ncbi.nlm.nih.gov/nuccore/CP000058.1?report=graph&amp;tracks=[key:gene_model_track,Options:GeneOnly]&amp;mk=1259696:1259715|offset_22|00cc00,1259717:1259736|offset_43|444444,1259750:1259769|offset_76|444444,1259770:1259789|offset_96|444444&amp;v=1259495:1259989&amp;c=444444", "offset 22")</f>
        <v>offset 22</v>
      </c>
    </row>
    <row r="3941" customFormat="false" ht="12.8" hidden="false" customHeight="false" outlineLevel="0" collapsed="false">
      <c r="A3941" s="0" t="s">
        <v>12</v>
      </c>
      <c r="B3941" s="0" t="n">
        <v>1259716</v>
      </c>
      <c r="C3941" s="0" t="n">
        <v>1259736</v>
      </c>
      <c r="D3941" s="0" t="s">
        <v>13137</v>
      </c>
      <c r="E3941" s="0" t="s">
        <v>13138</v>
      </c>
      <c r="F3941" s="0" t="s">
        <v>15</v>
      </c>
      <c r="G3941" s="0" t="s">
        <v>16</v>
      </c>
      <c r="H3941" s="0" t="n">
        <v>43</v>
      </c>
      <c r="I3941" s="0" t="s">
        <v>13142</v>
      </c>
      <c r="J3941" s="0" t="s">
        <v>13143</v>
      </c>
      <c r="K3941" s="0" t="s">
        <v>13144</v>
      </c>
      <c r="L3941" s="0" t="str">
        <f aca="false">HYPERLINK("https://www.ncbi.nlm.nih.gov/nuccore/CP000058.1?report=graph&amp;tracks=[key:gene_model_track,Options:GeneOnly]&amp;mk=1259696:1259715|offset_22|444444,1259717:1259736|offset_43|00cc00,1259750:1259769|offset_76|444444,1259770:1259789|offset_96|444444&amp;v=1259495:1259989&amp;c=444444", "offset 43")</f>
        <v>offset 43</v>
      </c>
    </row>
    <row r="3942" customFormat="false" ht="12.8" hidden="false" customHeight="false" outlineLevel="0" collapsed="false">
      <c r="A3942" s="0" t="s">
        <v>12</v>
      </c>
      <c r="B3942" s="0" t="n">
        <v>1259749</v>
      </c>
      <c r="C3942" s="0" t="n">
        <v>1259769</v>
      </c>
      <c r="D3942" s="0" t="s">
        <v>13137</v>
      </c>
      <c r="E3942" s="0" t="s">
        <v>13138</v>
      </c>
      <c r="F3942" s="0" t="s">
        <v>15</v>
      </c>
      <c r="G3942" s="0" t="s">
        <v>16</v>
      </c>
      <c r="H3942" s="0" t="n">
        <v>76</v>
      </c>
      <c r="I3942" s="0" t="s">
        <v>13145</v>
      </c>
      <c r="J3942" s="0" t="s">
        <v>13146</v>
      </c>
      <c r="K3942" s="0" t="s">
        <v>13147</v>
      </c>
      <c r="L3942" s="0" t="str">
        <f aca="false">HYPERLINK("https://www.ncbi.nlm.nih.gov/nuccore/CP000058.1?report=graph&amp;tracks=[key:gene_model_track,Options:GeneOnly]&amp;mk=1259696:1259715|offset_22|444444,1259717:1259736|offset_43|444444,1259750:1259769|offset_76|00cc00,1259770:1259789|offset_96|444444&amp;v=1259495:1259989&amp;c=444444", "offset 76")</f>
        <v>offset 76</v>
      </c>
    </row>
    <row r="3943" customFormat="false" ht="12.8" hidden="false" customHeight="false" outlineLevel="0" collapsed="false">
      <c r="A3943" s="0" t="s">
        <v>12</v>
      </c>
      <c r="B3943" s="0" t="n">
        <v>1259769</v>
      </c>
      <c r="C3943" s="0" t="n">
        <v>1259789</v>
      </c>
      <c r="D3943" s="0" t="s">
        <v>13137</v>
      </c>
      <c r="E3943" s="0" t="s">
        <v>13138</v>
      </c>
      <c r="F3943" s="0" t="s">
        <v>15</v>
      </c>
      <c r="G3943" s="0" t="s">
        <v>20</v>
      </c>
      <c r="H3943" s="0" t="n">
        <v>96</v>
      </c>
      <c r="I3943" s="0" t="s">
        <v>13148</v>
      </c>
      <c r="J3943" s="0" t="s">
        <v>13149</v>
      </c>
      <c r="K3943" s="0" t="s">
        <v>13150</v>
      </c>
      <c r="L3943" s="0" t="str">
        <f aca="false">HYPERLINK("https://www.ncbi.nlm.nih.gov/nuccore/CP000058.1?report=graph&amp;tracks=[key:gene_model_track,Options:GeneOnly]&amp;mk=1259696:1259715|offset_22|444444,1259717:1259736|offset_43|444444,1259750:1259769|offset_76|444444,1259770:1259789|offset_96|00cc00&amp;v=1259495:1259989&amp;c=444444", "offset 96")</f>
        <v>offset 96</v>
      </c>
    </row>
    <row r="3944" customFormat="false" ht="12.8" hidden="false" customHeight="false" outlineLevel="0" collapsed="false">
      <c r="A3944" s="0" t="s">
        <v>12</v>
      </c>
      <c r="B3944" s="0" t="n">
        <v>1261006</v>
      </c>
      <c r="C3944" s="0" t="n">
        <v>1261026</v>
      </c>
      <c r="D3944" s="0" t="s">
        <v>13151</v>
      </c>
      <c r="E3944" s="0" t="s">
        <v>75</v>
      </c>
      <c r="F3944" s="0" t="s">
        <v>90</v>
      </c>
      <c r="G3944" s="0" t="s">
        <v>36</v>
      </c>
      <c r="H3944" s="0" t="n">
        <v>19</v>
      </c>
      <c r="I3944" s="0" t="s">
        <v>13152</v>
      </c>
      <c r="J3944" s="0" t="s">
        <v>13153</v>
      </c>
      <c r="K3944" s="0" t="s">
        <v>13154</v>
      </c>
      <c r="L3944" s="0" t="str">
        <f aca="false">HYPERLINK("https://www.ncbi.nlm.nih.gov/nuccore/CP000058.1?report=graph&amp;tracks=[key:gene_model_track,Options:GeneOnly]&amp;mk=1261007:1261026|offset_19|00cc00,1260962:1260981|offset_64|444444,1260927:1260946|offset_99|444444,1260905:1260924|offset_121|444444&amp;v=1260806:1261124&amp;c=444444", "offset 19")</f>
        <v>offset 19</v>
      </c>
    </row>
    <row r="3945" customFormat="false" ht="12.8" hidden="false" customHeight="false" outlineLevel="0" collapsed="false">
      <c r="A3945" s="0" t="s">
        <v>12</v>
      </c>
      <c r="B3945" s="0" t="n">
        <v>1260961</v>
      </c>
      <c r="C3945" s="0" t="n">
        <v>1260981</v>
      </c>
      <c r="D3945" s="0" t="s">
        <v>13151</v>
      </c>
      <c r="E3945" s="0" t="s">
        <v>75</v>
      </c>
      <c r="F3945" s="0" t="s">
        <v>90</v>
      </c>
      <c r="G3945" s="0" t="s">
        <v>36</v>
      </c>
      <c r="H3945" s="0" t="n">
        <v>64</v>
      </c>
      <c r="I3945" s="0" t="s">
        <v>13155</v>
      </c>
      <c r="J3945" s="0" t="s">
        <v>13156</v>
      </c>
      <c r="K3945" s="0" t="s">
        <v>13157</v>
      </c>
      <c r="L3945" s="0" t="str">
        <f aca="false">HYPERLINK("https://www.ncbi.nlm.nih.gov/nuccore/CP000058.1?report=graph&amp;tracks=[key:gene_model_track,Options:GeneOnly]&amp;mk=1261007:1261026|offset_19|444444,1260962:1260981|offset_64|00cc00,1260927:1260946|offset_99|444444,1260905:1260924|offset_121|444444&amp;v=1260806:1261124&amp;c=444444", "offset 64")</f>
        <v>offset 64</v>
      </c>
    </row>
    <row r="3946" customFormat="false" ht="12.8" hidden="false" customHeight="false" outlineLevel="0" collapsed="false">
      <c r="A3946" s="0" t="s">
        <v>12</v>
      </c>
      <c r="B3946" s="0" t="n">
        <v>1260926</v>
      </c>
      <c r="C3946" s="0" t="n">
        <v>1260946</v>
      </c>
      <c r="D3946" s="0" t="s">
        <v>13151</v>
      </c>
      <c r="E3946" s="0" t="s">
        <v>75</v>
      </c>
      <c r="F3946" s="0" t="s">
        <v>90</v>
      </c>
      <c r="G3946" s="0" t="s">
        <v>20</v>
      </c>
      <c r="H3946" s="0" t="n">
        <v>99</v>
      </c>
      <c r="I3946" s="0" t="s">
        <v>13158</v>
      </c>
      <c r="J3946" s="0" t="s">
        <v>13159</v>
      </c>
      <c r="K3946" s="0" t="s">
        <v>13160</v>
      </c>
      <c r="L3946" s="0" t="str">
        <f aca="false">HYPERLINK("https://www.ncbi.nlm.nih.gov/nuccore/CP000058.1?report=graph&amp;tracks=[key:gene_model_track,Options:GeneOnly]&amp;mk=1261007:1261026|offset_19|444444,1260962:1260981|offset_64|444444,1260927:1260946|offset_99|00cc00,1260905:1260924|offset_121|444444&amp;v=1260806:1261124&amp;c=444444", "offset 99")</f>
        <v>offset 99</v>
      </c>
    </row>
    <row r="3947" customFormat="false" ht="12.8" hidden="false" customHeight="false" outlineLevel="0" collapsed="false">
      <c r="A3947" s="0" t="s">
        <v>12</v>
      </c>
      <c r="B3947" s="0" t="n">
        <v>1260904</v>
      </c>
      <c r="C3947" s="0" t="n">
        <v>1260924</v>
      </c>
      <c r="D3947" s="0" t="s">
        <v>13151</v>
      </c>
      <c r="E3947" s="0" t="s">
        <v>75</v>
      </c>
      <c r="F3947" s="0" t="s">
        <v>90</v>
      </c>
      <c r="G3947" s="0" t="s">
        <v>16</v>
      </c>
      <c r="H3947" s="0" t="n">
        <v>121</v>
      </c>
      <c r="I3947" s="0" t="s">
        <v>13161</v>
      </c>
      <c r="J3947" s="0" t="s">
        <v>13162</v>
      </c>
      <c r="K3947" s="0" t="s">
        <v>13163</v>
      </c>
      <c r="L3947" s="0" t="str">
        <f aca="false">HYPERLINK("https://www.ncbi.nlm.nih.gov/nuccore/CP000058.1?report=graph&amp;tracks=[key:gene_model_track,Options:GeneOnly]&amp;mk=1261007:1261026|offset_19|444444,1260962:1260981|offset_64|444444,1260927:1260946|offset_99|444444,1260905:1260924|offset_121|00cc00&amp;v=1260806:1261124&amp;c=444444", "offset 121")</f>
        <v>offset 121</v>
      </c>
    </row>
    <row r="3948" customFormat="false" ht="12.8" hidden="false" customHeight="false" outlineLevel="0" collapsed="false">
      <c r="A3948" s="0" t="s">
        <v>12</v>
      </c>
      <c r="B3948" s="0" t="n">
        <v>1261307</v>
      </c>
      <c r="C3948" s="0" t="n">
        <v>1261327</v>
      </c>
      <c r="D3948" s="0" t="s">
        <v>13164</v>
      </c>
      <c r="E3948" s="0" t="s">
        <v>75</v>
      </c>
      <c r="F3948" s="0" t="s">
        <v>90</v>
      </c>
      <c r="G3948" s="0" t="s">
        <v>16</v>
      </c>
      <c r="H3948" s="0" t="n">
        <v>7</v>
      </c>
      <c r="I3948" s="0" t="s">
        <v>13165</v>
      </c>
      <c r="J3948" s="0" t="s">
        <v>13166</v>
      </c>
      <c r="K3948" s="0" t="s">
        <v>13167</v>
      </c>
      <c r="L3948" s="0" t="str">
        <f aca="false">HYPERLINK("https://www.ncbi.nlm.nih.gov/nuccore/CP000058.1?report=graph&amp;tracks=[key:gene_model_track,Options:GeneOnly]&amp;mk=1261308:1261327|offset_7|00cc00,1261271:1261290|offset_44|444444,1261244:1261263|offset_71|444444,1261220:1261239|offset_95|444444&amp;v=1261107:1261439&amp;c=444444", "offset 7")</f>
        <v>offset 7</v>
      </c>
    </row>
    <row r="3949" customFormat="false" ht="12.8" hidden="false" customHeight="false" outlineLevel="0" collapsed="false">
      <c r="A3949" s="0" t="s">
        <v>12</v>
      </c>
      <c r="B3949" s="0" t="n">
        <v>1261270</v>
      </c>
      <c r="C3949" s="0" t="n">
        <v>1261290</v>
      </c>
      <c r="D3949" s="0" t="s">
        <v>13164</v>
      </c>
      <c r="E3949" s="0" t="s">
        <v>75</v>
      </c>
      <c r="F3949" s="0" t="s">
        <v>90</v>
      </c>
      <c r="G3949" s="0" t="s">
        <v>16</v>
      </c>
      <c r="H3949" s="0" t="n">
        <v>44</v>
      </c>
      <c r="I3949" s="0" t="s">
        <v>13168</v>
      </c>
      <c r="J3949" s="0" t="s">
        <v>13169</v>
      </c>
      <c r="K3949" s="0" t="s">
        <v>13170</v>
      </c>
      <c r="L3949" s="0" t="str">
        <f aca="false">HYPERLINK("https://www.ncbi.nlm.nih.gov/nuccore/CP000058.1?report=graph&amp;tracks=[key:gene_model_track,Options:GeneOnly]&amp;mk=1261308:1261327|offset_7|444444,1261271:1261290|offset_44|00cc00,1261244:1261263|offset_71|444444,1261220:1261239|offset_95|444444&amp;v=1261107:1261439&amp;c=444444", "offset 44")</f>
        <v>offset 44</v>
      </c>
    </row>
    <row r="3950" customFormat="false" ht="12.8" hidden="false" customHeight="false" outlineLevel="0" collapsed="false">
      <c r="A3950" s="0" t="s">
        <v>12</v>
      </c>
      <c r="B3950" s="0" t="n">
        <v>1261243</v>
      </c>
      <c r="C3950" s="0" t="n">
        <v>1261263</v>
      </c>
      <c r="D3950" s="0" t="s">
        <v>13164</v>
      </c>
      <c r="E3950" s="0" t="s">
        <v>75</v>
      </c>
      <c r="F3950" s="0" t="s">
        <v>90</v>
      </c>
      <c r="G3950" s="0" t="s">
        <v>16</v>
      </c>
      <c r="H3950" s="0" t="n">
        <v>71</v>
      </c>
      <c r="I3950" s="0" t="s">
        <v>13171</v>
      </c>
      <c r="J3950" s="0" t="s">
        <v>13172</v>
      </c>
      <c r="K3950" s="0" t="s">
        <v>13173</v>
      </c>
      <c r="L3950" s="0" t="str">
        <f aca="false">HYPERLINK("https://www.ncbi.nlm.nih.gov/nuccore/CP000058.1?report=graph&amp;tracks=[key:gene_model_track,Options:GeneOnly]&amp;mk=1261308:1261327|offset_7|444444,1261271:1261290|offset_44|444444,1261244:1261263|offset_71|00cc00,1261220:1261239|offset_95|444444&amp;v=1261107:1261439&amp;c=444444", "offset 71")</f>
        <v>offset 71</v>
      </c>
    </row>
    <row r="3951" customFormat="false" ht="12.8" hidden="false" customHeight="false" outlineLevel="0" collapsed="false">
      <c r="A3951" s="0" t="s">
        <v>12</v>
      </c>
      <c r="B3951" s="0" t="n">
        <v>1261219</v>
      </c>
      <c r="C3951" s="0" t="n">
        <v>1261239</v>
      </c>
      <c r="D3951" s="0" t="s">
        <v>13164</v>
      </c>
      <c r="E3951" s="0" t="s">
        <v>75</v>
      </c>
      <c r="F3951" s="0" t="s">
        <v>90</v>
      </c>
      <c r="G3951" s="0" t="s">
        <v>20</v>
      </c>
      <c r="H3951" s="0" t="n">
        <v>95</v>
      </c>
      <c r="I3951" s="0" t="s">
        <v>13174</v>
      </c>
      <c r="J3951" s="0" t="s">
        <v>13175</v>
      </c>
      <c r="K3951" s="0" t="s">
        <v>13176</v>
      </c>
      <c r="L3951" s="0" t="str">
        <f aca="false">HYPERLINK("https://www.ncbi.nlm.nih.gov/nuccore/CP000058.1?report=graph&amp;tracks=[key:gene_model_track,Options:GeneOnly]&amp;mk=1261308:1261327|offset_7|444444,1261271:1261290|offset_44|444444,1261244:1261263|offset_71|444444,1261220:1261239|offset_95|00cc00&amp;v=1261107:1261439&amp;c=444444", "offset 95")</f>
        <v>offset 95</v>
      </c>
    </row>
    <row r="3952" customFormat="false" ht="12.8" hidden="false" customHeight="false" outlineLevel="0" collapsed="false">
      <c r="A3952" s="0" t="s">
        <v>12</v>
      </c>
      <c r="B3952" s="0" t="n">
        <v>1261711</v>
      </c>
      <c r="C3952" s="0" t="n">
        <v>1261731</v>
      </c>
      <c r="D3952" s="0" t="s">
        <v>13177</v>
      </c>
      <c r="E3952" s="0" t="s">
        <v>13178</v>
      </c>
      <c r="F3952" s="0" t="s">
        <v>90</v>
      </c>
      <c r="G3952" s="0" t="s">
        <v>20</v>
      </c>
      <c r="H3952" s="0" t="n">
        <v>18</v>
      </c>
      <c r="I3952" s="0" t="s">
        <v>13179</v>
      </c>
      <c r="J3952" s="0" t="s">
        <v>13180</v>
      </c>
      <c r="K3952" s="0" t="s">
        <v>13181</v>
      </c>
      <c r="L3952" s="0" t="str">
        <f aca="false">HYPERLINK("https://www.ncbi.nlm.nih.gov/nuccore/CP000058.1?report=graph&amp;tracks=[key:gene_model_track,Options:GeneOnly]&amp;mk=1261712:1261731|offset_18|00cc00,1261677:1261696|offset_53|444444,1261597:1261616|offset_133|444444,1261543:1261562|offset_187|444444&amp;v=1261511:1261762&amp;c=444444", "offset 18")</f>
        <v>offset 18</v>
      </c>
    </row>
    <row r="3953" customFormat="false" ht="12.8" hidden="false" customHeight="false" outlineLevel="0" collapsed="false">
      <c r="A3953" s="0" t="s">
        <v>12</v>
      </c>
      <c r="B3953" s="0" t="n">
        <v>1261676</v>
      </c>
      <c r="C3953" s="0" t="n">
        <v>1261696</v>
      </c>
      <c r="D3953" s="0" t="s">
        <v>13177</v>
      </c>
      <c r="E3953" s="0" t="s">
        <v>13178</v>
      </c>
      <c r="F3953" s="0" t="s">
        <v>90</v>
      </c>
      <c r="G3953" s="0" t="s">
        <v>20</v>
      </c>
      <c r="H3953" s="0" t="n">
        <v>53</v>
      </c>
      <c r="I3953" s="0" t="s">
        <v>13182</v>
      </c>
      <c r="J3953" s="0" t="s">
        <v>13183</v>
      </c>
      <c r="K3953" s="0" t="s">
        <v>13184</v>
      </c>
      <c r="L3953" s="0" t="str">
        <f aca="false">HYPERLINK("https://www.ncbi.nlm.nih.gov/nuccore/CP000058.1?report=graph&amp;tracks=[key:gene_model_track,Options:GeneOnly]&amp;mk=1261712:1261731|offset_18|444444,1261677:1261696|offset_53|00cc00,1261597:1261616|offset_133|444444,1261543:1261562|offset_187|444444&amp;v=1261511:1261762&amp;c=444444", "offset 53")</f>
        <v>offset 53</v>
      </c>
    </row>
    <row r="3954" customFormat="false" ht="12.8" hidden="false" customHeight="false" outlineLevel="0" collapsed="false">
      <c r="A3954" s="0" t="s">
        <v>12</v>
      </c>
      <c r="B3954" s="0" t="n">
        <v>1261596</v>
      </c>
      <c r="C3954" s="0" t="n">
        <v>1261616</v>
      </c>
      <c r="D3954" s="0" t="s">
        <v>13177</v>
      </c>
      <c r="E3954" s="0" t="s">
        <v>13178</v>
      </c>
      <c r="F3954" s="0" t="s">
        <v>90</v>
      </c>
      <c r="G3954" s="0" t="s">
        <v>16</v>
      </c>
      <c r="H3954" s="0" t="n">
        <v>133</v>
      </c>
      <c r="I3954" s="0" t="s">
        <v>13185</v>
      </c>
      <c r="J3954" s="0" t="s">
        <v>13186</v>
      </c>
      <c r="K3954" s="0" t="s">
        <v>13187</v>
      </c>
      <c r="L3954" s="0" t="str">
        <f aca="false">HYPERLINK("https://www.ncbi.nlm.nih.gov/nuccore/CP000058.1?report=graph&amp;tracks=[key:gene_model_track,Options:GeneOnly]&amp;mk=1261712:1261731|offset_18|444444,1261677:1261696|offset_53|444444,1261597:1261616|offset_133|00cc00,1261543:1261562|offset_187|444444&amp;v=1261511:1261762&amp;c=444444", "offset 133")</f>
        <v>offset 133</v>
      </c>
    </row>
    <row r="3955" customFormat="false" ht="12.8" hidden="false" customHeight="false" outlineLevel="0" collapsed="false">
      <c r="A3955" s="0" t="s">
        <v>12</v>
      </c>
      <c r="B3955" s="0" t="n">
        <v>1261542</v>
      </c>
      <c r="C3955" s="0" t="n">
        <v>1261562</v>
      </c>
      <c r="D3955" s="0" t="s">
        <v>13177</v>
      </c>
      <c r="E3955" s="0" t="s">
        <v>13178</v>
      </c>
      <c r="F3955" s="0" t="s">
        <v>90</v>
      </c>
      <c r="G3955" s="0" t="s">
        <v>32</v>
      </c>
      <c r="H3955" s="0" t="n">
        <v>187</v>
      </c>
      <c r="I3955" s="0" t="s">
        <v>13188</v>
      </c>
      <c r="J3955" s="0" t="s">
        <v>13189</v>
      </c>
      <c r="K3955" s="0" t="s">
        <v>13190</v>
      </c>
      <c r="L3955" s="0" t="str">
        <f aca="false">HYPERLINK("https://www.ncbi.nlm.nih.gov/nuccore/CP000058.1?report=graph&amp;tracks=[key:gene_model_track,Options:GeneOnly]&amp;mk=1261712:1261731|offset_18|444444,1261677:1261696|offset_53|444444,1261597:1261616|offset_133|444444,1261543:1261562|offset_187|00cc00&amp;v=1261511:1261762&amp;c=444444", "offset 187")</f>
        <v>offset 187</v>
      </c>
    </row>
    <row r="3956" customFormat="false" ht="12.8" hidden="false" customHeight="false" outlineLevel="0" collapsed="false">
      <c r="A3956" s="0" t="s">
        <v>12</v>
      </c>
      <c r="B3956" s="0" t="n">
        <v>1262279</v>
      </c>
      <c r="C3956" s="0" t="n">
        <v>1262299</v>
      </c>
      <c r="D3956" s="0" t="s">
        <v>13191</v>
      </c>
      <c r="E3956" s="0" t="s">
        <v>13192</v>
      </c>
      <c r="F3956" s="0" t="s">
        <v>90</v>
      </c>
      <c r="G3956" s="0" t="s">
        <v>36</v>
      </c>
      <c r="H3956" s="0" t="n">
        <v>13</v>
      </c>
      <c r="I3956" s="0" t="s">
        <v>13193</v>
      </c>
      <c r="J3956" s="0" t="s">
        <v>13194</v>
      </c>
      <c r="K3956" s="0" t="s">
        <v>13195</v>
      </c>
      <c r="L3956" s="0" t="str">
        <f aca="false">HYPERLINK("https://www.ncbi.nlm.nih.gov/nuccore/CP000058.1?report=graph&amp;tracks=[key:gene_model_track,Options:GeneOnly]&amp;mk=1262280:1262299|offset_13|00cc00,1262246:1262265|offset_47|444444,1262219:1262238|offset_74|444444,1262193:1262212|offset_100|444444&amp;v=1262079:1262412&amp;c=444444", "offset 13")</f>
        <v>offset 13</v>
      </c>
    </row>
    <row r="3957" customFormat="false" ht="12.8" hidden="false" customHeight="false" outlineLevel="0" collapsed="false">
      <c r="A3957" s="0" t="s">
        <v>12</v>
      </c>
      <c r="B3957" s="0" t="n">
        <v>1262245</v>
      </c>
      <c r="C3957" s="0" t="n">
        <v>1262265</v>
      </c>
      <c r="D3957" s="0" t="s">
        <v>13191</v>
      </c>
      <c r="E3957" s="0" t="s">
        <v>13192</v>
      </c>
      <c r="F3957" s="0" t="s">
        <v>90</v>
      </c>
      <c r="G3957" s="0" t="s">
        <v>20</v>
      </c>
      <c r="H3957" s="0" t="n">
        <v>47</v>
      </c>
      <c r="I3957" s="0" t="s">
        <v>13196</v>
      </c>
      <c r="J3957" s="0" t="s">
        <v>13197</v>
      </c>
      <c r="K3957" s="0" t="s">
        <v>13198</v>
      </c>
      <c r="L3957" s="0" t="str">
        <f aca="false">HYPERLINK("https://www.ncbi.nlm.nih.gov/nuccore/CP000058.1?report=graph&amp;tracks=[key:gene_model_track,Options:GeneOnly]&amp;mk=1262280:1262299|offset_13|444444,1262246:1262265|offset_47|00cc00,1262219:1262238|offset_74|444444,1262193:1262212|offset_100|444444&amp;v=1262079:1262412&amp;c=444444", "offset 47")</f>
        <v>offset 47</v>
      </c>
    </row>
    <row r="3958" customFormat="false" ht="12.8" hidden="false" customHeight="false" outlineLevel="0" collapsed="false">
      <c r="A3958" s="0" t="s">
        <v>12</v>
      </c>
      <c r="B3958" s="0" t="n">
        <v>1262218</v>
      </c>
      <c r="C3958" s="0" t="n">
        <v>1262238</v>
      </c>
      <c r="D3958" s="0" t="s">
        <v>13191</v>
      </c>
      <c r="E3958" s="0" t="s">
        <v>13192</v>
      </c>
      <c r="F3958" s="0" t="s">
        <v>90</v>
      </c>
      <c r="G3958" s="0" t="s">
        <v>20</v>
      </c>
      <c r="H3958" s="0" t="n">
        <v>74</v>
      </c>
      <c r="I3958" s="0" t="s">
        <v>13199</v>
      </c>
      <c r="J3958" s="0" t="s">
        <v>13200</v>
      </c>
      <c r="K3958" s="0" t="s">
        <v>13201</v>
      </c>
      <c r="L3958" s="0" t="str">
        <f aca="false">HYPERLINK("https://www.ncbi.nlm.nih.gov/nuccore/CP000058.1?report=graph&amp;tracks=[key:gene_model_track,Options:GeneOnly]&amp;mk=1262280:1262299|offset_13|444444,1262246:1262265|offset_47|444444,1262219:1262238|offset_74|00cc00,1262193:1262212|offset_100|444444&amp;v=1262079:1262412&amp;c=444444", "offset 74")</f>
        <v>offset 74</v>
      </c>
    </row>
    <row r="3959" customFormat="false" ht="12.8" hidden="false" customHeight="false" outlineLevel="0" collapsed="false">
      <c r="A3959" s="0" t="s">
        <v>12</v>
      </c>
      <c r="B3959" s="0" t="n">
        <v>1262192</v>
      </c>
      <c r="C3959" s="0" t="n">
        <v>1262212</v>
      </c>
      <c r="D3959" s="0" t="s">
        <v>13191</v>
      </c>
      <c r="E3959" s="0" t="s">
        <v>13192</v>
      </c>
      <c r="F3959" s="0" t="s">
        <v>90</v>
      </c>
      <c r="G3959" s="0" t="s">
        <v>32</v>
      </c>
      <c r="H3959" s="0" t="n">
        <v>100</v>
      </c>
      <c r="I3959" s="0" t="s">
        <v>13202</v>
      </c>
      <c r="J3959" s="0" t="s">
        <v>13203</v>
      </c>
      <c r="K3959" s="0" t="s">
        <v>13204</v>
      </c>
      <c r="L3959" s="0" t="str">
        <f aca="false">HYPERLINK("https://www.ncbi.nlm.nih.gov/nuccore/CP000058.1?report=graph&amp;tracks=[key:gene_model_track,Options:GeneOnly]&amp;mk=1262280:1262299|offset_13|444444,1262246:1262265|offset_47|444444,1262219:1262238|offset_74|444444,1262193:1262212|offset_100|00cc00&amp;v=1262079:1262412&amp;c=444444", "offset 100")</f>
        <v>offset 100</v>
      </c>
    </row>
    <row r="3960" customFormat="false" ht="12.8" hidden="false" customHeight="false" outlineLevel="0" collapsed="false">
      <c r="A3960" s="0" t="s">
        <v>12</v>
      </c>
      <c r="B3960" s="0" t="n">
        <v>1262990</v>
      </c>
      <c r="C3960" s="0" t="n">
        <v>1263010</v>
      </c>
      <c r="D3960" s="0" t="s">
        <v>13205</v>
      </c>
      <c r="E3960" s="0" t="s">
        <v>75</v>
      </c>
      <c r="F3960" s="0" t="s">
        <v>90</v>
      </c>
      <c r="G3960" s="0" t="s">
        <v>16</v>
      </c>
      <c r="H3960" s="0" t="n">
        <v>34</v>
      </c>
      <c r="I3960" s="0" t="s">
        <v>13206</v>
      </c>
      <c r="J3960" s="0" t="s">
        <v>13207</v>
      </c>
      <c r="K3960" s="0" t="s">
        <v>13208</v>
      </c>
      <c r="L3960" s="0" t="str">
        <f aca="false">HYPERLINK("https://www.ncbi.nlm.nih.gov/nuccore/CP000058.1?report=graph&amp;tracks=[key:gene_model_track,Options:GeneOnly]&amp;mk=1262991:1263010|offset_34|00cc00,1262969:1262988|offset_56|444444,1262882:1262901|offset_143|444444,1262838:1262857|offset_187|444444&amp;v=1262790:1263057&amp;c=444444", "offset 34")</f>
        <v>offset 34</v>
      </c>
    </row>
    <row r="3961" customFormat="false" ht="12.8" hidden="false" customHeight="false" outlineLevel="0" collapsed="false">
      <c r="A3961" s="0" t="s">
        <v>12</v>
      </c>
      <c r="B3961" s="0" t="n">
        <v>1262968</v>
      </c>
      <c r="C3961" s="0" t="n">
        <v>1262988</v>
      </c>
      <c r="D3961" s="0" t="s">
        <v>13205</v>
      </c>
      <c r="E3961" s="0" t="s">
        <v>75</v>
      </c>
      <c r="F3961" s="0" t="s">
        <v>90</v>
      </c>
      <c r="G3961" s="0" t="s">
        <v>20</v>
      </c>
      <c r="H3961" s="0" t="n">
        <v>56</v>
      </c>
      <c r="I3961" s="0" t="s">
        <v>13209</v>
      </c>
      <c r="J3961" s="0" t="s">
        <v>13210</v>
      </c>
      <c r="K3961" s="0" t="s">
        <v>13211</v>
      </c>
      <c r="L3961" s="0" t="str">
        <f aca="false">HYPERLINK("https://www.ncbi.nlm.nih.gov/nuccore/CP000058.1?report=graph&amp;tracks=[key:gene_model_track,Options:GeneOnly]&amp;mk=1262991:1263010|offset_34|444444,1262969:1262988|offset_56|00cc00,1262882:1262901|offset_143|444444,1262838:1262857|offset_187|444444&amp;v=1262790:1263057&amp;c=444444", "offset 56")</f>
        <v>offset 56</v>
      </c>
    </row>
    <row r="3962" customFormat="false" ht="12.8" hidden="false" customHeight="false" outlineLevel="0" collapsed="false">
      <c r="A3962" s="0" t="s">
        <v>12</v>
      </c>
      <c r="B3962" s="0" t="n">
        <v>1262881</v>
      </c>
      <c r="C3962" s="0" t="n">
        <v>1262901</v>
      </c>
      <c r="D3962" s="0" t="s">
        <v>13205</v>
      </c>
      <c r="E3962" s="0" t="s">
        <v>75</v>
      </c>
      <c r="F3962" s="0" t="s">
        <v>90</v>
      </c>
      <c r="G3962" s="0" t="s">
        <v>32</v>
      </c>
      <c r="H3962" s="0" t="n">
        <v>143</v>
      </c>
      <c r="I3962" s="0" t="s">
        <v>13212</v>
      </c>
      <c r="J3962" s="0" t="s">
        <v>13213</v>
      </c>
      <c r="K3962" s="0" t="s">
        <v>13214</v>
      </c>
      <c r="L3962" s="0" t="str">
        <f aca="false">HYPERLINK("https://www.ncbi.nlm.nih.gov/nuccore/CP000058.1?report=graph&amp;tracks=[key:gene_model_track,Options:GeneOnly]&amp;mk=1262991:1263010|offset_34|444444,1262969:1262988|offset_56|444444,1262882:1262901|offset_143|00cc00,1262838:1262857|offset_187|444444&amp;v=1262790:1263057&amp;c=444444", "offset 143")</f>
        <v>offset 143</v>
      </c>
    </row>
    <row r="3963" customFormat="false" ht="12.8" hidden="false" customHeight="false" outlineLevel="0" collapsed="false">
      <c r="A3963" s="0" t="s">
        <v>12</v>
      </c>
      <c r="B3963" s="0" t="n">
        <v>1262837</v>
      </c>
      <c r="C3963" s="0" t="n">
        <v>1262857</v>
      </c>
      <c r="D3963" s="0" t="s">
        <v>13205</v>
      </c>
      <c r="E3963" s="0" t="s">
        <v>75</v>
      </c>
      <c r="F3963" s="0" t="s">
        <v>90</v>
      </c>
      <c r="G3963" s="0" t="s">
        <v>16</v>
      </c>
      <c r="H3963" s="0" t="n">
        <v>187</v>
      </c>
      <c r="I3963" s="0" t="s">
        <v>13215</v>
      </c>
      <c r="J3963" s="0" t="s">
        <v>13216</v>
      </c>
      <c r="K3963" s="0" t="s">
        <v>13217</v>
      </c>
      <c r="L3963" s="0" t="str">
        <f aca="false">HYPERLINK("https://www.ncbi.nlm.nih.gov/nuccore/CP000058.1?report=graph&amp;tracks=[key:gene_model_track,Options:GeneOnly]&amp;mk=1262991:1263010|offset_34|444444,1262969:1262988|offset_56|444444,1262882:1262901|offset_143|444444,1262838:1262857|offset_187|00cc00&amp;v=1262790:1263057&amp;c=444444", "offset 187")</f>
        <v>offset 187</v>
      </c>
    </row>
    <row r="3964" customFormat="false" ht="12.8" hidden="false" customHeight="false" outlineLevel="0" collapsed="false">
      <c r="A3964" s="0" t="s">
        <v>12</v>
      </c>
      <c r="B3964" s="0" t="n">
        <v>1263814</v>
      </c>
      <c r="C3964" s="0" t="n">
        <v>1263834</v>
      </c>
      <c r="D3964" s="0" t="s">
        <v>13218</v>
      </c>
      <c r="E3964" s="0" t="s">
        <v>75</v>
      </c>
      <c r="F3964" s="0" t="s">
        <v>90</v>
      </c>
      <c r="G3964" s="0" t="s">
        <v>20</v>
      </c>
      <c r="H3964" s="0" t="n">
        <v>10</v>
      </c>
      <c r="I3964" s="0" t="s">
        <v>13219</v>
      </c>
      <c r="J3964" s="0" t="s">
        <v>13220</v>
      </c>
      <c r="K3964" s="0" t="s">
        <v>13221</v>
      </c>
      <c r="L3964" s="0" t="str">
        <f aca="false">HYPERLINK("https://www.ncbi.nlm.nih.gov/nuccore/CP000058.1?report=graph&amp;tracks=[key:gene_model_track,Options:GeneOnly]&amp;mk=1263815:1263834|offset_10|00cc00,1263791:1263810|offset_34|444444,1263766:1263785|offset_59|444444,1263725:1263744|offset_100|444444&amp;v=1263614:1263944&amp;c=444444", "offset 10")</f>
        <v>offset 10</v>
      </c>
    </row>
    <row r="3965" customFormat="false" ht="12.8" hidden="false" customHeight="false" outlineLevel="0" collapsed="false">
      <c r="A3965" s="0" t="s">
        <v>12</v>
      </c>
      <c r="B3965" s="0" t="n">
        <v>1263790</v>
      </c>
      <c r="C3965" s="0" t="n">
        <v>1263810</v>
      </c>
      <c r="D3965" s="0" t="s">
        <v>13218</v>
      </c>
      <c r="E3965" s="0" t="s">
        <v>75</v>
      </c>
      <c r="F3965" s="0" t="s">
        <v>90</v>
      </c>
      <c r="G3965" s="0" t="s">
        <v>36</v>
      </c>
      <c r="H3965" s="0" t="n">
        <v>34</v>
      </c>
      <c r="I3965" s="0" t="s">
        <v>13222</v>
      </c>
      <c r="J3965" s="0" t="s">
        <v>13223</v>
      </c>
      <c r="K3965" s="0" t="s">
        <v>13224</v>
      </c>
      <c r="L3965" s="0" t="str">
        <f aca="false">HYPERLINK("https://www.ncbi.nlm.nih.gov/nuccore/CP000058.1?report=graph&amp;tracks=[key:gene_model_track,Options:GeneOnly]&amp;mk=1263815:1263834|offset_10|444444,1263791:1263810|offset_34|00cc00,1263766:1263785|offset_59|444444,1263725:1263744|offset_100|444444&amp;v=1263614:1263944&amp;c=444444", "offset 34")</f>
        <v>offset 34</v>
      </c>
    </row>
    <row r="3966" customFormat="false" ht="12.8" hidden="false" customHeight="false" outlineLevel="0" collapsed="false">
      <c r="A3966" s="0" t="s">
        <v>12</v>
      </c>
      <c r="B3966" s="0" t="n">
        <v>1263765</v>
      </c>
      <c r="C3966" s="0" t="n">
        <v>1263785</v>
      </c>
      <c r="D3966" s="0" t="s">
        <v>13218</v>
      </c>
      <c r="E3966" s="0" t="s">
        <v>75</v>
      </c>
      <c r="F3966" s="0" t="s">
        <v>90</v>
      </c>
      <c r="G3966" s="0" t="s">
        <v>32</v>
      </c>
      <c r="H3966" s="0" t="n">
        <v>59</v>
      </c>
      <c r="I3966" s="0" t="s">
        <v>13225</v>
      </c>
      <c r="J3966" s="0" t="s">
        <v>13226</v>
      </c>
      <c r="K3966" s="0" t="s">
        <v>13227</v>
      </c>
      <c r="L3966" s="0" t="str">
        <f aca="false">HYPERLINK("https://www.ncbi.nlm.nih.gov/nuccore/CP000058.1?report=graph&amp;tracks=[key:gene_model_track,Options:GeneOnly]&amp;mk=1263815:1263834|offset_10|444444,1263791:1263810|offset_34|444444,1263766:1263785|offset_59|00cc00,1263725:1263744|offset_100|444444&amp;v=1263614:1263944&amp;c=444444", "offset 59")</f>
        <v>offset 59</v>
      </c>
    </row>
    <row r="3967" customFormat="false" ht="12.8" hidden="false" customHeight="false" outlineLevel="0" collapsed="false">
      <c r="A3967" s="0" t="s">
        <v>12</v>
      </c>
      <c r="B3967" s="0" t="n">
        <v>1263724</v>
      </c>
      <c r="C3967" s="0" t="n">
        <v>1263744</v>
      </c>
      <c r="D3967" s="0" t="s">
        <v>13218</v>
      </c>
      <c r="E3967" s="0" t="s">
        <v>75</v>
      </c>
      <c r="F3967" s="0" t="s">
        <v>90</v>
      </c>
      <c r="G3967" s="0" t="s">
        <v>32</v>
      </c>
      <c r="H3967" s="0" t="n">
        <v>100</v>
      </c>
      <c r="I3967" s="0" t="s">
        <v>13228</v>
      </c>
      <c r="J3967" s="0" t="s">
        <v>13229</v>
      </c>
      <c r="K3967" s="0" t="s">
        <v>13230</v>
      </c>
      <c r="L3967" s="0" t="str">
        <f aca="false">HYPERLINK("https://www.ncbi.nlm.nih.gov/nuccore/CP000058.1?report=graph&amp;tracks=[key:gene_model_track,Options:GeneOnly]&amp;mk=1263815:1263834|offset_10|444444,1263791:1263810|offset_34|444444,1263766:1263785|offset_59|444444,1263725:1263744|offset_100|00cc00&amp;v=1263614:1263944&amp;c=444444", "offset 100")</f>
        <v>offset 100</v>
      </c>
    </row>
    <row r="3968" customFormat="false" ht="12.8" hidden="false" customHeight="false" outlineLevel="0" collapsed="false">
      <c r="A3968" s="0" t="s">
        <v>12</v>
      </c>
      <c r="B3968" s="0" t="n">
        <v>1264581</v>
      </c>
      <c r="C3968" s="0" t="n">
        <v>1264601</v>
      </c>
      <c r="D3968" s="0" t="s">
        <v>13231</v>
      </c>
      <c r="E3968" s="0" t="s">
        <v>75</v>
      </c>
      <c r="F3968" s="0" t="s">
        <v>90</v>
      </c>
      <c r="G3968" s="0" t="s">
        <v>32</v>
      </c>
      <c r="H3968" s="0" t="n">
        <v>0</v>
      </c>
      <c r="I3968" s="0" t="s">
        <v>13232</v>
      </c>
      <c r="J3968" s="0" t="s">
        <v>13233</v>
      </c>
      <c r="K3968" s="0" t="s">
        <v>13234</v>
      </c>
      <c r="L3968" s="0" t="str">
        <f aca="false">HYPERLINK("https://www.ncbi.nlm.nih.gov/nuccore/CP000058.1?report=graph&amp;tracks=[key:gene_model_track,Options:GeneOnly]&amp;mk=1264582:1264601|offset_0|00cc00,1264562:1264581|offset_20|444444,1264535:1264554|offset_47|444444,1264484:1264503|offset_98|444444&amp;v=1264381:1264703&amp;c=444444", "offset 0")</f>
        <v>offset 0</v>
      </c>
    </row>
    <row r="3969" customFormat="false" ht="12.8" hidden="false" customHeight="false" outlineLevel="0" collapsed="false">
      <c r="A3969" s="0" t="s">
        <v>12</v>
      </c>
      <c r="B3969" s="0" t="n">
        <v>1264561</v>
      </c>
      <c r="C3969" s="0" t="n">
        <v>1264581</v>
      </c>
      <c r="D3969" s="0" t="s">
        <v>13231</v>
      </c>
      <c r="E3969" s="0" t="s">
        <v>75</v>
      </c>
      <c r="F3969" s="0" t="s">
        <v>90</v>
      </c>
      <c r="G3969" s="0" t="s">
        <v>20</v>
      </c>
      <c r="H3969" s="0" t="n">
        <v>20</v>
      </c>
      <c r="I3969" s="0" t="s">
        <v>13235</v>
      </c>
      <c r="J3969" s="0" t="s">
        <v>13236</v>
      </c>
      <c r="K3969" s="0" t="s">
        <v>13237</v>
      </c>
      <c r="L3969" s="0" t="str">
        <f aca="false">HYPERLINK("https://www.ncbi.nlm.nih.gov/nuccore/CP000058.1?report=graph&amp;tracks=[key:gene_model_track,Options:GeneOnly]&amp;mk=1264582:1264601|offset_0|444444,1264562:1264581|offset_20|00cc00,1264535:1264554|offset_47|444444,1264484:1264503|offset_98|444444&amp;v=1264381:1264703&amp;c=444444", "offset 20")</f>
        <v>offset 20</v>
      </c>
    </row>
    <row r="3970" customFormat="false" ht="12.8" hidden="false" customHeight="false" outlineLevel="0" collapsed="false">
      <c r="A3970" s="0" t="s">
        <v>12</v>
      </c>
      <c r="B3970" s="0" t="n">
        <v>1264534</v>
      </c>
      <c r="C3970" s="0" t="n">
        <v>1264554</v>
      </c>
      <c r="D3970" s="0" t="s">
        <v>13231</v>
      </c>
      <c r="E3970" s="0" t="s">
        <v>75</v>
      </c>
      <c r="F3970" s="0" t="s">
        <v>90</v>
      </c>
      <c r="G3970" s="0" t="s">
        <v>32</v>
      </c>
      <c r="H3970" s="0" t="n">
        <v>47</v>
      </c>
      <c r="I3970" s="0" t="s">
        <v>13238</v>
      </c>
      <c r="J3970" s="0" t="s">
        <v>13239</v>
      </c>
      <c r="K3970" s="0" t="s">
        <v>13240</v>
      </c>
      <c r="L3970" s="0" t="str">
        <f aca="false">HYPERLINK("https://www.ncbi.nlm.nih.gov/nuccore/CP000058.1?report=graph&amp;tracks=[key:gene_model_track,Options:GeneOnly]&amp;mk=1264582:1264601|offset_0|444444,1264562:1264581|offset_20|444444,1264535:1264554|offset_47|00cc00,1264484:1264503|offset_98|444444&amp;v=1264381:1264703&amp;c=444444", "offset 47")</f>
        <v>offset 47</v>
      </c>
    </row>
    <row r="3971" customFormat="false" ht="12.8" hidden="false" customHeight="false" outlineLevel="0" collapsed="false">
      <c r="A3971" s="0" t="s">
        <v>12</v>
      </c>
      <c r="B3971" s="0" t="n">
        <v>1264483</v>
      </c>
      <c r="C3971" s="0" t="n">
        <v>1264503</v>
      </c>
      <c r="D3971" s="0" t="s">
        <v>13231</v>
      </c>
      <c r="E3971" s="0" t="s">
        <v>75</v>
      </c>
      <c r="F3971" s="0" t="s">
        <v>90</v>
      </c>
      <c r="G3971" s="0" t="s">
        <v>20</v>
      </c>
      <c r="H3971" s="0" t="n">
        <v>98</v>
      </c>
      <c r="I3971" s="0" t="s">
        <v>13241</v>
      </c>
      <c r="J3971" s="0" t="s">
        <v>13242</v>
      </c>
      <c r="K3971" s="0" t="s">
        <v>13243</v>
      </c>
      <c r="L3971" s="0" t="str">
        <f aca="false">HYPERLINK("https://www.ncbi.nlm.nih.gov/nuccore/CP000058.1?report=graph&amp;tracks=[key:gene_model_track,Options:GeneOnly]&amp;mk=1264582:1264601|offset_0|444444,1264562:1264581|offset_20|444444,1264535:1264554|offset_47|444444,1264484:1264503|offset_98|00cc00&amp;v=1264381:1264703&amp;c=444444", "offset 98")</f>
        <v>offset 98</v>
      </c>
    </row>
    <row r="3972" customFormat="false" ht="12.8" hidden="false" customHeight="false" outlineLevel="0" collapsed="false">
      <c r="A3972" s="0" t="s">
        <v>12</v>
      </c>
      <c r="B3972" s="0" t="n">
        <v>1264811</v>
      </c>
      <c r="C3972" s="0" t="n">
        <v>1264831</v>
      </c>
      <c r="D3972" s="0" t="s">
        <v>13244</v>
      </c>
      <c r="E3972" s="0" t="s">
        <v>75</v>
      </c>
      <c r="F3972" s="0" t="s">
        <v>15</v>
      </c>
      <c r="G3972" s="0" t="s">
        <v>32</v>
      </c>
      <c r="H3972" s="0" t="n">
        <v>1</v>
      </c>
      <c r="I3972" s="0" t="s">
        <v>13245</v>
      </c>
      <c r="J3972" s="0" t="s">
        <v>13246</v>
      </c>
      <c r="K3972" s="0" t="s">
        <v>13247</v>
      </c>
      <c r="L3972" s="0" t="str">
        <f aca="false">HYPERLINK("https://www.ncbi.nlm.nih.gov/nuccore/CP000058.1?report=graph&amp;tracks=[key:gene_model_track,Options:GeneOnly]&amp;mk=1264812:1264831|offset_1|00cc00,1264854:1264873|offset_43|444444,1264875:1264894|offset_64|444444,1264908:1264927|offset_97|444444&amp;v=1264611:1265127&amp;c=444444", "offset 1")</f>
        <v>offset 1</v>
      </c>
    </row>
    <row r="3973" customFormat="false" ht="12.8" hidden="false" customHeight="false" outlineLevel="0" collapsed="false">
      <c r="A3973" s="0" t="s">
        <v>12</v>
      </c>
      <c r="B3973" s="0" t="n">
        <v>1264853</v>
      </c>
      <c r="C3973" s="0" t="n">
        <v>1264873</v>
      </c>
      <c r="D3973" s="0" t="s">
        <v>13244</v>
      </c>
      <c r="E3973" s="0" t="s">
        <v>75</v>
      </c>
      <c r="F3973" s="0" t="s">
        <v>15</v>
      </c>
      <c r="G3973" s="0" t="s">
        <v>16</v>
      </c>
      <c r="H3973" s="0" t="n">
        <v>43</v>
      </c>
      <c r="I3973" s="0" t="s">
        <v>13248</v>
      </c>
      <c r="J3973" s="0" t="s">
        <v>13249</v>
      </c>
      <c r="K3973" s="0" t="s">
        <v>13250</v>
      </c>
      <c r="L3973" s="0" t="str">
        <f aca="false">HYPERLINK("https://www.ncbi.nlm.nih.gov/nuccore/CP000058.1?report=graph&amp;tracks=[key:gene_model_track,Options:GeneOnly]&amp;mk=1264812:1264831|offset_1|444444,1264854:1264873|offset_43|00cc00,1264875:1264894|offset_64|444444,1264908:1264927|offset_97|444444&amp;v=1264611:1265127&amp;c=444444", "offset 43")</f>
        <v>offset 43</v>
      </c>
    </row>
    <row r="3974" customFormat="false" ht="12.8" hidden="false" customHeight="false" outlineLevel="0" collapsed="false">
      <c r="A3974" s="0" t="s">
        <v>12</v>
      </c>
      <c r="B3974" s="0" t="n">
        <v>1264874</v>
      </c>
      <c r="C3974" s="0" t="n">
        <v>1264894</v>
      </c>
      <c r="D3974" s="0" t="s">
        <v>13244</v>
      </c>
      <c r="E3974" s="0" t="s">
        <v>75</v>
      </c>
      <c r="F3974" s="0" t="s">
        <v>15</v>
      </c>
      <c r="G3974" s="0" t="s">
        <v>20</v>
      </c>
      <c r="H3974" s="0" t="n">
        <v>64</v>
      </c>
      <c r="I3974" s="0" t="s">
        <v>13251</v>
      </c>
      <c r="J3974" s="0" t="s">
        <v>13252</v>
      </c>
      <c r="K3974" s="0" t="s">
        <v>13253</v>
      </c>
      <c r="L3974" s="0" t="str">
        <f aca="false">HYPERLINK("https://www.ncbi.nlm.nih.gov/nuccore/CP000058.1?report=graph&amp;tracks=[key:gene_model_track,Options:GeneOnly]&amp;mk=1264812:1264831|offset_1|444444,1264854:1264873|offset_43|444444,1264875:1264894|offset_64|00cc00,1264908:1264927|offset_97|444444&amp;v=1264611:1265127&amp;c=444444", "offset 64")</f>
        <v>offset 64</v>
      </c>
    </row>
    <row r="3975" customFormat="false" ht="12.8" hidden="false" customHeight="false" outlineLevel="0" collapsed="false">
      <c r="A3975" s="0" t="s">
        <v>12</v>
      </c>
      <c r="B3975" s="0" t="n">
        <v>1264907</v>
      </c>
      <c r="C3975" s="0" t="n">
        <v>1264927</v>
      </c>
      <c r="D3975" s="0" t="s">
        <v>13244</v>
      </c>
      <c r="E3975" s="0" t="s">
        <v>75</v>
      </c>
      <c r="F3975" s="0" t="s">
        <v>15</v>
      </c>
      <c r="G3975" s="0" t="s">
        <v>36</v>
      </c>
      <c r="H3975" s="0" t="n">
        <v>97</v>
      </c>
      <c r="I3975" s="0" t="s">
        <v>13254</v>
      </c>
      <c r="J3975" s="0" t="s">
        <v>13255</v>
      </c>
      <c r="K3975" s="0" t="s">
        <v>13256</v>
      </c>
      <c r="L3975" s="0" t="str">
        <f aca="false">HYPERLINK("https://www.ncbi.nlm.nih.gov/nuccore/CP000058.1?report=graph&amp;tracks=[key:gene_model_track,Options:GeneOnly]&amp;mk=1264812:1264831|offset_1|444444,1264854:1264873|offset_43|444444,1264875:1264894|offset_64|444444,1264908:1264927|offset_97|00cc00&amp;v=1264611:1265127&amp;c=444444", "offset 97")</f>
        <v>offset 97</v>
      </c>
    </row>
    <row r="3976" customFormat="false" ht="12.8" hidden="false" customHeight="false" outlineLevel="0" collapsed="false">
      <c r="A3976" s="0" t="s">
        <v>12</v>
      </c>
      <c r="B3976" s="0" t="n">
        <v>1265496</v>
      </c>
      <c r="C3976" s="0" t="n">
        <v>1265516</v>
      </c>
      <c r="D3976" s="0" t="s">
        <v>13257</v>
      </c>
      <c r="E3976" s="0" t="s">
        <v>75</v>
      </c>
      <c r="F3976" s="0" t="s">
        <v>15</v>
      </c>
      <c r="G3976" s="0" t="s">
        <v>20</v>
      </c>
      <c r="H3976" s="0" t="n">
        <v>122</v>
      </c>
      <c r="I3976" s="0" t="s">
        <v>13258</v>
      </c>
      <c r="J3976" s="0" t="s">
        <v>13259</v>
      </c>
      <c r="K3976" s="0" t="s">
        <v>13260</v>
      </c>
      <c r="L3976" s="0" t="str">
        <f aca="false">HYPERLINK("https://www.ncbi.nlm.nih.gov/nuccore/CP000058.1?report=graph&amp;tracks=[key:gene_model_track,Options:GeneOnly]&amp;mk=1265497:1265516|offset_122|00cc00,1265526:1265545|offset_151|444444,1265556:1265575|offset_181|444444,1265580:1265599|offset_205|444444&amp;v=1265296:1265799&amp;c=444444", "offset 122")</f>
        <v>offset 122</v>
      </c>
    </row>
    <row r="3977" customFormat="false" ht="12.8" hidden="false" customHeight="false" outlineLevel="0" collapsed="false">
      <c r="A3977" s="0" t="s">
        <v>12</v>
      </c>
      <c r="B3977" s="0" t="n">
        <v>1265525</v>
      </c>
      <c r="C3977" s="0" t="n">
        <v>1265545</v>
      </c>
      <c r="D3977" s="0" t="s">
        <v>13257</v>
      </c>
      <c r="E3977" s="0" t="s">
        <v>75</v>
      </c>
      <c r="F3977" s="0" t="s">
        <v>15</v>
      </c>
      <c r="G3977" s="0" t="s">
        <v>32</v>
      </c>
      <c r="H3977" s="0" t="n">
        <v>151</v>
      </c>
      <c r="I3977" s="0" t="s">
        <v>13261</v>
      </c>
      <c r="J3977" s="0" t="s">
        <v>13262</v>
      </c>
      <c r="K3977" s="0" t="s">
        <v>13263</v>
      </c>
      <c r="L3977" s="0" t="str">
        <f aca="false">HYPERLINK("https://www.ncbi.nlm.nih.gov/nuccore/CP000058.1?report=graph&amp;tracks=[key:gene_model_track,Options:GeneOnly]&amp;mk=1265497:1265516|offset_122|444444,1265526:1265545|offset_151|00cc00,1265556:1265575|offset_181|444444,1265580:1265599|offset_205|444444&amp;v=1265296:1265799&amp;c=444444", "offset 151")</f>
        <v>offset 151</v>
      </c>
    </row>
    <row r="3978" customFormat="false" ht="12.8" hidden="false" customHeight="false" outlineLevel="0" collapsed="false">
      <c r="A3978" s="0" t="s">
        <v>12</v>
      </c>
      <c r="B3978" s="0" t="n">
        <v>1265555</v>
      </c>
      <c r="C3978" s="0" t="n">
        <v>1265575</v>
      </c>
      <c r="D3978" s="0" t="s">
        <v>13257</v>
      </c>
      <c r="E3978" s="0" t="s">
        <v>75</v>
      </c>
      <c r="F3978" s="0" t="s">
        <v>15</v>
      </c>
      <c r="G3978" s="0" t="s">
        <v>16</v>
      </c>
      <c r="H3978" s="0" t="n">
        <v>181</v>
      </c>
      <c r="I3978" s="0" t="s">
        <v>13264</v>
      </c>
      <c r="J3978" s="0" t="s">
        <v>13265</v>
      </c>
      <c r="K3978" s="0" t="s">
        <v>13266</v>
      </c>
      <c r="L3978" s="0" t="str">
        <f aca="false">HYPERLINK("https://www.ncbi.nlm.nih.gov/nuccore/CP000058.1?report=graph&amp;tracks=[key:gene_model_track,Options:GeneOnly]&amp;mk=1265497:1265516|offset_122|444444,1265526:1265545|offset_151|444444,1265556:1265575|offset_181|00cc00,1265580:1265599|offset_205|444444&amp;v=1265296:1265799&amp;c=444444", "offset 181")</f>
        <v>offset 181</v>
      </c>
    </row>
    <row r="3979" customFormat="false" ht="12.8" hidden="false" customHeight="false" outlineLevel="0" collapsed="false">
      <c r="A3979" s="0" t="s">
        <v>12</v>
      </c>
      <c r="B3979" s="0" t="n">
        <v>1265579</v>
      </c>
      <c r="C3979" s="0" t="n">
        <v>1265599</v>
      </c>
      <c r="D3979" s="0" t="s">
        <v>13257</v>
      </c>
      <c r="E3979" s="0" t="s">
        <v>75</v>
      </c>
      <c r="F3979" s="0" t="s">
        <v>15</v>
      </c>
      <c r="G3979" s="0" t="s">
        <v>16</v>
      </c>
      <c r="H3979" s="0" t="n">
        <v>205</v>
      </c>
      <c r="I3979" s="0" t="s">
        <v>13267</v>
      </c>
      <c r="J3979" s="0" t="s">
        <v>13268</v>
      </c>
      <c r="K3979" s="0" t="s">
        <v>13269</v>
      </c>
      <c r="L3979" s="0" t="str">
        <f aca="false">HYPERLINK("https://www.ncbi.nlm.nih.gov/nuccore/CP000058.1?report=graph&amp;tracks=[key:gene_model_track,Options:GeneOnly]&amp;mk=1265497:1265516|offset_122|444444,1265526:1265545|offset_151|444444,1265556:1265575|offset_181|444444,1265580:1265599|offset_205|00cc00&amp;v=1265296:1265799&amp;c=444444", "offset 205")</f>
        <v>offset 205</v>
      </c>
    </row>
    <row r="3980" customFormat="false" ht="12.8" hidden="false" customHeight="false" outlineLevel="0" collapsed="false">
      <c r="A3980" s="0" t="s">
        <v>12</v>
      </c>
      <c r="B3980" s="0" t="n">
        <v>1266523</v>
      </c>
      <c r="C3980" s="0" t="n">
        <v>1266543</v>
      </c>
      <c r="D3980" s="0" t="s">
        <v>13270</v>
      </c>
      <c r="E3980" s="0" t="s">
        <v>75</v>
      </c>
      <c r="F3980" s="0" t="s">
        <v>15</v>
      </c>
      <c r="G3980" s="0" t="s">
        <v>20</v>
      </c>
      <c r="H3980" s="0" t="n">
        <v>14</v>
      </c>
      <c r="I3980" s="0" t="s">
        <v>13271</v>
      </c>
      <c r="J3980" s="0" t="s">
        <v>13272</v>
      </c>
      <c r="K3980" s="0" t="s">
        <v>13273</v>
      </c>
      <c r="L3980" s="0" t="str">
        <f aca="false">HYPERLINK("https://www.ncbi.nlm.nih.gov/nuccore/CP000058.1?report=graph&amp;tracks=[key:gene_model_track,Options:GeneOnly]&amp;mk=1266524:1266543|offset_14|00cc00,1266549:1266568|offset_39|444444,1266577:1266596|offset_67|444444,1266622:1266641|offset_112|444444&amp;v=1266323:1266841&amp;c=444444", "offset 14")</f>
        <v>offset 14</v>
      </c>
    </row>
    <row r="3981" customFormat="false" ht="12.8" hidden="false" customHeight="false" outlineLevel="0" collapsed="false">
      <c r="A3981" s="0" t="s">
        <v>12</v>
      </c>
      <c r="B3981" s="0" t="n">
        <v>1266548</v>
      </c>
      <c r="C3981" s="0" t="n">
        <v>1266568</v>
      </c>
      <c r="D3981" s="0" t="s">
        <v>13270</v>
      </c>
      <c r="E3981" s="0" t="s">
        <v>75</v>
      </c>
      <c r="F3981" s="0" t="s">
        <v>15</v>
      </c>
      <c r="G3981" s="0" t="s">
        <v>16</v>
      </c>
      <c r="H3981" s="0" t="n">
        <v>39</v>
      </c>
      <c r="I3981" s="0" t="s">
        <v>13274</v>
      </c>
      <c r="J3981" s="0" t="s">
        <v>13275</v>
      </c>
      <c r="K3981" s="0" t="s">
        <v>13276</v>
      </c>
      <c r="L3981" s="0" t="str">
        <f aca="false">HYPERLINK("https://www.ncbi.nlm.nih.gov/nuccore/CP000058.1?report=graph&amp;tracks=[key:gene_model_track,Options:GeneOnly]&amp;mk=1266524:1266543|offset_14|444444,1266549:1266568|offset_39|00cc00,1266577:1266596|offset_67|444444,1266622:1266641|offset_112|444444&amp;v=1266323:1266841&amp;c=444444", "offset 39")</f>
        <v>offset 39</v>
      </c>
    </row>
    <row r="3982" customFormat="false" ht="12.8" hidden="false" customHeight="false" outlineLevel="0" collapsed="false">
      <c r="A3982" s="0" t="s">
        <v>12</v>
      </c>
      <c r="B3982" s="0" t="n">
        <v>1266576</v>
      </c>
      <c r="C3982" s="0" t="n">
        <v>1266596</v>
      </c>
      <c r="D3982" s="0" t="s">
        <v>13270</v>
      </c>
      <c r="E3982" s="0" t="s">
        <v>75</v>
      </c>
      <c r="F3982" s="0" t="s">
        <v>15</v>
      </c>
      <c r="G3982" s="0" t="s">
        <v>16</v>
      </c>
      <c r="H3982" s="0" t="n">
        <v>67</v>
      </c>
      <c r="I3982" s="0" t="s">
        <v>13277</v>
      </c>
      <c r="J3982" s="0" t="s">
        <v>13278</v>
      </c>
      <c r="K3982" s="0" t="s">
        <v>13279</v>
      </c>
      <c r="L3982" s="0" t="str">
        <f aca="false">HYPERLINK("https://www.ncbi.nlm.nih.gov/nuccore/CP000058.1?report=graph&amp;tracks=[key:gene_model_track,Options:GeneOnly]&amp;mk=1266524:1266543|offset_14|444444,1266549:1266568|offset_39|444444,1266577:1266596|offset_67|00cc00,1266622:1266641|offset_112|444444&amp;v=1266323:1266841&amp;c=444444", "offset 67")</f>
        <v>offset 67</v>
      </c>
    </row>
    <row r="3983" customFormat="false" ht="12.8" hidden="false" customHeight="false" outlineLevel="0" collapsed="false">
      <c r="A3983" s="0" t="s">
        <v>12</v>
      </c>
      <c r="B3983" s="0" t="n">
        <v>1266621</v>
      </c>
      <c r="C3983" s="0" t="n">
        <v>1266641</v>
      </c>
      <c r="D3983" s="0" t="s">
        <v>13270</v>
      </c>
      <c r="E3983" s="0" t="s">
        <v>75</v>
      </c>
      <c r="F3983" s="0" t="s">
        <v>15</v>
      </c>
      <c r="G3983" s="0" t="s">
        <v>16</v>
      </c>
      <c r="H3983" s="0" t="n">
        <v>112</v>
      </c>
      <c r="I3983" s="0" t="s">
        <v>13280</v>
      </c>
      <c r="J3983" s="0" t="s">
        <v>13281</v>
      </c>
      <c r="K3983" s="0" t="s">
        <v>13282</v>
      </c>
      <c r="L3983" s="0" t="str">
        <f aca="false">HYPERLINK("https://www.ncbi.nlm.nih.gov/nuccore/CP000058.1?report=graph&amp;tracks=[key:gene_model_track,Options:GeneOnly]&amp;mk=1266524:1266543|offset_14|444444,1266549:1266568|offset_39|444444,1266577:1266596|offset_67|444444,1266622:1266641|offset_112|00cc00&amp;v=1266323:1266841&amp;c=444444", "offset 112")</f>
        <v>offset 112</v>
      </c>
    </row>
    <row r="3984" customFormat="false" ht="12.8" hidden="false" customHeight="false" outlineLevel="0" collapsed="false">
      <c r="A3984" s="0" t="s">
        <v>12</v>
      </c>
      <c r="B3984" s="0" t="n">
        <v>1268042</v>
      </c>
      <c r="C3984" s="0" t="n">
        <v>1268062</v>
      </c>
      <c r="D3984" s="0" t="s">
        <v>13283</v>
      </c>
      <c r="E3984" s="0" t="s">
        <v>75</v>
      </c>
      <c r="F3984" s="0" t="s">
        <v>90</v>
      </c>
      <c r="G3984" s="0" t="s">
        <v>32</v>
      </c>
      <c r="H3984" s="0" t="n">
        <v>9</v>
      </c>
      <c r="I3984" s="0" t="s">
        <v>13284</v>
      </c>
      <c r="J3984" s="0" t="s">
        <v>13285</v>
      </c>
      <c r="K3984" s="0" t="s">
        <v>13286</v>
      </c>
      <c r="L3984" s="0" t="str">
        <f aca="false">HYPERLINK("https://www.ncbi.nlm.nih.gov/nuccore/CP000058.1?report=graph&amp;tracks=[key:gene_model_track,Options:GeneOnly]&amp;mk=1268043:1268062|offset_9|00cc00,1268007:1268026|offset_45|444444,1267949:1267968|offset_103|444444,1267921:1267940|offset_131|444444&amp;v=1267842:1268140&amp;c=444444", "offset 9")</f>
        <v>offset 9</v>
      </c>
    </row>
    <row r="3985" customFormat="false" ht="12.8" hidden="false" customHeight="false" outlineLevel="0" collapsed="false">
      <c r="A3985" s="0" t="s">
        <v>12</v>
      </c>
      <c r="B3985" s="0" t="n">
        <v>1268006</v>
      </c>
      <c r="C3985" s="0" t="n">
        <v>1268026</v>
      </c>
      <c r="D3985" s="0" t="s">
        <v>13283</v>
      </c>
      <c r="E3985" s="0" t="s">
        <v>75</v>
      </c>
      <c r="F3985" s="0" t="s">
        <v>90</v>
      </c>
      <c r="G3985" s="0" t="s">
        <v>16</v>
      </c>
      <c r="H3985" s="0" t="n">
        <v>45</v>
      </c>
      <c r="I3985" s="0" t="s">
        <v>13287</v>
      </c>
      <c r="J3985" s="0" t="s">
        <v>13288</v>
      </c>
      <c r="K3985" s="0" t="s">
        <v>13289</v>
      </c>
      <c r="L3985" s="0" t="str">
        <f aca="false">HYPERLINK("https://www.ncbi.nlm.nih.gov/nuccore/CP000058.1?report=graph&amp;tracks=[key:gene_model_track,Options:GeneOnly]&amp;mk=1268043:1268062|offset_9|444444,1268007:1268026|offset_45|00cc00,1267949:1267968|offset_103|444444,1267921:1267940|offset_131|444444&amp;v=1267842:1268140&amp;c=444444", "offset 45")</f>
        <v>offset 45</v>
      </c>
    </row>
    <row r="3986" customFormat="false" ht="12.8" hidden="false" customHeight="false" outlineLevel="0" collapsed="false">
      <c r="A3986" s="0" t="s">
        <v>12</v>
      </c>
      <c r="B3986" s="0" t="n">
        <v>1267948</v>
      </c>
      <c r="C3986" s="0" t="n">
        <v>1267968</v>
      </c>
      <c r="D3986" s="0" t="s">
        <v>13283</v>
      </c>
      <c r="E3986" s="0" t="s">
        <v>75</v>
      </c>
      <c r="F3986" s="0" t="s">
        <v>90</v>
      </c>
      <c r="G3986" s="0" t="s">
        <v>36</v>
      </c>
      <c r="H3986" s="0" t="n">
        <v>103</v>
      </c>
      <c r="I3986" s="0" t="s">
        <v>13290</v>
      </c>
      <c r="J3986" s="0" t="s">
        <v>13291</v>
      </c>
      <c r="K3986" s="0" t="s">
        <v>13292</v>
      </c>
      <c r="L3986" s="0" t="str">
        <f aca="false">HYPERLINK("https://www.ncbi.nlm.nih.gov/nuccore/CP000058.1?report=graph&amp;tracks=[key:gene_model_track,Options:GeneOnly]&amp;mk=1268043:1268062|offset_9|444444,1268007:1268026|offset_45|444444,1267949:1267968|offset_103|00cc00,1267921:1267940|offset_131|444444&amp;v=1267842:1268140&amp;c=444444", "offset 103")</f>
        <v>offset 103</v>
      </c>
    </row>
    <row r="3987" customFormat="false" ht="12.8" hidden="false" customHeight="false" outlineLevel="0" collapsed="false">
      <c r="A3987" s="0" t="s">
        <v>12</v>
      </c>
      <c r="B3987" s="0" t="n">
        <v>1267920</v>
      </c>
      <c r="C3987" s="0" t="n">
        <v>1267940</v>
      </c>
      <c r="D3987" s="0" t="s">
        <v>13283</v>
      </c>
      <c r="E3987" s="0" t="s">
        <v>75</v>
      </c>
      <c r="F3987" s="0" t="s">
        <v>90</v>
      </c>
      <c r="G3987" s="0" t="s">
        <v>32</v>
      </c>
      <c r="H3987" s="0" t="n">
        <v>131</v>
      </c>
      <c r="I3987" s="0" t="s">
        <v>13293</v>
      </c>
      <c r="J3987" s="0" t="s">
        <v>13294</v>
      </c>
      <c r="K3987" s="0" t="s">
        <v>13295</v>
      </c>
      <c r="L3987" s="0" t="str">
        <f aca="false">HYPERLINK("https://www.ncbi.nlm.nih.gov/nuccore/CP000058.1?report=graph&amp;tracks=[key:gene_model_track,Options:GeneOnly]&amp;mk=1268043:1268062|offset_9|444444,1268007:1268026|offset_45|444444,1267949:1267968|offset_103|444444,1267921:1267940|offset_131|00cc00&amp;v=1267842:1268140&amp;c=444444", "offset 131")</f>
        <v>offset 131</v>
      </c>
    </row>
    <row r="3988" customFormat="false" ht="12.8" hidden="false" customHeight="false" outlineLevel="0" collapsed="false">
      <c r="A3988" s="0" t="s">
        <v>12</v>
      </c>
      <c r="B3988" s="0" t="n">
        <v>1268989</v>
      </c>
      <c r="C3988" s="0" t="n">
        <v>1269009</v>
      </c>
      <c r="D3988" s="0" t="s">
        <v>13296</v>
      </c>
      <c r="E3988" s="0" t="s">
        <v>75</v>
      </c>
      <c r="F3988" s="0" t="s">
        <v>90</v>
      </c>
      <c r="G3988" s="0" t="s">
        <v>16</v>
      </c>
      <c r="H3988" s="0" t="n">
        <v>16</v>
      </c>
      <c r="I3988" s="0" t="s">
        <v>13297</v>
      </c>
      <c r="J3988" s="0" t="s">
        <v>13298</v>
      </c>
      <c r="K3988" s="0" t="s">
        <v>13299</v>
      </c>
      <c r="L3988" s="0" t="str">
        <f aca="false">HYPERLINK("https://www.ncbi.nlm.nih.gov/nuccore/CP000058.1?report=graph&amp;tracks=[key:gene_model_track,Options:GeneOnly]&amp;mk=1268990:1269009|offset_16|00cc00,1268957:1268976|offset_49|444444,1268924:1268943|offset_82|444444,1268889:1268908|offset_117|444444&amp;v=1268789:1269108&amp;c=444444", "offset 16")</f>
        <v>offset 16</v>
      </c>
    </row>
    <row r="3989" customFormat="false" ht="12.8" hidden="false" customHeight="false" outlineLevel="0" collapsed="false">
      <c r="A3989" s="0" t="s">
        <v>12</v>
      </c>
      <c r="B3989" s="0" t="n">
        <v>1268956</v>
      </c>
      <c r="C3989" s="0" t="n">
        <v>1268976</v>
      </c>
      <c r="D3989" s="0" t="s">
        <v>13296</v>
      </c>
      <c r="E3989" s="0" t="s">
        <v>75</v>
      </c>
      <c r="F3989" s="0" t="s">
        <v>90</v>
      </c>
      <c r="G3989" s="0" t="s">
        <v>20</v>
      </c>
      <c r="H3989" s="0" t="n">
        <v>49</v>
      </c>
      <c r="I3989" s="0" t="s">
        <v>13300</v>
      </c>
      <c r="J3989" s="0" t="s">
        <v>13301</v>
      </c>
      <c r="K3989" s="0" t="s">
        <v>13302</v>
      </c>
      <c r="L3989" s="0" t="str">
        <f aca="false">HYPERLINK("https://www.ncbi.nlm.nih.gov/nuccore/CP000058.1?report=graph&amp;tracks=[key:gene_model_track,Options:GeneOnly]&amp;mk=1268990:1269009|offset_16|444444,1268957:1268976|offset_49|00cc00,1268924:1268943|offset_82|444444,1268889:1268908|offset_117|444444&amp;v=1268789:1269108&amp;c=444444", "offset 49")</f>
        <v>offset 49</v>
      </c>
    </row>
    <row r="3990" customFormat="false" ht="12.8" hidden="false" customHeight="false" outlineLevel="0" collapsed="false">
      <c r="A3990" s="0" t="s">
        <v>12</v>
      </c>
      <c r="B3990" s="0" t="n">
        <v>1268923</v>
      </c>
      <c r="C3990" s="0" t="n">
        <v>1268943</v>
      </c>
      <c r="D3990" s="0" t="s">
        <v>13296</v>
      </c>
      <c r="E3990" s="0" t="s">
        <v>75</v>
      </c>
      <c r="F3990" s="0" t="s">
        <v>90</v>
      </c>
      <c r="G3990" s="0" t="s">
        <v>36</v>
      </c>
      <c r="H3990" s="0" t="n">
        <v>82</v>
      </c>
      <c r="I3990" s="0" t="s">
        <v>13303</v>
      </c>
      <c r="J3990" s="0" t="s">
        <v>13304</v>
      </c>
      <c r="K3990" s="0" t="s">
        <v>13305</v>
      </c>
      <c r="L3990" s="0" t="str">
        <f aca="false">HYPERLINK("https://www.ncbi.nlm.nih.gov/nuccore/CP000058.1?report=graph&amp;tracks=[key:gene_model_track,Options:GeneOnly]&amp;mk=1268990:1269009|offset_16|444444,1268957:1268976|offset_49|444444,1268924:1268943|offset_82|00cc00,1268889:1268908|offset_117|444444&amp;v=1268789:1269108&amp;c=444444", "offset 82")</f>
        <v>offset 82</v>
      </c>
    </row>
    <row r="3991" customFormat="false" ht="12.8" hidden="false" customHeight="false" outlineLevel="0" collapsed="false">
      <c r="A3991" s="0" t="s">
        <v>12</v>
      </c>
      <c r="B3991" s="0" t="n">
        <v>1268888</v>
      </c>
      <c r="C3991" s="0" t="n">
        <v>1268908</v>
      </c>
      <c r="D3991" s="0" t="s">
        <v>13296</v>
      </c>
      <c r="E3991" s="0" t="s">
        <v>75</v>
      </c>
      <c r="F3991" s="0" t="s">
        <v>90</v>
      </c>
      <c r="G3991" s="0" t="s">
        <v>36</v>
      </c>
      <c r="H3991" s="0" t="n">
        <v>117</v>
      </c>
      <c r="I3991" s="0" t="s">
        <v>13306</v>
      </c>
      <c r="J3991" s="0" t="s">
        <v>13307</v>
      </c>
      <c r="K3991" s="0" t="s">
        <v>13308</v>
      </c>
      <c r="L3991" s="0" t="str">
        <f aca="false">HYPERLINK("https://www.ncbi.nlm.nih.gov/nuccore/CP000058.1?report=graph&amp;tracks=[key:gene_model_track,Options:GeneOnly]&amp;mk=1268990:1269009|offset_16|444444,1268957:1268976|offset_49|444444,1268924:1268943|offset_82|444444,1268889:1268908|offset_117|00cc00&amp;v=1268789:1269108&amp;c=444444", "offset 117")</f>
        <v>offset 117</v>
      </c>
    </row>
    <row r="3992" customFormat="false" ht="12.8" hidden="false" customHeight="false" outlineLevel="0" collapsed="false">
      <c r="A3992" s="0" t="s">
        <v>12</v>
      </c>
      <c r="B3992" s="0" t="n">
        <v>1270996</v>
      </c>
      <c r="C3992" s="0" t="n">
        <v>1271016</v>
      </c>
      <c r="D3992" s="0" t="s">
        <v>13309</v>
      </c>
      <c r="E3992" s="0" t="s">
        <v>75</v>
      </c>
      <c r="F3992" s="0" t="s">
        <v>90</v>
      </c>
      <c r="G3992" s="0" t="s">
        <v>36</v>
      </c>
      <c r="H3992" s="0" t="n">
        <v>11</v>
      </c>
      <c r="I3992" s="0" t="s">
        <v>13310</v>
      </c>
      <c r="J3992" s="0" t="s">
        <v>13311</v>
      </c>
      <c r="K3992" s="0" t="s">
        <v>13312</v>
      </c>
      <c r="L3992" s="0" t="str">
        <f aca="false">HYPERLINK("https://www.ncbi.nlm.nih.gov/nuccore/CP000058.1?report=graph&amp;tracks=[key:gene_model_track,Options:GeneOnly]&amp;mk=1270997:1271016|offset_11|00cc00,1270967:1270986|offset_41|444444,1270943:1270962|offset_65|444444,1270921:1270940|offset_87|444444&amp;v=1270796:1271140&amp;c=444444", "offset 11")</f>
        <v>offset 11</v>
      </c>
    </row>
    <row r="3993" customFormat="false" ht="12.8" hidden="false" customHeight="false" outlineLevel="0" collapsed="false">
      <c r="A3993" s="0" t="s">
        <v>12</v>
      </c>
      <c r="B3993" s="0" t="n">
        <v>1270966</v>
      </c>
      <c r="C3993" s="0" t="n">
        <v>1270986</v>
      </c>
      <c r="D3993" s="0" t="s">
        <v>13309</v>
      </c>
      <c r="E3993" s="0" t="s">
        <v>75</v>
      </c>
      <c r="F3993" s="0" t="s">
        <v>90</v>
      </c>
      <c r="G3993" s="0" t="s">
        <v>20</v>
      </c>
      <c r="H3993" s="0" t="n">
        <v>41</v>
      </c>
      <c r="I3993" s="0" t="s">
        <v>13313</v>
      </c>
      <c r="J3993" s="0" t="s">
        <v>13314</v>
      </c>
      <c r="K3993" s="0" t="s">
        <v>13315</v>
      </c>
      <c r="L3993" s="0" t="str">
        <f aca="false">HYPERLINK("https://www.ncbi.nlm.nih.gov/nuccore/CP000058.1?report=graph&amp;tracks=[key:gene_model_track,Options:GeneOnly]&amp;mk=1270997:1271016|offset_11|444444,1270967:1270986|offset_41|00cc00,1270943:1270962|offset_65|444444,1270921:1270940|offset_87|444444&amp;v=1270796:1271140&amp;c=444444", "offset 41")</f>
        <v>offset 41</v>
      </c>
    </row>
    <row r="3994" customFormat="false" ht="12.8" hidden="false" customHeight="false" outlineLevel="0" collapsed="false">
      <c r="A3994" s="0" t="s">
        <v>12</v>
      </c>
      <c r="B3994" s="0" t="n">
        <v>1270942</v>
      </c>
      <c r="C3994" s="0" t="n">
        <v>1270962</v>
      </c>
      <c r="D3994" s="0" t="s">
        <v>13309</v>
      </c>
      <c r="E3994" s="0" t="s">
        <v>75</v>
      </c>
      <c r="F3994" s="0" t="s">
        <v>90</v>
      </c>
      <c r="G3994" s="0" t="s">
        <v>32</v>
      </c>
      <c r="H3994" s="0" t="n">
        <v>65</v>
      </c>
      <c r="I3994" s="0" t="s">
        <v>13316</v>
      </c>
      <c r="J3994" s="0" t="s">
        <v>13317</v>
      </c>
      <c r="K3994" s="0" t="s">
        <v>13318</v>
      </c>
      <c r="L3994" s="0" t="str">
        <f aca="false">HYPERLINK("https://www.ncbi.nlm.nih.gov/nuccore/CP000058.1?report=graph&amp;tracks=[key:gene_model_track,Options:GeneOnly]&amp;mk=1270997:1271016|offset_11|444444,1270967:1270986|offset_41|444444,1270943:1270962|offset_65|00cc00,1270921:1270940|offset_87|444444&amp;v=1270796:1271140&amp;c=444444", "offset 65")</f>
        <v>offset 65</v>
      </c>
    </row>
    <row r="3995" customFormat="false" ht="12.8" hidden="false" customHeight="false" outlineLevel="0" collapsed="false">
      <c r="A3995" s="0" t="s">
        <v>12</v>
      </c>
      <c r="B3995" s="0" t="n">
        <v>1270920</v>
      </c>
      <c r="C3995" s="0" t="n">
        <v>1270940</v>
      </c>
      <c r="D3995" s="0" t="s">
        <v>13309</v>
      </c>
      <c r="E3995" s="0" t="s">
        <v>75</v>
      </c>
      <c r="F3995" s="0" t="s">
        <v>90</v>
      </c>
      <c r="G3995" s="0" t="s">
        <v>16</v>
      </c>
      <c r="H3995" s="0" t="n">
        <v>87</v>
      </c>
      <c r="I3995" s="0" t="s">
        <v>13319</v>
      </c>
      <c r="J3995" s="0" t="s">
        <v>13320</v>
      </c>
      <c r="K3995" s="0" t="s">
        <v>13321</v>
      </c>
      <c r="L3995" s="0" t="str">
        <f aca="false">HYPERLINK("https://www.ncbi.nlm.nih.gov/nuccore/CP000058.1?report=graph&amp;tracks=[key:gene_model_track,Options:GeneOnly]&amp;mk=1270997:1271016|offset_11|444444,1270967:1270986|offset_41|444444,1270943:1270962|offset_65|444444,1270921:1270940|offset_87|00cc00&amp;v=1270796:1271140&amp;c=444444", "offset 87")</f>
        <v>offset 87</v>
      </c>
    </row>
    <row r="3996" customFormat="false" ht="12.8" hidden="false" customHeight="false" outlineLevel="0" collapsed="false">
      <c r="A3996" s="0" t="s">
        <v>12</v>
      </c>
      <c r="B3996" s="0" t="n">
        <v>1273103</v>
      </c>
      <c r="C3996" s="0" t="n">
        <v>1273123</v>
      </c>
      <c r="D3996" s="0" t="s">
        <v>13322</v>
      </c>
      <c r="E3996" s="0" t="s">
        <v>13323</v>
      </c>
      <c r="F3996" s="0" t="s">
        <v>90</v>
      </c>
      <c r="G3996" s="0" t="s">
        <v>20</v>
      </c>
      <c r="H3996" s="0" t="n">
        <v>21</v>
      </c>
      <c r="I3996" s="0" t="s">
        <v>13324</v>
      </c>
      <c r="J3996" s="0" t="s">
        <v>13325</v>
      </c>
      <c r="K3996" s="0" t="s">
        <v>13326</v>
      </c>
      <c r="L3996" s="0" t="str">
        <f aca="false">HYPERLINK("https://www.ncbi.nlm.nih.gov/nuccore/CP000058.1?report=graph&amp;tracks=[key:gene_model_track,Options:GeneOnly]&amp;mk=1273104:1273123|offset_21|00cc00,1273039:1273058|offset_86|444444,1273018:1273037|offset_107|444444,1272992:1273011|offset_133|444444&amp;v=1272903:1273211&amp;c=444444", "offset 21")</f>
        <v>offset 21</v>
      </c>
    </row>
    <row r="3997" customFormat="false" ht="12.8" hidden="false" customHeight="false" outlineLevel="0" collapsed="false">
      <c r="A3997" s="0" t="s">
        <v>12</v>
      </c>
      <c r="B3997" s="0" t="n">
        <v>1273038</v>
      </c>
      <c r="C3997" s="0" t="n">
        <v>1273058</v>
      </c>
      <c r="D3997" s="0" t="s">
        <v>13322</v>
      </c>
      <c r="E3997" s="0" t="s">
        <v>13323</v>
      </c>
      <c r="F3997" s="0" t="s">
        <v>90</v>
      </c>
      <c r="G3997" s="0" t="s">
        <v>20</v>
      </c>
      <c r="H3997" s="0" t="n">
        <v>86</v>
      </c>
      <c r="I3997" s="0" t="s">
        <v>13327</v>
      </c>
      <c r="J3997" s="0" t="s">
        <v>13328</v>
      </c>
      <c r="K3997" s="0" t="s">
        <v>13329</v>
      </c>
      <c r="L3997" s="0" t="str">
        <f aca="false">HYPERLINK("https://www.ncbi.nlm.nih.gov/nuccore/CP000058.1?report=graph&amp;tracks=[key:gene_model_track,Options:GeneOnly]&amp;mk=1273104:1273123|offset_21|444444,1273039:1273058|offset_86|00cc00,1273018:1273037|offset_107|444444,1272992:1273011|offset_133|444444&amp;v=1272903:1273211&amp;c=444444", "offset 86")</f>
        <v>offset 86</v>
      </c>
    </row>
    <row r="3998" customFormat="false" ht="12.8" hidden="false" customHeight="false" outlineLevel="0" collapsed="false">
      <c r="A3998" s="0" t="s">
        <v>12</v>
      </c>
      <c r="B3998" s="0" t="n">
        <v>1273017</v>
      </c>
      <c r="C3998" s="0" t="n">
        <v>1273037</v>
      </c>
      <c r="D3998" s="0" t="s">
        <v>13322</v>
      </c>
      <c r="E3998" s="0" t="s">
        <v>13323</v>
      </c>
      <c r="F3998" s="0" t="s">
        <v>90</v>
      </c>
      <c r="G3998" s="0" t="s">
        <v>20</v>
      </c>
      <c r="H3998" s="0" t="n">
        <v>107</v>
      </c>
      <c r="I3998" s="0" t="s">
        <v>13330</v>
      </c>
      <c r="J3998" s="0" t="s">
        <v>13331</v>
      </c>
      <c r="K3998" s="0" t="s">
        <v>13332</v>
      </c>
      <c r="L3998" s="0" t="str">
        <f aca="false">HYPERLINK("https://www.ncbi.nlm.nih.gov/nuccore/CP000058.1?report=graph&amp;tracks=[key:gene_model_track,Options:GeneOnly]&amp;mk=1273104:1273123|offset_21|444444,1273039:1273058|offset_86|444444,1273018:1273037|offset_107|00cc00,1272992:1273011|offset_133|444444&amp;v=1272903:1273211&amp;c=444444", "offset 107")</f>
        <v>offset 107</v>
      </c>
    </row>
    <row r="3999" customFormat="false" ht="12.8" hidden="false" customHeight="false" outlineLevel="0" collapsed="false">
      <c r="A3999" s="0" t="s">
        <v>12</v>
      </c>
      <c r="B3999" s="0" t="n">
        <v>1272991</v>
      </c>
      <c r="C3999" s="0" t="n">
        <v>1273011</v>
      </c>
      <c r="D3999" s="0" t="s">
        <v>13322</v>
      </c>
      <c r="E3999" s="0" t="s">
        <v>13323</v>
      </c>
      <c r="F3999" s="0" t="s">
        <v>90</v>
      </c>
      <c r="G3999" s="0" t="s">
        <v>32</v>
      </c>
      <c r="H3999" s="0" t="n">
        <v>133</v>
      </c>
      <c r="I3999" s="0" t="s">
        <v>13333</v>
      </c>
      <c r="J3999" s="0" t="s">
        <v>13334</v>
      </c>
      <c r="K3999" s="0" t="s">
        <v>13335</v>
      </c>
      <c r="L3999" s="0" t="str">
        <f aca="false">HYPERLINK("https://www.ncbi.nlm.nih.gov/nuccore/CP000058.1?report=graph&amp;tracks=[key:gene_model_track,Options:GeneOnly]&amp;mk=1273104:1273123|offset_21|444444,1273039:1273058|offset_86|444444,1273018:1273037|offset_107|444444,1272992:1273011|offset_133|00cc00&amp;v=1272903:1273211&amp;c=444444", "offset 133")</f>
        <v>offset 133</v>
      </c>
    </row>
    <row r="4000" customFormat="false" ht="12.8" hidden="false" customHeight="false" outlineLevel="0" collapsed="false">
      <c r="A4000" s="0" t="s">
        <v>12</v>
      </c>
      <c r="B4000" s="0" t="n">
        <v>1275262</v>
      </c>
      <c r="C4000" s="0" t="n">
        <v>1275282</v>
      </c>
      <c r="D4000" s="0" t="s">
        <v>13336</v>
      </c>
      <c r="E4000" s="0" t="s">
        <v>75</v>
      </c>
      <c r="F4000" s="0" t="s">
        <v>90</v>
      </c>
      <c r="G4000" s="0" t="s">
        <v>36</v>
      </c>
      <c r="H4000" s="0" t="n">
        <v>16</v>
      </c>
      <c r="I4000" s="0" t="s">
        <v>13337</v>
      </c>
      <c r="J4000" s="0" t="s">
        <v>13338</v>
      </c>
      <c r="K4000" s="0" t="s">
        <v>13339</v>
      </c>
      <c r="L4000" s="0" t="str">
        <f aca="false">HYPERLINK("https://www.ncbi.nlm.nih.gov/nuccore/CP000058.1?report=graph&amp;tracks=[key:gene_model_track,Options:GeneOnly]&amp;mk=1275263:1275282|offset_16|00cc00,1275239:1275258|offset_40|444444,1275215:1275234|offset_64|444444,1275163:1275182|offset_116|444444&amp;v=1275062:1275382&amp;c=444444", "offset 16")</f>
        <v>offset 16</v>
      </c>
    </row>
    <row r="4001" customFormat="false" ht="12.8" hidden="false" customHeight="false" outlineLevel="0" collapsed="false">
      <c r="A4001" s="0" t="s">
        <v>12</v>
      </c>
      <c r="B4001" s="0" t="n">
        <v>1275238</v>
      </c>
      <c r="C4001" s="0" t="n">
        <v>1275258</v>
      </c>
      <c r="D4001" s="0" t="s">
        <v>13336</v>
      </c>
      <c r="E4001" s="0" t="s">
        <v>75</v>
      </c>
      <c r="F4001" s="0" t="s">
        <v>90</v>
      </c>
      <c r="G4001" s="0" t="s">
        <v>36</v>
      </c>
      <c r="H4001" s="0" t="n">
        <v>40</v>
      </c>
      <c r="I4001" s="0" t="s">
        <v>13340</v>
      </c>
      <c r="J4001" s="0" t="s">
        <v>13341</v>
      </c>
      <c r="K4001" s="0" t="s">
        <v>13342</v>
      </c>
      <c r="L4001" s="0" t="str">
        <f aca="false">HYPERLINK("https://www.ncbi.nlm.nih.gov/nuccore/CP000058.1?report=graph&amp;tracks=[key:gene_model_track,Options:GeneOnly]&amp;mk=1275263:1275282|offset_16|444444,1275239:1275258|offset_40|00cc00,1275215:1275234|offset_64|444444,1275163:1275182|offset_116|444444&amp;v=1275062:1275382&amp;c=444444", "offset 40")</f>
        <v>offset 40</v>
      </c>
    </row>
    <row r="4002" customFormat="false" ht="12.8" hidden="false" customHeight="false" outlineLevel="0" collapsed="false">
      <c r="A4002" s="0" t="s">
        <v>12</v>
      </c>
      <c r="B4002" s="0" t="n">
        <v>1275214</v>
      </c>
      <c r="C4002" s="0" t="n">
        <v>1275234</v>
      </c>
      <c r="D4002" s="0" t="s">
        <v>13336</v>
      </c>
      <c r="E4002" s="0" t="s">
        <v>75</v>
      </c>
      <c r="F4002" s="0" t="s">
        <v>90</v>
      </c>
      <c r="G4002" s="0" t="s">
        <v>16</v>
      </c>
      <c r="H4002" s="0" t="n">
        <v>64</v>
      </c>
      <c r="I4002" s="0" t="s">
        <v>13343</v>
      </c>
      <c r="J4002" s="0" t="s">
        <v>13344</v>
      </c>
      <c r="K4002" s="0" t="s">
        <v>13345</v>
      </c>
      <c r="L4002" s="0" t="str">
        <f aca="false">HYPERLINK("https://www.ncbi.nlm.nih.gov/nuccore/CP000058.1?report=graph&amp;tracks=[key:gene_model_track,Options:GeneOnly]&amp;mk=1275263:1275282|offset_16|444444,1275239:1275258|offset_40|444444,1275215:1275234|offset_64|00cc00,1275163:1275182|offset_116|444444&amp;v=1275062:1275382&amp;c=444444", "offset 64")</f>
        <v>offset 64</v>
      </c>
    </row>
    <row r="4003" customFormat="false" ht="12.8" hidden="false" customHeight="false" outlineLevel="0" collapsed="false">
      <c r="A4003" s="0" t="s">
        <v>12</v>
      </c>
      <c r="B4003" s="0" t="n">
        <v>1275162</v>
      </c>
      <c r="C4003" s="0" t="n">
        <v>1275182</v>
      </c>
      <c r="D4003" s="0" t="s">
        <v>13336</v>
      </c>
      <c r="E4003" s="0" t="s">
        <v>75</v>
      </c>
      <c r="F4003" s="0" t="s">
        <v>90</v>
      </c>
      <c r="G4003" s="0" t="s">
        <v>36</v>
      </c>
      <c r="H4003" s="0" t="n">
        <v>116</v>
      </c>
      <c r="I4003" s="0" t="s">
        <v>13346</v>
      </c>
      <c r="J4003" s="0" t="s">
        <v>13347</v>
      </c>
      <c r="K4003" s="0" t="s">
        <v>13348</v>
      </c>
      <c r="L4003" s="0" t="str">
        <f aca="false">HYPERLINK("https://www.ncbi.nlm.nih.gov/nuccore/CP000058.1?report=graph&amp;tracks=[key:gene_model_track,Options:GeneOnly]&amp;mk=1275263:1275282|offset_16|444444,1275239:1275258|offset_40|444444,1275215:1275234|offset_64|444444,1275163:1275182|offset_116|00cc00&amp;v=1275062:1275382&amp;c=444444", "offset 116")</f>
        <v>offset 116</v>
      </c>
    </row>
    <row r="4004" customFormat="false" ht="12.8" hidden="false" customHeight="false" outlineLevel="0" collapsed="false">
      <c r="A4004" s="0" t="s">
        <v>12</v>
      </c>
      <c r="B4004" s="0" t="n">
        <v>1276755</v>
      </c>
      <c r="C4004" s="0" t="n">
        <v>1276775</v>
      </c>
      <c r="D4004" s="0" t="s">
        <v>13349</v>
      </c>
      <c r="E4004" s="0" t="s">
        <v>75</v>
      </c>
      <c r="F4004" s="0" t="s">
        <v>90</v>
      </c>
      <c r="G4004" s="0" t="s">
        <v>36</v>
      </c>
      <c r="H4004" s="0" t="n">
        <v>18</v>
      </c>
      <c r="I4004" s="0" t="s">
        <v>13350</v>
      </c>
      <c r="J4004" s="0" t="s">
        <v>13351</v>
      </c>
      <c r="K4004" s="0" t="s">
        <v>13352</v>
      </c>
      <c r="L4004" s="0" t="str">
        <f aca="false">HYPERLINK("https://www.ncbi.nlm.nih.gov/nuccore/CP000058.1?report=graph&amp;tracks=[key:gene_model_track,Options:GeneOnly]&amp;mk=1276756:1276775|offset_18|00cc00,1276721:1276740|offset_53|444444,1276699:1276718|offset_75|444444,1276672:1276691|offset_102|444444&amp;v=1276555:1276891&amp;c=444444", "offset 18")</f>
        <v>offset 18</v>
      </c>
    </row>
    <row r="4005" customFormat="false" ht="12.8" hidden="false" customHeight="false" outlineLevel="0" collapsed="false">
      <c r="A4005" s="0" t="s">
        <v>12</v>
      </c>
      <c r="B4005" s="0" t="n">
        <v>1276720</v>
      </c>
      <c r="C4005" s="0" t="n">
        <v>1276740</v>
      </c>
      <c r="D4005" s="0" t="s">
        <v>13349</v>
      </c>
      <c r="E4005" s="0" t="s">
        <v>75</v>
      </c>
      <c r="F4005" s="0" t="s">
        <v>90</v>
      </c>
      <c r="G4005" s="0" t="s">
        <v>36</v>
      </c>
      <c r="H4005" s="0" t="n">
        <v>53</v>
      </c>
      <c r="I4005" s="0" t="s">
        <v>13353</v>
      </c>
      <c r="J4005" s="0" t="s">
        <v>13354</v>
      </c>
      <c r="K4005" s="0" t="s">
        <v>13355</v>
      </c>
      <c r="L4005" s="0" t="str">
        <f aca="false">HYPERLINK("https://www.ncbi.nlm.nih.gov/nuccore/CP000058.1?report=graph&amp;tracks=[key:gene_model_track,Options:GeneOnly]&amp;mk=1276756:1276775|offset_18|444444,1276721:1276740|offset_53|00cc00,1276699:1276718|offset_75|444444,1276672:1276691|offset_102|444444&amp;v=1276555:1276891&amp;c=444444", "offset 53")</f>
        <v>offset 53</v>
      </c>
    </row>
    <row r="4006" customFormat="false" ht="12.8" hidden="false" customHeight="false" outlineLevel="0" collapsed="false">
      <c r="A4006" s="0" t="s">
        <v>12</v>
      </c>
      <c r="B4006" s="0" t="n">
        <v>1276698</v>
      </c>
      <c r="C4006" s="0" t="n">
        <v>1276718</v>
      </c>
      <c r="D4006" s="0" t="s">
        <v>13349</v>
      </c>
      <c r="E4006" s="0" t="s">
        <v>75</v>
      </c>
      <c r="F4006" s="0" t="s">
        <v>90</v>
      </c>
      <c r="G4006" s="0" t="s">
        <v>16</v>
      </c>
      <c r="H4006" s="0" t="n">
        <v>75</v>
      </c>
      <c r="I4006" s="0" t="s">
        <v>13356</v>
      </c>
      <c r="J4006" s="0" t="s">
        <v>13357</v>
      </c>
      <c r="K4006" s="0" t="s">
        <v>13358</v>
      </c>
      <c r="L4006" s="0" t="str">
        <f aca="false">HYPERLINK("https://www.ncbi.nlm.nih.gov/nuccore/CP000058.1?report=graph&amp;tracks=[key:gene_model_track,Options:GeneOnly]&amp;mk=1276756:1276775|offset_18|444444,1276721:1276740|offset_53|444444,1276699:1276718|offset_75|00cc00,1276672:1276691|offset_102|444444&amp;v=1276555:1276891&amp;c=444444", "offset 75")</f>
        <v>offset 75</v>
      </c>
    </row>
    <row r="4007" customFormat="false" ht="12.8" hidden="false" customHeight="false" outlineLevel="0" collapsed="false">
      <c r="A4007" s="0" t="s">
        <v>12</v>
      </c>
      <c r="B4007" s="0" t="n">
        <v>1276671</v>
      </c>
      <c r="C4007" s="0" t="n">
        <v>1276691</v>
      </c>
      <c r="D4007" s="0" t="s">
        <v>13349</v>
      </c>
      <c r="E4007" s="0" t="s">
        <v>75</v>
      </c>
      <c r="F4007" s="0" t="s">
        <v>90</v>
      </c>
      <c r="G4007" s="0" t="s">
        <v>16</v>
      </c>
      <c r="H4007" s="0" t="n">
        <v>102</v>
      </c>
      <c r="I4007" s="0" t="s">
        <v>13359</v>
      </c>
      <c r="J4007" s="0" t="s">
        <v>13360</v>
      </c>
      <c r="K4007" s="0" t="s">
        <v>13361</v>
      </c>
      <c r="L4007" s="0" t="str">
        <f aca="false">HYPERLINK("https://www.ncbi.nlm.nih.gov/nuccore/CP000058.1?report=graph&amp;tracks=[key:gene_model_track,Options:GeneOnly]&amp;mk=1276756:1276775|offset_18|444444,1276721:1276740|offset_53|444444,1276699:1276718|offset_75|444444,1276672:1276691|offset_102|00cc00&amp;v=1276555:1276891&amp;c=444444", "offset 102")</f>
        <v>offset 102</v>
      </c>
    </row>
    <row r="4008" customFormat="false" ht="12.8" hidden="false" customHeight="false" outlineLevel="0" collapsed="false">
      <c r="A4008" s="0" t="s">
        <v>12</v>
      </c>
      <c r="B4008" s="0" t="n">
        <v>1277721</v>
      </c>
      <c r="C4008" s="0" t="n">
        <v>1277741</v>
      </c>
      <c r="D4008" s="0" t="s">
        <v>13362</v>
      </c>
      <c r="E4008" s="0" t="s">
        <v>75</v>
      </c>
      <c r="F4008" s="0" t="s">
        <v>90</v>
      </c>
      <c r="G4008" s="0" t="s">
        <v>36</v>
      </c>
      <c r="H4008" s="0" t="n">
        <v>16</v>
      </c>
      <c r="I4008" s="0" t="s">
        <v>13363</v>
      </c>
      <c r="J4008" s="0" t="s">
        <v>13364</v>
      </c>
      <c r="K4008" s="0" t="s">
        <v>13365</v>
      </c>
      <c r="L4008" s="0" t="str">
        <f aca="false">HYPERLINK("https://www.ncbi.nlm.nih.gov/nuccore/CP000058.1?report=graph&amp;tracks=[key:gene_model_track,Options:GeneOnly]&amp;mk=1277722:1277741|offset_16|00cc00,1277679:1277698|offset_59|444444,1277638:1277657|offset_100|444444,1277603:1277622|offset_135|444444&amp;v=1277521:1277822&amp;c=444444", "offset 16")</f>
        <v>offset 16</v>
      </c>
    </row>
    <row r="4009" customFormat="false" ht="12.8" hidden="false" customHeight="false" outlineLevel="0" collapsed="false">
      <c r="A4009" s="0" t="s">
        <v>12</v>
      </c>
      <c r="B4009" s="0" t="n">
        <v>1277678</v>
      </c>
      <c r="C4009" s="0" t="n">
        <v>1277698</v>
      </c>
      <c r="D4009" s="0" t="s">
        <v>13362</v>
      </c>
      <c r="E4009" s="0" t="s">
        <v>75</v>
      </c>
      <c r="F4009" s="0" t="s">
        <v>90</v>
      </c>
      <c r="G4009" s="0" t="s">
        <v>16</v>
      </c>
      <c r="H4009" s="0" t="n">
        <v>59</v>
      </c>
      <c r="I4009" s="0" t="s">
        <v>13366</v>
      </c>
      <c r="J4009" s="0" t="s">
        <v>13367</v>
      </c>
      <c r="K4009" s="0" t="s">
        <v>13368</v>
      </c>
      <c r="L4009" s="0" t="str">
        <f aca="false">HYPERLINK("https://www.ncbi.nlm.nih.gov/nuccore/CP000058.1?report=graph&amp;tracks=[key:gene_model_track,Options:GeneOnly]&amp;mk=1277722:1277741|offset_16|444444,1277679:1277698|offset_59|00cc00,1277638:1277657|offset_100|444444,1277603:1277622|offset_135|444444&amp;v=1277521:1277822&amp;c=444444", "offset 59")</f>
        <v>offset 59</v>
      </c>
    </row>
    <row r="4010" customFormat="false" ht="12.8" hidden="false" customHeight="false" outlineLevel="0" collapsed="false">
      <c r="A4010" s="0" t="s">
        <v>12</v>
      </c>
      <c r="B4010" s="0" t="n">
        <v>1277637</v>
      </c>
      <c r="C4010" s="0" t="n">
        <v>1277657</v>
      </c>
      <c r="D4010" s="0" t="s">
        <v>13362</v>
      </c>
      <c r="E4010" s="0" t="s">
        <v>75</v>
      </c>
      <c r="F4010" s="0" t="s">
        <v>90</v>
      </c>
      <c r="G4010" s="0" t="s">
        <v>16</v>
      </c>
      <c r="H4010" s="0" t="n">
        <v>100</v>
      </c>
      <c r="I4010" s="0" t="s">
        <v>13369</v>
      </c>
      <c r="J4010" s="0" t="s">
        <v>13370</v>
      </c>
      <c r="K4010" s="0" t="s">
        <v>13371</v>
      </c>
      <c r="L4010" s="0" t="str">
        <f aca="false">HYPERLINK("https://www.ncbi.nlm.nih.gov/nuccore/CP000058.1?report=graph&amp;tracks=[key:gene_model_track,Options:GeneOnly]&amp;mk=1277722:1277741|offset_16|444444,1277679:1277698|offset_59|444444,1277638:1277657|offset_100|00cc00,1277603:1277622|offset_135|444444&amp;v=1277521:1277822&amp;c=444444", "offset 100")</f>
        <v>offset 100</v>
      </c>
    </row>
    <row r="4011" customFormat="false" ht="12.8" hidden="false" customHeight="false" outlineLevel="0" collapsed="false">
      <c r="A4011" s="0" t="s">
        <v>12</v>
      </c>
      <c r="B4011" s="0" t="n">
        <v>1277602</v>
      </c>
      <c r="C4011" s="0" t="n">
        <v>1277622</v>
      </c>
      <c r="D4011" s="0" t="s">
        <v>13362</v>
      </c>
      <c r="E4011" s="0" t="s">
        <v>75</v>
      </c>
      <c r="F4011" s="0" t="s">
        <v>90</v>
      </c>
      <c r="G4011" s="0" t="s">
        <v>16</v>
      </c>
      <c r="H4011" s="0" t="n">
        <v>135</v>
      </c>
      <c r="I4011" s="0" t="s">
        <v>13372</v>
      </c>
      <c r="J4011" s="0" t="s">
        <v>13373</v>
      </c>
      <c r="K4011" s="0" t="s">
        <v>13374</v>
      </c>
      <c r="L4011" s="0" t="str">
        <f aca="false">HYPERLINK("https://www.ncbi.nlm.nih.gov/nuccore/CP000058.1?report=graph&amp;tracks=[key:gene_model_track,Options:GeneOnly]&amp;mk=1277722:1277741|offset_16|444444,1277679:1277698|offset_59|444444,1277638:1277657|offset_100|444444,1277603:1277622|offset_135|00cc00&amp;v=1277521:1277822&amp;c=444444", "offset 135")</f>
        <v>offset 135</v>
      </c>
    </row>
    <row r="4012" customFormat="false" ht="12.8" hidden="false" customHeight="false" outlineLevel="0" collapsed="false">
      <c r="A4012" s="0" t="s">
        <v>12</v>
      </c>
      <c r="B4012" s="0" t="n">
        <v>1278220</v>
      </c>
      <c r="C4012" s="0" t="n">
        <v>1278240</v>
      </c>
      <c r="D4012" s="0" t="s">
        <v>13375</v>
      </c>
      <c r="E4012" s="0" t="s">
        <v>75</v>
      </c>
      <c r="F4012" s="0" t="s">
        <v>15</v>
      </c>
      <c r="G4012" s="0" t="s">
        <v>16</v>
      </c>
      <c r="H4012" s="0" t="n">
        <v>35</v>
      </c>
      <c r="I4012" s="0" t="s">
        <v>13376</v>
      </c>
      <c r="J4012" s="0" t="s">
        <v>13377</v>
      </c>
      <c r="K4012" s="0" t="s">
        <v>13378</v>
      </c>
      <c r="L4012" s="0" t="str">
        <f aca="false">HYPERLINK("https://www.ncbi.nlm.nih.gov/nuccore/CP000058.1?report=graph&amp;tracks=[key:gene_model_track,Options:GeneOnly]&amp;mk=1278221:1278240|offset_35|00cc00,1278310:1278329|offset_124|444444,1278332:1278351|offset_146|444444,1278392:1278411|offset_206|444444&amp;v=1278020:1278611&amp;c=444444", "offset 35")</f>
        <v>offset 35</v>
      </c>
    </row>
    <row r="4013" customFormat="false" ht="12.8" hidden="false" customHeight="false" outlineLevel="0" collapsed="false">
      <c r="A4013" s="0" t="s">
        <v>12</v>
      </c>
      <c r="B4013" s="0" t="n">
        <v>1278309</v>
      </c>
      <c r="C4013" s="0" t="n">
        <v>1278329</v>
      </c>
      <c r="D4013" s="0" t="s">
        <v>13375</v>
      </c>
      <c r="E4013" s="0" t="s">
        <v>75</v>
      </c>
      <c r="F4013" s="0" t="s">
        <v>15</v>
      </c>
      <c r="G4013" s="0" t="s">
        <v>20</v>
      </c>
      <c r="H4013" s="0" t="n">
        <v>124</v>
      </c>
      <c r="I4013" s="0" t="s">
        <v>13379</v>
      </c>
      <c r="J4013" s="0" t="s">
        <v>13380</v>
      </c>
      <c r="K4013" s="0" t="s">
        <v>13381</v>
      </c>
      <c r="L4013" s="0" t="str">
        <f aca="false">HYPERLINK("https://www.ncbi.nlm.nih.gov/nuccore/CP000058.1?report=graph&amp;tracks=[key:gene_model_track,Options:GeneOnly]&amp;mk=1278221:1278240|offset_35|444444,1278310:1278329|offset_124|00cc00,1278332:1278351|offset_146|444444,1278392:1278411|offset_206|444444&amp;v=1278020:1278611&amp;c=444444", "offset 124")</f>
        <v>offset 124</v>
      </c>
    </row>
    <row r="4014" customFormat="false" ht="12.8" hidden="false" customHeight="false" outlineLevel="0" collapsed="false">
      <c r="A4014" s="0" t="s">
        <v>12</v>
      </c>
      <c r="B4014" s="0" t="n">
        <v>1278331</v>
      </c>
      <c r="C4014" s="0" t="n">
        <v>1278351</v>
      </c>
      <c r="D4014" s="0" t="s">
        <v>13375</v>
      </c>
      <c r="E4014" s="0" t="s">
        <v>75</v>
      </c>
      <c r="F4014" s="0" t="s">
        <v>15</v>
      </c>
      <c r="G4014" s="0" t="s">
        <v>20</v>
      </c>
      <c r="H4014" s="0" t="n">
        <v>146</v>
      </c>
      <c r="I4014" s="0" t="s">
        <v>13382</v>
      </c>
      <c r="J4014" s="0" t="s">
        <v>13383</v>
      </c>
      <c r="K4014" s="0" t="s">
        <v>13384</v>
      </c>
      <c r="L4014" s="0" t="str">
        <f aca="false">HYPERLINK("https://www.ncbi.nlm.nih.gov/nuccore/CP000058.1?report=graph&amp;tracks=[key:gene_model_track,Options:GeneOnly]&amp;mk=1278221:1278240|offset_35|444444,1278310:1278329|offset_124|444444,1278332:1278351|offset_146|00cc00,1278392:1278411|offset_206|444444&amp;v=1278020:1278611&amp;c=444444", "offset 146")</f>
        <v>offset 146</v>
      </c>
    </row>
    <row r="4015" customFormat="false" ht="12.8" hidden="false" customHeight="false" outlineLevel="0" collapsed="false">
      <c r="A4015" s="0" t="s">
        <v>12</v>
      </c>
      <c r="B4015" s="0" t="n">
        <v>1278391</v>
      </c>
      <c r="C4015" s="0" t="n">
        <v>1278411</v>
      </c>
      <c r="D4015" s="0" t="s">
        <v>13375</v>
      </c>
      <c r="E4015" s="0" t="s">
        <v>75</v>
      </c>
      <c r="F4015" s="0" t="s">
        <v>15</v>
      </c>
      <c r="G4015" s="0" t="s">
        <v>20</v>
      </c>
      <c r="H4015" s="0" t="n">
        <v>206</v>
      </c>
      <c r="I4015" s="0" t="s">
        <v>13385</v>
      </c>
      <c r="J4015" s="0" t="s">
        <v>13386</v>
      </c>
      <c r="K4015" s="0" t="s">
        <v>13387</v>
      </c>
      <c r="L4015" s="0" t="str">
        <f aca="false">HYPERLINK("https://www.ncbi.nlm.nih.gov/nuccore/CP000058.1?report=graph&amp;tracks=[key:gene_model_track,Options:GeneOnly]&amp;mk=1278221:1278240|offset_35|444444,1278310:1278329|offset_124|444444,1278332:1278351|offset_146|444444,1278392:1278411|offset_206|00cc00&amp;v=1278020:1278611&amp;c=444444", "offset 206")</f>
        <v>offset 206</v>
      </c>
    </row>
    <row r="4016" customFormat="false" ht="12.8" hidden="false" customHeight="false" outlineLevel="0" collapsed="false">
      <c r="A4016" s="0" t="s">
        <v>12</v>
      </c>
      <c r="B4016" s="0" t="n">
        <v>1278973</v>
      </c>
      <c r="C4016" s="0" t="n">
        <v>1278993</v>
      </c>
      <c r="D4016" s="0" t="s">
        <v>13388</v>
      </c>
      <c r="E4016" s="0" t="s">
        <v>75</v>
      </c>
      <c r="F4016" s="0" t="s">
        <v>90</v>
      </c>
      <c r="G4016" s="0" t="s">
        <v>32</v>
      </c>
      <c r="H4016" s="0" t="n">
        <v>74</v>
      </c>
      <c r="I4016" s="0" t="s">
        <v>13389</v>
      </c>
      <c r="J4016" s="0" t="s">
        <v>13390</v>
      </c>
      <c r="K4016" s="0" t="s">
        <v>13391</v>
      </c>
      <c r="L4016" s="0" t="str">
        <f aca="false">HYPERLINK("https://www.ncbi.nlm.nih.gov/nuccore/CP000058.1?report=graph&amp;tracks=[key:gene_model_track,Options:GeneOnly]&amp;mk=1278974:1278993|offset_74|00cc00,1278925:1278944|offset_123|444444,1278889:1278908|offset_159|444444,1278823:1278842|offset_225|444444&amp;v=1278773:1279042&amp;c=444444", "offset 74")</f>
        <v>offset 74</v>
      </c>
    </row>
    <row r="4017" customFormat="false" ht="12.8" hidden="false" customHeight="false" outlineLevel="0" collapsed="false">
      <c r="A4017" s="0" t="s">
        <v>12</v>
      </c>
      <c r="B4017" s="0" t="n">
        <v>1278924</v>
      </c>
      <c r="C4017" s="0" t="n">
        <v>1278944</v>
      </c>
      <c r="D4017" s="0" t="s">
        <v>13388</v>
      </c>
      <c r="E4017" s="0" t="s">
        <v>75</v>
      </c>
      <c r="F4017" s="0" t="s">
        <v>90</v>
      </c>
      <c r="G4017" s="0" t="s">
        <v>16</v>
      </c>
      <c r="H4017" s="0" t="n">
        <v>123</v>
      </c>
      <c r="I4017" s="0" t="s">
        <v>13392</v>
      </c>
      <c r="J4017" s="0" t="s">
        <v>13393</v>
      </c>
      <c r="K4017" s="0" t="s">
        <v>13394</v>
      </c>
      <c r="L4017" s="0" t="str">
        <f aca="false">HYPERLINK("https://www.ncbi.nlm.nih.gov/nuccore/CP000058.1?report=graph&amp;tracks=[key:gene_model_track,Options:GeneOnly]&amp;mk=1278974:1278993|offset_74|444444,1278925:1278944|offset_123|00cc00,1278889:1278908|offset_159|444444,1278823:1278842|offset_225|444444&amp;v=1278773:1279042&amp;c=444444", "offset 123")</f>
        <v>offset 123</v>
      </c>
    </row>
    <row r="4018" customFormat="false" ht="12.8" hidden="false" customHeight="false" outlineLevel="0" collapsed="false">
      <c r="A4018" s="0" t="s">
        <v>12</v>
      </c>
      <c r="B4018" s="0" t="n">
        <v>1278888</v>
      </c>
      <c r="C4018" s="0" t="n">
        <v>1278908</v>
      </c>
      <c r="D4018" s="0" t="s">
        <v>13388</v>
      </c>
      <c r="E4018" s="0" t="s">
        <v>75</v>
      </c>
      <c r="F4018" s="0" t="s">
        <v>90</v>
      </c>
      <c r="G4018" s="0" t="s">
        <v>32</v>
      </c>
      <c r="H4018" s="0" t="n">
        <v>159</v>
      </c>
      <c r="I4018" s="0" t="s">
        <v>13395</v>
      </c>
      <c r="J4018" s="0" t="s">
        <v>13396</v>
      </c>
      <c r="K4018" s="0" t="s">
        <v>13397</v>
      </c>
      <c r="L4018" s="0" t="str">
        <f aca="false">HYPERLINK("https://www.ncbi.nlm.nih.gov/nuccore/CP000058.1?report=graph&amp;tracks=[key:gene_model_track,Options:GeneOnly]&amp;mk=1278974:1278993|offset_74|444444,1278925:1278944|offset_123|444444,1278889:1278908|offset_159|00cc00,1278823:1278842|offset_225|444444&amp;v=1278773:1279042&amp;c=444444", "offset 159")</f>
        <v>offset 159</v>
      </c>
    </row>
    <row r="4019" customFormat="false" ht="12.8" hidden="false" customHeight="false" outlineLevel="0" collapsed="false">
      <c r="A4019" s="0" t="s">
        <v>12</v>
      </c>
      <c r="B4019" s="0" t="n">
        <v>1278822</v>
      </c>
      <c r="C4019" s="0" t="n">
        <v>1278842</v>
      </c>
      <c r="D4019" s="0" t="s">
        <v>13388</v>
      </c>
      <c r="E4019" s="0" t="s">
        <v>75</v>
      </c>
      <c r="F4019" s="0" t="s">
        <v>90</v>
      </c>
      <c r="G4019" s="0" t="s">
        <v>16</v>
      </c>
      <c r="H4019" s="0" t="n">
        <v>225</v>
      </c>
      <c r="I4019" s="0" t="s">
        <v>13398</v>
      </c>
      <c r="J4019" s="0" t="s">
        <v>13399</v>
      </c>
      <c r="K4019" s="0" t="s">
        <v>13400</v>
      </c>
      <c r="L4019" s="0" t="str">
        <f aca="false">HYPERLINK("https://www.ncbi.nlm.nih.gov/nuccore/CP000058.1?report=graph&amp;tracks=[key:gene_model_track,Options:GeneOnly]&amp;mk=1278974:1278993|offset_74|444444,1278925:1278944|offset_123|444444,1278889:1278908|offset_159|444444,1278823:1278842|offset_225|00cc00&amp;v=1278773:1279042&amp;c=444444", "offset 225")</f>
        <v>offset 225</v>
      </c>
    </row>
    <row r="4020" customFormat="false" ht="12.8" hidden="false" customHeight="false" outlineLevel="0" collapsed="false">
      <c r="A4020" s="0" t="s">
        <v>12</v>
      </c>
      <c r="B4020" s="0" t="n">
        <v>1281240</v>
      </c>
      <c r="C4020" s="0" t="n">
        <v>1281260</v>
      </c>
      <c r="D4020" s="0" t="s">
        <v>13401</v>
      </c>
      <c r="E4020" s="0" t="s">
        <v>75</v>
      </c>
      <c r="F4020" s="0" t="s">
        <v>15</v>
      </c>
      <c r="G4020" s="0" t="s">
        <v>36</v>
      </c>
      <c r="H4020" s="0" t="n">
        <v>23</v>
      </c>
      <c r="I4020" s="0" t="s">
        <v>13402</v>
      </c>
      <c r="J4020" s="0" t="s">
        <v>13403</v>
      </c>
      <c r="K4020" s="0" t="s">
        <v>13404</v>
      </c>
      <c r="L4020" s="0" t="str">
        <f aca="false">HYPERLINK("https://www.ncbi.nlm.nih.gov/nuccore/CP000058.1?report=graph&amp;tracks=[key:gene_model_track,Options:GeneOnly]&amp;mk=1281241:1281260|offset_23|00cc00,1281261:1281280|offset_43|444444,1281305:1281324|offset_87|444444,1281333:1281352|offset_115|444444&amp;v=1281040:1281552&amp;c=444444", "offset 23")</f>
        <v>offset 23</v>
      </c>
    </row>
    <row r="4021" customFormat="false" ht="12.8" hidden="false" customHeight="false" outlineLevel="0" collapsed="false">
      <c r="A4021" s="0" t="s">
        <v>12</v>
      </c>
      <c r="B4021" s="0" t="n">
        <v>1281260</v>
      </c>
      <c r="C4021" s="0" t="n">
        <v>1281280</v>
      </c>
      <c r="D4021" s="0" t="s">
        <v>13401</v>
      </c>
      <c r="E4021" s="0" t="s">
        <v>75</v>
      </c>
      <c r="F4021" s="0" t="s">
        <v>15</v>
      </c>
      <c r="G4021" s="0" t="s">
        <v>20</v>
      </c>
      <c r="H4021" s="0" t="n">
        <v>43</v>
      </c>
      <c r="I4021" s="0" t="s">
        <v>13405</v>
      </c>
      <c r="J4021" s="0" t="s">
        <v>13406</v>
      </c>
      <c r="K4021" s="0" t="s">
        <v>13407</v>
      </c>
      <c r="L4021" s="0" t="str">
        <f aca="false">HYPERLINK("https://www.ncbi.nlm.nih.gov/nuccore/CP000058.1?report=graph&amp;tracks=[key:gene_model_track,Options:GeneOnly]&amp;mk=1281241:1281260|offset_23|444444,1281261:1281280|offset_43|00cc00,1281305:1281324|offset_87|444444,1281333:1281352|offset_115|444444&amp;v=1281040:1281552&amp;c=444444", "offset 43")</f>
        <v>offset 43</v>
      </c>
    </row>
    <row r="4022" customFormat="false" ht="12.8" hidden="false" customHeight="false" outlineLevel="0" collapsed="false">
      <c r="A4022" s="0" t="s">
        <v>12</v>
      </c>
      <c r="B4022" s="0" t="n">
        <v>1281304</v>
      </c>
      <c r="C4022" s="0" t="n">
        <v>1281324</v>
      </c>
      <c r="D4022" s="0" t="s">
        <v>13401</v>
      </c>
      <c r="E4022" s="0" t="s">
        <v>75</v>
      </c>
      <c r="F4022" s="0" t="s">
        <v>15</v>
      </c>
      <c r="G4022" s="0" t="s">
        <v>36</v>
      </c>
      <c r="H4022" s="0" t="n">
        <v>87</v>
      </c>
      <c r="I4022" s="0" t="s">
        <v>13408</v>
      </c>
      <c r="J4022" s="0" t="s">
        <v>13409</v>
      </c>
      <c r="K4022" s="0" t="s">
        <v>13410</v>
      </c>
      <c r="L4022" s="0" t="str">
        <f aca="false">HYPERLINK("https://www.ncbi.nlm.nih.gov/nuccore/CP000058.1?report=graph&amp;tracks=[key:gene_model_track,Options:GeneOnly]&amp;mk=1281241:1281260|offset_23|444444,1281261:1281280|offset_43|444444,1281305:1281324|offset_87|00cc00,1281333:1281352|offset_115|444444&amp;v=1281040:1281552&amp;c=444444", "offset 87")</f>
        <v>offset 87</v>
      </c>
    </row>
    <row r="4023" customFormat="false" ht="12.8" hidden="false" customHeight="false" outlineLevel="0" collapsed="false">
      <c r="A4023" s="0" t="s">
        <v>12</v>
      </c>
      <c r="B4023" s="0" t="n">
        <v>1281332</v>
      </c>
      <c r="C4023" s="0" t="n">
        <v>1281352</v>
      </c>
      <c r="D4023" s="0" t="s">
        <v>13401</v>
      </c>
      <c r="E4023" s="0" t="s">
        <v>75</v>
      </c>
      <c r="F4023" s="0" t="s">
        <v>15</v>
      </c>
      <c r="G4023" s="0" t="s">
        <v>32</v>
      </c>
      <c r="H4023" s="0" t="n">
        <v>115</v>
      </c>
      <c r="I4023" s="0" t="s">
        <v>13411</v>
      </c>
      <c r="J4023" s="0" t="s">
        <v>13412</v>
      </c>
      <c r="K4023" s="0" t="s">
        <v>13413</v>
      </c>
      <c r="L4023" s="0" t="str">
        <f aca="false">HYPERLINK("https://www.ncbi.nlm.nih.gov/nuccore/CP000058.1?report=graph&amp;tracks=[key:gene_model_track,Options:GeneOnly]&amp;mk=1281241:1281260|offset_23|444444,1281261:1281280|offset_43|444444,1281305:1281324|offset_87|444444,1281333:1281352|offset_115|00cc00&amp;v=1281040:1281552&amp;c=444444", "offset 115")</f>
        <v>offset 115</v>
      </c>
    </row>
    <row r="4024" customFormat="false" ht="12.8" hidden="false" customHeight="false" outlineLevel="0" collapsed="false">
      <c r="A4024" s="0" t="s">
        <v>12</v>
      </c>
      <c r="B4024" s="0" t="n">
        <v>1282726</v>
      </c>
      <c r="C4024" s="0" t="n">
        <v>1282746</v>
      </c>
      <c r="D4024" s="0" t="s">
        <v>13414</v>
      </c>
      <c r="E4024" s="0" t="s">
        <v>75</v>
      </c>
      <c r="F4024" s="0" t="s">
        <v>90</v>
      </c>
      <c r="G4024" s="0" t="s">
        <v>20</v>
      </c>
      <c r="H4024" s="0" t="n">
        <v>12</v>
      </c>
      <c r="I4024" s="0" t="s">
        <v>13415</v>
      </c>
      <c r="J4024" s="0" t="s">
        <v>13416</v>
      </c>
      <c r="K4024" s="0" t="s">
        <v>13417</v>
      </c>
      <c r="L4024" s="0" t="str">
        <f aca="false">HYPERLINK("https://www.ncbi.nlm.nih.gov/nuccore/CP000058.1?report=graph&amp;tracks=[key:gene_model_track,Options:GeneOnly]&amp;mk=1282727:1282746|offset_12|00cc00,1282698:1282717|offset_41|444444,1282642:1282661|offset_97|444444,1282615:1282634|offset_124|444444&amp;v=1282526:1282834&amp;c=444444", "offset 12")</f>
        <v>offset 12</v>
      </c>
    </row>
    <row r="4025" customFormat="false" ht="12.8" hidden="false" customHeight="false" outlineLevel="0" collapsed="false">
      <c r="A4025" s="0" t="s">
        <v>12</v>
      </c>
      <c r="B4025" s="0" t="n">
        <v>1282697</v>
      </c>
      <c r="C4025" s="0" t="n">
        <v>1282717</v>
      </c>
      <c r="D4025" s="0" t="s">
        <v>13414</v>
      </c>
      <c r="E4025" s="0" t="s">
        <v>75</v>
      </c>
      <c r="F4025" s="0" t="s">
        <v>90</v>
      </c>
      <c r="G4025" s="0" t="s">
        <v>36</v>
      </c>
      <c r="H4025" s="0" t="n">
        <v>41</v>
      </c>
      <c r="I4025" s="0" t="s">
        <v>13418</v>
      </c>
      <c r="J4025" s="0" t="s">
        <v>13419</v>
      </c>
      <c r="K4025" s="0" t="s">
        <v>13420</v>
      </c>
      <c r="L4025" s="0" t="str">
        <f aca="false">HYPERLINK("https://www.ncbi.nlm.nih.gov/nuccore/CP000058.1?report=graph&amp;tracks=[key:gene_model_track,Options:GeneOnly]&amp;mk=1282727:1282746|offset_12|444444,1282698:1282717|offset_41|00cc00,1282642:1282661|offset_97|444444,1282615:1282634|offset_124|444444&amp;v=1282526:1282834&amp;c=444444", "offset 41")</f>
        <v>offset 41</v>
      </c>
    </row>
    <row r="4026" customFormat="false" ht="12.8" hidden="false" customHeight="false" outlineLevel="0" collapsed="false">
      <c r="A4026" s="0" t="s">
        <v>12</v>
      </c>
      <c r="B4026" s="0" t="n">
        <v>1282641</v>
      </c>
      <c r="C4026" s="0" t="n">
        <v>1282661</v>
      </c>
      <c r="D4026" s="0" t="s">
        <v>13414</v>
      </c>
      <c r="E4026" s="0" t="s">
        <v>75</v>
      </c>
      <c r="F4026" s="0" t="s">
        <v>90</v>
      </c>
      <c r="G4026" s="0" t="s">
        <v>36</v>
      </c>
      <c r="H4026" s="0" t="n">
        <v>97</v>
      </c>
      <c r="I4026" s="0" t="s">
        <v>13421</v>
      </c>
      <c r="J4026" s="0" t="s">
        <v>13422</v>
      </c>
      <c r="K4026" s="0" t="s">
        <v>13423</v>
      </c>
      <c r="L4026" s="0" t="str">
        <f aca="false">HYPERLINK("https://www.ncbi.nlm.nih.gov/nuccore/CP000058.1?report=graph&amp;tracks=[key:gene_model_track,Options:GeneOnly]&amp;mk=1282727:1282746|offset_12|444444,1282698:1282717|offset_41|444444,1282642:1282661|offset_97|00cc00,1282615:1282634|offset_124|444444&amp;v=1282526:1282834&amp;c=444444", "offset 97")</f>
        <v>offset 97</v>
      </c>
    </row>
    <row r="4027" customFormat="false" ht="12.8" hidden="false" customHeight="false" outlineLevel="0" collapsed="false">
      <c r="A4027" s="0" t="s">
        <v>12</v>
      </c>
      <c r="B4027" s="0" t="n">
        <v>1282614</v>
      </c>
      <c r="C4027" s="0" t="n">
        <v>1282634</v>
      </c>
      <c r="D4027" s="0" t="s">
        <v>13414</v>
      </c>
      <c r="E4027" s="0" t="s">
        <v>75</v>
      </c>
      <c r="F4027" s="0" t="s">
        <v>90</v>
      </c>
      <c r="G4027" s="0" t="s">
        <v>32</v>
      </c>
      <c r="H4027" s="0" t="n">
        <v>124</v>
      </c>
      <c r="I4027" s="0" t="s">
        <v>13424</v>
      </c>
      <c r="J4027" s="0" t="s">
        <v>13425</v>
      </c>
      <c r="K4027" s="0" t="s">
        <v>13426</v>
      </c>
      <c r="L4027" s="0" t="str">
        <f aca="false">HYPERLINK("https://www.ncbi.nlm.nih.gov/nuccore/CP000058.1?report=graph&amp;tracks=[key:gene_model_track,Options:GeneOnly]&amp;mk=1282727:1282746|offset_12|444444,1282698:1282717|offset_41|444444,1282642:1282661|offset_97|444444,1282615:1282634|offset_124|00cc00&amp;v=1282526:1282834&amp;c=444444", "offset 124")</f>
        <v>offset 124</v>
      </c>
    </row>
    <row r="4028" customFormat="false" ht="12.8" hidden="false" customHeight="false" outlineLevel="0" collapsed="false">
      <c r="A4028" s="0" t="s">
        <v>12</v>
      </c>
      <c r="B4028" s="0" t="n">
        <v>1284084</v>
      </c>
      <c r="C4028" s="0" t="n">
        <v>1284104</v>
      </c>
      <c r="D4028" s="0" t="s">
        <v>13427</v>
      </c>
      <c r="E4028" s="0" t="s">
        <v>75</v>
      </c>
      <c r="F4028" s="0" t="s">
        <v>90</v>
      </c>
      <c r="G4028" s="0" t="s">
        <v>32</v>
      </c>
      <c r="H4028" s="0" t="n">
        <v>11</v>
      </c>
      <c r="I4028" s="0" t="s">
        <v>13428</v>
      </c>
      <c r="J4028" s="0" t="s">
        <v>13429</v>
      </c>
      <c r="K4028" s="0" t="s">
        <v>13430</v>
      </c>
      <c r="L4028" s="0" t="str">
        <f aca="false">HYPERLINK("https://www.ncbi.nlm.nih.gov/nuccore/CP000058.1?report=graph&amp;tracks=[key:gene_model_track,Options:GeneOnly]&amp;mk=1284085:1284104|offset_11|00cc00,1284049:1284068|offset_47|444444,1284026:1284045|offset_70|444444,1283989:1284008|offset_107|444444&amp;v=1283884:1284208&amp;c=444444", "offset 11")</f>
        <v>offset 11</v>
      </c>
    </row>
    <row r="4029" customFormat="false" ht="12.8" hidden="false" customHeight="false" outlineLevel="0" collapsed="false">
      <c r="A4029" s="0" t="s">
        <v>12</v>
      </c>
      <c r="B4029" s="0" t="n">
        <v>1284048</v>
      </c>
      <c r="C4029" s="0" t="n">
        <v>1284068</v>
      </c>
      <c r="D4029" s="0" t="s">
        <v>13427</v>
      </c>
      <c r="E4029" s="0" t="s">
        <v>75</v>
      </c>
      <c r="F4029" s="0" t="s">
        <v>90</v>
      </c>
      <c r="G4029" s="0" t="s">
        <v>16</v>
      </c>
      <c r="H4029" s="0" t="n">
        <v>47</v>
      </c>
      <c r="I4029" s="0" t="s">
        <v>13431</v>
      </c>
      <c r="J4029" s="0" t="s">
        <v>13432</v>
      </c>
      <c r="K4029" s="0" t="s">
        <v>13433</v>
      </c>
      <c r="L4029" s="0" t="str">
        <f aca="false">HYPERLINK("https://www.ncbi.nlm.nih.gov/nuccore/CP000058.1?report=graph&amp;tracks=[key:gene_model_track,Options:GeneOnly]&amp;mk=1284085:1284104|offset_11|444444,1284049:1284068|offset_47|00cc00,1284026:1284045|offset_70|444444,1283989:1284008|offset_107|444444&amp;v=1283884:1284208&amp;c=444444", "offset 47")</f>
        <v>offset 47</v>
      </c>
    </row>
    <row r="4030" customFormat="false" ht="12.8" hidden="false" customHeight="false" outlineLevel="0" collapsed="false">
      <c r="A4030" s="0" t="s">
        <v>12</v>
      </c>
      <c r="B4030" s="0" t="n">
        <v>1284025</v>
      </c>
      <c r="C4030" s="0" t="n">
        <v>1284045</v>
      </c>
      <c r="D4030" s="0" t="s">
        <v>13427</v>
      </c>
      <c r="E4030" s="0" t="s">
        <v>75</v>
      </c>
      <c r="F4030" s="0" t="s">
        <v>90</v>
      </c>
      <c r="G4030" s="0" t="s">
        <v>32</v>
      </c>
      <c r="H4030" s="0" t="n">
        <v>70</v>
      </c>
      <c r="I4030" s="0" t="s">
        <v>13434</v>
      </c>
      <c r="J4030" s="0" t="s">
        <v>13435</v>
      </c>
      <c r="K4030" s="0" t="s">
        <v>13436</v>
      </c>
      <c r="L4030" s="0" t="str">
        <f aca="false">HYPERLINK("https://www.ncbi.nlm.nih.gov/nuccore/CP000058.1?report=graph&amp;tracks=[key:gene_model_track,Options:GeneOnly]&amp;mk=1284085:1284104|offset_11|444444,1284049:1284068|offset_47|444444,1284026:1284045|offset_70|00cc00,1283989:1284008|offset_107|444444&amp;v=1283884:1284208&amp;c=444444", "offset 70")</f>
        <v>offset 70</v>
      </c>
    </row>
    <row r="4031" customFormat="false" ht="12.8" hidden="false" customHeight="false" outlineLevel="0" collapsed="false">
      <c r="A4031" s="0" t="s">
        <v>12</v>
      </c>
      <c r="B4031" s="0" t="n">
        <v>1283988</v>
      </c>
      <c r="C4031" s="0" t="n">
        <v>1284008</v>
      </c>
      <c r="D4031" s="0" t="s">
        <v>13427</v>
      </c>
      <c r="E4031" s="0" t="s">
        <v>75</v>
      </c>
      <c r="F4031" s="0" t="s">
        <v>90</v>
      </c>
      <c r="G4031" s="0" t="s">
        <v>20</v>
      </c>
      <c r="H4031" s="0" t="n">
        <v>107</v>
      </c>
      <c r="I4031" s="0" t="s">
        <v>13437</v>
      </c>
      <c r="J4031" s="0" t="s">
        <v>13438</v>
      </c>
      <c r="K4031" s="0" t="s">
        <v>13439</v>
      </c>
      <c r="L4031" s="0" t="str">
        <f aca="false">HYPERLINK("https://www.ncbi.nlm.nih.gov/nuccore/CP000058.1?report=graph&amp;tracks=[key:gene_model_track,Options:GeneOnly]&amp;mk=1284085:1284104|offset_11|444444,1284049:1284068|offset_47|444444,1284026:1284045|offset_70|444444,1283989:1284008|offset_107|00cc00&amp;v=1283884:1284208&amp;c=444444", "offset 107")</f>
        <v>offset 107</v>
      </c>
    </row>
    <row r="4032" customFormat="false" ht="12.8" hidden="false" customHeight="false" outlineLevel="0" collapsed="false">
      <c r="A4032" s="0" t="s">
        <v>12</v>
      </c>
      <c r="B4032" s="0" t="n">
        <v>1286612</v>
      </c>
      <c r="C4032" s="0" t="n">
        <v>1286632</v>
      </c>
      <c r="D4032" s="0" t="s">
        <v>13440</v>
      </c>
      <c r="E4032" s="0" t="s">
        <v>75</v>
      </c>
      <c r="F4032" s="0" t="s">
        <v>90</v>
      </c>
      <c r="G4032" s="0" t="s">
        <v>16</v>
      </c>
      <c r="H4032" s="0" t="n">
        <v>16</v>
      </c>
      <c r="I4032" s="0" t="s">
        <v>13441</v>
      </c>
      <c r="J4032" s="0" t="s">
        <v>13442</v>
      </c>
      <c r="K4032" s="0" t="s">
        <v>13443</v>
      </c>
      <c r="L4032" s="0" t="str">
        <f aca="false">HYPERLINK("https://www.ncbi.nlm.nih.gov/nuccore/CP000058.1?report=graph&amp;tracks=[key:gene_model_track,Options:GeneOnly]&amp;mk=1286613:1286632|offset_16|00cc00,1286581:1286600|offset_48|444444,1286555:1286574|offset_74|444444,1286523:1286542|offset_106|444444&amp;v=1286412:1286742&amp;c=444444", "offset 16")</f>
        <v>offset 16</v>
      </c>
    </row>
    <row r="4033" customFormat="false" ht="12.8" hidden="false" customHeight="false" outlineLevel="0" collapsed="false">
      <c r="A4033" s="0" t="s">
        <v>12</v>
      </c>
      <c r="B4033" s="0" t="n">
        <v>1286580</v>
      </c>
      <c r="C4033" s="0" t="n">
        <v>1286600</v>
      </c>
      <c r="D4033" s="0" t="s">
        <v>13440</v>
      </c>
      <c r="E4033" s="0" t="s">
        <v>75</v>
      </c>
      <c r="F4033" s="0" t="s">
        <v>90</v>
      </c>
      <c r="G4033" s="0" t="s">
        <v>32</v>
      </c>
      <c r="H4033" s="0" t="n">
        <v>48</v>
      </c>
      <c r="I4033" s="0" t="s">
        <v>13444</v>
      </c>
      <c r="J4033" s="0" t="s">
        <v>13445</v>
      </c>
      <c r="K4033" s="0" t="s">
        <v>13446</v>
      </c>
      <c r="L4033" s="0" t="str">
        <f aca="false">HYPERLINK("https://www.ncbi.nlm.nih.gov/nuccore/CP000058.1?report=graph&amp;tracks=[key:gene_model_track,Options:GeneOnly]&amp;mk=1286613:1286632|offset_16|444444,1286581:1286600|offset_48|00cc00,1286555:1286574|offset_74|444444,1286523:1286542|offset_106|444444&amp;v=1286412:1286742&amp;c=444444", "offset 48")</f>
        <v>offset 48</v>
      </c>
    </row>
    <row r="4034" customFormat="false" ht="12.8" hidden="false" customHeight="false" outlineLevel="0" collapsed="false">
      <c r="A4034" s="0" t="s">
        <v>12</v>
      </c>
      <c r="B4034" s="0" t="n">
        <v>1286554</v>
      </c>
      <c r="C4034" s="0" t="n">
        <v>1286574</v>
      </c>
      <c r="D4034" s="0" t="s">
        <v>13440</v>
      </c>
      <c r="E4034" s="0" t="s">
        <v>75</v>
      </c>
      <c r="F4034" s="0" t="s">
        <v>90</v>
      </c>
      <c r="G4034" s="0" t="s">
        <v>32</v>
      </c>
      <c r="H4034" s="0" t="n">
        <v>74</v>
      </c>
      <c r="I4034" s="0" t="s">
        <v>13447</v>
      </c>
      <c r="J4034" s="0" t="s">
        <v>13448</v>
      </c>
      <c r="K4034" s="0" t="s">
        <v>13449</v>
      </c>
      <c r="L4034" s="0" t="str">
        <f aca="false">HYPERLINK("https://www.ncbi.nlm.nih.gov/nuccore/CP000058.1?report=graph&amp;tracks=[key:gene_model_track,Options:GeneOnly]&amp;mk=1286613:1286632|offset_16|444444,1286581:1286600|offset_48|444444,1286555:1286574|offset_74|00cc00,1286523:1286542|offset_106|444444&amp;v=1286412:1286742&amp;c=444444", "offset 74")</f>
        <v>offset 74</v>
      </c>
    </row>
    <row r="4035" customFormat="false" ht="12.8" hidden="false" customHeight="false" outlineLevel="0" collapsed="false">
      <c r="A4035" s="0" t="s">
        <v>12</v>
      </c>
      <c r="B4035" s="0" t="n">
        <v>1286522</v>
      </c>
      <c r="C4035" s="0" t="n">
        <v>1286542</v>
      </c>
      <c r="D4035" s="0" t="s">
        <v>13440</v>
      </c>
      <c r="E4035" s="0" t="s">
        <v>75</v>
      </c>
      <c r="F4035" s="0" t="s">
        <v>90</v>
      </c>
      <c r="G4035" s="0" t="s">
        <v>20</v>
      </c>
      <c r="H4035" s="0" t="n">
        <v>106</v>
      </c>
      <c r="I4035" s="0" t="s">
        <v>13450</v>
      </c>
      <c r="J4035" s="0" t="s">
        <v>13451</v>
      </c>
      <c r="K4035" s="0" t="s">
        <v>13452</v>
      </c>
      <c r="L4035" s="0" t="str">
        <f aca="false">HYPERLINK("https://www.ncbi.nlm.nih.gov/nuccore/CP000058.1?report=graph&amp;tracks=[key:gene_model_track,Options:GeneOnly]&amp;mk=1286613:1286632|offset_16|444444,1286581:1286600|offset_48|444444,1286555:1286574|offset_74|444444,1286523:1286542|offset_106|00cc00&amp;v=1286412:1286742&amp;c=444444", "offset 106")</f>
        <v>offset 106</v>
      </c>
    </row>
    <row r="4036" customFormat="false" ht="12.8" hidden="false" customHeight="false" outlineLevel="0" collapsed="false">
      <c r="A4036" s="0" t="s">
        <v>12</v>
      </c>
      <c r="B4036" s="0" t="n">
        <v>1288080</v>
      </c>
      <c r="C4036" s="0" t="n">
        <v>1288100</v>
      </c>
      <c r="D4036" s="0" t="s">
        <v>13453</v>
      </c>
      <c r="E4036" s="0" t="s">
        <v>75</v>
      </c>
      <c r="F4036" s="0" t="s">
        <v>90</v>
      </c>
      <c r="G4036" s="0" t="s">
        <v>36</v>
      </c>
      <c r="H4036" s="0" t="n">
        <v>8</v>
      </c>
      <c r="I4036" s="0" t="s">
        <v>13454</v>
      </c>
      <c r="J4036" s="0" t="s">
        <v>13455</v>
      </c>
      <c r="K4036" s="0" t="s">
        <v>13456</v>
      </c>
      <c r="L4036" s="0" t="str">
        <f aca="false">HYPERLINK("https://www.ncbi.nlm.nih.gov/nuccore/CP000058.1?report=graph&amp;tracks=[key:gene_model_track,Options:GeneOnly]&amp;mk=1288081:1288100|offset_8|00cc00,1288055:1288074|offset_34|444444,1287968:1287987|offset_121|444444,1287895:1287914|offset_194|444444&amp;v=1287880:1288114&amp;c=444444", "offset 8")</f>
        <v>offset 8</v>
      </c>
    </row>
    <row r="4037" customFormat="false" ht="12.8" hidden="false" customHeight="false" outlineLevel="0" collapsed="false">
      <c r="A4037" s="0" t="s">
        <v>12</v>
      </c>
      <c r="B4037" s="0" t="n">
        <v>1288054</v>
      </c>
      <c r="C4037" s="0" t="n">
        <v>1288074</v>
      </c>
      <c r="D4037" s="0" t="s">
        <v>13453</v>
      </c>
      <c r="E4037" s="0" t="s">
        <v>75</v>
      </c>
      <c r="F4037" s="0" t="s">
        <v>90</v>
      </c>
      <c r="G4037" s="0" t="s">
        <v>16</v>
      </c>
      <c r="H4037" s="0" t="n">
        <v>34</v>
      </c>
      <c r="I4037" s="0" t="s">
        <v>13457</v>
      </c>
      <c r="J4037" s="0" t="s">
        <v>13458</v>
      </c>
      <c r="K4037" s="0" t="s">
        <v>13459</v>
      </c>
      <c r="L4037" s="0" t="str">
        <f aca="false">HYPERLINK("https://www.ncbi.nlm.nih.gov/nuccore/CP000058.1?report=graph&amp;tracks=[key:gene_model_track,Options:GeneOnly]&amp;mk=1288081:1288100|offset_8|444444,1288055:1288074|offset_34|00cc00,1287968:1287987|offset_121|444444,1287895:1287914|offset_194|444444&amp;v=1287880:1288114&amp;c=444444", "offset 34")</f>
        <v>offset 34</v>
      </c>
    </row>
    <row r="4038" customFormat="false" ht="12.8" hidden="false" customHeight="false" outlineLevel="0" collapsed="false">
      <c r="A4038" s="0" t="s">
        <v>12</v>
      </c>
      <c r="B4038" s="0" t="n">
        <v>1287967</v>
      </c>
      <c r="C4038" s="0" t="n">
        <v>1287987</v>
      </c>
      <c r="D4038" s="0" t="s">
        <v>13453</v>
      </c>
      <c r="E4038" s="0" t="s">
        <v>75</v>
      </c>
      <c r="F4038" s="0" t="s">
        <v>90</v>
      </c>
      <c r="G4038" s="0" t="s">
        <v>20</v>
      </c>
      <c r="H4038" s="0" t="n">
        <v>121</v>
      </c>
      <c r="I4038" s="0" t="s">
        <v>13460</v>
      </c>
      <c r="J4038" s="0" t="s">
        <v>13461</v>
      </c>
      <c r="K4038" s="0" t="s">
        <v>13462</v>
      </c>
      <c r="L4038" s="0" t="str">
        <f aca="false">HYPERLINK("https://www.ncbi.nlm.nih.gov/nuccore/CP000058.1?report=graph&amp;tracks=[key:gene_model_track,Options:GeneOnly]&amp;mk=1288081:1288100|offset_8|444444,1288055:1288074|offset_34|444444,1287968:1287987|offset_121|00cc00,1287895:1287914|offset_194|444444&amp;v=1287880:1288114&amp;c=444444", "offset 121")</f>
        <v>offset 121</v>
      </c>
    </row>
    <row r="4039" customFormat="false" ht="12.8" hidden="false" customHeight="false" outlineLevel="0" collapsed="false">
      <c r="A4039" s="0" t="s">
        <v>12</v>
      </c>
      <c r="B4039" s="0" t="n">
        <v>1287894</v>
      </c>
      <c r="C4039" s="0" t="n">
        <v>1287914</v>
      </c>
      <c r="D4039" s="0" t="s">
        <v>13453</v>
      </c>
      <c r="E4039" s="0" t="s">
        <v>75</v>
      </c>
      <c r="F4039" s="0" t="s">
        <v>90</v>
      </c>
      <c r="G4039" s="0" t="s">
        <v>20</v>
      </c>
      <c r="H4039" s="0" t="n">
        <v>194</v>
      </c>
      <c r="I4039" s="0" t="s">
        <v>13463</v>
      </c>
      <c r="J4039" s="0" t="s">
        <v>13464</v>
      </c>
      <c r="K4039" s="0" t="s">
        <v>13465</v>
      </c>
      <c r="L4039" s="0" t="str">
        <f aca="false">HYPERLINK("https://www.ncbi.nlm.nih.gov/nuccore/CP000058.1?report=graph&amp;tracks=[key:gene_model_track,Options:GeneOnly]&amp;mk=1288081:1288100|offset_8|444444,1288055:1288074|offset_34|444444,1287968:1287987|offset_121|444444,1287895:1287914|offset_194|00cc00&amp;v=1287880:1288114&amp;c=444444", "offset 194")</f>
        <v>offset 194</v>
      </c>
    </row>
    <row r="4040" customFormat="false" ht="12.8" hidden="false" customHeight="false" outlineLevel="0" collapsed="false">
      <c r="A4040" s="0" t="s">
        <v>12</v>
      </c>
      <c r="B4040" s="0" t="n">
        <v>1288673</v>
      </c>
      <c r="C4040" s="0" t="n">
        <v>1288693</v>
      </c>
      <c r="D4040" s="0" t="s">
        <v>13466</v>
      </c>
      <c r="E4040" s="0" t="s">
        <v>75</v>
      </c>
      <c r="F4040" s="0" t="s">
        <v>90</v>
      </c>
      <c r="G4040" s="0" t="s">
        <v>16</v>
      </c>
      <c r="H4040" s="0" t="n">
        <v>8</v>
      </c>
      <c r="I4040" s="0" t="s">
        <v>13467</v>
      </c>
      <c r="J4040" s="0" t="s">
        <v>13468</v>
      </c>
      <c r="K4040" s="0" t="s">
        <v>13469</v>
      </c>
      <c r="L4040" s="0" t="str">
        <f aca="false">HYPERLINK("https://www.ncbi.nlm.nih.gov/nuccore/CP000058.1?report=graph&amp;tracks=[key:gene_model_track,Options:GeneOnly]&amp;mk=1288674:1288693|offset_8|00cc00,1288631:1288650|offset_51|444444,1288607:1288626|offset_75|444444,1288583:1288602|offset_99|444444&amp;v=1288473:1288802&amp;c=444444", "offset 8")</f>
        <v>offset 8</v>
      </c>
    </row>
    <row r="4041" customFormat="false" ht="12.8" hidden="false" customHeight="false" outlineLevel="0" collapsed="false">
      <c r="A4041" s="0" t="s">
        <v>12</v>
      </c>
      <c r="B4041" s="0" t="n">
        <v>1288630</v>
      </c>
      <c r="C4041" s="0" t="n">
        <v>1288650</v>
      </c>
      <c r="D4041" s="0" t="s">
        <v>13466</v>
      </c>
      <c r="E4041" s="0" t="s">
        <v>75</v>
      </c>
      <c r="F4041" s="0" t="s">
        <v>90</v>
      </c>
      <c r="G4041" s="0" t="s">
        <v>32</v>
      </c>
      <c r="H4041" s="0" t="n">
        <v>51</v>
      </c>
      <c r="I4041" s="0" t="s">
        <v>13470</v>
      </c>
      <c r="J4041" s="0" t="s">
        <v>13471</v>
      </c>
      <c r="K4041" s="0" t="s">
        <v>13472</v>
      </c>
      <c r="L4041" s="0" t="str">
        <f aca="false">HYPERLINK("https://www.ncbi.nlm.nih.gov/nuccore/CP000058.1?report=graph&amp;tracks=[key:gene_model_track,Options:GeneOnly]&amp;mk=1288674:1288693|offset_8|444444,1288631:1288650|offset_51|00cc00,1288607:1288626|offset_75|444444,1288583:1288602|offset_99|444444&amp;v=1288473:1288802&amp;c=444444", "offset 51")</f>
        <v>offset 51</v>
      </c>
    </row>
    <row r="4042" customFormat="false" ht="12.8" hidden="false" customHeight="false" outlineLevel="0" collapsed="false">
      <c r="A4042" s="0" t="s">
        <v>12</v>
      </c>
      <c r="B4042" s="0" t="n">
        <v>1288606</v>
      </c>
      <c r="C4042" s="0" t="n">
        <v>1288626</v>
      </c>
      <c r="D4042" s="0" t="s">
        <v>13466</v>
      </c>
      <c r="E4042" s="0" t="s">
        <v>75</v>
      </c>
      <c r="F4042" s="0" t="s">
        <v>90</v>
      </c>
      <c r="G4042" s="0" t="s">
        <v>36</v>
      </c>
      <c r="H4042" s="0" t="n">
        <v>75</v>
      </c>
      <c r="I4042" s="0" t="s">
        <v>13473</v>
      </c>
      <c r="J4042" s="0" t="s">
        <v>13474</v>
      </c>
      <c r="K4042" s="0" t="s">
        <v>13475</v>
      </c>
      <c r="L4042" s="0" t="str">
        <f aca="false">HYPERLINK("https://www.ncbi.nlm.nih.gov/nuccore/CP000058.1?report=graph&amp;tracks=[key:gene_model_track,Options:GeneOnly]&amp;mk=1288674:1288693|offset_8|444444,1288631:1288650|offset_51|444444,1288607:1288626|offset_75|00cc00,1288583:1288602|offset_99|444444&amp;v=1288473:1288802&amp;c=444444", "offset 75")</f>
        <v>offset 75</v>
      </c>
    </row>
    <row r="4043" customFormat="false" ht="12.8" hidden="false" customHeight="false" outlineLevel="0" collapsed="false">
      <c r="A4043" s="0" t="s">
        <v>12</v>
      </c>
      <c r="B4043" s="0" t="n">
        <v>1288582</v>
      </c>
      <c r="C4043" s="0" t="n">
        <v>1288602</v>
      </c>
      <c r="D4043" s="0" t="s">
        <v>13466</v>
      </c>
      <c r="E4043" s="0" t="s">
        <v>75</v>
      </c>
      <c r="F4043" s="0" t="s">
        <v>90</v>
      </c>
      <c r="G4043" s="0" t="s">
        <v>36</v>
      </c>
      <c r="H4043" s="0" t="n">
        <v>99</v>
      </c>
      <c r="I4043" s="0" t="s">
        <v>13476</v>
      </c>
      <c r="J4043" s="0" t="s">
        <v>13477</v>
      </c>
      <c r="K4043" s="0" t="s">
        <v>13478</v>
      </c>
      <c r="L4043" s="0" t="str">
        <f aca="false">HYPERLINK("https://www.ncbi.nlm.nih.gov/nuccore/CP000058.1?report=graph&amp;tracks=[key:gene_model_track,Options:GeneOnly]&amp;mk=1288674:1288693|offset_8|444444,1288631:1288650|offset_51|444444,1288607:1288626|offset_75|444444,1288583:1288602|offset_99|00cc00&amp;v=1288473:1288802&amp;c=444444", "offset 99")</f>
        <v>offset 99</v>
      </c>
    </row>
    <row r="4044" customFormat="false" ht="12.8" hidden="false" customHeight="false" outlineLevel="0" collapsed="false">
      <c r="A4044" s="0" t="s">
        <v>12</v>
      </c>
      <c r="B4044" s="0" t="n">
        <v>1288807</v>
      </c>
      <c r="C4044" s="0" t="n">
        <v>1288827</v>
      </c>
      <c r="D4044" s="0" t="s">
        <v>13479</v>
      </c>
      <c r="E4044" s="0" t="s">
        <v>75</v>
      </c>
      <c r="F4044" s="0" t="s">
        <v>15</v>
      </c>
      <c r="G4044" s="0" t="s">
        <v>20</v>
      </c>
      <c r="H4044" s="0" t="n">
        <v>0</v>
      </c>
      <c r="I4044" s="0" t="s">
        <v>13480</v>
      </c>
      <c r="J4044" s="0" t="s">
        <v>13481</v>
      </c>
      <c r="K4044" s="0" t="s">
        <v>13482</v>
      </c>
      <c r="L4044" s="0" t="str">
        <f aca="false">HYPERLINK("https://www.ncbi.nlm.nih.gov/nuccore/CP000058.1?report=graph&amp;tracks=[key:gene_model_track,Options:GeneOnly]&amp;mk=1288808:1288827|offset_0|00cc00,1288844:1288863|offset_36|444444,1288866:1288885|offset_58|444444,1288902:1288921|offset_94|444444&amp;v=1288607:1289121&amp;c=444444", "offset 0")</f>
        <v>offset 0</v>
      </c>
    </row>
    <row r="4045" customFormat="false" ht="12.8" hidden="false" customHeight="false" outlineLevel="0" collapsed="false">
      <c r="A4045" s="0" t="s">
        <v>12</v>
      </c>
      <c r="B4045" s="0" t="n">
        <v>1288843</v>
      </c>
      <c r="C4045" s="0" t="n">
        <v>1288863</v>
      </c>
      <c r="D4045" s="0" t="s">
        <v>13479</v>
      </c>
      <c r="E4045" s="0" t="s">
        <v>75</v>
      </c>
      <c r="F4045" s="0" t="s">
        <v>15</v>
      </c>
      <c r="G4045" s="0" t="s">
        <v>16</v>
      </c>
      <c r="H4045" s="0" t="n">
        <v>36</v>
      </c>
      <c r="I4045" s="0" t="s">
        <v>13483</v>
      </c>
      <c r="J4045" s="0" t="s">
        <v>13484</v>
      </c>
      <c r="K4045" s="0" t="s">
        <v>13485</v>
      </c>
      <c r="L4045" s="0" t="str">
        <f aca="false">HYPERLINK("https://www.ncbi.nlm.nih.gov/nuccore/CP000058.1?report=graph&amp;tracks=[key:gene_model_track,Options:GeneOnly]&amp;mk=1288808:1288827|offset_0|444444,1288844:1288863|offset_36|00cc00,1288866:1288885|offset_58|444444,1288902:1288921|offset_94|444444&amp;v=1288607:1289121&amp;c=444444", "offset 36")</f>
        <v>offset 36</v>
      </c>
    </row>
    <row r="4046" customFormat="false" ht="12.8" hidden="false" customHeight="false" outlineLevel="0" collapsed="false">
      <c r="A4046" s="0" t="s">
        <v>12</v>
      </c>
      <c r="B4046" s="0" t="n">
        <v>1288865</v>
      </c>
      <c r="C4046" s="0" t="n">
        <v>1288885</v>
      </c>
      <c r="D4046" s="0" t="s">
        <v>13479</v>
      </c>
      <c r="E4046" s="0" t="s">
        <v>75</v>
      </c>
      <c r="F4046" s="0" t="s">
        <v>15</v>
      </c>
      <c r="G4046" s="0" t="s">
        <v>32</v>
      </c>
      <c r="H4046" s="0" t="n">
        <v>58</v>
      </c>
      <c r="I4046" s="0" t="s">
        <v>13486</v>
      </c>
      <c r="J4046" s="0" t="s">
        <v>13487</v>
      </c>
      <c r="K4046" s="0" t="s">
        <v>13488</v>
      </c>
      <c r="L4046" s="0" t="str">
        <f aca="false">HYPERLINK("https://www.ncbi.nlm.nih.gov/nuccore/CP000058.1?report=graph&amp;tracks=[key:gene_model_track,Options:GeneOnly]&amp;mk=1288808:1288827|offset_0|444444,1288844:1288863|offset_36|444444,1288866:1288885|offset_58|00cc00,1288902:1288921|offset_94|444444&amp;v=1288607:1289121&amp;c=444444", "offset 58")</f>
        <v>offset 58</v>
      </c>
    </row>
    <row r="4047" customFormat="false" ht="12.8" hidden="false" customHeight="false" outlineLevel="0" collapsed="false">
      <c r="A4047" s="0" t="s">
        <v>12</v>
      </c>
      <c r="B4047" s="0" t="n">
        <v>1288901</v>
      </c>
      <c r="C4047" s="0" t="n">
        <v>1288921</v>
      </c>
      <c r="D4047" s="0" t="s">
        <v>13479</v>
      </c>
      <c r="E4047" s="0" t="s">
        <v>75</v>
      </c>
      <c r="F4047" s="0" t="s">
        <v>15</v>
      </c>
      <c r="G4047" s="0" t="s">
        <v>16</v>
      </c>
      <c r="H4047" s="0" t="n">
        <v>94</v>
      </c>
      <c r="I4047" s="0" t="s">
        <v>13489</v>
      </c>
      <c r="J4047" s="0" t="s">
        <v>13490</v>
      </c>
      <c r="K4047" s="0" t="s">
        <v>13491</v>
      </c>
      <c r="L4047" s="0" t="str">
        <f aca="false">HYPERLINK("https://www.ncbi.nlm.nih.gov/nuccore/CP000058.1?report=graph&amp;tracks=[key:gene_model_track,Options:GeneOnly]&amp;mk=1288808:1288827|offset_0|444444,1288844:1288863|offset_36|444444,1288866:1288885|offset_58|444444,1288902:1288921|offset_94|00cc00&amp;v=1288607:1289121&amp;c=444444", "offset 94")</f>
        <v>offset 94</v>
      </c>
    </row>
    <row r="4048" customFormat="false" ht="12.8" hidden="false" customHeight="false" outlineLevel="0" collapsed="false">
      <c r="A4048" s="0" t="s">
        <v>12</v>
      </c>
      <c r="B4048" s="0" t="n">
        <v>1290719</v>
      </c>
      <c r="C4048" s="0" t="n">
        <v>1290739</v>
      </c>
      <c r="D4048" s="0" t="s">
        <v>13492</v>
      </c>
      <c r="E4048" s="0" t="s">
        <v>75</v>
      </c>
      <c r="F4048" s="0" t="s">
        <v>15</v>
      </c>
      <c r="G4048" s="0" t="s">
        <v>20</v>
      </c>
      <c r="H4048" s="0" t="n">
        <v>16</v>
      </c>
      <c r="I4048" s="0" t="s">
        <v>13493</v>
      </c>
      <c r="J4048" s="0" t="s">
        <v>13494</v>
      </c>
      <c r="K4048" s="0" t="s">
        <v>13495</v>
      </c>
      <c r="L4048" s="0" t="str">
        <f aca="false">HYPERLINK("https://www.ncbi.nlm.nih.gov/nuccore/CP000058.1?report=graph&amp;tracks=[key:gene_model_track,Options:GeneOnly]&amp;mk=1290720:1290739|offset_16|00cc00,1290744:1290763|offset_40|444444,1290769:1290788|offset_65|444444,1290794:1290813|offset_90|444444&amp;v=1290519:1291013&amp;c=444444", "offset 16")</f>
        <v>offset 16</v>
      </c>
    </row>
    <row r="4049" customFormat="false" ht="12.8" hidden="false" customHeight="false" outlineLevel="0" collapsed="false">
      <c r="A4049" s="0" t="s">
        <v>12</v>
      </c>
      <c r="B4049" s="0" t="n">
        <v>1290743</v>
      </c>
      <c r="C4049" s="0" t="n">
        <v>1290763</v>
      </c>
      <c r="D4049" s="0" t="s">
        <v>13492</v>
      </c>
      <c r="E4049" s="0" t="s">
        <v>75</v>
      </c>
      <c r="F4049" s="0" t="s">
        <v>15</v>
      </c>
      <c r="G4049" s="0" t="s">
        <v>20</v>
      </c>
      <c r="H4049" s="0" t="n">
        <v>40</v>
      </c>
      <c r="I4049" s="0" t="s">
        <v>13496</v>
      </c>
      <c r="J4049" s="0" t="s">
        <v>13497</v>
      </c>
      <c r="K4049" s="0" t="s">
        <v>13498</v>
      </c>
      <c r="L4049" s="0" t="str">
        <f aca="false">HYPERLINK("https://www.ncbi.nlm.nih.gov/nuccore/CP000058.1?report=graph&amp;tracks=[key:gene_model_track,Options:GeneOnly]&amp;mk=1290720:1290739|offset_16|444444,1290744:1290763|offset_40|00cc00,1290769:1290788|offset_65|444444,1290794:1290813|offset_90|444444&amp;v=1290519:1291013&amp;c=444444", "offset 40")</f>
        <v>offset 40</v>
      </c>
    </row>
    <row r="4050" customFormat="false" ht="12.8" hidden="false" customHeight="false" outlineLevel="0" collapsed="false">
      <c r="A4050" s="0" t="s">
        <v>12</v>
      </c>
      <c r="B4050" s="0" t="n">
        <v>1290768</v>
      </c>
      <c r="C4050" s="0" t="n">
        <v>1290788</v>
      </c>
      <c r="D4050" s="0" t="s">
        <v>13492</v>
      </c>
      <c r="E4050" s="0" t="s">
        <v>75</v>
      </c>
      <c r="F4050" s="0" t="s">
        <v>15</v>
      </c>
      <c r="G4050" s="0" t="s">
        <v>32</v>
      </c>
      <c r="H4050" s="0" t="n">
        <v>65</v>
      </c>
      <c r="I4050" s="0" t="s">
        <v>13499</v>
      </c>
      <c r="J4050" s="0" t="s">
        <v>13500</v>
      </c>
      <c r="K4050" s="0" t="s">
        <v>13501</v>
      </c>
      <c r="L4050" s="0" t="str">
        <f aca="false">HYPERLINK("https://www.ncbi.nlm.nih.gov/nuccore/CP000058.1?report=graph&amp;tracks=[key:gene_model_track,Options:GeneOnly]&amp;mk=1290720:1290739|offset_16|444444,1290744:1290763|offset_40|444444,1290769:1290788|offset_65|00cc00,1290794:1290813|offset_90|444444&amp;v=1290519:1291013&amp;c=444444", "offset 65")</f>
        <v>offset 65</v>
      </c>
    </row>
    <row r="4051" customFormat="false" ht="12.8" hidden="false" customHeight="false" outlineLevel="0" collapsed="false">
      <c r="A4051" s="0" t="s">
        <v>12</v>
      </c>
      <c r="B4051" s="0" t="n">
        <v>1290793</v>
      </c>
      <c r="C4051" s="0" t="n">
        <v>1290813</v>
      </c>
      <c r="D4051" s="0" t="s">
        <v>13492</v>
      </c>
      <c r="E4051" s="0" t="s">
        <v>75</v>
      </c>
      <c r="F4051" s="0" t="s">
        <v>15</v>
      </c>
      <c r="G4051" s="0" t="s">
        <v>16</v>
      </c>
      <c r="H4051" s="0" t="n">
        <v>90</v>
      </c>
      <c r="I4051" s="0" t="s">
        <v>13502</v>
      </c>
      <c r="J4051" s="0" t="s">
        <v>13503</v>
      </c>
      <c r="K4051" s="0" t="s">
        <v>13504</v>
      </c>
      <c r="L4051" s="0" t="str">
        <f aca="false">HYPERLINK("https://www.ncbi.nlm.nih.gov/nuccore/CP000058.1?report=graph&amp;tracks=[key:gene_model_track,Options:GeneOnly]&amp;mk=1290720:1290739|offset_16|444444,1290744:1290763|offset_40|444444,1290769:1290788|offset_65|444444,1290794:1290813|offset_90|00cc00&amp;v=1290519:1291013&amp;c=444444", "offset 90")</f>
        <v>offset 90</v>
      </c>
    </row>
    <row r="4052" customFormat="false" ht="12.8" hidden="false" customHeight="false" outlineLevel="0" collapsed="false">
      <c r="A4052" s="0" t="s">
        <v>12</v>
      </c>
      <c r="B4052" s="0" t="n">
        <v>1291874</v>
      </c>
      <c r="C4052" s="0" t="n">
        <v>1291894</v>
      </c>
      <c r="D4052" s="0" t="s">
        <v>13505</v>
      </c>
      <c r="E4052" s="0" t="s">
        <v>75</v>
      </c>
      <c r="F4052" s="0" t="s">
        <v>90</v>
      </c>
      <c r="G4052" s="0" t="s">
        <v>36</v>
      </c>
      <c r="H4052" s="0" t="n">
        <v>6</v>
      </c>
      <c r="I4052" s="0" t="s">
        <v>13506</v>
      </c>
      <c r="J4052" s="0" t="s">
        <v>13507</v>
      </c>
      <c r="K4052" s="0" t="s">
        <v>13508</v>
      </c>
      <c r="L4052" s="0" t="str">
        <f aca="false">HYPERLINK("https://www.ncbi.nlm.nih.gov/nuccore/CP000058.1?report=graph&amp;tracks=[key:gene_model_track,Options:GeneOnly]&amp;mk=1291875:1291894|offset_6|00cc00,1291844:1291863|offset_37|444444,1291823:1291842|offset_58|444444,1291737:1291756|offset_144|444444&amp;v=1291674:1291956&amp;c=444444", "offset 6")</f>
        <v>offset 6</v>
      </c>
    </row>
    <row r="4053" customFormat="false" ht="12.8" hidden="false" customHeight="false" outlineLevel="0" collapsed="false">
      <c r="A4053" s="0" t="s">
        <v>12</v>
      </c>
      <c r="B4053" s="0" t="n">
        <v>1291843</v>
      </c>
      <c r="C4053" s="0" t="n">
        <v>1291863</v>
      </c>
      <c r="D4053" s="0" t="s">
        <v>13505</v>
      </c>
      <c r="E4053" s="0" t="s">
        <v>75</v>
      </c>
      <c r="F4053" s="0" t="s">
        <v>90</v>
      </c>
      <c r="G4053" s="0" t="s">
        <v>36</v>
      </c>
      <c r="H4053" s="0" t="n">
        <v>37</v>
      </c>
      <c r="I4053" s="0" t="s">
        <v>13509</v>
      </c>
      <c r="J4053" s="0" t="s">
        <v>13510</v>
      </c>
      <c r="K4053" s="0" t="s">
        <v>13511</v>
      </c>
      <c r="L4053" s="0" t="str">
        <f aca="false">HYPERLINK("https://www.ncbi.nlm.nih.gov/nuccore/CP000058.1?report=graph&amp;tracks=[key:gene_model_track,Options:GeneOnly]&amp;mk=1291875:1291894|offset_6|444444,1291844:1291863|offset_37|00cc00,1291823:1291842|offset_58|444444,1291737:1291756|offset_144|444444&amp;v=1291674:1291956&amp;c=444444", "offset 37")</f>
        <v>offset 37</v>
      </c>
    </row>
    <row r="4054" customFormat="false" ht="12.8" hidden="false" customHeight="false" outlineLevel="0" collapsed="false">
      <c r="A4054" s="0" t="s">
        <v>12</v>
      </c>
      <c r="B4054" s="0" t="n">
        <v>1291822</v>
      </c>
      <c r="C4054" s="0" t="n">
        <v>1291842</v>
      </c>
      <c r="D4054" s="0" t="s">
        <v>13505</v>
      </c>
      <c r="E4054" s="0" t="s">
        <v>75</v>
      </c>
      <c r="F4054" s="0" t="s">
        <v>90</v>
      </c>
      <c r="G4054" s="0" t="s">
        <v>32</v>
      </c>
      <c r="H4054" s="0" t="n">
        <v>58</v>
      </c>
      <c r="I4054" s="0" t="s">
        <v>13512</v>
      </c>
      <c r="J4054" s="0" t="s">
        <v>13513</v>
      </c>
      <c r="K4054" s="0" t="s">
        <v>13514</v>
      </c>
      <c r="L4054" s="0" t="str">
        <f aca="false">HYPERLINK("https://www.ncbi.nlm.nih.gov/nuccore/CP000058.1?report=graph&amp;tracks=[key:gene_model_track,Options:GeneOnly]&amp;mk=1291875:1291894|offset_6|444444,1291844:1291863|offset_37|444444,1291823:1291842|offset_58|00cc00,1291737:1291756|offset_144|444444&amp;v=1291674:1291956&amp;c=444444", "offset 58")</f>
        <v>offset 58</v>
      </c>
    </row>
    <row r="4055" customFormat="false" ht="12.8" hidden="false" customHeight="false" outlineLevel="0" collapsed="false">
      <c r="A4055" s="0" t="s">
        <v>12</v>
      </c>
      <c r="B4055" s="0" t="n">
        <v>1291736</v>
      </c>
      <c r="C4055" s="0" t="n">
        <v>1291756</v>
      </c>
      <c r="D4055" s="0" t="s">
        <v>13505</v>
      </c>
      <c r="E4055" s="0" t="s">
        <v>75</v>
      </c>
      <c r="F4055" s="0" t="s">
        <v>90</v>
      </c>
      <c r="G4055" s="0" t="s">
        <v>16</v>
      </c>
      <c r="H4055" s="0" t="n">
        <v>144</v>
      </c>
      <c r="I4055" s="0" t="s">
        <v>13515</v>
      </c>
      <c r="J4055" s="0" t="s">
        <v>13516</v>
      </c>
      <c r="K4055" s="0" t="s">
        <v>13517</v>
      </c>
      <c r="L4055" s="0" t="str">
        <f aca="false">HYPERLINK("https://www.ncbi.nlm.nih.gov/nuccore/CP000058.1?report=graph&amp;tracks=[key:gene_model_track,Options:GeneOnly]&amp;mk=1291875:1291894|offset_6|444444,1291844:1291863|offset_37|444444,1291823:1291842|offset_58|444444,1291737:1291756|offset_144|00cc00&amp;v=1291674:1291956&amp;c=444444", "offset 144")</f>
        <v>offset 144</v>
      </c>
    </row>
    <row r="4056" customFormat="false" ht="12.8" hidden="false" customHeight="false" outlineLevel="0" collapsed="false">
      <c r="A4056" s="0" t="s">
        <v>12</v>
      </c>
      <c r="B4056" s="0" t="n">
        <v>1292037</v>
      </c>
      <c r="C4056" s="0" t="n">
        <v>1292057</v>
      </c>
      <c r="D4056" s="0" t="s">
        <v>13518</v>
      </c>
      <c r="E4056" s="0" t="s">
        <v>75</v>
      </c>
      <c r="F4056" s="0" t="s">
        <v>15</v>
      </c>
      <c r="G4056" s="0" t="s">
        <v>32</v>
      </c>
      <c r="H4056" s="0" t="n">
        <v>1</v>
      </c>
      <c r="I4056" s="0" t="s">
        <v>13519</v>
      </c>
      <c r="J4056" s="0" t="s">
        <v>13520</v>
      </c>
      <c r="K4056" s="0" t="s">
        <v>13521</v>
      </c>
      <c r="L4056" s="0" t="str">
        <f aca="false">HYPERLINK("https://www.ncbi.nlm.nih.gov/nuccore/CP000058.1?report=graph&amp;tracks=[key:gene_model_track,Options:GeneOnly]&amp;mk=1292038:1292057|offset_1|00cc00,1292086:1292105|offset_49|444444,1292127:1292146|offset_90|444444,1292161:1292180|offset_124|444444&amp;v=1291837:1292380&amp;c=444444", "offset 1")</f>
        <v>offset 1</v>
      </c>
    </row>
    <row r="4057" customFormat="false" ht="12.8" hidden="false" customHeight="false" outlineLevel="0" collapsed="false">
      <c r="A4057" s="0" t="s">
        <v>12</v>
      </c>
      <c r="B4057" s="0" t="n">
        <v>1292085</v>
      </c>
      <c r="C4057" s="0" t="n">
        <v>1292105</v>
      </c>
      <c r="D4057" s="0" t="s">
        <v>13518</v>
      </c>
      <c r="E4057" s="0" t="s">
        <v>75</v>
      </c>
      <c r="F4057" s="0" t="s">
        <v>15</v>
      </c>
      <c r="G4057" s="0" t="s">
        <v>20</v>
      </c>
      <c r="H4057" s="0" t="n">
        <v>49</v>
      </c>
      <c r="I4057" s="0" t="s">
        <v>13522</v>
      </c>
      <c r="J4057" s="0" t="s">
        <v>13523</v>
      </c>
      <c r="K4057" s="0" t="s">
        <v>13524</v>
      </c>
      <c r="L4057" s="0" t="str">
        <f aca="false">HYPERLINK("https://www.ncbi.nlm.nih.gov/nuccore/CP000058.1?report=graph&amp;tracks=[key:gene_model_track,Options:GeneOnly]&amp;mk=1292038:1292057|offset_1|444444,1292086:1292105|offset_49|00cc00,1292127:1292146|offset_90|444444,1292161:1292180|offset_124|444444&amp;v=1291837:1292380&amp;c=444444", "offset 49")</f>
        <v>offset 49</v>
      </c>
    </row>
    <row r="4058" customFormat="false" ht="12.8" hidden="false" customHeight="false" outlineLevel="0" collapsed="false">
      <c r="A4058" s="0" t="s">
        <v>12</v>
      </c>
      <c r="B4058" s="0" t="n">
        <v>1292126</v>
      </c>
      <c r="C4058" s="0" t="n">
        <v>1292146</v>
      </c>
      <c r="D4058" s="0" t="s">
        <v>13518</v>
      </c>
      <c r="E4058" s="0" t="s">
        <v>75</v>
      </c>
      <c r="F4058" s="0" t="s">
        <v>15</v>
      </c>
      <c r="G4058" s="0" t="s">
        <v>16</v>
      </c>
      <c r="H4058" s="0" t="n">
        <v>90</v>
      </c>
      <c r="I4058" s="0" t="s">
        <v>13525</v>
      </c>
      <c r="J4058" s="0" t="s">
        <v>13526</v>
      </c>
      <c r="K4058" s="0" t="s">
        <v>13527</v>
      </c>
      <c r="L4058" s="0" t="str">
        <f aca="false">HYPERLINK("https://www.ncbi.nlm.nih.gov/nuccore/CP000058.1?report=graph&amp;tracks=[key:gene_model_track,Options:GeneOnly]&amp;mk=1292038:1292057|offset_1|444444,1292086:1292105|offset_49|444444,1292127:1292146|offset_90|00cc00,1292161:1292180|offset_124|444444&amp;v=1291837:1292380&amp;c=444444", "offset 90")</f>
        <v>offset 90</v>
      </c>
    </row>
    <row r="4059" customFormat="false" ht="12.8" hidden="false" customHeight="false" outlineLevel="0" collapsed="false">
      <c r="A4059" s="0" t="s">
        <v>12</v>
      </c>
      <c r="B4059" s="0" t="n">
        <v>1292160</v>
      </c>
      <c r="C4059" s="0" t="n">
        <v>1292180</v>
      </c>
      <c r="D4059" s="0" t="s">
        <v>13518</v>
      </c>
      <c r="E4059" s="0" t="s">
        <v>75</v>
      </c>
      <c r="F4059" s="0" t="s">
        <v>15</v>
      </c>
      <c r="G4059" s="0" t="s">
        <v>36</v>
      </c>
      <c r="H4059" s="0" t="n">
        <v>124</v>
      </c>
      <c r="I4059" s="0" t="s">
        <v>13528</v>
      </c>
      <c r="J4059" s="0" t="s">
        <v>13529</v>
      </c>
      <c r="K4059" s="0" t="s">
        <v>13530</v>
      </c>
      <c r="L4059" s="0" t="str">
        <f aca="false">HYPERLINK("https://www.ncbi.nlm.nih.gov/nuccore/CP000058.1?report=graph&amp;tracks=[key:gene_model_track,Options:GeneOnly]&amp;mk=1292038:1292057|offset_1|444444,1292086:1292105|offset_49|444444,1292127:1292146|offset_90|444444,1292161:1292180|offset_124|00cc00&amp;v=1291837:1292380&amp;c=444444", "offset 124")</f>
        <v>offset 124</v>
      </c>
    </row>
    <row r="4060" customFormat="false" ht="12.8" hidden="false" customHeight="false" outlineLevel="0" collapsed="false">
      <c r="A4060" s="0" t="s">
        <v>12</v>
      </c>
      <c r="B4060" s="0" t="n">
        <v>1293930</v>
      </c>
      <c r="C4060" s="0" t="n">
        <v>1293950</v>
      </c>
      <c r="D4060" s="0" t="s">
        <v>13531</v>
      </c>
      <c r="E4060" s="0" t="s">
        <v>75</v>
      </c>
      <c r="F4060" s="0" t="s">
        <v>90</v>
      </c>
      <c r="G4060" s="0" t="s">
        <v>32</v>
      </c>
      <c r="H4060" s="0" t="n">
        <v>0</v>
      </c>
      <c r="I4060" s="0" t="s">
        <v>13532</v>
      </c>
      <c r="J4060" s="0" t="s">
        <v>13533</v>
      </c>
      <c r="K4060" s="0" t="s">
        <v>13534</v>
      </c>
      <c r="L4060" s="0" t="str">
        <f aca="false">HYPERLINK("https://www.ncbi.nlm.nih.gov/nuccore/CP000058.1?report=graph&amp;tracks=[key:gene_model_track,Options:GeneOnly]&amp;mk=1293931:1293950|offset_0|00cc00,1293909:1293928|offset_22|444444,1293875:1293894|offset_56|444444,1293847:1293866|offset_84|444444&amp;v=1293730:1294066&amp;c=444444", "offset 0")</f>
        <v>offset 0</v>
      </c>
    </row>
    <row r="4061" customFormat="false" ht="12.8" hidden="false" customHeight="false" outlineLevel="0" collapsed="false">
      <c r="A4061" s="0" t="s">
        <v>12</v>
      </c>
      <c r="B4061" s="0" t="n">
        <v>1293908</v>
      </c>
      <c r="C4061" s="0" t="n">
        <v>1293928</v>
      </c>
      <c r="D4061" s="0" t="s">
        <v>13531</v>
      </c>
      <c r="E4061" s="0" t="s">
        <v>75</v>
      </c>
      <c r="F4061" s="0" t="s">
        <v>90</v>
      </c>
      <c r="G4061" s="0" t="s">
        <v>20</v>
      </c>
      <c r="H4061" s="0" t="n">
        <v>22</v>
      </c>
      <c r="I4061" s="0" t="s">
        <v>13535</v>
      </c>
      <c r="J4061" s="0" t="s">
        <v>13536</v>
      </c>
      <c r="K4061" s="0" t="s">
        <v>13537</v>
      </c>
      <c r="L4061" s="0" t="str">
        <f aca="false">HYPERLINK("https://www.ncbi.nlm.nih.gov/nuccore/CP000058.1?report=graph&amp;tracks=[key:gene_model_track,Options:GeneOnly]&amp;mk=1293931:1293950|offset_0|444444,1293909:1293928|offset_22|00cc00,1293875:1293894|offset_56|444444,1293847:1293866|offset_84|444444&amp;v=1293730:1294066&amp;c=444444", "offset 22")</f>
        <v>offset 22</v>
      </c>
    </row>
    <row r="4062" customFormat="false" ht="12.8" hidden="false" customHeight="false" outlineLevel="0" collapsed="false">
      <c r="A4062" s="0" t="s">
        <v>12</v>
      </c>
      <c r="B4062" s="0" t="n">
        <v>1293874</v>
      </c>
      <c r="C4062" s="0" t="n">
        <v>1293894</v>
      </c>
      <c r="D4062" s="0" t="s">
        <v>13531</v>
      </c>
      <c r="E4062" s="0" t="s">
        <v>75</v>
      </c>
      <c r="F4062" s="0" t="s">
        <v>90</v>
      </c>
      <c r="G4062" s="0" t="s">
        <v>20</v>
      </c>
      <c r="H4062" s="0" t="n">
        <v>56</v>
      </c>
      <c r="I4062" s="0" t="s">
        <v>13538</v>
      </c>
      <c r="J4062" s="0" t="s">
        <v>13539</v>
      </c>
      <c r="K4062" s="0" t="s">
        <v>13540</v>
      </c>
      <c r="L4062" s="0" t="str">
        <f aca="false">HYPERLINK("https://www.ncbi.nlm.nih.gov/nuccore/CP000058.1?report=graph&amp;tracks=[key:gene_model_track,Options:GeneOnly]&amp;mk=1293931:1293950|offset_0|444444,1293909:1293928|offset_22|444444,1293875:1293894|offset_56|00cc00,1293847:1293866|offset_84|444444&amp;v=1293730:1294066&amp;c=444444", "offset 56")</f>
        <v>offset 56</v>
      </c>
    </row>
    <row r="4063" customFormat="false" ht="12.8" hidden="false" customHeight="false" outlineLevel="0" collapsed="false">
      <c r="A4063" s="0" t="s">
        <v>12</v>
      </c>
      <c r="B4063" s="0" t="n">
        <v>1293846</v>
      </c>
      <c r="C4063" s="0" t="n">
        <v>1293866</v>
      </c>
      <c r="D4063" s="0" t="s">
        <v>13531</v>
      </c>
      <c r="E4063" s="0" t="s">
        <v>75</v>
      </c>
      <c r="F4063" s="0" t="s">
        <v>90</v>
      </c>
      <c r="G4063" s="0" t="s">
        <v>36</v>
      </c>
      <c r="H4063" s="0" t="n">
        <v>84</v>
      </c>
      <c r="I4063" s="0" t="s">
        <v>13541</v>
      </c>
      <c r="J4063" s="0" t="s">
        <v>13542</v>
      </c>
      <c r="K4063" s="0" t="s">
        <v>13543</v>
      </c>
      <c r="L4063" s="0" t="str">
        <f aca="false">HYPERLINK("https://www.ncbi.nlm.nih.gov/nuccore/CP000058.1?report=graph&amp;tracks=[key:gene_model_track,Options:GeneOnly]&amp;mk=1293931:1293950|offset_0|444444,1293909:1293928|offset_22|444444,1293875:1293894|offset_56|444444,1293847:1293866|offset_84|00cc00&amp;v=1293730:1294066&amp;c=444444", "offset 84")</f>
        <v>offset 84</v>
      </c>
    </row>
    <row r="4064" customFormat="false" ht="12.8" hidden="false" customHeight="false" outlineLevel="0" collapsed="false">
      <c r="A4064" s="0" t="s">
        <v>12</v>
      </c>
      <c r="B4064" s="0" t="n">
        <v>1294965</v>
      </c>
      <c r="C4064" s="0" t="n">
        <v>1294985</v>
      </c>
      <c r="D4064" s="0" t="s">
        <v>13544</v>
      </c>
      <c r="E4064" s="0" t="s">
        <v>75</v>
      </c>
      <c r="F4064" s="0" t="s">
        <v>90</v>
      </c>
      <c r="G4064" s="0" t="s">
        <v>36</v>
      </c>
      <c r="H4064" s="0" t="n">
        <v>0</v>
      </c>
      <c r="I4064" s="0" t="s">
        <v>13545</v>
      </c>
      <c r="J4064" s="0" t="s">
        <v>13546</v>
      </c>
      <c r="K4064" s="0" t="s">
        <v>13547</v>
      </c>
      <c r="L4064" s="0" t="str">
        <f aca="false">HYPERLINK("https://www.ncbi.nlm.nih.gov/nuccore/CP000058.1?report=graph&amp;tracks=[key:gene_model_track,Options:GeneOnly]&amp;mk=1294966:1294985|offset_0|00cc00,1294938:1294957|offset_28|444444,1294899:1294918|offset_67|444444,1294878:1294897|offset_88|444444&amp;v=1294765:1295097&amp;c=444444", "offset 0")</f>
        <v>offset 0</v>
      </c>
    </row>
    <row r="4065" customFormat="false" ht="12.8" hidden="false" customHeight="false" outlineLevel="0" collapsed="false">
      <c r="A4065" s="0" t="s">
        <v>12</v>
      </c>
      <c r="B4065" s="0" t="n">
        <v>1294937</v>
      </c>
      <c r="C4065" s="0" t="n">
        <v>1294957</v>
      </c>
      <c r="D4065" s="0" t="s">
        <v>13544</v>
      </c>
      <c r="E4065" s="0" t="s">
        <v>75</v>
      </c>
      <c r="F4065" s="0" t="s">
        <v>90</v>
      </c>
      <c r="G4065" s="0" t="s">
        <v>20</v>
      </c>
      <c r="H4065" s="0" t="n">
        <v>28</v>
      </c>
      <c r="I4065" s="0" t="s">
        <v>13548</v>
      </c>
      <c r="J4065" s="0" t="s">
        <v>13549</v>
      </c>
      <c r="K4065" s="0" t="s">
        <v>13550</v>
      </c>
      <c r="L4065" s="0" t="str">
        <f aca="false">HYPERLINK("https://www.ncbi.nlm.nih.gov/nuccore/CP000058.1?report=graph&amp;tracks=[key:gene_model_track,Options:GeneOnly]&amp;mk=1294966:1294985|offset_0|444444,1294938:1294957|offset_28|00cc00,1294899:1294918|offset_67|444444,1294878:1294897|offset_88|444444&amp;v=1294765:1295097&amp;c=444444", "offset 28")</f>
        <v>offset 28</v>
      </c>
    </row>
    <row r="4066" customFormat="false" ht="12.8" hidden="false" customHeight="false" outlineLevel="0" collapsed="false">
      <c r="A4066" s="0" t="s">
        <v>12</v>
      </c>
      <c r="B4066" s="0" t="n">
        <v>1294898</v>
      </c>
      <c r="C4066" s="0" t="n">
        <v>1294918</v>
      </c>
      <c r="D4066" s="0" t="s">
        <v>13544</v>
      </c>
      <c r="E4066" s="0" t="s">
        <v>75</v>
      </c>
      <c r="F4066" s="0" t="s">
        <v>90</v>
      </c>
      <c r="G4066" s="0" t="s">
        <v>16</v>
      </c>
      <c r="H4066" s="0" t="n">
        <v>67</v>
      </c>
      <c r="I4066" s="0" t="s">
        <v>13551</v>
      </c>
      <c r="J4066" s="0" t="s">
        <v>13552</v>
      </c>
      <c r="K4066" s="0" t="s">
        <v>13553</v>
      </c>
      <c r="L4066" s="0" t="str">
        <f aca="false">HYPERLINK("https://www.ncbi.nlm.nih.gov/nuccore/CP000058.1?report=graph&amp;tracks=[key:gene_model_track,Options:GeneOnly]&amp;mk=1294966:1294985|offset_0|444444,1294938:1294957|offset_28|444444,1294899:1294918|offset_67|00cc00,1294878:1294897|offset_88|444444&amp;v=1294765:1295097&amp;c=444444", "offset 67")</f>
        <v>offset 67</v>
      </c>
    </row>
    <row r="4067" customFormat="false" ht="12.8" hidden="false" customHeight="false" outlineLevel="0" collapsed="false">
      <c r="A4067" s="0" t="s">
        <v>12</v>
      </c>
      <c r="B4067" s="0" t="n">
        <v>1294877</v>
      </c>
      <c r="C4067" s="0" t="n">
        <v>1294897</v>
      </c>
      <c r="D4067" s="0" t="s">
        <v>13544</v>
      </c>
      <c r="E4067" s="0" t="s">
        <v>75</v>
      </c>
      <c r="F4067" s="0" t="s">
        <v>90</v>
      </c>
      <c r="G4067" s="0" t="s">
        <v>32</v>
      </c>
      <c r="H4067" s="0" t="n">
        <v>88</v>
      </c>
      <c r="I4067" s="0" t="s">
        <v>13554</v>
      </c>
      <c r="J4067" s="0" t="s">
        <v>13555</v>
      </c>
      <c r="K4067" s="0" t="s">
        <v>13556</v>
      </c>
      <c r="L4067" s="0" t="str">
        <f aca="false">HYPERLINK("https://www.ncbi.nlm.nih.gov/nuccore/CP000058.1?report=graph&amp;tracks=[key:gene_model_track,Options:GeneOnly]&amp;mk=1294966:1294985|offset_0|444444,1294938:1294957|offset_28|444444,1294899:1294918|offset_67|444444,1294878:1294897|offset_88|00cc00&amp;v=1294765:1295097&amp;c=444444", "offset 88")</f>
        <v>offset 88</v>
      </c>
    </row>
    <row r="4068" customFormat="false" ht="12.8" hidden="false" customHeight="false" outlineLevel="0" collapsed="false">
      <c r="A4068" s="0" t="s">
        <v>12</v>
      </c>
      <c r="B4068" s="0" t="n">
        <v>1295174</v>
      </c>
      <c r="C4068" s="0" t="n">
        <v>1295194</v>
      </c>
      <c r="D4068" s="0" t="s">
        <v>13557</v>
      </c>
      <c r="E4068" s="0" t="s">
        <v>75</v>
      </c>
      <c r="F4068" s="0" t="s">
        <v>15</v>
      </c>
      <c r="G4068" s="0" t="s">
        <v>16</v>
      </c>
      <c r="H4068" s="0" t="n">
        <v>6</v>
      </c>
      <c r="I4068" s="0" t="s">
        <v>13558</v>
      </c>
      <c r="J4068" s="0" t="s">
        <v>13559</v>
      </c>
      <c r="K4068" s="0" t="s">
        <v>13560</v>
      </c>
      <c r="L4068" s="0" t="str">
        <f aca="false">HYPERLINK("https://www.ncbi.nlm.nih.gov/nuccore/CP000058.1?report=graph&amp;tracks=[key:gene_model_track,Options:GeneOnly]&amp;mk=1295175:1295194|offset_6|00cc00,1295202:1295221|offset_33|444444,1295231:1295250|offset_62|444444,1295265:1295284|offset_96|444444&amp;v=1294974:1295484&amp;c=444444", "offset 6")</f>
        <v>offset 6</v>
      </c>
    </row>
    <row r="4069" customFormat="false" ht="12.8" hidden="false" customHeight="false" outlineLevel="0" collapsed="false">
      <c r="A4069" s="0" t="s">
        <v>12</v>
      </c>
      <c r="B4069" s="0" t="n">
        <v>1295201</v>
      </c>
      <c r="C4069" s="0" t="n">
        <v>1295221</v>
      </c>
      <c r="D4069" s="0" t="s">
        <v>13557</v>
      </c>
      <c r="E4069" s="0" t="s">
        <v>75</v>
      </c>
      <c r="F4069" s="0" t="s">
        <v>15</v>
      </c>
      <c r="G4069" s="0" t="s">
        <v>36</v>
      </c>
      <c r="H4069" s="0" t="n">
        <v>33</v>
      </c>
      <c r="I4069" s="0" t="s">
        <v>13561</v>
      </c>
      <c r="J4069" s="0" t="s">
        <v>13562</v>
      </c>
      <c r="K4069" s="0" t="s">
        <v>13563</v>
      </c>
      <c r="L4069" s="0" t="str">
        <f aca="false">HYPERLINK("https://www.ncbi.nlm.nih.gov/nuccore/CP000058.1?report=graph&amp;tracks=[key:gene_model_track,Options:GeneOnly]&amp;mk=1295175:1295194|offset_6|444444,1295202:1295221|offset_33|00cc00,1295231:1295250|offset_62|444444,1295265:1295284|offset_96|444444&amp;v=1294974:1295484&amp;c=444444", "offset 33")</f>
        <v>offset 33</v>
      </c>
    </row>
    <row r="4070" customFormat="false" ht="12.8" hidden="false" customHeight="false" outlineLevel="0" collapsed="false">
      <c r="A4070" s="0" t="s">
        <v>12</v>
      </c>
      <c r="B4070" s="0" t="n">
        <v>1295230</v>
      </c>
      <c r="C4070" s="0" t="n">
        <v>1295250</v>
      </c>
      <c r="D4070" s="0" t="s">
        <v>13557</v>
      </c>
      <c r="E4070" s="0" t="s">
        <v>75</v>
      </c>
      <c r="F4070" s="0" t="s">
        <v>15</v>
      </c>
      <c r="G4070" s="0" t="s">
        <v>20</v>
      </c>
      <c r="H4070" s="0" t="n">
        <v>62</v>
      </c>
      <c r="I4070" s="0" t="s">
        <v>13564</v>
      </c>
      <c r="J4070" s="0" t="s">
        <v>13565</v>
      </c>
      <c r="K4070" s="0" t="s">
        <v>13566</v>
      </c>
      <c r="L4070" s="0" t="str">
        <f aca="false">HYPERLINK("https://www.ncbi.nlm.nih.gov/nuccore/CP000058.1?report=graph&amp;tracks=[key:gene_model_track,Options:GeneOnly]&amp;mk=1295175:1295194|offset_6|444444,1295202:1295221|offset_33|444444,1295231:1295250|offset_62|00cc00,1295265:1295284|offset_96|444444&amp;v=1294974:1295484&amp;c=444444", "offset 62")</f>
        <v>offset 62</v>
      </c>
    </row>
    <row r="4071" customFormat="false" ht="12.8" hidden="false" customHeight="false" outlineLevel="0" collapsed="false">
      <c r="A4071" s="0" t="s">
        <v>12</v>
      </c>
      <c r="B4071" s="0" t="n">
        <v>1295264</v>
      </c>
      <c r="C4071" s="0" t="n">
        <v>1295284</v>
      </c>
      <c r="D4071" s="0" t="s">
        <v>13557</v>
      </c>
      <c r="E4071" s="0" t="s">
        <v>75</v>
      </c>
      <c r="F4071" s="0" t="s">
        <v>15</v>
      </c>
      <c r="G4071" s="0" t="s">
        <v>16</v>
      </c>
      <c r="H4071" s="0" t="n">
        <v>96</v>
      </c>
      <c r="I4071" s="0" t="s">
        <v>13567</v>
      </c>
      <c r="J4071" s="0" t="s">
        <v>13568</v>
      </c>
      <c r="K4071" s="0" t="s">
        <v>13569</v>
      </c>
      <c r="L4071" s="0" t="str">
        <f aca="false">HYPERLINK("https://www.ncbi.nlm.nih.gov/nuccore/CP000058.1?report=graph&amp;tracks=[key:gene_model_track,Options:GeneOnly]&amp;mk=1295175:1295194|offset_6|444444,1295202:1295221|offset_33|444444,1295231:1295250|offset_62|444444,1295265:1295284|offset_96|00cc00&amp;v=1294974:1295484&amp;c=444444", "offset 96")</f>
        <v>offset 96</v>
      </c>
    </row>
    <row r="4072" customFormat="false" ht="12.8" hidden="false" customHeight="false" outlineLevel="0" collapsed="false">
      <c r="A4072" s="0" t="s">
        <v>12</v>
      </c>
      <c r="B4072" s="0" t="n">
        <v>1296682</v>
      </c>
      <c r="C4072" s="0" t="n">
        <v>1296702</v>
      </c>
      <c r="D4072" s="0" t="s">
        <v>13570</v>
      </c>
      <c r="E4072" s="0" t="s">
        <v>75</v>
      </c>
      <c r="F4072" s="0" t="s">
        <v>15</v>
      </c>
      <c r="G4072" s="0" t="s">
        <v>36</v>
      </c>
      <c r="H4072" s="0" t="n">
        <v>36</v>
      </c>
      <c r="I4072" s="0" t="s">
        <v>13571</v>
      </c>
      <c r="J4072" s="0" t="s">
        <v>13572</v>
      </c>
      <c r="K4072" s="0" t="s">
        <v>13573</v>
      </c>
      <c r="L4072" s="0" t="str">
        <f aca="false">HYPERLINK("https://www.ncbi.nlm.nih.gov/nuccore/CP000058.1?report=graph&amp;tracks=[key:gene_model_track,Options:GeneOnly]&amp;mk=1296683:1296702|offset_36|00cc00,1296729:1296748|offset_82|444444,1296771:1296790|offset_124|444444,1296800:1296819|offset_153|444444&amp;v=1296482:1297019&amp;c=444444", "offset 36")</f>
        <v>offset 36</v>
      </c>
    </row>
    <row r="4073" customFormat="false" ht="12.8" hidden="false" customHeight="false" outlineLevel="0" collapsed="false">
      <c r="A4073" s="0" t="s">
        <v>12</v>
      </c>
      <c r="B4073" s="0" t="n">
        <v>1296728</v>
      </c>
      <c r="C4073" s="0" t="n">
        <v>1296748</v>
      </c>
      <c r="D4073" s="0" t="s">
        <v>13570</v>
      </c>
      <c r="E4073" s="0" t="s">
        <v>75</v>
      </c>
      <c r="F4073" s="0" t="s">
        <v>15</v>
      </c>
      <c r="G4073" s="0" t="s">
        <v>20</v>
      </c>
      <c r="H4073" s="0" t="n">
        <v>82</v>
      </c>
      <c r="I4073" s="0" t="s">
        <v>13574</v>
      </c>
      <c r="J4073" s="0" t="s">
        <v>13575</v>
      </c>
      <c r="K4073" s="0" t="s">
        <v>13576</v>
      </c>
      <c r="L4073" s="0" t="str">
        <f aca="false">HYPERLINK("https://www.ncbi.nlm.nih.gov/nuccore/CP000058.1?report=graph&amp;tracks=[key:gene_model_track,Options:GeneOnly]&amp;mk=1296683:1296702|offset_36|444444,1296729:1296748|offset_82|00cc00,1296771:1296790|offset_124|444444,1296800:1296819|offset_153|444444&amp;v=1296482:1297019&amp;c=444444", "offset 82")</f>
        <v>offset 82</v>
      </c>
    </row>
    <row r="4074" customFormat="false" ht="12.8" hidden="false" customHeight="false" outlineLevel="0" collapsed="false">
      <c r="A4074" s="0" t="s">
        <v>12</v>
      </c>
      <c r="B4074" s="0" t="n">
        <v>1296770</v>
      </c>
      <c r="C4074" s="0" t="n">
        <v>1296790</v>
      </c>
      <c r="D4074" s="0" t="s">
        <v>13570</v>
      </c>
      <c r="E4074" s="0" t="s">
        <v>75</v>
      </c>
      <c r="F4074" s="0" t="s">
        <v>15</v>
      </c>
      <c r="G4074" s="0" t="s">
        <v>20</v>
      </c>
      <c r="H4074" s="0" t="n">
        <v>124</v>
      </c>
      <c r="I4074" s="0" t="s">
        <v>13577</v>
      </c>
      <c r="J4074" s="0" t="s">
        <v>13578</v>
      </c>
      <c r="K4074" s="0" t="s">
        <v>13579</v>
      </c>
      <c r="L4074" s="0" t="str">
        <f aca="false">HYPERLINK("https://www.ncbi.nlm.nih.gov/nuccore/CP000058.1?report=graph&amp;tracks=[key:gene_model_track,Options:GeneOnly]&amp;mk=1296683:1296702|offset_36|444444,1296729:1296748|offset_82|444444,1296771:1296790|offset_124|00cc00,1296800:1296819|offset_153|444444&amp;v=1296482:1297019&amp;c=444444", "offset 124")</f>
        <v>offset 124</v>
      </c>
    </row>
    <row r="4075" customFormat="false" ht="12.8" hidden="false" customHeight="false" outlineLevel="0" collapsed="false">
      <c r="A4075" s="0" t="s">
        <v>12</v>
      </c>
      <c r="B4075" s="0" t="n">
        <v>1296799</v>
      </c>
      <c r="C4075" s="0" t="n">
        <v>1296819</v>
      </c>
      <c r="D4075" s="0" t="s">
        <v>13570</v>
      </c>
      <c r="E4075" s="0" t="s">
        <v>75</v>
      </c>
      <c r="F4075" s="0" t="s">
        <v>15</v>
      </c>
      <c r="G4075" s="0" t="s">
        <v>16</v>
      </c>
      <c r="H4075" s="0" t="n">
        <v>153</v>
      </c>
      <c r="I4075" s="0" t="s">
        <v>13580</v>
      </c>
      <c r="J4075" s="0" t="s">
        <v>13581</v>
      </c>
      <c r="K4075" s="0" t="s">
        <v>13582</v>
      </c>
      <c r="L4075" s="0" t="str">
        <f aca="false">HYPERLINK("https://www.ncbi.nlm.nih.gov/nuccore/CP000058.1?report=graph&amp;tracks=[key:gene_model_track,Options:GeneOnly]&amp;mk=1296683:1296702|offset_36|444444,1296729:1296748|offset_82|444444,1296771:1296790|offset_124|444444,1296800:1296819|offset_153|00cc00&amp;v=1296482:1297019&amp;c=444444", "offset 153")</f>
        <v>offset 153</v>
      </c>
    </row>
    <row r="4076" customFormat="false" ht="12.8" hidden="false" customHeight="false" outlineLevel="0" collapsed="false">
      <c r="A4076" s="0" t="s">
        <v>12</v>
      </c>
      <c r="B4076" s="0" t="n">
        <v>1298841</v>
      </c>
      <c r="C4076" s="0" t="n">
        <v>1298861</v>
      </c>
      <c r="D4076" s="0" t="s">
        <v>13583</v>
      </c>
      <c r="E4076" s="0" t="s">
        <v>75</v>
      </c>
      <c r="F4076" s="0" t="s">
        <v>15</v>
      </c>
      <c r="G4076" s="0" t="s">
        <v>20</v>
      </c>
      <c r="H4076" s="0" t="n">
        <v>19</v>
      </c>
      <c r="I4076" s="0" t="s">
        <v>13584</v>
      </c>
      <c r="J4076" s="0" t="s">
        <v>13585</v>
      </c>
      <c r="K4076" s="0" t="s">
        <v>13586</v>
      </c>
      <c r="L4076" s="0" t="str">
        <f aca="false">HYPERLINK("https://www.ncbi.nlm.nih.gov/nuccore/CP000058.1?report=graph&amp;tracks=[key:gene_model_track,Options:GeneOnly]&amp;mk=1298842:1298861|offset_19|00cc00,1298862:1298881|offset_39|444444,1298890:1298909|offset_67|444444,1298936:1298955|offset_113|444444&amp;v=1298641:1299155&amp;c=444444", "offset 19")</f>
        <v>offset 19</v>
      </c>
    </row>
    <row r="4077" customFormat="false" ht="12.8" hidden="false" customHeight="false" outlineLevel="0" collapsed="false">
      <c r="A4077" s="0" t="s">
        <v>12</v>
      </c>
      <c r="B4077" s="0" t="n">
        <v>1298861</v>
      </c>
      <c r="C4077" s="0" t="n">
        <v>1298881</v>
      </c>
      <c r="D4077" s="0" t="s">
        <v>13583</v>
      </c>
      <c r="E4077" s="0" t="s">
        <v>75</v>
      </c>
      <c r="F4077" s="0" t="s">
        <v>15</v>
      </c>
      <c r="G4077" s="0" t="s">
        <v>16</v>
      </c>
      <c r="H4077" s="0" t="n">
        <v>39</v>
      </c>
      <c r="I4077" s="0" t="s">
        <v>13587</v>
      </c>
      <c r="J4077" s="0" t="s">
        <v>13588</v>
      </c>
      <c r="K4077" s="0" t="s">
        <v>13589</v>
      </c>
      <c r="L4077" s="0" t="str">
        <f aca="false">HYPERLINK("https://www.ncbi.nlm.nih.gov/nuccore/CP000058.1?report=graph&amp;tracks=[key:gene_model_track,Options:GeneOnly]&amp;mk=1298842:1298861|offset_19|444444,1298862:1298881|offset_39|00cc00,1298890:1298909|offset_67|444444,1298936:1298955|offset_113|444444&amp;v=1298641:1299155&amp;c=444444", "offset 39")</f>
        <v>offset 39</v>
      </c>
    </row>
    <row r="4078" customFormat="false" ht="12.8" hidden="false" customHeight="false" outlineLevel="0" collapsed="false">
      <c r="A4078" s="0" t="s">
        <v>12</v>
      </c>
      <c r="B4078" s="0" t="n">
        <v>1298889</v>
      </c>
      <c r="C4078" s="0" t="n">
        <v>1298909</v>
      </c>
      <c r="D4078" s="0" t="s">
        <v>13583</v>
      </c>
      <c r="E4078" s="0" t="s">
        <v>75</v>
      </c>
      <c r="F4078" s="0" t="s">
        <v>15</v>
      </c>
      <c r="G4078" s="0" t="s">
        <v>16</v>
      </c>
      <c r="H4078" s="0" t="n">
        <v>67</v>
      </c>
      <c r="I4078" s="0" t="s">
        <v>13590</v>
      </c>
      <c r="J4078" s="0" t="s">
        <v>13591</v>
      </c>
      <c r="K4078" s="0" t="s">
        <v>13592</v>
      </c>
      <c r="L4078" s="0" t="str">
        <f aca="false">HYPERLINK("https://www.ncbi.nlm.nih.gov/nuccore/CP000058.1?report=graph&amp;tracks=[key:gene_model_track,Options:GeneOnly]&amp;mk=1298842:1298861|offset_19|444444,1298862:1298881|offset_39|444444,1298890:1298909|offset_67|00cc00,1298936:1298955|offset_113|444444&amp;v=1298641:1299155&amp;c=444444", "offset 67")</f>
        <v>offset 67</v>
      </c>
    </row>
    <row r="4079" customFormat="false" ht="12.8" hidden="false" customHeight="false" outlineLevel="0" collapsed="false">
      <c r="A4079" s="0" t="s">
        <v>12</v>
      </c>
      <c r="B4079" s="0" t="n">
        <v>1298935</v>
      </c>
      <c r="C4079" s="0" t="n">
        <v>1298955</v>
      </c>
      <c r="D4079" s="0" t="s">
        <v>13583</v>
      </c>
      <c r="E4079" s="0" t="s">
        <v>75</v>
      </c>
      <c r="F4079" s="0" t="s">
        <v>15</v>
      </c>
      <c r="G4079" s="0" t="s">
        <v>20</v>
      </c>
      <c r="H4079" s="0" t="n">
        <v>113</v>
      </c>
      <c r="I4079" s="0" t="s">
        <v>13593</v>
      </c>
      <c r="J4079" s="0" t="s">
        <v>13594</v>
      </c>
      <c r="K4079" s="0" t="s">
        <v>13595</v>
      </c>
      <c r="L4079" s="0" t="str">
        <f aca="false">HYPERLINK("https://www.ncbi.nlm.nih.gov/nuccore/CP000058.1?report=graph&amp;tracks=[key:gene_model_track,Options:GeneOnly]&amp;mk=1298842:1298861|offset_19|444444,1298862:1298881|offset_39|444444,1298890:1298909|offset_67|444444,1298936:1298955|offset_113|00cc00&amp;v=1298641:1299155&amp;c=444444", "offset 113")</f>
        <v>offset 113</v>
      </c>
    </row>
    <row r="4080" customFormat="false" ht="12.8" hidden="false" customHeight="false" outlineLevel="0" collapsed="false">
      <c r="A4080" s="0" t="s">
        <v>12</v>
      </c>
      <c r="B4080" s="0" t="n">
        <v>1299028</v>
      </c>
      <c r="C4080" s="0" t="n">
        <v>1299048</v>
      </c>
      <c r="D4080" s="0" t="s">
        <v>13596</v>
      </c>
      <c r="E4080" s="0" t="s">
        <v>75</v>
      </c>
      <c r="F4080" s="0" t="s">
        <v>15</v>
      </c>
      <c r="G4080" s="0" t="s">
        <v>20</v>
      </c>
      <c r="H4080" s="0" t="n">
        <v>9</v>
      </c>
      <c r="I4080" s="0" t="s">
        <v>13597</v>
      </c>
      <c r="J4080" s="0" t="s">
        <v>13598</v>
      </c>
      <c r="K4080" s="0" t="s">
        <v>13599</v>
      </c>
      <c r="L4080" s="0" t="str">
        <f aca="false">HYPERLINK("https://www.ncbi.nlm.nih.gov/nuccore/CP000058.1?report=graph&amp;tracks=[key:gene_model_track,Options:GeneOnly]&amp;mk=1299029:1299048|offset_9|00cc00,1299067:1299086|offset_47|444444,1299143:1299162|offset_123|444444,1299171:1299190|offset_151|444444&amp;v=1298828:1299390&amp;c=444444", "offset 9")</f>
        <v>offset 9</v>
      </c>
    </row>
    <row r="4081" customFormat="false" ht="12.8" hidden="false" customHeight="false" outlineLevel="0" collapsed="false">
      <c r="A4081" s="0" t="s">
        <v>12</v>
      </c>
      <c r="B4081" s="0" t="n">
        <v>1299066</v>
      </c>
      <c r="C4081" s="0" t="n">
        <v>1299086</v>
      </c>
      <c r="D4081" s="0" t="s">
        <v>13596</v>
      </c>
      <c r="E4081" s="0" t="s">
        <v>75</v>
      </c>
      <c r="F4081" s="0" t="s">
        <v>15</v>
      </c>
      <c r="G4081" s="0" t="s">
        <v>20</v>
      </c>
      <c r="H4081" s="0" t="n">
        <v>47</v>
      </c>
      <c r="I4081" s="0" t="s">
        <v>13600</v>
      </c>
      <c r="J4081" s="0" t="s">
        <v>13601</v>
      </c>
      <c r="K4081" s="0" t="s">
        <v>13602</v>
      </c>
      <c r="L4081" s="0" t="str">
        <f aca="false">HYPERLINK("https://www.ncbi.nlm.nih.gov/nuccore/CP000058.1?report=graph&amp;tracks=[key:gene_model_track,Options:GeneOnly]&amp;mk=1299029:1299048|offset_9|444444,1299067:1299086|offset_47|00cc00,1299143:1299162|offset_123|444444,1299171:1299190|offset_151|444444&amp;v=1298828:1299390&amp;c=444444", "offset 47")</f>
        <v>offset 47</v>
      </c>
    </row>
    <row r="4082" customFormat="false" ht="12.8" hidden="false" customHeight="false" outlineLevel="0" collapsed="false">
      <c r="A4082" s="0" t="s">
        <v>12</v>
      </c>
      <c r="B4082" s="0" t="n">
        <v>1299142</v>
      </c>
      <c r="C4082" s="0" t="n">
        <v>1299162</v>
      </c>
      <c r="D4082" s="0" t="s">
        <v>13596</v>
      </c>
      <c r="E4082" s="0" t="s">
        <v>75</v>
      </c>
      <c r="F4082" s="0" t="s">
        <v>15</v>
      </c>
      <c r="G4082" s="0" t="s">
        <v>16</v>
      </c>
      <c r="H4082" s="0" t="n">
        <v>123</v>
      </c>
      <c r="I4082" s="0" t="s">
        <v>13603</v>
      </c>
      <c r="J4082" s="0" t="s">
        <v>13604</v>
      </c>
      <c r="K4082" s="0" t="s">
        <v>13605</v>
      </c>
      <c r="L4082" s="0" t="str">
        <f aca="false">HYPERLINK("https://www.ncbi.nlm.nih.gov/nuccore/CP000058.1?report=graph&amp;tracks=[key:gene_model_track,Options:GeneOnly]&amp;mk=1299029:1299048|offset_9|444444,1299067:1299086|offset_47|444444,1299143:1299162|offset_123|00cc00,1299171:1299190|offset_151|444444&amp;v=1298828:1299390&amp;c=444444", "offset 123")</f>
        <v>offset 123</v>
      </c>
    </row>
    <row r="4083" customFormat="false" ht="12.8" hidden="false" customHeight="false" outlineLevel="0" collapsed="false">
      <c r="A4083" s="0" t="s">
        <v>12</v>
      </c>
      <c r="B4083" s="0" t="n">
        <v>1299170</v>
      </c>
      <c r="C4083" s="0" t="n">
        <v>1299190</v>
      </c>
      <c r="D4083" s="0" t="s">
        <v>13596</v>
      </c>
      <c r="E4083" s="0" t="s">
        <v>75</v>
      </c>
      <c r="F4083" s="0" t="s">
        <v>15</v>
      </c>
      <c r="G4083" s="0" t="s">
        <v>16</v>
      </c>
      <c r="H4083" s="0" t="n">
        <v>151</v>
      </c>
      <c r="I4083" s="0" t="s">
        <v>13606</v>
      </c>
      <c r="J4083" s="0" t="s">
        <v>13607</v>
      </c>
      <c r="K4083" s="0" t="s">
        <v>13608</v>
      </c>
      <c r="L4083" s="0" t="str">
        <f aca="false">HYPERLINK("https://www.ncbi.nlm.nih.gov/nuccore/CP000058.1?report=graph&amp;tracks=[key:gene_model_track,Options:GeneOnly]&amp;mk=1299029:1299048|offset_9|444444,1299067:1299086|offset_47|444444,1299143:1299162|offset_123|444444,1299171:1299190|offset_151|00cc00&amp;v=1298828:1299390&amp;c=444444", "offset 151")</f>
        <v>offset 151</v>
      </c>
    </row>
    <row r="4084" customFormat="false" ht="12.8" hidden="false" customHeight="false" outlineLevel="0" collapsed="false">
      <c r="A4084" s="0" t="s">
        <v>12</v>
      </c>
      <c r="B4084" s="0" t="n">
        <v>1300879</v>
      </c>
      <c r="C4084" s="0" t="n">
        <v>1300899</v>
      </c>
      <c r="D4084" s="0" t="s">
        <v>13609</v>
      </c>
      <c r="E4084" s="0" t="s">
        <v>75</v>
      </c>
      <c r="F4084" s="0" t="s">
        <v>90</v>
      </c>
      <c r="G4084" s="0" t="s">
        <v>36</v>
      </c>
      <c r="H4084" s="0" t="n">
        <v>0</v>
      </c>
      <c r="I4084" s="0" t="s">
        <v>13610</v>
      </c>
      <c r="J4084" s="0" t="s">
        <v>13611</v>
      </c>
      <c r="K4084" s="0" t="s">
        <v>13612</v>
      </c>
      <c r="L4084" s="0" t="str">
        <f aca="false">HYPERLINK("https://www.ncbi.nlm.nih.gov/nuccore/CP000058.1?report=graph&amp;tracks=[key:gene_model_track,Options:GeneOnly]&amp;mk=1300880:1300899|offset_0|00cc00,1300849:1300868|offset_31|444444,1300825:1300844|offset_55|444444,1300774:1300793|offset_106|444444&amp;v=1300679:1300993&amp;c=444444", "offset 0")</f>
        <v>offset 0</v>
      </c>
    </row>
    <row r="4085" customFormat="false" ht="12.8" hidden="false" customHeight="false" outlineLevel="0" collapsed="false">
      <c r="A4085" s="0" t="s">
        <v>12</v>
      </c>
      <c r="B4085" s="0" t="n">
        <v>1300848</v>
      </c>
      <c r="C4085" s="0" t="n">
        <v>1300868</v>
      </c>
      <c r="D4085" s="0" t="s">
        <v>13609</v>
      </c>
      <c r="E4085" s="0" t="s">
        <v>75</v>
      </c>
      <c r="F4085" s="0" t="s">
        <v>90</v>
      </c>
      <c r="G4085" s="0" t="s">
        <v>32</v>
      </c>
      <c r="H4085" s="0" t="n">
        <v>31</v>
      </c>
      <c r="I4085" s="0" t="s">
        <v>13613</v>
      </c>
      <c r="J4085" s="0" t="s">
        <v>13614</v>
      </c>
      <c r="K4085" s="0" t="s">
        <v>13615</v>
      </c>
      <c r="L4085" s="0" t="str">
        <f aca="false">HYPERLINK("https://www.ncbi.nlm.nih.gov/nuccore/CP000058.1?report=graph&amp;tracks=[key:gene_model_track,Options:GeneOnly]&amp;mk=1300880:1300899|offset_0|444444,1300849:1300868|offset_31|00cc00,1300825:1300844|offset_55|444444,1300774:1300793|offset_106|444444&amp;v=1300679:1300993&amp;c=444444", "offset 31")</f>
        <v>offset 31</v>
      </c>
    </row>
    <row r="4086" customFormat="false" ht="12.8" hidden="false" customHeight="false" outlineLevel="0" collapsed="false">
      <c r="A4086" s="0" t="s">
        <v>12</v>
      </c>
      <c r="B4086" s="0" t="n">
        <v>1300824</v>
      </c>
      <c r="C4086" s="0" t="n">
        <v>1300844</v>
      </c>
      <c r="D4086" s="0" t="s">
        <v>13609</v>
      </c>
      <c r="E4086" s="0" t="s">
        <v>75</v>
      </c>
      <c r="F4086" s="0" t="s">
        <v>90</v>
      </c>
      <c r="G4086" s="0" t="s">
        <v>16</v>
      </c>
      <c r="H4086" s="0" t="n">
        <v>55</v>
      </c>
      <c r="I4086" s="0" t="s">
        <v>13616</v>
      </c>
      <c r="J4086" s="0" t="s">
        <v>13617</v>
      </c>
      <c r="K4086" s="0" t="s">
        <v>13618</v>
      </c>
      <c r="L4086" s="0" t="str">
        <f aca="false">HYPERLINK("https://www.ncbi.nlm.nih.gov/nuccore/CP000058.1?report=graph&amp;tracks=[key:gene_model_track,Options:GeneOnly]&amp;mk=1300880:1300899|offset_0|444444,1300849:1300868|offset_31|444444,1300825:1300844|offset_55|00cc00,1300774:1300793|offset_106|444444&amp;v=1300679:1300993&amp;c=444444", "offset 55")</f>
        <v>offset 55</v>
      </c>
    </row>
    <row r="4087" customFormat="false" ht="12.8" hidden="false" customHeight="false" outlineLevel="0" collapsed="false">
      <c r="A4087" s="0" t="s">
        <v>12</v>
      </c>
      <c r="B4087" s="0" t="n">
        <v>1300773</v>
      </c>
      <c r="C4087" s="0" t="n">
        <v>1300793</v>
      </c>
      <c r="D4087" s="0" t="s">
        <v>13609</v>
      </c>
      <c r="E4087" s="0" t="s">
        <v>75</v>
      </c>
      <c r="F4087" s="0" t="s">
        <v>90</v>
      </c>
      <c r="G4087" s="0" t="s">
        <v>16</v>
      </c>
      <c r="H4087" s="0" t="n">
        <v>106</v>
      </c>
      <c r="I4087" s="0" t="s">
        <v>13619</v>
      </c>
      <c r="J4087" s="0" t="s">
        <v>13620</v>
      </c>
      <c r="K4087" s="0" t="s">
        <v>13621</v>
      </c>
      <c r="L4087" s="0" t="str">
        <f aca="false">HYPERLINK("https://www.ncbi.nlm.nih.gov/nuccore/CP000058.1?report=graph&amp;tracks=[key:gene_model_track,Options:GeneOnly]&amp;mk=1300880:1300899|offset_0|444444,1300849:1300868|offset_31|444444,1300825:1300844|offset_55|444444,1300774:1300793|offset_106|00cc00&amp;v=1300679:1300993&amp;c=444444", "offset 106")</f>
        <v>offset 106</v>
      </c>
    </row>
    <row r="4088" customFormat="false" ht="12.8" hidden="false" customHeight="false" outlineLevel="0" collapsed="false">
      <c r="A4088" s="0" t="s">
        <v>12</v>
      </c>
      <c r="B4088" s="0" t="n">
        <v>1301335</v>
      </c>
      <c r="C4088" s="0" t="n">
        <v>1301355</v>
      </c>
      <c r="D4088" s="0" t="s">
        <v>13622</v>
      </c>
      <c r="E4088" s="0" t="s">
        <v>75</v>
      </c>
      <c r="F4088" s="0" t="s">
        <v>90</v>
      </c>
      <c r="G4088" s="0" t="s">
        <v>20</v>
      </c>
      <c r="H4088" s="0" t="n">
        <v>26</v>
      </c>
      <c r="I4088" s="0" t="s">
        <v>13623</v>
      </c>
      <c r="J4088" s="0" t="s">
        <v>13624</v>
      </c>
      <c r="K4088" s="0" t="s">
        <v>13625</v>
      </c>
      <c r="L4088" s="0" t="str">
        <f aca="false">HYPERLINK("https://www.ncbi.nlm.nih.gov/nuccore/CP000058.1?report=graph&amp;tracks=[key:gene_model_track,Options:GeneOnly]&amp;mk=1301336:1301355|offset_26|00cc00,1301306:1301325|offset_56|444444,1301225:1301244|offset_137|444444,1301192:1301211|offset_170|444444&amp;v=1301135:1301411&amp;c=444444", "offset 26")</f>
        <v>offset 26</v>
      </c>
    </row>
    <row r="4089" customFormat="false" ht="12.8" hidden="false" customHeight="false" outlineLevel="0" collapsed="false">
      <c r="A4089" s="0" t="s">
        <v>12</v>
      </c>
      <c r="B4089" s="0" t="n">
        <v>1301305</v>
      </c>
      <c r="C4089" s="0" t="n">
        <v>1301325</v>
      </c>
      <c r="D4089" s="0" t="s">
        <v>13622</v>
      </c>
      <c r="E4089" s="0" t="s">
        <v>75</v>
      </c>
      <c r="F4089" s="0" t="s">
        <v>90</v>
      </c>
      <c r="G4089" s="0" t="s">
        <v>36</v>
      </c>
      <c r="H4089" s="0" t="n">
        <v>56</v>
      </c>
      <c r="I4089" s="0" t="s">
        <v>13626</v>
      </c>
      <c r="J4089" s="0" t="s">
        <v>13627</v>
      </c>
      <c r="K4089" s="0" t="s">
        <v>13628</v>
      </c>
      <c r="L4089" s="0" t="str">
        <f aca="false">HYPERLINK("https://www.ncbi.nlm.nih.gov/nuccore/CP000058.1?report=graph&amp;tracks=[key:gene_model_track,Options:GeneOnly]&amp;mk=1301336:1301355|offset_26|444444,1301306:1301325|offset_56|00cc00,1301225:1301244|offset_137|444444,1301192:1301211|offset_170|444444&amp;v=1301135:1301411&amp;c=444444", "offset 56")</f>
        <v>offset 56</v>
      </c>
    </row>
    <row r="4090" customFormat="false" ht="12.8" hidden="false" customHeight="false" outlineLevel="0" collapsed="false">
      <c r="A4090" s="0" t="s">
        <v>12</v>
      </c>
      <c r="B4090" s="0" t="n">
        <v>1301224</v>
      </c>
      <c r="C4090" s="0" t="n">
        <v>1301244</v>
      </c>
      <c r="D4090" s="0" t="s">
        <v>13622</v>
      </c>
      <c r="E4090" s="0" t="s">
        <v>75</v>
      </c>
      <c r="F4090" s="0" t="s">
        <v>90</v>
      </c>
      <c r="G4090" s="0" t="s">
        <v>32</v>
      </c>
      <c r="H4090" s="0" t="n">
        <v>137</v>
      </c>
      <c r="I4090" s="0" t="s">
        <v>13629</v>
      </c>
      <c r="J4090" s="0" t="s">
        <v>13630</v>
      </c>
      <c r="K4090" s="0" t="s">
        <v>13631</v>
      </c>
      <c r="L4090" s="0" t="str">
        <f aca="false">HYPERLINK("https://www.ncbi.nlm.nih.gov/nuccore/CP000058.1?report=graph&amp;tracks=[key:gene_model_track,Options:GeneOnly]&amp;mk=1301336:1301355|offset_26|444444,1301306:1301325|offset_56|444444,1301225:1301244|offset_137|00cc00,1301192:1301211|offset_170|444444&amp;v=1301135:1301411&amp;c=444444", "offset 137")</f>
        <v>offset 137</v>
      </c>
    </row>
    <row r="4091" customFormat="false" ht="12.8" hidden="false" customHeight="false" outlineLevel="0" collapsed="false">
      <c r="A4091" s="0" t="s">
        <v>12</v>
      </c>
      <c r="B4091" s="0" t="n">
        <v>1301191</v>
      </c>
      <c r="C4091" s="0" t="n">
        <v>1301211</v>
      </c>
      <c r="D4091" s="0" t="s">
        <v>13622</v>
      </c>
      <c r="E4091" s="0" t="s">
        <v>75</v>
      </c>
      <c r="F4091" s="0" t="s">
        <v>90</v>
      </c>
      <c r="G4091" s="0" t="s">
        <v>16</v>
      </c>
      <c r="H4091" s="0" t="n">
        <v>170</v>
      </c>
      <c r="I4091" s="0" t="s">
        <v>13632</v>
      </c>
      <c r="J4091" s="0" t="s">
        <v>13633</v>
      </c>
      <c r="K4091" s="0" t="s">
        <v>13634</v>
      </c>
      <c r="L4091" s="0" t="str">
        <f aca="false">HYPERLINK("https://www.ncbi.nlm.nih.gov/nuccore/CP000058.1?report=graph&amp;tracks=[key:gene_model_track,Options:GeneOnly]&amp;mk=1301336:1301355|offset_26|444444,1301306:1301325|offset_56|444444,1301225:1301244|offset_137|444444,1301192:1301211|offset_170|00cc00&amp;v=1301135:1301411&amp;c=444444", "offset 170")</f>
        <v>offset 170</v>
      </c>
    </row>
    <row r="4092" customFormat="false" ht="12.8" hidden="false" customHeight="false" outlineLevel="0" collapsed="false">
      <c r="A4092" s="0" t="s">
        <v>12</v>
      </c>
      <c r="B4092" s="0" t="n">
        <v>1303568</v>
      </c>
      <c r="C4092" s="0" t="n">
        <v>1303588</v>
      </c>
      <c r="D4092" s="0" t="s">
        <v>13635</v>
      </c>
      <c r="E4092" s="0" t="s">
        <v>13636</v>
      </c>
      <c r="F4092" s="0" t="s">
        <v>90</v>
      </c>
      <c r="G4092" s="0" t="s">
        <v>32</v>
      </c>
      <c r="H4092" s="0" t="n">
        <v>9</v>
      </c>
      <c r="I4092" s="0" t="s">
        <v>13637</v>
      </c>
      <c r="J4092" s="0" t="s">
        <v>13638</v>
      </c>
      <c r="K4092" s="0" t="s">
        <v>13639</v>
      </c>
      <c r="L4092" s="0" t="str">
        <f aca="false">HYPERLINK("https://www.ncbi.nlm.nih.gov/nuccore/CP000058.1?report=graph&amp;tracks=[key:gene_model_track,Options:GeneOnly]&amp;mk=1303569:1303588|offset_9|00cc00,1303530:1303549|offset_48|444444,1303510:1303529|offset_68|444444,1303487:1303506|offset_91|444444&amp;v=1303368:1303706&amp;c=444444", "offset 9")</f>
        <v>offset 9</v>
      </c>
    </row>
    <row r="4093" customFormat="false" ht="12.8" hidden="false" customHeight="false" outlineLevel="0" collapsed="false">
      <c r="A4093" s="0" t="s">
        <v>12</v>
      </c>
      <c r="B4093" s="0" t="n">
        <v>1303529</v>
      </c>
      <c r="C4093" s="0" t="n">
        <v>1303549</v>
      </c>
      <c r="D4093" s="0" t="s">
        <v>13635</v>
      </c>
      <c r="E4093" s="0" t="s">
        <v>13636</v>
      </c>
      <c r="F4093" s="0" t="s">
        <v>90</v>
      </c>
      <c r="G4093" s="0" t="s">
        <v>16</v>
      </c>
      <c r="H4093" s="0" t="n">
        <v>48</v>
      </c>
      <c r="I4093" s="0" t="s">
        <v>13640</v>
      </c>
      <c r="J4093" s="0" t="s">
        <v>13641</v>
      </c>
      <c r="K4093" s="0" t="s">
        <v>13642</v>
      </c>
      <c r="L4093" s="0" t="str">
        <f aca="false">HYPERLINK("https://www.ncbi.nlm.nih.gov/nuccore/CP000058.1?report=graph&amp;tracks=[key:gene_model_track,Options:GeneOnly]&amp;mk=1303569:1303588|offset_9|444444,1303530:1303549|offset_48|00cc00,1303510:1303529|offset_68|444444,1303487:1303506|offset_91|444444&amp;v=1303368:1303706&amp;c=444444", "offset 48")</f>
        <v>offset 48</v>
      </c>
    </row>
    <row r="4094" customFormat="false" ht="12.8" hidden="false" customHeight="false" outlineLevel="0" collapsed="false">
      <c r="A4094" s="0" t="s">
        <v>12</v>
      </c>
      <c r="B4094" s="0" t="n">
        <v>1303509</v>
      </c>
      <c r="C4094" s="0" t="n">
        <v>1303529</v>
      </c>
      <c r="D4094" s="0" t="s">
        <v>13635</v>
      </c>
      <c r="E4094" s="0" t="s">
        <v>13636</v>
      </c>
      <c r="F4094" s="0" t="s">
        <v>90</v>
      </c>
      <c r="G4094" s="0" t="s">
        <v>36</v>
      </c>
      <c r="H4094" s="0" t="n">
        <v>68</v>
      </c>
      <c r="I4094" s="0" t="s">
        <v>13643</v>
      </c>
      <c r="J4094" s="0" t="s">
        <v>13644</v>
      </c>
      <c r="K4094" s="0" t="s">
        <v>13645</v>
      </c>
      <c r="L4094" s="0" t="str">
        <f aca="false">HYPERLINK("https://www.ncbi.nlm.nih.gov/nuccore/CP000058.1?report=graph&amp;tracks=[key:gene_model_track,Options:GeneOnly]&amp;mk=1303569:1303588|offset_9|444444,1303530:1303549|offset_48|444444,1303510:1303529|offset_68|00cc00,1303487:1303506|offset_91|444444&amp;v=1303368:1303706&amp;c=444444", "offset 68")</f>
        <v>offset 68</v>
      </c>
    </row>
    <row r="4095" customFormat="false" ht="12.8" hidden="false" customHeight="false" outlineLevel="0" collapsed="false">
      <c r="A4095" s="0" t="s">
        <v>12</v>
      </c>
      <c r="B4095" s="0" t="n">
        <v>1303486</v>
      </c>
      <c r="C4095" s="0" t="n">
        <v>1303506</v>
      </c>
      <c r="D4095" s="0" t="s">
        <v>13635</v>
      </c>
      <c r="E4095" s="0" t="s">
        <v>13636</v>
      </c>
      <c r="F4095" s="0" t="s">
        <v>90</v>
      </c>
      <c r="G4095" s="0" t="s">
        <v>16</v>
      </c>
      <c r="H4095" s="0" t="n">
        <v>91</v>
      </c>
      <c r="I4095" s="0" t="s">
        <v>13646</v>
      </c>
      <c r="J4095" s="0" t="s">
        <v>13647</v>
      </c>
      <c r="K4095" s="0" t="s">
        <v>13648</v>
      </c>
      <c r="L4095" s="0" t="str">
        <f aca="false">HYPERLINK("https://www.ncbi.nlm.nih.gov/nuccore/CP000058.1?report=graph&amp;tracks=[key:gene_model_track,Options:GeneOnly]&amp;mk=1303569:1303588|offset_9|444444,1303530:1303549|offset_48|444444,1303510:1303529|offset_68|444444,1303487:1303506|offset_91|00cc00&amp;v=1303368:1303706&amp;c=444444", "offset 91")</f>
        <v>offset 91</v>
      </c>
    </row>
    <row r="4096" customFormat="false" ht="12.8" hidden="false" customHeight="false" outlineLevel="0" collapsed="false">
      <c r="A4096" s="0" t="s">
        <v>12</v>
      </c>
      <c r="B4096" s="0" t="n">
        <v>1304342</v>
      </c>
      <c r="C4096" s="0" t="n">
        <v>1304362</v>
      </c>
      <c r="D4096" s="0" t="s">
        <v>13649</v>
      </c>
      <c r="E4096" s="0" t="s">
        <v>13650</v>
      </c>
      <c r="F4096" s="0" t="s">
        <v>90</v>
      </c>
      <c r="G4096" s="0" t="s">
        <v>32</v>
      </c>
      <c r="H4096" s="0" t="n">
        <v>22</v>
      </c>
      <c r="I4096" s="0" t="s">
        <v>13651</v>
      </c>
      <c r="J4096" s="0" t="s">
        <v>13652</v>
      </c>
      <c r="K4096" s="0" t="s">
        <v>13653</v>
      </c>
      <c r="L4096" s="0" t="str">
        <f aca="false">HYPERLINK("https://www.ncbi.nlm.nih.gov/nuccore/CP000058.1?report=graph&amp;tracks=[key:gene_model_track,Options:GeneOnly]&amp;mk=1304343:1304362|offset_22|00cc00,1304310:1304329|offset_55|444444,1304285:1304304|offset_80|444444,1304262:1304281|offset_103|444444&amp;v=1304142:1304481&amp;c=444444", "offset 22")</f>
        <v>offset 22</v>
      </c>
    </row>
    <row r="4097" customFormat="false" ht="12.8" hidden="false" customHeight="false" outlineLevel="0" collapsed="false">
      <c r="A4097" s="0" t="s">
        <v>12</v>
      </c>
      <c r="B4097" s="0" t="n">
        <v>1304309</v>
      </c>
      <c r="C4097" s="0" t="n">
        <v>1304329</v>
      </c>
      <c r="D4097" s="0" t="s">
        <v>13649</v>
      </c>
      <c r="E4097" s="0" t="s">
        <v>13650</v>
      </c>
      <c r="F4097" s="0" t="s">
        <v>90</v>
      </c>
      <c r="G4097" s="0" t="s">
        <v>20</v>
      </c>
      <c r="H4097" s="0" t="n">
        <v>55</v>
      </c>
      <c r="I4097" s="0" t="s">
        <v>13654</v>
      </c>
      <c r="J4097" s="0" t="s">
        <v>13655</v>
      </c>
      <c r="K4097" s="0" t="s">
        <v>13656</v>
      </c>
      <c r="L4097" s="0" t="str">
        <f aca="false">HYPERLINK("https://www.ncbi.nlm.nih.gov/nuccore/CP000058.1?report=graph&amp;tracks=[key:gene_model_track,Options:GeneOnly]&amp;mk=1304343:1304362|offset_22|444444,1304310:1304329|offset_55|00cc00,1304285:1304304|offset_80|444444,1304262:1304281|offset_103|444444&amp;v=1304142:1304481&amp;c=444444", "offset 55")</f>
        <v>offset 55</v>
      </c>
    </row>
    <row r="4098" customFormat="false" ht="12.8" hidden="false" customHeight="false" outlineLevel="0" collapsed="false">
      <c r="A4098" s="0" t="s">
        <v>12</v>
      </c>
      <c r="B4098" s="0" t="n">
        <v>1304284</v>
      </c>
      <c r="C4098" s="0" t="n">
        <v>1304304</v>
      </c>
      <c r="D4098" s="0" t="s">
        <v>13649</v>
      </c>
      <c r="E4098" s="0" t="s">
        <v>13650</v>
      </c>
      <c r="F4098" s="0" t="s">
        <v>90</v>
      </c>
      <c r="G4098" s="0" t="s">
        <v>20</v>
      </c>
      <c r="H4098" s="0" t="n">
        <v>80</v>
      </c>
      <c r="I4098" s="0" t="s">
        <v>13657</v>
      </c>
      <c r="J4098" s="0" t="s">
        <v>13658</v>
      </c>
      <c r="K4098" s="0" t="s">
        <v>13659</v>
      </c>
      <c r="L4098" s="0" t="str">
        <f aca="false">HYPERLINK("https://www.ncbi.nlm.nih.gov/nuccore/CP000058.1?report=graph&amp;tracks=[key:gene_model_track,Options:GeneOnly]&amp;mk=1304343:1304362|offset_22|444444,1304310:1304329|offset_55|444444,1304285:1304304|offset_80|00cc00,1304262:1304281|offset_103|444444&amp;v=1304142:1304481&amp;c=444444", "offset 80")</f>
        <v>offset 80</v>
      </c>
    </row>
    <row r="4099" customFormat="false" ht="12.8" hidden="false" customHeight="false" outlineLevel="0" collapsed="false">
      <c r="A4099" s="0" t="s">
        <v>12</v>
      </c>
      <c r="B4099" s="0" t="n">
        <v>1304261</v>
      </c>
      <c r="C4099" s="0" t="n">
        <v>1304281</v>
      </c>
      <c r="D4099" s="0" t="s">
        <v>13649</v>
      </c>
      <c r="E4099" s="0" t="s">
        <v>13650</v>
      </c>
      <c r="F4099" s="0" t="s">
        <v>90</v>
      </c>
      <c r="G4099" s="0" t="s">
        <v>16</v>
      </c>
      <c r="H4099" s="0" t="n">
        <v>103</v>
      </c>
      <c r="I4099" s="0" t="s">
        <v>13660</v>
      </c>
      <c r="J4099" s="0" t="s">
        <v>13661</v>
      </c>
      <c r="K4099" s="0" t="s">
        <v>13662</v>
      </c>
      <c r="L4099" s="0" t="str">
        <f aca="false">HYPERLINK("https://www.ncbi.nlm.nih.gov/nuccore/CP000058.1?report=graph&amp;tracks=[key:gene_model_track,Options:GeneOnly]&amp;mk=1304343:1304362|offset_22|444444,1304310:1304329|offset_55|444444,1304285:1304304|offset_80|444444,1304262:1304281|offset_103|00cc00&amp;v=1304142:1304481&amp;c=444444", "offset 103")</f>
        <v>offset 103</v>
      </c>
    </row>
    <row r="4100" customFormat="false" ht="12.8" hidden="false" customHeight="false" outlineLevel="0" collapsed="false">
      <c r="A4100" s="0" t="s">
        <v>12</v>
      </c>
      <c r="B4100" s="0" t="n">
        <v>1305545</v>
      </c>
      <c r="C4100" s="0" t="n">
        <v>1305565</v>
      </c>
      <c r="D4100" s="0" t="s">
        <v>13663</v>
      </c>
      <c r="E4100" s="0" t="s">
        <v>13664</v>
      </c>
      <c r="F4100" s="0" t="s">
        <v>90</v>
      </c>
      <c r="G4100" s="0" t="s">
        <v>36</v>
      </c>
      <c r="H4100" s="0" t="n">
        <v>7</v>
      </c>
      <c r="I4100" s="0" t="s">
        <v>13665</v>
      </c>
      <c r="J4100" s="0" t="s">
        <v>13666</v>
      </c>
      <c r="K4100" s="0" t="s">
        <v>13667</v>
      </c>
      <c r="L4100" s="0" t="str">
        <f aca="false">HYPERLINK("https://www.ncbi.nlm.nih.gov/nuccore/CP000058.1?report=graph&amp;tracks=[key:gene_model_track,Options:GeneOnly]&amp;mk=1305546:1305565|offset_7|00cc00,1305519:1305538|offset_34|444444,1305495:1305514|offset_58|444444,1305462:1305481|offset_91|444444&amp;v=1305345:1305681&amp;c=444444", "offset 7")</f>
        <v>offset 7</v>
      </c>
    </row>
    <row r="4101" customFormat="false" ht="12.8" hidden="false" customHeight="false" outlineLevel="0" collapsed="false">
      <c r="A4101" s="0" t="s">
        <v>12</v>
      </c>
      <c r="B4101" s="0" t="n">
        <v>1305518</v>
      </c>
      <c r="C4101" s="0" t="n">
        <v>1305538</v>
      </c>
      <c r="D4101" s="0" t="s">
        <v>13663</v>
      </c>
      <c r="E4101" s="0" t="s">
        <v>13664</v>
      </c>
      <c r="F4101" s="0" t="s">
        <v>90</v>
      </c>
      <c r="G4101" s="0" t="s">
        <v>32</v>
      </c>
      <c r="H4101" s="0" t="n">
        <v>34</v>
      </c>
      <c r="I4101" s="0" t="s">
        <v>13668</v>
      </c>
      <c r="J4101" s="0" t="s">
        <v>13669</v>
      </c>
      <c r="K4101" s="0" t="s">
        <v>13670</v>
      </c>
      <c r="L4101" s="0" t="str">
        <f aca="false">HYPERLINK("https://www.ncbi.nlm.nih.gov/nuccore/CP000058.1?report=graph&amp;tracks=[key:gene_model_track,Options:GeneOnly]&amp;mk=1305546:1305565|offset_7|444444,1305519:1305538|offset_34|00cc00,1305495:1305514|offset_58|444444,1305462:1305481|offset_91|444444&amp;v=1305345:1305681&amp;c=444444", "offset 34")</f>
        <v>offset 34</v>
      </c>
    </row>
    <row r="4102" customFormat="false" ht="12.8" hidden="false" customHeight="false" outlineLevel="0" collapsed="false">
      <c r="A4102" s="0" t="s">
        <v>12</v>
      </c>
      <c r="B4102" s="0" t="n">
        <v>1305494</v>
      </c>
      <c r="C4102" s="0" t="n">
        <v>1305514</v>
      </c>
      <c r="D4102" s="0" t="s">
        <v>13663</v>
      </c>
      <c r="E4102" s="0" t="s">
        <v>13664</v>
      </c>
      <c r="F4102" s="0" t="s">
        <v>90</v>
      </c>
      <c r="G4102" s="0" t="s">
        <v>36</v>
      </c>
      <c r="H4102" s="0" t="n">
        <v>58</v>
      </c>
      <c r="I4102" s="0" t="s">
        <v>13671</v>
      </c>
      <c r="J4102" s="0" t="s">
        <v>13672</v>
      </c>
      <c r="K4102" s="0" t="s">
        <v>13673</v>
      </c>
      <c r="L4102" s="0" t="str">
        <f aca="false">HYPERLINK("https://www.ncbi.nlm.nih.gov/nuccore/CP000058.1?report=graph&amp;tracks=[key:gene_model_track,Options:GeneOnly]&amp;mk=1305546:1305565|offset_7|444444,1305519:1305538|offset_34|444444,1305495:1305514|offset_58|00cc00,1305462:1305481|offset_91|444444&amp;v=1305345:1305681&amp;c=444444", "offset 58")</f>
        <v>offset 58</v>
      </c>
    </row>
    <row r="4103" customFormat="false" ht="12.8" hidden="false" customHeight="false" outlineLevel="0" collapsed="false">
      <c r="A4103" s="0" t="s">
        <v>12</v>
      </c>
      <c r="B4103" s="0" t="n">
        <v>1305461</v>
      </c>
      <c r="C4103" s="0" t="n">
        <v>1305481</v>
      </c>
      <c r="D4103" s="0" t="s">
        <v>13663</v>
      </c>
      <c r="E4103" s="0" t="s">
        <v>13664</v>
      </c>
      <c r="F4103" s="0" t="s">
        <v>90</v>
      </c>
      <c r="G4103" s="0" t="s">
        <v>20</v>
      </c>
      <c r="H4103" s="0" t="n">
        <v>91</v>
      </c>
      <c r="I4103" s="0" t="s">
        <v>13674</v>
      </c>
      <c r="J4103" s="0" t="s">
        <v>13675</v>
      </c>
      <c r="K4103" s="0" t="s">
        <v>13676</v>
      </c>
      <c r="L4103" s="0" t="str">
        <f aca="false">HYPERLINK("https://www.ncbi.nlm.nih.gov/nuccore/CP000058.1?report=graph&amp;tracks=[key:gene_model_track,Options:GeneOnly]&amp;mk=1305546:1305565|offset_7|444444,1305519:1305538|offset_34|444444,1305495:1305514|offset_58|444444,1305462:1305481|offset_91|00cc00&amp;v=1305345:1305681&amp;c=444444", "offset 91")</f>
        <v>offset 91</v>
      </c>
    </row>
    <row r="4104" customFormat="false" ht="12.8" hidden="false" customHeight="false" outlineLevel="0" collapsed="false">
      <c r="A4104" s="0" t="s">
        <v>12</v>
      </c>
      <c r="B4104" s="0" t="n">
        <v>1307103</v>
      </c>
      <c r="C4104" s="0" t="n">
        <v>1307123</v>
      </c>
      <c r="D4104" s="0" t="s">
        <v>13677</v>
      </c>
      <c r="E4104" s="0" t="s">
        <v>13678</v>
      </c>
      <c r="F4104" s="0" t="s">
        <v>90</v>
      </c>
      <c r="G4104" s="0" t="s">
        <v>32</v>
      </c>
      <c r="H4104" s="0" t="n">
        <v>16</v>
      </c>
      <c r="I4104" s="0" t="s">
        <v>13679</v>
      </c>
      <c r="J4104" s="0" t="s">
        <v>13680</v>
      </c>
      <c r="K4104" s="0" t="s">
        <v>13681</v>
      </c>
      <c r="L4104" s="0" t="str">
        <f aca="false">HYPERLINK("https://www.ncbi.nlm.nih.gov/nuccore/CP000058.1?report=graph&amp;tracks=[key:gene_model_track,Options:GeneOnly]&amp;mk=1307104:1307123|offset_16|00cc00,1307078:1307097|offset_42|444444,1307055:1307074|offset_65|444444,1307014:1307033|offset_106|444444&amp;v=1306903:1307233&amp;c=444444", "offset 16")</f>
        <v>offset 16</v>
      </c>
    </row>
    <row r="4105" customFormat="false" ht="12.8" hidden="false" customHeight="false" outlineLevel="0" collapsed="false">
      <c r="A4105" s="0" t="s">
        <v>12</v>
      </c>
      <c r="B4105" s="0" t="n">
        <v>1307077</v>
      </c>
      <c r="C4105" s="0" t="n">
        <v>1307097</v>
      </c>
      <c r="D4105" s="0" t="s">
        <v>13677</v>
      </c>
      <c r="E4105" s="0" t="s">
        <v>13678</v>
      </c>
      <c r="F4105" s="0" t="s">
        <v>90</v>
      </c>
      <c r="G4105" s="0" t="s">
        <v>16</v>
      </c>
      <c r="H4105" s="0" t="n">
        <v>42</v>
      </c>
      <c r="I4105" s="0" t="s">
        <v>13682</v>
      </c>
      <c r="J4105" s="0" t="s">
        <v>13683</v>
      </c>
      <c r="K4105" s="0" t="s">
        <v>13684</v>
      </c>
      <c r="L4105" s="0" t="str">
        <f aca="false">HYPERLINK("https://www.ncbi.nlm.nih.gov/nuccore/CP000058.1?report=graph&amp;tracks=[key:gene_model_track,Options:GeneOnly]&amp;mk=1307104:1307123|offset_16|444444,1307078:1307097|offset_42|00cc00,1307055:1307074|offset_65|444444,1307014:1307033|offset_106|444444&amp;v=1306903:1307233&amp;c=444444", "offset 42")</f>
        <v>offset 42</v>
      </c>
    </row>
    <row r="4106" customFormat="false" ht="12.8" hidden="false" customHeight="false" outlineLevel="0" collapsed="false">
      <c r="A4106" s="0" t="s">
        <v>12</v>
      </c>
      <c r="B4106" s="0" t="n">
        <v>1307054</v>
      </c>
      <c r="C4106" s="0" t="n">
        <v>1307074</v>
      </c>
      <c r="D4106" s="0" t="s">
        <v>13677</v>
      </c>
      <c r="E4106" s="0" t="s">
        <v>13678</v>
      </c>
      <c r="F4106" s="0" t="s">
        <v>90</v>
      </c>
      <c r="G4106" s="0" t="s">
        <v>20</v>
      </c>
      <c r="H4106" s="0" t="n">
        <v>65</v>
      </c>
      <c r="I4106" s="0" t="s">
        <v>13685</v>
      </c>
      <c r="J4106" s="0" t="s">
        <v>13686</v>
      </c>
      <c r="K4106" s="0" t="s">
        <v>13687</v>
      </c>
      <c r="L4106" s="0" t="str">
        <f aca="false">HYPERLINK("https://www.ncbi.nlm.nih.gov/nuccore/CP000058.1?report=graph&amp;tracks=[key:gene_model_track,Options:GeneOnly]&amp;mk=1307104:1307123|offset_16|444444,1307078:1307097|offset_42|444444,1307055:1307074|offset_65|00cc00,1307014:1307033|offset_106|444444&amp;v=1306903:1307233&amp;c=444444", "offset 65")</f>
        <v>offset 65</v>
      </c>
    </row>
    <row r="4107" customFormat="false" ht="12.8" hidden="false" customHeight="false" outlineLevel="0" collapsed="false">
      <c r="A4107" s="0" t="s">
        <v>12</v>
      </c>
      <c r="B4107" s="0" t="n">
        <v>1307013</v>
      </c>
      <c r="C4107" s="0" t="n">
        <v>1307033</v>
      </c>
      <c r="D4107" s="0" t="s">
        <v>13677</v>
      </c>
      <c r="E4107" s="0" t="s">
        <v>13678</v>
      </c>
      <c r="F4107" s="0" t="s">
        <v>90</v>
      </c>
      <c r="G4107" s="0" t="s">
        <v>32</v>
      </c>
      <c r="H4107" s="0" t="n">
        <v>106</v>
      </c>
      <c r="I4107" s="0" t="s">
        <v>13688</v>
      </c>
      <c r="J4107" s="0" t="s">
        <v>13689</v>
      </c>
      <c r="K4107" s="0" t="s">
        <v>13690</v>
      </c>
      <c r="L4107" s="0" t="str">
        <f aca="false">HYPERLINK("https://www.ncbi.nlm.nih.gov/nuccore/CP000058.1?report=graph&amp;tracks=[key:gene_model_track,Options:GeneOnly]&amp;mk=1307104:1307123|offset_16|444444,1307078:1307097|offset_42|444444,1307055:1307074|offset_65|444444,1307014:1307033|offset_106|00cc00&amp;v=1306903:1307233&amp;c=444444", "offset 106")</f>
        <v>offset 106</v>
      </c>
    </row>
    <row r="4108" customFormat="false" ht="12.8" hidden="false" customHeight="false" outlineLevel="0" collapsed="false">
      <c r="A4108" s="0" t="s">
        <v>12</v>
      </c>
      <c r="B4108" s="0" t="n">
        <v>1308439</v>
      </c>
      <c r="C4108" s="0" t="n">
        <v>1308459</v>
      </c>
      <c r="D4108" s="0" t="s">
        <v>13691</v>
      </c>
      <c r="E4108" s="0" t="s">
        <v>13692</v>
      </c>
      <c r="F4108" s="0" t="s">
        <v>90</v>
      </c>
      <c r="G4108" s="0" t="s">
        <v>20</v>
      </c>
      <c r="H4108" s="0" t="n">
        <v>12</v>
      </c>
      <c r="I4108" s="0" t="s">
        <v>13693</v>
      </c>
      <c r="J4108" s="0" t="s">
        <v>13694</v>
      </c>
      <c r="K4108" s="0" t="s">
        <v>13695</v>
      </c>
      <c r="L4108" s="0" t="str">
        <f aca="false">HYPERLINK("https://www.ncbi.nlm.nih.gov/nuccore/CP000058.1?report=graph&amp;tracks=[key:gene_model_track,Options:GeneOnly]&amp;mk=1308440:1308459|offset_12|00cc00,1308420:1308439|offset_32|444444,1308370:1308389|offset_82|444444,1308337:1308356|offset_115|444444&amp;v=1308239:1308556&amp;c=444444", "offset 12")</f>
        <v>offset 12</v>
      </c>
    </row>
    <row r="4109" customFormat="false" ht="12.8" hidden="false" customHeight="false" outlineLevel="0" collapsed="false">
      <c r="A4109" s="0" t="s">
        <v>12</v>
      </c>
      <c r="B4109" s="0" t="n">
        <v>1308419</v>
      </c>
      <c r="C4109" s="0" t="n">
        <v>1308439</v>
      </c>
      <c r="D4109" s="0" t="s">
        <v>13691</v>
      </c>
      <c r="E4109" s="0" t="s">
        <v>13692</v>
      </c>
      <c r="F4109" s="0" t="s">
        <v>90</v>
      </c>
      <c r="G4109" s="0" t="s">
        <v>20</v>
      </c>
      <c r="H4109" s="0" t="n">
        <v>32</v>
      </c>
      <c r="I4109" s="0" t="s">
        <v>13696</v>
      </c>
      <c r="J4109" s="0" t="s">
        <v>13697</v>
      </c>
      <c r="K4109" s="0" t="s">
        <v>13698</v>
      </c>
      <c r="L4109" s="0" t="str">
        <f aca="false">HYPERLINK("https://www.ncbi.nlm.nih.gov/nuccore/CP000058.1?report=graph&amp;tracks=[key:gene_model_track,Options:GeneOnly]&amp;mk=1308440:1308459|offset_12|444444,1308420:1308439|offset_32|00cc00,1308370:1308389|offset_82|444444,1308337:1308356|offset_115|444444&amp;v=1308239:1308556&amp;c=444444", "offset 32")</f>
        <v>offset 32</v>
      </c>
    </row>
    <row r="4110" customFormat="false" ht="12.8" hidden="false" customHeight="false" outlineLevel="0" collapsed="false">
      <c r="A4110" s="0" t="s">
        <v>12</v>
      </c>
      <c r="B4110" s="0" t="n">
        <v>1308369</v>
      </c>
      <c r="C4110" s="0" t="n">
        <v>1308389</v>
      </c>
      <c r="D4110" s="0" t="s">
        <v>13691</v>
      </c>
      <c r="E4110" s="0" t="s">
        <v>13692</v>
      </c>
      <c r="F4110" s="0" t="s">
        <v>90</v>
      </c>
      <c r="G4110" s="0" t="s">
        <v>16</v>
      </c>
      <c r="H4110" s="0" t="n">
        <v>82</v>
      </c>
      <c r="I4110" s="0" t="s">
        <v>13699</v>
      </c>
      <c r="J4110" s="0" t="s">
        <v>13700</v>
      </c>
      <c r="K4110" s="0" t="s">
        <v>13701</v>
      </c>
      <c r="L4110" s="0" t="str">
        <f aca="false">HYPERLINK("https://www.ncbi.nlm.nih.gov/nuccore/CP000058.1?report=graph&amp;tracks=[key:gene_model_track,Options:GeneOnly]&amp;mk=1308440:1308459|offset_12|444444,1308420:1308439|offset_32|444444,1308370:1308389|offset_82|00cc00,1308337:1308356|offset_115|444444&amp;v=1308239:1308556&amp;c=444444", "offset 82")</f>
        <v>offset 82</v>
      </c>
    </row>
    <row r="4111" customFormat="false" ht="12.8" hidden="false" customHeight="false" outlineLevel="0" collapsed="false">
      <c r="A4111" s="0" t="s">
        <v>12</v>
      </c>
      <c r="B4111" s="0" t="n">
        <v>1308336</v>
      </c>
      <c r="C4111" s="0" t="n">
        <v>1308356</v>
      </c>
      <c r="D4111" s="0" t="s">
        <v>13691</v>
      </c>
      <c r="E4111" s="0" t="s">
        <v>13692</v>
      </c>
      <c r="F4111" s="0" t="s">
        <v>90</v>
      </c>
      <c r="G4111" s="0" t="s">
        <v>36</v>
      </c>
      <c r="H4111" s="0" t="n">
        <v>115</v>
      </c>
      <c r="I4111" s="0" t="s">
        <v>13702</v>
      </c>
      <c r="J4111" s="0" t="s">
        <v>13703</v>
      </c>
      <c r="K4111" s="0" t="s">
        <v>13704</v>
      </c>
      <c r="L4111" s="0" t="str">
        <f aca="false">HYPERLINK("https://www.ncbi.nlm.nih.gov/nuccore/CP000058.1?report=graph&amp;tracks=[key:gene_model_track,Options:GeneOnly]&amp;mk=1308440:1308459|offset_12|444444,1308420:1308439|offset_32|444444,1308370:1308389|offset_82|444444,1308337:1308356|offset_115|00cc00&amp;v=1308239:1308556&amp;c=444444", "offset 115")</f>
        <v>offset 115</v>
      </c>
    </row>
    <row r="4112" customFormat="false" ht="12.8" hidden="false" customHeight="false" outlineLevel="0" collapsed="false">
      <c r="A4112" s="0" t="s">
        <v>12</v>
      </c>
      <c r="B4112" s="0" t="n">
        <v>1309867</v>
      </c>
      <c r="C4112" s="0" t="n">
        <v>1309887</v>
      </c>
      <c r="D4112" s="0" t="s">
        <v>13705</v>
      </c>
      <c r="E4112" s="0" t="s">
        <v>13706</v>
      </c>
      <c r="F4112" s="0" t="s">
        <v>90</v>
      </c>
      <c r="G4112" s="0" t="s">
        <v>20</v>
      </c>
      <c r="H4112" s="0" t="n">
        <v>32</v>
      </c>
      <c r="I4112" s="0" t="s">
        <v>13707</v>
      </c>
      <c r="J4112" s="0" t="s">
        <v>13708</v>
      </c>
      <c r="K4112" s="0" t="s">
        <v>13709</v>
      </c>
      <c r="L4112" s="0" t="str">
        <f aca="false">HYPERLINK("https://www.ncbi.nlm.nih.gov/nuccore/CP000058.1?report=graph&amp;tracks=[key:gene_model_track,Options:GeneOnly]&amp;mk=1309868:1309887|offset_32|00cc00,1309848:1309867|offset_52|444444,1309788:1309807|offset_112|444444,1309766:1309785|offset_134|444444&amp;v=1309667:1309985&amp;c=444444", "offset 32")</f>
        <v>offset 32</v>
      </c>
    </row>
    <row r="4113" customFormat="false" ht="12.8" hidden="false" customHeight="false" outlineLevel="0" collapsed="false">
      <c r="A4113" s="0" t="s">
        <v>12</v>
      </c>
      <c r="B4113" s="0" t="n">
        <v>1309847</v>
      </c>
      <c r="C4113" s="0" t="n">
        <v>1309867</v>
      </c>
      <c r="D4113" s="0" t="s">
        <v>13705</v>
      </c>
      <c r="E4113" s="0" t="s">
        <v>13706</v>
      </c>
      <c r="F4113" s="0" t="s">
        <v>90</v>
      </c>
      <c r="G4113" s="0" t="s">
        <v>20</v>
      </c>
      <c r="H4113" s="0" t="n">
        <v>52</v>
      </c>
      <c r="I4113" s="0" t="s">
        <v>13710</v>
      </c>
      <c r="J4113" s="0" t="s">
        <v>13711</v>
      </c>
      <c r="K4113" s="0" t="s">
        <v>13712</v>
      </c>
      <c r="L4113" s="0" t="str">
        <f aca="false">HYPERLINK("https://www.ncbi.nlm.nih.gov/nuccore/CP000058.1?report=graph&amp;tracks=[key:gene_model_track,Options:GeneOnly]&amp;mk=1309868:1309887|offset_32|444444,1309848:1309867|offset_52|00cc00,1309788:1309807|offset_112|444444,1309766:1309785|offset_134|444444&amp;v=1309667:1309985&amp;c=444444", "offset 52")</f>
        <v>offset 52</v>
      </c>
    </row>
    <row r="4114" customFormat="false" ht="12.8" hidden="false" customHeight="false" outlineLevel="0" collapsed="false">
      <c r="A4114" s="0" t="s">
        <v>12</v>
      </c>
      <c r="B4114" s="0" t="n">
        <v>1309787</v>
      </c>
      <c r="C4114" s="0" t="n">
        <v>1309807</v>
      </c>
      <c r="D4114" s="0" t="s">
        <v>13705</v>
      </c>
      <c r="E4114" s="0" t="s">
        <v>13706</v>
      </c>
      <c r="F4114" s="0" t="s">
        <v>90</v>
      </c>
      <c r="G4114" s="0" t="s">
        <v>16</v>
      </c>
      <c r="H4114" s="0" t="n">
        <v>112</v>
      </c>
      <c r="I4114" s="0" t="s">
        <v>13713</v>
      </c>
      <c r="J4114" s="0" t="s">
        <v>13714</v>
      </c>
      <c r="K4114" s="0" t="s">
        <v>13715</v>
      </c>
      <c r="L4114" s="0" t="str">
        <f aca="false">HYPERLINK("https://www.ncbi.nlm.nih.gov/nuccore/CP000058.1?report=graph&amp;tracks=[key:gene_model_track,Options:GeneOnly]&amp;mk=1309868:1309887|offset_32|444444,1309848:1309867|offset_52|444444,1309788:1309807|offset_112|00cc00,1309766:1309785|offset_134|444444&amp;v=1309667:1309985&amp;c=444444", "offset 112")</f>
        <v>offset 112</v>
      </c>
    </row>
    <row r="4115" customFormat="false" ht="12.8" hidden="false" customHeight="false" outlineLevel="0" collapsed="false">
      <c r="A4115" s="0" t="s">
        <v>12</v>
      </c>
      <c r="B4115" s="0" t="n">
        <v>1309765</v>
      </c>
      <c r="C4115" s="0" t="n">
        <v>1309785</v>
      </c>
      <c r="D4115" s="0" t="s">
        <v>13705</v>
      </c>
      <c r="E4115" s="0" t="s">
        <v>13706</v>
      </c>
      <c r="F4115" s="0" t="s">
        <v>90</v>
      </c>
      <c r="G4115" s="0" t="s">
        <v>36</v>
      </c>
      <c r="H4115" s="0" t="n">
        <v>134</v>
      </c>
      <c r="I4115" s="0" t="s">
        <v>13716</v>
      </c>
      <c r="J4115" s="0" t="s">
        <v>13717</v>
      </c>
      <c r="K4115" s="0" t="s">
        <v>13718</v>
      </c>
      <c r="L4115" s="0" t="str">
        <f aca="false">HYPERLINK("https://www.ncbi.nlm.nih.gov/nuccore/CP000058.1?report=graph&amp;tracks=[key:gene_model_track,Options:GeneOnly]&amp;mk=1309868:1309887|offset_32|444444,1309848:1309867|offset_52|444444,1309788:1309807|offset_112|444444,1309766:1309785|offset_134|00cc00&amp;v=1309667:1309985&amp;c=444444", "offset 134")</f>
        <v>offset 134</v>
      </c>
    </row>
    <row r="4116" customFormat="false" ht="12.8" hidden="false" customHeight="false" outlineLevel="0" collapsed="false">
      <c r="A4116" s="0" t="s">
        <v>12</v>
      </c>
      <c r="B4116" s="0" t="n">
        <v>1311492</v>
      </c>
      <c r="C4116" s="0" t="n">
        <v>1311512</v>
      </c>
      <c r="D4116" s="0" t="s">
        <v>13719</v>
      </c>
      <c r="E4116" s="0" t="s">
        <v>13720</v>
      </c>
      <c r="F4116" s="0" t="s">
        <v>90</v>
      </c>
      <c r="G4116" s="0" t="s">
        <v>16</v>
      </c>
      <c r="H4116" s="0" t="n">
        <v>32</v>
      </c>
      <c r="I4116" s="0" t="s">
        <v>13721</v>
      </c>
      <c r="J4116" s="0" t="s">
        <v>13722</v>
      </c>
      <c r="K4116" s="0" t="s">
        <v>13723</v>
      </c>
      <c r="L4116" s="0" t="str">
        <f aca="false">HYPERLINK("https://www.ncbi.nlm.nih.gov/nuccore/CP000058.1?report=graph&amp;tracks=[key:gene_model_track,Options:GeneOnly]&amp;mk=1311493:1311512|offset_32|00cc00,1311452:1311471|offset_73|444444,1311410:1311429|offset_115|444444,1311359:1311378|offset_166|444444&amp;v=1311292:1311578&amp;c=444444", "offset 32")</f>
        <v>offset 32</v>
      </c>
    </row>
    <row r="4117" customFormat="false" ht="12.8" hidden="false" customHeight="false" outlineLevel="0" collapsed="false">
      <c r="A4117" s="0" t="s">
        <v>12</v>
      </c>
      <c r="B4117" s="0" t="n">
        <v>1311451</v>
      </c>
      <c r="C4117" s="0" t="n">
        <v>1311471</v>
      </c>
      <c r="D4117" s="0" t="s">
        <v>13719</v>
      </c>
      <c r="E4117" s="0" t="s">
        <v>13720</v>
      </c>
      <c r="F4117" s="0" t="s">
        <v>90</v>
      </c>
      <c r="G4117" s="0" t="s">
        <v>32</v>
      </c>
      <c r="H4117" s="0" t="n">
        <v>73</v>
      </c>
      <c r="I4117" s="0" t="s">
        <v>13724</v>
      </c>
      <c r="J4117" s="0" t="s">
        <v>13725</v>
      </c>
      <c r="K4117" s="0" t="s">
        <v>13726</v>
      </c>
      <c r="L4117" s="0" t="str">
        <f aca="false">HYPERLINK("https://www.ncbi.nlm.nih.gov/nuccore/CP000058.1?report=graph&amp;tracks=[key:gene_model_track,Options:GeneOnly]&amp;mk=1311493:1311512|offset_32|444444,1311452:1311471|offset_73|00cc00,1311410:1311429|offset_115|444444,1311359:1311378|offset_166|444444&amp;v=1311292:1311578&amp;c=444444", "offset 73")</f>
        <v>offset 73</v>
      </c>
    </row>
    <row r="4118" customFormat="false" ht="12.8" hidden="false" customHeight="false" outlineLevel="0" collapsed="false">
      <c r="A4118" s="0" t="s">
        <v>12</v>
      </c>
      <c r="B4118" s="0" t="n">
        <v>1311409</v>
      </c>
      <c r="C4118" s="0" t="n">
        <v>1311429</v>
      </c>
      <c r="D4118" s="0" t="s">
        <v>13719</v>
      </c>
      <c r="E4118" s="0" t="s">
        <v>13720</v>
      </c>
      <c r="F4118" s="0" t="s">
        <v>90</v>
      </c>
      <c r="G4118" s="0" t="s">
        <v>36</v>
      </c>
      <c r="H4118" s="0" t="n">
        <v>115</v>
      </c>
      <c r="I4118" s="0" t="s">
        <v>13727</v>
      </c>
      <c r="J4118" s="0" t="s">
        <v>13728</v>
      </c>
      <c r="K4118" s="0" t="s">
        <v>13729</v>
      </c>
      <c r="L4118" s="0" t="str">
        <f aca="false">HYPERLINK("https://www.ncbi.nlm.nih.gov/nuccore/CP000058.1?report=graph&amp;tracks=[key:gene_model_track,Options:GeneOnly]&amp;mk=1311493:1311512|offset_32|444444,1311452:1311471|offset_73|444444,1311410:1311429|offset_115|00cc00,1311359:1311378|offset_166|444444&amp;v=1311292:1311578&amp;c=444444", "offset 115")</f>
        <v>offset 115</v>
      </c>
    </row>
    <row r="4119" customFormat="false" ht="12.8" hidden="false" customHeight="false" outlineLevel="0" collapsed="false">
      <c r="A4119" s="0" t="s">
        <v>12</v>
      </c>
      <c r="B4119" s="0" t="n">
        <v>1311358</v>
      </c>
      <c r="C4119" s="0" t="n">
        <v>1311378</v>
      </c>
      <c r="D4119" s="0" t="s">
        <v>13719</v>
      </c>
      <c r="E4119" s="0" t="s">
        <v>13720</v>
      </c>
      <c r="F4119" s="0" t="s">
        <v>90</v>
      </c>
      <c r="G4119" s="0" t="s">
        <v>32</v>
      </c>
      <c r="H4119" s="0" t="n">
        <v>166</v>
      </c>
      <c r="I4119" s="0" t="s">
        <v>13730</v>
      </c>
      <c r="J4119" s="0" t="s">
        <v>13731</v>
      </c>
      <c r="K4119" s="0" t="s">
        <v>13732</v>
      </c>
      <c r="L4119" s="0" t="str">
        <f aca="false">HYPERLINK("https://www.ncbi.nlm.nih.gov/nuccore/CP000058.1?report=graph&amp;tracks=[key:gene_model_track,Options:GeneOnly]&amp;mk=1311493:1311512|offset_32|444444,1311452:1311471|offset_73|444444,1311410:1311429|offset_115|444444,1311359:1311378|offset_166|00cc00&amp;v=1311292:1311578&amp;c=444444", "offset 166")</f>
        <v>offset 166</v>
      </c>
    </row>
    <row r="4120" customFormat="false" ht="12.8" hidden="false" customHeight="false" outlineLevel="0" collapsed="false">
      <c r="A4120" s="0" t="s">
        <v>12</v>
      </c>
      <c r="B4120" s="0" t="n">
        <v>1313017</v>
      </c>
      <c r="C4120" s="0" t="n">
        <v>1313037</v>
      </c>
      <c r="D4120" s="0" t="s">
        <v>13733</v>
      </c>
      <c r="E4120" s="0" t="s">
        <v>13734</v>
      </c>
      <c r="F4120" s="0" t="s">
        <v>90</v>
      </c>
      <c r="G4120" s="0" t="s">
        <v>36</v>
      </c>
      <c r="H4120" s="0" t="n">
        <v>15</v>
      </c>
      <c r="I4120" s="0" t="s">
        <v>13735</v>
      </c>
      <c r="J4120" s="0" t="s">
        <v>13736</v>
      </c>
      <c r="K4120" s="0" t="s">
        <v>13737</v>
      </c>
      <c r="L4120" s="0" t="str">
        <f aca="false">HYPERLINK("https://www.ncbi.nlm.nih.gov/nuccore/CP000058.1?report=graph&amp;tracks=[key:gene_model_track,Options:GeneOnly]&amp;mk=1313018:1313037|offset_15|00cc00,1312995:1313014|offset_38|444444,1312972:1312991|offset_61|444444,1312948:1312967|offset_85|444444&amp;v=1312817:1313167&amp;c=444444", "offset 15")</f>
        <v>offset 15</v>
      </c>
    </row>
    <row r="4121" customFormat="false" ht="12.8" hidden="false" customHeight="false" outlineLevel="0" collapsed="false">
      <c r="A4121" s="0" t="s">
        <v>12</v>
      </c>
      <c r="B4121" s="0" t="n">
        <v>1312994</v>
      </c>
      <c r="C4121" s="0" t="n">
        <v>1313014</v>
      </c>
      <c r="D4121" s="0" t="s">
        <v>13733</v>
      </c>
      <c r="E4121" s="0" t="s">
        <v>13734</v>
      </c>
      <c r="F4121" s="0" t="s">
        <v>90</v>
      </c>
      <c r="G4121" s="0" t="s">
        <v>20</v>
      </c>
      <c r="H4121" s="0" t="n">
        <v>38</v>
      </c>
      <c r="I4121" s="0" t="s">
        <v>13738</v>
      </c>
      <c r="J4121" s="0" t="s">
        <v>13739</v>
      </c>
      <c r="K4121" s="0" t="s">
        <v>13740</v>
      </c>
      <c r="L4121" s="0" t="str">
        <f aca="false">HYPERLINK("https://www.ncbi.nlm.nih.gov/nuccore/CP000058.1?report=graph&amp;tracks=[key:gene_model_track,Options:GeneOnly]&amp;mk=1313018:1313037|offset_15|444444,1312995:1313014|offset_38|00cc00,1312972:1312991|offset_61|444444,1312948:1312967|offset_85|444444&amp;v=1312817:1313167&amp;c=444444", "offset 38")</f>
        <v>offset 38</v>
      </c>
    </row>
    <row r="4122" customFormat="false" ht="12.8" hidden="false" customHeight="false" outlineLevel="0" collapsed="false">
      <c r="A4122" s="0" t="s">
        <v>12</v>
      </c>
      <c r="B4122" s="0" t="n">
        <v>1312971</v>
      </c>
      <c r="C4122" s="0" t="n">
        <v>1312991</v>
      </c>
      <c r="D4122" s="0" t="s">
        <v>13733</v>
      </c>
      <c r="E4122" s="0" t="s">
        <v>13734</v>
      </c>
      <c r="F4122" s="0" t="s">
        <v>90</v>
      </c>
      <c r="G4122" s="0" t="s">
        <v>20</v>
      </c>
      <c r="H4122" s="0" t="n">
        <v>61</v>
      </c>
      <c r="I4122" s="0" t="s">
        <v>13741</v>
      </c>
      <c r="J4122" s="0" t="s">
        <v>13742</v>
      </c>
      <c r="K4122" s="0" t="s">
        <v>13743</v>
      </c>
      <c r="L4122" s="0" t="str">
        <f aca="false">HYPERLINK("https://www.ncbi.nlm.nih.gov/nuccore/CP000058.1?report=graph&amp;tracks=[key:gene_model_track,Options:GeneOnly]&amp;mk=1313018:1313037|offset_15|444444,1312995:1313014|offset_38|444444,1312972:1312991|offset_61|00cc00,1312948:1312967|offset_85|444444&amp;v=1312817:1313167&amp;c=444444", "offset 61")</f>
        <v>offset 61</v>
      </c>
    </row>
    <row r="4123" customFormat="false" ht="12.8" hidden="false" customHeight="false" outlineLevel="0" collapsed="false">
      <c r="A4123" s="0" t="s">
        <v>12</v>
      </c>
      <c r="B4123" s="0" t="n">
        <v>1312947</v>
      </c>
      <c r="C4123" s="0" t="n">
        <v>1312967</v>
      </c>
      <c r="D4123" s="0" t="s">
        <v>13733</v>
      </c>
      <c r="E4123" s="0" t="s">
        <v>13734</v>
      </c>
      <c r="F4123" s="0" t="s">
        <v>90</v>
      </c>
      <c r="G4123" s="0" t="s">
        <v>16</v>
      </c>
      <c r="H4123" s="0" t="n">
        <v>85</v>
      </c>
      <c r="I4123" s="0" t="s">
        <v>13744</v>
      </c>
      <c r="J4123" s="0" t="s">
        <v>13745</v>
      </c>
      <c r="K4123" s="0" t="s">
        <v>13746</v>
      </c>
      <c r="L4123" s="0" t="str">
        <f aca="false">HYPERLINK("https://www.ncbi.nlm.nih.gov/nuccore/CP000058.1?report=graph&amp;tracks=[key:gene_model_track,Options:GeneOnly]&amp;mk=1313018:1313037|offset_15|444444,1312995:1313014|offset_38|444444,1312972:1312991|offset_61|444444,1312948:1312967|offset_85|00cc00&amp;v=1312817:1313167&amp;c=444444", "offset 85")</f>
        <v>offset 85</v>
      </c>
    </row>
    <row r="4124" customFormat="false" ht="12.8" hidden="false" customHeight="false" outlineLevel="0" collapsed="false">
      <c r="A4124" s="0" t="s">
        <v>12</v>
      </c>
      <c r="B4124" s="0" t="n">
        <v>1314440</v>
      </c>
      <c r="C4124" s="0" t="n">
        <v>1314460</v>
      </c>
      <c r="D4124" s="0" t="s">
        <v>13747</v>
      </c>
      <c r="E4124" s="0" t="s">
        <v>13748</v>
      </c>
      <c r="F4124" s="0" t="s">
        <v>90</v>
      </c>
      <c r="G4124" s="0" t="s">
        <v>32</v>
      </c>
      <c r="H4124" s="0" t="n">
        <v>1</v>
      </c>
      <c r="I4124" s="0" t="s">
        <v>13749</v>
      </c>
      <c r="J4124" s="0" t="s">
        <v>13750</v>
      </c>
      <c r="K4124" s="0" t="s">
        <v>13751</v>
      </c>
      <c r="L4124" s="0" t="str">
        <f aca="false">HYPERLINK("https://www.ncbi.nlm.nih.gov/nuccore/CP000058.1?report=graph&amp;tracks=[key:gene_model_track,Options:GeneOnly]&amp;mk=1314441:1314460|offset_1|00cc00,1314419:1314438|offset_23|444444,1314395:1314414|offset_47|444444,1314363:1314382|offset_79|444444&amp;v=1314240:1314582&amp;c=444444", "offset 1")</f>
        <v>offset 1</v>
      </c>
    </row>
    <row r="4125" customFormat="false" ht="12.8" hidden="false" customHeight="false" outlineLevel="0" collapsed="false">
      <c r="A4125" s="0" t="s">
        <v>12</v>
      </c>
      <c r="B4125" s="0" t="n">
        <v>1314418</v>
      </c>
      <c r="C4125" s="0" t="n">
        <v>1314438</v>
      </c>
      <c r="D4125" s="0" t="s">
        <v>13747</v>
      </c>
      <c r="E4125" s="0" t="s">
        <v>13748</v>
      </c>
      <c r="F4125" s="0" t="s">
        <v>90</v>
      </c>
      <c r="G4125" s="0" t="s">
        <v>20</v>
      </c>
      <c r="H4125" s="0" t="n">
        <v>23</v>
      </c>
      <c r="I4125" s="0" t="s">
        <v>13752</v>
      </c>
      <c r="J4125" s="0" t="s">
        <v>13753</v>
      </c>
      <c r="K4125" s="0" t="s">
        <v>13754</v>
      </c>
      <c r="L4125" s="0" t="str">
        <f aca="false">HYPERLINK("https://www.ncbi.nlm.nih.gov/nuccore/CP000058.1?report=graph&amp;tracks=[key:gene_model_track,Options:GeneOnly]&amp;mk=1314441:1314460|offset_1|444444,1314419:1314438|offset_23|00cc00,1314395:1314414|offset_47|444444,1314363:1314382|offset_79|444444&amp;v=1314240:1314582&amp;c=444444", "offset 23")</f>
        <v>offset 23</v>
      </c>
    </row>
    <row r="4126" customFormat="false" ht="12.8" hidden="false" customHeight="false" outlineLevel="0" collapsed="false">
      <c r="A4126" s="0" t="s">
        <v>12</v>
      </c>
      <c r="B4126" s="0" t="n">
        <v>1314394</v>
      </c>
      <c r="C4126" s="0" t="n">
        <v>1314414</v>
      </c>
      <c r="D4126" s="0" t="s">
        <v>13747</v>
      </c>
      <c r="E4126" s="0" t="s">
        <v>13748</v>
      </c>
      <c r="F4126" s="0" t="s">
        <v>90</v>
      </c>
      <c r="G4126" s="0" t="s">
        <v>20</v>
      </c>
      <c r="H4126" s="0" t="n">
        <v>47</v>
      </c>
      <c r="I4126" s="0" t="s">
        <v>13755</v>
      </c>
      <c r="J4126" s="0" t="s">
        <v>13756</v>
      </c>
      <c r="K4126" s="0" t="s">
        <v>13757</v>
      </c>
      <c r="L4126" s="0" t="str">
        <f aca="false">HYPERLINK("https://www.ncbi.nlm.nih.gov/nuccore/CP000058.1?report=graph&amp;tracks=[key:gene_model_track,Options:GeneOnly]&amp;mk=1314441:1314460|offset_1|444444,1314419:1314438|offset_23|444444,1314395:1314414|offset_47|00cc00,1314363:1314382|offset_79|444444&amp;v=1314240:1314582&amp;c=444444", "offset 47")</f>
        <v>offset 47</v>
      </c>
    </row>
    <row r="4127" customFormat="false" ht="12.8" hidden="false" customHeight="false" outlineLevel="0" collapsed="false">
      <c r="A4127" s="0" t="s">
        <v>12</v>
      </c>
      <c r="B4127" s="0" t="n">
        <v>1314362</v>
      </c>
      <c r="C4127" s="0" t="n">
        <v>1314382</v>
      </c>
      <c r="D4127" s="0" t="s">
        <v>13747</v>
      </c>
      <c r="E4127" s="0" t="s">
        <v>13748</v>
      </c>
      <c r="F4127" s="0" t="s">
        <v>90</v>
      </c>
      <c r="G4127" s="0" t="s">
        <v>16</v>
      </c>
      <c r="H4127" s="0" t="n">
        <v>79</v>
      </c>
      <c r="I4127" s="0" t="s">
        <v>13758</v>
      </c>
      <c r="J4127" s="0" t="s">
        <v>13759</v>
      </c>
      <c r="K4127" s="0" t="s">
        <v>13760</v>
      </c>
      <c r="L4127" s="0" t="str">
        <f aca="false">HYPERLINK("https://www.ncbi.nlm.nih.gov/nuccore/CP000058.1?report=graph&amp;tracks=[key:gene_model_track,Options:GeneOnly]&amp;mk=1314441:1314460|offset_1|444444,1314419:1314438|offset_23|444444,1314395:1314414|offset_47|444444,1314363:1314382|offset_79|00cc00&amp;v=1314240:1314582&amp;c=444444", "offset 79")</f>
        <v>offset 79</v>
      </c>
    </row>
    <row r="4128" customFormat="false" ht="12.8" hidden="false" customHeight="false" outlineLevel="0" collapsed="false">
      <c r="A4128" s="0" t="s">
        <v>12</v>
      </c>
      <c r="B4128" s="0" t="n">
        <v>1315615</v>
      </c>
      <c r="C4128" s="0" t="n">
        <v>1315635</v>
      </c>
      <c r="D4128" s="0" t="s">
        <v>13761</v>
      </c>
      <c r="E4128" s="0" t="s">
        <v>75</v>
      </c>
      <c r="F4128" s="0" t="s">
        <v>90</v>
      </c>
      <c r="G4128" s="0" t="s">
        <v>32</v>
      </c>
      <c r="H4128" s="0" t="n">
        <v>1</v>
      </c>
      <c r="I4128" s="0" t="s">
        <v>13762</v>
      </c>
      <c r="J4128" s="0" t="s">
        <v>13763</v>
      </c>
      <c r="K4128" s="0" t="s">
        <v>13764</v>
      </c>
      <c r="L4128" s="0" t="str">
        <f aca="false">HYPERLINK("https://www.ncbi.nlm.nih.gov/nuccore/CP000058.1?report=graph&amp;tracks=[key:gene_model_track,Options:GeneOnly]&amp;mk=1315616:1315635|offset_1|00cc00,1315577:1315596|offset_40|444444,1315543:1315562|offset_74|444444,1315512:1315531|offset_105|444444&amp;v=1315415:1315731&amp;c=444444", "offset 1")</f>
        <v>offset 1</v>
      </c>
    </row>
    <row r="4129" customFormat="false" ht="12.8" hidden="false" customHeight="false" outlineLevel="0" collapsed="false">
      <c r="A4129" s="0" t="s">
        <v>12</v>
      </c>
      <c r="B4129" s="0" t="n">
        <v>1315576</v>
      </c>
      <c r="C4129" s="0" t="n">
        <v>1315596</v>
      </c>
      <c r="D4129" s="0" t="s">
        <v>13761</v>
      </c>
      <c r="E4129" s="0" t="s">
        <v>75</v>
      </c>
      <c r="F4129" s="0" t="s">
        <v>90</v>
      </c>
      <c r="G4129" s="0" t="s">
        <v>16</v>
      </c>
      <c r="H4129" s="0" t="n">
        <v>40</v>
      </c>
      <c r="I4129" s="0" t="s">
        <v>13765</v>
      </c>
      <c r="J4129" s="0" t="s">
        <v>13766</v>
      </c>
      <c r="K4129" s="0" t="s">
        <v>13767</v>
      </c>
      <c r="L4129" s="0" t="str">
        <f aca="false">HYPERLINK("https://www.ncbi.nlm.nih.gov/nuccore/CP000058.1?report=graph&amp;tracks=[key:gene_model_track,Options:GeneOnly]&amp;mk=1315616:1315635|offset_1|444444,1315577:1315596|offset_40|00cc00,1315543:1315562|offset_74|444444,1315512:1315531|offset_105|444444&amp;v=1315415:1315731&amp;c=444444", "offset 40")</f>
        <v>offset 40</v>
      </c>
    </row>
    <row r="4130" customFormat="false" ht="12.8" hidden="false" customHeight="false" outlineLevel="0" collapsed="false">
      <c r="A4130" s="0" t="s">
        <v>12</v>
      </c>
      <c r="B4130" s="0" t="n">
        <v>1315542</v>
      </c>
      <c r="C4130" s="0" t="n">
        <v>1315562</v>
      </c>
      <c r="D4130" s="0" t="s">
        <v>13761</v>
      </c>
      <c r="E4130" s="0" t="s">
        <v>75</v>
      </c>
      <c r="F4130" s="0" t="s">
        <v>90</v>
      </c>
      <c r="G4130" s="0" t="s">
        <v>36</v>
      </c>
      <c r="H4130" s="0" t="n">
        <v>74</v>
      </c>
      <c r="I4130" s="0" t="s">
        <v>13768</v>
      </c>
      <c r="J4130" s="0" t="s">
        <v>13769</v>
      </c>
      <c r="K4130" s="0" t="s">
        <v>13770</v>
      </c>
      <c r="L4130" s="0" t="str">
        <f aca="false">HYPERLINK("https://www.ncbi.nlm.nih.gov/nuccore/CP000058.1?report=graph&amp;tracks=[key:gene_model_track,Options:GeneOnly]&amp;mk=1315616:1315635|offset_1|444444,1315577:1315596|offset_40|444444,1315543:1315562|offset_74|00cc00,1315512:1315531|offset_105|444444&amp;v=1315415:1315731&amp;c=444444", "offset 74")</f>
        <v>offset 74</v>
      </c>
    </row>
    <row r="4131" customFormat="false" ht="12.8" hidden="false" customHeight="false" outlineLevel="0" collapsed="false">
      <c r="A4131" s="0" t="s">
        <v>12</v>
      </c>
      <c r="B4131" s="0" t="n">
        <v>1315511</v>
      </c>
      <c r="C4131" s="0" t="n">
        <v>1315531</v>
      </c>
      <c r="D4131" s="0" t="s">
        <v>13761</v>
      </c>
      <c r="E4131" s="0" t="s">
        <v>75</v>
      </c>
      <c r="F4131" s="0" t="s">
        <v>90</v>
      </c>
      <c r="G4131" s="0" t="s">
        <v>36</v>
      </c>
      <c r="H4131" s="0" t="n">
        <v>105</v>
      </c>
      <c r="I4131" s="0" t="s">
        <v>13771</v>
      </c>
      <c r="J4131" s="0" t="s">
        <v>13772</v>
      </c>
      <c r="K4131" s="0" t="s">
        <v>13773</v>
      </c>
      <c r="L4131" s="0" t="str">
        <f aca="false">HYPERLINK("https://www.ncbi.nlm.nih.gov/nuccore/CP000058.1?report=graph&amp;tracks=[key:gene_model_track,Options:GeneOnly]&amp;mk=1315616:1315635|offset_1|444444,1315577:1315596|offset_40|444444,1315543:1315562|offset_74|444444,1315512:1315531|offset_105|00cc00&amp;v=1315415:1315731&amp;c=444444", "offset 105")</f>
        <v>offset 105</v>
      </c>
    </row>
    <row r="4132" customFormat="false" ht="12.8" hidden="false" customHeight="false" outlineLevel="0" collapsed="false">
      <c r="A4132" s="0" t="s">
        <v>12</v>
      </c>
      <c r="B4132" s="0" t="n">
        <v>1317115</v>
      </c>
      <c r="C4132" s="0" t="n">
        <v>1317135</v>
      </c>
      <c r="D4132" s="0" t="s">
        <v>13774</v>
      </c>
      <c r="E4132" s="0" t="s">
        <v>75</v>
      </c>
      <c r="F4132" s="0" t="s">
        <v>90</v>
      </c>
      <c r="G4132" s="0" t="s">
        <v>20</v>
      </c>
      <c r="H4132" s="0" t="n">
        <v>23</v>
      </c>
      <c r="I4132" s="0" t="s">
        <v>13775</v>
      </c>
      <c r="J4132" s="0" t="s">
        <v>13776</v>
      </c>
      <c r="K4132" s="0" t="s">
        <v>13777</v>
      </c>
      <c r="L4132" s="0" t="str">
        <f aca="false">HYPERLINK("https://www.ncbi.nlm.nih.gov/nuccore/CP000058.1?report=graph&amp;tracks=[key:gene_model_track,Options:GeneOnly]&amp;mk=1317116:1317135|offset_23|00cc00,1317068:1317087|offset_71|444444,1317048:1317067|offset_91|444444,1317011:1317030|offset_128|444444&amp;v=1316915:1317230&amp;c=444444", "offset 23")</f>
        <v>offset 23</v>
      </c>
    </row>
    <row r="4133" customFormat="false" ht="12.8" hidden="false" customHeight="false" outlineLevel="0" collapsed="false">
      <c r="A4133" s="0" t="s">
        <v>12</v>
      </c>
      <c r="B4133" s="0" t="n">
        <v>1317067</v>
      </c>
      <c r="C4133" s="0" t="n">
        <v>1317087</v>
      </c>
      <c r="D4133" s="0" t="s">
        <v>13774</v>
      </c>
      <c r="E4133" s="0" t="s">
        <v>75</v>
      </c>
      <c r="F4133" s="0" t="s">
        <v>90</v>
      </c>
      <c r="G4133" s="0" t="s">
        <v>20</v>
      </c>
      <c r="H4133" s="0" t="n">
        <v>71</v>
      </c>
      <c r="I4133" s="0" t="s">
        <v>13778</v>
      </c>
      <c r="J4133" s="0" t="s">
        <v>13779</v>
      </c>
      <c r="K4133" s="0" t="s">
        <v>13780</v>
      </c>
      <c r="L4133" s="0" t="str">
        <f aca="false">HYPERLINK("https://www.ncbi.nlm.nih.gov/nuccore/CP000058.1?report=graph&amp;tracks=[key:gene_model_track,Options:GeneOnly]&amp;mk=1317116:1317135|offset_23|444444,1317068:1317087|offset_71|00cc00,1317048:1317067|offset_91|444444,1317011:1317030|offset_128|444444&amp;v=1316915:1317230&amp;c=444444", "offset 71")</f>
        <v>offset 71</v>
      </c>
    </row>
    <row r="4134" customFormat="false" ht="12.8" hidden="false" customHeight="false" outlineLevel="0" collapsed="false">
      <c r="A4134" s="0" t="s">
        <v>12</v>
      </c>
      <c r="B4134" s="0" t="n">
        <v>1317047</v>
      </c>
      <c r="C4134" s="0" t="n">
        <v>1317067</v>
      </c>
      <c r="D4134" s="0" t="s">
        <v>13774</v>
      </c>
      <c r="E4134" s="0" t="s">
        <v>75</v>
      </c>
      <c r="F4134" s="0" t="s">
        <v>90</v>
      </c>
      <c r="G4134" s="0" t="s">
        <v>32</v>
      </c>
      <c r="H4134" s="0" t="n">
        <v>91</v>
      </c>
      <c r="I4134" s="0" t="s">
        <v>13781</v>
      </c>
      <c r="J4134" s="0" t="s">
        <v>13782</v>
      </c>
      <c r="K4134" s="0" t="s">
        <v>13783</v>
      </c>
      <c r="L4134" s="0" t="str">
        <f aca="false">HYPERLINK("https://www.ncbi.nlm.nih.gov/nuccore/CP000058.1?report=graph&amp;tracks=[key:gene_model_track,Options:GeneOnly]&amp;mk=1317116:1317135|offset_23|444444,1317068:1317087|offset_71|444444,1317048:1317067|offset_91|00cc00,1317011:1317030|offset_128|444444&amp;v=1316915:1317230&amp;c=444444", "offset 91")</f>
        <v>offset 91</v>
      </c>
    </row>
    <row r="4135" customFormat="false" ht="12.8" hidden="false" customHeight="false" outlineLevel="0" collapsed="false">
      <c r="A4135" s="0" t="s">
        <v>12</v>
      </c>
      <c r="B4135" s="0" t="n">
        <v>1317010</v>
      </c>
      <c r="C4135" s="0" t="n">
        <v>1317030</v>
      </c>
      <c r="D4135" s="0" t="s">
        <v>13774</v>
      </c>
      <c r="E4135" s="0" t="s">
        <v>75</v>
      </c>
      <c r="F4135" s="0" t="s">
        <v>90</v>
      </c>
      <c r="G4135" s="0" t="s">
        <v>20</v>
      </c>
      <c r="H4135" s="0" t="n">
        <v>128</v>
      </c>
      <c r="I4135" s="0" t="s">
        <v>13784</v>
      </c>
      <c r="J4135" s="0" t="s">
        <v>13785</v>
      </c>
      <c r="K4135" s="0" t="s">
        <v>13786</v>
      </c>
      <c r="L4135" s="0" t="str">
        <f aca="false">HYPERLINK("https://www.ncbi.nlm.nih.gov/nuccore/CP000058.1?report=graph&amp;tracks=[key:gene_model_track,Options:GeneOnly]&amp;mk=1317116:1317135|offset_23|444444,1317068:1317087|offset_71|444444,1317048:1317067|offset_91|444444,1317011:1317030|offset_128|00cc00&amp;v=1316915:1317230&amp;c=444444", "offset 128")</f>
        <v>offset 128</v>
      </c>
    </row>
    <row r="4136" customFormat="false" ht="12.8" hidden="false" customHeight="false" outlineLevel="0" collapsed="false">
      <c r="A4136" s="0" t="s">
        <v>12</v>
      </c>
      <c r="B4136" s="0" t="n">
        <v>1318506</v>
      </c>
      <c r="C4136" s="0" t="n">
        <v>1318526</v>
      </c>
      <c r="D4136" s="0" t="s">
        <v>13787</v>
      </c>
      <c r="E4136" s="0" t="s">
        <v>13788</v>
      </c>
      <c r="F4136" s="0" t="s">
        <v>90</v>
      </c>
      <c r="G4136" s="0" t="s">
        <v>16</v>
      </c>
      <c r="H4136" s="0" t="n">
        <v>49</v>
      </c>
      <c r="I4136" s="0" t="s">
        <v>13789</v>
      </c>
      <c r="J4136" s="0" t="s">
        <v>13790</v>
      </c>
      <c r="K4136" s="0" t="s">
        <v>13791</v>
      </c>
      <c r="L4136" s="0" t="str">
        <f aca="false">HYPERLINK("https://www.ncbi.nlm.nih.gov/nuccore/CP000058.1?report=graph&amp;tracks=[key:gene_model_track,Options:GeneOnly]&amp;mk=1318507:1318526|offset_49|00cc00,1318459:1318478|offset_97|444444,1318421:1318440|offset_135|444444,1318372:1318391|offset_184|444444&amp;v=1318306:1318591&amp;c=444444", "offset 49")</f>
        <v>offset 49</v>
      </c>
    </row>
    <row r="4137" customFormat="false" ht="12.8" hidden="false" customHeight="false" outlineLevel="0" collapsed="false">
      <c r="A4137" s="0" t="s">
        <v>12</v>
      </c>
      <c r="B4137" s="0" t="n">
        <v>1318458</v>
      </c>
      <c r="C4137" s="0" t="n">
        <v>1318478</v>
      </c>
      <c r="D4137" s="0" t="s">
        <v>13787</v>
      </c>
      <c r="E4137" s="0" t="s">
        <v>13788</v>
      </c>
      <c r="F4137" s="0" t="s">
        <v>90</v>
      </c>
      <c r="G4137" s="0" t="s">
        <v>32</v>
      </c>
      <c r="H4137" s="0" t="n">
        <v>97</v>
      </c>
      <c r="I4137" s="0" t="s">
        <v>13792</v>
      </c>
      <c r="J4137" s="0" t="s">
        <v>13793</v>
      </c>
      <c r="K4137" s="0" t="s">
        <v>13794</v>
      </c>
      <c r="L4137" s="0" t="str">
        <f aca="false">HYPERLINK("https://www.ncbi.nlm.nih.gov/nuccore/CP000058.1?report=graph&amp;tracks=[key:gene_model_track,Options:GeneOnly]&amp;mk=1318507:1318526|offset_49|444444,1318459:1318478|offset_97|00cc00,1318421:1318440|offset_135|444444,1318372:1318391|offset_184|444444&amp;v=1318306:1318591&amp;c=444444", "offset 97")</f>
        <v>offset 97</v>
      </c>
    </row>
    <row r="4138" customFormat="false" ht="12.8" hidden="false" customHeight="false" outlineLevel="0" collapsed="false">
      <c r="A4138" s="0" t="s">
        <v>12</v>
      </c>
      <c r="B4138" s="0" t="n">
        <v>1318420</v>
      </c>
      <c r="C4138" s="0" t="n">
        <v>1318440</v>
      </c>
      <c r="D4138" s="0" t="s">
        <v>13787</v>
      </c>
      <c r="E4138" s="0" t="s">
        <v>13788</v>
      </c>
      <c r="F4138" s="0" t="s">
        <v>90</v>
      </c>
      <c r="G4138" s="0" t="s">
        <v>20</v>
      </c>
      <c r="H4138" s="0" t="n">
        <v>135</v>
      </c>
      <c r="I4138" s="0" t="s">
        <v>13795</v>
      </c>
      <c r="J4138" s="0" t="s">
        <v>13796</v>
      </c>
      <c r="K4138" s="0" t="s">
        <v>13797</v>
      </c>
      <c r="L4138" s="0" t="str">
        <f aca="false">HYPERLINK("https://www.ncbi.nlm.nih.gov/nuccore/CP000058.1?report=graph&amp;tracks=[key:gene_model_track,Options:GeneOnly]&amp;mk=1318507:1318526|offset_49|444444,1318459:1318478|offset_97|444444,1318421:1318440|offset_135|00cc00,1318372:1318391|offset_184|444444&amp;v=1318306:1318591&amp;c=444444", "offset 135")</f>
        <v>offset 135</v>
      </c>
    </row>
    <row r="4139" customFormat="false" ht="12.8" hidden="false" customHeight="false" outlineLevel="0" collapsed="false">
      <c r="A4139" s="0" t="s">
        <v>12</v>
      </c>
      <c r="B4139" s="0" t="n">
        <v>1318371</v>
      </c>
      <c r="C4139" s="0" t="n">
        <v>1318391</v>
      </c>
      <c r="D4139" s="0" t="s">
        <v>13787</v>
      </c>
      <c r="E4139" s="0" t="s">
        <v>13788</v>
      </c>
      <c r="F4139" s="0" t="s">
        <v>90</v>
      </c>
      <c r="G4139" s="0" t="s">
        <v>16</v>
      </c>
      <c r="H4139" s="0" t="n">
        <v>184</v>
      </c>
      <c r="I4139" s="0" t="s">
        <v>13798</v>
      </c>
      <c r="J4139" s="0" t="s">
        <v>13799</v>
      </c>
      <c r="K4139" s="0" t="s">
        <v>13800</v>
      </c>
      <c r="L4139" s="0" t="str">
        <f aca="false">HYPERLINK("https://www.ncbi.nlm.nih.gov/nuccore/CP000058.1?report=graph&amp;tracks=[key:gene_model_track,Options:GeneOnly]&amp;mk=1318507:1318526|offset_49|444444,1318459:1318478|offset_97|444444,1318421:1318440|offset_135|444444,1318372:1318391|offset_184|00cc00&amp;v=1318306:1318591&amp;c=444444", "offset 184")</f>
        <v>offset 184</v>
      </c>
    </row>
    <row r="4140" customFormat="false" ht="12.8" hidden="false" customHeight="false" outlineLevel="0" collapsed="false">
      <c r="A4140" s="0" t="s">
        <v>12</v>
      </c>
      <c r="B4140" s="0" t="n">
        <v>1320128</v>
      </c>
      <c r="C4140" s="0" t="n">
        <v>1320148</v>
      </c>
      <c r="D4140" s="0" t="s">
        <v>13801</v>
      </c>
      <c r="E4140" s="0" t="s">
        <v>75</v>
      </c>
      <c r="F4140" s="0" t="s">
        <v>90</v>
      </c>
      <c r="G4140" s="0" t="s">
        <v>36</v>
      </c>
      <c r="H4140" s="0" t="n">
        <v>19</v>
      </c>
      <c r="I4140" s="0" t="s">
        <v>13802</v>
      </c>
      <c r="J4140" s="0" t="s">
        <v>13803</v>
      </c>
      <c r="K4140" s="0" t="s">
        <v>13804</v>
      </c>
      <c r="L4140" s="0" t="str">
        <f aca="false">HYPERLINK("https://www.ncbi.nlm.nih.gov/nuccore/CP000058.1?report=graph&amp;tracks=[key:gene_model_track,Options:GeneOnly]&amp;mk=1320129:1320148|offset_19|00cc00,1320102:1320121|offset_46|444444,1320073:1320092|offset_75|444444,1320039:1320058|offset_109|444444&amp;v=1319928:1320258&amp;c=444444", "offset 19")</f>
        <v>offset 19</v>
      </c>
    </row>
    <row r="4141" customFormat="false" ht="12.8" hidden="false" customHeight="false" outlineLevel="0" collapsed="false">
      <c r="A4141" s="0" t="s">
        <v>12</v>
      </c>
      <c r="B4141" s="0" t="n">
        <v>1320101</v>
      </c>
      <c r="C4141" s="0" t="n">
        <v>1320121</v>
      </c>
      <c r="D4141" s="0" t="s">
        <v>13801</v>
      </c>
      <c r="E4141" s="0" t="s">
        <v>75</v>
      </c>
      <c r="F4141" s="0" t="s">
        <v>90</v>
      </c>
      <c r="G4141" s="0" t="s">
        <v>36</v>
      </c>
      <c r="H4141" s="0" t="n">
        <v>46</v>
      </c>
      <c r="I4141" s="0" t="s">
        <v>13805</v>
      </c>
      <c r="J4141" s="0" t="s">
        <v>13806</v>
      </c>
      <c r="K4141" s="0" t="s">
        <v>13807</v>
      </c>
      <c r="L4141" s="0" t="str">
        <f aca="false">HYPERLINK("https://www.ncbi.nlm.nih.gov/nuccore/CP000058.1?report=graph&amp;tracks=[key:gene_model_track,Options:GeneOnly]&amp;mk=1320129:1320148|offset_19|444444,1320102:1320121|offset_46|00cc00,1320073:1320092|offset_75|444444,1320039:1320058|offset_109|444444&amp;v=1319928:1320258&amp;c=444444", "offset 46")</f>
        <v>offset 46</v>
      </c>
    </row>
    <row r="4142" customFormat="false" ht="12.8" hidden="false" customHeight="false" outlineLevel="0" collapsed="false">
      <c r="A4142" s="0" t="s">
        <v>12</v>
      </c>
      <c r="B4142" s="0" t="n">
        <v>1320072</v>
      </c>
      <c r="C4142" s="0" t="n">
        <v>1320092</v>
      </c>
      <c r="D4142" s="0" t="s">
        <v>13801</v>
      </c>
      <c r="E4142" s="0" t="s">
        <v>75</v>
      </c>
      <c r="F4142" s="0" t="s">
        <v>90</v>
      </c>
      <c r="G4142" s="0" t="s">
        <v>16</v>
      </c>
      <c r="H4142" s="0" t="n">
        <v>75</v>
      </c>
      <c r="I4142" s="0" t="s">
        <v>13808</v>
      </c>
      <c r="J4142" s="0" t="s">
        <v>13809</v>
      </c>
      <c r="K4142" s="0" t="s">
        <v>13810</v>
      </c>
      <c r="L4142" s="0" t="str">
        <f aca="false">HYPERLINK("https://www.ncbi.nlm.nih.gov/nuccore/CP000058.1?report=graph&amp;tracks=[key:gene_model_track,Options:GeneOnly]&amp;mk=1320129:1320148|offset_19|444444,1320102:1320121|offset_46|444444,1320073:1320092|offset_75|00cc00,1320039:1320058|offset_109|444444&amp;v=1319928:1320258&amp;c=444444", "offset 75")</f>
        <v>offset 75</v>
      </c>
    </row>
    <row r="4143" customFormat="false" ht="12.8" hidden="false" customHeight="false" outlineLevel="0" collapsed="false">
      <c r="A4143" s="0" t="s">
        <v>12</v>
      </c>
      <c r="B4143" s="0" t="n">
        <v>1320038</v>
      </c>
      <c r="C4143" s="0" t="n">
        <v>1320058</v>
      </c>
      <c r="D4143" s="0" t="s">
        <v>13801</v>
      </c>
      <c r="E4143" s="0" t="s">
        <v>75</v>
      </c>
      <c r="F4143" s="0" t="s">
        <v>90</v>
      </c>
      <c r="G4143" s="0" t="s">
        <v>36</v>
      </c>
      <c r="H4143" s="0" t="n">
        <v>109</v>
      </c>
      <c r="I4143" s="0" t="s">
        <v>13811</v>
      </c>
      <c r="J4143" s="0" t="s">
        <v>13812</v>
      </c>
      <c r="K4143" s="0" t="s">
        <v>13813</v>
      </c>
      <c r="L4143" s="0" t="str">
        <f aca="false">HYPERLINK("https://www.ncbi.nlm.nih.gov/nuccore/CP000058.1?report=graph&amp;tracks=[key:gene_model_track,Options:GeneOnly]&amp;mk=1320129:1320148|offset_19|444444,1320102:1320121|offset_46|444444,1320073:1320092|offset_75|444444,1320039:1320058|offset_109|00cc00&amp;v=1319928:1320258&amp;c=444444", "offset 109")</f>
        <v>offset 109</v>
      </c>
    </row>
    <row r="4144" customFormat="false" ht="12.8" hidden="false" customHeight="false" outlineLevel="0" collapsed="false">
      <c r="A4144" s="0" t="s">
        <v>12</v>
      </c>
      <c r="B4144" s="0" t="n">
        <v>1320414</v>
      </c>
      <c r="C4144" s="0" t="n">
        <v>1320434</v>
      </c>
      <c r="D4144" s="0" t="s">
        <v>13814</v>
      </c>
      <c r="E4144" s="0" t="s">
        <v>75</v>
      </c>
      <c r="F4144" s="0" t="s">
        <v>15</v>
      </c>
      <c r="G4144" s="0" t="s">
        <v>32</v>
      </c>
      <c r="H4144" s="0" t="n">
        <v>65</v>
      </c>
      <c r="I4144" s="0" t="s">
        <v>13815</v>
      </c>
      <c r="J4144" s="0" t="s">
        <v>13816</v>
      </c>
      <c r="K4144" s="0" t="s">
        <v>13817</v>
      </c>
      <c r="L4144" s="0" t="str">
        <f aca="false">HYPERLINK("https://www.ncbi.nlm.nih.gov/nuccore/CP000058.1?report=graph&amp;tracks=[key:gene_model_track,Options:GeneOnly]&amp;mk=1320415:1320434|offset_65|00cc00,1320444:1320463|offset_94|444444,1320467:1320486|offset_117|444444,1320520:1320539|offset_170|444444&amp;v=1320214:1320739&amp;c=444444", "offset 65")</f>
        <v>offset 65</v>
      </c>
    </row>
    <row r="4145" customFormat="false" ht="12.8" hidden="false" customHeight="false" outlineLevel="0" collapsed="false">
      <c r="A4145" s="0" t="s">
        <v>12</v>
      </c>
      <c r="B4145" s="0" t="n">
        <v>1320443</v>
      </c>
      <c r="C4145" s="0" t="n">
        <v>1320463</v>
      </c>
      <c r="D4145" s="0" t="s">
        <v>13814</v>
      </c>
      <c r="E4145" s="0" t="s">
        <v>75</v>
      </c>
      <c r="F4145" s="0" t="s">
        <v>15</v>
      </c>
      <c r="G4145" s="0" t="s">
        <v>32</v>
      </c>
      <c r="H4145" s="0" t="n">
        <v>94</v>
      </c>
      <c r="I4145" s="0" t="s">
        <v>13818</v>
      </c>
      <c r="J4145" s="0" t="s">
        <v>13819</v>
      </c>
      <c r="K4145" s="0" t="s">
        <v>13820</v>
      </c>
      <c r="L4145" s="0" t="str">
        <f aca="false">HYPERLINK("https://www.ncbi.nlm.nih.gov/nuccore/CP000058.1?report=graph&amp;tracks=[key:gene_model_track,Options:GeneOnly]&amp;mk=1320415:1320434|offset_65|444444,1320444:1320463|offset_94|00cc00,1320467:1320486|offset_117|444444,1320520:1320539|offset_170|444444&amp;v=1320214:1320739&amp;c=444444", "offset 94")</f>
        <v>offset 94</v>
      </c>
    </row>
    <row r="4146" customFormat="false" ht="12.8" hidden="false" customHeight="false" outlineLevel="0" collapsed="false">
      <c r="A4146" s="0" t="s">
        <v>12</v>
      </c>
      <c r="B4146" s="0" t="n">
        <v>1320466</v>
      </c>
      <c r="C4146" s="0" t="n">
        <v>1320486</v>
      </c>
      <c r="D4146" s="0" t="s">
        <v>13814</v>
      </c>
      <c r="E4146" s="0" t="s">
        <v>75</v>
      </c>
      <c r="F4146" s="0" t="s">
        <v>15</v>
      </c>
      <c r="G4146" s="0" t="s">
        <v>20</v>
      </c>
      <c r="H4146" s="0" t="n">
        <v>117</v>
      </c>
      <c r="I4146" s="0" t="s">
        <v>13821</v>
      </c>
      <c r="J4146" s="0" t="s">
        <v>13822</v>
      </c>
      <c r="K4146" s="0" t="s">
        <v>13823</v>
      </c>
      <c r="L4146" s="0" t="str">
        <f aca="false">HYPERLINK("https://www.ncbi.nlm.nih.gov/nuccore/CP000058.1?report=graph&amp;tracks=[key:gene_model_track,Options:GeneOnly]&amp;mk=1320415:1320434|offset_65|444444,1320444:1320463|offset_94|444444,1320467:1320486|offset_117|00cc00,1320520:1320539|offset_170|444444&amp;v=1320214:1320739&amp;c=444444", "offset 117")</f>
        <v>offset 117</v>
      </c>
    </row>
    <row r="4147" customFormat="false" ht="12.8" hidden="false" customHeight="false" outlineLevel="0" collapsed="false">
      <c r="A4147" s="0" t="s">
        <v>12</v>
      </c>
      <c r="B4147" s="0" t="n">
        <v>1320519</v>
      </c>
      <c r="C4147" s="0" t="n">
        <v>1320539</v>
      </c>
      <c r="D4147" s="0" t="s">
        <v>13814</v>
      </c>
      <c r="E4147" s="0" t="s">
        <v>75</v>
      </c>
      <c r="F4147" s="0" t="s">
        <v>15</v>
      </c>
      <c r="G4147" s="0" t="s">
        <v>20</v>
      </c>
      <c r="H4147" s="0" t="n">
        <v>170</v>
      </c>
      <c r="I4147" s="0" t="s">
        <v>13824</v>
      </c>
      <c r="J4147" s="0" t="s">
        <v>13825</v>
      </c>
      <c r="K4147" s="0" t="s">
        <v>13826</v>
      </c>
      <c r="L4147" s="0" t="str">
        <f aca="false">HYPERLINK("https://www.ncbi.nlm.nih.gov/nuccore/CP000058.1?report=graph&amp;tracks=[key:gene_model_track,Options:GeneOnly]&amp;mk=1320415:1320434|offset_65|444444,1320444:1320463|offset_94|444444,1320467:1320486|offset_117|444444,1320520:1320539|offset_170|00cc00&amp;v=1320214:1320739&amp;c=444444", "offset 170")</f>
        <v>offset 170</v>
      </c>
    </row>
    <row r="4148" customFormat="false" ht="12.8" hidden="false" customHeight="false" outlineLevel="0" collapsed="false">
      <c r="A4148" s="0" t="s">
        <v>12</v>
      </c>
      <c r="B4148" s="0" t="n">
        <v>1321854</v>
      </c>
      <c r="C4148" s="0" t="n">
        <v>1321874</v>
      </c>
      <c r="D4148" s="0" t="s">
        <v>13827</v>
      </c>
      <c r="E4148" s="0" t="s">
        <v>75</v>
      </c>
      <c r="F4148" s="0" t="s">
        <v>15</v>
      </c>
      <c r="G4148" s="0" t="s">
        <v>32</v>
      </c>
      <c r="H4148" s="0" t="n">
        <v>11</v>
      </c>
      <c r="I4148" s="0" t="s">
        <v>13828</v>
      </c>
      <c r="J4148" s="0" t="s">
        <v>13829</v>
      </c>
      <c r="K4148" s="0" t="s">
        <v>13830</v>
      </c>
      <c r="L4148" s="0" t="str">
        <f aca="false">HYPERLINK("https://www.ncbi.nlm.nih.gov/nuccore/CP000058.1?report=graph&amp;tracks=[key:gene_model_track,Options:GeneOnly]&amp;mk=1321855:1321874|offset_11|00cc00,1321879:1321898|offset_35|444444,1321905:1321924|offset_61|444444,1321925:1321944|offset_81|444444&amp;v=1321654:1322144&amp;c=444444", "offset 11")</f>
        <v>offset 11</v>
      </c>
    </row>
    <row r="4149" customFormat="false" ht="12.8" hidden="false" customHeight="false" outlineLevel="0" collapsed="false">
      <c r="A4149" s="0" t="s">
        <v>12</v>
      </c>
      <c r="B4149" s="0" t="n">
        <v>1321878</v>
      </c>
      <c r="C4149" s="0" t="n">
        <v>1321898</v>
      </c>
      <c r="D4149" s="0" t="s">
        <v>13827</v>
      </c>
      <c r="E4149" s="0" t="s">
        <v>75</v>
      </c>
      <c r="F4149" s="0" t="s">
        <v>15</v>
      </c>
      <c r="G4149" s="0" t="s">
        <v>32</v>
      </c>
      <c r="H4149" s="0" t="n">
        <v>35</v>
      </c>
      <c r="I4149" s="0" t="s">
        <v>13831</v>
      </c>
      <c r="J4149" s="0" t="s">
        <v>13832</v>
      </c>
      <c r="K4149" s="0" t="s">
        <v>13833</v>
      </c>
      <c r="L4149" s="0" t="str">
        <f aca="false">HYPERLINK("https://www.ncbi.nlm.nih.gov/nuccore/CP000058.1?report=graph&amp;tracks=[key:gene_model_track,Options:GeneOnly]&amp;mk=1321855:1321874|offset_11|444444,1321879:1321898|offset_35|00cc00,1321905:1321924|offset_61|444444,1321925:1321944|offset_81|444444&amp;v=1321654:1322144&amp;c=444444", "offset 35")</f>
        <v>offset 35</v>
      </c>
    </row>
    <row r="4150" customFormat="false" ht="12.8" hidden="false" customHeight="false" outlineLevel="0" collapsed="false">
      <c r="A4150" s="0" t="s">
        <v>12</v>
      </c>
      <c r="B4150" s="0" t="n">
        <v>1321904</v>
      </c>
      <c r="C4150" s="0" t="n">
        <v>1321924</v>
      </c>
      <c r="D4150" s="0" t="s">
        <v>13827</v>
      </c>
      <c r="E4150" s="0" t="s">
        <v>75</v>
      </c>
      <c r="F4150" s="0" t="s">
        <v>15</v>
      </c>
      <c r="G4150" s="0" t="s">
        <v>32</v>
      </c>
      <c r="H4150" s="0" t="n">
        <v>61</v>
      </c>
      <c r="I4150" s="0" t="s">
        <v>13834</v>
      </c>
      <c r="J4150" s="0" t="s">
        <v>13835</v>
      </c>
      <c r="K4150" s="0" t="s">
        <v>13836</v>
      </c>
      <c r="L4150" s="0" t="str">
        <f aca="false">HYPERLINK("https://www.ncbi.nlm.nih.gov/nuccore/CP000058.1?report=graph&amp;tracks=[key:gene_model_track,Options:GeneOnly]&amp;mk=1321855:1321874|offset_11|444444,1321879:1321898|offset_35|444444,1321905:1321924|offset_61|00cc00,1321925:1321944|offset_81|444444&amp;v=1321654:1322144&amp;c=444444", "offset 61")</f>
        <v>offset 61</v>
      </c>
    </row>
    <row r="4151" customFormat="false" ht="12.8" hidden="false" customHeight="false" outlineLevel="0" collapsed="false">
      <c r="A4151" s="0" t="s">
        <v>12</v>
      </c>
      <c r="B4151" s="0" t="n">
        <v>1321924</v>
      </c>
      <c r="C4151" s="0" t="n">
        <v>1321944</v>
      </c>
      <c r="D4151" s="0" t="s">
        <v>13827</v>
      </c>
      <c r="E4151" s="0" t="s">
        <v>75</v>
      </c>
      <c r="F4151" s="0" t="s">
        <v>15</v>
      </c>
      <c r="G4151" s="0" t="s">
        <v>32</v>
      </c>
      <c r="H4151" s="0" t="n">
        <v>81</v>
      </c>
      <c r="I4151" s="0" t="s">
        <v>13837</v>
      </c>
      <c r="J4151" s="0" t="s">
        <v>13838</v>
      </c>
      <c r="K4151" s="0" t="s">
        <v>13839</v>
      </c>
      <c r="L4151" s="0" t="str">
        <f aca="false">HYPERLINK("https://www.ncbi.nlm.nih.gov/nuccore/CP000058.1?report=graph&amp;tracks=[key:gene_model_track,Options:GeneOnly]&amp;mk=1321855:1321874|offset_11|444444,1321879:1321898|offset_35|444444,1321905:1321924|offset_61|444444,1321925:1321944|offset_81|00cc00&amp;v=1321654:1322144&amp;c=444444", "offset 81")</f>
        <v>offset 81</v>
      </c>
    </row>
    <row r="4152" customFormat="false" ht="12.8" hidden="false" customHeight="false" outlineLevel="0" collapsed="false">
      <c r="A4152" s="0" t="s">
        <v>12</v>
      </c>
      <c r="B4152" s="0" t="n">
        <v>1323618</v>
      </c>
      <c r="C4152" s="0" t="n">
        <v>1323638</v>
      </c>
      <c r="D4152" s="0" t="s">
        <v>13840</v>
      </c>
      <c r="E4152" s="0" t="s">
        <v>13841</v>
      </c>
      <c r="F4152" s="0" t="s">
        <v>15</v>
      </c>
      <c r="G4152" s="0" t="s">
        <v>36</v>
      </c>
      <c r="H4152" s="0" t="n">
        <v>22</v>
      </c>
      <c r="I4152" s="0" t="s">
        <v>13842</v>
      </c>
      <c r="J4152" s="0" t="s">
        <v>13843</v>
      </c>
      <c r="K4152" s="0" t="s">
        <v>13844</v>
      </c>
      <c r="L4152" s="0" t="str">
        <f aca="false">HYPERLINK("https://www.ncbi.nlm.nih.gov/nuccore/CP000058.1?report=graph&amp;tracks=[key:gene_model_track,Options:GeneOnly]&amp;mk=1323619:1323638|offset_22|00cc00,1323658:1323677|offset_61|444444,1323682:1323701|offset_85|444444,1323705:1323724|offset_108|444444&amp;v=1323418:1323924&amp;c=444444", "offset 22")</f>
        <v>offset 22</v>
      </c>
    </row>
    <row r="4153" customFormat="false" ht="12.8" hidden="false" customHeight="false" outlineLevel="0" collapsed="false">
      <c r="A4153" s="0" t="s">
        <v>12</v>
      </c>
      <c r="B4153" s="0" t="n">
        <v>1323657</v>
      </c>
      <c r="C4153" s="0" t="n">
        <v>1323677</v>
      </c>
      <c r="D4153" s="0" t="s">
        <v>13840</v>
      </c>
      <c r="E4153" s="0" t="s">
        <v>13841</v>
      </c>
      <c r="F4153" s="0" t="s">
        <v>15</v>
      </c>
      <c r="G4153" s="0" t="s">
        <v>16</v>
      </c>
      <c r="H4153" s="0" t="n">
        <v>61</v>
      </c>
      <c r="I4153" s="0" t="s">
        <v>13845</v>
      </c>
      <c r="J4153" s="0" t="s">
        <v>13846</v>
      </c>
      <c r="K4153" s="0" t="s">
        <v>13847</v>
      </c>
      <c r="L4153" s="0" t="str">
        <f aca="false">HYPERLINK("https://www.ncbi.nlm.nih.gov/nuccore/CP000058.1?report=graph&amp;tracks=[key:gene_model_track,Options:GeneOnly]&amp;mk=1323619:1323638|offset_22|444444,1323658:1323677|offset_61|00cc00,1323682:1323701|offset_85|444444,1323705:1323724|offset_108|444444&amp;v=1323418:1323924&amp;c=444444", "offset 61")</f>
        <v>offset 61</v>
      </c>
    </row>
    <row r="4154" customFormat="false" ht="12.8" hidden="false" customHeight="false" outlineLevel="0" collapsed="false">
      <c r="A4154" s="0" t="s">
        <v>12</v>
      </c>
      <c r="B4154" s="0" t="n">
        <v>1323681</v>
      </c>
      <c r="C4154" s="0" t="n">
        <v>1323701</v>
      </c>
      <c r="D4154" s="0" t="s">
        <v>13840</v>
      </c>
      <c r="E4154" s="0" t="s">
        <v>13841</v>
      </c>
      <c r="F4154" s="0" t="s">
        <v>15</v>
      </c>
      <c r="G4154" s="0" t="s">
        <v>16</v>
      </c>
      <c r="H4154" s="0" t="n">
        <v>85</v>
      </c>
      <c r="I4154" s="0" t="s">
        <v>13848</v>
      </c>
      <c r="J4154" s="0" t="s">
        <v>13849</v>
      </c>
      <c r="K4154" s="0" t="s">
        <v>13850</v>
      </c>
      <c r="L4154" s="0" t="str">
        <f aca="false">HYPERLINK("https://www.ncbi.nlm.nih.gov/nuccore/CP000058.1?report=graph&amp;tracks=[key:gene_model_track,Options:GeneOnly]&amp;mk=1323619:1323638|offset_22|444444,1323658:1323677|offset_61|444444,1323682:1323701|offset_85|00cc00,1323705:1323724|offset_108|444444&amp;v=1323418:1323924&amp;c=444444", "offset 85")</f>
        <v>offset 85</v>
      </c>
    </row>
    <row r="4155" customFormat="false" ht="12.8" hidden="false" customHeight="false" outlineLevel="0" collapsed="false">
      <c r="A4155" s="0" t="s">
        <v>12</v>
      </c>
      <c r="B4155" s="0" t="n">
        <v>1323704</v>
      </c>
      <c r="C4155" s="0" t="n">
        <v>1323724</v>
      </c>
      <c r="D4155" s="0" t="s">
        <v>13840</v>
      </c>
      <c r="E4155" s="0" t="s">
        <v>13841</v>
      </c>
      <c r="F4155" s="0" t="s">
        <v>15</v>
      </c>
      <c r="G4155" s="0" t="s">
        <v>36</v>
      </c>
      <c r="H4155" s="0" t="n">
        <v>108</v>
      </c>
      <c r="I4155" s="0" t="s">
        <v>13851</v>
      </c>
      <c r="J4155" s="0" t="s">
        <v>13852</v>
      </c>
      <c r="K4155" s="0" t="s">
        <v>13853</v>
      </c>
      <c r="L4155" s="0" t="str">
        <f aca="false">HYPERLINK("https://www.ncbi.nlm.nih.gov/nuccore/CP000058.1?report=graph&amp;tracks=[key:gene_model_track,Options:GeneOnly]&amp;mk=1323619:1323638|offset_22|444444,1323658:1323677|offset_61|444444,1323682:1323701|offset_85|444444,1323705:1323724|offset_108|00cc00&amp;v=1323418:1323924&amp;c=444444", "offset 108")</f>
        <v>offset 108</v>
      </c>
    </row>
    <row r="4156" customFormat="false" ht="12.8" hidden="false" customHeight="false" outlineLevel="0" collapsed="false">
      <c r="A4156" s="0" t="s">
        <v>12</v>
      </c>
      <c r="B4156" s="0" t="n">
        <v>1324106</v>
      </c>
      <c r="C4156" s="0" t="n">
        <v>1324126</v>
      </c>
      <c r="D4156" s="0" t="s">
        <v>13854</v>
      </c>
      <c r="E4156" s="0" t="s">
        <v>13855</v>
      </c>
      <c r="F4156" s="0" t="s">
        <v>15</v>
      </c>
      <c r="G4156" s="0" t="s">
        <v>36</v>
      </c>
      <c r="H4156" s="0" t="n">
        <v>28</v>
      </c>
      <c r="I4156" s="0" t="s">
        <v>13856</v>
      </c>
      <c r="J4156" s="0" t="s">
        <v>13857</v>
      </c>
      <c r="K4156" s="0" t="s">
        <v>13858</v>
      </c>
      <c r="L4156" s="0" t="str">
        <f aca="false">HYPERLINK("https://www.ncbi.nlm.nih.gov/nuccore/CP000058.1?report=graph&amp;tracks=[key:gene_model_track,Options:GeneOnly]&amp;mk=1324107:1324126|offset_28|00cc00,1324129:1324148|offset_50|444444,1324180:1324199|offset_101|444444,1324206:1324225|offset_127|444444&amp;v=1323906:1324425&amp;c=444444", "offset 28")</f>
        <v>offset 28</v>
      </c>
    </row>
    <row r="4157" customFormat="false" ht="12.8" hidden="false" customHeight="false" outlineLevel="0" collapsed="false">
      <c r="A4157" s="0" t="s">
        <v>12</v>
      </c>
      <c r="B4157" s="0" t="n">
        <v>1324128</v>
      </c>
      <c r="C4157" s="0" t="n">
        <v>1324148</v>
      </c>
      <c r="D4157" s="0" t="s">
        <v>13854</v>
      </c>
      <c r="E4157" s="0" t="s">
        <v>13855</v>
      </c>
      <c r="F4157" s="0" t="s">
        <v>15</v>
      </c>
      <c r="G4157" s="0" t="s">
        <v>20</v>
      </c>
      <c r="H4157" s="0" t="n">
        <v>50</v>
      </c>
      <c r="I4157" s="0" t="s">
        <v>13859</v>
      </c>
      <c r="J4157" s="0" t="s">
        <v>13860</v>
      </c>
      <c r="K4157" s="0" t="s">
        <v>13861</v>
      </c>
      <c r="L4157" s="0" t="str">
        <f aca="false">HYPERLINK("https://www.ncbi.nlm.nih.gov/nuccore/CP000058.1?report=graph&amp;tracks=[key:gene_model_track,Options:GeneOnly]&amp;mk=1324107:1324126|offset_28|444444,1324129:1324148|offset_50|00cc00,1324180:1324199|offset_101|444444,1324206:1324225|offset_127|444444&amp;v=1323906:1324425&amp;c=444444", "offset 50")</f>
        <v>offset 50</v>
      </c>
    </row>
    <row r="4158" customFormat="false" ht="12.8" hidden="false" customHeight="false" outlineLevel="0" collapsed="false">
      <c r="A4158" s="0" t="s">
        <v>12</v>
      </c>
      <c r="B4158" s="0" t="n">
        <v>1324179</v>
      </c>
      <c r="C4158" s="0" t="n">
        <v>1324199</v>
      </c>
      <c r="D4158" s="0" t="s">
        <v>13854</v>
      </c>
      <c r="E4158" s="0" t="s">
        <v>13855</v>
      </c>
      <c r="F4158" s="0" t="s">
        <v>15</v>
      </c>
      <c r="G4158" s="0" t="s">
        <v>32</v>
      </c>
      <c r="H4158" s="0" t="n">
        <v>101</v>
      </c>
      <c r="I4158" s="0" t="s">
        <v>13862</v>
      </c>
      <c r="J4158" s="0" t="s">
        <v>13863</v>
      </c>
      <c r="K4158" s="0" t="s">
        <v>13864</v>
      </c>
      <c r="L4158" s="0" t="str">
        <f aca="false">HYPERLINK("https://www.ncbi.nlm.nih.gov/nuccore/CP000058.1?report=graph&amp;tracks=[key:gene_model_track,Options:GeneOnly]&amp;mk=1324107:1324126|offset_28|444444,1324129:1324148|offset_50|444444,1324180:1324199|offset_101|00cc00,1324206:1324225|offset_127|444444&amp;v=1323906:1324425&amp;c=444444", "offset 101")</f>
        <v>offset 101</v>
      </c>
    </row>
    <row r="4159" customFormat="false" ht="12.8" hidden="false" customHeight="false" outlineLevel="0" collapsed="false">
      <c r="A4159" s="0" t="s">
        <v>12</v>
      </c>
      <c r="B4159" s="0" t="n">
        <v>1324205</v>
      </c>
      <c r="C4159" s="0" t="n">
        <v>1324225</v>
      </c>
      <c r="D4159" s="0" t="s">
        <v>13854</v>
      </c>
      <c r="E4159" s="0" t="s">
        <v>13855</v>
      </c>
      <c r="F4159" s="0" t="s">
        <v>15</v>
      </c>
      <c r="G4159" s="0" t="s">
        <v>20</v>
      </c>
      <c r="H4159" s="0" t="n">
        <v>127</v>
      </c>
      <c r="I4159" s="0" t="s">
        <v>13865</v>
      </c>
      <c r="J4159" s="0" t="s">
        <v>13866</v>
      </c>
      <c r="K4159" s="0" t="s">
        <v>13867</v>
      </c>
      <c r="L4159" s="0" t="str">
        <f aca="false">HYPERLINK("https://www.ncbi.nlm.nih.gov/nuccore/CP000058.1?report=graph&amp;tracks=[key:gene_model_track,Options:GeneOnly]&amp;mk=1324107:1324126|offset_28|444444,1324129:1324148|offset_50|444444,1324180:1324199|offset_101|444444,1324206:1324225|offset_127|00cc00&amp;v=1323906:1324425&amp;c=444444", "offset 127")</f>
        <v>offset 127</v>
      </c>
    </row>
    <row r="4160" customFormat="false" ht="12.8" hidden="false" customHeight="false" outlineLevel="0" collapsed="false">
      <c r="A4160" s="0" t="s">
        <v>12</v>
      </c>
      <c r="B4160" s="0" t="n">
        <v>1324333</v>
      </c>
      <c r="C4160" s="0" t="n">
        <v>1324353</v>
      </c>
      <c r="D4160" s="0" t="s">
        <v>13868</v>
      </c>
      <c r="E4160" s="0" t="s">
        <v>13869</v>
      </c>
      <c r="F4160" s="0" t="s">
        <v>15</v>
      </c>
      <c r="G4160" s="0" t="s">
        <v>32</v>
      </c>
      <c r="H4160" s="0" t="n">
        <v>7</v>
      </c>
      <c r="I4160" s="0" t="s">
        <v>13870</v>
      </c>
      <c r="J4160" s="0" t="s">
        <v>13871</v>
      </c>
      <c r="K4160" s="0" t="s">
        <v>13872</v>
      </c>
      <c r="L4160" s="0" t="str">
        <f aca="false">HYPERLINK("https://www.ncbi.nlm.nih.gov/nuccore/CP000058.1?report=graph&amp;tracks=[key:gene_model_track,Options:GeneOnly]&amp;mk=1324334:1324353|offset_7|00cc00,1324362:1324381|offset_35|444444,1324394:1324413|offset_67|444444,1324489:1324508|offset_162|444444&amp;v=1324133:1324708&amp;c=444444", "offset 7")</f>
        <v>offset 7</v>
      </c>
    </row>
    <row r="4161" customFormat="false" ht="12.8" hidden="false" customHeight="false" outlineLevel="0" collapsed="false">
      <c r="A4161" s="0" t="s">
        <v>12</v>
      </c>
      <c r="B4161" s="0" t="n">
        <v>1324361</v>
      </c>
      <c r="C4161" s="0" t="n">
        <v>1324381</v>
      </c>
      <c r="D4161" s="0" t="s">
        <v>13868</v>
      </c>
      <c r="E4161" s="0" t="s">
        <v>13869</v>
      </c>
      <c r="F4161" s="0" t="s">
        <v>15</v>
      </c>
      <c r="G4161" s="0" t="s">
        <v>36</v>
      </c>
      <c r="H4161" s="0" t="n">
        <v>35</v>
      </c>
      <c r="I4161" s="0" t="s">
        <v>13873</v>
      </c>
      <c r="J4161" s="0" t="s">
        <v>13874</v>
      </c>
      <c r="K4161" s="0" t="s">
        <v>13875</v>
      </c>
      <c r="L4161" s="0" t="str">
        <f aca="false">HYPERLINK("https://www.ncbi.nlm.nih.gov/nuccore/CP000058.1?report=graph&amp;tracks=[key:gene_model_track,Options:GeneOnly]&amp;mk=1324334:1324353|offset_7|444444,1324362:1324381|offset_35|00cc00,1324394:1324413|offset_67|444444,1324489:1324508|offset_162|444444&amp;v=1324133:1324708&amp;c=444444", "offset 35")</f>
        <v>offset 35</v>
      </c>
    </row>
    <row r="4162" customFormat="false" ht="12.8" hidden="false" customHeight="false" outlineLevel="0" collapsed="false">
      <c r="A4162" s="0" t="s">
        <v>12</v>
      </c>
      <c r="B4162" s="0" t="n">
        <v>1324393</v>
      </c>
      <c r="C4162" s="0" t="n">
        <v>1324413</v>
      </c>
      <c r="D4162" s="0" t="s">
        <v>13868</v>
      </c>
      <c r="E4162" s="0" t="s">
        <v>13869</v>
      </c>
      <c r="F4162" s="0" t="s">
        <v>15</v>
      </c>
      <c r="G4162" s="0" t="s">
        <v>32</v>
      </c>
      <c r="H4162" s="0" t="n">
        <v>67</v>
      </c>
      <c r="I4162" s="0" t="s">
        <v>13876</v>
      </c>
      <c r="J4162" s="0" t="s">
        <v>13877</v>
      </c>
      <c r="K4162" s="0" t="s">
        <v>13878</v>
      </c>
      <c r="L4162" s="0" t="str">
        <f aca="false">HYPERLINK("https://www.ncbi.nlm.nih.gov/nuccore/CP000058.1?report=graph&amp;tracks=[key:gene_model_track,Options:GeneOnly]&amp;mk=1324334:1324353|offset_7|444444,1324362:1324381|offset_35|444444,1324394:1324413|offset_67|00cc00,1324489:1324508|offset_162|444444&amp;v=1324133:1324708&amp;c=444444", "offset 67")</f>
        <v>offset 67</v>
      </c>
    </row>
    <row r="4163" customFormat="false" ht="12.8" hidden="false" customHeight="false" outlineLevel="0" collapsed="false">
      <c r="A4163" s="0" t="s">
        <v>12</v>
      </c>
      <c r="B4163" s="0" t="n">
        <v>1324488</v>
      </c>
      <c r="C4163" s="0" t="n">
        <v>1324508</v>
      </c>
      <c r="D4163" s="0" t="s">
        <v>13868</v>
      </c>
      <c r="E4163" s="0" t="s">
        <v>13869</v>
      </c>
      <c r="F4163" s="0" t="s">
        <v>15</v>
      </c>
      <c r="G4163" s="0" t="s">
        <v>16</v>
      </c>
      <c r="H4163" s="0" t="n">
        <v>162</v>
      </c>
      <c r="I4163" s="0" t="s">
        <v>13879</v>
      </c>
      <c r="J4163" s="0" t="s">
        <v>13880</v>
      </c>
      <c r="K4163" s="0" t="s">
        <v>13881</v>
      </c>
      <c r="L4163" s="0" t="str">
        <f aca="false">HYPERLINK("https://www.ncbi.nlm.nih.gov/nuccore/CP000058.1?report=graph&amp;tracks=[key:gene_model_track,Options:GeneOnly]&amp;mk=1324334:1324353|offset_7|444444,1324362:1324381|offset_35|444444,1324394:1324413|offset_67|444444,1324489:1324508|offset_162|00cc00&amp;v=1324133:1324708&amp;c=444444", "offset 162")</f>
        <v>offset 162</v>
      </c>
    </row>
    <row r="4164" customFormat="false" ht="12.8" hidden="false" customHeight="false" outlineLevel="0" collapsed="false">
      <c r="A4164" s="0" t="s">
        <v>12</v>
      </c>
      <c r="B4164" s="0" t="n">
        <v>1325095</v>
      </c>
      <c r="C4164" s="0" t="n">
        <v>1325115</v>
      </c>
      <c r="D4164" s="0" t="s">
        <v>13882</v>
      </c>
      <c r="E4164" s="0" t="s">
        <v>75</v>
      </c>
      <c r="F4164" s="0" t="s">
        <v>15</v>
      </c>
      <c r="G4164" s="0" t="s">
        <v>20</v>
      </c>
      <c r="H4164" s="0" t="n">
        <v>96</v>
      </c>
      <c r="I4164" s="0" t="s">
        <v>13883</v>
      </c>
      <c r="J4164" s="0" t="s">
        <v>13884</v>
      </c>
      <c r="K4164" s="0" t="s">
        <v>13885</v>
      </c>
      <c r="L4164" s="0" t="str">
        <f aca="false">HYPERLINK("https://www.ncbi.nlm.nih.gov/nuccore/CP000058.1?report=graph&amp;tracks=[key:gene_model_track,Options:GeneOnly]&amp;mk=1325096:1325115|offset_96|00cc00,1325127:1325146|offset_127|444444,1325147:1325166|offset_147|444444,1325173:1325192|offset_173|444444&amp;v=1324895:1325392&amp;c=444444", "offset 96")</f>
        <v>offset 96</v>
      </c>
    </row>
    <row r="4165" customFormat="false" ht="12.8" hidden="false" customHeight="false" outlineLevel="0" collapsed="false">
      <c r="A4165" s="0" t="s">
        <v>12</v>
      </c>
      <c r="B4165" s="0" t="n">
        <v>1325126</v>
      </c>
      <c r="C4165" s="0" t="n">
        <v>1325146</v>
      </c>
      <c r="D4165" s="0" t="s">
        <v>13882</v>
      </c>
      <c r="E4165" s="0" t="s">
        <v>75</v>
      </c>
      <c r="F4165" s="0" t="s">
        <v>15</v>
      </c>
      <c r="G4165" s="0" t="s">
        <v>20</v>
      </c>
      <c r="H4165" s="0" t="n">
        <v>127</v>
      </c>
      <c r="I4165" s="0" t="s">
        <v>13886</v>
      </c>
      <c r="J4165" s="0" t="s">
        <v>13887</v>
      </c>
      <c r="K4165" s="0" t="s">
        <v>13888</v>
      </c>
      <c r="L4165" s="0" t="str">
        <f aca="false">HYPERLINK("https://www.ncbi.nlm.nih.gov/nuccore/CP000058.1?report=graph&amp;tracks=[key:gene_model_track,Options:GeneOnly]&amp;mk=1325096:1325115|offset_96|444444,1325127:1325146|offset_127|00cc00,1325147:1325166|offset_147|444444,1325173:1325192|offset_173|444444&amp;v=1324895:1325392&amp;c=444444", "offset 127")</f>
        <v>offset 127</v>
      </c>
    </row>
    <row r="4166" customFormat="false" ht="12.8" hidden="false" customHeight="false" outlineLevel="0" collapsed="false">
      <c r="A4166" s="0" t="s">
        <v>12</v>
      </c>
      <c r="B4166" s="0" t="n">
        <v>1325146</v>
      </c>
      <c r="C4166" s="0" t="n">
        <v>1325166</v>
      </c>
      <c r="D4166" s="0" t="s">
        <v>13882</v>
      </c>
      <c r="E4166" s="0" t="s">
        <v>75</v>
      </c>
      <c r="F4166" s="0" t="s">
        <v>15</v>
      </c>
      <c r="G4166" s="0" t="s">
        <v>16</v>
      </c>
      <c r="H4166" s="0" t="n">
        <v>147</v>
      </c>
      <c r="I4166" s="0" t="s">
        <v>13889</v>
      </c>
      <c r="J4166" s="0" t="s">
        <v>13890</v>
      </c>
      <c r="K4166" s="0" t="s">
        <v>13891</v>
      </c>
      <c r="L4166" s="0" t="str">
        <f aca="false">HYPERLINK("https://www.ncbi.nlm.nih.gov/nuccore/CP000058.1?report=graph&amp;tracks=[key:gene_model_track,Options:GeneOnly]&amp;mk=1325096:1325115|offset_96|444444,1325127:1325146|offset_127|444444,1325147:1325166|offset_147|00cc00,1325173:1325192|offset_173|444444&amp;v=1324895:1325392&amp;c=444444", "offset 147")</f>
        <v>offset 147</v>
      </c>
    </row>
    <row r="4167" customFormat="false" ht="12.8" hidden="false" customHeight="false" outlineLevel="0" collapsed="false">
      <c r="A4167" s="0" t="s">
        <v>12</v>
      </c>
      <c r="B4167" s="0" t="n">
        <v>1325172</v>
      </c>
      <c r="C4167" s="0" t="n">
        <v>1325192</v>
      </c>
      <c r="D4167" s="0" t="s">
        <v>13882</v>
      </c>
      <c r="E4167" s="0" t="s">
        <v>75</v>
      </c>
      <c r="F4167" s="0" t="s">
        <v>15</v>
      </c>
      <c r="G4167" s="0" t="s">
        <v>16</v>
      </c>
      <c r="H4167" s="0" t="n">
        <v>173</v>
      </c>
      <c r="I4167" s="0" t="s">
        <v>13892</v>
      </c>
      <c r="J4167" s="0" t="s">
        <v>13893</v>
      </c>
      <c r="K4167" s="0" t="s">
        <v>13894</v>
      </c>
      <c r="L4167" s="0" t="str">
        <f aca="false">HYPERLINK("https://www.ncbi.nlm.nih.gov/nuccore/CP000058.1?report=graph&amp;tracks=[key:gene_model_track,Options:GeneOnly]&amp;mk=1325096:1325115|offset_96|444444,1325127:1325146|offset_127|444444,1325147:1325166|offset_147|444444,1325173:1325192|offset_173|00cc00&amp;v=1324895:1325392&amp;c=444444", "offset 173")</f>
        <v>offset 173</v>
      </c>
    </row>
    <row r="4168" customFormat="false" ht="12.8" hidden="false" customHeight="false" outlineLevel="0" collapsed="false">
      <c r="A4168" s="0" t="s">
        <v>12</v>
      </c>
      <c r="B4168" s="0" t="n">
        <v>1325762</v>
      </c>
      <c r="C4168" s="0" t="n">
        <v>1325782</v>
      </c>
      <c r="D4168" s="0" t="s">
        <v>13895</v>
      </c>
      <c r="E4168" s="0" t="s">
        <v>75</v>
      </c>
      <c r="F4168" s="0" t="s">
        <v>15</v>
      </c>
      <c r="G4168" s="0" t="s">
        <v>16</v>
      </c>
      <c r="H4168" s="0" t="n">
        <v>58</v>
      </c>
      <c r="I4168" s="0" t="s">
        <v>13896</v>
      </c>
      <c r="J4168" s="0" t="s">
        <v>13897</v>
      </c>
      <c r="K4168" s="0" t="s">
        <v>13898</v>
      </c>
      <c r="L4168" s="0" t="str">
        <f aca="false">HYPERLINK("https://www.ncbi.nlm.nih.gov/nuccore/CP000058.1?report=graph&amp;tracks=[key:gene_model_track,Options:GeneOnly]&amp;mk=1325763:1325782|offset_58|00cc00,1325788:1325807|offset_83|444444,1325809:1325828|offset_104|444444,1325859:1325878|offset_154|444444&amp;v=1325562:1326078&amp;c=444444", "offset 58")</f>
        <v>offset 58</v>
      </c>
    </row>
    <row r="4169" customFormat="false" ht="12.8" hidden="false" customHeight="false" outlineLevel="0" collapsed="false">
      <c r="A4169" s="0" t="s">
        <v>12</v>
      </c>
      <c r="B4169" s="0" t="n">
        <v>1325787</v>
      </c>
      <c r="C4169" s="0" t="n">
        <v>1325807</v>
      </c>
      <c r="D4169" s="0" t="s">
        <v>13895</v>
      </c>
      <c r="E4169" s="0" t="s">
        <v>75</v>
      </c>
      <c r="F4169" s="0" t="s">
        <v>15</v>
      </c>
      <c r="G4169" s="0" t="s">
        <v>32</v>
      </c>
      <c r="H4169" s="0" t="n">
        <v>83</v>
      </c>
      <c r="I4169" s="0" t="s">
        <v>13899</v>
      </c>
      <c r="J4169" s="0" t="s">
        <v>13900</v>
      </c>
      <c r="K4169" s="0" t="s">
        <v>13901</v>
      </c>
      <c r="L4169" s="0" t="str">
        <f aca="false">HYPERLINK("https://www.ncbi.nlm.nih.gov/nuccore/CP000058.1?report=graph&amp;tracks=[key:gene_model_track,Options:GeneOnly]&amp;mk=1325763:1325782|offset_58|444444,1325788:1325807|offset_83|00cc00,1325809:1325828|offset_104|444444,1325859:1325878|offset_154|444444&amp;v=1325562:1326078&amp;c=444444", "offset 83")</f>
        <v>offset 83</v>
      </c>
    </row>
    <row r="4170" customFormat="false" ht="12.8" hidden="false" customHeight="false" outlineLevel="0" collapsed="false">
      <c r="A4170" s="0" t="s">
        <v>12</v>
      </c>
      <c r="B4170" s="0" t="n">
        <v>1325808</v>
      </c>
      <c r="C4170" s="0" t="n">
        <v>1325828</v>
      </c>
      <c r="D4170" s="0" t="s">
        <v>13895</v>
      </c>
      <c r="E4170" s="0" t="s">
        <v>75</v>
      </c>
      <c r="F4170" s="0" t="s">
        <v>15</v>
      </c>
      <c r="G4170" s="0" t="s">
        <v>32</v>
      </c>
      <c r="H4170" s="0" t="n">
        <v>104</v>
      </c>
      <c r="I4170" s="0" t="s">
        <v>13902</v>
      </c>
      <c r="J4170" s="0" t="s">
        <v>13903</v>
      </c>
      <c r="K4170" s="0" t="s">
        <v>13904</v>
      </c>
      <c r="L4170" s="0" t="str">
        <f aca="false">HYPERLINK("https://www.ncbi.nlm.nih.gov/nuccore/CP000058.1?report=graph&amp;tracks=[key:gene_model_track,Options:GeneOnly]&amp;mk=1325763:1325782|offset_58|444444,1325788:1325807|offset_83|444444,1325809:1325828|offset_104|00cc00,1325859:1325878|offset_154|444444&amp;v=1325562:1326078&amp;c=444444", "offset 104")</f>
        <v>offset 104</v>
      </c>
    </row>
    <row r="4171" customFormat="false" ht="12.8" hidden="false" customHeight="false" outlineLevel="0" collapsed="false">
      <c r="A4171" s="0" t="s">
        <v>12</v>
      </c>
      <c r="B4171" s="0" t="n">
        <v>1325858</v>
      </c>
      <c r="C4171" s="0" t="n">
        <v>1325878</v>
      </c>
      <c r="D4171" s="0" t="s">
        <v>13895</v>
      </c>
      <c r="E4171" s="0" t="s">
        <v>75</v>
      </c>
      <c r="F4171" s="0" t="s">
        <v>15</v>
      </c>
      <c r="G4171" s="0" t="s">
        <v>32</v>
      </c>
      <c r="H4171" s="0" t="n">
        <v>154</v>
      </c>
      <c r="I4171" s="0" t="s">
        <v>13905</v>
      </c>
      <c r="J4171" s="0" t="s">
        <v>13906</v>
      </c>
      <c r="K4171" s="0" t="s">
        <v>13907</v>
      </c>
      <c r="L4171" s="0" t="str">
        <f aca="false">HYPERLINK("https://www.ncbi.nlm.nih.gov/nuccore/CP000058.1?report=graph&amp;tracks=[key:gene_model_track,Options:GeneOnly]&amp;mk=1325763:1325782|offset_58|444444,1325788:1325807|offset_83|444444,1325809:1325828|offset_104|444444,1325859:1325878|offset_154|00cc00&amp;v=1325562:1326078&amp;c=444444", "offset 154")</f>
        <v>offset 154</v>
      </c>
    </row>
    <row r="4172" customFormat="false" ht="12.8" hidden="false" customHeight="false" outlineLevel="0" collapsed="false">
      <c r="A4172" s="0" t="s">
        <v>12</v>
      </c>
      <c r="B4172" s="0" t="n">
        <v>1326086</v>
      </c>
      <c r="C4172" s="0" t="n">
        <v>1326106</v>
      </c>
      <c r="D4172" s="0" t="s">
        <v>13908</v>
      </c>
      <c r="E4172" s="0" t="s">
        <v>75</v>
      </c>
      <c r="F4172" s="0" t="s">
        <v>15</v>
      </c>
      <c r="G4172" s="0" t="s">
        <v>20</v>
      </c>
      <c r="H4172" s="0" t="n">
        <v>8</v>
      </c>
      <c r="I4172" s="0" t="s">
        <v>13909</v>
      </c>
      <c r="J4172" s="0" t="s">
        <v>13910</v>
      </c>
      <c r="K4172" s="0" t="s">
        <v>13911</v>
      </c>
      <c r="L4172" s="0" t="str">
        <f aca="false">HYPERLINK("https://www.ncbi.nlm.nih.gov/nuccore/CP000058.1?report=graph&amp;tracks=[key:gene_model_track,Options:GeneOnly]&amp;mk=1326087:1326106|offset_8|00cc00,1326114:1326133|offset_35|444444,1326149:1326168|offset_70|444444,1326173:1326192|offset_94|444444&amp;v=1325886:1326392&amp;c=444444", "offset 8")</f>
        <v>offset 8</v>
      </c>
    </row>
    <row r="4173" customFormat="false" ht="12.8" hidden="false" customHeight="false" outlineLevel="0" collapsed="false">
      <c r="A4173" s="0" t="s">
        <v>12</v>
      </c>
      <c r="B4173" s="0" t="n">
        <v>1326113</v>
      </c>
      <c r="C4173" s="0" t="n">
        <v>1326133</v>
      </c>
      <c r="D4173" s="0" t="s">
        <v>13908</v>
      </c>
      <c r="E4173" s="0" t="s">
        <v>75</v>
      </c>
      <c r="F4173" s="0" t="s">
        <v>15</v>
      </c>
      <c r="G4173" s="0" t="s">
        <v>20</v>
      </c>
      <c r="H4173" s="0" t="n">
        <v>35</v>
      </c>
      <c r="I4173" s="0" t="s">
        <v>13912</v>
      </c>
      <c r="J4173" s="0" t="s">
        <v>13913</v>
      </c>
      <c r="K4173" s="0" t="s">
        <v>13914</v>
      </c>
      <c r="L4173" s="0" t="str">
        <f aca="false">HYPERLINK("https://www.ncbi.nlm.nih.gov/nuccore/CP000058.1?report=graph&amp;tracks=[key:gene_model_track,Options:GeneOnly]&amp;mk=1326087:1326106|offset_8|444444,1326114:1326133|offset_35|00cc00,1326149:1326168|offset_70|444444,1326173:1326192|offset_94|444444&amp;v=1325886:1326392&amp;c=444444", "offset 35")</f>
        <v>offset 35</v>
      </c>
    </row>
    <row r="4174" customFormat="false" ht="12.8" hidden="false" customHeight="false" outlineLevel="0" collapsed="false">
      <c r="A4174" s="0" t="s">
        <v>12</v>
      </c>
      <c r="B4174" s="0" t="n">
        <v>1326148</v>
      </c>
      <c r="C4174" s="0" t="n">
        <v>1326168</v>
      </c>
      <c r="D4174" s="0" t="s">
        <v>13908</v>
      </c>
      <c r="E4174" s="0" t="s">
        <v>75</v>
      </c>
      <c r="F4174" s="0" t="s">
        <v>15</v>
      </c>
      <c r="G4174" s="0" t="s">
        <v>36</v>
      </c>
      <c r="H4174" s="0" t="n">
        <v>70</v>
      </c>
      <c r="I4174" s="0" t="s">
        <v>13915</v>
      </c>
      <c r="J4174" s="0" t="s">
        <v>13916</v>
      </c>
      <c r="K4174" s="0" t="s">
        <v>13917</v>
      </c>
      <c r="L4174" s="0" t="str">
        <f aca="false">HYPERLINK("https://www.ncbi.nlm.nih.gov/nuccore/CP000058.1?report=graph&amp;tracks=[key:gene_model_track,Options:GeneOnly]&amp;mk=1326087:1326106|offset_8|444444,1326114:1326133|offset_35|444444,1326149:1326168|offset_70|00cc00,1326173:1326192|offset_94|444444&amp;v=1325886:1326392&amp;c=444444", "offset 70")</f>
        <v>offset 70</v>
      </c>
    </row>
    <row r="4175" customFormat="false" ht="12.8" hidden="false" customHeight="false" outlineLevel="0" collapsed="false">
      <c r="A4175" s="0" t="s">
        <v>12</v>
      </c>
      <c r="B4175" s="0" t="n">
        <v>1326172</v>
      </c>
      <c r="C4175" s="0" t="n">
        <v>1326192</v>
      </c>
      <c r="D4175" s="0" t="s">
        <v>13908</v>
      </c>
      <c r="E4175" s="0" t="s">
        <v>75</v>
      </c>
      <c r="F4175" s="0" t="s">
        <v>15</v>
      </c>
      <c r="G4175" s="0" t="s">
        <v>20</v>
      </c>
      <c r="H4175" s="0" t="n">
        <v>94</v>
      </c>
      <c r="I4175" s="0" t="s">
        <v>13918</v>
      </c>
      <c r="J4175" s="0" t="s">
        <v>13919</v>
      </c>
      <c r="K4175" s="0" t="s">
        <v>13920</v>
      </c>
      <c r="L4175" s="0" t="str">
        <f aca="false">HYPERLINK("https://www.ncbi.nlm.nih.gov/nuccore/CP000058.1?report=graph&amp;tracks=[key:gene_model_track,Options:GeneOnly]&amp;mk=1326087:1326106|offset_8|444444,1326114:1326133|offset_35|444444,1326149:1326168|offset_70|444444,1326173:1326192|offset_94|00cc00&amp;v=1325886:1326392&amp;c=444444", "offset 94")</f>
        <v>offset 94</v>
      </c>
    </row>
    <row r="4176" customFormat="false" ht="12.8" hidden="false" customHeight="false" outlineLevel="0" collapsed="false">
      <c r="A4176" s="0" t="s">
        <v>12</v>
      </c>
      <c r="B4176" s="0" t="n">
        <v>1328245</v>
      </c>
      <c r="C4176" s="0" t="n">
        <v>1328265</v>
      </c>
      <c r="D4176" s="0" t="s">
        <v>13921</v>
      </c>
      <c r="E4176" s="0" t="s">
        <v>13922</v>
      </c>
      <c r="F4176" s="0" t="s">
        <v>90</v>
      </c>
      <c r="G4176" s="0" t="s">
        <v>16</v>
      </c>
      <c r="H4176" s="0" t="n">
        <v>1</v>
      </c>
      <c r="I4176" s="0" t="s">
        <v>13923</v>
      </c>
      <c r="J4176" s="0" t="s">
        <v>13924</v>
      </c>
      <c r="K4176" s="0" t="s">
        <v>13925</v>
      </c>
      <c r="L4176" s="0" t="str">
        <f aca="false">HYPERLINK("https://www.ncbi.nlm.nih.gov/nuccore/CP000058.1?report=graph&amp;tracks=[key:gene_model_track,Options:GeneOnly]&amp;mk=1328246:1328265|offset_1|00cc00,1328190:1328209|offset_57|444444,1328169:1328188|offset_78|444444,1328139:1328158|offset_108|444444&amp;v=1328045:1328358&amp;c=444444", "offset 1")</f>
        <v>offset 1</v>
      </c>
    </row>
    <row r="4177" customFormat="false" ht="12.8" hidden="false" customHeight="false" outlineLevel="0" collapsed="false">
      <c r="A4177" s="0" t="s">
        <v>12</v>
      </c>
      <c r="B4177" s="0" t="n">
        <v>1328189</v>
      </c>
      <c r="C4177" s="0" t="n">
        <v>1328209</v>
      </c>
      <c r="D4177" s="0" t="s">
        <v>13921</v>
      </c>
      <c r="E4177" s="0" t="s">
        <v>13922</v>
      </c>
      <c r="F4177" s="0" t="s">
        <v>90</v>
      </c>
      <c r="G4177" s="0" t="s">
        <v>20</v>
      </c>
      <c r="H4177" s="0" t="n">
        <v>57</v>
      </c>
      <c r="I4177" s="0" t="s">
        <v>13926</v>
      </c>
      <c r="J4177" s="0" t="s">
        <v>13927</v>
      </c>
      <c r="K4177" s="0" t="s">
        <v>13928</v>
      </c>
      <c r="L4177" s="0" t="str">
        <f aca="false">HYPERLINK("https://www.ncbi.nlm.nih.gov/nuccore/CP000058.1?report=graph&amp;tracks=[key:gene_model_track,Options:GeneOnly]&amp;mk=1328246:1328265|offset_1|444444,1328190:1328209|offset_57|00cc00,1328169:1328188|offset_78|444444,1328139:1328158|offset_108|444444&amp;v=1328045:1328358&amp;c=444444", "offset 57")</f>
        <v>offset 57</v>
      </c>
    </row>
    <row r="4178" customFormat="false" ht="12.8" hidden="false" customHeight="false" outlineLevel="0" collapsed="false">
      <c r="A4178" s="0" t="s">
        <v>12</v>
      </c>
      <c r="B4178" s="0" t="n">
        <v>1328168</v>
      </c>
      <c r="C4178" s="0" t="n">
        <v>1328188</v>
      </c>
      <c r="D4178" s="0" t="s">
        <v>13921</v>
      </c>
      <c r="E4178" s="0" t="s">
        <v>13922</v>
      </c>
      <c r="F4178" s="0" t="s">
        <v>90</v>
      </c>
      <c r="G4178" s="0" t="s">
        <v>36</v>
      </c>
      <c r="H4178" s="0" t="n">
        <v>78</v>
      </c>
      <c r="I4178" s="0" t="s">
        <v>13929</v>
      </c>
      <c r="J4178" s="0" t="s">
        <v>13930</v>
      </c>
      <c r="K4178" s="0" t="s">
        <v>13931</v>
      </c>
      <c r="L4178" s="0" t="str">
        <f aca="false">HYPERLINK("https://www.ncbi.nlm.nih.gov/nuccore/CP000058.1?report=graph&amp;tracks=[key:gene_model_track,Options:GeneOnly]&amp;mk=1328246:1328265|offset_1|444444,1328190:1328209|offset_57|444444,1328169:1328188|offset_78|00cc00,1328139:1328158|offset_108|444444&amp;v=1328045:1328358&amp;c=444444", "offset 78")</f>
        <v>offset 78</v>
      </c>
    </row>
    <row r="4179" customFormat="false" ht="12.8" hidden="false" customHeight="false" outlineLevel="0" collapsed="false">
      <c r="A4179" s="0" t="s">
        <v>12</v>
      </c>
      <c r="B4179" s="0" t="n">
        <v>1328138</v>
      </c>
      <c r="C4179" s="0" t="n">
        <v>1328158</v>
      </c>
      <c r="D4179" s="0" t="s">
        <v>13921</v>
      </c>
      <c r="E4179" s="0" t="s">
        <v>13922</v>
      </c>
      <c r="F4179" s="0" t="s">
        <v>90</v>
      </c>
      <c r="G4179" s="0" t="s">
        <v>16</v>
      </c>
      <c r="H4179" s="0" t="n">
        <v>108</v>
      </c>
      <c r="I4179" s="0" t="s">
        <v>13932</v>
      </c>
      <c r="J4179" s="0" t="s">
        <v>13933</v>
      </c>
      <c r="K4179" s="0" t="s">
        <v>13934</v>
      </c>
      <c r="L4179" s="0" t="str">
        <f aca="false">HYPERLINK("https://www.ncbi.nlm.nih.gov/nuccore/CP000058.1?report=graph&amp;tracks=[key:gene_model_track,Options:GeneOnly]&amp;mk=1328246:1328265|offset_1|444444,1328190:1328209|offset_57|444444,1328169:1328188|offset_78|444444,1328139:1328158|offset_108|00cc00&amp;v=1328045:1328358&amp;c=444444", "offset 108")</f>
        <v>offset 108</v>
      </c>
    </row>
    <row r="4180" customFormat="false" ht="12.8" hidden="false" customHeight="false" outlineLevel="0" collapsed="false">
      <c r="A4180" s="0" t="s">
        <v>12</v>
      </c>
      <c r="B4180" s="0" t="n">
        <v>1329016</v>
      </c>
      <c r="C4180" s="0" t="n">
        <v>1329036</v>
      </c>
      <c r="D4180" s="0" t="s">
        <v>13935</v>
      </c>
      <c r="E4180" s="0" t="s">
        <v>75</v>
      </c>
      <c r="F4180" s="0" t="s">
        <v>90</v>
      </c>
      <c r="G4180" s="0" t="s">
        <v>20</v>
      </c>
      <c r="H4180" s="0" t="n">
        <v>12</v>
      </c>
      <c r="I4180" s="0" t="s">
        <v>13936</v>
      </c>
      <c r="J4180" s="0" t="s">
        <v>13937</v>
      </c>
      <c r="K4180" s="0" t="s">
        <v>13938</v>
      </c>
      <c r="L4180" s="0" t="str">
        <f aca="false">HYPERLINK("https://www.ncbi.nlm.nih.gov/nuccore/CP000058.1?report=graph&amp;tracks=[key:gene_model_track,Options:GeneOnly]&amp;mk=1329017:1329036|offset_12|00cc00,1328992:1329011|offset_37|444444,1328953:1328972|offset_76|444444,1328933:1328952|offset_96|444444&amp;v=1328816:1329152&amp;c=444444", "offset 12")</f>
        <v>offset 12</v>
      </c>
    </row>
    <row r="4181" customFormat="false" ht="12.8" hidden="false" customHeight="false" outlineLevel="0" collapsed="false">
      <c r="A4181" s="0" t="s">
        <v>12</v>
      </c>
      <c r="B4181" s="0" t="n">
        <v>1328991</v>
      </c>
      <c r="C4181" s="0" t="n">
        <v>1329011</v>
      </c>
      <c r="D4181" s="0" t="s">
        <v>13935</v>
      </c>
      <c r="E4181" s="0" t="s">
        <v>75</v>
      </c>
      <c r="F4181" s="0" t="s">
        <v>90</v>
      </c>
      <c r="G4181" s="0" t="s">
        <v>16</v>
      </c>
      <c r="H4181" s="0" t="n">
        <v>37</v>
      </c>
      <c r="I4181" s="0" t="s">
        <v>13939</v>
      </c>
      <c r="J4181" s="0" t="s">
        <v>13940</v>
      </c>
      <c r="K4181" s="0" t="s">
        <v>13941</v>
      </c>
      <c r="L4181" s="0" t="str">
        <f aca="false">HYPERLINK("https://www.ncbi.nlm.nih.gov/nuccore/CP000058.1?report=graph&amp;tracks=[key:gene_model_track,Options:GeneOnly]&amp;mk=1329017:1329036|offset_12|444444,1328992:1329011|offset_37|00cc00,1328953:1328972|offset_76|444444,1328933:1328952|offset_96|444444&amp;v=1328816:1329152&amp;c=444444", "offset 37")</f>
        <v>offset 37</v>
      </c>
    </row>
    <row r="4182" customFormat="false" ht="12.8" hidden="false" customHeight="false" outlineLevel="0" collapsed="false">
      <c r="A4182" s="0" t="s">
        <v>12</v>
      </c>
      <c r="B4182" s="0" t="n">
        <v>1328952</v>
      </c>
      <c r="C4182" s="0" t="n">
        <v>1328972</v>
      </c>
      <c r="D4182" s="0" t="s">
        <v>13935</v>
      </c>
      <c r="E4182" s="0" t="s">
        <v>75</v>
      </c>
      <c r="F4182" s="0" t="s">
        <v>90</v>
      </c>
      <c r="G4182" s="0" t="s">
        <v>16</v>
      </c>
      <c r="H4182" s="0" t="n">
        <v>76</v>
      </c>
      <c r="I4182" s="0" t="s">
        <v>13942</v>
      </c>
      <c r="J4182" s="0" t="s">
        <v>13943</v>
      </c>
      <c r="K4182" s="0" t="s">
        <v>13944</v>
      </c>
      <c r="L4182" s="0" t="str">
        <f aca="false">HYPERLINK("https://www.ncbi.nlm.nih.gov/nuccore/CP000058.1?report=graph&amp;tracks=[key:gene_model_track,Options:GeneOnly]&amp;mk=1329017:1329036|offset_12|444444,1328992:1329011|offset_37|444444,1328953:1328972|offset_76|00cc00,1328933:1328952|offset_96|444444&amp;v=1328816:1329152&amp;c=444444", "offset 76")</f>
        <v>offset 76</v>
      </c>
    </row>
    <row r="4183" customFormat="false" ht="12.8" hidden="false" customHeight="false" outlineLevel="0" collapsed="false">
      <c r="A4183" s="0" t="s">
        <v>12</v>
      </c>
      <c r="B4183" s="0" t="n">
        <v>1328932</v>
      </c>
      <c r="C4183" s="0" t="n">
        <v>1328952</v>
      </c>
      <c r="D4183" s="0" t="s">
        <v>13935</v>
      </c>
      <c r="E4183" s="0" t="s">
        <v>75</v>
      </c>
      <c r="F4183" s="0" t="s">
        <v>90</v>
      </c>
      <c r="G4183" s="0" t="s">
        <v>16</v>
      </c>
      <c r="H4183" s="0" t="n">
        <v>96</v>
      </c>
      <c r="I4183" s="0" t="s">
        <v>13945</v>
      </c>
      <c r="J4183" s="0" t="s">
        <v>13946</v>
      </c>
      <c r="K4183" s="0" t="s">
        <v>13947</v>
      </c>
      <c r="L4183" s="0" t="str">
        <f aca="false">HYPERLINK("https://www.ncbi.nlm.nih.gov/nuccore/CP000058.1?report=graph&amp;tracks=[key:gene_model_track,Options:GeneOnly]&amp;mk=1329017:1329036|offset_12|444444,1328992:1329011|offset_37|444444,1328953:1328972|offset_76|444444,1328933:1328952|offset_96|00cc00&amp;v=1328816:1329152&amp;c=444444", "offset 96")</f>
        <v>offset 96</v>
      </c>
    </row>
    <row r="4184" customFormat="false" ht="12.8" hidden="false" customHeight="false" outlineLevel="0" collapsed="false">
      <c r="A4184" s="0" t="s">
        <v>12</v>
      </c>
      <c r="B4184" s="0" t="n">
        <v>1329552</v>
      </c>
      <c r="C4184" s="0" t="n">
        <v>1329572</v>
      </c>
      <c r="D4184" s="0" t="s">
        <v>13948</v>
      </c>
      <c r="E4184" s="0" t="s">
        <v>75</v>
      </c>
      <c r="F4184" s="0" t="s">
        <v>15</v>
      </c>
      <c r="G4184" s="0" t="s">
        <v>32</v>
      </c>
      <c r="H4184" s="0" t="n">
        <v>19</v>
      </c>
      <c r="I4184" s="0" t="s">
        <v>13949</v>
      </c>
      <c r="J4184" s="0" t="s">
        <v>13950</v>
      </c>
      <c r="K4184" s="0" t="s">
        <v>13951</v>
      </c>
      <c r="L4184" s="0" t="str">
        <f aca="false">HYPERLINK("https://www.ncbi.nlm.nih.gov/nuccore/CP000058.1?report=graph&amp;tracks=[key:gene_model_track,Options:GeneOnly]&amp;mk=1329553:1329572|offset_19|00cc00,1329574:1329593|offset_40|444444,1329595:1329614|offset_61|444444,1329616:1329635|offset_82|444444&amp;v=1329352:1329835&amp;c=444444", "offset 19")</f>
        <v>offset 19</v>
      </c>
    </row>
    <row r="4185" customFormat="false" ht="12.8" hidden="false" customHeight="false" outlineLevel="0" collapsed="false">
      <c r="A4185" s="0" t="s">
        <v>12</v>
      </c>
      <c r="B4185" s="0" t="n">
        <v>1329573</v>
      </c>
      <c r="C4185" s="0" t="n">
        <v>1329593</v>
      </c>
      <c r="D4185" s="0" t="s">
        <v>13948</v>
      </c>
      <c r="E4185" s="0" t="s">
        <v>75</v>
      </c>
      <c r="F4185" s="0" t="s">
        <v>15</v>
      </c>
      <c r="G4185" s="0" t="s">
        <v>36</v>
      </c>
      <c r="H4185" s="0" t="n">
        <v>40</v>
      </c>
      <c r="I4185" s="0" t="s">
        <v>13952</v>
      </c>
      <c r="J4185" s="0" t="s">
        <v>13953</v>
      </c>
      <c r="K4185" s="0" t="s">
        <v>13954</v>
      </c>
      <c r="L4185" s="0" t="str">
        <f aca="false">HYPERLINK("https://www.ncbi.nlm.nih.gov/nuccore/CP000058.1?report=graph&amp;tracks=[key:gene_model_track,Options:GeneOnly]&amp;mk=1329553:1329572|offset_19|444444,1329574:1329593|offset_40|00cc00,1329595:1329614|offset_61|444444,1329616:1329635|offset_82|444444&amp;v=1329352:1329835&amp;c=444444", "offset 40")</f>
        <v>offset 40</v>
      </c>
    </row>
    <row r="4186" customFormat="false" ht="12.8" hidden="false" customHeight="false" outlineLevel="0" collapsed="false">
      <c r="A4186" s="0" t="s">
        <v>12</v>
      </c>
      <c r="B4186" s="0" t="n">
        <v>1329594</v>
      </c>
      <c r="C4186" s="0" t="n">
        <v>1329614</v>
      </c>
      <c r="D4186" s="0" t="s">
        <v>13948</v>
      </c>
      <c r="E4186" s="0" t="s">
        <v>75</v>
      </c>
      <c r="F4186" s="0" t="s">
        <v>15</v>
      </c>
      <c r="G4186" s="0" t="s">
        <v>16</v>
      </c>
      <c r="H4186" s="0" t="n">
        <v>61</v>
      </c>
      <c r="I4186" s="0" t="s">
        <v>13955</v>
      </c>
      <c r="J4186" s="0" t="s">
        <v>13956</v>
      </c>
      <c r="K4186" s="0" t="s">
        <v>13957</v>
      </c>
      <c r="L4186" s="0" t="str">
        <f aca="false">HYPERLINK("https://www.ncbi.nlm.nih.gov/nuccore/CP000058.1?report=graph&amp;tracks=[key:gene_model_track,Options:GeneOnly]&amp;mk=1329553:1329572|offset_19|444444,1329574:1329593|offset_40|444444,1329595:1329614|offset_61|00cc00,1329616:1329635|offset_82|444444&amp;v=1329352:1329835&amp;c=444444", "offset 61")</f>
        <v>offset 61</v>
      </c>
    </row>
    <row r="4187" customFormat="false" ht="12.8" hidden="false" customHeight="false" outlineLevel="0" collapsed="false">
      <c r="A4187" s="0" t="s">
        <v>12</v>
      </c>
      <c r="B4187" s="0" t="n">
        <v>1329615</v>
      </c>
      <c r="C4187" s="0" t="n">
        <v>1329635</v>
      </c>
      <c r="D4187" s="0" t="s">
        <v>13948</v>
      </c>
      <c r="E4187" s="0" t="s">
        <v>75</v>
      </c>
      <c r="F4187" s="0" t="s">
        <v>15</v>
      </c>
      <c r="G4187" s="0" t="s">
        <v>32</v>
      </c>
      <c r="H4187" s="0" t="n">
        <v>82</v>
      </c>
      <c r="I4187" s="0" t="s">
        <v>13958</v>
      </c>
      <c r="J4187" s="0" t="s">
        <v>13959</v>
      </c>
      <c r="K4187" s="0" t="s">
        <v>13960</v>
      </c>
      <c r="L4187" s="0" t="str">
        <f aca="false">HYPERLINK("https://www.ncbi.nlm.nih.gov/nuccore/CP000058.1?report=graph&amp;tracks=[key:gene_model_track,Options:GeneOnly]&amp;mk=1329553:1329572|offset_19|444444,1329574:1329593|offset_40|444444,1329595:1329614|offset_61|444444,1329616:1329635|offset_82|00cc00&amp;v=1329352:1329835&amp;c=444444", "offset 82")</f>
        <v>offset 82</v>
      </c>
    </row>
    <row r="4188" customFormat="false" ht="12.8" hidden="false" customHeight="false" outlineLevel="0" collapsed="false">
      <c r="A4188" s="0" t="s">
        <v>12</v>
      </c>
      <c r="B4188" s="0" t="n">
        <v>1330656</v>
      </c>
      <c r="C4188" s="0" t="n">
        <v>1330676</v>
      </c>
      <c r="D4188" s="0" t="s">
        <v>13961</v>
      </c>
      <c r="E4188" s="0" t="s">
        <v>75</v>
      </c>
      <c r="F4188" s="0" t="s">
        <v>15</v>
      </c>
      <c r="G4188" s="0" t="s">
        <v>36</v>
      </c>
      <c r="H4188" s="0" t="n">
        <v>24</v>
      </c>
      <c r="I4188" s="0" t="s">
        <v>13962</v>
      </c>
      <c r="J4188" s="0" t="s">
        <v>13963</v>
      </c>
      <c r="K4188" s="0" t="s">
        <v>13964</v>
      </c>
      <c r="L4188" s="0" t="str">
        <f aca="false">HYPERLINK("https://www.ncbi.nlm.nih.gov/nuccore/CP000058.1?report=graph&amp;tracks=[key:gene_model_track,Options:GeneOnly]&amp;mk=1330657:1330676|offset_24|00cc00,1330684:1330703|offset_51|444444,1330763:1330782|offset_130|444444,1330793:1330812|offset_160|444444&amp;v=1330456:1331012&amp;c=444444", "offset 24")</f>
        <v>offset 24</v>
      </c>
    </row>
    <row r="4189" customFormat="false" ht="12.8" hidden="false" customHeight="false" outlineLevel="0" collapsed="false">
      <c r="A4189" s="0" t="s">
        <v>12</v>
      </c>
      <c r="B4189" s="0" t="n">
        <v>1330683</v>
      </c>
      <c r="C4189" s="0" t="n">
        <v>1330703</v>
      </c>
      <c r="D4189" s="0" t="s">
        <v>13961</v>
      </c>
      <c r="E4189" s="0" t="s">
        <v>75</v>
      </c>
      <c r="F4189" s="0" t="s">
        <v>15</v>
      </c>
      <c r="G4189" s="0" t="s">
        <v>16</v>
      </c>
      <c r="H4189" s="0" t="n">
        <v>51</v>
      </c>
      <c r="I4189" s="0" t="s">
        <v>13965</v>
      </c>
      <c r="J4189" s="0" t="s">
        <v>13966</v>
      </c>
      <c r="K4189" s="0" t="s">
        <v>13967</v>
      </c>
      <c r="L4189" s="0" t="str">
        <f aca="false">HYPERLINK("https://www.ncbi.nlm.nih.gov/nuccore/CP000058.1?report=graph&amp;tracks=[key:gene_model_track,Options:GeneOnly]&amp;mk=1330657:1330676|offset_24|444444,1330684:1330703|offset_51|00cc00,1330763:1330782|offset_130|444444,1330793:1330812|offset_160|444444&amp;v=1330456:1331012&amp;c=444444", "offset 51")</f>
        <v>offset 51</v>
      </c>
    </row>
    <row r="4190" customFormat="false" ht="12.8" hidden="false" customHeight="false" outlineLevel="0" collapsed="false">
      <c r="A4190" s="0" t="s">
        <v>12</v>
      </c>
      <c r="B4190" s="0" t="n">
        <v>1330762</v>
      </c>
      <c r="C4190" s="0" t="n">
        <v>1330782</v>
      </c>
      <c r="D4190" s="0" t="s">
        <v>13961</v>
      </c>
      <c r="E4190" s="0" t="s">
        <v>75</v>
      </c>
      <c r="F4190" s="0" t="s">
        <v>15</v>
      </c>
      <c r="G4190" s="0" t="s">
        <v>36</v>
      </c>
      <c r="H4190" s="0" t="n">
        <v>130</v>
      </c>
      <c r="I4190" s="0" t="s">
        <v>13968</v>
      </c>
      <c r="J4190" s="0" t="s">
        <v>13969</v>
      </c>
      <c r="K4190" s="0" t="s">
        <v>13970</v>
      </c>
      <c r="L4190" s="0" t="str">
        <f aca="false">HYPERLINK("https://www.ncbi.nlm.nih.gov/nuccore/CP000058.1?report=graph&amp;tracks=[key:gene_model_track,Options:GeneOnly]&amp;mk=1330657:1330676|offset_24|444444,1330684:1330703|offset_51|444444,1330763:1330782|offset_130|00cc00,1330793:1330812|offset_160|444444&amp;v=1330456:1331012&amp;c=444444", "offset 130")</f>
        <v>offset 130</v>
      </c>
    </row>
    <row r="4191" customFormat="false" ht="12.8" hidden="false" customHeight="false" outlineLevel="0" collapsed="false">
      <c r="A4191" s="0" t="s">
        <v>12</v>
      </c>
      <c r="B4191" s="0" t="n">
        <v>1330792</v>
      </c>
      <c r="C4191" s="0" t="n">
        <v>1330812</v>
      </c>
      <c r="D4191" s="0" t="s">
        <v>13961</v>
      </c>
      <c r="E4191" s="0" t="s">
        <v>75</v>
      </c>
      <c r="F4191" s="0" t="s">
        <v>15</v>
      </c>
      <c r="G4191" s="0" t="s">
        <v>20</v>
      </c>
      <c r="H4191" s="0" t="n">
        <v>160</v>
      </c>
      <c r="I4191" s="0" t="s">
        <v>13971</v>
      </c>
      <c r="J4191" s="0" t="s">
        <v>13972</v>
      </c>
      <c r="K4191" s="0" t="s">
        <v>13973</v>
      </c>
      <c r="L4191" s="0" t="str">
        <f aca="false">HYPERLINK("https://www.ncbi.nlm.nih.gov/nuccore/CP000058.1?report=graph&amp;tracks=[key:gene_model_track,Options:GeneOnly]&amp;mk=1330657:1330676|offset_24|444444,1330684:1330703|offset_51|444444,1330763:1330782|offset_130|444444,1330793:1330812|offset_160|00cc00&amp;v=1330456:1331012&amp;c=444444", "offset 160")</f>
        <v>offset 160</v>
      </c>
    </row>
    <row r="4192" customFormat="false" ht="12.8" hidden="false" customHeight="false" outlineLevel="0" collapsed="false">
      <c r="A4192" s="0" t="s">
        <v>12</v>
      </c>
      <c r="B4192" s="0" t="n">
        <v>1331848</v>
      </c>
      <c r="C4192" s="0" t="n">
        <v>1331868</v>
      </c>
      <c r="D4192" s="0" t="s">
        <v>13974</v>
      </c>
      <c r="E4192" s="0" t="s">
        <v>75</v>
      </c>
      <c r="F4192" s="0" t="s">
        <v>15</v>
      </c>
      <c r="G4192" s="0" t="s">
        <v>20</v>
      </c>
      <c r="H4192" s="0" t="n">
        <v>24</v>
      </c>
      <c r="I4192" s="0" t="s">
        <v>13975</v>
      </c>
      <c r="J4192" s="0" t="s">
        <v>13976</v>
      </c>
      <c r="K4192" s="0" t="s">
        <v>13977</v>
      </c>
      <c r="L4192" s="0" t="str">
        <f aca="false">HYPERLINK("https://www.ncbi.nlm.nih.gov/nuccore/CP000058.1?report=graph&amp;tracks=[key:gene_model_track,Options:GeneOnly]&amp;mk=1331849:1331868|offset_24|00cc00,1331881:1331900|offset_56|444444,1331905:1331924|offset_80|444444,1331928:1331947|offset_103|444444&amp;v=1331648:1332147&amp;c=444444", "offset 24")</f>
        <v>offset 24</v>
      </c>
    </row>
    <row r="4193" customFormat="false" ht="12.8" hidden="false" customHeight="false" outlineLevel="0" collapsed="false">
      <c r="A4193" s="0" t="s">
        <v>12</v>
      </c>
      <c r="B4193" s="0" t="n">
        <v>1331880</v>
      </c>
      <c r="C4193" s="0" t="n">
        <v>1331900</v>
      </c>
      <c r="D4193" s="0" t="s">
        <v>13974</v>
      </c>
      <c r="E4193" s="0" t="s">
        <v>75</v>
      </c>
      <c r="F4193" s="0" t="s">
        <v>15</v>
      </c>
      <c r="G4193" s="0" t="s">
        <v>36</v>
      </c>
      <c r="H4193" s="0" t="n">
        <v>56</v>
      </c>
      <c r="I4193" s="0" t="s">
        <v>13978</v>
      </c>
      <c r="J4193" s="0" t="s">
        <v>13979</v>
      </c>
      <c r="K4193" s="0" t="s">
        <v>13980</v>
      </c>
      <c r="L4193" s="0" t="str">
        <f aca="false">HYPERLINK("https://www.ncbi.nlm.nih.gov/nuccore/CP000058.1?report=graph&amp;tracks=[key:gene_model_track,Options:GeneOnly]&amp;mk=1331849:1331868|offset_24|444444,1331881:1331900|offset_56|00cc00,1331905:1331924|offset_80|444444,1331928:1331947|offset_103|444444&amp;v=1331648:1332147&amp;c=444444", "offset 56")</f>
        <v>offset 56</v>
      </c>
    </row>
    <row r="4194" customFormat="false" ht="12.8" hidden="false" customHeight="false" outlineLevel="0" collapsed="false">
      <c r="A4194" s="0" t="s">
        <v>12</v>
      </c>
      <c r="B4194" s="0" t="n">
        <v>1331904</v>
      </c>
      <c r="C4194" s="0" t="n">
        <v>1331924</v>
      </c>
      <c r="D4194" s="0" t="s">
        <v>13974</v>
      </c>
      <c r="E4194" s="0" t="s">
        <v>75</v>
      </c>
      <c r="F4194" s="0" t="s">
        <v>15</v>
      </c>
      <c r="G4194" s="0" t="s">
        <v>20</v>
      </c>
      <c r="H4194" s="0" t="n">
        <v>80</v>
      </c>
      <c r="I4194" s="0" t="s">
        <v>13981</v>
      </c>
      <c r="J4194" s="0" t="s">
        <v>13982</v>
      </c>
      <c r="K4194" s="0" t="s">
        <v>13983</v>
      </c>
      <c r="L4194" s="0" t="str">
        <f aca="false">HYPERLINK("https://www.ncbi.nlm.nih.gov/nuccore/CP000058.1?report=graph&amp;tracks=[key:gene_model_track,Options:GeneOnly]&amp;mk=1331849:1331868|offset_24|444444,1331881:1331900|offset_56|444444,1331905:1331924|offset_80|00cc00,1331928:1331947|offset_103|444444&amp;v=1331648:1332147&amp;c=444444", "offset 80")</f>
        <v>offset 80</v>
      </c>
    </row>
    <row r="4195" customFormat="false" ht="12.8" hidden="false" customHeight="false" outlineLevel="0" collapsed="false">
      <c r="A4195" s="0" t="s">
        <v>12</v>
      </c>
      <c r="B4195" s="0" t="n">
        <v>1331927</v>
      </c>
      <c r="C4195" s="0" t="n">
        <v>1331947</v>
      </c>
      <c r="D4195" s="0" t="s">
        <v>13974</v>
      </c>
      <c r="E4195" s="0" t="s">
        <v>75</v>
      </c>
      <c r="F4195" s="0" t="s">
        <v>15</v>
      </c>
      <c r="G4195" s="0" t="s">
        <v>36</v>
      </c>
      <c r="H4195" s="0" t="n">
        <v>103</v>
      </c>
      <c r="I4195" s="0" t="s">
        <v>13984</v>
      </c>
      <c r="J4195" s="0" t="s">
        <v>13985</v>
      </c>
      <c r="K4195" s="0" t="s">
        <v>13986</v>
      </c>
      <c r="L4195" s="0" t="str">
        <f aca="false">HYPERLINK("https://www.ncbi.nlm.nih.gov/nuccore/CP000058.1?report=graph&amp;tracks=[key:gene_model_track,Options:GeneOnly]&amp;mk=1331849:1331868|offset_24|444444,1331881:1331900|offset_56|444444,1331905:1331924|offset_80|444444,1331928:1331947|offset_103|00cc00&amp;v=1331648:1332147&amp;c=444444", "offset 103")</f>
        <v>offset 103</v>
      </c>
    </row>
    <row r="4196" customFormat="false" ht="12.8" hidden="false" customHeight="false" outlineLevel="0" collapsed="false">
      <c r="A4196" s="0" t="s">
        <v>12</v>
      </c>
      <c r="B4196" s="0" t="n">
        <v>1332956</v>
      </c>
      <c r="C4196" s="0" t="n">
        <v>1332976</v>
      </c>
      <c r="D4196" s="0" t="s">
        <v>13987</v>
      </c>
      <c r="E4196" s="0" t="s">
        <v>75</v>
      </c>
      <c r="F4196" s="0" t="s">
        <v>15</v>
      </c>
      <c r="G4196" s="0" t="s">
        <v>20</v>
      </c>
      <c r="H4196" s="0" t="n">
        <v>24</v>
      </c>
      <c r="I4196" s="0" t="s">
        <v>13988</v>
      </c>
      <c r="J4196" s="0" t="s">
        <v>13989</v>
      </c>
      <c r="K4196" s="0" t="s">
        <v>13990</v>
      </c>
      <c r="L4196" s="0" t="str">
        <f aca="false">HYPERLINK("https://www.ncbi.nlm.nih.gov/nuccore/CP000058.1?report=graph&amp;tracks=[key:gene_model_track,Options:GeneOnly]&amp;mk=1332957:1332976|offset_24|00cc00,1332980:1332999|offset_47|444444,1333010:1333029|offset_77|444444,1333037:1333056|offset_104|444444&amp;v=1332756:1333256&amp;c=444444", "offset 24")</f>
        <v>offset 24</v>
      </c>
    </row>
    <row r="4197" customFormat="false" ht="12.8" hidden="false" customHeight="false" outlineLevel="0" collapsed="false">
      <c r="A4197" s="0" t="s">
        <v>12</v>
      </c>
      <c r="B4197" s="0" t="n">
        <v>1332979</v>
      </c>
      <c r="C4197" s="0" t="n">
        <v>1332999</v>
      </c>
      <c r="D4197" s="0" t="s">
        <v>13987</v>
      </c>
      <c r="E4197" s="0" t="s">
        <v>75</v>
      </c>
      <c r="F4197" s="0" t="s">
        <v>15</v>
      </c>
      <c r="G4197" s="0" t="s">
        <v>16</v>
      </c>
      <c r="H4197" s="0" t="n">
        <v>47</v>
      </c>
      <c r="I4197" s="0" t="s">
        <v>13991</v>
      </c>
      <c r="J4197" s="0" t="s">
        <v>13992</v>
      </c>
      <c r="K4197" s="0" t="s">
        <v>13993</v>
      </c>
      <c r="L4197" s="0" t="str">
        <f aca="false">HYPERLINK("https://www.ncbi.nlm.nih.gov/nuccore/CP000058.1?report=graph&amp;tracks=[key:gene_model_track,Options:GeneOnly]&amp;mk=1332957:1332976|offset_24|444444,1332980:1332999|offset_47|00cc00,1333010:1333029|offset_77|444444,1333037:1333056|offset_104|444444&amp;v=1332756:1333256&amp;c=444444", "offset 47")</f>
        <v>offset 47</v>
      </c>
    </row>
    <row r="4198" customFormat="false" ht="12.8" hidden="false" customHeight="false" outlineLevel="0" collapsed="false">
      <c r="A4198" s="0" t="s">
        <v>12</v>
      </c>
      <c r="B4198" s="0" t="n">
        <v>1333009</v>
      </c>
      <c r="C4198" s="0" t="n">
        <v>1333029</v>
      </c>
      <c r="D4198" s="0" t="s">
        <v>13987</v>
      </c>
      <c r="E4198" s="0" t="s">
        <v>75</v>
      </c>
      <c r="F4198" s="0" t="s">
        <v>15</v>
      </c>
      <c r="G4198" s="0" t="s">
        <v>32</v>
      </c>
      <c r="H4198" s="0" t="n">
        <v>77</v>
      </c>
      <c r="I4198" s="0" t="s">
        <v>13994</v>
      </c>
      <c r="J4198" s="0" t="s">
        <v>13995</v>
      </c>
      <c r="K4198" s="0" t="s">
        <v>13996</v>
      </c>
      <c r="L4198" s="0" t="str">
        <f aca="false">HYPERLINK("https://www.ncbi.nlm.nih.gov/nuccore/CP000058.1?report=graph&amp;tracks=[key:gene_model_track,Options:GeneOnly]&amp;mk=1332957:1332976|offset_24|444444,1332980:1332999|offset_47|444444,1333010:1333029|offset_77|00cc00,1333037:1333056|offset_104|444444&amp;v=1332756:1333256&amp;c=444444", "offset 77")</f>
        <v>offset 77</v>
      </c>
    </row>
    <row r="4199" customFormat="false" ht="12.8" hidden="false" customHeight="false" outlineLevel="0" collapsed="false">
      <c r="A4199" s="0" t="s">
        <v>12</v>
      </c>
      <c r="B4199" s="0" t="n">
        <v>1333036</v>
      </c>
      <c r="C4199" s="0" t="n">
        <v>1333056</v>
      </c>
      <c r="D4199" s="0" t="s">
        <v>13987</v>
      </c>
      <c r="E4199" s="0" t="s">
        <v>75</v>
      </c>
      <c r="F4199" s="0" t="s">
        <v>15</v>
      </c>
      <c r="G4199" s="0" t="s">
        <v>20</v>
      </c>
      <c r="H4199" s="0" t="n">
        <v>104</v>
      </c>
      <c r="I4199" s="0" t="s">
        <v>13997</v>
      </c>
      <c r="J4199" s="0" t="s">
        <v>13998</v>
      </c>
      <c r="K4199" s="0" t="s">
        <v>13999</v>
      </c>
      <c r="L4199" s="0" t="str">
        <f aca="false">HYPERLINK("https://www.ncbi.nlm.nih.gov/nuccore/CP000058.1?report=graph&amp;tracks=[key:gene_model_track,Options:GeneOnly]&amp;mk=1332957:1332976|offset_24|444444,1332980:1332999|offset_47|444444,1333010:1333029|offset_77|444444,1333037:1333056|offset_104|00cc00&amp;v=1332756:1333256&amp;c=444444", "offset 104")</f>
        <v>offset 104</v>
      </c>
    </row>
    <row r="4200" customFormat="false" ht="12.8" hidden="false" customHeight="false" outlineLevel="0" collapsed="false">
      <c r="A4200" s="0" t="s">
        <v>12</v>
      </c>
      <c r="B4200" s="0" t="n">
        <v>1333862</v>
      </c>
      <c r="C4200" s="0" t="n">
        <v>1333882</v>
      </c>
      <c r="D4200" s="0" t="s">
        <v>14000</v>
      </c>
      <c r="E4200" s="0" t="s">
        <v>75</v>
      </c>
      <c r="F4200" s="0" t="s">
        <v>15</v>
      </c>
      <c r="G4200" s="0" t="s">
        <v>16</v>
      </c>
      <c r="H4200" s="0" t="n">
        <v>0</v>
      </c>
      <c r="I4200" s="0" t="s">
        <v>14001</v>
      </c>
      <c r="J4200" s="0" t="s">
        <v>14002</v>
      </c>
      <c r="K4200" s="0" t="s">
        <v>14003</v>
      </c>
      <c r="L4200" s="0" t="str">
        <f aca="false">HYPERLINK("https://www.ncbi.nlm.nih.gov/nuccore/CP000058.1?report=graph&amp;tracks=[key:gene_model_track,Options:GeneOnly]&amp;mk=1333863:1333882|offset_0|00cc00,1333885:1333904|offset_22|444444,1333912:1333931|offset_49|444444,1333932:1333951|offset_69|444444&amp;v=1333662:1334151&amp;c=444444", "offset 0")</f>
        <v>offset 0</v>
      </c>
    </row>
    <row r="4201" customFormat="false" ht="12.8" hidden="false" customHeight="false" outlineLevel="0" collapsed="false">
      <c r="A4201" s="0" t="s">
        <v>12</v>
      </c>
      <c r="B4201" s="0" t="n">
        <v>1333884</v>
      </c>
      <c r="C4201" s="0" t="n">
        <v>1333904</v>
      </c>
      <c r="D4201" s="0" t="s">
        <v>14000</v>
      </c>
      <c r="E4201" s="0" t="s">
        <v>75</v>
      </c>
      <c r="F4201" s="0" t="s">
        <v>15</v>
      </c>
      <c r="G4201" s="0" t="s">
        <v>32</v>
      </c>
      <c r="H4201" s="0" t="n">
        <v>22</v>
      </c>
      <c r="I4201" s="0" t="s">
        <v>14004</v>
      </c>
      <c r="J4201" s="0" t="s">
        <v>14005</v>
      </c>
      <c r="K4201" s="0" t="s">
        <v>14006</v>
      </c>
      <c r="L4201" s="0" t="str">
        <f aca="false">HYPERLINK("https://www.ncbi.nlm.nih.gov/nuccore/CP000058.1?report=graph&amp;tracks=[key:gene_model_track,Options:GeneOnly]&amp;mk=1333863:1333882|offset_0|444444,1333885:1333904|offset_22|00cc00,1333912:1333931|offset_49|444444,1333932:1333951|offset_69|444444&amp;v=1333662:1334151&amp;c=444444", "offset 22")</f>
        <v>offset 22</v>
      </c>
    </row>
    <row r="4202" customFormat="false" ht="12.8" hidden="false" customHeight="false" outlineLevel="0" collapsed="false">
      <c r="A4202" s="0" t="s">
        <v>12</v>
      </c>
      <c r="B4202" s="0" t="n">
        <v>1333911</v>
      </c>
      <c r="C4202" s="0" t="n">
        <v>1333931</v>
      </c>
      <c r="D4202" s="0" t="s">
        <v>14000</v>
      </c>
      <c r="E4202" s="0" t="s">
        <v>75</v>
      </c>
      <c r="F4202" s="0" t="s">
        <v>15</v>
      </c>
      <c r="G4202" s="0" t="s">
        <v>36</v>
      </c>
      <c r="H4202" s="0" t="n">
        <v>49</v>
      </c>
      <c r="I4202" s="0" t="s">
        <v>14007</v>
      </c>
      <c r="J4202" s="0" t="s">
        <v>14008</v>
      </c>
      <c r="K4202" s="0" t="s">
        <v>14009</v>
      </c>
      <c r="L4202" s="0" t="str">
        <f aca="false">HYPERLINK("https://www.ncbi.nlm.nih.gov/nuccore/CP000058.1?report=graph&amp;tracks=[key:gene_model_track,Options:GeneOnly]&amp;mk=1333863:1333882|offset_0|444444,1333885:1333904|offset_22|444444,1333912:1333931|offset_49|00cc00,1333932:1333951|offset_69|444444&amp;v=1333662:1334151&amp;c=444444", "offset 49")</f>
        <v>offset 49</v>
      </c>
    </row>
    <row r="4203" customFormat="false" ht="12.8" hidden="false" customHeight="false" outlineLevel="0" collapsed="false">
      <c r="A4203" s="0" t="s">
        <v>12</v>
      </c>
      <c r="B4203" s="0" t="n">
        <v>1333931</v>
      </c>
      <c r="C4203" s="0" t="n">
        <v>1333951</v>
      </c>
      <c r="D4203" s="0" t="s">
        <v>14000</v>
      </c>
      <c r="E4203" s="0" t="s">
        <v>75</v>
      </c>
      <c r="F4203" s="0" t="s">
        <v>15</v>
      </c>
      <c r="G4203" s="0" t="s">
        <v>36</v>
      </c>
      <c r="H4203" s="0" t="n">
        <v>69</v>
      </c>
      <c r="I4203" s="0" t="s">
        <v>14010</v>
      </c>
      <c r="J4203" s="0" t="s">
        <v>14011</v>
      </c>
      <c r="K4203" s="0" t="s">
        <v>14012</v>
      </c>
      <c r="L4203" s="0" t="str">
        <f aca="false">HYPERLINK("https://www.ncbi.nlm.nih.gov/nuccore/CP000058.1?report=graph&amp;tracks=[key:gene_model_track,Options:GeneOnly]&amp;mk=1333863:1333882|offset_0|444444,1333885:1333904|offset_22|444444,1333912:1333931|offset_49|444444,1333932:1333951|offset_69|00cc00&amp;v=1333662:1334151&amp;c=444444", "offset 69")</f>
        <v>offset 69</v>
      </c>
    </row>
    <row r="4204" customFormat="false" ht="12.8" hidden="false" customHeight="false" outlineLevel="0" collapsed="false">
      <c r="A4204" s="0" t="s">
        <v>12</v>
      </c>
      <c r="B4204" s="0" t="n">
        <v>1336052</v>
      </c>
      <c r="C4204" s="0" t="n">
        <v>1336072</v>
      </c>
      <c r="D4204" s="0" t="s">
        <v>14013</v>
      </c>
      <c r="E4204" s="0" t="s">
        <v>75</v>
      </c>
      <c r="F4204" s="0" t="s">
        <v>90</v>
      </c>
      <c r="G4204" s="0" t="s">
        <v>32</v>
      </c>
      <c r="H4204" s="0" t="n">
        <v>1</v>
      </c>
      <c r="I4204" s="0" t="s">
        <v>14014</v>
      </c>
      <c r="J4204" s="0" t="s">
        <v>14015</v>
      </c>
      <c r="K4204" s="0" t="s">
        <v>14016</v>
      </c>
      <c r="L4204" s="0" t="str">
        <f aca="false">HYPERLINK("https://www.ncbi.nlm.nih.gov/nuccore/CP000058.1?report=graph&amp;tracks=[key:gene_model_track,Options:GeneOnly]&amp;mk=1336053:1336072|offset_1|00cc00,1335984:1336003|offset_70|444444,1335957:1335976|offset_97|444444,1335933:1335952|offset_121|444444&amp;v=1335852:1336152&amp;c=444444", "offset 1")</f>
        <v>offset 1</v>
      </c>
    </row>
    <row r="4205" customFormat="false" ht="12.8" hidden="false" customHeight="false" outlineLevel="0" collapsed="false">
      <c r="A4205" s="0" t="s">
        <v>12</v>
      </c>
      <c r="B4205" s="0" t="n">
        <v>1335983</v>
      </c>
      <c r="C4205" s="0" t="n">
        <v>1336003</v>
      </c>
      <c r="D4205" s="0" t="s">
        <v>14013</v>
      </c>
      <c r="E4205" s="0" t="s">
        <v>75</v>
      </c>
      <c r="F4205" s="0" t="s">
        <v>90</v>
      </c>
      <c r="G4205" s="0" t="s">
        <v>16</v>
      </c>
      <c r="H4205" s="0" t="n">
        <v>70</v>
      </c>
      <c r="I4205" s="0" t="s">
        <v>14017</v>
      </c>
      <c r="J4205" s="0" t="s">
        <v>14018</v>
      </c>
      <c r="K4205" s="0" t="s">
        <v>14019</v>
      </c>
      <c r="L4205" s="0" t="str">
        <f aca="false">HYPERLINK("https://www.ncbi.nlm.nih.gov/nuccore/CP000058.1?report=graph&amp;tracks=[key:gene_model_track,Options:GeneOnly]&amp;mk=1336053:1336072|offset_1|444444,1335984:1336003|offset_70|00cc00,1335957:1335976|offset_97|444444,1335933:1335952|offset_121|444444&amp;v=1335852:1336152&amp;c=444444", "offset 70")</f>
        <v>offset 70</v>
      </c>
    </row>
    <row r="4206" customFormat="false" ht="12.8" hidden="false" customHeight="false" outlineLevel="0" collapsed="false">
      <c r="A4206" s="0" t="s">
        <v>12</v>
      </c>
      <c r="B4206" s="0" t="n">
        <v>1335956</v>
      </c>
      <c r="C4206" s="0" t="n">
        <v>1335976</v>
      </c>
      <c r="D4206" s="0" t="s">
        <v>14013</v>
      </c>
      <c r="E4206" s="0" t="s">
        <v>75</v>
      </c>
      <c r="F4206" s="0" t="s">
        <v>90</v>
      </c>
      <c r="G4206" s="0" t="s">
        <v>16</v>
      </c>
      <c r="H4206" s="0" t="n">
        <v>97</v>
      </c>
      <c r="I4206" s="0" t="s">
        <v>14020</v>
      </c>
      <c r="J4206" s="0" t="s">
        <v>14021</v>
      </c>
      <c r="K4206" s="0" t="s">
        <v>14022</v>
      </c>
      <c r="L4206" s="0" t="str">
        <f aca="false">HYPERLINK("https://www.ncbi.nlm.nih.gov/nuccore/CP000058.1?report=graph&amp;tracks=[key:gene_model_track,Options:GeneOnly]&amp;mk=1336053:1336072|offset_1|444444,1335984:1336003|offset_70|444444,1335957:1335976|offset_97|00cc00,1335933:1335952|offset_121|444444&amp;v=1335852:1336152&amp;c=444444", "offset 97")</f>
        <v>offset 97</v>
      </c>
    </row>
    <row r="4207" customFormat="false" ht="12.8" hidden="false" customHeight="false" outlineLevel="0" collapsed="false">
      <c r="A4207" s="0" t="s">
        <v>12</v>
      </c>
      <c r="B4207" s="0" t="n">
        <v>1335932</v>
      </c>
      <c r="C4207" s="0" t="n">
        <v>1335952</v>
      </c>
      <c r="D4207" s="0" t="s">
        <v>14013</v>
      </c>
      <c r="E4207" s="0" t="s">
        <v>75</v>
      </c>
      <c r="F4207" s="0" t="s">
        <v>90</v>
      </c>
      <c r="G4207" s="0" t="s">
        <v>16</v>
      </c>
      <c r="H4207" s="0" t="n">
        <v>121</v>
      </c>
      <c r="I4207" s="0" t="s">
        <v>14023</v>
      </c>
      <c r="J4207" s="0" t="s">
        <v>14024</v>
      </c>
      <c r="K4207" s="0" t="s">
        <v>14025</v>
      </c>
      <c r="L4207" s="0" t="str">
        <f aca="false">HYPERLINK("https://www.ncbi.nlm.nih.gov/nuccore/CP000058.1?report=graph&amp;tracks=[key:gene_model_track,Options:GeneOnly]&amp;mk=1336053:1336072|offset_1|444444,1335984:1336003|offset_70|444444,1335957:1335976|offset_97|444444,1335933:1335952|offset_121|00cc00&amp;v=1335852:1336152&amp;c=444444", "offset 121")</f>
        <v>offset 121</v>
      </c>
    </row>
    <row r="4208" customFormat="false" ht="12.8" hidden="false" customHeight="false" outlineLevel="0" collapsed="false">
      <c r="A4208" s="0" t="s">
        <v>12</v>
      </c>
      <c r="B4208" s="0" t="n">
        <v>1336127</v>
      </c>
      <c r="C4208" s="0" t="n">
        <v>1336147</v>
      </c>
      <c r="D4208" s="0" t="s">
        <v>14026</v>
      </c>
      <c r="E4208" s="0" t="s">
        <v>75</v>
      </c>
      <c r="F4208" s="0" t="s">
        <v>15</v>
      </c>
      <c r="G4208" s="0" t="s">
        <v>20</v>
      </c>
      <c r="H4208" s="0" t="n">
        <v>6</v>
      </c>
      <c r="I4208" s="0" t="s">
        <v>14027</v>
      </c>
      <c r="J4208" s="0" t="s">
        <v>14028</v>
      </c>
      <c r="K4208" s="0" t="s">
        <v>14029</v>
      </c>
      <c r="L4208" s="0" t="str">
        <f aca="false">HYPERLINK("https://www.ncbi.nlm.nih.gov/nuccore/CP000058.1?report=graph&amp;tracks=[key:gene_model_track,Options:GeneOnly]&amp;mk=1336128:1336147|offset_6|00cc00,1336164:1336183|offset_42|444444,1336201:1336220|offset_79|444444,1336262:1336281|offset_140|444444&amp;v=1335927:1336481&amp;c=444444", "offset 6")</f>
        <v>offset 6</v>
      </c>
    </row>
    <row r="4209" customFormat="false" ht="12.8" hidden="false" customHeight="false" outlineLevel="0" collapsed="false">
      <c r="A4209" s="0" t="s">
        <v>12</v>
      </c>
      <c r="B4209" s="0" t="n">
        <v>1336163</v>
      </c>
      <c r="C4209" s="0" t="n">
        <v>1336183</v>
      </c>
      <c r="D4209" s="0" t="s">
        <v>14026</v>
      </c>
      <c r="E4209" s="0" t="s">
        <v>75</v>
      </c>
      <c r="F4209" s="0" t="s">
        <v>15</v>
      </c>
      <c r="G4209" s="0" t="s">
        <v>16</v>
      </c>
      <c r="H4209" s="0" t="n">
        <v>42</v>
      </c>
      <c r="I4209" s="0" t="s">
        <v>14030</v>
      </c>
      <c r="J4209" s="0" t="s">
        <v>14031</v>
      </c>
      <c r="K4209" s="0" t="s">
        <v>14032</v>
      </c>
      <c r="L4209" s="0" t="str">
        <f aca="false">HYPERLINK("https://www.ncbi.nlm.nih.gov/nuccore/CP000058.1?report=graph&amp;tracks=[key:gene_model_track,Options:GeneOnly]&amp;mk=1336128:1336147|offset_6|444444,1336164:1336183|offset_42|00cc00,1336201:1336220|offset_79|444444,1336262:1336281|offset_140|444444&amp;v=1335927:1336481&amp;c=444444", "offset 42")</f>
        <v>offset 42</v>
      </c>
    </row>
    <row r="4210" customFormat="false" ht="12.8" hidden="false" customHeight="false" outlineLevel="0" collapsed="false">
      <c r="A4210" s="0" t="s">
        <v>12</v>
      </c>
      <c r="B4210" s="0" t="n">
        <v>1336200</v>
      </c>
      <c r="C4210" s="0" t="n">
        <v>1336220</v>
      </c>
      <c r="D4210" s="0" t="s">
        <v>14026</v>
      </c>
      <c r="E4210" s="0" t="s">
        <v>75</v>
      </c>
      <c r="F4210" s="0" t="s">
        <v>15</v>
      </c>
      <c r="G4210" s="0" t="s">
        <v>16</v>
      </c>
      <c r="H4210" s="0" t="n">
        <v>79</v>
      </c>
      <c r="I4210" s="0" t="s">
        <v>14033</v>
      </c>
      <c r="J4210" s="0" t="s">
        <v>14034</v>
      </c>
      <c r="K4210" s="0" t="s">
        <v>14035</v>
      </c>
      <c r="L4210" s="0" t="str">
        <f aca="false">HYPERLINK("https://www.ncbi.nlm.nih.gov/nuccore/CP000058.1?report=graph&amp;tracks=[key:gene_model_track,Options:GeneOnly]&amp;mk=1336128:1336147|offset_6|444444,1336164:1336183|offset_42|444444,1336201:1336220|offset_79|00cc00,1336262:1336281|offset_140|444444&amp;v=1335927:1336481&amp;c=444444", "offset 79")</f>
        <v>offset 79</v>
      </c>
    </row>
    <row r="4211" customFormat="false" ht="12.8" hidden="false" customHeight="false" outlineLevel="0" collapsed="false">
      <c r="A4211" s="0" t="s">
        <v>12</v>
      </c>
      <c r="B4211" s="0" t="n">
        <v>1336261</v>
      </c>
      <c r="C4211" s="0" t="n">
        <v>1336281</v>
      </c>
      <c r="D4211" s="0" t="s">
        <v>14026</v>
      </c>
      <c r="E4211" s="0" t="s">
        <v>75</v>
      </c>
      <c r="F4211" s="0" t="s">
        <v>15</v>
      </c>
      <c r="G4211" s="0" t="s">
        <v>32</v>
      </c>
      <c r="H4211" s="0" t="n">
        <v>140</v>
      </c>
      <c r="I4211" s="0" t="s">
        <v>14036</v>
      </c>
      <c r="J4211" s="0" t="s">
        <v>14037</v>
      </c>
      <c r="K4211" s="0" t="s">
        <v>14038</v>
      </c>
      <c r="L4211" s="0" t="str">
        <f aca="false">HYPERLINK("https://www.ncbi.nlm.nih.gov/nuccore/CP000058.1?report=graph&amp;tracks=[key:gene_model_track,Options:GeneOnly]&amp;mk=1336128:1336147|offset_6|444444,1336164:1336183|offset_42|444444,1336201:1336220|offset_79|444444,1336262:1336281|offset_140|00cc00&amp;v=1335927:1336481&amp;c=444444", "offset 140")</f>
        <v>offset 140</v>
      </c>
    </row>
    <row r="4212" customFormat="false" ht="12.8" hidden="false" customHeight="false" outlineLevel="0" collapsed="false">
      <c r="A4212" s="0" t="s">
        <v>12</v>
      </c>
      <c r="B4212" s="0" t="n">
        <v>1336698</v>
      </c>
      <c r="C4212" s="0" t="n">
        <v>1336718</v>
      </c>
      <c r="D4212" s="0" t="s">
        <v>14039</v>
      </c>
      <c r="E4212" s="0" t="s">
        <v>75</v>
      </c>
      <c r="F4212" s="0" t="s">
        <v>15</v>
      </c>
      <c r="G4212" s="0" t="s">
        <v>36</v>
      </c>
      <c r="H4212" s="0" t="n">
        <v>46</v>
      </c>
      <c r="I4212" s="0" t="s">
        <v>14040</v>
      </c>
      <c r="J4212" s="0" t="s">
        <v>14041</v>
      </c>
      <c r="K4212" s="0" t="s">
        <v>14042</v>
      </c>
      <c r="L4212" s="0" t="str">
        <f aca="false">HYPERLINK("https://www.ncbi.nlm.nih.gov/nuccore/CP000058.1?report=graph&amp;tracks=[key:gene_model_track,Options:GeneOnly]&amp;mk=1336699:1336718|offset_46|00cc00,1336732:1336751|offset_79|444444,1336778:1336797|offset_125|444444,1336803:1336822|offset_150|444444&amp;v=1336498:1337022&amp;c=444444", "offset 46")</f>
        <v>offset 46</v>
      </c>
    </row>
    <row r="4213" customFormat="false" ht="12.8" hidden="false" customHeight="false" outlineLevel="0" collapsed="false">
      <c r="A4213" s="0" t="s">
        <v>12</v>
      </c>
      <c r="B4213" s="0" t="n">
        <v>1336731</v>
      </c>
      <c r="C4213" s="0" t="n">
        <v>1336751</v>
      </c>
      <c r="D4213" s="0" t="s">
        <v>14039</v>
      </c>
      <c r="E4213" s="0" t="s">
        <v>75</v>
      </c>
      <c r="F4213" s="0" t="s">
        <v>15</v>
      </c>
      <c r="G4213" s="0" t="s">
        <v>16</v>
      </c>
      <c r="H4213" s="0" t="n">
        <v>79</v>
      </c>
      <c r="I4213" s="0" t="s">
        <v>14043</v>
      </c>
      <c r="J4213" s="0" t="s">
        <v>14044</v>
      </c>
      <c r="K4213" s="0" t="s">
        <v>14045</v>
      </c>
      <c r="L4213" s="0" t="str">
        <f aca="false">HYPERLINK("https://www.ncbi.nlm.nih.gov/nuccore/CP000058.1?report=graph&amp;tracks=[key:gene_model_track,Options:GeneOnly]&amp;mk=1336699:1336718|offset_46|444444,1336732:1336751|offset_79|00cc00,1336778:1336797|offset_125|444444,1336803:1336822|offset_150|444444&amp;v=1336498:1337022&amp;c=444444", "offset 79")</f>
        <v>offset 79</v>
      </c>
    </row>
    <row r="4214" customFormat="false" ht="12.8" hidden="false" customHeight="false" outlineLevel="0" collapsed="false">
      <c r="A4214" s="0" t="s">
        <v>12</v>
      </c>
      <c r="B4214" s="0" t="n">
        <v>1336777</v>
      </c>
      <c r="C4214" s="0" t="n">
        <v>1336797</v>
      </c>
      <c r="D4214" s="0" t="s">
        <v>14039</v>
      </c>
      <c r="E4214" s="0" t="s">
        <v>75</v>
      </c>
      <c r="F4214" s="0" t="s">
        <v>15</v>
      </c>
      <c r="G4214" s="0" t="s">
        <v>36</v>
      </c>
      <c r="H4214" s="0" t="n">
        <v>125</v>
      </c>
      <c r="I4214" s="0" t="s">
        <v>14046</v>
      </c>
      <c r="J4214" s="0" t="s">
        <v>14047</v>
      </c>
      <c r="K4214" s="0" t="s">
        <v>14048</v>
      </c>
      <c r="L4214" s="0" t="str">
        <f aca="false">HYPERLINK("https://www.ncbi.nlm.nih.gov/nuccore/CP000058.1?report=graph&amp;tracks=[key:gene_model_track,Options:GeneOnly]&amp;mk=1336699:1336718|offset_46|444444,1336732:1336751|offset_79|444444,1336778:1336797|offset_125|00cc00,1336803:1336822|offset_150|444444&amp;v=1336498:1337022&amp;c=444444", "offset 125")</f>
        <v>offset 125</v>
      </c>
    </row>
    <row r="4215" customFormat="false" ht="12.8" hidden="false" customHeight="false" outlineLevel="0" collapsed="false">
      <c r="A4215" s="0" t="s">
        <v>12</v>
      </c>
      <c r="B4215" s="0" t="n">
        <v>1336802</v>
      </c>
      <c r="C4215" s="0" t="n">
        <v>1336822</v>
      </c>
      <c r="D4215" s="0" t="s">
        <v>14039</v>
      </c>
      <c r="E4215" s="0" t="s">
        <v>75</v>
      </c>
      <c r="F4215" s="0" t="s">
        <v>15</v>
      </c>
      <c r="G4215" s="0" t="s">
        <v>20</v>
      </c>
      <c r="H4215" s="0" t="n">
        <v>150</v>
      </c>
      <c r="I4215" s="0" t="s">
        <v>14049</v>
      </c>
      <c r="J4215" s="0" t="s">
        <v>14050</v>
      </c>
      <c r="K4215" s="0" t="s">
        <v>14051</v>
      </c>
      <c r="L4215" s="0" t="str">
        <f aca="false">HYPERLINK("https://www.ncbi.nlm.nih.gov/nuccore/CP000058.1?report=graph&amp;tracks=[key:gene_model_track,Options:GeneOnly]&amp;mk=1336699:1336718|offset_46|444444,1336732:1336751|offset_79|444444,1336778:1336797|offset_125|444444,1336803:1336822|offset_150|00cc00&amp;v=1336498:1337022&amp;c=444444", "offset 150")</f>
        <v>offset 150</v>
      </c>
    </row>
    <row r="4216" customFormat="false" ht="12.8" hidden="false" customHeight="false" outlineLevel="0" collapsed="false">
      <c r="A4216" s="0" t="s">
        <v>12</v>
      </c>
      <c r="B4216" s="0" t="n">
        <v>1337161</v>
      </c>
      <c r="C4216" s="0" t="n">
        <v>1337181</v>
      </c>
      <c r="D4216" s="0" t="s">
        <v>14052</v>
      </c>
      <c r="E4216" s="0" t="s">
        <v>75</v>
      </c>
      <c r="F4216" s="0" t="s">
        <v>15</v>
      </c>
      <c r="G4216" s="0" t="s">
        <v>16</v>
      </c>
      <c r="H4216" s="0" t="n">
        <v>25</v>
      </c>
      <c r="I4216" s="0" t="s">
        <v>14053</v>
      </c>
      <c r="J4216" s="0" t="s">
        <v>14054</v>
      </c>
      <c r="K4216" s="0" t="s">
        <v>14055</v>
      </c>
      <c r="L4216" s="0" t="str">
        <f aca="false">HYPERLINK("https://www.ncbi.nlm.nih.gov/nuccore/CP000058.1?report=graph&amp;tracks=[key:gene_model_track,Options:GeneOnly]&amp;mk=1337162:1337181|offset_25|00cc00,1337197:1337216|offset_60|444444,1337225:1337244|offset_88|444444,1337260:1337279|offset_123|444444&amp;v=1336961:1337479&amp;c=444444", "offset 25")</f>
        <v>offset 25</v>
      </c>
    </row>
    <row r="4217" customFormat="false" ht="12.8" hidden="false" customHeight="false" outlineLevel="0" collapsed="false">
      <c r="A4217" s="0" t="s">
        <v>12</v>
      </c>
      <c r="B4217" s="0" t="n">
        <v>1337196</v>
      </c>
      <c r="C4217" s="0" t="n">
        <v>1337216</v>
      </c>
      <c r="D4217" s="0" t="s">
        <v>14052</v>
      </c>
      <c r="E4217" s="0" t="s">
        <v>75</v>
      </c>
      <c r="F4217" s="0" t="s">
        <v>15</v>
      </c>
      <c r="G4217" s="0" t="s">
        <v>36</v>
      </c>
      <c r="H4217" s="0" t="n">
        <v>60</v>
      </c>
      <c r="I4217" s="0" t="s">
        <v>14056</v>
      </c>
      <c r="J4217" s="0" t="s">
        <v>14057</v>
      </c>
      <c r="K4217" s="0" t="s">
        <v>14058</v>
      </c>
      <c r="L4217" s="0" t="str">
        <f aca="false">HYPERLINK("https://www.ncbi.nlm.nih.gov/nuccore/CP000058.1?report=graph&amp;tracks=[key:gene_model_track,Options:GeneOnly]&amp;mk=1337162:1337181|offset_25|444444,1337197:1337216|offset_60|00cc00,1337225:1337244|offset_88|444444,1337260:1337279|offset_123|444444&amp;v=1336961:1337479&amp;c=444444", "offset 60")</f>
        <v>offset 60</v>
      </c>
    </row>
    <row r="4218" customFormat="false" ht="12.8" hidden="false" customHeight="false" outlineLevel="0" collapsed="false">
      <c r="A4218" s="0" t="s">
        <v>12</v>
      </c>
      <c r="B4218" s="0" t="n">
        <v>1337224</v>
      </c>
      <c r="C4218" s="0" t="n">
        <v>1337244</v>
      </c>
      <c r="D4218" s="0" t="s">
        <v>14052</v>
      </c>
      <c r="E4218" s="0" t="s">
        <v>75</v>
      </c>
      <c r="F4218" s="0" t="s">
        <v>15</v>
      </c>
      <c r="G4218" s="0" t="s">
        <v>32</v>
      </c>
      <c r="H4218" s="0" t="n">
        <v>88</v>
      </c>
      <c r="I4218" s="0" t="s">
        <v>14059</v>
      </c>
      <c r="J4218" s="0" t="s">
        <v>14060</v>
      </c>
      <c r="K4218" s="0" t="s">
        <v>14061</v>
      </c>
      <c r="L4218" s="0" t="str">
        <f aca="false">HYPERLINK("https://www.ncbi.nlm.nih.gov/nuccore/CP000058.1?report=graph&amp;tracks=[key:gene_model_track,Options:GeneOnly]&amp;mk=1337162:1337181|offset_25|444444,1337197:1337216|offset_60|444444,1337225:1337244|offset_88|00cc00,1337260:1337279|offset_123|444444&amp;v=1336961:1337479&amp;c=444444", "offset 88")</f>
        <v>offset 88</v>
      </c>
    </row>
    <row r="4219" customFormat="false" ht="12.8" hidden="false" customHeight="false" outlineLevel="0" collapsed="false">
      <c r="A4219" s="0" t="s">
        <v>12</v>
      </c>
      <c r="B4219" s="0" t="n">
        <v>1337259</v>
      </c>
      <c r="C4219" s="0" t="n">
        <v>1337279</v>
      </c>
      <c r="D4219" s="0" t="s">
        <v>14052</v>
      </c>
      <c r="E4219" s="0" t="s">
        <v>75</v>
      </c>
      <c r="F4219" s="0" t="s">
        <v>15</v>
      </c>
      <c r="G4219" s="0" t="s">
        <v>16</v>
      </c>
      <c r="H4219" s="0" t="n">
        <v>123</v>
      </c>
      <c r="I4219" s="0" t="s">
        <v>14062</v>
      </c>
      <c r="J4219" s="0" t="s">
        <v>14063</v>
      </c>
      <c r="K4219" s="0" t="s">
        <v>14064</v>
      </c>
      <c r="L4219" s="0" t="str">
        <f aca="false">HYPERLINK("https://www.ncbi.nlm.nih.gov/nuccore/CP000058.1?report=graph&amp;tracks=[key:gene_model_track,Options:GeneOnly]&amp;mk=1337162:1337181|offset_25|444444,1337197:1337216|offset_60|444444,1337225:1337244|offset_88|444444,1337260:1337279|offset_123|00cc00&amp;v=1336961:1337479&amp;c=444444", "offset 123")</f>
        <v>offset 123</v>
      </c>
    </row>
    <row r="4220" customFormat="false" ht="12.8" hidden="false" customHeight="false" outlineLevel="0" collapsed="false">
      <c r="A4220" s="0" t="s">
        <v>12</v>
      </c>
      <c r="B4220" s="0" t="n">
        <v>1337549</v>
      </c>
      <c r="C4220" s="0" t="n">
        <v>1337569</v>
      </c>
      <c r="D4220" s="0" t="s">
        <v>14065</v>
      </c>
      <c r="E4220" s="0" t="s">
        <v>75</v>
      </c>
      <c r="F4220" s="0" t="s">
        <v>15</v>
      </c>
      <c r="G4220" s="0" t="s">
        <v>16</v>
      </c>
      <c r="H4220" s="0" t="n">
        <v>7</v>
      </c>
      <c r="I4220" s="0" t="s">
        <v>14066</v>
      </c>
      <c r="J4220" s="0" t="s">
        <v>14067</v>
      </c>
      <c r="K4220" s="0" t="s">
        <v>14068</v>
      </c>
      <c r="L4220" s="0" t="str">
        <f aca="false">HYPERLINK("https://www.ncbi.nlm.nih.gov/nuccore/CP000058.1?report=graph&amp;tracks=[key:gene_model_track,Options:GeneOnly]&amp;mk=1337550:1337569|offset_7|00cc00,1337572:1337591|offset_29|444444,1337598:1337617|offset_55|444444,1337623:1337642|offset_80|444444&amp;v=1337349:1337842&amp;c=444444", "offset 7")</f>
        <v>offset 7</v>
      </c>
    </row>
    <row r="4221" customFormat="false" ht="12.8" hidden="false" customHeight="false" outlineLevel="0" collapsed="false">
      <c r="A4221" s="0" t="s">
        <v>12</v>
      </c>
      <c r="B4221" s="0" t="n">
        <v>1337571</v>
      </c>
      <c r="C4221" s="0" t="n">
        <v>1337591</v>
      </c>
      <c r="D4221" s="0" t="s">
        <v>14065</v>
      </c>
      <c r="E4221" s="0" t="s">
        <v>75</v>
      </c>
      <c r="F4221" s="0" t="s">
        <v>15</v>
      </c>
      <c r="G4221" s="0" t="s">
        <v>36</v>
      </c>
      <c r="H4221" s="0" t="n">
        <v>29</v>
      </c>
      <c r="I4221" s="0" t="s">
        <v>14069</v>
      </c>
      <c r="J4221" s="0" t="s">
        <v>14070</v>
      </c>
      <c r="K4221" s="0" t="s">
        <v>14071</v>
      </c>
      <c r="L4221" s="0" t="str">
        <f aca="false">HYPERLINK("https://www.ncbi.nlm.nih.gov/nuccore/CP000058.1?report=graph&amp;tracks=[key:gene_model_track,Options:GeneOnly]&amp;mk=1337550:1337569|offset_7|444444,1337572:1337591|offset_29|00cc00,1337598:1337617|offset_55|444444,1337623:1337642|offset_80|444444&amp;v=1337349:1337842&amp;c=444444", "offset 29")</f>
        <v>offset 29</v>
      </c>
    </row>
    <row r="4222" customFormat="false" ht="12.8" hidden="false" customHeight="false" outlineLevel="0" collapsed="false">
      <c r="A4222" s="0" t="s">
        <v>12</v>
      </c>
      <c r="B4222" s="0" t="n">
        <v>1337597</v>
      </c>
      <c r="C4222" s="0" t="n">
        <v>1337617</v>
      </c>
      <c r="D4222" s="0" t="s">
        <v>14065</v>
      </c>
      <c r="E4222" s="0" t="s">
        <v>75</v>
      </c>
      <c r="F4222" s="0" t="s">
        <v>15</v>
      </c>
      <c r="G4222" s="0" t="s">
        <v>36</v>
      </c>
      <c r="H4222" s="0" t="n">
        <v>55</v>
      </c>
      <c r="I4222" s="0" t="s">
        <v>14072</v>
      </c>
      <c r="J4222" s="0" t="s">
        <v>14073</v>
      </c>
      <c r="K4222" s="0" t="s">
        <v>14074</v>
      </c>
      <c r="L4222" s="0" t="str">
        <f aca="false">HYPERLINK("https://www.ncbi.nlm.nih.gov/nuccore/CP000058.1?report=graph&amp;tracks=[key:gene_model_track,Options:GeneOnly]&amp;mk=1337550:1337569|offset_7|444444,1337572:1337591|offset_29|444444,1337598:1337617|offset_55|00cc00,1337623:1337642|offset_80|444444&amp;v=1337349:1337842&amp;c=444444", "offset 55")</f>
        <v>offset 55</v>
      </c>
    </row>
    <row r="4223" customFormat="false" ht="12.8" hidden="false" customHeight="false" outlineLevel="0" collapsed="false">
      <c r="A4223" s="0" t="s">
        <v>12</v>
      </c>
      <c r="B4223" s="0" t="n">
        <v>1337622</v>
      </c>
      <c r="C4223" s="0" t="n">
        <v>1337642</v>
      </c>
      <c r="D4223" s="0" t="s">
        <v>14065</v>
      </c>
      <c r="E4223" s="0" t="s">
        <v>75</v>
      </c>
      <c r="F4223" s="0" t="s">
        <v>15</v>
      </c>
      <c r="G4223" s="0" t="s">
        <v>20</v>
      </c>
      <c r="H4223" s="0" t="n">
        <v>80</v>
      </c>
      <c r="I4223" s="0" t="s">
        <v>14075</v>
      </c>
      <c r="J4223" s="0" t="s">
        <v>14076</v>
      </c>
      <c r="K4223" s="0" t="s">
        <v>14077</v>
      </c>
      <c r="L4223" s="0" t="str">
        <f aca="false">HYPERLINK("https://www.ncbi.nlm.nih.gov/nuccore/CP000058.1?report=graph&amp;tracks=[key:gene_model_track,Options:GeneOnly]&amp;mk=1337550:1337569|offset_7|444444,1337572:1337591|offset_29|444444,1337598:1337617|offset_55|444444,1337623:1337642|offset_80|00cc00&amp;v=1337349:1337842&amp;c=444444", "offset 80")</f>
        <v>offset 80</v>
      </c>
    </row>
    <row r="4224" customFormat="false" ht="12.8" hidden="false" customHeight="false" outlineLevel="0" collapsed="false">
      <c r="A4224" s="0" t="s">
        <v>12</v>
      </c>
      <c r="B4224" s="0" t="n">
        <v>1341816</v>
      </c>
      <c r="C4224" s="0" t="n">
        <v>1341836</v>
      </c>
      <c r="D4224" s="0" t="s">
        <v>14078</v>
      </c>
      <c r="E4224" s="0" t="s">
        <v>75</v>
      </c>
      <c r="F4224" s="0" t="s">
        <v>90</v>
      </c>
      <c r="G4224" s="0" t="s">
        <v>32</v>
      </c>
      <c r="H4224" s="0" t="n">
        <v>15</v>
      </c>
      <c r="I4224" s="0" t="s">
        <v>14079</v>
      </c>
      <c r="J4224" s="0" t="s">
        <v>14080</v>
      </c>
      <c r="K4224" s="0" t="s">
        <v>14081</v>
      </c>
      <c r="L4224" s="0" t="str">
        <f aca="false">HYPERLINK("https://www.ncbi.nlm.nih.gov/nuccore/CP000058.1?report=graph&amp;tracks=[key:gene_model_track,Options:GeneOnly]&amp;mk=1341817:1341836|offset_15|00cc00,1341737:1341756|offset_95|444444,1341615:1341634|offset_217|444444,1341534:1341553|offset_298|444444&amp;v=1341616:1341753&amp;c=444444", "offset 15")</f>
        <v>offset 15</v>
      </c>
    </row>
    <row r="4225" customFormat="false" ht="12.8" hidden="false" customHeight="false" outlineLevel="0" collapsed="false">
      <c r="A4225" s="0" t="s">
        <v>12</v>
      </c>
      <c r="B4225" s="0" t="n">
        <v>1341736</v>
      </c>
      <c r="C4225" s="0" t="n">
        <v>1341756</v>
      </c>
      <c r="D4225" s="0" t="s">
        <v>14078</v>
      </c>
      <c r="E4225" s="0" t="s">
        <v>75</v>
      </c>
      <c r="F4225" s="0" t="s">
        <v>90</v>
      </c>
      <c r="G4225" s="0" t="s">
        <v>36</v>
      </c>
      <c r="H4225" s="0" t="n">
        <v>95</v>
      </c>
      <c r="I4225" s="0" t="s">
        <v>14082</v>
      </c>
      <c r="J4225" s="0" t="s">
        <v>14083</v>
      </c>
      <c r="K4225" s="0" t="s">
        <v>14084</v>
      </c>
      <c r="L4225" s="0" t="str">
        <f aca="false">HYPERLINK("https://www.ncbi.nlm.nih.gov/nuccore/CP000058.1?report=graph&amp;tracks=[key:gene_model_track,Options:GeneOnly]&amp;mk=1341817:1341836|offset_15|444444,1341737:1341756|offset_95|00cc00,1341615:1341634|offset_217|444444,1341534:1341553|offset_298|444444&amp;v=1341616:1341753&amp;c=444444", "offset 95")</f>
        <v>offset 95</v>
      </c>
    </row>
    <row r="4226" customFormat="false" ht="12.8" hidden="false" customHeight="false" outlineLevel="0" collapsed="false">
      <c r="A4226" s="0" t="s">
        <v>12</v>
      </c>
      <c r="B4226" s="0" t="n">
        <v>1341614</v>
      </c>
      <c r="C4226" s="0" t="n">
        <v>1341634</v>
      </c>
      <c r="D4226" s="0" t="s">
        <v>14078</v>
      </c>
      <c r="E4226" s="0" t="s">
        <v>75</v>
      </c>
      <c r="F4226" s="0" t="s">
        <v>90</v>
      </c>
      <c r="G4226" s="0" t="s">
        <v>16</v>
      </c>
      <c r="H4226" s="0" t="n">
        <v>217</v>
      </c>
      <c r="I4226" s="0" t="s">
        <v>14085</v>
      </c>
      <c r="J4226" s="0" t="s">
        <v>14086</v>
      </c>
      <c r="K4226" s="0" t="s">
        <v>14087</v>
      </c>
      <c r="L4226" s="0" t="str">
        <f aca="false">HYPERLINK("https://www.ncbi.nlm.nih.gov/nuccore/CP000058.1?report=graph&amp;tracks=[key:gene_model_track,Options:GeneOnly]&amp;mk=1341817:1341836|offset_15|444444,1341737:1341756|offset_95|444444,1341615:1341634|offset_217|00cc00,1341534:1341553|offset_298|444444&amp;v=1341616:1341753&amp;c=444444", "offset 217")</f>
        <v>offset 217</v>
      </c>
    </row>
    <row r="4227" customFormat="false" ht="12.8" hidden="false" customHeight="false" outlineLevel="0" collapsed="false">
      <c r="A4227" s="0" t="s">
        <v>12</v>
      </c>
      <c r="B4227" s="0" t="n">
        <v>1341533</v>
      </c>
      <c r="C4227" s="0" t="n">
        <v>1341553</v>
      </c>
      <c r="D4227" s="0" t="s">
        <v>14078</v>
      </c>
      <c r="E4227" s="0" t="s">
        <v>75</v>
      </c>
      <c r="F4227" s="0" t="s">
        <v>90</v>
      </c>
      <c r="G4227" s="0" t="s">
        <v>32</v>
      </c>
      <c r="H4227" s="0" t="n">
        <v>298</v>
      </c>
      <c r="I4227" s="0" t="s">
        <v>14088</v>
      </c>
      <c r="J4227" s="0" t="s">
        <v>14089</v>
      </c>
      <c r="K4227" s="0" t="s">
        <v>14090</v>
      </c>
      <c r="L4227" s="0" t="str">
        <f aca="false">HYPERLINK("https://www.ncbi.nlm.nih.gov/nuccore/CP000058.1?report=graph&amp;tracks=[key:gene_model_track,Options:GeneOnly]&amp;mk=1341817:1341836|offset_15|444444,1341737:1341756|offset_95|444444,1341615:1341634|offset_217|444444,1341534:1341553|offset_298|00cc00&amp;v=1341616:1341753&amp;c=444444", "offset 298")</f>
        <v>offset 298</v>
      </c>
    </row>
    <row r="4228" customFormat="false" ht="12.8" hidden="false" customHeight="false" outlineLevel="0" collapsed="false">
      <c r="A4228" s="0" t="s">
        <v>12</v>
      </c>
      <c r="B4228" s="0" t="n">
        <v>1343678</v>
      </c>
      <c r="C4228" s="0" t="n">
        <v>1343698</v>
      </c>
      <c r="D4228" s="0" t="s">
        <v>14091</v>
      </c>
      <c r="E4228" s="0" t="s">
        <v>75</v>
      </c>
      <c r="F4228" s="0" t="s">
        <v>90</v>
      </c>
      <c r="G4228" s="0" t="s">
        <v>20</v>
      </c>
      <c r="H4228" s="0" t="n">
        <v>8</v>
      </c>
      <c r="I4228" s="0" t="s">
        <v>14092</v>
      </c>
      <c r="J4228" s="0" t="s">
        <v>14093</v>
      </c>
      <c r="K4228" s="0" t="s">
        <v>14094</v>
      </c>
      <c r="L4228" s="0" t="str">
        <f aca="false">HYPERLINK("https://www.ncbi.nlm.nih.gov/nuccore/CP000058.1?report=graph&amp;tracks=[key:gene_model_track,Options:GeneOnly]&amp;mk=1343679:1343698|offset_8|00cc00,1343643:1343662|offset_44|444444,1343623:1343642|offset_64|444444,1343590:1343609|offset_97|444444&amp;v=1343478:1343809&amp;c=444444", "offset 8")</f>
        <v>offset 8</v>
      </c>
    </row>
    <row r="4229" customFormat="false" ht="12.8" hidden="false" customHeight="false" outlineLevel="0" collapsed="false">
      <c r="A4229" s="0" t="s">
        <v>12</v>
      </c>
      <c r="B4229" s="0" t="n">
        <v>1343642</v>
      </c>
      <c r="C4229" s="0" t="n">
        <v>1343662</v>
      </c>
      <c r="D4229" s="0" t="s">
        <v>14091</v>
      </c>
      <c r="E4229" s="0" t="s">
        <v>75</v>
      </c>
      <c r="F4229" s="0" t="s">
        <v>90</v>
      </c>
      <c r="G4229" s="0" t="s">
        <v>16</v>
      </c>
      <c r="H4229" s="0" t="n">
        <v>44</v>
      </c>
      <c r="I4229" s="0" t="s">
        <v>14095</v>
      </c>
      <c r="J4229" s="0" t="s">
        <v>14096</v>
      </c>
      <c r="K4229" s="0" t="s">
        <v>14097</v>
      </c>
      <c r="L4229" s="0" t="str">
        <f aca="false">HYPERLINK("https://www.ncbi.nlm.nih.gov/nuccore/CP000058.1?report=graph&amp;tracks=[key:gene_model_track,Options:GeneOnly]&amp;mk=1343679:1343698|offset_8|444444,1343643:1343662|offset_44|00cc00,1343623:1343642|offset_64|444444,1343590:1343609|offset_97|444444&amp;v=1343478:1343809&amp;c=444444", "offset 44")</f>
        <v>offset 44</v>
      </c>
    </row>
    <row r="4230" customFormat="false" ht="12.8" hidden="false" customHeight="false" outlineLevel="0" collapsed="false">
      <c r="A4230" s="0" t="s">
        <v>12</v>
      </c>
      <c r="B4230" s="0" t="n">
        <v>1343622</v>
      </c>
      <c r="C4230" s="0" t="n">
        <v>1343642</v>
      </c>
      <c r="D4230" s="0" t="s">
        <v>14091</v>
      </c>
      <c r="E4230" s="0" t="s">
        <v>75</v>
      </c>
      <c r="F4230" s="0" t="s">
        <v>90</v>
      </c>
      <c r="G4230" s="0" t="s">
        <v>32</v>
      </c>
      <c r="H4230" s="0" t="n">
        <v>64</v>
      </c>
      <c r="I4230" s="0" t="s">
        <v>14098</v>
      </c>
      <c r="J4230" s="0" t="s">
        <v>14099</v>
      </c>
      <c r="K4230" s="0" t="s">
        <v>14100</v>
      </c>
      <c r="L4230" s="0" t="str">
        <f aca="false">HYPERLINK("https://www.ncbi.nlm.nih.gov/nuccore/CP000058.1?report=graph&amp;tracks=[key:gene_model_track,Options:GeneOnly]&amp;mk=1343679:1343698|offset_8|444444,1343643:1343662|offset_44|444444,1343623:1343642|offset_64|00cc00,1343590:1343609|offset_97|444444&amp;v=1343478:1343809&amp;c=444444", "offset 64")</f>
        <v>offset 64</v>
      </c>
    </row>
    <row r="4231" customFormat="false" ht="12.8" hidden="false" customHeight="false" outlineLevel="0" collapsed="false">
      <c r="A4231" s="0" t="s">
        <v>12</v>
      </c>
      <c r="B4231" s="0" t="n">
        <v>1343589</v>
      </c>
      <c r="C4231" s="0" t="n">
        <v>1343609</v>
      </c>
      <c r="D4231" s="0" t="s">
        <v>14091</v>
      </c>
      <c r="E4231" s="0" t="s">
        <v>75</v>
      </c>
      <c r="F4231" s="0" t="s">
        <v>90</v>
      </c>
      <c r="G4231" s="0" t="s">
        <v>32</v>
      </c>
      <c r="H4231" s="0" t="n">
        <v>97</v>
      </c>
      <c r="I4231" s="0" t="s">
        <v>14101</v>
      </c>
      <c r="J4231" s="0" t="s">
        <v>14102</v>
      </c>
      <c r="K4231" s="0" t="s">
        <v>14103</v>
      </c>
      <c r="L4231" s="0" t="str">
        <f aca="false">HYPERLINK("https://www.ncbi.nlm.nih.gov/nuccore/CP000058.1?report=graph&amp;tracks=[key:gene_model_track,Options:GeneOnly]&amp;mk=1343679:1343698|offset_8|444444,1343643:1343662|offset_44|444444,1343623:1343642|offset_64|444444,1343590:1343609|offset_97|00cc00&amp;v=1343478:1343809&amp;c=444444", "offset 97")</f>
        <v>offset 97</v>
      </c>
    </row>
    <row r="4232" customFormat="false" ht="12.8" hidden="false" customHeight="false" outlineLevel="0" collapsed="false">
      <c r="A4232" s="0" t="s">
        <v>12</v>
      </c>
      <c r="B4232" s="0" t="n">
        <v>1343821</v>
      </c>
      <c r="C4232" s="0" t="n">
        <v>1343841</v>
      </c>
      <c r="D4232" s="0" t="s">
        <v>14104</v>
      </c>
      <c r="E4232" s="0" t="s">
        <v>75</v>
      </c>
      <c r="F4232" s="0" t="s">
        <v>90</v>
      </c>
      <c r="G4232" s="0" t="s">
        <v>32</v>
      </c>
      <c r="H4232" s="0" t="n">
        <v>0</v>
      </c>
      <c r="I4232" s="0" t="s">
        <v>14105</v>
      </c>
      <c r="J4232" s="0" t="s">
        <v>14106</v>
      </c>
      <c r="K4232" s="0" t="s">
        <v>14107</v>
      </c>
      <c r="L4232" s="0" t="str">
        <f aca="false">HYPERLINK("https://www.ncbi.nlm.nih.gov/nuccore/CP000058.1?report=graph&amp;tracks=[key:gene_model_track,Options:GeneOnly]&amp;mk=1343822:1343841|offset_0|00cc00,1343781:1343800|offset_41|444444&amp;v=1343621:1344000&amp;c=444444", "offset 0")</f>
        <v>offset 0</v>
      </c>
    </row>
    <row r="4233" customFormat="false" ht="12.8" hidden="false" customHeight="false" outlineLevel="0" collapsed="false">
      <c r="A4233" s="0" t="s">
        <v>12</v>
      </c>
      <c r="B4233" s="0" t="n">
        <v>1343780</v>
      </c>
      <c r="C4233" s="0" t="n">
        <v>1343800</v>
      </c>
      <c r="D4233" s="0" t="s">
        <v>14104</v>
      </c>
      <c r="E4233" s="0" t="s">
        <v>75</v>
      </c>
      <c r="F4233" s="0" t="s">
        <v>90</v>
      </c>
      <c r="G4233" s="0" t="s">
        <v>32</v>
      </c>
      <c r="H4233" s="0" t="n">
        <v>41</v>
      </c>
      <c r="I4233" s="0" t="s">
        <v>14108</v>
      </c>
      <c r="J4233" s="0" t="s">
        <v>14109</v>
      </c>
      <c r="K4233" s="0" t="s">
        <v>14110</v>
      </c>
      <c r="L4233" s="0" t="str">
        <f aca="false">HYPERLINK("https://www.ncbi.nlm.nih.gov/nuccore/CP000058.1?report=graph&amp;tracks=[key:gene_model_track,Options:GeneOnly]&amp;mk=1343822:1343841|offset_0|444444,1343781:1343800|offset_41|00cc00&amp;v=1343621:1344000&amp;c=444444", "offset 41")</f>
        <v>offset 41</v>
      </c>
    </row>
    <row r="4234" customFormat="false" ht="12.8" hidden="false" customHeight="false" outlineLevel="0" collapsed="false">
      <c r="A4234" s="0" t="s">
        <v>12</v>
      </c>
      <c r="B4234" s="0" t="n">
        <v>1344131</v>
      </c>
      <c r="C4234" s="0" t="n">
        <v>1344151</v>
      </c>
      <c r="D4234" s="0" t="s">
        <v>14111</v>
      </c>
      <c r="E4234" s="0" t="s">
        <v>14112</v>
      </c>
      <c r="F4234" s="0" t="s">
        <v>15</v>
      </c>
      <c r="G4234" s="0" t="s">
        <v>20</v>
      </c>
      <c r="H4234" s="0" t="n">
        <v>45</v>
      </c>
      <c r="I4234" s="0" t="s">
        <v>14113</v>
      </c>
      <c r="J4234" s="0" t="s">
        <v>14114</v>
      </c>
      <c r="K4234" s="0" t="s">
        <v>14115</v>
      </c>
      <c r="L4234" s="0" t="str">
        <f aca="false">HYPERLINK("https://www.ncbi.nlm.nih.gov/nuccore/CP000058.1?report=graph&amp;tracks=[key:gene_model_track,Options:GeneOnly]&amp;mk=1344132:1344151|offset_45|00cc00,1344155:1344174|offset_68|444444,1344178:1344197|offset_91|444444,1344200:1344219|offset_113|444444&amp;v=1343931:1344419&amp;c=444444", "offset 45")</f>
        <v>offset 45</v>
      </c>
    </row>
    <row r="4235" customFormat="false" ht="12.8" hidden="false" customHeight="false" outlineLevel="0" collapsed="false">
      <c r="A4235" s="0" t="s">
        <v>12</v>
      </c>
      <c r="B4235" s="0" t="n">
        <v>1344154</v>
      </c>
      <c r="C4235" s="0" t="n">
        <v>1344174</v>
      </c>
      <c r="D4235" s="0" t="s">
        <v>14111</v>
      </c>
      <c r="E4235" s="0" t="s">
        <v>14112</v>
      </c>
      <c r="F4235" s="0" t="s">
        <v>15</v>
      </c>
      <c r="G4235" s="0" t="s">
        <v>32</v>
      </c>
      <c r="H4235" s="0" t="n">
        <v>68</v>
      </c>
      <c r="I4235" s="0" t="s">
        <v>14116</v>
      </c>
      <c r="J4235" s="0" t="s">
        <v>14117</v>
      </c>
      <c r="K4235" s="0" t="s">
        <v>14118</v>
      </c>
      <c r="L4235" s="0" t="str">
        <f aca="false">HYPERLINK("https://www.ncbi.nlm.nih.gov/nuccore/CP000058.1?report=graph&amp;tracks=[key:gene_model_track,Options:GeneOnly]&amp;mk=1344132:1344151|offset_45|444444,1344155:1344174|offset_68|00cc00,1344178:1344197|offset_91|444444,1344200:1344219|offset_113|444444&amp;v=1343931:1344419&amp;c=444444", "offset 68")</f>
        <v>offset 68</v>
      </c>
    </row>
    <row r="4236" customFormat="false" ht="12.8" hidden="false" customHeight="false" outlineLevel="0" collapsed="false">
      <c r="A4236" s="0" t="s">
        <v>12</v>
      </c>
      <c r="B4236" s="0" t="n">
        <v>1344177</v>
      </c>
      <c r="C4236" s="0" t="n">
        <v>1344197</v>
      </c>
      <c r="D4236" s="0" t="s">
        <v>14111</v>
      </c>
      <c r="E4236" s="0" t="s">
        <v>14112</v>
      </c>
      <c r="F4236" s="0" t="s">
        <v>15</v>
      </c>
      <c r="G4236" s="0" t="s">
        <v>16</v>
      </c>
      <c r="H4236" s="0" t="n">
        <v>91</v>
      </c>
      <c r="I4236" s="0" t="s">
        <v>14119</v>
      </c>
      <c r="J4236" s="0" t="s">
        <v>14120</v>
      </c>
      <c r="K4236" s="0" t="s">
        <v>14121</v>
      </c>
      <c r="L4236" s="0" t="str">
        <f aca="false">HYPERLINK("https://www.ncbi.nlm.nih.gov/nuccore/CP000058.1?report=graph&amp;tracks=[key:gene_model_track,Options:GeneOnly]&amp;mk=1344132:1344151|offset_45|444444,1344155:1344174|offset_68|444444,1344178:1344197|offset_91|00cc00,1344200:1344219|offset_113|444444&amp;v=1343931:1344419&amp;c=444444", "offset 91")</f>
        <v>offset 91</v>
      </c>
    </row>
    <row r="4237" customFormat="false" ht="12.8" hidden="false" customHeight="false" outlineLevel="0" collapsed="false">
      <c r="A4237" s="0" t="s">
        <v>12</v>
      </c>
      <c r="B4237" s="0" t="n">
        <v>1344199</v>
      </c>
      <c r="C4237" s="0" t="n">
        <v>1344219</v>
      </c>
      <c r="D4237" s="0" t="s">
        <v>14111</v>
      </c>
      <c r="E4237" s="0" t="s">
        <v>14112</v>
      </c>
      <c r="F4237" s="0" t="s">
        <v>15</v>
      </c>
      <c r="G4237" s="0" t="s">
        <v>20</v>
      </c>
      <c r="H4237" s="0" t="n">
        <v>113</v>
      </c>
      <c r="I4237" s="0" t="s">
        <v>14122</v>
      </c>
      <c r="J4237" s="0" t="s">
        <v>14123</v>
      </c>
      <c r="K4237" s="0" t="s">
        <v>14124</v>
      </c>
      <c r="L4237" s="0" t="str">
        <f aca="false">HYPERLINK("https://www.ncbi.nlm.nih.gov/nuccore/CP000058.1?report=graph&amp;tracks=[key:gene_model_track,Options:GeneOnly]&amp;mk=1344132:1344151|offset_45|444444,1344155:1344174|offset_68|444444,1344178:1344197|offset_91|444444,1344200:1344219|offset_113|00cc00&amp;v=1343931:1344419&amp;c=444444", "offset 113")</f>
        <v>offset 113</v>
      </c>
    </row>
    <row r="4238" customFormat="false" ht="12.8" hidden="false" customHeight="false" outlineLevel="0" collapsed="false">
      <c r="A4238" s="0" t="s">
        <v>12</v>
      </c>
      <c r="B4238" s="0" t="n">
        <v>1345467</v>
      </c>
      <c r="C4238" s="0" t="n">
        <v>1345487</v>
      </c>
      <c r="D4238" s="0" t="s">
        <v>14125</v>
      </c>
      <c r="E4238" s="0" t="s">
        <v>75</v>
      </c>
      <c r="F4238" s="0" t="s">
        <v>90</v>
      </c>
      <c r="G4238" s="0" t="s">
        <v>36</v>
      </c>
      <c r="H4238" s="0" t="n">
        <v>9</v>
      </c>
      <c r="I4238" s="0" t="s">
        <v>14126</v>
      </c>
      <c r="J4238" s="0" t="s">
        <v>14127</v>
      </c>
      <c r="K4238" s="0" t="s">
        <v>14128</v>
      </c>
      <c r="L4238" s="0" t="str">
        <f aca="false">HYPERLINK("https://www.ncbi.nlm.nih.gov/nuccore/CP000058.1?report=graph&amp;tracks=[key:gene_model_track,Options:GeneOnly]&amp;mk=1345468:1345487|offset_9|00cc00,1345441:1345460|offset_36|444444,1345394:1345413|offset_83|444444,1345374:1345393|offset_103|444444&amp;v=1345267:1345593&amp;c=444444", "offset 9")</f>
        <v>offset 9</v>
      </c>
    </row>
    <row r="4239" customFormat="false" ht="12.8" hidden="false" customHeight="false" outlineLevel="0" collapsed="false">
      <c r="A4239" s="0" t="s">
        <v>12</v>
      </c>
      <c r="B4239" s="0" t="n">
        <v>1345440</v>
      </c>
      <c r="C4239" s="0" t="n">
        <v>1345460</v>
      </c>
      <c r="D4239" s="0" t="s">
        <v>14125</v>
      </c>
      <c r="E4239" s="0" t="s">
        <v>75</v>
      </c>
      <c r="F4239" s="0" t="s">
        <v>90</v>
      </c>
      <c r="G4239" s="0" t="s">
        <v>16</v>
      </c>
      <c r="H4239" s="0" t="n">
        <v>36</v>
      </c>
      <c r="I4239" s="0" t="s">
        <v>14129</v>
      </c>
      <c r="J4239" s="0" t="s">
        <v>14130</v>
      </c>
      <c r="K4239" s="0" t="s">
        <v>14131</v>
      </c>
      <c r="L4239" s="0" t="str">
        <f aca="false">HYPERLINK("https://www.ncbi.nlm.nih.gov/nuccore/CP000058.1?report=graph&amp;tracks=[key:gene_model_track,Options:GeneOnly]&amp;mk=1345468:1345487|offset_9|444444,1345441:1345460|offset_36|00cc00,1345394:1345413|offset_83|444444,1345374:1345393|offset_103|444444&amp;v=1345267:1345593&amp;c=444444", "offset 36")</f>
        <v>offset 36</v>
      </c>
    </row>
    <row r="4240" customFormat="false" ht="12.8" hidden="false" customHeight="false" outlineLevel="0" collapsed="false">
      <c r="A4240" s="0" t="s">
        <v>12</v>
      </c>
      <c r="B4240" s="0" t="n">
        <v>1345393</v>
      </c>
      <c r="C4240" s="0" t="n">
        <v>1345413</v>
      </c>
      <c r="D4240" s="0" t="s">
        <v>14125</v>
      </c>
      <c r="E4240" s="0" t="s">
        <v>75</v>
      </c>
      <c r="F4240" s="0" t="s">
        <v>90</v>
      </c>
      <c r="G4240" s="0" t="s">
        <v>32</v>
      </c>
      <c r="H4240" s="0" t="n">
        <v>83</v>
      </c>
      <c r="I4240" s="0" t="s">
        <v>14132</v>
      </c>
      <c r="J4240" s="0" t="s">
        <v>14133</v>
      </c>
      <c r="K4240" s="0" t="s">
        <v>14134</v>
      </c>
      <c r="L4240" s="0" t="str">
        <f aca="false">HYPERLINK("https://www.ncbi.nlm.nih.gov/nuccore/CP000058.1?report=graph&amp;tracks=[key:gene_model_track,Options:GeneOnly]&amp;mk=1345468:1345487|offset_9|444444,1345441:1345460|offset_36|444444,1345394:1345413|offset_83|00cc00,1345374:1345393|offset_103|444444&amp;v=1345267:1345593&amp;c=444444", "offset 83")</f>
        <v>offset 83</v>
      </c>
    </row>
    <row r="4241" customFormat="false" ht="12.8" hidden="false" customHeight="false" outlineLevel="0" collapsed="false">
      <c r="A4241" s="0" t="s">
        <v>12</v>
      </c>
      <c r="B4241" s="0" t="n">
        <v>1345373</v>
      </c>
      <c r="C4241" s="0" t="n">
        <v>1345393</v>
      </c>
      <c r="D4241" s="0" t="s">
        <v>14125</v>
      </c>
      <c r="E4241" s="0" t="s">
        <v>75</v>
      </c>
      <c r="F4241" s="0" t="s">
        <v>90</v>
      </c>
      <c r="G4241" s="0" t="s">
        <v>16</v>
      </c>
      <c r="H4241" s="0" t="n">
        <v>103</v>
      </c>
      <c r="I4241" s="0" t="s">
        <v>14135</v>
      </c>
      <c r="J4241" s="0" t="s">
        <v>14136</v>
      </c>
      <c r="K4241" s="0" t="s">
        <v>14137</v>
      </c>
      <c r="L4241" s="0" t="str">
        <f aca="false">HYPERLINK("https://www.ncbi.nlm.nih.gov/nuccore/CP000058.1?report=graph&amp;tracks=[key:gene_model_track,Options:GeneOnly]&amp;mk=1345468:1345487|offset_9|444444,1345441:1345460|offset_36|444444,1345394:1345413|offset_83|444444,1345374:1345393|offset_103|00cc00&amp;v=1345267:1345593&amp;c=444444", "offset 103")</f>
        <v>offset 103</v>
      </c>
    </row>
    <row r="4242" customFormat="false" ht="12.8" hidden="false" customHeight="false" outlineLevel="0" collapsed="false">
      <c r="A4242" s="0" t="s">
        <v>12</v>
      </c>
      <c r="B4242" s="0" t="n">
        <v>1348999</v>
      </c>
      <c r="C4242" s="0" t="n">
        <v>1349019</v>
      </c>
      <c r="D4242" s="0" t="s">
        <v>14138</v>
      </c>
      <c r="E4242" s="0" t="s">
        <v>75</v>
      </c>
      <c r="F4242" s="0" t="s">
        <v>90</v>
      </c>
      <c r="G4242" s="0" t="s">
        <v>16</v>
      </c>
      <c r="H4242" s="0" t="n">
        <v>7</v>
      </c>
      <c r="I4242" s="0" t="s">
        <v>14139</v>
      </c>
      <c r="J4242" s="0" t="s">
        <v>14140</v>
      </c>
      <c r="K4242" s="0" t="s">
        <v>14141</v>
      </c>
      <c r="L4242" s="0" t="str">
        <f aca="false">HYPERLINK("https://www.ncbi.nlm.nih.gov/nuccore/CP000058.1?report=graph&amp;tracks=[key:gene_model_track,Options:GeneOnly]&amp;mk=1349000:1349019|offset_7|00cc00,1348972:1348991|offset_35|444444,1348946:1348965|offset_61|444444,1348835:1348854|offset_172|444444&amp;v=1348799:1349054&amp;c=444444", "offset 7")</f>
        <v>offset 7</v>
      </c>
    </row>
    <row r="4243" customFormat="false" ht="12.8" hidden="false" customHeight="false" outlineLevel="0" collapsed="false">
      <c r="A4243" s="0" t="s">
        <v>12</v>
      </c>
      <c r="B4243" s="0" t="n">
        <v>1348971</v>
      </c>
      <c r="C4243" s="0" t="n">
        <v>1348991</v>
      </c>
      <c r="D4243" s="0" t="s">
        <v>14138</v>
      </c>
      <c r="E4243" s="0" t="s">
        <v>75</v>
      </c>
      <c r="F4243" s="0" t="s">
        <v>90</v>
      </c>
      <c r="G4243" s="0" t="s">
        <v>32</v>
      </c>
      <c r="H4243" s="0" t="n">
        <v>35</v>
      </c>
      <c r="I4243" s="0" t="s">
        <v>14142</v>
      </c>
      <c r="J4243" s="0" t="s">
        <v>14143</v>
      </c>
      <c r="K4243" s="0" t="s">
        <v>14144</v>
      </c>
      <c r="L4243" s="0" t="str">
        <f aca="false">HYPERLINK("https://www.ncbi.nlm.nih.gov/nuccore/CP000058.1?report=graph&amp;tracks=[key:gene_model_track,Options:GeneOnly]&amp;mk=1349000:1349019|offset_7|444444,1348972:1348991|offset_35|00cc00,1348946:1348965|offset_61|444444,1348835:1348854|offset_172|444444&amp;v=1348799:1349054&amp;c=444444", "offset 35")</f>
        <v>offset 35</v>
      </c>
    </row>
    <row r="4244" customFormat="false" ht="12.8" hidden="false" customHeight="false" outlineLevel="0" collapsed="false">
      <c r="A4244" s="0" t="s">
        <v>12</v>
      </c>
      <c r="B4244" s="0" t="n">
        <v>1348945</v>
      </c>
      <c r="C4244" s="0" t="n">
        <v>1348965</v>
      </c>
      <c r="D4244" s="0" t="s">
        <v>14138</v>
      </c>
      <c r="E4244" s="0" t="s">
        <v>75</v>
      </c>
      <c r="F4244" s="0" t="s">
        <v>90</v>
      </c>
      <c r="G4244" s="0" t="s">
        <v>32</v>
      </c>
      <c r="H4244" s="0" t="n">
        <v>61</v>
      </c>
      <c r="I4244" s="0" t="s">
        <v>14145</v>
      </c>
      <c r="J4244" s="0" t="s">
        <v>14146</v>
      </c>
      <c r="K4244" s="0" t="s">
        <v>14147</v>
      </c>
      <c r="L4244" s="0" t="str">
        <f aca="false">HYPERLINK("https://www.ncbi.nlm.nih.gov/nuccore/CP000058.1?report=graph&amp;tracks=[key:gene_model_track,Options:GeneOnly]&amp;mk=1349000:1349019|offset_7|444444,1348972:1348991|offset_35|444444,1348946:1348965|offset_61|00cc00,1348835:1348854|offset_172|444444&amp;v=1348799:1349054&amp;c=444444", "offset 61")</f>
        <v>offset 61</v>
      </c>
    </row>
    <row r="4245" customFormat="false" ht="12.8" hidden="false" customHeight="false" outlineLevel="0" collapsed="false">
      <c r="A4245" s="0" t="s">
        <v>12</v>
      </c>
      <c r="B4245" s="0" t="n">
        <v>1348834</v>
      </c>
      <c r="C4245" s="0" t="n">
        <v>1348854</v>
      </c>
      <c r="D4245" s="0" t="s">
        <v>14138</v>
      </c>
      <c r="E4245" s="0" t="s">
        <v>75</v>
      </c>
      <c r="F4245" s="0" t="s">
        <v>90</v>
      </c>
      <c r="G4245" s="0" t="s">
        <v>32</v>
      </c>
      <c r="H4245" s="0" t="n">
        <v>172</v>
      </c>
      <c r="I4245" s="0" t="s">
        <v>14148</v>
      </c>
      <c r="J4245" s="0" t="s">
        <v>14149</v>
      </c>
      <c r="K4245" s="0" t="s">
        <v>14150</v>
      </c>
      <c r="L4245" s="0" t="str">
        <f aca="false">HYPERLINK("https://www.ncbi.nlm.nih.gov/nuccore/CP000058.1?report=graph&amp;tracks=[key:gene_model_track,Options:GeneOnly]&amp;mk=1349000:1349019|offset_7|444444,1348972:1348991|offset_35|444444,1348946:1348965|offset_61|444444,1348835:1348854|offset_172|00cc00&amp;v=1348799:1349054&amp;c=444444", "offset 172")</f>
        <v>offset 172</v>
      </c>
    </row>
    <row r="4246" customFormat="false" ht="12.8" hidden="false" customHeight="false" outlineLevel="0" collapsed="false">
      <c r="A4246" s="0" t="s">
        <v>12</v>
      </c>
      <c r="B4246" s="0" t="n">
        <v>1350138</v>
      </c>
      <c r="C4246" s="0" t="n">
        <v>1350158</v>
      </c>
      <c r="D4246" s="0" t="s">
        <v>14151</v>
      </c>
      <c r="E4246" s="0" t="s">
        <v>75</v>
      </c>
      <c r="F4246" s="0" t="s">
        <v>90</v>
      </c>
      <c r="G4246" s="0" t="s">
        <v>16</v>
      </c>
      <c r="H4246" s="0" t="n">
        <v>40</v>
      </c>
      <c r="I4246" s="0" t="s">
        <v>14152</v>
      </c>
      <c r="J4246" s="0" t="s">
        <v>14153</v>
      </c>
      <c r="K4246" s="0" t="s">
        <v>14154</v>
      </c>
      <c r="L4246" s="0" t="str">
        <f aca="false">HYPERLINK("https://www.ncbi.nlm.nih.gov/nuccore/CP000058.1?report=graph&amp;tracks=[key:gene_model_track,Options:GeneOnly]&amp;mk=1350139:1350158|offset_40|00cc00,1350116:1350135|offset_63|444444,1350080:1350099|offset_99|444444,1350031:1350050|offset_148|444444&amp;v=1349938:1350250&amp;c=444444", "offset 40")</f>
        <v>offset 40</v>
      </c>
    </row>
    <row r="4247" customFormat="false" ht="12.8" hidden="false" customHeight="false" outlineLevel="0" collapsed="false">
      <c r="A4247" s="0" t="s">
        <v>12</v>
      </c>
      <c r="B4247" s="0" t="n">
        <v>1350115</v>
      </c>
      <c r="C4247" s="0" t="n">
        <v>1350135</v>
      </c>
      <c r="D4247" s="0" t="s">
        <v>14151</v>
      </c>
      <c r="E4247" s="0" t="s">
        <v>75</v>
      </c>
      <c r="F4247" s="0" t="s">
        <v>90</v>
      </c>
      <c r="G4247" s="0" t="s">
        <v>20</v>
      </c>
      <c r="H4247" s="0" t="n">
        <v>63</v>
      </c>
      <c r="I4247" s="0" t="s">
        <v>14155</v>
      </c>
      <c r="J4247" s="0" t="s">
        <v>14156</v>
      </c>
      <c r="K4247" s="0" t="s">
        <v>14157</v>
      </c>
      <c r="L4247" s="0" t="str">
        <f aca="false">HYPERLINK("https://www.ncbi.nlm.nih.gov/nuccore/CP000058.1?report=graph&amp;tracks=[key:gene_model_track,Options:GeneOnly]&amp;mk=1350139:1350158|offset_40|444444,1350116:1350135|offset_63|00cc00,1350080:1350099|offset_99|444444,1350031:1350050|offset_148|444444&amp;v=1349938:1350250&amp;c=444444", "offset 63")</f>
        <v>offset 63</v>
      </c>
    </row>
    <row r="4248" customFormat="false" ht="12.8" hidden="false" customHeight="false" outlineLevel="0" collapsed="false">
      <c r="A4248" s="0" t="s">
        <v>12</v>
      </c>
      <c r="B4248" s="0" t="n">
        <v>1350079</v>
      </c>
      <c r="C4248" s="0" t="n">
        <v>1350099</v>
      </c>
      <c r="D4248" s="0" t="s">
        <v>14151</v>
      </c>
      <c r="E4248" s="0" t="s">
        <v>75</v>
      </c>
      <c r="F4248" s="0" t="s">
        <v>90</v>
      </c>
      <c r="G4248" s="0" t="s">
        <v>20</v>
      </c>
      <c r="H4248" s="0" t="n">
        <v>99</v>
      </c>
      <c r="I4248" s="0" t="s">
        <v>14158</v>
      </c>
      <c r="J4248" s="0" t="s">
        <v>14159</v>
      </c>
      <c r="K4248" s="0" t="s">
        <v>14160</v>
      </c>
      <c r="L4248" s="0" t="str">
        <f aca="false">HYPERLINK("https://www.ncbi.nlm.nih.gov/nuccore/CP000058.1?report=graph&amp;tracks=[key:gene_model_track,Options:GeneOnly]&amp;mk=1350139:1350158|offset_40|444444,1350116:1350135|offset_63|444444,1350080:1350099|offset_99|00cc00,1350031:1350050|offset_148|444444&amp;v=1349938:1350250&amp;c=444444", "offset 99")</f>
        <v>offset 99</v>
      </c>
    </row>
    <row r="4249" customFormat="false" ht="12.8" hidden="false" customHeight="false" outlineLevel="0" collapsed="false">
      <c r="A4249" s="0" t="s">
        <v>12</v>
      </c>
      <c r="B4249" s="0" t="n">
        <v>1350030</v>
      </c>
      <c r="C4249" s="0" t="n">
        <v>1350050</v>
      </c>
      <c r="D4249" s="0" t="s">
        <v>14151</v>
      </c>
      <c r="E4249" s="0" t="s">
        <v>75</v>
      </c>
      <c r="F4249" s="0" t="s">
        <v>90</v>
      </c>
      <c r="G4249" s="0" t="s">
        <v>32</v>
      </c>
      <c r="H4249" s="0" t="n">
        <v>148</v>
      </c>
      <c r="I4249" s="0" t="s">
        <v>14161</v>
      </c>
      <c r="J4249" s="0" t="s">
        <v>14162</v>
      </c>
      <c r="K4249" s="0" t="s">
        <v>14163</v>
      </c>
      <c r="L4249" s="0" t="str">
        <f aca="false">HYPERLINK("https://www.ncbi.nlm.nih.gov/nuccore/CP000058.1?report=graph&amp;tracks=[key:gene_model_track,Options:GeneOnly]&amp;mk=1350139:1350158|offset_40|444444,1350116:1350135|offset_63|444444,1350080:1350099|offset_99|444444,1350031:1350050|offset_148|00cc00&amp;v=1349938:1350250&amp;c=444444", "offset 148")</f>
        <v>offset 148</v>
      </c>
    </row>
    <row r="4250" customFormat="false" ht="12.8" hidden="false" customHeight="false" outlineLevel="0" collapsed="false">
      <c r="A4250" s="0" t="s">
        <v>12</v>
      </c>
      <c r="B4250" s="0" t="n">
        <v>1350802</v>
      </c>
      <c r="C4250" s="0" t="n">
        <v>1350822</v>
      </c>
      <c r="D4250" s="0" t="s">
        <v>14164</v>
      </c>
      <c r="E4250" s="0" t="s">
        <v>75</v>
      </c>
      <c r="F4250" s="0" t="s">
        <v>90</v>
      </c>
      <c r="G4250" s="0" t="s">
        <v>16</v>
      </c>
      <c r="H4250" s="0" t="n">
        <v>44</v>
      </c>
      <c r="I4250" s="0" t="s">
        <v>14165</v>
      </c>
      <c r="J4250" s="0" t="s">
        <v>14166</v>
      </c>
      <c r="K4250" s="0" t="s">
        <v>14167</v>
      </c>
      <c r="L4250" s="0" t="str">
        <f aca="false">HYPERLINK("https://www.ncbi.nlm.nih.gov/nuccore/CP000058.1?report=graph&amp;tracks=[key:gene_model_track,Options:GeneOnly]&amp;mk=1350803:1350822|offset_44|00cc00,1350782:1350801|offset_65|444444,1350761:1350780|offset_86|444444,1350735:1350754|offset_112|444444&amp;v=1350602:1350954&amp;c=444444", "offset 44")</f>
        <v>offset 44</v>
      </c>
    </row>
    <row r="4251" customFormat="false" ht="12.8" hidden="false" customHeight="false" outlineLevel="0" collapsed="false">
      <c r="A4251" s="0" t="s">
        <v>12</v>
      </c>
      <c r="B4251" s="0" t="n">
        <v>1350781</v>
      </c>
      <c r="C4251" s="0" t="n">
        <v>1350801</v>
      </c>
      <c r="D4251" s="0" t="s">
        <v>14164</v>
      </c>
      <c r="E4251" s="0" t="s">
        <v>75</v>
      </c>
      <c r="F4251" s="0" t="s">
        <v>90</v>
      </c>
      <c r="G4251" s="0" t="s">
        <v>16</v>
      </c>
      <c r="H4251" s="0" t="n">
        <v>65</v>
      </c>
      <c r="I4251" s="0" t="s">
        <v>14168</v>
      </c>
      <c r="J4251" s="0" t="s">
        <v>14169</v>
      </c>
      <c r="K4251" s="0" t="s">
        <v>14170</v>
      </c>
      <c r="L4251" s="0" t="str">
        <f aca="false">HYPERLINK("https://www.ncbi.nlm.nih.gov/nuccore/CP000058.1?report=graph&amp;tracks=[key:gene_model_track,Options:GeneOnly]&amp;mk=1350803:1350822|offset_44|444444,1350782:1350801|offset_65|00cc00,1350761:1350780|offset_86|444444,1350735:1350754|offset_112|444444&amp;v=1350602:1350954&amp;c=444444", "offset 65")</f>
        <v>offset 65</v>
      </c>
    </row>
    <row r="4252" customFormat="false" ht="12.8" hidden="false" customHeight="false" outlineLevel="0" collapsed="false">
      <c r="A4252" s="0" t="s">
        <v>12</v>
      </c>
      <c r="B4252" s="0" t="n">
        <v>1350760</v>
      </c>
      <c r="C4252" s="0" t="n">
        <v>1350780</v>
      </c>
      <c r="D4252" s="0" t="s">
        <v>14164</v>
      </c>
      <c r="E4252" s="0" t="s">
        <v>75</v>
      </c>
      <c r="F4252" s="0" t="s">
        <v>90</v>
      </c>
      <c r="G4252" s="0" t="s">
        <v>20</v>
      </c>
      <c r="H4252" s="0" t="n">
        <v>86</v>
      </c>
      <c r="I4252" s="0" t="s">
        <v>14171</v>
      </c>
      <c r="J4252" s="0" t="s">
        <v>14172</v>
      </c>
      <c r="K4252" s="0" t="s">
        <v>14173</v>
      </c>
      <c r="L4252" s="0" t="str">
        <f aca="false">HYPERLINK("https://www.ncbi.nlm.nih.gov/nuccore/CP000058.1?report=graph&amp;tracks=[key:gene_model_track,Options:GeneOnly]&amp;mk=1350803:1350822|offset_44|444444,1350782:1350801|offset_65|444444,1350761:1350780|offset_86|00cc00,1350735:1350754|offset_112|444444&amp;v=1350602:1350954&amp;c=444444", "offset 86")</f>
        <v>offset 86</v>
      </c>
    </row>
    <row r="4253" customFormat="false" ht="12.8" hidden="false" customHeight="false" outlineLevel="0" collapsed="false">
      <c r="A4253" s="0" t="s">
        <v>12</v>
      </c>
      <c r="B4253" s="0" t="n">
        <v>1350734</v>
      </c>
      <c r="C4253" s="0" t="n">
        <v>1350754</v>
      </c>
      <c r="D4253" s="0" t="s">
        <v>14164</v>
      </c>
      <c r="E4253" s="0" t="s">
        <v>75</v>
      </c>
      <c r="F4253" s="0" t="s">
        <v>90</v>
      </c>
      <c r="G4253" s="0" t="s">
        <v>32</v>
      </c>
      <c r="H4253" s="0" t="n">
        <v>112</v>
      </c>
      <c r="I4253" s="0" t="s">
        <v>14174</v>
      </c>
      <c r="J4253" s="0" t="s">
        <v>14175</v>
      </c>
      <c r="K4253" s="0" t="s">
        <v>14176</v>
      </c>
      <c r="L4253" s="0" t="str">
        <f aca="false">HYPERLINK("https://www.ncbi.nlm.nih.gov/nuccore/CP000058.1?report=graph&amp;tracks=[key:gene_model_track,Options:GeneOnly]&amp;mk=1350803:1350822|offset_44|444444,1350782:1350801|offset_65|444444,1350761:1350780|offset_86|444444,1350735:1350754|offset_112|00cc00&amp;v=1350602:1350954&amp;c=444444", "offset 112")</f>
        <v>offset 112</v>
      </c>
    </row>
    <row r="4254" customFormat="false" ht="12.8" hidden="false" customHeight="false" outlineLevel="0" collapsed="false">
      <c r="A4254" s="0" t="s">
        <v>12</v>
      </c>
      <c r="B4254" s="0" t="n">
        <v>1351011</v>
      </c>
      <c r="C4254" s="0" t="n">
        <v>1351031</v>
      </c>
      <c r="D4254" s="0" t="s">
        <v>14177</v>
      </c>
      <c r="E4254" s="0" t="s">
        <v>75</v>
      </c>
      <c r="F4254" s="0" t="s">
        <v>15</v>
      </c>
      <c r="G4254" s="0" t="s">
        <v>32</v>
      </c>
      <c r="H4254" s="0" t="n">
        <v>1</v>
      </c>
      <c r="I4254" s="0" t="s">
        <v>14178</v>
      </c>
      <c r="J4254" s="0" t="s">
        <v>14179</v>
      </c>
      <c r="K4254" s="0" t="s">
        <v>14180</v>
      </c>
      <c r="L4254" s="0" t="str">
        <f aca="false">HYPERLINK("https://www.ncbi.nlm.nih.gov/nuccore/CP000058.1?report=graph&amp;tracks=[key:gene_model_track,Options:GeneOnly]&amp;mk=1351012:1351031|offset_1|00cc00,1351042:1351061|offset_31|444444,1351068:1351087|offset_57|444444,1351106:1351125|offset_95|444444&amp;v=1350811:1351325&amp;c=444444", "offset 1")</f>
        <v>offset 1</v>
      </c>
    </row>
    <row r="4255" customFormat="false" ht="12.8" hidden="false" customHeight="false" outlineLevel="0" collapsed="false">
      <c r="A4255" s="0" t="s">
        <v>12</v>
      </c>
      <c r="B4255" s="0" t="n">
        <v>1351041</v>
      </c>
      <c r="C4255" s="0" t="n">
        <v>1351061</v>
      </c>
      <c r="D4255" s="0" t="s">
        <v>14177</v>
      </c>
      <c r="E4255" s="0" t="s">
        <v>75</v>
      </c>
      <c r="F4255" s="0" t="s">
        <v>15</v>
      </c>
      <c r="G4255" s="0" t="s">
        <v>16</v>
      </c>
      <c r="H4255" s="0" t="n">
        <v>31</v>
      </c>
      <c r="I4255" s="0" t="s">
        <v>14181</v>
      </c>
      <c r="J4255" s="0" t="s">
        <v>14182</v>
      </c>
      <c r="K4255" s="0" t="s">
        <v>14183</v>
      </c>
      <c r="L4255" s="0" t="str">
        <f aca="false">HYPERLINK("https://www.ncbi.nlm.nih.gov/nuccore/CP000058.1?report=graph&amp;tracks=[key:gene_model_track,Options:GeneOnly]&amp;mk=1351012:1351031|offset_1|444444,1351042:1351061|offset_31|00cc00,1351068:1351087|offset_57|444444,1351106:1351125|offset_95|444444&amp;v=1350811:1351325&amp;c=444444", "offset 31")</f>
        <v>offset 31</v>
      </c>
    </row>
    <row r="4256" customFormat="false" ht="12.8" hidden="false" customHeight="false" outlineLevel="0" collapsed="false">
      <c r="A4256" s="0" t="s">
        <v>12</v>
      </c>
      <c r="B4256" s="0" t="n">
        <v>1351067</v>
      </c>
      <c r="C4256" s="0" t="n">
        <v>1351087</v>
      </c>
      <c r="D4256" s="0" t="s">
        <v>14177</v>
      </c>
      <c r="E4256" s="0" t="s">
        <v>75</v>
      </c>
      <c r="F4256" s="0" t="s">
        <v>15</v>
      </c>
      <c r="G4256" s="0" t="s">
        <v>32</v>
      </c>
      <c r="H4256" s="0" t="n">
        <v>57</v>
      </c>
      <c r="I4256" s="0" t="s">
        <v>14184</v>
      </c>
      <c r="J4256" s="0" t="s">
        <v>14185</v>
      </c>
      <c r="K4256" s="0" t="s">
        <v>14186</v>
      </c>
      <c r="L4256" s="0" t="str">
        <f aca="false">HYPERLINK("https://www.ncbi.nlm.nih.gov/nuccore/CP000058.1?report=graph&amp;tracks=[key:gene_model_track,Options:GeneOnly]&amp;mk=1351012:1351031|offset_1|444444,1351042:1351061|offset_31|444444,1351068:1351087|offset_57|00cc00,1351106:1351125|offset_95|444444&amp;v=1350811:1351325&amp;c=444444", "offset 57")</f>
        <v>offset 57</v>
      </c>
    </row>
    <row r="4257" customFormat="false" ht="12.8" hidden="false" customHeight="false" outlineLevel="0" collapsed="false">
      <c r="A4257" s="0" t="s">
        <v>12</v>
      </c>
      <c r="B4257" s="0" t="n">
        <v>1351105</v>
      </c>
      <c r="C4257" s="0" t="n">
        <v>1351125</v>
      </c>
      <c r="D4257" s="0" t="s">
        <v>14177</v>
      </c>
      <c r="E4257" s="0" t="s">
        <v>75</v>
      </c>
      <c r="F4257" s="0" t="s">
        <v>15</v>
      </c>
      <c r="G4257" s="0" t="s">
        <v>32</v>
      </c>
      <c r="H4257" s="0" t="n">
        <v>95</v>
      </c>
      <c r="I4257" s="0" t="s">
        <v>14187</v>
      </c>
      <c r="J4257" s="0" t="s">
        <v>14188</v>
      </c>
      <c r="K4257" s="0" t="s">
        <v>14189</v>
      </c>
      <c r="L4257" s="0" t="str">
        <f aca="false">HYPERLINK("https://www.ncbi.nlm.nih.gov/nuccore/CP000058.1?report=graph&amp;tracks=[key:gene_model_track,Options:GeneOnly]&amp;mk=1351012:1351031|offset_1|444444,1351042:1351061|offset_31|444444,1351068:1351087|offset_57|444444,1351106:1351125|offset_95|00cc00&amp;v=1350811:1351325&amp;c=444444", "offset 95")</f>
        <v>offset 95</v>
      </c>
    </row>
    <row r="4258" customFormat="false" ht="12.8" hidden="false" customHeight="false" outlineLevel="0" collapsed="false">
      <c r="A4258" s="0" t="s">
        <v>12</v>
      </c>
      <c r="B4258" s="0" t="n">
        <v>1352654</v>
      </c>
      <c r="C4258" s="0" t="n">
        <v>1352674</v>
      </c>
      <c r="D4258" s="0" t="s">
        <v>14190</v>
      </c>
      <c r="E4258" s="0" t="s">
        <v>75</v>
      </c>
      <c r="F4258" s="0" t="s">
        <v>90</v>
      </c>
      <c r="G4258" s="0" t="s">
        <v>32</v>
      </c>
      <c r="H4258" s="0" t="n">
        <v>40</v>
      </c>
      <c r="I4258" s="0" t="s">
        <v>14191</v>
      </c>
      <c r="J4258" s="0" t="s">
        <v>14192</v>
      </c>
      <c r="K4258" s="0" t="s">
        <v>14193</v>
      </c>
      <c r="L4258" s="0" t="str">
        <f aca="false">HYPERLINK("https://www.ncbi.nlm.nih.gov/nuccore/CP000058.1?report=graph&amp;tracks=[key:gene_model_track,Options:GeneOnly]&amp;mk=1352655:1352674|offset_40|00cc00,1352634:1352653|offset_61|444444,1352611:1352630|offset_84|444444,1352584:1352603|offset_111|444444&amp;v=1352454:1352803&amp;c=444444", "offset 40")</f>
        <v>offset 40</v>
      </c>
    </row>
    <row r="4259" customFormat="false" ht="12.8" hidden="false" customHeight="false" outlineLevel="0" collapsed="false">
      <c r="A4259" s="0" t="s">
        <v>12</v>
      </c>
      <c r="B4259" s="0" t="n">
        <v>1352633</v>
      </c>
      <c r="C4259" s="0" t="n">
        <v>1352653</v>
      </c>
      <c r="D4259" s="0" t="s">
        <v>14190</v>
      </c>
      <c r="E4259" s="0" t="s">
        <v>75</v>
      </c>
      <c r="F4259" s="0" t="s">
        <v>90</v>
      </c>
      <c r="G4259" s="0" t="s">
        <v>36</v>
      </c>
      <c r="H4259" s="0" t="n">
        <v>61</v>
      </c>
      <c r="I4259" s="0" t="s">
        <v>14194</v>
      </c>
      <c r="J4259" s="0" t="s">
        <v>14195</v>
      </c>
      <c r="K4259" s="0" t="s">
        <v>14196</v>
      </c>
      <c r="L4259" s="0" t="str">
        <f aca="false">HYPERLINK("https://www.ncbi.nlm.nih.gov/nuccore/CP000058.1?report=graph&amp;tracks=[key:gene_model_track,Options:GeneOnly]&amp;mk=1352655:1352674|offset_40|444444,1352634:1352653|offset_61|00cc00,1352611:1352630|offset_84|444444,1352584:1352603|offset_111|444444&amp;v=1352454:1352803&amp;c=444444", "offset 61")</f>
        <v>offset 61</v>
      </c>
    </row>
    <row r="4260" customFormat="false" ht="12.8" hidden="false" customHeight="false" outlineLevel="0" collapsed="false">
      <c r="A4260" s="0" t="s">
        <v>12</v>
      </c>
      <c r="B4260" s="0" t="n">
        <v>1352610</v>
      </c>
      <c r="C4260" s="0" t="n">
        <v>1352630</v>
      </c>
      <c r="D4260" s="0" t="s">
        <v>14190</v>
      </c>
      <c r="E4260" s="0" t="s">
        <v>75</v>
      </c>
      <c r="F4260" s="0" t="s">
        <v>90</v>
      </c>
      <c r="G4260" s="0" t="s">
        <v>20</v>
      </c>
      <c r="H4260" s="0" t="n">
        <v>84</v>
      </c>
      <c r="I4260" s="0" t="s">
        <v>14197</v>
      </c>
      <c r="J4260" s="0" t="s">
        <v>14198</v>
      </c>
      <c r="K4260" s="0" t="s">
        <v>14199</v>
      </c>
      <c r="L4260" s="0" t="str">
        <f aca="false">HYPERLINK("https://www.ncbi.nlm.nih.gov/nuccore/CP000058.1?report=graph&amp;tracks=[key:gene_model_track,Options:GeneOnly]&amp;mk=1352655:1352674|offset_40|444444,1352634:1352653|offset_61|444444,1352611:1352630|offset_84|00cc00,1352584:1352603|offset_111|444444&amp;v=1352454:1352803&amp;c=444444", "offset 84")</f>
        <v>offset 84</v>
      </c>
    </row>
    <row r="4261" customFormat="false" ht="12.8" hidden="false" customHeight="false" outlineLevel="0" collapsed="false">
      <c r="A4261" s="0" t="s">
        <v>12</v>
      </c>
      <c r="B4261" s="0" t="n">
        <v>1352583</v>
      </c>
      <c r="C4261" s="0" t="n">
        <v>1352603</v>
      </c>
      <c r="D4261" s="0" t="s">
        <v>14190</v>
      </c>
      <c r="E4261" s="0" t="s">
        <v>75</v>
      </c>
      <c r="F4261" s="0" t="s">
        <v>90</v>
      </c>
      <c r="G4261" s="0" t="s">
        <v>16</v>
      </c>
      <c r="H4261" s="0" t="n">
        <v>111</v>
      </c>
      <c r="I4261" s="0" t="s">
        <v>14200</v>
      </c>
      <c r="J4261" s="0" t="s">
        <v>14201</v>
      </c>
      <c r="K4261" s="0" t="s">
        <v>14202</v>
      </c>
      <c r="L4261" s="0" t="str">
        <f aca="false">HYPERLINK("https://www.ncbi.nlm.nih.gov/nuccore/CP000058.1?report=graph&amp;tracks=[key:gene_model_track,Options:GeneOnly]&amp;mk=1352655:1352674|offset_40|444444,1352634:1352653|offset_61|444444,1352611:1352630|offset_84|444444,1352584:1352603|offset_111|00cc00&amp;v=1352454:1352803&amp;c=444444", "offset 111")</f>
        <v>offset 111</v>
      </c>
    </row>
    <row r="4262" customFormat="false" ht="12.8" hidden="false" customHeight="false" outlineLevel="0" collapsed="false">
      <c r="A4262" s="0" t="s">
        <v>12</v>
      </c>
      <c r="B4262" s="0" t="n">
        <v>1355562</v>
      </c>
      <c r="C4262" s="0" t="n">
        <v>1355582</v>
      </c>
      <c r="D4262" s="0" t="s">
        <v>14203</v>
      </c>
      <c r="E4262" s="0" t="s">
        <v>14204</v>
      </c>
      <c r="F4262" s="0" t="s">
        <v>90</v>
      </c>
      <c r="G4262" s="0" t="s">
        <v>32</v>
      </c>
      <c r="H4262" s="0" t="n">
        <v>17</v>
      </c>
      <c r="I4262" s="0" t="s">
        <v>14205</v>
      </c>
      <c r="J4262" s="0" t="s">
        <v>14206</v>
      </c>
      <c r="K4262" s="0" t="s">
        <v>14207</v>
      </c>
      <c r="L4262" s="0" t="str">
        <f aca="false">HYPERLINK("https://www.ncbi.nlm.nih.gov/nuccore/CP000058.1?report=graph&amp;tracks=[key:gene_model_track,Options:GeneOnly]&amp;mk=1355563:1355582|offset_17|00cc00,1355540:1355559|offset_40|444444,1355519:1355538|offset_61|444444,1355477:1355496|offset_103|444444&amp;v=1355362:1355696&amp;c=444444", "offset 17")</f>
        <v>offset 17</v>
      </c>
    </row>
    <row r="4263" customFormat="false" ht="12.8" hidden="false" customHeight="false" outlineLevel="0" collapsed="false">
      <c r="A4263" s="0" t="s">
        <v>12</v>
      </c>
      <c r="B4263" s="0" t="n">
        <v>1355539</v>
      </c>
      <c r="C4263" s="0" t="n">
        <v>1355559</v>
      </c>
      <c r="D4263" s="0" t="s">
        <v>14203</v>
      </c>
      <c r="E4263" s="0" t="s">
        <v>14204</v>
      </c>
      <c r="F4263" s="0" t="s">
        <v>90</v>
      </c>
      <c r="G4263" s="0" t="s">
        <v>20</v>
      </c>
      <c r="H4263" s="0" t="n">
        <v>40</v>
      </c>
      <c r="I4263" s="0" t="s">
        <v>14208</v>
      </c>
      <c r="J4263" s="0" t="s">
        <v>14209</v>
      </c>
      <c r="K4263" s="0" t="s">
        <v>14210</v>
      </c>
      <c r="L4263" s="0" t="str">
        <f aca="false">HYPERLINK("https://www.ncbi.nlm.nih.gov/nuccore/CP000058.1?report=graph&amp;tracks=[key:gene_model_track,Options:GeneOnly]&amp;mk=1355563:1355582|offset_17|444444,1355540:1355559|offset_40|00cc00,1355519:1355538|offset_61|444444,1355477:1355496|offset_103|444444&amp;v=1355362:1355696&amp;c=444444", "offset 40")</f>
        <v>offset 40</v>
      </c>
    </row>
    <row r="4264" customFormat="false" ht="12.8" hidden="false" customHeight="false" outlineLevel="0" collapsed="false">
      <c r="A4264" s="0" t="s">
        <v>12</v>
      </c>
      <c r="B4264" s="0" t="n">
        <v>1355518</v>
      </c>
      <c r="C4264" s="0" t="n">
        <v>1355538</v>
      </c>
      <c r="D4264" s="0" t="s">
        <v>14203</v>
      </c>
      <c r="E4264" s="0" t="s">
        <v>14204</v>
      </c>
      <c r="F4264" s="0" t="s">
        <v>90</v>
      </c>
      <c r="G4264" s="0" t="s">
        <v>16</v>
      </c>
      <c r="H4264" s="0" t="n">
        <v>61</v>
      </c>
      <c r="I4264" s="0" t="s">
        <v>14211</v>
      </c>
      <c r="J4264" s="0" t="s">
        <v>14212</v>
      </c>
      <c r="K4264" s="0" t="s">
        <v>14213</v>
      </c>
      <c r="L4264" s="0" t="str">
        <f aca="false">HYPERLINK("https://www.ncbi.nlm.nih.gov/nuccore/CP000058.1?report=graph&amp;tracks=[key:gene_model_track,Options:GeneOnly]&amp;mk=1355563:1355582|offset_17|444444,1355540:1355559|offset_40|444444,1355519:1355538|offset_61|00cc00,1355477:1355496|offset_103|444444&amp;v=1355362:1355696&amp;c=444444", "offset 61")</f>
        <v>offset 61</v>
      </c>
    </row>
    <row r="4265" customFormat="false" ht="12.8" hidden="false" customHeight="false" outlineLevel="0" collapsed="false">
      <c r="A4265" s="0" t="s">
        <v>12</v>
      </c>
      <c r="B4265" s="0" t="n">
        <v>1355476</v>
      </c>
      <c r="C4265" s="0" t="n">
        <v>1355496</v>
      </c>
      <c r="D4265" s="0" t="s">
        <v>14203</v>
      </c>
      <c r="E4265" s="0" t="s">
        <v>14204</v>
      </c>
      <c r="F4265" s="0" t="s">
        <v>90</v>
      </c>
      <c r="G4265" s="0" t="s">
        <v>32</v>
      </c>
      <c r="H4265" s="0" t="n">
        <v>103</v>
      </c>
      <c r="I4265" s="0" t="s">
        <v>14214</v>
      </c>
      <c r="J4265" s="0" t="s">
        <v>14215</v>
      </c>
      <c r="K4265" s="0" t="s">
        <v>14216</v>
      </c>
      <c r="L4265" s="0" t="str">
        <f aca="false">HYPERLINK("https://www.ncbi.nlm.nih.gov/nuccore/CP000058.1?report=graph&amp;tracks=[key:gene_model_track,Options:GeneOnly]&amp;mk=1355563:1355582|offset_17|444444,1355540:1355559|offset_40|444444,1355519:1355538|offset_61|444444,1355477:1355496|offset_103|00cc00&amp;v=1355362:1355696&amp;c=444444", "offset 103")</f>
        <v>offset 103</v>
      </c>
    </row>
    <row r="4266" customFormat="false" ht="12.8" hidden="false" customHeight="false" outlineLevel="0" collapsed="false">
      <c r="A4266" s="0" t="s">
        <v>12</v>
      </c>
      <c r="B4266" s="0" t="n">
        <v>1355768</v>
      </c>
      <c r="C4266" s="0" t="n">
        <v>1355788</v>
      </c>
      <c r="D4266" s="0" t="s">
        <v>14217</v>
      </c>
      <c r="E4266" s="0" t="s">
        <v>75</v>
      </c>
      <c r="F4266" s="0" t="s">
        <v>15</v>
      </c>
      <c r="G4266" s="0" t="s">
        <v>32</v>
      </c>
      <c r="H4266" s="0" t="n">
        <v>1</v>
      </c>
      <c r="I4266" s="0" t="s">
        <v>14218</v>
      </c>
      <c r="J4266" s="0" t="s">
        <v>14219</v>
      </c>
      <c r="K4266" s="0" t="s">
        <v>14220</v>
      </c>
      <c r="L4266" s="0" t="str">
        <f aca="false">HYPERLINK("https://www.ncbi.nlm.nih.gov/nuccore/CP000058.1?report=graph&amp;tracks=[key:gene_model_track,Options:GeneOnly]&amp;mk=1355769:1355788|offset_1|00cc00,1355806:1355825|offset_38|444444,1355838:1355857|offset_70|444444,1355890:1355909|offset_122|444444&amp;v=1355568:1356109&amp;c=444444", "offset 1")</f>
        <v>offset 1</v>
      </c>
    </row>
    <row r="4267" customFormat="false" ht="12.8" hidden="false" customHeight="false" outlineLevel="0" collapsed="false">
      <c r="A4267" s="0" t="s">
        <v>12</v>
      </c>
      <c r="B4267" s="0" t="n">
        <v>1355805</v>
      </c>
      <c r="C4267" s="0" t="n">
        <v>1355825</v>
      </c>
      <c r="D4267" s="0" t="s">
        <v>14217</v>
      </c>
      <c r="E4267" s="0" t="s">
        <v>75</v>
      </c>
      <c r="F4267" s="0" t="s">
        <v>15</v>
      </c>
      <c r="G4267" s="0" t="s">
        <v>16</v>
      </c>
      <c r="H4267" s="0" t="n">
        <v>38</v>
      </c>
      <c r="I4267" s="0" t="s">
        <v>14221</v>
      </c>
      <c r="J4267" s="0" t="s">
        <v>14222</v>
      </c>
      <c r="K4267" s="0" t="s">
        <v>14223</v>
      </c>
      <c r="L4267" s="0" t="str">
        <f aca="false">HYPERLINK("https://www.ncbi.nlm.nih.gov/nuccore/CP000058.1?report=graph&amp;tracks=[key:gene_model_track,Options:GeneOnly]&amp;mk=1355769:1355788|offset_1|444444,1355806:1355825|offset_38|00cc00,1355838:1355857|offset_70|444444,1355890:1355909|offset_122|444444&amp;v=1355568:1356109&amp;c=444444", "offset 38")</f>
        <v>offset 38</v>
      </c>
    </row>
    <row r="4268" customFormat="false" ht="12.8" hidden="false" customHeight="false" outlineLevel="0" collapsed="false">
      <c r="A4268" s="0" t="s">
        <v>12</v>
      </c>
      <c r="B4268" s="0" t="n">
        <v>1355837</v>
      </c>
      <c r="C4268" s="0" t="n">
        <v>1355857</v>
      </c>
      <c r="D4268" s="0" t="s">
        <v>14217</v>
      </c>
      <c r="E4268" s="0" t="s">
        <v>75</v>
      </c>
      <c r="F4268" s="0" t="s">
        <v>15</v>
      </c>
      <c r="G4268" s="0" t="s">
        <v>16</v>
      </c>
      <c r="H4268" s="0" t="n">
        <v>70</v>
      </c>
      <c r="I4268" s="0" t="s">
        <v>14224</v>
      </c>
      <c r="J4268" s="0" t="s">
        <v>14225</v>
      </c>
      <c r="K4268" s="0" t="s">
        <v>14226</v>
      </c>
      <c r="L4268" s="0" t="str">
        <f aca="false">HYPERLINK("https://www.ncbi.nlm.nih.gov/nuccore/CP000058.1?report=graph&amp;tracks=[key:gene_model_track,Options:GeneOnly]&amp;mk=1355769:1355788|offset_1|444444,1355806:1355825|offset_38|444444,1355838:1355857|offset_70|00cc00,1355890:1355909|offset_122|444444&amp;v=1355568:1356109&amp;c=444444", "offset 70")</f>
        <v>offset 70</v>
      </c>
    </row>
    <row r="4269" customFormat="false" ht="12.8" hidden="false" customHeight="false" outlineLevel="0" collapsed="false">
      <c r="A4269" s="0" t="s">
        <v>12</v>
      </c>
      <c r="B4269" s="0" t="n">
        <v>1355889</v>
      </c>
      <c r="C4269" s="0" t="n">
        <v>1355909</v>
      </c>
      <c r="D4269" s="0" t="s">
        <v>14217</v>
      </c>
      <c r="E4269" s="0" t="s">
        <v>75</v>
      </c>
      <c r="F4269" s="0" t="s">
        <v>15</v>
      </c>
      <c r="G4269" s="0" t="s">
        <v>16</v>
      </c>
      <c r="H4269" s="0" t="n">
        <v>122</v>
      </c>
      <c r="I4269" s="0" t="s">
        <v>14227</v>
      </c>
      <c r="J4269" s="0" t="s">
        <v>14228</v>
      </c>
      <c r="K4269" s="0" t="s">
        <v>14229</v>
      </c>
      <c r="L4269" s="0" t="str">
        <f aca="false">HYPERLINK("https://www.ncbi.nlm.nih.gov/nuccore/CP000058.1?report=graph&amp;tracks=[key:gene_model_track,Options:GeneOnly]&amp;mk=1355769:1355788|offset_1|444444,1355806:1355825|offset_38|444444,1355838:1355857|offset_70|444444,1355890:1355909|offset_122|00cc00&amp;v=1355568:1356109&amp;c=444444", "offset 122")</f>
        <v>offset 122</v>
      </c>
    </row>
    <row r="4270" customFormat="false" ht="12.8" hidden="false" customHeight="false" outlineLevel="0" collapsed="false">
      <c r="A4270" s="0" t="s">
        <v>12</v>
      </c>
      <c r="B4270" s="0" t="n">
        <v>1357275</v>
      </c>
      <c r="C4270" s="0" t="n">
        <v>1357295</v>
      </c>
      <c r="D4270" s="0" t="s">
        <v>14230</v>
      </c>
      <c r="E4270" s="0" t="s">
        <v>75</v>
      </c>
      <c r="F4270" s="0" t="s">
        <v>90</v>
      </c>
      <c r="G4270" s="0" t="s">
        <v>16</v>
      </c>
      <c r="H4270" s="0" t="n">
        <v>28</v>
      </c>
      <c r="I4270" s="0" t="s">
        <v>14231</v>
      </c>
      <c r="J4270" s="0" t="s">
        <v>14232</v>
      </c>
      <c r="K4270" s="0" t="s">
        <v>14233</v>
      </c>
      <c r="L4270" s="0" t="str">
        <f aca="false">HYPERLINK("https://www.ncbi.nlm.nih.gov/nuccore/CP000058.1?report=graph&amp;tracks=[key:gene_model_track,Options:GeneOnly]&amp;mk=1357276:1357295|offset_28|00cc00,1357245:1357264|offset_59|444444,1357222:1357241|offset_82|444444,1357197:1357216|offset_107|444444&amp;v=1357075:1357416&amp;c=444444", "offset 28")</f>
        <v>offset 28</v>
      </c>
    </row>
    <row r="4271" customFormat="false" ht="12.8" hidden="false" customHeight="false" outlineLevel="0" collapsed="false">
      <c r="A4271" s="0" t="s">
        <v>12</v>
      </c>
      <c r="B4271" s="0" t="n">
        <v>1357244</v>
      </c>
      <c r="C4271" s="0" t="n">
        <v>1357264</v>
      </c>
      <c r="D4271" s="0" t="s">
        <v>14230</v>
      </c>
      <c r="E4271" s="0" t="s">
        <v>75</v>
      </c>
      <c r="F4271" s="0" t="s">
        <v>90</v>
      </c>
      <c r="G4271" s="0" t="s">
        <v>16</v>
      </c>
      <c r="H4271" s="0" t="n">
        <v>59</v>
      </c>
      <c r="I4271" s="0" t="s">
        <v>14234</v>
      </c>
      <c r="J4271" s="0" t="s">
        <v>14235</v>
      </c>
      <c r="K4271" s="0" t="s">
        <v>14236</v>
      </c>
      <c r="L4271" s="0" t="str">
        <f aca="false">HYPERLINK("https://www.ncbi.nlm.nih.gov/nuccore/CP000058.1?report=graph&amp;tracks=[key:gene_model_track,Options:GeneOnly]&amp;mk=1357276:1357295|offset_28|444444,1357245:1357264|offset_59|00cc00,1357222:1357241|offset_82|444444,1357197:1357216|offset_107|444444&amp;v=1357075:1357416&amp;c=444444", "offset 59")</f>
        <v>offset 59</v>
      </c>
    </row>
    <row r="4272" customFormat="false" ht="12.8" hidden="false" customHeight="false" outlineLevel="0" collapsed="false">
      <c r="A4272" s="0" t="s">
        <v>12</v>
      </c>
      <c r="B4272" s="0" t="n">
        <v>1357221</v>
      </c>
      <c r="C4272" s="0" t="n">
        <v>1357241</v>
      </c>
      <c r="D4272" s="0" t="s">
        <v>14230</v>
      </c>
      <c r="E4272" s="0" t="s">
        <v>75</v>
      </c>
      <c r="F4272" s="0" t="s">
        <v>90</v>
      </c>
      <c r="G4272" s="0" t="s">
        <v>16</v>
      </c>
      <c r="H4272" s="0" t="n">
        <v>82</v>
      </c>
      <c r="I4272" s="0" t="s">
        <v>14237</v>
      </c>
      <c r="J4272" s="0" t="s">
        <v>14238</v>
      </c>
      <c r="K4272" s="0" t="s">
        <v>14239</v>
      </c>
      <c r="L4272" s="0" t="str">
        <f aca="false">HYPERLINK("https://www.ncbi.nlm.nih.gov/nuccore/CP000058.1?report=graph&amp;tracks=[key:gene_model_track,Options:GeneOnly]&amp;mk=1357276:1357295|offset_28|444444,1357245:1357264|offset_59|444444,1357222:1357241|offset_82|00cc00,1357197:1357216|offset_107|444444&amp;v=1357075:1357416&amp;c=444444", "offset 82")</f>
        <v>offset 82</v>
      </c>
    </row>
    <row r="4273" customFormat="false" ht="12.8" hidden="false" customHeight="false" outlineLevel="0" collapsed="false">
      <c r="A4273" s="0" t="s">
        <v>12</v>
      </c>
      <c r="B4273" s="0" t="n">
        <v>1357196</v>
      </c>
      <c r="C4273" s="0" t="n">
        <v>1357216</v>
      </c>
      <c r="D4273" s="0" t="s">
        <v>14230</v>
      </c>
      <c r="E4273" s="0" t="s">
        <v>75</v>
      </c>
      <c r="F4273" s="0" t="s">
        <v>90</v>
      </c>
      <c r="G4273" s="0" t="s">
        <v>36</v>
      </c>
      <c r="H4273" s="0" t="n">
        <v>107</v>
      </c>
      <c r="I4273" s="0" t="s">
        <v>14240</v>
      </c>
      <c r="J4273" s="0" t="s">
        <v>14241</v>
      </c>
      <c r="K4273" s="0" t="s">
        <v>14242</v>
      </c>
      <c r="L4273" s="0" t="str">
        <f aca="false">HYPERLINK("https://www.ncbi.nlm.nih.gov/nuccore/CP000058.1?report=graph&amp;tracks=[key:gene_model_track,Options:GeneOnly]&amp;mk=1357276:1357295|offset_28|444444,1357245:1357264|offset_59|444444,1357222:1357241|offset_82|444444,1357197:1357216|offset_107|00cc00&amp;v=1357075:1357416&amp;c=444444", "offset 107")</f>
        <v>offset 107</v>
      </c>
    </row>
    <row r="4274" customFormat="false" ht="12.8" hidden="false" customHeight="false" outlineLevel="0" collapsed="false">
      <c r="A4274" s="0" t="s">
        <v>12</v>
      </c>
      <c r="B4274" s="0" t="n">
        <v>1357732</v>
      </c>
      <c r="C4274" s="0" t="n">
        <v>1357752</v>
      </c>
      <c r="D4274" s="0" t="s">
        <v>14243</v>
      </c>
      <c r="E4274" s="0" t="s">
        <v>14244</v>
      </c>
      <c r="F4274" s="0" t="s">
        <v>90</v>
      </c>
      <c r="G4274" s="0" t="s">
        <v>36</v>
      </c>
      <c r="H4274" s="0" t="n">
        <v>7</v>
      </c>
      <c r="I4274" s="0" t="s">
        <v>14245</v>
      </c>
      <c r="J4274" s="0" t="s">
        <v>14246</v>
      </c>
      <c r="K4274" s="0" t="s">
        <v>14247</v>
      </c>
      <c r="L4274" s="0" t="str">
        <f aca="false">HYPERLINK("https://www.ncbi.nlm.nih.gov/nuccore/CP000058.1?report=graph&amp;tracks=[key:gene_model_track,Options:GeneOnly]&amp;mk=1357733:1357752|offset_7|00cc00,1357710:1357729|offset_30|444444,1357687:1357706|offset_53|444444,1357655:1357674|offset_85|444444&amp;v=1357532:1357874&amp;c=444444", "offset 7")</f>
        <v>offset 7</v>
      </c>
    </row>
    <row r="4275" customFormat="false" ht="12.8" hidden="false" customHeight="false" outlineLevel="0" collapsed="false">
      <c r="A4275" s="0" t="s">
        <v>12</v>
      </c>
      <c r="B4275" s="0" t="n">
        <v>1357709</v>
      </c>
      <c r="C4275" s="0" t="n">
        <v>1357729</v>
      </c>
      <c r="D4275" s="0" t="s">
        <v>14243</v>
      </c>
      <c r="E4275" s="0" t="s">
        <v>14244</v>
      </c>
      <c r="F4275" s="0" t="s">
        <v>90</v>
      </c>
      <c r="G4275" s="0" t="s">
        <v>36</v>
      </c>
      <c r="H4275" s="0" t="n">
        <v>30</v>
      </c>
      <c r="I4275" s="0" t="s">
        <v>14248</v>
      </c>
      <c r="J4275" s="0" t="s">
        <v>14249</v>
      </c>
      <c r="K4275" s="0" t="s">
        <v>14250</v>
      </c>
      <c r="L4275" s="0" t="str">
        <f aca="false">HYPERLINK("https://www.ncbi.nlm.nih.gov/nuccore/CP000058.1?report=graph&amp;tracks=[key:gene_model_track,Options:GeneOnly]&amp;mk=1357733:1357752|offset_7|444444,1357710:1357729|offset_30|00cc00,1357687:1357706|offset_53|444444,1357655:1357674|offset_85|444444&amp;v=1357532:1357874&amp;c=444444", "offset 30")</f>
        <v>offset 30</v>
      </c>
    </row>
    <row r="4276" customFormat="false" ht="12.8" hidden="false" customHeight="false" outlineLevel="0" collapsed="false">
      <c r="A4276" s="0" t="s">
        <v>12</v>
      </c>
      <c r="B4276" s="0" t="n">
        <v>1357686</v>
      </c>
      <c r="C4276" s="0" t="n">
        <v>1357706</v>
      </c>
      <c r="D4276" s="0" t="s">
        <v>14243</v>
      </c>
      <c r="E4276" s="0" t="s">
        <v>14244</v>
      </c>
      <c r="F4276" s="0" t="s">
        <v>90</v>
      </c>
      <c r="G4276" s="0" t="s">
        <v>20</v>
      </c>
      <c r="H4276" s="0" t="n">
        <v>53</v>
      </c>
      <c r="I4276" s="0" t="s">
        <v>14251</v>
      </c>
      <c r="J4276" s="0" t="s">
        <v>14252</v>
      </c>
      <c r="K4276" s="0" t="s">
        <v>14253</v>
      </c>
      <c r="L4276" s="0" t="str">
        <f aca="false">HYPERLINK("https://www.ncbi.nlm.nih.gov/nuccore/CP000058.1?report=graph&amp;tracks=[key:gene_model_track,Options:GeneOnly]&amp;mk=1357733:1357752|offset_7|444444,1357710:1357729|offset_30|444444,1357687:1357706|offset_53|00cc00,1357655:1357674|offset_85|444444&amp;v=1357532:1357874&amp;c=444444", "offset 53")</f>
        <v>offset 53</v>
      </c>
    </row>
    <row r="4277" customFormat="false" ht="12.8" hidden="false" customHeight="false" outlineLevel="0" collapsed="false">
      <c r="A4277" s="0" t="s">
        <v>12</v>
      </c>
      <c r="B4277" s="0" t="n">
        <v>1357654</v>
      </c>
      <c r="C4277" s="0" t="n">
        <v>1357674</v>
      </c>
      <c r="D4277" s="0" t="s">
        <v>14243</v>
      </c>
      <c r="E4277" s="0" t="s">
        <v>14244</v>
      </c>
      <c r="F4277" s="0" t="s">
        <v>90</v>
      </c>
      <c r="G4277" s="0" t="s">
        <v>20</v>
      </c>
      <c r="H4277" s="0" t="n">
        <v>85</v>
      </c>
      <c r="I4277" s="0" t="s">
        <v>14254</v>
      </c>
      <c r="J4277" s="0" t="s">
        <v>14255</v>
      </c>
      <c r="K4277" s="0" t="s">
        <v>14256</v>
      </c>
      <c r="L4277" s="0" t="str">
        <f aca="false">HYPERLINK("https://www.ncbi.nlm.nih.gov/nuccore/CP000058.1?report=graph&amp;tracks=[key:gene_model_track,Options:GeneOnly]&amp;mk=1357733:1357752|offset_7|444444,1357710:1357729|offset_30|444444,1357687:1357706|offset_53|444444,1357655:1357674|offset_85|00cc00&amp;v=1357532:1357874&amp;c=444444", "offset 85")</f>
        <v>offset 85</v>
      </c>
    </row>
    <row r="4278" customFormat="false" ht="12.8" hidden="false" customHeight="false" outlineLevel="0" collapsed="false">
      <c r="A4278" s="0" t="s">
        <v>12</v>
      </c>
      <c r="B4278" s="0" t="n">
        <v>1359370</v>
      </c>
      <c r="C4278" s="0" t="n">
        <v>1359390</v>
      </c>
      <c r="D4278" s="0" t="s">
        <v>14257</v>
      </c>
      <c r="E4278" s="0" t="s">
        <v>14258</v>
      </c>
      <c r="F4278" s="0" t="s">
        <v>90</v>
      </c>
      <c r="G4278" s="0" t="s">
        <v>16</v>
      </c>
      <c r="H4278" s="0" t="n">
        <v>31</v>
      </c>
      <c r="I4278" s="0" t="s">
        <v>14259</v>
      </c>
      <c r="J4278" s="0" t="s">
        <v>14260</v>
      </c>
      <c r="K4278" s="0" t="s">
        <v>14261</v>
      </c>
      <c r="L4278" s="0" t="str">
        <f aca="false">HYPERLINK("https://www.ncbi.nlm.nih.gov/nuccore/CP000058.1?report=graph&amp;tracks=[key:gene_model_track,Options:GeneOnly]&amp;mk=1359371:1359390|offset_31|00cc00,1359341:1359360|offset_61|444444,1359291:1359310|offset_111|444444,1359259:1359278|offset_143|444444&amp;v=1359170:1359478&amp;c=444444", "offset 31")</f>
        <v>offset 31</v>
      </c>
    </row>
    <row r="4279" customFormat="false" ht="12.8" hidden="false" customHeight="false" outlineLevel="0" collapsed="false">
      <c r="A4279" s="0" t="s">
        <v>12</v>
      </c>
      <c r="B4279" s="0" t="n">
        <v>1359340</v>
      </c>
      <c r="C4279" s="0" t="n">
        <v>1359360</v>
      </c>
      <c r="D4279" s="0" t="s">
        <v>14257</v>
      </c>
      <c r="E4279" s="0" t="s">
        <v>14258</v>
      </c>
      <c r="F4279" s="0" t="s">
        <v>90</v>
      </c>
      <c r="G4279" s="0" t="s">
        <v>32</v>
      </c>
      <c r="H4279" s="0" t="n">
        <v>61</v>
      </c>
      <c r="I4279" s="0" t="s">
        <v>14262</v>
      </c>
      <c r="J4279" s="0" t="s">
        <v>14263</v>
      </c>
      <c r="K4279" s="0" t="s">
        <v>14264</v>
      </c>
      <c r="L4279" s="0" t="str">
        <f aca="false">HYPERLINK("https://www.ncbi.nlm.nih.gov/nuccore/CP000058.1?report=graph&amp;tracks=[key:gene_model_track,Options:GeneOnly]&amp;mk=1359371:1359390|offset_31|444444,1359341:1359360|offset_61|00cc00,1359291:1359310|offset_111|444444,1359259:1359278|offset_143|444444&amp;v=1359170:1359478&amp;c=444444", "offset 61")</f>
        <v>offset 61</v>
      </c>
    </row>
    <row r="4280" customFormat="false" ht="12.8" hidden="false" customHeight="false" outlineLevel="0" collapsed="false">
      <c r="A4280" s="0" t="s">
        <v>12</v>
      </c>
      <c r="B4280" s="0" t="n">
        <v>1359290</v>
      </c>
      <c r="C4280" s="0" t="n">
        <v>1359310</v>
      </c>
      <c r="D4280" s="0" t="s">
        <v>14257</v>
      </c>
      <c r="E4280" s="0" t="s">
        <v>14258</v>
      </c>
      <c r="F4280" s="0" t="s">
        <v>90</v>
      </c>
      <c r="G4280" s="0" t="s">
        <v>36</v>
      </c>
      <c r="H4280" s="0" t="n">
        <v>111</v>
      </c>
      <c r="I4280" s="0" t="s">
        <v>14265</v>
      </c>
      <c r="J4280" s="0" t="s">
        <v>14266</v>
      </c>
      <c r="K4280" s="0" t="s">
        <v>14267</v>
      </c>
      <c r="L4280" s="0" t="str">
        <f aca="false">HYPERLINK("https://www.ncbi.nlm.nih.gov/nuccore/CP000058.1?report=graph&amp;tracks=[key:gene_model_track,Options:GeneOnly]&amp;mk=1359371:1359390|offset_31|444444,1359341:1359360|offset_61|444444,1359291:1359310|offset_111|00cc00,1359259:1359278|offset_143|444444&amp;v=1359170:1359478&amp;c=444444", "offset 111")</f>
        <v>offset 111</v>
      </c>
    </row>
    <row r="4281" customFormat="false" ht="12.8" hidden="false" customHeight="false" outlineLevel="0" collapsed="false">
      <c r="A4281" s="0" t="s">
        <v>12</v>
      </c>
      <c r="B4281" s="0" t="n">
        <v>1359258</v>
      </c>
      <c r="C4281" s="0" t="n">
        <v>1359278</v>
      </c>
      <c r="D4281" s="0" t="s">
        <v>14257</v>
      </c>
      <c r="E4281" s="0" t="s">
        <v>14258</v>
      </c>
      <c r="F4281" s="0" t="s">
        <v>90</v>
      </c>
      <c r="G4281" s="0" t="s">
        <v>36</v>
      </c>
      <c r="H4281" s="0" t="n">
        <v>143</v>
      </c>
      <c r="I4281" s="0" t="s">
        <v>14268</v>
      </c>
      <c r="J4281" s="0" t="s">
        <v>14269</v>
      </c>
      <c r="K4281" s="0" t="s">
        <v>14270</v>
      </c>
      <c r="L4281" s="0" t="str">
        <f aca="false">HYPERLINK("https://www.ncbi.nlm.nih.gov/nuccore/CP000058.1?report=graph&amp;tracks=[key:gene_model_track,Options:GeneOnly]&amp;mk=1359371:1359390|offset_31|444444,1359341:1359360|offset_61|444444,1359291:1359310|offset_111|444444,1359259:1359278|offset_143|00cc00&amp;v=1359170:1359478&amp;c=444444", "offset 143")</f>
        <v>offset 143</v>
      </c>
    </row>
    <row r="4282" customFormat="false" ht="12.8" hidden="false" customHeight="false" outlineLevel="0" collapsed="false">
      <c r="A4282" s="0" t="s">
        <v>12</v>
      </c>
      <c r="B4282" s="0" t="n">
        <v>1359640</v>
      </c>
      <c r="C4282" s="0" t="n">
        <v>1359660</v>
      </c>
      <c r="D4282" s="0" t="s">
        <v>14271</v>
      </c>
      <c r="E4282" s="0" t="s">
        <v>75</v>
      </c>
      <c r="F4282" s="0" t="s">
        <v>15</v>
      </c>
      <c r="G4282" s="0" t="s">
        <v>16</v>
      </c>
      <c r="H4282" s="0" t="n">
        <v>14</v>
      </c>
      <c r="I4282" s="0" t="s">
        <v>14272</v>
      </c>
      <c r="J4282" s="0" t="s">
        <v>14273</v>
      </c>
      <c r="K4282" s="0" t="s">
        <v>14274</v>
      </c>
      <c r="L4282" s="0" t="str">
        <f aca="false">HYPERLINK("https://www.ncbi.nlm.nih.gov/nuccore/CP000058.1?report=graph&amp;tracks=[key:gene_model_track,Options:GeneOnly]&amp;mk=1359641:1359660|offset_14|00cc00,1359731:1359750|offset_104|444444,1359762:1359781|offset_135|444444,1359791:1359810|offset_164|444444&amp;v=1359440:1360010&amp;c=444444", "offset 14")</f>
        <v>offset 14</v>
      </c>
    </row>
    <row r="4283" customFormat="false" ht="12.8" hidden="false" customHeight="false" outlineLevel="0" collapsed="false">
      <c r="A4283" s="0" t="s">
        <v>12</v>
      </c>
      <c r="B4283" s="0" t="n">
        <v>1359730</v>
      </c>
      <c r="C4283" s="0" t="n">
        <v>1359750</v>
      </c>
      <c r="D4283" s="0" t="s">
        <v>14271</v>
      </c>
      <c r="E4283" s="0" t="s">
        <v>75</v>
      </c>
      <c r="F4283" s="0" t="s">
        <v>15</v>
      </c>
      <c r="G4283" s="0" t="s">
        <v>20</v>
      </c>
      <c r="H4283" s="0" t="n">
        <v>104</v>
      </c>
      <c r="I4283" s="0" t="s">
        <v>14275</v>
      </c>
      <c r="J4283" s="0" t="s">
        <v>14276</v>
      </c>
      <c r="K4283" s="0" t="s">
        <v>14277</v>
      </c>
      <c r="L4283" s="0" t="str">
        <f aca="false">HYPERLINK("https://www.ncbi.nlm.nih.gov/nuccore/CP000058.1?report=graph&amp;tracks=[key:gene_model_track,Options:GeneOnly]&amp;mk=1359641:1359660|offset_14|444444,1359731:1359750|offset_104|00cc00,1359762:1359781|offset_135|444444,1359791:1359810|offset_164|444444&amp;v=1359440:1360010&amp;c=444444", "offset 104")</f>
        <v>offset 104</v>
      </c>
    </row>
    <row r="4284" customFormat="false" ht="12.8" hidden="false" customHeight="false" outlineLevel="0" collapsed="false">
      <c r="A4284" s="0" t="s">
        <v>12</v>
      </c>
      <c r="B4284" s="0" t="n">
        <v>1359761</v>
      </c>
      <c r="C4284" s="0" t="n">
        <v>1359781</v>
      </c>
      <c r="D4284" s="0" t="s">
        <v>14271</v>
      </c>
      <c r="E4284" s="0" t="s">
        <v>75</v>
      </c>
      <c r="F4284" s="0" t="s">
        <v>15</v>
      </c>
      <c r="G4284" s="0" t="s">
        <v>16</v>
      </c>
      <c r="H4284" s="0" t="n">
        <v>135</v>
      </c>
      <c r="I4284" s="0" t="s">
        <v>14278</v>
      </c>
      <c r="J4284" s="0" t="s">
        <v>14279</v>
      </c>
      <c r="K4284" s="0" t="s">
        <v>14280</v>
      </c>
      <c r="L4284" s="0" t="str">
        <f aca="false">HYPERLINK("https://www.ncbi.nlm.nih.gov/nuccore/CP000058.1?report=graph&amp;tracks=[key:gene_model_track,Options:GeneOnly]&amp;mk=1359641:1359660|offset_14|444444,1359731:1359750|offset_104|444444,1359762:1359781|offset_135|00cc00,1359791:1359810|offset_164|444444&amp;v=1359440:1360010&amp;c=444444", "offset 135")</f>
        <v>offset 135</v>
      </c>
    </row>
    <row r="4285" customFormat="false" ht="12.8" hidden="false" customHeight="false" outlineLevel="0" collapsed="false">
      <c r="A4285" s="0" t="s">
        <v>12</v>
      </c>
      <c r="B4285" s="0" t="n">
        <v>1359790</v>
      </c>
      <c r="C4285" s="0" t="n">
        <v>1359810</v>
      </c>
      <c r="D4285" s="0" t="s">
        <v>14271</v>
      </c>
      <c r="E4285" s="0" t="s">
        <v>75</v>
      </c>
      <c r="F4285" s="0" t="s">
        <v>15</v>
      </c>
      <c r="G4285" s="0" t="s">
        <v>16</v>
      </c>
      <c r="H4285" s="0" t="n">
        <v>164</v>
      </c>
      <c r="I4285" s="0" t="s">
        <v>14281</v>
      </c>
      <c r="J4285" s="0" t="s">
        <v>14282</v>
      </c>
      <c r="K4285" s="0" t="s">
        <v>14283</v>
      </c>
      <c r="L4285" s="0" t="str">
        <f aca="false">HYPERLINK("https://www.ncbi.nlm.nih.gov/nuccore/CP000058.1?report=graph&amp;tracks=[key:gene_model_track,Options:GeneOnly]&amp;mk=1359641:1359660|offset_14|444444,1359731:1359750|offset_104|444444,1359762:1359781|offset_135|444444,1359791:1359810|offset_164|00cc00&amp;v=1359440:1360010&amp;c=444444", "offset 164")</f>
        <v>offset 164</v>
      </c>
    </row>
    <row r="4286" customFormat="false" ht="12.8" hidden="false" customHeight="false" outlineLevel="0" collapsed="false">
      <c r="A4286" s="0" t="s">
        <v>12</v>
      </c>
      <c r="B4286" s="0" t="n">
        <v>1360867</v>
      </c>
      <c r="C4286" s="0" t="n">
        <v>1360887</v>
      </c>
      <c r="D4286" s="0" t="s">
        <v>14284</v>
      </c>
      <c r="E4286" s="0" t="s">
        <v>75</v>
      </c>
      <c r="F4286" s="0" t="s">
        <v>15</v>
      </c>
      <c r="G4286" s="0" t="s">
        <v>20</v>
      </c>
      <c r="H4286" s="0" t="n">
        <v>127</v>
      </c>
      <c r="I4286" s="0" t="s">
        <v>14285</v>
      </c>
      <c r="J4286" s="0" t="s">
        <v>14286</v>
      </c>
      <c r="K4286" s="0" t="s">
        <v>14287</v>
      </c>
      <c r="L4286" s="0" t="str">
        <f aca="false">HYPERLINK("https://www.ncbi.nlm.nih.gov/nuccore/CP000058.1?report=graph&amp;tracks=[key:gene_model_track,Options:GeneOnly]&amp;mk=1360868:1360887|offset_127|00cc00,1360907:1360926|offset_166|444444,1360931:1360950|offset_190|444444,1360959:1360978|offset_218|444444&amp;v=1360667:1361178&amp;c=444444", "offset 127")</f>
        <v>offset 127</v>
      </c>
    </row>
    <row r="4287" customFormat="false" ht="12.8" hidden="false" customHeight="false" outlineLevel="0" collapsed="false">
      <c r="A4287" s="0" t="s">
        <v>12</v>
      </c>
      <c r="B4287" s="0" t="n">
        <v>1360906</v>
      </c>
      <c r="C4287" s="0" t="n">
        <v>1360926</v>
      </c>
      <c r="D4287" s="0" t="s">
        <v>14284</v>
      </c>
      <c r="E4287" s="0" t="s">
        <v>75</v>
      </c>
      <c r="F4287" s="0" t="s">
        <v>15</v>
      </c>
      <c r="G4287" s="0" t="s">
        <v>16</v>
      </c>
      <c r="H4287" s="0" t="n">
        <v>166</v>
      </c>
      <c r="I4287" s="0" t="s">
        <v>14288</v>
      </c>
      <c r="J4287" s="0" t="s">
        <v>14289</v>
      </c>
      <c r="K4287" s="0" t="s">
        <v>14290</v>
      </c>
      <c r="L4287" s="0" t="str">
        <f aca="false">HYPERLINK("https://www.ncbi.nlm.nih.gov/nuccore/CP000058.1?report=graph&amp;tracks=[key:gene_model_track,Options:GeneOnly]&amp;mk=1360868:1360887|offset_127|444444,1360907:1360926|offset_166|00cc00,1360931:1360950|offset_190|444444,1360959:1360978|offset_218|444444&amp;v=1360667:1361178&amp;c=444444", "offset 166")</f>
        <v>offset 166</v>
      </c>
    </row>
    <row r="4288" customFormat="false" ht="12.8" hidden="false" customHeight="false" outlineLevel="0" collapsed="false">
      <c r="A4288" s="0" t="s">
        <v>12</v>
      </c>
      <c r="B4288" s="0" t="n">
        <v>1360930</v>
      </c>
      <c r="C4288" s="0" t="n">
        <v>1360950</v>
      </c>
      <c r="D4288" s="0" t="s">
        <v>14284</v>
      </c>
      <c r="E4288" s="0" t="s">
        <v>75</v>
      </c>
      <c r="F4288" s="0" t="s">
        <v>15</v>
      </c>
      <c r="G4288" s="0" t="s">
        <v>36</v>
      </c>
      <c r="H4288" s="0" t="n">
        <v>190</v>
      </c>
      <c r="I4288" s="0" t="s">
        <v>14291</v>
      </c>
      <c r="J4288" s="0" t="s">
        <v>14292</v>
      </c>
      <c r="K4288" s="0" t="s">
        <v>14293</v>
      </c>
      <c r="L4288" s="0" t="str">
        <f aca="false">HYPERLINK("https://www.ncbi.nlm.nih.gov/nuccore/CP000058.1?report=graph&amp;tracks=[key:gene_model_track,Options:GeneOnly]&amp;mk=1360868:1360887|offset_127|444444,1360907:1360926|offset_166|444444,1360931:1360950|offset_190|00cc00,1360959:1360978|offset_218|444444&amp;v=1360667:1361178&amp;c=444444", "offset 190")</f>
        <v>offset 190</v>
      </c>
    </row>
    <row r="4289" customFormat="false" ht="12.8" hidden="false" customHeight="false" outlineLevel="0" collapsed="false">
      <c r="A4289" s="0" t="s">
        <v>12</v>
      </c>
      <c r="B4289" s="0" t="n">
        <v>1360958</v>
      </c>
      <c r="C4289" s="0" t="n">
        <v>1360978</v>
      </c>
      <c r="D4289" s="0" t="s">
        <v>14284</v>
      </c>
      <c r="E4289" s="0" t="s">
        <v>75</v>
      </c>
      <c r="F4289" s="0" t="s">
        <v>15</v>
      </c>
      <c r="G4289" s="0" t="s">
        <v>20</v>
      </c>
      <c r="H4289" s="0" t="n">
        <v>218</v>
      </c>
      <c r="I4289" s="0" t="s">
        <v>14294</v>
      </c>
      <c r="J4289" s="0" t="s">
        <v>14295</v>
      </c>
      <c r="K4289" s="0" t="s">
        <v>14296</v>
      </c>
      <c r="L4289" s="0" t="str">
        <f aca="false">HYPERLINK("https://www.ncbi.nlm.nih.gov/nuccore/CP000058.1?report=graph&amp;tracks=[key:gene_model_track,Options:GeneOnly]&amp;mk=1360868:1360887|offset_127|444444,1360907:1360926|offset_166|444444,1360931:1360950|offset_190|444444,1360959:1360978|offset_218|00cc00&amp;v=1360667:1361178&amp;c=444444", "offset 218")</f>
        <v>offset 218</v>
      </c>
    </row>
    <row r="4290" customFormat="false" ht="12.8" hidden="false" customHeight="false" outlineLevel="0" collapsed="false">
      <c r="A4290" s="0" t="s">
        <v>12</v>
      </c>
      <c r="B4290" s="0" t="n">
        <v>1362070</v>
      </c>
      <c r="C4290" s="0" t="n">
        <v>1362090</v>
      </c>
      <c r="D4290" s="0" t="s">
        <v>14297</v>
      </c>
      <c r="E4290" s="0" t="s">
        <v>75</v>
      </c>
      <c r="F4290" s="0" t="s">
        <v>90</v>
      </c>
      <c r="G4290" s="0" t="s">
        <v>20</v>
      </c>
      <c r="H4290" s="0" t="n">
        <v>69</v>
      </c>
      <c r="I4290" s="0" t="s">
        <v>14298</v>
      </c>
      <c r="J4290" s="0" t="s">
        <v>14299</v>
      </c>
      <c r="K4290" s="0" t="s">
        <v>14300</v>
      </c>
      <c r="L4290" s="0" t="str">
        <f aca="false">HYPERLINK("https://www.ncbi.nlm.nih.gov/nuccore/CP000058.1?report=graph&amp;tracks=[key:gene_model_track,Options:GeneOnly]&amp;mk=1362071:1362090|offset_69|00cc00,1362039:1362058|offset_101|444444,1361997:1362016|offset_143|444444,1361977:1361996|offset_163|444444&amp;v=1361870:1362196&amp;c=444444", "offset 69")</f>
        <v>offset 69</v>
      </c>
    </row>
    <row r="4291" customFormat="false" ht="12.8" hidden="false" customHeight="false" outlineLevel="0" collapsed="false">
      <c r="A4291" s="0" t="s">
        <v>12</v>
      </c>
      <c r="B4291" s="0" t="n">
        <v>1362038</v>
      </c>
      <c r="C4291" s="0" t="n">
        <v>1362058</v>
      </c>
      <c r="D4291" s="0" t="s">
        <v>14297</v>
      </c>
      <c r="E4291" s="0" t="s">
        <v>75</v>
      </c>
      <c r="F4291" s="0" t="s">
        <v>90</v>
      </c>
      <c r="G4291" s="0" t="s">
        <v>16</v>
      </c>
      <c r="H4291" s="0" t="n">
        <v>101</v>
      </c>
      <c r="I4291" s="0" t="s">
        <v>14301</v>
      </c>
      <c r="J4291" s="0" t="s">
        <v>14302</v>
      </c>
      <c r="K4291" s="0" t="s">
        <v>14303</v>
      </c>
      <c r="L4291" s="0" t="str">
        <f aca="false">HYPERLINK("https://www.ncbi.nlm.nih.gov/nuccore/CP000058.1?report=graph&amp;tracks=[key:gene_model_track,Options:GeneOnly]&amp;mk=1362071:1362090|offset_69|444444,1362039:1362058|offset_101|00cc00,1361997:1362016|offset_143|444444,1361977:1361996|offset_163|444444&amp;v=1361870:1362196&amp;c=444444", "offset 101")</f>
        <v>offset 101</v>
      </c>
    </row>
    <row r="4292" customFormat="false" ht="12.8" hidden="false" customHeight="false" outlineLevel="0" collapsed="false">
      <c r="A4292" s="0" t="s">
        <v>12</v>
      </c>
      <c r="B4292" s="0" t="n">
        <v>1361996</v>
      </c>
      <c r="C4292" s="0" t="n">
        <v>1362016</v>
      </c>
      <c r="D4292" s="0" t="s">
        <v>14297</v>
      </c>
      <c r="E4292" s="0" t="s">
        <v>75</v>
      </c>
      <c r="F4292" s="0" t="s">
        <v>90</v>
      </c>
      <c r="G4292" s="0" t="s">
        <v>32</v>
      </c>
      <c r="H4292" s="0" t="n">
        <v>143</v>
      </c>
      <c r="I4292" s="0" t="s">
        <v>14304</v>
      </c>
      <c r="J4292" s="0" t="s">
        <v>14305</v>
      </c>
      <c r="K4292" s="0" t="s">
        <v>14306</v>
      </c>
      <c r="L4292" s="0" t="str">
        <f aca="false">HYPERLINK("https://www.ncbi.nlm.nih.gov/nuccore/CP000058.1?report=graph&amp;tracks=[key:gene_model_track,Options:GeneOnly]&amp;mk=1362071:1362090|offset_69|444444,1362039:1362058|offset_101|444444,1361997:1362016|offset_143|00cc00,1361977:1361996|offset_163|444444&amp;v=1361870:1362196&amp;c=444444", "offset 143")</f>
        <v>offset 143</v>
      </c>
    </row>
    <row r="4293" customFormat="false" ht="12.8" hidden="false" customHeight="false" outlineLevel="0" collapsed="false">
      <c r="A4293" s="0" t="s">
        <v>12</v>
      </c>
      <c r="B4293" s="0" t="n">
        <v>1361976</v>
      </c>
      <c r="C4293" s="0" t="n">
        <v>1361996</v>
      </c>
      <c r="D4293" s="0" t="s">
        <v>14297</v>
      </c>
      <c r="E4293" s="0" t="s">
        <v>75</v>
      </c>
      <c r="F4293" s="0" t="s">
        <v>90</v>
      </c>
      <c r="G4293" s="0" t="s">
        <v>16</v>
      </c>
      <c r="H4293" s="0" t="n">
        <v>163</v>
      </c>
      <c r="I4293" s="0" t="s">
        <v>14307</v>
      </c>
      <c r="J4293" s="0" t="s">
        <v>14308</v>
      </c>
      <c r="K4293" s="0" t="s">
        <v>14309</v>
      </c>
      <c r="L4293" s="0" t="str">
        <f aca="false">HYPERLINK("https://www.ncbi.nlm.nih.gov/nuccore/CP000058.1?report=graph&amp;tracks=[key:gene_model_track,Options:GeneOnly]&amp;mk=1362071:1362090|offset_69|444444,1362039:1362058|offset_101|444444,1361997:1362016|offset_143|444444,1361977:1361996|offset_163|00cc00&amp;v=1361870:1362196&amp;c=444444", "offset 163")</f>
        <v>offset 163</v>
      </c>
    </row>
    <row r="4294" customFormat="false" ht="12.8" hidden="false" customHeight="false" outlineLevel="0" collapsed="false">
      <c r="A4294" s="0" t="s">
        <v>12</v>
      </c>
      <c r="B4294" s="0" t="n">
        <v>1363669</v>
      </c>
      <c r="C4294" s="0" t="n">
        <v>1363689</v>
      </c>
      <c r="D4294" s="0" t="s">
        <v>14310</v>
      </c>
      <c r="E4294" s="0" t="s">
        <v>14311</v>
      </c>
      <c r="F4294" s="0" t="s">
        <v>90</v>
      </c>
      <c r="G4294" s="0" t="s">
        <v>32</v>
      </c>
      <c r="H4294" s="0" t="n">
        <v>7</v>
      </c>
      <c r="I4294" s="0" t="s">
        <v>14312</v>
      </c>
      <c r="J4294" s="0" t="s">
        <v>14313</v>
      </c>
      <c r="K4294" s="0" t="s">
        <v>14314</v>
      </c>
      <c r="L4294" s="0" t="str">
        <f aca="false">HYPERLINK("https://www.ncbi.nlm.nih.gov/nuccore/CP000058.1?report=graph&amp;tracks=[key:gene_model_track,Options:GeneOnly]&amp;mk=1363670:1363689|offset_7|00cc00,1363647:1363666|offset_30|444444,1363605:1363624|offset_72|444444,1363584:1363603|offset_93|444444&amp;v=1363469:1363803&amp;c=444444", "offset 7")</f>
        <v>offset 7</v>
      </c>
    </row>
    <row r="4295" customFormat="false" ht="12.8" hidden="false" customHeight="false" outlineLevel="0" collapsed="false">
      <c r="A4295" s="0" t="s">
        <v>12</v>
      </c>
      <c r="B4295" s="0" t="n">
        <v>1363646</v>
      </c>
      <c r="C4295" s="0" t="n">
        <v>1363666</v>
      </c>
      <c r="D4295" s="0" t="s">
        <v>14310</v>
      </c>
      <c r="E4295" s="0" t="s">
        <v>14311</v>
      </c>
      <c r="F4295" s="0" t="s">
        <v>90</v>
      </c>
      <c r="G4295" s="0" t="s">
        <v>36</v>
      </c>
      <c r="H4295" s="0" t="n">
        <v>30</v>
      </c>
      <c r="I4295" s="0" t="s">
        <v>14315</v>
      </c>
      <c r="J4295" s="0" t="s">
        <v>14316</v>
      </c>
      <c r="K4295" s="0" t="s">
        <v>14317</v>
      </c>
      <c r="L4295" s="0" t="str">
        <f aca="false">HYPERLINK("https://www.ncbi.nlm.nih.gov/nuccore/CP000058.1?report=graph&amp;tracks=[key:gene_model_track,Options:GeneOnly]&amp;mk=1363670:1363689|offset_7|444444,1363647:1363666|offset_30|00cc00,1363605:1363624|offset_72|444444,1363584:1363603|offset_93|444444&amp;v=1363469:1363803&amp;c=444444", "offset 30")</f>
        <v>offset 30</v>
      </c>
    </row>
    <row r="4296" customFormat="false" ht="12.8" hidden="false" customHeight="false" outlineLevel="0" collapsed="false">
      <c r="A4296" s="0" t="s">
        <v>12</v>
      </c>
      <c r="B4296" s="0" t="n">
        <v>1363604</v>
      </c>
      <c r="C4296" s="0" t="n">
        <v>1363624</v>
      </c>
      <c r="D4296" s="0" t="s">
        <v>14310</v>
      </c>
      <c r="E4296" s="0" t="s">
        <v>14311</v>
      </c>
      <c r="F4296" s="0" t="s">
        <v>90</v>
      </c>
      <c r="G4296" s="0" t="s">
        <v>36</v>
      </c>
      <c r="H4296" s="0" t="n">
        <v>72</v>
      </c>
      <c r="I4296" s="0" t="s">
        <v>14318</v>
      </c>
      <c r="J4296" s="0" t="s">
        <v>14319</v>
      </c>
      <c r="K4296" s="0" t="s">
        <v>14320</v>
      </c>
      <c r="L4296" s="0" t="str">
        <f aca="false">HYPERLINK("https://www.ncbi.nlm.nih.gov/nuccore/CP000058.1?report=graph&amp;tracks=[key:gene_model_track,Options:GeneOnly]&amp;mk=1363670:1363689|offset_7|444444,1363647:1363666|offset_30|444444,1363605:1363624|offset_72|00cc00,1363584:1363603|offset_93|444444&amp;v=1363469:1363803&amp;c=444444", "offset 72")</f>
        <v>offset 72</v>
      </c>
    </row>
    <row r="4297" customFormat="false" ht="12.8" hidden="false" customHeight="false" outlineLevel="0" collapsed="false">
      <c r="A4297" s="0" t="s">
        <v>12</v>
      </c>
      <c r="B4297" s="0" t="n">
        <v>1363583</v>
      </c>
      <c r="C4297" s="0" t="n">
        <v>1363603</v>
      </c>
      <c r="D4297" s="0" t="s">
        <v>14310</v>
      </c>
      <c r="E4297" s="0" t="s">
        <v>14311</v>
      </c>
      <c r="F4297" s="0" t="s">
        <v>90</v>
      </c>
      <c r="G4297" s="0" t="s">
        <v>36</v>
      </c>
      <c r="H4297" s="0" t="n">
        <v>93</v>
      </c>
      <c r="I4297" s="0" t="s">
        <v>14321</v>
      </c>
      <c r="J4297" s="0" t="s">
        <v>14322</v>
      </c>
      <c r="K4297" s="0" t="s">
        <v>14323</v>
      </c>
      <c r="L4297" s="0" t="str">
        <f aca="false">HYPERLINK("https://www.ncbi.nlm.nih.gov/nuccore/CP000058.1?report=graph&amp;tracks=[key:gene_model_track,Options:GeneOnly]&amp;mk=1363670:1363689|offset_7|444444,1363647:1363666|offset_30|444444,1363605:1363624|offset_72|444444,1363584:1363603|offset_93|00cc00&amp;v=1363469:1363803&amp;c=444444", "offset 93")</f>
        <v>offset 93</v>
      </c>
    </row>
    <row r="4298" customFormat="false" ht="12.8" hidden="false" customHeight="false" outlineLevel="0" collapsed="false">
      <c r="A4298" s="0" t="s">
        <v>12</v>
      </c>
      <c r="B4298" s="0" t="n">
        <v>1366631</v>
      </c>
      <c r="C4298" s="0" t="n">
        <v>1366651</v>
      </c>
      <c r="D4298" s="0" t="s">
        <v>14324</v>
      </c>
      <c r="E4298" s="0" t="s">
        <v>14325</v>
      </c>
      <c r="F4298" s="0" t="s">
        <v>90</v>
      </c>
      <c r="G4298" s="0" t="s">
        <v>32</v>
      </c>
      <c r="H4298" s="0" t="n">
        <v>1</v>
      </c>
      <c r="I4298" s="0" t="s">
        <v>14326</v>
      </c>
      <c r="J4298" s="0" t="s">
        <v>14327</v>
      </c>
      <c r="K4298" s="0" t="s">
        <v>14328</v>
      </c>
      <c r="L4298" s="0" t="str">
        <f aca="false">HYPERLINK("https://www.ncbi.nlm.nih.gov/nuccore/CP000058.1?report=graph&amp;tracks=[key:gene_model_track,Options:GeneOnly]&amp;mk=1366632:1366651|offset_1|00cc00,1366608:1366627|offset_25|444444,1366587:1366606|offset_46|444444,1366563:1366582|offset_70|444444&amp;v=1366431:1366782&amp;c=444444", "offset 1")</f>
        <v>offset 1</v>
      </c>
    </row>
    <row r="4299" customFormat="false" ht="12.8" hidden="false" customHeight="false" outlineLevel="0" collapsed="false">
      <c r="A4299" s="0" t="s">
        <v>12</v>
      </c>
      <c r="B4299" s="0" t="n">
        <v>1366607</v>
      </c>
      <c r="C4299" s="0" t="n">
        <v>1366627</v>
      </c>
      <c r="D4299" s="0" t="s">
        <v>14324</v>
      </c>
      <c r="E4299" s="0" t="s">
        <v>14325</v>
      </c>
      <c r="F4299" s="0" t="s">
        <v>90</v>
      </c>
      <c r="G4299" s="0" t="s">
        <v>32</v>
      </c>
      <c r="H4299" s="0" t="n">
        <v>25</v>
      </c>
      <c r="I4299" s="0" t="s">
        <v>14329</v>
      </c>
      <c r="J4299" s="0" t="s">
        <v>14330</v>
      </c>
      <c r="K4299" s="0" t="s">
        <v>14331</v>
      </c>
      <c r="L4299" s="0" t="str">
        <f aca="false">HYPERLINK("https://www.ncbi.nlm.nih.gov/nuccore/CP000058.1?report=graph&amp;tracks=[key:gene_model_track,Options:GeneOnly]&amp;mk=1366632:1366651|offset_1|444444,1366608:1366627|offset_25|00cc00,1366587:1366606|offset_46|444444,1366563:1366582|offset_70|444444&amp;v=1366431:1366782&amp;c=444444", "offset 25")</f>
        <v>offset 25</v>
      </c>
    </row>
    <row r="4300" customFormat="false" ht="12.8" hidden="false" customHeight="false" outlineLevel="0" collapsed="false">
      <c r="A4300" s="0" t="s">
        <v>12</v>
      </c>
      <c r="B4300" s="0" t="n">
        <v>1366586</v>
      </c>
      <c r="C4300" s="0" t="n">
        <v>1366606</v>
      </c>
      <c r="D4300" s="0" t="s">
        <v>14324</v>
      </c>
      <c r="E4300" s="0" t="s">
        <v>14325</v>
      </c>
      <c r="F4300" s="0" t="s">
        <v>90</v>
      </c>
      <c r="G4300" s="0" t="s">
        <v>36</v>
      </c>
      <c r="H4300" s="0" t="n">
        <v>46</v>
      </c>
      <c r="I4300" s="0" t="s">
        <v>14332</v>
      </c>
      <c r="J4300" s="0" t="s">
        <v>14333</v>
      </c>
      <c r="K4300" s="0" t="s">
        <v>14334</v>
      </c>
      <c r="L4300" s="0" t="str">
        <f aca="false">HYPERLINK("https://www.ncbi.nlm.nih.gov/nuccore/CP000058.1?report=graph&amp;tracks=[key:gene_model_track,Options:GeneOnly]&amp;mk=1366632:1366651|offset_1|444444,1366608:1366627|offset_25|444444,1366587:1366606|offset_46|00cc00,1366563:1366582|offset_70|444444&amp;v=1366431:1366782&amp;c=444444", "offset 46")</f>
        <v>offset 46</v>
      </c>
    </row>
    <row r="4301" customFormat="false" ht="12.8" hidden="false" customHeight="false" outlineLevel="0" collapsed="false">
      <c r="A4301" s="0" t="s">
        <v>12</v>
      </c>
      <c r="B4301" s="0" t="n">
        <v>1366562</v>
      </c>
      <c r="C4301" s="0" t="n">
        <v>1366582</v>
      </c>
      <c r="D4301" s="0" t="s">
        <v>14324</v>
      </c>
      <c r="E4301" s="0" t="s">
        <v>14325</v>
      </c>
      <c r="F4301" s="0" t="s">
        <v>90</v>
      </c>
      <c r="G4301" s="0" t="s">
        <v>16</v>
      </c>
      <c r="H4301" s="0" t="n">
        <v>70</v>
      </c>
      <c r="I4301" s="0" t="s">
        <v>14335</v>
      </c>
      <c r="J4301" s="0" t="s">
        <v>14336</v>
      </c>
      <c r="K4301" s="0" t="s">
        <v>14337</v>
      </c>
      <c r="L4301" s="0" t="str">
        <f aca="false">HYPERLINK("https://www.ncbi.nlm.nih.gov/nuccore/CP000058.1?report=graph&amp;tracks=[key:gene_model_track,Options:GeneOnly]&amp;mk=1366632:1366651|offset_1|444444,1366608:1366627|offset_25|444444,1366587:1366606|offset_46|444444,1366563:1366582|offset_70|00cc00&amp;v=1366431:1366782&amp;c=444444", "offset 70")</f>
        <v>offset 70</v>
      </c>
    </row>
    <row r="4302" customFormat="false" ht="12.8" hidden="false" customHeight="false" outlineLevel="0" collapsed="false">
      <c r="A4302" s="0" t="s">
        <v>12</v>
      </c>
      <c r="B4302" s="0" t="n">
        <v>1367004</v>
      </c>
      <c r="C4302" s="0" t="n">
        <v>1367024</v>
      </c>
      <c r="D4302" s="0" t="s">
        <v>14338</v>
      </c>
      <c r="E4302" s="0" t="s">
        <v>14339</v>
      </c>
      <c r="F4302" s="0" t="s">
        <v>90</v>
      </c>
      <c r="G4302" s="0" t="s">
        <v>16</v>
      </c>
      <c r="H4302" s="0" t="n">
        <v>22</v>
      </c>
      <c r="I4302" s="0" t="s">
        <v>14340</v>
      </c>
      <c r="J4302" s="0" t="s">
        <v>14341</v>
      </c>
      <c r="K4302" s="0" t="s">
        <v>14342</v>
      </c>
      <c r="L4302" s="0" t="str">
        <f aca="false">HYPERLINK("https://www.ncbi.nlm.nih.gov/nuccore/CP000058.1?report=graph&amp;tracks=[key:gene_model_track,Options:GeneOnly]&amp;mk=1367005:1367024|offset_22|00cc00,1366981:1367000|offset_46|444444,1366946:1366965|offset_81|444444,1366888:1366907|offset_139|444444&amp;v=1366804:1367107&amp;c=444444", "offset 22")</f>
        <v>offset 22</v>
      </c>
    </row>
    <row r="4303" customFormat="false" ht="12.8" hidden="false" customHeight="false" outlineLevel="0" collapsed="false">
      <c r="A4303" s="0" t="s">
        <v>12</v>
      </c>
      <c r="B4303" s="0" t="n">
        <v>1366980</v>
      </c>
      <c r="C4303" s="0" t="n">
        <v>1367000</v>
      </c>
      <c r="D4303" s="0" t="s">
        <v>14338</v>
      </c>
      <c r="E4303" s="0" t="s">
        <v>14339</v>
      </c>
      <c r="F4303" s="0" t="s">
        <v>90</v>
      </c>
      <c r="G4303" s="0" t="s">
        <v>16</v>
      </c>
      <c r="H4303" s="0" t="n">
        <v>46</v>
      </c>
      <c r="I4303" s="0" t="s">
        <v>14343</v>
      </c>
      <c r="J4303" s="0" t="s">
        <v>14344</v>
      </c>
      <c r="K4303" s="0" t="s">
        <v>14345</v>
      </c>
      <c r="L4303" s="0" t="str">
        <f aca="false">HYPERLINK("https://www.ncbi.nlm.nih.gov/nuccore/CP000058.1?report=graph&amp;tracks=[key:gene_model_track,Options:GeneOnly]&amp;mk=1367005:1367024|offset_22|444444,1366981:1367000|offset_46|00cc00,1366946:1366965|offset_81|444444,1366888:1366907|offset_139|444444&amp;v=1366804:1367107&amp;c=444444", "offset 46")</f>
        <v>offset 46</v>
      </c>
    </row>
    <row r="4304" customFormat="false" ht="12.8" hidden="false" customHeight="false" outlineLevel="0" collapsed="false">
      <c r="A4304" s="0" t="s">
        <v>12</v>
      </c>
      <c r="B4304" s="0" t="n">
        <v>1366945</v>
      </c>
      <c r="C4304" s="0" t="n">
        <v>1366965</v>
      </c>
      <c r="D4304" s="0" t="s">
        <v>14338</v>
      </c>
      <c r="E4304" s="0" t="s">
        <v>14339</v>
      </c>
      <c r="F4304" s="0" t="s">
        <v>90</v>
      </c>
      <c r="G4304" s="0" t="s">
        <v>36</v>
      </c>
      <c r="H4304" s="0" t="n">
        <v>81</v>
      </c>
      <c r="I4304" s="0" t="s">
        <v>14346</v>
      </c>
      <c r="J4304" s="0" t="s">
        <v>14347</v>
      </c>
      <c r="K4304" s="0" t="s">
        <v>14348</v>
      </c>
      <c r="L4304" s="0" t="str">
        <f aca="false">HYPERLINK("https://www.ncbi.nlm.nih.gov/nuccore/CP000058.1?report=graph&amp;tracks=[key:gene_model_track,Options:GeneOnly]&amp;mk=1367005:1367024|offset_22|444444,1366981:1367000|offset_46|444444,1366946:1366965|offset_81|00cc00,1366888:1366907|offset_139|444444&amp;v=1366804:1367107&amp;c=444444", "offset 81")</f>
        <v>offset 81</v>
      </c>
    </row>
    <row r="4305" customFormat="false" ht="12.8" hidden="false" customHeight="false" outlineLevel="0" collapsed="false">
      <c r="A4305" s="0" t="s">
        <v>12</v>
      </c>
      <c r="B4305" s="0" t="n">
        <v>1366887</v>
      </c>
      <c r="C4305" s="0" t="n">
        <v>1366907</v>
      </c>
      <c r="D4305" s="0" t="s">
        <v>14338</v>
      </c>
      <c r="E4305" s="0" t="s">
        <v>14339</v>
      </c>
      <c r="F4305" s="0" t="s">
        <v>90</v>
      </c>
      <c r="G4305" s="0" t="s">
        <v>20</v>
      </c>
      <c r="H4305" s="0" t="n">
        <v>139</v>
      </c>
      <c r="I4305" s="0" t="s">
        <v>14349</v>
      </c>
      <c r="J4305" s="0" t="s">
        <v>14350</v>
      </c>
      <c r="K4305" s="0" t="s">
        <v>14351</v>
      </c>
      <c r="L4305" s="0" t="str">
        <f aca="false">HYPERLINK("https://www.ncbi.nlm.nih.gov/nuccore/CP000058.1?report=graph&amp;tracks=[key:gene_model_track,Options:GeneOnly]&amp;mk=1367005:1367024|offset_22|444444,1366981:1367000|offset_46|444444,1366946:1366965|offset_81|444444,1366888:1366907|offset_139|00cc00&amp;v=1366804:1367107&amp;c=444444", "offset 139")</f>
        <v>offset 139</v>
      </c>
    </row>
    <row r="4306" customFormat="false" ht="12.8" hidden="false" customHeight="false" outlineLevel="0" collapsed="false">
      <c r="A4306" s="0" t="s">
        <v>12</v>
      </c>
      <c r="B4306" s="0" t="n">
        <v>1367328</v>
      </c>
      <c r="C4306" s="0" t="n">
        <v>1367348</v>
      </c>
      <c r="D4306" s="0" t="s">
        <v>14352</v>
      </c>
      <c r="E4306" s="0" t="s">
        <v>75</v>
      </c>
      <c r="F4306" s="0" t="s">
        <v>90</v>
      </c>
      <c r="G4306" s="0" t="s">
        <v>32</v>
      </c>
      <c r="H4306" s="0" t="n">
        <v>11</v>
      </c>
      <c r="I4306" s="0" t="s">
        <v>14353</v>
      </c>
      <c r="J4306" s="0" t="s">
        <v>14354</v>
      </c>
      <c r="K4306" s="0" t="s">
        <v>14355</v>
      </c>
      <c r="L4306" s="0" t="str">
        <f aca="false">HYPERLINK("https://www.ncbi.nlm.nih.gov/nuccore/CP000058.1?report=graph&amp;tracks=[key:gene_model_track,Options:GeneOnly]&amp;mk=1367329:1367348|offset_11|00cc00,1367289:1367308|offset_51|444444,1367264:1367283|offset_76|444444,1367230:1367249|offset_110|444444&amp;v=1367128:1367449&amp;c=444444", "offset 11")</f>
        <v>offset 11</v>
      </c>
    </row>
    <row r="4307" customFormat="false" ht="12.8" hidden="false" customHeight="false" outlineLevel="0" collapsed="false">
      <c r="A4307" s="0" t="s">
        <v>12</v>
      </c>
      <c r="B4307" s="0" t="n">
        <v>1367288</v>
      </c>
      <c r="C4307" s="0" t="n">
        <v>1367308</v>
      </c>
      <c r="D4307" s="0" t="s">
        <v>14352</v>
      </c>
      <c r="E4307" s="0" t="s">
        <v>75</v>
      </c>
      <c r="F4307" s="0" t="s">
        <v>90</v>
      </c>
      <c r="G4307" s="0" t="s">
        <v>36</v>
      </c>
      <c r="H4307" s="0" t="n">
        <v>51</v>
      </c>
      <c r="I4307" s="0" t="s">
        <v>14356</v>
      </c>
      <c r="J4307" s="0" t="s">
        <v>14357</v>
      </c>
      <c r="K4307" s="0" t="s">
        <v>14358</v>
      </c>
      <c r="L4307" s="0" t="str">
        <f aca="false">HYPERLINK("https://www.ncbi.nlm.nih.gov/nuccore/CP000058.1?report=graph&amp;tracks=[key:gene_model_track,Options:GeneOnly]&amp;mk=1367329:1367348|offset_11|444444,1367289:1367308|offset_51|00cc00,1367264:1367283|offset_76|444444,1367230:1367249|offset_110|444444&amp;v=1367128:1367449&amp;c=444444", "offset 51")</f>
        <v>offset 51</v>
      </c>
    </row>
    <row r="4308" customFormat="false" ht="12.8" hidden="false" customHeight="false" outlineLevel="0" collapsed="false">
      <c r="A4308" s="0" t="s">
        <v>12</v>
      </c>
      <c r="B4308" s="0" t="n">
        <v>1367263</v>
      </c>
      <c r="C4308" s="0" t="n">
        <v>1367283</v>
      </c>
      <c r="D4308" s="0" t="s">
        <v>14352</v>
      </c>
      <c r="E4308" s="0" t="s">
        <v>75</v>
      </c>
      <c r="F4308" s="0" t="s">
        <v>90</v>
      </c>
      <c r="G4308" s="0" t="s">
        <v>32</v>
      </c>
      <c r="H4308" s="0" t="n">
        <v>76</v>
      </c>
      <c r="I4308" s="0" t="s">
        <v>14359</v>
      </c>
      <c r="J4308" s="0" t="s">
        <v>14360</v>
      </c>
      <c r="K4308" s="0" t="s">
        <v>14361</v>
      </c>
      <c r="L4308" s="0" t="str">
        <f aca="false">HYPERLINK("https://www.ncbi.nlm.nih.gov/nuccore/CP000058.1?report=graph&amp;tracks=[key:gene_model_track,Options:GeneOnly]&amp;mk=1367329:1367348|offset_11|444444,1367289:1367308|offset_51|444444,1367264:1367283|offset_76|00cc00,1367230:1367249|offset_110|444444&amp;v=1367128:1367449&amp;c=444444", "offset 76")</f>
        <v>offset 76</v>
      </c>
    </row>
    <row r="4309" customFormat="false" ht="12.8" hidden="false" customHeight="false" outlineLevel="0" collapsed="false">
      <c r="A4309" s="0" t="s">
        <v>12</v>
      </c>
      <c r="B4309" s="0" t="n">
        <v>1367229</v>
      </c>
      <c r="C4309" s="0" t="n">
        <v>1367249</v>
      </c>
      <c r="D4309" s="0" t="s">
        <v>14352</v>
      </c>
      <c r="E4309" s="0" t="s">
        <v>75</v>
      </c>
      <c r="F4309" s="0" t="s">
        <v>90</v>
      </c>
      <c r="G4309" s="0" t="s">
        <v>36</v>
      </c>
      <c r="H4309" s="0" t="n">
        <v>110</v>
      </c>
      <c r="I4309" s="0" t="s">
        <v>14362</v>
      </c>
      <c r="J4309" s="0" t="s">
        <v>14363</v>
      </c>
      <c r="K4309" s="0" t="s">
        <v>14364</v>
      </c>
      <c r="L4309" s="0" t="str">
        <f aca="false">HYPERLINK("https://www.ncbi.nlm.nih.gov/nuccore/CP000058.1?report=graph&amp;tracks=[key:gene_model_track,Options:GeneOnly]&amp;mk=1367329:1367348|offset_11|444444,1367289:1367308|offset_51|444444,1367264:1367283|offset_76|444444,1367230:1367249|offset_110|00cc00&amp;v=1367128:1367449&amp;c=444444", "offset 110")</f>
        <v>offset 110</v>
      </c>
    </row>
    <row r="4310" customFormat="false" ht="12.8" hidden="false" customHeight="false" outlineLevel="0" collapsed="false">
      <c r="A4310" s="0" t="s">
        <v>12</v>
      </c>
      <c r="B4310" s="0" t="n">
        <v>1368012</v>
      </c>
      <c r="C4310" s="0" t="n">
        <v>1368032</v>
      </c>
      <c r="D4310" s="0" t="s">
        <v>14365</v>
      </c>
      <c r="E4310" s="0" t="s">
        <v>75</v>
      </c>
      <c r="F4310" s="0" t="s">
        <v>90</v>
      </c>
      <c r="G4310" s="0" t="s">
        <v>20</v>
      </c>
      <c r="H4310" s="0" t="n">
        <v>11</v>
      </c>
      <c r="I4310" s="0" t="s">
        <v>14366</v>
      </c>
      <c r="J4310" s="0" t="s">
        <v>14367</v>
      </c>
      <c r="K4310" s="0" t="s">
        <v>14368</v>
      </c>
      <c r="L4310" s="0" t="str">
        <f aca="false">HYPERLINK("https://www.ncbi.nlm.nih.gov/nuccore/CP000058.1?report=graph&amp;tracks=[key:gene_model_track,Options:GeneOnly]&amp;mk=1368013:1368032|offset_11|00cc00,1367993:1368012|offset_31|444444,1367962:1367981|offset_62|444444,1367942:1367961|offset_82|444444&amp;v=1367812:1368161&amp;c=444444", "offset 11")</f>
        <v>offset 11</v>
      </c>
    </row>
    <row r="4311" customFormat="false" ht="12.8" hidden="false" customHeight="false" outlineLevel="0" collapsed="false">
      <c r="A4311" s="0" t="s">
        <v>12</v>
      </c>
      <c r="B4311" s="0" t="n">
        <v>1367992</v>
      </c>
      <c r="C4311" s="0" t="n">
        <v>1368012</v>
      </c>
      <c r="D4311" s="0" t="s">
        <v>14365</v>
      </c>
      <c r="E4311" s="0" t="s">
        <v>75</v>
      </c>
      <c r="F4311" s="0" t="s">
        <v>90</v>
      </c>
      <c r="G4311" s="0" t="s">
        <v>32</v>
      </c>
      <c r="H4311" s="0" t="n">
        <v>31</v>
      </c>
      <c r="I4311" s="0" t="s">
        <v>14369</v>
      </c>
      <c r="J4311" s="0" t="s">
        <v>14370</v>
      </c>
      <c r="K4311" s="0" t="s">
        <v>14371</v>
      </c>
      <c r="L4311" s="0" t="str">
        <f aca="false">HYPERLINK("https://www.ncbi.nlm.nih.gov/nuccore/CP000058.1?report=graph&amp;tracks=[key:gene_model_track,Options:GeneOnly]&amp;mk=1368013:1368032|offset_11|444444,1367993:1368012|offset_31|00cc00,1367962:1367981|offset_62|444444,1367942:1367961|offset_82|444444&amp;v=1367812:1368161&amp;c=444444", "offset 31")</f>
        <v>offset 31</v>
      </c>
    </row>
    <row r="4312" customFormat="false" ht="12.8" hidden="false" customHeight="false" outlineLevel="0" collapsed="false">
      <c r="A4312" s="0" t="s">
        <v>12</v>
      </c>
      <c r="B4312" s="0" t="n">
        <v>1367961</v>
      </c>
      <c r="C4312" s="0" t="n">
        <v>1367981</v>
      </c>
      <c r="D4312" s="0" t="s">
        <v>14365</v>
      </c>
      <c r="E4312" s="0" t="s">
        <v>75</v>
      </c>
      <c r="F4312" s="0" t="s">
        <v>90</v>
      </c>
      <c r="G4312" s="0" t="s">
        <v>32</v>
      </c>
      <c r="H4312" s="0" t="n">
        <v>62</v>
      </c>
      <c r="I4312" s="0" t="s">
        <v>14372</v>
      </c>
      <c r="J4312" s="0" t="s">
        <v>14373</v>
      </c>
      <c r="K4312" s="0" t="s">
        <v>14374</v>
      </c>
      <c r="L4312" s="0" t="str">
        <f aca="false">HYPERLINK("https://www.ncbi.nlm.nih.gov/nuccore/CP000058.1?report=graph&amp;tracks=[key:gene_model_track,Options:GeneOnly]&amp;mk=1368013:1368032|offset_11|444444,1367993:1368012|offset_31|444444,1367962:1367981|offset_62|00cc00,1367942:1367961|offset_82|444444&amp;v=1367812:1368161&amp;c=444444", "offset 62")</f>
        <v>offset 62</v>
      </c>
    </row>
    <row r="4313" customFormat="false" ht="12.8" hidden="false" customHeight="false" outlineLevel="0" collapsed="false">
      <c r="A4313" s="0" t="s">
        <v>12</v>
      </c>
      <c r="B4313" s="0" t="n">
        <v>1367941</v>
      </c>
      <c r="C4313" s="0" t="n">
        <v>1367961</v>
      </c>
      <c r="D4313" s="0" t="s">
        <v>14365</v>
      </c>
      <c r="E4313" s="0" t="s">
        <v>75</v>
      </c>
      <c r="F4313" s="0" t="s">
        <v>90</v>
      </c>
      <c r="G4313" s="0" t="s">
        <v>16</v>
      </c>
      <c r="H4313" s="0" t="n">
        <v>82</v>
      </c>
      <c r="I4313" s="0" t="s">
        <v>14375</v>
      </c>
      <c r="J4313" s="0" t="s">
        <v>14376</v>
      </c>
      <c r="K4313" s="0" t="s">
        <v>14377</v>
      </c>
      <c r="L4313" s="0" t="str">
        <f aca="false">HYPERLINK("https://www.ncbi.nlm.nih.gov/nuccore/CP000058.1?report=graph&amp;tracks=[key:gene_model_track,Options:GeneOnly]&amp;mk=1368013:1368032|offset_11|444444,1367993:1368012|offset_31|444444,1367962:1367981|offset_62|444444,1367942:1367961|offset_82|00cc00&amp;v=1367812:1368161&amp;c=444444", "offset 82")</f>
        <v>offset 82</v>
      </c>
    </row>
    <row r="4314" customFormat="false" ht="12.8" hidden="false" customHeight="false" outlineLevel="0" collapsed="false">
      <c r="A4314" s="0" t="s">
        <v>12</v>
      </c>
      <c r="B4314" s="0" t="n">
        <v>1370415</v>
      </c>
      <c r="C4314" s="0" t="n">
        <v>1370435</v>
      </c>
      <c r="D4314" s="0" t="s">
        <v>14378</v>
      </c>
      <c r="E4314" s="0" t="s">
        <v>75</v>
      </c>
      <c r="F4314" s="0" t="s">
        <v>90</v>
      </c>
      <c r="G4314" s="0" t="s">
        <v>36</v>
      </c>
      <c r="H4314" s="0" t="n">
        <v>7</v>
      </c>
      <c r="I4314" s="0" t="s">
        <v>14379</v>
      </c>
      <c r="J4314" s="0" t="s">
        <v>14380</v>
      </c>
      <c r="K4314" s="0" t="s">
        <v>14381</v>
      </c>
      <c r="L4314" s="0" t="str">
        <f aca="false">HYPERLINK("https://www.ncbi.nlm.nih.gov/nuccore/CP000058.1?report=graph&amp;tracks=[key:gene_model_track,Options:GeneOnly]&amp;mk=1370416:1370435|offset_7|00cc00,1370376:1370395|offset_47|444444,1370293:1370312|offset_130|444444,1370218:1370237|offset_205|444444&amp;v=1370215:1370437&amp;c=444444", "offset 7")</f>
        <v>offset 7</v>
      </c>
    </row>
    <row r="4315" customFormat="false" ht="12.8" hidden="false" customHeight="false" outlineLevel="0" collapsed="false">
      <c r="A4315" s="0" t="s">
        <v>12</v>
      </c>
      <c r="B4315" s="0" t="n">
        <v>1370375</v>
      </c>
      <c r="C4315" s="0" t="n">
        <v>1370395</v>
      </c>
      <c r="D4315" s="0" t="s">
        <v>14378</v>
      </c>
      <c r="E4315" s="0" t="s">
        <v>75</v>
      </c>
      <c r="F4315" s="0" t="s">
        <v>90</v>
      </c>
      <c r="G4315" s="0" t="s">
        <v>32</v>
      </c>
      <c r="H4315" s="0" t="n">
        <v>47</v>
      </c>
      <c r="I4315" s="0" t="s">
        <v>14382</v>
      </c>
      <c r="J4315" s="0" t="s">
        <v>14383</v>
      </c>
      <c r="K4315" s="0" t="s">
        <v>14384</v>
      </c>
      <c r="L4315" s="0" t="str">
        <f aca="false">HYPERLINK("https://www.ncbi.nlm.nih.gov/nuccore/CP000058.1?report=graph&amp;tracks=[key:gene_model_track,Options:GeneOnly]&amp;mk=1370416:1370435|offset_7|444444,1370376:1370395|offset_47|00cc00,1370293:1370312|offset_130|444444,1370218:1370237|offset_205|444444&amp;v=1370215:1370437&amp;c=444444", "offset 47")</f>
        <v>offset 47</v>
      </c>
    </row>
    <row r="4316" customFormat="false" ht="12.8" hidden="false" customHeight="false" outlineLevel="0" collapsed="false">
      <c r="A4316" s="0" t="s">
        <v>12</v>
      </c>
      <c r="B4316" s="0" t="n">
        <v>1370292</v>
      </c>
      <c r="C4316" s="0" t="n">
        <v>1370312</v>
      </c>
      <c r="D4316" s="0" t="s">
        <v>14378</v>
      </c>
      <c r="E4316" s="0" t="s">
        <v>75</v>
      </c>
      <c r="F4316" s="0" t="s">
        <v>90</v>
      </c>
      <c r="G4316" s="0" t="s">
        <v>32</v>
      </c>
      <c r="H4316" s="0" t="n">
        <v>130</v>
      </c>
      <c r="I4316" s="0" t="s">
        <v>14385</v>
      </c>
      <c r="J4316" s="0" t="s">
        <v>14386</v>
      </c>
      <c r="K4316" s="0" t="s">
        <v>14387</v>
      </c>
      <c r="L4316" s="0" t="str">
        <f aca="false">HYPERLINK("https://www.ncbi.nlm.nih.gov/nuccore/CP000058.1?report=graph&amp;tracks=[key:gene_model_track,Options:GeneOnly]&amp;mk=1370416:1370435|offset_7|444444,1370376:1370395|offset_47|444444,1370293:1370312|offset_130|00cc00,1370218:1370237|offset_205|444444&amp;v=1370215:1370437&amp;c=444444", "offset 130")</f>
        <v>offset 130</v>
      </c>
    </row>
    <row r="4317" customFormat="false" ht="12.8" hidden="false" customHeight="false" outlineLevel="0" collapsed="false">
      <c r="A4317" s="0" t="s">
        <v>12</v>
      </c>
      <c r="B4317" s="0" t="n">
        <v>1370217</v>
      </c>
      <c r="C4317" s="0" t="n">
        <v>1370237</v>
      </c>
      <c r="D4317" s="0" t="s">
        <v>14378</v>
      </c>
      <c r="E4317" s="0" t="s">
        <v>75</v>
      </c>
      <c r="F4317" s="0" t="s">
        <v>90</v>
      </c>
      <c r="G4317" s="0" t="s">
        <v>32</v>
      </c>
      <c r="H4317" s="0" t="n">
        <v>205</v>
      </c>
      <c r="I4317" s="0" t="s">
        <v>14388</v>
      </c>
      <c r="J4317" s="0" t="s">
        <v>14389</v>
      </c>
      <c r="K4317" s="0" t="s">
        <v>14390</v>
      </c>
      <c r="L4317" s="0" t="str">
        <f aca="false">HYPERLINK("https://www.ncbi.nlm.nih.gov/nuccore/CP000058.1?report=graph&amp;tracks=[key:gene_model_track,Options:GeneOnly]&amp;mk=1370416:1370435|offset_7|444444,1370376:1370395|offset_47|444444,1370293:1370312|offset_130|444444,1370218:1370237|offset_205|00cc00&amp;v=1370215:1370437&amp;c=444444", "offset 205")</f>
        <v>offset 205</v>
      </c>
    </row>
    <row r="4318" customFormat="false" ht="12.8" hidden="false" customHeight="false" outlineLevel="0" collapsed="false">
      <c r="A4318" s="0" t="s">
        <v>12</v>
      </c>
      <c r="B4318" s="0" t="n">
        <v>1370774</v>
      </c>
      <c r="C4318" s="0" t="n">
        <v>1370794</v>
      </c>
      <c r="D4318" s="0" t="s">
        <v>14391</v>
      </c>
      <c r="E4318" s="0" t="s">
        <v>75</v>
      </c>
      <c r="F4318" s="0" t="s">
        <v>90</v>
      </c>
      <c r="G4318" s="0" t="s">
        <v>20</v>
      </c>
      <c r="H4318" s="0" t="n">
        <v>47</v>
      </c>
      <c r="I4318" s="0" t="s">
        <v>14392</v>
      </c>
      <c r="J4318" s="0" t="s">
        <v>14393</v>
      </c>
      <c r="K4318" s="0" t="s">
        <v>14394</v>
      </c>
      <c r="L4318" s="0" t="str">
        <f aca="false">HYPERLINK("https://www.ncbi.nlm.nih.gov/nuccore/CP000058.1?report=graph&amp;tracks=[key:gene_model_track,Options:GeneOnly]&amp;mk=1370775:1370794|offset_47|00cc00,1370755:1370774|offset_67|444444,1370709:1370728|offset_113|444444,1370683:1370702|offset_139|444444&amp;v=1370574:1370902&amp;c=444444", "offset 47")</f>
        <v>offset 47</v>
      </c>
    </row>
    <row r="4319" customFormat="false" ht="12.8" hidden="false" customHeight="false" outlineLevel="0" collapsed="false">
      <c r="A4319" s="0" t="s">
        <v>12</v>
      </c>
      <c r="B4319" s="0" t="n">
        <v>1370754</v>
      </c>
      <c r="C4319" s="0" t="n">
        <v>1370774</v>
      </c>
      <c r="D4319" s="0" t="s">
        <v>14391</v>
      </c>
      <c r="E4319" s="0" t="s">
        <v>75</v>
      </c>
      <c r="F4319" s="0" t="s">
        <v>90</v>
      </c>
      <c r="G4319" s="0" t="s">
        <v>32</v>
      </c>
      <c r="H4319" s="0" t="n">
        <v>67</v>
      </c>
      <c r="I4319" s="0" t="s">
        <v>14395</v>
      </c>
      <c r="J4319" s="0" t="s">
        <v>14396</v>
      </c>
      <c r="K4319" s="0" t="s">
        <v>14397</v>
      </c>
      <c r="L4319" s="0" t="str">
        <f aca="false">HYPERLINK("https://www.ncbi.nlm.nih.gov/nuccore/CP000058.1?report=graph&amp;tracks=[key:gene_model_track,Options:GeneOnly]&amp;mk=1370775:1370794|offset_47|444444,1370755:1370774|offset_67|00cc00,1370709:1370728|offset_113|444444,1370683:1370702|offset_139|444444&amp;v=1370574:1370902&amp;c=444444", "offset 67")</f>
        <v>offset 67</v>
      </c>
    </row>
    <row r="4320" customFormat="false" ht="12.8" hidden="false" customHeight="false" outlineLevel="0" collapsed="false">
      <c r="A4320" s="0" t="s">
        <v>12</v>
      </c>
      <c r="B4320" s="0" t="n">
        <v>1370708</v>
      </c>
      <c r="C4320" s="0" t="n">
        <v>1370728</v>
      </c>
      <c r="D4320" s="0" t="s">
        <v>14391</v>
      </c>
      <c r="E4320" s="0" t="s">
        <v>75</v>
      </c>
      <c r="F4320" s="0" t="s">
        <v>90</v>
      </c>
      <c r="G4320" s="0" t="s">
        <v>20</v>
      </c>
      <c r="H4320" s="0" t="n">
        <v>113</v>
      </c>
      <c r="I4320" s="0" t="s">
        <v>14398</v>
      </c>
      <c r="J4320" s="0" t="s">
        <v>14399</v>
      </c>
      <c r="K4320" s="0" t="s">
        <v>14400</v>
      </c>
      <c r="L4320" s="0" t="str">
        <f aca="false">HYPERLINK("https://www.ncbi.nlm.nih.gov/nuccore/CP000058.1?report=graph&amp;tracks=[key:gene_model_track,Options:GeneOnly]&amp;mk=1370775:1370794|offset_47|444444,1370755:1370774|offset_67|444444,1370709:1370728|offset_113|00cc00,1370683:1370702|offset_139|444444&amp;v=1370574:1370902&amp;c=444444", "offset 113")</f>
        <v>offset 113</v>
      </c>
    </row>
    <row r="4321" customFormat="false" ht="12.8" hidden="false" customHeight="false" outlineLevel="0" collapsed="false">
      <c r="A4321" s="0" t="s">
        <v>12</v>
      </c>
      <c r="B4321" s="0" t="n">
        <v>1370682</v>
      </c>
      <c r="C4321" s="0" t="n">
        <v>1370702</v>
      </c>
      <c r="D4321" s="0" t="s">
        <v>14391</v>
      </c>
      <c r="E4321" s="0" t="s">
        <v>75</v>
      </c>
      <c r="F4321" s="0" t="s">
        <v>90</v>
      </c>
      <c r="G4321" s="0" t="s">
        <v>16</v>
      </c>
      <c r="H4321" s="0" t="n">
        <v>139</v>
      </c>
      <c r="I4321" s="0" t="s">
        <v>14401</v>
      </c>
      <c r="J4321" s="0" t="s">
        <v>14402</v>
      </c>
      <c r="K4321" s="0" t="s">
        <v>14403</v>
      </c>
      <c r="L4321" s="0" t="str">
        <f aca="false">HYPERLINK("https://www.ncbi.nlm.nih.gov/nuccore/CP000058.1?report=graph&amp;tracks=[key:gene_model_track,Options:GeneOnly]&amp;mk=1370775:1370794|offset_47|444444,1370755:1370774|offset_67|444444,1370709:1370728|offset_113|444444,1370683:1370702|offset_139|00cc00&amp;v=1370574:1370902&amp;c=444444", "offset 139")</f>
        <v>offset 139</v>
      </c>
    </row>
    <row r="4322" customFormat="false" ht="12.8" hidden="false" customHeight="false" outlineLevel="0" collapsed="false">
      <c r="A4322" s="0" t="s">
        <v>12</v>
      </c>
      <c r="B4322" s="0" t="n">
        <v>1372526</v>
      </c>
      <c r="C4322" s="0" t="n">
        <v>1372546</v>
      </c>
      <c r="D4322" s="0" t="s">
        <v>14404</v>
      </c>
      <c r="E4322" s="0" t="s">
        <v>75</v>
      </c>
      <c r="F4322" s="0" t="s">
        <v>90</v>
      </c>
      <c r="G4322" s="0" t="s">
        <v>36</v>
      </c>
      <c r="H4322" s="0" t="n">
        <v>10</v>
      </c>
      <c r="I4322" s="0" t="s">
        <v>14405</v>
      </c>
      <c r="J4322" s="0" t="s">
        <v>14406</v>
      </c>
      <c r="K4322" s="0" t="s">
        <v>14407</v>
      </c>
      <c r="L4322" s="0" t="str">
        <f aca="false">HYPERLINK("https://www.ncbi.nlm.nih.gov/nuccore/CP000058.1?report=graph&amp;tracks=[key:gene_model_track,Options:GeneOnly]&amp;mk=1372527:1372546|offset_10|00cc00,1372503:1372522|offset_34|444444,1372463:1372482|offset_74|444444,1372440:1372459|offset_97|444444&amp;v=1372326:1372659&amp;c=444444", "offset 10")</f>
        <v>offset 10</v>
      </c>
    </row>
    <row r="4323" customFormat="false" ht="12.8" hidden="false" customHeight="false" outlineLevel="0" collapsed="false">
      <c r="A4323" s="0" t="s">
        <v>12</v>
      </c>
      <c r="B4323" s="0" t="n">
        <v>1372502</v>
      </c>
      <c r="C4323" s="0" t="n">
        <v>1372522</v>
      </c>
      <c r="D4323" s="0" t="s">
        <v>14404</v>
      </c>
      <c r="E4323" s="0" t="s">
        <v>75</v>
      </c>
      <c r="F4323" s="0" t="s">
        <v>90</v>
      </c>
      <c r="G4323" s="0" t="s">
        <v>16</v>
      </c>
      <c r="H4323" s="0" t="n">
        <v>34</v>
      </c>
      <c r="I4323" s="0" t="s">
        <v>14408</v>
      </c>
      <c r="J4323" s="0" t="s">
        <v>14409</v>
      </c>
      <c r="K4323" s="0" t="s">
        <v>14410</v>
      </c>
      <c r="L4323" s="0" t="str">
        <f aca="false">HYPERLINK("https://www.ncbi.nlm.nih.gov/nuccore/CP000058.1?report=graph&amp;tracks=[key:gene_model_track,Options:GeneOnly]&amp;mk=1372527:1372546|offset_10|444444,1372503:1372522|offset_34|00cc00,1372463:1372482|offset_74|444444,1372440:1372459|offset_97|444444&amp;v=1372326:1372659&amp;c=444444", "offset 34")</f>
        <v>offset 34</v>
      </c>
    </row>
    <row r="4324" customFormat="false" ht="12.8" hidden="false" customHeight="false" outlineLevel="0" collapsed="false">
      <c r="A4324" s="0" t="s">
        <v>12</v>
      </c>
      <c r="B4324" s="0" t="n">
        <v>1372462</v>
      </c>
      <c r="C4324" s="0" t="n">
        <v>1372482</v>
      </c>
      <c r="D4324" s="0" t="s">
        <v>14404</v>
      </c>
      <c r="E4324" s="0" t="s">
        <v>75</v>
      </c>
      <c r="F4324" s="0" t="s">
        <v>90</v>
      </c>
      <c r="G4324" s="0" t="s">
        <v>16</v>
      </c>
      <c r="H4324" s="0" t="n">
        <v>74</v>
      </c>
      <c r="I4324" s="0" t="s">
        <v>14411</v>
      </c>
      <c r="J4324" s="0" t="s">
        <v>14412</v>
      </c>
      <c r="K4324" s="0" t="s">
        <v>14413</v>
      </c>
      <c r="L4324" s="0" t="str">
        <f aca="false">HYPERLINK("https://www.ncbi.nlm.nih.gov/nuccore/CP000058.1?report=graph&amp;tracks=[key:gene_model_track,Options:GeneOnly]&amp;mk=1372527:1372546|offset_10|444444,1372503:1372522|offset_34|444444,1372463:1372482|offset_74|00cc00,1372440:1372459|offset_97|444444&amp;v=1372326:1372659&amp;c=444444", "offset 74")</f>
        <v>offset 74</v>
      </c>
    </row>
    <row r="4325" customFormat="false" ht="12.8" hidden="false" customHeight="false" outlineLevel="0" collapsed="false">
      <c r="A4325" s="0" t="s">
        <v>12</v>
      </c>
      <c r="B4325" s="0" t="n">
        <v>1372439</v>
      </c>
      <c r="C4325" s="0" t="n">
        <v>1372459</v>
      </c>
      <c r="D4325" s="0" t="s">
        <v>14404</v>
      </c>
      <c r="E4325" s="0" t="s">
        <v>75</v>
      </c>
      <c r="F4325" s="0" t="s">
        <v>90</v>
      </c>
      <c r="G4325" s="0" t="s">
        <v>16</v>
      </c>
      <c r="H4325" s="0" t="n">
        <v>97</v>
      </c>
      <c r="I4325" s="0" t="s">
        <v>14414</v>
      </c>
      <c r="J4325" s="0" t="s">
        <v>14415</v>
      </c>
      <c r="K4325" s="0" t="s">
        <v>14416</v>
      </c>
      <c r="L4325" s="0" t="str">
        <f aca="false">HYPERLINK("https://www.ncbi.nlm.nih.gov/nuccore/CP000058.1?report=graph&amp;tracks=[key:gene_model_track,Options:GeneOnly]&amp;mk=1372527:1372546|offset_10|444444,1372503:1372522|offset_34|444444,1372463:1372482|offset_74|444444,1372440:1372459|offset_97|00cc00&amp;v=1372326:1372659&amp;c=444444", "offset 97")</f>
        <v>offset 97</v>
      </c>
    </row>
    <row r="4326" customFormat="false" ht="12.8" hidden="false" customHeight="false" outlineLevel="0" collapsed="false">
      <c r="A4326" s="0" t="s">
        <v>12</v>
      </c>
      <c r="B4326" s="0" t="n">
        <v>1374205</v>
      </c>
      <c r="C4326" s="0" t="n">
        <v>1374225</v>
      </c>
      <c r="D4326" s="0" t="s">
        <v>14417</v>
      </c>
      <c r="E4326" s="0" t="s">
        <v>75</v>
      </c>
      <c r="F4326" s="0" t="s">
        <v>90</v>
      </c>
      <c r="G4326" s="0" t="s">
        <v>32</v>
      </c>
      <c r="H4326" s="0" t="n">
        <v>11</v>
      </c>
      <c r="I4326" s="0" t="s">
        <v>14418</v>
      </c>
      <c r="J4326" s="0" t="s">
        <v>14419</v>
      </c>
      <c r="K4326" s="0" t="s">
        <v>14420</v>
      </c>
      <c r="L4326" s="0" t="str">
        <f aca="false">HYPERLINK("https://www.ncbi.nlm.nih.gov/nuccore/CP000058.1?report=graph&amp;tracks=[key:gene_model_track,Options:GeneOnly]&amp;mk=1374206:1374225|offset_11|00cc00,1374174:1374193|offset_43|444444,1374126:1374145|offset_91|444444,1374088:1374107|offset_129|444444&amp;v=1374005:1374307&amp;c=444444", "offset 11")</f>
        <v>offset 11</v>
      </c>
    </row>
    <row r="4327" customFormat="false" ht="12.8" hidden="false" customHeight="false" outlineLevel="0" collapsed="false">
      <c r="A4327" s="0" t="s">
        <v>12</v>
      </c>
      <c r="B4327" s="0" t="n">
        <v>1374173</v>
      </c>
      <c r="C4327" s="0" t="n">
        <v>1374193</v>
      </c>
      <c r="D4327" s="0" t="s">
        <v>14417</v>
      </c>
      <c r="E4327" s="0" t="s">
        <v>75</v>
      </c>
      <c r="F4327" s="0" t="s">
        <v>90</v>
      </c>
      <c r="G4327" s="0" t="s">
        <v>36</v>
      </c>
      <c r="H4327" s="0" t="n">
        <v>43</v>
      </c>
      <c r="I4327" s="0" t="s">
        <v>14421</v>
      </c>
      <c r="J4327" s="0" t="s">
        <v>14422</v>
      </c>
      <c r="K4327" s="0" t="s">
        <v>14423</v>
      </c>
      <c r="L4327" s="0" t="str">
        <f aca="false">HYPERLINK("https://www.ncbi.nlm.nih.gov/nuccore/CP000058.1?report=graph&amp;tracks=[key:gene_model_track,Options:GeneOnly]&amp;mk=1374206:1374225|offset_11|444444,1374174:1374193|offset_43|00cc00,1374126:1374145|offset_91|444444,1374088:1374107|offset_129|444444&amp;v=1374005:1374307&amp;c=444444", "offset 43")</f>
        <v>offset 43</v>
      </c>
    </row>
    <row r="4328" customFormat="false" ht="12.8" hidden="false" customHeight="false" outlineLevel="0" collapsed="false">
      <c r="A4328" s="0" t="s">
        <v>12</v>
      </c>
      <c r="B4328" s="0" t="n">
        <v>1374125</v>
      </c>
      <c r="C4328" s="0" t="n">
        <v>1374145</v>
      </c>
      <c r="D4328" s="0" t="s">
        <v>14417</v>
      </c>
      <c r="E4328" s="0" t="s">
        <v>75</v>
      </c>
      <c r="F4328" s="0" t="s">
        <v>90</v>
      </c>
      <c r="G4328" s="0" t="s">
        <v>16</v>
      </c>
      <c r="H4328" s="0" t="n">
        <v>91</v>
      </c>
      <c r="I4328" s="0" t="s">
        <v>14424</v>
      </c>
      <c r="J4328" s="0" t="s">
        <v>14425</v>
      </c>
      <c r="K4328" s="0" t="s">
        <v>14426</v>
      </c>
      <c r="L4328" s="0" t="str">
        <f aca="false">HYPERLINK("https://www.ncbi.nlm.nih.gov/nuccore/CP000058.1?report=graph&amp;tracks=[key:gene_model_track,Options:GeneOnly]&amp;mk=1374206:1374225|offset_11|444444,1374174:1374193|offset_43|444444,1374126:1374145|offset_91|00cc00,1374088:1374107|offset_129|444444&amp;v=1374005:1374307&amp;c=444444", "offset 91")</f>
        <v>offset 91</v>
      </c>
    </row>
    <row r="4329" customFormat="false" ht="12.8" hidden="false" customHeight="false" outlineLevel="0" collapsed="false">
      <c r="A4329" s="0" t="s">
        <v>12</v>
      </c>
      <c r="B4329" s="0" t="n">
        <v>1374087</v>
      </c>
      <c r="C4329" s="0" t="n">
        <v>1374107</v>
      </c>
      <c r="D4329" s="0" t="s">
        <v>14417</v>
      </c>
      <c r="E4329" s="0" t="s">
        <v>75</v>
      </c>
      <c r="F4329" s="0" t="s">
        <v>90</v>
      </c>
      <c r="G4329" s="0" t="s">
        <v>16</v>
      </c>
      <c r="H4329" s="0" t="n">
        <v>129</v>
      </c>
      <c r="I4329" s="0" t="s">
        <v>14427</v>
      </c>
      <c r="J4329" s="0" t="s">
        <v>14428</v>
      </c>
      <c r="K4329" s="0" t="s">
        <v>14429</v>
      </c>
      <c r="L4329" s="0" t="str">
        <f aca="false">HYPERLINK("https://www.ncbi.nlm.nih.gov/nuccore/CP000058.1?report=graph&amp;tracks=[key:gene_model_track,Options:GeneOnly]&amp;mk=1374206:1374225|offset_11|444444,1374174:1374193|offset_43|444444,1374126:1374145|offset_91|444444,1374088:1374107|offset_129|00cc00&amp;v=1374005:1374307&amp;c=444444", "offset 129")</f>
        <v>offset 129</v>
      </c>
    </row>
    <row r="4330" customFormat="false" ht="12.8" hidden="false" customHeight="false" outlineLevel="0" collapsed="false">
      <c r="A4330" s="0" t="s">
        <v>12</v>
      </c>
      <c r="B4330" s="0" t="n">
        <v>1375226</v>
      </c>
      <c r="C4330" s="0" t="n">
        <v>1375246</v>
      </c>
      <c r="D4330" s="0" t="s">
        <v>14430</v>
      </c>
      <c r="E4330" s="0" t="s">
        <v>75</v>
      </c>
      <c r="F4330" s="0" t="s">
        <v>90</v>
      </c>
      <c r="G4330" s="0" t="s">
        <v>32</v>
      </c>
      <c r="H4330" s="0" t="n">
        <v>12</v>
      </c>
      <c r="I4330" s="0" t="s">
        <v>14431</v>
      </c>
      <c r="J4330" s="0" t="s">
        <v>14432</v>
      </c>
      <c r="K4330" s="0" t="s">
        <v>14433</v>
      </c>
      <c r="L4330" s="0" t="str">
        <f aca="false">HYPERLINK("https://www.ncbi.nlm.nih.gov/nuccore/CP000058.1?report=graph&amp;tracks=[key:gene_model_track,Options:GeneOnly]&amp;mk=1375227:1375246|offset_12|00cc00,1375207:1375226|offset_32|444444,1375168:1375187|offset_71|444444,1375140:1375159|offset_99|444444&amp;v=1375026:1375359&amp;c=444444", "offset 12")</f>
        <v>offset 12</v>
      </c>
    </row>
    <row r="4331" customFormat="false" ht="12.8" hidden="false" customHeight="false" outlineLevel="0" collapsed="false">
      <c r="A4331" s="0" t="s">
        <v>12</v>
      </c>
      <c r="B4331" s="0" t="n">
        <v>1375206</v>
      </c>
      <c r="C4331" s="0" t="n">
        <v>1375226</v>
      </c>
      <c r="D4331" s="0" t="s">
        <v>14430</v>
      </c>
      <c r="E4331" s="0" t="s">
        <v>75</v>
      </c>
      <c r="F4331" s="0" t="s">
        <v>90</v>
      </c>
      <c r="G4331" s="0" t="s">
        <v>32</v>
      </c>
      <c r="H4331" s="0" t="n">
        <v>32</v>
      </c>
      <c r="I4331" s="0" t="s">
        <v>14434</v>
      </c>
      <c r="J4331" s="0" t="s">
        <v>14435</v>
      </c>
      <c r="K4331" s="0" t="s">
        <v>14436</v>
      </c>
      <c r="L4331" s="0" t="str">
        <f aca="false">HYPERLINK("https://www.ncbi.nlm.nih.gov/nuccore/CP000058.1?report=graph&amp;tracks=[key:gene_model_track,Options:GeneOnly]&amp;mk=1375227:1375246|offset_12|444444,1375207:1375226|offset_32|00cc00,1375168:1375187|offset_71|444444,1375140:1375159|offset_99|444444&amp;v=1375026:1375359&amp;c=444444", "offset 32")</f>
        <v>offset 32</v>
      </c>
    </row>
    <row r="4332" customFormat="false" ht="12.8" hidden="false" customHeight="false" outlineLevel="0" collapsed="false">
      <c r="A4332" s="0" t="s">
        <v>12</v>
      </c>
      <c r="B4332" s="0" t="n">
        <v>1375167</v>
      </c>
      <c r="C4332" s="0" t="n">
        <v>1375187</v>
      </c>
      <c r="D4332" s="0" t="s">
        <v>14430</v>
      </c>
      <c r="E4332" s="0" t="s">
        <v>75</v>
      </c>
      <c r="F4332" s="0" t="s">
        <v>90</v>
      </c>
      <c r="G4332" s="0" t="s">
        <v>32</v>
      </c>
      <c r="H4332" s="0" t="n">
        <v>71</v>
      </c>
      <c r="I4332" s="0" t="s">
        <v>14437</v>
      </c>
      <c r="J4332" s="0" t="s">
        <v>14438</v>
      </c>
      <c r="K4332" s="0" t="s">
        <v>14439</v>
      </c>
      <c r="L4332" s="0" t="str">
        <f aca="false">HYPERLINK("https://www.ncbi.nlm.nih.gov/nuccore/CP000058.1?report=graph&amp;tracks=[key:gene_model_track,Options:GeneOnly]&amp;mk=1375227:1375246|offset_12|444444,1375207:1375226|offset_32|444444,1375168:1375187|offset_71|00cc00,1375140:1375159|offset_99|444444&amp;v=1375026:1375359&amp;c=444444", "offset 71")</f>
        <v>offset 71</v>
      </c>
    </row>
    <row r="4333" customFormat="false" ht="12.8" hidden="false" customHeight="false" outlineLevel="0" collapsed="false">
      <c r="A4333" s="0" t="s">
        <v>12</v>
      </c>
      <c r="B4333" s="0" t="n">
        <v>1375139</v>
      </c>
      <c r="C4333" s="0" t="n">
        <v>1375159</v>
      </c>
      <c r="D4333" s="0" t="s">
        <v>14430</v>
      </c>
      <c r="E4333" s="0" t="s">
        <v>75</v>
      </c>
      <c r="F4333" s="0" t="s">
        <v>90</v>
      </c>
      <c r="G4333" s="0" t="s">
        <v>36</v>
      </c>
      <c r="H4333" s="0" t="n">
        <v>99</v>
      </c>
      <c r="I4333" s="0" t="s">
        <v>14440</v>
      </c>
      <c r="J4333" s="0" t="s">
        <v>14441</v>
      </c>
      <c r="K4333" s="0" t="s">
        <v>14442</v>
      </c>
      <c r="L4333" s="0" t="str">
        <f aca="false">HYPERLINK("https://www.ncbi.nlm.nih.gov/nuccore/CP000058.1?report=graph&amp;tracks=[key:gene_model_track,Options:GeneOnly]&amp;mk=1375227:1375246|offset_12|444444,1375207:1375226|offset_32|444444,1375168:1375187|offset_71|444444,1375140:1375159|offset_99|00cc00&amp;v=1375026:1375359&amp;c=444444", "offset 99")</f>
        <v>offset 99</v>
      </c>
    </row>
    <row r="4334" customFormat="false" ht="12.8" hidden="false" customHeight="false" outlineLevel="0" collapsed="false">
      <c r="A4334" s="0" t="s">
        <v>12</v>
      </c>
      <c r="B4334" s="0" t="n">
        <v>1375781</v>
      </c>
      <c r="C4334" s="0" t="n">
        <v>1375801</v>
      </c>
      <c r="D4334" s="0" t="s">
        <v>14443</v>
      </c>
      <c r="E4334" s="0" t="s">
        <v>75</v>
      </c>
      <c r="F4334" s="0" t="s">
        <v>90</v>
      </c>
      <c r="G4334" s="0" t="s">
        <v>36</v>
      </c>
      <c r="H4334" s="0" t="n">
        <v>14</v>
      </c>
      <c r="I4334" s="0" t="s">
        <v>14444</v>
      </c>
      <c r="J4334" s="0" t="s">
        <v>14445</v>
      </c>
      <c r="K4334" s="0" t="s">
        <v>14446</v>
      </c>
      <c r="L4334" s="0" t="str">
        <f aca="false">HYPERLINK("https://www.ncbi.nlm.nih.gov/nuccore/CP000058.1?report=graph&amp;tracks=[key:gene_model_track,Options:GeneOnly]&amp;mk=1375782:1375801|offset_14|00cc00,1375756:1375775|offset_40|444444,1375735:1375754|offset_61|444444,1375698:1375717|offset_98|444444&amp;v=1375581:1375917&amp;c=444444", "offset 14")</f>
        <v>offset 14</v>
      </c>
    </row>
    <row r="4335" customFormat="false" ht="12.8" hidden="false" customHeight="false" outlineLevel="0" collapsed="false">
      <c r="A4335" s="0" t="s">
        <v>12</v>
      </c>
      <c r="B4335" s="0" t="n">
        <v>1375755</v>
      </c>
      <c r="C4335" s="0" t="n">
        <v>1375775</v>
      </c>
      <c r="D4335" s="0" t="s">
        <v>14443</v>
      </c>
      <c r="E4335" s="0" t="s">
        <v>75</v>
      </c>
      <c r="F4335" s="0" t="s">
        <v>90</v>
      </c>
      <c r="G4335" s="0" t="s">
        <v>36</v>
      </c>
      <c r="H4335" s="0" t="n">
        <v>40</v>
      </c>
      <c r="I4335" s="0" t="s">
        <v>14447</v>
      </c>
      <c r="J4335" s="0" t="s">
        <v>14448</v>
      </c>
      <c r="K4335" s="0" t="s">
        <v>14449</v>
      </c>
      <c r="L4335" s="0" t="str">
        <f aca="false">HYPERLINK("https://www.ncbi.nlm.nih.gov/nuccore/CP000058.1?report=graph&amp;tracks=[key:gene_model_track,Options:GeneOnly]&amp;mk=1375782:1375801|offset_14|444444,1375756:1375775|offset_40|00cc00,1375735:1375754|offset_61|444444,1375698:1375717|offset_98|444444&amp;v=1375581:1375917&amp;c=444444", "offset 40")</f>
        <v>offset 40</v>
      </c>
    </row>
    <row r="4336" customFormat="false" ht="12.8" hidden="false" customHeight="false" outlineLevel="0" collapsed="false">
      <c r="A4336" s="0" t="s">
        <v>12</v>
      </c>
      <c r="B4336" s="0" t="n">
        <v>1375734</v>
      </c>
      <c r="C4336" s="0" t="n">
        <v>1375754</v>
      </c>
      <c r="D4336" s="0" t="s">
        <v>14443</v>
      </c>
      <c r="E4336" s="0" t="s">
        <v>75</v>
      </c>
      <c r="F4336" s="0" t="s">
        <v>90</v>
      </c>
      <c r="G4336" s="0" t="s">
        <v>32</v>
      </c>
      <c r="H4336" s="0" t="n">
        <v>61</v>
      </c>
      <c r="I4336" s="0" t="s">
        <v>14450</v>
      </c>
      <c r="J4336" s="0" t="s">
        <v>14451</v>
      </c>
      <c r="K4336" s="0" t="s">
        <v>14452</v>
      </c>
      <c r="L4336" s="0" t="str">
        <f aca="false">HYPERLINK("https://www.ncbi.nlm.nih.gov/nuccore/CP000058.1?report=graph&amp;tracks=[key:gene_model_track,Options:GeneOnly]&amp;mk=1375782:1375801|offset_14|444444,1375756:1375775|offset_40|444444,1375735:1375754|offset_61|00cc00,1375698:1375717|offset_98|444444&amp;v=1375581:1375917&amp;c=444444", "offset 61")</f>
        <v>offset 61</v>
      </c>
    </row>
    <row r="4337" customFormat="false" ht="12.8" hidden="false" customHeight="false" outlineLevel="0" collapsed="false">
      <c r="A4337" s="0" t="s">
        <v>12</v>
      </c>
      <c r="B4337" s="0" t="n">
        <v>1375697</v>
      </c>
      <c r="C4337" s="0" t="n">
        <v>1375717</v>
      </c>
      <c r="D4337" s="0" t="s">
        <v>14443</v>
      </c>
      <c r="E4337" s="0" t="s">
        <v>75</v>
      </c>
      <c r="F4337" s="0" t="s">
        <v>90</v>
      </c>
      <c r="G4337" s="0" t="s">
        <v>20</v>
      </c>
      <c r="H4337" s="0" t="n">
        <v>98</v>
      </c>
      <c r="I4337" s="0" t="s">
        <v>14453</v>
      </c>
      <c r="J4337" s="0" t="s">
        <v>14454</v>
      </c>
      <c r="K4337" s="0" t="s">
        <v>14455</v>
      </c>
      <c r="L4337" s="0" t="str">
        <f aca="false">HYPERLINK("https://www.ncbi.nlm.nih.gov/nuccore/CP000058.1?report=graph&amp;tracks=[key:gene_model_track,Options:GeneOnly]&amp;mk=1375782:1375801|offset_14|444444,1375756:1375775|offset_40|444444,1375735:1375754|offset_61|444444,1375698:1375717|offset_98|00cc00&amp;v=1375581:1375917&amp;c=444444", "offset 98")</f>
        <v>offset 98</v>
      </c>
    </row>
    <row r="4338" customFormat="false" ht="12.8" hidden="false" customHeight="false" outlineLevel="0" collapsed="false">
      <c r="A4338" s="0" t="s">
        <v>12</v>
      </c>
      <c r="B4338" s="0" t="n">
        <v>1376399</v>
      </c>
      <c r="C4338" s="0" t="n">
        <v>1376419</v>
      </c>
      <c r="D4338" s="0" t="s">
        <v>14456</v>
      </c>
      <c r="E4338" s="0" t="s">
        <v>75</v>
      </c>
      <c r="F4338" s="0" t="s">
        <v>90</v>
      </c>
      <c r="G4338" s="0" t="s">
        <v>36</v>
      </c>
      <c r="H4338" s="0" t="n">
        <v>7</v>
      </c>
      <c r="I4338" s="0" t="s">
        <v>14457</v>
      </c>
      <c r="J4338" s="0" t="s">
        <v>14458</v>
      </c>
      <c r="K4338" s="0" t="s">
        <v>14459</v>
      </c>
      <c r="L4338" s="0" t="str">
        <f aca="false">HYPERLINK("https://www.ncbi.nlm.nih.gov/nuccore/CP000058.1?report=graph&amp;tracks=[key:gene_model_track,Options:GeneOnly]&amp;mk=1376400:1376419|offset_7|00cc00,1376363:1376382|offset_44|444444,1376341:1376360|offset_66|444444,1376302:1376321|offset_105|444444&amp;v=1376199:1376521&amp;c=444444", "offset 7")</f>
        <v>offset 7</v>
      </c>
    </row>
    <row r="4339" customFormat="false" ht="12.8" hidden="false" customHeight="false" outlineLevel="0" collapsed="false">
      <c r="A4339" s="0" t="s">
        <v>12</v>
      </c>
      <c r="B4339" s="0" t="n">
        <v>1376362</v>
      </c>
      <c r="C4339" s="0" t="n">
        <v>1376382</v>
      </c>
      <c r="D4339" s="0" t="s">
        <v>14456</v>
      </c>
      <c r="E4339" s="0" t="s">
        <v>75</v>
      </c>
      <c r="F4339" s="0" t="s">
        <v>90</v>
      </c>
      <c r="G4339" s="0" t="s">
        <v>20</v>
      </c>
      <c r="H4339" s="0" t="n">
        <v>44</v>
      </c>
      <c r="I4339" s="0" t="s">
        <v>14460</v>
      </c>
      <c r="J4339" s="0" t="s">
        <v>14461</v>
      </c>
      <c r="K4339" s="0" t="s">
        <v>14462</v>
      </c>
      <c r="L4339" s="0" t="str">
        <f aca="false">HYPERLINK("https://www.ncbi.nlm.nih.gov/nuccore/CP000058.1?report=graph&amp;tracks=[key:gene_model_track,Options:GeneOnly]&amp;mk=1376400:1376419|offset_7|444444,1376363:1376382|offset_44|00cc00,1376341:1376360|offset_66|444444,1376302:1376321|offset_105|444444&amp;v=1376199:1376521&amp;c=444444", "offset 44")</f>
        <v>offset 44</v>
      </c>
    </row>
    <row r="4340" customFormat="false" ht="12.8" hidden="false" customHeight="false" outlineLevel="0" collapsed="false">
      <c r="A4340" s="0" t="s">
        <v>12</v>
      </c>
      <c r="B4340" s="0" t="n">
        <v>1376340</v>
      </c>
      <c r="C4340" s="0" t="n">
        <v>1376360</v>
      </c>
      <c r="D4340" s="0" t="s">
        <v>14456</v>
      </c>
      <c r="E4340" s="0" t="s">
        <v>75</v>
      </c>
      <c r="F4340" s="0" t="s">
        <v>90</v>
      </c>
      <c r="G4340" s="0" t="s">
        <v>32</v>
      </c>
      <c r="H4340" s="0" t="n">
        <v>66</v>
      </c>
      <c r="I4340" s="0" t="s">
        <v>14463</v>
      </c>
      <c r="J4340" s="0" t="s">
        <v>14464</v>
      </c>
      <c r="K4340" s="0" t="s">
        <v>14465</v>
      </c>
      <c r="L4340" s="0" t="str">
        <f aca="false">HYPERLINK("https://www.ncbi.nlm.nih.gov/nuccore/CP000058.1?report=graph&amp;tracks=[key:gene_model_track,Options:GeneOnly]&amp;mk=1376400:1376419|offset_7|444444,1376363:1376382|offset_44|444444,1376341:1376360|offset_66|00cc00,1376302:1376321|offset_105|444444&amp;v=1376199:1376521&amp;c=444444", "offset 66")</f>
        <v>offset 66</v>
      </c>
    </row>
    <row r="4341" customFormat="false" ht="12.8" hidden="false" customHeight="false" outlineLevel="0" collapsed="false">
      <c r="A4341" s="0" t="s">
        <v>12</v>
      </c>
      <c r="B4341" s="0" t="n">
        <v>1376301</v>
      </c>
      <c r="C4341" s="0" t="n">
        <v>1376321</v>
      </c>
      <c r="D4341" s="0" t="s">
        <v>14456</v>
      </c>
      <c r="E4341" s="0" t="s">
        <v>75</v>
      </c>
      <c r="F4341" s="0" t="s">
        <v>90</v>
      </c>
      <c r="G4341" s="0" t="s">
        <v>16</v>
      </c>
      <c r="H4341" s="0" t="n">
        <v>105</v>
      </c>
      <c r="I4341" s="0" t="s">
        <v>14466</v>
      </c>
      <c r="J4341" s="0" t="s">
        <v>14467</v>
      </c>
      <c r="K4341" s="0" t="s">
        <v>14468</v>
      </c>
      <c r="L4341" s="0" t="str">
        <f aca="false">HYPERLINK("https://www.ncbi.nlm.nih.gov/nuccore/CP000058.1?report=graph&amp;tracks=[key:gene_model_track,Options:GeneOnly]&amp;mk=1376400:1376419|offset_7|444444,1376363:1376382|offset_44|444444,1376341:1376360|offset_66|444444,1376302:1376321|offset_105|00cc00&amp;v=1376199:1376521&amp;c=444444", "offset 105")</f>
        <v>offset 105</v>
      </c>
    </row>
    <row r="4342" customFormat="false" ht="12.8" hidden="false" customHeight="false" outlineLevel="0" collapsed="false">
      <c r="A4342" s="0" t="s">
        <v>12</v>
      </c>
      <c r="B4342" s="0" t="n">
        <v>1379103</v>
      </c>
      <c r="C4342" s="0" t="n">
        <v>1379123</v>
      </c>
      <c r="D4342" s="0" t="s">
        <v>14469</v>
      </c>
      <c r="E4342" s="0" t="s">
        <v>75</v>
      </c>
      <c r="F4342" s="0" t="s">
        <v>90</v>
      </c>
      <c r="G4342" s="0" t="s">
        <v>16</v>
      </c>
      <c r="H4342" s="0" t="n">
        <v>0</v>
      </c>
      <c r="I4342" s="0" t="s">
        <v>14470</v>
      </c>
      <c r="J4342" s="0" t="s">
        <v>14471</v>
      </c>
      <c r="K4342" s="0" t="s">
        <v>14472</v>
      </c>
      <c r="L4342" s="0" t="str">
        <f aca="false">HYPERLINK("https://www.ncbi.nlm.nih.gov/nuccore/CP000058.1?report=graph&amp;tracks=[key:gene_model_track,Options:GeneOnly]&amp;mk=1379104:1379123|offset_0|00cc00,1379083:1379102|offset_21|444444,1379022:1379041|offset_82|444444,1379001:1379020|offset_103|444444&amp;v=1378903:1379220&amp;c=444444", "offset 0")</f>
        <v>offset 0</v>
      </c>
    </row>
    <row r="4343" customFormat="false" ht="12.8" hidden="false" customHeight="false" outlineLevel="0" collapsed="false">
      <c r="A4343" s="0" t="s">
        <v>12</v>
      </c>
      <c r="B4343" s="0" t="n">
        <v>1379082</v>
      </c>
      <c r="C4343" s="0" t="n">
        <v>1379102</v>
      </c>
      <c r="D4343" s="0" t="s">
        <v>14469</v>
      </c>
      <c r="E4343" s="0" t="s">
        <v>75</v>
      </c>
      <c r="F4343" s="0" t="s">
        <v>90</v>
      </c>
      <c r="G4343" s="0" t="s">
        <v>20</v>
      </c>
      <c r="H4343" s="0" t="n">
        <v>21</v>
      </c>
      <c r="I4343" s="0" t="s">
        <v>14473</v>
      </c>
      <c r="J4343" s="0" t="s">
        <v>14474</v>
      </c>
      <c r="K4343" s="0" t="s">
        <v>14475</v>
      </c>
      <c r="L4343" s="0" t="str">
        <f aca="false">HYPERLINK("https://www.ncbi.nlm.nih.gov/nuccore/CP000058.1?report=graph&amp;tracks=[key:gene_model_track,Options:GeneOnly]&amp;mk=1379104:1379123|offset_0|444444,1379083:1379102|offset_21|00cc00,1379022:1379041|offset_82|444444,1379001:1379020|offset_103|444444&amp;v=1378903:1379220&amp;c=444444", "offset 21")</f>
        <v>offset 21</v>
      </c>
    </row>
    <row r="4344" customFormat="false" ht="12.8" hidden="false" customHeight="false" outlineLevel="0" collapsed="false">
      <c r="A4344" s="0" t="s">
        <v>12</v>
      </c>
      <c r="B4344" s="0" t="n">
        <v>1379021</v>
      </c>
      <c r="C4344" s="0" t="n">
        <v>1379041</v>
      </c>
      <c r="D4344" s="0" t="s">
        <v>14469</v>
      </c>
      <c r="E4344" s="0" t="s">
        <v>75</v>
      </c>
      <c r="F4344" s="0" t="s">
        <v>90</v>
      </c>
      <c r="G4344" s="0" t="s">
        <v>32</v>
      </c>
      <c r="H4344" s="0" t="n">
        <v>82</v>
      </c>
      <c r="I4344" s="0" t="s">
        <v>14476</v>
      </c>
      <c r="J4344" s="0" t="s">
        <v>14477</v>
      </c>
      <c r="K4344" s="0" t="s">
        <v>14478</v>
      </c>
      <c r="L4344" s="0" t="str">
        <f aca="false">HYPERLINK("https://www.ncbi.nlm.nih.gov/nuccore/CP000058.1?report=graph&amp;tracks=[key:gene_model_track,Options:GeneOnly]&amp;mk=1379104:1379123|offset_0|444444,1379083:1379102|offset_21|444444,1379022:1379041|offset_82|00cc00,1379001:1379020|offset_103|444444&amp;v=1378903:1379220&amp;c=444444", "offset 82")</f>
        <v>offset 82</v>
      </c>
    </row>
    <row r="4345" customFormat="false" ht="12.8" hidden="false" customHeight="false" outlineLevel="0" collapsed="false">
      <c r="A4345" s="0" t="s">
        <v>12</v>
      </c>
      <c r="B4345" s="0" t="n">
        <v>1379000</v>
      </c>
      <c r="C4345" s="0" t="n">
        <v>1379020</v>
      </c>
      <c r="D4345" s="0" t="s">
        <v>14469</v>
      </c>
      <c r="E4345" s="0" t="s">
        <v>75</v>
      </c>
      <c r="F4345" s="0" t="s">
        <v>90</v>
      </c>
      <c r="G4345" s="0" t="s">
        <v>32</v>
      </c>
      <c r="H4345" s="0" t="n">
        <v>103</v>
      </c>
      <c r="I4345" s="0" t="s">
        <v>14479</v>
      </c>
      <c r="J4345" s="0" t="s">
        <v>14480</v>
      </c>
      <c r="K4345" s="0" t="s">
        <v>14481</v>
      </c>
      <c r="L4345" s="0" t="str">
        <f aca="false">HYPERLINK("https://www.ncbi.nlm.nih.gov/nuccore/CP000058.1?report=graph&amp;tracks=[key:gene_model_track,Options:GeneOnly]&amp;mk=1379104:1379123|offset_0|444444,1379083:1379102|offset_21|444444,1379022:1379041|offset_82|444444,1379001:1379020|offset_103|00cc00&amp;v=1378903:1379220&amp;c=444444", "offset 103")</f>
        <v>offset 103</v>
      </c>
    </row>
    <row r="4346" customFormat="false" ht="12.8" hidden="false" customHeight="false" outlineLevel="0" collapsed="false">
      <c r="A4346" s="0" t="s">
        <v>12</v>
      </c>
      <c r="B4346" s="0" t="n">
        <v>1380183</v>
      </c>
      <c r="C4346" s="0" t="n">
        <v>1380203</v>
      </c>
      <c r="D4346" s="0" t="s">
        <v>14482</v>
      </c>
      <c r="E4346" s="0" t="s">
        <v>75</v>
      </c>
      <c r="F4346" s="0" t="s">
        <v>90</v>
      </c>
      <c r="G4346" s="0" t="s">
        <v>36</v>
      </c>
      <c r="H4346" s="0" t="n">
        <v>7</v>
      </c>
      <c r="I4346" s="0" t="s">
        <v>14483</v>
      </c>
      <c r="J4346" s="0" t="s">
        <v>14484</v>
      </c>
      <c r="K4346" s="0" t="s">
        <v>14485</v>
      </c>
      <c r="L4346" s="0" t="str">
        <f aca="false">HYPERLINK("https://www.ncbi.nlm.nih.gov/nuccore/CP000058.1?report=graph&amp;tracks=[key:gene_model_track,Options:GeneOnly]&amp;mk=1380184:1380203|offset_7|00cc00,1380112:1380131|offset_79|444444,1380082:1380101|offset_109|444444,1380046:1380065|offset_145|444444&amp;v=1379983:1380265&amp;c=444444", "offset 7")</f>
        <v>offset 7</v>
      </c>
    </row>
    <row r="4347" customFormat="false" ht="12.8" hidden="false" customHeight="false" outlineLevel="0" collapsed="false">
      <c r="A4347" s="0" t="s">
        <v>12</v>
      </c>
      <c r="B4347" s="0" t="n">
        <v>1380111</v>
      </c>
      <c r="C4347" s="0" t="n">
        <v>1380131</v>
      </c>
      <c r="D4347" s="0" t="s">
        <v>14482</v>
      </c>
      <c r="E4347" s="0" t="s">
        <v>75</v>
      </c>
      <c r="F4347" s="0" t="s">
        <v>90</v>
      </c>
      <c r="G4347" s="0" t="s">
        <v>20</v>
      </c>
      <c r="H4347" s="0" t="n">
        <v>79</v>
      </c>
      <c r="I4347" s="0" t="s">
        <v>14486</v>
      </c>
      <c r="J4347" s="0" t="s">
        <v>14487</v>
      </c>
      <c r="K4347" s="0" t="s">
        <v>14488</v>
      </c>
      <c r="L4347" s="0" t="str">
        <f aca="false">HYPERLINK("https://www.ncbi.nlm.nih.gov/nuccore/CP000058.1?report=graph&amp;tracks=[key:gene_model_track,Options:GeneOnly]&amp;mk=1380184:1380203|offset_7|444444,1380112:1380131|offset_79|00cc00,1380082:1380101|offset_109|444444,1380046:1380065|offset_145|444444&amp;v=1379983:1380265&amp;c=444444", "offset 79")</f>
        <v>offset 79</v>
      </c>
    </row>
    <row r="4348" customFormat="false" ht="12.8" hidden="false" customHeight="false" outlineLevel="0" collapsed="false">
      <c r="A4348" s="0" t="s">
        <v>12</v>
      </c>
      <c r="B4348" s="0" t="n">
        <v>1380081</v>
      </c>
      <c r="C4348" s="0" t="n">
        <v>1380101</v>
      </c>
      <c r="D4348" s="0" t="s">
        <v>14482</v>
      </c>
      <c r="E4348" s="0" t="s">
        <v>75</v>
      </c>
      <c r="F4348" s="0" t="s">
        <v>90</v>
      </c>
      <c r="G4348" s="0" t="s">
        <v>32</v>
      </c>
      <c r="H4348" s="0" t="n">
        <v>109</v>
      </c>
      <c r="I4348" s="0" t="s">
        <v>14489</v>
      </c>
      <c r="J4348" s="0" t="s">
        <v>14490</v>
      </c>
      <c r="K4348" s="0" t="s">
        <v>14491</v>
      </c>
      <c r="L4348" s="0" t="str">
        <f aca="false">HYPERLINK("https://www.ncbi.nlm.nih.gov/nuccore/CP000058.1?report=graph&amp;tracks=[key:gene_model_track,Options:GeneOnly]&amp;mk=1380184:1380203|offset_7|444444,1380112:1380131|offset_79|444444,1380082:1380101|offset_109|00cc00,1380046:1380065|offset_145|444444&amp;v=1379983:1380265&amp;c=444444", "offset 109")</f>
        <v>offset 109</v>
      </c>
    </row>
    <row r="4349" customFormat="false" ht="12.8" hidden="false" customHeight="false" outlineLevel="0" collapsed="false">
      <c r="A4349" s="0" t="s">
        <v>12</v>
      </c>
      <c r="B4349" s="0" t="n">
        <v>1380045</v>
      </c>
      <c r="C4349" s="0" t="n">
        <v>1380065</v>
      </c>
      <c r="D4349" s="0" t="s">
        <v>14482</v>
      </c>
      <c r="E4349" s="0" t="s">
        <v>75</v>
      </c>
      <c r="F4349" s="0" t="s">
        <v>90</v>
      </c>
      <c r="G4349" s="0" t="s">
        <v>16</v>
      </c>
      <c r="H4349" s="0" t="n">
        <v>145</v>
      </c>
      <c r="I4349" s="0" t="s">
        <v>14492</v>
      </c>
      <c r="J4349" s="0" t="s">
        <v>14493</v>
      </c>
      <c r="K4349" s="0" t="s">
        <v>14494</v>
      </c>
      <c r="L4349" s="0" t="str">
        <f aca="false">HYPERLINK("https://www.ncbi.nlm.nih.gov/nuccore/CP000058.1?report=graph&amp;tracks=[key:gene_model_track,Options:GeneOnly]&amp;mk=1380184:1380203|offset_7|444444,1380112:1380131|offset_79|444444,1380082:1380101|offset_109|444444,1380046:1380065|offset_145|00cc00&amp;v=1379983:1380265&amp;c=444444", "offset 145")</f>
        <v>offset 145</v>
      </c>
    </row>
    <row r="4350" customFormat="false" ht="12.8" hidden="false" customHeight="false" outlineLevel="0" collapsed="false">
      <c r="A4350" s="0" t="s">
        <v>12</v>
      </c>
      <c r="B4350" s="0" t="n">
        <v>1380772</v>
      </c>
      <c r="C4350" s="0" t="n">
        <v>1380792</v>
      </c>
      <c r="D4350" s="0" t="s">
        <v>14495</v>
      </c>
      <c r="E4350" s="0" t="s">
        <v>75</v>
      </c>
      <c r="F4350" s="0" t="s">
        <v>90</v>
      </c>
      <c r="G4350" s="0" t="s">
        <v>20</v>
      </c>
      <c r="H4350" s="0" t="n">
        <v>41</v>
      </c>
      <c r="I4350" s="0" t="s">
        <v>14496</v>
      </c>
      <c r="J4350" s="0" t="s">
        <v>14497</v>
      </c>
      <c r="K4350" s="0" t="s">
        <v>14498</v>
      </c>
      <c r="L4350" s="0" t="str">
        <f aca="false">HYPERLINK("https://www.ncbi.nlm.nih.gov/nuccore/CP000058.1?report=graph&amp;tracks=[key:gene_model_track,Options:GeneOnly]&amp;mk=1380773:1380792|offset_41|00cc00,1380732:1380751|offset_82|444444,1380708:1380727|offset_106|444444,1380686:1380705|offset_128|444444&amp;v=1380572:1380905&amp;c=444444", "offset 41")</f>
        <v>offset 41</v>
      </c>
    </row>
    <row r="4351" customFormat="false" ht="12.8" hidden="false" customHeight="false" outlineLevel="0" collapsed="false">
      <c r="A4351" s="0" t="s">
        <v>12</v>
      </c>
      <c r="B4351" s="0" t="n">
        <v>1380731</v>
      </c>
      <c r="C4351" s="0" t="n">
        <v>1380751</v>
      </c>
      <c r="D4351" s="0" t="s">
        <v>14495</v>
      </c>
      <c r="E4351" s="0" t="s">
        <v>75</v>
      </c>
      <c r="F4351" s="0" t="s">
        <v>90</v>
      </c>
      <c r="G4351" s="0" t="s">
        <v>36</v>
      </c>
      <c r="H4351" s="0" t="n">
        <v>82</v>
      </c>
      <c r="I4351" s="0" t="s">
        <v>14499</v>
      </c>
      <c r="J4351" s="0" t="s">
        <v>14500</v>
      </c>
      <c r="K4351" s="0" t="s">
        <v>14501</v>
      </c>
      <c r="L4351" s="0" t="str">
        <f aca="false">HYPERLINK("https://www.ncbi.nlm.nih.gov/nuccore/CP000058.1?report=graph&amp;tracks=[key:gene_model_track,Options:GeneOnly]&amp;mk=1380773:1380792|offset_41|444444,1380732:1380751|offset_82|00cc00,1380708:1380727|offset_106|444444,1380686:1380705|offset_128|444444&amp;v=1380572:1380905&amp;c=444444", "offset 82")</f>
        <v>offset 82</v>
      </c>
    </row>
    <row r="4352" customFormat="false" ht="12.8" hidden="false" customHeight="false" outlineLevel="0" collapsed="false">
      <c r="A4352" s="0" t="s">
        <v>12</v>
      </c>
      <c r="B4352" s="0" t="n">
        <v>1380707</v>
      </c>
      <c r="C4352" s="0" t="n">
        <v>1380727</v>
      </c>
      <c r="D4352" s="0" t="s">
        <v>14495</v>
      </c>
      <c r="E4352" s="0" t="s">
        <v>75</v>
      </c>
      <c r="F4352" s="0" t="s">
        <v>90</v>
      </c>
      <c r="G4352" s="0" t="s">
        <v>36</v>
      </c>
      <c r="H4352" s="0" t="n">
        <v>106</v>
      </c>
      <c r="I4352" s="0" t="s">
        <v>14502</v>
      </c>
      <c r="J4352" s="0" t="s">
        <v>14503</v>
      </c>
      <c r="K4352" s="0" t="s">
        <v>14504</v>
      </c>
      <c r="L4352" s="0" t="str">
        <f aca="false">HYPERLINK("https://www.ncbi.nlm.nih.gov/nuccore/CP000058.1?report=graph&amp;tracks=[key:gene_model_track,Options:GeneOnly]&amp;mk=1380773:1380792|offset_41|444444,1380732:1380751|offset_82|444444,1380708:1380727|offset_106|00cc00,1380686:1380705|offset_128|444444&amp;v=1380572:1380905&amp;c=444444", "offset 106")</f>
        <v>offset 106</v>
      </c>
    </row>
    <row r="4353" customFormat="false" ht="12.8" hidden="false" customHeight="false" outlineLevel="0" collapsed="false">
      <c r="A4353" s="0" t="s">
        <v>12</v>
      </c>
      <c r="B4353" s="0" t="n">
        <v>1380685</v>
      </c>
      <c r="C4353" s="0" t="n">
        <v>1380705</v>
      </c>
      <c r="D4353" s="0" t="s">
        <v>14495</v>
      </c>
      <c r="E4353" s="0" t="s">
        <v>75</v>
      </c>
      <c r="F4353" s="0" t="s">
        <v>90</v>
      </c>
      <c r="G4353" s="0" t="s">
        <v>32</v>
      </c>
      <c r="H4353" s="0" t="n">
        <v>128</v>
      </c>
      <c r="I4353" s="0" t="s">
        <v>14505</v>
      </c>
      <c r="J4353" s="0" t="s">
        <v>14506</v>
      </c>
      <c r="K4353" s="0" t="s">
        <v>14507</v>
      </c>
      <c r="L4353" s="0" t="str">
        <f aca="false">HYPERLINK("https://www.ncbi.nlm.nih.gov/nuccore/CP000058.1?report=graph&amp;tracks=[key:gene_model_track,Options:GeneOnly]&amp;mk=1380773:1380792|offset_41|444444,1380732:1380751|offset_82|444444,1380708:1380727|offset_106|444444,1380686:1380705|offset_128|00cc00&amp;v=1380572:1380905&amp;c=444444", "offset 128")</f>
        <v>offset 128</v>
      </c>
    </row>
    <row r="4354" customFormat="false" ht="12.8" hidden="false" customHeight="false" outlineLevel="0" collapsed="false">
      <c r="A4354" s="0" t="s">
        <v>12</v>
      </c>
      <c r="B4354" s="0" t="n">
        <v>1381863</v>
      </c>
      <c r="C4354" s="0" t="n">
        <v>1381883</v>
      </c>
      <c r="D4354" s="0" t="s">
        <v>14508</v>
      </c>
      <c r="E4354" s="0" t="s">
        <v>14509</v>
      </c>
      <c r="F4354" s="0" t="s">
        <v>90</v>
      </c>
      <c r="G4354" s="0" t="s">
        <v>16</v>
      </c>
      <c r="H4354" s="0" t="n">
        <v>35</v>
      </c>
      <c r="I4354" s="0" t="s">
        <v>14510</v>
      </c>
      <c r="J4354" s="0" t="s">
        <v>14511</v>
      </c>
      <c r="K4354" s="0" t="s">
        <v>14512</v>
      </c>
      <c r="L4354" s="0" t="str">
        <f aca="false">HYPERLINK("https://www.ncbi.nlm.nih.gov/nuccore/CP000058.1?report=graph&amp;tracks=[key:gene_model_track,Options:GeneOnly]&amp;mk=1381864:1381883|offset_35|00cc00,1381828:1381847|offset_71|444444,1381796:1381815|offset_103|444444,1381759:1381778|offset_140|444444&amp;v=1381663:1381978&amp;c=444444", "offset 35")</f>
        <v>offset 35</v>
      </c>
    </row>
    <row r="4355" customFormat="false" ht="12.8" hidden="false" customHeight="false" outlineLevel="0" collapsed="false">
      <c r="A4355" s="0" t="s">
        <v>12</v>
      </c>
      <c r="B4355" s="0" t="n">
        <v>1381827</v>
      </c>
      <c r="C4355" s="0" t="n">
        <v>1381847</v>
      </c>
      <c r="D4355" s="0" t="s">
        <v>14508</v>
      </c>
      <c r="E4355" s="0" t="s">
        <v>14509</v>
      </c>
      <c r="F4355" s="0" t="s">
        <v>90</v>
      </c>
      <c r="G4355" s="0" t="s">
        <v>32</v>
      </c>
      <c r="H4355" s="0" t="n">
        <v>71</v>
      </c>
      <c r="I4355" s="0" t="s">
        <v>14513</v>
      </c>
      <c r="J4355" s="0" t="s">
        <v>14514</v>
      </c>
      <c r="K4355" s="0" t="s">
        <v>14515</v>
      </c>
      <c r="L4355" s="0" t="str">
        <f aca="false">HYPERLINK("https://www.ncbi.nlm.nih.gov/nuccore/CP000058.1?report=graph&amp;tracks=[key:gene_model_track,Options:GeneOnly]&amp;mk=1381864:1381883|offset_35|444444,1381828:1381847|offset_71|00cc00,1381796:1381815|offset_103|444444,1381759:1381778|offset_140|444444&amp;v=1381663:1381978&amp;c=444444", "offset 71")</f>
        <v>offset 71</v>
      </c>
    </row>
    <row r="4356" customFormat="false" ht="12.8" hidden="false" customHeight="false" outlineLevel="0" collapsed="false">
      <c r="A4356" s="0" t="s">
        <v>12</v>
      </c>
      <c r="B4356" s="0" t="n">
        <v>1381795</v>
      </c>
      <c r="C4356" s="0" t="n">
        <v>1381815</v>
      </c>
      <c r="D4356" s="0" t="s">
        <v>14508</v>
      </c>
      <c r="E4356" s="0" t="s">
        <v>14509</v>
      </c>
      <c r="F4356" s="0" t="s">
        <v>90</v>
      </c>
      <c r="G4356" s="0" t="s">
        <v>32</v>
      </c>
      <c r="H4356" s="0" t="n">
        <v>103</v>
      </c>
      <c r="I4356" s="0" t="s">
        <v>14516</v>
      </c>
      <c r="J4356" s="0" t="s">
        <v>14517</v>
      </c>
      <c r="K4356" s="0" t="s">
        <v>14518</v>
      </c>
      <c r="L4356" s="0" t="str">
        <f aca="false">HYPERLINK("https://www.ncbi.nlm.nih.gov/nuccore/CP000058.1?report=graph&amp;tracks=[key:gene_model_track,Options:GeneOnly]&amp;mk=1381864:1381883|offset_35|444444,1381828:1381847|offset_71|444444,1381796:1381815|offset_103|00cc00,1381759:1381778|offset_140|444444&amp;v=1381663:1381978&amp;c=444444", "offset 103")</f>
        <v>offset 103</v>
      </c>
    </row>
    <row r="4357" customFormat="false" ht="12.8" hidden="false" customHeight="false" outlineLevel="0" collapsed="false">
      <c r="A4357" s="0" t="s">
        <v>12</v>
      </c>
      <c r="B4357" s="0" t="n">
        <v>1381758</v>
      </c>
      <c r="C4357" s="0" t="n">
        <v>1381778</v>
      </c>
      <c r="D4357" s="0" t="s">
        <v>14508</v>
      </c>
      <c r="E4357" s="0" t="s">
        <v>14509</v>
      </c>
      <c r="F4357" s="0" t="s">
        <v>90</v>
      </c>
      <c r="G4357" s="0" t="s">
        <v>20</v>
      </c>
      <c r="H4357" s="0" t="n">
        <v>140</v>
      </c>
      <c r="I4357" s="0" t="s">
        <v>14519</v>
      </c>
      <c r="J4357" s="0" t="s">
        <v>14520</v>
      </c>
      <c r="K4357" s="0" t="s">
        <v>14521</v>
      </c>
      <c r="L4357" s="0" t="str">
        <f aca="false">HYPERLINK("https://www.ncbi.nlm.nih.gov/nuccore/CP000058.1?report=graph&amp;tracks=[key:gene_model_track,Options:GeneOnly]&amp;mk=1381864:1381883|offset_35|444444,1381828:1381847|offset_71|444444,1381796:1381815|offset_103|444444,1381759:1381778|offset_140|00cc00&amp;v=1381663:1381978&amp;c=444444", "offset 140")</f>
        <v>offset 140</v>
      </c>
    </row>
    <row r="4358" customFormat="false" ht="12.8" hidden="false" customHeight="false" outlineLevel="0" collapsed="false">
      <c r="A4358" s="0" t="s">
        <v>12</v>
      </c>
      <c r="B4358" s="0" t="n">
        <v>1382146</v>
      </c>
      <c r="C4358" s="0" t="n">
        <v>1382166</v>
      </c>
      <c r="D4358" s="0" t="s">
        <v>14522</v>
      </c>
      <c r="E4358" s="0" t="s">
        <v>14523</v>
      </c>
      <c r="F4358" s="0" t="s">
        <v>15</v>
      </c>
      <c r="G4358" s="0" t="s">
        <v>36</v>
      </c>
      <c r="H4358" s="0" t="n">
        <v>9</v>
      </c>
      <c r="I4358" s="0" t="s">
        <v>14524</v>
      </c>
      <c r="J4358" s="0" t="s">
        <v>14525</v>
      </c>
      <c r="K4358" s="0" t="s">
        <v>14526</v>
      </c>
      <c r="L4358" s="0" t="str">
        <f aca="false">HYPERLINK("https://www.ncbi.nlm.nih.gov/nuccore/CP000058.1?report=graph&amp;tracks=[key:gene_model_track,Options:GeneOnly]&amp;mk=1382147:1382166|offset_9|00cc00,1382181:1382200|offset_43|444444,1382209:1382228|offset_71|444444,1382242:1382261|offset_104|444444&amp;v=1381946:1382461&amp;c=444444", "offset 9")</f>
        <v>offset 9</v>
      </c>
    </row>
    <row r="4359" customFormat="false" ht="12.8" hidden="false" customHeight="false" outlineLevel="0" collapsed="false">
      <c r="A4359" s="0" t="s">
        <v>12</v>
      </c>
      <c r="B4359" s="0" t="n">
        <v>1382180</v>
      </c>
      <c r="C4359" s="0" t="n">
        <v>1382200</v>
      </c>
      <c r="D4359" s="0" t="s">
        <v>14522</v>
      </c>
      <c r="E4359" s="0" t="s">
        <v>14523</v>
      </c>
      <c r="F4359" s="0" t="s">
        <v>15</v>
      </c>
      <c r="G4359" s="0" t="s">
        <v>36</v>
      </c>
      <c r="H4359" s="0" t="n">
        <v>43</v>
      </c>
      <c r="I4359" s="0" t="s">
        <v>14527</v>
      </c>
      <c r="J4359" s="0" t="s">
        <v>14528</v>
      </c>
      <c r="K4359" s="0" t="s">
        <v>14529</v>
      </c>
      <c r="L4359" s="0" t="str">
        <f aca="false">HYPERLINK("https://www.ncbi.nlm.nih.gov/nuccore/CP000058.1?report=graph&amp;tracks=[key:gene_model_track,Options:GeneOnly]&amp;mk=1382147:1382166|offset_9|444444,1382181:1382200|offset_43|00cc00,1382209:1382228|offset_71|444444,1382242:1382261|offset_104|444444&amp;v=1381946:1382461&amp;c=444444", "offset 43")</f>
        <v>offset 43</v>
      </c>
    </row>
    <row r="4360" customFormat="false" ht="12.8" hidden="false" customHeight="false" outlineLevel="0" collapsed="false">
      <c r="A4360" s="0" t="s">
        <v>12</v>
      </c>
      <c r="B4360" s="0" t="n">
        <v>1382208</v>
      </c>
      <c r="C4360" s="0" t="n">
        <v>1382228</v>
      </c>
      <c r="D4360" s="0" t="s">
        <v>14522</v>
      </c>
      <c r="E4360" s="0" t="s">
        <v>14523</v>
      </c>
      <c r="F4360" s="0" t="s">
        <v>15</v>
      </c>
      <c r="G4360" s="0" t="s">
        <v>20</v>
      </c>
      <c r="H4360" s="0" t="n">
        <v>71</v>
      </c>
      <c r="I4360" s="0" t="s">
        <v>14530</v>
      </c>
      <c r="J4360" s="0" t="s">
        <v>14531</v>
      </c>
      <c r="K4360" s="0" t="s">
        <v>14532</v>
      </c>
      <c r="L4360" s="0" t="str">
        <f aca="false">HYPERLINK("https://www.ncbi.nlm.nih.gov/nuccore/CP000058.1?report=graph&amp;tracks=[key:gene_model_track,Options:GeneOnly]&amp;mk=1382147:1382166|offset_9|444444,1382181:1382200|offset_43|444444,1382209:1382228|offset_71|00cc00,1382242:1382261|offset_104|444444&amp;v=1381946:1382461&amp;c=444444", "offset 71")</f>
        <v>offset 71</v>
      </c>
    </row>
    <row r="4361" customFormat="false" ht="12.8" hidden="false" customHeight="false" outlineLevel="0" collapsed="false">
      <c r="A4361" s="0" t="s">
        <v>12</v>
      </c>
      <c r="B4361" s="0" t="n">
        <v>1382241</v>
      </c>
      <c r="C4361" s="0" t="n">
        <v>1382261</v>
      </c>
      <c r="D4361" s="0" t="s">
        <v>14522</v>
      </c>
      <c r="E4361" s="0" t="s">
        <v>14523</v>
      </c>
      <c r="F4361" s="0" t="s">
        <v>15</v>
      </c>
      <c r="G4361" s="0" t="s">
        <v>36</v>
      </c>
      <c r="H4361" s="0" t="n">
        <v>104</v>
      </c>
      <c r="I4361" s="0" t="s">
        <v>14533</v>
      </c>
      <c r="J4361" s="0" t="s">
        <v>14534</v>
      </c>
      <c r="K4361" s="0" t="s">
        <v>14535</v>
      </c>
      <c r="L4361" s="0" t="str">
        <f aca="false">HYPERLINK("https://www.ncbi.nlm.nih.gov/nuccore/CP000058.1?report=graph&amp;tracks=[key:gene_model_track,Options:GeneOnly]&amp;mk=1382147:1382166|offset_9|444444,1382181:1382200|offset_43|444444,1382209:1382228|offset_71|444444,1382242:1382261|offset_104|00cc00&amp;v=1381946:1382461&amp;c=444444", "offset 104")</f>
        <v>offset 104</v>
      </c>
    </row>
    <row r="4362" customFormat="false" ht="12.8" hidden="false" customHeight="false" outlineLevel="0" collapsed="false">
      <c r="A4362" s="0" t="s">
        <v>12</v>
      </c>
      <c r="B4362" s="0" t="n">
        <v>1383973</v>
      </c>
      <c r="C4362" s="0" t="n">
        <v>1383993</v>
      </c>
      <c r="D4362" s="0" t="s">
        <v>14536</v>
      </c>
      <c r="E4362" s="0" t="s">
        <v>14537</v>
      </c>
      <c r="F4362" s="0" t="s">
        <v>15</v>
      </c>
      <c r="G4362" s="0" t="s">
        <v>36</v>
      </c>
      <c r="H4362" s="0" t="n">
        <v>13</v>
      </c>
      <c r="I4362" s="0" t="s">
        <v>14538</v>
      </c>
      <c r="J4362" s="0" t="s">
        <v>14539</v>
      </c>
      <c r="K4362" s="0" t="s">
        <v>14540</v>
      </c>
      <c r="L4362" s="0" t="str">
        <f aca="false">HYPERLINK("https://www.ncbi.nlm.nih.gov/nuccore/CP000058.1?report=graph&amp;tracks=[key:gene_model_track,Options:GeneOnly]&amp;mk=1383974:1383993|offset_13|00cc00,1383998:1384017|offset_37|444444,1384044:1384063|offset_83|444444,1384070:1384089|offset_109|444444&amp;v=1383773:1384289&amp;c=444444", "offset 13")</f>
        <v>offset 13</v>
      </c>
    </row>
    <row r="4363" customFormat="false" ht="12.8" hidden="false" customHeight="false" outlineLevel="0" collapsed="false">
      <c r="A4363" s="0" t="s">
        <v>12</v>
      </c>
      <c r="B4363" s="0" t="n">
        <v>1383997</v>
      </c>
      <c r="C4363" s="0" t="n">
        <v>1384017</v>
      </c>
      <c r="D4363" s="0" t="s">
        <v>14536</v>
      </c>
      <c r="E4363" s="0" t="s">
        <v>14537</v>
      </c>
      <c r="F4363" s="0" t="s">
        <v>15</v>
      </c>
      <c r="G4363" s="0" t="s">
        <v>32</v>
      </c>
      <c r="H4363" s="0" t="n">
        <v>37</v>
      </c>
      <c r="I4363" s="0" t="s">
        <v>14541</v>
      </c>
      <c r="J4363" s="0" t="s">
        <v>14542</v>
      </c>
      <c r="K4363" s="0" t="s">
        <v>14543</v>
      </c>
      <c r="L4363" s="0" t="str">
        <f aca="false">HYPERLINK("https://www.ncbi.nlm.nih.gov/nuccore/CP000058.1?report=graph&amp;tracks=[key:gene_model_track,Options:GeneOnly]&amp;mk=1383974:1383993|offset_13|444444,1383998:1384017|offset_37|00cc00,1384044:1384063|offset_83|444444,1384070:1384089|offset_109|444444&amp;v=1383773:1384289&amp;c=444444", "offset 37")</f>
        <v>offset 37</v>
      </c>
    </row>
    <row r="4364" customFormat="false" ht="12.8" hidden="false" customHeight="false" outlineLevel="0" collapsed="false">
      <c r="A4364" s="0" t="s">
        <v>12</v>
      </c>
      <c r="B4364" s="0" t="n">
        <v>1384043</v>
      </c>
      <c r="C4364" s="0" t="n">
        <v>1384063</v>
      </c>
      <c r="D4364" s="0" t="s">
        <v>14536</v>
      </c>
      <c r="E4364" s="0" t="s">
        <v>14537</v>
      </c>
      <c r="F4364" s="0" t="s">
        <v>15</v>
      </c>
      <c r="G4364" s="0" t="s">
        <v>16</v>
      </c>
      <c r="H4364" s="0" t="n">
        <v>83</v>
      </c>
      <c r="I4364" s="0" t="s">
        <v>14544</v>
      </c>
      <c r="J4364" s="0" t="s">
        <v>14545</v>
      </c>
      <c r="K4364" s="0" t="s">
        <v>14546</v>
      </c>
      <c r="L4364" s="0" t="str">
        <f aca="false">HYPERLINK("https://www.ncbi.nlm.nih.gov/nuccore/CP000058.1?report=graph&amp;tracks=[key:gene_model_track,Options:GeneOnly]&amp;mk=1383974:1383993|offset_13|444444,1383998:1384017|offset_37|444444,1384044:1384063|offset_83|00cc00,1384070:1384089|offset_109|444444&amp;v=1383773:1384289&amp;c=444444", "offset 83")</f>
        <v>offset 83</v>
      </c>
    </row>
    <row r="4365" customFormat="false" ht="12.8" hidden="false" customHeight="false" outlineLevel="0" collapsed="false">
      <c r="A4365" s="0" t="s">
        <v>12</v>
      </c>
      <c r="B4365" s="0" t="n">
        <v>1384069</v>
      </c>
      <c r="C4365" s="0" t="n">
        <v>1384089</v>
      </c>
      <c r="D4365" s="0" t="s">
        <v>14536</v>
      </c>
      <c r="E4365" s="0" t="s">
        <v>14537</v>
      </c>
      <c r="F4365" s="0" t="s">
        <v>15</v>
      </c>
      <c r="G4365" s="0" t="s">
        <v>16</v>
      </c>
      <c r="H4365" s="0" t="n">
        <v>109</v>
      </c>
      <c r="I4365" s="0" t="s">
        <v>14547</v>
      </c>
      <c r="J4365" s="0" t="s">
        <v>14548</v>
      </c>
      <c r="K4365" s="0" t="s">
        <v>14549</v>
      </c>
      <c r="L4365" s="0" t="str">
        <f aca="false">HYPERLINK("https://www.ncbi.nlm.nih.gov/nuccore/CP000058.1?report=graph&amp;tracks=[key:gene_model_track,Options:GeneOnly]&amp;mk=1383974:1383993|offset_13|444444,1383998:1384017|offset_37|444444,1384044:1384063|offset_83|444444,1384070:1384089|offset_109|00cc00&amp;v=1383773:1384289&amp;c=444444", "offset 109")</f>
        <v>offset 109</v>
      </c>
    </row>
    <row r="4366" customFormat="false" ht="12.8" hidden="false" customHeight="false" outlineLevel="0" collapsed="false">
      <c r="A4366" s="0" t="s">
        <v>12</v>
      </c>
      <c r="B4366" s="0" t="n">
        <v>1385046</v>
      </c>
      <c r="C4366" s="0" t="n">
        <v>1385066</v>
      </c>
      <c r="D4366" s="0" t="s">
        <v>14550</v>
      </c>
      <c r="E4366" s="0" t="s">
        <v>14551</v>
      </c>
      <c r="F4366" s="0" t="s">
        <v>15</v>
      </c>
      <c r="G4366" s="0" t="s">
        <v>20</v>
      </c>
      <c r="H4366" s="0" t="n">
        <v>70</v>
      </c>
      <c r="I4366" s="0" t="s">
        <v>14552</v>
      </c>
      <c r="J4366" s="0" t="s">
        <v>14553</v>
      </c>
      <c r="K4366" s="0" t="s">
        <v>14554</v>
      </c>
      <c r="L4366" s="0" t="str">
        <f aca="false">HYPERLINK("https://www.ncbi.nlm.nih.gov/nuccore/CP000058.1?report=graph&amp;tracks=[key:gene_model_track,Options:GeneOnly]&amp;mk=1385047:1385066|offset_70|00cc00,1385105:1385124|offset_128|444444,1385125:1385144|offset_148|444444,1385157:1385176|offset_180|444444&amp;v=1384846:1385376&amp;c=444444", "offset 70")</f>
        <v>offset 70</v>
      </c>
    </row>
    <row r="4367" customFormat="false" ht="12.8" hidden="false" customHeight="false" outlineLevel="0" collapsed="false">
      <c r="A4367" s="0" t="s">
        <v>12</v>
      </c>
      <c r="B4367" s="0" t="n">
        <v>1385104</v>
      </c>
      <c r="C4367" s="0" t="n">
        <v>1385124</v>
      </c>
      <c r="D4367" s="0" t="s">
        <v>14550</v>
      </c>
      <c r="E4367" s="0" t="s">
        <v>14551</v>
      </c>
      <c r="F4367" s="0" t="s">
        <v>15</v>
      </c>
      <c r="G4367" s="0" t="s">
        <v>16</v>
      </c>
      <c r="H4367" s="0" t="n">
        <v>128</v>
      </c>
      <c r="I4367" s="0" t="s">
        <v>14555</v>
      </c>
      <c r="J4367" s="0" t="s">
        <v>14556</v>
      </c>
      <c r="K4367" s="0" t="s">
        <v>14557</v>
      </c>
      <c r="L4367" s="0" t="str">
        <f aca="false">HYPERLINK("https://www.ncbi.nlm.nih.gov/nuccore/CP000058.1?report=graph&amp;tracks=[key:gene_model_track,Options:GeneOnly]&amp;mk=1385047:1385066|offset_70|444444,1385105:1385124|offset_128|00cc00,1385125:1385144|offset_148|444444,1385157:1385176|offset_180|444444&amp;v=1384846:1385376&amp;c=444444", "offset 128")</f>
        <v>offset 128</v>
      </c>
    </row>
    <row r="4368" customFormat="false" ht="12.8" hidden="false" customHeight="false" outlineLevel="0" collapsed="false">
      <c r="A4368" s="0" t="s">
        <v>12</v>
      </c>
      <c r="B4368" s="0" t="n">
        <v>1385124</v>
      </c>
      <c r="C4368" s="0" t="n">
        <v>1385144</v>
      </c>
      <c r="D4368" s="0" t="s">
        <v>14550</v>
      </c>
      <c r="E4368" s="0" t="s">
        <v>14551</v>
      </c>
      <c r="F4368" s="0" t="s">
        <v>15</v>
      </c>
      <c r="G4368" s="0" t="s">
        <v>32</v>
      </c>
      <c r="H4368" s="0" t="n">
        <v>148</v>
      </c>
      <c r="I4368" s="0" t="s">
        <v>14558</v>
      </c>
      <c r="J4368" s="0" t="s">
        <v>14559</v>
      </c>
      <c r="K4368" s="0" t="s">
        <v>14560</v>
      </c>
      <c r="L4368" s="0" t="str">
        <f aca="false">HYPERLINK("https://www.ncbi.nlm.nih.gov/nuccore/CP000058.1?report=graph&amp;tracks=[key:gene_model_track,Options:GeneOnly]&amp;mk=1385047:1385066|offset_70|444444,1385105:1385124|offset_128|444444,1385125:1385144|offset_148|00cc00,1385157:1385176|offset_180|444444&amp;v=1384846:1385376&amp;c=444444", "offset 148")</f>
        <v>offset 148</v>
      </c>
    </row>
    <row r="4369" customFormat="false" ht="12.8" hidden="false" customHeight="false" outlineLevel="0" collapsed="false">
      <c r="A4369" s="0" t="s">
        <v>12</v>
      </c>
      <c r="B4369" s="0" t="n">
        <v>1385156</v>
      </c>
      <c r="C4369" s="0" t="n">
        <v>1385176</v>
      </c>
      <c r="D4369" s="0" t="s">
        <v>14550</v>
      </c>
      <c r="E4369" s="0" t="s">
        <v>14551</v>
      </c>
      <c r="F4369" s="0" t="s">
        <v>15</v>
      </c>
      <c r="G4369" s="0" t="s">
        <v>36</v>
      </c>
      <c r="H4369" s="0" t="n">
        <v>180</v>
      </c>
      <c r="I4369" s="0" t="s">
        <v>14561</v>
      </c>
      <c r="J4369" s="0" t="s">
        <v>14562</v>
      </c>
      <c r="K4369" s="0" t="s">
        <v>14563</v>
      </c>
      <c r="L4369" s="0" t="str">
        <f aca="false">HYPERLINK("https://www.ncbi.nlm.nih.gov/nuccore/CP000058.1?report=graph&amp;tracks=[key:gene_model_track,Options:GeneOnly]&amp;mk=1385047:1385066|offset_70|444444,1385105:1385124|offset_128|444444,1385125:1385144|offset_148|444444,1385157:1385176|offset_180|00cc00&amp;v=1384846:1385376&amp;c=444444", "offset 180")</f>
        <v>offset 180</v>
      </c>
    </row>
    <row r="4370" customFormat="false" ht="12.8" hidden="false" customHeight="false" outlineLevel="0" collapsed="false">
      <c r="A4370" s="0" t="s">
        <v>12</v>
      </c>
      <c r="B4370" s="0" t="n">
        <v>1385721</v>
      </c>
      <c r="C4370" s="0" t="n">
        <v>1385741</v>
      </c>
      <c r="D4370" s="0" t="s">
        <v>14564</v>
      </c>
      <c r="E4370" s="0" t="s">
        <v>75</v>
      </c>
      <c r="F4370" s="0" t="s">
        <v>15</v>
      </c>
      <c r="G4370" s="0" t="s">
        <v>16</v>
      </c>
      <c r="H4370" s="0" t="n">
        <v>0</v>
      </c>
      <c r="I4370" s="0" t="s">
        <v>14565</v>
      </c>
      <c r="J4370" s="0" t="s">
        <v>14566</v>
      </c>
      <c r="K4370" s="0" t="s">
        <v>14567</v>
      </c>
      <c r="L4370" s="0" t="str">
        <f aca="false">HYPERLINK("https://www.ncbi.nlm.nih.gov/nuccore/CP000058.1?report=graph&amp;tracks=[key:gene_model_track,Options:GeneOnly]&amp;mk=1385722:1385741|offset_0|00cc00,1385744:1385763|offset_22|444444,1385825:1385844|offset_103|444444,1385855:1385874|offset_133|444444&amp;v=1385521:1386074&amp;c=444444", "offset 0")</f>
        <v>offset 0</v>
      </c>
    </row>
    <row r="4371" customFormat="false" ht="12.8" hidden="false" customHeight="false" outlineLevel="0" collapsed="false">
      <c r="A4371" s="0" t="s">
        <v>12</v>
      </c>
      <c r="B4371" s="0" t="n">
        <v>1385743</v>
      </c>
      <c r="C4371" s="0" t="n">
        <v>1385763</v>
      </c>
      <c r="D4371" s="0" t="s">
        <v>14564</v>
      </c>
      <c r="E4371" s="0" t="s">
        <v>75</v>
      </c>
      <c r="F4371" s="0" t="s">
        <v>15</v>
      </c>
      <c r="G4371" s="0" t="s">
        <v>16</v>
      </c>
      <c r="H4371" s="0" t="n">
        <v>22</v>
      </c>
      <c r="I4371" s="0" t="s">
        <v>14568</v>
      </c>
      <c r="J4371" s="0" t="s">
        <v>14569</v>
      </c>
      <c r="K4371" s="0" t="s">
        <v>14570</v>
      </c>
      <c r="L4371" s="0" t="str">
        <f aca="false">HYPERLINK("https://www.ncbi.nlm.nih.gov/nuccore/CP000058.1?report=graph&amp;tracks=[key:gene_model_track,Options:GeneOnly]&amp;mk=1385722:1385741|offset_0|444444,1385744:1385763|offset_22|00cc00,1385825:1385844|offset_103|444444,1385855:1385874|offset_133|444444&amp;v=1385521:1386074&amp;c=444444", "offset 22")</f>
        <v>offset 22</v>
      </c>
    </row>
    <row r="4372" customFormat="false" ht="12.8" hidden="false" customHeight="false" outlineLevel="0" collapsed="false">
      <c r="A4372" s="0" t="s">
        <v>12</v>
      </c>
      <c r="B4372" s="0" t="n">
        <v>1385824</v>
      </c>
      <c r="C4372" s="0" t="n">
        <v>1385844</v>
      </c>
      <c r="D4372" s="0" t="s">
        <v>14564</v>
      </c>
      <c r="E4372" s="0" t="s">
        <v>75</v>
      </c>
      <c r="F4372" s="0" t="s">
        <v>15</v>
      </c>
      <c r="G4372" s="0" t="s">
        <v>32</v>
      </c>
      <c r="H4372" s="0" t="n">
        <v>103</v>
      </c>
      <c r="I4372" s="0" t="s">
        <v>14571</v>
      </c>
      <c r="J4372" s="0" t="s">
        <v>14572</v>
      </c>
      <c r="K4372" s="0" t="s">
        <v>14573</v>
      </c>
      <c r="L4372" s="0" t="str">
        <f aca="false">HYPERLINK("https://www.ncbi.nlm.nih.gov/nuccore/CP000058.1?report=graph&amp;tracks=[key:gene_model_track,Options:GeneOnly]&amp;mk=1385722:1385741|offset_0|444444,1385744:1385763|offset_22|444444,1385825:1385844|offset_103|00cc00,1385855:1385874|offset_133|444444&amp;v=1385521:1386074&amp;c=444444", "offset 103")</f>
        <v>offset 103</v>
      </c>
    </row>
    <row r="4373" customFormat="false" ht="12.8" hidden="false" customHeight="false" outlineLevel="0" collapsed="false">
      <c r="A4373" s="0" t="s">
        <v>12</v>
      </c>
      <c r="B4373" s="0" t="n">
        <v>1385854</v>
      </c>
      <c r="C4373" s="0" t="n">
        <v>1385874</v>
      </c>
      <c r="D4373" s="0" t="s">
        <v>14564</v>
      </c>
      <c r="E4373" s="0" t="s">
        <v>75</v>
      </c>
      <c r="F4373" s="0" t="s">
        <v>15</v>
      </c>
      <c r="G4373" s="0" t="s">
        <v>32</v>
      </c>
      <c r="H4373" s="0" t="n">
        <v>133</v>
      </c>
      <c r="I4373" s="0" t="s">
        <v>14574</v>
      </c>
      <c r="J4373" s="0" t="s">
        <v>14575</v>
      </c>
      <c r="K4373" s="0" t="s">
        <v>14576</v>
      </c>
      <c r="L4373" s="0" t="str">
        <f aca="false">HYPERLINK("https://www.ncbi.nlm.nih.gov/nuccore/CP000058.1?report=graph&amp;tracks=[key:gene_model_track,Options:GeneOnly]&amp;mk=1385722:1385741|offset_0|444444,1385744:1385763|offset_22|444444,1385825:1385844|offset_103|444444,1385855:1385874|offset_133|00cc00&amp;v=1385521:1386074&amp;c=444444", "offset 133")</f>
        <v>offset 133</v>
      </c>
    </row>
    <row r="4374" customFormat="false" ht="12.8" hidden="false" customHeight="false" outlineLevel="0" collapsed="false">
      <c r="A4374" s="0" t="s">
        <v>12</v>
      </c>
      <c r="B4374" s="0" t="n">
        <v>1387361</v>
      </c>
      <c r="C4374" s="0" t="n">
        <v>1387381</v>
      </c>
      <c r="D4374" s="0" t="s">
        <v>14577</v>
      </c>
      <c r="E4374" s="0" t="s">
        <v>75</v>
      </c>
      <c r="F4374" s="0" t="s">
        <v>15</v>
      </c>
      <c r="G4374" s="0" t="s">
        <v>32</v>
      </c>
      <c r="H4374" s="0" t="n">
        <v>10</v>
      </c>
      <c r="I4374" s="0" t="s">
        <v>14578</v>
      </c>
      <c r="J4374" s="0" t="s">
        <v>14579</v>
      </c>
      <c r="K4374" s="0" t="s">
        <v>14580</v>
      </c>
      <c r="L4374" s="0" t="str">
        <f aca="false">HYPERLINK("https://www.ncbi.nlm.nih.gov/nuccore/CP000058.1?report=graph&amp;tracks=[key:gene_model_track,Options:GeneOnly]&amp;mk=1387362:1387381|offset_10|00cc00,1387405:1387424|offset_53|444444,1387431:1387450|offset_79|444444,1387542:1387561|offset_190|444444&amp;v=1387161:1387761&amp;c=444444", "offset 10")</f>
        <v>offset 10</v>
      </c>
    </row>
    <row r="4375" customFormat="false" ht="12.8" hidden="false" customHeight="false" outlineLevel="0" collapsed="false">
      <c r="A4375" s="0" t="s">
        <v>12</v>
      </c>
      <c r="B4375" s="0" t="n">
        <v>1387404</v>
      </c>
      <c r="C4375" s="0" t="n">
        <v>1387424</v>
      </c>
      <c r="D4375" s="0" t="s">
        <v>14577</v>
      </c>
      <c r="E4375" s="0" t="s">
        <v>75</v>
      </c>
      <c r="F4375" s="0" t="s">
        <v>15</v>
      </c>
      <c r="G4375" s="0" t="s">
        <v>36</v>
      </c>
      <c r="H4375" s="0" t="n">
        <v>53</v>
      </c>
      <c r="I4375" s="0" t="s">
        <v>14581</v>
      </c>
      <c r="J4375" s="0" t="s">
        <v>14582</v>
      </c>
      <c r="K4375" s="0" t="s">
        <v>14583</v>
      </c>
      <c r="L4375" s="0" t="str">
        <f aca="false">HYPERLINK("https://www.ncbi.nlm.nih.gov/nuccore/CP000058.1?report=graph&amp;tracks=[key:gene_model_track,Options:GeneOnly]&amp;mk=1387362:1387381|offset_10|444444,1387405:1387424|offset_53|00cc00,1387431:1387450|offset_79|444444,1387542:1387561|offset_190|444444&amp;v=1387161:1387761&amp;c=444444", "offset 53")</f>
        <v>offset 53</v>
      </c>
    </row>
    <row r="4376" customFormat="false" ht="12.8" hidden="false" customHeight="false" outlineLevel="0" collapsed="false">
      <c r="A4376" s="0" t="s">
        <v>12</v>
      </c>
      <c r="B4376" s="0" t="n">
        <v>1387430</v>
      </c>
      <c r="C4376" s="0" t="n">
        <v>1387450</v>
      </c>
      <c r="D4376" s="0" t="s">
        <v>14577</v>
      </c>
      <c r="E4376" s="0" t="s">
        <v>75</v>
      </c>
      <c r="F4376" s="0" t="s">
        <v>15</v>
      </c>
      <c r="G4376" s="0" t="s">
        <v>32</v>
      </c>
      <c r="H4376" s="0" t="n">
        <v>79</v>
      </c>
      <c r="I4376" s="0" t="s">
        <v>14584</v>
      </c>
      <c r="J4376" s="0" t="s">
        <v>14585</v>
      </c>
      <c r="K4376" s="0" t="s">
        <v>14586</v>
      </c>
      <c r="L4376" s="0" t="str">
        <f aca="false">HYPERLINK("https://www.ncbi.nlm.nih.gov/nuccore/CP000058.1?report=graph&amp;tracks=[key:gene_model_track,Options:GeneOnly]&amp;mk=1387362:1387381|offset_10|444444,1387405:1387424|offset_53|444444,1387431:1387450|offset_79|00cc00,1387542:1387561|offset_190|444444&amp;v=1387161:1387761&amp;c=444444", "offset 79")</f>
        <v>offset 79</v>
      </c>
    </row>
    <row r="4377" customFormat="false" ht="12.8" hidden="false" customHeight="false" outlineLevel="0" collapsed="false">
      <c r="A4377" s="0" t="s">
        <v>12</v>
      </c>
      <c r="B4377" s="0" t="n">
        <v>1387541</v>
      </c>
      <c r="C4377" s="0" t="n">
        <v>1387561</v>
      </c>
      <c r="D4377" s="0" t="s">
        <v>14577</v>
      </c>
      <c r="E4377" s="0" t="s">
        <v>75</v>
      </c>
      <c r="F4377" s="0" t="s">
        <v>15</v>
      </c>
      <c r="G4377" s="0" t="s">
        <v>32</v>
      </c>
      <c r="H4377" s="0" t="n">
        <v>190</v>
      </c>
      <c r="I4377" s="0" t="s">
        <v>14587</v>
      </c>
      <c r="J4377" s="0" t="s">
        <v>14588</v>
      </c>
      <c r="K4377" s="0" t="s">
        <v>14589</v>
      </c>
      <c r="L4377" s="0" t="str">
        <f aca="false">HYPERLINK("https://www.ncbi.nlm.nih.gov/nuccore/CP000058.1?report=graph&amp;tracks=[key:gene_model_track,Options:GeneOnly]&amp;mk=1387362:1387381|offset_10|444444,1387405:1387424|offset_53|444444,1387431:1387450|offset_79|444444,1387542:1387561|offset_190|00cc00&amp;v=1387161:1387761&amp;c=444444", "offset 190")</f>
        <v>offset 190</v>
      </c>
    </row>
    <row r="4378" customFormat="false" ht="12.8" hidden="false" customHeight="false" outlineLevel="0" collapsed="false">
      <c r="A4378" s="0" t="s">
        <v>12</v>
      </c>
      <c r="B4378" s="0" t="n">
        <v>1388742</v>
      </c>
      <c r="C4378" s="0" t="n">
        <v>1388762</v>
      </c>
      <c r="D4378" s="0" t="s">
        <v>14590</v>
      </c>
      <c r="E4378" s="0" t="s">
        <v>75</v>
      </c>
      <c r="F4378" s="0" t="s">
        <v>15</v>
      </c>
      <c r="G4378" s="0" t="s">
        <v>16</v>
      </c>
      <c r="H4378" s="0" t="n">
        <v>0</v>
      </c>
      <c r="I4378" s="0" t="s">
        <v>14591</v>
      </c>
      <c r="J4378" s="0" t="s">
        <v>14592</v>
      </c>
      <c r="K4378" s="0" t="s">
        <v>14593</v>
      </c>
      <c r="L4378" s="0" t="str">
        <f aca="false">HYPERLINK("https://www.ncbi.nlm.nih.gov/nuccore/CP000058.1?report=graph&amp;tracks=[key:gene_model_track,Options:GeneOnly]&amp;mk=1388743:1388762|offset_0|00cc00,1388774:1388793|offset_31|444444,1388806:1388825|offset_63|444444,1388865:1388884|offset_122|444444&amp;v=1388542:1389084&amp;c=444444", "offset 0")</f>
        <v>offset 0</v>
      </c>
    </row>
    <row r="4379" customFormat="false" ht="12.8" hidden="false" customHeight="false" outlineLevel="0" collapsed="false">
      <c r="A4379" s="0" t="s">
        <v>12</v>
      </c>
      <c r="B4379" s="0" t="n">
        <v>1388773</v>
      </c>
      <c r="C4379" s="0" t="n">
        <v>1388793</v>
      </c>
      <c r="D4379" s="0" t="s">
        <v>14590</v>
      </c>
      <c r="E4379" s="0" t="s">
        <v>75</v>
      </c>
      <c r="F4379" s="0" t="s">
        <v>15</v>
      </c>
      <c r="G4379" s="0" t="s">
        <v>20</v>
      </c>
      <c r="H4379" s="0" t="n">
        <v>31</v>
      </c>
      <c r="I4379" s="0" t="s">
        <v>14594</v>
      </c>
      <c r="J4379" s="0" t="s">
        <v>14595</v>
      </c>
      <c r="K4379" s="0" t="s">
        <v>14596</v>
      </c>
      <c r="L4379" s="0" t="str">
        <f aca="false">HYPERLINK("https://www.ncbi.nlm.nih.gov/nuccore/CP000058.1?report=graph&amp;tracks=[key:gene_model_track,Options:GeneOnly]&amp;mk=1388743:1388762|offset_0|444444,1388774:1388793|offset_31|00cc00,1388806:1388825|offset_63|444444,1388865:1388884|offset_122|444444&amp;v=1388542:1389084&amp;c=444444", "offset 31")</f>
        <v>offset 31</v>
      </c>
    </row>
    <row r="4380" customFormat="false" ht="12.8" hidden="false" customHeight="false" outlineLevel="0" collapsed="false">
      <c r="A4380" s="0" t="s">
        <v>12</v>
      </c>
      <c r="B4380" s="0" t="n">
        <v>1388805</v>
      </c>
      <c r="C4380" s="0" t="n">
        <v>1388825</v>
      </c>
      <c r="D4380" s="0" t="s">
        <v>14590</v>
      </c>
      <c r="E4380" s="0" t="s">
        <v>75</v>
      </c>
      <c r="F4380" s="0" t="s">
        <v>15</v>
      </c>
      <c r="G4380" s="0" t="s">
        <v>32</v>
      </c>
      <c r="H4380" s="0" t="n">
        <v>63</v>
      </c>
      <c r="I4380" s="0" t="s">
        <v>14597</v>
      </c>
      <c r="J4380" s="0" t="s">
        <v>14598</v>
      </c>
      <c r="K4380" s="0" t="s">
        <v>14599</v>
      </c>
      <c r="L4380" s="0" t="str">
        <f aca="false">HYPERLINK("https://www.ncbi.nlm.nih.gov/nuccore/CP000058.1?report=graph&amp;tracks=[key:gene_model_track,Options:GeneOnly]&amp;mk=1388743:1388762|offset_0|444444,1388774:1388793|offset_31|444444,1388806:1388825|offset_63|00cc00,1388865:1388884|offset_122|444444&amp;v=1388542:1389084&amp;c=444444", "offset 63")</f>
        <v>offset 63</v>
      </c>
    </row>
    <row r="4381" customFormat="false" ht="12.8" hidden="false" customHeight="false" outlineLevel="0" collapsed="false">
      <c r="A4381" s="0" t="s">
        <v>12</v>
      </c>
      <c r="B4381" s="0" t="n">
        <v>1388864</v>
      </c>
      <c r="C4381" s="0" t="n">
        <v>1388884</v>
      </c>
      <c r="D4381" s="0" t="s">
        <v>14590</v>
      </c>
      <c r="E4381" s="0" t="s">
        <v>75</v>
      </c>
      <c r="F4381" s="0" t="s">
        <v>15</v>
      </c>
      <c r="G4381" s="0" t="s">
        <v>20</v>
      </c>
      <c r="H4381" s="0" t="n">
        <v>122</v>
      </c>
      <c r="I4381" s="0" t="s">
        <v>14600</v>
      </c>
      <c r="J4381" s="0" t="s">
        <v>14601</v>
      </c>
      <c r="K4381" s="0" t="s">
        <v>14602</v>
      </c>
      <c r="L4381" s="0" t="str">
        <f aca="false">HYPERLINK("https://www.ncbi.nlm.nih.gov/nuccore/CP000058.1?report=graph&amp;tracks=[key:gene_model_track,Options:GeneOnly]&amp;mk=1388743:1388762|offset_0|444444,1388774:1388793|offset_31|444444,1388806:1388825|offset_63|444444,1388865:1388884|offset_122|00cc00&amp;v=1388542:1389084&amp;c=444444", "offset 122")</f>
        <v>offset 122</v>
      </c>
    </row>
    <row r="4382" customFormat="false" ht="12.8" hidden="false" customHeight="false" outlineLevel="0" collapsed="false">
      <c r="A4382" s="0" t="s">
        <v>12</v>
      </c>
      <c r="B4382" s="0" t="n">
        <v>1389667</v>
      </c>
      <c r="C4382" s="0" t="n">
        <v>1389687</v>
      </c>
      <c r="D4382" s="0" t="s">
        <v>14603</v>
      </c>
      <c r="E4382" s="0" t="s">
        <v>75</v>
      </c>
      <c r="F4382" s="0" t="s">
        <v>15</v>
      </c>
      <c r="G4382" s="0" t="s">
        <v>16</v>
      </c>
      <c r="H4382" s="0" t="n">
        <v>24</v>
      </c>
      <c r="I4382" s="0" t="s">
        <v>14604</v>
      </c>
      <c r="J4382" s="0" t="s">
        <v>14605</v>
      </c>
      <c r="K4382" s="0" t="s">
        <v>14606</v>
      </c>
      <c r="L4382" s="0" t="str">
        <f aca="false">HYPERLINK("https://www.ncbi.nlm.nih.gov/nuccore/CP000058.1?report=graph&amp;tracks=[key:gene_model_track,Options:GeneOnly]&amp;mk=1389668:1389687|offset_24|00cc00,1389702:1389721|offset_58|444444,1389737:1389756|offset_93|444444,1389759:1389778|offset_115|444444&amp;v=1389467:1389978&amp;c=444444", "offset 24")</f>
        <v>offset 24</v>
      </c>
    </row>
    <row r="4383" customFormat="false" ht="12.8" hidden="false" customHeight="false" outlineLevel="0" collapsed="false">
      <c r="A4383" s="0" t="s">
        <v>12</v>
      </c>
      <c r="B4383" s="0" t="n">
        <v>1389701</v>
      </c>
      <c r="C4383" s="0" t="n">
        <v>1389721</v>
      </c>
      <c r="D4383" s="0" t="s">
        <v>14603</v>
      </c>
      <c r="E4383" s="0" t="s">
        <v>75</v>
      </c>
      <c r="F4383" s="0" t="s">
        <v>15</v>
      </c>
      <c r="G4383" s="0" t="s">
        <v>16</v>
      </c>
      <c r="H4383" s="0" t="n">
        <v>58</v>
      </c>
      <c r="I4383" s="0" t="s">
        <v>14607</v>
      </c>
      <c r="J4383" s="0" t="s">
        <v>14608</v>
      </c>
      <c r="K4383" s="0" t="s">
        <v>14609</v>
      </c>
      <c r="L4383" s="0" t="str">
        <f aca="false">HYPERLINK("https://www.ncbi.nlm.nih.gov/nuccore/CP000058.1?report=graph&amp;tracks=[key:gene_model_track,Options:GeneOnly]&amp;mk=1389668:1389687|offset_24|444444,1389702:1389721|offset_58|00cc00,1389737:1389756|offset_93|444444,1389759:1389778|offset_115|444444&amp;v=1389467:1389978&amp;c=444444", "offset 58")</f>
        <v>offset 58</v>
      </c>
    </row>
    <row r="4384" customFormat="false" ht="12.8" hidden="false" customHeight="false" outlineLevel="0" collapsed="false">
      <c r="A4384" s="0" t="s">
        <v>12</v>
      </c>
      <c r="B4384" s="0" t="n">
        <v>1389736</v>
      </c>
      <c r="C4384" s="0" t="n">
        <v>1389756</v>
      </c>
      <c r="D4384" s="0" t="s">
        <v>14603</v>
      </c>
      <c r="E4384" s="0" t="s">
        <v>75</v>
      </c>
      <c r="F4384" s="0" t="s">
        <v>15</v>
      </c>
      <c r="G4384" s="0" t="s">
        <v>16</v>
      </c>
      <c r="H4384" s="0" t="n">
        <v>93</v>
      </c>
      <c r="I4384" s="0" t="s">
        <v>14610</v>
      </c>
      <c r="J4384" s="0" t="s">
        <v>14611</v>
      </c>
      <c r="K4384" s="0" t="s">
        <v>14612</v>
      </c>
      <c r="L4384" s="0" t="str">
        <f aca="false">HYPERLINK("https://www.ncbi.nlm.nih.gov/nuccore/CP000058.1?report=graph&amp;tracks=[key:gene_model_track,Options:GeneOnly]&amp;mk=1389668:1389687|offset_24|444444,1389702:1389721|offset_58|444444,1389737:1389756|offset_93|00cc00,1389759:1389778|offset_115|444444&amp;v=1389467:1389978&amp;c=444444", "offset 93")</f>
        <v>offset 93</v>
      </c>
    </row>
    <row r="4385" customFormat="false" ht="12.8" hidden="false" customHeight="false" outlineLevel="0" collapsed="false">
      <c r="A4385" s="0" t="s">
        <v>12</v>
      </c>
      <c r="B4385" s="0" t="n">
        <v>1389758</v>
      </c>
      <c r="C4385" s="0" t="n">
        <v>1389778</v>
      </c>
      <c r="D4385" s="0" t="s">
        <v>14603</v>
      </c>
      <c r="E4385" s="0" t="s">
        <v>75</v>
      </c>
      <c r="F4385" s="0" t="s">
        <v>15</v>
      </c>
      <c r="G4385" s="0" t="s">
        <v>32</v>
      </c>
      <c r="H4385" s="0" t="n">
        <v>115</v>
      </c>
      <c r="I4385" s="0" t="s">
        <v>14613</v>
      </c>
      <c r="J4385" s="0" t="s">
        <v>14614</v>
      </c>
      <c r="K4385" s="0" t="s">
        <v>14615</v>
      </c>
      <c r="L4385" s="0" t="str">
        <f aca="false">HYPERLINK("https://www.ncbi.nlm.nih.gov/nuccore/CP000058.1?report=graph&amp;tracks=[key:gene_model_track,Options:GeneOnly]&amp;mk=1389668:1389687|offset_24|444444,1389702:1389721|offset_58|444444,1389737:1389756|offset_93|444444,1389759:1389778|offset_115|00cc00&amp;v=1389467:1389978&amp;c=444444", "offset 115")</f>
        <v>offset 115</v>
      </c>
    </row>
    <row r="4386" customFormat="false" ht="12.8" hidden="false" customHeight="false" outlineLevel="0" collapsed="false">
      <c r="A4386" s="0" t="s">
        <v>12</v>
      </c>
      <c r="B4386" s="0" t="n">
        <v>1390528</v>
      </c>
      <c r="C4386" s="0" t="n">
        <v>1390548</v>
      </c>
      <c r="D4386" s="0" t="s">
        <v>14616</v>
      </c>
      <c r="E4386" s="0" t="s">
        <v>14617</v>
      </c>
      <c r="F4386" s="0" t="s">
        <v>15</v>
      </c>
      <c r="G4386" s="0" t="s">
        <v>20</v>
      </c>
      <c r="H4386" s="0" t="n">
        <v>37</v>
      </c>
      <c r="I4386" s="0" t="s">
        <v>14618</v>
      </c>
      <c r="J4386" s="0" t="s">
        <v>14619</v>
      </c>
      <c r="K4386" s="0" t="s">
        <v>14620</v>
      </c>
      <c r="L4386" s="0" t="str">
        <f aca="false">HYPERLINK("https://www.ncbi.nlm.nih.gov/nuccore/CP000058.1?report=graph&amp;tracks=[key:gene_model_track,Options:GeneOnly]&amp;mk=1390529:1390548|offset_37|00cc00,1390569:1390588|offset_77|444444,1390628:1390647|offset_136|444444,1390649:1390668|offset_157|444444&amp;v=1390328:1390868&amp;c=444444", "offset 37")</f>
        <v>offset 37</v>
      </c>
    </row>
    <row r="4387" customFormat="false" ht="12.8" hidden="false" customHeight="false" outlineLevel="0" collapsed="false">
      <c r="A4387" s="0" t="s">
        <v>12</v>
      </c>
      <c r="B4387" s="0" t="n">
        <v>1390568</v>
      </c>
      <c r="C4387" s="0" t="n">
        <v>1390588</v>
      </c>
      <c r="D4387" s="0" t="s">
        <v>14616</v>
      </c>
      <c r="E4387" s="0" t="s">
        <v>14617</v>
      </c>
      <c r="F4387" s="0" t="s">
        <v>15</v>
      </c>
      <c r="G4387" s="0" t="s">
        <v>20</v>
      </c>
      <c r="H4387" s="0" t="n">
        <v>77</v>
      </c>
      <c r="I4387" s="0" t="s">
        <v>14621</v>
      </c>
      <c r="J4387" s="0" t="s">
        <v>14622</v>
      </c>
      <c r="K4387" s="0" t="s">
        <v>14623</v>
      </c>
      <c r="L4387" s="0" t="str">
        <f aca="false">HYPERLINK("https://www.ncbi.nlm.nih.gov/nuccore/CP000058.1?report=graph&amp;tracks=[key:gene_model_track,Options:GeneOnly]&amp;mk=1390529:1390548|offset_37|444444,1390569:1390588|offset_77|00cc00,1390628:1390647|offset_136|444444,1390649:1390668|offset_157|444444&amp;v=1390328:1390868&amp;c=444444", "offset 77")</f>
        <v>offset 77</v>
      </c>
    </row>
    <row r="4388" customFormat="false" ht="12.8" hidden="false" customHeight="false" outlineLevel="0" collapsed="false">
      <c r="A4388" s="0" t="s">
        <v>12</v>
      </c>
      <c r="B4388" s="0" t="n">
        <v>1390627</v>
      </c>
      <c r="C4388" s="0" t="n">
        <v>1390647</v>
      </c>
      <c r="D4388" s="0" t="s">
        <v>14616</v>
      </c>
      <c r="E4388" s="0" t="s">
        <v>14617</v>
      </c>
      <c r="F4388" s="0" t="s">
        <v>15</v>
      </c>
      <c r="G4388" s="0" t="s">
        <v>32</v>
      </c>
      <c r="H4388" s="0" t="n">
        <v>136</v>
      </c>
      <c r="I4388" s="0" t="s">
        <v>14624</v>
      </c>
      <c r="J4388" s="0" t="s">
        <v>14625</v>
      </c>
      <c r="K4388" s="0" t="s">
        <v>14626</v>
      </c>
      <c r="L4388" s="0" t="str">
        <f aca="false">HYPERLINK("https://www.ncbi.nlm.nih.gov/nuccore/CP000058.1?report=graph&amp;tracks=[key:gene_model_track,Options:GeneOnly]&amp;mk=1390529:1390548|offset_37|444444,1390569:1390588|offset_77|444444,1390628:1390647|offset_136|00cc00,1390649:1390668|offset_157|444444&amp;v=1390328:1390868&amp;c=444444", "offset 136")</f>
        <v>offset 136</v>
      </c>
    </row>
    <row r="4389" customFormat="false" ht="12.8" hidden="false" customHeight="false" outlineLevel="0" collapsed="false">
      <c r="A4389" s="0" t="s">
        <v>12</v>
      </c>
      <c r="B4389" s="0" t="n">
        <v>1390648</v>
      </c>
      <c r="C4389" s="0" t="n">
        <v>1390668</v>
      </c>
      <c r="D4389" s="0" t="s">
        <v>14616</v>
      </c>
      <c r="E4389" s="0" t="s">
        <v>14617</v>
      </c>
      <c r="F4389" s="0" t="s">
        <v>15</v>
      </c>
      <c r="G4389" s="0" t="s">
        <v>16</v>
      </c>
      <c r="H4389" s="0" t="n">
        <v>157</v>
      </c>
      <c r="I4389" s="0" t="s">
        <v>14627</v>
      </c>
      <c r="J4389" s="0" t="s">
        <v>14628</v>
      </c>
      <c r="K4389" s="0" t="s">
        <v>14629</v>
      </c>
      <c r="L4389" s="0" t="str">
        <f aca="false">HYPERLINK("https://www.ncbi.nlm.nih.gov/nuccore/CP000058.1?report=graph&amp;tracks=[key:gene_model_track,Options:GeneOnly]&amp;mk=1390529:1390548|offset_37|444444,1390569:1390588|offset_77|444444,1390628:1390647|offset_136|444444,1390649:1390668|offset_157|00cc00&amp;v=1390328:1390868&amp;c=444444", "offset 157")</f>
        <v>offset 157</v>
      </c>
    </row>
    <row r="4390" customFormat="false" ht="12.8" hidden="false" customHeight="false" outlineLevel="0" collapsed="false">
      <c r="A4390" s="0" t="s">
        <v>12</v>
      </c>
      <c r="B4390" s="0" t="n">
        <v>1391818</v>
      </c>
      <c r="C4390" s="0" t="n">
        <v>1391838</v>
      </c>
      <c r="D4390" s="0" t="s">
        <v>14630</v>
      </c>
      <c r="E4390" s="0" t="s">
        <v>14631</v>
      </c>
      <c r="F4390" s="0" t="s">
        <v>15</v>
      </c>
      <c r="G4390" s="0" t="s">
        <v>36</v>
      </c>
      <c r="H4390" s="0" t="n">
        <v>34</v>
      </c>
      <c r="I4390" s="0" t="s">
        <v>14632</v>
      </c>
      <c r="J4390" s="0" t="s">
        <v>14633</v>
      </c>
      <c r="K4390" s="0" t="s">
        <v>14634</v>
      </c>
      <c r="L4390" s="0" t="str">
        <f aca="false">HYPERLINK("https://www.ncbi.nlm.nih.gov/nuccore/CP000058.1?report=graph&amp;tracks=[key:gene_model_track,Options:GeneOnly]&amp;mk=1391819:1391838|offset_34|00cc00,1391888:1391907|offset_103|444444,1391911:1391930|offset_126|444444,1391945:1391964|offset_160|444444&amp;v=1391618:1392164&amp;c=444444", "offset 34")</f>
        <v>offset 34</v>
      </c>
    </row>
    <row r="4391" customFormat="false" ht="12.8" hidden="false" customHeight="false" outlineLevel="0" collapsed="false">
      <c r="A4391" s="0" t="s">
        <v>12</v>
      </c>
      <c r="B4391" s="0" t="n">
        <v>1391887</v>
      </c>
      <c r="C4391" s="0" t="n">
        <v>1391907</v>
      </c>
      <c r="D4391" s="0" t="s">
        <v>14630</v>
      </c>
      <c r="E4391" s="0" t="s">
        <v>14631</v>
      </c>
      <c r="F4391" s="0" t="s">
        <v>15</v>
      </c>
      <c r="G4391" s="0" t="s">
        <v>16</v>
      </c>
      <c r="H4391" s="0" t="n">
        <v>103</v>
      </c>
      <c r="I4391" s="0" t="s">
        <v>14635</v>
      </c>
      <c r="J4391" s="0" t="s">
        <v>14636</v>
      </c>
      <c r="K4391" s="0" t="s">
        <v>14637</v>
      </c>
      <c r="L4391" s="0" t="str">
        <f aca="false">HYPERLINK("https://www.ncbi.nlm.nih.gov/nuccore/CP000058.1?report=graph&amp;tracks=[key:gene_model_track,Options:GeneOnly]&amp;mk=1391819:1391838|offset_34|444444,1391888:1391907|offset_103|00cc00,1391911:1391930|offset_126|444444,1391945:1391964|offset_160|444444&amp;v=1391618:1392164&amp;c=444444", "offset 103")</f>
        <v>offset 103</v>
      </c>
    </row>
    <row r="4392" customFormat="false" ht="12.8" hidden="false" customHeight="false" outlineLevel="0" collapsed="false">
      <c r="A4392" s="0" t="s">
        <v>12</v>
      </c>
      <c r="B4392" s="0" t="n">
        <v>1391910</v>
      </c>
      <c r="C4392" s="0" t="n">
        <v>1391930</v>
      </c>
      <c r="D4392" s="0" t="s">
        <v>14630</v>
      </c>
      <c r="E4392" s="0" t="s">
        <v>14631</v>
      </c>
      <c r="F4392" s="0" t="s">
        <v>15</v>
      </c>
      <c r="G4392" s="0" t="s">
        <v>16</v>
      </c>
      <c r="H4392" s="0" t="n">
        <v>126</v>
      </c>
      <c r="I4392" s="0" t="s">
        <v>14638</v>
      </c>
      <c r="J4392" s="0" t="s">
        <v>14639</v>
      </c>
      <c r="K4392" s="0" t="s">
        <v>14640</v>
      </c>
      <c r="L4392" s="0" t="str">
        <f aca="false">HYPERLINK("https://www.ncbi.nlm.nih.gov/nuccore/CP000058.1?report=graph&amp;tracks=[key:gene_model_track,Options:GeneOnly]&amp;mk=1391819:1391838|offset_34|444444,1391888:1391907|offset_103|444444,1391911:1391930|offset_126|00cc00,1391945:1391964|offset_160|444444&amp;v=1391618:1392164&amp;c=444444", "offset 126")</f>
        <v>offset 126</v>
      </c>
    </row>
    <row r="4393" customFormat="false" ht="12.8" hidden="false" customHeight="false" outlineLevel="0" collapsed="false">
      <c r="A4393" s="0" t="s">
        <v>12</v>
      </c>
      <c r="B4393" s="0" t="n">
        <v>1391944</v>
      </c>
      <c r="C4393" s="0" t="n">
        <v>1391964</v>
      </c>
      <c r="D4393" s="0" t="s">
        <v>14630</v>
      </c>
      <c r="E4393" s="0" t="s">
        <v>14631</v>
      </c>
      <c r="F4393" s="0" t="s">
        <v>15</v>
      </c>
      <c r="G4393" s="0" t="s">
        <v>16</v>
      </c>
      <c r="H4393" s="0" t="n">
        <v>160</v>
      </c>
      <c r="I4393" s="0" t="s">
        <v>14641</v>
      </c>
      <c r="J4393" s="0" t="s">
        <v>14642</v>
      </c>
      <c r="K4393" s="0" t="s">
        <v>14643</v>
      </c>
      <c r="L4393" s="0" t="str">
        <f aca="false">HYPERLINK("https://www.ncbi.nlm.nih.gov/nuccore/CP000058.1?report=graph&amp;tracks=[key:gene_model_track,Options:GeneOnly]&amp;mk=1391819:1391838|offset_34|444444,1391888:1391907|offset_103|444444,1391911:1391930|offset_126|444444,1391945:1391964|offset_160|00cc00&amp;v=1391618:1392164&amp;c=444444", "offset 160")</f>
        <v>offset 160</v>
      </c>
    </row>
    <row r="4394" customFormat="false" ht="12.8" hidden="false" customHeight="false" outlineLevel="0" collapsed="false">
      <c r="A4394" s="0" t="s">
        <v>12</v>
      </c>
      <c r="B4394" s="0" t="n">
        <v>1393262</v>
      </c>
      <c r="C4394" s="0" t="n">
        <v>1393282</v>
      </c>
      <c r="D4394" s="0" t="s">
        <v>14644</v>
      </c>
      <c r="E4394" s="0" t="s">
        <v>75</v>
      </c>
      <c r="F4394" s="0" t="s">
        <v>15</v>
      </c>
      <c r="G4394" s="0" t="s">
        <v>20</v>
      </c>
      <c r="H4394" s="0" t="n">
        <v>7</v>
      </c>
      <c r="I4394" s="0" t="s">
        <v>14645</v>
      </c>
      <c r="J4394" s="0" t="s">
        <v>14646</v>
      </c>
      <c r="K4394" s="0" t="s">
        <v>14647</v>
      </c>
      <c r="L4394" s="0" t="str">
        <f aca="false">HYPERLINK("https://www.ncbi.nlm.nih.gov/nuccore/CP000058.1?report=graph&amp;tracks=[key:gene_model_track,Options:GeneOnly]&amp;mk=1393263:1393282|offset_7|00cc00,1393283:1393302|offset_27|444444,1393309:1393328|offset_53|444444,1393329:1393348|offset_73|444444&amp;v=1393062:1393548&amp;c=444444", "offset 7")</f>
        <v>offset 7</v>
      </c>
    </row>
    <row r="4395" customFormat="false" ht="12.8" hidden="false" customHeight="false" outlineLevel="0" collapsed="false">
      <c r="A4395" s="0" t="s">
        <v>12</v>
      </c>
      <c r="B4395" s="0" t="n">
        <v>1393282</v>
      </c>
      <c r="C4395" s="0" t="n">
        <v>1393302</v>
      </c>
      <c r="D4395" s="0" t="s">
        <v>14644</v>
      </c>
      <c r="E4395" s="0" t="s">
        <v>75</v>
      </c>
      <c r="F4395" s="0" t="s">
        <v>15</v>
      </c>
      <c r="G4395" s="0" t="s">
        <v>20</v>
      </c>
      <c r="H4395" s="0" t="n">
        <v>27</v>
      </c>
      <c r="I4395" s="0" t="s">
        <v>14648</v>
      </c>
      <c r="J4395" s="0" t="s">
        <v>14649</v>
      </c>
      <c r="K4395" s="0" t="s">
        <v>14650</v>
      </c>
      <c r="L4395" s="0" t="str">
        <f aca="false">HYPERLINK("https://www.ncbi.nlm.nih.gov/nuccore/CP000058.1?report=graph&amp;tracks=[key:gene_model_track,Options:GeneOnly]&amp;mk=1393263:1393282|offset_7|444444,1393283:1393302|offset_27|00cc00,1393309:1393328|offset_53|444444,1393329:1393348|offset_73|444444&amp;v=1393062:1393548&amp;c=444444", "offset 27")</f>
        <v>offset 27</v>
      </c>
    </row>
    <row r="4396" customFormat="false" ht="12.8" hidden="false" customHeight="false" outlineLevel="0" collapsed="false">
      <c r="A4396" s="0" t="s">
        <v>12</v>
      </c>
      <c r="B4396" s="0" t="n">
        <v>1393308</v>
      </c>
      <c r="C4396" s="0" t="n">
        <v>1393328</v>
      </c>
      <c r="D4396" s="0" t="s">
        <v>14644</v>
      </c>
      <c r="E4396" s="0" t="s">
        <v>75</v>
      </c>
      <c r="F4396" s="0" t="s">
        <v>15</v>
      </c>
      <c r="G4396" s="0" t="s">
        <v>16</v>
      </c>
      <c r="H4396" s="0" t="n">
        <v>53</v>
      </c>
      <c r="I4396" s="0" t="s">
        <v>14651</v>
      </c>
      <c r="J4396" s="0" t="s">
        <v>14652</v>
      </c>
      <c r="K4396" s="0" t="s">
        <v>14653</v>
      </c>
      <c r="L4396" s="0" t="str">
        <f aca="false">HYPERLINK("https://www.ncbi.nlm.nih.gov/nuccore/CP000058.1?report=graph&amp;tracks=[key:gene_model_track,Options:GeneOnly]&amp;mk=1393263:1393282|offset_7|444444,1393283:1393302|offset_27|444444,1393309:1393328|offset_53|00cc00,1393329:1393348|offset_73|444444&amp;v=1393062:1393548&amp;c=444444", "offset 53")</f>
        <v>offset 53</v>
      </c>
    </row>
    <row r="4397" customFormat="false" ht="12.8" hidden="false" customHeight="false" outlineLevel="0" collapsed="false">
      <c r="A4397" s="0" t="s">
        <v>12</v>
      </c>
      <c r="B4397" s="0" t="n">
        <v>1393328</v>
      </c>
      <c r="C4397" s="0" t="n">
        <v>1393348</v>
      </c>
      <c r="D4397" s="0" t="s">
        <v>14644</v>
      </c>
      <c r="E4397" s="0" t="s">
        <v>75</v>
      </c>
      <c r="F4397" s="0" t="s">
        <v>15</v>
      </c>
      <c r="G4397" s="0" t="s">
        <v>32</v>
      </c>
      <c r="H4397" s="0" t="n">
        <v>73</v>
      </c>
      <c r="I4397" s="0" t="s">
        <v>14654</v>
      </c>
      <c r="J4397" s="0" t="s">
        <v>14655</v>
      </c>
      <c r="K4397" s="0" t="s">
        <v>14656</v>
      </c>
      <c r="L4397" s="0" t="str">
        <f aca="false">HYPERLINK("https://www.ncbi.nlm.nih.gov/nuccore/CP000058.1?report=graph&amp;tracks=[key:gene_model_track,Options:GeneOnly]&amp;mk=1393263:1393282|offset_7|444444,1393283:1393302|offset_27|444444,1393309:1393328|offset_53|444444,1393329:1393348|offset_73|00cc00&amp;v=1393062:1393548&amp;c=444444", "offset 73")</f>
        <v>offset 73</v>
      </c>
    </row>
    <row r="4398" customFormat="false" ht="12.8" hidden="false" customHeight="false" outlineLevel="0" collapsed="false">
      <c r="A4398" s="0" t="s">
        <v>12</v>
      </c>
      <c r="B4398" s="0" t="n">
        <v>1396162</v>
      </c>
      <c r="C4398" s="0" t="n">
        <v>1396182</v>
      </c>
      <c r="D4398" s="0" t="s">
        <v>14657</v>
      </c>
      <c r="E4398" s="0" t="s">
        <v>14658</v>
      </c>
      <c r="F4398" s="0" t="s">
        <v>90</v>
      </c>
      <c r="G4398" s="0" t="s">
        <v>16</v>
      </c>
      <c r="H4398" s="0" t="n">
        <v>8</v>
      </c>
      <c r="I4398" s="0" t="s">
        <v>14659</v>
      </c>
      <c r="J4398" s="0" t="s">
        <v>14660</v>
      </c>
      <c r="K4398" s="0" t="s">
        <v>14661</v>
      </c>
      <c r="L4398" s="0" t="str">
        <f aca="false">HYPERLINK("https://www.ncbi.nlm.nih.gov/nuccore/CP000058.1?report=graph&amp;tracks=[key:gene_model_track,Options:GeneOnly]&amp;mk=1396163:1396182|offset_8|00cc00,1396136:1396155|offset_35|444444,1396107:1396126|offset_64|444444,1396073:1396092|offset_98|444444&amp;v=1395962:1396292&amp;c=444444", "offset 8")</f>
        <v>offset 8</v>
      </c>
    </row>
    <row r="4399" customFormat="false" ht="12.8" hidden="false" customHeight="false" outlineLevel="0" collapsed="false">
      <c r="A4399" s="0" t="s">
        <v>12</v>
      </c>
      <c r="B4399" s="0" t="n">
        <v>1396135</v>
      </c>
      <c r="C4399" s="0" t="n">
        <v>1396155</v>
      </c>
      <c r="D4399" s="0" t="s">
        <v>14657</v>
      </c>
      <c r="E4399" s="0" t="s">
        <v>14658</v>
      </c>
      <c r="F4399" s="0" t="s">
        <v>90</v>
      </c>
      <c r="G4399" s="0" t="s">
        <v>32</v>
      </c>
      <c r="H4399" s="0" t="n">
        <v>35</v>
      </c>
      <c r="I4399" s="0" t="s">
        <v>14662</v>
      </c>
      <c r="J4399" s="0" t="s">
        <v>14663</v>
      </c>
      <c r="K4399" s="0" t="s">
        <v>14664</v>
      </c>
      <c r="L4399" s="0" t="str">
        <f aca="false">HYPERLINK("https://www.ncbi.nlm.nih.gov/nuccore/CP000058.1?report=graph&amp;tracks=[key:gene_model_track,Options:GeneOnly]&amp;mk=1396163:1396182|offset_8|444444,1396136:1396155|offset_35|00cc00,1396107:1396126|offset_64|444444,1396073:1396092|offset_98|444444&amp;v=1395962:1396292&amp;c=444444", "offset 35")</f>
        <v>offset 35</v>
      </c>
    </row>
    <row r="4400" customFormat="false" ht="12.8" hidden="false" customHeight="false" outlineLevel="0" collapsed="false">
      <c r="A4400" s="0" t="s">
        <v>12</v>
      </c>
      <c r="B4400" s="0" t="n">
        <v>1396106</v>
      </c>
      <c r="C4400" s="0" t="n">
        <v>1396126</v>
      </c>
      <c r="D4400" s="0" t="s">
        <v>14657</v>
      </c>
      <c r="E4400" s="0" t="s">
        <v>14658</v>
      </c>
      <c r="F4400" s="0" t="s">
        <v>90</v>
      </c>
      <c r="G4400" s="0" t="s">
        <v>16</v>
      </c>
      <c r="H4400" s="0" t="n">
        <v>64</v>
      </c>
      <c r="I4400" s="0" t="s">
        <v>14665</v>
      </c>
      <c r="J4400" s="0" t="s">
        <v>14666</v>
      </c>
      <c r="K4400" s="0" t="s">
        <v>14667</v>
      </c>
      <c r="L4400" s="0" t="str">
        <f aca="false">HYPERLINK("https://www.ncbi.nlm.nih.gov/nuccore/CP000058.1?report=graph&amp;tracks=[key:gene_model_track,Options:GeneOnly]&amp;mk=1396163:1396182|offset_8|444444,1396136:1396155|offset_35|444444,1396107:1396126|offset_64|00cc00,1396073:1396092|offset_98|444444&amp;v=1395962:1396292&amp;c=444444", "offset 64")</f>
        <v>offset 64</v>
      </c>
    </row>
    <row r="4401" customFormat="false" ht="12.8" hidden="false" customHeight="false" outlineLevel="0" collapsed="false">
      <c r="A4401" s="0" t="s">
        <v>12</v>
      </c>
      <c r="B4401" s="0" t="n">
        <v>1396072</v>
      </c>
      <c r="C4401" s="0" t="n">
        <v>1396092</v>
      </c>
      <c r="D4401" s="0" t="s">
        <v>14657</v>
      </c>
      <c r="E4401" s="0" t="s">
        <v>14658</v>
      </c>
      <c r="F4401" s="0" t="s">
        <v>90</v>
      </c>
      <c r="G4401" s="0" t="s">
        <v>36</v>
      </c>
      <c r="H4401" s="0" t="n">
        <v>98</v>
      </c>
      <c r="I4401" s="0" t="s">
        <v>14668</v>
      </c>
      <c r="J4401" s="0" t="s">
        <v>14669</v>
      </c>
      <c r="K4401" s="0" t="s">
        <v>14670</v>
      </c>
      <c r="L4401" s="0" t="str">
        <f aca="false">HYPERLINK("https://www.ncbi.nlm.nih.gov/nuccore/CP000058.1?report=graph&amp;tracks=[key:gene_model_track,Options:GeneOnly]&amp;mk=1396163:1396182|offset_8|444444,1396136:1396155|offset_35|444444,1396107:1396126|offset_64|444444,1396073:1396092|offset_98|00cc00&amp;v=1395962:1396292&amp;c=444444", "offset 98")</f>
        <v>offset 98</v>
      </c>
    </row>
    <row r="4402" customFormat="false" ht="12.8" hidden="false" customHeight="false" outlineLevel="0" collapsed="false">
      <c r="A4402" s="0" t="s">
        <v>12</v>
      </c>
      <c r="B4402" s="0" t="n">
        <v>1396415</v>
      </c>
      <c r="C4402" s="0" t="n">
        <v>1396435</v>
      </c>
      <c r="D4402" s="0" t="s">
        <v>14671</v>
      </c>
      <c r="E4402" s="0" t="s">
        <v>14672</v>
      </c>
      <c r="F4402" s="0" t="s">
        <v>15</v>
      </c>
      <c r="G4402" s="0" t="s">
        <v>36</v>
      </c>
      <c r="H4402" s="0" t="n">
        <v>6</v>
      </c>
      <c r="I4402" s="0" t="s">
        <v>14673</v>
      </c>
      <c r="J4402" s="0" t="s">
        <v>14674</v>
      </c>
      <c r="K4402" s="0" t="s">
        <v>14675</v>
      </c>
      <c r="L4402" s="0" t="str">
        <f aca="false">HYPERLINK("https://www.ncbi.nlm.nih.gov/nuccore/CP000058.1?report=graph&amp;tracks=[key:gene_model_track,Options:GeneOnly]&amp;mk=1396416:1396435|offset_6|00cc00,1396447:1396466|offset_37|444444,1396469:1396488|offset_59|444444,1396490:1396509|offset_80|444444&amp;v=1396215:1396709&amp;c=444444", "offset 6")</f>
        <v>offset 6</v>
      </c>
    </row>
    <row r="4403" customFormat="false" ht="12.8" hidden="false" customHeight="false" outlineLevel="0" collapsed="false">
      <c r="A4403" s="0" t="s">
        <v>12</v>
      </c>
      <c r="B4403" s="0" t="n">
        <v>1396446</v>
      </c>
      <c r="C4403" s="0" t="n">
        <v>1396466</v>
      </c>
      <c r="D4403" s="0" t="s">
        <v>14671</v>
      </c>
      <c r="E4403" s="0" t="s">
        <v>14672</v>
      </c>
      <c r="F4403" s="0" t="s">
        <v>15</v>
      </c>
      <c r="G4403" s="0" t="s">
        <v>36</v>
      </c>
      <c r="H4403" s="0" t="n">
        <v>37</v>
      </c>
      <c r="I4403" s="0" t="s">
        <v>14676</v>
      </c>
      <c r="J4403" s="0" t="s">
        <v>14677</v>
      </c>
      <c r="K4403" s="0" t="s">
        <v>14678</v>
      </c>
      <c r="L4403" s="0" t="str">
        <f aca="false">HYPERLINK("https://www.ncbi.nlm.nih.gov/nuccore/CP000058.1?report=graph&amp;tracks=[key:gene_model_track,Options:GeneOnly]&amp;mk=1396416:1396435|offset_6|444444,1396447:1396466|offset_37|00cc00,1396469:1396488|offset_59|444444,1396490:1396509|offset_80|444444&amp;v=1396215:1396709&amp;c=444444", "offset 37")</f>
        <v>offset 37</v>
      </c>
    </row>
    <row r="4404" customFormat="false" ht="12.8" hidden="false" customHeight="false" outlineLevel="0" collapsed="false">
      <c r="A4404" s="0" t="s">
        <v>12</v>
      </c>
      <c r="B4404" s="0" t="n">
        <v>1396468</v>
      </c>
      <c r="C4404" s="0" t="n">
        <v>1396488</v>
      </c>
      <c r="D4404" s="0" t="s">
        <v>14671</v>
      </c>
      <c r="E4404" s="0" t="s">
        <v>14672</v>
      </c>
      <c r="F4404" s="0" t="s">
        <v>15</v>
      </c>
      <c r="G4404" s="0" t="s">
        <v>20</v>
      </c>
      <c r="H4404" s="0" t="n">
        <v>59</v>
      </c>
      <c r="I4404" s="0" t="s">
        <v>14679</v>
      </c>
      <c r="J4404" s="0" t="s">
        <v>14680</v>
      </c>
      <c r="K4404" s="0" t="s">
        <v>14681</v>
      </c>
      <c r="L4404" s="0" t="str">
        <f aca="false">HYPERLINK("https://www.ncbi.nlm.nih.gov/nuccore/CP000058.1?report=graph&amp;tracks=[key:gene_model_track,Options:GeneOnly]&amp;mk=1396416:1396435|offset_6|444444,1396447:1396466|offset_37|444444,1396469:1396488|offset_59|00cc00,1396490:1396509|offset_80|444444&amp;v=1396215:1396709&amp;c=444444", "offset 59")</f>
        <v>offset 59</v>
      </c>
    </row>
    <row r="4405" customFormat="false" ht="12.8" hidden="false" customHeight="false" outlineLevel="0" collapsed="false">
      <c r="A4405" s="0" t="s">
        <v>12</v>
      </c>
      <c r="B4405" s="0" t="n">
        <v>1396489</v>
      </c>
      <c r="C4405" s="0" t="n">
        <v>1396509</v>
      </c>
      <c r="D4405" s="0" t="s">
        <v>14671</v>
      </c>
      <c r="E4405" s="0" t="s">
        <v>14672</v>
      </c>
      <c r="F4405" s="0" t="s">
        <v>15</v>
      </c>
      <c r="G4405" s="0" t="s">
        <v>36</v>
      </c>
      <c r="H4405" s="0" t="n">
        <v>80</v>
      </c>
      <c r="I4405" s="0" t="s">
        <v>14682</v>
      </c>
      <c r="J4405" s="0" t="s">
        <v>14683</v>
      </c>
      <c r="K4405" s="0" t="s">
        <v>14684</v>
      </c>
      <c r="L4405" s="0" t="str">
        <f aca="false">HYPERLINK("https://www.ncbi.nlm.nih.gov/nuccore/CP000058.1?report=graph&amp;tracks=[key:gene_model_track,Options:GeneOnly]&amp;mk=1396416:1396435|offset_6|444444,1396447:1396466|offset_37|444444,1396469:1396488|offset_59|444444,1396490:1396509|offset_80|00cc00&amp;v=1396215:1396709&amp;c=444444", "offset 80")</f>
        <v>offset 80</v>
      </c>
    </row>
    <row r="4406" customFormat="false" ht="12.8" hidden="false" customHeight="false" outlineLevel="0" collapsed="false">
      <c r="A4406" s="0" t="s">
        <v>12</v>
      </c>
      <c r="B4406" s="0" t="n">
        <v>1397882</v>
      </c>
      <c r="C4406" s="0" t="n">
        <v>1397902</v>
      </c>
      <c r="D4406" s="0" t="s">
        <v>14685</v>
      </c>
      <c r="E4406" s="0" t="s">
        <v>14686</v>
      </c>
      <c r="F4406" s="0" t="s">
        <v>15</v>
      </c>
      <c r="G4406" s="0" t="s">
        <v>20</v>
      </c>
      <c r="H4406" s="0" t="n">
        <v>17</v>
      </c>
      <c r="I4406" s="0" t="s">
        <v>14687</v>
      </c>
      <c r="J4406" s="0" t="s">
        <v>14688</v>
      </c>
      <c r="K4406" s="0" t="s">
        <v>14689</v>
      </c>
      <c r="L4406" s="0" t="str">
        <f aca="false">HYPERLINK("https://www.ncbi.nlm.nih.gov/nuccore/CP000058.1?report=graph&amp;tracks=[key:gene_model_track,Options:GeneOnly]&amp;mk=1397883:1397902|offset_17|00cc00,1397926:1397945|offset_60|444444,1397963:1397982|offset_97|444444,1398005:1398024|offset_139|444444&amp;v=1397682:1398224&amp;c=444444", "offset 17")</f>
        <v>offset 17</v>
      </c>
    </row>
    <row r="4407" customFormat="false" ht="12.8" hidden="false" customHeight="false" outlineLevel="0" collapsed="false">
      <c r="A4407" s="0" t="s">
        <v>12</v>
      </c>
      <c r="B4407" s="0" t="n">
        <v>1397925</v>
      </c>
      <c r="C4407" s="0" t="n">
        <v>1397945</v>
      </c>
      <c r="D4407" s="0" t="s">
        <v>14685</v>
      </c>
      <c r="E4407" s="0" t="s">
        <v>14686</v>
      </c>
      <c r="F4407" s="0" t="s">
        <v>15</v>
      </c>
      <c r="G4407" s="0" t="s">
        <v>16</v>
      </c>
      <c r="H4407" s="0" t="n">
        <v>60</v>
      </c>
      <c r="I4407" s="0" t="s">
        <v>14690</v>
      </c>
      <c r="J4407" s="0" t="s">
        <v>14691</v>
      </c>
      <c r="K4407" s="0" t="s">
        <v>14692</v>
      </c>
      <c r="L4407" s="0" t="str">
        <f aca="false">HYPERLINK("https://www.ncbi.nlm.nih.gov/nuccore/CP000058.1?report=graph&amp;tracks=[key:gene_model_track,Options:GeneOnly]&amp;mk=1397883:1397902|offset_17|444444,1397926:1397945|offset_60|00cc00,1397963:1397982|offset_97|444444,1398005:1398024|offset_139|444444&amp;v=1397682:1398224&amp;c=444444", "offset 60")</f>
        <v>offset 60</v>
      </c>
    </row>
    <row r="4408" customFormat="false" ht="12.8" hidden="false" customHeight="false" outlineLevel="0" collapsed="false">
      <c r="A4408" s="0" t="s">
        <v>12</v>
      </c>
      <c r="B4408" s="0" t="n">
        <v>1397962</v>
      </c>
      <c r="C4408" s="0" t="n">
        <v>1397982</v>
      </c>
      <c r="D4408" s="0" t="s">
        <v>14685</v>
      </c>
      <c r="E4408" s="0" t="s">
        <v>14686</v>
      </c>
      <c r="F4408" s="0" t="s">
        <v>15</v>
      </c>
      <c r="G4408" s="0" t="s">
        <v>16</v>
      </c>
      <c r="H4408" s="0" t="n">
        <v>97</v>
      </c>
      <c r="I4408" s="0" t="s">
        <v>14693</v>
      </c>
      <c r="J4408" s="0" t="s">
        <v>14694</v>
      </c>
      <c r="K4408" s="0" t="s">
        <v>14695</v>
      </c>
      <c r="L4408" s="0" t="str">
        <f aca="false">HYPERLINK("https://www.ncbi.nlm.nih.gov/nuccore/CP000058.1?report=graph&amp;tracks=[key:gene_model_track,Options:GeneOnly]&amp;mk=1397883:1397902|offset_17|444444,1397926:1397945|offset_60|444444,1397963:1397982|offset_97|00cc00,1398005:1398024|offset_139|444444&amp;v=1397682:1398224&amp;c=444444", "offset 97")</f>
        <v>offset 97</v>
      </c>
    </row>
    <row r="4409" customFormat="false" ht="12.8" hidden="false" customHeight="false" outlineLevel="0" collapsed="false">
      <c r="A4409" s="0" t="s">
        <v>12</v>
      </c>
      <c r="B4409" s="0" t="n">
        <v>1398004</v>
      </c>
      <c r="C4409" s="0" t="n">
        <v>1398024</v>
      </c>
      <c r="D4409" s="0" t="s">
        <v>14685</v>
      </c>
      <c r="E4409" s="0" t="s">
        <v>14686</v>
      </c>
      <c r="F4409" s="0" t="s">
        <v>15</v>
      </c>
      <c r="G4409" s="0" t="s">
        <v>36</v>
      </c>
      <c r="H4409" s="0" t="n">
        <v>139</v>
      </c>
      <c r="I4409" s="0" t="s">
        <v>14696</v>
      </c>
      <c r="J4409" s="0" t="s">
        <v>14697</v>
      </c>
      <c r="K4409" s="0" t="s">
        <v>14698</v>
      </c>
      <c r="L4409" s="0" t="str">
        <f aca="false">HYPERLINK("https://www.ncbi.nlm.nih.gov/nuccore/CP000058.1?report=graph&amp;tracks=[key:gene_model_track,Options:GeneOnly]&amp;mk=1397883:1397902|offset_17|444444,1397926:1397945|offset_60|444444,1397963:1397982|offset_97|444444,1398005:1398024|offset_139|00cc00&amp;v=1397682:1398224&amp;c=444444", "offset 139")</f>
        <v>offset 139</v>
      </c>
    </row>
    <row r="4410" customFormat="false" ht="12.8" hidden="false" customHeight="false" outlineLevel="0" collapsed="false">
      <c r="A4410" s="0" t="s">
        <v>12</v>
      </c>
      <c r="B4410" s="0" t="n">
        <v>1398597</v>
      </c>
      <c r="C4410" s="0" t="n">
        <v>1398617</v>
      </c>
      <c r="D4410" s="0" t="s">
        <v>14699</v>
      </c>
      <c r="E4410" s="0" t="s">
        <v>14700</v>
      </c>
      <c r="F4410" s="0" t="s">
        <v>15</v>
      </c>
      <c r="G4410" s="0" t="s">
        <v>32</v>
      </c>
      <c r="H4410" s="0" t="n">
        <v>1</v>
      </c>
      <c r="I4410" s="0" t="s">
        <v>14701</v>
      </c>
      <c r="J4410" s="0" t="s">
        <v>14702</v>
      </c>
      <c r="K4410" s="0" t="s">
        <v>14703</v>
      </c>
      <c r="L4410" s="0" t="str">
        <f aca="false">HYPERLINK("https://www.ncbi.nlm.nih.gov/nuccore/CP000058.1?report=graph&amp;tracks=[key:gene_model_track,Options:GeneOnly]&amp;mk=1398598:1398617|offset_1|00cc00,1398624:1398643|offset_27|444444,1398652:1398671|offset_55|444444,1398673:1398692|offset_76|444444&amp;v=1398397:1398892&amp;c=444444", "offset 1")</f>
        <v>offset 1</v>
      </c>
    </row>
    <row r="4411" customFormat="false" ht="12.8" hidden="false" customHeight="false" outlineLevel="0" collapsed="false">
      <c r="A4411" s="0" t="s">
        <v>12</v>
      </c>
      <c r="B4411" s="0" t="n">
        <v>1398623</v>
      </c>
      <c r="C4411" s="0" t="n">
        <v>1398643</v>
      </c>
      <c r="D4411" s="0" t="s">
        <v>14699</v>
      </c>
      <c r="E4411" s="0" t="s">
        <v>14700</v>
      </c>
      <c r="F4411" s="0" t="s">
        <v>15</v>
      </c>
      <c r="G4411" s="0" t="s">
        <v>16</v>
      </c>
      <c r="H4411" s="0" t="n">
        <v>27</v>
      </c>
      <c r="I4411" s="0" t="s">
        <v>14704</v>
      </c>
      <c r="J4411" s="0" t="s">
        <v>14705</v>
      </c>
      <c r="K4411" s="0" t="s">
        <v>14706</v>
      </c>
      <c r="L4411" s="0" t="str">
        <f aca="false">HYPERLINK("https://www.ncbi.nlm.nih.gov/nuccore/CP000058.1?report=graph&amp;tracks=[key:gene_model_track,Options:GeneOnly]&amp;mk=1398598:1398617|offset_1|444444,1398624:1398643|offset_27|00cc00,1398652:1398671|offset_55|444444,1398673:1398692|offset_76|444444&amp;v=1398397:1398892&amp;c=444444", "offset 27")</f>
        <v>offset 27</v>
      </c>
    </row>
    <row r="4412" customFormat="false" ht="12.8" hidden="false" customHeight="false" outlineLevel="0" collapsed="false">
      <c r="A4412" s="0" t="s">
        <v>12</v>
      </c>
      <c r="B4412" s="0" t="n">
        <v>1398651</v>
      </c>
      <c r="C4412" s="0" t="n">
        <v>1398671</v>
      </c>
      <c r="D4412" s="0" t="s">
        <v>14699</v>
      </c>
      <c r="E4412" s="0" t="s">
        <v>14700</v>
      </c>
      <c r="F4412" s="0" t="s">
        <v>15</v>
      </c>
      <c r="G4412" s="0" t="s">
        <v>36</v>
      </c>
      <c r="H4412" s="0" t="n">
        <v>55</v>
      </c>
      <c r="I4412" s="0" t="s">
        <v>14707</v>
      </c>
      <c r="J4412" s="0" t="s">
        <v>14708</v>
      </c>
      <c r="K4412" s="0" t="s">
        <v>14709</v>
      </c>
      <c r="L4412" s="0" t="str">
        <f aca="false">HYPERLINK("https://www.ncbi.nlm.nih.gov/nuccore/CP000058.1?report=graph&amp;tracks=[key:gene_model_track,Options:GeneOnly]&amp;mk=1398598:1398617|offset_1|444444,1398624:1398643|offset_27|444444,1398652:1398671|offset_55|00cc00,1398673:1398692|offset_76|444444&amp;v=1398397:1398892&amp;c=444444", "offset 55")</f>
        <v>offset 55</v>
      </c>
    </row>
    <row r="4413" customFormat="false" ht="12.8" hidden="false" customHeight="false" outlineLevel="0" collapsed="false">
      <c r="A4413" s="0" t="s">
        <v>12</v>
      </c>
      <c r="B4413" s="0" t="n">
        <v>1398672</v>
      </c>
      <c r="C4413" s="0" t="n">
        <v>1398692</v>
      </c>
      <c r="D4413" s="0" t="s">
        <v>14699</v>
      </c>
      <c r="E4413" s="0" t="s">
        <v>14700</v>
      </c>
      <c r="F4413" s="0" t="s">
        <v>15</v>
      </c>
      <c r="G4413" s="0" t="s">
        <v>32</v>
      </c>
      <c r="H4413" s="0" t="n">
        <v>76</v>
      </c>
      <c r="I4413" s="0" t="s">
        <v>14710</v>
      </c>
      <c r="J4413" s="0" t="s">
        <v>14711</v>
      </c>
      <c r="K4413" s="0" t="s">
        <v>14712</v>
      </c>
      <c r="L4413" s="0" t="str">
        <f aca="false">HYPERLINK("https://www.ncbi.nlm.nih.gov/nuccore/CP000058.1?report=graph&amp;tracks=[key:gene_model_track,Options:GeneOnly]&amp;mk=1398598:1398617|offset_1|444444,1398624:1398643|offset_27|444444,1398652:1398671|offset_55|444444,1398673:1398692|offset_76|00cc00&amp;v=1398397:1398892&amp;c=444444", "offset 76")</f>
        <v>offset 76</v>
      </c>
    </row>
    <row r="4414" customFormat="false" ht="12.8" hidden="false" customHeight="false" outlineLevel="0" collapsed="false">
      <c r="A4414" s="0" t="s">
        <v>12</v>
      </c>
      <c r="B4414" s="0" t="n">
        <v>1399610</v>
      </c>
      <c r="C4414" s="0" t="n">
        <v>1399630</v>
      </c>
      <c r="D4414" s="0" t="s">
        <v>14713</v>
      </c>
      <c r="E4414" s="0" t="s">
        <v>75</v>
      </c>
      <c r="F4414" s="0" t="s">
        <v>90</v>
      </c>
      <c r="G4414" s="0" t="s">
        <v>36</v>
      </c>
      <c r="H4414" s="0" t="n">
        <v>8</v>
      </c>
      <c r="I4414" s="0" t="s">
        <v>14714</v>
      </c>
      <c r="J4414" s="0" t="s">
        <v>14715</v>
      </c>
      <c r="K4414" s="0" t="s">
        <v>14716</v>
      </c>
      <c r="L4414" s="0" t="str">
        <f aca="false">HYPERLINK("https://www.ncbi.nlm.nih.gov/nuccore/CP000058.1?report=graph&amp;tracks=[key:gene_model_track,Options:GeneOnly]&amp;mk=1399611:1399630|offset_8|00cc00,1399574:1399593|offset_45|444444,1399543:1399562|offset_76|444444,1399496:1399515|offset_123|444444&amp;v=1399410:1399715&amp;c=444444", "offset 8")</f>
        <v>offset 8</v>
      </c>
    </row>
    <row r="4415" customFormat="false" ht="12.8" hidden="false" customHeight="false" outlineLevel="0" collapsed="false">
      <c r="A4415" s="0" t="s">
        <v>12</v>
      </c>
      <c r="B4415" s="0" t="n">
        <v>1399573</v>
      </c>
      <c r="C4415" s="0" t="n">
        <v>1399593</v>
      </c>
      <c r="D4415" s="0" t="s">
        <v>14713</v>
      </c>
      <c r="E4415" s="0" t="s">
        <v>75</v>
      </c>
      <c r="F4415" s="0" t="s">
        <v>90</v>
      </c>
      <c r="G4415" s="0" t="s">
        <v>32</v>
      </c>
      <c r="H4415" s="0" t="n">
        <v>45</v>
      </c>
      <c r="I4415" s="0" t="s">
        <v>14717</v>
      </c>
      <c r="J4415" s="0" t="s">
        <v>14718</v>
      </c>
      <c r="K4415" s="0" t="s">
        <v>14719</v>
      </c>
      <c r="L4415" s="0" t="str">
        <f aca="false">HYPERLINK("https://www.ncbi.nlm.nih.gov/nuccore/CP000058.1?report=graph&amp;tracks=[key:gene_model_track,Options:GeneOnly]&amp;mk=1399611:1399630|offset_8|444444,1399574:1399593|offset_45|00cc00,1399543:1399562|offset_76|444444,1399496:1399515|offset_123|444444&amp;v=1399410:1399715&amp;c=444444", "offset 45")</f>
        <v>offset 45</v>
      </c>
    </row>
    <row r="4416" customFormat="false" ht="12.8" hidden="false" customHeight="false" outlineLevel="0" collapsed="false">
      <c r="A4416" s="0" t="s">
        <v>12</v>
      </c>
      <c r="B4416" s="0" t="n">
        <v>1399542</v>
      </c>
      <c r="C4416" s="0" t="n">
        <v>1399562</v>
      </c>
      <c r="D4416" s="0" t="s">
        <v>14713</v>
      </c>
      <c r="E4416" s="0" t="s">
        <v>75</v>
      </c>
      <c r="F4416" s="0" t="s">
        <v>90</v>
      </c>
      <c r="G4416" s="0" t="s">
        <v>16</v>
      </c>
      <c r="H4416" s="0" t="n">
        <v>76</v>
      </c>
      <c r="I4416" s="0" t="s">
        <v>14720</v>
      </c>
      <c r="J4416" s="0" t="s">
        <v>14721</v>
      </c>
      <c r="K4416" s="0" t="s">
        <v>14722</v>
      </c>
      <c r="L4416" s="0" t="str">
        <f aca="false">HYPERLINK("https://www.ncbi.nlm.nih.gov/nuccore/CP000058.1?report=graph&amp;tracks=[key:gene_model_track,Options:GeneOnly]&amp;mk=1399611:1399630|offset_8|444444,1399574:1399593|offset_45|444444,1399543:1399562|offset_76|00cc00,1399496:1399515|offset_123|444444&amp;v=1399410:1399715&amp;c=444444", "offset 76")</f>
        <v>offset 76</v>
      </c>
    </row>
    <row r="4417" customFormat="false" ht="12.8" hidden="false" customHeight="false" outlineLevel="0" collapsed="false">
      <c r="A4417" s="0" t="s">
        <v>12</v>
      </c>
      <c r="B4417" s="0" t="n">
        <v>1399495</v>
      </c>
      <c r="C4417" s="0" t="n">
        <v>1399515</v>
      </c>
      <c r="D4417" s="0" t="s">
        <v>14713</v>
      </c>
      <c r="E4417" s="0" t="s">
        <v>75</v>
      </c>
      <c r="F4417" s="0" t="s">
        <v>90</v>
      </c>
      <c r="G4417" s="0" t="s">
        <v>16</v>
      </c>
      <c r="H4417" s="0" t="n">
        <v>123</v>
      </c>
      <c r="I4417" s="0" t="s">
        <v>14723</v>
      </c>
      <c r="J4417" s="0" t="s">
        <v>14724</v>
      </c>
      <c r="K4417" s="0" t="s">
        <v>14725</v>
      </c>
      <c r="L4417" s="0" t="str">
        <f aca="false">HYPERLINK("https://www.ncbi.nlm.nih.gov/nuccore/CP000058.1?report=graph&amp;tracks=[key:gene_model_track,Options:GeneOnly]&amp;mk=1399611:1399630|offset_8|444444,1399574:1399593|offset_45|444444,1399543:1399562|offset_76|444444,1399496:1399515|offset_123|00cc00&amp;v=1399410:1399715&amp;c=444444", "offset 123")</f>
        <v>offset 123</v>
      </c>
    </row>
    <row r="4418" customFormat="false" ht="12.8" hidden="false" customHeight="false" outlineLevel="0" collapsed="false">
      <c r="A4418" s="0" t="s">
        <v>12</v>
      </c>
      <c r="B4418" s="0" t="n">
        <v>1399881</v>
      </c>
      <c r="C4418" s="0" t="n">
        <v>1399901</v>
      </c>
      <c r="D4418" s="0" t="s">
        <v>14726</v>
      </c>
      <c r="E4418" s="0" t="s">
        <v>75</v>
      </c>
      <c r="F4418" s="0" t="s">
        <v>15</v>
      </c>
      <c r="G4418" s="0" t="s">
        <v>32</v>
      </c>
      <c r="H4418" s="0" t="n">
        <v>25</v>
      </c>
      <c r="I4418" s="0" t="s">
        <v>14727</v>
      </c>
      <c r="J4418" s="0" t="s">
        <v>14728</v>
      </c>
      <c r="K4418" s="0" t="s">
        <v>14729</v>
      </c>
      <c r="L4418" s="0" t="str">
        <f aca="false">HYPERLINK("https://www.ncbi.nlm.nih.gov/nuccore/CP000058.1?report=graph&amp;tracks=[key:gene_model_track,Options:GeneOnly]&amp;mk=1399882:1399901|offset_25|00cc00,1399912:1399931|offset_55|444444,1399964:1399983|offset_107|444444,1400044:1400063|offset_187|444444&amp;v=1399681:1400263&amp;c=444444", "offset 25")</f>
        <v>offset 25</v>
      </c>
    </row>
    <row r="4419" customFormat="false" ht="12.8" hidden="false" customHeight="false" outlineLevel="0" collapsed="false">
      <c r="A4419" s="0" t="s">
        <v>12</v>
      </c>
      <c r="B4419" s="0" t="n">
        <v>1399911</v>
      </c>
      <c r="C4419" s="0" t="n">
        <v>1399931</v>
      </c>
      <c r="D4419" s="0" t="s">
        <v>14726</v>
      </c>
      <c r="E4419" s="0" t="s">
        <v>75</v>
      </c>
      <c r="F4419" s="0" t="s">
        <v>15</v>
      </c>
      <c r="G4419" s="0" t="s">
        <v>32</v>
      </c>
      <c r="H4419" s="0" t="n">
        <v>55</v>
      </c>
      <c r="I4419" s="0" t="s">
        <v>14730</v>
      </c>
      <c r="J4419" s="0" t="s">
        <v>14731</v>
      </c>
      <c r="K4419" s="0" t="s">
        <v>14732</v>
      </c>
      <c r="L4419" s="0" t="str">
        <f aca="false">HYPERLINK("https://www.ncbi.nlm.nih.gov/nuccore/CP000058.1?report=graph&amp;tracks=[key:gene_model_track,Options:GeneOnly]&amp;mk=1399882:1399901|offset_25|444444,1399912:1399931|offset_55|00cc00,1399964:1399983|offset_107|444444,1400044:1400063|offset_187|444444&amp;v=1399681:1400263&amp;c=444444", "offset 55")</f>
        <v>offset 55</v>
      </c>
    </row>
    <row r="4420" customFormat="false" ht="12.8" hidden="false" customHeight="false" outlineLevel="0" collapsed="false">
      <c r="A4420" s="0" t="s">
        <v>12</v>
      </c>
      <c r="B4420" s="0" t="n">
        <v>1399963</v>
      </c>
      <c r="C4420" s="0" t="n">
        <v>1399983</v>
      </c>
      <c r="D4420" s="0" t="s">
        <v>14726</v>
      </c>
      <c r="E4420" s="0" t="s">
        <v>75</v>
      </c>
      <c r="F4420" s="0" t="s">
        <v>15</v>
      </c>
      <c r="G4420" s="0" t="s">
        <v>36</v>
      </c>
      <c r="H4420" s="0" t="n">
        <v>107</v>
      </c>
      <c r="I4420" s="0" t="s">
        <v>14733</v>
      </c>
      <c r="J4420" s="0" t="s">
        <v>14734</v>
      </c>
      <c r="K4420" s="0" t="s">
        <v>14735</v>
      </c>
      <c r="L4420" s="0" t="str">
        <f aca="false">HYPERLINK("https://www.ncbi.nlm.nih.gov/nuccore/CP000058.1?report=graph&amp;tracks=[key:gene_model_track,Options:GeneOnly]&amp;mk=1399882:1399901|offset_25|444444,1399912:1399931|offset_55|444444,1399964:1399983|offset_107|00cc00,1400044:1400063|offset_187|444444&amp;v=1399681:1400263&amp;c=444444", "offset 107")</f>
        <v>offset 107</v>
      </c>
    </row>
    <row r="4421" customFormat="false" ht="12.8" hidden="false" customHeight="false" outlineLevel="0" collapsed="false">
      <c r="A4421" s="0" t="s">
        <v>12</v>
      </c>
      <c r="B4421" s="0" t="n">
        <v>1400043</v>
      </c>
      <c r="C4421" s="0" t="n">
        <v>1400063</v>
      </c>
      <c r="D4421" s="0" t="s">
        <v>14726</v>
      </c>
      <c r="E4421" s="0" t="s">
        <v>75</v>
      </c>
      <c r="F4421" s="0" t="s">
        <v>15</v>
      </c>
      <c r="G4421" s="0" t="s">
        <v>20</v>
      </c>
      <c r="H4421" s="0" t="n">
        <v>187</v>
      </c>
      <c r="I4421" s="0" t="s">
        <v>14736</v>
      </c>
      <c r="J4421" s="0" t="s">
        <v>14737</v>
      </c>
      <c r="K4421" s="0" t="s">
        <v>14738</v>
      </c>
      <c r="L4421" s="0" t="str">
        <f aca="false">HYPERLINK("https://www.ncbi.nlm.nih.gov/nuccore/CP000058.1?report=graph&amp;tracks=[key:gene_model_track,Options:GeneOnly]&amp;mk=1399882:1399901|offset_25|444444,1399912:1399931|offset_55|444444,1399964:1399983|offset_107|444444,1400044:1400063|offset_187|00cc00&amp;v=1399681:1400263&amp;c=444444", "offset 187")</f>
        <v>offset 187</v>
      </c>
    </row>
    <row r="4422" customFormat="false" ht="12.8" hidden="false" customHeight="false" outlineLevel="0" collapsed="false">
      <c r="A4422" s="0" t="s">
        <v>12</v>
      </c>
      <c r="B4422" s="0" t="n">
        <v>1401907</v>
      </c>
      <c r="C4422" s="0" t="n">
        <v>1401927</v>
      </c>
      <c r="D4422" s="0" t="s">
        <v>14739</v>
      </c>
      <c r="E4422" s="0" t="s">
        <v>75</v>
      </c>
      <c r="F4422" s="0" t="s">
        <v>90</v>
      </c>
      <c r="G4422" s="0" t="s">
        <v>32</v>
      </c>
      <c r="H4422" s="0" t="n">
        <v>0</v>
      </c>
      <c r="I4422" s="0" t="s">
        <v>14740</v>
      </c>
      <c r="J4422" s="0" t="s">
        <v>14741</v>
      </c>
      <c r="K4422" s="0" t="s">
        <v>14742</v>
      </c>
      <c r="L4422" s="0" t="str">
        <f aca="false">HYPERLINK("https://www.ncbi.nlm.nih.gov/nuccore/CP000058.1?report=graph&amp;tracks=[key:gene_model_track,Options:GeneOnly]&amp;mk=1401908:1401927|offset_0|00cc00,1401876:1401895|offset_32|444444,1401814:1401833|offset_94|444444,1401784:1401803|offset_124|444444&amp;v=1401707:1402003&amp;c=444444", "offset 0")</f>
        <v>offset 0</v>
      </c>
    </row>
    <row r="4423" customFormat="false" ht="12.8" hidden="false" customHeight="false" outlineLevel="0" collapsed="false">
      <c r="A4423" s="0" t="s">
        <v>12</v>
      </c>
      <c r="B4423" s="0" t="n">
        <v>1401875</v>
      </c>
      <c r="C4423" s="0" t="n">
        <v>1401895</v>
      </c>
      <c r="D4423" s="0" t="s">
        <v>14739</v>
      </c>
      <c r="E4423" s="0" t="s">
        <v>75</v>
      </c>
      <c r="F4423" s="0" t="s">
        <v>90</v>
      </c>
      <c r="G4423" s="0" t="s">
        <v>16</v>
      </c>
      <c r="H4423" s="0" t="n">
        <v>32</v>
      </c>
      <c r="I4423" s="0" t="s">
        <v>14743</v>
      </c>
      <c r="J4423" s="0" t="s">
        <v>14744</v>
      </c>
      <c r="K4423" s="0" t="s">
        <v>14745</v>
      </c>
      <c r="L4423" s="0" t="str">
        <f aca="false">HYPERLINK("https://www.ncbi.nlm.nih.gov/nuccore/CP000058.1?report=graph&amp;tracks=[key:gene_model_track,Options:GeneOnly]&amp;mk=1401908:1401927|offset_0|444444,1401876:1401895|offset_32|00cc00,1401814:1401833|offset_94|444444,1401784:1401803|offset_124|444444&amp;v=1401707:1402003&amp;c=444444", "offset 32")</f>
        <v>offset 32</v>
      </c>
    </row>
    <row r="4424" customFormat="false" ht="12.8" hidden="false" customHeight="false" outlineLevel="0" collapsed="false">
      <c r="A4424" s="0" t="s">
        <v>12</v>
      </c>
      <c r="B4424" s="0" t="n">
        <v>1401813</v>
      </c>
      <c r="C4424" s="0" t="n">
        <v>1401833</v>
      </c>
      <c r="D4424" s="0" t="s">
        <v>14739</v>
      </c>
      <c r="E4424" s="0" t="s">
        <v>75</v>
      </c>
      <c r="F4424" s="0" t="s">
        <v>90</v>
      </c>
      <c r="G4424" s="0" t="s">
        <v>32</v>
      </c>
      <c r="H4424" s="0" t="n">
        <v>94</v>
      </c>
      <c r="I4424" s="0" t="s">
        <v>14746</v>
      </c>
      <c r="J4424" s="0" t="s">
        <v>14747</v>
      </c>
      <c r="K4424" s="0" t="s">
        <v>14748</v>
      </c>
      <c r="L4424" s="0" t="str">
        <f aca="false">HYPERLINK("https://www.ncbi.nlm.nih.gov/nuccore/CP000058.1?report=graph&amp;tracks=[key:gene_model_track,Options:GeneOnly]&amp;mk=1401908:1401927|offset_0|444444,1401876:1401895|offset_32|444444,1401814:1401833|offset_94|00cc00,1401784:1401803|offset_124|444444&amp;v=1401707:1402003&amp;c=444444", "offset 94")</f>
        <v>offset 94</v>
      </c>
    </row>
    <row r="4425" customFormat="false" ht="12.8" hidden="false" customHeight="false" outlineLevel="0" collapsed="false">
      <c r="A4425" s="0" t="s">
        <v>12</v>
      </c>
      <c r="B4425" s="0" t="n">
        <v>1401783</v>
      </c>
      <c r="C4425" s="0" t="n">
        <v>1401803</v>
      </c>
      <c r="D4425" s="0" t="s">
        <v>14739</v>
      </c>
      <c r="E4425" s="0" t="s">
        <v>75</v>
      </c>
      <c r="F4425" s="0" t="s">
        <v>90</v>
      </c>
      <c r="G4425" s="0" t="s">
        <v>36</v>
      </c>
      <c r="H4425" s="0" t="n">
        <v>124</v>
      </c>
      <c r="I4425" s="0" t="s">
        <v>14749</v>
      </c>
      <c r="J4425" s="0" t="s">
        <v>14750</v>
      </c>
      <c r="K4425" s="0" t="s">
        <v>14751</v>
      </c>
      <c r="L4425" s="0" t="str">
        <f aca="false">HYPERLINK("https://www.ncbi.nlm.nih.gov/nuccore/CP000058.1?report=graph&amp;tracks=[key:gene_model_track,Options:GeneOnly]&amp;mk=1401908:1401927|offset_0|444444,1401876:1401895|offset_32|444444,1401814:1401833|offset_94|444444,1401784:1401803|offset_124|00cc00&amp;v=1401707:1402003&amp;c=444444", "offset 124")</f>
        <v>offset 124</v>
      </c>
    </row>
    <row r="4426" customFormat="false" ht="12.8" hidden="false" customHeight="false" outlineLevel="0" collapsed="false">
      <c r="A4426" s="0" t="s">
        <v>12</v>
      </c>
      <c r="B4426" s="0" t="n">
        <v>1403458</v>
      </c>
      <c r="C4426" s="0" t="n">
        <v>1403478</v>
      </c>
      <c r="D4426" s="0" t="s">
        <v>14752</v>
      </c>
      <c r="E4426" s="0" t="s">
        <v>75</v>
      </c>
      <c r="F4426" s="0" t="s">
        <v>90</v>
      </c>
      <c r="G4426" s="0" t="s">
        <v>36</v>
      </c>
      <c r="H4426" s="0" t="n">
        <v>22</v>
      </c>
      <c r="I4426" s="0" t="s">
        <v>14753</v>
      </c>
      <c r="J4426" s="0" t="s">
        <v>14754</v>
      </c>
      <c r="K4426" s="0" t="s">
        <v>14755</v>
      </c>
      <c r="L4426" s="0" t="str">
        <f aca="false">HYPERLINK("https://www.ncbi.nlm.nih.gov/nuccore/CP000058.1?report=graph&amp;tracks=[key:gene_model_track,Options:GeneOnly]&amp;mk=1403459:1403478|offset_22|00cc00,1403413:1403432|offset_68|444444,1403371:1403390|offset_110|444444,1403351:1403370|offset_130|444444&amp;v=1403258:1403570&amp;c=444444", "offset 22")</f>
        <v>offset 22</v>
      </c>
    </row>
    <row r="4427" customFormat="false" ht="12.8" hidden="false" customHeight="false" outlineLevel="0" collapsed="false">
      <c r="A4427" s="0" t="s">
        <v>12</v>
      </c>
      <c r="B4427" s="0" t="n">
        <v>1403412</v>
      </c>
      <c r="C4427" s="0" t="n">
        <v>1403432</v>
      </c>
      <c r="D4427" s="0" t="s">
        <v>14752</v>
      </c>
      <c r="E4427" s="0" t="s">
        <v>75</v>
      </c>
      <c r="F4427" s="0" t="s">
        <v>90</v>
      </c>
      <c r="G4427" s="0" t="s">
        <v>20</v>
      </c>
      <c r="H4427" s="0" t="n">
        <v>68</v>
      </c>
      <c r="I4427" s="0" t="s">
        <v>14756</v>
      </c>
      <c r="J4427" s="0" t="s">
        <v>14757</v>
      </c>
      <c r="K4427" s="0" t="s">
        <v>14758</v>
      </c>
      <c r="L4427" s="0" t="str">
        <f aca="false">HYPERLINK("https://www.ncbi.nlm.nih.gov/nuccore/CP000058.1?report=graph&amp;tracks=[key:gene_model_track,Options:GeneOnly]&amp;mk=1403459:1403478|offset_22|444444,1403413:1403432|offset_68|00cc00,1403371:1403390|offset_110|444444,1403351:1403370|offset_130|444444&amp;v=1403258:1403570&amp;c=444444", "offset 68")</f>
        <v>offset 68</v>
      </c>
    </row>
    <row r="4428" customFormat="false" ht="12.8" hidden="false" customHeight="false" outlineLevel="0" collapsed="false">
      <c r="A4428" s="0" t="s">
        <v>12</v>
      </c>
      <c r="B4428" s="0" t="n">
        <v>1403370</v>
      </c>
      <c r="C4428" s="0" t="n">
        <v>1403390</v>
      </c>
      <c r="D4428" s="0" t="s">
        <v>14752</v>
      </c>
      <c r="E4428" s="0" t="s">
        <v>75</v>
      </c>
      <c r="F4428" s="0" t="s">
        <v>90</v>
      </c>
      <c r="G4428" s="0" t="s">
        <v>20</v>
      </c>
      <c r="H4428" s="0" t="n">
        <v>110</v>
      </c>
      <c r="I4428" s="0" t="s">
        <v>14759</v>
      </c>
      <c r="J4428" s="0" t="s">
        <v>14760</v>
      </c>
      <c r="K4428" s="0" t="s">
        <v>14761</v>
      </c>
      <c r="L4428" s="0" t="str">
        <f aca="false">HYPERLINK("https://www.ncbi.nlm.nih.gov/nuccore/CP000058.1?report=graph&amp;tracks=[key:gene_model_track,Options:GeneOnly]&amp;mk=1403459:1403478|offset_22|444444,1403413:1403432|offset_68|444444,1403371:1403390|offset_110|00cc00,1403351:1403370|offset_130|444444&amp;v=1403258:1403570&amp;c=444444", "offset 110")</f>
        <v>offset 110</v>
      </c>
    </row>
    <row r="4429" customFormat="false" ht="12.8" hidden="false" customHeight="false" outlineLevel="0" collapsed="false">
      <c r="A4429" s="0" t="s">
        <v>12</v>
      </c>
      <c r="B4429" s="0" t="n">
        <v>1403350</v>
      </c>
      <c r="C4429" s="0" t="n">
        <v>1403370</v>
      </c>
      <c r="D4429" s="0" t="s">
        <v>14752</v>
      </c>
      <c r="E4429" s="0" t="s">
        <v>75</v>
      </c>
      <c r="F4429" s="0" t="s">
        <v>90</v>
      </c>
      <c r="G4429" s="0" t="s">
        <v>16</v>
      </c>
      <c r="H4429" s="0" t="n">
        <v>130</v>
      </c>
      <c r="I4429" s="0" t="s">
        <v>14762</v>
      </c>
      <c r="J4429" s="0" t="s">
        <v>14763</v>
      </c>
      <c r="K4429" s="0" t="s">
        <v>14764</v>
      </c>
      <c r="L4429" s="0" t="str">
        <f aca="false">HYPERLINK("https://www.ncbi.nlm.nih.gov/nuccore/CP000058.1?report=graph&amp;tracks=[key:gene_model_track,Options:GeneOnly]&amp;mk=1403459:1403478|offset_22|444444,1403413:1403432|offset_68|444444,1403371:1403390|offset_110|444444,1403351:1403370|offset_130|00cc00&amp;v=1403258:1403570&amp;c=444444", "offset 130")</f>
        <v>offset 130</v>
      </c>
    </row>
    <row r="4430" customFormat="false" ht="12.8" hidden="false" customHeight="false" outlineLevel="0" collapsed="false">
      <c r="A4430" s="0" t="s">
        <v>12</v>
      </c>
      <c r="B4430" s="0" t="n">
        <v>1404147</v>
      </c>
      <c r="C4430" s="0" t="n">
        <v>1404167</v>
      </c>
      <c r="D4430" s="0" t="s">
        <v>14765</v>
      </c>
      <c r="E4430" s="0" t="s">
        <v>75</v>
      </c>
      <c r="F4430" s="0" t="s">
        <v>90</v>
      </c>
      <c r="G4430" s="0" t="s">
        <v>16</v>
      </c>
      <c r="H4430" s="0" t="n">
        <v>0</v>
      </c>
      <c r="I4430" s="0" t="s">
        <v>14766</v>
      </c>
      <c r="J4430" s="0" t="s">
        <v>14767</v>
      </c>
      <c r="K4430" s="0" t="s">
        <v>14768</v>
      </c>
      <c r="L4430" s="0" t="str">
        <f aca="false">HYPERLINK("https://www.ncbi.nlm.nih.gov/nuccore/CP000058.1?report=graph&amp;tracks=[key:gene_model_track,Options:GeneOnly]&amp;mk=1404148:1404167|offset_0|00cc00,1404111:1404130|offset_37|444444,1404089:1404108|offset_59|444444,1404032:1404051|offset_116|444444&amp;v=1403947:1404251&amp;c=444444", "offset 0")</f>
        <v>offset 0</v>
      </c>
    </row>
    <row r="4431" customFormat="false" ht="12.8" hidden="false" customHeight="false" outlineLevel="0" collapsed="false">
      <c r="A4431" s="0" t="s">
        <v>12</v>
      </c>
      <c r="B4431" s="0" t="n">
        <v>1404110</v>
      </c>
      <c r="C4431" s="0" t="n">
        <v>1404130</v>
      </c>
      <c r="D4431" s="0" t="s">
        <v>14765</v>
      </c>
      <c r="E4431" s="0" t="s">
        <v>75</v>
      </c>
      <c r="F4431" s="0" t="s">
        <v>90</v>
      </c>
      <c r="G4431" s="0" t="s">
        <v>16</v>
      </c>
      <c r="H4431" s="0" t="n">
        <v>37</v>
      </c>
      <c r="I4431" s="0" t="s">
        <v>14769</v>
      </c>
      <c r="J4431" s="0" t="s">
        <v>14770</v>
      </c>
      <c r="K4431" s="0" t="s">
        <v>14771</v>
      </c>
      <c r="L4431" s="0" t="str">
        <f aca="false">HYPERLINK("https://www.ncbi.nlm.nih.gov/nuccore/CP000058.1?report=graph&amp;tracks=[key:gene_model_track,Options:GeneOnly]&amp;mk=1404148:1404167|offset_0|444444,1404111:1404130|offset_37|00cc00,1404089:1404108|offset_59|444444,1404032:1404051|offset_116|444444&amp;v=1403947:1404251&amp;c=444444", "offset 37")</f>
        <v>offset 37</v>
      </c>
    </row>
    <row r="4432" customFormat="false" ht="12.8" hidden="false" customHeight="false" outlineLevel="0" collapsed="false">
      <c r="A4432" s="0" t="s">
        <v>12</v>
      </c>
      <c r="B4432" s="0" t="n">
        <v>1404088</v>
      </c>
      <c r="C4432" s="0" t="n">
        <v>1404108</v>
      </c>
      <c r="D4432" s="0" t="s">
        <v>14765</v>
      </c>
      <c r="E4432" s="0" t="s">
        <v>75</v>
      </c>
      <c r="F4432" s="0" t="s">
        <v>90</v>
      </c>
      <c r="G4432" s="0" t="s">
        <v>20</v>
      </c>
      <c r="H4432" s="0" t="n">
        <v>59</v>
      </c>
      <c r="I4432" s="0" t="s">
        <v>14772</v>
      </c>
      <c r="J4432" s="0" t="s">
        <v>14773</v>
      </c>
      <c r="K4432" s="0" t="s">
        <v>14774</v>
      </c>
      <c r="L4432" s="0" t="str">
        <f aca="false">HYPERLINK("https://www.ncbi.nlm.nih.gov/nuccore/CP000058.1?report=graph&amp;tracks=[key:gene_model_track,Options:GeneOnly]&amp;mk=1404148:1404167|offset_0|444444,1404111:1404130|offset_37|444444,1404089:1404108|offset_59|00cc00,1404032:1404051|offset_116|444444&amp;v=1403947:1404251&amp;c=444444", "offset 59")</f>
        <v>offset 59</v>
      </c>
    </row>
    <row r="4433" customFormat="false" ht="12.8" hidden="false" customHeight="false" outlineLevel="0" collapsed="false">
      <c r="A4433" s="0" t="s">
        <v>12</v>
      </c>
      <c r="B4433" s="0" t="n">
        <v>1404031</v>
      </c>
      <c r="C4433" s="0" t="n">
        <v>1404051</v>
      </c>
      <c r="D4433" s="0" t="s">
        <v>14765</v>
      </c>
      <c r="E4433" s="0" t="s">
        <v>75</v>
      </c>
      <c r="F4433" s="0" t="s">
        <v>90</v>
      </c>
      <c r="G4433" s="0" t="s">
        <v>20</v>
      </c>
      <c r="H4433" s="0" t="n">
        <v>116</v>
      </c>
      <c r="I4433" s="0" t="s">
        <v>14775</v>
      </c>
      <c r="J4433" s="0" t="s">
        <v>14776</v>
      </c>
      <c r="K4433" s="0" t="s">
        <v>14777</v>
      </c>
      <c r="L4433" s="0" t="str">
        <f aca="false">HYPERLINK("https://www.ncbi.nlm.nih.gov/nuccore/CP000058.1?report=graph&amp;tracks=[key:gene_model_track,Options:GeneOnly]&amp;mk=1404148:1404167|offset_0|444444,1404111:1404130|offset_37|444444,1404089:1404108|offset_59|444444,1404032:1404051|offset_116|00cc00&amp;v=1403947:1404251&amp;c=444444", "offset 116")</f>
        <v>offset 116</v>
      </c>
    </row>
    <row r="4434" customFormat="false" ht="12.8" hidden="false" customHeight="false" outlineLevel="0" collapsed="false">
      <c r="A4434" s="0" t="s">
        <v>12</v>
      </c>
      <c r="B4434" s="0" t="n">
        <v>1407251</v>
      </c>
      <c r="C4434" s="0" t="n">
        <v>1407271</v>
      </c>
      <c r="D4434" s="0" t="s">
        <v>14778</v>
      </c>
      <c r="E4434" s="0" t="s">
        <v>75</v>
      </c>
      <c r="F4434" s="0" t="s">
        <v>90</v>
      </c>
      <c r="G4434" s="0" t="s">
        <v>16</v>
      </c>
      <c r="H4434" s="0" t="n">
        <v>11</v>
      </c>
      <c r="I4434" s="0" t="s">
        <v>14779</v>
      </c>
      <c r="J4434" s="0" t="s">
        <v>14780</v>
      </c>
      <c r="K4434" s="0" t="s">
        <v>14781</v>
      </c>
      <c r="L4434" s="0" t="str">
        <f aca="false">HYPERLINK("https://www.ncbi.nlm.nih.gov/nuccore/CP000058.1?report=graph&amp;tracks=[key:gene_model_track,Options:GeneOnly]&amp;mk=1407252:1407271|offset_11|00cc00,1407222:1407241|offset_41|444444,1407196:1407215|offset_67|444444,1407166:1407185|offset_97|444444&amp;v=1407051:1407385&amp;c=444444", "offset 11")</f>
        <v>offset 11</v>
      </c>
    </row>
    <row r="4435" customFormat="false" ht="12.8" hidden="false" customHeight="false" outlineLevel="0" collapsed="false">
      <c r="A4435" s="0" t="s">
        <v>12</v>
      </c>
      <c r="B4435" s="0" t="n">
        <v>1407221</v>
      </c>
      <c r="C4435" s="0" t="n">
        <v>1407241</v>
      </c>
      <c r="D4435" s="0" t="s">
        <v>14778</v>
      </c>
      <c r="E4435" s="0" t="s">
        <v>75</v>
      </c>
      <c r="F4435" s="0" t="s">
        <v>90</v>
      </c>
      <c r="G4435" s="0" t="s">
        <v>32</v>
      </c>
      <c r="H4435" s="0" t="n">
        <v>41</v>
      </c>
      <c r="I4435" s="0" t="s">
        <v>14782</v>
      </c>
      <c r="J4435" s="0" t="s">
        <v>14783</v>
      </c>
      <c r="K4435" s="0" t="s">
        <v>14784</v>
      </c>
      <c r="L4435" s="0" t="str">
        <f aca="false">HYPERLINK("https://www.ncbi.nlm.nih.gov/nuccore/CP000058.1?report=graph&amp;tracks=[key:gene_model_track,Options:GeneOnly]&amp;mk=1407252:1407271|offset_11|444444,1407222:1407241|offset_41|00cc00,1407196:1407215|offset_67|444444,1407166:1407185|offset_97|444444&amp;v=1407051:1407385&amp;c=444444", "offset 41")</f>
        <v>offset 41</v>
      </c>
    </row>
    <row r="4436" customFormat="false" ht="12.8" hidden="false" customHeight="false" outlineLevel="0" collapsed="false">
      <c r="A4436" s="0" t="s">
        <v>12</v>
      </c>
      <c r="B4436" s="0" t="n">
        <v>1407195</v>
      </c>
      <c r="C4436" s="0" t="n">
        <v>1407215</v>
      </c>
      <c r="D4436" s="0" t="s">
        <v>14778</v>
      </c>
      <c r="E4436" s="0" t="s">
        <v>75</v>
      </c>
      <c r="F4436" s="0" t="s">
        <v>90</v>
      </c>
      <c r="G4436" s="0" t="s">
        <v>20</v>
      </c>
      <c r="H4436" s="0" t="n">
        <v>67</v>
      </c>
      <c r="I4436" s="0" t="s">
        <v>14785</v>
      </c>
      <c r="J4436" s="0" t="s">
        <v>14786</v>
      </c>
      <c r="K4436" s="0" t="s">
        <v>14787</v>
      </c>
      <c r="L4436" s="0" t="str">
        <f aca="false">HYPERLINK("https://www.ncbi.nlm.nih.gov/nuccore/CP000058.1?report=graph&amp;tracks=[key:gene_model_track,Options:GeneOnly]&amp;mk=1407252:1407271|offset_11|444444,1407222:1407241|offset_41|444444,1407196:1407215|offset_67|00cc00,1407166:1407185|offset_97|444444&amp;v=1407051:1407385&amp;c=444444", "offset 67")</f>
        <v>offset 67</v>
      </c>
    </row>
    <row r="4437" customFormat="false" ht="12.8" hidden="false" customHeight="false" outlineLevel="0" collapsed="false">
      <c r="A4437" s="0" t="s">
        <v>12</v>
      </c>
      <c r="B4437" s="0" t="n">
        <v>1407165</v>
      </c>
      <c r="C4437" s="0" t="n">
        <v>1407185</v>
      </c>
      <c r="D4437" s="0" t="s">
        <v>14778</v>
      </c>
      <c r="E4437" s="0" t="s">
        <v>75</v>
      </c>
      <c r="F4437" s="0" t="s">
        <v>90</v>
      </c>
      <c r="G4437" s="0" t="s">
        <v>20</v>
      </c>
      <c r="H4437" s="0" t="n">
        <v>97</v>
      </c>
      <c r="I4437" s="0" t="s">
        <v>14788</v>
      </c>
      <c r="J4437" s="0" t="s">
        <v>14789</v>
      </c>
      <c r="K4437" s="0" t="s">
        <v>14790</v>
      </c>
      <c r="L4437" s="0" t="str">
        <f aca="false">HYPERLINK("https://www.ncbi.nlm.nih.gov/nuccore/CP000058.1?report=graph&amp;tracks=[key:gene_model_track,Options:GeneOnly]&amp;mk=1407252:1407271|offset_11|444444,1407222:1407241|offset_41|444444,1407196:1407215|offset_67|444444,1407166:1407185|offset_97|00cc00&amp;v=1407051:1407385&amp;c=444444", "offset 97")</f>
        <v>offset 97</v>
      </c>
    </row>
    <row r="4438" customFormat="false" ht="12.8" hidden="false" customHeight="false" outlineLevel="0" collapsed="false">
      <c r="A4438" s="0" t="s">
        <v>12</v>
      </c>
      <c r="B4438" s="0" t="n">
        <v>1408409</v>
      </c>
      <c r="C4438" s="0" t="n">
        <v>1408429</v>
      </c>
      <c r="D4438" s="0" t="s">
        <v>14791</v>
      </c>
      <c r="E4438" s="0" t="s">
        <v>75</v>
      </c>
      <c r="F4438" s="0" t="s">
        <v>90</v>
      </c>
      <c r="G4438" s="0" t="s">
        <v>36</v>
      </c>
      <c r="H4438" s="0" t="n">
        <v>16</v>
      </c>
      <c r="I4438" s="0" t="s">
        <v>14792</v>
      </c>
      <c r="J4438" s="0" t="s">
        <v>14793</v>
      </c>
      <c r="K4438" s="0" t="s">
        <v>14794</v>
      </c>
      <c r="L4438" s="0" t="str">
        <f aca="false">HYPERLINK("https://www.ncbi.nlm.nih.gov/nuccore/CP000058.1?report=graph&amp;tracks=[key:gene_model_track,Options:GeneOnly]&amp;mk=1408410:1408429|offset_16|00cc00,1408388:1408407|offset_38|444444,1408368:1408387|offset_58|444444,1408343:1408362|offset_83|444444&amp;v=1408209:1408562&amp;c=444444", "offset 16")</f>
        <v>offset 16</v>
      </c>
    </row>
    <row r="4439" customFormat="false" ht="12.8" hidden="false" customHeight="false" outlineLevel="0" collapsed="false">
      <c r="A4439" s="0" t="s">
        <v>12</v>
      </c>
      <c r="B4439" s="0" t="n">
        <v>1408387</v>
      </c>
      <c r="C4439" s="0" t="n">
        <v>1408407</v>
      </c>
      <c r="D4439" s="0" t="s">
        <v>14791</v>
      </c>
      <c r="E4439" s="0" t="s">
        <v>75</v>
      </c>
      <c r="F4439" s="0" t="s">
        <v>90</v>
      </c>
      <c r="G4439" s="0" t="s">
        <v>20</v>
      </c>
      <c r="H4439" s="0" t="n">
        <v>38</v>
      </c>
      <c r="I4439" s="0" t="s">
        <v>14795</v>
      </c>
      <c r="J4439" s="0" t="s">
        <v>14796</v>
      </c>
      <c r="K4439" s="0" t="s">
        <v>14797</v>
      </c>
      <c r="L4439" s="0" t="str">
        <f aca="false">HYPERLINK("https://www.ncbi.nlm.nih.gov/nuccore/CP000058.1?report=graph&amp;tracks=[key:gene_model_track,Options:GeneOnly]&amp;mk=1408410:1408429|offset_16|444444,1408388:1408407|offset_38|00cc00,1408368:1408387|offset_58|444444,1408343:1408362|offset_83|444444&amp;v=1408209:1408562&amp;c=444444", "offset 38")</f>
        <v>offset 38</v>
      </c>
    </row>
    <row r="4440" customFormat="false" ht="12.8" hidden="false" customHeight="false" outlineLevel="0" collapsed="false">
      <c r="A4440" s="0" t="s">
        <v>12</v>
      </c>
      <c r="B4440" s="0" t="n">
        <v>1408367</v>
      </c>
      <c r="C4440" s="0" t="n">
        <v>1408387</v>
      </c>
      <c r="D4440" s="0" t="s">
        <v>14791</v>
      </c>
      <c r="E4440" s="0" t="s">
        <v>75</v>
      </c>
      <c r="F4440" s="0" t="s">
        <v>90</v>
      </c>
      <c r="G4440" s="0" t="s">
        <v>32</v>
      </c>
      <c r="H4440" s="0" t="n">
        <v>58</v>
      </c>
      <c r="I4440" s="0" t="s">
        <v>14798</v>
      </c>
      <c r="J4440" s="0" t="s">
        <v>14799</v>
      </c>
      <c r="K4440" s="0" t="s">
        <v>14800</v>
      </c>
      <c r="L4440" s="0" t="str">
        <f aca="false">HYPERLINK("https://www.ncbi.nlm.nih.gov/nuccore/CP000058.1?report=graph&amp;tracks=[key:gene_model_track,Options:GeneOnly]&amp;mk=1408410:1408429|offset_16|444444,1408388:1408407|offset_38|444444,1408368:1408387|offset_58|00cc00,1408343:1408362|offset_83|444444&amp;v=1408209:1408562&amp;c=444444", "offset 58")</f>
        <v>offset 58</v>
      </c>
    </row>
    <row r="4441" customFormat="false" ht="12.8" hidden="false" customHeight="false" outlineLevel="0" collapsed="false">
      <c r="A4441" s="0" t="s">
        <v>12</v>
      </c>
      <c r="B4441" s="0" t="n">
        <v>1408342</v>
      </c>
      <c r="C4441" s="0" t="n">
        <v>1408362</v>
      </c>
      <c r="D4441" s="0" t="s">
        <v>14791</v>
      </c>
      <c r="E4441" s="0" t="s">
        <v>75</v>
      </c>
      <c r="F4441" s="0" t="s">
        <v>90</v>
      </c>
      <c r="G4441" s="0" t="s">
        <v>36</v>
      </c>
      <c r="H4441" s="0" t="n">
        <v>83</v>
      </c>
      <c r="I4441" s="0" t="s">
        <v>14801</v>
      </c>
      <c r="J4441" s="0" t="s">
        <v>14802</v>
      </c>
      <c r="K4441" s="0" t="s">
        <v>14803</v>
      </c>
      <c r="L4441" s="0" t="str">
        <f aca="false">HYPERLINK("https://www.ncbi.nlm.nih.gov/nuccore/CP000058.1?report=graph&amp;tracks=[key:gene_model_track,Options:GeneOnly]&amp;mk=1408410:1408429|offset_16|444444,1408388:1408407|offset_38|444444,1408368:1408387|offset_58|444444,1408343:1408362|offset_83|00cc00&amp;v=1408209:1408562&amp;c=444444", "offset 83")</f>
        <v>offset 83</v>
      </c>
    </row>
    <row r="4442" customFormat="false" ht="12.8" hidden="false" customHeight="false" outlineLevel="0" collapsed="false">
      <c r="A4442" s="0" t="s">
        <v>12</v>
      </c>
      <c r="B4442" s="0" t="n">
        <v>1408825</v>
      </c>
      <c r="C4442" s="0" t="n">
        <v>1408845</v>
      </c>
      <c r="D4442" s="0" t="s">
        <v>14804</v>
      </c>
      <c r="E4442" s="0" t="s">
        <v>75</v>
      </c>
      <c r="F4442" s="0" t="s">
        <v>15</v>
      </c>
      <c r="G4442" s="0" t="s">
        <v>36</v>
      </c>
      <c r="H4442" s="0" t="n">
        <v>15</v>
      </c>
      <c r="I4442" s="0" t="s">
        <v>14805</v>
      </c>
      <c r="J4442" s="0" t="s">
        <v>14806</v>
      </c>
      <c r="K4442" s="0" t="s">
        <v>14807</v>
      </c>
      <c r="L4442" s="0" t="str">
        <f aca="false">HYPERLINK("https://www.ncbi.nlm.nih.gov/nuccore/CP000058.1?report=graph&amp;tracks=[key:gene_model_track,Options:GeneOnly]&amp;mk=1408826:1408845|offset_15|00cc00,1408914:1408933|offset_103|444444,1408934:1408953|offset_123|444444,1408967:1408986|offset_156|444444&amp;v=1408625:1409186&amp;c=444444", "offset 15")</f>
        <v>offset 15</v>
      </c>
    </row>
    <row r="4443" customFormat="false" ht="12.8" hidden="false" customHeight="false" outlineLevel="0" collapsed="false">
      <c r="A4443" s="0" t="s">
        <v>12</v>
      </c>
      <c r="B4443" s="0" t="n">
        <v>1408913</v>
      </c>
      <c r="C4443" s="0" t="n">
        <v>1408933</v>
      </c>
      <c r="D4443" s="0" t="s">
        <v>14804</v>
      </c>
      <c r="E4443" s="0" t="s">
        <v>75</v>
      </c>
      <c r="F4443" s="0" t="s">
        <v>15</v>
      </c>
      <c r="G4443" s="0" t="s">
        <v>16</v>
      </c>
      <c r="H4443" s="0" t="n">
        <v>103</v>
      </c>
      <c r="I4443" s="0" t="s">
        <v>14808</v>
      </c>
      <c r="J4443" s="0" t="s">
        <v>14809</v>
      </c>
      <c r="K4443" s="0" t="s">
        <v>14810</v>
      </c>
      <c r="L4443" s="0" t="str">
        <f aca="false">HYPERLINK("https://www.ncbi.nlm.nih.gov/nuccore/CP000058.1?report=graph&amp;tracks=[key:gene_model_track,Options:GeneOnly]&amp;mk=1408826:1408845|offset_15|444444,1408914:1408933|offset_103|00cc00,1408934:1408953|offset_123|444444,1408967:1408986|offset_156|444444&amp;v=1408625:1409186&amp;c=444444", "offset 103")</f>
        <v>offset 103</v>
      </c>
    </row>
    <row r="4444" customFormat="false" ht="12.8" hidden="false" customHeight="false" outlineLevel="0" collapsed="false">
      <c r="A4444" s="0" t="s">
        <v>12</v>
      </c>
      <c r="B4444" s="0" t="n">
        <v>1408933</v>
      </c>
      <c r="C4444" s="0" t="n">
        <v>1408953</v>
      </c>
      <c r="D4444" s="0" t="s">
        <v>14804</v>
      </c>
      <c r="E4444" s="0" t="s">
        <v>75</v>
      </c>
      <c r="F4444" s="0" t="s">
        <v>15</v>
      </c>
      <c r="G4444" s="0" t="s">
        <v>20</v>
      </c>
      <c r="H4444" s="0" t="n">
        <v>123</v>
      </c>
      <c r="I4444" s="0" t="s">
        <v>14811</v>
      </c>
      <c r="J4444" s="0" t="s">
        <v>14812</v>
      </c>
      <c r="K4444" s="0" t="s">
        <v>14813</v>
      </c>
      <c r="L4444" s="0" t="str">
        <f aca="false">HYPERLINK("https://www.ncbi.nlm.nih.gov/nuccore/CP000058.1?report=graph&amp;tracks=[key:gene_model_track,Options:GeneOnly]&amp;mk=1408826:1408845|offset_15|444444,1408914:1408933|offset_103|444444,1408934:1408953|offset_123|00cc00,1408967:1408986|offset_156|444444&amp;v=1408625:1409186&amp;c=444444", "offset 123")</f>
        <v>offset 123</v>
      </c>
    </row>
    <row r="4445" customFormat="false" ht="12.8" hidden="false" customHeight="false" outlineLevel="0" collapsed="false">
      <c r="A4445" s="0" t="s">
        <v>12</v>
      </c>
      <c r="B4445" s="0" t="n">
        <v>1408966</v>
      </c>
      <c r="C4445" s="0" t="n">
        <v>1408986</v>
      </c>
      <c r="D4445" s="0" t="s">
        <v>14804</v>
      </c>
      <c r="E4445" s="0" t="s">
        <v>75</v>
      </c>
      <c r="F4445" s="0" t="s">
        <v>15</v>
      </c>
      <c r="G4445" s="0" t="s">
        <v>16</v>
      </c>
      <c r="H4445" s="0" t="n">
        <v>156</v>
      </c>
      <c r="I4445" s="0" t="s">
        <v>14814</v>
      </c>
      <c r="J4445" s="0" t="s">
        <v>14815</v>
      </c>
      <c r="K4445" s="0" t="s">
        <v>14816</v>
      </c>
      <c r="L4445" s="0" t="str">
        <f aca="false">HYPERLINK("https://www.ncbi.nlm.nih.gov/nuccore/CP000058.1?report=graph&amp;tracks=[key:gene_model_track,Options:GeneOnly]&amp;mk=1408826:1408845|offset_15|444444,1408914:1408933|offset_103|444444,1408934:1408953|offset_123|444444,1408967:1408986|offset_156|00cc00&amp;v=1408625:1409186&amp;c=444444", "offset 156")</f>
        <v>offset 156</v>
      </c>
    </row>
    <row r="4446" customFormat="false" ht="12.8" hidden="false" customHeight="false" outlineLevel="0" collapsed="false">
      <c r="A4446" s="0" t="s">
        <v>12</v>
      </c>
      <c r="B4446" s="0" t="n">
        <v>1409487</v>
      </c>
      <c r="C4446" s="0" t="n">
        <v>1409507</v>
      </c>
      <c r="D4446" s="0" t="s">
        <v>14817</v>
      </c>
      <c r="E4446" s="0" t="s">
        <v>75</v>
      </c>
      <c r="F4446" s="0" t="s">
        <v>15</v>
      </c>
      <c r="G4446" s="0" t="s">
        <v>16</v>
      </c>
      <c r="H4446" s="0" t="n">
        <v>64</v>
      </c>
      <c r="I4446" s="0" t="s">
        <v>14818</v>
      </c>
      <c r="J4446" s="0" t="s">
        <v>14819</v>
      </c>
      <c r="K4446" s="0" t="s">
        <v>14820</v>
      </c>
      <c r="L4446" s="0" t="str">
        <f aca="false">HYPERLINK("https://www.ncbi.nlm.nih.gov/nuccore/CP000058.1?report=graph&amp;tracks=[key:gene_model_track,Options:GeneOnly]&amp;mk=1409488:1409507|offset_64|00cc00,1409530:1409549|offset_106|444444,1409559:1409578|offset_135|444444,1409584:1409603|offset_160|444444&amp;v=1409287:1409803&amp;c=444444", "offset 64")</f>
        <v>offset 64</v>
      </c>
    </row>
    <row r="4447" customFormat="false" ht="12.8" hidden="false" customHeight="false" outlineLevel="0" collapsed="false">
      <c r="A4447" s="0" t="s">
        <v>12</v>
      </c>
      <c r="B4447" s="0" t="n">
        <v>1409529</v>
      </c>
      <c r="C4447" s="0" t="n">
        <v>1409549</v>
      </c>
      <c r="D4447" s="0" t="s">
        <v>14817</v>
      </c>
      <c r="E4447" s="0" t="s">
        <v>75</v>
      </c>
      <c r="F4447" s="0" t="s">
        <v>15</v>
      </c>
      <c r="G4447" s="0" t="s">
        <v>36</v>
      </c>
      <c r="H4447" s="0" t="n">
        <v>106</v>
      </c>
      <c r="I4447" s="0" t="s">
        <v>14821</v>
      </c>
      <c r="J4447" s="0" t="s">
        <v>14822</v>
      </c>
      <c r="K4447" s="0" t="s">
        <v>14823</v>
      </c>
      <c r="L4447" s="0" t="str">
        <f aca="false">HYPERLINK("https://www.ncbi.nlm.nih.gov/nuccore/CP000058.1?report=graph&amp;tracks=[key:gene_model_track,Options:GeneOnly]&amp;mk=1409488:1409507|offset_64|444444,1409530:1409549|offset_106|00cc00,1409559:1409578|offset_135|444444,1409584:1409603|offset_160|444444&amp;v=1409287:1409803&amp;c=444444", "offset 106")</f>
        <v>offset 106</v>
      </c>
    </row>
    <row r="4448" customFormat="false" ht="12.8" hidden="false" customHeight="false" outlineLevel="0" collapsed="false">
      <c r="A4448" s="0" t="s">
        <v>12</v>
      </c>
      <c r="B4448" s="0" t="n">
        <v>1409558</v>
      </c>
      <c r="C4448" s="0" t="n">
        <v>1409578</v>
      </c>
      <c r="D4448" s="0" t="s">
        <v>14817</v>
      </c>
      <c r="E4448" s="0" t="s">
        <v>75</v>
      </c>
      <c r="F4448" s="0" t="s">
        <v>15</v>
      </c>
      <c r="G4448" s="0" t="s">
        <v>16</v>
      </c>
      <c r="H4448" s="0" t="n">
        <v>135</v>
      </c>
      <c r="I4448" s="0" t="s">
        <v>14824</v>
      </c>
      <c r="J4448" s="0" t="s">
        <v>14825</v>
      </c>
      <c r="K4448" s="0" t="s">
        <v>14826</v>
      </c>
      <c r="L4448" s="0" t="str">
        <f aca="false">HYPERLINK("https://www.ncbi.nlm.nih.gov/nuccore/CP000058.1?report=graph&amp;tracks=[key:gene_model_track,Options:GeneOnly]&amp;mk=1409488:1409507|offset_64|444444,1409530:1409549|offset_106|444444,1409559:1409578|offset_135|00cc00,1409584:1409603|offset_160|444444&amp;v=1409287:1409803&amp;c=444444", "offset 135")</f>
        <v>offset 135</v>
      </c>
    </row>
    <row r="4449" customFormat="false" ht="12.8" hidden="false" customHeight="false" outlineLevel="0" collapsed="false">
      <c r="A4449" s="0" t="s">
        <v>12</v>
      </c>
      <c r="B4449" s="0" t="n">
        <v>1409583</v>
      </c>
      <c r="C4449" s="0" t="n">
        <v>1409603</v>
      </c>
      <c r="D4449" s="0" t="s">
        <v>14817</v>
      </c>
      <c r="E4449" s="0" t="s">
        <v>75</v>
      </c>
      <c r="F4449" s="0" t="s">
        <v>15</v>
      </c>
      <c r="G4449" s="0" t="s">
        <v>32</v>
      </c>
      <c r="H4449" s="0" t="n">
        <v>160</v>
      </c>
      <c r="I4449" s="0" t="s">
        <v>14827</v>
      </c>
      <c r="J4449" s="0" t="s">
        <v>14828</v>
      </c>
      <c r="K4449" s="0" t="s">
        <v>14829</v>
      </c>
      <c r="L4449" s="0" t="str">
        <f aca="false">HYPERLINK("https://www.ncbi.nlm.nih.gov/nuccore/CP000058.1?report=graph&amp;tracks=[key:gene_model_track,Options:GeneOnly]&amp;mk=1409488:1409507|offset_64|444444,1409530:1409549|offset_106|444444,1409559:1409578|offset_135|444444,1409584:1409603|offset_160|00cc00&amp;v=1409287:1409803&amp;c=444444", "offset 160")</f>
        <v>offset 160</v>
      </c>
    </row>
    <row r="4450" customFormat="false" ht="12.8" hidden="false" customHeight="false" outlineLevel="0" collapsed="false">
      <c r="A4450" s="0" t="s">
        <v>12</v>
      </c>
      <c r="B4450" s="0" t="n">
        <v>1410080</v>
      </c>
      <c r="C4450" s="0" t="n">
        <v>1410100</v>
      </c>
      <c r="D4450" s="0" t="s">
        <v>14830</v>
      </c>
      <c r="E4450" s="0" t="s">
        <v>75</v>
      </c>
      <c r="F4450" s="0" t="s">
        <v>15</v>
      </c>
      <c r="G4450" s="0" t="s">
        <v>20</v>
      </c>
      <c r="H4450" s="0" t="n">
        <v>9</v>
      </c>
      <c r="I4450" s="0" t="s">
        <v>14831</v>
      </c>
      <c r="J4450" s="0" t="s">
        <v>14832</v>
      </c>
      <c r="K4450" s="0" t="s">
        <v>14833</v>
      </c>
      <c r="L4450" s="0" t="str">
        <f aca="false">HYPERLINK("https://www.ncbi.nlm.nih.gov/nuccore/CP000058.1?report=graph&amp;tracks=[key:gene_model_track,Options:GeneOnly]&amp;mk=1410081:1410100|offset_9|00cc00,1410130:1410149|offset_58|444444,1410236:1410255|offset_164|444444,1410258:1410277|offset_186|444444&amp;v=1409880:1410477&amp;c=444444", "offset 9")</f>
        <v>offset 9</v>
      </c>
    </row>
    <row r="4451" customFormat="false" ht="12.8" hidden="false" customHeight="false" outlineLevel="0" collapsed="false">
      <c r="A4451" s="0" t="s">
        <v>12</v>
      </c>
      <c r="B4451" s="0" t="n">
        <v>1410129</v>
      </c>
      <c r="C4451" s="0" t="n">
        <v>1410149</v>
      </c>
      <c r="D4451" s="0" t="s">
        <v>14830</v>
      </c>
      <c r="E4451" s="0" t="s">
        <v>75</v>
      </c>
      <c r="F4451" s="0" t="s">
        <v>15</v>
      </c>
      <c r="G4451" s="0" t="s">
        <v>20</v>
      </c>
      <c r="H4451" s="0" t="n">
        <v>58</v>
      </c>
      <c r="I4451" s="0" t="s">
        <v>14834</v>
      </c>
      <c r="J4451" s="0" t="s">
        <v>14835</v>
      </c>
      <c r="K4451" s="0" t="s">
        <v>14836</v>
      </c>
      <c r="L4451" s="0" t="str">
        <f aca="false">HYPERLINK("https://www.ncbi.nlm.nih.gov/nuccore/CP000058.1?report=graph&amp;tracks=[key:gene_model_track,Options:GeneOnly]&amp;mk=1410081:1410100|offset_9|444444,1410130:1410149|offset_58|00cc00,1410236:1410255|offset_164|444444,1410258:1410277|offset_186|444444&amp;v=1409880:1410477&amp;c=444444", "offset 58")</f>
        <v>offset 58</v>
      </c>
    </row>
    <row r="4452" customFormat="false" ht="12.8" hidden="false" customHeight="false" outlineLevel="0" collapsed="false">
      <c r="A4452" s="0" t="s">
        <v>12</v>
      </c>
      <c r="B4452" s="0" t="n">
        <v>1410235</v>
      </c>
      <c r="C4452" s="0" t="n">
        <v>1410255</v>
      </c>
      <c r="D4452" s="0" t="s">
        <v>14830</v>
      </c>
      <c r="E4452" s="0" t="s">
        <v>75</v>
      </c>
      <c r="F4452" s="0" t="s">
        <v>15</v>
      </c>
      <c r="G4452" s="0" t="s">
        <v>20</v>
      </c>
      <c r="H4452" s="0" t="n">
        <v>164</v>
      </c>
      <c r="I4452" s="0" t="s">
        <v>14837</v>
      </c>
      <c r="J4452" s="0" t="s">
        <v>14838</v>
      </c>
      <c r="K4452" s="0" t="s">
        <v>14839</v>
      </c>
      <c r="L4452" s="0" t="str">
        <f aca="false">HYPERLINK("https://www.ncbi.nlm.nih.gov/nuccore/CP000058.1?report=graph&amp;tracks=[key:gene_model_track,Options:GeneOnly]&amp;mk=1410081:1410100|offset_9|444444,1410130:1410149|offset_58|444444,1410236:1410255|offset_164|00cc00,1410258:1410277|offset_186|444444&amp;v=1409880:1410477&amp;c=444444", "offset 164")</f>
        <v>offset 164</v>
      </c>
    </row>
    <row r="4453" customFormat="false" ht="12.8" hidden="false" customHeight="false" outlineLevel="0" collapsed="false">
      <c r="A4453" s="0" t="s">
        <v>12</v>
      </c>
      <c r="B4453" s="0" t="n">
        <v>1410257</v>
      </c>
      <c r="C4453" s="0" t="n">
        <v>1410277</v>
      </c>
      <c r="D4453" s="0" t="s">
        <v>14830</v>
      </c>
      <c r="E4453" s="0" t="s">
        <v>75</v>
      </c>
      <c r="F4453" s="0" t="s">
        <v>15</v>
      </c>
      <c r="G4453" s="0" t="s">
        <v>16</v>
      </c>
      <c r="H4453" s="0" t="n">
        <v>186</v>
      </c>
      <c r="I4453" s="0" t="s">
        <v>14840</v>
      </c>
      <c r="J4453" s="0" t="s">
        <v>14841</v>
      </c>
      <c r="K4453" s="0" t="s">
        <v>14842</v>
      </c>
      <c r="L4453" s="0" t="str">
        <f aca="false">HYPERLINK("https://www.ncbi.nlm.nih.gov/nuccore/CP000058.1?report=graph&amp;tracks=[key:gene_model_track,Options:GeneOnly]&amp;mk=1410081:1410100|offset_9|444444,1410130:1410149|offset_58|444444,1410236:1410255|offset_164|444444,1410258:1410277|offset_186|00cc00&amp;v=1409880:1410477&amp;c=444444", "offset 186")</f>
        <v>offset 186</v>
      </c>
    </row>
    <row r="4454" customFormat="false" ht="12.8" hidden="false" customHeight="false" outlineLevel="0" collapsed="false">
      <c r="A4454" s="0" t="s">
        <v>12</v>
      </c>
      <c r="B4454" s="0" t="n">
        <v>1410961</v>
      </c>
      <c r="C4454" s="0" t="n">
        <v>1410981</v>
      </c>
      <c r="D4454" s="0" t="s">
        <v>14843</v>
      </c>
      <c r="E4454" s="0" t="s">
        <v>75</v>
      </c>
      <c r="F4454" s="0" t="s">
        <v>15</v>
      </c>
      <c r="G4454" s="0" t="s">
        <v>16</v>
      </c>
      <c r="H4454" s="0" t="n">
        <v>10</v>
      </c>
      <c r="I4454" s="0" t="s">
        <v>14844</v>
      </c>
      <c r="J4454" s="0" t="s">
        <v>14845</v>
      </c>
      <c r="K4454" s="0" t="s">
        <v>14846</v>
      </c>
      <c r="L4454" s="0" t="str">
        <f aca="false">HYPERLINK("https://www.ncbi.nlm.nih.gov/nuccore/CP000058.1?report=graph&amp;tracks=[key:gene_model_track,Options:GeneOnly]&amp;mk=1410962:1410981|offset_10|00cc00,1411018:1411037|offset_66|444444,1411050:1411069|offset_98|444444,1411091:1411110|offset_139|444444&amp;v=1410761:1411310&amp;c=444444", "offset 10")</f>
        <v>offset 10</v>
      </c>
    </row>
    <row r="4455" customFormat="false" ht="12.8" hidden="false" customHeight="false" outlineLevel="0" collapsed="false">
      <c r="A4455" s="0" t="s">
        <v>12</v>
      </c>
      <c r="B4455" s="0" t="n">
        <v>1411017</v>
      </c>
      <c r="C4455" s="0" t="n">
        <v>1411037</v>
      </c>
      <c r="D4455" s="0" t="s">
        <v>14843</v>
      </c>
      <c r="E4455" s="0" t="s">
        <v>75</v>
      </c>
      <c r="F4455" s="0" t="s">
        <v>15</v>
      </c>
      <c r="G4455" s="0" t="s">
        <v>20</v>
      </c>
      <c r="H4455" s="0" t="n">
        <v>66</v>
      </c>
      <c r="I4455" s="0" t="s">
        <v>14847</v>
      </c>
      <c r="J4455" s="0" t="s">
        <v>14848</v>
      </c>
      <c r="K4455" s="0" t="s">
        <v>14849</v>
      </c>
      <c r="L4455" s="0" t="str">
        <f aca="false">HYPERLINK("https://www.ncbi.nlm.nih.gov/nuccore/CP000058.1?report=graph&amp;tracks=[key:gene_model_track,Options:GeneOnly]&amp;mk=1410962:1410981|offset_10|444444,1411018:1411037|offset_66|00cc00,1411050:1411069|offset_98|444444,1411091:1411110|offset_139|444444&amp;v=1410761:1411310&amp;c=444444", "offset 66")</f>
        <v>offset 66</v>
      </c>
    </row>
    <row r="4456" customFormat="false" ht="12.8" hidden="false" customHeight="false" outlineLevel="0" collapsed="false">
      <c r="A4456" s="0" t="s">
        <v>12</v>
      </c>
      <c r="B4456" s="0" t="n">
        <v>1411049</v>
      </c>
      <c r="C4456" s="0" t="n">
        <v>1411069</v>
      </c>
      <c r="D4456" s="0" t="s">
        <v>14843</v>
      </c>
      <c r="E4456" s="0" t="s">
        <v>75</v>
      </c>
      <c r="F4456" s="0" t="s">
        <v>15</v>
      </c>
      <c r="G4456" s="0" t="s">
        <v>20</v>
      </c>
      <c r="H4456" s="0" t="n">
        <v>98</v>
      </c>
      <c r="I4456" s="0" t="s">
        <v>14850</v>
      </c>
      <c r="J4456" s="0" t="s">
        <v>14851</v>
      </c>
      <c r="K4456" s="0" t="s">
        <v>14852</v>
      </c>
      <c r="L4456" s="0" t="str">
        <f aca="false">HYPERLINK("https://www.ncbi.nlm.nih.gov/nuccore/CP000058.1?report=graph&amp;tracks=[key:gene_model_track,Options:GeneOnly]&amp;mk=1410962:1410981|offset_10|444444,1411018:1411037|offset_66|444444,1411050:1411069|offset_98|00cc00,1411091:1411110|offset_139|444444&amp;v=1410761:1411310&amp;c=444444", "offset 98")</f>
        <v>offset 98</v>
      </c>
    </row>
    <row r="4457" customFormat="false" ht="12.8" hidden="false" customHeight="false" outlineLevel="0" collapsed="false">
      <c r="A4457" s="0" t="s">
        <v>12</v>
      </c>
      <c r="B4457" s="0" t="n">
        <v>1411090</v>
      </c>
      <c r="C4457" s="0" t="n">
        <v>1411110</v>
      </c>
      <c r="D4457" s="0" t="s">
        <v>14843</v>
      </c>
      <c r="E4457" s="0" t="s">
        <v>75</v>
      </c>
      <c r="F4457" s="0" t="s">
        <v>15</v>
      </c>
      <c r="G4457" s="0" t="s">
        <v>20</v>
      </c>
      <c r="H4457" s="0" t="n">
        <v>139</v>
      </c>
      <c r="I4457" s="0" t="s">
        <v>14853</v>
      </c>
      <c r="J4457" s="0" t="s">
        <v>14854</v>
      </c>
      <c r="K4457" s="0" t="s">
        <v>14855</v>
      </c>
      <c r="L4457" s="0" t="str">
        <f aca="false">HYPERLINK("https://www.ncbi.nlm.nih.gov/nuccore/CP000058.1?report=graph&amp;tracks=[key:gene_model_track,Options:GeneOnly]&amp;mk=1410962:1410981|offset_10|444444,1411018:1411037|offset_66|444444,1411050:1411069|offset_98|444444,1411091:1411110|offset_139|00cc00&amp;v=1410761:1411310&amp;c=444444", "offset 139")</f>
        <v>offset 139</v>
      </c>
    </row>
    <row r="4458" customFormat="false" ht="12.8" hidden="false" customHeight="false" outlineLevel="0" collapsed="false">
      <c r="A4458" s="0" t="s">
        <v>12</v>
      </c>
      <c r="B4458" s="0" t="n">
        <v>1414310</v>
      </c>
      <c r="C4458" s="0" t="n">
        <v>1414330</v>
      </c>
      <c r="D4458" s="0" t="s">
        <v>14856</v>
      </c>
      <c r="E4458" s="0" t="s">
        <v>75</v>
      </c>
      <c r="F4458" s="0" t="s">
        <v>15</v>
      </c>
      <c r="G4458" s="0" t="s">
        <v>32</v>
      </c>
      <c r="H4458" s="0" t="n">
        <v>19</v>
      </c>
      <c r="I4458" s="0" t="s">
        <v>14857</v>
      </c>
      <c r="J4458" s="0" t="s">
        <v>14858</v>
      </c>
      <c r="K4458" s="0" t="s">
        <v>14859</v>
      </c>
      <c r="L4458" s="0" t="str">
        <f aca="false">HYPERLINK("https://www.ncbi.nlm.nih.gov/nuccore/CP000058.1?report=graph&amp;tracks=[key:gene_model_track,Options:GeneOnly]&amp;mk=1414311:1414330|offset_19|00cc00,1414355:1414374|offset_63|444444,1414383:1414402|offset_91|444444,1414404:1414423|offset_112|444444&amp;v=1414110:1414623&amp;c=444444", "offset 19")</f>
        <v>offset 19</v>
      </c>
    </row>
    <row r="4459" customFormat="false" ht="12.8" hidden="false" customHeight="false" outlineLevel="0" collapsed="false">
      <c r="A4459" s="0" t="s">
        <v>12</v>
      </c>
      <c r="B4459" s="0" t="n">
        <v>1414354</v>
      </c>
      <c r="C4459" s="0" t="n">
        <v>1414374</v>
      </c>
      <c r="D4459" s="0" t="s">
        <v>14856</v>
      </c>
      <c r="E4459" s="0" t="s">
        <v>75</v>
      </c>
      <c r="F4459" s="0" t="s">
        <v>15</v>
      </c>
      <c r="G4459" s="0" t="s">
        <v>16</v>
      </c>
      <c r="H4459" s="0" t="n">
        <v>63</v>
      </c>
      <c r="I4459" s="0" t="s">
        <v>14860</v>
      </c>
      <c r="J4459" s="0" t="s">
        <v>14861</v>
      </c>
      <c r="K4459" s="0" t="s">
        <v>14862</v>
      </c>
      <c r="L4459" s="0" t="str">
        <f aca="false">HYPERLINK("https://www.ncbi.nlm.nih.gov/nuccore/CP000058.1?report=graph&amp;tracks=[key:gene_model_track,Options:GeneOnly]&amp;mk=1414311:1414330|offset_19|444444,1414355:1414374|offset_63|00cc00,1414383:1414402|offset_91|444444,1414404:1414423|offset_112|444444&amp;v=1414110:1414623&amp;c=444444", "offset 63")</f>
        <v>offset 63</v>
      </c>
    </row>
    <row r="4460" customFormat="false" ht="12.8" hidden="false" customHeight="false" outlineLevel="0" collapsed="false">
      <c r="A4460" s="0" t="s">
        <v>12</v>
      </c>
      <c r="B4460" s="0" t="n">
        <v>1414382</v>
      </c>
      <c r="C4460" s="0" t="n">
        <v>1414402</v>
      </c>
      <c r="D4460" s="0" t="s">
        <v>14856</v>
      </c>
      <c r="E4460" s="0" t="s">
        <v>75</v>
      </c>
      <c r="F4460" s="0" t="s">
        <v>15</v>
      </c>
      <c r="G4460" s="0" t="s">
        <v>32</v>
      </c>
      <c r="H4460" s="0" t="n">
        <v>91</v>
      </c>
      <c r="I4460" s="0" t="s">
        <v>14863</v>
      </c>
      <c r="J4460" s="0" t="s">
        <v>14864</v>
      </c>
      <c r="K4460" s="0" t="s">
        <v>14865</v>
      </c>
      <c r="L4460" s="0" t="str">
        <f aca="false">HYPERLINK("https://www.ncbi.nlm.nih.gov/nuccore/CP000058.1?report=graph&amp;tracks=[key:gene_model_track,Options:GeneOnly]&amp;mk=1414311:1414330|offset_19|444444,1414355:1414374|offset_63|444444,1414383:1414402|offset_91|00cc00,1414404:1414423|offset_112|444444&amp;v=1414110:1414623&amp;c=444444", "offset 91")</f>
        <v>offset 91</v>
      </c>
    </row>
    <row r="4461" customFormat="false" ht="12.8" hidden="false" customHeight="false" outlineLevel="0" collapsed="false">
      <c r="A4461" s="0" t="s">
        <v>12</v>
      </c>
      <c r="B4461" s="0" t="n">
        <v>1414403</v>
      </c>
      <c r="C4461" s="0" t="n">
        <v>1414423</v>
      </c>
      <c r="D4461" s="0" t="s">
        <v>14856</v>
      </c>
      <c r="E4461" s="0" t="s">
        <v>75</v>
      </c>
      <c r="F4461" s="0" t="s">
        <v>15</v>
      </c>
      <c r="G4461" s="0" t="s">
        <v>16</v>
      </c>
      <c r="H4461" s="0" t="n">
        <v>112</v>
      </c>
      <c r="I4461" s="0" t="s">
        <v>14866</v>
      </c>
      <c r="J4461" s="0" t="s">
        <v>14867</v>
      </c>
      <c r="K4461" s="0" t="s">
        <v>14868</v>
      </c>
      <c r="L4461" s="0" t="str">
        <f aca="false">HYPERLINK("https://www.ncbi.nlm.nih.gov/nuccore/CP000058.1?report=graph&amp;tracks=[key:gene_model_track,Options:GeneOnly]&amp;mk=1414311:1414330|offset_19|444444,1414355:1414374|offset_63|444444,1414383:1414402|offset_91|444444,1414404:1414423|offset_112|00cc00&amp;v=1414110:1414623&amp;c=444444", "offset 112")</f>
        <v>offset 112</v>
      </c>
    </row>
    <row r="4462" customFormat="false" ht="12.8" hidden="false" customHeight="false" outlineLevel="0" collapsed="false">
      <c r="A4462" s="0" t="s">
        <v>12</v>
      </c>
      <c r="B4462" s="0" t="n">
        <v>1415344</v>
      </c>
      <c r="C4462" s="0" t="n">
        <v>1415364</v>
      </c>
      <c r="D4462" s="0" t="s">
        <v>14869</v>
      </c>
      <c r="E4462" s="0" t="s">
        <v>75</v>
      </c>
      <c r="F4462" s="0" t="s">
        <v>15</v>
      </c>
      <c r="G4462" s="0" t="s">
        <v>16</v>
      </c>
      <c r="H4462" s="0" t="n">
        <v>18</v>
      </c>
      <c r="I4462" s="0" t="s">
        <v>14870</v>
      </c>
      <c r="J4462" s="0" t="s">
        <v>14871</v>
      </c>
      <c r="K4462" s="0" t="s">
        <v>14872</v>
      </c>
      <c r="L4462" s="0" t="str">
        <f aca="false">HYPERLINK("https://www.ncbi.nlm.nih.gov/nuccore/CP000058.1?report=graph&amp;tracks=[key:gene_model_track,Options:GeneOnly]&amp;mk=1415345:1415364|offset_18|00cc00,1415385:1415404|offset_58|444444,1415405:1415424|offset_78|444444,1415427:1415446|offset_100|444444&amp;v=1415144:1415646&amp;c=444444", "offset 18")</f>
        <v>offset 18</v>
      </c>
    </row>
    <row r="4463" customFormat="false" ht="12.8" hidden="false" customHeight="false" outlineLevel="0" collapsed="false">
      <c r="A4463" s="0" t="s">
        <v>12</v>
      </c>
      <c r="B4463" s="0" t="n">
        <v>1415384</v>
      </c>
      <c r="C4463" s="0" t="n">
        <v>1415404</v>
      </c>
      <c r="D4463" s="0" t="s">
        <v>14869</v>
      </c>
      <c r="E4463" s="0" t="s">
        <v>75</v>
      </c>
      <c r="F4463" s="0" t="s">
        <v>15</v>
      </c>
      <c r="G4463" s="0" t="s">
        <v>32</v>
      </c>
      <c r="H4463" s="0" t="n">
        <v>58</v>
      </c>
      <c r="I4463" s="0" t="s">
        <v>14873</v>
      </c>
      <c r="J4463" s="0" t="s">
        <v>14874</v>
      </c>
      <c r="K4463" s="0" t="s">
        <v>14875</v>
      </c>
      <c r="L4463" s="0" t="str">
        <f aca="false">HYPERLINK("https://www.ncbi.nlm.nih.gov/nuccore/CP000058.1?report=graph&amp;tracks=[key:gene_model_track,Options:GeneOnly]&amp;mk=1415345:1415364|offset_18|444444,1415385:1415404|offset_58|00cc00,1415405:1415424|offset_78|444444,1415427:1415446|offset_100|444444&amp;v=1415144:1415646&amp;c=444444", "offset 58")</f>
        <v>offset 58</v>
      </c>
    </row>
    <row r="4464" customFormat="false" ht="12.8" hidden="false" customHeight="false" outlineLevel="0" collapsed="false">
      <c r="A4464" s="0" t="s">
        <v>12</v>
      </c>
      <c r="B4464" s="0" t="n">
        <v>1415404</v>
      </c>
      <c r="C4464" s="0" t="n">
        <v>1415424</v>
      </c>
      <c r="D4464" s="0" t="s">
        <v>14869</v>
      </c>
      <c r="E4464" s="0" t="s">
        <v>75</v>
      </c>
      <c r="F4464" s="0" t="s">
        <v>15</v>
      </c>
      <c r="G4464" s="0" t="s">
        <v>36</v>
      </c>
      <c r="H4464" s="0" t="n">
        <v>78</v>
      </c>
      <c r="I4464" s="0" t="s">
        <v>14876</v>
      </c>
      <c r="J4464" s="0" t="s">
        <v>14877</v>
      </c>
      <c r="K4464" s="0" t="s">
        <v>14878</v>
      </c>
      <c r="L4464" s="0" t="str">
        <f aca="false">HYPERLINK("https://www.ncbi.nlm.nih.gov/nuccore/CP000058.1?report=graph&amp;tracks=[key:gene_model_track,Options:GeneOnly]&amp;mk=1415345:1415364|offset_18|444444,1415385:1415404|offset_58|444444,1415405:1415424|offset_78|00cc00,1415427:1415446|offset_100|444444&amp;v=1415144:1415646&amp;c=444444", "offset 78")</f>
        <v>offset 78</v>
      </c>
    </row>
    <row r="4465" customFormat="false" ht="12.8" hidden="false" customHeight="false" outlineLevel="0" collapsed="false">
      <c r="A4465" s="0" t="s">
        <v>12</v>
      </c>
      <c r="B4465" s="0" t="n">
        <v>1415426</v>
      </c>
      <c r="C4465" s="0" t="n">
        <v>1415446</v>
      </c>
      <c r="D4465" s="0" t="s">
        <v>14869</v>
      </c>
      <c r="E4465" s="0" t="s">
        <v>75</v>
      </c>
      <c r="F4465" s="0" t="s">
        <v>15</v>
      </c>
      <c r="G4465" s="0" t="s">
        <v>16</v>
      </c>
      <c r="H4465" s="0" t="n">
        <v>100</v>
      </c>
      <c r="I4465" s="0" t="s">
        <v>14879</v>
      </c>
      <c r="J4465" s="0" t="s">
        <v>14880</v>
      </c>
      <c r="K4465" s="0" t="s">
        <v>14881</v>
      </c>
      <c r="L4465" s="0" t="str">
        <f aca="false">HYPERLINK("https://www.ncbi.nlm.nih.gov/nuccore/CP000058.1?report=graph&amp;tracks=[key:gene_model_track,Options:GeneOnly]&amp;mk=1415345:1415364|offset_18|444444,1415385:1415404|offset_58|444444,1415405:1415424|offset_78|444444,1415427:1415446|offset_100|00cc00&amp;v=1415144:1415646&amp;c=444444", "offset 100")</f>
        <v>offset 100</v>
      </c>
    </row>
    <row r="4466" customFormat="false" ht="12.8" hidden="false" customHeight="false" outlineLevel="0" collapsed="false">
      <c r="A4466" s="0" t="s">
        <v>12</v>
      </c>
      <c r="B4466" s="0" t="n">
        <v>1416406</v>
      </c>
      <c r="C4466" s="0" t="n">
        <v>1416426</v>
      </c>
      <c r="D4466" s="0" t="s">
        <v>14882</v>
      </c>
      <c r="E4466" s="0" t="s">
        <v>75</v>
      </c>
      <c r="F4466" s="0" t="s">
        <v>90</v>
      </c>
      <c r="G4466" s="0" t="s">
        <v>32</v>
      </c>
      <c r="H4466" s="0" t="n">
        <v>7</v>
      </c>
      <c r="I4466" s="0" t="s">
        <v>14883</v>
      </c>
      <c r="J4466" s="0" t="s">
        <v>14884</v>
      </c>
      <c r="K4466" s="0" t="s">
        <v>14885</v>
      </c>
      <c r="L4466" s="0" t="str">
        <f aca="false">HYPERLINK("https://www.ncbi.nlm.nih.gov/nuccore/CP000058.1?report=graph&amp;tracks=[key:gene_model_track,Options:GeneOnly]&amp;mk=1416407:1416426|offset_7|00cc00,1416353:1416372|offset_61|444444,1416317:1416336|offset_97|444444,1416284:1416303|offset_130|444444&amp;v=1416206:1416503&amp;c=444444", "offset 7")</f>
        <v>offset 7</v>
      </c>
    </row>
    <row r="4467" customFormat="false" ht="12.8" hidden="false" customHeight="false" outlineLevel="0" collapsed="false">
      <c r="A4467" s="0" t="s">
        <v>12</v>
      </c>
      <c r="B4467" s="0" t="n">
        <v>1416352</v>
      </c>
      <c r="C4467" s="0" t="n">
        <v>1416372</v>
      </c>
      <c r="D4467" s="0" t="s">
        <v>14882</v>
      </c>
      <c r="E4467" s="0" t="s">
        <v>75</v>
      </c>
      <c r="F4467" s="0" t="s">
        <v>90</v>
      </c>
      <c r="G4467" s="0" t="s">
        <v>32</v>
      </c>
      <c r="H4467" s="0" t="n">
        <v>61</v>
      </c>
      <c r="I4467" s="0" t="s">
        <v>14886</v>
      </c>
      <c r="J4467" s="0" t="s">
        <v>14887</v>
      </c>
      <c r="K4467" s="0" t="s">
        <v>14888</v>
      </c>
      <c r="L4467" s="0" t="str">
        <f aca="false">HYPERLINK("https://www.ncbi.nlm.nih.gov/nuccore/CP000058.1?report=graph&amp;tracks=[key:gene_model_track,Options:GeneOnly]&amp;mk=1416407:1416426|offset_7|444444,1416353:1416372|offset_61|00cc00,1416317:1416336|offset_97|444444,1416284:1416303|offset_130|444444&amp;v=1416206:1416503&amp;c=444444", "offset 61")</f>
        <v>offset 61</v>
      </c>
    </row>
    <row r="4468" customFormat="false" ht="12.8" hidden="false" customHeight="false" outlineLevel="0" collapsed="false">
      <c r="A4468" s="0" t="s">
        <v>12</v>
      </c>
      <c r="B4468" s="0" t="n">
        <v>1416316</v>
      </c>
      <c r="C4468" s="0" t="n">
        <v>1416336</v>
      </c>
      <c r="D4468" s="0" t="s">
        <v>14882</v>
      </c>
      <c r="E4468" s="0" t="s">
        <v>75</v>
      </c>
      <c r="F4468" s="0" t="s">
        <v>90</v>
      </c>
      <c r="G4468" s="0" t="s">
        <v>16</v>
      </c>
      <c r="H4468" s="0" t="n">
        <v>97</v>
      </c>
      <c r="I4468" s="0" t="s">
        <v>14889</v>
      </c>
      <c r="J4468" s="0" t="s">
        <v>14890</v>
      </c>
      <c r="K4468" s="0" t="s">
        <v>14891</v>
      </c>
      <c r="L4468" s="0" t="str">
        <f aca="false">HYPERLINK("https://www.ncbi.nlm.nih.gov/nuccore/CP000058.1?report=graph&amp;tracks=[key:gene_model_track,Options:GeneOnly]&amp;mk=1416407:1416426|offset_7|444444,1416353:1416372|offset_61|444444,1416317:1416336|offset_97|00cc00,1416284:1416303|offset_130|444444&amp;v=1416206:1416503&amp;c=444444", "offset 97")</f>
        <v>offset 97</v>
      </c>
    </row>
    <row r="4469" customFormat="false" ht="12.8" hidden="false" customHeight="false" outlineLevel="0" collapsed="false">
      <c r="A4469" s="0" t="s">
        <v>12</v>
      </c>
      <c r="B4469" s="0" t="n">
        <v>1416283</v>
      </c>
      <c r="C4469" s="0" t="n">
        <v>1416303</v>
      </c>
      <c r="D4469" s="0" t="s">
        <v>14882</v>
      </c>
      <c r="E4469" s="0" t="s">
        <v>75</v>
      </c>
      <c r="F4469" s="0" t="s">
        <v>90</v>
      </c>
      <c r="G4469" s="0" t="s">
        <v>16</v>
      </c>
      <c r="H4469" s="0" t="n">
        <v>130</v>
      </c>
      <c r="I4469" s="0" t="s">
        <v>14892</v>
      </c>
      <c r="J4469" s="0" t="s">
        <v>14893</v>
      </c>
      <c r="K4469" s="0" t="s">
        <v>14894</v>
      </c>
      <c r="L4469" s="0" t="str">
        <f aca="false">HYPERLINK("https://www.ncbi.nlm.nih.gov/nuccore/CP000058.1?report=graph&amp;tracks=[key:gene_model_track,Options:GeneOnly]&amp;mk=1416407:1416426|offset_7|444444,1416353:1416372|offset_61|444444,1416317:1416336|offset_97|444444,1416284:1416303|offset_130|00cc00&amp;v=1416206:1416503&amp;c=444444", "offset 130")</f>
        <v>offset 130</v>
      </c>
    </row>
    <row r="4470" customFormat="false" ht="12.8" hidden="false" customHeight="false" outlineLevel="0" collapsed="false">
      <c r="A4470" s="0" t="s">
        <v>12</v>
      </c>
      <c r="B4470" s="0" t="n">
        <v>1416916</v>
      </c>
      <c r="C4470" s="0" t="n">
        <v>1416936</v>
      </c>
      <c r="D4470" s="0" t="s">
        <v>14895</v>
      </c>
      <c r="E4470" s="0" t="s">
        <v>75</v>
      </c>
      <c r="F4470" s="0" t="s">
        <v>90</v>
      </c>
      <c r="G4470" s="0" t="s">
        <v>32</v>
      </c>
      <c r="H4470" s="0" t="n">
        <v>24</v>
      </c>
      <c r="I4470" s="0" t="s">
        <v>14896</v>
      </c>
      <c r="J4470" s="0" t="s">
        <v>14897</v>
      </c>
      <c r="K4470" s="0" t="s">
        <v>14898</v>
      </c>
      <c r="L4470" s="0" t="str">
        <f aca="false">HYPERLINK("https://www.ncbi.nlm.nih.gov/nuccore/CP000058.1?report=graph&amp;tracks=[key:gene_model_track,Options:GeneOnly]&amp;mk=1416917:1416936|offset_24|00cc00,1416896:1416915|offset_45|444444,1416875:1416894|offset_66|444444,1416855:1416874|offset_86|444444&amp;v=1416716:1417074&amp;c=444444", "offset 24")</f>
        <v>offset 24</v>
      </c>
    </row>
    <row r="4471" customFormat="false" ht="12.8" hidden="false" customHeight="false" outlineLevel="0" collapsed="false">
      <c r="A4471" s="0" t="s">
        <v>12</v>
      </c>
      <c r="B4471" s="0" t="n">
        <v>1416895</v>
      </c>
      <c r="C4471" s="0" t="n">
        <v>1416915</v>
      </c>
      <c r="D4471" s="0" t="s">
        <v>14895</v>
      </c>
      <c r="E4471" s="0" t="s">
        <v>75</v>
      </c>
      <c r="F4471" s="0" t="s">
        <v>90</v>
      </c>
      <c r="G4471" s="0" t="s">
        <v>16</v>
      </c>
      <c r="H4471" s="0" t="n">
        <v>45</v>
      </c>
      <c r="I4471" s="0" t="s">
        <v>14899</v>
      </c>
      <c r="J4471" s="0" t="s">
        <v>14900</v>
      </c>
      <c r="K4471" s="0" t="s">
        <v>14901</v>
      </c>
      <c r="L4471" s="0" t="str">
        <f aca="false">HYPERLINK("https://www.ncbi.nlm.nih.gov/nuccore/CP000058.1?report=graph&amp;tracks=[key:gene_model_track,Options:GeneOnly]&amp;mk=1416917:1416936|offset_24|444444,1416896:1416915|offset_45|00cc00,1416875:1416894|offset_66|444444,1416855:1416874|offset_86|444444&amp;v=1416716:1417074&amp;c=444444", "offset 45")</f>
        <v>offset 45</v>
      </c>
    </row>
    <row r="4472" customFormat="false" ht="12.8" hidden="false" customHeight="false" outlineLevel="0" collapsed="false">
      <c r="A4472" s="0" t="s">
        <v>12</v>
      </c>
      <c r="B4472" s="0" t="n">
        <v>1416874</v>
      </c>
      <c r="C4472" s="0" t="n">
        <v>1416894</v>
      </c>
      <c r="D4472" s="0" t="s">
        <v>14895</v>
      </c>
      <c r="E4472" s="0" t="s">
        <v>75</v>
      </c>
      <c r="F4472" s="0" t="s">
        <v>90</v>
      </c>
      <c r="G4472" s="0" t="s">
        <v>20</v>
      </c>
      <c r="H4472" s="0" t="n">
        <v>66</v>
      </c>
      <c r="I4472" s="0" t="s">
        <v>14902</v>
      </c>
      <c r="J4472" s="0" t="s">
        <v>14903</v>
      </c>
      <c r="K4472" s="0" t="s">
        <v>14904</v>
      </c>
      <c r="L4472" s="0" t="str">
        <f aca="false">HYPERLINK("https://www.ncbi.nlm.nih.gov/nuccore/CP000058.1?report=graph&amp;tracks=[key:gene_model_track,Options:GeneOnly]&amp;mk=1416917:1416936|offset_24|444444,1416896:1416915|offset_45|444444,1416875:1416894|offset_66|00cc00,1416855:1416874|offset_86|444444&amp;v=1416716:1417074&amp;c=444444", "offset 66")</f>
        <v>offset 66</v>
      </c>
    </row>
    <row r="4473" customFormat="false" ht="12.8" hidden="false" customHeight="false" outlineLevel="0" collapsed="false">
      <c r="A4473" s="0" t="s">
        <v>12</v>
      </c>
      <c r="B4473" s="0" t="n">
        <v>1416854</v>
      </c>
      <c r="C4473" s="0" t="n">
        <v>1416874</v>
      </c>
      <c r="D4473" s="0" t="s">
        <v>14895</v>
      </c>
      <c r="E4473" s="0" t="s">
        <v>75</v>
      </c>
      <c r="F4473" s="0" t="s">
        <v>90</v>
      </c>
      <c r="G4473" s="0" t="s">
        <v>36</v>
      </c>
      <c r="H4473" s="0" t="n">
        <v>86</v>
      </c>
      <c r="I4473" s="0" t="s">
        <v>14905</v>
      </c>
      <c r="J4473" s="0" t="s">
        <v>14906</v>
      </c>
      <c r="K4473" s="0" t="s">
        <v>14907</v>
      </c>
      <c r="L4473" s="0" t="str">
        <f aca="false">HYPERLINK("https://www.ncbi.nlm.nih.gov/nuccore/CP000058.1?report=graph&amp;tracks=[key:gene_model_track,Options:GeneOnly]&amp;mk=1416917:1416936|offset_24|444444,1416896:1416915|offset_45|444444,1416875:1416894|offset_66|444444,1416855:1416874|offset_86|00cc00&amp;v=1416716:1417074&amp;c=444444", "offset 86")</f>
        <v>offset 86</v>
      </c>
    </row>
    <row r="4474" customFormat="false" ht="12.8" hidden="false" customHeight="false" outlineLevel="0" collapsed="false">
      <c r="A4474" s="0" t="s">
        <v>12</v>
      </c>
      <c r="B4474" s="0" t="n">
        <v>1417895</v>
      </c>
      <c r="C4474" s="0" t="n">
        <v>1417915</v>
      </c>
      <c r="D4474" s="0" t="s">
        <v>14908</v>
      </c>
      <c r="E4474" s="0" t="s">
        <v>75</v>
      </c>
      <c r="F4474" s="0" t="s">
        <v>90</v>
      </c>
      <c r="G4474" s="0" t="s">
        <v>32</v>
      </c>
      <c r="H4474" s="0" t="n">
        <v>7</v>
      </c>
      <c r="I4474" s="0" t="s">
        <v>14909</v>
      </c>
      <c r="J4474" s="0" t="s">
        <v>14910</v>
      </c>
      <c r="K4474" s="0" t="s">
        <v>14911</v>
      </c>
      <c r="L4474" s="0" t="str">
        <f aca="false">HYPERLINK("https://www.ncbi.nlm.nih.gov/nuccore/CP000058.1?report=graph&amp;tracks=[key:gene_model_track,Options:GeneOnly]&amp;mk=1417896:1417915|offset_7|00cc00,1417862:1417881|offset_41|444444,1417823:1417842|offset_80|444444,1417798:1417817|offset_105|444444&amp;v=1417695:1418017&amp;c=444444", "offset 7")</f>
        <v>offset 7</v>
      </c>
    </row>
    <row r="4475" customFormat="false" ht="12.8" hidden="false" customHeight="false" outlineLevel="0" collapsed="false">
      <c r="A4475" s="0" t="s">
        <v>12</v>
      </c>
      <c r="B4475" s="0" t="n">
        <v>1417861</v>
      </c>
      <c r="C4475" s="0" t="n">
        <v>1417881</v>
      </c>
      <c r="D4475" s="0" t="s">
        <v>14908</v>
      </c>
      <c r="E4475" s="0" t="s">
        <v>75</v>
      </c>
      <c r="F4475" s="0" t="s">
        <v>90</v>
      </c>
      <c r="G4475" s="0" t="s">
        <v>20</v>
      </c>
      <c r="H4475" s="0" t="n">
        <v>41</v>
      </c>
      <c r="I4475" s="0" t="s">
        <v>14912</v>
      </c>
      <c r="J4475" s="0" t="s">
        <v>14913</v>
      </c>
      <c r="K4475" s="0" t="s">
        <v>14914</v>
      </c>
      <c r="L4475" s="0" t="str">
        <f aca="false">HYPERLINK("https://www.ncbi.nlm.nih.gov/nuccore/CP000058.1?report=graph&amp;tracks=[key:gene_model_track,Options:GeneOnly]&amp;mk=1417896:1417915|offset_7|444444,1417862:1417881|offset_41|00cc00,1417823:1417842|offset_80|444444,1417798:1417817|offset_105|444444&amp;v=1417695:1418017&amp;c=444444", "offset 41")</f>
        <v>offset 41</v>
      </c>
    </row>
    <row r="4476" customFormat="false" ht="12.8" hidden="false" customHeight="false" outlineLevel="0" collapsed="false">
      <c r="A4476" s="0" t="s">
        <v>12</v>
      </c>
      <c r="B4476" s="0" t="n">
        <v>1417822</v>
      </c>
      <c r="C4476" s="0" t="n">
        <v>1417842</v>
      </c>
      <c r="D4476" s="0" t="s">
        <v>14908</v>
      </c>
      <c r="E4476" s="0" t="s">
        <v>75</v>
      </c>
      <c r="F4476" s="0" t="s">
        <v>90</v>
      </c>
      <c r="G4476" s="0" t="s">
        <v>20</v>
      </c>
      <c r="H4476" s="0" t="n">
        <v>80</v>
      </c>
      <c r="I4476" s="0" t="s">
        <v>14915</v>
      </c>
      <c r="J4476" s="0" t="s">
        <v>14916</v>
      </c>
      <c r="K4476" s="0" t="s">
        <v>14917</v>
      </c>
      <c r="L4476" s="0" t="str">
        <f aca="false">HYPERLINK("https://www.ncbi.nlm.nih.gov/nuccore/CP000058.1?report=graph&amp;tracks=[key:gene_model_track,Options:GeneOnly]&amp;mk=1417896:1417915|offset_7|444444,1417862:1417881|offset_41|444444,1417823:1417842|offset_80|00cc00,1417798:1417817|offset_105|444444&amp;v=1417695:1418017&amp;c=444444", "offset 80")</f>
        <v>offset 80</v>
      </c>
    </row>
    <row r="4477" customFormat="false" ht="12.8" hidden="false" customHeight="false" outlineLevel="0" collapsed="false">
      <c r="A4477" s="0" t="s">
        <v>12</v>
      </c>
      <c r="B4477" s="0" t="n">
        <v>1417797</v>
      </c>
      <c r="C4477" s="0" t="n">
        <v>1417817</v>
      </c>
      <c r="D4477" s="0" t="s">
        <v>14908</v>
      </c>
      <c r="E4477" s="0" t="s">
        <v>75</v>
      </c>
      <c r="F4477" s="0" t="s">
        <v>90</v>
      </c>
      <c r="G4477" s="0" t="s">
        <v>36</v>
      </c>
      <c r="H4477" s="0" t="n">
        <v>105</v>
      </c>
      <c r="I4477" s="0" t="s">
        <v>14918</v>
      </c>
      <c r="J4477" s="0" t="s">
        <v>14919</v>
      </c>
      <c r="K4477" s="0" t="s">
        <v>14920</v>
      </c>
      <c r="L4477" s="0" t="str">
        <f aca="false">HYPERLINK("https://www.ncbi.nlm.nih.gov/nuccore/CP000058.1?report=graph&amp;tracks=[key:gene_model_track,Options:GeneOnly]&amp;mk=1417896:1417915|offset_7|444444,1417862:1417881|offset_41|444444,1417823:1417842|offset_80|444444,1417798:1417817|offset_105|00cc00&amp;v=1417695:1418017&amp;c=444444", "offset 105")</f>
        <v>offset 105</v>
      </c>
    </row>
    <row r="4478" customFormat="false" ht="12.8" hidden="false" customHeight="false" outlineLevel="0" collapsed="false">
      <c r="A4478" s="0" t="s">
        <v>12</v>
      </c>
      <c r="B4478" s="0" t="n">
        <v>1418370</v>
      </c>
      <c r="C4478" s="0" t="n">
        <v>1418390</v>
      </c>
      <c r="D4478" s="0" t="s">
        <v>14921</v>
      </c>
      <c r="E4478" s="0" t="s">
        <v>75</v>
      </c>
      <c r="F4478" s="0" t="s">
        <v>90</v>
      </c>
      <c r="G4478" s="0" t="s">
        <v>32</v>
      </c>
      <c r="H4478" s="0" t="n">
        <v>39</v>
      </c>
      <c r="I4478" s="0" t="s">
        <v>14922</v>
      </c>
      <c r="J4478" s="0" t="s">
        <v>14923</v>
      </c>
      <c r="K4478" s="0" t="s">
        <v>14924</v>
      </c>
      <c r="L4478" s="0" t="str">
        <f aca="false">HYPERLINK("https://www.ncbi.nlm.nih.gov/nuccore/CP000058.1?report=graph&amp;tracks=[key:gene_model_track,Options:GeneOnly]&amp;mk=1418371:1418390|offset_39|00cc00,1418350:1418369|offset_60|444444,1418327:1418346|offset_83|444444,1418300:1418319|offset_110|444444&amp;v=1418170:1418519&amp;c=444444", "offset 39")</f>
        <v>offset 39</v>
      </c>
    </row>
    <row r="4479" customFormat="false" ht="12.8" hidden="false" customHeight="false" outlineLevel="0" collapsed="false">
      <c r="A4479" s="0" t="s">
        <v>12</v>
      </c>
      <c r="B4479" s="0" t="n">
        <v>1418349</v>
      </c>
      <c r="C4479" s="0" t="n">
        <v>1418369</v>
      </c>
      <c r="D4479" s="0" t="s">
        <v>14921</v>
      </c>
      <c r="E4479" s="0" t="s">
        <v>75</v>
      </c>
      <c r="F4479" s="0" t="s">
        <v>90</v>
      </c>
      <c r="G4479" s="0" t="s">
        <v>36</v>
      </c>
      <c r="H4479" s="0" t="n">
        <v>60</v>
      </c>
      <c r="I4479" s="0" t="s">
        <v>14925</v>
      </c>
      <c r="J4479" s="0" t="s">
        <v>14926</v>
      </c>
      <c r="K4479" s="0" t="s">
        <v>14927</v>
      </c>
      <c r="L4479" s="0" t="str">
        <f aca="false">HYPERLINK("https://www.ncbi.nlm.nih.gov/nuccore/CP000058.1?report=graph&amp;tracks=[key:gene_model_track,Options:GeneOnly]&amp;mk=1418371:1418390|offset_39|444444,1418350:1418369|offset_60|00cc00,1418327:1418346|offset_83|444444,1418300:1418319|offset_110|444444&amp;v=1418170:1418519&amp;c=444444", "offset 60")</f>
        <v>offset 60</v>
      </c>
    </row>
    <row r="4480" customFormat="false" ht="12.8" hidden="false" customHeight="false" outlineLevel="0" collapsed="false">
      <c r="A4480" s="0" t="s">
        <v>12</v>
      </c>
      <c r="B4480" s="0" t="n">
        <v>1418326</v>
      </c>
      <c r="C4480" s="0" t="n">
        <v>1418346</v>
      </c>
      <c r="D4480" s="0" t="s">
        <v>14921</v>
      </c>
      <c r="E4480" s="0" t="s">
        <v>75</v>
      </c>
      <c r="F4480" s="0" t="s">
        <v>90</v>
      </c>
      <c r="G4480" s="0" t="s">
        <v>20</v>
      </c>
      <c r="H4480" s="0" t="n">
        <v>83</v>
      </c>
      <c r="I4480" s="0" t="s">
        <v>14928</v>
      </c>
      <c r="J4480" s="0" t="s">
        <v>14929</v>
      </c>
      <c r="K4480" s="0" t="s">
        <v>14930</v>
      </c>
      <c r="L4480" s="0" t="str">
        <f aca="false">HYPERLINK("https://www.ncbi.nlm.nih.gov/nuccore/CP000058.1?report=graph&amp;tracks=[key:gene_model_track,Options:GeneOnly]&amp;mk=1418371:1418390|offset_39|444444,1418350:1418369|offset_60|444444,1418327:1418346|offset_83|00cc00,1418300:1418319|offset_110|444444&amp;v=1418170:1418519&amp;c=444444", "offset 83")</f>
        <v>offset 83</v>
      </c>
    </row>
    <row r="4481" customFormat="false" ht="12.8" hidden="false" customHeight="false" outlineLevel="0" collapsed="false">
      <c r="A4481" s="0" t="s">
        <v>12</v>
      </c>
      <c r="B4481" s="0" t="n">
        <v>1418299</v>
      </c>
      <c r="C4481" s="0" t="n">
        <v>1418319</v>
      </c>
      <c r="D4481" s="0" t="s">
        <v>14921</v>
      </c>
      <c r="E4481" s="0" t="s">
        <v>75</v>
      </c>
      <c r="F4481" s="0" t="s">
        <v>90</v>
      </c>
      <c r="G4481" s="0" t="s">
        <v>32</v>
      </c>
      <c r="H4481" s="0" t="n">
        <v>110</v>
      </c>
      <c r="I4481" s="0" t="s">
        <v>14931</v>
      </c>
      <c r="J4481" s="0" t="s">
        <v>14932</v>
      </c>
      <c r="K4481" s="0" t="s">
        <v>14933</v>
      </c>
      <c r="L4481" s="0" t="str">
        <f aca="false">HYPERLINK("https://www.ncbi.nlm.nih.gov/nuccore/CP000058.1?report=graph&amp;tracks=[key:gene_model_track,Options:GeneOnly]&amp;mk=1418371:1418390|offset_39|444444,1418350:1418369|offset_60|444444,1418327:1418346|offset_83|444444,1418300:1418319|offset_110|00cc00&amp;v=1418170:1418519&amp;c=444444", "offset 110")</f>
        <v>offset 110</v>
      </c>
    </row>
    <row r="4482" customFormat="false" ht="12.8" hidden="false" customHeight="false" outlineLevel="0" collapsed="false">
      <c r="A4482" s="0" t="s">
        <v>12</v>
      </c>
      <c r="B4482" s="0" t="n">
        <v>1418556</v>
      </c>
      <c r="C4482" s="0" t="n">
        <v>1418576</v>
      </c>
      <c r="D4482" s="0" t="s">
        <v>14934</v>
      </c>
      <c r="E4482" s="0" t="s">
        <v>14935</v>
      </c>
      <c r="F4482" s="0" t="s">
        <v>15</v>
      </c>
      <c r="G4482" s="0" t="s">
        <v>20</v>
      </c>
      <c r="H4482" s="0" t="n">
        <v>23</v>
      </c>
      <c r="I4482" s="0" t="s">
        <v>14936</v>
      </c>
      <c r="J4482" s="0" t="s">
        <v>14937</v>
      </c>
      <c r="K4482" s="0" t="s">
        <v>14938</v>
      </c>
      <c r="L4482" s="0" t="str">
        <f aca="false">HYPERLINK("https://www.ncbi.nlm.nih.gov/nuccore/CP000058.1?report=graph&amp;tracks=[key:gene_model_track,Options:GeneOnly]&amp;mk=1418557:1418576|offset_23|00cc00,1418602:1418621|offset_68|444444,1418622:1418641|offset_88|444444,1418654:1418673|offset_120|444444&amp;v=1418356:1418873&amp;c=444444", "offset 23")</f>
        <v>offset 23</v>
      </c>
    </row>
    <row r="4483" customFormat="false" ht="12.8" hidden="false" customHeight="false" outlineLevel="0" collapsed="false">
      <c r="A4483" s="0" t="s">
        <v>12</v>
      </c>
      <c r="B4483" s="0" t="n">
        <v>1418601</v>
      </c>
      <c r="C4483" s="0" t="n">
        <v>1418621</v>
      </c>
      <c r="D4483" s="0" t="s">
        <v>14934</v>
      </c>
      <c r="E4483" s="0" t="s">
        <v>14935</v>
      </c>
      <c r="F4483" s="0" t="s">
        <v>15</v>
      </c>
      <c r="G4483" s="0" t="s">
        <v>20</v>
      </c>
      <c r="H4483" s="0" t="n">
        <v>68</v>
      </c>
      <c r="I4483" s="0" t="s">
        <v>14939</v>
      </c>
      <c r="J4483" s="0" t="s">
        <v>14940</v>
      </c>
      <c r="K4483" s="0" t="s">
        <v>14941</v>
      </c>
      <c r="L4483" s="0" t="str">
        <f aca="false">HYPERLINK("https://www.ncbi.nlm.nih.gov/nuccore/CP000058.1?report=graph&amp;tracks=[key:gene_model_track,Options:GeneOnly]&amp;mk=1418557:1418576|offset_23|444444,1418602:1418621|offset_68|00cc00,1418622:1418641|offset_88|444444,1418654:1418673|offset_120|444444&amp;v=1418356:1418873&amp;c=444444", "offset 68")</f>
        <v>offset 68</v>
      </c>
    </row>
    <row r="4484" customFormat="false" ht="12.8" hidden="false" customHeight="false" outlineLevel="0" collapsed="false">
      <c r="A4484" s="0" t="s">
        <v>12</v>
      </c>
      <c r="B4484" s="0" t="n">
        <v>1418621</v>
      </c>
      <c r="C4484" s="0" t="n">
        <v>1418641</v>
      </c>
      <c r="D4484" s="0" t="s">
        <v>14934</v>
      </c>
      <c r="E4484" s="0" t="s">
        <v>14935</v>
      </c>
      <c r="F4484" s="0" t="s">
        <v>15</v>
      </c>
      <c r="G4484" s="0" t="s">
        <v>36</v>
      </c>
      <c r="H4484" s="0" t="n">
        <v>88</v>
      </c>
      <c r="I4484" s="0" t="s">
        <v>14942</v>
      </c>
      <c r="J4484" s="0" t="s">
        <v>14943</v>
      </c>
      <c r="K4484" s="0" t="s">
        <v>14944</v>
      </c>
      <c r="L4484" s="0" t="str">
        <f aca="false">HYPERLINK("https://www.ncbi.nlm.nih.gov/nuccore/CP000058.1?report=graph&amp;tracks=[key:gene_model_track,Options:GeneOnly]&amp;mk=1418557:1418576|offset_23|444444,1418602:1418621|offset_68|444444,1418622:1418641|offset_88|00cc00,1418654:1418673|offset_120|444444&amp;v=1418356:1418873&amp;c=444444", "offset 88")</f>
        <v>offset 88</v>
      </c>
    </row>
    <row r="4485" customFormat="false" ht="12.8" hidden="false" customHeight="false" outlineLevel="0" collapsed="false">
      <c r="A4485" s="0" t="s">
        <v>12</v>
      </c>
      <c r="B4485" s="0" t="n">
        <v>1418653</v>
      </c>
      <c r="C4485" s="0" t="n">
        <v>1418673</v>
      </c>
      <c r="D4485" s="0" t="s">
        <v>14934</v>
      </c>
      <c r="E4485" s="0" t="s">
        <v>14935</v>
      </c>
      <c r="F4485" s="0" t="s">
        <v>15</v>
      </c>
      <c r="G4485" s="0" t="s">
        <v>20</v>
      </c>
      <c r="H4485" s="0" t="n">
        <v>120</v>
      </c>
      <c r="I4485" s="0" t="s">
        <v>14945</v>
      </c>
      <c r="J4485" s="0" t="s">
        <v>14946</v>
      </c>
      <c r="K4485" s="0" t="s">
        <v>14947</v>
      </c>
      <c r="L4485" s="0" t="str">
        <f aca="false">HYPERLINK("https://www.ncbi.nlm.nih.gov/nuccore/CP000058.1?report=graph&amp;tracks=[key:gene_model_track,Options:GeneOnly]&amp;mk=1418557:1418576|offset_23|444444,1418602:1418621|offset_68|444444,1418622:1418641|offset_88|444444,1418654:1418673|offset_120|00cc00&amp;v=1418356:1418873&amp;c=444444", "offset 120")</f>
        <v>offset 120</v>
      </c>
    </row>
    <row r="4486" customFormat="false" ht="12.8" hidden="false" customHeight="false" outlineLevel="0" collapsed="false">
      <c r="A4486" s="0" t="s">
        <v>12</v>
      </c>
      <c r="B4486" s="0" t="n">
        <v>1419527</v>
      </c>
      <c r="C4486" s="0" t="n">
        <v>1419547</v>
      </c>
      <c r="D4486" s="0" t="s">
        <v>14948</v>
      </c>
      <c r="E4486" s="0" t="s">
        <v>14949</v>
      </c>
      <c r="F4486" s="0" t="s">
        <v>15</v>
      </c>
      <c r="G4486" s="0" t="s">
        <v>36</v>
      </c>
      <c r="H4486" s="0" t="n">
        <v>20</v>
      </c>
      <c r="I4486" s="0" t="s">
        <v>14950</v>
      </c>
      <c r="J4486" s="0" t="s">
        <v>14951</v>
      </c>
      <c r="K4486" s="0" t="s">
        <v>14952</v>
      </c>
      <c r="L4486" s="0" t="str">
        <f aca="false">HYPERLINK("https://www.ncbi.nlm.nih.gov/nuccore/CP000058.1?report=graph&amp;tracks=[key:gene_model_track,Options:GeneOnly]&amp;mk=1419528:1419547|offset_20|00cc00,1419551:1419570|offset_43|444444,1419592:1419611|offset_84|444444,1419636:1419655|offset_128|444444&amp;v=1419327:1419855&amp;c=444444", "offset 20")</f>
        <v>offset 20</v>
      </c>
    </row>
    <row r="4487" customFormat="false" ht="12.8" hidden="false" customHeight="false" outlineLevel="0" collapsed="false">
      <c r="A4487" s="0" t="s">
        <v>12</v>
      </c>
      <c r="B4487" s="0" t="n">
        <v>1419550</v>
      </c>
      <c r="C4487" s="0" t="n">
        <v>1419570</v>
      </c>
      <c r="D4487" s="0" t="s">
        <v>14948</v>
      </c>
      <c r="E4487" s="0" t="s">
        <v>14949</v>
      </c>
      <c r="F4487" s="0" t="s">
        <v>15</v>
      </c>
      <c r="G4487" s="0" t="s">
        <v>36</v>
      </c>
      <c r="H4487" s="0" t="n">
        <v>43</v>
      </c>
      <c r="I4487" s="0" t="s">
        <v>14953</v>
      </c>
      <c r="J4487" s="0" t="s">
        <v>14954</v>
      </c>
      <c r="K4487" s="0" t="s">
        <v>14955</v>
      </c>
      <c r="L4487" s="0" t="str">
        <f aca="false">HYPERLINK("https://www.ncbi.nlm.nih.gov/nuccore/CP000058.1?report=graph&amp;tracks=[key:gene_model_track,Options:GeneOnly]&amp;mk=1419528:1419547|offset_20|444444,1419551:1419570|offset_43|00cc00,1419592:1419611|offset_84|444444,1419636:1419655|offset_128|444444&amp;v=1419327:1419855&amp;c=444444", "offset 43")</f>
        <v>offset 43</v>
      </c>
    </row>
    <row r="4488" customFormat="false" ht="12.8" hidden="false" customHeight="false" outlineLevel="0" collapsed="false">
      <c r="A4488" s="0" t="s">
        <v>12</v>
      </c>
      <c r="B4488" s="0" t="n">
        <v>1419591</v>
      </c>
      <c r="C4488" s="0" t="n">
        <v>1419611</v>
      </c>
      <c r="D4488" s="0" t="s">
        <v>14948</v>
      </c>
      <c r="E4488" s="0" t="s">
        <v>14949</v>
      </c>
      <c r="F4488" s="0" t="s">
        <v>15</v>
      </c>
      <c r="G4488" s="0" t="s">
        <v>20</v>
      </c>
      <c r="H4488" s="0" t="n">
        <v>84</v>
      </c>
      <c r="I4488" s="0" t="s">
        <v>14956</v>
      </c>
      <c r="J4488" s="0" t="s">
        <v>14957</v>
      </c>
      <c r="K4488" s="0" t="s">
        <v>14958</v>
      </c>
      <c r="L4488" s="0" t="str">
        <f aca="false">HYPERLINK("https://www.ncbi.nlm.nih.gov/nuccore/CP000058.1?report=graph&amp;tracks=[key:gene_model_track,Options:GeneOnly]&amp;mk=1419528:1419547|offset_20|444444,1419551:1419570|offset_43|444444,1419592:1419611|offset_84|00cc00,1419636:1419655|offset_128|444444&amp;v=1419327:1419855&amp;c=444444", "offset 84")</f>
        <v>offset 84</v>
      </c>
    </row>
    <row r="4489" customFormat="false" ht="12.8" hidden="false" customHeight="false" outlineLevel="0" collapsed="false">
      <c r="A4489" s="0" t="s">
        <v>12</v>
      </c>
      <c r="B4489" s="0" t="n">
        <v>1419635</v>
      </c>
      <c r="C4489" s="0" t="n">
        <v>1419655</v>
      </c>
      <c r="D4489" s="0" t="s">
        <v>14948</v>
      </c>
      <c r="E4489" s="0" t="s">
        <v>14949</v>
      </c>
      <c r="F4489" s="0" t="s">
        <v>15</v>
      </c>
      <c r="G4489" s="0" t="s">
        <v>20</v>
      </c>
      <c r="H4489" s="0" t="n">
        <v>128</v>
      </c>
      <c r="I4489" s="0" t="s">
        <v>14959</v>
      </c>
      <c r="J4489" s="0" t="s">
        <v>14960</v>
      </c>
      <c r="K4489" s="0" t="s">
        <v>14961</v>
      </c>
      <c r="L4489" s="0" t="str">
        <f aca="false">HYPERLINK("https://www.ncbi.nlm.nih.gov/nuccore/CP000058.1?report=graph&amp;tracks=[key:gene_model_track,Options:GeneOnly]&amp;mk=1419528:1419547|offset_20|444444,1419551:1419570|offset_43|444444,1419592:1419611|offset_84|444444,1419636:1419655|offset_128|00cc00&amp;v=1419327:1419855&amp;c=444444", "offset 128")</f>
        <v>offset 128</v>
      </c>
    </row>
    <row r="4490" customFormat="false" ht="12.8" hidden="false" customHeight="false" outlineLevel="0" collapsed="false">
      <c r="A4490" s="0" t="s">
        <v>12</v>
      </c>
      <c r="B4490" s="0" t="n">
        <v>1420485</v>
      </c>
      <c r="C4490" s="0" t="n">
        <v>1420505</v>
      </c>
      <c r="D4490" s="0" t="s">
        <v>14962</v>
      </c>
      <c r="E4490" s="0" t="s">
        <v>14963</v>
      </c>
      <c r="F4490" s="0" t="s">
        <v>15</v>
      </c>
      <c r="G4490" s="0" t="s">
        <v>16</v>
      </c>
      <c r="H4490" s="0" t="n">
        <v>33</v>
      </c>
      <c r="I4490" s="0" t="s">
        <v>14964</v>
      </c>
      <c r="J4490" s="0" t="s">
        <v>14965</v>
      </c>
      <c r="K4490" s="0" t="s">
        <v>14966</v>
      </c>
      <c r="L4490" s="0" t="str">
        <f aca="false">HYPERLINK("https://www.ncbi.nlm.nih.gov/nuccore/CP000058.1?report=graph&amp;tracks=[key:gene_model_track,Options:GeneOnly]&amp;mk=1420486:1420505|offset_33|00cc00,1420562:1420581|offset_109|444444,1420604:1420623|offset_151|444444,1420649:1420668|offset_196|444444&amp;v=1420285:1420868&amp;c=444444", "offset 33")</f>
        <v>offset 33</v>
      </c>
    </row>
    <row r="4491" customFormat="false" ht="12.8" hidden="false" customHeight="false" outlineLevel="0" collapsed="false">
      <c r="A4491" s="0" t="s">
        <v>12</v>
      </c>
      <c r="B4491" s="0" t="n">
        <v>1420561</v>
      </c>
      <c r="C4491" s="0" t="n">
        <v>1420581</v>
      </c>
      <c r="D4491" s="0" t="s">
        <v>14962</v>
      </c>
      <c r="E4491" s="0" t="s">
        <v>14963</v>
      </c>
      <c r="F4491" s="0" t="s">
        <v>15</v>
      </c>
      <c r="G4491" s="0" t="s">
        <v>20</v>
      </c>
      <c r="H4491" s="0" t="n">
        <v>109</v>
      </c>
      <c r="I4491" s="0" t="s">
        <v>14967</v>
      </c>
      <c r="J4491" s="0" t="s">
        <v>14968</v>
      </c>
      <c r="K4491" s="0" t="s">
        <v>14969</v>
      </c>
      <c r="L4491" s="0" t="str">
        <f aca="false">HYPERLINK("https://www.ncbi.nlm.nih.gov/nuccore/CP000058.1?report=graph&amp;tracks=[key:gene_model_track,Options:GeneOnly]&amp;mk=1420486:1420505|offset_33|444444,1420562:1420581|offset_109|00cc00,1420604:1420623|offset_151|444444,1420649:1420668|offset_196|444444&amp;v=1420285:1420868&amp;c=444444", "offset 109")</f>
        <v>offset 109</v>
      </c>
    </row>
    <row r="4492" customFormat="false" ht="12.8" hidden="false" customHeight="false" outlineLevel="0" collapsed="false">
      <c r="A4492" s="0" t="s">
        <v>12</v>
      </c>
      <c r="B4492" s="0" t="n">
        <v>1420603</v>
      </c>
      <c r="C4492" s="0" t="n">
        <v>1420623</v>
      </c>
      <c r="D4492" s="0" t="s">
        <v>14962</v>
      </c>
      <c r="E4492" s="0" t="s">
        <v>14963</v>
      </c>
      <c r="F4492" s="0" t="s">
        <v>15</v>
      </c>
      <c r="G4492" s="0" t="s">
        <v>20</v>
      </c>
      <c r="H4492" s="0" t="n">
        <v>151</v>
      </c>
      <c r="I4492" s="0" t="s">
        <v>14970</v>
      </c>
      <c r="J4492" s="0" t="s">
        <v>14971</v>
      </c>
      <c r="K4492" s="0" t="s">
        <v>14972</v>
      </c>
      <c r="L4492" s="0" t="str">
        <f aca="false">HYPERLINK("https://www.ncbi.nlm.nih.gov/nuccore/CP000058.1?report=graph&amp;tracks=[key:gene_model_track,Options:GeneOnly]&amp;mk=1420486:1420505|offset_33|444444,1420562:1420581|offset_109|444444,1420604:1420623|offset_151|00cc00,1420649:1420668|offset_196|444444&amp;v=1420285:1420868&amp;c=444444", "offset 151")</f>
        <v>offset 151</v>
      </c>
    </row>
    <row r="4493" customFormat="false" ht="12.8" hidden="false" customHeight="false" outlineLevel="0" collapsed="false">
      <c r="A4493" s="0" t="s">
        <v>12</v>
      </c>
      <c r="B4493" s="0" t="n">
        <v>1420648</v>
      </c>
      <c r="C4493" s="0" t="n">
        <v>1420668</v>
      </c>
      <c r="D4493" s="0" t="s">
        <v>14962</v>
      </c>
      <c r="E4493" s="0" t="s">
        <v>14963</v>
      </c>
      <c r="F4493" s="0" t="s">
        <v>15</v>
      </c>
      <c r="G4493" s="0" t="s">
        <v>32</v>
      </c>
      <c r="H4493" s="0" t="n">
        <v>196</v>
      </c>
      <c r="I4493" s="0" t="s">
        <v>14973</v>
      </c>
      <c r="J4493" s="0" t="s">
        <v>14974</v>
      </c>
      <c r="K4493" s="0" t="s">
        <v>14975</v>
      </c>
      <c r="L4493" s="0" t="str">
        <f aca="false">HYPERLINK("https://www.ncbi.nlm.nih.gov/nuccore/CP000058.1?report=graph&amp;tracks=[key:gene_model_track,Options:GeneOnly]&amp;mk=1420486:1420505|offset_33|444444,1420562:1420581|offset_109|444444,1420604:1420623|offset_151|444444,1420649:1420668|offset_196|00cc00&amp;v=1420285:1420868&amp;c=444444", "offset 196")</f>
        <v>offset 196</v>
      </c>
    </row>
    <row r="4494" customFormat="false" ht="12.8" hidden="false" customHeight="false" outlineLevel="0" collapsed="false">
      <c r="A4494" s="0" t="s">
        <v>12</v>
      </c>
      <c r="B4494" s="0" t="n">
        <v>1422493</v>
      </c>
      <c r="C4494" s="0" t="n">
        <v>1422513</v>
      </c>
      <c r="D4494" s="0" t="s">
        <v>14976</v>
      </c>
      <c r="E4494" s="0" t="s">
        <v>14977</v>
      </c>
      <c r="F4494" s="0" t="s">
        <v>15</v>
      </c>
      <c r="G4494" s="0" t="s">
        <v>16</v>
      </c>
      <c r="H4494" s="0" t="n">
        <v>25</v>
      </c>
      <c r="I4494" s="0" t="s">
        <v>14978</v>
      </c>
      <c r="J4494" s="0" t="s">
        <v>14979</v>
      </c>
      <c r="K4494" s="0" t="s">
        <v>14980</v>
      </c>
      <c r="L4494" s="0" t="str">
        <f aca="false">HYPERLINK("https://www.ncbi.nlm.nih.gov/nuccore/CP000058.1?report=graph&amp;tracks=[key:gene_model_track,Options:GeneOnly]&amp;mk=1422494:1422513|offset_25|00cc00,1422537:1422556|offset_68|444444,1422579:1422598|offset_110|444444,1422605:1422624|offset_136|444444&amp;v=1422293:1422824&amp;c=444444", "offset 25")</f>
        <v>offset 25</v>
      </c>
    </row>
    <row r="4495" customFormat="false" ht="12.8" hidden="false" customHeight="false" outlineLevel="0" collapsed="false">
      <c r="A4495" s="0" t="s">
        <v>12</v>
      </c>
      <c r="B4495" s="0" t="n">
        <v>1422536</v>
      </c>
      <c r="C4495" s="0" t="n">
        <v>1422556</v>
      </c>
      <c r="D4495" s="0" t="s">
        <v>14976</v>
      </c>
      <c r="E4495" s="0" t="s">
        <v>14977</v>
      </c>
      <c r="F4495" s="0" t="s">
        <v>15</v>
      </c>
      <c r="G4495" s="0" t="s">
        <v>32</v>
      </c>
      <c r="H4495" s="0" t="n">
        <v>68</v>
      </c>
      <c r="I4495" s="0" t="s">
        <v>14981</v>
      </c>
      <c r="J4495" s="0" t="s">
        <v>14982</v>
      </c>
      <c r="K4495" s="0" t="s">
        <v>14983</v>
      </c>
      <c r="L4495" s="0" t="str">
        <f aca="false">HYPERLINK("https://www.ncbi.nlm.nih.gov/nuccore/CP000058.1?report=graph&amp;tracks=[key:gene_model_track,Options:GeneOnly]&amp;mk=1422494:1422513|offset_25|444444,1422537:1422556|offset_68|00cc00,1422579:1422598|offset_110|444444,1422605:1422624|offset_136|444444&amp;v=1422293:1422824&amp;c=444444", "offset 68")</f>
        <v>offset 68</v>
      </c>
    </row>
    <row r="4496" customFormat="false" ht="12.8" hidden="false" customHeight="false" outlineLevel="0" collapsed="false">
      <c r="A4496" s="0" t="s">
        <v>12</v>
      </c>
      <c r="B4496" s="0" t="n">
        <v>1422578</v>
      </c>
      <c r="C4496" s="0" t="n">
        <v>1422598</v>
      </c>
      <c r="D4496" s="0" t="s">
        <v>14976</v>
      </c>
      <c r="E4496" s="0" t="s">
        <v>14977</v>
      </c>
      <c r="F4496" s="0" t="s">
        <v>15</v>
      </c>
      <c r="G4496" s="0" t="s">
        <v>20</v>
      </c>
      <c r="H4496" s="0" t="n">
        <v>110</v>
      </c>
      <c r="I4496" s="0" t="s">
        <v>14984</v>
      </c>
      <c r="J4496" s="0" t="s">
        <v>14985</v>
      </c>
      <c r="K4496" s="0" t="s">
        <v>14986</v>
      </c>
      <c r="L4496" s="0" t="str">
        <f aca="false">HYPERLINK("https://www.ncbi.nlm.nih.gov/nuccore/CP000058.1?report=graph&amp;tracks=[key:gene_model_track,Options:GeneOnly]&amp;mk=1422494:1422513|offset_25|444444,1422537:1422556|offset_68|444444,1422579:1422598|offset_110|00cc00,1422605:1422624|offset_136|444444&amp;v=1422293:1422824&amp;c=444444", "offset 110")</f>
        <v>offset 110</v>
      </c>
    </row>
    <row r="4497" customFormat="false" ht="12.8" hidden="false" customHeight="false" outlineLevel="0" collapsed="false">
      <c r="A4497" s="0" t="s">
        <v>12</v>
      </c>
      <c r="B4497" s="0" t="n">
        <v>1422604</v>
      </c>
      <c r="C4497" s="0" t="n">
        <v>1422624</v>
      </c>
      <c r="D4497" s="0" t="s">
        <v>14976</v>
      </c>
      <c r="E4497" s="0" t="s">
        <v>14977</v>
      </c>
      <c r="F4497" s="0" t="s">
        <v>15</v>
      </c>
      <c r="G4497" s="0" t="s">
        <v>20</v>
      </c>
      <c r="H4497" s="0" t="n">
        <v>136</v>
      </c>
      <c r="I4497" s="0" t="s">
        <v>14987</v>
      </c>
      <c r="J4497" s="0" t="s">
        <v>14988</v>
      </c>
      <c r="K4497" s="0" t="s">
        <v>14989</v>
      </c>
      <c r="L4497" s="0" t="str">
        <f aca="false">HYPERLINK("https://www.ncbi.nlm.nih.gov/nuccore/CP000058.1?report=graph&amp;tracks=[key:gene_model_track,Options:GeneOnly]&amp;mk=1422494:1422513|offset_25|444444,1422537:1422556|offset_68|444444,1422579:1422598|offset_110|444444,1422605:1422624|offset_136|00cc00&amp;v=1422293:1422824&amp;c=444444", "offset 136")</f>
        <v>offset 136</v>
      </c>
    </row>
    <row r="4498" customFormat="false" ht="12.8" hidden="false" customHeight="false" outlineLevel="0" collapsed="false">
      <c r="A4498" s="0" t="s">
        <v>12</v>
      </c>
      <c r="B4498" s="0" t="n">
        <v>1423116</v>
      </c>
      <c r="C4498" s="0" t="n">
        <v>1423136</v>
      </c>
      <c r="D4498" s="0" t="s">
        <v>14990</v>
      </c>
      <c r="E4498" s="0" t="s">
        <v>14991</v>
      </c>
      <c r="F4498" s="0" t="s">
        <v>15</v>
      </c>
      <c r="G4498" s="0" t="s">
        <v>16</v>
      </c>
      <c r="H4498" s="0" t="n">
        <v>22</v>
      </c>
      <c r="I4498" s="0" t="s">
        <v>14992</v>
      </c>
      <c r="J4498" s="0" t="s">
        <v>14993</v>
      </c>
      <c r="K4498" s="0" t="s">
        <v>14994</v>
      </c>
      <c r="L4498" s="0" t="str">
        <f aca="false">HYPERLINK("https://www.ncbi.nlm.nih.gov/nuccore/CP000058.1?report=graph&amp;tracks=[key:gene_model_track,Options:GeneOnly]&amp;mk=1423117:1423136|offset_22|00cc00,1423181:1423200|offset_86|444444,1423202:1423221|offset_107|444444,1423224:1423243|offset_129|444444&amp;v=1422916:1423443&amp;c=444444", "offset 22")</f>
        <v>offset 22</v>
      </c>
    </row>
    <row r="4499" customFormat="false" ht="12.8" hidden="false" customHeight="false" outlineLevel="0" collapsed="false">
      <c r="A4499" s="0" t="s">
        <v>12</v>
      </c>
      <c r="B4499" s="0" t="n">
        <v>1423180</v>
      </c>
      <c r="C4499" s="0" t="n">
        <v>1423200</v>
      </c>
      <c r="D4499" s="0" t="s">
        <v>14990</v>
      </c>
      <c r="E4499" s="0" t="s">
        <v>14991</v>
      </c>
      <c r="F4499" s="0" t="s">
        <v>15</v>
      </c>
      <c r="G4499" s="0" t="s">
        <v>20</v>
      </c>
      <c r="H4499" s="0" t="n">
        <v>86</v>
      </c>
      <c r="I4499" s="0" t="s">
        <v>14995</v>
      </c>
      <c r="J4499" s="0" t="s">
        <v>14996</v>
      </c>
      <c r="K4499" s="0" t="s">
        <v>14997</v>
      </c>
      <c r="L4499" s="0" t="str">
        <f aca="false">HYPERLINK("https://www.ncbi.nlm.nih.gov/nuccore/CP000058.1?report=graph&amp;tracks=[key:gene_model_track,Options:GeneOnly]&amp;mk=1423117:1423136|offset_22|444444,1423181:1423200|offset_86|00cc00,1423202:1423221|offset_107|444444,1423224:1423243|offset_129|444444&amp;v=1422916:1423443&amp;c=444444", "offset 86")</f>
        <v>offset 86</v>
      </c>
    </row>
    <row r="4500" customFormat="false" ht="12.8" hidden="false" customHeight="false" outlineLevel="0" collapsed="false">
      <c r="A4500" s="0" t="s">
        <v>12</v>
      </c>
      <c r="B4500" s="0" t="n">
        <v>1423201</v>
      </c>
      <c r="C4500" s="0" t="n">
        <v>1423221</v>
      </c>
      <c r="D4500" s="0" t="s">
        <v>14990</v>
      </c>
      <c r="E4500" s="0" t="s">
        <v>14991</v>
      </c>
      <c r="F4500" s="0" t="s">
        <v>15</v>
      </c>
      <c r="G4500" s="0" t="s">
        <v>20</v>
      </c>
      <c r="H4500" s="0" t="n">
        <v>107</v>
      </c>
      <c r="I4500" s="0" t="s">
        <v>14998</v>
      </c>
      <c r="J4500" s="0" t="s">
        <v>14999</v>
      </c>
      <c r="K4500" s="0" t="s">
        <v>15000</v>
      </c>
      <c r="L4500" s="0" t="str">
        <f aca="false">HYPERLINK("https://www.ncbi.nlm.nih.gov/nuccore/CP000058.1?report=graph&amp;tracks=[key:gene_model_track,Options:GeneOnly]&amp;mk=1423117:1423136|offset_22|444444,1423181:1423200|offset_86|444444,1423202:1423221|offset_107|00cc00,1423224:1423243|offset_129|444444&amp;v=1422916:1423443&amp;c=444444", "offset 107")</f>
        <v>offset 107</v>
      </c>
    </row>
    <row r="4501" customFormat="false" ht="12.8" hidden="false" customHeight="false" outlineLevel="0" collapsed="false">
      <c r="A4501" s="0" t="s">
        <v>12</v>
      </c>
      <c r="B4501" s="0" t="n">
        <v>1423223</v>
      </c>
      <c r="C4501" s="0" t="n">
        <v>1423243</v>
      </c>
      <c r="D4501" s="0" t="s">
        <v>14990</v>
      </c>
      <c r="E4501" s="0" t="s">
        <v>14991</v>
      </c>
      <c r="F4501" s="0" t="s">
        <v>15</v>
      </c>
      <c r="G4501" s="0" t="s">
        <v>16</v>
      </c>
      <c r="H4501" s="0" t="n">
        <v>129</v>
      </c>
      <c r="I4501" s="0" t="s">
        <v>15001</v>
      </c>
      <c r="J4501" s="0" t="s">
        <v>15002</v>
      </c>
      <c r="K4501" s="0" t="s">
        <v>15003</v>
      </c>
      <c r="L4501" s="0" t="str">
        <f aca="false">HYPERLINK("https://www.ncbi.nlm.nih.gov/nuccore/CP000058.1?report=graph&amp;tracks=[key:gene_model_track,Options:GeneOnly]&amp;mk=1423117:1423136|offset_22|444444,1423181:1423200|offset_86|444444,1423202:1423221|offset_107|444444,1423224:1423243|offset_129|00cc00&amp;v=1422916:1423443&amp;c=444444", "offset 129")</f>
        <v>offset 129</v>
      </c>
    </row>
    <row r="4502" customFormat="false" ht="12.8" hidden="false" customHeight="false" outlineLevel="0" collapsed="false">
      <c r="A4502" s="0" t="s">
        <v>12</v>
      </c>
      <c r="B4502" s="0" t="n">
        <v>1423460</v>
      </c>
      <c r="C4502" s="0" t="n">
        <v>1423480</v>
      </c>
      <c r="D4502" s="0" t="s">
        <v>15004</v>
      </c>
      <c r="E4502" s="0" t="s">
        <v>15005</v>
      </c>
      <c r="F4502" s="0" t="s">
        <v>15</v>
      </c>
      <c r="G4502" s="0" t="s">
        <v>32</v>
      </c>
      <c r="H4502" s="0" t="n">
        <v>23</v>
      </c>
      <c r="I4502" s="0" t="s">
        <v>15006</v>
      </c>
      <c r="J4502" s="0" t="s">
        <v>15007</v>
      </c>
      <c r="K4502" s="0" t="s">
        <v>15008</v>
      </c>
      <c r="L4502" s="0" t="str">
        <f aca="false">HYPERLINK("https://www.ncbi.nlm.nih.gov/nuccore/CP000058.1?report=graph&amp;tracks=[key:gene_model_track,Options:GeneOnly]&amp;mk=1423461:1423480|offset_23|00cc00,1423529:1423548|offset_91|444444,1423557:1423576|offset_119|444444,1423580:1423599|offset_142|444444&amp;v=1423260:1423799&amp;c=444444", "offset 23")</f>
        <v>offset 23</v>
      </c>
    </row>
    <row r="4503" customFormat="false" ht="12.8" hidden="false" customHeight="false" outlineLevel="0" collapsed="false">
      <c r="A4503" s="0" t="s">
        <v>12</v>
      </c>
      <c r="B4503" s="0" t="n">
        <v>1423528</v>
      </c>
      <c r="C4503" s="0" t="n">
        <v>1423548</v>
      </c>
      <c r="D4503" s="0" t="s">
        <v>15004</v>
      </c>
      <c r="E4503" s="0" t="s">
        <v>15005</v>
      </c>
      <c r="F4503" s="0" t="s">
        <v>15</v>
      </c>
      <c r="G4503" s="0" t="s">
        <v>32</v>
      </c>
      <c r="H4503" s="0" t="n">
        <v>91</v>
      </c>
      <c r="I4503" s="0" t="s">
        <v>15009</v>
      </c>
      <c r="J4503" s="0" t="s">
        <v>15010</v>
      </c>
      <c r="K4503" s="0" t="s">
        <v>15011</v>
      </c>
      <c r="L4503" s="0" t="str">
        <f aca="false">HYPERLINK("https://www.ncbi.nlm.nih.gov/nuccore/CP000058.1?report=graph&amp;tracks=[key:gene_model_track,Options:GeneOnly]&amp;mk=1423461:1423480|offset_23|444444,1423529:1423548|offset_91|00cc00,1423557:1423576|offset_119|444444,1423580:1423599|offset_142|444444&amp;v=1423260:1423799&amp;c=444444", "offset 91")</f>
        <v>offset 91</v>
      </c>
    </row>
    <row r="4504" customFormat="false" ht="12.8" hidden="false" customHeight="false" outlineLevel="0" collapsed="false">
      <c r="A4504" s="0" t="s">
        <v>12</v>
      </c>
      <c r="B4504" s="0" t="n">
        <v>1423556</v>
      </c>
      <c r="C4504" s="0" t="n">
        <v>1423576</v>
      </c>
      <c r="D4504" s="0" t="s">
        <v>15004</v>
      </c>
      <c r="E4504" s="0" t="s">
        <v>15005</v>
      </c>
      <c r="F4504" s="0" t="s">
        <v>15</v>
      </c>
      <c r="G4504" s="0" t="s">
        <v>20</v>
      </c>
      <c r="H4504" s="0" t="n">
        <v>119</v>
      </c>
      <c r="I4504" s="0" t="s">
        <v>15012</v>
      </c>
      <c r="J4504" s="0" t="s">
        <v>15013</v>
      </c>
      <c r="K4504" s="0" t="s">
        <v>15014</v>
      </c>
      <c r="L4504" s="0" t="str">
        <f aca="false">HYPERLINK("https://www.ncbi.nlm.nih.gov/nuccore/CP000058.1?report=graph&amp;tracks=[key:gene_model_track,Options:GeneOnly]&amp;mk=1423461:1423480|offset_23|444444,1423529:1423548|offset_91|444444,1423557:1423576|offset_119|00cc00,1423580:1423599|offset_142|444444&amp;v=1423260:1423799&amp;c=444444", "offset 119")</f>
        <v>offset 119</v>
      </c>
    </row>
    <row r="4505" customFormat="false" ht="12.8" hidden="false" customHeight="false" outlineLevel="0" collapsed="false">
      <c r="A4505" s="0" t="s">
        <v>12</v>
      </c>
      <c r="B4505" s="0" t="n">
        <v>1423579</v>
      </c>
      <c r="C4505" s="0" t="n">
        <v>1423599</v>
      </c>
      <c r="D4505" s="0" t="s">
        <v>15004</v>
      </c>
      <c r="E4505" s="0" t="s">
        <v>15005</v>
      </c>
      <c r="F4505" s="0" t="s">
        <v>15</v>
      </c>
      <c r="G4505" s="0" t="s">
        <v>36</v>
      </c>
      <c r="H4505" s="0" t="n">
        <v>142</v>
      </c>
      <c r="I4505" s="0" t="s">
        <v>15015</v>
      </c>
      <c r="J4505" s="0" t="s">
        <v>15016</v>
      </c>
      <c r="K4505" s="0" t="s">
        <v>15017</v>
      </c>
      <c r="L4505" s="0" t="str">
        <f aca="false">HYPERLINK("https://www.ncbi.nlm.nih.gov/nuccore/CP000058.1?report=graph&amp;tracks=[key:gene_model_track,Options:GeneOnly]&amp;mk=1423461:1423480|offset_23|444444,1423529:1423548|offset_91|444444,1423557:1423576|offset_119|444444,1423580:1423599|offset_142|00cc00&amp;v=1423260:1423799&amp;c=444444", "offset 142")</f>
        <v>offset 142</v>
      </c>
    </row>
    <row r="4506" customFormat="false" ht="12.8" hidden="false" customHeight="false" outlineLevel="0" collapsed="false">
      <c r="A4506" s="0" t="s">
        <v>12</v>
      </c>
      <c r="B4506" s="0" t="n">
        <v>1424346</v>
      </c>
      <c r="C4506" s="0" t="n">
        <v>1424366</v>
      </c>
      <c r="D4506" s="0" t="s">
        <v>15018</v>
      </c>
      <c r="E4506" s="0" t="s">
        <v>75</v>
      </c>
      <c r="F4506" s="0" t="s">
        <v>15</v>
      </c>
      <c r="G4506" s="0" t="s">
        <v>20</v>
      </c>
      <c r="H4506" s="0" t="n">
        <v>11</v>
      </c>
      <c r="I4506" s="0" t="s">
        <v>15019</v>
      </c>
      <c r="J4506" s="0" t="s">
        <v>15020</v>
      </c>
      <c r="K4506" s="0" t="s">
        <v>15021</v>
      </c>
      <c r="L4506" s="0" t="str">
        <f aca="false">HYPERLINK("https://www.ncbi.nlm.nih.gov/nuccore/CP000058.1?report=graph&amp;tracks=[key:gene_model_track,Options:GeneOnly]&amp;mk=1424347:1424366|offset_11|00cc00,1424432:1424451|offset_96|444444&amp;v=1424146:1424651&amp;c=444444", "offset 11")</f>
        <v>offset 11</v>
      </c>
    </row>
    <row r="4507" customFormat="false" ht="12.8" hidden="false" customHeight="false" outlineLevel="0" collapsed="false">
      <c r="A4507" s="0" t="s">
        <v>12</v>
      </c>
      <c r="B4507" s="0" t="n">
        <v>1424431</v>
      </c>
      <c r="C4507" s="0" t="n">
        <v>1424451</v>
      </c>
      <c r="D4507" s="0" t="s">
        <v>15018</v>
      </c>
      <c r="E4507" s="0" t="s">
        <v>75</v>
      </c>
      <c r="F4507" s="0" t="s">
        <v>15</v>
      </c>
      <c r="G4507" s="0" t="s">
        <v>20</v>
      </c>
      <c r="H4507" s="0" t="n">
        <v>96</v>
      </c>
      <c r="I4507" s="0" t="s">
        <v>15022</v>
      </c>
      <c r="J4507" s="0" t="s">
        <v>15023</v>
      </c>
      <c r="K4507" s="0" t="s">
        <v>15024</v>
      </c>
      <c r="L4507" s="0" t="str">
        <f aca="false">HYPERLINK("https://www.ncbi.nlm.nih.gov/nuccore/CP000058.1?report=graph&amp;tracks=[key:gene_model_track,Options:GeneOnly]&amp;mk=1424347:1424366|offset_11|444444,1424432:1424451|offset_96|00cc00&amp;v=1424146:1424651&amp;c=444444", "offset 96")</f>
        <v>offset 96</v>
      </c>
    </row>
    <row r="4508" customFormat="false" ht="12.8" hidden="false" customHeight="false" outlineLevel="0" collapsed="false">
      <c r="A4508" s="0" t="s">
        <v>12</v>
      </c>
      <c r="B4508" s="0" t="n">
        <v>1424582</v>
      </c>
      <c r="C4508" s="0" t="n">
        <v>1424602</v>
      </c>
      <c r="D4508" s="0" t="s">
        <v>15025</v>
      </c>
      <c r="E4508" s="0" t="s">
        <v>75</v>
      </c>
      <c r="F4508" s="0" t="s">
        <v>15</v>
      </c>
      <c r="G4508" s="0" t="s">
        <v>36</v>
      </c>
      <c r="H4508" s="0" t="n">
        <v>0</v>
      </c>
      <c r="I4508" s="0" t="s">
        <v>15026</v>
      </c>
      <c r="J4508" s="0" t="s">
        <v>15027</v>
      </c>
      <c r="K4508" s="0" t="s">
        <v>15028</v>
      </c>
      <c r="L4508" s="0" t="str">
        <f aca="false">HYPERLINK("https://www.ncbi.nlm.nih.gov/nuccore/CP000058.1?report=graph&amp;tracks=[key:gene_model_track,Options:GeneOnly]&amp;mk=1424583:1424602|offset_0|00cc00,1424609:1424628|offset_26|444444,1424641:1424660|offset_58|444444,1424666:1424685|offset_83|444444&amp;v=1424382:1424885&amp;c=444444", "offset 0")</f>
        <v>offset 0</v>
      </c>
    </row>
    <row r="4509" customFormat="false" ht="12.8" hidden="false" customHeight="false" outlineLevel="0" collapsed="false">
      <c r="A4509" s="0" t="s">
        <v>12</v>
      </c>
      <c r="B4509" s="0" t="n">
        <v>1424608</v>
      </c>
      <c r="C4509" s="0" t="n">
        <v>1424628</v>
      </c>
      <c r="D4509" s="0" t="s">
        <v>15025</v>
      </c>
      <c r="E4509" s="0" t="s">
        <v>75</v>
      </c>
      <c r="F4509" s="0" t="s">
        <v>15</v>
      </c>
      <c r="G4509" s="0" t="s">
        <v>20</v>
      </c>
      <c r="H4509" s="0" t="n">
        <v>26</v>
      </c>
      <c r="I4509" s="0" t="s">
        <v>15029</v>
      </c>
      <c r="J4509" s="0" t="s">
        <v>15030</v>
      </c>
      <c r="K4509" s="0" t="s">
        <v>15031</v>
      </c>
      <c r="L4509" s="0" t="str">
        <f aca="false">HYPERLINK("https://www.ncbi.nlm.nih.gov/nuccore/CP000058.1?report=graph&amp;tracks=[key:gene_model_track,Options:GeneOnly]&amp;mk=1424583:1424602|offset_0|444444,1424609:1424628|offset_26|00cc00,1424641:1424660|offset_58|444444,1424666:1424685|offset_83|444444&amp;v=1424382:1424885&amp;c=444444", "offset 26")</f>
        <v>offset 26</v>
      </c>
    </row>
    <row r="4510" customFormat="false" ht="12.8" hidden="false" customHeight="false" outlineLevel="0" collapsed="false">
      <c r="A4510" s="0" t="s">
        <v>12</v>
      </c>
      <c r="B4510" s="0" t="n">
        <v>1424640</v>
      </c>
      <c r="C4510" s="0" t="n">
        <v>1424660</v>
      </c>
      <c r="D4510" s="0" t="s">
        <v>15025</v>
      </c>
      <c r="E4510" s="0" t="s">
        <v>75</v>
      </c>
      <c r="F4510" s="0" t="s">
        <v>15</v>
      </c>
      <c r="G4510" s="0" t="s">
        <v>36</v>
      </c>
      <c r="H4510" s="0" t="n">
        <v>58</v>
      </c>
      <c r="I4510" s="0" t="s">
        <v>15032</v>
      </c>
      <c r="J4510" s="0" t="s">
        <v>15033</v>
      </c>
      <c r="K4510" s="0" t="s">
        <v>15034</v>
      </c>
      <c r="L4510" s="0" t="str">
        <f aca="false">HYPERLINK("https://www.ncbi.nlm.nih.gov/nuccore/CP000058.1?report=graph&amp;tracks=[key:gene_model_track,Options:GeneOnly]&amp;mk=1424583:1424602|offset_0|444444,1424609:1424628|offset_26|444444,1424641:1424660|offset_58|00cc00,1424666:1424685|offset_83|444444&amp;v=1424382:1424885&amp;c=444444", "offset 58")</f>
        <v>offset 58</v>
      </c>
    </row>
    <row r="4511" customFormat="false" ht="12.8" hidden="false" customHeight="false" outlineLevel="0" collapsed="false">
      <c r="A4511" s="0" t="s">
        <v>12</v>
      </c>
      <c r="B4511" s="0" t="n">
        <v>1424665</v>
      </c>
      <c r="C4511" s="0" t="n">
        <v>1424685</v>
      </c>
      <c r="D4511" s="0" t="s">
        <v>15025</v>
      </c>
      <c r="E4511" s="0" t="s">
        <v>75</v>
      </c>
      <c r="F4511" s="0" t="s">
        <v>15</v>
      </c>
      <c r="G4511" s="0" t="s">
        <v>20</v>
      </c>
      <c r="H4511" s="0" t="n">
        <v>83</v>
      </c>
      <c r="I4511" s="0" t="s">
        <v>15035</v>
      </c>
      <c r="J4511" s="0" t="s">
        <v>15036</v>
      </c>
      <c r="K4511" s="0" t="s">
        <v>15037</v>
      </c>
      <c r="L4511" s="0" t="str">
        <f aca="false">HYPERLINK("https://www.ncbi.nlm.nih.gov/nuccore/CP000058.1?report=graph&amp;tracks=[key:gene_model_track,Options:GeneOnly]&amp;mk=1424583:1424602|offset_0|444444,1424609:1424628|offset_26|444444,1424641:1424660|offset_58|444444,1424666:1424685|offset_83|00cc00&amp;v=1424382:1424885&amp;c=444444", "offset 83")</f>
        <v>offset 83</v>
      </c>
    </row>
    <row r="4512" customFormat="false" ht="12.8" hidden="false" customHeight="false" outlineLevel="0" collapsed="false">
      <c r="A4512" s="0" t="s">
        <v>12</v>
      </c>
      <c r="B4512" s="0" t="n">
        <v>1425510</v>
      </c>
      <c r="C4512" s="0" t="n">
        <v>1425530</v>
      </c>
      <c r="D4512" s="0" t="s">
        <v>15038</v>
      </c>
      <c r="E4512" s="0" t="s">
        <v>75</v>
      </c>
      <c r="F4512" s="0" t="s">
        <v>15</v>
      </c>
      <c r="G4512" s="0" t="s">
        <v>36</v>
      </c>
      <c r="H4512" s="0" t="n">
        <v>31</v>
      </c>
      <c r="I4512" s="0" t="s">
        <v>15039</v>
      </c>
      <c r="J4512" s="0" t="s">
        <v>15040</v>
      </c>
      <c r="K4512" s="0" t="s">
        <v>15041</v>
      </c>
      <c r="L4512" s="0" t="str">
        <f aca="false">HYPERLINK("https://www.ncbi.nlm.nih.gov/nuccore/CP000058.1?report=graph&amp;tracks=[key:gene_model_track,Options:GeneOnly]&amp;mk=1425511:1425530|offset_31|00cc00,1425538:1425557|offset_58|444444,1425564:1425583|offset_84|444444&amp;v=1425310:1425783&amp;c=444444", "offset 31")</f>
        <v>offset 31</v>
      </c>
    </row>
    <row r="4513" customFormat="false" ht="12.8" hidden="false" customHeight="false" outlineLevel="0" collapsed="false">
      <c r="A4513" s="0" t="s">
        <v>12</v>
      </c>
      <c r="B4513" s="0" t="n">
        <v>1425537</v>
      </c>
      <c r="C4513" s="0" t="n">
        <v>1425557</v>
      </c>
      <c r="D4513" s="0" t="s">
        <v>15038</v>
      </c>
      <c r="E4513" s="0" t="s">
        <v>75</v>
      </c>
      <c r="F4513" s="0" t="s">
        <v>15</v>
      </c>
      <c r="G4513" s="0" t="s">
        <v>32</v>
      </c>
      <c r="H4513" s="0" t="n">
        <v>58</v>
      </c>
      <c r="I4513" s="0" t="s">
        <v>15042</v>
      </c>
      <c r="J4513" s="0" t="s">
        <v>15043</v>
      </c>
      <c r="K4513" s="0" t="s">
        <v>15044</v>
      </c>
      <c r="L4513" s="0" t="str">
        <f aca="false">HYPERLINK("https://www.ncbi.nlm.nih.gov/nuccore/CP000058.1?report=graph&amp;tracks=[key:gene_model_track,Options:GeneOnly]&amp;mk=1425511:1425530|offset_31|444444,1425538:1425557|offset_58|00cc00,1425564:1425583|offset_84|444444&amp;v=1425310:1425783&amp;c=444444", "offset 58")</f>
        <v>offset 58</v>
      </c>
    </row>
    <row r="4514" customFormat="false" ht="12.8" hidden="false" customHeight="false" outlineLevel="0" collapsed="false">
      <c r="A4514" s="0" t="s">
        <v>12</v>
      </c>
      <c r="B4514" s="0" t="n">
        <v>1425563</v>
      </c>
      <c r="C4514" s="0" t="n">
        <v>1425583</v>
      </c>
      <c r="D4514" s="0" t="s">
        <v>15038</v>
      </c>
      <c r="E4514" s="0" t="s">
        <v>75</v>
      </c>
      <c r="F4514" s="0" t="s">
        <v>15</v>
      </c>
      <c r="G4514" s="0" t="s">
        <v>20</v>
      </c>
      <c r="H4514" s="0" t="n">
        <v>84</v>
      </c>
      <c r="I4514" s="0" t="s">
        <v>15045</v>
      </c>
      <c r="J4514" s="0" t="s">
        <v>15046</v>
      </c>
      <c r="K4514" s="0" t="s">
        <v>15047</v>
      </c>
      <c r="L4514" s="0" t="str">
        <f aca="false">HYPERLINK("https://www.ncbi.nlm.nih.gov/nuccore/CP000058.1?report=graph&amp;tracks=[key:gene_model_track,Options:GeneOnly]&amp;mk=1425511:1425530|offset_31|444444,1425538:1425557|offset_58|444444,1425564:1425583|offset_84|00cc00&amp;v=1425310:1425783&amp;c=444444", "offset 84")</f>
        <v>offset 84</v>
      </c>
    </row>
    <row r="4515" customFormat="false" ht="12.8" hidden="false" customHeight="false" outlineLevel="0" collapsed="false">
      <c r="A4515" s="0" t="s">
        <v>12</v>
      </c>
      <c r="B4515" s="0" t="n">
        <v>1425707</v>
      </c>
      <c r="C4515" s="0" t="n">
        <v>1425727</v>
      </c>
      <c r="D4515" s="0" t="s">
        <v>15048</v>
      </c>
      <c r="E4515" s="0" t="s">
        <v>15049</v>
      </c>
      <c r="F4515" s="0" t="s">
        <v>15</v>
      </c>
      <c r="G4515" s="0" t="s">
        <v>20</v>
      </c>
      <c r="H4515" s="0" t="n">
        <v>83</v>
      </c>
      <c r="I4515" s="0" t="s">
        <v>15050</v>
      </c>
      <c r="J4515" s="0" t="s">
        <v>15051</v>
      </c>
      <c r="K4515" s="0" t="s">
        <v>15052</v>
      </c>
      <c r="L4515" s="0" t="str">
        <f aca="false">HYPERLINK("https://www.ncbi.nlm.nih.gov/nuccore/CP000058.1?report=graph&amp;tracks=[key:gene_model_track,Options:GeneOnly]&amp;mk=1425708:1425727|offset_83|00cc00,1425731:1425750|offset_106|444444,1425752:1425771|offset_127|444444,1425788:1425807|offset_163|444444&amp;v=1425507:1426007&amp;c=444444", "offset 83")</f>
        <v>offset 83</v>
      </c>
    </row>
    <row r="4516" customFormat="false" ht="12.8" hidden="false" customHeight="false" outlineLevel="0" collapsed="false">
      <c r="A4516" s="0" t="s">
        <v>12</v>
      </c>
      <c r="B4516" s="0" t="n">
        <v>1425730</v>
      </c>
      <c r="C4516" s="0" t="n">
        <v>1425750</v>
      </c>
      <c r="D4516" s="0" t="s">
        <v>15048</v>
      </c>
      <c r="E4516" s="0" t="s">
        <v>15049</v>
      </c>
      <c r="F4516" s="0" t="s">
        <v>15</v>
      </c>
      <c r="G4516" s="0" t="s">
        <v>20</v>
      </c>
      <c r="H4516" s="0" t="n">
        <v>106</v>
      </c>
      <c r="I4516" s="0" t="s">
        <v>15053</v>
      </c>
      <c r="J4516" s="0" t="s">
        <v>15054</v>
      </c>
      <c r="K4516" s="0" t="s">
        <v>15055</v>
      </c>
      <c r="L4516" s="0" t="str">
        <f aca="false">HYPERLINK("https://www.ncbi.nlm.nih.gov/nuccore/CP000058.1?report=graph&amp;tracks=[key:gene_model_track,Options:GeneOnly]&amp;mk=1425708:1425727|offset_83|444444,1425731:1425750|offset_106|00cc00,1425752:1425771|offset_127|444444,1425788:1425807|offset_163|444444&amp;v=1425507:1426007&amp;c=444444", "offset 106")</f>
        <v>offset 106</v>
      </c>
    </row>
    <row r="4517" customFormat="false" ht="12.8" hidden="false" customHeight="false" outlineLevel="0" collapsed="false">
      <c r="A4517" s="0" t="s">
        <v>12</v>
      </c>
      <c r="B4517" s="0" t="n">
        <v>1425751</v>
      </c>
      <c r="C4517" s="0" t="n">
        <v>1425771</v>
      </c>
      <c r="D4517" s="0" t="s">
        <v>15048</v>
      </c>
      <c r="E4517" s="0" t="s">
        <v>15049</v>
      </c>
      <c r="F4517" s="0" t="s">
        <v>15</v>
      </c>
      <c r="G4517" s="0" t="s">
        <v>16</v>
      </c>
      <c r="H4517" s="0" t="n">
        <v>127</v>
      </c>
      <c r="I4517" s="0" t="s">
        <v>15056</v>
      </c>
      <c r="J4517" s="0" t="s">
        <v>15057</v>
      </c>
      <c r="K4517" s="0" t="s">
        <v>15058</v>
      </c>
      <c r="L4517" s="0" t="str">
        <f aca="false">HYPERLINK("https://www.ncbi.nlm.nih.gov/nuccore/CP000058.1?report=graph&amp;tracks=[key:gene_model_track,Options:GeneOnly]&amp;mk=1425708:1425727|offset_83|444444,1425731:1425750|offset_106|444444,1425752:1425771|offset_127|00cc00,1425788:1425807|offset_163|444444&amp;v=1425507:1426007&amp;c=444444", "offset 127")</f>
        <v>offset 127</v>
      </c>
    </row>
    <row r="4518" customFormat="false" ht="12.8" hidden="false" customHeight="false" outlineLevel="0" collapsed="false">
      <c r="A4518" s="0" t="s">
        <v>12</v>
      </c>
      <c r="B4518" s="0" t="n">
        <v>1425787</v>
      </c>
      <c r="C4518" s="0" t="n">
        <v>1425807</v>
      </c>
      <c r="D4518" s="0" t="s">
        <v>15048</v>
      </c>
      <c r="E4518" s="0" t="s">
        <v>15049</v>
      </c>
      <c r="F4518" s="0" t="s">
        <v>15</v>
      </c>
      <c r="G4518" s="0" t="s">
        <v>16</v>
      </c>
      <c r="H4518" s="0" t="n">
        <v>163</v>
      </c>
      <c r="I4518" s="0" t="s">
        <v>15059</v>
      </c>
      <c r="J4518" s="0" t="s">
        <v>15060</v>
      </c>
      <c r="K4518" s="0" t="s">
        <v>15061</v>
      </c>
      <c r="L4518" s="0" t="str">
        <f aca="false">HYPERLINK("https://www.ncbi.nlm.nih.gov/nuccore/CP000058.1?report=graph&amp;tracks=[key:gene_model_track,Options:GeneOnly]&amp;mk=1425708:1425727|offset_83|444444,1425731:1425750|offset_106|444444,1425752:1425771|offset_127|444444,1425788:1425807|offset_163|00cc00&amp;v=1425507:1426007&amp;c=444444", "offset 163")</f>
        <v>offset 163</v>
      </c>
    </row>
    <row r="4519" customFormat="false" ht="12.8" hidden="false" customHeight="false" outlineLevel="0" collapsed="false">
      <c r="A4519" s="0" t="s">
        <v>12</v>
      </c>
      <c r="B4519" s="0" t="n">
        <v>1427821</v>
      </c>
      <c r="C4519" s="0" t="n">
        <v>1427841</v>
      </c>
      <c r="D4519" s="0" t="s">
        <v>15062</v>
      </c>
      <c r="E4519" s="0" t="s">
        <v>75</v>
      </c>
      <c r="F4519" s="0" t="s">
        <v>90</v>
      </c>
      <c r="G4519" s="0" t="s">
        <v>32</v>
      </c>
      <c r="H4519" s="0" t="n">
        <v>11</v>
      </c>
      <c r="I4519" s="0" t="s">
        <v>15063</v>
      </c>
      <c r="J4519" s="0" t="s">
        <v>15064</v>
      </c>
      <c r="K4519" s="0" t="s">
        <v>15065</v>
      </c>
      <c r="L4519" s="0" t="str">
        <f aca="false">HYPERLINK("https://www.ncbi.nlm.nih.gov/nuccore/CP000058.1?report=graph&amp;tracks=[key:gene_model_track,Options:GeneOnly]&amp;mk=1427822:1427841|offset_11|00cc00,1427788:1427807|offset_45|444444,1427766:1427785|offset_67|444444,1427736:1427755|offset_97|444444&amp;v=1427621:1427955&amp;c=444444", "offset 11")</f>
        <v>offset 11</v>
      </c>
    </row>
    <row r="4520" customFormat="false" ht="12.8" hidden="false" customHeight="false" outlineLevel="0" collapsed="false">
      <c r="A4520" s="0" t="s">
        <v>12</v>
      </c>
      <c r="B4520" s="0" t="n">
        <v>1427787</v>
      </c>
      <c r="C4520" s="0" t="n">
        <v>1427807</v>
      </c>
      <c r="D4520" s="0" t="s">
        <v>15062</v>
      </c>
      <c r="E4520" s="0" t="s">
        <v>75</v>
      </c>
      <c r="F4520" s="0" t="s">
        <v>90</v>
      </c>
      <c r="G4520" s="0" t="s">
        <v>16</v>
      </c>
      <c r="H4520" s="0" t="n">
        <v>45</v>
      </c>
      <c r="I4520" s="0" t="s">
        <v>15066</v>
      </c>
      <c r="J4520" s="0" t="s">
        <v>15067</v>
      </c>
      <c r="K4520" s="0" t="s">
        <v>15068</v>
      </c>
      <c r="L4520" s="0" t="str">
        <f aca="false">HYPERLINK("https://www.ncbi.nlm.nih.gov/nuccore/CP000058.1?report=graph&amp;tracks=[key:gene_model_track,Options:GeneOnly]&amp;mk=1427822:1427841|offset_11|444444,1427788:1427807|offset_45|00cc00,1427766:1427785|offset_67|444444,1427736:1427755|offset_97|444444&amp;v=1427621:1427955&amp;c=444444", "offset 45")</f>
        <v>offset 45</v>
      </c>
    </row>
    <row r="4521" customFormat="false" ht="12.8" hidden="false" customHeight="false" outlineLevel="0" collapsed="false">
      <c r="A4521" s="0" t="s">
        <v>12</v>
      </c>
      <c r="B4521" s="0" t="n">
        <v>1427765</v>
      </c>
      <c r="C4521" s="0" t="n">
        <v>1427785</v>
      </c>
      <c r="D4521" s="0" t="s">
        <v>15062</v>
      </c>
      <c r="E4521" s="0" t="s">
        <v>75</v>
      </c>
      <c r="F4521" s="0" t="s">
        <v>90</v>
      </c>
      <c r="G4521" s="0" t="s">
        <v>16</v>
      </c>
      <c r="H4521" s="0" t="n">
        <v>67</v>
      </c>
      <c r="I4521" s="0" t="s">
        <v>15069</v>
      </c>
      <c r="J4521" s="0" t="s">
        <v>15070</v>
      </c>
      <c r="K4521" s="0" t="s">
        <v>15071</v>
      </c>
      <c r="L4521" s="0" t="str">
        <f aca="false">HYPERLINK("https://www.ncbi.nlm.nih.gov/nuccore/CP000058.1?report=graph&amp;tracks=[key:gene_model_track,Options:GeneOnly]&amp;mk=1427822:1427841|offset_11|444444,1427788:1427807|offset_45|444444,1427766:1427785|offset_67|00cc00,1427736:1427755|offset_97|444444&amp;v=1427621:1427955&amp;c=444444", "offset 67")</f>
        <v>offset 67</v>
      </c>
    </row>
    <row r="4522" customFormat="false" ht="12.8" hidden="false" customHeight="false" outlineLevel="0" collapsed="false">
      <c r="A4522" s="0" t="s">
        <v>12</v>
      </c>
      <c r="B4522" s="0" t="n">
        <v>1427735</v>
      </c>
      <c r="C4522" s="0" t="n">
        <v>1427755</v>
      </c>
      <c r="D4522" s="0" t="s">
        <v>15062</v>
      </c>
      <c r="E4522" s="0" t="s">
        <v>75</v>
      </c>
      <c r="F4522" s="0" t="s">
        <v>90</v>
      </c>
      <c r="G4522" s="0" t="s">
        <v>20</v>
      </c>
      <c r="H4522" s="0" t="n">
        <v>97</v>
      </c>
      <c r="I4522" s="0" t="s">
        <v>15072</v>
      </c>
      <c r="J4522" s="0" t="s">
        <v>15073</v>
      </c>
      <c r="K4522" s="0" t="s">
        <v>15074</v>
      </c>
      <c r="L4522" s="0" t="str">
        <f aca="false">HYPERLINK("https://www.ncbi.nlm.nih.gov/nuccore/CP000058.1?report=graph&amp;tracks=[key:gene_model_track,Options:GeneOnly]&amp;mk=1427822:1427841|offset_11|444444,1427788:1427807|offset_45|444444,1427766:1427785|offset_67|444444,1427736:1427755|offset_97|00cc00&amp;v=1427621:1427955&amp;c=444444", "offset 97")</f>
        <v>offset 97</v>
      </c>
    </row>
    <row r="4523" customFormat="false" ht="12.8" hidden="false" customHeight="false" outlineLevel="0" collapsed="false">
      <c r="A4523" s="0" t="s">
        <v>12</v>
      </c>
      <c r="B4523" s="0" t="n">
        <v>1429493</v>
      </c>
      <c r="C4523" s="0" t="n">
        <v>1429513</v>
      </c>
      <c r="D4523" s="0" t="s">
        <v>15075</v>
      </c>
      <c r="E4523" s="0" t="s">
        <v>75</v>
      </c>
      <c r="F4523" s="0" t="s">
        <v>90</v>
      </c>
      <c r="G4523" s="0" t="s">
        <v>36</v>
      </c>
      <c r="H4523" s="0" t="n">
        <v>7</v>
      </c>
      <c r="I4523" s="0" t="s">
        <v>15076</v>
      </c>
      <c r="J4523" s="0" t="s">
        <v>15077</v>
      </c>
      <c r="K4523" s="0" t="s">
        <v>15078</v>
      </c>
      <c r="L4523" s="0" t="str">
        <f aca="false">HYPERLINK("https://www.ncbi.nlm.nih.gov/nuccore/CP000058.1?report=graph&amp;tracks=[key:gene_model_track,Options:GeneOnly]&amp;mk=1429494:1429513|offset_7|00cc00,1429443:1429462|offset_58|444444,1429391:1429410|offset_110|444444,1429346:1429365|offset_155|444444&amp;v=1429293:1429565&amp;c=444444", "offset 7")</f>
        <v>offset 7</v>
      </c>
    </row>
    <row r="4524" customFormat="false" ht="12.8" hidden="false" customHeight="false" outlineLevel="0" collapsed="false">
      <c r="A4524" s="0" t="s">
        <v>12</v>
      </c>
      <c r="B4524" s="0" t="n">
        <v>1429442</v>
      </c>
      <c r="C4524" s="0" t="n">
        <v>1429462</v>
      </c>
      <c r="D4524" s="0" t="s">
        <v>15075</v>
      </c>
      <c r="E4524" s="0" t="s">
        <v>75</v>
      </c>
      <c r="F4524" s="0" t="s">
        <v>90</v>
      </c>
      <c r="G4524" s="0" t="s">
        <v>20</v>
      </c>
      <c r="H4524" s="0" t="n">
        <v>58</v>
      </c>
      <c r="I4524" s="0" t="s">
        <v>15079</v>
      </c>
      <c r="J4524" s="0" t="s">
        <v>15080</v>
      </c>
      <c r="K4524" s="0" t="s">
        <v>15081</v>
      </c>
      <c r="L4524" s="0" t="str">
        <f aca="false">HYPERLINK("https://www.ncbi.nlm.nih.gov/nuccore/CP000058.1?report=graph&amp;tracks=[key:gene_model_track,Options:GeneOnly]&amp;mk=1429494:1429513|offset_7|444444,1429443:1429462|offset_58|00cc00,1429391:1429410|offset_110|444444,1429346:1429365|offset_155|444444&amp;v=1429293:1429565&amp;c=444444", "offset 58")</f>
        <v>offset 58</v>
      </c>
    </row>
    <row r="4525" customFormat="false" ht="12.8" hidden="false" customHeight="false" outlineLevel="0" collapsed="false">
      <c r="A4525" s="0" t="s">
        <v>12</v>
      </c>
      <c r="B4525" s="0" t="n">
        <v>1429390</v>
      </c>
      <c r="C4525" s="0" t="n">
        <v>1429410</v>
      </c>
      <c r="D4525" s="0" t="s">
        <v>15075</v>
      </c>
      <c r="E4525" s="0" t="s">
        <v>75</v>
      </c>
      <c r="F4525" s="0" t="s">
        <v>90</v>
      </c>
      <c r="G4525" s="0" t="s">
        <v>32</v>
      </c>
      <c r="H4525" s="0" t="n">
        <v>110</v>
      </c>
      <c r="I4525" s="0" t="s">
        <v>15082</v>
      </c>
      <c r="J4525" s="0" t="s">
        <v>15083</v>
      </c>
      <c r="K4525" s="0" t="s">
        <v>15084</v>
      </c>
      <c r="L4525" s="0" t="str">
        <f aca="false">HYPERLINK("https://www.ncbi.nlm.nih.gov/nuccore/CP000058.1?report=graph&amp;tracks=[key:gene_model_track,Options:GeneOnly]&amp;mk=1429494:1429513|offset_7|444444,1429443:1429462|offset_58|444444,1429391:1429410|offset_110|00cc00,1429346:1429365|offset_155|444444&amp;v=1429293:1429565&amp;c=444444", "offset 110")</f>
        <v>offset 110</v>
      </c>
    </row>
    <row r="4526" customFormat="false" ht="12.8" hidden="false" customHeight="false" outlineLevel="0" collapsed="false">
      <c r="A4526" s="0" t="s">
        <v>12</v>
      </c>
      <c r="B4526" s="0" t="n">
        <v>1429345</v>
      </c>
      <c r="C4526" s="0" t="n">
        <v>1429365</v>
      </c>
      <c r="D4526" s="0" t="s">
        <v>15075</v>
      </c>
      <c r="E4526" s="0" t="s">
        <v>75</v>
      </c>
      <c r="F4526" s="0" t="s">
        <v>90</v>
      </c>
      <c r="G4526" s="0" t="s">
        <v>16</v>
      </c>
      <c r="H4526" s="0" t="n">
        <v>155</v>
      </c>
      <c r="I4526" s="0" t="s">
        <v>15085</v>
      </c>
      <c r="J4526" s="0" t="s">
        <v>15086</v>
      </c>
      <c r="K4526" s="0" t="s">
        <v>15087</v>
      </c>
      <c r="L4526" s="0" t="str">
        <f aca="false">HYPERLINK("https://www.ncbi.nlm.nih.gov/nuccore/CP000058.1?report=graph&amp;tracks=[key:gene_model_track,Options:GeneOnly]&amp;mk=1429494:1429513|offset_7|444444,1429443:1429462|offset_58|444444,1429391:1429410|offset_110|444444,1429346:1429365|offset_155|00cc00&amp;v=1429293:1429565&amp;c=444444", "offset 155")</f>
        <v>offset 155</v>
      </c>
    </row>
    <row r="4527" customFormat="false" ht="12.8" hidden="false" customHeight="false" outlineLevel="0" collapsed="false">
      <c r="A4527" s="0" t="s">
        <v>12</v>
      </c>
      <c r="B4527" s="0" t="n">
        <v>1430401</v>
      </c>
      <c r="C4527" s="0" t="n">
        <v>1430421</v>
      </c>
      <c r="D4527" s="0" t="s">
        <v>15088</v>
      </c>
      <c r="E4527" s="0" t="s">
        <v>75</v>
      </c>
      <c r="F4527" s="0" t="s">
        <v>90</v>
      </c>
      <c r="G4527" s="0" t="s">
        <v>20</v>
      </c>
      <c r="H4527" s="0" t="n">
        <v>11</v>
      </c>
      <c r="I4527" s="0" t="s">
        <v>15089</v>
      </c>
      <c r="J4527" s="0" t="s">
        <v>15090</v>
      </c>
      <c r="K4527" s="0" t="s">
        <v>15091</v>
      </c>
      <c r="L4527" s="0" t="str">
        <f aca="false">HYPERLINK("https://www.ncbi.nlm.nih.gov/nuccore/CP000058.1?report=graph&amp;tracks=[key:gene_model_track,Options:GeneOnly]&amp;mk=1430402:1430421|offset_11|00cc00,1430382:1430401|offset_31|444444,1430337:1430356|offset_76|444444,1430307:1430326|offset_106|444444&amp;v=1430201:1430526&amp;c=444444", "offset 11")</f>
        <v>offset 11</v>
      </c>
    </row>
    <row r="4528" customFormat="false" ht="12.8" hidden="false" customHeight="false" outlineLevel="0" collapsed="false">
      <c r="A4528" s="0" t="s">
        <v>12</v>
      </c>
      <c r="B4528" s="0" t="n">
        <v>1430381</v>
      </c>
      <c r="C4528" s="0" t="n">
        <v>1430401</v>
      </c>
      <c r="D4528" s="0" t="s">
        <v>15088</v>
      </c>
      <c r="E4528" s="0" t="s">
        <v>75</v>
      </c>
      <c r="F4528" s="0" t="s">
        <v>90</v>
      </c>
      <c r="G4528" s="0" t="s">
        <v>16</v>
      </c>
      <c r="H4528" s="0" t="n">
        <v>31</v>
      </c>
      <c r="I4528" s="0" t="s">
        <v>15092</v>
      </c>
      <c r="J4528" s="0" t="s">
        <v>15093</v>
      </c>
      <c r="K4528" s="0" t="s">
        <v>15094</v>
      </c>
      <c r="L4528" s="0" t="str">
        <f aca="false">HYPERLINK("https://www.ncbi.nlm.nih.gov/nuccore/CP000058.1?report=graph&amp;tracks=[key:gene_model_track,Options:GeneOnly]&amp;mk=1430402:1430421|offset_11|444444,1430382:1430401|offset_31|00cc00,1430337:1430356|offset_76|444444,1430307:1430326|offset_106|444444&amp;v=1430201:1430526&amp;c=444444", "offset 31")</f>
        <v>offset 31</v>
      </c>
    </row>
    <row r="4529" customFormat="false" ht="12.8" hidden="false" customHeight="false" outlineLevel="0" collapsed="false">
      <c r="A4529" s="0" t="s">
        <v>12</v>
      </c>
      <c r="B4529" s="0" t="n">
        <v>1430336</v>
      </c>
      <c r="C4529" s="0" t="n">
        <v>1430356</v>
      </c>
      <c r="D4529" s="0" t="s">
        <v>15088</v>
      </c>
      <c r="E4529" s="0" t="s">
        <v>75</v>
      </c>
      <c r="F4529" s="0" t="s">
        <v>90</v>
      </c>
      <c r="G4529" s="0" t="s">
        <v>32</v>
      </c>
      <c r="H4529" s="0" t="n">
        <v>76</v>
      </c>
      <c r="I4529" s="0" t="s">
        <v>15095</v>
      </c>
      <c r="J4529" s="0" t="s">
        <v>15096</v>
      </c>
      <c r="K4529" s="0" t="s">
        <v>15097</v>
      </c>
      <c r="L4529" s="0" t="str">
        <f aca="false">HYPERLINK("https://www.ncbi.nlm.nih.gov/nuccore/CP000058.1?report=graph&amp;tracks=[key:gene_model_track,Options:GeneOnly]&amp;mk=1430402:1430421|offset_11|444444,1430382:1430401|offset_31|444444,1430337:1430356|offset_76|00cc00,1430307:1430326|offset_106|444444&amp;v=1430201:1430526&amp;c=444444", "offset 76")</f>
        <v>offset 76</v>
      </c>
    </row>
    <row r="4530" customFormat="false" ht="12.8" hidden="false" customHeight="false" outlineLevel="0" collapsed="false">
      <c r="A4530" s="0" t="s">
        <v>12</v>
      </c>
      <c r="B4530" s="0" t="n">
        <v>1430306</v>
      </c>
      <c r="C4530" s="0" t="n">
        <v>1430326</v>
      </c>
      <c r="D4530" s="0" t="s">
        <v>15088</v>
      </c>
      <c r="E4530" s="0" t="s">
        <v>75</v>
      </c>
      <c r="F4530" s="0" t="s">
        <v>90</v>
      </c>
      <c r="G4530" s="0" t="s">
        <v>16</v>
      </c>
      <c r="H4530" s="0" t="n">
        <v>106</v>
      </c>
      <c r="I4530" s="0" t="s">
        <v>15098</v>
      </c>
      <c r="J4530" s="0" t="s">
        <v>15099</v>
      </c>
      <c r="K4530" s="0" t="s">
        <v>15100</v>
      </c>
      <c r="L4530" s="0" t="str">
        <f aca="false">HYPERLINK("https://www.ncbi.nlm.nih.gov/nuccore/CP000058.1?report=graph&amp;tracks=[key:gene_model_track,Options:GeneOnly]&amp;mk=1430402:1430421|offset_11|444444,1430382:1430401|offset_31|444444,1430337:1430356|offset_76|444444,1430307:1430326|offset_106|00cc00&amp;v=1430201:1430526&amp;c=444444", "offset 106")</f>
        <v>offset 106</v>
      </c>
    </row>
    <row r="4531" customFormat="false" ht="12.8" hidden="false" customHeight="false" outlineLevel="0" collapsed="false">
      <c r="A4531" s="0" t="s">
        <v>12</v>
      </c>
      <c r="B4531" s="0" t="n">
        <v>1430590</v>
      </c>
      <c r="C4531" s="0" t="n">
        <v>1430610</v>
      </c>
      <c r="D4531" s="0" t="s">
        <v>15101</v>
      </c>
      <c r="E4531" s="0" t="s">
        <v>75</v>
      </c>
      <c r="F4531" s="0" t="s">
        <v>15</v>
      </c>
      <c r="G4531" s="0" t="s">
        <v>36</v>
      </c>
      <c r="H4531" s="0" t="n">
        <v>0</v>
      </c>
      <c r="I4531" s="0" t="s">
        <v>15102</v>
      </c>
      <c r="J4531" s="0" t="s">
        <v>15103</v>
      </c>
      <c r="K4531" s="0" t="s">
        <v>15104</v>
      </c>
      <c r="L4531" s="0" t="str">
        <f aca="false">HYPERLINK("https://www.ncbi.nlm.nih.gov/nuccore/CP000058.1?report=graph&amp;tracks=[key:gene_model_track,Options:GeneOnly]&amp;mk=1430591:1430610|offset_0|00cc00,1430662:1430681|offset_71|444444,1430689:1430708|offset_98|444444,1430733:1430752|offset_142|444444&amp;v=1430390:1430952&amp;c=444444", "offset 0")</f>
        <v>offset 0</v>
      </c>
    </row>
    <row r="4532" customFormat="false" ht="12.8" hidden="false" customHeight="false" outlineLevel="0" collapsed="false">
      <c r="A4532" s="0" t="s">
        <v>12</v>
      </c>
      <c r="B4532" s="0" t="n">
        <v>1430661</v>
      </c>
      <c r="C4532" s="0" t="n">
        <v>1430681</v>
      </c>
      <c r="D4532" s="0" t="s">
        <v>15101</v>
      </c>
      <c r="E4532" s="0" t="s">
        <v>75</v>
      </c>
      <c r="F4532" s="0" t="s">
        <v>15</v>
      </c>
      <c r="G4532" s="0" t="s">
        <v>36</v>
      </c>
      <c r="H4532" s="0" t="n">
        <v>71</v>
      </c>
      <c r="I4532" s="0" t="s">
        <v>15105</v>
      </c>
      <c r="J4532" s="0" t="s">
        <v>15106</v>
      </c>
      <c r="K4532" s="0" t="s">
        <v>15107</v>
      </c>
      <c r="L4532" s="0" t="str">
        <f aca="false">HYPERLINK("https://www.ncbi.nlm.nih.gov/nuccore/CP000058.1?report=graph&amp;tracks=[key:gene_model_track,Options:GeneOnly]&amp;mk=1430591:1430610|offset_0|444444,1430662:1430681|offset_71|00cc00,1430689:1430708|offset_98|444444,1430733:1430752|offset_142|444444&amp;v=1430390:1430952&amp;c=444444", "offset 71")</f>
        <v>offset 71</v>
      </c>
    </row>
    <row r="4533" customFormat="false" ht="12.8" hidden="false" customHeight="false" outlineLevel="0" collapsed="false">
      <c r="A4533" s="0" t="s">
        <v>12</v>
      </c>
      <c r="B4533" s="0" t="n">
        <v>1430688</v>
      </c>
      <c r="C4533" s="0" t="n">
        <v>1430708</v>
      </c>
      <c r="D4533" s="0" t="s">
        <v>15101</v>
      </c>
      <c r="E4533" s="0" t="s">
        <v>75</v>
      </c>
      <c r="F4533" s="0" t="s">
        <v>15</v>
      </c>
      <c r="G4533" s="0" t="s">
        <v>32</v>
      </c>
      <c r="H4533" s="0" t="n">
        <v>98</v>
      </c>
      <c r="I4533" s="0" t="s">
        <v>15108</v>
      </c>
      <c r="J4533" s="0" t="s">
        <v>15109</v>
      </c>
      <c r="K4533" s="0" t="s">
        <v>15110</v>
      </c>
      <c r="L4533" s="0" t="str">
        <f aca="false">HYPERLINK("https://www.ncbi.nlm.nih.gov/nuccore/CP000058.1?report=graph&amp;tracks=[key:gene_model_track,Options:GeneOnly]&amp;mk=1430591:1430610|offset_0|444444,1430662:1430681|offset_71|444444,1430689:1430708|offset_98|00cc00,1430733:1430752|offset_142|444444&amp;v=1430390:1430952&amp;c=444444", "offset 98")</f>
        <v>offset 98</v>
      </c>
    </row>
    <row r="4534" customFormat="false" ht="12.8" hidden="false" customHeight="false" outlineLevel="0" collapsed="false">
      <c r="A4534" s="0" t="s">
        <v>12</v>
      </c>
      <c r="B4534" s="0" t="n">
        <v>1430732</v>
      </c>
      <c r="C4534" s="0" t="n">
        <v>1430752</v>
      </c>
      <c r="D4534" s="0" t="s">
        <v>15101</v>
      </c>
      <c r="E4534" s="0" t="s">
        <v>75</v>
      </c>
      <c r="F4534" s="0" t="s">
        <v>15</v>
      </c>
      <c r="G4534" s="0" t="s">
        <v>32</v>
      </c>
      <c r="H4534" s="0" t="n">
        <v>142</v>
      </c>
      <c r="I4534" s="0" t="s">
        <v>15111</v>
      </c>
      <c r="J4534" s="0" t="s">
        <v>15112</v>
      </c>
      <c r="K4534" s="0" t="s">
        <v>15113</v>
      </c>
      <c r="L4534" s="0" t="str">
        <f aca="false">HYPERLINK("https://www.ncbi.nlm.nih.gov/nuccore/CP000058.1?report=graph&amp;tracks=[key:gene_model_track,Options:GeneOnly]&amp;mk=1430591:1430610|offset_0|444444,1430662:1430681|offset_71|444444,1430689:1430708|offset_98|444444,1430733:1430752|offset_142|00cc00&amp;v=1430390:1430952&amp;c=444444", "offset 142")</f>
        <v>offset 142</v>
      </c>
    </row>
    <row r="4535" customFormat="false" ht="12.8" hidden="false" customHeight="false" outlineLevel="0" collapsed="false">
      <c r="A4535" s="0" t="s">
        <v>12</v>
      </c>
      <c r="B4535" s="0" t="n">
        <v>1430966</v>
      </c>
      <c r="C4535" s="0" t="n">
        <v>1430986</v>
      </c>
      <c r="D4535" s="0" t="s">
        <v>15114</v>
      </c>
      <c r="E4535" s="0" t="s">
        <v>75</v>
      </c>
      <c r="F4535" s="0" t="s">
        <v>15</v>
      </c>
      <c r="G4535" s="0" t="s">
        <v>32</v>
      </c>
      <c r="H4535" s="0" t="n">
        <v>16</v>
      </c>
      <c r="I4535" s="0" t="s">
        <v>15115</v>
      </c>
      <c r="J4535" s="0" t="s">
        <v>15116</v>
      </c>
      <c r="K4535" s="0" t="s">
        <v>15117</v>
      </c>
      <c r="L4535" s="0" t="str">
        <f aca="false">HYPERLINK("https://www.ncbi.nlm.nih.gov/nuccore/CP000058.1?report=graph&amp;tracks=[key:gene_model_track,Options:GeneOnly]&amp;mk=1430967:1430986|offset_16|00cc00,1431032:1431051|offset_81|444444,1431102:1431121|offset_151|444444,1431134:1431153|offset_183|444444&amp;v=1430766:1431353&amp;c=444444", "offset 16")</f>
        <v>offset 16</v>
      </c>
    </row>
    <row r="4536" customFormat="false" ht="12.8" hidden="false" customHeight="false" outlineLevel="0" collapsed="false">
      <c r="A4536" s="0" t="s">
        <v>12</v>
      </c>
      <c r="B4536" s="0" t="n">
        <v>1431031</v>
      </c>
      <c r="C4536" s="0" t="n">
        <v>1431051</v>
      </c>
      <c r="D4536" s="0" t="s">
        <v>15114</v>
      </c>
      <c r="E4536" s="0" t="s">
        <v>75</v>
      </c>
      <c r="F4536" s="0" t="s">
        <v>15</v>
      </c>
      <c r="G4536" s="0" t="s">
        <v>16</v>
      </c>
      <c r="H4536" s="0" t="n">
        <v>81</v>
      </c>
      <c r="I4536" s="0" t="s">
        <v>15118</v>
      </c>
      <c r="J4536" s="0" t="s">
        <v>15119</v>
      </c>
      <c r="K4536" s="0" t="s">
        <v>15120</v>
      </c>
      <c r="L4536" s="0" t="str">
        <f aca="false">HYPERLINK("https://www.ncbi.nlm.nih.gov/nuccore/CP000058.1?report=graph&amp;tracks=[key:gene_model_track,Options:GeneOnly]&amp;mk=1430967:1430986|offset_16|444444,1431032:1431051|offset_81|00cc00,1431102:1431121|offset_151|444444,1431134:1431153|offset_183|444444&amp;v=1430766:1431353&amp;c=444444", "offset 81")</f>
        <v>offset 81</v>
      </c>
    </row>
    <row r="4537" customFormat="false" ht="12.8" hidden="false" customHeight="false" outlineLevel="0" collapsed="false">
      <c r="A4537" s="0" t="s">
        <v>12</v>
      </c>
      <c r="B4537" s="0" t="n">
        <v>1431101</v>
      </c>
      <c r="C4537" s="0" t="n">
        <v>1431121</v>
      </c>
      <c r="D4537" s="0" t="s">
        <v>15114</v>
      </c>
      <c r="E4537" s="0" t="s">
        <v>75</v>
      </c>
      <c r="F4537" s="0" t="s">
        <v>15</v>
      </c>
      <c r="G4537" s="0" t="s">
        <v>16</v>
      </c>
      <c r="H4537" s="0" t="n">
        <v>151</v>
      </c>
      <c r="I4537" s="0" t="s">
        <v>15121</v>
      </c>
      <c r="J4537" s="0" t="s">
        <v>15122</v>
      </c>
      <c r="K4537" s="0" t="s">
        <v>15123</v>
      </c>
      <c r="L4537" s="0" t="str">
        <f aca="false">HYPERLINK("https://www.ncbi.nlm.nih.gov/nuccore/CP000058.1?report=graph&amp;tracks=[key:gene_model_track,Options:GeneOnly]&amp;mk=1430967:1430986|offset_16|444444,1431032:1431051|offset_81|444444,1431102:1431121|offset_151|00cc00,1431134:1431153|offset_183|444444&amp;v=1430766:1431353&amp;c=444444", "offset 151")</f>
        <v>offset 151</v>
      </c>
    </row>
    <row r="4538" customFormat="false" ht="12.8" hidden="false" customHeight="false" outlineLevel="0" collapsed="false">
      <c r="A4538" s="0" t="s">
        <v>12</v>
      </c>
      <c r="B4538" s="0" t="n">
        <v>1431133</v>
      </c>
      <c r="C4538" s="0" t="n">
        <v>1431153</v>
      </c>
      <c r="D4538" s="0" t="s">
        <v>15114</v>
      </c>
      <c r="E4538" s="0" t="s">
        <v>75</v>
      </c>
      <c r="F4538" s="0" t="s">
        <v>15</v>
      </c>
      <c r="G4538" s="0" t="s">
        <v>36</v>
      </c>
      <c r="H4538" s="0" t="n">
        <v>183</v>
      </c>
      <c r="I4538" s="0" t="s">
        <v>15124</v>
      </c>
      <c r="J4538" s="0" t="s">
        <v>15125</v>
      </c>
      <c r="K4538" s="0" t="s">
        <v>15126</v>
      </c>
      <c r="L4538" s="0" t="str">
        <f aca="false">HYPERLINK("https://www.ncbi.nlm.nih.gov/nuccore/CP000058.1?report=graph&amp;tracks=[key:gene_model_track,Options:GeneOnly]&amp;mk=1430967:1430986|offset_16|444444,1431032:1431051|offset_81|444444,1431102:1431121|offset_151|444444,1431134:1431153|offset_183|00cc00&amp;v=1430766:1431353&amp;c=444444", "offset 183")</f>
        <v>offset 183</v>
      </c>
    </row>
    <row r="4539" customFormat="false" ht="12.8" hidden="false" customHeight="false" outlineLevel="0" collapsed="false">
      <c r="A4539" s="0" t="s">
        <v>12</v>
      </c>
      <c r="B4539" s="0" t="n">
        <v>1432204</v>
      </c>
      <c r="C4539" s="0" t="n">
        <v>1432224</v>
      </c>
      <c r="D4539" s="0" t="s">
        <v>15127</v>
      </c>
      <c r="E4539" s="0" t="s">
        <v>15128</v>
      </c>
      <c r="F4539" s="0" t="s">
        <v>15</v>
      </c>
      <c r="G4539" s="0" t="s">
        <v>20</v>
      </c>
      <c r="H4539" s="0" t="n">
        <v>9</v>
      </c>
      <c r="I4539" s="0" t="s">
        <v>15129</v>
      </c>
      <c r="J4539" s="0" t="s">
        <v>15130</v>
      </c>
      <c r="K4539" s="0" t="s">
        <v>15131</v>
      </c>
      <c r="L4539" s="0" t="str">
        <f aca="false">HYPERLINK("https://www.ncbi.nlm.nih.gov/nuccore/CP000058.1?report=graph&amp;tracks=[key:gene_model_track,Options:GeneOnly]&amp;mk=1432205:1432224|offset_9|00cc00,1432239:1432258|offset_43|444444,1432271:1432290|offset_75|444444,1432301:1432320|offset_105|444444&amp;v=1432004:1432520&amp;c=444444", "offset 9")</f>
        <v>offset 9</v>
      </c>
    </row>
    <row r="4540" customFormat="false" ht="12.8" hidden="false" customHeight="false" outlineLevel="0" collapsed="false">
      <c r="A4540" s="0" t="s">
        <v>12</v>
      </c>
      <c r="B4540" s="0" t="n">
        <v>1432238</v>
      </c>
      <c r="C4540" s="0" t="n">
        <v>1432258</v>
      </c>
      <c r="D4540" s="0" t="s">
        <v>15127</v>
      </c>
      <c r="E4540" s="0" t="s">
        <v>15128</v>
      </c>
      <c r="F4540" s="0" t="s">
        <v>15</v>
      </c>
      <c r="G4540" s="0" t="s">
        <v>36</v>
      </c>
      <c r="H4540" s="0" t="n">
        <v>43</v>
      </c>
      <c r="I4540" s="0" t="s">
        <v>15132</v>
      </c>
      <c r="J4540" s="0" t="s">
        <v>15133</v>
      </c>
      <c r="K4540" s="0" t="s">
        <v>15134</v>
      </c>
      <c r="L4540" s="0" t="str">
        <f aca="false">HYPERLINK("https://www.ncbi.nlm.nih.gov/nuccore/CP000058.1?report=graph&amp;tracks=[key:gene_model_track,Options:GeneOnly]&amp;mk=1432205:1432224|offset_9|444444,1432239:1432258|offset_43|00cc00,1432271:1432290|offset_75|444444,1432301:1432320|offset_105|444444&amp;v=1432004:1432520&amp;c=444444", "offset 43")</f>
        <v>offset 43</v>
      </c>
    </row>
    <row r="4541" customFormat="false" ht="12.8" hidden="false" customHeight="false" outlineLevel="0" collapsed="false">
      <c r="A4541" s="0" t="s">
        <v>12</v>
      </c>
      <c r="B4541" s="0" t="n">
        <v>1432270</v>
      </c>
      <c r="C4541" s="0" t="n">
        <v>1432290</v>
      </c>
      <c r="D4541" s="0" t="s">
        <v>15127</v>
      </c>
      <c r="E4541" s="0" t="s">
        <v>15128</v>
      </c>
      <c r="F4541" s="0" t="s">
        <v>15</v>
      </c>
      <c r="G4541" s="0" t="s">
        <v>36</v>
      </c>
      <c r="H4541" s="0" t="n">
        <v>75</v>
      </c>
      <c r="I4541" s="0" t="s">
        <v>15135</v>
      </c>
      <c r="J4541" s="0" t="s">
        <v>15136</v>
      </c>
      <c r="K4541" s="0" t="s">
        <v>15137</v>
      </c>
      <c r="L4541" s="0" t="str">
        <f aca="false">HYPERLINK("https://www.ncbi.nlm.nih.gov/nuccore/CP000058.1?report=graph&amp;tracks=[key:gene_model_track,Options:GeneOnly]&amp;mk=1432205:1432224|offset_9|444444,1432239:1432258|offset_43|444444,1432271:1432290|offset_75|00cc00,1432301:1432320|offset_105|444444&amp;v=1432004:1432520&amp;c=444444", "offset 75")</f>
        <v>offset 75</v>
      </c>
    </row>
    <row r="4542" customFormat="false" ht="12.8" hidden="false" customHeight="false" outlineLevel="0" collapsed="false">
      <c r="A4542" s="0" t="s">
        <v>12</v>
      </c>
      <c r="B4542" s="0" t="n">
        <v>1432300</v>
      </c>
      <c r="C4542" s="0" t="n">
        <v>1432320</v>
      </c>
      <c r="D4542" s="0" t="s">
        <v>15127</v>
      </c>
      <c r="E4542" s="0" t="s">
        <v>15128</v>
      </c>
      <c r="F4542" s="0" t="s">
        <v>15</v>
      </c>
      <c r="G4542" s="0" t="s">
        <v>36</v>
      </c>
      <c r="H4542" s="0" t="n">
        <v>105</v>
      </c>
      <c r="I4542" s="0" t="s">
        <v>15138</v>
      </c>
      <c r="J4542" s="0" t="s">
        <v>15139</v>
      </c>
      <c r="K4542" s="0" t="s">
        <v>15140</v>
      </c>
      <c r="L4542" s="0" t="str">
        <f aca="false">HYPERLINK("https://www.ncbi.nlm.nih.gov/nuccore/CP000058.1?report=graph&amp;tracks=[key:gene_model_track,Options:GeneOnly]&amp;mk=1432205:1432224|offset_9|444444,1432239:1432258|offset_43|444444,1432271:1432290|offset_75|444444,1432301:1432320|offset_105|00cc00&amp;v=1432004:1432520&amp;c=444444", "offset 105")</f>
        <v>offset 105</v>
      </c>
    </row>
    <row r="4543" customFormat="false" ht="12.8" hidden="false" customHeight="false" outlineLevel="0" collapsed="false">
      <c r="A4543" s="0" t="s">
        <v>12</v>
      </c>
      <c r="B4543" s="0" t="n">
        <v>1434028</v>
      </c>
      <c r="C4543" s="0" t="n">
        <v>1434048</v>
      </c>
      <c r="D4543" s="0" t="s">
        <v>15141</v>
      </c>
      <c r="E4543" s="0" t="s">
        <v>75</v>
      </c>
      <c r="F4543" s="0" t="s">
        <v>90</v>
      </c>
      <c r="G4543" s="0" t="s">
        <v>36</v>
      </c>
      <c r="H4543" s="0" t="n">
        <v>6</v>
      </c>
      <c r="I4543" s="0" t="s">
        <v>15142</v>
      </c>
      <c r="J4543" s="0" t="s">
        <v>15143</v>
      </c>
      <c r="K4543" s="0" t="s">
        <v>15144</v>
      </c>
      <c r="L4543" s="0" t="str">
        <f aca="false">HYPERLINK("https://www.ncbi.nlm.nih.gov/nuccore/CP000058.1?report=graph&amp;tracks=[key:gene_model_track,Options:GeneOnly]&amp;mk=1434029:1434048|offset_6|00cc00,1434007:1434026|offset_28|444444,1433965:1433984|offset_70|444444,1433927:1433946|offset_108|444444&amp;v=1433828:1434146&amp;c=444444", "offset 6")</f>
        <v>offset 6</v>
      </c>
    </row>
    <row r="4544" customFormat="false" ht="12.8" hidden="false" customHeight="false" outlineLevel="0" collapsed="false">
      <c r="A4544" s="0" t="s">
        <v>12</v>
      </c>
      <c r="B4544" s="0" t="n">
        <v>1434006</v>
      </c>
      <c r="C4544" s="0" t="n">
        <v>1434026</v>
      </c>
      <c r="D4544" s="0" t="s">
        <v>15141</v>
      </c>
      <c r="E4544" s="0" t="s">
        <v>75</v>
      </c>
      <c r="F4544" s="0" t="s">
        <v>90</v>
      </c>
      <c r="G4544" s="0" t="s">
        <v>36</v>
      </c>
      <c r="H4544" s="0" t="n">
        <v>28</v>
      </c>
      <c r="I4544" s="0" t="s">
        <v>15145</v>
      </c>
      <c r="J4544" s="0" t="s">
        <v>15146</v>
      </c>
      <c r="K4544" s="0" t="s">
        <v>15147</v>
      </c>
      <c r="L4544" s="0" t="str">
        <f aca="false">HYPERLINK("https://www.ncbi.nlm.nih.gov/nuccore/CP000058.1?report=graph&amp;tracks=[key:gene_model_track,Options:GeneOnly]&amp;mk=1434029:1434048|offset_6|444444,1434007:1434026|offset_28|00cc00,1433965:1433984|offset_70|444444,1433927:1433946|offset_108|444444&amp;v=1433828:1434146&amp;c=444444", "offset 28")</f>
        <v>offset 28</v>
      </c>
    </row>
    <row r="4545" customFormat="false" ht="12.8" hidden="false" customHeight="false" outlineLevel="0" collapsed="false">
      <c r="A4545" s="0" t="s">
        <v>12</v>
      </c>
      <c r="B4545" s="0" t="n">
        <v>1433964</v>
      </c>
      <c r="C4545" s="0" t="n">
        <v>1433984</v>
      </c>
      <c r="D4545" s="0" t="s">
        <v>15141</v>
      </c>
      <c r="E4545" s="0" t="s">
        <v>75</v>
      </c>
      <c r="F4545" s="0" t="s">
        <v>90</v>
      </c>
      <c r="G4545" s="0" t="s">
        <v>32</v>
      </c>
      <c r="H4545" s="0" t="n">
        <v>70</v>
      </c>
      <c r="I4545" s="0" t="s">
        <v>15148</v>
      </c>
      <c r="J4545" s="0" t="s">
        <v>15149</v>
      </c>
      <c r="K4545" s="0" t="s">
        <v>15150</v>
      </c>
      <c r="L4545" s="0" t="str">
        <f aca="false">HYPERLINK("https://www.ncbi.nlm.nih.gov/nuccore/CP000058.1?report=graph&amp;tracks=[key:gene_model_track,Options:GeneOnly]&amp;mk=1434029:1434048|offset_6|444444,1434007:1434026|offset_28|444444,1433965:1433984|offset_70|00cc00,1433927:1433946|offset_108|444444&amp;v=1433828:1434146&amp;c=444444", "offset 70")</f>
        <v>offset 70</v>
      </c>
    </row>
    <row r="4546" customFormat="false" ht="12.8" hidden="false" customHeight="false" outlineLevel="0" collapsed="false">
      <c r="A4546" s="0" t="s">
        <v>12</v>
      </c>
      <c r="B4546" s="0" t="n">
        <v>1433926</v>
      </c>
      <c r="C4546" s="0" t="n">
        <v>1433946</v>
      </c>
      <c r="D4546" s="0" t="s">
        <v>15141</v>
      </c>
      <c r="E4546" s="0" t="s">
        <v>75</v>
      </c>
      <c r="F4546" s="0" t="s">
        <v>90</v>
      </c>
      <c r="G4546" s="0" t="s">
        <v>20</v>
      </c>
      <c r="H4546" s="0" t="n">
        <v>108</v>
      </c>
      <c r="I4546" s="0" t="s">
        <v>15151</v>
      </c>
      <c r="J4546" s="0" t="s">
        <v>15152</v>
      </c>
      <c r="K4546" s="0" t="s">
        <v>15153</v>
      </c>
      <c r="L4546" s="0" t="str">
        <f aca="false">HYPERLINK("https://www.ncbi.nlm.nih.gov/nuccore/CP000058.1?report=graph&amp;tracks=[key:gene_model_track,Options:GeneOnly]&amp;mk=1434029:1434048|offset_6|444444,1434007:1434026|offset_28|444444,1433965:1433984|offset_70|444444,1433927:1433946|offset_108|00cc00&amp;v=1433828:1434146&amp;c=444444", "offset 108")</f>
        <v>offset 108</v>
      </c>
    </row>
    <row r="4547" customFormat="false" ht="12.8" hidden="false" customHeight="false" outlineLevel="0" collapsed="false">
      <c r="A4547" s="0" t="s">
        <v>12</v>
      </c>
      <c r="B4547" s="0" t="n">
        <v>1434394</v>
      </c>
      <c r="C4547" s="0" t="n">
        <v>1434414</v>
      </c>
      <c r="D4547" s="0" t="s">
        <v>15154</v>
      </c>
      <c r="E4547" s="0" t="s">
        <v>75</v>
      </c>
      <c r="F4547" s="0" t="s">
        <v>15</v>
      </c>
      <c r="G4547" s="0" t="s">
        <v>20</v>
      </c>
      <c r="H4547" s="0" t="n">
        <v>8</v>
      </c>
      <c r="I4547" s="0" t="s">
        <v>15155</v>
      </c>
      <c r="J4547" s="0" t="s">
        <v>15156</v>
      </c>
      <c r="K4547" s="0" t="s">
        <v>15157</v>
      </c>
      <c r="L4547" s="0" t="str">
        <f aca="false">HYPERLINK("https://www.ncbi.nlm.nih.gov/nuccore/CP000058.1?report=graph&amp;tracks=[key:gene_model_track,Options:GeneOnly]&amp;mk=1434395:1434414|offset_8|00cc00,1434415:1434434|offset_28|444444,1434436:1434455|offset_49|444444,1434469:1434488|offset_82|444444&amp;v=1434194:1434688&amp;c=444444", "offset 8")</f>
        <v>offset 8</v>
      </c>
    </row>
    <row r="4548" customFormat="false" ht="12.8" hidden="false" customHeight="false" outlineLevel="0" collapsed="false">
      <c r="A4548" s="0" t="s">
        <v>12</v>
      </c>
      <c r="B4548" s="0" t="n">
        <v>1434414</v>
      </c>
      <c r="C4548" s="0" t="n">
        <v>1434434</v>
      </c>
      <c r="D4548" s="0" t="s">
        <v>15154</v>
      </c>
      <c r="E4548" s="0" t="s">
        <v>75</v>
      </c>
      <c r="F4548" s="0" t="s">
        <v>15</v>
      </c>
      <c r="G4548" s="0" t="s">
        <v>16</v>
      </c>
      <c r="H4548" s="0" t="n">
        <v>28</v>
      </c>
      <c r="I4548" s="0" t="s">
        <v>15158</v>
      </c>
      <c r="J4548" s="0" t="s">
        <v>15159</v>
      </c>
      <c r="K4548" s="0" t="s">
        <v>15160</v>
      </c>
      <c r="L4548" s="0" t="str">
        <f aca="false">HYPERLINK("https://www.ncbi.nlm.nih.gov/nuccore/CP000058.1?report=graph&amp;tracks=[key:gene_model_track,Options:GeneOnly]&amp;mk=1434395:1434414|offset_8|444444,1434415:1434434|offset_28|00cc00,1434436:1434455|offset_49|444444,1434469:1434488|offset_82|444444&amp;v=1434194:1434688&amp;c=444444", "offset 28")</f>
        <v>offset 28</v>
      </c>
    </row>
    <row r="4549" customFormat="false" ht="12.8" hidden="false" customHeight="false" outlineLevel="0" collapsed="false">
      <c r="A4549" s="0" t="s">
        <v>12</v>
      </c>
      <c r="B4549" s="0" t="n">
        <v>1434435</v>
      </c>
      <c r="C4549" s="0" t="n">
        <v>1434455</v>
      </c>
      <c r="D4549" s="0" t="s">
        <v>15154</v>
      </c>
      <c r="E4549" s="0" t="s">
        <v>75</v>
      </c>
      <c r="F4549" s="0" t="s">
        <v>15</v>
      </c>
      <c r="G4549" s="0" t="s">
        <v>32</v>
      </c>
      <c r="H4549" s="0" t="n">
        <v>49</v>
      </c>
      <c r="I4549" s="0" t="s">
        <v>15161</v>
      </c>
      <c r="J4549" s="0" t="s">
        <v>15162</v>
      </c>
      <c r="K4549" s="0" t="s">
        <v>15163</v>
      </c>
      <c r="L4549" s="0" t="str">
        <f aca="false">HYPERLINK("https://www.ncbi.nlm.nih.gov/nuccore/CP000058.1?report=graph&amp;tracks=[key:gene_model_track,Options:GeneOnly]&amp;mk=1434395:1434414|offset_8|444444,1434415:1434434|offset_28|444444,1434436:1434455|offset_49|00cc00,1434469:1434488|offset_82|444444&amp;v=1434194:1434688&amp;c=444444", "offset 49")</f>
        <v>offset 49</v>
      </c>
    </row>
    <row r="4550" customFormat="false" ht="12.8" hidden="false" customHeight="false" outlineLevel="0" collapsed="false">
      <c r="A4550" s="0" t="s">
        <v>12</v>
      </c>
      <c r="B4550" s="0" t="n">
        <v>1434468</v>
      </c>
      <c r="C4550" s="0" t="n">
        <v>1434488</v>
      </c>
      <c r="D4550" s="0" t="s">
        <v>15154</v>
      </c>
      <c r="E4550" s="0" t="s">
        <v>75</v>
      </c>
      <c r="F4550" s="0" t="s">
        <v>15</v>
      </c>
      <c r="G4550" s="0" t="s">
        <v>32</v>
      </c>
      <c r="H4550" s="0" t="n">
        <v>82</v>
      </c>
      <c r="I4550" s="0" t="s">
        <v>15164</v>
      </c>
      <c r="J4550" s="0" t="s">
        <v>15165</v>
      </c>
      <c r="K4550" s="0" t="s">
        <v>15166</v>
      </c>
      <c r="L4550" s="0" t="str">
        <f aca="false">HYPERLINK("https://www.ncbi.nlm.nih.gov/nuccore/CP000058.1?report=graph&amp;tracks=[key:gene_model_track,Options:GeneOnly]&amp;mk=1434395:1434414|offset_8|444444,1434415:1434434|offset_28|444444,1434436:1434455|offset_49|444444,1434469:1434488|offset_82|00cc00&amp;v=1434194:1434688&amp;c=444444", "offset 82")</f>
        <v>offset 82</v>
      </c>
    </row>
    <row r="4551" customFormat="false" ht="12.8" hidden="false" customHeight="false" outlineLevel="0" collapsed="false">
      <c r="A4551" s="0" t="s">
        <v>12</v>
      </c>
      <c r="B4551" s="0" t="n">
        <v>1436270</v>
      </c>
      <c r="C4551" s="0" t="n">
        <v>1436290</v>
      </c>
      <c r="D4551" s="0" t="s">
        <v>15167</v>
      </c>
      <c r="E4551" s="0" t="s">
        <v>75</v>
      </c>
      <c r="F4551" s="0" t="s">
        <v>15</v>
      </c>
      <c r="G4551" s="0" t="s">
        <v>36</v>
      </c>
      <c r="H4551" s="0" t="n">
        <v>0</v>
      </c>
      <c r="I4551" s="0" t="s">
        <v>15168</v>
      </c>
      <c r="J4551" s="0" t="s">
        <v>15169</v>
      </c>
      <c r="K4551" s="0" t="s">
        <v>15170</v>
      </c>
      <c r="L4551" s="0" t="str">
        <f aca="false">HYPERLINK("https://www.ncbi.nlm.nih.gov/nuccore/CP000058.1?report=graph&amp;tracks=[key:gene_model_track,Options:GeneOnly]&amp;mk=1436271:1436290|offset_0|00cc00,1436302:1436321|offset_31|444444,1436358:1436377|offset_87|444444,1436380:1436399|offset_109|444444&amp;v=1436070:1436599&amp;c=444444", "offset 0")</f>
        <v>offset 0</v>
      </c>
    </row>
    <row r="4552" customFormat="false" ht="12.8" hidden="false" customHeight="false" outlineLevel="0" collapsed="false">
      <c r="A4552" s="0" t="s">
        <v>12</v>
      </c>
      <c r="B4552" s="0" t="n">
        <v>1436301</v>
      </c>
      <c r="C4552" s="0" t="n">
        <v>1436321</v>
      </c>
      <c r="D4552" s="0" t="s">
        <v>15167</v>
      </c>
      <c r="E4552" s="0" t="s">
        <v>75</v>
      </c>
      <c r="F4552" s="0" t="s">
        <v>15</v>
      </c>
      <c r="G4552" s="0" t="s">
        <v>20</v>
      </c>
      <c r="H4552" s="0" t="n">
        <v>31</v>
      </c>
      <c r="I4552" s="0" t="s">
        <v>15171</v>
      </c>
      <c r="J4552" s="0" t="s">
        <v>15172</v>
      </c>
      <c r="K4552" s="0" t="s">
        <v>15173</v>
      </c>
      <c r="L4552" s="0" t="str">
        <f aca="false">HYPERLINK("https://www.ncbi.nlm.nih.gov/nuccore/CP000058.1?report=graph&amp;tracks=[key:gene_model_track,Options:GeneOnly]&amp;mk=1436271:1436290|offset_0|444444,1436302:1436321|offset_31|00cc00,1436358:1436377|offset_87|444444,1436380:1436399|offset_109|444444&amp;v=1436070:1436599&amp;c=444444", "offset 31")</f>
        <v>offset 31</v>
      </c>
    </row>
    <row r="4553" customFormat="false" ht="12.8" hidden="false" customHeight="false" outlineLevel="0" collapsed="false">
      <c r="A4553" s="0" t="s">
        <v>12</v>
      </c>
      <c r="B4553" s="0" t="n">
        <v>1436357</v>
      </c>
      <c r="C4553" s="0" t="n">
        <v>1436377</v>
      </c>
      <c r="D4553" s="0" t="s">
        <v>15167</v>
      </c>
      <c r="E4553" s="0" t="s">
        <v>75</v>
      </c>
      <c r="F4553" s="0" t="s">
        <v>15</v>
      </c>
      <c r="G4553" s="0" t="s">
        <v>36</v>
      </c>
      <c r="H4553" s="0" t="n">
        <v>87</v>
      </c>
      <c r="I4553" s="0" t="s">
        <v>15174</v>
      </c>
      <c r="J4553" s="0" t="s">
        <v>15175</v>
      </c>
      <c r="K4553" s="0" t="s">
        <v>15176</v>
      </c>
      <c r="L4553" s="0" t="str">
        <f aca="false">HYPERLINK("https://www.ncbi.nlm.nih.gov/nuccore/CP000058.1?report=graph&amp;tracks=[key:gene_model_track,Options:GeneOnly]&amp;mk=1436271:1436290|offset_0|444444,1436302:1436321|offset_31|444444,1436358:1436377|offset_87|00cc00,1436380:1436399|offset_109|444444&amp;v=1436070:1436599&amp;c=444444", "offset 87")</f>
        <v>offset 87</v>
      </c>
    </row>
    <row r="4554" customFormat="false" ht="12.8" hidden="false" customHeight="false" outlineLevel="0" collapsed="false">
      <c r="A4554" s="0" t="s">
        <v>12</v>
      </c>
      <c r="B4554" s="0" t="n">
        <v>1436379</v>
      </c>
      <c r="C4554" s="0" t="n">
        <v>1436399</v>
      </c>
      <c r="D4554" s="0" t="s">
        <v>15167</v>
      </c>
      <c r="E4554" s="0" t="s">
        <v>75</v>
      </c>
      <c r="F4554" s="0" t="s">
        <v>15</v>
      </c>
      <c r="G4554" s="0" t="s">
        <v>32</v>
      </c>
      <c r="H4554" s="0" t="n">
        <v>109</v>
      </c>
      <c r="I4554" s="0" t="s">
        <v>15177</v>
      </c>
      <c r="J4554" s="0" t="s">
        <v>15178</v>
      </c>
      <c r="K4554" s="0" t="s">
        <v>15179</v>
      </c>
      <c r="L4554" s="0" t="str">
        <f aca="false">HYPERLINK("https://www.ncbi.nlm.nih.gov/nuccore/CP000058.1?report=graph&amp;tracks=[key:gene_model_track,Options:GeneOnly]&amp;mk=1436271:1436290|offset_0|444444,1436302:1436321|offset_31|444444,1436358:1436377|offset_87|444444,1436380:1436399|offset_109|00cc00&amp;v=1436070:1436599&amp;c=444444", "offset 109")</f>
        <v>offset 109</v>
      </c>
    </row>
    <row r="4555" customFormat="false" ht="12.8" hidden="false" customHeight="false" outlineLevel="0" collapsed="false">
      <c r="A4555" s="0" t="s">
        <v>12</v>
      </c>
      <c r="B4555" s="0" t="n">
        <v>1439291</v>
      </c>
      <c r="C4555" s="0" t="n">
        <v>1439311</v>
      </c>
      <c r="D4555" s="0" t="s">
        <v>15180</v>
      </c>
      <c r="E4555" s="0" t="s">
        <v>75</v>
      </c>
      <c r="F4555" s="0" t="s">
        <v>90</v>
      </c>
      <c r="G4555" s="0" t="s">
        <v>32</v>
      </c>
      <c r="H4555" s="0" t="n">
        <v>10</v>
      </c>
      <c r="I4555" s="0" t="s">
        <v>15181</v>
      </c>
      <c r="J4555" s="0" t="s">
        <v>15182</v>
      </c>
      <c r="K4555" s="0" t="s">
        <v>15183</v>
      </c>
      <c r="L4555" s="0" t="str">
        <f aca="false">HYPERLINK("https://www.ncbi.nlm.nih.gov/nuccore/CP000058.1?report=graph&amp;tracks=[key:gene_model_track,Options:GeneOnly]&amp;mk=1439292:1439311|offset_10|00cc00,1439272:1439291|offset_30|444444,1439252:1439271|offset_50|444444,1439193:1439212|offset_109|444444&amp;v=1439091:1439412&amp;c=444444", "offset 10")</f>
        <v>offset 10</v>
      </c>
    </row>
    <row r="4556" customFormat="false" ht="12.8" hidden="false" customHeight="false" outlineLevel="0" collapsed="false">
      <c r="A4556" s="0" t="s">
        <v>12</v>
      </c>
      <c r="B4556" s="0" t="n">
        <v>1439271</v>
      </c>
      <c r="C4556" s="0" t="n">
        <v>1439291</v>
      </c>
      <c r="D4556" s="0" t="s">
        <v>15180</v>
      </c>
      <c r="E4556" s="0" t="s">
        <v>75</v>
      </c>
      <c r="F4556" s="0" t="s">
        <v>90</v>
      </c>
      <c r="G4556" s="0" t="s">
        <v>36</v>
      </c>
      <c r="H4556" s="0" t="n">
        <v>30</v>
      </c>
      <c r="I4556" s="0" t="s">
        <v>15184</v>
      </c>
      <c r="J4556" s="0" t="s">
        <v>15185</v>
      </c>
      <c r="K4556" s="0" t="s">
        <v>15186</v>
      </c>
      <c r="L4556" s="0" t="str">
        <f aca="false">HYPERLINK("https://www.ncbi.nlm.nih.gov/nuccore/CP000058.1?report=graph&amp;tracks=[key:gene_model_track,Options:GeneOnly]&amp;mk=1439292:1439311|offset_10|444444,1439272:1439291|offset_30|00cc00,1439252:1439271|offset_50|444444,1439193:1439212|offset_109|444444&amp;v=1439091:1439412&amp;c=444444", "offset 30")</f>
        <v>offset 30</v>
      </c>
    </row>
    <row r="4557" customFormat="false" ht="12.8" hidden="false" customHeight="false" outlineLevel="0" collapsed="false">
      <c r="A4557" s="0" t="s">
        <v>12</v>
      </c>
      <c r="B4557" s="0" t="n">
        <v>1439251</v>
      </c>
      <c r="C4557" s="0" t="n">
        <v>1439271</v>
      </c>
      <c r="D4557" s="0" t="s">
        <v>15180</v>
      </c>
      <c r="E4557" s="0" t="s">
        <v>75</v>
      </c>
      <c r="F4557" s="0" t="s">
        <v>90</v>
      </c>
      <c r="G4557" s="0" t="s">
        <v>32</v>
      </c>
      <c r="H4557" s="0" t="n">
        <v>50</v>
      </c>
      <c r="I4557" s="0" t="s">
        <v>15187</v>
      </c>
      <c r="J4557" s="0" t="s">
        <v>15188</v>
      </c>
      <c r="K4557" s="0" t="s">
        <v>15189</v>
      </c>
      <c r="L4557" s="0" t="str">
        <f aca="false">HYPERLINK("https://www.ncbi.nlm.nih.gov/nuccore/CP000058.1?report=graph&amp;tracks=[key:gene_model_track,Options:GeneOnly]&amp;mk=1439292:1439311|offset_10|444444,1439272:1439291|offset_30|444444,1439252:1439271|offset_50|00cc00,1439193:1439212|offset_109|444444&amp;v=1439091:1439412&amp;c=444444", "offset 50")</f>
        <v>offset 50</v>
      </c>
    </row>
    <row r="4558" customFormat="false" ht="12.8" hidden="false" customHeight="false" outlineLevel="0" collapsed="false">
      <c r="A4558" s="0" t="s">
        <v>12</v>
      </c>
      <c r="B4558" s="0" t="n">
        <v>1439192</v>
      </c>
      <c r="C4558" s="0" t="n">
        <v>1439212</v>
      </c>
      <c r="D4558" s="0" t="s">
        <v>15180</v>
      </c>
      <c r="E4558" s="0" t="s">
        <v>75</v>
      </c>
      <c r="F4558" s="0" t="s">
        <v>90</v>
      </c>
      <c r="G4558" s="0" t="s">
        <v>20</v>
      </c>
      <c r="H4558" s="0" t="n">
        <v>109</v>
      </c>
      <c r="I4558" s="0" t="s">
        <v>15190</v>
      </c>
      <c r="J4558" s="0" t="s">
        <v>15191</v>
      </c>
      <c r="K4558" s="0" t="s">
        <v>15192</v>
      </c>
      <c r="L4558" s="0" t="str">
        <f aca="false">HYPERLINK("https://www.ncbi.nlm.nih.gov/nuccore/CP000058.1?report=graph&amp;tracks=[key:gene_model_track,Options:GeneOnly]&amp;mk=1439292:1439311|offset_10|444444,1439272:1439291|offset_30|444444,1439252:1439271|offset_50|444444,1439193:1439212|offset_109|00cc00&amp;v=1439091:1439412&amp;c=444444", "offset 109")</f>
        <v>offset 109</v>
      </c>
    </row>
    <row r="4559" customFormat="false" ht="12.8" hidden="false" customHeight="false" outlineLevel="0" collapsed="false">
      <c r="A4559" s="0" t="s">
        <v>12</v>
      </c>
      <c r="B4559" s="0" t="n">
        <v>1439649</v>
      </c>
      <c r="C4559" s="0" t="n">
        <v>1439669</v>
      </c>
      <c r="D4559" s="0" t="s">
        <v>15193</v>
      </c>
      <c r="E4559" s="0" t="s">
        <v>75</v>
      </c>
      <c r="F4559" s="0" t="s">
        <v>15</v>
      </c>
      <c r="G4559" s="0" t="s">
        <v>20</v>
      </c>
      <c r="H4559" s="0" t="n">
        <v>6</v>
      </c>
      <c r="I4559" s="0" t="s">
        <v>15194</v>
      </c>
      <c r="J4559" s="0" t="s">
        <v>15195</v>
      </c>
      <c r="K4559" s="0" t="s">
        <v>15196</v>
      </c>
      <c r="L4559" s="0" t="str">
        <f aca="false">HYPERLINK("https://www.ncbi.nlm.nih.gov/nuccore/CP000058.1?report=graph&amp;tracks=[key:gene_model_track,Options:GeneOnly]&amp;mk=1439650:1439669|offset_6|00cc00,1439684:1439703|offset_40|444444,1439709:1439728|offset_65|444444,1439753:1439772|offset_109|444444&amp;v=1439449:1439972&amp;c=444444", "offset 6")</f>
        <v>offset 6</v>
      </c>
    </row>
    <row r="4560" customFormat="false" ht="12.8" hidden="false" customHeight="false" outlineLevel="0" collapsed="false">
      <c r="A4560" s="0" t="s">
        <v>12</v>
      </c>
      <c r="B4560" s="0" t="n">
        <v>1439683</v>
      </c>
      <c r="C4560" s="0" t="n">
        <v>1439703</v>
      </c>
      <c r="D4560" s="0" t="s">
        <v>15193</v>
      </c>
      <c r="E4560" s="0" t="s">
        <v>75</v>
      </c>
      <c r="F4560" s="0" t="s">
        <v>15</v>
      </c>
      <c r="G4560" s="0" t="s">
        <v>32</v>
      </c>
      <c r="H4560" s="0" t="n">
        <v>40</v>
      </c>
      <c r="I4560" s="0" t="s">
        <v>15197</v>
      </c>
      <c r="J4560" s="0" t="s">
        <v>15198</v>
      </c>
      <c r="K4560" s="0" t="s">
        <v>15199</v>
      </c>
      <c r="L4560" s="0" t="str">
        <f aca="false">HYPERLINK("https://www.ncbi.nlm.nih.gov/nuccore/CP000058.1?report=graph&amp;tracks=[key:gene_model_track,Options:GeneOnly]&amp;mk=1439650:1439669|offset_6|444444,1439684:1439703|offset_40|00cc00,1439709:1439728|offset_65|444444,1439753:1439772|offset_109|444444&amp;v=1439449:1439972&amp;c=444444", "offset 40")</f>
        <v>offset 40</v>
      </c>
    </row>
    <row r="4561" customFormat="false" ht="12.8" hidden="false" customHeight="false" outlineLevel="0" collapsed="false">
      <c r="A4561" s="0" t="s">
        <v>12</v>
      </c>
      <c r="B4561" s="0" t="n">
        <v>1439708</v>
      </c>
      <c r="C4561" s="0" t="n">
        <v>1439728</v>
      </c>
      <c r="D4561" s="0" t="s">
        <v>15193</v>
      </c>
      <c r="E4561" s="0" t="s">
        <v>75</v>
      </c>
      <c r="F4561" s="0" t="s">
        <v>15</v>
      </c>
      <c r="G4561" s="0" t="s">
        <v>36</v>
      </c>
      <c r="H4561" s="0" t="n">
        <v>65</v>
      </c>
      <c r="I4561" s="0" t="s">
        <v>15200</v>
      </c>
      <c r="J4561" s="0" t="s">
        <v>15201</v>
      </c>
      <c r="K4561" s="0" t="s">
        <v>15202</v>
      </c>
      <c r="L4561" s="0" t="str">
        <f aca="false">HYPERLINK("https://www.ncbi.nlm.nih.gov/nuccore/CP000058.1?report=graph&amp;tracks=[key:gene_model_track,Options:GeneOnly]&amp;mk=1439650:1439669|offset_6|444444,1439684:1439703|offset_40|444444,1439709:1439728|offset_65|00cc00,1439753:1439772|offset_109|444444&amp;v=1439449:1439972&amp;c=444444", "offset 65")</f>
        <v>offset 65</v>
      </c>
    </row>
    <row r="4562" customFormat="false" ht="12.8" hidden="false" customHeight="false" outlineLevel="0" collapsed="false">
      <c r="A4562" s="0" t="s">
        <v>12</v>
      </c>
      <c r="B4562" s="0" t="n">
        <v>1439752</v>
      </c>
      <c r="C4562" s="0" t="n">
        <v>1439772</v>
      </c>
      <c r="D4562" s="0" t="s">
        <v>15193</v>
      </c>
      <c r="E4562" s="0" t="s">
        <v>75</v>
      </c>
      <c r="F4562" s="0" t="s">
        <v>15</v>
      </c>
      <c r="G4562" s="0" t="s">
        <v>32</v>
      </c>
      <c r="H4562" s="0" t="n">
        <v>109</v>
      </c>
      <c r="I4562" s="0" t="s">
        <v>15203</v>
      </c>
      <c r="J4562" s="0" t="s">
        <v>15204</v>
      </c>
      <c r="K4562" s="0" t="s">
        <v>15205</v>
      </c>
      <c r="L4562" s="0" t="str">
        <f aca="false">HYPERLINK("https://www.ncbi.nlm.nih.gov/nuccore/CP000058.1?report=graph&amp;tracks=[key:gene_model_track,Options:GeneOnly]&amp;mk=1439650:1439669|offset_6|444444,1439684:1439703|offset_40|444444,1439709:1439728|offset_65|444444,1439753:1439772|offset_109|00cc00&amp;v=1439449:1439972&amp;c=444444", "offset 109")</f>
        <v>offset 109</v>
      </c>
    </row>
    <row r="4563" customFormat="false" ht="12.8" hidden="false" customHeight="false" outlineLevel="0" collapsed="false">
      <c r="A4563" s="0" t="s">
        <v>12</v>
      </c>
      <c r="B4563" s="0" t="n">
        <v>1440093</v>
      </c>
      <c r="C4563" s="0" t="n">
        <v>1440113</v>
      </c>
      <c r="D4563" s="0" t="s">
        <v>15206</v>
      </c>
      <c r="E4563" s="0" t="s">
        <v>75</v>
      </c>
      <c r="F4563" s="0" t="s">
        <v>90</v>
      </c>
      <c r="G4563" s="0" t="s">
        <v>20</v>
      </c>
      <c r="H4563" s="0" t="n">
        <v>28</v>
      </c>
      <c r="I4563" s="0" t="s">
        <v>15207</v>
      </c>
      <c r="J4563" s="0" t="s">
        <v>15208</v>
      </c>
      <c r="K4563" s="0" t="s">
        <v>15209</v>
      </c>
      <c r="L4563" s="0" t="str">
        <f aca="false">HYPERLINK("https://www.ncbi.nlm.nih.gov/nuccore/CP000058.1?report=graph&amp;tracks=[key:gene_model_track,Options:GeneOnly]&amp;mk=1440094:1440113|offset_28|00cc00,1440072:1440091|offset_50|444444,1440043:1440062|offset_79|444444,1440016:1440035|offset_106|444444&amp;v=1439893:1440235&amp;c=444444", "offset 28")</f>
        <v>offset 28</v>
      </c>
    </row>
    <row r="4564" customFormat="false" ht="12.8" hidden="false" customHeight="false" outlineLevel="0" collapsed="false">
      <c r="A4564" s="0" t="s">
        <v>12</v>
      </c>
      <c r="B4564" s="0" t="n">
        <v>1440071</v>
      </c>
      <c r="C4564" s="0" t="n">
        <v>1440091</v>
      </c>
      <c r="D4564" s="0" t="s">
        <v>15206</v>
      </c>
      <c r="E4564" s="0" t="s">
        <v>75</v>
      </c>
      <c r="F4564" s="0" t="s">
        <v>90</v>
      </c>
      <c r="G4564" s="0" t="s">
        <v>32</v>
      </c>
      <c r="H4564" s="0" t="n">
        <v>50</v>
      </c>
      <c r="I4564" s="0" t="s">
        <v>15210</v>
      </c>
      <c r="J4564" s="0" t="s">
        <v>15211</v>
      </c>
      <c r="K4564" s="0" t="s">
        <v>15212</v>
      </c>
      <c r="L4564" s="0" t="str">
        <f aca="false">HYPERLINK("https://www.ncbi.nlm.nih.gov/nuccore/CP000058.1?report=graph&amp;tracks=[key:gene_model_track,Options:GeneOnly]&amp;mk=1440094:1440113|offset_28|444444,1440072:1440091|offset_50|00cc00,1440043:1440062|offset_79|444444,1440016:1440035|offset_106|444444&amp;v=1439893:1440235&amp;c=444444", "offset 50")</f>
        <v>offset 50</v>
      </c>
    </row>
    <row r="4565" customFormat="false" ht="12.8" hidden="false" customHeight="false" outlineLevel="0" collapsed="false">
      <c r="A4565" s="0" t="s">
        <v>12</v>
      </c>
      <c r="B4565" s="0" t="n">
        <v>1440042</v>
      </c>
      <c r="C4565" s="0" t="n">
        <v>1440062</v>
      </c>
      <c r="D4565" s="0" t="s">
        <v>15206</v>
      </c>
      <c r="E4565" s="0" t="s">
        <v>75</v>
      </c>
      <c r="F4565" s="0" t="s">
        <v>90</v>
      </c>
      <c r="G4565" s="0" t="s">
        <v>32</v>
      </c>
      <c r="H4565" s="0" t="n">
        <v>79</v>
      </c>
      <c r="I4565" s="0" t="s">
        <v>15213</v>
      </c>
      <c r="J4565" s="0" t="s">
        <v>15214</v>
      </c>
      <c r="K4565" s="0" t="s">
        <v>15215</v>
      </c>
      <c r="L4565" s="0" t="str">
        <f aca="false">HYPERLINK("https://www.ncbi.nlm.nih.gov/nuccore/CP000058.1?report=graph&amp;tracks=[key:gene_model_track,Options:GeneOnly]&amp;mk=1440094:1440113|offset_28|444444,1440072:1440091|offset_50|444444,1440043:1440062|offset_79|00cc00,1440016:1440035|offset_106|444444&amp;v=1439893:1440235&amp;c=444444", "offset 79")</f>
        <v>offset 79</v>
      </c>
    </row>
    <row r="4566" customFormat="false" ht="12.8" hidden="false" customHeight="false" outlineLevel="0" collapsed="false">
      <c r="A4566" s="0" t="s">
        <v>12</v>
      </c>
      <c r="B4566" s="0" t="n">
        <v>1440015</v>
      </c>
      <c r="C4566" s="0" t="n">
        <v>1440035</v>
      </c>
      <c r="D4566" s="0" t="s">
        <v>15206</v>
      </c>
      <c r="E4566" s="0" t="s">
        <v>75</v>
      </c>
      <c r="F4566" s="0" t="s">
        <v>90</v>
      </c>
      <c r="G4566" s="0" t="s">
        <v>20</v>
      </c>
      <c r="H4566" s="0" t="n">
        <v>106</v>
      </c>
      <c r="I4566" s="0" t="s">
        <v>15216</v>
      </c>
      <c r="J4566" s="0" t="s">
        <v>15217</v>
      </c>
      <c r="K4566" s="0" t="s">
        <v>15218</v>
      </c>
      <c r="L4566" s="0" t="str">
        <f aca="false">HYPERLINK("https://www.ncbi.nlm.nih.gov/nuccore/CP000058.1?report=graph&amp;tracks=[key:gene_model_track,Options:GeneOnly]&amp;mk=1440094:1440113|offset_28|444444,1440072:1440091|offset_50|444444,1440043:1440062|offset_79|444444,1440016:1440035|offset_106|00cc00&amp;v=1439893:1440235&amp;c=444444", "offset 106")</f>
        <v>offset 106</v>
      </c>
    </row>
    <row r="4567" customFormat="false" ht="12.8" hidden="false" customHeight="false" outlineLevel="0" collapsed="false">
      <c r="A4567" s="0" t="s">
        <v>12</v>
      </c>
      <c r="B4567" s="0" t="n">
        <v>1440492</v>
      </c>
      <c r="C4567" s="0" t="n">
        <v>1440512</v>
      </c>
      <c r="D4567" s="0" t="s">
        <v>15219</v>
      </c>
      <c r="E4567" s="0" t="s">
        <v>75</v>
      </c>
      <c r="F4567" s="0" t="s">
        <v>90</v>
      </c>
      <c r="G4567" s="0" t="s">
        <v>20</v>
      </c>
      <c r="H4567" s="0" t="n">
        <v>15</v>
      </c>
      <c r="I4567" s="0" t="s">
        <v>15220</v>
      </c>
      <c r="J4567" s="0" t="s">
        <v>15221</v>
      </c>
      <c r="K4567" s="0" t="s">
        <v>15222</v>
      </c>
      <c r="L4567" s="0" t="str">
        <f aca="false">HYPERLINK("https://www.ncbi.nlm.nih.gov/nuccore/CP000058.1?report=graph&amp;tracks=[key:gene_model_track,Options:GeneOnly]&amp;mk=1440493:1440512|offset_15|00cc00,1440443:1440462|offset_65|444444,1440418:1440437|offset_90|444444,1440380:1440399|offset_128|444444&amp;v=1440292:1440599&amp;c=444444", "offset 15")</f>
        <v>offset 15</v>
      </c>
    </row>
    <row r="4568" customFormat="false" ht="12.8" hidden="false" customHeight="false" outlineLevel="0" collapsed="false">
      <c r="A4568" s="0" t="s">
        <v>12</v>
      </c>
      <c r="B4568" s="0" t="n">
        <v>1440442</v>
      </c>
      <c r="C4568" s="0" t="n">
        <v>1440462</v>
      </c>
      <c r="D4568" s="0" t="s">
        <v>15219</v>
      </c>
      <c r="E4568" s="0" t="s">
        <v>75</v>
      </c>
      <c r="F4568" s="0" t="s">
        <v>90</v>
      </c>
      <c r="G4568" s="0" t="s">
        <v>20</v>
      </c>
      <c r="H4568" s="0" t="n">
        <v>65</v>
      </c>
      <c r="I4568" s="0" t="s">
        <v>15223</v>
      </c>
      <c r="J4568" s="0" t="s">
        <v>15224</v>
      </c>
      <c r="K4568" s="0" t="s">
        <v>15225</v>
      </c>
      <c r="L4568" s="0" t="str">
        <f aca="false">HYPERLINK("https://www.ncbi.nlm.nih.gov/nuccore/CP000058.1?report=graph&amp;tracks=[key:gene_model_track,Options:GeneOnly]&amp;mk=1440493:1440512|offset_15|444444,1440443:1440462|offset_65|00cc00,1440418:1440437|offset_90|444444,1440380:1440399|offset_128|444444&amp;v=1440292:1440599&amp;c=444444", "offset 65")</f>
        <v>offset 65</v>
      </c>
    </row>
    <row r="4569" customFormat="false" ht="12.8" hidden="false" customHeight="false" outlineLevel="0" collapsed="false">
      <c r="A4569" s="0" t="s">
        <v>12</v>
      </c>
      <c r="B4569" s="0" t="n">
        <v>1440417</v>
      </c>
      <c r="C4569" s="0" t="n">
        <v>1440437</v>
      </c>
      <c r="D4569" s="0" t="s">
        <v>15219</v>
      </c>
      <c r="E4569" s="0" t="s">
        <v>75</v>
      </c>
      <c r="F4569" s="0" t="s">
        <v>90</v>
      </c>
      <c r="G4569" s="0" t="s">
        <v>36</v>
      </c>
      <c r="H4569" s="0" t="n">
        <v>90</v>
      </c>
      <c r="I4569" s="0" t="s">
        <v>15226</v>
      </c>
      <c r="J4569" s="0" t="s">
        <v>15227</v>
      </c>
      <c r="K4569" s="0" t="s">
        <v>15228</v>
      </c>
      <c r="L4569" s="0" t="str">
        <f aca="false">HYPERLINK("https://www.ncbi.nlm.nih.gov/nuccore/CP000058.1?report=graph&amp;tracks=[key:gene_model_track,Options:GeneOnly]&amp;mk=1440493:1440512|offset_15|444444,1440443:1440462|offset_65|444444,1440418:1440437|offset_90|00cc00,1440380:1440399|offset_128|444444&amp;v=1440292:1440599&amp;c=444444", "offset 90")</f>
        <v>offset 90</v>
      </c>
    </row>
    <row r="4570" customFormat="false" ht="12.8" hidden="false" customHeight="false" outlineLevel="0" collapsed="false">
      <c r="A4570" s="0" t="s">
        <v>12</v>
      </c>
      <c r="B4570" s="0" t="n">
        <v>1440379</v>
      </c>
      <c r="C4570" s="0" t="n">
        <v>1440399</v>
      </c>
      <c r="D4570" s="0" t="s">
        <v>15219</v>
      </c>
      <c r="E4570" s="0" t="s">
        <v>75</v>
      </c>
      <c r="F4570" s="0" t="s">
        <v>90</v>
      </c>
      <c r="G4570" s="0" t="s">
        <v>20</v>
      </c>
      <c r="H4570" s="0" t="n">
        <v>128</v>
      </c>
      <c r="I4570" s="0" t="s">
        <v>15229</v>
      </c>
      <c r="J4570" s="0" t="s">
        <v>15230</v>
      </c>
      <c r="K4570" s="0" t="s">
        <v>15231</v>
      </c>
      <c r="L4570" s="0" t="str">
        <f aca="false">HYPERLINK("https://www.ncbi.nlm.nih.gov/nuccore/CP000058.1?report=graph&amp;tracks=[key:gene_model_track,Options:GeneOnly]&amp;mk=1440493:1440512|offset_15|444444,1440443:1440462|offset_65|444444,1440418:1440437|offset_90|444444,1440380:1440399|offset_128|00cc00&amp;v=1440292:1440599&amp;c=444444", "offset 128")</f>
        <v>offset 128</v>
      </c>
    </row>
    <row r="4571" customFormat="false" ht="12.8" hidden="false" customHeight="false" outlineLevel="0" collapsed="false">
      <c r="A4571" s="0" t="s">
        <v>12</v>
      </c>
      <c r="B4571" s="0" t="n">
        <v>1441533</v>
      </c>
      <c r="C4571" s="0" t="n">
        <v>1441553</v>
      </c>
      <c r="D4571" s="0" t="s">
        <v>15232</v>
      </c>
      <c r="E4571" s="0" t="s">
        <v>75</v>
      </c>
      <c r="F4571" s="0" t="s">
        <v>90</v>
      </c>
      <c r="G4571" s="0" t="s">
        <v>36</v>
      </c>
      <c r="H4571" s="0" t="n">
        <v>10</v>
      </c>
      <c r="I4571" s="0" t="s">
        <v>15233</v>
      </c>
      <c r="J4571" s="0" t="s">
        <v>15234</v>
      </c>
      <c r="K4571" s="0" t="s">
        <v>15235</v>
      </c>
      <c r="L4571" s="0" t="str">
        <f aca="false">HYPERLINK("https://www.ncbi.nlm.nih.gov/nuccore/CP000058.1?report=graph&amp;tracks=[key:gene_model_track,Options:GeneOnly]&amp;mk=1441534:1441553|offset_10|00cc00,1441457:1441476|offset_87|444444,1441435:1441454|offset_109|444444,1441400:1441419|offset_144|444444&amp;v=1441333:1441619&amp;c=444444", "offset 10")</f>
        <v>offset 10</v>
      </c>
    </row>
    <row r="4572" customFormat="false" ht="12.8" hidden="false" customHeight="false" outlineLevel="0" collapsed="false">
      <c r="A4572" s="0" t="s">
        <v>12</v>
      </c>
      <c r="B4572" s="0" t="n">
        <v>1441456</v>
      </c>
      <c r="C4572" s="0" t="n">
        <v>1441476</v>
      </c>
      <c r="D4572" s="0" t="s">
        <v>15232</v>
      </c>
      <c r="E4572" s="0" t="s">
        <v>75</v>
      </c>
      <c r="F4572" s="0" t="s">
        <v>90</v>
      </c>
      <c r="G4572" s="0" t="s">
        <v>36</v>
      </c>
      <c r="H4572" s="0" t="n">
        <v>87</v>
      </c>
      <c r="I4572" s="0" t="s">
        <v>15236</v>
      </c>
      <c r="J4572" s="0" t="s">
        <v>15237</v>
      </c>
      <c r="K4572" s="0" t="s">
        <v>15238</v>
      </c>
      <c r="L4572" s="0" t="str">
        <f aca="false">HYPERLINK("https://www.ncbi.nlm.nih.gov/nuccore/CP000058.1?report=graph&amp;tracks=[key:gene_model_track,Options:GeneOnly]&amp;mk=1441534:1441553|offset_10|444444,1441457:1441476|offset_87|00cc00,1441435:1441454|offset_109|444444,1441400:1441419|offset_144|444444&amp;v=1441333:1441619&amp;c=444444", "offset 87")</f>
        <v>offset 87</v>
      </c>
    </row>
    <row r="4573" customFormat="false" ht="12.8" hidden="false" customHeight="false" outlineLevel="0" collapsed="false">
      <c r="A4573" s="0" t="s">
        <v>12</v>
      </c>
      <c r="B4573" s="0" t="n">
        <v>1441434</v>
      </c>
      <c r="C4573" s="0" t="n">
        <v>1441454</v>
      </c>
      <c r="D4573" s="0" t="s">
        <v>15232</v>
      </c>
      <c r="E4573" s="0" t="s">
        <v>75</v>
      </c>
      <c r="F4573" s="0" t="s">
        <v>90</v>
      </c>
      <c r="G4573" s="0" t="s">
        <v>36</v>
      </c>
      <c r="H4573" s="0" t="n">
        <v>109</v>
      </c>
      <c r="I4573" s="0" t="s">
        <v>15239</v>
      </c>
      <c r="J4573" s="0" t="s">
        <v>15240</v>
      </c>
      <c r="K4573" s="0" t="s">
        <v>15241</v>
      </c>
      <c r="L4573" s="0" t="str">
        <f aca="false">HYPERLINK("https://www.ncbi.nlm.nih.gov/nuccore/CP000058.1?report=graph&amp;tracks=[key:gene_model_track,Options:GeneOnly]&amp;mk=1441534:1441553|offset_10|444444,1441457:1441476|offset_87|444444,1441435:1441454|offset_109|00cc00,1441400:1441419|offset_144|444444&amp;v=1441333:1441619&amp;c=444444", "offset 109")</f>
        <v>offset 109</v>
      </c>
    </row>
    <row r="4574" customFormat="false" ht="12.8" hidden="false" customHeight="false" outlineLevel="0" collapsed="false">
      <c r="A4574" s="0" t="s">
        <v>12</v>
      </c>
      <c r="B4574" s="0" t="n">
        <v>1441399</v>
      </c>
      <c r="C4574" s="0" t="n">
        <v>1441419</v>
      </c>
      <c r="D4574" s="0" t="s">
        <v>15232</v>
      </c>
      <c r="E4574" s="0" t="s">
        <v>75</v>
      </c>
      <c r="F4574" s="0" t="s">
        <v>90</v>
      </c>
      <c r="G4574" s="0" t="s">
        <v>16</v>
      </c>
      <c r="H4574" s="0" t="n">
        <v>144</v>
      </c>
      <c r="I4574" s="0" t="s">
        <v>15242</v>
      </c>
      <c r="J4574" s="0" t="s">
        <v>15243</v>
      </c>
      <c r="K4574" s="0" t="s">
        <v>15244</v>
      </c>
      <c r="L4574" s="0" t="str">
        <f aca="false">HYPERLINK("https://www.ncbi.nlm.nih.gov/nuccore/CP000058.1?report=graph&amp;tracks=[key:gene_model_track,Options:GeneOnly]&amp;mk=1441534:1441553|offset_10|444444,1441457:1441476|offset_87|444444,1441435:1441454|offset_109|444444,1441400:1441419|offset_144|00cc00&amp;v=1441333:1441619&amp;c=444444", "offset 144")</f>
        <v>offset 144</v>
      </c>
    </row>
    <row r="4575" customFormat="false" ht="12.8" hidden="false" customHeight="false" outlineLevel="0" collapsed="false">
      <c r="A4575" s="0" t="s">
        <v>12</v>
      </c>
      <c r="B4575" s="0" t="n">
        <v>1441904</v>
      </c>
      <c r="C4575" s="0" t="n">
        <v>1441924</v>
      </c>
      <c r="D4575" s="0" t="s">
        <v>15245</v>
      </c>
      <c r="E4575" s="0" t="s">
        <v>75</v>
      </c>
      <c r="F4575" s="0" t="s">
        <v>90</v>
      </c>
      <c r="G4575" s="0" t="s">
        <v>16</v>
      </c>
      <c r="H4575" s="0" t="n">
        <v>31</v>
      </c>
      <c r="I4575" s="0" t="s">
        <v>15246</v>
      </c>
      <c r="J4575" s="0" t="s">
        <v>15247</v>
      </c>
      <c r="K4575" s="0" t="s">
        <v>15248</v>
      </c>
      <c r="L4575" s="0" t="str">
        <f aca="false">HYPERLINK("https://www.ncbi.nlm.nih.gov/nuccore/CP000058.1?report=graph&amp;tracks=[key:gene_model_track,Options:GeneOnly]&amp;mk=1441905:1441924|offset_31|00cc00,1441869:1441888|offset_67|444444,1441848:1441867|offset_88|444444,1441821:1441840|offset_115|444444&amp;v=1441704:1442040&amp;c=444444", "offset 31")</f>
        <v>offset 31</v>
      </c>
    </row>
    <row r="4576" customFormat="false" ht="12.8" hidden="false" customHeight="false" outlineLevel="0" collapsed="false">
      <c r="A4576" s="0" t="s">
        <v>12</v>
      </c>
      <c r="B4576" s="0" t="n">
        <v>1441868</v>
      </c>
      <c r="C4576" s="0" t="n">
        <v>1441888</v>
      </c>
      <c r="D4576" s="0" t="s">
        <v>15245</v>
      </c>
      <c r="E4576" s="0" t="s">
        <v>75</v>
      </c>
      <c r="F4576" s="0" t="s">
        <v>90</v>
      </c>
      <c r="G4576" s="0" t="s">
        <v>36</v>
      </c>
      <c r="H4576" s="0" t="n">
        <v>67</v>
      </c>
      <c r="I4576" s="0" t="s">
        <v>15249</v>
      </c>
      <c r="J4576" s="0" t="s">
        <v>15250</v>
      </c>
      <c r="K4576" s="0" t="s">
        <v>15251</v>
      </c>
      <c r="L4576" s="0" t="str">
        <f aca="false">HYPERLINK("https://www.ncbi.nlm.nih.gov/nuccore/CP000058.1?report=graph&amp;tracks=[key:gene_model_track,Options:GeneOnly]&amp;mk=1441905:1441924|offset_31|444444,1441869:1441888|offset_67|00cc00,1441848:1441867|offset_88|444444,1441821:1441840|offset_115|444444&amp;v=1441704:1442040&amp;c=444444", "offset 67")</f>
        <v>offset 67</v>
      </c>
    </row>
    <row r="4577" customFormat="false" ht="12.8" hidden="false" customHeight="false" outlineLevel="0" collapsed="false">
      <c r="A4577" s="0" t="s">
        <v>12</v>
      </c>
      <c r="B4577" s="0" t="n">
        <v>1441847</v>
      </c>
      <c r="C4577" s="0" t="n">
        <v>1441867</v>
      </c>
      <c r="D4577" s="0" t="s">
        <v>15245</v>
      </c>
      <c r="E4577" s="0" t="s">
        <v>75</v>
      </c>
      <c r="F4577" s="0" t="s">
        <v>90</v>
      </c>
      <c r="G4577" s="0" t="s">
        <v>32</v>
      </c>
      <c r="H4577" s="0" t="n">
        <v>88</v>
      </c>
      <c r="I4577" s="0" t="s">
        <v>15252</v>
      </c>
      <c r="J4577" s="0" t="s">
        <v>15253</v>
      </c>
      <c r="K4577" s="0" t="s">
        <v>15254</v>
      </c>
      <c r="L4577" s="0" t="str">
        <f aca="false">HYPERLINK("https://www.ncbi.nlm.nih.gov/nuccore/CP000058.1?report=graph&amp;tracks=[key:gene_model_track,Options:GeneOnly]&amp;mk=1441905:1441924|offset_31|444444,1441869:1441888|offset_67|444444,1441848:1441867|offset_88|00cc00,1441821:1441840|offset_115|444444&amp;v=1441704:1442040&amp;c=444444", "offset 88")</f>
        <v>offset 88</v>
      </c>
    </row>
    <row r="4578" customFormat="false" ht="12.8" hidden="false" customHeight="false" outlineLevel="0" collapsed="false">
      <c r="A4578" s="0" t="s">
        <v>12</v>
      </c>
      <c r="B4578" s="0" t="n">
        <v>1441820</v>
      </c>
      <c r="C4578" s="0" t="n">
        <v>1441840</v>
      </c>
      <c r="D4578" s="0" t="s">
        <v>15245</v>
      </c>
      <c r="E4578" s="0" t="s">
        <v>75</v>
      </c>
      <c r="F4578" s="0" t="s">
        <v>90</v>
      </c>
      <c r="G4578" s="0" t="s">
        <v>16</v>
      </c>
      <c r="H4578" s="0" t="n">
        <v>115</v>
      </c>
      <c r="I4578" s="0" t="s">
        <v>15255</v>
      </c>
      <c r="J4578" s="0" t="s">
        <v>15256</v>
      </c>
      <c r="K4578" s="0" t="s">
        <v>15257</v>
      </c>
      <c r="L4578" s="0" t="str">
        <f aca="false">HYPERLINK("https://www.ncbi.nlm.nih.gov/nuccore/CP000058.1?report=graph&amp;tracks=[key:gene_model_track,Options:GeneOnly]&amp;mk=1441905:1441924|offset_31|444444,1441869:1441888|offset_67|444444,1441848:1441867|offset_88|444444,1441821:1441840|offset_115|00cc00&amp;v=1441704:1442040&amp;c=444444", "offset 115")</f>
        <v>offset 115</v>
      </c>
    </row>
    <row r="4579" customFormat="false" ht="12.8" hidden="false" customHeight="false" outlineLevel="0" collapsed="false">
      <c r="A4579" s="0" t="s">
        <v>12</v>
      </c>
      <c r="B4579" s="0" t="n">
        <v>1442588</v>
      </c>
      <c r="C4579" s="0" t="n">
        <v>1442608</v>
      </c>
      <c r="D4579" s="0" t="s">
        <v>15258</v>
      </c>
      <c r="E4579" s="0" t="s">
        <v>75</v>
      </c>
      <c r="F4579" s="0" t="s">
        <v>90</v>
      </c>
      <c r="G4579" s="0" t="s">
        <v>16</v>
      </c>
      <c r="H4579" s="0" t="n">
        <v>24</v>
      </c>
      <c r="I4579" s="0" t="s">
        <v>15259</v>
      </c>
      <c r="J4579" s="0" t="s">
        <v>15260</v>
      </c>
      <c r="K4579" s="0" t="s">
        <v>15261</v>
      </c>
      <c r="L4579" s="0" t="str">
        <f aca="false">HYPERLINK("https://www.ncbi.nlm.nih.gov/nuccore/CP000058.1?report=graph&amp;tracks=[key:gene_model_track,Options:GeneOnly]&amp;mk=1442589:1442608|offset_24|00cc00,1442569:1442588|offset_44|444444,1442524:1442543|offset_89|444444,1442501:1442520|offset_112|444444&amp;v=1442388:1442720&amp;c=444444", "offset 24")</f>
        <v>offset 24</v>
      </c>
    </row>
    <row r="4580" customFormat="false" ht="12.8" hidden="false" customHeight="false" outlineLevel="0" collapsed="false">
      <c r="A4580" s="0" t="s">
        <v>12</v>
      </c>
      <c r="B4580" s="0" t="n">
        <v>1442568</v>
      </c>
      <c r="C4580" s="0" t="n">
        <v>1442588</v>
      </c>
      <c r="D4580" s="0" t="s">
        <v>15258</v>
      </c>
      <c r="E4580" s="0" t="s">
        <v>75</v>
      </c>
      <c r="F4580" s="0" t="s">
        <v>90</v>
      </c>
      <c r="G4580" s="0" t="s">
        <v>36</v>
      </c>
      <c r="H4580" s="0" t="n">
        <v>44</v>
      </c>
      <c r="I4580" s="0" t="s">
        <v>15262</v>
      </c>
      <c r="J4580" s="0" t="s">
        <v>15263</v>
      </c>
      <c r="K4580" s="0" t="s">
        <v>15264</v>
      </c>
      <c r="L4580" s="0" t="str">
        <f aca="false">HYPERLINK("https://www.ncbi.nlm.nih.gov/nuccore/CP000058.1?report=graph&amp;tracks=[key:gene_model_track,Options:GeneOnly]&amp;mk=1442589:1442608|offset_24|444444,1442569:1442588|offset_44|00cc00,1442524:1442543|offset_89|444444,1442501:1442520|offset_112|444444&amp;v=1442388:1442720&amp;c=444444", "offset 44")</f>
        <v>offset 44</v>
      </c>
    </row>
    <row r="4581" customFormat="false" ht="12.8" hidden="false" customHeight="false" outlineLevel="0" collapsed="false">
      <c r="A4581" s="0" t="s">
        <v>12</v>
      </c>
      <c r="B4581" s="0" t="n">
        <v>1442523</v>
      </c>
      <c r="C4581" s="0" t="n">
        <v>1442543</v>
      </c>
      <c r="D4581" s="0" t="s">
        <v>15258</v>
      </c>
      <c r="E4581" s="0" t="s">
        <v>75</v>
      </c>
      <c r="F4581" s="0" t="s">
        <v>90</v>
      </c>
      <c r="G4581" s="0" t="s">
        <v>20</v>
      </c>
      <c r="H4581" s="0" t="n">
        <v>89</v>
      </c>
      <c r="I4581" s="0" t="s">
        <v>15265</v>
      </c>
      <c r="J4581" s="0" t="s">
        <v>15266</v>
      </c>
      <c r="K4581" s="0" t="s">
        <v>15267</v>
      </c>
      <c r="L4581" s="0" t="str">
        <f aca="false">HYPERLINK("https://www.ncbi.nlm.nih.gov/nuccore/CP000058.1?report=graph&amp;tracks=[key:gene_model_track,Options:GeneOnly]&amp;mk=1442589:1442608|offset_24|444444,1442569:1442588|offset_44|444444,1442524:1442543|offset_89|00cc00,1442501:1442520|offset_112|444444&amp;v=1442388:1442720&amp;c=444444", "offset 89")</f>
        <v>offset 89</v>
      </c>
    </row>
    <row r="4582" customFormat="false" ht="12.8" hidden="false" customHeight="false" outlineLevel="0" collapsed="false">
      <c r="A4582" s="0" t="s">
        <v>12</v>
      </c>
      <c r="B4582" s="0" t="n">
        <v>1442500</v>
      </c>
      <c r="C4582" s="0" t="n">
        <v>1442520</v>
      </c>
      <c r="D4582" s="0" t="s">
        <v>15258</v>
      </c>
      <c r="E4582" s="0" t="s">
        <v>75</v>
      </c>
      <c r="F4582" s="0" t="s">
        <v>90</v>
      </c>
      <c r="G4582" s="0" t="s">
        <v>16</v>
      </c>
      <c r="H4582" s="0" t="n">
        <v>112</v>
      </c>
      <c r="I4582" s="0" t="s">
        <v>15268</v>
      </c>
      <c r="J4582" s="0" t="s">
        <v>15269</v>
      </c>
      <c r="K4582" s="0" t="s">
        <v>15270</v>
      </c>
      <c r="L4582" s="0" t="str">
        <f aca="false">HYPERLINK("https://www.ncbi.nlm.nih.gov/nuccore/CP000058.1?report=graph&amp;tracks=[key:gene_model_track,Options:GeneOnly]&amp;mk=1442589:1442608|offset_24|444444,1442569:1442588|offset_44|444444,1442524:1442543|offset_89|444444,1442501:1442520|offset_112|00cc00&amp;v=1442388:1442720&amp;c=444444", "offset 112")</f>
        <v>offset 112</v>
      </c>
    </row>
    <row r="4583" customFormat="false" ht="12.8" hidden="false" customHeight="false" outlineLevel="0" collapsed="false">
      <c r="A4583" s="0" t="s">
        <v>12</v>
      </c>
      <c r="B4583" s="0" t="n">
        <v>1444901</v>
      </c>
      <c r="C4583" s="0" t="n">
        <v>1444921</v>
      </c>
      <c r="D4583" s="0" t="s">
        <v>15271</v>
      </c>
      <c r="E4583" s="0" t="s">
        <v>75</v>
      </c>
      <c r="F4583" s="0" t="s">
        <v>90</v>
      </c>
      <c r="G4583" s="0" t="s">
        <v>16</v>
      </c>
      <c r="H4583" s="0" t="n">
        <v>15</v>
      </c>
      <c r="I4583" s="0" t="s">
        <v>15272</v>
      </c>
      <c r="J4583" s="0" t="s">
        <v>15273</v>
      </c>
      <c r="K4583" s="0" t="s">
        <v>15274</v>
      </c>
      <c r="L4583" s="0" t="str">
        <f aca="false">HYPERLINK("https://www.ncbi.nlm.nih.gov/nuccore/CP000058.1?report=graph&amp;tracks=[key:gene_model_track,Options:GeneOnly]&amp;mk=1444902:1444921|offset_15|00cc00,1444875:1444894|offset_42|444444,1444855:1444874|offset_62|444444,1444826:1444845|offset_91|444444&amp;v=1444701:1445045&amp;c=444444", "offset 15")</f>
        <v>offset 15</v>
      </c>
    </row>
    <row r="4584" customFormat="false" ht="12.8" hidden="false" customHeight="false" outlineLevel="0" collapsed="false">
      <c r="A4584" s="0" t="s">
        <v>12</v>
      </c>
      <c r="B4584" s="0" t="n">
        <v>1444874</v>
      </c>
      <c r="C4584" s="0" t="n">
        <v>1444894</v>
      </c>
      <c r="D4584" s="0" t="s">
        <v>15271</v>
      </c>
      <c r="E4584" s="0" t="s">
        <v>75</v>
      </c>
      <c r="F4584" s="0" t="s">
        <v>90</v>
      </c>
      <c r="G4584" s="0" t="s">
        <v>36</v>
      </c>
      <c r="H4584" s="0" t="n">
        <v>42</v>
      </c>
      <c r="I4584" s="0" t="s">
        <v>15275</v>
      </c>
      <c r="J4584" s="0" t="s">
        <v>15276</v>
      </c>
      <c r="K4584" s="0" t="s">
        <v>15277</v>
      </c>
      <c r="L4584" s="0" t="str">
        <f aca="false">HYPERLINK("https://www.ncbi.nlm.nih.gov/nuccore/CP000058.1?report=graph&amp;tracks=[key:gene_model_track,Options:GeneOnly]&amp;mk=1444902:1444921|offset_15|444444,1444875:1444894|offset_42|00cc00,1444855:1444874|offset_62|444444,1444826:1444845|offset_91|444444&amp;v=1444701:1445045&amp;c=444444", "offset 42")</f>
        <v>offset 42</v>
      </c>
    </row>
    <row r="4585" customFormat="false" ht="12.8" hidden="false" customHeight="false" outlineLevel="0" collapsed="false">
      <c r="A4585" s="0" t="s">
        <v>12</v>
      </c>
      <c r="B4585" s="0" t="n">
        <v>1444854</v>
      </c>
      <c r="C4585" s="0" t="n">
        <v>1444874</v>
      </c>
      <c r="D4585" s="0" t="s">
        <v>15271</v>
      </c>
      <c r="E4585" s="0" t="s">
        <v>75</v>
      </c>
      <c r="F4585" s="0" t="s">
        <v>90</v>
      </c>
      <c r="G4585" s="0" t="s">
        <v>20</v>
      </c>
      <c r="H4585" s="0" t="n">
        <v>62</v>
      </c>
      <c r="I4585" s="0" t="s">
        <v>15278</v>
      </c>
      <c r="J4585" s="0" t="s">
        <v>15279</v>
      </c>
      <c r="K4585" s="0" t="s">
        <v>15280</v>
      </c>
      <c r="L4585" s="0" t="str">
        <f aca="false">HYPERLINK("https://www.ncbi.nlm.nih.gov/nuccore/CP000058.1?report=graph&amp;tracks=[key:gene_model_track,Options:GeneOnly]&amp;mk=1444902:1444921|offset_15|444444,1444875:1444894|offset_42|444444,1444855:1444874|offset_62|00cc00,1444826:1444845|offset_91|444444&amp;v=1444701:1445045&amp;c=444444", "offset 62")</f>
        <v>offset 62</v>
      </c>
    </row>
    <row r="4586" customFormat="false" ht="12.8" hidden="false" customHeight="false" outlineLevel="0" collapsed="false">
      <c r="A4586" s="0" t="s">
        <v>12</v>
      </c>
      <c r="B4586" s="0" t="n">
        <v>1444825</v>
      </c>
      <c r="C4586" s="0" t="n">
        <v>1444845</v>
      </c>
      <c r="D4586" s="0" t="s">
        <v>15271</v>
      </c>
      <c r="E4586" s="0" t="s">
        <v>75</v>
      </c>
      <c r="F4586" s="0" t="s">
        <v>90</v>
      </c>
      <c r="G4586" s="0" t="s">
        <v>32</v>
      </c>
      <c r="H4586" s="0" t="n">
        <v>91</v>
      </c>
      <c r="I4586" s="0" t="s">
        <v>15281</v>
      </c>
      <c r="J4586" s="0" t="s">
        <v>15282</v>
      </c>
      <c r="K4586" s="0" t="s">
        <v>15283</v>
      </c>
      <c r="L4586" s="0" t="str">
        <f aca="false">HYPERLINK("https://www.ncbi.nlm.nih.gov/nuccore/CP000058.1?report=graph&amp;tracks=[key:gene_model_track,Options:GeneOnly]&amp;mk=1444902:1444921|offset_15|444444,1444875:1444894|offset_42|444444,1444855:1444874|offset_62|444444,1444826:1444845|offset_91|00cc00&amp;v=1444701:1445045&amp;c=444444", "offset 91")</f>
        <v>offset 91</v>
      </c>
    </row>
    <row r="4587" customFormat="false" ht="12.8" hidden="false" customHeight="false" outlineLevel="0" collapsed="false">
      <c r="A4587" s="0" t="s">
        <v>12</v>
      </c>
      <c r="B4587" s="0" t="n">
        <v>1446777</v>
      </c>
      <c r="C4587" s="0" t="n">
        <v>1446797</v>
      </c>
      <c r="D4587" s="0" t="s">
        <v>15284</v>
      </c>
      <c r="E4587" s="0" t="s">
        <v>75</v>
      </c>
      <c r="F4587" s="0" t="s">
        <v>90</v>
      </c>
      <c r="G4587" s="0" t="s">
        <v>20</v>
      </c>
      <c r="H4587" s="0" t="n">
        <v>17</v>
      </c>
      <c r="I4587" s="0" t="s">
        <v>15285</v>
      </c>
      <c r="J4587" s="0" t="s">
        <v>15286</v>
      </c>
      <c r="K4587" s="0" t="s">
        <v>15287</v>
      </c>
      <c r="L4587" s="0" t="str">
        <f aca="false">HYPERLINK("https://www.ncbi.nlm.nih.gov/nuccore/CP000058.1?report=graph&amp;tracks=[key:gene_model_track,Options:GeneOnly]&amp;mk=1446778:1446797|offset_17|00cc00,1446758:1446777|offset_37|444444,1446726:1446745|offset_69|444444,1446697:1446716|offset_98|444444&amp;v=1446577:1446916&amp;c=444444", "offset 17")</f>
        <v>offset 17</v>
      </c>
    </row>
    <row r="4588" customFormat="false" ht="12.8" hidden="false" customHeight="false" outlineLevel="0" collapsed="false">
      <c r="A4588" s="0" t="s">
        <v>12</v>
      </c>
      <c r="B4588" s="0" t="n">
        <v>1446757</v>
      </c>
      <c r="C4588" s="0" t="n">
        <v>1446777</v>
      </c>
      <c r="D4588" s="0" t="s">
        <v>15284</v>
      </c>
      <c r="E4588" s="0" t="s">
        <v>75</v>
      </c>
      <c r="F4588" s="0" t="s">
        <v>90</v>
      </c>
      <c r="G4588" s="0" t="s">
        <v>36</v>
      </c>
      <c r="H4588" s="0" t="n">
        <v>37</v>
      </c>
      <c r="I4588" s="0" t="s">
        <v>15288</v>
      </c>
      <c r="J4588" s="0" t="s">
        <v>15289</v>
      </c>
      <c r="K4588" s="0" t="s">
        <v>15290</v>
      </c>
      <c r="L4588" s="0" t="str">
        <f aca="false">HYPERLINK("https://www.ncbi.nlm.nih.gov/nuccore/CP000058.1?report=graph&amp;tracks=[key:gene_model_track,Options:GeneOnly]&amp;mk=1446778:1446797|offset_17|444444,1446758:1446777|offset_37|00cc00,1446726:1446745|offset_69|444444,1446697:1446716|offset_98|444444&amp;v=1446577:1446916&amp;c=444444", "offset 37")</f>
        <v>offset 37</v>
      </c>
    </row>
    <row r="4589" customFormat="false" ht="12.8" hidden="false" customHeight="false" outlineLevel="0" collapsed="false">
      <c r="A4589" s="0" t="s">
        <v>12</v>
      </c>
      <c r="B4589" s="0" t="n">
        <v>1446725</v>
      </c>
      <c r="C4589" s="0" t="n">
        <v>1446745</v>
      </c>
      <c r="D4589" s="0" t="s">
        <v>15284</v>
      </c>
      <c r="E4589" s="0" t="s">
        <v>75</v>
      </c>
      <c r="F4589" s="0" t="s">
        <v>90</v>
      </c>
      <c r="G4589" s="0" t="s">
        <v>20</v>
      </c>
      <c r="H4589" s="0" t="n">
        <v>69</v>
      </c>
      <c r="I4589" s="0" t="s">
        <v>15291</v>
      </c>
      <c r="J4589" s="0" t="s">
        <v>15292</v>
      </c>
      <c r="K4589" s="0" t="s">
        <v>15293</v>
      </c>
      <c r="L4589" s="0" t="str">
        <f aca="false">HYPERLINK("https://www.ncbi.nlm.nih.gov/nuccore/CP000058.1?report=graph&amp;tracks=[key:gene_model_track,Options:GeneOnly]&amp;mk=1446778:1446797|offset_17|444444,1446758:1446777|offset_37|444444,1446726:1446745|offset_69|00cc00,1446697:1446716|offset_98|444444&amp;v=1446577:1446916&amp;c=444444", "offset 69")</f>
        <v>offset 69</v>
      </c>
    </row>
    <row r="4590" customFormat="false" ht="12.8" hidden="false" customHeight="false" outlineLevel="0" collapsed="false">
      <c r="A4590" s="0" t="s">
        <v>12</v>
      </c>
      <c r="B4590" s="0" t="n">
        <v>1446696</v>
      </c>
      <c r="C4590" s="0" t="n">
        <v>1446716</v>
      </c>
      <c r="D4590" s="0" t="s">
        <v>15284</v>
      </c>
      <c r="E4590" s="0" t="s">
        <v>75</v>
      </c>
      <c r="F4590" s="0" t="s">
        <v>90</v>
      </c>
      <c r="G4590" s="0" t="s">
        <v>20</v>
      </c>
      <c r="H4590" s="0" t="n">
        <v>98</v>
      </c>
      <c r="I4590" s="0" t="s">
        <v>15294</v>
      </c>
      <c r="J4590" s="0" t="s">
        <v>15295</v>
      </c>
      <c r="K4590" s="0" t="s">
        <v>15296</v>
      </c>
      <c r="L4590" s="0" t="str">
        <f aca="false">HYPERLINK("https://www.ncbi.nlm.nih.gov/nuccore/CP000058.1?report=graph&amp;tracks=[key:gene_model_track,Options:GeneOnly]&amp;mk=1446778:1446797|offset_17|444444,1446758:1446777|offset_37|444444,1446726:1446745|offset_69|444444,1446697:1446716|offset_98|00cc00&amp;v=1446577:1446916&amp;c=444444", "offset 98")</f>
        <v>offset 98</v>
      </c>
    </row>
    <row r="4591" customFormat="false" ht="12.8" hidden="false" customHeight="false" outlineLevel="0" collapsed="false">
      <c r="A4591" s="0" t="s">
        <v>12</v>
      </c>
      <c r="B4591" s="0" t="n">
        <v>1447888</v>
      </c>
      <c r="C4591" s="0" t="n">
        <v>1447908</v>
      </c>
      <c r="D4591" s="0" t="s">
        <v>15297</v>
      </c>
      <c r="E4591" s="0" t="s">
        <v>75</v>
      </c>
      <c r="F4591" s="0" t="s">
        <v>90</v>
      </c>
      <c r="G4591" s="0" t="s">
        <v>20</v>
      </c>
      <c r="H4591" s="0" t="n">
        <v>8</v>
      </c>
      <c r="I4591" s="0" t="s">
        <v>15298</v>
      </c>
      <c r="J4591" s="0" t="s">
        <v>15299</v>
      </c>
      <c r="K4591" s="0" t="s">
        <v>15300</v>
      </c>
      <c r="L4591" s="0" t="str">
        <f aca="false">HYPERLINK("https://www.ncbi.nlm.nih.gov/nuccore/CP000058.1?report=graph&amp;tracks=[key:gene_model_track,Options:GeneOnly]&amp;mk=1447889:1447908|offset_8|00cc00,1447868:1447887|offset_29|444444,1447840:1447859|offset_57|444444,1447774:1447793|offset_123|444444&amp;v=1447688:1447993&amp;c=444444", "offset 8")</f>
        <v>offset 8</v>
      </c>
    </row>
    <row r="4592" customFormat="false" ht="12.8" hidden="false" customHeight="false" outlineLevel="0" collapsed="false">
      <c r="A4592" s="0" t="s">
        <v>12</v>
      </c>
      <c r="B4592" s="0" t="n">
        <v>1447867</v>
      </c>
      <c r="C4592" s="0" t="n">
        <v>1447887</v>
      </c>
      <c r="D4592" s="0" t="s">
        <v>15297</v>
      </c>
      <c r="E4592" s="0" t="s">
        <v>75</v>
      </c>
      <c r="F4592" s="0" t="s">
        <v>90</v>
      </c>
      <c r="G4592" s="0" t="s">
        <v>20</v>
      </c>
      <c r="H4592" s="0" t="n">
        <v>29</v>
      </c>
      <c r="I4592" s="0" t="s">
        <v>15301</v>
      </c>
      <c r="J4592" s="0" t="s">
        <v>15302</v>
      </c>
      <c r="K4592" s="0" t="s">
        <v>15303</v>
      </c>
      <c r="L4592" s="0" t="str">
        <f aca="false">HYPERLINK("https://www.ncbi.nlm.nih.gov/nuccore/CP000058.1?report=graph&amp;tracks=[key:gene_model_track,Options:GeneOnly]&amp;mk=1447889:1447908|offset_8|444444,1447868:1447887|offset_29|00cc00,1447840:1447859|offset_57|444444,1447774:1447793|offset_123|444444&amp;v=1447688:1447993&amp;c=444444", "offset 29")</f>
        <v>offset 29</v>
      </c>
    </row>
    <row r="4593" customFormat="false" ht="12.8" hidden="false" customHeight="false" outlineLevel="0" collapsed="false">
      <c r="A4593" s="0" t="s">
        <v>12</v>
      </c>
      <c r="B4593" s="0" t="n">
        <v>1447839</v>
      </c>
      <c r="C4593" s="0" t="n">
        <v>1447859</v>
      </c>
      <c r="D4593" s="0" t="s">
        <v>15297</v>
      </c>
      <c r="E4593" s="0" t="s">
        <v>75</v>
      </c>
      <c r="F4593" s="0" t="s">
        <v>90</v>
      </c>
      <c r="G4593" s="0" t="s">
        <v>20</v>
      </c>
      <c r="H4593" s="0" t="n">
        <v>57</v>
      </c>
      <c r="I4593" s="0" t="s">
        <v>15304</v>
      </c>
      <c r="J4593" s="0" t="s">
        <v>15305</v>
      </c>
      <c r="K4593" s="0" t="s">
        <v>15306</v>
      </c>
      <c r="L4593" s="0" t="str">
        <f aca="false">HYPERLINK("https://www.ncbi.nlm.nih.gov/nuccore/CP000058.1?report=graph&amp;tracks=[key:gene_model_track,Options:GeneOnly]&amp;mk=1447889:1447908|offset_8|444444,1447868:1447887|offset_29|444444,1447840:1447859|offset_57|00cc00,1447774:1447793|offset_123|444444&amp;v=1447688:1447993&amp;c=444444", "offset 57")</f>
        <v>offset 57</v>
      </c>
    </row>
    <row r="4594" customFormat="false" ht="12.8" hidden="false" customHeight="false" outlineLevel="0" collapsed="false">
      <c r="A4594" s="0" t="s">
        <v>12</v>
      </c>
      <c r="B4594" s="0" t="n">
        <v>1447773</v>
      </c>
      <c r="C4594" s="0" t="n">
        <v>1447793</v>
      </c>
      <c r="D4594" s="0" t="s">
        <v>15297</v>
      </c>
      <c r="E4594" s="0" t="s">
        <v>75</v>
      </c>
      <c r="F4594" s="0" t="s">
        <v>90</v>
      </c>
      <c r="G4594" s="0" t="s">
        <v>20</v>
      </c>
      <c r="H4594" s="0" t="n">
        <v>123</v>
      </c>
      <c r="I4594" s="0" t="s">
        <v>15307</v>
      </c>
      <c r="J4594" s="0" t="s">
        <v>15308</v>
      </c>
      <c r="K4594" s="0" t="s">
        <v>15309</v>
      </c>
      <c r="L4594" s="0" t="str">
        <f aca="false">HYPERLINK("https://www.ncbi.nlm.nih.gov/nuccore/CP000058.1?report=graph&amp;tracks=[key:gene_model_track,Options:GeneOnly]&amp;mk=1447889:1447908|offset_8|444444,1447868:1447887|offset_29|444444,1447840:1447859|offset_57|444444,1447774:1447793|offset_123|00cc00&amp;v=1447688:1447993&amp;c=444444", "offset 123")</f>
        <v>offset 123</v>
      </c>
    </row>
    <row r="4595" customFormat="false" ht="12.8" hidden="false" customHeight="false" outlineLevel="0" collapsed="false">
      <c r="A4595" s="0" t="s">
        <v>12</v>
      </c>
      <c r="B4595" s="0" t="n">
        <v>1450838</v>
      </c>
      <c r="C4595" s="0" t="n">
        <v>1450858</v>
      </c>
      <c r="D4595" s="0" t="s">
        <v>15310</v>
      </c>
      <c r="E4595" s="0" t="s">
        <v>75</v>
      </c>
      <c r="F4595" s="0" t="s">
        <v>90</v>
      </c>
      <c r="G4595" s="0" t="s">
        <v>32</v>
      </c>
      <c r="H4595" s="0" t="n">
        <v>10</v>
      </c>
      <c r="I4595" s="0" t="s">
        <v>15311</v>
      </c>
      <c r="J4595" s="0" t="s">
        <v>15312</v>
      </c>
      <c r="K4595" s="0" t="s">
        <v>15313</v>
      </c>
      <c r="L4595" s="0" t="str">
        <f aca="false">HYPERLINK("https://www.ncbi.nlm.nih.gov/nuccore/CP000058.1?report=graph&amp;tracks=[key:gene_model_track,Options:GeneOnly]&amp;mk=1450839:1450858|offset_10|00cc00,1450815:1450834|offset_34|444444,1450779:1450798|offset_70|444444,1450758:1450777|offset_91|444444&amp;v=1450638:1450977&amp;c=444444", "offset 10")</f>
        <v>offset 10</v>
      </c>
    </row>
    <row r="4596" customFormat="false" ht="12.8" hidden="false" customHeight="false" outlineLevel="0" collapsed="false">
      <c r="A4596" s="0" t="s">
        <v>12</v>
      </c>
      <c r="B4596" s="0" t="n">
        <v>1450814</v>
      </c>
      <c r="C4596" s="0" t="n">
        <v>1450834</v>
      </c>
      <c r="D4596" s="0" t="s">
        <v>15310</v>
      </c>
      <c r="E4596" s="0" t="s">
        <v>75</v>
      </c>
      <c r="F4596" s="0" t="s">
        <v>90</v>
      </c>
      <c r="G4596" s="0" t="s">
        <v>36</v>
      </c>
      <c r="H4596" s="0" t="n">
        <v>34</v>
      </c>
      <c r="I4596" s="0" t="s">
        <v>15314</v>
      </c>
      <c r="J4596" s="0" t="s">
        <v>15315</v>
      </c>
      <c r="K4596" s="0" t="s">
        <v>15316</v>
      </c>
      <c r="L4596" s="0" t="str">
        <f aca="false">HYPERLINK("https://www.ncbi.nlm.nih.gov/nuccore/CP000058.1?report=graph&amp;tracks=[key:gene_model_track,Options:GeneOnly]&amp;mk=1450839:1450858|offset_10|444444,1450815:1450834|offset_34|00cc00,1450779:1450798|offset_70|444444,1450758:1450777|offset_91|444444&amp;v=1450638:1450977&amp;c=444444", "offset 34")</f>
        <v>offset 34</v>
      </c>
    </row>
    <row r="4597" customFormat="false" ht="12.8" hidden="false" customHeight="false" outlineLevel="0" collapsed="false">
      <c r="A4597" s="0" t="s">
        <v>12</v>
      </c>
      <c r="B4597" s="0" t="n">
        <v>1450778</v>
      </c>
      <c r="C4597" s="0" t="n">
        <v>1450798</v>
      </c>
      <c r="D4597" s="0" t="s">
        <v>15310</v>
      </c>
      <c r="E4597" s="0" t="s">
        <v>75</v>
      </c>
      <c r="F4597" s="0" t="s">
        <v>90</v>
      </c>
      <c r="G4597" s="0" t="s">
        <v>36</v>
      </c>
      <c r="H4597" s="0" t="n">
        <v>70</v>
      </c>
      <c r="I4597" s="0" t="s">
        <v>15317</v>
      </c>
      <c r="J4597" s="0" t="s">
        <v>15318</v>
      </c>
      <c r="K4597" s="0" t="s">
        <v>15319</v>
      </c>
      <c r="L4597" s="0" t="str">
        <f aca="false">HYPERLINK("https://www.ncbi.nlm.nih.gov/nuccore/CP000058.1?report=graph&amp;tracks=[key:gene_model_track,Options:GeneOnly]&amp;mk=1450839:1450858|offset_10|444444,1450815:1450834|offset_34|444444,1450779:1450798|offset_70|00cc00,1450758:1450777|offset_91|444444&amp;v=1450638:1450977&amp;c=444444", "offset 70")</f>
        <v>offset 70</v>
      </c>
    </row>
    <row r="4598" customFormat="false" ht="12.8" hidden="false" customHeight="false" outlineLevel="0" collapsed="false">
      <c r="A4598" s="0" t="s">
        <v>12</v>
      </c>
      <c r="B4598" s="0" t="n">
        <v>1450757</v>
      </c>
      <c r="C4598" s="0" t="n">
        <v>1450777</v>
      </c>
      <c r="D4598" s="0" t="s">
        <v>15310</v>
      </c>
      <c r="E4598" s="0" t="s">
        <v>75</v>
      </c>
      <c r="F4598" s="0" t="s">
        <v>90</v>
      </c>
      <c r="G4598" s="0" t="s">
        <v>36</v>
      </c>
      <c r="H4598" s="0" t="n">
        <v>91</v>
      </c>
      <c r="I4598" s="0" t="s">
        <v>15320</v>
      </c>
      <c r="J4598" s="0" t="s">
        <v>15321</v>
      </c>
      <c r="K4598" s="0" t="s">
        <v>15322</v>
      </c>
      <c r="L4598" s="0" t="str">
        <f aca="false">HYPERLINK("https://www.ncbi.nlm.nih.gov/nuccore/CP000058.1?report=graph&amp;tracks=[key:gene_model_track,Options:GeneOnly]&amp;mk=1450839:1450858|offset_10|444444,1450815:1450834|offset_34|444444,1450779:1450798|offset_70|444444,1450758:1450777|offset_91|00cc00&amp;v=1450638:1450977&amp;c=444444", "offset 91")</f>
        <v>offset 91</v>
      </c>
    </row>
    <row r="4599" customFormat="false" ht="12.8" hidden="false" customHeight="false" outlineLevel="0" collapsed="false">
      <c r="A4599" s="0" t="s">
        <v>12</v>
      </c>
      <c r="B4599" s="0" t="n">
        <v>1451459</v>
      </c>
      <c r="C4599" s="0" t="n">
        <v>1451479</v>
      </c>
      <c r="D4599" s="0" t="s">
        <v>15323</v>
      </c>
      <c r="E4599" s="0" t="s">
        <v>75</v>
      </c>
      <c r="F4599" s="0" t="s">
        <v>90</v>
      </c>
      <c r="G4599" s="0" t="s">
        <v>32</v>
      </c>
      <c r="H4599" s="0" t="n">
        <v>7</v>
      </c>
      <c r="I4599" s="0" t="s">
        <v>15324</v>
      </c>
      <c r="J4599" s="0" t="s">
        <v>15325</v>
      </c>
      <c r="K4599" s="0" t="s">
        <v>15326</v>
      </c>
      <c r="L4599" s="0" t="str">
        <f aca="false">HYPERLINK("https://www.ncbi.nlm.nih.gov/nuccore/CP000058.1?report=graph&amp;tracks=[key:gene_model_track,Options:GeneOnly]&amp;mk=1451460:1451479|offset_7|00cc00,1451424:1451443|offset_43|444444,1451375:1451394|offset_92|444444,1451328:1451347|offset_139|444444&amp;v=1451259:1451547&amp;c=444444", "offset 7")</f>
        <v>offset 7</v>
      </c>
    </row>
    <row r="4600" customFormat="false" ht="12.8" hidden="false" customHeight="false" outlineLevel="0" collapsed="false">
      <c r="A4600" s="0" t="s">
        <v>12</v>
      </c>
      <c r="B4600" s="0" t="n">
        <v>1451423</v>
      </c>
      <c r="C4600" s="0" t="n">
        <v>1451443</v>
      </c>
      <c r="D4600" s="0" t="s">
        <v>15323</v>
      </c>
      <c r="E4600" s="0" t="s">
        <v>75</v>
      </c>
      <c r="F4600" s="0" t="s">
        <v>90</v>
      </c>
      <c r="G4600" s="0" t="s">
        <v>32</v>
      </c>
      <c r="H4600" s="0" t="n">
        <v>43</v>
      </c>
      <c r="I4600" s="0" t="s">
        <v>15327</v>
      </c>
      <c r="J4600" s="0" t="s">
        <v>15328</v>
      </c>
      <c r="K4600" s="0" t="s">
        <v>15329</v>
      </c>
      <c r="L4600" s="0" t="str">
        <f aca="false">HYPERLINK("https://www.ncbi.nlm.nih.gov/nuccore/CP000058.1?report=graph&amp;tracks=[key:gene_model_track,Options:GeneOnly]&amp;mk=1451460:1451479|offset_7|444444,1451424:1451443|offset_43|00cc00,1451375:1451394|offset_92|444444,1451328:1451347|offset_139|444444&amp;v=1451259:1451547&amp;c=444444", "offset 43")</f>
        <v>offset 43</v>
      </c>
    </row>
    <row r="4601" customFormat="false" ht="12.8" hidden="false" customHeight="false" outlineLevel="0" collapsed="false">
      <c r="A4601" s="0" t="s">
        <v>12</v>
      </c>
      <c r="B4601" s="0" t="n">
        <v>1451374</v>
      </c>
      <c r="C4601" s="0" t="n">
        <v>1451394</v>
      </c>
      <c r="D4601" s="0" t="s">
        <v>15323</v>
      </c>
      <c r="E4601" s="0" t="s">
        <v>75</v>
      </c>
      <c r="F4601" s="0" t="s">
        <v>90</v>
      </c>
      <c r="G4601" s="0" t="s">
        <v>20</v>
      </c>
      <c r="H4601" s="0" t="n">
        <v>92</v>
      </c>
      <c r="I4601" s="0" t="s">
        <v>15330</v>
      </c>
      <c r="J4601" s="0" t="s">
        <v>15331</v>
      </c>
      <c r="K4601" s="0" t="s">
        <v>15332</v>
      </c>
      <c r="L4601" s="0" t="str">
        <f aca="false">HYPERLINK("https://www.ncbi.nlm.nih.gov/nuccore/CP000058.1?report=graph&amp;tracks=[key:gene_model_track,Options:GeneOnly]&amp;mk=1451460:1451479|offset_7|444444,1451424:1451443|offset_43|444444,1451375:1451394|offset_92|00cc00,1451328:1451347|offset_139|444444&amp;v=1451259:1451547&amp;c=444444", "offset 92")</f>
        <v>offset 92</v>
      </c>
    </row>
    <row r="4602" customFormat="false" ht="12.8" hidden="false" customHeight="false" outlineLevel="0" collapsed="false">
      <c r="A4602" s="0" t="s">
        <v>12</v>
      </c>
      <c r="B4602" s="0" t="n">
        <v>1451327</v>
      </c>
      <c r="C4602" s="0" t="n">
        <v>1451347</v>
      </c>
      <c r="D4602" s="0" t="s">
        <v>15323</v>
      </c>
      <c r="E4602" s="0" t="s">
        <v>75</v>
      </c>
      <c r="F4602" s="0" t="s">
        <v>90</v>
      </c>
      <c r="G4602" s="0" t="s">
        <v>16</v>
      </c>
      <c r="H4602" s="0" t="n">
        <v>139</v>
      </c>
      <c r="I4602" s="0" t="s">
        <v>15333</v>
      </c>
      <c r="J4602" s="0" t="s">
        <v>15334</v>
      </c>
      <c r="K4602" s="0" t="s">
        <v>15335</v>
      </c>
      <c r="L4602" s="0" t="str">
        <f aca="false">HYPERLINK("https://www.ncbi.nlm.nih.gov/nuccore/CP000058.1?report=graph&amp;tracks=[key:gene_model_track,Options:GeneOnly]&amp;mk=1451460:1451479|offset_7|444444,1451424:1451443|offset_43|444444,1451375:1451394|offset_92|444444,1451328:1451347|offset_139|00cc00&amp;v=1451259:1451547&amp;c=444444", "offset 139")</f>
        <v>offset 139</v>
      </c>
    </row>
    <row r="4603" customFormat="false" ht="12.8" hidden="false" customHeight="false" outlineLevel="0" collapsed="false">
      <c r="A4603" s="0" t="s">
        <v>12</v>
      </c>
      <c r="B4603" s="0" t="n">
        <v>1452037</v>
      </c>
      <c r="C4603" s="0" t="n">
        <v>1452057</v>
      </c>
      <c r="D4603" s="0" t="s">
        <v>15336</v>
      </c>
      <c r="E4603" s="0" t="s">
        <v>75</v>
      </c>
      <c r="F4603" s="0" t="s">
        <v>90</v>
      </c>
      <c r="G4603" s="0" t="s">
        <v>20</v>
      </c>
      <c r="H4603" s="0" t="n">
        <v>7</v>
      </c>
      <c r="I4603" s="0" t="s">
        <v>15337</v>
      </c>
      <c r="J4603" s="0" t="s">
        <v>15338</v>
      </c>
      <c r="K4603" s="0" t="s">
        <v>15339</v>
      </c>
      <c r="L4603" s="0" t="str">
        <f aca="false">HYPERLINK("https://www.ncbi.nlm.nih.gov/nuccore/CP000058.1?report=graph&amp;tracks=[key:gene_model_track,Options:GeneOnly]&amp;mk=1452038:1452057|offset_7|00cc00,1452004:1452023|offset_41|444444,1451963:1451982|offset_82|444444,1451936:1451955|offset_109|444444&amp;v=1451837:1452155&amp;c=444444", "offset 7")</f>
        <v>offset 7</v>
      </c>
    </row>
    <row r="4604" customFormat="false" ht="12.8" hidden="false" customHeight="false" outlineLevel="0" collapsed="false">
      <c r="A4604" s="0" t="s">
        <v>12</v>
      </c>
      <c r="B4604" s="0" t="n">
        <v>1452003</v>
      </c>
      <c r="C4604" s="0" t="n">
        <v>1452023</v>
      </c>
      <c r="D4604" s="0" t="s">
        <v>15336</v>
      </c>
      <c r="E4604" s="0" t="s">
        <v>75</v>
      </c>
      <c r="F4604" s="0" t="s">
        <v>90</v>
      </c>
      <c r="G4604" s="0" t="s">
        <v>20</v>
      </c>
      <c r="H4604" s="0" t="n">
        <v>41</v>
      </c>
      <c r="I4604" s="0" t="s">
        <v>15340</v>
      </c>
      <c r="J4604" s="0" t="s">
        <v>15341</v>
      </c>
      <c r="K4604" s="0" t="s">
        <v>15342</v>
      </c>
      <c r="L4604" s="0" t="str">
        <f aca="false">HYPERLINK("https://www.ncbi.nlm.nih.gov/nuccore/CP000058.1?report=graph&amp;tracks=[key:gene_model_track,Options:GeneOnly]&amp;mk=1452038:1452057|offset_7|444444,1452004:1452023|offset_41|00cc00,1451963:1451982|offset_82|444444,1451936:1451955|offset_109|444444&amp;v=1451837:1452155&amp;c=444444", "offset 41")</f>
        <v>offset 41</v>
      </c>
    </row>
    <row r="4605" customFormat="false" ht="12.8" hidden="false" customHeight="false" outlineLevel="0" collapsed="false">
      <c r="A4605" s="0" t="s">
        <v>12</v>
      </c>
      <c r="B4605" s="0" t="n">
        <v>1451962</v>
      </c>
      <c r="C4605" s="0" t="n">
        <v>1451982</v>
      </c>
      <c r="D4605" s="0" t="s">
        <v>15336</v>
      </c>
      <c r="E4605" s="0" t="s">
        <v>75</v>
      </c>
      <c r="F4605" s="0" t="s">
        <v>90</v>
      </c>
      <c r="G4605" s="0" t="s">
        <v>36</v>
      </c>
      <c r="H4605" s="0" t="n">
        <v>82</v>
      </c>
      <c r="I4605" s="0" t="s">
        <v>15343</v>
      </c>
      <c r="J4605" s="0" t="s">
        <v>15344</v>
      </c>
      <c r="K4605" s="0" t="s">
        <v>15345</v>
      </c>
      <c r="L4605" s="0" t="str">
        <f aca="false">HYPERLINK("https://www.ncbi.nlm.nih.gov/nuccore/CP000058.1?report=graph&amp;tracks=[key:gene_model_track,Options:GeneOnly]&amp;mk=1452038:1452057|offset_7|444444,1452004:1452023|offset_41|444444,1451963:1451982|offset_82|00cc00,1451936:1451955|offset_109|444444&amp;v=1451837:1452155&amp;c=444444", "offset 82")</f>
        <v>offset 82</v>
      </c>
    </row>
    <row r="4606" customFormat="false" ht="12.8" hidden="false" customHeight="false" outlineLevel="0" collapsed="false">
      <c r="A4606" s="0" t="s">
        <v>12</v>
      </c>
      <c r="B4606" s="0" t="n">
        <v>1451935</v>
      </c>
      <c r="C4606" s="0" t="n">
        <v>1451955</v>
      </c>
      <c r="D4606" s="0" t="s">
        <v>15336</v>
      </c>
      <c r="E4606" s="0" t="s">
        <v>75</v>
      </c>
      <c r="F4606" s="0" t="s">
        <v>90</v>
      </c>
      <c r="G4606" s="0" t="s">
        <v>20</v>
      </c>
      <c r="H4606" s="0" t="n">
        <v>109</v>
      </c>
      <c r="I4606" s="0" t="s">
        <v>15346</v>
      </c>
      <c r="J4606" s="0" t="s">
        <v>15347</v>
      </c>
      <c r="K4606" s="0" t="s">
        <v>15348</v>
      </c>
      <c r="L4606" s="0" t="str">
        <f aca="false">HYPERLINK("https://www.ncbi.nlm.nih.gov/nuccore/CP000058.1?report=graph&amp;tracks=[key:gene_model_track,Options:GeneOnly]&amp;mk=1452038:1452057|offset_7|444444,1452004:1452023|offset_41|444444,1451963:1451982|offset_82|444444,1451936:1451955|offset_109|00cc00&amp;v=1451837:1452155&amp;c=444444", "offset 109")</f>
        <v>offset 109</v>
      </c>
    </row>
    <row r="4607" customFormat="false" ht="12.8" hidden="false" customHeight="false" outlineLevel="0" collapsed="false">
      <c r="A4607" s="0" t="s">
        <v>12</v>
      </c>
      <c r="B4607" s="0" t="n">
        <v>1452279</v>
      </c>
      <c r="C4607" s="0" t="n">
        <v>1452299</v>
      </c>
      <c r="D4607" s="0" t="s">
        <v>15349</v>
      </c>
      <c r="E4607" s="0" t="s">
        <v>75</v>
      </c>
      <c r="F4607" s="0" t="s">
        <v>15</v>
      </c>
      <c r="G4607" s="0" t="s">
        <v>16</v>
      </c>
      <c r="H4607" s="0" t="n">
        <v>52</v>
      </c>
      <c r="I4607" s="0" t="s">
        <v>15350</v>
      </c>
      <c r="J4607" s="0" t="s">
        <v>15351</v>
      </c>
      <c r="K4607" s="0" t="s">
        <v>15352</v>
      </c>
      <c r="L4607" s="0" t="str">
        <f aca="false">HYPERLINK("https://www.ncbi.nlm.nih.gov/nuccore/CP000058.1?report=graph&amp;tracks=[key:gene_model_track,Options:GeneOnly]&amp;mk=1452280:1452299|offset_52|00cc00,1452356:1452375|offset_128|444444,1452388:1452407|offset_160|444444,1452413:1452432|offset_185|444444&amp;v=1452079:1452632&amp;c=444444", "offset 52")</f>
        <v>offset 52</v>
      </c>
    </row>
    <row r="4608" customFormat="false" ht="12.8" hidden="false" customHeight="false" outlineLevel="0" collapsed="false">
      <c r="A4608" s="0" t="s">
        <v>12</v>
      </c>
      <c r="B4608" s="0" t="n">
        <v>1452355</v>
      </c>
      <c r="C4608" s="0" t="n">
        <v>1452375</v>
      </c>
      <c r="D4608" s="0" t="s">
        <v>15349</v>
      </c>
      <c r="E4608" s="0" t="s">
        <v>75</v>
      </c>
      <c r="F4608" s="0" t="s">
        <v>15</v>
      </c>
      <c r="G4608" s="0" t="s">
        <v>20</v>
      </c>
      <c r="H4608" s="0" t="n">
        <v>128</v>
      </c>
      <c r="I4608" s="0" t="s">
        <v>15353</v>
      </c>
      <c r="J4608" s="0" t="s">
        <v>15354</v>
      </c>
      <c r="K4608" s="0" t="s">
        <v>15355</v>
      </c>
      <c r="L4608" s="0" t="str">
        <f aca="false">HYPERLINK("https://www.ncbi.nlm.nih.gov/nuccore/CP000058.1?report=graph&amp;tracks=[key:gene_model_track,Options:GeneOnly]&amp;mk=1452280:1452299|offset_52|444444,1452356:1452375|offset_128|00cc00,1452388:1452407|offset_160|444444,1452413:1452432|offset_185|444444&amp;v=1452079:1452632&amp;c=444444", "offset 128")</f>
        <v>offset 128</v>
      </c>
    </row>
    <row r="4609" customFormat="false" ht="12.8" hidden="false" customHeight="false" outlineLevel="0" collapsed="false">
      <c r="A4609" s="0" t="s">
        <v>12</v>
      </c>
      <c r="B4609" s="0" t="n">
        <v>1452387</v>
      </c>
      <c r="C4609" s="0" t="n">
        <v>1452407</v>
      </c>
      <c r="D4609" s="0" t="s">
        <v>15349</v>
      </c>
      <c r="E4609" s="0" t="s">
        <v>75</v>
      </c>
      <c r="F4609" s="0" t="s">
        <v>15</v>
      </c>
      <c r="G4609" s="0" t="s">
        <v>20</v>
      </c>
      <c r="H4609" s="0" t="n">
        <v>160</v>
      </c>
      <c r="I4609" s="0" t="s">
        <v>15356</v>
      </c>
      <c r="J4609" s="0" t="s">
        <v>15357</v>
      </c>
      <c r="K4609" s="0" t="s">
        <v>15358</v>
      </c>
      <c r="L4609" s="0" t="str">
        <f aca="false">HYPERLINK("https://www.ncbi.nlm.nih.gov/nuccore/CP000058.1?report=graph&amp;tracks=[key:gene_model_track,Options:GeneOnly]&amp;mk=1452280:1452299|offset_52|444444,1452356:1452375|offset_128|444444,1452388:1452407|offset_160|00cc00,1452413:1452432|offset_185|444444&amp;v=1452079:1452632&amp;c=444444", "offset 160")</f>
        <v>offset 160</v>
      </c>
    </row>
    <row r="4610" customFormat="false" ht="12.8" hidden="false" customHeight="false" outlineLevel="0" collapsed="false">
      <c r="A4610" s="0" t="s">
        <v>12</v>
      </c>
      <c r="B4610" s="0" t="n">
        <v>1452412</v>
      </c>
      <c r="C4610" s="0" t="n">
        <v>1452432</v>
      </c>
      <c r="D4610" s="0" t="s">
        <v>15349</v>
      </c>
      <c r="E4610" s="0" t="s">
        <v>75</v>
      </c>
      <c r="F4610" s="0" t="s">
        <v>15</v>
      </c>
      <c r="G4610" s="0" t="s">
        <v>20</v>
      </c>
      <c r="H4610" s="0" t="n">
        <v>185</v>
      </c>
      <c r="I4610" s="0" t="s">
        <v>15359</v>
      </c>
      <c r="J4610" s="0" t="s">
        <v>15360</v>
      </c>
      <c r="K4610" s="0" t="s">
        <v>15361</v>
      </c>
      <c r="L4610" s="0" t="str">
        <f aca="false">HYPERLINK("https://www.ncbi.nlm.nih.gov/nuccore/CP000058.1?report=graph&amp;tracks=[key:gene_model_track,Options:GeneOnly]&amp;mk=1452280:1452299|offset_52|444444,1452356:1452375|offset_128|444444,1452388:1452407|offset_160|444444,1452413:1452432|offset_185|00cc00&amp;v=1452079:1452632&amp;c=444444", "offset 185")</f>
        <v>offset 185</v>
      </c>
    </row>
    <row r="4611" customFormat="false" ht="12.8" hidden="false" customHeight="false" outlineLevel="0" collapsed="false">
      <c r="A4611" s="0" t="s">
        <v>12</v>
      </c>
      <c r="B4611" s="0" t="n">
        <v>1454280</v>
      </c>
      <c r="C4611" s="0" t="n">
        <v>1454300</v>
      </c>
      <c r="D4611" s="0" t="s">
        <v>15362</v>
      </c>
      <c r="E4611" s="0" t="s">
        <v>75</v>
      </c>
      <c r="F4611" s="0" t="s">
        <v>90</v>
      </c>
      <c r="G4611" s="0" t="s">
        <v>20</v>
      </c>
      <c r="H4611" s="0" t="n">
        <v>19</v>
      </c>
      <c r="I4611" s="0" t="s">
        <v>15363</v>
      </c>
      <c r="J4611" s="0" t="s">
        <v>15364</v>
      </c>
      <c r="K4611" s="0" t="s">
        <v>15365</v>
      </c>
      <c r="L4611" s="0" t="str">
        <f aca="false">HYPERLINK("https://www.ncbi.nlm.nih.gov/nuccore/CP000058.1?report=graph&amp;tracks=[key:gene_model_track,Options:GeneOnly]&amp;mk=1454281:1454300|offset_19|00cc00,1454240:1454259|offset_60|444444,1454218:1454237|offset_82|444444,1454173:1454192|offset_127|444444&amp;v=1454080:1454392&amp;c=444444", "offset 19")</f>
        <v>offset 19</v>
      </c>
    </row>
    <row r="4612" customFormat="false" ht="12.8" hidden="false" customHeight="false" outlineLevel="0" collapsed="false">
      <c r="A4612" s="0" t="s">
        <v>12</v>
      </c>
      <c r="B4612" s="0" t="n">
        <v>1454239</v>
      </c>
      <c r="C4612" s="0" t="n">
        <v>1454259</v>
      </c>
      <c r="D4612" s="0" t="s">
        <v>15362</v>
      </c>
      <c r="E4612" s="0" t="s">
        <v>75</v>
      </c>
      <c r="F4612" s="0" t="s">
        <v>90</v>
      </c>
      <c r="G4612" s="0" t="s">
        <v>16</v>
      </c>
      <c r="H4612" s="0" t="n">
        <v>60</v>
      </c>
      <c r="I4612" s="0" t="s">
        <v>15366</v>
      </c>
      <c r="J4612" s="0" t="s">
        <v>15367</v>
      </c>
      <c r="K4612" s="0" t="s">
        <v>15368</v>
      </c>
      <c r="L4612" s="0" t="str">
        <f aca="false">HYPERLINK("https://www.ncbi.nlm.nih.gov/nuccore/CP000058.1?report=graph&amp;tracks=[key:gene_model_track,Options:GeneOnly]&amp;mk=1454281:1454300|offset_19|444444,1454240:1454259|offset_60|00cc00,1454218:1454237|offset_82|444444,1454173:1454192|offset_127|444444&amp;v=1454080:1454392&amp;c=444444", "offset 60")</f>
        <v>offset 60</v>
      </c>
    </row>
    <row r="4613" customFormat="false" ht="12.8" hidden="false" customHeight="false" outlineLevel="0" collapsed="false">
      <c r="A4613" s="0" t="s">
        <v>12</v>
      </c>
      <c r="B4613" s="0" t="n">
        <v>1454217</v>
      </c>
      <c r="C4613" s="0" t="n">
        <v>1454237</v>
      </c>
      <c r="D4613" s="0" t="s">
        <v>15362</v>
      </c>
      <c r="E4613" s="0" t="s">
        <v>75</v>
      </c>
      <c r="F4613" s="0" t="s">
        <v>90</v>
      </c>
      <c r="G4613" s="0" t="s">
        <v>16</v>
      </c>
      <c r="H4613" s="0" t="n">
        <v>82</v>
      </c>
      <c r="I4613" s="0" t="s">
        <v>15369</v>
      </c>
      <c r="J4613" s="0" t="s">
        <v>15370</v>
      </c>
      <c r="K4613" s="0" t="s">
        <v>15371</v>
      </c>
      <c r="L4613" s="0" t="str">
        <f aca="false">HYPERLINK("https://www.ncbi.nlm.nih.gov/nuccore/CP000058.1?report=graph&amp;tracks=[key:gene_model_track,Options:GeneOnly]&amp;mk=1454281:1454300|offset_19|444444,1454240:1454259|offset_60|444444,1454218:1454237|offset_82|00cc00,1454173:1454192|offset_127|444444&amp;v=1454080:1454392&amp;c=444444", "offset 82")</f>
        <v>offset 82</v>
      </c>
    </row>
    <row r="4614" customFormat="false" ht="12.8" hidden="false" customHeight="false" outlineLevel="0" collapsed="false">
      <c r="A4614" s="0" t="s">
        <v>12</v>
      </c>
      <c r="B4614" s="0" t="n">
        <v>1454172</v>
      </c>
      <c r="C4614" s="0" t="n">
        <v>1454192</v>
      </c>
      <c r="D4614" s="0" t="s">
        <v>15362</v>
      </c>
      <c r="E4614" s="0" t="s">
        <v>75</v>
      </c>
      <c r="F4614" s="0" t="s">
        <v>90</v>
      </c>
      <c r="G4614" s="0" t="s">
        <v>16</v>
      </c>
      <c r="H4614" s="0" t="n">
        <v>127</v>
      </c>
      <c r="I4614" s="0" t="s">
        <v>15372</v>
      </c>
      <c r="J4614" s="0" t="s">
        <v>15373</v>
      </c>
      <c r="K4614" s="0" t="s">
        <v>15374</v>
      </c>
      <c r="L4614" s="0" t="str">
        <f aca="false">HYPERLINK("https://www.ncbi.nlm.nih.gov/nuccore/CP000058.1?report=graph&amp;tracks=[key:gene_model_track,Options:GeneOnly]&amp;mk=1454281:1454300|offset_19|444444,1454240:1454259|offset_60|444444,1454218:1454237|offset_82|444444,1454173:1454192|offset_127|00cc00&amp;v=1454080:1454392&amp;c=444444", "offset 127")</f>
        <v>offset 127</v>
      </c>
    </row>
    <row r="4615" customFormat="false" ht="12.8" hidden="false" customHeight="false" outlineLevel="0" collapsed="false">
      <c r="A4615" s="0" t="s">
        <v>12</v>
      </c>
      <c r="B4615" s="0" t="n">
        <v>1454644</v>
      </c>
      <c r="C4615" s="0" t="n">
        <v>1454664</v>
      </c>
      <c r="D4615" s="0" t="s">
        <v>15375</v>
      </c>
      <c r="E4615" s="0" t="s">
        <v>15376</v>
      </c>
      <c r="F4615" s="0" t="s">
        <v>15</v>
      </c>
      <c r="G4615" s="0" t="s">
        <v>36</v>
      </c>
      <c r="H4615" s="0" t="n">
        <v>16</v>
      </c>
      <c r="I4615" s="0" t="s">
        <v>15377</v>
      </c>
      <c r="J4615" s="0" t="s">
        <v>15378</v>
      </c>
      <c r="K4615" s="0" t="s">
        <v>15379</v>
      </c>
      <c r="L4615" s="0" t="str">
        <f aca="false">HYPERLINK("https://www.ncbi.nlm.nih.gov/nuccore/CP000058.1?report=graph&amp;tracks=[key:gene_model_track,Options:GeneOnly]&amp;mk=1454645:1454664|offset_16|00cc00,1454666:1454685|offset_37|444444,1454705:1454724|offset_76|444444,1454740:1454759|offset_111|444444&amp;v=1454444:1454959&amp;c=444444", "offset 16")</f>
        <v>offset 16</v>
      </c>
    </row>
    <row r="4616" customFormat="false" ht="12.8" hidden="false" customHeight="false" outlineLevel="0" collapsed="false">
      <c r="A4616" s="0" t="s">
        <v>12</v>
      </c>
      <c r="B4616" s="0" t="n">
        <v>1454665</v>
      </c>
      <c r="C4616" s="0" t="n">
        <v>1454685</v>
      </c>
      <c r="D4616" s="0" t="s">
        <v>15375</v>
      </c>
      <c r="E4616" s="0" t="s">
        <v>15376</v>
      </c>
      <c r="F4616" s="0" t="s">
        <v>15</v>
      </c>
      <c r="G4616" s="0" t="s">
        <v>32</v>
      </c>
      <c r="H4616" s="0" t="n">
        <v>37</v>
      </c>
      <c r="I4616" s="0" t="s">
        <v>15380</v>
      </c>
      <c r="J4616" s="0" t="s">
        <v>15381</v>
      </c>
      <c r="K4616" s="0" t="s">
        <v>15382</v>
      </c>
      <c r="L4616" s="0" t="str">
        <f aca="false">HYPERLINK("https://www.ncbi.nlm.nih.gov/nuccore/CP000058.1?report=graph&amp;tracks=[key:gene_model_track,Options:GeneOnly]&amp;mk=1454645:1454664|offset_16|444444,1454666:1454685|offset_37|00cc00,1454705:1454724|offset_76|444444,1454740:1454759|offset_111|444444&amp;v=1454444:1454959&amp;c=444444", "offset 37")</f>
        <v>offset 37</v>
      </c>
    </row>
    <row r="4617" customFormat="false" ht="12.8" hidden="false" customHeight="false" outlineLevel="0" collapsed="false">
      <c r="A4617" s="0" t="s">
        <v>12</v>
      </c>
      <c r="B4617" s="0" t="n">
        <v>1454704</v>
      </c>
      <c r="C4617" s="0" t="n">
        <v>1454724</v>
      </c>
      <c r="D4617" s="0" t="s">
        <v>15375</v>
      </c>
      <c r="E4617" s="0" t="s">
        <v>15376</v>
      </c>
      <c r="F4617" s="0" t="s">
        <v>15</v>
      </c>
      <c r="G4617" s="0" t="s">
        <v>32</v>
      </c>
      <c r="H4617" s="0" t="n">
        <v>76</v>
      </c>
      <c r="I4617" s="0" t="s">
        <v>15383</v>
      </c>
      <c r="J4617" s="0" t="s">
        <v>15384</v>
      </c>
      <c r="K4617" s="0" t="s">
        <v>15385</v>
      </c>
      <c r="L4617" s="0" t="str">
        <f aca="false">HYPERLINK("https://www.ncbi.nlm.nih.gov/nuccore/CP000058.1?report=graph&amp;tracks=[key:gene_model_track,Options:GeneOnly]&amp;mk=1454645:1454664|offset_16|444444,1454666:1454685|offset_37|444444,1454705:1454724|offset_76|00cc00,1454740:1454759|offset_111|444444&amp;v=1454444:1454959&amp;c=444444", "offset 76")</f>
        <v>offset 76</v>
      </c>
    </row>
    <row r="4618" customFormat="false" ht="12.8" hidden="false" customHeight="false" outlineLevel="0" collapsed="false">
      <c r="A4618" s="0" t="s">
        <v>12</v>
      </c>
      <c r="B4618" s="0" t="n">
        <v>1454739</v>
      </c>
      <c r="C4618" s="0" t="n">
        <v>1454759</v>
      </c>
      <c r="D4618" s="0" t="s">
        <v>15375</v>
      </c>
      <c r="E4618" s="0" t="s">
        <v>15376</v>
      </c>
      <c r="F4618" s="0" t="s">
        <v>15</v>
      </c>
      <c r="G4618" s="0" t="s">
        <v>20</v>
      </c>
      <c r="H4618" s="0" t="n">
        <v>111</v>
      </c>
      <c r="I4618" s="0" t="s">
        <v>15386</v>
      </c>
      <c r="J4618" s="0" t="s">
        <v>15387</v>
      </c>
      <c r="K4618" s="0" t="s">
        <v>15388</v>
      </c>
      <c r="L4618" s="0" t="str">
        <f aca="false">HYPERLINK("https://www.ncbi.nlm.nih.gov/nuccore/CP000058.1?report=graph&amp;tracks=[key:gene_model_track,Options:GeneOnly]&amp;mk=1454645:1454664|offset_16|444444,1454666:1454685|offset_37|444444,1454705:1454724|offset_76|444444,1454740:1454759|offset_111|00cc00&amp;v=1454444:1454959&amp;c=444444", "offset 111")</f>
        <v>offset 111</v>
      </c>
    </row>
    <row r="4619" customFormat="false" ht="12.8" hidden="false" customHeight="false" outlineLevel="0" collapsed="false">
      <c r="A4619" s="0" t="s">
        <v>12</v>
      </c>
      <c r="B4619" s="0" t="n">
        <v>1455905</v>
      </c>
      <c r="C4619" s="0" t="n">
        <v>1455925</v>
      </c>
      <c r="D4619" s="0" t="s">
        <v>15389</v>
      </c>
      <c r="E4619" s="0" t="s">
        <v>75</v>
      </c>
      <c r="F4619" s="0" t="s">
        <v>15</v>
      </c>
      <c r="G4619" s="0" t="s">
        <v>32</v>
      </c>
      <c r="H4619" s="0" t="n">
        <v>1</v>
      </c>
      <c r="I4619" s="0" t="s">
        <v>15390</v>
      </c>
      <c r="J4619" s="0" t="s">
        <v>15391</v>
      </c>
      <c r="K4619" s="0" t="s">
        <v>15392</v>
      </c>
      <c r="L4619" s="0" t="str">
        <f aca="false">HYPERLINK("https://www.ncbi.nlm.nih.gov/nuccore/CP000058.1?report=graph&amp;tracks=[key:gene_model_track,Options:GeneOnly]&amp;mk=1455906:1455925|offset_1|00cc00,1455942:1455961|offset_37|444444,1456026:1456045|offset_121|444444,1456066:1456085|offset_161|444444&amp;v=1455705:1456285&amp;c=444444", "offset 1")</f>
        <v>offset 1</v>
      </c>
    </row>
    <row r="4620" customFormat="false" ht="12.8" hidden="false" customHeight="false" outlineLevel="0" collapsed="false">
      <c r="A4620" s="0" t="s">
        <v>12</v>
      </c>
      <c r="B4620" s="0" t="n">
        <v>1455941</v>
      </c>
      <c r="C4620" s="0" t="n">
        <v>1455961</v>
      </c>
      <c r="D4620" s="0" t="s">
        <v>15389</v>
      </c>
      <c r="E4620" s="0" t="s">
        <v>75</v>
      </c>
      <c r="F4620" s="0" t="s">
        <v>15</v>
      </c>
      <c r="G4620" s="0" t="s">
        <v>20</v>
      </c>
      <c r="H4620" s="0" t="n">
        <v>37</v>
      </c>
      <c r="I4620" s="0" t="s">
        <v>15393</v>
      </c>
      <c r="J4620" s="0" t="s">
        <v>15394</v>
      </c>
      <c r="K4620" s="0" t="s">
        <v>15395</v>
      </c>
      <c r="L4620" s="0" t="str">
        <f aca="false">HYPERLINK("https://www.ncbi.nlm.nih.gov/nuccore/CP000058.1?report=graph&amp;tracks=[key:gene_model_track,Options:GeneOnly]&amp;mk=1455906:1455925|offset_1|444444,1455942:1455961|offset_37|00cc00,1456026:1456045|offset_121|444444,1456066:1456085|offset_161|444444&amp;v=1455705:1456285&amp;c=444444", "offset 37")</f>
        <v>offset 37</v>
      </c>
    </row>
    <row r="4621" customFormat="false" ht="12.8" hidden="false" customHeight="false" outlineLevel="0" collapsed="false">
      <c r="A4621" s="0" t="s">
        <v>12</v>
      </c>
      <c r="B4621" s="0" t="n">
        <v>1456025</v>
      </c>
      <c r="C4621" s="0" t="n">
        <v>1456045</v>
      </c>
      <c r="D4621" s="0" t="s">
        <v>15389</v>
      </c>
      <c r="E4621" s="0" t="s">
        <v>75</v>
      </c>
      <c r="F4621" s="0" t="s">
        <v>15</v>
      </c>
      <c r="G4621" s="0" t="s">
        <v>16</v>
      </c>
      <c r="H4621" s="0" t="n">
        <v>121</v>
      </c>
      <c r="I4621" s="0" t="s">
        <v>15396</v>
      </c>
      <c r="J4621" s="0" t="s">
        <v>15397</v>
      </c>
      <c r="K4621" s="0" t="s">
        <v>15398</v>
      </c>
      <c r="L4621" s="0" t="str">
        <f aca="false">HYPERLINK("https://www.ncbi.nlm.nih.gov/nuccore/CP000058.1?report=graph&amp;tracks=[key:gene_model_track,Options:GeneOnly]&amp;mk=1455906:1455925|offset_1|444444,1455942:1455961|offset_37|444444,1456026:1456045|offset_121|00cc00,1456066:1456085|offset_161|444444&amp;v=1455705:1456285&amp;c=444444", "offset 121")</f>
        <v>offset 121</v>
      </c>
    </row>
    <row r="4622" customFormat="false" ht="12.8" hidden="false" customHeight="false" outlineLevel="0" collapsed="false">
      <c r="A4622" s="0" t="s">
        <v>12</v>
      </c>
      <c r="B4622" s="0" t="n">
        <v>1456065</v>
      </c>
      <c r="C4622" s="0" t="n">
        <v>1456085</v>
      </c>
      <c r="D4622" s="0" t="s">
        <v>15389</v>
      </c>
      <c r="E4622" s="0" t="s">
        <v>75</v>
      </c>
      <c r="F4622" s="0" t="s">
        <v>15</v>
      </c>
      <c r="G4622" s="0" t="s">
        <v>36</v>
      </c>
      <c r="H4622" s="0" t="n">
        <v>161</v>
      </c>
      <c r="I4622" s="0" t="s">
        <v>15399</v>
      </c>
      <c r="J4622" s="0" t="s">
        <v>15400</v>
      </c>
      <c r="K4622" s="0" t="s">
        <v>15401</v>
      </c>
      <c r="L4622" s="0" t="str">
        <f aca="false">HYPERLINK("https://www.ncbi.nlm.nih.gov/nuccore/CP000058.1?report=graph&amp;tracks=[key:gene_model_track,Options:GeneOnly]&amp;mk=1455906:1455925|offset_1|444444,1455942:1455961|offset_37|444444,1456026:1456045|offset_121|444444,1456066:1456085|offset_161|00cc00&amp;v=1455705:1456285&amp;c=444444", "offset 161")</f>
        <v>offset 161</v>
      </c>
    </row>
    <row r="4623" customFormat="false" ht="12.8" hidden="false" customHeight="false" outlineLevel="0" collapsed="false">
      <c r="A4623" s="0" t="s">
        <v>12</v>
      </c>
      <c r="B4623" s="0" t="n">
        <v>1456463</v>
      </c>
      <c r="C4623" s="0" t="n">
        <v>1456483</v>
      </c>
      <c r="D4623" s="0" t="s">
        <v>15402</v>
      </c>
      <c r="E4623" s="0" t="s">
        <v>75</v>
      </c>
      <c r="F4623" s="0" t="s">
        <v>15</v>
      </c>
      <c r="G4623" s="0" t="s">
        <v>32</v>
      </c>
      <c r="H4623" s="0" t="n">
        <v>14</v>
      </c>
      <c r="I4623" s="0" t="s">
        <v>15403</v>
      </c>
      <c r="J4623" s="0" t="s">
        <v>15404</v>
      </c>
      <c r="K4623" s="0" t="s">
        <v>15405</v>
      </c>
      <c r="L4623" s="0" t="str">
        <f aca="false">HYPERLINK("https://www.ncbi.nlm.nih.gov/nuccore/CP000058.1?report=graph&amp;tracks=[key:gene_model_track,Options:GeneOnly]&amp;mk=1456464:1456483|offset_14|00cc00,1456521:1456540|offset_71|444444,1456554:1456573|offset_104|444444,1456576:1456595|offset_126|444444&amp;v=1456263:1456795&amp;c=444444", "offset 14")</f>
        <v>offset 14</v>
      </c>
    </row>
    <row r="4624" customFormat="false" ht="12.8" hidden="false" customHeight="false" outlineLevel="0" collapsed="false">
      <c r="A4624" s="0" t="s">
        <v>12</v>
      </c>
      <c r="B4624" s="0" t="n">
        <v>1456520</v>
      </c>
      <c r="C4624" s="0" t="n">
        <v>1456540</v>
      </c>
      <c r="D4624" s="0" t="s">
        <v>15402</v>
      </c>
      <c r="E4624" s="0" t="s">
        <v>75</v>
      </c>
      <c r="F4624" s="0" t="s">
        <v>15</v>
      </c>
      <c r="G4624" s="0" t="s">
        <v>20</v>
      </c>
      <c r="H4624" s="0" t="n">
        <v>71</v>
      </c>
      <c r="I4624" s="0" t="s">
        <v>15406</v>
      </c>
      <c r="J4624" s="0" t="s">
        <v>15407</v>
      </c>
      <c r="K4624" s="0" t="s">
        <v>15408</v>
      </c>
      <c r="L4624" s="0" t="str">
        <f aca="false">HYPERLINK("https://www.ncbi.nlm.nih.gov/nuccore/CP000058.1?report=graph&amp;tracks=[key:gene_model_track,Options:GeneOnly]&amp;mk=1456464:1456483|offset_14|444444,1456521:1456540|offset_71|00cc00,1456554:1456573|offset_104|444444,1456576:1456595|offset_126|444444&amp;v=1456263:1456795&amp;c=444444", "offset 71")</f>
        <v>offset 71</v>
      </c>
    </row>
    <row r="4625" customFormat="false" ht="12.8" hidden="false" customHeight="false" outlineLevel="0" collapsed="false">
      <c r="A4625" s="0" t="s">
        <v>12</v>
      </c>
      <c r="B4625" s="0" t="n">
        <v>1456553</v>
      </c>
      <c r="C4625" s="0" t="n">
        <v>1456573</v>
      </c>
      <c r="D4625" s="0" t="s">
        <v>15402</v>
      </c>
      <c r="E4625" s="0" t="s">
        <v>75</v>
      </c>
      <c r="F4625" s="0" t="s">
        <v>15</v>
      </c>
      <c r="G4625" s="0" t="s">
        <v>36</v>
      </c>
      <c r="H4625" s="0" t="n">
        <v>104</v>
      </c>
      <c r="I4625" s="0" t="s">
        <v>15409</v>
      </c>
      <c r="J4625" s="0" t="s">
        <v>15410</v>
      </c>
      <c r="K4625" s="0" t="s">
        <v>15411</v>
      </c>
      <c r="L4625" s="0" t="str">
        <f aca="false">HYPERLINK("https://www.ncbi.nlm.nih.gov/nuccore/CP000058.1?report=graph&amp;tracks=[key:gene_model_track,Options:GeneOnly]&amp;mk=1456464:1456483|offset_14|444444,1456521:1456540|offset_71|444444,1456554:1456573|offset_104|00cc00,1456576:1456595|offset_126|444444&amp;v=1456263:1456795&amp;c=444444", "offset 104")</f>
        <v>offset 104</v>
      </c>
    </row>
    <row r="4626" customFormat="false" ht="12.8" hidden="false" customHeight="false" outlineLevel="0" collapsed="false">
      <c r="A4626" s="0" t="s">
        <v>12</v>
      </c>
      <c r="B4626" s="0" t="n">
        <v>1456575</v>
      </c>
      <c r="C4626" s="0" t="n">
        <v>1456595</v>
      </c>
      <c r="D4626" s="0" t="s">
        <v>15402</v>
      </c>
      <c r="E4626" s="0" t="s">
        <v>75</v>
      </c>
      <c r="F4626" s="0" t="s">
        <v>15</v>
      </c>
      <c r="G4626" s="0" t="s">
        <v>20</v>
      </c>
      <c r="H4626" s="0" t="n">
        <v>126</v>
      </c>
      <c r="I4626" s="0" t="s">
        <v>15412</v>
      </c>
      <c r="J4626" s="0" t="s">
        <v>15413</v>
      </c>
      <c r="K4626" s="0" t="s">
        <v>15414</v>
      </c>
      <c r="L4626" s="0" t="str">
        <f aca="false">HYPERLINK("https://www.ncbi.nlm.nih.gov/nuccore/CP000058.1?report=graph&amp;tracks=[key:gene_model_track,Options:GeneOnly]&amp;mk=1456464:1456483|offset_14|444444,1456521:1456540|offset_71|444444,1456554:1456573|offset_104|444444,1456576:1456595|offset_126|00cc00&amp;v=1456263:1456795&amp;c=444444", "offset 126")</f>
        <v>offset 126</v>
      </c>
    </row>
    <row r="4627" customFormat="false" ht="12.8" hidden="false" customHeight="false" outlineLevel="0" collapsed="false">
      <c r="A4627" s="0" t="s">
        <v>12</v>
      </c>
      <c r="B4627" s="0" t="n">
        <v>1457394</v>
      </c>
      <c r="C4627" s="0" t="n">
        <v>1457414</v>
      </c>
      <c r="D4627" s="0" t="s">
        <v>15415</v>
      </c>
      <c r="E4627" s="0" t="s">
        <v>75</v>
      </c>
      <c r="F4627" s="0" t="s">
        <v>90</v>
      </c>
      <c r="G4627" s="0" t="s">
        <v>36</v>
      </c>
      <c r="H4627" s="0" t="n">
        <v>49</v>
      </c>
      <c r="I4627" s="0" t="s">
        <v>15416</v>
      </c>
      <c r="J4627" s="0" t="s">
        <v>15417</v>
      </c>
      <c r="K4627" s="0" t="s">
        <v>15418</v>
      </c>
      <c r="L4627" s="0" t="str">
        <f aca="false">HYPERLINK("https://www.ncbi.nlm.nih.gov/nuccore/CP000058.1?report=graph&amp;tracks=[key:gene_model_track,Options:GeneOnly]&amp;mk=1457395:1457414|offset_49|00cc00,1457365:1457384|offset_79|444444,1457332:1457351|offset_112|444444,1457311:1457330|offset_133|444444&amp;v=1457194:1457530&amp;c=444444", "offset 49")</f>
        <v>offset 49</v>
      </c>
    </row>
    <row r="4628" customFormat="false" ht="12.8" hidden="false" customHeight="false" outlineLevel="0" collapsed="false">
      <c r="A4628" s="0" t="s">
        <v>12</v>
      </c>
      <c r="B4628" s="0" t="n">
        <v>1457364</v>
      </c>
      <c r="C4628" s="0" t="n">
        <v>1457384</v>
      </c>
      <c r="D4628" s="0" t="s">
        <v>15415</v>
      </c>
      <c r="E4628" s="0" t="s">
        <v>75</v>
      </c>
      <c r="F4628" s="0" t="s">
        <v>90</v>
      </c>
      <c r="G4628" s="0" t="s">
        <v>36</v>
      </c>
      <c r="H4628" s="0" t="n">
        <v>79</v>
      </c>
      <c r="I4628" s="0" t="s">
        <v>15419</v>
      </c>
      <c r="J4628" s="0" t="s">
        <v>15420</v>
      </c>
      <c r="K4628" s="0" t="s">
        <v>15421</v>
      </c>
      <c r="L4628" s="0" t="str">
        <f aca="false">HYPERLINK("https://www.ncbi.nlm.nih.gov/nuccore/CP000058.1?report=graph&amp;tracks=[key:gene_model_track,Options:GeneOnly]&amp;mk=1457395:1457414|offset_49|444444,1457365:1457384|offset_79|00cc00,1457332:1457351|offset_112|444444,1457311:1457330|offset_133|444444&amp;v=1457194:1457530&amp;c=444444", "offset 79")</f>
        <v>offset 79</v>
      </c>
    </row>
    <row r="4629" customFormat="false" ht="12.8" hidden="false" customHeight="false" outlineLevel="0" collapsed="false">
      <c r="A4629" s="0" t="s">
        <v>12</v>
      </c>
      <c r="B4629" s="0" t="n">
        <v>1457331</v>
      </c>
      <c r="C4629" s="0" t="n">
        <v>1457351</v>
      </c>
      <c r="D4629" s="0" t="s">
        <v>15415</v>
      </c>
      <c r="E4629" s="0" t="s">
        <v>75</v>
      </c>
      <c r="F4629" s="0" t="s">
        <v>90</v>
      </c>
      <c r="G4629" s="0" t="s">
        <v>16</v>
      </c>
      <c r="H4629" s="0" t="n">
        <v>112</v>
      </c>
      <c r="I4629" s="0" t="s">
        <v>15422</v>
      </c>
      <c r="J4629" s="0" t="s">
        <v>15423</v>
      </c>
      <c r="K4629" s="0" t="s">
        <v>15424</v>
      </c>
      <c r="L4629" s="0" t="str">
        <f aca="false">HYPERLINK("https://www.ncbi.nlm.nih.gov/nuccore/CP000058.1?report=graph&amp;tracks=[key:gene_model_track,Options:GeneOnly]&amp;mk=1457395:1457414|offset_49|444444,1457365:1457384|offset_79|444444,1457332:1457351|offset_112|00cc00,1457311:1457330|offset_133|444444&amp;v=1457194:1457530&amp;c=444444", "offset 112")</f>
        <v>offset 112</v>
      </c>
    </row>
    <row r="4630" customFormat="false" ht="12.8" hidden="false" customHeight="false" outlineLevel="0" collapsed="false">
      <c r="A4630" s="0" t="s">
        <v>12</v>
      </c>
      <c r="B4630" s="0" t="n">
        <v>1457310</v>
      </c>
      <c r="C4630" s="0" t="n">
        <v>1457330</v>
      </c>
      <c r="D4630" s="0" t="s">
        <v>15415</v>
      </c>
      <c r="E4630" s="0" t="s">
        <v>75</v>
      </c>
      <c r="F4630" s="0" t="s">
        <v>90</v>
      </c>
      <c r="G4630" s="0" t="s">
        <v>16</v>
      </c>
      <c r="H4630" s="0" t="n">
        <v>133</v>
      </c>
      <c r="I4630" s="0" t="s">
        <v>15425</v>
      </c>
      <c r="J4630" s="0" t="s">
        <v>15426</v>
      </c>
      <c r="K4630" s="0" t="s">
        <v>15427</v>
      </c>
      <c r="L4630" s="0" t="str">
        <f aca="false">HYPERLINK("https://www.ncbi.nlm.nih.gov/nuccore/CP000058.1?report=graph&amp;tracks=[key:gene_model_track,Options:GeneOnly]&amp;mk=1457395:1457414|offset_49|444444,1457365:1457384|offset_79|444444,1457332:1457351|offset_112|444444,1457311:1457330|offset_133|00cc00&amp;v=1457194:1457530&amp;c=444444", "offset 133")</f>
        <v>offset 133</v>
      </c>
    </row>
    <row r="4631" customFormat="false" ht="12.8" hidden="false" customHeight="false" outlineLevel="0" collapsed="false">
      <c r="A4631" s="0" t="s">
        <v>12</v>
      </c>
      <c r="B4631" s="0" t="n">
        <v>1459228</v>
      </c>
      <c r="C4631" s="0" t="n">
        <v>1459248</v>
      </c>
      <c r="D4631" s="0" t="s">
        <v>15428</v>
      </c>
      <c r="E4631" s="0" t="s">
        <v>75</v>
      </c>
      <c r="F4631" s="0" t="s">
        <v>90</v>
      </c>
      <c r="G4631" s="0" t="s">
        <v>32</v>
      </c>
      <c r="H4631" s="0" t="n">
        <v>18</v>
      </c>
      <c r="I4631" s="0" t="s">
        <v>15429</v>
      </c>
      <c r="J4631" s="0" t="s">
        <v>15430</v>
      </c>
      <c r="K4631" s="0" t="s">
        <v>15431</v>
      </c>
      <c r="L4631" s="0" t="str">
        <f aca="false">HYPERLINK("https://www.ncbi.nlm.nih.gov/nuccore/CP000058.1?report=graph&amp;tracks=[key:gene_model_track,Options:GeneOnly]&amp;mk=1459229:1459248|offset_18|00cc00,1459209:1459228|offset_38|444444,1459171:1459190|offset_76|444444,1459142:1459161|offset_105|444444&amp;v=1459028:1459361&amp;c=444444", "offset 18")</f>
        <v>offset 18</v>
      </c>
    </row>
    <row r="4632" customFormat="false" ht="12.8" hidden="false" customHeight="false" outlineLevel="0" collapsed="false">
      <c r="A4632" s="0" t="s">
        <v>12</v>
      </c>
      <c r="B4632" s="0" t="n">
        <v>1459208</v>
      </c>
      <c r="C4632" s="0" t="n">
        <v>1459228</v>
      </c>
      <c r="D4632" s="0" t="s">
        <v>15428</v>
      </c>
      <c r="E4632" s="0" t="s">
        <v>75</v>
      </c>
      <c r="F4632" s="0" t="s">
        <v>90</v>
      </c>
      <c r="G4632" s="0" t="s">
        <v>36</v>
      </c>
      <c r="H4632" s="0" t="n">
        <v>38</v>
      </c>
      <c r="I4632" s="0" t="s">
        <v>15432</v>
      </c>
      <c r="J4632" s="0" t="s">
        <v>15433</v>
      </c>
      <c r="K4632" s="0" t="s">
        <v>15434</v>
      </c>
      <c r="L4632" s="0" t="str">
        <f aca="false">HYPERLINK("https://www.ncbi.nlm.nih.gov/nuccore/CP000058.1?report=graph&amp;tracks=[key:gene_model_track,Options:GeneOnly]&amp;mk=1459229:1459248|offset_18|444444,1459209:1459228|offset_38|00cc00,1459171:1459190|offset_76|444444,1459142:1459161|offset_105|444444&amp;v=1459028:1459361&amp;c=444444", "offset 38")</f>
        <v>offset 38</v>
      </c>
    </row>
    <row r="4633" customFormat="false" ht="12.8" hidden="false" customHeight="false" outlineLevel="0" collapsed="false">
      <c r="A4633" s="0" t="s">
        <v>12</v>
      </c>
      <c r="B4633" s="0" t="n">
        <v>1459170</v>
      </c>
      <c r="C4633" s="0" t="n">
        <v>1459190</v>
      </c>
      <c r="D4633" s="0" t="s">
        <v>15428</v>
      </c>
      <c r="E4633" s="0" t="s">
        <v>75</v>
      </c>
      <c r="F4633" s="0" t="s">
        <v>90</v>
      </c>
      <c r="G4633" s="0" t="s">
        <v>16</v>
      </c>
      <c r="H4633" s="0" t="n">
        <v>76</v>
      </c>
      <c r="I4633" s="0" t="s">
        <v>15435</v>
      </c>
      <c r="J4633" s="0" t="s">
        <v>15436</v>
      </c>
      <c r="K4633" s="0" t="s">
        <v>15437</v>
      </c>
      <c r="L4633" s="0" t="str">
        <f aca="false">HYPERLINK("https://www.ncbi.nlm.nih.gov/nuccore/CP000058.1?report=graph&amp;tracks=[key:gene_model_track,Options:GeneOnly]&amp;mk=1459229:1459248|offset_18|444444,1459209:1459228|offset_38|444444,1459171:1459190|offset_76|00cc00,1459142:1459161|offset_105|444444&amp;v=1459028:1459361&amp;c=444444", "offset 76")</f>
        <v>offset 76</v>
      </c>
    </row>
    <row r="4634" customFormat="false" ht="12.8" hidden="false" customHeight="false" outlineLevel="0" collapsed="false">
      <c r="A4634" s="0" t="s">
        <v>12</v>
      </c>
      <c r="B4634" s="0" t="n">
        <v>1459141</v>
      </c>
      <c r="C4634" s="0" t="n">
        <v>1459161</v>
      </c>
      <c r="D4634" s="0" t="s">
        <v>15428</v>
      </c>
      <c r="E4634" s="0" t="s">
        <v>75</v>
      </c>
      <c r="F4634" s="0" t="s">
        <v>90</v>
      </c>
      <c r="G4634" s="0" t="s">
        <v>20</v>
      </c>
      <c r="H4634" s="0" t="n">
        <v>105</v>
      </c>
      <c r="I4634" s="0" t="s">
        <v>15438</v>
      </c>
      <c r="J4634" s="0" t="s">
        <v>15439</v>
      </c>
      <c r="K4634" s="0" t="s">
        <v>15440</v>
      </c>
      <c r="L4634" s="0" t="str">
        <f aca="false">HYPERLINK("https://www.ncbi.nlm.nih.gov/nuccore/CP000058.1?report=graph&amp;tracks=[key:gene_model_track,Options:GeneOnly]&amp;mk=1459229:1459248|offset_18|444444,1459209:1459228|offset_38|444444,1459171:1459190|offset_76|444444,1459142:1459161|offset_105|00cc00&amp;v=1459028:1459361&amp;c=444444", "offset 105")</f>
        <v>offset 105</v>
      </c>
    </row>
    <row r="4635" customFormat="false" ht="12.8" hidden="false" customHeight="false" outlineLevel="0" collapsed="false">
      <c r="A4635" s="0" t="s">
        <v>12</v>
      </c>
      <c r="B4635" s="0" t="n">
        <v>1460002</v>
      </c>
      <c r="C4635" s="0" t="n">
        <v>1460022</v>
      </c>
      <c r="D4635" s="0" t="s">
        <v>15441</v>
      </c>
      <c r="E4635" s="0" t="s">
        <v>75</v>
      </c>
      <c r="F4635" s="0" t="s">
        <v>90</v>
      </c>
      <c r="G4635" s="0" t="s">
        <v>36</v>
      </c>
      <c r="H4635" s="0" t="n">
        <v>12</v>
      </c>
      <c r="I4635" s="0" t="s">
        <v>15442</v>
      </c>
      <c r="J4635" s="0" t="s">
        <v>15443</v>
      </c>
      <c r="K4635" s="0" t="s">
        <v>15444</v>
      </c>
      <c r="L4635" s="0" t="str">
        <f aca="false">HYPERLINK("https://www.ncbi.nlm.nih.gov/nuccore/CP000058.1?report=graph&amp;tracks=[key:gene_model_track,Options:GeneOnly]&amp;mk=1460003:1460022|offset_12|00cc00,1459983:1460002|offset_32|444444,1459939:1459958|offset_76|444444,1459914:1459933|offset_101|444444&amp;v=1459802:1460133&amp;c=444444", "offset 12")</f>
        <v>offset 12</v>
      </c>
    </row>
    <row r="4636" customFormat="false" ht="12.8" hidden="false" customHeight="false" outlineLevel="0" collapsed="false">
      <c r="A4636" s="0" t="s">
        <v>12</v>
      </c>
      <c r="B4636" s="0" t="n">
        <v>1459982</v>
      </c>
      <c r="C4636" s="0" t="n">
        <v>1460002</v>
      </c>
      <c r="D4636" s="0" t="s">
        <v>15441</v>
      </c>
      <c r="E4636" s="0" t="s">
        <v>75</v>
      </c>
      <c r="F4636" s="0" t="s">
        <v>90</v>
      </c>
      <c r="G4636" s="0" t="s">
        <v>36</v>
      </c>
      <c r="H4636" s="0" t="n">
        <v>32</v>
      </c>
      <c r="I4636" s="0" t="s">
        <v>15445</v>
      </c>
      <c r="J4636" s="0" t="s">
        <v>15446</v>
      </c>
      <c r="K4636" s="0" t="s">
        <v>15447</v>
      </c>
      <c r="L4636" s="0" t="str">
        <f aca="false">HYPERLINK("https://www.ncbi.nlm.nih.gov/nuccore/CP000058.1?report=graph&amp;tracks=[key:gene_model_track,Options:GeneOnly]&amp;mk=1460003:1460022|offset_12|444444,1459983:1460002|offset_32|00cc00,1459939:1459958|offset_76|444444,1459914:1459933|offset_101|444444&amp;v=1459802:1460133&amp;c=444444", "offset 32")</f>
        <v>offset 32</v>
      </c>
    </row>
    <row r="4637" customFormat="false" ht="12.8" hidden="false" customHeight="false" outlineLevel="0" collapsed="false">
      <c r="A4637" s="0" t="s">
        <v>12</v>
      </c>
      <c r="B4637" s="0" t="n">
        <v>1459938</v>
      </c>
      <c r="C4637" s="0" t="n">
        <v>1459958</v>
      </c>
      <c r="D4637" s="0" t="s">
        <v>15441</v>
      </c>
      <c r="E4637" s="0" t="s">
        <v>75</v>
      </c>
      <c r="F4637" s="0" t="s">
        <v>90</v>
      </c>
      <c r="G4637" s="0" t="s">
        <v>20</v>
      </c>
      <c r="H4637" s="0" t="n">
        <v>76</v>
      </c>
      <c r="I4637" s="0" t="s">
        <v>15448</v>
      </c>
      <c r="J4637" s="0" t="s">
        <v>15449</v>
      </c>
      <c r="K4637" s="0" t="s">
        <v>15450</v>
      </c>
      <c r="L4637" s="0" t="str">
        <f aca="false">HYPERLINK("https://www.ncbi.nlm.nih.gov/nuccore/CP000058.1?report=graph&amp;tracks=[key:gene_model_track,Options:GeneOnly]&amp;mk=1460003:1460022|offset_12|444444,1459983:1460002|offset_32|444444,1459939:1459958|offset_76|00cc00,1459914:1459933|offset_101|444444&amp;v=1459802:1460133&amp;c=444444", "offset 76")</f>
        <v>offset 76</v>
      </c>
    </row>
    <row r="4638" customFormat="false" ht="12.8" hidden="false" customHeight="false" outlineLevel="0" collapsed="false">
      <c r="A4638" s="0" t="s">
        <v>12</v>
      </c>
      <c r="B4638" s="0" t="n">
        <v>1459913</v>
      </c>
      <c r="C4638" s="0" t="n">
        <v>1459933</v>
      </c>
      <c r="D4638" s="0" t="s">
        <v>15441</v>
      </c>
      <c r="E4638" s="0" t="s">
        <v>75</v>
      </c>
      <c r="F4638" s="0" t="s">
        <v>90</v>
      </c>
      <c r="G4638" s="0" t="s">
        <v>20</v>
      </c>
      <c r="H4638" s="0" t="n">
        <v>101</v>
      </c>
      <c r="I4638" s="0" t="s">
        <v>15451</v>
      </c>
      <c r="J4638" s="0" t="s">
        <v>15452</v>
      </c>
      <c r="K4638" s="0" t="s">
        <v>15453</v>
      </c>
      <c r="L4638" s="0" t="str">
        <f aca="false">HYPERLINK("https://www.ncbi.nlm.nih.gov/nuccore/CP000058.1?report=graph&amp;tracks=[key:gene_model_track,Options:GeneOnly]&amp;mk=1460003:1460022|offset_12|444444,1459983:1460002|offset_32|444444,1459939:1459958|offset_76|444444,1459914:1459933|offset_101|00cc00&amp;v=1459802:1460133&amp;c=444444", "offset 101")</f>
        <v>offset 101</v>
      </c>
    </row>
    <row r="4639" customFormat="false" ht="12.8" hidden="false" customHeight="false" outlineLevel="0" collapsed="false">
      <c r="A4639" s="0" t="s">
        <v>12</v>
      </c>
      <c r="B4639" s="0" t="n">
        <v>1460264</v>
      </c>
      <c r="C4639" s="0" t="n">
        <v>1460284</v>
      </c>
      <c r="D4639" s="0" t="s">
        <v>15454</v>
      </c>
      <c r="E4639" s="0" t="s">
        <v>75</v>
      </c>
      <c r="F4639" s="0" t="s">
        <v>90</v>
      </c>
      <c r="G4639" s="0" t="s">
        <v>32</v>
      </c>
      <c r="H4639" s="0" t="n">
        <v>34</v>
      </c>
      <c r="I4639" s="0" t="s">
        <v>15455</v>
      </c>
      <c r="J4639" s="0" t="s">
        <v>15456</v>
      </c>
      <c r="K4639" s="0" t="s">
        <v>15457</v>
      </c>
      <c r="L4639" s="0" t="str">
        <f aca="false">HYPERLINK("https://www.ncbi.nlm.nih.gov/nuccore/CP000058.1?report=graph&amp;tracks=[key:gene_model_track,Options:GeneOnly]&amp;mk=1460265:1460284|offset_34|00cc00,1460240:1460259|offset_59|444444,1460203:1460222|offset_96|444444,1460172:1460191|offset_127|444444&amp;v=1460064:1460391&amp;c=444444", "offset 34")</f>
        <v>offset 34</v>
      </c>
    </row>
    <row r="4640" customFormat="false" ht="12.8" hidden="false" customHeight="false" outlineLevel="0" collapsed="false">
      <c r="A4640" s="0" t="s">
        <v>12</v>
      </c>
      <c r="B4640" s="0" t="n">
        <v>1460239</v>
      </c>
      <c r="C4640" s="0" t="n">
        <v>1460259</v>
      </c>
      <c r="D4640" s="0" t="s">
        <v>15454</v>
      </c>
      <c r="E4640" s="0" t="s">
        <v>75</v>
      </c>
      <c r="F4640" s="0" t="s">
        <v>90</v>
      </c>
      <c r="G4640" s="0" t="s">
        <v>20</v>
      </c>
      <c r="H4640" s="0" t="n">
        <v>59</v>
      </c>
      <c r="I4640" s="0" t="s">
        <v>15458</v>
      </c>
      <c r="J4640" s="0" t="s">
        <v>15459</v>
      </c>
      <c r="K4640" s="0" t="s">
        <v>15460</v>
      </c>
      <c r="L4640" s="0" t="str">
        <f aca="false">HYPERLINK("https://www.ncbi.nlm.nih.gov/nuccore/CP000058.1?report=graph&amp;tracks=[key:gene_model_track,Options:GeneOnly]&amp;mk=1460265:1460284|offset_34|444444,1460240:1460259|offset_59|00cc00,1460203:1460222|offset_96|444444,1460172:1460191|offset_127|444444&amp;v=1460064:1460391&amp;c=444444", "offset 59")</f>
        <v>offset 59</v>
      </c>
    </row>
    <row r="4641" customFormat="false" ht="12.8" hidden="false" customHeight="false" outlineLevel="0" collapsed="false">
      <c r="A4641" s="0" t="s">
        <v>12</v>
      </c>
      <c r="B4641" s="0" t="n">
        <v>1460202</v>
      </c>
      <c r="C4641" s="0" t="n">
        <v>1460222</v>
      </c>
      <c r="D4641" s="0" t="s">
        <v>15454</v>
      </c>
      <c r="E4641" s="0" t="s">
        <v>75</v>
      </c>
      <c r="F4641" s="0" t="s">
        <v>90</v>
      </c>
      <c r="G4641" s="0" t="s">
        <v>36</v>
      </c>
      <c r="H4641" s="0" t="n">
        <v>96</v>
      </c>
      <c r="I4641" s="0" t="s">
        <v>15461</v>
      </c>
      <c r="J4641" s="0" t="s">
        <v>15462</v>
      </c>
      <c r="K4641" s="0" t="s">
        <v>15463</v>
      </c>
      <c r="L4641" s="0" t="str">
        <f aca="false">HYPERLINK("https://www.ncbi.nlm.nih.gov/nuccore/CP000058.1?report=graph&amp;tracks=[key:gene_model_track,Options:GeneOnly]&amp;mk=1460265:1460284|offset_34|444444,1460240:1460259|offset_59|444444,1460203:1460222|offset_96|00cc00,1460172:1460191|offset_127|444444&amp;v=1460064:1460391&amp;c=444444", "offset 96")</f>
        <v>offset 96</v>
      </c>
    </row>
    <row r="4642" customFormat="false" ht="12.8" hidden="false" customHeight="false" outlineLevel="0" collapsed="false">
      <c r="A4642" s="0" t="s">
        <v>12</v>
      </c>
      <c r="B4642" s="0" t="n">
        <v>1460171</v>
      </c>
      <c r="C4642" s="0" t="n">
        <v>1460191</v>
      </c>
      <c r="D4642" s="0" t="s">
        <v>15454</v>
      </c>
      <c r="E4642" s="0" t="s">
        <v>75</v>
      </c>
      <c r="F4642" s="0" t="s">
        <v>90</v>
      </c>
      <c r="G4642" s="0" t="s">
        <v>32</v>
      </c>
      <c r="H4642" s="0" t="n">
        <v>127</v>
      </c>
      <c r="I4642" s="0" t="s">
        <v>15464</v>
      </c>
      <c r="J4642" s="0" t="s">
        <v>15465</v>
      </c>
      <c r="K4642" s="0" t="s">
        <v>15466</v>
      </c>
      <c r="L4642" s="0" t="str">
        <f aca="false">HYPERLINK("https://www.ncbi.nlm.nih.gov/nuccore/CP000058.1?report=graph&amp;tracks=[key:gene_model_track,Options:GeneOnly]&amp;mk=1460265:1460284|offset_34|444444,1460240:1460259|offset_59|444444,1460203:1460222|offset_96|444444,1460172:1460191|offset_127|00cc00&amp;v=1460064:1460391&amp;c=444444", "offset 127")</f>
        <v>offset 127</v>
      </c>
    </row>
    <row r="4643" customFormat="false" ht="12.8" hidden="false" customHeight="false" outlineLevel="0" collapsed="false">
      <c r="A4643" s="0" t="s">
        <v>12</v>
      </c>
      <c r="B4643" s="0" t="n">
        <v>1461282</v>
      </c>
      <c r="C4643" s="0" t="n">
        <v>1461302</v>
      </c>
      <c r="D4643" s="0" t="s">
        <v>15467</v>
      </c>
      <c r="E4643" s="0" t="s">
        <v>75</v>
      </c>
      <c r="F4643" s="0" t="s">
        <v>90</v>
      </c>
      <c r="G4643" s="0" t="s">
        <v>16</v>
      </c>
      <c r="H4643" s="0" t="n">
        <v>10</v>
      </c>
      <c r="I4643" s="0" t="s">
        <v>15468</v>
      </c>
      <c r="J4643" s="0" t="s">
        <v>15469</v>
      </c>
      <c r="K4643" s="0" t="s">
        <v>15470</v>
      </c>
      <c r="L4643" s="0" t="str">
        <f aca="false">HYPERLINK("https://www.ncbi.nlm.nih.gov/nuccore/CP000058.1?report=graph&amp;tracks=[key:gene_model_track,Options:GeneOnly]&amp;mk=1461283:1461302|offset_10|00cc00,1461262:1461281|offset_31|444444,1461214:1461233|offset_79|444444,1461184:1461203|offset_109|444444&amp;v=1461082:1461403&amp;c=444444", "offset 10")</f>
        <v>offset 10</v>
      </c>
    </row>
    <row r="4644" customFormat="false" ht="12.8" hidden="false" customHeight="false" outlineLevel="0" collapsed="false">
      <c r="A4644" s="0" t="s">
        <v>12</v>
      </c>
      <c r="B4644" s="0" t="n">
        <v>1461261</v>
      </c>
      <c r="C4644" s="0" t="n">
        <v>1461281</v>
      </c>
      <c r="D4644" s="0" t="s">
        <v>15467</v>
      </c>
      <c r="E4644" s="0" t="s">
        <v>75</v>
      </c>
      <c r="F4644" s="0" t="s">
        <v>90</v>
      </c>
      <c r="G4644" s="0" t="s">
        <v>20</v>
      </c>
      <c r="H4644" s="0" t="n">
        <v>31</v>
      </c>
      <c r="I4644" s="0" t="s">
        <v>15471</v>
      </c>
      <c r="J4644" s="0" t="s">
        <v>15472</v>
      </c>
      <c r="K4644" s="0" t="s">
        <v>15473</v>
      </c>
      <c r="L4644" s="0" t="str">
        <f aca="false">HYPERLINK("https://www.ncbi.nlm.nih.gov/nuccore/CP000058.1?report=graph&amp;tracks=[key:gene_model_track,Options:GeneOnly]&amp;mk=1461283:1461302|offset_10|444444,1461262:1461281|offset_31|00cc00,1461214:1461233|offset_79|444444,1461184:1461203|offset_109|444444&amp;v=1461082:1461403&amp;c=444444", "offset 31")</f>
        <v>offset 31</v>
      </c>
    </row>
    <row r="4645" customFormat="false" ht="12.8" hidden="false" customHeight="false" outlineLevel="0" collapsed="false">
      <c r="A4645" s="0" t="s">
        <v>12</v>
      </c>
      <c r="B4645" s="0" t="n">
        <v>1461213</v>
      </c>
      <c r="C4645" s="0" t="n">
        <v>1461233</v>
      </c>
      <c r="D4645" s="0" t="s">
        <v>15467</v>
      </c>
      <c r="E4645" s="0" t="s">
        <v>75</v>
      </c>
      <c r="F4645" s="0" t="s">
        <v>90</v>
      </c>
      <c r="G4645" s="0" t="s">
        <v>36</v>
      </c>
      <c r="H4645" s="0" t="n">
        <v>79</v>
      </c>
      <c r="I4645" s="0" t="s">
        <v>15474</v>
      </c>
      <c r="J4645" s="0" t="s">
        <v>15475</v>
      </c>
      <c r="K4645" s="0" t="s">
        <v>15476</v>
      </c>
      <c r="L4645" s="0" t="str">
        <f aca="false">HYPERLINK("https://www.ncbi.nlm.nih.gov/nuccore/CP000058.1?report=graph&amp;tracks=[key:gene_model_track,Options:GeneOnly]&amp;mk=1461283:1461302|offset_10|444444,1461262:1461281|offset_31|444444,1461214:1461233|offset_79|00cc00,1461184:1461203|offset_109|444444&amp;v=1461082:1461403&amp;c=444444", "offset 79")</f>
        <v>offset 79</v>
      </c>
    </row>
    <row r="4646" customFormat="false" ht="12.8" hidden="false" customHeight="false" outlineLevel="0" collapsed="false">
      <c r="A4646" s="0" t="s">
        <v>12</v>
      </c>
      <c r="B4646" s="0" t="n">
        <v>1461183</v>
      </c>
      <c r="C4646" s="0" t="n">
        <v>1461203</v>
      </c>
      <c r="D4646" s="0" t="s">
        <v>15467</v>
      </c>
      <c r="E4646" s="0" t="s">
        <v>75</v>
      </c>
      <c r="F4646" s="0" t="s">
        <v>90</v>
      </c>
      <c r="G4646" s="0" t="s">
        <v>20</v>
      </c>
      <c r="H4646" s="0" t="n">
        <v>109</v>
      </c>
      <c r="I4646" s="0" t="s">
        <v>15477</v>
      </c>
      <c r="J4646" s="0" t="s">
        <v>15478</v>
      </c>
      <c r="K4646" s="0" t="s">
        <v>15479</v>
      </c>
      <c r="L4646" s="0" t="str">
        <f aca="false">HYPERLINK("https://www.ncbi.nlm.nih.gov/nuccore/CP000058.1?report=graph&amp;tracks=[key:gene_model_track,Options:GeneOnly]&amp;mk=1461283:1461302|offset_10|444444,1461262:1461281|offset_31|444444,1461214:1461233|offset_79|444444,1461184:1461203|offset_109|00cc00&amp;v=1461082:1461403&amp;c=444444", "offset 109")</f>
        <v>offset 109</v>
      </c>
    </row>
    <row r="4647" customFormat="false" ht="12.8" hidden="false" customHeight="false" outlineLevel="0" collapsed="false">
      <c r="A4647" s="0" t="s">
        <v>12</v>
      </c>
      <c r="B4647" s="0" t="n">
        <v>1462347</v>
      </c>
      <c r="C4647" s="0" t="n">
        <v>1462367</v>
      </c>
      <c r="D4647" s="0" t="s">
        <v>15480</v>
      </c>
      <c r="E4647" s="0" t="s">
        <v>75</v>
      </c>
      <c r="F4647" s="0" t="s">
        <v>90</v>
      </c>
      <c r="G4647" s="0" t="s">
        <v>32</v>
      </c>
      <c r="H4647" s="0" t="n">
        <v>13</v>
      </c>
      <c r="I4647" s="0" t="s">
        <v>15481</v>
      </c>
      <c r="J4647" s="0" t="s">
        <v>15482</v>
      </c>
      <c r="K4647" s="0" t="s">
        <v>15483</v>
      </c>
      <c r="L4647" s="0" t="str">
        <f aca="false">HYPERLINK("https://www.ncbi.nlm.nih.gov/nuccore/CP000058.1?report=graph&amp;tracks=[key:gene_model_track,Options:GeneOnly]&amp;mk=1462348:1462367|offset_13|00cc00,1462327:1462346|offset_34|444444,1462300:1462319|offset_61|444444,1462273:1462292|offset_88|444444&amp;v=1462147:1462492&amp;c=444444", "offset 13")</f>
        <v>offset 13</v>
      </c>
    </row>
    <row r="4648" customFormat="false" ht="12.8" hidden="false" customHeight="false" outlineLevel="0" collapsed="false">
      <c r="A4648" s="0" t="s">
        <v>12</v>
      </c>
      <c r="B4648" s="0" t="n">
        <v>1462326</v>
      </c>
      <c r="C4648" s="0" t="n">
        <v>1462346</v>
      </c>
      <c r="D4648" s="0" t="s">
        <v>15480</v>
      </c>
      <c r="E4648" s="0" t="s">
        <v>75</v>
      </c>
      <c r="F4648" s="0" t="s">
        <v>90</v>
      </c>
      <c r="G4648" s="0" t="s">
        <v>16</v>
      </c>
      <c r="H4648" s="0" t="n">
        <v>34</v>
      </c>
      <c r="I4648" s="0" t="s">
        <v>15484</v>
      </c>
      <c r="J4648" s="0" t="s">
        <v>15485</v>
      </c>
      <c r="K4648" s="0" t="s">
        <v>15486</v>
      </c>
      <c r="L4648" s="0" t="str">
        <f aca="false">HYPERLINK("https://www.ncbi.nlm.nih.gov/nuccore/CP000058.1?report=graph&amp;tracks=[key:gene_model_track,Options:GeneOnly]&amp;mk=1462348:1462367|offset_13|444444,1462327:1462346|offset_34|00cc00,1462300:1462319|offset_61|444444,1462273:1462292|offset_88|444444&amp;v=1462147:1462492&amp;c=444444", "offset 34")</f>
        <v>offset 34</v>
      </c>
    </row>
    <row r="4649" customFormat="false" ht="12.8" hidden="false" customHeight="false" outlineLevel="0" collapsed="false">
      <c r="A4649" s="0" t="s">
        <v>12</v>
      </c>
      <c r="B4649" s="0" t="n">
        <v>1462299</v>
      </c>
      <c r="C4649" s="0" t="n">
        <v>1462319</v>
      </c>
      <c r="D4649" s="0" t="s">
        <v>15480</v>
      </c>
      <c r="E4649" s="0" t="s">
        <v>75</v>
      </c>
      <c r="F4649" s="0" t="s">
        <v>90</v>
      </c>
      <c r="G4649" s="0" t="s">
        <v>20</v>
      </c>
      <c r="H4649" s="0" t="n">
        <v>61</v>
      </c>
      <c r="I4649" s="0" t="s">
        <v>15487</v>
      </c>
      <c r="J4649" s="0" t="s">
        <v>15488</v>
      </c>
      <c r="K4649" s="0" t="s">
        <v>15489</v>
      </c>
      <c r="L4649" s="0" t="str">
        <f aca="false">HYPERLINK("https://www.ncbi.nlm.nih.gov/nuccore/CP000058.1?report=graph&amp;tracks=[key:gene_model_track,Options:GeneOnly]&amp;mk=1462348:1462367|offset_13|444444,1462327:1462346|offset_34|444444,1462300:1462319|offset_61|00cc00,1462273:1462292|offset_88|444444&amp;v=1462147:1462492&amp;c=444444", "offset 61")</f>
        <v>offset 61</v>
      </c>
    </row>
    <row r="4650" customFormat="false" ht="12.8" hidden="false" customHeight="false" outlineLevel="0" collapsed="false">
      <c r="A4650" s="0" t="s">
        <v>12</v>
      </c>
      <c r="B4650" s="0" t="n">
        <v>1462272</v>
      </c>
      <c r="C4650" s="0" t="n">
        <v>1462292</v>
      </c>
      <c r="D4650" s="0" t="s">
        <v>15480</v>
      </c>
      <c r="E4650" s="0" t="s">
        <v>75</v>
      </c>
      <c r="F4650" s="0" t="s">
        <v>90</v>
      </c>
      <c r="G4650" s="0" t="s">
        <v>16</v>
      </c>
      <c r="H4650" s="0" t="n">
        <v>88</v>
      </c>
      <c r="I4650" s="0" t="s">
        <v>15490</v>
      </c>
      <c r="J4650" s="0" t="s">
        <v>15491</v>
      </c>
      <c r="K4650" s="0" t="s">
        <v>15492</v>
      </c>
      <c r="L4650" s="0" t="str">
        <f aca="false">HYPERLINK("https://www.ncbi.nlm.nih.gov/nuccore/CP000058.1?report=graph&amp;tracks=[key:gene_model_track,Options:GeneOnly]&amp;mk=1462348:1462367|offset_13|444444,1462327:1462346|offset_34|444444,1462300:1462319|offset_61|444444,1462273:1462292|offset_88|00cc00&amp;v=1462147:1462492&amp;c=444444", "offset 88")</f>
        <v>offset 88</v>
      </c>
    </row>
    <row r="4651" customFormat="false" ht="12.8" hidden="false" customHeight="false" outlineLevel="0" collapsed="false">
      <c r="A4651" s="0" t="s">
        <v>12</v>
      </c>
      <c r="B4651" s="0" t="n">
        <v>1463204</v>
      </c>
      <c r="C4651" s="0" t="n">
        <v>1463224</v>
      </c>
      <c r="D4651" s="0" t="s">
        <v>15493</v>
      </c>
      <c r="E4651" s="0" t="s">
        <v>75</v>
      </c>
      <c r="F4651" s="0" t="s">
        <v>90</v>
      </c>
      <c r="G4651" s="0" t="s">
        <v>32</v>
      </c>
      <c r="H4651" s="0" t="n">
        <v>1</v>
      </c>
      <c r="I4651" s="0" t="s">
        <v>15494</v>
      </c>
      <c r="J4651" s="0" t="s">
        <v>15495</v>
      </c>
      <c r="K4651" s="0" t="s">
        <v>15496</v>
      </c>
      <c r="L4651" s="0" t="str">
        <f aca="false">HYPERLINK("https://www.ncbi.nlm.nih.gov/nuccore/CP000058.1?report=graph&amp;tracks=[key:gene_model_track,Options:GeneOnly]&amp;mk=1463205:1463224|offset_1|00cc00,1463179:1463198|offset_27|444444,1463141:1463160|offset_65|444444,1463120:1463139|offset_86|444444&amp;v=1463004:1463339&amp;c=444444", "offset 1")</f>
        <v>offset 1</v>
      </c>
    </row>
    <row r="4652" customFormat="false" ht="12.8" hidden="false" customHeight="false" outlineLevel="0" collapsed="false">
      <c r="A4652" s="0" t="s">
        <v>12</v>
      </c>
      <c r="B4652" s="0" t="n">
        <v>1463178</v>
      </c>
      <c r="C4652" s="0" t="n">
        <v>1463198</v>
      </c>
      <c r="D4652" s="0" t="s">
        <v>15493</v>
      </c>
      <c r="E4652" s="0" t="s">
        <v>75</v>
      </c>
      <c r="F4652" s="0" t="s">
        <v>90</v>
      </c>
      <c r="G4652" s="0" t="s">
        <v>20</v>
      </c>
      <c r="H4652" s="0" t="n">
        <v>27</v>
      </c>
      <c r="I4652" s="0" t="s">
        <v>15497</v>
      </c>
      <c r="J4652" s="0" t="s">
        <v>15498</v>
      </c>
      <c r="K4652" s="0" t="s">
        <v>15499</v>
      </c>
      <c r="L4652" s="0" t="str">
        <f aca="false">HYPERLINK("https://www.ncbi.nlm.nih.gov/nuccore/CP000058.1?report=graph&amp;tracks=[key:gene_model_track,Options:GeneOnly]&amp;mk=1463205:1463224|offset_1|444444,1463179:1463198|offset_27|00cc00,1463141:1463160|offset_65|444444,1463120:1463139|offset_86|444444&amp;v=1463004:1463339&amp;c=444444", "offset 27")</f>
        <v>offset 27</v>
      </c>
    </row>
    <row r="4653" customFormat="false" ht="12.8" hidden="false" customHeight="false" outlineLevel="0" collapsed="false">
      <c r="A4653" s="0" t="s">
        <v>12</v>
      </c>
      <c r="B4653" s="0" t="n">
        <v>1463140</v>
      </c>
      <c r="C4653" s="0" t="n">
        <v>1463160</v>
      </c>
      <c r="D4653" s="0" t="s">
        <v>15493</v>
      </c>
      <c r="E4653" s="0" t="s">
        <v>75</v>
      </c>
      <c r="F4653" s="0" t="s">
        <v>90</v>
      </c>
      <c r="G4653" s="0" t="s">
        <v>16</v>
      </c>
      <c r="H4653" s="0" t="n">
        <v>65</v>
      </c>
      <c r="I4653" s="0" t="s">
        <v>15500</v>
      </c>
      <c r="J4653" s="0" t="s">
        <v>15501</v>
      </c>
      <c r="K4653" s="0" t="s">
        <v>15502</v>
      </c>
      <c r="L4653" s="0" t="str">
        <f aca="false">HYPERLINK("https://www.ncbi.nlm.nih.gov/nuccore/CP000058.1?report=graph&amp;tracks=[key:gene_model_track,Options:GeneOnly]&amp;mk=1463205:1463224|offset_1|444444,1463179:1463198|offset_27|444444,1463141:1463160|offset_65|00cc00,1463120:1463139|offset_86|444444&amp;v=1463004:1463339&amp;c=444444", "offset 65")</f>
        <v>offset 65</v>
      </c>
    </row>
    <row r="4654" customFormat="false" ht="12.8" hidden="false" customHeight="false" outlineLevel="0" collapsed="false">
      <c r="A4654" s="0" t="s">
        <v>12</v>
      </c>
      <c r="B4654" s="0" t="n">
        <v>1463119</v>
      </c>
      <c r="C4654" s="0" t="n">
        <v>1463139</v>
      </c>
      <c r="D4654" s="0" t="s">
        <v>15493</v>
      </c>
      <c r="E4654" s="0" t="s">
        <v>75</v>
      </c>
      <c r="F4654" s="0" t="s">
        <v>90</v>
      </c>
      <c r="G4654" s="0" t="s">
        <v>32</v>
      </c>
      <c r="H4654" s="0" t="n">
        <v>86</v>
      </c>
      <c r="I4654" s="0" t="s">
        <v>15503</v>
      </c>
      <c r="J4654" s="0" t="s">
        <v>15504</v>
      </c>
      <c r="K4654" s="0" t="s">
        <v>15505</v>
      </c>
      <c r="L4654" s="0" t="str">
        <f aca="false">HYPERLINK("https://www.ncbi.nlm.nih.gov/nuccore/CP000058.1?report=graph&amp;tracks=[key:gene_model_track,Options:GeneOnly]&amp;mk=1463205:1463224|offset_1|444444,1463179:1463198|offset_27|444444,1463141:1463160|offset_65|444444,1463120:1463139|offset_86|00cc00&amp;v=1463004:1463339&amp;c=444444", "offset 86")</f>
        <v>offset 86</v>
      </c>
    </row>
    <row r="4655" customFormat="false" ht="12.8" hidden="false" customHeight="false" outlineLevel="0" collapsed="false">
      <c r="A4655" s="0" t="s">
        <v>12</v>
      </c>
      <c r="B4655" s="0" t="n">
        <v>1464596</v>
      </c>
      <c r="C4655" s="0" t="n">
        <v>1464616</v>
      </c>
      <c r="D4655" s="0" t="s">
        <v>15506</v>
      </c>
      <c r="E4655" s="0" t="s">
        <v>75</v>
      </c>
      <c r="F4655" s="0" t="s">
        <v>90</v>
      </c>
      <c r="G4655" s="0" t="s">
        <v>36</v>
      </c>
      <c r="H4655" s="0" t="n">
        <v>25</v>
      </c>
      <c r="I4655" s="0" t="s">
        <v>15507</v>
      </c>
      <c r="J4655" s="0" t="s">
        <v>15508</v>
      </c>
      <c r="K4655" s="0" t="s">
        <v>15509</v>
      </c>
      <c r="L4655" s="0" t="str">
        <f aca="false">HYPERLINK("https://www.ncbi.nlm.nih.gov/nuccore/CP000058.1?report=graph&amp;tracks=[key:gene_model_track,Options:GeneOnly]&amp;mk=1464597:1464616|offset_25|00cc00,1464569:1464588|offset_53|444444,1464528:1464547|offset_94|444444,1464507:1464526|offset_115|444444&amp;v=1464396:1464726&amp;c=444444", "offset 25")</f>
        <v>offset 25</v>
      </c>
    </row>
    <row r="4656" customFormat="false" ht="12.8" hidden="false" customHeight="false" outlineLevel="0" collapsed="false">
      <c r="A4656" s="0" t="s">
        <v>12</v>
      </c>
      <c r="B4656" s="0" t="n">
        <v>1464568</v>
      </c>
      <c r="C4656" s="0" t="n">
        <v>1464588</v>
      </c>
      <c r="D4656" s="0" t="s">
        <v>15506</v>
      </c>
      <c r="E4656" s="0" t="s">
        <v>75</v>
      </c>
      <c r="F4656" s="0" t="s">
        <v>90</v>
      </c>
      <c r="G4656" s="0" t="s">
        <v>16</v>
      </c>
      <c r="H4656" s="0" t="n">
        <v>53</v>
      </c>
      <c r="I4656" s="0" t="s">
        <v>15510</v>
      </c>
      <c r="J4656" s="0" t="s">
        <v>15511</v>
      </c>
      <c r="K4656" s="0" t="s">
        <v>15512</v>
      </c>
      <c r="L4656" s="0" t="str">
        <f aca="false">HYPERLINK("https://www.ncbi.nlm.nih.gov/nuccore/CP000058.1?report=graph&amp;tracks=[key:gene_model_track,Options:GeneOnly]&amp;mk=1464597:1464616|offset_25|444444,1464569:1464588|offset_53|00cc00,1464528:1464547|offset_94|444444,1464507:1464526|offset_115|444444&amp;v=1464396:1464726&amp;c=444444", "offset 53")</f>
        <v>offset 53</v>
      </c>
    </row>
    <row r="4657" customFormat="false" ht="12.8" hidden="false" customHeight="false" outlineLevel="0" collapsed="false">
      <c r="A4657" s="0" t="s">
        <v>12</v>
      </c>
      <c r="B4657" s="0" t="n">
        <v>1464527</v>
      </c>
      <c r="C4657" s="0" t="n">
        <v>1464547</v>
      </c>
      <c r="D4657" s="0" t="s">
        <v>15506</v>
      </c>
      <c r="E4657" s="0" t="s">
        <v>75</v>
      </c>
      <c r="F4657" s="0" t="s">
        <v>90</v>
      </c>
      <c r="G4657" s="0" t="s">
        <v>32</v>
      </c>
      <c r="H4657" s="0" t="n">
        <v>94</v>
      </c>
      <c r="I4657" s="0" t="s">
        <v>15513</v>
      </c>
      <c r="J4657" s="0" t="s">
        <v>15514</v>
      </c>
      <c r="K4657" s="0" t="s">
        <v>15515</v>
      </c>
      <c r="L4657" s="0" t="str">
        <f aca="false">HYPERLINK("https://www.ncbi.nlm.nih.gov/nuccore/CP000058.1?report=graph&amp;tracks=[key:gene_model_track,Options:GeneOnly]&amp;mk=1464597:1464616|offset_25|444444,1464569:1464588|offset_53|444444,1464528:1464547|offset_94|00cc00,1464507:1464526|offset_115|444444&amp;v=1464396:1464726&amp;c=444444", "offset 94")</f>
        <v>offset 94</v>
      </c>
    </row>
    <row r="4658" customFormat="false" ht="12.8" hidden="false" customHeight="false" outlineLevel="0" collapsed="false">
      <c r="A4658" s="0" t="s">
        <v>12</v>
      </c>
      <c r="B4658" s="0" t="n">
        <v>1464506</v>
      </c>
      <c r="C4658" s="0" t="n">
        <v>1464526</v>
      </c>
      <c r="D4658" s="0" t="s">
        <v>15506</v>
      </c>
      <c r="E4658" s="0" t="s">
        <v>75</v>
      </c>
      <c r="F4658" s="0" t="s">
        <v>90</v>
      </c>
      <c r="G4658" s="0" t="s">
        <v>36</v>
      </c>
      <c r="H4658" s="0" t="n">
        <v>115</v>
      </c>
      <c r="I4658" s="0" t="s">
        <v>15516</v>
      </c>
      <c r="J4658" s="0" t="s">
        <v>15517</v>
      </c>
      <c r="K4658" s="0" t="s">
        <v>15518</v>
      </c>
      <c r="L4658" s="0" t="str">
        <f aca="false">HYPERLINK("https://www.ncbi.nlm.nih.gov/nuccore/CP000058.1?report=graph&amp;tracks=[key:gene_model_track,Options:GeneOnly]&amp;mk=1464597:1464616|offset_25|444444,1464569:1464588|offset_53|444444,1464528:1464547|offset_94|444444,1464507:1464526|offset_115|00cc00&amp;v=1464396:1464726&amp;c=444444", "offset 115")</f>
        <v>offset 115</v>
      </c>
    </row>
    <row r="4659" customFormat="false" ht="12.8" hidden="false" customHeight="false" outlineLevel="0" collapsed="false">
      <c r="A4659" s="0" t="s">
        <v>12</v>
      </c>
      <c r="B4659" s="0" t="n">
        <v>1465341</v>
      </c>
      <c r="C4659" s="0" t="n">
        <v>1465361</v>
      </c>
      <c r="D4659" s="0" t="s">
        <v>15519</v>
      </c>
      <c r="E4659" s="0" t="s">
        <v>75</v>
      </c>
      <c r="F4659" s="0" t="s">
        <v>90</v>
      </c>
      <c r="G4659" s="0" t="s">
        <v>16</v>
      </c>
      <c r="H4659" s="0" t="n">
        <v>34</v>
      </c>
      <c r="I4659" s="0" t="s">
        <v>15520</v>
      </c>
      <c r="J4659" s="0" t="s">
        <v>15521</v>
      </c>
      <c r="K4659" s="0" t="s">
        <v>15522</v>
      </c>
      <c r="L4659" s="0" t="str">
        <f aca="false">HYPERLINK("https://www.ncbi.nlm.nih.gov/nuccore/CP000058.1?report=graph&amp;tracks=[key:gene_model_track,Options:GeneOnly]&amp;mk=1465342:1465361|offset_34|00cc00,1465306:1465325|offset_70|444444,1465249:1465268|offset_127|444444,1465228:1465247|offset_148|444444&amp;v=1465141:1465447&amp;c=444444", "offset 34")</f>
        <v>offset 34</v>
      </c>
    </row>
    <row r="4660" customFormat="false" ht="12.8" hidden="false" customHeight="false" outlineLevel="0" collapsed="false">
      <c r="A4660" s="0" t="s">
        <v>12</v>
      </c>
      <c r="B4660" s="0" t="n">
        <v>1465305</v>
      </c>
      <c r="C4660" s="0" t="n">
        <v>1465325</v>
      </c>
      <c r="D4660" s="0" t="s">
        <v>15519</v>
      </c>
      <c r="E4660" s="0" t="s">
        <v>75</v>
      </c>
      <c r="F4660" s="0" t="s">
        <v>90</v>
      </c>
      <c r="G4660" s="0" t="s">
        <v>16</v>
      </c>
      <c r="H4660" s="0" t="n">
        <v>70</v>
      </c>
      <c r="I4660" s="0" t="s">
        <v>15523</v>
      </c>
      <c r="J4660" s="0" t="s">
        <v>15524</v>
      </c>
      <c r="K4660" s="0" t="s">
        <v>15525</v>
      </c>
      <c r="L4660" s="0" t="str">
        <f aca="false">HYPERLINK("https://www.ncbi.nlm.nih.gov/nuccore/CP000058.1?report=graph&amp;tracks=[key:gene_model_track,Options:GeneOnly]&amp;mk=1465342:1465361|offset_34|444444,1465306:1465325|offset_70|00cc00,1465249:1465268|offset_127|444444,1465228:1465247|offset_148|444444&amp;v=1465141:1465447&amp;c=444444", "offset 70")</f>
        <v>offset 70</v>
      </c>
    </row>
    <row r="4661" customFormat="false" ht="12.8" hidden="false" customHeight="false" outlineLevel="0" collapsed="false">
      <c r="A4661" s="0" t="s">
        <v>12</v>
      </c>
      <c r="B4661" s="0" t="n">
        <v>1465248</v>
      </c>
      <c r="C4661" s="0" t="n">
        <v>1465268</v>
      </c>
      <c r="D4661" s="0" t="s">
        <v>15519</v>
      </c>
      <c r="E4661" s="0" t="s">
        <v>75</v>
      </c>
      <c r="F4661" s="0" t="s">
        <v>90</v>
      </c>
      <c r="G4661" s="0" t="s">
        <v>16</v>
      </c>
      <c r="H4661" s="0" t="n">
        <v>127</v>
      </c>
      <c r="I4661" s="0" t="s">
        <v>15526</v>
      </c>
      <c r="J4661" s="0" t="s">
        <v>15527</v>
      </c>
      <c r="K4661" s="0" t="s">
        <v>15528</v>
      </c>
      <c r="L4661" s="0" t="str">
        <f aca="false">HYPERLINK("https://www.ncbi.nlm.nih.gov/nuccore/CP000058.1?report=graph&amp;tracks=[key:gene_model_track,Options:GeneOnly]&amp;mk=1465342:1465361|offset_34|444444,1465306:1465325|offset_70|444444,1465249:1465268|offset_127|00cc00,1465228:1465247|offset_148|444444&amp;v=1465141:1465447&amp;c=444444", "offset 127")</f>
        <v>offset 127</v>
      </c>
    </row>
    <row r="4662" customFormat="false" ht="12.8" hidden="false" customHeight="false" outlineLevel="0" collapsed="false">
      <c r="A4662" s="0" t="s">
        <v>12</v>
      </c>
      <c r="B4662" s="0" t="n">
        <v>1465227</v>
      </c>
      <c r="C4662" s="0" t="n">
        <v>1465247</v>
      </c>
      <c r="D4662" s="0" t="s">
        <v>15519</v>
      </c>
      <c r="E4662" s="0" t="s">
        <v>75</v>
      </c>
      <c r="F4662" s="0" t="s">
        <v>90</v>
      </c>
      <c r="G4662" s="0" t="s">
        <v>16</v>
      </c>
      <c r="H4662" s="0" t="n">
        <v>148</v>
      </c>
      <c r="I4662" s="0" t="s">
        <v>15529</v>
      </c>
      <c r="J4662" s="0" t="s">
        <v>15530</v>
      </c>
      <c r="K4662" s="0" t="s">
        <v>15531</v>
      </c>
      <c r="L4662" s="0" t="str">
        <f aca="false">HYPERLINK("https://www.ncbi.nlm.nih.gov/nuccore/CP000058.1?report=graph&amp;tracks=[key:gene_model_track,Options:GeneOnly]&amp;mk=1465342:1465361|offset_34|444444,1465306:1465325|offset_70|444444,1465249:1465268|offset_127|444444,1465228:1465247|offset_148|00cc00&amp;v=1465141:1465447&amp;c=444444", "offset 148")</f>
        <v>offset 148</v>
      </c>
    </row>
    <row r="4663" customFormat="false" ht="12.8" hidden="false" customHeight="false" outlineLevel="0" collapsed="false">
      <c r="A4663" s="0" t="s">
        <v>12</v>
      </c>
      <c r="B4663" s="0" t="n">
        <v>1465592</v>
      </c>
      <c r="C4663" s="0" t="n">
        <v>1465612</v>
      </c>
      <c r="D4663" s="0" t="s">
        <v>15532</v>
      </c>
      <c r="E4663" s="0" t="s">
        <v>75</v>
      </c>
      <c r="F4663" s="0" t="s">
        <v>15</v>
      </c>
      <c r="G4663" s="0" t="s">
        <v>20</v>
      </c>
      <c r="H4663" s="0" t="n">
        <v>9</v>
      </c>
      <c r="I4663" s="0" t="s">
        <v>15533</v>
      </c>
      <c r="J4663" s="0" t="s">
        <v>15534</v>
      </c>
      <c r="K4663" s="0" t="s">
        <v>15535</v>
      </c>
      <c r="L4663" s="0" t="str">
        <f aca="false">HYPERLINK("https://www.ncbi.nlm.nih.gov/nuccore/CP000058.1?report=graph&amp;tracks=[key:gene_model_track,Options:GeneOnly]&amp;mk=1465593:1465612|offset_9|00cc00,1465616:1465635|offset_32|444444,1465642:1465661|offset_58|444444,1465675:1465694|offset_91|444444&amp;v=1465392:1465894&amp;c=444444", "offset 9")</f>
        <v>offset 9</v>
      </c>
    </row>
    <row r="4664" customFormat="false" ht="12.8" hidden="false" customHeight="false" outlineLevel="0" collapsed="false">
      <c r="A4664" s="0" t="s">
        <v>12</v>
      </c>
      <c r="B4664" s="0" t="n">
        <v>1465615</v>
      </c>
      <c r="C4664" s="0" t="n">
        <v>1465635</v>
      </c>
      <c r="D4664" s="0" t="s">
        <v>15532</v>
      </c>
      <c r="E4664" s="0" t="s">
        <v>75</v>
      </c>
      <c r="F4664" s="0" t="s">
        <v>15</v>
      </c>
      <c r="G4664" s="0" t="s">
        <v>20</v>
      </c>
      <c r="H4664" s="0" t="n">
        <v>32</v>
      </c>
      <c r="I4664" s="0" t="s">
        <v>15536</v>
      </c>
      <c r="J4664" s="0" t="s">
        <v>15537</v>
      </c>
      <c r="K4664" s="0" t="s">
        <v>15538</v>
      </c>
      <c r="L4664" s="0" t="str">
        <f aca="false">HYPERLINK("https://www.ncbi.nlm.nih.gov/nuccore/CP000058.1?report=graph&amp;tracks=[key:gene_model_track,Options:GeneOnly]&amp;mk=1465593:1465612|offset_9|444444,1465616:1465635|offset_32|00cc00,1465642:1465661|offset_58|444444,1465675:1465694|offset_91|444444&amp;v=1465392:1465894&amp;c=444444", "offset 32")</f>
        <v>offset 32</v>
      </c>
    </row>
    <row r="4665" customFormat="false" ht="12.8" hidden="false" customHeight="false" outlineLevel="0" collapsed="false">
      <c r="A4665" s="0" t="s">
        <v>12</v>
      </c>
      <c r="B4665" s="0" t="n">
        <v>1465641</v>
      </c>
      <c r="C4665" s="0" t="n">
        <v>1465661</v>
      </c>
      <c r="D4665" s="0" t="s">
        <v>15532</v>
      </c>
      <c r="E4665" s="0" t="s">
        <v>75</v>
      </c>
      <c r="F4665" s="0" t="s">
        <v>15</v>
      </c>
      <c r="G4665" s="0" t="s">
        <v>20</v>
      </c>
      <c r="H4665" s="0" t="n">
        <v>58</v>
      </c>
      <c r="I4665" s="0" t="s">
        <v>15539</v>
      </c>
      <c r="J4665" s="0" t="s">
        <v>15540</v>
      </c>
      <c r="K4665" s="0" t="s">
        <v>15541</v>
      </c>
      <c r="L4665" s="0" t="str">
        <f aca="false">HYPERLINK("https://www.ncbi.nlm.nih.gov/nuccore/CP000058.1?report=graph&amp;tracks=[key:gene_model_track,Options:GeneOnly]&amp;mk=1465593:1465612|offset_9|444444,1465616:1465635|offset_32|444444,1465642:1465661|offset_58|00cc00,1465675:1465694|offset_91|444444&amp;v=1465392:1465894&amp;c=444444", "offset 58")</f>
        <v>offset 58</v>
      </c>
    </row>
    <row r="4666" customFormat="false" ht="12.8" hidden="false" customHeight="false" outlineLevel="0" collapsed="false">
      <c r="A4666" s="0" t="s">
        <v>12</v>
      </c>
      <c r="B4666" s="0" t="n">
        <v>1465674</v>
      </c>
      <c r="C4666" s="0" t="n">
        <v>1465694</v>
      </c>
      <c r="D4666" s="0" t="s">
        <v>15532</v>
      </c>
      <c r="E4666" s="0" t="s">
        <v>75</v>
      </c>
      <c r="F4666" s="0" t="s">
        <v>15</v>
      </c>
      <c r="G4666" s="0" t="s">
        <v>32</v>
      </c>
      <c r="H4666" s="0" t="n">
        <v>91</v>
      </c>
      <c r="I4666" s="0" t="s">
        <v>15542</v>
      </c>
      <c r="J4666" s="0" t="s">
        <v>15543</v>
      </c>
      <c r="K4666" s="0" t="s">
        <v>15544</v>
      </c>
      <c r="L4666" s="0" t="str">
        <f aca="false">HYPERLINK("https://www.ncbi.nlm.nih.gov/nuccore/CP000058.1?report=graph&amp;tracks=[key:gene_model_track,Options:GeneOnly]&amp;mk=1465593:1465612|offset_9|444444,1465616:1465635|offset_32|444444,1465642:1465661|offset_58|444444,1465675:1465694|offset_91|00cc00&amp;v=1465392:1465894&amp;c=444444", "offset 91")</f>
        <v>offset 91</v>
      </c>
    </row>
    <row r="4667" customFormat="false" ht="12.8" hidden="false" customHeight="false" outlineLevel="0" collapsed="false">
      <c r="A4667" s="0" t="s">
        <v>12</v>
      </c>
      <c r="B4667" s="0" t="n">
        <v>1466631</v>
      </c>
      <c r="C4667" s="0" t="n">
        <v>1466651</v>
      </c>
      <c r="D4667" s="0" t="s">
        <v>15545</v>
      </c>
      <c r="E4667" s="0" t="s">
        <v>75</v>
      </c>
      <c r="F4667" s="0" t="s">
        <v>15</v>
      </c>
      <c r="G4667" s="0" t="s">
        <v>32</v>
      </c>
      <c r="H4667" s="0" t="n">
        <v>22</v>
      </c>
      <c r="I4667" s="0" t="s">
        <v>15546</v>
      </c>
      <c r="J4667" s="0" t="s">
        <v>15547</v>
      </c>
      <c r="K4667" s="0" t="s">
        <v>15548</v>
      </c>
      <c r="L4667" s="0" t="str">
        <f aca="false">HYPERLINK("https://www.ncbi.nlm.nih.gov/nuccore/CP000058.1?report=graph&amp;tracks=[key:gene_model_track,Options:GeneOnly]&amp;mk=1466632:1466651|offset_22|00cc00,1466674:1466693|offset_64|444444,1466738:1466757|offset_128|444444,1466772:1466791|offset_162|444444&amp;v=1466431:1466991&amp;c=444444", "offset 22")</f>
        <v>offset 22</v>
      </c>
    </row>
    <row r="4668" customFormat="false" ht="12.8" hidden="false" customHeight="false" outlineLevel="0" collapsed="false">
      <c r="A4668" s="0" t="s">
        <v>12</v>
      </c>
      <c r="B4668" s="0" t="n">
        <v>1466673</v>
      </c>
      <c r="C4668" s="0" t="n">
        <v>1466693</v>
      </c>
      <c r="D4668" s="0" t="s">
        <v>15545</v>
      </c>
      <c r="E4668" s="0" t="s">
        <v>75</v>
      </c>
      <c r="F4668" s="0" t="s">
        <v>15</v>
      </c>
      <c r="G4668" s="0" t="s">
        <v>16</v>
      </c>
      <c r="H4668" s="0" t="n">
        <v>64</v>
      </c>
      <c r="I4668" s="0" t="s">
        <v>15549</v>
      </c>
      <c r="J4668" s="0" t="s">
        <v>15550</v>
      </c>
      <c r="K4668" s="0" t="s">
        <v>15551</v>
      </c>
      <c r="L4668" s="0" t="str">
        <f aca="false">HYPERLINK("https://www.ncbi.nlm.nih.gov/nuccore/CP000058.1?report=graph&amp;tracks=[key:gene_model_track,Options:GeneOnly]&amp;mk=1466632:1466651|offset_22|444444,1466674:1466693|offset_64|00cc00,1466738:1466757|offset_128|444444,1466772:1466791|offset_162|444444&amp;v=1466431:1466991&amp;c=444444", "offset 64")</f>
        <v>offset 64</v>
      </c>
    </row>
    <row r="4669" customFormat="false" ht="12.8" hidden="false" customHeight="false" outlineLevel="0" collapsed="false">
      <c r="A4669" s="0" t="s">
        <v>12</v>
      </c>
      <c r="B4669" s="0" t="n">
        <v>1466737</v>
      </c>
      <c r="C4669" s="0" t="n">
        <v>1466757</v>
      </c>
      <c r="D4669" s="0" t="s">
        <v>15545</v>
      </c>
      <c r="E4669" s="0" t="s">
        <v>75</v>
      </c>
      <c r="F4669" s="0" t="s">
        <v>15</v>
      </c>
      <c r="G4669" s="0" t="s">
        <v>20</v>
      </c>
      <c r="H4669" s="0" t="n">
        <v>128</v>
      </c>
      <c r="I4669" s="0" t="s">
        <v>15552</v>
      </c>
      <c r="J4669" s="0" t="s">
        <v>15553</v>
      </c>
      <c r="K4669" s="0" t="s">
        <v>15554</v>
      </c>
      <c r="L4669" s="0" t="str">
        <f aca="false">HYPERLINK("https://www.ncbi.nlm.nih.gov/nuccore/CP000058.1?report=graph&amp;tracks=[key:gene_model_track,Options:GeneOnly]&amp;mk=1466632:1466651|offset_22|444444,1466674:1466693|offset_64|444444,1466738:1466757|offset_128|00cc00,1466772:1466791|offset_162|444444&amp;v=1466431:1466991&amp;c=444444", "offset 128")</f>
        <v>offset 128</v>
      </c>
    </row>
    <row r="4670" customFormat="false" ht="12.8" hidden="false" customHeight="false" outlineLevel="0" collapsed="false">
      <c r="A4670" s="0" t="s">
        <v>12</v>
      </c>
      <c r="B4670" s="0" t="n">
        <v>1466771</v>
      </c>
      <c r="C4670" s="0" t="n">
        <v>1466791</v>
      </c>
      <c r="D4670" s="0" t="s">
        <v>15545</v>
      </c>
      <c r="E4670" s="0" t="s">
        <v>75</v>
      </c>
      <c r="F4670" s="0" t="s">
        <v>15</v>
      </c>
      <c r="G4670" s="0" t="s">
        <v>16</v>
      </c>
      <c r="H4670" s="0" t="n">
        <v>162</v>
      </c>
      <c r="I4670" s="0" t="s">
        <v>15555</v>
      </c>
      <c r="J4670" s="0" t="s">
        <v>15556</v>
      </c>
      <c r="K4670" s="0" t="s">
        <v>15557</v>
      </c>
      <c r="L4670" s="0" t="str">
        <f aca="false">HYPERLINK("https://www.ncbi.nlm.nih.gov/nuccore/CP000058.1?report=graph&amp;tracks=[key:gene_model_track,Options:GeneOnly]&amp;mk=1466632:1466651|offset_22|444444,1466674:1466693|offset_64|444444,1466738:1466757|offset_128|444444,1466772:1466791|offset_162|00cc00&amp;v=1466431:1466991&amp;c=444444", "offset 162")</f>
        <v>offset 162</v>
      </c>
    </row>
    <row r="4671" customFormat="false" ht="12.8" hidden="false" customHeight="false" outlineLevel="0" collapsed="false">
      <c r="A4671" s="0" t="s">
        <v>12</v>
      </c>
      <c r="B4671" s="0" t="n">
        <v>1467507</v>
      </c>
      <c r="C4671" s="0" t="n">
        <v>1467527</v>
      </c>
      <c r="D4671" s="0" t="s">
        <v>15558</v>
      </c>
      <c r="E4671" s="0" t="s">
        <v>75</v>
      </c>
      <c r="F4671" s="0" t="s">
        <v>15</v>
      </c>
      <c r="G4671" s="0" t="s">
        <v>16</v>
      </c>
      <c r="H4671" s="0" t="n">
        <v>71</v>
      </c>
      <c r="I4671" s="0" t="s">
        <v>15559</v>
      </c>
      <c r="J4671" s="0" t="s">
        <v>15560</v>
      </c>
      <c r="K4671" s="0" t="s">
        <v>15561</v>
      </c>
      <c r="L4671" s="0" t="str">
        <f aca="false">HYPERLINK("https://www.ncbi.nlm.nih.gov/nuccore/CP000058.1?report=graph&amp;tracks=[key:gene_model_track,Options:GeneOnly]&amp;mk=1467508:1467527|offset_71|00cc00,1467542:1467561|offset_105|444444,1467565:1467584|offset_128|444444,1467601:1467620|offset_164|444444&amp;v=1467307:1467820&amp;c=444444", "offset 71")</f>
        <v>offset 71</v>
      </c>
    </row>
    <row r="4672" customFormat="false" ht="12.8" hidden="false" customHeight="false" outlineLevel="0" collapsed="false">
      <c r="A4672" s="0" t="s">
        <v>12</v>
      </c>
      <c r="B4672" s="0" t="n">
        <v>1467541</v>
      </c>
      <c r="C4672" s="0" t="n">
        <v>1467561</v>
      </c>
      <c r="D4672" s="0" t="s">
        <v>15558</v>
      </c>
      <c r="E4672" s="0" t="s">
        <v>75</v>
      </c>
      <c r="F4672" s="0" t="s">
        <v>15</v>
      </c>
      <c r="G4672" s="0" t="s">
        <v>36</v>
      </c>
      <c r="H4672" s="0" t="n">
        <v>105</v>
      </c>
      <c r="I4672" s="0" t="s">
        <v>15562</v>
      </c>
      <c r="J4672" s="0" t="s">
        <v>15563</v>
      </c>
      <c r="K4672" s="0" t="s">
        <v>15564</v>
      </c>
      <c r="L4672" s="0" t="str">
        <f aca="false">HYPERLINK("https://www.ncbi.nlm.nih.gov/nuccore/CP000058.1?report=graph&amp;tracks=[key:gene_model_track,Options:GeneOnly]&amp;mk=1467508:1467527|offset_71|444444,1467542:1467561|offset_105|00cc00,1467565:1467584|offset_128|444444,1467601:1467620|offset_164|444444&amp;v=1467307:1467820&amp;c=444444", "offset 105")</f>
        <v>offset 105</v>
      </c>
    </row>
    <row r="4673" customFormat="false" ht="12.8" hidden="false" customHeight="false" outlineLevel="0" collapsed="false">
      <c r="A4673" s="0" t="s">
        <v>12</v>
      </c>
      <c r="B4673" s="0" t="n">
        <v>1467564</v>
      </c>
      <c r="C4673" s="0" t="n">
        <v>1467584</v>
      </c>
      <c r="D4673" s="0" t="s">
        <v>15558</v>
      </c>
      <c r="E4673" s="0" t="s">
        <v>75</v>
      </c>
      <c r="F4673" s="0" t="s">
        <v>15</v>
      </c>
      <c r="G4673" s="0" t="s">
        <v>20</v>
      </c>
      <c r="H4673" s="0" t="n">
        <v>128</v>
      </c>
      <c r="I4673" s="0" t="s">
        <v>15565</v>
      </c>
      <c r="J4673" s="0" t="s">
        <v>15566</v>
      </c>
      <c r="K4673" s="0" t="s">
        <v>15567</v>
      </c>
      <c r="L4673" s="0" t="str">
        <f aca="false">HYPERLINK("https://www.ncbi.nlm.nih.gov/nuccore/CP000058.1?report=graph&amp;tracks=[key:gene_model_track,Options:GeneOnly]&amp;mk=1467508:1467527|offset_71|444444,1467542:1467561|offset_105|444444,1467565:1467584|offset_128|00cc00,1467601:1467620|offset_164|444444&amp;v=1467307:1467820&amp;c=444444", "offset 128")</f>
        <v>offset 128</v>
      </c>
    </row>
    <row r="4674" customFormat="false" ht="12.8" hidden="false" customHeight="false" outlineLevel="0" collapsed="false">
      <c r="A4674" s="0" t="s">
        <v>12</v>
      </c>
      <c r="B4674" s="0" t="n">
        <v>1467600</v>
      </c>
      <c r="C4674" s="0" t="n">
        <v>1467620</v>
      </c>
      <c r="D4674" s="0" t="s">
        <v>15558</v>
      </c>
      <c r="E4674" s="0" t="s">
        <v>75</v>
      </c>
      <c r="F4674" s="0" t="s">
        <v>15</v>
      </c>
      <c r="G4674" s="0" t="s">
        <v>32</v>
      </c>
      <c r="H4674" s="0" t="n">
        <v>164</v>
      </c>
      <c r="I4674" s="0" t="s">
        <v>15568</v>
      </c>
      <c r="J4674" s="0" t="s">
        <v>15569</v>
      </c>
      <c r="K4674" s="0" t="s">
        <v>15570</v>
      </c>
      <c r="L4674" s="0" t="str">
        <f aca="false">HYPERLINK("https://www.ncbi.nlm.nih.gov/nuccore/CP000058.1?report=graph&amp;tracks=[key:gene_model_track,Options:GeneOnly]&amp;mk=1467508:1467527|offset_71|444444,1467542:1467561|offset_105|444444,1467565:1467584|offset_128|444444,1467601:1467620|offset_164|00cc00&amp;v=1467307:1467820&amp;c=444444", "offset 164")</f>
        <v>offset 164</v>
      </c>
    </row>
    <row r="4675" customFormat="false" ht="12.8" hidden="false" customHeight="false" outlineLevel="0" collapsed="false">
      <c r="A4675" s="0" t="s">
        <v>12</v>
      </c>
      <c r="B4675" s="0" t="n">
        <v>1474142</v>
      </c>
      <c r="C4675" s="0" t="n">
        <v>1474162</v>
      </c>
      <c r="D4675" s="0" t="s">
        <v>15571</v>
      </c>
      <c r="E4675" s="0" t="s">
        <v>15572</v>
      </c>
      <c r="F4675" s="0" t="s">
        <v>90</v>
      </c>
      <c r="G4675" s="0" t="s">
        <v>36</v>
      </c>
      <c r="H4675" s="0" t="n">
        <v>19</v>
      </c>
      <c r="I4675" s="0" t="s">
        <v>15573</v>
      </c>
      <c r="J4675" s="0" t="s">
        <v>15574</v>
      </c>
      <c r="K4675" s="0" t="s">
        <v>15575</v>
      </c>
      <c r="L4675" s="0" t="str">
        <f aca="false">HYPERLINK("https://www.ncbi.nlm.nih.gov/nuccore/CP000058.1?report=graph&amp;tracks=[key:gene_model_track,Options:GeneOnly]&amp;mk=1474143:1474162|offset_19|00cc00,1474116:1474135|offset_46|444444,1474082:1474101|offset_80|444444,1474050:1474069|offset_112|444444&amp;v=1473942:1474269&amp;c=444444", "offset 19")</f>
        <v>offset 19</v>
      </c>
    </row>
    <row r="4676" customFormat="false" ht="12.8" hidden="false" customHeight="false" outlineLevel="0" collapsed="false">
      <c r="A4676" s="0" t="s">
        <v>12</v>
      </c>
      <c r="B4676" s="0" t="n">
        <v>1474115</v>
      </c>
      <c r="C4676" s="0" t="n">
        <v>1474135</v>
      </c>
      <c r="D4676" s="0" t="s">
        <v>15571</v>
      </c>
      <c r="E4676" s="0" t="s">
        <v>15572</v>
      </c>
      <c r="F4676" s="0" t="s">
        <v>90</v>
      </c>
      <c r="G4676" s="0" t="s">
        <v>16</v>
      </c>
      <c r="H4676" s="0" t="n">
        <v>46</v>
      </c>
      <c r="I4676" s="0" t="s">
        <v>15576</v>
      </c>
      <c r="J4676" s="0" t="s">
        <v>15577</v>
      </c>
      <c r="K4676" s="0" t="s">
        <v>15578</v>
      </c>
      <c r="L4676" s="0" t="str">
        <f aca="false">HYPERLINK("https://www.ncbi.nlm.nih.gov/nuccore/CP000058.1?report=graph&amp;tracks=[key:gene_model_track,Options:GeneOnly]&amp;mk=1474143:1474162|offset_19|444444,1474116:1474135|offset_46|00cc00,1474082:1474101|offset_80|444444,1474050:1474069|offset_112|444444&amp;v=1473942:1474269&amp;c=444444", "offset 46")</f>
        <v>offset 46</v>
      </c>
    </row>
    <row r="4677" customFormat="false" ht="12.8" hidden="false" customHeight="false" outlineLevel="0" collapsed="false">
      <c r="A4677" s="0" t="s">
        <v>12</v>
      </c>
      <c r="B4677" s="0" t="n">
        <v>1474081</v>
      </c>
      <c r="C4677" s="0" t="n">
        <v>1474101</v>
      </c>
      <c r="D4677" s="0" t="s">
        <v>15571</v>
      </c>
      <c r="E4677" s="0" t="s">
        <v>15572</v>
      </c>
      <c r="F4677" s="0" t="s">
        <v>90</v>
      </c>
      <c r="G4677" s="0" t="s">
        <v>36</v>
      </c>
      <c r="H4677" s="0" t="n">
        <v>80</v>
      </c>
      <c r="I4677" s="0" t="s">
        <v>15579</v>
      </c>
      <c r="J4677" s="0" t="s">
        <v>15580</v>
      </c>
      <c r="K4677" s="0" t="s">
        <v>15581</v>
      </c>
      <c r="L4677" s="0" t="str">
        <f aca="false">HYPERLINK("https://www.ncbi.nlm.nih.gov/nuccore/CP000058.1?report=graph&amp;tracks=[key:gene_model_track,Options:GeneOnly]&amp;mk=1474143:1474162|offset_19|444444,1474116:1474135|offset_46|444444,1474082:1474101|offset_80|00cc00,1474050:1474069|offset_112|444444&amp;v=1473942:1474269&amp;c=444444", "offset 80")</f>
        <v>offset 80</v>
      </c>
    </row>
    <row r="4678" customFormat="false" ht="12.8" hidden="false" customHeight="false" outlineLevel="0" collapsed="false">
      <c r="A4678" s="0" t="s">
        <v>12</v>
      </c>
      <c r="B4678" s="0" t="n">
        <v>1474049</v>
      </c>
      <c r="C4678" s="0" t="n">
        <v>1474069</v>
      </c>
      <c r="D4678" s="0" t="s">
        <v>15571</v>
      </c>
      <c r="E4678" s="0" t="s">
        <v>15572</v>
      </c>
      <c r="F4678" s="0" t="s">
        <v>90</v>
      </c>
      <c r="G4678" s="0" t="s">
        <v>36</v>
      </c>
      <c r="H4678" s="0" t="n">
        <v>112</v>
      </c>
      <c r="I4678" s="0" t="s">
        <v>15582</v>
      </c>
      <c r="J4678" s="0" t="s">
        <v>15583</v>
      </c>
      <c r="K4678" s="0" t="s">
        <v>15584</v>
      </c>
      <c r="L4678" s="0" t="str">
        <f aca="false">HYPERLINK("https://www.ncbi.nlm.nih.gov/nuccore/CP000058.1?report=graph&amp;tracks=[key:gene_model_track,Options:GeneOnly]&amp;mk=1474143:1474162|offset_19|444444,1474116:1474135|offset_46|444444,1474082:1474101|offset_80|444444,1474050:1474069|offset_112|00cc00&amp;v=1473942:1474269&amp;c=444444", "offset 112")</f>
        <v>offset 112</v>
      </c>
    </row>
    <row r="4679" customFormat="false" ht="12.8" hidden="false" customHeight="false" outlineLevel="0" collapsed="false">
      <c r="A4679" s="0" t="s">
        <v>12</v>
      </c>
      <c r="B4679" s="0" t="n">
        <v>1474491</v>
      </c>
      <c r="C4679" s="0" t="n">
        <v>1474511</v>
      </c>
      <c r="D4679" s="0" t="s">
        <v>15585</v>
      </c>
      <c r="E4679" s="0" t="s">
        <v>15586</v>
      </c>
      <c r="F4679" s="0" t="s">
        <v>15</v>
      </c>
      <c r="G4679" s="0" t="s">
        <v>32</v>
      </c>
      <c r="H4679" s="0" t="n">
        <v>7</v>
      </c>
      <c r="I4679" s="0" t="s">
        <v>15587</v>
      </c>
      <c r="J4679" s="0" t="s">
        <v>15588</v>
      </c>
      <c r="K4679" s="0" t="s">
        <v>15589</v>
      </c>
      <c r="L4679" s="0" t="str">
        <f aca="false">HYPERLINK("https://www.ncbi.nlm.nih.gov/nuccore/CP000058.1?report=graph&amp;tracks=[key:gene_model_track,Options:GeneOnly]&amp;mk=1474492:1474511|offset_7|00cc00,1474541:1474560|offset_56|444444,1474576:1474595|offset_91|444444,1474634:1474653|offset_149|444444&amp;v=1474291:1474853&amp;c=444444", "offset 7")</f>
        <v>offset 7</v>
      </c>
    </row>
    <row r="4680" customFormat="false" ht="12.8" hidden="false" customHeight="false" outlineLevel="0" collapsed="false">
      <c r="A4680" s="0" t="s">
        <v>12</v>
      </c>
      <c r="B4680" s="0" t="n">
        <v>1474540</v>
      </c>
      <c r="C4680" s="0" t="n">
        <v>1474560</v>
      </c>
      <c r="D4680" s="0" t="s">
        <v>15585</v>
      </c>
      <c r="E4680" s="0" t="s">
        <v>15586</v>
      </c>
      <c r="F4680" s="0" t="s">
        <v>15</v>
      </c>
      <c r="G4680" s="0" t="s">
        <v>20</v>
      </c>
      <c r="H4680" s="0" t="n">
        <v>56</v>
      </c>
      <c r="I4680" s="0" t="s">
        <v>15590</v>
      </c>
      <c r="J4680" s="0" t="s">
        <v>15591</v>
      </c>
      <c r="K4680" s="0" t="s">
        <v>15592</v>
      </c>
      <c r="L4680" s="0" t="str">
        <f aca="false">HYPERLINK("https://www.ncbi.nlm.nih.gov/nuccore/CP000058.1?report=graph&amp;tracks=[key:gene_model_track,Options:GeneOnly]&amp;mk=1474492:1474511|offset_7|444444,1474541:1474560|offset_56|00cc00,1474576:1474595|offset_91|444444,1474634:1474653|offset_149|444444&amp;v=1474291:1474853&amp;c=444444", "offset 56")</f>
        <v>offset 56</v>
      </c>
    </row>
    <row r="4681" customFormat="false" ht="12.8" hidden="false" customHeight="false" outlineLevel="0" collapsed="false">
      <c r="A4681" s="0" t="s">
        <v>12</v>
      </c>
      <c r="B4681" s="0" t="n">
        <v>1474575</v>
      </c>
      <c r="C4681" s="0" t="n">
        <v>1474595</v>
      </c>
      <c r="D4681" s="0" t="s">
        <v>15585</v>
      </c>
      <c r="E4681" s="0" t="s">
        <v>15586</v>
      </c>
      <c r="F4681" s="0" t="s">
        <v>15</v>
      </c>
      <c r="G4681" s="0" t="s">
        <v>32</v>
      </c>
      <c r="H4681" s="0" t="n">
        <v>91</v>
      </c>
      <c r="I4681" s="0" t="s">
        <v>15593</v>
      </c>
      <c r="J4681" s="0" t="s">
        <v>15594</v>
      </c>
      <c r="K4681" s="0" t="s">
        <v>15595</v>
      </c>
      <c r="L4681" s="0" t="str">
        <f aca="false">HYPERLINK("https://www.ncbi.nlm.nih.gov/nuccore/CP000058.1?report=graph&amp;tracks=[key:gene_model_track,Options:GeneOnly]&amp;mk=1474492:1474511|offset_7|444444,1474541:1474560|offset_56|444444,1474576:1474595|offset_91|00cc00,1474634:1474653|offset_149|444444&amp;v=1474291:1474853&amp;c=444444", "offset 91")</f>
        <v>offset 91</v>
      </c>
    </row>
    <row r="4682" customFormat="false" ht="12.8" hidden="false" customHeight="false" outlineLevel="0" collapsed="false">
      <c r="A4682" s="0" t="s">
        <v>12</v>
      </c>
      <c r="B4682" s="0" t="n">
        <v>1474633</v>
      </c>
      <c r="C4682" s="0" t="n">
        <v>1474653</v>
      </c>
      <c r="D4682" s="0" t="s">
        <v>15585</v>
      </c>
      <c r="E4682" s="0" t="s">
        <v>15586</v>
      </c>
      <c r="F4682" s="0" t="s">
        <v>15</v>
      </c>
      <c r="G4682" s="0" t="s">
        <v>16</v>
      </c>
      <c r="H4682" s="0" t="n">
        <v>149</v>
      </c>
      <c r="I4682" s="0" t="s">
        <v>15596</v>
      </c>
      <c r="J4682" s="0" t="s">
        <v>15597</v>
      </c>
      <c r="K4682" s="0" t="s">
        <v>15598</v>
      </c>
      <c r="L4682" s="0" t="str">
        <f aca="false">HYPERLINK("https://www.ncbi.nlm.nih.gov/nuccore/CP000058.1?report=graph&amp;tracks=[key:gene_model_track,Options:GeneOnly]&amp;mk=1474492:1474511|offset_7|444444,1474541:1474560|offset_56|444444,1474576:1474595|offset_91|444444,1474634:1474653|offset_149|00cc00&amp;v=1474291:1474853&amp;c=444444", "offset 149")</f>
        <v>offset 149</v>
      </c>
    </row>
    <row r="4683" customFormat="false" ht="12.8" hidden="false" customHeight="false" outlineLevel="0" collapsed="false">
      <c r="A4683" s="0" t="s">
        <v>12</v>
      </c>
      <c r="B4683" s="0" t="n">
        <v>1477299</v>
      </c>
      <c r="C4683" s="0" t="n">
        <v>1477319</v>
      </c>
      <c r="D4683" s="0" t="s">
        <v>15599</v>
      </c>
      <c r="E4683" s="0" t="s">
        <v>15600</v>
      </c>
      <c r="F4683" s="0" t="s">
        <v>15</v>
      </c>
      <c r="G4683" s="0" t="s">
        <v>36</v>
      </c>
      <c r="H4683" s="0" t="n">
        <v>11</v>
      </c>
      <c r="I4683" s="0" t="s">
        <v>15601</v>
      </c>
      <c r="J4683" s="0" t="s">
        <v>15602</v>
      </c>
      <c r="K4683" s="0" t="s">
        <v>15603</v>
      </c>
      <c r="L4683" s="0" t="str">
        <f aca="false">HYPERLINK("https://www.ncbi.nlm.nih.gov/nuccore/CP000058.1?report=graph&amp;tracks=[key:gene_model_track,Options:GeneOnly]&amp;mk=1477300:1477319|offset_11|00cc00,1477342:1477361|offset_53|444444,1477362:1477381|offset_73|444444,1477383:1477402|offset_94|444444&amp;v=1477099:1477602&amp;c=444444", "offset 11")</f>
        <v>offset 11</v>
      </c>
    </row>
    <row r="4684" customFormat="false" ht="12.8" hidden="false" customHeight="false" outlineLevel="0" collapsed="false">
      <c r="A4684" s="0" t="s">
        <v>12</v>
      </c>
      <c r="B4684" s="0" t="n">
        <v>1477341</v>
      </c>
      <c r="C4684" s="0" t="n">
        <v>1477361</v>
      </c>
      <c r="D4684" s="0" t="s">
        <v>15599</v>
      </c>
      <c r="E4684" s="0" t="s">
        <v>15600</v>
      </c>
      <c r="F4684" s="0" t="s">
        <v>15</v>
      </c>
      <c r="G4684" s="0" t="s">
        <v>32</v>
      </c>
      <c r="H4684" s="0" t="n">
        <v>53</v>
      </c>
      <c r="I4684" s="0" t="s">
        <v>15604</v>
      </c>
      <c r="J4684" s="0" t="s">
        <v>15605</v>
      </c>
      <c r="K4684" s="0" t="s">
        <v>15606</v>
      </c>
      <c r="L4684" s="0" t="str">
        <f aca="false">HYPERLINK("https://www.ncbi.nlm.nih.gov/nuccore/CP000058.1?report=graph&amp;tracks=[key:gene_model_track,Options:GeneOnly]&amp;mk=1477300:1477319|offset_11|444444,1477342:1477361|offset_53|00cc00,1477362:1477381|offset_73|444444,1477383:1477402|offset_94|444444&amp;v=1477099:1477602&amp;c=444444", "offset 53")</f>
        <v>offset 53</v>
      </c>
    </row>
    <row r="4685" customFormat="false" ht="12.8" hidden="false" customHeight="false" outlineLevel="0" collapsed="false">
      <c r="A4685" s="0" t="s">
        <v>12</v>
      </c>
      <c r="B4685" s="0" t="n">
        <v>1477361</v>
      </c>
      <c r="C4685" s="0" t="n">
        <v>1477381</v>
      </c>
      <c r="D4685" s="0" t="s">
        <v>15599</v>
      </c>
      <c r="E4685" s="0" t="s">
        <v>15600</v>
      </c>
      <c r="F4685" s="0" t="s">
        <v>15</v>
      </c>
      <c r="G4685" s="0" t="s">
        <v>20</v>
      </c>
      <c r="H4685" s="0" t="n">
        <v>73</v>
      </c>
      <c r="I4685" s="0" t="s">
        <v>15607</v>
      </c>
      <c r="J4685" s="0" t="s">
        <v>15608</v>
      </c>
      <c r="K4685" s="0" t="s">
        <v>15609</v>
      </c>
      <c r="L4685" s="0" t="str">
        <f aca="false">HYPERLINK("https://www.ncbi.nlm.nih.gov/nuccore/CP000058.1?report=graph&amp;tracks=[key:gene_model_track,Options:GeneOnly]&amp;mk=1477300:1477319|offset_11|444444,1477342:1477361|offset_53|444444,1477362:1477381|offset_73|00cc00,1477383:1477402|offset_94|444444&amp;v=1477099:1477602&amp;c=444444", "offset 73")</f>
        <v>offset 73</v>
      </c>
    </row>
    <row r="4686" customFormat="false" ht="12.8" hidden="false" customHeight="false" outlineLevel="0" collapsed="false">
      <c r="A4686" s="0" t="s">
        <v>12</v>
      </c>
      <c r="B4686" s="0" t="n">
        <v>1477382</v>
      </c>
      <c r="C4686" s="0" t="n">
        <v>1477402</v>
      </c>
      <c r="D4686" s="0" t="s">
        <v>15599</v>
      </c>
      <c r="E4686" s="0" t="s">
        <v>15600</v>
      </c>
      <c r="F4686" s="0" t="s">
        <v>15</v>
      </c>
      <c r="G4686" s="0" t="s">
        <v>36</v>
      </c>
      <c r="H4686" s="0" t="n">
        <v>94</v>
      </c>
      <c r="I4686" s="0" t="s">
        <v>15610</v>
      </c>
      <c r="J4686" s="0" t="s">
        <v>15611</v>
      </c>
      <c r="K4686" s="0" t="s">
        <v>15612</v>
      </c>
      <c r="L4686" s="0" t="str">
        <f aca="false">HYPERLINK("https://www.ncbi.nlm.nih.gov/nuccore/CP000058.1?report=graph&amp;tracks=[key:gene_model_track,Options:GeneOnly]&amp;mk=1477300:1477319|offset_11|444444,1477342:1477361|offset_53|444444,1477362:1477381|offset_73|444444,1477383:1477402|offset_94|00cc00&amp;v=1477099:1477602&amp;c=444444", "offset 94")</f>
        <v>offset 94</v>
      </c>
    </row>
    <row r="4687" customFormat="false" ht="12.8" hidden="false" customHeight="false" outlineLevel="0" collapsed="false">
      <c r="A4687" s="0" t="s">
        <v>12</v>
      </c>
      <c r="B4687" s="0" t="n">
        <v>1482850</v>
      </c>
      <c r="C4687" s="0" t="n">
        <v>1482870</v>
      </c>
      <c r="D4687" s="0" t="s">
        <v>15613</v>
      </c>
      <c r="E4687" s="0" t="s">
        <v>15614</v>
      </c>
      <c r="F4687" s="0" t="s">
        <v>90</v>
      </c>
      <c r="G4687" s="0" t="s">
        <v>16</v>
      </c>
      <c r="H4687" s="0" t="n">
        <v>1</v>
      </c>
      <c r="I4687" s="0" t="s">
        <v>15615</v>
      </c>
      <c r="J4687" s="0" t="s">
        <v>15616</v>
      </c>
      <c r="K4687" s="0" t="s">
        <v>15617</v>
      </c>
      <c r="L4687" s="0" t="str">
        <f aca="false">HYPERLINK("https://www.ncbi.nlm.nih.gov/nuccore/CP000058.1?report=graph&amp;tracks=[key:gene_model_track,Options:GeneOnly]&amp;mk=1482851:1482870|offset_1|00cc00,1482829:1482848|offset_23|444444,1482804:1482823|offset_48|444444,1482747:1482766|offset_105|444444&amp;v=1482650:1482966&amp;c=444444", "offset 1")</f>
        <v>offset 1</v>
      </c>
    </row>
    <row r="4688" customFormat="false" ht="12.8" hidden="false" customHeight="false" outlineLevel="0" collapsed="false">
      <c r="A4688" s="0" t="s">
        <v>12</v>
      </c>
      <c r="B4688" s="0" t="n">
        <v>1482828</v>
      </c>
      <c r="C4688" s="0" t="n">
        <v>1482848</v>
      </c>
      <c r="D4688" s="0" t="s">
        <v>15613</v>
      </c>
      <c r="E4688" s="0" t="s">
        <v>15614</v>
      </c>
      <c r="F4688" s="0" t="s">
        <v>90</v>
      </c>
      <c r="G4688" s="0" t="s">
        <v>16</v>
      </c>
      <c r="H4688" s="0" t="n">
        <v>23</v>
      </c>
      <c r="I4688" s="0" t="s">
        <v>15618</v>
      </c>
      <c r="J4688" s="0" t="s">
        <v>15619</v>
      </c>
      <c r="K4688" s="0" t="s">
        <v>15620</v>
      </c>
      <c r="L4688" s="0" t="str">
        <f aca="false">HYPERLINK("https://www.ncbi.nlm.nih.gov/nuccore/CP000058.1?report=graph&amp;tracks=[key:gene_model_track,Options:GeneOnly]&amp;mk=1482851:1482870|offset_1|444444,1482829:1482848|offset_23|00cc00,1482804:1482823|offset_48|444444,1482747:1482766|offset_105|444444&amp;v=1482650:1482966&amp;c=444444", "offset 23")</f>
        <v>offset 23</v>
      </c>
    </row>
    <row r="4689" customFormat="false" ht="12.8" hidden="false" customHeight="false" outlineLevel="0" collapsed="false">
      <c r="A4689" s="0" t="s">
        <v>12</v>
      </c>
      <c r="B4689" s="0" t="n">
        <v>1482803</v>
      </c>
      <c r="C4689" s="0" t="n">
        <v>1482823</v>
      </c>
      <c r="D4689" s="0" t="s">
        <v>15613</v>
      </c>
      <c r="E4689" s="0" t="s">
        <v>15614</v>
      </c>
      <c r="F4689" s="0" t="s">
        <v>90</v>
      </c>
      <c r="G4689" s="0" t="s">
        <v>16</v>
      </c>
      <c r="H4689" s="0" t="n">
        <v>48</v>
      </c>
      <c r="I4689" s="0" t="s">
        <v>15621</v>
      </c>
      <c r="J4689" s="0" t="s">
        <v>15622</v>
      </c>
      <c r="K4689" s="0" t="s">
        <v>15623</v>
      </c>
      <c r="L4689" s="0" t="str">
        <f aca="false">HYPERLINK("https://www.ncbi.nlm.nih.gov/nuccore/CP000058.1?report=graph&amp;tracks=[key:gene_model_track,Options:GeneOnly]&amp;mk=1482851:1482870|offset_1|444444,1482829:1482848|offset_23|444444,1482804:1482823|offset_48|00cc00,1482747:1482766|offset_105|444444&amp;v=1482650:1482966&amp;c=444444", "offset 48")</f>
        <v>offset 48</v>
      </c>
    </row>
    <row r="4690" customFormat="false" ht="12.8" hidden="false" customHeight="false" outlineLevel="0" collapsed="false">
      <c r="A4690" s="0" t="s">
        <v>12</v>
      </c>
      <c r="B4690" s="0" t="n">
        <v>1482746</v>
      </c>
      <c r="C4690" s="0" t="n">
        <v>1482766</v>
      </c>
      <c r="D4690" s="0" t="s">
        <v>15613</v>
      </c>
      <c r="E4690" s="0" t="s">
        <v>15614</v>
      </c>
      <c r="F4690" s="0" t="s">
        <v>90</v>
      </c>
      <c r="G4690" s="0" t="s">
        <v>36</v>
      </c>
      <c r="H4690" s="0" t="n">
        <v>105</v>
      </c>
      <c r="I4690" s="0" t="s">
        <v>15624</v>
      </c>
      <c r="J4690" s="0" t="s">
        <v>15625</v>
      </c>
      <c r="K4690" s="0" t="s">
        <v>15626</v>
      </c>
      <c r="L4690" s="0" t="str">
        <f aca="false">HYPERLINK("https://www.ncbi.nlm.nih.gov/nuccore/CP000058.1?report=graph&amp;tracks=[key:gene_model_track,Options:GeneOnly]&amp;mk=1482851:1482870|offset_1|444444,1482829:1482848|offset_23|444444,1482804:1482823|offset_48|444444,1482747:1482766|offset_105|00cc00&amp;v=1482650:1482966&amp;c=444444", "offset 105")</f>
        <v>offset 105</v>
      </c>
    </row>
    <row r="4691" customFormat="false" ht="12.8" hidden="false" customHeight="false" outlineLevel="0" collapsed="false">
      <c r="A4691" s="0" t="s">
        <v>12</v>
      </c>
      <c r="B4691" s="0" t="n">
        <v>1483092</v>
      </c>
      <c r="C4691" s="0" t="n">
        <v>1483112</v>
      </c>
      <c r="D4691" s="0" t="s">
        <v>15627</v>
      </c>
      <c r="E4691" s="0" t="s">
        <v>75</v>
      </c>
      <c r="F4691" s="0" t="s">
        <v>15</v>
      </c>
      <c r="G4691" s="0" t="s">
        <v>36</v>
      </c>
      <c r="H4691" s="0" t="n">
        <v>0</v>
      </c>
      <c r="I4691" s="0" t="s">
        <v>15628</v>
      </c>
      <c r="J4691" s="0" t="s">
        <v>15629</v>
      </c>
      <c r="K4691" s="0" t="s">
        <v>15630</v>
      </c>
      <c r="L4691" s="0" t="str">
        <f aca="false">HYPERLINK("https://www.ncbi.nlm.nih.gov/nuccore/CP000058.1?report=graph&amp;tracks=[key:gene_model_track,Options:GeneOnly]&amp;mk=1483093:1483112|offset_0|00cc00,1483125:1483144|offset_32|444444,1483213:1483232|offset_120|444444,1483248:1483267|offset_155|444444&amp;v=1482892:1483467&amp;c=444444", "offset 0")</f>
        <v>offset 0</v>
      </c>
    </row>
    <row r="4692" customFormat="false" ht="12.8" hidden="false" customHeight="false" outlineLevel="0" collapsed="false">
      <c r="A4692" s="0" t="s">
        <v>12</v>
      </c>
      <c r="B4692" s="0" t="n">
        <v>1483124</v>
      </c>
      <c r="C4692" s="0" t="n">
        <v>1483144</v>
      </c>
      <c r="D4692" s="0" t="s">
        <v>15627</v>
      </c>
      <c r="E4692" s="0" t="s">
        <v>75</v>
      </c>
      <c r="F4692" s="0" t="s">
        <v>15</v>
      </c>
      <c r="G4692" s="0" t="s">
        <v>36</v>
      </c>
      <c r="H4692" s="0" t="n">
        <v>32</v>
      </c>
      <c r="I4692" s="0" t="s">
        <v>15631</v>
      </c>
      <c r="J4692" s="0" t="s">
        <v>15632</v>
      </c>
      <c r="K4692" s="0" t="s">
        <v>15633</v>
      </c>
      <c r="L4692" s="0" t="str">
        <f aca="false">HYPERLINK("https://www.ncbi.nlm.nih.gov/nuccore/CP000058.1?report=graph&amp;tracks=[key:gene_model_track,Options:GeneOnly]&amp;mk=1483093:1483112|offset_0|444444,1483125:1483144|offset_32|00cc00,1483213:1483232|offset_120|444444,1483248:1483267|offset_155|444444&amp;v=1482892:1483467&amp;c=444444", "offset 32")</f>
        <v>offset 32</v>
      </c>
    </row>
    <row r="4693" customFormat="false" ht="12.8" hidden="false" customHeight="false" outlineLevel="0" collapsed="false">
      <c r="A4693" s="0" t="s">
        <v>12</v>
      </c>
      <c r="B4693" s="0" t="n">
        <v>1483212</v>
      </c>
      <c r="C4693" s="0" t="n">
        <v>1483232</v>
      </c>
      <c r="D4693" s="0" t="s">
        <v>15627</v>
      </c>
      <c r="E4693" s="0" t="s">
        <v>75</v>
      </c>
      <c r="F4693" s="0" t="s">
        <v>15</v>
      </c>
      <c r="G4693" s="0" t="s">
        <v>36</v>
      </c>
      <c r="H4693" s="0" t="n">
        <v>120</v>
      </c>
      <c r="I4693" s="0" t="s">
        <v>15634</v>
      </c>
      <c r="J4693" s="0" t="s">
        <v>15635</v>
      </c>
      <c r="K4693" s="0" t="s">
        <v>15636</v>
      </c>
      <c r="L4693" s="0" t="str">
        <f aca="false">HYPERLINK("https://www.ncbi.nlm.nih.gov/nuccore/CP000058.1?report=graph&amp;tracks=[key:gene_model_track,Options:GeneOnly]&amp;mk=1483093:1483112|offset_0|444444,1483125:1483144|offset_32|444444,1483213:1483232|offset_120|00cc00,1483248:1483267|offset_155|444444&amp;v=1482892:1483467&amp;c=444444", "offset 120")</f>
        <v>offset 120</v>
      </c>
    </row>
    <row r="4694" customFormat="false" ht="12.8" hidden="false" customHeight="false" outlineLevel="0" collapsed="false">
      <c r="A4694" s="0" t="s">
        <v>12</v>
      </c>
      <c r="B4694" s="0" t="n">
        <v>1483247</v>
      </c>
      <c r="C4694" s="0" t="n">
        <v>1483267</v>
      </c>
      <c r="D4694" s="0" t="s">
        <v>15627</v>
      </c>
      <c r="E4694" s="0" t="s">
        <v>75</v>
      </c>
      <c r="F4694" s="0" t="s">
        <v>15</v>
      </c>
      <c r="G4694" s="0" t="s">
        <v>20</v>
      </c>
      <c r="H4694" s="0" t="n">
        <v>155</v>
      </c>
      <c r="I4694" s="0" t="s">
        <v>15637</v>
      </c>
      <c r="J4694" s="0" t="s">
        <v>15638</v>
      </c>
      <c r="K4694" s="0" t="s">
        <v>15639</v>
      </c>
      <c r="L4694" s="0" t="str">
        <f aca="false">HYPERLINK("https://www.ncbi.nlm.nih.gov/nuccore/CP000058.1?report=graph&amp;tracks=[key:gene_model_track,Options:GeneOnly]&amp;mk=1483093:1483112|offset_0|444444,1483125:1483144|offset_32|444444,1483213:1483232|offset_120|444444,1483248:1483267|offset_155|00cc00&amp;v=1482892:1483467&amp;c=444444", "offset 155")</f>
        <v>offset 155</v>
      </c>
    </row>
    <row r="4695" customFormat="false" ht="12.8" hidden="false" customHeight="false" outlineLevel="0" collapsed="false">
      <c r="A4695" s="0" t="s">
        <v>12</v>
      </c>
      <c r="B4695" s="0" t="n">
        <v>1485666</v>
      </c>
      <c r="C4695" s="0" t="n">
        <v>1485686</v>
      </c>
      <c r="D4695" s="0" t="s">
        <v>15640</v>
      </c>
      <c r="E4695" s="0" t="s">
        <v>15641</v>
      </c>
      <c r="F4695" s="0" t="s">
        <v>15</v>
      </c>
      <c r="G4695" s="0" t="s">
        <v>16</v>
      </c>
      <c r="H4695" s="0" t="n">
        <v>29</v>
      </c>
      <c r="I4695" s="0" t="s">
        <v>15642</v>
      </c>
      <c r="J4695" s="0" t="s">
        <v>15643</v>
      </c>
      <c r="K4695" s="0" t="s">
        <v>15644</v>
      </c>
      <c r="L4695" s="0" t="str">
        <f aca="false">HYPERLINK("https://www.ncbi.nlm.nih.gov/nuccore/CP000058.1?report=graph&amp;tracks=[key:gene_model_track,Options:GeneOnly]&amp;mk=1485667:1485686|offset_29|00cc00,1485696:1485715|offset_58|444444,1485762:1485781|offset_124|444444,1485786:1485805|offset_148|444444&amp;v=1485466:1486005&amp;c=444444", "offset 29")</f>
        <v>offset 29</v>
      </c>
    </row>
    <row r="4696" customFormat="false" ht="12.8" hidden="false" customHeight="false" outlineLevel="0" collapsed="false">
      <c r="A4696" s="0" t="s">
        <v>12</v>
      </c>
      <c r="B4696" s="0" t="n">
        <v>1485695</v>
      </c>
      <c r="C4696" s="0" t="n">
        <v>1485715</v>
      </c>
      <c r="D4696" s="0" t="s">
        <v>15640</v>
      </c>
      <c r="E4696" s="0" t="s">
        <v>15641</v>
      </c>
      <c r="F4696" s="0" t="s">
        <v>15</v>
      </c>
      <c r="G4696" s="0" t="s">
        <v>16</v>
      </c>
      <c r="H4696" s="0" t="n">
        <v>58</v>
      </c>
      <c r="I4696" s="0" t="s">
        <v>15645</v>
      </c>
      <c r="J4696" s="0" t="s">
        <v>15646</v>
      </c>
      <c r="K4696" s="0" t="s">
        <v>15647</v>
      </c>
      <c r="L4696" s="0" t="str">
        <f aca="false">HYPERLINK("https://www.ncbi.nlm.nih.gov/nuccore/CP000058.1?report=graph&amp;tracks=[key:gene_model_track,Options:GeneOnly]&amp;mk=1485667:1485686|offset_29|444444,1485696:1485715|offset_58|00cc00,1485762:1485781|offset_124|444444,1485786:1485805|offset_148|444444&amp;v=1485466:1486005&amp;c=444444", "offset 58")</f>
        <v>offset 58</v>
      </c>
    </row>
    <row r="4697" customFormat="false" ht="12.8" hidden="false" customHeight="false" outlineLevel="0" collapsed="false">
      <c r="A4697" s="0" t="s">
        <v>12</v>
      </c>
      <c r="B4697" s="0" t="n">
        <v>1485761</v>
      </c>
      <c r="C4697" s="0" t="n">
        <v>1485781</v>
      </c>
      <c r="D4697" s="0" t="s">
        <v>15640</v>
      </c>
      <c r="E4697" s="0" t="s">
        <v>15641</v>
      </c>
      <c r="F4697" s="0" t="s">
        <v>15</v>
      </c>
      <c r="G4697" s="0" t="s">
        <v>16</v>
      </c>
      <c r="H4697" s="0" t="n">
        <v>124</v>
      </c>
      <c r="I4697" s="0" t="s">
        <v>15648</v>
      </c>
      <c r="J4697" s="0" t="s">
        <v>15649</v>
      </c>
      <c r="K4697" s="0" t="s">
        <v>15650</v>
      </c>
      <c r="L4697" s="0" t="str">
        <f aca="false">HYPERLINK("https://www.ncbi.nlm.nih.gov/nuccore/CP000058.1?report=graph&amp;tracks=[key:gene_model_track,Options:GeneOnly]&amp;mk=1485667:1485686|offset_29|444444,1485696:1485715|offset_58|444444,1485762:1485781|offset_124|00cc00,1485786:1485805|offset_148|444444&amp;v=1485466:1486005&amp;c=444444", "offset 124")</f>
        <v>offset 124</v>
      </c>
    </row>
    <row r="4698" customFormat="false" ht="12.8" hidden="false" customHeight="false" outlineLevel="0" collapsed="false">
      <c r="A4698" s="0" t="s">
        <v>12</v>
      </c>
      <c r="B4698" s="0" t="n">
        <v>1485785</v>
      </c>
      <c r="C4698" s="0" t="n">
        <v>1485805</v>
      </c>
      <c r="D4698" s="0" t="s">
        <v>15640</v>
      </c>
      <c r="E4698" s="0" t="s">
        <v>15641</v>
      </c>
      <c r="F4698" s="0" t="s">
        <v>15</v>
      </c>
      <c r="G4698" s="0" t="s">
        <v>32</v>
      </c>
      <c r="H4698" s="0" t="n">
        <v>148</v>
      </c>
      <c r="I4698" s="0" t="s">
        <v>15651</v>
      </c>
      <c r="J4698" s="0" t="s">
        <v>15652</v>
      </c>
      <c r="K4698" s="0" t="s">
        <v>15653</v>
      </c>
      <c r="L4698" s="0" t="str">
        <f aca="false">HYPERLINK("https://www.ncbi.nlm.nih.gov/nuccore/CP000058.1?report=graph&amp;tracks=[key:gene_model_track,Options:GeneOnly]&amp;mk=1485667:1485686|offset_29|444444,1485696:1485715|offset_58|444444,1485762:1485781|offset_124|444444,1485786:1485805|offset_148|00cc00&amp;v=1485466:1486005&amp;c=444444", "offset 148")</f>
        <v>offset 148</v>
      </c>
    </row>
    <row r="4699" customFormat="false" ht="12.8" hidden="false" customHeight="false" outlineLevel="0" collapsed="false">
      <c r="A4699" s="0" t="s">
        <v>12</v>
      </c>
      <c r="B4699" s="0" t="n">
        <v>1486640</v>
      </c>
      <c r="C4699" s="0" t="n">
        <v>1486660</v>
      </c>
      <c r="D4699" s="0" t="s">
        <v>15654</v>
      </c>
      <c r="E4699" s="0" t="s">
        <v>15655</v>
      </c>
      <c r="F4699" s="0" t="s">
        <v>15</v>
      </c>
      <c r="G4699" s="0" t="s">
        <v>20</v>
      </c>
      <c r="H4699" s="0" t="n">
        <v>32</v>
      </c>
      <c r="I4699" s="0" t="s">
        <v>15656</v>
      </c>
      <c r="J4699" s="0" t="s">
        <v>15657</v>
      </c>
      <c r="K4699" s="0" t="s">
        <v>15658</v>
      </c>
      <c r="L4699" s="0" t="str">
        <f aca="false">HYPERLINK("https://www.ncbi.nlm.nih.gov/nuccore/CP000058.1?report=graph&amp;tracks=[key:gene_model_track,Options:GeneOnly]&amp;mk=1486641:1486660|offset_32|00cc00,1486727:1486746|offset_118|444444,1486751:1486770|offset_142|444444,1486776:1486795|offset_167|444444&amp;v=1486440:1486995&amp;c=444444", "offset 32")</f>
        <v>offset 32</v>
      </c>
    </row>
    <row r="4700" customFormat="false" ht="12.8" hidden="false" customHeight="false" outlineLevel="0" collapsed="false">
      <c r="A4700" s="0" t="s">
        <v>12</v>
      </c>
      <c r="B4700" s="0" t="n">
        <v>1486726</v>
      </c>
      <c r="C4700" s="0" t="n">
        <v>1486746</v>
      </c>
      <c r="D4700" s="0" t="s">
        <v>15654</v>
      </c>
      <c r="E4700" s="0" t="s">
        <v>15655</v>
      </c>
      <c r="F4700" s="0" t="s">
        <v>15</v>
      </c>
      <c r="G4700" s="0" t="s">
        <v>16</v>
      </c>
      <c r="H4700" s="0" t="n">
        <v>118</v>
      </c>
      <c r="I4700" s="0" t="s">
        <v>15659</v>
      </c>
      <c r="J4700" s="0" t="s">
        <v>15660</v>
      </c>
      <c r="K4700" s="0" t="s">
        <v>15661</v>
      </c>
      <c r="L4700" s="0" t="str">
        <f aca="false">HYPERLINK("https://www.ncbi.nlm.nih.gov/nuccore/CP000058.1?report=graph&amp;tracks=[key:gene_model_track,Options:GeneOnly]&amp;mk=1486641:1486660|offset_32|444444,1486727:1486746|offset_118|00cc00,1486751:1486770|offset_142|444444,1486776:1486795|offset_167|444444&amp;v=1486440:1486995&amp;c=444444", "offset 118")</f>
        <v>offset 118</v>
      </c>
    </row>
    <row r="4701" customFormat="false" ht="12.8" hidden="false" customHeight="false" outlineLevel="0" collapsed="false">
      <c r="A4701" s="0" t="s">
        <v>12</v>
      </c>
      <c r="B4701" s="0" t="n">
        <v>1486750</v>
      </c>
      <c r="C4701" s="0" t="n">
        <v>1486770</v>
      </c>
      <c r="D4701" s="0" t="s">
        <v>15654</v>
      </c>
      <c r="E4701" s="0" t="s">
        <v>15655</v>
      </c>
      <c r="F4701" s="0" t="s">
        <v>15</v>
      </c>
      <c r="G4701" s="0" t="s">
        <v>36</v>
      </c>
      <c r="H4701" s="0" t="n">
        <v>142</v>
      </c>
      <c r="I4701" s="0" t="s">
        <v>15662</v>
      </c>
      <c r="J4701" s="0" t="s">
        <v>15663</v>
      </c>
      <c r="K4701" s="0" t="s">
        <v>15664</v>
      </c>
      <c r="L4701" s="0" t="str">
        <f aca="false">HYPERLINK("https://www.ncbi.nlm.nih.gov/nuccore/CP000058.1?report=graph&amp;tracks=[key:gene_model_track,Options:GeneOnly]&amp;mk=1486641:1486660|offset_32|444444,1486727:1486746|offset_118|444444,1486751:1486770|offset_142|00cc00,1486776:1486795|offset_167|444444&amp;v=1486440:1486995&amp;c=444444", "offset 142")</f>
        <v>offset 142</v>
      </c>
    </row>
    <row r="4702" customFormat="false" ht="12.8" hidden="false" customHeight="false" outlineLevel="0" collapsed="false">
      <c r="A4702" s="0" t="s">
        <v>12</v>
      </c>
      <c r="B4702" s="0" t="n">
        <v>1486775</v>
      </c>
      <c r="C4702" s="0" t="n">
        <v>1486795</v>
      </c>
      <c r="D4702" s="0" t="s">
        <v>15654</v>
      </c>
      <c r="E4702" s="0" t="s">
        <v>15655</v>
      </c>
      <c r="F4702" s="0" t="s">
        <v>15</v>
      </c>
      <c r="G4702" s="0" t="s">
        <v>16</v>
      </c>
      <c r="H4702" s="0" t="n">
        <v>167</v>
      </c>
      <c r="I4702" s="0" t="s">
        <v>15665</v>
      </c>
      <c r="J4702" s="0" t="s">
        <v>15666</v>
      </c>
      <c r="K4702" s="0" t="s">
        <v>15667</v>
      </c>
      <c r="L4702" s="0" t="str">
        <f aca="false">HYPERLINK("https://www.ncbi.nlm.nih.gov/nuccore/CP000058.1?report=graph&amp;tracks=[key:gene_model_track,Options:GeneOnly]&amp;mk=1486641:1486660|offset_32|444444,1486727:1486746|offset_118|444444,1486751:1486770|offset_142|444444,1486776:1486795|offset_167|00cc00&amp;v=1486440:1486995&amp;c=444444", "offset 167")</f>
        <v>offset 167</v>
      </c>
    </row>
    <row r="4703" customFormat="false" ht="12.8" hidden="false" customHeight="false" outlineLevel="0" collapsed="false">
      <c r="A4703" s="0" t="s">
        <v>12</v>
      </c>
      <c r="B4703" s="0" t="n">
        <v>1487705</v>
      </c>
      <c r="C4703" s="0" t="n">
        <v>1487725</v>
      </c>
      <c r="D4703" s="0" t="s">
        <v>15668</v>
      </c>
      <c r="E4703" s="0" t="s">
        <v>15669</v>
      </c>
      <c r="F4703" s="0" t="s">
        <v>15</v>
      </c>
      <c r="G4703" s="0" t="s">
        <v>16</v>
      </c>
      <c r="H4703" s="0" t="n">
        <v>97</v>
      </c>
      <c r="I4703" s="0" t="s">
        <v>15670</v>
      </c>
      <c r="J4703" s="0" t="s">
        <v>15671</v>
      </c>
      <c r="K4703" s="0" t="s">
        <v>15672</v>
      </c>
      <c r="L4703" s="0" t="str">
        <f aca="false">HYPERLINK("https://www.ncbi.nlm.nih.gov/nuccore/CP000058.1?report=graph&amp;tracks=[key:gene_model_track,Options:GeneOnly]&amp;mk=1487706:1487725|offset_97|00cc00,1487727:1487746|offset_118|444444,1487763:1487782|offset_154|444444,1487799:1487818|offset_190|444444&amp;v=1487505:1488018&amp;c=444444", "offset 97")</f>
        <v>offset 97</v>
      </c>
    </row>
    <row r="4704" customFormat="false" ht="12.8" hidden="false" customHeight="false" outlineLevel="0" collapsed="false">
      <c r="A4704" s="0" t="s">
        <v>12</v>
      </c>
      <c r="B4704" s="0" t="n">
        <v>1487726</v>
      </c>
      <c r="C4704" s="0" t="n">
        <v>1487746</v>
      </c>
      <c r="D4704" s="0" t="s">
        <v>15668</v>
      </c>
      <c r="E4704" s="0" t="s">
        <v>15669</v>
      </c>
      <c r="F4704" s="0" t="s">
        <v>15</v>
      </c>
      <c r="G4704" s="0" t="s">
        <v>32</v>
      </c>
      <c r="H4704" s="0" t="n">
        <v>118</v>
      </c>
      <c r="I4704" s="0" t="s">
        <v>15673</v>
      </c>
      <c r="J4704" s="0" t="s">
        <v>15674</v>
      </c>
      <c r="K4704" s="0" t="s">
        <v>15675</v>
      </c>
      <c r="L4704" s="0" t="str">
        <f aca="false">HYPERLINK("https://www.ncbi.nlm.nih.gov/nuccore/CP000058.1?report=graph&amp;tracks=[key:gene_model_track,Options:GeneOnly]&amp;mk=1487706:1487725|offset_97|444444,1487727:1487746|offset_118|00cc00,1487763:1487782|offset_154|444444,1487799:1487818|offset_190|444444&amp;v=1487505:1488018&amp;c=444444", "offset 118")</f>
        <v>offset 118</v>
      </c>
    </row>
    <row r="4705" customFormat="false" ht="12.8" hidden="false" customHeight="false" outlineLevel="0" collapsed="false">
      <c r="A4705" s="0" t="s">
        <v>12</v>
      </c>
      <c r="B4705" s="0" t="n">
        <v>1487762</v>
      </c>
      <c r="C4705" s="0" t="n">
        <v>1487782</v>
      </c>
      <c r="D4705" s="0" t="s">
        <v>15668</v>
      </c>
      <c r="E4705" s="0" t="s">
        <v>15669</v>
      </c>
      <c r="F4705" s="0" t="s">
        <v>15</v>
      </c>
      <c r="G4705" s="0" t="s">
        <v>36</v>
      </c>
      <c r="H4705" s="0" t="n">
        <v>154</v>
      </c>
      <c r="I4705" s="0" t="s">
        <v>15676</v>
      </c>
      <c r="J4705" s="0" t="s">
        <v>15677</v>
      </c>
      <c r="K4705" s="0" t="s">
        <v>15678</v>
      </c>
      <c r="L4705" s="0" t="str">
        <f aca="false">HYPERLINK("https://www.ncbi.nlm.nih.gov/nuccore/CP000058.1?report=graph&amp;tracks=[key:gene_model_track,Options:GeneOnly]&amp;mk=1487706:1487725|offset_97|444444,1487727:1487746|offset_118|444444,1487763:1487782|offset_154|00cc00,1487799:1487818|offset_190|444444&amp;v=1487505:1488018&amp;c=444444", "offset 154")</f>
        <v>offset 154</v>
      </c>
    </row>
    <row r="4706" customFormat="false" ht="12.8" hidden="false" customHeight="false" outlineLevel="0" collapsed="false">
      <c r="A4706" s="0" t="s">
        <v>12</v>
      </c>
      <c r="B4706" s="0" t="n">
        <v>1487798</v>
      </c>
      <c r="C4706" s="0" t="n">
        <v>1487818</v>
      </c>
      <c r="D4706" s="0" t="s">
        <v>15668</v>
      </c>
      <c r="E4706" s="0" t="s">
        <v>15669</v>
      </c>
      <c r="F4706" s="0" t="s">
        <v>15</v>
      </c>
      <c r="G4706" s="0" t="s">
        <v>16</v>
      </c>
      <c r="H4706" s="0" t="n">
        <v>190</v>
      </c>
      <c r="I4706" s="0" t="s">
        <v>15679</v>
      </c>
      <c r="J4706" s="0" t="s">
        <v>15680</v>
      </c>
      <c r="K4706" s="0" t="s">
        <v>15681</v>
      </c>
      <c r="L4706" s="0" t="str">
        <f aca="false">HYPERLINK("https://www.ncbi.nlm.nih.gov/nuccore/CP000058.1?report=graph&amp;tracks=[key:gene_model_track,Options:GeneOnly]&amp;mk=1487706:1487725|offset_97|444444,1487727:1487746|offset_118|444444,1487763:1487782|offset_154|444444,1487799:1487818|offset_190|00cc00&amp;v=1487505:1488018&amp;c=444444", "offset 190")</f>
        <v>offset 190</v>
      </c>
    </row>
    <row r="4707" customFormat="false" ht="12.8" hidden="false" customHeight="false" outlineLevel="0" collapsed="false">
      <c r="A4707" s="0" t="s">
        <v>12</v>
      </c>
      <c r="B4707" s="0" t="n">
        <v>1488029</v>
      </c>
      <c r="C4707" s="0" t="n">
        <v>1488049</v>
      </c>
      <c r="D4707" s="0" t="s">
        <v>15682</v>
      </c>
      <c r="E4707" s="0" t="s">
        <v>15683</v>
      </c>
      <c r="F4707" s="0" t="s">
        <v>15</v>
      </c>
      <c r="G4707" s="0" t="s">
        <v>36</v>
      </c>
      <c r="H4707" s="0" t="n">
        <v>41</v>
      </c>
      <c r="I4707" s="0" t="s">
        <v>15684</v>
      </c>
      <c r="J4707" s="0" t="s">
        <v>15685</v>
      </c>
      <c r="K4707" s="0" t="s">
        <v>15686</v>
      </c>
      <c r="L4707" s="0" t="str">
        <f aca="false">HYPERLINK("https://www.ncbi.nlm.nih.gov/nuccore/CP000058.1?report=graph&amp;tracks=[key:gene_model_track,Options:GeneOnly]&amp;mk=1488030:1488049|offset_41|00cc00,1488054:1488073|offset_65|444444,1488074:1488093|offset_85|444444,1488125:1488144|offset_136|444444&amp;v=1487829:1488344&amp;c=444444", "offset 41")</f>
        <v>offset 41</v>
      </c>
    </row>
    <row r="4708" customFormat="false" ht="12.8" hidden="false" customHeight="false" outlineLevel="0" collapsed="false">
      <c r="A4708" s="0" t="s">
        <v>12</v>
      </c>
      <c r="B4708" s="0" t="n">
        <v>1488053</v>
      </c>
      <c r="C4708" s="0" t="n">
        <v>1488073</v>
      </c>
      <c r="D4708" s="0" t="s">
        <v>15682</v>
      </c>
      <c r="E4708" s="0" t="s">
        <v>15683</v>
      </c>
      <c r="F4708" s="0" t="s">
        <v>15</v>
      </c>
      <c r="G4708" s="0" t="s">
        <v>16</v>
      </c>
      <c r="H4708" s="0" t="n">
        <v>65</v>
      </c>
      <c r="I4708" s="0" t="s">
        <v>15687</v>
      </c>
      <c r="J4708" s="0" t="s">
        <v>15688</v>
      </c>
      <c r="K4708" s="0" t="s">
        <v>15689</v>
      </c>
      <c r="L4708" s="0" t="str">
        <f aca="false">HYPERLINK("https://www.ncbi.nlm.nih.gov/nuccore/CP000058.1?report=graph&amp;tracks=[key:gene_model_track,Options:GeneOnly]&amp;mk=1488030:1488049|offset_41|444444,1488054:1488073|offset_65|00cc00,1488074:1488093|offset_85|444444,1488125:1488144|offset_136|444444&amp;v=1487829:1488344&amp;c=444444", "offset 65")</f>
        <v>offset 65</v>
      </c>
    </row>
    <row r="4709" customFormat="false" ht="12.8" hidden="false" customHeight="false" outlineLevel="0" collapsed="false">
      <c r="A4709" s="0" t="s">
        <v>12</v>
      </c>
      <c r="B4709" s="0" t="n">
        <v>1488073</v>
      </c>
      <c r="C4709" s="0" t="n">
        <v>1488093</v>
      </c>
      <c r="D4709" s="0" t="s">
        <v>15682</v>
      </c>
      <c r="E4709" s="0" t="s">
        <v>15683</v>
      </c>
      <c r="F4709" s="0" t="s">
        <v>15</v>
      </c>
      <c r="G4709" s="0" t="s">
        <v>16</v>
      </c>
      <c r="H4709" s="0" t="n">
        <v>85</v>
      </c>
      <c r="I4709" s="0" t="s">
        <v>15690</v>
      </c>
      <c r="J4709" s="0" t="s">
        <v>15691</v>
      </c>
      <c r="K4709" s="0" t="s">
        <v>15692</v>
      </c>
      <c r="L4709" s="0" t="str">
        <f aca="false">HYPERLINK("https://www.ncbi.nlm.nih.gov/nuccore/CP000058.1?report=graph&amp;tracks=[key:gene_model_track,Options:GeneOnly]&amp;mk=1488030:1488049|offset_41|444444,1488054:1488073|offset_65|444444,1488074:1488093|offset_85|00cc00,1488125:1488144|offset_136|444444&amp;v=1487829:1488344&amp;c=444444", "offset 85")</f>
        <v>offset 85</v>
      </c>
    </row>
    <row r="4710" customFormat="false" ht="12.8" hidden="false" customHeight="false" outlineLevel="0" collapsed="false">
      <c r="A4710" s="0" t="s">
        <v>12</v>
      </c>
      <c r="B4710" s="0" t="n">
        <v>1488124</v>
      </c>
      <c r="C4710" s="0" t="n">
        <v>1488144</v>
      </c>
      <c r="D4710" s="0" t="s">
        <v>15682</v>
      </c>
      <c r="E4710" s="0" t="s">
        <v>15683</v>
      </c>
      <c r="F4710" s="0" t="s">
        <v>15</v>
      </c>
      <c r="G4710" s="0" t="s">
        <v>36</v>
      </c>
      <c r="H4710" s="0" t="n">
        <v>136</v>
      </c>
      <c r="I4710" s="0" t="s">
        <v>15693</v>
      </c>
      <c r="J4710" s="0" t="s">
        <v>15694</v>
      </c>
      <c r="K4710" s="0" t="s">
        <v>15695</v>
      </c>
      <c r="L4710" s="0" t="str">
        <f aca="false">HYPERLINK("https://www.ncbi.nlm.nih.gov/nuccore/CP000058.1?report=graph&amp;tracks=[key:gene_model_track,Options:GeneOnly]&amp;mk=1488030:1488049|offset_41|444444,1488054:1488073|offset_65|444444,1488074:1488093|offset_85|444444,1488125:1488144|offset_136|00cc00&amp;v=1487829:1488344&amp;c=444444", "offset 136")</f>
        <v>offset 136</v>
      </c>
    </row>
    <row r="4711" customFormat="false" ht="12.8" hidden="false" customHeight="false" outlineLevel="0" collapsed="false">
      <c r="A4711" s="0" t="s">
        <v>12</v>
      </c>
      <c r="B4711" s="0" t="n">
        <v>1489060</v>
      </c>
      <c r="C4711" s="0" t="n">
        <v>1489080</v>
      </c>
      <c r="D4711" s="0" t="s">
        <v>15696</v>
      </c>
      <c r="E4711" s="0" t="s">
        <v>15697</v>
      </c>
      <c r="F4711" s="0" t="s">
        <v>15</v>
      </c>
      <c r="G4711" s="0" t="s">
        <v>16</v>
      </c>
      <c r="H4711" s="0" t="n">
        <v>7</v>
      </c>
      <c r="I4711" s="0" t="s">
        <v>15698</v>
      </c>
      <c r="J4711" s="0" t="s">
        <v>15699</v>
      </c>
      <c r="K4711" s="0" t="s">
        <v>15700</v>
      </c>
      <c r="L4711" s="0" t="str">
        <f aca="false">HYPERLINK("https://www.ncbi.nlm.nih.gov/nuccore/CP000058.1?report=graph&amp;tracks=[key:gene_model_track,Options:GeneOnly]&amp;mk=1489061:1489080|offset_7|00cc00,1489096:1489115|offset_42|444444,1489117:1489136|offset_63|444444,1489138:1489157|offset_84|444444&amp;v=1488860:1489357&amp;c=444444", "offset 7")</f>
        <v>offset 7</v>
      </c>
    </row>
    <row r="4712" customFormat="false" ht="12.8" hidden="false" customHeight="false" outlineLevel="0" collapsed="false">
      <c r="A4712" s="0" t="s">
        <v>12</v>
      </c>
      <c r="B4712" s="0" t="n">
        <v>1489095</v>
      </c>
      <c r="C4712" s="0" t="n">
        <v>1489115</v>
      </c>
      <c r="D4712" s="0" t="s">
        <v>15696</v>
      </c>
      <c r="E4712" s="0" t="s">
        <v>15697</v>
      </c>
      <c r="F4712" s="0" t="s">
        <v>15</v>
      </c>
      <c r="G4712" s="0" t="s">
        <v>16</v>
      </c>
      <c r="H4712" s="0" t="n">
        <v>42</v>
      </c>
      <c r="I4712" s="0" t="s">
        <v>15701</v>
      </c>
      <c r="J4712" s="0" t="s">
        <v>15702</v>
      </c>
      <c r="K4712" s="0" t="s">
        <v>15703</v>
      </c>
      <c r="L4712" s="0" t="str">
        <f aca="false">HYPERLINK("https://www.ncbi.nlm.nih.gov/nuccore/CP000058.1?report=graph&amp;tracks=[key:gene_model_track,Options:GeneOnly]&amp;mk=1489061:1489080|offset_7|444444,1489096:1489115|offset_42|00cc00,1489117:1489136|offset_63|444444,1489138:1489157|offset_84|444444&amp;v=1488860:1489357&amp;c=444444", "offset 42")</f>
        <v>offset 42</v>
      </c>
    </row>
    <row r="4713" customFormat="false" ht="12.8" hidden="false" customHeight="false" outlineLevel="0" collapsed="false">
      <c r="A4713" s="0" t="s">
        <v>12</v>
      </c>
      <c r="B4713" s="0" t="n">
        <v>1489116</v>
      </c>
      <c r="C4713" s="0" t="n">
        <v>1489136</v>
      </c>
      <c r="D4713" s="0" t="s">
        <v>15696</v>
      </c>
      <c r="E4713" s="0" t="s">
        <v>15697</v>
      </c>
      <c r="F4713" s="0" t="s">
        <v>15</v>
      </c>
      <c r="G4713" s="0" t="s">
        <v>32</v>
      </c>
      <c r="H4713" s="0" t="n">
        <v>63</v>
      </c>
      <c r="I4713" s="0" t="s">
        <v>15704</v>
      </c>
      <c r="J4713" s="0" t="s">
        <v>15705</v>
      </c>
      <c r="K4713" s="0" t="s">
        <v>15706</v>
      </c>
      <c r="L4713" s="0" t="str">
        <f aca="false">HYPERLINK("https://www.ncbi.nlm.nih.gov/nuccore/CP000058.1?report=graph&amp;tracks=[key:gene_model_track,Options:GeneOnly]&amp;mk=1489061:1489080|offset_7|444444,1489096:1489115|offset_42|444444,1489117:1489136|offset_63|00cc00,1489138:1489157|offset_84|444444&amp;v=1488860:1489357&amp;c=444444", "offset 63")</f>
        <v>offset 63</v>
      </c>
    </row>
    <row r="4714" customFormat="false" ht="12.8" hidden="false" customHeight="false" outlineLevel="0" collapsed="false">
      <c r="A4714" s="0" t="s">
        <v>12</v>
      </c>
      <c r="B4714" s="0" t="n">
        <v>1489137</v>
      </c>
      <c r="C4714" s="0" t="n">
        <v>1489157</v>
      </c>
      <c r="D4714" s="0" t="s">
        <v>15696</v>
      </c>
      <c r="E4714" s="0" t="s">
        <v>15697</v>
      </c>
      <c r="F4714" s="0" t="s">
        <v>15</v>
      </c>
      <c r="G4714" s="0" t="s">
        <v>20</v>
      </c>
      <c r="H4714" s="0" t="n">
        <v>84</v>
      </c>
      <c r="I4714" s="0" t="s">
        <v>15707</v>
      </c>
      <c r="J4714" s="0" t="s">
        <v>15708</v>
      </c>
      <c r="K4714" s="0" t="s">
        <v>15709</v>
      </c>
      <c r="L4714" s="0" t="str">
        <f aca="false">HYPERLINK("https://www.ncbi.nlm.nih.gov/nuccore/CP000058.1?report=graph&amp;tracks=[key:gene_model_track,Options:GeneOnly]&amp;mk=1489061:1489080|offset_7|444444,1489096:1489115|offset_42|444444,1489117:1489136|offset_63|444444,1489138:1489157|offset_84|00cc00&amp;v=1488860:1489357&amp;c=444444", "offset 84")</f>
        <v>offset 84</v>
      </c>
    </row>
    <row r="4715" customFormat="false" ht="12.8" hidden="false" customHeight="false" outlineLevel="0" collapsed="false">
      <c r="A4715" s="0" t="s">
        <v>12</v>
      </c>
      <c r="B4715" s="0" t="n">
        <v>1489506</v>
      </c>
      <c r="C4715" s="0" t="n">
        <v>1489526</v>
      </c>
      <c r="D4715" s="0" t="s">
        <v>15710</v>
      </c>
      <c r="E4715" s="0" t="s">
        <v>15711</v>
      </c>
      <c r="F4715" s="0" t="s">
        <v>15</v>
      </c>
      <c r="G4715" s="0" t="s">
        <v>16</v>
      </c>
      <c r="H4715" s="0" t="n">
        <v>70</v>
      </c>
      <c r="I4715" s="0" t="s">
        <v>15712</v>
      </c>
      <c r="J4715" s="0" t="s">
        <v>15713</v>
      </c>
      <c r="K4715" s="0" t="s">
        <v>15714</v>
      </c>
      <c r="L4715" s="0" t="str">
        <f aca="false">HYPERLINK("https://www.ncbi.nlm.nih.gov/nuccore/CP000058.1?report=graph&amp;tracks=[key:gene_model_track,Options:GeneOnly]&amp;mk=1489507:1489526|offset_70|00cc00,1489528:1489547|offset_91|444444,1489559:1489578|offset_122|444444,1489592:1489611|offset_155|444444&amp;v=1489306:1489811&amp;c=444444", "offset 70")</f>
        <v>offset 70</v>
      </c>
    </row>
    <row r="4716" customFormat="false" ht="12.8" hidden="false" customHeight="false" outlineLevel="0" collapsed="false">
      <c r="A4716" s="0" t="s">
        <v>12</v>
      </c>
      <c r="B4716" s="0" t="n">
        <v>1489527</v>
      </c>
      <c r="C4716" s="0" t="n">
        <v>1489547</v>
      </c>
      <c r="D4716" s="0" t="s">
        <v>15710</v>
      </c>
      <c r="E4716" s="0" t="s">
        <v>15711</v>
      </c>
      <c r="F4716" s="0" t="s">
        <v>15</v>
      </c>
      <c r="G4716" s="0" t="s">
        <v>16</v>
      </c>
      <c r="H4716" s="0" t="n">
        <v>91</v>
      </c>
      <c r="I4716" s="0" t="s">
        <v>15715</v>
      </c>
      <c r="J4716" s="0" t="s">
        <v>15716</v>
      </c>
      <c r="K4716" s="0" t="s">
        <v>15717</v>
      </c>
      <c r="L4716" s="0" t="str">
        <f aca="false">HYPERLINK("https://www.ncbi.nlm.nih.gov/nuccore/CP000058.1?report=graph&amp;tracks=[key:gene_model_track,Options:GeneOnly]&amp;mk=1489507:1489526|offset_70|444444,1489528:1489547|offset_91|00cc00,1489559:1489578|offset_122|444444,1489592:1489611|offset_155|444444&amp;v=1489306:1489811&amp;c=444444", "offset 91")</f>
        <v>offset 91</v>
      </c>
    </row>
    <row r="4717" customFormat="false" ht="12.8" hidden="false" customHeight="false" outlineLevel="0" collapsed="false">
      <c r="A4717" s="0" t="s">
        <v>12</v>
      </c>
      <c r="B4717" s="0" t="n">
        <v>1489558</v>
      </c>
      <c r="C4717" s="0" t="n">
        <v>1489578</v>
      </c>
      <c r="D4717" s="0" t="s">
        <v>15710</v>
      </c>
      <c r="E4717" s="0" t="s">
        <v>15711</v>
      </c>
      <c r="F4717" s="0" t="s">
        <v>15</v>
      </c>
      <c r="G4717" s="0" t="s">
        <v>20</v>
      </c>
      <c r="H4717" s="0" t="n">
        <v>122</v>
      </c>
      <c r="I4717" s="0" t="s">
        <v>15718</v>
      </c>
      <c r="J4717" s="0" t="s">
        <v>15719</v>
      </c>
      <c r="K4717" s="0" t="s">
        <v>15720</v>
      </c>
      <c r="L4717" s="0" t="str">
        <f aca="false">HYPERLINK("https://www.ncbi.nlm.nih.gov/nuccore/CP000058.1?report=graph&amp;tracks=[key:gene_model_track,Options:GeneOnly]&amp;mk=1489507:1489526|offset_70|444444,1489528:1489547|offset_91|444444,1489559:1489578|offset_122|00cc00,1489592:1489611|offset_155|444444&amp;v=1489306:1489811&amp;c=444444", "offset 122")</f>
        <v>offset 122</v>
      </c>
    </row>
    <row r="4718" customFormat="false" ht="12.8" hidden="false" customHeight="false" outlineLevel="0" collapsed="false">
      <c r="A4718" s="0" t="s">
        <v>12</v>
      </c>
      <c r="B4718" s="0" t="n">
        <v>1489591</v>
      </c>
      <c r="C4718" s="0" t="n">
        <v>1489611</v>
      </c>
      <c r="D4718" s="0" t="s">
        <v>15710</v>
      </c>
      <c r="E4718" s="0" t="s">
        <v>15711</v>
      </c>
      <c r="F4718" s="0" t="s">
        <v>15</v>
      </c>
      <c r="G4718" s="0" t="s">
        <v>20</v>
      </c>
      <c r="H4718" s="0" t="n">
        <v>155</v>
      </c>
      <c r="I4718" s="0" t="s">
        <v>15721</v>
      </c>
      <c r="J4718" s="0" t="s">
        <v>15722</v>
      </c>
      <c r="K4718" s="0" t="s">
        <v>15723</v>
      </c>
      <c r="L4718" s="0" t="str">
        <f aca="false">HYPERLINK("https://www.ncbi.nlm.nih.gov/nuccore/CP000058.1?report=graph&amp;tracks=[key:gene_model_track,Options:GeneOnly]&amp;mk=1489507:1489526|offset_70|444444,1489528:1489547|offset_91|444444,1489559:1489578|offset_122|444444,1489592:1489611|offset_155|00cc00&amp;v=1489306:1489811&amp;c=444444", "offset 155")</f>
        <v>offset 155</v>
      </c>
    </row>
    <row r="4719" customFormat="false" ht="12.8" hidden="false" customHeight="false" outlineLevel="0" collapsed="false">
      <c r="A4719" s="0" t="s">
        <v>12</v>
      </c>
      <c r="B4719" s="0" t="n">
        <v>1490258</v>
      </c>
      <c r="C4719" s="0" t="n">
        <v>1490278</v>
      </c>
      <c r="D4719" s="0" t="s">
        <v>15724</v>
      </c>
      <c r="E4719" s="0" t="s">
        <v>15725</v>
      </c>
      <c r="F4719" s="0" t="s">
        <v>15</v>
      </c>
      <c r="G4719" s="0" t="s">
        <v>16</v>
      </c>
      <c r="H4719" s="0" t="n">
        <v>16</v>
      </c>
      <c r="I4719" s="0" t="s">
        <v>15726</v>
      </c>
      <c r="J4719" s="0" t="s">
        <v>15727</v>
      </c>
      <c r="K4719" s="0" t="s">
        <v>15728</v>
      </c>
      <c r="L4719" s="0" t="str">
        <f aca="false">HYPERLINK("https://www.ncbi.nlm.nih.gov/nuccore/CP000058.1?report=graph&amp;tracks=[key:gene_model_track,Options:GeneOnly]&amp;mk=1490259:1490278|offset_16|00cc00,1490290:1490309|offset_47|444444,1490323:1490342|offset_80|444444,1490344:1490363|offset_101|444444&amp;v=1490058:1490563&amp;c=444444", "offset 16")</f>
        <v>offset 16</v>
      </c>
    </row>
    <row r="4720" customFormat="false" ht="12.8" hidden="false" customHeight="false" outlineLevel="0" collapsed="false">
      <c r="A4720" s="0" t="s">
        <v>12</v>
      </c>
      <c r="B4720" s="0" t="n">
        <v>1490289</v>
      </c>
      <c r="C4720" s="0" t="n">
        <v>1490309</v>
      </c>
      <c r="D4720" s="0" t="s">
        <v>15724</v>
      </c>
      <c r="E4720" s="0" t="s">
        <v>15725</v>
      </c>
      <c r="F4720" s="0" t="s">
        <v>15</v>
      </c>
      <c r="G4720" s="0" t="s">
        <v>36</v>
      </c>
      <c r="H4720" s="0" t="n">
        <v>47</v>
      </c>
      <c r="I4720" s="0" t="s">
        <v>15729</v>
      </c>
      <c r="J4720" s="0" t="s">
        <v>15730</v>
      </c>
      <c r="K4720" s="0" t="s">
        <v>15731</v>
      </c>
      <c r="L4720" s="0" t="str">
        <f aca="false">HYPERLINK("https://www.ncbi.nlm.nih.gov/nuccore/CP000058.1?report=graph&amp;tracks=[key:gene_model_track,Options:GeneOnly]&amp;mk=1490259:1490278|offset_16|444444,1490290:1490309|offset_47|00cc00,1490323:1490342|offset_80|444444,1490344:1490363|offset_101|444444&amp;v=1490058:1490563&amp;c=444444", "offset 47")</f>
        <v>offset 47</v>
      </c>
    </row>
    <row r="4721" customFormat="false" ht="12.8" hidden="false" customHeight="false" outlineLevel="0" collapsed="false">
      <c r="A4721" s="0" t="s">
        <v>12</v>
      </c>
      <c r="B4721" s="0" t="n">
        <v>1490322</v>
      </c>
      <c r="C4721" s="0" t="n">
        <v>1490342</v>
      </c>
      <c r="D4721" s="0" t="s">
        <v>15724</v>
      </c>
      <c r="E4721" s="0" t="s">
        <v>15725</v>
      </c>
      <c r="F4721" s="0" t="s">
        <v>15</v>
      </c>
      <c r="G4721" s="0" t="s">
        <v>16</v>
      </c>
      <c r="H4721" s="0" t="n">
        <v>80</v>
      </c>
      <c r="I4721" s="0" t="s">
        <v>15732</v>
      </c>
      <c r="J4721" s="0" t="s">
        <v>15733</v>
      </c>
      <c r="K4721" s="0" t="s">
        <v>15734</v>
      </c>
      <c r="L4721" s="0" t="str">
        <f aca="false">HYPERLINK("https://www.ncbi.nlm.nih.gov/nuccore/CP000058.1?report=graph&amp;tracks=[key:gene_model_track,Options:GeneOnly]&amp;mk=1490259:1490278|offset_16|444444,1490290:1490309|offset_47|444444,1490323:1490342|offset_80|00cc00,1490344:1490363|offset_101|444444&amp;v=1490058:1490563&amp;c=444444", "offset 80")</f>
        <v>offset 80</v>
      </c>
    </row>
    <row r="4722" customFormat="false" ht="12.8" hidden="false" customHeight="false" outlineLevel="0" collapsed="false">
      <c r="A4722" s="0" t="s">
        <v>12</v>
      </c>
      <c r="B4722" s="0" t="n">
        <v>1490343</v>
      </c>
      <c r="C4722" s="0" t="n">
        <v>1490363</v>
      </c>
      <c r="D4722" s="0" t="s">
        <v>15724</v>
      </c>
      <c r="E4722" s="0" t="s">
        <v>15725</v>
      </c>
      <c r="F4722" s="0" t="s">
        <v>15</v>
      </c>
      <c r="G4722" s="0" t="s">
        <v>20</v>
      </c>
      <c r="H4722" s="0" t="n">
        <v>101</v>
      </c>
      <c r="I4722" s="0" t="s">
        <v>15735</v>
      </c>
      <c r="J4722" s="0" t="s">
        <v>15736</v>
      </c>
      <c r="K4722" s="0" t="s">
        <v>15737</v>
      </c>
      <c r="L4722" s="0" t="str">
        <f aca="false">HYPERLINK("https://www.ncbi.nlm.nih.gov/nuccore/CP000058.1?report=graph&amp;tracks=[key:gene_model_track,Options:GeneOnly]&amp;mk=1490259:1490278|offset_16|444444,1490290:1490309|offset_47|444444,1490323:1490342|offset_80|444444,1490344:1490363|offset_101|00cc00&amp;v=1490058:1490563&amp;c=444444", "offset 101")</f>
        <v>offset 101</v>
      </c>
    </row>
    <row r="4723" customFormat="false" ht="12.8" hidden="false" customHeight="false" outlineLevel="0" collapsed="false">
      <c r="A4723" s="0" t="s">
        <v>12</v>
      </c>
      <c r="B4723" s="0" t="n">
        <v>1490805</v>
      </c>
      <c r="C4723" s="0" t="n">
        <v>1490825</v>
      </c>
      <c r="D4723" s="0" t="s">
        <v>15738</v>
      </c>
      <c r="E4723" s="0" t="s">
        <v>15739</v>
      </c>
      <c r="F4723" s="0" t="s">
        <v>15</v>
      </c>
      <c r="G4723" s="0" t="s">
        <v>36</v>
      </c>
      <c r="H4723" s="0" t="n">
        <v>0</v>
      </c>
      <c r="I4723" s="0" t="s">
        <v>15740</v>
      </c>
      <c r="J4723" s="0" t="s">
        <v>15741</v>
      </c>
      <c r="K4723" s="0" t="s">
        <v>15742</v>
      </c>
      <c r="L4723" s="0" t="str">
        <f aca="false">HYPERLINK("https://www.ncbi.nlm.nih.gov/nuccore/CP000058.1?report=graph&amp;tracks=[key:gene_model_track,Options:GeneOnly]&amp;mk=1490806:1490825|offset_0|00cc00,1490840:1490859|offset_34|444444,1490860:1490879|offset_54|444444,1490885:1490904|offset_79|444444&amp;v=1490605:1491104&amp;c=444444", "offset 0")</f>
        <v>offset 0</v>
      </c>
    </row>
    <row r="4724" customFormat="false" ht="12.8" hidden="false" customHeight="false" outlineLevel="0" collapsed="false">
      <c r="A4724" s="0" t="s">
        <v>12</v>
      </c>
      <c r="B4724" s="0" t="n">
        <v>1490839</v>
      </c>
      <c r="C4724" s="0" t="n">
        <v>1490859</v>
      </c>
      <c r="D4724" s="0" t="s">
        <v>15738</v>
      </c>
      <c r="E4724" s="0" t="s">
        <v>15739</v>
      </c>
      <c r="F4724" s="0" t="s">
        <v>15</v>
      </c>
      <c r="G4724" s="0" t="s">
        <v>32</v>
      </c>
      <c r="H4724" s="0" t="n">
        <v>34</v>
      </c>
      <c r="I4724" s="0" t="s">
        <v>15743</v>
      </c>
      <c r="J4724" s="0" t="s">
        <v>15744</v>
      </c>
      <c r="K4724" s="0" t="s">
        <v>15745</v>
      </c>
      <c r="L4724" s="0" t="str">
        <f aca="false">HYPERLINK("https://www.ncbi.nlm.nih.gov/nuccore/CP000058.1?report=graph&amp;tracks=[key:gene_model_track,Options:GeneOnly]&amp;mk=1490806:1490825|offset_0|444444,1490840:1490859|offset_34|00cc00,1490860:1490879|offset_54|444444,1490885:1490904|offset_79|444444&amp;v=1490605:1491104&amp;c=444444", "offset 34")</f>
        <v>offset 34</v>
      </c>
    </row>
    <row r="4725" customFormat="false" ht="12.8" hidden="false" customHeight="false" outlineLevel="0" collapsed="false">
      <c r="A4725" s="0" t="s">
        <v>12</v>
      </c>
      <c r="B4725" s="0" t="n">
        <v>1490859</v>
      </c>
      <c r="C4725" s="0" t="n">
        <v>1490879</v>
      </c>
      <c r="D4725" s="0" t="s">
        <v>15738</v>
      </c>
      <c r="E4725" s="0" t="s">
        <v>15739</v>
      </c>
      <c r="F4725" s="0" t="s">
        <v>15</v>
      </c>
      <c r="G4725" s="0" t="s">
        <v>20</v>
      </c>
      <c r="H4725" s="0" t="n">
        <v>54</v>
      </c>
      <c r="I4725" s="0" t="s">
        <v>15746</v>
      </c>
      <c r="J4725" s="0" t="s">
        <v>15747</v>
      </c>
      <c r="K4725" s="0" t="s">
        <v>15748</v>
      </c>
      <c r="L4725" s="0" t="str">
        <f aca="false">HYPERLINK("https://www.ncbi.nlm.nih.gov/nuccore/CP000058.1?report=graph&amp;tracks=[key:gene_model_track,Options:GeneOnly]&amp;mk=1490806:1490825|offset_0|444444,1490840:1490859|offset_34|444444,1490860:1490879|offset_54|00cc00,1490885:1490904|offset_79|444444&amp;v=1490605:1491104&amp;c=444444", "offset 54")</f>
        <v>offset 54</v>
      </c>
    </row>
    <row r="4726" customFormat="false" ht="12.8" hidden="false" customHeight="false" outlineLevel="0" collapsed="false">
      <c r="A4726" s="0" t="s">
        <v>12</v>
      </c>
      <c r="B4726" s="0" t="n">
        <v>1490884</v>
      </c>
      <c r="C4726" s="0" t="n">
        <v>1490904</v>
      </c>
      <c r="D4726" s="0" t="s">
        <v>15738</v>
      </c>
      <c r="E4726" s="0" t="s">
        <v>15739</v>
      </c>
      <c r="F4726" s="0" t="s">
        <v>15</v>
      </c>
      <c r="G4726" s="0" t="s">
        <v>32</v>
      </c>
      <c r="H4726" s="0" t="n">
        <v>79</v>
      </c>
      <c r="I4726" s="0" t="s">
        <v>15749</v>
      </c>
      <c r="J4726" s="0" t="s">
        <v>15750</v>
      </c>
      <c r="K4726" s="0" t="s">
        <v>15751</v>
      </c>
      <c r="L4726" s="0" t="str">
        <f aca="false">HYPERLINK("https://www.ncbi.nlm.nih.gov/nuccore/CP000058.1?report=graph&amp;tracks=[key:gene_model_track,Options:GeneOnly]&amp;mk=1490806:1490825|offset_0|444444,1490840:1490859|offset_34|444444,1490860:1490879|offset_54|444444,1490885:1490904|offset_79|00cc00&amp;v=1490605:1491104&amp;c=444444", "offset 79")</f>
        <v>offset 79</v>
      </c>
    </row>
    <row r="4727" customFormat="false" ht="12.8" hidden="false" customHeight="false" outlineLevel="0" collapsed="false">
      <c r="A4727" s="0" t="s">
        <v>12</v>
      </c>
      <c r="B4727" s="0" t="n">
        <v>1491502</v>
      </c>
      <c r="C4727" s="0" t="n">
        <v>1491522</v>
      </c>
      <c r="D4727" s="0" t="s">
        <v>15752</v>
      </c>
      <c r="E4727" s="0" t="s">
        <v>15753</v>
      </c>
      <c r="F4727" s="0" t="s">
        <v>15</v>
      </c>
      <c r="G4727" s="0" t="s">
        <v>20</v>
      </c>
      <c r="H4727" s="0" t="n">
        <v>32</v>
      </c>
      <c r="I4727" s="0" t="s">
        <v>15754</v>
      </c>
      <c r="J4727" s="0" t="s">
        <v>15755</v>
      </c>
      <c r="K4727" s="0" t="s">
        <v>15756</v>
      </c>
      <c r="L4727" s="0" t="str">
        <f aca="false">HYPERLINK("https://www.ncbi.nlm.nih.gov/nuccore/CP000058.1?report=graph&amp;tracks=[key:gene_model_track,Options:GeneOnly]&amp;mk=1491503:1491522|offset_32|00cc00,1491526:1491545|offset_55|444444,1491577:1491596|offset_106|444444,1491616:1491635|offset_145|444444&amp;v=1491302:1491835&amp;c=444444", "offset 32")</f>
        <v>offset 32</v>
      </c>
    </row>
    <row r="4728" customFormat="false" ht="12.8" hidden="false" customHeight="false" outlineLevel="0" collapsed="false">
      <c r="A4728" s="0" t="s">
        <v>12</v>
      </c>
      <c r="B4728" s="0" t="n">
        <v>1491525</v>
      </c>
      <c r="C4728" s="0" t="n">
        <v>1491545</v>
      </c>
      <c r="D4728" s="0" t="s">
        <v>15752</v>
      </c>
      <c r="E4728" s="0" t="s">
        <v>15753</v>
      </c>
      <c r="F4728" s="0" t="s">
        <v>15</v>
      </c>
      <c r="G4728" s="0" t="s">
        <v>20</v>
      </c>
      <c r="H4728" s="0" t="n">
        <v>55</v>
      </c>
      <c r="I4728" s="0" t="s">
        <v>15757</v>
      </c>
      <c r="J4728" s="0" t="s">
        <v>15758</v>
      </c>
      <c r="K4728" s="0" t="s">
        <v>15759</v>
      </c>
      <c r="L4728" s="0" t="str">
        <f aca="false">HYPERLINK("https://www.ncbi.nlm.nih.gov/nuccore/CP000058.1?report=graph&amp;tracks=[key:gene_model_track,Options:GeneOnly]&amp;mk=1491503:1491522|offset_32|444444,1491526:1491545|offset_55|00cc00,1491577:1491596|offset_106|444444,1491616:1491635|offset_145|444444&amp;v=1491302:1491835&amp;c=444444", "offset 55")</f>
        <v>offset 55</v>
      </c>
    </row>
    <row r="4729" customFormat="false" ht="12.8" hidden="false" customHeight="false" outlineLevel="0" collapsed="false">
      <c r="A4729" s="0" t="s">
        <v>12</v>
      </c>
      <c r="B4729" s="0" t="n">
        <v>1491576</v>
      </c>
      <c r="C4729" s="0" t="n">
        <v>1491596</v>
      </c>
      <c r="D4729" s="0" t="s">
        <v>15752</v>
      </c>
      <c r="E4729" s="0" t="s">
        <v>15753</v>
      </c>
      <c r="F4729" s="0" t="s">
        <v>15</v>
      </c>
      <c r="G4729" s="0" t="s">
        <v>16</v>
      </c>
      <c r="H4729" s="0" t="n">
        <v>106</v>
      </c>
      <c r="I4729" s="0" t="s">
        <v>15760</v>
      </c>
      <c r="J4729" s="0" t="s">
        <v>15761</v>
      </c>
      <c r="K4729" s="0" t="s">
        <v>15762</v>
      </c>
      <c r="L4729" s="0" t="str">
        <f aca="false">HYPERLINK("https://www.ncbi.nlm.nih.gov/nuccore/CP000058.1?report=graph&amp;tracks=[key:gene_model_track,Options:GeneOnly]&amp;mk=1491503:1491522|offset_32|444444,1491526:1491545|offset_55|444444,1491577:1491596|offset_106|00cc00,1491616:1491635|offset_145|444444&amp;v=1491302:1491835&amp;c=444444", "offset 106")</f>
        <v>offset 106</v>
      </c>
    </row>
    <row r="4730" customFormat="false" ht="12.8" hidden="false" customHeight="false" outlineLevel="0" collapsed="false">
      <c r="A4730" s="0" t="s">
        <v>12</v>
      </c>
      <c r="B4730" s="0" t="n">
        <v>1491615</v>
      </c>
      <c r="C4730" s="0" t="n">
        <v>1491635</v>
      </c>
      <c r="D4730" s="0" t="s">
        <v>15752</v>
      </c>
      <c r="E4730" s="0" t="s">
        <v>15753</v>
      </c>
      <c r="F4730" s="0" t="s">
        <v>15</v>
      </c>
      <c r="G4730" s="0" t="s">
        <v>16</v>
      </c>
      <c r="H4730" s="0" t="n">
        <v>145</v>
      </c>
      <c r="I4730" s="0" t="s">
        <v>15763</v>
      </c>
      <c r="J4730" s="0" t="s">
        <v>15764</v>
      </c>
      <c r="K4730" s="0" t="s">
        <v>15765</v>
      </c>
      <c r="L4730" s="0" t="str">
        <f aca="false">HYPERLINK("https://www.ncbi.nlm.nih.gov/nuccore/CP000058.1?report=graph&amp;tracks=[key:gene_model_track,Options:GeneOnly]&amp;mk=1491503:1491522|offset_32|444444,1491526:1491545|offset_55|444444,1491577:1491596|offset_106|444444,1491616:1491635|offset_145|00cc00&amp;v=1491302:1491835&amp;c=444444", "offset 145")</f>
        <v>offset 145</v>
      </c>
    </row>
    <row r="4731" customFormat="false" ht="12.8" hidden="false" customHeight="false" outlineLevel="0" collapsed="false">
      <c r="A4731" s="0" t="s">
        <v>12</v>
      </c>
      <c r="B4731" s="0" t="n">
        <v>1491735</v>
      </c>
      <c r="C4731" s="0" t="n">
        <v>1491755</v>
      </c>
      <c r="D4731" s="0" t="s">
        <v>15766</v>
      </c>
      <c r="E4731" s="0" t="s">
        <v>15767</v>
      </c>
      <c r="F4731" s="0" t="s">
        <v>15</v>
      </c>
      <c r="G4731" s="0" t="s">
        <v>32</v>
      </c>
      <c r="H4731" s="0" t="n">
        <v>63</v>
      </c>
      <c r="I4731" s="0" t="s">
        <v>15768</v>
      </c>
      <c r="J4731" s="0" t="s">
        <v>15769</v>
      </c>
      <c r="K4731" s="0" t="s">
        <v>15770</v>
      </c>
      <c r="L4731" s="0" t="str">
        <f aca="false">HYPERLINK("https://www.ncbi.nlm.nih.gov/nuccore/CP000058.1?report=graph&amp;tracks=[key:gene_model_track,Options:GeneOnly]&amp;mk=1491736:1491755|offset_63|00cc00,1491770:1491789|offset_97|444444,1491829:1491848|offset_156|444444,1491849:1491868|offset_176|444444&amp;v=1491535:1492068&amp;c=444444", "offset 63")</f>
        <v>offset 63</v>
      </c>
    </row>
    <row r="4732" customFormat="false" ht="12.8" hidden="false" customHeight="false" outlineLevel="0" collapsed="false">
      <c r="A4732" s="0" t="s">
        <v>12</v>
      </c>
      <c r="B4732" s="0" t="n">
        <v>1491769</v>
      </c>
      <c r="C4732" s="0" t="n">
        <v>1491789</v>
      </c>
      <c r="D4732" s="0" t="s">
        <v>15766</v>
      </c>
      <c r="E4732" s="0" t="s">
        <v>15767</v>
      </c>
      <c r="F4732" s="0" t="s">
        <v>15</v>
      </c>
      <c r="G4732" s="0" t="s">
        <v>32</v>
      </c>
      <c r="H4732" s="0" t="n">
        <v>97</v>
      </c>
      <c r="I4732" s="0" t="s">
        <v>15771</v>
      </c>
      <c r="J4732" s="0" t="s">
        <v>15772</v>
      </c>
      <c r="K4732" s="0" t="s">
        <v>15773</v>
      </c>
      <c r="L4732" s="0" t="str">
        <f aca="false">HYPERLINK("https://www.ncbi.nlm.nih.gov/nuccore/CP000058.1?report=graph&amp;tracks=[key:gene_model_track,Options:GeneOnly]&amp;mk=1491736:1491755|offset_63|444444,1491770:1491789|offset_97|00cc00,1491829:1491848|offset_156|444444,1491849:1491868|offset_176|444444&amp;v=1491535:1492068&amp;c=444444", "offset 97")</f>
        <v>offset 97</v>
      </c>
    </row>
    <row r="4733" customFormat="false" ht="12.8" hidden="false" customHeight="false" outlineLevel="0" collapsed="false">
      <c r="A4733" s="0" t="s">
        <v>12</v>
      </c>
      <c r="B4733" s="0" t="n">
        <v>1491828</v>
      </c>
      <c r="C4733" s="0" t="n">
        <v>1491848</v>
      </c>
      <c r="D4733" s="0" t="s">
        <v>15766</v>
      </c>
      <c r="E4733" s="0" t="s">
        <v>15767</v>
      </c>
      <c r="F4733" s="0" t="s">
        <v>15</v>
      </c>
      <c r="G4733" s="0" t="s">
        <v>36</v>
      </c>
      <c r="H4733" s="0" t="n">
        <v>156</v>
      </c>
      <c r="I4733" s="0" t="s">
        <v>15774</v>
      </c>
      <c r="J4733" s="0" t="s">
        <v>15775</v>
      </c>
      <c r="K4733" s="0" t="s">
        <v>15776</v>
      </c>
      <c r="L4733" s="0" t="str">
        <f aca="false">HYPERLINK("https://www.ncbi.nlm.nih.gov/nuccore/CP000058.1?report=graph&amp;tracks=[key:gene_model_track,Options:GeneOnly]&amp;mk=1491736:1491755|offset_63|444444,1491770:1491789|offset_97|444444,1491829:1491848|offset_156|00cc00,1491849:1491868|offset_176|444444&amp;v=1491535:1492068&amp;c=444444", "offset 156")</f>
        <v>offset 156</v>
      </c>
    </row>
    <row r="4734" customFormat="false" ht="12.8" hidden="false" customHeight="false" outlineLevel="0" collapsed="false">
      <c r="A4734" s="0" t="s">
        <v>12</v>
      </c>
      <c r="B4734" s="0" t="n">
        <v>1491848</v>
      </c>
      <c r="C4734" s="0" t="n">
        <v>1491868</v>
      </c>
      <c r="D4734" s="0" t="s">
        <v>15766</v>
      </c>
      <c r="E4734" s="0" t="s">
        <v>15767</v>
      </c>
      <c r="F4734" s="0" t="s">
        <v>15</v>
      </c>
      <c r="G4734" s="0" t="s">
        <v>32</v>
      </c>
      <c r="H4734" s="0" t="n">
        <v>176</v>
      </c>
      <c r="I4734" s="0" t="s">
        <v>15777</v>
      </c>
      <c r="J4734" s="0" t="s">
        <v>15778</v>
      </c>
      <c r="K4734" s="0" t="s">
        <v>15779</v>
      </c>
      <c r="L4734" s="0" t="str">
        <f aca="false">HYPERLINK("https://www.ncbi.nlm.nih.gov/nuccore/CP000058.1?report=graph&amp;tracks=[key:gene_model_track,Options:GeneOnly]&amp;mk=1491736:1491755|offset_63|444444,1491770:1491789|offset_97|444444,1491829:1491848|offset_156|444444,1491849:1491868|offset_176|00cc00&amp;v=1491535:1492068&amp;c=444444", "offset 176")</f>
        <v>offset 176</v>
      </c>
    </row>
    <row r="4735" customFormat="false" ht="12.8" hidden="false" customHeight="false" outlineLevel="0" collapsed="false">
      <c r="A4735" s="0" t="s">
        <v>12</v>
      </c>
      <c r="B4735" s="0" t="n">
        <v>1492127</v>
      </c>
      <c r="C4735" s="0" t="n">
        <v>1492147</v>
      </c>
      <c r="D4735" s="0" t="s">
        <v>15780</v>
      </c>
      <c r="E4735" s="0" t="s">
        <v>15781</v>
      </c>
      <c r="F4735" s="0" t="s">
        <v>15</v>
      </c>
      <c r="G4735" s="0" t="s">
        <v>20</v>
      </c>
      <c r="H4735" s="0" t="n">
        <v>13</v>
      </c>
      <c r="I4735" s="0" t="s">
        <v>15782</v>
      </c>
      <c r="J4735" s="0" t="s">
        <v>15783</v>
      </c>
      <c r="K4735" s="0" t="s">
        <v>15784</v>
      </c>
      <c r="L4735" s="0" t="str">
        <f aca="false">HYPERLINK("https://www.ncbi.nlm.nih.gov/nuccore/CP000058.1?report=graph&amp;tracks=[key:gene_model_track,Options:GeneOnly]&amp;mk=1492128:1492147|offset_13|00cc00,1492164:1492183|offset_49|444444,1492185:1492204|offset_70|444444,1492215:1492234|offset_100|444444&amp;v=1491927:1492434&amp;c=444444", "offset 13")</f>
        <v>offset 13</v>
      </c>
    </row>
    <row r="4736" customFormat="false" ht="12.8" hidden="false" customHeight="false" outlineLevel="0" collapsed="false">
      <c r="A4736" s="0" t="s">
        <v>12</v>
      </c>
      <c r="B4736" s="0" t="n">
        <v>1492163</v>
      </c>
      <c r="C4736" s="0" t="n">
        <v>1492183</v>
      </c>
      <c r="D4736" s="0" t="s">
        <v>15780</v>
      </c>
      <c r="E4736" s="0" t="s">
        <v>15781</v>
      </c>
      <c r="F4736" s="0" t="s">
        <v>15</v>
      </c>
      <c r="G4736" s="0" t="s">
        <v>36</v>
      </c>
      <c r="H4736" s="0" t="n">
        <v>49</v>
      </c>
      <c r="I4736" s="0" t="s">
        <v>15785</v>
      </c>
      <c r="J4736" s="0" t="s">
        <v>15786</v>
      </c>
      <c r="K4736" s="0" t="s">
        <v>15787</v>
      </c>
      <c r="L4736" s="0" t="str">
        <f aca="false">HYPERLINK("https://www.ncbi.nlm.nih.gov/nuccore/CP000058.1?report=graph&amp;tracks=[key:gene_model_track,Options:GeneOnly]&amp;mk=1492128:1492147|offset_13|444444,1492164:1492183|offset_49|00cc00,1492185:1492204|offset_70|444444,1492215:1492234|offset_100|444444&amp;v=1491927:1492434&amp;c=444444", "offset 49")</f>
        <v>offset 49</v>
      </c>
    </row>
    <row r="4737" customFormat="false" ht="12.8" hidden="false" customHeight="false" outlineLevel="0" collapsed="false">
      <c r="A4737" s="0" t="s">
        <v>12</v>
      </c>
      <c r="B4737" s="0" t="n">
        <v>1492184</v>
      </c>
      <c r="C4737" s="0" t="n">
        <v>1492204</v>
      </c>
      <c r="D4737" s="0" t="s">
        <v>15780</v>
      </c>
      <c r="E4737" s="0" t="s">
        <v>15781</v>
      </c>
      <c r="F4737" s="0" t="s">
        <v>15</v>
      </c>
      <c r="G4737" s="0" t="s">
        <v>36</v>
      </c>
      <c r="H4737" s="0" t="n">
        <v>70</v>
      </c>
      <c r="I4737" s="0" t="s">
        <v>15788</v>
      </c>
      <c r="J4737" s="0" t="s">
        <v>15789</v>
      </c>
      <c r="K4737" s="0" t="s">
        <v>15790</v>
      </c>
      <c r="L4737" s="0" t="str">
        <f aca="false">HYPERLINK("https://www.ncbi.nlm.nih.gov/nuccore/CP000058.1?report=graph&amp;tracks=[key:gene_model_track,Options:GeneOnly]&amp;mk=1492128:1492147|offset_13|444444,1492164:1492183|offset_49|444444,1492185:1492204|offset_70|00cc00,1492215:1492234|offset_100|444444&amp;v=1491927:1492434&amp;c=444444", "offset 70")</f>
        <v>offset 70</v>
      </c>
    </row>
    <row r="4738" customFormat="false" ht="12.8" hidden="false" customHeight="false" outlineLevel="0" collapsed="false">
      <c r="A4738" s="0" t="s">
        <v>12</v>
      </c>
      <c r="B4738" s="0" t="n">
        <v>1492214</v>
      </c>
      <c r="C4738" s="0" t="n">
        <v>1492234</v>
      </c>
      <c r="D4738" s="0" t="s">
        <v>15780</v>
      </c>
      <c r="E4738" s="0" t="s">
        <v>15781</v>
      </c>
      <c r="F4738" s="0" t="s">
        <v>15</v>
      </c>
      <c r="G4738" s="0" t="s">
        <v>20</v>
      </c>
      <c r="H4738" s="0" t="n">
        <v>100</v>
      </c>
      <c r="I4738" s="0" t="s">
        <v>15791</v>
      </c>
      <c r="J4738" s="0" t="s">
        <v>15792</v>
      </c>
      <c r="K4738" s="0" t="s">
        <v>15793</v>
      </c>
      <c r="L4738" s="0" t="str">
        <f aca="false">HYPERLINK("https://www.ncbi.nlm.nih.gov/nuccore/CP000058.1?report=graph&amp;tracks=[key:gene_model_track,Options:GeneOnly]&amp;mk=1492128:1492147|offset_13|444444,1492164:1492183|offset_49|444444,1492185:1492204|offset_70|444444,1492215:1492234|offset_100|00cc00&amp;v=1491927:1492434&amp;c=444444", "offset 100")</f>
        <v>offset 100</v>
      </c>
    </row>
    <row r="4739" customFormat="false" ht="12.8" hidden="false" customHeight="false" outlineLevel="0" collapsed="false">
      <c r="A4739" s="0" t="s">
        <v>12</v>
      </c>
      <c r="B4739" s="0" t="n">
        <v>1494256</v>
      </c>
      <c r="C4739" s="0" t="n">
        <v>1494276</v>
      </c>
      <c r="D4739" s="0" t="s">
        <v>15794</v>
      </c>
      <c r="E4739" s="0" t="s">
        <v>15795</v>
      </c>
      <c r="F4739" s="0" t="s">
        <v>15</v>
      </c>
      <c r="G4739" s="0" t="s">
        <v>36</v>
      </c>
      <c r="H4739" s="0" t="n">
        <v>46</v>
      </c>
      <c r="I4739" s="0" t="s">
        <v>15796</v>
      </c>
      <c r="J4739" s="0" t="s">
        <v>15797</v>
      </c>
      <c r="K4739" s="0" t="s">
        <v>15798</v>
      </c>
      <c r="L4739" s="0" t="str">
        <f aca="false">HYPERLINK("https://www.ncbi.nlm.nih.gov/nuccore/CP000058.1?report=graph&amp;tracks=[key:gene_model_track,Options:GeneOnly]&amp;mk=1494257:1494276|offset_46|00cc00,1494296:1494315|offset_85|444444,1494321:1494340|offset_110|444444,1494343:1494362|offset_132|444444&amp;v=1494056:1494562&amp;c=444444", "offset 46")</f>
        <v>offset 46</v>
      </c>
    </row>
    <row r="4740" customFormat="false" ht="12.8" hidden="false" customHeight="false" outlineLevel="0" collapsed="false">
      <c r="A4740" s="0" t="s">
        <v>12</v>
      </c>
      <c r="B4740" s="0" t="n">
        <v>1494295</v>
      </c>
      <c r="C4740" s="0" t="n">
        <v>1494315</v>
      </c>
      <c r="D4740" s="0" t="s">
        <v>15794</v>
      </c>
      <c r="E4740" s="0" t="s">
        <v>15795</v>
      </c>
      <c r="F4740" s="0" t="s">
        <v>15</v>
      </c>
      <c r="G4740" s="0" t="s">
        <v>20</v>
      </c>
      <c r="H4740" s="0" t="n">
        <v>85</v>
      </c>
      <c r="I4740" s="0" t="s">
        <v>15799</v>
      </c>
      <c r="J4740" s="0" t="s">
        <v>15800</v>
      </c>
      <c r="K4740" s="0" t="s">
        <v>15801</v>
      </c>
      <c r="L4740" s="0" t="str">
        <f aca="false">HYPERLINK("https://www.ncbi.nlm.nih.gov/nuccore/CP000058.1?report=graph&amp;tracks=[key:gene_model_track,Options:GeneOnly]&amp;mk=1494257:1494276|offset_46|444444,1494296:1494315|offset_85|00cc00,1494321:1494340|offset_110|444444,1494343:1494362|offset_132|444444&amp;v=1494056:1494562&amp;c=444444", "offset 85")</f>
        <v>offset 85</v>
      </c>
    </row>
    <row r="4741" customFormat="false" ht="12.8" hidden="false" customHeight="false" outlineLevel="0" collapsed="false">
      <c r="A4741" s="0" t="s">
        <v>12</v>
      </c>
      <c r="B4741" s="0" t="n">
        <v>1494320</v>
      </c>
      <c r="C4741" s="0" t="n">
        <v>1494340</v>
      </c>
      <c r="D4741" s="0" t="s">
        <v>15794</v>
      </c>
      <c r="E4741" s="0" t="s">
        <v>15795</v>
      </c>
      <c r="F4741" s="0" t="s">
        <v>15</v>
      </c>
      <c r="G4741" s="0" t="s">
        <v>16</v>
      </c>
      <c r="H4741" s="0" t="n">
        <v>110</v>
      </c>
      <c r="I4741" s="0" t="s">
        <v>15802</v>
      </c>
      <c r="J4741" s="0" t="s">
        <v>15803</v>
      </c>
      <c r="K4741" s="0" t="s">
        <v>15804</v>
      </c>
      <c r="L4741" s="0" t="str">
        <f aca="false">HYPERLINK("https://www.ncbi.nlm.nih.gov/nuccore/CP000058.1?report=graph&amp;tracks=[key:gene_model_track,Options:GeneOnly]&amp;mk=1494257:1494276|offset_46|444444,1494296:1494315|offset_85|444444,1494321:1494340|offset_110|00cc00,1494343:1494362|offset_132|444444&amp;v=1494056:1494562&amp;c=444444", "offset 110")</f>
        <v>offset 110</v>
      </c>
    </row>
    <row r="4742" customFormat="false" ht="12.8" hidden="false" customHeight="false" outlineLevel="0" collapsed="false">
      <c r="A4742" s="0" t="s">
        <v>12</v>
      </c>
      <c r="B4742" s="0" t="n">
        <v>1494342</v>
      </c>
      <c r="C4742" s="0" t="n">
        <v>1494362</v>
      </c>
      <c r="D4742" s="0" t="s">
        <v>15794</v>
      </c>
      <c r="E4742" s="0" t="s">
        <v>15795</v>
      </c>
      <c r="F4742" s="0" t="s">
        <v>15</v>
      </c>
      <c r="G4742" s="0" t="s">
        <v>16</v>
      </c>
      <c r="H4742" s="0" t="n">
        <v>132</v>
      </c>
      <c r="I4742" s="0" t="s">
        <v>15805</v>
      </c>
      <c r="J4742" s="0" t="s">
        <v>15806</v>
      </c>
      <c r="K4742" s="0" t="s">
        <v>15807</v>
      </c>
      <c r="L4742" s="0" t="str">
        <f aca="false">HYPERLINK("https://www.ncbi.nlm.nih.gov/nuccore/CP000058.1?report=graph&amp;tracks=[key:gene_model_track,Options:GeneOnly]&amp;mk=1494257:1494276|offset_46|444444,1494296:1494315|offset_85|444444,1494321:1494340|offset_110|444444,1494343:1494362|offset_132|00cc00&amp;v=1494056:1494562&amp;c=444444", "offset 132")</f>
        <v>offset 132</v>
      </c>
    </row>
    <row r="4743" customFormat="false" ht="12.8" hidden="false" customHeight="false" outlineLevel="0" collapsed="false">
      <c r="A4743" s="0" t="s">
        <v>12</v>
      </c>
      <c r="B4743" s="0" t="n">
        <v>1494465</v>
      </c>
      <c r="C4743" s="0" t="n">
        <v>1494485</v>
      </c>
      <c r="D4743" s="0" t="s">
        <v>15808</v>
      </c>
      <c r="E4743" s="0" t="s">
        <v>15809</v>
      </c>
      <c r="F4743" s="0" t="s">
        <v>15</v>
      </c>
      <c r="G4743" s="0" t="s">
        <v>36</v>
      </c>
      <c r="H4743" s="0" t="n">
        <v>49</v>
      </c>
      <c r="I4743" s="0" t="s">
        <v>15810</v>
      </c>
      <c r="J4743" s="0" t="s">
        <v>15811</v>
      </c>
      <c r="K4743" s="0" t="s">
        <v>15812</v>
      </c>
      <c r="L4743" s="0" t="str">
        <f aca="false">HYPERLINK("https://www.ncbi.nlm.nih.gov/nuccore/CP000058.1?report=graph&amp;tracks=[key:gene_model_track,Options:GeneOnly]&amp;mk=1494466:1494485|offset_49|00cc00,1494486:1494505|offset_69|444444,1494573:1494592|offset_156|444444,1494616:1494635|offset_199|444444&amp;v=1494265:1494835&amp;c=444444", "offset 49")</f>
        <v>offset 49</v>
      </c>
    </row>
    <row r="4744" customFormat="false" ht="12.8" hidden="false" customHeight="false" outlineLevel="0" collapsed="false">
      <c r="A4744" s="0" t="s">
        <v>12</v>
      </c>
      <c r="B4744" s="0" t="n">
        <v>1494485</v>
      </c>
      <c r="C4744" s="0" t="n">
        <v>1494505</v>
      </c>
      <c r="D4744" s="0" t="s">
        <v>15808</v>
      </c>
      <c r="E4744" s="0" t="s">
        <v>15809</v>
      </c>
      <c r="F4744" s="0" t="s">
        <v>15</v>
      </c>
      <c r="G4744" s="0" t="s">
        <v>16</v>
      </c>
      <c r="H4744" s="0" t="n">
        <v>69</v>
      </c>
      <c r="I4744" s="0" t="s">
        <v>15813</v>
      </c>
      <c r="J4744" s="0" t="s">
        <v>15814</v>
      </c>
      <c r="K4744" s="0" t="s">
        <v>15815</v>
      </c>
      <c r="L4744" s="0" t="str">
        <f aca="false">HYPERLINK("https://www.ncbi.nlm.nih.gov/nuccore/CP000058.1?report=graph&amp;tracks=[key:gene_model_track,Options:GeneOnly]&amp;mk=1494466:1494485|offset_49|444444,1494486:1494505|offset_69|00cc00,1494573:1494592|offset_156|444444,1494616:1494635|offset_199|444444&amp;v=1494265:1494835&amp;c=444444", "offset 69")</f>
        <v>offset 69</v>
      </c>
    </row>
    <row r="4745" customFormat="false" ht="12.8" hidden="false" customHeight="false" outlineLevel="0" collapsed="false">
      <c r="A4745" s="0" t="s">
        <v>12</v>
      </c>
      <c r="B4745" s="0" t="n">
        <v>1494572</v>
      </c>
      <c r="C4745" s="0" t="n">
        <v>1494592</v>
      </c>
      <c r="D4745" s="0" t="s">
        <v>15808</v>
      </c>
      <c r="E4745" s="0" t="s">
        <v>15809</v>
      </c>
      <c r="F4745" s="0" t="s">
        <v>15</v>
      </c>
      <c r="G4745" s="0" t="s">
        <v>36</v>
      </c>
      <c r="H4745" s="0" t="n">
        <v>156</v>
      </c>
      <c r="I4745" s="0" t="s">
        <v>15816</v>
      </c>
      <c r="J4745" s="0" t="s">
        <v>15817</v>
      </c>
      <c r="K4745" s="0" t="s">
        <v>15818</v>
      </c>
      <c r="L4745" s="0" t="str">
        <f aca="false">HYPERLINK("https://www.ncbi.nlm.nih.gov/nuccore/CP000058.1?report=graph&amp;tracks=[key:gene_model_track,Options:GeneOnly]&amp;mk=1494466:1494485|offset_49|444444,1494486:1494505|offset_69|444444,1494573:1494592|offset_156|00cc00,1494616:1494635|offset_199|444444&amp;v=1494265:1494835&amp;c=444444", "offset 156")</f>
        <v>offset 156</v>
      </c>
    </row>
    <row r="4746" customFormat="false" ht="12.8" hidden="false" customHeight="false" outlineLevel="0" collapsed="false">
      <c r="A4746" s="0" t="s">
        <v>12</v>
      </c>
      <c r="B4746" s="0" t="n">
        <v>1494615</v>
      </c>
      <c r="C4746" s="0" t="n">
        <v>1494635</v>
      </c>
      <c r="D4746" s="0" t="s">
        <v>15808</v>
      </c>
      <c r="E4746" s="0" t="s">
        <v>15809</v>
      </c>
      <c r="F4746" s="0" t="s">
        <v>15</v>
      </c>
      <c r="G4746" s="0" t="s">
        <v>16</v>
      </c>
      <c r="H4746" s="0" t="n">
        <v>199</v>
      </c>
      <c r="I4746" s="0" t="s">
        <v>15819</v>
      </c>
      <c r="J4746" s="0" t="s">
        <v>15820</v>
      </c>
      <c r="K4746" s="0" t="s">
        <v>15821</v>
      </c>
      <c r="L4746" s="0" t="str">
        <f aca="false">HYPERLINK("https://www.ncbi.nlm.nih.gov/nuccore/CP000058.1?report=graph&amp;tracks=[key:gene_model_track,Options:GeneOnly]&amp;mk=1494466:1494485|offset_49|444444,1494486:1494505|offset_69|444444,1494573:1494592|offset_156|444444,1494616:1494635|offset_199|00cc00&amp;v=1494265:1494835&amp;c=444444", "offset 199")</f>
        <v>offset 199</v>
      </c>
    </row>
    <row r="4747" customFormat="false" ht="12.8" hidden="false" customHeight="false" outlineLevel="0" collapsed="false">
      <c r="A4747" s="0" t="s">
        <v>12</v>
      </c>
      <c r="B4747" s="0" t="n">
        <v>1496005</v>
      </c>
      <c r="C4747" s="0" t="n">
        <v>1496025</v>
      </c>
      <c r="D4747" s="0" t="s">
        <v>15822</v>
      </c>
      <c r="E4747" s="0" t="s">
        <v>15823</v>
      </c>
      <c r="F4747" s="0" t="s">
        <v>90</v>
      </c>
      <c r="G4747" s="0" t="s">
        <v>16</v>
      </c>
      <c r="H4747" s="0" t="n">
        <v>16</v>
      </c>
      <c r="I4747" s="0" t="s">
        <v>15824</v>
      </c>
      <c r="J4747" s="0" t="s">
        <v>15825</v>
      </c>
      <c r="K4747" s="0" t="s">
        <v>15826</v>
      </c>
      <c r="L4747" s="0" t="str">
        <f aca="false">HYPERLINK("https://www.ncbi.nlm.nih.gov/nuccore/CP000058.1?report=graph&amp;tracks=[key:gene_model_track,Options:GeneOnly]&amp;mk=1496006:1496025|offset_16|00cc00,1495939:1495958|offset_83|444444,1495898:1495917|offset_124|444444,1495870:1495889|offset_152|444444&amp;v=1495805:1496089&amp;c=444444", "offset 16")</f>
        <v>offset 16</v>
      </c>
    </row>
    <row r="4748" customFormat="false" ht="12.8" hidden="false" customHeight="false" outlineLevel="0" collapsed="false">
      <c r="A4748" s="0" t="s">
        <v>12</v>
      </c>
      <c r="B4748" s="0" t="n">
        <v>1495938</v>
      </c>
      <c r="C4748" s="0" t="n">
        <v>1495958</v>
      </c>
      <c r="D4748" s="0" t="s">
        <v>15822</v>
      </c>
      <c r="E4748" s="0" t="s">
        <v>15823</v>
      </c>
      <c r="F4748" s="0" t="s">
        <v>90</v>
      </c>
      <c r="G4748" s="0" t="s">
        <v>20</v>
      </c>
      <c r="H4748" s="0" t="n">
        <v>83</v>
      </c>
      <c r="I4748" s="0" t="s">
        <v>15827</v>
      </c>
      <c r="J4748" s="0" t="s">
        <v>15828</v>
      </c>
      <c r="K4748" s="0" t="s">
        <v>15829</v>
      </c>
      <c r="L4748" s="0" t="str">
        <f aca="false">HYPERLINK("https://www.ncbi.nlm.nih.gov/nuccore/CP000058.1?report=graph&amp;tracks=[key:gene_model_track,Options:GeneOnly]&amp;mk=1496006:1496025|offset_16|444444,1495939:1495958|offset_83|00cc00,1495898:1495917|offset_124|444444,1495870:1495889|offset_152|444444&amp;v=1495805:1496089&amp;c=444444", "offset 83")</f>
        <v>offset 83</v>
      </c>
    </row>
    <row r="4749" customFormat="false" ht="12.8" hidden="false" customHeight="false" outlineLevel="0" collapsed="false">
      <c r="A4749" s="0" t="s">
        <v>12</v>
      </c>
      <c r="B4749" s="0" t="n">
        <v>1495897</v>
      </c>
      <c r="C4749" s="0" t="n">
        <v>1495917</v>
      </c>
      <c r="D4749" s="0" t="s">
        <v>15822</v>
      </c>
      <c r="E4749" s="0" t="s">
        <v>15823</v>
      </c>
      <c r="F4749" s="0" t="s">
        <v>90</v>
      </c>
      <c r="G4749" s="0" t="s">
        <v>36</v>
      </c>
      <c r="H4749" s="0" t="n">
        <v>124</v>
      </c>
      <c r="I4749" s="0" t="s">
        <v>15830</v>
      </c>
      <c r="J4749" s="0" t="s">
        <v>15831</v>
      </c>
      <c r="K4749" s="0" t="s">
        <v>15832</v>
      </c>
      <c r="L4749" s="0" t="str">
        <f aca="false">HYPERLINK("https://www.ncbi.nlm.nih.gov/nuccore/CP000058.1?report=graph&amp;tracks=[key:gene_model_track,Options:GeneOnly]&amp;mk=1496006:1496025|offset_16|444444,1495939:1495958|offset_83|444444,1495898:1495917|offset_124|00cc00,1495870:1495889|offset_152|444444&amp;v=1495805:1496089&amp;c=444444", "offset 124")</f>
        <v>offset 124</v>
      </c>
    </row>
    <row r="4750" customFormat="false" ht="12.8" hidden="false" customHeight="false" outlineLevel="0" collapsed="false">
      <c r="A4750" s="0" t="s">
        <v>12</v>
      </c>
      <c r="B4750" s="0" t="n">
        <v>1495869</v>
      </c>
      <c r="C4750" s="0" t="n">
        <v>1495889</v>
      </c>
      <c r="D4750" s="0" t="s">
        <v>15822</v>
      </c>
      <c r="E4750" s="0" t="s">
        <v>15823</v>
      </c>
      <c r="F4750" s="0" t="s">
        <v>90</v>
      </c>
      <c r="G4750" s="0" t="s">
        <v>16</v>
      </c>
      <c r="H4750" s="0" t="n">
        <v>152</v>
      </c>
      <c r="I4750" s="0" t="s">
        <v>15833</v>
      </c>
      <c r="J4750" s="0" t="s">
        <v>15834</v>
      </c>
      <c r="K4750" s="0" t="s">
        <v>15835</v>
      </c>
      <c r="L4750" s="0" t="str">
        <f aca="false">HYPERLINK("https://www.ncbi.nlm.nih.gov/nuccore/CP000058.1?report=graph&amp;tracks=[key:gene_model_track,Options:GeneOnly]&amp;mk=1496006:1496025|offset_16|444444,1495939:1495958|offset_83|444444,1495898:1495917|offset_124|444444,1495870:1495889|offset_152|00cc00&amp;v=1495805:1496089&amp;c=444444", "offset 152")</f>
        <v>offset 152</v>
      </c>
    </row>
    <row r="4751" customFormat="false" ht="12.8" hidden="false" customHeight="false" outlineLevel="0" collapsed="false">
      <c r="A4751" s="0" t="s">
        <v>12</v>
      </c>
      <c r="B4751" s="0" t="n">
        <v>1496806</v>
      </c>
      <c r="C4751" s="0" t="n">
        <v>1496826</v>
      </c>
      <c r="D4751" s="0" t="s">
        <v>15836</v>
      </c>
      <c r="E4751" s="0" t="s">
        <v>15837</v>
      </c>
      <c r="F4751" s="0" t="s">
        <v>90</v>
      </c>
      <c r="G4751" s="0" t="s">
        <v>36</v>
      </c>
      <c r="H4751" s="0" t="n">
        <v>6</v>
      </c>
      <c r="I4751" s="0" t="s">
        <v>15838</v>
      </c>
      <c r="J4751" s="0" t="s">
        <v>15839</v>
      </c>
      <c r="K4751" s="0" t="s">
        <v>15840</v>
      </c>
      <c r="L4751" s="0" t="str">
        <f aca="false">HYPERLINK("https://www.ncbi.nlm.nih.gov/nuccore/CP000058.1?report=graph&amp;tracks=[key:gene_model_track,Options:GeneOnly]&amp;mk=1496807:1496826|offset_6|00cc00,1496784:1496803|offset_29|444444,1496748:1496767|offset_65|444444,1496723:1496742|offset_90|444444&amp;v=1496606:1496942&amp;c=444444", "offset 6")</f>
        <v>offset 6</v>
      </c>
    </row>
    <row r="4752" customFormat="false" ht="12.8" hidden="false" customHeight="false" outlineLevel="0" collapsed="false">
      <c r="A4752" s="0" t="s">
        <v>12</v>
      </c>
      <c r="B4752" s="0" t="n">
        <v>1496783</v>
      </c>
      <c r="C4752" s="0" t="n">
        <v>1496803</v>
      </c>
      <c r="D4752" s="0" t="s">
        <v>15836</v>
      </c>
      <c r="E4752" s="0" t="s">
        <v>15837</v>
      </c>
      <c r="F4752" s="0" t="s">
        <v>90</v>
      </c>
      <c r="G4752" s="0" t="s">
        <v>32</v>
      </c>
      <c r="H4752" s="0" t="n">
        <v>29</v>
      </c>
      <c r="I4752" s="0" t="s">
        <v>15841</v>
      </c>
      <c r="J4752" s="0" t="s">
        <v>15842</v>
      </c>
      <c r="K4752" s="0" t="s">
        <v>15843</v>
      </c>
      <c r="L4752" s="0" t="str">
        <f aca="false">HYPERLINK("https://www.ncbi.nlm.nih.gov/nuccore/CP000058.1?report=graph&amp;tracks=[key:gene_model_track,Options:GeneOnly]&amp;mk=1496807:1496826|offset_6|444444,1496784:1496803|offset_29|00cc00,1496748:1496767|offset_65|444444,1496723:1496742|offset_90|444444&amp;v=1496606:1496942&amp;c=444444", "offset 29")</f>
        <v>offset 29</v>
      </c>
    </row>
    <row r="4753" customFormat="false" ht="12.8" hidden="false" customHeight="false" outlineLevel="0" collapsed="false">
      <c r="A4753" s="0" t="s">
        <v>12</v>
      </c>
      <c r="B4753" s="0" t="n">
        <v>1496747</v>
      </c>
      <c r="C4753" s="0" t="n">
        <v>1496767</v>
      </c>
      <c r="D4753" s="0" t="s">
        <v>15836</v>
      </c>
      <c r="E4753" s="0" t="s">
        <v>15837</v>
      </c>
      <c r="F4753" s="0" t="s">
        <v>90</v>
      </c>
      <c r="G4753" s="0" t="s">
        <v>20</v>
      </c>
      <c r="H4753" s="0" t="n">
        <v>65</v>
      </c>
      <c r="I4753" s="0" t="s">
        <v>15844</v>
      </c>
      <c r="J4753" s="0" t="s">
        <v>15845</v>
      </c>
      <c r="K4753" s="0" t="s">
        <v>15846</v>
      </c>
      <c r="L4753" s="0" t="str">
        <f aca="false">HYPERLINK("https://www.ncbi.nlm.nih.gov/nuccore/CP000058.1?report=graph&amp;tracks=[key:gene_model_track,Options:GeneOnly]&amp;mk=1496807:1496826|offset_6|444444,1496784:1496803|offset_29|444444,1496748:1496767|offset_65|00cc00,1496723:1496742|offset_90|444444&amp;v=1496606:1496942&amp;c=444444", "offset 65")</f>
        <v>offset 65</v>
      </c>
    </row>
    <row r="4754" customFormat="false" ht="12.8" hidden="false" customHeight="false" outlineLevel="0" collapsed="false">
      <c r="A4754" s="0" t="s">
        <v>12</v>
      </c>
      <c r="B4754" s="0" t="n">
        <v>1496722</v>
      </c>
      <c r="C4754" s="0" t="n">
        <v>1496742</v>
      </c>
      <c r="D4754" s="0" t="s">
        <v>15836</v>
      </c>
      <c r="E4754" s="0" t="s">
        <v>15837</v>
      </c>
      <c r="F4754" s="0" t="s">
        <v>90</v>
      </c>
      <c r="G4754" s="0" t="s">
        <v>32</v>
      </c>
      <c r="H4754" s="0" t="n">
        <v>90</v>
      </c>
      <c r="I4754" s="0" t="s">
        <v>15847</v>
      </c>
      <c r="J4754" s="0" t="s">
        <v>15848</v>
      </c>
      <c r="K4754" s="0" t="s">
        <v>15849</v>
      </c>
      <c r="L4754" s="0" t="str">
        <f aca="false">HYPERLINK("https://www.ncbi.nlm.nih.gov/nuccore/CP000058.1?report=graph&amp;tracks=[key:gene_model_track,Options:GeneOnly]&amp;mk=1496807:1496826|offset_6|444444,1496784:1496803|offset_29|444444,1496748:1496767|offset_65|444444,1496723:1496742|offset_90|00cc00&amp;v=1496606:1496942&amp;c=444444", "offset 90")</f>
        <v>offset 90</v>
      </c>
    </row>
    <row r="4755" customFormat="false" ht="12.8" hidden="false" customHeight="false" outlineLevel="0" collapsed="false">
      <c r="A4755" s="0" t="s">
        <v>12</v>
      </c>
      <c r="B4755" s="0" t="n">
        <v>1497078</v>
      </c>
      <c r="C4755" s="0" t="n">
        <v>1497098</v>
      </c>
      <c r="D4755" s="0" t="s">
        <v>15850</v>
      </c>
      <c r="E4755" s="0" t="s">
        <v>15851</v>
      </c>
      <c r="F4755" s="0" t="s">
        <v>90</v>
      </c>
      <c r="G4755" s="0" t="s">
        <v>32</v>
      </c>
      <c r="H4755" s="0" t="n">
        <v>1</v>
      </c>
      <c r="I4755" s="0" t="s">
        <v>15852</v>
      </c>
      <c r="J4755" s="0" t="s">
        <v>15853</v>
      </c>
      <c r="K4755" s="0" t="s">
        <v>15854</v>
      </c>
      <c r="L4755" s="0" t="str">
        <f aca="false">HYPERLINK("https://www.ncbi.nlm.nih.gov/nuccore/CP000058.1?report=graph&amp;tracks=[key:gene_model_track,Options:GeneOnly]&amp;mk=1497079:1497098|offset_1|00cc00,1497030:1497049|offset_50|444444,1496983:1497002|offset_97|444444,1496939:1496958|offset_141|444444&amp;v=1496878:1497158&amp;c=444444", "offset 1")</f>
        <v>offset 1</v>
      </c>
    </row>
    <row r="4756" customFormat="false" ht="12.8" hidden="false" customHeight="false" outlineLevel="0" collapsed="false">
      <c r="A4756" s="0" t="s">
        <v>12</v>
      </c>
      <c r="B4756" s="0" t="n">
        <v>1497029</v>
      </c>
      <c r="C4756" s="0" t="n">
        <v>1497049</v>
      </c>
      <c r="D4756" s="0" t="s">
        <v>15850</v>
      </c>
      <c r="E4756" s="0" t="s">
        <v>15851</v>
      </c>
      <c r="F4756" s="0" t="s">
        <v>90</v>
      </c>
      <c r="G4756" s="0" t="s">
        <v>20</v>
      </c>
      <c r="H4756" s="0" t="n">
        <v>50</v>
      </c>
      <c r="I4756" s="0" t="s">
        <v>15855</v>
      </c>
      <c r="J4756" s="0" t="s">
        <v>15856</v>
      </c>
      <c r="K4756" s="0" t="s">
        <v>15857</v>
      </c>
      <c r="L4756" s="0" t="str">
        <f aca="false">HYPERLINK("https://www.ncbi.nlm.nih.gov/nuccore/CP000058.1?report=graph&amp;tracks=[key:gene_model_track,Options:GeneOnly]&amp;mk=1497079:1497098|offset_1|444444,1497030:1497049|offset_50|00cc00,1496983:1497002|offset_97|444444,1496939:1496958|offset_141|444444&amp;v=1496878:1497158&amp;c=444444", "offset 50")</f>
        <v>offset 50</v>
      </c>
    </row>
    <row r="4757" customFormat="false" ht="12.8" hidden="false" customHeight="false" outlineLevel="0" collapsed="false">
      <c r="A4757" s="0" t="s">
        <v>12</v>
      </c>
      <c r="B4757" s="0" t="n">
        <v>1496982</v>
      </c>
      <c r="C4757" s="0" t="n">
        <v>1497002</v>
      </c>
      <c r="D4757" s="0" t="s">
        <v>15850</v>
      </c>
      <c r="E4757" s="0" t="s">
        <v>15851</v>
      </c>
      <c r="F4757" s="0" t="s">
        <v>90</v>
      </c>
      <c r="G4757" s="0" t="s">
        <v>20</v>
      </c>
      <c r="H4757" s="0" t="n">
        <v>97</v>
      </c>
      <c r="I4757" s="0" t="s">
        <v>15858</v>
      </c>
      <c r="J4757" s="0" t="s">
        <v>15859</v>
      </c>
      <c r="K4757" s="0" t="s">
        <v>15860</v>
      </c>
      <c r="L4757" s="0" t="str">
        <f aca="false">HYPERLINK("https://www.ncbi.nlm.nih.gov/nuccore/CP000058.1?report=graph&amp;tracks=[key:gene_model_track,Options:GeneOnly]&amp;mk=1497079:1497098|offset_1|444444,1497030:1497049|offset_50|444444,1496983:1497002|offset_97|00cc00,1496939:1496958|offset_141|444444&amp;v=1496878:1497158&amp;c=444444", "offset 97")</f>
        <v>offset 97</v>
      </c>
    </row>
    <row r="4758" customFormat="false" ht="12.8" hidden="false" customHeight="false" outlineLevel="0" collapsed="false">
      <c r="A4758" s="0" t="s">
        <v>12</v>
      </c>
      <c r="B4758" s="0" t="n">
        <v>1496938</v>
      </c>
      <c r="C4758" s="0" t="n">
        <v>1496958</v>
      </c>
      <c r="D4758" s="0" t="s">
        <v>15850</v>
      </c>
      <c r="E4758" s="0" t="s">
        <v>15851</v>
      </c>
      <c r="F4758" s="0" t="s">
        <v>90</v>
      </c>
      <c r="G4758" s="0" t="s">
        <v>36</v>
      </c>
      <c r="H4758" s="0" t="n">
        <v>141</v>
      </c>
      <c r="I4758" s="0" t="s">
        <v>15861</v>
      </c>
      <c r="J4758" s="0" t="s">
        <v>15862</v>
      </c>
      <c r="K4758" s="0" t="s">
        <v>15863</v>
      </c>
      <c r="L4758" s="0" t="str">
        <f aca="false">HYPERLINK("https://www.ncbi.nlm.nih.gov/nuccore/CP000058.1?report=graph&amp;tracks=[key:gene_model_track,Options:GeneOnly]&amp;mk=1497079:1497098|offset_1|444444,1497030:1497049|offset_50|444444,1496983:1497002|offset_97|444444,1496939:1496958|offset_141|00cc00&amp;v=1496878:1497158&amp;c=444444", "offset 141")</f>
        <v>offset 141</v>
      </c>
    </row>
    <row r="4759" customFormat="false" ht="12.8" hidden="false" customHeight="false" outlineLevel="0" collapsed="false">
      <c r="A4759" s="0" t="s">
        <v>12</v>
      </c>
      <c r="B4759" s="0" t="n">
        <v>1497675</v>
      </c>
      <c r="C4759" s="0" t="n">
        <v>1497695</v>
      </c>
      <c r="D4759" s="0" t="s">
        <v>15864</v>
      </c>
      <c r="E4759" s="0" t="s">
        <v>15865</v>
      </c>
      <c r="F4759" s="0" t="s">
        <v>90</v>
      </c>
      <c r="G4759" s="0" t="s">
        <v>36</v>
      </c>
      <c r="H4759" s="0" t="n">
        <v>38</v>
      </c>
      <c r="I4759" s="0" t="s">
        <v>15866</v>
      </c>
      <c r="J4759" s="0" t="s">
        <v>15867</v>
      </c>
      <c r="K4759" s="0" t="s">
        <v>15868</v>
      </c>
      <c r="L4759" s="0" t="str">
        <f aca="false">HYPERLINK("https://www.ncbi.nlm.nih.gov/nuccore/CP000058.1?report=graph&amp;tracks=[key:gene_model_track,Options:GeneOnly]&amp;mk=1497676:1497695|offset_38|00cc00,1497653:1497672|offset_61|444444,1497629:1497648|offset_85|444444,1497588:1497607|offset_126|444444&amp;v=1497475:1497807&amp;c=444444", "offset 38")</f>
        <v>offset 38</v>
      </c>
    </row>
    <row r="4760" customFormat="false" ht="12.8" hidden="false" customHeight="false" outlineLevel="0" collapsed="false">
      <c r="A4760" s="0" t="s">
        <v>12</v>
      </c>
      <c r="B4760" s="0" t="n">
        <v>1497652</v>
      </c>
      <c r="C4760" s="0" t="n">
        <v>1497672</v>
      </c>
      <c r="D4760" s="0" t="s">
        <v>15864</v>
      </c>
      <c r="E4760" s="0" t="s">
        <v>15865</v>
      </c>
      <c r="F4760" s="0" t="s">
        <v>90</v>
      </c>
      <c r="G4760" s="0" t="s">
        <v>16</v>
      </c>
      <c r="H4760" s="0" t="n">
        <v>61</v>
      </c>
      <c r="I4760" s="0" t="s">
        <v>15869</v>
      </c>
      <c r="J4760" s="0" t="s">
        <v>15870</v>
      </c>
      <c r="K4760" s="0" t="s">
        <v>15871</v>
      </c>
      <c r="L4760" s="0" t="str">
        <f aca="false">HYPERLINK("https://www.ncbi.nlm.nih.gov/nuccore/CP000058.1?report=graph&amp;tracks=[key:gene_model_track,Options:GeneOnly]&amp;mk=1497676:1497695|offset_38|444444,1497653:1497672|offset_61|00cc00,1497629:1497648|offset_85|444444,1497588:1497607|offset_126|444444&amp;v=1497475:1497807&amp;c=444444", "offset 61")</f>
        <v>offset 61</v>
      </c>
    </row>
    <row r="4761" customFormat="false" ht="12.8" hidden="false" customHeight="false" outlineLevel="0" collapsed="false">
      <c r="A4761" s="0" t="s">
        <v>12</v>
      </c>
      <c r="B4761" s="0" t="n">
        <v>1497628</v>
      </c>
      <c r="C4761" s="0" t="n">
        <v>1497648</v>
      </c>
      <c r="D4761" s="0" t="s">
        <v>15864</v>
      </c>
      <c r="E4761" s="0" t="s">
        <v>15865</v>
      </c>
      <c r="F4761" s="0" t="s">
        <v>90</v>
      </c>
      <c r="G4761" s="0" t="s">
        <v>36</v>
      </c>
      <c r="H4761" s="0" t="n">
        <v>85</v>
      </c>
      <c r="I4761" s="0" t="s">
        <v>15872</v>
      </c>
      <c r="J4761" s="0" t="s">
        <v>15873</v>
      </c>
      <c r="K4761" s="0" t="s">
        <v>15874</v>
      </c>
      <c r="L4761" s="0" t="str">
        <f aca="false">HYPERLINK("https://www.ncbi.nlm.nih.gov/nuccore/CP000058.1?report=graph&amp;tracks=[key:gene_model_track,Options:GeneOnly]&amp;mk=1497676:1497695|offset_38|444444,1497653:1497672|offset_61|444444,1497629:1497648|offset_85|00cc00,1497588:1497607|offset_126|444444&amp;v=1497475:1497807&amp;c=444444", "offset 85")</f>
        <v>offset 85</v>
      </c>
    </row>
    <row r="4762" customFormat="false" ht="12.8" hidden="false" customHeight="false" outlineLevel="0" collapsed="false">
      <c r="A4762" s="0" t="s">
        <v>12</v>
      </c>
      <c r="B4762" s="0" t="n">
        <v>1497587</v>
      </c>
      <c r="C4762" s="0" t="n">
        <v>1497607</v>
      </c>
      <c r="D4762" s="0" t="s">
        <v>15864</v>
      </c>
      <c r="E4762" s="0" t="s">
        <v>15865</v>
      </c>
      <c r="F4762" s="0" t="s">
        <v>90</v>
      </c>
      <c r="G4762" s="0" t="s">
        <v>16</v>
      </c>
      <c r="H4762" s="0" t="n">
        <v>126</v>
      </c>
      <c r="I4762" s="0" t="s">
        <v>15875</v>
      </c>
      <c r="J4762" s="0" t="s">
        <v>15876</v>
      </c>
      <c r="K4762" s="0" t="s">
        <v>15877</v>
      </c>
      <c r="L4762" s="0" t="str">
        <f aca="false">HYPERLINK("https://www.ncbi.nlm.nih.gov/nuccore/CP000058.1?report=graph&amp;tracks=[key:gene_model_track,Options:GeneOnly]&amp;mk=1497676:1497695|offset_38|444444,1497653:1497672|offset_61|444444,1497629:1497648|offset_85|444444,1497588:1497607|offset_126|00cc00&amp;v=1497475:1497807&amp;c=444444", "offset 126")</f>
        <v>offset 126</v>
      </c>
    </row>
    <row r="4763" customFormat="false" ht="12.8" hidden="false" customHeight="false" outlineLevel="0" collapsed="false">
      <c r="A4763" s="0" t="s">
        <v>12</v>
      </c>
      <c r="B4763" s="0" t="n">
        <v>1498064</v>
      </c>
      <c r="C4763" s="0" t="n">
        <v>1498084</v>
      </c>
      <c r="D4763" s="0" t="s">
        <v>15878</v>
      </c>
      <c r="E4763" s="0" t="s">
        <v>15879</v>
      </c>
      <c r="F4763" s="0" t="s">
        <v>90</v>
      </c>
      <c r="G4763" s="0" t="s">
        <v>36</v>
      </c>
      <c r="H4763" s="0" t="n">
        <v>59</v>
      </c>
      <c r="I4763" s="0" t="s">
        <v>15880</v>
      </c>
      <c r="J4763" s="0" t="s">
        <v>15881</v>
      </c>
      <c r="K4763" s="0" t="s">
        <v>15882</v>
      </c>
      <c r="L4763" s="0" t="str">
        <f aca="false">HYPERLINK("https://www.ncbi.nlm.nih.gov/nuccore/CP000058.1?report=graph&amp;tracks=[key:gene_model_track,Options:GeneOnly]&amp;mk=1498065:1498084|offset_59|00cc00,1498042:1498061|offset_82|444444,1498021:1498040|offset_103|444444,1498001:1498020|offset_123|444444&amp;v=1497864:1498220&amp;c=444444", "offset 59")</f>
        <v>offset 59</v>
      </c>
    </row>
    <row r="4764" customFormat="false" ht="12.8" hidden="false" customHeight="false" outlineLevel="0" collapsed="false">
      <c r="A4764" s="0" t="s">
        <v>12</v>
      </c>
      <c r="B4764" s="0" t="n">
        <v>1498041</v>
      </c>
      <c r="C4764" s="0" t="n">
        <v>1498061</v>
      </c>
      <c r="D4764" s="0" t="s">
        <v>15878</v>
      </c>
      <c r="E4764" s="0" t="s">
        <v>15879</v>
      </c>
      <c r="F4764" s="0" t="s">
        <v>90</v>
      </c>
      <c r="G4764" s="0" t="s">
        <v>16</v>
      </c>
      <c r="H4764" s="0" t="n">
        <v>82</v>
      </c>
      <c r="I4764" s="0" t="s">
        <v>15883</v>
      </c>
      <c r="J4764" s="0" t="s">
        <v>15884</v>
      </c>
      <c r="K4764" s="0" t="s">
        <v>15885</v>
      </c>
      <c r="L4764" s="0" t="str">
        <f aca="false">HYPERLINK("https://www.ncbi.nlm.nih.gov/nuccore/CP000058.1?report=graph&amp;tracks=[key:gene_model_track,Options:GeneOnly]&amp;mk=1498065:1498084|offset_59|444444,1498042:1498061|offset_82|00cc00,1498021:1498040|offset_103|444444,1498001:1498020|offset_123|444444&amp;v=1497864:1498220&amp;c=444444", "offset 82")</f>
        <v>offset 82</v>
      </c>
    </row>
    <row r="4765" customFormat="false" ht="12.8" hidden="false" customHeight="false" outlineLevel="0" collapsed="false">
      <c r="A4765" s="0" t="s">
        <v>12</v>
      </c>
      <c r="B4765" s="0" t="n">
        <v>1498020</v>
      </c>
      <c r="C4765" s="0" t="n">
        <v>1498040</v>
      </c>
      <c r="D4765" s="0" t="s">
        <v>15878</v>
      </c>
      <c r="E4765" s="0" t="s">
        <v>15879</v>
      </c>
      <c r="F4765" s="0" t="s">
        <v>90</v>
      </c>
      <c r="G4765" s="0" t="s">
        <v>16</v>
      </c>
      <c r="H4765" s="0" t="n">
        <v>103</v>
      </c>
      <c r="I4765" s="0" t="s">
        <v>15886</v>
      </c>
      <c r="J4765" s="0" t="s">
        <v>15887</v>
      </c>
      <c r="K4765" s="0" t="s">
        <v>15888</v>
      </c>
      <c r="L4765" s="0" t="str">
        <f aca="false">HYPERLINK("https://www.ncbi.nlm.nih.gov/nuccore/CP000058.1?report=graph&amp;tracks=[key:gene_model_track,Options:GeneOnly]&amp;mk=1498065:1498084|offset_59|444444,1498042:1498061|offset_82|444444,1498021:1498040|offset_103|00cc00,1498001:1498020|offset_123|444444&amp;v=1497864:1498220&amp;c=444444", "offset 103")</f>
        <v>offset 103</v>
      </c>
    </row>
    <row r="4766" customFormat="false" ht="12.8" hidden="false" customHeight="false" outlineLevel="0" collapsed="false">
      <c r="A4766" s="0" t="s">
        <v>12</v>
      </c>
      <c r="B4766" s="0" t="n">
        <v>1498000</v>
      </c>
      <c r="C4766" s="0" t="n">
        <v>1498020</v>
      </c>
      <c r="D4766" s="0" t="s">
        <v>15878</v>
      </c>
      <c r="E4766" s="0" t="s">
        <v>15879</v>
      </c>
      <c r="F4766" s="0" t="s">
        <v>90</v>
      </c>
      <c r="G4766" s="0" t="s">
        <v>16</v>
      </c>
      <c r="H4766" s="0" t="n">
        <v>123</v>
      </c>
      <c r="I4766" s="0" t="s">
        <v>15889</v>
      </c>
      <c r="J4766" s="0" t="s">
        <v>15890</v>
      </c>
      <c r="K4766" s="0" t="s">
        <v>15891</v>
      </c>
      <c r="L4766" s="0" t="str">
        <f aca="false">HYPERLINK("https://www.ncbi.nlm.nih.gov/nuccore/CP000058.1?report=graph&amp;tracks=[key:gene_model_track,Options:GeneOnly]&amp;mk=1498065:1498084|offset_59|444444,1498042:1498061|offset_82|444444,1498021:1498040|offset_103|444444,1498001:1498020|offset_123|00cc00&amp;v=1497864:1498220&amp;c=444444", "offset 123")</f>
        <v>offset 123</v>
      </c>
    </row>
    <row r="4767" customFormat="false" ht="12.8" hidden="false" customHeight="false" outlineLevel="0" collapsed="false">
      <c r="A4767" s="0" t="s">
        <v>12</v>
      </c>
      <c r="B4767" s="0" t="n">
        <v>1498795</v>
      </c>
      <c r="C4767" s="0" t="n">
        <v>1498815</v>
      </c>
      <c r="D4767" s="0" t="s">
        <v>15892</v>
      </c>
      <c r="E4767" s="0" t="s">
        <v>15893</v>
      </c>
      <c r="F4767" s="0" t="s">
        <v>90</v>
      </c>
      <c r="G4767" s="0" t="s">
        <v>36</v>
      </c>
      <c r="H4767" s="0" t="n">
        <v>34</v>
      </c>
      <c r="I4767" s="0" t="s">
        <v>15894</v>
      </c>
      <c r="J4767" s="0" t="s">
        <v>15895</v>
      </c>
      <c r="K4767" s="0" t="s">
        <v>15896</v>
      </c>
      <c r="L4767" s="0" t="str">
        <f aca="false">HYPERLINK("https://www.ncbi.nlm.nih.gov/nuccore/CP000058.1?report=graph&amp;tracks=[key:gene_model_track,Options:GeneOnly]&amp;mk=1498796:1498815|offset_34|00cc00,1498763:1498782|offset_67|444444,1498739:1498758|offset_91|444444,1498715:1498734|offset_115|444444&amp;v=1498595:1498934&amp;c=444444", "offset 34")</f>
        <v>offset 34</v>
      </c>
    </row>
    <row r="4768" customFormat="false" ht="12.8" hidden="false" customHeight="false" outlineLevel="0" collapsed="false">
      <c r="A4768" s="0" t="s">
        <v>12</v>
      </c>
      <c r="B4768" s="0" t="n">
        <v>1498762</v>
      </c>
      <c r="C4768" s="0" t="n">
        <v>1498782</v>
      </c>
      <c r="D4768" s="0" t="s">
        <v>15892</v>
      </c>
      <c r="E4768" s="0" t="s">
        <v>15893</v>
      </c>
      <c r="F4768" s="0" t="s">
        <v>90</v>
      </c>
      <c r="G4768" s="0" t="s">
        <v>16</v>
      </c>
      <c r="H4768" s="0" t="n">
        <v>67</v>
      </c>
      <c r="I4768" s="0" t="s">
        <v>15897</v>
      </c>
      <c r="J4768" s="0" t="s">
        <v>15898</v>
      </c>
      <c r="K4768" s="0" t="s">
        <v>15899</v>
      </c>
      <c r="L4768" s="0" t="str">
        <f aca="false">HYPERLINK("https://www.ncbi.nlm.nih.gov/nuccore/CP000058.1?report=graph&amp;tracks=[key:gene_model_track,Options:GeneOnly]&amp;mk=1498796:1498815|offset_34|444444,1498763:1498782|offset_67|00cc00,1498739:1498758|offset_91|444444,1498715:1498734|offset_115|444444&amp;v=1498595:1498934&amp;c=444444", "offset 67")</f>
        <v>offset 67</v>
      </c>
    </row>
    <row r="4769" customFormat="false" ht="12.8" hidden="false" customHeight="false" outlineLevel="0" collapsed="false">
      <c r="A4769" s="0" t="s">
        <v>12</v>
      </c>
      <c r="B4769" s="0" t="n">
        <v>1498738</v>
      </c>
      <c r="C4769" s="0" t="n">
        <v>1498758</v>
      </c>
      <c r="D4769" s="0" t="s">
        <v>15892</v>
      </c>
      <c r="E4769" s="0" t="s">
        <v>15893</v>
      </c>
      <c r="F4769" s="0" t="s">
        <v>90</v>
      </c>
      <c r="G4769" s="0" t="s">
        <v>16</v>
      </c>
      <c r="H4769" s="0" t="n">
        <v>91</v>
      </c>
      <c r="I4769" s="0" t="s">
        <v>15900</v>
      </c>
      <c r="J4769" s="0" t="s">
        <v>15901</v>
      </c>
      <c r="K4769" s="0" t="s">
        <v>15902</v>
      </c>
      <c r="L4769" s="0" t="str">
        <f aca="false">HYPERLINK("https://www.ncbi.nlm.nih.gov/nuccore/CP000058.1?report=graph&amp;tracks=[key:gene_model_track,Options:GeneOnly]&amp;mk=1498796:1498815|offset_34|444444,1498763:1498782|offset_67|444444,1498739:1498758|offset_91|00cc00,1498715:1498734|offset_115|444444&amp;v=1498595:1498934&amp;c=444444", "offset 91")</f>
        <v>offset 91</v>
      </c>
    </row>
    <row r="4770" customFormat="false" ht="12.8" hidden="false" customHeight="false" outlineLevel="0" collapsed="false">
      <c r="A4770" s="0" t="s">
        <v>12</v>
      </c>
      <c r="B4770" s="0" t="n">
        <v>1498714</v>
      </c>
      <c r="C4770" s="0" t="n">
        <v>1498734</v>
      </c>
      <c r="D4770" s="0" t="s">
        <v>15892</v>
      </c>
      <c r="E4770" s="0" t="s">
        <v>15893</v>
      </c>
      <c r="F4770" s="0" t="s">
        <v>90</v>
      </c>
      <c r="G4770" s="0" t="s">
        <v>36</v>
      </c>
      <c r="H4770" s="0" t="n">
        <v>115</v>
      </c>
      <c r="I4770" s="0" t="s">
        <v>15903</v>
      </c>
      <c r="J4770" s="0" t="s">
        <v>15904</v>
      </c>
      <c r="K4770" s="0" t="s">
        <v>15905</v>
      </c>
      <c r="L4770" s="0" t="str">
        <f aca="false">HYPERLINK("https://www.ncbi.nlm.nih.gov/nuccore/CP000058.1?report=graph&amp;tracks=[key:gene_model_track,Options:GeneOnly]&amp;mk=1498796:1498815|offset_34|444444,1498763:1498782|offset_67|444444,1498739:1498758|offset_91|444444,1498715:1498734|offset_115|00cc00&amp;v=1498595:1498934&amp;c=444444", "offset 115")</f>
        <v>offset 115</v>
      </c>
    </row>
    <row r="4771" customFormat="false" ht="12.8" hidden="false" customHeight="false" outlineLevel="0" collapsed="false">
      <c r="A4771" s="0" t="s">
        <v>12</v>
      </c>
      <c r="B4771" s="0" t="n">
        <v>1499391</v>
      </c>
      <c r="C4771" s="0" t="n">
        <v>1499411</v>
      </c>
      <c r="D4771" s="0" t="s">
        <v>15906</v>
      </c>
      <c r="E4771" s="0" t="s">
        <v>15907</v>
      </c>
      <c r="F4771" s="0" t="s">
        <v>90</v>
      </c>
      <c r="G4771" s="0" t="s">
        <v>16</v>
      </c>
      <c r="H4771" s="0" t="n">
        <v>7</v>
      </c>
      <c r="I4771" s="0" t="s">
        <v>15908</v>
      </c>
      <c r="J4771" s="0" t="s">
        <v>15909</v>
      </c>
      <c r="K4771" s="0" t="s">
        <v>15910</v>
      </c>
      <c r="L4771" s="0" t="str">
        <f aca="false">HYPERLINK("https://www.ncbi.nlm.nih.gov/nuccore/CP000058.1?report=graph&amp;tracks=[key:gene_model_track,Options:GeneOnly]&amp;mk=1499392:1499411|offset_7|00cc00,1499371:1499390|offset_28|444444,1499351:1499370|offset_48|444444,1499330:1499349|offset_69|444444&amp;v=1499191:1499549&amp;c=444444", "offset 7")</f>
        <v>offset 7</v>
      </c>
    </row>
    <row r="4772" customFormat="false" ht="12.8" hidden="false" customHeight="false" outlineLevel="0" collapsed="false">
      <c r="A4772" s="0" t="s">
        <v>12</v>
      </c>
      <c r="B4772" s="0" t="n">
        <v>1499370</v>
      </c>
      <c r="C4772" s="0" t="n">
        <v>1499390</v>
      </c>
      <c r="D4772" s="0" t="s">
        <v>15906</v>
      </c>
      <c r="E4772" s="0" t="s">
        <v>15907</v>
      </c>
      <c r="F4772" s="0" t="s">
        <v>90</v>
      </c>
      <c r="G4772" s="0" t="s">
        <v>32</v>
      </c>
      <c r="H4772" s="0" t="n">
        <v>28</v>
      </c>
      <c r="I4772" s="0" t="s">
        <v>15911</v>
      </c>
      <c r="J4772" s="0" t="s">
        <v>15912</v>
      </c>
      <c r="K4772" s="0" t="s">
        <v>15913</v>
      </c>
      <c r="L4772" s="0" t="str">
        <f aca="false">HYPERLINK("https://www.ncbi.nlm.nih.gov/nuccore/CP000058.1?report=graph&amp;tracks=[key:gene_model_track,Options:GeneOnly]&amp;mk=1499392:1499411|offset_7|444444,1499371:1499390|offset_28|00cc00,1499351:1499370|offset_48|444444,1499330:1499349|offset_69|444444&amp;v=1499191:1499549&amp;c=444444", "offset 28")</f>
        <v>offset 28</v>
      </c>
    </row>
    <row r="4773" customFormat="false" ht="12.8" hidden="false" customHeight="false" outlineLevel="0" collapsed="false">
      <c r="A4773" s="0" t="s">
        <v>12</v>
      </c>
      <c r="B4773" s="0" t="n">
        <v>1499350</v>
      </c>
      <c r="C4773" s="0" t="n">
        <v>1499370</v>
      </c>
      <c r="D4773" s="0" t="s">
        <v>15906</v>
      </c>
      <c r="E4773" s="0" t="s">
        <v>15907</v>
      </c>
      <c r="F4773" s="0" t="s">
        <v>90</v>
      </c>
      <c r="G4773" s="0" t="s">
        <v>36</v>
      </c>
      <c r="H4773" s="0" t="n">
        <v>48</v>
      </c>
      <c r="I4773" s="0" t="s">
        <v>15914</v>
      </c>
      <c r="J4773" s="0" t="s">
        <v>15915</v>
      </c>
      <c r="K4773" s="0" t="s">
        <v>15916</v>
      </c>
      <c r="L4773" s="0" t="str">
        <f aca="false">HYPERLINK("https://www.ncbi.nlm.nih.gov/nuccore/CP000058.1?report=graph&amp;tracks=[key:gene_model_track,Options:GeneOnly]&amp;mk=1499392:1499411|offset_7|444444,1499371:1499390|offset_28|444444,1499351:1499370|offset_48|00cc00,1499330:1499349|offset_69|444444&amp;v=1499191:1499549&amp;c=444444", "offset 48")</f>
        <v>offset 48</v>
      </c>
    </row>
    <row r="4774" customFormat="false" ht="12.8" hidden="false" customHeight="false" outlineLevel="0" collapsed="false">
      <c r="A4774" s="0" t="s">
        <v>12</v>
      </c>
      <c r="B4774" s="0" t="n">
        <v>1499329</v>
      </c>
      <c r="C4774" s="0" t="n">
        <v>1499349</v>
      </c>
      <c r="D4774" s="0" t="s">
        <v>15906</v>
      </c>
      <c r="E4774" s="0" t="s">
        <v>15907</v>
      </c>
      <c r="F4774" s="0" t="s">
        <v>90</v>
      </c>
      <c r="G4774" s="0" t="s">
        <v>20</v>
      </c>
      <c r="H4774" s="0" t="n">
        <v>69</v>
      </c>
      <c r="I4774" s="0" t="s">
        <v>15917</v>
      </c>
      <c r="J4774" s="0" t="s">
        <v>15918</v>
      </c>
      <c r="K4774" s="0" t="s">
        <v>15919</v>
      </c>
      <c r="L4774" s="0" t="str">
        <f aca="false">HYPERLINK("https://www.ncbi.nlm.nih.gov/nuccore/CP000058.1?report=graph&amp;tracks=[key:gene_model_track,Options:GeneOnly]&amp;mk=1499392:1499411|offset_7|444444,1499371:1499390|offset_28|444444,1499351:1499370|offset_48|444444,1499330:1499349|offset_69|00cc00&amp;v=1499191:1499549&amp;c=444444", "offset 69")</f>
        <v>offset 69</v>
      </c>
    </row>
    <row r="4775" customFormat="false" ht="12.8" hidden="false" customHeight="false" outlineLevel="0" collapsed="false">
      <c r="A4775" s="0" t="s">
        <v>12</v>
      </c>
      <c r="B4775" s="0" t="n">
        <v>1499824</v>
      </c>
      <c r="C4775" s="0" t="n">
        <v>1499844</v>
      </c>
      <c r="D4775" s="0" t="s">
        <v>15920</v>
      </c>
      <c r="E4775" s="0" t="s">
        <v>15921</v>
      </c>
      <c r="F4775" s="0" t="s">
        <v>90</v>
      </c>
      <c r="G4775" s="0" t="s">
        <v>16</v>
      </c>
      <c r="H4775" s="0" t="n">
        <v>27</v>
      </c>
      <c r="I4775" s="0" t="s">
        <v>15922</v>
      </c>
      <c r="J4775" s="0" t="s">
        <v>15923</v>
      </c>
      <c r="K4775" s="0" t="s">
        <v>15924</v>
      </c>
      <c r="L4775" s="0" t="str">
        <f aca="false">HYPERLINK("https://www.ncbi.nlm.nih.gov/nuccore/CP000058.1?report=graph&amp;tracks=[key:gene_model_track,Options:GeneOnly]&amp;mk=1499825:1499844|offset_27|00cc00,1499785:1499804|offset_67|444444,1499739:1499758|offset_113|444444,1499706:1499725|offset_146|444444&amp;v=1499624:1499925&amp;c=444444", "offset 27")</f>
        <v>offset 27</v>
      </c>
    </row>
    <row r="4776" customFormat="false" ht="12.8" hidden="false" customHeight="false" outlineLevel="0" collapsed="false">
      <c r="A4776" s="0" t="s">
        <v>12</v>
      </c>
      <c r="B4776" s="0" t="n">
        <v>1499784</v>
      </c>
      <c r="C4776" s="0" t="n">
        <v>1499804</v>
      </c>
      <c r="D4776" s="0" t="s">
        <v>15920</v>
      </c>
      <c r="E4776" s="0" t="s">
        <v>15921</v>
      </c>
      <c r="F4776" s="0" t="s">
        <v>90</v>
      </c>
      <c r="G4776" s="0" t="s">
        <v>36</v>
      </c>
      <c r="H4776" s="0" t="n">
        <v>67</v>
      </c>
      <c r="I4776" s="0" t="s">
        <v>15925</v>
      </c>
      <c r="J4776" s="0" t="s">
        <v>15926</v>
      </c>
      <c r="K4776" s="0" t="s">
        <v>15927</v>
      </c>
      <c r="L4776" s="0" t="str">
        <f aca="false">HYPERLINK("https://www.ncbi.nlm.nih.gov/nuccore/CP000058.1?report=graph&amp;tracks=[key:gene_model_track,Options:GeneOnly]&amp;mk=1499825:1499844|offset_27|444444,1499785:1499804|offset_67|00cc00,1499739:1499758|offset_113|444444,1499706:1499725|offset_146|444444&amp;v=1499624:1499925&amp;c=444444", "offset 67")</f>
        <v>offset 67</v>
      </c>
    </row>
    <row r="4777" customFormat="false" ht="12.8" hidden="false" customHeight="false" outlineLevel="0" collapsed="false">
      <c r="A4777" s="0" t="s">
        <v>12</v>
      </c>
      <c r="B4777" s="0" t="n">
        <v>1499738</v>
      </c>
      <c r="C4777" s="0" t="n">
        <v>1499758</v>
      </c>
      <c r="D4777" s="0" t="s">
        <v>15920</v>
      </c>
      <c r="E4777" s="0" t="s">
        <v>15921</v>
      </c>
      <c r="F4777" s="0" t="s">
        <v>90</v>
      </c>
      <c r="G4777" s="0" t="s">
        <v>32</v>
      </c>
      <c r="H4777" s="0" t="n">
        <v>113</v>
      </c>
      <c r="I4777" s="0" t="s">
        <v>15928</v>
      </c>
      <c r="J4777" s="0" t="s">
        <v>15929</v>
      </c>
      <c r="K4777" s="0" t="s">
        <v>15930</v>
      </c>
      <c r="L4777" s="0" t="str">
        <f aca="false">HYPERLINK("https://www.ncbi.nlm.nih.gov/nuccore/CP000058.1?report=graph&amp;tracks=[key:gene_model_track,Options:GeneOnly]&amp;mk=1499825:1499844|offset_27|444444,1499785:1499804|offset_67|444444,1499739:1499758|offset_113|00cc00,1499706:1499725|offset_146|444444&amp;v=1499624:1499925&amp;c=444444", "offset 113")</f>
        <v>offset 113</v>
      </c>
    </row>
    <row r="4778" customFormat="false" ht="12.8" hidden="false" customHeight="false" outlineLevel="0" collapsed="false">
      <c r="A4778" s="0" t="s">
        <v>12</v>
      </c>
      <c r="B4778" s="0" t="n">
        <v>1499705</v>
      </c>
      <c r="C4778" s="0" t="n">
        <v>1499725</v>
      </c>
      <c r="D4778" s="0" t="s">
        <v>15920</v>
      </c>
      <c r="E4778" s="0" t="s">
        <v>15921</v>
      </c>
      <c r="F4778" s="0" t="s">
        <v>90</v>
      </c>
      <c r="G4778" s="0" t="s">
        <v>32</v>
      </c>
      <c r="H4778" s="0" t="n">
        <v>146</v>
      </c>
      <c r="I4778" s="0" t="s">
        <v>15931</v>
      </c>
      <c r="J4778" s="0" t="s">
        <v>15932</v>
      </c>
      <c r="K4778" s="0" t="s">
        <v>15933</v>
      </c>
      <c r="L4778" s="0" t="str">
        <f aca="false">HYPERLINK("https://www.ncbi.nlm.nih.gov/nuccore/CP000058.1?report=graph&amp;tracks=[key:gene_model_track,Options:GeneOnly]&amp;mk=1499825:1499844|offset_27|444444,1499785:1499804|offset_67|444444,1499739:1499758|offset_113|444444,1499706:1499725|offset_146|00cc00&amp;v=1499624:1499925&amp;c=444444", "offset 146")</f>
        <v>offset 146</v>
      </c>
    </row>
    <row r="4779" customFormat="false" ht="12.8" hidden="false" customHeight="false" outlineLevel="0" collapsed="false">
      <c r="A4779" s="0" t="s">
        <v>12</v>
      </c>
      <c r="B4779" s="0" t="n">
        <v>1501183</v>
      </c>
      <c r="C4779" s="0" t="n">
        <v>1501203</v>
      </c>
      <c r="D4779" s="0" t="s">
        <v>15934</v>
      </c>
      <c r="E4779" s="0" t="s">
        <v>15935</v>
      </c>
      <c r="F4779" s="0" t="s">
        <v>90</v>
      </c>
      <c r="G4779" s="0" t="s">
        <v>32</v>
      </c>
      <c r="H4779" s="0" t="n">
        <v>20</v>
      </c>
      <c r="I4779" s="0" t="s">
        <v>15936</v>
      </c>
      <c r="J4779" s="0" t="s">
        <v>15937</v>
      </c>
      <c r="K4779" s="0" t="s">
        <v>15938</v>
      </c>
      <c r="L4779" s="0" t="str">
        <f aca="false">HYPERLINK("https://www.ncbi.nlm.nih.gov/nuccore/CP000058.1?report=graph&amp;tracks=[key:gene_model_track,Options:GeneOnly]&amp;mk=1501184:1501203|offset_20|00cc00,1501140:1501159|offset_64|444444,1501081:1501100|offset_123|444444,1501041:1501060|offset_163|444444&amp;v=1500983:1501260&amp;c=444444", "offset 20")</f>
        <v>offset 20</v>
      </c>
    </row>
    <row r="4780" customFormat="false" ht="12.8" hidden="false" customHeight="false" outlineLevel="0" collapsed="false">
      <c r="A4780" s="0" t="s">
        <v>12</v>
      </c>
      <c r="B4780" s="0" t="n">
        <v>1501139</v>
      </c>
      <c r="C4780" s="0" t="n">
        <v>1501159</v>
      </c>
      <c r="D4780" s="0" t="s">
        <v>15934</v>
      </c>
      <c r="E4780" s="0" t="s">
        <v>15935</v>
      </c>
      <c r="F4780" s="0" t="s">
        <v>90</v>
      </c>
      <c r="G4780" s="0" t="s">
        <v>16</v>
      </c>
      <c r="H4780" s="0" t="n">
        <v>64</v>
      </c>
      <c r="I4780" s="0" t="s">
        <v>15939</v>
      </c>
      <c r="J4780" s="0" t="s">
        <v>15940</v>
      </c>
      <c r="K4780" s="0" t="s">
        <v>15941</v>
      </c>
      <c r="L4780" s="0" t="str">
        <f aca="false">HYPERLINK("https://www.ncbi.nlm.nih.gov/nuccore/CP000058.1?report=graph&amp;tracks=[key:gene_model_track,Options:GeneOnly]&amp;mk=1501184:1501203|offset_20|444444,1501140:1501159|offset_64|00cc00,1501081:1501100|offset_123|444444,1501041:1501060|offset_163|444444&amp;v=1500983:1501260&amp;c=444444", "offset 64")</f>
        <v>offset 64</v>
      </c>
    </row>
    <row r="4781" customFormat="false" ht="12.8" hidden="false" customHeight="false" outlineLevel="0" collapsed="false">
      <c r="A4781" s="0" t="s">
        <v>12</v>
      </c>
      <c r="B4781" s="0" t="n">
        <v>1501080</v>
      </c>
      <c r="C4781" s="0" t="n">
        <v>1501100</v>
      </c>
      <c r="D4781" s="0" t="s">
        <v>15934</v>
      </c>
      <c r="E4781" s="0" t="s">
        <v>15935</v>
      </c>
      <c r="F4781" s="0" t="s">
        <v>90</v>
      </c>
      <c r="G4781" s="0" t="s">
        <v>20</v>
      </c>
      <c r="H4781" s="0" t="n">
        <v>123</v>
      </c>
      <c r="I4781" s="0" t="s">
        <v>15942</v>
      </c>
      <c r="J4781" s="0" t="s">
        <v>15943</v>
      </c>
      <c r="K4781" s="0" t="s">
        <v>15944</v>
      </c>
      <c r="L4781" s="0" t="str">
        <f aca="false">HYPERLINK("https://www.ncbi.nlm.nih.gov/nuccore/CP000058.1?report=graph&amp;tracks=[key:gene_model_track,Options:GeneOnly]&amp;mk=1501184:1501203|offset_20|444444,1501140:1501159|offset_64|444444,1501081:1501100|offset_123|00cc00,1501041:1501060|offset_163|444444&amp;v=1500983:1501260&amp;c=444444", "offset 123")</f>
        <v>offset 123</v>
      </c>
    </row>
    <row r="4782" customFormat="false" ht="12.8" hidden="false" customHeight="false" outlineLevel="0" collapsed="false">
      <c r="A4782" s="0" t="s">
        <v>12</v>
      </c>
      <c r="B4782" s="0" t="n">
        <v>1501040</v>
      </c>
      <c r="C4782" s="0" t="n">
        <v>1501060</v>
      </c>
      <c r="D4782" s="0" t="s">
        <v>15934</v>
      </c>
      <c r="E4782" s="0" t="s">
        <v>15935</v>
      </c>
      <c r="F4782" s="0" t="s">
        <v>90</v>
      </c>
      <c r="G4782" s="0" t="s">
        <v>16</v>
      </c>
      <c r="H4782" s="0" t="n">
        <v>163</v>
      </c>
      <c r="I4782" s="0" t="s">
        <v>15945</v>
      </c>
      <c r="J4782" s="0" t="s">
        <v>15946</v>
      </c>
      <c r="K4782" s="0" t="s">
        <v>15947</v>
      </c>
      <c r="L4782" s="0" t="str">
        <f aca="false">HYPERLINK("https://www.ncbi.nlm.nih.gov/nuccore/CP000058.1?report=graph&amp;tracks=[key:gene_model_track,Options:GeneOnly]&amp;mk=1501184:1501203|offset_20|444444,1501140:1501159|offset_64|444444,1501081:1501100|offset_123|444444,1501041:1501060|offset_163|00cc00&amp;v=1500983:1501260&amp;c=444444", "offset 163")</f>
        <v>offset 163</v>
      </c>
    </row>
    <row r="4783" customFormat="false" ht="12.8" hidden="false" customHeight="false" outlineLevel="0" collapsed="false">
      <c r="A4783" s="0" t="s">
        <v>12</v>
      </c>
      <c r="B4783" s="0" t="n">
        <v>1502139</v>
      </c>
      <c r="C4783" s="0" t="n">
        <v>1502159</v>
      </c>
      <c r="D4783" s="0" t="s">
        <v>15948</v>
      </c>
      <c r="E4783" s="0" t="s">
        <v>15949</v>
      </c>
      <c r="F4783" s="0" t="s">
        <v>90</v>
      </c>
      <c r="G4783" s="0" t="s">
        <v>32</v>
      </c>
      <c r="H4783" s="0" t="n">
        <v>35</v>
      </c>
      <c r="I4783" s="0" t="s">
        <v>15950</v>
      </c>
      <c r="J4783" s="0" t="s">
        <v>15951</v>
      </c>
      <c r="K4783" s="0" t="s">
        <v>15952</v>
      </c>
      <c r="L4783" s="0" t="str">
        <f aca="false">HYPERLINK("https://www.ncbi.nlm.nih.gov/nuccore/CP000058.1?report=graph&amp;tracks=[key:gene_model_track,Options:GeneOnly]&amp;mk=1502140:1502159|offset_35|00cc00,1502090:1502109|offset_85|444444,1502047:1502066|offset_128|444444,1502026:1502045|offset_149|444444&amp;v=1501939:1502245&amp;c=444444", "offset 35")</f>
        <v>offset 35</v>
      </c>
    </row>
    <row r="4784" customFormat="false" ht="12.8" hidden="false" customHeight="false" outlineLevel="0" collapsed="false">
      <c r="A4784" s="0" t="s">
        <v>12</v>
      </c>
      <c r="B4784" s="0" t="n">
        <v>1502089</v>
      </c>
      <c r="C4784" s="0" t="n">
        <v>1502109</v>
      </c>
      <c r="D4784" s="0" t="s">
        <v>15948</v>
      </c>
      <c r="E4784" s="0" t="s">
        <v>15949</v>
      </c>
      <c r="F4784" s="0" t="s">
        <v>90</v>
      </c>
      <c r="G4784" s="0" t="s">
        <v>16</v>
      </c>
      <c r="H4784" s="0" t="n">
        <v>85</v>
      </c>
      <c r="I4784" s="0" t="s">
        <v>15953</v>
      </c>
      <c r="J4784" s="0" t="s">
        <v>15954</v>
      </c>
      <c r="K4784" s="0" t="s">
        <v>15955</v>
      </c>
      <c r="L4784" s="0" t="str">
        <f aca="false">HYPERLINK("https://www.ncbi.nlm.nih.gov/nuccore/CP000058.1?report=graph&amp;tracks=[key:gene_model_track,Options:GeneOnly]&amp;mk=1502140:1502159|offset_35|444444,1502090:1502109|offset_85|00cc00,1502047:1502066|offset_128|444444,1502026:1502045|offset_149|444444&amp;v=1501939:1502245&amp;c=444444", "offset 85")</f>
        <v>offset 85</v>
      </c>
    </row>
    <row r="4785" customFormat="false" ht="12.8" hidden="false" customHeight="false" outlineLevel="0" collapsed="false">
      <c r="A4785" s="0" t="s">
        <v>12</v>
      </c>
      <c r="B4785" s="0" t="n">
        <v>1502046</v>
      </c>
      <c r="C4785" s="0" t="n">
        <v>1502066</v>
      </c>
      <c r="D4785" s="0" t="s">
        <v>15948</v>
      </c>
      <c r="E4785" s="0" t="s">
        <v>15949</v>
      </c>
      <c r="F4785" s="0" t="s">
        <v>90</v>
      </c>
      <c r="G4785" s="0" t="s">
        <v>20</v>
      </c>
      <c r="H4785" s="0" t="n">
        <v>128</v>
      </c>
      <c r="I4785" s="0" t="s">
        <v>15956</v>
      </c>
      <c r="J4785" s="0" t="s">
        <v>15957</v>
      </c>
      <c r="K4785" s="0" t="s">
        <v>15958</v>
      </c>
      <c r="L4785" s="0" t="str">
        <f aca="false">HYPERLINK("https://www.ncbi.nlm.nih.gov/nuccore/CP000058.1?report=graph&amp;tracks=[key:gene_model_track,Options:GeneOnly]&amp;mk=1502140:1502159|offset_35|444444,1502090:1502109|offset_85|444444,1502047:1502066|offset_128|00cc00,1502026:1502045|offset_149|444444&amp;v=1501939:1502245&amp;c=444444", "offset 128")</f>
        <v>offset 128</v>
      </c>
    </row>
    <row r="4786" customFormat="false" ht="12.8" hidden="false" customHeight="false" outlineLevel="0" collapsed="false">
      <c r="A4786" s="0" t="s">
        <v>12</v>
      </c>
      <c r="B4786" s="0" t="n">
        <v>1502025</v>
      </c>
      <c r="C4786" s="0" t="n">
        <v>1502045</v>
      </c>
      <c r="D4786" s="0" t="s">
        <v>15948</v>
      </c>
      <c r="E4786" s="0" t="s">
        <v>15949</v>
      </c>
      <c r="F4786" s="0" t="s">
        <v>90</v>
      </c>
      <c r="G4786" s="0" t="s">
        <v>20</v>
      </c>
      <c r="H4786" s="0" t="n">
        <v>149</v>
      </c>
      <c r="I4786" s="0" t="s">
        <v>15959</v>
      </c>
      <c r="J4786" s="0" t="s">
        <v>15960</v>
      </c>
      <c r="K4786" s="0" t="s">
        <v>15961</v>
      </c>
      <c r="L4786" s="0" t="str">
        <f aca="false">HYPERLINK("https://www.ncbi.nlm.nih.gov/nuccore/CP000058.1?report=graph&amp;tracks=[key:gene_model_track,Options:GeneOnly]&amp;mk=1502140:1502159|offset_35|444444,1502090:1502109|offset_85|444444,1502047:1502066|offset_128|444444,1502026:1502045|offset_149|00cc00&amp;v=1501939:1502245&amp;c=444444", "offset 149")</f>
        <v>offset 149</v>
      </c>
    </row>
    <row r="4787" customFormat="false" ht="12.8" hidden="false" customHeight="false" outlineLevel="0" collapsed="false">
      <c r="A4787" s="0" t="s">
        <v>12</v>
      </c>
      <c r="B4787" s="0" t="n">
        <v>1504258</v>
      </c>
      <c r="C4787" s="0" t="n">
        <v>1504278</v>
      </c>
      <c r="D4787" s="0" t="s">
        <v>15962</v>
      </c>
      <c r="E4787" s="0" t="s">
        <v>15963</v>
      </c>
      <c r="F4787" s="0" t="s">
        <v>90</v>
      </c>
      <c r="G4787" s="0" t="s">
        <v>36</v>
      </c>
      <c r="H4787" s="0" t="n">
        <v>37</v>
      </c>
      <c r="I4787" s="0" t="s">
        <v>15964</v>
      </c>
      <c r="J4787" s="0" t="s">
        <v>15965</v>
      </c>
      <c r="K4787" s="0" t="s">
        <v>15966</v>
      </c>
      <c r="L4787" s="0" t="str">
        <f aca="false">HYPERLINK("https://www.ncbi.nlm.nih.gov/nuccore/CP000058.1?report=graph&amp;tracks=[key:gene_model_track,Options:GeneOnly]&amp;mk=1504259:1504278|offset_37|00cc00,1504208:1504227|offset_88|444444,1504187:1504206|offset_109|444444,1504101:1504120|offset_195|444444&amp;v=1504058:1504320&amp;c=444444", "offset 37")</f>
        <v>offset 37</v>
      </c>
    </row>
    <row r="4788" customFormat="false" ht="12.8" hidden="false" customHeight="false" outlineLevel="0" collapsed="false">
      <c r="A4788" s="0" t="s">
        <v>12</v>
      </c>
      <c r="B4788" s="0" t="n">
        <v>1504207</v>
      </c>
      <c r="C4788" s="0" t="n">
        <v>1504227</v>
      </c>
      <c r="D4788" s="0" t="s">
        <v>15962</v>
      </c>
      <c r="E4788" s="0" t="s">
        <v>15963</v>
      </c>
      <c r="F4788" s="0" t="s">
        <v>90</v>
      </c>
      <c r="G4788" s="0" t="s">
        <v>32</v>
      </c>
      <c r="H4788" s="0" t="n">
        <v>88</v>
      </c>
      <c r="I4788" s="0" t="s">
        <v>15967</v>
      </c>
      <c r="J4788" s="0" t="s">
        <v>15968</v>
      </c>
      <c r="K4788" s="0" t="s">
        <v>15969</v>
      </c>
      <c r="L4788" s="0" t="str">
        <f aca="false">HYPERLINK("https://www.ncbi.nlm.nih.gov/nuccore/CP000058.1?report=graph&amp;tracks=[key:gene_model_track,Options:GeneOnly]&amp;mk=1504259:1504278|offset_37|444444,1504208:1504227|offset_88|00cc00,1504187:1504206|offset_109|444444,1504101:1504120|offset_195|444444&amp;v=1504058:1504320&amp;c=444444", "offset 88")</f>
        <v>offset 88</v>
      </c>
    </row>
    <row r="4789" customFormat="false" ht="12.8" hidden="false" customHeight="false" outlineLevel="0" collapsed="false">
      <c r="A4789" s="0" t="s">
        <v>12</v>
      </c>
      <c r="B4789" s="0" t="n">
        <v>1504186</v>
      </c>
      <c r="C4789" s="0" t="n">
        <v>1504206</v>
      </c>
      <c r="D4789" s="0" t="s">
        <v>15962</v>
      </c>
      <c r="E4789" s="0" t="s">
        <v>15963</v>
      </c>
      <c r="F4789" s="0" t="s">
        <v>90</v>
      </c>
      <c r="G4789" s="0" t="s">
        <v>36</v>
      </c>
      <c r="H4789" s="0" t="n">
        <v>109</v>
      </c>
      <c r="I4789" s="0" t="s">
        <v>15970</v>
      </c>
      <c r="J4789" s="0" t="s">
        <v>15971</v>
      </c>
      <c r="K4789" s="0" t="s">
        <v>15972</v>
      </c>
      <c r="L4789" s="0" t="str">
        <f aca="false">HYPERLINK("https://www.ncbi.nlm.nih.gov/nuccore/CP000058.1?report=graph&amp;tracks=[key:gene_model_track,Options:GeneOnly]&amp;mk=1504259:1504278|offset_37|444444,1504208:1504227|offset_88|444444,1504187:1504206|offset_109|00cc00,1504101:1504120|offset_195|444444&amp;v=1504058:1504320&amp;c=444444", "offset 109")</f>
        <v>offset 109</v>
      </c>
    </row>
    <row r="4790" customFormat="false" ht="12.8" hidden="false" customHeight="false" outlineLevel="0" collapsed="false">
      <c r="A4790" s="0" t="s">
        <v>12</v>
      </c>
      <c r="B4790" s="0" t="n">
        <v>1504100</v>
      </c>
      <c r="C4790" s="0" t="n">
        <v>1504120</v>
      </c>
      <c r="D4790" s="0" t="s">
        <v>15962</v>
      </c>
      <c r="E4790" s="0" t="s">
        <v>15963</v>
      </c>
      <c r="F4790" s="0" t="s">
        <v>90</v>
      </c>
      <c r="G4790" s="0" t="s">
        <v>32</v>
      </c>
      <c r="H4790" s="0" t="n">
        <v>195</v>
      </c>
      <c r="I4790" s="0" t="s">
        <v>15973</v>
      </c>
      <c r="J4790" s="0" t="s">
        <v>15974</v>
      </c>
      <c r="K4790" s="0" t="s">
        <v>15975</v>
      </c>
      <c r="L4790" s="0" t="str">
        <f aca="false">HYPERLINK("https://www.ncbi.nlm.nih.gov/nuccore/CP000058.1?report=graph&amp;tracks=[key:gene_model_track,Options:GeneOnly]&amp;mk=1504259:1504278|offset_37|444444,1504208:1504227|offset_88|444444,1504187:1504206|offset_109|444444,1504101:1504120|offset_195|00cc00&amp;v=1504058:1504320&amp;c=444444", "offset 195")</f>
        <v>offset 195</v>
      </c>
    </row>
    <row r="4791" customFormat="false" ht="12.8" hidden="false" customHeight="false" outlineLevel="0" collapsed="false">
      <c r="A4791" s="0" t="s">
        <v>12</v>
      </c>
      <c r="B4791" s="0" t="n">
        <v>1505398</v>
      </c>
      <c r="C4791" s="0" t="n">
        <v>1505418</v>
      </c>
      <c r="D4791" s="0" t="s">
        <v>15976</v>
      </c>
      <c r="E4791" s="0" t="s">
        <v>15977</v>
      </c>
      <c r="F4791" s="0" t="s">
        <v>90</v>
      </c>
      <c r="G4791" s="0" t="s">
        <v>20</v>
      </c>
      <c r="H4791" s="0" t="n">
        <v>0</v>
      </c>
      <c r="I4791" s="0" t="s">
        <v>15978</v>
      </c>
      <c r="J4791" s="0" t="s">
        <v>15979</v>
      </c>
      <c r="K4791" s="0" t="s">
        <v>15980</v>
      </c>
      <c r="L4791" s="0" t="str">
        <f aca="false">HYPERLINK("https://www.ncbi.nlm.nih.gov/nuccore/CP000058.1?report=graph&amp;tracks=[key:gene_model_track,Options:GeneOnly]&amp;mk=1505399:1505418|offset_0|00cc00,1505378:1505397|offset_21|444444,1505351:1505370|offset_48|444444,1505315:1505334|offset_84|444444&amp;v=1505198:1505534&amp;c=444444", "offset 0")</f>
        <v>offset 0</v>
      </c>
    </row>
    <row r="4792" customFormat="false" ht="12.8" hidden="false" customHeight="false" outlineLevel="0" collapsed="false">
      <c r="A4792" s="0" t="s">
        <v>12</v>
      </c>
      <c r="B4792" s="0" t="n">
        <v>1505377</v>
      </c>
      <c r="C4792" s="0" t="n">
        <v>1505397</v>
      </c>
      <c r="D4792" s="0" t="s">
        <v>15976</v>
      </c>
      <c r="E4792" s="0" t="s">
        <v>15977</v>
      </c>
      <c r="F4792" s="0" t="s">
        <v>90</v>
      </c>
      <c r="G4792" s="0" t="s">
        <v>20</v>
      </c>
      <c r="H4792" s="0" t="n">
        <v>21</v>
      </c>
      <c r="I4792" s="0" t="s">
        <v>15981</v>
      </c>
      <c r="J4792" s="0" t="s">
        <v>15982</v>
      </c>
      <c r="K4792" s="0" t="s">
        <v>15983</v>
      </c>
      <c r="L4792" s="0" t="str">
        <f aca="false">HYPERLINK("https://www.ncbi.nlm.nih.gov/nuccore/CP000058.1?report=graph&amp;tracks=[key:gene_model_track,Options:GeneOnly]&amp;mk=1505399:1505418|offset_0|444444,1505378:1505397|offset_21|00cc00,1505351:1505370|offset_48|444444,1505315:1505334|offset_84|444444&amp;v=1505198:1505534&amp;c=444444", "offset 21")</f>
        <v>offset 21</v>
      </c>
    </row>
    <row r="4793" customFormat="false" ht="12.8" hidden="false" customHeight="false" outlineLevel="0" collapsed="false">
      <c r="A4793" s="0" t="s">
        <v>12</v>
      </c>
      <c r="B4793" s="0" t="n">
        <v>1505350</v>
      </c>
      <c r="C4793" s="0" t="n">
        <v>1505370</v>
      </c>
      <c r="D4793" s="0" t="s">
        <v>15976</v>
      </c>
      <c r="E4793" s="0" t="s">
        <v>15977</v>
      </c>
      <c r="F4793" s="0" t="s">
        <v>90</v>
      </c>
      <c r="G4793" s="0" t="s">
        <v>16</v>
      </c>
      <c r="H4793" s="0" t="n">
        <v>48</v>
      </c>
      <c r="I4793" s="0" t="s">
        <v>15984</v>
      </c>
      <c r="J4793" s="0" t="s">
        <v>15985</v>
      </c>
      <c r="K4793" s="0" t="s">
        <v>15986</v>
      </c>
      <c r="L4793" s="0" t="str">
        <f aca="false">HYPERLINK("https://www.ncbi.nlm.nih.gov/nuccore/CP000058.1?report=graph&amp;tracks=[key:gene_model_track,Options:GeneOnly]&amp;mk=1505399:1505418|offset_0|444444,1505378:1505397|offset_21|444444,1505351:1505370|offset_48|00cc00,1505315:1505334|offset_84|444444&amp;v=1505198:1505534&amp;c=444444", "offset 48")</f>
        <v>offset 48</v>
      </c>
    </row>
    <row r="4794" customFormat="false" ht="12.8" hidden="false" customHeight="false" outlineLevel="0" collapsed="false">
      <c r="A4794" s="0" t="s">
        <v>12</v>
      </c>
      <c r="B4794" s="0" t="n">
        <v>1505314</v>
      </c>
      <c r="C4794" s="0" t="n">
        <v>1505334</v>
      </c>
      <c r="D4794" s="0" t="s">
        <v>15976</v>
      </c>
      <c r="E4794" s="0" t="s">
        <v>15977</v>
      </c>
      <c r="F4794" s="0" t="s">
        <v>90</v>
      </c>
      <c r="G4794" s="0" t="s">
        <v>36</v>
      </c>
      <c r="H4794" s="0" t="n">
        <v>84</v>
      </c>
      <c r="I4794" s="0" t="s">
        <v>15987</v>
      </c>
      <c r="J4794" s="0" t="s">
        <v>15988</v>
      </c>
      <c r="K4794" s="0" t="s">
        <v>15989</v>
      </c>
      <c r="L4794" s="0" t="str">
        <f aca="false">HYPERLINK("https://www.ncbi.nlm.nih.gov/nuccore/CP000058.1?report=graph&amp;tracks=[key:gene_model_track,Options:GeneOnly]&amp;mk=1505399:1505418|offset_0|444444,1505378:1505397|offset_21|444444,1505351:1505370|offset_48|444444,1505315:1505334|offset_84|00cc00&amp;v=1505198:1505534&amp;c=444444", "offset 84")</f>
        <v>offset 84</v>
      </c>
    </row>
    <row r="4795" customFormat="false" ht="12.8" hidden="false" customHeight="false" outlineLevel="0" collapsed="false">
      <c r="A4795" s="0" t="s">
        <v>12</v>
      </c>
      <c r="B4795" s="0" t="n">
        <v>1505661</v>
      </c>
      <c r="C4795" s="0" t="n">
        <v>1505681</v>
      </c>
      <c r="D4795" s="0" t="s">
        <v>15990</v>
      </c>
      <c r="E4795" s="0" t="s">
        <v>15991</v>
      </c>
      <c r="F4795" s="0" t="s">
        <v>15</v>
      </c>
      <c r="G4795" s="0" t="s">
        <v>36</v>
      </c>
      <c r="H4795" s="0" t="n">
        <v>0</v>
      </c>
      <c r="I4795" s="0" t="s">
        <v>15992</v>
      </c>
      <c r="J4795" s="0" t="s">
        <v>15993</v>
      </c>
      <c r="K4795" s="0" t="s">
        <v>15994</v>
      </c>
      <c r="L4795" s="0" t="str">
        <f aca="false">HYPERLINK("https://www.ncbi.nlm.nih.gov/nuccore/CP000058.1?report=graph&amp;tracks=[key:gene_model_track,Options:GeneOnly]&amp;mk=1505662:1505681|offset_0|00cc00,1505685:1505704|offset_23|444444,1505706:1505725|offset_44|444444,1505730:1505749|offset_68|444444&amp;v=1505461:1505949&amp;c=444444", "offset 0")</f>
        <v>offset 0</v>
      </c>
    </row>
    <row r="4796" customFormat="false" ht="12.8" hidden="false" customHeight="false" outlineLevel="0" collapsed="false">
      <c r="A4796" s="0" t="s">
        <v>12</v>
      </c>
      <c r="B4796" s="0" t="n">
        <v>1505684</v>
      </c>
      <c r="C4796" s="0" t="n">
        <v>1505704</v>
      </c>
      <c r="D4796" s="0" t="s">
        <v>15990</v>
      </c>
      <c r="E4796" s="0" t="s">
        <v>15991</v>
      </c>
      <c r="F4796" s="0" t="s">
        <v>15</v>
      </c>
      <c r="G4796" s="0" t="s">
        <v>20</v>
      </c>
      <c r="H4796" s="0" t="n">
        <v>23</v>
      </c>
      <c r="I4796" s="0" t="s">
        <v>15995</v>
      </c>
      <c r="J4796" s="0" t="s">
        <v>15996</v>
      </c>
      <c r="K4796" s="0" t="s">
        <v>15997</v>
      </c>
      <c r="L4796" s="0" t="str">
        <f aca="false">HYPERLINK("https://www.ncbi.nlm.nih.gov/nuccore/CP000058.1?report=graph&amp;tracks=[key:gene_model_track,Options:GeneOnly]&amp;mk=1505662:1505681|offset_0|444444,1505685:1505704|offset_23|00cc00,1505706:1505725|offset_44|444444,1505730:1505749|offset_68|444444&amp;v=1505461:1505949&amp;c=444444", "offset 23")</f>
        <v>offset 23</v>
      </c>
    </row>
    <row r="4797" customFormat="false" ht="12.8" hidden="false" customHeight="false" outlineLevel="0" collapsed="false">
      <c r="A4797" s="0" t="s">
        <v>12</v>
      </c>
      <c r="B4797" s="0" t="n">
        <v>1505705</v>
      </c>
      <c r="C4797" s="0" t="n">
        <v>1505725</v>
      </c>
      <c r="D4797" s="0" t="s">
        <v>15990</v>
      </c>
      <c r="E4797" s="0" t="s">
        <v>15991</v>
      </c>
      <c r="F4797" s="0" t="s">
        <v>15</v>
      </c>
      <c r="G4797" s="0" t="s">
        <v>32</v>
      </c>
      <c r="H4797" s="0" t="n">
        <v>44</v>
      </c>
      <c r="I4797" s="0" t="s">
        <v>15998</v>
      </c>
      <c r="J4797" s="0" t="s">
        <v>15999</v>
      </c>
      <c r="K4797" s="0" t="s">
        <v>16000</v>
      </c>
      <c r="L4797" s="0" t="str">
        <f aca="false">HYPERLINK("https://www.ncbi.nlm.nih.gov/nuccore/CP000058.1?report=graph&amp;tracks=[key:gene_model_track,Options:GeneOnly]&amp;mk=1505662:1505681|offset_0|444444,1505685:1505704|offset_23|444444,1505706:1505725|offset_44|00cc00,1505730:1505749|offset_68|444444&amp;v=1505461:1505949&amp;c=444444", "offset 44")</f>
        <v>offset 44</v>
      </c>
    </row>
    <row r="4798" customFormat="false" ht="12.8" hidden="false" customHeight="false" outlineLevel="0" collapsed="false">
      <c r="A4798" s="0" t="s">
        <v>12</v>
      </c>
      <c r="B4798" s="0" t="n">
        <v>1505729</v>
      </c>
      <c r="C4798" s="0" t="n">
        <v>1505749</v>
      </c>
      <c r="D4798" s="0" t="s">
        <v>15990</v>
      </c>
      <c r="E4798" s="0" t="s">
        <v>15991</v>
      </c>
      <c r="F4798" s="0" t="s">
        <v>15</v>
      </c>
      <c r="G4798" s="0" t="s">
        <v>16</v>
      </c>
      <c r="H4798" s="0" t="n">
        <v>68</v>
      </c>
      <c r="I4798" s="0" t="s">
        <v>16001</v>
      </c>
      <c r="J4798" s="0" t="s">
        <v>16002</v>
      </c>
      <c r="K4798" s="0" t="s">
        <v>16003</v>
      </c>
      <c r="L4798" s="0" t="str">
        <f aca="false">HYPERLINK("https://www.ncbi.nlm.nih.gov/nuccore/CP000058.1?report=graph&amp;tracks=[key:gene_model_track,Options:GeneOnly]&amp;mk=1505662:1505681|offset_0|444444,1505685:1505704|offset_23|444444,1505706:1505725|offset_44|444444,1505730:1505749|offset_68|00cc00&amp;v=1505461:1505949&amp;c=444444", "offset 68")</f>
        <v>offset 68</v>
      </c>
    </row>
    <row r="4799" customFormat="false" ht="12.8" hidden="false" customHeight="false" outlineLevel="0" collapsed="false">
      <c r="A4799" s="0" t="s">
        <v>12</v>
      </c>
      <c r="B4799" s="0" t="n">
        <v>1506290</v>
      </c>
      <c r="C4799" s="0" t="n">
        <v>1506310</v>
      </c>
      <c r="D4799" s="0" t="s">
        <v>16004</v>
      </c>
      <c r="E4799" s="0" t="s">
        <v>16005</v>
      </c>
      <c r="F4799" s="0" t="s">
        <v>15</v>
      </c>
      <c r="G4799" s="0" t="s">
        <v>32</v>
      </c>
      <c r="H4799" s="0" t="n">
        <v>1</v>
      </c>
      <c r="I4799" s="0" t="s">
        <v>16006</v>
      </c>
      <c r="J4799" s="0" t="s">
        <v>16007</v>
      </c>
      <c r="K4799" s="0" t="s">
        <v>16008</v>
      </c>
      <c r="L4799" s="0" t="str">
        <f aca="false">HYPERLINK("https://www.ncbi.nlm.nih.gov/nuccore/CP000058.1?report=graph&amp;tracks=[key:gene_model_track,Options:GeneOnly]&amp;mk=1506291:1506310|offset_1|00cc00,1506311:1506330|offset_21|444444,1506344:1506363|offset_54|444444,1506374:1506393|offset_84|444444&amp;v=1506090:1506593&amp;c=444444", "offset 1")</f>
        <v>offset 1</v>
      </c>
    </row>
    <row r="4800" customFormat="false" ht="12.8" hidden="false" customHeight="false" outlineLevel="0" collapsed="false">
      <c r="A4800" s="0" t="s">
        <v>12</v>
      </c>
      <c r="B4800" s="0" t="n">
        <v>1506310</v>
      </c>
      <c r="C4800" s="0" t="n">
        <v>1506330</v>
      </c>
      <c r="D4800" s="0" t="s">
        <v>16004</v>
      </c>
      <c r="E4800" s="0" t="s">
        <v>16005</v>
      </c>
      <c r="F4800" s="0" t="s">
        <v>15</v>
      </c>
      <c r="G4800" s="0" t="s">
        <v>36</v>
      </c>
      <c r="H4800" s="0" t="n">
        <v>21</v>
      </c>
      <c r="I4800" s="0" t="s">
        <v>16009</v>
      </c>
      <c r="J4800" s="0" t="s">
        <v>16010</v>
      </c>
      <c r="K4800" s="0" t="s">
        <v>16011</v>
      </c>
      <c r="L4800" s="0" t="str">
        <f aca="false">HYPERLINK("https://www.ncbi.nlm.nih.gov/nuccore/CP000058.1?report=graph&amp;tracks=[key:gene_model_track,Options:GeneOnly]&amp;mk=1506291:1506310|offset_1|444444,1506311:1506330|offset_21|00cc00,1506344:1506363|offset_54|444444,1506374:1506393|offset_84|444444&amp;v=1506090:1506593&amp;c=444444", "offset 21")</f>
        <v>offset 21</v>
      </c>
    </row>
    <row r="4801" customFormat="false" ht="12.8" hidden="false" customHeight="false" outlineLevel="0" collapsed="false">
      <c r="A4801" s="0" t="s">
        <v>12</v>
      </c>
      <c r="B4801" s="0" t="n">
        <v>1506343</v>
      </c>
      <c r="C4801" s="0" t="n">
        <v>1506363</v>
      </c>
      <c r="D4801" s="0" t="s">
        <v>16004</v>
      </c>
      <c r="E4801" s="0" t="s">
        <v>16005</v>
      </c>
      <c r="F4801" s="0" t="s">
        <v>15</v>
      </c>
      <c r="G4801" s="0" t="s">
        <v>36</v>
      </c>
      <c r="H4801" s="0" t="n">
        <v>54</v>
      </c>
      <c r="I4801" s="0" t="s">
        <v>16012</v>
      </c>
      <c r="J4801" s="0" t="s">
        <v>16013</v>
      </c>
      <c r="K4801" s="0" t="s">
        <v>16014</v>
      </c>
      <c r="L4801" s="0" t="str">
        <f aca="false">HYPERLINK("https://www.ncbi.nlm.nih.gov/nuccore/CP000058.1?report=graph&amp;tracks=[key:gene_model_track,Options:GeneOnly]&amp;mk=1506291:1506310|offset_1|444444,1506311:1506330|offset_21|444444,1506344:1506363|offset_54|00cc00,1506374:1506393|offset_84|444444&amp;v=1506090:1506593&amp;c=444444", "offset 54")</f>
        <v>offset 54</v>
      </c>
    </row>
    <row r="4802" customFormat="false" ht="12.8" hidden="false" customHeight="false" outlineLevel="0" collapsed="false">
      <c r="A4802" s="0" t="s">
        <v>12</v>
      </c>
      <c r="B4802" s="0" t="n">
        <v>1506373</v>
      </c>
      <c r="C4802" s="0" t="n">
        <v>1506393</v>
      </c>
      <c r="D4802" s="0" t="s">
        <v>16004</v>
      </c>
      <c r="E4802" s="0" t="s">
        <v>16005</v>
      </c>
      <c r="F4802" s="0" t="s">
        <v>15</v>
      </c>
      <c r="G4802" s="0" t="s">
        <v>32</v>
      </c>
      <c r="H4802" s="0" t="n">
        <v>84</v>
      </c>
      <c r="I4802" s="0" t="s">
        <v>16015</v>
      </c>
      <c r="J4802" s="0" t="s">
        <v>16016</v>
      </c>
      <c r="K4802" s="0" t="s">
        <v>16017</v>
      </c>
      <c r="L4802" s="0" t="str">
        <f aca="false">HYPERLINK("https://www.ncbi.nlm.nih.gov/nuccore/CP000058.1?report=graph&amp;tracks=[key:gene_model_track,Options:GeneOnly]&amp;mk=1506291:1506310|offset_1|444444,1506311:1506330|offset_21|444444,1506344:1506363|offset_54|444444,1506374:1506393|offset_84|00cc00&amp;v=1506090:1506593&amp;c=444444", "offset 84")</f>
        <v>offset 84</v>
      </c>
    </row>
    <row r="4803" customFormat="false" ht="12.8" hidden="false" customHeight="false" outlineLevel="0" collapsed="false">
      <c r="A4803" s="0" t="s">
        <v>12</v>
      </c>
      <c r="B4803" s="0" t="n">
        <v>1508723</v>
      </c>
      <c r="C4803" s="0" t="n">
        <v>1508743</v>
      </c>
      <c r="D4803" s="0" t="s">
        <v>16018</v>
      </c>
      <c r="E4803" s="0" t="s">
        <v>16019</v>
      </c>
      <c r="F4803" s="0" t="s">
        <v>15</v>
      </c>
      <c r="G4803" s="0" t="s">
        <v>20</v>
      </c>
      <c r="H4803" s="0" t="n">
        <v>29</v>
      </c>
      <c r="I4803" s="0" t="s">
        <v>16020</v>
      </c>
      <c r="J4803" s="0" t="s">
        <v>16021</v>
      </c>
      <c r="K4803" s="0" t="s">
        <v>16022</v>
      </c>
      <c r="L4803" s="0" t="str">
        <f aca="false">HYPERLINK("https://www.ncbi.nlm.nih.gov/nuccore/CP000058.1?report=graph&amp;tracks=[key:gene_model_track,Options:GeneOnly]&amp;mk=1508724:1508743|offset_29|00cc00,1508753:1508772|offset_58|444444,1508783:1508802|offset_88|444444,1508821:1508840|offset_126|444444&amp;v=1508523:1509040&amp;c=444444", "offset 29")</f>
        <v>offset 29</v>
      </c>
    </row>
    <row r="4804" customFormat="false" ht="12.8" hidden="false" customHeight="false" outlineLevel="0" collapsed="false">
      <c r="A4804" s="0" t="s">
        <v>12</v>
      </c>
      <c r="B4804" s="0" t="n">
        <v>1508752</v>
      </c>
      <c r="C4804" s="0" t="n">
        <v>1508772</v>
      </c>
      <c r="D4804" s="0" t="s">
        <v>16018</v>
      </c>
      <c r="E4804" s="0" t="s">
        <v>16019</v>
      </c>
      <c r="F4804" s="0" t="s">
        <v>15</v>
      </c>
      <c r="G4804" s="0" t="s">
        <v>32</v>
      </c>
      <c r="H4804" s="0" t="n">
        <v>58</v>
      </c>
      <c r="I4804" s="0" t="s">
        <v>16023</v>
      </c>
      <c r="J4804" s="0" t="s">
        <v>16024</v>
      </c>
      <c r="K4804" s="0" t="s">
        <v>16025</v>
      </c>
      <c r="L4804" s="0" t="str">
        <f aca="false">HYPERLINK("https://www.ncbi.nlm.nih.gov/nuccore/CP000058.1?report=graph&amp;tracks=[key:gene_model_track,Options:GeneOnly]&amp;mk=1508724:1508743|offset_29|444444,1508753:1508772|offset_58|00cc00,1508783:1508802|offset_88|444444,1508821:1508840|offset_126|444444&amp;v=1508523:1509040&amp;c=444444", "offset 58")</f>
        <v>offset 58</v>
      </c>
    </row>
    <row r="4805" customFormat="false" ht="12.8" hidden="false" customHeight="false" outlineLevel="0" collapsed="false">
      <c r="A4805" s="0" t="s">
        <v>12</v>
      </c>
      <c r="B4805" s="0" t="n">
        <v>1508782</v>
      </c>
      <c r="C4805" s="0" t="n">
        <v>1508802</v>
      </c>
      <c r="D4805" s="0" t="s">
        <v>16018</v>
      </c>
      <c r="E4805" s="0" t="s">
        <v>16019</v>
      </c>
      <c r="F4805" s="0" t="s">
        <v>15</v>
      </c>
      <c r="G4805" s="0" t="s">
        <v>36</v>
      </c>
      <c r="H4805" s="0" t="n">
        <v>88</v>
      </c>
      <c r="I4805" s="0" t="s">
        <v>16026</v>
      </c>
      <c r="J4805" s="0" t="s">
        <v>16027</v>
      </c>
      <c r="K4805" s="0" t="s">
        <v>16028</v>
      </c>
      <c r="L4805" s="0" t="str">
        <f aca="false">HYPERLINK("https://www.ncbi.nlm.nih.gov/nuccore/CP000058.1?report=graph&amp;tracks=[key:gene_model_track,Options:GeneOnly]&amp;mk=1508724:1508743|offset_29|444444,1508753:1508772|offset_58|444444,1508783:1508802|offset_88|00cc00,1508821:1508840|offset_126|444444&amp;v=1508523:1509040&amp;c=444444", "offset 88")</f>
        <v>offset 88</v>
      </c>
    </row>
    <row r="4806" customFormat="false" ht="12.8" hidden="false" customHeight="false" outlineLevel="0" collapsed="false">
      <c r="A4806" s="0" t="s">
        <v>12</v>
      </c>
      <c r="B4806" s="0" t="n">
        <v>1508820</v>
      </c>
      <c r="C4806" s="0" t="n">
        <v>1508840</v>
      </c>
      <c r="D4806" s="0" t="s">
        <v>16018</v>
      </c>
      <c r="E4806" s="0" t="s">
        <v>16019</v>
      </c>
      <c r="F4806" s="0" t="s">
        <v>15</v>
      </c>
      <c r="G4806" s="0" t="s">
        <v>20</v>
      </c>
      <c r="H4806" s="0" t="n">
        <v>126</v>
      </c>
      <c r="I4806" s="0" t="s">
        <v>16029</v>
      </c>
      <c r="J4806" s="0" t="s">
        <v>16030</v>
      </c>
      <c r="K4806" s="0" t="s">
        <v>16031</v>
      </c>
      <c r="L4806" s="0" t="str">
        <f aca="false">HYPERLINK("https://www.ncbi.nlm.nih.gov/nuccore/CP000058.1?report=graph&amp;tracks=[key:gene_model_track,Options:GeneOnly]&amp;mk=1508724:1508743|offset_29|444444,1508753:1508772|offset_58|444444,1508783:1508802|offset_88|444444,1508821:1508840|offset_126|00cc00&amp;v=1508523:1509040&amp;c=444444", "offset 126")</f>
        <v>offset 126</v>
      </c>
    </row>
    <row r="4807" customFormat="false" ht="12.8" hidden="false" customHeight="false" outlineLevel="0" collapsed="false">
      <c r="A4807" s="0" t="s">
        <v>12</v>
      </c>
      <c r="B4807" s="0" t="n">
        <v>1510106</v>
      </c>
      <c r="C4807" s="0" t="n">
        <v>1510126</v>
      </c>
      <c r="D4807" s="0" t="s">
        <v>16032</v>
      </c>
      <c r="E4807" s="0" t="s">
        <v>75</v>
      </c>
      <c r="F4807" s="0" t="s">
        <v>15</v>
      </c>
      <c r="G4807" s="0" t="s">
        <v>20</v>
      </c>
      <c r="H4807" s="0" t="n">
        <v>41</v>
      </c>
      <c r="I4807" s="0" t="s">
        <v>16033</v>
      </c>
      <c r="J4807" s="0" t="s">
        <v>16034</v>
      </c>
      <c r="K4807" s="0" t="s">
        <v>16035</v>
      </c>
      <c r="L4807" s="0" t="str">
        <f aca="false">HYPERLINK("https://www.ncbi.nlm.nih.gov/nuccore/CP000058.1?report=graph&amp;tracks=[key:gene_model_track,Options:GeneOnly]&amp;mk=1510107:1510126|offset_41|00cc00,1510144:1510163|offset_78|444444,1510190:1510209|offset_124|444444,1510221:1510240|offset_155|444444&amp;v=1509906:1510440&amp;c=444444", "offset 41")</f>
        <v>offset 41</v>
      </c>
    </row>
    <row r="4808" customFormat="false" ht="12.8" hidden="false" customHeight="false" outlineLevel="0" collapsed="false">
      <c r="A4808" s="0" t="s">
        <v>12</v>
      </c>
      <c r="B4808" s="0" t="n">
        <v>1510143</v>
      </c>
      <c r="C4808" s="0" t="n">
        <v>1510163</v>
      </c>
      <c r="D4808" s="0" t="s">
        <v>16032</v>
      </c>
      <c r="E4808" s="0" t="s">
        <v>75</v>
      </c>
      <c r="F4808" s="0" t="s">
        <v>15</v>
      </c>
      <c r="G4808" s="0" t="s">
        <v>20</v>
      </c>
      <c r="H4808" s="0" t="n">
        <v>78</v>
      </c>
      <c r="I4808" s="0" t="s">
        <v>16036</v>
      </c>
      <c r="J4808" s="0" t="s">
        <v>16037</v>
      </c>
      <c r="K4808" s="0" t="s">
        <v>16038</v>
      </c>
      <c r="L4808" s="0" t="str">
        <f aca="false">HYPERLINK("https://www.ncbi.nlm.nih.gov/nuccore/CP000058.1?report=graph&amp;tracks=[key:gene_model_track,Options:GeneOnly]&amp;mk=1510107:1510126|offset_41|444444,1510144:1510163|offset_78|00cc00,1510190:1510209|offset_124|444444,1510221:1510240|offset_155|444444&amp;v=1509906:1510440&amp;c=444444", "offset 78")</f>
        <v>offset 78</v>
      </c>
    </row>
    <row r="4809" customFormat="false" ht="12.8" hidden="false" customHeight="false" outlineLevel="0" collapsed="false">
      <c r="A4809" s="0" t="s">
        <v>12</v>
      </c>
      <c r="B4809" s="0" t="n">
        <v>1510189</v>
      </c>
      <c r="C4809" s="0" t="n">
        <v>1510209</v>
      </c>
      <c r="D4809" s="0" t="s">
        <v>16032</v>
      </c>
      <c r="E4809" s="0" t="s">
        <v>75</v>
      </c>
      <c r="F4809" s="0" t="s">
        <v>15</v>
      </c>
      <c r="G4809" s="0" t="s">
        <v>16</v>
      </c>
      <c r="H4809" s="0" t="n">
        <v>124</v>
      </c>
      <c r="I4809" s="0" t="s">
        <v>16039</v>
      </c>
      <c r="J4809" s="0" t="s">
        <v>16040</v>
      </c>
      <c r="K4809" s="0" t="s">
        <v>16041</v>
      </c>
      <c r="L4809" s="0" t="str">
        <f aca="false">HYPERLINK("https://www.ncbi.nlm.nih.gov/nuccore/CP000058.1?report=graph&amp;tracks=[key:gene_model_track,Options:GeneOnly]&amp;mk=1510107:1510126|offset_41|444444,1510144:1510163|offset_78|444444,1510190:1510209|offset_124|00cc00,1510221:1510240|offset_155|444444&amp;v=1509906:1510440&amp;c=444444", "offset 124")</f>
        <v>offset 124</v>
      </c>
    </row>
    <row r="4810" customFormat="false" ht="12.8" hidden="false" customHeight="false" outlineLevel="0" collapsed="false">
      <c r="A4810" s="0" t="s">
        <v>12</v>
      </c>
      <c r="B4810" s="0" t="n">
        <v>1510220</v>
      </c>
      <c r="C4810" s="0" t="n">
        <v>1510240</v>
      </c>
      <c r="D4810" s="0" t="s">
        <v>16032</v>
      </c>
      <c r="E4810" s="0" t="s">
        <v>75</v>
      </c>
      <c r="F4810" s="0" t="s">
        <v>15</v>
      </c>
      <c r="G4810" s="0" t="s">
        <v>20</v>
      </c>
      <c r="H4810" s="0" t="n">
        <v>155</v>
      </c>
      <c r="I4810" s="0" t="s">
        <v>16042</v>
      </c>
      <c r="J4810" s="0" t="s">
        <v>16043</v>
      </c>
      <c r="K4810" s="0" t="s">
        <v>16044</v>
      </c>
      <c r="L4810" s="0" t="str">
        <f aca="false">HYPERLINK("https://www.ncbi.nlm.nih.gov/nuccore/CP000058.1?report=graph&amp;tracks=[key:gene_model_track,Options:GeneOnly]&amp;mk=1510107:1510126|offset_41|444444,1510144:1510163|offset_78|444444,1510190:1510209|offset_124|444444,1510221:1510240|offset_155|00cc00&amp;v=1509906:1510440&amp;c=444444", "offset 155")</f>
        <v>offset 155</v>
      </c>
    </row>
    <row r="4811" customFormat="false" ht="12.8" hidden="false" customHeight="false" outlineLevel="0" collapsed="false">
      <c r="A4811" s="0" t="s">
        <v>12</v>
      </c>
      <c r="B4811" s="0" t="n">
        <v>1510790</v>
      </c>
      <c r="C4811" s="0" t="n">
        <v>1510810</v>
      </c>
      <c r="D4811" s="0" t="s">
        <v>16045</v>
      </c>
      <c r="E4811" s="0" t="s">
        <v>16046</v>
      </c>
      <c r="F4811" s="0" t="s">
        <v>15</v>
      </c>
      <c r="G4811" s="0" t="s">
        <v>20</v>
      </c>
      <c r="H4811" s="0" t="n">
        <v>22</v>
      </c>
      <c r="I4811" s="0" t="s">
        <v>16047</v>
      </c>
      <c r="J4811" s="0" t="s">
        <v>16048</v>
      </c>
      <c r="K4811" s="0" t="s">
        <v>16049</v>
      </c>
      <c r="L4811" s="0" t="str">
        <f aca="false">HYPERLINK("https://www.ncbi.nlm.nih.gov/nuccore/CP000058.1?report=graph&amp;tracks=[key:gene_model_track,Options:GeneOnly]&amp;mk=1510791:1510810|offset_22|00cc00,1510822:1510841|offset_53|444444,1510860:1510879|offset_91|444444,1510924:1510943|offset_155|444444&amp;v=1510590:1511143&amp;c=444444", "offset 22")</f>
        <v>offset 22</v>
      </c>
    </row>
    <row r="4812" customFormat="false" ht="12.8" hidden="false" customHeight="false" outlineLevel="0" collapsed="false">
      <c r="A4812" s="0" t="s">
        <v>12</v>
      </c>
      <c r="B4812" s="0" t="n">
        <v>1510821</v>
      </c>
      <c r="C4812" s="0" t="n">
        <v>1510841</v>
      </c>
      <c r="D4812" s="0" t="s">
        <v>16045</v>
      </c>
      <c r="E4812" s="0" t="s">
        <v>16046</v>
      </c>
      <c r="F4812" s="0" t="s">
        <v>15</v>
      </c>
      <c r="G4812" s="0" t="s">
        <v>32</v>
      </c>
      <c r="H4812" s="0" t="n">
        <v>53</v>
      </c>
      <c r="I4812" s="0" t="s">
        <v>16050</v>
      </c>
      <c r="J4812" s="0" t="s">
        <v>16051</v>
      </c>
      <c r="K4812" s="0" t="s">
        <v>16052</v>
      </c>
      <c r="L4812" s="0" t="str">
        <f aca="false">HYPERLINK("https://www.ncbi.nlm.nih.gov/nuccore/CP000058.1?report=graph&amp;tracks=[key:gene_model_track,Options:GeneOnly]&amp;mk=1510791:1510810|offset_22|444444,1510822:1510841|offset_53|00cc00,1510860:1510879|offset_91|444444,1510924:1510943|offset_155|444444&amp;v=1510590:1511143&amp;c=444444", "offset 53")</f>
        <v>offset 53</v>
      </c>
    </row>
    <row r="4813" customFormat="false" ht="12.8" hidden="false" customHeight="false" outlineLevel="0" collapsed="false">
      <c r="A4813" s="0" t="s">
        <v>12</v>
      </c>
      <c r="B4813" s="0" t="n">
        <v>1510859</v>
      </c>
      <c r="C4813" s="0" t="n">
        <v>1510879</v>
      </c>
      <c r="D4813" s="0" t="s">
        <v>16045</v>
      </c>
      <c r="E4813" s="0" t="s">
        <v>16046</v>
      </c>
      <c r="F4813" s="0" t="s">
        <v>15</v>
      </c>
      <c r="G4813" s="0" t="s">
        <v>36</v>
      </c>
      <c r="H4813" s="0" t="n">
        <v>91</v>
      </c>
      <c r="I4813" s="0" t="s">
        <v>16053</v>
      </c>
      <c r="J4813" s="0" t="s">
        <v>16054</v>
      </c>
      <c r="K4813" s="0" t="s">
        <v>16055</v>
      </c>
      <c r="L4813" s="0" t="str">
        <f aca="false">HYPERLINK("https://www.ncbi.nlm.nih.gov/nuccore/CP000058.1?report=graph&amp;tracks=[key:gene_model_track,Options:GeneOnly]&amp;mk=1510791:1510810|offset_22|444444,1510822:1510841|offset_53|444444,1510860:1510879|offset_91|00cc00,1510924:1510943|offset_155|444444&amp;v=1510590:1511143&amp;c=444444", "offset 91")</f>
        <v>offset 91</v>
      </c>
    </row>
    <row r="4814" customFormat="false" ht="12.8" hidden="false" customHeight="false" outlineLevel="0" collapsed="false">
      <c r="A4814" s="0" t="s">
        <v>12</v>
      </c>
      <c r="B4814" s="0" t="n">
        <v>1510923</v>
      </c>
      <c r="C4814" s="0" t="n">
        <v>1510943</v>
      </c>
      <c r="D4814" s="0" t="s">
        <v>16045</v>
      </c>
      <c r="E4814" s="0" t="s">
        <v>16046</v>
      </c>
      <c r="F4814" s="0" t="s">
        <v>15</v>
      </c>
      <c r="G4814" s="0" t="s">
        <v>36</v>
      </c>
      <c r="H4814" s="0" t="n">
        <v>155</v>
      </c>
      <c r="I4814" s="0" t="s">
        <v>16056</v>
      </c>
      <c r="J4814" s="0" t="s">
        <v>16057</v>
      </c>
      <c r="K4814" s="0" t="s">
        <v>16058</v>
      </c>
      <c r="L4814" s="0" t="str">
        <f aca="false">HYPERLINK("https://www.ncbi.nlm.nih.gov/nuccore/CP000058.1?report=graph&amp;tracks=[key:gene_model_track,Options:GeneOnly]&amp;mk=1510791:1510810|offset_22|444444,1510822:1510841|offset_53|444444,1510860:1510879|offset_91|444444,1510924:1510943|offset_155|00cc00&amp;v=1510590:1511143&amp;c=444444", "offset 155")</f>
        <v>offset 155</v>
      </c>
    </row>
    <row r="4815" customFormat="false" ht="12.8" hidden="false" customHeight="false" outlineLevel="0" collapsed="false">
      <c r="A4815" s="0" t="s">
        <v>12</v>
      </c>
      <c r="B4815" s="0" t="n">
        <v>1511842</v>
      </c>
      <c r="C4815" s="0" t="n">
        <v>1511862</v>
      </c>
      <c r="D4815" s="0" t="s">
        <v>16059</v>
      </c>
      <c r="E4815" s="0" t="s">
        <v>16060</v>
      </c>
      <c r="F4815" s="0" t="s">
        <v>15</v>
      </c>
      <c r="G4815" s="0" t="s">
        <v>20</v>
      </c>
      <c r="H4815" s="0" t="n">
        <v>13</v>
      </c>
      <c r="I4815" s="0" t="s">
        <v>16061</v>
      </c>
      <c r="J4815" s="0" t="s">
        <v>16062</v>
      </c>
      <c r="K4815" s="0" t="s">
        <v>16063</v>
      </c>
      <c r="L4815" s="0" t="str">
        <f aca="false">HYPERLINK("https://www.ncbi.nlm.nih.gov/nuccore/CP000058.1?report=graph&amp;tracks=[key:gene_model_track,Options:GeneOnly]&amp;mk=1511843:1511862|offset_13|00cc00,1511870:1511889|offset_40|444444,1511898:1511917|offset_68|444444,1511927:1511946|offset_97|444444&amp;v=1511642:1512146&amp;c=444444", "offset 13")</f>
        <v>offset 13</v>
      </c>
    </row>
    <row r="4816" customFormat="false" ht="12.8" hidden="false" customHeight="false" outlineLevel="0" collapsed="false">
      <c r="A4816" s="0" t="s">
        <v>12</v>
      </c>
      <c r="B4816" s="0" t="n">
        <v>1511869</v>
      </c>
      <c r="C4816" s="0" t="n">
        <v>1511889</v>
      </c>
      <c r="D4816" s="0" t="s">
        <v>16059</v>
      </c>
      <c r="E4816" s="0" t="s">
        <v>16060</v>
      </c>
      <c r="F4816" s="0" t="s">
        <v>15</v>
      </c>
      <c r="G4816" s="0" t="s">
        <v>32</v>
      </c>
      <c r="H4816" s="0" t="n">
        <v>40</v>
      </c>
      <c r="I4816" s="0" t="s">
        <v>16064</v>
      </c>
      <c r="J4816" s="0" t="s">
        <v>16065</v>
      </c>
      <c r="K4816" s="0" t="s">
        <v>16066</v>
      </c>
      <c r="L4816" s="0" t="str">
        <f aca="false">HYPERLINK("https://www.ncbi.nlm.nih.gov/nuccore/CP000058.1?report=graph&amp;tracks=[key:gene_model_track,Options:GeneOnly]&amp;mk=1511843:1511862|offset_13|444444,1511870:1511889|offset_40|00cc00,1511898:1511917|offset_68|444444,1511927:1511946|offset_97|444444&amp;v=1511642:1512146&amp;c=444444", "offset 40")</f>
        <v>offset 40</v>
      </c>
    </row>
    <row r="4817" customFormat="false" ht="12.8" hidden="false" customHeight="false" outlineLevel="0" collapsed="false">
      <c r="A4817" s="0" t="s">
        <v>12</v>
      </c>
      <c r="B4817" s="0" t="n">
        <v>1511897</v>
      </c>
      <c r="C4817" s="0" t="n">
        <v>1511917</v>
      </c>
      <c r="D4817" s="0" t="s">
        <v>16059</v>
      </c>
      <c r="E4817" s="0" t="s">
        <v>16060</v>
      </c>
      <c r="F4817" s="0" t="s">
        <v>15</v>
      </c>
      <c r="G4817" s="0" t="s">
        <v>20</v>
      </c>
      <c r="H4817" s="0" t="n">
        <v>68</v>
      </c>
      <c r="I4817" s="0" t="s">
        <v>16067</v>
      </c>
      <c r="J4817" s="0" t="s">
        <v>16068</v>
      </c>
      <c r="K4817" s="0" t="s">
        <v>16069</v>
      </c>
      <c r="L4817" s="0" t="str">
        <f aca="false">HYPERLINK("https://www.ncbi.nlm.nih.gov/nuccore/CP000058.1?report=graph&amp;tracks=[key:gene_model_track,Options:GeneOnly]&amp;mk=1511843:1511862|offset_13|444444,1511870:1511889|offset_40|444444,1511898:1511917|offset_68|00cc00,1511927:1511946|offset_97|444444&amp;v=1511642:1512146&amp;c=444444", "offset 68")</f>
        <v>offset 68</v>
      </c>
    </row>
    <row r="4818" customFormat="false" ht="12.8" hidden="false" customHeight="false" outlineLevel="0" collapsed="false">
      <c r="A4818" s="0" t="s">
        <v>12</v>
      </c>
      <c r="B4818" s="0" t="n">
        <v>1511926</v>
      </c>
      <c r="C4818" s="0" t="n">
        <v>1511946</v>
      </c>
      <c r="D4818" s="0" t="s">
        <v>16059</v>
      </c>
      <c r="E4818" s="0" t="s">
        <v>16060</v>
      </c>
      <c r="F4818" s="0" t="s">
        <v>15</v>
      </c>
      <c r="G4818" s="0" t="s">
        <v>36</v>
      </c>
      <c r="H4818" s="0" t="n">
        <v>97</v>
      </c>
      <c r="I4818" s="0" t="s">
        <v>16070</v>
      </c>
      <c r="J4818" s="0" t="s">
        <v>16071</v>
      </c>
      <c r="K4818" s="0" t="s">
        <v>16072</v>
      </c>
      <c r="L4818" s="0" t="str">
        <f aca="false">HYPERLINK("https://www.ncbi.nlm.nih.gov/nuccore/CP000058.1?report=graph&amp;tracks=[key:gene_model_track,Options:GeneOnly]&amp;mk=1511843:1511862|offset_13|444444,1511870:1511889|offset_40|444444,1511898:1511917|offset_68|444444,1511927:1511946|offset_97|00cc00&amp;v=1511642:1512146&amp;c=444444", "offset 97")</f>
        <v>offset 97</v>
      </c>
    </row>
    <row r="4819" customFormat="false" ht="12.8" hidden="false" customHeight="false" outlineLevel="0" collapsed="false">
      <c r="A4819" s="0" t="s">
        <v>12</v>
      </c>
      <c r="B4819" s="0" t="n">
        <v>1513037</v>
      </c>
      <c r="C4819" s="0" t="n">
        <v>1513057</v>
      </c>
      <c r="D4819" s="0" t="s">
        <v>16073</v>
      </c>
      <c r="E4819" s="0" t="s">
        <v>16074</v>
      </c>
      <c r="F4819" s="0" t="s">
        <v>15</v>
      </c>
      <c r="G4819" s="0" t="s">
        <v>36</v>
      </c>
      <c r="H4819" s="0" t="n">
        <v>21</v>
      </c>
      <c r="I4819" s="0" t="s">
        <v>16075</v>
      </c>
      <c r="J4819" s="0" t="s">
        <v>16076</v>
      </c>
      <c r="K4819" s="0" t="s">
        <v>16077</v>
      </c>
      <c r="L4819" s="0" t="str">
        <f aca="false">HYPERLINK("https://www.ncbi.nlm.nih.gov/nuccore/CP000058.1?report=graph&amp;tracks=[key:gene_model_track,Options:GeneOnly]&amp;mk=1513038:1513057|offset_21|00cc00,1513062:1513081|offset_45|444444,1513103:1513122|offset_86|444444,1513130:1513149|offset_113|444444&amp;v=1512837:1513349&amp;c=444444", "offset 21")</f>
        <v>offset 21</v>
      </c>
    </row>
    <row r="4820" customFormat="false" ht="12.8" hidden="false" customHeight="false" outlineLevel="0" collapsed="false">
      <c r="A4820" s="0" t="s">
        <v>12</v>
      </c>
      <c r="B4820" s="0" t="n">
        <v>1513061</v>
      </c>
      <c r="C4820" s="0" t="n">
        <v>1513081</v>
      </c>
      <c r="D4820" s="0" t="s">
        <v>16073</v>
      </c>
      <c r="E4820" s="0" t="s">
        <v>16074</v>
      </c>
      <c r="F4820" s="0" t="s">
        <v>15</v>
      </c>
      <c r="G4820" s="0" t="s">
        <v>16</v>
      </c>
      <c r="H4820" s="0" t="n">
        <v>45</v>
      </c>
      <c r="I4820" s="0" t="s">
        <v>16078</v>
      </c>
      <c r="J4820" s="0" t="s">
        <v>16079</v>
      </c>
      <c r="K4820" s="0" t="s">
        <v>16080</v>
      </c>
      <c r="L4820" s="0" t="str">
        <f aca="false">HYPERLINK("https://www.ncbi.nlm.nih.gov/nuccore/CP000058.1?report=graph&amp;tracks=[key:gene_model_track,Options:GeneOnly]&amp;mk=1513038:1513057|offset_21|444444,1513062:1513081|offset_45|00cc00,1513103:1513122|offset_86|444444,1513130:1513149|offset_113|444444&amp;v=1512837:1513349&amp;c=444444", "offset 45")</f>
        <v>offset 45</v>
      </c>
    </row>
    <row r="4821" customFormat="false" ht="12.8" hidden="false" customHeight="false" outlineLevel="0" collapsed="false">
      <c r="A4821" s="0" t="s">
        <v>12</v>
      </c>
      <c r="B4821" s="0" t="n">
        <v>1513102</v>
      </c>
      <c r="C4821" s="0" t="n">
        <v>1513122</v>
      </c>
      <c r="D4821" s="0" t="s">
        <v>16073</v>
      </c>
      <c r="E4821" s="0" t="s">
        <v>16074</v>
      </c>
      <c r="F4821" s="0" t="s">
        <v>15</v>
      </c>
      <c r="G4821" s="0" t="s">
        <v>20</v>
      </c>
      <c r="H4821" s="0" t="n">
        <v>86</v>
      </c>
      <c r="I4821" s="0" t="s">
        <v>16081</v>
      </c>
      <c r="J4821" s="0" t="s">
        <v>16082</v>
      </c>
      <c r="K4821" s="0" t="s">
        <v>16083</v>
      </c>
      <c r="L4821" s="0" t="str">
        <f aca="false">HYPERLINK("https://www.ncbi.nlm.nih.gov/nuccore/CP000058.1?report=graph&amp;tracks=[key:gene_model_track,Options:GeneOnly]&amp;mk=1513038:1513057|offset_21|444444,1513062:1513081|offset_45|444444,1513103:1513122|offset_86|00cc00,1513130:1513149|offset_113|444444&amp;v=1512837:1513349&amp;c=444444", "offset 86")</f>
        <v>offset 86</v>
      </c>
    </row>
    <row r="4822" customFormat="false" ht="12.8" hidden="false" customHeight="false" outlineLevel="0" collapsed="false">
      <c r="A4822" s="0" t="s">
        <v>12</v>
      </c>
      <c r="B4822" s="0" t="n">
        <v>1513129</v>
      </c>
      <c r="C4822" s="0" t="n">
        <v>1513149</v>
      </c>
      <c r="D4822" s="0" t="s">
        <v>16073</v>
      </c>
      <c r="E4822" s="0" t="s">
        <v>16074</v>
      </c>
      <c r="F4822" s="0" t="s">
        <v>15</v>
      </c>
      <c r="G4822" s="0" t="s">
        <v>20</v>
      </c>
      <c r="H4822" s="0" t="n">
        <v>113</v>
      </c>
      <c r="I4822" s="0" t="s">
        <v>16084</v>
      </c>
      <c r="J4822" s="0" t="s">
        <v>16085</v>
      </c>
      <c r="K4822" s="0" t="s">
        <v>16086</v>
      </c>
      <c r="L4822" s="0" t="str">
        <f aca="false">HYPERLINK("https://www.ncbi.nlm.nih.gov/nuccore/CP000058.1?report=graph&amp;tracks=[key:gene_model_track,Options:GeneOnly]&amp;mk=1513038:1513057|offset_21|444444,1513062:1513081|offset_45|444444,1513103:1513122|offset_86|444444,1513130:1513149|offset_113|00cc00&amp;v=1512837:1513349&amp;c=444444", "offset 113")</f>
        <v>offset 113</v>
      </c>
    </row>
    <row r="4823" customFormat="false" ht="12.8" hidden="false" customHeight="false" outlineLevel="0" collapsed="false">
      <c r="A4823" s="0" t="s">
        <v>12</v>
      </c>
      <c r="B4823" s="0" t="n">
        <v>1513432</v>
      </c>
      <c r="C4823" s="0" t="n">
        <v>1513452</v>
      </c>
      <c r="D4823" s="0" t="s">
        <v>16087</v>
      </c>
      <c r="E4823" s="0" t="s">
        <v>16088</v>
      </c>
      <c r="F4823" s="0" t="s">
        <v>15</v>
      </c>
      <c r="G4823" s="0" t="s">
        <v>36</v>
      </c>
      <c r="H4823" s="0" t="n">
        <v>17</v>
      </c>
      <c r="I4823" s="0" t="s">
        <v>16089</v>
      </c>
      <c r="J4823" s="0" t="s">
        <v>16090</v>
      </c>
      <c r="K4823" s="0" t="s">
        <v>16091</v>
      </c>
      <c r="L4823" s="0" t="str">
        <f aca="false">HYPERLINK("https://www.ncbi.nlm.nih.gov/nuccore/CP000058.1?report=graph&amp;tracks=[key:gene_model_track,Options:GeneOnly]&amp;mk=1513433:1513452|offset_17|00cc00,1513457:1513476|offset_41|444444,1513489:1513508|offset_73|444444,1513519:1513538|offset_103|444444&amp;v=1513232:1513738&amp;c=444444", "offset 17")</f>
        <v>offset 17</v>
      </c>
    </row>
    <row r="4824" customFormat="false" ht="12.8" hidden="false" customHeight="false" outlineLevel="0" collapsed="false">
      <c r="A4824" s="0" t="s">
        <v>12</v>
      </c>
      <c r="B4824" s="0" t="n">
        <v>1513456</v>
      </c>
      <c r="C4824" s="0" t="n">
        <v>1513476</v>
      </c>
      <c r="D4824" s="0" t="s">
        <v>16087</v>
      </c>
      <c r="E4824" s="0" t="s">
        <v>16088</v>
      </c>
      <c r="F4824" s="0" t="s">
        <v>15</v>
      </c>
      <c r="G4824" s="0" t="s">
        <v>20</v>
      </c>
      <c r="H4824" s="0" t="n">
        <v>41</v>
      </c>
      <c r="I4824" s="0" t="s">
        <v>16092</v>
      </c>
      <c r="J4824" s="0" t="s">
        <v>16093</v>
      </c>
      <c r="K4824" s="0" t="s">
        <v>16094</v>
      </c>
      <c r="L4824" s="0" t="str">
        <f aca="false">HYPERLINK("https://www.ncbi.nlm.nih.gov/nuccore/CP000058.1?report=graph&amp;tracks=[key:gene_model_track,Options:GeneOnly]&amp;mk=1513433:1513452|offset_17|444444,1513457:1513476|offset_41|00cc00,1513489:1513508|offset_73|444444,1513519:1513538|offset_103|444444&amp;v=1513232:1513738&amp;c=444444", "offset 41")</f>
        <v>offset 41</v>
      </c>
    </row>
    <row r="4825" customFormat="false" ht="12.8" hidden="false" customHeight="false" outlineLevel="0" collapsed="false">
      <c r="A4825" s="0" t="s">
        <v>12</v>
      </c>
      <c r="B4825" s="0" t="n">
        <v>1513488</v>
      </c>
      <c r="C4825" s="0" t="n">
        <v>1513508</v>
      </c>
      <c r="D4825" s="0" t="s">
        <v>16087</v>
      </c>
      <c r="E4825" s="0" t="s">
        <v>16088</v>
      </c>
      <c r="F4825" s="0" t="s">
        <v>15</v>
      </c>
      <c r="G4825" s="0" t="s">
        <v>16</v>
      </c>
      <c r="H4825" s="0" t="n">
        <v>73</v>
      </c>
      <c r="I4825" s="0" t="s">
        <v>16095</v>
      </c>
      <c r="J4825" s="0" t="s">
        <v>16096</v>
      </c>
      <c r="K4825" s="0" t="s">
        <v>16097</v>
      </c>
      <c r="L4825" s="0" t="str">
        <f aca="false">HYPERLINK("https://www.ncbi.nlm.nih.gov/nuccore/CP000058.1?report=graph&amp;tracks=[key:gene_model_track,Options:GeneOnly]&amp;mk=1513433:1513452|offset_17|444444,1513457:1513476|offset_41|444444,1513489:1513508|offset_73|00cc00,1513519:1513538|offset_103|444444&amp;v=1513232:1513738&amp;c=444444", "offset 73")</f>
        <v>offset 73</v>
      </c>
    </row>
    <row r="4826" customFormat="false" ht="12.8" hidden="false" customHeight="false" outlineLevel="0" collapsed="false">
      <c r="A4826" s="0" t="s">
        <v>12</v>
      </c>
      <c r="B4826" s="0" t="n">
        <v>1513518</v>
      </c>
      <c r="C4826" s="0" t="n">
        <v>1513538</v>
      </c>
      <c r="D4826" s="0" t="s">
        <v>16087</v>
      </c>
      <c r="E4826" s="0" t="s">
        <v>16088</v>
      </c>
      <c r="F4826" s="0" t="s">
        <v>15</v>
      </c>
      <c r="G4826" s="0" t="s">
        <v>32</v>
      </c>
      <c r="H4826" s="0" t="n">
        <v>103</v>
      </c>
      <c r="I4826" s="0" t="s">
        <v>16098</v>
      </c>
      <c r="J4826" s="0" t="s">
        <v>16099</v>
      </c>
      <c r="K4826" s="0" t="s">
        <v>16100</v>
      </c>
      <c r="L4826" s="0" t="str">
        <f aca="false">HYPERLINK("https://www.ncbi.nlm.nih.gov/nuccore/CP000058.1?report=graph&amp;tracks=[key:gene_model_track,Options:GeneOnly]&amp;mk=1513433:1513452|offset_17|444444,1513457:1513476|offset_41|444444,1513489:1513508|offset_73|444444,1513519:1513538|offset_103|00cc00&amp;v=1513232:1513738&amp;c=444444", "offset 103")</f>
        <v>offset 103</v>
      </c>
    </row>
    <row r="4827" customFormat="false" ht="12.8" hidden="false" customHeight="false" outlineLevel="0" collapsed="false">
      <c r="A4827" s="0" t="s">
        <v>12</v>
      </c>
      <c r="B4827" s="0" t="n">
        <v>1515294</v>
      </c>
      <c r="C4827" s="0" t="n">
        <v>1515314</v>
      </c>
      <c r="D4827" s="0" t="s">
        <v>16101</v>
      </c>
      <c r="E4827" s="0" t="s">
        <v>16102</v>
      </c>
      <c r="F4827" s="0" t="s">
        <v>15</v>
      </c>
      <c r="G4827" s="0" t="s">
        <v>32</v>
      </c>
      <c r="H4827" s="0" t="n">
        <v>1</v>
      </c>
      <c r="I4827" s="0" t="s">
        <v>16103</v>
      </c>
      <c r="J4827" s="0" t="s">
        <v>16104</v>
      </c>
      <c r="K4827" s="0" t="s">
        <v>16105</v>
      </c>
      <c r="L4827" s="0" t="str">
        <f aca="false">HYPERLINK("https://www.ncbi.nlm.nih.gov/nuccore/CP000058.1?report=graph&amp;tracks=[key:gene_model_track,Options:GeneOnly]&amp;mk=1515295:1515314|offset_1|00cc00,1515343:1515362|offset_49|444444,1515418:1515437|offset_124|444444,1515442:1515461|offset_148|444444&amp;v=1515094:1515661&amp;c=444444", "offset 1")</f>
        <v>offset 1</v>
      </c>
    </row>
    <row r="4828" customFormat="false" ht="12.8" hidden="false" customHeight="false" outlineLevel="0" collapsed="false">
      <c r="A4828" s="0" t="s">
        <v>12</v>
      </c>
      <c r="B4828" s="0" t="n">
        <v>1515342</v>
      </c>
      <c r="C4828" s="0" t="n">
        <v>1515362</v>
      </c>
      <c r="D4828" s="0" t="s">
        <v>16101</v>
      </c>
      <c r="E4828" s="0" t="s">
        <v>16102</v>
      </c>
      <c r="F4828" s="0" t="s">
        <v>15</v>
      </c>
      <c r="G4828" s="0" t="s">
        <v>32</v>
      </c>
      <c r="H4828" s="0" t="n">
        <v>49</v>
      </c>
      <c r="I4828" s="0" t="s">
        <v>16106</v>
      </c>
      <c r="J4828" s="0" t="s">
        <v>16107</v>
      </c>
      <c r="K4828" s="0" t="s">
        <v>16108</v>
      </c>
      <c r="L4828" s="0" t="str">
        <f aca="false">HYPERLINK("https://www.ncbi.nlm.nih.gov/nuccore/CP000058.1?report=graph&amp;tracks=[key:gene_model_track,Options:GeneOnly]&amp;mk=1515295:1515314|offset_1|444444,1515343:1515362|offset_49|00cc00,1515418:1515437|offset_124|444444,1515442:1515461|offset_148|444444&amp;v=1515094:1515661&amp;c=444444", "offset 49")</f>
        <v>offset 49</v>
      </c>
    </row>
    <row r="4829" customFormat="false" ht="12.8" hidden="false" customHeight="false" outlineLevel="0" collapsed="false">
      <c r="A4829" s="0" t="s">
        <v>12</v>
      </c>
      <c r="B4829" s="0" t="n">
        <v>1515417</v>
      </c>
      <c r="C4829" s="0" t="n">
        <v>1515437</v>
      </c>
      <c r="D4829" s="0" t="s">
        <v>16101</v>
      </c>
      <c r="E4829" s="0" t="s">
        <v>16102</v>
      </c>
      <c r="F4829" s="0" t="s">
        <v>15</v>
      </c>
      <c r="G4829" s="0" t="s">
        <v>16</v>
      </c>
      <c r="H4829" s="0" t="n">
        <v>124</v>
      </c>
      <c r="I4829" s="0" t="s">
        <v>16109</v>
      </c>
      <c r="J4829" s="0" t="s">
        <v>16110</v>
      </c>
      <c r="K4829" s="0" t="s">
        <v>16111</v>
      </c>
      <c r="L4829" s="0" t="str">
        <f aca="false">HYPERLINK("https://www.ncbi.nlm.nih.gov/nuccore/CP000058.1?report=graph&amp;tracks=[key:gene_model_track,Options:GeneOnly]&amp;mk=1515295:1515314|offset_1|444444,1515343:1515362|offset_49|444444,1515418:1515437|offset_124|00cc00,1515442:1515461|offset_148|444444&amp;v=1515094:1515661&amp;c=444444", "offset 124")</f>
        <v>offset 124</v>
      </c>
    </row>
    <row r="4830" customFormat="false" ht="12.8" hidden="false" customHeight="false" outlineLevel="0" collapsed="false">
      <c r="A4830" s="0" t="s">
        <v>12</v>
      </c>
      <c r="B4830" s="0" t="n">
        <v>1515441</v>
      </c>
      <c r="C4830" s="0" t="n">
        <v>1515461</v>
      </c>
      <c r="D4830" s="0" t="s">
        <v>16101</v>
      </c>
      <c r="E4830" s="0" t="s">
        <v>16102</v>
      </c>
      <c r="F4830" s="0" t="s">
        <v>15</v>
      </c>
      <c r="G4830" s="0" t="s">
        <v>20</v>
      </c>
      <c r="H4830" s="0" t="n">
        <v>148</v>
      </c>
      <c r="I4830" s="0" t="s">
        <v>16112</v>
      </c>
      <c r="J4830" s="0" t="s">
        <v>16113</v>
      </c>
      <c r="K4830" s="0" t="s">
        <v>16114</v>
      </c>
      <c r="L4830" s="0" t="str">
        <f aca="false">HYPERLINK("https://www.ncbi.nlm.nih.gov/nuccore/CP000058.1?report=graph&amp;tracks=[key:gene_model_track,Options:GeneOnly]&amp;mk=1515295:1515314|offset_1|444444,1515343:1515362|offset_49|444444,1515418:1515437|offset_124|444444,1515442:1515461|offset_148|00cc00&amp;v=1515094:1515661&amp;c=444444", "offset 148")</f>
        <v>offset 148</v>
      </c>
    </row>
    <row r="4831" customFormat="false" ht="12.8" hidden="false" customHeight="false" outlineLevel="0" collapsed="false">
      <c r="A4831" s="0" t="s">
        <v>12</v>
      </c>
      <c r="B4831" s="0" t="n">
        <v>1516377</v>
      </c>
      <c r="C4831" s="0" t="n">
        <v>1516397</v>
      </c>
      <c r="D4831" s="0" t="s">
        <v>16115</v>
      </c>
      <c r="E4831" s="0" t="s">
        <v>75</v>
      </c>
      <c r="F4831" s="0" t="s">
        <v>15</v>
      </c>
      <c r="G4831" s="0" t="s">
        <v>16</v>
      </c>
      <c r="H4831" s="0" t="n">
        <v>64</v>
      </c>
      <c r="I4831" s="0" t="s">
        <v>16116</v>
      </c>
      <c r="J4831" s="0" t="s">
        <v>16117</v>
      </c>
      <c r="K4831" s="0" t="s">
        <v>16118</v>
      </c>
      <c r="L4831" s="0" t="str">
        <f aca="false">HYPERLINK("https://www.ncbi.nlm.nih.gov/nuccore/CP000058.1?report=graph&amp;tracks=[key:gene_model_track,Options:GeneOnly]&amp;mk=1516378:1516397|offset_64|00cc00,1516410:1516429|offset_96|444444,1516440:1516459|offset_126|444444,1516462:1516481|offset_148|444444&amp;v=1516177:1516681&amp;c=444444", "offset 64")</f>
        <v>offset 64</v>
      </c>
    </row>
    <row r="4832" customFormat="false" ht="12.8" hidden="false" customHeight="false" outlineLevel="0" collapsed="false">
      <c r="A4832" s="0" t="s">
        <v>12</v>
      </c>
      <c r="B4832" s="0" t="n">
        <v>1516409</v>
      </c>
      <c r="C4832" s="0" t="n">
        <v>1516429</v>
      </c>
      <c r="D4832" s="0" t="s">
        <v>16115</v>
      </c>
      <c r="E4832" s="0" t="s">
        <v>75</v>
      </c>
      <c r="F4832" s="0" t="s">
        <v>15</v>
      </c>
      <c r="G4832" s="0" t="s">
        <v>20</v>
      </c>
      <c r="H4832" s="0" t="n">
        <v>96</v>
      </c>
      <c r="I4832" s="0" t="s">
        <v>16119</v>
      </c>
      <c r="J4832" s="0" t="s">
        <v>16120</v>
      </c>
      <c r="K4832" s="0" t="s">
        <v>16121</v>
      </c>
      <c r="L4832" s="0" t="str">
        <f aca="false">HYPERLINK("https://www.ncbi.nlm.nih.gov/nuccore/CP000058.1?report=graph&amp;tracks=[key:gene_model_track,Options:GeneOnly]&amp;mk=1516378:1516397|offset_64|444444,1516410:1516429|offset_96|00cc00,1516440:1516459|offset_126|444444,1516462:1516481|offset_148|444444&amp;v=1516177:1516681&amp;c=444444", "offset 96")</f>
        <v>offset 96</v>
      </c>
    </row>
    <row r="4833" customFormat="false" ht="12.8" hidden="false" customHeight="false" outlineLevel="0" collapsed="false">
      <c r="A4833" s="0" t="s">
        <v>12</v>
      </c>
      <c r="B4833" s="0" t="n">
        <v>1516439</v>
      </c>
      <c r="C4833" s="0" t="n">
        <v>1516459</v>
      </c>
      <c r="D4833" s="0" t="s">
        <v>16115</v>
      </c>
      <c r="E4833" s="0" t="s">
        <v>75</v>
      </c>
      <c r="F4833" s="0" t="s">
        <v>15</v>
      </c>
      <c r="G4833" s="0" t="s">
        <v>16</v>
      </c>
      <c r="H4833" s="0" t="n">
        <v>126</v>
      </c>
      <c r="I4833" s="0" t="s">
        <v>16122</v>
      </c>
      <c r="J4833" s="0" t="s">
        <v>16123</v>
      </c>
      <c r="K4833" s="0" t="s">
        <v>16124</v>
      </c>
      <c r="L4833" s="0" t="str">
        <f aca="false">HYPERLINK("https://www.ncbi.nlm.nih.gov/nuccore/CP000058.1?report=graph&amp;tracks=[key:gene_model_track,Options:GeneOnly]&amp;mk=1516378:1516397|offset_64|444444,1516410:1516429|offset_96|444444,1516440:1516459|offset_126|00cc00,1516462:1516481|offset_148|444444&amp;v=1516177:1516681&amp;c=444444", "offset 126")</f>
        <v>offset 126</v>
      </c>
    </row>
    <row r="4834" customFormat="false" ht="12.8" hidden="false" customHeight="false" outlineLevel="0" collapsed="false">
      <c r="A4834" s="0" t="s">
        <v>12</v>
      </c>
      <c r="B4834" s="0" t="n">
        <v>1516461</v>
      </c>
      <c r="C4834" s="0" t="n">
        <v>1516481</v>
      </c>
      <c r="D4834" s="0" t="s">
        <v>16115</v>
      </c>
      <c r="E4834" s="0" t="s">
        <v>75</v>
      </c>
      <c r="F4834" s="0" t="s">
        <v>15</v>
      </c>
      <c r="G4834" s="0" t="s">
        <v>36</v>
      </c>
      <c r="H4834" s="0" t="n">
        <v>148</v>
      </c>
      <c r="I4834" s="0" t="s">
        <v>16125</v>
      </c>
      <c r="J4834" s="0" t="s">
        <v>16126</v>
      </c>
      <c r="K4834" s="0" t="s">
        <v>16127</v>
      </c>
      <c r="L4834" s="0" t="str">
        <f aca="false">HYPERLINK("https://www.ncbi.nlm.nih.gov/nuccore/CP000058.1?report=graph&amp;tracks=[key:gene_model_track,Options:GeneOnly]&amp;mk=1516378:1516397|offset_64|444444,1516410:1516429|offset_96|444444,1516440:1516459|offset_126|444444,1516462:1516481|offset_148|00cc00&amp;v=1516177:1516681&amp;c=444444", "offset 148")</f>
        <v>offset 148</v>
      </c>
    </row>
    <row r="4835" customFormat="false" ht="12.8" hidden="false" customHeight="false" outlineLevel="0" collapsed="false">
      <c r="A4835" s="0" t="s">
        <v>12</v>
      </c>
      <c r="B4835" s="0" t="n">
        <v>1517714</v>
      </c>
      <c r="C4835" s="0" t="n">
        <v>1517734</v>
      </c>
      <c r="D4835" s="0" t="s">
        <v>16128</v>
      </c>
      <c r="E4835" s="0" t="s">
        <v>75</v>
      </c>
      <c r="F4835" s="0" t="s">
        <v>90</v>
      </c>
      <c r="G4835" s="0" t="s">
        <v>32</v>
      </c>
      <c r="H4835" s="0" t="n">
        <v>1</v>
      </c>
      <c r="I4835" s="0" t="s">
        <v>16129</v>
      </c>
      <c r="J4835" s="0" t="s">
        <v>16130</v>
      </c>
      <c r="K4835" s="0" t="s">
        <v>16131</v>
      </c>
      <c r="L4835" s="0" t="str">
        <f aca="false">HYPERLINK("https://www.ncbi.nlm.nih.gov/nuccore/CP000058.1?report=graph&amp;tracks=[key:gene_model_track,Options:GeneOnly]&amp;mk=1517715:1517734|offset_1|00cc00,1517682:1517701|offset_34|444444,1517654:1517673|offset_62|444444,1517631:1517650|offset_85|444444&amp;v=1517514:1517850&amp;c=444444", "offset 1")</f>
        <v>offset 1</v>
      </c>
    </row>
    <row r="4836" customFormat="false" ht="12.8" hidden="false" customHeight="false" outlineLevel="0" collapsed="false">
      <c r="A4836" s="0" t="s">
        <v>12</v>
      </c>
      <c r="B4836" s="0" t="n">
        <v>1517681</v>
      </c>
      <c r="C4836" s="0" t="n">
        <v>1517701</v>
      </c>
      <c r="D4836" s="0" t="s">
        <v>16128</v>
      </c>
      <c r="E4836" s="0" t="s">
        <v>75</v>
      </c>
      <c r="F4836" s="0" t="s">
        <v>90</v>
      </c>
      <c r="G4836" s="0" t="s">
        <v>16</v>
      </c>
      <c r="H4836" s="0" t="n">
        <v>34</v>
      </c>
      <c r="I4836" s="0" t="s">
        <v>16132</v>
      </c>
      <c r="J4836" s="0" t="s">
        <v>16133</v>
      </c>
      <c r="K4836" s="0" t="s">
        <v>16134</v>
      </c>
      <c r="L4836" s="0" t="str">
        <f aca="false">HYPERLINK("https://www.ncbi.nlm.nih.gov/nuccore/CP000058.1?report=graph&amp;tracks=[key:gene_model_track,Options:GeneOnly]&amp;mk=1517715:1517734|offset_1|444444,1517682:1517701|offset_34|00cc00,1517654:1517673|offset_62|444444,1517631:1517650|offset_85|444444&amp;v=1517514:1517850&amp;c=444444", "offset 34")</f>
        <v>offset 34</v>
      </c>
    </row>
    <row r="4837" customFormat="false" ht="12.8" hidden="false" customHeight="false" outlineLevel="0" collapsed="false">
      <c r="A4837" s="0" t="s">
        <v>12</v>
      </c>
      <c r="B4837" s="0" t="n">
        <v>1517653</v>
      </c>
      <c r="C4837" s="0" t="n">
        <v>1517673</v>
      </c>
      <c r="D4837" s="0" t="s">
        <v>16128</v>
      </c>
      <c r="E4837" s="0" t="s">
        <v>75</v>
      </c>
      <c r="F4837" s="0" t="s">
        <v>90</v>
      </c>
      <c r="G4837" s="0" t="s">
        <v>16</v>
      </c>
      <c r="H4837" s="0" t="n">
        <v>62</v>
      </c>
      <c r="I4837" s="0" t="s">
        <v>16135</v>
      </c>
      <c r="J4837" s="0" t="s">
        <v>16136</v>
      </c>
      <c r="K4837" s="0" t="s">
        <v>16137</v>
      </c>
      <c r="L4837" s="0" t="str">
        <f aca="false">HYPERLINK("https://www.ncbi.nlm.nih.gov/nuccore/CP000058.1?report=graph&amp;tracks=[key:gene_model_track,Options:GeneOnly]&amp;mk=1517715:1517734|offset_1|444444,1517682:1517701|offset_34|444444,1517654:1517673|offset_62|00cc00,1517631:1517650|offset_85|444444&amp;v=1517514:1517850&amp;c=444444", "offset 62")</f>
        <v>offset 62</v>
      </c>
    </row>
    <row r="4838" customFormat="false" ht="12.8" hidden="false" customHeight="false" outlineLevel="0" collapsed="false">
      <c r="A4838" s="0" t="s">
        <v>12</v>
      </c>
      <c r="B4838" s="0" t="n">
        <v>1517630</v>
      </c>
      <c r="C4838" s="0" t="n">
        <v>1517650</v>
      </c>
      <c r="D4838" s="0" t="s">
        <v>16128</v>
      </c>
      <c r="E4838" s="0" t="s">
        <v>75</v>
      </c>
      <c r="F4838" s="0" t="s">
        <v>90</v>
      </c>
      <c r="G4838" s="0" t="s">
        <v>32</v>
      </c>
      <c r="H4838" s="0" t="n">
        <v>85</v>
      </c>
      <c r="I4838" s="0" t="s">
        <v>16138</v>
      </c>
      <c r="J4838" s="0" t="s">
        <v>16139</v>
      </c>
      <c r="K4838" s="0" t="s">
        <v>16140</v>
      </c>
      <c r="L4838" s="0" t="str">
        <f aca="false">HYPERLINK("https://www.ncbi.nlm.nih.gov/nuccore/CP000058.1?report=graph&amp;tracks=[key:gene_model_track,Options:GeneOnly]&amp;mk=1517715:1517734|offset_1|444444,1517682:1517701|offset_34|444444,1517654:1517673|offset_62|444444,1517631:1517650|offset_85|00cc00&amp;v=1517514:1517850&amp;c=444444", "offset 85")</f>
        <v>offset 85</v>
      </c>
    </row>
    <row r="4839" customFormat="false" ht="12.8" hidden="false" customHeight="false" outlineLevel="0" collapsed="false">
      <c r="A4839" s="0" t="s">
        <v>12</v>
      </c>
      <c r="B4839" s="0" t="n">
        <v>1517976</v>
      </c>
      <c r="C4839" s="0" t="n">
        <v>1517996</v>
      </c>
      <c r="D4839" s="0" t="s">
        <v>16141</v>
      </c>
      <c r="E4839" s="0" t="s">
        <v>75</v>
      </c>
      <c r="F4839" s="0" t="s">
        <v>15</v>
      </c>
      <c r="G4839" s="0" t="s">
        <v>20</v>
      </c>
      <c r="H4839" s="0" t="n">
        <v>26</v>
      </c>
      <c r="I4839" s="0" t="s">
        <v>16142</v>
      </c>
      <c r="J4839" s="0" t="s">
        <v>16143</v>
      </c>
      <c r="K4839" s="0" t="s">
        <v>16144</v>
      </c>
      <c r="L4839" s="0" t="str">
        <f aca="false">HYPERLINK("https://www.ncbi.nlm.nih.gov/nuccore/CP000058.1?report=graph&amp;tracks=[key:gene_model_track,Options:GeneOnly]&amp;mk=1517977:1517996|offset_26|00cc00,1517997:1518016|offset_46|444444,1518018:1518037|offset_67|444444,1518065:1518084|offset_114|444444&amp;v=1517776:1518284&amp;c=444444", "offset 26")</f>
        <v>offset 26</v>
      </c>
    </row>
    <row r="4840" customFormat="false" ht="12.8" hidden="false" customHeight="false" outlineLevel="0" collapsed="false">
      <c r="A4840" s="0" t="s">
        <v>12</v>
      </c>
      <c r="B4840" s="0" t="n">
        <v>1517996</v>
      </c>
      <c r="C4840" s="0" t="n">
        <v>1518016</v>
      </c>
      <c r="D4840" s="0" t="s">
        <v>16141</v>
      </c>
      <c r="E4840" s="0" t="s">
        <v>75</v>
      </c>
      <c r="F4840" s="0" t="s">
        <v>15</v>
      </c>
      <c r="G4840" s="0" t="s">
        <v>16</v>
      </c>
      <c r="H4840" s="0" t="n">
        <v>46</v>
      </c>
      <c r="I4840" s="0" t="s">
        <v>16145</v>
      </c>
      <c r="J4840" s="0" t="s">
        <v>16146</v>
      </c>
      <c r="K4840" s="0" t="s">
        <v>16147</v>
      </c>
      <c r="L4840" s="0" t="str">
        <f aca="false">HYPERLINK("https://www.ncbi.nlm.nih.gov/nuccore/CP000058.1?report=graph&amp;tracks=[key:gene_model_track,Options:GeneOnly]&amp;mk=1517977:1517996|offset_26|444444,1517997:1518016|offset_46|00cc00,1518018:1518037|offset_67|444444,1518065:1518084|offset_114|444444&amp;v=1517776:1518284&amp;c=444444", "offset 46")</f>
        <v>offset 46</v>
      </c>
    </row>
    <row r="4841" customFormat="false" ht="12.8" hidden="false" customHeight="false" outlineLevel="0" collapsed="false">
      <c r="A4841" s="0" t="s">
        <v>12</v>
      </c>
      <c r="B4841" s="0" t="n">
        <v>1518017</v>
      </c>
      <c r="C4841" s="0" t="n">
        <v>1518037</v>
      </c>
      <c r="D4841" s="0" t="s">
        <v>16141</v>
      </c>
      <c r="E4841" s="0" t="s">
        <v>75</v>
      </c>
      <c r="F4841" s="0" t="s">
        <v>15</v>
      </c>
      <c r="G4841" s="0" t="s">
        <v>36</v>
      </c>
      <c r="H4841" s="0" t="n">
        <v>67</v>
      </c>
      <c r="I4841" s="0" t="s">
        <v>16148</v>
      </c>
      <c r="J4841" s="0" t="s">
        <v>16149</v>
      </c>
      <c r="K4841" s="0" t="s">
        <v>16150</v>
      </c>
      <c r="L4841" s="0" t="str">
        <f aca="false">HYPERLINK("https://www.ncbi.nlm.nih.gov/nuccore/CP000058.1?report=graph&amp;tracks=[key:gene_model_track,Options:GeneOnly]&amp;mk=1517977:1517996|offset_26|444444,1517997:1518016|offset_46|444444,1518018:1518037|offset_67|00cc00,1518065:1518084|offset_114|444444&amp;v=1517776:1518284&amp;c=444444", "offset 67")</f>
        <v>offset 67</v>
      </c>
    </row>
    <row r="4842" customFormat="false" ht="12.8" hidden="false" customHeight="false" outlineLevel="0" collapsed="false">
      <c r="A4842" s="0" t="s">
        <v>12</v>
      </c>
      <c r="B4842" s="0" t="n">
        <v>1518064</v>
      </c>
      <c r="C4842" s="0" t="n">
        <v>1518084</v>
      </c>
      <c r="D4842" s="0" t="s">
        <v>16141</v>
      </c>
      <c r="E4842" s="0" t="s">
        <v>75</v>
      </c>
      <c r="F4842" s="0" t="s">
        <v>15</v>
      </c>
      <c r="G4842" s="0" t="s">
        <v>16</v>
      </c>
      <c r="H4842" s="0" t="n">
        <v>114</v>
      </c>
      <c r="I4842" s="0" t="s">
        <v>16151</v>
      </c>
      <c r="J4842" s="0" t="s">
        <v>16152</v>
      </c>
      <c r="K4842" s="0" t="s">
        <v>16153</v>
      </c>
      <c r="L4842" s="0" t="str">
        <f aca="false">HYPERLINK("https://www.ncbi.nlm.nih.gov/nuccore/CP000058.1?report=graph&amp;tracks=[key:gene_model_track,Options:GeneOnly]&amp;mk=1517977:1517996|offset_26|444444,1517997:1518016|offset_46|444444,1518018:1518037|offset_67|444444,1518065:1518084|offset_114|00cc00&amp;v=1517776:1518284&amp;c=444444", "offset 114")</f>
        <v>offset 114</v>
      </c>
    </row>
    <row r="4843" customFormat="false" ht="12.8" hidden="false" customHeight="false" outlineLevel="0" collapsed="false">
      <c r="A4843" s="0" t="s">
        <v>12</v>
      </c>
      <c r="B4843" s="0" t="n">
        <v>1518764</v>
      </c>
      <c r="C4843" s="0" t="n">
        <v>1518784</v>
      </c>
      <c r="D4843" s="0" t="s">
        <v>16154</v>
      </c>
      <c r="E4843" s="0" t="s">
        <v>16155</v>
      </c>
      <c r="F4843" s="0" t="s">
        <v>15</v>
      </c>
      <c r="G4843" s="0" t="s">
        <v>32</v>
      </c>
      <c r="H4843" s="0" t="n">
        <v>41</v>
      </c>
      <c r="I4843" s="0" t="s">
        <v>16156</v>
      </c>
      <c r="J4843" s="0" t="s">
        <v>16157</v>
      </c>
      <c r="K4843" s="0" t="s">
        <v>16158</v>
      </c>
      <c r="L4843" s="0" t="str">
        <f aca="false">HYPERLINK("https://www.ncbi.nlm.nih.gov/nuccore/CP000058.1?report=graph&amp;tracks=[key:gene_model_track,Options:GeneOnly]&amp;mk=1518765:1518784|offset_41|00cc00,1518791:1518810|offset_67|444444,1518814:1518833|offset_90|444444,1518840:1518859|offset_116|444444&amp;v=1518564:1519059&amp;c=444444", "offset 41")</f>
        <v>offset 41</v>
      </c>
    </row>
    <row r="4844" customFormat="false" ht="12.8" hidden="false" customHeight="false" outlineLevel="0" collapsed="false">
      <c r="A4844" s="0" t="s">
        <v>12</v>
      </c>
      <c r="B4844" s="0" t="n">
        <v>1518790</v>
      </c>
      <c r="C4844" s="0" t="n">
        <v>1518810</v>
      </c>
      <c r="D4844" s="0" t="s">
        <v>16154</v>
      </c>
      <c r="E4844" s="0" t="s">
        <v>16155</v>
      </c>
      <c r="F4844" s="0" t="s">
        <v>15</v>
      </c>
      <c r="G4844" s="0" t="s">
        <v>20</v>
      </c>
      <c r="H4844" s="0" t="n">
        <v>67</v>
      </c>
      <c r="I4844" s="0" t="s">
        <v>16159</v>
      </c>
      <c r="J4844" s="0" t="s">
        <v>16160</v>
      </c>
      <c r="K4844" s="0" t="s">
        <v>16161</v>
      </c>
      <c r="L4844" s="0" t="str">
        <f aca="false">HYPERLINK("https://www.ncbi.nlm.nih.gov/nuccore/CP000058.1?report=graph&amp;tracks=[key:gene_model_track,Options:GeneOnly]&amp;mk=1518765:1518784|offset_41|444444,1518791:1518810|offset_67|00cc00,1518814:1518833|offset_90|444444,1518840:1518859|offset_116|444444&amp;v=1518564:1519059&amp;c=444444", "offset 67")</f>
        <v>offset 67</v>
      </c>
    </row>
    <row r="4845" customFormat="false" ht="12.8" hidden="false" customHeight="false" outlineLevel="0" collapsed="false">
      <c r="A4845" s="0" t="s">
        <v>12</v>
      </c>
      <c r="B4845" s="0" t="n">
        <v>1518813</v>
      </c>
      <c r="C4845" s="0" t="n">
        <v>1518833</v>
      </c>
      <c r="D4845" s="0" t="s">
        <v>16154</v>
      </c>
      <c r="E4845" s="0" t="s">
        <v>16155</v>
      </c>
      <c r="F4845" s="0" t="s">
        <v>15</v>
      </c>
      <c r="G4845" s="0" t="s">
        <v>16</v>
      </c>
      <c r="H4845" s="0" t="n">
        <v>90</v>
      </c>
      <c r="I4845" s="0" t="s">
        <v>16162</v>
      </c>
      <c r="J4845" s="0" t="s">
        <v>16163</v>
      </c>
      <c r="K4845" s="0" t="s">
        <v>16164</v>
      </c>
      <c r="L4845" s="0" t="str">
        <f aca="false">HYPERLINK("https://www.ncbi.nlm.nih.gov/nuccore/CP000058.1?report=graph&amp;tracks=[key:gene_model_track,Options:GeneOnly]&amp;mk=1518765:1518784|offset_41|444444,1518791:1518810|offset_67|444444,1518814:1518833|offset_90|00cc00,1518840:1518859|offset_116|444444&amp;v=1518564:1519059&amp;c=444444", "offset 90")</f>
        <v>offset 90</v>
      </c>
    </row>
    <row r="4846" customFormat="false" ht="12.8" hidden="false" customHeight="false" outlineLevel="0" collapsed="false">
      <c r="A4846" s="0" t="s">
        <v>12</v>
      </c>
      <c r="B4846" s="0" t="n">
        <v>1518839</v>
      </c>
      <c r="C4846" s="0" t="n">
        <v>1518859</v>
      </c>
      <c r="D4846" s="0" t="s">
        <v>16154</v>
      </c>
      <c r="E4846" s="0" t="s">
        <v>16155</v>
      </c>
      <c r="F4846" s="0" t="s">
        <v>15</v>
      </c>
      <c r="G4846" s="0" t="s">
        <v>16</v>
      </c>
      <c r="H4846" s="0" t="n">
        <v>116</v>
      </c>
      <c r="I4846" s="0" t="s">
        <v>16165</v>
      </c>
      <c r="J4846" s="0" t="s">
        <v>16166</v>
      </c>
      <c r="K4846" s="0" t="s">
        <v>16167</v>
      </c>
      <c r="L4846" s="0" t="str">
        <f aca="false">HYPERLINK("https://www.ncbi.nlm.nih.gov/nuccore/CP000058.1?report=graph&amp;tracks=[key:gene_model_track,Options:GeneOnly]&amp;mk=1518765:1518784|offset_41|444444,1518791:1518810|offset_67|444444,1518814:1518833|offset_90|444444,1518840:1518859|offset_116|00cc00&amp;v=1518564:1519059&amp;c=444444", "offset 116")</f>
        <v>offset 116</v>
      </c>
    </row>
    <row r="4847" customFormat="false" ht="12.8" hidden="false" customHeight="false" outlineLevel="0" collapsed="false">
      <c r="A4847" s="0" t="s">
        <v>12</v>
      </c>
      <c r="B4847" s="0" t="n">
        <v>1519659</v>
      </c>
      <c r="C4847" s="0" t="n">
        <v>1519679</v>
      </c>
      <c r="D4847" s="0" t="s">
        <v>16168</v>
      </c>
      <c r="E4847" s="0" t="s">
        <v>16169</v>
      </c>
      <c r="F4847" s="0" t="s">
        <v>15</v>
      </c>
      <c r="G4847" s="0" t="s">
        <v>32</v>
      </c>
      <c r="H4847" s="0" t="n">
        <v>1</v>
      </c>
      <c r="I4847" s="0" t="s">
        <v>16170</v>
      </c>
      <c r="J4847" s="0" t="s">
        <v>16171</v>
      </c>
      <c r="K4847" s="0" t="s">
        <v>16172</v>
      </c>
      <c r="L4847" s="0" t="str">
        <f aca="false">HYPERLINK("https://www.ncbi.nlm.nih.gov/nuccore/CP000058.1?report=graph&amp;tracks=[key:gene_model_track,Options:GeneOnly]&amp;mk=1519660:1519679|offset_1|00cc00,1519682:1519701|offset_23|444444,1519709:1519728|offset_50|444444,1519734:1519753|offset_75|444444&amp;v=1519459:1519953&amp;c=444444", "offset 1")</f>
        <v>offset 1</v>
      </c>
    </row>
    <row r="4848" customFormat="false" ht="12.8" hidden="false" customHeight="false" outlineLevel="0" collapsed="false">
      <c r="A4848" s="0" t="s">
        <v>12</v>
      </c>
      <c r="B4848" s="0" t="n">
        <v>1519681</v>
      </c>
      <c r="C4848" s="0" t="n">
        <v>1519701</v>
      </c>
      <c r="D4848" s="0" t="s">
        <v>16168</v>
      </c>
      <c r="E4848" s="0" t="s">
        <v>16169</v>
      </c>
      <c r="F4848" s="0" t="s">
        <v>15</v>
      </c>
      <c r="G4848" s="0" t="s">
        <v>16</v>
      </c>
      <c r="H4848" s="0" t="n">
        <v>23</v>
      </c>
      <c r="I4848" s="0" t="s">
        <v>16173</v>
      </c>
      <c r="J4848" s="0" t="s">
        <v>16174</v>
      </c>
      <c r="K4848" s="0" t="s">
        <v>16175</v>
      </c>
      <c r="L4848" s="0" t="str">
        <f aca="false">HYPERLINK("https://www.ncbi.nlm.nih.gov/nuccore/CP000058.1?report=graph&amp;tracks=[key:gene_model_track,Options:GeneOnly]&amp;mk=1519660:1519679|offset_1|444444,1519682:1519701|offset_23|00cc00,1519709:1519728|offset_50|444444,1519734:1519753|offset_75|444444&amp;v=1519459:1519953&amp;c=444444", "offset 23")</f>
        <v>offset 23</v>
      </c>
    </row>
    <row r="4849" customFormat="false" ht="12.8" hidden="false" customHeight="false" outlineLevel="0" collapsed="false">
      <c r="A4849" s="0" t="s">
        <v>12</v>
      </c>
      <c r="B4849" s="0" t="n">
        <v>1519708</v>
      </c>
      <c r="C4849" s="0" t="n">
        <v>1519728</v>
      </c>
      <c r="D4849" s="0" t="s">
        <v>16168</v>
      </c>
      <c r="E4849" s="0" t="s">
        <v>16169</v>
      </c>
      <c r="F4849" s="0" t="s">
        <v>15</v>
      </c>
      <c r="G4849" s="0" t="s">
        <v>20</v>
      </c>
      <c r="H4849" s="0" t="n">
        <v>50</v>
      </c>
      <c r="I4849" s="0" t="s">
        <v>16176</v>
      </c>
      <c r="J4849" s="0" t="s">
        <v>16177</v>
      </c>
      <c r="K4849" s="0" t="s">
        <v>16178</v>
      </c>
      <c r="L4849" s="0" t="str">
        <f aca="false">HYPERLINK("https://www.ncbi.nlm.nih.gov/nuccore/CP000058.1?report=graph&amp;tracks=[key:gene_model_track,Options:GeneOnly]&amp;mk=1519660:1519679|offset_1|444444,1519682:1519701|offset_23|444444,1519709:1519728|offset_50|00cc00,1519734:1519753|offset_75|444444&amp;v=1519459:1519953&amp;c=444444", "offset 50")</f>
        <v>offset 50</v>
      </c>
    </row>
    <row r="4850" customFormat="false" ht="12.8" hidden="false" customHeight="false" outlineLevel="0" collapsed="false">
      <c r="A4850" s="0" t="s">
        <v>12</v>
      </c>
      <c r="B4850" s="0" t="n">
        <v>1519733</v>
      </c>
      <c r="C4850" s="0" t="n">
        <v>1519753</v>
      </c>
      <c r="D4850" s="0" t="s">
        <v>16168</v>
      </c>
      <c r="E4850" s="0" t="s">
        <v>16169</v>
      </c>
      <c r="F4850" s="0" t="s">
        <v>15</v>
      </c>
      <c r="G4850" s="0" t="s">
        <v>32</v>
      </c>
      <c r="H4850" s="0" t="n">
        <v>75</v>
      </c>
      <c r="I4850" s="0" t="s">
        <v>16179</v>
      </c>
      <c r="J4850" s="0" t="s">
        <v>16180</v>
      </c>
      <c r="K4850" s="0" t="s">
        <v>16181</v>
      </c>
      <c r="L4850" s="0" t="str">
        <f aca="false">HYPERLINK("https://www.ncbi.nlm.nih.gov/nuccore/CP000058.1?report=graph&amp;tracks=[key:gene_model_track,Options:GeneOnly]&amp;mk=1519660:1519679|offset_1|444444,1519682:1519701|offset_23|444444,1519709:1519728|offset_50|444444,1519734:1519753|offset_75|00cc00&amp;v=1519459:1519953&amp;c=444444", "offset 75")</f>
        <v>offset 75</v>
      </c>
    </row>
    <row r="4851" customFormat="false" ht="12.8" hidden="false" customHeight="false" outlineLevel="0" collapsed="false">
      <c r="A4851" s="0" t="s">
        <v>12</v>
      </c>
      <c r="B4851" s="0" t="n">
        <v>1520206</v>
      </c>
      <c r="C4851" s="0" t="n">
        <v>1520226</v>
      </c>
      <c r="D4851" s="0" t="s">
        <v>16182</v>
      </c>
      <c r="E4851" s="0" t="s">
        <v>16183</v>
      </c>
      <c r="F4851" s="0" t="s">
        <v>15</v>
      </c>
      <c r="G4851" s="0" t="s">
        <v>32</v>
      </c>
      <c r="H4851" s="0" t="n">
        <v>12</v>
      </c>
      <c r="I4851" s="0" t="s">
        <v>16184</v>
      </c>
      <c r="J4851" s="0" t="s">
        <v>16185</v>
      </c>
      <c r="K4851" s="0" t="s">
        <v>16186</v>
      </c>
      <c r="L4851" s="0" t="str">
        <f aca="false">HYPERLINK("https://www.ncbi.nlm.nih.gov/nuccore/CP000058.1?report=graph&amp;tracks=[key:gene_model_track,Options:GeneOnly]&amp;mk=1520207:1520226|offset_12|00cc00,1520235:1520254|offset_40|444444,1520275:1520294|offset_80|444444,1520302:1520321|offset_107|444444&amp;v=1520006:1520521&amp;c=444444", "offset 12")</f>
        <v>offset 12</v>
      </c>
    </row>
    <row r="4852" customFormat="false" ht="12.8" hidden="false" customHeight="false" outlineLevel="0" collapsed="false">
      <c r="A4852" s="0" t="s">
        <v>12</v>
      </c>
      <c r="B4852" s="0" t="n">
        <v>1520234</v>
      </c>
      <c r="C4852" s="0" t="n">
        <v>1520254</v>
      </c>
      <c r="D4852" s="0" t="s">
        <v>16182</v>
      </c>
      <c r="E4852" s="0" t="s">
        <v>16183</v>
      </c>
      <c r="F4852" s="0" t="s">
        <v>15</v>
      </c>
      <c r="G4852" s="0" t="s">
        <v>36</v>
      </c>
      <c r="H4852" s="0" t="n">
        <v>40</v>
      </c>
      <c r="I4852" s="0" t="s">
        <v>16187</v>
      </c>
      <c r="J4852" s="0" t="s">
        <v>16188</v>
      </c>
      <c r="K4852" s="0" t="s">
        <v>16189</v>
      </c>
      <c r="L4852" s="0" t="str">
        <f aca="false">HYPERLINK("https://www.ncbi.nlm.nih.gov/nuccore/CP000058.1?report=graph&amp;tracks=[key:gene_model_track,Options:GeneOnly]&amp;mk=1520207:1520226|offset_12|444444,1520235:1520254|offset_40|00cc00,1520275:1520294|offset_80|444444,1520302:1520321|offset_107|444444&amp;v=1520006:1520521&amp;c=444444", "offset 40")</f>
        <v>offset 40</v>
      </c>
    </row>
    <row r="4853" customFormat="false" ht="12.8" hidden="false" customHeight="false" outlineLevel="0" collapsed="false">
      <c r="A4853" s="0" t="s">
        <v>12</v>
      </c>
      <c r="B4853" s="0" t="n">
        <v>1520274</v>
      </c>
      <c r="C4853" s="0" t="n">
        <v>1520294</v>
      </c>
      <c r="D4853" s="0" t="s">
        <v>16182</v>
      </c>
      <c r="E4853" s="0" t="s">
        <v>16183</v>
      </c>
      <c r="F4853" s="0" t="s">
        <v>15</v>
      </c>
      <c r="G4853" s="0" t="s">
        <v>20</v>
      </c>
      <c r="H4853" s="0" t="n">
        <v>80</v>
      </c>
      <c r="I4853" s="0" t="s">
        <v>16190</v>
      </c>
      <c r="J4853" s="0" t="s">
        <v>16191</v>
      </c>
      <c r="K4853" s="0" t="s">
        <v>16192</v>
      </c>
      <c r="L4853" s="0" t="str">
        <f aca="false">HYPERLINK("https://www.ncbi.nlm.nih.gov/nuccore/CP000058.1?report=graph&amp;tracks=[key:gene_model_track,Options:GeneOnly]&amp;mk=1520207:1520226|offset_12|444444,1520235:1520254|offset_40|444444,1520275:1520294|offset_80|00cc00,1520302:1520321|offset_107|444444&amp;v=1520006:1520521&amp;c=444444", "offset 80")</f>
        <v>offset 80</v>
      </c>
    </row>
    <row r="4854" customFormat="false" ht="12.8" hidden="false" customHeight="false" outlineLevel="0" collapsed="false">
      <c r="A4854" s="0" t="s">
        <v>12</v>
      </c>
      <c r="B4854" s="0" t="n">
        <v>1520301</v>
      </c>
      <c r="C4854" s="0" t="n">
        <v>1520321</v>
      </c>
      <c r="D4854" s="0" t="s">
        <v>16182</v>
      </c>
      <c r="E4854" s="0" t="s">
        <v>16183</v>
      </c>
      <c r="F4854" s="0" t="s">
        <v>15</v>
      </c>
      <c r="G4854" s="0" t="s">
        <v>36</v>
      </c>
      <c r="H4854" s="0" t="n">
        <v>107</v>
      </c>
      <c r="I4854" s="0" t="s">
        <v>16193</v>
      </c>
      <c r="J4854" s="0" t="s">
        <v>16194</v>
      </c>
      <c r="K4854" s="0" t="s">
        <v>16195</v>
      </c>
      <c r="L4854" s="0" t="str">
        <f aca="false">HYPERLINK("https://www.ncbi.nlm.nih.gov/nuccore/CP000058.1?report=graph&amp;tracks=[key:gene_model_track,Options:GeneOnly]&amp;mk=1520207:1520226|offset_12|444444,1520235:1520254|offset_40|444444,1520275:1520294|offset_80|444444,1520302:1520321|offset_107|00cc00&amp;v=1520006:1520521&amp;c=444444", "offset 107")</f>
        <v>offset 107</v>
      </c>
    </row>
    <row r="4855" customFormat="false" ht="12.8" hidden="false" customHeight="false" outlineLevel="0" collapsed="false">
      <c r="A4855" s="0" t="s">
        <v>12</v>
      </c>
      <c r="B4855" s="0" t="n">
        <v>1521519</v>
      </c>
      <c r="C4855" s="0" t="n">
        <v>1521539</v>
      </c>
      <c r="D4855" s="0" t="s">
        <v>16196</v>
      </c>
      <c r="E4855" s="0" t="s">
        <v>16197</v>
      </c>
      <c r="F4855" s="0" t="s">
        <v>15</v>
      </c>
      <c r="G4855" s="0" t="s">
        <v>32</v>
      </c>
      <c r="H4855" s="0" t="n">
        <v>29</v>
      </c>
      <c r="I4855" s="0" t="s">
        <v>16198</v>
      </c>
      <c r="J4855" s="0" t="s">
        <v>16199</v>
      </c>
      <c r="K4855" s="0" t="s">
        <v>16200</v>
      </c>
      <c r="L4855" s="0" t="str">
        <f aca="false">HYPERLINK("https://www.ncbi.nlm.nih.gov/nuccore/CP000058.1?report=graph&amp;tracks=[key:gene_model_track,Options:GeneOnly]&amp;mk=1521520:1521539|offset_29|00cc00,1521566:1521585|offset_75|444444,1521596:1521615|offset_105|444444,1521660:1521679|offset_169|444444&amp;v=1521319:1521879&amp;c=444444", "offset 29")</f>
        <v>offset 29</v>
      </c>
    </row>
    <row r="4856" customFormat="false" ht="12.8" hidden="false" customHeight="false" outlineLevel="0" collapsed="false">
      <c r="A4856" s="0" t="s">
        <v>12</v>
      </c>
      <c r="B4856" s="0" t="n">
        <v>1521565</v>
      </c>
      <c r="C4856" s="0" t="n">
        <v>1521585</v>
      </c>
      <c r="D4856" s="0" t="s">
        <v>16196</v>
      </c>
      <c r="E4856" s="0" t="s">
        <v>16197</v>
      </c>
      <c r="F4856" s="0" t="s">
        <v>15</v>
      </c>
      <c r="G4856" s="0" t="s">
        <v>20</v>
      </c>
      <c r="H4856" s="0" t="n">
        <v>75</v>
      </c>
      <c r="I4856" s="0" t="s">
        <v>16201</v>
      </c>
      <c r="J4856" s="0" t="s">
        <v>16202</v>
      </c>
      <c r="K4856" s="0" t="s">
        <v>16203</v>
      </c>
      <c r="L4856" s="0" t="str">
        <f aca="false">HYPERLINK("https://www.ncbi.nlm.nih.gov/nuccore/CP000058.1?report=graph&amp;tracks=[key:gene_model_track,Options:GeneOnly]&amp;mk=1521520:1521539|offset_29|444444,1521566:1521585|offset_75|00cc00,1521596:1521615|offset_105|444444,1521660:1521679|offset_169|444444&amp;v=1521319:1521879&amp;c=444444", "offset 75")</f>
        <v>offset 75</v>
      </c>
    </row>
    <row r="4857" customFormat="false" ht="12.8" hidden="false" customHeight="false" outlineLevel="0" collapsed="false">
      <c r="A4857" s="0" t="s">
        <v>12</v>
      </c>
      <c r="B4857" s="0" t="n">
        <v>1521595</v>
      </c>
      <c r="C4857" s="0" t="n">
        <v>1521615</v>
      </c>
      <c r="D4857" s="0" t="s">
        <v>16196</v>
      </c>
      <c r="E4857" s="0" t="s">
        <v>16197</v>
      </c>
      <c r="F4857" s="0" t="s">
        <v>15</v>
      </c>
      <c r="G4857" s="0" t="s">
        <v>32</v>
      </c>
      <c r="H4857" s="0" t="n">
        <v>105</v>
      </c>
      <c r="I4857" s="0" t="s">
        <v>16204</v>
      </c>
      <c r="J4857" s="0" t="s">
        <v>16205</v>
      </c>
      <c r="K4857" s="0" t="s">
        <v>16206</v>
      </c>
      <c r="L4857" s="0" t="str">
        <f aca="false">HYPERLINK("https://www.ncbi.nlm.nih.gov/nuccore/CP000058.1?report=graph&amp;tracks=[key:gene_model_track,Options:GeneOnly]&amp;mk=1521520:1521539|offset_29|444444,1521566:1521585|offset_75|444444,1521596:1521615|offset_105|00cc00,1521660:1521679|offset_169|444444&amp;v=1521319:1521879&amp;c=444444", "offset 105")</f>
        <v>offset 105</v>
      </c>
    </row>
    <row r="4858" customFormat="false" ht="12.8" hidden="false" customHeight="false" outlineLevel="0" collapsed="false">
      <c r="A4858" s="0" t="s">
        <v>12</v>
      </c>
      <c r="B4858" s="0" t="n">
        <v>1521659</v>
      </c>
      <c r="C4858" s="0" t="n">
        <v>1521679</v>
      </c>
      <c r="D4858" s="0" t="s">
        <v>16196</v>
      </c>
      <c r="E4858" s="0" t="s">
        <v>16197</v>
      </c>
      <c r="F4858" s="0" t="s">
        <v>15</v>
      </c>
      <c r="G4858" s="0" t="s">
        <v>32</v>
      </c>
      <c r="H4858" s="0" t="n">
        <v>169</v>
      </c>
      <c r="I4858" s="0" t="s">
        <v>16207</v>
      </c>
      <c r="J4858" s="0" t="s">
        <v>16208</v>
      </c>
      <c r="K4858" s="0" t="s">
        <v>16209</v>
      </c>
      <c r="L4858" s="0" t="str">
        <f aca="false">HYPERLINK("https://www.ncbi.nlm.nih.gov/nuccore/CP000058.1?report=graph&amp;tracks=[key:gene_model_track,Options:GeneOnly]&amp;mk=1521520:1521539|offset_29|444444,1521566:1521585|offset_75|444444,1521596:1521615|offset_105|444444,1521660:1521679|offset_169|00cc00&amp;v=1521319:1521879&amp;c=444444", "offset 169")</f>
        <v>offset 169</v>
      </c>
    </row>
    <row r="4859" customFormat="false" ht="12.8" hidden="false" customHeight="false" outlineLevel="0" collapsed="false">
      <c r="A4859" s="0" t="s">
        <v>12</v>
      </c>
      <c r="B4859" s="0" t="n">
        <v>1521952</v>
      </c>
      <c r="C4859" s="0" t="n">
        <v>1521972</v>
      </c>
      <c r="D4859" s="0" t="s">
        <v>16210</v>
      </c>
      <c r="E4859" s="0" t="s">
        <v>16211</v>
      </c>
      <c r="F4859" s="0" t="s">
        <v>15</v>
      </c>
      <c r="G4859" s="0" t="s">
        <v>16</v>
      </c>
      <c r="H4859" s="0" t="n">
        <v>0</v>
      </c>
      <c r="I4859" s="0" t="s">
        <v>16212</v>
      </c>
      <c r="J4859" s="0" t="s">
        <v>16213</v>
      </c>
      <c r="K4859" s="0" t="s">
        <v>16214</v>
      </c>
      <c r="L4859" s="0" t="str">
        <f aca="false">HYPERLINK("https://www.ncbi.nlm.nih.gov/nuccore/CP000058.1?report=graph&amp;tracks=[key:gene_model_track,Options:GeneOnly]&amp;mk=1521953:1521972|offset_0|00cc00,1521981:1522000|offset_28|444444,1522002:1522021|offset_49|444444,1522050:1522069|offset_97|444444&amp;v=1521752:1522269&amp;c=444444", "offset 0")</f>
        <v>offset 0</v>
      </c>
    </row>
    <row r="4860" customFormat="false" ht="12.8" hidden="false" customHeight="false" outlineLevel="0" collapsed="false">
      <c r="A4860" s="0" t="s">
        <v>12</v>
      </c>
      <c r="B4860" s="0" t="n">
        <v>1521980</v>
      </c>
      <c r="C4860" s="0" t="n">
        <v>1522000</v>
      </c>
      <c r="D4860" s="0" t="s">
        <v>16210</v>
      </c>
      <c r="E4860" s="0" t="s">
        <v>16211</v>
      </c>
      <c r="F4860" s="0" t="s">
        <v>15</v>
      </c>
      <c r="G4860" s="0" t="s">
        <v>16</v>
      </c>
      <c r="H4860" s="0" t="n">
        <v>28</v>
      </c>
      <c r="I4860" s="0" t="s">
        <v>16215</v>
      </c>
      <c r="J4860" s="0" t="s">
        <v>16216</v>
      </c>
      <c r="K4860" s="0" t="s">
        <v>16217</v>
      </c>
      <c r="L4860" s="0" t="str">
        <f aca="false">HYPERLINK("https://www.ncbi.nlm.nih.gov/nuccore/CP000058.1?report=graph&amp;tracks=[key:gene_model_track,Options:GeneOnly]&amp;mk=1521953:1521972|offset_0|444444,1521981:1522000|offset_28|00cc00,1522002:1522021|offset_49|444444,1522050:1522069|offset_97|444444&amp;v=1521752:1522269&amp;c=444444", "offset 28")</f>
        <v>offset 28</v>
      </c>
    </row>
    <row r="4861" customFormat="false" ht="12.8" hidden="false" customHeight="false" outlineLevel="0" collapsed="false">
      <c r="A4861" s="0" t="s">
        <v>12</v>
      </c>
      <c r="B4861" s="0" t="n">
        <v>1522001</v>
      </c>
      <c r="C4861" s="0" t="n">
        <v>1522021</v>
      </c>
      <c r="D4861" s="0" t="s">
        <v>16210</v>
      </c>
      <c r="E4861" s="0" t="s">
        <v>16211</v>
      </c>
      <c r="F4861" s="0" t="s">
        <v>15</v>
      </c>
      <c r="G4861" s="0" t="s">
        <v>36</v>
      </c>
      <c r="H4861" s="0" t="n">
        <v>49</v>
      </c>
      <c r="I4861" s="0" t="s">
        <v>16218</v>
      </c>
      <c r="J4861" s="0" t="s">
        <v>16219</v>
      </c>
      <c r="K4861" s="0" t="s">
        <v>16220</v>
      </c>
      <c r="L4861" s="0" t="str">
        <f aca="false">HYPERLINK("https://www.ncbi.nlm.nih.gov/nuccore/CP000058.1?report=graph&amp;tracks=[key:gene_model_track,Options:GeneOnly]&amp;mk=1521953:1521972|offset_0|444444,1521981:1522000|offset_28|444444,1522002:1522021|offset_49|00cc00,1522050:1522069|offset_97|444444&amp;v=1521752:1522269&amp;c=444444", "offset 49")</f>
        <v>offset 49</v>
      </c>
    </row>
    <row r="4862" customFormat="false" ht="12.8" hidden="false" customHeight="false" outlineLevel="0" collapsed="false">
      <c r="A4862" s="0" t="s">
        <v>12</v>
      </c>
      <c r="B4862" s="0" t="n">
        <v>1522049</v>
      </c>
      <c r="C4862" s="0" t="n">
        <v>1522069</v>
      </c>
      <c r="D4862" s="0" t="s">
        <v>16210</v>
      </c>
      <c r="E4862" s="0" t="s">
        <v>16211</v>
      </c>
      <c r="F4862" s="0" t="s">
        <v>15</v>
      </c>
      <c r="G4862" s="0" t="s">
        <v>32</v>
      </c>
      <c r="H4862" s="0" t="n">
        <v>97</v>
      </c>
      <c r="I4862" s="0" t="s">
        <v>16221</v>
      </c>
      <c r="J4862" s="0" t="s">
        <v>16222</v>
      </c>
      <c r="K4862" s="0" t="s">
        <v>16223</v>
      </c>
      <c r="L4862" s="0" t="str">
        <f aca="false">HYPERLINK("https://www.ncbi.nlm.nih.gov/nuccore/CP000058.1?report=graph&amp;tracks=[key:gene_model_track,Options:GeneOnly]&amp;mk=1521953:1521972|offset_0|444444,1521981:1522000|offset_28|444444,1522002:1522021|offset_49|444444,1522050:1522069|offset_97|00cc00&amp;v=1521752:1522269&amp;c=444444", "offset 97")</f>
        <v>offset 97</v>
      </c>
    </row>
    <row r="4863" customFormat="false" ht="12.8" hidden="false" customHeight="false" outlineLevel="0" collapsed="false">
      <c r="A4863" s="0" t="s">
        <v>12</v>
      </c>
      <c r="B4863" s="0" t="n">
        <v>1522298</v>
      </c>
      <c r="C4863" s="0" t="n">
        <v>1522318</v>
      </c>
      <c r="D4863" s="0" t="s">
        <v>16224</v>
      </c>
      <c r="E4863" s="0" t="s">
        <v>16225</v>
      </c>
      <c r="F4863" s="0" t="s">
        <v>15</v>
      </c>
      <c r="G4863" s="0" t="s">
        <v>36</v>
      </c>
      <c r="H4863" s="0" t="n">
        <v>45</v>
      </c>
      <c r="I4863" s="0" t="s">
        <v>16226</v>
      </c>
      <c r="J4863" s="0" t="s">
        <v>16227</v>
      </c>
      <c r="K4863" s="0" t="s">
        <v>16228</v>
      </c>
      <c r="L4863" s="0" t="str">
        <f aca="false">HYPERLINK("https://www.ncbi.nlm.nih.gov/nuccore/CP000058.1?report=graph&amp;tracks=[key:gene_model_track,Options:GeneOnly]&amp;mk=1522299:1522318|offset_45|00cc00,1522329:1522348|offset_75|444444,1522352:1522371|offset_98|444444,1522395:1522414|offset_141|444444&amp;v=1522098:1522614&amp;c=444444", "offset 45")</f>
        <v>offset 45</v>
      </c>
    </row>
    <row r="4864" customFormat="false" ht="12.8" hidden="false" customHeight="false" outlineLevel="0" collapsed="false">
      <c r="A4864" s="0" t="s">
        <v>12</v>
      </c>
      <c r="B4864" s="0" t="n">
        <v>1522328</v>
      </c>
      <c r="C4864" s="0" t="n">
        <v>1522348</v>
      </c>
      <c r="D4864" s="0" t="s">
        <v>16224</v>
      </c>
      <c r="E4864" s="0" t="s">
        <v>16225</v>
      </c>
      <c r="F4864" s="0" t="s">
        <v>15</v>
      </c>
      <c r="G4864" s="0" t="s">
        <v>36</v>
      </c>
      <c r="H4864" s="0" t="n">
        <v>75</v>
      </c>
      <c r="I4864" s="0" t="s">
        <v>16229</v>
      </c>
      <c r="J4864" s="0" t="s">
        <v>16230</v>
      </c>
      <c r="K4864" s="0" t="s">
        <v>16231</v>
      </c>
      <c r="L4864" s="0" t="str">
        <f aca="false">HYPERLINK("https://www.ncbi.nlm.nih.gov/nuccore/CP000058.1?report=graph&amp;tracks=[key:gene_model_track,Options:GeneOnly]&amp;mk=1522299:1522318|offset_45|444444,1522329:1522348|offset_75|00cc00,1522352:1522371|offset_98|444444,1522395:1522414|offset_141|444444&amp;v=1522098:1522614&amp;c=444444", "offset 75")</f>
        <v>offset 75</v>
      </c>
    </row>
    <row r="4865" customFormat="false" ht="12.8" hidden="false" customHeight="false" outlineLevel="0" collapsed="false">
      <c r="A4865" s="0" t="s">
        <v>12</v>
      </c>
      <c r="B4865" s="0" t="n">
        <v>1522351</v>
      </c>
      <c r="C4865" s="0" t="n">
        <v>1522371</v>
      </c>
      <c r="D4865" s="0" t="s">
        <v>16224</v>
      </c>
      <c r="E4865" s="0" t="s">
        <v>16225</v>
      </c>
      <c r="F4865" s="0" t="s">
        <v>15</v>
      </c>
      <c r="G4865" s="0" t="s">
        <v>32</v>
      </c>
      <c r="H4865" s="0" t="n">
        <v>98</v>
      </c>
      <c r="I4865" s="0" t="s">
        <v>16232</v>
      </c>
      <c r="J4865" s="0" t="s">
        <v>16233</v>
      </c>
      <c r="K4865" s="0" t="s">
        <v>16234</v>
      </c>
      <c r="L4865" s="0" t="str">
        <f aca="false">HYPERLINK("https://www.ncbi.nlm.nih.gov/nuccore/CP000058.1?report=graph&amp;tracks=[key:gene_model_track,Options:GeneOnly]&amp;mk=1522299:1522318|offset_45|444444,1522329:1522348|offset_75|444444,1522352:1522371|offset_98|00cc00,1522395:1522414|offset_141|444444&amp;v=1522098:1522614&amp;c=444444", "offset 98")</f>
        <v>offset 98</v>
      </c>
    </row>
    <row r="4866" customFormat="false" ht="12.8" hidden="false" customHeight="false" outlineLevel="0" collapsed="false">
      <c r="A4866" s="0" t="s">
        <v>12</v>
      </c>
      <c r="B4866" s="0" t="n">
        <v>1522394</v>
      </c>
      <c r="C4866" s="0" t="n">
        <v>1522414</v>
      </c>
      <c r="D4866" s="0" t="s">
        <v>16224</v>
      </c>
      <c r="E4866" s="0" t="s">
        <v>16225</v>
      </c>
      <c r="F4866" s="0" t="s">
        <v>15</v>
      </c>
      <c r="G4866" s="0" t="s">
        <v>16</v>
      </c>
      <c r="H4866" s="0" t="n">
        <v>141</v>
      </c>
      <c r="I4866" s="0" t="s">
        <v>16235</v>
      </c>
      <c r="J4866" s="0" t="s">
        <v>16236</v>
      </c>
      <c r="K4866" s="0" t="s">
        <v>16237</v>
      </c>
      <c r="L4866" s="0" t="str">
        <f aca="false">HYPERLINK("https://www.ncbi.nlm.nih.gov/nuccore/CP000058.1?report=graph&amp;tracks=[key:gene_model_track,Options:GeneOnly]&amp;mk=1522299:1522318|offset_45|444444,1522329:1522348|offset_75|444444,1522352:1522371|offset_98|444444,1522395:1522414|offset_141|00cc00&amp;v=1522098:1522614&amp;c=444444", "offset 141")</f>
        <v>offset 141</v>
      </c>
    </row>
    <row r="4867" customFormat="false" ht="12.8" hidden="false" customHeight="false" outlineLevel="0" collapsed="false">
      <c r="A4867" s="0" t="s">
        <v>12</v>
      </c>
      <c r="B4867" s="0" t="n">
        <v>1522874</v>
      </c>
      <c r="C4867" s="0" t="n">
        <v>1522894</v>
      </c>
      <c r="D4867" s="0" t="s">
        <v>16238</v>
      </c>
      <c r="E4867" s="0" t="s">
        <v>16239</v>
      </c>
      <c r="F4867" s="0" t="s">
        <v>15</v>
      </c>
      <c r="G4867" s="0" t="s">
        <v>16</v>
      </c>
      <c r="H4867" s="0" t="n">
        <v>22</v>
      </c>
      <c r="I4867" s="0" t="s">
        <v>16240</v>
      </c>
      <c r="J4867" s="0" t="s">
        <v>16241</v>
      </c>
      <c r="K4867" s="0" t="s">
        <v>16242</v>
      </c>
      <c r="L4867" s="0" t="str">
        <f aca="false">HYPERLINK("https://www.ncbi.nlm.nih.gov/nuccore/CP000058.1?report=graph&amp;tracks=[key:gene_model_track,Options:GeneOnly]&amp;mk=1522875:1522894|offset_22|00cc00,1522898:1522917|offset_45|444444,1522930:1522949|offset_77|444444,1522972:1522991|offset_119|444444&amp;v=1522674:1523191&amp;c=444444", "offset 22")</f>
        <v>offset 22</v>
      </c>
    </row>
    <row r="4868" customFormat="false" ht="12.8" hidden="false" customHeight="false" outlineLevel="0" collapsed="false">
      <c r="A4868" s="0" t="s">
        <v>12</v>
      </c>
      <c r="B4868" s="0" t="n">
        <v>1522897</v>
      </c>
      <c r="C4868" s="0" t="n">
        <v>1522917</v>
      </c>
      <c r="D4868" s="0" t="s">
        <v>16238</v>
      </c>
      <c r="E4868" s="0" t="s">
        <v>16239</v>
      </c>
      <c r="F4868" s="0" t="s">
        <v>15</v>
      </c>
      <c r="G4868" s="0" t="s">
        <v>16</v>
      </c>
      <c r="H4868" s="0" t="n">
        <v>45</v>
      </c>
      <c r="I4868" s="0" t="s">
        <v>16243</v>
      </c>
      <c r="J4868" s="0" t="s">
        <v>16244</v>
      </c>
      <c r="K4868" s="0" t="s">
        <v>16245</v>
      </c>
      <c r="L4868" s="0" t="str">
        <f aca="false">HYPERLINK("https://www.ncbi.nlm.nih.gov/nuccore/CP000058.1?report=graph&amp;tracks=[key:gene_model_track,Options:GeneOnly]&amp;mk=1522875:1522894|offset_22|444444,1522898:1522917|offset_45|00cc00,1522930:1522949|offset_77|444444,1522972:1522991|offset_119|444444&amp;v=1522674:1523191&amp;c=444444", "offset 45")</f>
        <v>offset 45</v>
      </c>
    </row>
    <row r="4869" customFormat="false" ht="12.8" hidden="false" customHeight="false" outlineLevel="0" collapsed="false">
      <c r="A4869" s="0" t="s">
        <v>12</v>
      </c>
      <c r="B4869" s="0" t="n">
        <v>1522929</v>
      </c>
      <c r="C4869" s="0" t="n">
        <v>1522949</v>
      </c>
      <c r="D4869" s="0" t="s">
        <v>16238</v>
      </c>
      <c r="E4869" s="0" t="s">
        <v>16239</v>
      </c>
      <c r="F4869" s="0" t="s">
        <v>15</v>
      </c>
      <c r="G4869" s="0" t="s">
        <v>20</v>
      </c>
      <c r="H4869" s="0" t="n">
        <v>77</v>
      </c>
      <c r="I4869" s="0" t="s">
        <v>16246</v>
      </c>
      <c r="J4869" s="0" t="s">
        <v>16247</v>
      </c>
      <c r="K4869" s="0" t="s">
        <v>16248</v>
      </c>
      <c r="L4869" s="0" t="str">
        <f aca="false">HYPERLINK("https://www.ncbi.nlm.nih.gov/nuccore/CP000058.1?report=graph&amp;tracks=[key:gene_model_track,Options:GeneOnly]&amp;mk=1522875:1522894|offset_22|444444,1522898:1522917|offset_45|444444,1522930:1522949|offset_77|00cc00,1522972:1522991|offset_119|444444&amp;v=1522674:1523191&amp;c=444444", "offset 77")</f>
        <v>offset 77</v>
      </c>
    </row>
    <row r="4870" customFormat="false" ht="12.8" hidden="false" customHeight="false" outlineLevel="0" collapsed="false">
      <c r="A4870" s="0" t="s">
        <v>12</v>
      </c>
      <c r="B4870" s="0" t="n">
        <v>1522971</v>
      </c>
      <c r="C4870" s="0" t="n">
        <v>1522991</v>
      </c>
      <c r="D4870" s="0" t="s">
        <v>16238</v>
      </c>
      <c r="E4870" s="0" t="s">
        <v>16239</v>
      </c>
      <c r="F4870" s="0" t="s">
        <v>15</v>
      </c>
      <c r="G4870" s="0" t="s">
        <v>20</v>
      </c>
      <c r="H4870" s="0" t="n">
        <v>119</v>
      </c>
      <c r="I4870" s="0" t="s">
        <v>16249</v>
      </c>
      <c r="J4870" s="0" t="s">
        <v>16250</v>
      </c>
      <c r="K4870" s="0" t="s">
        <v>16251</v>
      </c>
      <c r="L4870" s="0" t="str">
        <f aca="false">HYPERLINK("https://www.ncbi.nlm.nih.gov/nuccore/CP000058.1?report=graph&amp;tracks=[key:gene_model_track,Options:GeneOnly]&amp;mk=1522875:1522894|offset_22|444444,1522898:1522917|offset_45|444444,1522930:1522949|offset_77|444444,1522972:1522991|offset_119|00cc00&amp;v=1522674:1523191&amp;c=444444", "offset 119")</f>
        <v>offset 119</v>
      </c>
    </row>
    <row r="4871" customFormat="false" ht="12.8" hidden="false" customHeight="false" outlineLevel="0" collapsed="false">
      <c r="A4871" s="0" t="s">
        <v>12</v>
      </c>
      <c r="B4871" s="0" t="n">
        <v>1524724</v>
      </c>
      <c r="C4871" s="0" t="n">
        <v>1524744</v>
      </c>
      <c r="D4871" s="0" t="s">
        <v>16252</v>
      </c>
      <c r="E4871" s="0" t="s">
        <v>16253</v>
      </c>
      <c r="F4871" s="0" t="s">
        <v>15</v>
      </c>
      <c r="G4871" s="0" t="s">
        <v>16</v>
      </c>
      <c r="H4871" s="0" t="n">
        <v>6</v>
      </c>
      <c r="I4871" s="0" t="s">
        <v>16254</v>
      </c>
      <c r="J4871" s="0" t="s">
        <v>16255</v>
      </c>
      <c r="K4871" s="0" t="s">
        <v>16256</v>
      </c>
      <c r="L4871" s="0" t="str">
        <f aca="false">HYPERLINK("https://www.ncbi.nlm.nih.gov/nuccore/CP000058.1?report=graph&amp;tracks=[key:gene_model_track,Options:GeneOnly]&amp;mk=1524725:1524744|offset_6|00cc00,1524745:1524764|offset_26|444444,1524788:1524807|offset_69|444444,1524813:1524832|offset_94|444444&amp;v=1524524:1525032&amp;c=444444", "offset 6")</f>
        <v>offset 6</v>
      </c>
    </row>
    <row r="4872" customFormat="false" ht="12.8" hidden="false" customHeight="false" outlineLevel="0" collapsed="false">
      <c r="A4872" s="0" t="s">
        <v>12</v>
      </c>
      <c r="B4872" s="0" t="n">
        <v>1524744</v>
      </c>
      <c r="C4872" s="0" t="n">
        <v>1524764</v>
      </c>
      <c r="D4872" s="0" t="s">
        <v>16252</v>
      </c>
      <c r="E4872" s="0" t="s">
        <v>16253</v>
      </c>
      <c r="F4872" s="0" t="s">
        <v>15</v>
      </c>
      <c r="G4872" s="0" t="s">
        <v>32</v>
      </c>
      <c r="H4872" s="0" t="n">
        <v>26</v>
      </c>
      <c r="I4872" s="0" t="s">
        <v>16257</v>
      </c>
      <c r="J4872" s="0" t="s">
        <v>16258</v>
      </c>
      <c r="K4872" s="0" t="s">
        <v>16259</v>
      </c>
      <c r="L4872" s="0" t="str">
        <f aca="false">HYPERLINK("https://www.ncbi.nlm.nih.gov/nuccore/CP000058.1?report=graph&amp;tracks=[key:gene_model_track,Options:GeneOnly]&amp;mk=1524725:1524744|offset_6|444444,1524745:1524764|offset_26|00cc00,1524788:1524807|offset_69|444444,1524813:1524832|offset_94|444444&amp;v=1524524:1525032&amp;c=444444", "offset 26")</f>
        <v>offset 26</v>
      </c>
    </row>
    <row r="4873" customFormat="false" ht="12.8" hidden="false" customHeight="false" outlineLevel="0" collapsed="false">
      <c r="A4873" s="0" t="s">
        <v>12</v>
      </c>
      <c r="B4873" s="0" t="n">
        <v>1524787</v>
      </c>
      <c r="C4873" s="0" t="n">
        <v>1524807</v>
      </c>
      <c r="D4873" s="0" t="s">
        <v>16252</v>
      </c>
      <c r="E4873" s="0" t="s">
        <v>16253</v>
      </c>
      <c r="F4873" s="0" t="s">
        <v>15</v>
      </c>
      <c r="G4873" s="0" t="s">
        <v>16</v>
      </c>
      <c r="H4873" s="0" t="n">
        <v>69</v>
      </c>
      <c r="I4873" s="0" t="s">
        <v>16260</v>
      </c>
      <c r="J4873" s="0" t="s">
        <v>16261</v>
      </c>
      <c r="K4873" s="0" t="s">
        <v>16262</v>
      </c>
      <c r="L4873" s="0" t="str">
        <f aca="false">HYPERLINK("https://www.ncbi.nlm.nih.gov/nuccore/CP000058.1?report=graph&amp;tracks=[key:gene_model_track,Options:GeneOnly]&amp;mk=1524725:1524744|offset_6|444444,1524745:1524764|offset_26|444444,1524788:1524807|offset_69|00cc00,1524813:1524832|offset_94|444444&amp;v=1524524:1525032&amp;c=444444", "offset 69")</f>
        <v>offset 69</v>
      </c>
    </row>
    <row r="4874" customFormat="false" ht="12.8" hidden="false" customHeight="false" outlineLevel="0" collapsed="false">
      <c r="A4874" s="0" t="s">
        <v>12</v>
      </c>
      <c r="B4874" s="0" t="n">
        <v>1524812</v>
      </c>
      <c r="C4874" s="0" t="n">
        <v>1524832</v>
      </c>
      <c r="D4874" s="0" t="s">
        <v>16252</v>
      </c>
      <c r="E4874" s="0" t="s">
        <v>16253</v>
      </c>
      <c r="F4874" s="0" t="s">
        <v>15</v>
      </c>
      <c r="G4874" s="0" t="s">
        <v>36</v>
      </c>
      <c r="H4874" s="0" t="n">
        <v>94</v>
      </c>
      <c r="I4874" s="0" t="s">
        <v>16263</v>
      </c>
      <c r="J4874" s="0" t="s">
        <v>16264</v>
      </c>
      <c r="K4874" s="0" t="s">
        <v>16265</v>
      </c>
      <c r="L4874" s="0" t="str">
        <f aca="false">HYPERLINK("https://www.ncbi.nlm.nih.gov/nuccore/CP000058.1?report=graph&amp;tracks=[key:gene_model_track,Options:GeneOnly]&amp;mk=1524725:1524744|offset_6|444444,1524745:1524764|offset_26|444444,1524788:1524807|offset_69|444444,1524813:1524832|offset_94|00cc00&amp;v=1524524:1525032&amp;c=444444", "offset 94")</f>
        <v>offset 94</v>
      </c>
    </row>
    <row r="4875" customFormat="false" ht="12.8" hidden="false" customHeight="false" outlineLevel="0" collapsed="false">
      <c r="A4875" s="0" t="s">
        <v>12</v>
      </c>
      <c r="B4875" s="0" t="n">
        <v>1525111</v>
      </c>
      <c r="C4875" s="0" t="n">
        <v>1525131</v>
      </c>
      <c r="D4875" s="0" t="s">
        <v>16266</v>
      </c>
      <c r="E4875" s="0" t="s">
        <v>75</v>
      </c>
      <c r="F4875" s="0" t="s">
        <v>15</v>
      </c>
      <c r="G4875" s="0" t="s">
        <v>32</v>
      </c>
      <c r="H4875" s="0" t="n">
        <v>37</v>
      </c>
      <c r="I4875" s="0" t="s">
        <v>16267</v>
      </c>
      <c r="J4875" s="0" t="s">
        <v>16268</v>
      </c>
      <c r="K4875" s="0" t="s">
        <v>16269</v>
      </c>
      <c r="L4875" s="0" t="str">
        <f aca="false">HYPERLINK("https://www.ncbi.nlm.nih.gov/nuccore/CP000058.1?report=graph&amp;tracks=[key:gene_model_track,Options:GeneOnly]&amp;mk=1525112:1525131|offset_37|00cc00,1525134:1525153|offset_59|444444,1525165:1525184|offset_90|444444,1525190:1525209|offset_115|444444&amp;v=1524911:1525409&amp;c=444444", "offset 37")</f>
        <v>offset 37</v>
      </c>
    </row>
    <row r="4876" customFormat="false" ht="12.8" hidden="false" customHeight="false" outlineLevel="0" collapsed="false">
      <c r="A4876" s="0" t="s">
        <v>12</v>
      </c>
      <c r="B4876" s="0" t="n">
        <v>1525133</v>
      </c>
      <c r="C4876" s="0" t="n">
        <v>1525153</v>
      </c>
      <c r="D4876" s="0" t="s">
        <v>16266</v>
      </c>
      <c r="E4876" s="0" t="s">
        <v>75</v>
      </c>
      <c r="F4876" s="0" t="s">
        <v>15</v>
      </c>
      <c r="G4876" s="0" t="s">
        <v>36</v>
      </c>
      <c r="H4876" s="0" t="n">
        <v>59</v>
      </c>
      <c r="I4876" s="0" t="s">
        <v>16270</v>
      </c>
      <c r="J4876" s="0" t="s">
        <v>16271</v>
      </c>
      <c r="K4876" s="0" t="s">
        <v>16272</v>
      </c>
      <c r="L4876" s="0" t="str">
        <f aca="false">HYPERLINK("https://www.ncbi.nlm.nih.gov/nuccore/CP000058.1?report=graph&amp;tracks=[key:gene_model_track,Options:GeneOnly]&amp;mk=1525112:1525131|offset_37|444444,1525134:1525153|offset_59|00cc00,1525165:1525184|offset_90|444444,1525190:1525209|offset_115|444444&amp;v=1524911:1525409&amp;c=444444", "offset 59")</f>
        <v>offset 59</v>
      </c>
    </row>
    <row r="4877" customFormat="false" ht="12.8" hidden="false" customHeight="false" outlineLevel="0" collapsed="false">
      <c r="A4877" s="0" t="s">
        <v>12</v>
      </c>
      <c r="B4877" s="0" t="n">
        <v>1525164</v>
      </c>
      <c r="C4877" s="0" t="n">
        <v>1525184</v>
      </c>
      <c r="D4877" s="0" t="s">
        <v>16266</v>
      </c>
      <c r="E4877" s="0" t="s">
        <v>75</v>
      </c>
      <c r="F4877" s="0" t="s">
        <v>15</v>
      </c>
      <c r="G4877" s="0" t="s">
        <v>36</v>
      </c>
      <c r="H4877" s="0" t="n">
        <v>90</v>
      </c>
      <c r="I4877" s="0" t="s">
        <v>16273</v>
      </c>
      <c r="J4877" s="0" t="s">
        <v>16274</v>
      </c>
      <c r="K4877" s="0" t="s">
        <v>16275</v>
      </c>
      <c r="L4877" s="0" t="str">
        <f aca="false">HYPERLINK("https://www.ncbi.nlm.nih.gov/nuccore/CP000058.1?report=graph&amp;tracks=[key:gene_model_track,Options:GeneOnly]&amp;mk=1525112:1525131|offset_37|444444,1525134:1525153|offset_59|444444,1525165:1525184|offset_90|00cc00,1525190:1525209|offset_115|444444&amp;v=1524911:1525409&amp;c=444444", "offset 90")</f>
        <v>offset 90</v>
      </c>
    </row>
    <row r="4878" customFormat="false" ht="12.8" hidden="false" customHeight="false" outlineLevel="0" collapsed="false">
      <c r="A4878" s="0" t="s">
        <v>12</v>
      </c>
      <c r="B4878" s="0" t="n">
        <v>1525189</v>
      </c>
      <c r="C4878" s="0" t="n">
        <v>1525209</v>
      </c>
      <c r="D4878" s="0" t="s">
        <v>16266</v>
      </c>
      <c r="E4878" s="0" t="s">
        <v>75</v>
      </c>
      <c r="F4878" s="0" t="s">
        <v>15</v>
      </c>
      <c r="G4878" s="0" t="s">
        <v>20</v>
      </c>
      <c r="H4878" s="0" t="n">
        <v>115</v>
      </c>
      <c r="I4878" s="0" t="s">
        <v>16276</v>
      </c>
      <c r="J4878" s="0" t="s">
        <v>16277</v>
      </c>
      <c r="K4878" s="0" t="s">
        <v>16278</v>
      </c>
      <c r="L4878" s="0" t="str">
        <f aca="false">HYPERLINK("https://www.ncbi.nlm.nih.gov/nuccore/CP000058.1?report=graph&amp;tracks=[key:gene_model_track,Options:GeneOnly]&amp;mk=1525112:1525131|offset_37|444444,1525134:1525153|offset_59|444444,1525165:1525184|offset_90|444444,1525190:1525209|offset_115|00cc00&amp;v=1524911:1525409&amp;c=444444", "offset 115")</f>
        <v>offset 115</v>
      </c>
    </row>
    <row r="4879" customFormat="false" ht="12.8" hidden="false" customHeight="false" outlineLevel="0" collapsed="false">
      <c r="A4879" s="0" t="s">
        <v>12</v>
      </c>
      <c r="B4879" s="0" t="n">
        <v>1525372</v>
      </c>
      <c r="C4879" s="0" t="n">
        <v>1525392</v>
      </c>
      <c r="D4879" s="0" t="s">
        <v>16279</v>
      </c>
      <c r="E4879" s="0" t="s">
        <v>16280</v>
      </c>
      <c r="F4879" s="0" t="s">
        <v>15</v>
      </c>
      <c r="G4879" s="0" t="s">
        <v>32</v>
      </c>
      <c r="H4879" s="0" t="n">
        <v>1</v>
      </c>
      <c r="I4879" s="0" t="s">
        <v>16281</v>
      </c>
      <c r="J4879" s="0" t="s">
        <v>16282</v>
      </c>
      <c r="K4879" s="0" t="s">
        <v>16283</v>
      </c>
      <c r="L4879" s="0" t="str">
        <f aca="false">HYPERLINK("https://www.ncbi.nlm.nih.gov/nuccore/CP000058.1?report=graph&amp;tracks=[key:gene_model_track,Options:GeneOnly]&amp;mk=1525373:1525392|offset_1|00cc00,1525397:1525416|offset_25|444444,1525421:1525440|offset_49|444444,1525445:1525464|offset_73|444444&amp;v=1525172:1525664&amp;c=444444", "offset 1")</f>
        <v>offset 1</v>
      </c>
    </row>
    <row r="4880" customFormat="false" ht="12.8" hidden="false" customHeight="false" outlineLevel="0" collapsed="false">
      <c r="A4880" s="0" t="s">
        <v>12</v>
      </c>
      <c r="B4880" s="0" t="n">
        <v>1525396</v>
      </c>
      <c r="C4880" s="0" t="n">
        <v>1525416</v>
      </c>
      <c r="D4880" s="0" t="s">
        <v>16279</v>
      </c>
      <c r="E4880" s="0" t="s">
        <v>16280</v>
      </c>
      <c r="F4880" s="0" t="s">
        <v>15</v>
      </c>
      <c r="G4880" s="0" t="s">
        <v>32</v>
      </c>
      <c r="H4880" s="0" t="n">
        <v>25</v>
      </c>
      <c r="I4880" s="0" t="s">
        <v>16284</v>
      </c>
      <c r="J4880" s="0" t="s">
        <v>16285</v>
      </c>
      <c r="K4880" s="0" t="s">
        <v>16286</v>
      </c>
      <c r="L4880" s="0" t="str">
        <f aca="false">HYPERLINK("https://www.ncbi.nlm.nih.gov/nuccore/CP000058.1?report=graph&amp;tracks=[key:gene_model_track,Options:GeneOnly]&amp;mk=1525373:1525392|offset_1|444444,1525397:1525416|offset_25|00cc00,1525421:1525440|offset_49|444444,1525445:1525464|offset_73|444444&amp;v=1525172:1525664&amp;c=444444", "offset 25")</f>
        <v>offset 25</v>
      </c>
    </row>
    <row r="4881" customFormat="false" ht="12.8" hidden="false" customHeight="false" outlineLevel="0" collapsed="false">
      <c r="A4881" s="0" t="s">
        <v>12</v>
      </c>
      <c r="B4881" s="0" t="n">
        <v>1525420</v>
      </c>
      <c r="C4881" s="0" t="n">
        <v>1525440</v>
      </c>
      <c r="D4881" s="0" t="s">
        <v>16279</v>
      </c>
      <c r="E4881" s="0" t="s">
        <v>16280</v>
      </c>
      <c r="F4881" s="0" t="s">
        <v>15</v>
      </c>
      <c r="G4881" s="0" t="s">
        <v>32</v>
      </c>
      <c r="H4881" s="0" t="n">
        <v>49</v>
      </c>
      <c r="I4881" s="0" t="s">
        <v>16287</v>
      </c>
      <c r="J4881" s="0" t="s">
        <v>16288</v>
      </c>
      <c r="K4881" s="0" t="s">
        <v>16289</v>
      </c>
      <c r="L4881" s="0" t="str">
        <f aca="false">HYPERLINK("https://www.ncbi.nlm.nih.gov/nuccore/CP000058.1?report=graph&amp;tracks=[key:gene_model_track,Options:GeneOnly]&amp;mk=1525373:1525392|offset_1|444444,1525397:1525416|offset_25|444444,1525421:1525440|offset_49|00cc00,1525445:1525464|offset_73|444444&amp;v=1525172:1525664&amp;c=444444", "offset 49")</f>
        <v>offset 49</v>
      </c>
    </row>
    <row r="4882" customFormat="false" ht="12.8" hidden="false" customHeight="false" outlineLevel="0" collapsed="false">
      <c r="A4882" s="0" t="s">
        <v>12</v>
      </c>
      <c r="B4882" s="0" t="n">
        <v>1525444</v>
      </c>
      <c r="C4882" s="0" t="n">
        <v>1525464</v>
      </c>
      <c r="D4882" s="0" t="s">
        <v>16279</v>
      </c>
      <c r="E4882" s="0" t="s">
        <v>16280</v>
      </c>
      <c r="F4882" s="0" t="s">
        <v>15</v>
      </c>
      <c r="G4882" s="0" t="s">
        <v>32</v>
      </c>
      <c r="H4882" s="0" t="n">
        <v>73</v>
      </c>
      <c r="I4882" s="0" t="s">
        <v>16290</v>
      </c>
      <c r="J4882" s="0" t="s">
        <v>16291</v>
      </c>
      <c r="K4882" s="0" t="s">
        <v>16292</v>
      </c>
      <c r="L4882" s="0" t="str">
        <f aca="false">HYPERLINK("https://www.ncbi.nlm.nih.gov/nuccore/CP000058.1?report=graph&amp;tracks=[key:gene_model_track,Options:GeneOnly]&amp;mk=1525373:1525392|offset_1|444444,1525397:1525416|offset_25|444444,1525421:1525440|offset_49|444444,1525445:1525464|offset_73|00cc00&amp;v=1525172:1525664&amp;c=444444", "offset 73")</f>
        <v>offset 73</v>
      </c>
    </row>
    <row r="4883" customFormat="false" ht="12.8" hidden="false" customHeight="false" outlineLevel="0" collapsed="false">
      <c r="A4883" s="0" t="s">
        <v>12</v>
      </c>
      <c r="B4883" s="0" t="n">
        <v>1525855</v>
      </c>
      <c r="C4883" s="0" t="n">
        <v>1525875</v>
      </c>
      <c r="D4883" s="0" t="s">
        <v>16293</v>
      </c>
      <c r="E4883" s="0" t="s">
        <v>75</v>
      </c>
      <c r="F4883" s="0" t="s">
        <v>15</v>
      </c>
      <c r="G4883" s="0" t="s">
        <v>32</v>
      </c>
      <c r="H4883" s="0" t="n">
        <v>25</v>
      </c>
      <c r="I4883" s="0" t="s">
        <v>16294</v>
      </c>
      <c r="J4883" s="0" t="s">
        <v>16295</v>
      </c>
      <c r="K4883" s="0" t="s">
        <v>16296</v>
      </c>
      <c r="L4883" s="0" t="str">
        <f aca="false">HYPERLINK("https://www.ncbi.nlm.nih.gov/nuccore/CP000058.1?report=graph&amp;tracks=[key:gene_model_track,Options:GeneOnly]&amp;mk=1525856:1525875|offset_25|00cc00,1525923:1525942|offset_92|444444,1525953:1525972|offset_122|444444,1526000:1526019|offset_169|444444&amp;v=1525655:1526219&amp;c=444444", "offset 25")</f>
        <v>offset 25</v>
      </c>
    </row>
    <row r="4884" customFormat="false" ht="12.8" hidden="false" customHeight="false" outlineLevel="0" collapsed="false">
      <c r="A4884" s="0" t="s">
        <v>12</v>
      </c>
      <c r="B4884" s="0" t="n">
        <v>1525922</v>
      </c>
      <c r="C4884" s="0" t="n">
        <v>1525942</v>
      </c>
      <c r="D4884" s="0" t="s">
        <v>16293</v>
      </c>
      <c r="E4884" s="0" t="s">
        <v>75</v>
      </c>
      <c r="F4884" s="0" t="s">
        <v>15</v>
      </c>
      <c r="G4884" s="0" t="s">
        <v>16</v>
      </c>
      <c r="H4884" s="0" t="n">
        <v>92</v>
      </c>
      <c r="I4884" s="0" t="s">
        <v>16297</v>
      </c>
      <c r="J4884" s="0" t="s">
        <v>16298</v>
      </c>
      <c r="K4884" s="0" t="s">
        <v>16299</v>
      </c>
      <c r="L4884" s="0" t="str">
        <f aca="false">HYPERLINK("https://www.ncbi.nlm.nih.gov/nuccore/CP000058.1?report=graph&amp;tracks=[key:gene_model_track,Options:GeneOnly]&amp;mk=1525856:1525875|offset_25|444444,1525923:1525942|offset_92|00cc00,1525953:1525972|offset_122|444444,1526000:1526019|offset_169|444444&amp;v=1525655:1526219&amp;c=444444", "offset 92")</f>
        <v>offset 92</v>
      </c>
    </row>
    <row r="4885" customFormat="false" ht="12.8" hidden="false" customHeight="false" outlineLevel="0" collapsed="false">
      <c r="A4885" s="0" t="s">
        <v>12</v>
      </c>
      <c r="B4885" s="0" t="n">
        <v>1525952</v>
      </c>
      <c r="C4885" s="0" t="n">
        <v>1525972</v>
      </c>
      <c r="D4885" s="0" t="s">
        <v>16293</v>
      </c>
      <c r="E4885" s="0" t="s">
        <v>75</v>
      </c>
      <c r="F4885" s="0" t="s">
        <v>15</v>
      </c>
      <c r="G4885" s="0" t="s">
        <v>32</v>
      </c>
      <c r="H4885" s="0" t="n">
        <v>122</v>
      </c>
      <c r="I4885" s="0" t="s">
        <v>16300</v>
      </c>
      <c r="J4885" s="0" t="s">
        <v>16301</v>
      </c>
      <c r="K4885" s="0" t="s">
        <v>16302</v>
      </c>
      <c r="L4885" s="0" t="str">
        <f aca="false">HYPERLINK("https://www.ncbi.nlm.nih.gov/nuccore/CP000058.1?report=graph&amp;tracks=[key:gene_model_track,Options:GeneOnly]&amp;mk=1525856:1525875|offset_25|444444,1525923:1525942|offset_92|444444,1525953:1525972|offset_122|00cc00,1526000:1526019|offset_169|444444&amp;v=1525655:1526219&amp;c=444444", "offset 122")</f>
        <v>offset 122</v>
      </c>
    </row>
    <row r="4886" customFormat="false" ht="12.8" hidden="false" customHeight="false" outlineLevel="0" collapsed="false">
      <c r="A4886" s="0" t="s">
        <v>12</v>
      </c>
      <c r="B4886" s="0" t="n">
        <v>1525999</v>
      </c>
      <c r="C4886" s="0" t="n">
        <v>1526019</v>
      </c>
      <c r="D4886" s="0" t="s">
        <v>16293</v>
      </c>
      <c r="E4886" s="0" t="s">
        <v>75</v>
      </c>
      <c r="F4886" s="0" t="s">
        <v>15</v>
      </c>
      <c r="G4886" s="0" t="s">
        <v>36</v>
      </c>
      <c r="H4886" s="0" t="n">
        <v>169</v>
      </c>
      <c r="I4886" s="0" t="s">
        <v>16303</v>
      </c>
      <c r="J4886" s="0" t="s">
        <v>16304</v>
      </c>
      <c r="K4886" s="0" t="s">
        <v>16305</v>
      </c>
      <c r="L4886" s="0" t="str">
        <f aca="false">HYPERLINK("https://www.ncbi.nlm.nih.gov/nuccore/CP000058.1?report=graph&amp;tracks=[key:gene_model_track,Options:GeneOnly]&amp;mk=1525856:1525875|offset_25|444444,1525923:1525942|offset_92|444444,1525953:1525972|offset_122|444444,1526000:1526019|offset_169|00cc00&amp;v=1525655:1526219&amp;c=444444", "offset 169")</f>
        <v>offset 169</v>
      </c>
    </row>
    <row r="4887" customFormat="false" ht="12.8" hidden="false" customHeight="false" outlineLevel="0" collapsed="false">
      <c r="A4887" s="0" t="s">
        <v>12</v>
      </c>
      <c r="B4887" s="0" t="n">
        <v>1527006</v>
      </c>
      <c r="C4887" s="0" t="n">
        <v>1527026</v>
      </c>
      <c r="D4887" s="0" t="s">
        <v>16306</v>
      </c>
      <c r="E4887" s="0" t="s">
        <v>16307</v>
      </c>
      <c r="F4887" s="0" t="s">
        <v>15</v>
      </c>
      <c r="G4887" s="0" t="s">
        <v>32</v>
      </c>
      <c r="H4887" s="0" t="n">
        <v>1</v>
      </c>
      <c r="I4887" s="0" t="s">
        <v>16308</v>
      </c>
      <c r="J4887" s="0" t="s">
        <v>16309</v>
      </c>
      <c r="K4887" s="0" t="s">
        <v>16310</v>
      </c>
      <c r="L4887" s="0" t="str">
        <f aca="false">HYPERLINK("https://www.ncbi.nlm.nih.gov/nuccore/CP000058.1?report=graph&amp;tracks=[key:gene_model_track,Options:GeneOnly]&amp;mk=1527007:1527026|offset_1|00cc00,1527067:1527086|offset_61|444444,1527166:1527185|offset_160|444444,1527214:1527233|offset_208|444444&amp;v=1526806:1527433&amp;c=444444", "offset 1")</f>
        <v>offset 1</v>
      </c>
    </row>
    <row r="4888" customFormat="false" ht="12.8" hidden="false" customHeight="false" outlineLevel="0" collapsed="false">
      <c r="A4888" s="0" t="s">
        <v>12</v>
      </c>
      <c r="B4888" s="0" t="n">
        <v>1527066</v>
      </c>
      <c r="C4888" s="0" t="n">
        <v>1527086</v>
      </c>
      <c r="D4888" s="0" t="s">
        <v>16306</v>
      </c>
      <c r="E4888" s="0" t="s">
        <v>16307</v>
      </c>
      <c r="F4888" s="0" t="s">
        <v>15</v>
      </c>
      <c r="G4888" s="0" t="s">
        <v>32</v>
      </c>
      <c r="H4888" s="0" t="n">
        <v>61</v>
      </c>
      <c r="I4888" s="0" t="s">
        <v>16311</v>
      </c>
      <c r="J4888" s="0" t="s">
        <v>16312</v>
      </c>
      <c r="K4888" s="0" t="s">
        <v>16313</v>
      </c>
      <c r="L4888" s="0" t="str">
        <f aca="false">HYPERLINK("https://www.ncbi.nlm.nih.gov/nuccore/CP000058.1?report=graph&amp;tracks=[key:gene_model_track,Options:GeneOnly]&amp;mk=1527007:1527026|offset_1|444444,1527067:1527086|offset_61|00cc00,1527166:1527185|offset_160|444444,1527214:1527233|offset_208|444444&amp;v=1526806:1527433&amp;c=444444", "offset 61")</f>
        <v>offset 61</v>
      </c>
    </row>
    <row r="4889" customFormat="false" ht="12.8" hidden="false" customHeight="false" outlineLevel="0" collapsed="false">
      <c r="A4889" s="0" t="s">
        <v>12</v>
      </c>
      <c r="B4889" s="0" t="n">
        <v>1527165</v>
      </c>
      <c r="C4889" s="0" t="n">
        <v>1527185</v>
      </c>
      <c r="D4889" s="0" t="s">
        <v>16306</v>
      </c>
      <c r="E4889" s="0" t="s">
        <v>16307</v>
      </c>
      <c r="F4889" s="0" t="s">
        <v>15</v>
      </c>
      <c r="G4889" s="0" t="s">
        <v>16</v>
      </c>
      <c r="H4889" s="0" t="n">
        <v>160</v>
      </c>
      <c r="I4889" s="0" t="s">
        <v>16314</v>
      </c>
      <c r="J4889" s="0" t="s">
        <v>16315</v>
      </c>
      <c r="K4889" s="0" t="s">
        <v>16316</v>
      </c>
      <c r="L4889" s="0" t="str">
        <f aca="false">HYPERLINK("https://www.ncbi.nlm.nih.gov/nuccore/CP000058.1?report=graph&amp;tracks=[key:gene_model_track,Options:GeneOnly]&amp;mk=1527007:1527026|offset_1|444444,1527067:1527086|offset_61|444444,1527166:1527185|offset_160|00cc00,1527214:1527233|offset_208|444444&amp;v=1526806:1527433&amp;c=444444", "offset 160")</f>
        <v>offset 160</v>
      </c>
    </row>
    <row r="4890" customFormat="false" ht="12.8" hidden="false" customHeight="false" outlineLevel="0" collapsed="false">
      <c r="A4890" s="0" t="s">
        <v>12</v>
      </c>
      <c r="B4890" s="0" t="n">
        <v>1527213</v>
      </c>
      <c r="C4890" s="0" t="n">
        <v>1527233</v>
      </c>
      <c r="D4890" s="0" t="s">
        <v>16306</v>
      </c>
      <c r="E4890" s="0" t="s">
        <v>16307</v>
      </c>
      <c r="F4890" s="0" t="s">
        <v>15</v>
      </c>
      <c r="G4890" s="0" t="s">
        <v>16</v>
      </c>
      <c r="H4890" s="0" t="n">
        <v>208</v>
      </c>
      <c r="I4890" s="0" t="s">
        <v>16317</v>
      </c>
      <c r="J4890" s="0" t="s">
        <v>16318</v>
      </c>
      <c r="K4890" s="0" t="s">
        <v>16319</v>
      </c>
      <c r="L4890" s="0" t="str">
        <f aca="false">HYPERLINK("https://www.ncbi.nlm.nih.gov/nuccore/CP000058.1?report=graph&amp;tracks=[key:gene_model_track,Options:GeneOnly]&amp;mk=1527007:1527026|offset_1|444444,1527067:1527086|offset_61|444444,1527166:1527185|offset_160|444444,1527214:1527233|offset_208|00cc00&amp;v=1526806:1527433&amp;c=444444", "offset 208")</f>
        <v>offset 208</v>
      </c>
    </row>
    <row r="4891" customFormat="false" ht="12.8" hidden="false" customHeight="false" outlineLevel="0" collapsed="false">
      <c r="A4891" s="0" t="s">
        <v>12</v>
      </c>
      <c r="B4891" s="0" t="n">
        <v>1527781</v>
      </c>
      <c r="C4891" s="0" t="n">
        <v>1527801</v>
      </c>
      <c r="D4891" s="0" t="s">
        <v>16320</v>
      </c>
      <c r="E4891" s="0" t="s">
        <v>75</v>
      </c>
      <c r="F4891" s="0" t="s">
        <v>15</v>
      </c>
      <c r="G4891" s="0" t="s">
        <v>36</v>
      </c>
      <c r="H4891" s="0" t="n">
        <v>18</v>
      </c>
      <c r="I4891" s="0" t="s">
        <v>16321</v>
      </c>
      <c r="J4891" s="0" t="s">
        <v>16322</v>
      </c>
      <c r="K4891" s="0" t="s">
        <v>16323</v>
      </c>
      <c r="L4891" s="0" t="str">
        <f aca="false">HYPERLINK("https://www.ncbi.nlm.nih.gov/nuccore/CP000058.1?report=graph&amp;tracks=[key:gene_model_track,Options:GeneOnly]&amp;mk=1527782:1527801|offset_18|00cc00,1527802:1527821|offset_38|444444,1527822:1527841|offset_58|444444,1527860:1527879|offset_96|444444&amp;v=1527581:1528079&amp;c=444444", "offset 18")</f>
        <v>offset 18</v>
      </c>
    </row>
    <row r="4892" customFormat="false" ht="12.8" hidden="false" customHeight="false" outlineLevel="0" collapsed="false">
      <c r="A4892" s="0" t="s">
        <v>12</v>
      </c>
      <c r="B4892" s="0" t="n">
        <v>1527801</v>
      </c>
      <c r="C4892" s="0" t="n">
        <v>1527821</v>
      </c>
      <c r="D4892" s="0" t="s">
        <v>16320</v>
      </c>
      <c r="E4892" s="0" t="s">
        <v>75</v>
      </c>
      <c r="F4892" s="0" t="s">
        <v>15</v>
      </c>
      <c r="G4892" s="0" t="s">
        <v>16</v>
      </c>
      <c r="H4892" s="0" t="n">
        <v>38</v>
      </c>
      <c r="I4892" s="0" t="s">
        <v>16324</v>
      </c>
      <c r="J4892" s="0" t="s">
        <v>16325</v>
      </c>
      <c r="K4892" s="0" t="s">
        <v>16326</v>
      </c>
      <c r="L4892" s="0" t="str">
        <f aca="false">HYPERLINK("https://www.ncbi.nlm.nih.gov/nuccore/CP000058.1?report=graph&amp;tracks=[key:gene_model_track,Options:GeneOnly]&amp;mk=1527782:1527801|offset_18|444444,1527802:1527821|offset_38|00cc00,1527822:1527841|offset_58|444444,1527860:1527879|offset_96|444444&amp;v=1527581:1528079&amp;c=444444", "offset 38")</f>
        <v>offset 38</v>
      </c>
    </row>
    <row r="4893" customFormat="false" ht="12.8" hidden="false" customHeight="false" outlineLevel="0" collapsed="false">
      <c r="A4893" s="0" t="s">
        <v>12</v>
      </c>
      <c r="B4893" s="0" t="n">
        <v>1527821</v>
      </c>
      <c r="C4893" s="0" t="n">
        <v>1527841</v>
      </c>
      <c r="D4893" s="0" t="s">
        <v>16320</v>
      </c>
      <c r="E4893" s="0" t="s">
        <v>75</v>
      </c>
      <c r="F4893" s="0" t="s">
        <v>15</v>
      </c>
      <c r="G4893" s="0" t="s">
        <v>36</v>
      </c>
      <c r="H4893" s="0" t="n">
        <v>58</v>
      </c>
      <c r="I4893" s="0" t="s">
        <v>16327</v>
      </c>
      <c r="J4893" s="0" t="s">
        <v>16328</v>
      </c>
      <c r="K4893" s="0" t="s">
        <v>16329</v>
      </c>
      <c r="L4893" s="0" t="str">
        <f aca="false">HYPERLINK("https://www.ncbi.nlm.nih.gov/nuccore/CP000058.1?report=graph&amp;tracks=[key:gene_model_track,Options:GeneOnly]&amp;mk=1527782:1527801|offset_18|444444,1527802:1527821|offset_38|444444,1527822:1527841|offset_58|00cc00,1527860:1527879|offset_96|444444&amp;v=1527581:1528079&amp;c=444444", "offset 58")</f>
        <v>offset 58</v>
      </c>
    </row>
    <row r="4894" customFormat="false" ht="12.8" hidden="false" customHeight="false" outlineLevel="0" collapsed="false">
      <c r="A4894" s="0" t="s">
        <v>12</v>
      </c>
      <c r="B4894" s="0" t="n">
        <v>1527859</v>
      </c>
      <c r="C4894" s="0" t="n">
        <v>1527879</v>
      </c>
      <c r="D4894" s="0" t="s">
        <v>16320</v>
      </c>
      <c r="E4894" s="0" t="s">
        <v>75</v>
      </c>
      <c r="F4894" s="0" t="s">
        <v>15</v>
      </c>
      <c r="G4894" s="0" t="s">
        <v>32</v>
      </c>
      <c r="H4894" s="0" t="n">
        <v>96</v>
      </c>
      <c r="I4894" s="0" t="s">
        <v>16330</v>
      </c>
      <c r="J4894" s="0" t="s">
        <v>16331</v>
      </c>
      <c r="K4894" s="0" t="s">
        <v>16332</v>
      </c>
      <c r="L4894" s="0" t="str">
        <f aca="false">HYPERLINK("https://www.ncbi.nlm.nih.gov/nuccore/CP000058.1?report=graph&amp;tracks=[key:gene_model_track,Options:GeneOnly]&amp;mk=1527782:1527801|offset_18|444444,1527802:1527821|offset_38|444444,1527822:1527841|offset_58|444444,1527860:1527879|offset_96|00cc00&amp;v=1527581:1528079&amp;c=444444", "offset 96")</f>
        <v>offset 96</v>
      </c>
    </row>
    <row r="4895" customFormat="false" ht="12.8" hidden="false" customHeight="false" outlineLevel="0" collapsed="false">
      <c r="A4895" s="0" t="s">
        <v>12</v>
      </c>
      <c r="B4895" s="0" t="n">
        <v>1528783</v>
      </c>
      <c r="C4895" s="0" t="n">
        <v>1528803</v>
      </c>
      <c r="D4895" s="0" t="s">
        <v>16333</v>
      </c>
      <c r="E4895" s="0" t="s">
        <v>16334</v>
      </c>
      <c r="F4895" s="0" t="s">
        <v>15</v>
      </c>
      <c r="G4895" s="0" t="s">
        <v>32</v>
      </c>
      <c r="H4895" s="0" t="n">
        <v>18</v>
      </c>
      <c r="I4895" s="0" t="s">
        <v>16335</v>
      </c>
      <c r="J4895" s="0" t="s">
        <v>16336</v>
      </c>
      <c r="K4895" s="0" t="s">
        <v>16337</v>
      </c>
      <c r="L4895" s="0" t="str">
        <f aca="false">HYPERLINK("https://www.ncbi.nlm.nih.gov/nuccore/CP000058.1?report=graph&amp;tracks=[key:gene_model_track,Options:GeneOnly]&amp;mk=1528784:1528803|offset_18|00cc00,1528804:1528823|offset_38|444444,1528824:1528843|offset_58|444444,1528847:1528866|offset_81|444444&amp;v=1528583:1529066&amp;c=444444", "offset 18")</f>
        <v>offset 18</v>
      </c>
    </row>
    <row r="4896" customFormat="false" ht="12.8" hidden="false" customHeight="false" outlineLevel="0" collapsed="false">
      <c r="A4896" s="0" t="s">
        <v>12</v>
      </c>
      <c r="B4896" s="0" t="n">
        <v>1528803</v>
      </c>
      <c r="C4896" s="0" t="n">
        <v>1528823</v>
      </c>
      <c r="D4896" s="0" t="s">
        <v>16333</v>
      </c>
      <c r="E4896" s="0" t="s">
        <v>16334</v>
      </c>
      <c r="F4896" s="0" t="s">
        <v>15</v>
      </c>
      <c r="G4896" s="0" t="s">
        <v>16</v>
      </c>
      <c r="H4896" s="0" t="n">
        <v>38</v>
      </c>
      <c r="I4896" s="0" t="s">
        <v>16338</v>
      </c>
      <c r="J4896" s="0" t="s">
        <v>16339</v>
      </c>
      <c r="K4896" s="0" t="s">
        <v>16340</v>
      </c>
      <c r="L4896" s="0" t="str">
        <f aca="false">HYPERLINK("https://www.ncbi.nlm.nih.gov/nuccore/CP000058.1?report=graph&amp;tracks=[key:gene_model_track,Options:GeneOnly]&amp;mk=1528784:1528803|offset_18|444444,1528804:1528823|offset_38|00cc00,1528824:1528843|offset_58|444444,1528847:1528866|offset_81|444444&amp;v=1528583:1529066&amp;c=444444", "offset 38")</f>
        <v>offset 38</v>
      </c>
    </row>
    <row r="4897" customFormat="false" ht="12.8" hidden="false" customHeight="false" outlineLevel="0" collapsed="false">
      <c r="A4897" s="0" t="s">
        <v>12</v>
      </c>
      <c r="B4897" s="0" t="n">
        <v>1528823</v>
      </c>
      <c r="C4897" s="0" t="n">
        <v>1528843</v>
      </c>
      <c r="D4897" s="0" t="s">
        <v>16333</v>
      </c>
      <c r="E4897" s="0" t="s">
        <v>16334</v>
      </c>
      <c r="F4897" s="0" t="s">
        <v>15</v>
      </c>
      <c r="G4897" s="0" t="s">
        <v>16</v>
      </c>
      <c r="H4897" s="0" t="n">
        <v>58</v>
      </c>
      <c r="I4897" s="0" t="s">
        <v>16341</v>
      </c>
      <c r="J4897" s="0" t="s">
        <v>16342</v>
      </c>
      <c r="K4897" s="0" t="s">
        <v>16343</v>
      </c>
      <c r="L4897" s="0" t="str">
        <f aca="false">HYPERLINK("https://www.ncbi.nlm.nih.gov/nuccore/CP000058.1?report=graph&amp;tracks=[key:gene_model_track,Options:GeneOnly]&amp;mk=1528784:1528803|offset_18|444444,1528804:1528823|offset_38|444444,1528824:1528843|offset_58|00cc00,1528847:1528866|offset_81|444444&amp;v=1528583:1529066&amp;c=444444", "offset 58")</f>
        <v>offset 58</v>
      </c>
    </row>
    <row r="4898" customFormat="false" ht="12.8" hidden="false" customHeight="false" outlineLevel="0" collapsed="false">
      <c r="A4898" s="0" t="s">
        <v>12</v>
      </c>
      <c r="B4898" s="0" t="n">
        <v>1528846</v>
      </c>
      <c r="C4898" s="0" t="n">
        <v>1528866</v>
      </c>
      <c r="D4898" s="0" t="s">
        <v>16333</v>
      </c>
      <c r="E4898" s="0" t="s">
        <v>16334</v>
      </c>
      <c r="F4898" s="0" t="s">
        <v>15</v>
      </c>
      <c r="G4898" s="0" t="s">
        <v>16</v>
      </c>
      <c r="H4898" s="0" t="n">
        <v>81</v>
      </c>
      <c r="I4898" s="0" t="s">
        <v>16344</v>
      </c>
      <c r="J4898" s="0" t="s">
        <v>16345</v>
      </c>
      <c r="K4898" s="0" t="s">
        <v>16346</v>
      </c>
      <c r="L4898" s="0" t="str">
        <f aca="false">HYPERLINK("https://www.ncbi.nlm.nih.gov/nuccore/CP000058.1?report=graph&amp;tracks=[key:gene_model_track,Options:GeneOnly]&amp;mk=1528784:1528803|offset_18|444444,1528804:1528823|offset_38|444444,1528824:1528843|offset_58|444444,1528847:1528866|offset_81|00cc00&amp;v=1528583:1529066&amp;c=444444", "offset 81")</f>
        <v>offset 81</v>
      </c>
    </row>
    <row r="4899" customFormat="false" ht="12.8" hidden="false" customHeight="false" outlineLevel="0" collapsed="false">
      <c r="A4899" s="0" t="s">
        <v>12</v>
      </c>
      <c r="B4899" s="0" t="n">
        <v>1529919</v>
      </c>
      <c r="C4899" s="0" t="n">
        <v>1529939</v>
      </c>
      <c r="D4899" s="0" t="s">
        <v>16347</v>
      </c>
      <c r="E4899" s="0" t="s">
        <v>16348</v>
      </c>
      <c r="F4899" s="0" t="s">
        <v>15</v>
      </c>
      <c r="G4899" s="0" t="s">
        <v>32</v>
      </c>
      <c r="H4899" s="0" t="n">
        <v>22</v>
      </c>
      <c r="I4899" s="0" t="s">
        <v>16349</v>
      </c>
      <c r="J4899" s="0" t="s">
        <v>16350</v>
      </c>
      <c r="K4899" s="0" t="s">
        <v>16351</v>
      </c>
      <c r="L4899" s="0" t="str">
        <f aca="false">HYPERLINK("https://www.ncbi.nlm.nih.gov/nuccore/CP000058.1?report=graph&amp;tracks=[key:gene_model_track,Options:GeneOnly]&amp;mk=1529920:1529939|offset_22|00cc00,1529942:1529961|offset_44|444444,1529969:1529988|offset_71|444444,1530014:1530033|offset_116|444444&amp;v=1529719:1530233&amp;c=444444", "offset 22")</f>
        <v>offset 22</v>
      </c>
    </row>
    <row r="4900" customFormat="false" ht="12.8" hidden="false" customHeight="false" outlineLevel="0" collapsed="false">
      <c r="A4900" s="0" t="s">
        <v>12</v>
      </c>
      <c r="B4900" s="0" t="n">
        <v>1529941</v>
      </c>
      <c r="C4900" s="0" t="n">
        <v>1529961</v>
      </c>
      <c r="D4900" s="0" t="s">
        <v>16347</v>
      </c>
      <c r="E4900" s="0" t="s">
        <v>16348</v>
      </c>
      <c r="F4900" s="0" t="s">
        <v>15</v>
      </c>
      <c r="G4900" s="0" t="s">
        <v>20</v>
      </c>
      <c r="H4900" s="0" t="n">
        <v>44</v>
      </c>
      <c r="I4900" s="0" t="s">
        <v>16352</v>
      </c>
      <c r="J4900" s="0" t="s">
        <v>16353</v>
      </c>
      <c r="K4900" s="0" t="s">
        <v>16354</v>
      </c>
      <c r="L4900" s="0" t="str">
        <f aca="false">HYPERLINK("https://www.ncbi.nlm.nih.gov/nuccore/CP000058.1?report=graph&amp;tracks=[key:gene_model_track,Options:GeneOnly]&amp;mk=1529920:1529939|offset_22|444444,1529942:1529961|offset_44|00cc00,1529969:1529988|offset_71|444444,1530014:1530033|offset_116|444444&amp;v=1529719:1530233&amp;c=444444", "offset 44")</f>
        <v>offset 44</v>
      </c>
    </row>
    <row r="4901" customFormat="false" ht="12.8" hidden="false" customHeight="false" outlineLevel="0" collapsed="false">
      <c r="A4901" s="0" t="s">
        <v>12</v>
      </c>
      <c r="B4901" s="0" t="n">
        <v>1529968</v>
      </c>
      <c r="C4901" s="0" t="n">
        <v>1529988</v>
      </c>
      <c r="D4901" s="0" t="s">
        <v>16347</v>
      </c>
      <c r="E4901" s="0" t="s">
        <v>16348</v>
      </c>
      <c r="F4901" s="0" t="s">
        <v>15</v>
      </c>
      <c r="G4901" s="0" t="s">
        <v>32</v>
      </c>
      <c r="H4901" s="0" t="n">
        <v>71</v>
      </c>
      <c r="I4901" s="0" t="s">
        <v>16355</v>
      </c>
      <c r="J4901" s="0" t="s">
        <v>16356</v>
      </c>
      <c r="K4901" s="0" t="s">
        <v>16357</v>
      </c>
      <c r="L4901" s="0" t="str">
        <f aca="false">HYPERLINK("https://www.ncbi.nlm.nih.gov/nuccore/CP000058.1?report=graph&amp;tracks=[key:gene_model_track,Options:GeneOnly]&amp;mk=1529920:1529939|offset_22|444444,1529942:1529961|offset_44|444444,1529969:1529988|offset_71|00cc00,1530014:1530033|offset_116|444444&amp;v=1529719:1530233&amp;c=444444", "offset 71")</f>
        <v>offset 71</v>
      </c>
    </row>
    <row r="4902" customFormat="false" ht="12.8" hidden="false" customHeight="false" outlineLevel="0" collapsed="false">
      <c r="A4902" s="0" t="s">
        <v>12</v>
      </c>
      <c r="B4902" s="0" t="n">
        <v>1530013</v>
      </c>
      <c r="C4902" s="0" t="n">
        <v>1530033</v>
      </c>
      <c r="D4902" s="0" t="s">
        <v>16347</v>
      </c>
      <c r="E4902" s="0" t="s">
        <v>16348</v>
      </c>
      <c r="F4902" s="0" t="s">
        <v>15</v>
      </c>
      <c r="G4902" s="0" t="s">
        <v>16</v>
      </c>
      <c r="H4902" s="0" t="n">
        <v>116</v>
      </c>
      <c r="I4902" s="0" t="s">
        <v>16358</v>
      </c>
      <c r="J4902" s="0" t="s">
        <v>16359</v>
      </c>
      <c r="K4902" s="0" t="s">
        <v>16360</v>
      </c>
      <c r="L4902" s="0" t="str">
        <f aca="false">HYPERLINK("https://www.ncbi.nlm.nih.gov/nuccore/CP000058.1?report=graph&amp;tracks=[key:gene_model_track,Options:GeneOnly]&amp;mk=1529920:1529939|offset_22|444444,1529942:1529961|offset_44|444444,1529969:1529988|offset_71|444444,1530014:1530033|offset_116|00cc00&amp;v=1529719:1530233&amp;c=444444", "offset 116")</f>
        <v>offset 116</v>
      </c>
    </row>
    <row r="4903" customFormat="false" ht="12.8" hidden="false" customHeight="false" outlineLevel="0" collapsed="false">
      <c r="A4903" s="0" t="s">
        <v>12</v>
      </c>
      <c r="B4903" s="0" t="n">
        <v>1531239</v>
      </c>
      <c r="C4903" s="0" t="n">
        <v>1531259</v>
      </c>
      <c r="D4903" s="0" t="s">
        <v>16361</v>
      </c>
      <c r="E4903" s="0" t="s">
        <v>75</v>
      </c>
      <c r="F4903" s="0" t="s">
        <v>15</v>
      </c>
      <c r="G4903" s="0" t="s">
        <v>16</v>
      </c>
      <c r="H4903" s="0" t="n">
        <v>13</v>
      </c>
      <c r="I4903" s="0" t="s">
        <v>16362</v>
      </c>
      <c r="J4903" s="0" t="s">
        <v>16363</v>
      </c>
      <c r="K4903" s="0" t="s">
        <v>16364</v>
      </c>
      <c r="L4903" s="0" t="str">
        <f aca="false">HYPERLINK("https://www.ncbi.nlm.nih.gov/nuccore/CP000058.1?report=graph&amp;tracks=[key:gene_model_track,Options:GeneOnly]&amp;mk=1531240:1531259|offset_13|00cc00,1531293:1531312|offset_66|444444,1531363:1531382|offset_136|444444,1531422:1531441|offset_195|444444&amp;v=1531039:1531641&amp;c=444444", "offset 13")</f>
        <v>offset 13</v>
      </c>
    </row>
    <row r="4904" customFormat="false" ht="12.8" hidden="false" customHeight="false" outlineLevel="0" collapsed="false">
      <c r="A4904" s="0" t="s">
        <v>12</v>
      </c>
      <c r="B4904" s="0" t="n">
        <v>1531292</v>
      </c>
      <c r="C4904" s="0" t="n">
        <v>1531312</v>
      </c>
      <c r="D4904" s="0" t="s">
        <v>16361</v>
      </c>
      <c r="E4904" s="0" t="s">
        <v>75</v>
      </c>
      <c r="F4904" s="0" t="s">
        <v>15</v>
      </c>
      <c r="G4904" s="0" t="s">
        <v>36</v>
      </c>
      <c r="H4904" s="0" t="n">
        <v>66</v>
      </c>
      <c r="I4904" s="0" t="s">
        <v>16365</v>
      </c>
      <c r="J4904" s="0" t="s">
        <v>16366</v>
      </c>
      <c r="K4904" s="0" t="s">
        <v>16367</v>
      </c>
      <c r="L4904" s="0" t="str">
        <f aca="false">HYPERLINK("https://www.ncbi.nlm.nih.gov/nuccore/CP000058.1?report=graph&amp;tracks=[key:gene_model_track,Options:GeneOnly]&amp;mk=1531240:1531259|offset_13|444444,1531293:1531312|offset_66|00cc00,1531363:1531382|offset_136|444444,1531422:1531441|offset_195|444444&amp;v=1531039:1531641&amp;c=444444", "offset 66")</f>
        <v>offset 66</v>
      </c>
    </row>
    <row r="4905" customFormat="false" ht="12.8" hidden="false" customHeight="false" outlineLevel="0" collapsed="false">
      <c r="A4905" s="0" t="s">
        <v>12</v>
      </c>
      <c r="B4905" s="0" t="n">
        <v>1531362</v>
      </c>
      <c r="C4905" s="0" t="n">
        <v>1531382</v>
      </c>
      <c r="D4905" s="0" t="s">
        <v>16361</v>
      </c>
      <c r="E4905" s="0" t="s">
        <v>75</v>
      </c>
      <c r="F4905" s="0" t="s">
        <v>15</v>
      </c>
      <c r="G4905" s="0" t="s">
        <v>32</v>
      </c>
      <c r="H4905" s="0" t="n">
        <v>136</v>
      </c>
      <c r="I4905" s="0" t="s">
        <v>16368</v>
      </c>
      <c r="J4905" s="0" t="s">
        <v>16369</v>
      </c>
      <c r="K4905" s="0" t="s">
        <v>16370</v>
      </c>
      <c r="L4905" s="0" t="str">
        <f aca="false">HYPERLINK("https://www.ncbi.nlm.nih.gov/nuccore/CP000058.1?report=graph&amp;tracks=[key:gene_model_track,Options:GeneOnly]&amp;mk=1531240:1531259|offset_13|444444,1531293:1531312|offset_66|444444,1531363:1531382|offset_136|00cc00,1531422:1531441|offset_195|444444&amp;v=1531039:1531641&amp;c=444444", "offset 136")</f>
        <v>offset 136</v>
      </c>
    </row>
    <row r="4906" customFormat="false" ht="12.8" hidden="false" customHeight="false" outlineLevel="0" collapsed="false">
      <c r="A4906" s="0" t="s">
        <v>12</v>
      </c>
      <c r="B4906" s="0" t="n">
        <v>1531421</v>
      </c>
      <c r="C4906" s="0" t="n">
        <v>1531441</v>
      </c>
      <c r="D4906" s="0" t="s">
        <v>16361</v>
      </c>
      <c r="E4906" s="0" t="s">
        <v>75</v>
      </c>
      <c r="F4906" s="0" t="s">
        <v>15</v>
      </c>
      <c r="G4906" s="0" t="s">
        <v>36</v>
      </c>
      <c r="H4906" s="0" t="n">
        <v>195</v>
      </c>
      <c r="I4906" s="0" t="s">
        <v>16371</v>
      </c>
      <c r="J4906" s="0" t="s">
        <v>16372</v>
      </c>
      <c r="K4906" s="0" t="s">
        <v>16373</v>
      </c>
      <c r="L4906" s="0" t="str">
        <f aca="false">HYPERLINK("https://www.ncbi.nlm.nih.gov/nuccore/CP000058.1?report=graph&amp;tracks=[key:gene_model_track,Options:GeneOnly]&amp;mk=1531240:1531259|offset_13|444444,1531293:1531312|offset_66|444444,1531363:1531382|offset_136|444444,1531422:1531441|offset_195|00cc00&amp;v=1531039:1531641&amp;c=444444", "offset 195")</f>
        <v>offset 195</v>
      </c>
    </row>
    <row r="4907" customFormat="false" ht="12.8" hidden="false" customHeight="false" outlineLevel="0" collapsed="false">
      <c r="A4907" s="0" t="s">
        <v>12</v>
      </c>
      <c r="B4907" s="0" t="n">
        <v>1531909</v>
      </c>
      <c r="C4907" s="0" t="n">
        <v>1531929</v>
      </c>
      <c r="D4907" s="0" t="s">
        <v>16374</v>
      </c>
      <c r="E4907" s="0" t="s">
        <v>75</v>
      </c>
      <c r="F4907" s="0" t="s">
        <v>15</v>
      </c>
      <c r="G4907" s="0" t="s">
        <v>32</v>
      </c>
      <c r="H4907" s="0" t="n">
        <v>49</v>
      </c>
      <c r="I4907" s="0" t="s">
        <v>16375</v>
      </c>
      <c r="J4907" s="0" t="s">
        <v>16376</v>
      </c>
      <c r="K4907" s="0" t="s">
        <v>16377</v>
      </c>
      <c r="L4907" s="0" t="str">
        <f aca="false">HYPERLINK("https://www.ncbi.nlm.nih.gov/nuccore/CP000058.1?report=graph&amp;tracks=[key:gene_model_track,Options:GeneOnly]&amp;mk=1531910:1531929|offset_49|00cc00,1531957:1531976|offset_96|444444,1532010:1532029|offset_149|444444,1532056:1532075|offset_195|444444&amp;v=1531709:1532275&amp;c=444444", "offset 49")</f>
        <v>offset 49</v>
      </c>
    </row>
    <row r="4908" customFormat="false" ht="12.8" hidden="false" customHeight="false" outlineLevel="0" collapsed="false">
      <c r="A4908" s="0" t="s">
        <v>12</v>
      </c>
      <c r="B4908" s="0" t="n">
        <v>1531956</v>
      </c>
      <c r="C4908" s="0" t="n">
        <v>1531976</v>
      </c>
      <c r="D4908" s="0" t="s">
        <v>16374</v>
      </c>
      <c r="E4908" s="0" t="s">
        <v>75</v>
      </c>
      <c r="F4908" s="0" t="s">
        <v>15</v>
      </c>
      <c r="G4908" s="0" t="s">
        <v>16</v>
      </c>
      <c r="H4908" s="0" t="n">
        <v>96</v>
      </c>
      <c r="I4908" s="0" t="s">
        <v>16378</v>
      </c>
      <c r="J4908" s="0" t="s">
        <v>16379</v>
      </c>
      <c r="K4908" s="0" t="s">
        <v>16380</v>
      </c>
      <c r="L4908" s="0" t="str">
        <f aca="false">HYPERLINK("https://www.ncbi.nlm.nih.gov/nuccore/CP000058.1?report=graph&amp;tracks=[key:gene_model_track,Options:GeneOnly]&amp;mk=1531910:1531929|offset_49|444444,1531957:1531976|offset_96|00cc00,1532010:1532029|offset_149|444444,1532056:1532075|offset_195|444444&amp;v=1531709:1532275&amp;c=444444", "offset 96")</f>
        <v>offset 96</v>
      </c>
    </row>
    <row r="4909" customFormat="false" ht="12.8" hidden="false" customHeight="false" outlineLevel="0" collapsed="false">
      <c r="A4909" s="0" t="s">
        <v>12</v>
      </c>
      <c r="B4909" s="0" t="n">
        <v>1532009</v>
      </c>
      <c r="C4909" s="0" t="n">
        <v>1532029</v>
      </c>
      <c r="D4909" s="0" t="s">
        <v>16374</v>
      </c>
      <c r="E4909" s="0" t="s">
        <v>75</v>
      </c>
      <c r="F4909" s="0" t="s">
        <v>15</v>
      </c>
      <c r="G4909" s="0" t="s">
        <v>16</v>
      </c>
      <c r="H4909" s="0" t="n">
        <v>149</v>
      </c>
      <c r="I4909" s="0" t="s">
        <v>16381</v>
      </c>
      <c r="J4909" s="0" t="s">
        <v>16382</v>
      </c>
      <c r="K4909" s="0" t="s">
        <v>16383</v>
      </c>
      <c r="L4909" s="0" t="str">
        <f aca="false">HYPERLINK("https://www.ncbi.nlm.nih.gov/nuccore/CP000058.1?report=graph&amp;tracks=[key:gene_model_track,Options:GeneOnly]&amp;mk=1531910:1531929|offset_49|444444,1531957:1531976|offset_96|444444,1532010:1532029|offset_149|00cc00,1532056:1532075|offset_195|444444&amp;v=1531709:1532275&amp;c=444444", "offset 149")</f>
        <v>offset 149</v>
      </c>
    </row>
    <row r="4910" customFormat="false" ht="12.8" hidden="false" customHeight="false" outlineLevel="0" collapsed="false">
      <c r="A4910" s="0" t="s">
        <v>12</v>
      </c>
      <c r="B4910" s="0" t="n">
        <v>1532055</v>
      </c>
      <c r="C4910" s="0" t="n">
        <v>1532075</v>
      </c>
      <c r="D4910" s="0" t="s">
        <v>16374</v>
      </c>
      <c r="E4910" s="0" t="s">
        <v>75</v>
      </c>
      <c r="F4910" s="0" t="s">
        <v>15</v>
      </c>
      <c r="G4910" s="0" t="s">
        <v>16</v>
      </c>
      <c r="H4910" s="0" t="n">
        <v>195</v>
      </c>
      <c r="I4910" s="0" t="s">
        <v>16384</v>
      </c>
      <c r="J4910" s="0" t="s">
        <v>16385</v>
      </c>
      <c r="K4910" s="0" t="s">
        <v>16386</v>
      </c>
      <c r="L4910" s="0" t="str">
        <f aca="false">HYPERLINK("https://www.ncbi.nlm.nih.gov/nuccore/CP000058.1?report=graph&amp;tracks=[key:gene_model_track,Options:GeneOnly]&amp;mk=1531910:1531929|offset_49|444444,1531957:1531976|offset_96|444444,1532010:1532029|offset_149|444444,1532056:1532075|offset_195|00cc00&amp;v=1531709:1532275&amp;c=444444", "offset 195")</f>
        <v>offset 195</v>
      </c>
    </row>
    <row r="4911" customFormat="false" ht="12.8" hidden="false" customHeight="false" outlineLevel="0" collapsed="false">
      <c r="A4911" s="0" t="s">
        <v>12</v>
      </c>
      <c r="B4911" s="0" t="n">
        <v>1533162</v>
      </c>
      <c r="C4911" s="0" t="n">
        <v>1533182</v>
      </c>
      <c r="D4911" s="0" t="s">
        <v>16387</v>
      </c>
      <c r="E4911" s="0" t="s">
        <v>75</v>
      </c>
      <c r="F4911" s="0" t="s">
        <v>15</v>
      </c>
      <c r="G4911" s="0" t="s">
        <v>36</v>
      </c>
      <c r="H4911" s="0" t="n">
        <v>9</v>
      </c>
      <c r="I4911" s="0" t="s">
        <v>16388</v>
      </c>
      <c r="J4911" s="0" t="s">
        <v>16389</v>
      </c>
      <c r="K4911" s="0" t="s">
        <v>16390</v>
      </c>
      <c r="L4911" s="0" t="str">
        <f aca="false">HYPERLINK("https://www.ncbi.nlm.nih.gov/nuccore/CP000058.1?report=graph&amp;tracks=[key:gene_model_track,Options:GeneOnly]&amp;mk=1533163:1533182|offset_9|00cc00,1533203:1533222|offset_49|444444,1533224:1533243|offset_70|444444,1533257:1533276|offset_103|444444&amp;v=1532962:1533476&amp;c=444444", "offset 9")</f>
        <v>offset 9</v>
      </c>
    </row>
    <row r="4912" customFormat="false" ht="12.8" hidden="false" customHeight="false" outlineLevel="0" collapsed="false">
      <c r="A4912" s="0" t="s">
        <v>12</v>
      </c>
      <c r="B4912" s="0" t="n">
        <v>1533202</v>
      </c>
      <c r="C4912" s="0" t="n">
        <v>1533222</v>
      </c>
      <c r="D4912" s="0" t="s">
        <v>16387</v>
      </c>
      <c r="E4912" s="0" t="s">
        <v>75</v>
      </c>
      <c r="F4912" s="0" t="s">
        <v>15</v>
      </c>
      <c r="G4912" s="0" t="s">
        <v>32</v>
      </c>
      <c r="H4912" s="0" t="n">
        <v>49</v>
      </c>
      <c r="I4912" s="0" t="s">
        <v>16391</v>
      </c>
      <c r="J4912" s="0" t="s">
        <v>16392</v>
      </c>
      <c r="K4912" s="0" t="s">
        <v>16393</v>
      </c>
      <c r="L4912" s="0" t="str">
        <f aca="false">HYPERLINK("https://www.ncbi.nlm.nih.gov/nuccore/CP000058.1?report=graph&amp;tracks=[key:gene_model_track,Options:GeneOnly]&amp;mk=1533163:1533182|offset_9|444444,1533203:1533222|offset_49|00cc00,1533224:1533243|offset_70|444444,1533257:1533276|offset_103|444444&amp;v=1532962:1533476&amp;c=444444", "offset 49")</f>
        <v>offset 49</v>
      </c>
    </row>
    <row r="4913" customFormat="false" ht="12.8" hidden="false" customHeight="false" outlineLevel="0" collapsed="false">
      <c r="A4913" s="0" t="s">
        <v>12</v>
      </c>
      <c r="B4913" s="0" t="n">
        <v>1533223</v>
      </c>
      <c r="C4913" s="0" t="n">
        <v>1533243</v>
      </c>
      <c r="D4913" s="0" t="s">
        <v>16387</v>
      </c>
      <c r="E4913" s="0" t="s">
        <v>75</v>
      </c>
      <c r="F4913" s="0" t="s">
        <v>15</v>
      </c>
      <c r="G4913" s="0" t="s">
        <v>32</v>
      </c>
      <c r="H4913" s="0" t="n">
        <v>70</v>
      </c>
      <c r="I4913" s="0" t="s">
        <v>16394</v>
      </c>
      <c r="J4913" s="0" t="s">
        <v>16395</v>
      </c>
      <c r="K4913" s="0" t="s">
        <v>16396</v>
      </c>
      <c r="L4913" s="0" t="str">
        <f aca="false">HYPERLINK("https://www.ncbi.nlm.nih.gov/nuccore/CP000058.1?report=graph&amp;tracks=[key:gene_model_track,Options:GeneOnly]&amp;mk=1533163:1533182|offset_9|444444,1533203:1533222|offset_49|444444,1533224:1533243|offset_70|00cc00,1533257:1533276|offset_103|444444&amp;v=1532962:1533476&amp;c=444444", "offset 70")</f>
        <v>offset 70</v>
      </c>
    </row>
    <row r="4914" customFormat="false" ht="12.8" hidden="false" customHeight="false" outlineLevel="0" collapsed="false">
      <c r="A4914" s="0" t="s">
        <v>12</v>
      </c>
      <c r="B4914" s="0" t="n">
        <v>1533256</v>
      </c>
      <c r="C4914" s="0" t="n">
        <v>1533276</v>
      </c>
      <c r="D4914" s="0" t="s">
        <v>16387</v>
      </c>
      <c r="E4914" s="0" t="s">
        <v>75</v>
      </c>
      <c r="F4914" s="0" t="s">
        <v>15</v>
      </c>
      <c r="G4914" s="0" t="s">
        <v>16</v>
      </c>
      <c r="H4914" s="0" t="n">
        <v>103</v>
      </c>
      <c r="I4914" s="0" t="s">
        <v>16397</v>
      </c>
      <c r="J4914" s="0" t="s">
        <v>16398</v>
      </c>
      <c r="K4914" s="0" t="s">
        <v>16399</v>
      </c>
      <c r="L4914" s="0" t="str">
        <f aca="false">HYPERLINK("https://www.ncbi.nlm.nih.gov/nuccore/CP000058.1?report=graph&amp;tracks=[key:gene_model_track,Options:GeneOnly]&amp;mk=1533163:1533182|offset_9|444444,1533203:1533222|offset_49|444444,1533224:1533243|offset_70|444444,1533257:1533276|offset_103|00cc00&amp;v=1532962:1533476&amp;c=444444", "offset 103")</f>
        <v>offset 103</v>
      </c>
    </row>
    <row r="4915" customFormat="false" ht="12.8" hidden="false" customHeight="false" outlineLevel="0" collapsed="false">
      <c r="A4915" s="0" t="s">
        <v>12</v>
      </c>
      <c r="B4915" s="0" t="n">
        <v>1534736</v>
      </c>
      <c r="C4915" s="0" t="n">
        <v>1534756</v>
      </c>
      <c r="D4915" s="0" t="s">
        <v>16400</v>
      </c>
      <c r="E4915" s="0" t="s">
        <v>75</v>
      </c>
      <c r="F4915" s="0" t="s">
        <v>15</v>
      </c>
      <c r="G4915" s="0" t="s">
        <v>32</v>
      </c>
      <c r="H4915" s="0" t="n">
        <v>1</v>
      </c>
      <c r="I4915" s="0" t="s">
        <v>16401</v>
      </c>
      <c r="J4915" s="0" t="s">
        <v>16402</v>
      </c>
      <c r="K4915" s="0" t="s">
        <v>16403</v>
      </c>
      <c r="L4915" s="0" t="str">
        <f aca="false">HYPERLINK("https://www.ncbi.nlm.nih.gov/nuccore/CP000058.1?report=graph&amp;tracks=[key:gene_model_track,Options:GeneOnly]&amp;mk=1534737:1534756|offset_1|00cc00,1534757:1534776|offset_21|444444,1534782:1534801|offset_46|444444,1534803:1534822|offset_67|444444&amp;v=1534536:1535022&amp;c=444444", "offset 1")</f>
        <v>offset 1</v>
      </c>
    </row>
    <row r="4916" customFormat="false" ht="12.8" hidden="false" customHeight="false" outlineLevel="0" collapsed="false">
      <c r="A4916" s="0" t="s">
        <v>12</v>
      </c>
      <c r="B4916" s="0" t="n">
        <v>1534756</v>
      </c>
      <c r="C4916" s="0" t="n">
        <v>1534776</v>
      </c>
      <c r="D4916" s="0" t="s">
        <v>16400</v>
      </c>
      <c r="E4916" s="0" t="s">
        <v>75</v>
      </c>
      <c r="F4916" s="0" t="s">
        <v>15</v>
      </c>
      <c r="G4916" s="0" t="s">
        <v>20</v>
      </c>
      <c r="H4916" s="0" t="n">
        <v>21</v>
      </c>
      <c r="I4916" s="0" t="s">
        <v>16404</v>
      </c>
      <c r="J4916" s="0" t="s">
        <v>16405</v>
      </c>
      <c r="K4916" s="0" t="s">
        <v>16406</v>
      </c>
      <c r="L4916" s="0" t="str">
        <f aca="false">HYPERLINK("https://www.ncbi.nlm.nih.gov/nuccore/CP000058.1?report=graph&amp;tracks=[key:gene_model_track,Options:GeneOnly]&amp;mk=1534737:1534756|offset_1|444444,1534757:1534776|offset_21|00cc00,1534782:1534801|offset_46|444444,1534803:1534822|offset_67|444444&amp;v=1534536:1535022&amp;c=444444", "offset 21")</f>
        <v>offset 21</v>
      </c>
    </row>
    <row r="4917" customFormat="false" ht="12.8" hidden="false" customHeight="false" outlineLevel="0" collapsed="false">
      <c r="A4917" s="0" t="s">
        <v>12</v>
      </c>
      <c r="B4917" s="0" t="n">
        <v>1534781</v>
      </c>
      <c r="C4917" s="0" t="n">
        <v>1534801</v>
      </c>
      <c r="D4917" s="0" t="s">
        <v>16400</v>
      </c>
      <c r="E4917" s="0" t="s">
        <v>75</v>
      </c>
      <c r="F4917" s="0" t="s">
        <v>15</v>
      </c>
      <c r="G4917" s="0" t="s">
        <v>16</v>
      </c>
      <c r="H4917" s="0" t="n">
        <v>46</v>
      </c>
      <c r="I4917" s="0" t="s">
        <v>16407</v>
      </c>
      <c r="J4917" s="0" t="s">
        <v>16408</v>
      </c>
      <c r="K4917" s="0" t="s">
        <v>16409</v>
      </c>
      <c r="L4917" s="0" t="str">
        <f aca="false">HYPERLINK("https://www.ncbi.nlm.nih.gov/nuccore/CP000058.1?report=graph&amp;tracks=[key:gene_model_track,Options:GeneOnly]&amp;mk=1534737:1534756|offset_1|444444,1534757:1534776|offset_21|444444,1534782:1534801|offset_46|00cc00,1534803:1534822|offset_67|444444&amp;v=1534536:1535022&amp;c=444444", "offset 46")</f>
        <v>offset 46</v>
      </c>
    </row>
    <row r="4918" customFormat="false" ht="12.8" hidden="false" customHeight="false" outlineLevel="0" collapsed="false">
      <c r="A4918" s="0" t="s">
        <v>12</v>
      </c>
      <c r="B4918" s="0" t="n">
        <v>1534802</v>
      </c>
      <c r="C4918" s="0" t="n">
        <v>1534822</v>
      </c>
      <c r="D4918" s="0" t="s">
        <v>16400</v>
      </c>
      <c r="E4918" s="0" t="s">
        <v>75</v>
      </c>
      <c r="F4918" s="0" t="s">
        <v>15</v>
      </c>
      <c r="G4918" s="0" t="s">
        <v>16</v>
      </c>
      <c r="H4918" s="0" t="n">
        <v>67</v>
      </c>
      <c r="I4918" s="0" t="s">
        <v>16410</v>
      </c>
      <c r="J4918" s="0" t="s">
        <v>16411</v>
      </c>
      <c r="K4918" s="0" t="s">
        <v>16412</v>
      </c>
      <c r="L4918" s="0" t="str">
        <f aca="false">HYPERLINK("https://www.ncbi.nlm.nih.gov/nuccore/CP000058.1?report=graph&amp;tracks=[key:gene_model_track,Options:GeneOnly]&amp;mk=1534737:1534756|offset_1|444444,1534757:1534776|offset_21|444444,1534782:1534801|offset_46|444444,1534803:1534822|offset_67|00cc00&amp;v=1534536:1535022&amp;c=444444", "offset 67")</f>
        <v>offset 67</v>
      </c>
    </row>
    <row r="4919" customFormat="false" ht="12.8" hidden="false" customHeight="false" outlineLevel="0" collapsed="false">
      <c r="A4919" s="0" t="s">
        <v>12</v>
      </c>
      <c r="B4919" s="0" t="n">
        <v>1535895</v>
      </c>
      <c r="C4919" s="0" t="n">
        <v>1535915</v>
      </c>
      <c r="D4919" s="0" t="s">
        <v>16413</v>
      </c>
      <c r="E4919" s="0" t="s">
        <v>75</v>
      </c>
      <c r="F4919" s="0" t="s">
        <v>15</v>
      </c>
      <c r="G4919" s="0" t="s">
        <v>32</v>
      </c>
      <c r="H4919" s="0" t="n">
        <v>24</v>
      </c>
      <c r="I4919" s="0" t="s">
        <v>16414</v>
      </c>
      <c r="J4919" s="0" t="s">
        <v>16415</v>
      </c>
      <c r="K4919" s="0" t="s">
        <v>16416</v>
      </c>
      <c r="L4919" s="0" t="str">
        <f aca="false">HYPERLINK("https://www.ncbi.nlm.nih.gov/nuccore/CP000058.1?report=graph&amp;tracks=[key:gene_model_track,Options:GeneOnly]&amp;mk=1535896:1535915|offset_24|00cc00,1535951:1535970|offset_79|444444,1535982:1536001|offset_110|444444,1536009:1536028|offset_137|444444&amp;v=1535695:1536228&amp;c=444444", "offset 24")</f>
        <v>offset 24</v>
      </c>
    </row>
    <row r="4920" customFormat="false" ht="12.8" hidden="false" customHeight="false" outlineLevel="0" collapsed="false">
      <c r="A4920" s="0" t="s">
        <v>12</v>
      </c>
      <c r="B4920" s="0" t="n">
        <v>1535950</v>
      </c>
      <c r="C4920" s="0" t="n">
        <v>1535970</v>
      </c>
      <c r="D4920" s="0" t="s">
        <v>16413</v>
      </c>
      <c r="E4920" s="0" t="s">
        <v>75</v>
      </c>
      <c r="F4920" s="0" t="s">
        <v>15</v>
      </c>
      <c r="G4920" s="0" t="s">
        <v>32</v>
      </c>
      <c r="H4920" s="0" t="n">
        <v>79</v>
      </c>
      <c r="I4920" s="0" t="s">
        <v>16417</v>
      </c>
      <c r="J4920" s="0" t="s">
        <v>16418</v>
      </c>
      <c r="K4920" s="0" t="s">
        <v>16419</v>
      </c>
      <c r="L4920" s="0" t="str">
        <f aca="false">HYPERLINK("https://www.ncbi.nlm.nih.gov/nuccore/CP000058.1?report=graph&amp;tracks=[key:gene_model_track,Options:GeneOnly]&amp;mk=1535896:1535915|offset_24|444444,1535951:1535970|offset_79|00cc00,1535982:1536001|offset_110|444444,1536009:1536028|offset_137|444444&amp;v=1535695:1536228&amp;c=444444", "offset 79")</f>
        <v>offset 79</v>
      </c>
    </row>
    <row r="4921" customFormat="false" ht="12.8" hidden="false" customHeight="false" outlineLevel="0" collapsed="false">
      <c r="A4921" s="0" t="s">
        <v>12</v>
      </c>
      <c r="B4921" s="0" t="n">
        <v>1535981</v>
      </c>
      <c r="C4921" s="0" t="n">
        <v>1536001</v>
      </c>
      <c r="D4921" s="0" t="s">
        <v>16413</v>
      </c>
      <c r="E4921" s="0" t="s">
        <v>75</v>
      </c>
      <c r="F4921" s="0" t="s">
        <v>15</v>
      </c>
      <c r="G4921" s="0" t="s">
        <v>32</v>
      </c>
      <c r="H4921" s="0" t="n">
        <v>110</v>
      </c>
      <c r="I4921" s="0" t="s">
        <v>16420</v>
      </c>
      <c r="J4921" s="0" t="s">
        <v>16421</v>
      </c>
      <c r="K4921" s="0" t="s">
        <v>16422</v>
      </c>
      <c r="L4921" s="0" t="str">
        <f aca="false">HYPERLINK("https://www.ncbi.nlm.nih.gov/nuccore/CP000058.1?report=graph&amp;tracks=[key:gene_model_track,Options:GeneOnly]&amp;mk=1535896:1535915|offset_24|444444,1535951:1535970|offset_79|444444,1535982:1536001|offset_110|00cc00,1536009:1536028|offset_137|444444&amp;v=1535695:1536228&amp;c=444444", "offset 110")</f>
        <v>offset 110</v>
      </c>
    </row>
    <row r="4922" customFormat="false" ht="12.8" hidden="false" customHeight="false" outlineLevel="0" collapsed="false">
      <c r="A4922" s="0" t="s">
        <v>12</v>
      </c>
      <c r="B4922" s="0" t="n">
        <v>1536008</v>
      </c>
      <c r="C4922" s="0" t="n">
        <v>1536028</v>
      </c>
      <c r="D4922" s="0" t="s">
        <v>16413</v>
      </c>
      <c r="E4922" s="0" t="s">
        <v>75</v>
      </c>
      <c r="F4922" s="0" t="s">
        <v>15</v>
      </c>
      <c r="G4922" s="0" t="s">
        <v>20</v>
      </c>
      <c r="H4922" s="0" t="n">
        <v>137</v>
      </c>
      <c r="I4922" s="0" t="s">
        <v>16423</v>
      </c>
      <c r="J4922" s="0" t="s">
        <v>16424</v>
      </c>
      <c r="K4922" s="0" t="s">
        <v>16425</v>
      </c>
      <c r="L4922" s="0" t="str">
        <f aca="false">HYPERLINK("https://www.ncbi.nlm.nih.gov/nuccore/CP000058.1?report=graph&amp;tracks=[key:gene_model_track,Options:GeneOnly]&amp;mk=1535896:1535915|offset_24|444444,1535951:1535970|offset_79|444444,1535982:1536001|offset_110|444444,1536009:1536028|offset_137|00cc00&amp;v=1535695:1536228&amp;c=444444", "offset 137")</f>
        <v>offset 137</v>
      </c>
    </row>
    <row r="4923" customFormat="false" ht="12.8" hidden="false" customHeight="false" outlineLevel="0" collapsed="false">
      <c r="A4923" s="0" t="s">
        <v>12</v>
      </c>
      <c r="B4923" s="0" t="n">
        <v>1536724</v>
      </c>
      <c r="C4923" s="0" t="n">
        <v>1536744</v>
      </c>
      <c r="D4923" s="0" t="s">
        <v>16426</v>
      </c>
      <c r="E4923" s="0" t="s">
        <v>75</v>
      </c>
      <c r="F4923" s="0" t="s">
        <v>15</v>
      </c>
      <c r="G4923" s="0" t="s">
        <v>32</v>
      </c>
      <c r="H4923" s="0" t="n">
        <v>1</v>
      </c>
      <c r="I4923" s="0" t="s">
        <v>16427</v>
      </c>
      <c r="J4923" s="0" t="s">
        <v>16428</v>
      </c>
      <c r="K4923" s="0" t="s">
        <v>16429</v>
      </c>
      <c r="L4923" s="0" t="str">
        <f aca="false">HYPERLINK("https://www.ncbi.nlm.nih.gov/nuccore/CP000058.1?report=graph&amp;tracks=[key:gene_model_track,Options:GeneOnly]&amp;mk=1536725:1536744|offset_1|00cc00,1536746:1536765|offset_22|444444,1536768:1536787|offset_44|444444,1536794:1536813|offset_70|444444&amp;v=1536524:1537013&amp;c=444444", "offset 1")</f>
        <v>offset 1</v>
      </c>
    </row>
    <row r="4924" customFormat="false" ht="12.8" hidden="false" customHeight="false" outlineLevel="0" collapsed="false">
      <c r="A4924" s="0" t="s">
        <v>12</v>
      </c>
      <c r="B4924" s="0" t="n">
        <v>1536745</v>
      </c>
      <c r="C4924" s="0" t="n">
        <v>1536765</v>
      </c>
      <c r="D4924" s="0" t="s">
        <v>16426</v>
      </c>
      <c r="E4924" s="0" t="s">
        <v>75</v>
      </c>
      <c r="F4924" s="0" t="s">
        <v>15</v>
      </c>
      <c r="G4924" s="0" t="s">
        <v>32</v>
      </c>
      <c r="H4924" s="0" t="n">
        <v>22</v>
      </c>
      <c r="I4924" s="0" t="s">
        <v>16430</v>
      </c>
      <c r="J4924" s="0" t="s">
        <v>16431</v>
      </c>
      <c r="K4924" s="0" t="s">
        <v>16432</v>
      </c>
      <c r="L4924" s="0" t="str">
        <f aca="false">HYPERLINK("https://www.ncbi.nlm.nih.gov/nuccore/CP000058.1?report=graph&amp;tracks=[key:gene_model_track,Options:GeneOnly]&amp;mk=1536725:1536744|offset_1|444444,1536746:1536765|offset_22|00cc00,1536768:1536787|offset_44|444444,1536794:1536813|offset_70|444444&amp;v=1536524:1537013&amp;c=444444", "offset 22")</f>
        <v>offset 22</v>
      </c>
    </row>
    <row r="4925" customFormat="false" ht="12.8" hidden="false" customHeight="false" outlineLevel="0" collapsed="false">
      <c r="A4925" s="0" t="s">
        <v>12</v>
      </c>
      <c r="B4925" s="0" t="n">
        <v>1536767</v>
      </c>
      <c r="C4925" s="0" t="n">
        <v>1536787</v>
      </c>
      <c r="D4925" s="0" t="s">
        <v>16426</v>
      </c>
      <c r="E4925" s="0" t="s">
        <v>75</v>
      </c>
      <c r="F4925" s="0" t="s">
        <v>15</v>
      </c>
      <c r="G4925" s="0" t="s">
        <v>36</v>
      </c>
      <c r="H4925" s="0" t="n">
        <v>44</v>
      </c>
      <c r="I4925" s="0" t="s">
        <v>16433</v>
      </c>
      <c r="J4925" s="0" t="s">
        <v>16434</v>
      </c>
      <c r="K4925" s="0" t="s">
        <v>16435</v>
      </c>
      <c r="L4925" s="0" t="str">
        <f aca="false">HYPERLINK("https://www.ncbi.nlm.nih.gov/nuccore/CP000058.1?report=graph&amp;tracks=[key:gene_model_track,Options:GeneOnly]&amp;mk=1536725:1536744|offset_1|444444,1536746:1536765|offset_22|444444,1536768:1536787|offset_44|00cc00,1536794:1536813|offset_70|444444&amp;v=1536524:1537013&amp;c=444444", "offset 44")</f>
        <v>offset 44</v>
      </c>
    </row>
    <row r="4926" customFormat="false" ht="12.8" hidden="false" customHeight="false" outlineLevel="0" collapsed="false">
      <c r="A4926" s="0" t="s">
        <v>12</v>
      </c>
      <c r="B4926" s="0" t="n">
        <v>1536793</v>
      </c>
      <c r="C4926" s="0" t="n">
        <v>1536813</v>
      </c>
      <c r="D4926" s="0" t="s">
        <v>16426</v>
      </c>
      <c r="E4926" s="0" t="s">
        <v>75</v>
      </c>
      <c r="F4926" s="0" t="s">
        <v>15</v>
      </c>
      <c r="G4926" s="0" t="s">
        <v>16</v>
      </c>
      <c r="H4926" s="0" t="n">
        <v>70</v>
      </c>
      <c r="I4926" s="0" t="s">
        <v>16436</v>
      </c>
      <c r="J4926" s="0" t="s">
        <v>16437</v>
      </c>
      <c r="K4926" s="0" t="s">
        <v>16438</v>
      </c>
      <c r="L4926" s="0" t="str">
        <f aca="false">HYPERLINK("https://www.ncbi.nlm.nih.gov/nuccore/CP000058.1?report=graph&amp;tracks=[key:gene_model_track,Options:GeneOnly]&amp;mk=1536725:1536744|offset_1|444444,1536746:1536765|offset_22|444444,1536768:1536787|offset_44|444444,1536794:1536813|offset_70|00cc00&amp;v=1536524:1537013&amp;c=444444", "offset 70")</f>
        <v>offset 70</v>
      </c>
    </row>
    <row r="4927" customFormat="false" ht="12.8" hidden="false" customHeight="false" outlineLevel="0" collapsed="false">
      <c r="A4927" s="0" t="s">
        <v>12</v>
      </c>
      <c r="B4927" s="0" t="n">
        <v>1538241</v>
      </c>
      <c r="C4927" s="0" t="n">
        <v>1538261</v>
      </c>
      <c r="D4927" s="0" t="s">
        <v>16439</v>
      </c>
      <c r="E4927" s="0" t="s">
        <v>16440</v>
      </c>
      <c r="F4927" s="0" t="s">
        <v>90</v>
      </c>
      <c r="G4927" s="0" t="s">
        <v>36</v>
      </c>
      <c r="H4927" s="0" t="n">
        <v>6</v>
      </c>
      <c r="I4927" s="0" t="s">
        <v>16441</v>
      </c>
      <c r="J4927" s="0" t="s">
        <v>16442</v>
      </c>
      <c r="K4927" s="0" t="s">
        <v>16443</v>
      </c>
      <c r="L4927" s="0" t="str">
        <f aca="false">HYPERLINK("https://www.ncbi.nlm.nih.gov/nuccore/CP000058.1?report=graph&amp;tracks=[key:gene_model_track,Options:GeneOnly]&amp;mk=1538242:1538261|offset_6|00cc00,1538216:1538235|offset_32|444444,1538196:1538215|offset_52|444444,1538172:1538191|offset_76|444444&amp;v=1538041:1538391&amp;c=444444", "offset 6")</f>
        <v>offset 6</v>
      </c>
    </row>
    <row r="4928" customFormat="false" ht="12.8" hidden="false" customHeight="false" outlineLevel="0" collapsed="false">
      <c r="A4928" s="0" t="s">
        <v>12</v>
      </c>
      <c r="B4928" s="0" t="n">
        <v>1538215</v>
      </c>
      <c r="C4928" s="0" t="n">
        <v>1538235</v>
      </c>
      <c r="D4928" s="0" t="s">
        <v>16439</v>
      </c>
      <c r="E4928" s="0" t="s">
        <v>16440</v>
      </c>
      <c r="F4928" s="0" t="s">
        <v>90</v>
      </c>
      <c r="G4928" s="0" t="s">
        <v>16</v>
      </c>
      <c r="H4928" s="0" t="n">
        <v>32</v>
      </c>
      <c r="I4928" s="0" t="s">
        <v>16444</v>
      </c>
      <c r="J4928" s="0" t="s">
        <v>16445</v>
      </c>
      <c r="K4928" s="0" t="s">
        <v>16446</v>
      </c>
      <c r="L4928" s="0" t="str">
        <f aca="false">HYPERLINK("https://www.ncbi.nlm.nih.gov/nuccore/CP000058.1?report=graph&amp;tracks=[key:gene_model_track,Options:GeneOnly]&amp;mk=1538242:1538261|offset_6|444444,1538216:1538235|offset_32|00cc00,1538196:1538215|offset_52|444444,1538172:1538191|offset_76|444444&amp;v=1538041:1538391&amp;c=444444", "offset 32")</f>
        <v>offset 32</v>
      </c>
    </row>
    <row r="4929" customFormat="false" ht="12.8" hidden="false" customHeight="false" outlineLevel="0" collapsed="false">
      <c r="A4929" s="0" t="s">
        <v>12</v>
      </c>
      <c r="B4929" s="0" t="n">
        <v>1538195</v>
      </c>
      <c r="C4929" s="0" t="n">
        <v>1538215</v>
      </c>
      <c r="D4929" s="0" t="s">
        <v>16439</v>
      </c>
      <c r="E4929" s="0" t="s">
        <v>16440</v>
      </c>
      <c r="F4929" s="0" t="s">
        <v>90</v>
      </c>
      <c r="G4929" s="0" t="s">
        <v>20</v>
      </c>
      <c r="H4929" s="0" t="n">
        <v>52</v>
      </c>
      <c r="I4929" s="0" t="s">
        <v>16447</v>
      </c>
      <c r="J4929" s="0" t="s">
        <v>16448</v>
      </c>
      <c r="K4929" s="0" t="s">
        <v>16449</v>
      </c>
      <c r="L4929" s="0" t="str">
        <f aca="false">HYPERLINK("https://www.ncbi.nlm.nih.gov/nuccore/CP000058.1?report=graph&amp;tracks=[key:gene_model_track,Options:GeneOnly]&amp;mk=1538242:1538261|offset_6|444444,1538216:1538235|offset_32|444444,1538196:1538215|offset_52|00cc00,1538172:1538191|offset_76|444444&amp;v=1538041:1538391&amp;c=444444", "offset 52")</f>
        <v>offset 52</v>
      </c>
    </row>
    <row r="4930" customFormat="false" ht="12.8" hidden="false" customHeight="false" outlineLevel="0" collapsed="false">
      <c r="A4930" s="0" t="s">
        <v>12</v>
      </c>
      <c r="B4930" s="0" t="n">
        <v>1538171</v>
      </c>
      <c r="C4930" s="0" t="n">
        <v>1538191</v>
      </c>
      <c r="D4930" s="0" t="s">
        <v>16439</v>
      </c>
      <c r="E4930" s="0" t="s">
        <v>16440</v>
      </c>
      <c r="F4930" s="0" t="s">
        <v>90</v>
      </c>
      <c r="G4930" s="0" t="s">
        <v>16</v>
      </c>
      <c r="H4930" s="0" t="n">
        <v>76</v>
      </c>
      <c r="I4930" s="0" t="s">
        <v>16450</v>
      </c>
      <c r="J4930" s="0" t="s">
        <v>16451</v>
      </c>
      <c r="K4930" s="0" t="s">
        <v>16452</v>
      </c>
      <c r="L4930" s="0" t="str">
        <f aca="false">HYPERLINK("https://www.ncbi.nlm.nih.gov/nuccore/CP000058.1?report=graph&amp;tracks=[key:gene_model_track,Options:GeneOnly]&amp;mk=1538242:1538261|offset_6|444444,1538216:1538235|offset_32|444444,1538196:1538215|offset_52|444444,1538172:1538191|offset_76|00cc00&amp;v=1538041:1538391&amp;c=444444", "offset 76")</f>
        <v>offset 76</v>
      </c>
    </row>
    <row r="4931" customFormat="false" ht="12.8" hidden="false" customHeight="false" outlineLevel="0" collapsed="false">
      <c r="A4931" s="0" t="s">
        <v>12</v>
      </c>
      <c r="B4931" s="0" t="n">
        <v>1540268</v>
      </c>
      <c r="C4931" s="0" t="n">
        <v>1540288</v>
      </c>
      <c r="D4931" s="0" t="s">
        <v>16453</v>
      </c>
      <c r="E4931" s="0" t="s">
        <v>16454</v>
      </c>
      <c r="F4931" s="0" t="s">
        <v>90</v>
      </c>
      <c r="G4931" s="0" t="s">
        <v>32</v>
      </c>
      <c r="H4931" s="0" t="n">
        <v>7</v>
      </c>
      <c r="I4931" s="0" t="s">
        <v>16455</v>
      </c>
      <c r="J4931" s="0" t="s">
        <v>16456</v>
      </c>
      <c r="K4931" s="0" t="s">
        <v>16457</v>
      </c>
      <c r="L4931" s="0" t="str">
        <f aca="false">HYPERLINK("https://www.ncbi.nlm.nih.gov/nuccore/CP000058.1?report=graph&amp;tracks=[key:gene_model_track,Options:GeneOnly]&amp;mk=1540269:1540288|offset_7|00cc00,1540231:1540250|offset_45|444444,1540211:1540230|offset_65|444444,1540191:1540210|offset_85|444444&amp;v=1540068:1540410&amp;c=444444", "offset 7")</f>
        <v>offset 7</v>
      </c>
    </row>
    <row r="4932" customFormat="false" ht="12.8" hidden="false" customHeight="false" outlineLevel="0" collapsed="false">
      <c r="A4932" s="0" t="s">
        <v>12</v>
      </c>
      <c r="B4932" s="0" t="n">
        <v>1540230</v>
      </c>
      <c r="C4932" s="0" t="n">
        <v>1540250</v>
      </c>
      <c r="D4932" s="0" t="s">
        <v>16453</v>
      </c>
      <c r="E4932" s="0" t="s">
        <v>16454</v>
      </c>
      <c r="F4932" s="0" t="s">
        <v>90</v>
      </c>
      <c r="G4932" s="0" t="s">
        <v>16</v>
      </c>
      <c r="H4932" s="0" t="n">
        <v>45</v>
      </c>
      <c r="I4932" s="0" t="s">
        <v>16458</v>
      </c>
      <c r="J4932" s="0" t="s">
        <v>16459</v>
      </c>
      <c r="K4932" s="0" t="s">
        <v>16460</v>
      </c>
      <c r="L4932" s="0" t="str">
        <f aca="false">HYPERLINK("https://www.ncbi.nlm.nih.gov/nuccore/CP000058.1?report=graph&amp;tracks=[key:gene_model_track,Options:GeneOnly]&amp;mk=1540269:1540288|offset_7|444444,1540231:1540250|offset_45|00cc00,1540211:1540230|offset_65|444444,1540191:1540210|offset_85|444444&amp;v=1540068:1540410&amp;c=444444", "offset 45")</f>
        <v>offset 45</v>
      </c>
    </row>
    <row r="4933" customFormat="false" ht="12.8" hidden="false" customHeight="false" outlineLevel="0" collapsed="false">
      <c r="A4933" s="0" t="s">
        <v>12</v>
      </c>
      <c r="B4933" s="0" t="n">
        <v>1540210</v>
      </c>
      <c r="C4933" s="0" t="n">
        <v>1540230</v>
      </c>
      <c r="D4933" s="0" t="s">
        <v>16453</v>
      </c>
      <c r="E4933" s="0" t="s">
        <v>16454</v>
      </c>
      <c r="F4933" s="0" t="s">
        <v>90</v>
      </c>
      <c r="G4933" s="0" t="s">
        <v>16</v>
      </c>
      <c r="H4933" s="0" t="n">
        <v>65</v>
      </c>
      <c r="I4933" s="0" t="s">
        <v>16461</v>
      </c>
      <c r="J4933" s="0" t="s">
        <v>16462</v>
      </c>
      <c r="K4933" s="0" t="s">
        <v>16463</v>
      </c>
      <c r="L4933" s="0" t="str">
        <f aca="false">HYPERLINK("https://www.ncbi.nlm.nih.gov/nuccore/CP000058.1?report=graph&amp;tracks=[key:gene_model_track,Options:GeneOnly]&amp;mk=1540269:1540288|offset_7|444444,1540231:1540250|offset_45|444444,1540211:1540230|offset_65|00cc00,1540191:1540210|offset_85|444444&amp;v=1540068:1540410&amp;c=444444", "offset 65")</f>
        <v>offset 65</v>
      </c>
    </row>
    <row r="4934" customFormat="false" ht="12.8" hidden="false" customHeight="false" outlineLevel="0" collapsed="false">
      <c r="A4934" s="0" t="s">
        <v>12</v>
      </c>
      <c r="B4934" s="0" t="n">
        <v>1540190</v>
      </c>
      <c r="C4934" s="0" t="n">
        <v>1540210</v>
      </c>
      <c r="D4934" s="0" t="s">
        <v>16453</v>
      </c>
      <c r="E4934" s="0" t="s">
        <v>16454</v>
      </c>
      <c r="F4934" s="0" t="s">
        <v>90</v>
      </c>
      <c r="G4934" s="0" t="s">
        <v>32</v>
      </c>
      <c r="H4934" s="0" t="n">
        <v>85</v>
      </c>
      <c r="I4934" s="0" t="s">
        <v>16464</v>
      </c>
      <c r="J4934" s="0" t="s">
        <v>16465</v>
      </c>
      <c r="K4934" s="0" t="s">
        <v>16466</v>
      </c>
      <c r="L4934" s="0" t="str">
        <f aca="false">HYPERLINK("https://www.ncbi.nlm.nih.gov/nuccore/CP000058.1?report=graph&amp;tracks=[key:gene_model_track,Options:GeneOnly]&amp;mk=1540269:1540288|offset_7|444444,1540231:1540250|offset_45|444444,1540211:1540230|offset_65|444444,1540191:1540210|offset_85|00cc00&amp;v=1540068:1540410&amp;c=444444", "offset 85")</f>
        <v>offset 85</v>
      </c>
    </row>
    <row r="4935" customFormat="false" ht="12.8" hidden="false" customHeight="false" outlineLevel="0" collapsed="false">
      <c r="A4935" s="0" t="s">
        <v>12</v>
      </c>
      <c r="B4935" s="0" t="n">
        <v>1541450</v>
      </c>
      <c r="C4935" s="0" t="n">
        <v>1541470</v>
      </c>
      <c r="D4935" s="0" t="s">
        <v>16467</v>
      </c>
      <c r="E4935" s="0" t="s">
        <v>75</v>
      </c>
      <c r="F4935" s="0" t="s">
        <v>90</v>
      </c>
      <c r="G4935" s="0" t="s">
        <v>36</v>
      </c>
      <c r="H4935" s="0" t="n">
        <v>19</v>
      </c>
      <c r="I4935" s="0" t="s">
        <v>16468</v>
      </c>
      <c r="J4935" s="0" t="s">
        <v>16469</v>
      </c>
      <c r="K4935" s="0" t="s">
        <v>16470</v>
      </c>
      <c r="L4935" s="0" t="str">
        <f aca="false">HYPERLINK("https://www.ncbi.nlm.nih.gov/nuccore/CP000058.1?report=graph&amp;tracks=[key:gene_model_track,Options:GeneOnly]&amp;mk=1541451:1541470|offset_19|00cc00,1541422:1541441|offset_48|444444,1541397:1541416|offset_73|444444,1541374:1541393|offset_96|444444&amp;v=1541250:1541593&amp;c=444444", "offset 19")</f>
        <v>offset 19</v>
      </c>
    </row>
    <row r="4936" customFormat="false" ht="12.8" hidden="false" customHeight="false" outlineLevel="0" collapsed="false">
      <c r="A4936" s="0" t="s">
        <v>12</v>
      </c>
      <c r="B4936" s="0" t="n">
        <v>1541421</v>
      </c>
      <c r="C4936" s="0" t="n">
        <v>1541441</v>
      </c>
      <c r="D4936" s="0" t="s">
        <v>16467</v>
      </c>
      <c r="E4936" s="0" t="s">
        <v>75</v>
      </c>
      <c r="F4936" s="0" t="s">
        <v>90</v>
      </c>
      <c r="G4936" s="0" t="s">
        <v>36</v>
      </c>
      <c r="H4936" s="0" t="n">
        <v>48</v>
      </c>
      <c r="I4936" s="0" t="s">
        <v>16471</v>
      </c>
      <c r="J4936" s="0" t="s">
        <v>16472</v>
      </c>
      <c r="K4936" s="0" t="s">
        <v>16473</v>
      </c>
      <c r="L4936" s="0" t="str">
        <f aca="false">HYPERLINK("https://www.ncbi.nlm.nih.gov/nuccore/CP000058.1?report=graph&amp;tracks=[key:gene_model_track,Options:GeneOnly]&amp;mk=1541451:1541470|offset_19|444444,1541422:1541441|offset_48|00cc00,1541397:1541416|offset_73|444444,1541374:1541393|offset_96|444444&amp;v=1541250:1541593&amp;c=444444", "offset 48")</f>
        <v>offset 48</v>
      </c>
    </row>
    <row r="4937" customFormat="false" ht="12.8" hidden="false" customHeight="false" outlineLevel="0" collapsed="false">
      <c r="A4937" s="0" t="s">
        <v>12</v>
      </c>
      <c r="B4937" s="0" t="n">
        <v>1541396</v>
      </c>
      <c r="C4937" s="0" t="n">
        <v>1541416</v>
      </c>
      <c r="D4937" s="0" t="s">
        <v>16467</v>
      </c>
      <c r="E4937" s="0" t="s">
        <v>75</v>
      </c>
      <c r="F4937" s="0" t="s">
        <v>90</v>
      </c>
      <c r="G4937" s="0" t="s">
        <v>36</v>
      </c>
      <c r="H4937" s="0" t="n">
        <v>73</v>
      </c>
      <c r="I4937" s="0" t="s">
        <v>16474</v>
      </c>
      <c r="J4937" s="0" t="s">
        <v>16475</v>
      </c>
      <c r="K4937" s="0" t="s">
        <v>16476</v>
      </c>
      <c r="L4937" s="0" t="str">
        <f aca="false">HYPERLINK("https://www.ncbi.nlm.nih.gov/nuccore/CP000058.1?report=graph&amp;tracks=[key:gene_model_track,Options:GeneOnly]&amp;mk=1541451:1541470|offset_19|444444,1541422:1541441|offset_48|444444,1541397:1541416|offset_73|00cc00,1541374:1541393|offset_96|444444&amp;v=1541250:1541593&amp;c=444444", "offset 73")</f>
        <v>offset 73</v>
      </c>
    </row>
    <row r="4938" customFormat="false" ht="12.8" hidden="false" customHeight="false" outlineLevel="0" collapsed="false">
      <c r="A4938" s="0" t="s">
        <v>12</v>
      </c>
      <c r="B4938" s="0" t="n">
        <v>1541373</v>
      </c>
      <c r="C4938" s="0" t="n">
        <v>1541393</v>
      </c>
      <c r="D4938" s="0" t="s">
        <v>16467</v>
      </c>
      <c r="E4938" s="0" t="s">
        <v>75</v>
      </c>
      <c r="F4938" s="0" t="s">
        <v>90</v>
      </c>
      <c r="G4938" s="0" t="s">
        <v>36</v>
      </c>
      <c r="H4938" s="0" t="n">
        <v>96</v>
      </c>
      <c r="I4938" s="0" t="s">
        <v>16477</v>
      </c>
      <c r="J4938" s="0" t="s">
        <v>16478</v>
      </c>
      <c r="K4938" s="0" t="s">
        <v>16479</v>
      </c>
      <c r="L4938" s="0" t="str">
        <f aca="false">HYPERLINK("https://www.ncbi.nlm.nih.gov/nuccore/CP000058.1?report=graph&amp;tracks=[key:gene_model_track,Options:GeneOnly]&amp;mk=1541451:1541470|offset_19|444444,1541422:1541441|offset_48|444444,1541397:1541416|offset_73|444444,1541374:1541393|offset_96|00cc00&amp;v=1541250:1541593&amp;c=444444", "offset 96")</f>
        <v>offset 96</v>
      </c>
    </row>
    <row r="4939" customFormat="false" ht="12.8" hidden="false" customHeight="false" outlineLevel="0" collapsed="false">
      <c r="A4939" s="0" t="s">
        <v>12</v>
      </c>
      <c r="B4939" s="0" t="n">
        <v>1542842</v>
      </c>
      <c r="C4939" s="0" t="n">
        <v>1542862</v>
      </c>
      <c r="D4939" s="0" t="s">
        <v>16480</v>
      </c>
      <c r="E4939" s="0" t="s">
        <v>16481</v>
      </c>
      <c r="F4939" s="0" t="s">
        <v>90</v>
      </c>
      <c r="G4939" s="0" t="s">
        <v>36</v>
      </c>
      <c r="H4939" s="0" t="n">
        <v>14</v>
      </c>
      <c r="I4939" s="0" t="s">
        <v>16482</v>
      </c>
      <c r="J4939" s="0" t="s">
        <v>16483</v>
      </c>
      <c r="K4939" s="0" t="s">
        <v>16484</v>
      </c>
      <c r="L4939" s="0" t="str">
        <f aca="false">HYPERLINK("https://www.ncbi.nlm.nih.gov/nuccore/CP000058.1?report=graph&amp;tracks=[key:gene_model_track,Options:GeneOnly]&amp;mk=1542843:1542862|offset_14|00cc00,1542810:1542829|offset_47|444444,1542786:1542805|offset_71|444444,1542727:1542746|offset_130|444444&amp;v=1542642:1542946&amp;c=444444", "offset 14")</f>
        <v>offset 14</v>
      </c>
    </row>
    <row r="4940" customFormat="false" ht="12.8" hidden="false" customHeight="false" outlineLevel="0" collapsed="false">
      <c r="A4940" s="0" t="s">
        <v>12</v>
      </c>
      <c r="B4940" s="0" t="n">
        <v>1542809</v>
      </c>
      <c r="C4940" s="0" t="n">
        <v>1542829</v>
      </c>
      <c r="D4940" s="0" t="s">
        <v>16480</v>
      </c>
      <c r="E4940" s="0" t="s">
        <v>16481</v>
      </c>
      <c r="F4940" s="0" t="s">
        <v>90</v>
      </c>
      <c r="G4940" s="0" t="s">
        <v>20</v>
      </c>
      <c r="H4940" s="0" t="n">
        <v>47</v>
      </c>
      <c r="I4940" s="0" t="s">
        <v>16485</v>
      </c>
      <c r="J4940" s="0" t="s">
        <v>16486</v>
      </c>
      <c r="K4940" s="0" t="s">
        <v>16487</v>
      </c>
      <c r="L4940" s="0" t="str">
        <f aca="false">HYPERLINK("https://www.ncbi.nlm.nih.gov/nuccore/CP000058.1?report=graph&amp;tracks=[key:gene_model_track,Options:GeneOnly]&amp;mk=1542843:1542862|offset_14|444444,1542810:1542829|offset_47|00cc00,1542786:1542805|offset_71|444444,1542727:1542746|offset_130|444444&amp;v=1542642:1542946&amp;c=444444", "offset 47")</f>
        <v>offset 47</v>
      </c>
    </row>
    <row r="4941" customFormat="false" ht="12.8" hidden="false" customHeight="false" outlineLevel="0" collapsed="false">
      <c r="A4941" s="0" t="s">
        <v>12</v>
      </c>
      <c r="B4941" s="0" t="n">
        <v>1542785</v>
      </c>
      <c r="C4941" s="0" t="n">
        <v>1542805</v>
      </c>
      <c r="D4941" s="0" t="s">
        <v>16480</v>
      </c>
      <c r="E4941" s="0" t="s">
        <v>16481</v>
      </c>
      <c r="F4941" s="0" t="s">
        <v>90</v>
      </c>
      <c r="G4941" s="0" t="s">
        <v>16</v>
      </c>
      <c r="H4941" s="0" t="n">
        <v>71</v>
      </c>
      <c r="I4941" s="0" t="s">
        <v>16488</v>
      </c>
      <c r="J4941" s="0" t="s">
        <v>16489</v>
      </c>
      <c r="K4941" s="0" t="s">
        <v>16490</v>
      </c>
      <c r="L4941" s="0" t="str">
        <f aca="false">HYPERLINK("https://www.ncbi.nlm.nih.gov/nuccore/CP000058.1?report=graph&amp;tracks=[key:gene_model_track,Options:GeneOnly]&amp;mk=1542843:1542862|offset_14|444444,1542810:1542829|offset_47|444444,1542786:1542805|offset_71|00cc00,1542727:1542746|offset_130|444444&amp;v=1542642:1542946&amp;c=444444", "offset 71")</f>
        <v>offset 71</v>
      </c>
    </row>
    <row r="4942" customFormat="false" ht="12.8" hidden="false" customHeight="false" outlineLevel="0" collapsed="false">
      <c r="A4942" s="0" t="s">
        <v>12</v>
      </c>
      <c r="B4942" s="0" t="n">
        <v>1542726</v>
      </c>
      <c r="C4942" s="0" t="n">
        <v>1542746</v>
      </c>
      <c r="D4942" s="0" t="s">
        <v>16480</v>
      </c>
      <c r="E4942" s="0" t="s">
        <v>16481</v>
      </c>
      <c r="F4942" s="0" t="s">
        <v>90</v>
      </c>
      <c r="G4942" s="0" t="s">
        <v>32</v>
      </c>
      <c r="H4942" s="0" t="n">
        <v>130</v>
      </c>
      <c r="I4942" s="0" t="s">
        <v>16491</v>
      </c>
      <c r="J4942" s="0" t="s">
        <v>16492</v>
      </c>
      <c r="K4942" s="0" t="s">
        <v>16493</v>
      </c>
      <c r="L4942" s="0" t="str">
        <f aca="false">HYPERLINK("https://www.ncbi.nlm.nih.gov/nuccore/CP000058.1?report=graph&amp;tracks=[key:gene_model_track,Options:GeneOnly]&amp;mk=1542843:1542862|offset_14|444444,1542810:1542829|offset_47|444444,1542786:1542805|offset_71|444444,1542727:1542746|offset_130|00cc00&amp;v=1542642:1542946&amp;c=444444", "offset 130")</f>
        <v>offset 130</v>
      </c>
    </row>
    <row r="4943" customFormat="false" ht="12.8" hidden="false" customHeight="false" outlineLevel="0" collapsed="false">
      <c r="A4943" s="0" t="s">
        <v>12</v>
      </c>
      <c r="B4943" s="0" t="n">
        <v>1543017</v>
      </c>
      <c r="C4943" s="0" t="n">
        <v>1543037</v>
      </c>
      <c r="D4943" s="0" t="s">
        <v>16494</v>
      </c>
      <c r="E4943" s="0" t="s">
        <v>75</v>
      </c>
      <c r="F4943" s="0" t="s">
        <v>15</v>
      </c>
      <c r="G4943" s="0" t="s">
        <v>36</v>
      </c>
      <c r="H4943" s="0" t="n">
        <v>10</v>
      </c>
      <c r="I4943" s="0" t="s">
        <v>16495</v>
      </c>
      <c r="J4943" s="0" t="s">
        <v>16496</v>
      </c>
      <c r="K4943" s="0" t="s">
        <v>16497</v>
      </c>
      <c r="L4943" s="0" t="str">
        <f aca="false">HYPERLINK("https://www.ncbi.nlm.nih.gov/nuccore/CP000058.1?report=graph&amp;tracks=[key:gene_model_track,Options:GeneOnly]&amp;mk=1543018:1543037|offset_10|00cc00,1543045:1543064|offset_37|444444,1543066:1543085|offset_58|444444,1543116:1543135|offset_108|444444&amp;v=1542817:1543335&amp;c=444444", "offset 10")</f>
        <v>offset 10</v>
      </c>
    </row>
    <row r="4944" customFormat="false" ht="12.8" hidden="false" customHeight="false" outlineLevel="0" collapsed="false">
      <c r="A4944" s="0" t="s">
        <v>12</v>
      </c>
      <c r="B4944" s="0" t="n">
        <v>1543044</v>
      </c>
      <c r="C4944" s="0" t="n">
        <v>1543064</v>
      </c>
      <c r="D4944" s="0" t="s">
        <v>16494</v>
      </c>
      <c r="E4944" s="0" t="s">
        <v>75</v>
      </c>
      <c r="F4944" s="0" t="s">
        <v>15</v>
      </c>
      <c r="G4944" s="0" t="s">
        <v>32</v>
      </c>
      <c r="H4944" s="0" t="n">
        <v>37</v>
      </c>
      <c r="I4944" s="0" t="s">
        <v>16498</v>
      </c>
      <c r="J4944" s="0" t="s">
        <v>16499</v>
      </c>
      <c r="K4944" s="0" t="s">
        <v>16500</v>
      </c>
      <c r="L4944" s="0" t="str">
        <f aca="false">HYPERLINK("https://www.ncbi.nlm.nih.gov/nuccore/CP000058.1?report=graph&amp;tracks=[key:gene_model_track,Options:GeneOnly]&amp;mk=1543018:1543037|offset_10|444444,1543045:1543064|offset_37|00cc00,1543066:1543085|offset_58|444444,1543116:1543135|offset_108|444444&amp;v=1542817:1543335&amp;c=444444", "offset 37")</f>
        <v>offset 37</v>
      </c>
    </row>
    <row r="4945" customFormat="false" ht="12.8" hidden="false" customHeight="false" outlineLevel="0" collapsed="false">
      <c r="A4945" s="0" t="s">
        <v>12</v>
      </c>
      <c r="B4945" s="0" t="n">
        <v>1543065</v>
      </c>
      <c r="C4945" s="0" t="n">
        <v>1543085</v>
      </c>
      <c r="D4945" s="0" t="s">
        <v>16494</v>
      </c>
      <c r="E4945" s="0" t="s">
        <v>75</v>
      </c>
      <c r="F4945" s="0" t="s">
        <v>15</v>
      </c>
      <c r="G4945" s="0" t="s">
        <v>32</v>
      </c>
      <c r="H4945" s="0" t="n">
        <v>58</v>
      </c>
      <c r="I4945" s="0" t="s">
        <v>16501</v>
      </c>
      <c r="J4945" s="0" t="s">
        <v>16502</v>
      </c>
      <c r="K4945" s="0" t="s">
        <v>16503</v>
      </c>
      <c r="L4945" s="0" t="str">
        <f aca="false">HYPERLINK("https://www.ncbi.nlm.nih.gov/nuccore/CP000058.1?report=graph&amp;tracks=[key:gene_model_track,Options:GeneOnly]&amp;mk=1543018:1543037|offset_10|444444,1543045:1543064|offset_37|444444,1543066:1543085|offset_58|00cc00,1543116:1543135|offset_108|444444&amp;v=1542817:1543335&amp;c=444444", "offset 58")</f>
        <v>offset 58</v>
      </c>
    </row>
    <row r="4946" customFormat="false" ht="12.8" hidden="false" customHeight="false" outlineLevel="0" collapsed="false">
      <c r="A4946" s="0" t="s">
        <v>12</v>
      </c>
      <c r="B4946" s="0" t="n">
        <v>1543115</v>
      </c>
      <c r="C4946" s="0" t="n">
        <v>1543135</v>
      </c>
      <c r="D4946" s="0" t="s">
        <v>16494</v>
      </c>
      <c r="E4946" s="0" t="s">
        <v>75</v>
      </c>
      <c r="F4946" s="0" t="s">
        <v>15</v>
      </c>
      <c r="G4946" s="0" t="s">
        <v>16</v>
      </c>
      <c r="H4946" s="0" t="n">
        <v>108</v>
      </c>
      <c r="I4946" s="0" t="s">
        <v>16504</v>
      </c>
      <c r="J4946" s="0" t="s">
        <v>16505</v>
      </c>
      <c r="K4946" s="0" t="s">
        <v>16506</v>
      </c>
      <c r="L4946" s="0" t="str">
        <f aca="false">HYPERLINK("https://www.ncbi.nlm.nih.gov/nuccore/CP000058.1?report=graph&amp;tracks=[key:gene_model_track,Options:GeneOnly]&amp;mk=1543018:1543037|offset_10|444444,1543045:1543064|offset_37|444444,1543066:1543085|offset_58|444444,1543116:1543135|offset_108|00cc00&amp;v=1542817:1543335&amp;c=444444", "offset 108")</f>
        <v>offset 108</v>
      </c>
    </row>
    <row r="4947" customFormat="false" ht="12.8" hidden="false" customHeight="false" outlineLevel="0" collapsed="false">
      <c r="A4947" s="0" t="s">
        <v>12</v>
      </c>
      <c r="B4947" s="0" t="n">
        <v>1543675</v>
      </c>
      <c r="C4947" s="0" t="n">
        <v>1543695</v>
      </c>
      <c r="D4947" s="0" t="s">
        <v>16507</v>
      </c>
      <c r="E4947" s="0" t="s">
        <v>16508</v>
      </c>
      <c r="F4947" s="0" t="s">
        <v>15</v>
      </c>
      <c r="G4947" s="0" t="s">
        <v>36</v>
      </c>
      <c r="H4947" s="0" t="n">
        <v>25</v>
      </c>
      <c r="I4947" s="0" t="s">
        <v>16509</v>
      </c>
      <c r="J4947" s="0" t="s">
        <v>16510</v>
      </c>
      <c r="K4947" s="0" t="s">
        <v>16511</v>
      </c>
      <c r="L4947" s="0" t="str">
        <f aca="false">HYPERLINK("https://www.ncbi.nlm.nih.gov/nuccore/CP000058.1?report=graph&amp;tracks=[key:gene_model_track,Options:GeneOnly]&amp;mk=1543676:1543695|offset_25|00cc00,1543698:1543717|offset_47|444444,1543726:1543745|offset_75|444444,1543748:1543767|offset_97|444444&amp;v=1543475:1543967&amp;c=444444", "offset 25")</f>
        <v>offset 25</v>
      </c>
    </row>
    <row r="4948" customFormat="false" ht="12.8" hidden="false" customHeight="false" outlineLevel="0" collapsed="false">
      <c r="A4948" s="0" t="s">
        <v>12</v>
      </c>
      <c r="B4948" s="0" t="n">
        <v>1543697</v>
      </c>
      <c r="C4948" s="0" t="n">
        <v>1543717</v>
      </c>
      <c r="D4948" s="0" t="s">
        <v>16507</v>
      </c>
      <c r="E4948" s="0" t="s">
        <v>16508</v>
      </c>
      <c r="F4948" s="0" t="s">
        <v>15</v>
      </c>
      <c r="G4948" s="0" t="s">
        <v>20</v>
      </c>
      <c r="H4948" s="0" t="n">
        <v>47</v>
      </c>
      <c r="I4948" s="0" t="s">
        <v>16512</v>
      </c>
      <c r="J4948" s="0" t="s">
        <v>16513</v>
      </c>
      <c r="K4948" s="0" t="s">
        <v>16514</v>
      </c>
      <c r="L4948" s="0" t="str">
        <f aca="false">HYPERLINK("https://www.ncbi.nlm.nih.gov/nuccore/CP000058.1?report=graph&amp;tracks=[key:gene_model_track,Options:GeneOnly]&amp;mk=1543676:1543695|offset_25|444444,1543698:1543717|offset_47|00cc00,1543726:1543745|offset_75|444444,1543748:1543767|offset_97|444444&amp;v=1543475:1543967&amp;c=444444", "offset 47")</f>
        <v>offset 47</v>
      </c>
    </row>
    <row r="4949" customFormat="false" ht="12.8" hidden="false" customHeight="false" outlineLevel="0" collapsed="false">
      <c r="A4949" s="0" t="s">
        <v>12</v>
      </c>
      <c r="B4949" s="0" t="n">
        <v>1543725</v>
      </c>
      <c r="C4949" s="0" t="n">
        <v>1543745</v>
      </c>
      <c r="D4949" s="0" t="s">
        <v>16507</v>
      </c>
      <c r="E4949" s="0" t="s">
        <v>16508</v>
      </c>
      <c r="F4949" s="0" t="s">
        <v>15</v>
      </c>
      <c r="G4949" s="0" t="s">
        <v>32</v>
      </c>
      <c r="H4949" s="0" t="n">
        <v>75</v>
      </c>
      <c r="I4949" s="0" t="s">
        <v>16515</v>
      </c>
      <c r="J4949" s="0" t="s">
        <v>16516</v>
      </c>
      <c r="K4949" s="0" t="s">
        <v>16517</v>
      </c>
      <c r="L4949" s="0" t="str">
        <f aca="false">HYPERLINK("https://www.ncbi.nlm.nih.gov/nuccore/CP000058.1?report=graph&amp;tracks=[key:gene_model_track,Options:GeneOnly]&amp;mk=1543676:1543695|offset_25|444444,1543698:1543717|offset_47|444444,1543726:1543745|offset_75|00cc00,1543748:1543767|offset_97|444444&amp;v=1543475:1543967&amp;c=444444", "offset 75")</f>
        <v>offset 75</v>
      </c>
    </row>
    <row r="4950" customFormat="false" ht="12.8" hidden="false" customHeight="false" outlineLevel="0" collapsed="false">
      <c r="A4950" s="0" t="s">
        <v>12</v>
      </c>
      <c r="B4950" s="0" t="n">
        <v>1543747</v>
      </c>
      <c r="C4950" s="0" t="n">
        <v>1543767</v>
      </c>
      <c r="D4950" s="0" t="s">
        <v>16507</v>
      </c>
      <c r="E4950" s="0" t="s">
        <v>16508</v>
      </c>
      <c r="F4950" s="0" t="s">
        <v>15</v>
      </c>
      <c r="G4950" s="0" t="s">
        <v>36</v>
      </c>
      <c r="H4950" s="0" t="n">
        <v>97</v>
      </c>
      <c r="I4950" s="0" t="s">
        <v>16518</v>
      </c>
      <c r="J4950" s="0" t="s">
        <v>16519</v>
      </c>
      <c r="K4950" s="0" t="s">
        <v>16520</v>
      </c>
      <c r="L4950" s="0" t="str">
        <f aca="false">HYPERLINK("https://www.ncbi.nlm.nih.gov/nuccore/CP000058.1?report=graph&amp;tracks=[key:gene_model_track,Options:GeneOnly]&amp;mk=1543676:1543695|offset_25|444444,1543698:1543717|offset_47|444444,1543726:1543745|offset_75|444444,1543748:1543767|offset_97|00cc00&amp;v=1543475:1543967&amp;c=444444", "offset 97")</f>
        <v>offset 97</v>
      </c>
    </row>
    <row r="4951" customFormat="false" ht="12.8" hidden="false" customHeight="false" outlineLevel="0" collapsed="false">
      <c r="A4951" s="0" t="s">
        <v>12</v>
      </c>
      <c r="B4951" s="0" t="n">
        <v>1545232</v>
      </c>
      <c r="C4951" s="0" t="n">
        <v>1545252</v>
      </c>
      <c r="D4951" s="0" t="s">
        <v>16521</v>
      </c>
      <c r="E4951" s="0" t="s">
        <v>16522</v>
      </c>
      <c r="F4951" s="0" t="s">
        <v>15</v>
      </c>
      <c r="G4951" s="0" t="s">
        <v>36</v>
      </c>
      <c r="H4951" s="0" t="n">
        <v>7</v>
      </c>
      <c r="I4951" s="0" t="s">
        <v>16523</v>
      </c>
      <c r="J4951" s="0" t="s">
        <v>16524</v>
      </c>
      <c r="K4951" s="0" t="s">
        <v>16525</v>
      </c>
      <c r="L4951" s="0" t="str">
        <f aca="false">HYPERLINK("https://www.ncbi.nlm.nih.gov/nuccore/CP000058.1?report=graph&amp;tracks=[key:gene_model_track,Options:GeneOnly]&amp;mk=1545233:1545252|offset_7|00cc00,1545258:1545277|offset_32|444444,1545278:1545297|offset_52|444444,1545299:1545318|offset_73|444444&amp;v=1545032:1545518&amp;c=444444", "offset 7")</f>
        <v>offset 7</v>
      </c>
    </row>
    <row r="4952" customFormat="false" ht="12.8" hidden="false" customHeight="false" outlineLevel="0" collapsed="false">
      <c r="A4952" s="0" t="s">
        <v>12</v>
      </c>
      <c r="B4952" s="0" t="n">
        <v>1545257</v>
      </c>
      <c r="C4952" s="0" t="n">
        <v>1545277</v>
      </c>
      <c r="D4952" s="0" t="s">
        <v>16521</v>
      </c>
      <c r="E4952" s="0" t="s">
        <v>16522</v>
      </c>
      <c r="F4952" s="0" t="s">
        <v>15</v>
      </c>
      <c r="G4952" s="0" t="s">
        <v>20</v>
      </c>
      <c r="H4952" s="0" t="n">
        <v>32</v>
      </c>
      <c r="I4952" s="0" t="s">
        <v>16526</v>
      </c>
      <c r="J4952" s="0" t="s">
        <v>16527</v>
      </c>
      <c r="K4952" s="0" t="s">
        <v>16528</v>
      </c>
      <c r="L4952" s="0" t="str">
        <f aca="false">HYPERLINK("https://www.ncbi.nlm.nih.gov/nuccore/CP000058.1?report=graph&amp;tracks=[key:gene_model_track,Options:GeneOnly]&amp;mk=1545233:1545252|offset_7|444444,1545258:1545277|offset_32|00cc00,1545278:1545297|offset_52|444444,1545299:1545318|offset_73|444444&amp;v=1545032:1545518&amp;c=444444", "offset 32")</f>
        <v>offset 32</v>
      </c>
    </row>
    <row r="4953" customFormat="false" ht="12.8" hidden="false" customHeight="false" outlineLevel="0" collapsed="false">
      <c r="A4953" s="0" t="s">
        <v>12</v>
      </c>
      <c r="B4953" s="0" t="n">
        <v>1545277</v>
      </c>
      <c r="C4953" s="0" t="n">
        <v>1545297</v>
      </c>
      <c r="D4953" s="0" t="s">
        <v>16521</v>
      </c>
      <c r="E4953" s="0" t="s">
        <v>16522</v>
      </c>
      <c r="F4953" s="0" t="s">
        <v>15</v>
      </c>
      <c r="G4953" s="0" t="s">
        <v>36</v>
      </c>
      <c r="H4953" s="0" t="n">
        <v>52</v>
      </c>
      <c r="I4953" s="0" t="s">
        <v>16529</v>
      </c>
      <c r="J4953" s="0" t="s">
        <v>16530</v>
      </c>
      <c r="K4953" s="0" t="s">
        <v>16531</v>
      </c>
      <c r="L4953" s="0" t="str">
        <f aca="false">HYPERLINK("https://www.ncbi.nlm.nih.gov/nuccore/CP000058.1?report=graph&amp;tracks=[key:gene_model_track,Options:GeneOnly]&amp;mk=1545233:1545252|offset_7|444444,1545258:1545277|offset_32|444444,1545278:1545297|offset_52|00cc00,1545299:1545318|offset_73|444444&amp;v=1545032:1545518&amp;c=444444", "offset 52")</f>
        <v>offset 52</v>
      </c>
    </row>
    <row r="4954" customFormat="false" ht="12.8" hidden="false" customHeight="false" outlineLevel="0" collapsed="false">
      <c r="A4954" s="0" t="s">
        <v>12</v>
      </c>
      <c r="B4954" s="0" t="n">
        <v>1545298</v>
      </c>
      <c r="C4954" s="0" t="n">
        <v>1545318</v>
      </c>
      <c r="D4954" s="0" t="s">
        <v>16521</v>
      </c>
      <c r="E4954" s="0" t="s">
        <v>16522</v>
      </c>
      <c r="F4954" s="0" t="s">
        <v>15</v>
      </c>
      <c r="G4954" s="0" t="s">
        <v>36</v>
      </c>
      <c r="H4954" s="0" t="n">
        <v>73</v>
      </c>
      <c r="I4954" s="0" t="s">
        <v>16532</v>
      </c>
      <c r="J4954" s="0" t="s">
        <v>16533</v>
      </c>
      <c r="K4954" s="0" t="s">
        <v>16534</v>
      </c>
      <c r="L4954" s="0" t="str">
        <f aca="false">HYPERLINK("https://www.ncbi.nlm.nih.gov/nuccore/CP000058.1?report=graph&amp;tracks=[key:gene_model_track,Options:GeneOnly]&amp;mk=1545233:1545252|offset_7|444444,1545258:1545277|offset_32|444444,1545278:1545297|offset_52|444444,1545299:1545318|offset_73|00cc00&amp;v=1545032:1545518&amp;c=444444", "offset 73")</f>
        <v>offset 73</v>
      </c>
    </row>
    <row r="4955" customFormat="false" ht="12.8" hidden="false" customHeight="false" outlineLevel="0" collapsed="false">
      <c r="A4955" s="0" t="s">
        <v>12</v>
      </c>
      <c r="B4955" s="0" t="n">
        <v>1546984</v>
      </c>
      <c r="C4955" s="0" t="n">
        <v>1547004</v>
      </c>
      <c r="D4955" s="0" t="s">
        <v>16535</v>
      </c>
      <c r="E4955" s="0" t="s">
        <v>75</v>
      </c>
      <c r="F4955" s="0" t="s">
        <v>15</v>
      </c>
      <c r="G4955" s="0" t="s">
        <v>16</v>
      </c>
      <c r="H4955" s="0" t="n">
        <v>8</v>
      </c>
      <c r="I4955" s="0" t="s">
        <v>16536</v>
      </c>
      <c r="J4955" s="0" t="s">
        <v>16537</v>
      </c>
      <c r="K4955" s="0" t="s">
        <v>16538</v>
      </c>
      <c r="L4955" s="0" t="str">
        <f aca="false">HYPERLINK("https://www.ncbi.nlm.nih.gov/nuccore/CP000058.1?report=graph&amp;tracks=[key:gene_model_track,Options:GeneOnly]&amp;mk=1546985:1547004|offset_8|00cc00,1547016:1547035|offset_39|444444,1547072:1547091|offset_95|444444,1547095:1547114|offset_118|444444&amp;v=1546784:1547314&amp;c=444444", "offset 8")</f>
        <v>offset 8</v>
      </c>
    </row>
    <row r="4956" customFormat="false" ht="12.8" hidden="false" customHeight="false" outlineLevel="0" collapsed="false">
      <c r="A4956" s="0" t="s">
        <v>12</v>
      </c>
      <c r="B4956" s="0" t="n">
        <v>1547015</v>
      </c>
      <c r="C4956" s="0" t="n">
        <v>1547035</v>
      </c>
      <c r="D4956" s="0" t="s">
        <v>16535</v>
      </c>
      <c r="E4956" s="0" t="s">
        <v>75</v>
      </c>
      <c r="F4956" s="0" t="s">
        <v>15</v>
      </c>
      <c r="G4956" s="0" t="s">
        <v>36</v>
      </c>
      <c r="H4956" s="0" t="n">
        <v>39</v>
      </c>
      <c r="I4956" s="0" t="s">
        <v>16539</v>
      </c>
      <c r="J4956" s="0" t="s">
        <v>16540</v>
      </c>
      <c r="K4956" s="0" t="s">
        <v>16541</v>
      </c>
      <c r="L4956" s="0" t="str">
        <f aca="false">HYPERLINK("https://www.ncbi.nlm.nih.gov/nuccore/CP000058.1?report=graph&amp;tracks=[key:gene_model_track,Options:GeneOnly]&amp;mk=1546985:1547004|offset_8|444444,1547016:1547035|offset_39|00cc00,1547072:1547091|offset_95|444444,1547095:1547114|offset_118|444444&amp;v=1546784:1547314&amp;c=444444", "offset 39")</f>
        <v>offset 39</v>
      </c>
    </row>
    <row r="4957" customFormat="false" ht="12.8" hidden="false" customHeight="false" outlineLevel="0" collapsed="false">
      <c r="A4957" s="0" t="s">
        <v>12</v>
      </c>
      <c r="B4957" s="0" t="n">
        <v>1547071</v>
      </c>
      <c r="C4957" s="0" t="n">
        <v>1547091</v>
      </c>
      <c r="D4957" s="0" t="s">
        <v>16535</v>
      </c>
      <c r="E4957" s="0" t="s">
        <v>75</v>
      </c>
      <c r="F4957" s="0" t="s">
        <v>15</v>
      </c>
      <c r="G4957" s="0" t="s">
        <v>20</v>
      </c>
      <c r="H4957" s="0" t="n">
        <v>95</v>
      </c>
      <c r="I4957" s="0" t="s">
        <v>16542</v>
      </c>
      <c r="J4957" s="0" t="s">
        <v>16543</v>
      </c>
      <c r="K4957" s="0" t="s">
        <v>16544</v>
      </c>
      <c r="L4957" s="0" t="str">
        <f aca="false">HYPERLINK("https://www.ncbi.nlm.nih.gov/nuccore/CP000058.1?report=graph&amp;tracks=[key:gene_model_track,Options:GeneOnly]&amp;mk=1546985:1547004|offset_8|444444,1547016:1547035|offset_39|444444,1547072:1547091|offset_95|00cc00,1547095:1547114|offset_118|444444&amp;v=1546784:1547314&amp;c=444444", "offset 95")</f>
        <v>offset 95</v>
      </c>
    </row>
    <row r="4958" customFormat="false" ht="12.8" hidden="false" customHeight="false" outlineLevel="0" collapsed="false">
      <c r="A4958" s="0" t="s">
        <v>12</v>
      </c>
      <c r="B4958" s="0" t="n">
        <v>1547094</v>
      </c>
      <c r="C4958" s="0" t="n">
        <v>1547114</v>
      </c>
      <c r="D4958" s="0" t="s">
        <v>16535</v>
      </c>
      <c r="E4958" s="0" t="s">
        <v>75</v>
      </c>
      <c r="F4958" s="0" t="s">
        <v>15</v>
      </c>
      <c r="G4958" s="0" t="s">
        <v>32</v>
      </c>
      <c r="H4958" s="0" t="n">
        <v>118</v>
      </c>
      <c r="I4958" s="0" t="s">
        <v>16545</v>
      </c>
      <c r="J4958" s="0" t="s">
        <v>16546</v>
      </c>
      <c r="K4958" s="0" t="s">
        <v>16547</v>
      </c>
      <c r="L4958" s="0" t="str">
        <f aca="false">HYPERLINK("https://www.ncbi.nlm.nih.gov/nuccore/CP000058.1?report=graph&amp;tracks=[key:gene_model_track,Options:GeneOnly]&amp;mk=1546985:1547004|offset_8|444444,1547016:1547035|offset_39|444444,1547072:1547091|offset_95|444444,1547095:1547114|offset_118|00cc00&amp;v=1546784:1547314&amp;c=444444", "offset 118")</f>
        <v>offset 118</v>
      </c>
    </row>
    <row r="4959" customFormat="false" ht="12.8" hidden="false" customHeight="false" outlineLevel="0" collapsed="false">
      <c r="A4959" s="0" t="s">
        <v>12</v>
      </c>
      <c r="B4959" s="0" t="n">
        <v>1551404</v>
      </c>
      <c r="C4959" s="0" t="n">
        <v>1551424</v>
      </c>
      <c r="D4959" s="0" t="s">
        <v>16548</v>
      </c>
      <c r="E4959" s="0" t="s">
        <v>75</v>
      </c>
      <c r="F4959" s="0" t="s">
        <v>15</v>
      </c>
      <c r="G4959" s="0" t="s">
        <v>16</v>
      </c>
      <c r="H4959" s="0" t="n">
        <v>22</v>
      </c>
      <c r="I4959" s="0" t="s">
        <v>16549</v>
      </c>
      <c r="J4959" s="0" t="s">
        <v>16550</v>
      </c>
      <c r="K4959" s="0" t="s">
        <v>16551</v>
      </c>
      <c r="L4959" s="0" t="str">
        <f aca="false">HYPERLINK("https://www.ncbi.nlm.nih.gov/nuccore/CP000058.1?report=graph&amp;tracks=[key:gene_model_track,Options:GeneOnly]&amp;mk=1551405:1551424|offset_22|00cc00,1551449:1551468|offset_66|444444,1551474:1551493|offset_91|444444,1551498:1551517|offset_115|444444&amp;v=1551204:1551717&amp;c=444444", "offset 22")</f>
        <v>offset 22</v>
      </c>
    </row>
    <row r="4960" customFormat="false" ht="12.8" hidden="false" customHeight="false" outlineLevel="0" collapsed="false">
      <c r="A4960" s="0" t="s">
        <v>12</v>
      </c>
      <c r="B4960" s="0" t="n">
        <v>1551448</v>
      </c>
      <c r="C4960" s="0" t="n">
        <v>1551468</v>
      </c>
      <c r="D4960" s="0" t="s">
        <v>16548</v>
      </c>
      <c r="E4960" s="0" t="s">
        <v>75</v>
      </c>
      <c r="F4960" s="0" t="s">
        <v>15</v>
      </c>
      <c r="G4960" s="0" t="s">
        <v>20</v>
      </c>
      <c r="H4960" s="0" t="n">
        <v>66</v>
      </c>
      <c r="I4960" s="0" t="s">
        <v>16552</v>
      </c>
      <c r="J4960" s="0" t="s">
        <v>16553</v>
      </c>
      <c r="K4960" s="0" t="s">
        <v>16554</v>
      </c>
      <c r="L4960" s="0" t="str">
        <f aca="false">HYPERLINK("https://www.ncbi.nlm.nih.gov/nuccore/CP000058.1?report=graph&amp;tracks=[key:gene_model_track,Options:GeneOnly]&amp;mk=1551405:1551424|offset_22|444444,1551449:1551468|offset_66|00cc00,1551474:1551493|offset_91|444444,1551498:1551517|offset_115|444444&amp;v=1551204:1551717&amp;c=444444", "offset 66")</f>
        <v>offset 66</v>
      </c>
    </row>
    <row r="4961" customFormat="false" ht="12.8" hidden="false" customHeight="false" outlineLevel="0" collapsed="false">
      <c r="A4961" s="0" t="s">
        <v>12</v>
      </c>
      <c r="B4961" s="0" t="n">
        <v>1551473</v>
      </c>
      <c r="C4961" s="0" t="n">
        <v>1551493</v>
      </c>
      <c r="D4961" s="0" t="s">
        <v>16548</v>
      </c>
      <c r="E4961" s="0" t="s">
        <v>75</v>
      </c>
      <c r="F4961" s="0" t="s">
        <v>15</v>
      </c>
      <c r="G4961" s="0" t="s">
        <v>36</v>
      </c>
      <c r="H4961" s="0" t="n">
        <v>91</v>
      </c>
      <c r="I4961" s="0" t="s">
        <v>16555</v>
      </c>
      <c r="J4961" s="0" t="s">
        <v>16556</v>
      </c>
      <c r="K4961" s="0" t="s">
        <v>16557</v>
      </c>
      <c r="L4961" s="0" t="str">
        <f aca="false">HYPERLINK("https://www.ncbi.nlm.nih.gov/nuccore/CP000058.1?report=graph&amp;tracks=[key:gene_model_track,Options:GeneOnly]&amp;mk=1551405:1551424|offset_22|444444,1551449:1551468|offset_66|444444,1551474:1551493|offset_91|00cc00,1551498:1551517|offset_115|444444&amp;v=1551204:1551717&amp;c=444444", "offset 91")</f>
        <v>offset 91</v>
      </c>
    </row>
    <row r="4962" customFormat="false" ht="12.8" hidden="false" customHeight="false" outlineLevel="0" collapsed="false">
      <c r="A4962" s="0" t="s">
        <v>12</v>
      </c>
      <c r="B4962" s="0" t="n">
        <v>1551497</v>
      </c>
      <c r="C4962" s="0" t="n">
        <v>1551517</v>
      </c>
      <c r="D4962" s="0" t="s">
        <v>16548</v>
      </c>
      <c r="E4962" s="0" t="s">
        <v>75</v>
      </c>
      <c r="F4962" s="0" t="s">
        <v>15</v>
      </c>
      <c r="G4962" s="0" t="s">
        <v>20</v>
      </c>
      <c r="H4962" s="0" t="n">
        <v>115</v>
      </c>
      <c r="I4962" s="0" t="s">
        <v>16558</v>
      </c>
      <c r="J4962" s="0" t="s">
        <v>16559</v>
      </c>
      <c r="K4962" s="0" t="s">
        <v>16560</v>
      </c>
      <c r="L4962" s="0" t="str">
        <f aca="false">HYPERLINK("https://www.ncbi.nlm.nih.gov/nuccore/CP000058.1?report=graph&amp;tracks=[key:gene_model_track,Options:GeneOnly]&amp;mk=1551405:1551424|offset_22|444444,1551449:1551468|offset_66|444444,1551474:1551493|offset_91|444444,1551498:1551517|offset_115|00cc00&amp;v=1551204:1551717&amp;c=444444", "offset 115")</f>
        <v>offset 115</v>
      </c>
    </row>
    <row r="4963" customFormat="false" ht="12.8" hidden="false" customHeight="false" outlineLevel="0" collapsed="false">
      <c r="A4963" s="0" t="s">
        <v>12</v>
      </c>
      <c r="B4963" s="0" t="n">
        <v>1553530</v>
      </c>
      <c r="C4963" s="0" t="n">
        <v>1553550</v>
      </c>
      <c r="D4963" s="0" t="s">
        <v>16561</v>
      </c>
      <c r="E4963" s="0" t="s">
        <v>16562</v>
      </c>
      <c r="F4963" s="0" t="s">
        <v>15</v>
      </c>
      <c r="G4963" s="0" t="s">
        <v>36</v>
      </c>
      <c r="H4963" s="0" t="n">
        <v>29</v>
      </c>
      <c r="I4963" s="0" t="s">
        <v>16563</v>
      </c>
      <c r="J4963" s="0" t="s">
        <v>16564</v>
      </c>
      <c r="K4963" s="0" t="s">
        <v>16565</v>
      </c>
      <c r="L4963" s="0" t="str">
        <f aca="false">HYPERLINK("https://www.ncbi.nlm.nih.gov/nuccore/CP000058.1?report=graph&amp;tracks=[key:gene_model_track,Options:GeneOnly]&amp;mk=1553531:1553550|offset_29|00cc00,1553551:1553570|offset_49|444444,1553578:1553597|offset_76|444444,1553679:1553698|offset_177|444444&amp;v=1553330:1553898&amp;c=444444", "offset 29")</f>
        <v>offset 29</v>
      </c>
    </row>
    <row r="4964" customFormat="false" ht="12.8" hidden="false" customHeight="false" outlineLevel="0" collapsed="false">
      <c r="A4964" s="0" t="s">
        <v>12</v>
      </c>
      <c r="B4964" s="0" t="n">
        <v>1553550</v>
      </c>
      <c r="C4964" s="0" t="n">
        <v>1553570</v>
      </c>
      <c r="D4964" s="0" t="s">
        <v>16561</v>
      </c>
      <c r="E4964" s="0" t="s">
        <v>16562</v>
      </c>
      <c r="F4964" s="0" t="s">
        <v>15</v>
      </c>
      <c r="G4964" s="0" t="s">
        <v>36</v>
      </c>
      <c r="H4964" s="0" t="n">
        <v>49</v>
      </c>
      <c r="I4964" s="0" t="s">
        <v>16566</v>
      </c>
      <c r="J4964" s="0" t="s">
        <v>16567</v>
      </c>
      <c r="K4964" s="0" t="s">
        <v>16568</v>
      </c>
      <c r="L4964" s="0" t="str">
        <f aca="false">HYPERLINK("https://www.ncbi.nlm.nih.gov/nuccore/CP000058.1?report=graph&amp;tracks=[key:gene_model_track,Options:GeneOnly]&amp;mk=1553531:1553550|offset_29|444444,1553551:1553570|offset_49|00cc00,1553578:1553597|offset_76|444444,1553679:1553698|offset_177|444444&amp;v=1553330:1553898&amp;c=444444", "offset 49")</f>
        <v>offset 49</v>
      </c>
    </row>
    <row r="4965" customFormat="false" ht="12.8" hidden="false" customHeight="false" outlineLevel="0" collapsed="false">
      <c r="A4965" s="0" t="s">
        <v>12</v>
      </c>
      <c r="B4965" s="0" t="n">
        <v>1553577</v>
      </c>
      <c r="C4965" s="0" t="n">
        <v>1553597</v>
      </c>
      <c r="D4965" s="0" t="s">
        <v>16561</v>
      </c>
      <c r="E4965" s="0" t="s">
        <v>16562</v>
      </c>
      <c r="F4965" s="0" t="s">
        <v>15</v>
      </c>
      <c r="G4965" s="0" t="s">
        <v>16</v>
      </c>
      <c r="H4965" s="0" t="n">
        <v>76</v>
      </c>
      <c r="I4965" s="0" t="s">
        <v>16569</v>
      </c>
      <c r="J4965" s="0" t="s">
        <v>16570</v>
      </c>
      <c r="K4965" s="0" t="s">
        <v>16571</v>
      </c>
      <c r="L4965" s="0" t="str">
        <f aca="false">HYPERLINK("https://www.ncbi.nlm.nih.gov/nuccore/CP000058.1?report=graph&amp;tracks=[key:gene_model_track,Options:GeneOnly]&amp;mk=1553531:1553550|offset_29|444444,1553551:1553570|offset_49|444444,1553578:1553597|offset_76|00cc00,1553679:1553698|offset_177|444444&amp;v=1553330:1553898&amp;c=444444", "offset 76")</f>
        <v>offset 76</v>
      </c>
    </row>
    <row r="4966" customFormat="false" ht="12.8" hidden="false" customHeight="false" outlineLevel="0" collapsed="false">
      <c r="A4966" s="0" t="s">
        <v>12</v>
      </c>
      <c r="B4966" s="0" t="n">
        <v>1553678</v>
      </c>
      <c r="C4966" s="0" t="n">
        <v>1553698</v>
      </c>
      <c r="D4966" s="0" t="s">
        <v>16561</v>
      </c>
      <c r="E4966" s="0" t="s">
        <v>16562</v>
      </c>
      <c r="F4966" s="0" t="s">
        <v>15</v>
      </c>
      <c r="G4966" s="0" t="s">
        <v>16</v>
      </c>
      <c r="H4966" s="0" t="n">
        <v>177</v>
      </c>
      <c r="I4966" s="0" t="s">
        <v>16572</v>
      </c>
      <c r="J4966" s="0" t="s">
        <v>16573</v>
      </c>
      <c r="K4966" s="0" t="s">
        <v>16574</v>
      </c>
      <c r="L4966" s="0" t="str">
        <f aca="false">HYPERLINK("https://www.ncbi.nlm.nih.gov/nuccore/CP000058.1?report=graph&amp;tracks=[key:gene_model_track,Options:GeneOnly]&amp;mk=1553531:1553550|offset_29|444444,1553551:1553570|offset_49|444444,1553578:1553597|offset_76|444444,1553679:1553698|offset_177|00cc00&amp;v=1553330:1553898&amp;c=444444", "offset 177")</f>
        <v>offset 177</v>
      </c>
    </row>
    <row r="4967" customFormat="false" ht="12.8" hidden="false" customHeight="false" outlineLevel="0" collapsed="false">
      <c r="A4967" s="0" t="s">
        <v>12</v>
      </c>
      <c r="B4967" s="0" t="n">
        <v>1554922</v>
      </c>
      <c r="C4967" s="0" t="n">
        <v>1554942</v>
      </c>
      <c r="D4967" s="0" t="s">
        <v>16575</v>
      </c>
      <c r="E4967" s="0" t="s">
        <v>75</v>
      </c>
      <c r="F4967" s="0" t="s">
        <v>15</v>
      </c>
      <c r="G4967" s="0" t="s">
        <v>16</v>
      </c>
      <c r="H4967" s="0" t="n">
        <v>12</v>
      </c>
      <c r="I4967" s="0" t="s">
        <v>16576</v>
      </c>
      <c r="J4967" s="0" t="s">
        <v>16577</v>
      </c>
      <c r="K4967" s="0" t="s">
        <v>16578</v>
      </c>
      <c r="L4967" s="0" t="str">
        <f aca="false">HYPERLINK("https://www.ncbi.nlm.nih.gov/nuccore/CP000058.1?report=graph&amp;tracks=[key:gene_model_track,Options:GeneOnly]&amp;mk=1554923:1554942|offset_12|00cc00,1554981:1555000|offset_70|444444,1555010:1555029|offset_99|444444,1555066:1555085|offset_155|444444&amp;v=1554722:1555285&amp;c=444444", "offset 12")</f>
        <v>offset 12</v>
      </c>
    </row>
    <row r="4968" customFormat="false" ht="12.8" hidden="false" customHeight="false" outlineLevel="0" collapsed="false">
      <c r="A4968" s="0" t="s">
        <v>12</v>
      </c>
      <c r="B4968" s="0" t="n">
        <v>1554980</v>
      </c>
      <c r="C4968" s="0" t="n">
        <v>1555000</v>
      </c>
      <c r="D4968" s="0" t="s">
        <v>16575</v>
      </c>
      <c r="E4968" s="0" t="s">
        <v>75</v>
      </c>
      <c r="F4968" s="0" t="s">
        <v>15</v>
      </c>
      <c r="G4968" s="0" t="s">
        <v>16</v>
      </c>
      <c r="H4968" s="0" t="n">
        <v>70</v>
      </c>
      <c r="I4968" s="0" t="s">
        <v>16579</v>
      </c>
      <c r="J4968" s="0" t="s">
        <v>16580</v>
      </c>
      <c r="K4968" s="0" t="s">
        <v>16581</v>
      </c>
      <c r="L4968" s="0" t="str">
        <f aca="false">HYPERLINK("https://www.ncbi.nlm.nih.gov/nuccore/CP000058.1?report=graph&amp;tracks=[key:gene_model_track,Options:GeneOnly]&amp;mk=1554923:1554942|offset_12|444444,1554981:1555000|offset_70|00cc00,1555010:1555029|offset_99|444444,1555066:1555085|offset_155|444444&amp;v=1554722:1555285&amp;c=444444", "offset 70")</f>
        <v>offset 70</v>
      </c>
    </row>
    <row r="4969" customFormat="false" ht="12.8" hidden="false" customHeight="false" outlineLevel="0" collapsed="false">
      <c r="A4969" s="0" t="s">
        <v>12</v>
      </c>
      <c r="B4969" s="0" t="n">
        <v>1555009</v>
      </c>
      <c r="C4969" s="0" t="n">
        <v>1555029</v>
      </c>
      <c r="D4969" s="0" t="s">
        <v>16575</v>
      </c>
      <c r="E4969" s="0" t="s">
        <v>75</v>
      </c>
      <c r="F4969" s="0" t="s">
        <v>15</v>
      </c>
      <c r="G4969" s="0" t="s">
        <v>36</v>
      </c>
      <c r="H4969" s="0" t="n">
        <v>99</v>
      </c>
      <c r="I4969" s="0" t="s">
        <v>16582</v>
      </c>
      <c r="J4969" s="0" t="s">
        <v>16583</v>
      </c>
      <c r="K4969" s="0" t="s">
        <v>16584</v>
      </c>
      <c r="L4969" s="0" t="str">
        <f aca="false">HYPERLINK("https://www.ncbi.nlm.nih.gov/nuccore/CP000058.1?report=graph&amp;tracks=[key:gene_model_track,Options:GeneOnly]&amp;mk=1554923:1554942|offset_12|444444,1554981:1555000|offset_70|444444,1555010:1555029|offset_99|00cc00,1555066:1555085|offset_155|444444&amp;v=1554722:1555285&amp;c=444444", "offset 99")</f>
        <v>offset 99</v>
      </c>
    </row>
    <row r="4970" customFormat="false" ht="12.8" hidden="false" customHeight="false" outlineLevel="0" collapsed="false">
      <c r="A4970" s="0" t="s">
        <v>12</v>
      </c>
      <c r="B4970" s="0" t="n">
        <v>1555065</v>
      </c>
      <c r="C4970" s="0" t="n">
        <v>1555085</v>
      </c>
      <c r="D4970" s="0" t="s">
        <v>16575</v>
      </c>
      <c r="E4970" s="0" t="s">
        <v>75</v>
      </c>
      <c r="F4970" s="0" t="s">
        <v>15</v>
      </c>
      <c r="G4970" s="0" t="s">
        <v>36</v>
      </c>
      <c r="H4970" s="0" t="n">
        <v>155</v>
      </c>
      <c r="I4970" s="0" t="s">
        <v>16585</v>
      </c>
      <c r="J4970" s="0" t="s">
        <v>16586</v>
      </c>
      <c r="K4970" s="0" t="s">
        <v>16587</v>
      </c>
      <c r="L4970" s="0" t="str">
        <f aca="false">HYPERLINK("https://www.ncbi.nlm.nih.gov/nuccore/CP000058.1?report=graph&amp;tracks=[key:gene_model_track,Options:GeneOnly]&amp;mk=1554923:1554942|offset_12|444444,1554981:1555000|offset_70|444444,1555010:1555029|offset_99|444444,1555066:1555085|offset_155|00cc00&amp;v=1554722:1555285&amp;c=444444", "offset 155")</f>
        <v>offset 155</v>
      </c>
    </row>
    <row r="4971" customFormat="false" ht="12.8" hidden="false" customHeight="false" outlineLevel="0" collapsed="false">
      <c r="A4971" s="0" t="s">
        <v>12</v>
      </c>
      <c r="B4971" s="0" t="n">
        <v>1557047</v>
      </c>
      <c r="C4971" s="0" t="n">
        <v>1557067</v>
      </c>
      <c r="D4971" s="0" t="s">
        <v>16588</v>
      </c>
      <c r="E4971" s="0" t="s">
        <v>75</v>
      </c>
      <c r="F4971" s="0" t="s">
        <v>90</v>
      </c>
      <c r="G4971" s="0" t="s">
        <v>20</v>
      </c>
      <c r="H4971" s="0" t="n">
        <v>29</v>
      </c>
      <c r="I4971" s="0" t="s">
        <v>16589</v>
      </c>
      <c r="J4971" s="0" t="s">
        <v>16590</v>
      </c>
      <c r="K4971" s="0" t="s">
        <v>16591</v>
      </c>
      <c r="L4971" s="0" t="str">
        <f aca="false">HYPERLINK("https://www.ncbi.nlm.nih.gov/nuccore/CP000058.1?report=graph&amp;tracks=[key:gene_model_track,Options:GeneOnly]&amp;mk=1557048:1557067|offset_29|00cc00,1557027:1557046|offset_50|444444,1557003:1557022|offset_74|444444,1556966:1556985|offset_111|444444&amp;v=1556847:1557185&amp;c=444444", "offset 29")</f>
        <v>offset 29</v>
      </c>
    </row>
    <row r="4972" customFormat="false" ht="12.8" hidden="false" customHeight="false" outlineLevel="0" collapsed="false">
      <c r="A4972" s="0" t="s">
        <v>12</v>
      </c>
      <c r="B4972" s="0" t="n">
        <v>1557026</v>
      </c>
      <c r="C4972" s="0" t="n">
        <v>1557046</v>
      </c>
      <c r="D4972" s="0" t="s">
        <v>16588</v>
      </c>
      <c r="E4972" s="0" t="s">
        <v>75</v>
      </c>
      <c r="F4972" s="0" t="s">
        <v>90</v>
      </c>
      <c r="G4972" s="0" t="s">
        <v>36</v>
      </c>
      <c r="H4972" s="0" t="n">
        <v>50</v>
      </c>
      <c r="I4972" s="0" t="s">
        <v>16592</v>
      </c>
      <c r="J4972" s="0" t="s">
        <v>16593</v>
      </c>
      <c r="K4972" s="0" t="s">
        <v>16594</v>
      </c>
      <c r="L4972" s="0" t="str">
        <f aca="false">HYPERLINK("https://www.ncbi.nlm.nih.gov/nuccore/CP000058.1?report=graph&amp;tracks=[key:gene_model_track,Options:GeneOnly]&amp;mk=1557048:1557067|offset_29|444444,1557027:1557046|offset_50|00cc00,1557003:1557022|offset_74|444444,1556966:1556985|offset_111|444444&amp;v=1556847:1557185&amp;c=444444", "offset 50")</f>
        <v>offset 50</v>
      </c>
    </row>
    <row r="4973" customFormat="false" ht="12.8" hidden="false" customHeight="false" outlineLevel="0" collapsed="false">
      <c r="A4973" s="0" t="s">
        <v>12</v>
      </c>
      <c r="B4973" s="0" t="n">
        <v>1557002</v>
      </c>
      <c r="C4973" s="0" t="n">
        <v>1557022</v>
      </c>
      <c r="D4973" s="0" t="s">
        <v>16588</v>
      </c>
      <c r="E4973" s="0" t="s">
        <v>75</v>
      </c>
      <c r="F4973" s="0" t="s">
        <v>90</v>
      </c>
      <c r="G4973" s="0" t="s">
        <v>36</v>
      </c>
      <c r="H4973" s="0" t="n">
        <v>74</v>
      </c>
      <c r="I4973" s="0" t="s">
        <v>16595</v>
      </c>
      <c r="J4973" s="0" t="s">
        <v>16596</v>
      </c>
      <c r="K4973" s="0" t="s">
        <v>16597</v>
      </c>
      <c r="L4973" s="0" t="str">
        <f aca="false">HYPERLINK("https://www.ncbi.nlm.nih.gov/nuccore/CP000058.1?report=graph&amp;tracks=[key:gene_model_track,Options:GeneOnly]&amp;mk=1557048:1557067|offset_29|444444,1557027:1557046|offset_50|444444,1557003:1557022|offset_74|00cc00,1556966:1556985|offset_111|444444&amp;v=1556847:1557185&amp;c=444444", "offset 74")</f>
        <v>offset 74</v>
      </c>
    </row>
    <row r="4974" customFormat="false" ht="12.8" hidden="false" customHeight="false" outlineLevel="0" collapsed="false">
      <c r="A4974" s="0" t="s">
        <v>12</v>
      </c>
      <c r="B4974" s="0" t="n">
        <v>1556965</v>
      </c>
      <c r="C4974" s="0" t="n">
        <v>1556985</v>
      </c>
      <c r="D4974" s="0" t="s">
        <v>16588</v>
      </c>
      <c r="E4974" s="0" t="s">
        <v>75</v>
      </c>
      <c r="F4974" s="0" t="s">
        <v>90</v>
      </c>
      <c r="G4974" s="0" t="s">
        <v>20</v>
      </c>
      <c r="H4974" s="0" t="n">
        <v>111</v>
      </c>
      <c r="I4974" s="0" t="s">
        <v>16598</v>
      </c>
      <c r="J4974" s="0" t="s">
        <v>16599</v>
      </c>
      <c r="K4974" s="0" t="s">
        <v>16600</v>
      </c>
      <c r="L4974" s="0" t="str">
        <f aca="false">HYPERLINK("https://www.ncbi.nlm.nih.gov/nuccore/CP000058.1?report=graph&amp;tracks=[key:gene_model_track,Options:GeneOnly]&amp;mk=1557048:1557067|offset_29|444444,1557027:1557046|offset_50|444444,1557003:1557022|offset_74|444444,1556966:1556985|offset_111|00cc00&amp;v=1556847:1557185&amp;c=444444", "offset 111")</f>
        <v>offset 111</v>
      </c>
    </row>
    <row r="4975" customFormat="false" ht="12.8" hidden="false" customHeight="false" outlineLevel="0" collapsed="false">
      <c r="A4975" s="0" t="s">
        <v>12</v>
      </c>
      <c r="B4975" s="0" t="n">
        <v>1557098</v>
      </c>
      <c r="C4975" s="0" t="n">
        <v>1557118</v>
      </c>
      <c r="D4975" s="0" t="s">
        <v>16601</v>
      </c>
      <c r="E4975" s="0" t="s">
        <v>16602</v>
      </c>
      <c r="F4975" s="0" t="s">
        <v>15</v>
      </c>
      <c r="G4975" s="0" t="s">
        <v>36</v>
      </c>
      <c r="H4975" s="0" t="n">
        <v>23</v>
      </c>
      <c r="I4975" s="0" t="s">
        <v>16603</v>
      </c>
      <c r="J4975" s="0" t="s">
        <v>16604</v>
      </c>
      <c r="K4975" s="0" t="s">
        <v>16605</v>
      </c>
      <c r="L4975" s="0" t="str">
        <f aca="false">HYPERLINK("https://www.ncbi.nlm.nih.gov/nuccore/CP000058.1?report=graph&amp;tracks=[key:gene_model_track,Options:GeneOnly]&amp;mk=1557099:1557118|offset_23|00cc00,1557132:1557151|offset_56|444444,1557158:1557177|offset_82|444444,1557224:1557243|offset_148|444444&amp;v=1556898:1557443&amp;c=444444", "offset 23")</f>
        <v>offset 23</v>
      </c>
    </row>
    <row r="4976" customFormat="false" ht="12.8" hidden="false" customHeight="false" outlineLevel="0" collapsed="false">
      <c r="A4976" s="0" t="s">
        <v>12</v>
      </c>
      <c r="B4976" s="0" t="n">
        <v>1557131</v>
      </c>
      <c r="C4976" s="0" t="n">
        <v>1557151</v>
      </c>
      <c r="D4976" s="0" t="s">
        <v>16601</v>
      </c>
      <c r="E4976" s="0" t="s">
        <v>16602</v>
      </c>
      <c r="F4976" s="0" t="s">
        <v>15</v>
      </c>
      <c r="G4976" s="0" t="s">
        <v>20</v>
      </c>
      <c r="H4976" s="0" t="n">
        <v>56</v>
      </c>
      <c r="I4976" s="0" t="s">
        <v>16606</v>
      </c>
      <c r="J4976" s="0" t="s">
        <v>16607</v>
      </c>
      <c r="K4976" s="0" t="s">
        <v>16608</v>
      </c>
      <c r="L4976" s="0" t="str">
        <f aca="false">HYPERLINK("https://www.ncbi.nlm.nih.gov/nuccore/CP000058.1?report=graph&amp;tracks=[key:gene_model_track,Options:GeneOnly]&amp;mk=1557099:1557118|offset_23|444444,1557132:1557151|offset_56|00cc00,1557158:1557177|offset_82|444444,1557224:1557243|offset_148|444444&amp;v=1556898:1557443&amp;c=444444", "offset 56")</f>
        <v>offset 56</v>
      </c>
    </row>
    <row r="4977" customFormat="false" ht="12.8" hidden="false" customHeight="false" outlineLevel="0" collapsed="false">
      <c r="A4977" s="0" t="s">
        <v>12</v>
      </c>
      <c r="B4977" s="0" t="n">
        <v>1557157</v>
      </c>
      <c r="C4977" s="0" t="n">
        <v>1557177</v>
      </c>
      <c r="D4977" s="0" t="s">
        <v>16601</v>
      </c>
      <c r="E4977" s="0" t="s">
        <v>16602</v>
      </c>
      <c r="F4977" s="0" t="s">
        <v>15</v>
      </c>
      <c r="G4977" s="0" t="s">
        <v>20</v>
      </c>
      <c r="H4977" s="0" t="n">
        <v>82</v>
      </c>
      <c r="I4977" s="0" t="s">
        <v>16609</v>
      </c>
      <c r="J4977" s="0" t="s">
        <v>16610</v>
      </c>
      <c r="K4977" s="0" t="s">
        <v>16611</v>
      </c>
      <c r="L4977" s="0" t="str">
        <f aca="false">HYPERLINK("https://www.ncbi.nlm.nih.gov/nuccore/CP000058.1?report=graph&amp;tracks=[key:gene_model_track,Options:GeneOnly]&amp;mk=1557099:1557118|offset_23|444444,1557132:1557151|offset_56|444444,1557158:1557177|offset_82|00cc00,1557224:1557243|offset_148|444444&amp;v=1556898:1557443&amp;c=444444", "offset 82")</f>
        <v>offset 82</v>
      </c>
    </row>
    <row r="4978" customFormat="false" ht="12.8" hidden="false" customHeight="false" outlineLevel="0" collapsed="false">
      <c r="A4978" s="0" t="s">
        <v>12</v>
      </c>
      <c r="B4978" s="0" t="n">
        <v>1557223</v>
      </c>
      <c r="C4978" s="0" t="n">
        <v>1557243</v>
      </c>
      <c r="D4978" s="0" t="s">
        <v>16601</v>
      </c>
      <c r="E4978" s="0" t="s">
        <v>16602</v>
      </c>
      <c r="F4978" s="0" t="s">
        <v>15</v>
      </c>
      <c r="G4978" s="0" t="s">
        <v>16</v>
      </c>
      <c r="H4978" s="0" t="n">
        <v>148</v>
      </c>
      <c r="I4978" s="0" t="s">
        <v>16612</v>
      </c>
      <c r="J4978" s="0" t="s">
        <v>16613</v>
      </c>
      <c r="K4978" s="0" t="s">
        <v>16614</v>
      </c>
      <c r="L4978" s="0" t="str">
        <f aca="false">HYPERLINK("https://www.ncbi.nlm.nih.gov/nuccore/CP000058.1?report=graph&amp;tracks=[key:gene_model_track,Options:GeneOnly]&amp;mk=1557099:1557118|offset_23|444444,1557132:1557151|offset_56|444444,1557158:1557177|offset_82|444444,1557224:1557243|offset_148|00cc00&amp;v=1556898:1557443&amp;c=444444", "offset 148")</f>
        <v>offset 148</v>
      </c>
    </row>
    <row r="4979" customFormat="false" ht="12.8" hidden="false" customHeight="false" outlineLevel="0" collapsed="false">
      <c r="A4979" s="0" t="s">
        <v>12</v>
      </c>
      <c r="B4979" s="0" t="n">
        <v>1561038</v>
      </c>
      <c r="C4979" s="0" t="n">
        <v>1561058</v>
      </c>
      <c r="D4979" s="0" t="s">
        <v>16615</v>
      </c>
      <c r="E4979" s="0" t="s">
        <v>75</v>
      </c>
      <c r="F4979" s="0" t="s">
        <v>15</v>
      </c>
      <c r="G4979" s="0" t="s">
        <v>20</v>
      </c>
      <c r="H4979" s="0" t="n">
        <v>16</v>
      </c>
      <c r="I4979" s="0" t="s">
        <v>16616</v>
      </c>
      <c r="J4979" s="0" t="s">
        <v>16617</v>
      </c>
      <c r="K4979" s="0" t="s">
        <v>16618</v>
      </c>
      <c r="L4979" s="0" t="str">
        <f aca="false">HYPERLINK("https://www.ncbi.nlm.nih.gov/nuccore/CP000058.1?report=graph&amp;tracks=[key:gene_model_track,Options:GeneOnly]&amp;mk=1561039:1561058|offset_16|00cc00,1561145:1561164|offset_122|444444,1561179:1561198|offset_156|444444,1561286:1561305|offset_263|444444&amp;v=1560838:1561505&amp;c=444444", "offset 16")</f>
        <v>offset 16</v>
      </c>
    </row>
    <row r="4980" customFormat="false" ht="12.8" hidden="false" customHeight="false" outlineLevel="0" collapsed="false">
      <c r="A4980" s="0" t="s">
        <v>12</v>
      </c>
      <c r="B4980" s="0" t="n">
        <v>1561144</v>
      </c>
      <c r="C4980" s="0" t="n">
        <v>1561164</v>
      </c>
      <c r="D4980" s="0" t="s">
        <v>16615</v>
      </c>
      <c r="E4980" s="0" t="s">
        <v>75</v>
      </c>
      <c r="F4980" s="0" t="s">
        <v>15</v>
      </c>
      <c r="G4980" s="0" t="s">
        <v>32</v>
      </c>
      <c r="H4980" s="0" t="n">
        <v>122</v>
      </c>
      <c r="I4980" s="0" t="s">
        <v>16619</v>
      </c>
      <c r="J4980" s="0" t="s">
        <v>16620</v>
      </c>
      <c r="K4980" s="0" t="s">
        <v>16621</v>
      </c>
      <c r="L4980" s="0" t="str">
        <f aca="false">HYPERLINK("https://www.ncbi.nlm.nih.gov/nuccore/CP000058.1?report=graph&amp;tracks=[key:gene_model_track,Options:GeneOnly]&amp;mk=1561039:1561058|offset_16|444444,1561145:1561164|offset_122|00cc00,1561179:1561198|offset_156|444444,1561286:1561305|offset_263|444444&amp;v=1560838:1561505&amp;c=444444", "offset 122")</f>
        <v>offset 122</v>
      </c>
    </row>
    <row r="4981" customFormat="false" ht="12.8" hidden="false" customHeight="false" outlineLevel="0" collapsed="false">
      <c r="A4981" s="0" t="s">
        <v>12</v>
      </c>
      <c r="B4981" s="0" t="n">
        <v>1561178</v>
      </c>
      <c r="C4981" s="0" t="n">
        <v>1561198</v>
      </c>
      <c r="D4981" s="0" t="s">
        <v>16615</v>
      </c>
      <c r="E4981" s="0" t="s">
        <v>75</v>
      </c>
      <c r="F4981" s="0" t="s">
        <v>15</v>
      </c>
      <c r="G4981" s="0" t="s">
        <v>32</v>
      </c>
      <c r="H4981" s="0" t="n">
        <v>156</v>
      </c>
      <c r="I4981" s="0" t="s">
        <v>16622</v>
      </c>
      <c r="J4981" s="0" t="s">
        <v>16623</v>
      </c>
      <c r="K4981" s="0" t="s">
        <v>16624</v>
      </c>
      <c r="L4981" s="0" t="str">
        <f aca="false">HYPERLINK("https://www.ncbi.nlm.nih.gov/nuccore/CP000058.1?report=graph&amp;tracks=[key:gene_model_track,Options:GeneOnly]&amp;mk=1561039:1561058|offset_16|444444,1561145:1561164|offset_122|444444,1561179:1561198|offset_156|00cc00,1561286:1561305|offset_263|444444&amp;v=1560838:1561505&amp;c=444444", "offset 156")</f>
        <v>offset 156</v>
      </c>
    </row>
    <row r="4982" customFormat="false" ht="12.8" hidden="false" customHeight="false" outlineLevel="0" collapsed="false">
      <c r="A4982" s="0" t="s">
        <v>12</v>
      </c>
      <c r="B4982" s="0" t="n">
        <v>1561285</v>
      </c>
      <c r="C4982" s="0" t="n">
        <v>1561305</v>
      </c>
      <c r="D4982" s="0" t="s">
        <v>16615</v>
      </c>
      <c r="E4982" s="0" t="s">
        <v>75</v>
      </c>
      <c r="F4982" s="0" t="s">
        <v>15</v>
      </c>
      <c r="G4982" s="0" t="s">
        <v>32</v>
      </c>
      <c r="H4982" s="0" t="n">
        <v>263</v>
      </c>
      <c r="I4982" s="0" t="s">
        <v>16625</v>
      </c>
      <c r="J4982" s="0" t="s">
        <v>16626</v>
      </c>
      <c r="K4982" s="0" t="s">
        <v>16627</v>
      </c>
      <c r="L4982" s="0" t="str">
        <f aca="false">HYPERLINK("https://www.ncbi.nlm.nih.gov/nuccore/CP000058.1?report=graph&amp;tracks=[key:gene_model_track,Options:GeneOnly]&amp;mk=1561039:1561058|offset_16|444444,1561145:1561164|offset_122|444444,1561179:1561198|offset_156|444444,1561286:1561305|offset_263|00cc00&amp;v=1560838:1561505&amp;c=444444", "offset 263")</f>
        <v>offset 263</v>
      </c>
    </row>
    <row r="4983" customFormat="false" ht="12.8" hidden="false" customHeight="false" outlineLevel="0" collapsed="false">
      <c r="A4983" s="0" t="s">
        <v>12</v>
      </c>
      <c r="B4983" s="0" t="n">
        <v>1562007</v>
      </c>
      <c r="C4983" s="0" t="n">
        <v>1562027</v>
      </c>
      <c r="D4983" s="0" t="s">
        <v>16628</v>
      </c>
      <c r="E4983" s="0" t="s">
        <v>75</v>
      </c>
      <c r="F4983" s="0" t="s">
        <v>90</v>
      </c>
      <c r="G4983" s="0" t="s">
        <v>20</v>
      </c>
      <c r="H4983" s="0" t="n">
        <v>19</v>
      </c>
      <c r="I4983" s="0" t="s">
        <v>16629</v>
      </c>
      <c r="J4983" s="0" t="s">
        <v>16630</v>
      </c>
      <c r="K4983" s="0" t="s">
        <v>16631</v>
      </c>
      <c r="L4983" s="0" t="str">
        <f aca="false">HYPERLINK("https://www.ncbi.nlm.nih.gov/nuccore/CP000058.1?report=graph&amp;tracks=[key:gene_model_track,Options:GeneOnly]&amp;mk=1562008:1562027|offset_19|00cc00,1561985:1562004|offset_42|444444,1561963:1561982|offset_64|444444,1561903:1561922|offset_124|444444&amp;v=1561807:1562122&amp;c=444444", "offset 19")</f>
        <v>offset 19</v>
      </c>
    </row>
    <row r="4984" customFormat="false" ht="12.8" hidden="false" customHeight="false" outlineLevel="0" collapsed="false">
      <c r="A4984" s="0" t="s">
        <v>12</v>
      </c>
      <c r="B4984" s="0" t="n">
        <v>1561984</v>
      </c>
      <c r="C4984" s="0" t="n">
        <v>1562004</v>
      </c>
      <c r="D4984" s="0" t="s">
        <v>16628</v>
      </c>
      <c r="E4984" s="0" t="s">
        <v>75</v>
      </c>
      <c r="F4984" s="0" t="s">
        <v>90</v>
      </c>
      <c r="G4984" s="0" t="s">
        <v>16</v>
      </c>
      <c r="H4984" s="0" t="n">
        <v>42</v>
      </c>
      <c r="I4984" s="0" t="s">
        <v>16632</v>
      </c>
      <c r="J4984" s="0" t="s">
        <v>16633</v>
      </c>
      <c r="K4984" s="0" t="s">
        <v>16634</v>
      </c>
      <c r="L4984" s="0" t="str">
        <f aca="false">HYPERLINK("https://www.ncbi.nlm.nih.gov/nuccore/CP000058.1?report=graph&amp;tracks=[key:gene_model_track,Options:GeneOnly]&amp;mk=1562008:1562027|offset_19|444444,1561985:1562004|offset_42|00cc00,1561963:1561982|offset_64|444444,1561903:1561922|offset_124|444444&amp;v=1561807:1562122&amp;c=444444", "offset 42")</f>
        <v>offset 42</v>
      </c>
    </row>
    <row r="4985" customFormat="false" ht="12.8" hidden="false" customHeight="false" outlineLevel="0" collapsed="false">
      <c r="A4985" s="0" t="s">
        <v>12</v>
      </c>
      <c r="B4985" s="0" t="n">
        <v>1561962</v>
      </c>
      <c r="C4985" s="0" t="n">
        <v>1561982</v>
      </c>
      <c r="D4985" s="0" t="s">
        <v>16628</v>
      </c>
      <c r="E4985" s="0" t="s">
        <v>75</v>
      </c>
      <c r="F4985" s="0" t="s">
        <v>90</v>
      </c>
      <c r="G4985" s="0" t="s">
        <v>36</v>
      </c>
      <c r="H4985" s="0" t="n">
        <v>64</v>
      </c>
      <c r="I4985" s="0" t="s">
        <v>16635</v>
      </c>
      <c r="J4985" s="0" t="s">
        <v>16636</v>
      </c>
      <c r="K4985" s="0" t="s">
        <v>16637</v>
      </c>
      <c r="L4985" s="0" t="str">
        <f aca="false">HYPERLINK("https://www.ncbi.nlm.nih.gov/nuccore/CP000058.1?report=graph&amp;tracks=[key:gene_model_track,Options:GeneOnly]&amp;mk=1562008:1562027|offset_19|444444,1561985:1562004|offset_42|444444,1561963:1561982|offset_64|00cc00,1561903:1561922|offset_124|444444&amp;v=1561807:1562122&amp;c=444444", "offset 64")</f>
        <v>offset 64</v>
      </c>
    </row>
    <row r="4986" customFormat="false" ht="12.8" hidden="false" customHeight="false" outlineLevel="0" collapsed="false">
      <c r="A4986" s="0" t="s">
        <v>12</v>
      </c>
      <c r="B4986" s="0" t="n">
        <v>1561902</v>
      </c>
      <c r="C4986" s="0" t="n">
        <v>1561922</v>
      </c>
      <c r="D4986" s="0" t="s">
        <v>16628</v>
      </c>
      <c r="E4986" s="0" t="s">
        <v>75</v>
      </c>
      <c r="F4986" s="0" t="s">
        <v>90</v>
      </c>
      <c r="G4986" s="0" t="s">
        <v>16</v>
      </c>
      <c r="H4986" s="0" t="n">
        <v>124</v>
      </c>
      <c r="I4986" s="0" t="s">
        <v>16638</v>
      </c>
      <c r="J4986" s="0" t="s">
        <v>16639</v>
      </c>
      <c r="K4986" s="0" t="s">
        <v>16640</v>
      </c>
      <c r="L4986" s="0" t="str">
        <f aca="false">HYPERLINK("https://www.ncbi.nlm.nih.gov/nuccore/CP000058.1?report=graph&amp;tracks=[key:gene_model_track,Options:GeneOnly]&amp;mk=1562008:1562027|offset_19|444444,1561985:1562004|offset_42|444444,1561963:1561982|offset_64|444444,1561903:1561922|offset_124|00cc00&amp;v=1561807:1562122&amp;c=444444", "offset 124")</f>
        <v>offset 124</v>
      </c>
    </row>
    <row r="4987" customFormat="false" ht="12.8" hidden="false" customHeight="false" outlineLevel="0" collapsed="false">
      <c r="A4987" s="0" t="s">
        <v>12</v>
      </c>
      <c r="B4987" s="0" t="n">
        <v>1562641</v>
      </c>
      <c r="C4987" s="0" t="n">
        <v>1562661</v>
      </c>
      <c r="D4987" s="0" t="s">
        <v>16641</v>
      </c>
      <c r="E4987" s="0" t="s">
        <v>16642</v>
      </c>
      <c r="F4987" s="0" t="s">
        <v>90</v>
      </c>
      <c r="G4987" s="0" t="s">
        <v>36</v>
      </c>
      <c r="H4987" s="0" t="n">
        <v>0</v>
      </c>
      <c r="I4987" s="0" t="s">
        <v>16643</v>
      </c>
      <c r="J4987" s="0" t="s">
        <v>16644</v>
      </c>
      <c r="K4987" s="0" t="s">
        <v>16645</v>
      </c>
      <c r="L4987" s="0" t="str">
        <f aca="false">HYPERLINK("https://www.ncbi.nlm.nih.gov/nuccore/CP000058.1?report=graph&amp;tracks=[key:gene_model_track,Options:GeneOnly]&amp;mk=1562642:1562661|offset_0|00cc00,1562613:1562632|offset_29|444444,1562593:1562612|offset_49|444444,1562548:1562567|offset_94|444444&amp;v=1562441:1562767&amp;c=444444", "offset 0")</f>
        <v>offset 0</v>
      </c>
    </row>
    <row r="4988" customFormat="false" ht="12.8" hidden="false" customHeight="false" outlineLevel="0" collapsed="false">
      <c r="A4988" s="0" t="s">
        <v>12</v>
      </c>
      <c r="B4988" s="0" t="n">
        <v>1562612</v>
      </c>
      <c r="C4988" s="0" t="n">
        <v>1562632</v>
      </c>
      <c r="D4988" s="0" t="s">
        <v>16641</v>
      </c>
      <c r="E4988" s="0" t="s">
        <v>16642</v>
      </c>
      <c r="F4988" s="0" t="s">
        <v>90</v>
      </c>
      <c r="G4988" s="0" t="s">
        <v>36</v>
      </c>
      <c r="H4988" s="0" t="n">
        <v>29</v>
      </c>
      <c r="I4988" s="0" t="s">
        <v>16646</v>
      </c>
      <c r="J4988" s="0" t="s">
        <v>16647</v>
      </c>
      <c r="K4988" s="0" t="s">
        <v>16648</v>
      </c>
      <c r="L4988" s="0" t="str">
        <f aca="false">HYPERLINK("https://www.ncbi.nlm.nih.gov/nuccore/CP000058.1?report=graph&amp;tracks=[key:gene_model_track,Options:GeneOnly]&amp;mk=1562642:1562661|offset_0|444444,1562613:1562632|offset_29|00cc00,1562593:1562612|offset_49|444444,1562548:1562567|offset_94|444444&amp;v=1562441:1562767&amp;c=444444", "offset 29")</f>
        <v>offset 29</v>
      </c>
    </row>
    <row r="4989" customFormat="false" ht="12.8" hidden="false" customHeight="false" outlineLevel="0" collapsed="false">
      <c r="A4989" s="0" t="s">
        <v>12</v>
      </c>
      <c r="B4989" s="0" t="n">
        <v>1562592</v>
      </c>
      <c r="C4989" s="0" t="n">
        <v>1562612</v>
      </c>
      <c r="D4989" s="0" t="s">
        <v>16641</v>
      </c>
      <c r="E4989" s="0" t="s">
        <v>16642</v>
      </c>
      <c r="F4989" s="0" t="s">
        <v>90</v>
      </c>
      <c r="G4989" s="0" t="s">
        <v>16</v>
      </c>
      <c r="H4989" s="0" t="n">
        <v>49</v>
      </c>
      <c r="I4989" s="0" t="s">
        <v>16649</v>
      </c>
      <c r="J4989" s="0" t="s">
        <v>16650</v>
      </c>
      <c r="K4989" s="0" t="s">
        <v>16651</v>
      </c>
      <c r="L4989" s="0" t="str">
        <f aca="false">HYPERLINK("https://www.ncbi.nlm.nih.gov/nuccore/CP000058.1?report=graph&amp;tracks=[key:gene_model_track,Options:GeneOnly]&amp;mk=1562642:1562661|offset_0|444444,1562613:1562632|offset_29|444444,1562593:1562612|offset_49|00cc00,1562548:1562567|offset_94|444444&amp;v=1562441:1562767&amp;c=444444", "offset 49")</f>
        <v>offset 49</v>
      </c>
    </row>
    <row r="4990" customFormat="false" ht="12.8" hidden="false" customHeight="false" outlineLevel="0" collapsed="false">
      <c r="A4990" s="0" t="s">
        <v>12</v>
      </c>
      <c r="B4990" s="0" t="n">
        <v>1562547</v>
      </c>
      <c r="C4990" s="0" t="n">
        <v>1562567</v>
      </c>
      <c r="D4990" s="0" t="s">
        <v>16641</v>
      </c>
      <c r="E4990" s="0" t="s">
        <v>16642</v>
      </c>
      <c r="F4990" s="0" t="s">
        <v>90</v>
      </c>
      <c r="G4990" s="0" t="s">
        <v>32</v>
      </c>
      <c r="H4990" s="0" t="n">
        <v>94</v>
      </c>
      <c r="I4990" s="0" t="s">
        <v>16652</v>
      </c>
      <c r="J4990" s="0" t="s">
        <v>16653</v>
      </c>
      <c r="K4990" s="0" t="s">
        <v>16654</v>
      </c>
      <c r="L4990" s="0" t="str">
        <f aca="false">HYPERLINK("https://www.ncbi.nlm.nih.gov/nuccore/CP000058.1?report=graph&amp;tracks=[key:gene_model_track,Options:GeneOnly]&amp;mk=1562642:1562661|offset_0|444444,1562613:1562632|offset_29|444444,1562593:1562612|offset_49|444444,1562548:1562567|offset_94|00cc00&amp;v=1562441:1562767&amp;c=444444", "offset 94")</f>
        <v>offset 94</v>
      </c>
    </row>
    <row r="4991" customFormat="false" ht="12.8" hidden="false" customHeight="false" outlineLevel="0" collapsed="false">
      <c r="A4991" s="0" t="s">
        <v>12</v>
      </c>
      <c r="B4991" s="0" t="n">
        <v>1562811</v>
      </c>
      <c r="C4991" s="0" t="n">
        <v>1562831</v>
      </c>
      <c r="D4991" s="0" t="s">
        <v>16655</v>
      </c>
      <c r="E4991" s="0" t="s">
        <v>75</v>
      </c>
      <c r="F4991" s="0" t="s">
        <v>15</v>
      </c>
      <c r="G4991" s="0" t="s">
        <v>36</v>
      </c>
      <c r="H4991" s="0" t="n">
        <v>0</v>
      </c>
      <c r="I4991" s="0" t="s">
        <v>16656</v>
      </c>
      <c r="J4991" s="0" t="s">
        <v>16657</v>
      </c>
      <c r="K4991" s="0" t="s">
        <v>16658</v>
      </c>
      <c r="L4991" s="0" t="str">
        <f aca="false">HYPERLINK("https://www.ncbi.nlm.nih.gov/nuccore/CP000058.1?report=graph&amp;tracks=[key:gene_model_track,Options:GeneOnly]&amp;mk=1562812:1562831|offset_0|00cc00,1562835:1562854|offset_23|444444,1562855:1562874|offset_43|444444,1562883:1562902|offset_71|444444&amp;v=1562611:1563102&amp;c=444444", "offset 0")</f>
        <v>offset 0</v>
      </c>
    </row>
    <row r="4992" customFormat="false" ht="12.8" hidden="false" customHeight="false" outlineLevel="0" collapsed="false">
      <c r="A4992" s="0" t="s">
        <v>12</v>
      </c>
      <c r="B4992" s="0" t="n">
        <v>1562834</v>
      </c>
      <c r="C4992" s="0" t="n">
        <v>1562854</v>
      </c>
      <c r="D4992" s="0" t="s">
        <v>16655</v>
      </c>
      <c r="E4992" s="0" t="s">
        <v>75</v>
      </c>
      <c r="F4992" s="0" t="s">
        <v>15</v>
      </c>
      <c r="G4992" s="0" t="s">
        <v>16</v>
      </c>
      <c r="H4992" s="0" t="n">
        <v>23</v>
      </c>
      <c r="I4992" s="0" t="s">
        <v>16659</v>
      </c>
      <c r="J4992" s="0" t="s">
        <v>16660</v>
      </c>
      <c r="K4992" s="0" t="s">
        <v>16661</v>
      </c>
      <c r="L4992" s="0" t="str">
        <f aca="false">HYPERLINK("https://www.ncbi.nlm.nih.gov/nuccore/CP000058.1?report=graph&amp;tracks=[key:gene_model_track,Options:GeneOnly]&amp;mk=1562812:1562831|offset_0|444444,1562835:1562854|offset_23|00cc00,1562855:1562874|offset_43|444444,1562883:1562902|offset_71|444444&amp;v=1562611:1563102&amp;c=444444", "offset 23")</f>
        <v>offset 23</v>
      </c>
    </row>
    <row r="4993" customFormat="false" ht="12.8" hidden="false" customHeight="false" outlineLevel="0" collapsed="false">
      <c r="A4993" s="0" t="s">
        <v>12</v>
      </c>
      <c r="B4993" s="0" t="n">
        <v>1562854</v>
      </c>
      <c r="C4993" s="0" t="n">
        <v>1562874</v>
      </c>
      <c r="D4993" s="0" t="s">
        <v>16655</v>
      </c>
      <c r="E4993" s="0" t="s">
        <v>75</v>
      </c>
      <c r="F4993" s="0" t="s">
        <v>15</v>
      </c>
      <c r="G4993" s="0" t="s">
        <v>16</v>
      </c>
      <c r="H4993" s="0" t="n">
        <v>43</v>
      </c>
      <c r="I4993" s="0" t="s">
        <v>16662</v>
      </c>
      <c r="J4993" s="0" t="s">
        <v>16663</v>
      </c>
      <c r="K4993" s="0" t="s">
        <v>16664</v>
      </c>
      <c r="L4993" s="0" t="str">
        <f aca="false">HYPERLINK("https://www.ncbi.nlm.nih.gov/nuccore/CP000058.1?report=graph&amp;tracks=[key:gene_model_track,Options:GeneOnly]&amp;mk=1562812:1562831|offset_0|444444,1562835:1562854|offset_23|444444,1562855:1562874|offset_43|00cc00,1562883:1562902|offset_71|444444&amp;v=1562611:1563102&amp;c=444444", "offset 43")</f>
        <v>offset 43</v>
      </c>
    </row>
    <row r="4994" customFormat="false" ht="12.8" hidden="false" customHeight="false" outlineLevel="0" collapsed="false">
      <c r="A4994" s="0" t="s">
        <v>12</v>
      </c>
      <c r="B4994" s="0" t="n">
        <v>1562882</v>
      </c>
      <c r="C4994" s="0" t="n">
        <v>1562902</v>
      </c>
      <c r="D4994" s="0" t="s">
        <v>16655</v>
      </c>
      <c r="E4994" s="0" t="s">
        <v>75</v>
      </c>
      <c r="F4994" s="0" t="s">
        <v>15</v>
      </c>
      <c r="G4994" s="0" t="s">
        <v>36</v>
      </c>
      <c r="H4994" s="0" t="n">
        <v>71</v>
      </c>
      <c r="I4994" s="0" t="s">
        <v>16665</v>
      </c>
      <c r="J4994" s="0" t="s">
        <v>16666</v>
      </c>
      <c r="K4994" s="0" t="s">
        <v>16667</v>
      </c>
      <c r="L4994" s="0" t="str">
        <f aca="false">HYPERLINK("https://www.ncbi.nlm.nih.gov/nuccore/CP000058.1?report=graph&amp;tracks=[key:gene_model_track,Options:GeneOnly]&amp;mk=1562812:1562831|offset_0|444444,1562835:1562854|offset_23|444444,1562855:1562874|offset_43|444444,1562883:1562902|offset_71|00cc00&amp;v=1562611:1563102&amp;c=444444", "offset 71")</f>
        <v>offset 71</v>
      </c>
    </row>
    <row r="4995" customFormat="false" ht="12.8" hidden="false" customHeight="false" outlineLevel="0" collapsed="false">
      <c r="A4995" s="0" t="s">
        <v>12</v>
      </c>
      <c r="B4995" s="0" t="n">
        <v>1563513</v>
      </c>
      <c r="C4995" s="0" t="n">
        <v>1563533</v>
      </c>
      <c r="D4995" s="0" t="s">
        <v>16668</v>
      </c>
      <c r="E4995" s="0" t="s">
        <v>75</v>
      </c>
      <c r="F4995" s="0" t="s">
        <v>15</v>
      </c>
      <c r="G4995" s="0" t="s">
        <v>20</v>
      </c>
      <c r="H4995" s="0" t="n">
        <v>14</v>
      </c>
      <c r="I4995" s="0" t="s">
        <v>16669</v>
      </c>
      <c r="J4995" s="0" t="s">
        <v>16670</v>
      </c>
      <c r="K4995" s="0" t="s">
        <v>16671</v>
      </c>
      <c r="L4995" s="0" t="str">
        <f aca="false">HYPERLINK("https://www.ncbi.nlm.nih.gov/nuccore/CP000058.1?report=graph&amp;tracks=[key:gene_model_track,Options:GeneOnly]&amp;mk=1563514:1563533|offset_14|00cc00,1563537:1563556|offset_37|444444,1563560:1563579|offset_60|444444,1563649:1563668|offset_149|444444&amp;v=1563313:1563868&amp;c=444444", "offset 14")</f>
        <v>offset 14</v>
      </c>
    </row>
    <row r="4996" customFormat="false" ht="12.8" hidden="false" customHeight="false" outlineLevel="0" collapsed="false">
      <c r="A4996" s="0" t="s">
        <v>12</v>
      </c>
      <c r="B4996" s="0" t="n">
        <v>1563536</v>
      </c>
      <c r="C4996" s="0" t="n">
        <v>1563556</v>
      </c>
      <c r="D4996" s="0" t="s">
        <v>16668</v>
      </c>
      <c r="E4996" s="0" t="s">
        <v>75</v>
      </c>
      <c r="F4996" s="0" t="s">
        <v>15</v>
      </c>
      <c r="G4996" s="0" t="s">
        <v>16</v>
      </c>
      <c r="H4996" s="0" t="n">
        <v>37</v>
      </c>
      <c r="I4996" s="0" t="s">
        <v>16672</v>
      </c>
      <c r="J4996" s="0" t="s">
        <v>16673</v>
      </c>
      <c r="K4996" s="0" t="s">
        <v>16674</v>
      </c>
      <c r="L4996" s="0" t="str">
        <f aca="false">HYPERLINK("https://www.ncbi.nlm.nih.gov/nuccore/CP000058.1?report=graph&amp;tracks=[key:gene_model_track,Options:GeneOnly]&amp;mk=1563514:1563533|offset_14|444444,1563537:1563556|offset_37|00cc00,1563560:1563579|offset_60|444444,1563649:1563668|offset_149|444444&amp;v=1563313:1563868&amp;c=444444", "offset 37")</f>
        <v>offset 37</v>
      </c>
    </row>
    <row r="4997" customFormat="false" ht="12.8" hidden="false" customHeight="false" outlineLevel="0" collapsed="false">
      <c r="A4997" s="0" t="s">
        <v>12</v>
      </c>
      <c r="B4997" s="0" t="n">
        <v>1563559</v>
      </c>
      <c r="C4997" s="0" t="n">
        <v>1563579</v>
      </c>
      <c r="D4997" s="0" t="s">
        <v>16668</v>
      </c>
      <c r="E4997" s="0" t="s">
        <v>75</v>
      </c>
      <c r="F4997" s="0" t="s">
        <v>15</v>
      </c>
      <c r="G4997" s="0" t="s">
        <v>36</v>
      </c>
      <c r="H4997" s="0" t="n">
        <v>60</v>
      </c>
      <c r="I4997" s="0" t="s">
        <v>16675</v>
      </c>
      <c r="J4997" s="0" t="s">
        <v>16676</v>
      </c>
      <c r="K4997" s="0" t="s">
        <v>16677</v>
      </c>
      <c r="L4997" s="0" t="str">
        <f aca="false">HYPERLINK("https://www.ncbi.nlm.nih.gov/nuccore/CP000058.1?report=graph&amp;tracks=[key:gene_model_track,Options:GeneOnly]&amp;mk=1563514:1563533|offset_14|444444,1563537:1563556|offset_37|444444,1563560:1563579|offset_60|00cc00,1563649:1563668|offset_149|444444&amp;v=1563313:1563868&amp;c=444444", "offset 60")</f>
        <v>offset 60</v>
      </c>
    </row>
    <row r="4998" customFormat="false" ht="12.8" hidden="false" customHeight="false" outlineLevel="0" collapsed="false">
      <c r="A4998" s="0" t="s">
        <v>12</v>
      </c>
      <c r="B4998" s="0" t="n">
        <v>1563648</v>
      </c>
      <c r="C4998" s="0" t="n">
        <v>1563668</v>
      </c>
      <c r="D4998" s="0" t="s">
        <v>16668</v>
      </c>
      <c r="E4998" s="0" t="s">
        <v>75</v>
      </c>
      <c r="F4998" s="0" t="s">
        <v>15</v>
      </c>
      <c r="G4998" s="0" t="s">
        <v>32</v>
      </c>
      <c r="H4998" s="0" t="n">
        <v>149</v>
      </c>
      <c r="I4998" s="0" t="s">
        <v>16678</v>
      </c>
      <c r="J4998" s="0" t="s">
        <v>16679</v>
      </c>
      <c r="K4998" s="0" t="s">
        <v>16680</v>
      </c>
      <c r="L4998" s="0" t="str">
        <f aca="false">HYPERLINK("https://www.ncbi.nlm.nih.gov/nuccore/CP000058.1?report=graph&amp;tracks=[key:gene_model_track,Options:GeneOnly]&amp;mk=1563514:1563533|offset_14|444444,1563537:1563556|offset_37|444444,1563560:1563579|offset_60|444444,1563649:1563668|offset_149|00cc00&amp;v=1563313:1563868&amp;c=444444", "offset 149")</f>
        <v>offset 149</v>
      </c>
    </row>
    <row r="4999" customFormat="false" ht="12.8" hidden="false" customHeight="false" outlineLevel="0" collapsed="false">
      <c r="A4999" s="0" t="s">
        <v>12</v>
      </c>
      <c r="B4999" s="0" t="n">
        <v>1564033</v>
      </c>
      <c r="C4999" s="0" t="n">
        <v>1564053</v>
      </c>
      <c r="D4999" s="0" t="s">
        <v>16681</v>
      </c>
      <c r="E4999" s="0" t="s">
        <v>75</v>
      </c>
      <c r="F4999" s="0" t="s">
        <v>15</v>
      </c>
      <c r="G4999" s="0" t="s">
        <v>16</v>
      </c>
      <c r="H4999" s="0" t="n">
        <v>10</v>
      </c>
      <c r="I4999" s="0" t="s">
        <v>16682</v>
      </c>
      <c r="J4999" s="0" t="s">
        <v>16683</v>
      </c>
      <c r="K4999" s="0" t="s">
        <v>16684</v>
      </c>
      <c r="L4999" s="0" t="str">
        <f aca="false">HYPERLINK("https://www.ncbi.nlm.nih.gov/nuccore/CP000058.1?report=graph&amp;tracks=[key:gene_model_track,Options:GeneOnly]&amp;mk=1564034:1564053|offset_10|00cc00,1564054:1564073|offset_30|444444,1564109:1564128|offset_85|444444,1564139:1564158|offset_115|444444&amp;v=1563833:1564358&amp;c=444444", "offset 10")</f>
        <v>offset 10</v>
      </c>
    </row>
    <row r="5000" customFormat="false" ht="12.8" hidden="false" customHeight="false" outlineLevel="0" collapsed="false">
      <c r="A5000" s="0" t="s">
        <v>12</v>
      </c>
      <c r="B5000" s="0" t="n">
        <v>1564053</v>
      </c>
      <c r="C5000" s="0" t="n">
        <v>1564073</v>
      </c>
      <c r="D5000" s="0" t="s">
        <v>16681</v>
      </c>
      <c r="E5000" s="0" t="s">
        <v>75</v>
      </c>
      <c r="F5000" s="0" t="s">
        <v>15</v>
      </c>
      <c r="G5000" s="0" t="s">
        <v>16</v>
      </c>
      <c r="H5000" s="0" t="n">
        <v>30</v>
      </c>
      <c r="I5000" s="0" t="s">
        <v>16685</v>
      </c>
      <c r="J5000" s="0" t="s">
        <v>16686</v>
      </c>
      <c r="K5000" s="0" t="s">
        <v>16687</v>
      </c>
      <c r="L5000" s="0" t="str">
        <f aca="false">HYPERLINK("https://www.ncbi.nlm.nih.gov/nuccore/CP000058.1?report=graph&amp;tracks=[key:gene_model_track,Options:GeneOnly]&amp;mk=1564034:1564053|offset_10|444444,1564054:1564073|offset_30|00cc00,1564109:1564128|offset_85|444444,1564139:1564158|offset_115|444444&amp;v=1563833:1564358&amp;c=444444", "offset 30")</f>
        <v>offset 30</v>
      </c>
    </row>
    <row r="5001" customFormat="false" ht="12.8" hidden="false" customHeight="false" outlineLevel="0" collapsed="false">
      <c r="A5001" s="0" t="s">
        <v>12</v>
      </c>
      <c r="B5001" s="0" t="n">
        <v>1564108</v>
      </c>
      <c r="C5001" s="0" t="n">
        <v>1564128</v>
      </c>
      <c r="D5001" s="0" t="s">
        <v>16681</v>
      </c>
      <c r="E5001" s="0" t="s">
        <v>75</v>
      </c>
      <c r="F5001" s="0" t="s">
        <v>15</v>
      </c>
      <c r="G5001" s="0" t="s">
        <v>16</v>
      </c>
      <c r="H5001" s="0" t="n">
        <v>85</v>
      </c>
      <c r="I5001" s="0" t="s">
        <v>16688</v>
      </c>
      <c r="J5001" s="0" t="s">
        <v>16689</v>
      </c>
      <c r="K5001" s="0" t="s">
        <v>16690</v>
      </c>
      <c r="L5001" s="0" t="str">
        <f aca="false">HYPERLINK("https://www.ncbi.nlm.nih.gov/nuccore/CP000058.1?report=graph&amp;tracks=[key:gene_model_track,Options:GeneOnly]&amp;mk=1564034:1564053|offset_10|444444,1564054:1564073|offset_30|444444,1564109:1564128|offset_85|00cc00,1564139:1564158|offset_115|444444&amp;v=1563833:1564358&amp;c=444444", "offset 85")</f>
        <v>offset 85</v>
      </c>
    </row>
    <row r="5002" customFormat="false" ht="12.8" hidden="false" customHeight="false" outlineLevel="0" collapsed="false">
      <c r="A5002" s="0" t="s">
        <v>12</v>
      </c>
      <c r="B5002" s="0" t="n">
        <v>1564138</v>
      </c>
      <c r="C5002" s="0" t="n">
        <v>1564158</v>
      </c>
      <c r="D5002" s="0" t="s">
        <v>16681</v>
      </c>
      <c r="E5002" s="0" t="s">
        <v>75</v>
      </c>
      <c r="F5002" s="0" t="s">
        <v>15</v>
      </c>
      <c r="G5002" s="0" t="s">
        <v>36</v>
      </c>
      <c r="H5002" s="0" t="n">
        <v>115</v>
      </c>
      <c r="I5002" s="0" t="s">
        <v>16691</v>
      </c>
      <c r="J5002" s="0" t="s">
        <v>16692</v>
      </c>
      <c r="K5002" s="0" t="s">
        <v>16693</v>
      </c>
      <c r="L5002" s="0" t="str">
        <f aca="false">HYPERLINK("https://www.ncbi.nlm.nih.gov/nuccore/CP000058.1?report=graph&amp;tracks=[key:gene_model_track,Options:GeneOnly]&amp;mk=1564034:1564053|offset_10|444444,1564054:1564073|offset_30|444444,1564109:1564128|offset_85|444444,1564139:1564158|offset_115|00cc00&amp;v=1563833:1564358&amp;c=444444", "offset 115")</f>
        <v>offset 115</v>
      </c>
    </row>
    <row r="5003" customFormat="false" ht="12.8" hidden="false" customHeight="false" outlineLevel="0" collapsed="false">
      <c r="A5003" s="0" t="s">
        <v>12</v>
      </c>
      <c r="B5003" s="0" t="n">
        <v>1564395</v>
      </c>
      <c r="C5003" s="0" t="n">
        <v>1564415</v>
      </c>
      <c r="D5003" s="0" t="s">
        <v>16694</v>
      </c>
      <c r="E5003" s="0" t="s">
        <v>75</v>
      </c>
      <c r="F5003" s="0" t="s">
        <v>15</v>
      </c>
      <c r="G5003" s="0" t="s">
        <v>16</v>
      </c>
      <c r="H5003" s="0" t="n">
        <v>32</v>
      </c>
      <c r="I5003" s="0" t="s">
        <v>16695</v>
      </c>
      <c r="J5003" s="0" t="s">
        <v>16696</v>
      </c>
      <c r="K5003" s="0" t="s">
        <v>16697</v>
      </c>
      <c r="L5003" s="0" t="str">
        <f aca="false">HYPERLINK("https://www.ncbi.nlm.nih.gov/nuccore/CP000058.1?report=graph&amp;tracks=[key:gene_model_track,Options:GeneOnly]&amp;mk=1564396:1564415|offset_32|00cc00,1564440:1564459|offset_76|444444,1564463:1564482|offset_99|444444,1564499:1564518|offset_135|444444&amp;v=1564195:1564718&amp;c=444444", "offset 32")</f>
        <v>offset 32</v>
      </c>
    </row>
    <row r="5004" customFormat="false" ht="12.8" hidden="false" customHeight="false" outlineLevel="0" collapsed="false">
      <c r="A5004" s="0" t="s">
        <v>12</v>
      </c>
      <c r="B5004" s="0" t="n">
        <v>1564439</v>
      </c>
      <c r="C5004" s="0" t="n">
        <v>1564459</v>
      </c>
      <c r="D5004" s="0" t="s">
        <v>16694</v>
      </c>
      <c r="E5004" s="0" t="s">
        <v>75</v>
      </c>
      <c r="F5004" s="0" t="s">
        <v>15</v>
      </c>
      <c r="G5004" s="0" t="s">
        <v>20</v>
      </c>
      <c r="H5004" s="0" t="n">
        <v>76</v>
      </c>
      <c r="I5004" s="0" t="s">
        <v>16698</v>
      </c>
      <c r="J5004" s="0" t="s">
        <v>16699</v>
      </c>
      <c r="K5004" s="0" t="s">
        <v>16700</v>
      </c>
      <c r="L5004" s="0" t="str">
        <f aca="false">HYPERLINK("https://www.ncbi.nlm.nih.gov/nuccore/CP000058.1?report=graph&amp;tracks=[key:gene_model_track,Options:GeneOnly]&amp;mk=1564396:1564415|offset_32|444444,1564440:1564459|offset_76|00cc00,1564463:1564482|offset_99|444444,1564499:1564518|offset_135|444444&amp;v=1564195:1564718&amp;c=444444", "offset 76")</f>
        <v>offset 76</v>
      </c>
    </row>
    <row r="5005" customFormat="false" ht="12.8" hidden="false" customHeight="false" outlineLevel="0" collapsed="false">
      <c r="A5005" s="0" t="s">
        <v>12</v>
      </c>
      <c r="B5005" s="0" t="n">
        <v>1564462</v>
      </c>
      <c r="C5005" s="0" t="n">
        <v>1564482</v>
      </c>
      <c r="D5005" s="0" t="s">
        <v>16694</v>
      </c>
      <c r="E5005" s="0" t="s">
        <v>75</v>
      </c>
      <c r="F5005" s="0" t="s">
        <v>15</v>
      </c>
      <c r="G5005" s="0" t="s">
        <v>36</v>
      </c>
      <c r="H5005" s="0" t="n">
        <v>99</v>
      </c>
      <c r="I5005" s="0" t="s">
        <v>16701</v>
      </c>
      <c r="J5005" s="0" t="s">
        <v>16702</v>
      </c>
      <c r="K5005" s="0" t="s">
        <v>16703</v>
      </c>
      <c r="L5005" s="0" t="str">
        <f aca="false">HYPERLINK("https://www.ncbi.nlm.nih.gov/nuccore/CP000058.1?report=graph&amp;tracks=[key:gene_model_track,Options:GeneOnly]&amp;mk=1564396:1564415|offset_32|444444,1564440:1564459|offset_76|444444,1564463:1564482|offset_99|00cc00,1564499:1564518|offset_135|444444&amp;v=1564195:1564718&amp;c=444444", "offset 99")</f>
        <v>offset 99</v>
      </c>
    </row>
    <row r="5006" customFormat="false" ht="12.8" hidden="false" customHeight="false" outlineLevel="0" collapsed="false">
      <c r="A5006" s="0" t="s">
        <v>12</v>
      </c>
      <c r="B5006" s="0" t="n">
        <v>1564498</v>
      </c>
      <c r="C5006" s="0" t="n">
        <v>1564518</v>
      </c>
      <c r="D5006" s="0" t="s">
        <v>16694</v>
      </c>
      <c r="E5006" s="0" t="s">
        <v>75</v>
      </c>
      <c r="F5006" s="0" t="s">
        <v>15</v>
      </c>
      <c r="G5006" s="0" t="s">
        <v>36</v>
      </c>
      <c r="H5006" s="0" t="n">
        <v>135</v>
      </c>
      <c r="I5006" s="0" t="s">
        <v>16704</v>
      </c>
      <c r="J5006" s="0" t="s">
        <v>16705</v>
      </c>
      <c r="K5006" s="0" t="s">
        <v>16706</v>
      </c>
      <c r="L5006" s="0" t="str">
        <f aca="false">HYPERLINK("https://www.ncbi.nlm.nih.gov/nuccore/CP000058.1?report=graph&amp;tracks=[key:gene_model_track,Options:GeneOnly]&amp;mk=1564396:1564415|offset_32|444444,1564440:1564459|offset_76|444444,1564463:1564482|offset_99|444444,1564499:1564518|offset_135|00cc00&amp;v=1564195:1564718&amp;c=444444", "offset 135")</f>
        <v>offset 135</v>
      </c>
    </row>
    <row r="5007" customFormat="false" ht="12.8" hidden="false" customHeight="false" outlineLevel="0" collapsed="false">
      <c r="A5007" s="0" t="s">
        <v>12</v>
      </c>
      <c r="B5007" s="0" t="n">
        <v>1565099</v>
      </c>
      <c r="C5007" s="0" t="n">
        <v>1565119</v>
      </c>
      <c r="D5007" s="0" t="s">
        <v>16707</v>
      </c>
      <c r="E5007" s="0" t="s">
        <v>16708</v>
      </c>
      <c r="F5007" s="0" t="s">
        <v>15</v>
      </c>
      <c r="G5007" s="0" t="s">
        <v>32</v>
      </c>
      <c r="H5007" s="0" t="n">
        <v>21</v>
      </c>
      <c r="I5007" s="0" t="s">
        <v>16709</v>
      </c>
      <c r="J5007" s="0" t="s">
        <v>16710</v>
      </c>
      <c r="K5007" s="0" t="s">
        <v>16711</v>
      </c>
      <c r="L5007" s="0" t="str">
        <f aca="false">HYPERLINK("https://www.ncbi.nlm.nih.gov/nuccore/CP000058.1?report=graph&amp;tracks=[key:gene_model_track,Options:GeneOnly]&amp;mk=1565100:1565119|offset_21|00cc00,1565180:1565199|offset_101|444444,1565207:1565226|offset_128|444444,1565249:1565268|offset_170|444444&amp;v=1564899:1565468&amp;c=444444", "offset 21")</f>
        <v>offset 21</v>
      </c>
    </row>
    <row r="5008" customFormat="false" ht="12.8" hidden="false" customHeight="false" outlineLevel="0" collapsed="false">
      <c r="A5008" s="0" t="s">
        <v>12</v>
      </c>
      <c r="B5008" s="0" t="n">
        <v>1565179</v>
      </c>
      <c r="C5008" s="0" t="n">
        <v>1565199</v>
      </c>
      <c r="D5008" s="0" t="s">
        <v>16707</v>
      </c>
      <c r="E5008" s="0" t="s">
        <v>16708</v>
      </c>
      <c r="F5008" s="0" t="s">
        <v>15</v>
      </c>
      <c r="G5008" s="0" t="s">
        <v>20</v>
      </c>
      <c r="H5008" s="0" t="n">
        <v>101</v>
      </c>
      <c r="I5008" s="0" t="s">
        <v>16712</v>
      </c>
      <c r="J5008" s="0" t="s">
        <v>16713</v>
      </c>
      <c r="K5008" s="0" t="s">
        <v>16714</v>
      </c>
      <c r="L5008" s="0" t="str">
        <f aca="false">HYPERLINK("https://www.ncbi.nlm.nih.gov/nuccore/CP000058.1?report=graph&amp;tracks=[key:gene_model_track,Options:GeneOnly]&amp;mk=1565100:1565119|offset_21|444444,1565180:1565199|offset_101|00cc00,1565207:1565226|offset_128|444444,1565249:1565268|offset_170|444444&amp;v=1564899:1565468&amp;c=444444", "offset 101")</f>
        <v>offset 101</v>
      </c>
    </row>
    <row r="5009" customFormat="false" ht="12.8" hidden="false" customHeight="false" outlineLevel="0" collapsed="false">
      <c r="A5009" s="0" t="s">
        <v>12</v>
      </c>
      <c r="B5009" s="0" t="n">
        <v>1565206</v>
      </c>
      <c r="C5009" s="0" t="n">
        <v>1565226</v>
      </c>
      <c r="D5009" s="0" t="s">
        <v>16707</v>
      </c>
      <c r="E5009" s="0" t="s">
        <v>16708</v>
      </c>
      <c r="F5009" s="0" t="s">
        <v>15</v>
      </c>
      <c r="G5009" s="0" t="s">
        <v>16</v>
      </c>
      <c r="H5009" s="0" t="n">
        <v>128</v>
      </c>
      <c r="I5009" s="0" t="s">
        <v>16715</v>
      </c>
      <c r="J5009" s="0" t="s">
        <v>16716</v>
      </c>
      <c r="K5009" s="0" t="s">
        <v>16717</v>
      </c>
      <c r="L5009" s="0" t="str">
        <f aca="false">HYPERLINK("https://www.ncbi.nlm.nih.gov/nuccore/CP000058.1?report=graph&amp;tracks=[key:gene_model_track,Options:GeneOnly]&amp;mk=1565100:1565119|offset_21|444444,1565180:1565199|offset_101|444444,1565207:1565226|offset_128|00cc00,1565249:1565268|offset_170|444444&amp;v=1564899:1565468&amp;c=444444", "offset 128")</f>
        <v>offset 128</v>
      </c>
    </row>
    <row r="5010" customFormat="false" ht="12.8" hidden="false" customHeight="false" outlineLevel="0" collapsed="false">
      <c r="A5010" s="0" t="s">
        <v>12</v>
      </c>
      <c r="B5010" s="0" t="n">
        <v>1565248</v>
      </c>
      <c r="C5010" s="0" t="n">
        <v>1565268</v>
      </c>
      <c r="D5010" s="0" t="s">
        <v>16707</v>
      </c>
      <c r="E5010" s="0" t="s">
        <v>16708</v>
      </c>
      <c r="F5010" s="0" t="s">
        <v>15</v>
      </c>
      <c r="G5010" s="0" t="s">
        <v>32</v>
      </c>
      <c r="H5010" s="0" t="n">
        <v>170</v>
      </c>
      <c r="I5010" s="0" t="s">
        <v>16718</v>
      </c>
      <c r="J5010" s="0" t="s">
        <v>16719</v>
      </c>
      <c r="K5010" s="0" t="s">
        <v>16720</v>
      </c>
      <c r="L5010" s="0" t="str">
        <f aca="false">HYPERLINK("https://www.ncbi.nlm.nih.gov/nuccore/CP000058.1?report=graph&amp;tracks=[key:gene_model_track,Options:GeneOnly]&amp;mk=1565100:1565119|offset_21|444444,1565180:1565199|offset_101|444444,1565207:1565226|offset_128|444444,1565249:1565268|offset_170|00cc00&amp;v=1564899:1565468&amp;c=444444", "offset 170")</f>
        <v>offset 170</v>
      </c>
    </row>
    <row r="5011" customFormat="false" ht="12.8" hidden="false" customHeight="false" outlineLevel="0" collapsed="false">
      <c r="A5011" s="0" t="s">
        <v>12</v>
      </c>
      <c r="B5011" s="0" t="n">
        <v>1567746</v>
      </c>
      <c r="C5011" s="0" t="n">
        <v>1567766</v>
      </c>
      <c r="D5011" s="0" t="s">
        <v>16721</v>
      </c>
      <c r="E5011" s="0" t="s">
        <v>75</v>
      </c>
      <c r="F5011" s="0" t="s">
        <v>90</v>
      </c>
      <c r="G5011" s="0" t="s">
        <v>20</v>
      </c>
      <c r="H5011" s="0" t="n">
        <v>44</v>
      </c>
      <c r="I5011" s="0" t="s">
        <v>16722</v>
      </c>
      <c r="J5011" s="0" t="s">
        <v>16723</v>
      </c>
      <c r="K5011" s="0" t="s">
        <v>16724</v>
      </c>
      <c r="L5011" s="0" t="str">
        <f aca="false">HYPERLINK("https://www.ncbi.nlm.nih.gov/nuccore/CP000058.1?report=graph&amp;tracks=[key:gene_model_track,Options:GeneOnly]&amp;mk=1567747:1567766|offset_44|00cc00,1567724:1567743|offset_67|444444,1567680:1567699|offset_111|444444,1567654:1567673|offset_137|444444&amp;v=1567546:1567873&amp;c=444444", "offset 44")</f>
        <v>offset 44</v>
      </c>
    </row>
    <row r="5012" customFormat="false" ht="12.8" hidden="false" customHeight="false" outlineLevel="0" collapsed="false">
      <c r="A5012" s="0" t="s">
        <v>12</v>
      </c>
      <c r="B5012" s="0" t="n">
        <v>1567723</v>
      </c>
      <c r="C5012" s="0" t="n">
        <v>1567743</v>
      </c>
      <c r="D5012" s="0" t="s">
        <v>16721</v>
      </c>
      <c r="E5012" s="0" t="s">
        <v>75</v>
      </c>
      <c r="F5012" s="0" t="s">
        <v>90</v>
      </c>
      <c r="G5012" s="0" t="s">
        <v>36</v>
      </c>
      <c r="H5012" s="0" t="n">
        <v>67</v>
      </c>
      <c r="I5012" s="0" t="s">
        <v>16725</v>
      </c>
      <c r="J5012" s="0" t="s">
        <v>16726</v>
      </c>
      <c r="K5012" s="0" t="s">
        <v>16727</v>
      </c>
      <c r="L5012" s="0" t="str">
        <f aca="false">HYPERLINK("https://www.ncbi.nlm.nih.gov/nuccore/CP000058.1?report=graph&amp;tracks=[key:gene_model_track,Options:GeneOnly]&amp;mk=1567747:1567766|offset_44|444444,1567724:1567743|offset_67|00cc00,1567680:1567699|offset_111|444444,1567654:1567673|offset_137|444444&amp;v=1567546:1567873&amp;c=444444", "offset 67")</f>
        <v>offset 67</v>
      </c>
    </row>
    <row r="5013" customFormat="false" ht="12.8" hidden="false" customHeight="false" outlineLevel="0" collapsed="false">
      <c r="A5013" s="0" t="s">
        <v>12</v>
      </c>
      <c r="B5013" s="0" t="n">
        <v>1567679</v>
      </c>
      <c r="C5013" s="0" t="n">
        <v>1567699</v>
      </c>
      <c r="D5013" s="0" t="s">
        <v>16721</v>
      </c>
      <c r="E5013" s="0" t="s">
        <v>75</v>
      </c>
      <c r="F5013" s="0" t="s">
        <v>90</v>
      </c>
      <c r="G5013" s="0" t="s">
        <v>36</v>
      </c>
      <c r="H5013" s="0" t="n">
        <v>111</v>
      </c>
      <c r="I5013" s="0" t="s">
        <v>16728</v>
      </c>
      <c r="J5013" s="0" t="s">
        <v>16729</v>
      </c>
      <c r="K5013" s="0" t="s">
        <v>16730</v>
      </c>
      <c r="L5013" s="0" t="str">
        <f aca="false">HYPERLINK("https://www.ncbi.nlm.nih.gov/nuccore/CP000058.1?report=graph&amp;tracks=[key:gene_model_track,Options:GeneOnly]&amp;mk=1567747:1567766|offset_44|444444,1567724:1567743|offset_67|444444,1567680:1567699|offset_111|00cc00,1567654:1567673|offset_137|444444&amp;v=1567546:1567873&amp;c=444444", "offset 111")</f>
        <v>offset 111</v>
      </c>
    </row>
    <row r="5014" customFormat="false" ht="12.8" hidden="false" customHeight="false" outlineLevel="0" collapsed="false">
      <c r="A5014" s="0" t="s">
        <v>12</v>
      </c>
      <c r="B5014" s="0" t="n">
        <v>1567653</v>
      </c>
      <c r="C5014" s="0" t="n">
        <v>1567673</v>
      </c>
      <c r="D5014" s="0" t="s">
        <v>16721</v>
      </c>
      <c r="E5014" s="0" t="s">
        <v>75</v>
      </c>
      <c r="F5014" s="0" t="s">
        <v>90</v>
      </c>
      <c r="G5014" s="0" t="s">
        <v>16</v>
      </c>
      <c r="H5014" s="0" t="n">
        <v>137</v>
      </c>
      <c r="I5014" s="0" t="s">
        <v>16731</v>
      </c>
      <c r="J5014" s="0" t="s">
        <v>16732</v>
      </c>
      <c r="K5014" s="0" t="s">
        <v>16733</v>
      </c>
      <c r="L5014" s="0" t="str">
        <f aca="false">HYPERLINK("https://www.ncbi.nlm.nih.gov/nuccore/CP000058.1?report=graph&amp;tracks=[key:gene_model_track,Options:GeneOnly]&amp;mk=1567747:1567766|offset_44|444444,1567724:1567743|offset_67|444444,1567680:1567699|offset_111|444444,1567654:1567673|offset_137|00cc00&amp;v=1567546:1567873&amp;c=444444", "offset 137")</f>
        <v>offset 137</v>
      </c>
    </row>
    <row r="5015" customFormat="false" ht="12.8" hidden="false" customHeight="false" outlineLevel="0" collapsed="false">
      <c r="A5015" s="0" t="s">
        <v>12</v>
      </c>
      <c r="B5015" s="0" t="n">
        <v>1568989</v>
      </c>
      <c r="C5015" s="0" t="n">
        <v>1569009</v>
      </c>
      <c r="D5015" s="0" t="s">
        <v>16734</v>
      </c>
      <c r="E5015" s="0" t="s">
        <v>75</v>
      </c>
      <c r="F5015" s="0" t="s">
        <v>90</v>
      </c>
      <c r="G5015" s="0" t="s">
        <v>36</v>
      </c>
      <c r="H5015" s="0" t="n">
        <v>15</v>
      </c>
      <c r="I5015" s="0" t="s">
        <v>16735</v>
      </c>
      <c r="J5015" s="0" t="s">
        <v>16736</v>
      </c>
      <c r="K5015" s="0" t="s">
        <v>16737</v>
      </c>
      <c r="L5015" s="0" t="str">
        <f aca="false">HYPERLINK("https://www.ncbi.nlm.nih.gov/nuccore/CP000058.1?report=graph&amp;tracks=[key:gene_model_track,Options:GeneOnly]&amp;mk=1568990:1569009|offset_15|00cc00,1568967:1568986|offset_38|444444,1568920:1568939|offset_85|444444,1568890:1568909|offset_115|444444&amp;v=1568789:1569109&amp;c=444444", "offset 15")</f>
        <v>offset 15</v>
      </c>
    </row>
    <row r="5016" customFormat="false" ht="12.8" hidden="false" customHeight="false" outlineLevel="0" collapsed="false">
      <c r="A5016" s="0" t="s">
        <v>12</v>
      </c>
      <c r="B5016" s="0" t="n">
        <v>1568966</v>
      </c>
      <c r="C5016" s="0" t="n">
        <v>1568986</v>
      </c>
      <c r="D5016" s="0" t="s">
        <v>16734</v>
      </c>
      <c r="E5016" s="0" t="s">
        <v>75</v>
      </c>
      <c r="F5016" s="0" t="s">
        <v>90</v>
      </c>
      <c r="G5016" s="0" t="s">
        <v>20</v>
      </c>
      <c r="H5016" s="0" t="n">
        <v>38</v>
      </c>
      <c r="I5016" s="0" t="s">
        <v>16738</v>
      </c>
      <c r="J5016" s="0" t="s">
        <v>16739</v>
      </c>
      <c r="K5016" s="0" t="s">
        <v>16740</v>
      </c>
      <c r="L5016" s="0" t="str">
        <f aca="false">HYPERLINK("https://www.ncbi.nlm.nih.gov/nuccore/CP000058.1?report=graph&amp;tracks=[key:gene_model_track,Options:GeneOnly]&amp;mk=1568990:1569009|offset_15|444444,1568967:1568986|offset_38|00cc00,1568920:1568939|offset_85|444444,1568890:1568909|offset_115|444444&amp;v=1568789:1569109&amp;c=444444", "offset 38")</f>
        <v>offset 38</v>
      </c>
    </row>
    <row r="5017" customFormat="false" ht="12.8" hidden="false" customHeight="false" outlineLevel="0" collapsed="false">
      <c r="A5017" s="0" t="s">
        <v>12</v>
      </c>
      <c r="B5017" s="0" t="n">
        <v>1568919</v>
      </c>
      <c r="C5017" s="0" t="n">
        <v>1568939</v>
      </c>
      <c r="D5017" s="0" t="s">
        <v>16734</v>
      </c>
      <c r="E5017" s="0" t="s">
        <v>75</v>
      </c>
      <c r="F5017" s="0" t="s">
        <v>90</v>
      </c>
      <c r="G5017" s="0" t="s">
        <v>16</v>
      </c>
      <c r="H5017" s="0" t="n">
        <v>85</v>
      </c>
      <c r="I5017" s="0" t="s">
        <v>16741</v>
      </c>
      <c r="J5017" s="0" t="s">
        <v>16742</v>
      </c>
      <c r="K5017" s="0" t="s">
        <v>16743</v>
      </c>
      <c r="L5017" s="0" t="str">
        <f aca="false">HYPERLINK("https://www.ncbi.nlm.nih.gov/nuccore/CP000058.1?report=graph&amp;tracks=[key:gene_model_track,Options:GeneOnly]&amp;mk=1568990:1569009|offset_15|444444,1568967:1568986|offset_38|444444,1568920:1568939|offset_85|00cc00,1568890:1568909|offset_115|444444&amp;v=1568789:1569109&amp;c=444444", "offset 85")</f>
        <v>offset 85</v>
      </c>
    </row>
    <row r="5018" customFormat="false" ht="12.8" hidden="false" customHeight="false" outlineLevel="0" collapsed="false">
      <c r="A5018" s="0" t="s">
        <v>12</v>
      </c>
      <c r="B5018" s="0" t="n">
        <v>1568889</v>
      </c>
      <c r="C5018" s="0" t="n">
        <v>1568909</v>
      </c>
      <c r="D5018" s="0" t="s">
        <v>16734</v>
      </c>
      <c r="E5018" s="0" t="s">
        <v>75</v>
      </c>
      <c r="F5018" s="0" t="s">
        <v>90</v>
      </c>
      <c r="G5018" s="0" t="s">
        <v>16</v>
      </c>
      <c r="H5018" s="0" t="n">
        <v>115</v>
      </c>
      <c r="I5018" s="0" t="s">
        <v>16744</v>
      </c>
      <c r="J5018" s="0" t="s">
        <v>16745</v>
      </c>
      <c r="K5018" s="0" t="s">
        <v>16746</v>
      </c>
      <c r="L5018" s="0" t="str">
        <f aca="false">HYPERLINK("https://www.ncbi.nlm.nih.gov/nuccore/CP000058.1?report=graph&amp;tracks=[key:gene_model_track,Options:GeneOnly]&amp;mk=1568990:1569009|offset_15|444444,1568967:1568986|offset_38|444444,1568920:1568939|offset_85|444444,1568890:1568909|offset_115|00cc00&amp;v=1568789:1569109&amp;c=444444", "offset 115")</f>
        <v>offset 115</v>
      </c>
    </row>
    <row r="5019" customFormat="false" ht="12.8" hidden="false" customHeight="false" outlineLevel="0" collapsed="false">
      <c r="A5019" s="0" t="s">
        <v>12</v>
      </c>
      <c r="B5019" s="0" t="n">
        <v>1569865</v>
      </c>
      <c r="C5019" s="0" t="n">
        <v>1569885</v>
      </c>
      <c r="D5019" s="0" t="s">
        <v>16747</v>
      </c>
      <c r="E5019" s="0" t="s">
        <v>75</v>
      </c>
      <c r="F5019" s="0" t="s">
        <v>90</v>
      </c>
      <c r="G5019" s="0" t="s">
        <v>32</v>
      </c>
      <c r="H5019" s="0" t="n">
        <v>6</v>
      </c>
      <c r="I5019" s="0" t="s">
        <v>16748</v>
      </c>
      <c r="J5019" s="0" t="s">
        <v>16749</v>
      </c>
      <c r="K5019" s="0" t="s">
        <v>16750</v>
      </c>
      <c r="L5019" s="0" t="str">
        <f aca="false">HYPERLINK("https://www.ncbi.nlm.nih.gov/nuccore/CP000058.1?report=graph&amp;tracks=[key:gene_model_track,Options:GeneOnly]&amp;mk=1569866:1569885|offset_6|00cc00,1569844:1569863|offset_28|444444,1569823:1569842|offset_49|444444,1569800:1569819|offset_72|444444&amp;v=1569665:1570019&amp;c=444444", "offset 6")</f>
        <v>offset 6</v>
      </c>
    </row>
    <row r="5020" customFormat="false" ht="12.8" hidden="false" customHeight="false" outlineLevel="0" collapsed="false">
      <c r="A5020" s="0" t="s">
        <v>12</v>
      </c>
      <c r="B5020" s="0" t="n">
        <v>1569843</v>
      </c>
      <c r="C5020" s="0" t="n">
        <v>1569863</v>
      </c>
      <c r="D5020" s="0" t="s">
        <v>16747</v>
      </c>
      <c r="E5020" s="0" t="s">
        <v>75</v>
      </c>
      <c r="F5020" s="0" t="s">
        <v>90</v>
      </c>
      <c r="G5020" s="0" t="s">
        <v>36</v>
      </c>
      <c r="H5020" s="0" t="n">
        <v>28</v>
      </c>
      <c r="I5020" s="0" t="s">
        <v>16751</v>
      </c>
      <c r="J5020" s="0" t="s">
        <v>16752</v>
      </c>
      <c r="K5020" s="0" t="s">
        <v>16753</v>
      </c>
      <c r="L5020" s="0" t="str">
        <f aca="false">HYPERLINK("https://www.ncbi.nlm.nih.gov/nuccore/CP000058.1?report=graph&amp;tracks=[key:gene_model_track,Options:GeneOnly]&amp;mk=1569866:1569885|offset_6|444444,1569844:1569863|offset_28|00cc00,1569823:1569842|offset_49|444444,1569800:1569819|offset_72|444444&amp;v=1569665:1570019&amp;c=444444", "offset 28")</f>
        <v>offset 28</v>
      </c>
    </row>
    <row r="5021" customFormat="false" ht="12.8" hidden="false" customHeight="false" outlineLevel="0" collapsed="false">
      <c r="A5021" s="0" t="s">
        <v>12</v>
      </c>
      <c r="B5021" s="0" t="n">
        <v>1569822</v>
      </c>
      <c r="C5021" s="0" t="n">
        <v>1569842</v>
      </c>
      <c r="D5021" s="0" t="s">
        <v>16747</v>
      </c>
      <c r="E5021" s="0" t="s">
        <v>75</v>
      </c>
      <c r="F5021" s="0" t="s">
        <v>90</v>
      </c>
      <c r="G5021" s="0" t="s">
        <v>36</v>
      </c>
      <c r="H5021" s="0" t="n">
        <v>49</v>
      </c>
      <c r="I5021" s="0" t="s">
        <v>16754</v>
      </c>
      <c r="J5021" s="0" t="s">
        <v>16755</v>
      </c>
      <c r="K5021" s="0" t="s">
        <v>16756</v>
      </c>
      <c r="L5021" s="0" t="str">
        <f aca="false">HYPERLINK("https://www.ncbi.nlm.nih.gov/nuccore/CP000058.1?report=graph&amp;tracks=[key:gene_model_track,Options:GeneOnly]&amp;mk=1569866:1569885|offset_6|444444,1569844:1569863|offset_28|444444,1569823:1569842|offset_49|00cc00,1569800:1569819|offset_72|444444&amp;v=1569665:1570019&amp;c=444444", "offset 49")</f>
        <v>offset 49</v>
      </c>
    </row>
    <row r="5022" customFormat="false" ht="12.8" hidden="false" customHeight="false" outlineLevel="0" collapsed="false">
      <c r="A5022" s="0" t="s">
        <v>12</v>
      </c>
      <c r="B5022" s="0" t="n">
        <v>1569799</v>
      </c>
      <c r="C5022" s="0" t="n">
        <v>1569819</v>
      </c>
      <c r="D5022" s="0" t="s">
        <v>16747</v>
      </c>
      <c r="E5022" s="0" t="s">
        <v>75</v>
      </c>
      <c r="F5022" s="0" t="s">
        <v>90</v>
      </c>
      <c r="G5022" s="0" t="s">
        <v>36</v>
      </c>
      <c r="H5022" s="0" t="n">
        <v>72</v>
      </c>
      <c r="I5022" s="0" t="s">
        <v>16757</v>
      </c>
      <c r="J5022" s="0" t="s">
        <v>16758</v>
      </c>
      <c r="K5022" s="0" t="s">
        <v>16759</v>
      </c>
      <c r="L5022" s="0" t="str">
        <f aca="false">HYPERLINK("https://www.ncbi.nlm.nih.gov/nuccore/CP000058.1?report=graph&amp;tracks=[key:gene_model_track,Options:GeneOnly]&amp;mk=1569866:1569885|offset_6|444444,1569844:1569863|offset_28|444444,1569823:1569842|offset_49|444444,1569800:1569819|offset_72|00cc00&amp;v=1569665:1570019&amp;c=444444", "offset 72")</f>
        <v>offset 72</v>
      </c>
    </row>
    <row r="5023" customFormat="false" ht="12.8" hidden="false" customHeight="false" outlineLevel="0" collapsed="false">
      <c r="A5023" s="0" t="s">
        <v>12</v>
      </c>
      <c r="B5023" s="0" t="n">
        <v>1569940</v>
      </c>
      <c r="C5023" s="0" t="n">
        <v>1569960</v>
      </c>
      <c r="D5023" s="0" t="s">
        <v>16760</v>
      </c>
      <c r="E5023" s="0" t="s">
        <v>16761</v>
      </c>
      <c r="F5023" s="0" t="s">
        <v>15</v>
      </c>
      <c r="G5023" s="0" t="s">
        <v>16</v>
      </c>
      <c r="H5023" s="0" t="n">
        <v>7</v>
      </c>
      <c r="I5023" s="0" t="s">
        <v>16762</v>
      </c>
      <c r="J5023" s="0" t="s">
        <v>16763</v>
      </c>
      <c r="K5023" s="0" t="s">
        <v>16764</v>
      </c>
      <c r="L5023" s="0" t="str">
        <f aca="false">HYPERLINK("https://www.ncbi.nlm.nih.gov/nuccore/CP000058.1?report=graph&amp;tracks=[key:gene_model_track,Options:GeneOnly]&amp;mk=1569941:1569960|offset_7|00cc00,1569967:1569986|offset_33|444444,1569994:1570013|offset_60|444444,1570019:1570038|offset_85|444444&amp;v=1569740:1570238&amp;c=444444", "offset 7")</f>
        <v>offset 7</v>
      </c>
    </row>
    <row r="5024" customFormat="false" ht="12.8" hidden="false" customHeight="false" outlineLevel="0" collapsed="false">
      <c r="A5024" s="0" t="s">
        <v>12</v>
      </c>
      <c r="B5024" s="0" t="n">
        <v>1569966</v>
      </c>
      <c r="C5024" s="0" t="n">
        <v>1569986</v>
      </c>
      <c r="D5024" s="0" t="s">
        <v>16760</v>
      </c>
      <c r="E5024" s="0" t="s">
        <v>16761</v>
      </c>
      <c r="F5024" s="0" t="s">
        <v>15</v>
      </c>
      <c r="G5024" s="0" t="s">
        <v>16</v>
      </c>
      <c r="H5024" s="0" t="n">
        <v>33</v>
      </c>
      <c r="I5024" s="0" t="s">
        <v>16765</v>
      </c>
      <c r="J5024" s="0" t="s">
        <v>16766</v>
      </c>
      <c r="K5024" s="0" t="s">
        <v>16767</v>
      </c>
      <c r="L5024" s="0" t="str">
        <f aca="false">HYPERLINK("https://www.ncbi.nlm.nih.gov/nuccore/CP000058.1?report=graph&amp;tracks=[key:gene_model_track,Options:GeneOnly]&amp;mk=1569941:1569960|offset_7|444444,1569967:1569986|offset_33|00cc00,1569994:1570013|offset_60|444444,1570019:1570038|offset_85|444444&amp;v=1569740:1570238&amp;c=444444", "offset 33")</f>
        <v>offset 33</v>
      </c>
    </row>
    <row r="5025" customFormat="false" ht="12.8" hidden="false" customHeight="false" outlineLevel="0" collapsed="false">
      <c r="A5025" s="0" t="s">
        <v>12</v>
      </c>
      <c r="B5025" s="0" t="n">
        <v>1569993</v>
      </c>
      <c r="C5025" s="0" t="n">
        <v>1570013</v>
      </c>
      <c r="D5025" s="0" t="s">
        <v>16760</v>
      </c>
      <c r="E5025" s="0" t="s">
        <v>16761</v>
      </c>
      <c r="F5025" s="0" t="s">
        <v>15</v>
      </c>
      <c r="G5025" s="0" t="s">
        <v>16</v>
      </c>
      <c r="H5025" s="0" t="n">
        <v>60</v>
      </c>
      <c r="I5025" s="0" t="s">
        <v>16768</v>
      </c>
      <c r="J5025" s="0" t="s">
        <v>16769</v>
      </c>
      <c r="K5025" s="0" t="s">
        <v>16770</v>
      </c>
      <c r="L5025" s="0" t="str">
        <f aca="false">HYPERLINK("https://www.ncbi.nlm.nih.gov/nuccore/CP000058.1?report=graph&amp;tracks=[key:gene_model_track,Options:GeneOnly]&amp;mk=1569941:1569960|offset_7|444444,1569967:1569986|offset_33|444444,1569994:1570013|offset_60|00cc00,1570019:1570038|offset_85|444444&amp;v=1569740:1570238&amp;c=444444", "offset 60")</f>
        <v>offset 60</v>
      </c>
    </row>
    <row r="5026" customFormat="false" ht="12.8" hidden="false" customHeight="false" outlineLevel="0" collapsed="false">
      <c r="A5026" s="0" t="s">
        <v>12</v>
      </c>
      <c r="B5026" s="0" t="n">
        <v>1570018</v>
      </c>
      <c r="C5026" s="0" t="n">
        <v>1570038</v>
      </c>
      <c r="D5026" s="0" t="s">
        <v>16760</v>
      </c>
      <c r="E5026" s="0" t="s">
        <v>16761</v>
      </c>
      <c r="F5026" s="0" t="s">
        <v>15</v>
      </c>
      <c r="G5026" s="0" t="s">
        <v>16</v>
      </c>
      <c r="H5026" s="0" t="n">
        <v>85</v>
      </c>
      <c r="I5026" s="0" t="s">
        <v>16771</v>
      </c>
      <c r="J5026" s="0" t="s">
        <v>16772</v>
      </c>
      <c r="K5026" s="0" t="s">
        <v>16773</v>
      </c>
      <c r="L5026" s="0" t="str">
        <f aca="false">HYPERLINK("https://www.ncbi.nlm.nih.gov/nuccore/CP000058.1?report=graph&amp;tracks=[key:gene_model_track,Options:GeneOnly]&amp;mk=1569941:1569960|offset_7|444444,1569967:1569986|offset_33|444444,1569994:1570013|offset_60|444444,1570019:1570038|offset_85|00cc00&amp;v=1569740:1570238&amp;c=444444", "offset 85")</f>
        <v>offset 85</v>
      </c>
    </row>
    <row r="5027" customFormat="false" ht="12.8" hidden="false" customHeight="false" outlineLevel="0" collapsed="false">
      <c r="A5027" s="0" t="s">
        <v>12</v>
      </c>
      <c r="B5027" s="0" t="n">
        <v>1571696</v>
      </c>
      <c r="C5027" s="0" t="n">
        <v>1571716</v>
      </c>
      <c r="D5027" s="0" t="s">
        <v>16774</v>
      </c>
      <c r="E5027" s="0" t="s">
        <v>16775</v>
      </c>
      <c r="F5027" s="0" t="s">
        <v>15</v>
      </c>
      <c r="G5027" s="0" t="s">
        <v>32</v>
      </c>
      <c r="H5027" s="0" t="n">
        <v>10</v>
      </c>
      <c r="I5027" s="0" t="s">
        <v>16776</v>
      </c>
      <c r="J5027" s="0" t="s">
        <v>16777</v>
      </c>
      <c r="K5027" s="0" t="s">
        <v>16778</v>
      </c>
      <c r="L5027" s="0" t="str">
        <f aca="false">HYPERLINK("https://www.ncbi.nlm.nih.gov/nuccore/CP000058.1?report=graph&amp;tracks=[key:gene_model_track,Options:GeneOnly]&amp;mk=1571697:1571716|offset_10|00cc00,1571721:1571740|offset_34|444444,1571748:1571767|offset_61|444444,1571781:1571800|offset_94|444444&amp;v=1571496:1572000&amp;c=444444", "offset 10")</f>
        <v>offset 10</v>
      </c>
    </row>
    <row r="5028" customFormat="false" ht="12.8" hidden="false" customHeight="false" outlineLevel="0" collapsed="false">
      <c r="A5028" s="0" t="s">
        <v>12</v>
      </c>
      <c r="B5028" s="0" t="n">
        <v>1571720</v>
      </c>
      <c r="C5028" s="0" t="n">
        <v>1571740</v>
      </c>
      <c r="D5028" s="0" t="s">
        <v>16774</v>
      </c>
      <c r="E5028" s="0" t="s">
        <v>16775</v>
      </c>
      <c r="F5028" s="0" t="s">
        <v>15</v>
      </c>
      <c r="G5028" s="0" t="s">
        <v>32</v>
      </c>
      <c r="H5028" s="0" t="n">
        <v>34</v>
      </c>
      <c r="I5028" s="0" t="s">
        <v>16779</v>
      </c>
      <c r="J5028" s="0" t="s">
        <v>16780</v>
      </c>
      <c r="K5028" s="0" t="s">
        <v>16781</v>
      </c>
      <c r="L5028" s="0" t="str">
        <f aca="false">HYPERLINK("https://www.ncbi.nlm.nih.gov/nuccore/CP000058.1?report=graph&amp;tracks=[key:gene_model_track,Options:GeneOnly]&amp;mk=1571697:1571716|offset_10|444444,1571721:1571740|offset_34|00cc00,1571748:1571767|offset_61|444444,1571781:1571800|offset_94|444444&amp;v=1571496:1572000&amp;c=444444", "offset 34")</f>
        <v>offset 34</v>
      </c>
    </row>
    <row r="5029" customFormat="false" ht="12.8" hidden="false" customHeight="false" outlineLevel="0" collapsed="false">
      <c r="A5029" s="0" t="s">
        <v>12</v>
      </c>
      <c r="B5029" s="0" t="n">
        <v>1571747</v>
      </c>
      <c r="C5029" s="0" t="n">
        <v>1571767</v>
      </c>
      <c r="D5029" s="0" t="s">
        <v>16774</v>
      </c>
      <c r="E5029" s="0" t="s">
        <v>16775</v>
      </c>
      <c r="F5029" s="0" t="s">
        <v>15</v>
      </c>
      <c r="G5029" s="0" t="s">
        <v>16</v>
      </c>
      <c r="H5029" s="0" t="n">
        <v>61</v>
      </c>
      <c r="I5029" s="0" t="s">
        <v>16782</v>
      </c>
      <c r="J5029" s="0" t="s">
        <v>16783</v>
      </c>
      <c r="K5029" s="0" t="s">
        <v>16784</v>
      </c>
      <c r="L5029" s="0" t="str">
        <f aca="false">HYPERLINK("https://www.ncbi.nlm.nih.gov/nuccore/CP000058.1?report=graph&amp;tracks=[key:gene_model_track,Options:GeneOnly]&amp;mk=1571697:1571716|offset_10|444444,1571721:1571740|offset_34|444444,1571748:1571767|offset_61|00cc00,1571781:1571800|offset_94|444444&amp;v=1571496:1572000&amp;c=444444", "offset 61")</f>
        <v>offset 61</v>
      </c>
    </row>
    <row r="5030" customFormat="false" ht="12.8" hidden="false" customHeight="false" outlineLevel="0" collapsed="false">
      <c r="A5030" s="0" t="s">
        <v>12</v>
      </c>
      <c r="B5030" s="0" t="n">
        <v>1571780</v>
      </c>
      <c r="C5030" s="0" t="n">
        <v>1571800</v>
      </c>
      <c r="D5030" s="0" t="s">
        <v>16774</v>
      </c>
      <c r="E5030" s="0" t="s">
        <v>16775</v>
      </c>
      <c r="F5030" s="0" t="s">
        <v>15</v>
      </c>
      <c r="G5030" s="0" t="s">
        <v>36</v>
      </c>
      <c r="H5030" s="0" t="n">
        <v>94</v>
      </c>
      <c r="I5030" s="0" t="s">
        <v>16785</v>
      </c>
      <c r="J5030" s="0" t="s">
        <v>16786</v>
      </c>
      <c r="K5030" s="0" t="s">
        <v>16787</v>
      </c>
      <c r="L5030" s="0" t="str">
        <f aca="false">HYPERLINK("https://www.ncbi.nlm.nih.gov/nuccore/CP000058.1?report=graph&amp;tracks=[key:gene_model_track,Options:GeneOnly]&amp;mk=1571697:1571716|offset_10|444444,1571721:1571740|offset_34|444444,1571748:1571767|offset_61|444444,1571781:1571800|offset_94|00cc00&amp;v=1571496:1572000&amp;c=444444", "offset 94")</f>
        <v>offset 94</v>
      </c>
    </row>
    <row r="5031" customFormat="false" ht="12.8" hidden="false" customHeight="false" outlineLevel="0" collapsed="false">
      <c r="A5031" s="0" t="s">
        <v>12</v>
      </c>
      <c r="B5031" s="0" t="n">
        <v>1571964</v>
      </c>
      <c r="C5031" s="0" t="n">
        <v>1571984</v>
      </c>
      <c r="D5031" s="0" t="s">
        <v>16788</v>
      </c>
      <c r="E5031" s="0" t="s">
        <v>16789</v>
      </c>
      <c r="F5031" s="0" t="s">
        <v>15</v>
      </c>
      <c r="G5031" s="0" t="s">
        <v>20</v>
      </c>
      <c r="H5031" s="0" t="n">
        <v>15</v>
      </c>
      <c r="I5031" s="0" t="s">
        <v>16790</v>
      </c>
      <c r="J5031" s="0" t="s">
        <v>16791</v>
      </c>
      <c r="K5031" s="0" t="s">
        <v>16792</v>
      </c>
      <c r="L5031" s="0" t="str">
        <f aca="false">HYPERLINK("https://www.ncbi.nlm.nih.gov/nuccore/CP000058.1?report=graph&amp;tracks=[key:gene_model_track,Options:GeneOnly]&amp;mk=1571965:1571984|offset_15|00cc00,1572044:1572063|offset_94|444444,1572066:1572085|offset_116|444444,1572209:1572228|offset_259|444444&amp;v=1571764:1572428&amp;c=444444", "offset 15")</f>
        <v>offset 15</v>
      </c>
    </row>
    <row r="5032" customFormat="false" ht="12.8" hidden="false" customHeight="false" outlineLevel="0" collapsed="false">
      <c r="A5032" s="0" t="s">
        <v>12</v>
      </c>
      <c r="B5032" s="0" t="n">
        <v>1572043</v>
      </c>
      <c r="C5032" s="0" t="n">
        <v>1572063</v>
      </c>
      <c r="D5032" s="0" t="s">
        <v>16788</v>
      </c>
      <c r="E5032" s="0" t="s">
        <v>16789</v>
      </c>
      <c r="F5032" s="0" t="s">
        <v>15</v>
      </c>
      <c r="G5032" s="0" t="s">
        <v>20</v>
      </c>
      <c r="H5032" s="0" t="n">
        <v>94</v>
      </c>
      <c r="I5032" s="0" t="s">
        <v>16793</v>
      </c>
      <c r="J5032" s="0" t="s">
        <v>16794</v>
      </c>
      <c r="K5032" s="0" t="s">
        <v>16795</v>
      </c>
      <c r="L5032" s="0" t="str">
        <f aca="false">HYPERLINK("https://www.ncbi.nlm.nih.gov/nuccore/CP000058.1?report=graph&amp;tracks=[key:gene_model_track,Options:GeneOnly]&amp;mk=1571965:1571984|offset_15|444444,1572044:1572063|offset_94|00cc00,1572066:1572085|offset_116|444444,1572209:1572228|offset_259|444444&amp;v=1571764:1572428&amp;c=444444", "offset 94")</f>
        <v>offset 94</v>
      </c>
    </row>
    <row r="5033" customFormat="false" ht="12.8" hidden="false" customHeight="false" outlineLevel="0" collapsed="false">
      <c r="A5033" s="0" t="s">
        <v>12</v>
      </c>
      <c r="B5033" s="0" t="n">
        <v>1572065</v>
      </c>
      <c r="C5033" s="0" t="n">
        <v>1572085</v>
      </c>
      <c r="D5033" s="0" t="s">
        <v>16788</v>
      </c>
      <c r="E5033" s="0" t="s">
        <v>16789</v>
      </c>
      <c r="F5033" s="0" t="s">
        <v>15</v>
      </c>
      <c r="G5033" s="0" t="s">
        <v>20</v>
      </c>
      <c r="H5033" s="0" t="n">
        <v>116</v>
      </c>
      <c r="I5033" s="0" t="s">
        <v>16796</v>
      </c>
      <c r="J5033" s="0" t="s">
        <v>16797</v>
      </c>
      <c r="K5033" s="0" t="s">
        <v>16798</v>
      </c>
      <c r="L5033" s="0" t="str">
        <f aca="false">HYPERLINK("https://www.ncbi.nlm.nih.gov/nuccore/CP000058.1?report=graph&amp;tracks=[key:gene_model_track,Options:GeneOnly]&amp;mk=1571965:1571984|offset_15|444444,1572044:1572063|offset_94|444444,1572066:1572085|offset_116|00cc00,1572209:1572228|offset_259|444444&amp;v=1571764:1572428&amp;c=444444", "offset 116")</f>
        <v>offset 116</v>
      </c>
    </row>
    <row r="5034" customFormat="false" ht="12.8" hidden="false" customHeight="false" outlineLevel="0" collapsed="false">
      <c r="A5034" s="0" t="s">
        <v>12</v>
      </c>
      <c r="B5034" s="0" t="n">
        <v>1572208</v>
      </c>
      <c r="C5034" s="0" t="n">
        <v>1572228</v>
      </c>
      <c r="D5034" s="0" t="s">
        <v>16788</v>
      </c>
      <c r="E5034" s="0" t="s">
        <v>16789</v>
      </c>
      <c r="F5034" s="0" t="s">
        <v>15</v>
      </c>
      <c r="G5034" s="0" t="s">
        <v>16</v>
      </c>
      <c r="H5034" s="0" t="n">
        <v>259</v>
      </c>
      <c r="I5034" s="0" t="s">
        <v>16799</v>
      </c>
      <c r="J5034" s="0" t="s">
        <v>16800</v>
      </c>
      <c r="K5034" s="0" t="s">
        <v>16801</v>
      </c>
      <c r="L5034" s="0" t="str">
        <f aca="false">HYPERLINK("https://www.ncbi.nlm.nih.gov/nuccore/CP000058.1?report=graph&amp;tracks=[key:gene_model_track,Options:GeneOnly]&amp;mk=1571965:1571984|offset_15|444444,1572044:1572063|offset_94|444444,1572066:1572085|offset_116|444444,1572209:1572228|offset_259|00cc00&amp;v=1571764:1572428&amp;c=444444", "offset 259")</f>
        <v>offset 259</v>
      </c>
    </row>
    <row r="5035" customFormat="false" ht="12.8" hidden="false" customHeight="false" outlineLevel="0" collapsed="false">
      <c r="A5035" s="0" t="s">
        <v>12</v>
      </c>
      <c r="B5035" s="0" t="n">
        <v>1572495</v>
      </c>
      <c r="C5035" s="0" t="n">
        <v>1572515</v>
      </c>
      <c r="D5035" s="0" t="s">
        <v>16802</v>
      </c>
      <c r="E5035" s="0" t="s">
        <v>16803</v>
      </c>
      <c r="F5035" s="0" t="s">
        <v>15</v>
      </c>
      <c r="G5035" s="0" t="s">
        <v>32</v>
      </c>
      <c r="H5035" s="0" t="n">
        <v>1</v>
      </c>
      <c r="I5035" s="0" t="s">
        <v>16804</v>
      </c>
      <c r="J5035" s="0" t="s">
        <v>16805</v>
      </c>
      <c r="K5035" s="0" t="s">
        <v>16806</v>
      </c>
      <c r="L5035" s="0" t="str">
        <f aca="false">HYPERLINK("https://www.ncbi.nlm.nih.gov/nuccore/CP000058.1?report=graph&amp;tracks=[key:gene_model_track,Options:GeneOnly]&amp;mk=1572496:1572515|offset_1|00cc00,1572534:1572553|offset_39|444444,1572571:1572590|offset_76|444444,1572618:1572637|offset_123|444444&amp;v=1572295:1572837&amp;c=444444", "offset 1")</f>
        <v>offset 1</v>
      </c>
    </row>
    <row r="5036" customFormat="false" ht="12.8" hidden="false" customHeight="false" outlineLevel="0" collapsed="false">
      <c r="A5036" s="0" t="s">
        <v>12</v>
      </c>
      <c r="B5036" s="0" t="n">
        <v>1572533</v>
      </c>
      <c r="C5036" s="0" t="n">
        <v>1572553</v>
      </c>
      <c r="D5036" s="0" t="s">
        <v>16802</v>
      </c>
      <c r="E5036" s="0" t="s">
        <v>16803</v>
      </c>
      <c r="F5036" s="0" t="s">
        <v>15</v>
      </c>
      <c r="G5036" s="0" t="s">
        <v>36</v>
      </c>
      <c r="H5036" s="0" t="n">
        <v>39</v>
      </c>
      <c r="I5036" s="0" t="s">
        <v>16807</v>
      </c>
      <c r="J5036" s="0" t="s">
        <v>16808</v>
      </c>
      <c r="K5036" s="0" t="s">
        <v>16809</v>
      </c>
      <c r="L5036" s="0" t="str">
        <f aca="false">HYPERLINK("https://www.ncbi.nlm.nih.gov/nuccore/CP000058.1?report=graph&amp;tracks=[key:gene_model_track,Options:GeneOnly]&amp;mk=1572496:1572515|offset_1|444444,1572534:1572553|offset_39|00cc00,1572571:1572590|offset_76|444444,1572618:1572637|offset_123|444444&amp;v=1572295:1572837&amp;c=444444", "offset 39")</f>
        <v>offset 39</v>
      </c>
    </row>
    <row r="5037" customFormat="false" ht="12.8" hidden="false" customHeight="false" outlineLevel="0" collapsed="false">
      <c r="A5037" s="0" t="s">
        <v>12</v>
      </c>
      <c r="B5037" s="0" t="n">
        <v>1572570</v>
      </c>
      <c r="C5037" s="0" t="n">
        <v>1572590</v>
      </c>
      <c r="D5037" s="0" t="s">
        <v>16802</v>
      </c>
      <c r="E5037" s="0" t="s">
        <v>16803</v>
      </c>
      <c r="F5037" s="0" t="s">
        <v>15</v>
      </c>
      <c r="G5037" s="0" t="s">
        <v>32</v>
      </c>
      <c r="H5037" s="0" t="n">
        <v>76</v>
      </c>
      <c r="I5037" s="0" t="s">
        <v>16810</v>
      </c>
      <c r="J5037" s="0" t="s">
        <v>16811</v>
      </c>
      <c r="K5037" s="0" t="s">
        <v>16812</v>
      </c>
      <c r="L5037" s="0" t="str">
        <f aca="false">HYPERLINK("https://www.ncbi.nlm.nih.gov/nuccore/CP000058.1?report=graph&amp;tracks=[key:gene_model_track,Options:GeneOnly]&amp;mk=1572496:1572515|offset_1|444444,1572534:1572553|offset_39|444444,1572571:1572590|offset_76|00cc00,1572618:1572637|offset_123|444444&amp;v=1572295:1572837&amp;c=444444", "offset 76")</f>
        <v>offset 76</v>
      </c>
    </row>
    <row r="5038" customFormat="false" ht="12.8" hidden="false" customHeight="false" outlineLevel="0" collapsed="false">
      <c r="A5038" s="0" t="s">
        <v>12</v>
      </c>
      <c r="B5038" s="0" t="n">
        <v>1572617</v>
      </c>
      <c r="C5038" s="0" t="n">
        <v>1572637</v>
      </c>
      <c r="D5038" s="0" t="s">
        <v>16802</v>
      </c>
      <c r="E5038" s="0" t="s">
        <v>16803</v>
      </c>
      <c r="F5038" s="0" t="s">
        <v>15</v>
      </c>
      <c r="G5038" s="0" t="s">
        <v>16</v>
      </c>
      <c r="H5038" s="0" t="n">
        <v>123</v>
      </c>
      <c r="I5038" s="0" t="s">
        <v>16813</v>
      </c>
      <c r="J5038" s="0" t="s">
        <v>16814</v>
      </c>
      <c r="K5038" s="0" t="s">
        <v>16815</v>
      </c>
      <c r="L5038" s="0" t="str">
        <f aca="false">HYPERLINK("https://www.ncbi.nlm.nih.gov/nuccore/CP000058.1?report=graph&amp;tracks=[key:gene_model_track,Options:GeneOnly]&amp;mk=1572496:1572515|offset_1|444444,1572534:1572553|offset_39|444444,1572571:1572590|offset_76|444444,1572618:1572637|offset_123|00cc00&amp;v=1572295:1572837&amp;c=444444", "offset 123")</f>
        <v>offset 123</v>
      </c>
    </row>
    <row r="5039" customFormat="false" ht="12.8" hidden="false" customHeight="false" outlineLevel="0" collapsed="false">
      <c r="A5039" s="0" t="s">
        <v>12</v>
      </c>
      <c r="B5039" s="0" t="n">
        <v>1573316</v>
      </c>
      <c r="C5039" s="0" t="n">
        <v>1573336</v>
      </c>
      <c r="D5039" s="0" t="s">
        <v>16816</v>
      </c>
      <c r="E5039" s="0" t="s">
        <v>16817</v>
      </c>
      <c r="F5039" s="0" t="s">
        <v>15</v>
      </c>
      <c r="G5039" s="0" t="s">
        <v>36</v>
      </c>
      <c r="H5039" s="0" t="n">
        <v>25</v>
      </c>
      <c r="I5039" s="0" t="s">
        <v>16818</v>
      </c>
      <c r="J5039" s="0" t="s">
        <v>16819</v>
      </c>
      <c r="K5039" s="0" t="s">
        <v>16820</v>
      </c>
      <c r="L5039" s="0" t="str">
        <f aca="false">HYPERLINK("https://www.ncbi.nlm.nih.gov/nuccore/CP000058.1?report=graph&amp;tracks=[key:gene_model_track,Options:GeneOnly]&amp;mk=1573317:1573336|offset_25|00cc00,1573338:1573357|offset_46|444444,1573361:1573380|offset_69|444444,1573405:1573424|offset_113|444444&amp;v=1573116:1573624&amp;c=444444", "offset 25")</f>
        <v>offset 25</v>
      </c>
    </row>
    <row r="5040" customFormat="false" ht="12.8" hidden="false" customHeight="false" outlineLevel="0" collapsed="false">
      <c r="A5040" s="0" t="s">
        <v>12</v>
      </c>
      <c r="B5040" s="0" t="n">
        <v>1573337</v>
      </c>
      <c r="C5040" s="0" t="n">
        <v>1573357</v>
      </c>
      <c r="D5040" s="0" t="s">
        <v>16816</v>
      </c>
      <c r="E5040" s="0" t="s">
        <v>16817</v>
      </c>
      <c r="F5040" s="0" t="s">
        <v>15</v>
      </c>
      <c r="G5040" s="0" t="s">
        <v>32</v>
      </c>
      <c r="H5040" s="0" t="n">
        <v>46</v>
      </c>
      <c r="I5040" s="0" t="s">
        <v>16821</v>
      </c>
      <c r="J5040" s="0" t="s">
        <v>16822</v>
      </c>
      <c r="K5040" s="0" t="s">
        <v>16823</v>
      </c>
      <c r="L5040" s="0" t="str">
        <f aca="false">HYPERLINK("https://www.ncbi.nlm.nih.gov/nuccore/CP000058.1?report=graph&amp;tracks=[key:gene_model_track,Options:GeneOnly]&amp;mk=1573317:1573336|offset_25|444444,1573338:1573357|offset_46|00cc00,1573361:1573380|offset_69|444444,1573405:1573424|offset_113|444444&amp;v=1573116:1573624&amp;c=444444", "offset 46")</f>
        <v>offset 46</v>
      </c>
    </row>
    <row r="5041" customFormat="false" ht="12.8" hidden="false" customHeight="false" outlineLevel="0" collapsed="false">
      <c r="A5041" s="0" t="s">
        <v>12</v>
      </c>
      <c r="B5041" s="0" t="n">
        <v>1573360</v>
      </c>
      <c r="C5041" s="0" t="n">
        <v>1573380</v>
      </c>
      <c r="D5041" s="0" t="s">
        <v>16816</v>
      </c>
      <c r="E5041" s="0" t="s">
        <v>16817</v>
      </c>
      <c r="F5041" s="0" t="s">
        <v>15</v>
      </c>
      <c r="G5041" s="0" t="s">
        <v>32</v>
      </c>
      <c r="H5041" s="0" t="n">
        <v>69</v>
      </c>
      <c r="I5041" s="0" t="s">
        <v>16824</v>
      </c>
      <c r="J5041" s="0" t="s">
        <v>16825</v>
      </c>
      <c r="K5041" s="0" t="s">
        <v>16826</v>
      </c>
      <c r="L5041" s="0" t="str">
        <f aca="false">HYPERLINK("https://www.ncbi.nlm.nih.gov/nuccore/CP000058.1?report=graph&amp;tracks=[key:gene_model_track,Options:GeneOnly]&amp;mk=1573317:1573336|offset_25|444444,1573338:1573357|offset_46|444444,1573361:1573380|offset_69|00cc00,1573405:1573424|offset_113|444444&amp;v=1573116:1573624&amp;c=444444", "offset 69")</f>
        <v>offset 69</v>
      </c>
    </row>
    <row r="5042" customFormat="false" ht="12.8" hidden="false" customHeight="false" outlineLevel="0" collapsed="false">
      <c r="A5042" s="0" t="s">
        <v>12</v>
      </c>
      <c r="B5042" s="0" t="n">
        <v>1573404</v>
      </c>
      <c r="C5042" s="0" t="n">
        <v>1573424</v>
      </c>
      <c r="D5042" s="0" t="s">
        <v>16816</v>
      </c>
      <c r="E5042" s="0" t="s">
        <v>16817</v>
      </c>
      <c r="F5042" s="0" t="s">
        <v>15</v>
      </c>
      <c r="G5042" s="0" t="s">
        <v>16</v>
      </c>
      <c r="H5042" s="0" t="n">
        <v>113</v>
      </c>
      <c r="I5042" s="0" t="s">
        <v>16827</v>
      </c>
      <c r="J5042" s="0" t="s">
        <v>16828</v>
      </c>
      <c r="K5042" s="0" t="s">
        <v>16829</v>
      </c>
      <c r="L5042" s="0" t="str">
        <f aca="false">HYPERLINK("https://www.ncbi.nlm.nih.gov/nuccore/CP000058.1?report=graph&amp;tracks=[key:gene_model_track,Options:GeneOnly]&amp;mk=1573317:1573336|offset_25|444444,1573338:1573357|offset_46|444444,1573361:1573380|offset_69|444444,1573405:1573424|offset_113|00cc00&amp;v=1573116:1573624&amp;c=444444", "offset 113")</f>
        <v>offset 113</v>
      </c>
    </row>
    <row r="5043" customFormat="false" ht="12.8" hidden="false" customHeight="false" outlineLevel="0" collapsed="false">
      <c r="A5043" s="0" t="s">
        <v>12</v>
      </c>
      <c r="B5043" s="0" t="n">
        <v>1573754</v>
      </c>
      <c r="C5043" s="0" t="n">
        <v>1573774</v>
      </c>
      <c r="D5043" s="0" t="s">
        <v>16830</v>
      </c>
      <c r="E5043" s="0" t="s">
        <v>16831</v>
      </c>
      <c r="F5043" s="0" t="s">
        <v>15</v>
      </c>
      <c r="G5043" s="0" t="s">
        <v>32</v>
      </c>
      <c r="H5043" s="0" t="n">
        <v>10</v>
      </c>
      <c r="I5043" s="0" t="s">
        <v>16832</v>
      </c>
      <c r="J5043" s="0" t="s">
        <v>16833</v>
      </c>
      <c r="K5043" s="0" t="s">
        <v>16834</v>
      </c>
      <c r="L5043" s="0" t="str">
        <f aca="false">HYPERLINK("https://www.ncbi.nlm.nih.gov/nuccore/CP000058.1?report=graph&amp;tracks=[key:gene_model_track,Options:GeneOnly]&amp;mk=1573755:1573774|offset_10|00cc00,1573777:1573796|offset_32|444444,1573815:1573834|offset_70|444444,1573837:1573856|offset_92|444444&amp;v=1573554:1574056&amp;c=444444", "offset 10")</f>
        <v>offset 10</v>
      </c>
    </row>
    <row r="5044" customFormat="false" ht="12.8" hidden="false" customHeight="false" outlineLevel="0" collapsed="false">
      <c r="A5044" s="0" t="s">
        <v>12</v>
      </c>
      <c r="B5044" s="0" t="n">
        <v>1573776</v>
      </c>
      <c r="C5044" s="0" t="n">
        <v>1573796</v>
      </c>
      <c r="D5044" s="0" t="s">
        <v>16830</v>
      </c>
      <c r="E5044" s="0" t="s">
        <v>16831</v>
      </c>
      <c r="F5044" s="0" t="s">
        <v>15</v>
      </c>
      <c r="G5044" s="0" t="s">
        <v>16</v>
      </c>
      <c r="H5044" s="0" t="n">
        <v>32</v>
      </c>
      <c r="I5044" s="0" t="s">
        <v>16835</v>
      </c>
      <c r="J5044" s="0" t="s">
        <v>16836</v>
      </c>
      <c r="K5044" s="0" t="s">
        <v>16837</v>
      </c>
      <c r="L5044" s="0" t="str">
        <f aca="false">HYPERLINK("https://www.ncbi.nlm.nih.gov/nuccore/CP000058.1?report=graph&amp;tracks=[key:gene_model_track,Options:GeneOnly]&amp;mk=1573755:1573774|offset_10|444444,1573777:1573796|offset_32|00cc00,1573815:1573834|offset_70|444444,1573837:1573856|offset_92|444444&amp;v=1573554:1574056&amp;c=444444", "offset 32")</f>
        <v>offset 32</v>
      </c>
    </row>
    <row r="5045" customFormat="false" ht="12.8" hidden="false" customHeight="false" outlineLevel="0" collapsed="false">
      <c r="A5045" s="0" t="s">
        <v>12</v>
      </c>
      <c r="B5045" s="0" t="n">
        <v>1573814</v>
      </c>
      <c r="C5045" s="0" t="n">
        <v>1573834</v>
      </c>
      <c r="D5045" s="0" t="s">
        <v>16830</v>
      </c>
      <c r="E5045" s="0" t="s">
        <v>16831</v>
      </c>
      <c r="F5045" s="0" t="s">
        <v>15</v>
      </c>
      <c r="G5045" s="0" t="s">
        <v>16</v>
      </c>
      <c r="H5045" s="0" t="n">
        <v>70</v>
      </c>
      <c r="I5045" s="0" t="s">
        <v>16838</v>
      </c>
      <c r="J5045" s="0" t="s">
        <v>16839</v>
      </c>
      <c r="K5045" s="0" t="s">
        <v>16840</v>
      </c>
      <c r="L5045" s="0" t="str">
        <f aca="false">HYPERLINK("https://www.ncbi.nlm.nih.gov/nuccore/CP000058.1?report=graph&amp;tracks=[key:gene_model_track,Options:GeneOnly]&amp;mk=1573755:1573774|offset_10|444444,1573777:1573796|offset_32|444444,1573815:1573834|offset_70|00cc00,1573837:1573856|offset_92|444444&amp;v=1573554:1574056&amp;c=444444", "offset 70")</f>
        <v>offset 70</v>
      </c>
    </row>
    <row r="5046" customFormat="false" ht="12.8" hidden="false" customHeight="false" outlineLevel="0" collapsed="false">
      <c r="A5046" s="0" t="s">
        <v>12</v>
      </c>
      <c r="B5046" s="0" t="n">
        <v>1573836</v>
      </c>
      <c r="C5046" s="0" t="n">
        <v>1573856</v>
      </c>
      <c r="D5046" s="0" t="s">
        <v>16830</v>
      </c>
      <c r="E5046" s="0" t="s">
        <v>16831</v>
      </c>
      <c r="F5046" s="0" t="s">
        <v>15</v>
      </c>
      <c r="G5046" s="0" t="s">
        <v>16</v>
      </c>
      <c r="H5046" s="0" t="n">
        <v>92</v>
      </c>
      <c r="I5046" s="0" t="s">
        <v>16841</v>
      </c>
      <c r="J5046" s="0" t="s">
        <v>16842</v>
      </c>
      <c r="K5046" s="0" t="s">
        <v>16843</v>
      </c>
      <c r="L5046" s="0" t="str">
        <f aca="false">HYPERLINK("https://www.ncbi.nlm.nih.gov/nuccore/CP000058.1?report=graph&amp;tracks=[key:gene_model_track,Options:GeneOnly]&amp;mk=1573755:1573774|offset_10|444444,1573777:1573796|offset_32|444444,1573815:1573834|offset_70|444444,1573837:1573856|offset_92|00cc00&amp;v=1573554:1574056&amp;c=444444", "offset 92")</f>
        <v>offset 92</v>
      </c>
    </row>
    <row r="5047" customFormat="false" ht="12.8" hidden="false" customHeight="false" outlineLevel="0" collapsed="false">
      <c r="A5047" s="0" t="s">
        <v>12</v>
      </c>
      <c r="B5047" s="0" t="n">
        <v>1574787</v>
      </c>
      <c r="C5047" s="0" t="n">
        <v>1574807</v>
      </c>
      <c r="D5047" s="0" t="s">
        <v>16844</v>
      </c>
      <c r="E5047" s="0" t="s">
        <v>16845</v>
      </c>
      <c r="F5047" s="0" t="s">
        <v>15</v>
      </c>
      <c r="G5047" s="0" t="s">
        <v>32</v>
      </c>
      <c r="H5047" s="0" t="n">
        <v>1</v>
      </c>
      <c r="I5047" s="0" t="s">
        <v>16846</v>
      </c>
      <c r="J5047" s="0" t="s">
        <v>16847</v>
      </c>
      <c r="K5047" s="0" t="s">
        <v>16848</v>
      </c>
      <c r="L5047" s="0" t="str">
        <f aca="false">HYPERLINK("https://www.ncbi.nlm.nih.gov/nuccore/CP000058.1?report=graph&amp;tracks=[key:gene_model_track,Options:GeneOnly]&amp;mk=1574788:1574807|offset_1|00cc00,1574815:1574834|offset_28|444444,1574854:1574873|offset_67|444444,1574881:1574900|offset_94|444444&amp;v=1574587:1575100&amp;c=444444", "offset 1")</f>
        <v>offset 1</v>
      </c>
    </row>
    <row r="5048" customFormat="false" ht="12.8" hidden="false" customHeight="false" outlineLevel="0" collapsed="false">
      <c r="A5048" s="0" t="s">
        <v>12</v>
      </c>
      <c r="B5048" s="0" t="n">
        <v>1574814</v>
      </c>
      <c r="C5048" s="0" t="n">
        <v>1574834</v>
      </c>
      <c r="D5048" s="0" t="s">
        <v>16844</v>
      </c>
      <c r="E5048" s="0" t="s">
        <v>16845</v>
      </c>
      <c r="F5048" s="0" t="s">
        <v>15</v>
      </c>
      <c r="G5048" s="0" t="s">
        <v>16</v>
      </c>
      <c r="H5048" s="0" t="n">
        <v>28</v>
      </c>
      <c r="I5048" s="0" t="s">
        <v>16849</v>
      </c>
      <c r="J5048" s="0" t="s">
        <v>16850</v>
      </c>
      <c r="K5048" s="0" t="s">
        <v>16851</v>
      </c>
      <c r="L5048" s="0" t="str">
        <f aca="false">HYPERLINK("https://www.ncbi.nlm.nih.gov/nuccore/CP000058.1?report=graph&amp;tracks=[key:gene_model_track,Options:GeneOnly]&amp;mk=1574788:1574807|offset_1|444444,1574815:1574834|offset_28|00cc00,1574854:1574873|offset_67|444444,1574881:1574900|offset_94|444444&amp;v=1574587:1575100&amp;c=444444", "offset 28")</f>
        <v>offset 28</v>
      </c>
    </row>
    <row r="5049" customFormat="false" ht="12.8" hidden="false" customHeight="false" outlineLevel="0" collapsed="false">
      <c r="A5049" s="0" t="s">
        <v>12</v>
      </c>
      <c r="B5049" s="0" t="n">
        <v>1574853</v>
      </c>
      <c r="C5049" s="0" t="n">
        <v>1574873</v>
      </c>
      <c r="D5049" s="0" t="s">
        <v>16844</v>
      </c>
      <c r="E5049" s="0" t="s">
        <v>16845</v>
      </c>
      <c r="F5049" s="0" t="s">
        <v>15</v>
      </c>
      <c r="G5049" s="0" t="s">
        <v>36</v>
      </c>
      <c r="H5049" s="0" t="n">
        <v>67</v>
      </c>
      <c r="I5049" s="0" t="s">
        <v>16852</v>
      </c>
      <c r="J5049" s="0" t="s">
        <v>16853</v>
      </c>
      <c r="K5049" s="0" t="s">
        <v>16854</v>
      </c>
      <c r="L5049" s="0" t="str">
        <f aca="false">HYPERLINK("https://www.ncbi.nlm.nih.gov/nuccore/CP000058.1?report=graph&amp;tracks=[key:gene_model_track,Options:GeneOnly]&amp;mk=1574788:1574807|offset_1|444444,1574815:1574834|offset_28|444444,1574854:1574873|offset_67|00cc00,1574881:1574900|offset_94|444444&amp;v=1574587:1575100&amp;c=444444", "offset 67")</f>
        <v>offset 67</v>
      </c>
    </row>
    <row r="5050" customFormat="false" ht="12.8" hidden="false" customHeight="false" outlineLevel="0" collapsed="false">
      <c r="A5050" s="0" t="s">
        <v>12</v>
      </c>
      <c r="B5050" s="0" t="n">
        <v>1574880</v>
      </c>
      <c r="C5050" s="0" t="n">
        <v>1574900</v>
      </c>
      <c r="D5050" s="0" t="s">
        <v>16844</v>
      </c>
      <c r="E5050" s="0" t="s">
        <v>16845</v>
      </c>
      <c r="F5050" s="0" t="s">
        <v>15</v>
      </c>
      <c r="G5050" s="0" t="s">
        <v>32</v>
      </c>
      <c r="H5050" s="0" t="n">
        <v>94</v>
      </c>
      <c r="I5050" s="0" t="s">
        <v>16855</v>
      </c>
      <c r="J5050" s="0" t="s">
        <v>16856</v>
      </c>
      <c r="K5050" s="0" t="s">
        <v>16857</v>
      </c>
      <c r="L5050" s="0" t="str">
        <f aca="false">HYPERLINK("https://www.ncbi.nlm.nih.gov/nuccore/CP000058.1?report=graph&amp;tracks=[key:gene_model_track,Options:GeneOnly]&amp;mk=1574788:1574807|offset_1|444444,1574815:1574834|offset_28|444444,1574854:1574873|offset_67|444444,1574881:1574900|offset_94|00cc00&amp;v=1574587:1575100&amp;c=444444", "offset 94")</f>
        <v>offset 94</v>
      </c>
    </row>
    <row r="5051" customFormat="false" ht="12.8" hidden="false" customHeight="false" outlineLevel="0" collapsed="false">
      <c r="A5051" s="0" t="s">
        <v>12</v>
      </c>
      <c r="B5051" s="0" t="n">
        <v>1575681</v>
      </c>
      <c r="C5051" s="0" t="n">
        <v>1575701</v>
      </c>
      <c r="D5051" s="0" t="s">
        <v>16858</v>
      </c>
      <c r="E5051" s="0" t="s">
        <v>16859</v>
      </c>
      <c r="F5051" s="0" t="s">
        <v>15</v>
      </c>
      <c r="G5051" s="0" t="s">
        <v>16</v>
      </c>
      <c r="H5051" s="0" t="n">
        <v>9</v>
      </c>
      <c r="I5051" s="0" t="s">
        <v>16860</v>
      </c>
      <c r="J5051" s="0" t="s">
        <v>16861</v>
      </c>
      <c r="K5051" s="0" t="s">
        <v>16862</v>
      </c>
      <c r="L5051" s="0" t="str">
        <f aca="false">HYPERLINK("https://www.ncbi.nlm.nih.gov/nuccore/CP000058.1?report=graph&amp;tracks=[key:gene_model_track,Options:GeneOnly]&amp;mk=1575682:1575701|offset_9|00cc00,1575752:1575771|offset_79|444444,1575773:1575792|offset_100|444444,1575814:1575833|offset_141|444444&amp;v=1575481:1576033&amp;c=444444", "offset 9")</f>
        <v>offset 9</v>
      </c>
    </row>
    <row r="5052" customFormat="false" ht="12.8" hidden="false" customHeight="false" outlineLevel="0" collapsed="false">
      <c r="A5052" s="0" t="s">
        <v>12</v>
      </c>
      <c r="B5052" s="0" t="n">
        <v>1575751</v>
      </c>
      <c r="C5052" s="0" t="n">
        <v>1575771</v>
      </c>
      <c r="D5052" s="0" t="s">
        <v>16858</v>
      </c>
      <c r="E5052" s="0" t="s">
        <v>16859</v>
      </c>
      <c r="F5052" s="0" t="s">
        <v>15</v>
      </c>
      <c r="G5052" s="0" t="s">
        <v>16</v>
      </c>
      <c r="H5052" s="0" t="n">
        <v>79</v>
      </c>
      <c r="I5052" s="0" t="s">
        <v>16863</v>
      </c>
      <c r="J5052" s="0" t="s">
        <v>16864</v>
      </c>
      <c r="K5052" s="0" t="s">
        <v>16865</v>
      </c>
      <c r="L5052" s="0" t="str">
        <f aca="false">HYPERLINK("https://www.ncbi.nlm.nih.gov/nuccore/CP000058.1?report=graph&amp;tracks=[key:gene_model_track,Options:GeneOnly]&amp;mk=1575682:1575701|offset_9|444444,1575752:1575771|offset_79|00cc00,1575773:1575792|offset_100|444444,1575814:1575833|offset_141|444444&amp;v=1575481:1576033&amp;c=444444", "offset 79")</f>
        <v>offset 79</v>
      </c>
    </row>
    <row r="5053" customFormat="false" ht="12.8" hidden="false" customHeight="false" outlineLevel="0" collapsed="false">
      <c r="A5053" s="0" t="s">
        <v>12</v>
      </c>
      <c r="B5053" s="0" t="n">
        <v>1575772</v>
      </c>
      <c r="C5053" s="0" t="n">
        <v>1575792</v>
      </c>
      <c r="D5053" s="0" t="s">
        <v>16858</v>
      </c>
      <c r="E5053" s="0" t="s">
        <v>16859</v>
      </c>
      <c r="F5053" s="0" t="s">
        <v>15</v>
      </c>
      <c r="G5053" s="0" t="s">
        <v>16</v>
      </c>
      <c r="H5053" s="0" t="n">
        <v>100</v>
      </c>
      <c r="I5053" s="0" t="s">
        <v>16866</v>
      </c>
      <c r="J5053" s="0" t="s">
        <v>16867</v>
      </c>
      <c r="K5053" s="0" t="s">
        <v>16868</v>
      </c>
      <c r="L5053" s="0" t="str">
        <f aca="false">HYPERLINK("https://www.ncbi.nlm.nih.gov/nuccore/CP000058.1?report=graph&amp;tracks=[key:gene_model_track,Options:GeneOnly]&amp;mk=1575682:1575701|offset_9|444444,1575752:1575771|offset_79|444444,1575773:1575792|offset_100|00cc00,1575814:1575833|offset_141|444444&amp;v=1575481:1576033&amp;c=444444", "offset 100")</f>
        <v>offset 100</v>
      </c>
    </row>
    <row r="5054" customFormat="false" ht="12.8" hidden="false" customHeight="false" outlineLevel="0" collapsed="false">
      <c r="A5054" s="0" t="s">
        <v>12</v>
      </c>
      <c r="B5054" s="0" t="n">
        <v>1575813</v>
      </c>
      <c r="C5054" s="0" t="n">
        <v>1575833</v>
      </c>
      <c r="D5054" s="0" t="s">
        <v>16858</v>
      </c>
      <c r="E5054" s="0" t="s">
        <v>16859</v>
      </c>
      <c r="F5054" s="0" t="s">
        <v>15</v>
      </c>
      <c r="G5054" s="0" t="s">
        <v>32</v>
      </c>
      <c r="H5054" s="0" t="n">
        <v>141</v>
      </c>
      <c r="I5054" s="0" t="s">
        <v>16869</v>
      </c>
      <c r="J5054" s="0" t="s">
        <v>16870</v>
      </c>
      <c r="K5054" s="0" t="s">
        <v>16871</v>
      </c>
      <c r="L5054" s="0" t="str">
        <f aca="false">HYPERLINK("https://www.ncbi.nlm.nih.gov/nuccore/CP000058.1?report=graph&amp;tracks=[key:gene_model_track,Options:GeneOnly]&amp;mk=1575682:1575701|offset_9|444444,1575752:1575771|offset_79|444444,1575773:1575792|offset_100|444444,1575814:1575833|offset_141|00cc00&amp;v=1575481:1576033&amp;c=444444", "offset 141")</f>
        <v>offset 141</v>
      </c>
    </row>
    <row r="5055" customFormat="false" ht="12.8" hidden="false" customHeight="false" outlineLevel="0" collapsed="false">
      <c r="A5055" s="0" t="s">
        <v>12</v>
      </c>
      <c r="B5055" s="0" t="n">
        <v>1577076</v>
      </c>
      <c r="C5055" s="0" t="n">
        <v>1577096</v>
      </c>
      <c r="D5055" s="0" t="s">
        <v>16872</v>
      </c>
      <c r="E5055" s="0" t="s">
        <v>16873</v>
      </c>
      <c r="F5055" s="0" t="s">
        <v>15</v>
      </c>
      <c r="G5055" s="0" t="s">
        <v>32</v>
      </c>
      <c r="H5055" s="0" t="n">
        <v>29</v>
      </c>
      <c r="I5055" s="0" t="s">
        <v>16874</v>
      </c>
      <c r="J5055" s="0" t="s">
        <v>16875</v>
      </c>
      <c r="K5055" s="0" t="s">
        <v>16876</v>
      </c>
      <c r="L5055" s="0" t="str">
        <f aca="false">HYPERLINK("https://www.ncbi.nlm.nih.gov/nuccore/CP000058.1?report=graph&amp;tracks=[key:gene_model_track,Options:GeneOnly]&amp;mk=1577077:1577096|offset_29|00cc00,1577116:1577135|offset_68|444444,1577186:1577205|offset_138|444444,1577223:1577242|offset_175|444444&amp;v=1576876:1577442&amp;c=444444", "offset 29")</f>
        <v>offset 29</v>
      </c>
    </row>
    <row r="5056" customFormat="false" ht="12.8" hidden="false" customHeight="false" outlineLevel="0" collapsed="false">
      <c r="A5056" s="0" t="s">
        <v>12</v>
      </c>
      <c r="B5056" s="0" t="n">
        <v>1577115</v>
      </c>
      <c r="C5056" s="0" t="n">
        <v>1577135</v>
      </c>
      <c r="D5056" s="0" t="s">
        <v>16872</v>
      </c>
      <c r="E5056" s="0" t="s">
        <v>16873</v>
      </c>
      <c r="F5056" s="0" t="s">
        <v>15</v>
      </c>
      <c r="G5056" s="0" t="s">
        <v>32</v>
      </c>
      <c r="H5056" s="0" t="n">
        <v>68</v>
      </c>
      <c r="I5056" s="0" t="s">
        <v>16877</v>
      </c>
      <c r="J5056" s="0" t="s">
        <v>16878</v>
      </c>
      <c r="K5056" s="0" t="s">
        <v>16879</v>
      </c>
      <c r="L5056" s="0" t="str">
        <f aca="false">HYPERLINK("https://www.ncbi.nlm.nih.gov/nuccore/CP000058.1?report=graph&amp;tracks=[key:gene_model_track,Options:GeneOnly]&amp;mk=1577077:1577096|offset_29|444444,1577116:1577135|offset_68|00cc00,1577186:1577205|offset_138|444444,1577223:1577242|offset_175|444444&amp;v=1576876:1577442&amp;c=444444", "offset 68")</f>
        <v>offset 68</v>
      </c>
    </row>
    <row r="5057" customFormat="false" ht="12.8" hidden="false" customHeight="false" outlineLevel="0" collapsed="false">
      <c r="A5057" s="0" t="s">
        <v>12</v>
      </c>
      <c r="B5057" s="0" t="n">
        <v>1577185</v>
      </c>
      <c r="C5057" s="0" t="n">
        <v>1577205</v>
      </c>
      <c r="D5057" s="0" t="s">
        <v>16872</v>
      </c>
      <c r="E5057" s="0" t="s">
        <v>16873</v>
      </c>
      <c r="F5057" s="0" t="s">
        <v>15</v>
      </c>
      <c r="G5057" s="0" t="s">
        <v>16</v>
      </c>
      <c r="H5057" s="0" t="n">
        <v>138</v>
      </c>
      <c r="I5057" s="0" t="s">
        <v>16880</v>
      </c>
      <c r="J5057" s="0" t="s">
        <v>16881</v>
      </c>
      <c r="K5057" s="0" t="s">
        <v>16882</v>
      </c>
      <c r="L5057" s="0" t="str">
        <f aca="false">HYPERLINK("https://www.ncbi.nlm.nih.gov/nuccore/CP000058.1?report=graph&amp;tracks=[key:gene_model_track,Options:GeneOnly]&amp;mk=1577077:1577096|offset_29|444444,1577116:1577135|offset_68|444444,1577186:1577205|offset_138|00cc00,1577223:1577242|offset_175|444444&amp;v=1576876:1577442&amp;c=444444", "offset 138")</f>
        <v>offset 138</v>
      </c>
    </row>
    <row r="5058" customFormat="false" ht="12.8" hidden="false" customHeight="false" outlineLevel="0" collapsed="false">
      <c r="A5058" s="0" t="s">
        <v>12</v>
      </c>
      <c r="B5058" s="0" t="n">
        <v>1577222</v>
      </c>
      <c r="C5058" s="0" t="n">
        <v>1577242</v>
      </c>
      <c r="D5058" s="0" t="s">
        <v>16872</v>
      </c>
      <c r="E5058" s="0" t="s">
        <v>16873</v>
      </c>
      <c r="F5058" s="0" t="s">
        <v>15</v>
      </c>
      <c r="G5058" s="0" t="s">
        <v>20</v>
      </c>
      <c r="H5058" s="0" t="n">
        <v>175</v>
      </c>
      <c r="I5058" s="0" t="s">
        <v>16883</v>
      </c>
      <c r="J5058" s="0" t="s">
        <v>16884</v>
      </c>
      <c r="K5058" s="0" t="s">
        <v>16885</v>
      </c>
      <c r="L5058" s="0" t="str">
        <f aca="false">HYPERLINK("https://www.ncbi.nlm.nih.gov/nuccore/CP000058.1?report=graph&amp;tracks=[key:gene_model_track,Options:GeneOnly]&amp;mk=1577077:1577096|offset_29|444444,1577116:1577135|offset_68|444444,1577186:1577205|offset_138|444444,1577223:1577242|offset_175|00cc00&amp;v=1576876:1577442&amp;c=444444", "offset 175")</f>
        <v>offset 175</v>
      </c>
    </row>
    <row r="5059" customFormat="false" ht="12.8" hidden="false" customHeight="false" outlineLevel="0" collapsed="false">
      <c r="A5059" s="0" t="s">
        <v>12</v>
      </c>
      <c r="B5059" s="0" t="n">
        <v>1582320</v>
      </c>
      <c r="C5059" s="0" t="n">
        <v>1582340</v>
      </c>
      <c r="D5059" s="0" t="s">
        <v>16886</v>
      </c>
      <c r="E5059" s="0" t="s">
        <v>75</v>
      </c>
      <c r="F5059" s="0" t="s">
        <v>15</v>
      </c>
      <c r="G5059" s="0" t="s">
        <v>20</v>
      </c>
      <c r="H5059" s="0" t="n">
        <v>0</v>
      </c>
      <c r="I5059" s="0" t="s">
        <v>16887</v>
      </c>
      <c r="J5059" s="0" t="s">
        <v>16888</v>
      </c>
      <c r="K5059" s="0" t="s">
        <v>16889</v>
      </c>
      <c r="L5059" s="0" t="str">
        <f aca="false">HYPERLINK("https://www.ncbi.nlm.nih.gov/nuccore/CP000058.1?report=graph&amp;tracks=[key:gene_model_track,Options:GeneOnly]&amp;mk=1582321:1582340|offset_0|00cc00,1582361:1582380|offset_40|444444,1582384:1582403|offset_63|444444,1582431:1582450|offset_110|444444&amp;v=1582120:1582650&amp;c=444444", "offset 0")</f>
        <v>offset 0</v>
      </c>
    </row>
    <row r="5060" customFormat="false" ht="12.8" hidden="false" customHeight="false" outlineLevel="0" collapsed="false">
      <c r="A5060" s="0" t="s">
        <v>12</v>
      </c>
      <c r="B5060" s="0" t="n">
        <v>1582360</v>
      </c>
      <c r="C5060" s="0" t="n">
        <v>1582380</v>
      </c>
      <c r="D5060" s="0" t="s">
        <v>16886</v>
      </c>
      <c r="E5060" s="0" t="s">
        <v>75</v>
      </c>
      <c r="F5060" s="0" t="s">
        <v>15</v>
      </c>
      <c r="G5060" s="0" t="s">
        <v>36</v>
      </c>
      <c r="H5060" s="0" t="n">
        <v>40</v>
      </c>
      <c r="I5060" s="0" t="s">
        <v>16890</v>
      </c>
      <c r="J5060" s="0" t="s">
        <v>16891</v>
      </c>
      <c r="K5060" s="0" t="s">
        <v>16892</v>
      </c>
      <c r="L5060" s="0" t="str">
        <f aca="false">HYPERLINK("https://www.ncbi.nlm.nih.gov/nuccore/CP000058.1?report=graph&amp;tracks=[key:gene_model_track,Options:GeneOnly]&amp;mk=1582321:1582340|offset_0|444444,1582361:1582380|offset_40|00cc00,1582384:1582403|offset_63|444444,1582431:1582450|offset_110|444444&amp;v=1582120:1582650&amp;c=444444", "offset 40")</f>
        <v>offset 40</v>
      </c>
    </row>
    <row r="5061" customFormat="false" ht="12.8" hidden="false" customHeight="false" outlineLevel="0" collapsed="false">
      <c r="A5061" s="0" t="s">
        <v>12</v>
      </c>
      <c r="B5061" s="0" t="n">
        <v>1582383</v>
      </c>
      <c r="C5061" s="0" t="n">
        <v>1582403</v>
      </c>
      <c r="D5061" s="0" t="s">
        <v>16886</v>
      </c>
      <c r="E5061" s="0" t="s">
        <v>75</v>
      </c>
      <c r="F5061" s="0" t="s">
        <v>15</v>
      </c>
      <c r="G5061" s="0" t="s">
        <v>36</v>
      </c>
      <c r="H5061" s="0" t="n">
        <v>63</v>
      </c>
      <c r="I5061" s="0" t="s">
        <v>16893</v>
      </c>
      <c r="J5061" s="0" t="s">
        <v>16894</v>
      </c>
      <c r="K5061" s="0" t="s">
        <v>16895</v>
      </c>
      <c r="L5061" s="0" t="str">
        <f aca="false">HYPERLINK("https://www.ncbi.nlm.nih.gov/nuccore/CP000058.1?report=graph&amp;tracks=[key:gene_model_track,Options:GeneOnly]&amp;mk=1582321:1582340|offset_0|444444,1582361:1582380|offset_40|444444,1582384:1582403|offset_63|00cc00,1582431:1582450|offset_110|444444&amp;v=1582120:1582650&amp;c=444444", "offset 63")</f>
        <v>offset 63</v>
      </c>
    </row>
    <row r="5062" customFormat="false" ht="12.8" hidden="false" customHeight="false" outlineLevel="0" collapsed="false">
      <c r="A5062" s="0" t="s">
        <v>12</v>
      </c>
      <c r="B5062" s="0" t="n">
        <v>1582430</v>
      </c>
      <c r="C5062" s="0" t="n">
        <v>1582450</v>
      </c>
      <c r="D5062" s="0" t="s">
        <v>16886</v>
      </c>
      <c r="E5062" s="0" t="s">
        <v>75</v>
      </c>
      <c r="F5062" s="0" t="s">
        <v>15</v>
      </c>
      <c r="G5062" s="0" t="s">
        <v>32</v>
      </c>
      <c r="H5062" s="0" t="n">
        <v>110</v>
      </c>
      <c r="I5062" s="0" t="s">
        <v>16896</v>
      </c>
      <c r="J5062" s="0" t="s">
        <v>16897</v>
      </c>
      <c r="K5062" s="0" t="s">
        <v>16898</v>
      </c>
      <c r="L5062" s="0" t="str">
        <f aca="false">HYPERLINK("https://www.ncbi.nlm.nih.gov/nuccore/CP000058.1?report=graph&amp;tracks=[key:gene_model_track,Options:GeneOnly]&amp;mk=1582321:1582340|offset_0|444444,1582361:1582380|offset_40|444444,1582384:1582403|offset_63|444444,1582431:1582450|offset_110|00cc00&amp;v=1582120:1582650&amp;c=444444", "offset 110")</f>
        <v>offset 110</v>
      </c>
    </row>
    <row r="5063" customFormat="false" ht="12.8" hidden="false" customHeight="false" outlineLevel="0" collapsed="false">
      <c r="A5063" s="0" t="s">
        <v>12</v>
      </c>
      <c r="B5063" s="0" t="n">
        <v>1584264</v>
      </c>
      <c r="C5063" s="0" t="n">
        <v>1584284</v>
      </c>
      <c r="D5063" s="0" t="s">
        <v>16899</v>
      </c>
      <c r="E5063" s="0" t="s">
        <v>75</v>
      </c>
      <c r="F5063" s="0" t="s">
        <v>90</v>
      </c>
      <c r="G5063" s="0" t="s">
        <v>16</v>
      </c>
      <c r="H5063" s="0" t="n">
        <v>0</v>
      </c>
      <c r="I5063" s="0" t="s">
        <v>16900</v>
      </c>
      <c r="J5063" s="0" t="s">
        <v>16901</v>
      </c>
      <c r="K5063" s="0" t="s">
        <v>16902</v>
      </c>
      <c r="L5063" s="0" t="str">
        <f aca="false">HYPERLINK("https://www.ncbi.nlm.nih.gov/nuccore/CP000058.1?report=graph&amp;tracks=[key:gene_model_track,Options:GeneOnly]&amp;mk=1584265:1584284|offset_0|00cc00,1584239:1584258|offset_26|444444,1584218:1584237|offset_47|444444,1584183:1584202|offset_82|444444&amp;v=1584064:1584402&amp;c=444444", "offset 0")</f>
        <v>offset 0</v>
      </c>
    </row>
    <row r="5064" customFormat="false" ht="12.8" hidden="false" customHeight="false" outlineLevel="0" collapsed="false">
      <c r="A5064" s="0" t="s">
        <v>12</v>
      </c>
      <c r="B5064" s="0" t="n">
        <v>1584238</v>
      </c>
      <c r="C5064" s="0" t="n">
        <v>1584258</v>
      </c>
      <c r="D5064" s="0" t="s">
        <v>16899</v>
      </c>
      <c r="E5064" s="0" t="s">
        <v>75</v>
      </c>
      <c r="F5064" s="0" t="s">
        <v>90</v>
      </c>
      <c r="G5064" s="0" t="s">
        <v>32</v>
      </c>
      <c r="H5064" s="0" t="n">
        <v>26</v>
      </c>
      <c r="I5064" s="0" t="s">
        <v>16903</v>
      </c>
      <c r="J5064" s="0" t="s">
        <v>16904</v>
      </c>
      <c r="K5064" s="0" t="s">
        <v>16905</v>
      </c>
      <c r="L5064" s="0" t="str">
        <f aca="false">HYPERLINK("https://www.ncbi.nlm.nih.gov/nuccore/CP000058.1?report=graph&amp;tracks=[key:gene_model_track,Options:GeneOnly]&amp;mk=1584265:1584284|offset_0|444444,1584239:1584258|offset_26|00cc00,1584218:1584237|offset_47|444444,1584183:1584202|offset_82|444444&amp;v=1584064:1584402&amp;c=444444", "offset 26")</f>
        <v>offset 26</v>
      </c>
    </row>
    <row r="5065" customFormat="false" ht="12.8" hidden="false" customHeight="false" outlineLevel="0" collapsed="false">
      <c r="A5065" s="0" t="s">
        <v>12</v>
      </c>
      <c r="B5065" s="0" t="n">
        <v>1584217</v>
      </c>
      <c r="C5065" s="0" t="n">
        <v>1584237</v>
      </c>
      <c r="D5065" s="0" t="s">
        <v>16899</v>
      </c>
      <c r="E5065" s="0" t="s">
        <v>75</v>
      </c>
      <c r="F5065" s="0" t="s">
        <v>90</v>
      </c>
      <c r="G5065" s="0" t="s">
        <v>20</v>
      </c>
      <c r="H5065" s="0" t="n">
        <v>47</v>
      </c>
      <c r="I5065" s="0" t="s">
        <v>16906</v>
      </c>
      <c r="J5065" s="0" t="s">
        <v>16907</v>
      </c>
      <c r="K5065" s="0" t="s">
        <v>16908</v>
      </c>
      <c r="L5065" s="0" t="str">
        <f aca="false">HYPERLINK("https://www.ncbi.nlm.nih.gov/nuccore/CP000058.1?report=graph&amp;tracks=[key:gene_model_track,Options:GeneOnly]&amp;mk=1584265:1584284|offset_0|444444,1584239:1584258|offset_26|444444,1584218:1584237|offset_47|00cc00,1584183:1584202|offset_82|444444&amp;v=1584064:1584402&amp;c=444444", "offset 47")</f>
        <v>offset 47</v>
      </c>
    </row>
    <row r="5066" customFormat="false" ht="12.8" hidden="false" customHeight="false" outlineLevel="0" collapsed="false">
      <c r="A5066" s="0" t="s">
        <v>12</v>
      </c>
      <c r="B5066" s="0" t="n">
        <v>1584182</v>
      </c>
      <c r="C5066" s="0" t="n">
        <v>1584202</v>
      </c>
      <c r="D5066" s="0" t="s">
        <v>16899</v>
      </c>
      <c r="E5066" s="0" t="s">
        <v>75</v>
      </c>
      <c r="F5066" s="0" t="s">
        <v>90</v>
      </c>
      <c r="G5066" s="0" t="s">
        <v>16</v>
      </c>
      <c r="H5066" s="0" t="n">
        <v>82</v>
      </c>
      <c r="I5066" s="0" t="s">
        <v>16909</v>
      </c>
      <c r="J5066" s="0" t="s">
        <v>16910</v>
      </c>
      <c r="K5066" s="0" t="s">
        <v>16911</v>
      </c>
      <c r="L5066" s="0" t="str">
        <f aca="false">HYPERLINK("https://www.ncbi.nlm.nih.gov/nuccore/CP000058.1?report=graph&amp;tracks=[key:gene_model_track,Options:GeneOnly]&amp;mk=1584265:1584284|offset_0|444444,1584239:1584258|offset_26|444444,1584218:1584237|offset_47|444444,1584183:1584202|offset_82|00cc00&amp;v=1584064:1584402&amp;c=444444", "offset 82")</f>
        <v>offset 82</v>
      </c>
    </row>
    <row r="5067" customFormat="false" ht="12.8" hidden="false" customHeight="false" outlineLevel="0" collapsed="false">
      <c r="A5067" s="0" t="s">
        <v>12</v>
      </c>
      <c r="B5067" s="0" t="n">
        <v>1586019</v>
      </c>
      <c r="C5067" s="0" t="n">
        <v>1586039</v>
      </c>
      <c r="D5067" s="0" t="s">
        <v>16912</v>
      </c>
      <c r="E5067" s="0" t="s">
        <v>75</v>
      </c>
      <c r="F5067" s="0" t="s">
        <v>15</v>
      </c>
      <c r="G5067" s="0" t="s">
        <v>20</v>
      </c>
      <c r="H5067" s="0" t="n">
        <v>42</v>
      </c>
      <c r="I5067" s="0" t="s">
        <v>16913</v>
      </c>
      <c r="J5067" s="0" t="s">
        <v>16914</v>
      </c>
      <c r="K5067" s="0" t="s">
        <v>16915</v>
      </c>
      <c r="L5067" s="0" t="str">
        <f aca="false">HYPERLINK("https://www.ncbi.nlm.nih.gov/nuccore/CP000058.1?report=graph&amp;tracks=[key:gene_model_track,Options:GeneOnly]&amp;mk=1586020:1586039|offset_42|00cc00,1586040:1586059|offset_62|444444,1586150:1586169|offset_172|444444,1586172:1586191|offset_194|444444&amp;v=1585819:1586391&amp;c=444444", "offset 42")</f>
        <v>offset 42</v>
      </c>
    </row>
    <row r="5068" customFormat="false" ht="12.8" hidden="false" customHeight="false" outlineLevel="0" collapsed="false">
      <c r="A5068" s="0" t="s">
        <v>12</v>
      </c>
      <c r="B5068" s="0" t="n">
        <v>1586039</v>
      </c>
      <c r="C5068" s="0" t="n">
        <v>1586059</v>
      </c>
      <c r="D5068" s="0" t="s">
        <v>16912</v>
      </c>
      <c r="E5068" s="0" t="s">
        <v>75</v>
      </c>
      <c r="F5068" s="0" t="s">
        <v>15</v>
      </c>
      <c r="G5068" s="0" t="s">
        <v>36</v>
      </c>
      <c r="H5068" s="0" t="n">
        <v>62</v>
      </c>
      <c r="I5068" s="0" t="s">
        <v>16916</v>
      </c>
      <c r="J5068" s="0" t="s">
        <v>16917</v>
      </c>
      <c r="K5068" s="0" t="s">
        <v>16918</v>
      </c>
      <c r="L5068" s="0" t="str">
        <f aca="false">HYPERLINK("https://www.ncbi.nlm.nih.gov/nuccore/CP000058.1?report=graph&amp;tracks=[key:gene_model_track,Options:GeneOnly]&amp;mk=1586020:1586039|offset_42|444444,1586040:1586059|offset_62|00cc00,1586150:1586169|offset_172|444444,1586172:1586191|offset_194|444444&amp;v=1585819:1586391&amp;c=444444", "offset 62")</f>
        <v>offset 62</v>
      </c>
    </row>
    <row r="5069" customFormat="false" ht="12.8" hidden="false" customHeight="false" outlineLevel="0" collapsed="false">
      <c r="A5069" s="0" t="s">
        <v>12</v>
      </c>
      <c r="B5069" s="0" t="n">
        <v>1586149</v>
      </c>
      <c r="C5069" s="0" t="n">
        <v>1586169</v>
      </c>
      <c r="D5069" s="0" t="s">
        <v>16912</v>
      </c>
      <c r="E5069" s="0" t="s">
        <v>75</v>
      </c>
      <c r="F5069" s="0" t="s">
        <v>15</v>
      </c>
      <c r="G5069" s="0" t="s">
        <v>16</v>
      </c>
      <c r="H5069" s="0" t="n">
        <v>172</v>
      </c>
      <c r="I5069" s="0" t="s">
        <v>16919</v>
      </c>
      <c r="J5069" s="0" t="s">
        <v>16920</v>
      </c>
      <c r="K5069" s="0" t="s">
        <v>16921</v>
      </c>
      <c r="L5069" s="0" t="str">
        <f aca="false">HYPERLINK("https://www.ncbi.nlm.nih.gov/nuccore/CP000058.1?report=graph&amp;tracks=[key:gene_model_track,Options:GeneOnly]&amp;mk=1586020:1586039|offset_42|444444,1586040:1586059|offset_62|444444,1586150:1586169|offset_172|00cc00,1586172:1586191|offset_194|444444&amp;v=1585819:1586391&amp;c=444444", "offset 172")</f>
        <v>offset 172</v>
      </c>
    </row>
    <row r="5070" customFormat="false" ht="12.8" hidden="false" customHeight="false" outlineLevel="0" collapsed="false">
      <c r="A5070" s="0" t="s">
        <v>12</v>
      </c>
      <c r="B5070" s="0" t="n">
        <v>1586171</v>
      </c>
      <c r="C5070" s="0" t="n">
        <v>1586191</v>
      </c>
      <c r="D5070" s="0" t="s">
        <v>16912</v>
      </c>
      <c r="E5070" s="0" t="s">
        <v>75</v>
      </c>
      <c r="F5070" s="0" t="s">
        <v>15</v>
      </c>
      <c r="G5070" s="0" t="s">
        <v>16</v>
      </c>
      <c r="H5070" s="0" t="n">
        <v>194</v>
      </c>
      <c r="I5070" s="0" t="s">
        <v>16922</v>
      </c>
      <c r="J5070" s="0" t="s">
        <v>16923</v>
      </c>
      <c r="K5070" s="0" t="s">
        <v>16924</v>
      </c>
      <c r="L5070" s="0" t="str">
        <f aca="false">HYPERLINK("https://www.ncbi.nlm.nih.gov/nuccore/CP000058.1?report=graph&amp;tracks=[key:gene_model_track,Options:GeneOnly]&amp;mk=1586020:1586039|offset_42|444444,1586040:1586059|offset_62|444444,1586150:1586169|offset_172|444444,1586172:1586191|offset_194|00cc00&amp;v=1585819:1586391&amp;c=444444", "offset 194")</f>
        <v>offset 194</v>
      </c>
    </row>
    <row r="5071" customFormat="false" ht="12.8" hidden="false" customHeight="false" outlineLevel="0" collapsed="false">
      <c r="A5071" s="0" t="s">
        <v>12</v>
      </c>
      <c r="B5071" s="0" t="n">
        <v>1587308</v>
      </c>
      <c r="C5071" s="0" t="n">
        <v>1587328</v>
      </c>
      <c r="D5071" s="0" t="s">
        <v>16925</v>
      </c>
      <c r="E5071" s="0" t="s">
        <v>75</v>
      </c>
      <c r="F5071" s="0" t="s">
        <v>90</v>
      </c>
      <c r="G5071" s="0" t="s">
        <v>36</v>
      </c>
      <c r="H5071" s="0" t="n">
        <v>7</v>
      </c>
      <c r="I5071" s="0" t="s">
        <v>16926</v>
      </c>
      <c r="J5071" s="0" t="s">
        <v>16927</v>
      </c>
      <c r="K5071" s="0" t="s">
        <v>16928</v>
      </c>
      <c r="L5071" s="0" t="str">
        <f aca="false">HYPERLINK("https://www.ncbi.nlm.nih.gov/nuccore/CP000058.1?report=graph&amp;tracks=[key:gene_model_track,Options:GeneOnly]&amp;mk=1587309:1587328|offset_7|00cc00,1587267:1587286|offset_49|444444,1587240:1587259|offset_76|444444,1587216:1587235|offset_100|444444&amp;v=1587108:1587435&amp;c=444444", "offset 7")</f>
        <v>offset 7</v>
      </c>
    </row>
    <row r="5072" customFormat="false" ht="12.8" hidden="false" customHeight="false" outlineLevel="0" collapsed="false">
      <c r="A5072" s="0" t="s">
        <v>12</v>
      </c>
      <c r="B5072" s="0" t="n">
        <v>1587266</v>
      </c>
      <c r="C5072" s="0" t="n">
        <v>1587286</v>
      </c>
      <c r="D5072" s="0" t="s">
        <v>16925</v>
      </c>
      <c r="E5072" s="0" t="s">
        <v>75</v>
      </c>
      <c r="F5072" s="0" t="s">
        <v>90</v>
      </c>
      <c r="G5072" s="0" t="s">
        <v>36</v>
      </c>
      <c r="H5072" s="0" t="n">
        <v>49</v>
      </c>
      <c r="I5072" s="0" t="s">
        <v>16929</v>
      </c>
      <c r="J5072" s="0" t="s">
        <v>16930</v>
      </c>
      <c r="K5072" s="0" t="s">
        <v>16931</v>
      </c>
      <c r="L5072" s="0" t="str">
        <f aca="false">HYPERLINK("https://www.ncbi.nlm.nih.gov/nuccore/CP000058.1?report=graph&amp;tracks=[key:gene_model_track,Options:GeneOnly]&amp;mk=1587309:1587328|offset_7|444444,1587267:1587286|offset_49|00cc00,1587240:1587259|offset_76|444444,1587216:1587235|offset_100|444444&amp;v=1587108:1587435&amp;c=444444", "offset 49")</f>
        <v>offset 49</v>
      </c>
    </row>
    <row r="5073" customFormat="false" ht="12.8" hidden="false" customHeight="false" outlineLevel="0" collapsed="false">
      <c r="A5073" s="0" t="s">
        <v>12</v>
      </c>
      <c r="B5073" s="0" t="n">
        <v>1587239</v>
      </c>
      <c r="C5073" s="0" t="n">
        <v>1587259</v>
      </c>
      <c r="D5073" s="0" t="s">
        <v>16925</v>
      </c>
      <c r="E5073" s="0" t="s">
        <v>75</v>
      </c>
      <c r="F5073" s="0" t="s">
        <v>90</v>
      </c>
      <c r="G5073" s="0" t="s">
        <v>32</v>
      </c>
      <c r="H5073" s="0" t="n">
        <v>76</v>
      </c>
      <c r="I5073" s="0" t="s">
        <v>16932</v>
      </c>
      <c r="J5073" s="0" t="s">
        <v>16933</v>
      </c>
      <c r="K5073" s="0" t="s">
        <v>16934</v>
      </c>
      <c r="L5073" s="0" t="str">
        <f aca="false">HYPERLINK("https://www.ncbi.nlm.nih.gov/nuccore/CP000058.1?report=graph&amp;tracks=[key:gene_model_track,Options:GeneOnly]&amp;mk=1587309:1587328|offset_7|444444,1587267:1587286|offset_49|444444,1587240:1587259|offset_76|00cc00,1587216:1587235|offset_100|444444&amp;v=1587108:1587435&amp;c=444444", "offset 76")</f>
        <v>offset 76</v>
      </c>
    </row>
    <row r="5074" customFormat="false" ht="12.8" hidden="false" customHeight="false" outlineLevel="0" collapsed="false">
      <c r="A5074" s="0" t="s">
        <v>12</v>
      </c>
      <c r="B5074" s="0" t="n">
        <v>1587215</v>
      </c>
      <c r="C5074" s="0" t="n">
        <v>1587235</v>
      </c>
      <c r="D5074" s="0" t="s">
        <v>16925</v>
      </c>
      <c r="E5074" s="0" t="s">
        <v>75</v>
      </c>
      <c r="F5074" s="0" t="s">
        <v>90</v>
      </c>
      <c r="G5074" s="0" t="s">
        <v>20</v>
      </c>
      <c r="H5074" s="0" t="n">
        <v>100</v>
      </c>
      <c r="I5074" s="0" t="s">
        <v>16935</v>
      </c>
      <c r="J5074" s="0" t="s">
        <v>16936</v>
      </c>
      <c r="K5074" s="0" t="s">
        <v>16937</v>
      </c>
      <c r="L5074" s="0" t="str">
        <f aca="false">HYPERLINK("https://www.ncbi.nlm.nih.gov/nuccore/CP000058.1?report=graph&amp;tracks=[key:gene_model_track,Options:GeneOnly]&amp;mk=1587309:1587328|offset_7|444444,1587267:1587286|offset_49|444444,1587240:1587259|offset_76|444444,1587216:1587235|offset_100|00cc00&amp;v=1587108:1587435&amp;c=444444", "offset 100")</f>
        <v>offset 100</v>
      </c>
    </row>
    <row r="5075" customFormat="false" ht="12.8" hidden="false" customHeight="false" outlineLevel="0" collapsed="false">
      <c r="A5075" s="0" t="s">
        <v>12</v>
      </c>
      <c r="B5075" s="0" t="n">
        <v>1587440</v>
      </c>
      <c r="C5075" s="0" t="n">
        <v>1587460</v>
      </c>
      <c r="D5075" s="0" t="s">
        <v>16938</v>
      </c>
      <c r="E5075" s="0" t="s">
        <v>75</v>
      </c>
      <c r="F5075" s="0" t="s">
        <v>15</v>
      </c>
      <c r="G5075" s="0" t="s">
        <v>36</v>
      </c>
      <c r="H5075" s="0" t="n">
        <v>0</v>
      </c>
      <c r="I5075" s="0" t="s">
        <v>16939</v>
      </c>
      <c r="J5075" s="0" t="s">
        <v>16940</v>
      </c>
      <c r="K5075" s="0" t="s">
        <v>16941</v>
      </c>
      <c r="L5075" s="0" t="str">
        <f aca="false">HYPERLINK("https://www.ncbi.nlm.nih.gov/nuccore/CP000058.1?report=graph&amp;tracks=[key:gene_model_track,Options:GeneOnly]&amp;mk=1587441:1587460|offset_0|00cc00,1587484:1587503|offset_43|444444,1587530:1587549|offset_89|444444,1587553:1587572|offset_112|444444&amp;v=1587240:1587772&amp;c=444444", "offset 0")</f>
        <v>offset 0</v>
      </c>
    </row>
    <row r="5076" customFormat="false" ht="12.8" hidden="false" customHeight="false" outlineLevel="0" collapsed="false">
      <c r="A5076" s="0" t="s">
        <v>12</v>
      </c>
      <c r="B5076" s="0" t="n">
        <v>1587483</v>
      </c>
      <c r="C5076" s="0" t="n">
        <v>1587503</v>
      </c>
      <c r="D5076" s="0" t="s">
        <v>16938</v>
      </c>
      <c r="E5076" s="0" t="s">
        <v>75</v>
      </c>
      <c r="F5076" s="0" t="s">
        <v>15</v>
      </c>
      <c r="G5076" s="0" t="s">
        <v>32</v>
      </c>
      <c r="H5076" s="0" t="n">
        <v>43</v>
      </c>
      <c r="I5076" s="0" t="s">
        <v>16942</v>
      </c>
      <c r="J5076" s="0" t="s">
        <v>16943</v>
      </c>
      <c r="K5076" s="0" t="s">
        <v>16944</v>
      </c>
      <c r="L5076" s="0" t="str">
        <f aca="false">HYPERLINK("https://www.ncbi.nlm.nih.gov/nuccore/CP000058.1?report=graph&amp;tracks=[key:gene_model_track,Options:GeneOnly]&amp;mk=1587441:1587460|offset_0|444444,1587484:1587503|offset_43|00cc00,1587530:1587549|offset_89|444444,1587553:1587572|offset_112|444444&amp;v=1587240:1587772&amp;c=444444", "offset 43")</f>
        <v>offset 43</v>
      </c>
    </row>
    <row r="5077" customFormat="false" ht="12.8" hidden="false" customHeight="false" outlineLevel="0" collapsed="false">
      <c r="A5077" s="0" t="s">
        <v>12</v>
      </c>
      <c r="B5077" s="0" t="n">
        <v>1587529</v>
      </c>
      <c r="C5077" s="0" t="n">
        <v>1587549</v>
      </c>
      <c r="D5077" s="0" t="s">
        <v>16938</v>
      </c>
      <c r="E5077" s="0" t="s">
        <v>75</v>
      </c>
      <c r="F5077" s="0" t="s">
        <v>15</v>
      </c>
      <c r="G5077" s="0" t="s">
        <v>36</v>
      </c>
      <c r="H5077" s="0" t="n">
        <v>89</v>
      </c>
      <c r="I5077" s="0" t="s">
        <v>16945</v>
      </c>
      <c r="J5077" s="0" t="s">
        <v>16946</v>
      </c>
      <c r="K5077" s="0" t="s">
        <v>16947</v>
      </c>
      <c r="L5077" s="0" t="str">
        <f aca="false">HYPERLINK("https://www.ncbi.nlm.nih.gov/nuccore/CP000058.1?report=graph&amp;tracks=[key:gene_model_track,Options:GeneOnly]&amp;mk=1587441:1587460|offset_0|444444,1587484:1587503|offset_43|444444,1587530:1587549|offset_89|00cc00,1587553:1587572|offset_112|444444&amp;v=1587240:1587772&amp;c=444444", "offset 89")</f>
        <v>offset 89</v>
      </c>
    </row>
    <row r="5078" customFormat="false" ht="12.8" hidden="false" customHeight="false" outlineLevel="0" collapsed="false">
      <c r="A5078" s="0" t="s">
        <v>12</v>
      </c>
      <c r="B5078" s="0" t="n">
        <v>1587552</v>
      </c>
      <c r="C5078" s="0" t="n">
        <v>1587572</v>
      </c>
      <c r="D5078" s="0" t="s">
        <v>16938</v>
      </c>
      <c r="E5078" s="0" t="s">
        <v>75</v>
      </c>
      <c r="F5078" s="0" t="s">
        <v>15</v>
      </c>
      <c r="G5078" s="0" t="s">
        <v>36</v>
      </c>
      <c r="H5078" s="0" t="n">
        <v>112</v>
      </c>
      <c r="I5078" s="0" t="s">
        <v>16948</v>
      </c>
      <c r="J5078" s="0" t="s">
        <v>16949</v>
      </c>
      <c r="K5078" s="0" t="s">
        <v>16950</v>
      </c>
      <c r="L5078" s="0" t="str">
        <f aca="false">HYPERLINK("https://www.ncbi.nlm.nih.gov/nuccore/CP000058.1?report=graph&amp;tracks=[key:gene_model_track,Options:GeneOnly]&amp;mk=1587441:1587460|offset_0|444444,1587484:1587503|offset_43|444444,1587530:1587549|offset_89|444444,1587553:1587572|offset_112|00cc00&amp;v=1587240:1587772&amp;c=444444", "offset 112")</f>
        <v>offset 112</v>
      </c>
    </row>
    <row r="5079" customFormat="false" ht="12.8" hidden="false" customHeight="false" outlineLevel="0" collapsed="false">
      <c r="A5079" s="0" t="s">
        <v>12</v>
      </c>
      <c r="B5079" s="0" t="n">
        <v>1588249</v>
      </c>
      <c r="C5079" s="0" t="n">
        <v>1588269</v>
      </c>
      <c r="D5079" s="0" t="s">
        <v>16951</v>
      </c>
      <c r="E5079" s="0" t="s">
        <v>16952</v>
      </c>
      <c r="F5079" s="0" t="s">
        <v>15</v>
      </c>
      <c r="G5079" s="0" t="s">
        <v>36</v>
      </c>
      <c r="H5079" s="0" t="n">
        <v>15</v>
      </c>
      <c r="I5079" s="0" t="s">
        <v>16953</v>
      </c>
      <c r="J5079" s="0" t="s">
        <v>16954</v>
      </c>
      <c r="K5079" s="0" t="s">
        <v>16955</v>
      </c>
      <c r="L5079" s="0" t="str">
        <f aca="false">HYPERLINK("https://www.ncbi.nlm.nih.gov/nuccore/CP000058.1?report=graph&amp;tracks=[key:gene_model_track,Options:GeneOnly]&amp;mk=1588250:1588269|offset_15|00cc00,1588274:1588293|offset_39|444444,1588295:1588314|offset_60|444444,1588332:1588351|offset_97|444444&amp;v=1588049:1588551&amp;c=444444", "offset 15")</f>
        <v>offset 15</v>
      </c>
    </row>
    <row r="5080" customFormat="false" ht="12.8" hidden="false" customHeight="false" outlineLevel="0" collapsed="false">
      <c r="A5080" s="0" t="s">
        <v>12</v>
      </c>
      <c r="B5080" s="0" t="n">
        <v>1588273</v>
      </c>
      <c r="C5080" s="0" t="n">
        <v>1588293</v>
      </c>
      <c r="D5080" s="0" t="s">
        <v>16951</v>
      </c>
      <c r="E5080" s="0" t="s">
        <v>16952</v>
      </c>
      <c r="F5080" s="0" t="s">
        <v>15</v>
      </c>
      <c r="G5080" s="0" t="s">
        <v>16</v>
      </c>
      <c r="H5080" s="0" t="n">
        <v>39</v>
      </c>
      <c r="I5080" s="0" t="s">
        <v>16956</v>
      </c>
      <c r="J5080" s="0" t="s">
        <v>16957</v>
      </c>
      <c r="K5080" s="0" t="s">
        <v>16958</v>
      </c>
      <c r="L5080" s="0" t="str">
        <f aca="false">HYPERLINK("https://www.ncbi.nlm.nih.gov/nuccore/CP000058.1?report=graph&amp;tracks=[key:gene_model_track,Options:GeneOnly]&amp;mk=1588250:1588269|offset_15|444444,1588274:1588293|offset_39|00cc00,1588295:1588314|offset_60|444444,1588332:1588351|offset_97|444444&amp;v=1588049:1588551&amp;c=444444", "offset 39")</f>
        <v>offset 39</v>
      </c>
    </row>
    <row r="5081" customFormat="false" ht="12.8" hidden="false" customHeight="false" outlineLevel="0" collapsed="false">
      <c r="A5081" s="0" t="s">
        <v>12</v>
      </c>
      <c r="B5081" s="0" t="n">
        <v>1588294</v>
      </c>
      <c r="C5081" s="0" t="n">
        <v>1588314</v>
      </c>
      <c r="D5081" s="0" t="s">
        <v>16951</v>
      </c>
      <c r="E5081" s="0" t="s">
        <v>16952</v>
      </c>
      <c r="F5081" s="0" t="s">
        <v>15</v>
      </c>
      <c r="G5081" s="0" t="s">
        <v>36</v>
      </c>
      <c r="H5081" s="0" t="n">
        <v>60</v>
      </c>
      <c r="I5081" s="0" t="s">
        <v>16959</v>
      </c>
      <c r="J5081" s="0" t="s">
        <v>16960</v>
      </c>
      <c r="K5081" s="0" t="s">
        <v>16961</v>
      </c>
      <c r="L5081" s="0" t="str">
        <f aca="false">HYPERLINK("https://www.ncbi.nlm.nih.gov/nuccore/CP000058.1?report=graph&amp;tracks=[key:gene_model_track,Options:GeneOnly]&amp;mk=1588250:1588269|offset_15|444444,1588274:1588293|offset_39|444444,1588295:1588314|offset_60|00cc00,1588332:1588351|offset_97|444444&amp;v=1588049:1588551&amp;c=444444", "offset 60")</f>
        <v>offset 60</v>
      </c>
    </row>
    <row r="5082" customFormat="false" ht="12.8" hidden="false" customHeight="false" outlineLevel="0" collapsed="false">
      <c r="A5082" s="0" t="s">
        <v>12</v>
      </c>
      <c r="B5082" s="0" t="n">
        <v>1588331</v>
      </c>
      <c r="C5082" s="0" t="n">
        <v>1588351</v>
      </c>
      <c r="D5082" s="0" t="s">
        <v>16951</v>
      </c>
      <c r="E5082" s="0" t="s">
        <v>16952</v>
      </c>
      <c r="F5082" s="0" t="s">
        <v>15</v>
      </c>
      <c r="G5082" s="0" t="s">
        <v>20</v>
      </c>
      <c r="H5082" s="0" t="n">
        <v>97</v>
      </c>
      <c r="I5082" s="0" t="s">
        <v>16962</v>
      </c>
      <c r="J5082" s="0" t="s">
        <v>16963</v>
      </c>
      <c r="K5082" s="0" t="s">
        <v>16964</v>
      </c>
      <c r="L5082" s="0" t="str">
        <f aca="false">HYPERLINK("https://www.ncbi.nlm.nih.gov/nuccore/CP000058.1?report=graph&amp;tracks=[key:gene_model_track,Options:GeneOnly]&amp;mk=1588250:1588269|offset_15|444444,1588274:1588293|offset_39|444444,1588295:1588314|offset_60|444444,1588332:1588351|offset_97|00cc00&amp;v=1588049:1588551&amp;c=444444", "offset 97")</f>
        <v>offset 97</v>
      </c>
    </row>
    <row r="5083" customFormat="false" ht="12.8" hidden="false" customHeight="false" outlineLevel="0" collapsed="false">
      <c r="A5083" s="0" t="s">
        <v>12</v>
      </c>
      <c r="B5083" s="0" t="n">
        <v>1590071</v>
      </c>
      <c r="C5083" s="0" t="n">
        <v>1590091</v>
      </c>
      <c r="D5083" s="0" t="s">
        <v>16965</v>
      </c>
      <c r="E5083" s="0" t="s">
        <v>75</v>
      </c>
      <c r="F5083" s="0" t="s">
        <v>15</v>
      </c>
      <c r="G5083" s="0" t="s">
        <v>20</v>
      </c>
      <c r="H5083" s="0" t="n">
        <v>8</v>
      </c>
      <c r="I5083" s="0" t="s">
        <v>16966</v>
      </c>
      <c r="J5083" s="0" t="s">
        <v>16967</v>
      </c>
      <c r="K5083" s="0" t="s">
        <v>16968</v>
      </c>
      <c r="L5083" s="0" t="str">
        <f aca="false">HYPERLINK("https://www.ncbi.nlm.nih.gov/nuccore/CP000058.1?report=graph&amp;tracks=[key:gene_model_track,Options:GeneOnly]&amp;mk=1590072:1590091|offset_8|00cc00,1590092:1590111|offset_28|444444,1590117:1590136|offset_53|444444,1590141:1590160|offset_77|444444&amp;v=1589871:1590360&amp;c=444444", "offset 8")</f>
        <v>offset 8</v>
      </c>
    </row>
    <row r="5084" customFormat="false" ht="12.8" hidden="false" customHeight="false" outlineLevel="0" collapsed="false">
      <c r="A5084" s="0" t="s">
        <v>12</v>
      </c>
      <c r="B5084" s="0" t="n">
        <v>1590091</v>
      </c>
      <c r="C5084" s="0" t="n">
        <v>1590111</v>
      </c>
      <c r="D5084" s="0" t="s">
        <v>16965</v>
      </c>
      <c r="E5084" s="0" t="s">
        <v>75</v>
      </c>
      <c r="F5084" s="0" t="s">
        <v>15</v>
      </c>
      <c r="G5084" s="0" t="s">
        <v>36</v>
      </c>
      <c r="H5084" s="0" t="n">
        <v>28</v>
      </c>
      <c r="I5084" s="0" t="s">
        <v>16969</v>
      </c>
      <c r="J5084" s="0" t="s">
        <v>16970</v>
      </c>
      <c r="K5084" s="0" t="s">
        <v>16971</v>
      </c>
      <c r="L5084" s="0" t="str">
        <f aca="false">HYPERLINK("https://www.ncbi.nlm.nih.gov/nuccore/CP000058.1?report=graph&amp;tracks=[key:gene_model_track,Options:GeneOnly]&amp;mk=1590072:1590091|offset_8|444444,1590092:1590111|offset_28|00cc00,1590117:1590136|offset_53|444444,1590141:1590160|offset_77|444444&amp;v=1589871:1590360&amp;c=444444", "offset 28")</f>
        <v>offset 28</v>
      </c>
    </row>
    <row r="5085" customFormat="false" ht="12.8" hidden="false" customHeight="false" outlineLevel="0" collapsed="false">
      <c r="A5085" s="0" t="s">
        <v>12</v>
      </c>
      <c r="B5085" s="0" t="n">
        <v>1590116</v>
      </c>
      <c r="C5085" s="0" t="n">
        <v>1590136</v>
      </c>
      <c r="D5085" s="0" t="s">
        <v>16965</v>
      </c>
      <c r="E5085" s="0" t="s">
        <v>75</v>
      </c>
      <c r="F5085" s="0" t="s">
        <v>15</v>
      </c>
      <c r="G5085" s="0" t="s">
        <v>16</v>
      </c>
      <c r="H5085" s="0" t="n">
        <v>53</v>
      </c>
      <c r="I5085" s="0" t="s">
        <v>16972</v>
      </c>
      <c r="J5085" s="0" t="s">
        <v>16973</v>
      </c>
      <c r="K5085" s="0" t="s">
        <v>16974</v>
      </c>
      <c r="L5085" s="0" t="str">
        <f aca="false">HYPERLINK("https://www.ncbi.nlm.nih.gov/nuccore/CP000058.1?report=graph&amp;tracks=[key:gene_model_track,Options:GeneOnly]&amp;mk=1590072:1590091|offset_8|444444,1590092:1590111|offset_28|444444,1590117:1590136|offset_53|00cc00,1590141:1590160|offset_77|444444&amp;v=1589871:1590360&amp;c=444444", "offset 53")</f>
        <v>offset 53</v>
      </c>
    </row>
    <row r="5086" customFormat="false" ht="12.8" hidden="false" customHeight="false" outlineLevel="0" collapsed="false">
      <c r="A5086" s="0" t="s">
        <v>12</v>
      </c>
      <c r="B5086" s="0" t="n">
        <v>1590140</v>
      </c>
      <c r="C5086" s="0" t="n">
        <v>1590160</v>
      </c>
      <c r="D5086" s="0" t="s">
        <v>16965</v>
      </c>
      <c r="E5086" s="0" t="s">
        <v>75</v>
      </c>
      <c r="F5086" s="0" t="s">
        <v>15</v>
      </c>
      <c r="G5086" s="0" t="s">
        <v>32</v>
      </c>
      <c r="H5086" s="0" t="n">
        <v>77</v>
      </c>
      <c r="I5086" s="0" t="s">
        <v>16975</v>
      </c>
      <c r="J5086" s="0" t="s">
        <v>16976</v>
      </c>
      <c r="K5086" s="0" t="s">
        <v>16977</v>
      </c>
      <c r="L5086" s="0" t="str">
        <f aca="false">HYPERLINK("https://www.ncbi.nlm.nih.gov/nuccore/CP000058.1?report=graph&amp;tracks=[key:gene_model_track,Options:GeneOnly]&amp;mk=1590072:1590091|offset_8|444444,1590092:1590111|offset_28|444444,1590117:1590136|offset_53|444444,1590141:1590160|offset_77|00cc00&amp;v=1589871:1590360&amp;c=444444", "offset 77")</f>
        <v>offset 77</v>
      </c>
    </row>
    <row r="5087" customFormat="false" ht="12.8" hidden="false" customHeight="false" outlineLevel="0" collapsed="false">
      <c r="A5087" s="0" t="s">
        <v>12</v>
      </c>
      <c r="B5087" s="0" t="n">
        <v>1593284</v>
      </c>
      <c r="C5087" s="0" t="n">
        <v>1593304</v>
      </c>
      <c r="D5087" s="0" t="s">
        <v>16978</v>
      </c>
      <c r="E5087" s="0" t="s">
        <v>75</v>
      </c>
      <c r="F5087" s="0" t="s">
        <v>90</v>
      </c>
      <c r="G5087" s="0" t="s">
        <v>36</v>
      </c>
      <c r="H5087" s="0" t="n">
        <v>12</v>
      </c>
      <c r="I5087" s="0" t="s">
        <v>16979</v>
      </c>
      <c r="J5087" s="0" t="s">
        <v>16980</v>
      </c>
      <c r="K5087" s="0" t="s">
        <v>16981</v>
      </c>
      <c r="L5087" s="0" t="str">
        <f aca="false">HYPERLINK("https://www.ncbi.nlm.nih.gov/nuccore/CP000058.1?report=graph&amp;tracks=[key:gene_model_track,Options:GeneOnly]&amp;mk=1593285:1593304|offset_12|00cc00,1593251:1593270|offset_46|444444,1593223:1593242|offset_74|444444,1593192:1593211|offset_105|444444&amp;v=1593084:1593411&amp;c=444444", "offset 12")</f>
        <v>offset 12</v>
      </c>
    </row>
    <row r="5088" customFormat="false" ht="12.8" hidden="false" customHeight="false" outlineLevel="0" collapsed="false">
      <c r="A5088" s="0" t="s">
        <v>12</v>
      </c>
      <c r="B5088" s="0" t="n">
        <v>1593250</v>
      </c>
      <c r="C5088" s="0" t="n">
        <v>1593270</v>
      </c>
      <c r="D5088" s="0" t="s">
        <v>16978</v>
      </c>
      <c r="E5088" s="0" t="s">
        <v>75</v>
      </c>
      <c r="F5088" s="0" t="s">
        <v>90</v>
      </c>
      <c r="G5088" s="0" t="s">
        <v>16</v>
      </c>
      <c r="H5088" s="0" t="n">
        <v>46</v>
      </c>
      <c r="I5088" s="0" t="s">
        <v>16982</v>
      </c>
      <c r="J5088" s="0" t="s">
        <v>16983</v>
      </c>
      <c r="K5088" s="0" t="s">
        <v>16984</v>
      </c>
      <c r="L5088" s="0" t="str">
        <f aca="false">HYPERLINK("https://www.ncbi.nlm.nih.gov/nuccore/CP000058.1?report=graph&amp;tracks=[key:gene_model_track,Options:GeneOnly]&amp;mk=1593285:1593304|offset_12|444444,1593251:1593270|offset_46|00cc00,1593223:1593242|offset_74|444444,1593192:1593211|offset_105|444444&amp;v=1593084:1593411&amp;c=444444", "offset 46")</f>
        <v>offset 46</v>
      </c>
    </row>
    <row r="5089" customFormat="false" ht="12.8" hidden="false" customHeight="false" outlineLevel="0" collapsed="false">
      <c r="A5089" s="0" t="s">
        <v>12</v>
      </c>
      <c r="B5089" s="0" t="n">
        <v>1593222</v>
      </c>
      <c r="C5089" s="0" t="n">
        <v>1593242</v>
      </c>
      <c r="D5089" s="0" t="s">
        <v>16978</v>
      </c>
      <c r="E5089" s="0" t="s">
        <v>75</v>
      </c>
      <c r="F5089" s="0" t="s">
        <v>90</v>
      </c>
      <c r="G5089" s="0" t="s">
        <v>32</v>
      </c>
      <c r="H5089" s="0" t="n">
        <v>74</v>
      </c>
      <c r="I5089" s="0" t="s">
        <v>16985</v>
      </c>
      <c r="J5089" s="0" t="s">
        <v>16986</v>
      </c>
      <c r="K5089" s="0" t="s">
        <v>16987</v>
      </c>
      <c r="L5089" s="0" t="str">
        <f aca="false">HYPERLINK("https://www.ncbi.nlm.nih.gov/nuccore/CP000058.1?report=graph&amp;tracks=[key:gene_model_track,Options:GeneOnly]&amp;mk=1593285:1593304|offset_12|444444,1593251:1593270|offset_46|444444,1593223:1593242|offset_74|00cc00,1593192:1593211|offset_105|444444&amp;v=1593084:1593411&amp;c=444444", "offset 74")</f>
        <v>offset 74</v>
      </c>
    </row>
    <row r="5090" customFormat="false" ht="12.8" hidden="false" customHeight="false" outlineLevel="0" collapsed="false">
      <c r="A5090" s="0" t="s">
        <v>12</v>
      </c>
      <c r="B5090" s="0" t="n">
        <v>1593191</v>
      </c>
      <c r="C5090" s="0" t="n">
        <v>1593211</v>
      </c>
      <c r="D5090" s="0" t="s">
        <v>16978</v>
      </c>
      <c r="E5090" s="0" t="s">
        <v>75</v>
      </c>
      <c r="F5090" s="0" t="s">
        <v>90</v>
      </c>
      <c r="G5090" s="0" t="s">
        <v>16</v>
      </c>
      <c r="H5090" s="0" t="n">
        <v>105</v>
      </c>
      <c r="I5090" s="0" t="s">
        <v>16988</v>
      </c>
      <c r="J5090" s="0" t="s">
        <v>16989</v>
      </c>
      <c r="K5090" s="0" t="s">
        <v>16990</v>
      </c>
      <c r="L5090" s="0" t="str">
        <f aca="false">HYPERLINK("https://www.ncbi.nlm.nih.gov/nuccore/CP000058.1?report=graph&amp;tracks=[key:gene_model_track,Options:GeneOnly]&amp;mk=1593285:1593304|offset_12|444444,1593251:1593270|offset_46|444444,1593223:1593242|offset_74|444444,1593192:1593211|offset_105|00cc00&amp;v=1593084:1593411&amp;c=444444", "offset 105")</f>
        <v>offset 105</v>
      </c>
    </row>
    <row r="5091" customFormat="false" ht="12.8" hidden="false" customHeight="false" outlineLevel="0" collapsed="false">
      <c r="A5091" s="0" t="s">
        <v>12</v>
      </c>
      <c r="B5091" s="0" t="n">
        <v>1595457</v>
      </c>
      <c r="C5091" s="0" t="n">
        <v>1595477</v>
      </c>
      <c r="D5091" s="0" t="s">
        <v>16991</v>
      </c>
      <c r="E5091" s="0" t="s">
        <v>75</v>
      </c>
      <c r="F5091" s="0" t="s">
        <v>90</v>
      </c>
      <c r="G5091" s="0" t="s">
        <v>32</v>
      </c>
      <c r="H5091" s="0" t="n">
        <v>14</v>
      </c>
      <c r="I5091" s="0" t="s">
        <v>16992</v>
      </c>
      <c r="J5091" s="0" t="s">
        <v>16993</v>
      </c>
      <c r="K5091" s="0" t="s">
        <v>16994</v>
      </c>
      <c r="L5091" s="0" t="str">
        <f aca="false">HYPERLINK("https://www.ncbi.nlm.nih.gov/nuccore/CP000058.1?report=graph&amp;tracks=[key:gene_model_track,Options:GeneOnly]&amp;mk=1595458:1595477|offset_14|00cc00,1595438:1595457|offset_34|444444,1595410:1595429|offset_62|444444,1595377:1595396|offset_95|444444&amp;v=1595257:1595596&amp;c=444444", "offset 14")</f>
        <v>offset 14</v>
      </c>
    </row>
    <row r="5092" customFormat="false" ht="12.8" hidden="false" customHeight="false" outlineLevel="0" collapsed="false">
      <c r="A5092" s="0" t="s">
        <v>12</v>
      </c>
      <c r="B5092" s="0" t="n">
        <v>1595437</v>
      </c>
      <c r="C5092" s="0" t="n">
        <v>1595457</v>
      </c>
      <c r="D5092" s="0" t="s">
        <v>16991</v>
      </c>
      <c r="E5092" s="0" t="s">
        <v>75</v>
      </c>
      <c r="F5092" s="0" t="s">
        <v>90</v>
      </c>
      <c r="G5092" s="0" t="s">
        <v>36</v>
      </c>
      <c r="H5092" s="0" t="n">
        <v>34</v>
      </c>
      <c r="I5092" s="0" t="s">
        <v>16995</v>
      </c>
      <c r="J5092" s="0" t="s">
        <v>16996</v>
      </c>
      <c r="K5092" s="0" t="s">
        <v>16997</v>
      </c>
      <c r="L5092" s="0" t="str">
        <f aca="false">HYPERLINK("https://www.ncbi.nlm.nih.gov/nuccore/CP000058.1?report=graph&amp;tracks=[key:gene_model_track,Options:GeneOnly]&amp;mk=1595458:1595477|offset_14|444444,1595438:1595457|offset_34|00cc00,1595410:1595429|offset_62|444444,1595377:1595396|offset_95|444444&amp;v=1595257:1595596&amp;c=444444", "offset 34")</f>
        <v>offset 34</v>
      </c>
    </row>
    <row r="5093" customFormat="false" ht="12.8" hidden="false" customHeight="false" outlineLevel="0" collapsed="false">
      <c r="A5093" s="0" t="s">
        <v>12</v>
      </c>
      <c r="B5093" s="0" t="n">
        <v>1595409</v>
      </c>
      <c r="C5093" s="0" t="n">
        <v>1595429</v>
      </c>
      <c r="D5093" s="0" t="s">
        <v>16991</v>
      </c>
      <c r="E5093" s="0" t="s">
        <v>75</v>
      </c>
      <c r="F5093" s="0" t="s">
        <v>90</v>
      </c>
      <c r="G5093" s="0" t="s">
        <v>32</v>
      </c>
      <c r="H5093" s="0" t="n">
        <v>62</v>
      </c>
      <c r="I5093" s="0" t="s">
        <v>16998</v>
      </c>
      <c r="J5093" s="0" t="s">
        <v>16999</v>
      </c>
      <c r="K5093" s="0" t="s">
        <v>17000</v>
      </c>
      <c r="L5093" s="0" t="str">
        <f aca="false">HYPERLINK("https://www.ncbi.nlm.nih.gov/nuccore/CP000058.1?report=graph&amp;tracks=[key:gene_model_track,Options:GeneOnly]&amp;mk=1595458:1595477|offset_14|444444,1595438:1595457|offset_34|444444,1595410:1595429|offset_62|00cc00,1595377:1595396|offset_95|444444&amp;v=1595257:1595596&amp;c=444444", "offset 62")</f>
        <v>offset 62</v>
      </c>
    </row>
    <row r="5094" customFormat="false" ht="12.8" hidden="false" customHeight="false" outlineLevel="0" collapsed="false">
      <c r="A5094" s="0" t="s">
        <v>12</v>
      </c>
      <c r="B5094" s="0" t="n">
        <v>1595376</v>
      </c>
      <c r="C5094" s="0" t="n">
        <v>1595396</v>
      </c>
      <c r="D5094" s="0" t="s">
        <v>16991</v>
      </c>
      <c r="E5094" s="0" t="s">
        <v>75</v>
      </c>
      <c r="F5094" s="0" t="s">
        <v>90</v>
      </c>
      <c r="G5094" s="0" t="s">
        <v>32</v>
      </c>
      <c r="H5094" s="0" t="n">
        <v>95</v>
      </c>
      <c r="I5094" s="0" t="s">
        <v>17001</v>
      </c>
      <c r="J5094" s="0" t="s">
        <v>17002</v>
      </c>
      <c r="K5094" s="0" t="s">
        <v>17003</v>
      </c>
      <c r="L5094" s="0" t="str">
        <f aca="false">HYPERLINK("https://www.ncbi.nlm.nih.gov/nuccore/CP000058.1?report=graph&amp;tracks=[key:gene_model_track,Options:GeneOnly]&amp;mk=1595458:1595477|offset_14|444444,1595438:1595457|offset_34|444444,1595410:1595429|offset_62|444444,1595377:1595396|offset_95|00cc00&amp;v=1595257:1595596&amp;c=444444", "offset 95")</f>
        <v>offset 95</v>
      </c>
    </row>
    <row r="5095" customFormat="false" ht="12.8" hidden="false" customHeight="false" outlineLevel="0" collapsed="false">
      <c r="A5095" s="0" t="s">
        <v>12</v>
      </c>
      <c r="B5095" s="0" t="n">
        <v>1595841</v>
      </c>
      <c r="C5095" s="0" t="n">
        <v>1595861</v>
      </c>
      <c r="D5095" s="0" t="s">
        <v>17004</v>
      </c>
      <c r="E5095" s="0" t="s">
        <v>75</v>
      </c>
      <c r="F5095" s="0" t="s">
        <v>15</v>
      </c>
      <c r="G5095" s="0" t="s">
        <v>36</v>
      </c>
      <c r="H5095" s="0" t="n">
        <v>0</v>
      </c>
      <c r="I5095" s="0" t="s">
        <v>17005</v>
      </c>
      <c r="J5095" s="0" t="s">
        <v>17006</v>
      </c>
      <c r="K5095" s="0" t="s">
        <v>17007</v>
      </c>
      <c r="L5095" s="0" t="str">
        <f aca="false">HYPERLINK("https://www.ncbi.nlm.nih.gov/nuccore/CP000058.1?report=graph&amp;tracks=[key:gene_model_track,Options:GeneOnly]&amp;mk=1595842:1595861|offset_0|00cc00,1595875:1595894|offset_33|444444,1595979:1595998|offset_137|444444,1596012:1596031|offset_170|444444&amp;v=1595641:1596231&amp;c=444444", "offset 0")</f>
        <v>offset 0</v>
      </c>
    </row>
    <row r="5096" customFormat="false" ht="12.8" hidden="false" customHeight="false" outlineLevel="0" collapsed="false">
      <c r="A5096" s="0" t="s">
        <v>12</v>
      </c>
      <c r="B5096" s="0" t="n">
        <v>1595874</v>
      </c>
      <c r="C5096" s="0" t="n">
        <v>1595894</v>
      </c>
      <c r="D5096" s="0" t="s">
        <v>17004</v>
      </c>
      <c r="E5096" s="0" t="s">
        <v>75</v>
      </c>
      <c r="F5096" s="0" t="s">
        <v>15</v>
      </c>
      <c r="G5096" s="0" t="s">
        <v>36</v>
      </c>
      <c r="H5096" s="0" t="n">
        <v>33</v>
      </c>
      <c r="I5096" s="0" t="s">
        <v>17008</v>
      </c>
      <c r="J5096" s="0" t="s">
        <v>17009</v>
      </c>
      <c r="K5096" s="0" t="s">
        <v>17010</v>
      </c>
      <c r="L5096" s="0" t="str">
        <f aca="false">HYPERLINK("https://www.ncbi.nlm.nih.gov/nuccore/CP000058.1?report=graph&amp;tracks=[key:gene_model_track,Options:GeneOnly]&amp;mk=1595842:1595861|offset_0|444444,1595875:1595894|offset_33|00cc00,1595979:1595998|offset_137|444444,1596012:1596031|offset_170|444444&amp;v=1595641:1596231&amp;c=444444", "offset 33")</f>
        <v>offset 33</v>
      </c>
    </row>
    <row r="5097" customFormat="false" ht="12.8" hidden="false" customHeight="false" outlineLevel="0" collapsed="false">
      <c r="A5097" s="0" t="s">
        <v>12</v>
      </c>
      <c r="B5097" s="0" t="n">
        <v>1595978</v>
      </c>
      <c r="C5097" s="0" t="n">
        <v>1595998</v>
      </c>
      <c r="D5097" s="0" t="s">
        <v>17004</v>
      </c>
      <c r="E5097" s="0" t="s">
        <v>75</v>
      </c>
      <c r="F5097" s="0" t="s">
        <v>15</v>
      </c>
      <c r="G5097" s="0" t="s">
        <v>20</v>
      </c>
      <c r="H5097" s="0" t="n">
        <v>137</v>
      </c>
      <c r="I5097" s="0" t="s">
        <v>17011</v>
      </c>
      <c r="J5097" s="0" t="s">
        <v>17012</v>
      </c>
      <c r="K5097" s="0" t="s">
        <v>17013</v>
      </c>
      <c r="L5097" s="0" t="str">
        <f aca="false">HYPERLINK("https://www.ncbi.nlm.nih.gov/nuccore/CP000058.1?report=graph&amp;tracks=[key:gene_model_track,Options:GeneOnly]&amp;mk=1595842:1595861|offset_0|444444,1595875:1595894|offset_33|444444,1595979:1595998|offset_137|00cc00,1596012:1596031|offset_170|444444&amp;v=1595641:1596231&amp;c=444444", "offset 137")</f>
        <v>offset 137</v>
      </c>
    </row>
    <row r="5098" customFormat="false" ht="12.8" hidden="false" customHeight="false" outlineLevel="0" collapsed="false">
      <c r="A5098" s="0" t="s">
        <v>12</v>
      </c>
      <c r="B5098" s="0" t="n">
        <v>1596011</v>
      </c>
      <c r="C5098" s="0" t="n">
        <v>1596031</v>
      </c>
      <c r="D5098" s="0" t="s">
        <v>17004</v>
      </c>
      <c r="E5098" s="0" t="s">
        <v>75</v>
      </c>
      <c r="F5098" s="0" t="s">
        <v>15</v>
      </c>
      <c r="G5098" s="0" t="s">
        <v>36</v>
      </c>
      <c r="H5098" s="0" t="n">
        <v>170</v>
      </c>
      <c r="I5098" s="0" t="s">
        <v>17014</v>
      </c>
      <c r="J5098" s="0" t="s">
        <v>17015</v>
      </c>
      <c r="K5098" s="0" t="s">
        <v>17016</v>
      </c>
      <c r="L5098" s="0" t="str">
        <f aca="false">HYPERLINK("https://www.ncbi.nlm.nih.gov/nuccore/CP000058.1?report=graph&amp;tracks=[key:gene_model_track,Options:GeneOnly]&amp;mk=1595842:1595861|offset_0|444444,1595875:1595894|offset_33|444444,1595979:1595998|offset_137|444444,1596012:1596031|offset_170|00cc00&amp;v=1595641:1596231&amp;c=444444", "offset 170")</f>
        <v>offset 170</v>
      </c>
    </row>
    <row r="5099" customFormat="false" ht="12.8" hidden="false" customHeight="false" outlineLevel="0" collapsed="false">
      <c r="A5099" s="0" t="s">
        <v>12</v>
      </c>
      <c r="B5099" s="0" t="n">
        <v>1596751</v>
      </c>
      <c r="C5099" s="0" t="n">
        <v>1596771</v>
      </c>
      <c r="D5099" s="0" t="s">
        <v>17017</v>
      </c>
      <c r="E5099" s="0" t="s">
        <v>75</v>
      </c>
      <c r="F5099" s="0" t="s">
        <v>90</v>
      </c>
      <c r="G5099" s="0" t="s">
        <v>20</v>
      </c>
      <c r="H5099" s="0" t="n">
        <v>41</v>
      </c>
      <c r="I5099" s="0" t="s">
        <v>17018</v>
      </c>
      <c r="J5099" s="0" t="s">
        <v>17019</v>
      </c>
      <c r="K5099" s="0" t="s">
        <v>17020</v>
      </c>
      <c r="L5099" s="0" t="str">
        <f aca="false">HYPERLINK("https://www.ncbi.nlm.nih.gov/nuccore/CP000058.1?report=graph&amp;tracks=[key:gene_model_track,Options:GeneOnly]&amp;mk=1596752:1596771|offset_41|00cc00,1596726:1596745|offset_67|444444,1596706:1596725|offset_87|444444,1596665:1596684|offset_128|444444&amp;v=1596551:1596884&amp;c=444444", "offset 41")</f>
        <v>offset 41</v>
      </c>
    </row>
    <row r="5100" customFormat="false" ht="12.8" hidden="false" customHeight="false" outlineLevel="0" collapsed="false">
      <c r="A5100" s="0" t="s">
        <v>12</v>
      </c>
      <c r="B5100" s="0" t="n">
        <v>1596725</v>
      </c>
      <c r="C5100" s="0" t="n">
        <v>1596745</v>
      </c>
      <c r="D5100" s="0" t="s">
        <v>17017</v>
      </c>
      <c r="E5100" s="0" t="s">
        <v>75</v>
      </c>
      <c r="F5100" s="0" t="s">
        <v>90</v>
      </c>
      <c r="G5100" s="0" t="s">
        <v>16</v>
      </c>
      <c r="H5100" s="0" t="n">
        <v>67</v>
      </c>
      <c r="I5100" s="0" t="s">
        <v>17021</v>
      </c>
      <c r="J5100" s="0" t="s">
        <v>17022</v>
      </c>
      <c r="K5100" s="0" t="s">
        <v>17023</v>
      </c>
      <c r="L5100" s="0" t="str">
        <f aca="false">HYPERLINK("https://www.ncbi.nlm.nih.gov/nuccore/CP000058.1?report=graph&amp;tracks=[key:gene_model_track,Options:GeneOnly]&amp;mk=1596752:1596771|offset_41|444444,1596726:1596745|offset_67|00cc00,1596706:1596725|offset_87|444444,1596665:1596684|offset_128|444444&amp;v=1596551:1596884&amp;c=444444", "offset 67")</f>
        <v>offset 67</v>
      </c>
    </row>
    <row r="5101" customFormat="false" ht="12.8" hidden="false" customHeight="false" outlineLevel="0" collapsed="false">
      <c r="A5101" s="0" t="s">
        <v>12</v>
      </c>
      <c r="B5101" s="0" t="n">
        <v>1596705</v>
      </c>
      <c r="C5101" s="0" t="n">
        <v>1596725</v>
      </c>
      <c r="D5101" s="0" t="s">
        <v>17017</v>
      </c>
      <c r="E5101" s="0" t="s">
        <v>75</v>
      </c>
      <c r="F5101" s="0" t="s">
        <v>90</v>
      </c>
      <c r="G5101" s="0" t="s">
        <v>16</v>
      </c>
      <c r="H5101" s="0" t="n">
        <v>87</v>
      </c>
      <c r="I5101" s="0" t="s">
        <v>17024</v>
      </c>
      <c r="J5101" s="0" t="s">
        <v>17025</v>
      </c>
      <c r="K5101" s="0" t="s">
        <v>17026</v>
      </c>
      <c r="L5101" s="0" t="str">
        <f aca="false">HYPERLINK("https://www.ncbi.nlm.nih.gov/nuccore/CP000058.1?report=graph&amp;tracks=[key:gene_model_track,Options:GeneOnly]&amp;mk=1596752:1596771|offset_41|444444,1596726:1596745|offset_67|444444,1596706:1596725|offset_87|00cc00,1596665:1596684|offset_128|444444&amp;v=1596551:1596884&amp;c=444444", "offset 87")</f>
        <v>offset 87</v>
      </c>
    </row>
    <row r="5102" customFormat="false" ht="12.8" hidden="false" customHeight="false" outlineLevel="0" collapsed="false">
      <c r="A5102" s="0" t="s">
        <v>12</v>
      </c>
      <c r="B5102" s="0" t="n">
        <v>1596664</v>
      </c>
      <c r="C5102" s="0" t="n">
        <v>1596684</v>
      </c>
      <c r="D5102" s="0" t="s">
        <v>17017</v>
      </c>
      <c r="E5102" s="0" t="s">
        <v>75</v>
      </c>
      <c r="F5102" s="0" t="s">
        <v>90</v>
      </c>
      <c r="G5102" s="0" t="s">
        <v>20</v>
      </c>
      <c r="H5102" s="0" t="n">
        <v>128</v>
      </c>
      <c r="I5102" s="0" t="s">
        <v>17027</v>
      </c>
      <c r="J5102" s="0" t="s">
        <v>17028</v>
      </c>
      <c r="K5102" s="0" t="s">
        <v>17029</v>
      </c>
      <c r="L5102" s="0" t="str">
        <f aca="false">HYPERLINK("https://www.ncbi.nlm.nih.gov/nuccore/CP000058.1?report=graph&amp;tracks=[key:gene_model_track,Options:GeneOnly]&amp;mk=1596752:1596771|offset_41|444444,1596726:1596745|offset_67|444444,1596706:1596725|offset_87|444444,1596665:1596684|offset_128|00cc00&amp;v=1596551:1596884&amp;c=444444", "offset 128")</f>
        <v>offset 128</v>
      </c>
    </row>
    <row r="5103" customFormat="false" ht="12.8" hidden="false" customHeight="false" outlineLevel="0" collapsed="false">
      <c r="A5103" s="0" t="s">
        <v>12</v>
      </c>
      <c r="B5103" s="0" t="n">
        <v>1597483</v>
      </c>
      <c r="C5103" s="0" t="n">
        <v>1597503</v>
      </c>
      <c r="D5103" s="0" t="s">
        <v>17030</v>
      </c>
      <c r="E5103" s="0" t="s">
        <v>17031</v>
      </c>
      <c r="F5103" s="0" t="s">
        <v>90</v>
      </c>
      <c r="G5103" s="0" t="s">
        <v>16</v>
      </c>
      <c r="H5103" s="0" t="n">
        <v>54</v>
      </c>
      <c r="I5103" s="0" t="s">
        <v>17032</v>
      </c>
      <c r="J5103" s="0" t="s">
        <v>17033</v>
      </c>
      <c r="K5103" s="0" t="s">
        <v>17034</v>
      </c>
      <c r="L5103" s="0" t="str">
        <f aca="false">HYPERLINK("https://www.ncbi.nlm.nih.gov/nuccore/CP000058.1?report=graph&amp;tracks=[key:gene_model_track,Options:GeneOnly]&amp;mk=1597484:1597503|offset_54|00cc00,1597462:1597481|offset_76|444444,1597432:1597451|offset_106|444444,1597411:1597430|offset_127|444444&amp;v=1597283:1597630&amp;c=444444", "offset 54")</f>
        <v>offset 54</v>
      </c>
    </row>
    <row r="5104" customFormat="false" ht="12.8" hidden="false" customHeight="false" outlineLevel="0" collapsed="false">
      <c r="A5104" s="0" t="s">
        <v>12</v>
      </c>
      <c r="B5104" s="0" t="n">
        <v>1597461</v>
      </c>
      <c r="C5104" s="0" t="n">
        <v>1597481</v>
      </c>
      <c r="D5104" s="0" t="s">
        <v>17030</v>
      </c>
      <c r="E5104" s="0" t="s">
        <v>17031</v>
      </c>
      <c r="F5104" s="0" t="s">
        <v>90</v>
      </c>
      <c r="G5104" s="0" t="s">
        <v>20</v>
      </c>
      <c r="H5104" s="0" t="n">
        <v>76</v>
      </c>
      <c r="I5104" s="0" t="s">
        <v>17035</v>
      </c>
      <c r="J5104" s="0" t="s">
        <v>17036</v>
      </c>
      <c r="K5104" s="0" t="s">
        <v>17037</v>
      </c>
      <c r="L5104" s="0" t="str">
        <f aca="false">HYPERLINK("https://www.ncbi.nlm.nih.gov/nuccore/CP000058.1?report=graph&amp;tracks=[key:gene_model_track,Options:GeneOnly]&amp;mk=1597484:1597503|offset_54|444444,1597462:1597481|offset_76|00cc00,1597432:1597451|offset_106|444444,1597411:1597430|offset_127|444444&amp;v=1597283:1597630&amp;c=444444", "offset 76")</f>
        <v>offset 76</v>
      </c>
    </row>
    <row r="5105" customFormat="false" ht="12.8" hidden="false" customHeight="false" outlineLevel="0" collapsed="false">
      <c r="A5105" s="0" t="s">
        <v>12</v>
      </c>
      <c r="B5105" s="0" t="n">
        <v>1597431</v>
      </c>
      <c r="C5105" s="0" t="n">
        <v>1597451</v>
      </c>
      <c r="D5105" s="0" t="s">
        <v>17030</v>
      </c>
      <c r="E5105" s="0" t="s">
        <v>17031</v>
      </c>
      <c r="F5105" s="0" t="s">
        <v>90</v>
      </c>
      <c r="G5105" s="0" t="s">
        <v>16</v>
      </c>
      <c r="H5105" s="0" t="n">
        <v>106</v>
      </c>
      <c r="I5105" s="0" t="s">
        <v>17038</v>
      </c>
      <c r="J5105" s="0" t="s">
        <v>17039</v>
      </c>
      <c r="K5105" s="0" t="s">
        <v>17040</v>
      </c>
      <c r="L5105" s="0" t="str">
        <f aca="false">HYPERLINK("https://www.ncbi.nlm.nih.gov/nuccore/CP000058.1?report=graph&amp;tracks=[key:gene_model_track,Options:GeneOnly]&amp;mk=1597484:1597503|offset_54|444444,1597462:1597481|offset_76|444444,1597432:1597451|offset_106|00cc00,1597411:1597430|offset_127|444444&amp;v=1597283:1597630&amp;c=444444", "offset 106")</f>
        <v>offset 106</v>
      </c>
    </row>
    <row r="5106" customFormat="false" ht="12.8" hidden="false" customHeight="false" outlineLevel="0" collapsed="false">
      <c r="A5106" s="0" t="s">
        <v>12</v>
      </c>
      <c r="B5106" s="0" t="n">
        <v>1597410</v>
      </c>
      <c r="C5106" s="0" t="n">
        <v>1597430</v>
      </c>
      <c r="D5106" s="0" t="s">
        <v>17030</v>
      </c>
      <c r="E5106" s="0" t="s">
        <v>17031</v>
      </c>
      <c r="F5106" s="0" t="s">
        <v>90</v>
      </c>
      <c r="G5106" s="0" t="s">
        <v>32</v>
      </c>
      <c r="H5106" s="0" t="n">
        <v>127</v>
      </c>
      <c r="I5106" s="0" t="s">
        <v>17041</v>
      </c>
      <c r="J5106" s="0" t="s">
        <v>17042</v>
      </c>
      <c r="K5106" s="0" t="s">
        <v>17043</v>
      </c>
      <c r="L5106" s="0" t="str">
        <f aca="false">HYPERLINK("https://www.ncbi.nlm.nih.gov/nuccore/CP000058.1?report=graph&amp;tracks=[key:gene_model_track,Options:GeneOnly]&amp;mk=1597484:1597503|offset_54|444444,1597462:1597481|offset_76|444444,1597432:1597451|offset_106|444444,1597411:1597430|offset_127|00cc00&amp;v=1597283:1597630&amp;c=444444", "offset 127")</f>
        <v>offset 127</v>
      </c>
    </row>
    <row r="5107" customFormat="false" ht="12.8" hidden="false" customHeight="false" outlineLevel="0" collapsed="false">
      <c r="A5107" s="0" t="s">
        <v>12</v>
      </c>
      <c r="B5107" s="0" t="n">
        <v>1598368</v>
      </c>
      <c r="C5107" s="0" t="n">
        <v>1598388</v>
      </c>
      <c r="D5107" s="0" t="s">
        <v>17044</v>
      </c>
      <c r="E5107" s="0" t="s">
        <v>75</v>
      </c>
      <c r="F5107" s="0" t="s">
        <v>90</v>
      </c>
      <c r="G5107" s="0" t="s">
        <v>20</v>
      </c>
      <c r="H5107" s="0" t="n">
        <v>8</v>
      </c>
      <c r="I5107" s="0" t="s">
        <v>17045</v>
      </c>
      <c r="J5107" s="0" t="s">
        <v>17046</v>
      </c>
      <c r="K5107" s="0" t="s">
        <v>17047</v>
      </c>
      <c r="L5107" s="0" t="str">
        <f aca="false">HYPERLINK("https://www.ncbi.nlm.nih.gov/nuccore/CP000058.1?report=graph&amp;tracks=[key:gene_model_track,Options:GeneOnly]&amp;mk=1598369:1598388|offset_8|00cc00,1598349:1598368|offset_28|444444,1598315:1598334|offset_62|444444,1598280:1598299|offset_97|444444&amp;v=1598168:1598499&amp;c=444444", "offset 8")</f>
        <v>offset 8</v>
      </c>
    </row>
    <row r="5108" customFormat="false" ht="12.8" hidden="false" customHeight="false" outlineLevel="0" collapsed="false">
      <c r="A5108" s="0" t="s">
        <v>12</v>
      </c>
      <c r="B5108" s="0" t="n">
        <v>1598348</v>
      </c>
      <c r="C5108" s="0" t="n">
        <v>1598368</v>
      </c>
      <c r="D5108" s="0" t="s">
        <v>17044</v>
      </c>
      <c r="E5108" s="0" t="s">
        <v>75</v>
      </c>
      <c r="F5108" s="0" t="s">
        <v>90</v>
      </c>
      <c r="G5108" s="0" t="s">
        <v>36</v>
      </c>
      <c r="H5108" s="0" t="n">
        <v>28</v>
      </c>
      <c r="I5108" s="0" t="s">
        <v>17048</v>
      </c>
      <c r="J5108" s="0" t="s">
        <v>17049</v>
      </c>
      <c r="K5108" s="0" t="s">
        <v>17050</v>
      </c>
      <c r="L5108" s="0" t="str">
        <f aca="false">HYPERLINK("https://www.ncbi.nlm.nih.gov/nuccore/CP000058.1?report=graph&amp;tracks=[key:gene_model_track,Options:GeneOnly]&amp;mk=1598369:1598388|offset_8|444444,1598349:1598368|offset_28|00cc00,1598315:1598334|offset_62|444444,1598280:1598299|offset_97|444444&amp;v=1598168:1598499&amp;c=444444", "offset 28")</f>
        <v>offset 28</v>
      </c>
    </row>
    <row r="5109" customFormat="false" ht="12.8" hidden="false" customHeight="false" outlineLevel="0" collapsed="false">
      <c r="A5109" s="0" t="s">
        <v>12</v>
      </c>
      <c r="B5109" s="0" t="n">
        <v>1598314</v>
      </c>
      <c r="C5109" s="0" t="n">
        <v>1598334</v>
      </c>
      <c r="D5109" s="0" t="s">
        <v>17044</v>
      </c>
      <c r="E5109" s="0" t="s">
        <v>75</v>
      </c>
      <c r="F5109" s="0" t="s">
        <v>90</v>
      </c>
      <c r="G5109" s="0" t="s">
        <v>32</v>
      </c>
      <c r="H5109" s="0" t="n">
        <v>62</v>
      </c>
      <c r="I5109" s="0" t="s">
        <v>17051</v>
      </c>
      <c r="J5109" s="0" t="s">
        <v>17052</v>
      </c>
      <c r="K5109" s="0" t="s">
        <v>17053</v>
      </c>
      <c r="L5109" s="0" t="str">
        <f aca="false">HYPERLINK("https://www.ncbi.nlm.nih.gov/nuccore/CP000058.1?report=graph&amp;tracks=[key:gene_model_track,Options:GeneOnly]&amp;mk=1598369:1598388|offset_8|444444,1598349:1598368|offset_28|444444,1598315:1598334|offset_62|00cc00,1598280:1598299|offset_97|444444&amp;v=1598168:1598499&amp;c=444444", "offset 62")</f>
        <v>offset 62</v>
      </c>
    </row>
    <row r="5110" customFormat="false" ht="12.8" hidden="false" customHeight="false" outlineLevel="0" collapsed="false">
      <c r="A5110" s="0" t="s">
        <v>12</v>
      </c>
      <c r="B5110" s="0" t="n">
        <v>1598279</v>
      </c>
      <c r="C5110" s="0" t="n">
        <v>1598299</v>
      </c>
      <c r="D5110" s="0" t="s">
        <v>17044</v>
      </c>
      <c r="E5110" s="0" t="s">
        <v>75</v>
      </c>
      <c r="F5110" s="0" t="s">
        <v>90</v>
      </c>
      <c r="G5110" s="0" t="s">
        <v>16</v>
      </c>
      <c r="H5110" s="0" t="n">
        <v>97</v>
      </c>
      <c r="I5110" s="0" t="s">
        <v>17054</v>
      </c>
      <c r="J5110" s="0" t="s">
        <v>17055</v>
      </c>
      <c r="K5110" s="0" t="s">
        <v>17056</v>
      </c>
      <c r="L5110" s="0" t="str">
        <f aca="false">HYPERLINK("https://www.ncbi.nlm.nih.gov/nuccore/CP000058.1?report=graph&amp;tracks=[key:gene_model_track,Options:GeneOnly]&amp;mk=1598369:1598388|offset_8|444444,1598349:1598368|offset_28|444444,1598315:1598334|offset_62|444444,1598280:1598299|offset_97|00cc00&amp;v=1598168:1598499&amp;c=444444", "offset 97")</f>
        <v>offset 97</v>
      </c>
    </row>
    <row r="5111" customFormat="false" ht="12.8" hidden="false" customHeight="false" outlineLevel="0" collapsed="false">
      <c r="A5111" s="0" t="s">
        <v>12</v>
      </c>
      <c r="B5111" s="0" t="n">
        <v>1600584</v>
      </c>
      <c r="C5111" s="0" t="n">
        <v>1600604</v>
      </c>
      <c r="D5111" s="0" t="s">
        <v>17057</v>
      </c>
      <c r="E5111" s="0" t="s">
        <v>17058</v>
      </c>
      <c r="F5111" s="0" t="s">
        <v>90</v>
      </c>
      <c r="G5111" s="0" t="s">
        <v>36</v>
      </c>
      <c r="H5111" s="0" t="n">
        <v>0</v>
      </c>
      <c r="I5111" s="0" t="s">
        <v>17059</v>
      </c>
      <c r="J5111" s="0" t="s">
        <v>17060</v>
      </c>
      <c r="K5111" s="0" t="s">
        <v>17061</v>
      </c>
      <c r="L5111" s="0" t="str">
        <f aca="false">HYPERLINK("https://www.ncbi.nlm.nih.gov/nuccore/CP000058.1?report=graph&amp;tracks=[key:gene_model_track,Options:GeneOnly]&amp;mk=1600585:1600604|offset_0|00cc00,1600554:1600573|offset_31|444444,1600527:1600546|offset_58|444444,1600496:1600515|offset_89|444444&amp;v=1600384:1600715&amp;c=444444", "offset 0")</f>
        <v>offset 0</v>
      </c>
    </row>
    <row r="5112" customFormat="false" ht="12.8" hidden="false" customHeight="false" outlineLevel="0" collapsed="false">
      <c r="A5112" s="0" t="s">
        <v>12</v>
      </c>
      <c r="B5112" s="0" t="n">
        <v>1600553</v>
      </c>
      <c r="C5112" s="0" t="n">
        <v>1600573</v>
      </c>
      <c r="D5112" s="0" t="s">
        <v>17057</v>
      </c>
      <c r="E5112" s="0" t="s">
        <v>17058</v>
      </c>
      <c r="F5112" s="0" t="s">
        <v>90</v>
      </c>
      <c r="G5112" s="0" t="s">
        <v>32</v>
      </c>
      <c r="H5112" s="0" t="n">
        <v>31</v>
      </c>
      <c r="I5112" s="0" t="s">
        <v>17062</v>
      </c>
      <c r="J5112" s="0" t="s">
        <v>17063</v>
      </c>
      <c r="K5112" s="0" t="s">
        <v>17064</v>
      </c>
      <c r="L5112" s="0" t="str">
        <f aca="false">HYPERLINK("https://www.ncbi.nlm.nih.gov/nuccore/CP000058.1?report=graph&amp;tracks=[key:gene_model_track,Options:GeneOnly]&amp;mk=1600585:1600604|offset_0|444444,1600554:1600573|offset_31|00cc00,1600527:1600546|offset_58|444444,1600496:1600515|offset_89|444444&amp;v=1600384:1600715&amp;c=444444", "offset 31")</f>
        <v>offset 31</v>
      </c>
    </row>
    <row r="5113" customFormat="false" ht="12.8" hidden="false" customHeight="false" outlineLevel="0" collapsed="false">
      <c r="A5113" s="0" t="s">
        <v>12</v>
      </c>
      <c r="B5113" s="0" t="n">
        <v>1600526</v>
      </c>
      <c r="C5113" s="0" t="n">
        <v>1600546</v>
      </c>
      <c r="D5113" s="0" t="s">
        <v>17057</v>
      </c>
      <c r="E5113" s="0" t="s">
        <v>17058</v>
      </c>
      <c r="F5113" s="0" t="s">
        <v>90</v>
      </c>
      <c r="G5113" s="0" t="s">
        <v>32</v>
      </c>
      <c r="H5113" s="0" t="n">
        <v>58</v>
      </c>
      <c r="I5113" s="0" t="s">
        <v>17065</v>
      </c>
      <c r="J5113" s="0" t="s">
        <v>17066</v>
      </c>
      <c r="K5113" s="0" t="s">
        <v>17067</v>
      </c>
      <c r="L5113" s="0" t="str">
        <f aca="false">HYPERLINK("https://www.ncbi.nlm.nih.gov/nuccore/CP000058.1?report=graph&amp;tracks=[key:gene_model_track,Options:GeneOnly]&amp;mk=1600585:1600604|offset_0|444444,1600554:1600573|offset_31|444444,1600527:1600546|offset_58|00cc00,1600496:1600515|offset_89|444444&amp;v=1600384:1600715&amp;c=444444", "offset 58")</f>
        <v>offset 58</v>
      </c>
    </row>
    <row r="5114" customFormat="false" ht="12.8" hidden="false" customHeight="false" outlineLevel="0" collapsed="false">
      <c r="A5114" s="0" t="s">
        <v>12</v>
      </c>
      <c r="B5114" s="0" t="n">
        <v>1600495</v>
      </c>
      <c r="C5114" s="0" t="n">
        <v>1600515</v>
      </c>
      <c r="D5114" s="0" t="s">
        <v>17057</v>
      </c>
      <c r="E5114" s="0" t="s">
        <v>17058</v>
      </c>
      <c r="F5114" s="0" t="s">
        <v>90</v>
      </c>
      <c r="G5114" s="0" t="s">
        <v>32</v>
      </c>
      <c r="H5114" s="0" t="n">
        <v>89</v>
      </c>
      <c r="I5114" s="0" t="s">
        <v>17068</v>
      </c>
      <c r="J5114" s="0" t="s">
        <v>17069</v>
      </c>
      <c r="K5114" s="0" t="s">
        <v>17070</v>
      </c>
      <c r="L5114" s="0" t="str">
        <f aca="false">HYPERLINK("https://www.ncbi.nlm.nih.gov/nuccore/CP000058.1?report=graph&amp;tracks=[key:gene_model_track,Options:GeneOnly]&amp;mk=1600585:1600604|offset_0|444444,1600554:1600573|offset_31|444444,1600527:1600546|offset_58|444444,1600496:1600515|offset_89|00cc00&amp;v=1600384:1600715&amp;c=444444", "offset 89")</f>
        <v>offset 89</v>
      </c>
    </row>
    <row r="5115" customFormat="false" ht="12.8" hidden="false" customHeight="false" outlineLevel="0" collapsed="false">
      <c r="A5115" s="0" t="s">
        <v>12</v>
      </c>
      <c r="B5115" s="0" t="n">
        <v>1600789</v>
      </c>
      <c r="C5115" s="0" t="n">
        <v>1600809</v>
      </c>
      <c r="D5115" s="0" t="s">
        <v>17071</v>
      </c>
      <c r="E5115" s="0" t="s">
        <v>75</v>
      </c>
      <c r="F5115" s="0" t="s">
        <v>15</v>
      </c>
      <c r="G5115" s="0" t="s">
        <v>36</v>
      </c>
      <c r="H5115" s="0" t="n">
        <v>0</v>
      </c>
      <c r="I5115" s="0" t="s">
        <v>17072</v>
      </c>
      <c r="J5115" s="0" t="s">
        <v>17073</v>
      </c>
      <c r="K5115" s="0" t="s">
        <v>17074</v>
      </c>
      <c r="L5115" s="0" t="str">
        <f aca="false">HYPERLINK("https://www.ncbi.nlm.nih.gov/nuccore/CP000058.1?report=graph&amp;tracks=[key:gene_model_track,Options:GeneOnly]&amp;mk=1600790:1600809|offset_0|00cc00,1600834:1600853|offset_44|444444,1600864:1600883|offset_74|444444,1600890:1600909|offset_100|444444&amp;v=1600589:1601109&amp;c=444444", "offset 0")</f>
        <v>offset 0</v>
      </c>
    </row>
    <row r="5116" customFormat="false" ht="12.8" hidden="false" customHeight="false" outlineLevel="0" collapsed="false">
      <c r="A5116" s="0" t="s">
        <v>12</v>
      </c>
      <c r="B5116" s="0" t="n">
        <v>1600833</v>
      </c>
      <c r="C5116" s="0" t="n">
        <v>1600853</v>
      </c>
      <c r="D5116" s="0" t="s">
        <v>17071</v>
      </c>
      <c r="E5116" s="0" t="s">
        <v>75</v>
      </c>
      <c r="F5116" s="0" t="s">
        <v>15</v>
      </c>
      <c r="G5116" s="0" t="s">
        <v>32</v>
      </c>
      <c r="H5116" s="0" t="n">
        <v>44</v>
      </c>
      <c r="I5116" s="0" t="s">
        <v>17075</v>
      </c>
      <c r="J5116" s="0" t="s">
        <v>17076</v>
      </c>
      <c r="K5116" s="0" t="s">
        <v>17077</v>
      </c>
      <c r="L5116" s="0" t="str">
        <f aca="false">HYPERLINK("https://www.ncbi.nlm.nih.gov/nuccore/CP000058.1?report=graph&amp;tracks=[key:gene_model_track,Options:GeneOnly]&amp;mk=1600790:1600809|offset_0|444444,1600834:1600853|offset_44|00cc00,1600864:1600883|offset_74|444444,1600890:1600909|offset_100|444444&amp;v=1600589:1601109&amp;c=444444", "offset 44")</f>
        <v>offset 44</v>
      </c>
    </row>
    <row r="5117" customFormat="false" ht="12.8" hidden="false" customHeight="false" outlineLevel="0" collapsed="false">
      <c r="A5117" s="0" t="s">
        <v>12</v>
      </c>
      <c r="B5117" s="0" t="n">
        <v>1600863</v>
      </c>
      <c r="C5117" s="0" t="n">
        <v>1600883</v>
      </c>
      <c r="D5117" s="0" t="s">
        <v>17071</v>
      </c>
      <c r="E5117" s="0" t="s">
        <v>75</v>
      </c>
      <c r="F5117" s="0" t="s">
        <v>15</v>
      </c>
      <c r="G5117" s="0" t="s">
        <v>36</v>
      </c>
      <c r="H5117" s="0" t="n">
        <v>74</v>
      </c>
      <c r="I5117" s="0" t="s">
        <v>17078</v>
      </c>
      <c r="J5117" s="0" t="s">
        <v>17079</v>
      </c>
      <c r="K5117" s="0" t="s">
        <v>17080</v>
      </c>
      <c r="L5117" s="0" t="str">
        <f aca="false">HYPERLINK("https://www.ncbi.nlm.nih.gov/nuccore/CP000058.1?report=graph&amp;tracks=[key:gene_model_track,Options:GeneOnly]&amp;mk=1600790:1600809|offset_0|444444,1600834:1600853|offset_44|444444,1600864:1600883|offset_74|00cc00,1600890:1600909|offset_100|444444&amp;v=1600589:1601109&amp;c=444444", "offset 74")</f>
        <v>offset 74</v>
      </c>
    </row>
    <row r="5118" customFormat="false" ht="12.8" hidden="false" customHeight="false" outlineLevel="0" collapsed="false">
      <c r="A5118" s="0" t="s">
        <v>12</v>
      </c>
      <c r="B5118" s="0" t="n">
        <v>1600889</v>
      </c>
      <c r="C5118" s="0" t="n">
        <v>1600909</v>
      </c>
      <c r="D5118" s="0" t="s">
        <v>17071</v>
      </c>
      <c r="E5118" s="0" t="s">
        <v>75</v>
      </c>
      <c r="F5118" s="0" t="s">
        <v>15</v>
      </c>
      <c r="G5118" s="0" t="s">
        <v>32</v>
      </c>
      <c r="H5118" s="0" t="n">
        <v>100</v>
      </c>
      <c r="I5118" s="0" t="s">
        <v>17081</v>
      </c>
      <c r="J5118" s="0" t="s">
        <v>17082</v>
      </c>
      <c r="K5118" s="0" t="s">
        <v>17083</v>
      </c>
      <c r="L5118" s="0" t="str">
        <f aca="false">HYPERLINK("https://www.ncbi.nlm.nih.gov/nuccore/CP000058.1?report=graph&amp;tracks=[key:gene_model_track,Options:GeneOnly]&amp;mk=1600790:1600809|offset_0|444444,1600834:1600853|offset_44|444444,1600864:1600883|offset_74|444444,1600890:1600909|offset_100|00cc00&amp;v=1600589:1601109&amp;c=444444", "offset 100")</f>
        <v>offset 100</v>
      </c>
    </row>
    <row r="5119" customFormat="false" ht="12.8" hidden="false" customHeight="false" outlineLevel="0" collapsed="false">
      <c r="A5119" s="0" t="s">
        <v>12</v>
      </c>
      <c r="B5119" s="0" t="n">
        <v>1602217</v>
      </c>
      <c r="C5119" s="0" t="n">
        <v>1602237</v>
      </c>
      <c r="D5119" s="0" t="s">
        <v>17084</v>
      </c>
      <c r="E5119" s="0" t="s">
        <v>17085</v>
      </c>
      <c r="F5119" s="0" t="s">
        <v>90</v>
      </c>
      <c r="G5119" s="0" t="s">
        <v>32</v>
      </c>
      <c r="H5119" s="0" t="n">
        <v>7</v>
      </c>
      <c r="I5119" s="0" t="s">
        <v>17086</v>
      </c>
      <c r="J5119" s="0" t="s">
        <v>17087</v>
      </c>
      <c r="K5119" s="0" t="s">
        <v>17088</v>
      </c>
      <c r="L5119" s="0" t="str">
        <f aca="false">HYPERLINK("https://www.ncbi.nlm.nih.gov/nuccore/CP000058.1?report=graph&amp;tracks=[key:gene_model_track,Options:GeneOnly]&amp;mk=1602218:1602237|offset_7|00cc00,1602156:1602175|offset_69|444444,1602110:1602129|offset_115|444444,1602082:1602101|offset_143|444444&amp;v=1602017:1602301&amp;c=444444", "offset 7")</f>
        <v>offset 7</v>
      </c>
    </row>
    <row r="5120" customFormat="false" ht="12.8" hidden="false" customHeight="false" outlineLevel="0" collapsed="false">
      <c r="A5120" s="0" t="s">
        <v>12</v>
      </c>
      <c r="B5120" s="0" t="n">
        <v>1602155</v>
      </c>
      <c r="C5120" s="0" t="n">
        <v>1602175</v>
      </c>
      <c r="D5120" s="0" t="s">
        <v>17084</v>
      </c>
      <c r="E5120" s="0" t="s">
        <v>17085</v>
      </c>
      <c r="F5120" s="0" t="s">
        <v>90</v>
      </c>
      <c r="G5120" s="0" t="s">
        <v>32</v>
      </c>
      <c r="H5120" s="0" t="n">
        <v>69</v>
      </c>
      <c r="I5120" s="0" t="s">
        <v>17089</v>
      </c>
      <c r="J5120" s="0" t="s">
        <v>17090</v>
      </c>
      <c r="K5120" s="0" t="s">
        <v>17091</v>
      </c>
      <c r="L5120" s="0" t="str">
        <f aca="false">HYPERLINK("https://www.ncbi.nlm.nih.gov/nuccore/CP000058.1?report=graph&amp;tracks=[key:gene_model_track,Options:GeneOnly]&amp;mk=1602218:1602237|offset_7|444444,1602156:1602175|offset_69|00cc00,1602110:1602129|offset_115|444444,1602082:1602101|offset_143|444444&amp;v=1602017:1602301&amp;c=444444", "offset 69")</f>
        <v>offset 69</v>
      </c>
    </row>
    <row r="5121" customFormat="false" ht="12.8" hidden="false" customHeight="false" outlineLevel="0" collapsed="false">
      <c r="A5121" s="0" t="s">
        <v>12</v>
      </c>
      <c r="B5121" s="0" t="n">
        <v>1602109</v>
      </c>
      <c r="C5121" s="0" t="n">
        <v>1602129</v>
      </c>
      <c r="D5121" s="0" t="s">
        <v>17084</v>
      </c>
      <c r="E5121" s="0" t="s">
        <v>17085</v>
      </c>
      <c r="F5121" s="0" t="s">
        <v>90</v>
      </c>
      <c r="G5121" s="0" t="s">
        <v>16</v>
      </c>
      <c r="H5121" s="0" t="n">
        <v>115</v>
      </c>
      <c r="I5121" s="0" t="s">
        <v>17092</v>
      </c>
      <c r="J5121" s="0" t="s">
        <v>17093</v>
      </c>
      <c r="K5121" s="0" t="s">
        <v>17094</v>
      </c>
      <c r="L5121" s="0" t="str">
        <f aca="false">HYPERLINK("https://www.ncbi.nlm.nih.gov/nuccore/CP000058.1?report=graph&amp;tracks=[key:gene_model_track,Options:GeneOnly]&amp;mk=1602218:1602237|offset_7|444444,1602156:1602175|offset_69|444444,1602110:1602129|offset_115|00cc00,1602082:1602101|offset_143|444444&amp;v=1602017:1602301&amp;c=444444", "offset 115")</f>
        <v>offset 115</v>
      </c>
    </row>
    <row r="5122" customFormat="false" ht="12.8" hidden="false" customHeight="false" outlineLevel="0" collapsed="false">
      <c r="A5122" s="0" t="s">
        <v>12</v>
      </c>
      <c r="B5122" s="0" t="n">
        <v>1602081</v>
      </c>
      <c r="C5122" s="0" t="n">
        <v>1602101</v>
      </c>
      <c r="D5122" s="0" t="s">
        <v>17084</v>
      </c>
      <c r="E5122" s="0" t="s">
        <v>17085</v>
      </c>
      <c r="F5122" s="0" t="s">
        <v>90</v>
      </c>
      <c r="G5122" s="0" t="s">
        <v>32</v>
      </c>
      <c r="H5122" s="0" t="n">
        <v>143</v>
      </c>
      <c r="I5122" s="0" t="s">
        <v>17095</v>
      </c>
      <c r="J5122" s="0" t="s">
        <v>17096</v>
      </c>
      <c r="K5122" s="0" t="s">
        <v>17097</v>
      </c>
      <c r="L5122" s="0" t="str">
        <f aca="false">HYPERLINK("https://www.ncbi.nlm.nih.gov/nuccore/CP000058.1?report=graph&amp;tracks=[key:gene_model_track,Options:GeneOnly]&amp;mk=1602218:1602237|offset_7|444444,1602156:1602175|offset_69|444444,1602110:1602129|offset_115|444444,1602082:1602101|offset_143|00cc00&amp;v=1602017:1602301&amp;c=444444", "offset 143")</f>
        <v>offset 143</v>
      </c>
    </row>
    <row r="5123" customFormat="false" ht="12.8" hidden="false" customHeight="false" outlineLevel="0" collapsed="false">
      <c r="A5123" s="0" t="s">
        <v>12</v>
      </c>
      <c r="B5123" s="0" t="n">
        <v>1602564</v>
      </c>
      <c r="C5123" s="0" t="n">
        <v>1602584</v>
      </c>
      <c r="D5123" s="0" t="s">
        <v>17098</v>
      </c>
      <c r="E5123" s="0" t="s">
        <v>75</v>
      </c>
      <c r="F5123" s="0" t="s">
        <v>15</v>
      </c>
      <c r="G5123" s="0" t="s">
        <v>32</v>
      </c>
      <c r="H5123" s="0" t="n">
        <v>1</v>
      </c>
      <c r="I5123" s="0" t="s">
        <v>17099</v>
      </c>
      <c r="J5123" s="0" t="s">
        <v>17100</v>
      </c>
      <c r="K5123" s="0" t="s">
        <v>17101</v>
      </c>
      <c r="L5123" s="0" t="str">
        <f aca="false">HYPERLINK("https://www.ncbi.nlm.nih.gov/nuccore/CP000058.1?report=graph&amp;tracks=[key:gene_model_track,Options:GeneOnly]&amp;mk=1602565:1602584|offset_1|00cc00,1602596:1602615|offset_32|444444,1602627:1602646|offset_63|444444,1602676:1602695|offset_112|444444&amp;v=1602364:1602895&amp;c=444444", "offset 1")</f>
        <v>offset 1</v>
      </c>
    </row>
    <row r="5124" customFormat="false" ht="12.8" hidden="false" customHeight="false" outlineLevel="0" collapsed="false">
      <c r="A5124" s="0" t="s">
        <v>12</v>
      </c>
      <c r="B5124" s="0" t="n">
        <v>1602595</v>
      </c>
      <c r="C5124" s="0" t="n">
        <v>1602615</v>
      </c>
      <c r="D5124" s="0" t="s">
        <v>17098</v>
      </c>
      <c r="E5124" s="0" t="s">
        <v>75</v>
      </c>
      <c r="F5124" s="0" t="s">
        <v>15</v>
      </c>
      <c r="G5124" s="0" t="s">
        <v>16</v>
      </c>
      <c r="H5124" s="0" t="n">
        <v>32</v>
      </c>
      <c r="I5124" s="0" t="s">
        <v>17102</v>
      </c>
      <c r="J5124" s="0" t="s">
        <v>17103</v>
      </c>
      <c r="K5124" s="0" t="s">
        <v>17104</v>
      </c>
      <c r="L5124" s="0" t="str">
        <f aca="false">HYPERLINK("https://www.ncbi.nlm.nih.gov/nuccore/CP000058.1?report=graph&amp;tracks=[key:gene_model_track,Options:GeneOnly]&amp;mk=1602565:1602584|offset_1|444444,1602596:1602615|offset_32|00cc00,1602627:1602646|offset_63|444444,1602676:1602695|offset_112|444444&amp;v=1602364:1602895&amp;c=444444", "offset 32")</f>
        <v>offset 32</v>
      </c>
    </row>
    <row r="5125" customFormat="false" ht="12.8" hidden="false" customHeight="false" outlineLevel="0" collapsed="false">
      <c r="A5125" s="0" t="s">
        <v>12</v>
      </c>
      <c r="B5125" s="0" t="n">
        <v>1602626</v>
      </c>
      <c r="C5125" s="0" t="n">
        <v>1602646</v>
      </c>
      <c r="D5125" s="0" t="s">
        <v>17098</v>
      </c>
      <c r="E5125" s="0" t="s">
        <v>75</v>
      </c>
      <c r="F5125" s="0" t="s">
        <v>15</v>
      </c>
      <c r="G5125" s="0" t="s">
        <v>36</v>
      </c>
      <c r="H5125" s="0" t="n">
        <v>63</v>
      </c>
      <c r="I5125" s="0" t="s">
        <v>17105</v>
      </c>
      <c r="J5125" s="0" t="s">
        <v>17106</v>
      </c>
      <c r="K5125" s="0" t="s">
        <v>17107</v>
      </c>
      <c r="L5125" s="0" t="str">
        <f aca="false">HYPERLINK("https://www.ncbi.nlm.nih.gov/nuccore/CP000058.1?report=graph&amp;tracks=[key:gene_model_track,Options:GeneOnly]&amp;mk=1602565:1602584|offset_1|444444,1602596:1602615|offset_32|444444,1602627:1602646|offset_63|00cc00,1602676:1602695|offset_112|444444&amp;v=1602364:1602895&amp;c=444444", "offset 63")</f>
        <v>offset 63</v>
      </c>
    </row>
    <row r="5126" customFormat="false" ht="12.8" hidden="false" customHeight="false" outlineLevel="0" collapsed="false">
      <c r="A5126" s="0" t="s">
        <v>12</v>
      </c>
      <c r="B5126" s="0" t="n">
        <v>1602675</v>
      </c>
      <c r="C5126" s="0" t="n">
        <v>1602695</v>
      </c>
      <c r="D5126" s="0" t="s">
        <v>17098</v>
      </c>
      <c r="E5126" s="0" t="s">
        <v>75</v>
      </c>
      <c r="F5126" s="0" t="s">
        <v>15</v>
      </c>
      <c r="G5126" s="0" t="s">
        <v>20</v>
      </c>
      <c r="H5126" s="0" t="n">
        <v>112</v>
      </c>
      <c r="I5126" s="0" t="s">
        <v>17108</v>
      </c>
      <c r="J5126" s="0" t="s">
        <v>17109</v>
      </c>
      <c r="K5126" s="0" t="s">
        <v>17110</v>
      </c>
      <c r="L5126" s="0" t="str">
        <f aca="false">HYPERLINK("https://www.ncbi.nlm.nih.gov/nuccore/CP000058.1?report=graph&amp;tracks=[key:gene_model_track,Options:GeneOnly]&amp;mk=1602565:1602584|offset_1|444444,1602596:1602615|offset_32|444444,1602627:1602646|offset_63|444444,1602676:1602695|offset_112|00cc00&amp;v=1602364:1602895&amp;c=444444", "offset 112")</f>
        <v>offset 112</v>
      </c>
    </row>
    <row r="5127" customFormat="false" ht="12.8" hidden="false" customHeight="false" outlineLevel="0" collapsed="false">
      <c r="A5127" s="0" t="s">
        <v>12</v>
      </c>
      <c r="B5127" s="0" t="n">
        <v>1604152</v>
      </c>
      <c r="C5127" s="0" t="n">
        <v>1604172</v>
      </c>
      <c r="D5127" s="0" t="s">
        <v>17111</v>
      </c>
      <c r="E5127" s="0" t="s">
        <v>75</v>
      </c>
      <c r="F5127" s="0" t="s">
        <v>90</v>
      </c>
      <c r="G5127" s="0" t="s">
        <v>16</v>
      </c>
      <c r="H5127" s="0" t="n">
        <v>9</v>
      </c>
      <c r="I5127" s="0" t="s">
        <v>17112</v>
      </c>
      <c r="J5127" s="0" t="s">
        <v>17113</v>
      </c>
      <c r="K5127" s="0" t="s">
        <v>17114</v>
      </c>
      <c r="L5127" s="0" t="str">
        <f aca="false">HYPERLINK("https://www.ncbi.nlm.nih.gov/nuccore/CP000058.1?report=graph&amp;tracks=[key:gene_model_track,Options:GeneOnly]&amp;mk=1604153:1604172|offset_9|00cc00,1604107:1604126|offset_55|444444,1604087:1604106|offset_75|444444,1604062:1604081|offset_100|444444&amp;v=1603952:1604281&amp;c=444444", "offset 9")</f>
        <v>offset 9</v>
      </c>
    </row>
    <row r="5128" customFormat="false" ht="12.8" hidden="false" customHeight="false" outlineLevel="0" collapsed="false">
      <c r="A5128" s="0" t="s">
        <v>12</v>
      </c>
      <c r="B5128" s="0" t="n">
        <v>1604106</v>
      </c>
      <c r="C5128" s="0" t="n">
        <v>1604126</v>
      </c>
      <c r="D5128" s="0" t="s">
        <v>17111</v>
      </c>
      <c r="E5128" s="0" t="s">
        <v>75</v>
      </c>
      <c r="F5128" s="0" t="s">
        <v>90</v>
      </c>
      <c r="G5128" s="0" t="s">
        <v>16</v>
      </c>
      <c r="H5128" s="0" t="n">
        <v>55</v>
      </c>
      <c r="I5128" s="0" t="s">
        <v>17115</v>
      </c>
      <c r="J5128" s="0" t="s">
        <v>17116</v>
      </c>
      <c r="K5128" s="0" t="s">
        <v>17117</v>
      </c>
      <c r="L5128" s="0" t="str">
        <f aca="false">HYPERLINK("https://www.ncbi.nlm.nih.gov/nuccore/CP000058.1?report=graph&amp;tracks=[key:gene_model_track,Options:GeneOnly]&amp;mk=1604153:1604172|offset_9|444444,1604107:1604126|offset_55|00cc00,1604087:1604106|offset_75|444444,1604062:1604081|offset_100|444444&amp;v=1603952:1604281&amp;c=444444", "offset 55")</f>
        <v>offset 55</v>
      </c>
    </row>
    <row r="5129" customFormat="false" ht="12.8" hidden="false" customHeight="false" outlineLevel="0" collapsed="false">
      <c r="A5129" s="0" t="s">
        <v>12</v>
      </c>
      <c r="B5129" s="0" t="n">
        <v>1604086</v>
      </c>
      <c r="C5129" s="0" t="n">
        <v>1604106</v>
      </c>
      <c r="D5129" s="0" t="s">
        <v>17111</v>
      </c>
      <c r="E5129" s="0" t="s">
        <v>75</v>
      </c>
      <c r="F5129" s="0" t="s">
        <v>90</v>
      </c>
      <c r="G5129" s="0" t="s">
        <v>36</v>
      </c>
      <c r="H5129" s="0" t="n">
        <v>75</v>
      </c>
      <c r="I5129" s="0" t="s">
        <v>17118</v>
      </c>
      <c r="J5129" s="0" t="s">
        <v>17119</v>
      </c>
      <c r="K5129" s="0" t="s">
        <v>17120</v>
      </c>
      <c r="L5129" s="0" t="str">
        <f aca="false">HYPERLINK("https://www.ncbi.nlm.nih.gov/nuccore/CP000058.1?report=graph&amp;tracks=[key:gene_model_track,Options:GeneOnly]&amp;mk=1604153:1604172|offset_9|444444,1604107:1604126|offset_55|444444,1604087:1604106|offset_75|00cc00,1604062:1604081|offset_100|444444&amp;v=1603952:1604281&amp;c=444444", "offset 75")</f>
        <v>offset 75</v>
      </c>
    </row>
    <row r="5130" customFormat="false" ht="12.8" hidden="false" customHeight="false" outlineLevel="0" collapsed="false">
      <c r="A5130" s="0" t="s">
        <v>12</v>
      </c>
      <c r="B5130" s="0" t="n">
        <v>1604061</v>
      </c>
      <c r="C5130" s="0" t="n">
        <v>1604081</v>
      </c>
      <c r="D5130" s="0" t="s">
        <v>17111</v>
      </c>
      <c r="E5130" s="0" t="s">
        <v>75</v>
      </c>
      <c r="F5130" s="0" t="s">
        <v>90</v>
      </c>
      <c r="G5130" s="0" t="s">
        <v>16</v>
      </c>
      <c r="H5130" s="0" t="n">
        <v>100</v>
      </c>
      <c r="I5130" s="0" t="s">
        <v>17121</v>
      </c>
      <c r="J5130" s="0" t="s">
        <v>17122</v>
      </c>
      <c r="K5130" s="0" t="s">
        <v>17123</v>
      </c>
      <c r="L5130" s="0" t="str">
        <f aca="false">HYPERLINK("https://www.ncbi.nlm.nih.gov/nuccore/CP000058.1?report=graph&amp;tracks=[key:gene_model_track,Options:GeneOnly]&amp;mk=1604153:1604172|offset_9|444444,1604107:1604126|offset_55|444444,1604087:1604106|offset_75|444444,1604062:1604081|offset_100|00cc00&amp;v=1603952:1604281&amp;c=444444", "offset 100")</f>
        <v>offset 100</v>
      </c>
    </row>
    <row r="5131" customFormat="false" ht="12.8" hidden="false" customHeight="false" outlineLevel="0" collapsed="false">
      <c r="A5131" s="0" t="s">
        <v>12</v>
      </c>
      <c r="B5131" s="0" t="n">
        <v>1606638</v>
      </c>
      <c r="C5131" s="0" t="n">
        <v>1606658</v>
      </c>
      <c r="D5131" s="0" t="s">
        <v>17124</v>
      </c>
      <c r="E5131" s="0" t="s">
        <v>17125</v>
      </c>
      <c r="F5131" s="0" t="s">
        <v>90</v>
      </c>
      <c r="G5131" s="0" t="s">
        <v>36</v>
      </c>
      <c r="H5131" s="0" t="n">
        <v>12</v>
      </c>
      <c r="I5131" s="0" t="s">
        <v>17126</v>
      </c>
      <c r="J5131" s="0" t="s">
        <v>17127</v>
      </c>
      <c r="K5131" s="0" t="s">
        <v>17128</v>
      </c>
      <c r="L5131" s="0" t="str">
        <f aca="false">HYPERLINK("https://www.ncbi.nlm.nih.gov/nuccore/CP000058.1?report=graph&amp;tracks=[key:gene_model_track,Options:GeneOnly]&amp;mk=1606639:1606658|offset_12|00cc00,1606608:1606627|offset_43|444444,1606545:1606564|offset_106|444444,1606524:1606543|offset_127|444444&amp;v=1606438:1606743&amp;c=444444", "offset 12")</f>
        <v>offset 12</v>
      </c>
    </row>
    <row r="5132" customFormat="false" ht="12.8" hidden="false" customHeight="false" outlineLevel="0" collapsed="false">
      <c r="A5132" s="0" t="s">
        <v>12</v>
      </c>
      <c r="B5132" s="0" t="n">
        <v>1606607</v>
      </c>
      <c r="C5132" s="0" t="n">
        <v>1606627</v>
      </c>
      <c r="D5132" s="0" t="s">
        <v>17124</v>
      </c>
      <c r="E5132" s="0" t="s">
        <v>17125</v>
      </c>
      <c r="F5132" s="0" t="s">
        <v>90</v>
      </c>
      <c r="G5132" s="0" t="s">
        <v>36</v>
      </c>
      <c r="H5132" s="0" t="n">
        <v>43</v>
      </c>
      <c r="I5132" s="0" t="s">
        <v>17129</v>
      </c>
      <c r="J5132" s="0" t="s">
        <v>17130</v>
      </c>
      <c r="K5132" s="0" t="s">
        <v>17131</v>
      </c>
      <c r="L5132" s="0" t="str">
        <f aca="false">HYPERLINK("https://www.ncbi.nlm.nih.gov/nuccore/CP000058.1?report=graph&amp;tracks=[key:gene_model_track,Options:GeneOnly]&amp;mk=1606639:1606658|offset_12|444444,1606608:1606627|offset_43|00cc00,1606545:1606564|offset_106|444444,1606524:1606543|offset_127|444444&amp;v=1606438:1606743&amp;c=444444", "offset 43")</f>
        <v>offset 43</v>
      </c>
    </row>
    <row r="5133" customFormat="false" ht="12.8" hidden="false" customHeight="false" outlineLevel="0" collapsed="false">
      <c r="A5133" s="0" t="s">
        <v>12</v>
      </c>
      <c r="B5133" s="0" t="n">
        <v>1606544</v>
      </c>
      <c r="C5133" s="0" t="n">
        <v>1606564</v>
      </c>
      <c r="D5133" s="0" t="s">
        <v>17124</v>
      </c>
      <c r="E5133" s="0" t="s">
        <v>17125</v>
      </c>
      <c r="F5133" s="0" t="s">
        <v>90</v>
      </c>
      <c r="G5133" s="0" t="s">
        <v>16</v>
      </c>
      <c r="H5133" s="0" t="n">
        <v>106</v>
      </c>
      <c r="I5133" s="0" t="s">
        <v>17132</v>
      </c>
      <c r="J5133" s="0" t="s">
        <v>17133</v>
      </c>
      <c r="K5133" s="0" t="s">
        <v>17134</v>
      </c>
      <c r="L5133" s="0" t="str">
        <f aca="false">HYPERLINK("https://www.ncbi.nlm.nih.gov/nuccore/CP000058.1?report=graph&amp;tracks=[key:gene_model_track,Options:GeneOnly]&amp;mk=1606639:1606658|offset_12|444444,1606608:1606627|offset_43|444444,1606545:1606564|offset_106|00cc00,1606524:1606543|offset_127|444444&amp;v=1606438:1606743&amp;c=444444", "offset 106")</f>
        <v>offset 106</v>
      </c>
    </row>
    <row r="5134" customFormat="false" ht="12.8" hidden="false" customHeight="false" outlineLevel="0" collapsed="false">
      <c r="A5134" s="0" t="s">
        <v>12</v>
      </c>
      <c r="B5134" s="0" t="n">
        <v>1606523</v>
      </c>
      <c r="C5134" s="0" t="n">
        <v>1606543</v>
      </c>
      <c r="D5134" s="0" t="s">
        <v>17124</v>
      </c>
      <c r="E5134" s="0" t="s">
        <v>17125</v>
      </c>
      <c r="F5134" s="0" t="s">
        <v>90</v>
      </c>
      <c r="G5134" s="0" t="s">
        <v>16</v>
      </c>
      <c r="H5134" s="0" t="n">
        <v>127</v>
      </c>
      <c r="I5134" s="0" t="s">
        <v>17135</v>
      </c>
      <c r="J5134" s="0" t="s">
        <v>17136</v>
      </c>
      <c r="K5134" s="0" t="s">
        <v>17137</v>
      </c>
      <c r="L5134" s="0" t="str">
        <f aca="false">HYPERLINK("https://www.ncbi.nlm.nih.gov/nuccore/CP000058.1?report=graph&amp;tracks=[key:gene_model_track,Options:GeneOnly]&amp;mk=1606639:1606658|offset_12|444444,1606608:1606627|offset_43|444444,1606545:1606564|offset_106|444444,1606524:1606543|offset_127|00cc00&amp;v=1606438:1606743&amp;c=444444", "offset 127")</f>
        <v>offset 127</v>
      </c>
    </row>
    <row r="5135" customFormat="false" ht="12.8" hidden="false" customHeight="false" outlineLevel="0" collapsed="false">
      <c r="A5135" s="0" t="s">
        <v>12</v>
      </c>
      <c r="B5135" s="0" t="n">
        <v>1607881</v>
      </c>
      <c r="C5135" s="0" t="n">
        <v>1607901</v>
      </c>
      <c r="D5135" s="0" t="s">
        <v>17138</v>
      </c>
      <c r="E5135" s="0" t="s">
        <v>75</v>
      </c>
      <c r="F5135" s="0" t="s">
        <v>90</v>
      </c>
      <c r="G5135" s="0" t="s">
        <v>32</v>
      </c>
      <c r="H5135" s="0" t="n">
        <v>16</v>
      </c>
      <c r="I5135" s="0" t="s">
        <v>17139</v>
      </c>
      <c r="J5135" s="0" t="s">
        <v>17140</v>
      </c>
      <c r="K5135" s="0" t="s">
        <v>17141</v>
      </c>
      <c r="L5135" s="0" t="str">
        <f aca="false">HYPERLINK("https://www.ncbi.nlm.nih.gov/nuccore/CP000058.1?report=graph&amp;tracks=[key:gene_model_track,Options:GeneOnly]&amp;mk=1607882:1607901|offset_16|00cc00,1607819:1607838|offset_79|444444,1607797:1607816|offset_101|444444,1607733:1607752|offset_165|444444&amp;v=1607681:1607952&amp;c=444444", "offset 16")</f>
        <v>offset 16</v>
      </c>
    </row>
    <row r="5136" customFormat="false" ht="12.8" hidden="false" customHeight="false" outlineLevel="0" collapsed="false">
      <c r="A5136" s="0" t="s">
        <v>12</v>
      </c>
      <c r="B5136" s="0" t="n">
        <v>1607818</v>
      </c>
      <c r="C5136" s="0" t="n">
        <v>1607838</v>
      </c>
      <c r="D5136" s="0" t="s">
        <v>17138</v>
      </c>
      <c r="E5136" s="0" t="s">
        <v>75</v>
      </c>
      <c r="F5136" s="0" t="s">
        <v>90</v>
      </c>
      <c r="G5136" s="0" t="s">
        <v>32</v>
      </c>
      <c r="H5136" s="0" t="n">
        <v>79</v>
      </c>
      <c r="I5136" s="0" t="s">
        <v>17142</v>
      </c>
      <c r="J5136" s="0" t="s">
        <v>17143</v>
      </c>
      <c r="K5136" s="0" t="s">
        <v>17144</v>
      </c>
      <c r="L5136" s="0" t="str">
        <f aca="false">HYPERLINK("https://www.ncbi.nlm.nih.gov/nuccore/CP000058.1?report=graph&amp;tracks=[key:gene_model_track,Options:GeneOnly]&amp;mk=1607882:1607901|offset_16|444444,1607819:1607838|offset_79|00cc00,1607797:1607816|offset_101|444444,1607733:1607752|offset_165|444444&amp;v=1607681:1607952&amp;c=444444", "offset 79")</f>
        <v>offset 79</v>
      </c>
    </row>
    <row r="5137" customFormat="false" ht="12.8" hidden="false" customHeight="false" outlineLevel="0" collapsed="false">
      <c r="A5137" s="0" t="s">
        <v>12</v>
      </c>
      <c r="B5137" s="0" t="n">
        <v>1607796</v>
      </c>
      <c r="C5137" s="0" t="n">
        <v>1607816</v>
      </c>
      <c r="D5137" s="0" t="s">
        <v>17138</v>
      </c>
      <c r="E5137" s="0" t="s">
        <v>75</v>
      </c>
      <c r="F5137" s="0" t="s">
        <v>90</v>
      </c>
      <c r="G5137" s="0" t="s">
        <v>20</v>
      </c>
      <c r="H5137" s="0" t="n">
        <v>101</v>
      </c>
      <c r="I5137" s="0" t="s">
        <v>17145</v>
      </c>
      <c r="J5137" s="0" t="s">
        <v>17146</v>
      </c>
      <c r="K5137" s="0" t="s">
        <v>17147</v>
      </c>
      <c r="L5137" s="0" t="str">
        <f aca="false">HYPERLINK("https://www.ncbi.nlm.nih.gov/nuccore/CP000058.1?report=graph&amp;tracks=[key:gene_model_track,Options:GeneOnly]&amp;mk=1607882:1607901|offset_16|444444,1607819:1607838|offset_79|444444,1607797:1607816|offset_101|00cc00,1607733:1607752|offset_165|444444&amp;v=1607681:1607952&amp;c=444444", "offset 101")</f>
        <v>offset 101</v>
      </c>
    </row>
    <row r="5138" customFormat="false" ht="12.8" hidden="false" customHeight="false" outlineLevel="0" collapsed="false">
      <c r="A5138" s="0" t="s">
        <v>12</v>
      </c>
      <c r="B5138" s="0" t="n">
        <v>1607732</v>
      </c>
      <c r="C5138" s="0" t="n">
        <v>1607752</v>
      </c>
      <c r="D5138" s="0" t="s">
        <v>17138</v>
      </c>
      <c r="E5138" s="0" t="s">
        <v>75</v>
      </c>
      <c r="F5138" s="0" t="s">
        <v>90</v>
      </c>
      <c r="G5138" s="0" t="s">
        <v>36</v>
      </c>
      <c r="H5138" s="0" t="n">
        <v>165</v>
      </c>
      <c r="I5138" s="0" t="s">
        <v>17148</v>
      </c>
      <c r="J5138" s="0" t="s">
        <v>17149</v>
      </c>
      <c r="K5138" s="0" t="s">
        <v>17150</v>
      </c>
      <c r="L5138" s="0" t="str">
        <f aca="false">HYPERLINK("https://www.ncbi.nlm.nih.gov/nuccore/CP000058.1?report=graph&amp;tracks=[key:gene_model_track,Options:GeneOnly]&amp;mk=1607882:1607901|offset_16|444444,1607819:1607838|offset_79|444444,1607797:1607816|offset_101|444444,1607733:1607752|offset_165|00cc00&amp;v=1607681:1607952&amp;c=444444", "offset 165")</f>
        <v>offset 165</v>
      </c>
    </row>
    <row r="5139" customFormat="false" ht="12.8" hidden="false" customHeight="false" outlineLevel="0" collapsed="false">
      <c r="A5139" s="0" t="s">
        <v>12</v>
      </c>
      <c r="B5139" s="0" t="n">
        <v>1609017</v>
      </c>
      <c r="C5139" s="0" t="n">
        <v>1609037</v>
      </c>
      <c r="D5139" s="0" t="s">
        <v>17151</v>
      </c>
      <c r="E5139" s="0" t="s">
        <v>75</v>
      </c>
      <c r="F5139" s="0" t="s">
        <v>90</v>
      </c>
      <c r="G5139" s="0" t="s">
        <v>32</v>
      </c>
      <c r="H5139" s="0" t="n">
        <v>8</v>
      </c>
      <c r="I5139" s="0" t="s">
        <v>17152</v>
      </c>
      <c r="J5139" s="0" t="s">
        <v>17153</v>
      </c>
      <c r="K5139" s="0" t="s">
        <v>17154</v>
      </c>
      <c r="L5139" s="0" t="str">
        <f aca="false">HYPERLINK("https://www.ncbi.nlm.nih.gov/nuccore/CP000058.1?report=graph&amp;tracks=[key:gene_model_track,Options:GeneOnly]&amp;mk=1609018:1609037|offset_8|00cc00,1608993:1609012|offset_33|444444,1608967:1608986|offset_59|444444,1608935:1608954|offset_91|444444&amp;v=1608817:1609154&amp;c=444444", "offset 8")</f>
        <v>offset 8</v>
      </c>
    </row>
    <row r="5140" customFormat="false" ht="12.8" hidden="false" customHeight="false" outlineLevel="0" collapsed="false">
      <c r="A5140" s="0" t="s">
        <v>12</v>
      </c>
      <c r="B5140" s="0" t="n">
        <v>1608992</v>
      </c>
      <c r="C5140" s="0" t="n">
        <v>1609012</v>
      </c>
      <c r="D5140" s="0" t="s">
        <v>17151</v>
      </c>
      <c r="E5140" s="0" t="s">
        <v>75</v>
      </c>
      <c r="F5140" s="0" t="s">
        <v>90</v>
      </c>
      <c r="G5140" s="0" t="s">
        <v>32</v>
      </c>
      <c r="H5140" s="0" t="n">
        <v>33</v>
      </c>
      <c r="I5140" s="0" t="s">
        <v>17155</v>
      </c>
      <c r="J5140" s="0" t="s">
        <v>17156</v>
      </c>
      <c r="K5140" s="0" t="s">
        <v>17157</v>
      </c>
      <c r="L5140" s="0" t="str">
        <f aca="false">HYPERLINK("https://www.ncbi.nlm.nih.gov/nuccore/CP000058.1?report=graph&amp;tracks=[key:gene_model_track,Options:GeneOnly]&amp;mk=1609018:1609037|offset_8|444444,1608993:1609012|offset_33|00cc00,1608967:1608986|offset_59|444444,1608935:1608954|offset_91|444444&amp;v=1608817:1609154&amp;c=444444", "offset 33")</f>
        <v>offset 33</v>
      </c>
    </row>
    <row r="5141" customFormat="false" ht="12.8" hidden="false" customHeight="false" outlineLevel="0" collapsed="false">
      <c r="A5141" s="0" t="s">
        <v>12</v>
      </c>
      <c r="B5141" s="0" t="n">
        <v>1608966</v>
      </c>
      <c r="C5141" s="0" t="n">
        <v>1608986</v>
      </c>
      <c r="D5141" s="0" t="s">
        <v>17151</v>
      </c>
      <c r="E5141" s="0" t="s">
        <v>75</v>
      </c>
      <c r="F5141" s="0" t="s">
        <v>90</v>
      </c>
      <c r="G5141" s="0" t="s">
        <v>32</v>
      </c>
      <c r="H5141" s="0" t="n">
        <v>59</v>
      </c>
      <c r="I5141" s="0" t="s">
        <v>17158</v>
      </c>
      <c r="J5141" s="0" t="s">
        <v>17159</v>
      </c>
      <c r="K5141" s="0" t="s">
        <v>17160</v>
      </c>
      <c r="L5141" s="0" t="str">
        <f aca="false">HYPERLINK("https://www.ncbi.nlm.nih.gov/nuccore/CP000058.1?report=graph&amp;tracks=[key:gene_model_track,Options:GeneOnly]&amp;mk=1609018:1609037|offset_8|444444,1608993:1609012|offset_33|444444,1608967:1608986|offset_59|00cc00,1608935:1608954|offset_91|444444&amp;v=1608817:1609154&amp;c=444444", "offset 59")</f>
        <v>offset 59</v>
      </c>
    </row>
    <row r="5142" customFormat="false" ht="12.8" hidden="false" customHeight="false" outlineLevel="0" collapsed="false">
      <c r="A5142" s="0" t="s">
        <v>12</v>
      </c>
      <c r="B5142" s="0" t="n">
        <v>1608934</v>
      </c>
      <c r="C5142" s="0" t="n">
        <v>1608954</v>
      </c>
      <c r="D5142" s="0" t="s">
        <v>17151</v>
      </c>
      <c r="E5142" s="0" t="s">
        <v>75</v>
      </c>
      <c r="F5142" s="0" t="s">
        <v>90</v>
      </c>
      <c r="G5142" s="0" t="s">
        <v>16</v>
      </c>
      <c r="H5142" s="0" t="n">
        <v>91</v>
      </c>
      <c r="I5142" s="0" t="s">
        <v>17161</v>
      </c>
      <c r="J5142" s="0" t="s">
        <v>17162</v>
      </c>
      <c r="K5142" s="0" t="s">
        <v>17163</v>
      </c>
      <c r="L5142" s="0" t="str">
        <f aca="false">HYPERLINK("https://www.ncbi.nlm.nih.gov/nuccore/CP000058.1?report=graph&amp;tracks=[key:gene_model_track,Options:GeneOnly]&amp;mk=1609018:1609037|offset_8|444444,1608993:1609012|offset_33|444444,1608967:1608986|offset_59|444444,1608935:1608954|offset_91|00cc00&amp;v=1608817:1609154&amp;c=444444", "offset 91")</f>
        <v>offset 91</v>
      </c>
    </row>
    <row r="5143" customFormat="false" ht="12.8" hidden="false" customHeight="false" outlineLevel="0" collapsed="false">
      <c r="A5143" s="0" t="s">
        <v>12</v>
      </c>
      <c r="B5143" s="0" t="n">
        <v>1609715</v>
      </c>
      <c r="C5143" s="0" t="n">
        <v>1609735</v>
      </c>
      <c r="D5143" s="0" t="s">
        <v>17164</v>
      </c>
      <c r="E5143" s="0" t="s">
        <v>75</v>
      </c>
      <c r="F5143" s="0" t="s">
        <v>90</v>
      </c>
      <c r="G5143" s="0" t="s">
        <v>20</v>
      </c>
      <c r="H5143" s="0" t="n">
        <v>33</v>
      </c>
      <c r="I5143" s="0" t="s">
        <v>17165</v>
      </c>
      <c r="J5143" s="0" t="s">
        <v>17166</v>
      </c>
      <c r="K5143" s="0" t="s">
        <v>17167</v>
      </c>
      <c r="L5143" s="0" t="str">
        <f aca="false">HYPERLINK("https://www.ncbi.nlm.nih.gov/nuccore/CP000058.1?report=graph&amp;tracks=[key:gene_model_track,Options:GeneOnly]&amp;mk=1609716:1609735|offset_33|00cc00,1609676:1609695|offset_73|444444,1609652:1609671|offset_97|444444,1609621:1609640|offset_128|444444&amp;v=1609515:1609840&amp;c=444444", "offset 33")</f>
        <v>offset 33</v>
      </c>
    </row>
    <row r="5144" customFormat="false" ht="12.8" hidden="false" customHeight="false" outlineLevel="0" collapsed="false">
      <c r="A5144" s="0" t="s">
        <v>12</v>
      </c>
      <c r="B5144" s="0" t="n">
        <v>1609675</v>
      </c>
      <c r="C5144" s="0" t="n">
        <v>1609695</v>
      </c>
      <c r="D5144" s="0" t="s">
        <v>17164</v>
      </c>
      <c r="E5144" s="0" t="s">
        <v>75</v>
      </c>
      <c r="F5144" s="0" t="s">
        <v>90</v>
      </c>
      <c r="G5144" s="0" t="s">
        <v>32</v>
      </c>
      <c r="H5144" s="0" t="n">
        <v>73</v>
      </c>
      <c r="I5144" s="0" t="s">
        <v>17168</v>
      </c>
      <c r="J5144" s="0" t="s">
        <v>17169</v>
      </c>
      <c r="K5144" s="0" t="s">
        <v>17170</v>
      </c>
      <c r="L5144" s="0" t="str">
        <f aca="false">HYPERLINK("https://www.ncbi.nlm.nih.gov/nuccore/CP000058.1?report=graph&amp;tracks=[key:gene_model_track,Options:GeneOnly]&amp;mk=1609716:1609735|offset_33|444444,1609676:1609695|offset_73|00cc00,1609652:1609671|offset_97|444444,1609621:1609640|offset_128|444444&amp;v=1609515:1609840&amp;c=444444", "offset 73")</f>
        <v>offset 73</v>
      </c>
    </row>
    <row r="5145" customFormat="false" ht="12.8" hidden="false" customHeight="false" outlineLevel="0" collapsed="false">
      <c r="A5145" s="0" t="s">
        <v>12</v>
      </c>
      <c r="B5145" s="0" t="n">
        <v>1609651</v>
      </c>
      <c r="C5145" s="0" t="n">
        <v>1609671</v>
      </c>
      <c r="D5145" s="0" t="s">
        <v>17164</v>
      </c>
      <c r="E5145" s="0" t="s">
        <v>75</v>
      </c>
      <c r="F5145" s="0" t="s">
        <v>90</v>
      </c>
      <c r="G5145" s="0" t="s">
        <v>20</v>
      </c>
      <c r="H5145" s="0" t="n">
        <v>97</v>
      </c>
      <c r="I5145" s="0" t="s">
        <v>17171</v>
      </c>
      <c r="J5145" s="0" t="s">
        <v>17172</v>
      </c>
      <c r="K5145" s="0" t="s">
        <v>17173</v>
      </c>
      <c r="L5145" s="0" t="str">
        <f aca="false">HYPERLINK("https://www.ncbi.nlm.nih.gov/nuccore/CP000058.1?report=graph&amp;tracks=[key:gene_model_track,Options:GeneOnly]&amp;mk=1609716:1609735|offset_33|444444,1609676:1609695|offset_73|444444,1609652:1609671|offset_97|00cc00,1609621:1609640|offset_128|444444&amp;v=1609515:1609840&amp;c=444444", "offset 97")</f>
        <v>offset 97</v>
      </c>
    </row>
    <row r="5146" customFormat="false" ht="12.8" hidden="false" customHeight="false" outlineLevel="0" collapsed="false">
      <c r="A5146" s="0" t="s">
        <v>12</v>
      </c>
      <c r="B5146" s="0" t="n">
        <v>1609620</v>
      </c>
      <c r="C5146" s="0" t="n">
        <v>1609640</v>
      </c>
      <c r="D5146" s="0" t="s">
        <v>17164</v>
      </c>
      <c r="E5146" s="0" t="s">
        <v>75</v>
      </c>
      <c r="F5146" s="0" t="s">
        <v>90</v>
      </c>
      <c r="G5146" s="0" t="s">
        <v>36</v>
      </c>
      <c r="H5146" s="0" t="n">
        <v>128</v>
      </c>
      <c r="I5146" s="0" t="s">
        <v>17174</v>
      </c>
      <c r="J5146" s="0" t="s">
        <v>17175</v>
      </c>
      <c r="K5146" s="0" t="s">
        <v>17176</v>
      </c>
      <c r="L5146" s="0" t="str">
        <f aca="false">HYPERLINK("https://www.ncbi.nlm.nih.gov/nuccore/CP000058.1?report=graph&amp;tracks=[key:gene_model_track,Options:GeneOnly]&amp;mk=1609716:1609735|offset_33|444444,1609676:1609695|offset_73|444444,1609652:1609671|offset_97|444444,1609621:1609640|offset_128|00cc00&amp;v=1609515:1609840&amp;c=444444", "offset 128")</f>
        <v>offset 128</v>
      </c>
    </row>
    <row r="5147" customFormat="false" ht="12.8" hidden="false" customHeight="false" outlineLevel="0" collapsed="false">
      <c r="A5147" s="0" t="s">
        <v>12</v>
      </c>
      <c r="B5147" s="0" t="n">
        <v>1610447</v>
      </c>
      <c r="C5147" s="0" t="n">
        <v>1610467</v>
      </c>
      <c r="D5147" s="0" t="s">
        <v>17177</v>
      </c>
      <c r="E5147" s="0" t="s">
        <v>75</v>
      </c>
      <c r="F5147" s="0" t="s">
        <v>90</v>
      </c>
      <c r="G5147" s="0" t="s">
        <v>20</v>
      </c>
      <c r="H5147" s="0" t="n">
        <v>11</v>
      </c>
      <c r="I5147" s="0" t="s">
        <v>17178</v>
      </c>
      <c r="J5147" s="0" t="s">
        <v>17179</v>
      </c>
      <c r="K5147" s="0" t="s">
        <v>17180</v>
      </c>
      <c r="L5147" s="0" t="str">
        <f aca="false">HYPERLINK("https://www.ncbi.nlm.nih.gov/nuccore/CP000058.1?report=graph&amp;tracks=[key:gene_model_track,Options:GeneOnly]&amp;mk=1610448:1610467|offset_11|00cc00,1610427:1610446|offset_32|444444,1610392:1610411|offset_67|444444,1610362:1610381|offset_97|444444&amp;v=1610247:1610581&amp;c=444444", "offset 11")</f>
        <v>offset 11</v>
      </c>
    </row>
    <row r="5148" customFormat="false" ht="12.8" hidden="false" customHeight="false" outlineLevel="0" collapsed="false">
      <c r="A5148" s="0" t="s">
        <v>12</v>
      </c>
      <c r="B5148" s="0" t="n">
        <v>1610426</v>
      </c>
      <c r="C5148" s="0" t="n">
        <v>1610446</v>
      </c>
      <c r="D5148" s="0" t="s">
        <v>17177</v>
      </c>
      <c r="E5148" s="0" t="s">
        <v>75</v>
      </c>
      <c r="F5148" s="0" t="s">
        <v>90</v>
      </c>
      <c r="G5148" s="0" t="s">
        <v>20</v>
      </c>
      <c r="H5148" s="0" t="n">
        <v>32</v>
      </c>
      <c r="I5148" s="0" t="s">
        <v>17181</v>
      </c>
      <c r="J5148" s="0" t="s">
        <v>17182</v>
      </c>
      <c r="K5148" s="0" t="s">
        <v>17183</v>
      </c>
      <c r="L5148" s="0" t="str">
        <f aca="false">HYPERLINK("https://www.ncbi.nlm.nih.gov/nuccore/CP000058.1?report=graph&amp;tracks=[key:gene_model_track,Options:GeneOnly]&amp;mk=1610448:1610467|offset_11|444444,1610427:1610446|offset_32|00cc00,1610392:1610411|offset_67|444444,1610362:1610381|offset_97|444444&amp;v=1610247:1610581&amp;c=444444", "offset 32")</f>
        <v>offset 32</v>
      </c>
    </row>
    <row r="5149" customFormat="false" ht="12.8" hidden="false" customHeight="false" outlineLevel="0" collapsed="false">
      <c r="A5149" s="0" t="s">
        <v>12</v>
      </c>
      <c r="B5149" s="0" t="n">
        <v>1610391</v>
      </c>
      <c r="C5149" s="0" t="n">
        <v>1610411</v>
      </c>
      <c r="D5149" s="0" t="s">
        <v>17177</v>
      </c>
      <c r="E5149" s="0" t="s">
        <v>75</v>
      </c>
      <c r="F5149" s="0" t="s">
        <v>90</v>
      </c>
      <c r="G5149" s="0" t="s">
        <v>20</v>
      </c>
      <c r="H5149" s="0" t="n">
        <v>67</v>
      </c>
      <c r="I5149" s="0" t="s">
        <v>17184</v>
      </c>
      <c r="J5149" s="0" t="s">
        <v>17185</v>
      </c>
      <c r="K5149" s="0" t="s">
        <v>17186</v>
      </c>
      <c r="L5149" s="0" t="str">
        <f aca="false">HYPERLINK("https://www.ncbi.nlm.nih.gov/nuccore/CP000058.1?report=graph&amp;tracks=[key:gene_model_track,Options:GeneOnly]&amp;mk=1610448:1610467|offset_11|444444,1610427:1610446|offset_32|444444,1610392:1610411|offset_67|00cc00,1610362:1610381|offset_97|444444&amp;v=1610247:1610581&amp;c=444444", "offset 67")</f>
        <v>offset 67</v>
      </c>
    </row>
    <row r="5150" customFormat="false" ht="12.8" hidden="false" customHeight="false" outlineLevel="0" collapsed="false">
      <c r="A5150" s="0" t="s">
        <v>12</v>
      </c>
      <c r="B5150" s="0" t="n">
        <v>1610361</v>
      </c>
      <c r="C5150" s="0" t="n">
        <v>1610381</v>
      </c>
      <c r="D5150" s="0" t="s">
        <v>17177</v>
      </c>
      <c r="E5150" s="0" t="s">
        <v>75</v>
      </c>
      <c r="F5150" s="0" t="s">
        <v>90</v>
      </c>
      <c r="G5150" s="0" t="s">
        <v>36</v>
      </c>
      <c r="H5150" s="0" t="n">
        <v>97</v>
      </c>
      <c r="I5150" s="0" t="s">
        <v>17187</v>
      </c>
      <c r="J5150" s="0" t="s">
        <v>17188</v>
      </c>
      <c r="K5150" s="0" t="s">
        <v>17189</v>
      </c>
      <c r="L5150" s="0" t="str">
        <f aca="false">HYPERLINK("https://www.ncbi.nlm.nih.gov/nuccore/CP000058.1?report=graph&amp;tracks=[key:gene_model_track,Options:GeneOnly]&amp;mk=1610448:1610467|offset_11|444444,1610427:1610446|offset_32|444444,1610392:1610411|offset_67|444444,1610362:1610381|offset_97|00cc00&amp;v=1610247:1610581&amp;c=444444", "offset 97")</f>
        <v>offset 97</v>
      </c>
    </row>
    <row r="5151" customFormat="false" ht="12.8" hidden="false" customHeight="false" outlineLevel="0" collapsed="false">
      <c r="A5151" s="0" t="s">
        <v>12</v>
      </c>
      <c r="B5151" s="0" t="n">
        <v>1611292</v>
      </c>
      <c r="C5151" s="0" t="n">
        <v>1611312</v>
      </c>
      <c r="D5151" s="0" t="s">
        <v>17190</v>
      </c>
      <c r="E5151" s="0" t="s">
        <v>75</v>
      </c>
      <c r="F5151" s="0" t="s">
        <v>90</v>
      </c>
      <c r="G5151" s="0" t="s">
        <v>20</v>
      </c>
      <c r="H5151" s="0" t="n">
        <v>44</v>
      </c>
      <c r="I5151" s="0" t="s">
        <v>17191</v>
      </c>
      <c r="J5151" s="0" t="s">
        <v>17192</v>
      </c>
      <c r="K5151" s="0" t="s">
        <v>17193</v>
      </c>
      <c r="L5151" s="0" t="str">
        <f aca="false">HYPERLINK("https://www.ncbi.nlm.nih.gov/nuccore/CP000058.1?report=graph&amp;tracks=[key:gene_model_track,Options:GeneOnly]&amp;mk=1611293:1611312|offset_44|00cc00,1611270:1611289|offset_67|444444,1611235:1611254|offset_102|444444,1611213:1611232|offset_124|444444&amp;v=1611092:1611432&amp;c=444444", "offset 44")</f>
        <v>offset 44</v>
      </c>
    </row>
    <row r="5152" customFormat="false" ht="12.8" hidden="false" customHeight="false" outlineLevel="0" collapsed="false">
      <c r="A5152" s="0" t="s">
        <v>12</v>
      </c>
      <c r="B5152" s="0" t="n">
        <v>1611269</v>
      </c>
      <c r="C5152" s="0" t="n">
        <v>1611289</v>
      </c>
      <c r="D5152" s="0" t="s">
        <v>17190</v>
      </c>
      <c r="E5152" s="0" t="s">
        <v>75</v>
      </c>
      <c r="F5152" s="0" t="s">
        <v>90</v>
      </c>
      <c r="G5152" s="0" t="s">
        <v>32</v>
      </c>
      <c r="H5152" s="0" t="n">
        <v>67</v>
      </c>
      <c r="I5152" s="0" t="s">
        <v>17194</v>
      </c>
      <c r="J5152" s="0" t="s">
        <v>17195</v>
      </c>
      <c r="K5152" s="0" t="s">
        <v>17196</v>
      </c>
      <c r="L5152" s="0" t="str">
        <f aca="false">HYPERLINK("https://www.ncbi.nlm.nih.gov/nuccore/CP000058.1?report=graph&amp;tracks=[key:gene_model_track,Options:GeneOnly]&amp;mk=1611293:1611312|offset_44|444444,1611270:1611289|offset_67|00cc00,1611235:1611254|offset_102|444444,1611213:1611232|offset_124|444444&amp;v=1611092:1611432&amp;c=444444", "offset 67")</f>
        <v>offset 67</v>
      </c>
    </row>
    <row r="5153" customFormat="false" ht="12.8" hidden="false" customHeight="false" outlineLevel="0" collapsed="false">
      <c r="A5153" s="0" t="s">
        <v>12</v>
      </c>
      <c r="B5153" s="0" t="n">
        <v>1611234</v>
      </c>
      <c r="C5153" s="0" t="n">
        <v>1611254</v>
      </c>
      <c r="D5153" s="0" t="s">
        <v>17190</v>
      </c>
      <c r="E5153" s="0" t="s">
        <v>75</v>
      </c>
      <c r="F5153" s="0" t="s">
        <v>90</v>
      </c>
      <c r="G5153" s="0" t="s">
        <v>16</v>
      </c>
      <c r="H5153" s="0" t="n">
        <v>102</v>
      </c>
      <c r="I5153" s="0" t="s">
        <v>17197</v>
      </c>
      <c r="J5153" s="0" t="s">
        <v>17198</v>
      </c>
      <c r="K5153" s="0" t="s">
        <v>17199</v>
      </c>
      <c r="L5153" s="0" t="str">
        <f aca="false">HYPERLINK("https://www.ncbi.nlm.nih.gov/nuccore/CP000058.1?report=graph&amp;tracks=[key:gene_model_track,Options:GeneOnly]&amp;mk=1611293:1611312|offset_44|444444,1611270:1611289|offset_67|444444,1611235:1611254|offset_102|00cc00,1611213:1611232|offset_124|444444&amp;v=1611092:1611432&amp;c=444444", "offset 102")</f>
        <v>offset 102</v>
      </c>
    </row>
    <row r="5154" customFormat="false" ht="12.8" hidden="false" customHeight="false" outlineLevel="0" collapsed="false">
      <c r="A5154" s="0" t="s">
        <v>12</v>
      </c>
      <c r="B5154" s="0" t="n">
        <v>1611212</v>
      </c>
      <c r="C5154" s="0" t="n">
        <v>1611232</v>
      </c>
      <c r="D5154" s="0" t="s">
        <v>17190</v>
      </c>
      <c r="E5154" s="0" t="s">
        <v>75</v>
      </c>
      <c r="F5154" s="0" t="s">
        <v>90</v>
      </c>
      <c r="G5154" s="0" t="s">
        <v>32</v>
      </c>
      <c r="H5154" s="0" t="n">
        <v>124</v>
      </c>
      <c r="I5154" s="0" t="s">
        <v>17200</v>
      </c>
      <c r="J5154" s="0" t="s">
        <v>17201</v>
      </c>
      <c r="K5154" s="0" t="s">
        <v>17202</v>
      </c>
      <c r="L5154" s="0" t="str">
        <f aca="false">HYPERLINK("https://www.ncbi.nlm.nih.gov/nuccore/CP000058.1?report=graph&amp;tracks=[key:gene_model_track,Options:GeneOnly]&amp;mk=1611293:1611312|offset_44|444444,1611270:1611289|offset_67|444444,1611235:1611254|offset_102|444444,1611213:1611232|offset_124|00cc00&amp;v=1611092:1611432&amp;c=444444", "offset 124")</f>
        <v>offset 124</v>
      </c>
    </row>
    <row r="5155" customFormat="false" ht="12.8" hidden="false" customHeight="false" outlineLevel="0" collapsed="false">
      <c r="A5155" s="0" t="s">
        <v>12</v>
      </c>
      <c r="B5155" s="0" t="n">
        <v>1613372</v>
      </c>
      <c r="C5155" s="0" t="n">
        <v>1613392</v>
      </c>
      <c r="D5155" s="0" t="s">
        <v>17203</v>
      </c>
      <c r="E5155" s="0" t="s">
        <v>75</v>
      </c>
      <c r="F5155" s="0" t="s">
        <v>90</v>
      </c>
      <c r="G5155" s="0" t="s">
        <v>20</v>
      </c>
      <c r="H5155" s="0" t="n">
        <v>10</v>
      </c>
      <c r="I5155" s="0" t="s">
        <v>17204</v>
      </c>
      <c r="J5155" s="0" t="s">
        <v>17205</v>
      </c>
      <c r="K5155" s="0" t="s">
        <v>17206</v>
      </c>
      <c r="L5155" s="0" t="str">
        <f aca="false">HYPERLINK("https://www.ncbi.nlm.nih.gov/nuccore/CP000058.1?report=graph&amp;tracks=[key:gene_model_track,Options:GeneOnly]&amp;mk=1613373:1613392|offset_10|00cc00,1613340:1613359|offset_43|444444,1613316:1613335|offset_67|444444,1613271:1613290|offset_112|444444&amp;v=1613172:1613490&amp;c=444444", "offset 10")</f>
        <v>offset 10</v>
      </c>
    </row>
    <row r="5156" customFormat="false" ht="12.8" hidden="false" customHeight="false" outlineLevel="0" collapsed="false">
      <c r="A5156" s="0" t="s">
        <v>12</v>
      </c>
      <c r="B5156" s="0" t="n">
        <v>1613339</v>
      </c>
      <c r="C5156" s="0" t="n">
        <v>1613359</v>
      </c>
      <c r="D5156" s="0" t="s">
        <v>17203</v>
      </c>
      <c r="E5156" s="0" t="s">
        <v>75</v>
      </c>
      <c r="F5156" s="0" t="s">
        <v>90</v>
      </c>
      <c r="G5156" s="0" t="s">
        <v>32</v>
      </c>
      <c r="H5156" s="0" t="n">
        <v>43</v>
      </c>
      <c r="I5156" s="0" t="s">
        <v>17207</v>
      </c>
      <c r="J5156" s="0" t="s">
        <v>17208</v>
      </c>
      <c r="K5156" s="0" t="s">
        <v>17209</v>
      </c>
      <c r="L5156" s="0" t="str">
        <f aca="false">HYPERLINK("https://www.ncbi.nlm.nih.gov/nuccore/CP000058.1?report=graph&amp;tracks=[key:gene_model_track,Options:GeneOnly]&amp;mk=1613373:1613392|offset_10|444444,1613340:1613359|offset_43|00cc00,1613316:1613335|offset_67|444444,1613271:1613290|offset_112|444444&amp;v=1613172:1613490&amp;c=444444", "offset 43")</f>
        <v>offset 43</v>
      </c>
    </row>
    <row r="5157" customFormat="false" ht="12.8" hidden="false" customHeight="false" outlineLevel="0" collapsed="false">
      <c r="A5157" s="0" t="s">
        <v>12</v>
      </c>
      <c r="B5157" s="0" t="n">
        <v>1613315</v>
      </c>
      <c r="C5157" s="0" t="n">
        <v>1613335</v>
      </c>
      <c r="D5157" s="0" t="s">
        <v>17203</v>
      </c>
      <c r="E5157" s="0" t="s">
        <v>75</v>
      </c>
      <c r="F5157" s="0" t="s">
        <v>90</v>
      </c>
      <c r="G5157" s="0" t="s">
        <v>16</v>
      </c>
      <c r="H5157" s="0" t="n">
        <v>67</v>
      </c>
      <c r="I5157" s="0" t="s">
        <v>17210</v>
      </c>
      <c r="J5157" s="0" t="s">
        <v>17211</v>
      </c>
      <c r="K5157" s="0" t="s">
        <v>17212</v>
      </c>
      <c r="L5157" s="0" t="str">
        <f aca="false">HYPERLINK("https://www.ncbi.nlm.nih.gov/nuccore/CP000058.1?report=graph&amp;tracks=[key:gene_model_track,Options:GeneOnly]&amp;mk=1613373:1613392|offset_10|444444,1613340:1613359|offset_43|444444,1613316:1613335|offset_67|00cc00,1613271:1613290|offset_112|444444&amp;v=1613172:1613490&amp;c=444444", "offset 67")</f>
        <v>offset 67</v>
      </c>
    </row>
    <row r="5158" customFormat="false" ht="12.8" hidden="false" customHeight="false" outlineLevel="0" collapsed="false">
      <c r="A5158" s="0" t="s">
        <v>12</v>
      </c>
      <c r="B5158" s="0" t="n">
        <v>1613270</v>
      </c>
      <c r="C5158" s="0" t="n">
        <v>1613290</v>
      </c>
      <c r="D5158" s="0" t="s">
        <v>17203</v>
      </c>
      <c r="E5158" s="0" t="s">
        <v>75</v>
      </c>
      <c r="F5158" s="0" t="s">
        <v>90</v>
      </c>
      <c r="G5158" s="0" t="s">
        <v>20</v>
      </c>
      <c r="H5158" s="0" t="n">
        <v>112</v>
      </c>
      <c r="I5158" s="0" t="s">
        <v>17213</v>
      </c>
      <c r="J5158" s="0" t="s">
        <v>17214</v>
      </c>
      <c r="K5158" s="0" t="s">
        <v>17215</v>
      </c>
      <c r="L5158" s="0" t="str">
        <f aca="false">HYPERLINK("https://www.ncbi.nlm.nih.gov/nuccore/CP000058.1?report=graph&amp;tracks=[key:gene_model_track,Options:GeneOnly]&amp;mk=1613373:1613392|offset_10|444444,1613340:1613359|offset_43|444444,1613316:1613335|offset_67|444444,1613271:1613290|offset_112|00cc00&amp;v=1613172:1613490&amp;c=444444", "offset 112")</f>
        <v>offset 112</v>
      </c>
    </row>
    <row r="5159" customFormat="false" ht="12.8" hidden="false" customHeight="false" outlineLevel="0" collapsed="false">
      <c r="A5159" s="0" t="s">
        <v>12</v>
      </c>
      <c r="B5159" s="0" t="n">
        <v>1614401</v>
      </c>
      <c r="C5159" s="0" t="n">
        <v>1614421</v>
      </c>
      <c r="D5159" s="0" t="s">
        <v>17216</v>
      </c>
      <c r="E5159" s="0" t="s">
        <v>75</v>
      </c>
      <c r="F5159" s="0" t="s">
        <v>90</v>
      </c>
      <c r="G5159" s="0" t="s">
        <v>36</v>
      </c>
      <c r="H5159" s="0" t="n">
        <v>24</v>
      </c>
      <c r="I5159" s="0" t="s">
        <v>17217</v>
      </c>
      <c r="J5159" s="0" t="s">
        <v>17218</v>
      </c>
      <c r="K5159" s="0" t="s">
        <v>17219</v>
      </c>
      <c r="L5159" s="0" t="str">
        <f aca="false">HYPERLINK("https://www.ncbi.nlm.nih.gov/nuccore/CP000058.1?report=graph&amp;tracks=[key:gene_model_track,Options:GeneOnly]&amp;mk=1614402:1614421|offset_24|00cc00,1614381:1614400|offset_45|444444,1614361:1614380|offset_65|444444,1614338:1614357|offset_88|444444&amp;v=1614201:1614557&amp;c=444444", "offset 24")</f>
        <v>offset 24</v>
      </c>
    </row>
    <row r="5160" customFormat="false" ht="12.8" hidden="false" customHeight="false" outlineLevel="0" collapsed="false">
      <c r="A5160" s="0" t="s">
        <v>12</v>
      </c>
      <c r="B5160" s="0" t="n">
        <v>1614380</v>
      </c>
      <c r="C5160" s="0" t="n">
        <v>1614400</v>
      </c>
      <c r="D5160" s="0" t="s">
        <v>17216</v>
      </c>
      <c r="E5160" s="0" t="s">
        <v>75</v>
      </c>
      <c r="F5160" s="0" t="s">
        <v>90</v>
      </c>
      <c r="G5160" s="0" t="s">
        <v>36</v>
      </c>
      <c r="H5160" s="0" t="n">
        <v>45</v>
      </c>
      <c r="I5160" s="0" t="s">
        <v>17220</v>
      </c>
      <c r="J5160" s="0" t="s">
        <v>17221</v>
      </c>
      <c r="K5160" s="0" t="s">
        <v>17222</v>
      </c>
      <c r="L5160" s="0" t="str">
        <f aca="false">HYPERLINK("https://www.ncbi.nlm.nih.gov/nuccore/CP000058.1?report=graph&amp;tracks=[key:gene_model_track,Options:GeneOnly]&amp;mk=1614402:1614421|offset_24|444444,1614381:1614400|offset_45|00cc00,1614361:1614380|offset_65|444444,1614338:1614357|offset_88|444444&amp;v=1614201:1614557&amp;c=444444", "offset 45")</f>
        <v>offset 45</v>
      </c>
    </row>
    <row r="5161" customFormat="false" ht="12.8" hidden="false" customHeight="false" outlineLevel="0" collapsed="false">
      <c r="A5161" s="0" t="s">
        <v>12</v>
      </c>
      <c r="B5161" s="0" t="n">
        <v>1614360</v>
      </c>
      <c r="C5161" s="0" t="n">
        <v>1614380</v>
      </c>
      <c r="D5161" s="0" t="s">
        <v>17216</v>
      </c>
      <c r="E5161" s="0" t="s">
        <v>75</v>
      </c>
      <c r="F5161" s="0" t="s">
        <v>90</v>
      </c>
      <c r="G5161" s="0" t="s">
        <v>36</v>
      </c>
      <c r="H5161" s="0" t="n">
        <v>65</v>
      </c>
      <c r="I5161" s="0" t="s">
        <v>17223</v>
      </c>
      <c r="J5161" s="0" t="s">
        <v>17224</v>
      </c>
      <c r="K5161" s="0" t="s">
        <v>17225</v>
      </c>
      <c r="L5161" s="0" t="str">
        <f aca="false">HYPERLINK("https://www.ncbi.nlm.nih.gov/nuccore/CP000058.1?report=graph&amp;tracks=[key:gene_model_track,Options:GeneOnly]&amp;mk=1614402:1614421|offset_24|444444,1614381:1614400|offset_45|444444,1614361:1614380|offset_65|00cc00,1614338:1614357|offset_88|444444&amp;v=1614201:1614557&amp;c=444444", "offset 65")</f>
        <v>offset 65</v>
      </c>
    </row>
    <row r="5162" customFormat="false" ht="12.8" hidden="false" customHeight="false" outlineLevel="0" collapsed="false">
      <c r="A5162" s="0" t="s">
        <v>12</v>
      </c>
      <c r="B5162" s="0" t="n">
        <v>1614337</v>
      </c>
      <c r="C5162" s="0" t="n">
        <v>1614357</v>
      </c>
      <c r="D5162" s="0" t="s">
        <v>17216</v>
      </c>
      <c r="E5162" s="0" t="s">
        <v>75</v>
      </c>
      <c r="F5162" s="0" t="s">
        <v>90</v>
      </c>
      <c r="G5162" s="0" t="s">
        <v>16</v>
      </c>
      <c r="H5162" s="0" t="n">
        <v>88</v>
      </c>
      <c r="I5162" s="0" t="s">
        <v>17226</v>
      </c>
      <c r="J5162" s="0" t="s">
        <v>17227</v>
      </c>
      <c r="K5162" s="0" t="s">
        <v>17228</v>
      </c>
      <c r="L5162" s="0" t="str">
        <f aca="false">HYPERLINK("https://www.ncbi.nlm.nih.gov/nuccore/CP000058.1?report=graph&amp;tracks=[key:gene_model_track,Options:GeneOnly]&amp;mk=1614402:1614421|offset_24|444444,1614381:1614400|offset_45|444444,1614361:1614380|offset_65|444444,1614338:1614357|offset_88|00cc00&amp;v=1614201:1614557&amp;c=444444", "offset 88")</f>
        <v>offset 88</v>
      </c>
    </row>
    <row r="5163" customFormat="false" ht="12.8" hidden="false" customHeight="false" outlineLevel="0" collapsed="false">
      <c r="A5163" s="0" t="s">
        <v>12</v>
      </c>
      <c r="B5163" s="0" t="n">
        <v>1617775</v>
      </c>
      <c r="C5163" s="0" t="n">
        <v>1617795</v>
      </c>
      <c r="D5163" s="0" t="s">
        <v>17229</v>
      </c>
      <c r="E5163" s="0" t="s">
        <v>75</v>
      </c>
      <c r="F5163" s="0" t="s">
        <v>90</v>
      </c>
      <c r="G5163" s="0" t="s">
        <v>36</v>
      </c>
      <c r="H5163" s="0" t="n">
        <v>0</v>
      </c>
      <c r="I5163" s="0" t="s">
        <v>17230</v>
      </c>
      <c r="J5163" s="0" t="s">
        <v>17231</v>
      </c>
      <c r="K5163" s="0" t="s">
        <v>17232</v>
      </c>
      <c r="L5163" s="0" t="str">
        <f aca="false">HYPERLINK("https://www.ncbi.nlm.nih.gov/nuccore/CP000058.1?report=graph&amp;tracks=[key:gene_model_track,Options:GeneOnly]&amp;mk=1617776:1617795|offset_0|00cc00,1617743:1617762|offset_33|444444,1617708:1617727|offset_68|444444,1617671:1617690|offset_105|444444&amp;v=1617575:1617890&amp;c=444444", "offset 0")</f>
        <v>offset 0</v>
      </c>
    </row>
    <row r="5164" customFormat="false" ht="12.8" hidden="false" customHeight="false" outlineLevel="0" collapsed="false">
      <c r="A5164" s="0" t="s">
        <v>12</v>
      </c>
      <c r="B5164" s="0" t="n">
        <v>1617742</v>
      </c>
      <c r="C5164" s="0" t="n">
        <v>1617762</v>
      </c>
      <c r="D5164" s="0" t="s">
        <v>17229</v>
      </c>
      <c r="E5164" s="0" t="s">
        <v>75</v>
      </c>
      <c r="F5164" s="0" t="s">
        <v>90</v>
      </c>
      <c r="G5164" s="0" t="s">
        <v>36</v>
      </c>
      <c r="H5164" s="0" t="n">
        <v>33</v>
      </c>
      <c r="I5164" s="0" t="s">
        <v>17233</v>
      </c>
      <c r="J5164" s="0" t="s">
        <v>17234</v>
      </c>
      <c r="K5164" s="0" t="s">
        <v>17235</v>
      </c>
      <c r="L5164" s="0" t="str">
        <f aca="false">HYPERLINK("https://www.ncbi.nlm.nih.gov/nuccore/CP000058.1?report=graph&amp;tracks=[key:gene_model_track,Options:GeneOnly]&amp;mk=1617776:1617795|offset_0|444444,1617743:1617762|offset_33|00cc00,1617708:1617727|offset_68|444444,1617671:1617690|offset_105|444444&amp;v=1617575:1617890&amp;c=444444", "offset 33")</f>
        <v>offset 33</v>
      </c>
    </row>
    <row r="5165" customFormat="false" ht="12.8" hidden="false" customHeight="false" outlineLevel="0" collapsed="false">
      <c r="A5165" s="0" t="s">
        <v>12</v>
      </c>
      <c r="B5165" s="0" t="n">
        <v>1617707</v>
      </c>
      <c r="C5165" s="0" t="n">
        <v>1617727</v>
      </c>
      <c r="D5165" s="0" t="s">
        <v>17229</v>
      </c>
      <c r="E5165" s="0" t="s">
        <v>75</v>
      </c>
      <c r="F5165" s="0" t="s">
        <v>90</v>
      </c>
      <c r="G5165" s="0" t="s">
        <v>20</v>
      </c>
      <c r="H5165" s="0" t="n">
        <v>68</v>
      </c>
      <c r="I5165" s="0" t="s">
        <v>17236</v>
      </c>
      <c r="J5165" s="0" t="s">
        <v>17237</v>
      </c>
      <c r="K5165" s="0" t="s">
        <v>17238</v>
      </c>
      <c r="L5165" s="0" t="str">
        <f aca="false">HYPERLINK("https://www.ncbi.nlm.nih.gov/nuccore/CP000058.1?report=graph&amp;tracks=[key:gene_model_track,Options:GeneOnly]&amp;mk=1617776:1617795|offset_0|444444,1617743:1617762|offset_33|444444,1617708:1617727|offset_68|00cc00,1617671:1617690|offset_105|444444&amp;v=1617575:1617890&amp;c=444444", "offset 68")</f>
        <v>offset 68</v>
      </c>
    </row>
    <row r="5166" customFormat="false" ht="12.8" hidden="false" customHeight="false" outlineLevel="0" collapsed="false">
      <c r="A5166" s="0" t="s">
        <v>12</v>
      </c>
      <c r="B5166" s="0" t="n">
        <v>1617670</v>
      </c>
      <c r="C5166" s="0" t="n">
        <v>1617690</v>
      </c>
      <c r="D5166" s="0" t="s">
        <v>17229</v>
      </c>
      <c r="E5166" s="0" t="s">
        <v>75</v>
      </c>
      <c r="F5166" s="0" t="s">
        <v>90</v>
      </c>
      <c r="G5166" s="0" t="s">
        <v>36</v>
      </c>
      <c r="H5166" s="0" t="n">
        <v>105</v>
      </c>
      <c r="I5166" s="0" t="s">
        <v>17239</v>
      </c>
      <c r="J5166" s="0" t="s">
        <v>17240</v>
      </c>
      <c r="K5166" s="0" t="s">
        <v>17241</v>
      </c>
      <c r="L5166" s="0" t="str">
        <f aca="false">HYPERLINK("https://www.ncbi.nlm.nih.gov/nuccore/CP000058.1?report=graph&amp;tracks=[key:gene_model_track,Options:GeneOnly]&amp;mk=1617776:1617795|offset_0|444444,1617743:1617762|offset_33|444444,1617708:1617727|offset_68|444444,1617671:1617690|offset_105|00cc00&amp;v=1617575:1617890&amp;c=444444", "offset 105")</f>
        <v>offset 105</v>
      </c>
    </row>
    <row r="5167" customFormat="false" ht="12.8" hidden="false" customHeight="false" outlineLevel="0" collapsed="false">
      <c r="A5167" s="0" t="s">
        <v>12</v>
      </c>
      <c r="B5167" s="0" t="n">
        <v>1618057</v>
      </c>
      <c r="C5167" s="0" t="n">
        <v>1618077</v>
      </c>
      <c r="D5167" s="0" t="s">
        <v>17242</v>
      </c>
      <c r="E5167" s="0" t="s">
        <v>75</v>
      </c>
      <c r="F5167" s="0" t="s">
        <v>90</v>
      </c>
      <c r="G5167" s="0" t="s">
        <v>16</v>
      </c>
      <c r="H5167" s="0" t="n">
        <v>0</v>
      </c>
      <c r="I5167" s="0" t="s">
        <v>17243</v>
      </c>
      <c r="J5167" s="0" t="s">
        <v>17244</v>
      </c>
      <c r="K5167" s="0" t="s">
        <v>17245</v>
      </c>
      <c r="L5167" s="0" t="str">
        <f aca="false">HYPERLINK("https://www.ncbi.nlm.nih.gov/nuccore/CP000058.1?report=graph&amp;tracks=[key:gene_model_track,Options:GeneOnly]&amp;mk=1618058:1618077|offset_0|00cc00,1618019:1618038|offset_39|444444&amp;v=1617857:1618238&amp;c=444444", "offset 0")</f>
        <v>offset 0</v>
      </c>
    </row>
    <row r="5168" customFormat="false" ht="12.8" hidden="false" customHeight="false" outlineLevel="0" collapsed="false">
      <c r="A5168" s="0" t="s">
        <v>12</v>
      </c>
      <c r="B5168" s="0" t="n">
        <v>1618018</v>
      </c>
      <c r="C5168" s="0" t="n">
        <v>1618038</v>
      </c>
      <c r="D5168" s="0" t="s">
        <v>17242</v>
      </c>
      <c r="E5168" s="0" t="s">
        <v>75</v>
      </c>
      <c r="F5168" s="0" t="s">
        <v>90</v>
      </c>
      <c r="G5168" s="0" t="s">
        <v>20</v>
      </c>
      <c r="H5168" s="0" t="n">
        <v>39</v>
      </c>
      <c r="I5168" s="0" t="s">
        <v>17246</v>
      </c>
      <c r="J5168" s="0" t="s">
        <v>17247</v>
      </c>
      <c r="K5168" s="0" t="s">
        <v>17248</v>
      </c>
      <c r="L5168" s="0" t="str">
        <f aca="false">HYPERLINK("https://www.ncbi.nlm.nih.gov/nuccore/CP000058.1?report=graph&amp;tracks=[key:gene_model_track,Options:GeneOnly]&amp;mk=1618058:1618077|offset_0|444444,1618019:1618038|offset_39|00cc00&amp;v=1617857:1618238&amp;c=444444", "offset 39")</f>
        <v>offset 39</v>
      </c>
    </row>
    <row r="5169" customFormat="false" ht="12.8" hidden="false" customHeight="false" outlineLevel="0" collapsed="false">
      <c r="A5169" s="0" t="s">
        <v>12</v>
      </c>
      <c r="B5169" s="0" t="n">
        <v>1618098</v>
      </c>
      <c r="C5169" s="0" t="n">
        <v>1618118</v>
      </c>
      <c r="D5169" s="0" t="s">
        <v>17249</v>
      </c>
      <c r="E5169" s="0" t="s">
        <v>75</v>
      </c>
      <c r="F5169" s="0" t="s">
        <v>15</v>
      </c>
      <c r="G5169" s="0" t="s">
        <v>36</v>
      </c>
      <c r="H5169" s="0" t="n">
        <v>12</v>
      </c>
      <c r="I5169" s="0" t="s">
        <v>17250</v>
      </c>
      <c r="J5169" s="0" t="s">
        <v>17251</v>
      </c>
      <c r="K5169" s="0" t="s">
        <v>17252</v>
      </c>
      <c r="L5169" s="0" t="str">
        <f aca="false">HYPERLINK("https://www.ncbi.nlm.nih.gov/nuccore/CP000058.1?report=graph&amp;tracks=[key:gene_model_track,Options:GeneOnly]&amp;mk=1618099:1618118|offset_12|00cc00,1618124:1618143|offset_37|444444,1618175:1618194|offset_88|444444,1618211:1618230|offset_124|444444&amp;v=1617898:1618430&amp;c=444444", "offset 12")</f>
        <v>offset 12</v>
      </c>
    </row>
    <row r="5170" customFormat="false" ht="12.8" hidden="false" customHeight="false" outlineLevel="0" collapsed="false">
      <c r="A5170" s="0" t="s">
        <v>12</v>
      </c>
      <c r="B5170" s="0" t="n">
        <v>1618123</v>
      </c>
      <c r="C5170" s="0" t="n">
        <v>1618143</v>
      </c>
      <c r="D5170" s="0" t="s">
        <v>17249</v>
      </c>
      <c r="E5170" s="0" t="s">
        <v>75</v>
      </c>
      <c r="F5170" s="0" t="s">
        <v>15</v>
      </c>
      <c r="G5170" s="0" t="s">
        <v>32</v>
      </c>
      <c r="H5170" s="0" t="n">
        <v>37</v>
      </c>
      <c r="I5170" s="0" t="s">
        <v>17253</v>
      </c>
      <c r="J5170" s="0" t="s">
        <v>17254</v>
      </c>
      <c r="K5170" s="0" t="s">
        <v>17255</v>
      </c>
      <c r="L5170" s="0" t="str">
        <f aca="false">HYPERLINK("https://www.ncbi.nlm.nih.gov/nuccore/CP000058.1?report=graph&amp;tracks=[key:gene_model_track,Options:GeneOnly]&amp;mk=1618099:1618118|offset_12|444444,1618124:1618143|offset_37|00cc00,1618175:1618194|offset_88|444444,1618211:1618230|offset_124|444444&amp;v=1617898:1618430&amp;c=444444", "offset 37")</f>
        <v>offset 37</v>
      </c>
    </row>
    <row r="5171" customFormat="false" ht="12.8" hidden="false" customHeight="false" outlineLevel="0" collapsed="false">
      <c r="A5171" s="0" t="s">
        <v>12</v>
      </c>
      <c r="B5171" s="0" t="n">
        <v>1618174</v>
      </c>
      <c r="C5171" s="0" t="n">
        <v>1618194</v>
      </c>
      <c r="D5171" s="0" t="s">
        <v>17249</v>
      </c>
      <c r="E5171" s="0" t="s">
        <v>75</v>
      </c>
      <c r="F5171" s="0" t="s">
        <v>15</v>
      </c>
      <c r="G5171" s="0" t="s">
        <v>32</v>
      </c>
      <c r="H5171" s="0" t="n">
        <v>88</v>
      </c>
      <c r="I5171" s="0" t="s">
        <v>17256</v>
      </c>
      <c r="J5171" s="0" t="s">
        <v>17257</v>
      </c>
      <c r="K5171" s="0" t="s">
        <v>17258</v>
      </c>
      <c r="L5171" s="0" t="str">
        <f aca="false">HYPERLINK("https://www.ncbi.nlm.nih.gov/nuccore/CP000058.1?report=graph&amp;tracks=[key:gene_model_track,Options:GeneOnly]&amp;mk=1618099:1618118|offset_12|444444,1618124:1618143|offset_37|444444,1618175:1618194|offset_88|00cc00,1618211:1618230|offset_124|444444&amp;v=1617898:1618430&amp;c=444444", "offset 88")</f>
        <v>offset 88</v>
      </c>
    </row>
    <row r="5172" customFormat="false" ht="12.8" hidden="false" customHeight="false" outlineLevel="0" collapsed="false">
      <c r="A5172" s="0" t="s">
        <v>12</v>
      </c>
      <c r="B5172" s="0" t="n">
        <v>1618210</v>
      </c>
      <c r="C5172" s="0" t="n">
        <v>1618230</v>
      </c>
      <c r="D5172" s="0" t="s">
        <v>17249</v>
      </c>
      <c r="E5172" s="0" t="s">
        <v>75</v>
      </c>
      <c r="F5172" s="0" t="s">
        <v>15</v>
      </c>
      <c r="G5172" s="0" t="s">
        <v>16</v>
      </c>
      <c r="H5172" s="0" t="n">
        <v>124</v>
      </c>
      <c r="I5172" s="0" t="s">
        <v>17259</v>
      </c>
      <c r="J5172" s="0" t="s">
        <v>17260</v>
      </c>
      <c r="K5172" s="0" t="s">
        <v>17261</v>
      </c>
      <c r="L5172" s="0" t="str">
        <f aca="false">HYPERLINK("https://www.ncbi.nlm.nih.gov/nuccore/CP000058.1?report=graph&amp;tracks=[key:gene_model_track,Options:GeneOnly]&amp;mk=1618099:1618118|offset_12|444444,1618124:1618143|offset_37|444444,1618175:1618194|offset_88|444444,1618211:1618230|offset_124|00cc00&amp;v=1617898:1618430&amp;c=444444", "offset 124")</f>
        <v>offset 124</v>
      </c>
    </row>
    <row r="5173" customFormat="false" ht="12.8" hidden="false" customHeight="false" outlineLevel="0" collapsed="false">
      <c r="A5173" s="0" t="s">
        <v>12</v>
      </c>
      <c r="B5173" s="0" t="n">
        <v>1619165</v>
      </c>
      <c r="C5173" s="0" t="n">
        <v>1619185</v>
      </c>
      <c r="D5173" s="0" t="s">
        <v>17262</v>
      </c>
      <c r="E5173" s="0" t="s">
        <v>75</v>
      </c>
      <c r="F5173" s="0" t="s">
        <v>15</v>
      </c>
      <c r="G5173" s="0" t="s">
        <v>16</v>
      </c>
      <c r="H5173" s="0" t="n">
        <v>24</v>
      </c>
      <c r="I5173" s="0" t="s">
        <v>17263</v>
      </c>
      <c r="J5173" s="0" t="s">
        <v>17264</v>
      </c>
      <c r="K5173" s="0" t="s">
        <v>17265</v>
      </c>
      <c r="L5173" s="0" t="str">
        <f aca="false">HYPERLINK("https://www.ncbi.nlm.nih.gov/nuccore/CP000058.1?report=graph&amp;tracks=[key:gene_model_track,Options:GeneOnly]&amp;mk=1619166:1619185|offset_24|00cc00,1619226:1619245|offset_84|444444,1619254:1619273|offset_112|444444,1619277:1619296|offset_135|444444&amp;v=1618965:1619496&amp;c=444444", "offset 24")</f>
        <v>offset 24</v>
      </c>
    </row>
    <row r="5174" customFormat="false" ht="12.8" hidden="false" customHeight="false" outlineLevel="0" collapsed="false">
      <c r="A5174" s="0" t="s">
        <v>12</v>
      </c>
      <c r="B5174" s="0" t="n">
        <v>1619225</v>
      </c>
      <c r="C5174" s="0" t="n">
        <v>1619245</v>
      </c>
      <c r="D5174" s="0" t="s">
        <v>17262</v>
      </c>
      <c r="E5174" s="0" t="s">
        <v>75</v>
      </c>
      <c r="F5174" s="0" t="s">
        <v>15</v>
      </c>
      <c r="G5174" s="0" t="s">
        <v>16</v>
      </c>
      <c r="H5174" s="0" t="n">
        <v>84</v>
      </c>
      <c r="I5174" s="0" t="s">
        <v>17266</v>
      </c>
      <c r="J5174" s="0" t="s">
        <v>17267</v>
      </c>
      <c r="K5174" s="0" t="s">
        <v>17268</v>
      </c>
      <c r="L5174" s="0" t="str">
        <f aca="false">HYPERLINK("https://www.ncbi.nlm.nih.gov/nuccore/CP000058.1?report=graph&amp;tracks=[key:gene_model_track,Options:GeneOnly]&amp;mk=1619166:1619185|offset_24|444444,1619226:1619245|offset_84|00cc00,1619254:1619273|offset_112|444444,1619277:1619296|offset_135|444444&amp;v=1618965:1619496&amp;c=444444", "offset 84")</f>
        <v>offset 84</v>
      </c>
    </row>
    <row r="5175" customFormat="false" ht="12.8" hidden="false" customHeight="false" outlineLevel="0" collapsed="false">
      <c r="A5175" s="0" t="s">
        <v>12</v>
      </c>
      <c r="B5175" s="0" t="n">
        <v>1619253</v>
      </c>
      <c r="C5175" s="0" t="n">
        <v>1619273</v>
      </c>
      <c r="D5175" s="0" t="s">
        <v>17262</v>
      </c>
      <c r="E5175" s="0" t="s">
        <v>75</v>
      </c>
      <c r="F5175" s="0" t="s">
        <v>15</v>
      </c>
      <c r="G5175" s="0" t="s">
        <v>16</v>
      </c>
      <c r="H5175" s="0" t="n">
        <v>112</v>
      </c>
      <c r="I5175" s="0" t="s">
        <v>17269</v>
      </c>
      <c r="J5175" s="0" t="s">
        <v>17270</v>
      </c>
      <c r="K5175" s="0" t="s">
        <v>17271</v>
      </c>
      <c r="L5175" s="0" t="str">
        <f aca="false">HYPERLINK("https://www.ncbi.nlm.nih.gov/nuccore/CP000058.1?report=graph&amp;tracks=[key:gene_model_track,Options:GeneOnly]&amp;mk=1619166:1619185|offset_24|444444,1619226:1619245|offset_84|444444,1619254:1619273|offset_112|00cc00,1619277:1619296|offset_135|444444&amp;v=1618965:1619496&amp;c=444444", "offset 112")</f>
        <v>offset 112</v>
      </c>
    </row>
    <row r="5176" customFormat="false" ht="12.8" hidden="false" customHeight="false" outlineLevel="0" collapsed="false">
      <c r="A5176" s="0" t="s">
        <v>12</v>
      </c>
      <c r="B5176" s="0" t="n">
        <v>1619276</v>
      </c>
      <c r="C5176" s="0" t="n">
        <v>1619296</v>
      </c>
      <c r="D5176" s="0" t="s">
        <v>17262</v>
      </c>
      <c r="E5176" s="0" t="s">
        <v>75</v>
      </c>
      <c r="F5176" s="0" t="s">
        <v>15</v>
      </c>
      <c r="G5176" s="0" t="s">
        <v>20</v>
      </c>
      <c r="H5176" s="0" t="n">
        <v>135</v>
      </c>
      <c r="I5176" s="0" t="s">
        <v>17272</v>
      </c>
      <c r="J5176" s="0" t="s">
        <v>17273</v>
      </c>
      <c r="K5176" s="0" t="s">
        <v>17274</v>
      </c>
      <c r="L5176" s="0" t="str">
        <f aca="false">HYPERLINK("https://www.ncbi.nlm.nih.gov/nuccore/CP000058.1?report=graph&amp;tracks=[key:gene_model_track,Options:GeneOnly]&amp;mk=1619166:1619185|offset_24|444444,1619226:1619245|offset_84|444444,1619254:1619273|offset_112|444444,1619277:1619296|offset_135|00cc00&amp;v=1618965:1619496&amp;c=444444", "offset 135")</f>
        <v>offset 135</v>
      </c>
    </row>
    <row r="5177" customFormat="false" ht="12.8" hidden="false" customHeight="false" outlineLevel="0" collapsed="false">
      <c r="A5177" s="0" t="s">
        <v>12</v>
      </c>
      <c r="B5177" s="0" t="n">
        <v>1619654</v>
      </c>
      <c r="C5177" s="0" t="n">
        <v>1619674</v>
      </c>
      <c r="D5177" s="0" t="s">
        <v>17275</v>
      </c>
      <c r="E5177" s="0" t="s">
        <v>75</v>
      </c>
      <c r="F5177" s="0" t="s">
        <v>15</v>
      </c>
      <c r="G5177" s="0" t="s">
        <v>16</v>
      </c>
      <c r="H5177" s="0" t="n">
        <v>0</v>
      </c>
      <c r="I5177" s="0" t="s">
        <v>17276</v>
      </c>
      <c r="J5177" s="0" t="s">
        <v>17277</v>
      </c>
      <c r="K5177" s="0" t="s">
        <v>17278</v>
      </c>
      <c r="L5177" s="0" t="str">
        <f aca="false">HYPERLINK("https://www.ncbi.nlm.nih.gov/nuccore/CP000058.1?report=graph&amp;tracks=[key:gene_model_track,Options:GeneOnly]&amp;mk=1619655:1619674|offset_0|00cc00,1619704:1619723|offset_49|444444,1619767:1619786|offset_112|444444,1619797:1619816|offset_142|444444&amp;v=1619454:1620016&amp;c=444444", "offset 0")</f>
        <v>offset 0</v>
      </c>
    </row>
    <row r="5178" customFormat="false" ht="12.8" hidden="false" customHeight="false" outlineLevel="0" collapsed="false">
      <c r="A5178" s="0" t="s">
        <v>12</v>
      </c>
      <c r="B5178" s="0" t="n">
        <v>1619703</v>
      </c>
      <c r="C5178" s="0" t="n">
        <v>1619723</v>
      </c>
      <c r="D5178" s="0" t="s">
        <v>17275</v>
      </c>
      <c r="E5178" s="0" t="s">
        <v>75</v>
      </c>
      <c r="F5178" s="0" t="s">
        <v>15</v>
      </c>
      <c r="G5178" s="0" t="s">
        <v>16</v>
      </c>
      <c r="H5178" s="0" t="n">
        <v>49</v>
      </c>
      <c r="I5178" s="0" t="s">
        <v>17279</v>
      </c>
      <c r="J5178" s="0" t="s">
        <v>17280</v>
      </c>
      <c r="K5178" s="0" t="s">
        <v>17281</v>
      </c>
      <c r="L5178" s="0" t="str">
        <f aca="false">HYPERLINK("https://www.ncbi.nlm.nih.gov/nuccore/CP000058.1?report=graph&amp;tracks=[key:gene_model_track,Options:GeneOnly]&amp;mk=1619655:1619674|offset_0|444444,1619704:1619723|offset_49|00cc00,1619767:1619786|offset_112|444444,1619797:1619816|offset_142|444444&amp;v=1619454:1620016&amp;c=444444", "offset 49")</f>
        <v>offset 49</v>
      </c>
    </row>
    <row r="5179" customFormat="false" ht="12.8" hidden="false" customHeight="false" outlineLevel="0" collapsed="false">
      <c r="A5179" s="0" t="s">
        <v>12</v>
      </c>
      <c r="B5179" s="0" t="n">
        <v>1619766</v>
      </c>
      <c r="C5179" s="0" t="n">
        <v>1619786</v>
      </c>
      <c r="D5179" s="0" t="s">
        <v>17275</v>
      </c>
      <c r="E5179" s="0" t="s">
        <v>75</v>
      </c>
      <c r="F5179" s="0" t="s">
        <v>15</v>
      </c>
      <c r="G5179" s="0" t="s">
        <v>20</v>
      </c>
      <c r="H5179" s="0" t="n">
        <v>112</v>
      </c>
      <c r="I5179" s="0" t="s">
        <v>17282</v>
      </c>
      <c r="J5179" s="0" t="s">
        <v>17283</v>
      </c>
      <c r="K5179" s="0" t="s">
        <v>17284</v>
      </c>
      <c r="L5179" s="0" t="str">
        <f aca="false">HYPERLINK("https://www.ncbi.nlm.nih.gov/nuccore/CP000058.1?report=graph&amp;tracks=[key:gene_model_track,Options:GeneOnly]&amp;mk=1619655:1619674|offset_0|444444,1619704:1619723|offset_49|444444,1619767:1619786|offset_112|00cc00,1619797:1619816|offset_142|444444&amp;v=1619454:1620016&amp;c=444444", "offset 112")</f>
        <v>offset 112</v>
      </c>
    </row>
    <row r="5180" customFormat="false" ht="12.8" hidden="false" customHeight="false" outlineLevel="0" collapsed="false">
      <c r="A5180" s="0" t="s">
        <v>12</v>
      </c>
      <c r="B5180" s="0" t="n">
        <v>1619796</v>
      </c>
      <c r="C5180" s="0" t="n">
        <v>1619816</v>
      </c>
      <c r="D5180" s="0" t="s">
        <v>17275</v>
      </c>
      <c r="E5180" s="0" t="s">
        <v>75</v>
      </c>
      <c r="F5180" s="0" t="s">
        <v>15</v>
      </c>
      <c r="G5180" s="0" t="s">
        <v>20</v>
      </c>
      <c r="H5180" s="0" t="n">
        <v>142</v>
      </c>
      <c r="I5180" s="0" t="s">
        <v>17285</v>
      </c>
      <c r="J5180" s="0" t="s">
        <v>17286</v>
      </c>
      <c r="K5180" s="0" t="s">
        <v>17287</v>
      </c>
      <c r="L5180" s="0" t="str">
        <f aca="false">HYPERLINK("https://www.ncbi.nlm.nih.gov/nuccore/CP000058.1?report=graph&amp;tracks=[key:gene_model_track,Options:GeneOnly]&amp;mk=1619655:1619674|offset_0|444444,1619704:1619723|offset_49|444444,1619767:1619786|offset_112|444444,1619797:1619816|offset_142|00cc00&amp;v=1619454:1620016&amp;c=444444", "offset 142")</f>
        <v>offset 142</v>
      </c>
    </row>
    <row r="5181" customFormat="false" ht="12.8" hidden="false" customHeight="false" outlineLevel="0" collapsed="false">
      <c r="A5181" s="0" t="s">
        <v>12</v>
      </c>
      <c r="B5181" s="0" t="n">
        <v>1620464</v>
      </c>
      <c r="C5181" s="0" t="n">
        <v>1620484</v>
      </c>
      <c r="D5181" s="0" t="s">
        <v>17288</v>
      </c>
      <c r="E5181" s="0" t="s">
        <v>75</v>
      </c>
      <c r="F5181" s="0" t="s">
        <v>90</v>
      </c>
      <c r="G5181" s="0" t="s">
        <v>32</v>
      </c>
      <c r="H5181" s="0" t="n">
        <v>1</v>
      </c>
      <c r="I5181" s="0" t="s">
        <v>17289</v>
      </c>
      <c r="J5181" s="0" t="s">
        <v>17290</v>
      </c>
      <c r="K5181" s="0" t="s">
        <v>17291</v>
      </c>
      <c r="L5181" s="0" t="str">
        <f aca="false">HYPERLINK("https://www.ncbi.nlm.nih.gov/nuccore/CP000058.1?report=graph&amp;tracks=[key:gene_model_track,Options:GeneOnly]&amp;mk=1620465:1620484|offset_1|00cc00,1620428:1620447|offset_38|444444,1620371:1620390|offset_95|444444,1620341:1620360|offset_125|444444&amp;v=1620264:1620560&amp;c=444444", "offset 1")</f>
        <v>offset 1</v>
      </c>
    </row>
    <row r="5182" customFormat="false" ht="12.8" hidden="false" customHeight="false" outlineLevel="0" collapsed="false">
      <c r="A5182" s="0" t="s">
        <v>12</v>
      </c>
      <c r="B5182" s="0" t="n">
        <v>1620427</v>
      </c>
      <c r="C5182" s="0" t="n">
        <v>1620447</v>
      </c>
      <c r="D5182" s="0" t="s">
        <v>17288</v>
      </c>
      <c r="E5182" s="0" t="s">
        <v>75</v>
      </c>
      <c r="F5182" s="0" t="s">
        <v>90</v>
      </c>
      <c r="G5182" s="0" t="s">
        <v>20</v>
      </c>
      <c r="H5182" s="0" t="n">
        <v>38</v>
      </c>
      <c r="I5182" s="0" t="s">
        <v>17292</v>
      </c>
      <c r="J5182" s="0" t="s">
        <v>17293</v>
      </c>
      <c r="K5182" s="0" t="s">
        <v>17294</v>
      </c>
      <c r="L5182" s="0" t="str">
        <f aca="false">HYPERLINK("https://www.ncbi.nlm.nih.gov/nuccore/CP000058.1?report=graph&amp;tracks=[key:gene_model_track,Options:GeneOnly]&amp;mk=1620465:1620484|offset_1|444444,1620428:1620447|offset_38|00cc00,1620371:1620390|offset_95|444444,1620341:1620360|offset_125|444444&amp;v=1620264:1620560&amp;c=444444", "offset 38")</f>
        <v>offset 38</v>
      </c>
    </row>
    <row r="5183" customFormat="false" ht="12.8" hidden="false" customHeight="false" outlineLevel="0" collapsed="false">
      <c r="A5183" s="0" t="s">
        <v>12</v>
      </c>
      <c r="B5183" s="0" t="n">
        <v>1620370</v>
      </c>
      <c r="C5183" s="0" t="n">
        <v>1620390</v>
      </c>
      <c r="D5183" s="0" t="s">
        <v>17288</v>
      </c>
      <c r="E5183" s="0" t="s">
        <v>75</v>
      </c>
      <c r="F5183" s="0" t="s">
        <v>90</v>
      </c>
      <c r="G5183" s="0" t="s">
        <v>32</v>
      </c>
      <c r="H5183" s="0" t="n">
        <v>95</v>
      </c>
      <c r="I5183" s="0" t="s">
        <v>17295</v>
      </c>
      <c r="J5183" s="0" t="s">
        <v>17296</v>
      </c>
      <c r="K5183" s="0" t="s">
        <v>17297</v>
      </c>
      <c r="L5183" s="0" t="str">
        <f aca="false">HYPERLINK("https://www.ncbi.nlm.nih.gov/nuccore/CP000058.1?report=graph&amp;tracks=[key:gene_model_track,Options:GeneOnly]&amp;mk=1620465:1620484|offset_1|444444,1620428:1620447|offset_38|444444,1620371:1620390|offset_95|00cc00,1620341:1620360|offset_125|444444&amp;v=1620264:1620560&amp;c=444444", "offset 95")</f>
        <v>offset 95</v>
      </c>
    </row>
    <row r="5184" customFormat="false" ht="12.8" hidden="false" customHeight="false" outlineLevel="0" collapsed="false">
      <c r="A5184" s="0" t="s">
        <v>12</v>
      </c>
      <c r="B5184" s="0" t="n">
        <v>1620340</v>
      </c>
      <c r="C5184" s="0" t="n">
        <v>1620360</v>
      </c>
      <c r="D5184" s="0" t="s">
        <v>17288</v>
      </c>
      <c r="E5184" s="0" t="s">
        <v>75</v>
      </c>
      <c r="F5184" s="0" t="s">
        <v>90</v>
      </c>
      <c r="G5184" s="0" t="s">
        <v>32</v>
      </c>
      <c r="H5184" s="0" t="n">
        <v>125</v>
      </c>
      <c r="I5184" s="0" t="s">
        <v>17298</v>
      </c>
      <c r="J5184" s="0" t="s">
        <v>17299</v>
      </c>
      <c r="K5184" s="0" t="s">
        <v>17300</v>
      </c>
      <c r="L5184" s="0" t="str">
        <f aca="false">HYPERLINK("https://www.ncbi.nlm.nih.gov/nuccore/CP000058.1?report=graph&amp;tracks=[key:gene_model_track,Options:GeneOnly]&amp;mk=1620465:1620484|offset_1|444444,1620428:1620447|offset_38|444444,1620371:1620390|offset_95|444444,1620341:1620360|offset_125|00cc00&amp;v=1620264:1620560&amp;c=444444", "offset 125")</f>
        <v>offset 125</v>
      </c>
    </row>
    <row r="5185" customFormat="false" ht="12.8" hidden="false" customHeight="false" outlineLevel="0" collapsed="false">
      <c r="A5185" s="0" t="s">
        <v>12</v>
      </c>
      <c r="B5185" s="0" t="n">
        <v>1620600</v>
      </c>
      <c r="C5185" s="0" t="n">
        <v>1620620</v>
      </c>
      <c r="D5185" s="0" t="s">
        <v>17301</v>
      </c>
      <c r="E5185" s="0" t="s">
        <v>75</v>
      </c>
      <c r="F5185" s="0" t="s">
        <v>15</v>
      </c>
      <c r="G5185" s="0" t="s">
        <v>32</v>
      </c>
      <c r="H5185" s="0" t="n">
        <v>1</v>
      </c>
      <c r="I5185" s="0" t="s">
        <v>17302</v>
      </c>
      <c r="J5185" s="0" t="s">
        <v>17303</v>
      </c>
      <c r="K5185" s="0" t="s">
        <v>17304</v>
      </c>
      <c r="L5185" s="0" t="str">
        <f aca="false">HYPERLINK("https://www.ncbi.nlm.nih.gov/nuccore/CP000058.1?report=graph&amp;tracks=[key:gene_model_track,Options:GeneOnly]&amp;mk=1620601:1620620|offset_1|00cc00,1620631:1620650|offset_31|444444,1620654:1620673|offset_54|444444,1620674:1620693|offset_74|444444&amp;v=1620400:1620893&amp;c=444444", "offset 1")</f>
        <v>offset 1</v>
      </c>
    </row>
    <row r="5186" customFormat="false" ht="12.8" hidden="false" customHeight="false" outlineLevel="0" collapsed="false">
      <c r="A5186" s="0" t="s">
        <v>12</v>
      </c>
      <c r="B5186" s="0" t="n">
        <v>1620630</v>
      </c>
      <c r="C5186" s="0" t="n">
        <v>1620650</v>
      </c>
      <c r="D5186" s="0" t="s">
        <v>17301</v>
      </c>
      <c r="E5186" s="0" t="s">
        <v>75</v>
      </c>
      <c r="F5186" s="0" t="s">
        <v>15</v>
      </c>
      <c r="G5186" s="0" t="s">
        <v>16</v>
      </c>
      <c r="H5186" s="0" t="n">
        <v>31</v>
      </c>
      <c r="I5186" s="0" t="s">
        <v>17305</v>
      </c>
      <c r="J5186" s="0" t="s">
        <v>17306</v>
      </c>
      <c r="K5186" s="0" t="s">
        <v>17307</v>
      </c>
      <c r="L5186" s="0" t="str">
        <f aca="false">HYPERLINK("https://www.ncbi.nlm.nih.gov/nuccore/CP000058.1?report=graph&amp;tracks=[key:gene_model_track,Options:GeneOnly]&amp;mk=1620601:1620620|offset_1|444444,1620631:1620650|offset_31|00cc00,1620654:1620673|offset_54|444444,1620674:1620693|offset_74|444444&amp;v=1620400:1620893&amp;c=444444", "offset 31")</f>
        <v>offset 31</v>
      </c>
    </row>
    <row r="5187" customFormat="false" ht="12.8" hidden="false" customHeight="false" outlineLevel="0" collapsed="false">
      <c r="A5187" s="0" t="s">
        <v>12</v>
      </c>
      <c r="B5187" s="0" t="n">
        <v>1620653</v>
      </c>
      <c r="C5187" s="0" t="n">
        <v>1620673</v>
      </c>
      <c r="D5187" s="0" t="s">
        <v>17301</v>
      </c>
      <c r="E5187" s="0" t="s">
        <v>75</v>
      </c>
      <c r="F5187" s="0" t="s">
        <v>15</v>
      </c>
      <c r="G5187" s="0" t="s">
        <v>36</v>
      </c>
      <c r="H5187" s="0" t="n">
        <v>54</v>
      </c>
      <c r="I5187" s="0" t="s">
        <v>17308</v>
      </c>
      <c r="J5187" s="0" t="s">
        <v>17309</v>
      </c>
      <c r="K5187" s="0" t="s">
        <v>17310</v>
      </c>
      <c r="L5187" s="0" t="str">
        <f aca="false">HYPERLINK("https://www.ncbi.nlm.nih.gov/nuccore/CP000058.1?report=graph&amp;tracks=[key:gene_model_track,Options:GeneOnly]&amp;mk=1620601:1620620|offset_1|444444,1620631:1620650|offset_31|444444,1620654:1620673|offset_54|00cc00,1620674:1620693|offset_74|444444&amp;v=1620400:1620893&amp;c=444444", "offset 54")</f>
        <v>offset 54</v>
      </c>
    </row>
    <row r="5188" customFormat="false" ht="12.8" hidden="false" customHeight="false" outlineLevel="0" collapsed="false">
      <c r="A5188" s="0" t="s">
        <v>12</v>
      </c>
      <c r="B5188" s="0" t="n">
        <v>1620673</v>
      </c>
      <c r="C5188" s="0" t="n">
        <v>1620693</v>
      </c>
      <c r="D5188" s="0" t="s">
        <v>17301</v>
      </c>
      <c r="E5188" s="0" t="s">
        <v>75</v>
      </c>
      <c r="F5188" s="0" t="s">
        <v>15</v>
      </c>
      <c r="G5188" s="0" t="s">
        <v>20</v>
      </c>
      <c r="H5188" s="0" t="n">
        <v>74</v>
      </c>
      <c r="I5188" s="0" t="s">
        <v>17311</v>
      </c>
      <c r="J5188" s="0" t="s">
        <v>17312</v>
      </c>
      <c r="K5188" s="0" t="s">
        <v>17313</v>
      </c>
      <c r="L5188" s="0" t="str">
        <f aca="false">HYPERLINK("https://www.ncbi.nlm.nih.gov/nuccore/CP000058.1?report=graph&amp;tracks=[key:gene_model_track,Options:GeneOnly]&amp;mk=1620601:1620620|offset_1|444444,1620631:1620650|offset_31|444444,1620654:1620673|offset_54|444444,1620674:1620693|offset_74|00cc00&amp;v=1620400:1620893&amp;c=444444", "offset 74")</f>
        <v>offset 74</v>
      </c>
    </row>
    <row r="5189" customFormat="false" ht="12.8" hidden="false" customHeight="false" outlineLevel="0" collapsed="false">
      <c r="A5189" s="0" t="s">
        <v>12</v>
      </c>
      <c r="B5189" s="0" t="n">
        <v>1624662</v>
      </c>
      <c r="C5189" s="0" t="n">
        <v>1624682</v>
      </c>
      <c r="D5189" s="0" t="s">
        <v>17314</v>
      </c>
      <c r="E5189" s="0" t="s">
        <v>75</v>
      </c>
      <c r="F5189" s="0" t="s">
        <v>90</v>
      </c>
      <c r="G5189" s="0" t="s">
        <v>20</v>
      </c>
      <c r="H5189" s="0" t="n">
        <v>0</v>
      </c>
      <c r="I5189" s="0" t="s">
        <v>17315</v>
      </c>
      <c r="J5189" s="0" t="s">
        <v>17316</v>
      </c>
      <c r="K5189" s="0" t="s">
        <v>17317</v>
      </c>
      <c r="L5189" s="0" t="str">
        <f aca="false">HYPERLINK("https://www.ncbi.nlm.nih.gov/nuccore/CP000058.1?report=graph&amp;tracks=[key:gene_model_track,Options:GeneOnly]&amp;mk=1624663:1624682|offset_0|00cc00,1624643:1624662|offset_20|444444,1624614:1624633|offset_49|444444,1624585:1624604|offset_78|444444&amp;v=1624462:1624804&amp;c=444444", "offset 0")</f>
        <v>offset 0</v>
      </c>
    </row>
    <row r="5190" customFormat="false" ht="12.8" hidden="false" customHeight="false" outlineLevel="0" collapsed="false">
      <c r="A5190" s="0" t="s">
        <v>12</v>
      </c>
      <c r="B5190" s="0" t="n">
        <v>1624642</v>
      </c>
      <c r="C5190" s="0" t="n">
        <v>1624662</v>
      </c>
      <c r="D5190" s="0" t="s">
        <v>17314</v>
      </c>
      <c r="E5190" s="0" t="s">
        <v>75</v>
      </c>
      <c r="F5190" s="0" t="s">
        <v>90</v>
      </c>
      <c r="G5190" s="0" t="s">
        <v>36</v>
      </c>
      <c r="H5190" s="0" t="n">
        <v>20</v>
      </c>
      <c r="I5190" s="0" t="s">
        <v>17318</v>
      </c>
      <c r="J5190" s="0" t="s">
        <v>17319</v>
      </c>
      <c r="K5190" s="0" t="s">
        <v>17320</v>
      </c>
      <c r="L5190" s="0" t="str">
        <f aca="false">HYPERLINK("https://www.ncbi.nlm.nih.gov/nuccore/CP000058.1?report=graph&amp;tracks=[key:gene_model_track,Options:GeneOnly]&amp;mk=1624663:1624682|offset_0|444444,1624643:1624662|offset_20|00cc00,1624614:1624633|offset_49|444444,1624585:1624604|offset_78|444444&amp;v=1624462:1624804&amp;c=444444", "offset 20")</f>
        <v>offset 20</v>
      </c>
    </row>
    <row r="5191" customFormat="false" ht="12.8" hidden="false" customHeight="false" outlineLevel="0" collapsed="false">
      <c r="A5191" s="0" t="s">
        <v>12</v>
      </c>
      <c r="B5191" s="0" t="n">
        <v>1624613</v>
      </c>
      <c r="C5191" s="0" t="n">
        <v>1624633</v>
      </c>
      <c r="D5191" s="0" t="s">
        <v>17314</v>
      </c>
      <c r="E5191" s="0" t="s">
        <v>75</v>
      </c>
      <c r="F5191" s="0" t="s">
        <v>90</v>
      </c>
      <c r="G5191" s="0" t="s">
        <v>20</v>
      </c>
      <c r="H5191" s="0" t="n">
        <v>49</v>
      </c>
      <c r="I5191" s="0" t="s">
        <v>17321</v>
      </c>
      <c r="J5191" s="0" t="s">
        <v>17322</v>
      </c>
      <c r="K5191" s="0" t="s">
        <v>17323</v>
      </c>
      <c r="L5191" s="0" t="str">
        <f aca="false">HYPERLINK("https://www.ncbi.nlm.nih.gov/nuccore/CP000058.1?report=graph&amp;tracks=[key:gene_model_track,Options:GeneOnly]&amp;mk=1624663:1624682|offset_0|444444,1624643:1624662|offset_20|444444,1624614:1624633|offset_49|00cc00,1624585:1624604|offset_78|444444&amp;v=1624462:1624804&amp;c=444444", "offset 49")</f>
        <v>offset 49</v>
      </c>
    </row>
    <row r="5192" customFormat="false" ht="12.8" hidden="false" customHeight="false" outlineLevel="0" collapsed="false">
      <c r="A5192" s="0" t="s">
        <v>12</v>
      </c>
      <c r="B5192" s="0" t="n">
        <v>1624584</v>
      </c>
      <c r="C5192" s="0" t="n">
        <v>1624604</v>
      </c>
      <c r="D5192" s="0" t="s">
        <v>17314</v>
      </c>
      <c r="E5192" s="0" t="s">
        <v>75</v>
      </c>
      <c r="F5192" s="0" t="s">
        <v>90</v>
      </c>
      <c r="G5192" s="0" t="s">
        <v>20</v>
      </c>
      <c r="H5192" s="0" t="n">
        <v>78</v>
      </c>
      <c r="I5192" s="0" t="s">
        <v>17324</v>
      </c>
      <c r="J5192" s="0" t="s">
        <v>17325</v>
      </c>
      <c r="K5192" s="0" t="s">
        <v>17326</v>
      </c>
      <c r="L5192" s="0" t="str">
        <f aca="false">HYPERLINK("https://www.ncbi.nlm.nih.gov/nuccore/CP000058.1?report=graph&amp;tracks=[key:gene_model_track,Options:GeneOnly]&amp;mk=1624663:1624682|offset_0|444444,1624643:1624662|offset_20|444444,1624614:1624633|offset_49|444444,1624585:1624604|offset_78|00cc00&amp;v=1624462:1624804&amp;c=444444", "offset 78")</f>
        <v>offset 78</v>
      </c>
    </row>
    <row r="5193" customFormat="false" ht="12.8" hidden="false" customHeight="false" outlineLevel="0" collapsed="false">
      <c r="A5193" s="0" t="s">
        <v>12</v>
      </c>
      <c r="B5193" s="0" t="n">
        <v>1625156</v>
      </c>
      <c r="C5193" s="0" t="n">
        <v>1625176</v>
      </c>
      <c r="D5193" s="0" t="s">
        <v>17327</v>
      </c>
      <c r="E5193" s="0" t="s">
        <v>75</v>
      </c>
      <c r="F5193" s="0" t="s">
        <v>90</v>
      </c>
      <c r="G5193" s="0" t="s">
        <v>16</v>
      </c>
      <c r="H5193" s="0" t="n">
        <v>7</v>
      </c>
      <c r="I5193" s="0" t="s">
        <v>17328</v>
      </c>
      <c r="J5193" s="0" t="s">
        <v>17329</v>
      </c>
      <c r="K5193" s="0" t="s">
        <v>17330</v>
      </c>
      <c r="L5193" s="0" t="str">
        <f aca="false">HYPERLINK("https://www.ncbi.nlm.nih.gov/nuccore/CP000058.1?report=graph&amp;tracks=[key:gene_model_track,Options:GeneOnly]&amp;mk=1625157:1625176|offset_7|00cc00,1625134:1625153|offset_30|444444,1625114:1625133|offset_50|444444,1625094:1625113|offset_70|444444&amp;v=1624956:1625313&amp;c=444444", "offset 7")</f>
        <v>offset 7</v>
      </c>
    </row>
    <row r="5194" customFormat="false" ht="12.8" hidden="false" customHeight="false" outlineLevel="0" collapsed="false">
      <c r="A5194" s="0" t="s">
        <v>12</v>
      </c>
      <c r="B5194" s="0" t="n">
        <v>1625133</v>
      </c>
      <c r="C5194" s="0" t="n">
        <v>1625153</v>
      </c>
      <c r="D5194" s="0" t="s">
        <v>17327</v>
      </c>
      <c r="E5194" s="0" t="s">
        <v>75</v>
      </c>
      <c r="F5194" s="0" t="s">
        <v>90</v>
      </c>
      <c r="G5194" s="0" t="s">
        <v>16</v>
      </c>
      <c r="H5194" s="0" t="n">
        <v>30</v>
      </c>
      <c r="I5194" s="0" t="s">
        <v>17331</v>
      </c>
      <c r="J5194" s="0" t="s">
        <v>17332</v>
      </c>
      <c r="K5194" s="0" t="s">
        <v>17333</v>
      </c>
      <c r="L5194" s="0" t="str">
        <f aca="false">HYPERLINK("https://www.ncbi.nlm.nih.gov/nuccore/CP000058.1?report=graph&amp;tracks=[key:gene_model_track,Options:GeneOnly]&amp;mk=1625157:1625176|offset_7|444444,1625134:1625153|offset_30|00cc00,1625114:1625133|offset_50|444444,1625094:1625113|offset_70|444444&amp;v=1624956:1625313&amp;c=444444", "offset 30")</f>
        <v>offset 30</v>
      </c>
    </row>
    <row r="5195" customFormat="false" ht="12.8" hidden="false" customHeight="false" outlineLevel="0" collapsed="false">
      <c r="A5195" s="0" t="s">
        <v>12</v>
      </c>
      <c r="B5195" s="0" t="n">
        <v>1625113</v>
      </c>
      <c r="C5195" s="0" t="n">
        <v>1625133</v>
      </c>
      <c r="D5195" s="0" t="s">
        <v>17327</v>
      </c>
      <c r="E5195" s="0" t="s">
        <v>75</v>
      </c>
      <c r="F5195" s="0" t="s">
        <v>90</v>
      </c>
      <c r="G5195" s="0" t="s">
        <v>20</v>
      </c>
      <c r="H5195" s="0" t="n">
        <v>50</v>
      </c>
      <c r="I5195" s="0" t="s">
        <v>17334</v>
      </c>
      <c r="J5195" s="0" t="s">
        <v>17335</v>
      </c>
      <c r="K5195" s="0" t="s">
        <v>17336</v>
      </c>
      <c r="L5195" s="0" t="str">
        <f aca="false">HYPERLINK("https://www.ncbi.nlm.nih.gov/nuccore/CP000058.1?report=graph&amp;tracks=[key:gene_model_track,Options:GeneOnly]&amp;mk=1625157:1625176|offset_7|444444,1625134:1625153|offset_30|444444,1625114:1625133|offset_50|00cc00,1625094:1625113|offset_70|444444&amp;v=1624956:1625313&amp;c=444444", "offset 50")</f>
        <v>offset 50</v>
      </c>
    </row>
    <row r="5196" customFormat="false" ht="12.8" hidden="false" customHeight="false" outlineLevel="0" collapsed="false">
      <c r="A5196" s="0" t="s">
        <v>12</v>
      </c>
      <c r="B5196" s="0" t="n">
        <v>1625093</v>
      </c>
      <c r="C5196" s="0" t="n">
        <v>1625113</v>
      </c>
      <c r="D5196" s="0" t="s">
        <v>17327</v>
      </c>
      <c r="E5196" s="0" t="s">
        <v>75</v>
      </c>
      <c r="F5196" s="0" t="s">
        <v>90</v>
      </c>
      <c r="G5196" s="0" t="s">
        <v>36</v>
      </c>
      <c r="H5196" s="0" t="n">
        <v>70</v>
      </c>
      <c r="I5196" s="0" t="s">
        <v>17337</v>
      </c>
      <c r="J5196" s="0" t="s">
        <v>17338</v>
      </c>
      <c r="K5196" s="0" t="s">
        <v>17339</v>
      </c>
      <c r="L5196" s="0" t="str">
        <f aca="false">HYPERLINK("https://www.ncbi.nlm.nih.gov/nuccore/CP000058.1?report=graph&amp;tracks=[key:gene_model_track,Options:GeneOnly]&amp;mk=1625157:1625176|offset_7|444444,1625134:1625153|offset_30|444444,1625114:1625133|offset_50|444444,1625094:1625113|offset_70|00cc00&amp;v=1624956:1625313&amp;c=444444", "offset 70")</f>
        <v>offset 70</v>
      </c>
    </row>
    <row r="5197" customFormat="false" ht="12.8" hidden="false" customHeight="false" outlineLevel="0" collapsed="false">
      <c r="A5197" s="0" t="s">
        <v>12</v>
      </c>
      <c r="B5197" s="0" t="n">
        <v>1625459</v>
      </c>
      <c r="C5197" s="0" t="n">
        <v>1625479</v>
      </c>
      <c r="D5197" s="0" t="s">
        <v>17340</v>
      </c>
      <c r="E5197" s="0" t="s">
        <v>75</v>
      </c>
      <c r="F5197" s="0" t="s">
        <v>15</v>
      </c>
      <c r="G5197" s="0" t="s">
        <v>20</v>
      </c>
      <c r="H5197" s="0" t="n">
        <v>59</v>
      </c>
      <c r="I5197" s="0" t="s">
        <v>17341</v>
      </c>
      <c r="J5197" s="0" t="s">
        <v>17342</v>
      </c>
      <c r="K5197" s="0" t="s">
        <v>17343</v>
      </c>
      <c r="L5197" s="0" t="str">
        <f aca="false">HYPERLINK("https://www.ncbi.nlm.nih.gov/nuccore/CP000058.1?report=graph&amp;tracks=[key:gene_model_track,Options:GeneOnly]&amp;mk=1625460:1625479|offset_59|00cc00,1625485:1625504|offset_84|444444,1625522:1625541|offset_121|444444,1625556:1625575|offset_155|444444&amp;v=1625259:1625775&amp;c=444444", "offset 59")</f>
        <v>offset 59</v>
      </c>
    </row>
    <row r="5198" customFormat="false" ht="12.8" hidden="false" customHeight="false" outlineLevel="0" collapsed="false">
      <c r="A5198" s="0" t="s">
        <v>12</v>
      </c>
      <c r="B5198" s="0" t="n">
        <v>1625484</v>
      </c>
      <c r="C5198" s="0" t="n">
        <v>1625504</v>
      </c>
      <c r="D5198" s="0" t="s">
        <v>17340</v>
      </c>
      <c r="E5198" s="0" t="s">
        <v>75</v>
      </c>
      <c r="F5198" s="0" t="s">
        <v>15</v>
      </c>
      <c r="G5198" s="0" t="s">
        <v>36</v>
      </c>
      <c r="H5198" s="0" t="n">
        <v>84</v>
      </c>
      <c r="I5198" s="0" t="s">
        <v>17344</v>
      </c>
      <c r="J5198" s="0" t="s">
        <v>17345</v>
      </c>
      <c r="K5198" s="0" t="s">
        <v>17346</v>
      </c>
      <c r="L5198" s="0" t="str">
        <f aca="false">HYPERLINK("https://www.ncbi.nlm.nih.gov/nuccore/CP000058.1?report=graph&amp;tracks=[key:gene_model_track,Options:GeneOnly]&amp;mk=1625460:1625479|offset_59|444444,1625485:1625504|offset_84|00cc00,1625522:1625541|offset_121|444444,1625556:1625575|offset_155|444444&amp;v=1625259:1625775&amp;c=444444", "offset 84")</f>
        <v>offset 84</v>
      </c>
    </row>
    <row r="5199" customFormat="false" ht="12.8" hidden="false" customHeight="false" outlineLevel="0" collapsed="false">
      <c r="A5199" s="0" t="s">
        <v>12</v>
      </c>
      <c r="B5199" s="0" t="n">
        <v>1625521</v>
      </c>
      <c r="C5199" s="0" t="n">
        <v>1625541</v>
      </c>
      <c r="D5199" s="0" t="s">
        <v>17340</v>
      </c>
      <c r="E5199" s="0" t="s">
        <v>75</v>
      </c>
      <c r="F5199" s="0" t="s">
        <v>15</v>
      </c>
      <c r="G5199" s="0" t="s">
        <v>16</v>
      </c>
      <c r="H5199" s="0" t="n">
        <v>121</v>
      </c>
      <c r="I5199" s="0" t="s">
        <v>17347</v>
      </c>
      <c r="J5199" s="0" t="s">
        <v>17348</v>
      </c>
      <c r="K5199" s="0" t="s">
        <v>17349</v>
      </c>
      <c r="L5199" s="0" t="str">
        <f aca="false">HYPERLINK("https://www.ncbi.nlm.nih.gov/nuccore/CP000058.1?report=graph&amp;tracks=[key:gene_model_track,Options:GeneOnly]&amp;mk=1625460:1625479|offset_59|444444,1625485:1625504|offset_84|444444,1625522:1625541|offset_121|00cc00,1625556:1625575|offset_155|444444&amp;v=1625259:1625775&amp;c=444444", "offset 121")</f>
        <v>offset 121</v>
      </c>
    </row>
    <row r="5200" customFormat="false" ht="12.8" hidden="false" customHeight="false" outlineLevel="0" collapsed="false">
      <c r="A5200" s="0" t="s">
        <v>12</v>
      </c>
      <c r="B5200" s="0" t="n">
        <v>1625555</v>
      </c>
      <c r="C5200" s="0" t="n">
        <v>1625575</v>
      </c>
      <c r="D5200" s="0" t="s">
        <v>17340</v>
      </c>
      <c r="E5200" s="0" t="s">
        <v>75</v>
      </c>
      <c r="F5200" s="0" t="s">
        <v>15</v>
      </c>
      <c r="G5200" s="0" t="s">
        <v>20</v>
      </c>
      <c r="H5200" s="0" t="n">
        <v>155</v>
      </c>
      <c r="I5200" s="0" t="s">
        <v>17350</v>
      </c>
      <c r="J5200" s="0" t="s">
        <v>17351</v>
      </c>
      <c r="K5200" s="0" t="s">
        <v>17352</v>
      </c>
      <c r="L5200" s="0" t="str">
        <f aca="false">HYPERLINK("https://www.ncbi.nlm.nih.gov/nuccore/CP000058.1?report=graph&amp;tracks=[key:gene_model_track,Options:GeneOnly]&amp;mk=1625460:1625479|offset_59|444444,1625485:1625504|offset_84|444444,1625522:1625541|offset_121|444444,1625556:1625575|offset_155|00cc00&amp;v=1625259:1625775&amp;c=444444", "offset 155")</f>
        <v>offset 155</v>
      </c>
    </row>
    <row r="5201" customFormat="false" ht="12.8" hidden="false" customHeight="false" outlineLevel="0" collapsed="false">
      <c r="A5201" s="0" t="s">
        <v>12</v>
      </c>
      <c r="B5201" s="0" t="n">
        <v>1625706</v>
      </c>
      <c r="C5201" s="0" t="n">
        <v>1625726</v>
      </c>
      <c r="D5201" s="0" t="s">
        <v>17353</v>
      </c>
      <c r="E5201" s="0" t="s">
        <v>75</v>
      </c>
      <c r="F5201" s="0" t="s">
        <v>15</v>
      </c>
      <c r="G5201" s="0" t="s">
        <v>36</v>
      </c>
      <c r="H5201" s="0" t="n">
        <v>38</v>
      </c>
      <c r="I5201" s="0" t="s">
        <v>17354</v>
      </c>
      <c r="J5201" s="0" t="s">
        <v>17355</v>
      </c>
      <c r="K5201" s="0" t="s">
        <v>17356</v>
      </c>
      <c r="L5201" s="0" t="str">
        <f aca="false">HYPERLINK("https://www.ncbi.nlm.nih.gov/nuccore/CP000058.1?report=graph&amp;tracks=[key:gene_model_track,Options:GeneOnly]&amp;mk=1625707:1625726|offset_38|00cc00,1625741:1625760|offset_72|444444,1625762:1625781|offset_93|444444,1625794:1625813|offset_125|444444&amp;v=1625506:1626013&amp;c=444444", "offset 38")</f>
        <v>offset 38</v>
      </c>
    </row>
    <row r="5202" customFormat="false" ht="12.8" hidden="false" customHeight="false" outlineLevel="0" collapsed="false">
      <c r="A5202" s="0" t="s">
        <v>12</v>
      </c>
      <c r="B5202" s="0" t="n">
        <v>1625740</v>
      </c>
      <c r="C5202" s="0" t="n">
        <v>1625760</v>
      </c>
      <c r="D5202" s="0" t="s">
        <v>17353</v>
      </c>
      <c r="E5202" s="0" t="s">
        <v>75</v>
      </c>
      <c r="F5202" s="0" t="s">
        <v>15</v>
      </c>
      <c r="G5202" s="0" t="s">
        <v>32</v>
      </c>
      <c r="H5202" s="0" t="n">
        <v>72</v>
      </c>
      <c r="I5202" s="0" t="s">
        <v>17357</v>
      </c>
      <c r="J5202" s="0" t="s">
        <v>17358</v>
      </c>
      <c r="K5202" s="0" t="s">
        <v>17359</v>
      </c>
      <c r="L5202" s="0" t="str">
        <f aca="false">HYPERLINK("https://www.ncbi.nlm.nih.gov/nuccore/CP000058.1?report=graph&amp;tracks=[key:gene_model_track,Options:GeneOnly]&amp;mk=1625707:1625726|offset_38|444444,1625741:1625760|offset_72|00cc00,1625762:1625781|offset_93|444444,1625794:1625813|offset_125|444444&amp;v=1625506:1626013&amp;c=444444", "offset 72")</f>
        <v>offset 72</v>
      </c>
    </row>
    <row r="5203" customFormat="false" ht="12.8" hidden="false" customHeight="false" outlineLevel="0" collapsed="false">
      <c r="A5203" s="0" t="s">
        <v>12</v>
      </c>
      <c r="B5203" s="0" t="n">
        <v>1625761</v>
      </c>
      <c r="C5203" s="0" t="n">
        <v>1625781</v>
      </c>
      <c r="D5203" s="0" t="s">
        <v>17353</v>
      </c>
      <c r="E5203" s="0" t="s">
        <v>75</v>
      </c>
      <c r="F5203" s="0" t="s">
        <v>15</v>
      </c>
      <c r="G5203" s="0" t="s">
        <v>20</v>
      </c>
      <c r="H5203" s="0" t="n">
        <v>93</v>
      </c>
      <c r="I5203" s="0" t="s">
        <v>17360</v>
      </c>
      <c r="J5203" s="0" t="s">
        <v>17361</v>
      </c>
      <c r="K5203" s="0" t="s">
        <v>17362</v>
      </c>
      <c r="L5203" s="0" t="str">
        <f aca="false">HYPERLINK("https://www.ncbi.nlm.nih.gov/nuccore/CP000058.1?report=graph&amp;tracks=[key:gene_model_track,Options:GeneOnly]&amp;mk=1625707:1625726|offset_38|444444,1625741:1625760|offset_72|444444,1625762:1625781|offset_93|00cc00,1625794:1625813|offset_125|444444&amp;v=1625506:1626013&amp;c=444444", "offset 93")</f>
        <v>offset 93</v>
      </c>
    </row>
    <row r="5204" customFormat="false" ht="12.8" hidden="false" customHeight="false" outlineLevel="0" collapsed="false">
      <c r="A5204" s="0" t="s">
        <v>12</v>
      </c>
      <c r="B5204" s="0" t="n">
        <v>1625793</v>
      </c>
      <c r="C5204" s="0" t="n">
        <v>1625813</v>
      </c>
      <c r="D5204" s="0" t="s">
        <v>17353</v>
      </c>
      <c r="E5204" s="0" t="s">
        <v>75</v>
      </c>
      <c r="F5204" s="0" t="s">
        <v>15</v>
      </c>
      <c r="G5204" s="0" t="s">
        <v>20</v>
      </c>
      <c r="H5204" s="0" t="n">
        <v>125</v>
      </c>
      <c r="I5204" s="0" t="s">
        <v>17363</v>
      </c>
      <c r="J5204" s="0" t="s">
        <v>17364</v>
      </c>
      <c r="K5204" s="0" t="s">
        <v>17365</v>
      </c>
      <c r="L5204" s="0" t="str">
        <f aca="false">HYPERLINK("https://www.ncbi.nlm.nih.gov/nuccore/CP000058.1?report=graph&amp;tracks=[key:gene_model_track,Options:GeneOnly]&amp;mk=1625707:1625726|offset_38|444444,1625741:1625760|offset_72|444444,1625762:1625781|offset_93|444444,1625794:1625813|offset_125|00cc00&amp;v=1625506:1626013&amp;c=444444", "offset 125")</f>
        <v>offset 125</v>
      </c>
    </row>
    <row r="5205" customFormat="false" ht="12.8" hidden="false" customHeight="false" outlineLevel="0" collapsed="false">
      <c r="A5205" s="0" t="s">
        <v>12</v>
      </c>
      <c r="B5205" s="0" t="n">
        <v>1627505</v>
      </c>
      <c r="C5205" s="0" t="n">
        <v>1627525</v>
      </c>
      <c r="D5205" s="0" t="s">
        <v>17366</v>
      </c>
      <c r="E5205" s="0" t="s">
        <v>75</v>
      </c>
      <c r="F5205" s="0" t="s">
        <v>90</v>
      </c>
      <c r="G5205" s="0" t="s">
        <v>36</v>
      </c>
      <c r="H5205" s="0" t="n">
        <v>16</v>
      </c>
      <c r="I5205" s="0" t="s">
        <v>17367</v>
      </c>
      <c r="J5205" s="0" t="s">
        <v>17368</v>
      </c>
      <c r="K5205" s="0" t="s">
        <v>17369</v>
      </c>
      <c r="L5205" s="0" t="str">
        <f aca="false">HYPERLINK("https://www.ncbi.nlm.nih.gov/nuccore/CP000058.1?report=graph&amp;tracks=[key:gene_model_track,Options:GeneOnly]&amp;mk=1627506:1627525|offset_16|00cc00,1627479:1627498|offset_43|444444,1627452:1627471|offset_70|444444,1627426:1627445|offset_96|444444&amp;v=1627305:1627645&amp;c=444444", "offset 16")</f>
        <v>offset 16</v>
      </c>
    </row>
    <row r="5206" customFormat="false" ht="12.8" hidden="false" customHeight="false" outlineLevel="0" collapsed="false">
      <c r="A5206" s="0" t="s">
        <v>12</v>
      </c>
      <c r="B5206" s="0" t="n">
        <v>1627478</v>
      </c>
      <c r="C5206" s="0" t="n">
        <v>1627498</v>
      </c>
      <c r="D5206" s="0" t="s">
        <v>17366</v>
      </c>
      <c r="E5206" s="0" t="s">
        <v>75</v>
      </c>
      <c r="F5206" s="0" t="s">
        <v>90</v>
      </c>
      <c r="G5206" s="0" t="s">
        <v>36</v>
      </c>
      <c r="H5206" s="0" t="n">
        <v>43</v>
      </c>
      <c r="I5206" s="0" t="s">
        <v>17370</v>
      </c>
      <c r="J5206" s="0" t="s">
        <v>17371</v>
      </c>
      <c r="K5206" s="0" t="s">
        <v>17372</v>
      </c>
      <c r="L5206" s="0" t="str">
        <f aca="false">HYPERLINK("https://www.ncbi.nlm.nih.gov/nuccore/CP000058.1?report=graph&amp;tracks=[key:gene_model_track,Options:GeneOnly]&amp;mk=1627506:1627525|offset_16|444444,1627479:1627498|offset_43|00cc00,1627452:1627471|offset_70|444444,1627426:1627445|offset_96|444444&amp;v=1627305:1627645&amp;c=444444", "offset 43")</f>
        <v>offset 43</v>
      </c>
    </row>
    <row r="5207" customFormat="false" ht="12.8" hidden="false" customHeight="false" outlineLevel="0" collapsed="false">
      <c r="A5207" s="0" t="s">
        <v>12</v>
      </c>
      <c r="B5207" s="0" t="n">
        <v>1627451</v>
      </c>
      <c r="C5207" s="0" t="n">
        <v>1627471</v>
      </c>
      <c r="D5207" s="0" t="s">
        <v>17366</v>
      </c>
      <c r="E5207" s="0" t="s">
        <v>75</v>
      </c>
      <c r="F5207" s="0" t="s">
        <v>90</v>
      </c>
      <c r="G5207" s="0" t="s">
        <v>32</v>
      </c>
      <c r="H5207" s="0" t="n">
        <v>70</v>
      </c>
      <c r="I5207" s="0" t="s">
        <v>17373</v>
      </c>
      <c r="J5207" s="0" t="s">
        <v>17374</v>
      </c>
      <c r="K5207" s="0" t="s">
        <v>17375</v>
      </c>
      <c r="L5207" s="0" t="str">
        <f aca="false">HYPERLINK("https://www.ncbi.nlm.nih.gov/nuccore/CP000058.1?report=graph&amp;tracks=[key:gene_model_track,Options:GeneOnly]&amp;mk=1627506:1627525|offset_16|444444,1627479:1627498|offset_43|444444,1627452:1627471|offset_70|00cc00,1627426:1627445|offset_96|444444&amp;v=1627305:1627645&amp;c=444444", "offset 70")</f>
        <v>offset 70</v>
      </c>
    </row>
    <row r="5208" customFormat="false" ht="12.8" hidden="false" customHeight="false" outlineLevel="0" collapsed="false">
      <c r="A5208" s="0" t="s">
        <v>12</v>
      </c>
      <c r="B5208" s="0" t="n">
        <v>1627425</v>
      </c>
      <c r="C5208" s="0" t="n">
        <v>1627445</v>
      </c>
      <c r="D5208" s="0" t="s">
        <v>17366</v>
      </c>
      <c r="E5208" s="0" t="s">
        <v>75</v>
      </c>
      <c r="F5208" s="0" t="s">
        <v>90</v>
      </c>
      <c r="G5208" s="0" t="s">
        <v>36</v>
      </c>
      <c r="H5208" s="0" t="n">
        <v>96</v>
      </c>
      <c r="I5208" s="0" t="s">
        <v>17376</v>
      </c>
      <c r="J5208" s="0" t="s">
        <v>17377</v>
      </c>
      <c r="K5208" s="0" t="s">
        <v>17378</v>
      </c>
      <c r="L5208" s="0" t="str">
        <f aca="false">HYPERLINK("https://www.ncbi.nlm.nih.gov/nuccore/CP000058.1?report=graph&amp;tracks=[key:gene_model_track,Options:GeneOnly]&amp;mk=1627506:1627525|offset_16|444444,1627479:1627498|offset_43|444444,1627452:1627471|offset_70|444444,1627426:1627445|offset_96|00cc00&amp;v=1627305:1627645&amp;c=444444", "offset 96")</f>
        <v>offset 96</v>
      </c>
    </row>
    <row r="5209" customFormat="false" ht="12.8" hidden="false" customHeight="false" outlineLevel="0" collapsed="false">
      <c r="A5209" s="0" t="s">
        <v>12</v>
      </c>
      <c r="B5209" s="0" t="n">
        <v>1628501</v>
      </c>
      <c r="C5209" s="0" t="n">
        <v>1628521</v>
      </c>
      <c r="D5209" s="0" t="s">
        <v>17379</v>
      </c>
      <c r="E5209" s="0" t="s">
        <v>17380</v>
      </c>
      <c r="F5209" s="0" t="s">
        <v>90</v>
      </c>
      <c r="G5209" s="0" t="s">
        <v>32</v>
      </c>
      <c r="H5209" s="0" t="n">
        <v>6</v>
      </c>
      <c r="I5209" s="0" t="s">
        <v>17381</v>
      </c>
      <c r="J5209" s="0" t="s">
        <v>17382</v>
      </c>
      <c r="K5209" s="0" t="s">
        <v>17383</v>
      </c>
      <c r="L5209" s="0" t="str">
        <f aca="false">HYPERLINK("https://www.ncbi.nlm.nih.gov/nuccore/CP000058.1?report=graph&amp;tracks=[key:gene_model_track,Options:GeneOnly]&amp;mk=1628502:1628521|offset_6|00cc00,1628480:1628499|offset_28|444444,1628454:1628473|offset_54|444444,1628424:1628443|offset_84|444444&amp;v=1628301:1628643&amp;c=444444", "offset 6")</f>
        <v>offset 6</v>
      </c>
    </row>
    <row r="5210" customFormat="false" ht="12.8" hidden="false" customHeight="false" outlineLevel="0" collapsed="false">
      <c r="A5210" s="0" t="s">
        <v>12</v>
      </c>
      <c r="B5210" s="0" t="n">
        <v>1628479</v>
      </c>
      <c r="C5210" s="0" t="n">
        <v>1628499</v>
      </c>
      <c r="D5210" s="0" t="s">
        <v>17379</v>
      </c>
      <c r="E5210" s="0" t="s">
        <v>17380</v>
      </c>
      <c r="F5210" s="0" t="s">
        <v>90</v>
      </c>
      <c r="G5210" s="0" t="s">
        <v>16</v>
      </c>
      <c r="H5210" s="0" t="n">
        <v>28</v>
      </c>
      <c r="I5210" s="0" t="s">
        <v>17384</v>
      </c>
      <c r="J5210" s="0" t="s">
        <v>17385</v>
      </c>
      <c r="K5210" s="0" t="s">
        <v>17386</v>
      </c>
      <c r="L5210" s="0" t="str">
        <f aca="false">HYPERLINK("https://www.ncbi.nlm.nih.gov/nuccore/CP000058.1?report=graph&amp;tracks=[key:gene_model_track,Options:GeneOnly]&amp;mk=1628502:1628521|offset_6|444444,1628480:1628499|offset_28|00cc00,1628454:1628473|offset_54|444444,1628424:1628443|offset_84|444444&amp;v=1628301:1628643&amp;c=444444", "offset 28")</f>
        <v>offset 28</v>
      </c>
    </row>
    <row r="5211" customFormat="false" ht="12.8" hidden="false" customHeight="false" outlineLevel="0" collapsed="false">
      <c r="A5211" s="0" t="s">
        <v>12</v>
      </c>
      <c r="B5211" s="0" t="n">
        <v>1628453</v>
      </c>
      <c r="C5211" s="0" t="n">
        <v>1628473</v>
      </c>
      <c r="D5211" s="0" t="s">
        <v>17379</v>
      </c>
      <c r="E5211" s="0" t="s">
        <v>17380</v>
      </c>
      <c r="F5211" s="0" t="s">
        <v>90</v>
      </c>
      <c r="G5211" s="0" t="s">
        <v>20</v>
      </c>
      <c r="H5211" s="0" t="n">
        <v>54</v>
      </c>
      <c r="I5211" s="0" t="s">
        <v>17387</v>
      </c>
      <c r="J5211" s="0" t="s">
        <v>17388</v>
      </c>
      <c r="K5211" s="0" t="s">
        <v>17389</v>
      </c>
      <c r="L5211" s="0" t="str">
        <f aca="false">HYPERLINK("https://www.ncbi.nlm.nih.gov/nuccore/CP000058.1?report=graph&amp;tracks=[key:gene_model_track,Options:GeneOnly]&amp;mk=1628502:1628521|offset_6|444444,1628480:1628499|offset_28|444444,1628454:1628473|offset_54|00cc00,1628424:1628443|offset_84|444444&amp;v=1628301:1628643&amp;c=444444", "offset 54")</f>
        <v>offset 54</v>
      </c>
    </row>
    <row r="5212" customFormat="false" ht="12.8" hidden="false" customHeight="false" outlineLevel="0" collapsed="false">
      <c r="A5212" s="0" t="s">
        <v>12</v>
      </c>
      <c r="B5212" s="0" t="n">
        <v>1628423</v>
      </c>
      <c r="C5212" s="0" t="n">
        <v>1628443</v>
      </c>
      <c r="D5212" s="0" t="s">
        <v>17379</v>
      </c>
      <c r="E5212" s="0" t="s">
        <v>17380</v>
      </c>
      <c r="F5212" s="0" t="s">
        <v>90</v>
      </c>
      <c r="G5212" s="0" t="s">
        <v>32</v>
      </c>
      <c r="H5212" s="0" t="n">
        <v>84</v>
      </c>
      <c r="I5212" s="0" t="s">
        <v>17390</v>
      </c>
      <c r="J5212" s="0" t="s">
        <v>17391</v>
      </c>
      <c r="K5212" s="0" t="s">
        <v>17392</v>
      </c>
      <c r="L5212" s="0" t="str">
        <f aca="false">HYPERLINK("https://www.ncbi.nlm.nih.gov/nuccore/CP000058.1?report=graph&amp;tracks=[key:gene_model_track,Options:GeneOnly]&amp;mk=1628502:1628521|offset_6|444444,1628480:1628499|offset_28|444444,1628454:1628473|offset_54|444444,1628424:1628443|offset_84|00cc00&amp;v=1628301:1628643&amp;c=444444", "offset 84")</f>
        <v>offset 84</v>
      </c>
    </row>
    <row r="5213" customFormat="false" ht="12.8" hidden="false" customHeight="false" outlineLevel="0" collapsed="false">
      <c r="A5213" s="0" t="s">
        <v>12</v>
      </c>
      <c r="B5213" s="0" t="n">
        <v>1629152</v>
      </c>
      <c r="C5213" s="0" t="n">
        <v>1629172</v>
      </c>
      <c r="D5213" s="0" t="s">
        <v>17393</v>
      </c>
      <c r="E5213" s="0" t="s">
        <v>75</v>
      </c>
      <c r="F5213" s="0" t="s">
        <v>90</v>
      </c>
      <c r="G5213" s="0" t="s">
        <v>16</v>
      </c>
      <c r="H5213" s="0" t="n">
        <v>0</v>
      </c>
      <c r="I5213" s="0" t="s">
        <v>17394</v>
      </c>
      <c r="J5213" s="0" t="s">
        <v>17395</v>
      </c>
      <c r="K5213" s="0" t="s">
        <v>17396</v>
      </c>
      <c r="L5213" s="0" t="str">
        <f aca="false">HYPERLINK("https://www.ncbi.nlm.nih.gov/nuccore/CP000058.1?report=graph&amp;tracks=[key:gene_model_track,Options:GeneOnly]&amp;mk=1629153:1629172|offset_0|00cc00,1629107:1629126|offset_46|444444,1629077:1629096|offset_76|444444,1629034:1629053|offset_119|444444&amp;v=1628952:1629253&amp;c=444444", "offset 0")</f>
        <v>offset 0</v>
      </c>
    </row>
    <row r="5214" customFormat="false" ht="12.8" hidden="false" customHeight="false" outlineLevel="0" collapsed="false">
      <c r="A5214" s="0" t="s">
        <v>12</v>
      </c>
      <c r="B5214" s="0" t="n">
        <v>1629106</v>
      </c>
      <c r="C5214" s="0" t="n">
        <v>1629126</v>
      </c>
      <c r="D5214" s="0" t="s">
        <v>17393</v>
      </c>
      <c r="E5214" s="0" t="s">
        <v>75</v>
      </c>
      <c r="F5214" s="0" t="s">
        <v>90</v>
      </c>
      <c r="G5214" s="0" t="s">
        <v>36</v>
      </c>
      <c r="H5214" s="0" t="n">
        <v>46</v>
      </c>
      <c r="I5214" s="0" t="s">
        <v>17397</v>
      </c>
      <c r="J5214" s="0" t="s">
        <v>17398</v>
      </c>
      <c r="K5214" s="0" t="s">
        <v>17399</v>
      </c>
      <c r="L5214" s="0" t="str">
        <f aca="false">HYPERLINK("https://www.ncbi.nlm.nih.gov/nuccore/CP000058.1?report=graph&amp;tracks=[key:gene_model_track,Options:GeneOnly]&amp;mk=1629153:1629172|offset_0|444444,1629107:1629126|offset_46|00cc00,1629077:1629096|offset_76|444444,1629034:1629053|offset_119|444444&amp;v=1628952:1629253&amp;c=444444", "offset 46")</f>
        <v>offset 46</v>
      </c>
    </row>
    <row r="5215" customFormat="false" ht="12.8" hidden="false" customHeight="false" outlineLevel="0" collapsed="false">
      <c r="A5215" s="0" t="s">
        <v>12</v>
      </c>
      <c r="B5215" s="0" t="n">
        <v>1629076</v>
      </c>
      <c r="C5215" s="0" t="n">
        <v>1629096</v>
      </c>
      <c r="D5215" s="0" t="s">
        <v>17393</v>
      </c>
      <c r="E5215" s="0" t="s">
        <v>75</v>
      </c>
      <c r="F5215" s="0" t="s">
        <v>90</v>
      </c>
      <c r="G5215" s="0" t="s">
        <v>20</v>
      </c>
      <c r="H5215" s="0" t="n">
        <v>76</v>
      </c>
      <c r="I5215" s="0" t="s">
        <v>17400</v>
      </c>
      <c r="J5215" s="0" t="s">
        <v>17401</v>
      </c>
      <c r="K5215" s="0" t="s">
        <v>17402</v>
      </c>
      <c r="L5215" s="0" t="str">
        <f aca="false">HYPERLINK("https://www.ncbi.nlm.nih.gov/nuccore/CP000058.1?report=graph&amp;tracks=[key:gene_model_track,Options:GeneOnly]&amp;mk=1629153:1629172|offset_0|444444,1629107:1629126|offset_46|444444,1629077:1629096|offset_76|00cc00,1629034:1629053|offset_119|444444&amp;v=1628952:1629253&amp;c=444444", "offset 76")</f>
        <v>offset 76</v>
      </c>
    </row>
    <row r="5216" customFormat="false" ht="12.8" hidden="false" customHeight="false" outlineLevel="0" collapsed="false">
      <c r="A5216" s="0" t="s">
        <v>12</v>
      </c>
      <c r="B5216" s="0" t="n">
        <v>1629033</v>
      </c>
      <c r="C5216" s="0" t="n">
        <v>1629053</v>
      </c>
      <c r="D5216" s="0" t="s">
        <v>17393</v>
      </c>
      <c r="E5216" s="0" t="s">
        <v>75</v>
      </c>
      <c r="F5216" s="0" t="s">
        <v>90</v>
      </c>
      <c r="G5216" s="0" t="s">
        <v>36</v>
      </c>
      <c r="H5216" s="0" t="n">
        <v>119</v>
      </c>
      <c r="I5216" s="0" t="s">
        <v>17403</v>
      </c>
      <c r="J5216" s="0" t="s">
        <v>17404</v>
      </c>
      <c r="K5216" s="0" t="s">
        <v>17405</v>
      </c>
      <c r="L5216" s="0" t="str">
        <f aca="false">HYPERLINK("https://www.ncbi.nlm.nih.gov/nuccore/CP000058.1?report=graph&amp;tracks=[key:gene_model_track,Options:GeneOnly]&amp;mk=1629153:1629172|offset_0|444444,1629107:1629126|offset_46|444444,1629077:1629096|offset_76|444444,1629034:1629053|offset_119|00cc00&amp;v=1628952:1629253&amp;c=444444", "offset 119")</f>
        <v>offset 119</v>
      </c>
    </row>
    <row r="5217" customFormat="false" ht="12.8" hidden="false" customHeight="false" outlineLevel="0" collapsed="false">
      <c r="A5217" s="0" t="s">
        <v>12</v>
      </c>
      <c r="B5217" s="0" t="n">
        <v>1629279</v>
      </c>
      <c r="C5217" s="0" t="n">
        <v>1629299</v>
      </c>
      <c r="D5217" s="0" t="s">
        <v>17406</v>
      </c>
      <c r="E5217" s="0" t="s">
        <v>75</v>
      </c>
      <c r="F5217" s="0" t="s">
        <v>15</v>
      </c>
      <c r="G5217" s="0" t="s">
        <v>32</v>
      </c>
      <c r="H5217" s="0" t="n">
        <v>0</v>
      </c>
      <c r="I5217" s="0" t="s">
        <v>17407</v>
      </c>
      <c r="J5217" s="0" t="s">
        <v>17408</v>
      </c>
      <c r="K5217" s="0" t="s">
        <v>17409</v>
      </c>
      <c r="L5217" s="0" t="str">
        <f aca="false">HYPERLINK("https://www.ncbi.nlm.nih.gov/nuccore/CP000058.1?report=graph&amp;tracks=[key:gene_model_track,Options:GeneOnly]&amp;mk=1629280:1629299|offset_0|00cc00,1629305:1629324|offset_25|444444,1629333:1629352|offset_53|444444,1629355:1629374|offset_75|444444&amp;v=1629079:1629574&amp;c=444444", "offset 0")</f>
        <v>offset 0</v>
      </c>
    </row>
    <row r="5218" customFormat="false" ht="12.8" hidden="false" customHeight="false" outlineLevel="0" collapsed="false">
      <c r="A5218" s="0" t="s">
        <v>12</v>
      </c>
      <c r="B5218" s="0" t="n">
        <v>1629304</v>
      </c>
      <c r="C5218" s="0" t="n">
        <v>1629324</v>
      </c>
      <c r="D5218" s="0" t="s">
        <v>17406</v>
      </c>
      <c r="E5218" s="0" t="s">
        <v>75</v>
      </c>
      <c r="F5218" s="0" t="s">
        <v>15</v>
      </c>
      <c r="G5218" s="0" t="s">
        <v>36</v>
      </c>
      <c r="H5218" s="0" t="n">
        <v>25</v>
      </c>
      <c r="I5218" s="0" t="s">
        <v>17410</v>
      </c>
      <c r="J5218" s="0" t="s">
        <v>17411</v>
      </c>
      <c r="K5218" s="0" t="s">
        <v>17412</v>
      </c>
      <c r="L5218" s="0" t="str">
        <f aca="false">HYPERLINK("https://www.ncbi.nlm.nih.gov/nuccore/CP000058.1?report=graph&amp;tracks=[key:gene_model_track,Options:GeneOnly]&amp;mk=1629280:1629299|offset_0|444444,1629305:1629324|offset_25|00cc00,1629333:1629352|offset_53|444444,1629355:1629374|offset_75|444444&amp;v=1629079:1629574&amp;c=444444", "offset 25")</f>
        <v>offset 25</v>
      </c>
    </row>
    <row r="5219" customFormat="false" ht="12.8" hidden="false" customHeight="false" outlineLevel="0" collapsed="false">
      <c r="A5219" s="0" t="s">
        <v>12</v>
      </c>
      <c r="B5219" s="0" t="n">
        <v>1629332</v>
      </c>
      <c r="C5219" s="0" t="n">
        <v>1629352</v>
      </c>
      <c r="D5219" s="0" t="s">
        <v>17406</v>
      </c>
      <c r="E5219" s="0" t="s">
        <v>75</v>
      </c>
      <c r="F5219" s="0" t="s">
        <v>15</v>
      </c>
      <c r="G5219" s="0" t="s">
        <v>20</v>
      </c>
      <c r="H5219" s="0" t="n">
        <v>53</v>
      </c>
      <c r="I5219" s="0" t="s">
        <v>17413</v>
      </c>
      <c r="J5219" s="0" t="s">
        <v>17414</v>
      </c>
      <c r="K5219" s="0" t="s">
        <v>17415</v>
      </c>
      <c r="L5219" s="0" t="str">
        <f aca="false">HYPERLINK("https://www.ncbi.nlm.nih.gov/nuccore/CP000058.1?report=graph&amp;tracks=[key:gene_model_track,Options:GeneOnly]&amp;mk=1629280:1629299|offset_0|444444,1629305:1629324|offset_25|444444,1629333:1629352|offset_53|00cc00,1629355:1629374|offset_75|444444&amp;v=1629079:1629574&amp;c=444444", "offset 53")</f>
        <v>offset 53</v>
      </c>
    </row>
    <row r="5220" customFormat="false" ht="12.8" hidden="false" customHeight="false" outlineLevel="0" collapsed="false">
      <c r="A5220" s="0" t="s">
        <v>12</v>
      </c>
      <c r="B5220" s="0" t="n">
        <v>1629354</v>
      </c>
      <c r="C5220" s="0" t="n">
        <v>1629374</v>
      </c>
      <c r="D5220" s="0" t="s">
        <v>17406</v>
      </c>
      <c r="E5220" s="0" t="s">
        <v>75</v>
      </c>
      <c r="F5220" s="0" t="s">
        <v>15</v>
      </c>
      <c r="G5220" s="0" t="s">
        <v>32</v>
      </c>
      <c r="H5220" s="0" t="n">
        <v>75</v>
      </c>
      <c r="I5220" s="0" t="s">
        <v>17416</v>
      </c>
      <c r="J5220" s="0" t="s">
        <v>17417</v>
      </c>
      <c r="K5220" s="0" t="s">
        <v>17418</v>
      </c>
      <c r="L5220" s="0" t="str">
        <f aca="false">HYPERLINK("https://www.ncbi.nlm.nih.gov/nuccore/CP000058.1?report=graph&amp;tracks=[key:gene_model_track,Options:GeneOnly]&amp;mk=1629280:1629299|offset_0|444444,1629305:1629324|offset_25|444444,1629333:1629352|offset_53|444444,1629355:1629374|offset_75|00cc00&amp;v=1629079:1629574&amp;c=444444", "offset 75")</f>
        <v>offset 75</v>
      </c>
    </row>
    <row r="5221" customFormat="false" ht="12.8" hidden="false" customHeight="false" outlineLevel="0" collapsed="false">
      <c r="A5221" s="0" t="s">
        <v>12</v>
      </c>
      <c r="B5221" s="0" t="n">
        <v>1631535</v>
      </c>
      <c r="C5221" s="0" t="n">
        <v>1631555</v>
      </c>
      <c r="D5221" s="0" t="s">
        <v>17419</v>
      </c>
      <c r="E5221" s="0" t="s">
        <v>17420</v>
      </c>
      <c r="F5221" s="0" t="s">
        <v>15</v>
      </c>
      <c r="G5221" s="0" t="s">
        <v>16</v>
      </c>
      <c r="H5221" s="0" t="n">
        <v>0</v>
      </c>
      <c r="I5221" s="0" t="s">
        <v>17421</v>
      </c>
      <c r="J5221" s="0" t="s">
        <v>17422</v>
      </c>
      <c r="K5221" s="0" t="s">
        <v>17423</v>
      </c>
      <c r="L5221" s="0" t="str">
        <f aca="false">HYPERLINK("https://www.ncbi.nlm.nih.gov/nuccore/CP000058.1?report=graph&amp;tracks=[key:gene_model_track,Options:GeneOnly]&amp;mk=1631536:1631555|offset_0|00cc00,1631588:1631607|offset_52|444444,1631610:1631629|offset_74|444444,1631630:1631649|offset_94|444444&amp;v=1631335:1631849&amp;c=444444", "offset 0")</f>
        <v>offset 0</v>
      </c>
    </row>
    <row r="5222" customFormat="false" ht="12.8" hidden="false" customHeight="false" outlineLevel="0" collapsed="false">
      <c r="A5222" s="0" t="s">
        <v>12</v>
      </c>
      <c r="B5222" s="0" t="n">
        <v>1631587</v>
      </c>
      <c r="C5222" s="0" t="n">
        <v>1631607</v>
      </c>
      <c r="D5222" s="0" t="s">
        <v>17419</v>
      </c>
      <c r="E5222" s="0" t="s">
        <v>17420</v>
      </c>
      <c r="F5222" s="0" t="s">
        <v>15</v>
      </c>
      <c r="G5222" s="0" t="s">
        <v>20</v>
      </c>
      <c r="H5222" s="0" t="n">
        <v>52</v>
      </c>
      <c r="I5222" s="0" t="s">
        <v>17424</v>
      </c>
      <c r="J5222" s="0" t="s">
        <v>17425</v>
      </c>
      <c r="K5222" s="0" t="s">
        <v>17426</v>
      </c>
      <c r="L5222" s="0" t="str">
        <f aca="false">HYPERLINK("https://www.ncbi.nlm.nih.gov/nuccore/CP000058.1?report=graph&amp;tracks=[key:gene_model_track,Options:GeneOnly]&amp;mk=1631536:1631555|offset_0|444444,1631588:1631607|offset_52|00cc00,1631610:1631629|offset_74|444444,1631630:1631649|offset_94|444444&amp;v=1631335:1631849&amp;c=444444", "offset 52")</f>
        <v>offset 52</v>
      </c>
    </row>
    <row r="5223" customFormat="false" ht="12.8" hidden="false" customHeight="false" outlineLevel="0" collapsed="false">
      <c r="A5223" s="0" t="s">
        <v>12</v>
      </c>
      <c r="B5223" s="0" t="n">
        <v>1631609</v>
      </c>
      <c r="C5223" s="0" t="n">
        <v>1631629</v>
      </c>
      <c r="D5223" s="0" t="s">
        <v>17419</v>
      </c>
      <c r="E5223" s="0" t="s">
        <v>17420</v>
      </c>
      <c r="F5223" s="0" t="s">
        <v>15</v>
      </c>
      <c r="G5223" s="0" t="s">
        <v>36</v>
      </c>
      <c r="H5223" s="0" t="n">
        <v>74</v>
      </c>
      <c r="I5223" s="0" t="s">
        <v>17427</v>
      </c>
      <c r="J5223" s="0" t="s">
        <v>17428</v>
      </c>
      <c r="K5223" s="0" t="s">
        <v>17429</v>
      </c>
      <c r="L5223" s="0" t="str">
        <f aca="false">HYPERLINK("https://www.ncbi.nlm.nih.gov/nuccore/CP000058.1?report=graph&amp;tracks=[key:gene_model_track,Options:GeneOnly]&amp;mk=1631536:1631555|offset_0|444444,1631588:1631607|offset_52|444444,1631610:1631629|offset_74|00cc00,1631630:1631649|offset_94|444444&amp;v=1631335:1631849&amp;c=444444", "offset 74")</f>
        <v>offset 74</v>
      </c>
    </row>
    <row r="5224" customFormat="false" ht="12.8" hidden="false" customHeight="false" outlineLevel="0" collapsed="false">
      <c r="A5224" s="0" t="s">
        <v>12</v>
      </c>
      <c r="B5224" s="0" t="n">
        <v>1631629</v>
      </c>
      <c r="C5224" s="0" t="n">
        <v>1631649</v>
      </c>
      <c r="D5224" s="0" t="s">
        <v>17419</v>
      </c>
      <c r="E5224" s="0" t="s">
        <v>17420</v>
      </c>
      <c r="F5224" s="0" t="s">
        <v>15</v>
      </c>
      <c r="G5224" s="0" t="s">
        <v>20</v>
      </c>
      <c r="H5224" s="0" t="n">
        <v>94</v>
      </c>
      <c r="I5224" s="0" t="s">
        <v>17430</v>
      </c>
      <c r="J5224" s="0" t="s">
        <v>17431</v>
      </c>
      <c r="K5224" s="0" t="s">
        <v>17432</v>
      </c>
      <c r="L5224" s="0" t="str">
        <f aca="false">HYPERLINK("https://www.ncbi.nlm.nih.gov/nuccore/CP000058.1?report=graph&amp;tracks=[key:gene_model_track,Options:GeneOnly]&amp;mk=1631536:1631555|offset_0|444444,1631588:1631607|offset_52|444444,1631610:1631629|offset_74|444444,1631630:1631649|offset_94|00cc00&amp;v=1631335:1631849&amp;c=444444", "offset 94")</f>
        <v>offset 94</v>
      </c>
    </row>
    <row r="5225" customFormat="false" ht="12.8" hidden="false" customHeight="false" outlineLevel="0" collapsed="false">
      <c r="A5225" s="0" t="s">
        <v>12</v>
      </c>
      <c r="B5225" s="0" t="n">
        <v>1632745</v>
      </c>
      <c r="C5225" s="0" t="n">
        <v>1632765</v>
      </c>
      <c r="D5225" s="0" t="s">
        <v>17433</v>
      </c>
      <c r="E5225" s="0" t="s">
        <v>75</v>
      </c>
      <c r="F5225" s="0" t="s">
        <v>15</v>
      </c>
      <c r="G5225" s="0" t="s">
        <v>16</v>
      </c>
      <c r="H5225" s="0" t="n">
        <v>19</v>
      </c>
      <c r="I5225" s="0" t="s">
        <v>17434</v>
      </c>
      <c r="J5225" s="0" t="s">
        <v>17435</v>
      </c>
      <c r="K5225" s="0" t="s">
        <v>17436</v>
      </c>
      <c r="L5225" s="0" t="str">
        <f aca="false">HYPERLINK("https://www.ncbi.nlm.nih.gov/nuccore/CP000058.1?report=graph&amp;tracks=[key:gene_model_track,Options:GeneOnly]&amp;mk=1632746:1632765|offset_19|00cc00,1632766:1632785|offset_39|444444,1632792:1632811|offset_65|444444,1632825:1632844|offset_98|444444&amp;v=1632545:1633044&amp;c=444444", "offset 19")</f>
        <v>offset 19</v>
      </c>
    </row>
    <row r="5226" customFormat="false" ht="12.8" hidden="false" customHeight="false" outlineLevel="0" collapsed="false">
      <c r="A5226" s="0" t="s">
        <v>12</v>
      </c>
      <c r="B5226" s="0" t="n">
        <v>1632765</v>
      </c>
      <c r="C5226" s="0" t="n">
        <v>1632785</v>
      </c>
      <c r="D5226" s="0" t="s">
        <v>17433</v>
      </c>
      <c r="E5226" s="0" t="s">
        <v>75</v>
      </c>
      <c r="F5226" s="0" t="s">
        <v>15</v>
      </c>
      <c r="G5226" s="0" t="s">
        <v>32</v>
      </c>
      <c r="H5226" s="0" t="n">
        <v>39</v>
      </c>
      <c r="I5226" s="0" t="s">
        <v>17437</v>
      </c>
      <c r="J5226" s="0" t="s">
        <v>17438</v>
      </c>
      <c r="K5226" s="0" t="s">
        <v>17439</v>
      </c>
      <c r="L5226" s="0" t="str">
        <f aca="false">HYPERLINK("https://www.ncbi.nlm.nih.gov/nuccore/CP000058.1?report=graph&amp;tracks=[key:gene_model_track,Options:GeneOnly]&amp;mk=1632746:1632765|offset_19|444444,1632766:1632785|offset_39|00cc00,1632792:1632811|offset_65|444444,1632825:1632844|offset_98|444444&amp;v=1632545:1633044&amp;c=444444", "offset 39")</f>
        <v>offset 39</v>
      </c>
    </row>
    <row r="5227" customFormat="false" ht="12.8" hidden="false" customHeight="false" outlineLevel="0" collapsed="false">
      <c r="A5227" s="0" t="s">
        <v>12</v>
      </c>
      <c r="B5227" s="0" t="n">
        <v>1632791</v>
      </c>
      <c r="C5227" s="0" t="n">
        <v>1632811</v>
      </c>
      <c r="D5227" s="0" t="s">
        <v>17433</v>
      </c>
      <c r="E5227" s="0" t="s">
        <v>75</v>
      </c>
      <c r="F5227" s="0" t="s">
        <v>15</v>
      </c>
      <c r="G5227" s="0" t="s">
        <v>16</v>
      </c>
      <c r="H5227" s="0" t="n">
        <v>65</v>
      </c>
      <c r="I5227" s="0" t="s">
        <v>17440</v>
      </c>
      <c r="J5227" s="0" t="s">
        <v>17441</v>
      </c>
      <c r="K5227" s="0" t="s">
        <v>17442</v>
      </c>
      <c r="L5227" s="0" t="str">
        <f aca="false">HYPERLINK("https://www.ncbi.nlm.nih.gov/nuccore/CP000058.1?report=graph&amp;tracks=[key:gene_model_track,Options:GeneOnly]&amp;mk=1632746:1632765|offset_19|444444,1632766:1632785|offset_39|444444,1632792:1632811|offset_65|00cc00,1632825:1632844|offset_98|444444&amp;v=1632545:1633044&amp;c=444444", "offset 65")</f>
        <v>offset 65</v>
      </c>
    </row>
    <row r="5228" customFormat="false" ht="12.8" hidden="false" customHeight="false" outlineLevel="0" collapsed="false">
      <c r="A5228" s="0" t="s">
        <v>12</v>
      </c>
      <c r="B5228" s="0" t="n">
        <v>1632824</v>
      </c>
      <c r="C5228" s="0" t="n">
        <v>1632844</v>
      </c>
      <c r="D5228" s="0" t="s">
        <v>17433</v>
      </c>
      <c r="E5228" s="0" t="s">
        <v>75</v>
      </c>
      <c r="F5228" s="0" t="s">
        <v>15</v>
      </c>
      <c r="G5228" s="0" t="s">
        <v>16</v>
      </c>
      <c r="H5228" s="0" t="n">
        <v>98</v>
      </c>
      <c r="I5228" s="0" t="s">
        <v>17443</v>
      </c>
      <c r="J5228" s="0" t="s">
        <v>17444</v>
      </c>
      <c r="K5228" s="0" t="s">
        <v>17445</v>
      </c>
      <c r="L5228" s="0" t="str">
        <f aca="false">HYPERLINK("https://www.ncbi.nlm.nih.gov/nuccore/CP000058.1?report=graph&amp;tracks=[key:gene_model_track,Options:GeneOnly]&amp;mk=1632746:1632765|offset_19|444444,1632766:1632785|offset_39|444444,1632792:1632811|offset_65|444444,1632825:1632844|offset_98|00cc00&amp;v=1632545:1633044&amp;c=444444", "offset 98")</f>
        <v>offset 98</v>
      </c>
    </row>
    <row r="5229" customFormat="false" ht="12.8" hidden="false" customHeight="false" outlineLevel="0" collapsed="false">
      <c r="A5229" s="0" t="s">
        <v>12</v>
      </c>
      <c r="B5229" s="0" t="n">
        <v>1634279</v>
      </c>
      <c r="C5229" s="0" t="n">
        <v>1634299</v>
      </c>
      <c r="D5229" s="0" t="s">
        <v>17446</v>
      </c>
      <c r="E5229" s="0" t="s">
        <v>17447</v>
      </c>
      <c r="F5229" s="0" t="s">
        <v>15</v>
      </c>
      <c r="G5229" s="0" t="s">
        <v>32</v>
      </c>
      <c r="H5229" s="0" t="n">
        <v>1</v>
      </c>
      <c r="I5229" s="0" t="s">
        <v>17448</v>
      </c>
      <c r="J5229" s="0" t="s">
        <v>17449</v>
      </c>
      <c r="K5229" s="0" t="s">
        <v>17450</v>
      </c>
      <c r="L5229" s="0" t="str">
        <f aca="false">HYPERLINK("https://www.ncbi.nlm.nih.gov/nuccore/CP000058.1?report=graph&amp;tracks=[key:gene_model_track,Options:GeneOnly]&amp;mk=1634280:1634299|offset_1|00cc00,1634308:1634327|offset_29|444444,1634334:1634353|offset_55|444444,1634357:1634376|offset_78|444444&amp;v=1634079:1634576&amp;c=444444", "offset 1")</f>
        <v>offset 1</v>
      </c>
    </row>
    <row r="5230" customFormat="false" ht="12.8" hidden="false" customHeight="false" outlineLevel="0" collapsed="false">
      <c r="A5230" s="0" t="s">
        <v>12</v>
      </c>
      <c r="B5230" s="0" t="n">
        <v>1634307</v>
      </c>
      <c r="C5230" s="0" t="n">
        <v>1634327</v>
      </c>
      <c r="D5230" s="0" t="s">
        <v>17446</v>
      </c>
      <c r="E5230" s="0" t="s">
        <v>17447</v>
      </c>
      <c r="F5230" s="0" t="s">
        <v>15</v>
      </c>
      <c r="G5230" s="0" t="s">
        <v>16</v>
      </c>
      <c r="H5230" s="0" t="n">
        <v>29</v>
      </c>
      <c r="I5230" s="0" t="s">
        <v>17451</v>
      </c>
      <c r="J5230" s="0" t="s">
        <v>17452</v>
      </c>
      <c r="K5230" s="0" t="s">
        <v>17453</v>
      </c>
      <c r="L5230" s="0" t="str">
        <f aca="false">HYPERLINK("https://www.ncbi.nlm.nih.gov/nuccore/CP000058.1?report=graph&amp;tracks=[key:gene_model_track,Options:GeneOnly]&amp;mk=1634280:1634299|offset_1|444444,1634308:1634327|offset_29|00cc00,1634334:1634353|offset_55|444444,1634357:1634376|offset_78|444444&amp;v=1634079:1634576&amp;c=444444", "offset 29")</f>
        <v>offset 29</v>
      </c>
    </row>
    <row r="5231" customFormat="false" ht="12.8" hidden="false" customHeight="false" outlineLevel="0" collapsed="false">
      <c r="A5231" s="0" t="s">
        <v>12</v>
      </c>
      <c r="B5231" s="0" t="n">
        <v>1634333</v>
      </c>
      <c r="C5231" s="0" t="n">
        <v>1634353</v>
      </c>
      <c r="D5231" s="0" t="s">
        <v>17446</v>
      </c>
      <c r="E5231" s="0" t="s">
        <v>17447</v>
      </c>
      <c r="F5231" s="0" t="s">
        <v>15</v>
      </c>
      <c r="G5231" s="0" t="s">
        <v>16</v>
      </c>
      <c r="H5231" s="0" t="n">
        <v>55</v>
      </c>
      <c r="I5231" s="0" t="s">
        <v>17454</v>
      </c>
      <c r="J5231" s="0" t="s">
        <v>17455</v>
      </c>
      <c r="K5231" s="0" t="s">
        <v>17456</v>
      </c>
      <c r="L5231" s="0" t="str">
        <f aca="false">HYPERLINK("https://www.ncbi.nlm.nih.gov/nuccore/CP000058.1?report=graph&amp;tracks=[key:gene_model_track,Options:GeneOnly]&amp;mk=1634280:1634299|offset_1|444444,1634308:1634327|offset_29|444444,1634334:1634353|offset_55|00cc00,1634357:1634376|offset_78|444444&amp;v=1634079:1634576&amp;c=444444", "offset 55")</f>
        <v>offset 55</v>
      </c>
    </row>
    <row r="5232" customFormat="false" ht="12.8" hidden="false" customHeight="false" outlineLevel="0" collapsed="false">
      <c r="A5232" s="0" t="s">
        <v>12</v>
      </c>
      <c r="B5232" s="0" t="n">
        <v>1634356</v>
      </c>
      <c r="C5232" s="0" t="n">
        <v>1634376</v>
      </c>
      <c r="D5232" s="0" t="s">
        <v>17446</v>
      </c>
      <c r="E5232" s="0" t="s">
        <v>17447</v>
      </c>
      <c r="F5232" s="0" t="s">
        <v>15</v>
      </c>
      <c r="G5232" s="0" t="s">
        <v>36</v>
      </c>
      <c r="H5232" s="0" t="n">
        <v>78</v>
      </c>
      <c r="I5232" s="0" t="s">
        <v>17457</v>
      </c>
      <c r="J5232" s="0" t="s">
        <v>17458</v>
      </c>
      <c r="K5232" s="0" t="s">
        <v>17459</v>
      </c>
      <c r="L5232" s="0" t="str">
        <f aca="false">HYPERLINK("https://www.ncbi.nlm.nih.gov/nuccore/CP000058.1?report=graph&amp;tracks=[key:gene_model_track,Options:GeneOnly]&amp;mk=1634280:1634299|offset_1|444444,1634308:1634327|offset_29|444444,1634334:1634353|offset_55|444444,1634357:1634376|offset_78|00cc00&amp;v=1634079:1634576&amp;c=444444", "offset 78")</f>
        <v>offset 78</v>
      </c>
    </row>
    <row r="5233" customFormat="false" ht="12.8" hidden="false" customHeight="false" outlineLevel="0" collapsed="false">
      <c r="A5233" s="0" t="s">
        <v>12</v>
      </c>
      <c r="B5233" s="0" t="n">
        <v>1635086</v>
      </c>
      <c r="C5233" s="0" t="n">
        <v>1635106</v>
      </c>
      <c r="D5233" s="0" t="s">
        <v>17460</v>
      </c>
      <c r="E5233" s="0" t="s">
        <v>75</v>
      </c>
      <c r="F5233" s="0" t="s">
        <v>15</v>
      </c>
      <c r="G5233" s="0" t="s">
        <v>16</v>
      </c>
      <c r="H5233" s="0" t="n">
        <v>13</v>
      </c>
      <c r="I5233" s="0" t="s">
        <v>17461</v>
      </c>
      <c r="J5233" s="0" t="s">
        <v>17462</v>
      </c>
      <c r="K5233" s="0" t="s">
        <v>17463</v>
      </c>
      <c r="L5233" s="0" t="str">
        <f aca="false">HYPERLINK("https://www.ncbi.nlm.nih.gov/nuccore/CP000058.1?report=graph&amp;tracks=[key:gene_model_track,Options:GeneOnly]&amp;mk=1635087:1635106|offset_13|00cc00,1635114:1635133|offset_40|444444,1635141:1635160|offset_67|444444,1635162:1635181|offset_88|444444&amp;v=1634886:1635381&amp;c=444444", "offset 13")</f>
        <v>offset 13</v>
      </c>
    </row>
    <row r="5234" customFormat="false" ht="12.8" hidden="false" customHeight="false" outlineLevel="0" collapsed="false">
      <c r="A5234" s="0" t="s">
        <v>12</v>
      </c>
      <c r="B5234" s="0" t="n">
        <v>1635113</v>
      </c>
      <c r="C5234" s="0" t="n">
        <v>1635133</v>
      </c>
      <c r="D5234" s="0" t="s">
        <v>17460</v>
      </c>
      <c r="E5234" s="0" t="s">
        <v>75</v>
      </c>
      <c r="F5234" s="0" t="s">
        <v>15</v>
      </c>
      <c r="G5234" s="0" t="s">
        <v>32</v>
      </c>
      <c r="H5234" s="0" t="n">
        <v>40</v>
      </c>
      <c r="I5234" s="0" t="s">
        <v>17464</v>
      </c>
      <c r="J5234" s="0" t="s">
        <v>17465</v>
      </c>
      <c r="K5234" s="0" t="s">
        <v>17466</v>
      </c>
      <c r="L5234" s="0" t="str">
        <f aca="false">HYPERLINK("https://www.ncbi.nlm.nih.gov/nuccore/CP000058.1?report=graph&amp;tracks=[key:gene_model_track,Options:GeneOnly]&amp;mk=1635087:1635106|offset_13|444444,1635114:1635133|offset_40|00cc00,1635141:1635160|offset_67|444444,1635162:1635181|offset_88|444444&amp;v=1634886:1635381&amp;c=444444", "offset 40")</f>
        <v>offset 40</v>
      </c>
    </row>
    <row r="5235" customFormat="false" ht="12.8" hidden="false" customHeight="false" outlineLevel="0" collapsed="false">
      <c r="A5235" s="0" t="s">
        <v>12</v>
      </c>
      <c r="B5235" s="0" t="n">
        <v>1635140</v>
      </c>
      <c r="C5235" s="0" t="n">
        <v>1635160</v>
      </c>
      <c r="D5235" s="0" t="s">
        <v>17460</v>
      </c>
      <c r="E5235" s="0" t="s">
        <v>75</v>
      </c>
      <c r="F5235" s="0" t="s">
        <v>15</v>
      </c>
      <c r="G5235" s="0" t="s">
        <v>20</v>
      </c>
      <c r="H5235" s="0" t="n">
        <v>67</v>
      </c>
      <c r="I5235" s="0" t="s">
        <v>17467</v>
      </c>
      <c r="J5235" s="0" t="s">
        <v>17468</v>
      </c>
      <c r="K5235" s="0" t="s">
        <v>17469</v>
      </c>
      <c r="L5235" s="0" t="str">
        <f aca="false">HYPERLINK("https://www.ncbi.nlm.nih.gov/nuccore/CP000058.1?report=graph&amp;tracks=[key:gene_model_track,Options:GeneOnly]&amp;mk=1635087:1635106|offset_13|444444,1635114:1635133|offset_40|444444,1635141:1635160|offset_67|00cc00,1635162:1635181|offset_88|444444&amp;v=1634886:1635381&amp;c=444444", "offset 67")</f>
        <v>offset 67</v>
      </c>
    </row>
    <row r="5236" customFormat="false" ht="12.8" hidden="false" customHeight="false" outlineLevel="0" collapsed="false">
      <c r="A5236" s="0" t="s">
        <v>12</v>
      </c>
      <c r="B5236" s="0" t="n">
        <v>1635161</v>
      </c>
      <c r="C5236" s="0" t="n">
        <v>1635181</v>
      </c>
      <c r="D5236" s="0" t="s">
        <v>17460</v>
      </c>
      <c r="E5236" s="0" t="s">
        <v>75</v>
      </c>
      <c r="F5236" s="0" t="s">
        <v>15</v>
      </c>
      <c r="G5236" s="0" t="s">
        <v>20</v>
      </c>
      <c r="H5236" s="0" t="n">
        <v>88</v>
      </c>
      <c r="I5236" s="0" t="s">
        <v>17470</v>
      </c>
      <c r="J5236" s="0" t="s">
        <v>17471</v>
      </c>
      <c r="K5236" s="0" t="s">
        <v>17472</v>
      </c>
      <c r="L5236" s="0" t="str">
        <f aca="false">HYPERLINK("https://www.ncbi.nlm.nih.gov/nuccore/CP000058.1?report=graph&amp;tracks=[key:gene_model_track,Options:GeneOnly]&amp;mk=1635087:1635106|offset_13|444444,1635114:1635133|offset_40|444444,1635141:1635160|offset_67|444444,1635162:1635181|offset_88|00cc00&amp;v=1634886:1635381&amp;c=444444", "offset 88")</f>
        <v>offset 88</v>
      </c>
    </row>
    <row r="5237" customFormat="false" ht="12.8" hidden="false" customHeight="false" outlineLevel="0" collapsed="false">
      <c r="A5237" s="0" t="s">
        <v>12</v>
      </c>
      <c r="B5237" s="0" t="n">
        <v>1637301</v>
      </c>
      <c r="C5237" s="0" t="n">
        <v>1637321</v>
      </c>
      <c r="D5237" s="0" t="s">
        <v>17473</v>
      </c>
      <c r="E5237" s="0" t="s">
        <v>75</v>
      </c>
      <c r="F5237" s="0" t="s">
        <v>90</v>
      </c>
      <c r="G5237" s="0" t="s">
        <v>16</v>
      </c>
      <c r="H5237" s="0" t="n">
        <v>16</v>
      </c>
      <c r="I5237" s="0" t="s">
        <v>17474</v>
      </c>
      <c r="J5237" s="0" t="s">
        <v>17475</v>
      </c>
      <c r="K5237" s="0" t="s">
        <v>17476</v>
      </c>
      <c r="L5237" s="0" t="str">
        <f aca="false">HYPERLINK("https://www.ncbi.nlm.nih.gov/nuccore/CP000058.1?report=graph&amp;tracks=[key:gene_model_track,Options:GeneOnly]&amp;mk=1637302:1637321|offset_16|00cc00,1637277:1637296|offset_41|444444,1637241:1637260|offset_77|444444,1637206:1637225|offset_112|444444&amp;v=1637101:1637425&amp;c=444444", "offset 16")</f>
        <v>offset 16</v>
      </c>
    </row>
    <row r="5238" customFormat="false" ht="12.8" hidden="false" customHeight="false" outlineLevel="0" collapsed="false">
      <c r="A5238" s="0" t="s">
        <v>12</v>
      </c>
      <c r="B5238" s="0" t="n">
        <v>1637276</v>
      </c>
      <c r="C5238" s="0" t="n">
        <v>1637296</v>
      </c>
      <c r="D5238" s="0" t="s">
        <v>17473</v>
      </c>
      <c r="E5238" s="0" t="s">
        <v>75</v>
      </c>
      <c r="F5238" s="0" t="s">
        <v>90</v>
      </c>
      <c r="G5238" s="0" t="s">
        <v>36</v>
      </c>
      <c r="H5238" s="0" t="n">
        <v>41</v>
      </c>
      <c r="I5238" s="0" t="s">
        <v>17477</v>
      </c>
      <c r="J5238" s="0" t="s">
        <v>17478</v>
      </c>
      <c r="K5238" s="0" t="s">
        <v>17479</v>
      </c>
      <c r="L5238" s="0" t="str">
        <f aca="false">HYPERLINK("https://www.ncbi.nlm.nih.gov/nuccore/CP000058.1?report=graph&amp;tracks=[key:gene_model_track,Options:GeneOnly]&amp;mk=1637302:1637321|offset_16|444444,1637277:1637296|offset_41|00cc00,1637241:1637260|offset_77|444444,1637206:1637225|offset_112|444444&amp;v=1637101:1637425&amp;c=444444", "offset 41")</f>
        <v>offset 41</v>
      </c>
    </row>
    <row r="5239" customFormat="false" ht="12.8" hidden="false" customHeight="false" outlineLevel="0" collapsed="false">
      <c r="A5239" s="0" t="s">
        <v>12</v>
      </c>
      <c r="B5239" s="0" t="n">
        <v>1637240</v>
      </c>
      <c r="C5239" s="0" t="n">
        <v>1637260</v>
      </c>
      <c r="D5239" s="0" t="s">
        <v>17473</v>
      </c>
      <c r="E5239" s="0" t="s">
        <v>75</v>
      </c>
      <c r="F5239" s="0" t="s">
        <v>90</v>
      </c>
      <c r="G5239" s="0" t="s">
        <v>20</v>
      </c>
      <c r="H5239" s="0" t="n">
        <v>77</v>
      </c>
      <c r="I5239" s="0" t="s">
        <v>17480</v>
      </c>
      <c r="J5239" s="0" t="s">
        <v>17481</v>
      </c>
      <c r="K5239" s="0" t="s">
        <v>17482</v>
      </c>
      <c r="L5239" s="0" t="str">
        <f aca="false">HYPERLINK("https://www.ncbi.nlm.nih.gov/nuccore/CP000058.1?report=graph&amp;tracks=[key:gene_model_track,Options:GeneOnly]&amp;mk=1637302:1637321|offset_16|444444,1637277:1637296|offset_41|444444,1637241:1637260|offset_77|00cc00,1637206:1637225|offset_112|444444&amp;v=1637101:1637425&amp;c=444444", "offset 77")</f>
        <v>offset 77</v>
      </c>
    </row>
    <row r="5240" customFormat="false" ht="12.8" hidden="false" customHeight="false" outlineLevel="0" collapsed="false">
      <c r="A5240" s="0" t="s">
        <v>12</v>
      </c>
      <c r="B5240" s="0" t="n">
        <v>1637205</v>
      </c>
      <c r="C5240" s="0" t="n">
        <v>1637225</v>
      </c>
      <c r="D5240" s="0" t="s">
        <v>17473</v>
      </c>
      <c r="E5240" s="0" t="s">
        <v>75</v>
      </c>
      <c r="F5240" s="0" t="s">
        <v>90</v>
      </c>
      <c r="G5240" s="0" t="s">
        <v>36</v>
      </c>
      <c r="H5240" s="0" t="n">
        <v>112</v>
      </c>
      <c r="I5240" s="0" t="s">
        <v>17483</v>
      </c>
      <c r="J5240" s="0" t="s">
        <v>17484</v>
      </c>
      <c r="K5240" s="0" t="s">
        <v>17485</v>
      </c>
      <c r="L5240" s="0" t="str">
        <f aca="false">HYPERLINK("https://www.ncbi.nlm.nih.gov/nuccore/CP000058.1?report=graph&amp;tracks=[key:gene_model_track,Options:GeneOnly]&amp;mk=1637302:1637321|offset_16|444444,1637277:1637296|offset_41|444444,1637241:1637260|offset_77|444444,1637206:1637225|offset_112|00cc00&amp;v=1637101:1637425&amp;c=444444", "offset 112")</f>
        <v>offset 112</v>
      </c>
    </row>
    <row r="5241" customFormat="false" ht="12.8" hidden="false" customHeight="false" outlineLevel="0" collapsed="false">
      <c r="A5241" s="0" t="s">
        <v>12</v>
      </c>
      <c r="B5241" s="0" t="n">
        <v>1638093</v>
      </c>
      <c r="C5241" s="0" t="n">
        <v>1638113</v>
      </c>
      <c r="D5241" s="0" t="s">
        <v>17486</v>
      </c>
      <c r="E5241" s="0" t="s">
        <v>75</v>
      </c>
      <c r="F5241" s="0" t="s">
        <v>90</v>
      </c>
      <c r="G5241" s="0" t="s">
        <v>32</v>
      </c>
      <c r="H5241" s="0" t="n">
        <v>1</v>
      </c>
      <c r="I5241" s="0" t="s">
        <v>17487</v>
      </c>
      <c r="J5241" s="0" t="s">
        <v>17488</v>
      </c>
      <c r="K5241" s="0" t="s">
        <v>17489</v>
      </c>
      <c r="L5241" s="0" t="str">
        <f aca="false">HYPERLINK("https://www.ncbi.nlm.nih.gov/nuccore/CP000058.1?report=graph&amp;tracks=[key:gene_model_track,Options:GeneOnly]&amp;mk=1638094:1638113|offset_1|00cc00,1638072:1638091|offset_23|444444,1638043:1638062|offset_52|444444,1638016:1638035|offset_79|444444&amp;v=1637893:1638235&amp;c=444444", "offset 1")</f>
        <v>offset 1</v>
      </c>
    </row>
    <row r="5242" customFormat="false" ht="12.8" hidden="false" customHeight="false" outlineLevel="0" collapsed="false">
      <c r="A5242" s="0" t="s">
        <v>12</v>
      </c>
      <c r="B5242" s="0" t="n">
        <v>1638071</v>
      </c>
      <c r="C5242" s="0" t="n">
        <v>1638091</v>
      </c>
      <c r="D5242" s="0" t="s">
        <v>17486</v>
      </c>
      <c r="E5242" s="0" t="s">
        <v>75</v>
      </c>
      <c r="F5242" s="0" t="s">
        <v>90</v>
      </c>
      <c r="G5242" s="0" t="s">
        <v>20</v>
      </c>
      <c r="H5242" s="0" t="n">
        <v>23</v>
      </c>
      <c r="I5242" s="0" t="s">
        <v>17490</v>
      </c>
      <c r="J5242" s="0" t="s">
        <v>17491</v>
      </c>
      <c r="K5242" s="0" t="s">
        <v>17492</v>
      </c>
      <c r="L5242" s="0" t="str">
        <f aca="false">HYPERLINK("https://www.ncbi.nlm.nih.gov/nuccore/CP000058.1?report=graph&amp;tracks=[key:gene_model_track,Options:GeneOnly]&amp;mk=1638094:1638113|offset_1|444444,1638072:1638091|offset_23|00cc00,1638043:1638062|offset_52|444444,1638016:1638035|offset_79|444444&amp;v=1637893:1638235&amp;c=444444", "offset 23")</f>
        <v>offset 23</v>
      </c>
    </row>
    <row r="5243" customFormat="false" ht="12.8" hidden="false" customHeight="false" outlineLevel="0" collapsed="false">
      <c r="A5243" s="0" t="s">
        <v>12</v>
      </c>
      <c r="B5243" s="0" t="n">
        <v>1638042</v>
      </c>
      <c r="C5243" s="0" t="n">
        <v>1638062</v>
      </c>
      <c r="D5243" s="0" t="s">
        <v>17486</v>
      </c>
      <c r="E5243" s="0" t="s">
        <v>75</v>
      </c>
      <c r="F5243" s="0" t="s">
        <v>90</v>
      </c>
      <c r="G5243" s="0" t="s">
        <v>16</v>
      </c>
      <c r="H5243" s="0" t="n">
        <v>52</v>
      </c>
      <c r="I5243" s="0" t="s">
        <v>17493</v>
      </c>
      <c r="J5243" s="0" t="s">
        <v>17494</v>
      </c>
      <c r="K5243" s="0" t="s">
        <v>17495</v>
      </c>
      <c r="L5243" s="0" t="str">
        <f aca="false">HYPERLINK("https://www.ncbi.nlm.nih.gov/nuccore/CP000058.1?report=graph&amp;tracks=[key:gene_model_track,Options:GeneOnly]&amp;mk=1638094:1638113|offset_1|444444,1638072:1638091|offset_23|444444,1638043:1638062|offset_52|00cc00,1638016:1638035|offset_79|444444&amp;v=1637893:1638235&amp;c=444444", "offset 52")</f>
        <v>offset 52</v>
      </c>
    </row>
    <row r="5244" customFormat="false" ht="12.8" hidden="false" customHeight="false" outlineLevel="0" collapsed="false">
      <c r="A5244" s="0" t="s">
        <v>12</v>
      </c>
      <c r="B5244" s="0" t="n">
        <v>1638015</v>
      </c>
      <c r="C5244" s="0" t="n">
        <v>1638035</v>
      </c>
      <c r="D5244" s="0" t="s">
        <v>17486</v>
      </c>
      <c r="E5244" s="0" t="s">
        <v>75</v>
      </c>
      <c r="F5244" s="0" t="s">
        <v>90</v>
      </c>
      <c r="G5244" s="0" t="s">
        <v>16</v>
      </c>
      <c r="H5244" s="0" t="n">
        <v>79</v>
      </c>
      <c r="I5244" s="0" t="s">
        <v>17496</v>
      </c>
      <c r="J5244" s="0" t="s">
        <v>17497</v>
      </c>
      <c r="K5244" s="0" t="s">
        <v>17498</v>
      </c>
      <c r="L5244" s="0" t="str">
        <f aca="false">HYPERLINK("https://www.ncbi.nlm.nih.gov/nuccore/CP000058.1?report=graph&amp;tracks=[key:gene_model_track,Options:GeneOnly]&amp;mk=1638094:1638113|offset_1|444444,1638072:1638091|offset_23|444444,1638043:1638062|offset_52|444444,1638016:1638035|offset_79|00cc00&amp;v=1637893:1638235&amp;c=444444", "offset 79")</f>
        <v>offset 79</v>
      </c>
    </row>
    <row r="5245" customFormat="false" ht="12.8" hidden="false" customHeight="false" outlineLevel="0" collapsed="false">
      <c r="A5245" s="0" t="s">
        <v>12</v>
      </c>
      <c r="B5245" s="0" t="n">
        <v>1638953</v>
      </c>
      <c r="C5245" s="0" t="n">
        <v>1638973</v>
      </c>
      <c r="D5245" s="0" t="s">
        <v>17499</v>
      </c>
      <c r="E5245" s="0" t="s">
        <v>75</v>
      </c>
      <c r="F5245" s="0" t="s">
        <v>90</v>
      </c>
      <c r="G5245" s="0" t="s">
        <v>32</v>
      </c>
      <c r="H5245" s="0" t="n">
        <v>25</v>
      </c>
      <c r="I5245" s="0" t="s">
        <v>17500</v>
      </c>
      <c r="J5245" s="0" t="s">
        <v>17501</v>
      </c>
      <c r="K5245" s="0" t="s">
        <v>17502</v>
      </c>
      <c r="L5245" s="0" t="str">
        <f aca="false">HYPERLINK("https://www.ncbi.nlm.nih.gov/nuccore/CP000058.1?report=graph&amp;tracks=[key:gene_model_track,Options:GeneOnly]&amp;mk=1638954:1638973|offset_25|00cc00,1638855:1638874|offset_124|444444,1638826:1638845|offset_153|444444,1638776:1638795|offset_203|444444&amp;v=1638753:1638995&amp;c=444444", "offset 25")</f>
        <v>offset 25</v>
      </c>
    </row>
    <row r="5246" customFormat="false" ht="12.8" hidden="false" customHeight="false" outlineLevel="0" collapsed="false">
      <c r="A5246" s="0" t="s">
        <v>12</v>
      </c>
      <c r="B5246" s="0" t="n">
        <v>1638854</v>
      </c>
      <c r="C5246" s="0" t="n">
        <v>1638874</v>
      </c>
      <c r="D5246" s="0" t="s">
        <v>17499</v>
      </c>
      <c r="E5246" s="0" t="s">
        <v>75</v>
      </c>
      <c r="F5246" s="0" t="s">
        <v>90</v>
      </c>
      <c r="G5246" s="0" t="s">
        <v>32</v>
      </c>
      <c r="H5246" s="0" t="n">
        <v>124</v>
      </c>
      <c r="I5246" s="0" t="s">
        <v>17503</v>
      </c>
      <c r="J5246" s="0" t="s">
        <v>17504</v>
      </c>
      <c r="K5246" s="0" t="s">
        <v>17505</v>
      </c>
      <c r="L5246" s="0" t="str">
        <f aca="false">HYPERLINK("https://www.ncbi.nlm.nih.gov/nuccore/CP000058.1?report=graph&amp;tracks=[key:gene_model_track,Options:GeneOnly]&amp;mk=1638954:1638973|offset_25|444444,1638855:1638874|offset_124|00cc00,1638826:1638845|offset_153|444444,1638776:1638795|offset_203|444444&amp;v=1638753:1638995&amp;c=444444", "offset 124")</f>
        <v>offset 124</v>
      </c>
    </row>
    <row r="5247" customFormat="false" ht="12.8" hidden="false" customHeight="false" outlineLevel="0" collapsed="false">
      <c r="A5247" s="0" t="s">
        <v>12</v>
      </c>
      <c r="B5247" s="0" t="n">
        <v>1638825</v>
      </c>
      <c r="C5247" s="0" t="n">
        <v>1638845</v>
      </c>
      <c r="D5247" s="0" t="s">
        <v>17499</v>
      </c>
      <c r="E5247" s="0" t="s">
        <v>75</v>
      </c>
      <c r="F5247" s="0" t="s">
        <v>90</v>
      </c>
      <c r="G5247" s="0" t="s">
        <v>32</v>
      </c>
      <c r="H5247" s="0" t="n">
        <v>153</v>
      </c>
      <c r="I5247" s="0" t="s">
        <v>17506</v>
      </c>
      <c r="J5247" s="0" t="s">
        <v>17507</v>
      </c>
      <c r="K5247" s="0" t="s">
        <v>17508</v>
      </c>
      <c r="L5247" s="0" t="str">
        <f aca="false">HYPERLINK("https://www.ncbi.nlm.nih.gov/nuccore/CP000058.1?report=graph&amp;tracks=[key:gene_model_track,Options:GeneOnly]&amp;mk=1638954:1638973|offset_25|444444,1638855:1638874|offset_124|444444,1638826:1638845|offset_153|00cc00,1638776:1638795|offset_203|444444&amp;v=1638753:1638995&amp;c=444444", "offset 153")</f>
        <v>offset 153</v>
      </c>
    </row>
    <row r="5248" customFormat="false" ht="12.8" hidden="false" customHeight="false" outlineLevel="0" collapsed="false">
      <c r="A5248" s="0" t="s">
        <v>12</v>
      </c>
      <c r="B5248" s="0" t="n">
        <v>1638775</v>
      </c>
      <c r="C5248" s="0" t="n">
        <v>1638795</v>
      </c>
      <c r="D5248" s="0" t="s">
        <v>17499</v>
      </c>
      <c r="E5248" s="0" t="s">
        <v>75</v>
      </c>
      <c r="F5248" s="0" t="s">
        <v>90</v>
      </c>
      <c r="G5248" s="0" t="s">
        <v>20</v>
      </c>
      <c r="H5248" s="0" t="n">
        <v>203</v>
      </c>
      <c r="I5248" s="0" t="s">
        <v>17509</v>
      </c>
      <c r="J5248" s="0" t="s">
        <v>17510</v>
      </c>
      <c r="K5248" s="0" t="s">
        <v>17511</v>
      </c>
      <c r="L5248" s="0" t="str">
        <f aca="false">HYPERLINK("https://www.ncbi.nlm.nih.gov/nuccore/CP000058.1?report=graph&amp;tracks=[key:gene_model_track,Options:GeneOnly]&amp;mk=1638954:1638973|offset_25|444444,1638855:1638874|offset_124|444444,1638826:1638845|offset_153|444444,1638776:1638795|offset_203|00cc00&amp;v=1638753:1638995&amp;c=444444", "offset 203")</f>
        <v>offset 203</v>
      </c>
    </row>
    <row r="5249" customFormat="false" ht="12.8" hidden="false" customHeight="false" outlineLevel="0" collapsed="false">
      <c r="A5249" s="0" t="s">
        <v>12</v>
      </c>
      <c r="B5249" s="0" t="n">
        <v>1639738</v>
      </c>
      <c r="C5249" s="0" t="n">
        <v>1639758</v>
      </c>
      <c r="D5249" s="0" t="s">
        <v>17512</v>
      </c>
      <c r="E5249" s="0" t="s">
        <v>75</v>
      </c>
      <c r="F5249" s="0" t="s">
        <v>90</v>
      </c>
      <c r="G5249" s="0" t="s">
        <v>16</v>
      </c>
      <c r="H5249" s="0" t="n">
        <v>8</v>
      </c>
      <c r="I5249" s="0" t="s">
        <v>17513</v>
      </c>
      <c r="J5249" s="0" t="s">
        <v>17514</v>
      </c>
      <c r="K5249" s="0" t="s">
        <v>17515</v>
      </c>
      <c r="L5249" s="0" t="str">
        <f aca="false">HYPERLINK("https://www.ncbi.nlm.nih.gov/nuccore/CP000058.1?report=graph&amp;tracks=[key:gene_model_track,Options:GeneOnly]&amp;mk=1639739:1639758|offset_8|00cc00,1639719:1639738|offset_28|444444,1639694:1639713|offset_53|444444,1639671:1639690|offset_76|444444&amp;v=1639538:1639890&amp;c=444444", "offset 8")</f>
        <v>offset 8</v>
      </c>
    </row>
    <row r="5250" customFormat="false" ht="12.8" hidden="false" customHeight="false" outlineLevel="0" collapsed="false">
      <c r="A5250" s="0" t="s">
        <v>12</v>
      </c>
      <c r="B5250" s="0" t="n">
        <v>1639718</v>
      </c>
      <c r="C5250" s="0" t="n">
        <v>1639738</v>
      </c>
      <c r="D5250" s="0" t="s">
        <v>17512</v>
      </c>
      <c r="E5250" s="0" t="s">
        <v>75</v>
      </c>
      <c r="F5250" s="0" t="s">
        <v>90</v>
      </c>
      <c r="G5250" s="0" t="s">
        <v>16</v>
      </c>
      <c r="H5250" s="0" t="n">
        <v>28</v>
      </c>
      <c r="I5250" s="0" t="s">
        <v>17516</v>
      </c>
      <c r="J5250" s="0" t="s">
        <v>17517</v>
      </c>
      <c r="K5250" s="0" t="s">
        <v>17518</v>
      </c>
      <c r="L5250" s="0" t="str">
        <f aca="false">HYPERLINK("https://www.ncbi.nlm.nih.gov/nuccore/CP000058.1?report=graph&amp;tracks=[key:gene_model_track,Options:GeneOnly]&amp;mk=1639739:1639758|offset_8|444444,1639719:1639738|offset_28|00cc00,1639694:1639713|offset_53|444444,1639671:1639690|offset_76|444444&amp;v=1639538:1639890&amp;c=444444", "offset 28")</f>
        <v>offset 28</v>
      </c>
    </row>
    <row r="5251" customFormat="false" ht="12.8" hidden="false" customHeight="false" outlineLevel="0" collapsed="false">
      <c r="A5251" s="0" t="s">
        <v>12</v>
      </c>
      <c r="B5251" s="0" t="n">
        <v>1639693</v>
      </c>
      <c r="C5251" s="0" t="n">
        <v>1639713</v>
      </c>
      <c r="D5251" s="0" t="s">
        <v>17512</v>
      </c>
      <c r="E5251" s="0" t="s">
        <v>75</v>
      </c>
      <c r="F5251" s="0" t="s">
        <v>90</v>
      </c>
      <c r="G5251" s="0" t="s">
        <v>20</v>
      </c>
      <c r="H5251" s="0" t="n">
        <v>53</v>
      </c>
      <c r="I5251" s="0" t="s">
        <v>17519</v>
      </c>
      <c r="J5251" s="0" t="s">
        <v>17520</v>
      </c>
      <c r="K5251" s="0" t="s">
        <v>17521</v>
      </c>
      <c r="L5251" s="0" t="str">
        <f aca="false">HYPERLINK("https://www.ncbi.nlm.nih.gov/nuccore/CP000058.1?report=graph&amp;tracks=[key:gene_model_track,Options:GeneOnly]&amp;mk=1639739:1639758|offset_8|444444,1639719:1639738|offset_28|444444,1639694:1639713|offset_53|00cc00,1639671:1639690|offset_76|444444&amp;v=1639538:1639890&amp;c=444444", "offset 53")</f>
        <v>offset 53</v>
      </c>
    </row>
    <row r="5252" customFormat="false" ht="12.8" hidden="false" customHeight="false" outlineLevel="0" collapsed="false">
      <c r="A5252" s="0" t="s">
        <v>12</v>
      </c>
      <c r="B5252" s="0" t="n">
        <v>1639670</v>
      </c>
      <c r="C5252" s="0" t="n">
        <v>1639690</v>
      </c>
      <c r="D5252" s="0" t="s">
        <v>17512</v>
      </c>
      <c r="E5252" s="0" t="s">
        <v>75</v>
      </c>
      <c r="F5252" s="0" t="s">
        <v>90</v>
      </c>
      <c r="G5252" s="0" t="s">
        <v>36</v>
      </c>
      <c r="H5252" s="0" t="n">
        <v>76</v>
      </c>
      <c r="I5252" s="0" t="s">
        <v>17522</v>
      </c>
      <c r="J5252" s="0" t="s">
        <v>17523</v>
      </c>
      <c r="K5252" s="0" t="s">
        <v>17524</v>
      </c>
      <c r="L5252" s="0" t="str">
        <f aca="false">HYPERLINK("https://www.ncbi.nlm.nih.gov/nuccore/CP000058.1?report=graph&amp;tracks=[key:gene_model_track,Options:GeneOnly]&amp;mk=1639739:1639758|offset_8|444444,1639719:1639738|offset_28|444444,1639694:1639713|offset_53|444444,1639671:1639690|offset_76|00cc00&amp;v=1639538:1639890&amp;c=444444", "offset 76")</f>
        <v>offset 76</v>
      </c>
    </row>
    <row r="5253" customFormat="false" ht="12.8" hidden="false" customHeight="false" outlineLevel="0" collapsed="false">
      <c r="A5253" s="0" t="s">
        <v>12</v>
      </c>
      <c r="B5253" s="0" t="n">
        <v>1640971</v>
      </c>
      <c r="C5253" s="0" t="n">
        <v>1640991</v>
      </c>
      <c r="D5253" s="0" t="s">
        <v>17525</v>
      </c>
      <c r="E5253" s="0" t="s">
        <v>75</v>
      </c>
      <c r="F5253" s="0" t="s">
        <v>90</v>
      </c>
      <c r="G5253" s="0" t="s">
        <v>16</v>
      </c>
      <c r="H5253" s="0" t="n">
        <v>37</v>
      </c>
      <c r="I5253" s="0" t="s">
        <v>17526</v>
      </c>
      <c r="J5253" s="0" t="s">
        <v>17527</v>
      </c>
      <c r="K5253" s="0" t="s">
        <v>17528</v>
      </c>
      <c r="L5253" s="0" t="str">
        <f aca="false">HYPERLINK("https://www.ncbi.nlm.nih.gov/nuccore/CP000058.1?report=graph&amp;tracks=[key:gene_model_track,Options:GeneOnly]&amp;mk=1640972:1640991|offset_37|00cc00,1640951:1640970|offset_58|444444,1640924:1640943|offset_85|444444,1640891:1640910|offset_118|444444&amp;v=1640771:1641110&amp;c=444444", "offset 37")</f>
        <v>offset 37</v>
      </c>
    </row>
    <row r="5254" customFormat="false" ht="12.8" hidden="false" customHeight="false" outlineLevel="0" collapsed="false">
      <c r="A5254" s="0" t="s">
        <v>12</v>
      </c>
      <c r="B5254" s="0" t="n">
        <v>1640950</v>
      </c>
      <c r="C5254" s="0" t="n">
        <v>1640970</v>
      </c>
      <c r="D5254" s="0" t="s">
        <v>17525</v>
      </c>
      <c r="E5254" s="0" t="s">
        <v>75</v>
      </c>
      <c r="F5254" s="0" t="s">
        <v>90</v>
      </c>
      <c r="G5254" s="0" t="s">
        <v>20</v>
      </c>
      <c r="H5254" s="0" t="n">
        <v>58</v>
      </c>
      <c r="I5254" s="0" t="s">
        <v>17529</v>
      </c>
      <c r="J5254" s="0" t="s">
        <v>17530</v>
      </c>
      <c r="K5254" s="0" t="s">
        <v>17531</v>
      </c>
      <c r="L5254" s="0" t="str">
        <f aca="false">HYPERLINK("https://www.ncbi.nlm.nih.gov/nuccore/CP000058.1?report=graph&amp;tracks=[key:gene_model_track,Options:GeneOnly]&amp;mk=1640972:1640991|offset_37|444444,1640951:1640970|offset_58|00cc00,1640924:1640943|offset_85|444444,1640891:1640910|offset_118|444444&amp;v=1640771:1641110&amp;c=444444", "offset 58")</f>
        <v>offset 58</v>
      </c>
    </row>
    <row r="5255" customFormat="false" ht="12.8" hidden="false" customHeight="false" outlineLevel="0" collapsed="false">
      <c r="A5255" s="0" t="s">
        <v>12</v>
      </c>
      <c r="B5255" s="0" t="n">
        <v>1640923</v>
      </c>
      <c r="C5255" s="0" t="n">
        <v>1640943</v>
      </c>
      <c r="D5255" s="0" t="s">
        <v>17525</v>
      </c>
      <c r="E5255" s="0" t="s">
        <v>75</v>
      </c>
      <c r="F5255" s="0" t="s">
        <v>90</v>
      </c>
      <c r="G5255" s="0" t="s">
        <v>20</v>
      </c>
      <c r="H5255" s="0" t="n">
        <v>85</v>
      </c>
      <c r="I5255" s="0" t="s">
        <v>17532</v>
      </c>
      <c r="J5255" s="0" t="s">
        <v>17533</v>
      </c>
      <c r="K5255" s="0" t="s">
        <v>17534</v>
      </c>
      <c r="L5255" s="0" t="str">
        <f aca="false">HYPERLINK("https://www.ncbi.nlm.nih.gov/nuccore/CP000058.1?report=graph&amp;tracks=[key:gene_model_track,Options:GeneOnly]&amp;mk=1640972:1640991|offset_37|444444,1640951:1640970|offset_58|444444,1640924:1640943|offset_85|00cc00,1640891:1640910|offset_118|444444&amp;v=1640771:1641110&amp;c=444444", "offset 85")</f>
        <v>offset 85</v>
      </c>
    </row>
    <row r="5256" customFormat="false" ht="12.8" hidden="false" customHeight="false" outlineLevel="0" collapsed="false">
      <c r="A5256" s="0" t="s">
        <v>12</v>
      </c>
      <c r="B5256" s="0" t="n">
        <v>1640890</v>
      </c>
      <c r="C5256" s="0" t="n">
        <v>1640910</v>
      </c>
      <c r="D5256" s="0" t="s">
        <v>17525</v>
      </c>
      <c r="E5256" s="0" t="s">
        <v>75</v>
      </c>
      <c r="F5256" s="0" t="s">
        <v>90</v>
      </c>
      <c r="G5256" s="0" t="s">
        <v>32</v>
      </c>
      <c r="H5256" s="0" t="n">
        <v>118</v>
      </c>
      <c r="I5256" s="0" t="s">
        <v>17535</v>
      </c>
      <c r="J5256" s="0" t="s">
        <v>17536</v>
      </c>
      <c r="K5256" s="0" t="s">
        <v>17537</v>
      </c>
      <c r="L5256" s="0" t="str">
        <f aca="false">HYPERLINK("https://www.ncbi.nlm.nih.gov/nuccore/CP000058.1?report=graph&amp;tracks=[key:gene_model_track,Options:GeneOnly]&amp;mk=1640972:1640991|offset_37|444444,1640951:1640970|offset_58|444444,1640924:1640943|offset_85|444444,1640891:1640910|offset_118|00cc00&amp;v=1640771:1641110&amp;c=444444", "offset 118")</f>
        <v>offset 118</v>
      </c>
    </row>
    <row r="5257" customFormat="false" ht="12.8" hidden="false" customHeight="false" outlineLevel="0" collapsed="false">
      <c r="A5257" s="0" t="s">
        <v>12</v>
      </c>
      <c r="B5257" s="0" t="n">
        <v>1641922</v>
      </c>
      <c r="C5257" s="0" t="n">
        <v>1641942</v>
      </c>
      <c r="D5257" s="0" t="s">
        <v>17538</v>
      </c>
      <c r="E5257" s="0" t="s">
        <v>75</v>
      </c>
      <c r="F5257" s="0" t="s">
        <v>90</v>
      </c>
      <c r="G5257" s="0" t="s">
        <v>36</v>
      </c>
      <c r="H5257" s="0" t="n">
        <v>6</v>
      </c>
      <c r="I5257" s="0" t="s">
        <v>17539</v>
      </c>
      <c r="J5257" s="0" t="s">
        <v>17540</v>
      </c>
      <c r="K5257" s="0" t="s">
        <v>17541</v>
      </c>
      <c r="L5257" s="0" t="str">
        <f aca="false">HYPERLINK("https://www.ncbi.nlm.nih.gov/nuccore/CP000058.1?report=graph&amp;tracks=[key:gene_model_track,Options:GeneOnly]&amp;mk=1641923:1641942|offset_6|00cc00,1641885:1641904|offset_44|444444,1641805:1641824|offset_124|444444,1641778:1641797|offset_151|444444&amp;v=1641722:1641997&amp;c=444444", "offset 6")</f>
        <v>offset 6</v>
      </c>
    </row>
    <row r="5258" customFormat="false" ht="12.8" hidden="false" customHeight="false" outlineLevel="0" collapsed="false">
      <c r="A5258" s="0" t="s">
        <v>12</v>
      </c>
      <c r="B5258" s="0" t="n">
        <v>1641884</v>
      </c>
      <c r="C5258" s="0" t="n">
        <v>1641904</v>
      </c>
      <c r="D5258" s="0" t="s">
        <v>17538</v>
      </c>
      <c r="E5258" s="0" t="s">
        <v>75</v>
      </c>
      <c r="F5258" s="0" t="s">
        <v>90</v>
      </c>
      <c r="G5258" s="0" t="s">
        <v>20</v>
      </c>
      <c r="H5258" s="0" t="n">
        <v>44</v>
      </c>
      <c r="I5258" s="0" t="s">
        <v>17542</v>
      </c>
      <c r="J5258" s="0" t="s">
        <v>17543</v>
      </c>
      <c r="K5258" s="0" t="s">
        <v>17544</v>
      </c>
      <c r="L5258" s="0" t="str">
        <f aca="false">HYPERLINK("https://www.ncbi.nlm.nih.gov/nuccore/CP000058.1?report=graph&amp;tracks=[key:gene_model_track,Options:GeneOnly]&amp;mk=1641923:1641942|offset_6|444444,1641885:1641904|offset_44|00cc00,1641805:1641824|offset_124|444444,1641778:1641797|offset_151|444444&amp;v=1641722:1641997&amp;c=444444", "offset 44")</f>
        <v>offset 44</v>
      </c>
    </row>
    <row r="5259" customFormat="false" ht="12.8" hidden="false" customHeight="false" outlineLevel="0" collapsed="false">
      <c r="A5259" s="0" t="s">
        <v>12</v>
      </c>
      <c r="B5259" s="0" t="n">
        <v>1641804</v>
      </c>
      <c r="C5259" s="0" t="n">
        <v>1641824</v>
      </c>
      <c r="D5259" s="0" t="s">
        <v>17538</v>
      </c>
      <c r="E5259" s="0" t="s">
        <v>75</v>
      </c>
      <c r="F5259" s="0" t="s">
        <v>90</v>
      </c>
      <c r="G5259" s="0" t="s">
        <v>36</v>
      </c>
      <c r="H5259" s="0" t="n">
        <v>124</v>
      </c>
      <c r="I5259" s="0" t="s">
        <v>17545</v>
      </c>
      <c r="J5259" s="0" t="s">
        <v>17546</v>
      </c>
      <c r="K5259" s="0" t="s">
        <v>17547</v>
      </c>
      <c r="L5259" s="0" t="str">
        <f aca="false">HYPERLINK("https://www.ncbi.nlm.nih.gov/nuccore/CP000058.1?report=graph&amp;tracks=[key:gene_model_track,Options:GeneOnly]&amp;mk=1641923:1641942|offset_6|444444,1641885:1641904|offset_44|444444,1641805:1641824|offset_124|00cc00,1641778:1641797|offset_151|444444&amp;v=1641722:1641997&amp;c=444444", "offset 124")</f>
        <v>offset 124</v>
      </c>
    </row>
    <row r="5260" customFormat="false" ht="12.8" hidden="false" customHeight="false" outlineLevel="0" collapsed="false">
      <c r="A5260" s="0" t="s">
        <v>12</v>
      </c>
      <c r="B5260" s="0" t="n">
        <v>1641777</v>
      </c>
      <c r="C5260" s="0" t="n">
        <v>1641797</v>
      </c>
      <c r="D5260" s="0" t="s">
        <v>17538</v>
      </c>
      <c r="E5260" s="0" t="s">
        <v>75</v>
      </c>
      <c r="F5260" s="0" t="s">
        <v>90</v>
      </c>
      <c r="G5260" s="0" t="s">
        <v>20</v>
      </c>
      <c r="H5260" s="0" t="n">
        <v>151</v>
      </c>
      <c r="I5260" s="0" t="s">
        <v>17548</v>
      </c>
      <c r="J5260" s="0" t="s">
        <v>17549</v>
      </c>
      <c r="K5260" s="0" t="s">
        <v>17550</v>
      </c>
      <c r="L5260" s="0" t="str">
        <f aca="false">HYPERLINK("https://www.ncbi.nlm.nih.gov/nuccore/CP000058.1?report=graph&amp;tracks=[key:gene_model_track,Options:GeneOnly]&amp;mk=1641923:1641942|offset_6|444444,1641885:1641904|offset_44|444444,1641805:1641824|offset_124|444444,1641778:1641797|offset_151|00cc00&amp;v=1641722:1641997&amp;c=444444", "offset 151")</f>
        <v>offset 151</v>
      </c>
    </row>
    <row r="5261" customFormat="false" ht="12.8" hidden="false" customHeight="false" outlineLevel="0" collapsed="false">
      <c r="A5261" s="0" t="s">
        <v>12</v>
      </c>
      <c r="B5261" s="0" t="n">
        <v>1643349</v>
      </c>
      <c r="C5261" s="0" t="n">
        <v>1643369</v>
      </c>
      <c r="D5261" s="0" t="s">
        <v>17551</v>
      </c>
      <c r="E5261" s="0" t="s">
        <v>75</v>
      </c>
      <c r="F5261" s="0" t="s">
        <v>90</v>
      </c>
      <c r="G5261" s="0" t="s">
        <v>16</v>
      </c>
      <c r="H5261" s="0" t="n">
        <v>0</v>
      </c>
      <c r="I5261" s="0" t="s">
        <v>17552</v>
      </c>
      <c r="J5261" s="0" t="s">
        <v>17553</v>
      </c>
      <c r="K5261" s="0" t="s">
        <v>17554</v>
      </c>
      <c r="L5261" s="0" t="str">
        <f aca="false">HYPERLINK("https://www.ncbi.nlm.nih.gov/nuccore/CP000058.1?report=graph&amp;tracks=[key:gene_model_track,Options:GeneOnly]&amp;mk=1643350:1643369|offset_0|00cc00,1643325:1643344|offset_25|444444,1643265:1643284|offset_85|444444,1643241:1643260|offset_109|444444&amp;v=1643149:1643460&amp;c=444444", "offset 0")</f>
        <v>offset 0</v>
      </c>
    </row>
    <row r="5262" customFormat="false" ht="12.8" hidden="false" customHeight="false" outlineLevel="0" collapsed="false">
      <c r="A5262" s="0" t="s">
        <v>12</v>
      </c>
      <c r="B5262" s="0" t="n">
        <v>1643324</v>
      </c>
      <c r="C5262" s="0" t="n">
        <v>1643344</v>
      </c>
      <c r="D5262" s="0" t="s">
        <v>17551</v>
      </c>
      <c r="E5262" s="0" t="s">
        <v>75</v>
      </c>
      <c r="F5262" s="0" t="s">
        <v>90</v>
      </c>
      <c r="G5262" s="0" t="s">
        <v>20</v>
      </c>
      <c r="H5262" s="0" t="n">
        <v>25</v>
      </c>
      <c r="I5262" s="0" t="s">
        <v>17555</v>
      </c>
      <c r="J5262" s="0" t="s">
        <v>17556</v>
      </c>
      <c r="K5262" s="0" t="s">
        <v>17557</v>
      </c>
      <c r="L5262" s="0" t="str">
        <f aca="false">HYPERLINK("https://www.ncbi.nlm.nih.gov/nuccore/CP000058.1?report=graph&amp;tracks=[key:gene_model_track,Options:GeneOnly]&amp;mk=1643350:1643369|offset_0|444444,1643325:1643344|offset_25|00cc00,1643265:1643284|offset_85|444444,1643241:1643260|offset_109|444444&amp;v=1643149:1643460&amp;c=444444", "offset 25")</f>
        <v>offset 25</v>
      </c>
    </row>
    <row r="5263" customFormat="false" ht="12.8" hidden="false" customHeight="false" outlineLevel="0" collapsed="false">
      <c r="A5263" s="0" t="s">
        <v>12</v>
      </c>
      <c r="B5263" s="0" t="n">
        <v>1643264</v>
      </c>
      <c r="C5263" s="0" t="n">
        <v>1643284</v>
      </c>
      <c r="D5263" s="0" t="s">
        <v>17551</v>
      </c>
      <c r="E5263" s="0" t="s">
        <v>75</v>
      </c>
      <c r="F5263" s="0" t="s">
        <v>90</v>
      </c>
      <c r="G5263" s="0" t="s">
        <v>32</v>
      </c>
      <c r="H5263" s="0" t="n">
        <v>85</v>
      </c>
      <c r="I5263" s="0" t="s">
        <v>17558</v>
      </c>
      <c r="J5263" s="0" t="s">
        <v>17559</v>
      </c>
      <c r="K5263" s="0" t="s">
        <v>17560</v>
      </c>
      <c r="L5263" s="0" t="str">
        <f aca="false">HYPERLINK("https://www.ncbi.nlm.nih.gov/nuccore/CP000058.1?report=graph&amp;tracks=[key:gene_model_track,Options:GeneOnly]&amp;mk=1643350:1643369|offset_0|444444,1643325:1643344|offset_25|444444,1643265:1643284|offset_85|00cc00,1643241:1643260|offset_109|444444&amp;v=1643149:1643460&amp;c=444444", "offset 85")</f>
        <v>offset 85</v>
      </c>
    </row>
    <row r="5264" customFormat="false" ht="12.8" hidden="false" customHeight="false" outlineLevel="0" collapsed="false">
      <c r="A5264" s="0" t="s">
        <v>12</v>
      </c>
      <c r="B5264" s="0" t="n">
        <v>1643240</v>
      </c>
      <c r="C5264" s="0" t="n">
        <v>1643260</v>
      </c>
      <c r="D5264" s="0" t="s">
        <v>17551</v>
      </c>
      <c r="E5264" s="0" t="s">
        <v>75</v>
      </c>
      <c r="F5264" s="0" t="s">
        <v>90</v>
      </c>
      <c r="G5264" s="0" t="s">
        <v>16</v>
      </c>
      <c r="H5264" s="0" t="n">
        <v>109</v>
      </c>
      <c r="I5264" s="0" t="s">
        <v>17561</v>
      </c>
      <c r="J5264" s="0" t="s">
        <v>17562</v>
      </c>
      <c r="K5264" s="0" t="s">
        <v>17563</v>
      </c>
      <c r="L5264" s="0" t="str">
        <f aca="false">HYPERLINK("https://www.ncbi.nlm.nih.gov/nuccore/CP000058.1?report=graph&amp;tracks=[key:gene_model_track,Options:GeneOnly]&amp;mk=1643350:1643369|offset_0|444444,1643325:1643344|offset_25|444444,1643265:1643284|offset_85|444444,1643241:1643260|offset_109|00cc00&amp;v=1643149:1643460&amp;c=444444", "offset 109")</f>
        <v>offset 109</v>
      </c>
    </row>
    <row r="5265" customFormat="false" ht="12.8" hidden="false" customHeight="false" outlineLevel="0" collapsed="false">
      <c r="A5265" s="0" t="s">
        <v>12</v>
      </c>
      <c r="B5265" s="0" t="n">
        <v>1643627</v>
      </c>
      <c r="C5265" s="0" t="n">
        <v>1643647</v>
      </c>
      <c r="D5265" s="0" t="s">
        <v>17564</v>
      </c>
      <c r="E5265" s="0" t="s">
        <v>75</v>
      </c>
      <c r="F5265" s="0" t="s">
        <v>15</v>
      </c>
      <c r="G5265" s="0" t="s">
        <v>36</v>
      </c>
      <c r="H5265" s="0" t="n">
        <v>0</v>
      </c>
      <c r="I5265" s="0" t="s">
        <v>17565</v>
      </c>
      <c r="J5265" s="0" t="s">
        <v>17566</v>
      </c>
      <c r="K5265" s="0" t="s">
        <v>17567</v>
      </c>
      <c r="L5265" s="0" t="str">
        <f aca="false">HYPERLINK("https://www.ncbi.nlm.nih.gov/nuccore/CP000058.1?report=graph&amp;tracks=[key:gene_model_track,Options:GeneOnly]&amp;mk=1643628:1643647|offset_0|00cc00,1643650:1643669|offset_22|444444,1643677:1643696|offset_49|444444,1643706:1643725|offset_78|444444&amp;v=1643427:1643925&amp;c=444444", "offset 0")</f>
        <v>offset 0</v>
      </c>
    </row>
    <row r="5266" customFormat="false" ht="12.8" hidden="false" customHeight="false" outlineLevel="0" collapsed="false">
      <c r="A5266" s="0" t="s">
        <v>12</v>
      </c>
      <c r="B5266" s="0" t="n">
        <v>1643649</v>
      </c>
      <c r="C5266" s="0" t="n">
        <v>1643669</v>
      </c>
      <c r="D5266" s="0" t="s">
        <v>17564</v>
      </c>
      <c r="E5266" s="0" t="s">
        <v>75</v>
      </c>
      <c r="F5266" s="0" t="s">
        <v>15</v>
      </c>
      <c r="G5266" s="0" t="s">
        <v>36</v>
      </c>
      <c r="H5266" s="0" t="n">
        <v>22</v>
      </c>
      <c r="I5266" s="0" t="s">
        <v>17568</v>
      </c>
      <c r="J5266" s="0" t="s">
        <v>17569</v>
      </c>
      <c r="K5266" s="0" t="s">
        <v>17570</v>
      </c>
      <c r="L5266" s="0" t="str">
        <f aca="false">HYPERLINK("https://www.ncbi.nlm.nih.gov/nuccore/CP000058.1?report=graph&amp;tracks=[key:gene_model_track,Options:GeneOnly]&amp;mk=1643628:1643647|offset_0|444444,1643650:1643669|offset_22|00cc00,1643677:1643696|offset_49|444444,1643706:1643725|offset_78|444444&amp;v=1643427:1643925&amp;c=444444", "offset 22")</f>
        <v>offset 22</v>
      </c>
    </row>
    <row r="5267" customFormat="false" ht="12.8" hidden="false" customHeight="false" outlineLevel="0" collapsed="false">
      <c r="A5267" s="0" t="s">
        <v>12</v>
      </c>
      <c r="B5267" s="0" t="n">
        <v>1643676</v>
      </c>
      <c r="C5267" s="0" t="n">
        <v>1643696</v>
      </c>
      <c r="D5267" s="0" t="s">
        <v>17564</v>
      </c>
      <c r="E5267" s="0" t="s">
        <v>75</v>
      </c>
      <c r="F5267" s="0" t="s">
        <v>15</v>
      </c>
      <c r="G5267" s="0" t="s">
        <v>16</v>
      </c>
      <c r="H5267" s="0" t="n">
        <v>49</v>
      </c>
      <c r="I5267" s="0" t="s">
        <v>17571</v>
      </c>
      <c r="J5267" s="0" t="s">
        <v>17572</v>
      </c>
      <c r="K5267" s="0" t="s">
        <v>17573</v>
      </c>
      <c r="L5267" s="0" t="str">
        <f aca="false">HYPERLINK("https://www.ncbi.nlm.nih.gov/nuccore/CP000058.1?report=graph&amp;tracks=[key:gene_model_track,Options:GeneOnly]&amp;mk=1643628:1643647|offset_0|444444,1643650:1643669|offset_22|444444,1643677:1643696|offset_49|00cc00,1643706:1643725|offset_78|444444&amp;v=1643427:1643925&amp;c=444444", "offset 49")</f>
        <v>offset 49</v>
      </c>
    </row>
    <row r="5268" customFormat="false" ht="12.8" hidden="false" customHeight="false" outlineLevel="0" collapsed="false">
      <c r="A5268" s="0" t="s">
        <v>12</v>
      </c>
      <c r="B5268" s="0" t="n">
        <v>1643705</v>
      </c>
      <c r="C5268" s="0" t="n">
        <v>1643725</v>
      </c>
      <c r="D5268" s="0" t="s">
        <v>17564</v>
      </c>
      <c r="E5268" s="0" t="s">
        <v>75</v>
      </c>
      <c r="F5268" s="0" t="s">
        <v>15</v>
      </c>
      <c r="G5268" s="0" t="s">
        <v>32</v>
      </c>
      <c r="H5268" s="0" t="n">
        <v>78</v>
      </c>
      <c r="I5268" s="0" t="s">
        <v>17574</v>
      </c>
      <c r="J5268" s="0" t="s">
        <v>17575</v>
      </c>
      <c r="K5268" s="0" t="s">
        <v>17576</v>
      </c>
      <c r="L5268" s="0" t="str">
        <f aca="false">HYPERLINK("https://www.ncbi.nlm.nih.gov/nuccore/CP000058.1?report=graph&amp;tracks=[key:gene_model_track,Options:GeneOnly]&amp;mk=1643628:1643647|offset_0|444444,1643650:1643669|offset_22|444444,1643677:1643696|offset_49|444444,1643706:1643725|offset_78|00cc00&amp;v=1643427:1643925&amp;c=444444", "offset 78")</f>
        <v>offset 78</v>
      </c>
    </row>
    <row r="5269" customFormat="false" ht="12.8" hidden="false" customHeight="false" outlineLevel="0" collapsed="false">
      <c r="A5269" s="0" t="s">
        <v>12</v>
      </c>
      <c r="B5269" s="0" t="n">
        <v>1646284</v>
      </c>
      <c r="C5269" s="0" t="n">
        <v>1646304</v>
      </c>
      <c r="D5269" s="0" t="s">
        <v>17577</v>
      </c>
      <c r="E5269" s="0" t="s">
        <v>75</v>
      </c>
      <c r="F5269" s="0" t="s">
        <v>90</v>
      </c>
      <c r="G5269" s="0" t="s">
        <v>36</v>
      </c>
      <c r="H5269" s="0" t="n">
        <v>35</v>
      </c>
      <c r="I5269" s="0" t="s">
        <v>17578</v>
      </c>
      <c r="J5269" s="0" t="s">
        <v>17579</v>
      </c>
      <c r="K5269" s="0" t="s">
        <v>17580</v>
      </c>
      <c r="L5269" s="0" t="str">
        <f aca="false">HYPERLINK("https://www.ncbi.nlm.nih.gov/nuccore/CP000058.1?report=graph&amp;tracks=[key:gene_model_track,Options:GeneOnly]&amp;mk=1646285:1646304|offset_35|00cc00,1646243:1646262|offset_77|444444,1646205:1646224|offset_115|444444,1646178:1646197|offset_142|444444&amp;v=1646084:1646397&amp;c=444444", "offset 35")</f>
        <v>offset 35</v>
      </c>
    </row>
    <row r="5270" customFormat="false" ht="12.8" hidden="false" customHeight="false" outlineLevel="0" collapsed="false">
      <c r="A5270" s="0" t="s">
        <v>12</v>
      </c>
      <c r="B5270" s="0" t="n">
        <v>1646242</v>
      </c>
      <c r="C5270" s="0" t="n">
        <v>1646262</v>
      </c>
      <c r="D5270" s="0" t="s">
        <v>17577</v>
      </c>
      <c r="E5270" s="0" t="s">
        <v>75</v>
      </c>
      <c r="F5270" s="0" t="s">
        <v>90</v>
      </c>
      <c r="G5270" s="0" t="s">
        <v>20</v>
      </c>
      <c r="H5270" s="0" t="n">
        <v>77</v>
      </c>
      <c r="I5270" s="0" t="s">
        <v>17581</v>
      </c>
      <c r="J5270" s="0" t="s">
        <v>17582</v>
      </c>
      <c r="K5270" s="0" t="s">
        <v>17583</v>
      </c>
      <c r="L5270" s="0" t="str">
        <f aca="false">HYPERLINK("https://www.ncbi.nlm.nih.gov/nuccore/CP000058.1?report=graph&amp;tracks=[key:gene_model_track,Options:GeneOnly]&amp;mk=1646285:1646304|offset_35|444444,1646243:1646262|offset_77|00cc00,1646205:1646224|offset_115|444444,1646178:1646197|offset_142|444444&amp;v=1646084:1646397&amp;c=444444", "offset 77")</f>
        <v>offset 77</v>
      </c>
    </row>
    <row r="5271" customFormat="false" ht="12.8" hidden="false" customHeight="false" outlineLevel="0" collapsed="false">
      <c r="A5271" s="0" t="s">
        <v>12</v>
      </c>
      <c r="B5271" s="0" t="n">
        <v>1646204</v>
      </c>
      <c r="C5271" s="0" t="n">
        <v>1646224</v>
      </c>
      <c r="D5271" s="0" t="s">
        <v>17577</v>
      </c>
      <c r="E5271" s="0" t="s">
        <v>75</v>
      </c>
      <c r="F5271" s="0" t="s">
        <v>90</v>
      </c>
      <c r="G5271" s="0" t="s">
        <v>16</v>
      </c>
      <c r="H5271" s="0" t="n">
        <v>115</v>
      </c>
      <c r="I5271" s="0" t="s">
        <v>17584</v>
      </c>
      <c r="J5271" s="0" t="s">
        <v>17585</v>
      </c>
      <c r="K5271" s="0" t="s">
        <v>17586</v>
      </c>
      <c r="L5271" s="0" t="str">
        <f aca="false">HYPERLINK("https://www.ncbi.nlm.nih.gov/nuccore/CP000058.1?report=graph&amp;tracks=[key:gene_model_track,Options:GeneOnly]&amp;mk=1646285:1646304|offset_35|444444,1646243:1646262|offset_77|444444,1646205:1646224|offset_115|00cc00,1646178:1646197|offset_142|444444&amp;v=1646084:1646397&amp;c=444444", "offset 115")</f>
        <v>offset 115</v>
      </c>
    </row>
    <row r="5272" customFormat="false" ht="12.8" hidden="false" customHeight="false" outlineLevel="0" collapsed="false">
      <c r="A5272" s="0" t="s">
        <v>12</v>
      </c>
      <c r="B5272" s="0" t="n">
        <v>1646177</v>
      </c>
      <c r="C5272" s="0" t="n">
        <v>1646197</v>
      </c>
      <c r="D5272" s="0" t="s">
        <v>17577</v>
      </c>
      <c r="E5272" s="0" t="s">
        <v>75</v>
      </c>
      <c r="F5272" s="0" t="s">
        <v>90</v>
      </c>
      <c r="G5272" s="0" t="s">
        <v>16</v>
      </c>
      <c r="H5272" s="0" t="n">
        <v>142</v>
      </c>
      <c r="I5272" s="0" t="s">
        <v>17587</v>
      </c>
      <c r="J5272" s="0" t="s">
        <v>17588</v>
      </c>
      <c r="K5272" s="0" t="s">
        <v>17589</v>
      </c>
      <c r="L5272" s="0" t="str">
        <f aca="false">HYPERLINK("https://www.ncbi.nlm.nih.gov/nuccore/CP000058.1?report=graph&amp;tracks=[key:gene_model_track,Options:GeneOnly]&amp;mk=1646285:1646304|offset_35|444444,1646243:1646262|offset_77|444444,1646205:1646224|offset_115|444444,1646178:1646197|offset_142|00cc00&amp;v=1646084:1646397&amp;c=444444", "offset 142")</f>
        <v>offset 142</v>
      </c>
    </row>
    <row r="5273" customFormat="false" ht="12.8" hidden="false" customHeight="false" outlineLevel="0" collapsed="false">
      <c r="A5273" s="0" t="s">
        <v>12</v>
      </c>
      <c r="B5273" s="0" t="n">
        <v>1646585</v>
      </c>
      <c r="C5273" s="0" t="n">
        <v>1646605</v>
      </c>
      <c r="D5273" s="0" t="s">
        <v>17590</v>
      </c>
      <c r="E5273" s="0" t="s">
        <v>75</v>
      </c>
      <c r="F5273" s="0" t="s">
        <v>15</v>
      </c>
      <c r="G5273" s="0" t="s">
        <v>32</v>
      </c>
      <c r="H5273" s="0" t="n">
        <v>14</v>
      </c>
      <c r="I5273" s="0" t="s">
        <v>17591</v>
      </c>
      <c r="J5273" s="0" t="s">
        <v>17592</v>
      </c>
      <c r="K5273" s="0" t="s">
        <v>17593</v>
      </c>
      <c r="L5273" s="0" t="str">
        <f aca="false">HYPERLINK("https://www.ncbi.nlm.nih.gov/nuccore/CP000058.1?report=graph&amp;tracks=[key:gene_model_track,Options:GeneOnly]&amp;mk=1646586:1646605|offset_14|00cc00,1646612:1646631|offset_40|444444,1646634:1646653|offset_62|444444,1646675:1646694|offset_103|444444&amp;v=1646385:1646894&amp;c=444444", "offset 14")</f>
        <v>offset 14</v>
      </c>
    </row>
    <row r="5274" customFormat="false" ht="12.8" hidden="false" customHeight="false" outlineLevel="0" collapsed="false">
      <c r="A5274" s="0" t="s">
        <v>12</v>
      </c>
      <c r="B5274" s="0" t="n">
        <v>1646611</v>
      </c>
      <c r="C5274" s="0" t="n">
        <v>1646631</v>
      </c>
      <c r="D5274" s="0" t="s">
        <v>17590</v>
      </c>
      <c r="E5274" s="0" t="s">
        <v>75</v>
      </c>
      <c r="F5274" s="0" t="s">
        <v>15</v>
      </c>
      <c r="G5274" s="0" t="s">
        <v>32</v>
      </c>
      <c r="H5274" s="0" t="n">
        <v>40</v>
      </c>
      <c r="I5274" s="0" t="s">
        <v>17594</v>
      </c>
      <c r="J5274" s="0" t="s">
        <v>17595</v>
      </c>
      <c r="K5274" s="0" t="s">
        <v>17596</v>
      </c>
      <c r="L5274" s="0" t="str">
        <f aca="false">HYPERLINK("https://www.ncbi.nlm.nih.gov/nuccore/CP000058.1?report=graph&amp;tracks=[key:gene_model_track,Options:GeneOnly]&amp;mk=1646586:1646605|offset_14|444444,1646612:1646631|offset_40|00cc00,1646634:1646653|offset_62|444444,1646675:1646694|offset_103|444444&amp;v=1646385:1646894&amp;c=444444", "offset 40")</f>
        <v>offset 40</v>
      </c>
    </row>
    <row r="5275" customFormat="false" ht="12.8" hidden="false" customHeight="false" outlineLevel="0" collapsed="false">
      <c r="A5275" s="0" t="s">
        <v>12</v>
      </c>
      <c r="B5275" s="0" t="n">
        <v>1646633</v>
      </c>
      <c r="C5275" s="0" t="n">
        <v>1646653</v>
      </c>
      <c r="D5275" s="0" t="s">
        <v>17590</v>
      </c>
      <c r="E5275" s="0" t="s">
        <v>75</v>
      </c>
      <c r="F5275" s="0" t="s">
        <v>15</v>
      </c>
      <c r="G5275" s="0" t="s">
        <v>20</v>
      </c>
      <c r="H5275" s="0" t="n">
        <v>62</v>
      </c>
      <c r="I5275" s="0" t="s">
        <v>17597</v>
      </c>
      <c r="J5275" s="0" t="s">
        <v>17598</v>
      </c>
      <c r="K5275" s="0" t="s">
        <v>17599</v>
      </c>
      <c r="L5275" s="0" t="str">
        <f aca="false">HYPERLINK("https://www.ncbi.nlm.nih.gov/nuccore/CP000058.1?report=graph&amp;tracks=[key:gene_model_track,Options:GeneOnly]&amp;mk=1646586:1646605|offset_14|444444,1646612:1646631|offset_40|444444,1646634:1646653|offset_62|00cc00,1646675:1646694|offset_103|444444&amp;v=1646385:1646894&amp;c=444444", "offset 62")</f>
        <v>offset 62</v>
      </c>
    </row>
    <row r="5276" customFormat="false" ht="12.8" hidden="false" customHeight="false" outlineLevel="0" collapsed="false">
      <c r="A5276" s="0" t="s">
        <v>12</v>
      </c>
      <c r="B5276" s="0" t="n">
        <v>1646674</v>
      </c>
      <c r="C5276" s="0" t="n">
        <v>1646694</v>
      </c>
      <c r="D5276" s="0" t="s">
        <v>17590</v>
      </c>
      <c r="E5276" s="0" t="s">
        <v>75</v>
      </c>
      <c r="F5276" s="0" t="s">
        <v>15</v>
      </c>
      <c r="G5276" s="0" t="s">
        <v>32</v>
      </c>
      <c r="H5276" s="0" t="n">
        <v>103</v>
      </c>
      <c r="I5276" s="0" t="s">
        <v>17600</v>
      </c>
      <c r="J5276" s="0" t="s">
        <v>17601</v>
      </c>
      <c r="K5276" s="0" t="s">
        <v>17602</v>
      </c>
      <c r="L5276" s="0" t="str">
        <f aca="false">HYPERLINK("https://www.ncbi.nlm.nih.gov/nuccore/CP000058.1?report=graph&amp;tracks=[key:gene_model_track,Options:GeneOnly]&amp;mk=1646586:1646605|offset_14|444444,1646612:1646631|offset_40|444444,1646634:1646653|offset_62|444444,1646675:1646694|offset_103|00cc00&amp;v=1646385:1646894&amp;c=444444", "offset 103")</f>
        <v>offset 103</v>
      </c>
    </row>
    <row r="5277" customFormat="false" ht="12.8" hidden="false" customHeight="false" outlineLevel="0" collapsed="false">
      <c r="A5277" s="0" t="s">
        <v>12</v>
      </c>
      <c r="B5277" s="0" t="n">
        <v>1651024</v>
      </c>
      <c r="C5277" s="0" t="n">
        <v>1651044</v>
      </c>
      <c r="D5277" s="0" t="s">
        <v>17603</v>
      </c>
      <c r="E5277" s="0" t="s">
        <v>75</v>
      </c>
      <c r="F5277" s="0" t="s">
        <v>90</v>
      </c>
      <c r="G5277" s="0" t="s">
        <v>16</v>
      </c>
      <c r="H5277" s="0" t="n">
        <v>21</v>
      </c>
      <c r="I5277" s="0" t="s">
        <v>17604</v>
      </c>
      <c r="J5277" s="0" t="s">
        <v>17605</v>
      </c>
      <c r="K5277" s="0" t="s">
        <v>17606</v>
      </c>
      <c r="L5277" s="0" t="str">
        <f aca="false">HYPERLINK("https://www.ncbi.nlm.nih.gov/nuccore/CP000058.1?report=graph&amp;tracks=[key:gene_model_track,Options:GeneOnly]&amp;mk=1651025:1651044|offset_21|00cc00,1650994:1651013|offset_52|444444,1650957:1650976|offset_89|444444,1650935:1650954|offset_111|444444&amp;v=1650824:1651154&amp;c=444444", "offset 21")</f>
        <v>offset 21</v>
      </c>
    </row>
    <row r="5278" customFormat="false" ht="12.8" hidden="false" customHeight="false" outlineLevel="0" collapsed="false">
      <c r="A5278" s="0" t="s">
        <v>12</v>
      </c>
      <c r="B5278" s="0" t="n">
        <v>1650993</v>
      </c>
      <c r="C5278" s="0" t="n">
        <v>1651013</v>
      </c>
      <c r="D5278" s="0" t="s">
        <v>17603</v>
      </c>
      <c r="E5278" s="0" t="s">
        <v>75</v>
      </c>
      <c r="F5278" s="0" t="s">
        <v>90</v>
      </c>
      <c r="G5278" s="0" t="s">
        <v>16</v>
      </c>
      <c r="H5278" s="0" t="n">
        <v>52</v>
      </c>
      <c r="I5278" s="0" t="s">
        <v>17607</v>
      </c>
      <c r="J5278" s="0" t="s">
        <v>17608</v>
      </c>
      <c r="K5278" s="0" t="s">
        <v>17609</v>
      </c>
      <c r="L5278" s="0" t="str">
        <f aca="false">HYPERLINK("https://www.ncbi.nlm.nih.gov/nuccore/CP000058.1?report=graph&amp;tracks=[key:gene_model_track,Options:GeneOnly]&amp;mk=1651025:1651044|offset_21|444444,1650994:1651013|offset_52|00cc00,1650957:1650976|offset_89|444444,1650935:1650954|offset_111|444444&amp;v=1650824:1651154&amp;c=444444", "offset 52")</f>
        <v>offset 52</v>
      </c>
    </row>
    <row r="5279" customFormat="false" ht="12.8" hidden="false" customHeight="false" outlineLevel="0" collapsed="false">
      <c r="A5279" s="0" t="s">
        <v>12</v>
      </c>
      <c r="B5279" s="0" t="n">
        <v>1650956</v>
      </c>
      <c r="C5279" s="0" t="n">
        <v>1650976</v>
      </c>
      <c r="D5279" s="0" t="s">
        <v>17603</v>
      </c>
      <c r="E5279" s="0" t="s">
        <v>75</v>
      </c>
      <c r="F5279" s="0" t="s">
        <v>90</v>
      </c>
      <c r="G5279" s="0" t="s">
        <v>16</v>
      </c>
      <c r="H5279" s="0" t="n">
        <v>89</v>
      </c>
      <c r="I5279" s="0" t="s">
        <v>17610</v>
      </c>
      <c r="J5279" s="0" t="s">
        <v>17611</v>
      </c>
      <c r="K5279" s="0" t="s">
        <v>17612</v>
      </c>
      <c r="L5279" s="0" t="str">
        <f aca="false">HYPERLINK("https://www.ncbi.nlm.nih.gov/nuccore/CP000058.1?report=graph&amp;tracks=[key:gene_model_track,Options:GeneOnly]&amp;mk=1651025:1651044|offset_21|444444,1650994:1651013|offset_52|444444,1650957:1650976|offset_89|00cc00,1650935:1650954|offset_111|444444&amp;v=1650824:1651154&amp;c=444444", "offset 89")</f>
        <v>offset 89</v>
      </c>
    </row>
    <row r="5280" customFormat="false" ht="12.8" hidden="false" customHeight="false" outlineLevel="0" collapsed="false">
      <c r="A5280" s="0" t="s">
        <v>12</v>
      </c>
      <c r="B5280" s="0" t="n">
        <v>1650934</v>
      </c>
      <c r="C5280" s="0" t="n">
        <v>1650954</v>
      </c>
      <c r="D5280" s="0" t="s">
        <v>17603</v>
      </c>
      <c r="E5280" s="0" t="s">
        <v>75</v>
      </c>
      <c r="F5280" s="0" t="s">
        <v>90</v>
      </c>
      <c r="G5280" s="0" t="s">
        <v>16</v>
      </c>
      <c r="H5280" s="0" t="n">
        <v>111</v>
      </c>
      <c r="I5280" s="0" t="s">
        <v>17613</v>
      </c>
      <c r="J5280" s="0" t="s">
        <v>17614</v>
      </c>
      <c r="K5280" s="0" t="s">
        <v>17615</v>
      </c>
      <c r="L5280" s="0" t="str">
        <f aca="false">HYPERLINK("https://www.ncbi.nlm.nih.gov/nuccore/CP000058.1?report=graph&amp;tracks=[key:gene_model_track,Options:GeneOnly]&amp;mk=1651025:1651044|offset_21|444444,1650994:1651013|offset_52|444444,1650957:1650976|offset_89|444444,1650935:1650954|offset_111|00cc00&amp;v=1650824:1651154&amp;c=444444", "offset 111")</f>
        <v>offset 111</v>
      </c>
    </row>
    <row r="5281" customFormat="false" ht="12.8" hidden="false" customHeight="false" outlineLevel="0" collapsed="false">
      <c r="A5281" s="0" t="s">
        <v>12</v>
      </c>
      <c r="B5281" s="0" t="n">
        <v>1651299</v>
      </c>
      <c r="C5281" s="0" t="n">
        <v>1651319</v>
      </c>
      <c r="D5281" s="0" t="s">
        <v>17616</v>
      </c>
      <c r="E5281" s="0" t="s">
        <v>75</v>
      </c>
      <c r="F5281" s="0" t="s">
        <v>15</v>
      </c>
      <c r="G5281" s="0" t="s">
        <v>32</v>
      </c>
      <c r="H5281" s="0" t="n">
        <v>1</v>
      </c>
      <c r="I5281" s="0" t="s">
        <v>17617</v>
      </c>
      <c r="J5281" s="0" t="s">
        <v>17618</v>
      </c>
      <c r="K5281" s="0" t="s">
        <v>17619</v>
      </c>
      <c r="L5281" s="0" t="str">
        <f aca="false">HYPERLINK("https://www.ncbi.nlm.nih.gov/nuccore/CP000058.1?report=graph&amp;tracks=[key:gene_model_track,Options:GeneOnly]&amp;mk=1651300:1651319|offset_1|00cc00,1651320:1651339|offset_21|444444,1651355:1651374|offset_56|444444,1651379:1651398|offset_80|444444&amp;v=1651099:1651598&amp;c=444444", "offset 1")</f>
        <v>offset 1</v>
      </c>
    </row>
    <row r="5282" customFormat="false" ht="12.8" hidden="false" customHeight="false" outlineLevel="0" collapsed="false">
      <c r="A5282" s="0" t="s">
        <v>12</v>
      </c>
      <c r="B5282" s="0" t="n">
        <v>1651319</v>
      </c>
      <c r="C5282" s="0" t="n">
        <v>1651339</v>
      </c>
      <c r="D5282" s="0" t="s">
        <v>17616</v>
      </c>
      <c r="E5282" s="0" t="s">
        <v>75</v>
      </c>
      <c r="F5282" s="0" t="s">
        <v>15</v>
      </c>
      <c r="G5282" s="0" t="s">
        <v>16</v>
      </c>
      <c r="H5282" s="0" t="n">
        <v>21</v>
      </c>
      <c r="I5282" s="0" t="s">
        <v>17620</v>
      </c>
      <c r="J5282" s="0" t="s">
        <v>17621</v>
      </c>
      <c r="K5282" s="0" t="s">
        <v>17622</v>
      </c>
      <c r="L5282" s="0" t="str">
        <f aca="false">HYPERLINK("https://www.ncbi.nlm.nih.gov/nuccore/CP000058.1?report=graph&amp;tracks=[key:gene_model_track,Options:GeneOnly]&amp;mk=1651300:1651319|offset_1|444444,1651320:1651339|offset_21|00cc00,1651355:1651374|offset_56|444444,1651379:1651398|offset_80|444444&amp;v=1651099:1651598&amp;c=444444", "offset 21")</f>
        <v>offset 21</v>
      </c>
    </row>
    <row r="5283" customFormat="false" ht="12.8" hidden="false" customHeight="false" outlineLevel="0" collapsed="false">
      <c r="A5283" s="0" t="s">
        <v>12</v>
      </c>
      <c r="B5283" s="0" t="n">
        <v>1651354</v>
      </c>
      <c r="C5283" s="0" t="n">
        <v>1651374</v>
      </c>
      <c r="D5283" s="0" t="s">
        <v>17616</v>
      </c>
      <c r="E5283" s="0" t="s">
        <v>75</v>
      </c>
      <c r="F5283" s="0" t="s">
        <v>15</v>
      </c>
      <c r="G5283" s="0" t="s">
        <v>36</v>
      </c>
      <c r="H5283" s="0" t="n">
        <v>56</v>
      </c>
      <c r="I5283" s="0" t="s">
        <v>17623</v>
      </c>
      <c r="J5283" s="0" t="s">
        <v>17624</v>
      </c>
      <c r="K5283" s="0" t="s">
        <v>17625</v>
      </c>
      <c r="L5283" s="0" t="str">
        <f aca="false">HYPERLINK("https://www.ncbi.nlm.nih.gov/nuccore/CP000058.1?report=graph&amp;tracks=[key:gene_model_track,Options:GeneOnly]&amp;mk=1651300:1651319|offset_1|444444,1651320:1651339|offset_21|444444,1651355:1651374|offset_56|00cc00,1651379:1651398|offset_80|444444&amp;v=1651099:1651598&amp;c=444444", "offset 56")</f>
        <v>offset 56</v>
      </c>
    </row>
    <row r="5284" customFormat="false" ht="12.8" hidden="false" customHeight="false" outlineLevel="0" collapsed="false">
      <c r="A5284" s="0" t="s">
        <v>12</v>
      </c>
      <c r="B5284" s="0" t="n">
        <v>1651378</v>
      </c>
      <c r="C5284" s="0" t="n">
        <v>1651398</v>
      </c>
      <c r="D5284" s="0" t="s">
        <v>17616</v>
      </c>
      <c r="E5284" s="0" t="s">
        <v>75</v>
      </c>
      <c r="F5284" s="0" t="s">
        <v>15</v>
      </c>
      <c r="G5284" s="0" t="s">
        <v>36</v>
      </c>
      <c r="H5284" s="0" t="n">
        <v>80</v>
      </c>
      <c r="I5284" s="0" t="s">
        <v>17626</v>
      </c>
      <c r="J5284" s="0" t="s">
        <v>17627</v>
      </c>
      <c r="K5284" s="0" t="s">
        <v>17628</v>
      </c>
      <c r="L5284" s="0" t="str">
        <f aca="false">HYPERLINK("https://www.ncbi.nlm.nih.gov/nuccore/CP000058.1?report=graph&amp;tracks=[key:gene_model_track,Options:GeneOnly]&amp;mk=1651300:1651319|offset_1|444444,1651320:1651339|offset_21|444444,1651355:1651374|offset_56|444444,1651379:1651398|offset_80|00cc00&amp;v=1651099:1651598&amp;c=444444", "offset 80")</f>
        <v>offset 80</v>
      </c>
    </row>
    <row r="5285" customFormat="false" ht="12.8" hidden="false" customHeight="false" outlineLevel="0" collapsed="false">
      <c r="A5285" s="0" t="s">
        <v>12</v>
      </c>
      <c r="B5285" s="0" t="n">
        <v>1651702</v>
      </c>
      <c r="C5285" s="0" t="n">
        <v>1651722</v>
      </c>
      <c r="D5285" s="0" t="s">
        <v>17629</v>
      </c>
      <c r="E5285" s="0" t="s">
        <v>75</v>
      </c>
      <c r="F5285" s="0" t="s">
        <v>15</v>
      </c>
      <c r="G5285" s="0" t="s">
        <v>36</v>
      </c>
      <c r="H5285" s="0" t="n">
        <v>7</v>
      </c>
      <c r="I5285" s="0" t="s">
        <v>17630</v>
      </c>
      <c r="J5285" s="0" t="s">
        <v>17631</v>
      </c>
      <c r="K5285" s="0" t="s">
        <v>17632</v>
      </c>
      <c r="L5285" s="0" t="str">
        <f aca="false">HYPERLINK("https://www.ncbi.nlm.nih.gov/nuccore/CP000058.1?report=graph&amp;tracks=[key:gene_model_track,Options:GeneOnly]&amp;mk=1651703:1651722|offset_7|00cc00,1651726:1651745|offset_30|444444,1651761:1651780|offset_65|444444,1651788:1651807|offset_92|444444&amp;v=1651502:1652007&amp;c=444444", "offset 7")</f>
        <v>offset 7</v>
      </c>
    </row>
    <row r="5286" customFormat="false" ht="12.8" hidden="false" customHeight="false" outlineLevel="0" collapsed="false">
      <c r="A5286" s="0" t="s">
        <v>12</v>
      </c>
      <c r="B5286" s="0" t="n">
        <v>1651725</v>
      </c>
      <c r="C5286" s="0" t="n">
        <v>1651745</v>
      </c>
      <c r="D5286" s="0" t="s">
        <v>17629</v>
      </c>
      <c r="E5286" s="0" t="s">
        <v>75</v>
      </c>
      <c r="F5286" s="0" t="s">
        <v>15</v>
      </c>
      <c r="G5286" s="0" t="s">
        <v>16</v>
      </c>
      <c r="H5286" s="0" t="n">
        <v>30</v>
      </c>
      <c r="I5286" s="0" t="s">
        <v>17633</v>
      </c>
      <c r="J5286" s="0" t="s">
        <v>17634</v>
      </c>
      <c r="K5286" s="0" t="s">
        <v>17635</v>
      </c>
      <c r="L5286" s="0" t="str">
        <f aca="false">HYPERLINK("https://www.ncbi.nlm.nih.gov/nuccore/CP000058.1?report=graph&amp;tracks=[key:gene_model_track,Options:GeneOnly]&amp;mk=1651703:1651722|offset_7|444444,1651726:1651745|offset_30|00cc00,1651761:1651780|offset_65|444444,1651788:1651807|offset_92|444444&amp;v=1651502:1652007&amp;c=444444", "offset 30")</f>
        <v>offset 30</v>
      </c>
    </row>
    <row r="5287" customFormat="false" ht="12.8" hidden="false" customHeight="false" outlineLevel="0" collapsed="false">
      <c r="A5287" s="0" t="s">
        <v>12</v>
      </c>
      <c r="B5287" s="0" t="n">
        <v>1651760</v>
      </c>
      <c r="C5287" s="0" t="n">
        <v>1651780</v>
      </c>
      <c r="D5287" s="0" t="s">
        <v>17629</v>
      </c>
      <c r="E5287" s="0" t="s">
        <v>75</v>
      </c>
      <c r="F5287" s="0" t="s">
        <v>15</v>
      </c>
      <c r="G5287" s="0" t="s">
        <v>20</v>
      </c>
      <c r="H5287" s="0" t="n">
        <v>65</v>
      </c>
      <c r="I5287" s="0" t="s">
        <v>17636</v>
      </c>
      <c r="J5287" s="0" t="s">
        <v>17637</v>
      </c>
      <c r="K5287" s="0" t="s">
        <v>17638</v>
      </c>
      <c r="L5287" s="0" t="str">
        <f aca="false">HYPERLINK("https://www.ncbi.nlm.nih.gov/nuccore/CP000058.1?report=graph&amp;tracks=[key:gene_model_track,Options:GeneOnly]&amp;mk=1651703:1651722|offset_7|444444,1651726:1651745|offset_30|444444,1651761:1651780|offset_65|00cc00,1651788:1651807|offset_92|444444&amp;v=1651502:1652007&amp;c=444444", "offset 65")</f>
        <v>offset 65</v>
      </c>
    </row>
    <row r="5288" customFormat="false" ht="12.8" hidden="false" customHeight="false" outlineLevel="0" collapsed="false">
      <c r="A5288" s="0" t="s">
        <v>12</v>
      </c>
      <c r="B5288" s="0" t="n">
        <v>1651787</v>
      </c>
      <c r="C5288" s="0" t="n">
        <v>1651807</v>
      </c>
      <c r="D5288" s="0" t="s">
        <v>17629</v>
      </c>
      <c r="E5288" s="0" t="s">
        <v>75</v>
      </c>
      <c r="F5288" s="0" t="s">
        <v>15</v>
      </c>
      <c r="G5288" s="0" t="s">
        <v>32</v>
      </c>
      <c r="H5288" s="0" t="n">
        <v>92</v>
      </c>
      <c r="I5288" s="0" t="s">
        <v>17639</v>
      </c>
      <c r="J5288" s="0" t="s">
        <v>17640</v>
      </c>
      <c r="K5288" s="0" t="s">
        <v>17641</v>
      </c>
      <c r="L5288" s="0" t="str">
        <f aca="false">HYPERLINK("https://www.ncbi.nlm.nih.gov/nuccore/CP000058.1?report=graph&amp;tracks=[key:gene_model_track,Options:GeneOnly]&amp;mk=1651703:1651722|offset_7|444444,1651726:1651745|offset_30|444444,1651761:1651780|offset_65|444444,1651788:1651807|offset_92|00cc00&amp;v=1651502:1652007&amp;c=444444", "offset 92")</f>
        <v>offset 92</v>
      </c>
    </row>
    <row r="5289" customFormat="false" ht="12.8" hidden="false" customHeight="false" outlineLevel="0" collapsed="false">
      <c r="A5289" s="0" t="s">
        <v>12</v>
      </c>
      <c r="B5289" s="0" t="n">
        <v>1653624</v>
      </c>
      <c r="C5289" s="0" t="n">
        <v>1653644</v>
      </c>
      <c r="D5289" s="0" t="s">
        <v>17642</v>
      </c>
      <c r="E5289" s="0" t="s">
        <v>17643</v>
      </c>
      <c r="F5289" s="0" t="s">
        <v>90</v>
      </c>
      <c r="G5289" s="0" t="s">
        <v>36</v>
      </c>
      <c r="H5289" s="0" t="n">
        <v>0</v>
      </c>
      <c r="I5289" s="0" t="s">
        <v>17644</v>
      </c>
      <c r="J5289" s="0" t="s">
        <v>17645</v>
      </c>
      <c r="K5289" s="0" t="s">
        <v>17646</v>
      </c>
      <c r="L5289" s="0" t="str">
        <f aca="false">HYPERLINK("https://www.ncbi.nlm.nih.gov/nuccore/CP000058.1?report=graph&amp;tracks=[key:gene_model_track,Options:GeneOnly]&amp;mk=1653625:1653644|offset_0|00cc00,1653588:1653607|offset_37|444444,1653563:1653582|offset_62|444444,1653541:1653560|offset_84|444444&amp;v=1653424:1653760&amp;c=444444", "offset 0")</f>
        <v>offset 0</v>
      </c>
    </row>
    <row r="5290" customFormat="false" ht="12.8" hidden="false" customHeight="false" outlineLevel="0" collapsed="false">
      <c r="A5290" s="0" t="s">
        <v>12</v>
      </c>
      <c r="B5290" s="0" t="n">
        <v>1653587</v>
      </c>
      <c r="C5290" s="0" t="n">
        <v>1653607</v>
      </c>
      <c r="D5290" s="0" t="s">
        <v>17642</v>
      </c>
      <c r="E5290" s="0" t="s">
        <v>17643</v>
      </c>
      <c r="F5290" s="0" t="s">
        <v>90</v>
      </c>
      <c r="G5290" s="0" t="s">
        <v>16</v>
      </c>
      <c r="H5290" s="0" t="n">
        <v>37</v>
      </c>
      <c r="I5290" s="0" t="s">
        <v>17647</v>
      </c>
      <c r="J5290" s="0" t="s">
        <v>17648</v>
      </c>
      <c r="K5290" s="0" t="s">
        <v>17649</v>
      </c>
      <c r="L5290" s="0" t="str">
        <f aca="false">HYPERLINK("https://www.ncbi.nlm.nih.gov/nuccore/CP000058.1?report=graph&amp;tracks=[key:gene_model_track,Options:GeneOnly]&amp;mk=1653625:1653644|offset_0|444444,1653588:1653607|offset_37|00cc00,1653563:1653582|offset_62|444444,1653541:1653560|offset_84|444444&amp;v=1653424:1653760&amp;c=444444", "offset 37")</f>
        <v>offset 37</v>
      </c>
    </row>
    <row r="5291" customFormat="false" ht="12.8" hidden="false" customHeight="false" outlineLevel="0" collapsed="false">
      <c r="A5291" s="0" t="s">
        <v>12</v>
      </c>
      <c r="B5291" s="0" t="n">
        <v>1653562</v>
      </c>
      <c r="C5291" s="0" t="n">
        <v>1653582</v>
      </c>
      <c r="D5291" s="0" t="s">
        <v>17642</v>
      </c>
      <c r="E5291" s="0" t="s">
        <v>17643</v>
      </c>
      <c r="F5291" s="0" t="s">
        <v>90</v>
      </c>
      <c r="G5291" s="0" t="s">
        <v>36</v>
      </c>
      <c r="H5291" s="0" t="n">
        <v>62</v>
      </c>
      <c r="I5291" s="0" t="s">
        <v>17650</v>
      </c>
      <c r="J5291" s="0" t="s">
        <v>17651</v>
      </c>
      <c r="K5291" s="0" t="s">
        <v>17652</v>
      </c>
      <c r="L5291" s="0" t="str">
        <f aca="false">HYPERLINK("https://www.ncbi.nlm.nih.gov/nuccore/CP000058.1?report=graph&amp;tracks=[key:gene_model_track,Options:GeneOnly]&amp;mk=1653625:1653644|offset_0|444444,1653588:1653607|offset_37|444444,1653563:1653582|offset_62|00cc00,1653541:1653560|offset_84|444444&amp;v=1653424:1653760&amp;c=444444", "offset 62")</f>
        <v>offset 62</v>
      </c>
    </row>
    <row r="5292" customFormat="false" ht="12.8" hidden="false" customHeight="false" outlineLevel="0" collapsed="false">
      <c r="A5292" s="0" t="s">
        <v>12</v>
      </c>
      <c r="B5292" s="0" t="n">
        <v>1653540</v>
      </c>
      <c r="C5292" s="0" t="n">
        <v>1653560</v>
      </c>
      <c r="D5292" s="0" t="s">
        <v>17642</v>
      </c>
      <c r="E5292" s="0" t="s">
        <v>17643</v>
      </c>
      <c r="F5292" s="0" t="s">
        <v>90</v>
      </c>
      <c r="G5292" s="0" t="s">
        <v>32</v>
      </c>
      <c r="H5292" s="0" t="n">
        <v>84</v>
      </c>
      <c r="I5292" s="0" t="s">
        <v>17653</v>
      </c>
      <c r="J5292" s="0" t="s">
        <v>17654</v>
      </c>
      <c r="K5292" s="0" t="s">
        <v>17655</v>
      </c>
      <c r="L5292" s="0" t="str">
        <f aca="false">HYPERLINK("https://www.ncbi.nlm.nih.gov/nuccore/CP000058.1?report=graph&amp;tracks=[key:gene_model_track,Options:GeneOnly]&amp;mk=1653625:1653644|offset_0|444444,1653588:1653607|offset_37|444444,1653563:1653582|offset_62|444444,1653541:1653560|offset_84|00cc00&amp;v=1653424:1653760&amp;c=444444", "offset 84")</f>
        <v>offset 84</v>
      </c>
    </row>
    <row r="5293" customFormat="false" ht="12.8" hidden="false" customHeight="false" outlineLevel="0" collapsed="false">
      <c r="A5293" s="0" t="s">
        <v>12</v>
      </c>
      <c r="B5293" s="0" t="n">
        <v>1654300</v>
      </c>
      <c r="C5293" s="0" t="n">
        <v>1654320</v>
      </c>
      <c r="D5293" s="0" t="s">
        <v>17656</v>
      </c>
      <c r="E5293" s="0" t="s">
        <v>75</v>
      </c>
      <c r="F5293" s="0" t="s">
        <v>90</v>
      </c>
      <c r="G5293" s="0" t="s">
        <v>16</v>
      </c>
      <c r="H5293" s="0" t="n">
        <v>59</v>
      </c>
      <c r="I5293" s="0" t="s">
        <v>17657</v>
      </c>
      <c r="J5293" s="0" t="s">
        <v>17658</v>
      </c>
      <c r="K5293" s="0" t="s">
        <v>17659</v>
      </c>
      <c r="L5293" s="0" t="str">
        <f aca="false">HYPERLINK("https://www.ncbi.nlm.nih.gov/nuccore/CP000058.1?report=graph&amp;tracks=[key:gene_model_track,Options:GeneOnly]&amp;mk=1654301:1654320|offset_59|00cc00,1654265:1654284|offset_95|444444,1654240:1654259|offset_120|444444,1654212:1654231|offset_148|444444&amp;v=1654100:1654431&amp;c=444444", "offset 59")</f>
        <v>offset 59</v>
      </c>
    </row>
    <row r="5294" customFormat="false" ht="12.8" hidden="false" customHeight="false" outlineLevel="0" collapsed="false">
      <c r="A5294" s="0" t="s">
        <v>12</v>
      </c>
      <c r="B5294" s="0" t="n">
        <v>1654264</v>
      </c>
      <c r="C5294" s="0" t="n">
        <v>1654284</v>
      </c>
      <c r="D5294" s="0" t="s">
        <v>17656</v>
      </c>
      <c r="E5294" s="0" t="s">
        <v>75</v>
      </c>
      <c r="F5294" s="0" t="s">
        <v>90</v>
      </c>
      <c r="G5294" s="0" t="s">
        <v>32</v>
      </c>
      <c r="H5294" s="0" t="n">
        <v>95</v>
      </c>
      <c r="I5294" s="0" t="s">
        <v>17660</v>
      </c>
      <c r="J5294" s="0" t="s">
        <v>17661</v>
      </c>
      <c r="K5294" s="0" t="s">
        <v>17662</v>
      </c>
      <c r="L5294" s="0" t="str">
        <f aca="false">HYPERLINK("https://www.ncbi.nlm.nih.gov/nuccore/CP000058.1?report=graph&amp;tracks=[key:gene_model_track,Options:GeneOnly]&amp;mk=1654301:1654320|offset_59|444444,1654265:1654284|offset_95|00cc00,1654240:1654259|offset_120|444444,1654212:1654231|offset_148|444444&amp;v=1654100:1654431&amp;c=444444", "offset 95")</f>
        <v>offset 95</v>
      </c>
    </row>
    <row r="5295" customFormat="false" ht="12.8" hidden="false" customHeight="false" outlineLevel="0" collapsed="false">
      <c r="A5295" s="0" t="s">
        <v>12</v>
      </c>
      <c r="B5295" s="0" t="n">
        <v>1654239</v>
      </c>
      <c r="C5295" s="0" t="n">
        <v>1654259</v>
      </c>
      <c r="D5295" s="0" t="s">
        <v>17656</v>
      </c>
      <c r="E5295" s="0" t="s">
        <v>75</v>
      </c>
      <c r="F5295" s="0" t="s">
        <v>90</v>
      </c>
      <c r="G5295" s="0" t="s">
        <v>20</v>
      </c>
      <c r="H5295" s="0" t="n">
        <v>120</v>
      </c>
      <c r="I5295" s="0" t="s">
        <v>17663</v>
      </c>
      <c r="J5295" s="0" t="s">
        <v>17664</v>
      </c>
      <c r="K5295" s="0" t="s">
        <v>17665</v>
      </c>
      <c r="L5295" s="0" t="str">
        <f aca="false">HYPERLINK("https://www.ncbi.nlm.nih.gov/nuccore/CP000058.1?report=graph&amp;tracks=[key:gene_model_track,Options:GeneOnly]&amp;mk=1654301:1654320|offset_59|444444,1654265:1654284|offset_95|444444,1654240:1654259|offset_120|00cc00,1654212:1654231|offset_148|444444&amp;v=1654100:1654431&amp;c=444444", "offset 120")</f>
        <v>offset 120</v>
      </c>
    </row>
    <row r="5296" customFormat="false" ht="12.8" hidden="false" customHeight="false" outlineLevel="0" collapsed="false">
      <c r="A5296" s="0" t="s">
        <v>12</v>
      </c>
      <c r="B5296" s="0" t="n">
        <v>1654211</v>
      </c>
      <c r="C5296" s="0" t="n">
        <v>1654231</v>
      </c>
      <c r="D5296" s="0" t="s">
        <v>17656</v>
      </c>
      <c r="E5296" s="0" t="s">
        <v>75</v>
      </c>
      <c r="F5296" s="0" t="s">
        <v>90</v>
      </c>
      <c r="G5296" s="0" t="s">
        <v>16</v>
      </c>
      <c r="H5296" s="0" t="n">
        <v>148</v>
      </c>
      <c r="I5296" s="0" t="s">
        <v>17666</v>
      </c>
      <c r="J5296" s="0" t="s">
        <v>17667</v>
      </c>
      <c r="K5296" s="0" t="s">
        <v>17668</v>
      </c>
      <c r="L5296" s="0" t="str">
        <f aca="false">HYPERLINK("https://www.ncbi.nlm.nih.gov/nuccore/CP000058.1?report=graph&amp;tracks=[key:gene_model_track,Options:GeneOnly]&amp;mk=1654301:1654320|offset_59|444444,1654265:1654284|offset_95|444444,1654240:1654259|offset_120|444444,1654212:1654231|offset_148|00cc00&amp;v=1654100:1654431&amp;c=444444", "offset 148")</f>
        <v>offset 148</v>
      </c>
    </row>
    <row r="5297" customFormat="false" ht="12.8" hidden="false" customHeight="false" outlineLevel="0" collapsed="false">
      <c r="A5297" s="0" t="s">
        <v>12</v>
      </c>
      <c r="B5297" s="0" t="n">
        <v>1654684</v>
      </c>
      <c r="C5297" s="0" t="n">
        <v>1654704</v>
      </c>
      <c r="D5297" s="0" t="s">
        <v>17669</v>
      </c>
      <c r="E5297" s="0" t="s">
        <v>17670</v>
      </c>
      <c r="F5297" s="0" t="s">
        <v>15</v>
      </c>
      <c r="G5297" s="0" t="s">
        <v>16</v>
      </c>
      <c r="H5297" s="0" t="n">
        <v>33</v>
      </c>
      <c r="I5297" s="0" t="s">
        <v>17671</v>
      </c>
      <c r="J5297" s="0" t="s">
        <v>17672</v>
      </c>
      <c r="K5297" s="0" t="s">
        <v>17673</v>
      </c>
      <c r="L5297" s="0" t="str">
        <f aca="false">HYPERLINK("https://www.ncbi.nlm.nih.gov/nuccore/CP000058.1?report=graph&amp;tracks=[key:gene_model_track,Options:GeneOnly]&amp;mk=1654685:1654704|offset_33|00cc00,1654719:1654738|offset_67|444444,1654771:1654790|offset_119|444444,1654800:1654819|offset_148|444444&amp;v=1654484:1655019&amp;c=444444", "offset 33")</f>
        <v>offset 33</v>
      </c>
    </row>
    <row r="5298" customFormat="false" ht="12.8" hidden="false" customHeight="false" outlineLevel="0" collapsed="false">
      <c r="A5298" s="0" t="s">
        <v>12</v>
      </c>
      <c r="B5298" s="0" t="n">
        <v>1654718</v>
      </c>
      <c r="C5298" s="0" t="n">
        <v>1654738</v>
      </c>
      <c r="D5298" s="0" t="s">
        <v>17669</v>
      </c>
      <c r="E5298" s="0" t="s">
        <v>17670</v>
      </c>
      <c r="F5298" s="0" t="s">
        <v>15</v>
      </c>
      <c r="G5298" s="0" t="s">
        <v>20</v>
      </c>
      <c r="H5298" s="0" t="n">
        <v>67</v>
      </c>
      <c r="I5298" s="0" t="s">
        <v>17674</v>
      </c>
      <c r="J5298" s="0" t="s">
        <v>17675</v>
      </c>
      <c r="K5298" s="0" t="s">
        <v>17676</v>
      </c>
      <c r="L5298" s="0" t="str">
        <f aca="false">HYPERLINK("https://www.ncbi.nlm.nih.gov/nuccore/CP000058.1?report=graph&amp;tracks=[key:gene_model_track,Options:GeneOnly]&amp;mk=1654685:1654704|offset_33|444444,1654719:1654738|offset_67|00cc00,1654771:1654790|offset_119|444444,1654800:1654819|offset_148|444444&amp;v=1654484:1655019&amp;c=444444", "offset 67")</f>
        <v>offset 67</v>
      </c>
    </row>
    <row r="5299" customFormat="false" ht="12.8" hidden="false" customHeight="false" outlineLevel="0" collapsed="false">
      <c r="A5299" s="0" t="s">
        <v>12</v>
      </c>
      <c r="B5299" s="0" t="n">
        <v>1654770</v>
      </c>
      <c r="C5299" s="0" t="n">
        <v>1654790</v>
      </c>
      <c r="D5299" s="0" t="s">
        <v>17669</v>
      </c>
      <c r="E5299" s="0" t="s">
        <v>17670</v>
      </c>
      <c r="F5299" s="0" t="s">
        <v>15</v>
      </c>
      <c r="G5299" s="0" t="s">
        <v>16</v>
      </c>
      <c r="H5299" s="0" t="n">
        <v>119</v>
      </c>
      <c r="I5299" s="0" t="s">
        <v>17677</v>
      </c>
      <c r="J5299" s="0" t="s">
        <v>17678</v>
      </c>
      <c r="K5299" s="0" t="s">
        <v>17679</v>
      </c>
      <c r="L5299" s="0" t="str">
        <f aca="false">HYPERLINK("https://www.ncbi.nlm.nih.gov/nuccore/CP000058.1?report=graph&amp;tracks=[key:gene_model_track,Options:GeneOnly]&amp;mk=1654685:1654704|offset_33|444444,1654719:1654738|offset_67|444444,1654771:1654790|offset_119|00cc00,1654800:1654819|offset_148|444444&amp;v=1654484:1655019&amp;c=444444", "offset 119")</f>
        <v>offset 119</v>
      </c>
    </row>
    <row r="5300" customFormat="false" ht="12.8" hidden="false" customHeight="false" outlineLevel="0" collapsed="false">
      <c r="A5300" s="0" t="s">
        <v>12</v>
      </c>
      <c r="B5300" s="0" t="n">
        <v>1654799</v>
      </c>
      <c r="C5300" s="0" t="n">
        <v>1654819</v>
      </c>
      <c r="D5300" s="0" t="s">
        <v>17669</v>
      </c>
      <c r="E5300" s="0" t="s">
        <v>17670</v>
      </c>
      <c r="F5300" s="0" t="s">
        <v>15</v>
      </c>
      <c r="G5300" s="0" t="s">
        <v>36</v>
      </c>
      <c r="H5300" s="0" t="n">
        <v>148</v>
      </c>
      <c r="I5300" s="0" t="s">
        <v>17680</v>
      </c>
      <c r="J5300" s="0" t="s">
        <v>17681</v>
      </c>
      <c r="K5300" s="0" t="s">
        <v>17682</v>
      </c>
      <c r="L5300" s="0" t="str">
        <f aca="false">HYPERLINK("https://www.ncbi.nlm.nih.gov/nuccore/CP000058.1?report=graph&amp;tracks=[key:gene_model_track,Options:GeneOnly]&amp;mk=1654685:1654704|offset_33|444444,1654719:1654738|offset_67|444444,1654771:1654790|offset_119|444444,1654800:1654819|offset_148|00cc00&amp;v=1654484:1655019&amp;c=444444", "offset 148")</f>
        <v>offset 148</v>
      </c>
    </row>
    <row r="5301" customFormat="false" ht="12.8" hidden="false" customHeight="false" outlineLevel="0" collapsed="false">
      <c r="A5301" s="0" t="s">
        <v>12</v>
      </c>
      <c r="B5301" s="0" t="n">
        <v>1656727</v>
      </c>
      <c r="C5301" s="0" t="n">
        <v>1656747</v>
      </c>
      <c r="D5301" s="0" t="s">
        <v>17683</v>
      </c>
      <c r="E5301" s="0" t="s">
        <v>17684</v>
      </c>
      <c r="F5301" s="0" t="s">
        <v>15</v>
      </c>
      <c r="G5301" s="0" t="s">
        <v>16</v>
      </c>
      <c r="H5301" s="0" t="n">
        <v>33</v>
      </c>
      <c r="I5301" s="0" t="s">
        <v>17685</v>
      </c>
      <c r="J5301" s="0" t="s">
        <v>17686</v>
      </c>
      <c r="K5301" s="0" t="s">
        <v>17687</v>
      </c>
      <c r="L5301" s="0" t="str">
        <f aca="false">HYPERLINK("https://www.ncbi.nlm.nih.gov/nuccore/CP000058.1?report=graph&amp;tracks=[key:gene_model_track,Options:GeneOnly]&amp;mk=1656728:1656747|offset_33|00cc00,1656755:1656774|offset_60|444444,1656775:1656794|offset_80|444444,1656795:1656814|offset_100|444444&amp;v=1656527:1657014&amp;c=444444", "offset 33")</f>
        <v>offset 33</v>
      </c>
    </row>
    <row r="5302" customFormat="false" ht="12.8" hidden="false" customHeight="false" outlineLevel="0" collapsed="false">
      <c r="A5302" s="0" t="s">
        <v>12</v>
      </c>
      <c r="B5302" s="0" t="n">
        <v>1656754</v>
      </c>
      <c r="C5302" s="0" t="n">
        <v>1656774</v>
      </c>
      <c r="D5302" s="0" t="s">
        <v>17683</v>
      </c>
      <c r="E5302" s="0" t="s">
        <v>17684</v>
      </c>
      <c r="F5302" s="0" t="s">
        <v>15</v>
      </c>
      <c r="G5302" s="0" t="s">
        <v>20</v>
      </c>
      <c r="H5302" s="0" t="n">
        <v>60</v>
      </c>
      <c r="I5302" s="0" t="s">
        <v>17688</v>
      </c>
      <c r="J5302" s="0" t="s">
        <v>17689</v>
      </c>
      <c r="K5302" s="0" t="s">
        <v>17690</v>
      </c>
      <c r="L5302" s="0" t="str">
        <f aca="false">HYPERLINK("https://www.ncbi.nlm.nih.gov/nuccore/CP000058.1?report=graph&amp;tracks=[key:gene_model_track,Options:GeneOnly]&amp;mk=1656728:1656747|offset_33|444444,1656755:1656774|offset_60|00cc00,1656775:1656794|offset_80|444444,1656795:1656814|offset_100|444444&amp;v=1656527:1657014&amp;c=444444", "offset 60")</f>
        <v>offset 60</v>
      </c>
    </row>
    <row r="5303" customFormat="false" ht="12.8" hidden="false" customHeight="false" outlineLevel="0" collapsed="false">
      <c r="A5303" s="0" t="s">
        <v>12</v>
      </c>
      <c r="B5303" s="0" t="n">
        <v>1656774</v>
      </c>
      <c r="C5303" s="0" t="n">
        <v>1656794</v>
      </c>
      <c r="D5303" s="0" t="s">
        <v>17683</v>
      </c>
      <c r="E5303" s="0" t="s">
        <v>17684</v>
      </c>
      <c r="F5303" s="0" t="s">
        <v>15</v>
      </c>
      <c r="G5303" s="0" t="s">
        <v>32</v>
      </c>
      <c r="H5303" s="0" t="n">
        <v>80</v>
      </c>
      <c r="I5303" s="0" t="s">
        <v>17691</v>
      </c>
      <c r="J5303" s="0" t="s">
        <v>17692</v>
      </c>
      <c r="K5303" s="0" t="s">
        <v>17693</v>
      </c>
      <c r="L5303" s="0" t="str">
        <f aca="false">HYPERLINK("https://www.ncbi.nlm.nih.gov/nuccore/CP000058.1?report=graph&amp;tracks=[key:gene_model_track,Options:GeneOnly]&amp;mk=1656728:1656747|offset_33|444444,1656755:1656774|offset_60|444444,1656775:1656794|offset_80|00cc00,1656795:1656814|offset_100|444444&amp;v=1656527:1657014&amp;c=444444", "offset 80")</f>
        <v>offset 80</v>
      </c>
    </row>
    <row r="5304" customFormat="false" ht="12.8" hidden="false" customHeight="false" outlineLevel="0" collapsed="false">
      <c r="A5304" s="0" t="s">
        <v>12</v>
      </c>
      <c r="B5304" s="0" t="n">
        <v>1656794</v>
      </c>
      <c r="C5304" s="0" t="n">
        <v>1656814</v>
      </c>
      <c r="D5304" s="0" t="s">
        <v>17683</v>
      </c>
      <c r="E5304" s="0" t="s">
        <v>17684</v>
      </c>
      <c r="F5304" s="0" t="s">
        <v>15</v>
      </c>
      <c r="G5304" s="0" t="s">
        <v>20</v>
      </c>
      <c r="H5304" s="0" t="n">
        <v>100</v>
      </c>
      <c r="I5304" s="0" t="s">
        <v>17694</v>
      </c>
      <c r="J5304" s="0" t="s">
        <v>17695</v>
      </c>
      <c r="K5304" s="0" t="s">
        <v>17696</v>
      </c>
      <c r="L5304" s="0" t="str">
        <f aca="false">HYPERLINK("https://www.ncbi.nlm.nih.gov/nuccore/CP000058.1?report=graph&amp;tracks=[key:gene_model_track,Options:GeneOnly]&amp;mk=1656728:1656747|offset_33|444444,1656755:1656774|offset_60|444444,1656775:1656794|offset_80|444444,1656795:1656814|offset_100|00cc00&amp;v=1656527:1657014&amp;c=444444", "offset 100")</f>
        <v>offset 100</v>
      </c>
    </row>
    <row r="5305" customFormat="false" ht="12.8" hidden="false" customHeight="false" outlineLevel="0" collapsed="false">
      <c r="A5305" s="0" t="s">
        <v>12</v>
      </c>
      <c r="B5305" s="0" t="n">
        <v>1659083</v>
      </c>
      <c r="C5305" s="0" t="n">
        <v>1659103</v>
      </c>
      <c r="D5305" s="0" t="s">
        <v>17697</v>
      </c>
      <c r="E5305" s="0" t="s">
        <v>17698</v>
      </c>
      <c r="F5305" s="0" t="s">
        <v>15</v>
      </c>
      <c r="G5305" s="0" t="s">
        <v>36</v>
      </c>
      <c r="H5305" s="0" t="n">
        <v>14</v>
      </c>
      <c r="I5305" s="0" t="s">
        <v>17699</v>
      </c>
      <c r="J5305" s="0" t="s">
        <v>17700</v>
      </c>
      <c r="K5305" s="0" t="s">
        <v>17701</v>
      </c>
      <c r="L5305" s="0" t="str">
        <f aca="false">HYPERLINK("https://www.ncbi.nlm.nih.gov/nuccore/CP000058.1?report=graph&amp;tracks=[key:gene_model_track,Options:GeneOnly]&amp;mk=1659084:1659103|offset_14|00cc00,1659112:1659131|offset_42|444444,1659138:1659157|offset_68|444444,1659171:1659190|offset_101|444444&amp;v=1658883:1659390&amp;c=444444", "offset 14")</f>
        <v>offset 14</v>
      </c>
    </row>
    <row r="5306" customFormat="false" ht="12.8" hidden="false" customHeight="false" outlineLevel="0" collapsed="false">
      <c r="A5306" s="0" t="s">
        <v>12</v>
      </c>
      <c r="B5306" s="0" t="n">
        <v>1659111</v>
      </c>
      <c r="C5306" s="0" t="n">
        <v>1659131</v>
      </c>
      <c r="D5306" s="0" t="s">
        <v>17697</v>
      </c>
      <c r="E5306" s="0" t="s">
        <v>17698</v>
      </c>
      <c r="F5306" s="0" t="s">
        <v>15</v>
      </c>
      <c r="G5306" s="0" t="s">
        <v>36</v>
      </c>
      <c r="H5306" s="0" t="n">
        <v>42</v>
      </c>
      <c r="I5306" s="0" t="s">
        <v>17702</v>
      </c>
      <c r="J5306" s="0" t="s">
        <v>17703</v>
      </c>
      <c r="K5306" s="0" t="s">
        <v>17704</v>
      </c>
      <c r="L5306" s="0" t="str">
        <f aca="false">HYPERLINK("https://www.ncbi.nlm.nih.gov/nuccore/CP000058.1?report=graph&amp;tracks=[key:gene_model_track,Options:GeneOnly]&amp;mk=1659084:1659103|offset_14|444444,1659112:1659131|offset_42|00cc00,1659138:1659157|offset_68|444444,1659171:1659190|offset_101|444444&amp;v=1658883:1659390&amp;c=444444", "offset 42")</f>
        <v>offset 42</v>
      </c>
    </row>
    <row r="5307" customFormat="false" ht="12.8" hidden="false" customHeight="false" outlineLevel="0" collapsed="false">
      <c r="A5307" s="0" t="s">
        <v>12</v>
      </c>
      <c r="B5307" s="0" t="n">
        <v>1659137</v>
      </c>
      <c r="C5307" s="0" t="n">
        <v>1659157</v>
      </c>
      <c r="D5307" s="0" t="s">
        <v>17697</v>
      </c>
      <c r="E5307" s="0" t="s">
        <v>17698</v>
      </c>
      <c r="F5307" s="0" t="s">
        <v>15</v>
      </c>
      <c r="G5307" s="0" t="s">
        <v>20</v>
      </c>
      <c r="H5307" s="0" t="n">
        <v>68</v>
      </c>
      <c r="I5307" s="0" t="s">
        <v>17705</v>
      </c>
      <c r="J5307" s="0" t="s">
        <v>17706</v>
      </c>
      <c r="K5307" s="0" t="s">
        <v>17707</v>
      </c>
      <c r="L5307" s="0" t="str">
        <f aca="false">HYPERLINK("https://www.ncbi.nlm.nih.gov/nuccore/CP000058.1?report=graph&amp;tracks=[key:gene_model_track,Options:GeneOnly]&amp;mk=1659084:1659103|offset_14|444444,1659112:1659131|offset_42|444444,1659138:1659157|offset_68|00cc00,1659171:1659190|offset_101|444444&amp;v=1658883:1659390&amp;c=444444", "offset 68")</f>
        <v>offset 68</v>
      </c>
    </row>
    <row r="5308" customFormat="false" ht="12.8" hidden="false" customHeight="false" outlineLevel="0" collapsed="false">
      <c r="A5308" s="0" t="s">
        <v>12</v>
      </c>
      <c r="B5308" s="0" t="n">
        <v>1659170</v>
      </c>
      <c r="C5308" s="0" t="n">
        <v>1659190</v>
      </c>
      <c r="D5308" s="0" t="s">
        <v>17697</v>
      </c>
      <c r="E5308" s="0" t="s">
        <v>17698</v>
      </c>
      <c r="F5308" s="0" t="s">
        <v>15</v>
      </c>
      <c r="G5308" s="0" t="s">
        <v>20</v>
      </c>
      <c r="H5308" s="0" t="n">
        <v>101</v>
      </c>
      <c r="I5308" s="0" t="s">
        <v>17708</v>
      </c>
      <c r="J5308" s="0" t="s">
        <v>17709</v>
      </c>
      <c r="K5308" s="0" t="s">
        <v>17710</v>
      </c>
      <c r="L5308" s="0" t="str">
        <f aca="false">HYPERLINK("https://www.ncbi.nlm.nih.gov/nuccore/CP000058.1?report=graph&amp;tracks=[key:gene_model_track,Options:GeneOnly]&amp;mk=1659084:1659103|offset_14|444444,1659112:1659131|offset_42|444444,1659138:1659157|offset_68|444444,1659171:1659190|offset_101|00cc00&amp;v=1658883:1659390&amp;c=444444", "offset 101")</f>
        <v>offset 101</v>
      </c>
    </row>
    <row r="5309" customFormat="false" ht="12.8" hidden="false" customHeight="false" outlineLevel="0" collapsed="false">
      <c r="A5309" s="0" t="s">
        <v>12</v>
      </c>
      <c r="B5309" s="0" t="n">
        <v>1663247</v>
      </c>
      <c r="C5309" s="0" t="n">
        <v>1663267</v>
      </c>
      <c r="D5309" s="0" t="s">
        <v>17711</v>
      </c>
      <c r="E5309" s="0" t="s">
        <v>75</v>
      </c>
      <c r="F5309" s="0" t="s">
        <v>15</v>
      </c>
      <c r="G5309" s="0" t="s">
        <v>16</v>
      </c>
      <c r="H5309" s="0" t="n">
        <v>1</v>
      </c>
      <c r="I5309" s="0" t="s">
        <v>17712</v>
      </c>
      <c r="J5309" s="0" t="s">
        <v>17713</v>
      </c>
      <c r="K5309" s="0" t="s">
        <v>17714</v>
      </c>
      <c r="L5309" s="0" t="str">
        <f aca="false">HYPERLINK("https://www.ncbi.nlm.nih.gov/nuccore/CP000058.1?report=graph&amp;tracks=[key:gene_model_track,Options:GeneOnly]&amp;mk=1663248:1663267|offset_1|00cc00,1663279:1663298|offset_32|444444,1663305:1663324|offset_58|444444,1663335:1663354|offset_88|444444&amp;v=1663047:1663554&amp;c=444444", "offset 1")</f>
        <v>offset 1</v>
      </c>
    </row>
    <row r="5310" customFormat="false" ht="12.8" hidden="false" customHeight="false" outlineLevel="0" collapsed="false">
      <c r="A5310" s="0" t="s">
        <v>12</v>
      </c>
      <c r="B5310" s="0" t="n">
        <v>1663278</v>
      </c>
      <c r="C5310" s="0" t="n">
        <v>1663298</v>
      </c>
      <c r="D5310" s="0" t="s">
        <v>17711</v>
      </c>
      <c r="E5310" s="0" t="s">
        <v>75</v>
      </c>
      <c r="F5310" s="0" t="s">
        <v>15</v>
      </c>
      <c r="G5310" s="0" t="s">
        <v>20</v>
      </c>
      <c r="H5310" s="0" t="n">
        <v>32</v>
      </c>
      <c r="I5310" s="0" t="s">
        <v>17715</v>
      </c>
      <c r="J5310" s="0" t="s">
        <v>17716</v>
      </c>
      <c r="K5310" s="0" t="s">
        <v>17717</v>
      </c>
      <c r="L5310" s="0" t="str">
        <f aca="false">HYPERLINK("https://www.ncbi.nlm.nih.gov/nuccore/CP000058.1?report=graph&amp;tracks=[key:gene_model_track,Options:GeneOnly]&amp;mk=1663248:1663267|offset_1|444444,1663279:1663298|offset_32|00cc00,1663305:1663324|offset_58|444444,1663335:1663354|offset_88|444444&amp;v=1663047:1663554&amp;c=444444", "offset 32")</f>
        <v>offset 32</v>
      </c>
    </row>
    <row r="5311" customFormat="false" ht="12.8" hidden="false" customHeight="false" outlineLevel="0" collapsed="false">
      <c r="A5311" s="0" t="s">
        <v>12</v>
      </c>
      <c r="B5311" s="0" t="n">
        <v>1663304</v>
      </c>
      <c r="C5311" s="0" t="n">
        <v>1663324</v>
      </c>
      <c r="D5311" s="0" t="s">
        <v>17711</v>
      </c>
      <c r="E5311" s="0" t="s">
        <v>75</v>
      </c>
      <c r="F5311" s="0" t="s">
        <v>15</v>
      </c>
      <c r="G5311" s="0" t="s">
        <v>32</v>
      </c>
      <c r="H5311" s="0" t="n">
        <v>58</v>
      </c>
      <c r="I5311" s="0" t="s">
        <v>17718</v>
      </c>
      <c r="J5311" s="0" t="s">
        <v>17719</v>
      </c>
      <c r="K5311" s="0" t="s">
        <v>17720</v>
      </c>
      <c r="L5311" s="0" t="str">
        <f aca="false">HYPERLINK("https://www.ncbi.nlm.nih.gov/nuccore/CP000058.1?report=graph&amp;tracks=[key:gene_model_track,Options:GeneOnly]&amp;mk=1663248:1663267|offset_1|444444,1663279:1663298|offset_32|444444,1663305:1663324|offset_58|00cc00,1663335:1663354|offset_88|444444&amp;v=1663047:1663554&amp;c=444444", "offset 58")</f>
        <v>offset 58</v>
      </c>
    </row>
    <row r="5312" customFormat="false" ht="12.8" hidden="false" customHeight="false" outlineLevel="0" collapsed="false">
      <c r="A5312" s="0" t="s">
        <v>12</v>
      </c>
      <c r="B5312" s="0" t="n">
        <v>1663334</v>
      </c>
      <c r="C5312" s="0" t="n">
        <v>1663354</v>
      </c>
      <c r="D5312" s="0" t="s">
        <v>17711</v>
      </c>
      <c r="E5312" s="0" t="s">
        <v>75</v>
      </c>
      <c r="F5312" s="0" t="s">
        <v>15</v>
      </c>
      <c r="G5312" s="0" t="s">
        <v>20</v>
      </c>
      <c r="H5312" s="0" t="n">
        <v>88</v>
      </c>
      <c r="I5312" s="0" t="s">
        <v>17721</v>
      </c>
      <c r="J5312" s="0" t="s">
        <v>17722</v>
      </c>
      <c r="K5312" s="0" t="s">
        <v>17723</v>
      </c>
      <c r="L5312" s="0" t="str">
        <f aca="false">HYPERLINK("https://www.ncbi.nlm.nih.gov/nuccore/CP000058.1?report=graph&amp;tracks=[key:gene_model_track,Options:GeneOnly]&amp;mk=1663248:1663267|offset_1|444444,1663279:1663298|offset_32|444444,1663305:1663324|offset_58|444444,1663335:1663354|offset_88|00cc00&amp;v=1663047:1663554&amp;c=444444", "offset 88")</f>
        <v>offset 88</v>
      </c>
    </row>
    <row r="5313" customFormat="false" ht="12.8" hidden="false" customHeight="false" outlineLevel="0" collapsed="false">
      <c r="A5313" s="0" t="s">
        <v>12</v>
      </c>
      <c r="B5313" s="0" t="n">
        <v>1664498</v>
      </c>
      <c r="C5313" s="0" t="n">
        <v>1664518</v>
      </c>
      <c r="D5313" s="0" t="s">
        <v>17724</v>
      </c>
      <c r="E5313" s="0" t="s">
        <v>75</v>
      </c>
      <c r="F5313" s="0" t="s">
        <v>15</v>
      </c>
      <c r="G5313" s="0" t="s">
        <v>16</v>
      </c>
      <c r="H5313" s="0" t="n">
        <v>10</v>
      </c>
      <c r="I5313" s="0" t="s">
        <v>17725</v>
      </c>
      <c r="J5313" s="0" t="s">
        <v>17726</v>
      </c>
      <c r="K5313" s="0" t="s">
        <v>17727</v>
      </c>
      <c r="L5313" s="0" t="str">
        <f aca="false">HYPERLINK("https://www.ncbi.nlm.nih.gov/nuccore/CP000058.1?report=graph&amp;tracks=[key:gene_model_track,Options:GeneOnly]&amp;mk=1664499:1664518|offset_10|00cc00,1664522:1664541|offset_33|444444,1664543:1664562|offset_54|444444,1664570:1664589|offset_81|444444&amp;v=1664298:1664789&amp;c=444444", "offset 10")</f>
        <v>offset 10</v>
      </c>
    </row>
    <row r="5314" customFormat="false" ht="12.8" hidden="false" customHeight="false" outlineLevel="0" collapsed="false">
      <c r="A5314" s="0" t="s">
        <v>12</v>
      </c>
      <c r="B5314" s="0" t="n">
        <v>1664521</v>
      </c>
      <c r="C5314" s="0" t="n">
        <v>1664541</v>
      </c>
      <c r="D5314" s="0" t="s">
        <v>17724</v>
      </c>
      <c r="E5314" s="0" t="s">
        <v>75</v>
      </c>
      <c r="F5314" s="0" t="s">
        <v>15</v>
      </c>
      <c r="G5314" s="0" t="s">
        <v>32</v>
      </c>
      <c r="H5314" s="0" t="n">
        <v>33</v>
      </c>
      <c r="I5314" s="0" t="s">
        <v>17728</v>
      </c>
      <c r="J5314" s="0" t="s">
        <v>17729</v>
      </c>
      <c r="K5314" s="0" t="s">
        <v>17730</v>
      </c>
      <c r="L5314" s="0" t="str">
        <f aca="false">HYPERLINK("https://www.ncbi.nlm.nih.gov/nuccore/CP000058.1?report=graph&amp;tracks=[key:gene_model_track,Options:GeneOnly]&amp;mk=1664499:1664518|offset_10|444444,1664522:1664541|offset_33|00cc00,1664543:1664562|offset_54|444444,1664570:1664589|offset_81|444444&amp;v=1664298:1664789&amp;c=444444", "offset 33")</f>
        <v>offset 33</v>
      </c>
    </row>
    <row r="5315" customFormat="false" ht="12.8" hidden="false" customHeight="false" outlineLevel="0" collapsed="false">
      <c r="A5315" s="0" t="s">
        <v>12</v>
      </c>
      <c r="B5315" s="0" t="n">
        <v>1664542</v>
      </c>
      <c r="C5315" s="0" t="n">
        <v>1664562</v>
      </c>
      <c r="D5315" s="0" t="s">
        <v>17724</v>
      </c>
      <c r="E5315" s="0" t="s">
        <v>75</v>
      </c>
      <c r="F5315" s="0" t="s">
        <v>15</v>
      </c>
      <c r="G5315" s="0" t="s">
        <v>36</v>
      </c>
      <c r="H5315" s="0" t="n">
        <v>54</v>
      </c>
      <c r="I5315" s="0" t="s">
        <v>17731</v>
      </c>
      <c r="J5315" s="0" t="s">
        <v>17732</v>
      </c>
      <c r="K5315" s="0" t="s">
        <v>17733</v>
      </c>
      <c r="L5315" s="0" t="str">
        <f aca="false">HYPERLINK("https://www.ncbi.nlm.nih.gov/nuccore/CP000058.1?report=graph&amp;tracks=[key:gene_model_track,Options:GeneOnly]&amp;mk=1664499:1664518|offset_10|444444,1664522:1664541|offset_33|444444,1664543:1664562|offset_54|00cc00,1664570:1664589|offset_81|444444&amp;v=1664298:1664789&amp;c=444444", "offset 54")</f>
        <v>offset 54</v>
      </c>
    </row>
    <row r="5316" customFormat="false" ht="12.8" hidden="false" customHeight="false" outlineLevel="0" collapsed="false">
      <c r="A5316" s="0" t="s">
        <v>12</v>
      </c>
      <c r="B5316" s="0" t="n">
        <v>1664569</v>
      </c>
      <c r="C5316" s="0" t="n">
        <v>1664589</v>
      </c>
      <c r="D5316" s="0" t="s">
        <v>17724</v>
      </c>
      <c r="E5316" s="0" t="s">
        <v>75</v>
      </c>
      <c r="F5316" s="0" t="s">
        <v>15</v>
      </c>
      <c r="G5316" s="0" t="s">
        <v>32</v>
      </c>
      <c r="H5316" s="0" t="n">
        <v>81</v>
      </c>
      <c r="I5316" s="0" t="s">
        <v>17734</v>
      </c>
      <c r="J5316" s="0" t="s">
        <v>17735</v>
      </c>
      <c r="K5316" s="0" t="s">
        <v>17736</v>
      </c>
      <c r="L5316" s="0" t="str">
        <f aca="false">HYPERLINK("https://www.ncbi.nlm.nih.gov/nuccore/CP000058.1?report=graph&amp;tracks=[key:gene_model_track,Options:GeneOnly]&amp;mk=1664499:1664518|offset_10|444444,1664522:1664541|offset_33|444444,1664543:1664562|offset_54|444444,1664570:1664589|offset_81|00cc00&amp;v=1664298:1664789&amp;c=444444", "offset 81")</f>
        <v>offset 81</v>
      </c>
    </row>
    <row r="5317" customFormat="false" ht="12.8" hidden="false" customHeight="false" outlineLevel="0" collapsed="false">
      <c r="A5317" s="0" t="s">
        <v>12</v>
      </c>
      <c r="B5317" s="0" t="n">
        <v>1669427</v>
      </c>
      <c r="C5317" s="0" t="n">
        <v>1669447</v>
      </c>
      <c r="D5317" s="0" t="s">
        <v>17737</v>
      </c>
      <c r="E5317" s="0" t="s">
        <v>75</v>
      </c>
      <c r="F5317" s="0" t="s">
        <v>15</v>
      </c>
      <c r="G5317" s="0" t="s">
        <v>36</v>
      </c>
      <c r="H5317" s="0" t="n">
        <v>6</v>
      </c>
      <c r="I5317" s="0" t="s">
        <v>17738</v>
      </c>
      <c r="J5317" s="0" t="s">
        <v>17739</v>
      </c>
      <c r="K5317" s="0" t="s">
        <v>17740</v>
      </c>
      <c r="L5317" s="0" t="str">
        <f aca="false">HYPERLINK("https://www.ncbi.nlm.nih.gov/nuccore/CP000058.1?report=graph&amp;tracks=[key:gene_model_track,Options:GeneOnly]&amp;mk=1669428:1669447|offset_6|00cc00,1669448:1669467|offset_26|444444,1669488:1669507|offset_66|444444,1669516:1669535|offset_94|444444&amp;v=1669227:1669735&amp;c=444444", "offset 6")</f>
        <v>offset 6</v>
      </c>
    </row>
    <row r="5318" customFormat="false" ht="12.8" hidden="false" customHeight="false" outlineLevel="0" collapsed="false">
      <c r="A5318" s="0" t="s">
        <v>12</v>
      </c>
      <c r="B5318" s="0" t="n">
        <v>1669447</v>
      </c>
      <c r="C5318" s="0" t="n">
        <v>1669467</v>
      </c>
      <c r="D5318" s="0" t="s">
        <v>17737</v>
      </c>
      <c r="E5318" s="0" t="s">
        <v>75</v>
      </c>
      <c r="F5318" s="0" t="s">
        <v>15</v>
      </c>
      <c r="G5318" s="0" t="s">
        <v>20</v>
      </c>
      <c r="H5318" s="0" t="n">
        <v>26</v>
      </c>
      <c r="I5318" s="0" t="s">
        <v>17741</v>
      </c>
      <c r="J5318" s="0" t="s">
        <v>17742</v>
      </c>
      <c r="K5318" s="0" t="s">
        <v>17743</v>
      </c>
      <c r="L5318" s="0" t="str">
        <f aca="false">HYPERLINK("https://www.ncbi.nlm.nih.gov/nuccore/CP000058.1?report=graph&amp;tracks=[key:gene_model_track,Options:GeneOnly]&amp;mk=1669428:1669447|offset_6|444444,1669448:1669467|offset_26|00cc00,1669488:1669507|offset_66|444444,1669516:1669535|offset_94|444444&amp;v=1669227:1669735&amp;c=444444", "offset 26")</f>
        <v>offset 26</v>
      </c>
    </row>
    <row r="5319" customFormat="false" ht="12.8" hidden="false" customHeight="false" outlineLevel="0" collapsed="false">
      <c r="A5319" s="0" t="s">
        <v>12</v>
      </c>
      <c r="B5319" s="0" t="n">
        <v>1669487</v>
      </c>
      <c r="C5319" s="0" t="n">
        <v>1669507</v>
      </c>
      <c r="D5319" s="0" t="s">
        <v>17737</v>
      </c>
      <c r="E5319" s="0" t="s">
        <v>75</v>
      </c>
      <c r="F5319" s="0" t="s">
        <v>15</v>
      </c>
      <c r="G5319" s="0" t="s">
        <v>16</v>
      </c>
      <c r="H5319" s="0" t="n">
        <v>66</v>
      </c>
      <c r="I5319" s="0" t="s">
        <v>17744</v>
      </c>
      <c r="J5319" s="0" t="s">
        <v>17745</v>
      </c>
      <c r="K5319" s="0" t="s">
        <v>17746</v>
      </c>
      <c r="L5319" s="0" t="str">
        <f aca="false">HYPERLINK("https://www.ncbi.nlm.nih.gov/nuccore/CP000058.1?report=graph&amp;tracks=[key:gene_model_track,Options:GeneOnly]&amp;mk=1669428:1669447|offset_6|444444,1669448:1669467|offset_26|444444,1669488:1669507|offset_66|00cc00,1669516:1669535|offset_94|444444&amp;v=1669227:1669735&amp;c=444444", "offset 66")</f>
        <v>offset 66</v>
      </c>
    </row>
    <row r="5320" customFormat="false" ht="12.8" hidden="false" customHeight="false" outlineLevel="0" collapsed="false">
      <c r="A5320" s="0" t="s">
        <v>12</v>
      </c>
      <c r="B5320" s="0" t="n">
        <v>1669515</v>
      </c>
      <c r="C5320" s="0" t="n">
        <v>1669535</v>
      </c>
      <c r="D5320" s="0" t="s">
        <v>17737</v>
      </c>
      <c r="E5320" s="0" t="s">
        <v>75</v>
      </c>
      <c r="F5320" s="0" t="s">
        <v>15</v>
      </c>
      <c r="G5320" s="0" t="s">
        <v>20</v>
      </c>
      <c r="H5320" s="0" t="n">
        <v>94</v>
      </c>
      <c r="I5320" s="0" t="s">
        <v>17747</v>
      </c>
      <c r="J5320" s="0" t="s">
        <v>17748</v>
      </c>
      <c r="K5320" s="0" t="s">
        <v>17749</v>
      </c>
      <c r="L5320" s="0" t="str">
        <f aca="false">HYPERLINK("https://www.ncbi.nlm.nih.gov/nuccore/CP000058.1?report=graph&amp;tracks=[key:gene_model_track,Options:GeneOnly]&amp;mk=1669428:1669447|offset_6|444444,1669448:1669467|offset_26|444444,1669488:1669507|offset_66|444444,1669516:1669535|offset_94|00cc00&amp;v=1669227:1669735&amp;c=444444", "offset 94")</f>
        <v>offset 94</v>
      </c>
    </row>
    <row r="5321" customFormat="false" ht="12.8" hidden="false" customHeight="false" outlineLevel="0" collapsed="false">
      <c r="A5321" s="0" t="s">
        <v>12</v>
      </c>
      <c r="B5321" s="0" t="n">
        <v>1672558</v>
      </c>
      <c r="C5321" s="0" t="n">
        <v>1672578</v>
      </c>
      <c r="D5321" s="0" t="s">
        <v>17750</v>
      </c>
      <c r="E5321" s="0" t="s">
        <v>75</v>
      </c>
      <c r="F5321" s="0" t="s">
        <v>90</v>
      </c>
      <c r="G5321" s="0" t="s">
        <v>32</v>
      </c>
      <c r="H5321" s="0" t="n">
        <v>0</v>
      </c>
      <c r="I5321" s="0" t="s">
        <v>17751</v>
      </c>
      <c r="J5321" s="0" t="s">
        <v>17752</v>
      </c>
      <c r="K5321" s="0" t="s">
        <v>17753</v>
      </c>
      <c r="L5321" s="0" t="str">
        <f aca="false">HYPERLINK("https://www.ncbi.nlm.nih.gov/nuccore/CP000058.1?report=graph&amp;tracks=[key:gene_model_track,Options:GeneOnly]&amp;mk=1672559:1672578|offset_0|00cc00,1672510:1672529|offset_49|444444,1672486:1672505|offset_73|444444,1672461:1672480|offset_98|444444&amp;v=1672358:1672680&amp;c=444444", "offset 0")</f>
        <v>offset 0</v>
      </c>
    </row>
    <row r="5322" customFormat="false" ht="12.8" hidden="false" customHeight="false" outlineLevel="0" collapsed="false">
      <c r="A5322" s="0" t="s">
        <v>12</v>
      </c>
      <c r="B5322" s="0" t="n">
        <v>1672509</v>
      </c>
      <c r="C5322" s="0" t="n">
        <v>1672529</v>
      </c>
      <c r="D5322" s="0" t="s">
        <v>17750</v>
      </c>
      <c r="E5322" s="0" t="s">
        <v>75</v>
      </c>
      <c r="F5322" s="0" t="s">
        <v>90</v>
      </c>
      <c r="G5322" s="0" t="s">
        <v>36</v>
      </c>
      <c r="H5322" s="0" t="n">
        <v>49</v>
      </c>
      <c r="I5322" s="0" t="s">
        <v>17754</v>
      </c>
      <c r="J5322" s="0" t="s">
        <v>17755</v>
      </c>
      <c r="K5322" s="0" t="s">
        <v>17756</v>
      </c>
      <c r="L5322" s="0" t="str">
        <f aca="false">HYPERLINK("https://www.ncbi.nlm.nih.gov/nuccore/CP000058.1?report=graph&amp;tracks=[key:gene_model_track,Options:GeneOnly]&amp;mk=1672559:1672578|offset_0|444444,1672510:1672529|offset_49|00cc00,1672486:1672505|offset_73|444444,1672461:1672480|offset_98|444444&amp;v=1672358:1672680&amp;c=444444", "offset 49")</f>
        <v>offset 49</v>
      </c>
    </row>
    <row r="5323" customFormat="false" ht="12.8" hidden="false" customHeight="false" outlineLevel="0" collapsed="false">
      <c r="A5323" s="0" t="s">
        <v>12</v>
      </c>
      <c r="B5323" s="0" t="n">
        <v>1672485</v>
      </c>
      <c r="C5323" s="0" t="n">
        <v>1672505</v>
      </c>
      <c r="D5323" s="0" t="s">
        <v>17750</v>
      </c>
      <c r="E5323" s="0" t="s">
        <v>75</v>
      </c>
      <c r="F5323" s="0" t="s">
        <v>90</v>
      </c>
      <c r="G5323" s="0" t="s">
        <v>16</v>
      </c>
      <c r="H5323" s="0" t="n">
        <v>73</v>
      </c>
      <c r="I5323" s="0" t="s">
        <v>17757</v>
      </c>
      <c r="J5323" s="0" t="s">
        <v>17758</v>
      </c>
      <c r="K5323" s="0" t="s">
        <v>17759</v>
      </c>
      <c r="L5323" s="0" t="str">
        <f aca="false">HYPERLINK("https://www.ncbi.nlm.nih.gov/nuccore/CP000058.1?report=graph&amp;tracks=[key:gene_model_track,Options:GeneOnly]&amp;mk=1672559:1672578|offset_0|444444,1672510:1672529|offset_49|444444,1672486:1672505|offset_73|00cc00,1672461:1672480|offset_98|444444&amp;v=1672358:1672680&amp;c=444444", "offset 73")</f>
        <v>offset 73</v>
      </c>
    </row>
    <row r="5324" customFormat="false" ht="12.8" hidden="false" customHeight="false" outlineLevel="0" collapsed="false">
      <c r="A5324" s="0" t="s">
        <v>12</v>
      </c>
      <c r="B5324" s="0" t="n">
        <v>1672460</v>
      </c>
      <c r="C5324" s="0" t="n">
        <v>1672480</v>
      </c>
      <c r="D5324" s="0" t="s">
        <v>17750</v>
      </c>
      <c r="E5324" s="0" t="s">
        <v>75</v>
      </c>
      <c r="F5324" s="0" t="s">
        <v>90</v>
      </c>
      <c r="G5324" s="0" t="s">
        <v>20</v>
      </c>
      <c r="H5324" s="0" t="n">
        <v>98</v>
      </c>
      <c r="I5324" s="0" t="s">
        <v>17760</v>
      </c>
      <c r="J5324" s="0" t="s">
        <v>17761</v>
      </c>
      <c r="K5324" s="0" t="s">
        <v>17762</v>
      </c>
      <c r="L5324" s="0" t="str">
        <f aca="false">HYPERLINK("https://www.ncbi.nlm.nih.gov/nuccore/CP000058.1?report=graph&amp;tracks=[key:gene_model_track,Options:GeneOnly]&amp;mk=1672559:1672578|offset_0|444444,1672510:1672529|offset_49|444444,1672486:1672505|offset_73|444444,1672461:1672480|offset_98|00cc00&amp;v=1672358:1672680&amp;c=444444", "offset 98")</f>
        <v>offset 98</v>
      </c>
    </row>
    <row r="5325" customFormat="false" ht="12.8" hidden="false" customHeight="false" outlineLevel="0" collapsed="false">
      <c r="A5325" s="0" t="s">
        <v>12</v>
      </c>
      <c r="B5325" s="0" t="n">
        <v>1673268</v>
      </c>
      <c r="C5325" s="0" t="n">
        <v>1673288</v>
      </c>
      <c r="D5325" s="0" t="s">
        <v>17763</v>
      </c>
      <c r="E5325" s="0" t="s">
        <v>17764</v>
      </c>
      <c r="F5325" s="0" t="s">
        <v>90</v>
      </c>
      <c r="G5325" s="0" t="s">
        <v>20</v>
      </c>
      <c r="H5325" s="0" t="n">
        <v>1</v>
      </c>
      <c r="I5325" s="0" t="s">
        <v>17765</v>
      </c>
      <c r="J5325" s="0" t="s">
        <v>17766</v>
      </c>
      <c r="K5325" s="0" t="s">
        <v>17767</v>
      </c>
      <c r="L5325" s="0" t="str">
        <f aca="false">HYPERLINK("https://www.ncbi.nlm.nih.gov/nuccore/CP000058.1?report=graph&amp;tracks=[key:gene_model_track,Options:GeneOnly]&amp;mk=1673269:1673288|offset_1|00cc00,1673241:1673260|offset_29|444444,1673206:1673225|offset_64|444444,1673179:1673198|offset_91|444444&amp;v=1673068:1673398&amp;c=444444", "offset 1")</f>
        <v>offset 1</v>
      </c>
    </row>
    <row r="5326" customFormat="false" ht="12.8" hidden="false" customHeight="false" outlineLevel="0" collapsed="false">
      <c r="A5326" s="0" t="s">
        <v>12</v>
      </c>
      <c r="B5326" s="0" t="n">
        <v>1673240</v>
      </c>
      <c r="C5326" s="0" t="n">
        <v>1673260</v>
      </c>
      <c r="D5326" s="0" t="s">
        <v>17763</v>
      </c>
      <c r="E5326" s="0" t="s">
        <v>17764</v>
      </c>
      <c r="F5326" s="0" t="s">
        <v>90</v>
      </c>
      <c r="G5326" s="0" t="s">
        <v>16</v>
      </c>
      <c r="H5326" s="0" t="n">
        <v>29</v>
      </c>
      <c r="I5326" s="0" t="s">
        <v>17768</v>
      </c>
      <c r="J5326" s="0" t="s">
        <v>17769</v>
      </c>
      <c r="K5326" s="0" t="s">
        <v>17770</v>
      </c>
      <c r="L5326" s="0" t="str">
        <f aca="false">HYPERLINK("https://www.ncbi.nlm.nih.gov/nuccore/CP000058.1?report=graph&amp;tracks=[key:gene_model_track,Options:GeneOnly]&amp;mk=1673269:1673288|offset_1|444444,1673241:1673260|offset_29|00cc00,1673206:1673225|offset_64|444444,1673179:1673198|offset_91|444444&amp;v=1673068:1673398&amp;c=444444", "offset 29")</f>
        <v>offset 29</v>
      </c>
    </row>
    <row r="5327" customFormat="false" ht="12.8" hidden="false" customHeight="false" outlineLevel="0" collapsed="false">
      <c r="A5327" s="0" t="s">
        <v>12</v>
      </c>
      <c r="B5327" s="0" t="n">
        <v>1673205</v>
      </c>
      <c r="C5327" s="0" t="n">
        <v>1673225</v>
      </c>
      <c r="D5327" s="0" t="s">
        <v>17763</v>
      </c>
      <c r="E5327" s="0" t="s">
        <v>17764</v>
      </c>
      <c r="F5327" s="0" t="s">
        <v>90</v>
      </c>
      <c r="G5327" s="0" t="s">
        <v>36</v>
      </c>
      <c r="H5327" s="0" t="n">
        <v>64</v>
      </c>
      <c r="I5327" s="0" t="s">
        <v>17771</v>
      </c>
      <c r="J5327" s="0" t="s">
        <v>17772</v>
      </c>
      <c r="K5327" s="0" t="s">
        <v>17773</v>
      </c>
      <c r="L5327" s="0" t="str">
        <f aca="false">HYPERLINK("https://www.ncbi.nlm.nih.gov/nuccore/CP000058.1?report=graph&amp;tracks=[key:gene_model_track,Options:GeneOnly]&amp;mk=1673269:1673288|offset_1|444444,1673241:1673260|offset_29|444444,1673206:1673225|offset_64|00cc00,1673179:1673198|offset_91|444444&amp;v=1673068:1673398&amp;c=444444", "offset 64")</f>
        <v>offset 64</v>
      </c>
    </row>
    <row r="5328" customFormat="false" ht="12.8" hidden="false" customHeight="false" outlineLevel="0" collapsed="false">
      <c r="A5328" s="0" t="s">
        <v>12</v>
      </c>
      <c r="B5328" s="0" t="n">
        <v>1673178</v>
      </c>
      <c r="C5328" s="0" t="n">
        <v>1673198</v>
      </c>
      <c r="D5328" s="0" t="s">
        <v>17763</v>
      </c>
      <c r="E5328" s="0" t="s">
        <v>17764</v>
      </c>
      <c r="F5328" s="0" t="s">
        <v>90</v>
      </c>
      <c r="G5328" s="0" t="s">
        <v>16</v>
      </c>
      <c r="H5328" s="0" t="n">
        <v>91</v>
      </c>
      <c r="I5328" s="0" t="s">
        <v>17774</v>
      </c>
      <c r="J5328" s="0" t="s">
        <v>17775</v>
      </c>
      <c r="K5328" s="0" t="s">
        <v>17776</v>
      </c>
      <c r="L5328" s="0" t="str">
        <f aca="false">HYPERLINK("https://www.ncbi.nlm.nih.gov/nuccore/CP000058.1?report=graph&amp;tracks=[key:gene_model_track,Options:GeneOnly]&amp;mk=1673269:1673288|offset_1|444444,1673241:1673260|offset_29|444444,1673206:1673225|offset_64|444444,1673179:1673198|offset_91|00cc00&amp;v=1673068:1673398&amp;c=444444", "offset 91")</f>
        <v>offset 91</v>
      </c>
    </row>
    <row r="5329" customFormat="false" ht="12.8" hidden="false" customHeight="false" outlineLevel="0" collapsed="false">
      <c r="A5329" s="0" t="s">
        <v>12</v>
      </c>
      <c r="B5329" s="0" t="n">
        <v>1674088</v>
      </c>
      <c r="C5329" s="0" t="n">
        <v>1674108</v>
      </c>
      <c r="D5329" s="0" t="s">
        <v>17777</v>
      </c>
      <c r="E5329" s="0" t="s">
        <v>17778</v>
      </c>
      <c r="F5329" s="0" t="s">
        <v>90</v>
      </c>
      <c r="G5329" s="0" t="s">
        <v>36</v>
      </c>
      <c r="H5329" s="0" t="n">
        <v>63</v>
      </c>
      <c r="I5329" s="0" t="s">
        <v>17779</v>
      </c>
      <c r="J5329" s="0" t="s">
        <v>17780</v>
      </c>
      <c r="K5329" s="0" t="s">
        <v>17781</v>
      </c>
      <c r="L5329" s="0" t="str">
        <f aca="false">HYPERLINK("https://www.ncbi.nlm.nih.gov/nuccore/CP000058.1?report=graph&amp;tracks=[key:gene_model_track,Options:GeneOnly]&amp;mk=1674089:1674108|offset_63|00cc00,1674069:1674088|offset_83|444444,1674033:1674052|offset_119|444444,1674012:1674031|offset_140|444444&amp;v=1673888:1674231&amp;c=444444", "offset 63")</f>
        <v>offset 63</v>
      </c>
    </row>
    <row r="5330" customFormat="false" ht="12.8" hidden="false" customHeight="false" outlineLevel="0" collapsed="false">
      <c r="A5330" s="0" t="s">
        <v>12</v>
      </c>
      <c r="B5330" s="0" t="n">
        <v>1674068</v>
      </c>
      <c r="C5330" s="0" t="n">
        <v>1674088</v>
      </c>
      <c r="D5330" s="0" t="s">
        <v>17777</v>
      </c>
      <c r="E5330" s="0" t="s">
        <v>17778</v>
      </c>
      <c r="F5330" s="0" t="s">
        <v>90</v>
      </c>
      <c r="G5330" s="0" t="s">
        <v>20</v>
      </c>
      <c r="H5330" s="0" t="n">
        <v>83</v>
      </c>
      <c r="I5330" s="0" t="s">
        <v>17782</v>
      </c>
      <c r="J5330" s="0" t="s">
        <v>17783</v>
      </c>
      <c r="K5330" s="0" t="s">
        <v>17784</v>
      </c>
      <c r="L5330" s="0" t="str">
        <f aca="false">HYPERLINK("https://www.ncbi.nlm.nih.gov/nuccore/CP000058.1?report=graph&amp;tracks=[key:gene_model_track,Options:GeneOnly]&amp;mk=1674089:1674108|offset_63|444444,1674069:1674088|offset_83|00cc00,1674033:1674052|offset_119|444444,1674012:1674031|offset_140|444444&amp;v=1673888:1674231&amp;c=444444", "offset 83")</f>
        <v>offset 83</v>
      </c>
    </row>
    <row r="5331" customFormat="false" ht="12.8" hidden="false" customHeight="false" outlineLevel="0" collapsed="false">
      <c r="A5331" s="0" t="s">
        <v>12</v>
      </c>
      <c r="B5331" s="0" t="n">
        <v>1674032</v>
      </c>
      <c r="C5331" s="0" t="n">
        <v>1674052</v>
      </c>
      <c r="D5331" s="0" t="s">
        <v>17777</v>
      </c>
      <c r="E5331" s="0" t="s">
        <v>17778</v>
      </c>
      <c r="F5331" s="0" t="s">
        <v>90</v>
      </c>
      <c r="G5331" s="0" t="s">
        <v>36</v>
      </c>
      <c r="H5331" s="0" t="n">
        <v>119</v>
      </c>
      <c r="I5331" s="0" t="s">
        <v>17785</v>
      </c>
      <c r="J5331" s="0" t="s">
        <v>17786</v>
      </c>
      <c r="K5331" s="0" t="s">
        <v>17787</v>
      </c>
      <c r="L5331" s="0" t="str">
        <f aca="false">HYPERLINK("https://www.ncbi.nlm.nih.gov/nuccore/CP000058.1?report=graph&amp;tracks=[key:gene_model_track,Options:GeneOnly]&amp;mk=1674089:1674108|offset_63|444444,1674069:1674088|offset_83|444444,1674033:1674052|offset_119|00cc00,1674012:1674031|offset_140|444444&amp;v=1673888:1674231&amp;c=444444", "offset 119")</f>
        <v>offset 119</v>
      </c>
    </row>
    <row r="5332" customFormat="false" ht="12.8" hidden="false" customHeight="false" outlineLevel="0" collapsed="false">
      <c r="A5332" s="0" t="s">
        <v>12</v>
      </c>
      <c r="B5332" s="0" t="n">
        <v>1674011</v>
      </c>
      <c r="C5332" s="0" t="n">
        <v>1674031</v>
      </c>
      <c r="D5332" s="0" t="s">
        <v>17777</v>
      </c>
      <c r="E5332" s="0" t="s">
        <v>17778</v>
      </c>
      <c r="F5332" s="0" t="s">
        <v>90</v>
      </c>
      <c r="G5332" s="0" t="s">
        <v>16</v>
      </c>
      <c r="H5332" s="0" t="n">
        <v>140</v>
      </c>
      <c r="I5332" s="0" t="s">
        <v>17788</v>
      </c>
      <c r="J5332" s="0" t="s">
        <v>17789</v>
      </c>
      <c r="K5332" s="0" t="s">
        <v>17790</v>
      </c>
      <c r="L5332" s="0" t="str">
        <f aca="false">HYPERLINK("https://www.ncbi.nlm.nih.gov/nuccore/CP000058.1?report=graph&amp;tracks=[key:gene_model_track,Options:GeneOnly]&amp;mk=1674089:1674108|offset_63|444444,1674069:1674088|offset_83|444444,1674033:1674052|offset_119|444444,1674012:1674031|offset_140|00cc00&amp;v=1673888:1674231&amp;c=444444", "offset 140")</f>
        <v>offset 140</v>
      </c>
    </row>
    <row r="5333" customFormat="false" ht="12.8" hidden="false" customHeight="false" outlineLevel="0" collapsed="false">
      <c r="A5333" s="0" t="s">
        <v>12</v>
      </c>
      <c r="B5333" s="0" t="n">
        <v>1675076</v>
      </c>
      <c r="C5333" s="0" t="n">
        <v>1675096</v>
      </c>
      <c r="D5333" s="0" t="s">
        <v>17791</v>
      </c>
      <c r="E5333" s="0" t="s">
        <v>75</v>
      </c>
      <c r="F5333" s="0" t="s">
        <v>90</v>
      </c>
      <c r="G5333" s="0" t="s">
        <v>36</v>
      </c>
      <c r="H5333" s="0" t="n">
        <v>12</v>
      </c>
      <c r="I5333" s="0" t="s">
        <v>17792</v>
      </c>
      <c r="J5333" s="0" t="s">
        <v>17793</v>
      </c>
      <c r="K5333" s="0" t="s">
        <v>17794</v>
      </c>
      <c r="L5333" s="0" t="str">
        <f aca="false">HYPERLINK("https://www.ncbi.nlm.nih.gov/nuccore/CP000058.1?report=graph&amp;tracks=[key:gene_model_track,Options:GeneOnly]&amp;mk=1675077:1675096|offset_12|00cc00,1675040:1675059|offset_49|444444,1675010:1675029|offset_79|444444,1674968:1674987|offset_121|444444&amp;v=1674876:1675187&amp;c=444444", "offset 12")</f>
        <v>offset 12</v>
      </c>
    </row>
    <row r="5334" customFormat="false" ht="12.8" hidden="false" customHeight="false" outlineLevel="0" collapsed="false">
      <c r="A5334" s="0" t="s">
        <v>12</v>
      </c>
      <c r="B5334" s="0" t="n">
        <v>1675039</v>
      </c>
      <c r="C5334" s="0" t="n">
        <v>1675059</v>
      </c>
      <c r="D5334" s="0" t="s">
        <v>17791</v>
      </c>
      <c r="E5334" s="0" t="s">
        <v>75</v>
      </c>
      <c r="F5334" s="0" t="s">
        <v>90</v>
      </c>
      <c r="G5334" s="0" t="s">
        <v>16</v>
      </c>
      <c r="H5334" s="0" t="n">
        <v>49</v>
      </c>
      <c r="I5334" s="0" t="s">
        <v>17795</v>
      </c>
      <c r="J5334" s="0" t="s">
        <v>17796</v>
      </c>
      <c r="K5334" s="0" t="s">
        <v>17797</v>
      </c>
      <c r="L5334" s="0" t="str">
        <f aca="false">HYPERLINK("https://www.ncbi.nlm.nih.gov/nuccore/CP000058.1?report=graph&amp;tracks=[key:gene_model_track,Options:GeneOnly]&amp;mk=1675077:1675096|offset_12|444444,1675040:1675059|offset_49|00cc00,1675010:1675029|offset_79|444444,1674968:1674987|offset_121|444444&amp;v=1674876:1675187&amp;c=444444", "offset 49")</f>
        <v>offset 49</v>
      </c>
    </row>
    <row r="5335" customFormat="false" ht="12.8" hidden="false" customHeight="false" outlineLevel="0" collapsed="false">
      <c r="A5335" s="0" t="s">
        <v>12</v>
      </c>
      <c r="B5335" s="0" t="n">
        <v>1675009</v>
      </c>
      <c r="C5335" s="0" t="n">
        <v>1675029</v>
      </c>
      <c r="D5335" s="0" t="s">
        <v>17791</v>
      </c>
      <c r="E5335" s="0" t="s">
        <v>75</v>
      </c>
      <c r="F5335" s="0" t="s">
        <v>90</v>
      </c>
      <c r="G5335" s="0" t="s">
        <v>16</v>
      </c>
      <c r="H5335" s="0" t="n">
        <v>79</v>
      </c>
      <c r="I5335" s="0" t="s">
        <v>17798</v>
      </c>
      <c r="J5335" s="0" t="s">
        <v>17799</v>
      </c>
      <c r="K5335" s="0" t="s">
        <v>17800</v>
      </c>
      <c r="L5335" s="0" t="str">
        <f aca="false">HYPERLINK("https://www.ncbi.nlm.nih.gov/nuccore/CP000058.1?report=graph&amp;tracks=[key:gene_model_track,Options:GeneOnly]&amp;mk=1675077:1675096|offset_12|444444,1675040:1675059|offset_49|444444,1675010:1675029|offset_79|00cc00,1674968:1674987|offset_121|444444&amp;v=1674876:1675187&amp;c=444444", "offset 79")</f>
        <v>offset 79</v>
      </c>
    </row>
    <row r="5336" customFormat="false" ht="12.8" hidden="false" customHeight="false" outlineLevel="0" collapsed="false">
      <c r="A5336" s="0" t="s">
        <v>12</v>
      </c>
      <c r="B5336" s="0" t="n">
        <v>1674967</v>
      </c>
      <c r="C5336" s="0" t="n">
        <v>1674987</v>
      </c>
      <c r="D5336" s="0" t="s">
        <v>17791</v>
      </c>
      <c r="E5336" s="0" t="s">
        <v>75</v>
      </c>
      <c r="F5336" s="0" t="s">
        <v>90</v>
      </c>
      <c r="G5336" s="0" t="s">
        <v>16</v>
      </c>
      <c r="H5336" s="0" t="n">
        <v>121</v>
      </c>
      <c r="I5336" s="0" t="s">
        <v>17801</v>
      </c>
      <c r="J5336" s="0" t="s">
        <v>17802</v>
      </c>
      <c r="K5336" s="0" t="s">
        <v>17803</v>
      </c>
      <c r="L5336" s="0" t="str">
        <f aca="false">HYPERLINK("https://www.ncbi.nlm.nih.gov/nuccore/CP000058.1?report=graph&amp;tracks=[key:gene_model_track,Options:GeneOnly]&amp;mk=1675077:1675096|offset_12|444444,1675040:1675059|offset_49|444444,1675010:1675029|offset_79|444444,1674968:1674987|offset_121|00cc00&amp;v=1674876:1675187&amp;c=444444", "offset 121")</f>
        <v>offset 121</v>
      </c>
    </row>
    <row r="5337" customFormat="false" ht="12.8" hidden="false" customHeight="false" outlineLevel="0" collapsed="false">
      <c r="A5337" s="0" t="s">
        <v>12</v>
      </c>
      <c r="B5337" s="0" t="n">
        <v>1675214</v>
      </c>
      <c r="C5337" s="0" t="n">
        <v>1675234</v>
      </c>
      <c r="D5337" s="0" t="s">
        <v>17804</v>
      </c>
      <c r="E5337" s="0" t="s">
        <v>75</v>
      </c>
      <c r="F5337" s="0" t="s">
        <v>15</v>
      </c>
      <c r="G5337" s="0" t="s">
        <v>20</v>
      </c>
      <c r="H5337" s="0" t="n">
        <v>9</v>
      </c>
      <c r="I5337" s="0" t="s">
        <v>17805</v>
      </c>
      <c r="J5337" s="0" t="s">
        <v>17806</v>
      </c>
      <c r="K5337" s="0" t="s">
        <v>17807</v>
      </c>
      <c r="L5337" s="0" t="str">
        <f aca="false">HYPERLINK("https://www.ncbi.nlm.nih.gov/nuccore/CP000058.1?report=graph&amp;tracks=[key:gene_model_track,Options:GeneOnly]&amp;mk=1675215:1675234|offset_9|00cc00,1675235:1675254|offset_29|444444,1675318:1675337|offset_112|444444,1675345:1675364|offset_139|444444&amp;v=1675014:1675564&amp;c=444444", "offset 9")</f>
        <v>offset 9</v>
      </c>
    </row>
    <row r="5338" customFormat="false" ht="12.8" hidden="false" customHeight="false" outlineLevel="0" collapsed="false">
      <c r="A5338" s="0" t="s">
        <v>12</v>
      </c>
      <c r="B5338" s="0" t="n">
        <v>1675234</v>
      </c>
      <c r="C5338" s="0" t="n">
        <v>1675254</v>
      </c>
      <c r="D5338" s="0" t="s">
        <v>17804</v>
      </c>
      <c r="E5338" s="0" t="s">
        <v>75</v>
      </c>
      <c r="F5338" s="0" t="s">
        <v>15</v>
      </c>
      <c r="G5338" s="0" t="s">
        <v>36</v>
      </c>
      <c r="H5338" s="0" t="n">
        <v>29</v>
      </c>
      <c r="I5338" s="0" t="s">
        <v>17808</v>
      </c>
      <c r="J5338" s="0" t="s">
        <v>17809</v>
      </c>
      <c r="K5338" s="0" t="s">
        <v>17810</v>
      </c>
      <c r="L5338" s="0" t="str">
        <f aca="false">HYPERLINK("https://www.ncbi.nlm.nih.gov/nuccore/CP000058.1?report=graph&amp;tracks=[key:gene_model_track,Options:GeneOnly]&amp;mk=1675215:1675234|offset_9|444444,1675235:1675254|offset_29|00cc00,1675318:1675337|offset_112|444444,1675345:1675364|offset_139|444444&amp;v=1675014:1675564&amp;c=444444", "offset 29")</f>
        <v>offset 29</v>
      </c>
    </row>
    <row r="5339" customFormat="false" ht="12.8" hidden="false" customHeight="false" outlineLevel="0" collapsed="false">
      <c r="A5339" s="0" t="s">
        <v>12</v>
      </c>
      <c r="B5339" s="0" t="n">
        <v>1675317</v>
      </c>
      <c r="C5339" s="0" t="n">
        <v>1675337</v>
      </c>
      <c r="D5339" s="0" t="s">
        <v>17804</v>
      </c>
      <c r="E5339" s="0" t="s">
        <v>75</v>
      </c>
      <c r="F5339" s="0" t="s">
        <v>15</v>
      </c>
      <c r="G5339" s="0" t="s">
        <v>16</v>
      </c>
      <c r="H5339" s="0" t="n">
        <v>112</v>
      </c>
      <c r="I5339" s="0" t="s">
        <v>17811</v>
      </c>
      <c r="J5339" s="0" t="s">
        <v>17812</v>
      </c>
      <c r="K5339" s="0" t="s">
        <v>17813</v>
      </c>
      <c r="L5339" s="0" t="str">
        <f aca="false">HYPERLINK("https://www.ncbi.nlm.nih.gov/nuccore/CP000058.1?report=graph&amp;tracks=[key:gene_model_track,Options:GeneOnly]&amp;mk=1675215:1675234|offset_9|444444,1675235:1675254|offset_29|444444,1675318:1675337|offset_112|00cc00,1675345:1675364|offset_139|444444&amp;v=1675014:1675564&amp;c=444444", "offset 112")</f>
        <v>offset 112</v>
      </c>
    </row>
    <row r="5340" customFormat="false" ht="12.8" hidden="false" customHeight="false" outlineLevel="0" collapsed="false">
      <c r="A5340" s="0" t="s">
        <v>12</v>
      </c>
      <c r="B5340" s="0" t="n">
        <v>1675344</v>
      </c>
      <c r="C5340" s="0" t="n">
        <v>1675364</v>
      </c>
      <c r="D5340" s="0" t="s">
        <v>17804</v>
      </c>
      <c r="E5340" s="0" t="s">
        <v>75</v>
      </c>
      <c r="F5340" s="0" t="s">
        <v>15</v>
      </c>
      <c r="G5340" s="0" t="s">
        <v>32</v>
      </c>
      <c r="H5340" s="0" t="n">
        <v>139</v>
      </c>
      <c r="I5340" s="0" t="s">
        <v>17814</v>
      </c>
      <c r="J5340" s="0" t="s">
        <v>17815</v>
      </c>
      <c r="K5340" s="0" t="s">
        <v>17816</v>
      </c>
      <c r="L5340" s="0" t="str">
        <f aca="false">HYPERLINK("https://www.ncbi.nlm.nih.gov/nuccore/CP000058.1?report=graph&amp;tracks=[key:gene_model_track,Options:GeneOnly]&amp;mk=1675215:1675234|offset_9|444444,1675235:1675254|offset_29|444444,1675318:1675337|offset_112|444444,1675345:1675364|offset_139|00cc00&amp;v=1675014:1675564&amp;c=444444", "offset 139")</f>
        <v>offset 139</v>
      </c>
    </row>
    <row r="5341" customFormat="false" ht="12.8" hidden="false" customHeight="false" outlineLevel="0" collapsed="false">
      <c r="A5341" s="0" t="s">
        <v>12</v>
      </c>
      <c r="B5341" s="0" t="n">
        <v>1675710</v>
      </c>
      <c r="C5341" s="0" t="n">
        <v>1675730</v>
      </c>
      <c r="D5341" s="0" t="s">
        <v>17817</v>
      </c>
      <c r="E5341" s="0" t="s">
        <v>75</v>
      </c>
      <c r="F5341" s="0" t="s">
        <v>15</v>
      </c>
      <c r="G5341" s="0" t="s">
        <v>16</v>
      </c>
      <c r="H5341" s="0" t="n">
        <v>60</v>
      </c>
      <c r="I5341" s="0" t="s">
        <v>17818</v>
      </c>
      <c r="J5341" s="0" t="s">
        <v>17819</v>
      </c>
      <c r="K5341" s="0" t="s">
        <v>17820</v>
      </c>
      <c r="L5341" s="0" t="str">
        <f aca="false">HYPERLINK("https://www.ncbi.nlm.nih.gov/nuccore/CP000058.1?report=graph&amp;tracks=[key:gene_model_track,Options:GeneOnly]&amp;mk=1675711:1675730|offset_60|00cc00&amp;v=1675510:1675930&amp;c=444444", "offset 60")</f>
        <v>offset 60</v>
      </c>
    </row>
    <row r="5342" customFormat="false" ht="12.8" hidden="false" customHeight="false" outlineLevel="0" collapsed="false">
      <c r="A5342" s="0" t="s">
        <v>12</v>
      </c>
      <c r="B5342" s="0" t="n">
        <v>1680604</v>
      </c>
      <c r="C5342" s="0" t="n">
        <v>1680624</v>
      </c>
      <c r="D5342" s="0" t="s">
        <v>17821</v>
      </c>
      <c r="E5342" s="0" t="s">
        <v>75</v>
      </c>
      <c r="F5342" s="0" t="s">
        <v>90</v>
      </c>
      <c r="G5342" s="0" t="s">
        <v>32</v>
      </c>
      <c r="H5342" s="0" t="n">
        <v>1</v>
      </c>
      <c r="I5342" s="0" t="s">
        <v>17822</v>
      </c>
      <c r="J5342" s="0" t="s">
        <v>17823</v>
      </c>
      <c r="K5342" s="0" t="s">
        <v>17824</v>
      </c>
      <c r="L5342" s="0" t="str">
        <f aca="false">HYPERLINK("https://www.ncbi.nlm.nih.gov/nuccore/CP000058.1?report=graph&amp;tracks=[key:gene_model_track,Options:GeneOnly]&amp;mk=1680605:1680624|offset_1|00cc00,1680542:1680561|offset_64|444444,1680482:1680501|offset_124|444444,1680450:1680469|offset_156|444444&amp;v=1680404:1680669&amp;c=444444", "offset 1")</f>
        <v>offset 1</v>
      </c>
    </row>
    <row r="5343" customFormat="false" ht="12.8" hidden="false" customHeight="false" outlineLevel="0" collapsed="false">
      <c r="A5343" s="0" t="s">
        <v>12</v>
      </c>
      <c r="B5343" s="0" t="n">
        <v>1680541</v>
      </c>
      <c r="C5343" s="0" t="n">
        <v>1680561</v>
      </c>
      <c r="D5343" s="0" t="s">
        <v>17821</v>
      </c>
      <c r="E5343" s="0" t="s">
        <v>75</v>
      </c>
      <c r="F5343" s="0" t="s">
        <v>90</v>
      </c>
      <c r="G5343" s="0" t="s">
        <v>32</v>
      </c>
      <c r="H5343" s="0" t="n">
        <v>64</v>
      </c>
      <c r="I5343" s="0" t="s">
        <v>17825</v>
      </c>
      <c r="J5343" s="0" t="s">
        <v>17826</v>
      </c>
      <c r="K5343" s="0" t="s">
        <v>17827</v>
      </c>
      <c r="L5343" s="0" t="str">
        <f aca="false">HYPERLINK("https://www.ncbi.nlm.nih.gov/nuccore/CP000058.1?report=graph&amp;tracks=[key:gene_model_track,Options:GeneOnly]&amp;mk=1680605:1680624|offset_1|444444,1680542:1680561|offset_64|00cc00,1680482:1680501|offset_124|444444,1680450:1680469|offset_156|444444&amp;v=1680404:1680669&amp;c=444444", "offset 64")</f>
        <v>offset 64</v>
      </c>
    </row>
    <row r="5344" customFormat="false" ht="12.8" hidden="false" customHeight="false" outlineLevel="0" collapsed="false">
      <c r="A5344" s="0" t="s">
        <v>12</v>
      </c>
      <c r="B5344" s="0" t="n">
        <v>1680481</v>
      </c>
      <c r="C5344" s="0" t="n">
        <v>1680501</v>
      </c>
      <c r="D5344" s="0" t="s">
        <v>17821</v>
      </c>
      <c r="E5344" s="0" t="s">
        <v>75</v>
      </c>
      <c r="F5344" s="0" t="s">
        <v>90</v>
      </c>
      <c r="G5344" s="0" t="s">
        <v>16</v>
      </c>
      <c r="H5344" s="0" t="n">
        <v>124</v>
      </c>
      <c r="I5344" s="0" t="s">
        <v>17828</v>
      </c>
      <c r="J5344" s="0" t="s">
        <v>17829</v>
      </c>
      <c r="K5344" s="0" t="s">
        <v>17830</v>
      </c>
      <c r="L5344" s="0" t="str">
        <f aca="false">HYPERLINK("https://www.ncbi.nlm.nih.gov/nuccore/CP000058.1?report=graph&amp;tracks=[key:gene_model_track,Options:GeneOnly]&amp;mk=1680605:1680624|offset_1|444444,1680542:1680561|offset_64|444444,1680482:1680501|offset_124|00cc00,1680450:1680469|offset_156|444444&amp;v=1680404:1680669&amp;c=444444", "offset 124")</f>
        <v>offset 124</v>
      </c>
    </row>
    <row r="5345" customFormat="false" ht="12.8" hidden="false" customHeight="false" outlineLevel="0" collapsed="false">
      <c r="A5345" s="0" t="s">
        <v>12</v>
      </c>
      <c r="B5345" s="0" t="n">
        <v>1680449</v>
      </c>
      <c r="C5345" s="0" t="n">
        <v>1680469</v>
      </c>
      <c r="D5345" s="0" t="s">
        <v>17821</v>
      </c>
      <c r="E5345" s="0" t="s">
        <v>75</v>
      </c>
      <c r="F5345" s="0" t="s">
        <v>90</v>
      </c>
      <c r="G5345" s="0" t="s">
        <v>20</v>
      </c>
      <c r="H5345" s="0" t="n">
        <v>156</v>
      </c>
      <c r="I5345" s="0" t="s">
        <v>17831</v>
      </c>
      <c r="J5345" s="0" t="s">
        <v>17832</v>
      </c>
      <c r="K5345" s="0" t="s">
        <v>17833</v>
      </c>
      <c r="L5345" s="0" t="str">
        <f aca="false">HYPERLINK("https://www.ncbi.nlm.nih.gov/nuccore/CP000058.1?report=graph&amp;tracks=[key:gene_model_track,Options:GeneOnly]&amp;mk=1680605:1680624|offset_1|444444,1680542:1680561|offset_64|444444,1680482:1680501|offset_124|444444,1680450:1680469|offset_156|00cc00&amp;v=1680404:1680669&amp;c=444444", "offset 156")</f>
        <v>offset 156</v>
      </c>
    </row>
    <row r="5346" customFormat="false" ht="12.8" hidden="false" customHeight="false" outlineLevel="0" collapsed="false">
      <c r="A5346" s="0" t="s">
        <v>12</v>
      </c>
      <c r="B5346" s="0" t="n">
        <v>1680940</v>
      </c>
      <c r="C5346" s="0" t="n">
        <v>1680960</v>
      </c>
      <c r="D5346" s="0" t="s">
        <v>17834</v>
      </c>
      <c r="E5346" s="0" t="s">
        <v>75</v>
      </c>
      <c r="F5346" s="0" t="s">
        <v>15</v>
      </c>
      <c r="G5346" s="0" t="s">
        <v>20</v>
      </c>
      <c r="H5346" s="0" t="n">
        <v>50</v>
      </c>
      <c r="I5346" s="0" t="s">
        <v>17835</v>
      </c>
      <c r="J5346" s="0" t="s">
        <v>17836</v>
      </c>
      <c r="K5346" s="0" t="s">
        <v>17837</v>
      </c>
      <c r="L5346" s="0" t="str">
        <f aca="false">HYPERLINK("https://www.ncbi.nlm.nih.gov/nuccore/CP000058.1?report=graph&amp;tracks=[key:gene_model_track,Options:GeneOnly]&amp;mk=1680941:1680960|offset_50|00cc00,1680961:1680980|offset_70|444444,1680995:1681014|offset_104|444444,1681025:1681044|offset_134|444444&amp;v=1680740:1681244&amp;c=444444", "offset 50")</f>
        <v>offset 50</v>
      </c>
    </row>
    <row r="5347" customFormat="false" ht="12.8" hidden="false" customHeight="false" outlineLevel="0" collapsed="false">
      <c r="A5347" s="0" t="s">
        <v>12</v>
      </c>
      <c r="B5347" s="0" t="n">
        <v>1680960</v>
      </c>
      <c r="C5347" s="0" t="n">
        <v>1680980</v>
      </c>
      <c r="D5347" s="0" t="s">
        <v>17834</v>
      </c>
      <c r="E5347" s="0" t="s">
        <v>75</v>
      </c>
      <c r="F5347" s="0" t="s">
        <v>15</v>
      </c>
      <c r="G5347" s="0" t="s">
        <v>16</v>
      </c>
      <c r="H5347" s="0" t="n">
        <v>70</v>
      </c>
      <c r="I5347" s="0" t="s">
        <v>17838</v>
      </c>
      <c r="J5347" s="0" t="s">
        <v>17839</v>
      </c>
      <c r="K5347" s="0" t="s">
        <v>17840</v>
      </c>
      <c r="L5347" s="0" t="str">
        <f aca="false">HYPERLINK("https://www.ncbi.nlm.nih.gov/nuccore/CP000058.1?report=graph&amp;tracks=[key:gene_model_track,Options:GeneOnly]&amp;mk=1680941:1680960|offset_50|444444,1680961:1680980|offset_70|00cc00,1680995:1681014|offset_104|444444,1681025:1681044|offset_134|444444&amp;v=1680740:1681244&amp;c=444444", "offset 70")</f>
        <v>offset 70</v>
      </c>
    </row>
    <row r="5348" customFormat="false" ht="12.8" hidden="false" customHeight="false" outlineLevel="0" collapsed="false">
      <c r="A5348" s="0" t="s">
        <v>12</v>
      </c>
      <c r="B5348" s="0" t="n">
        <v>1680994</v>
      </c>
      <c r="C5348" s="0" t="n">
        <v>1681014</v>
      </c>
      <c r="D5348" s="0" t="s">
        <v>17834</v>
      </c>
      <c r="E5348" s="0" t="s">
        <v>75</v>
      </c>
      <c r="F5348" s="0" t="s">
        <v>15</v>
      </c>
      <c r="G5348" s="0" t="s">
        <v>16</v>
      </c>
      <c r="H5348" s="0" t="n">
        <v>104</v>
      </c>
      <c r="I5348" s="0" t="s">
        <v>17841</v>
      </c>
      <c r="J5348" s="0" t="s">
        <v>17842</v>
      </c>
      <c r="K5348" s="0" t="s">
        <v>17843</v>
      </c>
      <c r="L5348" s="0" t="str">
        <f aca="false">HYPERLINK("https://www.ncbi.nlm.nih.gov/nuccore/CP000058.1?report=graph&amp;tracks=[key:gene_model_track,Options:GeneOnly]&amp;mk=1680941:1680960|offset_50|444444,1680961:1680980|offset_70|444444,1680995:1681014|offset_104|00cc00,1681025:1681044|offset_134|444444&amp;v=1680740:1681244&amp;c=444444", "offset 104")</f>
        <v>offset 104</v>
      </c>
    </row>
    <row r="5349" customFormat="false" ht="12.8" hidden="false" customHeight="false" outlineLevel="0" collapsed="false">
      <c r="A5349" s="0" t="s">
        <v>12</v>
      </c>
      <c r="B5349" s="0" t="n">
        <v>1681024</v>
      </c>
      <c r="C5349" s="0" t="n">
        <v>1681044</v>
      </c>
      <c r="D5349" s="0" t="s">
        <v>17834</v>
      </c>
      <c r="E5349" s="0" t="s">
        <v>75</v>
      </c>
      <c r="F5349" s="0" t="s">
        <v>15</v>
      </c>
      <c r="G5349" s="0" t="s">
        <v>36</v>
      </c>
      <c r="H5349" s="0" t="n">
        <v>134</v>
      </c>
      <c r="I5349" s="0" t="s">
        <v>17844</v>
      </c>
      <c r="J5349" s="0" t="s">
        <v>17845</v>
      </c>
      <c r="K5349" s="0" t="s">
        <v>17846</v>
      </c>
      <c r="L5349" s="0" t="str">
        <f aca="false">HYPERLINK("https://www.ncbi.nlm.nih.gov/nuccore/CP000058.1?report=graph&amp;tracks=[key:gene_model_track,Options:GeneOnly]&amp;mk=1680941:1680960|offset_50|444444,1680961:1680980|offset_70|444444,1680995:1681014|offset_104|444444,1681025:1681044|offset_134|00cc00&amp;v=1680740:1681244&amp;c=444444", "offset 134")</f>
        <v>offset 134</v>
      </c>
    </row>
    <row r="5350" customFormat="false" ht="12.8" hidden="false" customHeight="false" outlineLevel="0" collapsed="false">
      <c r="A5350" s="0" t="s">
        <v>12</v>
      </c>
      <c r="B5350" s="0" t="n">
        <v>1682451</v>
      </c>
      <c r="C5350" s="0" t="n">
        <v>1682471</v>
      </c>
      <c r="D5350" s="0" t="s">
        <v>17847</v>
      </c>
      <c r="E5350" s="0" t="s">
        <v>75</v>
      </c>
      <c r="F5350" s="0" t="s">
        <v>90</v>
      </c>
      <c r="G5350" s="0" t="s">
        <v>16</v>
      </c>
      <c r="H5350" s="0" t="n">
        <v>41</v>
      </c>
      <c r="I5350" s="0" t="s">
        <v>17848</v>
      </c>
      <c r="J5350" s="0" t="s">
        <v>17849</v>
      </c>
      <c r="K5350" s="0" t="s">
        <v>17850</v>
      </c>
      <c r="L5350" s="0" t="str">
        <f aca="false">HYPERLINK("https://www.ncbi.nlm.nih.gov/nuccore/CP000058.1?report=graph&amp;tracks=[key:gene_model_track,Options:GeneOnly]&amp;mk=1682452:1682471|offset_41|00cc00,1682414:1682433|offset_79|444444,1682387:1682406|offset_106|444444,1682361:1682380|offset_132|444444&amp;v=1682251:1682580&amp;c=444444", "offset 41")</f>
        <v>offset 41</v>
      </c>
    </row>
    <row r="5351" customFormat="false" ht="12.8" hidden="false" customHeight="false" outlineLevel="0" collapsed="false">
      <c r="A5351" s="0" t="s">
        <v>12</v>
      </c>
      <c r="B5351" s="0" t="n">
        <v>1682413</v>
      </c>
      <c r="C5351" s="0" t="n">
        <v>1682433</v>
      </c>
      <c r="D5351" s="0" t="s">
        <v>17847</v>
      </c>
      <c r="E5351" s="0" t="s">
        <v>75</v>
      </c>
      <c r="F5351" s="0" t="s">
        <v>90</v>
      </c>
      <c r="G5351" s="0" t="s">
        <v>16</v>
      </c>
      <c r="H5351" s="0" t="n">
        <v>79</v>
      </c>
      <c r="I5351" s="0" t="s">
        <v>17851</v>
      </c>
      <c r="J5351" s="0" t="s">
        <v>17852</v>
      </c>
      <c r="K5351" s="0" t="s">
        <v>17853</v>
      </c>
      <c r="L5351" s="0" t="str">
        <f aca="false">HYPERLINK("https://www.ncbi.nlm.nih.gov/nuccore/CP000058.1?report=graph&amp;tracks=[key:gene_model_track,Options:GeneOnly]&amp;mk=1682452:1682471|offset_41|444444,1682414:1682433|offset_79|00cc00,1682387:1682406|offset_106|444444,1682361:1682380|offset_132|444444&amp;v=1682251:1682580&amp;c=444444", "offset 79")</f>
        <v>offset 79</v>
      </c>
    </row>
    <row r="5352" customFormat="false" ht="12.8" hidden="false" customHeight="false" outlineLevel="0" collapsed="false">
      <c r="A5352" s="0" t="s">
        <v>12</v>
      </c>
      <c r="B5352" s="0" t="n">
        <v>1682386</v>
      </c>
      <c r="C5352" s="0" t="n">
        <v>1682406</v>
      </c>
      <c r="D5352" s="0" t="s">
        <v>17847</v>
      </c>
      <c r="E5352" s="0" t="s">
        <v>75</v>
      </c>
      <c r="F5352" s="0" t="s">
        <v>90</v>
      </c>
      <c r="G5352" s="0" t="s">
        <v>32</v>
      </c>
      <c r="H5352" s="0" t="n">
        <v>106</v>
      </c>
      <c r="I5352" s="0" t="s">
        <v>17854</v>
      </c>
      <c r="J5352" s="0" t="s">
        <v>17855</v>
      </c>
      <c r="K5352" s="0" t="s">
        <v>17856</v>
      </c>
      <c r="L5352" s="0" t="str">
        <f aca="false">HYPERLINK("https://www.ncbi.nlm.nih.gov/nuccore/CP000058.1?report=graph&amp;tracks=[key:gene_model_track,Options:GeneOnly]&amp;mk=1682452:1682471|offset_41|444444,1682414:1682433|offset_79|444444,1682387:1682406|offset_106|00cc00,1682361:1682380|offset_132|444444&amp;v=1682251:1682580&amp;c=444444", "offset 106")</f>
        <v>offset 106</v>
      </c>
    </row>
    <row r="5353" customFormat="false" ht="12.8" hidden="false" customHeight="false" outlineLevel="0" collapsed="false">
      <c r="A5353" s="0" t="s">
        <v>12</v>
      </c>
      <c r="B5353" s="0" t="n">
        <v>1682360</v>
      </c>
      <c r="C5353" s="0" t="n">
        <v>1682380</v>
      </c>
      <c r="D5353" s="0" t="s">
        <v>17847</v>
      </c>
      <c r="E5353" s="0" t="s">
        <v>75</v>
      </c>
      <c r="F5353" s="0" t="s">
        <v>90</v>
      </c>
      <c r="G5353" s="0" t="s">
        <v>16</v>
      </c>
      <c r="H5353" s="0" t="n">
        <v>132</v>
      </c>
      <c r="I5353" s="0" t="s">
        <v>17857</v>
      </c>
      <c r="J5353" s="0" t="s">
        <v>17858</v>
      </c>
      <c r="K5353" s="0" t="s">
        <v>17859</v>
      </c>
      <c r="L5353" s="0" t="str">
        <f aca="false">HYPERLINK("https://www.ncbi.nlm.nih.gov/nuccore/CP000058.1?report=graph&amp;tracks=[key:gene_model_track,Options:GeneOnly]&amp;mk=1682452:1682471|offset_41|444444,1682414:1682433|offset_79|444444,1682387:1682406|offset_106|444444,1682361:1682380|offset_132|00cc00&amp;v=1682251:1682580&amp;c=444444", "offset 132")</f>
        <v>offset 132</v>
      </c>
    </row>
    <row r="5354" customFormat="false" ht="12.8" hidden="false" customHeight="false" outlineLevel="0" collapsed="false">
      <c r="A5354" s="0" t="s">
        <v>12</v>
      </c>
      <c r="B5354" s="0" t="n">
        <v>1682949</v>
      </c>
      <c r="C5354" s="0" t="n">
        <v>1682969</v>
      </c>
      <c r="D5354" s="0" t="s">
        <v>17860</v>
      </c>
      <c r="E5354" s="0" t="s">
        <v>75</v>
      </c>
      <c r="F5354" s="0" t="s">
        <v>90</v>
      </c>
      <c r="G5354" s="0" t="s">
        <v>32</v>
      </c>
      <c r="H5354" s="0" t="n">
        <v>28</v>
      </c>
      <c r="I5354" s="0" t="s">
        <v>17861</v>
      </c>
      <c r="J5354" s="0" t="s">
        <v>17862</v>
      </c>
      <c r="K5354" s="0" t="s">
        <v>17863</v>
      </c>
      <c r="L5354" s="0" t="str">
        <f aca="false">HYPERLINK("https://www.ncbi.nlm.nih.gov/nuccore/CP000058.1?report=graph&amp;tracks=[key:gene_model_track,Options:GeneOnly]&amp;mk=1682950:1682969|offset_28|00cc00,1682902:1682921|offset_76|444444,1682863:1682882|offset_115|444444,1682828:1682847|offset_150|444444&amp;v=1682749:1683047&amp;c=444444", "offset 28")</f>
        <v>offset 28</v>
      </c>
    </row>
    <row r="5355" customFormat="false" ht="12.8" hidden="false" customHeight="false" outlineLevel="0" collapsed="false">
      <c r="A5355" s="0" t="s">
        <v>12</v>
      </c>
      <c r="B5355" s="0" t="n">
        <v>1682901</v>
      </c>
      <c r="C5355" s="0" t="n">
        <v>1682921</v>
      </c>
      <c r="D5355" s="0" t="s">
        <v>17860</v>
      </c>
      <c r="E5355" s="0" t="s">
        <v>75</v>
      </c>
      <c r="F5355" s="0" t="s">
        <v>90</v>
      </c>
      <c r="G5355" s="0" t="s">
        <v>32</v>
      </c>
      <c r="H5355" s="0" t="n">
        <v>76</v>
      </c>
      <c r="I5355" s="0" t="s">
        <v>17864</v>
      </c>
      <c r="J5355" s="0" t="s">
        <v>17865</v>
      </c>
      <c r="K5355" s="0" t="s">
        <v>17866</v>
      </c>
      <c r="L5355" s="0" t="str">
        <f aca="false">HYPERLINK("https://www.ncbi.nlm.nih.gov/nuccore/CP000058.1?report=graph&amp;tracks=[key:gene_model_track,Options:GeneOnly]&amp;mk=1682950:1682969|offset_28|444444,1682902:1682921|offset_76|00cc00,1682863:1682882|offset_115|444444,1682828:1682847|offset_150|444444&amp;v=1682749:1683047&amp;c=444444", "offset 76")</f>
        <v>offset 76</v>
      </c>
    </row>
    <row r="5356" customFormat="false" ht="12.8" hidden="false" customHeight="false" outlineLevel="0" collapsed="false">
      <c r="A5356" s="0" t="s">
        <v>12</v>
      </c>
      <c r="B5356" s="0" t="n">
        <v>1682862</v>
      </c>
      <c r="C5356" s="0" t="n">
        <v>1682882</v>
      </c>
      <c r="D5356" s="0" t="s">
        <v>17860</v>
      </c>
      <c r="E5356" s="0" t="s">
        <v>75</v>
      </c>
      <c r="F5356" s="0" t="s">
        <v>90</v>
      </c>
      <c r="G5356" s="0" t="s">
        <v>16</v>
      </c>
      <c r="H5356" s="0" t="n">
        <v>115</v>
      </c>
      <c r="I5356" s="0" t="s">
        <v>17867</v>
      </c>
      <c r="J5356" s="0" t="s">
        <v>17868</v>
      </c>
      <c r="K5356" s="0" t="s">
        <v>17869</v>
      </c>
      <c r="L5356" s="0" t="str">
        <f aca="false">HYPERLINK("https://www.ncbi.nlm.nih.gov/nuccore/CP000058.1?report=graph&amp;tracks=[key:gene_model_track,Options:GeneOnly]&amp;mk=1682950:1682969|offset_28|444444,1682902:1682921|offset_76|444444,1682863:1682882|offset_115|00cc00,1682828:1682847|offset_150|444444&amp;v=1682749:1683047&amp;c=444444", "offset 115")</f>
        <v>offset 115</v>
      </c>
    </row>
    <row r="5357" customFormat="false" ht="12.8" hidden="false" customHeight="false" outlineLevel="0" collapsed="false">
      <c r="A5357" s="0" t="s">
        <v>12</v>
      </c>
      <c r="B5357" s="0" t="n">
        <v>1682827</v>
      </c>
      <c r="C5357" s="0" t="n">
        <v>1682847</v>
      </c>
      <c r="D5357" s="0" t="s">
        <v>17860</v>
      </c>
      <c r="E5357" s="0" t="s">
        <v>75</v>
      </c>
      <c r="F5357" s="0" t="s">
        <v>90</v>
      </c>
      <c r="G5357" s="0" t="s">
        <v>16</v>
      </c>
      <c r="H5357" s="0" t="n">
        <v>150</v>
      </c>
      <c r="I5357" s="0" t="s">
        <v>17870</v>
      </c>
      <c r="J5357" s="0" t="s">
        <v>17871</v>
      </c>
      <c r="K5357" s="0" t="s">
        <v>17872</v>
      </c>
      <c r="L5357" s="0" t="str">
        <f aca="false">HYPERLINK("https://www.ncbi.nlm.nih.gov/nuccore/CP000058.1?report=graph&amp;tracks=[key:gene_model_track,Options:GeneOnly]&amp;mk=1682950:1682969|offset_28|444444,1682902:1682921|offset_76|444444,1682863:1682882|offset_115|444444,1682828:1682847|offset_150|00cc00&amp;v=1682749:1683047&amp;c=444444", "offset 150")</f>
        <v>offset 150</v>
      </c>
    </row>
    <row r="5358" customFormat="false" ht="12.8" hidden="false" customHeight="false" outlineLevel="0" collapsed="false">
      <c r="A5358" s="0" t="s">
        <v>12</v>
      </c>
      <c r="B5358" s="0" t="n">
        <v>1685260</v>
      </c>
      <c r="C5358" s="0" t="n">
        <v>1685280</v>
      </c>
      <c r="D5358" s="0" t="s">
        <v>17873</v>
      </c>
      <c r="E5358" s="0" t="s">
        <v>17874</v>
      </c>
      <c r="F5358" s="0" t="s">
        <v>15</v>
      </c>
      <c r="G5358" s="0" t="s">
        <v>32</v>
      </c>
      <c r="H5358" s="0" t="n">
        <v>59</v>
      </c>
      <c r="I5358" s="0" t="s">
        <v>17875</v>
      </c>
      <c r="J5358" s="0" t="s">
        <v>17876</v>
      </c>
      <c r="K5358" s="0" t="s">
        <v>17877</v>
      </c>
      <c r="L5358" s="0" t="str">
        <f aca="false">HYPERLINK("https://www.ncbi.nlm.nih.gov/nuccore/CP000058.1?report=graph&amp;tracks=[key:gene_model_track,Options:GeneOnly]&amp;mk=1685261:1685280|offset_59|00cc00,1685282:1685301|offset_80|444444,1685305:1685324|offset_103|444444,1685338:1685357|offset_136|444444&amp;v=1685060:1685557&amp;c=444444", "offset 59")</f>
        <v>offset 59</v>
      </c>
    </row>
    <row r="5359" customFormat="false" ht="12.8" hidden="false" customHeight="false" outlineLevel="0" collapsed="false">
      <c r="A5359" s="0" t="s">
        <v>12</v>
      </c>
      <c r="B5359" s="0" t="n">
        <v>1685281</v>
      </c>
      <c r="C5359" s="0" t="n">
        <v>1685301</v>
      </c>
      <c r="D5359" s="0" t="s">
        <v>17873</v>
      </c>
      <c r="E5359" s="0" t="s">
        <v>17874</v>
      </c>
      <c r="F5359" s="0" t="s">
        <v>15</v>
      </c>
      <c r="G5359" s="0" t="s">
        <v>36</v>
      </c>
      <c r="H5359" s="0" t="n">
        <v>80</v>
      </c>
      <c r="I5359" s="0" t="s">
        <v>17878</v>
      </c>
      <c r="J5359" s="0" t="s">
        <v>17879</v>
      </c>
      <c r="K5359" s="0" t="s">
        <v>17880</v>
      </c>
      <c r="L5359" s="0" t="str">
        <f aca="false">HYPERLINK("https://www.ncbi.nlm.nih.gov/nuccore/CP000058.1?report=graph&amp;tracks=[key:gene_model_track,Options:GeneOnly]&amp;mk=1685261:1685280|offset_59|444444,1685282:1685301|offset_80|00cc00,1685305:1685324|offset_103|444444,1685338:1685357|offset_136|444444&amp;v=1685060:1685557&amp;c=444444", "offset 80")</f>
        <v>offset 80</v>
      </c>
    </row>
    <row r="5360" customFormat="false" ht="12.8" hidden="false" customHeight="false" outlineLevel="0" collapsed="false">
      <c r="A5360" s="0" t="s">
        <v>12</v>
      </c>
      <c r="B5360" s="0" t="n">
        <v>1685304</v>
      </c>
      <c r="C5360" s="0" t="n">
        <v>1685324</v>
      </c>
      <c r="D5360" s="0" t="s">
        <v>17873</v>
      </c>
      <c r="E5360" s="0" t="s">
        <v>17874</v>
      </c>
      <c r="F5360" s="0" t="s">
        <v>15</v>
      </c>
      <c r="G5360" s="0" t="s">
        <v>32</v>
      </c>
      <c r="H5360" s="0" t="n">
        <v>103</v>
      </c>
      <c r="I5360" s="0" t="s">
        <v>17881</v>
      </c>
      <c r="J5360" s="0" t="s">
        <v>17882</v>
      </c>
      <c r="K5360" s="0" t="s">
        <v>17883</v>
      </c>
      <c r="L5360" s="0" t="str">
        <f aca="false">HYPERLINK("https://www.ncbi.nlm.nih.gov/nuccore/CP000058.1?report=graph&amp;tracks=[key:gene_model_track,Options:GeneOnly]&amp;mk=1685261:1685280|offset_59|444444,1685282:1685301|offset_80|444444,1685305:1685324|offset_103|00cc00,1685338:1685357|offset_136|444444&amp;v=1685060:1685557&amp;c=444444", "offset 103")</f>
        <v>offset 103</v>
      </c>
    </row>
    <row r="5361" customFormat="false" ht="12.8" hidden="false" customHeight="false" outlineLevel="0" collapsed="false">
      <c r="A5361" s="0" t="s">
        <v>12</v>
      </c>
      <c r="B5361" s="0" t="n">
        <v>1685337</v>
      </c>
      <c r="C5361" s="0" t="n">
        <v>1685357</v>
      </c>
      <c r="D5361" s="0" t="s">
        <v>17873</v>
      </c>
      <c r="E5361" s="0" t="s">
        <v>17874</v>
      </c>
      <c r="F5361" s="0" t="s">
        <v>15</v>
      </c>
      <c r="G5361" s="0" t="s">
        <v>20</v>
      </c>
      <c r="H5361" s="0" t="n">
        <v>136</v>
      </c>
      <c r="I5361" s="0" t="s">
        <v>17884</v>
      </c>
      <c r="J5361" s="0" t="s">
        <v>17885</v>
      </c>
      <c r="K5361" s="0" t="s">
        <v>17886</v>
      </c>
      <c r="L5361" s="0" t="str">
        <f aca="false">HYPERLINK("https://www.ncbi.nlm.nih.gov/nuccore/CP000058.1?report=graph&amp;tracks=[key:gene_model_track,Options:GeneOnly]&amp;mk=1685261:1685280|offset_59|444444,1685282:1685301|offset_80|444444,1685305:1685324|offset_103|444444,1685338:1685357|offset_136|00cc00&amp;v=1685060:1685557&amp;c=444444", "offset 136")</f>
        <v>offset 136</v>
      </c>
    </row>
    <row r="5362" customFormat="false" ht="12.8" hidden="false" customHeight="false" outlineLevel="0" collapsed="false">
      <c r="A5362" s="0" t="s">
        <v>12</v>
      </c>
      <c r="B5362" s="0" t="n">
        <v>1686407</v>
      </c>
      <c r="C5362" s="0" t="n">
        <v>1686427</v>
      </c>
      <c r="D5362" s="0" t="s">
        <v>17887</v>
      </c>
      <c r="E5362" s="0" t="s">
        <v>75</v>
      </c>
      <c r="F5362" s="0" t="s">
        <v>90</v>
      </c>
      <c r="G5362" s="0" t="s">
        <v>16</v>
      </c>
      <c r="H5362" s="0" t="n">
        <v>17</v>
      </c>
      <c r="I5362" s="0" t="s">
        <v>17888</v>
      </c>
      <c r="J5362" s="0" t="s">
        <v>17889</v>
      </c>
      <c r="K5362" s="0" t="s">
        <v>17890</v>
      </c>
      <c r="L5362" s="0" t="str">
        <f aca="false">HYPERLINK("https://www.ncbi.nlm.nih.gov/nuccore/CP000058.1?report=graph&amp;tracks=[key:gene_model_track,Options:GeneOnly]&amp;mk=1686408:1686427|offset_17|00cc00,1686345:1686364|offset_80|444444&amp;v=1686207:1686564&amp;c=444444", "offset 17")</f>
        <v>offset 17</v>
      </c>
    </row>
    <row r="5363" customFormat="false" ht="12.8" hidden="false" customHeight="false" outlineLevel="0" collapsed="false">
      <c r="A5363" s="0" t="s">
        <v>12</v>
      </c>
      <c r="B5363" s="0" t="n">
        <v>1686344</v>
      </c>
      <c r="C5363" s="0" t="n">
        <v>1686364</v>
      </c>
      <c r="D5363" s="0" t="s">
        <v>17887</v>
      </c>
      <c r="E5363" s="0" t="s">
        <v>75</v>
      </c>
      <c r="F5363" s="0" t="s">
        <v>90</v>
      </c>
      <c r="G5363" s="0" t="s">
        <v>32</v>
      </c>
      <c r="H5363" s="0" t="n">
        <v>80</v>
      </c>
      <c r="I5363" s="0" t="s">
        <v>17891</v>
      </c>
      <c r="J5363" s="0" t="s">
        <v>17892</v>
      </c>
      <c r="K5363" s="0" t="s">
        <v>17893</v>
      </c>
      <c r="L5363" s="0" t="str">
        <f aca="false">HYPERLINK("https://www.ncbi.nlm.nih.gov/nuccore/CP000058.1?report=graph&amp;tracks=[key:gene_model_track,Options:GeneOnly]&amp;mk=1686408:1686427|offset_17|444444,1686345:1686364|offset_80|00cc00&amp;v=1686207:1686564&amp;c=444444", "offset 80")</f>
        <v>offset 80</v>
      </c>
    </row>
    <row r="5364" customFormat="false" ht="12.8" hidden="false" customHeight="false" outlineLevel="0" collapsed="false">
      <c r="A5364" s="0" t="s">
        <v>12</v>
      </c>
      <c r="B5364" s="0" t="n">
        <v>1686953</v>
      </c>
      <c r="C5364" s="0" t="n">
        <v>1686973</v>
      </c>
      <c r="D5364" s="0" t="s">
        <v>17894</v>
      </c>
      <c r="E5364" s="0" t="s">
        <v>75</v>
      </c>
      <c r="F5364" s="0" t="s">
        <v>90</v>
      </c>
      <c r="G5364" s="0" t="s">
        <v>32</v>
      </c>
      <c r="H5364" s="0" t="n">
        <v>83</v>
      </c>
      <c r="I5364" s="0" t="s">
        <v>17895</v>
      </c>
      <c r="J5364" s="0" t="s">
        <v>17896</v>
      </c>
      <c r="K5364" s="0" t="s">
        <v>17897</v>
      </c>
      <c r="L5364" s="0" t="str">
        <f aca="false">HYPERLINK("https://www.ncbi.nlm.nih.gov/nuccore/CP000058.1?report=graph&amp;tracks=[key:gene_model_track,Options:GeneOnly]&amp;mk=1686954:1686973|offset_83|00cc00&amp;v=1686753:1687173&amp;c=444444", "offset 83")</f>
        <v>offset 83</v>
      </c>
    </row>
    <row r="5365" customFormat="false" ht="12.8" hidden="false" customHeight="false" outlineLevel="0" collapsed="false">
      <c r="A5365" s="0" t="s">
        <v>12</v>
      </c>
      <c r="B5365" s="0" t="n">
        <v>1689094</v>
      </c>
      <c r="C5365" s="0" t="n">
        <v>1689114</v>
      </c>
      <c r="D5365" s="0" t="s">
        <v>17898</v>
      </c>
      <c r="E5365" s="0" t="s">
        <v>75</v>
      </c>
      <c r="F5365" s="0" t="s">
        <v>90</v>
      </c>
      <c r="G5365" s="0" t="s">
        <v>16</v>
      </c>
      <c r="H5365" s="0" t="n">
        <v>25</v>
      </c>
      <c r="I5365" s="0" t="s">
        <v>17899</v>
      </c>
      <c r="J5365" s="0" t="s">
        <v>17900</v>
      </c>
      <c r="K5365" s="0" t="s">
        <v>17901</v>
      </c>
      <c r="L5365" s="0" t="str">
        <f aca="false">HYPERLINK("https://www.ncbi.nlm.nih.gov/nuccore/CP000058.1?report=graph&amp;tracks=[key:gene_model_track,Options:GeneOnly]&amp;mk=1689095:1689114|offset_25|00cc00,1689065:1689084|offset_55|444444,1689037:1689056|offset_83|444444,1689006:1689025|offset_114|444444&amp;v=1688894:1689225&amp;c=444444", "offset 25")</f>
        <v>offset 25</v>
      </c>
    </row>
    <row r="5366" customFormat="false" ht="12.8" hidden="false" customHeight="false" outlineLevel="0" collapsed="false">
      <c r="A5366" s="0" t="s">
        <v>12</v>
      </c>
      <c r="B5366" s="0" t="n">
        <v>1689064</v>
      </c>
      <c r="C5366" s="0" t="n">
        <v>1689084</v>
      </c>
      <c r="D5366" s="0" t="s">
        <v>17898</v>
      </c>
      <c r="E5366" s="0" t="s">
        <v>75</v>
      </c>
      <c r="F5366" s="0" t="s">
        <v>90</v>
      </c>
      <c r="G5366" s="0" t="s">
        <v>36</v>
      </c>
      <c r="H5366" s="0" t="n">
        <v>55</v>
      </c>
      <c r="I5366" s="0" t="s">
        <v>17902</v>
      </c>
      <c r="J5366" s="0" t="s">
        <v>17903</v>
      </c>
      <c r="K5366" s="0" t="s">
        <v>17904</v>
      </c>
      <c r="L5366" s="0" t="str">
        <f aca="false">HYPERLINK("https://www.ncbi.nlm.nih.gov/nuccore/CP000058.1?report=graph&amp;tracks=[key:gene_model_track,Options:GeneOnly]&amp;mk=1689095:1689114|offset_25|444444,1689065:1689084|offset_55|00cc00,1689037:1689056|offset_83|444444,1689006:1689025|offset_114|444444&amp;v=1688894:1689225&amp;c=444444", "offset 55")</f>
        <v>offset 55</v>
      </c>
    </row>
    <row r="5367" customFormat="false" ht="12.8" hidden="false" customHeight="false" outlineLevel="0" collapsed="false">
      <c r="A5367" s="0" t="s">
        <v>12</v>
      </c>
      <c r="B5367" s="0" t="n">
        <v>1689036</v>
      </c>
      <c r="C5367" s="0" t="n">
        <v>1689056</v>
      </c>
      <c r="D5367" s="0" t="s">
        <v>17898</v>
      </c>
      <c r="E5367" s="0" t="s">
        <v>75</v>
      </c>
      <c r="F5367" s="0" t="s">
        <v>90</v>
      </c>
      <c r="G5367" s="0" t="s">
        <v>36</v>
      </c>
      <c r="H5367" s="0" t="n">
        <v>83</v>
      </c>
      <c r="I5367" s="0" t="s">
        <v>17905</v>
      </c>
      <c r="J5367" s="0" t="s">
        <v>17906</v>
      </c>
      <c r="K5367" s="0" t="s">
        <v>17907</v>
      </c>
      <c r="L5367" s="0" t="str">
        <f aca="false">HYPERLINK("https://www.ncbi.nlm.nih.gov/nuccore/CP000058.1?report=graph&amp;tracks=[key:gene_model_track,Options:GeneOnly]&amp;mk=1689095:1689114|offset_25|444444,1689065:1689084|offset_55|444444,1689037:1689056|offset_83|00cc00,1689006:1689025|offset_114|444444&amp;v=1688894:1689225&amp;c=444444", "offset 83")</f>
        <v>offset 83</v>
      </c>
    </row>
    <row r="5368" customFormat="false" ht="12.8" hidden="false" customHeight="false" outlineLevel="0" collapsed="false">
      <c r="A5368" s="0" t="s">
        <v>12</v>
      </c>
      <c r="B5368" s="0" t="n">
        <v>1689005</v>
      </c>
      <c r="C5368" s="0" t="n">
        <v>1689025</v>
      </c>
      <c r="D5368" s="0" t="s">
        <v>17898</v>
      </c>
      <c r="E5368" s="0" t="s">
        <v>75</v>
      </c>
      <c r="F5368" s="0" t="s">
        <v>90</v>
      </c>
      <c r="G5368" s="0" t="s">
        <v>36</v>
      </c>
      <c r="H5368" s="0" t="n">
        <v>114</v>
      </c>
      <c r="I5368" s="0" t="s">
        <v>17908</v>
      </c>
      <c r="J5368" s="0" t="s">
        <v>17909</v>
      </c>
      <c r="K5368" s="0" t="s">
        <v>17910</v>
      </c>
      <c r="L5368" s="0" t="str">
        <f aca="false">HYPERLINK("https://www.ncbi.nlm.nih.gov/nuccore/CP000058.1?report=graph&amp;tracks=[key:gene_model_track,Options:GeneOnly]&amp;mk=1689095:1689114|offset_25|444444,1689065:1689084|offset_55|444444,1689037:1689056|offset_83|444444,1689006:1689025|offset_114|00cc00&amp;v=1688894:1689225&amp;c=444444", "offset 114")</f>
        <v>offset 114</v>
      </c>
    </row>
    <row r="5369" customFormat="false" ht="12.8" hidden="false" customHeight="false" outlineLevel="0" collapsed="false">
      <c r="A5369" s="0" t="s">
        <v>12</v>
      </c>
      <c r="B5369" s="0" t="n">
        <v>1691081</v>
      </c>
      <c r="C5369" s="0" t="n">
        <v>1691101</v>
      </c>
      <c r="D5369" s="0" t="s">
        <v>17911</v>
      </c>
      <c r="E5369" s="0" t="s">
        <v>75</v>
      </c>
      <c r="F5369" s="0" t="s">
        <v>90</v>
      </c>
      <c r="G5369" s="0" t="s">
        <v>32</v>
      </c>
      <c r="H5369" s="0" t="n">
        <v>29</v>
      </c>
      <c r="I5369" s="0" t="s">
        <v>17912</v>
      </c>
      <c r="J5369" s="0" t="s">
        <v>17913</v>
      </c>
      <c r="K5369" s="0" t="s">
        <v>17914</v>
      </c>
      <c r="L5369" s="0" t="str">
        <f aca="false">HYPERLINK("https://www.ncbi.nlm.nih.gov/nuccore/CP000058.1?report=graph&amp;tracks=[key:gene_model_track,Options:GeneOnly]&amp;mk=1691082:1691101|offset_29|00cc00,1691049:1691068|offset_62|444444,1691023:1691042|offset_88|444444,1690989:1691008|offset_122|444444&amp;v=1690881:1691208&amp;c=444444", "offset 29")</f>
        <v>offset 29</v>
      </c>
    </row>
    <row r="5370" customFormat="false" ht="12.8" hidden="false" customHeight="false" outlineLevel="0" collapsed="false">
      <c r="A5370" s="0" t="s">
        <v>12</v>
      </c>
      <c r="B5370" s="0" t="n">
        <v>1691048</v>
      </c>
      <c r="C5370" s="0" t="n">
        <v>1691068</v>
      </c>
      <c r="D5370" s="0" t="s">
        <v>17911</v>
      </c>
      <c r="E5370" s="0" t="s">
        <v>75</v>
      </c>
      <c r="F5370" s="0" t="s">
        <v>90</v>
      </c>
      <c r="G5370" s="0" t="s">
        <v>20</v>
      </c>
      <c r="H5370" s="0" t="n">
        <v>62</v>
      </c>
      <c r="I5370" s="0" t="s">
        <v>17915</v>
      </c>
      <c r="J5370" s="0" t="s">
        <v>17916</v>
      </c>
      <c r="K5370" s="0" t="s">
        <v>17917</v>
      </c>
      <c r="L5370" s="0" t="str">
        <f aca="false">HYPERLINK("https://www.ncbi.nlm.nih.gov/nuccore/CP000058.1?report=graph&amp;tracks=[key:gene_model_track,Options:GeneOnly]&amp;mk=1691082:1691101|offset_29|444444,1691049:1691068|offset_62|00cc00,1691023:1691042|offset_88|444444,1690989:1691008|offset_122|444444&amp;v=1690881:1691208&amp;c=444444", "offset 62")</f>
        <v>offset 62</v>
      </c>
    </row>
    <row r="5371" customFormat="false" ht="12.8" hidden="false" customHeight="false" outlineLevel="0" collapsed="false">
      <c r="A5371" s="0" t="s">
        <v>12</v>
      </c>
      <c r="B5371" s="0" t="n">
        <v>1691022</v>
      </c>
      <c r="C5371" s="0" t="n">
        <v>1691042</v>
      </c>
      <c r="D5371" s="0" t="s">
        <v>17911</v>
      </c>
      <c r="E5371" s="0" t="s">
        <v>75</v>
      </c>
      <c r="F5371" s="0" t="s">
        <v>90</v>
      </c>
      <c r="G5371" s="0" t="s">
        <v>16</v>
      </c>
      <c r="H5371" s="0" t="n">
        <v>88</v>
      </c>
      <c r="I5371" s="0" t="s">
        <v>17918</v>
      </c>
      <c r="J5371" s="0" t="s">
        <v>17919</v>
      </c>
      <c r="K5371" s="0" t="s">
        <v>17920</v>
      </c>
      <c r="L5371" s="0" t="str">
        <f aca="false">HYPERLINK("https://www.ncbi.nlm.nih.gov/nuccore/CP000058.1?report=graph&amp;tracks=[key:gene_model_track,Options:GeneOnly]&amp;mk=1691082:1691101|offset_29|444444,1691049:1691068|offset_62|444444,1691023:1691042|offset_88|00cc00,1690989:1691008|offset_122|444444&amp;v=1690881:1691208&amp;c=444444", "offset 88")</f>
        <v>offset 88</v>
      </c>
    </row>
    <row r="5372" customFormat="false" ht="12.8" hidden="false" customHeight="false" outlineLevel="0" collapsed="false">
      <c r="A5372" s="0" t="s">
        <v>12</v>
      </c>
      <c r="B5372" s="0" t="n">
        <v>1690988</v>
      </c>
      <c r="C5372" s="0" t="n">
        <v>1691008</v>
      </c>
      <c r="D5372" s="0" t="s">
        <v>17911</v>
      </c>
      <c r="E5372" s="0" t="s">
        <v>75</v>
      </c>
      <c r="F5372" s="0" t="s">
        <v>90</v>
      </c>
      <c r="G5372" s="0" t="s">
        <v>16</v>
      </c>
      <c r="H5372" s="0" t="n">
        <v>122</v>
      </c>
      <c r="I5372" s="0" t="s">
        <v>17921</v>
      </c>
      <c r="J5372" s="0" t="s">
        <v>17922</v>
      </c>
      <c r="K5372" s="0" t="s">
        <v>17923</v>
      </c>
      <c r="L5372" s="0" t="str">
        <f aca="false">HYPERLINK("https://www.ncbi.nlm.nih.gov/nuccore/CP000058.1?report=graph&amp;tracks=[key:gene_model_track,Options:GeneOnly]&amp;mk=1691082:1691101|offset_29|444444,1691049:1691068|offset_62|444444,1691023:1691042|offset_88|444444,1690989:1691008|offset_122|00cc00&amp;v=1690881:1691208&amp;c=444444", "offset 122")</f>
        <v>offset 122</v>
      </c>
    </row>
    <row r="5373" customFormat="false" ht="12.8" hidden="false" customHeight="false" outlineLevel="0" collapsed="false">
      <c r="A5373" s="0" t="s">
        <v>12</v>
      </c>
      <c r="B5373" s="0" t="n">
        <v>1691473</v>
      </c>
      <c r="C5373" s="0" t="n">
        <v>1691493</v>
      </c>
      <c r="D5373" s="0" t="s">
        <v>17924</v>
      </c>
      <c r="E5373" s="0" t="s">
        <v>75</v>
      </c>
      <c r="F5373" s="0" t="s">
        <v>90</v>
      </c>
      <c r="G5373" s="0" t="s">
        <v>20</v>
      </c>
      <c r="H5373" s="0" t="n">
        <v>68</v>
      </c>
      <c r="I5373" s="0" t="s">
        <v>17925</v>
      </c>
      <c r="J5373" s="0" t="s">
        <v>17926</v>
      </c>
      <c r="K5373" s="0" t="s">
        <v>17927</v>
      </c>
      <c r="L5373" s="0" t="str">
        <f aca="false">HYPERLINK("https://www.ncbi.nlm.nih.gov/nuccore/CP000058.1?report=graph&amp;tracks=[key:gene_model_track,Options:GeneOnly]&amp;mk=1691474:1691493|offset_68|00cc00,1691450:1691469|offset_92|444444&amp;v=1691273:1691669&amp;c=444444", "offset 68")</f>
        <v>offset 68</v>
      </c>
    </row>
    <row r="5374" customFormat="false" ht="12.8" hidden="false" customHeight="false" outlineLevel="0" collapsed="false">
      <c r="A5374" s="0" t="s">
        <v>12</v>
      </c>
      <c r="B5374" s="0" t="n">
        <v>1691449</v>
      </c>
      <c r="C5374" s="0" t="n">
        <v>1691469</v>
      </c>
      <c r="D5374" s="0" t="s">
        <v>17924</v>
      </c>
      <c r="E5374" s="0" t="s">
        <v>75</v>
      </c>
      <c r="F5374" s="0" t="s">
        <v>90</v>
      </c>
      <c r="G5374" s="0" t="s">
        <v>32</v>
      </c>
      <c r="H5374" s="0" t="n">
        <v>92</v>
      </c>
      <c r="I5374" s="0" t="s">
        <v>17928</v>
      </c>
      <c r="J5374" s="0" t="s">
        <v>17929</v>
      </c>
      <c r="K5374" s="0" t="s">
        <v>17930</v>
      </c>
      <c r="L5374" s="0" t="str">
        <f aca="false">HYPERLINK("https://www.ncbi.nlm.nih.gov/nuccore/CP000058.1?report=graph&amp;tracks=[key:gene_model_track,Options:GeneOnly]&amp;mk=1691474:1691493|offset_68|444444,1691450:1691469|offset_92|00cc00&amp;v=1691273:1691669&amp;c=444444", "offset 92")</f>
        <v>offset 92</v>
      </c>
    </row>
    <row r="5375" customFormat="false" ht="12.8" hidden="false" customHeight="false" outlineLevel="0" collapsed="false">
      <c r="A5375" s="0" t="s">
        <v>12</v>
      </c>
      <c r="B5375" s="0" t="n">
        <v>1693688</v>
      </c>
      <c r="C5375" s="0" t="n">
        <v>1693708</v>
      </c>
      <c r="D5375" s="0" t="s">
        <v>17931</v>
      </c>
      <c r="E5375" s="0" t="s">
        <v>75</v>
      </c>
      <c r="F5375" s="0" t="s">
        <v>90</v>
      </c>
      <c r="G5375" s="0" t="s">
        <v>16</v>
      </c>
      <c r="H5375" s="0" t="n">
        <v>229</v>
      </c>
      <c r="I5375" s="0" t="s">
        <v>17932</v>
      </c>
      <c r="J5375" s="0" t="s">
        <v>17933</v>
      </c>
      <c r="K5375" s="0" t="s">
        <v>17934</v>
      </c>
      <c r="L5375" s="0" t="str">
        <f aca="false">HYPERLINK("https://www.ncbi.nlm.nih.gov/nuccore/CP000058.1?report=graph&amp;tracks=[key:gene_model_track,Options:GeneOnly]&amp;mk=1693689:1693708|offset_229|00cc00,1693458:1693477|offset_460|444444,1692952:1692971|offset_966|444444&amp;v=1693488:1693171&amp;c=444444", "offset 229")</f>
        <v>offset 229</v>
      </c>
    </row>
    <row r="5376" customFormat="false" ht="12.8" hidden="false" customHeight="false" outlineLevel="0" collapsed="false">
      <c r="A5376" s="0" t="s">
        <v>12</v>
      </c>
      <c r="B5376" s="0" t="n">
        <v>1693457</v>
      </c>
      <c r="C5376" s="0" t="n">
        <v>1693477</v>
      </c>
      <c r="D5376" s="0" t="s">
        <v>17931</v>
      </c>
      <c r="E5376" s="0" t="s">
        <v>75</v>
      </c>
      <c r="F5376" s="0" t="s">
        <v>90</v>
      </c>
      <c r="G5376" s="0" t="s">
        <v>16</v>
      </c>
      <c r="H5376" s="0" t="n">
        <v>460</v>
      </c>
      <c r="I5376" s="0" t="s">
        <v>17935</v>
      </c>
      <c r="J5376" s="0" t="s">
        <v>17936</v>
      </c>
      <c r="K5376" s="0" t="s">
        <v>17937</v>
      </c>
      <c r="L5376" s="0" t="str">
        <f aca="false">HYPERLINK("https://www.ncbi.nlm.nih.gov/nuccore/CP000058.1?report=graph&amp;tracks=[key:gene_model_track,Options:GeneOnly]&amp;mk=1693689:1693708|offset_229|444444,1693458:1693477|offset_460|00cc00,1692952:1692971|offset_966|444444&amp;v=1693488:1693171&amp;c=444444", "offset 460")</f>
        <v>offset 460</v>
      </c>
    </row>
    <row r="5377" customFormat="false" ht="12.8" hidden="false" customHeight="false" outlineLevel="0" collapsed="false">
      <c r="A5377" s="0" t="s">
        <v>12</v>
      </c>
      <c r="B5377" s="0" t="n">
        <v>1692951</v>
      </c>
      <c r="C5377" s="0" t="n">
        <v>1692971</v>
      </c>
      <c r="D5377" s="0" t="s">
        <v>17931</v>
      </c>
      <c r="E5377" s="0" t="s">
        <v>75</v>
      </c>
      <c r="F5377" s="0" t="s">
        <v>90</v>
      </c>
      <c r="G5377" s="0" t="s">
        <v>16</v>
      </c>
      <c r="H5377" s="0" t="n">
        <v>966</v>
      </c>
      <c r="I5377" s="0" t="s">
        <v>17938</v>
      </c>
      <c r="J5377" s="0" t="s">
        <v>17939</v>
      </c>
      <c r="K5377" s="0" t="s">
        <v>17940</v>
      </c>
      <c r="L5377" s="0" t="str">
        <f aca="false">HYPERLINK("https://www.ncbi.nlm.nih.gov/nuccore/CP000058.1?report=graph&amp;tracks=[key:gene_model_track,Options:GeneOnly]&amp;mk=1693689:1693708|offset_229|444444,1693458:1693477|offset_460|444444,1692952:1692971|offset_966|00cc00&amp;v=1693488:1693171&amp;c=444444", "offset 966")</f>
        <v>offset 966</v>
      </c>
    </row>
    <row r="5378" customFormat="false" ht="12.8" hidden="false" customHeight="false" outlineLevel="0" collapsed="false">
      <c r="A5378" s="0" t="s">
        <v>12</v>
      </c>
      <c r="B5378" s="0" t="n">
        <v>1694810</v>
      </c>
      <c r="C5378" s="0" t="n">
        <v>1694830</v>
      </c>
      <c r="D5378" s="0" t="s">
        <v>17941</v>
      </c>
      <c r="E5378" s="0" t="s">
        <v>75</v>
      </c>
      <c r="F5378" s="0" t="s">
        <v>90</v>
      </c>
      <c r="G5378" s="0" t="s">
        <v>20</v>
      </c>
      <c r="H5378" s="0" t="n">
        <v>10</v>
      </c>
      <c r="I5378" s="0" t="s">
        <v>17942</v>
      </c>
      <c r="J5378" s="0" t="s">
        <v>17943</v>
      </c>
      <c r="K5378" s="0" t="s">
        <v>17944</v>
      </c>
      <c r="L5378" s="0" t="str">
        <f aca="false">HYPERLINK("https://www.ncbi.nlm.nih.gov/nuccore/CP000058.1?report=graph&amp;tracks=[key:gene_model_track,Options:GeneOnly]&amp;mk=1694811:1694830|offset_10|00cc00,1694791:1694810|offset_30|444444,1694766:1694785|offset_55|444444,1694668:1694687|offset_153|444444&amp;v=1694610:1694887&amp;c=444444", "offset 10")</f>
        <v>offset 10</v>
      </c>
    </row>
    <row r="5379" customFormat="false" ht="12.8" hidden="false" customHeight="false" outlineLevel="0" collapsed="false">
      <c r="A5379" s="0" t="s">
        <v>12</v>
      </c>
      <c r="B5379" s="0" t="n">
        <v>1694790</v>
      </c>
      <c r="C5379" s="0" t="n">
        <v>1694810</v>
      </c>
      <c r="D5379" s="0" t="s">
        <v>17941</v>
      </c>
      <c r="E5379" s="0" t="s">
        <v>75</v>
      </c>
      <c r="F5379" s="0" t="s">
        <v>90</v>
      </c>
      <c r="G5379" s="0" t="s">
        <v>20</v>
      </c>
      <c r="H5379" s="0" t="n">
        <v>30</v>
      </c>
      <c r="I5379" s="0" t="s">
        <v>17945</v>
      </c>
      <c r="J5379" s="0" t="s">
        <v>17946</v>
      </c>
      <c r="K5379" s="0" t="s">
        <v>17947</v>
      </c>
      <c r="L5379" s="0" t="str">
        <f aca="false">HYPERLINK("https://www.ncbi.nlm.nih.gov/nuccore/CP000058.1?report=graph&amp;tracks=[key:gene_model_track,Options:GeneOnly]&amp;mk=1694811:1694830|offset_10|444444,1694791:1694810|offset_30|00cc00,1694766:1694785|offset_55|444444,1694668:1694687|offset_153|444444&amp;v=1694610:1694887&amp;c=444444", "offset 30")</f>
        <v>offset 30</v>
      </c>
    </row>
    <row r="5380" customFormat="false" ht="12.8" hidden="false" customHeight="false" outlineLevel="0" collapsed="false">
      <c r="A5380" s="0" t="s">
        <v>12</v>
      </c>
      <c r="B5380" s="0" t="n">
        <v>1694765</v>
      </c>
      <c r="C5380" s="0" t="n">
        <v>1694785</v>
      </c>
      <c r="D5380" s="0" t="s">
        <v>17941</v>
      </c>
      <c r="E5380" s="0" t="s">
        <v>75</v>
      </c>
      <c r="F5380" s="0" t="s">
        <v>90</v>
      </c>
      <c r="G5380" s="0" t="s">
        <v>16</v>
      </c>
      <c r="H5380" s="0" t="n">
        <v>55</v>
      </c>
      <c r="I5380" s="0" t="s">
        <v>17948</v>
      </c>
      <c r="J5380" s="0" t="s">
        <v>17949</v>
      </c>
      <c r="K5380" s="0" t="s">
        <v>17950</v>
      </c>
      <c r="L5380" s="0" t="str">
        <f aca="false">HYPERLINK("https://www.ncbi.nlm.nih.gov/nuccore/CP000058.1?report=graph&amp;tracks=[key:gene_model_track,Options:GeneOnly]&amp;mk=1694811:1694830|offset_10|444444,1694791:1694810|offset_30|444444,1694766:1694785|offset_55|00cc00,1694668:1694687|offset_153|444444&amp;v=1694610:1694887&amp;c=444444", "offset 55")</f>
        <v>offset 55</v>
      </c>
    </row>
    <row r="5381" customFormat="false" ht="12.8" hidden="false" customHeight="false" outlineLevel="0" collapsed="false">
      <c r="A5381" s="0" t="s">
        <v>12</v>
      </c>
      <c r="B5381" s="0" t="n">
        <v>1694667</v>
      </c>
      <c r="C5381" s="0" t="n">
        <v>1694687</v>
      </c>
      <c r="D5381" s="0" t="s">
        <v>17941</v>
      </c>
      <c r="E5381" s="0" t="s">
        <v>75</v>
      </c>
      <c r="F5381" s="0" t="s">
        <v>90</v>
      </c>
      <c r="G5381" s="0" t="s">
        <v>20</v>
      </c>
      <c r="H5381" s="0" t="n">
        <v>153</v>
      </c>
      <c r="I5381" s="0" t="s">
        <v>17951</v>
      </c>
      <c r="J5381" s="0" t="s">
        <v>17952</v>
      </c>
      <c r="K5381" s="0" t="s">
        <v>17953</v>
      </c>
      <c r="L5381" s="0" t="str">
        <f aca="false">HYPERLINK("https://www.ncbi.nlm.nih.gov/nuccore/CP000058.1?report=graph&amp;tracks=[key:gene_model_track,Options:GeneOnly]&amp;mk=1694811:1694830|offset_10|444444,1694791:1694810|offset_30|444444,1694766:1694785|offset_55|444444,1694668:1694687|offset_153|00cc00&amp;v=1694610:1694887&amp;c=444444", "offset 153")</f>
        <v>offset 153</v>
      </c>
    </row>
    <row r="5382" customFormat="false" ht="12.8" hidden="false" customHeight="false" outlineLevel="0" collapsed="false">
      <c r="A5382" s="0" t="s">
        <v>12</v>
      </c>
      <c r="B5382" s="0" t="n">
        <v>1695764</v>
      </c>
      <c r="C5382" s="0" t="n">
        <v>1695784</v>
      </c>
      <c r="D5382" s="0" t="s">
        <v>17954</v>
      </c>
      <c r="E5382" s="0" t="s">
        <v>75</v>
      </c>
      <c r="F5382" s="0" t="s">
        <v>90</v>
      </c>
      <c r="G5382" s="0" t="s">
        <v>36</v>
      </c>
      <c r="H5382" s="0" t="n">
        <v>144</v>
      </c>
      <c r="I5382" s="0" t="s">
        <v>17955</v>
      </c>
      <c r="J5382" s="0" t="s">
        <v>17956</v>
      </c>
      <c r="K5382" s="0" t="s">
        <v>17957</v>
      </c>
      <c r="L5382" s="0" t="str">
        <f aca="false">HYPERLINK("https://www.ncbi.nlm.nih.gov/nuccore/CP000058.1?report=graph&amp;tracks=[key:gene_model_track,Options:GeneOnly]&amp;mk=1695765:1695784|offset_144|00cc00,1695738:1695757|offset_171|444444,1695718:1695737|offset_191|444444,1695679:1695698|offset_230|444444&amp;v=1695564:1695898&amp;c=444444", "offset 144")</f>
        <v>offset 144</v>
      </c>
    </row>
    <row r="5383" customFormat="false" ht="12.8" hidden="false" customHeight="false" outlineLevel="0" collapsed="false">
      <c r="A5383" s="0" t="s">
        <v>12</v>
      </c>
      <c r="B5383" s="0" t="n">
        <v>1695737</v>
      </c>
      <c r="C5383" s="0" t="n">
        <v>1695757</v>
      </c>
      <c r="D5383" s="0" t="s">
        <v>17954</v>
      </c>
      <c r="E5383" s="0" t="s">
        <v>75</v>
      </c>
      <c r="F5383" s="0" t="s">
        <v>90</v>
      </c>
      <c r="G5383" s="0" t="s">
        <v>36</v>
      </c>
      <c r="H5383" s="0" t="n">
        <v>171</v>
      </c>
      <c r="I5383" s="0" t="s">
        <v>17958</v>
      </c>
      <c r="J5383" s="0" t="s">
        <v>17959</v>
      </c>
      <c r="K5383" s="0" t="s">
        <v>17960</v>
      </c>
      <c r="L5383" s="0" t="str">
        <f aca="false">HYPERLINK("https://www.ncbi.nlm.nih.gov/nuccore/CP000058.1?report=graph&amp;tracks=[key:gene_model_track,Options:GeneOnly]&amp;mk=1695765:1695784|offset_144|444444,1695738:1695757|offset_171|00cc00,1695718:1695737|offset_191|444444,1695679:1695698|offset_230|444444&amp;v=1695564:1695898&amp;c=444444", "offset 171")</f>
        <v>offset 171</v>
      </c>
    </row>
    <row r="5384" customFormat="false" ht="12.8" hidden="false" customHeight="false" outlineLevel="0" collapsed="false">
      <c r="A5384" s="0" t="s">
        <v>12</v>
      </c>
      <c r="B5384" s="0" t="n">
        <v>1695717</v>
      </c>
      <c r="C5384" s="0" t="n">
        <v>1695737</v>
      </c>
      <c r="D5384" s="0" t="s">
        <v>17954</v>
      </c>
      <c r="E5384" s="0" t="s">
        <v>75</v>
      </c>
      <c r="F5384" s="0" t="s">
        <v>90</v>
      </c>
      <c r="G5384" s="0" t="s">
        <v>20</v>
      </c>
      <c r="H5384" s="0" t="n">
        <v>191</v>
      </c>
      <c r="I5384" s="0" t="s">
        <v>17961</v>
      </c>
      <c r="J5384" s="0" t="s">
        <v>17962</v>
      </c>
      <c r="K5384" s="0" t="s">
        <v>17963</v>
      </c>
      <c r="L5384" s="0" t="str">
        <f aca="false">HYPERLINK("https://www.ncbi.nlm.nih.gov/nuccore/CP000058.1?report=graph&amp;tracks=[key:gene_model_track,Options:GeneOnly]&amp;mk=1695765:1695784|offset_144|444444,1695738:1695757|offset_171|444444,1695718:1695737|offset_191|00cc00,1695679:1695698|offset_230|444444&amp;v=1695564:1695898&amp;c=444444", "offset 191")</f>
        <v>offset 191</v>
      </c>
    </row>
    <row r="5385" customFormat="false" ht="12.8" hidden="false" customHeight="false" outlineLevel="0" collapsed="false">
      <c r="A5385" s="0" t="s">
        <v>12</v>
      </c>
      <c r="B5385" s="0" t="n">
        <v>1695678</v>
      </c>
      <c r="C5385" s="0" t="n">
        <v>1695698</v>
      </c>
      <c r="D5385" s="0" t="s">
        <v>17954</v>
      </c>
      <c r="E5385" s="0" t="s">
        <v>75</v>
      </c>
      <c r="F5385" s="0" t="s">
        <v>90</v>
      </c>
      <c r="G5385" s="0" t="s">
        <v>32</v>
      </c>
      <c r="H5385" s="0" t="n">
        <v>230</v>
      </c>
      <c r="I5385" s="0" t="s">
        <v>17964</v>
      </c>
      <c r="J5385" s="0" t="s">
        <v>17965</v>
      </c>
      <c r="K5385" s="0" t="s">
        <v>17966</v>
      </c>
      <c r="L5385" s="0" t="str">
        <f aca="false">HYPERLINK("https://www.ncbi.nlm.nih.gov/nuccore/CP000058.1?report=graph&amp;tracks=[key:gene_model_track,Options:GeneOnly]&amp;mk=1695765:1695784|offset_144|444444,1695738:1695757|offset_171|444444,1695718:1695737|offset_191|444444,1695679:1695698|offset_230|00cc00&amp;v=1695564:1695898&amp;c=444444", "offset 230")</f>
        <v>offset 230</v>
      </c>
    </row>
    <row r="5386" customFormat="false" ht="12.8" hidden="false" customHeight="false" outlineLevel="0" collapsed="false">
      <c r="A5386" s="0" t="s">
        <v>12</v>
      </c>
      <c r="B5386" s="0" t="n">
        <v>1697487</v>
      </c>
      <c r="C5386" s="0" t="n">
        <v>1697507</v>
      </c>
      <c r="D5386" s="0" t="s">
        <v>17967</v>
      </c>
      <c r="E5386" s="0" t="s">
        <v>75</v>
      </c>
      <c r="F5386" s="0" t="s">
        <v>15</v>
      </c>
      <c r="G5386" s="0" t="s">
        <v>32</v>
      </c>
      <c r="H5386" s="0" t="n">
        <v>13</v>
      </c>
      <c r="I5386" s="0" t="s">
        <v>17968</v>
      </c>
      <c r="J5386" s="0" t="s">
        <v>17969</v>
      </c>
      <c r="K5386" s="0" t="s">
        <v>17970</v>
      </c>
      <c r="L5386" s="0" t="str">
        <f aca="false">HYPERLINK("https://www.ncbi.nlm.nih.gov/nuccore/CP000058.1?report=graph&amp;tracks=[key:gene_model_track,Options:GeneOnly]&amp;mk=1697488:1697507|offset_13|00cc00,1697508:1697527|offset_33|444444,1697530:1697549|offset_55|444444,1697550:1697569|offset_75|444444&amp;v=1697287:1697769&amp;c=444444", "offset 13")</f>
        <v>offset 13</v>
      </c>
    </row>
    <row r="5387" customFormat="false" ht="12.8" hidden="false" customHeight="false" outlineLevel="0" collapsed="false">
      <c r="A5387" s="0" t="s">
        <v>12</v>
      </c>
      <c r="B5387" s="0" t="n">
        <v>1697507</v>
      </c>
      <c r="C5387" s="0" t="n">
        <v>1697527</v>
      </c>
      <c r="D5387" s="0" t="s">
        <v>17967</v>
      </c>
      <c r="E5387" s="0" t="s">
        <v>75</v>
      </c>
      <c r="F5387" s="0" t="s">
        <v>15</v>
      </c>
      <c r="G5387" s="0" t="s">
        <v>16</v>
      </c>
      <c r="H5387" s="0" t="n">
        <v>33</v>
      </c>
      <c r="I5387" s="0" t="s">
        <v>17971</v>
      </c>
      <c r="J5387" s="0" t="s">
        <v>17972</v>
      </c>
      <c r="K5387" s="0" t="s">
        <v>17973</v>
      </c>
      <c r="L5387" s="0" t="str">
        <f aca="false">HYPERLINK("https://www.ncbi.nlm.nih.gov/nuccore/CP000058.1?report=graph&amp;tracks=[key:gene_model_track,Options:GeneOnly]&amp;mk=1697488:1697507|offset_13|444444,1697508:1697527|offset_33|00cc00,1697530:1697549|offset_55|444444,1697550:1697569|offset_75|444444&amp;v=1697287:1697769&amp;c=444444", "offset 33")</f>
        <v>offset 33</v>
      </c>
    </row>
    <row r="5388" customFormat="false" ht="12.8" hidden="false" customHeight="false" outlineLevel="0" collapsed="false">
      <c r="A5388" s="0" t="s">
        <v>12</v>
      </c>
      <c r="B5388" s="0" t="n">
        <v>1697529</v>
      </c>
      <c r="C5388" s="0" t="n">
        <v>1697549</v>
      </c>
      <c r="D5388" s="0" t="s">
        <v>17967</v>
      </c>
      <c r="E5388" s="0" t="s">
        <v>75</v>
      </c>
      <c r="F5388" s="0" t="s">
        <v>15</v>
      </c>
      <c r="G5388" s="0" t="s">
        <v>16</v>
      </c>
      <c r="H5388" s="0" t="n">
        <v>55</v>
      </c>
      <c r="I5388" s="0" t="s">
        <v>17974</v>
      </c>
      <c r="J5388" s="0" t="s">
        <v>17975</v>
      </c>
      <c r="K5388" s="0" t="s">
        <v>17976</v>
      </c>
      <c r="L5388" s="0" t="str">
        <f aca="false">HYPERLINK("https://www.ncbi.nlm.nih.gov/nuccore/CP000058.1?report=graph&amp;tracks=[key:gene_model_track,Options:GeneOnly]&amp;mk=1697488:1697507|offset_13|444444,1697508:1697527|offset_33|444444,1697530:1697549|offset_55|00cc00,1697550:1697569|offset_75|444444&amp;v=1697287:1697769&amp;c=444444", "offset 55")</f>
        <v>offset 55</v>
      </c>
    </row>
    <row r="5389" customFormat="false" ht="12.8" hidden="false" customHeight="false" outlineLevel="0" collapsed="false">
      <c r="A5389" s="0" t="s">
        <v>12</v>
      </c>
      <c r="B5389" s="0" t="n">
        <v>1697549</v>
      </c>
      <c r="C5389" s="0" t="n">
        <v>1697569</v>
      </c>
      <c r="D5389" s="0" t="s">
        <v>17967</v>
      </c>
      <c r="E5389" s="0" t="s">
        <v>75</v>
      </c>
      <c r="F5389" s="0" t="s">
        <v>15</v>
      </c>
      <c r="G5389" s="0" t="s">
        <v>36</v>
      </c>
      <c r="H5389" s="0" t="n">
        <v>75</v>
      </c>
      <c r="I5389" s="0" t="s">
        <v>17977</v>
      </c>
      <c r="J5389" s="0" t="s">
        <v>17978</v>
      </c>
      <c r="K5389" s="0" t="s">
        <v>17979</v>
      </c>
      <c r="L5389" s="0" t="str">
        <f aca="false">HYPERLINK("https://www.ncbi.nlm.nih.gov/nuccore/CP000058.1?report=graph&amp;tracks=[key:gene_model_track,Options:GeneOnly]&amp;mk=1697488:1697507|offset_13|444444,1697508:1697527|offset_33|444444,1697530:1697549|offset_55|444444,1697550:1697569|offset_75|00cc00&amp;v=1697287:1697769&amp;c=444444", "offset 75")</f>
        <v>offset 75</v>
      </c>
    </row>
    <row r="5390" customFormat="false" ht="12.8" hidden="false" customHeight="false" outlineLevel="0" collapsed="false">
      <c r="A5390" s="0" t="s">
        <v>12</v>
      </c>
      <c r="B5390" s="0" t="n">
        <v>1697884</v>
      </c>
      <c r="C5390" s="0" t="n">
        <v>1697904</v>
      </c>
      <c r="D5390" s="0" t="s">
        <v>17980</v>
      </c>
      <c r="E5390" s="0" t="s">
        <v>75</v>
      </c>
      <c r="F5390" s="0" t="s">
        <v>15</v>
      </c>
      <c r="G5390" s="0" t="s">
        <v>16</v>
      </c>
      <c r="H5390" s="0" t="n">
        <v>34</v>
      </c>
      <c r="I5390" s="0" t="s">
        <v>17981</v>
      </c>
      <c r="J5390" s="0" t="s">
        <v>17982</v>
      </c>
      <c r="K5390" s="0" t="s">
        <v>17983</v>
      </c>
      <c r="L5390" s="0" t="str">
        <f aca="false">HYPERLINK("https://www.ncbi.nlm.nih.gov/nuccore/CP000058.1?report=graph&amp;tracks=[key:gene_model_track,Options:GeneOnly]&amp;mk=1697885:1697904|offset_34|00cc00,1697907:1697926|offset_56|444444,1697933:1697952|offset_82|444444,1697987:1698006|offset_136|444444&amp;v=1697684:1698206&amp;c=444444", "offset 34")</f>
        <v>offset 34</v>
      </c>
    </row>
    <row r="5391" customFormat="false" ht="12.8" hidden="false" customHeight="false" outlineLevel="0" collapsed="false">
      <c r="A5391" s="0" t="s">
        <v>12</v>
      </c>
      <c r="B5391" s="0" t="n">
        <v>1697906</v>
      </c>
      <c r="C5391" s="0" t="n">
        <v>1697926</v>
      </c>
      <c r="D5391" s="0" t="s">
        <v>17980</v>
      </c>
      <c r="E5391" s="0" t="s">
        <v>75</v>
      </c>
      <c r="F5391" s="0" t="s">
        <v>15</v>
      </c>
      <c r="G5391" s="0" t="s">
        <v>20</v>
      </c>
      <c r="H5391" s="0" t="n">
        <v>56</v>
      </c>
      <c r="I5391" s="0" t="s">
        <v>17984</v>
      </c>
      <c r="J5391" s="0" t="s">
        <v>17985</v>
      </c>
      <c r="K5391" s="0" t="s">
        <v>17986</v>
      </c>
      <c r="L5391" s="0" t="str">
        <f aca="false">HYPERLINK("https://www.ncbi.nlm.nih.gov/nuccore/CP000058.1?report=graph&amp;tracks=[key:gene_model_track,Options:GeneOnly]&amp;mk=1697885:1697904|offset_34|444444,1697907:1697926|offset_56|00cc00,1697933:1697952|offset_82|444444,1697987:1698006|offset_136|444444&amp;v=1697684:1698206&amp;c=444444", "offset 56")</f>
        <v>offset 56</v>
      </c>
    </row>
    <row r="5392" customFormat="false" ht="12.8" hidden="false" customHeight="false" outlineLevel="0" collapsed="false">
      <c r="A5392" s="0" t="s">
        <v>12</v>
      </c>
      <c r="B5392" s="0" t="n">
        <v>1697932</v>
      </c>
      <c r="C5392" s="0" t="n">
        <v>1697952</v>
      </c>
      <c r="D5392" s="0" t="s">
        <v>17980</v>
      </c>
      <c r="E5392" s="0" t="s">
        <v>75</v>
      </c>
      <c r="F5392" s="0" t="s">
        <v>15</v>
      </c>
      <c r="G5392" s="0" t="s">
        <v>32</v>
      </c>
      <c r="H5392" s="0" t="n">
        <v>82</v>
      </c>
      <c r="I5392" s="0" t="s">
        <v>17987</v>
      </c>
      <c r="J5392" s="0" t="s">
        <v>17988</v>
      </c>
      <c r="K5392" s="0" t="s">
        <v>17989</v>
      </c>
      <c r="L5392" s="0" t="str">
        <f aca="false">HYPERLINK("https://www.ncbi.nlm.nih.gov/nuccore/CP000058.1?report=graph&amp;tracks=[key:gene_model_track,Options:GeneOnly]&amp;mk=1697885:1697904|offset_34|444444,1697907:1697926|offset_56|444444,1697933:1697952|offset_82|00cc00,1697987:1698006|offset_136|444444&amp;v=1697684:1698206&amp;c=444444", "offset 82")</f>
        <v>offset 82</v>
      </c>
    </row>
    <row r="5393" customFormat="false" ht="12.8" hidden="false" customHeight="false" outlineLevel="0" collapsed="false">
      <c r="A5393" s="0" t="s">
        <v>12</v>
      </c>
      <c r="B5393" s="0" t="n">
        <v>1697986</v>
      </c>
      <c r="C5393" s="0" t="n">
        <v>1698006</v>
      </c>
      <c r="D5393" s="0" t="s">
        <v>17980</v>
      </c>
      <c r="E5393" s="0" t="s">
        <v>75</v>
      </c>
      <c r="F5393" s="0" t="s">
        <v>15</v>
      </c>
      <c r="G5393" s="0" t="s">
        <v>36</v>
      </c>
      <c r="H5393" s="0" t="n">
        <v>136</v>
      </c>
      <c r="I5393" s="0" t="s">
        <v>17990</v>
      </c>
      <c r="J5393" s="0" t="s">
        <v>17991</v>
      </c>
      <c r="K5393" s="0" t="s">
        <v>17992</v>
      </c>
      <c r="L5393" s="0" t="str">
        <f aca="false">HYPERLINK("https://www.ncbi.nlm.nih.gov/nuccore/CP000058.1?report=graph&amp;tracks=[key:gene_model_track,Options:GeneOnly]&amp;mk=1697885:1697904|offset_34|444444,1697907:1697926|offset_56|444444,1697933:1697952|offset_82|444444,1697987:1698006|offset_136|00cc00&amp;v=1697684:1698206&amp;c=444444", "offset 136")</f>
        <v>offset 136</v>
      </c>
    </row>
    <row r="5394" customFormat="false" ht="12.8" hidden="false" customHeight="false" outlineLevel="0" collapsed="false">
      <c r="A5394" s="0" t="s">
        <v>12</v>
      </c>
      <c r="B5394" s="0" t="n">
        <v>1699390</v>
      </c>
      <c r="C5394" s="0" t="n">
        <v>1699410</v>
      </c>
      <c r="D5394" s="0" t="s">
        <v>17993</v>
      </c>
      <c r="E5394" s="0" t="s">
        <v>75</v>
      </c>
      <c r="F5394" s="0" t="s">
        <v>90</v>
      </c>
      <c r="G5394" s="0" t="s">
        <v>32</v>
      </c>
      <c r="H5394" s="0" t="n">
        <v>7</v>
      </c>
      <c r="I5394" s="0" t="s">
        <v>17994</v>
      </c>
      <c r="J5394" s="0" t="s">
        <v>17995</v>
      </c>
      <c r="K5394" s="0" t="s">
        <v>17996</v>
      </c>
      <c r="L5394" s="0" t="str">
        <f aca="false">HYPERLINK("https://www.ncbi.nlm.nih.gov/nuccore/CP000058.1?report=graph&amp;tracks=[key:gene_model_track,Options:GeneOnly]&amp;mk=1699391:1699410|offset_7|00cc00,1699289:1699308|offset_109|444444,1699268:1699287|offset_130|444444,1699233:1699252|offset_165|444444&amp;v=1699190:1699452&amp;c=444444", "offset 7")</f>
        <v>offset 7</v>
      </c>
    </row>
    <row r="5395" customFormat="false" ht="12.8" hidden="false" customHeight="false" outlineLevel="0" collapsed="false">
      <c r="A5395" s="0" t="s">
        <v>12</v>
      </c>
      <c r="B5395" s="0" t="n">
        <v>1699288</v>
      </c>
      <c r="C5395" s="0" t="n">
        <v>1699308</v>
      </c>
      <c r="D5395" s="0" t="s">
        <v>17993</v>
      </c>
      <c r="E5395" s="0" t="s">
        <v>75</v>
      </c>
      <c r="F5395" s="0" t="s">
        <v>90</v>
      </c>
      <c r="G5395" s="0" t="s">
        <v>32</v>
      </c>
      <c r="H5395" s="0" t="n">
        <v>109</v>
      </c>
      <c r="I5395" s="0" t="s">
        <v>17997</v>
      </c>
      <c r="J5395" s="0" t="s">
        <v>17998</v>
      </c>
      <c r="K5395" s="0" t="s">
        <v>17999</v>
      </c>
      <c r="L5395" s="0" t="str">
        <f aca="false">HYPERLINK("https://www.ncbi.nlm.nih.gov/nuccore/CP000058.1?report=graph&amp;tracks=[key:gene_model_track,Options:GeneOnly]&amp;mk=1699391:1699410|offset_7|444444,1699289:1699308|offset_109|00cc00,1699268:1699287|offset_130|444444,1699233:1699252|offset_165|444444&amp;v=1699190:1699452&amp;c=444444", "offset 109")</f>
        <v>offset 109</v>
      </c>
    </row>
    <row r="5396" customFormat="false" ht="12.8" hidden="false" customHeight="false" outlineLevel="0" collapsed="false">
      <c r="A5396" s="0" t="s">
        <v>12</v>
      </c>
      <c r="B5396" s="0" t="n">
        <v>1699267</v>
      </c>
      <c r="C5396" s="0" t="n">
        <v>1699287</v>
      </c>
      <c r="D5396" s="0" t="s">
        <v>17993</v>
      </c>
      <c r="E5396" s="0" t="s">
        <v>75</v>
      </c>
      <c r="F5396" s="0" t="s">
        <v>90</v>
      </c>
      <c r="G5396" s="0" t="s">
        <v>36</v>
      </c>
      <c r="H5396" s="0" t="n">
        <v>130</v>
      </c>
      <c r="I5396" s="0" t="s">
        <v>18000</v>
      </c>
      <c r="J5396" s="0" t="s">
        <v>18001</v>
      </c>
      <c r="K5396" s="0" t="s">
        <v>18002</v>
      </c>
      <c r="L5396" s="0" t="str">
        <f aca="false">HYPERLINK("https://www.ncbi.nlm.nih.gov/nuccore/CP000058.1?report=graph&amp;tracks=[key:gene_model_track,Options:GeneOnly]&amp;mk=1699391:1699410|offset_7|444444,1699289:1699308|offset_109|444444,1699268:1699287|offset_130|00cc00,1699233:1699252|offset_165|444444&amp;v=1699190:1699452&amp;c=444444", "offset 130")</f>
        <v>offset 130</v>
      </c>
    </row>
    <row r="5397" customFormat="false" ht="12.8" hidden="false" customHeight="false" outlineLevel="0" collapsed="false">
      <c r="A5397" s="0" t="s">
        <v>12</v>
      </c>
      <c r="B5397" s="0" t="n">
        <v>1699232</v>
      </c>
      <c r="C5397" s="0" t="n">
        <v>1699252</v>
      </c>
      <c r="D5397" s="0" t="s">
        <v>17993</v>
      </c>
      <c r="E5397" s="0" t="s">
        <v>75</v>
      </c>
      <c r="F5397" s="0" t="s">
        <v>90</v>
      </c>
      <c r="G5397" s="0" t="s">
        <v>16</v>
      </c>
      <c r="H5397" s="0" t="n">
        <v>165</v>
      </c>
      <c r="I5397" s="0" t="s">
        <v>18003</v>
      </c>
      <c r="J5397" s="0" t="s">
        <v>18004</v>
      </c>
      <c r="K5397" s="0" t="s">
        <v>18005</v>
      </c>
      <c r="L5397" s="0" t="str">
        <f aca="false">HYPERLINK("https://www.ncbi.nlm.nih.gov/nuccore/CP000058.1?report=graph&amp;tracks=[key:gene_model_track,Options:GeneOnly]&amp;mk=1699391:1699410|offset_7|444444,1699289:1699308|offset_109|444444,1699268:1699287|offset_130|444444,1699233:1699252|offset_165|00cc00&amp;v=1699190:1699452&amp;c=444444", "offset 165")</f>
        <v>offset 165</v>
      </c>
    </row>
    <row r="5398" customFormat="false" ht="12.8" hidden="false" customHeight="false" outlineLevel="0" collapsed="false">
      <c r="A5398" s="0" t="s">
        <v>12</v>
      </c>
      <c r="B5398" s="0" t="n">
        <v>1699660</v>
      </c>
      <c r="C5398" s="0" t="n">
        <v>1699680</v>
      </c>
      <c r="D5398" s="0" t="s">
        <v>18006</v>
      </c>
      <c r="E5398" s="0" t="s">
        <v>75</v>
      </c>
      <c r="F5398" s="0" t="s">
        <v>90</v>
      </c>
      <c r="G5398" s="0" t="s">
        <v>16</v>
      </c>
      <c r="H5398" s="0" t="n">
        <v>6</v>
      </c>
      <c r="I5398" s="0" t="s">
        <v>18007</v>
      </c>
      <c r="J5398" s="0" t="s">
        <v>18008</v>
      </c>
      <c r="K5398" s="0" t="s">
        <v>18009</v>
      </c>
      <c r="L5398" s="0" t="str">
        <f aca="false">HYPERLINK("https://www.ncbi.nlm.nih.gov/nuccore/CP000058.1?report=graph&amp;tracks=[key:gene_model_track,Options:GeneOnly]&amp;mk=1699661:1699680|offset_6|00cc00,1699629:1699648|offset_38|444444,1699597:1699616|offset_70|444444,1699574:1699593|offset_93|444444&amp;v=1699460:1699793&amp;c=444444", "offset 6")</f>
        <v>offset 6</v>
      </c>
    </row>
    <row r="5399" customFormat="false" ht="12.8" hidden="false" customHeight="false" outlineLevel="0" collapsed="false">
      <c r="A5399" s="0" t="s">
        <v>12</v>
      </c>
      <c r="B5399" s="0" t="n">
        <v>1699628</v>
      </c>
      <c r="C5399" s="0" t="n">
        <v>1699648</v>
      </c>
      <c r="D5399" s="0" t="s">
        <v>18006</v>
      </c>
      <c r="E5399" s="0" t="s">
        <v>75</v>
      </c>
      <c r="F5399" s="0" t="s">
        <v>90</v>
      </c>
      <c r="G5399" s="0" t="s">
        <v>20</v>
      </c>
      <c r="H5399" s="0" t="n">
        <v>38</v>
      </c>
      <c r="I5399" s="0" t="s">
        <v>18010</v>
      </c>
      <c r="J5399" s="0" t="s">
        <v>18011</v>
      </c>
      <c r="K5399" s="0" t="s">
        <v>18012</v>
      </c>
      <c r="L5399" s="0" t="str">
        <f aca="false">HYPERLINK("https://www.ncbi.nlm.nih.gov/nuccore/CP000058.1?report=graph&amp;tracks=[key:gene_model_track,Options:GeneOnly]&amp;mk=1699661:1699680|offset_6|444444,1699629:1699648|offset_38|00cc00,1699597:1699616|offset_70|444444,1699574:1699593|offset_93|444444&amp;v=1699460:1699793&amp;c=444444", "offset 38")</f>
        <v>offset 38</v>
      </c>
    </row>
    <row r="5400" customFormat="false" ht="12.8" hidden="false" customHeight="false" outlineLevel="0" collapsed="false">
      <c r="A5400" s="0" t="s">
        <v>12</v>
      </c>
      <c r="B5400" s="0" t="n">
        <v>1699596</v>
      </c>
      <c r="C5400" s="0" t="n">
        <v>1699616</v>
      </c>
      <c r="D5400" s="0" t="s">
        <v>18006</v>
      </c>
      <c r="E5400" s="0" t="s">
        <v>75</v>
      </c>
      <c r="F5400" s="0" t="s">
        <v>90</v>
      </c>
      <c r="G5400" s="0" t="s">
        <v>36</v>
      </c>
      <c r="H5400" s="0" t="n">
        <v>70</v>
      </c>
      <c r="I5400" s="0" t="s">
        <v>18013</v>
      </c>
      <c r="J5400" s="0" t="s">
        <v>18014</v>
      </c>
      <c r="K5400" s="0" t="s">
        <v>18015</v>
      </c>
      <c r="L5400" s="0" t="str">
        <f aca="false">HYPERLINK("https://www.ncbi.nlm.nih.gov/nuccore/CP000058.1?report=graph&amp;tracks=[key:gene_model_track,Options:GeneOnly]&amp;mk=1699661:1699680|offset_6|444444,1699629:1699648|offset_38|444444,1699597:1699616|offset_70|00cc00,1699574:1699593|offset_93|444444&amp;v=1699460:1699793&amp;c=444444", "offset 70")</f>
        <v>offset 70</v>
      </c>
    </row>
    <row r="5401" customFormat="false" ht="12.8" hidden="false" customHeight="false" outlineLevel="0" collapsed="false">
      <c r="A5401" s="0" t="s">
        <v>12</v>
      </c>
      <c r="B5401" s="0" t="n">
        <v>1699573</v>
      </c>
      <c r="C5401" s="0" t="n">
        <v>1699593</v>
      </c>
      <c r="D5401" s="0" t="s">
        <v>18006</v>
      </c>
      <c r="E5401" s="0" t="s">
        <v>75</v>
      </c>
      <c r="F5401" s="0" t="s">
        <v>90</v>
      </c>
      <c r="G5401" s="0" t="s">
        <v>32</v>
      </c>
      <c r="H5401" s="0" t="n">
        <v>93</v>
      </c>
      <c r="I5401" s="0" t="s">
        <v>18016</v>
      </c>
      <c r="J5401" s="0" t="s">
        <v>18017</v>
      </c>
      <c r="K5401" s="0" t="s">
        <v>18018</v>
      </c>
      <c r="L5401" s="0" t="str">
        <f aca="false">HYPERLINK("https://www.ncbi.nlm.nih.gov/nuccore/CP000058.1?report=graph&amp;tracks=[key:gene_model_track,Options:GeneOnly]&amp;mk=1699661:1699680|offset_6|444444,1699629:1699648|offset_38|444444,1699597:1699616|offset_70|444444,1699574:1699593|offset_93|00cc00&amp;v=1699460:1699793&amp;c=444444", "offset 93")</f>
        <v>offset 93</v>
      </c>
    </row>
    <row r="5402" customFormat="false" ht="12.8" hidden="false" customHeight="false" outlineLevel="0" collapsed="false">
      <c r="A5402" s="0" t="s">
        <v>12</v>
      </c>
      <c r="B5402" s="0" t="n">
        <v>1700134</v>
      </c>
      <c r="C5402" s="0" t="n">
        <v>1700154</v>
      </c>
      <c r="D5402" s="0" t="s">
        <v>18019</v>
      </c>
      <c r="E5402" s="0" t="s">
        <v>75</v>
      </c>
      <c r="F5402" s="0" t="s">
        <v>90</v>
      </c>
      <c r="G5402" s="0" t="s">
        <v>32</v>
      </c>
      <c r="H5402" s="0" t="n">
        <v>17</v>
      </c>
      <c r="I5402" s="0" t="s">
        <v>18020</v>
      </c>
      <c r="J5402" s="0" t="s">
        <v>18021</v>
      </c>
      <c r="K5402" s="0" t="s">
        <v>18022</v>
      </c>
      <c r="L5402" s="0" t="str">
        <f aca="false">HYPERLINK("https://www.ncbi.nlm.nih.gov/nuccore/CP000058.1?report=graph&amp;tracks=[key:gene_model_track,Options:GeneOnly]&amp;mk=1700135:1700154|offset_17|00cc00,1700067:1700086|offset_85|444444,1700036:1700055|offset_116|444444,1700000:1700019|offset_152|444444&amp;v=1699934:1700219&amp;c=444444", "offset 17")</f>
        <v>offset 17</v>
      </c>
    </row>
    <row r="5403" customFormat="false" ht="12.8" hidden="false" customHeight="false" outlineLevel="0" collapsed="false">
      <c r="A5403" s="0" t="s">
        <v>12</v>
      </c>
      <c r="B5403" s="0" t="n">
        <v>1700066</v>
      </c>
      <c r="C5403" s="0" t="n">
        <v>1700086</v>
      </c>
      <c r="D5403" s="0" t="s">
        <v>18019</v>
      </c>
      <c r="E5403" s="0" t="s">
        <v>75</v>
      </c>
      <c r="F5403" s="0" t="s">
        <v>90</v>
      </c>
      <c r="G5403" s="0" t="s">
        <v>16</v>
      </c>
      <c r="H5403" s="0" t="n">
        <v>85</v>
      </c>
      <c r="I5403" s="0" t="s">
        <v>18023</v>
      </c>
      <c r="J5403" s="0" t="s">
        <v>18024</v>
      </c>
      <c r="K5403" s="0" t="s">
        <v>18025</v>
      </c>
      <c r="L5403" s="0" t="str">
        <f aca="false">HYPERLINK("https://www.ncbi.nlm.nih.gov/nuccore/CP000058.1?report=graph&amp;tracks=[key:gene_model_track,Options:GeneOnly]&amp;mk=1700135:1700154|offset_17|444444,1700067:1700086|offset_85|00cc00,1700036:1700055|offset_116|444444,1700000:1700019|offset_152|444444&amp;v=1699934:1700219&amp;c=444444", "offset 85")</f>
        <v>offset 85</v>
      </c>
    </row>
    <row r="5404" customFormat="false" ht="12.8" hidden="false" customHeight="false" outlineLevel="0" collapsed="false">
      <c r="A5404" s="0" t="s">
        <v>12</v>
      </c>
      <c r="B5404" s="0" t="n">
        <v>1700035</v>
      </c>
      <c r="C5404" s="0" t="n">
        <v>1700055</v>
      </c>
      <c r="D5404" s="0" t="s">
        <v>18019</v>
      </c>
      <c r="E5404" s="0" t="s">
        <v>75</v>
      </c>
      <c r="F5404" s="0" t="s">
        <v>90</v>
      </c>
      <c r="G5404" s="0" t="s">
        <v>32</v>
      </c>
      <c r="H5404" s="0" t="n">
        <v>116</v>
      </c>
      <c r="I5404" s="0" t="s">
        <v>18026</v>
      </c>
      <c r="J5404" s="0" t="s">
        <v>18027</v>
      </c>
      <c r="K5404" s="0" t="s">
        <v>18028</v>
      </c>
      <c r="L5404" s="0" t="str">
        <f aca="false">HYPERLINK("https://www.ncbi.nlm.nih.gov/nuccore/CP000058.1?report=graph&amp;tracks=[key:gene_model_track,Options:GeneOnly]&amp;mk=1700135:1700154|offset_17|444444,1700067:1700086|offset_85|444444,1700036:1700055|offset_116|00cc00,1700000:1700019|offset_152|444444&amp;v=1699934:1700219&amp;c=444444", "offset 116")</f>
        <v>offset 116</v>
      </c>
    </row>
    <row r="5405" customFormat="false" ht="12.8" hidden="false" customHeight="false" outlineLevel="0" collapsed="false">
      <c r="A5405" s="0" t="s">
        <v>12</v>
      </c>
      <c r="B5405" s="0" t="n">
        <v>1699999</v>
      </c>
      <c r="C5405" s="0" t="n">
        <v>1700019</v>
      </c>
      <c r="D5405" s="0" t="s">
        <v>18019</v>
      </c>
      <c r="E5405" s="0" t="s">
        <v>75</v>
      </c>
      <c r="F5405" s="0" t="s">
        <v>90</v>
      </c>
      <c r="G5405" s="0" t="s">
        <v>32</v>
      </c>
      <c r="H5405" s="0" t="n">
        <v>152</v>
      </c>
      <c r="I5405" s="0" t="s">
        <v>18029</v>
      </c>
      <c r="J5405" s="0" t="s">
        <v>18030</v>
      </c>
      <c r="K5405" s="0" t="s">
        <v>18031</v>
      </c>
      <c r="L5405" s="0" t="str">
        <f aca="false">HYPERLINK("https://www.ncbi.nlm.nih.gov/nuccore/CP000058.1?report=graph&amp;tracks=[key:gene_model_track,Options:GeneOnly]&amp;mk=1700135:1700154|offset_17|444444,1700067:1700086|offset_85|444444,1700036:1700055|offset_116|444444,1700000:1700019|offset_152|00cc00&amp;v=1699934:1700219&amp;c=444444", "offset 152")</f>
        <v>offset 152</v>
      </c>
    </row>
    <row r="5406" customFormat="false" ht="12.8" hidden="false" customHeight="false" outlineLevel="0" collapsed="false">
      <c r="A5406" s="0" t="s">
        <v>12</v>
      </c>
      <c r="B5406" s="0" t="n">
        <v>1702643</v>
      </c>
      <c r="C5406" s="0" t="n">
        <v>1702663</v>
      </c>
      <c r="D5406" s="0" t="s">
        <v>18032</v>
      </c>
      <c r="E5406" s="0" t="s">
        <v>75</v>
      </c>
      <c r="F5406" s="0" t="s">
        <v>90</v>
      </c>
      <c r="G5406" s="0" t="s">
        <v>20</v>
      </c>
      <c r="H5406" s="0" t="n">
        <v>35</v>
      </c>
      <c r="I5406" s="0" t="s">
        <v>18033</v>
      </c>
      <c r="J5406" s="0" t="s">
        <v>18034</v>
      </c>
      <c r="K5406" s="0" t="s">
        <v>18035</v>
      </c>
      <c r="L5406" s="0" t="str">
        <f aca="false">HYPERLINK("https://www.ncbi.nlm.nih.gov/nuccore/CP000058.1?report=graph&amp;tracks=[key:gene_model_track,Options:GeneOnly]&amp;mk=1702644:1702663|offset_35|00cc00,1702615:1702634|offset_64|444444,1702590:1702609|offset_89|444444,1702561:1702580|offset_118|444444&amp;v=1702443:1702780&amp;c=444444", "offset 35")</f>
        <v>offset 35</v>
      </c>
    </row>
    <row r="5407" customFormat="false" ht="12.8" hidden="false" customHeight="false" outlineLevel="0" collapsed="false">
      <c r="A5407" s="0" t="s">
        <v>12</v>
      </c>
      <c r="B5407" s="0" t="n">
        <v>1702614</v>
      </c>
      <c r="C5407" s="0" t="n">
        <v>1702634</v>
      </c>
      <c r="D5407" s="0" t="s">
        <v>18032</v>
      </c>
      <c r="E5407" s="0" t="s">
        <v>75</v>
      </c>
      <c r="F5407" s="0" t="s">
        <v>90</v>
      </c>
      <c r="G5407" s="0" t="s">
        <v>16</v>
      </c>
      <c r="H5407" s="0" t="n">
        <v>64</v>
      </c>
      <c r="I5407" s="0" t="s">
        <v>18036</v>
      </c>
      <c r="J5407" s="0" t="s">
        <v>18037</v>
      </c>
      <c r="K5407" s="0" t="s">
        <v>18038</v>
      </c>
      <c r="L5407" s="0" t="str">
        <f aca="false">HYPERLINK("https://www.ncbi.nlm.nih.gov/nuccore/CP000058.1?report=graph&amp;tracks=[key:gene_model_track,Options:GeneOnly]&amp;mk=1702644:1702663|offset_35|444444,1702615:1702634|offset_64|00cc00,1702590:1702609|offset_89|444444,1702561:1702580|offset_118|444444&amp;v=1702443:1702780&amp;c=444444", "offset 64")</f>
        <v>offset 64</v>
      </c>
    </row>
    <row r="5408" customFormat="false" ht="12.8" hidden="false" customHeight="false" outlineLevel="0" collapsed="false">
      <c r="A5408" s="0" t="s">
        <v>12</v>
      </c>
      <c r="B5408" s="0" t="n">
        <v>1702589</v>
      </c>
      <c r="C5408" s="0" t="n">
        <v>1702609</v>
      </c>
      <c r="D5408" s="0" t="s">
        <v>18032</v>
      </c>
      <c r="E5408" s="0" t="s">
        <v>75</v>
      </c>
      <c r="F5408" s="0" t="s">
        <v>90</v>
      </c>
      <c r="G5408" s="0" t="s">
        <v>16</v>
      </c>
      <c r="H5408" s="0" t="n">
        <v>89</v>
      </c>
      <c r="I5408" s="0" t="s">
        <v>18039</v>
      </c>
      <c r="J5408" s="0" t="s">
        <v>18040</v>
      </c>
      <c r="K5408" s="0" t="s">
        <v>18041</v>
      </c>
      <c r="L5408" s="0" t="str">
        <f aca="false">HYPERLINK("https://www.ncbi.nlm.nih.gov/nuccore/CP000058.1?report=graph&amp;tracks=[key:gene_model_track,Options:GeneOnly]&amp;mk=1702644:1702663|offset_35|444444,1702615:1702634|offset_64|444444,1702590:1702609|offset_89|00cc00,1702561:1702580|offset_118|444444&amp;v=1702443:1702780&amp;c=444444", "offset 89")</f>
        <v>offset 89</v>
      </c>
    </row>
    <row r="5409" customFormat="false" ht="12.8" hidden="false" customHeight="false" outlineLevel="0" collapsed="false">
      <c r="A5409" s="0" t="s">
        <v>12</v>
      </c>
      <c r="B5409" s="0" t="n">
        <v>1702560</v>
      </c>
      <c r="C5409" s="0" t="n">
        <v>1702580</v>
      </c>
      <c r="D5409" s="0" t="s">
        <v>18032</v>
      </c>
      <c r="E5409" s="0" t="s">
        <v>75</v>
      </c>
      <c r="F5409" s="0" t="s">
        <v>90</v>
      </c>
      <c r="G5409" s="0" t="s">
        <v>16</v>
      </c>
      <c r="H5409" s="0" t="n">
        <v>118</v>
      </c>
      <c r="I5409" s="0" t="s">
        <v>18042</v>
      </c>
      <c r="J5409" s="0" t="s">
        <v>18043</v>
      </c>
      <c r="K5409" s="0" t="s">
        <v>18044</v>
      </c>
      <c r="L5409" s="0" t="str">
        <f aca="false">HYPERLINK("https://www.ncbi.nlm.nih.gov/nuccore/CP000058.1?report=graph&amp;tracks=[key:gene_model_track,Options:GeneOnly]&amp;mk=1702644:1702663|offset_35|444444,1702615:1702634|offset_64|444444,1702590:1702609|offset_89|444444,1702561:1702580|offset_118|00cc00&amp;v=1702443:1702780&amp;c=444444", "offset 118")</f>
        <v>offset 118</v>
      </c>
    </row>
    <row r="5410" customFormat="false" ht="12.8" hidden="false" customHeight="false" outlineLevel="0" collapsed="false">
      <c r="A5410" s="0" t="s">
        <v>12</v>
      </c>
      <c r="B5410" s="0" t="n">
        <v>1702915</v>
      </c>
      <c r="C5410" s="0" t="n">
        <v>1702935</v>
      </c>
      <c r="D5410" s="0" t="s">
        <v>18045</v>
      </c>
      <c r="E5410" s="0" t="s">
        <v>18046</v>
      </c>
      <c r="F5410" s="0" t="s">
        <v>15</v>
      </c>
      <c r="G5410" s="0" t="s">
        <v>32</v>
      </c>
      <c r="H5410" s="0" t="n">
        <v>1</v>
      </c>
      <c r="I5410" s="0" t="s">
        <v>18047</v>
      </c>
      <c r="J5410" s="0" t="s">
        <v>18048</v>
      </c>
      <c r="K5410" s="0" t="s">
        <v>18049</v>
      </c>
      <c r="L5410" s="0" t="str">
        <f aca="false">HYPERLINK("https://www.ncbi.nlm.nih.gov/nuccore/CP000058.1?report=graph&amp;tracks=[key:gene_model_track,Options:GeneOnly]&amp;mk=1702916:1702935|offset_1|00cc00,1702977:1702996|offset_62|444444,1703003:1703022|offset_88|444444,1703039:1703058|offset_124|444444&amp;v=1702715:1703258&amp;c=444444", "offset 1")</f>
        <v>offset 1</v>
      </c>
    </row>
    <row r="5411" customFormat="false" ht="12.8" hidden="false" customHeight="false" outlineLevel="0" collapsed="false">
      <c r="A5411" s="0" t="s">
        <v>12</v>
      </c>
      <c r="B5411" s="0" t="n">
        <v>1702976</v>
      </c>
      <c r="C5411" s="0" t="n">
        <v>1702996</v>
      </c>
      <c r="D5411" s="0" t="s">
        <v>18045</v>
      </c>
      <c r="E5411" s="0" t="s">
        <v>18046</v>
      </c>
      <c r="F5411" s="0" t="s">
        <v>15</v>
      </c>
      <c r="G5411" s="0" t="s">
        <v>20</v>
      </c>
      <c r="H5411" s="0" t="n">
        <v>62</v>
      </c>
      <c r="I5411" s="0" t="s">
        <v>18050</v>
      </c>
      <c r="J5411" s="0" t="s">
        <v>18051</v>
      </c>
      <c r="K5411" s="0" t="s">
        <v>18052</v>
      </c>
      <c r="L5411" s="0" t="str">
        <f aca="false">HYPERLINK("https://www.ncbi.nlm.nih.gov/nuccore/CP000058.1?report=graph&amp;tracks=[key:gene_model_track,Options:GeneOnly]&amp;mk=1702916:1702935|offset_1|444444,1702977:1702996|offset_62|00cc00,1703003:1703022|offset_88|444444,1703039:1703058|offset_124|444444&amp;v=1702715:1703258&amp;c=444444", "offset 62")</f>
        <v>offset 62</v>
      </c>
    </row>
    <row r="5412" customFormat="false" ht="12.8" hidden="false" customHeight="false" outlineLevel="0" collapsed="false">
      <c r="A5412" s="0" t="s">
        <v>12</v>
      </c>
      <c r="B5412" s="0" t="n">
        <v>1703002</v>
      </c>
      <c r="C5412" s="0" t="n">
        <v>1703022</v>
      </c>
      <c r="D5412" s="0" t="s">
        <v>18045</v>
      </c>
      <c r="E5412" s="0" t="s">
        <v>18046</v>
      </c>
      <c r="F5412" s="0" t="s">
        <v>15</v>
      </c>
      <c r="G5412" s="0" t="s">
        <v>20</v>
      </c>
      <c r="H5412" s="0" t="n">
        <v>88</v>
      </c>
      <c r="I5412" s="0" t="s">
        <v>18053</v>
      </c>
      <c r="J5412" s="0" t="s">
        <v>18054</v>
      </c>
      <c r="K5412" s="0" t="s">
        <v>18055</v>
      </c>
      <c r="L5412" s="0" t="str">
        <f aca="false">HYPERLINK("https://www.ncbi.nlm.nih.gov/nuccore/CP000058.1?report=graph&amp;tracks=[key:gene_model_track,Options:GeneOnly]&amp;mk=1702916:1702935|offset_1|444444,1702977:1702996|offset_62|444444,1703003:1703022|offset_88|00cc00,1703039:1703058|offset_124|444444&amp;v=1702715:1703258&amp;c=444444", "offset 88")</f>
        <v>offset 88</v>
      </c>
    </row>
    <row r="5413" customFormat="false" ht="12.8" hidden="false" customHeight="false" outlineLevel="0" collapsed="false">
      <c r="A5413" s="0" t="s">
        <v>12</v>
      </c>
      <c r="B5413" s="0" t="n">
        <v>1703038</v>
      </c>
      <c r="C5413" s="0" t="n">
        <v>1703058</v>
      </c>
      <c r="D5413" s="0" t="s">
        <v>18045</v>
      </c>
      <c r="E5413" s="0" t="s">
        <v>18046</v>
      </c>
      <c r="F5413" s="0" t="s">
        <v>15</v>
      </c>
      <c r="G5413" s="0" t="s">
        <v>20</v>
      </c>
      <c r="H5413" s="0" t="n">
        <v>124</v>
      </c>
      <c r="I5413" s="0" t="s">
        <v>18056</v>
      </c>
      <c r="J5413" s="0" t="s">
        <v>18057</v>
      </c>
      <c r="K5413" s="0" t="s">
        <v>18058</v>
      </c>
      <c r="L5413" s="0" t="str">
        <f aca="false">HYPERLINK("https://www.ncbi.nlm.nih.gov/nuccore/CP000058.1?report=graph&amp;tracks=[key:gene_model_track,Options:GeneOnly]&amp;mk=1702916:1702935|offset_1|444444,1702977:1702996|offset_62|444444,1703003:1703022|offset_88|444444,1703039:1703058|offset_124|00cc00&amp;v=1702715:1703258&amp;c=444444", "offset 124")</f>
        <v>offset 124</v>
      </c>
    </row>
    <row r="5414" customFormat="false" ht="12.8" hidden="false" customHeight="false" outlineLevel="0" collapsed="false">
      <c r="A5414" s="0" t="s">
        <v>12</v>
      </c>
      <c r="B5414" s="0" t="n">
        <v>1703664</v>
      </c>
      <c r="C5414" s="0" t="n">
        <v>1703684</v>
      </c>
      <c r="D5414" s="0" t="s">
        <v>18059</v>
      </c>
      <c r="E5414" s="0" t="s">
        <v>75</v>
      </c>
      <c r="F5414" s="0" t="s">
        <v>15</v>
      </c>
      <c r="G5414" s="0" t="s">
        <v>20</v>
      </c>
      <c r="H5414" s="0" t="n">
        <v>49</v>
      </c>
      <c r="I5414" s="0" t="s">
        <v>18060</v>
      </c>
      <c r="J5414" s="0" t="s">
        <v>18061</v>
      </c>
      <c r="K5414" s="0" t="s">
        <v>18062</v>
      </c>
      <c r="L5414" s="0" t="str">
        <f aca="false">HYPERLINK("https://www.ncbi.nlm.nih.gov/nuccore/CP000058.1?report=graph&amp;tracks=[key:gene_model_track,Options:GeneOnly]&amp;mk=1703665:1703684|offset_49|00cc00,1703698:1703717|offset_82|444444,1703718:1703737|offset_102|444444,1703775:1703794|offset_159|444444&amp;v=1703464:1703994&amp;c=444444", "offset 49")</f>
        <v>offset 49</v>
      </c>
    </row>
    <row r="5415" customFormat="false" ht="12.8" hidden="false" customHeight="false" outlineLevel="0" collapsed="false">
      <c r="A5415" s="0" t="s">
        <v>12</v>
      </c>
      <c r="B5415" s="0" t="n">
        <v>1703697</v>
      </c>
      <c r="C5415" s="0" t="n">
        <v>1703717</v>
      </c>
      <c r="D5415" s="0" t="s">
        <v>18059</v>
      </c>
      <c r="E5415" s="0" t="s">
        <v>75</v>
      </c>
      <c r="F5415" s="0" t="s">
        <v>15</v>
      </c>
      <c r="G5415" s="0" t="s">
        <v>36</v>
      </c>
      <c r="H5415" s="0" t="n">
        <v>82</v>
      </c>
      <c r="I5415" s="0" t="s">
        <v>18063</v>
      </c>
      <c r="J5415" s="0" t="s">
        <v>18064</v>
      </c>
      <c r="K5415" s="0" t="s">
        <v>18065</v>
      </c>
      <c r="L5415" s="0" t="str">
        <f aca="false">HYPERLINK("https://www.ncbi.nlm.nih.gov/nuccore/CP000058.1?report=graph&amp;tracks=[key:gene_model_track,Options:GeneOnly]&amp;mk=1703665:1703684|offset_49|444444,1703698:1703717|offset_82|00cc00,1703718:1703737|offset_102|444444,1703775:1703794|offset_159|444444&amp;v=1703464:1703994&amp;c=444444", "offset 82")</f>
        <v>offset 82</v>
      </c>
    </row>
    <row r="5416" customFormat="false" ht="12.8" hidden="false" customHeight="false" outlineLevel="0" collapsed="false">
      <c r="A5416" s="0" t="s">
        <v>12</v>
      </c>
      <c r="B5416" s="0" t="n">
        <v>1703717</v>
      </c>
      <c r="C5416" s="0" t="n">
        <v>1703737</v>
      </c>
      <c r="D5416" s="0" t="s">
        <v>18059</v>
      </c>
      <c r="E5416" s="0" t="s">
        <v>75</v>
      </c>
      <c r="F5416" s="0" t="s">
        <v>15</v>
      </c>
      <c r="G5416" s="0" t="s">
        <v>36</v>
      </c>
      <c r="H5416" s="0" t="n">
        <v>102</v>
      </c>
      <c r="I5416" s="0" t="s">
        <v>18066</v>
      </c>
      <c r="J5416" s="0" t="s">
        <v>18067</v>
      </c>
      <c r="K5416" s="0" t="s">
        <v>18068</v>
      </c>
      <c r="L5416" s="0" t="str">
        <f aca="false">HYPERLINK("https://www.ncbi.nlm.nih.gov/nuccore/CP000058.1?report=graph&amp;tracks=[key:gene_model_track,Options:GeneOnly]&amp;mk=1703665:1703684|offset_49|444444,1703698:1703717|offset_82|444444,1703718:1703737|offset_102|00cc00,1703775:1703794|offset_159|444444&amp;v=1703464:1703994&amp;c=444444", "offset 102")</f>
        <v>offset 102</v>
      </c>
    </row>
    <row r="5417" customFormat="false" ht="12.8" hidden="false" customHeight="false" outlineLevel="0" collapsed="false">
      <c r="A5417" s="0" t="s">
        <v>12</v>
      </c>
      <c r="B5417" s="0" t="n">
        <v>1703774</v>
      </c>
      <c r="C5417" s="0" t="n">
        <v>1703794</v>
      </c>
      <c r="D5417" s="0" t="s">
        <v>18059</v>
      </c>
      <c r="E5417" s="0" t="s">
        <v>75</v>
      </c>
      <c r="F5417" s="0" t="s">
        <v>15</v>
      </c>
      <c r="G5417" s="0" t="s">
        <v>36</v>
      </c>
      <c r="H5417" s="0" t="n">
        <v>159</v>
      </c>
      <c r="I5417" s="0" t="s">
        <v>18069</v>
      </c>
      <c r="J5417" s="0" t="s">
        <v>18070</v>
      </c>
      <c r="K5417" s="0" t="s">
        <v>18071</v>
      </c>
      <c r="L5417" s="0" t="str">
        <f aca="false">HYPERLINK("https://www.ncbi.nlm.nih.gov/nuccore/CP000058.1?report=graph&amp;tracks=[key:gene_model_track,Options:GeneOnly]&amp;mk=1703665:1703684|offset_49|444444,1703698:1703717|offset_82|444444,1703718:1703737|offset_102|444444,1703775:1703794|offset_159|00cc00&amp;v=1703464:1703994&amp;c=444444", "offset 159")</f>
        <v>offset 159</v>
      </c>
    </row>
    <row r="5418" customFormat="false" ht="12.8" hidden="false" customHeight="false" outlineLevel="0" collapsed="false">
      <c r="A5418" s="0" t="s">
        <v>12</v>
      </c>
      <c r="B5418" s="0" t="n">
        <v>1705007</v>
      </c>
      <c r="C5418" s="0" t="n">
        <v>1705027</v>
      </c>
      <c r="D5418" s="0" t="s">
        <v>18072</v>
      </c>
      <c r="E5418" s="0" t="s">
        <v>18073</v>
      </c>
      <c r="F5418" s="0" t="s">
        <v>15</v>
      </c>
      <c r="G5418" s="0" t="s">
        <v>36</v>
      </c>
      <c r="H5418" s="0" t="n">
        <v>0</v>
      </c>
      <c r="I5418" s="0" t="s">
        <v>18074</v>
      </c>
      <c r="J5418" s="0" t="s">
        <v>18075</v>
      </c>
      <c r="K5418" s="0" t="s">
        <v>18076</v>
      </c>
      <c r="L5418" s="0" t="str">
        <f aca="false">HYPERLINK("https://www.ncbi.nlm.nih.gov/nuccore/CP000058.1?report=graph&amp;tracks=[key:gene_model_track,Options:GeneOnly]&amp;mk=1705008:1705027|offset_0|00cc00,1705028:1705047|offset_20|444444,1705057:1705076|offset_49|444444,1705077:1705096|offset_69|444444&amp;v=1704807:1705296&amp;c=444444", "offset 0")</f>
        <v>offset 0</v>
      </c>
    </row>
    <row r="5419" customFormat="false" ht="12.8" hidden="false" customHeight="false" outlineLevel="0" collapsed="false">
      <c r="A5419" s="0" t="s">
        <v>12</v>
      </c>
      <c r="B5419" s="0" t="n">
        <v>1705027</v>
      </c>
      <c r="C5419" s="0" t="n">
        <v>1705047</v>
      </c>
      <c r="D5419" s="0" t="s">
        <v>18072</v>
      </c>
      <c r="E5419" s="0" t="s">
        <v>18073</v>
      </c>
      <c r="F5419" s="0" t="s">
        <v>15</v>
      </c>
      <c r="G5419" s="0" t="s">
        <v>20</v>
      </c>
      <c r="H5419" s="0" t="n">
        <v>20</v>
      </c>
      <c r="I5419" s="0" t="s">
        <v>18077</v>
      </c>
      <c r="J5419" s="0" t="s">
        <v>18078</v>
      </c>
      <c r="K5419" s="0" t="s">
        <v>18079</v>
      </c>
      <c r="L5419" s="0" t="str">
        <f aca="false">HYPERLINK("https://www.ncbi.nlm.nih.gov/nuccore/CP000058.1?report=graph&amp;tracks=[key:gene_model_track,Options:GeneOnly]&amp;mk=1705008:1705027|offset_0|444444,1705028:1705047|offset_20|00cc00,1705057:1705076|offset_49|444444,1705077:1705096|offset_69|444444&amp;v=1704807:1705296&amp;c=444444", "offset 20")</f>
        <v>offset 20</v>
      </c>
    </row>
    <row r="5420" customFormat="false" ht="12.8" hidden="false" customHeight="false" outlineLevel="0" collapsed="false">
      <c r="A5420" s="0" t="s">
        <v>12</v>
      </c>
      <c r="B5420" s="0" t="n">
        <v>1705056</v>
      </c>
      <c r="C5420" s="0" t="n">
        <v>1705076</v>
      </c>
      <c r="D5420" s="0" t="s">
        <v>18072</v>
      </c>
      <c r="E5420" s="0" t="s">
        <v>18073</v>
      </c>
      <c r="F5420" s="0" t="s">
        <v>15</v>
      </c>
      <c r="G5420" s="0" t="s">
        <v>16</v>
      </c>
      <c r="H5420" s="0" t="n">
        <v>49</v>
      </c>
      <c r="I5420" s="0" t="s">
        <v>18080</v>
      </c>
      <c r="J5420" s="0" t="s">
        <v>18081</v>
      </c>
      <c r="K5420" s="0" t="s">
        <v>18082</v>
      </c>
      <c r="L5420" s="0" t="str">
        <f aca="false">HYPERLINK("https://www.ncbi.nlm.nih.gov/nuccore/CP000058.1?report=graph&amp;tracks=[key:gene_model_track,Options:GeneOnly]&amp;mk=1705008:1705027|offset_0|444444,1705028:1705047|offset_20|444444,1705057:1705076|offset_49|00cc00,1705077:1705096|offset_69|444444&amp;v=1704807:1705296&amp;c=444444", "offset 49")</f>
        <v>offset 49</v>
      </c>
    </row>
    <row r="5421" customFormat="false" ht="12.8" hidden="false" customHeight="false" outlineLevel="0" collapsed="false">
      <c r="A5421" s="0" t="s">
        <v>12</v>
      </c>
      <c r="B5421" s="0" t="n">
        <v>1705076</v>
      </c>
      <c r="C5421" s="0" t="n">
        <v>1705096</v>
      </c>
      <c r="D5421" s="0" t="s">
        <v>18072</v>
      </c>
      <c r="E5421" s="0" t="s">
        <v>18073</v>
      </c>
      <c r="F5421" s="0" t="s">
        <v>15</v>
      </c>
      <c r="G5421" s="0" t="s">
        <v>20</v>
      </c>
      <c r="H5421" s="0" t="n">
        <v>69</v>
      </c>
      <c r="I5421" s="0" t="s">
        <v>18083</v>
      </c>
      <c r="J5421" s="0" t="s">
        <v>18084</v>
      </c>
      <c r="K5421" s="0" t="s">
        <v>18085</v>
      </c>
      <c r="L5421" s="0" t="str">
        <f aca="false">HYPERLINK("https://www.ncbi.nlm.nih.gov/nuccore/CP000058.1?report=graph&amp;tracks=[key:gene_model_track,Options:GeneOnly]&amp;mk=1705008:1705027|offset_0|444444,1705028:1705047|offset_20|444444,1705057:1705076|offset_49|444444,1705077:1705096|offset_69|00cc00&amp;v=1704807:1705296&amp;c=444444", "offset 69")</f>
        <v>offset 69</v>
      </c>
    </row>
    <row r="5422" customFormat="false" ht="12.8" hidden="false" customHeight="false" outlineLevel="0" collapsed="false">
      <c r="A5422" s="0" t="s">
        <v>12</v>
      </c>
      <c r="B5422" s="0" t="n">
        <v>1706403</v>
      </c>
      <c r="C5422" s="0" t="n">
        <v>1706423</v>
      </c>
      <c r="D5422" s="0" t="s">
        <v>18086</v>
      </c>
      <c r="E5422" s="0" t="s">
        <v>75</v>
      </c>
      <c r="F5422" s="0" t="s">
        <v>15</v>
      </c>
      <c r="G5422" s="0" t="s">
        <v>20</v>
      </c>
      <c r="H5422" s="0" t="n">
        <v>0</v>
      </c>
      <c r="I5422" s="0" t="s">
        <v>18087</v>
      </c>
      <c r="J5422" s="0" t="s">
        <v>18088</v>
      </c>
      <c r="K5422" s="0" t="s">
        <v>18089</v>
      </c>
      <c r="L5422" s="0" t="str">
        <f aca="false">HYPERLINK("https://www.ncbi.nlm.nih.gov/nuccore/CP000058.1?report=graph&amp;tracks=[key:gene_model_track,Options:GeneOnly]&amp;mk=1706404:1706423|offset_0|00cc00,1706430:1706449|offset_26|444444,1706451:1706470|offset_47|444444,1706491:1706510|offset_87|444444&amp;v=1706203:1706710&amp;c=444444", "offset 0")</f>
        <v>offset 0</v>
      </c>
    </row>
    <row r="5423" customFormat="false" ht="12.8" hidden="false" customHeight="false" outlineLevel="0" collapsed="false">
      <c r="A5423" s="0" t="s">
        <v>12</v>
      </c>
      <c r="B5423" s="0" t="n">
        <v>1706429</v>
      </c>
      <c r="C5423" s="0" t="n">
        <v>1706449</v>
      </c>
      <c r="D5423" s="0" t="s">
        <v>18086</v>
      </c>
      <c r="E5423" s="0" t="s">
        <v>75</v>
      </c>
      <c r="F5423" s="0" t="s">
        <v>15</v>
      </c>
      <c r="G5423" s="0" t="s">
        <v>20</v>
      </c>
      <c r="H5423" s="0" t="n">
        <v>26</v>
      </c>
      <c r="I5423" s="0" t="s">
        <v>18090</v>
      </c>
      <c r="J5423" s="0" t="s">
        <v>18091</v>
      </c>
      <c r="K5423" s="0" t="s">
        <v>18092</v>
      </c>
      <c r="L5423" s="0" t="str">
        <f aca="false">HYPERLINK("https://www.ncbi.nlm.nih.gov/nuccore/CP000058.1?report=graph&amp;tracks=[key:gene_model_track,Options:GeneOnly]&amp;mk=1706404:1706423|offset_0|444444,1706430:1706449|offset_26|00cc00,1706451:1706470|offset_47|444444,1706491:1706510|offset_87|444444&amp;v=1706203:1706710&amp;c=444444", "offset 26")</f>
        <v>offset 26</v>
      </c>
    </row>
    <row r="5424" customFormat="false" ht="12.8" hidden="false" customHeight="false" outlineLevel="0" collapsed="false">
      <c r="A5424" s="0" t="s">
        <v>12</v>
      </c>
      <c r="B5424" s="0" t="n">
        <v>1706450</v>
      </c>
      <c r="C5424" s="0" t="n">
        <v>1706470</v>
      </c>
      <c r="D5424" s="0" t="s">
        <v>18086</v>
      </c>
      <c r="E5424" s="0" t="s">
        <v>75</v>
      </c>
      <c r="F5424" s="0" t="s">
        <v>15</v>
      </c>
      <c r="G5424" s="0" t="s">
        <v>16</v>
      </c>
      <c r="H5424" s="0" t="n">
        <v>47</v>
      </c>
      <c r="I5424" s="0" t="s">
        <v>18093</v>
      </c>
      <c r="J5424" s="0" t="s">
        <v>18094</v>
      </c>
      <c r="K5424" s="0" t="s">
        <v>18095</v>
      </c>
      <c r="L5424" s="0" t="str">
        <f aca="false">HYPERLINK("https://www.ncbi.nlm.nih.gov/nuccore/CP000058.1?report=graph&amp;tracks=[key:gene_model_track,Options:GeneOnly]&amp;mk=1706404:1706423|offset_0|444444,1706430:1706449|offset_26|444444,1706451:1706470|offset_47|00cc00,1706491:1706510|offset_87|444444&amp;v=1706203:1706710&amp;c=444444", "offset 47")</f>
        <v>offset 47</v>
      </c>
    </row>
    <row r="5425" customFormat="false" ht="12.8" hidden="false" customHeight="false" outlineLevel="0" collapsed="false">
      <c r="A5425" s="0" t="s">
        <v>12</v>
      </c>
      <c r="B5425" s="0" t="n">
        <v>1706490</v>
      </c>
      <c r="C5425" s="0" t="n">
        <v>1706510</v>
      </c>
      <c r="D5425" s="0" t="s">
        <v>18086</v>
      </c>
      <c r="E5425" s="0" t="s">
        <v>75</v>
      </c>
      <c r="F5425" s="0" t="s">
        <v>15</v>
      </c>
      <c r="G5425" s="0" t="s">
        <v>20</v>
      </c>
      <c r="H5425" s="0" t="n">
        <v>87</v>
      </c>
      <c r="I5425" s="0" t="s">
        <v>18096</v>
      </c>
      <c r="J5425" s="0" t="s">
        <v>18097</v>
      </c>
      <c r="K5425" s="0" t="s">
        <v>18098</v>
      </c>
      <c r="L5425" s="0" t="str">
        <f aca="false">HYPERLINK("https://www.ncbi.nlm.nih.gov/nuccore/CP000058.1?report=graph&amp;tracks=[key:gene_model_track,Options:GeneOnly]&amp;mk=1706404:1706423|offset_0|444444,1706430:1706449|offset_26|444444,1706451:1706470|offset_47|444444,1706491:1706510|offset_87|00cc00&amp;v=1706203:1706710&amp;c=444444", "offset 87")</f>
        <v>offset 87</v>
      </c>
    </row>
    <row r="5426" customFormat="false" ht="12.8" hidden="false" customHeight="false" outlineLevel="0" collapsed="false">
      <c r="A5426" s="0" t="s">
        <v>12</v>
      </c>
      <c r="B5426" s="0" t="n">
        <v>1707920</v>
      </c>
      <c r="C5426" s="0" t="n">
        <v>1707940</v>
      </c>
      <c r="D5426" s="0" t="s">
        <v>18099</v>
      </c>
      <c r="E5426" s="0" t="s">
        <v>75</v>
      </c>
      <c r="F5426" s="0" t="s">
        <v>90</v>
      </c>
      <c r="G5426" s="0" t="s">
        <v>36</v>
      </c>
      <c r="H5426" s="0" t="n">
        <v>22</v>
      </c>
      <c r="I5426" s="0" t="s">
        <v>18100</v>
      </c>
      <c r="J5426" s="0" t="s">
        <v>18101</v>
      </c>
      <c r="K5426" s="0" t="s">
        <v>18102</v>
      </c>
      <c r="L5426" s="0" t="str">
        <f aca="false">HYPERLINK("https://www.ncbi.nlm.nih.gov/nuccore/CP000058.1?report=graph&amp;tracks=[key:gene_model_track,Options:GeneOnly]&amp;mk=1707921:1707940|offset_22|00cc00,1707900:1707919|offset_43|444444,1707836:1707855|offset_107|444444,1707815:1707834|offset_128|444444&amp;v=1707720:1708034&amp;c=444444", "offset 22")</f>
        <v>offset 22</v>
      </c>
    </row>
    <row r="5427" customFormat="false" ht="12.8" hidden="false" customHeight="false" outlineLevel="0" collapsed="false">
      <c r="A5427" s="0" t="s">
        <v>12</v>
      </c>
      <c r="B5427" s="0" t="n">
        <v>1707899</v>
      </c>
      <c r="C5427" s="0" t="n">
        <v>1707919</v>
      </c>
      <c r="D5427" s="0" t="s">
        <v>18099</v>
      </c>
      <c r="E5427" s="0" t="s">
        <v>75</v>
      </c>
      <c r="F5427" s="0" t="s">
        <v>90</v>
      </c>
      <c r="G5427" s="0" t="s">
        <v>32</v>
      </c>
      <c r="H5427" s="0" t="n">
        <v>43</v>
      </c>
      <c r="I5427" s="0" t="s">
        <v>18103</v>
      </c>
      <c r="J5427" s="0" t="s">
        <v>18104</v>
      </c>
      <c r="K5427" s="0" t="s">
        <v>18105</v>
      </c>
      <c r="L5427" s="0" t="str">
        <f aca="false">HYPERLINK("https://www.ncbi.nlm.nih.gov/nuccore/CP000058.1?report=graph&amp;tracks=[key:gene_model_track,Options:GeneOnly]&amp;mk=1707921:1707940|offset_22|444444,1707900:1707919|offset_43|00cc00,1707836:1707855|offset_107|444444,1707815:1707834|offset_128|444444&amp;v=1707720:1708034&amp;c=444444", "offset 43")</f>
        <v>offset 43</v>
      </c>
    </row>
    <row r="5428" customFormat="false" ht="12.8" hidden="false" customHeight="false" outlineLevel="0" collapsed="false">
      <c r="A5428" s="0" t="s">
        <v>12</v>
      </c>
      <c r="B5428" s="0" t="n">
        <v>1707835</v>
      </c>
      <c r="C5428" s="0" t="n">
        <v>1707855</v>
      </c>
      <c r="D5428" s="0" t="s">
        <v>18099</v>
      </c>
      <c r="E5428" s="0" t="s">
        <v>75</v>
      </c>
      <c r="F5428" s="0" t="s">
        <v>90</v>
      </c>
      <c r="G5428" s="0" t="s">
        <v>36</v>
      </c>
      <c r="H5428" s="0" t="n">
        <v>107</v>
      </c>
      <c r="I5428" s="0" t="s">
        <v>18106</v>
      </c>
      <c r="J5428" s="0" t="s">
        <v>18107</v>
      </c>
      <c r="K5428" s="0" t="s">
        <v>18108</v>
      </c>
      <c r="L5428" s="0" t="str">
        <f aca="false">HYPERLINK("https://www.ncbi.nlm.nih.gov/nuccore/CP000058.1?report=graph&amp;tracks=[key:gene_model_track,Options:GeneOnly]&amp;mk=1707921:1707940|offset_22|444444,1707900:1707919|offset_43|444444,1707836:1707855|offset_107|00cc00,1707815:1707834|offset_128|444444&amp;v=1707720:1708034&amp;c=444444", "offset 107")</f>
        <v>offset 107</v>
      </c>
    </row>
    <row r="5429" customFormat="false" ht="12.8" hidden="false" customHeight="false" outlineLevel="0" collapsed="false">
      <c r="A5429" s="0" t="s">
        <v>12</v>
      </c>
      <c r="B5429" s="0" t="n">
        <v>1707814</v>
      </c>
      <c r="C5429" s="0" t="n">
        <v>1707834</v>
      </c>
      <c r="D5429" s="0" t="s">
        <v>18099</v>
      </c>
      <c r="E5429" s="0" t="s">
        <v>75</v>
      </c>
      <c r="F5429" s="0" t="s">
        <v>90</v>
      </c>
      <c r="G5429" s="0" t="s">
        <v>20</v>
      </c>
      <c r="H5429" s="0" t="n">
        <v>128</v>
      </c>
      <c r="I5429" s="0" t="s">
        <v>18109</v>
      </c>
      <c r="J5429" s="0" t="s">
        <v>18110</v>
      </c>
      <c r="K5429" s="0" t="s">
        <v>18111</v>
      </c>
      <c r="L5429" s="0" t="str">
        <f aca="false">HYPERLINK("https://www.ncbi.nlm.nih.gov/nuccore/CP000058.1?report=graph&amp;tracks=[key:gene_model_track,Options:GeneOnly]&amp;mk=1707921:1707940|offset_22|444444,1707900:1707919|offset_43|444444,1707836:1707855|offset_107|444444,1707815:1707834|offset_128|00cc00&amp;v=1707720:1708034&amp;c=444444", "offset 128")</f>
        <v>offset 128</v>
      </c>
    </row>
    <row r="5430" customFormat="false" ht="12.8" hidden="false" customHeight="false" outlineLevel="0" collapsed="false">
      <c r="A5430" s="0" t="s">
        <v>12</v>
      </c>
      <c r="B5430" s="0" t="n">
        <v>1708739</v>
      </c>
      <c r="C5430" s="0" t="n">
        <v>1708759</v>
      </c>
      <c r="D5430" s="0" t="s">
        <v>18112</v>
      </c>
      <c r="E5430" s="0" t="s">
        <v>75</v>
      </c>
      <c r="F5430" s="0" t="s">
        <v>90</v>
      </c>
      <c r="G5430" s="0" t="s">
        <v>32</v>
      </c>
      <c r="H5430" s="0" t="n">
        <v>1</v>
      </c>
      <c r="I5430" s="0" t="s">
        <v>18113</v>
      </c>
      <c r="J5430" s="0" t="s">
        <v>18114</v>
      </c>
      <c r="K5430" s="0" t="s">
        <v>18115</v>
      </c>
      <c r="L5430" s="0" t="str">
        <f aca="false">HYPERLINK("https://www.ncbi.nlm.nih.gov/nuccore/CP000058.1?report=graph&amp;tracks=[key:gene_model_track,Options:GeneOnly]&amp;mk=1708740:1708759|offset_1|00cc00,1708701:1708720|offset_40|444444,1708674:1708693|offset_67|444444,1708640:1708659|offset_101|444444&amp;v=1708539:1708859&amp;c=444444", "offset 1")</f>
        <v>offset 1</v>
      </c>
    </row>
    <row r="5431" customFormat="false" ht="12.8" hidden="false" customHeight="false" outlineLevel="0" collapsed="false">
      <c r="A5431" s="0" t="s">
        <v>12</v>
      </c>
      <c r="B5431" s="0" t="n">
        <v>1708700</v>
      </c>
      <c r="C5431" s="0" t="n">
        <v>1708720</v>
      </c>
      <c r="D5431" s="0" t="s">
        <v>18112</v>
      </c>
      <c r="E5431" s="0" t="s">
        <v>75</v>
      </c>
      <c r="F5431" s="0" t="s">
        <v>90</v>
      </c>
      <c r="G5431" s="0" t="s">
        <v>32</v>
      </c>
      <c r="H5431" s="0" t="n">
        <v>40</v>
      </c>
      <c r="I5431" s="0" t="s">
        <v>18116</v>
      </c>
      <c r="J5431" s="0" t="s">
        <v>18117</v>
      </c>
      <c r="K5431" s="0" t="s">
        <v>18118</v>
      </c>
      <c r="L5431" s="0" t="str">
        <f aca="false">HYPERLINK("https://www.ncbi.nlm.nih.gov/nuccore/CP000058.1?report=graph&amp;tracks=[key:gene_model_track,Options:GeneOnly]&amp;mk=1708740:1708759|offset_1|444444,1708701:1708720|offset_40|00cc00,1708674:1708693|offset_67|444444,1708640:1708659|offset_101|444444&amp;v=1708539:1708859&amp;c=444444", "offset 40")</f>
        <v>offset 40</v>
      </c>
    </row>
    <row r="5432" customFormat="false" ht="12.8" hidden="false" customHeight="false" outlineLevel="0" collapsed="false">
      <c r="A5432" s="0" t="s">
        <v>12</v>
      </c>
      <c r="B5432" s="0" t="n">
        <v>1708673</v>
      </c>
      <c r="C5432" s="0" t="n">
        <v>1708693</v>
      </c>
      <c r="D5432" s="0" t="s">
        <v>18112</v>
      </c>
      <c r="E5432" s="0" t="s">
        <v>75</v>
      </c>
      <c r="F5432" s="0" t="s">
        <v>90</v>
      </c>
      <c r="G5432" s="0" t="s">
        <v>36</v>
      </c>
      <c r="H5432" s="0" t="n">
        <v>67</v>
      </c>
      <c r="I5432" s="0" t="s">
        <v>18119</v>
      </c>
      <c r="J5432" s="0" t="s">
        <v>18120</v>
      </c>
      <c r="K5432" s="0" t="s">
        <v>18121</v>
      </c>
      <c r="L5432" s="0" t="str">
        <f aca="false">HYPERLINK("https://www.ncbi.nlm.nih.gov/nuccore/CP000058.1?report=graph&amp;tracks=[key:gene_model_track,Options:GeneOnly]&amp;mk=1708740:1708759|offset_1|444444,1708701:1708720|offset_40|444444,1708674:1708693|offset_67|00cc00,1708640:1708659|offset_101|444444&amp;v=1708539:1708859&amp;c=444444", "offset 67")</f>
        <v>offset 67</v>
      </c>
    </row>
    <row r="5433" customFormat="false" ht="12.8" hidden="false" customHeight="false" outlineLevel="0" collapsed="false">
      <c r="A5433" s="0" t="s">
        <v>12</v>
      </c>
      <c r="B5433" s="0" t="n">
        <v>1708639</v>
      </c>
      <c r="C5433" s="0" t="n">
        <v>1708659</v>
      </c>
      <c r="D5433" s="0" t="s">
        <v>18112</v>
      </c>
      <c r="E5433" s="0" t="s">
        <v>75</v>
      </c>
      <c r="F5433" s="0" t="s">
        <v>90</v>
      </c>
      <c r="G5433" s="0" t="s">
        <v>20</v>
      </c>
      <c r="H5433" s="0" t="n">
        <v>101</v>
      </c>
      <c r="I5433" s="0" t="s">
        <v>18122</v>
      </c>
      <c r="J5433" s="0" t="s">
        <v>18123</v>
      </c>
      <c r="K5433" s="0" t="s">
        <v>18124</v>
      </c>
      <c r="L5433" s="0" t="str">
        <f aca="false">HYPERLINK("https://www.ncbi.nlm.nih.gov/nuccore/CP000058.1?report=graph&amp;tracks=[key:gene_model_track,Options:GeneOnly]&amp;mk=1708740:1708759|offset_1|444444,1708701:1708720|offset_40|444444,1708674:1708693|offset_67|444444,1708640:1708659|offset_101|00cc00&amp;v=1708539:1708859&amp;c=444444", "offset 101")</f>
        <v>offset 101</v>
      </c>
    </row>
    <row r="5434" customFormat="false" ht="12.8" hidden="false" customHeight="false" outlineLevel="0" collapsed="false">
      <c r="A5434" s="0" t="s">
        <v>12</v>
      </c>
      <c r="B5434" s="0" t="n">
        <v>1709444</v>
      </c>
      <c r="C5434" s="0" t="n">
        <v>1709464</v>
      </c>
      <c r="D5434" s="0" t="s">
        <v>18125</v>
      </c>
      <c r="E5434" s="0" t="s">
        <v>75</v>
      </c>
      <c r="F5434" s="0" t="s">
        <v>90</v>
      </c>
      <c r="G5434" s="0" t="s">
        <v>32</v>
      </c>
      <c r="H5434" s="0" t="n">
        <v>7</v>
      </c>
      <c r="I5434" s="0" t="s">
        <v>18126</v>
      </c>
      <c r="J5434" s="0" t="s">
        <v>18127</v>
      </c>
      <c r="K5434" s="0" t="s">
        <v>18128</v>
      </c>
      <c r="L5434" s="0" t="str">
        <f aca="false">HYPERLINK("https://www.ncbi.nlm.nih.gov/nuccore/CP000058.1?report=graph&amp;tracks=[key:gene_model_track,Options:GeneOnly]&amp;mk=1709445:1709464|offset_7|00cc00,1709413:1709432|offset_39|444444,1709360:1709379|offset_92|444444,1709339:1709358|offset_113|444444&amp;v=1709244:1709558&amp;c=444444", "offset 7")</f>
        <v>offset 7</v>
      </c>
    </row>
    <row r="5435" customFormat="false" ht="12.8" hidden="false" customHeight="false" outlineLevel="0" collapsed="false">
      <c r="A5435" s="0" t="s">
        <v>12</v>
      </c>
      <c r="B5435" s="0" t="n">
        <v>1709412</v>
      </c>
      <c r="C5435" s="0" t="n">
        <v>1709432</v>
      </c>
      <c r="D5435" s="0" t="s">
        <v>18125</v>
      </c>
      <c r="E5435" s="0" t="s">
        <v>75</v>
      </c>
      <c r="F5435" s="0" t="s">
        <v>90</v>
      </c>
      <c r="G5435" s="0" t="s">
        <v>20</v>
      </c>
      <c r="H5435" s="0" t="n">
        <v>39</v>
      </c>
      <c r="I5435" s="0" t="s">
        <v>18129</v>
      </c>
      <c r="J5435" s="0" t="s">
        <v>18130</v>
      </c>
      <c r="K5435" s="0" t="s">
        <v>18131</v>
      </c>
      <c r="L5435" s="0" t="str">
        <f aca="false">HYPERLINK("https://www.ncbi.nlm.nih.gov/nuccore/CP000058.1?report=graph&amp;tracks=[key:gene_model_track,Options:GeneOnly]&amp;mk=1709445:1709464|offset_7|444444,1709413:1709432|offset_39|00cc00,1709360:1709379|offset_92|444444,1709339:1709358|offset_113|444444&amp;v=1709244:1709558&amp;c=444444", "offset 39")</f>
        <v>offset 39</v>
      </c>
    </row>
    <row r="5436" customFormat="false" ht="12.8" hidden="false" customHeight="false" outlineLevel="0" collapsed="false">
      <c r="A5436" s="0" t="s">
        <v>12</v>
      </c>
      <c r="B5436" s="0" t="n">
        <v>1709359</v>
      </c>
      <c r="C5436" s="0" t="n">
        <v>1709379</v>
      </c>
      <c r="D5436" s="0" t="s">
        <v>18125</v>
      </c>
      <c r="E5436" s="0" t="s">
        <v>75</v>
      </c>
      <c r="F5436" s="0" t="s">
        <v>90</v>
      </c>
      <c r="G5436" s="0" t="s">
        <v>20</v>
      </c>
      <c r="H5436" s="0" t="n">
        <v>92</v>
      </c>
      <c r="I5436" s="0" t="s">
        <v>18132</v>
      </c>
      <c r="J5436" s="0" t="s">
        <v>18133</v>
      </c>
      <c r="K5436" s="0" t="s">
        <v>18134</v>
      </c>
      <c r="L5436" s="0" t="str">
        <f aca="false">HYPERLINK("https://www.ncbi.nlm.nih.gov/nuccore/CP000058.1?report=graph&amp;tracks=[key:gene_model_track,Options:GeneOnly]&amp;mk=1709445:1709464|offset_7|444444,1709413:1709432|offset_39|444444,1709360:1709379|offset_92|00cc00,1709339:1709358|offset_113|444444&amp;v=1709244:1709558&amp;c=444444", "offset 92")</f>
        <v>offset 92</v>
      </c>
    </row>
    <row r="5437" customFormat="false" ht="12.8" hidden="false" customHeight="false" outlineLevel="0" collapsed="false">
      <c r="A5437" s="0" t="s">
        <v>12</v>
      </c>
      <c r="B5437" s="0" t="n">
        <v>1709338</v>
      </c>
      <c r="C5437" s="0" t="n">
        <v>1709358</v>
      </c>
      <c r="D5437" s="0" t="s">
        <v>18125</v>
      </c>
      <c r="E5437" s="0" t="s">
        <v>75</v>
      </c>
      <c r="F5437" s="0" t="s">
        <v>90</v>
      </c>
      <c r="G5437" s="0" t="s">
        <v>32</v>
      </c>
      <c r="H5437" s="0" t="n">
        <v>113</v>
      </c>
      <c r="I5437" s="0" t="s">
        <v>18135</v>
      </c>
      <c r="J5437" s="0" t="s">
        <v>18136</v>
      </c>
      <c r="K5437" s="0" t="s">
        <v>18137</v>
      </c>
      <c r="L5437" s="0" t="str">
        <f aca="false">HYPERLINK("https://www.ncbi.nlm.nih.gov/nuccore/CP000058.1?report=graph&amp;tracks=[key:gene_model_track,Options:GeneOnly]&amp;mk=1709445:1709464|offset_7|444444,1709413:1709432|offset_39|444444,1709360:1709379|offset_92|444444,1709339:1709358|offset_113|00cc00&amp;v=1709244:1709558&amp;c=444444", "offset 113")</f>
        <v>offset 113</v>
      </c>
    </row>
    <row r="5438" customFormat="false" ht="12.8" hidden="false" customHeight="false" outlineLevel="0" collapsed="false">
      <c r="A5438" s="0" t="s">
        <v>12</v>
      </c>
      <c r="B5438" s="0" t="n">
        <v>1709743</v>
      </c>
      <c r="C5438" s="0" t="n">
        <v>1709763</v>
      </c>
      <c r="D5438" s="0" t="s">
        <v>18138</v>
      </c>
      <c r="E5438" s="0" t="s">
        <v>75</v>
      </c>
      <c r="F5438" s="0" t="s">
        <v>90</v>
      </c>
      <c r="G5438" s="0" t="s">
        <v>32</v>
      </c>
      <c r="H5438" s="0" t="n">
        <v>10</v>
      </c>
      <c r="I5438" s="0" t="s">
        <v>18139</v>
      </c>
      <c r="J5438" s="0" t="s">
        <v>18140</v>
      </c>
      <c r="K5438" s="0" t="s">
        <v>18141</v>
      </c>
      <c r="L5438" s="0" t="str">
        <f aca="false">HYPERLINK("https://www.ncbi.nlm.nih.gov/nuccore/CP000058.1?report=graph&amp;tracks=[key:gene_model_track,Options:GeneOnly]&amp;mk=1709744:1709763|offset_10|00cc00,1709714:1709733|offset_40|444444,1709656:1709675|offset_98|444444,1709635:1709654|offset_119|444444&amp;v=1709543:1709854&amp;c=444444", "offset 10")</f>
        <v>offset 10</v>
      </c>
    </row>
    <row r="5439" customFormat="false" ht="12.8" hidden="false" customHeight="false" outlineLevel="0" collapsed="false">
      <c r="A5439" s="0" t="s">
        <v>12</v>
      </c>
      <c r="B5439" s="0" t="n">
        <v>1709713</v>
      </c>
      <c r="C5439" s="0" t="n">
        <v>1709733</v>
      </c>
      <c r="D5439" s="0" t="s">
        <v>18138</v>
      </c>
      <c r="E5439" s="0" t="s">
        <v>75</v>
      </c>
      <c r="F5439" s="0" t="s">
        <v>90</v>
      </c>
      <c r="G5439" s="0" t="s">
        <v>32</v>
      </c>
      <c r="H5439" s="0" t="n">
        <v>40</v>
      </c>
      <c r="I5439" s="0" t="s">
        <v>18142</v>
      </c>
      <c r="J5439" s="0" t="s">
        <v>18143</v>
      </c>
      <c r="K5439" s="0" t="s">
        <v>18144</v>
      </c>
      <c r="L5439" s="0" t="str">
        <f aca="false">HYPERLINK("https://www.ncbi.nlm.nih.gov/nuccore/CP000058.1?report=graph&amp;tracks=[key:gene_model_track,Options:GeneOnly]&amp;mk=1709744:1709763|offset_10|444444,1709714:1709733|offset_40|00cc00,1709656:1709675|offset_98|444444,1709635:1709654|offset_119|444444&amp;v=1709543:1709854&amp;c=444444", "offset 40")</f>
        <v>offset 40</v>
      </c>
    </row>
    <row r="5440" customFormat="false" ht="12.8" hidden="false" customHeight="false" outlineLevel="0" collapsed="false">
      <c r="A5440" s="0" t="s">
        <v>12</v>
      </c>
      <c r="B5440" s="0" t="n">
        <v>1709655</v>
      </c>
      <c r="C5440" s="0" t="n">
        <v>1709675</v>
      </c>
      <c r="D5440" s="0" t="s">
        <v>18138</v>
      </c>
      <c r="E5440" s="0" t="s">
        <v>75</v>
      </c>
      <c r="F5440" s="0" t="s">
        <v>90</v>
      </c>
      <c r="G5440" s="0" t="s">
        <v>20</v>
      </c>
      <c r="H5440" s="0" t="n">
        <v>98</v>
      </c>
      <c r="I5440" s="0" t="s">
        <v>18145</v>
      </c>
      <c r="J5440" s="0" t="s">
        <v>18146</v>
      </c>
      <c r="K5440" s="0" t="s">
        <v>18147</v>
      </c>
      <c r="L5440" s="0" t="str">
        <f aca="false">HYPERLINK("https://www.ncbi.nlm.nih.gov/nuccore/CP000058.1?report=graph&amp;tracks=[key:gene_model_track,Options:GeneOnly]&amp;mk=1709744:1709763|offset_10|444444,1709714:1709733|offset_40|444444,1709656:1709675|offset_98|00cc00,1709635:1709654|offset_119|444444&amp;v=1709543:1709854&amp;c=444444", "offset 98")</f>
        <v>offset 98</v>
      </c>
    </row>
    <row r="5441" customFormat="false" ht="12.8" hidden="false" customHeight="false" outlineLevel="0" collapsed="false">
      <c r="A5441" s="0" t="s">
        <v>12</v>
      </c>
      <c r="B5441" s="0" t="n">
        <v>1709634</v>
      </c>
      <c r="C5441" s="0" t="n">
        <v>1709654</v>
      </c>
      <c r="D5441" s="0" t="s">
        <v>18138</v>
      </c>
      <c r="E5441" s="0" t="s">
        <v>75</v>
      </c>
      <c r="F5441" s="0" t="s">
        <v>90</v>
      </c>
      <c r="G5441" s="0" t="s">
        <v>32</v>
      </c>
      <c r="H5441" s="0" t="n">
        <v>119</v>
      </c>
      <c r="I5441" s="0" t="s">
        <v>18148</v>
      </c>
      <c r="J5441" s="0" t="s">
        <v>18149</v>
      </c>
      <c r="K5441" s="0" t="s">
        <v>18150</v>
      </c>
      <c r="L5441" s="0" t="str">
        <f aca="false">HYPERLINK("https://www.ncbi.nlm.nih.gov/nuccore/CP000058.1?report=graph&amp;tracks=[key:gene_model_track,Options:GeneOnly]&amp;mk=1709744:1709763|offset_10|444444,1709714:1709733|offset_40|444444,1709656:1709675|offset_98|444444,1709635:1709654|offset_119|00cc00&amp;v=1709543:1709854&amp;c=444444", "offset 119")</f>
        <v>offset 119</v>
      </c>
    </row>
    <row r="5442" customFormat="false" ht="12.8" hidden="false" customHeight="false" outlineLevel="0" collapsed="false">
      <c r="A5442" s="0" t="s">
        <v>12</v>
      </c>
      <c r="B5442" s="0" t="n">
        <v>1710171</v>
      </c>
      <c r="C5442" s="0" t="n">
        <v>1710191</v>
      </c>
      <c r="D5442" s="0" t="s">
        <v>18151</v>
      </c>
      <c r="E5442" s="0" t="s">
        <v>75</v>
      </c>
      <c r="F5442" s="0" t="s">
        <v>15</v>
      </c>
      <c r="G5442" s="0" t="s">
        <v>20</v>
      </c>
      <c r="H5442" s="0" t="n">
        <v>92</v>
      </c>
      <c r="I5442" s="0" t="s">
        <v>18152</v>
      </c>
      <c r="J5442" s="0" t="s">
        <v>18153</v>
      </c>
      <c r="K5442" s="0" t="s">
        <v>18154</v>
      </c>
      <c r="L5442" s="0" t="str">
        <f aca="false">HYPERLINK("https://www.ncbi.nlm.nih.gov/nuccore/CP000058.1?report=graph&amp;tracks=[key:gene_model_track,Options:GeneOnly]&amp;mk=1710172:1710191|offset_92|00cc00,1710193:1710212|offset_113|444444,1710270:1710289|offset_190|444444,1710309:1710328|offset_229|444444&amp;v=1709971:1710528&amp;c=444444", "offset 92")</f>
        <v>offset 92</v>
      </c>
    </row>
    <row r="5443" customFormat="false" ht="12.8" hidden="false" customHeight="false" outlineLevel="0" collapsed="false">
      <c r="A5443" s="0" t="s">
        <v>12</v>
      </c>
      <c r="B5443" s="0" t="n">
        <v>1710192</v>
      </c>
      <c r="C5443" s="0" t="n">
        <v>1710212</v>
      </c>
      <c r="D5443" s="0" t="s">
        <v>18151</v>
      </c>
      <c r="E5443" s="0" t="s">
        <v>75</v>
      </c>
      <c r="F5443" s="0" t="s">
        <v>15</v>
      </c>
      <c r="G5443" s="0" t="s">
        <v>36</v>
      </c>
      <c r="H5443" s="0" t="n">
        <v>113</v>
      </c>
      <c r="I5443" s="0" t="s">
        <v>18155</v>
      </c>
      <c r="J5443" s="0" t="s">
        <v>18156</v>
      </c>
      <c r="K5443" s="0" t="s">
        <v>18157</v>
      </c>
      <c r="L5443" s="0" t="str">
        <f aca="false">HYPERLINK("https://www.ncbi.nlm.nih.gov/nuccore/CP000058.1?report=graph&amp;tracks=[key:gene_model_track,Options:GeneOnly]&amp;mk=1710172:1710191|offset_92|444444,1710193:1710212|offset_113|00cc00,1710270:1710289|offset_190|444444,1710309:1710328|offset_229|444444&amp;v=1709971:1710528&amp;c=444444", "offset 113")</f>
        <v>offset 113</v>
      </c>
    </row>
    <row r="5444" customFormat="false" ht="12.8" hidden="false" customHeight="false" outlineLevel="0" collapsed="false">
      <c r="A5444" s="0" t="s">
        <v>12</v>
      </c>
      <c r="B5444" s="0" t="n">
        <v>1710269</v>
      </c>
      <c r="C5444" s="0" t="n">
        <v>1710289</v>
      </c>
      <c r="D5444" s="0" t="s">
        <v>18151</v>
      </c>
      <c r="E5444" s="0" t="s">
        <v>75</v>
      </c>
      <c r="F5444" s="0" t="s">
        <v>15</v>
      </c>
      <c r="G5444" s="0" t="s">
        <v>32</v>
      </c>
      <c r="H5444" s="0" t="n">
        <v>190</v>
      </c>
      <c r="I5444" s="0" t="s">
        <v>18158</v>
      </c>
      <c r="J5444" s="0" t="s">
        <v>18159</v>
      </c>
      <c r="K5444" s="0" t="s">
        <v>18160</v>
      </c>
      <c r="L5444" s="0" t="str">
        <f aca="false">HYPERLINK("https://www.ncbi.nlm.nih.gov/nuccore/CP000058.1?report=graph&amp;tracks=[key:gene_model_track,Options:GeneOnly]&amp;mk=1710172:1710191|offset_92|444444,1710193:1710212|offset_113|444444,1710270:1710289|offset_190|00cc00,1710309:1710328|offset_229|444444&amp;v=1709971:1710528&amp;c=444444", "offset 190")</f>
        <v>offset 190</v>
      </c>
    </row>
    <row r="5445" customFormat="false" ht="12.8" hidden="false" customHeight="false" outlineLevel="0" collapsed="false">
      <c r="A5445" s="0" t="s">
        <v>12</v>
      </c>
      <c r="B5445" s="0" t="n">
        <v>1710308</v>
      </c>
      <c r="C5445" s="0" t="n">
        <v>1710328</v>
      </c>
      <c r="D5445" s="0" t="s">
        <v>18151</v>
      </c>
      <c r="E5445" s="0" t="s">
        <v>75</v>
      </c>
      <c r="F5445" s="0" t="s">
        <v>15</v>
      </c>
      <c r="G5445" s="0" t="s">
        <v>32</v>
      </c>
      <c r="H5445" s="0" t="n">
        <v>229</v>
      </c>
      <c r="I5445" s="0" t="s">
        <v>18161</v>
      </c>
      <c r="J5445" s="0" t="s">
        <v>18162</v>
      </c>
      <c r="K5445" s="0" t="s">
        <v>18163</v>
      </c>
      <c r="L5445" s="0" t="str">
        <f aca="false">HYPERLINK("https://www.ncbi.nlm.nih.gov/nuccore/CP000058.1?report=graph&amp;tracks=[key:gene_model_track,Options:GeneOnly]&amp;mk=1710172:1710191|offset_92|444444,1710193:1710212|offset_113|444444,1710270:1710289|offset_190|444444,1710309:1710328|offset_229|00cc00&amp;v=1709971:1710528&amp;c=444444", "offset 229")</f>
        <v>offset 229</v>
      </c>
    </row>
    <row r="5446" customFormat="false" ht="12.8" hidden="false" customHeight="false" outlineLevel="0" collapsed="false">
      <c r="A5446" s="0" t="s">
        <v>12</v>
      </c>
      <c r="B5446" s="0" t="n">
        <v>1710954</v>
      </c>
      <c r="C5446" s="0" t="n">
        <v>1710974</v>
      </c>
      <c r="D5446" s="0" t="s">
        <v>18164</v>
      </c>
      <c r="E5446" s="0" t="s">
        <v>75</v>
      </c>
      <c r="F5446" s="0" t="s">
        <v>15</v>
      </c>
      <c r="G5446" s="0" t="s">
        <v>36</v>
      </c>
      <c r="H5446" s="0" t="n">
        <v>0</v>
      </c>
      <c r="I5446" s="0" t="s">
        <v>18165</v>
      </c>
      <c r="J5446" s="0" t="s">
        <v>18166</v>
      </c>
      <c r="K5446" s="0" t="s">
        <v>18167</v>
      </c>
      <c r="L5446" s="0" t="str">
        <f aca="false">HYPERLINK("https://www.ncbi.nlm.nih.gov/nuccore/CP000058.1?report=graph&amp;tracks=[key:gene_model_track,Options:GeneOnly]&amp;mk=1710955:1710974|offset_0|00cc00,1710981:1711000|offset_26|444444,1711008:1711027|offset_53|444444,1711032:1711051|offset_77|444444&amp;v=1710754:1711251&amp;c=444444", "offset 0")</f>
        <v>offset 0</v>
      </c>
    </row>
    <row r="5447" customFormat="false" ht="12.8" hidden="false" customHeight="false" outlineLevel="0" collapsed="false">
      <c r="A5447" s="0" t="s">
        <v>12</v>
      </c>
      <c r="B5447" s="0" t="n">
        <v>1710980</v>
      </c>
      <c r="C5447" s="0" t="n">
        <v>1711000</v>
      </c>
      <c r="D5447" s="0" t="s">
        <v>18164</v>
      </c>
      <c r="E5447" s="0" t="s">
        <v>75</v>
      </c>
      <c r="F5447" s="0" t="s">
        <v>15</v>
      </c>
      <c r="G5447" s="0" t="s">
        <v>20</v>
      </c>
      <c r="H5447" s="0" t="n">
        <v>26</v>
      </c>
      <c r="I5447" s="0" t="s">
        <v>18168</v>
      </c>
      <c r="J5447" s="0" t="s">
        <v>18169</v>
      </c>
      <c r="K5447" s="0" t="s">
        <v>18170</v>
      </c>
      <c r="L5447" s="0" t="str">
        <f aca="false">HYPERLINK("https://www.ncbi.nlm.nih.gov/nuccore/CP000058.1?report=graph&amp;tracks=[key:gene_model_track,Options:GeneOnly]&amp;mk=1710955:1710974|offset_0|444444,1710981:1711000|offset_26|00cc00,1711008:1711027|offset_53|444444,1711032:1711051|offset_77|444444&amp;v=1710754:1711251&amp;c=444444", "offset 26")</f>
        <v>offset 26</v>
      </c>
    </row>
    <row r="5448" customFormat="false" ht="12.8" hidden="false" customHeight="false" outlineLevel="0" collapsed="false">
      <c r="A5448" s="0" t="s">
        <v>12</v>
      </c>
      <c r="B5448" s="0" t="n">
        <v>1711007</v>
      </c>
      <c r="C5448" s="0" t="n">
        <v>1711027</v>
      </c>
      <c r="D5448" s="0" t="s">
        <v>18164</v>
      </c>
      <c r="E5448" s="0" t="s">
        <v>75</v>
      </c>
      <c r="F5448" s="0" t="s">
        <v>15</v>
      </c>
      <c r="G5448" s="0" t="s">
        <v>20</v>
      </c>
      <c r="H5448" s="0" t="n">
        <v>53</v>
      </c>
      <c r="I5448" s="0" t="s">
        <v>18171</v>
      </c>
      <c r="J5448" s="0" t="s">
        <v>18172</v>
      </c>
      <c r="K5448" s="0" t="s">
        <v>18173</v>
      </c>
      <c r="L5448" s="0" t="str">
        <f aca="false">HYPERLINK("https://www.ncbi.nlm.nih.gov/nuccore/CP000058.1?report=graph&amp;tracks=[key:gene_model_track,Options:GeneOnly]&amp;mk=1710955:1710974|offset_0|444444,1710981:1711000|offset_26|444444,1711008:1711027|offset_53|00cc00,1711032:1711051|offset_77|444444&amp;v=1710754:1711251&amp;c=444444", "offset 53")</f>
        <v>offset 53</v>
      </c>
    </row>
    <row r="5449" customFormat="false" ht="12.8" hidden="false" customHeight="false" outlineLevel="0" collapsed="false">
      <c r="A5449" s="0" t="s">
        <v>12</v>
      </c>
      <c r="B5449" s="0" t="n">
        <v>1711031</v>
      </c>
      <c r="C5449" s="0" t="n">
        <v>1711051</v>
      </c>
      <c r="D5449" s="0" t="s">
        <v>18164</v>
      </c>
      <c r="E5449" s="0" t="s">
        <v>75</v>
      </c>
      <c r="F5449" s="0" t="s">
        <v>15</v>
      </c>
      <c r="G5449" s="0" t="s">
        <v>20</v>
      </c>
      <c r="H5449" s="0" t="n">
        <v>77</v>
      </c>
      <c r="I5449" s="0" t="s">
        <v>18174</v>
      </c>
      <c r="J5449" s="0" t="s">
        <v>18175</v>
      </c>
      <c r="K5449" s="0" t="s">
        <v>18176</v>
      </c>
      <c r="L5449" s="0" t="str">
        <f aca="false">HYPERLINK("https://www.ncbi.nlm.nih.gov/nuccore/CP000058.1?report=graph&amp;tracks=[key:gene_model_track,Options:GeneOnly]&amp;mk=1710955:1710974|offset_0|444444,1710981:1711000|offset_26|444444,1711008:1711027|offset_53|444444,1711032:1711051|offset_77|00cc00&amp;v=1710754:1711251&amp;c=444444", "offset 77")</f>
        <v>offset 77</v>
      </c>
    </row>
    <row r="5450" customFormat="false" ht="12.8" hidden="false" customHeight="false" outlineLevel="0" collapsed="false">
      <c r="A5450" s="0" t="s">
        <v>12</v>
      </c>
      <c r="B5450" s="0" t="n">
        <v>1711927</v>
      </c>
      <c r="C5450" s="0" t="n">
        <v>1711947</v>
      </c>
      <c r="D5450" s="0" t="s">
        <v>18177</v>
      </c>
      <c r="E5450" s="0" t="s">
        <v>75</v>
      </c>
      <c r="F5450" s="0" t="s">
        <v>90</v>
      </c>
      <c r="G5450" s="0" t="s">
        <v>32</v>
      </c>
      <c r="H5450" s="0" t="n">
        <v>6</v>
      </c>
      <c r="I5450" s="0" t="s">
        <v>18178</v>
      </c>
      <c r="J5450" s="0" t="s">
        <v>18179</v>
      </c>
      <c r="K5450" s="0" t="s">
        <v>18180</v>
      </c>
      <c r="L5450" s="0" t="str">
        <f aca="false">HYPERLINK("https://www.ncbi.nlm.nih.gov/nuccore/CP000058.1?report=graph&amp;tracks=[key:gene_model_track,Options:GeneOnly]&amp;mk=1711928:1711947|offset_6|00cc00,1711891:1711910|offset_43|444444,1711847:1711866|offset_87|444444,1711771:1711790|offset_163|444444&amp;v=1711727:1711990&amp;c=444444", "offset 6")</f>
        <v>offset 6</v>
      </c>
    </row>
    <row r="5451" customFormat="false" ht="12.8" hidden="false" customHeight="false" outlineLevel="0" collapsed="false">
      <c r="A5451" s="0" t="s">
        <v>12</v>
      </c>
      <c r="B5451" s="0" t="n">
        <v>1711890</v>
      </c>
      <c r="C5451" s="0" t="n">
        <v>1711910</v>
      </c>
      <c r="D5451" s="0" t="s">
        <v>18177</v>
      </c>
      <c r="E5451" s="0" t="s">
        <v>75</v>
      </c>
      <c r="F5451" s="0" t="s">
        <v>90</v>
      </c>
      <c r="G5451" s="0" t="s">
        <v>16</v>
      </c>
      <c r="H5451" s="0" t="n">
        <v>43</v>
      </c>
      <c r="I5451" s="0" t="s">
        <v>18181</v>
      </c>
      <c r="J5451" s="0" t="s">
        <v>18182</v>
      </c>
      <c r="K5451" s="0" t="s">
        <v>18183</v>
      </c>
      <c r="L5451" s="0" t="str">
        <f aca="false">HYPERLINK("https://www.ncbi.nlm.nih.gov/nuccore/CP000058.1?report=graph&amp;tracks=[key:gene_model_track,Options:GeneOnly]&amp;mk=1711928:1711947|offset_6|444444,1711891:1711910|offset_43|00cc00,1711847:1711866|offset_87|444444,1711771:1711790|offset_163|444444&amp;v=1711727:1711990&amp;c=444444", "offset 43")</f>
        <v>offset 43</v>
      </c>
    </row>
    <row r="5452" customFormat="false" ht="12.8" hidden="false" customHeight="false" outlineLevel="0" collapsed="false">
      <c r="A5452" s="0" t="s">
        <v>12</v>
      </c>
      <c r="B5452" s="0" t="n">
        <v>1711846</v>
      </c>
      <c r="C5452" s="0" t="n">
        <v>1711866</v>
      </c>
      <c r="D5452" s="0" t="s">
        <v>18177</v>
      </c>
      <c r="E5452" s="0" t="s">
        <v>75</v>
      </c>
      <c r="F5452" s="0" t="s">
        <v>90</v>
      </c>
      <c r="G5452" s="0" t="s">
        <v>32</v>
      </c>
      <c r="H5452" s="0" t="n">
        <v>87</v>
      </c>
      <c r="I5452" s="0" t="s">
        <v>18184</v>
      </c>
      <c r="J5452" s="0" t="s">
        <v>18185</v>
      </c>
      <c r="K5452" s="0" t="s">
        <v>18186</v>
      </c>
      <c r="L5452" s="0" t="str">
        <f aca="false">HYPERLINK("https://www.ncbi.nlm.nih.gov/nuccore/CP000058.1?report=graph&amp;tracks=[key:gene_model_track,Options:GeneOnly]&amp;mk=1711928:1711947|offset_6|444444,1711891:1711910|offset_43|444444,1711847:1711866|offset_87|00cc00,1711771:1711790|offset_163|444444&amp;v=1711727:1711990&amp;c=444444", "offset 87")</f>
        <v>offset 87</v>
      </c>
    </row>
    <row r="5453" customFormat="false" ht="12.8" hidden="false" customHeight="false" outlineLevel="0" collapsed="false">
      <c r="A5453" s="0" t="s">
        <v>12</v>
      </c>
      <c r="B5453" s="0" t="n">
        <v>1711770</v>
      </c>
      <c r="C5453" s="0" t="n">
        <v>1711790</v>
      </c>
      <c r="D5453" s="0" t="s">
        <v>18177</v>
      </c>
      <c r="E5453" s="0" t="s">
        <v>75</v>
      </c>
      <c r="F5453" s="0" t="s">
        <v>90</v>
      </c>
      <c r="G5453" s="0" t="s">
        <v>32</v>
      </c>
      <c r="H5453" s="0" t="n">
        <v>163</v>
      </c>
      <c r="I5453" s="0" t="s">
        <v>18187</v>
      </c>
      <c r="J5453" s="0" t="s">
        <v>18188</v>
      </c>
      <c r="K5453" s="0" t="s">
        <v>18189</v>
      </c>
      <c r="L5453" s="0" t="str">
        <f aca="false">HYPERLINK("https://www.ncbi.nlm.nih.gov/nuccore/CP000058.1?report=graph&amp;tracks=[key:gene_model_track,Options:GeneOnly]&amp;mk=1711928:1711947|offset_6|444444,1711891:1711910|offset_43|444444,1711847:1711866|offset_87|444444,1711771:1711790|offset_163|00cc00&amp;v=1711727:1711990&amp;c=444444", "offset 163")</f>
        <v>offset 163</v>
      </c>
    </row>
    <row r="5454" customFormat="false" ht="12.8" hidden="false" customHeight="false" outlineLevel="0" collapsed="false">
      <c r="A5454" s="0" t="s">
        <v>12</v>
      </c>
      <c r="B5454" s="0" t="n">
        <v>1712073</v>
      </c>
      <c r="C5454" s="0" t="n">
        <v>1712093</v>
      </c>
      <c r="D5454" s="0" t="s">
        <v>18190</v>
      </c>
      <c r="E5454" s="0" t="s">
        <v>75</v>
      </c>
      <c r="F5454" s="0" t="s">
        <v>15</v>
      </c>
      <c r="G5454" s="0" t="s">
        <v>32</v>
      </c>
      <c r="H5454" s="0" t="n">
        <v>13</v>
      </c>
      <c r="I5454" s="0" t="s">
        <v>18191</v>
      </c>
      <c r="J5454" s="0" t="s">
        <v>18192</v>
      </c>
      <c r="K5454" s="0" t="s">
        <v>18193</v>
      </c>
      <c r="L5454" s="0" t="str">
        <f aca="false">HYPERLINK("https://www.ncbi.nlm.nih.gov/nuccore/CP000058.1?report=graph&amp;tracks=[key:gene_model_track,Options:GeneOnly]&amp;mk=1712074:1712093|offset_13|00cc00,1712098:1712117|offset_37|444444,1712143:1712162|offset_82|444444,1712198:1712217|offset_137|444444&amp;v=1711873:1712417&amp;c=444444", "offset 13")</f>
        <v>offset 13</v>
      </c>
    </row>
    <row r="5455" customFormat="false" ht="12.8" hidden="false" customHeight="false" outlineLevel="0" collapsed="false">
      <c r="A5455" s="0" t="s">
        <v>12</v>
      </c>
      <c r="B5455" s="0" t="n">
        <v>1712097</v>
      </c>
      <c r="C5455" s="0" t="n">
        <v>1712117</v>
      </c>
      <c r="D5455" s="0" t="s">
        <v>18190</v>
      </c>
      <c r="E5455" s="0" t="s">
        <v>75</v>
      </c>
      <c r="F5455" s="0" t="s">
        <v>15</v>
      </c>
      <c r="G5455" s="0" t="s">
        <v>32</v>
      </c>
      <c r="H5455" s="0" t="n">
        <v>37</v>
      </c>
      <c r="I5455" s="0" t="s">
        <v>18194</v>
      </c>
      <c r="J5455" s="0" t="s">
        <v>18195</v>
      </c>
      <c r="K5455" s="0" t="s">
        <v>18196</v>
      </c>
      <c r="L5455" s="0" t="str">
        <f aca="false">HYPERLINK("https://www.ncbi.nlm.nih.gov/nuccore/CP000058.1?report=graph&amp;tracks=[key:gene_model_track,Options:GeneOnly]&amp;mk=1712074:1712093|offset_13|444444,1712098:1712117|offset_37|00cc00,1712143:1712162|offset_82|444444,1712198:1712217|offset_137|444444&amp;v=1711873:1712417&amp;c=444444", "offset 37")</f>
        <v>offset 37</v>
      </c>
    </row>
    <row r="5456" customFormat="false" ht="12.8" hidden="false" customHeight="false" outlineLevel="0" collapsed="false">
      <c r="A5456" s="0" t="s">
        <v>12</v>
      </c>
      <c r="B5456" s="0" t="n">
        <v>1712142</v>
      </c>
      <c r="C5456" s="0" t="n">
        <v>1712162</v>
      </c>
      <c r="D5456" s="0" t="s">
        <v>18190</v>
      </c>
      <c r="E5456" s="0" t="s">
        <v>75</v>
      </c>
      <c r="F5456" s="0" t="s">
        <v>15</v>
      </c>
      <c r="G5456" s="0" t="s">
        <v>16</v>
      </c>
      <c r="H5456" s="0" t="n">
        <v>82</v>
      </c>
      <c r="I5456" s="0" t="s">
        <v>18197</v>
      </c>
      <c r="J5456" s="0" t="s">
        <v>18198</v>
      </c>
      <c r="K5456" s="0" t="s">
        <v>18199</v>
      </c>
      <c r="L5456" s="0" t="str">
        <f aca="false">HYPERLINK("https://www.ncbi.nlm.nih.gov/nuccore/CP000058.1?report=graph&amp;tracks=[key:gene_model_track,Options:GeneOnly]&amp;mk=1712074:1712093|offset_13|444444,1712098:1712117|offset_37|444444,1712143:1712162|offset_82|00cc00,1712198:1712217|offset_137|444444&amp;v=1711873:1712417&amp;c=444444", "offset 82")</f>
        <v>offset 82</v>
      </c>
    </row>
    <row r="5457" customFormat="false" ht="12.8" hidden="false" customHeight="false" outlineLevel="0" collapsed="false">
      <c r="A5457" s="0" t="s">
        <v>12</v>
      </c>
      <c r="B5457" s="0" t="n">
        <v>1712197</v>
      </c>
      <c r="C5457" s="0" t="n">
        <v>1712217</v>
      </c>
      <c r="D5457" s="0" t="s">
        <v>18190</v>
      </c>
      <c r="E5457" s="0" t="s">
        <v>75</v>
      </c>
      <c r="F5457" s="0" t="s">
        <v>15</v>
      </c>
      <c r="G5457" s="0" t="s">
        <v>32</v>
      </c>
      <c r="H5457" s="0" t="n">
        <v>137</v>
      </c>
      <c r="I5457" s="0" t="s">
        <v>18200</v>
      </c>
      <c r="J5457" s="0" t="s">
        <v>18201</v>
      </c>
      <c r="K5457" s="0" t="s">
        <v>18202</v>
      </c>
      <c r="L5457" s="0" t="str">
        <f aca="false">HYPERLINK("https://www.ncbi.nlm.nih.gov/nuccore/CP000058.1?report=graph&amp;tracks=[key:gene_model_track,Options:GeneOnly]&amp;mk=1712074:1712093|offset_13|444444,1712098:1712117|offset_37|444444,1712143:1712162|offset_82|444444,1712198:1712217|offset_137|00cc00&amp;v=1711873:1712417&amp;c=444444", "offset 137")</f>
        <v>offset 137</v>
      </c>
    </row>
    <row r="5458" customFormat="false" ht="12.8" hidden="false" customHeight="false" outlineLevel="0" collapsed="false">
      <c r="A5458" s="0" t="s">
        <v>12</v>
      </c>
      <c r="B5458" s="0" t="n">
        <v>1712480</v>
      </c>
      <c r="C5458" s="0" t="n">
        <v>1712500</v>
      </c>
      <c r="D5458" s="0" t="s">
        <v>18203</v>
      </c>
      <c r="E5458" s="0" t="s">
        <v>75</v>
      </c>
      <c r="F5458" s="0" t="s">
        <v>15</v>
      </c>
      <c r="G5458" s="0" t="s">
        <v>32</v>
      </c>
      <c r="H5458" s="0" t="n">
        <v>1</v>
      </c>
      <c r="I5458" s="0" t="s">
        <v>18204</v>
      </c>
      <c r="J5458" s="0" t="s">
        <v>18205</v>
      </c>
      <c r="K5458" s="0" t="s">
        <v>18206</v>
      </c>
      <c r="L5458" s="0" t="str">
        <f aca="false">HYPERLINK("https://www.ncbi.nlm.nih.gov/nuccore/CP000058.1?report=graph&amp;tracks=[key:gene_model_track,Options:GeneOnly]&amp;mk=1712481:1712500|offset_1|00cc00,1712535:1712554|offset_55|444444,1712565:1712584|offset_85|444444,1712590:1712609|offset_110|444444&amp;v=1712280:1712809&amp;c=444444", "offset 1")</f>
        <v>offset 1</v>
      </c>
    </row>
    <row r="5459" customFormat="false" ht="12.8" hidden="false" customHeight="false" outlineLevel="0" collapsed="false">
      <c r="A5459" s="0" t="s">
        <v>12</v>
      </c>
      <c r="B5459" s="0" t="n">
        <v>1712534</v>
      </c>
      <c r="C5459" s="0" t="n">
        <v>1712554</v>
      </c>
      <c r="D5459" s="0" t="s">
        <v>18203</v>
      </c>
      <c r="E5459" s="0" t="s">
        <v>75</v>
      </c>
      <c r="F5459" s="0" t="s">
        <v>15</v>
      </c>
      <c r="G5459" s="0" t="s">
        <v>16</v>
      </c>
      <c r="H5459" s="0" t="n">
        <v>55</v>
      </c>
      <c r="I5459" s="0" t="s">
        <v>18207</v>
      </c>
      <c r="J5459" s="0" t="s">
        <v>18208</v>
      </c>
      <c r="K5459" s="0" t="s">
        <v>18209</v>
      </c>
      <c r="L5459" s="0" t="str">
        <f aca="false">HYPERLINK("https://www.ncbi.nlm.nih.gov/nuccore/CP000058.1?report=graph&amp;tracks=[key:gene_model_track,Options:GeneOnly]&amp;mk=1712481:1712500|offset_1|444444,1712535:1712554|offset_55|00cc00,1712565:1712584|offset_85|444444,1712590:1712609|offset_110|444444&amp;v=1712280:1712809&amp;c=444444", "offset 55")</f>
        <v>offset 55</v>
      </c>
    </row>
    <row r="5460" customFormat="false" ht="12.8" hidden="false" customHeight="false" outlineLevel="0" collapsed="false">
      <c r="A5460" s="0" t="s">
        <v>12</v>
      </c>
      <c r="B5460" s="0" t="n">
        <v>1712564</v>
      </c>
      <c r="C5460" s="0" t="n">
        <v>1712584</v>
      </c>
      <c r="D5460" s="0" t="s">
        <v>18203</v>
      </c>
      <c r="E5460" s="0" t="s">
        <v>75</v>
      </c>
      <c r="F5460" s="0" t="s">
        <v>15</v>
      </c>
      <c r="G5460" s="0" t="s">
        <v>32</v>
      </c>
      <c r="H5460" s="0" t="n">
        <v>85</v>
      </c>
      <c r="I5460" s="0" t="s">
        <v>18210</v>
      </c>
      <c r="J5460" s="0" t="s">
        <v>18211</v>
      </c>
      <c r="K5460" s="0" t="s">
        <v>18212</v>
      </c>
      <c r="L5460" s="0" t="str">
        <f aca="false">HYPERLINK("https://www.ncbi.nlm.nih.gov/nuccore/CP000058.1?report=graph&amp;tracks=[key:gene_model_track,Options:GeneOnly]&amp;mk=1712481:1712500|offset_1|444444,1712535:1712554|offset_55|444444,1712565:1712584|offset_85|00cc00,1712590:1712609|offset_110|444444&amp;v=1712280:1712809&amp;c=444444", "offset 85")</f>
        <v>offset 85</v>
      </c>
    </row>
    <row r="5461" customFormat="false" ht="12.8" hidden="false" customHeight="false" outlineLevel="0" collapsed="false">
      <c r="A5461" s="0" t="s">
        <v>12</v>
      </c>
      <c r="B5461" s="0" t="n">
        <v>1712589</v>
      </c>
      <c r="C5461" s="0" t="n">
        <v>1712609</v>
      </c>
      <c r="D5461" s="0" t="s">
        <v>18203</v>
      </c>
      <c r="E5461" s="0" t="s">
        <v>75</v>
      </c>
      <c r="F5461" s="0" t="s">
        <v>15</v>
      </c>
      <c r="G5461" s="0" t="s">
        <v>32</v>
      </c>
      <c r="H5461" s="0" t="n">
        <v>110</v>
      </c>
      <c r="I5461" s="0" t="s">
        <v>18213</v>
      </c>
      <c r="J5461" s="0" t="s">
        <v>18214</v>
      </c>
      <c r="K5461" s="0" t="s">
        <v>18215</v>
      </c>
      <c r="L5461" s="0" t="str">
        <f aca="false">HYPERLINK("https://www.ncbi.nlm.nih.gov/nuccore/CP000058.1?report=graph&amp;tracks=[key:gene_model_track,Options:GeneOnly]&amp;mk=1712481:1712500|offset_1|444444,1712535:1712554|offset_55|444444,1712565:1712584|offset_85|444444,1712590:1712609|offset_110|00cc00&amp;v=1712280:1712809&amp;c=444444", "offset 110")</f>
        <v>offset 110</v>
      </c>
    </row>
    <row r="5462" customFormat="false" ht="12.8" hidden="false" customHeight="false" outlineLevel="0" collapsed="false">
      <c r="A5462" s="0" t="s">
        <v>12</v>
      </c>
      <c r="B5462" s="0" t="n">
        <v>1713495</v>
      </c>
      <c r="C5462" s="0" t="n">
        <v>1713515</v>
      </c>
      <c r="D5462" s="0" t="s">
        <v>18216</v>
      </c>
      <c r="E5462" s="0" t="s">
        <v>18217</v>
      </c>
      <c r="F5462" s="0" t="s">
        <v>15</v>
      </c>
      <c r="G5462" s="0" t="s">
        <v>32</v>
      </c>
      <c r="H5462" s="0" t="n">
        <v>1</v>
      </c>
      <c r="I5462" s="0" t="s">
        <v>18218</v>
      </c>
      <c r="J5462" s="0" t="s">
        <v>18219</v>
      </c>
      <c r="K5462" s="0" t="s">
        <v>18220</v>
      </c>
      <c r="L5462" s="0" t="str">
        <f aca="false">HYPERLINK("https://www.ncbi.nlm.nih.gov/nuccore/CP000058.1?report=graph&amp;tracks=[key:gene_model_track,Options:GeneOnly]&amp;mk=1713496:1713515|offset_1|00cc00,1713533:1713552|offset_38|444444,1713558:1713577|offset_63|444444,1713601:1713620|offset_106|444444&amp;v=1713295:1713820&amp;c=444444", "offset 1")</f>
        <v>offset 1</v>
      </c>
    </row>
    <row r="5463" customFormat="false" ht="12.8" hidden="false" customHeight="false" outlineLevel="0" collapsed="false">
      <c r="A5463" s="0" t="s">
        <v>12</v>
      </c>
      <c r="B5463" s="0" t="n">
        <v>1713532</v>
      </c>
      <c r="C5463" s="0" t="n">
        <v>1713552</v>
      </c>
      <c r="D5463" s="0" t="s">
        <v>18216</v>
      </c>
      <c r="E5463" s="0" t="s">
        <v>18217</v>
      </c>
      <c r="F5463" s="0" t="s">
        <v>15</v>
      </c>
      <c r="G5463" s="0" t="s">
        <v>20</v>
      </c>
      <c r="H5463" s="0" t="n">
        <v>38</v>
      </c>
      <c r="I5463" s="0" t="s">
        <v>18221</v>
      </c>
      <c r="J5463" s="0" t="s">
        <v>18222</v>
      </c>
      <c r="K5463" s="0" t="s">
        <v>18223</v>
      </c>
      <c r="L5463" s="0" t="str">
        <f aca="false">HYPERLINK("https://www.ncbi.nlm.nih.gov/nuccore/CP000058.1?report=graph&amp;tracks=[key:gene_model_track,Options:GeneOnly]&amp;mk=1713496:1713515|offset_1|444444,1713533:1713552|offset_38|00cc00,1713558:1713577|offset_63|444444,1713601:1713620|offset_106|444444&amp;v=1713295:1713820&amp;c=444444", "offset 38")</f>
        <v>offset 38</v>
      </c>
    </row>
    <row r="5464" customFormat="false" ht="12.8" hidden="false" customHeight="false" outlineLevel="0" collapsed="false">
      <c r="A5464" s="0" t="s">
        <v>12</v>
      </c>
      <c r="B5464" s="0" t="n">
        <v>1713557</v>
      </c>
      <c r="C5464" s="0" t="n">
        <v>1713577</v>
      </c>
      <c r="D5464" s="0" t="s">
        <v>18216</v>
      </c>
      <c r="E5464" s="0" t="s">
        <v>18217</v>
      </c>
      <c r="F5464" s="0" t="s">
        <v>15</v>
      </c>
      <c r="G5464" s="0" t="s">
        <v>36</v>
      </c>
      <c r="H5464" s="0" t="n">
        <v>63</v>
      </c>
      <c r="I5464" s="0" t="s">
        <v>18224</v>
      </c>
      <c r="J5464" s="0" t="s">
        <v>18225</v>
      </c>
      <c r="K5464" s="0" t="s">
        <v>18226</v>
      </c>
      <c r="L5464" s="0" t="str">
        <f aca="false">HYPERLINK("https://www.ncbi.nlm.nih.gov/nuccore/CP000058.1?report=graph&amp;tracks=[key:gene_model_track,Options:GeneOnly]&amp;mk=1713496:1713515|offset_1|444444,1713533:1713552|offset_38|444444,1713558:1713577|offset_63|00cc00,1713601:1713620|offset_106|444444&amp;v=1713295:1713820&amp;c=444444", "offset 63")</f>
        <v>offset 63</v>
      </c>
    </row>
    <row r="5465" customFormat="false" ht="12.8" hidden="false" customHeight="false" outlineLevel="0" collapsed="false">
      <c r="A5465" s="0" t="s">
        <v>12</v>
      </c>
      <c r="B5465" s="0" t="n">
        <v>1713600</v>
      </c>
      <c r="C5465" s="0" t="n">
        <v>1713620</v>
      </c>
      <c r="D5465" s="0" t="s">
        <v>18216</v>
      </c>
      <c r="E5465" s="0" t="s">
        <v>18217</v>
      </c>
      <c r="F5465" s="0" t="s">
        <v>15</v>
      </c>
      <c r="G5465" s="0" t="s">
        <v>16</v>
      </c>
      <c r="H5465" s="0" t="n">
        <v>106</v>
      </c>
      <c r="I5465" s="0" t="s">
        <v>18227</v>
      </c>
      <c r="J5465" s="0" t="s">
        <v>18228</v>
      </c>
      <c r="K5465" s="0" t="s">
        <v>18229</v>
      </c>
      <c r="L5465" s="0" t="str">
        <f aca="false">HYPERLINK("https://www.ncbi.nlm.nih.gov/nuccore/CP000058.1?report=graph&amp;tracks=[key:gene_model_track,Options:GeneOnly]&amp;mk=1713496:1713515|offset_1|444444,1713533:1713552|offset_38|444444,1713558:1713577|offset_63|444444,1713601:1713620|offset_106|00cc00&amp;v=1713295:1713820&amp;c=444444", "offset 106")</f>
        <v>offset 106</v>
      </c>
    </row>
    <row r="5466" customFormat="false" ht="12.8" hidden="false" customHeight="false" outlineLevel="0" collapsed="false">
      <c r="A5466" s="0" t="s">
        <v>12</v>
      </c>
      <c r="B5466" s="0" t="n">
        <v>1714435</v>
      </c>
      <c r="C5466" s="0" t="n">
        <v>1714455</v>
      </c>
      <c r="D5466" s="0" t="s">
        <v>18230</v>
      </c>
      <c r="E5466" s="0" t="s">
        <v>75</v>
      </c>
      <c r="F5466" s="0" t="s">
        <v>90</v>
      </c>
      <c r="G5466" s="0" t="s">
        <v>32</v>
      </c>
      <c r="H5466" s="0" t="n">
        <v>14</v>
      </c>
      <c r="I5466" s="0" t="s">
        <v>18231</v>
      </c>
      <c r="J5466" s="0" t="s">
        <v>18232</v>
      </c>
      <c r="K5466" s="0" t="s">
        <v>18233</v>
      </c>
      <c r="L5466" s="0" t="str">
        <f aca="false">HYPERLINK("https://www.ncbi.nlm.nih.gov/nuccore/CP000058.1?report=graph&amp;tracks=[key:gene_model_track,Options:GeneOnly]&amp;mk=1714436:1714455|offset_14|00cc00,1714409:1714428|offset_41|444444,1714385:1714404|offset_65|444444,1714356:1714375|offset_94|444444&amp;v=1714235:1714575&amp;c=444444", "offset 14")</f>
        <v>offset 14</v>
      </c>
    </row>
    <row r="5467" customFormat="false" ht="12.8" hidden="false" customHeight="false" outlineLevel="0" collapsed="false">
      <c r="A5467" s="0" t="s">
        <v>12</v>
      </c>
      <c r="B5467" s="0" t="n">
        <v>1714408</v>
      </c>
      <c r="C5467" s="0" t="n">
        <v>1714428</v>
      </c>
      <c r="D5467" s="0" t="s">
        <v>18230</v>
      </c>
      <c r="E5467" s="0" t="s">
        <v>75</v>
      </c>
      <c r="F5467" s="0" t="s">
        <v>90</v>
      </c>
      <c r="G5467" s="0" t="s">
        <v>16</v>
      </c>
      <c r="H5467" s="0" t="n">
        <v>41</v>
      </c>
      <c r="I5467" s="0" t="s">
        <v>18234</v>
      </c>
      <c r="J5467" s="0" t="s">
        <v>18235</v>
      </c>
      <c r="K5467" s="0" t="s">
        <v>18236</v>
      </c>
      <c r="L5467" s="0" t="str">
        <f aca="false">HYPERLINK("https://www.ncbi.nlm.nih.gov/nuccore/CP000058.1?report=graph&amp;tracks=[key:gene_model_track,Options:GeneOnly]&amp;mk=1714436:1714455|offset_14|444444,1714409:1714428|offset_41|00cc00,1714385:1714404|offset_65|444444,1714356:1714375|offset_94|444444&amp;v=1714235:1714575&amp;c=444444", "offset 41")</f>
        <v>offset 41</v>
      </c>
    </row>
    <row r="5468" customFormat="false" ht="12.8" hidden="false" customHeight="false" outlineLevel="0" collapsed="false">
      <c r="A5468" s="0" t="s">
        <v>12</v>
      </c>
      <c r="B5468" s="0" t="n">
        <v>1714384</v>
      </c>
      <c r="C5468" s="0" t="n">
        <v>1714404</v>
      </c>
      <c r="D5468" s="0" t="s">
        <v>18230</v>
      </c>
      <c r="E5468" s="0" t="s">
        <v>75</v>
      </c>
      <c r="F5468" s="0" t="s">
        <v>90</v>
      </c>
      <c r="G5468" s="0" t="s">
        <v>16</v>
      </c>
      <c r="H5468" s="0" t="n">
        <v>65</v>
      </c>
      <c r="I5468" s="0" t="s">
        <v>18237</v>
      </c>
      <c r="J5468" s="0" t="s">
        <v>18238</v>
      </c>
      <c r="K5468" s="0" t="s">
        <v>18239</v>
      </c>
      <c r="L5468" s="0" t="str">
        <f aca="false">HYPERLINK("https://www.ncbi.nlm.nih.gov/nuccore/CP000058.1?report=graph&amp;tracks=[key:gene_model_track,Options:GeneOnly]&amp;mk=1714436:1714455|offset_14|444444,1714409:1714428|offset_41|444444,1714385:1714404|offset_65|00cc00,1714356:1714375|offset_94|444444&amp;v=1714235:1714575&amp;c=444444", "offset 65")</f>
        <v>offset 65</v>
      </c>
    </row>
    <row r="5469" customFormat="false" ht="12.8" hidden="false" customHeight="false" outlineLevel="0" collapsed="false">
      <c r="A5469" s="0" t="s">
        <v>12</v>
      </c>
      <c r="B5469" s="0" t="n">
        <v>1714355</v>
      </c>
      <c r="C5469" s="0" t="n">
        <v>1714375</v>
      </c>
      <c r="D5469" s="0" t="s">
        <v>18230</v>
      </c>
      <c r="E5469" s="0" t="s">
        <v>75</v>
      </c>
      <c r="F5469" s="0" t="s">
        <v>90</v>
      </c>
      <c r="G5469" s="0" t="s">
        <v>32</v>
      </c>
      <c r="H5469" s="0" t="n">
        <v>94</v>
      </c>
      <c r="I5469" s="0" t="s">
        <v>18240</v>
      </c>
      <c r="J5469" s="0" t="s">
        <v>18241</v>
      </c>
      <c r="K5469" s="0" t="s">
        <v>18242</v>
      </c>
      <c r="L5469" s="0" t="str">
        <f aca="false">HYPERLINK("https://www.ncbi.nlm.nih.gov/nuccore/CP000058.1?report=graph&amp;tracks=[key:gene_model_track,Options:GeneOnly]&amp;mk=1714436:1714455|offset_14|444444,1714409:1714428|offset_41|444444,1714385:1714404|offset_65|444444,1714356:1714375|offset_94|00cc00&amp;v=1714235:1714575&amp;c=444444", "offset 94")</f>
        <v>offset 94</v>
      </c>
    </row>
    <row r="5470" customFormat="false" ht="12.8" hidden="false" customHeight="false" outlineLevel="0" collapsed="false">
      <c r="A5470" s="0" t="s">
        <v>12</v>
      </c>
      <c r="B5470" s="0" t="n">
        <v>1714680</v>
      </c>
      <c r="C5470" s="0" t="n">
        <v>1714700</v>
      </c>
      <c r="D5470" s="0" t="s">
        <v>18243</v>
      </c>
      <c r="E5470" s="0" t="s">
        <v>75</v>
      </c>
      <c r="F5470" s="0" t="s">
        <v>15</v>
      </c>
      <c r="G5470" s="0" t="s">
        <v>20</v>
      </c>
      <c r="H5470" s="0" t="n">
        <v>90</v>
      </c>
      <c r="I5470" s="0" t="s">
        <v>18244</v>
      </c>
      <c r="J5470" s="0" t="s">
        <v>18245</v>
      </c>
      <c r="K5470" s="0" t="s">
        <v>18246</v>
      </c>
      <c r="L5470" s="0" t="str">
        <f aca="false">HYPERLINK("https://www.ncbi.nlm.nih.gov/nuccore/CP000058.1?report=graph&amp;tracks=[key:gene_model_track,Options:GeneOnly]&amp;mk=1714681:1714700|offset_90|00cc00,1714719:1714738|offset_128|444444,1714742:1714761|offset_151|444444,1714767:1714786|offset_176|444444&amp;v=1714480:1714986&amp;c=444444", "offset 90")</f>
        <v>offset 90</v>
      </c>
    </row>
    <row r="5471" customFormat="false" ht="12.8" hidden="false" customHeight="false" outlineLevel="0" collapsed="false">
      <c r="A5471" s="0" t="s">
        <v>12</v>
      </c>
      <c r="B5471" s="0" t="n">
        <v>1714718</v>
      </c>
      <c r="C5471" s="0" t="n">
        <v>1714738</v>
      </c>
      <c r="D5471" s="0" t="s">
        <v>18243</v>
      </c>
      <c r="E5471" s="0" t="s">
        <v>75</v>
      </c>
      <c r="F5471" s="0" t="s">
        <v>15</v>
      </c>
      <c r="G5471" s="0" t="s">
        <v>20</v>
      </c>
      <c r="H5471" s="0" t="n">
        <v>128</v>
      </c>
      <c r="I5471" s="0" t="s">
        <v>18247</v>
      </c>
      <c r="J5471" s="0" t="s">
        <v>18248</v>
      </c>
      <c r="K5471" s="0" t="s">
        <v>18249</v>
      </c>
      <c r="L5471" s="0" t="str">
        <f aca="false">HYPERLINK("https://www.ncbi.nlm.nih.gov/nuccore/CP000058.1?report=graph&amp;tracks=[key:gene_model_track,Options:GeneOnly]&amp;mk=1714681:1714700|offset_90|444444,1714719:1714738|offset_128|00cc00,1714742:1714761|offset_151|444444,1714767:1714786|offset_176|444444&amp;v=1714480:1714986&amp;c=444444", "offset 128")</f>
        <v>offset 128</v>
      </c>
    </row>
    <row r="5472" customFormat="false" ht="12.8" hidden="false" customHeight="false" outlineLevel="0" collapsed="false">
      <c r="A5472" s="0" t="s">
        <v>12</v>
      </c>
      <c r="B5472" s="0" t="n">
        <v>1714741</v>
      </c>
      <c r="C5472" s="0" t="n">
        <v>1714761</v>
      </c>
      <c r="D5472" s="0" t="s">
        <v>18243</v>
      </c>
      <c r="E5472" s="0" t="s">
        <v>75</v>
      </c>
      <c r="F5472" s="0" t="s">
        <v>15</v>
      </c>
      <c r="G5472" s="0" t="s">
        <v>36</v>
      </c>
      <c r="H5472" s="0" t="n">
        <v>151</v>
      </c>
      <c r="I5472" s="0" t="s">
        <v>18250</v>
      </c>
      <c r="J5472" s="0" t="s">
        <v>18251</v>
      </c>
      <c r="K5472" s="0" t="s">
        <v>18252</v>
      </c>
      <c r="L5472" s="0" t="str">
        <f aca="false">HYPERLINK("https://www.ncbi.nlm.nih.gov/nuccore/CP000058.1?report=graph&amp;tracks=[key:gene_model_track,Options:GeneOnly]&amp;mk=1714681:1714700|offset_90|444444,1714719:1714738|offset_128|444444,1714742:1714761|offset_151|00cc00,1714767:1714786|offset_176|444444&amp;v=1714480:1714986&amp;c=444444", "offset 151")</f>
        <v>offset 151</v>
      </c>
    </row>
    <row r="5473" customFormat="false" ht="12.8" hidden="false" customHeight="false" outlineLevel="0" collapsed="false">
      <c r="A5473" s="0" t="s">
        <v>12</v>
      </c>
      <c r="B5473" s="0" t="n">
        <v>1714766</v>
      </c>
      <c r="C5473" s="0" t="n">
        <v>1714786</v>
      </c>
      <c r="D5473" s="0" t="s">
        <v>18243</v>
      </c>
      <c r="E5473" s="0" t="s">
        <v>75</v>
      </c>
      <c r="F5473" s="0" t="s">
        <v>15</v>
      </c>
      <c r="G5473" s="0" t="s">
        <v>16</v>
      </c>
      <c r="H5473" s="0" t="n">
        <v>176</v>
      </c>
      <c r="I5473" s="0" t="s">
        <v>18253</v>
      </c>
      <c r="J5473" s="0" t="s">
        <v>18254</v>
      </c>
      <c r="K5473" s="0" t="s">
        <v>18255</v>
      </c>
      <c r="L5473" s="0" t="str">
        <f aca="false">HYPERLINK("https://www.ncbi.nlm.nih.gov/nuccore/CP000058.1?report=graph&amp;tracks=[key:gene_model_track,Options:GeneOnly]&amp;mk=1714681:1714700|offset_90|444444,1714719:1714738|offset_128|444444,1714742:1714761|offset_151|444444,1714767:1714786|offset_176|00cc00&amp;v=1714480:1714986&amp;c=444444", "offset 176")</f>
        <v>offset 176</v>
      </c>
    </row>
    <row r="5474" customFormat="false" ht="12.8" hidden="false" customHeight="false" outlineLevel="0" collapsed="false">
      <c r="A5474" s="0" t="s">
        <v>12</v>
      </c>
      <c r="B5474" s="0" t="n">
        <v>1715739</v>
      </c>
      <c r="C5474" s="0" t="n">
        <v>1715759</v>
      </c>
      <c r="D5474" s="0" t="s">
        <v>18256</v>
      </c>
      <c r="E5474" s="0" t="s">
        <v>75</v>
      </c>
      <c r="F5474" s="0" t="s">
        <v>15</v>
      </c>
      <c r="G5474" s="0" t="s">
        <v>32</v>
      </c>
      <c r="H5474" s="0" t="n">
        <v>1</v>
      </c>
      <c r="I5474" s="0" t="s">
        <v>18257</v>
      </c>
      <c r="J5474" s="0" t="s">
        <v>18258</v>
      </c>
      <c r="K5474" s="0" t="s">
        <v>18259</v>
      </c>
      <c r="L5474" s="0" t="str">
        <f aca="false">HYPERLINK("https://www.ncbi.nlm.nih.gov/nuccore/CP000058.1?report=graph&amp;tracks=[key:gene_model_track,Options:GeneOnly]&amp;mk=1715740:1715759|offset_1|00cc00,1715782:1715801|offset_43|444444,1715804:1715823|offset_65|444444,1715825:1715844|offset_86|444444&amp;v=1715539:1716044&amp;c=444444", "offset 1")</f>
        <v>offset 1</v>
      </c>
    </row>
    <row r="5475" customFormat="false" ht="12.8" hidden="false" customHeight="false" outlineLevel="0" collapsed="false">
      <c r="A5475" s="0" t="s">
        <v>12</v>
      </c>
      <c r="B5475" s="0" t="n">
        <v>1715781</v>
      </c>
      <c r="C5475" s="0" t="n">
        <v>1715801</v>
      </c>
      <c r="D5475" s="0" t="s">
        <v>18256</v>
      </c>
      <c r="E5475" s="0" t="s">
        <v>75</v>
      </c>
      <c r="F5475" s="0" t="s">
        <v>15</v>
      </c>
      <c r="G5475" s="0" t="s">
        <v>20</v>
      </c>
      <c r="H5475" s="0" t="n">
        <v>43</v>
      </c>
      <c r="I5475" s="0" t="s">
        <v>18260</v>
      </c>
      <c r="J5475" s="0" t="s">
        <v>18261</v>
      </c>
      <c r="K5475" s="0" t="s">
        <v>18262</v>
      </c>
      <c r="L5475" s="0" t="str">
        <f aca="false">HYPERLINK("https://www.ncbi.nlm.nih.gov/nuccore/CP000058.1?report=graph&amp;tracks=[key:gene_model_track,Options:GeneOnly]&amp;mk=1715740:1715759|offset_1|444444,1715782:1715801|offset_43|00cc00,1715804:1715823|offset_65|444444,1715825:1715844|offset_86|444444&amp;v=1715539:1716044&amp;c=444444", "offset 43")</f>
        <v>offset 43</v>
      </c>
    </row>
    <row r="5476" customFormat="false" ht="12.8" hidden="false" customHeight="false" outlineLevel="0" collapsed="false">
      <c r="A5476" s="0" t="s">
        <v>12</v>
      </c>
      <c r="B5476" s="0" t="n">
        <v>1715803</v>
      </c>
      <c r="C5476" s="0" t="n">
        <v>1715823</v>
      </c>
      <c r="D5476" s="0" t="s">
        <v>18256</v>
      </c>
      <c r="E5476" s="0" t="s">
        <v>75</v>
      </c>
      <c r="F5476" s="0" t="s">
        <v>15</v>
      </c>
      <c r="G5476" s="0" t="s">
        <v>20</v>
      </c>
      <c r="H5476" s="0" t="n">
        <v>65</v>
      </c>
      <c r="I5476" s="0" t="s">
        <v>18263</v>
      </c>
      <c r="J5476" s="0" t="s">
        <v>18264</v>
      </c>
      <c r="K5476" s="0" t="s">
        <v>18265</v>
      </c>
      <c r="L5476" s="0" t="str">
        <f aca="false">HYPERLINK("https://www.ncbi.nlm.nih.gov/nuccore/CP000058.1?report=graph&amp;tracks=[key:gene_model_track,Options:GeneOnly]&amp;mk=1715740:1715759|offset_1|444444,1715782:1715801|offset_43|444444,1715804:1715823|offset_65|00cc00,1715825:1715844|offset_86|444444&amp;v=1715539:1716044&amp;c=444444", "offset 65")</f>
        <v>offset 65</v>
      </c>
    </row>
    <row r="5477" customFormat="false" ht="12.8" hidden="false" customHeight="false" outlineLevel="0" collapsed="false">
      <c r="A5477" s="0" t="s">
        <v>12</v>
      </c>
      <c r="B5477" s="0" t="n">
        <v>1715824</v>
      </c>
      <c r="C5477" s="0" t="n">
        <v>1715844</v>
      </c>
      <c r="D5477" s="0" t="s">
        <v>18256</v>
      </c>
      <c r="E5477" s="0" t="s">
        <v>75</v>
      </c>
      <c r="F5477" s="0" t="s">
        <v>15</v>
      </c>
      <c r="G5477" s="0" t="s">
        <v>36</v>
      </c>
      <c r="H5477" s="0" t="n">
        <v>86</v>
      </c>
      <c r="I5477" s="0" t="s">
        <v>18266</v>
      </c>
      <c r="J5477" s="0" t="s">
        <v>18267</v>
      </c>
      <c r="K5477" s="0" t="s">
        <v>18268</v>
      </c>
      <c r="L5477" s="0" t="str">
        <f aca="false">HYPERLINK("https://www.ncbi.nlm.nih.gov/nuccore/CP000058.1?report=graph&amp;tracks=[key:gene_model_track,Options:GeneOnly]&amp;mk=1715740:1715759|offset_1|444444,1715782:1715801|offset_43|444444,1715804:1715823|offset_65|444444,1715825:1715844|offset_86|00cc00&amp;v=1715539:1716044&amp;c=444444", "offset 86")</f>
        <v>offset 86</v>
      </c>
    </row>
    <row r="5478" customFormat="false" ht="12.8" hidden="false" customHeight="false" outlineLevel="0" collapsed="false">
      <c r="A5478" s="0" t="s">
        <v>12</v>
      </c>
      <c r="B5478" s="0" t="n">
        <v>1716268</v>
      </c>
      <c r="C5478" s="0" t="n">
        <v>1716288</v>
      </c>
      <c r="D5478" s="0" t="s">
        <v>18269</v>
      </c>
      <c r="E5478" s="0" t="s">
        <v>18270</v>
      </c>
      <c r="F5478" s="0" t="s">
        <v>15</v>
      </c>
      <c r="G5478" s="0" t="s">
        <v>32</v>
      </c>
      <c r="H5478" s="0" t="n">
        <v>1</v>
      </c>
      <c r="I5478" s="0" t="s">
        <v>18271</v>
      </c>
      <c r="J5478" s="0" t="s">
        <v>18272</v>
      </c>
      <c r="K5478" s="0" t="s">
        <v>18273</v>
      </c>
      <c r="L5478" s="0" t="str">
        <f aca="false">HYPERLINK("https://www.ncbi.nlm.nih.gov/nuccore/CP000058.1?report=graph&amp;tracks=[key:gene_model_track,Options:GeneOnly]&amp;mk=1716269:1716288|offset_1|00cc00,1716334:1716353|offset_66|444444,1716387:1716406|offset_119|444444,1716413:1716432|offset_145|444444&amp;v=1716068:1716632&amp;c=444444", "offset 1")</f>
        <v>offset 1</v>
      </c>
    </row>
    <row r="5479" customFormat="false" ht="12.8" hidden="false" customHeight="false" outlineLevel="0" collapsed="false">
      <c r="A5479" s="0" t="s">
        <v>12</v>
      </c>
      <c r="B5479" s="0" t="n">
        <v>1716333</v>
      </c>
      <c r="C5479" s="0" t="n">
        <v>1716353</v>
      </c>
      <c r="D5479" s="0" t="s">
        <v>18269</v>
      </c>
      <c r="E5479" s="0" t="s">
        <v>18270</v>
      </c>
      <c r="F5479" s="0" t="s">
        <v>15</v>
      </c>
      <c r="G5479" s="0" t="s">
        <v>36</v>
      </c>
      <c r="H5479" s="0" t="n">
        <v>66</v>
      </c>
      <c r="I5479" s="0" t="s">
        <v>18274</v>
      </c>
      <c r="J5479" s="0" t="s">
        <v>18275</v>
      </c>
      <c r="K5479" s="0" t="s">
        <v>18276</v>
      </c>
      <c r="L5479" s="0" t="str">
        <f aca="false">HYPERLINK("https://www.ncbi.nlm.nih.gov/nuccore/CP000058.1?report=graph&amp;tracks=[key:gene_model_track,Options:GeneOnly]&amp;mk=1716269:1716288|offset_1|444444,1716334:1716353|offset_66|00cc00,1716387:1716406|offset_119|444444,1716413:1716432|offset_145|444444&amp;v=1716068:1716632&amp;c=444444", "offset 66")</f>
        <v>offset 66</v>
      </c>
    </row>
    <row r="5480" customFormat="false" ht="12.8" hidden="false" customHeight="false" outlineLevel="0" collapsed="false">
      <c r="A5480" s="0" t="s">
        <v>12</v>
      </c>
      <c r="B5480" s="0" t="n">
        <v>1716386</v>
      </c>
      <c r="C5480" s="0" t="n">
        <v>1716406</v>
      </c>
      <c r="D5480" s="0" t="s">
        <v>18269</v>
      </c>
      <c r="E5480" s="0" t="s">
        <v>18270</v>
      </c>
      <c r="F5480" s="0" t="s">
        <v>15</v>
      </c>
      <c r="G5480" s="0" t="s">
        <v>16</v>
      </c>
      <c r="H5480" s="0" t="n">
        <v>119</v>
      </c>
      <c r="I5480" s="0" t="s">
        <v>18277</v>
      </c>
      <c r="J5480" s="0" t="s">
        <v>18278</v>
      </c>
      <c r="K5480" s="0" t="s">
        <v>18279</v>
      </c>
      <c r="L5480" s="0" t="str">
        <f aca="false">HYPERLINK("https://www.ncbi.nlm.nih.gov/nuccore/CP000058.1?report=graph&amp;tracks=[key:gene_model_track,Options:GeneOnly]&amp;mk=1716269:1716288|offset_1|444444,1716334:1716353|offset_66|444444,1716387:1716406|offset_119|00cc00,1716413:1716432|offset_145|444444&amp;v=1716068:1716632&amp;c=444444", "offset 119")</f>
        <v>offset 119</v>
      </c>
    </row>
    <row r="5481" customFormat="false" ht="12.8" hidden="false" customHeight="false" outlineLevel="0" collapsed="false">
      <c r="A5481" s="0" t="s">
        <v>12</v>
      </c>
      <c r="B5481" s="0" t="n">
        <v>1716412</v>
      </c>
      <c r="C5481" s="0" t="n">
        <v>1716432</v>
      </c>
      <c r="D5481" s="0" t="s">
        <v>18269</v>
      </c>
      <c r="E5481" s="0" t="s">
        <v>18270</v>
      </c>
      <c r="F5481" s="0" t="s">
        <v>15</v>
      </c>
      <c r="G5481" s="0" t="s">
        <v>32</v>
      </c>
      <c r="H5481" s="0" t="n">
        <v>145</v>
      </c>
      <c r="I5481" s="0" t="s">
        <v>18280</v>
      </c>
      <c r="J5481" s="0" t="s">
        <v>18281</v>
      </c>
      <c r="K5481" s="0" t="s">
        <v>18282</v>
      </c>
      <c r="L5481" s="0" t="str">
        <f aca="false">HYPERLINK("https://www.ncbi.nlm.nih.gov/nuccore/CP000058.1?report=graph&amp;tracks=[key:gene_model_track,Options:GeneOnly]&amp;mk=1716269:1716288|offset_1|444444,1716334:1716353|offset_66|444444,1716387:1716406|offset_119|444444,1716413:1716432|offset_145|00cc00&amp;v=1716068:1716632&amp;c=444444", "offset 145")</f>
        <v>offset 145</v>
      </c>
    </row>
    <row r="5482" customFormat="false" ht="12.8" hidden="false" customHeight="false" outlineLevel="0" collapsed="false">
      <c r="A5482" s="0" t="s">
        <v>12</v>
      </c>
      <c r="B5482" s="0" t="n">
        <v>1717054</v>
      </c>
      <c r="C5482" s="0" t="n">
        <v>1717074</v>
      </c>
      <c r="D5482" s="0" t="s">
        <v>18283</v>
      </c>
      <c r="E5482" s="0" t="s">
        <v>18284</v>
      </c>
      <c r="F5482" s="0" t="s">
        <v>15</v>
      </c>
      <c r="G5482" s="0" t="s">
        <v>32</v>
      </c>
      <c r="H5482" s="0" t="n">
        <v>11</v>
      </c>
      <c r="I5482" s="0" t="s">
        <v>18285</v>
      </c>
      <c r="J5482" s="0" t="s">
        <v>18286</v>
      </c>
      <c r="K5482" s="0" t="s">
        <v>18287</v>
      </c>
      <c r="L5482" s="0" t="str">
        <f aca="false">HYPERLINK("https://www.ncbi.nlm.nih.gov/nuccore/CP000058.1?report=graph&amp;tracks=[key:gene_model_track,Options:GeneOnly]&amp;mk=1717055:1717074|offset_11|00cc00,1717092:1717111|offset_48|444444,1717155:1717174|offset_111|444444,1717193:1717212|offset_149|444444&amp;v=1716854:1717412&amp;c=444444", "offset 11")</f>
        <v>offset 11</v>
      </c>
    </row>
    <row r="5483" customFormat="false" ht="12.8" hidden="false" customHeight="false" outlineLevel="0" collapsed="false">
      <c r="A5483" s="0" t="s">
        <v>12</v>
      </c>
      <c r="B5483" s="0" t="n">
        <v>1717091</v>
      </c>
      <c r="C5483" s="0" t="n">
        <v>1717111</v>
      </c>
      <c r="D5483" s="0" t="s">
        <v>18283</v>
      </c>
      <c r="E5483" s="0" t="s">
        <v>18284</v>
      </c>
      <c r="F5483" s="0" t="s">
        <v>15</v>
      </c>
      <c r="G5483" s="0" t="s">
        <v>16</v>
      </c>
      <c r="H5483" s="0" t="n">
        <v>48</v>
      </c>
      <c r="I5483" s="0" t="s">
        <v>18288</v>
      </c>
      <c r="J5483" s="0" t="s">
        <v>18289</v>
      </c>
      <c r="K5483" s="0" t="s">
        <v>18290</v>
      </c>
      <c r="L5483" s="0" t="str">
        <f aca="false">HYPERLINK("https://www.ncbi.nlm.nih.gov/nuccore/CP000058.1?report=graph&amp;tracks=[key:gene_model_track,Options:GeneOnly]&amp;mk=1717055:1717074|offset_11|444444,1717092:1717111|offset_48|00cc00,1717155:1717174|offset_111|444444,1717193:1717212|offset_149|444444&amp;v=1716854:1717412&amp;c=444444", "offset 48")</f>
        <v>offset 48</v>
      </c>
    </row>
    <row r="5484" customFormat="false" ht="12.8" hidden="false" customHeight="false" outlineLevel="0" collapsed="false">
      <c r="A5484" s="0" t="s">
        <v>12</v>
      </c>
      <c r="B5484" s="0" t="n">
        <v>1717154</v>
      </c>
      <c r="C5484" s="0" t="n">
        <v>1717174</v>
      </c>
      <c r="D5484" s="0" t="s">
        <v>18283</v>
      </c>
      <c r="E5484" s="0" t="s">
        <v>18284</v>
      </c>
      <c r="F5484" s="0" t="s">
        <v>15</v>
      </c>
      <c r="G5484" s="0" t="s">
        <v>16</v>
      </c>
      <c r="H5484" s="0" t="n">
        <v>111</v>
      </c>
      <c r="I5484" s="0" t="s">
        <v>18291</v>
      </c>
      <c r="J5484" s="0" t="s">
        <v>18292</v>
      </c>
      <c r="K5484" s="0" t="s">
        <v>18293</v>
      </c>
      <c r="L5484" s="0" t="str">
        <f aca="false">HYPERLINK("https://www.ncbi.nlm.nih.gov/nuccore/CP000058.1?report=graph&amp;tracks=[key:gene_model_track,Options:GeneOnly]&amp;mk=1717055:1717074|offset_11|444444,1717092:1717111|offset_48|444444,1717155:1717174|offset_111|00cc00,1717193:1717212|offset_149|444444&amp;v=1716854:1717412&amp;c=444444", "offset 111")</f>
        <v>offset 111</v>
      </c>
    </row>
    <row r="5485" customFormat="false" ht="12.8" hidden="false" customHeight="false" outlineLevel="0" collapsed="false">
      <c r="A5485" s="0" t="s">
        <v>12</v>
      </c>
      <c r="B5485" s="0" t="n">
        <v>1717192</v>
      </c>
      <c r="C5485" s="0" t="n">
        <v>1717212</v>
      </c>
      <c r="D5485" s="0" t="s">
        <v>18283</v>
      </c>
      <c r="E5485" s="0" t="s">
        <v>18284</v>
      </c>
      <c r="F5485" s="0" t="s">
        <v>15</v>
      </c>
      <c r="G5485" s="0" t="s">
        <v>20</v>
      </c>
      <c r="H5485" s="0" t="n">
        <v>149</v>
      </c>
      <c r="I5485" s="0" t="s">
        <v>18294</v>
      </c>
      <c r="J5485" s="0" t="s">
        <v>18295</v>
      </c>
      <c r="K5485" s="0" t="s">
        <v>18296</v>
      </c>
      <c r="L5485" s="0" t="str">
        <f aca="false">HYPERLINK("https://www.ncbi.nlm.nih.gov/nuccore/CP000058.1?report=graph&amp;tracks=[key:gene_model_track,Options:GeneOnly]&amp;mk=1717055:1717074|offset_11|444444,1717092:1717111|offset_48|444444,1717155:1717174|offset_111|444444,1717193:1717212|offset_149|00cc00&amp;v=1716854:1717412&amp;c=444444", "offset 149")</f>
        <v>offset 149</v>
      </c>
    </row>
    <row r="5486" customFormat="false" ht="12.8" hidden="false" customHeight="false" outlineLevel="0" collapsed="false">
      <c r="A5486" s="0" t="s">
        <v>12</v>
      </c>
      <c r="B5486" s="0" t="n">
        <v>1717881</v>
      </c>
      <c r="C5486" s="0" t="n">
        <v>1717901</v>
      </c>
      <c r="D5486" s="0" t="s">
        <v>18297</v>
      </c>
      <c r="E5486" s="0" t="s">
        <v>75</v>
      </c>
      <c r="F5486" s="0" t="s">
        <v>15</v>
      </c>
      <c r="G5486" s="0" t="s">
        <v>32</v>
      </c>
      <c r="H5486" s="0" t="n">
        <v>27</v>
      </c>
      <c r="I5486" s="0" t="s">
        <v>18298</v>
      </c>
      <c r="J5486" s="0" t="s">
        <v>18299</v>
      </c>
      <c r="K5486" s="0" t="s">
        <v>18300</v>
      </c>
      <c r="L5486" s="0" t="str">
        <f aca="false">HYPERLINK("https://www.ncbi.nlm.nih.gov/nuccore/CP000058.1?report=graph&amp;tracks=[key:gene_model_track,Options:GeneOnly]&amp;mk=1717882:1717901|offset_27|00cc00,1717931:1717950|offset_76|444444,1717958:1717977|offset_103|444444,1717986:1718005|offset_131|444444&amp;v=1717681:1718205&amp;c=444444", "offset 27")</f>
        <v>offset 27</v>
      </c>
    </row>
    <row r="5487" customFormat="false" ht="12.8" hidden="false" customHeight="false" outlineLevel="0" collapsed="false">
      <c r="A5487" s="0" t="s">
        <v>12</v>
      </c>
      <c r="B5487" s="0" t="n">
        <v>1717930</v>
      </c>
      <c r="C5487" s="0" t="n">
        <v>1717950</v>
      </c>
      <c r="D5487" s="0" t="s">
        <v>18297</v>
      </c>
      <c r="E5487" s="0" t="s">
        <v>75</v>
      </c>
      <c r="F5487" s="0" t="s">
        <v>15</v>
      </c>
      <c r="G5487" s="0" t="s">
        <v>20</v>
      </c>
      <c r="H5487" s="0" t="n">
        <v>76</v>
      </c>
      <c r="I5487" s="0" t="s">
        <v>18301</v>
      </c>
      <c r="J5487" s="0" t="s">
        <v>18302</v>
      </c>
      <c r="K5487" s="0" t="s">
        <v>18303</v>
      </c>
      <c r="L5487" s="0" t="str">
        <f aca="false">HYPERLINK("https://www.ncbi.nlm.nih.gov/nuccore/CP000058.1?report=graph&amp;tracks=[key:gene_model_track,Options:GeneOnly]&amp;mk=1717882:1717901|offset_27|444444,1717931:1717950|offset_76|00cc00,1717958:1717977|offset_103|444444,1717986:1718005|offset_131|444444&amp;v=1717681:1718205&amp;c=444444", "offset 76")</f>
        <v>offset 76</v>
      </c>
    </row>
    <row r="5488" customFormat="false" ht="12.8" hidden="false" customHeight="false" outlineLevel="0" collapsed="false">
      <c r="A5488" s="0" t="s">
        <v>12</v>
      </c>
      <c r="B5488" s="0" t="n">
        <v>1717957</v>
      </c>
      <c r="C5488" s="0" t="n">
        <v>1717977</v>
      </c>
      <c r="D5488" s="0" t="s">
        <v>18297</v>
      </c>
      <c r="E5488" s="0" t="s">
        <v>75</v>
      </c>
      <c r="F5488" s="0" t="s">
        <v>15</v>
      </c>
      <c r="G5488" s="0" t="s">
        <v>32</v>
      </c>
      <c r="H5488" s="0" t="n">
        <v>103</v>
      </c>
      <c r="I5488" s="0" t="s">
        <v>18304</v>
      </c>
      <c r="J5488" s="0" t="s">
        <v>18305</v>
      </c>
      <c r="K5488" s="0" t="s">
        <v>18306</v>
      </c>
      <c r="L5488" s="0" t="str">
        <f aca="false">HYPERLINK("https://www.ncbi.nlm.nih.gov/nuccore/CP000058.1?report=graph&amp;tracks=[key:gene_model_track,Options:GeneOnly]&amp;mk=1717882:1717901|offset_27|444444,1717931:1717950|offset_76|444444,1717958:1717977|offset_103|00cc00,1717986:1718005|offset_131|444444&amp;v=1717681:1718205&amp;c=444444", "offset 103")</f>
        <v>offset 103</v>
      </c>
    </row>
    <row r="5489" customFormat="false" ht="12.8" hidden="false" customHeight="false" outlineLevel="0" collapsed="false">
      <c r="A5489" s="0" t="s">
        <v>12</v>
      </c>
      <c r="B5489" s="0" t="n">
        <v>1717985</v>
      </c>
      <c r="C5489" s="0" t="n">
        <v>1718005</v>
      </c>
      <c r="D5489" s="0" t="s">
        <v>18297</v>
      </c>
      <c r="E5489" s="0" t="s">
        <v>75</v>
      </c>
      <c r="F5489" s="0" t="s">
        <v>15</v>
      </c>
      <c r="G5489" s="0" t="s">
        <v>20</v>
      </c>
      <c r="H5489" s="0" t="n">
        <v>131</v>
      </c>
      <c r="I5489" s="0" t="s">
        <v>18307</v>
      </c>
      <c r="J5489" s="0" t="s">
        <v>18308</v>
      </c>
      <c r="K5489" s="0" t="s">
        <v>18309</v>
      </c>
      <c r="L5489" s="0" t="str">
        <f aca="false">HYPERLINK("https://www.ncbi.nlm.nih.gov/nuccore/CP000058.1?report=graph&amp;tracks=[key:gene_model_track,Options:GeneOnly]&amp;mk=1717882:1717901|offset_27|444444,1717931:1717950|offset_76|444444,1717958:1717977|offset_103|444444,1717986:1718005|offset_131|00cc00&amp;v=1717681:1718205&amp;c=444444", "offset 131")</f>
        <v>offset 131</v>
      </c>
    </row>
    <row r="5490" customFormat="false" ht="12.8" hidden="false" customHeight="false" outlineLevel="0" collapsed="false">
      <c r="A5490" s="0" t="s">
        <v>12</v>
      </c>
      <c r="B5490" s="0" t="n">
        <v>1719147</v>
      </c>
      <c r="C5490" s="0" t="n">
        <v>1719167</v>
      </c>
      <c r="D5490" s="0" t="s">
        <v>18310</v>
      </c>
      <c r="E5490" s="0" t="s">
        <v>75</v>
      </c>
      <c r="F5490" s="0" t="s">
        <v>15</v>
      </c>
      <c r="G5490" s="0" t="s">
        <v>32</v>
      </c>
      <c r="H5490" s="0" t="n">
        <v>1</v>
      </c>
      <c r="I5490" s="0" t="s">
        <v>18311</v>
      </c>
      <c r="J5490" s="0" t="s">
        <v>18312</v>
      </c>
      <c r="K5490" s="0" t="s">
        <v>18313</v>
      </c>
      <c r="L5490" s="0" t="str">
        <f aca="false">HYPERLINK("https://www.ncbi.nlm.nih.gov/nuccore/CP000058.1?report=graph&amp;tracks=[key:gene_model_track,Options:GeneOnly]&amp;mk=1719148:1719167|offset_1|00cc00,1719178:1719197|offset_31|444444,1719204:1719223|offset_57|444444,1719226:1719245|offset_79|444444&amp;v=1718947:1719445&amp;c=444444", "offset 1")</f>
        <v>offset 1</v>
      </c>
    </row>
    <row r="5491" customFormat="false" ht="12.8" hidden="false" customHeight="false" outlineLevel="0" collapsed="false">
      <c r="A5491" s="0" t="s">
        <v>12</v>
      </c>
      <c r="B5491" s="0" t="n">
        <v>1719177</v>
      </c>
      <c r="C5491" s="0" t="n">
        <v>1719197</v>
      </c>
      <c r="D5491" s="0" t="s">
        <v>18310</v>
      </c>
      <c r="E5491" s="0" t="s">
        <v>75</v>
      </c>
      <c r="F5491" s="0" t="s">
        <v>15</v>
      </c>
      <c r="G5491" s="0" t="s">
        <v>32</v>
      </c>
      <c r="H5491" s="0" t="n">
        <v>31</v>
      </c>
      <c r="I5491" s="0" t="s">
        <v>18314</v>
      </c>
      <c r="J5491" s="0" t="s">
        <v>18315</v>
      </c>
      <c r="K5491" s="0" t="s">
        <v>18316</v>
      </c>
      <c r="L5491" s="0" t="str">
        <f aca="false">HYPERLINK("https://www.ncbi.nlm.nih.gov/nuccore/CP000058.1?report=graph&amp;tracks=[key:gene_model_track,Options:GeneOnly]&amp;mk=1719148:1719167|offset_1|444444,1719178:1719197|offset_31|00cc00,1719204:1719223|offset_57|444444,1719226:1719245|offset_79|444444&amp;v=1718947:1719445&amp;c=444444", "offset 31")</f>
        <v>offset 31</v>
      </c>
    </row>
    <row r="5492" customFormat="false" ht="12.8" hidden="false" customHeight="false" outlineLevel="0" collapsed="false">
      <c r="A5492" s="0" t="s">
        <v>12</v>
      </c>
      <c r="B5492" s="0" t="n">
        <v>1719203</v>
      </c>
      <c r="C5492" s="0" t="n">
        <v>1719223</v>
      </c>
      <c r="D5492" s="0" t="s">
        <v>18310</v>
      </c>
      <c r="E5492" s="0" t="s">
        <v>75</v>
      </c>
      <c r="F5492" s="0" t="s">
        <v>15</v>
      </c>
      <c r="G5492" s="0" t="s">
        <v>16</v>
      </c>
      <c r="H5492" s="0" t="n">
        <v>57</v>
      </c>
      <c r="I5492" s="0" t="s">
        <v>18317</v>
      </c>
      <c r="J5492" s="0" t="s">
        <v>18318</v>
      </c>
      <c r="K5492" s="0" t="s">
        <v>18319</v>
      </c>
      <c r="L5492" s="0" t="str">
        <f aca="false">HYPERLINK("https://www.ncbi.nlm.nih.gov/nuccore/CP000058.1?report=graph&amp;tracks=[key:gene_model_track,Options:GeneOnly]&amp;mk=1719148:1719167|offset_1|444444,1719178:1719197|offset_31|444444,1719204:1719223|offset_57|00cc00,1719226:1719245|offset_79|444444&amp;v=1718947:1719445&amp;c=444444", "offset 57")</f>
        <v>offset 57</v>
      </c>
    </row>
    <row r="5493" customFormat="false" ht="12.8" hidden="false" customHeight="false" outlineLevel="0" collapsed="false">
      <c r="A5493" s="0" t="s">
        <v>12</v>
      </c>
      <c r="B5493" s="0" t="n">
        <v>1719225</v>
      </c>
      <c r="C5493" s="0" t="n">
        <v>1719245</v>
      </c>
      <c r="D5493" s="0" t="s">
        <v>18310</v>
      </c>
      <c r="E5493" s="0" t="s">
        <v>75</v>
      </c>
      <c r="F5493" s="0" t="s">
        <v>15</v>
      </c>
      <c r="G5493" s="0" t="s">
        <v>16</v>
      </c>
      <c r="H5493" s="0" t="n">
        <v>79</v>
      </c>
      <c r="I5493" s="0" t="s">
        <v>18320</v>
      </c>
      <c r="J5493" s="0" t="s">
        <v>18321</v>
      </c>
      <c r="K5493" s="0" t="s">
        <v>18322</v>
      </c>
      <c r="L5493" s="0" t="str">
        <f aca="false">HYPERLINK("https://www.ncbi.nlm.nih.gov/nuccore/CP000058.1?report=graph&amp;tracks=[key:gene_model_track,Options:GeneOnly]&amp;mk=1719148:1719167|offset_1|444444,1719178:1719197|offset_31|444444,1719204:1719223|offset_57|444444,1719226:1719245|offset_79|00cc00&amp;v=1718947:1719445&amp;c=444444", "offset 79")</f>
        <v>offset 79</v>
      </c>
    </row>
    <row r="5494" customFormat="false" ht="12.8" hidden="false" customHeight="false" outlineLevel="0" collapsed="false">
      <c r="A5494" s="0" t="s">
        <v>12</v>
      </c>
      <c r="B5494" s="0" t="n">
        <v>1720655</v>
      </c>
      <c r="C5494" s="0" t="n">
        <v>1720675</v>
      </c>
      <c r="D5494" s="0" t="s">
        <v>18323</v>
      </c>
      <c r="E5494" s="0" t="s">
        <v>75</v>
      </c>
      <c r="F5494" s="0" t="s">
        <v>15</v>
      </c>
      <c r="G5494" s="0" t="s">
        <v>32</v>
      </c>
      <c r="H5494" s="0" t="n">
        <v>84</v>
      </c>
      <c r="I5494" s="0" t="s">
        <v>18324</v>
      </c>
      <c r="J5494" s="0" t="s">
        <v>18325</v>
      </c>
      <c r="K5494" s="0" t="s">
        <v>18326</v>
      </c>
      <c r="L5494" s="0" t="str">
        <f aca="false">HYPERLINK("https://www.ncbi.nlm.nih.gov/nuccore/CP000058.1?report=graph&amp;tracks=[key:gene_model_track,Options:GeneOnly]&amp;mk=1720656:1720675|offset_84|00cc00,1720681:1720700|offset_109|444444,1720703:1720722|offset_131|444444,1720723:1720742|offset_151|444444&amp;v=1720455:1720942&amp;c=444444", "offset 84")</f>
        <v>offset 84</v>
      </c>
    </row>
    <row r="5495" customFormat="false" ht="12.8" hidden="false" customHeight="false" outlineLevel="0" collapsed="false">
      <c r="A5495" s="0" t="s">
        <v>12</v>
      </c>
      <c r="B5495" s="0" t="n">
        <v>1720680</v>
      </c>
      <c r="C5495" s="0" t="n">
        <v>1720700</v>
      </c>
      <c r="D5495" s="0" t="s">
        <v>18323</v>
      </c>
      <c r="E5495" s="0" t="s">
        <v>75</v>
      </c>
      <c r="F5495" s="0" t="s">
        <v>15</v>
      </c>
      <c r="G5495" s="0" t="s">
        <v>32</v>
      </c>
      <c r="H5495" s="0" t="n">
        <v>109</v>
      </c>
      <c r="I5495" s="0" t="s">
        <v>18327</v>
      </c>
      <c r="J5495" s="0" t="s">
        <v>18328</v>
      </c>
      <c r="K5495" s="0" t="s">
        <v>18329</v>
      </c>
      <c r="L5495" s="0" t="str">
        <f aca="false">HYPERLINK("https://www.ncbi.nlm.nih.gov/nuccore/CP000058.1?report=graph&amp;tracks=[key:gene_model_track,Options:GeneOnly]&amp;mk=1720656:1720675|offset_84|444444,1720681:1720700|offset_109|00cc00,1720703:1720722|offset_131|444444,1720723:1720742|offset_151|444444&amp;v=1720455:1720942&amp;c=444444", "offset 109")</f>
        <v>offset 109</v>
      </c>
    </row>
    <row r="5496" customFormat="false" ht="12.8" hidden="false" customHeight="false" outlineLevel="0" collapsed="false">
      <c r="A5496" s="0" t="s">
        <v>12</v>
      </c>
      <c r="B5496" s="0" t="n">
        <v>1720702</v>
      </c>
      <c r="C5496" s="0" t="n">
        <v>1720722</v>
      </c>
      <c r="D5496" s="0" t="s">
        <v>18323</v>
      </c>
      <c r="E5496" s="0" t="s">
        <v>75</v>
      </c>
      <c r="F5496" s="0" t="s">
        <v>15</v>
      </c>
      <c r="G5496" s="0" t="s">
        <v>36</v>
      </c>
      <c r="H5496" s="0" t="n">
        <v>131</v>
      </c>
      <c r="I5496" s="0" t="s">
        <v>18330</v>
      </c>
      <c r="J5496" s="0" t="s">
        <v>18331</v>
      </c>
      <c r="K5496" s="0" t="s">
        <v>18332</v>
      </c>
      <c r="L5496" s="0" t="str">
        <f aca="false">HYPERLINK("https://www.ncbi.nlm.nih.gov/nuccore/CP000058.1?report=graph&amp;tracks=[key:gene_model_track,Options:GeneOnly]&amp;mk=1720656:1720675|offset_84|444444,1720681:1720700|offset_109|444444,1720703:1720722|offset_131|00cc00,1720723:1720742|offset_151|444444&amp;v=1720455:1720942&amp;c=444444", "offset 131")</f>
        <v>offset 131</v>
      </c>
    </row>
    <row r="5497" customFormat="false" ht="12.8" hidden="false" customHeight="false" outlineLevel="0" collapsed="false">
      <c r="A5497" s="0" t="s">
        <v>12</v>
      </c>
      <c r="B5497" s="0" t="n">
        <v>1720722</v>
      </c>
      <c r="C5497" s="0" t="n">
        <v>1720742</v>
      </c>
      <c r="D5497" s="0" t="s">
        <v>18323</v>
      </c>
      <c r="E5497" s="0" t="s">
        <v>75</v>
      </c>
      <c r="F5497" s="0" t="s">
        <v>15</v>
      </c>
      <c r="G5497" s="0" t="s">
        <v>32</v>
      </c>
      <c r="H5497" s="0" t="n">
        <v>151</v>
      </c>
      <c r="I5497" s="0" t="s">
        <v>18333</v>
      </c>
      <c r="J5497" s="0" t="s">
        <v>18334</v>
      </c>
      <c r="K5497" s="0" t="s">
        <v>18335</v>
      </c>
      <c r="L5497" s="0" t="str">
        <f aca="false">HYPERLINK("https://www.ncbi.nlm.nih.gov/nuccore/CP000058.1?report=graph&amp;tracks=[key:gene_model_track,Options:GeneOnly]&amp;mk=1720656:1720675|offset_84|444444,1720681:1720700|offset_109|444444,1720703:1720722|offset_131|444444,1720723:1720742|offset_151|00cc00&amp;v=1720455:1720942&amp;c=444444", "offset 151")</f>
        <v>offset 151</v>
      </c>
    </row>
    <row r="5498" customFormat="false" ht="12.8" hidden="false" customHeight="false" outlineLevel="0" collapsed="false">
      <c r="A5498" s="0" t="s">
        <v>12</v>
      </c>
      <c r="B5498" s="0" t="n">
        <v>1720970</v>
      </c>
      <c r="C5498" s="0" t="n">
        <v>1720990</v>
      </c>
      <c r="D5498" s="0" t="s">
        <v>18336</v>
      </c>
      <c r="E5498" s="0" t="s">
        <v>75</v>
      </c>
      <c r="F5498" s="0" t="s">
        <v>15</v>
      </c>
      <c r="G5498" s="0" t="s">
        <v>36</v>
      </c>
      <c r="H5498" s="0" t="n">
        <v>16</v>
      </c>
      <c r="I5498" s="0" t="s">
        <v>18337</v>
      </c>
      <c r="J5498" s="0" t="s">
        <v>18338</v>
      </c>
      <c r="K5498" s="0" t="s">
        <v>18339</v>
      </c>
      <c r="L5498" s="0" t="str">
        <f aca="false">HYPERLINK("https://www.ncbi.nlm.nih.gov/nuccore/CP000058.1?report=graph&amp;tracks=[key:gene_model_track,Options:GeneOnly]&amp;mk=1720971:1720990|offset_16|00cc00,1720998:1721017|offset_43|444444,1721033:1721052|offset_78|444444,1721061:1721080|offset_106|444444&amp;v=1720770:1721280&amp;c=444444", "offset 16")</f>
        <v>offset 16</v>
      </c>
    </row>
    <row r="5499" customFormat="false" ht="12.8" hidden="false" customHeight="false" outlineLevel="0" collapsed="false">
      <c r="A5499" s="0" t="s">
        <v>12</v>
      </c>
      <c r="B5499" s="0" t="n">
        <v>1720997</v>
      </c>
      <c r="C5499" s="0" t="n">
        <v>1721017</v>
      </c>
      <c r="D5499" s="0" t="s">
        <v>18336</v>
      </c>
      <c r="E5499" s="0" t="s">
        <v>75</v>
      </c>
      <c r="F5499" s="0" t="s">
        <v>15</v>
      </c>
      <c r="G5499" s="0" t="s">
        <v>32</v>
      </c>
      <c r="H5499" s="0" t="n">
        <v>43</v>
      </c>
      <c r="I5499" s="0" t="s">
        <v>18340</v>
      </c>
      <c r="J5499" s="0" t="s">
        <v>18341</v>
      </c>
      <c r="K5499" s="0" t="s">
        <v>18342</v>
      </c>
      <c r="L5499" s="0" t="str">
        <f aca="false">HYPERLINK("https://www.ncbi.nlm.nih.gov/nuccore/CP000058.1?report=graph&amp;tracks=[key:gene_model_track,Options:GeneOnly]&amp;mk=1720971:1720990|offset_16|444444,1720998:1721017|offset_43|00cc00,1721033:1721052|offset_78|444444,1721061:1721080|offset_106|444444&amp;v=1720770:1721280&amp;c=444444", "offset 43")</f>
        <v>offset 43</v>
      </c>
    </row>
    <row r="5500" customFormat="false" ht="12.8" hidden="false" customHeight="false" outlineLevel="0" collapsed="false">
      <c r="A5500" s="0" t="s">
        <v>12</v>
      </c>
      <c r="B5500" s="0" t="n">
        <v>1721032</v>
      </c>
      <c r="C5500" s="0" t="n">
        <v>1721052</v>
      </c>
      <c r="D5500" s="0" t="s">
        <v>18336</v>
      </c>
      <c r="E5500" s="0" t="s">
        <v>75</v>
      </c>
      <c r="F5500" s="0" t="s">
        <v>15</v>
      </c>
      <c r="G5500" s="0" t="s">
        <v>16</v>
      </c>
      <c r="H5500" s="0" t="n">
        <v>78</v>
      </c>
      <c r="I5500" s="0" t="s">
        <v>18343</v>
      </c>
      <c r="J5500" s="0" t="s">
        <v>18344</v>
      </c>
      <c r="K5500" s="0" t="s">
        <v>18345</v>
      </c>
      <c r="L5500" s="0" t="str">
        <f aca="false">HYPERLINK("https://www.ncbi.nlm.nih.gov/nuccore/CP000058.1?report=graph&amp;tracks=[key:gene_model_track,Options:GeneOnly]&amp;mk=1720971:1720990|offset_16|444444,1720998:1721017|offset_43|444444,1721033:1721052|offset_78|00cc00,1721061:1721080|offset_106|444444&amp;v=1720770:1721280&amp;c=444444", "offset 78")</f>
        <v>offset 78</v>
      </c>
    </row>
    <row r="5501" customFormat="false" ht="12.8" hidden="false" customHeight="false" outlineLevel="0" collapsed="false">
      <c r="A5501" s="0" t="s">
        <v>12</v>
      </c>
      <c r="B5501" s="0" t="n">
        <v>1721060</v>
      </c>
      <c r="C5501" s="0" t="n">
        <v>1721080</v>
      </c>
      <c r="D5501" s="0" t="s">
        <v>18336</v>
      </c>
      <c r="E5501" s="0" t="s">
        <v>75</v>
      </c>
      <c r="F5501" s="0" t="s">
        <v>15</v>
      </c>
      <c r="G5501" s="0" t="s">
        <v>16</v>
      </c>
      <c r="H5501" s="0" t="n">
        <v>106</v>
      </c>
      <c r="I5501" s="0" t="s">
        <v>18346</v>
      </c>
      <c r="J5501" s="0" t="s">
        <v>18347</v>
      </c>
      <c r="K5501" s="0" t="s">
        <v>18348</v>
      </c>
      <c r="L5501" s="0" t="str">
        <f aca="false">HYPERLINK("https://www.ncbi.nlm.nih.gov/nuccore/CP000058.1?report=graph&amp;tracks=[key:gene_model_track,Options:GeneOnly]&amp;mk=1720971:1720990|offset_16|444444,1720998:1721017|offset_43|444444,1721033:1721052|offset_78|444444,1721061:1721080|offset_106|00cc00&amp;v=1720770:1721280&amp;c=444444", "offset 106")</f>
        <v>offset 106</v>
      </c>
    </row>
    <row r="5502" customFormat="false" ht="12.8" hidden="false" customHeight="false" outlineLevel="0" collapsed="false">
      <c r="A5502" s="0" t="s">
        <v>12</v>
      </c>
      <c r="B5502" s="0" t="n">
        <v>1722499</v>
      </c>
      <c r="C5502" s="0" t="n">
        <v>1722519</v>
      </c>
      <c r="D5502" s="0" t="s">
        <v>18349</v>
      </c>
      <c r="E5502" s="0" t="s">
        <v>75</v>
      </c>
      <c r="F5502" s="0" t="s">
        <v>90</v>
      </c>
      <c r="G5502" s="0" t="s">
        <v>20</v>
      </c>
      <c r="H5502" s="0" t="n">
        <v>0</v>
      </c>
      <c r="I5502" s="0" t="s">
        <v>18350</v>
      </c>
      <c r="J5502" s="0" t="s">
        <v>18351</v>
      </c>
      <c r="K5502" s="0" t="s">
        <v>18352</v>
      </c>
      <c r="L5502" s="0" t="str">
        <f aca="false">HYPERLINK("https://www.ncbi.nlm.nih.gov/nuccore/CP000058.1?report=graph&amp;tracks=[key:gene_model_track,Options:GeneOnly]&amp;mk=1722500:1722519|offset_0|00cc00,1722472:1722491|offset_28|444444,1722442:1722461|offset_58|444444,1722422:1722441|offset_78|444444&amp;v=1722299:1722641&amp;c=444444", "offset 0")</f>
        <v>offset 0</v>
      </c>
    </row>
    <row r="5503" customFormat="false" ht="12.8" hidden="false" customHeight="false" outlineLevel="0" collapsed="false">
      <c r="A5503" s="0" t="s">
        <v>12</v>
      </c>
      <c r="B5503" s="0" t="n">
        <v>1722471</v>
      </c>
      <c r="C5503" s="0" t="n">
        <v>1722491</v>
      </c>
      <c r="D5503" s="0" t="s">
        <v>18349</v>
      </c>
      <c r="E5503" s="0" t="s">
        <v>75</v>
      </c>
      <c r="F5503" s="0" t="s">
        <v>90</v>
      </c>
      <c r="G5503" s="0" t="s">
        <v>16</v>
      </c>
      <c r="H5503" s="0" t="n">
        <v>28</v>
      </c>
      <c r="I5503" s="0" t="s">
        <v>18353</v>
      </c>
      <c r="J5503" s="0" t="s">
        <v>18354</v>
      </c>
      <c r="K5503" s="0" t="s">
        <v>18355</v>
      </c>
      <c r="L5503" s="0" t="str">
        <f aca="false">HYPERLINK("https://www.ncbi.nlm.nih.gov/nuccore/CP000058.1?report=graph&amp;tracks=[key:gene_model_track,Options:GeneOnly]&amp;mk=1722500:1722519|offset_0|444444,1722472:1722491|offset_28|00cc00,1722442:1722461|offset_58|444444,1722422:1722441|offset_78|444444&amp;v=1722299:1722641&amp;c=444444", "offset 28")</f>
        <v>offset 28</v>
      </c>
    </row>
    <row r="5504" customFormat="false" ht="12.8" hidden="false" customHeight="false" outlineLevel="0" collapsed="false">
      <c r="A5504" s="0" t="s">
        <v>12</v>
      </c>
      <c r="B5504" s="0" t="n">
        <v>1722441</v>
      </c>
      <c r="C5504" s="0" t="n">
        <v>1722461</v>
      </c>
      <c r="D5504" s="0" t="s">
        <v>18349</v>
      </c>
      <c r="E5504" s="0" t="s">
        <v>75</v>
      </c>
      <c r="F5504" s="0" t="s">
        <v>90</v>
      </c>
      <c r="G5504" s="0" t="s">
        <v>16</v>
      </c>
      <c r="H5504" s="0" t="n">
        <v>58</v>
      </c>
      <c r="I5504" s="0" t="s">
        <v>18356</v>
      </c>
      <c r="J5504" s="0" t="s">
        <v>18357</v>
      </c>
      <c r="K5504" s="0" t="s">
        <v>18358</v>
      </c>
      <c r="L5504" s="0" t="str">
        <f aca="false">HYPERLINK("https://www.ncbi.nlm.nih.gov/nuccore/CP000058.1?report=graph&amp;tracks=[key:gene_model_track,Options:GeneOnly]&amp;mk=1722500:1722519|offset_0|444444,1722472:1722491|offset_28|444444,1722442:1722461|offset_58|00cc00,1722422:1722441|offset_78|444444&amp;v=1722299:1722641&amp;c=444444", "offset 58")</f>
        <v>offset 58</v>
      </c>
    </row>
    <row r="5505" customFormat="false" ht="12.8" hidden="false" customHeight="false" outlineLevel="0" collapsed="false">
      <c r="A5505" s="0" t="s">
        <v>12</v>
      </c>
      <c r="B5505" s="0" t="n">
        <v>1722421</v>
      </c>
      <c r="C5505" s="0" t="n">
        <v>1722441</v>
      </c>
      <c r="D5505" s="0" t="s">
        <v>18349</v>
      </c>
      <c r="E5505" s="0" t="s">
        <v>75</v>
      </c>
      <c r="F5505" s="0" t="s">
        <v>90</v>
      </c>
      <c r="G5505" s="0" t="s">
        <v>36</v>
      </c>
      <c r="H5505" s="0" t="n">
        <v>78</v>
      </c>
      <c r="I5505" s="0" t="s">
        <v>18359</v>
      </c>
      <c r="J5505" s="0" t="s">
        <v>18360</v>
      </c>
      <c r="K5505" s="0" t="s">
        <v>18361</v>
      </c>
      <c r="L5505" s="0" t="str">
        <f aca="false">HYPERLINK("https://www.ncbi.nlm.nih.gov/nuccore/CP000058.1?report=graph&amp;tracks=[key:gene_model_track,Options:GeneOnly]&amp;mk=1722500:1722519|offset_0|444444,1722472:1722491|offset_28|444444,1722442:1722461|offset_58|444444,1722422:1722441|offset_78|00cc00&amp;v=1722299:1722641&amp;c=444444", "offset 78")</f>
        <v>offset 78</v>
      </c>
    </row>
    <row r="5506" customFormat="false" ht="12.8" hidden="false" customHeight="false" outlineLevel="0" collapsed="false">
      <c r="A5506" s="0" t="s">
        <v>12</v>
      </c>
      <c r="B5506" s="0" t="n">
        <v>1722832</v>
      </c>
      <c r="C5506" s="0" t="n">
        <v>1722852</v>
      </c>
      <c r="D5506" s="0" t="s">
        <v>18362</v>
      </c>
      <c r="E5506" s="0" t="s">
        <v>75</v>
      </c>
      <c r="F5506" s="0" t="s">
        <v>15</v>
      </c>
      <c r="G5506" s="0" t="s">
        <v>36</v>
      </c>
      <c r="H5506" s="0" t="n">
        <v>12</v>
      </c>
      <c r="I5506" s="0" t="s">
        <v>18363</v>
      </c>
      <c r="J5506" s="0" t="s">
        <v>18364</v>
      </c>
      <c r="K5506" s="0" t="s">
        <v>18365</v>
      </c>
      <c r="L5506" s="0" t="str">
        <f aca="false">HYPERLINK("https://www.ncbi.nlm.nih.gov/nuccore/CP000058.1?report=graph&amp;tracks=[key:gene_model_track,Options:GeneOnly]&amp;mk=1722833:1722852|offset_12|00cc00,1722858:1722877|offset_37|444444,1722891:1722910|offset_70|444444,1722914:1722933|offset_93|444444&amp;v=1722632:1723133&amp;c=444444", "offset 12")</f>
        <v>offset 12</v>
      </c>
    </row>
    <row r="5507" customFormat="false" ht="12.8" hidden="false" customHeight="false" outlineLevel="0" collapsed="false">
      <c r="A5507" s="0" t="s">
        <v>12</v>
      </c>
      <c r="B5507" s="0" t="n">
        <v>1722857</v>
      </c>
      <c r="C5507" s="0" t="n">
        <v>1722877</v>
      </c>
      <c r="D5507" s="0" t="s">
        <v>18362</v>
      </c>
      <c r="E5507" s="0" t="s">
        <v>75</v>
      </c>
      <c r="F5507" s="0" t="s">
        <v>15</v>
      </c>
      <c r="G5507" s="0" t="s">
        <v>20</v>
      </c>
      <c r="H5507" s="0" t="n">
        <v>37</v>
      </c>
      <c r="I5507" s="0" t="s">
        <v>18366</v>
      </c>
      <c r="J5507" s="0" t="s">
        <v>18367</v>
      </c>
      <c r="K5507" s="0" t="s">
        <v>18368</v>
      </c>
      <c r="L5507" s="0" t="str">
        <f aca="false">HYPERLINK("https://www.ncbi.nlm.nih.gov/nuccore/CP000058.1?report=graph&amp;tracks=[key:gene_model_track,Options:GeneOnly]&amp;mk=1722833:1722852|offset_12|444444,1722858:1722877|offset_37|00cc00,1722891:1722910|offset_70|444444,1722914:1722933|offset_93|444444&amp;v=1722632:1723133&amp;c=444444", "offset 37")</f>
        <v>offset 37</v>
      </c>
    </row>
    <row r="5508" customFormat="false" ht="12.8" hidden="false" customHeight="false" outlineLevel="0" collapsed="false">
      <c r="A5508" s="0" t="s">
        <v>12</v>
      </c>
      <c r="B5508" s="0" t="n">
        <v>1722890</v>
      </c>
      <c r="C5508" s="0" t="n">
        <v>1722910</v>
      </c>
      <c r="D5508" s="0" t="s">
        <v>18362</v>
      </c>
      <c r="E5508" s="0" t="s">
        <v>75</v>
      </c>
      <c r="F5508" s="0" t="s">
        <v>15</v>
      </c>
      <c r="G5508" s="0" t="s">
        <v>20</v>
      </c>
      <c r="H5508" s="0" t="n">
        <v>70</v>
      </c>
      <c r="I5508" s="0" t="s">
        <v>18369</v>
      </c>
      <c r="J5508" s="0" t="s">
        <v>18370</v>
      </c>
      <c r="K5508" s="0" t="s">
        <v>18371</v>
      </c>
      <c r="L5508" s="0" t="str">
        <f aca="false">HYPERLINK("https://www.ncbi.nlm.nih.gov/nuccore/CP000058.1?report=graph&amp;tracks=[key:gene_model_track,Options:GeneOnly]&amp;mk=1722833:1722852|offset_12|444444,1722858:1722877|offset_37|444444,1722891:1722910|offset_70|00cc00,1722914:1722933|offset_93|444444&amp;v=1722632:1723133&amp;c=444444", "offset 70")</f>
        <v>offset 70</v>
      </c>
    </row>
    <row r="5509" customFormat="false" ht="12.8" hidden="false" customHeight="false" outlineLevel="0" collapsed="false">
      <c r="A5509" s="0" t="s">
        <v>12</v>
      </c>
      <c r="B5509" s="0" t="n">
        <v>1722913</v>
      </c>
      <c r="C5509" s="0" t="n">
        <v>1722933</v>
      </c>
      <c r="D5509" s="0" t="s">
        <v>18362</v>
      </c>
      <c r="E5509" s="0" t="s">
        <v>75</v>
      </c>
      <c r="F5509" s="0" t="s">
        <v>15</v>
      </c>
      <c r="G5509" s="0" t="s">
        <v>16</v>
      </c>
      <c r="H5509" s="0" t="n">
        <v>93</v>
      </c>
      <c r="I5509" s="0" t="s">
        <v>18372</v>
      </c>
      <c r="J5509" s="0" t="s">
        <v>18373</v>
      </c>
      <c r="K5509" s="0" t="s">
        <v>18374</v>
      </c>
      <c r="L5509" s="0" t="str">
        <f aca="false">HYPERLINK("https://www.ncbi.nlm.nih.gov/nuccore/CP000058.1?report=graph&amp;tracks=[key:gene_model_track,Options:GeneOnly]&amp;mk=1722833:1722852|offset_12|444444,1722858:1722877|offset_37|444444,1722891:1722910|offset_70|444444,1722914:1722933|offset_93|00cc00&amp;v=1722632:1723133&amp;c=444444", "offset 93")</f>
        <v>offset 93</v>
      </c>
    </row>
    <row r="5510" customFormat="false" ht="12.8" hidden="false" customHeight="false" outlineLevel="0" collapsed="false">
      <c r="A5510" s="0" t="s">
        <v>12</v>
      </c>
      <c r="B5510" s="0" t="n">
        <v>1726051</v>
      </c>
      <c r="C5510" s="0" t="n">
        <v>1726071</v>
      </c>
      <c r="D5510" s="0" t="s">
        <v>18375</v>
      </c>
      <c r="E5510" s="0" t="s">
        <v>75</v>
      </c>
      <c r="F5510" s="0" t="s">
        <v>15</v>
      </c>
      <c r="G5510" s="0" t="s">
        <v>32</v>
      </c>
      <c r="H5510" s="0" t="n">
        <v>10</v>
      </c>
      <c r="I5510" s="0" t="s">
        <v>18376</v>
      </c>
      <c r="J5510" s="0" t="s">
        <v>18377</v>
      </c>
      <c r="K5510" s="0" t="s">
        <v>18378</v>
      </c>
      <c r="L5510" s="0" t="str">
        <f aca="false">HYPERLINK("https://www.ncbi.nlm.nih.gov/nuccore/CP000058.1?report=graph&amp;tracks=[key:gene_model_track,Options:GeneOnly]&amp;mk=1726052:1726071|offset_10|00cc00,1726075:1726094|offset_33|444444,1726100:1726119|offset_58|444444,1726172:1726191|offset_130|444444&amp;v=1725851:1726391&amp;c=444444", "offset 10")</f>
        <v>offset 10</v>
      </c>
    </row>
    <row r="5511" customFormat="false" ht="12.8" hidden="false" customHeight="false" outlineLevel="0" collapsed="false">
      <c r="A5511" s="0" t="s">
        <v>12</v>
      </c>
      <c r="B5511" s="0" t="n">
        <v>1726074</v>
      </c>
      <c r="C5511" s="0" t="n">
        <v>1726094</v>
      </c>
      <c r="D5511" s="0" t="s">
        <v>18375</v>
      </c>
      <c r="E5511" s="0" t="s">
        <v>75</v>
      </c>
      <c r="F5511" s="0" t="s">
        <v>15</v>
      </c>
      <c r="G5511" s="0" t="s">
        <v>36</v>
      </c>
      <c r="H5511" s="0" t="n">
        <v>33</v>
      </c>
      <c r="I5511" s="0" t="s">
        <v>18379</v>
      </c>
      <c r="J5511" s="0" t="s">
        <v>18380</v>
      </c>
      <c r="K5511" s="0" t="s">
        <v>18381</v>
      </c>
      <c r="L5511" s="0" t="str">
        <f aca="false">HYPERLINK("https://www.ncbi.nlm.nih.gov/nuccore/CP000058.1?report=graph&amp;tracks=[key:gene_model_track,Options:GeneOnly]&amp;mk=1726052:1726071|offset_10|444444,1726075:1726094|offset_33|00cc00,1726100:1726119|offset_58|444444,1726172:1726191|offset_130|444444&amp;v=1725851:1726391&amp;c=444444", "offset 33")</f>
        <v>offset 33</v>
      </c>
    </row>
    <row r="5512" customFormat="false" ht="12.8" hidden="false" customHeight="false" outlineLevel="0" collapsed="false">
      <c r="A5512" s="0" t="s">
        <v>12</v>
      </c>
      <c r="B5512" s="0" t="n">
        <v>1726099</v>
      </c>
      <c r="C5512" s="0" t="n">
        <v>1726119</v>
      </c>
      <c r="D5512" s="0" t="s">
        <v>18375</v>
      </c>
      <c r="E5512" s="0" t="s">
        <v>75</v>
      </c>
      <c r="F5512" s="0" t="s">
        <v>15</v>
      </c>
      <c r="G5512" s="0" t="s">
        <v>36</v>
      </c>
      <c r="H5512" s="0" t="n">
        <v>58</v>
      </c>
      <c r="I5512" s="0" t="s">
        <v>18382</v>
      </c>
      <c r="J5512" s="0" t="s">
        <v>18383</v>
      </c>
      <c r="K5512" s="0" t="s">
        <v>18384</v>
      </c>
      <c r="L5512" s="0" t="str">
        <f aca="false">HYPERLINK("https://www.ncbi.nlm.nih.gov/nuccore/CP000058.1?report=graph&amp;tracks=[key:gene_model_track,Options:GeneOnly]&amp;mk=1726052:1726071|offset_10|444444,1726075:1726094|offset_33|444444,1726100:1726119|offset_58|00cc00,1726172:1726191|offset_130|444444&amp;v=1725851:1726391&amp;c=444444", "offset 58")</f>
        <v>offset 58</v>
      </c>
    </row>
    <row r="5513" customFormat="false" ht="12.8" hidden="false" customHeight="false" outlineLevel="0" collapsed="false">
      <c r="A5513" s="0" t="s">
        <v>12</v>
      </c>
      <c r="B5513" s="0" t="n">
        <v>1726171</v>
      </c>
      <c r="C5513" s="0" t="n">
        <v>1726191</v>
      </c>
      <c r="D5513" s="0" t="s">
        <v>18375</v>
      </c>
      <c r="E5513" s="0" t="s">
        <v>75</v>
      </c>
      <c r="F5513" s="0" t="s">
        <v>15</v>
      </c>
      <c r="G5513" s="0" t="s">
        <v>36</v>
      </c>
      <c r="H5513" s="0" t="n">
        <v>130</v>
      </c>
      <c r="I5513" s="0" t="s">
        <v>18385</v>
      </c>
      <c r="J5513" s="0" t="s">
        <v>18386</v>
      </c>
      <c r="K5513" s="0" t="s">
        <v>18387</v>
      </c>
      <c r="L5513" s="0" t="str">
        <f aca="false">HYPERLINK("https://www.ncbi.nlm.nih.gov/nuccore/CP000058.1?report=graph&amp;tracks=[key:gene_model_track,Options:GeneOnly]&amp;mk=1726052:1726071|offset_10|444444,1726075:1726094|offset_33|444444,1726100:1726119|offset_58|444444,1726172:1726191|offset_130|00cc00&amp;v=1725851:1726391&amp;c=444444", "offset 130")</f>
        <v>offset 130</v>
      </c>
    </row>
    <row r="5514" customFormat="false" ht="12.8" hidden="false" customHeight="false" outlineLevel="0" collapsed="false">
      <c r="A5514" s="0" t="s">
        <v>12</v>
      </c>
      <c r="B5514" s="0" t="n">
        <v>1728310</v>
      </c>
      <c r="C5514" s="0" t="n">
        <v>1728330</v>
      </c>
      <c r="D5514" s="0" t="s">
        <v>18388</v>
      </c>
      <c r="E5514" s="0" t="s">
        <v>75</v>
      </c>
      <c r="F5514" s="0" t="s">
        <v>15</v>
      </c>
      <c r="G5514" s="0" t="s">
        <v>16</v>
      </c>
      <c r="H5514" s="0" t="n">
        <v>26</v>
      </c>
      <c r="I5514" s="0" t="s">
        <v>18389</v>
      </c>
      <c r="J5514" s="0" t="s">
        <v>18390</v>
      </c>
      <c r="K5514" s="0" t="s">
        <v>18391</v>
      </c>
      <c r="L5514" s="0" t="str">
        <f aca="false">HYPERLINK("https://www.ncbi.nlm.nih.gov/nuccore/CP000058.1?report=graph&amp;tracks=[key:gene_model_track,Options:GeneOnly]&amp;mk=1728311:1728330|offset_26|00cc00,1728345:1728364|offset_60|444444,1728380:1728399|offset_95|444444,1728427:1728446|offset_142|444444&amp;v=1728110:1728646&amp;c=444444", "offset 26")</f>
        <v>offset 26</v>
      </c>
    </row>
    <row r="5515" customFormat="false" ht="12.8" hidden="false" customHeight="false" outlineLevel="0" collapsed="false">
      <c r="A5515" s="0" t="s">
        <v>12</v>
      </c>
      <c r="B5515" s="0" t="n">
        <v>1728344</v>
      </c>
      <c r="C5515" s="0" t="n">
        <v>1728364</v>
      </c>
      <c r="D5515" s="0" t="s">
        <v>18388</v>
      </c>
      <c r="E5515" s="0" t="s">
        <v>75</v>
      </c>
      <c r="F5515" s="0" t="s">
        <v>15</v>
      </c>
      <c r="G5515" s="0" t="s">
        <v>16</v>
      </c>
      <c r="H5515" s="0" t="n">
        <v>60</v>
      </c>
      <c r="I5515" s="0" t="s">
        <v>18392</v>
      </c>
      <c r="J5515" s="0" t="s">
        <v>18393</v>
      </c>
      <c r="K5515" s="0" t="s">
        <v>18394</v>
      </c>
      <c r="L5515" s="0" t="str">
        <f aca="false">HYPERLINK("https://www.ncbi.nlm.nih.gov/nuccore/CP000058.1?report=graph&amp;tracks=[key:gene_model_track,Options:GeneOnly]&amp;mk=1728311:1728330|offset_26|444444,1728345:1728364|offset_60|00cc00,1728380:1728399|offset_95|444444,1728427:1728446|offset_142|444444&amp;v=1728110:1728646&amp;c=444444", "offset 60")</f>
        <v>offset 60</v>
      </c>
    </row>
    <row r="5516" customFormat="false" ht="12.8" hidden="false" customHeight="false" outlineLevel="0" collapsed="false">
      <c r="A5516" s="0" t="s">
        <v>12</v>
      </c>
      <c r="B5516" s="0" t="n">
        <v>1728379</v>
      </c>
      <c r="C5516" s="0" t="n">
        <v>1728399</v>
      </c>
      <c r="D5516" s="0" t="s">
        <v>18388</v>
      </c>
      <c r="E5516" s="0" t="s">
        <v>75</v>
      </c>
      <c r="F5516" s="0" t="s">
        <v>15</v>
      </c>
      <c r="G5516" s="0" t="s">
        <v>32</v>
      </c>
      <c r="H5516" s="0" t="n">
        <v>95</v>
      </c>
      <c r="I5516" s="0" t="s">
        <v>18395</v>
      </c>
      <c r="J5516" s="0" t="s">
        <v>18396</v>
      </c>
      <c r="K5516" s="0" t="s">
        <v>18397</v>
      </c>
      <c r="L5516" s="0" t="str">
        <f aca="false">HYPERLINK("https://www.ncbi.nlm.nih.gov/nuccore/CP000058.1?report=graph&amp;tracks=[key:gene_model_track,Options:GeneOnly]&amp;mk=1728311:1728330|offset_26|444444,1728345:1728364|offset_60|444444,1728380:1728399|offset_95|00cc00,1728427:1728446|offset_142|444444&amp;v=1728110:1728646&amp;c=444444", "offset 95")</f>
        <v>offset 95</v>
      </c>
    </row>
    <row r="5517" customFormat="false" ht="12.8" hidden="false" customHeight="false" outlineLevel="0" collapsed="false">
      <c r="A5517" s="0" t="s">
        <v>12</v>
      </c>
      <c r="B5517" s="0" t="n">
        <v>1728426</v>
      </c>
      <c r="C5517" s="0" t="n">
        <v>1728446</v>
      </c>
      <c r="D5517" s="0" t="s">
        <v>18388</v>
      </c>
      <c r="E5517" s="0" t="s">
        <v>75</v>
      </c>
      <c r="F5517" s="0" t="s">
        <v>15</v>
      </c>
      <c r="G5517" s="0" t="s">
        <v>16</v>
      </c>
      <c r="H5517" s="0" t="n">
        <v>142</v>
      </c>
      <c r="I5517" s="0" t="s">
        <v>18398</v>
      </c>
      <c r="J5517" s="0" t="s">
        <v>18399</v>
      </c>
      <c r="K5517" s="0" t="s">
        <v>18400</v>
      </c>
      <c r="L5517" s="0" t="str">
        <f aca="false">HYPERLINK("https://www.ncbi.nlm.nih.gov/nuccore/CP000058.1?report=graph&amp;tracks=[key:gene_model_track,Options:GeneOnly]&amp;mk=1728311:1728330|offset_26|444444,1728345:1728364|offset_60|444444,1728380:1728399|offset_95|444444,1728427:1728446|offset_142|00cc00&amp;v=1728110:1728646&amp;c=444444", "offset 142")</f>
        <v>offset 142</v>
      </c>
    </row>
    <row r="5518" customFormat="false" ht="12.8" hidden="false" customHeight="false" outlineLevel="0" collapsed="false">
      <c r="A5518" s="0" t="s">
        <v>12</v>
      </c>
      <c r="B5518" s="0" t="n">
        <v>1729797</v>
      </c>
      <c r="C5518" s="0" t="n">
        <v>1729817</v>
      </c>
      <c r="D5518" s="0" t="s">
        <v>18401</v>
      </c>
      <c r="E5518" s="0" t="s">
        <v>75</v>
      </c>
      <c r="F5518" s="0" t="s">
        <v>15</v>
      </c>
      <c r="G5518" s="0" t="s">
        <v>20</v>
      </c>
      <c r="H5518" s="0" t="n">
        <v>67</v>
      </c>
      <c r="I5518" s="0" t="s">
        <v>18402</v>
      </c>
      <c r="J5518" s="0" t="s">
        <v>18403</v>
      </c>
      <c r="K5518" s="0" t="s">
        <v>18404</v>
      </c>
      <c r="L5518" s="0" t="str">
        <f aca="false">HYPERLINK("https://www.ncbi.nlm.nih.gov/nuccore/CP000058.1?report=graph&amp;tracks=[key:gene_model_track,Options:GeneOnly]&amp;mk=1729798:1729817|offset_67|00cc00,1729831:1729850|offset_100|444444,1729853:1729872|offset_122|444444,1729913:1729932|offset_182|444444&amp;v=1729597:1730132&amp;c=444444", "offset 67")</f>
        <v>offset 67</v>
      </c>
    </row>
    <row r="5519" customFormat="false" ht="12.8" hidden="false" customHeight="false" outlineLevel="0" collapsed="false">
      <c r="A5519" s="0" t="s">
        <v>12</v>
      </c>
      <c r="B5519" s="0" t="n">
        <v>1729830</v>
      </c>
      <c r="C5519" s="0" t="n">
        <v>1729850</v>
      </c>
      <c r="D5519" s="0" t="s">
        <v>18401</v>
      </c>
      <c r="E5519" s="0" t="s">
        <v>75</v>
      </c>
      <c r="F5519" s="0" t="s">
        <v>15</v>
      </c>
      <c r="G5519" s="0" t="s">
        <v>32</v>
      </c>
      <c r="H5519" s="0" t="n">
        <v>100</v>
      </c>
      <c r="I5519" s="0" t="s">
        <v>18405</v>
      </c>
      <c r="J5519" s="0" t="s">
        <v>18406</v>
      </c>
      <c r="K5519" s="0" t="s">
        <v>18407</v>
      </c>
      <c r="L5519" s="0" t="str">
        <f aca="false">HYPERLINK("https://www.ncbi.nlm.nih.gov/nuccore/CP000058.1?report=graph&amp;tracks=[key:gene_model_track,Options:GeneOnly]&amp;mk=1729798:1729817|offset_67|444444,1729831:1729850|offset_100|00cc00,1729853:1729872|offset_122|444444,1729913:1729932|offset_182|444444&amp;v=1729597:1730132&amp;c=444444", "offset 100")</f>
        <v>offset 100</v>
      </c>
    </row>
    <row r="5520" customFormat="false" ht="12.8" hidden="false" customHeight="false" outlineLevel="0" collapsed="false">
      <c r="A5520" s="0" t="s">
        <v>12</v>
      </c>
      <c r="B5520" s="0" t="n">
        <v>1729852</v>
      </c>
      <c r="C5520" s="0" t="n">
        <v>1729872</v>
      </c>
      <c r="D5520" s="0" t="s">
        <v>18401</v>
      </c>
      <c r="E5520" s="0" t="s">
        <v>75</v>
      </c>
      <c r="F5520" s="0" t="s">
        <v>15</v>
      </c>
      <c r="G5520" s="0" t="s">
        <v>36</v>
      </c>
      <c r="H5520" s="0" t="n">
        <v>122</v>
      </c>
      <c r="I5520" s="0" t="s">
        <v>18408</v>
      </c>
      <c r="J5520" s="0" t="s">
        <v>18409</v>
      </c>
      <c r="K5520" s="0" t="s">
        <v>18410</v>
      </c>
      <c r="L5520" s="0" t="str">
        <f aca="false">HYPERLINK("https://www.ncbi.nlm.nih.gov/nuccore/CP000058.1?report=graph&amp;tracks=[key:gene_model_track,Options:GeneOnly]&amp;mk=1729798:1729817|offset_67|444444,1729831:1729850|offset_100|444444,1729853:1729872|offset_122|00cc00,1729913:1729932|offset_182|444444&amp;v=1729597:1730132&amp;c=444444", "offset 122")</f>
        <v>offset 122</v>
      </c>
    </row>
    <row r="5521" customFormat="false" ht="12.8" hidden="false" customHeight="false" outlineLevel="0" collapsed="false">
      <c r="A5521" s="0" t="s">
        <v>12</v>
      </c>
      <c r="B5521" s="0" t="n">
        <v>1729912</v>
      </c>
      <c r="C5521" s="0" t="n">
        <v>1729932</v>
      </c>
      <c r="D5521" s="0" t="s">
        <v>18401</v>
      </c>
      <c r="E5521" s="0" t="s">
        <v>75</v>
      </c>
      <c r="F5521" s="0" t="s">
        <v>15</v>
      </c>
      <c r="G5521" s="0" t="s">
        <v>36</v>
      </c>
      <c r="H5521" s="0" t="n">
        <v>182</v>
      </c>
      <c r="I5521" s="0" t="s">
        <v>18411</v>
      </c>
      <c r="J5521" s="0" t="s">
        <v>18412</v>
      </c>
      <c r="K5521" s="0" t="s">
        <v>18413</v>
      </c>
      <c r="L5521" s="0" t="str">
        <f aca="false">HYPERLINK("https://www.ncbi.nlm.nih.gov/nuccore/CP000058.1?report=graph&amp;tracks=[key:gene_model_track,Options:GeneOnly]&amp;mk=1729798:1729817|offset_67|444444,1729831:1729850|offset_100|444444,1729853:1729872|offset_122|444444,1729913:1729932|offset_182|00cc00&amp;v=1729597:1730132&amp;c=444444", "offset 182")</f>
        <v>offset 182</v>
      </c>
    </row>
    <row r="5522" customFormat="false" ht="12.8" hidden="false" customHeight="false" outlineLevel="0" collapsed="false">
      <c r="A5522" s="0" t="s">
        <v>12</v>
      </c>
      <c r="B5522" s="0" t="n">
        <v>1731493</v>
      </c>
      <c r="C5522" s="0" t="n">
        <v>1731513</v>
      </c>
      <c r="D5522" s="0" t="s">
        <v>18414</v>
      </c>
      <c r="E5522" s="0" t="s">
        <v>75</v>
      </c>
      <c r="F5522" s="0" t="s">
        <v>90</v>
      </c>
      <c r="G5522" s="0" t="s">
        <v>36</v>
      </c>
      <c r="H5522" s="0" t="n">
        <v>66</v>
      </c>
      <c r="I5522" s="0" t="s">
        <v>18415</v>
      </c>
      <c r="J5522" s="0" t="s">
        <v>18416</v>
      </c>
      <c r="K5522" s="0" t="s">
        <v>18417</v>
      </c>
      <c r="L5522" s="0" t="str">
        <f aca="false">HYPERLINK("https://www.ncbi.nlm.nih.gov/nuccore/CP000058.1?report=graph&amp;tracks=[key:gene_model_track,Options:GeneOnly]&amp;mk=1731494:1731513|offset_66|00cc00,1731461:1731480|offset_99|444444,1731382:1731401|offset_178|444444,1731349:1731368|offset_211|444444&amp;v=1731293:1731568&amp;c=444444", "offset 66")</f>
        <v>offset 66</v>
      </c>
    </row>
    <row r="5523" customFormat="false" ht="12.8" hidden="false" customHeight="false" outlineLevel="0" collapsed="false">
      <c r="A5523" s="0" t="s">
        <v>12</v>
      </c>
      <c r="B5523" s="0" t="n">
        <v>1731460</v>
      </c>
      <c r="C5523" s="0" t="n">
        <v>1731480</v>
      </c>
      <c r="D5523" s="0" t="s">
        <v>18414</v>
      </c>
      <c r="E5523" s="0" t="s">
        <v>75</v>
      </c>
      <c r="F5523" s="0" t="s">
        <v>90</v>
      </c>
      <c r="G5523" s="0" t="s">
        <v>36</v>
      </c>
      <c r="H5523" s="0" t="n">
        <v>99</v>
      </c>
      <c r="I5523" s="0" t="s">
        <v>18418</v>
      </c>
      <c r="J5523" s="0" t="s">
        <v>18419</v>
      </c>
      <c r="K5523" s="0" t="s">
        <v>18420</v>
      </c>
      <c r="L5523" s="0" t="str">
        <f aca="false">HYPERLINK("https://www.ncbi.nlm.nih.gov/nuccore/CP000058.1?report=graph&amp;tracks=[key:gene_model_track,Options:GeneOnly]&amp;mk=1731494:1731513|offset_66|444444,1731461:1731480|offset_99|00cc00,1731382:1731401|offset_178|444444,1731349:1731368|offset_211|444444&amp;v=1731293:1731568&amp;c=444444", "offset 99")</f>
        <v>offset 99</v>
      </c>
    </row>
    <row r="5524" customFormat="false" ht="12.8" hidden="false" customHeight="false" outlineLevel="0" collapsed="false">
      <c r="A5524" s="0" t="s">
        <v>12</v>
      </c>
      <c r="B5524" s="0" t="n">
        <v>1731381</v>
      </c>
      <c r="C5524" s="0" t="n">
        <v>1731401</v>
      </c>
      <c r="D5524" s="0" t="s">
        <v>18414</v>
      </c>
      <c r="E5524" s="0" t="s">
        <v>75</v>
      </c>
      <c r="F5524" s="0" t="s">
        <v>90</v>
      </c>
      <c r="G5524" s="0" t="s">
        <v>16</v>
      </c>
      <c r="H5524" s="0" t="n">
        <v>178</v>
      </c>
      <c r="I5524" s="0" t="s">
        <v>18421</v>
      </c>
      <c r="J5524" s="0" t="s">
        <v>18422</v>
      </c>
      <c r="K5524" s="0" t="s">
        <v>18423</v>
      </c>
      <c r="L5524" s="0" t="str">
        <f aca="false">HYPERLINK("https://www.ncbi.nlm.nih.gov/nuccore/CP000058.1?report=graph&amp;tracks=[key:gene_model_track,Options:GeneOnly]&amp;mk=1731494:1731513|offset_66|444444,1731461:1731480|offset_99|444444,1731382:1731401|offset_178|00cc00,1731349:1731368|offset_211|444444&amp;v=1731293:1731568&amp;c=444444", "offset 178")</f>
        <v>offset 178</v>
      </c>
    </row>
    <row r="5525" customFormat="false" ht="12.8" hidden="false" customHeight="false" outlineLevel="0" collapsed="false">
      <c r="A5525" s="0" t="s">
        <v>12</v>
      </c>
      <c r="B5525" s="0" t="n">
        <v>1731348</v>
      </c>
      <c r="C5525" s="0" t="n">
        <v>1731368</v>
      </c>
      <c r="D5525" s="0" t="s">
        <v>18414</v>
      </c>
      <c r="E5525" s="0" t="s">
        <v>75</v>
      </c>
      <c r="F5525" s="0" t="s">
        <v>90</v>
      </c>
      <c r="G5525" s="0" t="s">
        <v>32</v>
      </c>
      <c r="H5525" s="0" t="n">
        <v>211</v>
      </c>
      <c r="I5525" s="0" t="s">
        <v>18424</v>
      </c>
      <c r="J5525" s="0" t="s">
        <v>18425</v>
      </c>
      <c r="K5525" s="0" t="s">
        <v>18426</v>
      </c>
      <c r="L5525" s="0" t="str">
        <f aca="false">HYPERLINK("https://www.ncbi.nlm.nih.gov/nuccore/CP000058.1?report=graph&amp;tracks=[key:gene_model_track,Options:GeneOnly]&amp;mk=1731494:1731513|offset_66|444444,1731461:1731480|offset_99|444444,1731382:1731401|offset_178|444444,1731349:1731368|offset_211|00cc00&amp;v=1731293:1731568&amp;c=444444", "offset 211")</f>
        <v>offset 211</v>
      </c>
    </row>
    <row r="5526" customFormat="false" ht="12.8" hidden="false" customHeight="false" outlineLevel="0" collapsed="false">
      <c r="A5526" s="0" t="s">
        <v>12</v>
      </c>
      <c r="B5526" s="0" t="n">
        <v>1733549</v>
      </c>
      <c r="C5526" s="0" t="n">
        <v>1733569</v>
      </c>
      <c r="D5526" s="0" t="s">
        <v>18427</v>
      </c>
      <c r="E5526" s="0" t="s">
        <v>75</v>
      </c>
      <c r="F5526" s="0" t="s">
        <v>90</v>
      </c>
      <c r="G5526" s="0" t="s">
        <v>20</v>
      </c>
      <c r="H5526" s="0" t="n">
        <v>23</v>
      </c>
      <c r="I5526" s="0" t="s">
        <v>18428</v>
      </c>
      <c r="J5526" s="0" t="s">
        <v>18429</v>
      </c>
      <c r="K5526" s="0" t="s">
        <v>18430</v>
      </c>
      <c r="L5526" s="0" t="str">
        <f aca="false">HYPERLINK("https://www.ncbi.nlm.nih.gov/nuccore/CP000058.1?report=graph&amp;tracks=[key:gene_model_track,Options:GeneOnly]&amp;mk=1733550:1733569|offset_23|00cc00,1733526:1733545|offset_47|444444,1733494:1733513|offset_79|444444,1733458:1733477|offset_115|444444&amp;v=1733349:1733677&amp;c=444444", "offset 23")</f>
        <v>offset 23</v>
      </c>
    </row>
    <row r="5527" customFormat="false" ht="12.8" hidden="false" customHeight="false" outlineLevel="0" collapsed="false">
      <c r="A5527" s="0" t="s">
        <v>12</v>
      </c>
      <c r="B5527" s="0" t="n">
        <v>1733525</v>
      </c>
      <c r="C5527" s="0" t="n">
        <v>1733545</v>
      </c>
      <c r="D5527" s="0" t="s">
        <v>18427</v>
      </c>
      <c r="E5527" s="0" t="s">
        <v>75</v>
      </c>
      <c r="F5527" s="0" t="s">
        <v>90</v>
      </c>
      <c r="G5527" s="0" t="s">
        <v>16</v>
      </c>
      <c r="H5527" s="0" t="n">
        <v>47</v>
      </c>
      <c r="I5527" s="0" t="s">
        <v>18431</v>
      </c>
      <c r="J5527" s="0" t="s">
        <v>18432</v>
      </c>
      <c r="K5527" s="0" t="s">
        <v>18433</v>
      </c>
      <c r="L5527" s="0" t="str">
        <f aca="false">HYPERLINK("https://www.ncbi.nlm.nih.gov/nuccore/CP000058.1?report=graph&amp;tracks=[key:gene_model_track,Options:GeneOnly]&amp;mk=1733550:1733569|offset_23|444444,1733526:1733545|offset_47|00cc00,1733494:1733513|offset_79|444444,1733458:1733477|offset_115|444444&amp;v=1733349:1733677&amp;c=444444", "offset 47")</f>
        <v>offset 47</v>
      </c>
    </row>
    <row r="5528" customFormat="false" ht="12.8" hidden="false" customHeight="false" outlineLevel="0" collapsed="false">
      <c r="A5528" s="0" t="s">
        <v>12</v>
      </c>
      <c r="B5528" s="0" t="n">
        <v>1733493</v>
      </c>
      <c r="C5528" s="0" t="n">
        <v>1733513</v>
      </c>
      <c r="D5528" s="0" t="s">
        <v>18427</v>
      </c>
      <c r="E5528" s="0" t="s">
        <v>75</v>
      </c>
      <c r="F5528" s="0" t="s">
        <v>90</v>
      </c>
      <c r="G5528" s="0" t="s">
        <v>32</v>
      </c>
      <c r="H5528" s="0" t="n">
        <v>79</v>
      </c>
      <c r="I5528" s="0" t="s">
        <v>18434</v>
      </c>
      <c r="J5528" s="0" t="s">
        <v>18435</v>
      </c>
      <c r="K5528" s="0" t="s">
        <v>18436</v>
      </c>
      <c r="L5528" s="0" t="str">
        <f aca="false">HYPERLINK("https://www.ncbi.nlm.nih.gov/nuccore/CP000058.1?report=graph&amp;tracks=[key:gene_model_track,Options:GeneOnly]&amp;mk=1733550:1733569|offset_23|444444,1733526:1733545|offset_47|444444,1733494:1733513|offset_79|00cc00,1733458:1733477|offset_115|444444&amp;v=1733349:1733677&amp;c=444444", "offset 79")</f>
        <v>offset 79</v>
      </c>
    </row>
    <row r="5529" customFormat="false" ht="12.8" hidden="false" customHeight="false" outlineLevel="0" collapsed="false">
      <c r="A5529" s="0" t="s">
        <v>12</v>
      </c>
      <c r="B5529" s="0" t="n">
        <v>1733457</v>
      </c>
      <c r="C5529" s="0" t="n">
        <v>1733477</v>
      </c>
      <c r="D5529" s="0" t="s">
        <v>18427</v>
      </c>
      <c r="E5529" s="0" t="s">
        <v>75</v>
      </c>
      <c r="F5529" s="0" t="s">
        <v>90</v>
      </c>
      <c r="G5529" s="0" t="s">
        <v>16</v>
      </c>
      <c r="H5529" s="0" t="n">
        <v>115</v>
      </c>
      <c r="I5529" s="0" t="s">
        <v>18437</v>
      </c>
      <c r="J5529" s="0" t="s">
        <v>18438</v>
      </c>
      <c r="K5529" s="0" t="s">
        <v>18439</v>
      </c>
      <c r="L5529" s="0" t="str">
        <f aca="false">HYPERLINK("https://www.ncbi.nlm.nih.gov/nuccore/CP000058.1?report=graph&amp;tracks=[key:gene_model_track,Options:GeneOnly]&amp;mk=1733550:1733569|offset_23|444444,1733526:1733545|offset_47|444444,1733494:1733513|offset_79|444444,1733458:1733477|offset_115|00cc00&amp;v=1733349:1733677&amp;c=444444", "offset 115")</f>
        <v>offset 115</v>
      </c>
    </row>
    <row r="5530" customFormat="false" ht="12.8" hidden="false" customHeight="false" outlineLevel="0" collapsed="false">
      <c r="A5530" s="0" t="s">
        <v>12</v>
      </c>
      <c r="B5530" s="0" t="n">
        <v>1734343</v>
      </c>
      <c r="C5530" s="0" t="n">
        <v>1734363</v>
      </c>
      <c r="D5530" s="0" t="s">
        <v>18440</v>
      </c>
      <c r="E5530" s="0" t="s">
        <v>75</v>
      </c>
      <c r="F5530" s="0" t="s">
        <v>90</v>
      </c>
      <c r="G5530" s="0" t="s">
        <v>16</v>
      </c>
      <c r="H5530" s="0" t="n">
        <v>6</v>
      </c>
      <c r="I5530" s="0" t="s">
        <v>18441</v>
      </c>
      <c r="J5530" s="0" t="s">
        <v>18442</v>
      </c>
      <c r="K5530" s="0" t="s">
        <v>18443</v>
      </c>
      <c r="L5530" s="0" t="str">
        <f aca="false">HYPERLINK("https://www.ncbi.nlm.nih.gov/nuccore/CP000058.1?report=graph&amp;tracks=[key:gene_model_track,Options:GeneOnly]&amp;mk=1734344:1734363|offset_6|00cc00,1734322:1734341|offset_28|444444,1734298:1734317|offset_52|444444,1734273:1734292|offset_77|444444&amp;v=1734143:1734492&amp;c=444444", "offset 6")</f>
        <v>offset 6</v>
      </c>
    </row>
    <row r="5531" customFormat="false" ht="12.8" hidden="false" customHeight="false" outlineLevel="0" collapsed="false">
      <c r="A5531" s="0" t="s">
        <v>12</v>
      </c>
      <c r="B5531" s="0" t="n">
        <v>1734321</v>
      </c>
      <c r="C5531" s="0" t="n">
        <v>1734341</v>
      </c>
      <c r="D5531" s="0" t="s">
        <v>18440</v>
      </c>
      <c r="E5531" s="0" t="s">
        <v>75</v>
      </c>
      <c r="F5531" s="0" t="s">
        <v>90</v>
      </c>
      <c r="G5531" s="0" t="s">
        <v>16</v>
      </c>
      <c r="H5531" s="0" t="n">
        <v>28</v>
      </c>
      <c r="I5531" s="0" t="s">
        <v>18444</v>
      </c>
      <c r="J5531" s="0" t="s">
        <v>18445</v>
      </c>
      <c r="K5531" s="0" t="s">
        <v>18446</v>
      </c>
      <c r="L5531" s="0" t="str">
        <f aca="false">HYPERLINK("https://www.ncbi.nlm.nih.gov/nuccore/CP000058.1?report=graph&amp;tracks=[key:gene_model_track,Options:GeneOnly]&amp;mk=1734344:1734363|offset_6|444444,1734322:1734341|offset_28|00cc00,1734298:1734317|offset_52|444444,1734273:1734292|offset_77|444444&amp;v=1734143:1734492&amp;c=444444", "offset 28")</f>
        <v>offset 28</v>
      </c>
    </row>
    <row r="5532" customFormat="false" ht="12.8" hidden="false" customHeight="false" outlineLevel="0" collapsed="false">
      <c r="A5532" s="0" t="s">
        <v>12</v>
      </c>
      <c r="B5532" s="0" t="n">
        <v>1734297</v>
      </c>
      <c r="C5532" s="0" t="n">
        <v>1734317</v>
      </c>
      <c r="D5532" s="0" t="s">
        <v>18440</v>
      </c>
      <c r="E5532" s="0" t="s">
        <v>75</v>
      </c>
      <c r="F5532" s="0" t="s">
        <v>90</v>
      </c>
      <c r="G5532" s="0" t="s">
        <v>16</v>
      </c>
      <c r="H5532" s="0" t="n">
        <v>52</v>
      </c>
      <c r="I5532" s="0" t="s">
        <v>18447</v>
      </c>
      <c r="J5532" s="0" t="s">
        <v>18448</v>
      </c>
      <c r="K5532" s="0" t="s">
        <v>18449</v>
      </c>
      <c r="L5532" s="0" t="str">
        <f aca="false">HYPERLINK("https://www.ncbi.nlm.nih.gov/nuccore/CP000058.1?report=graph&amp;tracks=[key:gene_model_track,Options:GeneOnly]&amp;mk=1734344:1734363|offset_6|444444,1734322:1734341|offset_28|444444,1734298:1734317|offset_52|00cc00,1734273:1734292|offset_77|444444&amp;v=1734143:1734492&amp;c=444444", "offset 52")</f>
        <v>offset 52</v>
      </c>
    </row>
    <row r="5533" customFormat="false" ht="12.8" hidden="false" customHeight="false" outlineLevel="0" collapsed="false">
      <c r="A5533" s="0" t="s">
        <v>12</v>
      </c>
      <c r="B5533" s="0" t="n">
        <v>1734272</v>
      </c>
      <c r="C5533" s="0" t="n">
        <v>1734292</v>
      </c>
      <c r="D5533" s="0" t="s">
        <v>18440</v>
      </c>
      <c r="E5533" s="0" t="s">
        <v>75</v>
      </c>
      <c r="F5533" s="0" t="s">
        <v>90</v>
      </c>
      <c r="G5533" s="0" t="s">
        <v>20</v>
      </c>
      <c r="H5533" s="0" t="n">
        <v>77</v>
      </c>
      <c r="I5533" s="0" t="s">
        <v>18450</v>
      </c>
      <c r="J5533" s="0" t="s">
        <v>18451</v>
      </c>
      <c r="K5533" s="0" t="s">
        <v>18452</v>
      </c>
      <c r="L5533" s="0" t="str">
        <f aca="false">HYPERLINK("https://www.ncbi.nlm.nih.gov/nuccore/CP000058.1?report=graph&amp;tracks=[key:gene_model_track,Options:GeneOnly]&amp;mk=1734344:1734363|offset_6|444444,1734322:1734341|offset_28|444444,1734298:1734317|offset_52|444444,1734273:1734292|offset_77|00cc00&amp;v=1734143:1734492&amp;c=444444", "offset 77")</f>
        <v>offset 77</v>
      </c>
    </row>
    <row r="5534" customFormat="false" ht="12.8" hidden="false" customHeight="false" outlineLevel="0" collapsed="false">
      <c r="A5534" s="0" t="s">
        <v>12</v>
      </c>
      <c r="B5534" s="0" t="n">
        <v>1734488</v>
      </c>
      <c r="C5534" s="0" t="n">
        <v>1734508</v>
      </c>
      <c r="D5534" s="0" t="s">
        <v>18453</v>
      </c>
      <c r="E5534" s="0" t="s">
        <v>75</v>
      </c>
      <c r="F5534" s="0" t="s">
        <v>15</v>
      </c>
      <c r="G5534" s="0" t="s">
        <v>32</v>
      </c>
      <c r="H5534" s="0" t="n">
        <v>10</v>
      </c>
      <c r="I5534" s="0" t="s">
        <v>18454</v>
      </c>
      <c r="J5534" s="0" t="s">
        <v>18455</v>
      </c>
      <c r="K5534" s="0" t="s">
        <v>18456</v>
      </c>
      <c r="L5534" s="0" t="str">
        <f aca="false">HYPERLINK("https://www.ncbi.nlm.nih.gov/nuccore/CP000058.1?report=graph&amp;tracks=[key:gene_model_track,Options:GeneOnly]&amp;mk=1734489:1734508|offset_10|00cc00,1734525:1734544|offset_46|444444,1734555:1734574|offset_76|444444,1734576:1734595|offset_97|444444&amp;v=1734288:1734795&amp;c=444444", "offset 10")</f>
        <v>offset 10</v>
      </c>
    </row>
    <row r="5535" customFormat="false" ht="12.8" hidden="false" customHeight="false" outlineLevel="0" collapsed="false">
      <c r="A5535" s="0" t="s">
        <v>12</v>
      </c>
      <c r="B5535" s="0" t="n">
        <v>1734524</v>
      </c>
      <c r="C5535" s="0" t="n">
        <v>1734544</v>
      </c>
      <c r="D5535" s="0" t="s">
        <v>18453</v>
      </c>
      <c r="E5535" s="0" t="s">
        <v>75</v>
      </c>
      <c r="F5535" s="0" t="s">
        <v>15</v>
      </c>
      <c r="G5535" s="0" t="s">
        <v>16</v>
      </c>
      <c r="H5535" s="0" t="n">
        <v>46</v>
      </c>
      <c r="I5535" s="0" t="s">
        <v>18457</v>
      </c>
      <c r="J5535" s="0" t="s">
        <v>18458</v>
      </c>
      <c r="K5535" s="0" t="s">
        <v>18459</v>
      </c>
      <c r="L5535" s="0" t="str">
        <f aca="false">HYPERLINK("https://www.ncbi.nlm.nih.gov/nuccore/CP000058.1?report=graph&amp;tracks=[key:gene_model_track,Options:GeneOnly]&amp;mk=1734489:1734508|offset_10|444444,1734525:1734544|offset_46|00cc00,1734555:1734574|offset_76|444444,1734576:1734595|offset_97|444444&amp;v=1734288:1734795&amp;c=444444", "offset 46")</f>
        <v>offset 46</v>
      </c>
    </row>
    <row r="5536" customFormat="false" ht="12.8" hidden="false" customHeight="false" outlineLevel="0" collapsed="false">
      <c r="A5536" s="0" t="s">
        <v>12</v>
      </c>
      <c r="B5536" s="0" t="n">
        <v>1734554</v>
      </c>
      <c r="C5536" s="0" t="n">
        <v>1734574</v>
      </c>
      <c r="D5536" s="0" t="s">
        <v>18453</v>
      </c>
      <c r="E5536" s="0" t="s">
        <v>75</v>
      </c>
      <c r="F5536" s="0" t="s">
        <v>15</v>
      </c>
      <c r="G5536" s="0" t="s">
        <v>16</v>
      </c>
      <c r="H5536" s="0" t="n">
        <v>76</v>
      </c>
      <c r="I5536" s="0" t="s">
        <v>18460</v>
      </c>
      <c r="J5536" s="0" t="s">
        <v>18461</v>
      </c>
      <c r="K5536" s="0" t="s">
        <v>18462</v>
      </c>
      <c r="L5536" s="0" t="str">
        <f aca="false">HYPERLINK("https://www.ncbi.nlm.nih.gov/nuccore/CP000058.1?report=graph&amp;tracks=[key:gene_model_track,Options:GeneOnly]&amp;mk=1734489:1734508|offset_10|444444,1734525:1734544|offset_46|444444,1734555:1734574|offset_76|00cc00,1734576:1734595|offset_97|444444&amp;v=1734288:1734795&amp;c=444444", "offset 76")</f>
        <v>offset 76</v>
      </c>
    </row>
    <row r="5537" customFormat="false" ht="12.8" hidden="false" customHeight="false" outlineLevel="0" collapsed="false">
      <c r="A5537" s="0" t="s">
        <v>12</v>
      </c>
      <c r="B5537" s="0" t="n">
        <v>1734575</v>
      </c>
      <c r="C5537" s="0" t="n">
        <v>1734595</v>
      </c>
      <c r="D5537" s="0" t="s">
        <v>18453</v>
      </c>
      <c r="E5537" s="0" t="s">
        <v>75</v>
      </c>
      <c r="F5537" s="0" t="s">
        <v>15</v>
      </c>
      <c r="G5537" s="0" t="s">
        <v>32</v>
      </c>
      <c r="H5537" s="0" t="n">
        <v>97</v>
      </c>
      <c r="I5537" s="0" t="s">
        <v>18463</v>
      </c>
      <c r="J5537" s="0" t="s">
        <v>18464</v>
      </c>
      <c r="K5537" s="0" t="s">
        <v>18465</v>
      </c>
      <c r="L5537" s="0" t="str">
        <f aca="false">HYPERLINK("https://www.ncbi.nlm.nih.gov/nuccore/CP000058.1?report=graph&amp;tracks=[key:gene_model_track,Options:GeneOnly]&amp;mk=1734489:1734508|offset_10|444444,1734525:1734544|offset_46|444444,1734555:1734574|offset_76|444444,1734576:1734595|offset_97|00cc00&amp;v=1734288:1734795&amp;c=444444", "offset 97")</f>
        <v>offset 97</v>
      </c>
    </row>
    <row r="5538" customFormat="false" ht="12.8" hidden="false" customHeight="false" outlineLevel="0" collapsed="false">
      <c r="A5538" s="0" t="s">
        <v>12</v>
      </c>
      <c r="B5538" s="0" t="n">
        <v>1736093</v>
      </c>
      <c r="C5538" s="0" t="n">
        <v>1736113</v>
      </c>
      <c r="D5538" s="0" t="s">
        <v>18466</v>
      </c>
      <c r="E5538" s="0" t="s">
        <v>75</v>
      </c>
      <c r="F5538" s="0" t="s">
        <v>90</v>
      </c>
      <c r="G5538" s="0" t="s">
        <v>20</v>
      </c>
      <c r="H5538" s="0" t="n">
        <v>8</v>
      </c>
      <c r="I5538" s="0" t="s">
        <v>18467</v>
      </c>
      <c r="J5538" s="0" t="s">
        <v>18468</v>
      </c>
      <c r="K5538" s="0" t="s">
        <v>18469</v>
      </c>
      <c r="L5538" s="0" t="str">
        <f aca="false">HYPERLINK("https://www.ncbi.nlm.nih.gov/nuccore/CP000058.1?report=graph&amp;tracks=[key:gene_model_track,Options:GeneOnly]&amp;mk=1736094:1736113|offset_8|00cc00,1736064:1736083|offset_38|444444,1736044:1736063|offset_58|444444,1736022:1736041|offset_80|444444&amp;v=1735893:1736241&amp;c=444444", "offset 8")</f>
        <v>offset 8</v>
      </c>
    </row>
    <row r="5539" customFormat="false" ht="12.8" hidden="false" customHeight="false" outlineLevel="0" collapsed="false">
      <c r="A5539" s="0" t="s">
        <v>12</v>
      </c>
      <c r="B5539" s="0" t="n">
        <v>1736063</v>
      </c>
      <c r="C5539" s="0" t="n">
        <v>1736083</v>
      </c>
      <c r="D5539" s="0" t="s">
        <v>18466</v>
      </c>
      <c r="E5539" s="0" t="s">
        <v>75</v>
      </c>
      <c r="F5539" s="0" t="s">
        <v>90</v>
      </c>
      <c r="G5539" s="0" t="s">
        <v>20</v>
      </c>
      <c r="H5539" s="0" t="n">
        <v>38</v>
      </c>
      <c r="I5539" s="0" t="s">
        <v>18470</v>
      </c>
      <c r="J5539" s="0" t="s">
        <v>18471</v>
      </c>
      <c r="K5539" s="0" t="s">
        <v>18472</v>
      </c>
      <c r="L5539" s="0" t="str">
        <f aca="false">HYPERLINK("https://www.ncbi.nlm.nih.gov/nuccore/CP000058.1?report=graph&amp;tracks=[key:gene_model_track,Options:GeneOnly]&amp;mk=1736094:1736113|offset_8|444444,1736064:1736083|offset_38|00cc00,1736044:1736063|offset_58|444444,1736022:1736041|offset_80|444444&amp;v=1735893:1736241&amp;c=444444", "offset 38")</f>
        <v>offset 38</v>
      </c>
    </row>
    <row r="5540" customFormat="false" ht="12.8" hidden="false" customHeight="false" outlineLevel="0" collapsed="false">
      <c r="A5540" s="0" t="s">
        <v>12</v>
      </c>
      <c r="B5540" s="0" t="n">
        <v>1736043</v>
      </c>
      <c r="C5540" s="0" t="n">
        <v>1736063</v>
      </c>
      <c r="D5540" s="0" t="s">
        <v>18466</v>
      </c>
      <c r="E5540" s="0" t="s">
        <v>75</v>
      </c>
      <c r="F5540" s="0" t="s">
        <v>90</v>
      </c>
      <c r="G5540" s="0" t="s">
        <v>20</v>
      </c>
      <c r="H5540" s="0" t="n">
        <v>58</v>
      </c>
      <c r="I5540" s="0" t="s">
        <v>18473</v>
      </c>
      <c r="J5540" s="0" t="s">
        <v>18474</v>
      </c>
      <c r="K5540" s="0" t="s">
        <v>18475</v>
      </c>
      <c r="L5540" s="0" t="str">
        <f aca="false">HYPERLINK("https://www.ncbi.nlm.nih.gov/nuccore/CP000058.1?report=graph&amp;tracks=[key:gene_model_track,Options:GeneOnly]&amp;mk=1736094:1736113|offset_8|444444,1736064:1736083|offset_38|444444,1736044:1736063|offset_58|00cc00,1736022:1736041|offset_80|444444&amp;v=1735893:1736241&amp;c=444444", "offset 58")</f>
        <v>offset 58</v>
      </c>
    </row>
    <row r="5541" customFormat="false" ht="12.8" hidden="false" customHeight="false" outlineLevel="0" collapsed="false">
      <c r="A5541" s="0" t="s">
        <v>12</v>
      </c>
      <c r="B5541" s="0" t="n">
        <v>1736021</v>
      </c>
      <c r="C5541" s="0" t="n">
        <v>1736041</v>
      </c>
      <c r="D5541" s="0" t="s">
        <v>18466</v>
      </c>
      <c r="E5541" s="0" t="s">
        <v>75</v>
      </c>
      <c r="F5541" s="0" t="s">
        <v>90</v>
      </c>
      <c r="G5541" s="0" t="s">
        <v>32</v>
      </c>
      <c r="H5541" s="0" t="n">
        <v>80</v>
      </c>
      <c r="I5541" s="0" t="s">
        <v>18476</v>
      </c>
      <c r="J5541" s="0" t="s">
        <v>18477</v>
      </c>
      <c r="K5541" s="0" t="s">
        <v>18478</v>
      </c>
      <c r="L5541" s="0" t="str">
        <f aca="false">HYPERLINK("https://www.ncbi.nlm.nih.gov/nuccore/CP000058.1?report=graph&amp;tracks=[key:gene_model_track,Options:GeneOnly]&amp;mk=1736094:1736113|offset_8|444444,1736064:1736083|offset_38|444444,1736044:1736063|offset_58|444444,1736022:1736041|offset_80|00cc00&amp;v=1735893:1736241&amp;c=444444", "offset 80")</f>
        <v>offset 80</v>
      </c>
    </row>
    <row r="5542" customFormat="false" ht="12.8" hidden="false" customHeight="false" outlineLevel="0" collapsed="false">
      <c r="A5542" s="0" t="s">
        <v>12</v>
      </c>
      <c r="B5542" s="0" t="n">
        <v>1736916</v>
      </c>
      <c r="C5542" s="0" t="n">
        <v>1736936</v>
      </c>
      <c r="D5542" s="0" t="s">
        <v>18479</v>
      </c>
      <c r="E5542" s="0" t="s">
        <v>75</v>
      </c>
      <c r="F5542" s="0" t="s">
        <v>90</v>
      </c>
      <c r="G5542" s="0" t="s">
        <v>16</v>
      </c>
      <c r="H5542" s="0" t="n">
        <v>28</v>
      </c>
      <c r="I5542" s="0" t="s">
        <v>18480</v>
      </c>
      <c r="J5542" s="0" t="s">
        <v>18481</v>
      </c>
      <c r="K5542" s="0" t="s">
        <v>18482</v>
      </c>
      <c r="L5542" s="0" t="str">
        <f aca="false">HYPERLINK("https://www.ncbi.nlm.nih.gov/nuccore/CP000058.1?report=graph&amp;tracks=[key:gene_model_track,Options:GeneOnly]&amp;mk=1736917:1736936|offset_28|00cc00,1736892:1736911|offset_53|444444,1736872:1736891|offset_73|444444,1736852:1736871|offset_93|444444&amp;v=1736716:1737071&amp;c=444444", "offset 28")</f>
        <v>offset 28</v>
      </c>
    </row>
    <row r="5543" customFormat="false" ht="12.8" hidden="false" customHeight="false" outlineLevel="0" collapsed="false">
      <c r="A5543" s="0" t="s">
        <v>12</v>
      </c>
      <c r="B5543" s="0" t="n">
        <v>1736891</v>
      </c>
      <c r="C5543" s="0" t="n">
        <v>1736911</v>
      </c>
      <c r="D5543" s="0" t="s">
        <v>18479</v>
      </c>
      <c r="E5543" s="0" t="s">
        <v>75</v>
      </c>
      <c r="F5543" s="0" t="s">
        <v>90</v>
      </c>
      <c r="G5543" s="0" t="s">
        <v>32</v>
      </c>
      <c r="H5543" s="0" t="n">
        <v>53</v>
      </c>
      <c r="I5543" s="0" t="s">
        <v>18483</v>
      </c>
      <c r="J5543" s="0" t="s">
        <v>18484</v>
      </c>
      <c r="K5543" s="0" t="s">
        <v>18485</v>
      </c>
      <c r="L5543" s="0" t="str">
        <f aca="false">HYPERLINK("https://www.ncbi.nlm.nih.gov/nuccore/CP000058.1?report=graph&amp;tracks=[key:gene_model_track,Options:GeneOnly]&amp;mk=1736917:1736936|offset_28|444444,1736892:1736911|offset_53|00cc00,1736872:1736891|offset_73|444444,1736852:1736871|offset_93|444444&amp;v=1736716:1737071&amp;c=444444", "offset 53")</f>
        <v>offset 53</v>
      </c>
    </row>
    <row r="5544" customFormat="false" ht="12.8" hidden="false" customHeight="false" outlineLevel="0" collapsed="false">
      <c r="A5544" s="0" t="s">
        <v>12</v>
      </c>
      <c r="B5544" s="0" t="n">
        <v>1736871</v>
      </c>
      <c r="C5544" s="0" t="n">
        <v>1736891</v>
      </c>
      <c r="D5544" s="0" t="s">
        <v>18479</v>
      </c>
      <c r="E5544" s="0" t="s">
        <v>75</v>
      </c>
      <c r="F5544" s="0" t="s">
        <v>90</v>
      </c>
      <c r="G5544" s="0" t="s">
        <v>32</v>
      </c>
      <c r="H5544" s="0" t="n">
        <v>73</v>
      </c>
      <c r="I5544" s="0" t="s">
        <v>18486</v>
      </c>
      <c r="J5544" s="0" t="s">
        <v>18487</v>
      </c>
      <c r="K5544" s="0" t="s">
        <v>18488</v>
      </c>
      <c r="L5544" s="0" t="str">
        <f aca="false">HYPERLINK("https://www.ncbi.nlm.nih.gov/nuccore/CP000058.1?report=graph&amp;tracks=[key:gene_model_track,Options:GeneOnly]&amp;mk=1736917:1736936|offset_28|444444,1736892:1736911|offset_53|444444,1736872:1736891|offset_73|00cc00,1736852:1736871|offset_93|444444&amp;v=1736716:1737071&amp;c=444444", "offset 73")</f>
        <v>offset 73</v>
      </c>
    </row>
    <row r="5545" customFormat="false" ht="12.8" hidden="false" customHeight="false" outlineLevel="0" collapsed="false">
      <c r="A5545" s="0" t="s">
        <v>12</v>
      </c>
      <c r="B5545" s="0" t="n">
        <v>1736851</v>
      </c>
      <c r="C5545" s="0" t="n">
        <v>1736871</v>
      </c>
      <c r="D5545" s="0" t="s">
        <v>18479</v>
      </c>
      <c r="E5545" s="0" t="s">
        <v>75</v>
      </c>
      <c r="F5545" s="0" t="s">
        <v>90</v>
      </c>
      <c r="G5545" s="0" t="s">
        <v>16</v>
      </c>
      <c r="H5545" s="0" t="n">
        <v>93</v>
      </c>
      <c r="I5545" s="0" t="s">
        <v>18489</v>
      </c>
      <c r="J5545" s="0" t="s">
        <v>18490</v>
      </c>
      <c r="K5545" s="0" t="s">
        <v>18491</v>
      </c>
      <c r="L5545" s="0" t="str">
        <f aca="false">HYPERLINK("https://www.ncbi.nlm.nih.gov/nuccore/CP000058.1?report=graph&amp;tracks=[key:gene_model_track,Options:GeneOnly]&amp;mk=1736917:1736936|offset_28|444444,1736892:1736911|offset_53|444444,1736872:1736891|offset_73|444444,1736852:1736871|offset_93|00cc00&amp;v=1736716:1737071&amp;c=444444", "offset 93")</f>
        <v>offset 93</v>
      </c>
    </row>
    <row r="5546" customFormat="false" ht="12.8" hidden="false" customHeight="false" outlineLevel="0" collapsed="false">
      <c r="A5546" s="0" t="s">
        <v>12</v>
      </c>
      <c r="B5546" s="0" t="n">
        <v>1738227</v>
      </c>
      <c r="C5546" s="0" t="n">
        <v>1738247</v>
      </c>
      <c r="D5546" s="0" t="s">
        <v>18492</v>
      </c>
      <c r="E5546" s="0" t="s">
        <v>75</v>
      </c>
      <c r="F5546" s="0" t="s">
        <v>90</v>
      </c>
      <c r="G5546" s="0" t="s">
        <v>16</v>
      </c>
      <c r="H5546" s="0" t="n">
        <v>8</v>
      </c>
      <c r="I5546" s="0" t="s">
        <v>18493</v>
      </c>
      <c r="J5546" s="0" t="s">
        <v>18494</v>
      </c>
      <c r="K5546" s="0" t="s">
        <v>18495</v>
      </c>
      <c r="L5546" s="0" t="str">
        <f aca="false">HYPERLINK("https://www.ncbi.nlm.nih.gov/nuccore/CP000058.1?report=graph&amp;tracks=[key:gene_model_track,Options:GeneOnly]&amp;mk=1738228:1738247|offset_8|00cc00,1738208:1738227|offset_28|444444,1738178:1738197|offset_58|444444,1738148:1738167|offset_88|444444&amp;v=1738027:1738367&amp;c=444444", "offset 8")</f>
        <v>offset 8</v>
      </c>
    </row>
    <row r="5547" customFormat="false" ht="12.8" hidden="false" customHeight="false" outlineLevel="0" collapsed="false">
      <c r="A5547" s="0" t="s">
        <v>12</v>
      </c>
      <c r="B5547" s="0" t="n">
        <v>1738207</v>
      </c>
      <c r="C5547" s="0" t="n">
        <v>1738227</v>
      </c>
      <c r="D5547" s="0" t="s">
        <v>18492</v>
      </c>
      <c r="E5547" s="0" t="s">
        <v>75</v>
      </c>
      <c r="F5547" s="0" t="s">
        <v>90</v>
      </c>
      <c r="G5547" s="0" t="s">
        <v>16</v>
      </c>
      <c r="H5547" s="0" t="n">
        <v>28</v>
      </c>
      <c r="I5547" s="0" t="s">
        <v>18496</v>
      </c>
      <c r="J5547" s="0" t="s">
        <v>18497</v>
      </c>
      <c r="K5547" s="0" t="s">
        <v>18498</v>
      </c>
      <c r="L5547" s="0" t="str">
        <f aca="false">HYPERLINK("https://www.ncbi.nlm.nih.gov/nuccore/CP000058.1?report=graph&amp;tracks=[key:gene_model_track,Options:GeneOnly]&amp;mk=1738228:1738247|offset_8|444444,1738208:1738227|offset_28|00cc00,1738178:1738197|offset_58|444444,1738148:1738167|offset_88|444444&amp;v=1738027:1738367&amp;c=444444", "offset 28")</f>
        <v>offset 28</v>
      </c>
    </row>
    <row r="5548" customFormat="false" ht="12.8" hidden="false" customHeight="false" outlineLevel="0" collapsed="false">
      <c r="A5548" s="0" t="s">
        <v>12</v>
      </c>
      <c r="B5548" s="0" t="n">
        <v>1738177</v>
      </c>
      <c r="C5548" s="0" t="n">
        <v>1738197</v>
      </c>
      <c r="D5548" s="0" t="s">
        <v>18492</v>
      </c>
      <c r="E5548" s="0" t="s">
        <v>75</v>
      </c>
      <c r="F5548" s="0" t="s">
        <v>90</v>
      </c>
      <c r="G5548" s="0" t="s">
        <v>16</v>
      </c>
      <c r="H5548" s="0" t="n">
        <v>58</v>
      </c>
      <c r="I5548" s="0" t="s">
        <v>18499</v>
      </c>
      <c r="J5548" s="0" t="s">
        <v>18500</v>
      </c>
      <c r="K5548" s="0" t="s">
        <v>18501</v>
      </c>
      <c r="L5548" s="0" t="str">
        <f aca="false">HYPERLINK("https://www.ncbi.nlm.nih.gov/nuccore/CP000058.1?report=graph&amp;tracks=[key:gene_model_track,Options:GeneOnly]&amp;mk=1738228:1738247|offset_8|444444,1738208:1738227|offset_28|444444,1738178:1738197|offset_58|00cc00,1738148:1738167|offset_88|444444&amp;v=1738027:1738367&amp;c=444444", "offset 58")</f>
        <v>offset 58</v>
      </c>
    </row>
    <row r="5549" customFormat="false" ht="12.8" hidden="false" customHeight="false" outlineLevel="0" collapsed="false">
      <c r="A5549" s="0" t="s">
        <v>12</v>
      </c>
      <c r="B5549" s="0" t="n">
        <v>1738147</v>
      </c>
      <c r="C5549" s="0" t="n">
        <v>1738167</v>
      </c>
      <c r="D5549" s="0" t="s">
        <v>18492</v>
      </c>
      <c r="E5549" s="0" t="s">
        <v>75</v>
      </c>
      <c r="F5549" s="0" t="s">
        <v>90</v>
      </c>
      <c r="G5549" s="0" t="s">
        <v>20</v>
      </c>
      <c r="H5549" s="0" t="n">
        <v>88</v>
      </c>
      <c r="I5549" s="0" t="s">
        <v>18502</v>
      </c>
      <c r="J5549" s="0" t="s">
        <v>18503</v>
      </c>
      <c r="K5549" s="0" t="s">
        <v>18504</v>
      </c>
      <c r="L5549" s="0" t="str">
        <f aca="false">HYPERLINK("https://www.ncbi.nlm.nih.gov/nuccore/CP000058.1?report=graph&amp;tracks=[key:gene_model_track,Options:GeneOnly]&amp;mk=1738228:1738247|offset_8|444444,1738208:1738227|offset_28|444444,1738178:1738197|offset_58|444444,1738148:1738167|offset_88|00cc00&amp;v=1738027:1738367&amp;c=444444", "offset 88")</f>
        <v>offset 88</v>
      </c>
    </row>
    <row r="5550" customFormat="false" ht="12.8" hidden="false" customHeight="false" outlineLevel="0" collapsed="false">
      <c r="A5550" s="0" t="s">
        <v>12</v>
      </c>
      <c r="B5550" s="0" t="n">
        <v>1739561</v>
      </c>
      <c r="C5550" s="0" t="n">
        <v>1739581</v>
      </c>
      <c r="D5550" s="0" t="s">
        <v>18505</v>
      </c>
      <c r="E5550" s="0" t="s">
        <v>18506</v>
      </c>
      <c r="F5550" s="0" t="s">
        <v>15</v>
      </c>
      <c r="G5550" s="0" t="s">
        <v>16</v>
      </c>
      <c r="H5550" s="0" t="n">
        <v>34</v>
      </c>
      <c r="I5550" s="0" t="s">
        <v>18507</v>
      </c>
      <c r="J5550" s="0" t="s">
        <v>18508</v>
      </c>
      <c r="K5550" s="0" t="s">
        <v>18509</v>
      </c>
      <c r="L5550" s="0" t="str">
        <f aca="false">HYPERLINK("https://www.ncbi.nlm.nih.gov/nuccore/CP000058.1?report=graph&amp;tracks=[key:gene_model_track,Options:GeneOnly]&amp;mk=1739562:1739581|offset_34|00cc00,1739586:1739605|offset_58|444444,1739607:1739626|offset_79|444444,1739643:1739662|offset_115|444444&amp;v=1739361:1739862&amp;c=444444", "offset 34")</f>
        <v>offset 34</v>
      </c>
    </row>
    <row r="5551" customFormat="false" ht="12.8" hidden="false" customHeight="false" outlineLevel="0" collapsed="false">
      <c r="A5551" s="0" t="s">
        <v>12</v>
      </c>
      <c r="B5551" s="0" t="n">
        <v>1739585</v>
      </c>
      <c r="C5551" s="0" t="n">
        <v>1739605</v>
      </c>
      <c r="D5551" s="0" t="s">
        <v>18505</v>
      </c>
      <c r="E5551" s="0" t="s">
        <v>18506</v>
      </c>
      <c r="F5551" s="0" t="s">
        <v>15</v>
      </c>
      <c r="G5551" s="0" t="s">
        <v>32</v>
      </c>
      <c r="H5551" s="0" t="n">
        <v>58</v>
      </c>
      <c r="I5551" s="0" t="s">
        <v>18510</v>
      </c>
      <c r="J5551" s="0" t="s">
        <v>18511</v>
      </c>
      <c r="K5551" s="0" t="s">
        <v>18512</v>
      </c>
      <c r="L5551" s="0" t="str">
        <f aca="false">HYPERLINK("https://www.ncbi.nlm.nih.gov/nuccore/CP000058.1?report=graph&amp;tracks=[key:gene_model_track,Options:GeneOnly]&amp;mk=1739562:1739581|offset_34|444444,1739586:1739605|offset_58|00cc00,1739607:1739626|offset_79|444444,1739643:1739662|offset_115|444444&amp;v=1739361:1739862&amp;c=444444", "offset 58")</f>
        <v>offset 58</v>
      </c>
    </row>
    <row r="5552" customFormat="false" ht="12.8" hidden="false" customHeight="false" outlineLevel="0" collapsed="false">
      <c r="A5552" s="0" t="s">
        <v>12</v>
      </c>
      <c r="B5552" s="0" t="n">
        <v>1739606</v>
      </c>
      <c r="C5552" s="0" t="n">
        <v>1739626</v>
      </c>
      <c r="D5552" s="0" t="s">
        <v>18505</v>
      </c>
      <c r="E5552" s="0" t="s">
        <v>18506</v>
      </c>
      <c r="F5552" s="0" t="s">
        <v>15</v>
      </c>
      <c r="G5552" s="0" t="s">
        <v>32</v>
      </c>
      <c r="H5552" s="0" t="n">
        <v>79</v>
      </c>
      <c r="I5552" s="0" t="s">
        <v>18513</v>
      </c>
      <c r="J5552" s="0" t="s">
        <v>18514</v>
      </c>
      <c r="K5552" s="0" t="s">
        <v>18515</v>
      </c>
      <c r="L5552" s="0" t="str">
        <f aca="false">HYPERLINK("https://www.ncbi.nlm.nih.gov/nuccore/CP000058.1?report=graph&amp;tracks=[key:gene_model_track,Options:GeneOnly]&amp;mk=1739562:1739581|offset_34|444444,1739586:1739605|offset_58|444444,1739607:1739626|offset_79|00cc00,1739643:1739662|offset_115|444444&amp;v=1739361:1739862&amp;c=444444", "offset 79")</f>
        <v>offset 79</v>
      </c>
    </row>
    <row r="5553" customFormat="false" ht="12.8" hidden="false" customHeight="false" outlineLevel="0" collapsed="false">
      <c r="A5553" s="0" t="s">
        <v>12</v>
      </c>
      <c r="B5553" s="0" t="n">
        <v>1739642</v>
      </c>
      <c r="C5553" s="0" t="n">
        <v>1739662</v>
      </c>
      <c r="D5553" s="0" t="s">
        <v>18505</v>
      </c>
      <c r="E5553" s="0" t="s">
        <v>18506</v>
      </c>
      <c r="F5553" s="0" t="s">
        <v>15</v>
      </c>
      <c r="G5553" s="0" t="s">
        <v>16</v>
      </c>
      <c r="H5553" s="0" t="n">
        <v>115</v>
      </c>
      <c r="I5553" s="0" t="s">
        <v>18516</v>
      </c>
      <c r="J5553" s="0" t="s">
        <v>18517</v>
      </c>
      <c r="K5553" s="0" t="s">
        <v>18518</v>
      </c>
      <c r="L5553" s="0" t="str">
        <f aca="false">HYPERLINK("https://www.ncbi.nlm.nih.gov/nuccore/CP000058.1?report=graph&amp;tracks=[key:gene_model_track,Options:GeneOnly]&amp;mk=1739562:1739581|offset_34|444444,1739586:1739605|offset_58|444444,1739607:1739626|offset_79|444444,1739643:1739662|offset_115|00cc00&amp;v=1739361:1739862&amp;c=444444", "offset 115")</f>
        <v>offset 115</v>
      </c>
    </row>
    <row r="5554" customFormat="false" ht="12.8" hidden="false" customHeight="false" outlineLevel="0" collapsed="false">
      <c r="A5554" s="0" t="s">
        <v>12</v>
      </c>
      <c r="B5554" s="0" t="n">
        <v>1740638</v>
      </c>
      <c r="C5554" s="0" t="n">
        <v>1740658</v>
      </c>
      <c r="D5554" s="0" t="s">
        <v>18519</v>
      </c>
      <c r="E5554" s="0" t="s">
        <v>75</v>
      </c>
      <c r="F5554" s="0" t="s">
        <v>15</v>
      </c>
      <c r="G5554" s="0" t="s">
        <v>20</v>
      </c>
      <c r="H5554" s="0" t="n">
        <v>20</v>
      </c>
      <c r="I5554" s="0" t="s">
        <v>18520</v>
      </c>
      <c r="J5554" s="0" t="s">
        <v>18521</v>
      </c>
      <c r="K5554" s="0" t="s">
        <v>18522</v>
      </c>
      <c r="L5554" s="0" t="str">
        <f aca="false">HYPERLINK("https://www.ncbi.nlm.nih.gov/nuccore/CP000058.1?report=graph&amp;tracks=[key:gene_model_track,Options:GeneOnly]&amp;mk=1740639:1740658|offset_20|00cc00,1740680:1740699|offset_61|444444,1740726:1740745|offset_107|444444,1740763:1740782|offset_144|444444&amp;v=1740438:1740982&amp;c=444444", "offset 20")</f>
        <v>offset 20</v>
      </c>
    </row>
    <row r="5555" customFormat="false" ht="12.8" hidden="false" customHeight="false" outlineLevel="0" collapsed="false">
      <c r="A5555" s="0" t="s">
        <v>12</v>
      </c>
      <c r="B5555" s="0" t="n">
        <v>1740679</v>
      </c>
      <c r="C5555" s="0" t="n">
        <v>1740699</v>
      </c>
      <c r="D5555" s="0" t="s">
        <v>18519</v>
      </c>
      <c r="E5555" s="0" t="s">
        <v>75</v>
      </c>
      <c r="F5555" s="0" t="s">
        <v>15</v>
      </c>
      <c r="G5555" s="0" t="s">
        <v>32</v>
      </c>
      <c r="H5555" s="0" t="n">
        <v>61</v>
      </c>
      <c r="I5555" s="0" t="s">
        <v>18523</v>
      </c>
      <c r="J5555" s="0" t="s">
        <v>18524</v>
      </c>
      <c r="K5555" s="0" t="s">
        <v>18525</v>
      </c>
      <c r="L5555" s="0" t="str">
        <f aca="false">HYPERLINK("https://www.ncbi.nlm.nih.gov/nuccore/CP000058.1?report=graph&amp;tracks=[key:gene_model_track,Options:GeneOnly]&amp;mk=1740639:1740658|offset_20|444444,1740680:1740699|offset_61|00cc00,1740726:1740745|offset_107|444444,1740763:1740782|offset_144|444444&amp;v=1740438:1740982&amp;c=444444", "offset 61")</f>
        <v>offset 61</v>
      </c>
    </row>
    <row r="5556" customFormat="false" ht="12.8" hidden="false" customHeight="false" outlineLevel="0" collapsed="false">
      <c r="A5556" s="0" t="s">
        <v>12</v>
      </c>
      <c r="B5556" s="0" t="n">
        <v>1740725</v>
      </c>
      <c r="C5556" s="0" t="n">
        <v>1740745</v>
      </c>
      <c r="D5556" s="0" t="s">
        <v>18519</v>
      </c>
      <c r="E5556" s="0" t="s">
        <v>75</v>
      </c>
      <c r="F5556" s="0" t="s">
        <v>15</v>
      </c>
      <c r="G5556" s="0" t="s">
        <v>20</v>
      </c>
      <c r="H5556" s="0" t="n">
        <v>107</v>
      </c>
      <c r="I5556" s="0" t="s">
        <v>18526</v>
      </c>
      <c r="J5556" s="0" t="s">
        <v>18527</v>
      </c>
      <c r="K5556" s="0" t="s">
        <v>18528</v>
      </c>
      <c r="L5556" s="0" t="str">
        <f aca="false">HYPERLINK("https://www.ncbi.nlm.nih.gov/nuccore/CP000058.1?report=graph&amp;tracks=[key:gene_model_track,Options:GeneOnly]&amp;mk=1740639:1740658|offset_20|444444,1740680:1740699|offset_61|444444,1740726:1740745|offset_107|00cc00,1740763:1740782|offset_144|444444&amp;v=1740438:1740982&amp;c=444444", "offset 107")</f>
        <v>offset 107</v>
      </c>
    </row>
    <row r="5557" customFormat="false" ht="12.8" hidden="false" customHeight="false" outlineLevel="0" collapsed="false">
      <c r="A5557" s="0" t="s">
        <v>12</v>
      </c>
      <c r="B5557" s="0" t="n">
        <v>1740762</v>
      </c>
      <c r="C5557" s="0" t="n">
        <v>1740782</v>
      </c>
      <c r="D5557" s="0" t="s">
        <v>18519</v>
      </c>
      <c r="E5557" s="0" t="s">
        <v>75</v>
      </c>
      <c r="F5557" s="0" t="s">
        <v>15</v>
      </c>
      <c r="G5557" s="0" t="s">
        <v>36</v>
      </c>
      <c r="H5557" s="0" t="n">
        <v>144</v>
      </c>
      <c r="I5557" s="0" t="s">
        <v>18529</v>
      </c>
      <c r="J5557" s="0" t="s">
        <v>18530</v>
      </c>
      <c r="K5557" s="0" t="s">
        <v>18531</v>
      </c>
      <c r="L5557" s="0" t="str">
        <f aca="false">HYPERLINK("https://www.ncbi.nlm.nih.gov/nuccore/CP000058.1?report=graph&amp;tracks=[key:gene_model_track,Options:GeneOnly]&amp;mk=1740639:1740658|offset_20|444444,1740680:1740699|offset_61|444444,1740726:1740745|offset_107|444444,1740763:1740782|offset_144|00cc00&amp;v=1740438:1740982&amp;c=444444", "offset 144")</f>
        <v>offset 144</v>
      </c>
    </row>
    <row r="5558" customFormat="false" ht="12.8" hidden="false" customHeight="false" outlineLevel="0" collapsed="false">
      <c r="A5558" s="0" t="s">
        <v>12</v>
      </c>
      <c r="B5558" s="0" t="n">
        <v>1740934</v>
      </c>
      <c r="C5558" s="0" t="n">
        <v>1740954</v>
      </c>
      <c r="D5558" s="0" t="s">
        <v>18532</v>
      </c>
      <c r="E5558" s="0" t="s">
        <v>75</v>
      </c>
      <c r="F5558" s="0" t="s">
        <v>15</v>
      </c>
      <c r="G5558" s="0" t="s">
        <v>16</v>
      </c>
      <c r="H5558" s="0" t="n">
        <v>8</v>
      </c>
      <c r="I5558" s="0" t="s">
        <v>18533</v>
      </c>
      <c r="J5558" s="0" t="s">
        <v>18534</v>
      </c>
      <c r="K5558" s="0" t="s">
        <v>18535</v>
      </c>
      <c r="L5558" s="0" t="str">
        <f aca="false">HYPERLINK("https://www.ncbi.nlm.nih.gov/nuccore/CP000058.1?report=graph&amp;tracks=[key:gene_model_track,Options:GeneOnly]&amp;mk=1740935:1740954|offset_8|00cc00,1740959:1740978|offset_32|444444,1741023:1741042|offset_96|444444,1741066:1741085|offset_139|444444&amp;v=1740734:1741285&amp;c=444444", "offset 8")</f>
        <v>offset 8</v>
      </c>
    </row>
    <row r="5559" customFormat="false" ht="12.8" hidden="false" customHeight="false" outlineLevel="0" collapsed="false">
      <c r="A5559" s="0" t="s">
        <v>12</v>
      </c>
      <c r="B5559" s="0" t="n">
        <v>1740958</v>
      </c>
      <c r="C5559" s="0" t="n">
        <v>1740978</v>
      </c>
      <c r="D5559" s="0" t="s">
        <v>18532</v>
      </c>
      <c r="E5559" s="0" t="s">
        <v>75</v>
      </c>
      <c r="F5559" s="0" t="s">
        <v>15</v>
      </c>
      <c r="G5559" s="0" t="s">
        <v>20</v>
      </c>
      <c r="H5559" s="0" t="n">
        <v>32</v>
      </c>
      <c r="I5559" s="0" t="s">
        <v>18536</v>
      </c>
      <c r="J5559" s="0" t="s">
        <v>18537</v>
      </c>
      <c r="K5559" s="0" t="s">
        <v>18538</v>
      </c>
      <c r="L5559" s="0" t="str">
        <f aca="false">HYPERLINK("https://www.ncbi.nlm.nih.gov/nuccore/CP000058.1?report=graph&amp;tracks=[key:gene_model_track,Options:GeneOnly]&amp;mk=1740935:1740954|offset_8|444444,1740959:1740978|offset_32|00cc00,1741023:1741042|offset_96|444444,1741066:1741085|offset_139|444444&amp;v=1740734:1741285&amp;c=444444", "offset 32")</f>
        <v>offset 32</v>
      </c>
    </row>
    <row r="5560" customFormat="false" ht="12.8" hidden="false" customHeight="false" outlineLevel="0" collapsed="false">
      <c r="A5560" s="0" t="s">
        <v>12</v>
      </c>
      <c r="B5560" s="0" t="n">
        <v>1741022</v>
      </c>
      <c r="C5560" s="0" t="n">
        <v>1741042</v>
      </c>
      <c r="D5560" s="0" t="s">
        <v>18532</v>
      </c>
      <c r="E5560" s="0" t="s">
        <v>75</v>
      </c>
      <c r="F5560" s="0" t="s">
        <v>15</v>
      </c>
      <c r="G5560" s="0" t="s">
        <v>36</v>
      </c>
      <c r="H5560" s="0" t="n">
        <v>96</v>
      </c>
      <c r="I5560" s="0" t="s">
        <v>18539</v>
      </c>
      <c r="J5560" s="0" t="s">
        <v>18540</v>
      </c>
      <c r="K5560" s="0" t="s">
        <v>18541</v>
      </c>
      <c r="L5560" s="0" t="str">
        <f aca="false">HYPERLINK("https://www.ncbi.nlm.nih.gov/nuccore/CP000058.1?report=graph&amp;tracks=[key:gene_model_track,Options:GeneOnly]&amp;mk=1740935:1740954|offset_8|444444,1740959:1740978|offset_32|444444,1741023:1741042|offset_96|00cc00,1741066:1741085|offset_139|444444&amp;v=1740734:1741285&amp;c=444444", "offset 96")</f>
        <v>offset 96</v>
      </c>
    </row>
    <row r="5561" customFormat="false" ht="12.8" hidden="false" customHeight="false" outlineLevel="0" collapsed="false">
      <c r="A5561" s="0" t="s">
        <v>12</v>
      </c>
      <c r="B5561" s="0" t="n">
        <v>1741065</v>
      </c>
      <c r="C5561" s="0" t="n">
        <v>1741085</v>
      </c>
      <c r="D5561" s="0" t="s">
        <v>18532</v>
      </c>
      <c r="E5561" s="0" t="s">
        <v>75</v>
      </c>
      <c r="F5561" s="0" t="s">
        <v>15</v>
      </c>
      <c r="G5561" s="0" t="s">
        <v>20</v>
      </c>
      <c r="H5561" s="0" t="n">
        <v>139</v>
      </c>
      <c r="I5561" s="0" t="s">
        <v>18542</v>
      </c>
      <c r="J5561" s="0" t="s">
        <v>18543</v>
      </c>
      <c r="K5561" s="0" t="s">
        <v>18544</v>
      </c>
      <c r="L5561" s="0" t="str">
        <f aca="false">HYPERLINK("https://www.ncbi.nlm.nih.gov/nuccore/CP000058.1?report=graph&amp;tracks=[key:gene_model_track,Options:GeneOnly]&amp;mk=1740935:1740954|offset_8|444444,1740959:1740978|offset_32|444444,1741023:1741042|offset_96|444444,1741066:1741085|offset_139|00cc00&amp;v=1740734:1741285&amp;c=444444", "offset 139")</f>
        <v>offset 139</v>
      </c>
    </row>
    <row r="5562" customFormat="false" ht="12.8" hidden="false" customHeight="false" outlineLevel="0" collapsed="false">
      <c r="A5562" s="0" t="s">
        <v>12</v>
      </c>
      <c r="B5562" s="0" t="n">
        <v>1742769</v>
      </c>
      <c r="C5562" s="0" t="n">
        <v>1742789</v>
      </c>
      <c r="D5562" s="0" t="s">
        <v>18545</v>
      </c>
      <c r="E5562" s="0" t="s">
        <v>75</v>
      </c>
      <c r="F5562" s="0" t="s">
        <v>90</v>
      </c>
      <c r="G5562" s="0" t="s">
        <v>16</v>
      </c>
      <c r="H5562" s="0" t="n">
        <v>60</v>
      </c>
      <c r="I5562" s="0" t="s">
        <v>18546</v>
      </c>
      <c r="J5562" s="0" t="s">
        <v>18547</v>
      </c>
      <c r="K5562" s="0" t="s">
        <v>18548</v>
      </c>
      <c r="L5562" s="0" t="str">
        <f aca="false">HYPERLINK("https://www.ncbi.nlm.nih.gov/nuccore/CP000058.1?report=graph&amp;tracks=[key:gene_model_track,Options:GeneOnly]&amp;mk=1742770:1742789|offset_60|00cc00,1742734:1742753|offset_96|444444,1742711:1742730|offset_119|444444&amp;v=1742569:1742930&amp;c=444444", "offset 60")</f>
        <v>offset 60</v>
      </c>
    </row>
    <row r="5563" customFormat="false" ht="12.8" hidden="false" customHeight="false" outlineLevel="0" collapsed="false">
      <c r="A5563" s="0" t="s">
        <v>12</v>
      </c>
      <c r="B5563" s="0" t="n">
        <v>1742733</v>
      </c>
      <c r="C5563" s="0" t="n">
        <v>1742753</v>
      </c>
      <c r="D5563" s="0" t="s">
        <v>18545</v>
      </c>
      <c r="E5563" s="0" t="s">
        <v>75</v>
      </c>
      <c r="F5563" s="0" t="s">
        <v>90</v>
      </c>
      <c r="G5563" s="0" t="s">
        <v>16</v>
      </c>
      <c r="H5563" s="0" t="n">
        <v>96</v>
      </c>
      <c r="I5563" s="0" t="s">
        <v>18549</v>
      </c>
      <c r="J5563" s="0" t="s">
        <v>18550</v>
      </c>
      <c r="K5563" s="0" t="s">
        <v>18551</v>
      </c>
      <c r="L5563" s="0" t="str">
        <f aca="false">HYPERLINK("https://www.ncbi.nlm.nih.gov/nuccore/CP000058.1?report=graph&amp;tracks=[key:gene_model_track,Options:GeneOnly]&amp;mk=1742770:1742789|offset_60|444444,1742734:1742753|offset_96|00cc00,1742711:1742730|offset_119|444444&amp;v=1742569:1742930&amp;c=444444", "offset 96")</f>
        <v>offset 96</v>
      </c>
    </row>
    <row r="5564" customFormat="false" ht="12.8" hidden="false" customHeight="false" outlineLevel="0" collapsed="false">
      <c r="A5564" s="0" t="s">
        <v>12</v>
      </c>
      <c r="B5564" s="0" t="n">
        <v>1742710</v>
      </c>
      <c r="C5564" s="0" t="n">
        <v>1742730</v>
      </c>
      <c r="D5564" s="0" t="s">
        <v>18545</v>
      </c>
      <c r="E5564" s="0" t="s">
        <v>75</v>
      </c>
      <c r="F5564" s="0" t="s">
        <v>90</v>
      </c>
      <c r="G5564" s="0" t="s">
        <v>20</v>
      </c>
      <c r="H5564" s="0" t="n">
        <v>119</v>
      </c>
      <c r="I5564" s="0" t="s">
        <v>18552</v>
      </c>
      <c r="J5564" s="0" t="s">
        <v>18553</v>
      </c>
      <c r="K5564" s="0" t="s">
        <v>18554</v>
      </c>
      <c r="L5564" s="0" t="str">
        <f aca="false">HYPERLINK("https://www.ncbi.nlm.nih.gov/nuccore/CP000058.1?report=graph&amp;tracks=[key:gene_model_track,Options:GeneOnly]&amp;mk=1742770:1742789|offset_60|444444,1742734:1742753|offset_96|444444,1742711:1742730|offset_119|00cc00&amp;v=1742569:1742930&amp;c=444444", "offset 119")</f>
        <v>offset 119</v>
      </c>
    </row>
    <row r="5565" customFormat="false" ht="12.8" hidden="false" customHeight="false" outlineLevel="0" collapsed="false">
      <c r="A5565" s="0" t="s">
        <v>12</v>
      </c>
      <c r="B5565" s="0" t="n">
        <v>1743191</v>
      </c>
      <c r="C5565" s="0" t="n">
        <v>1743211</v>
      </c>
      <c r="D5565" s="0" t="s">
        <v>18555</v>
      </c>
      <c r="E5565" s="0" t="s">
        <v>75</v>
      </c>
      <c r="F5565" s="0" t="s">
        <v>15</v>
      </c>
      <c r="G5565" s="0" t="s">
        <v>16</v>
      </c>
      <c r="H5565" s="0" t="n">
        <v>28</v>
      </c>
      <c r="I5565" s="0" t="s">
        <v>18556</v>
      </c>
      <c r="J5565" s="0" t="s">
        <v>18557</v>
      </c>
      <c r="K5565" s="0" t="s">
        <v>18558</v>
      </c>
      <c r="L5565" s="0" t="str">
        <f aca="false">HYPERLINK("https://www.ncbi.nlm.nih.gov/nuccore/CP000058.1?report=graph&amp;tracks=[key:gene_model_track,Options:GeneOnly]&amp;mk=1743192:1743211|offset_28|00cc00,1743260:1743279|offset_96|444444,1743284:1743303|offset_120|444444,1743331:1743350|offset_167|444444&amp;v=1742991:1743550&amp;c=444444", "offset 28")</f>
        <v>offset 28</v>
      </c>
    </row>
    <row r="5566" customFormat="false" ht="12.8" hidden="false" customHeight="false" outlineLevel="0" collapsed="false">
      <c r="A5566" s="0" t="s">
        <v>12</v>
      </c>
      <c r="B5566" s="0" t="n">
        <v>1743259</v>
      </c>
      <c r="C5566" s="0" t="n">
        <v>1743279</v>
      </c>
      <c r="D5566" s="0" t="s">
        <v>18555</v>
      </c>
      <c r="E5566" s="0" t="s">
        <v>75</v>
      </c>
      <c r="F5566" s="0" t="s">
        <v>15</v>
      </c>
      <c r="G5566" s="0" t="s">
        <v>16</v>
      </c>
      <c r="H5566" s="0" t="n">
        <v>96</v>
      </c>
      <c r="I5566" s="0" t="s">
        <v>18559</v>
      </c>
      <c r="J5566" s="0" t="s">
        <v>18560</v>
      </c>
      <c r="K5566" s="0" t="s">
        <v>18561</v>
      </c>
      <c r="L5566" s="0" t="str">
        <f aca="false">HYPERLINK("https://www.ncbi.nlm.nih.gov/nuccore/CP000058.1?report=graph&amp;tracks=[key:gene_model_track,Options:GeneOnly]&amp;mk=1743192:1743211|offset_28|444444,1743260:1743279|offset_96|00cc00,1743284:1743303|offset_120|444444,1743331:1743350|offset_167|444444&amp;v=1742991:1743550&amp;c=444444", "offset 96")</f>
        <v>offset 96</v>
      </c>
    </row>
    <row r="5567" customFormat="false" ht="12.8" hidden="false" customHeight="false" outlineLevel="0" collapsed="false">
      <c r="A5567" s="0" t="s">
        <v>12</v>
      </c>
      <c r="B5567" s="0" t="n">
        <v>1743283</v>
      </c>
      <c r="C5567" s="0" t="n">
        <v>1743303</v>
      </c>
      <c r="D5567" s="0" t="s">
        <v>18555</v>
      </c>
      <c r="E5567" s="0" t="s">
        <v>75</v>
      </c>
      <c r="F5567" s="0" t="s">
        <v>15</v>
      </c>
      <c r="G5567" s="0" t="s">
        <v>16</v>
      </c>
      <c r="H5567" s="0" t="n">
        <v>120</v>
      </c>
      <c r="I5567" s="0" t="s">
        <v>18562</v>
      </c>
      <c r="J5567" s="0" t="s">
        <v>18563</v>
      </c>
      <c r="K5567" s="0" t="s">
        <v>18564</v>
      </c>
      <c r="L5567" s="0" t="str">
        <f aca="false">HYPERLINK("https://www.ncbi.nlm.nih.gov/nuccore/CP000058.1?report=graph&amp;tracks=[key:gene_model_track,Options:GeneOnly]&amp;mk=1743192:1743211|offset_28|444444,1743260:1743279|offset_96|444444,1743284:1743303|offset_120|00cc00,1743331:1743350|offset_167|444444&amp;v=1742991:1743550&amp;c=444444", "offset 120")</f>
        <v>offset 120</v>
      </c>
    </row>
    <row r="5568" customFormat="false" ht="12.8" hidden="false" customHeight="false" outlineLevel="0" collapsed="false">
      <c r="A5568" s="0" t="s">
        <v>12</v>
      </c>
      <c r="B5568" s="0" t="n">
        <v>1743330</v>
      </c>
      <c r="C5568" s="0" t="n">
        <v>1743350</v>
      </c>
      <c r="D5568" s="0" t="s">
        <v>18555</v>
      </c>
      <c r="E5568" s="0" t="s">
        <v>75</v>
      </c>
      <c r="F5568" s="0" t="s">
        <v>15</v>
      </c>
      <c r="G5568" s="0" t="s">
        <v>36</v>
      </c>
      <c r="H5568" s="0" t="n">
        <v>167</v>
      </c>
      <c r="I5568" s="0" t="s">
        <v>18565</v>
      </c>
      <c r="J5568" s="0" t="s">
        <v>18566</v>
      </c>
      <c r="K5568" s="0" t="s">
        <v>18567</v>
      </c>
      <c r="L5568" s="0" t="str">
        <f aca="false">HYPERLINK("https://www.ncbi.nlm.nih.gov/nuccore/CP000058.1?report=graph&amp;tracks=[key:gene_model_track,Options:GeneOnly]&amp;mk=1743192:1743211|offset_28|444444,1743260:1743279|offset_96|444444,1743284:1743303|offset_120|444444,1743331:1743350|offset_167|00cc00&amp;v=1742991:1743550&amp;c=444444", "offset 167")</f>
        <v>offset 167</v>
      </c>
    </row>
    <row r="5569" customFormat="false" ht="12.8" hidden="false" customHeight="false" outlineLevel="0" collapsed="false">
      <c r="A5569" s="0" t="s">
        <v>12</v>
      </c>
      <c r="B5569" s="0" t="n">
        <v>1743655</v>
      </c>
      <c r="C5569" s="0" t="n">
        <v>1743675</v>
      </c>
      <c r="D5569" s="0" t="s">
        <v>18568</v>
      </c>
      <c r="E5569" s="0" t="s">
        <v>75</v>
      </c>
      <c r="F5569" s="0" t="s">
        <v>15</v>
      </c>
      <c r="G5569" s="0" t="s">
        <v>16</v>
      </c>
      <c r="H5569" s="0" t="n">
        <v>11</v>
      </c>
      <c r="I5569" s="0" t="s">
        <v>18569</v>
      </c>
      <c r="J5569" s="0" t="s">
        <v>18570</v>
      </c>
      <c r="K5569" s="0" t="s">
        <v>18571</v>
      </c>
      <c r="L5569" s="0" t="str">
        <f aca="false">HYPERLINK("https://www.ncbi.nlm.nih.gov/nuccore/CP000058.1?report=graph&amp;tracks=[key:gene_model_track,Options:GeneOnly]&amp;mk=1743656:1743675|offset_11|00cc00,1743676:1743695|offset_31|444444,1743757:1743776|offset_112|444444,1743977:1743996|offset_332|444444&amp;v=1743455:1744196&amp;c=444444", "offset 11")</f>
        <v>offset 11</v>
      </c>
    </row>
    <row r="5570" customFormat="false" ht="12.8" hidden="false" customHeight="false" outlineLevel="0" collapsed="false">
      <c r="A5570" s="0" t="s">
        <v>12</v>
      </c>
      <c r="B5570" s="0" t="n">
        <v>1743675</v>
      </c>
      <c r="C5570" s="0" t="n">
        <v>1743695</v>
      </c>
      <c r="D5570" s="0" t="s">
        <v>18568</v>
      </c>
      <c r="E5570" s="0" t="s">
        <v>75</v>
      </c>
      <c r="F5570" s="0" t="s">
        <v>15</v>
      </c>
      <c r="G5570" s="0" t="s">
        <v>16</v>
      </c>
      <c r="H5570" s="0" t="n">
        <v>31</v>
      </c>
      <c r="I5570" s="0" t="s">
        <v>18572</v>
      </c>
      <c r="J5570" s="0" t="s">
        <v>18573</v>
      </c>
      <c r="K5570" s="0" t="s">
        <v>18574</v>
      </c>
      <c r="L5570" s="0" t="str">
        <f aca="false">HYPERLINK("https://www.ncbi.nlm.nih.gov/nuccore/CP000058.1?report=graph&amp;tracks=[key:gene_model_track,Options:GeneOnly]&amp;mk=1743656:1743675|offset_11|444444,1743676:1743695|offset_31|00cc00,1743757:1743776|offset_112|444444,1743977:1743996|offset_332|444444&amp;v=1743455:1744196&amp;c=444444", "offset 31")</f>
        <v>offset 31</v>
      </c>
    </row>
    <row r="5571" customFormat="false" ht="12.8" hidden="false" customHeight="false" outlineLevel="0" collapsed="false">
      <c r="A5571" s="0" t="s">
        <v>12</v>
      </c>
      <c r="B5571" s="0" t="n">
        <v>1743756</v>
      </c>
      <c r="C5571" s="0" t="n">
        <v>1743776</v>
      </c>
      <c r="D5571" s="0" t="s">
        <v>18568</v>
      </c>
      <c r="E5571" s="0" t="s">
        <v>75</v>
      </c>
      <c r="F5571" s="0" t="s">
        <v>15</v>
      </c>
      <c r="G5571" s="0" t="s">
        <v>16</v>
      </c>
      <c r="H5571" s="0" t="n">
        <v>112</v>
      </c>
      <c r="I5571" s="0" t="s">
        <v>18575</v>
      </c>
      <c r="J5571" s="0" t="s">
        <v>18576</v>
      </c>
      <c r="K5571" s="0" t="s">
        <v>18577</v>
      </c>
      <c r="L5571" s="0" t="str">
        <f aca="false">HYPERLINK("https://www.ncbi.nlm.nih.gov/nuccore/CP000058.1?report=graph&amp;tracks=[key:gene_model_track,Options:GeneOnly]&amp;mk=1743656:1743675|offset_11|444444,1743676:1743695|offset_31|444444,1743757:1743776|offset_112|00cc00,1743977:1743996|offset_332|444444&amp;v=1743455:1744196&amp;c=444444", "offset 112")</f>
        <v>offset 112</v>
      </c>
    </row>
    <row r="5572" customFormat="false" ht="12.8" hidden="false" customHeight="false" outlineLevel="0" collapsed="false">
      <c r="A5572" s="0" t="s">
        <v>12</v>
      </c>
      <c r="B5572" s="0" t="n">
        <v>1743976</v>
      </c>
      <c r="C5572" s="0" t="n">
        <v>1743996</v>
      </c>
      <c r="D5572" s="0" t="s">
        <v>18568</v>
      </c>
      <c r="E5572" s="0" t="s">
        <v>75</v>
      </c>
      <c r="F5572" s="0" t="s">
        <v>15</v>
      </c>
      <c r="G5572" s="0" t="s">
        <v>20</v>
      </c>
      <c r="H5572" s="0" t="n">
        <v>332</v>
      </c>
      <c r="I5572" s="0" t="s">
        <v>18578</v>
      </c>
      <c r="J5572" s="0" t="s">
        <v>18579</v>
      </c>
      <c r="K5572" s="0" t="s">
        <v>18580</v>
      </c>
      <c r="L5572" s="0" t="str">
        <f aca="false">HYPERLINK("https://www.ncbi.nlm.nih.gov/nuccore/CP000058.1?report=graph&amp;tracks=[key:gene_model_track,Options:GeneOnly]&amp;mk=1743656:1743675|offset_11|444444,1743676:1743695|offset_31|444444,1743757:1743776|offset_112|444444,1743977:1743996|offset_332|00cc00&amp;v=1743455:1744196&amp;c=444444", "offset 332")</f>
        <v>offset 332</v>
      </c>
    </row>
    <row r="5573" customFormat="false" ht="12.8" hidden="false" customHeight="false" outlineLevel="0" collapsed="false">
      <c r="A5573" s="0" t="s">
        <v>12</v>
      </c>
      <c r="B5573" s="0" t="n">
        <v>1744905</v>
      </c>
      <c r="C5573" s="0" t="n">
        <v>1744925</v>
      </c>
      <c r="D5573" s="0" t="s">
        <v>18581</v>
      </c>
      <c r="E5573" s="0" t="s">
        <v>75</v>
      </c>
      <c r="F5573" s="0" t="s">
        <v>15</v>
      </c>
      <c r="G5573" s="0" t="s">
        <v>20</v>
      </c>
      <c r="H5573" s="0" t="n">
        <v>14</v>
      </c>
      <c r="I5573" s="0" t="s">
        <v>18582</v>
      </c>
      <c r="J5573" s="0" t="s">
        <v>18583</v>
      </c>
      <c r="K5573" s="0" t="s">
        <v>18584</v>
      </c>
      <c r="L5573" s="0" t="str">
        <f aca="false">HYPERLINK("https://www.ncbi.nlm.nih.gov/nuccore/CP000058.1?report=graph&amp;tracks=[key:gene_model_track,Options:GeneOnly]&amp;mk=1744906:1744925|offset_14|00cc00,1744926:1744945|offset_34|444444,1744953:1744972|offset_61|444444,1745000:1745019|offset_108|444444&amp;v=1744705:1745219&amp;c=444444", "offset 14")</f>
        <v>offset 14</v>
      </c>
    </row>
    <row r="5574" customFormat="false" ht="12.8" hidden="false" customHeight="false" outlineLevel="0" collapsed="false">
      <c r="A5574" s="0" t="s">
        <v>12</v>
      </c>
      <c r="B5574" s="0" t="n">
        <v>1744925</v>
      </c>
      <c r="C5574" s="0" t="n">
        <v>1744945</v>
      </c>
      <c r="D5574" s="0" t="s">
        <v>18581</v>
      </c>
      <c r="E5574" s="0" t="s">
        <v>75</v>
      </c>
      <c r="F5574" s="0" t="s">
        <v>15</v>
      </c>
      <c r="G5574" s="0" t="s">
        <v>36</v>
      </c>
      <c r="H5574" s="0" t="n">
        <v>34</v>
      </c>
      <c r="I5574" s="0" t="s">
        <v>18585</v>
      </c>
      <c r="J5574" s="0" t="s">
        <v>18586</v>
      </c>
      <c r="K5574" s="0" t="s">
        <v>18587</v>
      </c>
      <c r="L5574" s="0" t="str">
        <f aca="false">HYPERLINK("https://www.ncbi.nlm.nih.gov/nuccore/CP000058.1?report=graph&amp;tracks=[key:gene_model_track,Options:GeneOnly]&amp;mk=1744906:1744925|offset_14|444444,1744926:1744945|offset_34|00cc00,1744953:1744972|offset_61|444444,1745000:1745019|offset_108|444444&amp;v=1744705:1745219&amp;c=444444", "offset 34")</f>
        <v>offset 34</v>
      </c>
    </row>
    <row r="5575" customFormat="false" ht="12.8" hidden="false" customHeight="false" outlineLevel="0" collapsed="false">
      <c r="A5575" s="0" t="s">
        <v>12</v>
      </c>
      <c r="B5575" s="0" t="n">
        <v>1744952</v>
      </c>
      <c r="C5575" s="0" t="n">
        <v>1744972</v>
      </c>
      <c r="D5575" s="0" t="s">
        <v>18581</v>
      </c>
      <c r="E5575" s="0" t="s">
        <v>75</v>
      </c>
      <c r="F5575" s="0" t="s">
        <v>15</v>
      </c>
      <c r="G5575" s="0" t="s">
        <v>20</v>
      </c>
      <c r="H5575" s="0" t="n">
        <v>61</v>
      </c>
      <c r="I5575" s="0" t="s">
        <v>18588</v>
      </c>
      <c r="J5575" s="0" t="s">
        <v>18589</v>
      </c>
      <c r="K5575" s="0" t="s">
        <v>18590</v>
      </c>
      <c r="L5575" s="0" t="str">
        <f aca="false">HYPERLINK("https://www.ncbi.nlm.nih.gov/nuccore/CP000058.1?report=graph&amp;tracks=[key:gene_model_track,Options:GeneOnly]&amp;mk=1744906:1744925|offset_14|444444,1744926:1744945|offset_34|444444,1744953:1744972|offset_61|00cc00,1745000:1745019|offset_108|444444&amp;v=1744705:1745219&amp;c=444444", "offset 61")</f>
        <v>offset 61</v>
      </c>
    </row>
    <row r="5576" customFormat="false" ht="12.8" hidden="false" customHeight="false" outlineLevel="0" collapsed="false">
      <c r="A5576" s="0" t="s">
        <v>12</v>
      </c>
      <c r="B5576" s="0" t="n">
        <v>1744999</v>
      </c>
      <c r="C5576" s="0" t="n">
        <v>1745019</v>
      </c>
      <c r="D5576" s="0" t="s">
        <v>18581</v>
      </c>
      <c r="E5576" s="0" t="s">
        <v>75</v>
      </c>
      <c r="F5576" s="0" t="s">
        <v>15</v>
      </c>
      <c r="G5576" s="0" t="s">
        <v>16</v>
      </c>
      <c r="H5576" s="0" t="n">
        <v>108</v>
      </c>
      <c r="I5576" s="0" t="s">
        <v>18591</v>
      </c>
      <c r="J5576" s="0" t="s">
        <v>18592</v>
      </c>
      <c r="K5576" s="0" t="s">
        <v>18593</v>
      </c>
      <c r="L5576" s="0" t="str">
        <f aca="false">HYPERLINK("https://www.ncbi.nlm.nih.gov/nuccore/CP000058.1?report=graph&amp;tracks=[key:gene_model_track,Options:GeneOnly]&amp;mk=1744906:1744925|offset_14|444444,1744926:1744945|offset_34|444444,1744953:1744972|offset_61|444444,1745000:1745019|offset_108|00cc00&amp;v=1744705:1745219&amp;c=444444", "offset 108")</f>
        <v>offset 108</v>
      </c>
    </row>
    <row r="5577" customFormat="false" ht="12.8" hidden="false" customHeight="false" outlineLevel="0" collapsed="false">
      <c r="A5577" s="0" t="s">
        <v>12</v>
      </c>
      <c r="B5577" s="0" t="n">
        <v>1745361</v>
      </c>
      <c r="C5577" s="0" t="n">
        <v>1745381</v>
      </c>
      <c r="D5577" s="0" t="s">
        <v>18594</v>
      </c>
      <c r="E5577" s="0" t="s">
        <v>75</v>
      </c>
      <c r="F5577" s="0" t="s">
        <v>15</v>
      </c>
      <c r="G5577" s="0" t="s">
        <v>36</v>
      </c>
      <c r="H5577" s="0" t="n">
        <v>28</v>
      </c>
      <c r="I5577" s="0" t="s">
        <v>18595</v>
      </c>
      <c r="J5577" s="0" t="s">
        <v>18596</v>
      </c>
      <c r="K5577" s="0" t="s">
        <v>18597</v>
      </c>
      <c r="L5577" s="0" t="str">
        <f aca="false">HYPERLINK("https://www.ncbi.nlm.nih.gov/nuccore/CP000058.1?report=graph&amp;tracks=[key:gene_model_track,Options:GeneOnly]&amp;mk=1745362:1745381|offset_28|00cc00,1745452:1745471|offset_118|444444,1745503:1745522|offset_169|444444&amp;v=1745161:1745722&amp;c=444444", "offset 28")</f>
        <v>offset 28</v>
      </c>
    </row>
    <row r="5578" customFormat="false" ht="12.8" hidden="false" customHeight="false" outlineLevel="0" collapsed="false">
      <c r="A5578" s="0" t="s">
        <v>12</v>
      </c>
      <c r="B5578" s="0" t="n">
        <v>1745451</v>
      </c>
      <c r="C5578" s="0" t="n">
        <v>1745471</v>
      </c>
      <c r="D5578" s="0" t="s">
        <v>18594</v>
      </c>
      <c r="E5578" s="0" t="s">
        <v>75</v>
      </c>
      <c r="F5578" s="0" t="s">
        <v>15</v>
      </c>
      <c r="G5578" s="0" t="s">
        <v>16</v>
      </c>
      <c r="H5578" s="0" t="n">
        <v>118</v>
      </c>
      <c r="I5578" s="0" t="s">
        <v>18598</v>
      </c>
      <c r="J5578" s="0" t="s">
        <v>18599</v>
      </c>
      <c r="K5578" s="0" t="s">
        <v>18600</v>
      </c>
      <c r="L5578" s="0" t="str">
        <f aca="false">HYPERLINK("https://www.ncbi.nlm.nih.gov/nuccore/CP000058.1?report=graph&amp;tracks=[key:gene_model_track,Options:GeneOnly]&amp;mk=1745362:1745381|offset_28|444444,1745452:1745471|offset_118|00cc00,1745503:1745522|offset_169|444444&amp;v=1745161:1745722&amp;c=444444", "offset 118")</f>
        <v>offset 118</v>
      </c>
    </row>
    <row r="5579" customFormat="false" ht="12.8" hidden="false" customHeight="false" outlineLevel="0" collapsed="false">
      <c r="A5579" s="0" t="s">
        <v>12</v>
      </c>
      <c r="B5579" s="0" t="n">
        <v>1745502</v>
      </c>
      <c r="C5579" s="0" t="n">
        <v>1745522</v>
      </c>
      <c r="D5579" s="0" t="s">
        <v>18594</v>
      </c>
      <c r="E5579" s="0" t="s">
        <v>75</v>
      </c>
      <c r="F5579" s="0" t="s">
        <v>15</v>
      </c>
      <c r="G5579" s="0" t="s">
        <v>36</v>
      </c>
      <c r="H5579" s="0" t="n">
        <v>169</v>
      </c>
      <c r="I5579" s="0" t="s">
        <v>18601</v>
      </c>
      <c r="J5579" s="0" t="s">
        <v>18602</v>
      </c>
      <c r="K5579" s="0" t="s">
        <v>18603</v>
      </c>
      <c r="L5579" s="0" t="str">
        <f aca="false">HYPERLINK("https://www.ncbi.nlm.nih.gov/nuccore/CP000058.1?report=graph&amp;tracks=[key:gene_model_track,Options:GeneOnly]&amp;mk=1745362:1745381|offset_28|444444,1745452:1745471|offset_118|444444,1745503:1745522|offset_169|00cc00&amp;v=1745161:1745722&amp;c=444444", "offset 169")</f>
        <v>offset 169</v>
      </c>
    </row>
    <row r="5580" customFormat="false" ht="12.8" hidden="false" customHeight="false" outlineLevel="0" collapsed="false">
      <c r="A5580" s="0" t="s">
        <v>12</v>
      </c>
      <c r="B5580" s="0" t="n">
        <v>1747224</v>
      </c>
      <c r="C5580" s="0" t="n">
        <v>1747244</v>
      </c>
      <c r="D5580" s="0" t="s">
        <v>18604</v>
      </c>
      <c r="E5580" s="0" t="s">
        <v>75</v>
      </c>
      <c r="F5580" s="0" t="s">
        <v>90</v>
      </c>
      <c r="G5580" s="0" t="s">
        <v>32</v>
      </c>
      <c r="H5580" s="0" t="n">
        <v>1</v>
      </c>
      <c r="I5580" s="0" t="s">
        <v>18605</v>
      </c>
      <c r="J5580" s="0" t="s">
        <v>18606</v>
      </c>
      <c r="K5580" s="0" t="s">
        <v>18607</v>
      </c>
      <c r="L5580" s="0" t="str">
        <f aca="false">HYPERLINK("https://www.ncbi.nlm.nih.gov/nuccore/CP000058.1?report=graph&amp;tracks=[key:gene_model_track,Options:GeneOnly]&amp;mk=1747225:1747244|offset_1|00cc00,1747196:1747215|offset_30|444444,1747159:1747178|offset_67|444444,1747127:1747146|offset_99|444444&amp;v=1747024:1747346&amp;c=444444", "offset 1")</f>
        <v>offset 1</v>
      </c>
    </row>
    <row r="5581" customFormat="false" ht="12.8" hidden="false" customHeight="false" outlineLevel="0" collapsed="false">
      <c r="A5581" s="0" t="s">
        <v>12</v>
      </c>
      <c r="B5581" s="0" t="n">
        <v>1747195</v>
      </c>
      <c r="C5581" s="0" t="n">
        <v>1747215</v>
      </c>
      <c r="D5581" s="0" t="s">
        <v>18604</v>
      </c>
      <c r="E5581" s="0" t="s">
        <v>75</v>
      </c>
      <c r="F5581" s="0" t="s">
        <v>90</v>
      </c>
      <c r="G5581" s="0" t="s">
        <v>36</v>
      </c>
      <c r="H5581" s="0" t="n">
        <v>30</v>
      </c>
      <c r="I5581" s="0" t="s">
        <v>18608</v>
      </c>
      <c r="J5581" s="0" t="s">
        <v>18609</v>
      </c>
      <c r="K5581" s="0" t="s">
        <v>18610</v>
      </c>
      <c r="L5581" s="0" t="str">
        <f aca="false">HYPERLINK("https://www.ncbi.nlm.nih.gov/nuccore/CP000058.1?report=graph&amp;tracks=[key:gene_model_track,Options:GeneOnly]&amp;mk=1747225:1747244|offset_1|444444,1747196:1747215|offset_30|00cc00,1747159:1747178|offset_67|444444,1747127:1747146|offset_99|444444&amp;v=1747024:1747346&amp;c=444444", "offset 30")</f>
        <v>offset 30</v>
      </c>
    </row>
    <row r="5582" customFormat="false" ht="12.8" hidden="false" customHeight="false" outlineLevel="0" collapsed="false">
      <c r="A5582" s="0" t="s">
        <v>12</v>
      </c>
      <c r="B5582" s="0" t="n">
        <v>1747158</v>
      </c>
      <c r="C5582" s="0" t="n">
        <v>1747178</v>
      </c>
      <c r="D5582" s="0" t="s">
        <v>18604</v>
      </c>
      <c r="E5582" s="0" t="s">
        <v>75</v>
      </c>
      <c r="F5582" s="0" t="s">
        <v>90</v>
      </c>
      <c r="G5582" s="0" t="s">
        <v>36</v>
      </c>
      <c r="H5582" s="0" t="n">
        <v>67</v>
      </c>
      <c r="I5582" s="0" t="s">
        <v>18611</v>
      </c>
      <c r="J5582" s="0" t="s">
        <v>18612</v>
      </c>
      <c r="K5582" s="0" t="s">
        <v>18613</v>
      </c>
      <c r="L5582" s="0" t="str">
        <f aca="false">HYPERLINK("https://www.ncbi.nlm.nih.gov/nuccore/CP000058.1?report=graph&amp;tracks=[key:gene_model_track,Options:GeneOnly]&amp;mk=1747225:1747244|offset_1|444444,1747196:1747215|offset_30|444444,1747159:1747178|offset_67|00cc00,1747127:1747146|offset_99|444444&amp;v=1747024:1747346&amp;c=444444", "offset 67")</f>
        <v>offset 67</v>
      </c>
    </row>
    <row r="5583" customFormat="false" ht="12.8" hidden="false" customHeight="false" outlineLevel="0" collapsed="false">
      <c r="A5583" s="0" t="s">
        <v>12</v>
      </c>
      <c r="B5583" s="0" t="n">
        <v>1747126</v>
      </c>
      <c r="C5583" s="0" t="n">
        <v>1747146</v>
      </c>
      <c r="D5583" s="0" t="s">
        <v>18604</v>
      </c>
      <c r="E5583" s="0" t="s">
        <v>75</v>
      </c>
      <c r="F5583" s="0" t="s">
        <v>90</v>
      </c>
      <c r="G5583" s="0" t="s">
        <v>20</v>
      </c>
      <c r="H5583" s="0" t="n">
        <v>99</v>
      </c>
      <c r="I5583" s="0" t="s">
        <v>18614</v>
      </c>
      <c r="J5583" s="0" t="s">
        <v>18615</v>
      </c>
      <c r="K5583" s="0" t="s">
        <v>18616</v>
      </c>
      <c r="L5583" s="0" t="str">
        <f aca="false">HYPERLINK("https://www.ncbi.nlm.nih.gov/nuccore/CP000058.1?report=graph&amp;tracks=[key:gene_model_track,Options:GeneOnly]&amp;mk=1747225:1747244|offset_1|444444,1747196:1747215|offset_30|444444,1747159:1747178|offset_67|444444,1747127:1747146|offset_99|00cc00&amp;v=1747024:1747346&amp;c=444444", "offset 99")</f>
        <v>offset 99</v>
      </c>
    </row>
    <row r="5584" customFormat="false" ht="12.8" hidden="false" customHeight="false" outlineLevel="0" collapsed="false">
      <c r="A5584" s="0" t="s">
        <v>12</v>
      </c>
      <c r="B5584" s="0" t="n">
        <v>1748488</v>
      </c>
      <c r="C5584" s="0" t="n">
        <v>1748508</v>
      </c>
      <c r="D5584" s="0" t="s">
        <v>18617</v>
      </c>
      <c r="E5584" s="0" t="s">
        <v>75</v>
      </c>
      <c r="F5584" s="0" t="s">
        <v>90</v>
      </c>
      <c r="G5584" s="0" t="s">
        <v>32</v>
      </c>
      <c r="H5584" s="0" t="n">
        <v>1</v>
      </c>
      <c r="I5584" s="0" t="s">
        <v>18618</v>
      </c>
      <c r="J5584" s="0" t="s">
        <v>18619</v>
      </c>
      <c r="K5584" s="0" t="s">
        <v>18620</v>
      </c>
      <c r="L5584" s="0" t="str">
        <f aca="false">HYPERLINK("https://www.ncbi.nlm.nih.gov/nuccore/CP000058.1?report=graph&amp;tracks=[key:gene_model_track,Options:GeneOnly]&amp;mk=1748489:1748508|offset_1|00cc00,1748469:1748488|offset_21|444444,1748449:1748468|offset_41|444444,1748415:1748434|offset_75|444444&amp;v=1748288:1748634&amp;c=444444", "offset 1")</f>
        <v>offset 1</v>
      </c>
    </row>
    <row r="5585" customFormat="false" ht="12.8" hidden="false" customHeight="false" outlineLevel="0" collapsed="false">
      <c r="A5585" s="0" t="s">
        <v>12</v>
      </c>
      <c r="B5585" s="0" t="n">
        <v>1748468</v>
      </c>
      <c r="C5585" s="0" t="n">
        <v>1748488</v>
      </c>
      <c r="D5585" s="0" t="s">
        <v>18617</v>
      </c>
      <c r="E5585" s="0" t="s">
        <v>75</v>
      </c>
      <c r="F5585" s="0" t="s">
        <v>90</v>
      </c>
      <c r="G5585" s="0" t="s">
        <v>36</v>
      </c>
      <c r="H5585" s="0" t="n">
        <v>21</v>
      </c>
      <c r="I5585" s="0" t="s">
        <v>18621</v>
      </c>
      <c r="J5585" s="0" t="s">
        <v>18622</v>
      </c>
      <c r="K5585" s="0" t="s">
        <v>18623</v>
      </c>
      <c r="L5585" s="0" t="str">
        <f aca="false">HYPERLINK("https://www.ncbi.nlm.nih.gov/nuccore/CP000058.1?report=graph&amp;tracks=[key:gene_model_track,Options:GeneOnly]&amp;mk=1748489:1748508|offset_1|444444,1748469:1748488|offset_21|00cc00,1748449:1748468|offset_41|444444,1748415:1748434|offset_75|444444&amp;v=1748288:1748634&amp;c=444444", "offset 21")</f>
        <v>offset 21</v>
      </c>
    </row>
    <row r="5586" customFormat="false" ht="12.8" hidden="false" customHeight="false" outlineLevel="0" collapsed="false">
      <c r="A5586" s="0" t="s">
        <v>12</v>
      </c>
      <c r="B5586" s="0" t="n">
        <v>1748448</v>
      </c>
      <c r="C5586" s="0" t="n">
        <v>1748468</v>
      </c>
      <c r="D5586" s="0" t="s">
        <v>18617</v>
      </c>
      <c r="E5586" s="0" t="s">
        <v>75</v>
      </c>
      <c r="F5586" s="0" t="s">
        <v>90</v>
      </c>
      <c r="G5586" s="0" t="s">
        <v>20</v>
      </c>
      <c r="H5586" s="0" t="n">
        <v>41</v>
      </c>
      <c r="I5586" s="0" t="s">
        <v>18624</v>
      </c>
      <c r="J5586" s="0" t="s">
        <v>18625</v>
      </c>
      <c r="K5586" s="0" t="s">
        <v>18626</v>
      </c>
      <c r="L5586" s="0" t="str">
        <f aca="false">HYPERLINK("https://www.ncbi.nlm.nih.gov/nuccore/CP000058.1?report=graph&amp;tracks=[key:gene_model_track,Options:GeneOnly]&amp;mk=1748489:1748508|offset_1|444444,1748469:1748488|offset_21|444444,1748449:1748468|offset_41|00cc00,1748415:1748434|offset_75|444444&amp;v=1748288:1748634&amp;c=444444", "offset 41")</f>
        <v>offset 41</v>
      </c>
    </row>
    <row r="5587" customFormat="false" ht="12.8" hidden="false" customHeight="false" outlineLevel="0" collapsed="false">
      <c r="A5587" s="0" t="s">
        <v>12</v>
      </c>
      <c r="B5587" s="0" t="n">
        <v>1748414</v>
      </c>
      <c r="C5587" s="0" t="n">
        <v>1748434</v>
      </c>
      <c r="D5587" s="0" t="s">
        <v>18617</v>
      </c>
      <c r="E5587" s="0" t="s">
        <v>75</v>
      </c>
      <c r="F5587" s="0" t="s">
        <v>90</v>
      </c>
      <c r="G5587" s="0" t="s">
        <v>32</v>
      </c>
      <c r="H5587" s="0" t="n">
        <v>75</v>
      </c>
      <c r="I5587" s="0" t="s">
        <v>18627</v>
      </c>
      <c r="J5587" s="0" t="s">
        <v>18628</v>
      </c>
      <c r="K5587" s="0" t="s">
        <v>18629</v>
      </c>
      <c r="L5587" s="0" t="str">
        <f aca="false">HYPERLINK("https://www.ncbi.nlm.nih.gov/nuccore/CP000058.1?report=graph&amp;tracks=[key:gene_model_track,Options:GeneOnly]&amp;mk=1748489:1748508|offset_1|444444,1748469:1748488|offset_21|444444,1748449:1748468|offset_41|444444,1748415:1748434|offset_75|00cc00&amp;v=1748288:1748634&amp;c=444444", "offset 75")</f>
        <v>offset 75</v>
      </c>
    </row>
    <row r="5588" customFormat="false" ht="12.8" hidden="false" customHeight="false" outlineLevel="0" collapsed="false">
      <c r="A5588" s="0" t="s">
        <v>12</v>
      </c>
      <c r="B5588" s="0" t="n">
        <v>1750290</v>
      </c>
      <c r="C5588" s="0" t="n">
        <v>1750310</v>
      </c>
      <c r="D5588" s="0" t="s">
        <v>18630</v>
      </c>
      <c r="E5588" s="0" t="s">
        <v>75</v>
      </c>
      <c r="F5588" s="0" t="s">
        <v>90</v>
      </c>
      <c r="G5588" s="0" t="s">
        <v>32</v>
      </c>
      <c r="H5588" s="0" t="n">
        <v>29</v>
      </c>
      <c r="I5588" s="0" t="s">
        <v>18631</v>
      </c>
      <c r="J5588" s="0" t="s">
        <v>18632</v>
      </c>
      <c r="K5588" s="0" t="s">
        <v>18633</v>
      </c>
      <c r="L5588" s="0" t="str">
        <f aca="false">HYPERLINK("https://www.ncbi.nlm.nih.gov/nuccore/CP000058.1?report=graph&amp;tracks=[key:gene_model_track,Options:GeneOnly]&amp;mk=1750291:1750310|offset_29|00cc00,1750266:1750285|offset_54|444444,1750235:1750254|offset_85|444444,1750206:1750225|offset_114|444444&amp;v=1750090:1750425&amp;c=444444", "offset 29")</f>
        <v>offset 29</v>
      </c>
    </row>
    <row r="5589" customFormat="false" ht="12.8" hidden="false" customHeight="false" outlineLevel="0" collapsed="false">
      <c r="A5589" s="0" t="s">
        <v>12</v>
      </c>
      <c r="B5589" s="0" t="n">
        <v>1750265</v>
      </c>
      <c r="C5589" s="0" t="n">
        <v>1750285</v>
      </c>
      <c r="D5589" s="0" t="s">
        <v>18630</v>
      </c>
      <c r="E5589" s="0" t="s">
        <v>75</v>
      </c>
      <c r="F5589" s="0" t="s">
        <v>90</v>
      </c>
      <c r="G5589" s="0" t="s">
        <v>36</v>
      </c>
      <c r="H5589" s="0" t="n">
        <v>54</v>
      </c>
      <c r="I5589" s="0" t="s">
        <v>18634</v>
      </c>
      <c r="J5589" s="0" t="s">
        <v>18635</v>
      </c>
      <c r="K5589" s="0" t="s">
        <v>18636</v>
      </c>
      <c r="L5589" s="0" t="str">
        <f aca="false">HYPERLINK("https://www.ncbi.nlm.nih.gov/nuccore/CP000058.1?report=graph&amp;tracks=[key:gene_model_track,Options:GeneOnly]&amp;mk=1750291:1750310|offset_29|444444,1750266:1750285|offset_54|00cc00,1750235:1750254|offset_85|444444,1750206:1750225|offset_114|444444&amp;v=1750090:1750425&amp;c=444444", "offset 54")</f>
        <v>offset 54</v>
      </c>
    </row>
    <row r="5590" customFormat="false" ht="12.8" hidden="false" customHeight="false" outlineLevel="0" collapsed="false">
      <c r="A5590" s="0" t="s">
        <v>12</v>
      </c>
      <c r="B5590" s="0" t="n">
        <v>1750234</v>
      </c>
      <c r="C5590" s="0" t="n">
        <v>1750254</v>
      </c>
      <c r="D5590" s="0" t="s">
        <v>18630</v>
      </c>
      <c r="E5590" s="0" t="s">
        <v>75</v>
      </c>
      <c r="F5590" s="0" t="s">
        <v>90</v>
      </c>
      <c r="G5590" s="0" t="s">
        <v>16</v>
      </c>
      <c r="H5590" s="0" t="n">
        <v>85</v>
      </c>
      <c r="I5590" s="0" t="s">
        <v>18637</v>
      </c>
      <c r="J5590" s="0" t="s">
        <v>18638</v>
      </c>
      <c r="K5590" s="0" t="s">
        <v>18639</v>
      </c>
      <c r="L5590" s="0" t="str">
        <f aca="false">HYPERLINK("https://www.ncbi.nlm.nih.gov/nuccore/CP000058.1?report=graph&amp;tracks=[key:gene_model_track,Options:GeneOnly]&amp;mk=1750291:1750310|offset_29|444444,1750266:1750285|offset_54|444444,1750235:1750254|offset_85|00cc00,1750206:1750225|offset_114|444444&amp;v=1750090:1750425&amp;c=444444", "offset 85")</f>
        <v>offset 85</v>
      </c>
    </row>
    <row r="5591" customFormat="false" ht="12.8" hidden="false" customHeight="false" outlineLevel="0" collapsed="false">
      <c r="A5591" s="0" t="s">
        <v>12</v>
      </c>
      <c r="B5591" s="0" t="n">
        <v>1750205</v>
      </c>
      <c r="C5591" s="0" t="n">
        <v>1750225</v>
      </c>
      <c r="D5591" s="0" t="s">
        <v>18630</v>
      </c>
      <c r="E5591" s="0" t="s">
        <v>75</v>
      </c>
      <c r="F5591" s="0" t="s">
        <v>90</v>
      </c>
      <c r="G5591" s="0" t="s">
        <v>20</v>
      </c>
      <c r="H5591" s="0" t="n">
        <v>114</v>
      </c>
      <c r="I5591" s="0" t="s">
        <v>18640</v>
      </c>
      <c r="J5591" s="0" t="s">
        <v>18641</v>
      </c>
      <c r="K5591" s="0" t="s">
        <v>18642</v>
      </c>
      <c r="L5591" s="0" t="str">
        <f aca="false">HYPERLINK("https://www.ncbi.nlm.nih.gov/nuccore/CP000058.1?report=graph&amp;tracks=[key:gene_model_track,Options:GeneOnly]&amp;mk=1750291:1750310|offset_29|444444,1750266:1750285|offset_54|444444,1750235:1750254|offset_85|444444,1750206:1750225|offset_114|00cc00&amp;v=1750090:1750425&amp;c=444444", "offset 114")</f>
        <v>offset 114</v>
      </c>
    </row>
    <row r="5592" customFormat="false" ht="12.8" hidden="false" customHeight="false" outlineLevel="0" collapsed="false">
      <c r="A5592" s="0" t="s">
        <v>12</v>
      </c>
      <c r="B5592" s="0" t="n">
        <v>1752060</v>
      </c>
      <c r="C5592" s="0" t="n">
        <v>1752080</v>
      </c>
      <c r="D5592" s="0" t="s">
        <v>18643</v>
      </c>
      <c r="E5592" s="0" t="s">
        <v>18644</v>
      </c>
      <c r="F5592" s="0" t="s">
        <v>90</v>
      </c>
      <c r="G5592" s="0" t="s">
        <v>32</v>
      </c>
      <c r="H5592" s="0" t="n">
        <v>35</v>
      </c>
      <c r="I5592" s="0" t="s">
        <v>18645</v>
      </c>
      <c r="J5592" s="0" t="s">
        <v>18646</v>
      </c>
      <c r="K5592" s="0" t="s">
        <v>18647</v>
      </c>
      <c r="L5592" s="0" t="str">
        <f aca="false">HYPERLINK("https://www.ncbi.nlm.nih.gov/nuccore/CP000058.1?report=graph&amp;tracks=[key:gene_model_track,Options:GeneOnly]&amp;mk=1752061:1752080|offset_35|00cc00,1752041:1752060|offset_55|444444,1752009:1752028|offset_87|444444,1751977:1751996|offset_119|444444&amp;v=1751860:1752196&amp;c=444444", "offset 35")</f>
        <v>offset 35</v>
      </c>
    </row>
    <row r="5593" customFormat="false" ht="12.8" hidden="false" customHeight="false" outlineLevel="0" collapsed="false">
      <c r="A5593" s="0" t="s">
        <v>12</v>
      </c>
      <c r="B5593" s="0" t="n">
        <v>1752040</v>
      </c>
      <c r="C5593" s="0" t="n">
        <v>1752060</v>
      </c>
      <c r="D5593" s="0" t="s">
        <v>18643</v>
      </c>
      <c r="E5593" s="0" t="s">
        <v>18644</v>
      </c>
      <c r="F5593" s="0" t="s">
        <v>90</v>
      </c>
      <c r="G5593" s="0" t="s">
        <v>16</v>
      </c>
      <c r="H5593" s="0" t="n">
        <v>55</v>
      </c>
      <c r="I5593" s="0" t="s">
        <v>18648</v>
      </c>
      <c r="J5593" s="0" t="s">
        <v>18649</v>
      </c>
      <c r="K5593" s="0" t="s">
        <v>18650</v>
      </c>
      <c r="L5593" s="0" t="str">
        <f aca="false">HYPERLINK("https://www.ncbi.nlm.nih.gov/nuccore/CP000058.1?report=graph&amp;tracks=[key:gene_model_track,Options:GeneOnly]&amp;mk=1752061:1752080|offset_35|444444,1752041:1752060|offset_55|00cc00,1752009:1752028|offset_87|444444,1751977:1751996|offset_119|444444&amp;v=1751860:1752196&amp;c=444444", "offset 55")</f>
        <v>offset 55</v>
      </c>
    </row>
    <row r="5594" customFormat="false" ht="12.8" hidden="false" customHeight="false" outlineLevel="0" collapsed="false">
      <c r="A5594" s="0" t="s">
        <v>12</v>
      </c>
      <c r="B5594" s="0" t="n">
        <v>1752008</v>
      </c>
      <c r="C5594" s="0" t="n">
        <v>1752028</v>
      </c>
      <c r="D5594" s="0" t="s">
        <v>18643</v>
      </c>
      <c r="E5594" s="0" t="s">
        <v>18644</v>
      </c>
      <c r="F5594" s="0" t="s">
        <v>90</v>
      </c>
      <c r="G5594" s="0" t="s">
        <v>20</v>
      </c>
      <c r="H5594" s="0" t="n">
        <v>87</v>
      </c>
      <c r="I5594" s="0" t="s">
        <v>18651</v>
      </c>
      <c r="J5594" s="0" t="s">
        <v>18652</v>
      </c>
      <c r="K5594" s="0" t="s">
        <v>18653</v>
      </c>
      <c r="L5594" s="0" t="str">
        <f aca="false">HYPERLINK("https://www.ncbi.nlm.nih.gov/nuccore/CP000058.1?report=graph&amp;tracks=[key:gene_model_track,Options:GeneOnly]&amp;mk=1752061:1752080|offset_35|444444,1752041:1752060|offset_55|444444,1752009:1752028|offset_87|00cc00,1751977:1751996|offset_119|444444&amp;v=1751860:1752196&amp;c=444444", "offset 87")</f>
        <v>offset 87</v>
      </c>
    </row>
    <row r="5595" customFormat="false" ht="12.8" hidden="false" customHeight="false" outlineLevel="0" collapsed="false">
      <c r="A5595" s="0" t="s">
        <v>12</v>
      </c>
      <c r="B5595" s="0" t="n">
        <v>1751976</v>
      </c>
      <c r="C5595" s="0" t="n">
        <v>1751996</v>
      </c>
      <c r="D5595" s="0" t="s">
        <v>18643</v>
      </c>
      <c r="E5595" s="0" t="s">
        <v>18644</v>
      </c>
      <c r="F5595" s="0" t="s">
        <v>90</v>
      </c>
      <c r="G5595" s="0" t="s">
        <v>32</v>
      </c>
      <c r="H5595" s="0" t="n">
        <v>119</v>
      </c>
      <c r="I5595" s="0" t="s">
        <v>18654</v>
      </c>
      <c r="J5595" s="0" t="s">
        <v>18655</v>
      </c>
      <c r="K5595" s="0" t="s">
        <v>18656</v>
      </c>
      <c r="L5595" s="0" t="str">
        <f aca="false">HYPERLINK("https://www.ncbi.nlm.nih.gov/nuccore/CP000058.1?report=graph&amp;tracks=[key:gene_model_track,Options:GeneOnly]&amp;mk=1752061:1752080|offset_35|444444,1752041:1752060|offset_55|444444,1752009:1752028|offset_87|444444,1751977:1751996|offset_119|00cc00&amp;v=1751860:1752196&amp;c=444444", "offset 119")</f>
        <v>offset 119</v>
      </c>
    </row>
    <row r="5596" customFormat="false" ht="12.8" hidden="false" customHeight="false" outlineLevel="0" collapsed="false">
      <c r="A5596" s="0" t="s">
        <v>12</v>
      </c>
      <c r="B5596" s="0" t="n">
        <v>1752404</v>
      </c>
      <c r="C5596" s="0" t="n">
        <v>1752424</v>
      </c>
      <c r="D5596" s="0" t="s">
        <v>18657</v>
      </c>
      <c r="E5596" s="0" t="s">
        <v>75</v>
      </c>
      <c r="F5596" s="0" t="s">
        <v>15</v>
      </c>
      <c r="G5596" s="0" t="s">
        <v>20</v>
      </c>
      <c r="H5596" s="0" t="n">
        <v>53</v>
      </c>
      <c r="I5596" s="0" t="s">
        <v>18658</v>
      </c>
      <c r="J5596" s="0" t="s">
        <v>18659</v>
      </c>
      <c r="K5596" s="0" t="s">
        <v>18660</v>
      </c>
      <c r="L5596" s="0" t="str">
        <f aca="false">HYPERLINK("https://www.ncbi.nlm.nih.gov/nuccore/CP000058.1?report=graph&amp;tracks=[key:gene_model_track,Options:GeneOnly]&amp;mk=1752405:1752424|offset_53|00cc00,1752460:1752479|offset_108|444444,1752482:1752501|offset_130|444444,1752548:1752567|offset_196|444444&amp;v=1752204:1752767&amp;c=444444", "offset 53")</f>
        <v>offset 53</v>
      </c>
    </row>
    <row r="5597" customFormat="false" ht="12.8" hidden="false" customHeight="false" outlineLevel="0" collapsed="false">
      <c r="A5597" s="0" t="s">
        <v>12</v>
      </c>
      <c r="B5597" s="0" t="n">
        <v>1752459</v>
      </c>
      <c r="C5597" s="0" t="n">
        <v>1752479</v>
      </c>
      <c r="D5597" s="0" t="s">
        <v>18657</v>
      </c>
      <c r="E5597" s="0" t="s">
        <v>75</v>
      </c>
      <c r="F5597" s="0" t="s">
        <v>15</v>
      </c>
      <c r="G5597" s="0" t="s">
        <v>16</v>
      </c>
      <c r="H5597" s="0" t="n">
        <v>108</v>
      </c>
      <c r="I5597" s="0" t="s">
        <v>18661</v>
      </c>
      <c r="J5597" s="0" t="s">
        <v>18662</v>
      </c>
      <c r="K5597" s="0" t="s">
        <v>18663</v>
      </c>
      <c r="L5597" s="0" t="str">
        <f aca="false">HYPERLINK("https://www.ncbi.nlm.nih.gov/nuccore/CP000058.1?report=graph&amp;tracks=[key:gene_model_track,Options:GeneOnly]&amp;mk=1752405:1752424|offset_53|444444,1752460:1752479|offset_108|00cc00,1752482:1752501|offset_130|444444,1752548:1752567|offset_196|444444&amp;v=1752204:1752767&amp;c=444444", "offset 108")</f>
        <v>offset 108</v>
      </c>
    </row>
    <row r="5598" customFormat="false" ht="12.8" hidden="false" customHeight="false" outlineLevel="0" collapsed="false">
      <c r="A5598" s="0" t="s">
        <v>12</v>
      </c>
      <c r="B5598" s="0" t="n">
        <v>1752481</v>
      </c>
      <c r="C5598" s="0" t="n">
        <v>1752501</v>
      </c>
      <c r="D5598" s="0" t="s">
        <v>18657</v>
      </c>
      <c r="E5598" s="0" t="s">
        <v>75</v>
      </c>
      <c r="F5598" s="0" t="s">
        <v>15</v>
      </c>
      <c r="G5598" s="0" t="s">
        <v>36</v>
      </c>
      <c r="H5598" s="0" t="n">
        <v>130</v>
      </c>
      <c r="I5598" s="0" t="s">
        <v>18664</v>
      </c>
      <c r="J5598" s="0" t="s">
        <v>18665</v>
      </c>
      <c r="K5598" s="0" t="s">
        <v>18666</v>
      </c>
      <c r="L5598" s="0" t="str">
        <f aca="false">HYPERLINK("https://www.ncbi.nlm.nih.gov/nuccore/CP000058.1?report=graph&amp;tracks=[key:gene_model_track,Options:GeneOnly]&amp;mk=1752405:1752424|offset_53|444444,1752460:1752479|offset_108|444444,1752482:1752501|offset_130|00cc00,1752548:1752567|offset_196|444444&amp;v=1752204:1752767&amp;c=444444", "offset 130")</f>
        <v>offset 130</v>
      </c>
    </row>
    <row r="5599" customFormat="false" ht="12.8" hidden="false" customHeight="false" outlineLevel="0" collapsed="false">
      <c r="A5599" s="0" t="s">
        <v>12</v>
      </c>
      <c r="B5599" s="0" t="n">
        <v>1752547</v>
      </c>
      <c r="C5599" s="0" t="n">
        <v>1752567</v>
      </c>
      <c r="D5599" s="0" t="s">
        <v>18657</v>
      </c>
      <c r="E5599" s="0" t="s">
        <v>75</v>
      </c>
      <c r="F5599" s="0" t="s">
        <v>15</v>
      </c>
      <c r="G5599" s="0" t="s">
        <v>16</v>
      </c>
      <c r="H5599" s="0" t="n">
        <v>196</v>
      </c>
      <c r="I5599" s="0" t="s">
        <v>18667</v>
      </c>
      <c r="J5599" s="0" t="s">
        <v>18668</v>
      </c>
      <c r="K5599" s="0" t="s">
        <v>18669</v>
      </c>
      <c r="L5599" s="0" t="str">
        <f aca="false">HYPERLINK("https://www.ncbi.nlm.nih.gov/nuccore/CP000058.1?report=graph&amp;tracks=[key:gene_model_track,Options:GeneOnly]&amp;mk=1752405:1752424|offset_53|444444,1752460:1752479|offset_108|444444,1752482:1752501|offset_130|444444,1752548:1752567|offset_196|00cc00&amp;v=1752204:1752767&amp;c=444444", "offset 196")</f>
        <v>offset 196</v>
      </c>
    </row>
    <row r="5600" customFormat="false" ht="12.8" hidden="false" customHeight="false" outlineLevel="0" collapsed="false">
      <c r="A5600" s="0" t="s">
        <v>12</v>
      </c>
      <c r="B5600" s="0" t="n">
        <v>1756185</v>
      </c>
      <c r="C5600" s="0" t="n">
        <v>1756205</v>
      </c>
      <c r="D5600" s="0" t="s">
        <v>18670</v>
      </c>
      <c r="E5600" s="0" t="s">
        <v>75</v>
      </c>
      <c r="F5600" s="0" t="s">
        <v>90</v>
      </c>
      <c r="G5600" s="0" t="s">
        <v>16</v>
      </c>
      <c r="H5600" s="0" t="n">
        <v>24</v>
      </c>
      <c r="I5600" s="0" t="s">
        <v>18671</v>
      </c>
      <c r="J5600" s="0" t="s">
        <v>18672</v>
      </c>
      <c r="K5600" s="0" t="s">
        <v>18673</v>
      </c>
      <c r="L5600" s="0" t="str">
        <f aca="false">HYPERLINK("https://www.ncbi.nlm.nih.gov/nuccore/CP000058.1?report=graph&amp;tracks=[key:gene_model_track,Options:GeneOnly]&amp;mk=1756186:1756205|offset_24|00cc00,1756161:1756180|offset_49|444444,1756138:1756157|offset_72|444444,1756104:1756123|offset_106|444444&amp;v=1755985:1756323&amp;c=444444", "offset 24")</f>
        <v>offset 24</v>
      </c>
    </row>
    <row r="5601" customFormat="false" ht="12.8" hidden="false" customHeight="false" outlineLevel="0" collapsed="false">
      <c r="A5601" s="0" t="s">
        <v>12</v>
      </c>
      <c r="B5601" s="0" t="n">
        <v>1756160</v>
      </c>
      <c r="C5601" s="0" t="n">
        <v>1756180</v>
      </c>
      <c r="D5601" s="0" t="s">
        <v>18670</v>
      </c>
      <c r="E5601" s="0" t="s">
        <v>75</v>
      </c>
      <c r="F5601" s="0" t="s">
        <v>90</v>
      </c>
      <c r="G5601" s="0" t="s">
        <v>16</v>
      </c>
      <c r="H5601" s="0" t="n">
        <v>49</v>
      </c>
      <c r="I5601" s="0" t="s">
        <v>18674</v>
      </c>
      <c r="J5601" s="0" t="s">
        <v>18675</v>
      </c>
      <c r="K5601" s="0" t="s">
        <v>18676</v>
      </c>
      <c r="L5601" s="0" t="str">
        <f aca="false">HYPERLINK("https://www.ncbi.nlm.nih.gov/nuccore/CP000058.1?report=graph&amp;tracks=[key:gene_model_track,Options:GeneOnly]&amp;mk=1756186:1756205|offset_24|444444,1756161:1756180|offset_49|00cc00,1756138:1756157|offset_72|444444,1756104:1756123|offset_106|444444&amp;v=1755985:1756323&amp;c=444444", "offset 49")</f>
        <v>offset 49</v>
      </c>
    </row>
    <row r="5602" customFormat="false" ht="12.8" hidden="false" customHeight="false" outlineLevel="0" collapsed="false">
      <c r="A5602" s="0" t="s">
        <v>12</v>
      </c>
      <c r="B5602" s="0" t="n">
        <v>1756137</v>
      </c>
      <c r="C5602" s="0" t="n">
        <v>1756157</v>
      </c>
      <c r="D5602" s="0" t="s">
        <v>18670</v>
      </c>
      <c r="E5602" s="0" t="s">
        <v>75</v>
      </c>
      <c r="F5602" s="0" t="s">
        <v>90</v>
      </c>
      <c r="G5602" s="0" t="s">
        <v>20</v>
      </c>
      <c r="H5602" s="0" t="n">
        <v>72</v>
      </c>
      <c r="I5602" s="0" t="s">
        <v>18677</v>
      </c>
      <c r="J5602" s="0" t="s">
        <v>18678</v>
      </c>
      <c r="K5602" s="0" t="s">
        <v>18679</v>
      </c>
      <c r="L5602" s="0" t="str">
        <f aca="false">HYPERLINK("https://www.ncbi.nlm.nih.gov/nuccore/CP000058.1?report=graph&amp;tracks=[key:gene_model_track,Options:GeneOnly]&amp;mk=1756186:1756205|offset_24|444444,1756161:1756180|offset_49|444444,1756138:1756157|offset_72|00cc00,1756104:1756123|offset_106|444444&amp;v=1755985:1756323&amp;c=444444", "offset 72")</f>
        <v>offset 72</v>
      </c>
    </row>
    <row r="5603" customFormat="false" ht="12.8" hidden="false" customHeight="false" outlineLevel="0" collapsed="false">
      <c r="A5603" s="0" t="s">
        <v>12</v>
      </c>
      <c r="B5603" s="0" t="n">
        <v>1756103</v>
      </c>
      <c r="C5603" s="0" t="n">
        <v>1756123</v>
      </c>
      <c r="D5603" s="0" t="s">
        <v>18670</v>
      </c>
      <c r="E5603" s="0" t="s">
        <v>75</v>
      </c>
      <c r="F5603" s="0" t="s">
        <v>90</v>
      </c>
      <c r="G5603" s="0" t="s">
        <v>16</v>
      </c>
      <c r="H5603" s="0" t="n">
        <v>106</v>
      </c>
      <c r="I5603" s="0" t="s">
        <v>18680</v>
      </c>
      <c r="J5603" s="0" t="s">
        <v>18681</v>
      </c>
      <c r="K5603" s="0" t="s">
        <v>18682</v>
      </c>
      <c r="L5603" s="0" t="str">
        <f aca="false">HYPERLINK("https://www.ncbi.nlm.nih.gov/nuccore/CP000058.1?report=graph&amp;tracks=[key:gene_model_track,Options:GeneOnly]&amp;mk=1756186:1756205|offset_24|444444,1756161:1756180|offset_49|444444,1756138:1756157|offset_72|444444,1756104:1756123|offset_106|00cc00&amp;v=1755985:1756323&amp;c=444444", "offset 106")</f>
        <v>offset 106</v>
      </c>
    </row>
    <row r="5604" customFormat="false" ht="12.8" hidden="false" customHeight="false" outlineLevel="0" collapsed="false">
      <c r="A5604" s="0" t="s">
        <v>12</v>
      </c>
      <c r="B5604" s="0" t="n">
        <v>1758638</v>
      </c>
      <c r="C5604" s="0" t="n">
        <v>1758658</v>
      </c>
      <c r="D5604" s="0" t="s">
        <v>18683</v>
      </c>
      <c r="E5604" s="0" t="s">
        <v>75</v>
      </c>
      <c r="F5604" s="0" t="s">
        <v>90</v>
      </c>
      <c r="G5604" s="0" t="s">
        <v>32</v>
      </c>
      <c r="H5604" s="0" t="n">
        <v>41</v>
      </c>
      <c r="I5604" s="0" t="s">
        <v>18684</v>
      </c>
      <c r="J5604" s="0" t="s">
        <v>18685</v>
      </c>
      <c r="K5604" s="0" t="s">
        <v>18686</v>
      </c>
      <c r="L5604" s="0" t="str">
        <f aca="false">HYPERLINK("https://www.ncbi.nlm.nih.gov/nuccore/CP000058.1?report=graph&amp;tracks=[key:gene_model_track,Options:GeneOnly]&amp;mk=1758639:1758658|offset_41|00cc00,1758598:1758617|offset_82|444444,1758568:1758587|offset_112|444444,1758528:1758547|offset_152|444444&amp;v=1758438:1758747&amp;c=444444", "offset 41")</f>
        <v>offset 41</v>
      </c>
    </row>
    <row r="5605" customFormat="false" ht="12.8" hidden="false" customHeight="false" outlineLevel="0" collapsed="false">
      <c r="A5605" s="0" t="s">
        <v>12</v>
      </c>
      <c r="B5605" s="0" t="n">
        <v>1758597</v>
      </c>
      <c r="C5605" s="0" t="n">
        <v>1758617</v>
      </c>
      <c r="D5605" s="0" t="s">
        <v>18683</v>
      </c>
      <c r="E5605" s="0" t="s">
        <v>75</v>
      </c>
      <c r="F5605" s="0" t="s">
        <v>90</v>
      </c>
      <c r="G5605" s="0" t="s">
        <v>16</v>
      </c>
      <c r="H5605" s="0" t="n">
        <v>82</v>
      </c>
      <c r="I5605" s="0" t="s">
        <v>18687</v>
      </c>
      <c r="J5605" s="0" t="s">
        <v>18688</v>
      </c>
      <c r="K5605" s="0" t="s">
        <v>18689</v>
      </c>
      <c r="L5605" s="0" t="str">
        <f aca="false">HYPERLINK("https://www.ncbi.nlm.nih.gov/nuccore/CP000058.1?report=graph&amp;tracks=[key:gene_model_track,Options:GeneOnly]&amp;mk=1758639:1758658|offset_41|444444,1758598:1758617|offset_82|00cc00,1758568:1758587|offset_112|444444,1758528:1758547|offset_152|444444&amp;v=1758438:1758747&amp;c=444444", "offset 82")</f>
        <v>offset 82</v>
      </c>
    </row>
    <row r="5606" customFormat="false" ht="12.8" hidden="false" customHeight="false" outlineLevel="0" collapsed="false">
      <c r="A5606" s="0" t="s">
        <v>12</v>
      </c>
      <c r="B5606" s="0" t="n">
        <v>1758567</v>
      </c>
      <c r="C5606" s="0" t="n">
        <v>1758587</v>
      </c>
      <c r="D5606" s="0" t="s">
        <v>18683</v>
      </c>
      <c r="E5606" s="0" t="s">
        <v>75</v>
      </c>
      <c r="F5606" s="0" t="s">
        <v>90</v>
      </c>
      <c r="G5606" s="0" t="s">
        <v>16</v>
      </c>
      <c r="H5606" s="0" t="n">
        <v>112</v>
      </c>
      <c r="I5606" s="0" t="s">
        <v>18690</v>
      </c>
      <c r="J5606" s="0" t="s">
        <v>18691</v>
      </c>
      <c r="K5606" s="0" t="s">
        <v>18692</v>
      </c>
      <c r="L5606" s="0" t="str">
        <f aca="false">HYPERLINK("https://www.ncbi.nlm.nih.gov/nuccore/CP000058.1?report=graph&amp;tracks=[key:gene_model_track,Options:GeneOnly]&amp;mk=1758639:1758658|offset_41|444444,1758598:1758617|offset_82|444444,1758568:1758587|offset_112|00cc00,1758528:1758547|offset_152|444444&amp;v=1758438:1758747&amp;c=444444", "offset 112")</f>
        <v>offset 112</v>
      </c>
    </row>
    <row r="5607" customFormat="false" ht="12.8" hidden="false" customHeight="false" outlineLevel="0" collapsed="false">
      <c r="A5607" s="0" t="s">
        <v>12</v>
      </c>
      <c r="B5607" s="0" t="n">
        <v>1758527</v>
      </c>
      <c r="C5607" s="0" t="n">
        <v>1758547</v>
      </c>
      <c r="D5607" s="0" t="s">
        <v>18683</v>
      </c>
      <c r="E5607" s="0" t="s">
        <v>75</v>
      </c>
      <c r="F5607" s="0" t="s">
        <v>90</v>
      </c>
      <c r="G5607" s="0" t="s">
        <v>32</v>
      </c>
      <c r="H5607" s="0" t="n">
        <v>152</v>
      </c>
      <c r="I5607" s="0" t="s">
        <v>18693</v>
      </c>
      <c r="J5607" s="0" t="s">
        <v>18694</v>
      </c>
      <c r="K5607" s="0" t="s">
        <v>18695</v>
      </c>
      <c r="L5607" s="0" t="str">
        <f aca="false">HYPERLINK("https://www.ncbi.nlm.nih.gov/nuccore/CP000058.1?report=graph&amp;tracks=[key:gene_model_track,Options:GeneOnly]&amp;mk=1758639:1758658|offset_41|444444,1758598:1758617|offset_82|444444,1758568:1758587|offset_112|444444,1758528:1758547|offset_152|00cc00&amp;v=1758438:1758747&amp;c=444444", "offset 152")</f>
        <v>offset 152</v>
      </c>
    </row>
    <row r="5608" customFormat="false" ht="12.8" hidden="false" customHeight="false" outlineLevel="0" collapsed="false">
      <c r="A5608" s="0" t="s">
        <v>12</v>
      </c>
      <c r="B5608" s="0" t="n">
        <v>1759310</v>
      </c>
      <c r="C5608" s="0" t="n">
        <v>1759330</v>
      </c>
      <c r="D5608" s="0" t="s">
        <v>18696</v>
      </c>
      <c r="E5608" s="0" t="s">
        <v>75</v>
      </c>
      <c r="F5608" s="0" t="s">
        <v>90</v>
      </c>
      <c r="G5608" s="0" t="s">
        <v>32</v>
      </c>
      <c r="H5608" s="0" t="n">
        <v>37</v>
      </c>
      <c r="I5608" s="0" t="s">
        <v>18697</v>
      </c>
      <c r="J5608" s="0" t="s">
        <v>18698</v>
      </c>
      <c r="K5608" s="0" t="s">
        <v>18699</v>
      </c>
      <c r="L5608" s="0" t="str">
        <f aca="false">HYPERLINK("https://www.ncbi.nlm.nih.gov/nuccore/CP000058.1?report=graph&amp;tracks=[key:gene_model_track,Options:GeneOnly]&amp;mk=1759311:1759330|offset_37|00cc00,1759247:1759266|offset_101|444444,1759227:1759246|offset_121|444444,1759187:1759206|offset_161|444444&amp;v=1759110:1759406&amp;c=444444", "offset 37")</f>
        <v>offset 37</v>
      </c>
    </row>
    <row r="5609" customFormat="false" ht="12.8" hidden="false" customHeight="false" outlineLevel="0" collapsed="false">
      <c r="A5609" s="0" t="s">
        <v>12</v>
      </c>
      <c r="B5609" s="0" t="n">
        <v>1759246</v>
      </c>
      <c r="C5609" s="0" t="n">
        <v>1759266</v>
      </c>
      <c r="D5609" s="0" t="s">
        <v>18696</v>
      </c>
      <c r="E5609" s="0" t="s">
        <v>75</v>
      </c>
      <c r="F5609" s="0" t="s">
        <v>90</v>
      </c>
      <c r="G5609" s="0" t="s">
        <v>20</v>
      </c>
      <c r="H5609" s="0" t="n">
        <v>101</v>
      </c>
      <c r="I5609" s="0" t="s">
        <v>18700</v>
      </c>
      <c r="J5609" s="0" t="s">
        <v>18701</v>
      </c>
      <c r="K5609" s="0" t="s">
        <v>18702</v>
      </c>
      <c r="L5609" s="0" t="str">
        <f aca="false">HYPERLINK("https://www.ncbi.nlm.nih.gov/nuccore/CP000058.1?report=graph&amp;tracks=[key:gene_model_track,Options:GeneOnly]&amp;mk=1759311:1759330|offset_37|444444,1759247:1759266|offset_101|00cc00,1759227:1759246|offset_121|444444,1759187:1759206|offset_161|444444&amp;v=1759110:1759406&amp;c=444444", "offset 101")</f>
        <v>offset 101</v>
      </c>
    </row>
    <row r="5610" customFormat="false" ht="12.8" hidden="false" customHeight="false" outlineLevel="0" collapsed="false">
      <c r="A5610" s="0" t="s">
        <v>12</v>
      </c>
      <c r="B5610" s="0" t="n">
        <v>1759226</v>
      </c>
      <c r="C5610" s="0" t="n">
        <v>1759246</v>
      </c>
      <c r="D5610" s="0" t="s">
        <v>18696</v>
      </c>
      <c r="E5610" s="0" t="s">
        <v>75</v>
      </c>
      <c r="F5610" s="0" t="s">
        <v>90</v>
      </c>
      <c r="G5610" s="0" t="s">
        <v>16</v>
      </c>
      <c r="H5610" s="0" t="n">
        <v>121</v>
      </c>
      <c r="I5610" s="0" t="s">
        <v>18703</v>
      </c>
      <c r="J5610" s="0" t="s">
        <v>18704</v>
      </c>
      <c r="K5610" s="0" t="s">
        <v>18705</v>
      </c>
      <c r="L5610" s="0" t="str">
        <f aca="false">HYPERLINK("https://www.ncbi.nlm.nih.gov/nuccore/CP000058.1?report=graph&amp;tracks=[key:gene_model_track,Options:GeneOnly]&amp;mk=1759311:1759330|offset_37|444444,1759247:1759266|offset_101|444444,1759227:1759246|offset_121|00cc00,1759187:1759206|offset_161|444444&amp;v=1759110:1759406&amp;c=444444", "offset 121")</f>
        <v>offset 121</v>
      </c>
    </row>
    <row r="5611" customFormat="false" ht="12.8" hidden="false" customHeight="false" outlineLevel="0" collapsed="false">
      <c r="A5611" s="0" t="s">
        <v>12</v>
      </c>
      <c r="B5611" s="0" t="n">
        <v>1759186</v>
      </c>
      <c r="C5611" s="0" t="n">
        <v>1759206</v>
      </c>
      <c r="D5611" s="0" t="s">
        <v>18696</v>
      </c>
      <c r="E5611" s="0" t="s">
        <v>75</v>
      </c>
      <c r="F5611" s="0" t="s">
        <v>90</v>
      </c>
      <c r="G5611" s="0" t="s">
        <v>20</v>
      </c>
      <c r="H5611" s="0" t="n">
        <v>161</v>
      </c>
      <c r="I5611" s="0" t="s">
        <v>18706</v>
      </c>
      <c r="J5611" s="0" t="s">
        <v>18707</v>
      </c>
      <c r="K5611" s="0" t="s">
        <v>18708</v>
      </c>
      <c r="L5611" s="0" t="str">
        <f aca="false">HYPERLINK("https://www.ncbi.nlm.nih.gov/nuccore/CP000058.1?report=graph&amp;tracks=[key:gene_model_track,Options:GeneOnly]&amp;mk=1759311:1759330|offset_37|444444,1759247:1759266|offset_101|444444,1759227:1759246|offset_121|444444,1759187:1759206|offset_161|00cc00&amp;v=1759110:1759406&amp;c=444444", "offset 161")</f>
        <v>offset 161</v>
      </c>
    </row>
    <row r="5612" customFormat="false" ht="12.8" hidden="false" customHeight="false" outlineLevel="0" collapsed="false">
      <c r="A5612" s="0" t="s">
        <v>12</v>
      </c>
      <c r="B5612" s="0" t="n">
        <v>1761497</v>
      </c>
      <c r="C5612" s="0" t="n">
        <v>1761517</v>
      </c>
      <c r="D5612" s="0" t="s">
        <v>18709</v>
      </c>
      <c r="E5612" s="0" t="s">
        <v>75</v>
      </c>
      <c r="F5612" s="0" t="s">
        <v>90</v>
      </c>
      <c r="G5612" s="0" t="s">
        <v>32</v>
      </c>
      <c r="H5612" s="0" t="n">
        <v>7</v>
      </c>
      <c r="I5612" s="0" t="s">
        <v>18710</v>
      </c>
      <c r="J5612" s="0" t="s">
        <v>18711</v>
      </c>
      <c r="K5612" s="0" t="s">
        <v>18712</v>
      </c>
      <c r="L5612" s="0" t="str">
        <f aca="false">HYPERLINK("https://www.ncbi.nlm.nih.gov/nuccore/CP000058.1?report=graph&amp;tracks=[key:gene_model_track,Options:GeneOnly]&amp;mk=1761498:1761517|offset_7|00cc00,1761455:1761474|offset_50|444444,1761435:1761454|offset_70|444444,1761411:1761430|offset_94|444444&amp;v=1761297:1761630&amp;c=444444", "offset 7")</f>
        <v>offset 7</v>
      </c>
    </row>
    <row r="5613" customFormat="false" ht="12.8" hidden="false" customHeight="false" outlineLevel="0" collapsed="false">
      <c r="A5613" s="0" t="s">
        <v>12</v>
      </c>
      <c r="B5613" s="0" t="n">
        <v>1761454</v>
      </c>
      <c r="C5613" s="0" t="n">
        <v>1761474</v>
      </c>
      <c r="D5613" s="0" t="s">
        <v>18709</v>
      </c>
      <c r="E5613" s="0" t="s">
        <v>75</v>
      </c>
      <c r="F5613" s="0" t="s">
        <v>90</v>
      </c>
      <c r="G5613" s="0" t="s">
        <v>36</v>
      </c>
      <c r="H5613" s="0" t="n">
        <v>50</v>
      </c>
      <c r="I5613" s="0" t="s">
        <v>18713</v>
      </c>
      <c r="J5613" s="0" t="s">
        <v>18714</v>
      </c>
      <c r="K5613" s="0" t="s">
        <v>18715</v>
      </c>
      <c r="L5613" s="0" t="str">
        <f aca="false">HYPERLINK("https://www.ncbi.nlm.nih.gov/nuccore/CP000058.1?report=graph&amp;tracks=[key:gene_model_track,Options:GeneOnly]&amp;mk=1761498:1761517|offset_7|444444,1761455:1761474|offset_50|00cc00,1761435:1761454|offset_70|444444,1761411:1761430|offset_94|444444&amp;v=1761297:1761630&amp;c=444444", "offset 50")</f>
        <v>offset 50</v>
      </c>
    </row>
    <row r="5614" customFormat="false" ht="12.8" hidden="false" customHeight="false" outlineLevel="0" collapsed="false">
      <c r="A5614" s="0" t="s">
        <v>12</v>
      </c>
      <c r="B5614" s="0" t="n">
        <v>1761434</v>
      </c>
      <c r="C5614" s="0" t="n">
        <v>1761454</v>
      </c>
      <c r="D5614" s="0" t="s">
        <v>18709</v>
      </c>
      <c r="E5614" s="0" t="s">
        <v>75</v>
      </c>
      <c r="F5614" s="0" t="s">
        <v>90</v>
      </c>
      <c r="G5614" s="0" t="s">
        <v>16</v>
      </c>
      <c r="H5614" s="0" t="n">
        <v>70</v>
      </c>
      <c r="I5614" s="0" t="s">
        <v>18716</v>
      </c>
      <c r="J5614" s="0" t="s">
        <v>18717</v>
      </c>
      <c r="K5614" s="0" t="s">
        <v>18718</v>
      </c>
      <c r="L5614" s="0" t="str">
        <f aca="false">HYPERLINK("https://www.ncbi.nlm.nih.gov/nuccore/CP000058.1?report=graph&amp;tracks=[key:gene_model_track,Options:GeneOnly]&amp;mk=1761498:1761517|offset_7|444444,1761455:1761474|offset_50|444444,1761435:1761454|offset_70|00cc00,1761411:1761430|offset_94|444444&amp;v=1761297:1761630&amp;c=444444", "offset 70")</f>
        <v>offset 70</v>
      </c>
    </row>
    <row r="5615" customFormat="false" ht="12.8" hidden="false" customHeight="false" outlineLevel="0" collapsed="false">
      <c r="A5615" s="0" t="s">
        <v>12</v>
      </c>
      <c r="B5615" s="0" t="n">
        <v>1761410</v>
      </c>
      <c r="C5615" s="0" t="n">
        <v>1761430</v>
      </c>
      <c r="D5615" s="0" t="s">
        <v>18709</v>
      </c>
      <c r="E5615" s="0" t="s">
        <v>75</v>
      </c>
      <c r="F5615" s="0" t="s">
        <v>90</v>
      </c>
      <c r="G5615" s="0" t="s">
        <v>16</v>
      </c>
      <c r="H5615" s="0" t="n">
        <v>94</v>
      </c>
      <c r="I5615" s="0" t="s">
        <v>18719</v>
      </c>
      <c r="J5615" s="0" t="s">
        <v>18720</v>
      </c>
      <c r="K5615" s="0" t="s">
        <v>18721</v>
      </c>
      <c r="L5615" s="0" t="str">
        <f aca="false">HYPERLINK("https://www.ncbi.nlm.nih.gov/nuccore/CP000058.1?report=graph&amp;tracks=[key:gene_model_track,Options:GeneOnly]&amp;mk=1761498:1761517|offset_7|444444,1761455:1761474|offset_50|444444,1761435:1761454|offset_70|444444,1761411:1761430|offset_94|00cc00&amp;v=1761297:1761630&amp;c=444444", "offset 94")</f>
        <v>offset 94</v>
      </c>
    </row>
    <row r="5616" customFormat="false" ht="12.8" hidden="false" customHeight="false" outlineLevel="0" collapsed="false">
      <c r="A5616" s="0" t="s">
        <v>12</v>
      </c>
      <c r="B5616" s="0" t="n">
        <v>1761717</v>
      </c>
      <c r="C5616" s="0" t="n">
        <v>1761737</v>
      </c>
      <c r="D5616" s="0" t="s">
        <v>18722</v>
      </c>
      <c r="E5616" s="0" t="s">
        <v>75</v>
      </c>
      <c r="F5616" s="0" t="s">
        <v>15</v>
      </c>
      <c r="G5616" s="0" t="s">
        <v>32</v>
      </c>
      <c r="H5616" s="0" t="n">
        <v>31</v>
      </c>
      <c r="I5616" s="0" t="s">
        <v>18723</v>
      </c>
      <c r="J5616" s="0" t="s">
        <v>18724</v>
      </c>
      <c r="K5616" s="0" t="s">
        <v>18725</v>
      </c>
      <c r="L5616" s="0" t="str">
        <f aca="false">HYPERLINK("https://www.ncbi.nlm.nih.gov/nuccore/CP000058.1?report=graph&amp;tracks=[key:gene_model_track,Options:GeneOnly]&amp;mk=1761718:1761737|offset_31|00cc00,1761750:1761769|offset_63|444444,1761788:1761807|offset_101|444444,1761859:1761878|offset_172|444444&amp;v=1761517:1762078&amp;c=444444", "offset 31")</f>
        <v>offset 31</v>
      </c>
    </row>
    <row r="5617" customFormat="false" ht="12.8" hidden="false" customHeight="false" outlineLevel="0" collapsed="false">
      <c r="A5617" s="0" t="s">
        <v>12</v>
      </c>
      <c r="B5617" s="0" t="n">
        <v>1761749</v>
      </c>
      <c r="C5617" s="0" t="n">
        <v>1761769</v>
      </c>
      <c r="D5617" s="0" t="s">
        <v>18722</v>
      </c>
      <c r="E5617" s="0" t="s">
        <v>75</v>
      </c>
      <c r="F5617" s="0" t="s">
        <v>15</v>
      </c>
      <c r="G5617" s="0" t="s">
        <v>36</v>
      </c>
      <c r="H5617" s="0" t="n">
        <v>63</v>
      </c>
      <c r="I5617" s="0" t="s">
        <v>18726</v>
      </c>
      <c r="J5617" s="0" t="s">
        <v>18727</v>
      </c>
      <c r="K5617" s="0" t="s">
        <v>18728</v>
      </c>
      <c r="L5617" s="0" t="str">
        <f aca="false">HYPERLINK("https://www.ncbi.nlm.nih.gov/nuccore/CP000058.1?report=graph&amp;tracks=[key:gene_model_track,Options:GeneOnly]&amp;mk=1761718:1761737|offset_31|444444,1761750:1761769|offset_63|00cc00,1761788:1761807|offset_101|444444,1761859:1761878|offset_172|444444&amp;v=1761517:1762078&amp;c=444444", "offset 63")</f>
        <v>offset 63</v>
      </c>
    </row>
    <row r="5618" customFormat="false" ht="12.8" hidden="false" customHeight="false" outlineLevel="0" collapsed="false">
      <c r="A5618" s="0" t="s">
        <v>12</v>
      </c>
      <c r="B5618" s="0" t="n">
        <v>1761787</v>
      </c>
      <c r="C5618" s="0" t="n">
        <v>1761807</v>
      </c>
      <c r="D5618" s="0" t="s">
        <v>18722</v>
      </c>
      <c r="E5618" s="0" t="s">
        <v>75</v>
      </c>
      <c r="F5618" s="0" t="s">
        <v>15</v>
      </c>
      <c r="G5618" s="0" t="s">
        <v>20</v>
      </c>
      <c r="H5618" s="0" t="n">
        <v>101</v>
      </c>
      <c r="I5618" s="0" t="s">
        <v>18729</v>
      </c>
      <c r="J5618" s="0" t="s">
        <v>18730</v>
      </c>
      <c r="K5618" s="0" t="s">
        <v>18731</v>
      </c>
      <c r="L5618" s="0" t="str">
        <f aca="false">HYPERLINK("https://www.ncbi.nlm.nih.gov/nuccore/CP000058.1?report=graph&amp;tracks=[key:gene_model_track,Options:GeneOnly]&amp;mk=1761718:1761737|offset_31|444444,1761750:1761769|offset_63|444444,1761788:1761807|offset_101|00cc00,1761859:1761878|offset_172|444444&amp;v=1761517:1762078&amp;c=444444", "offset 101")</f>
        <v>offset 101</v>
      </c>
    </row>
    <row r="5619" customFormat="false" ht="12.8" hidden="false" customHeight="false" outlineLevel="0" collapsed="false">
      <c r="A5619" s="0" t="s">
        <v>12</v>
      </c>
      <c r="B5619" s="0" t="n">
        <v>1761858</v>
      </c>
      <c r="C5619" s="0" t="n">
        <v>1761878</v>
      </c>
      <c r="D5619" s="0" t="s">
        <v>18722</v>
      </c>
      <c r="E5619" s="0" t="s">
        <v>75</v>
      </c>
      <c r="F5619" s="0" t="s">
        <v>15</v>
      </c>
      <c r="G5619" s="0" t="s">
        <v>16</v>
      </c>
      <c r="H5619" s="0" t="n">
        <v>172</v>
      </c>
      <c r="I5619" s="0" t="s">
        <v>18732</v>
      </c>
      <c r="J5619" s="0" t="s">
        <v>18733</v>
      </c>
      <c r="K5619" s="0" t="s">
        <v>18734</v>
      </c>
      <c r="L5619" s="0" t="str">
        <f aca="false">HYPERLINK("https://www.ncbi.nlm.nih.gov/nuccore/CP000058.1?report=graph&amp;tracks=[key:gene_model_track,Options:GeneOnly]&amp;mk=1761718:1761737|offset_31|444444,1761750:1761769|offset_63|444444,1761788:1761807|offset_101|444444,1761859:1761878|offset_172|00cc00&amp;v=1761517:1762078&amp;c=444444", "offset 172")</f>
        <v>offset 172</v>
      </c>
    </row>
    <row r="5620" customFormat="false" ht="12.8" hidden="false" customHeight="false" outlineLevel="0" collapsed="false">
      <c r="A5620" s="0" t="s">
        <v>12</v>
      </c>
      <c r="B5620" s="0" t="n">
        <v>1763620</v>
      </c>
      <c r="C5620" s="0" t="n">
        <v>1763640</v>
      </c>
      <c r="D5620" s="0" t="s">
        <v>18735</v>
      </c>
      <c r="E5620" s="0" t="s">
        <v>75</v>
      </c>
      <c r="F5620" s="0" t="s">
        <v>90</v>
      </c>
      <c r="G5620" s="0" t="s">
        <v>20</v>
      </c>
      <c r="H5620" s="0" t="n">
        <v>0</v>
      </c>
      <c r="I5620" s="0" t="s">
        <v>18736</v>
      </c>
      <c r="J5620" s="0" t="s">
        <v>18737</v>
      </c>
      <c r="K5620" s="0" t="s">
        <v>18738</v>
      </c>
      <c r="L5620" s="0" t="str">
        <f aca="false">HYPERLINK("https://www.ncbi.nlm.nih.gov/nuccore/CP000058.1?report=graph&amp;tracks=[key:gene_model_track,Options:GeneOnly]&amp;mk=1763621:1763640|offset_0|00cc00,1763596:1763615|offset_25|444444,1763517:1763536|offset_104|444444,1763494:1763513|offset_127|444444&amp;v=1763420:1763713&amp;c=444444", "offset 0")</f>
        <v>offset 0</v>
      </c>
    </row>
    <row r="5621" customFormat="false" ht="12.8" hidden="false" customHeight="false" outlineLevel="0" collapsed="false">
      <c r="A5621" s="0" t="s">
        <v>12</v>
      </c>
      <c r="B5621" s="0" t="n">
        <v>1763595</v>
      </c>
      <c r="C5621" s="0" t="n">
        <v>1763615</v>
      </c>
      <c r="D5621" s="0" t="s">
        <v>18735</v>
      </c>
      <c r="E5621" s="0" t="s">
        <v>75</v>
      </c>
      <c r="F5621" s="0" t="s">
        <v>90</v>
      </c>
      <c r="G5621" s="0" t="s">
        <v>32</v>
      </c>
      <c r="H5621" s="0" t="n">
        <v>25</v>
      </c>
      <c r="I5621" s="0" t="s">
        <v>18739</v>
      </c>
      <c r="J5621" s="0" t="s">
        <v>18740</v>
      </c>
      <c r="K5621" s="0" t="s">
        <v>18741</v>
      </c>
      <c r="L5621" s="0" t="str">
        <f aca="false">HYPERLINK("https://www.ncbi.nlm.nih.gov/nuccore/CP000058.1?report=graph&amp;tracks=[key:gene_model_track,Options:GeneOnly]&amp;mk=1763621:1763640|offset_0|444444,1763596:1763615|offset_25|00cc00,1763517:1763536|offset_104|444444,1763494:1763513|offset_127|444444&amp;v=1763420:1763713&amp;c=444444", "offset 25")</f>
        <v>offset 25</v>
      </c>
    </row>
    <row r="5622" customFormat="false" ht="12.8" hidden="false" customHeight="false" outlineLevel="0" collapsed="false">
      <c r="A5622" s="0" t="s">
        <v>12</v>
      </c>
      <c r="B5622" s="0" t="n">
        <v>1763516</v>
      </c>
      <c r="C5622" s="0" t="n">
        <v>1763536</v>
      </c>
      <c r="D5622" s="0" t="s">
        <v>18735</v>
      </c>
      <c r="E5622" s="0" t="s">
        <v>75</v>
      </c>
      <c r="F5622" s="0" t="s">
        <v>90</v>
      </c>
      <c r="G5622" s="0" t="s">
        <v>20</v>
      </c>
      <c r="H5622" s="0" t="n">
        <v>104</v>
      </c>
      <c r="I5622" s="0" t="s">
        <v>18742</v>
      </c>
      <c r="J5622" s="0" t="s">
        <v>18743</v>
      </c>
      <c r="K5622" s="0" t="s">
        <v>18744</v>
      </c>
      <c r="L5622" s="0" t="str">
        <f aca="false">HYPERLINK("https://www.ncbi.nlm.nih.gov/nuccore/CP000058.1?report=graph&amp;tracks=[key:gene_model_track,Options:GeneOnly]&amp;mk=1763621:1763640|offset_0|444444,1763596:1763615|offset_25|444444,1763517:1763536|offset_104|00cc00,1763494:1763513|offset_127|444444&amp;v=1763420:1763713&amp;c=444444", "offset 104")</f>
        <v>offset 104</v>
      </c>
    </row>
    <row r="5623" customFormat="false" ht="12.8" hidden="false" customHeight="false" outlineLevel="0" collapsed="false">
      <c r="A5623" s="0" t="s">
        <v>12</v>
      </c>
      <c r="B5623" s="0" t="n">
        <v>1763493</v>
      </c>
      <c r="C5623" s="0" t="n">
        <v>1763513</v>
      </c>
      <c r="D5623" s="0" t="s">
        <v>18735</v>
      </c>
      <c r="E5623" s="0" t="s">
        <v>75</v>
      </c>
      <c r="F5623" s="0" t="s">
        <v>90</v>
      </c>
      <c r="G5623" s="0" t="s">
        <v>20</v>
      </c>
      <c r="H5623" s="0" t="n">
        <v>127</v>
      </c>
      <c r="I5623" s="0" t="s">
        <v>18745</v>
      </c>
      <c r="J5623" s="0" t="s">
        <v>18746</v>
      </c>
      <c r="K5623" s="0" t="s">
        <v>18747</v>
      </c>
      <c r="L5623" s="0" t="str">
        <f aca="false">HYPERLINK("https://www.ncbi.nlm.nih.gov/nuccore/CP000058.1?report=graph&amp;tracks=[key:gene_model_track,Options:GeneOnly]&amp;mk=1763621:1763640|offset_0|444444,1763596:1763615|offset_25|444444,1763517:1763536|offset_104|444444,1763494:1763513|offset_127|00cc00&amp;v=1763420:1763713&amp;c=444444", "offset 127")</f>
        <v>offset 127</v>
      </c>
    </row>
    <row r="5624" customFormat="false" ht="12.8" hidden="false" customHeight="false" outlineLevel="0" collapsed="false">
      <c r="A5624" s="0" t="s">
        <v>12</v>
      </c>
      <c r="B5624" s="0" t="n">
        <v>1764217</v>
      </c>
      <c r="C5624" s="0" t="n">
        <v>1764237</v>
      </c>
      <c r="D5624" s="0" t="s">
        <v>18748</v>
      </c>
      <c r="E5624" s="0" t="s">
        <v>75</v>
      </c>
      <c r="F5624" s="0" t="s">
        <v>90</v>
      </c>
      <c r="G5624" s="0" t="s">
        <v>32</v>
      </c>
      <c r="H5624" s="0" t="n">
        <v>1</v>
      </c>
      <c r="I5624" s="0" t="s">
        <v>18749</v>
      </c>
      <c r="J5624" s="0" t="s">
        <v>18750</v>
      </c>
      <c r="K5624" s="0" t="s">
        <v>18751</v>
      </c>
      <c r="L5624" s="0" t="str">
        <f aca="false">HYPERLINK("https://www.ncbi.nlm.nih.gov/nuccore/CP000058.1?report=graph&amp;tracks=[key:gene_model_track,Options:GeneOnly]&amp;mk=1764218:1764237|offset_1|00cc00,1764194:1764213|offset_25|444444,1764134:1764153|offset_85|444444,1764107:1764126|offset_112|444444&amp;v=1764017:1764326&amp;c=444444", "offset 1")</f>
        <v>offset 1</v>
      </c>
    </row>
    <row r="5625" customFormat="false" ht="12.8" hidden="false" customHeight="false" outlineLevel="0" collapsed="false">
      <c r="A5625" s="0" t="s">
        <v>12</v>
      </c>
      <c r="B5625" s="0" t="n">
        <v>1764193</v>
      </c>
      <c r="C5625" s="0" t="n">
        <v>1764213</v>
      </c>
      <c r="D5625" s="0" t="s">
        <v>18748</v>
      </c>
      <c r="E5625" s="0" t="s">
        <v>75</v>
      </c>
      <c r="F5625" s="0" t="s">
        <v>90</v>
      </c>
      <c r="G5625" s="0" t="s">
        <v>36</v>
      </c>
      <c r="H5625" s="0" t="n">
        <v>25</v>
      </c>
      <c r="I5625" s="0" t="s">
        <v>18752</v>
      </c>
      <c r="J5625" s="0" t="s">
        <v>18753</v>
      </c>
      <c r="K5625" s="0" t="s">
        <v>18754</v>
      </c>
      <c r="L5625" s="0" t="str">
        <f aca="false">HYPERLINK("https://www.ncbi.nlm.nih.gov/nuccore/CP000058.1?report=graph&amp;tracks=[key:gene_model_track,Options:GeneOnly]&amp;mk=1764218:1764237|offset_1|444444,1764194:1764213|offset_25|00cc00,1764134:1764153|offset_85|444444,1764107:1764126|offset_112|444444&amp;v=1764017:1764326&amp;c=444444", "offset 25")</f>
        <v>offset 25</v>
      </c>
    </row>
    <row r="5626" customFormat="false" ht="12.8" hidden="false" customHeight="false" outlineLevel="0" collapsed="false">
      <c r="A5626" s="0" t="s">
        <v>12</v>
      </c>
      <c r="B5626" s="0" t="n">
        <v>1764133</v>
      </c>
      <c r="C5626" s="0" t="n">
        <v>1764153</v>
      </c>
      <c r="D5626" s="0" t="s">
        <v>18748</v>
      </c>
      <c r="E5626" s="0" t="s">
        <v>75</v>
      </c>
      <c r="F5626" s="0" t="s">
        <v>90</v>
      </c>
      <c r="G5626" s="0" t="s">
        <v>16</v>
      </c>
      <c r="H5626" s="0" t="n">
        <v>85</v>
      </c>
      <c r="I5626" s="0" t="s">
        <v>18755</v>
      </c>
      <c r="J5626" s="0" t="s">
        <v>18756</v>
      </c>
      <c r="K5626" s="0" t="s">
        <v>18757</v>
      </c>
      <c r="L5626" s="0" t="str">
        <f aca="false">HYPERLINK("https://www.ncbi.nlm.nih.gov/nuccore/CP000058.1?report=graph&amp;tracks=[key:gene_model_track,Options:GeneOnly]&amp;mk=1764218:1764237|offset_1|444444,1764194:1764213|offset_25|444444,1764134:1764153|offset_85|00cc00,1764107:1764126|offset_112|444444&amp;v=1764017:1764326&amp;c=444444", "offset 85")</f>
        <v>offset 85</v>
      </c>
    </row>
    <row r="5627" customFormat="false" ht="12.8" hidden="false" customHeight="false" outlineLevel="0" collapsed="false">
      <c r="A5627" s="0" t="s">
        <v>12</v>
      </c>
      <c r="B5627" s="0" t="n">
        <v>1764106</v>
      </c>
      <c r="C5627" s="0" t="n">
        <v>1764126</v>
      </c>
      <c r="D5627" s="0" t="s">
        <v>18748</v>
      </c>
      <c r="E5627" s="0" t="s">
        <v>75</v>
      </c>
      <c r="F5627" s="0" t="s">
        <v>90</v>
      </c>
      <c r="G5627" s="0" t="s">
        <v>32</v>
      </c>
      <c r="H5627" s="0" t="n">
        <v>112</v>
      </c>
      <c r="I5627" s="0" t="s">
        <v>18758</v>
      </c>
      <c r="J5627" s="0" t="s">
        <v>18759</v>
      </c>
      <c r="K5627" s="0" t="s">
        <v>18760</v>
      </c>
      <c r="L5627" s="0" t="str">
        <f aca="false">HYPERLINK("https://www.ncbi.nlm.nih.gov/nuccore/CP000058.1?report=graph&amp;tracks=[key:gene_model_track,Options:GeneOnly]&amp;mk=1764218:1764237|offset_1|444444,1764194:1764213|offset_25|444444,1764134:1764153|offset_85|444444,1764107:1764126|offset_112|00cc00&amp;v=1764017:1764326&amp;c=444444", "offset 112")</f>
        <v>offset 112</v>
      </c>
    </row>
    <row r="5628" customFormat="false" ht="12.8" hidden="false" customHeight="false" outlineLevel="0" collapsed="false">
      <c r="A5628" s="0" t="s">
        <v>12</v>
      </c>
      <c r="B5628" s="0" t="n">
        <v>1764479</v>
      </c>
      <c r="C5628" s="0" t="n">
        <v>1764499</v>
      </c>
      <c r="D5628" s="0" t="s">
        <v>18761</v>
      </c>
      <c r="E5628" s="0" t="s">
        <v>18762</v>
      </c>
      <c r="F5628" s="0" t="s">
        <v>15</v>
      </c>
      <c r="G5628" s="0" t="s">
        <v>32</v>
      </c>
      <c r="H5628" s="0" t="n">
        <v>65</v>
      </c>
      <c r="I5628" s="0" t="s">
        <v>18763</v>
      </c>
      <c r="J5628" s="0" t="s">
        <v>18764</v>
      </c>
      <c r="K5628" s="0" t="s">
        <v>18765</v>
      </c>
      <c r="L5628" s="0" t="str">
        <f aca="false">HYPERLINK("https://www.ncbi.nlm.nih.gov/nuccore/CP000058.1?report=graph&amp;tracks=[key:gene_model_track,Options:GeneOnly]&amp;mk=1764480:1764499|offset_65|00cc00,1764506:1764525|offset_91|444444,1764535:1764554|offset_120|444444,1764555:1764574|offset_140|444444&amp;v=1764279:1764774&amp;c=444444", "offset 65")</f>
        <v>offset 65</v>
      </c>
    </row>
    <row r="5629" customFormat="false" ht="12.8" hidden="false" customHeight="false" outlineLevel="0" collapsed="false">
      <c r="A5629" s="0" t="s">
        <v>12</v>
      </c>
      <c r="B5629" s="0" t="n">
        <v>1764505</v>
      </c>
      <c r="C5629" s="0" t="n">
        <v>1764525</v>
      </c>
      <c r="D5629" s="0" t="s">
        <v>18761</v>
      </c>
      <c r="E5629" s="0" t="s">
        <v>18762</v>
      </c>
      <c r="F5629" s="0" t="s">
        <v>15</v>
      </c>
      <c r="G5629" s="0" t="s">
        <v>32</v>
      </c>
      <c r="H5629" s="0" t="n">
        <v>91</v>
      </c>
      <c r="I5629" s="0" t="s">
        <v>18766</v>
      </c>
      <c r="J5629" s="0" t="s">
        <v>18767</v>
      </c>
      <c r="K5629" s="0" t="s">
        <v>18768</v>
      </c>
      <c r="L5629" s="0" t="str">
        <f aca="false">HYPERLINK("https://www.ncbi.nlm.nih.gov/nuccore/CP000058.1?report=graph&amp;tracks=[key:gene_model_track,Options:GeneOnly]&amp;mk=1764480:1764499|offset_65|444444,1764506:1764525|offset_91|00cc00,1764535:1764554|offset_120|444444,1764555:1764574|offset_140|444444&amp;v=1764279:1764774&amp;c=444444", "offset 91")</f>
        <v>offset 91</v>
      </c>
    </row>
    <row r="5630" customFormat="false" ht="12.8" hidden="false" customHeight="false" outlineLevel="0" collapsed="false">
      <c r="A5630" s="0" t="s">
        <v>12</v>
      </c>
      <c r="B5630" s="0" t="n">
        <v>1764534</v>
      </c>
      <c r="C5630" s="0" t="n">
        <v>1764554</v>
      </c>
      <c r="D5630" s="0" t="s">
        <v>18761</v>
      </c>
      <c r="E5630" s="0" t="s">
        <v>18762</v>
      </c>
      <c r="F5630" s="0" t="s">
        <v>15</v>
      </c>
      <c r="G5630" s="0" t="s">
        <v>16</v>
      </c>
      <c r="H5630" s="0" t="n">
        <v>120</v>
      </c>
      <c r="I5630" s="0" t="s">
        <v>18769</v>
      </c>
      <c r="J5630" s="0" t="s">
        <v>18770</v>
      </c>
      <c r="K5630" s="0" t="s">
        <v>18771</v>
      </c>
      <c r="L5630" s="0" t="str">
        <f aca="false">HYPERLINK("https://www.ncbi.nlm.nih.gov/nuccore/CP000058.1?report=graph&amp;tracks=[key:gene_model_track,Options:GeneOnly]&amp;mk=1764480:1764499|offset_65|444444,1764506:1764525|offset_91|444444,1764535:1764554|offset_120|00cc00,1764555:1764574|offset_140|444444&amp;v=1764279:1764774&amp;c=444444", "offset 120")</f>
        <v>offset 120</v>
      </c>
    </row>
    <row r="5631" customFormat="false" ht="12.8" hidden="false" customHeight="false" outlineLevel="0" collapsed="false">
      <c r="A5631" s="0" t="s">
        <v>12</v>
      </c>
      <c r="B5631" s="0" t="n">
        <v>1764554</v>
      </c>
      <c r="C5631" s="0" t="n">
        <v>1764574</v>
      </c>
      <c r="D5631" s="0" t="s">
        <v>18761</v>
      </c>
      <c r="E5631" s="0" t="s">
        <v>18762</v>
      </c>
      <c r="F5631" s="0" t="s">
        <v>15</v>
      </c>
      <c r="G5631" s="0" t="s">
        <v>20</v>
      </c>
      <c r="H5631" s="0" t="n">
        <v>140</v>
      </c>
      <c r="I5631" s="0" t="s">
        <v>18772</v>
      </c>
      <c r="J5631" s="0" t="s">
        <v>18773</v>
      </c>
      <c r="K5631" s="0" t="s">
        <v>18774</v>
      </c>
      <c r="L5631" s="0" t="str">
        <f aca="false">HYPERLINK("https://www.ncbi.nlm.nih.gov/nuccore/CP000058.1?report=graph&amp;tracks=[key:gene_model_track,Options:GeneOnly]&amp;mk=1764480:1764499|offset_65|444444,1764506:1764525|offset_91|444444,1764535:1764554|offset_120|444444,1764555:1764574|offset_140|00cc00&amp;v=1764279:1764774&amp;c=444444", "offset 140")</f>
        <v>offset 140</v>
      </c>
    </row>
    <row r="5632" customFormat="false" ht="12.8" hidden="false" customHeight="false" outlineLevel="0" collapsed="false">
      <c r="A5632" s="0" t="s">
        <v>12</v>
      </c>
      <c r="B5632" s="0" t="n">
        <v>1766643</v>
      </c>
      <c r="C5632" s="0" t="n">
        <v>1766663</v>
      </c>
      <c r="D5632" s="0" t="s">
        <v>18775</v>
      </c>
      <c r="E5632" s="0" t="s">
        <v>75</v>
      </c>
      <c r="F5632" s="0" t="s">
        <v>15</v>
      </c>
      <c r="G5632" s="0" t="s">
        <v>32</v>
      </c>
      <c r="H5632" s="0" t="n">
        <v>6</v>
      </c>
      <c r="I5632" s="0" t="s">
        <v>18776</v>
      </c>
      <c r="J5632" s="0" t="s">
        <v>18777</v>
      </c>
      <c r="K5632" s="0" t="s">
        <v>18778</v>
      </c>
      <c r="L5632" s="0" t="str">
        <f aca="false">HYPERLINK("https://www.ncbi.nlm.nih.gov/nuccore/CP000058.1?report=graph&amp;tracks=[key:gene_model_track,Options:GeneOnly]&amp;mk=1766644:1766663|offset_6|00cc00,1766690:1766709|offset_52|444444,1766726:1766745|offset_88|444444,1766760:1766779|offset_122|444444&amp;v=1766443:1766979&amp;c=444444", "offset 6")</f>
        <v>offset 6</v>
      </c>
    </row>
    <row r="5633" customFormat="false" ht="12.8" hidden="false" customHeight="false" outlineLevel="0" collapsed="false">
      <c r="A5633" s="0" t="s">
        <v>12</v>
      </c>
      <c r="B5633" s="0" t="n">
        <v>1766689</v>
      </c>
      <c r="C5633" s="0" t="n">
        <v>1766709</v>
      </c>
      <c r="D5633" s="0" t="s">
        <v>18775</v>
      </c>
      <c r="E5633" s="0" t="s">
        <v>75</v>
      </c>
      <c r="F5633" s="0" t="s">
        <v>15</v>
      </c>
      <c r="G5633" s="0" t="s">
        <v>36</v>
      </c>
      <c r="H5633" s="0" t="n">
        <v>52</v>
      </c>
      <c r="I5633" s="0" t="s">
        <v>18779</v>
      </c>
      <c r="J5633" s="0" t="s">
        <v>18780</v>
      </c>
      <c r="K5633" s="0" t="s">
        <v>18781</v>
      </c>
      <c r="L5633" s="0" t="str">
        <f aca="false">HYPERLINK("https://www.ncbi.nlm.nih.gov/nuccore/CP000058.1?report=graph&amp;tracks=[key:gene_model_track,Options:GeneOnly]&amp;mk=1766644:1766663|offset_6|444444,1766690:1766709|offset_52|00cc00,1766726:1766745|offset_88|444444,1766760:1766779|offset_122|444444&amp;v=1766443:1766979&amp;c=444444", "offset 52")</f>
        <v>offset 52</v>
      </c>
    </row>
    <row r="5634" customFormat="false" ht="12.8" hidden="false" customHeight="false" outlineLevel="0" collapsed="false">
      <c r="A5634" s="0" t="s">
        <v>12</v>
      </c>
      <c r="B5634" s="0" t="n">
        <v>1766725</v>
      </c>
      <c r="C5634" s="0" t="n">
        <v>1766745</v>
      </c>
      <c r="D5634" s="0" t="s">
        <v>18775</v>
      </c>
      <c r="E5634" s="0" t="s">
        <v>75</v>
      </c>
      <c r="F5634" s="0" t="s">
        <v>15</v>
      </c>
      <c r="G5634" s="0" t="s">
        <v>16</v>
      </c>
      <c r="H5634" s="0" t="n">
        <v>88</v>
      </c>
      <c r="I5634" s="0" t="s">
        <v>18782</v>
      </c>
      <c r="J5634" s="0" t="s">
        <v>18783</v>
      </c>
      <c r="K5634" s="0" t="s">
        <v>18784</v>
      </c>
      <c r="L5634" s="0" t="str">
        <f aca="false">HYPERLINK("https://www.ncbi.nlm.nih.gov/nuccore/CP000058.1?report=graph&amp;tracks=[key:gene_model_track,Options:GeneOnly]&amp;mk=1766644:1766663|offset_6|444444,1766690:1766709|offset_52|444444,1766726:1766745|offset_88|00cc00,1766760:1766779|offset_122|444444&amp;v=1766443:1766979&amp;c=444444", "offset 88")</f>
        <v>offset 88</v>
      </c>
    </row>
    <row r="5635" customFormat="false" ht="12.8" hidden="false" customHeight="false" outlineLevel="0" collapsed="false">
      <c r="A5635" s="0" t="s">
        <v>12</v>
      </c>
      <c r="B5635" s="0" t="n">
        <v>1766759</v>
      </c>
      <c r="C5635" s="0" t="n">
        <v>1766779</v>
      </c>
      <c r="D5635" s="0" t="s">
        <v>18775</v>
      </c>
      <c r="E5635" s="0" t="s">
        <v>75</v>
      </c>
      <c r="F5635" s="0" t="s">
        <v>15</v>
      </c>
      <c r="G5635" s="0" t="s">
        <v>20</v>
      </c>
      <c r="H5635" s="0" t="n">
        <v>122</v>
      </c>
      <c r="I5635" s="0" t="s">
        <v>18785</v>
      </c>
      <c r="J5635" s="0" t="s">
        <v>18786</v>
      </c>
      <c r="K5635" s="0" t="s">
        <v>18787</v>
      </c>
      <c r="L5635" s="0" t="str">
        <f aca="false">HYPERLINK("https://www.ncbi.nlm.nih.gov/nuccore/CP000058.1?report=graph&amp;tracks=[key:gene_model_track,Options:GeneOnly]&amp;mk=1766644:1766663|offset_6|444444,1766690:1766709|offset_52|444444,1766726:1766745|offset_88|444444,1766760:1766779|offset_122|00cc00&amp;v=1766443:1766979&amp;c=444444", "offset 122")</f>
        <v>offset 122</v>
      </c>
    </row>
    <row r="5636" customFormat="false" ht="12.8" hidden="false" customHeight="false" outlineLevel="0" collapsed="false">
      <c r="A5636" s="0" t="s">
        <v>12</v>
      </c>
      <c r="B5636" s="0" t="n">
        <v>1767261</v>
      </c>
      <c r="C5636" s="0" t="n">
        <v>1767281</v>
      </c>
      <c r="D5636" s="0" t="s">
        <v>18788</v>
      </c>
      <c r="E5636" s="0" t="s">
        <v>75</v>
      </c>
      <c r="F5636" s="0" t="s">
        <v>15</v>
      </c>
      <c r="G5636" s="0" t="s">
        <v>20</v>
      </c>
      <c r="H5636" s="0" t="n">
        <v>94</v>
      </c>
      <c r="I5636" s="0" t="s">
        <v>18789</v>
      </c>
      <c r="J5636" s="0" t="s">
        <v>18790</v>
      </c>
      <c r="K5636" s="0" t="s">
        <v>18791</v>
      </c>
      <c r="L5636" s="0" t="str">
        <f aca="false">HYPERLINK("https://www.ncbi.nlm.nih.gov/nuccore/CP000058.1?report=graph&amp;tracks=[key:gene_model_track,Options:GeneOnly]&amp;mk=1767262:1767281|offset_94|00cc00,1767304:1767323|offset_136|444444,1767327:1767346|offset_159|444444,1767388:1767407|offset_220|444444&amp;v=1767061:1767607&amp;c=444444", "offset 94")</f>
        <v>offset 94</v>
      </c>
    </row>
    <row r="5637" customFormat="false" ht="12.8" hidden="false" customHeight="false" outlineLevel="0" collapsed="false">
      <c r="A5637" s="0" t="s">
        <v>12</v>
      </c>
      <c r="B5637" s="0" t="n">
        <v>1767303</v>
      </c>
      <c r="C5637" s="0" t="n">
        <v>1767323</v>
      </c>
      <c r="D5637" s="0" t="s">
        <v>18788</v>
      </c>
      <c r="E5637" s="0" t="s">
        <v>75</v>
      </c>
      <c r="F5637" s="0" t="s">
        <v>15</v>
      </c>
      <c r="G5637" s="0" t="s">
        <v>20</v>
      </c>
      <c r="H5637" s="0" t="n">
        <v>136</v>
      </c>
      <c r="I5637" s="0" t="s">
        <v>18792</v>
      </c>
      <c r="J5637" s="0" t="s">
        <v>18793</v>
      </c>
      <c r="K5637" s="0" t="s">
        <v>18794</v>
      </c>
      <c r="L5637" s="0" t="str">
        <f aca="false">HYPERLINK("https://www.ncbi.nlm.nih.gov/nuccore/CP000058.1?report=graph&amp;tracks=[key:gene_model_track,Options:GeneOnly]&amp;mk=1767262:1767281|offset_94|444444,1767304:1767323|offset_136|00cc00,1767327:1767346|offset_159|444444,1767388:1767407|offset_220|444444&amp;v=1767061:1767607&amp;c=444444", "offset 136")</f>
        <v>offset 136</v>
      </c>
    </row>
    <row r="5638" customFormat="false" ht="12.8" hidden="false" customHeight="false" outlineLevel="0" collapsed="false">
      <c r="A5638" s="0" t="s">
        <v>12</v>
      </c>
      <c r="B5638" s="0" t="n">
        <v>1767326</v>
      </c>
      <c r="C5638" s="0" t="n">
        <v>1767346</v>
      </c>
      <c r="D5638" s="0" t="s">
        <v>18788</v>
      </c>
      <c r="E5638" s="0" t="s">
        <v>75</v>
      </c>
      <c r="F5638" s="0" t="s">
        <v>15</v>
      </c>
      <c r="G5638" s="0" t="s">
        <v>16</v>
      </c>
      <c r="H5638" s="0" t="n">
        <v>159</v>
      </c>
      <c r="I5638" s="0" t="s">
        <v>18795</v>
      </c>
      <c r="J5638" s="0" t="s">
        <v>18796</v>
      </c>
      <c r="K5638" s="0" t="s">
        <v>18797</v>
      </c>
      <c r="L5638" s="0" t="str">
        <f aca="false">HYPERLINK("https://www.ncbi.nlm.nih.gov/nuccore/CP000058.1?report=graph&amp;tracks=[key:gene_model_track,Options:GeneOnly]&amp;mk=1767262:1767281|offset_94|444444,1767304:1767323|offset_136|444444,1767327:1767346|offset_159|00cc00,1767388:1767407|offset_220|444444&amp;v=1767061:1767607&amp;c=444444", "offset 159")</f>
        <v>offset 159</v>
      </c>
    </row>
    <row r="5639" customFormat="false" ht="12.8" hidden="false" customHeight="false" outlineLevel="0" collapsed="false">
      <c r="A5639" s="0" t="s">
        <v>12</v>
      </c>
      <c r="B5639" s="0" t="n">
        <v>1767387</v>
      </c>
      <c r="C5639" s="0" t="n">
        <v>1767407</v>
      </c>
      <c r="D5639" s="0" t="s">
        <v>18788</v>
      </c>
      <c r="E5639" s="0" t="s">
        <v>75</v>
      </c>
      <c r="F5639" s="0" t="s">
        <v>15</v>
      </c>
      <c r="G5639" s="0" t="s">
        <v>32</v>
      </c>
      <c r="H5639" s="0" t="n">
        <v>220</v>
      </c>
      <c r="I5639" s="0" t="s">
        <v>18798</v>
      </c>
      <c r="J5639" s="0" t="s">
        <v>18799</v>
      </c>
      <c r="K5639" s="0" t="s">
        <v>18800</v>
      </c>
      <c r="L5639" s="0" t="str">
        <f aca="false">HYPERLINK("https://www.ncbi.nlm.nih.gov/nuccore/CP000058.1?report=graph&amp;tracks=[key:gene_model_track,Options:GeneOnly]&amp;mk=1767262:1767281|offset_94|444444,1767304:1767323|offset_136|444444,1767327:1767346|offset_159|444444,1767388:1767407|offset_220|00cc00&amp;v=1767061:1767607&amp;c=444444", "offset 220")</f>
        <v>offset 220</v>
      </c>
    </row>
    <row r="5640" customFormat="false" ht="12.8" hidden="false" customHeight="false" outlineLevel="0" collapsed="false">
      <c r="A5640" s="0" t="s">
        <v>12</v>
      </c>
      <c r="B5640" s="0" t="n">
        <v>1769704</v>
      </c>
      <c r="C5640" s="0" t="n">
        <v>1769724</v>
      </c>
      <c r="D5640" s="0" t="s">
        <v>18801</v>
      </c>
      <c r="E5640" s="0" t="s">
        <v>75</v>
      </c>
      <c r="F5640" s="0" t="s">
        <v>90</v>
      </c>
      <c r="G5640" s="0" t="s">
        <v>16</v>
      </c>
      <c r="H5640" s="0" t="n">
        <v>41</v>
      </c>
      <c r="I5640" s="0" t="s">
        <v>18802</v>
      </c>
      <c r="J5640" s="0" t="s">
        <v>18803</v>
      </c>
      <c r="K5640" s="0" t="s">
        <v>18804</v>
      </c>
      <c r="L5640" s="0" t="str">
        <f aca="false">HYPERLINK("https://www.ncbi.nlm.nih.gov/nuccore/CP000058.1?report=graph&amp;tracks=[key:gene_model_track,Options:GeneOnly]&amp;mk=1769705:1769724|offset_41|00cc00,1769673:1769692|offset_73|444444,1769638:1769657|offset_108|444444,1769614:1769633|offset_132|444444&amp;v=1769504:1769833&amp;c=444444", "offset 41")</f>
        <v>offset 41</v>
      </c>
    </row>
    <row r="5641" customFormat="false" ht="12.8" hidden="false" customHeight="false" outlineLevel="0" collapsed="false">
      <c r="A5641" s="0" t="s">
        <v>12</v>
      </c>
      <c r="B5641" s="0" t="n">
        <v>1769672</v>
      </c>
      <c r="C5641" s="0" t="n">
        <v>1769692</v>
      </c>
      <c r="D5641" s="0" t="s">
        <v>18801</v>
      </c>
      <c r="E5641" s="0" t="s">
        <v>75</v>
      </c>
      <c r="F5641" s="0" t="s">
        <v>90</v>
      </c>
      <c r="G5641" s="0" t="s">
        <v>16</v>
      </c>
      <c r="H5641" s="0" t="n">
        <v>73</v>
      </c>
      <c r="I5641" s="0" t="s">
        <v>18805</v>
      </c>
      <c r="J5641" s="0" t="s">
        <v>18806</v>
      </c>
      <c r="K5641" s="0" t="s">
        <v>18807</v>
      </c>
      <c r="L5641" s="0" t="str">
        <f aca="false">HYPERLINK("https://www.ncbi.nlm.nih.gov/nuccore/CP000058.1?report=graph&amp;tracks=[key:gene_model_track,Options:GeneOnly]&amp;mk=1769705:1769724|offset_41|444444,1769673:1769692|offset_73|00cc00,1769638:1769657|offset_108|444444,1769614:1769633|offset_132|444444&amp;v=1769504:1769833&amp;c=444444", "offset 73")</f>
        <v>offset 73</v>
      </c>
    </row>
    <row r="5642" customFormat="false" ht="12.8" hidden="false" customHeight="false" outlineLevel="0" collapsed="false">
      <c r="A5642" s="0" t="s">
        <v>12</v>
      </c>
      <c r="B5642" s="0" t="n">
        <v>1769637</v>
      </c>
      <c r="C5642" s="0" t="n">
        <v>1769657</v>
      </c>
      <c r="D5642" s="0" t="s">
        <v>18801</v>
      </c>
      <c r="E5642" s="0" t="s">
        <v>75</v>
      </c>
      <c r="F5642" s="0" t="s">
        <v>90</v>
      </c>
      <c r="G5642" s="0" t="s">
        <v>36</v>
      </c>
      <c r="H5642" s="0" t="n">
        <v>108</v>
      </c>
      <c r="I5642" s="0" t="s">
        <v>18808</v>
      </c>
      <c r="J5642" s="0" t="s">
        <v>18809</v>
      </c>
      <c r="K5642" s="0" t="s">
        <v>18810</v>
      </c>
      <c r="L5642" s="0" t="str">
        <f aca="false">HYPERLINK("https://www.ncbi.nlm.nih.gov/nuccore/CP000058.1?report=graph&amp;tracks=[key:gene_model_track,Options:GeneOnly]&amp;mk=1769705:1769724|offset_41|444444,1769673:1769692|offset_73|444444,1769638:1769657|offset_108|00cc00,1769614:1769633|offset_132|444444&amp;v=1769504:1769833&amp;c=444444", "offset 108")</f>
        <v>offset 108</v>
      </c>
    </row>
    <row r="5643" customFormat="false" ht="12.8" hidden="false" customHeight="false" outlineLevel="0" collapsed="false">
      <c r="A5643" s="0" t="s">
        <v>12</v>
      </c>
      <c r="B5643" s="0" t="n">
        <v>1769613</v>
      </c>
      <c r="C5643" s="0" t="n">
        <v>1769633</v>
      </c>
      <c r="D5643" s="0" t="s">
        <v>18801</v>
      </c>
      <c r="E5643" s="0" t="s">
        <v>75</v>
      </c>
      <c r="F5643" s="0" t="s">
        <v>90</v>
      </c>
      <c r="G5643" s="0" t="s">
        <v>16</v>
      </c>
      <c r="H5643" s="0" t="n">
        <v>132</v>
      </c>
      <c r="I5643" s="0" t="s">
        <v>18811</v>
      </c>
      <c r="J5643" s="0" t="s">
        <v>18812</v>
      </c>
      <c r="K5643" s="0" t="s">
        <v>18813</v>
      </c>
      <c r="L5643" s="0" t="str">
        <f aca="false">HYPERLINK("https://www.ncbi.nlm.nih.gov/nuccore/CP000058.1?report=graph&amp;tracks=[key:gene_model_track,Options:GeneOnly]&amp;mk=1769705:1769724|offset_41|444444,1769673:1769692|offset_73|444444,1769638:1769657|offset_108|444444,1769614:1769633|offset_132|00cc00&amp;v=1769504:1769833&amp;c=444444", "offset 132")</f>
        <v>offset 132</v>
      </c>
    </row>
    <row r="5644" customFormat="false" ht="12.8" hidden="false" customHeight="false" outlineLevel="0" collapsed="false">
      <c r="A5644" s="0" t="s">
        <v>12</v>
      </c>
      <c r="B5644" s="0" t="n">
        <v>1770033</v>
      </c>
      <c r="C5644" s="0" t="n">
        <v>1770053</v>
      </c>
      <c r="D5644" s="0" t="s">
        <v>18814</v>
      </c>
      <c r="E5644" s="0" t="s">
        <v>18815</v>
      </c>
      <c r="F5644" s="0" t="s">
        <v>15</v>
      </c>
      <c r="G5644" s="0" t="s">
        <v>20</v>
      </c>
      <c r="H5644" s="0" t="n">
        <v>18</v>
      </c>
      <c r="I5644" s="0" t="s">
        <v>18816</v>
      </c>
      <c r="J5644" s="0" t="s">
        <v>18817</v>
      </c>
      <c r="K5644" s="0" t="s">
        <v>18818</v>
      </c>
      <c r="L5644" s="0" t="str">
        <f aca="false">HYPERLINK("https://www.ncbi.nlm.nih.gov/nuccore/CP000058.1?report=graph&amp;tracks=[key:gene_model_track,Options:GeneOnly]&amp;mk=1770034:1770053|offset_18|00cc00,1770061:1770080|offset_45|444444,1770083:1770102|offset_67|444444,1770110:1770129|offset_94|444444&amp;v=1769833:1770329&amp;c=444444", "offset 18")</f>
        <v>offset 18</v>
      </c>
    </row>
    <row r="5645" customFormat="false" ht="12.8" hidden="false" customHeight="false" outlineLevel="0" collapsed="false">
      <c r="A5645" s="0" t="s">
        <v>12</v>
      </c>
      <c r="B5645" s="0" t="n">
        <v>1770060</v>
      </c>
      <c r="C5645" s="0" t="n">
        <v>1770080</v>
      </c>
      <c r="D5645" s="0" t="s">
        <v>18814</v>
      </c>
      <c r="E5645" s="0" t="s">
        <v>18815</v>
      </c>
      <c r="F5645" s="0" t="s">
        <v>15</v>
      </c>
      <c r="G5645" s="0" t="s">
        <v>16</v>
      </c>
      <c r="H5645" s="0" t="n">
        <v>45</v>
      </c>
      <c r="I5645" s="0" t="s">
        <v>18819</v>
      </c>
      <c r="J5645" s="0" t="s">
        <v>18820</v>
      </c>
      <c r="K5645" s="0" t="s">
        <v>18821</v>
      </c>
      <c r="L5645" s="0" t="str">
        <f aca="false">HYPERLINK("https://www.ncbi.nlm.nih.gov/nuccore/CP000058.1?report=graph&amp;tracks=[key:gene_model_track,Options:GeneOnly]&amp;mk=1770034:1770053|offset_18|444444,1770061:1770080|offset_45|00cc00,1770083:1770102|offset_67|444444,1770110:1770129|offset_94|444444&amp;v=1769833:1770329&amp;c=444444", "offset 45")</f>
        <v>offset 45</v>
      </c>
    </row>
    <row r="5646" customFormat="false" ht="12.8" hidden="false" customHeight="false" outlineLevel="0" collapsed="false">
      <c r="A5646" s="0" t="s">
        <v>12</v>
      </c>
      <c r="B5646" s="0" t="n">
        <v>1770082</v>
      </c>
      <c r="C5646" s="0" t="n">
        <v>1770102</v>
      </c>
      <c r="D5646" s="0" t="s">
        <v>18814</v>
      </c>
      <c r="E5646" s="0" t="s">
        <v>18815</v>
      </c>
      <c r="F5646" s="0" t="s">
        <v>15</v>
      </c>
      <c r="G5646" s="0" t="s">
        <v>32</v>
      </c>
      <c r="H5646" s="0" t="n">
        <v>67</v>
      </c>
      <c r="I5646" s="0" t="s">
        <v>18822</v>
      </c>
      <c r="J5646" s="0" t="s">
        <v>18823</v>
      </c>
      <c r="K5646" s="0" t="s">
        <v>18824</v>
      </c>
      <c r="L5646" s="0" t="str">
        <f aca="false">HYPERLINK("https://www.ncbi.nlm.nih.gov/nuccore/CP000058.1?report=graph&amp;tracks=[key:gene_model_track,Options:GeneOnly]&amp;mk=1770034:1770053|offset_18|444444,1770061:1770080|offset_45|444444,1770083:1770102|offset_67|00cc00,1770110:1770129|offset_94|444444&amp;v=1769833:1770329&amp;c=444444", "offset 67")</f>
        <v>offset 67</v>
      </c>
    </row>
    <row r="5647" customFormat="false" ht="12.8" hidden="false" customHeight="false" outlineLevel="0" collapsed="false">
      <c r="A5647" s="0" t="s">
        <v>12</v>
      </c>
      <c r="B5647" s="0" t="n">
        <v>1770109</v>
      </c>
      <c r="C5647" s="0" t="n">
        <v>1770129</v>
      </c>
      <c r="D5647" s="0" t="s">
        <v>18814</v>
      </c>
      <c r="E5647" s="0" t="s">
        <v>18815</v>
      </c>
      <c r="F5647" s="0" t="s">
        <v>15</v>
      </c>
      <c r="G5647" s="0" t="s">
        <v>20</v>
      </c>
      <c r="H5647" s="0" t="n">
        <v>94</v>
      </c>
      <c r="I5647" s="0" t="s">
        <v>18825</v>
      </c>
      <c r="J5647" s="0" t="s">
        <v>18826</v>
      </c>
      <c r="K5647" s="0" t="s">
        <v>18827</v>
      </c>
      <c r="L5647" s="0" t="str">
        <f aca="false">HYPERLINK("https://www.ncbi.nlm.nih.gov/nuccore/CP000058.1?report=graph&amp;tracks=[key:gene_model_track,Options:GeneOnly]&amp;mk=1770034:1770053|offset_18|444444,1770061:1770080|offset_45|444444,1770083:1770102|offset_67|444444,1770110:1770129|offset_94|00cc00&amp;v=1769833:1770329&amp;c=444444", "offset 94")</f>
        <v>offset 94</v>
      </c>
    </row>
    <row r="5648" customFormat="false" ht="12.8" hidden="false" customHeight="false" outlineLevel="0" collapsed="false">
      <c r="A5648" s="0" t="s">
        <v>12</v>
      </c>
      <c r="B5648" s="0" t="n">
        <v>1772241</v>
      </c>
      <c r="C5648" s="0" t="n">
        <v>1772261</v>
      </c>
      <c r="D5648" s="0" t="s">
        <v>18828</v>
      </c>
      <c r="E5648" s="0" t="s">
        <v>75</v>
      </c>
      <c r="F5648" s="0" t="s">
        <v>15</v>
      </c>
      <c r="G5648" s="0" t="s">
        <v>32</v>
      </c>
      <c r="H5648" s="0" t="n">
        <v>13</v>
      </c>
      <c r="I5648" s="0" t="s">
        <v>18829</v>
      </c>
      <c r="J5648" s="0" t="s">
        <v>18830</v>
      </c>
      <c r="K5648" s="0" t="s">
        <v>18831</v>
      </c>
      <c r="L5648" s="0" t="str">
        <f aca="false">HYPERLINK("https://www.ncbi.nlm.nih.gov/nuccore/CP000058.1?report=graph&amp;tracks=[key:gene_model_track,Options:GeneOnly]&amp;mk=1772242:1772261|offset_13|00cc00,1772277:1772296|offset_48|444444,1772329:1772348|offset_100|444444,1772358:1772377|offset_129|444444&amp;v=1772041:1772577&amp;c=444444", "offset 13")</f>
        <v>offset 13</v>
      </c>
    </row>
    <row r="5649" customFormat="false" ht="12.8" hidden="false" customHeight="false" outlineLevel="0" collapsed="false">
      <c r="A5649" s="0" t="s">
        <v>12</v>
      </c>
      <c r="B5649" s="0" t="n">
        <v>1772276</v>
      </c>
      <c r="C5649" s="0" t="n">
        <v>1772296</v>
      </c>
      <c r="D5649" s="0" t="s">
        <v>18828</v>
      </c>
      <c r="E5649" s="0" t="s">
        <v>75</v>
      </c>
      <c r="F5649" s="0" t="s">
        <v>15</v>
      </c>
      <c r="G5649" s="0" t="s">
        <v>32</v>
      </c>
      <c r="H5649" s="0" t="n">
        <v>48</v>
      </c>
      <c r="I5649" s="0" t="s">
        <v>18832</v>
      </c>
      <c r="J5649" s="0" t="s">
        <v>18833</v>
      </c>
      <c r="K5649" s="0" t="s">
        <v>18834</v>
      </c>
      <c r="L5649" s="0" t="str">
        <f aca="false">HYPERLINK("https://www.ncbi.nlm.nih.gov/nuccore/CP000058.1?report=graph&amp;tracks=[key:gene_model_track,Options:GeneOnly]&amp;mk=1772242:1772261|offset_13|444444,1772277:1772296|offset_48|00cc00,1772329:1772348|offset_100|444444,1772358:1772377|offset_129|444444&amp;v=1772041:1772577&amp;c=444444", "offset 48")</f>
        <v>offset 48</v>
      </c>
    </row>
    <row r="5650" customFormat="false" ht="12.8" hidden="false" customHeight="false" outlineLevel="0" collapsed="false">
      <c r="A5650" s="0" t="s">
        <v>12</v>
      </c>
      <c r="B5650" s="0" t="n">
        <v>1772328</v>
      </c>
      <c r="C5650" s="0" t="n">
        <v>1772348</v>
      </c>
      <c r="D5650" s="0" t="s">
        <v>18828</v>
      </c>
      <c r="E5650" s="0" t="s">
        <v>75</v>
      </c>
      <c r="F5650" s="0" t="s">
        <v>15</v>
      </c>
      <c r="G5650" s="0" t="s">
        <v>20</v>
      </c>
      <c r="H5650" s="0" t="n">
        <v>100</v>
      </c>
      <c r="I5650" s="0" t="s">
        <v>18835</v>
      </c>
      <c r="J5650" s="0" t="s">
        <v>18836</v>
      </c>
      <c r="K5650" s="0" t="s">
        <v>18837</v>
      </c>
      <c r="L5650" s="0" t="str">
        <f aca="false">HYPERLINK("https://www.ncbi.nlm.nih.gov/nuccore/CP000058.1?report=graph&amp;tracks=[key:gene_model_track,Options:GeneOnly]&amp;mk=1772242:1772261|offset_13|444444,1772277:1772296|offset_48|444444,1772329:1772348|offset_100|00cc00,1772358:1772377|offset_129|444444&amp;v=1772041:1772577&amp;c=444444", "offset 100")</f>
        <v>offset 100</v>
      </c>
    </row>
    <row r="5651" customFormat="false" ht="12.8" hidden="false" customHeight="false" outlineLevel="0" collapsed="false">
      <c r="A5651" s="0" t="s">
        <v>12</v>
      </c>
      <c r="B5651" s="0" t="n">
        <v>1772357</v>
      </c>
      <c r="C5651" s="0" t="n">
        <v>1772377</v>
      </c>
      <c r="D5651" s="0" t="s">
        <v>18828</v>
      </c>
      <c r="E5651" s="0" t="s">
        <v>75</v>
      </c>
      <c r="F5651" s="0" t="s">
        <v>15</v>
      </c>
      <c r="G5651" s="0" t="s">
        <v>16</v>
      </c>
      <c r="H5651" s="0" t="n">
        <v>129</v>
      </c>
      <c r="I5651" s="0" t="s">
        <v>18838</v>
      </c>
      <c r="J5651" s="0" t="s">
        <v>18839</v>
      </c>
      <c r="K5651" s="0" t="s">
        <v>18840</v>
      </c>
      <c r="L5651" s="0" t="str">
        <f aca="false">HYPERLINK("https://www.ncbi.nlm.nih.gov/nuccore/CP000058.1?report=graph&amp;tracks=[key:gene_model_track,Options:GeneOnly]&amp;mk=1772242:1772261|offset_13|444444,1772277:1772296|offset_48|444444,1772329:1772348|offset_100|444444,1772358:1772377|offset_129|00cc00&amp;v=1772041:1772577&amp;c=444444", "offset 129")</f>
        <v>offset 129</v>
      </c>
    </row>
    <row r="5652" customFormat="false" ht="12.8" hidden="false" customHeight="false" outlineLevel="0" collapsed="false">
      <c r="A5652" s="0" t="s">
        <v>12</v>
      </c>
      <c r="B5652" s="0" t="n">
        <v>1773964</v>
      </c>
      <c r="C5652" s="0" t="n">
        <v>1773984</v>
      </c>
      <c r="D5652" s="0" t="s">
        <v>18841</v>
      </c>
      <c r="E5652" s="0" t="s">
        <v>75</v>
      </c>
      <c r="F5652" s="0" t="s">
        <v>15</v>
      </c>
      <c r="G5652" s="0" t="s">
        <v>20</v>
      </c>
      <c r="H5652" s="0" t="n">
        <v>25</v>
      </c>
      <c r="I5652" s="0" t="s">
        <v>18842</v>
      </c>
      <c r="J5652" s="0" t="s">
        <v>18843</v>
      </c>
      <c r="K5652" s="0" t="s">
        <v>18844</v>
      </c>
      <c r="L5652" s="0" t="str">
        <f aca="false">HYPERLINK("https://www.ncbi.nlm.nih.gov/nuccore/CP000058.1?report=graph&amp;tracks=[key:gene_model_track,Options:GeneOnly]&amp;mk=1773965:1773984|offset_25|00cc00,1773995:1774014|offset_55|444444,1774035:1774054|offset_95|444444,1774061:1774080|offset_121|444444&amp;v=1773764:1774280&amp;c=444444", "offset 25")</f>
        <v>offset 25</v>
      </c>
    </row>
    <row r="5653" customFormat="false" ht="12.8" hidden="false" customHeight="false" outlineLevel="0" collapsed="false">
      <c r="A5653" s="0" t="s">
        <v>12</v>
      </c>
      <c r="B5653" s="0" t="n">
        <v>1773994</v>
      </c>
      <c r="C5653" s="0" t="n">
        <v>1774014</v>
      </c>
      <c r="D5653" s="0" t="s">
        <v>18841</v>
      </c>
      <c r="E5653" s="0" t="s">
        <v>75</v>
      </c>
      <c r="F5653" s="0" t="s">
        <v>15</v>
      </c>
      <c r="G5653" s="0" t="s">
        <v>20</v>
      </c>
      <c r="H5653" s="0" t="n">
        <v>55</v>
      </c>
      <c r="I5653" s="0" t="s">
        <v>18845</v>
      </c>
      <c r="J5653" s="0" t="s">
        <v>18846</v>
      </c>
      <c r="K5653" s="0" t="s">
        <v>18847</v>
      </c>
      <c r="L5653" s="0" t="str">
        <f aca="false">HYPERLINK("https://www.ncbi.nlm.nih.gov/nuccore/CP000058.1?report=graph&amp;tracks=[key:gene_model_track,Options:GeneOnly]&amp;mk=1773965:1773984|offset_25|444444,1773995:1774014|offset_55|00cc00,1774035:1774054|offset_95|444444,1774061:1774080|offset_121|444444&amp;v=1773764:1774280&amp;c=444444", "offset 55")</f>
        <v>offset 55</v>
      </c>
    </row>
    <row r="5654" customFormat="false" ht="12.8" hidden="false" customHeight="false" outlineLevel="0" collapsed="false">
      <c r="A5654" s="0" t="s">
        <v>12</v>
      </c>
      <c r="B5654" s="0" t="n">
        <v>1774034</v>
      </c>
      <c r="C5654" s="0" t="n">
        <v>1774054</v>
      </c>
      <c r="D5654" s="0" t="s">
        <v>18841</v>
      </c>
      <c r="E5654" s="0" t="s">
        <v>75</v>
      </c>
      <c r="F5654" s="0" t="s">
        <v>15</v>
      </c>
      <c r="G5654" s="0" t="s">
        <v>36</v>
      </c>
      <c r="H5654" s="0" t="n">
        <v>95</v>
      </c>
      <c r="I5654" s="0" t="s">
        <v>18848</v>
      </c>
      <c r="J5654" s="0" t="s">
        <v>18849</v>
      </c>
      <c r="K5654" s="0" t="s">
        <v>18850</v>
      </c>
      <c r="L5654" s="0" t="str">
        <f aca="false">HYPERLINK("https://www.ncbi.nlm.nih.gov/nuccore/CP000058.1?report=graph&amp;tracks=[key:gene_model_track,Options:GeneOnly]&amp;mk=1773965:1773984|offset_25|444444,1773995:1774014|offset_55|444444,1774035:1774054|offset_95|00cc00,1774061:1774080|offset_121|444444&amp;v=1773764:1774280&amp;c=444444", "offset 95")</f>
        <v>offset 95</v>
      </c>
    </row>
    <row r="5655" customFormat="false" ht="12.8" hidden="false" customHeight="false" outlineLevel="0" collapsed="false">
      <c r="A5655" s="0" t="s">
        <v>12</v>
      </c>
      <c r="B5655" s="0" t="n">
        <v>1774060</v>
      </c>
      <c r="C5655" s="0" t="n">
        <v>1774080</v>
      </c>
      <c r="D5655" s="0" t="s">
        <v>18841</v>
      </c>
      <c r="E5655" s="0" t="s">
        <v>75</v>
      </c>
      <c r="F5655" s="0" t="s">
        <v>15</v>
      </c>
      <c r="G5655" s="0" t="s">
        <v>32</v>
      </c>
      <c r="H5655" s="0" t="n">
        <v>121</v>
      </c>
      <c r="I5655" s="0" t="s">
        <v>18851</v>
      </c>
      <c r="J5655" s="0" t="s">
        <v>18852</v>
      </c>
      <c r="K5655" s="0" t="s">
        <v>18853</v>
      </c>
      <c r="L5655" s="0" t="str">
        <f aca="false">HYPERLINK("https://www.ncbi.nlm.nih.gov/nuccore/CP000058.1?report=graph&amp;tracks=[key:gene_model_track,Options:GeneOnly]&amp;mk=1773965:1773984|offset_25|444444,1773995:1774014|offset_55|444444,1774035:1774054|offset_95|444444,1774061:1774080|offset_121|00cc00&amp;v=1773764:1774280&amp;c=444444", "offset 121")</f>
        <v>offset 121</v>
      </c>
    </row>
    <row r="5656" customFormat="false" ht="12.8" hidden="false" customHeight="false" outlineLevel="0" collapsed="false">
      <c r="A5656" s="0" t="s">
        <v>12</v>
      </c>
      <c r="B5656" s="0" t="n">
        <v>1782535</v>
      </c>
      <c r="C5656" s="0" t="n">
        <v>1782555</v>
      </c>
      <c r="D5656" s="0" t="s">
        <v>18854</v>
      </c>
      <c r="E5656" s="0" t="s">
        <v>75</v>
      </c>
      <c r="F5656" s="0" t="s">
        <v>90</v>
      </c>
      <c r="G5656" s="0" t="s">
        <v>36</v>
      </c>
      <c r="H5656" s="0" t="n">
        <v>11</v>
      </c>
      <c r="I5656" s="0" t="s">
        <v>18855</v>
      </c>
      <c r="J5656" s="0" t="s">
        <v>18856</v>
      </c>
      <c r="K5656" s="0" t="s">
        <v>18857</v>
      </c>
      <c r="L5656" s="0" t="str">
        <f aca="false">HYPERLINK("https://www.ncbi.nlm.nih.gov/nuccore/CP000058.1?report=graph&amp;tracks=[key:gene_model_track,Options:GeneOnly]&amp;mk=1782536:1782555|offset_11|00cc00,1782503:1782522|offset_44|444444,1782482:1782501|offset_65|444444,1782457:1782476|offset_90|444444&amp;v=1782335:1782676&amp;c=444444", "offset 11")</f>
        <v>offset 11</v>
      </c>
    </row>
    <row r="5657" customFormat="false" ht="12.8" hidden="false" customHeight="false" outlineLevel="0" collapsed="false">
      <c r="A5657" s="0" t="s">
        <v>12</v>
      </c>
      <c r="B5657" s="0" t="n">
        <v>1782502</v>
      </c>
      <c r="C5657" s="0" t="n">
        <v>1782522</v>
      </c>
      <c r="D5657" s="0" t="s">
        <v>18854</v>
      </c>
      <c r="E5657" s="0" t="s">
        <v>75</v>
      </c>
      <c r="F5657" s="0" t="s">
        <v>90</v>
      </c>
      <c r="G5657" s="0" t="s">
        <v>16</v>
      </c>
      <c r="H5657" s="0" t="n">
        <v>44</v>
      </c>
      <c r="I5657" s="0" t="s">
        <v>18858</v>
      </c>
      <c r="J5657" s="0" t="s">
        <v>18859</v>
      </c>
      <c r="K5657" s="0" t="s">
        <v>18860</v>
      </c>
      <c r="L5657" s="0" t="str">
        <f aca="false">HYPERLINK("https://www.ncbi.nlm.nih.gov/nuccore/CP000058.1?report=graph&amp;tracks=[key:gene_model_track,Options:GeneOnly]&amp;mk=1782536:1782555|offset_11|444444,1782503:1782522|offset_44|00cc00,1782482:1782501|offset_65|444444,1782457:1782476|offset_90|444444&amp;v=1782335:1782676&amp;c=444444", "offset 44")</f>
        <v>offset 44</v>
      </c>
    </row>
    <row r="5658" customFormat="false" ht="12.8" hidden="false" customHeight="false" outlineLevel="0" collapsed="false">
      <c r="A5658" s="0" t="s">
        <v>12</v>
      </c>
      <c r="B5658" s="0" t="n">
        <v>1782481</v>
      </c>
      <c r="C5658" s="0" t="n">
        <v>1782501</v>
      </c>
      <c r="D5658" s="0" t="s">
        <v>18854</v>
      </c>
      <c r="E5658" s="0" t="s">
        <v>75</v>
      </c>
      <c r="F5658" s="0" t="s">
        <v>90</v>
      </c>
      <c r="G5658" s="0" t="s">
        <v>32</v>
      </c>
      <c r="H5658" s="0" t="n">
        <v>65</v>
      </c>
      <c r="I5658" s="0" t="s">
        <v>18861</v>
      </c>
      <c r="J5658" s="0" t="s">
        <v>18862</v>
      </c>
      <c r="K5658" s="0" t="s">
        <v>18863</v>
      </c>
      <c r="L5658" s="0" t="str">
        <f aca="false">HYPERLINK("https://www.ncbi.nlm.nih.gov/nuccore/CP000058.1?report=graph&amp;tracks=[key:gene_model_track,Options:GeneOnly]&amp;mk=1782536:1782555|offset_11|444444,1782503:1782522|offset_44|444444,1782482:1782501|offset_65|00cc00,1782457:1782476|offset_90|444444&amp;v=1782335:1782676&amp;c=444444", "offset 65")</f>
        <v>offset 65</v>
      </c>
    </row>
    <row r="5659" customFormat="false" ht="12.8" hidden="false" customHeight="false" outlineLevel="0" collapsed="false">
      <c r="A5659" s="0" t="s">
        <v>12</v>
      </c>
      <c r="B5659" s="0" t="n">
        <v>1782456</v>
      </c>
      <c r="C5659" s="0" t="n">
        <v>1782476</v>
      </c>
      <c r="D5659" s="0" t="s">
        <v>18854</v>
      </c>
      <c r="E5659" s="0" t="s">
        <v>75</v>
      </c>
      <c r="F5659" s="0" t="s">
        <v>90</v>
      </c>
      <c r="G5659" s="0" t="s">
        <v>16</v>
      </c>
      <c r="H5659" s="0" t="n">
        <v>90</v>
      </c>
      <c r="I5659" s="0" t="s">
        <v>18864</v>
      </c>
      <c r="J5659" s="0" t="s">
        <v>18865</v>
      </c>
      <c r="K5659" s="0" t="s">
        <v>18866</v>
      </c>
      <c r="L5659" s="0" t="str">
        <f aca="false">HYPERLINK("https://www.ncbi.nlm.nih.gov/nuccore/CP000058.1?report=graph&amp;tracks=[key:gene_model_track,Options:GeneOnly]&amp;mk=1782536:1782555|offset_11|444444,1782503:1782522|offset_44|444444,1782482:1782501|offset_65|444444,1782457:1782476|offset_90|00cc00&amp;v=1782335:1782676&amp;c=444444", "offset 90")</f>
        <v>offset 90</v>
      </c>
    </row>
    <row r="5660" customFormat="false" ht="12.8" hidden="false" customHeight="false" outlineLevel="0" collapsed="false">
      <c r="A5660" s="0" t="s">
        <v>12</v>
      </c>
      <c r="B5660" s="0" t="n">
        <v>1783469</v>
      </c>
      <c r="C5660" s="0" t="n">
        <v>1783489</v>
      </c>
      <c r="D5660" s="0" t="s">
        <v>18867</v>
      </c>
      <c r="E5660" s="0" t="s">
        <v>75</v>
      </c>
      <c r="F5660" s="0" t="s">
        <v>90</v>
      </c>
      <c r="G5660" s="0" t="s">
        <v>36</v>
      </c>
      <c r="H5660" s="0" t="n">
        <v>756</v>
      </c>
      <c r="I5660" s="0" t="s">
        <v>18868</v>
      </c>
      <c r="J5660" s="0" t="s">
        <v>18869</v>
      </c>
      <c r="K5660" s="0" t="s">
        <v>18870</v>
      </c>
      <c r="L5660" s="0" t="str">
        <f aca="false">HYPERLINK("https://www.ncbi.nlm.nih.gov/nuccore/CP000058.1?report=graph&amp;tracks=[key:gene_model_track,Options:GeneOnly]&amp;mk=1783470:1783489|offset_756|00cc00&amp;v=1783269:1783689&amp;c=444444", "offset 756")</f>
        <v>offset 756</v>
      </c>
    </row>
    <row r="5661" customFormat="false" ht="12.8" hidden="false" customHeight="false" outlineLevel="0" collapsed="false">
      <c r="A5661" s="0" t="s">
        <v>12</v>
      </c>
      <c r="B5661" s="0" t="n">
        <v>1785356</v>
      </c>
      <c r="C5661" s="0" t="n">
        <v>1785376</v>
      </c>
      <c r="D5661" s="0" t="s">
        <v>18871</v>
      </c>
      <c r="E5661" s="0" t="s">
        <v>75</v>
      </c>
      <c r="F5661" s="0" t="s">
        <v>90</v>
      </c>
      <c r="G5661" s="0" t="s">
        <v>16</v>
      </c>
      <c r="H5661" s="0" t="n">
        <v>7</v>
      </c>
      <c r="I5661" s="0" t="s">
        <v>18872</v>
      </c>
      <c r="J5661" s="0" t="s">
        <v>18873</v>
      </c>
      <c r="K5661" s="0" t="s">
        <v>18874</v>
      </c>
      <c r="L5661" s="0" t="str">
        <f aca="false">HYPERLINK("https://www.ncbi.nlm.nih.gov/nuccore/CP000058.1?report=graph&amp;tracks=[key:gene_model_track,Options:GeneOnly]&amp;mk=1785357:1785376|offset_7|00cc00,1785333:1785352|offset_31|444444,1785309:1785328|offset_55|444444,1785286:1785305|offset_78|444444&amp;v=1785156:1785505&amp;c=444444", "offset 7")</f>
        <v>offset 7</v>
      </c>
    </row>
    <row r="5662" customFormat="false" ht="12.8" hidden="false" customHeight="false" outlineLevel="0" collapsed="false">
      <c r="A5662" s="0" t="s">
        <v>12</v>
      </c>
      <c r="B5662" s="0" t="n">
        <v>1785332</v>
      </c>
      <c r="C5662" s="0" t="n">
        <v>1785352</v>
      </c>
      <c r="D5662" s="0" t="s">
        <v>18871</v>
      </c>
      <c r="E5662" s="0" t="s">
        <v>75</v>
      </c>
      <c r="F5662" s="0" t="s">
        <v>90</v>
      </c>
      <c r="G5662" s="0" t="s">
        <v>36</v>
      </c>
      <c r="H5662" s="0" t="n">
        <v>31</v>
      </c>
      <c r="I5662" s="0" t="s">
        <v>18875</v>
      </c>
      <c r="J5662" s="0" t="s">
        <v>18876</v>
      </c>
      <c r="K5662" s="0" t="s">
        <v>18877</v>
      </c>
      <c r="L5662" s="0" t="str">
        <f aca="false">HYPERLINK("https://www.ncbi.nlm.nih.gov/nuccore/CP000058.1?report=graph&amp;tracks=[key:gene_model_track,Options:GeneOnly]&amp;mk=1785357:1785376|offset_7|444444,1785333:1785352|offset_31|00cc00,1785309:1785328|offset_55|444444,1785286:1785305|offset_78|444444&amp;v=1785156:1785505&amp;c=444444", "offset 31")</f>
        <v>offset 31</v>
      </c>
    </row>
    <row r="5663" customFormat="false" ht="12.8" hidden="false" customHeight="false" outlineLevel="0" collapsed="false">
      <c r="A5663" s="0" t="s">
        <v>12</v>
      </c>
      <c r="B5663" s="0" t="n">
        <v>1785308</v>
      </c>
      <c r="C5663" s="0" t="n">
        <v>1785328</v>
      </c>
      <c r="D5663" s="0" t="s">
        <v>18871</v>
      </c>
      <c r="E5663" s="0" t="s">
        <v>75</v>
      </c>
      <c r="F5663" s="0" t="s">
        <v>90</v>
      </c>
      <c r="G5663" s="0" t="s">
        <v>32</v>
      </c>
      <c r="H5663" s="0" t="n">
        <v>55</v>
      </c>
      <c r="I5663" s="0" t="s">
        <v>18878</v>
      </c>
      <c r="J5663" s="0" t="s">
        <v>18879</v>
      </c>
      <c r="K5663" s="0" t="s">
        <v>18880</v>
      </c>
      <c r="L5663" s="0" t="str">
        <f aca="false">HYPERLINK("https://www.ncbi.nlm.nih.gov/nuccore/CP000058.1?report=graph&amp;tracks=[key:gene_model_track,Options:GeneOnly]&amp;mk=1785357:1785376|offset_7|444444,1785333:1785352|offset_31|444444,1785309:1785328|offset_55|00cc00,1785286:1785305|offset_78|444444&amp;v=1785156:1785505&amp;c=444444", "offset 55")</f>
        <v>offset 55</v>
      </c>
    </row>
    <row r="5664" customFormat="false" ht="12.8" hidden="false" customHeight="false" outlineLevel="0" collapsed="false">
      <c r="A5664" s="0" t="s">
        <v>12</v>
      </c>
      <c r="B5664" s="0" t="n">
        <v>1785285</v>
      </c>
      <c r="C5664" s="0" t="n">
        <v>1785305</v>
      </c>
      <c r="D5664" s="0" t="s">
        <v>18871</v>
      </c>
      <c r="E5664" s="0" t="s">
        <v>75</v>
      </c>
      <c r="F5664" s="0" t="s">
        <v>90</v>
      </c>
      <c r="G5664" s="0" t="s">
        <v>32</v>
      </c>
      <c r="H5664" s="0" t="n">
        <v>78</v>
      </c>
      <c r="I5664" s="0" t="s">
        <v>18881</v>
      </c>
      <c r="J5664" s="0" t="s">
        <v>18882</v>
      </c>
      <c r="K5664" s="0" t="s">
        <v>18883</v>
      </c>
      <c r="L5664" s="0" t="str">
        <f aca="false">HYPERLINK("https://www.ncbi.nlm.nih.gov/nuccore/CP000058.1?report=graph&amp;tracks=[key:gene_model_track,Options:GeneOnly]&amp;mk=1785357:1785376|offset_7|444444,1785333:1785352|offset_31|444444,1785309:1785328|offset_55|444444,1785286:1785305|offset_78|00cc00&amp;v=1785156:1785505&amp;c=444444", "offset 78")</f>
        <v>offset 78</v>
      </c>
    </row>
    <row r="5665" customFormat="false" ht="12.8" hidden="false" customHeight="false" outlineLevel="0" collapsed="false">
      <c r="A5665" s="0" t="s">
        <v>12</v>
      </c>
      <c r="B5665" s="0" t="n">
        <v>1785739</v>
      </c>
      <c r="C5665" s="0" t="n">
        <v>1785759</v>
      </c>
      <c r="D5665" s="0" t="s">
        <v>18884</v>
      </c>
      <c r="E5665" s="0" t="s">
        <v>18885</v>
      </c>
      <c r="F5665" s="0" t="s">
        <v>15</v>
      </c>
      <c r="G5665" s="0" t="s">
        <v>20</v>
      </c>
      <c r="H5665" s="0" t="n">
        <v>1</v>
      </c>
      <c r="I5665" s="0" t="s">
        <v>18886</v>
      </c>
      <c r="J5665" s="0" t="s">
        <v>18887</v>
      </c>
      <c r="K5665" s="0" t="s">
        <v>18888</v>
      </c>
      <c r="L5665" s="0" t="str">
        <f aca="false">HYPERLINK("https://www.ncbi.nlm.nih.gov/nuccore/CP000058.1?report=graph&amp;tracks=[key:gene_model_track,Options:GeneOnly]&amp;mk=1785740:1785759|offset_1|00cc00,1785774:1785793|offset_35|444444,1785797:1785816|offset_58|444444,1785823:1785842|offset_84|444444&amp;v=1785539:1786042&amp;c=444444", "offset 1")</f>
        <v>offset 1</v>
      </c>
    </row>
    <row r="5666" customFormat="false" ht="12.8" hidden="false" customHeight="false" outlineLevel="0" collapsed="false">
      <c r="A5666" s="0" t="s">
        <v>12</v>
      </c>
      <c r="B5666" s="0" t="n">
        <v>1785773</v>
      </c>
      <c r="C5666" s="0" t="n">
        <v>1785793</v>
      </c>
      <c r="D5666" s="0" t="s">
        <v>18884</v>
      </c>
      <c r="E5666" s="0" t="s">
        <v>18885</v>
      </c>
      <c r="F5666" s="0" t="s">
        <v>15</v>
      </c>
      <c r="G5666" s="0" t="s">
        <v>20</v>
      </c>
      <c r="H5666" s="0" t="n">
        <v>35</v>
      </c>
      <c r="I5666" s="0" t="s">
        <v>18889</v>
      </c>
      <c r="J5666" s="0" t="s">
        <v>18890</v>
      </c>
      <c r="K5666" s="0" t="s">
        <v>18891</v>
      </c>
      <c r="L5666" s="0" t="str">
        <f aca="false">HYPERLINK("https://www.ncbi.nlm.nih.gov/nuccore/CP000058.1?report=graph&amp;tracks=[key:gene_model_track,Options:GeneOnly]&amp;mk=1785740:1785759|offset_1|444444,1785774:1785793|offset_35|00cc00,1785797:1785816|offset_58|444444,1785823:1785842|offset_84|444444&amp;v=1785539:1786042&amp;c=444444", "offset 35")</f>
        <v>offset 35</v>
      </c>
    </row>
    <row r="5667" customFormat="false" ht="12.8" hidden="false" customHeight="false" outlineLevel="0" collapsed="false">
      <c r="A5667" s="0" t="s">
        <v>12</v>
      </c>
      <c r="B5667" s="0" t="n">
        <v>1785796</v>
      </c>
      <c r="C5667" s="0" t="n">
        <v>1785816</v>
      </c>
      <c r="D5667" s="0" t="s">
        <v>18884</v>
      </c>
      <c r="E5667" s="0" t="s">
        <v>18885</v>
      </c>
      <c r="F5667" s="0" t="s">
        <v>15</v>
      </c>
      <c r="G5667" s="0" t="s">
        <v>20</v>
      </c>
      <c r="H5667" s="0" t="n">
        <v>58</v>
      </c>
      <c r="I5667" s="0" t="s">
        <v>18892</v>
      </c>
      <c r="J5667" s="0" t="s">
        <v>18893</v>
      </c>
      <c r="K5667" s="0" t="s">
        <v>18894</v>
      </c>
      <c r="L5667" s="0" t="str">
        <f aca="false">HYPERLINK("https://www.ncbi.nlm.nih.gov/nuccore/CP000058.1?report=graph&amp;tracks=[key:gene_model_track,Options:GeneOnly]&amp;mk=1785740:1785759|offset_1|444444,1785774:1785793|offset_35|444444,1785797:1785816|offset_58|00cc00,1785823:1785842|offset_84|444444&amp;v=1785539:1786042&amp;c=444444", "offset 58")</f>
        <v>offset 58</v>
      </c>
    </row>
    <row r="5668" customFormat="false" ht="12.8" hidden="false" customHeight="false" outlineLevel="0" collapsed="false">
      <c r="A5668" s="0" t="s">
        <v>12</v>
      </c>
      <c r="B5668" s="0" t="n">
        <v>1785822</v>
      </c>
      <c r="C5668" s="0" t="n">
        <v>1785842</v>
      </c>
      <c r="D5668" s="0" t="s">
        <v>18884</v>
      </c>
      <c r="E5668" s="0" t="s">
        <v>18885</v>
      </c>
      <c r="F5668" s="0" t="s">
        <v>15</v>
      </c>
      <c r="G5668" s="0" t="s">
        <v>36</v>
      </c>
      <c r="H5668" s="0" t="n">
        <v>84</v>
      </c>
      <c r="I5668" s="0" t="s">
        <v>18895</v>
      </c>
      <c r="J5668" s="0" t="s">
        <v>18896</v>
      </c>
      <c r="K5668" s="0" t="s">
        <v>18897</v>
      </c>
      <c r="L5668" s="0" t="str">
        <f aca="false">HYPERLINK("https://www.ncbi.nlm.nih.gov/nuccore/CP000058.1?report=graph&amp;tracks=[key:gene_model_track,Options:GeneOnly]&amp;mk=1785740:1785759|offset_1|444444,1785774:1785793|offset_35|444444,1785797:1785816|offset_58|444444,1785823:1785842|offset_84|00cc00&amp;v=1785539:1786042&amp;c=444444", "offset 84")</f>
        <v>offset 84</v>
      </c>
    </row>
    <row r="5669" customFormat="false" ht="12.8" hidden="false" customHeight="false" outlineLevel="0" collapsed="false">
      <c r="A5669" s="0" t="s">
        <v>12</v>
      </c>
      <c r="B5669" s="0" t="n">
        <v>1788415</v>
      </c>
      <c r="C5669" s="0" t="n">
        <v>1788435</v>
      </c>
      <c r="D5669" s="0" t="s">
        <v>18898</v>
      </c>
      <c r="E5669" s="0" t="s">
        <v>75</v>
      </c>
      <c r="F5669" s="0" t="s">
        <v>90</v>
      </c>
      <c r="G5669" s="0" t="s">
        <v>20</v>
      </c>
      <c r="H5669" s="0" t="n">
        <v>27</v>
      </c>
      <c r="I5669" s="0" t="s">
        <v>18899</v>
      </c>
      <c r="J5669" s="0" t="s">
        <v>18900</v>
      </c>
      <c r="K5669" s="0" t="s">
        <v>18901</v>
      </c>
      <c r="L5669" s="0" t="str">
        <f aca="false">HYPERLINK("https://www.ncbi.nlm.nih.gov/nuccore/CP000058.1?report=graph&amp;tracks=[key:gene_model_track,Options:GeneOnly]&amp;mk=1788416:1788435|offset_27|00cc00,1788389:1788408|offset_54|444444,1788364:1788383|offset_79|444444,1788335:1788354|offset_108|444444&amp;v=1788215:1788554&amp;c=444444", "offset 27")</f>
        <v>offset 27</v>
      </c>
    </row>
    <row r="5670" customFormat="false" ht="12.8" hidden="false" customHeight="false" outlineLevel="0" collapsed="false">
      <c r="A5670" s="0" t="s">
        <v>12</v>
      </c>
      <c r="B5670" s="0" t="n">
        <v>1788388</v>
      </c>
      <c r="C5670" s="0" t="n">
        <v>1788408</v>
      </c>
      <c r="D5670" s="0" t="s">
        <v>18898</v>
      </c>
      <c r="E5670" s="0" t="s">
        <v>75</v>
      </c>
      <c r="F5670" s="0" t="s">
        <v>90</v>
      </c>
      <c r="G5670" s="0" t="s">
        <v>32</v>
      </c>
      <c r="H5670" s="0" t="n">
        <v>54</v>
      </c>
      <c r="I5670" s="0" t="s">
        <v>18902</v>
      </c>
      <c r="J5670" s="0" t="s">
        <v>18903</v>
      </c>
      <c r="K5670" s="0" t="s">
        <v>18904</v>
      </c>
      <c r="L5670" s="0" t="str">
        <f aca="false">HYPERLINK("https://www.ncbi.nlm.nih.gov/nuccore/CP000058.1?report=graph&amp;tracks=[key:gene_model_track,Options:GeneOnly]&amp;mk=1788416:1788435|offset_27|444444,1788389:1788408|offset_54|00cc00,1788364:1788383|offset_79|444444,1788335:1788354|offset_108|444444&amp;v=1788215:1788554&amp;c=444444", "offset 54")</f>
        <v>offset 54</v>
      </c>
    </row>
    <row r="5671" customFormat="false" ht="12.8" hidden="false" customHeight="false" outlineLevel="0" collapsed="false">
      <c r="A5671" s="0" t="s">
        <v>12</v>
      </c>
      <c r="B5671" s="0" t="n">
        <v>1788363</v>
      </c>
      <c r="C5671" s="0" t="n">
        <v>1788383</v>
      </c>
      <c r="D5671" s="0" t="s">
        <v>18898</v>
      </c>
      <c r="E5671" s="0" t="s">
        <v>75</v>
      </c>
      <c r="F5671" s="0" t="s">
        <v>90</v>
      </c>
      <c r="G5671" s="0" t="s">
        <v>32</v>
      </c>
      <c r="H5671" s="0" t="n">
        <v>79</v>
      </c>
      <c r="I5671" s="0" t="s">
        <v>18905</v>
      </c>
      <c r="J5671" s="0" t="s">
        <v>18906</v>
      </c>
      <c r="K5671" s="0" t="s">
        <v>18907</v>
      </c>
      <c r="L5671" s="0" t="str">
        <f aca="false">HYPERLINK("https://www.ncbi.nlm.nih.gov/nuccore/CP000058.1?report=graph&amp;tracks=[key:gene_model_track,Options:GeneOnly]&amp;mk=1788416:1788435|offset_27|444444,1788389:1788408|offset_54|444444,1788364:1788383|offset_79|00cc00,1788335:1788354|offset_108|444444&amp;v=1788215:1788554&amp;c=444444", "offset 79")</f>
        <v>offset 79</v>
      </c>
    </row>
    <row r="5672" customFormat="false" ht="12.8" hidden="false" customHeight="false" outlineLevel="0" collapsed="false">
      <c r="A5672" s="0" t="s">
        <v>12</v>
      </c>
      <c r="B5672" s="0" t="n">
        <v>1788334</v>
      </c>
      <c r="C5672" s="0" t="n">
        <v>1788354</v>
      </c>
      <c r="D5672" s="0" t="s">
        <v>18898</v>
      </c>
      <c r="E5672" s="0" t="s">
        <v>75</v>
      </c>
      <c r="F5672" s="0" t="s">
        <v>90</v>
      </c>
      <c r="G5672" s="0" t="s">
        <v>20</v>
      </c>
      <c r="H5672" s="0" t="n">
        <v>108</v>
      </c>
      <c r="I5672" s="0" t="s">
        <v>18908</v>
      </c>
      <c r="J5672" s="0" t="s">
        <v>18909</v>
      </c>
      <c r="K5672" s="0" t="s">
        <v>18910</v>
      </c>
      <c r="L5672" s="0" t="str">
        <f aca="false">HYPERLINK("https://www.ncbi.nlm.nih.gov/nuccore/CP000058.1?report=graph&amp;tracks=[key:gene_model_track,Options:GeneOnly]&amp;mk=1788416:1788435|offset_27|444444,1788389:1788408|offset_54|444444,1788364:1788383|offset_79|444444,1788335:1788354|offset_108|00cc00&amp;v=1788215:1788554&amp;c=444444", "offset 108")</f>
        <v>offset 108</v>
      </c>
    </row>
    <row r="5673" customFormat="false" ht="12.8" hidden="false" customHeight="false" outlineLevel="0" collapsed="false">
      <c r="A5673" s="0" t="s">
        <v>12</v>
      </c>
      <c r="B5673" s="0" t="n">
        <v>1788535</v>
      </c>
      <c r="C5673" s="0" t="n">
        <v>1788555</v>
      </c>
      <c r="D5673" s="0" t="s">
        <v>18911</v>
      </c>
      <c r="E5673" s="0" t="s">
        <v>75</v>
      </c>
      <c r="F5673" s="0" t="s">
        <v>15</v>
      </c>
      <c r="G5673" s="0" t="s">
        <v>36</v>
      </c>
      <c r="H5673" s="0" t="n">
        <v>23</v>
      </c>
      <c r="I5673" s="0" t="s">
        <v>18912</v>
      </c>
      <c r="J5673" s="0" t="s">
        <v>18913</v>
      </c>
      <c r="K5673" s="0" t="s">
        <v>18914</v>
      </c>
      <c r="L5673" s="0" t="str">
        <f aca="false">HYPERLINK("https://www.ncbi.nlm.nih.gov/nuccore/CP000058.1?report=graph&amp;tracks=[key:gene_model_track,Options:GeneOnly]&amp;mk=1788536:1788555|offset_23|00cc00,1788572:1788591|offset_59|444444,1788601:1788620|offset_88|444444,1788625:1788644|offset_112|444444&amp;v=1788335:1788844&amp;c=444444", "offset 23")</f>
        <v>offset 23</v>
      </c>
    </row>
    <row r="5674" customFormat="false" ht="12.8" hidden="false" customHeight="false" outlineLevel="0" collapsed="false">
      <c r="A5674" s="0" t="s">
        <v>12</v>
      </c>
      <c r="B5674" s="0" t="n">
        <v>1788571</v>
      </c>
      <c r="C5674" s="0" t="n">
        <v>1788591</v>
      </c>
      <c r="D5674" s="0" t="s">
        <v>18911</v>
      </c>
      <c r="E5674" s="0" t="s">
        <v>75</v>
      </c>
      <c r="F5674" s="0" t="s">
        <v>15</v>
      </c>
      <c r="G5674" s="0" t="s">
        <v>20</v>
      </c>
      <c r="H5674" s="0" t="n">
        <v>59</v>
      </c>
      <c r="I5674" s="0" t="s">
        <v>18915</v>
      </c>
      <c r="J5674" s="0" t="s">
        <v>18916</v>
      </c>
      <c r="K5674" s="0" t="s">
        <v>18917</v>
      </c>
      <c r="L5674" s="0" t="str">
        <f aca="false">HYPERLINK("https://www.ncbi.nlm.nih.gov/nuccore/CP000058.1?report=graph&amp;tracks=[key:gene_model_track,Options:GeneOnly]&amp;mk=1788536:1788555|offset_23|444444,1788572:1788591|offset_59|00cc00,1788601:1788620|offset_88|444444,1788625:1788644|offset_112|444444&amp;v=1788335:1788844&amp;c=444444", "offset 59")</f>
        <v>offset 59</v>
      </c>
    </row>
    <row r="5675" customFormat="false" ht="12.8" hidden="false" customHeight="false" outlineLevel="0" collapsed="false">
      <c r="A5675" s="0" t="s">
        <v>12</v>
      </c>
      <c r="B5675" s="0" t="n">
        <v>1788600</v>
      </c>
      <c r="C5675" s="0" t="n">
        <v>1788620</v>
      </c>
      <c r="D5675" s="0" t="s">
        <v>18911</v>
      </c>
      <c r="E5675" s="0" t="s">
        <v>75</v>
      </c>
      <c r="F5675" s="0" t="s">
        <v>15</v>
      </c>
      <c r="G5675" s="0" t="s">
        <v>32</v>
      </c>
      <c r="H5675" s="0" t="n">
        <v>88</v>
      </c>
      <c r="I5675" s="0" t="s">
        <v>18918</v>
      </c>
      <c r="J5675" s="0" t="s">
        <v>18919</v>
      </c>
      <c r="K5675" s="0" t="s">
        <v>18920</v>
      </c>
      <c r="L5675" s="0" t="str">
        <f aca="false">HYPERLINK("https://www.ncbi.nlm.nih.gov/nuccore/CP000058.1?report=graph&amp;tracks=[key:gene_model_track,Options:GeneOnly]&amp;mk=1788536:1788555|offset_23|444444,1788572:1788591|offset_59|444444,1788601:1788620|offset_88|00cc00,1788625:1788644|offset_112|444444&amp;v=1788335:1788844&amp;c=444444", "offset 88")</f>
        <v>offset 88</v>
      </c>
    </row>
    <row r="5676" customFormat="false" ht="12.8" hidden="false" customHeight="false" outlineLevel="0" collapsed="false">
      <c r="A5676" s="0" t="s">
        <v>12</v>
      </c>
      <c r="B5676" s="0" t="n">
        <v>1788624</v>
      </c>
      <c r="C5676" s="0" t="n">
        <v>1788644</v>
      </c>
      <c r="D5676" s="0" t="s">
        <v>18911</v>
      </c>
      <c r="E5676" s="0" t="s">
        <v>75</v>
      </c>
      <c r="F5676" s="0" t="s">
        <v>15</v>
      </c>
      <c r="G5676" s="0" t="s">
        <v>32</v>
      </c>
      <c r="H5676" s="0" t="n">
        <v>112</v>
      </c>
      <c r="I5676" s="0" t="s">
        <v>18921</v>
      </c>
      <c r="J5676" s="0" t="s">
        <v>18922</v>
      </c>
      <c r="K5676" s="0" t="s">
        <v>18923</v>
      </c>
      <c r="L5676" s="0" t="str">
        <f aca="false">HYPERLINK("https://www.ncbi.nlm.nih.gov/nuccore/CP000058.1?report=graph&amp;tracks=[key:gene_model_track,Options:GeneOnly]&amp;mk=1788536:1788555|offset_23|444444,1788572:1788591|offset_59|444444,1788601:1788620|offset_88|444444,1788625:1788644|offset_112|00cc00&amp;v=1788335:1788844&amp;c=444444", "offset 112")</f>
        <v>offset 112</v>
      </c>
    </row>
    <row r="5677" customFormat="false" ht="12.8" hidden="false" customHeight="false" outlineLevel="0" collapsed="false">
      <c r="A5677" s="0" t="s">
        <v>12</v>
      </c>
      <c r="B5677" s="0" t="n">
        <v>1788842</v>
      </c>
      <c r="C5677" s="0" t="n">
        <v>1788862</v>
      </c>
      <c r="D5677" s="0" t="s">
        <v>18924</v>
      </c>
      <c r="E5677" s="0" t="s">
        <v>75</v>
      </c>
      <c r="F5677" s="0" t="s">
        <v>15</v>
      </c>
      <c r="G5677" s="0" t="s">
        <v>16</v>
      </c>
      <c r="H5677" s="0" t="n">
        <v>43</v>
      </c>
      <c r="I5677" s="0" t="s">
        <v>18925</v>
      </c>
      <c r="J5677" s="0" t="s">
        <v>18926</v>
      </c>
      <c r="K5677" s="0" t="s">
        <v>18927</v>
      </c>
      <c r="L5677" s="0" t="str">
        <f aca="false">HYPERLINK("https://www.ncbi.nlm.nih.gov/nuccore/CP000058.1?report=graph&amp;tracks=[key:gene_model_track,Options:GeneOnly]&amp;mk=1788843:1788862|offset_43|00cc00,1788891:1788910|offset_91|444444,1788923:1788942|offset_123|444444,1788948:1788967|offset_148|444444&amp;v=1788642:1789167&amp;c=444444", "offset 43")</f>
        <v>offset 43</v>
      </c>
    </row>
    <row r="5678" customFormat="false" ht="12.8" hidden="false" customHeight="false" outlineLevel="0" collapsed="false">
      <c r="A5678" s="0" t="s">
        <v>12</v>
      </c>
      <c r="B5678" s="0" t="n">
        <v>1788890</v>
      </c>
      <c r="C5678" s="0" t="n">
        <v>1788910</v>
      </c>
      <c r="D5678" s="0" t="s">
        <v>18924</v>
      </c>
      <c r="E5678" s="0" t="s">
        <v>75</v>
      </c>
      <c r="F5678" s="0" t="s">
        <v>15</v>
      </c>
      <c r="G5678" s="0" t="s">
        <v>36</v>
      </c>
      <c r="H5678" s="0" t="n">
        <v>91</v>
      </c>
      <c r="I5678" s="0" t="s">
        <v>18928</v>
      </c>
      <c r="J5678" s="0" t="s">
        <v>18929</v>
      </c>
      <c r="K5678" s="0" t="s">
        <v>18930</v>
      </c>
      <c r="L5678" s="0" t="str">
        <f aca="false">HYPERLINK("https://www.ncbi.nlm.nih.gov/nuccore/CP000058.1?report=graph&amp;tracks=[key:gene_model_track,Options:GeneOnly]&amp;mk=1788843:1788862|offset_43|444444,1788891:1788910|offset_91|00cc00,1788923:1788942|offset_123|444444,1788948:1788967|offset_148|444444&amp;v=1788642:1789167&amp;c=444444", "offset 91")</f>
        <v>offset 91</v>
      </c>
    </row>
    <row r="5679" customFormat="false" ht="12.8" hidden="false" customHeight="false" outlineLevel="0" collapsed="false">
      <c r="A5679" s="0" t="s">
        <v>12</v>
      </c>
      <c r="B5679" s="0" t="n">
        <v>1788922</v>
      </c>
      <c r="C5679" s="0" t="n">
        <v>1788942</v>
      </c>
      <c r="D5679" s="0" t="s">
        <v>18924</v>
      </c>
      <c r="E5679" s="0" t="s">
        <v>75</v>
      </c>
      <c r="F5679" s="0" t="s">
        <v>15</v>
      </c>
      <c r="G5679" s="0" t="s">
        <v>16</v>
      </c>
      <c r="H5679" s="0" t="n">
        <v>123</v>
      </c>
      <c r="I5679" s="0" t="s">
        <v>18931</v>
      </c>
      <c r="J5679" s="0" t="s">
        <v>18932</v>
      </c>
      <c r="K5679" s="0" t="s">
        <v>18933</v>
      </c>
      <c r="L5679" s="0" t="str">
        <f aca="false">HYPERLINK("https://www.ncbi.nlm.nih.gov/nuccore/CP000058.1?report=graph&amp;tracks=[key:gene_model_track,Options:GeneOnly]&amp;mk=1788843:1788862|offset_43|444444,1788891:1788910|offset_91|444444,1788923:1788942|offset_123|00cc00,1788948:1788967|offset_148|444444&amp;v=1788642:1789167&amp;c=444444", "offset 123")</f>
        <v>offset 123</v>
      </c>
    </row>
    <row r="5680" customFormat="false" ht="12.8" hidden="false" customHeight="false" outlineLevel="0" collapsed="false">
      <c r="A5680" s="0" t="s">
        <v>12</v>
      </c>
      <c r="B5680" s="0" t="n">
        <v>1788947</v>
      </c>
      <c r="C5680" s="0" t="n">
        <v>1788967</v>
      </c>
      <c r="D5680" s="0" t="s">
        <v>18924</v>
      </c>
      <c r="E5680" s="0" t="s">
        <v>75</v>
      </c>
      <c r="F5680" s="0" t="s">
        <v>15</v>
      </c>
      <c r="G5680" s="0" t="s">
        <v>20</v>
      </c>
      <c r="H5680" s="0" t="n">
        <v>148</v>
      </c>
      <c r="I5680" s="0" t="s">
        <v>18934</v>
      </c>
      <c r="J5680" s="0" t="s">
        <v>18935</v>
      </c>
      <c r="K5680" s="0" t="s">
        <v>18936</v>
      </c>
      <c r="L5680" s="0" t="str">
        <f aca="false">HYPERLINK("https://www.ncbi.nlm.nih.gov/nuccore/CP000058.1?report=graph&amp;tracks=[key:gene_model_track,Options:GeneOnly]&amp;mk=1788843:1788862|offset_43|444444,1788891:1788910|offset_91|444444,1788923:1788942|offset_123|444444,1788948:1788967|offset_148|00cc00&amp;v=1788642:1789167&amp;c=444444", "offset 148")</f>
        <v>offset 148</v>
      </c>
    </row>
    <row r="5681" customFormat="false" ht="12.8" hidden="false" customHeight="false" outlineLevel="0" collapsed="false">
      <c r="A5681" s="0" t="s">
        <v>12</v>
      </c>
      <c r="B5681" s="0" t="n">
        <v>1790378</v>
      </c>
      <c r="C5681" s="0" t="n">
        <v>1790398</v>
      </c>
      <c r="D5681" s="0" t="s">
        <v>18937</v>
      </c>
      <c r="E5681" s="0" t="s">
        <v>75</v>
      </c>
      <c r="F5681" s="0" t="s">
        <v>90</v>
      </c>
      <c r="G5681" s="0" t="s">
        <v>36</v>
      </c>
      <c r="H5681" s="0" t="n">
        <v>0</v>
      </c>
      <c r="I5681" s="0" t="s">
        <v>18938</v>
      </c>
      <c r="J5681" s="0" t="s">
        <v>18939</v>
      </c>
      <c r="K5681" s="0" t="s">
        <v>18940</v>
      </c>
      <c r="L5681" s="0" t="str">
        <f aca="false">HYPERLINK("https://www.ncbi.nlm.nih.gov/nuccore/CP000058.1?report=graph&amp;tracks=[key:gene_model_track,Options:GeneOnly]&amp;mk=1790379:1790398|offset_0|00cc00,1790355:1790374|offset_24|444444,1790334:1790353|offset_45|444444,1790266:1790285|offset_113|444444&amp;v=1790178:1790485&amp;c=444444", "offset 0")</f>
        <v>offset 0</v>
      </c>
    </row>
    <row r="5682" customFormat="false" ht="12.8" hidden="false" customHeight="false" outlineLevel="0" collapsed="false">
      <c r="A5682" s="0" t="s">
        <v>12</v>
      </c>
      <c r="B5682" s="0" t="n">
        <v>1790354</v>
      </c>
      <c r="C5682" s="0" t="n">
        <v>1790374</v>
      </c>
      <c r="D5682" s="0" t="s">
        <v>18937</v>
      </c>
      <c r="E5682" s="0" t="s">
        <v>75</v>
      </c>
      <c r="F5682" s="0" t="s">
        <v>90</v>
      </c>
      <c r="G5682" s="0" t="s">
        <v>16</v>
      </c>
      <c r="H5682" s="0" t="n">
        <v>24</v>
      </c>
      <c r="I5682" s="0" t="s">
        <v>18941</v>
      </c>
      <c r="J5682" s="0" t="s">
        <v>18942</v>
      </c>
      <c r="K5682" s="0" t="s">
        <v>18943</v>
      </c>
      <c r="L5682" s="0" t="str">
        <f aca="false">HYPERLINK("https://www.ncbi.nlm.nih.gov/nuccore/CP000058.1?report=graph&amp;tracks=[key:gene_model_track,Options:GeneOnly]&amp;mk=1790379:1790398|offset_0|444444,1790355:1790374|offset_24|00cc00,1790334:1790353|offset_45|444444,1790266:1790285|offset_113|444444&amp;v=1790178:1790485&amp;c=444444", "offset 24")</f>
        <v>offset 24</v>
      </c>
    </row>
    <row r="5683" customFormat="false" ht="12.8" hidden="false" customHeight="false" outlineLevel="0" collapsed="false">
      <c r="A5683" s="0" t="s">
        <v>12</v>
      </c>
      <c r="B5683" s="0" t="n">
        <v>1790333</v>
      </c>
      <c r="C5683" s="0" t="n">
        <v>1790353</v>
      </c>
      <c r="D5683" s="0" t="s">
        <v>18937</v>
      </c>
      <c r="E5683" s="0" t="s">
        <v>75</v>
      </c>
      <c r="F5683" s="0" t="s">
        <v>90</v>
      </c>
      <c r="G5683" s="0" t="s">
        <v>20</v>
      </c>
      <c r="H5683" s="0" t="n">
        <v>45</v>
      </c>
      <c r="I5683" s="0" t="s">
        <v>18944</v>
      </c>
      <c r="J5683" s="0" t="s">
        <v>18945</v>
      </c>
      <c r="K5683" s="0" t="s">
        <v>18946</v>
      </c>
      <c r="L5683" s="0" t="str">
        <f aca="false">HYPERLINK("https://www.ncbi.nlm.nih.gov/nuccore/CP000058.1?report=graph&amp;tracks=[key:gene_model_track,Options:GeneOnly]&amp;mk=1790379:1790398|offset_0|444444,1790355:1790374|offset_24|444444,1790334:1790353|offset_45|00cc00,1790266:1790285|offset_113|444444&amp;v=1790178:1790485&amp;c=444444", "offset 45")</f>
        <v>offset 45</v>
      </c>
    </row>
    <row r="5684" customFormat="false" ht="12.8" hidden="false" customHeight="false" outlineLevel="0" collapsed="false">
      <c r="A5684" s="0" t="s">
        <v>12</v>
      </c>
      <c r="B5684" s="0" t="n">
        <v>1790265</v>
      </c>
      <c r="C5684" s="0" t="n">
        <v>1790285</v>
      </c>
      <c r="D5684" s="0" t="s">
        <v>18937</v>
      </c>
      <c r="E5684" s="0" t="s">
        <v>75</v>
      </c>
      <c r="F5684" s="0" t="s">
        <v>90</v>
      </c>
      <c r="G5684" s="0" t="s">
        <v>36</v>
      </c>
      <c r="H5684" s="0" t="n">
        <v>113</v>
      </c>
      <c r="I5684" s="0" t="s">
        <v>18947</v>
      </c>
      <c r="J5684" s="0" t="s">
        <v>18948</v>
      </c>
      <c r="K5684" s="0" t="s">
        <v>18949</v>
      </c>
      <c r="L5684" s="0" t="str">
        <f aca="false">HYPERLINK("https://www.ncbi.nlm.nih.gov/nuccore/CP000058.1?report=graph&amp;tracks=[key:gene_model_track,Options:GeneOnly]&amp;mk=1790379:1790398|offset_0|444444,1790355:1790374|offset_24|444444,1790334:1790353|offset_45|444444,1790266:1790285|offset_113|00cc00&amp;v=1790178:1790485&amp;c=444444", "offset 113")</f>
        <v>offset 113</v>
      </c>
    </row>
    <row r="5685" customFormat="false" ht="12.8" hidden="false" customHeight="false" outlineLevel="0" collapsed="false">
      <c r="A5685" s="0" t="s">
        <v>12</v>
      </c>
      <c r="B5685" s="0" t="n">
        <v>1790941</v>
      </c>
      <c r="C5685" s="0" t="n">
        <v>1790961</v>
      </c>
      <c r="D5685" s="0" t="s">
        <v>18950</v>
      </c>
      <c r="E5685" s="0" t="s">
        <v>75</v>
      </c>
      <c r="F5685" s="0" t="s">
        <v>90</v>
      </c>
      <c r="G5685" s="0" t="s">
        <v>32</v>
      </c>
      <c r="H5685" s="0" t="n">
        <v>10</v>
      </c>
      <c r="I5685" s="0" t="s">
        <v>18951</v>
      </c>
      <c r="J5685" s="0" t="s">
        <v>18952</v>
      </c>
      <c r="K5685" s="0" t="s">
        <v>18953</v>
      </c>
      <c r="L5685" s="0" t="str">
        <f aca="false">HYPERLINK("https://www.ncbi.nlm.nih.gov/nuccore/CP000058.1?report=graph&amp;tracks=[key:gene_model_track,Options:GeneOnly]&amp;mk=1790942:1790961|offset_10|00cc00,1790917:1790936|offset_35|444444,1790890:1790909|offset_62|444444,1790869:1790888|offset_83|444444&amp;v=1790741:1791088&amp;c=444444", "offset 10")</f>
        <v>offset 10</v>
      </c>
    </row>
    <row r="5686" customFormat="false" ht="12.8" hidden="false" customHeight="false" outlineLevel="0" collapsed="false">
      <c r="A5686" s="0" t="s">
        <v>12</v>
      </c>
      <c r="B5686" s="0" t="n">
        <v>1790916</v>
      </c>
      <c r="C5686" s="0" t="n">
        <v>1790936</v>
      </c>
      <c r="D5686" s="0" t="s">
        <v>18950</v>
      </c>
      <c r="E5686" s="0" t="s">
        <v>75</v>
      </c>
      <c r="F5686" s="0" t="s">
        <v>90</v>
      </c>
      <c r="G5686" s="0" t="s">
        <v>20</v>
      </c>
      <c r="H5686" s="0" t="n">
        <v>35</v>
      </c>
      <c r="I5686" s="0" t="s">
        <v>18954</v>
      </c>
      <c r="J5686" s="0" t="s">
        <v>18955</v>
      </c>
      <c r="K5686" s="0" t="s">
        <v>18956</v>
      </c>
      <c r="L5686" s="0" t="str">
        <f aca="false">HYPERLINK("https://www.ncbi.nlm.nih.gov/nuccore/CP000058.1?report=graph&amp;tracks=[key:gene_model_track,Options:GeneOnly]&amp;mk=1790942:1790961|offset_10|444444,1790917:1790936|offset_35|00cc00,1790890:1790909|offset_62|444444,1790869:1790888|offset_83|444444&amp;v=1790741:1791088&amp;c=444444", "offset 35")</f>
        <v>offset 35</v>
      </c>
    </row>
    <row r="5687" customFormat="false" ht="12.8" hidden="false" customHeight="false" outlineLevel="0" collapsed="false">
      <c r="A5687" s="0" t="s">
        <v>12</v>
      </c>
      <c r="B5687" s="0" t="n">
        <v>1790889</v>
      </c>
      <c r="C5687" s="0" t="n">
        <v>1790909</v>
      </c>
      <c r="D5687" s="0" t="s">
        <v>18950</v>
      </c>
      <c r="E5687" s="0" t="s">
        <v>75</v>
      </c>
      <c r="F5687" s="0" t="s">
        <v>90</v>
      </c>
      <c r="G5687" s="0" t="s">
        <v>36</v>
      </c>
      <c r="H5687" s="0" t="n">
        <v>62</v>
      </c>
      <c r="I5687" s="0" t="s">
        <v>18957</v>
      </c>
      <c r="J5687" s="0" t="s">
        <v>18958</v>
      </c>
      <c r="K5687" s="0" t="s">
        <v>18959</v>
      </c>
      <c r="L5687" s="0" t="str">
        <f aca="false">HYPERLINK("https://www.ncbi.nlm.nih.gov/nuccore/CP000058.1?report=graph&amp;tracks=[key:gene_model_track,Options:GeneOnly]&amp;mk=1790942:1790961|offset_10|444444,1790917:1790936|offset_35|444444,1790890:1790909|offset_62|00cc00,1790869:1790888|offset_83|444444&amp;v=1790741:1791088&amp;c=444444", "offset 62")</f>
        <v>offset 62</v>
      </c>
    </row>
    <row r="5688" customFormat="false" ht="12.8" hidden="false" customHeight="false" outlineLevel="0" collapsed="false">
      <c r="A5688" s="0" t="s">
        <v>12</v>
      </c>
      <c r="B5688" s="0" t="n">
        <v>1790868</v>
      </c>
      <c r="C5688" s="0" t="n">
        <v>1790888</v>
      </c>
      <c r="D5688" s="0" t="s">
        <v>18950</v>
      </c>
      <c r="E5688" s="0" t="s">
        <v>75</v>
      </c>
      <c r="F5688" s="0" t="s">
        <v>90</v>
      </c>
      <c r="G5688" s="0" t="s">
        <v>20</v>
      </c>
      <c r="H5688" s="0" t="n">
        <v>83</v>
      </c>
      <c r="I5688" s="0" t="s">
        <v>18960</v>
      </c>
      <c r="J5688" s="0" t="s">
        <v>18961</v>
      </c>
      <c r="K5688" s="0" t="s">
        <v>18962</v>
      </c>
      <c r="L5688" s="0" t="str">
        <f aca="false">HYPERLINK("https://www.ncbi.nlm.nih.gov/nuccore/CP000058.1?report=graph&amp;tracks=[key:gene_model_track,Options:GeneOnly]&amp;mk=1790942:1790961|offset_10|444444,1790917:1790936|offset_35|444444,1790890:1790909|offset_62|444444,1790869:1790888|offset_83|00cc00&amp;v=1790741:1791088&amp;c=444444", "offset 83")</f>
        <v>offset 83</v>
      </c>
    </row>
    <row r="5689" customFormat="false" ht="12.8" hidden="false" customHeight="false" outlineLevel="0" collapsed="false">
      <c r="A5689" s="0" t="s">
        <v>12</v>
      </c>
      <c r="B5689" s="0" t="n">
        <v>1791332</v>
      </c>
      <c r="C5689" s="0" t="n">
        <v>1791352</v>
      </c>
      <c r="D5689" s="0" t="s">
        <v>18963</v>
      </c>
      <c r="E5689" s="0" t="s">
        <v>18964</v>
      </c>
      <c r="F5689" s="0" t="s">
        <v>15</v>
      </c>
      <c r="G5689" s="0" t="s">
        <v>32</v>
      </c>
      <c r="H5689" s="0" t="n">
        <v>36</v>
      </c>
      <c r="I5689" s="0" t="s">
        <v>18965</v>
      </c>
      <c r="J5689" s="0" t="s">
        <v>18966</v>
      </c>
      <c r="K5689" s="0" t="s">
        <v>18967</v>
      </c>
      <c r="L5689" s="0" t="str">
        <f aca="false">HYPERLINK("https://www.ncbi.nlm.nih.gov/nuccore/CP000058.1?report=graph&amp;tracks=[key:gene_model_track,Options:GeneOnly]&amp;mk=1791333:1791352|offset_36|00cc00,1791368:1791387|offset_71|444444,1791389:1791408|offset_92|444444,1791412:1791431|offset_115|444444&amp;v=1791132:1791631&amp;c=444444", "offset 36")</f>
        <v>offset 36</v>
      </c>
    </row>
    <row r="5690" customFormat="false" ht="12.8" hidden="false" customHeight="false" outlineLevel="0" collapsed="false">
      <c r="A5690" s="0" t="s">
        <v>12</v>
      </c>
      <c r="B5690" s="0" t="n">
        <v>1791367</v>
      </c>
      <c r="C5690" s="0" t="n">
        <v>1791387</v>
      </c>
      <c r="D5690" s="0" t="s">
        <v>18963</v>
      </c>
      <c r="E5690" s="0" t="s">
        <v>18964</v>
      </c>
      <c r="F5690" s="0" t="s">
        <v>15</v>
      </c>
      <c r="G5690" s="0" t="s">
        <v>20</v>
      </c>
      <c r="H5690" s="0" t="n">
        <v>71</v>
      </c>
      <c r="I5690" s="0" t="s">
        <v>18968</v>
      </c>
      <c r="J5690" s="0" t="s">
        <v>18969</v>
      </c>
      <c r="K5690" s="0" t="s">
        <v>18970</v>
      </c>
      <c r="L5690" s="0" t="str">
        <f aca="false">HYPERLINK("https://www.ncbi.nlm.nih.gov/nuccore/CP000058.1?report=graph&amp;tracks=[key:gene_model_track,Options:GeneOnly]&amp;mk=1791333:1791352|offset_36|444444,1791368:1791387|offset_71|00cc00,1791389:1791408|offset_92|444444,1791412:1791431|offset_115|444444&amp;v=1791132:1791631&amp;c=444444", "offset 71")</f>
        <v>offset 71</v>
      </c>
    </row>
    <row r="5691" customFormat="false" ht="12.8" hidden="false" customHeight="false" outlineLevel="0" collapsed="false">
      <c r="A5691" s="0" t="s">
        <v>12</v>
      </c>
      <c r="B5691" s="0" t="n">
        <v>1791388</v>
      </c>
      <c r="C5691" s="0" t="n">
        <v>1791408</v>
      </c>
      <c r="D5691" s="0" t="s">
        <v>18963</v>
      </c>
      <c r="E5691" s="0" t="s">
        <v>18964</v>
      </c>
      <c r="F5691" s="0" t="s">
        <v>15</v>
      </c>
      <c r="G5691" s="0" t="s">
        <v>32</v>
      </c>
      <c r="H5691" s="0" t="n">
        <v>92</v>
      </c>
      <c r="I5691" s="0" t="s">
        <v>18971</v>
      </c>
      <c r="J5691" s="0" t="s">
        <v>18972</v>
      </c>
      <c r="K5691" s="0" t="s">
        <v>18973</v>
      </c>
      <c r="L5691" s="0" t="str">
        <f aca="false">HYPERLINK("https://www.ncbi.nlm.nih.gov/nuccore/CP000058.1?report=graph&amp;tracks=[key:gene_model_track,Options:GeneOnly]&amp;mk=1791333:1791352|offset_36|444444,1791368:1791387|offset_71|444444,1791389:1791408|offset_92|00cc00,1791412:1791431|offset_115|444444&amp;v=1791132:1791631&amp;c=444444", "offset 92")</f>
        <v>offset 92</v>
      </c>
    </row>
    <row r="5692" customFormat="false" ht="12.8" hidden="false" customHeight="false" outlineLevel="0" collapsed="false">
      <c r="A5692" s="0" t="s">
        <v>12</v>
      </c>
      <c r="B5692" s="0" t="n">
        <v>1791411</v>
      </c>
      <c r="C5692" s="0" t="n">
        <v>1791431</v>
      </c>
      <c r="D5692" s="0" t="s">
        <v>18963</v>
      </c>
      <c r="E5692" s="0" t="s">
        <v>18964</v>
      </c>
      <c r="F5692" s="0" t="s">
        <v>15</v>
      </c>
      <c r="G5692" s="0" t="s">
        <v>32</v>
      </c>
      <c r="H5692" s="0" t="n">
        <v>115</v>
      </c>
      <c r="I5692" s="0" t="s">
        <v>18974</v>
      </c>
      <c r="J5692" s="0" t="s">
        <v>18975</v>
      </c>
      <c r="K5692" s="0" t="s">
        <v>18976</v>
      </c>
      <c r="L5692" s="0" t="str">
        <f aca="false">HYPERLINK("https://www.ncbi.nlm.nih.gov/nuccore/CP000058.1?report=graph&amp;tracks=[key:gene_model_track,Options:GeneOnly]&amp;mk=1791333:1791352|offset_36|444444,1791368:1791387|offset_71|444444,1791389:1791408|offset_92|444444,1791412:1791431|offset_115|00cc00&amp;v=1791132:1791631&amp;c=444444", "offset 115")</f>
        <v>offset 115</v>
      </c>
    </row>
    <row r="5693" customFormat="false" ht="12.8" hidden="false" customHeight="false" outlineLevel="0" collapsed="false">
      <c r="A5693" s="0" t="s">
        <v>12</v>
      </c>
      <c r="B5693" s="0" t="n">
        <v>1792209</v>
      </c>
      <c r="C5693" s="0" t="n">
        <v>1792229</v>
      </c>
      <c r="D5693" s="0" t="s">
        <v>18977</v>
      </c>
      <c r="E5693" s="0" t="s">
        <v>75</v>
      </c>
      <c r="F5693" s="0" t="s">
        <v>15</v>
      </c>
      <c r="G5693" s="0" t="s">
        <v>16</v>
      </c>
      <c r="H5693" s="0" t="n">
        <v>16</v>
      </c>
      <c r="I5693" s="0" t="s">
        <v>18978</v>
      </c>
      <c r="J5693" s="0" t="s">
        <v>18979</v>
      </c>
      <c r="K5693" s="0" t="s">
        <v>18980</v>
      </c>
      <c r="L5693" s="0" t="str">
        <f aca="false">HYPERLINK("https://www.ncbi.nlm.nih.gov/nuccore/CP000058.1?report=graph&amp;tracks=[key:gene_model_track,Options:GeneOnly]&amp;mk=1792210:1792229|offset_16|00cc00,1792240:1792259|offset_46|444444,1792286:1792305|offset_92|444444,1792307:1792326|offset_113|444444&amp;v=1792009:1792526&amp;c=444444", "offset 16")</f>
        <v>offset 16</v>
      </c>
    </row>
    <row r="5694" customFormat="false" ht="12.8" hidden="false" customHeight="false" outlineLevel="0" collapsed="false">
      <c r="A5694" s="0" t="s">
        <v>12</v>
      </c>
      <c r="B5694" s="0" t="n">
        <v>1792239</v>
      </c>
      <c r="C5694" s="0" t="n">
        <v>1792259</v>
      </c>
      <c r="D5694" s="0" t="s">
        <v>18977</v>
      </c>
      <c r="E5694" s="0" t="s">
        <v>75</v>
      </c>
      <c r="F5694" s="0" t="s">
        <v>15</v>
      </c>
      <c r="G5694" s="0" t="s">
        <v>32</v>
      </c>
      <c r="H5694" s="0" t="n">
        <v>46</v>
      </c>
      <c r="I5694" s="0" t="s">
        <v>18981</v>
      </c>
      <c r="J5694" s="0" t="s">
        <v>18982</v>
      </c>
      <c r="K5694" s="0" t="s">
        <v>18983</v>
      </c>
      <c r="L5694" s="0" t="str">
        <f aca="false">HYPERLINK("https://www.ncbi.nlm.nih.gov/nuccore/CP000058.1?report=graph&amp;tracks=[key:gene_model_track,Options:GeneOnly]&amp;mk=1792210:1792229|offset_16|444444,1792240:1792259|offset_46|00cc00,1792286:1792305|offset_92|444444,1792307:1792326|offset_113|444444&amp;v=1792009:1792526&amp;c=444444", "offset 46")</f>
        <v>offset 46</v>
      </c>
    </row>
    <row r="5695" customFormat="false" ht="12.8" hidden="false" customHeight="false" outlineLevel="0" collapsed="false">
      <c r="A5695" s="0" t="s">
        <v>12</v>
      </c>
      <c r="B5695" s="0" t="n">
        <v>1792285</v>
      </c>
      <c r="C5695" s="0" t="n">
        <v>1792305</v>
      </c>
      <c r="D5695" s="0" t="s">
        <v>18977</v>
      </c>
      <c r="E5695" s="0" t="s">
        <v>75</v>
      </c>
      <c r="F5695" s="0" t="s">
        <v>15</v>
      </c>
      <c r="G5695" s="0" t="s">
        <v>16</v>
      </c>
      <c r="H5695" s="0" t="n">
        <v>92</v>
      </c>
      <c r="I5695" s="0" t="s">
        <v>18984</v>
      </c>
      <c r="J5695" s="0" t="s">
        <v>18985</v>
      </c>
      <c r="K5695" s="0" t="s">
        <v>18986</v>
      </c>
      <c r="L5695" s="0" t="str">
        <f aca="false">HYPERLINK("https://www.ncbi.nlm.nih.gov/nuccore/CP000058.1?report=graph&amp;tracks=[key:gene_model_track,Options:GeneOnly]&amp;mk=1792210:1792229|offset_16|444444,1792240:1792259|offset_46|444444,1792286:1792305|offset_92|00cc00,1792307:1792326|offset_113|444444&amp;v=1792009:1792526&amp;c=444444", "offset 92")</f>
        <v>offset 92</v>
      </c>
    </row>
    <row r="5696" customFormat="false" ht="12.8" hidden="false" customHeight="false" outlineLevel="0" collapsed="false">
      <c r="A5696" s="0" t="s">
        <v>12</v>
      </c>
      <c r="B5696" s="0" t="n">
        <v>1792306</v>
      </c>
      <c r="C5696" s="0" t="n">
        <v>1792326</v>
      </c>
      <c r="D5696" s="0" t="s">
        <v>18977</v>
      </c>
      <c r="E5696" s="0" t="s">
        <v>75</v>
      </c>
      <c r="F5696" s="0" t="s">
        <v>15</v>
      </c>
      <c r="G5696" s="0" t="s">
        <v>20</v>
      </c>
      <c r="H5696" s="0" t="n">
        <v>113</v>
      </c>
      <c r="I5696" s="0" t="s">
        <v>18987</v>
      </c>
      <c r="J5696" s="0" t="s">
        <v>18988</v>
      </c>
      <c r="K5696" s="0" t="s">
        <v>18989</v>
      </c>
      <c r="L5696" s="0" t="str">
        <f aca="false">HYPERLINK("https://www.ncbi.nlm.nih.gov/nuccore/CP000058.1?report=graph&amp;tracks=[key:gene_model_track,Options:GeneOnly]&amp;mk=1792210:1792229|offset_16|444444,1792240:1792259|offset_46|444444,1792286:1792305|offset_92|444444,1792307:1792326|offset_113|00cc00&amp;v=1792009:1792526&amp;c=444444", "offset 113")</f>
        <v>offset 113</v>
      </c>
    </row>
    <row r="5697" customFormat="false" ht="12.8" hidden="false" customHeight="false" outlineLevel="0" collapsed="false">
      <c r="A5697" s="0" t="s">
        <v>12</v>
      </c>
      <c r="B5697" s="0" t="n">
        <v>1793406</v>
      </c>
      <c r="C5697" s="0" t="n">
        <v>1793426</v>
      </c>
      <c r="D5697" s="0" t="s">
        <v>18990</v>
      </c>
      <c r="E5697" s="0" t="s">
        <v>75</v>
      </c>
      <c r="F5697" s="0" t="s">
        <v>15</v>
      </c>
      <c r="G5697" s="0" t="s">
        <v>36</v>
      </c>
      <c r="H5697" s="0" t="n">
        <v>94</v>
      </c>
      <c r="I5697" s="0" t="s">
        <v>18991</v>
      </c>
      <c r="J5697" s="0" t="s">
        <v>18992</v>
      </c>
      <c r="K5697" s="0" t="s">
        <v>18993</v>
      </c>
      <c r="L5697" s="0" t="str">
        <f aca="false">HYPERLINK("https://www.ncbi.nlm.nih.gov/nuccore/CP000058.1?report=graph&amp;tracks=[key:gene_model_track,Options:GeneOnly]&amp;mk=1793407:1793426|offset_94|00cc00,1793429:1793448|offset_116|444444,1793456:1793475|offset_143|444444,1793479:1793498|offset_166|444444&amp;v=1793206:1793698&amp;c=444444", "offset 94")</f>
        <v>offset 94</v>
      </c>
    </row>
    <row r="5698" customFormat="false" ht="12.8" hidden="false" customHeight="false" outlineLevel="0" collapsed="false">
      <c r="A5698" s="0" t="s">
        <v>12</v>
      </c>
      <c r="B5698" s="0" t="n">
        <v>1793428</v>
      </c>
      <c r="C5698" s="0" t="n">
        <v>1793448</v>
      </c>
      <c r="D5698" s="0" t="s">
        <v>18990</v>
      </c>
      <c r="E5698" s="0" t="s">
        <v>75</v>
      </c>
      <c r="F5698" s="0" t="s">
        <v>15</v>
      </c>
      <c r="G5698" s="0" t="s">
        <v>20</v>
      </c>
      <c r="H5698" s="0" t="n">
        <v>116</v>
      </c>
      <c r="I5698" s="0" t="s">
        <v>18994</v>
      </c>
      <c r="J5698" s="0" t="s">
        <v>18995</v>
      </c>
      <c r="K5698" s="0" t="s">
        <v>18996</v>
      </c>
      <c r="L5698" s="0" t="str">
        <f aca="false">HYPERLINK("https://www.ncbi.nlm.nih.gov/nuccore/CP000058.1?report=graph&amp;tracks=[key:gene_model_track,Options:GeneOnly]&amp;mk=1793407:1793426|offset_94|444444,1793429:1793448|offset_116|00cc00,1793456:1793475|offset_143|444444,1793479:1793498|offset_166|444444&amp;v=1793206:1793698&amp;c=444444", "offset 116")</f>
        <v>offset 116</v>
      </c>
    </row>
    <row r="5699" customFormat="false" ht="12.8" hidden="false" customHeight="false" outlineLevel="0" collapsed="false">
      <c r="A5699" s="0" t="s">
        <v>12</v>
      </c>
      <c r="B5699" s="0" t="n">
        <v>1793455</v>
      </c>
      <c r="C5699" s="0" t="n">
        <v>1793475</v>
      </c>
      <c r="D5699" s="0" t="s">
        <v>18990</v>
      </c>
      <c r="E5699" s="0" t="s">
        <v>75</v>
      </c>
      <c r="F5699" s="0" t="s">
        <v>15</v>
      </c>
      <c r="G5699" s="0" t="s">
        <v>32</v>
      </c>
      <c r="H5699" s="0" t="n">
        <v>143</v>
      </c>
      <c r="I5699" s="0" t="s">
        <v>18997</v>
      </c>
      <c r="J5699" s="0" t="s">
        <v>18998</v>
      </c>
      <c r="K5699" s="0" t="s">
        <v>18999</v>
      </c>
      <c r="L5699" s="0" t="str">
        <f aca="false">HYPERLINK("https://www.ncbi.nlm.nih.gov/nuccore/CP000058.1?report=graph&amp;tracks=[key:gene_model_track,Options:GeneOnly]&amp;mk=1793407:1793426|offset_94|444444,1793429:1793448|offset_116|444444,1793456:1793475|offset_143|00cc00,1793479:1793498|offset_166|444444&amp;v=1793206:1793698&amp;c=444444", "offset 143")</f>
        <v>offset 143</v>
      </c>
    </row>
    <row r="5700" customFormat="false" ht="12.8" hidden="false" customHeight="false" outlineLevel="0" collapsed="false">
      <c r="A5700" s="0" t="s">
        <v>12</v>
      </c>
      <c r="B5700" s="0" t="n">
        <v>1793478</v>
      </c>
      <c r="C5700" s="0" t="n">
        <v>1793498</v>
      </c>
      <c r="D5700" s="0" t="s">
        <v>18990</v>
      </c>
      <c r="E5700" s="0" t="s">
        <v>75</v>
      </c>
      <c r="F5700" s="0" t="s">
        <v>15</v>
      </c>
      <c r="G5700" s="0" t="s">
        <v>36</v>
      </c>
      <c r="H5700" s="0" t="n">
        <v>166</v>
      </c>
      <c r="I5700" s="0" t="s">
        <v>19000</v>
      </c>
      <c r="J5700" s="0" t="s">
        <v>19001</v>
      </c>
      <c r="K5700" s="0" t="s">
        <v>19002</v>
      </c>
      <c r="L5700" s="0" t="str">
        <f aca="false">HYPERLINK("https://www.ncbi.nlm.nih.gov/nuccore/CP000058.1?report=graph&amp;tracks=[key:gene_model_track,Options:GeneOnly]&amp;mk=1793407:1793426|offset_94|444444,1793429:1793448|offset_116|444444,1793456:1793475|offset_143|444444,1793479:1793498|offset_166|00cc00&amp;v=1793206:1793698&amp;c=444444", "offset 166")</f>
        <v>offset 166</v>
      </c>
    </row>
    <row r="5701" customFormat="false" ht="12.8" hidden="false" customHeight="false" outlineLevel="0" collapsed="false">
      <c r="A5701" s="0" t="s">
        <v>12</v>
      </c>
      <c r="B5701" s="0" t="n">
        <v>1794125</v>
      </c>
      <c r="C5701" s="0" t="n">
        <v>1794145</v>
      </c>
      <c r="D5701" s="0" t="s">
        <v>19003</v>
      </c>
      <c r="E5701" s="0" t="s">
        <v>19004</v>
      </c>
      <c r="F5701" s="0" t="s">
        <v>15</v>
      </c>
      <c r="G5701" s="0" t="s">
        <v>16</v>
      </c>
      <c r="H5701" s="0" t="n">
        <v>26</v>
      </c>
      <c r="I5701" s="0" t="s">
        <v>19005</v>
      </c>
      <c r="J5701" s="0" t="s">
        <v>19006</v>
      </c>
      <c r="K5701" s="0" t="s">
        <v>19007</v>
      </c>
      <c r="L5701" s="0" t="str">
        <f aca="false">HYPERLINK("https://www.ncbi.nlm.nih.gov/nuccore/CP000058.1?report=graph&amp;tracks=[key:gene_model_track,Options:GeneOnly]&amp;mk=1794126:1794145|offset_26|00cc00,1794155:1794174|offset_55|444444,1794177:1794196|offset_77|444444,1794234:1794253|offset_134|444444&amp;v=1793925:1794453&amp;c=444444", "offset 26")</f>
        <v>offset 26</v>
      </c>
    </row>
    <row r="5702" customFormat="false" ht="12.8" hidden="false" customHeight="false" outlineLevel="0" collapsed="false">
      <c r="A5702" s="0" t="s">
        <v>12</v>
      </c>
      <c r="B5702" s="0" t="n">
        <v>1794154</v>
      </c>
      <c r="C5702" s="0" t="n">
        <v>1794174</v>
      </c>
      <c r="D5702" s="0" t="s">
        <v>19003</v>
      </c>
      <c r="E5702" s="0" t="s">
        <v>19004</v>
      </c>
      <c r="F5702" s="0" t="s">
        <v>15</v>
      </c>
      <c r="G5702" s="0" t="s">
        <v>16</v>
      </c>
      <c r="H5702" s="0" t="n">
        <v>55</v>
      </c>
      <c r="I5702" s="0" t="s">
        <v>19008</v>
      </c>
      <c r="J5702" s="0" t="s">
        <v>19009</v>
      </c>
      <c r="K5702" s="0" t="s">
        <v>19010</v>
      </c>
      <c r="L5702" s="0" t="str">
        <f aca="false">HYPERLINK("https://www.ncbi.nlm.nih.gov/nuccore/CP000058.1?report=graph&amp;tracks=[key:gene_model_track,Options:GeneOnly]&amp;mk=1794126:1794145|offset_26|444444,1794155:1794174|offset_55|00cc00,1794177:1794196|offset_77|444444,1794234:1794253|offset_134|444444&amp;v=1793925:1794453&amp;c=444444", "offset 55")</f>
        <v>offset 55</v>
      </c>
    </row>
    <row r="5703" customFormat="false" ht="12.8" hidden="false" customHeight="false" outlineLevel="0" collapsed="false">
      <c r="A5703" s="0" t="s">
        <v>12</v>
      </c>
      <c r="B5703" s="0" t="n">
        <v>1794176</v>
      </c>
      <c r="C5703" s="0" t="n">
        <v>1794196</v>
      </c>
      <c r="D5703" s="0" t="s">
        <v>19003</v>
      </c>
      <c r="E5703" s="0" t="s">
        <v>19004</v>
      </c>
      <c r="F5703" s="0" t="s">
        <v>15</v>
      </c>
      <c r="G5703" s="0" t="s">
        <v>20</v>
      </c>
      <c r="H5703" s="0" t="n">
        <v>77</v>
      </c>
      <c r="I5703" s="0" t="s">
        <v>19011</v>
      </c>
      <c r="J5703" s="0" t="s">
        <v>19012</v>
      </c>
      <c r="K5703" s="0" t="s">
        <v>19013</v>
      </c>
      <c r="L5703" s="0" t="str">
        <f aca="false">HYPERLINK("https://www.ncbi.nlm.nih.gov/nuccore/CP000058.1?report=graph&amp;tracks=[key:gene_model_track,Options:GeneOnly]&amp;mk=1794126:1794145|offset_26|444444,1794155:1794174|offset_55|444444,1794177:1794196|offset_77|00cc00,1794234:1794253|offset_134|444444&amp;v=1793925:1794453&amp;c=444444", "offset 77")</f>
        <v>offset 77</v>
      </c>
    </row>
    <row r="5704" customFormat="false" ht="12.8" hidden="false" customHeight="false" outlineLevel="0" collapsed="false">
      <c r="A5704" s="0" t="s">
        <v>12</v>
      </c>
      <c r="B5704" s="0" t="n">
        <v>1794233</v>
      </c>
      <c r="C5704" s="0" t="n">
        <v>1794253</v>
      </c>
      <c r="D5704" s="0" t="s">
        <v>19003</v>
      </c>
      <c r="E5704" s="0" t="s">
        <v>19004</v>
      </c>
      <c r="F5704" s="0" t="s">
        <v>15</v>
      </c>
      <c r="G5704" s="0" t="s">
        <v>16</v>
      </c>
      <c r="H5704" s="0" t="n">
        <v>134</v>
      </c>
      <c r="I5704" s="0" t="s">
        <v>19014</v>
      </c>
      <c r="J5704" s="0" t="s">
        <v>19015</v>
      </c>
      <c r="K5704" s="0" t="s">
        <v>19016</v>
      </c>
      <c r="L5704" s="0" t="str">
        <f aca="false">HYPERLINK("https://www.ncbi.nlm.nih.gov/nuccore/CP000058.1?report=graph&amp;tracks=[key:gene_model_track,Options:GeneOnly]&amp;mk=1794126:1794145|offset_26|444444,1794155:1794174|offset_55|444444,1794177:1794196|offset_77|444444,1794234:1794253|offset_134|00cc00&amp;v=1793925:1794453&amp;c=444444", "offset 134")</f>
        <v>offset 134</v>
      </c>
    </row>
    <row r="5705" customFormat="false" ht="12.8" hidden="false" customHeight="false" outlineLevel="0" collapsed="false">
      <c r="A5705" s="0" t="s">
        <v>12</v>
      </c>
      <c r="B5705" s="0" t="n">
        <v>1795386</v>
      </c>
      <c r="C5705" s="0" t="n">
        <v>1795406</v>
      </c>
      <c r="D5705" s="0" t="s">
        <v>19017</v>
      </c>
      <c r="E5705" s="0" t="s">
        <v>75</v>
      </c>
      <c r="F5705" s="0" t="s">
        <v>90</v>
      </c>
      <c r="G5705" s="0" t="s">
        <v>16</v>
      </c>
      <c r="H5705" s="0" t="n">
        <v>31</v>
      </c>
      <c r="I5705" s="0" t="s">
        <v>19018</v>
      </c>
      <c r="J5705" s="0" t="s">
        <v>19019</v>
      </c>
      <c r="K5705" s="0" t="s">
        <v>19020</v>
      </c>
      <c r="L5705" s="0" t="str">
        <f aca="false">HYPERLINK("https://www.ncbi.nlm.nih.gov/nuccore/CP000058.1?report=graph&amp;tracks=[key:gene_model_track,Options:GeneOnly]&amp;mk=1795387:1795406|offset_31|00cc00,1795338:1795357|offset_80|444444,1795309:1795328|offset_109|444444,1795260:1795279|offset_158|444444&amp;v=1795186:1795479&amp;c=444444", "offset 31")</f>
        <v>offset 31</v>
      </c>
    </row>
    <row r="5706" customFormat="false" ht="12.8" hidden="false" customHeight="false" outlineLevel="0" collapsed="false">
      <c r="A5706" s="0" t="s">
        <v>12</v>
      </c>
      <c r="B5706" s="0" t="n">
        <v>1795337</v>
      </c>
      <c r="C5706" s="0" t="n">
        <v>1795357</v>
      </c>
      <c r="D5706" s="0" t="s">
        <v>19017</v>
      </c>
      <c r="E5706" s="0" t="s">
        <v>75</v>
      </c>
      <c r="F5706" s="0" t="s">
        <v>90</v>
      </c>
      <c r="G5706" s="0" t="s">
        <v>32</v>
      </c>
      <c r="H5706" s="0" t="n">
        <v>80</v>
      </c>
      <c r="I5706" s="0" t="s">
        <v>19021</v>
      </c>
      <c r="J5706" s="0" t="s">
        <v>19022</v>
      </c>
      <c r="K5706" s="0" t="s">
        <v>19023</v>
      </c>
      <c r="L5706" s="0" t="str">
        <f aca="false">HYPERLINK("https://www.ncbi.nlm.nih.gov/nuccore/CP000058.1?report=graph&amp;tracks=[key:gene_model_track,Options:GeneOnly]&amp;mk=1795387:1795406|offset_31|444444,1795338:1795357|offset_80|00cc00,1795309:1795328|offset_109|444444,1795260:1795279|offset_158|444444&amp;v=1795186:1795479&amp;c=444444", "offset 80")</f>
        <v>offset 80</v>
      </c>
    </row>
    <row r="5707" customFormat="false" ht="12.8" hidden="false" customHeight="false" outlineLevel="0" collapsed="false">
      <c r="A5707" s="0" t="s">
        <v>12</v>
      </c>
      <c r="B5707" s="0" t="n">
        <v>1795308</v>
      </c>
      <c r="C5707" s="0" t="n">
        <v>1795328</v>
      </c>
      <c r="D5707" s="0" t="s">
        <v>19017</v>
      </c>
      <c r="E5707" s="0" t="s">
        <v>75</v>
      </c>
      <c r="F5707" s="0" t="s">
        <v>90</v>
      </c>
      <c r="G5707" s="0" t="s">
        <v>32</v>
      </c>
      <c r="H5707" s="0" t="n">
        <v>109</v>
      </c>
      <c r="I5707" s="0" t="s">
        <v>19024</v>
      </c>
      <c r="J5707" s="0" t="s">
        <v>19025</v>
      </c>
      <c r="K5707" s="0" t="s">
        <v>19026</v>
      </c>
      <c r="L5707" s="0" t="str">
        <f aca="false">HYPERLINK("https://www.ncbi.nlm.nih.gov/nuccore/CP000058.1?report=graph&amp;tracks=[key:gene_model_track,Options:GeneOnly]&amp;mk=1795387:1795406|offset_31|444444,1795338:1795357|offset_80|444444,1795309:1795328|offset_109|00cc00,1795260:1795279|offset_158|444444&amp;v=1795186:1795479&amp;c=444444", "offset 109")</f>
        <v>offset 109</v>
      </c>
    </row>
    <row r="5708" customFormat="false" ht="12.8" hidden="false" customHeight="false" outlineLevel="0" collapsed="false">
      <c r="A5708" s="0" t="s">
        <v>12</v>
      </c>
      <c r="B5708" s="0" t="n">
        <v>1795259</v>
      </c>
      <c r="C5708" s="0" t="n">
        <v>1795279</v>
      </c>
      <c r="D5708" s="0" t="s">
        <v>19017</v>
      </c>
      <c r="E5708" s="0" t="s">
        <v>75</v>
      </c>
      <c r="F5708" s="0" t="s">
        <v>90</v>
      </c>
      <c r="G5708" s="0" t="s">
        <v>36</v>
      </c>
      <c r="H5708" s="0" t="n">
        <v>158</v>
      </c>
      <c r="I5708" s="0" t="s">
        <v>19027</v>
      </c>
      <c r="J5708" s="0" t="s">
        <v>19028</v>
      </c>
      <c r="K5708" s="0" t="s">
        <v>19029</v>
      </c>
      <c r="L5708" s="0" t="str">
        <f aca="false">HYPERLINK("https://www.ncbi.nlm.nih.gov/nuccore/CP000058.1?report=graph&amp;tracks=[key:gene_model_track,Options:GeneOnly]&amp;mk=1795387:1795406|offset_31|444444,1795338:1795357|offset_80|444444,1795309:1795328|offset_109|444444,1795260:1795279|offset_158|00cc00&amp;v=1795186:1795479&amp;c=444444", "offset 158")</f>
        <v>offset 158</v>
      </c>
    </row>
    <row r="5709" customFormat="false" ht="12.8" hidden="false" customHeight="false" outlineLevel="0" collapsed="false">
      <c r="A5709" s="0" t="s">
        <v>12</v>
      </c>
      <c r="B5709" s="0" t="n">
        <v>1795631</v>
      </c>
      <c r="C5709" s="0" t="n">
        <v>1795651</v>
      </c>
      <c r="D5709" s="0" t="s">
        <v>19030</v>
      </c>
      <c r="E5709" s="0" t="s">
        <v>75</v>
      </c>
      <c r="F5709" s="0" t="s">
        <v>90</v>
      </c>
      <c r="G5709" s="0" t="s">
        <v>20</v>
      </c>
      <c r="H5709" s="0" t="n">
        <v>12</v>
      </c>
      <c r="I5709" s="0" t="s">
        <v>19031</v>
      </c>
      <c r="J5709" s="0" t="s">
        <v>19032</v>
      </c>
      <c r="K5709" s="0" t="s">
        <v>19033</v>
      </c>
      <c r="L5709" s="0" t="str">
        <f aca="false">HYPERLINK("https://www.ncbi.nlm.nih.gov/nuccore/CP000058.1?report=graph&amp;tracks=[key:gene_model_track,Options:GeneOnly]&amp;mk=1795632:1795651|offset_12|00cc00,1795585:1795604|offset_59|444444,1795564:1795583|offset_80|444444,1795535:1795554|offset_109|444444&amp;v=1795431:1795754&amp;c=444444", "offset 12")</f>
        <v>offset 12</v>
      </c>
    </row>
    <row r="5710" customFormat="false" ht="12.8" hidden="false" customHeight="false" outlineLevel="0" collapsed="false">
      <c r="A5710" s="0" t="s">
        <v>12</v>
      </c>
      <c r="B5710" s="0" t="n">
        <v>1795584</v>
      </c>
      <c r="C5710" s="0" t="n">
        <v>1795604</v>
      </c>
      <c r="D5710" s="0" t="s">
        <v>19030</v>
      </c>
      <c r="E5710" s="0" t="s">
        <v>75</v>
      </c>
      <c r="F5710" s="0" t="s">
        <v>90</v>
      </c>
      <c r="G5710" s="0" t="s">
        <v>32</v>
      </c>
      <c r="H5710" s="0" t="n">
        <v>59</v>
      </c>
      <c r="I5710" s="0" t="s">
        <v>19034</v>
      </c>
      <c r="J5710" s="0" t="s">
        <v>19035</v>
      </c>
      <c r="K5710" s="0" t="s">
        <v>19036</v>
      </c>
      <c r="L5710" s="0" t="str">
        <f aca="false">HYPERLINK("https://www.ncbi.nlm.nih.gov/nuccore/CP000058.1?report=graph&amp;tracks=[key:gene_model_track,Options:GeneOnly]&amp;mk=1795632:1795651|offset_12|444444,1795585:1795604|offset_59|00cc00,1795564:1795583|offset_80|444444,1795535:1795554|offset_109|444444&amp;v=1795431:1795754&amp;c=444444", "offset 59")</f>
        <v>offset 59</v>
      </c>
    </row>
    <row r="5711" customFormat="false" ht="12.8" hidden="false" customHeight="false" outlineLevel="0" collapsed="false">
      <c r="A5711" s="0" t="s">
        <v>12</v>
      </c>
      <c r="B5711" s="0" t="n">
        <v>1795563</v>
      </c>
      <c r="C5711" s="0" t="n">
        <v>1795583</v>
      </c>
      <c r="D5711" s="0" t="s">
        <v>19030</v>
      </c>
      <c r="E5711" s="0" t="s">
        <v>75</v>
      </c>
      <c r="F5711" s="0" t="s">
        <v>90</v>
      </c>
      <c r="G5711" s="0" t="s">
        <v>16</v>
      </c>
      <c r="H5711" s="0" t="n">
        <v>80</v>
      </c>
      <c r="I5711" s="0" t="s">
        <v>19037</v>
      </c>
      <c r="J5711" s="0" t="s">
        <v>19038</v>
      </c>
      <c r="K5711" s="0" t="s">
        <v>19039</v>
      </c>
      <c r="L5711" s="0" t="str">
        <f aca="false">HYPERLINK("https://www.ncbi.nlm.nih.gov/nuccore/CP000058.1?report=graph&amp;tracks=[key:gene_model_track,Options:GeneOnly]&amp;mk=1795632:1795651|offset_12|444444,1795585:1795604|offset_59|444444,1795564:1795583|offset_80|00cc00,1795535:1795554|offset_109|444444&amp;v=1795431:1795754&amp;c=444444", "offset 80")</f>
        <v>offset 80</v>
      </c>
    </row>
    <row r="5712" customFormat="false" ht="12.8" hidden="false" customHeight="false" outlineLevel="0" collapsed="false">
      <c r="A5712" s="0" t="s">
        <v>12</v>
      </c>
      <c r="B5712" s="0" t="n">
        <v>1795534</v>
      </c>
      <c r="C5712" s="0" t="n">
        <v>1795554</v>
      </c>
      <c r="D5712" s="0" t="s">
        <v>19030</v>
      </c>
      <c r="E5712" s="0" t="s">
        <v>75</v>
      </c>
      <c r="F5712" s="0" t="s">
        <v>90</v>
      </c>
      <c r="G5712" s="0" t="s">
        <v>20</v>
      </c>
      <c r="H5712" s="0" t="n">
        <v>109</v>
      </c>
      <c r="I5712" s="0" t="s">
        <v>19040</v>
      </c>
      <c r="J5712" s="0" t="s">
        <v>19041</v>
      </c>
      <c r="K5712" s="0" t="s">
        <v>19042</v>
      </c>
      <c r="L5712" s="0" t="str">
        <f aca="false">HYPERLINK("https://www.ncbi.nlm.nih.gov/nuccore/CP000058.1?report=graph&amp;tracks=[key:gene_model_track,Options:GeneOnly]&amp;mk=1795632:1795651|offset_12|444444,1795585:1795604|offset_59|444444,1795564:1795583|offset_80|444444,1795535:1795554|offset_109|00cc00&amp;v=1795431:1795754&amp;c=444444", "offset 109")</f>
        <v>offset 109</v>
      </c>
    </row>
    <row r="5713" customFormat="false" ht="12.8" hidden="false" customHeight="false" outlineLevel="0" collapsed="false">
      <c r="A5713" s="0" t="s">
        <v>12</v>
      </c>
      <c r="B5713" s="0" t="n">
        <v>1795967</v>
      </c>
      <c r="C5713" s="0" t="n">
        <v>1795987</v>
      </c>
      <c r="D5713" s="0" t="s">
        <v>19043</v>
      </c>
      <c r="E5713" s="0" t="s">
        <v>75</v>
      </c>
      <c r="F5713" s="0" t="s">
        <v>15</v>
      </c>
      <c r="G5713" s="0" t="s">
        <v>36</v>
      </c>
      <c r="H5713" s="0" t="n">
        <v>36</v>
      </c>
      <c r="I5713" s="0" t="s">
        <v>19044</v>
      </c>
      <c r="J5713" s="0" t="s">
        <v>19045</v>
      </c>
      <c r="K5713" s="0" t="s">
        <v>19046</v>
      </c>
      <c r="L5713" s="0" t="str">
        <f aca="false">HYPERLINK("https://www.ncbi.nlm.nih.gov/nuccore/CP000058.1?report=graph&amp;tracks=[key:gene_model_track,Options:GeneOnly]&amp;mk=1795968:1795987|offset_36|00cc00,1796002:1796021|offset_70|444444,1796071:1796090|offset_139|444444,1796119:1796138|offset_187|444444&amp;v=1795767:1796338&amp;c=444444", "offset 36")</f>
        <v>offset 36</v>
      </c>
    </row>
    <row r="5714" customFormat="false" ht="12.8" hidden="false" customHeight="false" outlineLevel="0" collapsed="false">
      <c r="A5714" s="0" t="s">
        <v>12</v>
      </c>
      <c r="B5714" s="0" t="n">
        <v>1796001</v>
      </c>
      <c r="C5714" s="0" t="n">
        <v>1796021</v>
      </c>
      <c r="D5714" s="0" t="s">
        <v>19043</v>
      </c>
      <c r="E5714" s="0" t="s">
        <v>75</v>
      </c>
      <c r="F5714" s="0" t="s">
        <v>15</v>
      </c>
      <c r="G5714" s="0" t="s">
        <v>36</v>
      </c>
      <c r="H5714" s="0" t="n">
        <v>70</v>
      </c>
      <c r="I5714" s="0" t="s">
        <v>19047</v>
      </c>
      <c r="J5714" s="0" t="s">
        <v>19048</v>
      </c>
      <c r="K5714" s="0" t="s">
        <v>19049</v>
      </c>
      <c r="L5714" s="0" t="str">
        <f aca="false">HYPERLINK("https://www.ncbi.nlm.nih.gov/nuccore/CP000058.1?report=graph&amp;tracks=[key:gene_model_track,Options:GeneOnly]&amp;mk=1795968:1795987|offset_36|444444,1796002:1796021|offset_70|00cc00,1796071:1796090|offset_139|444444,1796119:1796138|offset_187|444444&amp;v=1795767:1796338&amp;c=444444", "offset 70")</f>
        <v>offset 70</v>
      </c>
    </row>
    <row r="5715" customFormat="false" ht="12.8" hidden="false" customHeight="false" outlineLevel="0" collapsed="false">
      <c r="A5715" s="0" t="s">
        <v>12</v>
      </c>
      <c r="B5715" s="0" t="n">
        <v>1796070</v>
      </c>
      <c r="C5715" s="0" t="n">
        <v>1796090</v>
      </c>
      <c r="D5715" s="0" t="s">
        <v>19043</v>
      </c>
      <c r="E5715" s="0" t="s">
        <v>75</v>
      </c>
      <c r="F5715" s="0" t="s">
        <v>15</v>
      </c>
      <c r="G5715" s="0" t="s">
        <v>32</v>
      </c>
      <c r="H5715" s="0" t="n">
        <v>139</v>
      </c>
      <c r="I5715" s="0" t="s">
        <v>19050</v>
      </c>
      <c r="J5715" s="0" t="s">
        <v>19051</v>
      </c>
      <c r="K5715" s="0" t="s">
        <v>19052</v>
      </c>
      <c r="L5715" s="0" t="str">
        <f aca="false">HYPERLINK("https://www.ncbi.nlm.nih.gov/nuccore/CP000058.1?report=graph&amp;tracks=[key:gene_model_track,Options:GeneOnly]&amp;mk=1795968:1795987|offset_36|444444,1796002:1796021|offset_70|444444,1796071:1796090|offset_139|00cc00,1796119:1796138|offset_187|444444&amp;v=1795767:1796338&amp;c=444444", "offset 139")</f>
        <v>offset 139</v>
      </c>
    </row>
    <row r="5716" customFormat="false" ht="12.8" hidden="false" customHeight="false" outlineLevel="0" collapsed="false">
      <c r="A5716" s="0" t="s">
        <v>12</v>
      </c>
      <c r="B5716" s="0" t="n">
        <v>1796118</v>
      </c>
      <c r="C5716" s="0" t="n">
        <v>1796138</v>
      </c>
      <c r="D5716" s="0" t="s">
        <v>19043</v>
      </c>
      <c r="E5716" s="0" t="s">
        <v>75</v>
      </c>
      <c r="F5716" s="0" t="s">
        <v>15</v>
      </c>
      <c r="G5716" s="0" t="s">
        <v>16</v>
      </c>
      <c r="H5716" s="0" t="n">
        <v>187</v>
      </c>
      <c r="I5716" s="0" t="s">
        <v>19053</v>
      </c>
      <c r="J5716" s="0" t="s">
        <v>19054</v>
      </c>
      <c r="K5716" s="0" t="s">
        <v>19055</v>
      </c>
      <c r="L5716" s="0" t="str">
        <f aca="false">HYPERLINK("https://www.ncbi.nlm.nih.gov/nuccore/CP000058.1?report=graph&amp;tracks=[key:gene_model_track,Options:GeneOnly]&amp;mk=1795968:1795987|offset_36|444444,1796002:1796021|offset_70|444444,1796071:1796090|offset_139|444444,1796119:1796138|offset_187|00cc00&amp;v=1795767:1796338&amp;c=444444", "offset 187")</f>
        <v>offset 187</v>
      </c>
    </row>
    <row r="5717" customFormat="false" ht="12.8" hidden="false" customHeight="false" outlineLevel="0" collapsed="false">
      <c r="A5717" s="0" t="s">
        <v>12</v>
      </c>
      <c r="B5717" s="0" t="n">
        <v>1796732</v>
      </c>
      <c r="C5717" s="0" t="n">
        <v>1796752</v>
      </c>
      <c r="D5717" s="0" t="s">
        <v>19056</v>
      </c>
      <c r="E5717" s="0" t="s">
        <v>75</v>
      </c>
      <c r="F5717" s="0" t="s">
        <v>15</v>
      </c>
      <c r="G5717" s="0" t="s">
        <v>32</v>
      </c>
      <c r="H5717" s="0" t="n">
        <v>37</v>
      </c>
      <c r="I5717" s="0" t="s">
        <v>19057</v>
      </c>
      <c r="J5717" s="0" t="s">
        <v>19058</v>
      </c>
      <c r="K5717" s="0" t="s">
        <v>19059</v>
      </c>
      <c r="L5717" s="0" t="str">
        <f aca="false">HYPERLINK("https://www.ncbi.nlm.nih.gov/nuccore/CP000058.1?report=graph&amp;tracks=[key:gene_model_track,Options:GeneOnly]&amp;mk=1796733:1796752|offset_37|00cc00,1796771:1796790|offset_75|444444,1796791:1796810|offset_95|444444,1796817:1796836|offset_121|444444&amp;v=1796532:1797036&amp;c=444444", "offset 37")</f>
        <v>offset 37</v>
      </c>
    </row>
    <row r="5718" customFormat="false" ht="12.8" hidden="false" customHeight="false" outlineLevel="0" collapsed="false">
      <c r="A5718" s="0" t="s">
        <v>12</v>
      </c>
      <c r="B5718" s="0" t="n">
        <v>1796770</v>
      </c>
      <c r="C5718" s="0" t="n">
        <v>1796790</v>
      </c>
      <c r="D5718" s="0" t="s">
        <v>19056</v>
      </c>
      <c r="E5718" s="0" t="s">
        <v>75</v>
      </c>
      <c r="F5718" s="0" t="s">
        <v>15</v>
      </c>
      <c r="G5718" s="0" t="s">
        <v>36</v>
      </c>
      <c r="H5718" s="0" t="n">
        <v>75</v>
      </c>
      <c r="I5718" s="0" t="s">
        <v>19060</v>
      </c>
      <c r="J5718" s="0" t="s">
        <v>19061</v>
      </c>
      <c r="K5718" s="0" t="s">
        <v>19062</v>
      </c>
      <c r="L5718" s="0" t="str">
        <f aca="false">HYPERLINK("https://www.ncbi.nlm.nih.gov/nuccore/CP000058.1?report=graph&amp;tracks=[key:gene_model_track,Options:GeneOnly]&amp;mk=1796733:1796752|offset_37|444444,1796771:1796790|offset_75|00cc00,1796791:1796810|offset_95|444444,1796817:1796836|offset_121|444444&amp;v=1796532:1797036&amp;c=444444", "offset 75")</f>
        <v>offset 75</v>
      </c>
    </row>
    <row r="5719" customFormat="false" ht="12.8" hidden="false" customHeight="false" outlineLevel="0" collapsed="false">
      <c r="A5719" s="0" t="s">
        <v>12</v>
      </c>
      <c r="B5719" s="0" t="n">
        <v>1796790</v>
      </c>
      <c r="C5719" s="0" t="n">
        <v>1796810</v>
      </c>
      <c r="D5719" s="0" t="s">
        <v>19056</v>
      </c>
      <c r="E5719" s="0" t="s">
        <v>75</v>
      </c>
      <c r="F5719" s="0" t="s">
        <v>15</v>
      </c>
      <c r="G5719" s="0" t="s">
        <v>20</v>
      </c>
      <c r="H5719" s="0" t="n">
        <v>95</v>
      </c>
      <c r="I5719" s="0" t="s">
        <v>19063</v>
      </c>
      <c r="J5719" s="0" t="s">
        <v>19064</v>
      </c>
      <c r="K5719" s="0" t="s">
        <v>19065</v>
      </c>
      <c r="L5719" s="0" t="str">
        <f aca="false">HYPERLINK("https://www.ncbi.nlm.nih.gov/nuccore/CP000058.1?report=graph&amp;tracks=[key:gene_model_track,Options:GeneOnly]&amp;mk=1796733:1796752|offset_37|444444,1796771:1796790|offset_75|444444,1796791:1796810|offset_95|00cc00,1796817:1796836|offset_121|444444&amp;v=1796532:1797036&amp;c=444444", "offset 95")</f>
        <v>offset 95</v>
      </c>
    </row>
    <row r="5720" customFormat="false" ht="12.8" hidden="false" customHeight="false" outlineLevel="0" collapsed="false">
      <c r="A5720" s="0" t="s">
        <v>12</v>
      </c>
      <c r="B5720" s="0" t="n">
        <v>1796816</v>
      </c>
      <c r="C5720" s="0" t="n">
        <v>1796836</v>
      </c>
      <c r="D5720" s="0" t="s">
        <v>19056</v>
      </c>
      <c r="E5720" s="0" t="s">
        <v>75</v>
      </c>
      <c r="F5720" s="0" t="s">
        <v>15</v>
      </c>
      <c r="G5720" s="0" t="s">
        <v>36</v>
      </c>
      <c r="H5720" s="0" t="n">
        <v>121</v>
      </c>
      <c r="I5720" s="0" t="s">
        <v>19066</v>
      </c>
      <c r="J5720" s="0" t="s">
        <v>19067</v>
      </c>
      <c r="K5720" s="0" t="s">
        <v>19068</v>
      </c>
      <c r="L5720" s="0" t="str">
        <f aca="false">HYPERLINK("https://www.ncbi.nlm.nih.gov/nuccore/CP000058.1?report=graph&amp;tracks=[key:gene_model_track,Options:GeneOnly]&amp;mk=1796733:1796752|offset_37|444444,1796771:1796790|offset_75|444444,1796791:1796810|offset_95|444444,1796817:1796836|offset_121|00cc00&amp;v=1796532:1797036&amp;c=444444", "offset 121")</f>
        <v>offset 121</v>
      </c>
    </row>
    <row r="5721" customFormat="false" ht="12.8" hidden="false" customHeight="false" outlineLevel="0" collapsed="false">
      <c r="A5721" s="0" t="s">
        <v>12</v>
      </c>
      <c r="B5721" s="0" t="n">
        <v>1798658</v>
      </c>
      <c r="C5721" s="0" t="n">
        <v>1798678</v>
      </c>
      <c r="D5721" s="0" t="s">
        <v>19069</v>
      </c>
      <c r="E5721" s="0" t="s">
        <v>75</v>
      </c>
      <c r="F5721" s="0" t="s">
        <v>15</v>
      </c>
      <c r="G5721" s="0" t="s">
        <v>16</v>
      </c>
      <c r="H5721" s="0" t="n">
        <v>6</v>
      </c>
      <c r="I5721" s="0" t="s">
        <v>19070</v>
      </c>
      <c r="J5721" s="0" t="s">
        <v>19071</v>
      </c>
      <c r="K5721" s="0" t="s">
        <v>19072</v>
      </c>
      <c r="L5721" s="0" t="str">
        <f aca="false">HYPERLINK("https://www.ncbi.nlm.nih.gov/nuccore/CP000058.1?report=graph&amp;tracks=[key:gene_model_track,Options:GeneOnly]&amp;mk=1798659:1798678|offset_6|00cc00,1798680:1798699|offset_27|444444,1798702:1798721|offset_49|444444,1798762:1798781|offset_109|444444&amp;v=1798458:1798981&amp;c=444444", "offset 6")</f>
        <v>offset 6</v>
      </c>
    </row>
    <row r="5722" customFormat="false" ht="12.8" hidden="false" customHeight="false" outlineLevel="0" collapsed="false">
      <c r="A5722" s="0" t="s">
        <v>12</v>
      </c>
      <c r="B5722" s="0" t="n">
        <v>1798679</v>
      </c>
      <c r="C5722" s="0" t="n">
        <v>1798699</v>
      </c>
      <c r="D5722" s="0" t="s">
        <v>19069</v>
      </c>
      <c r="E5722" s="0" t="s">
        <v>75</v>
      </c>
      <c r="F5722" s="0" t="s">
        <v>15</v>
      </c>
      <c r="G5722" s="0" t="s">
        <v>32</v>
      </c>
      <c r="H5722" s="0" t="n">
        <v>27</v>
      </c>
      <c r="I5722" s="0" t="s">
        <v>19073</v>
      </c>
      <c r="J5722" s="0" t="s">
        <v>19074</v>
      </c>
      <c r="K5722" s="0" t="s">
        <v>19075</v>
      </c>
      <c r="L5722" s="0" t="str">
        <f aca="false">HYPERLINK("https://www.ncbi.nlm.nih.gov/nuccore/CP000058.1?report=graph&amp;tracks=[key:gene_model_track,Options:GeneOnly]&amp;mk=1798659:1798678|offset_6|444444,1798680:1798699|offset_27|00cc00,1798702:1798721|offset_49|444444,1798762:1798781|offset_109|444444&amp;v=1798458:1798981&amp;c=444444", "offset 27")</f>
        <v>offset 27</v>
      </c>
    </row>
    <row r="5723" customFormat="false" ht="12.8" hidden="false" customHeight="false" outlineLevel="0" collapsed="false">
      <c r="A5723" s="0" t="s">
        <v>12</v>
      </c>
      <c r="B5723" s="0" t="n">
        <v>1798701</v>
      </c>
      <c r="C5723" s="0" t="n">
        <v>1798721</v>
      </c>
      <c r="D5723" s="0" t="s">
        <v>19069</v>
      </c>
      <c r="E5723" s="0" t="s">
        <v>75</v>
      </c>
      <c r="F5723" s="0" t="s">
        <v>15</v>
      </c>
      <c r="G5723" s="0" t="s">
        <v>32</v>
      </c>
      <c r="H5723" s="0" t="n">
        <v>49</v>
      </c>
      <c r="I5723" s="0" t="s">
        <v>19076</v>
      </c>
      <c r="J5723" s="0" t="s">
        <v>19077</v>
      </c>
      <c r="K5723" s="0" t="s">
        <v>19078</v>
      </c>
      <c r="L5723" s="0" t="str">
        <f aca="false">HYPERLINK("https://www.ncbi.nlm.nih.gov/nuccore/CP000058.1?report=graph&amp;tracks=[key:gene_model_track,Options:GeneOnly]&amp;mk=1798659:1798678|offset_6|444444,1798680:1798699|offset_27|444444,1798702:1798721|offset_49|00cc00,1798762:1798781|offset_109|444444&amp;v=1798458:1798981&amp;c=444444", "offset 49")</f>
        <v>offset 49</v>
      </c>
    </row>
    <row r="5724" customFormat="false" ht="12.8" hidden="false" customHeight="false" outlineLevel="0" collapsed="false">
      <c r="A5724" s="0" t="s">
        <v>12</v>
      </c>
      <c r="B5724" s="0" t="n">
        <v>1798761</v>
      </c>
      <c r="C5724" s="0" t="n">
        <v>1798781</v>
      </c>
      <c r="D5724" s="0" t="s">
        <v>19069</v>
      </c>
      <c r="E5724" s="0" t="s">
        <v>75</v>
      </c>
      <c r="F5724" s="0" t="s">
        <v>15</v>
      </c>
      <c r="G5724" s="0" t="s">
        <v>32</v>
      </c>
      <c r="H5724" s="0" t="n">
        <v>109</v>
      </c>
      <c r="I5724" s="0" t="s">
        <v>19079</v>
      </c>
      <c r="J5724" s="0" t="s">
        <v>19080</v>
      </c>
      <c r="K5724" s="0" t="s">
        <v>19081</v>
      </c>
      <c r="L5724" s="0" t="str">
        <f aca="false">HYPERLINK("https://www.ncbi.nlm.nih.gov/nuccore/CP000058.1?report=graph&amp;tracks=[key:gene_model_track,Options:GeneOnly]&amp;mk=1798659:1798678|offset_6|444444,1798680:1798699|offset_27|444444,1798702:1798721|offset_49|444444,1798762:1798781|offset_109|00cc00&amp;v=1798458:1798981&amp;c=444444", "offset 109")</f>
        <v>offset 109</v>
      </c>
    </row>
    <row r="5725" customFormat="false" ht="12.8" hidden="false" customHeight="false" outlineLevel="0" collapsed="false">
      <c r="A5725" s="0" t="s">
        <v>12</v>
      </c>
      <c r="B5725" s="0" t="n">
        <v>1800491</v>
      </c>
      <c r="C5725" s="0" t="n">
        <v>1800511</v>
      </c>
      <c r="D5725" s="0" t="s">
        <v>19082</v>
      </c>
      <c r="E5725" s="0" t="s">
        <v>19083</v>
      </c>
      <c r="F5725" s="0" t="s">
        <v>15</v>
      </c>
      <c r="G5725" s="0" t="s">
        <v>32</v>
      </c>
      <c r="H5725" s="0" t="n">
        <v>7</v>
      </c>
      <c r="I5725" s="0" t="s">
        <v>19084</v>
      </c>
      <c r="J5725" s="0" t="s">
        <v>19085</v>
      </c>
      <c r="K5725" s="0" t="s">
        <v>19086</v>
      </c>
      <c r="L5725" s="0" t="str">
        <f aca="false">HYPERLINK("https://www.ncbi.nlm.nih.gov/nuccore/CP000058.1?report=graph&amp;tracks=[key:gene_model_track,Options:GeneOnly]&amp;mk=1800492:1800511|offset_7|00cc00,1800526:1800545|offset_41|444444,1800560:1800579|offset_75|444444,1800608:1800627|offset_123|444444&amp;v=1800291:1800827&amp;c=444444", "offset 7")</f>
        <v>offset 7</v>
      </c>
    </row>
    <row r="5726" customFormat="false" ht="12.8" hidden="false" customHeight="false" outlineLevel="0" collapsed="false">
      <c r="A5726" s="0" t="s">
        <v>12</v>
      </c>
      <c r="B5726" s="0" t="n">
        <v>1800525</v>
      </c>
      <c r="C5726" s="0" t="n">
        <v>1800545</v>
      </c>
      <c r="D5726" s="0" t="s">
        <v>19082</v>
      </c>
      <c r="E5726" s="0" t="s">
        <v>19083</v>
      </c>
      <c r="F5726" s="0" t="s">
        <v>15</v>
      </c>
      <c r="G5726" s="0" t="s">
        <v>20</v>
      </c>
      <c r="H5726" s="0" t="n">
        <v>41</v>
      </c>
      <c r="I5726" s="0" t="s">
        <v>19087</v>
      </c>
      <c r="J5726" s="0" t="s">
        <v>19088</v>
      </c>
      <c r="K5726" s="0" t="s">
        <v>19089</v>
      </c>
      <c r="L5726" s="0" t="str">
        <f aca="false">HYPERLINK("https://www.ncbi.nlm.nih.gov/nuccore/CP000058.1?report=graph&amp;tracks=[key:gene_model_track,Options:GeneOnly]&amp;mk=1800492:1800511|offset_7|444444,1800526:1800545|offset_41|00cc00,1800560:1800579|offset_75|444444,1800608:1800627|offset_123|444444&amp;v=1800291:1800827&amp;c=444444", "offset 41")</f>
        <v>offset 41</v>
      </c>
    </row>
    <row r="5727" customFormat="false" ht="12.8" hidden="false" customHeight="false" outlineLevel="0" collapsed="false">
      <c r="A5727" s="0" t="s">
        <v>12</v>
      </c>
      <c r="B5727" s="0" t="n">
        <v>1800559</v>
      </c>
      <c r="C5727" s="0" t="n">
        <v>1800579</v>
      </c>
      <c r="D5727" s="0" t="s">
        <v>19082</v>
      </c>
      <c r="E5727" s="0" t="s">
        <v>19083</v>
      </c>
      <c r="F5727" s="0" t="s">
        <v>15</v>
      </c>
      <c r="G5727" s="0" t="s">
        <v>20</v>
      </c>
      <c r="H5727" s="0" t="n">
        <v>75</v>
      </c>
      <c r="I5727" s="0" t="s">
        <v>19090</v>
      </c>
      <c r="J5727" s="0" t="s">
        <v>19091</v>
      </c>
      <c r="K5727" s="0" t="s">
        <v>19092</v>
      </c>
      <c r="L5727" s="0" t="str">
        <f aca="false">HYPERLINK("https://www.ncbi.nlm.nih.gov/nuccore/CP000058.1?report=graph&amp;tracks=[key:gene_model_track,Options:GeneOnly]&amp;mk=1800492:1800511|offset_7|444444,1800526:1800545|offset_41|444444,1800560:1800579|offset_75|00cc00,1800608:1800627|offset_123|444444&amp;v=1800291:1800827&amp;c=444444", "offset 75")</f>
        <v>offset 75</v>
      </c>
    </row>
    <row r="5728" customFormat="false" ht="12.8" hidden="false" customHeight="false" outlineLevel="0" collapsed="false">
      <c r="A5728" s="0" t="s">
        <v>12</v>
      </c>
      <c r="B5728" s="0" t="n">
        <v>1800607</v>
      </c>
      <c r="C5728" s="0" t="n">
        <v>1800627</v>
      </c>
      <c r="D5728" s="0" t="s">
        <v>19082</v>
      </c>
      <c r="E5728" s="0" t="s">
        <v>19083</v>
      </c>
      <c r="F5728" s="0" t="s">
        <v>15</v>
      </c>
      <c r="G5728" s="0" t="s">
        <v>16</v>
      </c>
      <c r="H5728" s="0" t="n">
        <v>123</v>
      </c>
      <c r="I5728" s="0" t="s">
        <v>19093</v>
      </c>
      <c r="J5728" s="0" t="s">
        <v>19094</v>
      </c>
      <c r="K5728" s="0" t="s">
        <v>19095</v>
      </c>
      <c r="L5728" s="0" t="str">
        <f aca="false">HYPERLINK("https://www.ncbi.nlm.nih.gov/nuccore/CP000058.1?report=graph&amp;tracks=[key:gene_model_track,Options:GeneOnly]&amp;mk=1800492:1800511|offset_7|444444,1800526:1800545|offset_41|444444,1800560:1800579|offset_75|444444,1800608:1800627|offset_123|00cc00&amp;v=1800291:1800827&amp;c=444444", "offset 123")</f>
        <v>offset 123</v>
      </c>
    </row>
    <row r="5729" customFormat="false" ht="12.8" hidden="false" customHeight="false" outlineLevel="0" collapsed="false">
      <c r="A5729" s="0" t="s">
        <v>12</v>
      </c>
      <c r="B5729" s="0" t="n">
        <v>1801646</v>
      </c>
      <c r="C5729" s="0" t="n">
        <v>1801666</v>
      </c>
      <c r="D5729" s="0" t="s">
        <v>19096</v>
      </c>
      <c r="E5729" s="0" t="s">
        <v>75</v>
      </c>
      <c r="F5729" s="0" t="s">
        <v>15</v>
      </c>
      <c r="G5729" s="0" t="s">
        <v>36</v>
      </c>
      <c r="H5729" s="0" t="n">
        <v>32</v>
      </c>
      <c r="I5729" s="0" t="s">
        <v>19097</v>
      </c>
      <c r="J5729" s="0" t="s">
        <v>19098</v>
      </c>
      <c r="K5729" s="0" t="s">
        <v>19099</v>
      </c>
      <c r="L5729" s="0" t="str">
        <f aca="false">HYPERLINK("https://www.ncbi.nlm.nih.gov/nuccore/CP000058.1?report=graph&amp;tracks=[key:gene_model_track,Options:GeneOnly]&amp;mk=1801647:1801666|offset_32|00cc00,1801668:1801687|offset_53|444444,1801692:1801711|offset_77|444444,1801735:1801754|offset_120|444444&amp;v=1801446:1801954&amp;c=444444", "offset 32")</f>
        <v>offset 32</v>
      </c>
    </row>
    <row r="5730" customFormat="false" ht="12.8" hidden="false" customHeight="false" outlineLevel="0" collapsed="false">
      <c r="A5730" s="0" t="s">
        <v>12</v>
      </c>
      <c r="B5730" s="0" t="n">
        <v>1801667</v>
      </c>
      <c r="C5730" s="0" t="n">
        <v>1801687</v>
      </c>
      <c r="D5730" s="0" t="s">
        <v>19096</v>
      </c>
      <c r="E5730" s="0" t="s">
        <v>75</v>
      </c>
      <c r="F5730" s="0" t="s">
        <v>15</v>
      </c>
      <c r="G5730" s="0" t="s">
        <v>20</v>
      </c>
      <c r="H5730" s="0" t="n">
        <v>53</v>
      </c>
      <c r="I5730" s="0" t="s">
        <v>19100</v>
      </c>
      <c r="J5730" s="0" t="s">
        <v>19101</v>
      </c>
      <c r="K5730" s="0" t="s">
        <v>19102</v>
      </c>
      <c r="L5730" s="0" t="str">
        <f aca="false">HYPERLINK("https://www.ncbi.nlm.nih.gov/nuccore/CP000058.1?report=graph&amp;tracks=[key:gene_model_track,Options:GeneOnly]&amp;mk=1801647:1801666|offset_32|444444,1801668:1801687|offset_53|00cc00,1801692:1801711|offset_77|444444,1801735:1801754|offset_120|444444&amp;v=1801446:1801954&amp;c=444444", "offset 53")</f>
        <v>offset 53</v>
      </c>
    </row>
    <row r="5731" customFormat="false" ht="12.8" hidden="false" customHeight="false" outlineLevel="0" collapsed="false">
      <c r="A5731" s="0" t="s">
        <v>12</v>
      </c>
      <c r="B5731" s="0" t="n">
        <v>1801691</v>
      </c>
      <c r="C5731" s="0" t="n">
        <v>1801711</v>
      </c>
      <c r="D5731" s="0" t="s">
        <v>19096</v>
      </c>
      <c r="E5731" s="0" t="s">
        <v>75</v>
      </c>
      <c r="F5731" s="0" t="s">
        <v>15</v>
      </c>
      <c r="G5731" s="0" t="s">
        <v>20</v>
      </c>
      <c r="H5731" s="0" t="n">
        <v>77</v>
      </c>
      <c r="I5731" s="0" t="s">
        <v>19103</v>
      </c>
      <c r="J5731" s="0" t="s">
        <v>19104</v>
      </c>
      <c r="K5731" s="0" t="s">
        <v>19105</v>
      </c>
      <c r="L5731" s="0" t="str">
        <f aca="false">HYPERLINK("https://www.ncbi.nlm.nih.gov/nuccore/CP000058.1?report=graph&amp;tracks=[key:gene_model_track,Options:GeneOnly]&amp;mk=1801647:1801666|offset_32|444444,1801668:1801687|offset_53|444444,1801692:1801711|offset_77|00cc00,1801735:1801754|offset_120|444444&amp;v=1801446:1801954&amp;c=444444", "offset 77")</f>
        <v>offset 77</v>
      </c>
    </row>
    <row r="5732" customFormat="false" ht="12.8" hidden="false" customHeight="false" outlineLevel="0" collapsed="false">
      <c r="A5732" s="0" t="s">
        <v>12</v>
      </c>
      <c r="B5732" s="0" t="n">
        <v>1801734</v>
      </c>
      <c r="C5732" s="0" t="n">
        <v>1801754</v>
      </c>
      <c r="D5732" s="0" t="s">
        <v>19096</v>
      </c>
      <c r="E5732" s="0" t="s">
        <v>75</v>
      </c>
      <c r="F5732" s="0" t="s">
        <v>15</v>
      </c>
      <c r="G5732" s="0" t="s">
        <v>16</v>
      </c>
      <c r="H5732" s="0" t="n">
        <v>120</v>
      </c>
      <c r="I5732" s="0" t="s">
        <v>19106</v>
      </c>
      <c r="J5732" s="0" t="s">
        <v>19107</v>
      </c>
      <c r="K5732" s="0" t="s">
        <v>19108</v>
      </c>
      <c r="L5732" s="0" t="str">
        <f aca="false">HYPERLINK("https://www.ncbi.nlm.nih.gov/nuccore/CP000058.1?report=graph&amp;tracks=[key:gene_model_track,Options:GeneOnly]&amp;mk=1801647:1801666|offset_32|444444,1801668:1801687|offset_53|444444,1801692:1801711|offset_77|444444,1801735:1801754|offset_120|00cc00&amp;v=1801446:1801954&amp;c=444444", "offset 120")</f>
        <v>offset 120</v>
      </c>
    </row>
    <row r="5733" customFormat="false" ht="12.8" hidden="false" customHeight="false" outlineLevel="0" collapsed="false">
      <c r="A5733" s="0" t="s">
        <v>12</v>
      </c>
      <c r="B5733" s="0" t="n">
        <v>1801997</v>
      </c>
      <c r="C5733" s="0" t="n">
        <v>1802017</v>
      </c>
      <c r="D5733" s="0" t="s">
        <v>19109</v>
      </c>
      <c r="E5733" s="0" t="s">
        <v>75</v>
      </c>
      <c r="F5733" s="0" t="s">
        <v>15</v>
      </c>
      <c r="G5733" s="0" t="s">
        <v>16</v>
      </c>
      <c r="H5733" s="0" t="n">
        <v>19</v>
      </c>
      <c r="I5733" s="0" t="s">
        <v>19110</v>
      </c>
      <c r="J5733" s="0" t="s">
        <v>19111</v>
      </c>
      <c r="K5733" s="0" t="s">
        <v>19112</v>
      </c>
      <c r="L5733" s="0" t="str">
        <f aca="false">HYPERLINK("https://www.ncbi.nlm.nih.gov/nuccore/CP000058.1?report=graph&amp;tracks=[key:gene_model_track,Options:GeneOnly]&amp;mk=1801998:1802017|offset_19|00cc00,1802022:1802041|offset_43|444444,1802045:1802064|offset_66|444444,1802079:1802098|offset_100|444444&amp;v=1801797:1802298&amp;c=444444", "offset 19")</f>
        <v>offset 19</v>
      </c>
    </row>
    <row r="5734" customFormat="false" ht="12.8" hidden="false" customHeight="false" outlineLevel="0" collapsed="false">
      <c r="A5734" s="0" t="s">
        <v>12</v>
      </c>
      <c r="B5734" s="0" t="n">
        <v>1802021</v>
      </c>
      <c r="C5734" s="0" t="n">
        <v>1802041</v>
      </c>
      <c r="D5734" s="0" t="s">
        <v>19109</v>
      </c>
      <c r="E5734" s="0" t="s">
        <v>75</v>
      </c>
      <c r="F5734" s="0" t="s">
        <v>15</v>
      </c>
      <c r="G5734" s="0" t="s">
        <v>36</v>
      </c>
      <c r="H5734" s="0" t="n">
        <v>43</v>
      </c>
      <c r="I5734" s="0" t="s">
        <v>19113</v>
      </c>
      <c r="J5734" s="0" t="s">
        <v>19114</v>
      </c>
      <c r="K5734" s="0" t="s">
        <v>19115</v>
      </c>
      <c r="L5734" s="0" t="str">
        <f aca="false">HYPERLINK("https://www.ncbi.nlm.nih.gov/nuccore/CP000058.1?report=graph&amp;tracks=[key:gene_model_track,Options:GeneOnly]&amp;mk=1801998:1802017|offset_19|444444,1802022:1802041|offset_43|00cc00,1802045:1802064|offset_66|444444,1802079:1802098|offset_100|444444&amp;v=1801797:1802298&amp;c=444444", "offset 43")</f>
        <v>offset 43</v>
      </c>
    </row>
    <row r="5735" customFormat="false" ht="12.8" hidden="false" customHeight="false" outlineLevel="0" collapsed="false">
      <c r="A5735" s="0" t="s">
        <v>12</v>
      </c>
      <c r="B5735" s="0" t="n">
        <v>1802044</v>
      </c>
      <c r="C5735" s="0" t="n">
        <v>1802064</v>
      </c>
      <c r="D5735" s="0" t="s">
        <v>19109</v>
      </c>
      <c r="E5735" s="0" t="s">
        <v>75</v>
      </c>
      <c r="F5735" s="0" t="s">
        <v>15</v>
      </c>
      <c r="G5735" s="0" t="s">
        <v>20</v>
      </c>
      <c r="H5735" s="0" t="n">
        <v>66</v>
      </c>
      <c r="I5735" s="0" t="s">
        <v>19116</v>
      </c>
      <c r="J5735" s="0" t="s">
        <v>19117</v>
      </c>
      <c r="K5735" s="0" t="s">
        <v>19118</v>
      </c>
      <c r="L5735" s="0" t="str">
        <f aca="false">HYPERLINK("https://www.ncbi.nlm.nih.gov/nuccore/CP000058.1?report=graph&amp;tracks=[key:gene_model_track,Options:GeneOnly]&amp;mk=1801998:1802017|offset_19|444444,1802022:1802041|offset_43|444444,1802045:1802064|offset_66|00cc00,1802079:1802098|offset_100|444444&amp;v=1801797:1802298&amp;c=444444", "offset 66")</f>
        <v>offset 66</v>
      </c>
    </row>
    <row r="5736" customFormat="false" ht="12.8" hidden="false" customHeight="false" outlineLevel="0" collapsed="false">
      <c r="A5736" s="0" t="s">
        <v>12</v>
      </c>
      <c r="B5736" s="0" t="n">
        <v>1802078</v>
      </c>
      <c r="C5736" s="0" t="n">
        <v>1802098</v>
      </c>
      <c r="D5736" s="0" t="s">
        <v>19109</v>
      </c>
      <c r="E5736" s="0" t="s">
        <v>75</v>
      </c>
      <c r="F5736" s="0" t="s">
        <v>15</v>
      </c>
      <c r="G5736" s="0" t="s">
        <v>16</v>
      </c>
      <c r="H5736" s="0" t="n">
        <v>100</v>
      </c>
      <c r="I5736" s="0" t="s">
        <v>19119</v>
      </c>
      <c r="J5736" s="0" t="s">
        <v>19120</v>
      </c>
      <c r="K5736" s="0" t="s">
        <v>19121</v>
      </c>
      <c r="L5736" s="0" t="str">
        <f aca="false">HYPERLINK("https://www.ncbi.nlm.nih.gov/nuccore/CP000058.1?report=graph&amp;tracks=[key:gene_model_track,Options:GeneOnly]&amp;mk=1801998:1802017|offset_19|444444,1802022:1802041|offset_43|444444,1802045:1802064|offset_66|444444,1802079:1802098|offset_100|00cc00&amp;v=1801797:1802298&amp;c=444444", "offset 100")</f>
        <v>offset 100</v>
      </c>
    </row>
    <row r="5737" customFormat="false" ht="12.8" hidden="false" customHeight="false" outlineLevel="0" collapsed="false">
      <c r="A5737" s="0" t="s">
        <v>12</v>
      </c>
      <c r="B5737" s="0" t="n">
        <v>1803552</v>
      </c>
      <c r="C5737" s="0" t="n">
        <v>1803572</v>
      </c>
      <c r="D5737" s="0" t="s">
        <v>19122</v>
      </c>
      <c r="E5737" s="0" t="s">
        <v>75</v>
      </c>
      <c r="F5737" s="0" t="s">
        <v>90</v>
      </c>
      <c r="G5737" s="0" t="s">
        <v>36</v>
      </c>
      <c r="H5737" s="0" t="n">
        <v>14</v>
      </c>
      <c r="I5737" s="0" t="s">
        <v>19123</v>
      </c>
      <c r="J5737" s="0" t="s">
        <v>19124</v>
      </c>
      <c r="K5737" s="0" t="s">
        <v>19125</v>
      </c>
      <c r="L5737" s="0" t="str">
        <f aca="false">HYPERLINK("https://www.ncbi.nlm.nih.gov/nuccore/CP000058.1?report=graph&amp;tracks=[key:gene_model_track,Options:GeneOnly]&amp;mk=1803553:1803572|offset_14|00cc00,1803526:1803545|offset_41|444444,1803501:1803520|offset_66|444444,1803464:1803483|offset_103|444444&amp;v=1803352:1803683&amp;c=444444", "offset 14")</f>
        <v>offset 14</v>
      </c>
    </row>
    <row r="5738" customFormat="false" ht="12.8" hidden="false" customHeight="false" outlineLevel="0" collapsed="false">
      <c r="A5738" s="0" t="s">
        <v>12</v>
      </c>
      <c r="B5738" s="0" t="n">
        <v>1803525</v>
      </c>
      <c r="C5738" s="0" t="n">
        <v>1803545</v>
      </c>
      <c r="D5738" s="0" t="s">
        <v>19122</v>
      </c>
      <c r="E5738" s="0" t="s">
        <v>75</v>
      </c>
      <c r="F5738" s="0" t="s">
        <v>90</v>
      </c>
      <c r="G5738" s="0" t="s">
        <v>36</v>
      </c>
      <c r="H5738" s="0" t="n">
        <v>41</v>
      </c>
      <c r="I5738" s="0" t="s">
        <v>19126</v>
      </c>
      <c r="J5738" s="0" t="s">
        <v>19127</v>
      </c>
      <c r="K5738" s="0" t="s">
        <v>19128</v>
      </c>
      <c r="L5738" s="0" t="str">
        <f aca="false">HYPERLINK("https://www.ncbi.nlm.nih.gov/nuccore/CP000058.1?report=graph&amp;tracks=[key:gene_model_track,Options:GeneOnly]&amp;mk=1803553:1803572|offset_14|444444,1803526:1803545|offset_41|00cc00,1803501:1803520|offset_66|444444,1803464:1803483|offset_103|444444&amp;v=1803352:1803683&amp;c=444444", "offset 41")</f>
        <v>offset 41</v>
      </c>
    </row>
    <row r="5739" customFormat="false" ht="12.8" hidden="false" customHeight="false" outlineLevel="0" collapsed="false">
      <c r="A5739" s="0" t="s">
        <v>12</v>
      </c>
      <c r="B5739" s="0" t="n">
        <v>1803500</v>
      </c>
      <c r="C5739" s="0" t="n">
        <v>1803520</v>
      </c>
      <c r="D5739" s="0" t="s">
        <v>19122</v>
      </c>
      <c r="E5739" s="0" t="s">
        <v>75</v>
      </c>
      <c r="F5739" s="0" t="s">
        <v>90</v>
      </c>
      <c r="G5739" s="0" t="s">
        <v>32</v>
      </c>
      <c r="H5739" s="0" t="n">
        <v>66</v>
      </c>
      <c r="I5739" s="0" t="s">
        <v>19129</v>
      </c>
      <c r="J5739" s="0" t="s">
        <v>19130</v>
      </c>
      <c r="K5739" s="0" t="s">
        <v>19131</v>
      </c>
      <c r="L5739" s="0" t="str">
        <f aca="false">HYPERLINK("https://www.ncbi.nlm.nih.gov/nuccore/CP000058.1?report=graph&amp;tracks=[key:gene_model_track,Options:GeneOnly]&amp;mk=1803553:1803572|offset_14|444444,1803526:1803545|offset_41|444444,1803501:1803520|offset_66|00cc00,1803464:1803483|offset_103|444444&amp;v=1803352:1803683&amp;c=444444", "offset 66")</f>
        <v>offset 66</v>
      </c>
    </row>
    <row r="5740" customFormat="false" ht="12.8" hidden="false" customHeight="false" outlineLevel="0" collapsed="false">
      <c r="A5740" s="0" t="s">
        <v>12</v>
      </c>
      <c r="B5740" s="0" t="n">
        <v>1803463</v>
      </c>
      <c r="C5740" s="0" t="n">
        <v>1803483</v>
      </c>
      <c r="D5740" s="0" t="s">
        <v>19122</v>
      </c>
      <c r="E5740" s="0" t="s">
        <v>75</v>
      </c>
      <c r="F5740" s="0" t="s">
        <v>90</v>
      </c>
      <c r="G5740" s="0" t="s">
        <v>36</v>
      </c>
      <c r="H5740" s="0" t="n">
        <v>103</v>
      </c>
      <c r="I5740" s="0" t="s">
        <v>19132</v>
      </c>
      <c r="J5740" s="0" t="s">
        <v>19133</v>
      </c>
      <c r="K5740" s="0" t="s">
        <v>19134</v>
      </c>
      <c r="L5740" s="0" t="str">
        <f aca="false">HYPERLINK("https://www.ncbi.nlm.nih.gov/nuccore/CP000058.1?report=graph&amp;tracks=[key:gene_model_track,Options:GeneOnly]&amp;mk=1803553:1803572|offset_14|444444,1803526:1803545|offset_41|444444,1803501:1803520|offset_66|444444,1803464:1803483|offset_103|00cc00&amp;v=1803352:1803683&amp;c=444444", "offset 103")</f>
        <v>offset 103</v>
      </c>
    </row>
    <row r="5741" customFormat="false" ht="12.8" hidden="false" customHeight="false" outlineLevel="0" collapsed="false">
      <c r="A5741" s="0" t="s">
        <v>12</v>
      </c>
      <c r="B5741" s="0" t="n">
        <v>1803798</v>
      </c>
      <c r="C5741" s="0" t="n">
        <v>1803818</v>
      </c>
      <c r="D5741" s="0" t="s">
        <v>19135</v>
      </c>
      <c r="E5741" s="0" t="s">
        <v>75</v>
      </c>
      <c r="F5741" s="0" t="s">
        <v>15</v>
      </c>
      <c r="G5741" s="0" t="s">
        <v>32</v>
      </c>
      <c r="H5741" s="0" t="n">
        <v>1</v>
      </c>
      <c r="I5741" s="0" t="s">
        <v>19136</v>
      </c>
      <c r="J5741" s="0" t="s">
        <v>19137</v>
      </c>
      <c r="K5741" s="0" t="s">
        <v>19138</v>
      </c>
      <c r="L5741" s="0" t="str">
        <f aca="false">HYPERLINK("https://www.ncbi.nlm.nih.gov/nuccore/CP000058.1?report=graph&amp;tracks=[key:gene_model_track,Options:GeneOnly]&amp;mk=1803799:1803818|offset_1|00cc00,1803819:1803838|offset_21|444444,1803839:1803858|offset_41|444444,1803952:1803971|offset_154|444444&amp;v=1803598:1804171&amp;c=444444", "offset 1")</f>
        <v>offset 1</v>
      </c>
    </row>
    <row r="5742" customFormat="false" ht="12.8" hidden="false" customHeight="false" outlineLevel="0" collapsed="false">
      <c r="A5742" s="0" t="s">
        <v>12</v>
      </c>
      <c r="B5742" s="0" t="n">
        <v>1803818</v>
      </c>
      <c r="C5742" s="0" t="n">
        <v>1803838</v>
      </c>
      <c r="D5742" s="0" t="s">
        <v>19135</v>
      </c>
      <c r="E5742" s="0" t="s">
        <v>75</v>
      </c>
      <c r="F5742" s="0" t="s">
        <v>15</v>
      </c>
      <c r="G5742" s="0" t="s">
        <v>36</v>
      </c>
      <c r="H5742" s="0" t="n">
        <v>21</v>
      </c>
      <c r="I5742" s="0" t="s">
        <v>19139</v>
      </c>
      <c r="J5742" s="0" t="s">
        <v>19140</v>
      </c>
      <c r="K5742" s="0" t="s">
        <v>19141</v>
      </c>
      <c r="L5742" s="0" t="str">
        <f aca="false">HYPERLINK("https://www.ncbi.nlm.nih.gov/nuccore/CP000058.1?report=graph&amp;tracks=[key:gene_model_track,Options:GeneOnly]&amp;mk=1803799:1803818|offset_1|444444,1803819:1803838|offset_21|00cc00,1803839:1803858|offset_41|444444,1803952:1803971|offset_154|444444&amp;v=1803598:1804171&amp;c=444444", "offset 21")</f>
        <v>offset 21</v>
      </c>
    </row>
    <row r="5743" customFormat="false" ht="12.8" hidden="false" customHeight="false" outlineLevel="0" collapsed="false">
      <c r="A5743" s="0" t="s">
        <v>12</v>
      </c>
      <c r="B5743" s="0" t="n">
        <v>1803838</v>
      </c>
      <c r="C5743" s="0" t="n">
        <v>1803858</v>
      </c>
      <c r="D5743" s="0" t="s">
        <v>19135</v>
      </c>
      <c r="E5743" s="0" t="s">
        <v>75</v>
      </c>
      <c r="F5743" s="0" t="s">
        <v>15</v>
      </c>
      <c r="G5743" s="0" t="s">
        <v>20</v>
      </c>
      <c r="H5743" s="0" t="n">
        <v>41</v>
      </c>
      <c r="I5743" s="0" t="s">
        <v>19142</v>
      </c>
      <c r="J5743" s="0" t="s">
        <v>19143</v>
      </c>
      <c r="K5743" s="0" t="s">
        <v>19144</v>
      </c>
      <c r="L5743" s="0" t="str">
        <f aca="false">HYPERLINK("https://www.ncbi.nlm.nih.gov/nuccore/CP000058.1?report=graph&amp;tracks=[key:gene_model_track,Options:GeneOnly]&amp;mk=1803799:1803818|offset_1|444444,1803819:1803838|offset_21|444444,1803839:1803858|offset_41|00cc00,1803952:1803971|offset_154|444444&amp;v=1803598:1804171&amp;c=444444", "offset 41")</f>
        <v>offset 41</v>
      </c>
    </row>
    <row r="5744" customFormat="false" ht="12.8" hidden="false" customHeight="false" outlineLevel="0" collapsed="false">
      <c r="A5744" s="0" t="s">
        <v>12</v>
      </c>
      <c r="B5744" s="0" t="n">
        <v>1803951</v>
      </c>
      <c r="C5744" s="0" t="n">
        <v>1803971</v>
      </c>
      <c r="D5744" s="0" t="s">
        <v>19135</v>
      </c>
      <c r="E5744" s="0" t="s">
        <v>75</v>
      </c>
      <c r="F5744" s="0" t="s">
        <v>15</v>
      </c>
      <c r="G5744" s="0" t="s">
        <v>20</v>
      </c>
      <c r="H5744" s="0" t="n">
        <v>154</v>
      </c>
      <c r="I5744" s="0" t="s">
        <v>19145</v>
      </c>
      <c r="J5744" s="0" t="s">
        <v>19146</v>
      </c>
      <c r="K5744" s="0" t="s">
        <v>19147</v>
      </c>
      <c r="L5744" s="0" t="str">
        <f aca="false">HYPERLINK("https://www.ncbi.nlm.nih.gov/nuccore/CP000058.1?report=graph&amp;tracks=[key:gene_model_track,Options:GeneOnly]&amp;mk=1803799:1803818|offset_1|444444,1803819:1803838|offset_21|444444,1803839:1803858|offset_41|444444,1803952:1803971|offset_154|00cc00&amp;v=1803598:1804171&amp;c=444444", "offset 154")</f>
        <v>offset 154</v>
      </c>
    </row>
    <row r="5745" customFormat="false" ht="12.8" hidden="false" customHeight="false" outlineLevel="0" collapsed="false">
      <c r="A5745" s="0" t="s">
        <v>12</v>
      </c>
      <c r="B5745" s="0" t="n">
        <v>1804599</v>
      </c>
      <c r="C5745" s="0" t="n">
        <v>1804619</v>
      </c>
      <c r="D5745" s="0" t="s">
        <v>19148</v>
      </c>
      <c r="E5745" s="0" t="s">
        <v>75</v>
      </c>
      <c r="F5745" s="0" t="s">
        <v>90</v>
      </c>
      <c r="G5745" s="0" t="s">
        <v>36</v>
      </c>
      <c r="H5745" s="0" t="n">
        <v>13</v>
      </c>
      <c r="I5745" s="0" t="s">
        <v>19149</v>
      </c>
      <c r="J5745" s="0" t="s">
        <v>19150</v>
      </c>
      <c r="K5745" s="0" t="s">
        <v>19151</v>
      </c>
      <c r="L5745" s="0" t="str">
        <f aca="false">HYPERLINK("https://www.ncbi.nlm.nih.gov/nuccore/CP000058.1?report=graph&amp;tracks=[key:gene_model_track,Options:GeneOnly]&amp;mk=1804600:1804619|offset_13|00cc00,1804574:1804593|offset_39|444444,1804554:1804573|offset_59|444444,1804479:1804498|offset_134|444444&amp;v=1804399:1804698&amp;c=444444", "offset 13")</f>
        <v>offset 13</v>
      </c>
    </row>
    <row r="5746" customFormat="false" ht="12.8" hidden="false" customHeight="false" outlineLevel="0" collapsed="false">
      <c r="A5746" s="0" t="s">
        <v>12</v>
      </c>
      <c r="B5746" s="0" t="n">
        <v>1804573</v>
      </c>
      <c r="C5746" s="0" t="n">
        <v>1804593</v>
      </c>
      <c r="D5746" s="0" t="s">
        <v>19148</v>
      </c>
      <c r="E5746" s="0" t="s">
        <v>75</v>
      </c>
      <c r="F5746" s="0" t="s">
        <v>90</v>
      </c>
      <c r="G5746" s="0" t="s">
        <v>20</v>
      </c>
      <c r="H5746" s="0" t="n">
        <v>39</v>
      </c>
      <c r="I5746" s="0" t="s">
        <v>19152</v>
      </c>
      <c r="J5746" s="0" t="s">
        <v>19153</v>
      </c>
      <c r="K5746" s="0" t="s">
        <v>19154</v>
      </c>
      <c r="L5746" s="0" t="str">
        <f aca="false">HYPERLINK("https://www.ncbi.nlm.nih.gov/nuccore/CP000058.1?report=graph&amp;tracks=[key:gene_model_track,Options:GeneOnly]&amp;mk=1804600:1804619|offset_13|444444,1804574:1804593|offset_39|00cc00,1804554:1804573|offset_59|444444,1804479:1804498|offset_134|444444&amp;v=1804399:1804698&amp;c=444444", "offset 39")</f>
        <v>offset 39</v>
      </c>
    </row>
    <row r="5747" customFormat="false" ht="12.8" hidden="false" customHeight="false" outlineLevel="0" collapsed="false">
      <c r="A5747" s="0" t="s">
        <v>12</v>
      </c>
      <c r="B5747" s="0" t="n">
        <v>1804553</v>
      </c>
      <c r="C5747" s="0" t="n">
        <v>1804573</v>
      </c>
      <c r="D5747" s="0" t="s">
        <v>19148</v>
      </c>
      <c r="E5747" s="0" t="s">
        <v>75</v>
      </c>
      <c r="F5747" s="0" t="s">
        <v>90</v>
      </c>
      <c r="G5747" s="0" t="s">
        <v>36</v>
      </c>
      <c r="H5747" s="0" t="n">
        <v>59</v>
      </c>
      <c r="I5747" s="0" t="s">
        <v>19155</v>
      </c>
      <c r="J5747" s="0" t="s">
        <v>19156</v>
      </c>
      <c r="K5747" s="0" t="s">
        <v>19157</v>
      </c>
      <c r="L5747" s="0" t="str">
        <f aca="false">HYPERLINK("https://www.ncbi.nlm.nih.gov/nuccore/CP000058.1?report=graph&amp;tracks=[key:gene_model_track,Options:GeneOnly]&amp;mk=1804600:1804619|offset_13|444444,1804574:1804593|offset_39|444444,1804554:1804573|offset_59|00cc00,1804479:1804498|offset_134|444444&amp;v=1804399:1804698&amp;c=444444", "offset 59")</f>
        <v>offset 59</v>
      </c>
    </row>
    <row r="5748" customFormat="false" ht="12.8" hidden="false" customHeight="false" outlineLevel="0" collapsed="false">
      <c r="A5748" s="0" t="s">
        <v>12</v>
      </c>
      <c r="B5748" s="0" t="n">
        <v>1804478</v>
      </c>
      <c r="C5748" s="0" t="n">
        <v>1804498</v>
      </c>
      <c r="D5748" s="0" t="s">
        <v>19148</v>
      </c>
      <c r="E5748" s="0" t="s">
        <v>75</v>
      </c>
      <c r="F5748" s="0" t="s">
        <v>90</v>
      </c>
      <c r="G5748" s="0" t="s">
        <v>16</v>
      </c>
      <c r="H5748" s="0" t="n">
        <v>134</v>
      </c>
      <c r="I5748" s="0" t="s">
        <v>19158</v>
      </c>
      <c r="J5748" s="0" t="s">
        <v>19159</v>
      </c>
      <c r="K5748" s="0" t="s">
        <v>19160</v>
      </c>
      <c r="L5748" s="0" t="str">
        <f aca="false">HYPERLINK("https://www.ncbi.nlm.nih.gov/nuccore/CP000058.1?report=graph&amp;tracks=[key:gene_model_track,Options:GeneOnly]&amp;mk=1804600:1804619|offset_13|444444,1804574:1804593|offset_39|444444,1804554:1804573|offset_59|444444,1804479:1804498|offset_134|00cc00&amp;v=1804399:1804698&amp;c=444444", "offset 134")</f>
        <v>offset 134</v>
      </c>
    </row>
    <row r="5749" customFormat="false" ht="12.8" hidden="false" customHeight="false" outlineLevel="0" collapsed="false">
      <c r="A5749" s="0" t="s">
        <v>12</v>
      </c>
      <c r="B5749" s="0" t="n">
        <v>1805211</v>
      </c>
      <c r="C5749" s="0" t="n">
        <v>1805231</v>
      </c>
      <c r="D5749" s="0" t="s">
        <v>19161</v>
      </c>
      <c r="E5749" s="0" t="s">
        <v>75</v>
      </c>
      <c r="F5749" s="0" t="s">
        <v>90</v>
      </c>
      <c r="G5749" s="0" t="s">
        <v>36</v>
      </c>
      <c r="H5749" s="0" t="n">
        <v>0</v>
      </c>
      <c r="I5749" s="0" t="s">
        <v>19162</v>
      </c>
      <c r="J5749" s="0" t="s">
        <v>19163</v>
      </c>
      <c r="K5749" s="0" t="s">
        <v>19164</v>
      </c>
      <c r="L5749" s="0" t="str">
        <f aca="false">HYPERLINK("https://www.ncbi.nlm.nih.gov/nuccore/CP000058.1?report=graph&amp;tracks=[key:gene_model_track,Options:GeneOnly]&amp;mk=1805212:1805231|offset_0|00cc00,1805190:1805209|offset_22|444444,1805170:1805189|offset_42|444444,1805145:1805164|offset_67|444444&amp;v=1805011:1805364&amp;c=444444", "offset 0")</f>
        <v>offset 0</v>
      </c>
    </row>
    <row r="5750" customFormat="false" ht="12.8" hidden="false" customHeight="false" outlineLevel="0" collapsed="false">
      <c r="A5750" s="0" t="s">
        <v>12</v>
      </c>
      <c r="B5750" s="0" t="n">
        <v>1805189</v>
      </c>
      <c r="C5750" s="0" t="n">
        <v>1805209</v>
      </c>
      <c r="D5750" s="0" t="s">
        <v>19161</v>
      </c>
      <c r="E5750" s="0" t="s">
        <v>75</v>
      </c>
      <c r="F5750" s="0" t="s">
        <v>90</v>
      </c>
      <c r="G5750" s="0" t="s">
        <v>20</v>
      </c>
      <c r="H5750" s="0" t="n">
        <v>22</v>
      </c>
      <c r="I5750" s="0" t="s">
        <v>19165</v>
      </c>
      <c r="J5750" s="0" t="s">
        <v>19166</v>
      </c>
      <c r="K5750" s="0" t="s">
        <v>19167</v>
      </c>
      <c r="L5750" s="0" t="str">
        <f aca="false">HYPERLINK("https://www.ncbi.nlm.nih.gov/nuccore/CP000058.1?report=graph&amp;tracks=[key:gene_model_track,Options:GeneOnly]&amp;mk=1805212:1805231|offset_0|444444,1805190:1805209|offset_22|00cc00,1805170:1805189|offset_42|444444,1805145:1805164|offset_67|444444&amp;v=1805011:1805364&amp;c=444444", "offset 22")</f>
        <v>offset 22</v>
      </c>
    </row>
    <row r="5751" customFormat="false" ht="12.8" hidden="false" customHeight="false" outlineLevel="0" collapsed="false">
      <c r="A5751" s="0" t="s">
        <v>12</v>
      </c>
      <c r="B5751" s="0" t="n">
        <v>1805169</v>
      </c>
      <c r="C5751" s="0" t="n">
        <v>1805189</v>
      </c>
      <c r="D5751" s="0" t="s">
        <v>19161</v>
      </c>
      <c r="E5751" s="0" t="s">
        <v>75</v>
      </c>
      <c r="F5751" s="0" t="s">
        <v>90</v>
      </c>
      <c r="G5751" s="0" t="s">
        <v>36</v>
      </c>
      <c r="H5751" s="0" t="n">
        <v>42</v>
      </c>
      <c r="I5751" s="0" t="s">
        <v>19168</v>
      </c>
      <c r="J5751" s="0" t="s">
        <v>19169</v>
      </c>
      <c r="K5751" s="0" t="s">
        <v>19170</v>
      </c>
      <c r="L5751" s="0" t="str">
        <f aca="false">HYPERLINK("https://www.ncbi.nlm.nih.gov/nuccore/CP000058.1?report=graph&amp;tracks=[key:gene_model_track,Options:GeneOnly]&amp;mk=1805212:1805231|offset_0|444444,1805190:1805209|offset_22|444444,1805170:1805189|offset_42|00cc00,1805145:1805164|offset_67|444444&amp;v=1805011:1805364&amp;c=444444", "offset 42")</f>
        <v>offset 42</v>
      </c>
    </row>
    <row r="5752" customFormat="false" ht="12.8" hidden="false" customHeight="false" outlineLevel="0" collapsed="false">
      <c r="A5752" s="0" t="s">
        <v>12</v>
      </c>
      <c r="B5752" s="0" t="n">
        <v>1805144</v>
      </c>
      <c r="C5752" s="0" t="n">
        <v>1805164</v>
      </c>
      <c r="D5752" s="0" t="s">
        <v>19161</v>
      </c>
      <c r="E5752" s="0" t="s">
        <v>75</v>
      </c>
      <c r="F5752" s="0" t="s">
        <v>90</v>
      </c>
      <c r="G5752" s="0" t="s">
        <v>16</v>
      </c>
      <c r="H5752" s="0" t="n">
        <v>67</v>
      </c>
      <c r="I5752" s="0" t="s">
        <v>19171</v>
      </c>
      <c r="J5752" s="0" t="s">
        <v>19172</v>
      </c>
      <c r="K5752" s="0" t="s">
        <v>19173</v>
      </c>
      <c r="L5752" s="0" t="str">
        <f aca="false">HYPERLINK("https://www.ncbi.nlm.nih.gov/nuccore/CP000058.1?report=graph&amp;tracks=[key:gene_model_track,Options:GeneOnly]&amp;mk=1805212:1805231|offset_0|444444,1805190:1805209|offset_22|444444,1805170:1805189|offset_42|444444,1805145:1805164|offset_67|00cc00&amp;v=1805011:1805364&amp;c=444444", "offset 67")</f>
        <v>offset 67</v>
      </c>
    </row>
    <row r="5753" customFormat="false" ht="12.8" hidden="false" customHeight="false" outlineLevel="0" collapsed="false">
      <c r="A5753" s="0" t="s">
        <v>12</v>
      </c>
      <c r="B5753" s="0" t="n">
        <v>1806170</v>
      </c>
      <c r="C5753" s="0" t="n">
        <v>1806190</v>
      </c>
      <c r="D5753" s="0" t="s">
        <v>19174</v>
      </c>
      <c r="E5753" s="0" t="s">
        <v>19175</v>
      </c>
      <c r="F5753" s="0" t="s">
        <v>90</v>
      </c>
      <c r="G5753" s="0" t="s">
        <v>16</v>
      </c>
      <c r="H5753" s="0" t="n">
        <v>15</v>
      </c>
      <c r="I5753" s="0" t="s">
        <v>19176</v>
      </c>
      <c r="J5753" s="0" t="s">
        <v>19177</v>
      </c>
      <c r="K5753" s="0" t="s">
        <v>19178</v>
      </c>
      <c r="L5753" s="0" t="str">
        <f aca="false">HYPERLINK("https://www.ncbi.nlm.nih.gov/nuccore/CP000058.1?report=graph&amp;tracks=[key:gene_model_track,Options:GeneOnly]&amp;mk=1806171:1806190|offset_15|00cc00,1806146:1806165|offset_40|444444,1806115:1806134|offset_71|444444,1806092:1806111|offset_94|444444&amp;v=1805970:1806311&amp;c=444444", "offset 15")</f>
        <v>offset 15</v>
      </c>
    </row>
    <row r="5754" customFormat="false" ht="12.8" hidden="false" customHeight="false" outlineLevel="0" collapsed="false">
      <c r="A5754" s="0" t="s">
        <v>12</v>
      </c>
      <c r="B5754" s="0" t="n">
        <v>1806145</v>
      </c>
      <c r="C5754" s="0" t="n">
        <v>1806165</v>
      </c>
      <c r="D5754" s="0" t="s">
        <v>19174</v>
      </c>
      <c r="E5754" s="0" t="s">
        <v>19175</v>
      </c>
      <c r="F5754" s="0" t="s">
        <v>90</v>
      </c>
      <c r="G5754" s="0" t="s">
        <v>20</v>
      </c>
      <c r="H5754" s="0" t="n">
        <v>40</v>
      </c>
      <c r="I5754" s="0" t="s">
        <v>19179</v>
      </c>
      <c r="J5754" s="0" t="s">
        <v>19180</v>
      </c>
      <c r="K5754" s="0" t="s">
        <v>19181</v>
      </c>
      <c r="L5754" s="0" t="str">
        <f aca="false">HYPERLINK("https://www.ncbi.nlm.nih.gov/nuccore/CP000058.1?report=graph&amp;tracks=[key:gene_model_track,Options:GeneOnly]&amp;mk=1806171:1806190|offset_15|444444,1806146:1806165|offset_40|00cc00,1806115:1806134|offset_71|444444,1806092:1806111|offset_94|444444&amp;v=1805970:1806311&amp;c=444444", "offset 40")</f>
        <v>offset 40</v>
      </c>
    </row>
    <row r="5755" customFormat="false" ht="12.8" hidden="false" customHeight="false" outlineLevel="0" collapsed="false">
      <c r="A5755" s="0" t="s">
        <v>12</v>
      </c>
      <c r="B5755" s="0" t="n">
        <v>1806114</v>
      </c>
      <c r="C5755" s="0" t="n">
        <v>1806134</v>
      </c>
      <c r="D5755" s="0" t="s">
        <v>19174</v>
      </c>
      <c r="E5755" s="0" t="s">
        <v>19175</v>
      </c>
      <c r="F5755" s="0" t="s">
        <v>90</v>
      </c>
      <c r="G5755" s="0" t="s">
        <v>20</v>
      </c>
      <c r="H5755" s="0" t="n">
        <v>71</v>
      </c>
      <c r="I5755" s="0" t="s">
        <v>19182</v>
      </c>
      <c r="J5755" s="0" t="s">
        <v>19183</v>
      </c>
      <c r="K5755" s="0" t="s">
        <v>19184</v>
      </c>
      <c r="L5755" s="0" t="str">
        <f aca="false">HYPERLINK("https://www.ncbi.nlm.nih.gov/nuccore/CP000058.1?report=graph&amp;tracks=[key:gene_model_track,Options:GeneOnly]&amp;mk=1806171:1806190|offset_15|444444,1806146:1806165|offset_40|444444,1806115:1806134|offset_71|00cc00,1806092:1806111|offset_94|444444&amp;v=1805970:1806311&amp;c=444444", "offset 71")</f>
        <v>offset 71</v>
      </c>
    </row>
    <row r="5756" customFormat="false" ht="12.8" hidden="false" customHeight="false" outlineLevel="0" collapsed="false">
      <c r="A5756" s="0" t="s">
        <v>12</v>
      </c>
      <c r="B5756" s="0" t="n">
        <v>1806091</v>
      </c>
      <c r="C5756" s="0" t="n">
        <v>1806111</v>
      </c>
      <c r="D5756" s="0" t="s">
        <v>19174</v>
      </c>
      <c r="E5756" s="0" t="s">
        <v>19175</v>
      </c>
      <c r="F5756" s="0" t="s">
        <v>90</v>
      </c>
      <c r="G5756" s="0" t="s">
        <v>32</v>
      </c>
      <c r="H5756" s="0" t="n">
        <v>94</v>
      </c>
      <c r="I5756" s="0" t="s">
        <v>19185</v>
      </c>
      <c r="J5756" s="0" t="s">
        <v>19186</v>
      </c>
      <c r="K5756" s="0" t="s">
        <v>19187</v>
      </c>
      <c r="L5756" s="0" t="str">
        <f aca="false">HYPERLINK("https://www.ncbi.nlm.nih.gov/nuccore/CP000058.1?report=graph&amp;tracks=[key:gene_model_track,Options:GeneOnly]&amp;mk=1806171:1806190|offset_15|444444,1806146:1806165|offset_40|444444,1806115:1806134|offset_71|444444,1806092:1806111|offset_94|00cc00&amp;v=1805970:1806311&amp;c=444444", "offset 94")</f>
        <v>offset 94</v>
      </c>
    </row>
    <row r="5757" customFormat="false" ht="12.8" hidden="false" customHeight="false" outlineLevel="0" collapsed="false">
      <c r="A5757" s="0" t="s">
        <v>12</v>
      </c>
      <c r="B5757" s="0" t="n">
        <v>1808420</v>
      </c>
      <c r="C5757" s="0" t="n">
        <v>1808440</v>
      </c>
      <c r="D5757" s="0" t="s">
        <v>19188</v>
      </c>
      <c r="E5757" s="0" t="s">
        <v>75</v>
      </c>
      <c r="F5757" s="0" t="s">
        <v>90</v>
      </c>
      <c r="G5757" s="0" t="s">
        <v>32</v>
      </c>
      <c r="H5757" s="0" t="n">
        <v>1</v>
      </c>
      <c r="I5757" s="0" t="s">
        <v>19189</v>
      </c>
      <c r="J5757" s="0" t="s">
        <v>19190</v>
      </c>
      <c r="K5757" s="0" t="s">
        <v>19191</v>
      </c>
      <c r="L5757" s="0" t="str">
        <f aca="false">HYPERLINK("https://www.ncbi.nlm.nih.gov/nuccore/CP000058.1?report=graph&amp;tracks=[key:gene_model_track,Options:GeneOnly]&amp;mk=1808421:1808440|offset_1|00cc00,1808401:1808420|offset_21|444444,1808378:1808397|offset_44|444444,1808351:1808370|offset_71|444444&amp;v=1808220:1808570&amp;c=444444", "offset 1")</f>
        <v>offset 1</v>
      </c>
    </row>
    <row r="5758" customFormat="false" ht="12.8" hidden="false" customHeight="false" outlineLevel="0" collapsed="false">
      <c r="A5758" s="0" t="s">
        <v>12</v>
      </c>
      <c r="B5758" s="0" t="n">
        <v>1808400</v>
      </c>
      <c r="C5758" s="0" t="n">
        <v>1808420</v>
      </c>
      <c r="D5758" s="0" t="s">
        <v>19188</v>
      </c>
      <c r="E5758" s="0" t="s">
        <v>75</v>
      </c>
      <c r="F5758" s="0" t="s">
        <v>90</v>
      </c>
      <c r="G5758" s="0" t="s">
        <v>20</v>
      </c>
      <c r="H5758" s="0" t="n">
        <v>21</v>
      </c>
      <c r="I5758" s="0" t="s">
        <v>19192</v>
      </c>
      <c r="J5758" s="0" t="s">
        <v>19193</v>
      </c>
      <c r="K5758" s="0" t="s">
        <v>19194</v>
      </c>
      <c r="L5758" s="0" t="str">
        <f aca="false">HYPERLINK("https://www.ncbi.nlm.nih.gov/nuccore/CP000058.1?report=graph&amp;tracks=[key:gene_model_track,Options:GeneOnly]&amp;mk=1808421:1808440|offset_1|444444,1808401:1808420|offset_21|00cc00,1808378:1808397|offset_44|444444,1808351:1808370|offset_71|444444&amp;v=1808220:1808570&amp;c=444444", "offset 21")</f>
        <v>offset 21</v>
      </c>
    </row>
    <row r="5759" customFormat="false" ht="12.8" hidden="false" customHeight="false" outlineLevel="0" collapsed="false">
      <c r="A5759" s="0" t="s">
        <v>12</v>
      </c>
      <c r="B5759" s="0" t="n">
        <v>1808377</v>
      </c>
      <c r="C5759" s="0" t="n">
        <v>1808397</v>
      </c>
      <c r="D5759" s="0" t="s">
        <v>19188</v>
      </c>
      <c r="E5759" s="0" t="s">
        <v>75</v>
      </c>
      <c r="F5759" s="0" t="s">
        <v>90</v>
      </c>
      <c r="G5759" s="0" t="s">
        <v>16</v>
      </c>
      <c r="H5759" s="0" t="n">
        <v>44</v>
      </c>
      <c r="I5759" s="0" t="s">
        <v>19195</v>
      </c>
      <c r="J5759" s="0" t="s">
        <v>19196</v>
      </c>
      <c r="K5759" s="0" t="s">
        <v>19197</v>
      </c>
      <c r="L5759" s="0" t="str">
        <f aca="false">HYPERLINK("https://www.ncbi.nlm.nih.gov/nuccore/CP000058.1?report=graph&amp;tracks=[key:gene_model_track,Options:GeneOnly]&amp;mk=1808421:1808440|offset_1|444444,1808401:1808420|offset_21|444444,1808378:1808397|offset_44|00cc00,1808351:1808370|offset_71|444444&amp;v=1808220:1808570&amp;c=444444", "offset 44")</f>
        <v>offset 44</v>
      </c>
    </row>
    <row r="5760" customFormat="false" ht="12.8" hidden="false" customHeight="false" outlineLevel="0" collapsed="false">
      <c r="A5760" s="0" t="s">
        <v>12</v>
      </c>
      <c r="B5760" s="0" t="n">
        <v>1808350</v>
      </c>
      <c r="C5760" s="0" t="n">
        <v>1808370</v>
      </c>
      <c r="D5760" s="0" t="s">
        <v>19188</v>
      </c>
      <c r="E5760" s="0" t="s">
        <v>75</v>
      </c>
      <c r="F5760" s="0" t="s">
        <v>90</v>
      </c>
      <c r="G5760" s="0" t="s">
        <v>16</v>
      </c>
      <c r="H5760" s="0" t="n">
        <v>71</v>
      </c>
      <c r="I5760" s="0" t="s">
        <v>19198</v>
      </c>
      <c r="J5760" s="0" t="s">
        <v>19199</v>
      </c>
      <c r="K5760" s="0" t="s">
        <v>19200</v>
      </c>
      <c r="L5760" s="0" t="str">
        <f aca="false">HYPERLINK("https://www.ncbi.nlm.nih.gov/nuccore/CP000058.1?report=graph&amp;tracks=[key:gene_model_track,Options:GeneOnly]&amp;mk=1808421:1808440|offset_1|444444,1808401:1808420|offset_21|444444,1808378:1808397|offset_44|444444,1808351:1808370|offset_71|00cc00&amp;v=1808220:1808570&amp;c=444444", "offset 71")</f>
        <v>offset 71</v>
      </c>
    </row>
    <row r="5761" customFormat="false" ht="12.8" hidden="false" customHeight="false" outlineLevel="0" collapsed="false">
      <c r="A5761" s="0" t="s">
        <v>12</v>
      </c>
      <c r="B5761" s="0" t="n">
        <v>1808963</v>
      </c>
      <c r="C5761" s="0" t="n">
        <v>1808983</v>
      </c>
      <c r="D5761" s="0" t="s">
        <v>19201</v>
      </c>
      <c r="E5761" s="0" t="s">
        <v>19202</v>
      </c>
      <c r="F5761" s="0" t="s">
        <v>90</v>
      </c>
      <c r="G5761" s="0" t="s">
        <v>32</v>
      </c>
      <c r="H5761" s="0" t="n">
        <v>1</v>
      </c>
      <c r="I5761" s="0" t="s">
        <v>19203</v>
      </c>
      <c r="J5761" s="0" t="s">
        <v>19204</v>
      </c>
      <c r="K5761" s="0" t="s">
        <v>19205</v>
      </c>
      <c r="L5761" s="0" t="str">
        <f aca="false">HYPERLINK("https://www.ncbi.nlm.nih.gov/nuccore/CP000058.1?report=graph&amp;tracks=[key:gene_model_track,Options:GeneOnly]&amp;mk=1808964:1808983|offset_1|00cc00,1808942:1808961|offset_23|444444,1808884:1808903|offset_81|444444,1808862:1808881|offset_103|444444&amp;v=1808763:1809081&amp;c=444444", "offset 1")</f>
        <v>offset 1</v>
      </c>
    </row>
    <row r="5762" customFormat="false" ht="12.8" hidden="false" customHeight="false" outlineLevel="0" collapsed="false">
      <c r="A5762" s="0" t="s">
        <v>12</v>
      </c>
      <c r="B5762" s="0" t="n">
        <v>1808941</v>
      </c>
      <c r="C5762" s="0" t="n">
        <v>1808961</v>
      </c>
      <c r="D5762" s="0" t="s">
        <v>19201</v>
      </c>
      <c r="E5762" s="0" t="s">
        <v>19202</v>
      </c>
      <c r="F5762" s="0" t="s">
        <v>90</v>
      </c>
      <c r="G5762" s="0" t="s">
        <v>20</v>
      </c>
      <c r="H5762" s="0" t="n">
        <v>23</v>
      </c>
      <c r="I5762" s="0" t="s">
        <v>19206</v>
      </c>
      <c r="J5762" s="0" t="s">
        <v>19207</v>
      </c>
      <c r="K5762" s="0" t="s">
        <v>19208</v>
      </c>
      <c r="L5762" s="0" t="str">
        <f aca="false">HYPERLINK("https://www.ncbi.nlm.nih.gov/nuccore/CP000058.1?report=graph&amp;tracks=[key:gene_model_track,Options:GeneOnly]&amp;mk=1808964:1808983|offset_1|444444,1808942:1808961|offset_23|00cc00,1808884:1808903|offset_81|444444,1808862:1808881|offset_103|444444&amp;v=1808763:1809081&amp;c=444444", "offset 23")</f>
        <v>offset 23</v>
      </c>
    </row>
    <row r="5763" customFormat="false" ht="12.8" hidden="false" customHeight="false" outlineLevel="0" collapsed="false">
      <c r="A5763" s="0" t="s">
        <v>12</v>
      </c>
      <c r="B5763" s="0" t="n">
        <v>1808883</v>
      </c>
      <c r="C5763" s="0" t="n">
        <v>1808903</v>
      </c>
      <c r="D5763" s="0" t="s">
        <v>19201</v>
      </c>
      <c r="E5763" s="0" t="s">
        <v>19202</v>
      </c>
      <c r="F5763" s="0" t="s">
        <v>90</v>
      </c>
      <c r="G5763" s="0" t="s">
        <v>36</v>
      </c>
      <c r="H5763" s="0" t="n">
        <v>81</v>
      </c>
      <c r="I5763" s="0" t="s">
        <v>19209</v>
      </c>
      <c r="J5763" s="0" t="s">
        <v>19210</v>
      </c>
      <c r="K5763" s="0" t="s">
        <v>19211</v>
      </c>
      <c r="L5763" s="0" t="str">
        <f aca="false">HYPERLINK("https://www.ncbi.nlm.nih.gov/nuccore/CP000058.1?report=graph&amp;tracks=[key:gene_model_track,Options:GeneOnly]&amp;mk=1808964:1808983|offset_1|444444,1808942:1808961|offset_23|444444,1808884:1808903|offset_81|00cc00,1808862:1808881|offset_103|444444&amp;v=1808763:1809081&amp;c=444444", "offset 81")</f>
        <v>offset 81</v>
      </c>
    </row>
    <row r="5764" customFormat="false" ht="12.8" hidden="false" customHeight="false" outlineLevel="0" collapsed="false">
      <c r="A5764" s="0" t="s">
        <v>12</v>
      </c>
      <c r="B5764" s="0" t="n">
        <v>1808861</v>
      </c>
      <c r="C5764" s="0" t="n">
        <v>1808881</v>
      </c>
      <c r="D5764" s="0" t="s">
        <v>19201</v>
      </c>
      <c r="E5764" s="0" t="s">
        <v>19202</v>
      </c>
      <c r="F5764" s="0" t="s">
        <v>90</v>
      </c>
      <c r="G5764" s="0" t="s">
        <v>16</v>
      </c>
      <c r="H5764" s="0" t="n">
        <v>103</v>
      </c>
      <c r="I5764" s="0" t="s">
        <v>19212</v>
      </c>
      <c r="J5764" s="0" t="s">
        <v>19213</v>
      </c>
      <c r="K5764" s="0" t="s">
        <v>19214</v>
      </c>
      <c r="L5764" s="0" t="str">
        <f aca="false">HYPERLINK("https://www.ncbi.nlm.nih.gov/nuccore/CP000058.1?report=graph&amp;tracks=[key:gene_model_track,Options:GeneOnly]&amp;mk=1808964:1808983|offset_1|444444,1808942:1808961|offset_23|444444,1808884:1808903|offset_81|444444,1808862:1808881|offset_103|00cc00&amp;v=1808763:1809081&amp;c=444444", "offset 103")</f>
        <v>offset 103</v>
      </c>
    </row>
    <row r="5765" customFormat="false" ht="12.8" hidden="false" customHeight="false" outlineLevel="0" collapsed="false">
      <c r="A5765" s="0" t="s">
        <v>12</v>
      </c>
      <c r="B5765" s="0" t="n">
        <v>1811098</v>
      </c>
      <c r="C5765" s="0" t="n">
        <v>1811118</v>
      </c>
      <c r="D5765" s="0" t="s">
        <v>19215</v>
      </c>
      <c r="E5765" s="0" t="s">
        <v>75</v>
      </c>
      <c r="F5765" s="0" t="s">
        <v>90</v>
      </c>
      <c r="G5765" s="0" t="s">
        <v>20</v>
      </c>
      <c r="H5765" s="0" t="n">
        <v>7</v>
      </c>
      <c r="I5765" s="0" t="s">
        <v>19216</v>
      </c>
      <c r="J5765" s="0" t="s">
        <v>19217</v>
      </c>
      <c r="K5765" s="0" t="s">
        <v>19218</v>
      </c>
      <c r="L5765" s="0" t="str">
        <f aca="false">HYPERLINK("https://www.ncbi.nlm.nih.gov/nuccore/CP000058.1?report=graph&amp;tracks=[key:gene_model_track,Options:GeneOnly]&amp;mk=1811099:1811118|offset_7|00cc00,1811075:1811094|offset_31|444444,1811048:1811067|offset_58|444444,1811023:1811042|offset_83|444444&amp;v=1810898:1811242&amp;c=444444", "offset 7")</f>
        <v>offset 7</v>
      </c>
    </row>
    <row r="5766" customFormat="false" ht="12.8" hidden="false" customHeight="false" outlineLevel="0" collapsed="false">
      <c r="A5766" s="0" t="s">
        <v>12</v>
      </c>
      <c r="B5766" s="0" t="n">
        <v>1811074</v>
      </c>
      <c r="C5766" s="0" t="n">
        <v>1811094</v>
      </c>
      <c r="D5766" s="0" t="s">
        <v>19215</v>
      </c>
      <c r="E5766" s="0" t="s">
        <v>75</v>
      </c>
      <c r="F5766" s="0" t="s">
        <v>90</v>
      </c>
      <c r="G5766" s="0" t="s">
        <v>36</v>
      </c>
      <c r="H5766" s="0" t="n">
        <v>31</v>
      </c>
      <c r="I5766" s="0" t="s">
        <v>19219</v>
      </c>
      <c r="J5766" s="0" t="s">
        <v>19220</v>
      </c>
      <c r="K5766" s="0" t="s">
        <v>19221</v>
      </c>
      <c r="L5766" s="0" t="str">
        <f aca="false">HYPERLINK("https://www.ncbi.nlm.nih.gov/nuccore/CP000058.1?report=graph&amp;tracks=[key:gene_model_track,Options:GeneOnly]&amp;mk=1811099:1811118|offset_7|444444,1811075:1811094|offset_31|00cc00,1811048:1811067|offset_58|444444,1811023:1811042|offset_83|444444&amp;v=1810898:1811242&amp;c=444444", "offset 31")</f>
        <v>offset 31</v>
      </c>
    </row>
    <row r="5767" customFormat="false" ht="12.8" hidden="false" customHeight="false" outlineLevel="0" collapsed="false">
      <c r="A5767" s="0" t="s">
        <v>12</v>
      </c>
      <c r="B5767" s="0" t="n">
        <v>1811047</v>
      </c>
      <c r="C5767" s="0" t="n">
        <v>1811067</v>
      </c>
      <c r="D5767" s="0" t="s">
        <v>19215</v>
      </c>
      <c r="E5767" s="0" t="s">
        <v>75</v>
      </c>
      <c r="F5767" s="0" t="s">
        <v>90</v>
      </c>
      <c r="G5767" s="0" t="s">
        <v>16</v>
      </c>
      <c r="H5767" s="0" t="n">
        <v>58</v>
      </c>
      <c r="I5767" s="0" t="s">
        <v>19222</v>
      </c>
      <c r="J5767" s="0" t="s">
        <v>19223</v>
      </c>
      <c r="K5767" s="0" t="s">
        <v>19224</v>
      </c>
      <c r="L5767" s="0" t="str">
        <f aca="false">HYPERLINK("https://www.ncbi.nlm.nih.gov/nuccore/CP000058.1?report=graph&amp;tracks=[key:gene_model_track,Options:GeneOnly]&amp;mk=1811099:1811118|offset_7|444444,1811075:1811094|offset_31|444444,1811048:1811067|offset_58|00cc00,1811023:1811042|offset_83|444444&amp;v=1810898:1811242&amp;c=444444", "offset 58")</f>
        <v>offset 58</v>
      </c>
    </row>
    <row r="5768" customFormat="false" ht="12.8" hidden="false" customHeight="false" outlineLevel="0" collapsed="false">
      <c r="A5768" s="0" t="s">
        <v>12</v>
      </c>
      <c r="B5768" s="0" t="n">
        <v>1811022</v>
      </c>
      <c r="C5768" s="0" t="n">
        <v>1811042</v>
      </c>
      <c r="D5768" s="0" t="s">
        <v>19215</v>
      </c>
      <c r="E5768" s="0" t="s">
        <v>75</v>
      </c>
      <c r="F5768" s="0" t="s">
        <v>90</v>
      </c>
      <c r="G5768" s="0" t="s">
        <v>16</v>
      </c>
      <c r="H5768" s="0" t="n">
        <v>83</v>
      </c>
      <c r="I5768" s="0" t="s">
        <v>19225</v>
      </c>
      <c r="J5768" s="0" t="s">
        <v>19226</v>
      </c>
      <c r="K5768" s="0" t="s">
        <v>19227</v>
      </c>
      <c r="L5768" s="0" t="str">
        <f aca="false">HYPERLINK("https://www.ncbi.nlm.nih.gov/nuccore/CP000058.1?report=graph&amp;tracks=[key:gene_model_track,Options:GeneOnly]&amp;mk=1811099:1811118|offset_7|444444,1811075:1811094|offset_31|444444,1811048:1811067|offset_58|444444,1811023:1811042|offset_83|00cc00&amp;v=1810898:1811242&amp;c=444444", "offset 83")</f>
        <v>offset 83</v>
      </c>
    </row>
    <row r="5769" customFormat="false" ht="12.8" hidden="false" customHeight="false" outlineLevel="0" collapsed="false">
      <c r="A5769" s="0" t="s">
        <v>12</v>
      </c>
      <c r="B5769" s="0" t="n">
        <v>1811263</v>
      </c>
      <c r="C5769" s="0" t="n">
        <v>1811283</v>
      </c>
      <c r="D5769" s="0" t="s">
        <v>19228</v>
      </c>
      <c r="E5769" s="0" t="s">
        <v>75</v>
      </c>
      <c r="F5769" s="0" t="s">
        <v>15</v>
      </c>
      <c r="G5769" s="0" t="s">
        <v>16</v>
      </c>
      <c r="H5769" s="0" t="n">
        <v>7</v>
      </c>
      <c r="I5769" s="0" t="s">
        <v>19229</v>
      </c>
      <c r="J5769" s="0" t="s">
        <v>19230</v>
      </c>
      <c r="K5769" s="0" t="s">
        <v>19231</v>
      </c>
      <c r="L5769" s="0" t="str">
        <f aca="false">HYPERLINK("https://www.ncbi.nlm.nih.gov/nuccore/CP000058.1?report=graph&amp;tracks=[key:gene_model_track,Options:GeneOnly]&amp;mk=1811264:1811283|offset_7|00cc00,1811285:1811304|offset_28|444444,1811306:1811325|offset_49|444444,1811334:1811353|offset_77|444444&amp;v=1811063:1811553&amp;c=444444", "offset 7")</f>
        <v>offset 7</v>
      </c>
    </row>
    <row r="5770" customFormat="false" ht="12.8" hidden="false" customHeight="false" outlineLevel="0" collapsed="false">
      <c r="A5770" s="0" t="s">
        <v>12</v>
      </c>
      <c r="B5770" s="0" t="n">
        <v>1811284</v>
      </c>
      <c r="C5770" s="0" t="n">
        <v>1811304</v>
      </c>
      <c r="D5770" s="0" t="s">
        <v>19228</v>
      </c>
      <c r="E5770" s="0" t="s">
        <v>75</v>
      </c>
      <c r="F5770" s="0" t="s">
        <v>15</v>
      </c>
      <c r="G5770" s="0" t="s">
        <v>20</v>
      </c>
      <c r="H5770" s="0" t="n">
        <v>28</v>
      </c>
      <c r="I5770" s="0" t="s">
        <v>19232</v>
      </c>
      <c r="J5770" s="0" t="s">
        <v>19233</v>
      </c>
      <c r="K5770" s="0" t="s">
        <v>19234</v>
      </c>
      <c r="L5770" s="0" t="str">
        <f aca="false">HYPERLINK("https://www.ncbi.nlm.nih.gov/nuccore/CP000058.1?report=graph&amp;tracks=[key:gene_model_track,Options:GeneOnly]&amp;mk=1811264:1811283|offset_7|444444,1811285:1811304|offset_28|00cc00,1811306:1811325|offset_49|444444,1811334:1811353|offset_77|444444&amp;v=1811063:1811553&amp;c=444444", "offset 28")</f>
        <v>offset 28</v>
      </c>
    </row>
    <row r="5771" customFormat="false" ht="12.8" hidden="false" customHeight="false" outlineLevel="0" collapsed="false">
      <c r="A5771" s="0" t="s">
        <v>12</v>
      </c>
      <c r="B5771" s="0" t="n">
        <v>1811305</v>
      </c>
      <c r="C5771" s="0" t="n">
        <v>1811325</v>
      </c>
      <c r="D5771" s="0" t="s">
        <v>19228</v>
      </c>
      <c r="E5771" s="0" t="s">
        <v>75</v>
      </c>
      <c r="F5771" s="0" t="s">
        <v>15</v>
      </c>
      <c r="G5771" s="0" t="s">
        <v>16</v>
      </c>
      <c r="H5771" s="0" t="n">
        <v>49</v>
      </c>
      <c r="I5771" s="0" t="s">
        <v>19235</v>
      </c>
      <c r="J5771" s="0" t="s">
        <v>19236</v>
      </c>
      <c r="K5771" s="0" t="s">
        <v>19237</v>
      </c>
      <c r="L5771" s="0" t="str">
        <f aca="false">HYPERLINK("https://www.ncbi.nlm.nih.gov/nuccore/CP000058.1?report=graph&amp;tracks=[key:gene_model_track,Options:GeneOnly]&amp;mk=1811264:1811283|offset_7|444444,1811285:1811304|offset_28|444444,1811306:1811325|offset_49|00cc00,1811334:1811353|offset_77|444444&amp;v=1811063:1811553&amp;c=444444", "offset 49")</f>
        <v>offset 49</v>
      </c>
    </row>
    <row r="5772" customFormat="false" ht="12.8" hidden="false" customHeight="false" outlineLevel="0" collapsed="false">
      <c r="A5772" s="0" t="s">
        <v>12</v>
      </c>
      <c r="B5772" s="0" t="n">
        <v>1811333</v>
      </c>
      <c r="C5772" s="0" t="n">
        <v>1811353</v>
      </c>
      <c r="D5772" s="0" t="s">
        <v>19228</v>
      </c>
      <c r="E5772" s="0" t="s">
        <v>75</v>
      </c>
      <c r="F5772" s="0" t="s">
        <v>15</v>
      </c>
      <c r="G5772" s="0" t="s">
        <v>20</v>
      </c>
      <c r="H5772" s="0" t="n">
        <v>77</v>
      </c>
      <c r="I5772" s="0" t="s">
        <v>19238</v>
      </c>
      <c r="J5772" s="0" t="s">
        <v>19239</v>
      </c>
      <c r="K5772" s="0" t="s">
        <v>19240</v>
      </c>
      <c r="L5772" s="0" t="str">
        <f aca="false">HYPERLINK("https://www.ncbi.nlm.nih.gov/nuccore/CP000058.1?report=graph&amp;tracks=[key:gene_model_track,Options:GeneOnly]&amp;mk=1811264:1811283|offset_7|444444,1811285:1811304|offset_28|444444,1811306:1811325|offset_49|444444,1811334:1811353|offset_77|00cc00&amp;v=1811063:1811553&amp;c=444444", "offset 77")</f>
        <v>offset 77</v>
      </c>
    </row>
    <row r="5773" customFormat="false" ht="12.8" hidden="false" customHeight="false" outlineLevel="0" collapsed="false">
      <c r="A5773" s="0" t="s">
        <v>12</v>
      </c>
      <c r="B5773" s="0" t="n">
        <v>1811837</v>
      </c>
      <c r="C5773" s="0" t="n">
        <v>1811857</v>
      </c>
      <c r="D5773" s="0" t="s">
        <v>19241</v>
      </c>
      <c r="E5773" s="0" t="s">
        <v>75</v>
      </c>
      <c r="F5773" s="0" t="s">
        <v>15</v>
      </c>
      <c r="G5773" s="0" t="s">
        <v>32</v>
      </c>
      <c r="H5773" s="0" t="n">
        <v>28</v>
      </c>
      <c r="I5773" s="0" t="s">
        <v>19242</v>
      </c>
      <c r="J5773" s="0" t="s">
        <v>19243</v>
      </c>
      <c r="K5773" s="0" t="s">
        <v>19244</v>
      </c>
      <c r="L5773" s="0" t="str">
        <f aca="false">HYPERLINK("https://www.ncbi.nlm.nih.gov/nuccore/CP000058.1?report=graph&amp;tracks=[key:gene_model_track,Options:GeneOnly]&amp;mk=1811838:1811857|offset_28|00cc00,1811871:1811890|offset_61|444444,1811903:1811922|offset_93|444444,1811928:1811947|offset_118|444444&amp;v=1811637:1812147&amp;c=444444", "offset 28")</f>
        <v>offset 28</v>
      </c>
    </row>
    <row r="5774" customFormat="false" ht="12.8" hidden="false" customHeight="false" outlineLevel="0" collapsed="false">
      <c r="A5774" s="0" t="s">
        <v>12</v>
      </c>
      <c r="B5774" s="0" t="n">
        <v>1811870</v>
      </c>
      <c r="C5774" s="0" t="n">
        <v>1811890</v>
      </c>
      <c r="D5774" s="0" t="s">
        <v>19241</v>
      </c>
      <c r="E5774" s="0" t="s">
        <v>75</v>
      </c>
      <c r="F5774" s="0" t="s">
        <v>15</v>
      </c>
      <c r="G5774" s="0" t="s">
        <v>16</v>
      </c>
      <c r="H5774" s="0" t="n">
        <v>61</v>
      </c>
      <c r="I5774" s="0" t="s">
        <v>19245</v>
      </c>
      <c r="J5774" s="0" t="s">
        <v>19246</v>
      </c>
      <c r="K5774" s="0" t="s">
        <v>19247</v>
      </c>
      <c r="L5774" s="0" t="str">
        <f aca="false">HYPERLINK("https://www.ncbi.nlm.nih.gov/nuccore/CP000058.1?report=graph&amp;tracks=[key:gene_model_track,Options:GeneOnly]&amp;mk=1811838:1811857|offset_28|444444,1811871:1811890|offset_61|00cc00,1811903:1811922|offset_93|444444,1811928:1811947|offset_118|444444&amp;v=1811637:1812147&amp;c=444444", "offset 61")</f>
        <v>offset 61</v>
      </c>
    </row>
    <row r="5775" customFormat="false" ht="12.8" hidden="false" customHeight="false" outlineLevel="0" collapsed="false">
      <c r="A5775" s="0" t="s">
        <v>12</v>
      </c>
      <c r="B5775" s="0" t="n">
        <v>1811902</v>
      </c>
      <c r="C5775" s="0" t="n">
        <v>1811922</v>
      </c>
      <c r="D5775" s="0" t="s">
        <v>19241</v>
      </c>
      <c r="E5775" s="0" t="s">
        <v>75</v>
      </c>
      <c r="F5775" s="0" t="s">
        <v>15</v>
      </c>
      <c r="G5775" s="0" t="s">
        <v>16</v>
      </c>
      <c r="H5775" s="0" t="n">
        <v>93</v>
      </c>
      <c r="I5775" s="0" t="s">
        <v>19248</v>
      </c>
      <c r="J5775" s="0" t="s">
        <v>19249</v>
      </c>
      <c r="K5775" s="0" t="s">
        <v>19250</v>
      </c>
      <c r="L5775" s="0" t="str">
        <f aca="false">HYPERLINK("https://www.ncbi.nlm.nih.gov/nuccore/CP000058.1?report=graph&amp;tracks=[key:gene_model_track,Options:GeneOnly]&amp;mk=1811838:1811857|offset_28|444444,1811871:1811890|offset_61|444444,1811903:1811922|offset_93|00cc00,1811928:1811947|offset_118|444444&amp;v=1811637:1812147&amp;c=444444", "offset 93")</f>
        <v>offset 93</v>
      </c>
    </row>
    <row r="5776" customFormat="false" ht="12.8" hidden="false" customHeight="false" outlineLevel="0" collapsed="false">
      <c r="A5776" s="0" t="s">
        <v>12</v>
      </c>
      <c r="B5776" s="0" t="n">
        <v>1811927</v>
      </c>
      <c r="C5776" s="0" t="n">
        <v>1811947</v>
      </c>
      <c r="D5776" s="0" t="s">
        <v>19241</v>
      </c>
      <c r="E5776" s="0" t="s">
        <v>75</v>
      </c>
      <c r="F5776" s="0" t="s">
        <v>15</v>
      </c>
      <c r="G5776" s="0" t="s">
        <v>20</v>
      </c>
      <c r="H5776" s="0" t="n">
        <v>118</v>
      </c>
      <c r="I5776" s="0" t="s">
        <v>19251</v>
      </c>
      <c r="J5776" s="0" t="s">
        <v>19252</v>
      </c>
      <c r="K5776" s="0" t="s">
        <v>19253</v>
      </c>
      <c r="L5776" s="0" t="str">
        <f aca="false">HYPERLINK("https://www.ncbi.nlm.nih.gov/nuccore/CP000058.1?report=graph&amp;tracks=[key:gene_model_track,Options:GeneOnly]&amp;mk=1811838:1811857|offset_28|444444,1811871:1811890|offset_61|444444,1811903:1811922|offset_93|444444,1811928:1811947|offset_118|00cc00&amp;v=1811637:1812147&amp;c=444444", "offset 118")</f>
        <v>offset 118</v>
      </c>
    </row>
    <row r="5777" customFormat="false" ht="12.8" hidden="false" customHeight="false" outlineLevel="0" collapsed="false">
      <c r="A5777" s="0" t="s">
        <v>12</v>
      </c>
      <c r="B5777" s="0" t="n">
        <v>1812680</v>
      </c>
      <c r="C5777" s="0" t="n">
        <v>1812700</v>
      </c>
      <c r="D5777" s="0" t="s">
        <v>19254</v>
      </c>
      <c r="E5777" s="0" t="s">
        <v>75</v>
      </c>
      <c r="F5777" s="0" t="s">
        <v>15</v>
      </c>
      <c r="G5777" s="0" t="s">
        <v>32</v>
      </c>
      <c r="H5777" s="0" t="n">
        <v>37</v>
      </c>
      <c r="I5777" s="0" t="s">
        <v>19255</v>
      </c>
      <c r="J5777" s="0" t="s">
        <v>19256</v>
      </c>
      <c r="K5777" s="0" t="s">
        <v>19257</v>
      </c>
      <c r="L5777" s="0" t="str">
        <f aca="false">HYPERLINK("https://www.ncbi.nlm.nih.gov/nuccore/CP000058.1?report=graph&amp;tracks=[key:gene_model_track,Options:GeneOnly]&amp;mk=1812681:1812700|offset_37|00cc00,1812709:1812728|offset_65|444444,1812771:1812790|offset_127|444444,1812832:1812851|offset_188|444444&amp;v=1812480:1813051&amp;c=444444", "offset 37")</f>
        <v>offset 37</v>
      </c>
    </row>
    <row r="5778" customFormat="false" ht="12.8" hidden="false" customHeight="false" outlineLevel="0" collapsed="false">
      <c r="A5778" s="0" t="s">
        <v>12</v>
      </c>
      <c r="B5778" s="0" t="n">
        <v>1812708</v>
      </c>
      <c r="C5778" s="0" t="n">
        <v>1812728</v>
      </c>
      <c r="D5778" s="0" t="s">
        <v>19254</v>
      </c>
      <c r="E5778" s="0" t="s">
        <v>75</v>
      </c>
      <c r="F5778" s="0" t="s">
        <v>15</v>
      </c>
      <c r="G5778" s="0" t="s">
        <v>36</v>
      </c>
      <c r="H5778" s="0" t="n">
        <v>65</v>
      </c>
      <c r="I5778" s="0" t="s">
        <v>19258</v>
      </c>
      <c r="J5778" s="0" t="s">
        <v>19259</v>
      </c>
      <c r="K5778" s="0" t="s">
        <v>19260</v>
      </c>
      <c r="L5778" s="0" t="str">
        <f aca="false">HYPERLINK("https://www.ncbi.nlm.nih.gov/nuccore/CP000058.1?report=graph&amp;tracks=[key:gene_model_track,Options:GeneOnly]&amp;mk=1812681:1812700|offset_37|444444,1812709:1812728|offset_65|00cc00,1812771:1812790|offset_127|444444,1812832:1812851|offset_188|444444&amp;v=1812480:1813051&amp;c=444444", "offset 65")</f>
        <v>offset 65</v>
      </c>
    </row>
    <row r="5779" customFormat="false" ht="12.8" hidden="false" customHeight="false" outlineLevel="0" collapsed="false">
      <c r="A5779" s="0" t="s">
        <v>12</v>
      </c>
      <c r="B5779" s="0" t="n">
        <v>1812770</v>
      </c>
      <c r="C5779" s="0" t="n">
        <v>1812790</v>
      </c>
      <c r="D5779" s="0" t="s">
        <v>19254</v>
      </c>
      <c r="E5779" s="0" t="s">
        <v>75</v>
      </c>
      <c r="F5779" s="0" t="s">
        <v>15</v>
      </c>
      <c r="G5779" s="0" t="s">
        <v>16</v>
      </c>
      <c r="H5779" s="0" t="n">
        <v>127</v>
      </c>
      <c r="I5779" s="0" t="s">
        <v>19261</v>
      </c>
      <c r="J5779" s="0" t="s">
        <v>19262</v>
      </c>
      <c r="K5779" s="0" t="s">
        <v>19263</v>
      </c>
      <c r="L5779" s="0" t="str">
        <f aca="false">HYPERLINK("https://www.ncbi.nlm.nih.gov/nuccore/CP000058.1?report=graph&amp;tracks=[key:gene_model_track,Options:GeneOnly]&amp;mk=1812681:1812700|offset_37|444444,1812709:1812728|offset_65|444444,1812771:1812790|offset_127|00cc00,1812832:1812851|offset_188|444444&amp;v=1812480:1813051&amp;c=444444", "offset 127")</f>
        <v>offset 127</v>
      </c>
    </row>
    <row r="5780" customFormat="false" ht="12.8" hidden="false" customHeight="false" outlineLevel="0" collapsed="false">
      <c r="A5780" s="0" t="s">
        <v>12</v>
      </c>
      <c r="B5780" s="0" t="n">
        <v>1812831</v>
      </c>
      <c r="C5780" s="0" t="n">
        <v>1812851</v>
      </c>
      <c r="D5780" s="0" t="s">
        <v>19254</v>
      </c>
      <c r="E5780" s="0" t="s">
        <v>75</v>
      </c>
      <c r="F5780" s="0" t="s">
        <v>15</v>
      </c>
      <c r="G5780" s="0" t="s">
        <v>32</v>
      </c>
      <c r="H5780" s="0" t="n">
        <v>188</v>
      </c>
      <c r="I5780" s="0" t="s">
        <v>19264</v>
      </c>
      <c r="J5780" s="0" t="s">
        <v>19265</v>
      </c>
      <c r="K5780" s="0" t="s">
        <v>19266</v>
      </c>
      <c r="L5780" s="0" t="str">
        <f aca="false">HYPERLINK("https://www.ncbi.nlm.nih.gov/nuccore/CP000058.1?report=graph&amp;tracks=[key:gene_model_track,Options:GeneOnly]&amp;mk=1812681:1812700|offset_37|444444,1812709:1812728|offset_65|444444,1812771:1812790|offset_127|444444,1812832:1812851|offset_188|00cc00&amp;v=1812480:1813051&amp;c=444444", "offset 188")</f>
        <v>offset 188</v>
      </c>
    </row>
    <row r="5781" customFormat="false" ht="12.8" hidden="false" customHeight="false" outlineLevel="0" collapsed="false">
      <c r="A5781" s="0" t="s">
        <v>12</v>
      </c>
      <c r="B5781" s="0" t="n">
        <v>1814387</v>
      </c>
      <c r="C5781" s="0" t="n">
        <v>1814407</v>
      </c>
      <c r="D5781" s="0" t="s">
        <v>19267</v>
      </c>
      <c r="E5781" s="0" t="s">
        <v>75</v>
      </c>
      <c r="F5781" s="0" t="s">
        <v>90</v>
      </c>
      <c r="G5781" s="0" t="s">
        <v>32</v>
      </c>
      <c r="H5781" s="0" t="n">
        <v>1</v>
      </c>
      <c r="I5781" s="0" t="s">
        <v>19268</v>
      </c>
      <c r="J5781" s="0" t="s">
        <v>19269</v>
      </c>
      <c r="K5781" s="0" t="s">
        <v>19270</v>
      </c>
      <c r="L5781" s="0" t="str">
        <f aca="false">HYPERLINK("https://www.ncbi.nlm.nih.gov/nuccore/CP000058.1?report=graph&amp;tracks=[key:gene_model_track,Options:GeneOnly]&amp;mk=1814388:1814407|offset_1|00cc00,1814352:1814371|offset_37|444444,1814318:1814337|offset_71|444444,1814283:1814302|offset_106|444444&amp;v=1814187:1814502&amp;c=444444", "offset 1")</f>
        <v>offset 1</v>
      </c>
    </row>
    <row r="5782" customFormat="false" ht="12.8" hidden="false" customHeight="false" outlineLevel="0" collapsed="false">
      <c r="A5782" s="0" t="s">
        <v>12</v>
      </c>
      <c r="B5782" s="0" t="n">
        <v>1814351</v>
      </c>
      <c r="C5782" s="0" t="n">
        <v>1814371</v>
      </c>
      <c r="D5782" s="0" t="s">
        <v>19267</v>
      </c>
      <c r="E5782" s="0" t="s">
        <v>75</v>
      </c>
      <c r="F5782" s="0" t="s">
        <v>90</v>
      </c>
      <c r="G5782" s="0" t="s">
        <v>32</v>
      </c>
      <c r="H5782" s="0" t="n">
        <v>37</v>
      </c>
      <c r="I5782" s="0" t="s">
        <v>19271</v>
      </c>
      <c r="J5782" s="0" t="s">
        <v>19272</v>
      </c>
      <c r="K5782" s="0" t="s">
        <v>19273</v>
      </c>
      <c r="L5782" s="0" t="str">
        <f aca="false">HYPERLINK("https://www.ncbi.nlm.nih.gov/nuccore/CP000058.1?report=graph&amp;tracks=[key:gene_model_track,Options:GeneOnly]&amp;mk=1814388:1814407|offset_1|444444,1814352:1814371|offset_37|00cc00,1814318:1814337|offset_71|444444,1814283:1814302|offset_106|444444&amp;v=1814187:1814502&amp;c=444444", "offset 37")</f>
        <v>offset 37</v>
      </c>
    </row>
    <row r="5783" customFormat="false" ht="12.8" hidden="false" customHeight="false" outlineLevel="0" collapsed="false">
      <c r="A5783" s="0" t="s">
        <v>12</v>
      </c>
      <c r="B5783" s="0" t="n">
        <v>1814317</v>
      </c>
      <c r="C5783" s="0" t="n">
        <v>1814337</v>
      </c>
      <c r="D5783" s="0" t="s">
        <v>19267</v>
      </c>
      <c r="E5783" s="0" t="s">
        <v>75</v>
      </c>
      <c r="F5783" s="0" t="s">
        <v>90</v>
      </c>
      <c r="G5783" s="0" t="s">
        <v>20</v>
      </c>
      <c r="H5783" s="0" t="n">
        <v>71</v>
      </c>
      <c r="I5783" s="0" t="s">
        <v>19274</v>
      </c>
      <c r="J5783" s="0" t="s">
        <v>19275</v>
      </c>
      <c r="K5783" s="0" t="s">
        <v>19276</v>
      </c>
      <c r="L5783" s="0" t="str">
        <f aca="false">HYPERLINK("https://www.ncbi.nlm.nih.gov/nuccore/CP000058.1?report=graph&amp;tracks=[key:gene_model_track,Options:GeneOnly]&amp;mk=1814388:1814407|offset_1|444444,1814352:1814371|offset_37|444444,1814318:1814337|offset_71|00cc00,1814283:1814302|offset_106|444444&amp;v=1814187:1814502&amp;c=444444", "offset 71")</f>
        <v>offset 71</v>
      </c>
    </row>
    <row r="5784" customFormat="false" ht="12.8" hidden="false" customHeight="false" outlineLevel="0" collapsed="false">
      <c r="A5784" s="0" t="s">
        <v>12</v>
      </c>
      <c r="B5784" s="0" t="n">
        <v>1814282</v>
      </c>
      <c r="C5784" s="0" t="n">
        <v>1814302</v>
      </c>
      <c r="D5784" s="0" t="s">
        <v>19267</v>
      </c>
      <c r="E5784" s="0" t="s">
        <v>75</v>
      </c>
      <c r="F5784" s="0" t="s">
        <v>90</v>
      </c>
      <c r="G5784" s="0" t="s">
        <v>16</v>
      </c>
      <c r="H5784" s="0" t="n">
        <v>106</v>
      </c>
      <c r="I5784" s="0" t="s">
        <v>19277</v>
      </c>
      <c r="J5784" s="0" t="s">
        <v>19278</v>
      </c>
      <c r="K5784" s="0" t="s">
        <v>19279</v>
      </c>
      <c r="L5784" s="0" t="str">
        <f aca="false">HYPERLINK("https://www.ncbi.nlm.nih.gov/nuccore/CP000058.1?report=graph&amp;tracks=[key:gene_model_track,Options:GeneOnly]&amp;mk=1814388:1814407|offset_1|444444,1814352:1814371|offset_37|444444,1814318:1814337|offset_71|444444,1814283:1814302|offset_106|00cc00&amp;v=1814187:1814502&amp;c=444444", "offset 106")</f>
        <v>offset 106</v>
      </c>
    </row>
    <row r="5785" customFormat="false" ht="12.8" hidden="false" customHeight="false" outlineLevel="0" collapsed="false">
      <c r="A5785" s="0" t="s">
        <v>12</v>
      </c>
      <c r="B5785" s="0" t="n">
        <v>1815713</v>
      </c>
      <c r="C5785" s="0" t="n">
        <v>1815733</v>
      </c>
      <c r="D5785" s="0" t="s">
        <v>19280</v>
      </c>
      <c r="E5785" s="0" t="s">
        <v>75</v>
      </c>
      <c r="F5785" s="0" t="s">
        <v>15</v>
      </c>
      <c r="G5785" s="0" t="s">
        <v>32</v>
      </c>
      <c r="H5785" s="0" t="n">
        <v>10</v>
      </c>
      <c r="I5785" s="0" t="s">
        <v>19281</v>
      </c>
      <c r="J5785" s="0" t="s">
        <v>19282</v>
      </c>
      <c r="K5785" s="0" t="s">
        <v>19283</v>
      </c>
      <c r="L5785" s="0" t="str">
        <f aca="false">HYPERLINK("https://www.ncbi.nlm.nih.gov/nuccore/CP000058.1?report=graph&amp;tracks=[key:gene_model_track,Options:GeneOnly]&amp;mk=1815714:1815733|offset_10|00cc00,1815753:1815772|offset_49|444444,1815799:1815818|offset_95|444444,1815830:1815849|offset_126|444444&amp;v=1815513:1816049&amp;c=444444", "offset 10")</f>
        <v>offset 10</v>
      </c>
    </row>
    <row r="5786" customFormat="false" ht="12.8" hidden="false" customHeight="false" outlineLevel="0" collapsed="false">
      <c r="A5786" s="0" t="s">
        <v>12</v>
      </c>
      <c r="B5786" s="0" t="n">
        <v>1815752</v>
      </c>
      <c r="C5786" s="0" t="n">
        <v>1815772</v>
      </c>
      <c r="D5786" s="0" t="s">
        <v>19280</v>
      </c>
      <c r="E5786" s="0" t="s">
        <v>75</v>
      </c>
      <c r="F5786" s="0" t="s">
        <v>15</v>
      </c>
      <c r="G5786" s="0" t="s">
        <v>16</v>
      </c>
      <c r="H5786" s="0" t="n">
        <v>49</v>
      </c>
      <c r="I5786" s="0" t="s">
        <v>19284</v>
      </c>
      <c r="J5786" s="0" t="s">
        <v>19285</v>
      </c>
      <c r="K5786" s="0" t="s">
        <v>19286</v>
      </c>
      <c r="L5786" s="0" t="str">
        <f aca="false">HYPERLINK("https://www.ncbi.nlm.nih.gov/nuccore/CP000058.1?report=graph&amp;tracks=[key:gene_model_track,Options:GeneOnly]&amp;mk=1815714:1815733|offset_10|444444,1815753:1815772|offset_49|00cc00,1815799:1815818|offset_95|444444,1815830:1815849|offset_126|444444&amp;v=1815513:1816049&amp;c=444444", "offset 49")</f>
        <v>offset 49</v>
      </c>
    </row>
    <row r="5787" customFormat="false" ht="12.8" hidden="false" customHeight="false" outlineLevel="0" collapsed="false">
      <c r="A5787" s="0" t="s">
        <v>12</v>
      </c>
      <c r="B5787" s="0" t="n">
        <v>1815798</v>
      </c>
      <c r="C5787" s="0" t="n">
        <v>1815818</v>
      </c>
      <c r="D5787" s="0" t="s">
        <v>19280</v>
      </c>
      <c r="E5787" s="0" t="s">
        <v>75</v>
      </c>
      <c r="F5787" s="0" t="s">
        <v>15</v>
      </c>
      <c r="G5787" s="0" t="s">
        <v>20</v>
      </c>
      <c r="H5787" s="0" t="n">
        <v>95</v>
      </c>
      <c r="I5787" s="0" t="s">
        <v>19287</v>
      </c>
      <c r="J5787" s="0" t="s">
        <v>19288</v>
      </c>
      <c r="K5787" s="0" t="s">
        <v>19289</v>
      </c>
      <c r="L5787" s="0" t="str">
        <f aca="false">HYPERLINK("https://www.ncbi.nlm.nih.gov/nuccore/CP000058.1?report=graph&amp;tracks=[key:gene_model_track,Options:GeneOnly]&amp;mk=1815714:1815733|offset_10|444444,1815753:1815772|offset_49|444444,1815799:1815818|offset_95|00cc00,1815830:1815849|offset_126|444444&amp;v=1815513:1816049&amp;c=444444", "offset 95")</f>
        <v>offset 95</v>
      </c>
    </row>
    <row r="5788" customFormat="false" ht="12.8" hidden="false" customHeight="false" outlineLevel="0" collapsed="false">
      <c r="A5788" s="0" t="s">
        <v>12</v>
      </c>
      <c r="B5788" s="0" t="n">
        <v>1815829</v>
      </c>
      <c r="C5788" s="0" t="n">
        <v>1815849</v>
      </c>
      <c r="D5788" s="0" t="s">
        <v>19280</v>
      </c>
      <c r="E5788" s="0" t="s">
        <v>75</v>
      </c>
      <c r="F5788" s="0" t="s">
        <v>15</v>
      </c>
      <c r="G5788" s="0" t="s">
        <v>16</v>
      </c>
      <c r="H5788" s="0" t="n">
        <v>126</v>
      </c>
      <c r="I5788" s="0" t="s">
        <v>19290</v>
      </c>
      <c r="J5788" s="0" t="s">
        <v>19291</v>
      </c>
      <c r="K5788" s="0" t="s">
        <v>19292</v>
      </c>
      <c r="L5788" s="0" t="str">
        <f aca="false">HYPERLINK("https://www.ncbi.nlm.nih.gov/nuccore/CP000058.1?report=graph&amp;tracks=[key:gene_model_track,Options:GeneOnly]&amp;mk=1815714:1815733|offset_10|444444,1815753:1815772|offset_49|444444,1815799:1815818|offset_95|444444,1815830:1815849|offset_126|00cc00&amp;v=1815513:1816049&amp;c=444444", "offset 126")</f>
        <v>offset 126</v>
      </c>
    </row>
    <row r="5789" customFormat="false" ht="12.8" hidden="false" customHeight="false" outlineLevel="0" collapsed="false">
      <c r="A5789" s="0" t="s">
        <v>12</v>
      </c>
      <c r="B5789" s="0" t="n">
        <v>1817221</v>
      </c>
      <c r="C5789" s="0" t="n">
        <v>1817241</v>
      </c>
      <c r="D5789" s="0" t="s">
        <v>19293</v>
      </c>
      <c r="E5789" s="0" t="s">
        <v>75</v>
      </c>
      <c r="F5789" s="0" t="s">
        <v>90</v>
      </c>
      <c r="G5789" s="0" t="s">
        <v>16</v>
      </c>
      <c r="H5789" s="0" t="n">
        <v>24</v>
      </c>
      <c r="I5789" s="0" t="s">
        <v>19294</v>
      </c>
      <c r="J5789" s="0" t="s">
        <v>19295</v>
      </c>
      <c r="K5789" s="0" t="s">
        <v>19296</v>
      </c>
      <c r="L5789" s="0" t="str">
        <f aca="false">HYPERLINK("https://www.ncbi.nlm.nih.gov/nuccore/CP000058.1?report=graph&amp;tracks=[key:gene_model_track,Options:GeneOnly]&amp;mk=1817222:1817241|offset_24|00cc00,1817193:1817212|offset_53|444444,1817170:1817189|offset_76|444444,1817128:1817147|offset_118|444444&amp;v=1817021:1817347&amp;c=444444", "offset 24")</f>
        <v>offset 24</v>
      </c>
    </row>
    <row r="5790" customFormat="false" ht="12.8" hidden="false" customHeight="false" outlineLevel="0" collapsed="false">
      <c r="A5790" s="0" t="s">
        <v>12</v>
      </c>
      <c r="B5790" s="0" t="n">
        <v>1817192</v>
      </c>
      <c r="C5790" s="0" t="n">
        <v>1817212</v>
      </c>
      <c r="D5790" s="0" t="s">
        <v>19293</v>
      </c>
      <c r="E5790" s="0" t="s">
        <v>75</v>
      </c>
      <c r="F5790" s="0" t="s">
        <v>90</v>
      </c>
      <c r="G5790" s="0" t="s">
        <v>20</v>
      </c>
      <c r="H5790" s="0" t="n">
        <v>53</v>
      </c>
      <c r="I5790" s="0" t="s">
        <v>19297</v>
      </c>
      <c r="J5790" s="0" t="s">
        <v>19298</v>
      </c>
      <c r="K5790" s="0" t="s">
        <v>19299</v>
      </c>
      <c r="L5790" s="0" t="str">
        <f aca="false">HYPERLINK("https://www.ncbi.nlm.nih.gov/nuccore/CP000058.1?report=graph&amp;tracks=[key:gene_model_track,Options:GeneOnly]&amp;mk=1817222:1817241|offset_24|444444,1817193:1817212|offset_53|00cc00,1817170:1817189|offset_76|444444,1817128:1817147|offset_118|444444&amp;v=1817021:1817347&amp;c=444444", "offset 53")</f>
        <v>offset 53</v>
      </c>
    </row>
    <row r="5791" customFormat="false" ht="12.8" hidden="false" customHeight="false" outlineLevel="0" collapsed="false">
      <c r="A5791" s="0" t="s">
        <v>12</v>
      </c>
      <c r="B5791" s="0" t="n">
        <v>1817169</v>
      </c>
      <c r="C5791" s="0" t="n">
        <v>1817189</v>
      </c>
      <c r="D5791" s="0" t="s">
        <v>19293</v>
      </c>
      <c r="E5791" s="0" t="s">
        <v>75</v>
      </c>
      <c r="F5791" s="0" t="s">
        <v>90</v>
      </c>
      <c r="G5791" s="0" t="s">
        <v>36</v>
      </c>
      <c r="H5791" s="0" t="n">
        <v>76</v>
      </c>
      <c r="I5791" s="0" t="s">
        <v>19300</v>
      </c>
      <c r="J5791" s="0" t="s">
        <v>19301</v>
      </c>
      <c r="K5791" s="0" t="s">
        <v>19302</v>
      </c>
      <c r="L5791" s="0" t="str">
        <f aca="false">HYPERLINK("https://www.ncbi.nlm.nih.gov/nuccore/CP000058.1?report=graph&amp;tracks=[key:gene_model_track,Options:GeneOnly]&amp;mk=1817222:1817241|offset_24|444444,1817193:1817212|offset_53|444444,1817170:1817189|offset_76|00cc00,1817128:1817147|offset_118|444444&amp;v=1817021:1817347&amp;c=444444", "offset 76")</f>
        <v>offset 76</v>
      </c>
    </row>
    <row r="5792" customFormat="false" ht="12.8" hidden="false" customHeight="false" outlineLevel="0" collapsed="false">
      <c r="A5792" s="0" t="s">
        <v>12</v>
      </c>
      <c r="B5792" s="0" t="n">
        <v>1817127</v>
      </c>
      <c r="C5792" s="0" t="n">
        <v>1817147</v>
      </c>
      <c r="D5792" s="0" t="s">
        <v>19293</v>
      </c>
      <c r="E5792" s="0" t="s">
        <v>75</v>
      </c>
      <c r="F5792" s="0" t="s">
        <v>90</v>
      </c>
      <c r="G5792" s="0" t="s">
        <v>16</v>
      </c>
      <c r="H5792" s="0" t="n">
        <v>118</v>
      </c>
      <c r="I5792" s="0" t="s">
        <v>19303</v>
      </c>
      <c r="J5792" s="0" t="s">
        <v>19304</v>
      </c>
      <c r="K5792" s="0" t="s">
        <v>19305</v>
      </c>
      <c r="L5792" s="0" t="str">
        <f aca="false">HYPERLINK("https://www.ncbi.nlm.nih.gov/nuccore/CP000058.1?report=graph&amp;tracks=[key:gene_model_track,Options:GeneOnly]&amp;mk=1817222:1817241|offset_24|444444,1817193:1817212|offset_53|444444,1817170:1817189|offset_76|444444,1817128:1817147|offset_118|00cc00&amp;v=1817021:1817347&amp;c=444444", "offset 118")</f>
        <v>offset 118</v>
      </c>
    </row>
    <row r="5793" customFormat="false" ht="12.8" hidden="false" customHeight="false" outlineLevel="0" collapsed="false">
      <c r="A5793" s="0" t="s">
        <v>12</v>
      </c>
      <c r="B5793" s="0" t="n">
        <v>1817399</v>
      </c>
      <c r="C5793" s="0" t="n">
        <v>1817419</v>
      </c>
      <c r="D5793" s="0" t="s">
        <v>19306</v>
      </c>
      <c r="E5793" s="0" t="s">
        <v>19307</v>
      </c>
      <c r="F5793" s="0" t="s">
        <v>15</v>
      </c>
      <c r="G5793" s="0" t="s">
        <v>16</v>
      </c>
      <c r="H5793" s="0" t="n">
        <v>8</v>
      </c>
      <c r="I5793" s="0" t="s">
        <v>19308</v>
      </c>
      <c r="J5793" s="0" t="s">
        <v>19309</v>
      </c>
      <c r="K5793" s="0" t="s">
        <v>19310</v>
      </c>
      <c r="L5793" s="0" t="str">
        <f aca="false">HYPERLINK("https://www.ncbi.nlm.nih.gov/nuccore/CP000058.1?report=graph&amp;tracks=[key:gene_model_track,Options:GeneOnly]&amp;mk=1817400:1817419|offset_8|00cc00,1817420:1817439|offset_28|444444,1817440:1817459|offset_48|444444,1817467:1817486|offset_75|444444&amp;v=1817199:1817686&amp;c=444444", "offset 8")</f>
        <v>offset 8</v>
      </c>
    </row>
    <row r="5794" customFormat="false" ht="12.8" hidden="false" customHeight="false" outlineLevel="0" collapsed="false">
      <c r="A5794" s="0" t="s">
        <v>12</v>
      </c>
      <c r="B5794" s="0" t="n">
        <v>1817419</v>
      </c>
      <c r="C5794" s="0" t="n">
        <v>1817439</v>
      </c>
      <c r="D5794" s="0" t="s">
        <v>19306</v>
      </c>
      <c r="E5794" s="0" t="s">
        <v>19307</v>
      </c>
      <c r="F5794" s="0" t="s">
        <v>15</v>
      </c>
      <c r="G5794" s="0" t="s">
        <v>36</v>
      </c>
      <c r="H5794" s="0" t="n">
        <v>28</v>
      </c>
      <c r="I5794" s="0" t="s">
        <v>19311</v>
      </c>
      <c r="J5794" s="0" t="s">
        <v>19312</v>
      </c>
      <c r="K5794" s="0" t="s">
        <v>19313</v>
      </c>
      <c r="L5794" s="0" t="str">
        <f aca="false">HYPERLINK("https://www.ncbi.nlm.nih.gov/nuccore/CP000058.1?report=graph&amp;tracks=[key:gene_model_track,Options:GeneOnly]&amp;mk=1817400:1817419|offset_8|444444,1817420:1817439|offset_28|00cc00,1817440:1817459|offset_48|444444,1817467:1817486|offset_75|444444&amp;v=1817199:1817686&amp;c=444444", "offset 28")</f>
        <v>offset 28</v>
      </c>
    </row>
    <row r="5795" customFormat="false" ht="12.8" hidden="false" customHeight="false" outlineLevel="0" collapsed="false">
      <c r="A5795" s="0" t="s">
        <v>12</v>
      </c>
      <c r="B5795" s="0" t="n">
        <v>1817439</v>
      </c>
      <c r="C5795" s="0" t="n">
        <v>1817459</v>
      </c>
      <c r="D5795" s="0" t="s">
        <v>19306</v>
      </c>
      <c r="E5795" s="0" t="s">
        <v>19307</v>
      </c>
      <c r="F5795" s="0" t="s">
        <v>15</v>
      </c>
      <c r="G5795" s="0" t="s">
        <v>16</v>
      </c>
      <c r="H5795" s="0" t="n">
        <v>48</v>
      </c>
      <c r="I5795" s="0" t="s">
        <v>19314</v>
      </c>
      <c r="J5795" s="0" t="s">
        <v>19315</v>
      </c>
      <c r="K5795" s="0" t="s">
        <v>19316</v>
      </c>
      <c r="L5795" s="0" t="str">
        <f aca="false">HYPERLINK("https://www.ncbi.nlm.nih.gov/nuccore/CP000058.1?report=graph&amp;tracks=[key:gene_model_track,Options:GeneOnly]&amp;mk=1817400:1817419|offset_8|444444,1817420:1817439|offset_28|444444,1817440:1817459|offset_48|00cc00,1817467:1817486|offset_75|444444&amp;v=1817199:1817686&amp;c=444444", "offset 48")</f>
        <v>offset 48</v>
      </c>
    </row>
    <row r="5796" customFormat="false" ht="12.8" hidden="false" customHeight="false" outlineLevel="0" collapsed="false">
      <c r="A5796" s="0" t="s">
        <v>12</v>
      </c>
      <c r="B5796" s="0" t="n">
        <v>1817466</v>
      </c>
      <c r="C5796" s="0" t="n">
        <v>1817486</v>
      </c>
      <c r="D5796" s="0" t="s">
        <v>19306</v>
      </c>
      <c r="E5796" s="0" t="s">
        <v>19307</v>
      </c>
      <c r="F5796" s="0" t="s">
        <v>15</v>
      </c>
      <c r="G5796" s="0" t="s">
        <v>36</v>
      </c>
      <c r="H5796" s="0" t="n">
        <v>75</v>
      </c>
      <c r="I5796" s="0" t="s">
        <v>19317</v>
      </c>
      <c r="J5796" s="0" t="s">
        <v>19318</v>
      </c>
      <c r="K5796" s="0" t="s">
        <v>19319</v>
      </c>
      <c r="L5796" s="0" t="str">
        <f aca="false">HYPERLINK("https://www.ncbi.nlm.nih.gov/nuccore/CP000058.1?report=graph&amp;tracks=[key:gene_model_track,Options:GeneOnly]&amp;mk=1817400:1817419|offset_8|444444,1817420:1817439|offset_28|444444,1817440:1817459|offset_48|444444,1817467:1817486|offset_75|00cc00&amp;v=1817199:1817686&amp;c=444444", "offset 75")</f>
        <v>offset 75</v>
      </c>
    </row>
    <row r="5797" customFormat="false" ht="12.8" hidden="false" customHeight="false" outlineLevel="0" collapsed="false">
      <c r="A5797" s="0" t="s">
        <v>12</v>
      </c>
      <c r="B5797" s="0" t="n">
        <v>1818550</v>
      </c>
      <c r="C5797" s="0" t="n">
        <v>1818570</v>
      </c>
      <c r="D5797" s="0" t="s">
        <v>19320</v>
      </c>
      <c r="E5797" s="0" t="s">
        <v>75</v>
      </c>
      <c r="F5797" s="0" t="s">
        <v>15</v>
      </c>
      <c r="G5797" s="0" t="s">
        <v>36</v>
      </c>
      <c r="H5797" s="0" t="n">
        <v>7</v>
      </c>
      <c r="I5797" s="0" t="s">
        <v>19321</v>
      </c>
      <c r="J5797" s="0" t="s">
        <v>19322</v>
      </c>
      <c r="K5797" s="0" t="s">
        <v>19323</v>
      </c>
      <c r="L5797" s="0" t="str">
        <f aca="false">HYPERLINK("https://www.ncbi.nlm.nih.gov/nuccore/CP000058.1?report=graph&amp;tracks=[key:gene_model_track,Options:GeneOnly]&amp;mk=1818551:1818570|offset_7|00cc00,1818629:1818648|offset_85|444444,1818660:1818679|offset_116|444444,1818699:1818718|offset_155|444444&amp;v=1818350:1818918&amp;c=444444", "offset 7")</f>
        <v>offset 7</v>
      </c>
    </row>
    <row r="5798" customFormat="false" ht="12.8" hidden="false" customHeight="false" outlineLevel="0" collapsed="false">
      <c r="A5798" s="0" t="s">
        <v>12</v>
      </c>
      <c r="B5798" s="0" t="n">
        <v>1818628</v>
      </c>
      <c r="C5798" s="0" t="n">
        <v>1818648</v>
      </c>
      <c r="D5798" s="0" t="s">
        <v>19320</v>
      </c>
      <c r="E5798" s="0" t="s">
        <v>75</v>
      </c>
      <c r="F5798" s="0" t="s">
        <v>15</v>
      </c>
      <c r="G5798" s="0" t="s">
        <v>36</v>
      </c>
      <c r="H5798" s="0" t="n">
        <v>85</v>
      </c>
      <c r="I5798" s="0" t="s">
        <v>19324</v>
      </c>
      <c r="J5798" s="0" t="s">
        <v>19325</v>
      </c>
      <c r="K5798" s="0" t="s">
        <v>19326</v>
      </c>
      <c r="L5798" s="0" t="str">
        <f aca="false">HYPERLINK("https://www.ncbi.nlm.nih.gov/nuccore/CP000058.1?report=graph&amp;tracks=[key:gene_model_track,Options:GeneOnly]&amp;mk=1818551:1818570|offset_7|444444,1818629:1818648|offset_85|00cc00,1818660:1818679|offset_116|444444,1818699:1818718|offset_155|444444&amp;v=1818350:1818918&amp;c=444444", "offset 85")</f>
        <v>offset 85</v>
      </c>
    </row>
    <row r="5799" customFormat="false" ht="12.8" hidden="false" customHeight="false" outlineLevel="0" collapsed="false">
      <c r="A5799" s="0" t="s">
        <v>12</v>
      </c>
      <c r="B5799" s="0" t="n">
        <v>1818659</v>
      </c>
      <c r="C5799" s="0" t="n">
        <v>1818679</v>
      </c>
      <c r="D5799" s="0" t="s">
        <v>19320</v>
      </c>
      <c r="E5799" s="0" t="s">
        <v>75</v>
      </c>
      <c r="F5799" s="0" t="s">
        <v>15</v>
      </c>
      <c r="G5799" s="0" t="s">
        <v>32</v>
      </c>
      <c r="H5799" s="0" t="n">
        <v>116</v>
      </c>
      <c r="I5799" s="0" t="s">
        <v>19327</v>
      </c>
      <c r="J5799" s="0" t="s">
        <v>19328</v>
      </c>
      <c r="K5799" s="0" t="s">
        <v>19329</v>
      </c>
      <c r="L5799" s="0" t="str">
        <f aca="false">HYPERLINK("https://www.ncbi.nlm.nih.gov/nuccore/CP000058.1?report=graph&amp;tracks=[key:gene_model_track,Options:GeneOnly]&amp;mk=1818551:1818570|offset_7|444444,1818629:1818648|offset_85|444444,1818660:1818679|offset_116|00cc00,1818699:1818718|offset_155|444444&amp;v=1818350:1818918&amp;c=444444", "offset 116")</f>
        <v>offset 116</v>
      </c>
    </row>
    <row r="5800" customFormat="false" ht="12.8" hidden="false" customHeight="false" outlineLevel="0" collapsed="false">
      <c r="A5800" s="0" t="s">
        <v>12</v>
      </c>
      <c r="B5800" s="0" t="n">
        <v>1818698</v>
      </c>
      <c r="C5800" s="0" t="n">
        <v>1818718</v>
      </c>
      <c r="D5800" s="0" t="s">
        <v>19320</v>
      </c>
      <c r="E5800" s="0" t="s">
        <v>75</v>
      </c>
      <c r="F5800" s="0" t="s">
        <v>15</v>
      </c>
      <c r="G5800" s="0" t="s">
        <v>20</v>
      </c>
      <c r="H5800" s="0" t="n">
        <v>155</v>
      </c>
      <c r="I5800" s="0" t="s">
        <v>19330</v>
      </c>
      <c r="J5800" s="0" t="s">
        <v>19331</v>
      </c>
      <c r="K5800" s="0" t="s">
        <v>19332</v>
      </c>
      <c r="L5800" s="0" t="str">
        <f aca="false">HYPERLINK("https://www.ncbi.nlm.nih.gov/nuccore/CP000058.1?report=graph&amp;tracks=[key:gene_model_track,Options:GeneOnly]&amp;mk=1818551:1818570|offset_7|444444,1818629:1818648|offset_85|444444,1818660:1818679|offset_116|444444,1818699:1818718|offset_155|00cc00&amp;v=1818350:1818918&amp;c=444444", "offset 155")</f>
        <v>offset 155</v>
      </c>
    </row>
    <row r="5801" customFormat="false" ht="12.8" hidden="false" customHeight="false" outlineLevel="0" collapsed="false">
      <c r="A5801" s="0" t="s">
        <v>12</v>
      </c>
      <c r="B5801" s="0" t="n">
        <v>1822977</v>
      </c>
      <c r="C5801" s="0" t="n">
        <v>1822997</v>
      </c>
      <c r="D5801" s="0" t="s">
        <v>19333</v>
      </c>
      <c r="E5801" s="0" t="s">
        <v>75</v>
      </c>
      <c r="F5801" s="0" t="s">
        <v>90</v>
      </c>
      <c r="G5801" s="0" t="s">
        <v>32</v>
      </c>
      <c r="H5801" s="0" t="n">
        <v>13</v>
      </c>
      <c r="I5801" s="0" t="s">
        <v>19334</v>
      </c>
      <c r="J5801" s="0" t="s">
        <v>19335</v>
      </c>
      <c r="K5801" s="0" t="s">
        <v>19336</v>
      </c>
      <c r="L5801" s="0" t="str">
        <f aca="false">HYPERLINK("https://www.ncbi.nlm.nih.gov/nuccore/CP000058.1?report=graph&amp;tracks=[key:gene_model_track,Options:GeneOnly]&amp;mk=1822978:1822997|offset_13|00cc00,1822954:1822973|offset_37|444444,1822927:1822946|offset_64|444444,1822887:1822906|offset_104|444444&amp;v=1822777:1823106&amp;c=444444", "offset 13")</f>
        <v>offset 13</v>
      </c>
    </row>
    <row r="5802" customFormat="false" ht="12.8" hidden="false" customHeight="false" outlineLevel="0" collapsed="false">
      <c r="A5802" s="0" t="s">
        <v>12</v>
      </c>
      <c r="B5802" s="0" t="n">
        <v>1822953</v>
      </c>
      <c r="C5802" s="0" t="n">
        <v>1822973</v>
      </c>
      <c r="D5802" s="0" t="s">
        <v>19333</v>
      </c>
      <c r="E5802" s="0" t="s">
        <v>75</v>
      </c>
      <c r="F5802" s="0" t="s">
        <v>90</v>
      </c>
      <c r="G5802" s="0" t="s">
        <v>36</v>
      </c>
      <c r="H5802" s="0" t="n">
        <v>37</v>
      </c>
      <c r="I5802" s="0" t="s">
        <v>19337</v>
      </c>
      <c r="J5802" s="0" t="s">
        <v>19338</v>
      </c>
      <c r="K5802" s="0" t="s">
        <v>19339</v>
      </c>
      <c r="L5802" s="0" t="str">
        <f aca="false">HYPERLINK("https://www.ncbi.nlm.nih.gov/nuccore/CP000058.1?report=graph&amp;tracks=[key:gene_model_track,Options:GeneOnly]&amp;mk=1822978:1822997|offset_13|444444,1822954:1822973|offset_37|00cc00,1822927:1822946|offset_64|444444,1822887:1822906|offset_104|444444&amp;v=1822777:1823106&amp;c=444444", "offset 37")</f>
        <v>offset 37</v>
      </c>
    </row>
    <row r="5803" customFormat="false" ht="12.8" hidden="false" customHeight="false" outlineLevel="0" collapsed="false">
      <c r="A5803" s="0" t="s">
        <v>12</v>
      </c>
      <c r="B5803" s="0" t="n">
        <v>1822926</v>
      </c>
      <c r="C5803" s="0" t="n">
        <v>1822946</v>
      </c>
      <c r="D5803" s="0" t="s">
        <v>19333</v>
      </c>
      <c r="E5803" s="0" t="s">
        <v>75</v>
      </c>
      <c r="F5803" s="0" t="s">
        <v>90</v>
      </c>
      <c r="G5803" s="0" t="s">
        <v>32</v>
      </c>
      <c r="H5803" s="0" t="n">
        <v>64</v>
      </c>
      <c r="I5803" s="0" t="s">
        <v>19340</v>
      </c>
      <c r="J5803" s="0" t="s">
        <v>19341</v>
      </c>
      <c r="K5803" s="0" t="s">
        <v>19342</v>
      </c>
      <c r="L5803" s="0" t="str">
        <f aca="false">HYPERLINK("https://www.ncbi.nlm.nih.gov/nuccore/CP000058.1?report=graph&amp;tracks=[key:gene_model_track,Options:GeneOnly]&amp;mk=1822978:1822997|offset_13|444444,1822954:1822973|offset_37|444444,1822927:1822946|offset_64|00cc00,1822887:1822906|offset_104|444444&amp;v=1822777:1823106&amp;c=444444", "offset 64")</f>
        <v>offset 64</v>
      </c>
    </row>
    <row r="5804" customFormat="false" ht="12.8" hidden="false" customHeight="false" outlineLevel="0" collapsed="false">
      <c r="A5804" s="0" t="s">
        <v>12</v>
      </c>
      <c r="B5804" s="0" t="n">
        <v>1822886</v>
      </c>
      <c r="C5804" s="0" t="n">
        <v>1822906</v>
      </c>
      <c r="D5804" s="0" t="s">
        <v>19333</v>
      </c>
      <c r="E5804" s="0" t="s">
        <v>75</v>
      </c>
      <c r="F5804" s="0" t="s">
        <v>90</v>
      </c>
      <c r="G5804" s="0" t="s">
        <v>36</v>
      </c>
      <c r="H5804" s="0" t="n">
        <v>104</v>
      </c>
      <c r="I5804" s="0" t="s">
        <v>19343</v>
      </c>
      <c r="J5804" s="0" t="s">
        <v>19344</v>
      </c>
      <c r="K5804" s="0" t="s">
        <v>19345</v>
      </c>
      <c r="L5804" s="0" t="str">
        <f aca="false">HYPERLINK("https://www.ncbi.nlm.nih.gov/nuccore/CP000058.1?report=graph&amp;tracks=[key:gene_model_track,Options:GeneOnly]&amp;mk=1822978:1822997|offset_13|444444,1822954:1822973|offset_37|444444,1822927:1822946|offset_64|444444,1822887:1822906|offset_104|00cc00&amp;v=1822777:1823106&amp;c=444444", "offset 104")</f>
        <v>offset 104</v>
      </c>
    </row>
    <row r="5805" customFormat="false" ht="12.8" hidden="false" customHeight="false" outlineLevel="0" collapsed="false">
      <c r="A5805" s="0" t="s">
        <v>12</v>
      </c>
      <c r="B5805" s="0" t="n">
        <v>1823261</v>
      </c>
      <c r="C5805" s="0" t="n">
        <v>1823281</v>
      </c>
      <c r="D5805" s="0" t="s">
        <v>19346</v>
      </c>
      <c r="E5805" s="0" t="s">
        <v>19347</v>
      </c>
      <c r="F5805" s="0" t="s">
        <v>15</v>
      </c>
      <c r="G5805" s="0" t="s">
        <v>32</v>
      </c>
      <c r="H5805" s="0" t="n">
        <v>8</v>
      </c>
      <c r="I5805" s="0" t="s">
        <v>19348</v>
      </c>
      <c r="J5805" s="0" t="s">
        <v>19349</v>
      </c>
      <c r="K5805" s="0" t="s">
        <v>19350</v>
      </c>
      <c r="L5805" s="0" t="str">
        <f aca="false">HYPERLINK("https://www.ncbi.nlm.nih.gov/nuccore/CP000058.1?report=graph&amp;tracks=[key:gene_model_track,Options:GeneOnly]&amp;mk=1823262:1823281|offset_8|00cc00,1823295:1823314|offset_41|444444,1823324:1823343|offset_70|444444,1823367:1823386|offset_113|444444&amp;v=1823061:1823586&amp;c=444444", "offset 8")</f>
        <v>offset 8</v>
      </c>
    </row>
    <row r="5806" customFormat="false" ht="12.8" hidden="false" customHeight="false" outlineLevel="0" collapsed="false">
      <c r="A5806" s="0" t="s">
        <v>12</v>
      </c>
      <c r="B5806" s="0" t="n">
        <v>1823294</v>
      </c>
      <c r="C5806" s="0" t="n">
        <v>1823314</v>
      </c>
      <c r="D5806" s="0" t="s">
        <v>19346</v>
      </c>
      <c r="E5806" s="0" t="s">
        <v>19347</v>
      </c>
      <c r="F5806" s="0" t="s">
        <v>15</v>
      </c>
      <c r="G5806" s="0" t="s">
        <v>16</v>
      </c>
      <c r="H5806" s="0" t="n">
        <v>41</v>
      </c>
      <c r="I5806" s="0" t="s">
        <v>19351</v>
      </c>
      <c r="J5806" s="0" t="s">
        <v>19352</v>
      </c>
      <c r="K5806" s="0" t="s">
        <v>19353</v>
      </c>
      <c r="L5806" s="0" t="str">
        <f aca="false">HYPERLINK("https://www.ncbi.nlm.nih.gov/nuccore/CP000058.1?report=graph&amp;tracks=[key:gene_model_track,Options:GeneOnly]&amp;mk=1823262:1823281|offset_8|444444,1823295:1823314|offset_41|00cc00,1823324:1823343|offset_70|444444,1823367:1823386|offset_113|444444&amp;v=1823061:1823586&amp;c=444444", "offset 41")</f>
        <v>offset 41</v>
      </c>
    </row>
    <row r="5807" customFormat="false" ht="12.8" hidden="false" customHeight="false" outlineLevel="0" collapsed="false">
      <c r="A5807" s="0" t="s">
        <v>12</v>
      </c>
      <c r="B5807" s="0" t="n">
        <v>1823323</v>
      </c>
      <c r="C5807" s="0" t="n">
        <v>1823343</v>
      </c>
      <c r="D5807" s="0" t="s">
        <v>19346</v>
      </c>
      <c r="E5807" s="0" t="s">
        <v>19347</v>
      </c>
      <c r="F5807" s="0" t="s">
        <v>15</v>
      </c>
      <c r="G5807" s="0" t="s">
        <v>36</v>
      </c>
      <c r="H5807" s="0" t="n">
        <v>70</v>
      </c>
      <c r="I5807" s="0" t="s">
        <v>19354</v>
      </c>
      <c r="J5807" s="0" t="s">
        <v>19355</v>
      </c>
      <c r="K5807" s="0" t="s">
        <v>19356</v>
      </c>
      <c r="L5807" s="0" t="str">
        <f aca="false">HYPERLINK("https://www.ncbi.nlm.nih.gov/nuccore/CP000058.1?report=graph&amp;tracks=[key:gene_model_track,Options:GeneOnly]&amp;mk=1823262:1823281|offset_8|444444,1823295:1823314|offset_41|444444,1823324:1823343|offset_70|00cc00,1823367:1823386|offset_113|444444&amp;v=1823061:1823586&amp;c=444444", "offset 70")</f>
        <v>offset 70</v>
      </c>
    </row>
    <row r="5808" customFormat="false" ht="12.8" hidden="false" customHeight="false" outlineLevel="0" collapsed="false">
      <c r="A5808" s="0" t="s">
        <v>12</v>
      </c>
      <c r="B5808" s="0" t="n">
        <v>1823366</v>
      </c>
      <c r="C5808" s="0" t="n">
        <v>1823386</v>
      </c>
      <c r="D5808" s="0" t="s">
        <v>19346</v>
      </c>
      <c r="E5808" s="0" t="s">
        <v>19347</v>
      </c>
      <c r="F5808" s="0" t="s">
        <v>15</v>
      </c>
      <c r="G5808" s="0" t="s">
        <v>20</v>
      </c>
      <c r="H5808" s="0" t="n">
        <v>113</v>
      </c>
      <c r="I5808" s="0" t="s">
        <v>19357</v>
      </c>
      <c r="J5808" s="0" t="s">
        <v>19358</v>
      </c>
      <c r="K5808" s="0" t="s">
        <v>19359</v>
      </c>
      <c r="L5808" s="0" t="str">
        <f aca="false">HYPERLINK("https://www.ncbi.nlm.nih.gov/nuccore/CP000058.1?report=graph&amp;tracks=[key:gene_model_track,Options:GeneOnly]&amp;mk=1823262:1823281|offset_8|444444,1823295:1823314|offset_41|444444,1823324:1823343|offset_70|444444,1823367:1823386|offset_113|00cc00&amp;v=1823061:1823586&amp;c=444444", "offset 113")</f>
        <v>offset 113</v>
      </c>
    </row>
    <row r="5809" customFormat="false" ht="12.8" hidden="false" customHeight="false" outlineLevel="0" collapsed="false">
      <c r="A5809" s="0" t="s">
        <v>12</v>
      </c>
      <c r="B5809" s="0" t="n">
        <v>1826141</v>
      </c>
      <c r="C5809" s="0" t="n">
        <v>1826161</v>
      </c>
      <c r="D5809" s="0" t="s">
        <v>19360</v>
      </c>
      <c r="E5809" s="0" t="s">
        <v>75</v>
      </c>
      <c r="F5809" s="0" t="s">
        <v>90</v>
      </c>
      <c r="G5809" s="0" t="s">
        <v>36</v>
      </c>
      <c r="H5809" s="0" t="n">
        <v>0</v>
      </c>
      <c r="I5809" s="0" t="s">
        <v>19361</v>
      </c>
      <c r="J5809" s="0" t="s">
        <v>19362</v>
      </c>
      <c r="K5809" s="0" t="s">
        <v>19363</v>
      </c>
      <c r="L5809" s="0" t="str">
        <f aca="false">HYPERLINK("https://www.ncbi.nlm.nih.gov/nuccore/CP000058.1?report=graph&amp;tracks=[key:gene_model_track,Options:GeneOnly]&amp;mk=1826142:1826161|offset_0|00cc00,1826099:1826118|offset_43|444444,1826068:1826087|offset_74|444444,1826045:1826064|offset_97|444444&amp;v=1825941:1826264&amp;c=444444", "offset 0")</f>
        <v>offset 0</v>
      </c>
    </row>
    <row r="5810" customFormat="false" ht="12.8" hidden="false" customHeight="false" outlineLevel="0" collapsed="false">
      <c r="A5810" s="0" t="s">
        <v>12</v>
      </c>
      <c r="B5810" s="0" t="n">
        <v>1826098</v>
      </c>
      <c r="C5810" s="0" t="n">
        <v>1826118</v>
      </c>
      <c r="D5810" s="0" t="s">
        <v>19360</v>
      </c>
      <c r="E5810" s="0" t="s">
        <v>75</v>
      </c>
      <c r="F5810" s="0" t="s">
        <v>90</v>
      </c>
      <c r="G5810" s="0" t="s">
        <v>20</v>
      </c>
      <c r="H5810" s="0" t="n">
        <v>43</v>
      </c>
      <c r="I5810" s="0" t="s">
        <v>19364</v>
      </c>
      <c r="J5810" s="0" t="s">
        <v>19365</v>
      </c>
      <c r="K5810" s="0" t="s">
        <v>19366</v>
      </c>
      <c r="L5810" s="0" t="str">
        <f aca="false">HYPERLINK("https://www.ncbi.nlm.nih.gov/nuccore/CP000058.1?report=graph&amp;tracks=[key:gene_model_track,Options:GeneOnly]&amp;mk=1826142:1826161|offset_0|444444,1826099:1826118|offset_43|00cc00,1826068:1826087|offset_74|444444,1826045:1826064|offset_97|444444&amp;v=1825941:1826264&amp;c=444444", "offset 43")</f>
        <v>offset 43</v>
      </c>
    </row>
    <row r="5811" customFormat="false" ht="12.8" hidden="false" customHeight="false" outlineLevel="0" collapsed="false">
      <c r="A5811" s="0" t="s">
        <v>12</v>
      </c>
      <c r="B5811" s="0" t="n">
        <v>1826067</v>
      </c>
      <c r="C5811" s="0" t="n">
        <v>1826087</v>
      </c>
      <c r="D5811" s="0" t="s">
        <v>19360</v>
      </c>
      <c r="E5811" s="0" t="s">
        <v>75</v>
      </c>
      <c r="F5811" s="0" t="s">
        <v>90</v>
      </c>
      <c r="G5811" s="0" t="s">
        <v>20</v>
      </c>
      <c r="H5811" s="0" t="n">
        <v>74</v>
      </c>
      <c r="I5811" s="0" t="s">
        <v>19367</v>
      </c>
      <c r="J5811" s="0" t="s">
        <v>19368</v>
      </c>
      <c r="K5811" s="0" t="s">
        <v>19369</v>
      </c>
      <c r="L5811" s="0" t="str">
        <f aca="false">HYPERLINK("https://www.ncbi.nlm.nih.gov/nuccore/CP000058.1?report=graph&amp;tracks=[key:gene_model_track,Options:GeneOnly]&amp;mk=1826142:1826161|offset_0|444444,1826099:1826118|offset_43|444444,1826068:1826087|offset_74|00cc00,1826045:1826064|offset_97|444444&amp;v=1825941:1826264&amp;c=444444", "offset 74")</f>
        <v>offset 74</v>
      </c>
    </row>
    <row r="5812" customFormat="false" ht="12.8" hidden="false" customHeight="false" outlineLevel="0" collapsed="false">
      <c r="A5812" s="0" t="s">
        <v>12</v>
      </c>
      <c r="B5812" s="0" t="n">
        <v>1826044</v>
      </c>
      <c r="C5812" s="0" t="n">
        <v>1826064</v>
      </c>
      <c r="D5812" s="0" t="s">
        <v>19360</v>
      </c>
      <c r="E5812" s="0" t="s">
        <v>75</v>
      </c>
      <c r="F5812" s="0" t="s">
        <v>90</v>
      </c>
      <c r="G5812" s="0" t="s">
        <v>20</v>
      </c>
      <c r="H5812" s="0" t="n">
        <v>97</v>
      </c>
      <c r="I5812" s="0" t="s">
        <v>19370</v>
      </c>
      <c r="J5812" s="0" t="s">
        <v>19371</v>
      </c>
      <c r="K5812" s="0" t="s">
        <v>19372</v>
      </c>
      <c r="L5812" s="0" t="str">
        <f aca="false">HYPERLINK("https://www.ncbi.nlm.nih.gov/nuccore/CP000058.1?report=graph&amp;tracks=[key:gene_model_track,Options:GeneOnly]&amp;mk=1826142:1826161|offset_0|444444,1826099:1826118|offset_43|444444,1826068:1826087|offset_74|444444,1826045:1826064|offset_97|00cc00&amp;v=1825941:1826264&amp;c=444444", "offset 97")</f>
        <v>offset 97</v>
      </c>
    </row>
    <row r="5813" customFormat="false" ht="12.8" hidden="false" customHeight="false" outlineLevel="0" collapsed="false">
      <c r="A5813" s="0" t="s">
        <v>12</v>
      </c>
      <c r="B5813" s="0" t="n">
        <v>1827134</v>
      </c>
      <c r="C5813" s="0" t="n">
        <v>1827154</v>
      </c>
      <c r="D5813" s="0" t="s">
        <v>19373</v>
      </c>
      <c r="E5813" s="0" t="s">
        <v>75</v>
      </c>
      <c r="F5813" s="0" t="s">
        <v>90</v>
      </c>
      <c r="G5813" s="0" t="s">
        <v>20</v>
      </c>
      <c r="H5813" s="0" t="n">
        <v>17</v>
      </c>
      <c r="I5813" s="0" t="s">
        <v>19374</v>
      </c>
      <c r="J5813" s="0" t="s">
        <v>19375</v>
      </c>
      <c r="K5813" s="0" t="s">
        <v>19376</v>
      </c>
      <c r="L5813" s="0" t="str">
        <f aca="false">HYPERLINK("https://www.ncbi.nlm.nih.gov/nuccore/CP000058.1?report=graph&amp;tracks=[key:gene_model_track,Options:GeneOnly]&amp;mk=1827135:1827154|offset_17|00cc00,1827115:1827134|offset_37|444444,1827094:1827113|offset_58|444444,1827067:1827086|offset_85|444444&amp;v=1826934:1827286&amp;c=444444", "offset 17")</f>
        <v>offset 17</v>
      </c>
    </row>
    <row r="5814" customFormat="false" ht="12.8" hidden="false" customHeight="false" outlineLevel="0" collapsed="false">
      <c r="A5814" s="0" t="s">
        <v>12</v>
      </c>
      <c r="B5814" s="0" t="n">
        <v>1827114</v>
      </c>
      <c r="C5814" s="0" t="n">
        <v>1827134</v>
      </c>
      <c r="D5814" s="0" t="s">
        <v>19373</v>
      </c>
      <c r="E5814" s="0" t="s">
        <v>75</v>
      </c>
      <c r="F5814" s="0" t="s">
        <v>90</v>
      </c>
      <c r="G5814" s="0" t="s">
        <v>36</v>
      </c>
      <c r="H5814" s="0" t="n">
        <v>37</v>
      </c>
      <c r="I5814" s="0" t="s">
        <v>19377</v>
      </c>
      <c r="J5814" s="0" t="s">
        <v>19378</v>
      </c>
      <c r="K5814" s="0" t="s">
        <v>19379</v>
      </c>
      <c r="L5814" s="0" t="str">
        <f aca="false">HYPERLINK("https://www.ncbi.nlm.nih.gov/nuccore/CP000058.1?report=graph&amp;tracks=[key:gene_model_track,Options:GeneOnly]&amp;mk=1827135:1827154|offset_17|444444,1827115:1827134|offset_37|00cc00,1827094:1827113|offset_58|444444,1827067:1827086|offset_85|444444&amp;v=1826934:1827286&amp;c=444444", "offset 37")</f>
        <v>offset 37</v>
      </c>
    </row>
    <row r="5815" customFormat="false" ht="12.8" hidden="false" customHeight="false" outlineLevel="0" collapsed="false">
      <c r="A5815" s="0" t="s">
        <v>12</v>
      </c>
      <c r="B5815" s="0" t="n">
        <v>1827093</v>
      </c>
      <c r="C5815" s="0" t="n">
        <v>1827113</v>
      </c>
      <c r="D5815" s="0" t="s">
        <v>19373</v>
      </c>
      <c r="E5815" s="0" t="s">
        <v>75</v>
      </c>
      <c r="F5815" s="0" t="s">
        <v>90</v>
      </c>
      <c r="G5815" s="0" t="s">
        <v>16</v>
      </c>
      <c r="H5815" s="0" t="n">
        <v>58</v>
      </c>
      <c r="I5815" s="0" t="s">
        <v>19380</v>
      </c>
      <c r="J5815" s="0" t="s">
        <v>19381</v>
      </c>
      <c r="K5815" s="0" t="s">
        <v>19382</v>
      </c>
      <c r="L5815" s="0" t="str">
        <f aca="false">HYPERLINK("https://www.ncbi.nlm.nih.gov/nuccore/CP000058.1?report=graph&amp;tracks=[key:gene_model_track,Options:GeneOnly]&amp;mk=1827135:1827154|offset_17|444444,1827115:1827134|offset_37|444444,1827094:1827113|offset_58|00cc00,1827067:1827086|offset_85|444444&amp;v=1826934:1827286&amp;c=444444", "offset 58")</f>
        <v>offset 58</v>
      </c>
    </row>
    <row r="5816" customFormat="false" ht="12.8" hidden="false" customHeight="false" outlineLevel="0" collapsed="false">
      <c r="A5816" s="0" t="s">
        <v>12</v>
      </c>
      <c r="B5816" s="0" t="n">
        <v>1827066</v>
      </c>
      <c r="C5816" s="0" t="n">
        <v>1827086</v>
      </c>
      <c r="D5816" s="0" t="s">
        <v>19373</v>
      </c>
      <c r="E5816" s="0" t="s">
        <v>75</v>
      </c>
      <c r="F5816" s="0" t="s">
        <v>90</v>
      </c>
      <c r="G5816" s="0" t="s">
        <v>32</v>
      </c>
      <c r="H5816" s="0" t="n">
        <v>85</v>
      </c>
      <c r="I5816" s="0" t="s">
        <v>19383</v>
      </c>
      <c r="J5816" s="0" t="s">
        <v>19384</v>
      </c>
      <c r="K5816" s="0" t="s">
        <v>19385</v>
      </c>
      <c r="L5816" s="0" t="str">
        <f aca="false">HYPERLINK("https://www.ncbi.nlm.nih.gov/nuccore/CP000058.1?report=graph&amp;tracks=[key:gene_model_track,Options:GeneOnly]&amp;mk=1827135:1827154|offset_17|444444,1827115:1827134|offset_37|444444,1827094:1827113|offset_58|444444,1827067:1827086|offset_85|00cc00&amp;v=1826934:1827286&amp;c=444444", "offset 85")</f>
        <v>offset 85</v>
      </c>
    </row>
    <row r="5817" customFormat="false" ht="12.8" hidden="false" customHeight="false" outlineLevel="0" collapsed="false">
      <c r="A5817" s="0" t="s">
        <v>12</v>
      </c>
      <c r="B5817" s="0" t="n">
        <v>1828153</v>
      </c>
      <c r="C5817" s="0" t="n">
        <v>1828173</v>
      </c>
      <c r="D5817" s="0" t="s">
        <v>19386</v>
      </c>
      <c r="E5817" s="0" t="s">
        <v>75</v>
      </c>
      <c r="F5817" s="0" t="s">
        <v>15</v>
      </c>
      <c r="G5817" s="0" t="s">
        <v>20</v>
      </c>
      <c r="H5817" s="0" t="n">
        <v>34</v>
      </c>
      <c r="I5817" s="0" t="s">
        <v>19387</v>
      </c>
      <c r="J5817" s="0" t="s">
        <v>19388</v>
      </c>
      <c r="K5817" s="0" t="s">
        <v>19389</v>
      </c>
      <c r="L5817" s="0" t="str">
        <f aca="false">HYPERLINK("https://www.ncbi.nlm.nih.gov/nuccore/CP000058.1?report=graph&amp;tracks=[key:gene_model_track,Options:GeneOnly]&amp;mk=1828154:1828173|offset_34|00cc00,1828187:1828206|offset_67|444444,1828249:1828268|offset_129|444444,1828323:1828342|offset_203|444444&amp;v=1827953:1828542&amp;c=444444", "offset 34")</f>
        <v>offset 34</v>
      </c>
    </row>
    <row r="5818" customFormat="false" ht="12.8" hidden="false" customHeight="false" outlineLevel="0" collapsed="false">
      <c r="A5818" s="0" t="s">
        <v>12</v>
      </c>
      <c r="B5818" s="0" t="n">
        <v>1828186</v>
      </c>
      <c r="C5818" s="0" t="n">
        <v>1828206</v>
      </c>
      <c r="D5818" s="0" t="s">
        <v>19386</v>
      </c>
      <c r="E5818" s="0" t="s">
        <v>75</v>
      </c>
      <c r="F5818" s="0" t="s">
        <v>15</v>
      </c>
      <c r="G5818" s="0" t="s">
        <v>20</v>
      </c>
      <c r="H5818" s="0" t="n">
        <v>67</v>
      </c>
      <c r="I5818" s="0" t="s">
        <v>19390</v>
      </c>
      <c r="J5818" s="0" t="s">
        <v>19391</v>
      </c>
      <c r="K5818" s="0" t="s">
        <v>19392</v>
      </c>
      <c r="L5818" s="0" t="str">
        <f aca="false">HYPERLINK("https://www.ncbi.nlm.nih.gov/nuccore/CP000058.1?report=graph&amp;tracks=[key:gene_model_track,Options:GeneOnly]&amp;mk=1828154:1828173|offset_34|444444,1828187:1828206|offset_67|00cc00,1828249:1828268|offset_129|444444,1828323:1828342|offset_203|444444&amp;v=1827953:1828542&amp;c=444444", "offset 67")</f>
        <v>offset 67</v>
      </c>
    </row>
    <row r="5819" customFormat="false" ht="12.8" hidden="false" customHeight="false" outlineLevel="0" collapsed="false">
      <c r="A5819" s="0" t="s">
        <v>12</v>
      </c>
      <c r="B5819" s="0" t="n">
        <v>1828248</v>
      </c>
      <c r="C5819" s="0" t="n">
        <v>1828268</v>
      </c>
      <c r="D5819" s="0" t="s">
        <v>19386</v>
      </c>
      <c r="E5819" s="0" t="s">
        <v>75</v>
      </c>
      <c r="F5819" s="0" t="s">
        <v>15</v>
      </c>
      <c r="G5819" s="0" t="s">
        <v>16</v>
      </c>
      <c r="H5819" s="0" t="n">
        <v>129</v>
      </c>
      <c r="I5819" s="0" t="s">
        <v>19393</v>
      </c>
      <c r="J5819" s="0" t="s">
        <v>19394</v>
      </c>
      <c r="K5819" s="0" t="s">
        <v>19395</v>
      </c>
      <c r="L5819" s="0" t="str">
        <f aca="false">HYPERLINK("https://www.ncbi.nlm.nih.gov/nuccore/CP000058.1?report=graph&amp;tracks=[key:gene_model_track,Options:GeneOnly]&amp;mk=1828154:1828173|offset_34|444444,1828187:1828206|offset_67|444444,1828249:1828268|offset_129|00cc00,1828323:1828342|offset_203|444444&amp;v=1827953:1828542&amp;c=444444", "offset 129")</f>
        <v>offset 129</v>
      </c>
    </row>
    <row r="5820" customFormat="false" ht="12.8" hidden="false" customHeight="false" outlineLevel="0" collapsed="false">
      <c r="A5820" s="0" t="s">
        <v>12</v>
      </c>
      <c r="B5820" s="0" t="n">
        <v>1828322</v>
      </c>
      <c r="C5820" s="0" t="n">
        <v>1828342</v>
      </c>
      <c r="D5820" s="0" t="s">
        <v>19386</v>
      </c>
      <c r="E5820" s="0" t="s">
        <v>75</v>
      </c>
      <c r="F5820" s="0" t="s">
        <v>15</v>
      </c>
      <c r="G5820" s="0" t="s">
        <v>32</v>
      </c>
      <c r="H5820" s="0" t="n">
        <v>203</v>
      </c>
      <c r="I5820" s="0" t="s">
        <v>19396</v>
      </c>
      <c r="J5820" s="0" t="s">
        <v>19397</v>
      </c>
      <c r="K5820" s="0" t="s">
        <v>19398</v>
      </c>
      <c r="L5820" s="0" t="str">
        <f aca="false">HYPERLINK("https://www.ncbi.nlm.nih.gov/nuccore/CP000058.1?report=graph&amp;tracks=[key:gene_model_track,Options:GeneOnly]&amp;mk=1828154:1828173|offset_34|444444,1828187:1828206|offset_67|444444,1828249:1828268|offset_129|444444,1828323:1828342|offset_203|00cc00&amp;v=1827953:1828542&amp;c=444444", "offset 203")</f>
        <v>offset 203</v>
      </c>
    </row>
    <row r="5821" customFormat="false" ht="12.8" hidden="false" customHeight="false" outlineLevel="0" collapsed="false">
      <c r="A5821" s="0" t="s">
        <v>12</v>
      </c>
      <c r="B5821" s="0" t="n">
        <v>1828646</v>
      </c>
      <c r="C5821" s="0" t="n">
        <v>1828666</v>
      </c>
      <c r="D5821" s="0" t="s">
        <v>19399</v>
      </c>
      <c r="E5821" s="0" t="s">
        <v>75</v>
      </c>
      <c r="F5821" s="0" t="s">
        <v>15</v>
      </c>
      <c r="G5821" s="0" t="s">
        <v>20</v>
      </c>
      <c r="H5821" s="0" t="n">
        <v>12</v>
      </c>
      <c r="I5821" s="0" t="s">
        <v>19400</v>
      </c>
      <c r="J5821" s="0" t="s">
        <v>19401</v>
      </c>
      <c r="K5821" s="0" t="s">
        <v>19402</v>
      </c>
      <c r="L5821" s="0" t="str">
        <f aca="false">HYPERLINK("https://www.ncbi.nlm.nih.gov/nuccore/CP000058.1?report=graph&amp;tracks=[key:gene_model_track,Options:GeneOnly]&amp;mk=1828647:1828666|offset_12|00cc00,1828679:1828698|offset_44|444444,1828717:1828736|offset_82|444444,1828749:1828768|offset_114|444444&amp;v=1828446:1828968&amp;c=444444", "offset 12")</f>
        <v>offset 12</v>
      </c>
    </row>
    <row r="5822" customFormat="false" ht="12.8" hidden="false" customHeight="false" outlineLevel="0" collapsed="false">
      <c r="A5822" s="0" t="s">
        <v>12</v>
      </c>
      <c r="B5822" s="0" t="n">
        <v>1828678</v>
      </c>
      <c r="C5822" s="0" t="n">
        <v>1828698</v>
      </c>
      <c r="D5822" s="0" t="s">
        <v>19399</v>
      </c>
      <c r="E5822" s="0" t="s">
        <v>75</v>
      </c>
      <c r="F5822" s="0" t="s">
        <v>15</v>
      </c>
      <c r="G5822" s="0" t="s">
        <v>32</v>
      </c>
      <c r="H5822" s="0" t="n">
        <v>44</v>
      </c>
      <c r="I5822" s="0" t="s">
        <v>19403</v>
      </c>
      <c r="J5822" s="0" t="s">
        <v>19404</v>
      </c>
      <c r="K5822" s="0" t="s">
        <v>19405</v>
      </c>
      <c r="L5822" s="0" t="str">
        <f aca="false">HYPERLINK("https://www.ncbi.nlm.nih.gov/nuccore/CP000058.1?report=graph&amp;tracks=[key:gene_model_track,Options:GeneOnly]&amp;mk=1828647:1828666|offset_12|444444,1828679:1828698|offset_44|00cc00,1828717:1828736|offset_82|444444,1828749:1828768|offset_114|444444&amp;v=1828446:1828968&amp;c=444444", "offset 44")</f>
        <v>offset 44</v>
      </c>
    </row>
    <row r="5823" customFormat="false" ht="12.8" hidden="false" customHeight="false" outlineLevel="0" collapsed="false">
      <c r="A5823" s="0" t="s">
        <v>12</v>
      </c>
      <c r="B5823" s="0" t="n">
        <v>1828716</v>
      </c>
      <c r="C5823" s="0" t="n">
        <v>1828736</v>
      </c>
      <c r="D5823" s="0" t="s">
        <v>19399</v>
      </c>
      <c r="E5823" s="0" t="s">
        <v>75</v>
      </c>
      <c r="F5823" s="0" t="s">
        <v>15</v>
      </c>
      <c r="G5823" s="0" t="s">
        <v>16</v>
      </c>
      <c r="H5823" s="0" t="n">
        <v>82</v>
      </c>
      <c r="I5823" s="0" t="s">
        <v>19406</v>
      </c>
      <c r="J5823" s="0" t="s">
        <v>19407</v>
      </c>
      <c r="K5823" s="0" t="s">
        <v>19408</v>
      </c>
      <c r="L5823" s="0" t="str">
        <f aca="false">HYPERLINK("https://www.ncbi.nlm.nih.gov/nuccore/CP000058.1?report=graph&amp;tracks=[key:gene_model_track,Options:GeneOnly]&amp;mk=1828647:1828666|offset_12|444444,1828679:1828698|offset_44|444444,1828717:1828736|offset_82|00cc00,1828749:1828768|offset_114|444444&amp;v=1828446:1828968&amp;c=444444", "offset 82")</f>
        <v>offset 82</v>
      </c>
    </row>
    <row r="5824" customFormat="false" ht="12.8" hidden="false" customHeight="false" outlineLevel="0" collapsed="false">
      <c r="A5824" s="0" t="s">
        <v>12</v>
      </c>
      <c r="B5824" s="0" t="n">
        <v>1828748</v>
      </c>
      <c r="C5824" s="0" t="n">
        <v>1828768</v>
      </c>
      <c r="D5824" s="0" t="s">
        <v>19399</v>
      </c>
      <c r="E5824" s="0" t="s">
        <v>75</v>
      </c>
      <c r="F5824" s="0" t="s">
        <v>15</v>
      </c>
      <c r="G5824" s="0" t="s">
        <v>16</v>
      </c>
      <c r="H5824" s="0" t="n">
        <v>114</v>
      </c>
      <c r="I5824" s="0" t="s">
        <v>19409</v>
      </c>
      <c r="J5824" s="0" t="s">
        <v>19410</v>
      </c>
      <c r="K5824" s="0" t="s">
        <v>19411</v>
      </c>
      <c r="L5824" s="0" t="str">
        <f aca="false">HYPERLINK("https://www.ncbi.nlm.nih.gov/nuccore/CP000058.1?report=graph&amp;tracks=[key:gene_model_track,Options:GeneOnly]&amp;mk=1828647:1828666|offset_12|444444,1828679:1828698|offset_44|444444,1828717:1828736|offset_82|444444,1828749:1828768|offset_114|00cc00&amp;v=1828446:1828968&amp;c=444444", "offset 114")</f>
        <v>offset 114</v>
      </c>
    </row>
    <row r="5825" customFormat="false" ht="12.8" hidden="false" customHeight="false" outlineLevel="0" collapsed="false">
      <c r="A5825" s="0" t="s">
        <v>12</v>
      </c>
      <c r="B5825" s="0" t="n">
        <v>1829880</v>
      </c>
      <c r="C5825" s="0" t="n">
        <v>1829900</v>
      </c>
      <c r="D5825" s="0" t="s">
        <v>19412</v>
      </c>
      <c r="E5825" s="0" t="s">
        <v>75</v>
      </c>
      <c r="F5825" s="0" t="s">
        <v>15</v>
      </c>
      <c r="G5825" s="0" t="s">
        <v>36</v>
      </c>
      <c r="H5825" s="0" t="n">
        <v>0</v>
      </c>
      <c r="I5825" s="0" t="s">
        <v>19413</v>
      </c>
      <c r="J5825" s="0" t="s">
        <v>19414</v>
      </c>
      <c r="K5825" s="0" t="s">
        <v>19415</v>
      </c>
      <c r="L5825" s="0" t="str">
        <f aca="false">HYPERLINK("https://www.ncbi.nlm.nih.gov/nuccore/CP000058.1?report=graph&amp;tracks=[key:gene_model_track,Options:GeneOnly]&amp;mk=1829881:1829900|offset_0|00cc00,1829901:1829920|offset_20|444444,1829969:1829988|offset_88|444444,1829991:1830010|offset_110|444444&amp;v=1829680:1830210&amp;c=444444", "offset 0")</f>
        <v>offset 0</v>
      </c>
    </row>
    <row r="5826" customFormat="false" ht="12.8" hidden="false" customHeight="false" outlineLevel="0" collapsed="false">
      <c r="A5826" s="0" t="s">
        <v>12</v>
      </c>
      <c r="B5826" s="0" t="n">
        <v>1829900</v>
      </c>
      <c r="C5826" s="0" t="n">
        <v>1829920</v>
      </c>
      <c r="D5826" s="0" t="s">
        <v>19412</v>
      </c>
      <c r="E5826" s="0" t="s">
        <v>75</v>
      </c>
      <c r="F5826" s="0" t="s">
        <v>15</v>
      </c>
      <c r="G5826" s="0" t="s">
        <v>32</v>
      </c>
      <c r="H5826" s="0" t="n">
        <v>20</v>
      </c>
      <c r="I5826" s="0" t="s">
        <v>19416</v>
      </c>
      <c r="J5826" s="0" t="s">
        <v>19417</v>
      </c>
      <c r="K5826" s="0" t="s">
        <v>19418</v>
      </c>
      <c r="L5826" s="0" t="str">
        <f aca="false">HYPERLINK("https://www.ncbi.nlm.nih.gov/nuccore/CP000058.1?report=graph&amp;tracks=[key:gene_model_track,Options:GeneOnly]&amp;mk=1829881:1829900|offset_0|444444,1829901:1829920|offset_20|00cc00,1829969:1829988|offset_88|444444,1829991:1830010|offset_110|444444&amp;v=1829680:1830210&amp;c=444444", "offset 20")</f>
        <v>offset 20</v>
      </c>
    </row>
    <row r="5827" customFormat="false" ht="12.8" hidden="false" customHeight="false" outlineLevel="0" collapsed="false">
      <c r="A5827" s="0" t="s">
        <v>12</v>
      </c>
      <c r="B5827" s="0" t="n">
        <v>1829968</v>
      </c>
      <c r="C5827" s="0" t="n">
        <v>1829988</v>
      </c>
      <c r="D5827" s="0" t="s">
        <v>19412</v>
      </c>
      <c r="E5827" s="0" t="s">
        <v>75</v>
      </c>
      <c r="F5827" s="0" t="s">
        <v>15</v>
      </c>
      <c r="G5827" s="0" t="s">
        <v>36</v>
      </c>
      <c r="H5827" s="0" t="n">
        <v>88</v>
      </c>
      <c r="I5827" s="0" t="s">
        <v>19419</v>
      </c>
      <c r="J5827" s="0" t="s">
        <v>19420</v>
      </c>
      <c r="K5827" s="0" t="s">
        <v>19421</v>
      </c>
      <c r="L5827" s="0" t="str">
        <f aca="false">HYPERLINK("https://www.ncbi.nlm.nih.gov/nuccore/CP000058.1?report=graph&amp;tracks=[key:gene_model_track,Options:GeneOnly]&amp;mk=1829881:1829900|offset_0|444444,1829901:1829920|offset_20|444444,1829969:1829988|offset_88|00cc00,1829991:1830010|offset_110|444444&amp;v=1829680:1830210&amp;c=444444", "offset 88")</f>
        <v>offset 88</v>
      </c>
    </row>
    <row r="5828" customFormat="false" ht="12.8" hidden="false" customHeight="false" outlineLevel="0" collapsed="false">
      <c r="A5828" s="0" t="s">
        <v>12</v>
      </c>
      <c r="B5828" s="0" t="n">
        <v>1829990</v>
      </c>
      <c r="C5828" s="0" t="n">
        <v>1830010</v>
      </c>
      <c r="D5828" s="0" t="s">
        <v>19412</v>
      </c>
      <c r="E5828" s="0" t="s">
        <v>75</v>
      </c>
      <c r="F5828" s="0" t="s">
        <v>15</v>
      </c>
      <c r="G5828" s="0" t="s">
        <v>16</v>
      </c>
      <c r="H5828" s="0" t="n">
        <v>110</v>
      </c>
      <c r="I5828" s="0" t="s">
        <v>19422</v>
      </c>
      <c r="J5828" s="0" t="s">
        <v>19423</v>
      </c>
      <c r="K5828" s="0" t="s">
        <v>19424</v>
      </c>
      <c r="L5828" s="0" t="str">
        <f aca="false">HYPERLINK("https://www.ncbi.nlm.nih.gov/nuccore/CP000058.1?report=graph&amp;tracks=[key:gene_model_track,Options:GeneOnly]&amp;mk=1829881:1829900|offset_0|444444,1829901:1829920|offset_20|444444,1829969:1829988|offset_88|444444,1829991:1830010|offset_110|00cc00&amp;v=1829680:1830210&amp;c=444444", "offset 110")</f>
        <v>offset 110</v>
      </c>
    </row>
    <row r="5829" customFormat="false" ht="12.8" hidden="false" customHeight="false" outlineLevel="0" collapsed="false">
      <c r="A5829" s="0" t="s">
        <v>12</v>
      </c>
      <c r="B5829" s="0" t="n">
        <v>1831522</v>
      </c>
      <c r="C5829" s="0" t="n">
        <v>1831542</v>
      </c>
      <c r="D5829" s="0" t="s">
        <v>19425</v>
      </c>
      <c r="E5829" s="0" t="s">
        <v>75</v>
      </c>
      <c r="F5829" s="0" t="s">
        <v>90</v>
      </c>
      <c r="G5829" s="0" t="s">
        <v>32</v>
      </c>
      <c r="H5829" s="0" t="n">
        <v>61</v>
      </c>
      <c r="I5829" s="0" t="s">
        <v>19426</v>
      </c>
      <c r="J5829" s="0" t="s">
        <v>19427</v>
      </c>
      <c r="K5829" s="0" t="s">
        <v>19428</v>
      </c>
      <c r="L5829" s="0" t="str">
        <f aca="false">HYPERLINK("https://www.ncbi.nlm.nih.gov/nuccore/CP000058.1?report=graph&amp;tracks=[key:gene_model_track,Options:GeneOnly]&amp;mk=1831523:1831542|offset_61|00cc00,1831503:1831522|offset_81|444444,1831479:1831498|offset_105|444444,1831434:1831453|offset_150|444444&amp;v=1831322:1831653&amp;c=444444", "offset 61")</f>
        <v>offset 61</v>
      </c>
    </row>
    <row r="5830" customFormat="false" ht="12.8" hidden="false" customHeight="false" outlineLevel="0" collapsed="false">
      <c r="A5830" s="0" t="s">
        <v>12</v>
      </c>
      <c r="B5830" s="0" t="n">
        <v>1831502</v>
      </c>
      <c r="C5830" s="0" t="n">
        <v>1831522</v>
      </c>
      <c r="D5830" s="0" t="s">
        <v>19425</v>
      </c>
      <c r="E5830" s="0" t="s">
        <v>75</v>
      </c>
      <c r="F5830" s="0" t="s">
        <v>90</v>
      </c>
      <c r="G5830" s="0" t="s">
        <v>16</v>
      </c>
      <c r="H5830" s="0" t="n">
        <v>81</v>
      </c>
      <c r="I5830" s="0" t="s">
        <v>19429</v>
      </c>
      <c r="J5830" s="0" t="s">
        <v>19430</v>
      </c>
      <c r="K5830" s="0" t="s">
        <v>19431</v>
      </c>
      <c r="L5830" s="0" t="str">
        <f aca="false">HYPERLINK("https://www.ncbi.nlm.nih.gov/nuccore/CP000058.1?report=graph&amp;tracks=[key:gene_model_track,Options:GeneOnly]&amp;mk=1831523:1831542|offset_61|444444,1831503:1831522|offset_81|00cc00,1831479:1831498|offset_105|444444,1831434:1831453|offset_150|444444&amp;v=1831322:1831653&amp;c=444444", "offset 81")</f>
        <v>offset 81</v>
      </c>
    </row>
    <row r="5831" customFormat="false" ht="12.8" hidden="false" customHeight="false" outlineLevel="0" collapsed="false">
      <c r="A5831" s="0" t="s">
        <v>12</v>
      </c>
      <c r="B5831" s="0" t="n">
        <v>1831478</v>
      </c>
      <c r="C5831" s="0" t="n">
        <v>1831498</v>
      </c>
      <c r="D5831" s="0" t="s">
        <v>19425</v>
      </c>
      <c r="E5831" s="0" t="s">
        <v>75</v>
      </c>
      <c r="F5831" s="0" t="s">
        <v>90</v>
      </c>
      <c r="G5831" s="0" t="s">
        <v>36</v>
      </c>
      <c r="H5831" s="0" t="n">
        <v>105</v>
      </c>
      <c r="I5831" s="0" t="s">
        <v>19432</v>
      </c>
      <c r="J5831" s="0" t="s">
        <v>19433</v>
      </c>
      <c r="K5831" s="0" t="s">
        <v>19434</v>
      </c>
      <c r="L5831" s="0" t="str">
        <f aca="false">HYPERLINK("https://www.ncbi.nlm.nih.gov/nuccore/CP000058.1?report=graph&amp;tracks=[key:gene_model_track,Options:GeneOnly]&amp;mk=1831523:1831542|offset_61|444444,1831503:1831522|offset_81|444444,1831479:1831498|offset_105|00cc00,1831434:1831453|offset_150|444444&amp;v=1831322:1831653&amp;c=444444", "offset 105")</f>
        <v>offset 105</v>
      </c>
    </row>
    <row r="5832" customFormat="false" ht="12.8" hidden="false" customHeight="false" outlineLevel="0" collapsed="false">
      <c r="A5832" s="0" t="s">
        <v>12</v>
      </c>
      <c r="B5832" s="0" t="n">
        <v>1831433</v>
      </c>
      <c r="C5832" s="0" t="n">
        <v>1831453</v>
      </c>
      <c r="D5832" s="0" t="s">
        <v>19425</v>
      </c>
      <c r="E5832" s="0" t="s">
        <v>75</v>
      </c>
      <c r="F5832" s="0" t="s">
        <v>90</v>
      </c>
      <c r="G5832" s="0" t="s">
        <v>32</v>
      </c>
      <c r="H5832" s="0" t="n">
        <v>150</v>
      </c>
      <c r="I5832" s="0" t="s">
        <v>19435</v>
      </c>
      <c r="J5832" s="0" t="s">
        <v>19436</v>
      </c>
      <c r="K5832" s="0" t="s">
        <v>19437</v>
      </c>
      <c r="L5832" s="0" t="str">
        <f aca="false">HYPERLINK("https://www.ncbi.nlm.nih.gov/nuccore/CP000058.1?report=graph&amp;tracks=[key:gene_model_track,Options:GeneOnly]&amp;mk=1831523:1831542|offset_61|444444,1831503:1831522|offset_81|444444,1831479:1831498|offset_105|444444,1831434:1831453|offset_150|00cc00&amp;v=1831322:1831653&amp;c=444444", "offset 150")</f>
        <v>offset 150</v>
      </c>
    </row>
    <row r="5833" customFormat="false" ht="12.8" hidden="false" customHeight="false" outlineLevel="0" collapsed="false">
      <c r="A5833" s="0" t="s">
        <v>12</v>
      </c>
      <c r="B5833" s="0" t="n">
        <v>1832743</v>
      </c>
      <c r="C5833" s="0" t="n">
        <v>1832763</v>
      </c>
      <c r="D5833" s="0" t="s">
        <v>19438</v>
      </c>
      <c r="E5833" s="0" t="s">
        <v>75</v>
      </c>
      <c r="F5833" s="0" t="s">
        <v>90</v>
      </c>
      <c r="G5833" s="0" t="s">
        <v>32</v>
      </c>
      <c r="H5833" s="0" t="n">
        <v>1</v>
      </c>
      <c r="I5833" s="0" t="s">
        <v>19439</v>
      </c>
      <c r="J5833" s="0" t="s">
        <v>19440</v>
      </c>
      <c r="K5833" s="0" t="s">
        <v>19441</v>
      </c>
      <c r="L5833" s="0" t="str">
        <f aca="false">HYPERLINK("https://www.ncbi.nlm.nih.gov/nuccore/CP000058.1?report=graph&amp;tracks=[key:gene_model_track,Options:GeneOnly]&amp;mk=1832744:1832763|offset_1|00cc00,1832714:1832733|offset_31|444444,1832684:1832703|offset_61|444444,1832645:1832664|offset_100|444444&amp;v=1832543:1832864&amp;c=444444", "offset 1")</f>
        <v>offset 1</v>
      </c>
    </row>
    <row r="5834" customFormat="false" ht="12.8" hidden="false" customHeight="false" outlineLevel="0" collapsed="false">
      <c r="A5834" s="0" t="s">
        <v>12</v>
      </c>
      <c r="B5834" s="0" t="n">
        <v>1832713</v>
      </c>
      <c r="C5834" s="0" t="n">
        <v>1832733</v>
      </c>
      <c r="D5834" s="0" t="s">
        <v>19438</v>
      </c>
      <c r="E5834" s="0" t="s">
        <v>75</v>
      </c>
      <c r="F5834" s="0" t="s">
        <v>90</v>
      </c>
      <c r="G5834" s="0" t="s">
        <v>16</v>
      </c>
      <c r="H5834" s="0" t="n">
        <v>31</v>
      </c>
      <c r="I5834" s="0" t="s">
        <v>19442</v>
      </c>
      <c r="J5834" s="0" t="s">
        <v>19443</v>
      </c>
      <c r="K5834" s="0" t="s">
        <v>19444</v>
      </c>
      <c r="L5834" s="0" t="str">
        <f aca="false">HYPERLINK("https://www.ncbi.nlm.nih.gov/nuccore/CP000058.1?report=graph&amp;tracks=[key:gene_model_track,Options:GeneOnly]&amp;mk=1832744:1832763|offset_1|444444,1832714:1832733|offset_31|00cc00,1832684:1832703|offset_61|444444,1832645:1832664|offset_100|444444&amp;v=1832543:1832864&amp;c=444444", "offset 31")</f>
        <v>offset 31</v>
      </c>
    </row>
    <row r="5835" customFormat="false" ht="12.8" hidden="false" customHeight="false" outlineLevel="0" collapsed="false">
      <c r="A5835" s="0" t="s">
        <v>12</v>
      </c>
      <c r="B5835" s="0" t="n">
        <v>1832683</v>
      </c>
      <c r="C5835" s="0" t="n">
        <v>1832703</v>
      </c>
      <c r="D5835" s="0" t="s">
        <v>19438</v>
      </c>
      <c r="E5835" s="0" t="s">
        <v>75</v>
      </c>
      <c r="F5835" s="0" t="s">
        <v>90</v>
      </c>
      <c r="G5835" s="0" t="s">
        <v>16</v>
      </c>
      <c r="H5835" s="0" t="n">
        <v>61</v>
      </c>
      <c r="I5835" s="0" t="s">
        <v>19445</v>
      </c>
      <c r="J5835" s="0" t="s">
        <v>19446</v>
      </c>
      <c r="K5835" s="0" t="s">
        <v>19447</v>
      </c>
      <c r="L5835" s="0" t="str">
        <f aca="false">HYPERLINK("https://www.ncbi.nlm.nih.gov/nuccore/CP000058.1?report=graph&amp;tracks=[key:gene_model_track,Options:GeneOnly]&amp;mk=1832744:1832763|offset_1|444444,1832714:1832733|offset_31|444444,1832684:1832703|offset_61|00cc00,1832645:1832664|offset_100|444444&amp;v=1832543:1832864&amp;c=444444", "offset 61")</f>
        <v>offset 61</v>
      </c>
    </row>
    <row r="5836" customFormat="false" ht="12.8" hidden="false" customHeight="false" outlineLevel="0" collapsed="false">
      <c r="A5836" s="0" t="s">
        <v>12</v>
      </c>
      <c r="B5836" s="0" t="n">
        <v>1832644</v>
      </c>
      <c r="C5836" s="0" t="n">
        <v>1832664</v>
      </c>
      <c r="D5836" s="0" t="s">
        <v>19438</v>
      </c>
      <c r="E5836" s="0" t="s">
        <v>75</v>
      </c>
      <c r="F5836" s="0" t="s">
        <v>90</v>
      </c>
      <c r="G5836" s="0" t="s">
        <v>16</v>
      </c>
      <c r="H5836" s="0" t="n">
        <v>100</v>
      </c>
      <c r="I5836" s="0" t="s">
        <v>19448</v>
      </c>
      <c r="J5836" s="0" t="s">
        <v>19449</v>
      </c>
      <c r="K5836" s="0" t="s">
        <v>19450</v>
      </c>
      <c r="L5836" s="0" t="str">
        <f aca="false">HYPERLINK("https://www.ncbi.nlm.nih.gov/nuccore/CP000058.1?report=graph&amp;tracks=[key:gene_model_track,Options:GeneOnly]&amp;mk=1832744:1832763|offset_1|444444,1832714:1832733|offset_31|444444,1832684:1832703|offset_61|444444,1832645:1832664|offset_100|00cc00&amp;v=1832543:1832864&amp;c=444444", "offset 100")</f>
        <v>offset 100</v>
      </c>
    </row>
    <row r="5837" customFormat="false" ht="12.8" hidden="false" customHeight="false" outlineLevel="0" collapsed="false">
      <c r="A5837" s="0" t="s">
        <v>12</v>
      </c>
      <c r="B5837" s="0" t="n">
        <v>1832898</v>
      </c>
      <c r="C5837" s="0" t="n">
        <v>1832918</v>
      </c>
      <c r="D5837" s="0" t="s">
        <v>19451</v>
      </c>
      <c r="E5837" s="0" t="s">
        <v>75</v>
      </c>
      <c r="F5837" s="0" t="s">
        <v>15</v>
      </c>
      <c r="G5837" s="0" t="s">
        <v>32</v>
      </c>
      <c r="H5837" s="0" t="n">
        <v>0</v>
      </c>
      <c r="I5837" s="0" t="s">
        <v>19452</v>
      </c>
      <c r="J5837" s="0" t="s">
        <v>19453</v>
      </c>
      <c r="K5837" s="0" t="s">
        <v>19454</v>
      </c>
      <c r="L5837" s="0" t="str">
        <f aca="false">HYPERLINK("https://www.ncbi.nlm.nih.gov/nuccore/CP000058.1?report=graph&amp;tracks=[key:gene_model_track,Options:GeneOnly]&amp;mk=1832899:1832918|offset_0|00cc00,1832919:1832938|offset_20|444444,1832960:1832979|offset_61|444444,1832989:1833008|offset_90|444444&amp;v=1832698:1833208&amp;c=444444", "offset 0")</f>
        <v>offset 0</v>
      </c>
    </row>
    <row r="5838" customFormat="false" ht="12.8" hidden="false" customHeight="false" outlineLevel="0" collapsed="false">
      <c r="A5838" s="0" t="s">
        <v>12</v>
      </c>
      <c r="B5838" s="0" t="n">
        <v>1832918</v>
      </c>
      <c r="C5838" s="0" t="n">
        <v>1832938</v>
      </c>
      <c r="D5838" s="0" t="s">
        <v>19451</v>
      </c>
      <c r="E5838" s="0" t="s">
        <v>75</v>
      </c>
      <c r="F5838" s="0" t="s">
        <v>15</v>
      </c>
      <c r="G5838" s="0" t="s">
        <v>20</v>
      </c>
      <c r="H5838" s="0" t="n">
        <v>20</v>
      </c>
      <c r="I5838" s="0" t="s">
        <v>19455</v>
      </c>
      <c r="J5838" s="0" t="s">
        <v>19456</v>
      </c>
      <c r="K5838" s="0" t="s">
        <v>19457</v>
      </c>
      <c r="L5838" s="0" t="str">
        <f aca="false">HYPERLINK("https://www.ncbi.nlm.nih.gov/nuccore/CP000058.1?report=graph&amp;tracks=[key:gene_model_track,Options:GeneOnly]&amp;mk=1832899:1832918|offset_0|444444,1832919:1832938|offset_20|00cc00,1832960:1832979|offset_61|444444,1832989:1833008|offset_90|444444&amp;v=1832698:1833208&amp;c=444444", "offset 20")</f>
        <v>offset 20</v>
      </c>
    </row>
    <row r="5839" customFormat="false" ht="12.8" hidden="false" customHeight="false" outlineLevel="0" collapsed="false">
      <c r="A5839" s="0" t="s">
        <v>12</v>
      </c>
      <c r="B5839" s="0" t="n">
        <v>1832959</v>
      </c>
      <c r="C5839" s="0" t="n">
        <v>1832979</v>
      </c>
      <c r="D5839" s="0" t="s">
        <v>19451</v>
      </c>
      <c r="E5839" s="0" t="s">
        <v>75</v>
      </c>
      <c r="F5839" s="0" t="s">
        <v>15</v>
      </c>
      <c r="G5839" s="0" t="s">
        <v>16</v>
      </c>
      <c r="H5839" s="0" t="n">
        <v>61</v>
      </c>
      <c r="I5839" s="0" t="s">
        <v>19458</v>
      </c>
      <c r="J5839" s="0" t="s">
        <v>19459</v>
      </c>
      <c r="K5839" s="0" t="s">
        <v>19460</v>
      </c>
      <c r="L5839" s="0" t="str">
        <f aca="false">HYPERLINK("https://www.ncbi.nlm.nih.gov/nuccore/CP000058.1?report=graph&amp;tracks=[key:gene_model_track,Options:GeneOnly]&amp;mk=1832899:1832918|offset_0|444444,1832919:1832938|offset_20|444444,1832960:1832979|offset_61|00cc00,1832989:1833008|offset_90|444444&amp;v=1832698:1833208&amp;c=444444", "offset 61")</f>
        <v>offset 61</v>
      </c>
    </row>
    <row r="5840" customFormat="false" ht="12.8" hidden="false" customHeight="false" outlineLevel="0" collapsed="false">
      <c r="A5840" s="0" t="s">
        <v>12</v>
      </c>
      <c r="B5840" s="0" t="n">
        <v>1832988</v>
      </c>
      <c r="C5840" s="0" t="n">
        <v>1833008</v>
      </c>
      <c r="D5840" s="0" t="s">
        <v>19451</v>
      </c>
      <c r="E5840" s="0" t="s">
        <v>75</v>
      </c>
      <c r="F5840" s="0" t="s">
        <v>15</v>
      </c>
      <c r="G5840" s="0" t="s">
        <v>16</v>
      </c>
      <c r="H5840" s="0" t="n">
        <v>90</v>
      </c>
      <c r="I5840" s="0" t="s">
        <v>19461</v>
      </c>
      <c r="J5840" s="0" t="s">
        <v>19462</v>
      </c>
      <c r="K5840" s="0" t="s">
        <v>19463</v>
      </c>
      <c r="L5840" s="0" t="str">
        <f aca="false">HYPERLINK("https://www.ncbi.nlm.nih.gov/nuccore/CP000058.1?report=graph&amp;tracks=[key:gene_model_track,Options:GeneOnly]&amp;mk=1832899:1832918|offset_0|444444,1832919:1832938|offset_20|444444,1832960:1832979|offset_61|444444,1832989:1833008|offset_90|00cc00&amp;v=1832698:1833208&amp;c=444444", "offset 90")</f>
        <v>offset 90</v>
      </c>
    </row>
    <row r="5841" customFormat="false" ht="12.8" hidden="false" customHeight="false" outlineLevel="0" collapsed="false">
      <c r="A5841" s="0" t="s">
        <v>12</v>
      </c>
      <c r="B5841" s="0" t="n">
        <v>1834396</v>
      </c>
      <c r="C5841" s="0" t="n">
        <v>1834416</v>
      </c>
      <c r="D5841" s="0" t="s">
        <v>19464</v>
      </c>
      <c r="E5841" s="0" t="s">
        <v>75</v>
      </c>
      <c r="F5841" s="0" t="s">
        <v>90</v>
      </c>
      <c r="G5841" s="0" t="s">
        <v>36</v>
      </c>
      <c r="H5841" s="0" t="n">
        <v>16</v>
      </c>
      <c r="I5841" s="0" t="s">
        <v>19465</v>
      </c>
      <c r="J5841" s="0" t="s">
        <v>19466</v>
      </c>
      <c r="K5841" s="0" t="s">
        <v>19467</v>
      </c>
      <c r="L5841" s="0" t="str">
        <f aca="false">HYPERLINK("https://www.ncbi.nlm.nih.gov/nuccore/CP000058.1?report=graph&amp;tracks=[key:gene_model_track,Options:GeneOnly]&amp;mk=1834397:1834416|offset_16|00cc00,1834377:1834396|offset_36|444444,1834282:1834301|offset_131|444444,1834262:1834281|offset_151|444444&amp;v=1834196:1834481&amp;c=444444", "offset 16")</f>
        <v>offset 16</v>
      </c>
    </row>
    <row r="5842" customFormat="false" ht="12.8" hidden="false" customHeight="false" outlineLevel="0" collapsed="false">
      <c r="A5842" s="0" t="s">
        <v>12</v>
      </c>
      <c r="B5842" s="0" t="n">
        <v>1834376</v>
      </c>
      <c r="C5842" s="0" t="n">
        <v>1834396</v>
      </c>
      <c r="D5842" s="0" t="s">
        <v>19464</v>
      </c>
      <c r="E5842" s="0" t="s">
        <v>75</v>
      </c>
      <c r="F5842" s="0" t="s">
        <v>90</v>
      </c>
      <c r="G5842" s="0" t="s">
        <v>32</v>
      </c>
      <c r="H5842" s="0" t="n">
        <v>36</v>
      </c>
      <c r="I5842" s="0" t="s">
        <v>19468</v>
      </c>
      <c r="J5842" s="0" t="s">
        <v>19469</v>
      </c>
      <c r="K5842" s="0" t="s">
        <v>19470</v>
      </c>
      <c r="L5842" s="0" t="str">
        <f aca="false">HYPERLINK("https://www.ncbi.nlm.nih.gov/nuccore/CP000058.1?report=graph&amp;tracks=[key:gene_model_track,Options:GeneOnly]&amp;mk=1834397:1834416|offset_16|444444,1834377:1834396|offset_36|00cc00,1834282:1834301|offset_131|444444,1834262:1834281|offset_151|444444&amp;v=1834196:1834481&amp;c=444444", "offset 36")</f>
        <v>offset 36</v>
      </c>
    </row>
    <row r="5843" customFormat="false" ht="12.8" hidden="false" customHeight="false" outlineLevel="0" collapsed="false">
      <c r="A5843" s="0" t="s">
        <v>12</v>
      </c>
      <c r="B5843" s="0" t="n">
        <v>1834281</v>
      </c>
      <c r="C5843" s="0" t="n">
        <v>1834301</v>
      </c>
      <c r="D5843" s="0" t="s">
        <v>19464</v>
      </c>
      <c r="E5843" s="0" t="s">
        <v>75</v>
      </c>
      <c r="F5843" s="0" t="s">
        <v>90</v>
      </c>
      <c r="G5843" s="0" t="s">
        <v>32</v>
      </c>
      <c r="H5843" s="0" t="n">
        <v>131</v>
      </c>
      <c r="I5843" s="0" t="s">
        <v>19471</v>
      </c>
      <c r="J5843" s="0" t="s">
        <v>19472</v>
      </c>
      <c r="K5843" s="0" t="s">
        <v>19473</v>
      </c>
      <c r="L5843" s="0" t="str">
        <f aca="false">HYPERLINK("https://www.ncbi.nlm.nih.gov/nuccore/CP000058.1?report=graph&amp;tracks=[key:gene_model_track,Options:GeneOnly]&amp;mk=1834397:1834416|offset_16|444444,1834377:1834396|offset_36|444444,1834282:1834301|offset_131|00cc00,1834262:1834281|offset_151|444444&amp;v=1834196:1834481&amp;c=444444", "offset 131")</f>
        <v>offset 131</v>
      </c>
    </row>
    <row r="5844" customFormat="false" ht="12.8" hidden="false" customHeight="false" outlineLevel="0" collapsed="false">
      <c r="A5844" s="0" t="s">
        <v>12</v>
      </c>
      <c r="B5844" s="0" t="n">
        <v>1834261</v>
      </c>
      <c r="C5844" s="0" t="n">
        <v>1834281</v>
      </c>
      <c r="D5844" s="0" t="s">
        <v>19464</v>
      </c>
      <c r="E5844" s="0" t="s">
        <v>75</v>
      </c>
      <c r="F5844" s="0" t="s">
        <v>90</v>
      </c>
      <c r="G5844" s="0" t="s">
        <v>32</v>
      </c>
      <c r="H5844" s="0" t="n">
        <v>151</v>
      </c>
      <c r="I5844" s="0" t="s">
        <v>19474</v>
      </c>
      <c r="J5844" s="0" t="s">
        <v>19475</v>
      </c>
      <c r="K5844" s="0" t="s">
        <v>19476</v>
      </c>
      <c r="L5844" s="0" t="str">
        <f aca="false">HYPERLINK("https://www.ncbi.nlm.nih.gov/nuccore/CP000058.1?report=graph&amp;tracks=[key:gene_model_track,Options:GeneOnly]&amp;mk=1834397:1834416|offset_16|444444,1834377:1834396|offset_36|444444,1834282:1834301|offset_131|444444,1834262:1834281|offset_151|00cc00&amp;v=1834196:1834481&amp;c=444444", "offset 151")</f>
        <v>offset 151</v>
      </c>
    </row>
    <row r="5845" customFormat="false" ht="12.8" hidden="false" customHeight="false" outlineLevel="0" collapsed="false">
      <c r="A5845" s="0" t="s">
        <v>12</v>
      </c>
      <c r="B5845" s="0" t="n">
        <v>1834603</v>
      </c>
      <c r="C5845" s="0" t="n">
        <v>1834623</v>
      </c>
      <c r="D5845" s="0" t="s">
        <v>19477</v>
      </c>
      <c r="E5845" s="0" t="s">
        <v>75</v>
      </c>
      <c r="F5845" s="0" t="s">
        <v>15</v>
      </c>
      <c r="G5845" s="0" t="s">
        <v>36</v>
      </c>
      <c r="H5845" s="0" t="n">
        <v>9</v>
      </c>
      <c r="I5845" s="0" t="s">
        <v>19478</v>
      </c>
      <c r="J5845" s="0" t="s">
        <v>19479</v>
      </c>
      <c r="K5845" s="0" t="s">
        <v>19480</v>
      </c>
      <c r="L5845" s="0" t="str">
        <f aca="false">HYPERLINK("https://www.ncbi.nlm.nih.gov/nuccore/CP000058.1?report=graph&amp;tracks=[key:gene_model_track,Options:GeneOnly]&amp;mk=1834604:1834623|offset_9|00cc00,1834629:1834648|offset_34|444444,1834652:1834671|offset_57|444444,1834679:1834698|offset_84|444444&amp;v=1834403:1834898&amp;c=444444", "offset 9")</f>
        <v>offset 9</v>
      </c>
    </row>
    <row r="5846" customFormat="false" ht="12.8" hidden="false" customHeight="false" outlineLevel="0" collapsed="false">
      <c r="A5846" s="0" t="s">
        <v>12</v>
      </c>
      <c r="B5846" s="0" t="n">
        <v>1834628</v>
      </c>
      <c r="C5846" s="0" t="n">
        <v>1834648</v>
      </c>
      <c r="D5846" s="0" t="s">
        <v>19477</v>
      </c>
      <c r="E5846" s="0" t="s">
        <v>75</v>
      </c>
      <c r="F5846" s="0" t="s">
        <v>15</v>
      </c>
      <c r="G5846" s="0" t="s">
        <v>16</v>
      </c>
      <c r="H5846" s="0" t="n">
        <v>34</v>
      </c>
      <c r="I5846" s="0" t="s">
        <v>19481</v>
      </c>
      <c r="J5846" s="0" t="s">
        <v>19482</v>
      </c>
      <c r="K5846" s="0" t="s">
        <v>19483</v>
      </c>
      <c r="L5846" s="0" t="str">
        <f aca="false">HYPERLINK("https://www.ncbi.nlm.nih.gov/nuccore/CP000058.1?report=graph&amp;tracks=[key:gene_model_track,Options:GeneOnly]&amp;mk=1834604:1834623|offset_9|444444,1834629:1834648|offset_34|00cc00,1834652:1834671|offset_57|444444,1834679:1834698|offset_84|444444&amp;v=1834403:1834898&amp;c=444444", "offset 34")</f>
        <v>offset 34</v>
      </c>
    </row>
    <row r="5847" customFormat="false" ht="12.8" hidden="false" customHeight="false" outlineLevel="0" collapsed="false">
      <c r="A5847" s="0" t="s">
        <v>12</v>
      </c>
      <c r="B5847" s="0" t="n">
        <v>1834651</v>
      </c>
      <c r="C5847" s="0" t="n">
        <v>1834671</v>
      </c>
      <c r="D5847" s="0" t="s">
        <v>19477</v>
      </c>
      <c r="E5847" s="0" t="s">
        <v>75</v>
      </c>
      <c r="F5847" s="0" t="s">
        <v>15</v>
      </c>
      <c r="G5847" s="0" t="s">
        <v>32</v>
      </c>
      <c r="H5847" s="0" t="n">
        <v>57</v>
      </c>
      <c r="I5847" s="0" t="s">
        <v>19484</v>
      </c>
      <c r="J5847" s="0" t="s">
        <v>19485</v>
      </c>
      <c r="K5847" s="0" t="s">
        <v>19486</v>
      </c>
      <c r="L5847" s="0" t="str">
        <f aca="false">HYPERLINK("https://www.ncbi.nlm.nih.gov/nuccore/CP000058.1?report=graph&amp;tracks=[key:gene_model_track,Options:GeneOnly]&amp;mk=1834604:1834623|offset_9|444444,1834629:1834648|offset_34|444444,1834652:1834671|offset_57|00cc00,1834679:1834698|offset_84|444444&amp;v=1834403:1834898&amp;c=444444", "offset 57")</f>
        <v>offset 57</v>
      </c>
    </row>
    <row r="5848" customFormat="false" ht="12.8" hidden="false" customHeight="false" outlineLevel="0" collapsed="false">
      <c r="A5848" s="0" t="s">
        <v>12</v>
      </c>
      <c r="B5848" s="0" t="n">
        <v>1834678</v>
      </c>
      <c r="C5848" s="0" t="n">
        <v>1834698</v>
      </c>
      <c r="D5848" s="0" t="s">
        <v>19477</v>
      </c>
      <c r="E5848" s="0" t="s">
        <v>75</v>
      </c>
      <c r="F5848" s="0" t="s">
        <v>15</v>
      </c>
      <c r="G5848" s="0" t="s">
        <v>20</v>
      </c>
      <c r="H5848" s="0" t="n">
        <v>84</v>
      </c>
      <c r="I5848" s="0" t="s">
        <v>19487</v>
      </c>
      <c r="J5848" s="0" t="s">
        <v>19488</v>
      </c>
      <c r="K5848" s="0" t="s">
        <v>19489</v>
      </c>
      <c r="L5848" s="0" t="str">
        <f aca="false">HYPERLINK("https://www.ncbi.nlm.nih.gov/nuccore/CP000058.1?report=graph&amp;tracks=[key:gene_model_track,Options:GeneOnly]&amp;mk=1834604:1834623|offset_9|444444,1834629:1834648|offset_34|444444,1834652:1834671|offset_57|444444,1834679:1834698|offset_84|00cc00&amp;v=1834403:1834898&amp;c=444444", "offset 84")</f>
        <v>offset 84</v>
      </c>
    </row>
    <row r="5849" customFormat="false" ht="12.8" hidden="false" customHeight="false" outlineLevel="0" collapsed="false">
      <c r="A5849" s="0" t="s">
        <v>12</v>
      </c>
      <c r="B5849" s="0" t="n">
        <v>1836244</v>
      </c>
      <c r="C5849" s="0" t="n">
        <v>1836264</v>
      </c>
      <c r="D5849" s="0" t="s">
        <v>19490</v>
      </c>
      <c r="E5849" s="0" t="s">
        <v>75</v>
      </c>
      <c r="F5849" s="0" t="s">
        <v>15</v>
      </c>
      <c r="G5849" s="0" t="s">
        <v>36</v>
      </c>
      <c r="H5849" s="0" t="n">
        <v>34</v>
      </c>
      <c r="I5849" s="0" t="s">
        <v>19491</v>
      </c>
      <c r="J5849" s="0" t="s">
        <v>19492</v>
      </c>
      <c r="K5849" s="0" t="s">
        <v>19493</v>
      </c>
      <c r="L5849" s="0" t="str">
        <f aca="false">HYPERLINK("https://www.ncbi.nlm.nih.gov/nuccore/CP000058.1?report=graph&amp;tracks=[key:gene_model_track,Options:GeneOnly]&amp;mk=1836245:1836264|offset_34|00cc00,1836284:1836303|offset_73|444444,1836307:1836326|offset_96|444444,1836354:1836373|offset_143|444444&amp;v=1836044:1836573&amp;c=444444", "offset 34")</f>
        <v>offset 34</v>
      </c>
    </row>
    <row r="5850" customFormat="false" ht="12.8" hidden="false" customHeight="false" outlineLevel="0" collapsed="false">
      <c r="A5850" s="0" t="s">
        <v>12</v>
      </c>
      <c r="B5850" s="0" t="n">
        <v>1836283</v>
      </c>
      <c r="C5850" s="0" t="n">
        <v>1836303</v>
      </c>
      <c r="D5850" s="0" t="s">
        <v>19490</v>
      </c>
      <c r="E5850" s="0" t="s">
        <v>75</v>
      </c>
      <c r="F5850" s="0" t="s">
        <v>15</v>
      </c>
      <c r="G5850" s="0" t="s">
        <v>32</v>
      </c>
      <c r="H5850" s="0" t="n">
        <v>73</v>
      </c>
      <c r="I5850" s="0" t="s">
        <v>19494</v>
      </c>
      <c r="J5850" s="0" t="s">
        <v>19495</v>
      </c>
      <c r="K5850" s="0" t="s">
        <v>19496</v>
      </c>
      <c r="L5850" s="0" t="str">
        <f aca="false">HYPERLINK("https://www.ncbi.nlm.nih.gov/nuccore/CP000058.1?report=graph&amp;tracks=[key:gene_model_track,Options:GeneOnly]&amp;mk=1836245:1836264|offset_34|444444,1836284:1836303|offset_73|00cc00,1836307:1836326|offset_96|444444,1836354:1836373|offset_143|444444&amp;v=1836044:1836573&amp;c=444444", "offset 73")</f>
        <v>offset 73</v>
      </c>
    </row>
    <row r="5851" customFormat="false" ht="12.8" hidden="false" customHeight="false" outlineLevel="0" collapsed="false">
      <c r="A5851" s="0" t="s">
        <v>12</v>
      </c>
      <c r="B5851" s="0" t="n">
        <v>1836306</v>
      </c>
      <c r="C5851" s="0" t="n">
        <v>1836326</v>
      </c>
      <c r="D5851" s="0" t="s">
        <v>19490</v>
      </c>
      <c r="E5851" s="0" t="s">
        <v>75</v>
      </c>
      <c r="F5851" s="0" t="s">
        <v>15</v>
      </c>
      <c r="G5851" s="0" t="s">
        <v>16</v>
      </c>
      <c r="H5851" s="0" t="n">
        <v>96</v>
      </c>
      <c r="I5851" s="0" t="s">
        <v>19497</v>
      </c>
      <c r="J5851" s="0" t="s">
        <v>19498</v>
      </c>
      <c r="K5851" s="0" t="s">
        <v>19499</v>
      </c>
      <c r="L5851" s="0" t="str">
        <f aca="false">HYPERLINK("https://www.ncbi.nlm.nih.gov/nuccore/CP000058.1?report=graph&amp;tracks=[key:gene_model_track,Options:GeneOnly]&amp;mk=1836245:1836264|offset_34|444444,1836284:1836303|offset_73|444444,1836307:1836326|offset_96|00cc00,1836354:1836373|offset_143|444444&amp;v=1836044:1836573&amp;c=444444", "offset 96")</f>
        <v>offset 96</v>
      </c>
    </row>
    <row r="5852" customFormat="false" ht="12.8" hidden="false" customHeight="false" outlineLevel="0" collapsed="false">
      <c r="A5852" s="0" t="s">
        <v>12</v>
      </c>
      <c r="B5852" s="0" t="n">
        <v>1836353</v>
      </c>
      <c r="C5852" s="0" t="n">
        <v>1836373</v>
      </c>
      <c r="D5852" s="0" t="s">
        <v>19490</v>
      </c>
      <c r="E5852" s="0" t="s">
        <v>75</v>
      </c>
      <c r="F5852" s="0" t="s">
        <v>15</v>
      </c>
      <c r="G5852" s="0" t="s">
        <v>20</v>
      </c>
      <c r="H5852" s="0" t="n">
        <v>143</v>
      </c>
      <c r="I5852" s="0" t="s">
        <v>19500</v>
      </c>
      <c r="J5852" s="0" t="s">
        <v>19501</v>
      </c>
      <c r="K5852" s="0" t="s">
        <v>19502</v>
      </c>
      <c r="L5852" s="0" t="str">
        <f aca="false">HYPERLINK("https://www.ncbi.nlm.nih.gov/nuccore/CP000058.1?report=graph&amp;tracks=[key:gene_model_track,Options:GeneOnly]&amp;mk=1836245:1836264|offset_34|444444,1836284:1836303|offset_73|444444,1836307:1836326|offset_96|444444,1836354:1836373|offset_143|00cc00&amp;v=1836044:1836573&amp;c=444444", "offset 143")</f>
        <v>offset 143</v>
      </c>
    </row>
    <row r="5853" customFormat="false" ht="12.8" hidden="false" customHeight="false" outlineLevel="0" collapsed="false">
      <c r="A5853" s="0" t="s">
        <v>12</v>
      </c>
      <c r="B5853" s="0" t="n">
        <v>1837358</v>
      </c>
      <c r="C5853" s="0" t="n">
        <v>1837378</v>
      </c>
      <c r="D5853" s="0" t="s">
        <v>19503</v>
      </c>
      <c r="E5853" s="0" t="s">
        <v>75</v>
      </c>
      <c r="F5853" s="0" t="s">
        <v>15</v>
      </c>
      <c r="G5853" s="0" t="s">
        <v>16</v>
      </c>
      <c r="H5853" s="0" t="n">
        <v>12</v>
      </c>
      <c r="I5853" s="0" t="s">
        <v>19504</v>
      </c>
      <c r="J5853" s="0" t="s">
        <v>19505</v>
      </c>
      <c r="K5853" s="0" t="s">
        <v>19506</v>
      </c>
      <c r="L5853" s="0" t="str">
        <f aca="false">HYPERLINK("https://www.ncbi.nlm.nih.gov/nuccore/CP000058.1?report=graph&amp;tracks=[key:gene_model_track,Options:GeneOnly]&amp;mk=1837359:1837378|offset_12|00cc00,1837383:1837402|offset_36|444444,1837419:1837438|offset_72|444444,1837502:1837521|offset_155|444444&amp;v=1837158:1837721&amp;c=444444", "offset 12")</f>
        <v>offset 12</v>
      </c>
    </row>
    <row r="5854" customFormat="false" ht="12.8" hidden="false" customHeight="false" outlineLevel="0" collapsed="false">
      <c r="A5854" s="0" t="s">
        <v>12</v>
      </c>
      <c r="B5854" s="0" t="n">
        <v>1837382</v>
      </c>
      <c r="C5854" s="0" t="n">
        <v>1837402</v>
      </c>
      <c r="D5854" s="0" t="s">
        <v>19503</v>
      </c>
      <c r="E5854" s="0" t="s">
        <v>75</v>
      </c>
      <c r="F5854" s="0" t="s">
        <v>15</v>
      </c>
      <c r="G5854" s="0" t="s">
        <v>36</v>
      </c>
      <c r="H5854" s="0" t="n">
        <v>36</v>
      </c>
      <c r="I5854" s="0" t="s">
        <v>19507</v>
      </c>
      <c r="J5854" s="0" t="s">
        <v>19508</v>
      </c>
      <c r="K5854" s="0" t="s">
        <v>19509</v>
      </c>
      <c r="L5854" s="0" t="str">
        <f aca="false">HYPERLINK("https://www.ncbi.nlm.nih.gov/nuccore/CP000058.1?report=graph&amp;tracks=[key:gene_model_track,Options:GeneOnly]&amp;mk=1837359:1837378|offset_12|444444,1837383:1837402|offset_36|00cc00,1837419:1837438|offset_72|444444,1837502:1837521|offset_155|444444&amp;v=1837158:1837721&amp;c=444444", "offset 36")</f>
        <v>offset 36</v>
      </c>
    </row>
    <row r="5855" customFormat="false" ht="12.8" hidden="false" customHeight="false" outlineLevel="0" collapsed="false">
      <c r="A5855" s="0" t="s">
        <v>12</v>
      </c>
      <c r="B5855" s="0" t="n">
        <v>1837418</v>
      </c>
      <c r="C5855" s="0" t="n">
        <v>1837438</v>
      </c>
      <c r="D5855" s="0" t="s">
        <v>19503</v>
      </c>
      <c r="E5855" s="0" t="s">
        <v>75</v>
      </c>
      <c r="F5855" s="0" t="s">
        <v>15</v>
      </c>
      <c r="G5855" s="0" t="s">
        <v>32</v>
      </c>
      <c r="H5855" s="0" t="n">
        <v>72</v>
      </c>
      <c r="I5855" s="0" t="s">
        <v>19510</v>
      </c>
      <c r="J5855" s="0" t="s">
        <v>19511</v>
      </c>
      <c r="K5855" s="0" t="s">
        <v>19512</v>
      </c>
      <c r="L5855" s="0" t="str">
        <f aca="false">HYPERLINK("https://www.ncbi.nlm.nih.gov/nuccore/CP000058.1?report=graph&amp;tracks=[key:gene_model_track,Options:GeneOnly]&amp;mk=1837359:1837378|offset_12|444444,1837383:1837402|offset_36|444444,1837419:1837438|offset_72|00cc00,1837502:1837521|offset_155|444444&amp;v=1837158:1837721&amp;c=444444", "offset 72")</f>
        <v>offset 72</v>
      </c>
    </row>
    <row r="5856" customFormat="false" ht="12.8" hidden="false" customHeight="false" outlineLevel="0" collapsed="false">
      <c r="A5856" s="0" t="s">
        <v>12</v>
      </c>
      <c r="B5856" s="0" t="n">
        <v>1837501</v>
      </c>
      <c r="C5856" s="0" t="n">
        <v>1837521</v>
      </c>
      <c r="D5856" s="0" t="s">
        <v>19503</v>
      </c>
      <c r="E5856" s="0" t="s">
        <v>75</v>
      </c>
      <c r="F5856" s="0" t="s">
        <v>15</v>
      </c>
      <c r="G5856" s="0" t="s">
        <v>32</v>
      </c>
      <c r="H5856" s="0" t="n">
        <v>155</v>
      </c>
      <c r="I5856" s="0" t="s">
        <v>19513</v>
      </c>
      <c r="J5856" s="0" t="s">
        <v>19514</v>
      </c>
      <c r="K5856" s="0" t="s">
        <v>19515</v>
      </c>
      <c r="L5856" s="0" t="str">
        <f aca="false">HYPERLINK("https://www.ncbi.nlm.nih.gov/nuccore/CP000058.1?report=graph&amp;tracks=[key:gene_model_track,Options:GeneOnly]&amp;mk=1837359:1837378|offset_12|444444,1837383:1837402|offset_36|444444,1837419:1837438|offset_72|444444,1837502:1837521|offset_155|00cc00&amp;v=1837158:1837721&amp;c=444444", "offset 155")</f>
        <v>offset 155</v>
      </c>
    </row>
    <row r="5857" customFormat="false" ht="12.8" hidden="false" customHeight="false" outlineLevel="0" collapsed="false">
      <c r="A5857" s="0" t="s">
        <v>12</v>
      </c>
      <c r="B5857" s="0" t="n">
        <v>1837921</v>
      </c>
      <c r="C5857" s="0" t="n">
        <v>1837941</v>
      </c>
      <c r="D5857" s="0" t="s">
        <v>19516</v>
      </c>
      <c r="E5857" s="0" t="s">
        <v>75</v>
      </c>
      <c r="F5857" s="0" t="s">
        <v>15</v>
      </c>
      <c r="G5857" s="0" t="s">
        <v>36</v>
      </c>
      <c r="H5857" s="0" t="n">
        <v>22</v>
      </c>
      <c r="I5857" s="0" t="s">
        <v>19517</v>
      </c>
      <c r="J5857" s="0" t="s">
        <v>19518</v>
      </c>
      <c r="K5857" s="0" t="s">
        <v>19519</v>
      </c>
      <c r="L5857" s="0" t="str">
        <f aca="false">HYPERLINK("https://www.ncbi.nlm.nih.gov/nuccore/CP000058.1?report=graph&amp;tracks=[key:gene_model_track,Options:GeneOnly]&amp;mk=1837922:1837941|offset_22|00cc00,1837954:1837973|offset_54|444444,1837988:1838007|offset_88|444444,1838010:1838029|offset_110|444444&amp;v=1837721:1838229&amp;c=444444", "offset 22")</f>
        <v>offset 22</v>
      </c>
    </row>
    <row r="5858" customFormat="false" ht="12.8" hidden="false" customHeight="false" outlineLevel="0" collapsed="false">
      <c r="A5858" s="0" t="s">
        <v>12</v>
      </c>
      <c r="B5858" s="0" t="n">
        <v>1837953</v>
      </c>
      <c r="C5858" s="0" t="n">
        <v>1837973</v>
      </c>
      <c r="D5858" s="0" t="s">
        <v>19516</v>
      </c>
      <c r="E5858" s="0" t="s">
        <v>75</v>
      </c>
      <c r="F5858" s="0" t="s">
        <v>15</v>
      </c>
      <c r="G5858" s="0" t="s">
        <v>36</v>
      </c>
      <c r="H5858" s="0" t="n">
        <v>54</v>
      </c>
      <c r="I5858" s="0" t="s">
        <v>19520</v>
      </c>
      <c r="J5858" s="0" t="s">
        <v>19521</v>
      </c>
      <c r="K5858" s="0" t="s">
        <v>19522</v>
      </c>
      <c r="L5858" s="0" t="str">
        <f aca="false">HYPERLINK("https://www.ncbi.nlm.nih.gov/nuccore/CP000058.1?report=graph&amp;tracks=[key:gene_model_track,Options:GeneOnly]&amp;mk=1837922:1837941|offset_22|444444,1837954:1837973|offset_54|00cc00,1837988:1838007|offset_88|444444,1838010:1838029|offset_110|444444&amp;v=1837721:1838229&amp;c=444444", "offset 54")</f>
        <v>offset 54</v>
      </c>
    </row>
    <row r="5859" customFormat="false" ht="12.8" hidden="false" customHeight="false" outlineLevel="0" collapsed="false">
      <c r="A5859" s="0" t="s">
        <v>12</v>
      </c>
      <c r="B5859" s="0" t="n">
        <v>1837987</v>
      </c>
      <c r="C5859" s="0" t="n">
        <v>1838007</v>
      </c>
      <c r="D5859" s="0" t="s">
        <v>19516</v>
      </c>
      <c r="E5859" s="0" t="s">
        <v>75</v>
      </c>
      <c r="F5859" s="0" t="s">
        <v>15</v>
      </c>
      <c r="G5859" s="0" t="s">
        <v>16</v>
      </c>
      <c r="H5859" s="0" t="n">
        <v>88</v>
      </c>
      <c r="I5859" s="0" t="s">
        <v>19523</v>
      </c>
      <c r="J5859" s="0" t="s">
        <v>19524</v>
      </c>
      <c r="K5859" s="0" t="s">
        <v>19525</v>
      </c>
      <c r="L5859" s="0" t="str">
        <f aca="false">HYPERLINK("https://www.ncbi.nlm.nih.gov/nuccore/CP000058.1?report=graph&amp;tracks=[key:gene_model_track,Options:GeneOnly]&amp;mk=1837922:1837941|offset_22|444444,1837954:1837973|offset_54|444444,1837988:1838007|offset_88|00cc00,1838010:1838029|offset_110|444444&amp;v=1837721:1838229&amp;c=444444", "offset 88")</f>
        <v>offset 88</v>
      </c>
    </row>
    <row r="5860" customFormat="false" ht="12.8" hidden="false" customHeight="false" outlineLevel="0" collapsed="false">
      <c r="A5860" s="0" t="s">
        <v>12</v>
      </c>
      <c r="B5860" s="0" t="n">
        <v>1838009</v>
      </c>
      <c r="C5860" s="0" t="n">
        <v>1838029</v>
      </c>
      <c r="D5860" s="0" t="s">
        <v>19516</v>
      </c>
      <c r="E5860" s="0" t="s">
        <v>75</v>
      </c>
      <c r="F5860" s="0" t="s">
        <v>15</v>
      </c>
      <c r="G5860" s="0" t="s">
        <v>32</v>
      </c>
      <c r="H5860" s="0" t="n">
        <v>110</v>
      </c>
      <c r="I5860" s="0" t="s">
        <v>19526</v>
      </c>
      <c r="J5860" s="0" t="s">
        <v>19527</v>
      </c>
      <c r="K5860" s="0" t="s">
        <v>19528</v>
      </c>
      <c r="L5860" s="0" t="str">
        <f aca="false">HYPERLINK("https://www.ncbi.nlm.nih.gov/nuccore/CP000058.1?report=graph&amp;tracks=[key:gene_model_track,Options:GeneOnly]&amp;mk=1837922:1837941|offset_22|444444,1837954:1837973|offset_54|444444,1837988:1838007|offset_88|444444,1838010:1838029|offset_110|00cc00&amp;v=1837721:1838229&amp;c=444444", "offset 110")</f>
        <v>offset 110</v>
      </c>
    </row>
    <row r="5861" customFormat="false" ht="12.8" hidden="false" customHeight="false" outlineLevel="0" collapsed="false">
      <c r="A5861" s="0" t="s">
        <v>12</v>
      </c>
      <c r="B5861" s="0" t="n">
        <v>1838257</v>
      </c>
      <c r="C5861" s="0" t="n">
        <v>1838277</v>
      </c>
      <c r="D5861" s="0" t="s">
        <v>19529</v>
      </c>
      <c r="E5861" s="0" t="s">
        <v>75</v>
      </c>
      <c r="F5861" s="0" t="s">
        <v>15</v>
      </c>
      <c r="G5861" s="0" t="s">
        <v>16</v>
      </c>
      <c r="H5861" s="0" t="n">
        <v>14</v>
      </c>
      <c r="I5861" s="0" t="s">
        <v>19530</v>
      </c>
      <c r="J5861" s="0" t="s">
        <v>19531</v>
      </c>
      <c r="K5861" s="0" t="s">
        <v>19532</v>
      </c>
      <c r="L5861" s="0" t="str">
        <f aca="false">HYPERLINK("https://www.ncbi.nlm.nih.gov/nuccore/CP000058.1?report=graph&amp;tracks=[key:gene_model_track,Options:GeneOnly]&amp;mk=1838258:1838277|offset_14|00cc00,1838303:1838322|offset_59|444444,1838323:1838342|offset_79|444444,1838355:1838374|offset_111|444444&amp;v=1838057:1838574&amp;c=444444", "offset 14")</f>
        <v>offset 14</v>
      </c>
    </row>
    <row r="5862" customFormat="false" ht="12.8" hidden="false" customHeight="false" outlineLevel="0" collapsed="false">
      <c r="A5862" s="0" t="s">
        <v>12</v>
      </c>
      <c r="B5862" s="0" t="n">
        <v>1838302</v>
      </c>
      <c r="C5862" s="0" t="n">
        <v>1838322</v>
      </c>
      <c r="D5862" s="0" t="s">
        <v>19529</v>
      </c>
      <c r="E5862" s="0" t="s">
        <v>75</v>
      </c>
      <c r="F5862" s="0" t="s">
        <v>15</v>
      </c>
      <c r="G5862" s="0" t="s">
        <v>16</v>
      </c>
      <c r="H5862" s="0" t="n">
        <v>59</v>
      </c>
      <c r="I5862" s="0" t="s">
        <v>19533</v>
      </c>
      <c r="J5862" s="0" t="s">
        <v>19534</v>
      </c>
      <c r="K5862" s="0" t="s">
        <v>19535</v>
      </c>
      <c r="L5862" s="0" t="str">
        <f aca="false">HYPERLINK("https://www.ncbi.nlm.nih.gov/nuccore/CP000058.1?report=graph&amp;tracks=[key:gene_model_track,Options:GeneOnly]&amp;mk=1838258:1838277|offset_14|444444,1838303:1838322|offset_59|00cc00,1838323:1838342|offset_79|444444,1838355:1838374|offset_111|444444&amp;v=1838057:1838574&amp;c=444444", "offset 59")</f>
        <v>offset 59</v>
      </c>
    </row>
    <row r="5863" customFormat="false" ht="12.8" hidden="false" customHeight="false" outlineLevel="0" collapsed="false">
      <c r="A5863" s="0" t="s">
        <v>12</v>
      </c>
      <c r="B5863" s="0" t="n">
        <v>1838322</v>
      </c>
      <c r="C5863" s="0" t="n">
        <v>1838342</v>
      </c>
      <c r="D5863" s="0" t="s">
        <v>19529</v>
      </c>
      <c r="E5863" s="0" t="s">
        <v>75</v>
      </c>
      <c r="F5863" s="0" t="s">
        <v>15</v>
      </c>
      <c r="G5863" s="0" t="s">
        <v>20</v>
      </c>
      <c r="H5863" s="0" t="n">
        <v>79</v>
      </c>
      <c r="I5863" s="0" t="s">
        <v>19536</v>
      </c>
      <c r="J5863" s="0" t="s">
        <v>19537</v>
      </c>
      <c r="K5863" s="0" t="s">
        <v>19538</v>
      </c>
      <c r="L5863" s="0" t="str">
        <f aca="false">HYPERLINK("https://www.ncbi.nlm.nih.gov/nuccore/CP000058.1?report=graph&amp;tracks=[key:gene_model_track,Options:GeneOnly]&amp;mk=1838258:1838277|offset_14|444444,1838303:1838322|offset_59|444444,1838323:1838342|offset_79|00cc00,1838355:1838374|offset_111|444444&amp;v=1838057:1838574&amp;c=444444", "offset 79")</f>
        <v>offset 79</v>
      </c>
    </row>
    <row r="5864" customFormat="false" ht="12.8" hidden="false" customHeight="false" outlineLevel="0" collapsed="false">
      <c r="A5864" s="0" t="s">
        <v>12</v>
      </c>
      <c r="B5864" s="0" t="n">
        <v>1838354</v>
      </c>
      <c r="C5864" s="0" t="n">
        <v>1838374</v>
      </c>
      <c r="D5864" s="0" t="s">
        <v>19529</v>
      </c>
      <c r="E5864" s="0" t="s">
        <v>75</v>
      </c>
      <c r="F5864" s="0" t="s">
        <v>15</v>
      </c>
      <c r="G5864" s="0" t="s">
        <v>36</v>
      </c>
      <c r="H5864" s="0" t="n">
        <v>111</v>
      </c>
      <c r="I5864" s="0" t="s">
        <v>19539</v>
      </c>
      <c r="J5864" s="0" t="s">
        <v>19540</v>
      </c>
      <c r="K5864" s="0" t="s">
        <v>19541</v>
      </c>
      <c r="L5864" s="0" t="str">
        <f aca="false">HYPERLINK("https://www.ncbi.nlm.nih.gov/nuccore/CP000058.1?report=graph&amp;tracks=[key:gene_model_track,Options:GeneOnly]&amp;mk=1838258:1838277|offset_14|444444,1838303:1838322|offset_59|444444,1838323:1838342|offset_79|444444,1838355:1838374|offset_111|00cc00&amp;v=1838057:1838574&amp;c=444444", "offset 111")</f>
        <v>offset 111</v>
      </c>
    </row>
    <row r="5865" customFormat="false" ht="12.8" hidden="false" customHeight="false" outlineLevel="0" collapsed="false">
      <c r="A5865" s="0" t="s">
        <v>12</v>
      </c>
      <c r="B5865" s="0" t="n">
        <v>1840522</v>
      </c>
      <c r="C5865" s="0" t="n">
        <v>1840542</v>
      </c>
      <c r="D5865" s="0" t="s">
        <v>19542</v>
      </c>
      <c r="E5865" s="0" t="s">
        <v>75</v>
      </c>
      <c r="F5865" s="0" t="s">
        <v>90</v>
      </c>
      <c r="G5865" s="0" t="s">
        <v>36</v>
      </c>
      <c r="H5865" s="0" t="n">
        <v>36</v>
      </c>
      <c r="I5865" s="0" t="s">
        <v>19543</v>
      </c>
      <c r="J5865" s="0" t="s">
        <v>19544</v>
      </c>
      <c r="K5865" s="0" t="s">
        <v>19545</v>
      </c>
      <c r="L5865" s="0" t="str">
        <f aca="false">HYPERLINK("https://www.ncbi.nlm.nih.gov/nuccore/CP000058.1?report=graph&amp;tracks=[key:gene_model_track,Options:GeneOnly]&amp;mk=1840523:1840542|offset_36|00cc00,1840498:1840517|offset_61|444444,1840428:1840447|offset_131|444444,1840381:1840400|offset_178|444444&amp;v=1840322:1840600&amp;c=444444", "offset 36")</f>
        <v>offset 36</v>
      </c>
    </row>
    <row r="5866" customFormat="false" ht="12.8" hidden="false" customHeight="false" outlineLevel="0" collapsed="false">
      <c r="A5866" s="0" t="s">
        <v>12</v>
      </c>
      <c r="B5866" s="0" t="n">
        <v>1840497</v>
      </c>
      <c r="C5866" s="0" t="n">
        <v>1840517</v>
      </c>
      <c r="D5866" s="0" t="s">
        <v>19542</v>
      </c>
      <c r="E5866" s="0" t="s">
        <v>75</v>
      </c>
      <c r="F5866" s="0" t="s">
        <v>90</v>
      </c>
      <c r="G5866" s="0" t="s">
        <v>32</v>
      </c>
      <c r="H5866" s="0" t="n">
        <v>61</v>
      </c>
      <c r="I5866" s="0" t="s">
        <v>19546</v>
      </c>
      <c r="J5866" s="0" t="s">
        <v>19547</v>
      </c>
      <c r="K5866" s="0" t="s">
        <v>19548</v>
      </c>
      <c r="L5866" s="0" t="str">
        <f aca="false">HYPERLINK("https://www.ncbi.nlm.nih.gov/nuccore/CP000058.1?report=graph&amp;tracks=[key:gene_model_track,Options:GeneOnly]&amp;mk=1840523:1840542|offset_36|444444,1840498:1840517|offset_61|00cc00,1840428:1840447|offset_131|444444,1840381:1840400|offset_178|444444&amp;v=1840322:1840600&amp;c=444444", "offset 61")</f>
        <v>offset 61</v>
      </c>
    </row>
    <row r="5867" customFormat="false" ht="12.8" hidden="false" customHeight="false" outlineLevel="0" collapsed="false">
      <c r="A5867" s="0" t="s">
        <v>12</v>
      </c>
      <c r="B5867" s="0" t="n">
        <v>1840427</v>
      </c>
      <c r="C5867" s="0" t="n">
        <v>1840447</v>
      </c>
      <c r="D5867" s="0" t="s">
        <v>19542</v>
      </c>
      <c r="E5867" s="0" t="s">
        <v>75</v>
      </c>
      <c r="F5867" s="0" t="s">
        <v>90</v>
      </c>
      <c r="G5867" s="0" t="s">
        <v>32</v>
      </c>
      <c r="H5867" s="0" t="n">
        <v>131</v>
      </c>
      <c r="I5867" s="0" t="s">
        <v>19549</v>
      </c>
      <c r="J5867" s="0" t="s">
        <v>19550</v>
      </c>
      <c r="K5867" s="0" t="s">
        <v>19551</v>
      </c>
      <c r="L5867" s="0" t="str">
        <f aca="false">HYPERLINK("https://www.ncbi.nlm.nih.gov/nuccore/CP000058.1?report=graph&amp;tracks=[key:gene_model_track,Options:GeneOnly]&amp;mk=1840523:1840542|offset_36|444444,1840498:1840517|offset_61|444444,1840428:1840447|offset_131|00cc00,1840381:1840400|offset_178|444444&amp;v=1840322:1840600&amp;c=444444", "offset 131")</f>
        <v>offset 131</v>
      </c>
    </row>
    <row r="5868" customFormat="false" ht="12.8" hidden="false" customHeight="false" outlineLevel="0" collapsed="false">
      <c r="A5868" s="0" t="s">
        <v>12</v>
      </c>
      <c r="B5868" s="0" t="n">
        <v>1840380</v>
      </c>
      <c r="C5868" s="0" t="n">
        <v>1840400</v>
      </c>
      <c r="D5868" s="0" t="s">
        <v>19542</v>
      </c>
      <c r="E5868" s="0" t="s">
        <v>75</v>
      </c>
      <c r="F5868" s="0" t="s">
        <v>90</v>
      </c>
      <c r="G5868" s="0" t="s">
        <v>20</v>
      </c>
      <c r="H5868" s="0" t="n">
        <v>178</v>
      </c>
      <c r="I5868" s="0" t="s">
        <v>19552</v>
      </c>
      <c r="J5868" s="0" t="s">
        <v>19553</v>
      </c>
      <c r="K5868" s="0" t="s">
        <v>19554</v>
      </c>
      <c r="L5868" s="0" t="str">
        <f aca="false">HYPERLINK("https://www.ncbi.nlm.nih.gov/nuccore/CP000058.1?report=graph&amp;tracks=[key:gene_model_track,Options:GeneOnly]&amp;mk=1840523:1840542|offset_36|444444,1840498:1840517|offset_61|444444,1840428:1840447|offset_131|444444,1840381:1840400|offset_178|00cc00&amp;v=1840322:1840600&amp;c=444444", "offset 178")</f>
        <v>offset 178</v>
      </c>
    </row>
    <row r="5869" customFormat="false" ht="12.8" hidden="false" customHeight="false" outlineLevel="0" collapsed="false">
      <c r="A5869" s="0" t="s">
        <v>12</v>
      </c>
      <c r="B5869" s="0" t="n">
        <v>1842711</v>
      </c>
      <c r="C5869" s="0" t="n">
        <v>1842731</v>
      </c>
      <c r="D5869" s="0" t="s">
        <v>19555</v>
      </c>
      <c r="E5869" s="0" t="s">
        <v>19556</v>
      </c>
      <c r="F5869" s="0" t="s">
        <v>90</v>
      </c>
      <c r="G5869" s="0" t="s">
        <v>20</v>
      </c>
      <c r="H5869" s="0" t="n">
        <v>19</v>
      </c>
      <c r="I5869" s="0" t="s">
        <v>19557</v>
      </c>
      <c r="J5869" s="0" t="s">
        <v>19558</v>
      </c>
      <c r="K5869" s="0" t="s">
        <v>19559</v>
      </c>
      <c r="L5869" s="0" t="str">
        <f aca="false">HYPERLINK("https://www.ncbi.nlm.nih.gov/nuccore/CP000058.1?report=graph&amp;tracks=[key:gene_model_track,Options:GeneOnly]&amp;mk=1842712:1842731|offset_19|00cc00,1842681:1842700|offset_50|444444,1842651:1842670|offset_80|444444,1842628:1842647|offset_103|444444&amp;v=1842511:1842847&amp;c=444444", "offset 19")</f>
        <v>offset 19</v>
      </c>
    </row>
    <row r="5870" customFormat="false" ht="12.8" hidden="false" customHeight="false" outlineLevel="0" collapsed="false">
      <c r="A5870" s="0" t="s">
        <v>12</v>
      </c>
      <c r="B5870" s="0" t="n">
        <v>1842680</v>
      </c>
      <c r="C5870" s="0" t="n">
        <v>1842700</v>
      </c>
      <c r="D5870" s="0" t="s">
        <v>19555</v>
      </c>
      <c r="E5870" s="0" t="s">
        <v>19556</v>
      </c>
      <c r="F5870" s="0" t="s">
        <v>90</v>
      </c>
      <c r="G5870" s="0" t="s">
        <v>36</v>
      </c>
      <c r="H5870" s="0" t="n">
        <v>50</v>
      </c>
      <c r="I5870" s="0" t="s">
        <v>19560</v>
      </c>
      <c r="J5870" s="0" t="s">
        <v>19561</v>
      </c>
      <c r="K5870" s="0" t="s">
        <v>19562</v>
      </c>
      <c r="L5870" s="0" t="str">
        <f aca="false">HYPERLINK("https://www.ncbi.nlm.nih.gov/nuccore/CP000058.1?report=graph&amp;tracks=[key:gene_model_track,Options:GeneOnly]&amp;mk=1842712:1842731|offset_19|444444,1842681:1842700|offset_50|00cc00,1842651:1842670|offset_80|444444,1842628:1842647|offset_103|444444&amp;v=1842511:1842847&amp;c=444444", "offset 50")</f>
        <v>offset 50</v>
      </c>
    </row>
    <row r="5871" customFormat="false" ht="12.8" hidden="false" customHeight="false" outlineLevel="0" collapsed="false">
      <c r="A5871" s="0" t="s">
        <v>12</v>
      </c>
      <c r="B5871" s="0" t="n">
        <v>1842650</v>
      </c>
      <c r="C5871" s="0" t="n">
        <v>1842670</v>
      </c>
      <c r="D5871" s="0" t="s">
        <v>19555</v>
      </c>
      <c r="E5871" s="0" t="s">
        <v>19556</v>
      </c>
      <c r="F5871" s="0" t="s">
        <v>90</v>
      </c>
      <c r="G5871" s="0" t="s">
        <v>20</v>
      </c>
      <c r="H5871" s="0" t="n">
        <v>80</v>
      </c>
      <c r="I5871" s="0" t="s">
        <v>19563</v>
      </c>
      <c r="J5871" s="0" t="s">
        <v>19564</v>
      </c>
      <c r="K5871" s="0" t="s">
        <v>19565</v>
      </c>
      <c r="L5871" s="0" t="str">
        <f aca="false">HYPERLINK("https://www.ncbi.nlm.nih.gov/nuccore/CP000058.1?report=graph&amp;tracks=[key:gene_model_track,Options:GeneOnly]&amp;mk=1842712:1842731|offset_19|444444,1842681:1842700|offset_50|444444,1842651:1842670|offset_80|00cc00,1842628:1842647|offset_103|444444&amp;v=1842511:1842847&amp;c=444444", "offset 80")</f>
        <v>offset 80</v>
      </c>
    </row>
    <row r="5872" customFormat="false" ht="12.8" hidden="false" customHeight="false" outlineLevel="0" collapsed="false">
      <c r="A5872" s="0" t="s">
        <v>12</v>
      </c>
      <c r="B5872" s="0" t="n">
        <v>1842627</v>
      </c>
      <c r="C5872" s="0" t="n">
        <v>1842647</v>
      </c>
      <c r="D5872" s="0" t="s">
        <v>19555</v>
      </c>
      <c r="E5872" s="0" t="s">
        <v>19556</v>
      </c>
      <c r="F5872" s="0" t="s">
        <v>90</v>
      </c>
      <c r="G5872" s="0" t="s">
        <v>32</v>
      </c>
      <c r="H5872" s="0" t="n">
        <v>103</v>
      </c>
      <c r="I5872" s="0" t="s">
        <v>19566</v>
      </c>
      <c r="J5872" s="0" t="s">
        <v>19567</v>
      </c>
      <c r="K5872" s="0" t="s">
        <v>19568</v>
      </c>
      <c r="L5872" s="0" t="str">
        <f aca="false">HYPERLINK("https://www.ncbi.nlm.nih.gov/nuccore/CP000058.1?report=graph&amp;tracks=[key:gene_model_track,Options:GeneOnly]&amp;mk=1842712:1842731|offset_19|444444,1842681:1842700|offset_50|444444,1842651:1842670|offset_80|444444,1842628:1842647|offset_103|00cc00&amp;v=1842511:1842847&amp;c=444444", "offset 103")</f>
        <v>offset 103</v>
      </c>
    </row>
    <row r="5873" customFormat="false" ht="12.8" hidden="false" customHeight="false" outlineLevel="0" collapsed="false">
      <c r="A5873" s="0" t="s">
        <v>12</v>
      </c>
      <c r="B5873" s="0" t="n">
        <v>1842856</v>
      </c>
      <c r="C5873" s="0" t="n">
        <v>1842876</v>
      </c>
      <c r="D5873" s="0" t="s">
        <v>19569</v>
      </c>
      <c r="E5873" s="0" t="s">
        <v>75</v>
      </c>
      <c r="F5873" s="0" t="s">
        <v>15</v>
      </c>
      <c r="G5873" s="0" t="s">
        <v>16</v>
      </c>
      <c r="H5873" s="0" t="n">
        <v>1</v>
      </c>
      <c r="I5873" s="0" t="s">
        <v>19570</v>
      </c>
      <c r="J5873" s="0" t="s">
        <v>19571</v>
      </c>
      <c r="K5873" s="0" t="s">
        <v>19572</v>
      </c>
      <c r="L5873" s="0" t="str">
        <f aca="false">HYPERLINK("https://www.ncbi.nlm.nih.gov/nuccore/CP000058.1?report=graph&amp;tracks=[key:gene_model_track,Options:GeneOnly]&amp;mk=1842857:1842876|offset_1|00cc00,1842907:1842926|offset_51|444444,1842971:1842990|offset_115|444444,1843000:1843019|offset_144|444444&amp;v=1842656:1843219&amp;c=444444", "offset 1")</f>
        <v>offset 1</v>
      </c>
    </row>
    <row r="5874" customFormat="false" ht="12.8" hidden="false" customHeight="false" outlineLevel="0" collapsed="false">
      <c r="A5874" s="0" t="s">
        <v>12</v>
      </c>
      <c r="B5874" s="0" t="n">
        <v>1842906</v>
      </c>
      <c r="C5874" s="0" t="n">
        <v>1842926</v>
      </c>
      <c r="D5874" s="0" t="s">
        <v>19569</v>
      </c>
      <c r="E5874" s="0" t="s">
        <v>75</v>
      </c>
      <c r="F5874" s="0" t="s">
        <v>15</v>
      </c>
      <c r="G5874" s="0" t="s">
        <v>16</v>
      </c>
      <c r="H5874" s="0" t="n">
        <v>51</v>
      </c>
      <c r="I5874" s="0" t="s">
        <v>19573</v>
      </c>
      <c r="J5874" s="0" t="s">
        <v>19574</v>
      </c>
      <c r="K5874" s="0" t="s">
        <v>19575</v>
      </c>
      <c r="L5874" s="0" t="str">
        <f aca="false">HYPERLINK("https://www.ncbi.nlm.nih.gov/nuccore/CP000058.1?report=graph&amp;tracks=[key:gene_model_track,Options:GeneOnly]&amp;mk=1842857:1842876|offset_1|444444,1842907:1842926|offset_51|00cc00,1842971:1842990|offset_115|444444,1843000:1843019|offset_144|444444&amp;v=1842656:1843219&amp;c=444444", "offset 51")</f>
        <v>offset 51</v>
      </c>
    </row>
    <row r="5875" customFormat="false" ht="12.8" hidden="false" customHeight="false" outlineLevel="0" collapsed="false">
      <c r="A5875" s="0" t="s">
        <v>12</v>
      </c>
      <c r="B5875" s="0" t="n">
        <v>1842970</v>
      </c>
      <c r="C5875" s="0" t="n">
        <v>1842990</v>
      </c>
      <c r="D5875" s="0" t="s">
        <v>19569</v>
      </c>
      <c r="E5875" s="0" t="s">
        <v>75</v>
      </c>
      <c r="F5875" s="0" t="s">
        <v>15</v>
      </c>
      <c r="G5875" s="0" t="s">
        <v>16</v>
      </c>
      <c r="H5875" s="0" t="n">
        <v>115</v>
      </c>
      <c r="I5875" s="0" t="s">
        <v>19576</v>
      </c>
      <c r="J5875" s="0" t="s">
        <v>19577</v>
      </c>
      <c r="K5875" s="0" t="s">
        <v>19578</v>
      </c>
      <c r="L5875" s="0" t="str">
        <f aca="false">HYPERLINK("https://www.ncbi.nlm.nih.gov/nuccore/CP000058.1?report=graph&amp;tracks=[key:gene_model_track,Options:GeneOnly]&amp;mk=1842857:1842876|offset_1|444444,1842907:1842926|offset_51|444444,1842971:1842990|offset_115|00cc00,1843000:1843019|offset_144|444444&amp;v=1842656:1843219&amp;c=444444", "offset 115")</f>
        <v>offset 115</v>
      </c>
    </row>
    <row r="5876" customFormat="false" ht="12.8" hidden="false" customHeight="false" outlineLevel="0" collapsed="false">
      <c r="A5876" s="0" t="s">
        <v>12</v>
      </c>
      <c r="B5876" s="0" t="n">
        <v>1842999</v>
      </c>
      <c r="C5876" s="0" t="n">
        <v>1843019</v>
      </c>
      <c r="D5876" s="0" t="s">
        <v>19569</v>
      </c>
      <c r="E5876" s="0" t="s">
        <v>75</v>
      </c>
      <c r="F5876" s="0" t="s">
        <v>15</v>
      </c>
      <c r="G5876" s="0" t="s">
        <v>16</v>
      </c>
      <c r="H5876" s="0" t="n">
        <v>144</v>
      </c>
      <c r="I5876" s="0" t="s">
        <v>19579</v>
      </c>
      <c r="J5876" s="0" t="s">
        <v>19580</v>
      </c>
      <c r="K5876" s="0" t="s">
        <v>19581</v>
      </c>
      <c r="L5876" s="0" t="str">
        <f aca="false">HYPERLINK("https://www.ncbi.nlm.nih.gov/nuccore/CP000058.1?report=graph&amp;tracks=[key:gene_model_track,Options:GeneOnly]&amp;mk=1842857:1842876|offset_1|444444,1842907:1842926|offset_51|444444,1842971:1842990|offset_115|444444,1843000:1843019|offset_144|00cc00&amp;v=1842656:1843219&amp;c=444444", "offset 144")</f>
        <v>offset 144</v>
      </c>
    </row>
    <row r="5877" customFormat="false" ht="12.8" hidden="false" customHeight="false" outlineLevel="0" collapsed="false">
      <c r="A5877" s="0" t="s">
        <v>12</v>
      </c>
      <c r="B5877" s="0" t="n">
        <v>1844465</v>
      </c>
      <c r="C5877" s="0" t="n">
        <v>1844485</v>
      </c>
      <c r="D5877" s="0" t="s">
        <v>19582</v>
      </c>
      <c r="E5877" s="0" t="s">
        <v>75</v>
      </c>
      <c r="F5877" s="0" t="s">
        <v>90</v>
      </c>
      <c r="G5877" s="0" t="s">
        <v>36</v>
      </c>
      <c r="H5877" s="0" t="n">
        <v>6</v>
      </c>
      <c r="I5877" s="0" t="s">
        <v>19583</v>
      </c>
      <c r="J5877" s="0" t="s">
        <v>19584</v>
      </c>
      <c r="K5877" s="0" t="s">
        <v>19585</v>
      </c>
      <c r="L5877" s="0" t="str">
        <f aca="false">HYPERLINK("https://www.ncbi.nlm.nih.gov/nuccore/CP000058.1?report=graph&amp;tracks=[key:gene_model_track,Options:GeneOnly]&amp;mk=1844466:1844485|offset_6|00cc00,1844438:1844457|offset_34|444444,1844417:1844436|offset_55|444444,1844369:1844388|offset_103|444444&amp;v=1844265:1844588&amp;c=444444", "offset 6")</f>
        <v>offset 6</v>
      </c>
    </row>
    <row r="5878" customFormat="false" ht="12.8" hidden="false" customHeight="false" outlineLevel="0" collapsed="false">
      <c r="A5878" s="0" t="s">
        <v>12</v>
      </c>
      <c r="B5878" s="0" t="n">
        <v>1844437</v>
      </c>
      <c r="C5878" s="0" t="n">
        <v>1844457</v>
      </c>
      <c r="D5878" s="0" t="s">
        <v>19582</v>
      </c>
      <c r="E5878" s="0" t="s">
        <v>75</v>
      </c>
      <c r="F5878" s="0" t="s">
        <v>90</v>
      </c>
      <c r="G5878" s="0" t="s">
        <v>36</v>
      </c>
      <c r="H5878" s="0" t="n">
        <v>34</v>
      </c>
      <c r="I5878" s="0" t="s">
        <v>19586</v>
      </c>
      <c r="J5878" s="0" t="s">
        <v>19587</v>
      </c>
      <c r="K5878" s="0" t="s">
        <v>19588</v>
      </c>
      <c r="L5878" s="0" t="str">
        <f aca="false">HYPERLINK("https://www.ncbi.nlm.nih.gov/nuccore/CP000058.1?report=graph&amp;tracks=[key:gene_model_track,Options:GeneOnly]&amp;mk=1844466:1844485|offset_6|444444,1844438:1844457|offset_34|00cc00,1844417:1844436|offset_55|444444,1844369:1844388|offset_103|444444&amp;v=1844265:1844588&amp;c=444444", "offset 34")</f>
        <v>offset 34</v>
      </c>
    </row>
    <row r="5879" customFormat="false" ht="12.8" hidden="false" customHeight="false" outlineLevel="0" collapsed="false">
      <c r="A5879" s="0" t="s">
        <v>12</v>
      </c>
      <c r="B5879" s="0" t="n">
        <v>1844416</v>
      </c>
      <c r="C5879" s="0" t="n">
        <v>1844436</v>
      </c>
      <c r="D5879" s="0" t="s">
        <v>19582</v>
      </c>
      <c r="E5879" s="0" t="s">
        <v>75</v>
      </c>
      <c r="F5879" s="0" t="s">
        <v>90</v>
      </c>
      <c r="G5879" s="0" t="s">
        <v>32</v>
      </c>
      <c r="H5879" s="0" t="n">
        <v>55</v>
      </c>
      <c r="I5879" s="0" t="s">
        <v>19589</v>
      </c>
      <c r="J5879" s="0" t="s">
        <v>19590</v>
      </c>
      <c r="K5879" s="0" t="s">
        <v>19591</v>
      </c>
      <c r="L5879" s="0" t="str">
        <f aca="false">HYPERLINK("https://www.ncbi.nlm.nih.gov/nuccore/CP000058.1?report=graph&amp;tracks=[key:gene_model_track,Options:GeneOnly]&amp;mk=1844466:1844485|offset_6|444444,1844438:1844457|offset_34|444444,1844417:1844436|offset_55|00cc00,1844369:1844388|offset_103|444444&amp;v=1844265:1844588&amp;c=444444", "offset 55")</f>
        <v>offset 55</v>
      </c>
    </row>
    <row r="5880" customFormat="false" ht="12.8" hidden="false" customHeight="false" outlineLevel="0" collapsed="false">
      <c r="A5880" s="0" t="s">
        <v>12</v>
      </c>
      <c r="B5880" s="0" t="n">
        <v>1844368</v>
      </c>
      <c r="C5880" s="0" t="n">
        <v>1844388</v>
      </c>
      <c r="D5880" s="0" t="s">
        <v>19582</v>
      </c>
      <c r="E5880" s="0" t="s">
        <v>75</v>
      </c>
      <c r="F5880" s="0" t="s">
        <v>90</v>
      </c>
      <c r="G5880" s="0" t="s">
        <v>20</v>
      </c>
      <c r="H5880" s="0" t="n">
        <v>103</v>
      </c>
      <c r="I5880" s="0" t="s">
        <v>19592</v>
      </c>
      <c r="J5880" s="0" t="s">
        <v>19593</v>
      </c>
      <c r="K5880" s="0" t="s">
        <v>19594</v>
      </c>
      <c r="L5880" s="0" t="str">
        <f aca="false">HYPERLINK("https://www.ncbi.nlm.nih.gov/nuccore/CP000058.1?report=graph&amp;tracks=[key:gene_model_track,Options:GeneOnly]&amp;mk=1844466:1844485|offset_6|444444,1844438:1844457|offset_34|444444,1844417:1844436|offset_55|444444,1844369:1844388|offset_103|00cc00&amp;v=1844265:1844588&amp;c=444444", "offset 103")</f>
        <v>offset 103</v>
      </c>
    </row>
    <row r="5881" customFormat="false" ht="12.8" hidden="false" customHeight="false" outlineLevel="0" collapsed="false">
      <c r="A5881" s="0" t="s">
        <v>12</v>
      </c>
      <c r="B5881" s="0" t="n">
        <v>1845545</v>
      </c>
      <c r="C5881" s="0" t="n">
        <v>1845565</v>
      </c>
      <c r="D5881" s="0" t="s">
        <v>19595</v>
      </c>
      <c r="E5881" s="0" t="s">
        <v>75</v>
      </c>
      <c r="F5881" s="0" t="s">
        <v>90</v>
      </c>
      <c r="G5881" s="0" t="s">
        <v>20</v>
      </c>
      <c r="H5881" s="0" t="n">
        <v>26</v>
      </c>
      <c r="I5881" s="0" t="s">
        <v>19596</v>
      </c>
      <c r="J5881" s="0" t="s">
        <v>19597</v>
      </c>
      <c r="K5881" s="0" t="s">
        <v>19598</v>
      </c>
      <c r="L5881" s="0" t="str">
        <f aca="false">HYPERLINK("https://www.ncbi.nlm.nih.gov/nuccore/CP000058.1?report=graph&amp;tracks=[key:gene_model_track,Options:GeneOnly]&amp;mk=1845546:1845565|offset_26|00cc00,1845442:1845461|offset_130|444444,1845410:1845429|offset_162|444444,1845390:1845409|offset_182|444444&amp;v=1845345:1845609&amp;c=444444", "offset 26")</f>
        <v>offset 26</v>
      </c>
    </row>
    <row r="5882" customFormat="false" ht="12.8" hidden="false" customHeight="false" outlineLevel="0" collapsed="false">
      <c r="A5882" s="0" t="s">
        <v>12</v>
      </c>
      <c r="B5882" s="0" t="n">
        <v>1845441</v>
      </c>
      <c r="C5882" s="0" t="n">
        <v>1845461</v>
      </c>
      <c r="D5882" s="0" t="s">
        <v>19595</v>
      </c>
      <c r="E5882" s="0" t="s">
        <v>75</v>
      </c>
      <c r="F5882" s="0" t="s">
        <v>90</v>
      </c>
      <c r="G5882" s="0" t="s">
        <v>32</v>
      </c>
      <c r="H5882" s="0" t="n">
        <v>130</v>
      </c>
      <c r="I5882" s="0" t="s">
        <v>19599</v>
      </c>
      <c r="J5882" s="0" t="s">
        <v>19600</v>
      </c>
      <c r="K5882" s="0" t="s">
        <v>19601</v>
      </c>
      <c r="L5882" s="0" t="str">
        <f aca="false">HYPERLINK("https://www.ncbi.nlm.nih.gov/nuccore/CP000058.1?report=graph&amp;tracks=[key:gene_model_track,Options:GeneOnly]&amp;mk=1845546:1845565|offset_26|444444,1845442:1845461|offset_130|00cc00,1845410:1845429|offset_162|444444,1845390:1845409|offset_182|444444&amp;v=1845345:1845609&amp;c=444444", "offset 130")</f>
        <v>offset 130</v>
      </c>
    </row>
    <row r="5883" customFormat="false" ht="12.8" hidden="false" customHeight="false" outlineLevel="0" collapsed="false">
      <c r="A5883" s="0" t="s">
        <v>12</v>
      </c>
      <c r="B5883" s="0" t="n">
        <v>1845409</v>
      </c>
      <c r="C5883" s="0" t="n">
        <v>1845429</v>
      </c>
      <c r="D5883" s="0" t="s">
        <v>19595</v>
      </c>
      <c r="E5883" s="0" t="s">
        <v>75</v>
      </c>
      <c r="F5883" s="0" t="s">
        <v>90</v>
      </c>
      <c r="G5883" s="0" t="s">
        <v>16</v>
      </c>
      <c r="H5883" s="0" t="n">
        <v>162</v>
      </c>
      <c r="I5883" s="0" t="s">
        <v>19602</v>
      </c>
      <c r="J5883" s="0" t="s">
        <v>19603</v>
      </c>
      <c r="K5883" s="0" t="s">
        <v>19604</v>
      </c>
      <c r="L5883" s="0" t="str">
        <f aca="false">HYPERLINK("https://www.ncbi.nlm.nih.gov/nuccore/CP000058.1?report=graph&amp;tracks=[key:gene_model_track,Options:GeneOnly]&amp;mk=1845546:1845565|offset_26|444444,1845442:1845461|offset_130|444444,1845410:1845429|offset_162|00cc00,1845390:1845409|offset_182|444444&amp;v=1845345:1845609&amp;c=444444", "offset 162")</f>
        <v>offset 162</v>
      </c>
    </row>
    <row r="5884" customFormat="false" ht="12.8" hidden="false" customHeight="false" outlineLevel="0" collapsed="false">
      <c r="A5884" s="0" t="s">
        <v>12</v>
      </c>
      <c r="B5884" s="0" t="n">
        <v>1845389</v>
      </c>
      <c r="C5884" s="0" t="n">
        <v>1845409</v>
      </c>
      <c r="D5884" s="0" t="s">
        <v>19595</v>
      </c>
      <c r="E5884" s="0" t="s">
        <v>75</v>
      </c>
      <c r="F5884" s="0" t="s">
        <v>90</v>
      </c>
      <c r="G5884" s="0" t="s">
        <v>20</v>
      </c>
      <c r="H5884" s="0" t="n">
        <v>182</v>
      </c>
      <c r="I5884" s="0" t="s">
        <v>19605</v>
      </c>
      <c r="J5884" s="0" t="s">
        <v>19606</v>
      </c>
      <c r="K5884" s="0" t="s">
        <v>19607</v>
      </c>
      <c r="L5884" s="0" t="str">
        <f aca="false">HYPERLINK("https://www.ncbi.nlm.nih.gov/nuccore/CP000058.1?report=graph&amp;tracks=[key:gene_model_track,Options:GeneOnly]&amp;mk=1845546:1845565|offset_26|444444,1845442:1845461|offset_130|444444,1845410:1845429|offset_162|444444,1845390:1845409|offset_182|00cc00&amp;v=1845345:1845609&amp;c=444444", "offset 182")</f>
        <v>offset 182</v>
      </c>
    </row>
    <row r="5885" customFormat="false" ht="12.8" hidden="false" customHeight="false" outlineLevel="0" collapsed="false">
      <c r="A5885" s="0" t="s">
        <v>12</v>
      </c>
      <c r="B5885" s="0" t="n">
        <v>1846324</v>
      </c>
      <c r="C5885" s="0" t="n">
        <v>1846344</v>
      </c>
      <c r="D5885" s="0" t="s">
        <v>19608</v>
      </c>
      <c r="E5885" s="0" t="s">
        <v>75</v>
      </c>
      <c r="F5885" s="0" t="s">
        <v>90</v>
      </c>
      <c r="G5885" s="0" t="s">
        <v>16</v>
      </c>
      <c r="H5885" s="0" t="n">
        <v>46</v>
      </c>
      <c r="I5885" s="0" t="s">
        <v>19609</v>
      </c>
      <c r="J5885" s="0" t="s">
        <v>19610</v>
      </c>
      <c r="K5885" s="0" t="s">
        <v>19611</v>
      </c>
      <c r="L5885" s="0" t="str">
        <f aca="false">HYPERLINK("https://www.ncbi.nlm.nih.gov/nuccore/CP000058.1?report=graph&amp;tracks=[key:gene_model_track,Options:GeneOnly]&amp;mk=1846325:1846344|offset_46|00cc00,1846300:1846319|offset_71|444444,1846277:1846296|offset_94|444444,1846256:1846275|offset_115|444444&amp;v=1846124:1846475&amp;c=444444", "offset 46")</f>
        <v>offset 46</v>
      </c>
    </row>
    <row r="5886" customFormat="false" ht="12.8" hidden="false" customHeight="false" outlineLevel="0" collapsed="false">
      <c r="A5886" s="0" t="s">
        <v>12</v>
      </c>
      <c r="B5886" s="0" t="n">
        <v>1846299</v>
      </c>
      <c r="C5886" s="0" t="n">
        <v>1846319</v>
      </c>
      <c r="D5886" s="0" t="s">
        <v>19608</v>
      </c>
      <c r="E5886" s="0" t="s">
        <v>75</v>
      </c>
      <c r="F5886" s="0" t="s">
        <v>90</v>
      </c>
      <c r="G5886" s="0" t="s">
        <v>20</v>
      </c>
      <c r="H5886" s="0" t="n">
        <v>71</v>
      </c>
      <c r="I5886" s="0" t="s">
        <v>19612</v>
      </c>
      <c r="J5886" s="0" t="s">
        <v>19613</v>
      </c>
      <c r="K5886" s="0" t="s">
        <v>19614</v>
      </c>
      <c r="L5886" s="0" t="str">
        <f aca="false">HYPERLINK("https://www.ncbi.nlm.nih.gov/nuccore/CP000058.1?report=graph&amp;tracks=[key:gene_model_track,Options:GeneOnly]&amp;mk=1846325:1846344|offset_46|444444,1846300:1846319|offset_71|00cc00,1846277:1846296|offset_94|444444,1846256:1846275|offset_115|444444&amp;v=1846124:1846475&amp;c=444444", "offset 71")</f>
        <v>offset 71</v>
      </c>
    </row>
    <row r="5887" customFormat="false" ht="12.8" hidden="false" customHeight="false" outlineLevel="0" collapsed="false">
      <c r="A5887" s="0" t="s">
        <v>12</v>
      </c>
      <c r="B5887" s="0" t="n">
        <v>1846276</v>
      </c>
      <c r="C5887" s="0" t="n">
        <v>1846296</v>
      </c>
      <c r="D5887" s="0" t="s">
        <v>19608</v>
      </c>
      <c r="E5887" s="0" t="s">
        <v>75</v>
      </c>
      <c r="F5887" s="0" t="s">
        <v>90</v>
      </c>
      <c r="G5887" s="0" t="s">
        <v>20</v>
      </c>
      <c r="H5887" s="0" t="n">
        <v>94</v>
      </c>
      <c r="I5887" s="0" t="s">
        <v>19615</v>
      </c>
      <c r="J5887" s="0" t="s">
        <v>19616</v>
      </c>
      <c r="K5887" s="0" t="s">
        <v>19617</v>
      </c>
      <c r="L5887" s="0" t="str">
        <f aca="false">HYPERLINK("https://www.ncbi.nlm.nih.gov/nuccore/CP000058.1?report=graph&amp;tracks=[key:gene_model_track,Options:GeneOnly]&amp;mk=1846325:1846344|offset_46|444444,1846300:1846319|offset_71|444444,1846277:1846296|offset_94|00cc00,1846256:1846275|offset_115|444444&amp;v=1846124:1846475&amp;c=444444", "offset 94")</f>
        <v>offset 94</v>
      </c>
    </row>
    <row r="5888" customFormat="false" ht="12.8" hidden="false" customHeight="false" outlineLevel="0" collapsed="false">
      <c r="A5888" s="0" t="s">
        <v>12</v>
      </c>
      <c r="B5888" s="0" t="n">
        <v>1846255</v>
      </c>
      <c r="C5888" s="0" t="n">
        <v>1846275</v>
      </c>
      <c r="D5888" s="0" t="s">
        <v>19608</v>
      </c>
      <c r="E5888" s="0" t="s">
        <v>75</v>
      </c>
      <c r="F5888" s="0" t="s">
        <v>90</v>
      </c>
      <c r="G5888" s="0" t="s">
        <v>32</v>
      </c>
      <c r="H5888" s="0" t="n">
        <v>115</v>
      </c>
      <c r="I5888" s="0" t="s">
        <v>19618</v>
      </c>
      <c r="J5888" s="0" t="s">
        <v>19619</v>
      </c>
      <c r="K5888" s="0" t="s">
        <v>19620</v>
      </c>
      <c r="L5888" s="0" t="str">
        <f aca="false">HYPERLINK("https://www.ncbi.nlm.nih.gov/nuccore/CP000058.1?report=graph&amp;tracks=[key:gene_model_track,Options:GeneOnly]&amp;mk=1846325:1846344|offset_46|444444,1846300:1846319|offset_71|444444,1846277:1846296|offset_94|444444,1846256:1846275|offset_115|00cc00&amp;v=1846124:1846475&amp;c=444444", "offset 115")</f>
        <v>offset 115</v>
      </c>
    </row>
    <row r="5889" customFormat="false" ht="12.8" hidden="false" customHeight="false" outlineLevel="0" collapsed="false">
      <c r="A5889" s="0" t="s">
        <v>12</v>
      </c>
      <c r="B5889" s="0" t="n">
        <v>1847192</v>
      </c>
      <c r="C5889" s="0" t="n">
        <v>1847212</v>
      </c>
      <c r="D5889" s="0" t="s">
        <v>19621</v>
      </c>
      <c r="E5889" s="0" t="s">
        <v>75</v>
      </c>
      <c r="F5889" s="0" t="s">
        <v>90</v>
      </c>
      <c r="G5889" s="0" t="s">
        <v>36</v>
      </c>
      <c r="H5889" s="0" t="n">
        <v>7</v>
      </c>
      <c r="I5889" s="0" t="s">
        <v>19622</v>
      </c>
      <c r="J5889" s="0" t="s">
        <v>19623</v>
      </c>
      <c r="K5889" s="0" t="s">
        <v>19624</v>
      </c>
      <c r="L5889" s="0" t="str">
        <f aca="false">HYPERLINK("https://www.ncbi.nlm.nih.gov/nuccore/CP000058.1?report=graph&amp;tracks=[key:gene_model_track,Options:GeneOnly]&amp;mk=1847193:1847212|offset_7|00cc00,1847156:1847175|offset_44|444444,1847113:1847132|offset_87|444444,1847087:1847106|offset_113|444444&amp;v=1846992:1847306&amp;c=444444", "offset 7")</f>
        <v>offset 7</v>
      </c>
    </row>
    <row r="5890" customFormat="false" ht="12.8" hidden="false" customHeight="false" outlineLevel="0" collapsed="false">
      <c r="A5890" s="0" t="s">
        <v>12</v>
      </c>
      <c r="B5890" s="0" t="n">
        <v>1847155</v>
      </c>
      <c r="C5890" s="0" t="n">
        <v>1847175</v>
      </c>
      <c r="D5890" s="0" t="s">
        <v>19621</v>
      </c>
      <c r="E5890" s="0" t="s">
        <v>75</v>
      </c>
      <c r="F5890" s="0" t="s">
        <v>90</v>
      </c>
      <c r="G5890" s="0" t="s">
        <v>20</v>
      </c>
      <c r="H5890" s="0" t="n">
        <v>44</v>
      </c>
      <c r="I5890" s="0" t="s">
        <v>19625</v>
      </c>
      <c r="J5890" s="0" t="s">
        <v>19626</v>
      </c>
      <c r="K5890" s="0" t="s">
        <v>19627</v>
      </c>
      <c r="L5890" s="0" t="str">
        <f aca="false">HYPERLINK("https://www.ncbi.nlm.nih.gov/nuccore/CP000058.1?report=graph&amp;tracks=[key:gene_model_track,Options:GeneOnly]&amp;mk=1847193:1847212|offset_7|444444,1847156:1847175|offset_44|00cc00,1847113:1847132|offset_87|444444,1847087:1847106|offset_113|444444&amp;v=1846992:1847306&amp;c=444444", "offset 44")</f>
        <v>offset 44</v>
      </c>
    </row>
    <row r="5891" customFormat="false" ht="12.8" hidden="false" customHeight="false" outlineLevel="0" collapsed="false">
      <c r="A5891" s="0" t="s">
        <v>12</v>
      </c>
      <c r="B5891" s="0" t="n">
        <v>1847112</v>
      </c>
      <c r="C5891" s="0" t="n">
        <v>1847132</v>
      </c>
      <c r="D5891" s="0" t="s">
        <v>19621</v>
      </c>
      <c r="E5891" s="0" t="s">
        <v>75</v>
      </c>
      <c r="F5891" s="0" t="s">
        <v>90</v>
      </c>
      <c r="G5891" s="0" t="s">
        <v>16</v>
      </c>
      <c r="H5891" s="0" t="n">
        <v>87</v>
      </c>
      <c r="I5891" s="0" t="s">
        <v>19628</v>
      </c>
      <c r="J5891" s="0" t="s">
        <v>19629</v>
      </c>
      <c r="K5891" s="0" t="s">
        <v>19630</v>
      </c>
      <c r="L5891" s="0" t="str">
        <f aca="false">HYPERLINK("https://www.ncbi.nlm.nih.gov/nuccore/CP000058.1?report=graph&amp;tracks=[key:gene_model_track,Options:GeneOnly]&amp;mk=1847193:1847212|offset_7|444444,1847156:1847175|offset_44|444444,1847113:1847132|offset_87|00cc00,1847087:1847106|offset_113|444444&amp;v=1846992:1847306&amp;c=444444", "offset 87")</f>
        <v>offset 87</v>
      </c>
    </row>
    <row r="5892" customFormat="false" ht="12.8" hidden="false" customHeight="false" outlineLevel="0" collapsed="false">
      <c r="A5892" s="0" t="s">
        <v>12</v>
      </c>
      <c r="B5892" s="0" t="n">
        <v>1847086</v>
      </c>
      <c r="C5892" s="0" t="n">
        <v>1847106</v>
      </c>
      <c r="D5892" s="0" t="s">
        <v>19621</v>
      </c>
      <c r="E5892" s="0" t="s">
        <v>75</v>
      </c>
      <c r="F5892" s="0" t="s">
        <v>90</v>
      </c>
      <c r="G5892" s="0" t="s">
        <v>20</v>
      </c>
      <c r="H5892" s="0" t="n">
        <v>113</v>
      </c>
      <c r="I5892" s="0" t="s">
        <v>19631</v>
      </c>
      <c r="J5892" s="0" t="s">
        <v>19632</v>
      </c>
      <c r="K5892" s="0" t="s">
        <v>19633</v>
      </c>
      <c r="L5892" s="0" t="str">
        <f aca="false">HYPERLINK("https://www.ncbi.nlm.nih.gov/nuccore/CP000058.1?report=graph&amp;tracks=[key:gene_model_track,Options:GeneOnly]&amp;mk=1847193:1847212|offset_7|444444,1847156:1847175|offset_44|444444,1847113:1847132|offset_87|444444,1847087:1847106|offset_113|00cc00&amp;v=1846992:1847306&amp;c=444444", "offset 113")</f>
        <v>offset 113</v>
      </c>
    </row>
    <row r="5893" customFormat="false" ht="12.8" hidden="false" customHeight="false" outlineLevel="0" collapsed="false">
      <c r="A5893" s="0" t="s">
        <v>12</v>
      </c>
      <c r="B5893" s="0" t="n">
        <v>1848002</v>
      </c>
      <c r="C5893" s="0" t="n">
        <v>1848022</v>
      </c>
      <c r="D5893" s="0" t="s">
        <v>19634</v>
      </c>
      <c r="E5893" s="0" t="s">
        <v>75</v>
      </c>
      <c r="F5893" s="0" t="s">
        <v>90</v>
      </c>
      <c r="G5893" s="0" t="s">
        <v>36</v>
      </c>
      <c r="H5893" s="0" t="n">
        <v>0</v>
      </c>
      <c r="I5893" s="0" t="s">
        <v>19635</v>
      </c>
      <c r="J5893" s="0" t="s">
        <v>19636</v>
      </c>
      <c r="K5893" s="0" t="s">
        <v>19637</v>
      </c>
      <c r="L5893" s="0" t="str">
        <f aca="false">HYPERLINK("https://www.ncbi.nlm.nih.gov/nuccore/CP000058.1?report=graph&amp;tracks=[key:gene_model_track,Options:GeneOnly]&amp;mk=1848003:1848022|offset_0|00cc00,1847983:1848002|offset_20|444444,1847948:1847967|offset_55|444444,1847921:1847940|offset_82|444444&amp;v=1847802:1848140&amp;c=444444", "offset 0")</f>
        <v>offset 0</v>
      </c>
    </row>
    <row r="5894" customFormat="false" ht="12.8" hidden="false" customHeight="false" outlineLevel="0" collapsed="false">
      <c r="A5894" s="0" t="s">
        <v>12</v>
      </c>
      <c r="B5894" s="0" t="n">
        <v>1847982</v>
      </c>
      <c r="C5894" s="0" t="n">
        <v>1848002</v>
      </c>
      <c r="D5894" s="0" t="s">
        <v>19634</v>
      </c>
      <c r="E5894" s="0" t="s">
        <v>75</v>
      </c>
      <c r="F5894" s="0" t="s">
        <v>90</v>
      </c>
      <c r="G5894" s="0" t="s">
        <v>20</v>
      </c>
      <c r="H5894" s="0" t="n">
        <v>20</v>
      </c>
      <c r="I5894" s="0" t="s">
        <v>19638</v>
      </c>
      <c r="J5894" s="0" t="s">
        <v>19639</v>
      </c>
      <c r="K5894" s="0" t="s">
        <v>19640</v>
      </c>
      <c r="L5894" s="0" t="str">
        <f aca="false">HYPERLINK("https://www.ncbi.nlm.nih.gov/nuccore/CP000058.1?report=graph&amp;tracks=[key:gene_model_track,Options:GeneOnly]&amp;mk=1848003:1848022|offset_0|444444,1847983:1848002|offset_20|00cc00,1847948:1847967|offset_55|444444,1847921:1847940|offset_82|444444&amp;v=1847802:1848140&amp;c=444444", "offset 20")</f>
        <v>offset 20</v>
      </c>
    </row>
    <row r="5895" customFormat="false" ht="12.8" hidden="false" customHeight="false" outlineLevel="0" collapsed="false">
      <c r="A5895" s="0" t="s">
        <v>12</v>
      </c>
      <c r="B5895" s="0" t="n">
        <v>1847947</v>
      </c>
      <c r="C5895" s="0" t="n">
        <v>1847967</v>
      </c>
      <c r="D5895" s="0" t="s">
        <v>19634</v>
      </c>
      <c r="E5895" s="0" t="s">
        <v>75</v>
      </c>
      <c r="F5895" s="0" t="s">
        <v>90</v>
      </c>
      <c r="G5895" s="0" t="s">
        <v>36</v>
      </c>
      <c r="H5895" s="0" t="n">
        <v>55</v>
      </c>
      <c r="I5895" s="0" t="s">
        <v>19641</v>
      </c>
      <c r="J5895" s="0" t="s">
        <v>19642</v>
      </c>
      <c r="K5895" s="0" t="s">
        <v>19643</v>
      </c>
      <c r="L5895" s="0" t="str">
        <f aca="false">HYPERLINK("https://www.ncbi.nlm.nih.gov/nuccore/CP000058.1?report=graph&amp;tracks=[key:gene_model_track,Options:GeneOnly]&amp;mk=1848003:1848022|offset_0|444444,1847983:1848002|offset_20|444444,1847948:1847967|offset_55|00cc00,1847921:1847940|offset_82|444444&amp;v=1847802:1848140&amp;c=444444", "offset 55")</f>
        <v>offset 55</v>
      </c>
    </row>
    <row r="5896" customFormat="false" ht="12.8" hidden="false" customHeight="false" outlineLevel="0" collapsed="false">
      <c r="A5896" s="0" t="s">
        <v>12</v>
      </c>
      <c r="B5896" s="0" t="n">
        <v>1847920</v>
      </c>
      <c r="C5896" s="0" t="n">
        <v>1847940</v>
      </c>
      <c r="D5896" s="0" t="s">
        <v>19634</v>
      </c>
      <c r="E5896" s="0" t="s">
        <v>75</v>
      </c>
      <c r="F5896" s="0" t="s">
        <v>90</v>
      </c>
      <c r="G5896" s="0" t="s">
        <v>20</v>
      </c>
      <c r="H5896" s="0" t="n">
        <v>82</v>
      </c>
      <c r="I5896" s="0" t="s">
        <v>19644</v>
      </c>
      <c r="J5896" s="0" t="s">
        <v>19645</v>
      </c>
      <c r="K5896" s="0" t="s">
        <v>19646</v>
      </c>
      <c r="L5896" s="0" t="str">
        <f aca="false">HYPERLINK("https://www.ncbi.nlm.nih.gov/nuccore/CP000058.1?report=graph&amp;tracks=[key:gene_model_track,Options:GeneOnly]&amp;mk=1848003:1848022|offset_0|444444,1847983:1848002|offset_20|444444,1847948:1847967|offset_55|444444,1847921:1847940|offset_82|00cc00&amp;v=1847802:1848140&amp;c=444444", "offset 82")</f>
        <v>offset 82</v>
      </c>
    </row>
    <row r="5897" customFormat="false" ht="12.8" hidden="false" customHeight="false" outlineLevel="0" collapsed="false">
      <c r="A5897" s="0" t="s">
        <v>12</v>
      </c>
      <c r="B5897" s="0" t="n">
        <v>1849119</v>
      </c>
      <c r="C5897" s="0" t="n">
        <v>1849139</v>
      </c>
      <c r="D5897" s="0" t="s">
        <v>19647</v>
      </c>
      <c r="E5897" s="0" t="s">
        <v>75</v>
      </c>
      <c r="F5897" s="0" t="s">
        <v>90</v>
      </c>
      <c r="G5897" s="0" t="s">
        <v>20</v>
      </c>
      <c r="H5897" s="0" t="n">
        <v>29</v>
      </c>
      <c r="I5897" s="0" t="s">
        <v>19648</v>
      </c>
      <c r="J5897" s="0" t="s">
        <v>19649</v>
      </c>
      <c r="K5897" s="0" t="s">
        <v>19650</v>
      </c>
      <c r="L5897" s="0" t="str">
        <f aca="false">HYPERLINK("https://www.ncbi.nlm.nih.gov/nuccore/CP000058.1?report=graph&amp;tracks=[key:gene_model_track,Options:GeneOnly]&amp;mk=1849120:1849139|offset_29|00cc00,1849069:1849088|offset_80|444444,1849046:1849065|offset_103|444444,1849011:1849030|offset_138|444444&amp;v=1848919:1849230&amp;c=444444", "offset 29")</f>
        <v>offset 29</v>
      </c>
    </row>
    <row r="5898" customFormat="false" ht="12.8" hidden="false" customHeight="false" outlineLevel="0" collapsed="false">
      <c r="A5898" s="0" t="s">
        <v>12</v>
      </c>
      <c r="B5898" s="0" t="n">
        <v>1849068</v>
      </c>
      <c r="C5898" s="0" t="n">
        <v>1849088</v>
      </c>
      <c r="D5898" s="0" t="s">
        <v>19647</v>
      </c>
      <c r="E5898" s="0" t="s">
        <v>75</v>
      </c>
      <c r="F5898" s="0" t="s">
        <v>90</v>
      </c>
      <c r="G5898" s="0" t="s">
        <v>20</v>
      </c>
      <c r="H5898" s="0" t="n">
        <v>80</v>
      </c>
      <c r="I5898" s="0" t="s">
        <v>19651</v>
      </c>
      <c r="J5898" s="0" t="s">
        <v>19652</v>
      </c>
      <c r="K5898" s="0" t="s">
        <v>19653</v>
      </c>
      <c r="L5898" s="0" t="str">
        <f aca="false">HYPERLINK("https://www.ncbi.nlm.nih.gov/nuccore/CP000058.1?report=graph&amp;tracks=[key:gene_model_track,Options:GeneOnly]&amp;mk=1849120:1849139|offset_29|444444,1849069:1849088|offset_80|00cc00,1849046:1849065|offset_103|444444,1849011:1849030|offset_138|444444&amp;v=1848919:1849230&amp;c=444444", "offset 80")</f>
        <v>offset 80</v>
      </c>
    </row>
    <row r="5899" customFormat="false" ht="12.8" hidden="false" customHeight="false" outlineLevel="0" collapsed="false">
      <c r="A5899" s="0" t="s">
        <v>12</v>
      </c>
      <c r="B5899" s="0" t="n">
        <v>1849045</v>
      </c>
      <c r="C5899" s="0" t="n">
        <v>1849065</v>
      </c>
      <c r="D5899" s="0" t="s">
        <v>19647</v>
      </c>
      <c r="E5899" s="0" t="s">
        <v>75</v>
      </c>
      <c r="F5899" s="0" t="s">
        <v>90</v>
      </c>
      <c r="G5899" s="0" t="s">
        <v>32</v>
      </c>
      <c r="H5899" s="0" t="n">
        <v>103</v>
      </c>
      <c r="I5899" s="0" t="s">
        <v>19654</v>
      </c>
      <c r="J5899" s="0" t="s">
        <v>19655</v>
      </c>
      <c r="K5899" s="0" t="s">
        <v>19656</v>
      </c>
      <c r="L5899" s="0" t="str">
        <f aca="false">HYPERLINK("https://www.ncbi.nlm.nih.gov/nuccore/CP000058.1?report=graph&amp;tracks=[key:gene_model_track,Options:GeneOnly]&amp;mk=1849120:1849139|offset_29|444444,1849069:1849088|offset_80|444444,1849046:1849065|offset_103|00cc00,1849011:1849030|offset_138|444444&amp;v=1848919:1849230&amp;c=444444", "offset 103")</f>
        <v>offset 103</v>
      </c>
    </row>
    <row r="5900" customFormat="false" ht="12.8" hidden="false" customHeight="false" outlineLevel="0" collapsed="false">
      <c r="A5900" s="0" t="s">
        <v>12</v>
      </c>
      <c r="B5900" s="0" t="n">
        <v>1849010</v>
      </c>
      <c r="C5900" s="0" t="n">
        <v>1849030</v>
      </c>
      <c r="D5900" s="0" t="s">
        <v>19647</v>
      </c>
      <c r="E5900" s="0" t="s">
        <v>75</v>
      </c>
      <c r="F5900" s="0" t="s">
        <v>90</v>
      </c>
      <c r="G5900" s="0" t="s">
        <v>16</v>
      </c>
      <c r="H5900" s="0" t="n">
        <v>138</v>
      </c>
      <c r="I5900" s="0" t="s">
        <v>19657</v>
      </c>
      <c r="J5900" s="0" t="s">
        <v>19658</v>
      </c>
      <c r="K5900" s="0" t="s">
        <v>19659</v>
      </c>
      <c r="L5900" s="0" t="str">
        <f aca="false">HYPERLINK("https://www.ncbi.nlm.nih.gov/nuccore/CP000058.1?report=graph&amp;tracks=[key:gene_model_track,Options:GeneOnly]&amp;mk=1849120:1849139|offset_29|444444,1849069:1849088|offset_80|444444,1849046:1849065|offset_103|444444,1849011:1849030|offset_138|00cc00&amp;v=1848919:1849230&amp;c=444444", "offset 138")</f>
        <v>offset 138</v>
      </c>
    </row>
    <row r="5901" customFormat="false" ht="12.8" hidden="false" customHeight="false" outlineLevel="0" collapsed="false">
      <c r="A5901" s="0" t="s">
        <v>12</v>
      </c>
      <c r="B5901" s="0" t="n">
        <v>1849540</v>
      </c>
      <c r="C5901" s="0" t="n">
        <v>1849560</v>
      </c>
      <c r="D5901" s="0" t="s">
        <v>19660</v>
      </c>
      <c r="E5901" s="0" t="s">
        <v>75</v>
      </c>
      <c r="F5901" s="0" t="s">
        <v>15</v>
      </c>
      <c r="G5901" s="0" t="s">
        <v>32</v>
      </c>
      <c r="H5901" s="0" t="n">
        <v>18</v>
      </c>
      <c r="I5901" s="0" t="s">
        <v>19661</v>
      </c>
      <c r="J5901" s="0" t="s">
        <v>19662</v>
      </c>
      <c r="K5901" s="0" t="s">
        <v>19663</v>
      </c>
      <c r="L5901" s="0" t="str">
        <f aca="false">HYPERLINK("https://www.ncbi.nlm.nih.gov/nuccore/CP000058.1?report=graph&amp;tracks=[key:gene_model_track,Options:GeneOnly]&amp;mk=1849541:1849560|offset_18|00cc00,1849601:1849620|offset_78|444444,1849653:1849672|offset_130|444444,1849678:1849697|offset_155|444444&amp;v=1849340:1849897&amp;c=444444", "offset 18")</f>
        <v>offset 18</v>
      </c>
    </row>
    <row r="5902" customFormat="false" ht="12.8" hidden="false" customHeight="false" outlineLevel="0" collapsed="false">
      <c r="A5902" s="0" t="s">
        <v>12</v>
      </c>
      <c r="B5902" s="0" t="n">
        <v>1849600</v>
      </c>
      <c r="C5902" s="0" t="n">
        <v>1849620</v>
      </c>
      <c r="D5902" s="0" t="s">
        <v>19660</v>
      </c>
      <c r="E5902" s="0" t="s">
        <v>75</v>
      </c>
      <c r="F5902" s="0" t="s">
        <v>15</v>
      </c>
      <c r="G5902" s="0" t="s">
        <v>16</v>
      </c>
      <c r="H5902" s="0" t="n">
        <v>78</v>
      </c>
      <c r="I5902" s="0" t="s">
        <v>19664</v>
      </c>
      <c r="J5902" s="0" t="s">
        <v>19665</v>
      </c>
      <c r="K5902" s="0" t="s">
        <v>19666</v>
      </c>
      <c r="L5902" s="0" t="str">
        <f aca="false">HYPERLINK("https://www.ncbi.nlm.nih.gov/nuccore/CP000058.1?report=graph&amp;tracks=[key:gene_model_track,Options:GeneOnly]&amp;mk=1849541:1849560|offset_18|444444,1849601:1849620|offset_78|00cc00,1849653:1849672|offset_130|444444,1849678:1849697|offset_155|444444&amp;v=1849340:1849897&amp;c=444444", "offset 78")</f>
        <v>offset 78</v>
      </c>
    </row>
    <row r="5903" customFormat="false" ht="12.8" hidden="false" customHeight="false" outlineLevel="0" collapsed="false">
      <c r="A5903" s="0" t="s">
        <v>12</v>
      </c>
      <c r="B5903" s="0" t="n">
        <v>1849652</v>
      </c>
      <c r="C5903" s="0" t="n">
        <v>1849672</v>
      </c>
      <c r="D5903" s="0" t="s">
        <v>19660</v>
      </c>
      <c r="E5903" s="0" t="s">
        <v>75</v>
      </c>
      <c r="F5903" s="0" t="s">
        <v>15</v>
      </c>
      <c r="G5903" s="0" t="s">
        <v>32</v>
      </c>
      <c r="H5903" s="0" t="n">
        <v>130</v>
      </c>
      <c r="I5903" s="0" t="s">
        <v>19667</v>
      </c>
      <c r="J5903" s="0" t="s">
        <v>19668</v>
      </c>
      <c r="K5903" s="0" t="s">
        <v>19669</v>
      </c>
      <c r="L5903" s="0" t="str">
        <f aca="false">HYPERLINK("https://www.ncbi.nlm.nih.gov/nuccore/CP000058.1?report=graph&amp;tracks=[key:gene_model_track,Options:GeneOnly]&amp;mk=1849541:1849560|offset_18|444444,1849601:1849620|offset_78|444444,1849653:1849672|offset_130|00cc00,1849678:1849697|offset_155|444444&amp;v=1849340:1849897&amp;c=444444", "offset 130")</f>
        <v>offset 130</v>
      </c>
    </row>
    <row r="5904" customFormat="false" ht="12.8" hidden="false" customHeight="false" outlineLevel="0" collapsed="false">
      <c r="A5904" s="0" t="s">
        <v>12</v>
      </c>
      <c r="B5904" s="0" t="n">
        <v>1849677</v>
      </c>
      <c r="C5904" s="0" t="n">
        <v>1849697</v>
      </c>
      <c r="D5904" s="0" t="s">
        <v>19660</v>
      </c>
      <c r="E5904" s="0" t="s">
        <v>75</v>
      </c>
      <c r="F5904" s="0" t="s">
        <v>15</v>
      </c>
      <c r="G5904" s="0" t="s">
        <v>20</v>
      </c>
      <c r="H5904" s="0" t="n">
        <v>155</v>
      </c>
      <c r="I5904" s="0" t="s">
        <v>19670</v>
      </c>
      <c r="J5904" s="0" t="s">
        <v>19671</v>
      </c>
      <c r="K5904" s="0" t="s">
        <v>19672</v>
      </c>
      <c r="L5904" s="0" t="str">
        <f aca="false">HYPERLINK("https://www.ncbi.nlm.nih.gov/nuccore/CP000058.1?report=graph&amp;tracks=[key:gene_model_track,Options:GeneOnly]&amp;mk=1849541:1849560|offset_18|444444,1849601:1849620|offset_78|444444,1849653:1849672|offset_130|444444,1849678:1849697|offset_155|00cc00&amp;v=1849340:1849897&amp;c=444444", "offset 155")</f>
        <v>offset 155</v>
      </c>
    </row>
    <row r="5905" customFormat="false" ht="12.8" hidden="false" customHeight="false" outlineLevel="0" collapsed="false">
      <c r="A5905" s="0" t="s">
        <v>12</v>
      </c>
      <c r="B5905" s="0" t="n">
        <v>1857350</v>
      </c>
      <c r="C5905" s="0" t="n">
        <v>1857370</v>
      </c>
      <c r="D5905" s="0" t="s">
        <v>19673</v>
      </c>
      <c r="E5905" s="0" t="s">
        <v>75</v>
      </c>
      <c r="F5905" s="0" t="s">
        <v>90</v>
      </c>
      <c r="G5905" s="0" t="s">
        <v>20</v>
      </c>
      <c r="H5905" s="0" t="n">
        <v>26</v>
      </c>
      <c r="I5905" s="0" t="s">
        <v>19674</v>
      </c>
      <c r="J5905" s="0" t="s">
        <v>19675</v>
      </c>
      <c r="K5905" s="0" t="s">
        <v>19676</v>
      </c>
      <c r="L5905" s="0" t="str">
        <f aca="false">HYPERLINK("https://www.ncbi.nlm.nih.gov/nuccore/CP000058.1?report=graph&amp;tracks=[key:gene_model_track,Options:GeneOnly]&amp;mk=1857351:1857370|offset_26|00cc00,1857326:1857345|offset_51|444444,1857304:1857323|offset_73|444444,1857247:1857266|offset_130|444444&amp;v=1857150:1857466&amp;c=444444", "offset 26")</f>
        <v>offset 26</v>
      </c>
    </row>
    <row r="5906" customFormat="false" ht="12.8" hidden="false" customHeight="false" outlineLevel="0" collapsed="false">
      <c r="A5906" s="0" t="s">
        <v>12</v>
      </c>
      <c r="B5906" s="0" t="n">
        <v>1857325</v>
      </c>
      <c r="C5906" s="0" t="n">
        <v>1857345</v>
      </c>
      <c r="D5906" s="0" t="s">
        <v>19673</v>
      </c>
      <c r="E5906" s="0" t="s">
        <v>75</v>
      </c>
      <c r="F5906" s="0" t="s">
        <v>90</v>
      </c>
      <c r="G5906" s="0" t="s">
        <v>36</v>
      </c>
      <c r="H5906" s="0" t="n">
        <v>51</v>
      </c>
      <c r="I5906" s="0" t="s">
        <v>19677</v>
      </c>
      <c r="J5906" s="0" t="s">
        <v>19678</v>
      </c>
      <c r="K5906" s="0" t="s">
        <v>19679</v>
      </c>
      <c r="L5906" s="0" t="str">
        <f aca="false">HYPERLINK("https://www.ncbi.nlm.nih.gov/nuccore/CP000058.1?report=graph&amp;tracks=[key:gene_model_track,Options:GeneOnly]&amp;mk=1857351:1857370|offset_26|444444,1857326:1857345|offset_51|00cc00,1857304:1857323|offset_73|444444,1857247:1857266|offset_130|444444&amp;v=1857150:1857466&amp;c=444444", "offset 51")</f>
        <v>offset 51</v>
      </c>
    </row>
    <row r="5907" customFormat="false" ht="12.8" hidden="false" customHeight="false" outlineLevel="0" collapsed="false">
      <c r="A5907" s="0" t="s">
        <v>12</v>
      </c>
      <c r="B5907" s="0" t="n">
        <v>1857303</v>
      </c>
      <c r="C5907" s="0" t="n">
        <v>1857323</v>
      </c>
      <c r="D5907" s="0" t="s">
        <v>19673</v>
      </c>
      <c r="E5907" s="0" t="s">
        <v>75</v>
      </c>
      <c r="F5907" s="0" t="s">
        <v>90</v>
      </c>
      <c r="G5907" s="0" t="s">
        <v>32</v>
      </c>
      <c r="H5907" s="0" t="n">
        <v>73</v>
      </c>
      <c r="I5907" s="0" t="s">
        <v>19680</v>
      </c>
      <c r="J5907" s="0" t="s">
        <v>19681</v>
      </c>
      <c r="K5907" s="0" t="s">
        <v>19682</v>
      </c>
      <c r="L5907" s="0" t="str">
        <f aca="false">HYPERLINK("https://www.ncbi.nlm.nih.gov/nuccore/CP000058.1?report=graph&amp;tracks=[key:gene_model_track,Options:GeneOnly]&amp;mk=1857351:1857370|offset_26|444444,1857326:1857345|offset_51|444444,1857304:1857323|offset_73|00cc00,1857247:1857266|offset_130|444444&amp;v=1857150:1857466&amp;c=444444", "offset 73")</f>
        <v>offset 73</v>
      </c>
    </row>
    <row r="5908" customFormat="false" ht="12.8" hidden="false" customHeight="false" outlineLevel="0" collapsed="false">
      <c r="A5908" s="0" t="s">
        <v>12</v>
      </c>
      <c r="B5908" s="0" t="n">
        <v>1857246</v>
      </c>
      <c r="C5908" s="0" t="n">
        <v>1857266</v>
      </c>
      <c r="D5908" s="0" t="s">
        <v>19673</v>
      </c>
      <c r="E5908" s="0" t="s">
        <v>75</v>
      </c>
      <c r="F5908" s="0" t="s">
        <v>90</v>
      </c>
      <c r="G5908" s="0" t="s">
        <v>20</v>
      </c>
      <c r="H5908" s="0" t="n">
        <v>130</v>
      </c>
      <c r="I5908" s="0" t="s">
        <v>19683</v>
      </c>
      <c r="J5908" s="0" t="s">
        <v>19684</v>
      </c>
      <c r="K5908" s="0" t="s">
        <v>19685</v>
      </c>
      <c r="L5908" s="0" t="str">
        <f aca="false">HYPERLINK("https://www.ncbi.nlm.nih.gov/nuccore/CP000058.1?report=graph&amp;tracks=[key:gene_model_track,Options:GeneOnly]&amp;mk=1857351:1857370|offset_26|444444,1857326:1857345|offset_51|444444,1857304:1857323|offset_73|444444,1857247:1857266|offset_130|00cc00&amp;v=1857150:1857466&amp;c=444444", "offset 130")</f>
        <v>offset 130</v>
      </c>
    </row>
    <row r="5909" customFormat="false" ht="12.8" hidden="false" customHeight="false" outlineLevel="0" collapsed="false">
      <c r="A5909" s="0" t="s">
        <v>12</v>
      </c>
      <c r="B5909" s="0" t="n">
        <v>1862951</v>
      </c>
      <c r="C5909" s="0" t="n">
        <v>1862971</v>
      </c>
      <c r="D5909" s="0" t="s">
        <v>19686</v>
      </c>
      <c r="E5909" s="0" t="s">
        <v>75</v>
      </c>
      <c r="F5909" s="0" t="s">
        <v>90</v>
      </c>
      <c r="G5909" s="0" t="s">
        <v>32</v>
      </c>
      <c r="H5909" s="0" t="n">
        <v>16</v>
      </c>
      <c r="I5909" s="0" t="s">
        <v>19687</v>
      </c>
      <c r="J5909" s="0" t="s">
        <v>19688</v>
      </c>
      <c r="K5909" s="0" t="s">
        <v>19689</v>
      </c>
      <c r="L5909" s="0" t="str">
        <f aca="false">HYPERLINK("https://www.ncbi.nlm.nih.gov/nuccore/CP000058.1?report=graph&amp;tracks=[key:gene_model_track,Options:GeneOnly]&amp;mk=1862952:1862971|offset_16|00cc00,1862919:1862938|offset_49|444444,1862817:1862836|offset_151|444444,1862786:1862805|offset_182|444444&amp;v=1862751:1863005&amp;c=444444", "offset 16")</f>
        <v>offset 16</v>
      </c>
    </row>
    <row r="5910" customFormat="false" ht="12.8" hidden="false" customHeight="false" outlineLevel="0" collapsed="false">
      <c r="A5910" s="0" t="s">
        <v>12</v>
      </c>
      <c r="B5910" s="0" t="n">
        <v>1862918</v>
      </c>
      <c r="C5910" s="0" t="n">
        <v>1862938</v>
      </c>
      <c r="D5910" s="0" t="s">
        <v>19686</v>
      </c>
      <c r="E5910" s="0" t="s">
        <v>75</v>
      </c>
      <c r="F5910" s="0" t="s">
        <v>90</v>
      </c>
      <c r="G5910" s="0" t="s">
        <v>36</v>
      </c>
      <c r="H5910" s="0" t="n">
        <v>49</v>
      </c>
      <c r="I5910" s="0" t="s">
        <v>19690</v>
      </c>
      <c r="J5910" s="0" t="s">
        <v>19691</v>
      </c>
      <c r="K5910" s="0" t="s">
        <v>19692</v>
      </c>
      <c r="L5910" s="0" t="str">
        <f aca="false">HYPERLINK("https://www.ncbi.nlm.nih.gov/nuccore/CP000058.1?report=graph&amp;tracks=[key:gene_model_track,Options:GeneOnly]&amp;mk=1862952:1862971|offset_16|444444,1862919:1862938|offset_49|00cc00,1862817:1862836|offset_151|444444,1862786:1862805|offset_182|444444&amp;v=1862751:1863005&amp;c=444444", "offset 49")</f>
        <v>offset 49</v>
      </c>
    </row>
    <row r="5911" customFormat="false" ht="12.8" hidden="false" customHeight="false" outlineLevel="0" collapsed="false">
      <c r="A5911" s="0" t="s">
        <v>12</v>
      </c>
      <c r="B5911" s="0" t="n">
        <v>1862816</v>
      </c>
      <c r="C5911" s="0" t="n">
        <v>1862836</v>
      </c>
      <c r="D5911" s="0" t="s">
        <v>19686</v>
      </c>
      <c r="E5911" s="0" t="s">
        <v>75</v>
      </c>
      <c r="F5911" s="0" t="s">
        <v>90</v>
      </c>
      <c r="G5911" s="0" t="s">
        <v>32</v>
      </c>
      <c r="H5911" s="0" t="n">
        <v>151</v>
      </c>
      <c r="I5911" s="0" t="s">
        <v>19693</v>
      </c>
      <c r="J5911" s="0" t="s">
        <v>19694</v>
      </c>
      <c r="K5911" s="0" t="s">
        <v>19695</v>
      </c>
      <c r="L5911" s="0" t="str">
        <f aca="false">HYPERLINK("https://www.ncbi.nlm.nih.gov/nuccore/CP000058.1?report=graph&amp;tracks=[key:gene_model_track,Options:GeneOnly]&amp;mk=1862952:1862971|offset_16|444444,1862919:1862938|offset_49|444444,1862817:1862836|offset_151|00cc00,1862786:1862805|offset_182|444444&amp;v=1862751:1863005&amp;c=444444", "offset 151")</f>
        <v>offset 151</v>
      </c>
    </row>
    <row r="5912" customFormat="false" ht="12.8" hidden="false" customHeight="false" outlineLevel="0" collapsed="false">
      <c r="A5912" s="0" t="s">
        <v>12</v>
      </c>
      <c r="B5912" s="0" t="n">
        <v>1862785</v>
      </c>
      <c r="C5912" s="0" t="n">
        <v>1862805</v>
      </c>
      <c r="D5912" s="0" t="s">
        <v>19686</v>
      </c>
      <c r="E5912" s="0" t="s">
        <v>75</v>
      </c>
      <c r="F5912" s="0" t="s">
        <v>90</v>
      </c>
      <c r="G5912" s="0" t="s">
        <v>16</v>
      </c>
      <c r="H5912" s="0" t="n">
        <v>182</v>
      </c>
      <c r="I5912" s="0" t="s">
        <v>19696</v>
      </c>
      <c r="J5912" s="0" t="s">
        <v>19697</v>
      </c>
      <c r="K5912" s="0" t="s">
        <v>19698</v>
      </c>
      <c r="L5912" s="0" t="str">
        <f aca="false">HYPERLINK("https://www.ncbi.nlm.nih.gov/nuccore/CP000058.1?report=graph&amp;tracks=[key:gene_model_track,Options:GeneOnly]&amp;mk=1862952:1862971|offset_16|444444,1862919:1862938|offset_49|444444,1862817:1862836|offset_151|444444,1862786:1862805|offset_182|00cc00&amp;v=1862751:1863005&amp;c=444444", "offset 182")</f>
        <v>offset 182</v>
      </c>
    </row>
    <row r="5913" customFormat="false" ht="12.8" hidden="false" customHeight="false" outlineLevel="0" collapsed="false">
      <c r="A5913" s="0" t="s">
        <v>12</v>
      </c>
      <c r="B5913" s="0" t="n">
        <v>1865735</v>
      </c>
      <c r="C5913" s="0" t="n">
        <v>1865755</v>
      </c>
      <c r="D5913" s="0" t="s">
        <v>19699</v>
      </c>
      <c r="E5913" s="0" t="s">
        <v>19700</v>
      </c>
      <c r="F5913" s="0" t="s">
        <v>90</v>
      </c>
      <c r="G5913" s="0" t="s">
        <v>36</v>
      </c>
      <c r="H5913" s="0" t="n">
        <v>39</v>
      </c>
      <c r="I5913" s="0" t="s">
        <v>19701</v>
      </c>
      <c r="J5913" s="0" t="s">
        <v>19702</v>
      </c>
      <c r="K5913" s="0" t="s">
        <v>19703</v>
      </c>
      <c r="L5913" s="0" t="str">
        <f aca="false">HYPERLINK("https://www.ncbi.nlm.nih.gov/nuccore/CP000058.1?report=graph&amp;tracks=[key:gene_model_track,Options:GeneOnly]&amp;mk=1865736:1865755|offset_39|00cc00,1865701:1865720|offset_74|444444,1865677:1865696|offset_98|444444,1865654:1865673|offset_121|444444&amp;v=1865535:1865873&amp;c=444444", "offset 39")</f>
        <v>offset 39</v>
      </c>
    </row>
    <row r="5914" customFormat="false" ht="12.8" hidden="false" customHeight="false" outlineLevel="0" collapsed="false">
      <c r="A5914" s="0" t="s">
        <v>12</v>
      </c>
      <c r="B5914" s="0" t="n">
        <v>1865700</v>
      </c>
      <c r="C5914" s="0" t="n">
        <v>1865720</v>
      </c>
      <c r="D5914" s="0" t="s">
        <v>19699</v>
      </c>
      <c r="E5914" s="0" t="s">
        <v>19700</v>
      </c>
      <c r="F5914" s="0" t="s">
        <v>90</v>
      </c>
      <c r="G5914" s="0" t="s">
        <v>16</v>
      </c>
      <c r="H5914" s="0" t="n">
        <v>74</v>
      </c>
      <c r="I5914" s="0" t="s">
        <v>19704</v>
      </c>
      <c r="J5914" s="0" t="s">
        <v>19705</v>
      </c>
      <c r="K5914" s="0" t="s">
        <v>19706</v>
      </c>
      <c r="L5914" s="0" t="str">
        <f aca="false">HYPERLINK("https://www.ncbi.nlm.nih.gov/nuccore/CP000058.1?report=graph&amp;tracks=[key:gene_model_track,Options:GeneOnly]&amp;mk=1865736:1865755|offset_39|444444,1865701:1865720|offset_74|00cc00,1865677:1865696|offset_98|444444,1865654:1865673|offset_121|444444&amp;v=1865535:1865873&amp;c=444444", "offset 74")</f>
        <v>offset 74</v>
      </c>
    </row>
    <row r="5915" customFormat="false" ht="12.8" hidden="false" customHeight="false" outlineLevel="0" collapsed="false">
      <c r="A5915" s="0" t="s">
        <v>12</v>
      </c>
      <c r="B5915" s="0" t="n">
        <v>1865676</v>
      </c>
      <c r="C5915" s="0" t="n">
        <v>1865696</v>
      </c>
      <c r="D5915" s="0" t="s">
        <v>19699</v>
      </c>
      <c r="E5915" s="0" t="s">
        <v>19700</v>
      </c>
      <c r="F5915" s="0" t="s">
        <v>90</v>
      </c>
      <c r="G5915" s="0" t="s">
        <v>16</v>
      </c>
      <c r="H5915" s="0" t="n">
        <v>98</v>
      </c>
      <c r="I5915" s="0" t="s">
        <v>19707</v>
      </c>
      <c r="J5915" s="0" t="s">
        <v>19708</v>
      </c>
      <c r="K5915" s="0" t="s">
        <v>19709</v>
      </c>
      <c r="L5915" s="0" t="str">
        <f aca="false">HYPERLINK("https://www.ncbi.nlm.nih.gov/nuccore/CP000058.1?report=graph&amp;tracks=[key:gene_model_track,Options:GeneOnly]&amp;mk=1865736:1865755|offset_39|444444,1865701:1865720|offset_74|444444,1865677:1865696|offset_98|00cc00,1865654:1865673|offset_121|444444&amp;v=1865535:1865873&amp;c=444444", "offset 98")</f>
        <v>offset 98</v>
      </c>
    </row>
    <row r="5916" customFormat="false" ht="12.8" hidden="false" customHeight="false" outlineLevel="0" collapsed="false">
      <c r="A5916" s="0" t="s">
        <v>12</v>
      </c>
      <c r="B5916" s="0" t="n">
        <v>1865653</v>
      </c>
      <c r="C5916" s="0" t="n">
        <v>1865673</v>
      </c>
      <c r="D5916" s="0" t="s">
        <v>19699</v>
      </c>
      <c r="E5916" s="0" t="s">
        <v>19700</v>
      </c>
      <c r="F5916" s="0" t="s">
        <v>90</v>
      </c>
      <c r="G5916" s="0" t="s">
        <v>16</v>
      </c>
      <c r="H5916" s="0" t="n">
        <v>121</v>
      </c>
      <c r="I5916" s="0" t="s">
        <v>19710</v>
      </c>
      <c r="J5916" s="0" t="s">
        <v>19711</v>
      </c>
      <c r="K5916" s="0" t="s">
        <v>19712</v>
      </c>
      <c r="L5916" s="0" t="str">
        <f aca="false">HYPERLINK("https://www.ncbi.nlm.nih.gov/nuccore/CP000058.1?report=graph&amp;tracks=[key:gene_model_track,Options:GeneOnly]&amp;mk=1865736:1865755|offset_39|444444,1865701:1865720|offset_74|444444,1865677:1865696|offset_98|444444,1865654:1865673|offset_121|00cc00&amp;v=1865535:1865873&amp;c=444444", "offset 121")</f>
        <v>offset 121</v>
      </c>
    </row>
    <row r="5917" customFormat="false" ht="12.8" hidden="false" customHeight="false" outlineLevel="0" collapsed="false">
      <c r="A5917" s="0" t="s">
        <v>12</v>
      </c>
      <c r="B5917" s="0" t="n">
        <v>1866012</v>
      </c>
      <c r="C5917" s="0" t="n">
        <v>1866032</v>
      </c>
      <c r="D5917" s="0" t="s">
        <v>19713</v>
      </c>
      <c r="E5917" s="0" t="s">
        <v>19714</v>
      </c>
      <c r="F5917" s="0" t="s">
        <v>90</v>
      </c>
      <c r="G5917" s="0" t="s">
        <v>16</v>
      </c>
      <c r="H5917" s="0" t="n">
        <v>29</v>
      </c>
      <c r="I5917" s="0" t="s">
        <v>19715</v>
      </c>
      <c r="J5917" s="0" t="s">
        <v>19716</v>
      </c>
      <c r="K5917" s="0" t="s">
        <v>19717</v>
      </c>
      <c r="L5917" s="0" t="str">
        <f aca="false">HYPERLINK("https://www.ncbi.nlm.nih.gov/nuccore/CP000058.1?report=graph&amp;tracks=[key:gene_model_track,Options:GeneOnly]&amp;mk=1866013:1866032|offset_29|00cc00,1865993:1866012|offset_49|444444,1865944:1865963|offset_98|444444,1865923:1865942|offset_119|444444&amp;v=1865812:1866142&amp;c=444444", "offset 29")</f>
        <v>offset 29</v>
      </c>
    </row>
    <row r="5918" customFormat="false" ht="12.8" hidden="false" customHeight="false" outlineLevel="0" collapsed="false">
      <c r="A5918" s="0" t="s">
        <v>12</v>
      </c>
      <c r="B5918" s="0" t="n">
        <v>1865992</v>
      </c>
      <c r="C5918" s="0" t="n">
        <v>1866012</v>
      </c>
      <c r="D5918" s="0" t="s">
        <v>19713</v>
      </c>
      <c r="E5918" s="0" t="s">
        <v>19714</v>
      </c>
      <c r="F5918" s="0" t="s">
        <v>90</v>
      </c>
      <c r="G5918" s="0" t="s">
        <v>20</v>
      </c>
      <c r="H5918" s="0" t="n">
        <v>49</v>
      </c>
      <c r="I5918" s="0" t="s">
        <v>19718</v>
      </c>
      <c r="J5918" s="0" t="s">
        <v>19719</v>
      </c>
      <c r="K5918" s="0" t="s">
        <v>19720</v>
      </c>
      <c r="L5918" s="0" t="str">
        <f aca="false">HYPERLINK("https://www.ncbi.nlm.nih.gov/nuccore/CP000058.1?report=graph&amp;tracks=[key:gene_model_track,Options:GeneOnly]&amp;mk=1866013:1866032|offset_29|444444,1865993:1866012|offset_49|00cc00,1865944:1865963|offset_98|444444,1865923:1865942|offset_119|444444&amp;v=1865812:1866142&amp;c=444444", "offset 49")</f>
        <v>offset 49</v>
      </c>
    </row>
    <row r="5919" customFormat="false" ht="12.8" hidden="false" customHeight="false" outlineLevel="0" collapsed="false">
      <c r="A5919" s="0" t="s">
        <v>12</v>
      </c>
      <c r="B5919" s="0" t="n">
        <v>1865943</v>
      </c>
      <c r="C5919" s="0" t="n">
        <v>1865963</v>
      </c>
      <c r="D5919" s="0" t="s">
        <v>19713</v>
      </c>
      <c r="E5919" s="0" t="s">
        <v>19714</v>
      </c>
      <c r="F5919" s="0" t="s">
        <v>90</v>
      </c>
      <c r="G5919" s="0" t="s">
        <v>32</v>
      </c>
      <c r="H5919" s="0" t="n">
        <v>98</v>
      </c>
      <c r="I5919" s="0" t="s">
        <v>19721</v>
      </c>
      <c r="J5919" s="0" t="s">
        <v>19722</v>
      </c>
      <c r="K5919" s="0" t="s">
        <v>19723</v>
      </c>
      <c r="L5919" s="0" t="str">
        <f aca="false">HYPERLINK("https://www.ncbi.nlm.nih.gov/nuccore/CP000058.1?report=graph&amp;tracks=[key:gene_model_track,Options:GeneOnly]&amp;mk=1866013:1866032|offset_29|444444,1865993:1866012|offset_49|444444,1865944:1865963|offset_98|00cc00,1865923:1865942|offset_119|444444&amp;v=1865812:1866142&amp;c=444444", "offset 98")</f>
        <v>offset 98</v>
      </c>
    </row>
    <row r="5920" customFormat="false" ht="12.8" hidden="false" customHeight="false" outlineLevel="0" collapsed="false">
      <c r="A5920" s="0" t="s">
        <v>12</v>
      </c>
      <c r="B5920" s="0" t="n">
        <v>1865922</v>
      </c>
      <c r="C5920" s="0" t="n">
        <v>1865942</v>
      </c>
      <c r="D5920" s="0" t="s">
        <v>19713</v>
      </c>
      <c r="E5920" s="0" t="s">
        <v>19714</v>
      </c>
      <c r="F5920" s="0" t="s">
        <v>90</v>
      </c>
      <c r="G5920" s="0" t="s">
        <v>20</v>
      </c>
      <c r="H5920" s="0" t="n">
        <v>119</v>
      </c>
      <c r="I5920" s="0" t="s">
        <v>19724</v>
      </c>
      <c r="J5920" s="0" t="s">
        <v>19725</v>
      </c>
      <c r="K5920" s="0" t="s">
        <v>19726</v>
      </c>
      <c r="L5920" s="0" t="str">
        <f aca="false">HYPERLINK("https://www.ncbi.nlm.nih.gov/nuccore/CP000058.1?report=graph&amp;tracks=[key:gene_model_track,Options:GeneOnly]&amp;mk=1866013:1866032|offset_29|444444,1865993:1866012|offset_49|444444,1865944:1865963|offset_98|444444,1865923:1865942|offset_119|00cc00&amp;v=1865812:1866142&amp;c=444444", "offset 119")</f>
        <v>offset 119</v>
      </c>
    </row>
    <row r="5921" customFormat="false" ht="12.8" hidden="false" customHeight="false" outlineLevel="0" collapsed="false">
      <c r="A5921" s="0" t="s">
        <v>12</v>
      </c>
      <c r="B5921" s="0" t="n">
        <v>1866852</v>
      </c>
      <c r="C5921" s="0" t="n">
        <v>1866872</v>
      </c>
      <c r="D5921" s="0" t="s">
        <v>19727</v>
      </c>
      <c r="E5921" s="0" t="s">
        <v>19728</v>
      </c>
      <c r="F5921" s="0" t="s">
        <v>90</v>
      </c>
      <c r="G5921" s="0" t="s">
        <v>20</v>
      </c>
      <c r="H5921" s="0" t="n">
        <v>1</v>
      </c>
      <c r="I5921" s="0" t="s">
        <v>19729</v>
      </c>
      <c r="J5921" s="0" t="s">
        <v>19730</v>
      </c>
      <c r="K5921" s="0" t="s">
        <v>19731</v>
      </c>
      <c r="L5921" s="0" t="str">
        <f aca="false">HYPERLINK("https://www.ncbi.nlm.nih.gov/nuccore/CP000058.1?report=graph&amp;tracks=[key:gene_model_track,Options:GeneOnly]&amp;mk=1866853:1866872|offset_1|00cc00,1866799:1866818|offset_55|444444,1866778:1866797|offset_76|444444,1866726:1866745|offset_128|444444&amp;v=1866652:1866945&amp;c=444444", "offset 1")</f>
        <v>offset 1</v>
      </c>
    </row>
    <row r="5922" customFormat="false" ht="12.8" hidden="false" customHeight="false" outlineLevel="0" collapsed="false">
      <c r="A5922" s="0" t="s">
        <v>12</v>
      </c>
      <c r="B5922" s="0" t="n">
        <v>1866798</v>
      </c>
      <c r="C5922" s="0" t="n">
        <v>1866818</v>
      </c>
      <c r="D5922" s="0" t="s">
        <v>19727</v>
      </c>
      <c r="E5922" s="0" t="s">
        <v>19728</v>
      </c>
      <c r="F5922" s="0" t="s">
        <v>90</v>
      </c>
      <c r="G5922" s="0" t="s">
        <v>32</v>
      </c>
      <c r="H5922" s="0" t="n">
        <v>55</v>
      </c>
      <c r="I5922" s="0" t="s">
        <v>19732</v>
      </c>
      <c r="J5922" s="0" t="s">
        <v>19733</v>
      </c>
      <c r="K5922" s="0" t="s">
        <v>19734</v>
      </c>
      <c r="L5922" s="0" t="str">
        <f aca="false">HYPERLINK("https://www.ncbi.nlm.nih.gov/nuccore/CP000058.1?report=graph&amp;tracks=[key:gene_model_track,Options:GeneOnly]&amp;mk=1866853:1866872|offset_1|444444,1866799:1866818|offset_55|00cc00,1866778:1866797|offset_76|444444,1866726:1866745|offset_128|444444&amp;v=1866652:1866945&amp;c=444444", "offset 55")</f>
        <v>offset 55</v>
      </c>
    </row>
    <row r="5923" customFormat="false" ht="12.8" hidden="false" customHeight="false" outlineLevel="0" collapsed="false">
      <c r="A5923" s="0" t="s">
        <v>12</v>
      </c>
      <c r="B5923" s="0" t="n">
        <v>1866777</v>
      </c>
      <c r="C5923" s="0" t="n">
        <v>1866797</v>
      </c>
      <c r="D5923" s="0" t="s">
        <v>19727</v>
      </c>
      <c r="E5923" s="0" t="s">
        <v>19728</v>
      </c>
      <c r="F5923" s="0" t="s">
        <v>90</v>
      </c>
      <c r="G5923" s="0" t="s">
        <v>16</v>
      </c>
      <c r="H5923" s="0" t="n">
        <v>76</v>
      </c>
      <c r="I5923" s="0" t="s">
        <v>19735</v>
      </c>
      <c r="J5923" s="0" t="s">
        <v>19736</v>
      </c>
      <c r="K5923" s="0" t="s">
        <v>19737</v>
      </c>
      <c r="L5923" s="0" t="str">
        <f aca="false">HYPERLINK("https://www.ncbi.nlm.nih.gov/nuccore/CP000058.1?report=graph&amp;tracks=[key:gene_model_track,Options:GeneOnly]&amp;mk=1866853:1866872|offset_1|444444,1866799:1866818|offset_55|444444,1866778:1866797|offset_76|00cc00,1866726:1866745|offset_128|444444&amp;v=1866652:1866945&amp;c=444444", "offset 76")</f>
        <v>offset 76</v>
      </c>
    </row>
    <row r="5924" customFormat="false" ht="12.8" hidden="false" customHeight="false" outlineLevel="0" collapsed="false">
      <c r="A5924" s="0" t="s">
        <v>12</v>
      </c>
      <c r="B5924" s="0" t="n">
        <v>1866725</v>
      </c>
      <c r="C5924" s="0" t="n">
        <v>1866745</v>
      </c>
      <c r="D5924" s="0" t="s">
        <v>19727</v>
      </c>
      <c r="E5924" s="0" t="s">
        <v>19728</v>
      </c>
      <c r="F5924" s="0" t="s">
        <v>90</v>
      </c>
      <c r="G5924" s="0" t="s">
        <v>20</v>
      </c>
      <c r="H5924" s="0" t="n">
        <v>128</v>
      </c>
      <c r="I5924" s="0" t="s">
        <v>19738</v>
      </c>
      <c r="J5924" s="0" t="s">
        <v>19739</v>
      </c>
      <c r="K5924" s="0" t="s">
        <v>19740</v>
      </c>
      <c r="L5924" s="0" t="str">
        <f aca="false">HYPERLINK("https://www.ncbi.nlm.nih.gov/nuccore/CP000058.1?report=graph&amp;tracks=[key:gene_model_track,Options:GeneOnly]&amp;mk=1866853:1866872|offset_1|444444,1866799:1866818|offset_55|444444,1866778:1866797|offset_76|444444,1866726:1866745|offset_128|00cc00&amp;v=1866652:1866945&amp;c=444444", "offset 128")</f>
        <v>offset 128</v>
      </c>
    </row>
    <row r="5925" customFormat="false" ht="12.8" hidden="false" customHeight="false" outlineLevel="0" collapsed="false">
      <c r="A5925" s="0" t="s">
        <v>12</v>
      </c>
      <c r="B5925" s="0" t="n">
        <v>1867824</v>
      </c>
      <c r="C5925" s="0" t="n">
        <v>1867844</v>
      </c>
      <c r="D5925" s="0" t="s">
        <v>19741</v>
      </c>
      <c r="E5925" s="0" t="s">
        <v>19742</v>
      </c>
      <c r="F5925" s="0" t="s">
        <v>90</v>
      </c>
      <c r="G5925" s="0" t="s">
        <v>32</v>
      </c>
      <c r="H5925" s="0" t="n">
        <v>1</v>
      </c>
      <c r="I5925" s="0" t="s">
        <v>19743</v>
      </c>
      <c r="J5925" s="0" t="s">
        <v>19744</v>
      </c>
      <c r="K5925" s="0" t="s">
        <v>19745</v>
      </c>
      <c r="L5925" s="0" t="str">
        <f aca="false">HYPERLINK("https://www.ncbi.nlm.nih.gov/nuccore/CP000058.1?report=graph&amp;tracks=[key:gene_model_track,Options:GeneOnly]&amp;mk=1867825:1867844|offset_1|00cc00,1867800:1867819|offset_26|444444,1867762:1867781|offset_64|444444,1867741:1867760|offset_85|444444&amp;v=1867624:1867960&amp;c=444444", "offset 1")</f>
        <v>offset 1</v>
      </c>
    </row>
    <row r="5926" customFormat="false" ht="12.8" hidden="false" customHeight="false" outlineLevel="0" collapsed="false">
      <c r="A5926" s="0" t="s">
        <v>12</v>
      </c>
      <c r="B5926" s="0" t="n">
        <v>1867799</v>
      </c>
      <c r="C5926" s="0" t="n">
        <v>1867819</v>
      </c>
      <c r="D5926" s="0" t="s">
        <v>19741</v>
      </c>
      <c r="E5926" s="0" t="s">
        <v>19742</v>
      </c>
      <c r="F5926" s="0" t="s">
        <v>90</v>
      </c>
      <c r="G5926" s="0" t="s">
        <v>36</v>
      </c>
      <c r="H5926" s="0" t="n">
        <v>26</v>
      </c>
      <c r="I5926" s="0" t="s">
        <v>19746</v>
      </c>
      <c r="J5926" s="0" t="s">
        <v>19747</v>
      </c>
      <c r="K5926" s="0" t="s">
        <v>19748</v>
      </c>
      <c r="L5926" s="0" t="str">
        <f aca="false">HYPERLINK("https://www.ncbi.nlm.nih.gov/nuccore/CP000058.1?report=graph&amp;tracks=[key:gene_model_track,Options:GeneOnly]&amp;mk=1867825:1867844|offset_1|444444,1867800:1867819|offset_26|00cc00,1867762:1867781|offset_64|444444,1867741:1867760|offset_85|444444&amp;v=1867624:1867960&amp;c=444444", "offset 26")</f>
        <v>offset 26</v>
      </c>
    </row>
    <row r="5927" customFormat="false" ht="12.8" hidden="false" customHeight="false" outlineLevel="0" collapsed="false">
      <c r="A5927" s="0" t="s">
        <v>12</v>
      </c>
      <c r="B5927" s="0" t="n">
        <v>1867761</v>
      </c>
      <c r="C5927" s="0" t="n">
        <v>1867781</v>
      </c>
      <c r="D5927" s="0" t="s">
        <v>19741</v>
      </c>
      <c r="E5927" s="0" t="s">
        <v>19742</v>
      </c>
      <c r="F5927" s="0" t="s">
        <v>90</v>
      </c>
      <c r="G5927" s="0" t="s">
        <v>32</v>
      </c>
      <c r="H5927" s="0" t="n">
        <v>64</v>
      </c>
      <c r="I5927" s="0" t="s">
        <v>19749</v>
      </c>
      <c r="J5927" s="0" t="s">
        <v>19750</v>
      </c>
      <c r="K5927" s="0" t="s">
        <v>19751</v>
      </c>
      <c r="L5927" s="0" t="str">
        <f aca="false">HYPERLINK("https://www.ncbi.nlm.nih.gov/nuccore/CP000058.1?report=graph&amp;tracks=[key:gene_model_track,Options:GeneOnly]&amp;mk=1867825:1867844|offset_1|444444,1867800:1867819|offset_26|444444,1867762:1867781|offset_64|00cc00,1867741:1867760|offset_85|444444&amp;v=1867624:1867960&amp;c=444444", "offset 64")</f>
        <v>offset 64</v>
      </c>
    </row>
    <row r="5928" customFormat="false" ht="12.8" hidden="false" customHeight="false" outlineLevel="0" collapsed="false">
      <c r="A5928" s="0" t="s">
        <v>12</v>
      </c>
      <c r="B5928" s="0" t="n">
        <v>1867740</v>
      </c>
      <c r="C5928" s="0" t="n">
        <v>1867760</v>
      </c>
      <c r="D5928" s="0" t="s">
        <v>19741</v>
      </c>
      <c r="E5928" s="0" t="s">
        <v>19742</v>
      </c>
      <c r="F5928" s="0" t="s">
        <v>90</v>
      </c>
      <c r="G5928" s="0" t="s">
        <v>36</v>
      </c>
      <c r="H5928" s="0" t="n">
        <v>85</v>
      </c>
      <c r="I5928" s="0" t="s">
        <v>19752</v>
      </c>
      <c r="J5928" s="0" t="s">
        <v>19753</v>
      </c>
      <c r="K5928" s="0" t="s">
        <v>19754</v>
      </c>
      <c r="L5928" s="0" t="str">
        <f aca="false">HYPERLINK("https://www.ncbi.nlm.nih.gov/nuccore/CP000058.1?report=graph&amp;tracks=[key:gene_model_track,Options:GeneOnly]&amp;mk=1867825:1867844|offset_1|444444,1867800:1867819|offset_26|444444,1867762:1867781|offset_64|444444,1867741:1867760|offset_85|00cc00&amp;v=1867624:1867960&amp;c=444444", "offset 85")</f>
        <v>offset 85</v>
      </c>
    </row>
    <row r="5929" customFormat="false" ht="12.8" hidden="false" customHeight="false" outlineLevel="0" collapsed="false">
      <c r="A5929" s="0" t="s">
        <v>12</v>
      </c>
      <c r="B5929" s="0" t="n">
        <v>1867976</v>
      </c>
      <c r="C5929" s="0" t="n">
        <v>1867996</v>
      </c>
      <c r="D5929" s="0" t="s">
        <v>19755</v>
      </c>
      <c r="E5929" s="0" t="s">
        <v>19756</v>
      </c>
      <c r="F5929" s="0" t="s">
        <v>15</v>
      </c>
      <c r="G5929" s="0" t="s">
        <v>36</v>
      </c>
      <c r="H5929" s="0" t="n">
        <v>11</v>
      </c>
      <c r="I5929" s="0" t="s">
        <v>19757</v>
      </c>
      <c r="J5929" s="0" t="s">
        <v>19758</v>
      </c>
      <c r="K5929" s="0" t="s">
        <v>19759</v>
      </c>
      <c r="L5929" s="0" t="str">
        <f aca="false">HYPERLINK("https://www.ncbi.nlm.nih.gov/nuccore/CP000058.1?report=graph&amp;tracks=[key:gene_model_track,Options:GeneOnly]&amp;mk=1867977:1867996|offset_11|00cc00,1867998:1868017|offset_32|444444,1868055:1868074|offset_89|444444,1868081:1868100|offset_115|444444&amp;v=1867776:1868300&amp;c=444444", "offset 11")</f>
        <v>offset 11</v>
      </c>
    </row>
    <row r="5930" customFormat="false" ht="12.8" hidden="false" customHeight="false" outlineLevel="0" collapsed="false">
      <c r="A5930" s="0" t="s">
        <v>12</v>
      </c>
      <c r="B5930" s="0" t="n">
        <v>1867997</v>
      </c>
      <c r="C5930" s="0" t="n">
        <v>1868017</v>
      </c>
      <c r="D5930" s="0" t="s">
        <v>19755</v>
      </c>
      <c r="E5930" s="0" t="s">
        <v>19756</v>
      </c>
      <c r="F5930" s="0" t="s">
        <v>15</v>
      </c>
      <c r="G5930" s="0" t="s">
        <v>20</v>
      </c>
      <c r="H5930" s="0" t="n">
        <v>32</v>
      </c>
      <c r="I5930" s="0" t="s">
        <v>19760</v>
      </c>
      <c r="J5930" s="0" t="s">
        <v>19761</v>
      </c>
      <c r="K5930" s="0" t="s">
        <v>19762</v>
      </c>
      <c r="L5930" s="0" t="str">
        <f aca="false">HYPERLINK("https://www.ncbi.nlm.nih.gov/nuccore/CP000058.1?report=graph&amp;tracks=[key:gene_model_track,Options:GeneOnly]&amp;mk=1867977:1867996|offset_11|444444,1867998:1868017|offset_32|00cc00,1868055:1868074|offset_89|444444,1868081:1868100|offset_115|444444&amp;v=1867776:1868300&amp;c=444444", "offset 32")</f>
        <v>offset 32</v>
      </c>
    </row>
    <row r="5931" customFormat="false" ht="12.8" hidden="false" customHeight="false" outlineLevel="0" collapsed="false">
      <c r="A5931" s="0" t="s">
        <v>12</v>
      </c>
      <c r="B5931" s="0" t="n">
        <v>1868054</v>
      </c>
      <c r="C5931" s="0" t="n">
        <v>1868074</v>
      </c>
      <c r="D5931" s="0" t="s">
        <v>19755</v>
      </c>
      <c r="E5931" s="0" t="s">
        <v>19756</v>
      </c>
      <c r="F5931" s="0" t="s">
        <v>15</v>
      </c>
      <c r="G5931" s="0" t="s">
        <v>32</v>
      </c>
      <c r="H5931" s="0" t="n">
        <v>89</v>
      </c>
      <c r="I5931" s="0" t="s">
        <v>19763</v>
      </c>
      <c r="J5931" s="0" t="s">
        <v>19764</v>
      </c>
      <c r="K5931" s="0" t="s">
        <v>19765</v>
      </c>
      <c r="L5931" s="0" t="str">
        <f aca="false">HYPERLINK("https://www.ncbi.nlm.nih.gov/nuccore/CP000058.1?report=graph&amp;tracks=[key:gene_model_track,Options:GeneOnly]&amp;mk=1867977:1867996|offset_11|444444,1867998:1868017|offset_32|444444,1868055:1868074|offset_89|00cc00,1868081:1868100|offset_115|444444&amp;v=1867776:1868300&amp;c=444444", "offset 89")</f>
        <v>offset 89</v>
      </c>
    </row>
    <row r="5932" customFormat="false" ht="12.8" hidden="false" customHeight="false" outlineLevel="0" collapsed="false">
      <c r="A5932" s="0" t="s">
        <v>12</v>
      </c>
      <c r="B5932" s="0" t="n">
        <v>1868080</v>
      </c>
      <c r="C5932" s="0" t="n">
        <v>1868100</v>
      </c>
      <c r="D5932" s="0" t="s">
        <v>19755</v>
      </c>
      <c r="E5932" s="0" t="s">
        <v>19756</v>
      </c>
      <c r="F5932" s="0" t="s">
        <v>15</v>
      </c>
      <c r="G5932" s="0" t="s">
        <v>32</v>
      </c>
      <c r="H5932" s="0" t="n">
        <v>115</v>
      </c>
      <c r="I5932" s="0" t="s">
        <v>19766</v>
      </c>
      <c r="J5932" s="0" t="s">
        <v>19767</v>
      </c>
      <c r="K5932" s="0" t="s">
        <v>19768</v>
      </c>
      <c r="L5932" s="0" t="str">
        <f aca="false">HYPERLINK("https://www.ncbi.nlm.nih.gov/nuccore/CP000058.1?report=graph&amp;tracks=[key:gene_model_track,Options:GeneOnly]&amp;mk=1867977:1867996|offset_11|444444,1867998:1868017|offset_32|444444,1868055:1868074|offset_89|444444,1868081:1868100|offset_115|00cc00&amp;v=1867776:1868300&amp;c=444444", "offset 115")</f>
        <v>offset 115</v>
      </c>
    </row>
    <row r="5933" customFormat="false" ht="12.8" hidden="false" customHeight="false" outlineLevel="0" collapsed="false">
      <c r="A5933" s="0" t="s">
        <v>12</v>
      </c>
      <c r="B5933" s="0" t="n">
        <v>1868937</v>
      </c>
      <c r="C5933" s="0" t="n">
        <v>1868957</v>
      </c>
      <c r="D5933" s="0" t="s">
        <v>19769</v>
      </c>
      <c r="E5933" s="0" t="s">
        <v>75</v>
      </c>
      <c r="F5933" s="0" t="s">
        <v>15</v>
      </c>
      <c r="G5933" s="0" t="s">
        <v>32</v>
      </c>
      <c r="H5933" s="0" t="n">
        <v>6</v>
      </c>
      <c r="I5933" s="0" t="s">
        <v>19770</v>
      </c>
      <c r="J5933" s="0" t="s">
        <v>19771</v>
      </c>
      <c r="K5933" s="0" t="s">
        <v>19772</v>
      </c>
      <c r="L5933" s="0" t="str">
        <f aca="false">HYPERLINK("https://www.ncbi.nlm.nih.gov/nuccore/CP000058.1?report=graph&amp;tracks=[key:gene_model_track,Options:GeneOnly]&amp;mk=1868938:1868957|offset_6|00cc00,1868958:1868977|offset_26|444444,1868980:1868999|offset_48|444444,1869053:1869072|offset_121|444444&amp;v=1868737:1869272&amp;c=444444", "offset 6")</f>
        <v>offset 6</v>
      </c>
    </row>
    <row r="5934" customFormat="false" ht="12.8" hidden="false" customHeight="false" outlineLevel="0" collapsed="false">
      <c r="A5934" s="0" t="s">
        <v>12</v>
      </c>
      <c r="B5934" s="0" t="n">
        <v>1868957</v>
      </c>
      <c r="C5934" s="0" t="n">
        <v>1868977</v>
      </c>
      <c r="D5934" s="0" t="s">
        <v>19769</v>
      </c>
      <c r="E5934" s="0" t="s">
        <v>75</v>
      </c>
      <c r="F5934" s="0" t="s">
        <v>15</v>
      </c>
      <c r="G5934" s="0" t="s">
        <v>32</v>
      </c>
      <c r="H5934" s="0" t="n">
        <v>26</v>
      </c>
      <c r="I5934" s="0" t="s">
        <v>19773</v>
      </c>
      <c r="J5934" s="0" t="s">
        <v>19774</v>
      </c>
      <c r="K5934" s="0" t="s">
        <v>19775</v>
      </c>
      <c r="L5934" s="0" t="str">
        <f aca="false">HYPERLINK("https://www.ncbi.nlm.nih.gov/nuccore/CP000058.1?report=graph&amp;tracks=[key:gene_model_track,Options:GeneOnly]&amp;mk=1868938:1868957|offset_6|444444,1868958:1868977|offset_26|00cc00,1868980:1868999|offset_48|444444,1869053:1869072|offset_121|444444&amp;v=1868737:1869272&amp;c=444444", "offset 26")</f>
        <v>offset 26</v>
      </c>
    </row>
    <row r="5935" customFormat="false" ht="12.8" hidden="false" customHeight="false" outlineLevel="0" collapsed="false">
      <c r="A5935" s="0" t="s">
        <v>12</v>
      </c>
      <c r="B5935" s="0" t="n">
        <v>1868979</v>
      </c>
      <c r="C5935" s="0" t="n">
        <v>1868999</v>
      </c>
      <c r="D5935" s="0" t="s">
        <v>19769</v>
      </c>
      <c r="E5935" s="0" t="s">
        <v>75</v>
      </c>
      <c r="F5935" s="0" t="s">
        <v>15</v>
      </c>
      <c r="G5935" s="0" t="s">
        <v>36</v>
      </c>
      <c r="H5935" s="0" t="n">
        <v>48</v>
      </c>
      <c r="I5935" s="0" t="s">
        <v>19776</v>
      </c>
      <c r="J5935" s="0" t="s">
        <v>19777</v>
      </c>
      <c r="K5935" s="0" t="s">
        <v>19778</v>
      </c>
      <c r="L5935" s="0" t="str">
        <f aca="false">HYPERLINK("https://www.ncbi.nlm.nih.gov/nuccore/CP000058.1?report=graph&amp;tracks=[key:gene_model_track,Options:GeneOnly]&amp;mk=1868938:1868957|offset_6|444444,1868958:1868977|offset_26|444444,1868980:1868999|offset_48|00cc00,1869053:1869072|offset_121|444444&amp;v=1868737:1869272&amp;c=444444", "offset 48")</f>
        <v>offset 48</v>
      </c>
    </row>
    <row r="5936" customFormat="false" ht="12.8" hidden="false" customHeight="false" outlineLevel="0" collapsed="false">
      <c r="A5936" s="0" t="s">
        <v>12</v>
      </c>
      <c r="B5936" s="0" t="n">
        <v>1869052</v>
      </c>
      <c r="C5936" s="0" t="n">
        <v>1869072</v>
      </c>
      <c r="D5936" s="0" t="s">
        <v>19769</v>
      </c>
      <c r="E5936" s="0" t="s">
        <v>75</v>
      </c>
      <c r="F5936" s="0" t="s">
        <v>15</v>
      </c>
      <c r="G5936" s="0" t="s">
        <v>16</v>
      </c>
      <c r="H5936" s="0" t="n">
        <v>121</v>
      </c>
      <c r="I5936" s="0" t="s">
        <v>19779</v>
      </c>
      <c r="J5936" s="0" t="s">
        <v>19780</v>
      </c>
      <c r="K5936" s="0" t="s">
        <v>19781</v>
      </c>
      <c r="L5936" s="0" t="str">
        <f aca="false">HYPERLINK("https://www.ncbi.nlm.nih.gov/nuccore/CP000058.1?report=graph&amp;tracks=[key:gene_model_track,Options:GeneOnly]&amp;mk=1868938:1868957|offset_6|444444,1868958:1868977|offset_26|444444,1868980:1868999|offset_48|444444,1869053:1869072|offset_121|00cc00&amp;v=1868737:1869272&amp;c=444444", "offset 121")</f>
        <v>offset 121</v>
      </c>
    </row>
    <row r="5937" customFormat="false" ht="12.8" hidden="false" customHeight="false" outlineLevel="0" collapsed="false">
      <c r="A5937" s="0" t="s">
        <v>12</v>
      </c>
      <c r="B5937" s="0" t="n">
        <v>1870341</v>
      </c>
      <c r="C5937" s="0" t="n">
        <v>1870361</v>
      </c>
      <c r="D5937" s="0" t="s">
        <v>19782</v>
      </c>
      <c r="E5937" s="0" t="s">
        <v>75</v>
      </c>
      <c r="F5937" s="0" t="s">
        <v>90</v>
      </c>
      <c r="G5937" s="0" t="s">
        <v>36</v>
      </c>
      <c r="H5937" s="0" t="n">
        <v>30</v>
      </c>
      <c r="I5937" s="0" t="s">
        <v>19783</v>
      </c>
      <c r="J5937" s="0" t="s">
        <v>19784</v>
      </c>
      <c r="K5937" s="0" t="s">
        <v>19785</v>
      </c>
      <c r="L5937" s="0" t="str">
        <f aca="false">HYPERLINK("https://www.ncbi.nlm.nih.gov/nuccore/CP000058.1?report=graph&amp;tracks=[key:gene_model_track,Options:GeneOnly]&amp;mk=1870342:1870361|offset_30|00cc00,1870316:1870335|offset_56|444444,1870286:1870305|offset_86|444444,1870238:1870257|offset_134|444444&amp;v=1870141:1870457&amp;c=444444", "offset 30")</f>
        <v>offset 30</v>
      </c>
    </row>
    <row r="5938" customFormat="false" ht="12.8" hidden="false" customHeight="false" outlineLevel="0" collapsed="false">
      <c r="A5938" s="0" t="s">
        <v>12</v>
      </c>
      <c r="B5938" s="0" t="n">
        <v>1870315</v>
      </c>
      <c r="C5938" s="0" t="n">
        <v>1870335</v>
      </c>
      <c r="D5938" s="0" t="s">
        <v>19782</v>
      </c>
      <c r="E5938" s="0" t="s">
        <v>75</v>
      </c>
      <c r="F5938" s="0" t="s">
        <v>90</v>
      </c>
      <c r="G5938" s="0" t="s">
        <v>32</v>
      </c>
      <c r="H5938" s="0" t="n">
        <v>56</v>
      </c>
      <c r="I5938" s="0" t="s">
        <v>19786</v>
      </c>
      <c r="J5938" s="0" t="s">
        <v>19787</v>
      </c>
      <c r="K5938" s="0" t="s">
        <v>19788</v>
      </c>
      <c r="L5938" s="0" t="str">
        <f aca="false">HYPERLINK("https://www.ncbi.nlm.nih.gov/nuccore/CP000058.1?report=graph&amp;tracks=[key:gene_model_track,Options:GeneOnly]&amp;mk=1870342:1870361|offset_30|444444,1870316:1870335|offset_56|00cc00,1870286:1870305|offset_86|444444,1870238:1870257|offset_134|444444&amp;v=1870141:1870457&amp;c=444444", "offset 56")</f>
        <v>offset 56</v>
      </c>
    </row>
    <row r="5939" customFormat="false" ht="12.8" hidden="false" customHeight="false" outlineLevel="0" collapsed="false">
      <c r="A5939" s="0" t="s">
        <v>12</v>
      </c>
      <c r="B5939" s="0" t="n">
        <v>1870285</v>
      </c>
      <c r="C5939" s="0" t="n">
        <v>1870305</v>
      </c>
      <c r="D5939" s="0" t="s">
        <v>19782</v>
      </c>
      <c r="E5939" s="0" t="s">
        <v>75</v>
      </c>
      <c r="F5939" s="0" t="s">
        <v>90</v>
      </c>
      <c r="G5939" s="0" t="s">
        <v>36</v>
      </c>
      <c r="H5939" s="0" t="n">
        <v>86</v>
      </c>
      <c r="I5939" s="0" t="s">
        <v>19789</v>
      </c>
      <c r="J5939" s="0" t="s">
        <v>19790</v>
      </c>
      <c r="K5939" s="0" t="s">
        <v>19791</v>
      </c>
      <c r="L5939" s="0" t="str">
        <f aca="false">HYPERLINK("https://www.ncbi.nlm.nih.gov/nuccore/CP000058.1?report=graph&amp;tracks=[key:gene_model_track,Options:GeneOnly]&amp;mk=1870342:1870361|offset_30|444444,1870316:1870335|offset_56|444444,1870286:1870305|offset_86|00cc00,1870238:1870257|offset_134|444444&amp;v=1870141:1870457&amp;c=444444", "offset 86")</f>
        <v>offset 86</v>
      </c>
    </row>
    <row r="5940" customFormat="false" ht="12.8" hidden="false" customHeight="false" outlineLevel="0" collapsed="false">
      <c r="A5940" s="0" t="s">
        <v>12</v>
      </c>
      <c r="B5940" s="0" t="n">
        <v>1870237</v>
      </c>
      <c r="C5940" s="0" t="n">
        <v>1870257</v>
      </c>
      <c r="D5940" s="0" t="s">
        <v>19782</v>
      </c>
      <c r="E5940" s="0" t="s">
        <v>75</v>
      </c>
      <c r="F5940" s="0" t="s">
        <v>90</v>
      </c>
      <c r="G5940" s="0" t="s">
        <v>16</v>
      </c>
      <c r="H5940" s="0" t="n">
        <v>134</v>
      </c>
      <c r="I5940" s="0" t="s">
        <v>19792</v>
      </c>
      <c r="J5940" s="0" t="s">
        <v>19793</v>
      </c>
      <c r="K5940" s="0" t="s">
        <v>19794</v>
      </c>
      <c r="L5940" s="0" t="str">
        <f aca="false">HYPERLINK("https://www.ncbi.nlm.nih.gov/nuccore/CP000058.1?report=graph&amp;tracks=[key:gene_model_track,Options:GeneOnly]&amp;mk=1870342:1870361|offset_30|444444,1870316:1870335|offset_56|444444,1870286:1870305|offset_86|444444,1870238:1870257|offset_134|00cc00&amp;v=1870141:1870457&amp;c=444444", "offset 134")</f>
        <v>offset 134</v>
      </c>
    </row>
    <row r="5941" customFormat="false" ht="12.8" hidden="false" customHeight="false" outlineLevel="0" collapsed="false">
      <c r="A5941" s="0" t="s">
        <v>12</v>
      </c>
      <c r="B5941" s="0" t="n">
        <v>1871178</v>
      </c>
      <c r="C5941" s="0" t="n">
        <v>1871198</v>
      </c>
      <c r="D5941" s="0" t="s">
        <v>19795</v>
      </c>
      <c r="E5941" s="0" t="s">
        <v>75</v>
      </c>
      <c r="F5941" s="0" t="s">
        <v>90</v>
      </c>
      <c r="G5941" s="0" t="s">
        <v>32</v>
      </c>
      <c r="H5941" s="0" t="n">
        <v>34</v>
      </c>
      <c r="I5941" s="0" t="s">
        <v>19796</v>
      </c>
      <c r="J5941" s="0" t="s">
        <v>19797</v>
      </c>
      <c r="K5941" s="0" t="s">
        <v>19798</v>
      </c>
      <c r="L5941" s="0" t="str">
        <f aca="false">HYPERLINK("https://www.ncbi.nlm.nih.gov/nuccore/CP000058.1?report=graph&amp;tracks=[key:gene_model_track,Options:GeneOnly]&amp;mk=1871179:1871198|offset_34|00cc00,1871150:1871169|offset_63|444444,1871072:1871091|offset_141|444444,1871038:1871057|offset_175|444444&amp;v=1870978:1871257&amp;c=444444", "offset 34")</f>
        <v>offset 34</v>
      </c>
    </row>
    <row r="5942" customFormat="false" ht="12.8" hidden="false" customHeight="false" outlineLevel="0" collapsed="false">
      <c r="A5942" s="0" t="s">
        <v>12</v>
      </c>
      <c r="B5942" s="0" t="n">
        <v>1871149</v>
      </c>
      <c r="C5942" s="0" t="n">
        <v>1871169</v>
      </c>
      <c r="D5942" s="0" t="s">
        <v>19795</v>
      </c>
      <c r="E5942" s="0" t="s">
        <v>75</v>
      </c>
      <c r="F5942" s="0" t="s">
        <v>90</v>
      </c>
      <c r="G5942" s="0" t="s">
        <v>20</v>
      </c>
      <c r="H5942" s="0" t="n">
        <v>63</v>
      </c>
      <c r="I5942" s="0" t="s">
        <v>19799</v>
      </c>
      <c r="J5942" s="0" t="s">
        <v>19800</v>
      </c>
      <c r="K5942" s="0" t="s">
        <v>19801</v>
      </c>
      <c r="L5942" s="0" t="str">
        <f aca="false">HYPERLINK("https://www.ncbi.nlm.nih.gov/nuccore/CP000058.1?report=graph&amp;tracks=[key:gene_model_track,Options:GeneOnly]&amp;mk=1871179:1871198|offset_34|444444,1871150:1871169|offset_63|00cc00,1871072:1871091|offset_141|444444,1871038:1871057|offset_175|444444&amp;v=1870978:1871257&amp;c=444444", "offset 63")</f>
        <v>offset 63</v>
      </c>
    </row>
    <row r="5943" customFormat="false" ht="12.8" hidden="false" customHeight="false" outlineLevel="0" collapsed="false">
      <c r="A5943" s="0" t="s">
        <v>12</v>
      </c>
      <c r="B5943" s="0" t="n">
        <v>1871071</v>
      </c>
      <c r="C5943" s="0" t="n">
        <v>1871091</v>
      </c>
      <c r="D5943" s="0" t="s">
        <v>19795</v>
      </c>
      <c r="E5943" s="0" t="s">
        <v>75</v>
      </c>
      <c r="F5943" s="0" t="s">
        <v>90</v>
      </c>
      <c r="G5943" s="0" t="s">
        <v>20</v>
      </c>
      <c r="H5943" s="0" t="n">
        <v>141</v>
      </c>
      <c r="I5943" s="0" t="s">
        <v>19802</v>
      </c>
      <c r="J5943" s="0" t="s">
        <v>19803</v>
      </c>
      <c r="K5943" s="0" t="s">
        <v>19804</v>
      </c>
      <c r="L5943" s="0" t="str">
        <f aca="false">HYPERLINK("https://www.ncbi.nlm.nih.gov/nuccore/CP000058.1?report=graph&amp;tracks=[key:gene_model_track,Options:GeneOnly]&amp;mk=1871179:1871198|offset_34|444444,1871150:1871169|offset_63|444444,1871072:1871091|offset_141|00cc00,1871038:1871057|offset_175|444444&amp;v=1870978:1871257&amp;c=444444", "offset 141")</f>
        <v>offset 141</v>
      </c>
    </row>
    <row r="5944" customFormat="false" ht="12.8" hidden="false" customHeight="false" outlineLevel="0" collapsed="false">
      <c r="A5944" s="0" t="s">
        <v>12</v>
      </c>
      <c r="B5944" s="0" t="n">
        <v>1871037</v>
      </c>
      <c r="C5944" s="0" t="n">
        <v>1871057</v>
      </c>
      <c r="D5944" s="0" t="s">
        <v>19795</v>
      </c>
      <c r="E5944" s="0" t="s">
        <v>75</v>
      </c>
      <c r="F5944" s="0" t="s">
        <v>90</v>
      </c>
      <c r="G5944" s="0" t="s">
        <v>16</v>
      </c>
      <c r="H5944" s="0" t="n">
        <v>175</v>
      </c>
      <c r="I5944" s="0" t="s">
        <v>19805</v>
      </c>
      <c r="J5944" s="0" t="s">
        <v>19806</v>
      </c>
      <c r="K5944" s="0" t="s">
        <v>19807</v>
      </c>
      <c r="L5944" s="0" t="str">
        <f aca="false">HYPERLINK("https://www.ncbi.nlm.nih.gov/nuccore/CP000058.1?report=graph&amp;tracks=[key:gene_model_track,Options:GeneOnly]&amp;mk=1871179:1871198|offset_34|444444,1871150:1871169|offset_63|444444,1871072:1871091|offset_141|444444,1871038:1871057|offset_175|00cc00&amp;v=1870978:1871257&amp;c=444444", "offset 175")</f>
        <v>offset 175</v>
      </c>
    </row>
    <row r="5945" customFormat="false" ht="12.8" hidden="false" customHeight="false" outlineLevel="0" collapsed="false">
      <c r="A5945" s="0" t="s">
        <v>12</v>
      </c>
      <c r="B5945" s="0" t="n">
        <v>1871993</v>
      </c>
      <c r="C5945" s="0" t="n">
        <v>1872013</v>
      </c>
      <c r="D5945" s="0" t="s">
        <v>19808</v>
      </c>
      <c r="E5945" s="0" t="s">
        <v>75</v>
      </c>
      <c r="F5945" s="0" t="s">
        <v>90</v>
      </c>
      <c r="G5945" s="0" t="s">
        <v>32</v>
      </c>
      <c r="H5945" s="0" t="n">
        <v>16</v>
      </c>
      <c r="I5945" s="0" t="s">
        <v>19809</v>
      </c>
      <c r="J5945" s="0" t="s">
        <v>19810</v>
      </c>
      <c r="K5945" s="0" t="s">
        <v>19811</v>
      </c>
      <c r="L5945" s="0" t="str">
        <f aca="false">HYPERLINK("https://www.ncbi.nlm.nih.gov/nuccore/CP000058.1?report=graph&amp;tracks=[key:gene_model_track,Options:GeneOnly]&amp;mk=1871994:1872013|offset_16|00cc00,1871971:1871990|offset_39|444444,1871940:1871959|offset_70|444444,1871915:1871934|offset_95|444444&amp;v=1871793:1872134&amp;c=444444", "offset 16")</f>
        <v>offset 16</v>
      </c>
    </row>
    <row r="5946" customFormat="false" ht="12.8" hidden="false" customHeight="false" outlineLevel="0" collapsed="false">
      <c r="A5946" s="0" t="s">
        <v>12</v>
      </c>
      <c r="B5946" s="0" t="n">
        <v>1871970</v>
      </c>
      <c r="C5946" s="0" t="n">
        <v>1871990</v>
      </c>
      <c r="D5946" s="0" t="s">
        <v>19808</v>
      </c>
      <c r="E5946" s="0" t="s">
        <v>75</v>
      </c>
      <c r="F5946" s="0" t="s">
        <v>90</v>
      </c>
      <c r="G5946" s="0" t="s">
        <v>20</v>
      </c>
      <c r="H5946" s="0" t="n">
        <v>39</v>
      </c>
      <c r="I5946" s="0" t="s">
        <v>19812</v>
      </c>
      <c r="J5946" s="0" t="s">
        <v>19813</v>
      </c>
      <c r="K5946" s="0" t="s">
        <v>19814</v>
      </c>
      <c r="L5946" s="0" t="str">
        <f aca="false">HYPERLINK("https://www.ncbi.nlm.nih.gov/nuccore/CP000058.1?report=graph&amp;tracks=[key:gene_model_track,Options:GeneOnly]&amp;mk=1871994:1872013|offset_16|444444,1871971:1871990|offset_39|00cc00,1871940:1871959|offset_70|444444,1871915:1871934|offset_95|444444&amp;v=1871793:1872134&amp;c=444444", "offset 39")</f>
        <v>offset 39</v>
      </c>
    </row>
    <row r="5947" customFormat="false" ht="12.8" hidden="false" customHeight="false" outlineLevel="0" collapsed="false">
      <c r="A5947" s="0" t="s">
        <v>12</v>
      </c>
      <c r="B5947" s="0" t="n">
        <v>1871939</v>
      </c>
      <c r="C5947" s="0" t="n">
        <v>1871959</v>
      </c>
      <c r="D5947" s="0" t="s">
        <v>19808</v>
      </c>
      <c r="E5947" s="0" t="s">
        <v>75</v>
      </c>
      <c r="F5947" s="0" t="s">
        <v>90</v>
      </c>
      <c r="G5947" s="0" t="s">
        <v>32</v>
      </c>
      <c r="H5947" s="0" t="n">
        <v>70</v>
      </c>
      <c r="I5947" s="0" t="s">
        <v>19815</v>
      </c>
      <c r="J5947" s="0" t="s">
        <v>19816</v>
      </c>
      <c r="K5947" s="0" t="s">
        <v>19817</v>
      </c>
      <c r="L5947" s="0" t="str">
        <f aca="false">HYPERLINK("https://www.ncbi.nlm.nih.gov/nuccore/CP000058.1?report=graph&amp;tracks=[key:gene_model_track,Options:GeneOnly]&amp;mk=1871994:1872013|offset_16|444444,1871971:1871990|offset_39|444444,1871940:1871959|offset_70|00cc00,1871915:1871934|offset_95|444444&amp;v=1871793:1872134&amp;c=444444", "offset 70")</f>
        <v>offset 70</v>
      </c>
    </row>
    <row r="5948" customFormat="false" ht="12.8" hidden="false" customHeight="false" outlineLevel="0" collapsed="false">
      <c r="A5948" s="0" t="s">
        <v>12</v>
      </c>
      <c r="B5948" s="0" t="n">
        <v>1871914</v>
      </c>
      <c r="C5948" s="0" t="n">
        <v>1871934</v>
      </c>
      <c r="D5948" s="0" t="s">
        <v>19808</v>
      </c>
      <c r="E5948" s="0" t="s">
        <v>75</v>
      </c>
      <c r="F5948" s="0" t="s">
        <v>90</v>
      </c>
      <c r="G5948" s="0" t="s">
        <v>20</v>
      </c>
      <c r="H5948" s="0" t="n">
        <v>95</v>
      </c>
      <c r="I5948" s="0" t="s">
        <v>19818</v>
      </c>
      <c r="J5948" s="0" t="s">
        <v>19819</v>
      </c>
      <c r="K5948" s="0" t="s">
        <v>19820</v>
      </c>
      <c r="L5948" s="0" t="str">
        <f aca="false">HYPERLINK("https://www.ncbi.nlm.nih.gov/nuccore/CP000058.1?report=graph&amp;tracks=[key:gene_model_track,Options:GeneOnly]&amp;mk=1871994:1872013|offset_16|444444,1871971:1871990|offset_39|444444,1871940:1871959|offset_70|444444,1871915:1871934|offset_95|00cc00&amp;v=1871793:1872134&amp;c=444444", "offset 95")</f>
        <v>offset 95</v>
      </c>
    </row>
    <row r="5949" customFormat="false" ht="12.8" hidden="false" customHeight="false" outlineLevel="0" collapsed="false">
      <c r="A5949" s="0" t="s">
        <v>12</v>
      </c>
      <c r="B5949" s="0" t="n">
        <v>1872500</v>
      </c>
      <c r="C5949" s="0" t="n">
        <v>1872520</v>
      </c>
      <c r="D5949" s="0" t="s">
        <v>19821</v>
      </c>
      <c r="E5949" s="0" t="s">
        <v>75</v>
      </c>
      <c r="F5949" s="0" t="s">
        <v>90</v>
      </c>
      <c r="G5949" s="0" t="s">
        <v>20</v>
      </c>
      <c r="H5949" s="0" t="n">
        <v>17</v>
      </c>
      <c r="I5949" s="0" t="s">
        <v>19822</v>
      </c>
      <c r="J5949" s="0" t="s">
        <v>19823</v>
      </c>
      <c r="K5949" s="0" t="s">
        <v>19824</v>
      </c>
      <c r="L5949" s="0" t="str">
        <f aca="false">HYPERLINK("https://www.ncbi.nlm.nih.gov/nuccore/CP000058.1?report=graph&amp;tracks=[key:gene_model_track,Options:GeneOnly]&amp;mk=1872501:1872520|offset_17|00cc00,1872462:1872481|offset_56|444444,1872433:1872452|offset_85|444444,1872382:1872401|offset_136|444444&amp;v=1872300:1872601&amp;c=444444", "offset 17")</f>
        <v>offset 17</v>
      </c>
    </row>
    <row r="5950" customFormat="false" ht="12.8" hidden="false" customHeight="false" outlineLevel="0" collapsed="false">
      <c r="A5950" s="0" t="s">
        <v>12</v>
      </c>
      <c r="B5950" s="0" t="n">
        <v>1872461</v>
      </c>
      <c r="C5950" s="0" t="n">
        <v>1872481</v>
      </c>
      <c r="D5950" s="0" t="s">
        <v>19821</v>
      </c>
      <c r="E5950" s="0" t="s">
        <v>75</v>
      </c>
      <c r="F5950" s="0" t="s">
        <v>90</v>
      </c>
      <c r="G5950" s="0" t="s">
        <v>32</v>
      </c>
      <c r="H5950" s="0" t="n">
        <v>56</v>
      </c>
      <c r="I5950" s="0" t="s">
        <v>19825</v>
      </c>
      <c r="J5950" s="0" t="s">
        <v>19826</v>
      </c>
      <c r="K5950" s="0" t="s">
        <v>19827</v>
      </c>
      <c r="L5950" s="0" t="str">
        <f aca="false">HYPERLINK("https://www.ncbi.nlm.nih.gov/nuccore/CP000058.1?report=graph&amp;tracks=[key:gene_model_track,Options:GeneOnly]&amp;mk=1872501:1872520|offset_17|444444,1872462:1872481|offset_56|00cc00,1872433:1872452|offset_85|444444,1872382:1872401|offset_136|444444&amp;v=1872300:1872601&amp;c=444444", "offset 56")</f>
        <v>offset 56</v>
      </c>
    </row>
    <row r="5951" customFormat="false" ht="12.8" hidden="false" customHeight="false" outlineLevel="0" collapsed="false">
      <c r="A5951" s="0" t="s">
        <v>12</v>
      </c>
      <c r="B5951" s="0" t="n">
        <v>1872432</v>
      </c>
      <c r="C5951" s="0" t="n">
        <v>1872452</v>
      </c>
      <c r="D5951" s="0" t="s">
        <v>19821</v>
      </c>
      <c r="E5951" s="0" t="s">
        <v>75</v>
      </c>
      <c r="F5951" s="0" t="s">
        <v>90</v>
      </c>
      <c r="G5951" s="0" t="s">
        <v>36</v>
      </c>
      <c r="H5951" s="0" t="n">
        <v>85</v>
      </c>
      <c r="I5951" s="0" t="s">
        <v>19828</v>
      </c>
      <c r="J5951" s="0" t="s">
        <v>19829</v>
      </c>
      <c r="K5951" s="0" t="s">
        <v>19830</v>
      </c>
      <c r="L5951" s="0" t="str">
        <f aca="false">HYPERLINK("https://www.ncbi.nlm.nih.gov/nuccore/CP000058.1?report=graph&amp;tracks=[key:gene_model_track,Options:GeneOnly]&amp;mk=1872501:1872520|offset_17|444444,1872462:1872481|offset_56|444444,1872433:1872452|offset_85|00cc00,1872382:1872401|offset_136|444444&amp;v=1872300:1872601&amp;c=444444", "offset 85")</f>
        <v>offset 85</v>
      </c>
    </row>
    <row r="5952" customFormat="false" ht="12.8" hidden="false" customHeight="false" outlineLevel="0" collapsed="false">
      <c r="A5952" s="0" t="s">
        <v>12</v>
      </c>
      <c r="B5952" s="0" t="n">
        <v>1872381</v>
      </c>
      <c r="C5952" s="0" t="n">
        <v>1872401</v>
      </c>
      <c r="D5952" s="0" t="s">
        <v>19821</v>
      </c>
      <c r="E5952" s="0" t="s">
        <v>75</v>
      </c>
      <c r="F5952" s="0" t="s">
        <v>90</v>
      </c>
      <c r="G5952" s="0" t="s">
        <v>36</v>
      </c>
      <c r="H5952" s="0" t="n">
        <v>136</v>
      </c>
      <c r="I5952" s="0" t="s">
        <v>19831</v>
      </c>
      <c r="J5952" s="0" t="s">
        <v>19832</v>
      </c>
      <c r="K5952" s="0" t="s">
        <v>19833</v>
      </c>
      <c r="L5952" s="0" t="str">
        <f aca="false">HYPERLINK("https://www.ncbi.nlm.nih.gov/nuccore/CP000058.1?report=graph&amp;tracks=[key:gene_model_track,Options:GeneOnly]&amp;mk=1872501:1872520|offset_17|444444,1872462:1872481|offset_56|444444,1872433:1872452|offset_85|444444,1872382:1872401|offset_136|00cc00&amp;v=1872300:1872601&amp;c=444444", "offset 136")</f>
        <v>offset 136</v>
      </c>
    </row>
    <row r="5953" customFormat="false" ht="12.8" hidden="false" customHeight="false" outlineLevel="0" collapsed="false">
      <c r="A5953" s="0" t="s">
        <v>12</v>
      </c>
      <c r="B5953" s="0" t="n">
        <v>1873687</v>
      </c>
      <c r="C5953" s="0" t="n">
        <v>1873707</v>
      </c>
      <c r="D5953" s="0" t="s">
        <v>19834</v>
      </c>
      <c r="E5953" s="0" t="s">
        <v>75</v>
      </c>
      <c r="F5953" s="0" t="s">
        <v>90</v>
      </c>
      <c r="G5953" s="0" t="s">
        <v>16</v>
      </c>
      <c r="H5953" s="0" t="n">
        <v>19</v>
      </c>
      <c r="I5953" s="0" t="s">
        <v>19835</v>
      </c>
      <c r="J5953" s="0" t="s">
        <v>19836</v>
      </c>
      <c r="K5953" s="0" t="s">
        <v>19837</v>
      </c>
      <c r="L5953" s="0" t="str">
        <f aca="false">HYPERLINK("https://www.ncbi.nlm.nih.gov/nuccore/CP000058.1?report=graph&amp;tracks=[key:gene_model_track,Options:GeneOnly]&amp;mk=1873688:1873707|offset_19|00cc00,1873662:1873681|offset_45|444444,1873642:1873661|offset_65|444444,1873616:1873635|offset_91|444444&amp;v=1873487:1873835&amp;c=444444", "offset 19")</f>
        <v>offset 19</v>
      </c>
    </row>
    <row r="5954" customFormat="false" ht="12.8" hidden="false" customHeight="false" outlineLevel="0" collapsed="false">
      <c r="A5954" s="0" t="s">
        <v>12</v>
      </c>
      <c r="B5954" s="0" t="n">
        <v>1873661</v>
      </c>
      <c r="C5954" s="0" t="n">
        <v>1873681</v>
      </c>
      <c r="D5954" s="0" t="s">
        <v>19834</v>
      </c>
      <c r="E5954" s="0" t="s">
        <v>75</v>
      </c>
      <c r="F5954" s="0" t="s">
        <v>90</v>
      </c>
      <c r="G5954" s="0" t="s">
        <v>32</v>
      </c>
      <c r="H5954" s="0" t="n">
        <v>45</v>
      </c>
      <c r="I5954" s="0" t="s">
        <v>19838</v>
      </c>
      <c r="J5954" s="0" t="s">
        <v>19839</v>
      </c>
      <c r="K5954" s="0" t="s">
        <v>19840</v>
      </c>
      <c r="L5954" s="0" t="str">
        <f aca="false">HYPERLINK("https://www.ncbi.nlm.nih.gov/nuccore/CP000058.1?report=graph&amp;tracks=[key:gene_model_track,Options:GeneOnly]&amp;mk=1873688:1873707|offset_19|444444,1873662:1873681|offset_45|00cc00,1873642:1873661|offset_65|444444,1873616:1873635|offset_91|444444&amp;v=1873487:1873835&amp;c=444444", "offset 45")</f>
        <v>offset 45</v>
      </c>
    </row>
    <row r="5955" customFormat="false" ht="12.8" hidden="false" customHeight="false" outlineLevel="0" collapsed="false">
      <c r="A5955" s="0" t="s">
        <v>12</v>
      </c>
      <c r="B5955" s="0" t="n">
        <v>1873641</v>
      </c>
      <c r="C5955" s="0" t="n">
        <v>1873661</v>
      </c>
      <c r="D5955" s="0" t="s">
        <v>19834</v>
      </c>
      <c r="E5955" s="0" t="s">
        <v>75</v>
      </c>
      <c r="F5955" s="0" t="s">
        <v>90</v>
      </c>
      <c r="G5955" s="0" t="s">
        <v>32</v>
      </c>
      <c r="H5955" s="0" t="n">
        <v>65</v>
      </c>
      <c r="I5955" s="0" t="s">
        <v>19841</v>
      </c>
      <c r="J5955" s="0" t="s">
        <v>19842</v>
      </c>
      <c r="K5955" s="0" t="s">
        <v>19843</v>
      </c>
      <c r="L5955" s="0" t="str">
        <f aca="false">HYPERLINK("https://www.ncbi.nlm.nih.gov/nuccore/CP000058.1?report=graph&amp;tracks=[key:gene_model_track,Options:GeneOnly]&amp;mk=1873688:1873707|offset_19|444444,1873662:1873681|offset_45|444444,1873642:1873661|offset_65|00cc00,1873616:1873635|offset_91|444444&amp;v=1873487:1873835&amp;c=444444", "offset 65")</f>
        <v>offset 65</v>
      </c>
    </row>
    <row r="5956" customFormat="false" ht="12.8" hidden="false" customHeight="false" outlineLevel="0" collapsed="false">
      <c r="A5956" s="0" t="s">
        <v>12</v>
      </c>
      <c r="B5956" s="0" t="n">
        <v>1873615</v>
      </c>
      <c r="C5956" s="0" t="n">
        <v>1873635</v>
      </c>
      <c r="D5956" s="0" t="s">
        <v>19834</v>
      </c>
      <c r="E5956" s="0" t="s">
        <v>75</v>
      </c>
      <c r="F5956" s="0" t="s">
        <v>90</v>
      </c>
      <c r="G5956" s="0" t="s">
        <v>36</v>
      </c>
      <c r="H5956" s="0" t="n">
        <v>91</v>
      </c>
      <c r="I5956" s="0" t="s">
        <v>19844</v>
      </c>
      <c r="J5956" s="0" t="s">
        <v>19845</v>
      </c>
      <c r="K5956" s="0" t="s">
        <v>19846</v>
      </c>
      <c r="L5956" s="0" t="str">
        <f aca="false">HYPERLINK("https://www.ncbi.nlm.nih.gov/nuccore/CP000058.1?report=graph&amp;tracks=[key:gene_model_track,Options:GeneOnly]&amp;mk=1873688:1873707|offset_19|444444,1873662:1873681|offset_45|444444,1873642:1873661|offset_65|444444,1873616:1873635|offset_91|00cc00&amp;v=1873487:1873835&amp;c=444444", "offset 91")</f>
        <v>offset 91</v>
      </c>
    </row>
    <row r="5957" customFormat="false" ht="12.8" hidden="false" customHeight="false" outlineLevel="0" collapsed="false">
      <c r="A5957" s="0" t="s">
        <v>12</v>
      </c>
      <c r="B5957" s="0" t="n">
        <v>1873975</v>
      </c>
      <c r="C5957" s="0" t="n">
        <v>1873995</v>
      </c>
      <c r="D5957" s="0" t="s">
        <v>19847</v>
      </c>
      <c r="E5957" s="0" t="s">
        <v>75</v>
      </c>
      <c r="F5957" s="0" t="s">
        <v>15</v>
      </c>
      <c r="G5957" s="0" t="s">
        <v>32</v>
      </c>
      <c r="H5957" s="0" t="n">
        <v>31</v>
      </c>
      <c r="I5957" s="0" t="s">
        <v>19848</v>
      </c>
      <c r="J5957" s="0" t="s">
        <v>19849</v>
      </c>
      <c r="K5957" s="0" t="s">
        <v>19850</v>
      </c>
      <c r="L5957" s="0" t="str">
        <f aca="false">HYPERLINK("https://www.ncbi.nlm.nih.gov/nuccore/CP000058.1?report=graph&amp;tracks=[key:gene_model_track,Options:GeneOnly]&amp;mk=1873976:1873995|offset_31|00cc00,1874021:1874040|offset_76|444444,1874105:1874124|offset_160|444444,1874143:1874162|offset_198|444444&amp;v=1873775:1874362&amp;c=444444", "offset 31")</f>
        <v>offset 31</v>
      </c>
    </row>
    <row r="5958" customFormat="false" ht="12.8" hidden="false" customHeight="false" outlineLevel="0" collapsed="false">
      <c r="A5958" s="0" t="s">
        <v>12</v>
      </c>
      <c r="B5958" s="0" t="n">
        <v>1874020</v>
      </c>
      <c r="C5958" s="0" t="n">
        <v>1874040</v>
      </c>
      <c r="D5958" s="0" t="s">
        <v>19847</v>
      </c>
      <c r="E5958" s="0" t="s">
        <v>75</v>
      </c>
      <c r="F5958" s="0" t="s">
        <v>15</v>
      </c>
      <c r="G5958" s="0" t="s">
        <v>32</v>
      </c>
      <c r="H5958" s="0" t="n">
        <v>76</v>
      </c>
      <c r="I5958" s="0" t="s">
        <v>19851</v>
      </c>
      <c r="J5958" s="0" t="s">
        <v>19852</v>
      </c>
      <c r="K5958" s="0" t="s">
        <v>19853</v>
      </c>
      <c r="L5958" s="0" t="str">
        <f aca="false">HYPERLINK("https://www.ncbi.nlm.nih.gov/nuccore/CP000058.1?report=graph&amp;tracks=[key:gene_model_track,Options:GeneOnly]&amp;mk=1873976:1873995|offset_31|444444,1874021:1874040|offset_76|00cc00,1874105:1874124|offset_160|444444,1874143:1874162|offset_198|444444&amp;v=1873775:1874362&amp;c=444444", "offset 76")</f>
        <v>offset 76</v>
      </c>
    </row>
    <row r="5959" customFormat="false" ht="12.8" hidden="false" customHeight="false" outlineLevel="0" collapsed="false">
      <c r="A5959" s="0" t="s">
        <v>12</v>
      </c>
      <c r="B5959" s="0" t="n">
        <v>1874104</v>
      </c>
      <c r="C5959" s="0" t="n">
        <v>1874124</v>
      </c>
      <c r="D5959" s="0" t="s">
        <v>19847</v>
      </c>
      <c r="E5959" s="0" t="s">
        <v>75</v>
      </c>
      <c r="F5959" s="0" t="s">
        <v>15</v>
      </c>
      <c r="G5959" s="0" t="s">
        <v>16</v>
      </c>
      <c r="H5959" s="0" t="n">
        <v>160</v>
      </c>
      <c r="I5959" s="0" t="s">
        <v>19854</v>
      </c>
      <c r="J5959" s="0" t="s">
        <v>19855</v>
      </c>
      <c r="K5959" s="0" t="s">
        <v>19856</v>
      </c>
      <c r="L5959" s="0" t="str">
        <f aca="false">HYPERLINK("https://www.ncbi.nlm.nih.gov/nuccore/CP000058.1?report=graph&amp;tracks=[key:gene_model_track,Options:GeneOnly]&amp;mk=1873976:1873995|offset_31|444444,1874021:1874040|offset_76|444444,1874105:1874124|offset_160|00cc00,1874143:1874162|offset_198|444444&amp;v=1873775:1874362&amp;c=444444", "offset 160")</f>
        <v>offset 160</v>
      </c>
    </row>
    <row r="5960" customFormat="false" ht="12.8" hidden="false" customHeight="false" outlineLevel="0" collapsed="false">
      <c r="A5960" s="0" t="s">
        <v>12</v>
      </c>
      <c r="B5960" s="0" t="n">
        <v>1874142</v>
      </c>
      <c r="C5960" s="0" t="n">
        <v>1874162</v>
      </c>
      <c r="D5960" s="0" t="s">
        <v>19847</v>
      </c>
      <c r="E5960" s="0" t="s">
        <v>75</v>
      </c>
      <c r="F5960" s="0" t="s">
        <v>15</v>
      </c>
      <c r="G5960" s="0" t="s">
        <v>16</v>
      </c>
      <c r="H5960" s="0" t="n">
        <v>198</v>
      </c>
      <c r="I5960" s="0" t="s">
        <v>19857</v>
      </c>
      <c r="J5960" s="0" t="s">
        <v>19858</v>
      </c>
      <c r="K5960" s="0" t="s">
        <v>19859</v>
      </c>
      <c r="L5960" s="0" t="str">
        <f aca="false">HYPERLINK("https://www.ncbi.nlm.nih.gov/nuccore/CP000058.1?report=graph&amp;tracks=[key:gene_model_track,Options:GeneOnly]&amp;mk=1873976:1873995|offset_31|444444,1874021:1874040|offset_76|444444,1874105:1874124|offset_160|444444,1874143:1874162|offset_198|00cc00&amp;v=1873775:1874362&amp;c=444444", "offset 198")</f>
        <v>offset 198</v>
      </c>
    </row>
    <row r="5961" customFormat="false" ht="12.8" hidden="false" customHeight="false" outlineLevel="0" collapsed="false">
      <c r="A5961" s="0" t="s">
        <v>12</v>
      </c>
      <c r="B5961" s="0" t="n">
        <v>1875308</v>
      </c>
      <c r="C5961" s="0" t="n">
        <v>1875328</v>
      </c>
      <c r="D5961" s="0" t="s">
        <v>19860</v>
      </c>
      <c r="E5961" s="0" t="s">
        <v>75</v>
      </c>
      <c r="F5961" s="0" t="s">
        <v>90</v>
      </c>
      <c r="G5961" s="0" t="s">
        <v>16</v>
      </c>
      <c r="H5961" s="0" t="n">
        <v>0</v>
      </c>
      <c r="I5961" s="0" t="s">
        <v>19861</v>
      </c>
      <c r="J5961" s="0" t="s">
        <v>19862</v>
      </c>
      <c r="K5961" s="0" t="s">
        <v>19863</v>
      </c>
      <c r="L5961" s="0" t="str">
        <f aca="false">HYPERLINK("https://www.ncbi.nlm.nih.gov/nuccore/CP000058.1?report=graph&amp;tracks=[key:gene_model_track,Options:GeneOnly]&amp;mk=1875309:1875328|offset_0|00cc00,1875289:1875308|offset_20|444444,1875241:1875260|offset_68|444444,1875218:1875237|offset_91|444444&amp;v=1875108:1875437&amp;c=444444", "offset 0")</f>
        <v>offset 0</v>
      </c>
    </row>
    <row r="5962" customFormat="false" ht="12.8" hidden="false" customHeight="false" outlineLevel="0" collapsed="false">
      <c r="A5962" s="0" t="s">
        <v>12</v>
      </c>
      <c r="B5962" s="0" t="n">
        <v>1875288</v>
      </c>
      <c r="C5962" s="0" t="n">
        <v>1875308</v>
      </c>
      <c r="D5962" s="0" t="s">
        <v>19860</v>
      </c>
      <c r="E5962" s="0" t="s">
        <v>75</v>
      </c>
      <c r="F5962" s="0" t="s">
        <v>90</v>
      </c>
      <c r="G5962" s="0" t="s">
        <v>36</v>
      </c>
      <c r="H5962" s="0" t="n">
        <v>20</v>
      </c>
      <c r="I5962" s="0" t="s">
        <v>19864</v>
      </c>
      <c r="J5962" s="0" t="s">
        <v>19865</v>
      </c>
      <c r="K5962" s="0" t="s">
        <v>19866</v>
      </c>
      <c r="L5962" s="0" t="str">
        <f aca="false">HYPERLINK("https://www.ncbi.nlm.nih.gov/nuccore/CP000058.1?report=graph&amp;tracks=[key:gene_model_track,Options:GeneOnly]&amp;mk=1875309:1875328|offset_0|444444,1875289:1875308|offset_20|00cc00,1875241:1875260|offset_68|444444,1875218:1875237|offset_91|444444&amp;v=1875108:1875437&amp;c=444444", "offset 20")</f>
        <v>offset 20</v>
      </c>
    </row>
    <row r="5963" customFormat="false" ht="12.8" hidden="false" customHeight="false" outlineLevel="0" collapsed="false">
      <c r="A5963" s="0" t="s">
        <v>12</v>
      </c>
      <c r="B5963" s="0" t="n">
        <v>1875240</v>
      </c>
      <c r="C5963" s="0" t="n">
        <v>1875260</v>
      </c>
      <c r="D5963" s="0" t="s">
        <v>19860</v>
      </c>
      <c r="E5963" s="0" t="s">
        <v>75</v>
      </c>
      <c r="F5963" s="0" t="s">
        <v>90</v>
      </c>
      <c r="G5963" s="0" t="s">
        <v>32</v>
      </c>
      <c r="H5963" s="0" t="n">
        <v>68</v>
      </c>
      <c r="I5963" s="0" t="s">
        <v>19867</v>
      </c>
      <c r="J5963" s="0" t="s">
        <v>19868</v>
      </c>
      <c r="K5963" s="0" t="s">
        <v>19869</v>
      </c>
      <c r="L5963" s="0" t="str">
        <f aca="false">HYPERLINK("https://www.ncbi.nlm.nih.gov/nuccore/CP000058.1?report=graph&amp;tracks=[key:gene_model_track,Options:GeneOnly]&amp;mk=1875309:1875328|offset_0|444444,1875289:1875308|offset_20|444444,1875241:1875260|offset_68|00cc00,1875218:1875237|offset_91|444444&amp;v=1875108:1875437&amp;c=444444", "offset 68")</f>
        <v>offset 68</v>
      </c>
    </row>
    <row r="5964" customFormat="false" ht="12.8" hidden="false" customHeight="false" outlineLevel="0" collapsed="false">
      <c r="A5964" s="0" t="s">
        <v>12</v>
      </c>
      <c r="B5964" s="0" t="n">
        <v>1875217</v>
      </c>
      <c r="C5964" s="0" t="n">
        <v>1875237</v>
      </c>
      <c r="D5964" s="0" t="s">
        <v>19860</v>
      </c>
      <c r="E5964" s="0" t="s">
        <v>75</v>
      </c>
      <c r="F5964" s="0" t="s">
        <v>90</v>
      </c>
      <c r="G5964" s="0" t="s">
        <v>20</v>
      </c>
      <c r="H5964" s="0" t="n">
        <v>91</v>
      </c>
      <c r="I5964" s="0" t="s">
        <v>19870</v>
      </c>
      <c r="J5964" s="0" t="s">
        <v>19871</v>
      </c>
      <c r="K5964" s="0" t="s">
        <v>19872</v>
      </c>
      <c r="L5964" s="0" t="str">
        <f aca="false">HYPERLINK("https://www.ncbi.nlm.nih.gov/nuccore/CP000058.1?report=graph&amp;tracks=[key:gene_model_track,Options:GeneOnly]&amp;mk=1875309:1875328|offset_0|444444,1875289:1875308|offset_20|444444,1875241:1875260|offset_68|444444,1875218:1875237|offset_91|00cc00&amp;v=1875108:1875437&amp;c=444444", "offset 91")</f>
        <v>offset 91</v>
      </c>
    </row>
    <row r="5965" customFormat="false" ht="12.8" hidden="false" customHeight="false" outlineLevel="0" collapsed="false">
      <c r="A5965" s="0" t="s">
        <v>12</v>
      </c>
      <c r="B5965" s="0" t="n">
        <v>1877185</v>
      </c>
      <c r="C5965" s="0" t="n">
        <v>1877205</v>
      </c>
      <c r="D5965" s="0" t="s">
        <v>19873</v>
      </c>
      <c r="E5965" s="0" t="s">
        <v>75</v>
      </c>
      <c r="F5965" s="0" t="s">
        <v>90</v>
      </c>
      <c r="G5965" s="0" t="s">
        <v>16</v>
      </c>
      <c r="H5965" s="0" t="n">
        <v>13</v>
      </c>
      <c r="I5965" s="0" t="s">
        <v>19874</v>
      </c>
      <c r="J5965" s="0" t="s">
        <v>19875</v>
      </c>
      <c r="K5965" s="0" t="s">
        <v>19876</v>
      </c>
      <c r="L5965" s="0" t="str">
        <f aca="false">HYPERLINK("https://www.ncbi.nlm.nih.gov/nuccore/CP000058.1?report=graph&amp;tracks=[key:gene_model_track,Options:GeneOnly]&amp;mk=1877186:1877205|offset_13|00cc00,1877149:1877168|offset_50|444444,1877122:1877141|offset_77|444444,1877100:1877119|offset_99|444444&amp;v=1876985:1877319&amp;c=444444", "offset 13")</f>
        <v>offset 13</v>
      </c>
    </row>
    <row r="5966" customFormat="false" ht="12.8" hidden="false" customHeight="false" outlineLevel="0" collapsed="false">
      <c r="A5966" s="0" t="s">
        <v>12</v>
      </c>
      <c r="B5966" s="0" t="n">
        <v>1877148</v>
      </c>
      <c r="C5966" s="0" t="n">
        <v>1877168</v>
      </c>
      <c r="D5966" s="0" t="s">
        <v>19873</v>
      </c>
      <c r="E5966" s="0" t="s">
        <v>75</v>
      </c>
      <c r="F5966" s="0" t="s">
        <v>90</v>
      </c>
      <c r="G5966" s="0" t="s">
        <v>16</v>
      </c>
      <c r="H5966" s="0" t="n">
        <v>50</v>
      </c>
      <c r="I5966" s="0" t="s">
        <v>19877</v>
      </c>
      <c r="J5966" s="0" t="s">
        <v>19878</v>
      </c>
      <c r="K5966" s="0" t="s">
        <v>19879</v>
      </c>
      <c r="L5966" s="0" t="str">
        <f aca="false">HYPERLINK("https://www.ncbi.nlm.nih.gov/nuccore/CP000058.1?report=graph&amp;tracks=[key:gene_model_track,Options:GeneOnly]&amp;mk=1877186:1877205|offset_13|444444,1877149:1877168|offset_50|00cc00,1877122:1877141|offset_77|444444,1877100:1877119|offset_99|444444&amp;v=1876985:1877319&amp;c=444444", "offset 50")</f>
        <v>offset 50</v>
      </c>
    </row>
    <row r="5967" customFormat="false" ht="12.8" hidden="false" customHeight="false" outlineLevel="0" collapsed="false">
      <c r="A5967" s="0" t="s">
        <v>12</v>
      </c>
      <c r="B5967" s="0" t="n">
        <v>1877121</v>
      </c>
      <c r="C5967" s="0" t="n">
        <v>1877141</v>
      </c>
      <c r="D5967" s="0" t="s">
        <v>19873</v>
      </c>
      <c r="E5967" s="0" t="s">
        <v>75</v>
      </c>
      <c r="F5967" s="0" t="s">
        <v>90</v>
      </c>
      <c r="G5967" s="0" t="s">
        <v>16</v>
      </c>
      <c r="H5967" s="0" t="n">
        <v>77</v>
      </c>
      <c r="I5967" s="0" t="s">
        <v>19880</v>
      </c>
      <c r="J5967" s="0" t="s">
        <v>19881</v>
      </c>
      <c r="K5967" s="0" t="s">
        <v>19882</v>
      </c>
      <c r="L5967" s="0" t="str">
        <f aca="false">HYPERLINK("https://www.ncbi.nlm.nih.gov/nuccore/CP000058.1?report=graph&amp;tracks=[key:gene_model_track,Options:GeneOnly]&amp;mk=1877186:1877205|offset_13|444444,1877149:1877168|offset_50|444444,1877122:1877141|offset_77|00cc00,1877100:1877119|offset_99|444444&amp;v=1876985:1877319&amp;c=444444", "offset 77")</f>
        <v>offset 77</v>
      </c>
    </row>
    <row r="5968" customFormat="false" ht="12.8" hidden="false" customHeight="false" outlineLevel="0" collapsed="false">
      <c r="A5968" s="0" t="s">
        <v>12</v>
      </c>
      <c r="B5968" s="0" t="n">
        <v>1877099</v>
      </c>
      <c r="C5968" s="0" t="n">
        <v>1877119</v>
      </c>
      <c r="D5968" s="0" t="s">
        <v>19873</v>
      </c>
      <c r="E5968" s="0" t="s">
        <v>75</v>
      </c>
      <c r="F5968" s="0" t="s">
        <v>90</v>
      </c>
      <c r="G5968" s="0" t="s">
        <v>36</v>
      </c>
      <c r="H5968" s="0" t="n">
        <v>99</v>
      </c>
      <c r="I5968" s="0" t="s">
        <v>19883</v>
      </c>
      <c r="J5968" s="0" t="s">
        <v>19884</v>
      </c>
      <c r="K5968" s="0" t="s">
        <v>19885</v>
      </c>
      <c r="L5968" s="0" t="str">
        <f aca="false">HYPERLINK("https://www.ncbi.nlm.nih.gov/nuccore/CP000058.1?report=graph&amp;tracks=[key:gene_model_track,Options:GeneOnly]&amp;mk=1877186:1877205|offset_13|444444,1877149:1877168|offset_50|444444,1877122:1877141|offset_77|444444,1877100:1877119|offset_99|00cc00&amp;v=1876985:1877319&amp;c=444444", "offset 99")</f>
        <v>offset 99</v>
      </c>
    </row>
    <row r="5969" customFormat="false" ht="12.8" hidden="false" customHeight="false" outlineLevel="0" collapsed="false">
      <c r="A5969" s="0" t="s">
        <v>12</v>
      </c>
      <c r="B5969" s="0" t="n">
        <v>1880972</v>
      </c>
      <c r="C5969" s="0" t="n">
        <v>1880992</v>
      </c>
      <c r="D5969" s="0" t="s">
        <v>19886</v>
      </c>
      <c r="E5969" s="0" t="s">
        <v>75</v>
      </c>
      <c r="F5969" s="0" t="s">
        <v>90</v>
      </c>
      <c r="G5969" s="0" t="s">
        <v>32</v>
      </c>
      <c r="H5969" s="0" t="n">
        <v>1</v>
      </c>
      <c r="I5969" s="0" t="s">
        <v>19887</v>
      </c>
      <c r="J5969" s="0" t="s">
        <v>19888</v>
      </c>
      <c r="K5969" s="0" t="s">
        <v>19889</v>
      </c>
      <c r="L5969" s="0" t="str">
        <f aca="false">HYPERLINK("https://www.ncbi.nlm.nih.gov/nuccore/CP000058.1?report=graph&amp;tracks=[key:gene_model_track,Options:GeneOnly]&amp;mk=1880973:1880992|offset_1|00cc00,1880951:1880970|offset_23|444444,1880929:1880948|offset_45|444444,1880860:1880879|offset_114|444444&amp;v=1880772:1881079&amp;c=444444", "offset 1")</f>
        <v>offset 1</v>
      </c>
    </row>
    <row r="5970" customFormat="false" ht="12.8" hidden="false" customHeight="false" outlineLevel="0" collapsed="false">
      <c r="A5970" s="0" t="s">
        <v>12</v>
      </c>
      <c r="B5970" s="0" t="n">
        <v>1880950</v>
      </c>
      <c r="C5970" s="0" t="n">
        <v>1880970</v>
      </c>
      <c r="D5970" s="0" t="s">
        <v>19886</v>
      </c>
      <c r="E5970" s="0" t="s">
        <v>75</v>
      </c>
      <c r="F5970" s="0" t="s">
        <v>90</v>
      </c>
      <c r="G5970" s="0" t="s">
        <v>20</v>
      </c>
      <c r="H5970" s="0" t="n">
        <v>23</v>
      </c>
      <c r="I5970" s="0" t="s">
        <v>19890</v>
      </c>
      <c r="J5970" s="0" t="s">
        <v>19891</v>
      </c>
      <c r="K5970" s="0" t="s">
        <v>19892</v>
      </c>
      <c r="L5970" s="0" t="str">
        <f aca="false">HYPERLINK("https://www.ncbi.nlm.nih.gov/nuccore/CP000058.1?report=graph&amp;tracks=[key:gene_model_track,Options:GeneOnly]&amp;mk=1880973:1880992|offset_1|444444,1880951:1880970|offset_23|00cc00,1880929:1880948|offset_45|444444,1880860:1880879|offset_114|444444&amp;v=1880772:1881079&amp;c=444444", "offset 23")</f>
        <v>offset 23</v>
      </c>
    </row>
    <row r="5971" customFormat="false" ht="12.8" hidden="false" customHeight="false" outlineLevel="0" collapsed="false">
      <c r="A5971" s="0" t="s">
        <v>12</v>
      </c>
      <c r="B5971" s="0" t="n">
        <v>1880928</v>
      </c>
      <c r="C5971" s="0" t="n">
        <v>1880948</v>
      </c>
      <c r="D5971" s="0" t="s">
        <v>19886</v>
      </c>
      <c r="E5971" s="0" t="s">
        <v>75</v>
      </c>
      <c r="F5971" s="0" t="s">
        <v>90</v>
      </c>
      <c r="G5971" s="0" t="s">
        <v>20</v>
      </c>
      <c r="H5971" s="0" t="n">
        <v>45</v>
      </c>
      <c r="I5971" s="0" t="s">
        <v>19893</v>
      </c>
      <c r="J5971" s="0" t="s">
        <v>19894</v>
      </c>
      <c r="K5971" s="0" t="s">
        <v>19895</v>
      </c>
      <c r="L5971" s="0" t="str">
        <f aca="false">HYPERLINK("https://www.ncbi.nlm.nih.gov/nuccore/CP000058.1?report=graph&amp;tracks=[key:gene_model_track,Options:GeneOnly]&amp;mk=1880973:1880992|offset_1|444444,1880951:1880970|offset_23|444444,1880929:1880948|offset_45|00cc00,1880860:1880879|offset_114|444444&amp;v=1880772:1881079&amp;c=444444", "offset 45")</f>
        <v>offset 45</v>
      </c>
    </row>
    <row r="5972" customFormat="false" ht="12.8" hidden="false" customHeight="false" outlineLevel="0" collapsed="false">
      <c r="A5972" s="0" t="s">
        <v>12</v>
      </c>
      <c r="B5972" s="0" t="n">
        <v>1880859</v>
      </c>
      <c r="C5972" s="0" t="n">
        <v>1880879</v>
      </c>
      <c r="D5972" s="0" t="s">
        <v>19886</v>
      </c>
      <c r="E5972" s="0" t="s">
        <v>75</v>
      </c>
      <c r="F5972" s="0" t="s">
        <v>90</v>
      </c>
      <c r="G5972" s="0" t="s">
        <v>32</v>
      </c>
      <c r="H5972" s="0" t="n">
        <v>114</v>
      </c>
      <c r="I5972" s="0" t="s">
        <v>19896</v>
      </c>
      <c r="J5972" s="0" t="s">
        <v>19897</v>
      </c>
      <c r="K5972" s="0" t="s">
        <v>19898</v>
      </c>
      <c r="L5972" s="0" t="str">
        <f aca="false">HYPERLINK("https://www.ncbi.nlm.nih.gov/nuccore/CP000058.1?report=graph&amp;tracks=[key:gene_model_track,Options:GeneOnly]&amp;mk=1880973:1880992|offset_1|444444,1880951:1880970|offset_23|444444,1880929:1880948|offset_45|444444,1880860:1880879|offset_114|00cc00&amp;v=1880772:1881079&amp;c=444444", "offset 114")</f>
        <v>offset 114</v>
      </c>
    </row>
    <row r="5973" customFormat="false" ht="12.8" hidden="false" customHeight="false" outlineLevel="0" collapsed="false">
      <c r="A5973" s="0" t="s">
        <v>12</v>
      </c>
      <c r="B5973" s="0" t="n">
        <v>1881585</v>
      </c>
      <c r="C5973" s="0" t="n">
        <v>1881605</v>
      </c>
      <c r="D5973" s="0" t="s">
        <v>19899</v>
      </c>
      <c r="E5973" s="0" t="s">
        <v>75</v>
      </c>
      <c r="F5973" s="0" t="s">
        <v>90</v>
      </c>
      <c r="G5973" s="0" t="s">
        <v>16</v>
      </c>
      <c r="H5973" s="0" t="n">
        <v>0</v>
      </c>
      <c r="I5973" s="0" t="s">
        <v>19900</v>
      </c>
      <c r="J5973" s="0" t="s">
        <v>19901</v>
      </c>
      <c r="K5973" s="0" t="s">
        <v>19902</v>
      </c>
      <c r="L5973" s="0" t="str">
        <f aca="false">HYPERLINK("https://www.ncbi.nlm.nih.gov/nuccore/CP000058.1?report=graph&amp;tracks=[key:gene_model_track,Options:GeneOnly]&amp;mk=1881586:1881605|offset_0|00cc00,1881560:1881579|offset_26|444444,1881507:1881526|offset_79|444444,1881439:1881458|offset_147|444444&amp;v=1881385:1881658&amp;c=444444", "offset 0")</f>
        <v>offset 0</v>
      </c>
    </row>
    <row r="5974" customFormat="false" ht="12.8" hidden="false" customHeight="false" outlineLevel="0" collapsed="false">
      <c r="A5974" s="0" t="s">
        <v>12</v>
      </c>
      <c r="B5974" s="0" t="n">
        <v>1881559</v>
      </c>
      <c r="C5974" s="0" t="n">
        <v>1881579</v>
      </c>
      <c r="D5974" s="0" t="s">
        <v>19899</v>
      </c>
      <c r="E5974" s="0" t="s">
        <v>75</v>
      </c>
      <c r="F5974" s="0" t="s">
        <v>90</v>
      </c>
      <c r="G5974" s="0" t="s">
        <v>32</v>
      </c>
      <c r="H5974" s="0" t="n">
        <v>26</v>
      </c>
      <c r="I5974" s="0" t="s">
        <v>19903</v>
      </c>
      <c r="J5974" s="0" t="s">
        <v>19904</v>
      </c>
      <c r="K5974" s="0" t="s">
        <v>19905</v>
      </c>
      <c r="L5974" s="0" t="str">
        <f aca="false">HYPERLINK("https://www.ncbi.nlm.nih.gov/nuccore/CP000058.1?report=graph&amp;tracks=[key:gene_model_track,Options:GeneOnly]&amp;mk=1881586:1881605|offset_0|444444,1881560:1881579|offset_26|00cc00,1881507:1881526|offset_79|444444,1881439:1881458|offset_147|444444&amp;v=1881385:1881658&amp;c=444444", "offset 26")</f>
        <v>offset 26</v>
      </c>
    </row>
    <row r="5975" customFormat="false" ht="12.8" hidden="false" customHeight="false" outlineLevel="0" collapsed="false">
      <c r="A5975" s="0" t="s">
        <v>12</v>
      </c>
      <c r="B5975" s="0" t="n">
        <v>1881506</v>
      </c>
      <c r="C5975" s="0" t="n">
        <v>1881526</v>
      </c>
      <c r="D5975" s="0" t="s">
        <v>19899</v>
      </c>
      <c r="E5975" s="0" t="s">
        <v>75</v>
      </c>
      <c r="F5975" s="0" t="s">
        <v>90</v>
      </c>
      <c r="G5975" s="0" t="s">
        <v>16</v>
      </c>
      <c r="H5975" s="0" t="n">
        <v>79</v>
      </c>
      <c r="I5975" s="0" t="s">
        <v>19906</v>
      </c>
      <c r="J5975" s="0" t="s">
        <v>19907</v>
      </c>
      <c r="K5975" s="0" t="s">
        <v>19908</v>
      </c>
      <c r="L5975" s="0" t="str">
        <f aca="false">HYPERLINK("https://www.ncbi.nlm.nih.gov/nuccore/CP000058.1?report=graph&amp;tracks=[key:gene_model_track,Options:GeneOnly]&amp;mk=1881586:1881605|offset_0|444444,1881560:1881579|offset_26|444444,1881507:1881526|offset_79|00cc00,1881439:1881458|offset_147|444444&amp;v=1881385:1881658&amp;c=444444", "offset 79")</f>
        <v>offset 79</v>
      </c>
    </row>
    <row r="5976" customFormat="false" ht="12.8" hidden="false" customHeight="false" outlineLevel="0" collapsed="false">
      <c r="A5976" s="0" t="s">
        <v>12</v>
      </c>
      <c r="B5976" s="0" t="n">
        <v>1881438</v>
      </c>
      <c r="C5976" s="0" t="n">
        <v>1881458</v>
      </c>
      <c r="D5976" s="0" t="s">
        <v>19899</v>
      </c>
      <c r="E5976" s="0" t="s">
        <v>75</v>
      </c>
      <c r="F5976" s="0" t="s">
        <v>90</v>
      </c>
      <c r="G5976" s="0" t="s">
        <v>16</v>
      </c>
      <c r="H5976" s="0" t="n">
        <v>147</v>
      </c>
      <c r="I5976" s="0" t="s">
        <v>19909</v>
      </c>
      <c r="J5976" s="0" t="s">
        <v>19910</v>
      </c>
      <c r="K5976" s="0" t="s">
        <v>19911</v>
      </c>
      <c r="L5976" s="0" t="str">
        <f aca="false">HYPERLINK("https://www.ncbi.nlm.nih.gov/nuccore/CP000058.1?report=graph&amp;tracks=[key:gene_model_track,Options:GeneOnly]&amp;mk=1881586:1881605|offset_0|444444,1881560:1881579|offset_26|444444,1881507:1881526|offset_79|444444,1881439:1881458|offset_147|00cc00&amp;v=1881385:1881658&amp;c=444444", "offset 147")</f>
        <v>offset 147</v>
      </c>
    </row>
    <row r="5977" customFormat="false" ht="12.8" hidden="false" customHeight="false" outlineLevel="0" collapsed="false">
      <c r="A5977" s="0" t="s">
        <v>12</v>
      </c>
      <c r="B5977" s="0" t="n">
        <v>1884110</v>
      </c>
      <c r="C5977" s="0" t="n">
        <v>1884130</v>
      </c>
      <c r="D5977" s="0" t="s">
        <v>19912</v>
      </c>
      <c r="E5977" s="0" t="s">
        <v>75</v>
      </c>
      <c r="F5977" s="0" t="s">
        <v>90</v>
      </c>
      <c r="G5977" s="0" t="s">
        <v>20</v>
      </c>
      <c r="H5977" s="0" t="n">
        <v>0</v>
      </c>
      <c r="I5977" s="0" t="s">
        <v>19913</v>
      </c>
      <c r="J5977" s="0" t="s">
        <v>19914</v>
      </c>
      <c r="K5977" s="0" t="s">
        <v>19915</v>
      </c>
      <c r="L5977" s="0" t="str">
        <f aca="false">HYPERLINK("https://www.ncbi.nlm.nih.gov/nuccore/CP000058.1?report=graph&amp;tracks=[key:gene_model_track,Options:GeneOnly]&amp;mk=1884111:1884130|offset_0|00cc00,1884068:1884087|offset_43|444444,1884047:1884066|offset_64|444444,1884017:1884036|offset_94|444444&amp;v=1883910:1884236&amp;c=444444", "offset 0")</f>
        <v>offset 0</v>
      </c>
    </row>
    <row r="5978" customFormat="false" ht="12.8" hidden="false" customHeight="false" outlineLevel="0" collapsed="false">
      <c r="A5978" s="0" t="s">
        <v>12</v>
      </c>
      <c r="B5978" s="0" t="n">
        <v>1884067</v>
      </c>
      <c r="C5978" s="0" t="n">
        <v>1884087</v>
      </c>
      <c r="D5978" s="0" t="s">
        <v>19912</v>
      </c>
      <c r="E5978" s="0" t="s">
        <v>75</v>
      </c>
      <c r="F5978" s="0" t="s">
        <v>90</v>
      </c>
      <c r="G5978" s="0" t="s">
        <v>20</v>
      </c>
      <c r="H5978" s="0" t="n">
        <v>43</v>
      </c>
      <c r="I5978" s="0" t="s">
        <v>19916</v>
      </c>
      <c r="J5978" s="0" t="s">
        <v>19917</v>
      </c>
      <c r="K5978" s="0" t="s">
        <v>19918</v>
      </c>
      <c r="L5978" s="0" t="str">
        <f aca="false">HYPERLINK("https://www.ncbi.nlm.nih.gov/nuccore/CP000058.1?report=graph&amp;tracks=[key:gene_model_track,Options:GeneOnly]&amp;mk=1884111:1884130|offset_0|444444,1884068:1884087|offset_43|00cc00,1884047:1884066|offset_64|444444,1884017:1884036|offset_94|444444&amp;v=1883910:1884236&amp;c=444444", "offset 43")</f>
        <v>offset 43</v>
      </c>
    </row>
    <row r="5979" customFormat="false" ht="12.8" hidden="false" customHeight="false" outlineLevel="0" collapsed="false">
      <c r="A5979" s="0" t="s">
        <v>12</v>
      </c>
      <c r="B5979" s="0" t="n">
        <v>1884046</v>
      </c>
      <c r="C5979" s="0" t="n">
        <v>1884066</v>
      </c>
      <c r="D5979" s="0" t="s">
        <v>19912</v>
      </c>
      <c r="E5979" s="0" t="s">
        <v>75</v>
      </c>
      <c r="F5979" s="0" t="s">
        <v>90</v>
      </c>
      <c r="G5979" s="0" t="s">
        <v>16</v>
      </c>
      <c r="H5979" s="0" t="n">
        <v>64</v>
      </c>
      <c r="I5979" s="0" t="s">
        <v>19919</v>
      </c>
      <c r="J5979" s="0" t="s">
        <v>19920</v>
      </c>
      <c r="K5979" s="0" t="s">
        <v>19921</v>
      </c>
      <c r="L5979" s="0" t="str">
        <f aca="false">HYPERLINK("https://www.ncbi.nlm.nih.gov/nuccore/CP000058.1?report=graph&amp;tracks=[key:gene_model_track,Options:GeneOnly]&amp;mk=1884111:1884130|offset_0|444444,1884068:1884087|offset_43|444444,1884047:1884066|offset_64|00cc00,1884017:1884036|offset_94|444444&amp;v=1883910:1884236&amp;c=444444", "offset 64")</f>
        <v>offset 64</v>
      </c>
    </row>
    <row r="5980" customFormat="false" ht="12.8" hidden="false" customHeight="false" outlineLevel="0" collapsed="false">
      <c r="A5980" s="0" t="s">
        <v>12</v>
      </c>
      <c r="B5980" s="0" t="n">
        <v>1884016</v>
      </c>
      <c r="C5980" s="0" t="n">
        <v>1884036</v>
      </c>
      <c r="D5980" s="0" t="s">
        <v>19912</v>
      </c>
      <c r="E5980" s="0" t="s">
        <v>75</v>
      </c>
      <c r="F5980" s="0" t="s">
        <v>90</v>
      </c>
      <c r="G5980" s="0" t="s">
        <v>16</v>
      </c>
      <c r="H5980" s="0" t="n">
        <v>94</v>
      </c>
      <c r="I5980" s="0" t="s">
        <v>19922</v>
      </c>
      <c r="J5980" s="0" t="s">
        <v>19923</v>
      </c>
      <c r="K5980" s="0" t="s">
        <v>19924</v>
      </c>
      <c r="L5980" s="0" t="str">
        <f aca="false">HYPERLINK("https://www.ncbi.nlm.nih.gov/nuccore/CP000058.1?report=graph&amp;tracks=[key:gene_model_track,Options:GeneOnly]&amp;mk=1884111:1884130|offset_0|444444,1884068:1884087|offset_43|444444,1884047:1884066|offset_64|444444,1884017:1884036|offset_94|00cc00&amp;v=1883910:1884236&amp;c=444444", "offset 94")</f>
        <v>offset 94</v>
      </c>
    </row>
    <row r="5981" customFormat="false" ht="12.8" hidden="false" customHeight="false" outlineLevel="0" collapsed="false">
      <c r="A5981" s="0" t="s">
        <v>12</v>
      </c>
      <c r="B5981" s="0" t="n">
        <v>1884323</v>
      </c>
      <c r="C5981" s="0" t="n">
        <v>1884343</v>
      </c>
      <c r="D5981" s="0" t="s">
        <v>19925</v>
      </c>
      <c r="E5981" s="0" t="s">
        <v>75</v>
      </c>
      <c r="F5981" s="0" t="s">
        <v>15</v>
      </c>
      <c r="G5981" s="0" t="s">
        <v>32</v>
      </c>
      <c r="H5981" s="0" t="n">
        <v>31</v>
      </c>
      <c r="I5981" s="0" t="s">
        <v>19926</v>
      </c>
      <c r="J5981" s="0" t="s">
        <v>19927</v>
      </c>
      <c r="K5981" s="0" t="s">
        <v>19928</v>
      </c>
      <c r="L5981" s="0" t="str">
        <f aca="false">HYPERLINK("https://www.ncbi.nlm.nih.gov/nuccore/CP000058.1?report=graph&amp;tracks=[key:gene_model_track,Options:GeneOnly]&amp;mk=1884324:1884343|offset_31|00cc00,1884354:1884373|offset_61|444444,1884390:1884409|offset_97|444444,1884427:1884446|offset_134|444444&amp;v=1884123:1884646&amp;c=444444", "offset 31")</f>
        <v>offset 31</v>
      </c>
    </row>
    <row r="5982" customFormat="false" ht="12.8" hidden="false" customHeight="false" outlineLevel="0" collapsed="false">
      <c r="A5982" s="0" t="s">
        <v>12</v>
      </c>
      <c r="B5982" s="0" t="n">
        <v>1884353</v>
      </c>
      <c r="C5982" s="0" t="n">
        <v>1884373</v>
      </c>
      <c r="D5982" s="0" t="s">
        <v>19925</v>
      </c>
      <c r="E5982" s="0" t="s">
        <v>75</v>
      </c>
      <c r="F5982" s="0" t="s">
        <v>15</v>
      </c>
      <c r="G5982" s="0" t="s">
        <v>16</v>
      </c>
      <c r="H5982" s="0" t="n">
        <v>61</v>
      </c>
      <c r="I5982" s="0" t="s">
        <v>19929</v>
      </c>
      <c r="J5982" s="0" t="s">
        <v>19930</v>
      </c>
      <c r="K5982" s="0" t="s">
        <v>19931</v>
      </c>
      <c r="L5982" s="0" t="str">
        <f aca="false">HYPERLINK("https://www.ncbi.nlm.nih.gov/nuccore/CP000058.1?report=graph&amp;tracks=[key:gene_model_track,Options:GeneOnly]&amp;mk=1884324:1884343|offset_31|444444,1884354:1884373|offset_61|00cc00,1884390:1884409|offset_97|444444,1884427:1884446|offset_134|444444&amp;v=1884123:1884646&amp;c=444444", "offset 61")</f>
        <v>offset 61</v>
      </c>
    </row>
    <row r="5983" customFormat="false" ht="12.8" hidden="false" customHeight="false" outlineLevel="0" collapsed="false">
      <c r="A5983" s="0" t="s">
        <v>12</v>
      </c>
      <c r="B5983" s="0" t="n">
        <v>1884389</v>
      </c>
      <c r="C5983" s="0" t="n">
        <v>1884409</v>
      </c>
      <c r="D5983" s="0" t="s">
        <v>19925</v>
      </c>
      <c r="E5983" s="0" t="s">
        <v>75</v>
      </c>
      <c r="F5983" s="0" t="s">
        <v>15</v>
      </c>
      <c r="G5983" s="0" t="s">
        <v>16</v>
      </c>
      <c r="H5983" s="0" t="n">
        <v>97</v>
      </c>
      <c r="I5983" s="0" t="s">
        <v>19932</v>
      </c>
      <c r="J5983" s="0" t="s">
        <v>19933</v>
      </c>
      <c r="K5983" s="0" t="s">
        <v>19934</v>
      </c>
      <c r="L5983" s="0" t="str">
        <f aca="false">HYPERLINK("https://www.ncbi.nlm.nih.gov/nuccore/CP000058.1?report=graph&amp;tracks=[key:gene_model_track,Options:GeneOnly]&amp;mk=1884324:1884343|offset_31|444444,1884354:1884373|offset_61|444444,1884390:1884409|offset_97|00cc00,1884427:1884446|offset_134|444444&amp;v=1884123:1884646&amp;c=444444", "offset 97")</f>
        <v>offset 97</v>
      </c>
    </row>
    <row r="5984" customFormat="false" ht="12.8" hidden="false" customHeight="false" outlineLevel="0" collapsed="false">
      <c r="A5984" s="0" t="s">
        <v>12</v>
      </c>
      <c r="B5984" s="0" t="n">
        <v>1884426</v>
      </c>
      <c r="C5984" s="0" t="n">
        <v>1884446</v>
      </c>
      <c r="D5984" s="0" t="s">
        <v>19925</v>
      </c>
      <c r="E5984" s="0" t="s">
        <v>75</v>
      </c>
      <c r="F5984" s="0" t="s">
        <v>15</v>
      </c>
      <c r="G5984" s="0" t="s">
        <v>16</v>
      </c>
      <c r="H5984" s="0" t="n">
        <v>134</v>
      </c>
      <c r="I5984" s="0" t="s">
        <v>19935</v>
      </c>
      <c r="J5984" s="0" t="s">
        <v>19936</v>
      </c>
      <c r="K5984" s="0" t="s">
        <v>19937</v>
      </c>
      <c r="L5984" s="0" t="str">
        <f aca="false">HYPERLINK("https://www.ncbi.nlm.nih.gov/nuccore/CP000058.1?report=graph&amp;tracks=[key:gene_model_track,Options:GeneOnly]&amp;mk=1884324:1884343|offset_31|444444,1884354:1884373|offset_61|444444,1884390:1884409|offset_97|444444,1884427:1884446|offset_134|00cc00&amp;v=1884123:1884646&amp;c=444444", "offset 134")</f>
        <v>offset 134</v>
      </c>
    </row>
    <row r="5985" customFormat="false" ht="12.8" hidden="false" customHeight="false" outlineLevel="0" collapsed="false">
      <c r="A5985" s="0" t="s">
        <v>12</v>
      </c>
      <c r="B5985" s="0" t="n">
        <v>1885097</v>
      </c>
      <c r="C5985" s="0" t="n">
        <v>1885117</v>
      </c>
      <c r="D5985" s="0" t="s">
        <v>19938</v>
      </c>
      <c r="E5985" s="0" t="s">
        <v>75</v>
      </c>
      <c r="F5985" s="0" t="s">
        <v>15</v>
      </c>
      <c r="G5985" s="0" t="s">
        <v>16</v>
      </c>
      <c r="H5985" s="0" t="n">
        <v>16</v>
      </c>
      <c r="I5985" s="0" t="s">
        <v>19939</v>
      </c>
      <c r="J5985" s="0" t="s">
        <v>19940</v>
      </c>
      <c r="K5985" s="0" t="s">
        <v>19941</v>
      </c>
      <c r="L5985" s="0" t="str">
        <f aca="false">HYPERLINK("https://www.ncbi.nlm.nih.gov/nuccore/CP000058.1?report=graph&amp;tracks=[key:gene_model_track,Options:GeneOnly]&amp;mk=1885098:1885117|offset_16|00cc00,1885119:1885138|offset_37|444444,1885140:1885159|offset_58|444444,1885161:1885180|offset_79|444444&amp;v=1884897:1885380&amp;c=444444", "offset 16")</f>
        <v>offset 16</v>
      </c>
    </row>
    <row r="5986" customFormat="false" ht="12.8" hidden="false" customHeight="false" outlineLevel="0" collapsed="false">
      <c r="A5986" s="0" t="s">
        <v>12</v>
      </c>
      <c r="B5986" s="0" t="n">
        <v>1885118</v>
      </c>
      <c r="C5986" s="0" t="n">
        <v>1885138</v>
      </c>
      <c r="D5986" s="0" t="s">
        <v>19938</v>
      </c>
      <c r="E5986" s="0" t="s">
        <v>75</v>
      </c>
      <c r="F5986" s="0" t="s">
        <v>15</v>
      </c>
      <c r="G5986" s="0" t="s">
        <v>32</v>
      </c>
      <c r="H5986" s="0" t="n">
        <v>37</v>
      </c>
      <c r="I5986" s="0" t="s">
        <v>19942</v>
      </c>
      <c r="J5986" s="0" t="s">
        <v>19943</v>
      </c>
      <c r="K5986" s="0" t="s">
        <v>19944</v>
      </c>
      <c r="L5986" s="0" t="str">
        <f aca="false">HYPERLINK("https://www.ncbi.nlm.nih.gov/nuccore/CP000058.1?report=graph&amp;tracks=[key:gene_model_track,Options:GeneOnly]&amp;mk=1885098:1885117|offset_16|444444,1885119:1885138|offset_37|00cc00,1885140:1885159|offset_58|444444,1885161:1885180|offset_79|444444&amp;v=1884897:1885380&amp;c=444444", "offset 37")</f>
        <v>offset 37</v>
      </c>
    </row>
    <row r="5987" customFormat="false" ht="12.8" hidden="false" customHeight="false" outlineLevel="0" collapsed="false">
      <c r="A5987" s="0" t="s">
        <v>12</v>
      </c>
      <c r="B5987" s="0" t="n">
        <v>1885139</v>
      </c>
      <c r="C5987" s="0" t="n">
        <v>1885159</v>
      </c>
      <c r="D5987" s="0" t="s">
        <v>19938</v>
      </c>
      <c r="E5987" s="0" t="s">
        <v>75</v>
      </c>
      <c r="F5987" s="0" t="s">
        <v>15</v>
      </c>
      <c r="G5987" s="0" t="s">
        <v>20</v>
      </c>
      <c r="H5987" s="0" t="n">
        <v>58</v>
      </c>
      <c r="I5987" s="0" t="s">
        <v>19945</v>
      </c>
      <c r="J5987" s="0" t="s">
        <v>19946</v>
      </c>
      <c r="K5987" s="0" t="s">
        <v>19947</v>
      </c>
      <c r="L5987" s="0" t="str">
        <f aca="false">HYPERLINK("https://www.ncbi.nlm.nih.gov/nuccore/CP000058.1?report=graph&amp;tracks=[key:gene_model_track,Options:GeneOnly]&amp;mk=1885098:1885117|offset_16|444444,1885119:1885138|offset_37|444444,1885140:1885159|offset_58|00cc00,1885161:1885180|offset_79|444444&amp;v=1884897:1885380&amp;c=444444", "offset 58")</f>
        <v>offset 58</v>
      </c>
    </row>
    <row r="5988" customFormat="false" ht="12.8" hidden="false" customHeight="false" outlineLevel="0" collapsed="false">
      <c r="A5988" s="0" t="s">
        <v>12</v>
      </c>
      <c r="B5988" s="0" t="n">
        <v>1885160</v>
      </c>
      <c r="C5988" s="0" t="n">
        <v>1885180</v>
      </c>
      <c r="D5988" s="0" t="s">
        <v>19938</v>
      </c>
      <c r="E5988" s="0" t="s">
        <v>75</v>
      </c>
      <c r="F5988" s="0" t="s">
        <v>15</v>
      </c>
      <c r="G5988" s="0" t="s">
        <v>20</v>
      </c>
      <c r="H5988" s="0" t="n">
        <v>79</v>
      </c>
      <c r="I5988" s="0" t="s">
        <v>19948</v>
      </c>
      <c r="J5988" s="0" t="s">
        <v>19949</v>
      </c>
      <c r="K5988" s="0" t="s">
        <v>19950</v>
      </c>
      <c r="L5988" s="0" t="str">
        <f aca="false">HYPERLINK("https://www.ncbi.nlm.nih.gov/nuccore/CP000058.1?report=graph&amp;tracks=[key:gene_model_track,Options:GeneOnly]&amp;mk=1885098:1885117|offset_16|444444,1885119:1885138|offset_37|444444,1885140:1885159|offset_58|444444,1885161:1885180|offset_79|00cc00&amp;v=1884897:1885380&amp;c=444444", "offset 79")</f>
        <v>offset 79</v>
      </c>
    </row>
    <row r="5989" customFormat="false" ht="12.8" hidden="false" customHeight="false" outlineLevel="0" collapsed="false">
      <c r="A5989" s="0" t="s">
        <v>12</v>
      </c>
      <c r="B5989" s="0" t="n">
        <v>1886035</v>
      </c>
      <c r="C5989" s="0" t="n">
        <v>1886055</v>
      </c>
      <c r="D5989" s="0" t="s">
        <v>19951</v>
      </c>
      <c r="E5989" s="0" t="s">
        <v>75</v>
      </c>
      <c r="F5989" s="0" t="s">
        <v>15</v>
      </c>
      <c r="G5989" s="0" t="s">
        <v>16</v>
      </c>
      <c r="H5989" s="0" t="n">
        <v>7</v>
      </c>
      <c r="I5989" s="0" t="s">
        <v>19952</v>
      </c>
      <c r="J5989" s="0" t="s">
        <v>19953</v>
      </c>
      <c r="K5989" s="0" t="s">
        <v>19954</v>
      </c>
      <c r="L5989" s="0" t="str">
        <f aca="false">HYPERLINK("https://www.ncbi.nlm.nih.gov/nuccore/CP000058.1?report=graph&amp;tracks=[key:gene_model_track,Options:GeneOnly]&amp;mk=1886036:1886055|offset_7|00cc00,1886058:1886077|offset_29|444444,1886081:1886100|offset_52|444444,1886122:1886141|offset_93|444444&amp;v=1885835:1886341&amp;c=444444", "offset 7")</f>
        <v>offset 7</v>
      </c>
    </row>
    <row r="5990" customFormat="false" ht="12.8" hidden="false" customHeight="false" outlineLevel="0" collapsed="false">
      <c r="A5990" s="0" t="s">
        <v>12</v>
      </c>
      <c r="B5990" s="0" t="n">
        <v>1886057</v>
      </c>
      <c r="C5990" s="0" t="n">
        <v>1886077</v>
      </c>
      <c r="D5990" s="0" t="s">
        <v>19951</v>
      </c>
      <c r="E5990" s="0" t="s">
        <v>75</v>
      </c>
      <c r="F5990" s="0" t="s">
        <v>15</v>
      </c>
      <c r="G5990" s="0" t="s">
        <v>36</v>
      </c>
      <c r="H5990" s="0" t="n">
        <v>29</v>
      </c>
      <c r="I5990" s="0" t="s">
        <v>19955</v>
      </c>
      <c r="J5990" s="0" t="s">
        <v>19956</v>
      </c>
      <c r="K5990" s="0" t="s">
        <v>19957</v>
      </c>
      <c r="L5990" s="0" t="str">
        <f aca="false">HYPERLINK("https://www.ncbi.nlm.nih.gov/nuccore/CP000058.1?report=graph&amp;tracks=[key:gene_model_track,Options:GeneOnly]&amp;mk=1886036:1886055|offset_7|444444,1886058:1886077|offset_29|00cc00,1886081:1886100|offset_52|444444,1886122:1886141|offset_93|444444&amp;v=1885835:1886341&amp;c=444444", "offset 29")</f>
        <v>offset 29</v>
      </c>
    </row>
    <row r="5991" customFormat="false" ht="12.8" hidden="false" customHeight="false" outlineLevel="0" collapsed="false">
      <c r="A5991" s="0" t="s">
        <v>12</v>
      </c>
      <c r="B5991" s="0" t="n">
        <v>1886080</v>
      </c>
      <c r="C5991" s="0" t="n">
        <v>1886100</v>
      </c>
      <c r="D5991" s="0" t="s">
        <v>19951</v>
      </c>
      <c r="E5991" s="0" t="s">
        <v>75</v>
      </c>
      <c r="F5991" s="0" t="s">
        <v>15</v>
      </c>
      <c r="G5991" s="0" t="s">
        <v>32</v>
      </c>
      <c r="H5991" s="0" t="n">
        <v>52</v>
      </c>
      <c r="I5991" s="0" t="s">
        <v>19958</v>
      </c>
      <c r="J5991" s="0" t="s">
        <v>19959</v>
      </c>
      <c r="K5991" s="0" t="s">
        <v>19960</v>
      </c>
      <c r="L5991" s="0" t="str">
        <f aca="false">HYPERLINK("https://www.ncbi.nlm.nih.gov/nuccore/CP000058.1?report=graph&amp;tracks=[key:gene_model_track,Options:GeneOnly]&amp;mk=1886036:1886055|offset_7|444444,1886058:1886077|offset_29|444444,1886081:1886100|offset_52|00cc00,1886122:1886141|offset_93|444444&amp;v=1885835:1886341&amp;c=444444", "offset 52")</f>
        <v>offset 52</v>
      </c>
    </row>
    <row r="5992" customFormat="false" ht="12.8" hidden="false" customHeight="false" outlineLevel="0" collapsed="false">
      <c r="A5992" s="0" t="s">
        <v>12</v>
      </c>
      <c r="B5992" s="0" t="n">
        <v>1886121</v>
      </c>
      <c r="C5992" s="0" t="n">
        <v>1886141</v>
      </c>
      <c r="D5992" s="0" t="s">
        <v>19951</v>
      </c>
      <c r="E5992" s="0" t="s">
        <v>75</v>
      </c>
      <c r="F5992" s="0" t="s">
        <v>15</v>
      </c>
      <c r="G5992" s="0" t="s">
        <v>16</v>
      </c>
      <c r="H5992" s="0" t="n">
        <v>93</v>
      </c>
      <c r="I5992" s="0" t="s">
        <v>19961</v>
      </c>
      <c r="J5992" s="0" t="s">
        <v>19962</v>
      </c>
      <c r="K5992" s="0" t="s">
        <v>19963</v>
      </c>
      <c r="L5992" s="0" t="str">
        <f aca="false">HYPERLINK("https://www.ncbi.nlm.nih.gov/nuccore/CP000058.1?report=graph&amp;tracks=[key:gene_model_track,Options:GeneOnly]&amp;mk=1886036:1886055|offset_7|444444,1886058:1886077|offset_29|444444,1886081:1886100|offset_52|444444,1886122:1886141|offset_93|00cc00&amp;v=1885835:1886341&amp;c=444444", "offset 93")</f>
        <v>offset 93</v>
      </c>
    </row>
    <row r="5993" customFormat="false" ht="12.8" hidden="false" customHeight="false" outlineLevel="0" collapsed="false">
      <c r="A5993" s="0" t="s">
        <v>12</v>
      </c>
      <c r="B5993" s="0" t="n">
        <v>1889282</v>
      </c>
      <c r="C5993" s="0" t="n">
        <v>1889302</v>
      </c>
      <c r="D5993" s="0" t="s">
        <v>19964</v>
      </c>
      <c r="E5993" s="0" t="s">
        <v>75</v>
      </c>
      <c r="F5993" s="0" t="s">
        <v>15</v>
      </c>
      <c r="G5993" s="0" t="s">
        <v>16</v>
      </c>
      <c r="H5993" s="0" t="n">
        <v>42</v>
      </c>
      <c r="I5993" s="0" t="s">
        <v>19965</v>
      </c>
      <c r="J5993" s="0" t="s">
        <v>19966</v>
      </c>
      <c r="K5993" s="0" t="s">
        <v>19967</v>
      </c>
      <c r="L5993" s="0" t="str">
        <f aca="false">HYPERLINK("https://www.ncbi.nlm.nih.gov/nuccore/CP000058.1?report=graph&amp;tracks=[key:gene_model_track,Options:GeneOnly]&amp;mk=1889283:1889302|offset_42|00cc00,1889305:1889324|offset_64|444444,1889347:1889366|offset_106|444444,1889440:1889459|offset_199|444444&amp;v=1889082:1889659&amp;c=444444", "offset 42")</f>
        <v>offset 42</v>
      </c>
    </row>
    <row r="5994" customFormat="false" ht="12.8" hidden="false" customHeight="false" outlineLevel="0" collapsed="false">
      <c r="A5994" s="0" t="s">
        <v>12</v>
      </c>
      <c r="B5994" s="0" t="n">
        <v>1889304</v>
      </c>
      <c r="C5994" s="0" t="n">
        <v>1889324</v>
      </c>
      <c r="D5994" s="0" t="s">
        <v>19964</v>
      </c>
      <c r="E5994" s="0" t="s">
        <v>75</v>
      </c>
      <c r="F5994" s="0" t="s">
        <v>15</v>
      </c>
      <c r="G5994" s="0" t="s">
        <v>16</v>
      </c>
      <c r="H5994" s="0" t="n">
        <v>64</v>
      </c>
      <c r="I5994" s="0" t="s">
        <v>19968</v>
      </c>
      <c r="J5994" s="0" t="s">
        <v>19969</v>
      </c>
      <c r="K5994" s="0" t="s">
        <v>19970</v>
      </c>
      <c r="L5994" s="0" t="str">
        <f aca="false">HYPERLINK("https://www.ncbi.nlm.nih.gov/nuccore/CP000058.1?report=graph&amp;tracks=[key:gene_model_track,Options:GeneOnly]&amp;mk=1889283:1889302|offset_42|444444,1889305:1889324|offset_64|00cc00,1889347:1889366|offset_106|444444,1889440:1889459|offset_199|444444&amp;v=1889082:1889659&amp;c=444444", "offset 64")</f>
        <v>offset 64</v>
      </c>
    </row>
    <row r="5995" customFormat="false" ht="12.8" hidden="false" customHeight="false" outlineLevel="0" collapsed="false">
      <c r="A5995" s="0" t="s">
        <v>12</v>
      </c>
      <c r="B5995" s="0" t="n">
        <v>1889346</v>
      </c>
      <c r="C5995" s="0" t="n">
        <v>1889366</v>
      </c>
      <c r="D5995" s="0" t="s">
        <v>19964</v>
      </c>
      <c r="E5995" s="0" t="s">
        <v>75</v>
      </c>
      <c r="F5995" s="0" t="s">
        <v>15</v>
      </c>
      <c r="G5995" s="0" t="s">
        <v>32</v>
      </c>
      <c r="H5995" s="0" t="n">
        <v>106</v>
      </c>
      <c r="I5995" s="0" t="s">
        <v>19971</v>
      </c>
      <c r="J5995" s="0" t="s">
        <v>19972</v>
      </c>
      <c r="K5995" s="0" t="s">
        <v>19973</v>
      </c>
      <c r="L5995" s="0" t="str">
        <f aca="false">HYPERLINK("https://www.ncbi.nlm.nih.gov/nuccore/CP000058.1?report=graph&amp;tracks=[key:gene_model_track,Options:GeneOnly]&amp;mk=1889283:1889302|offset_42|444444,1889305:1889324|offset_64|444444,1889347:1889366|offset_106|00cc00,1889440:1889459|offset_199|444444&amp;v=1889082:1889659&amp;c=444444", "offset 106")</f>
        <v>offset 106</v>
      </c>
    </row>
    <row r="5996" customFormat="false" ht="12.8" hidden="false" customHeight="false" outlineLevel="0" collapsed="false">
      <c r="A5996" s="0" t="s">
        <v>12</v>
      </c>
      <c r="B5996" s="0" t="n">
        <v>1889439</v>
      </c>
      <c r="C5996" s="0" t="n">
        <v>1889459</v>
      </c>
      <c r="D5996" s="0" t="s">
        <v>19964</v>
      </c>
      <c r="E5996" s="0" t="s">
        <v>75</v>
      </c>
      <c r="F5996" s="0" t="s">
        <v>15</v>
      </c>
      <c r="G5996" s="0" t="s">
        <v>16</v>
      </c>
      <c r="H5996" s="0" t="n">
        <v>199</v>
      </c>
      <c r="I5996" s="0" t="s">
        <v>19974</v>
      </c>
      <c r="J5996" s="0" t="s">
        <v>19975</v>
      </c>
      <c r="K5996" s="0" t="s">
        <v>19976</v>
      </c>
      <c r="L5996" s="0" t="str">
        <f aca="false">HYPERLINK("https://www.ncbi.nlm.nih.gov/nuccore/CP000058.1?report=graph&amp;tracks=[key:gene_model_track,Options:GeneOnly]&amp;mk=1889283:1889302|offset_42|444444,1889305:1889324|offset_64|444444,1889347:1889366|offset_106|444444,1889440:1889459|offset_199|00cc00&amp;v=1889082:1889659&amp;c=444444", "offset 199")</f>
        <v>offset 199</v>
      </c>
    </row>
    <row r="5997" customFormat="false" ht="12.8" hidden="false" customHeight="false" outlineLevel="0" collapsed="false">
      <c r="A5997" s="0" t="s">
        <v>12</v>
      </c>
      <c r="B5997" s="0" t="n">
        <v>1889928</v>
      </c>
      <c r="C5997" s="0" t="n">
        <v>1889948</v>
      </c>
      <c r="D5997" s="0" t="s">
        <v>19977</v>
      </c>
      <c r="E5997" s="0" t="s">
        <v>75</v>
      </c>
      <c r="F5997" s="0" t="s">
        <v>15</v>
      </c>
      <c r="G5997" s="0" t="s">
        <v>16</v>
      </c>
      <c r="H5997" s="0" t="n">
        <v>14</v>
      </c>
      <c r="I5997" s="0" t="s">
        <v>19978</v>
      </c>
      <c r="J5997" s="0" t="s">
        <v>19979</v>
      </c>
      <c r="K5997" s="0" t="s">
        <v>19980</v>
      </c>
      <c r="L5997" s="0" t="str">
        <f aca="false">HYPERLINK("https://www.ncbi.nlm.nih.gov/nuccore/CP000058.1?report=graph&amp;tracks=[key:gene_model_track,Options:GeneOnly]&amp;mk=1889929:1889948|offset_14|00cc00,1890018:1890037|offset_103|444444,1890056:1890075|offset_141|444444,1890077:1890096|offset_162|444444&amp;v=1889728:1890296&amp;c=444444", "offset 14")</f>
        <v>offset 14</v>
      </c>
    </row>
    <row r="5998" customFormat="false" ht="12.8" hidden="false" customHeight="false" outlineLevel="0" collapsed="false">
      <c r="A5998" s="0" t="s">
        <v>12</v>
      </c>
      <c r="B5998" s="0" t="n">
        <v>1890017</v>
      </c>
      <c r="C5998" s="0" t="n">
        <v>1890037</v>
      </c>
      <c r="D5998" s="0" t="s">
        <v>19977</v>
      </c>
      <c r="E5998" s="0" t="s">
        <v>75</v>
      </c>
      <c r="F5998" s="0" t="s">
        <v>15</v>
      </c>
      <c r="G5998" s="0" t="s">
        <v>32</v>
      </c>
      <c r="H5998" s="0" t="n">
        <v>103</v>
      </c>
      <c r="I5998" s="0" t="s">
        <v>19981</v>
      </c>
      <c r="J5998" s="0" t="s">
        <v>19982</v>
      </c>
      <c r="K5998" s="0" t="s">
        <v>19983</v>
      </c>
      <c r="L5998" s="0" t="str">
        <f aca="false">HYPERLINK("https://www.ncbi.nlm.nih.gov/nuccore/CP000058.1?report=graph&amp;tracks=[key:gene_model_track,Options:GeneOnly]&amp;mk=1889929:1889948|offset_14|444444,1890018:1890037|offset_103|00cc00,1890056:1890075|offset_141|444444,1890077:1890096|offset_162|444444&amp;v=1889728:1890296&amp;c=444444", "offset 103")</f>
        <v>offset 103</v>
      </c>
    </row>
    <row r="5999" customFormat="false" ht="12.8" hidden="false" customHeight="false" outlineLevel="0" collapsed="false">
      <c r="A5999" s="0" t="s">
        <v>12</v>
      </c>
      <c r="B5999" s="0" t="n">
        <v>1890055</v>
      </c>
      <c r="C5999" s="0" t="n">
        <v>1890075</v>
      </c>
      <c r="D5999" s="0" t="s">
        <v>19977</v>
      </c>
      <c r="E5999" s="0" t="s">
        <v>75</v>
      </c>
      <c r="F5999" s="0" t="s">
        <v>15</v>
      </c>
      <c r="G5999" s="0" t="s">
        <v>32</v>
      </c>
      <c r="H5999" s="0" t="n">
        <v>141</v>
      </c>
      <c r="I5999" s="0" t="s">
        <v>19984</v>
      </c>
      <c r="J5999" s="0" t="s">
        <v>19985</v>
      </c>
      <c r="K5999" s="0" t="s">
        <v>19986</v>
      </c>
      <c r="L5999" s="0" t="str">
        <f aca="false">HYPERLINK("https://www.ncbi.nlm.nih.gov/nuccore/CP000058.1?report=graph&amp;tracks=[key:gene_model_track,Options:GeneOnly]&amp;mk=1889929:1889948|offset_14|444444,1890018:1890037|offset_103|444444,1890056:1890075|offset_141|00cc00,1890077:1890096|offset_162|444444&amp;v=1889728:1890296&amp;c=444444", "offset 141")</f>
        <v>offset 141</v>
      </c>
    </row>
    <row r="6000" customFormat="false" ht="12.8" hidden="false" customHeight="false" outlineLevel="0" collapsed="false">
      <c r="A6000" s="0" t="s">
        <v>12</v>
      </c>
      <c r="B6000" s="0" t="n">
        <v>1890076</v>
      </c>
      <c r="C6000" s="0" t="n">
        <v>1890096</v>
      </c>
      <c r="D6000" s="0" t="s">
        <v>19977</v>
      </c>
      <c r="E6000" s="0" t="s">
        <v>75</v>
      </c>
      <c r="F6000" s="0" t="s">
        <v>15</v>
      </c>
      <c r="G6000" s="0" t="s">
        <v>16</v>
      </c>
      <c r="H6000" s="0" t="n">
        <v>162</v>
      </c>
      <c r="I6000" s="0" t="s">
        <v>19987</v>
      </c>
      <c r="J6000" s="0" t="s">
        <v>19988</v>
      </c>
      <c r="K6000" s="0" t="s">
        <v>19989</v>
      </c>
      <c r="L6000" s="0" t="str">
        <f aca="false">HYPERLINK("https://www.ncbi.nlm.nih.gov/nuccore/CP000058.1?report=graph&amp;tracks=[key:gene_model_track,Options:GeneOnly]&amp;mk=1889929:1889948|offset_14|444444,1890018:1890037|offset_103|444444,1890056:1890075|offset_141|444444,1890077:1890096|offset_162|00cc00&amp;v=1889728:1890296&amp;c=444444", "offset 162")</f>
        <v>offset 162</v>
      </c>
    </row>
    <row r="6001" customFormat="false" ht="12.8" hidden="false" customHeight="false" outlineLevel="0" collapsed="false">
      <c r="A6001" s="0" t="s">
        <v>12</v>
      </c>
      <c r="B6001" s="0" t="n">
        <v>1890358</v>
      </c>
      <c r="C6001" s="0" t="n">
        <v>1890378</v>
      </c>
      <c r="D6001" s="0" t="s">
        <v>19990</v>
      </c>
      <c r="E6001" s="0" t="s">
        <v>19991</v>
      </c>
      <c r="F6001" s="0" t="s">
        <v>15</v>
      </c>
      <c r="G6001" s="0" t="s">
        <v>16</v>
      </c>
      <c r="H6001" s="0" t="n">
        <v>13</v>
      </c>
      <c r="I6001" s="0" t="s">
        <v>19992</v>
      </c>
      <c r="J6001" s="0" t="s">
        <v>19993</v>
      </c>
      <c r="K6001" s="0" t="s">
        <v>19994</v>
      </c>
      <c r="L6001" s="0" t="str">
        <f aca="false">HYPERLINK("https://www.ncbi.nlm.nih.gov/nuccore/CP000058.1?report=graph&amp;tracks=[key:gene_model_track,Options:GeneOnly]&amp;mk=1890359:1890378|offset_13|00cc00,1890390:1890409|offset_44|444444,1890415:1890434|offset_69|444444,1890489:1890508|offset_143|444444&amp;v=1890158:1890708&amp;c=444444", "offset 13")</f>
        <v>offset 13</v>
      </c>
    </row>
    <row r="6002" customFormat="false" ht="12.8" hidden="false" customHeight="false" outlineLevel="0" collapsed="false">
      <c r="A6002" s="0" t="s">
        <v>12</v>
      </c>
      <c r="B6002" s="0" t="n">
        <v>1890389</v>
      </c>
      <c r="C6002" s="0" t="n">
        <v>1890409</v>
      </c>
      <c r="D6002" s="0" t="s">
        <v>19990</v>
      </c>
      <c r="E6002" s="0" t="s">
        <v>19991</v>
      </c>
      <c r="F6002" s="0" t="s">
        <v>15</v>
      </c>
      <c r="G6002" s="0" t="s">
        <v>32</v>
      </c>
      <c r="H6002" s="0" t="n">
        <v>44</v>
      </c>
      <c r="I6002" s="0" t="s">
        <v>19995</v>
      </c>
      <c r="J6002" s="0" t="s">
        <v>19996</v>
      </c>
      <c r="K6002" s="0" t="s">
        <v>19997</v>
      </c>
      <c r="L6002" s="0" t="str">
        <f aca="false">HYPERLINK("https://www.ncbi.nlm.nih.gov/nuccore/CP000058.1?report=graph&amp;tracks=[key:gene_model_track,Options:GeneOnly]&amp;mk=1890359:1890378|offset_13|444444,1890390:1890409|offset_44|00cc00,1890415:1890434|offset_69|444444,1890489:1890508|offset_143|444444&amp;v=1890158:1890708&amp;c=444444", "offset 44")</f>
        <v>offset 44</v>
      </c>
    </row>
    <row r="6003" customFormat="false" ht="12.8" hidden="false" customHeight="false" outlineLevel="0" collapsed="false">
      <c r="A6003" s="0" t="s">
        <v>12</v>
      </c>
      <c r="B6003" s="0" t="n">
        <v>1890414</v>
      </c>
      <c r="C6003" s="0" t="n">
        <v>1890434</v>
      </c>
      <c r="D6003" s="0" t="s">
        <v>19990</v>
      </c>
      <c r="E6003" s="0" t="s">
        <v>19991</v>
      </c>
      <c r="F6003" s="0" t="s">
        <v>15</v>
      </c>
      <c r="G6003" s="0" t="s">
        <v>16</v>
      </c>
      <c r="H6003" s="0" t="n">
        <v>69</v>
      </c>
      <c r="I6003" s="0" t="s">
        <v>19998</v>
      </c>
      <c r="J6003" s="0" t="s">
        <v>19999</v>
      </c>
      <c r="K6003" s="0" t="s">
        <v>20000</v>
      </c>
      <c r="L6003" s="0" t="str">
        <f aca="false">HYPERLINK("https://www.ncbi.nlm.nih.gov/nuccore/CP000058.1?report=graph&amp;tracks=[key:gene_model_track,Options:GeneOnly]&amp;mk=1890359:1890378|offset_13|444444,1890390:1890409|offset_44|444444,1890415:1890434|offset_69|00cc00,1890489:1890508|offset_143|444444&amp;v=1890158:1890708&amp;c=444444", "offset 69")</f>
        <v>offset 69</v>
      </c>
    </row>
    <row r="6004" customFormat="false" ht="12.8" hidden="false" customHeight="false" outlineLevel="0" collapsed="false">
      <c r="A6004" s="0" t="s">
        <v>12</v>
      </c>
      <c r="B6004" s="0" t="n">
        <v>1890488</v>
      </c>
      <c r="C6004" s="0" t="n">
        <v>1890508</v>
      </c>
      <c r="D6004" s="0" t="s">
        <v>19990</v>
      </c>
      <c r="E6004" s="0" t="s">
        <v>19991</v>
      </c>
      <c r="F6004" s="0" t="s">
        <v>15</v>
      </c>
      <c r="G6004" s="0" t="s">
        <v>16</v>
      </c>
      <c r="H6004" s="0" t="n">
        <v>143</v>
      </c>
      <c r="I6004" s="0" t="s">
        <v>20001</v>
      </c>
      <c r="J6004" s="0" t="s">
        <v>20002</v>
      </c>
      <c r="K6004" s="0" t="s">
        <v>20003</v>
      </c>
      <c r="L6004" s="0" t="str">
        <f aca="false">HYPERLINK("https://www.ncbi.nlm.nih.gov/nuccore/CP000058.1?report=graph&amp;tracks=[key:gene_model_track,Options:GeneOnly]&amp;mk=1890359:1890378|offset_13|444444,1890390:1890409|offset_44|444444,1890415:1890434|offset_69|444444,1890489:1890508|offset_143|00cc00&amp;v=1890158:1890708&amp;c=444444", "offset 143")</f>
        <v>offset 143</v>
      </c>
    </row>
    <row r="6005" customFormat="false" ht="12.8" hidden="false" customHeight="false" outlineLevel="0" collapsed="false">
      <c r="A6005" s="0" t="s">
        <v>12</v>
      </c>
      <c r="B6005" s="0" t="n">
        <v>1891358</v>
      </c>
      <c r="C6005" s="0" t="n">
        <v>1891378</v>
      </c>
      <c r="D6005" s="0" t="s">
        <v>20004</v>
      </c>
      <c r="E6005" s="0" t="s">
        <v>75</v>
      </c>
      <c r="F6005" s="0" t="s">
        <v>15</v>
      </c>
      <c r="G6005" s="0" t="s">
        <v>20</v>
      </c>
      <c r="H6005" s="0" t="n">
        <v>21</v>
      </c>
      <c r="I6005" s="0" t="s">
        <v>20005</v>
      </c>
      <c r="J6005" s="0" t="s">
        <v>20006</v>
      </c>
      <c r="K6005" s="0" t="s">
        <v>20007</v>
      </c>
      <c r="L6005" s="0" t="str">
        <f aca="false">HYPERLINK("https://www.ncbi.nlm.nih.gov/nuccore/CP000058.1?report=graph&amp;tracks=[key:gene_model_track,Options:GeneOnly]&amp;mk=1891359:1891378|offset_21|00cc00,1891385:1891404|offset_47|444444,1891410:1891429|offset_72|444444,1891435:1891454|offset_97|444444&amp;v=1891158:1891654&amp;c=444444", "offset 21")</f>
        <v>offset 21</v>
      </c>
    </row>
    <row r="6006" customFormat="false" ht="12.8" hidden="false" customHeight="false" outlineLevel="0" collapsed="false">
      <c r="A6006" s="0" t="s">
        <v>12</v>
      </c>
      <c r="B6006" s="0" t="n">
        <v>1891384</v>
      </c>
      <c r="C6006" s="0" t="n">
        <v>1891404</v>
      </c>
      <c r="D6006" s="0" t="s">
        <v>20004</v>
      </c>
      <c r="E6006" s="0" t="s">
        <v>75</v>
      </c>
      <c r="F6006" s="0" t="s">
        <v>15</v>
      </c>
      <c r="G6006" s="0" t="s">
        <v>20</v>
      </c>
      <c r="H6006" s="0" t="n">
        <v>47</v>
      </c>
      <c r="I6006" s="0" t="s">
        <v>20008</v>
      </c>
      <c r="J6006" s="0" t="s">
        <v>20009</v>
      </c>
      <c r="K6006" s="0" t="s">
        <v>20010</v>
      </c>
      <c r="L6006" s="0" t="str">
        <f aca="false">HYPERLINK("https://www.ncbi.nlm.nih.gov/nuccore/CP000058.1?report=graph&amp;tracks=[key:gene_model_track,Options:GeneOnly]&amp;mk=1891359:1891378|offset_21|444444,1891385:1891404|offset_47|00cc00,1891410:1891429|offset_72|444444,1891435:1891454|offset_97|444444&amp;v=1891158:1891654&amp;c=444444", "offset 47")</f>
        <v>offset 47</v>
      </c>
    </row>
    <row r="6007" customFormat="false" ht="12.8" hidden="false" customHeight="false" outlineLevel="0" collapsed="false">
      <c r="A6007" s="0" t="s">
        <v>12</v>
      </c>
      <c r="B6007" s="0" t="n">
        <v>1891409</v>
      </c>
      <c r="C6007" s="0" t="n">
        <v>1891429</v>
      </c>
      <c r="D6007" s="0" t="s">
        <v>20004</v>
      </c>
      <c r="E6007" s="0" t="s">
        <v>75</v>
      </c>
      <c r="F6007" s="0" t="s">
        <v>15</v>
      </c>
      <c r="G6007" s="0" t="s">
        <v>32</v>
      </c>
      <c r="H6007" s="0" t="n">
        <v>72</v>
      </c>
      <c r="I6007" s="0" t="s">
        <v>20011</v>
      </c>
      <c r="J6007" s="0" t="s">
        <v>20012</v>
      </c>
      <c r="K6007" s="0" t="s">
        <v>20013</v>
      </c>
      <c r="L6007" s="0" t="str">
        <f aca="false">HYPERLINK("https://www.ncbi.nlm.nih.gov/nuccore/CP000058.1?report=graph&amp;tracks=[key:gene_model_track,Options:GeneOnly]&amp;mk=1891359:1891378|offset_21|444444,1891385:1891404|offset_47|444444,1891410:1891429|offset_72|00cc00,1891435:1891454|offset_97|444444&amp;v=1891158:1891654&amp;c=444444", "offset 72")</f>
        <v>offset 72</v>
      </c>
    </row>
    <row r="6008" customFormat="false" ht="12.8" hidden="false" customHeight="false" outlineLevel="0" collapsed="false">
      <c r="A6008" s="0" t="s">
        <v>12</v>
      </c>
      <c r="B6008" s="0" t="n">
        <v>1891434</v>
      </c>
      <c r="C6008" s="0" t="n">
        <v>1891454</v>
      </c>
      <c r="D6008" s="0" t="s">
        <v>20004</v>
      </c>
      <c r="E6008" s="0" t="s">
        <v>75</v>
      </c>
      <c r="F6008" s="0" t="s">
        <v>15</v>
      </c>
      <c r="G6008" s="0" t="s">
        <v>16</v>
      </c>
      <c r="H6008" s="0" t="n">
        <v>97</v>
      </c>
      <c r="I6008" s="0" t="s">
        <v>20014</v>
      </c>
      <c r="J6008" s="0" t="s">
        <v>20015</v>
      </c>
      <c r="K6008" s="0" t="s">
        <v>20016</v>
      </c>
      <c r="L6008" s="0" t="str">
        <f aca="false">HYPERLINK("https://www.ncbi.nlm.nih.gov/nuccore/CP000058.1?report=graph&amp;tracks=[key:gene_model_track,Options:GeneOnly]&amp;mk=1891359:1891378|offset_21|444444,1891385:1891404|offset_47|444444,1891410:1891429|offset_72|444444,1891435:1891454|offset_97|00cc00&amp;v=1891158:1891654&amp;c=444444", "offset 97")</f>
        <v>offset 97</v>
      </c>
    </row>
    <row r="6009" customFormat="false" ht="12.8" hidden="false" customHeight="false" outlineLevel="0" collapsed="false">
      <c r="A6009" s="0" t="s">
        <v>12</v>
      </c>
      <c r="B6009" s="0" t="n">
        <v>1891559</v>
      </c>
      <c r="C6009" s="0" t="n">
        <v>1891579</v>
      </c>
      <c r="D6009" s="0" t="s">
        <v>20017</v>
      </c>
      <c r="E6009" s="0" t="s">
        <v>20018</v>
      </c>
      <c r="F6009" s="0" t="s">
        <v>15</v>
      </c>
      <c r="G6009" s="0" t="s">
        <v>16</v>
      </c>
      <c r="H6009" s="0" t="n">
        <v>19</v>
      </c>
      <c r="I6009" s="0" t="s">
        <v>20019</v>
      </c>
      <c r="J6009" s="0" t="s">
        <v>20020</v>
      </c>
      <c r="K6009" s="0" t="s">
        <v>20021</v>
      </c>
      <c r="L6009" s="0" t="str">
        <f aca="false">HYPERLINK("https://www.ncbi.nlm.nih.gov/nuccore/CP000058.1?report=graph&amp;tracks=[key:gene_model_track,Options:GeneOnly]&amp;mk=1891560:1891579|offset_19|00cc00,1891587:1891606|offset_46|444444,1891607:1891626|offset_66|444444,1891631:1891650|offset_90|444444&amp;v=1891359:1891850&amp;c=444444", "offset 19")</f>
        <v>offset 19</v>
      </c>
    </row>
    <row r="6010" customFormat="false" ht="12.8" hidden="false" customHeight="false" outlineLevel="0" collapsed="false">
      <c r="A6010" s="0" t="s">
        <v>12</v>
      </c>
      <c r="B6010" s="0" t="n">
        <v>1891586</v>
      </c>
      <c r="C6010" s="0" t="n">
        <v>1891606</v>
      </c>
      <c r="D6010" s="0" t="s">
        <v>20017</v>
      </c>
      <c r="E6010" s="0" t="s">
        <v>20018</v>
      </c>
      <c r="F6010" s="0" t="s">
        <v>15</v>
      </c>
      <c r="G6010" s="0" t="s">
        <v>32</v>
      </c>
      <c r="H6010" s="0" t="n">
        <v>46</v>
      </c>
      <c r="I6010" s="0" t="s">
        <v>20022</v>
      </c>
      <c r="J6010" s="0" t="s">
        <v>20023</v>
      </c>
      <c r="K6010" s="0" t="s">
        <v>20024</v>
      </c>
      <c r="L6010" s="0" t="str">
        <f aca="false">HYPERLINK("https://www.ncbi.nlm.nih.gov/nuccore/CP000058.1?report=graph&amp;tracks=[key:gene_model_track,Options:GeneOnly]&amp;mk=1891560:1891579|offset_19|444444,1891587:1891606|offset_46|00cc00,1891607:1891626|offset_66|444444,1891631:1891650|offset_90|444444&amp;v=1891359:1891850&amp;c=444444", "offset 46")</f>
        <v>offset 46</v>
      </c>
    </row>
    <row r="6011" customFormat="false" ht="12.8" hidden="false" customHeight="false" outlineLevel="0" collapsed="false">
      <c r="A6011" s="0" t="s">
        <v>12</v>
      </c>
      <c r="B6011" s="0" t="n">
        <v>1891606</v>
      </c>
      <c r="C6011" s="0" t="n">
        <v>1891626</v>
      </c>
      <c r="D6011" s="0" t="s">
        <v>20017</v>
      </c>
      <c r="E6011" s="0" t="s">
        <v>20018</v>
      </c>
      <c r="F6011" s="0" t="s">
        <v>15</v>
      </c>
      <c r="G6011" s="0" t="s">
        <v>32</v>
      </c>
      <c r="H6011" s="0" t="n">
        <v>66</v>
      </c>
      <c r="I6011" s="0" t="s">
        <v>20025</v>
      </c>
      <c r="J6011" s="0" t="s">
        <v>20026</v>
      </c>
      <c r="K6011" s="0" t="s">
        <v>20027</v>
      </c>
      <c r="L6011" s="0" t="str">
        <f aca="false">HYPERLINK("https://www.ncbi.nlm.nih.gov/nuccore/CP000058.1?report=graph&amp;tracks=[key:gene_model_track,Options:GeneOnly]&amp;mk=1891560:1891579|offset_19|444444,1891587:1891606|offset_46|444444,1891607:1891626|offset_66|00cc00,1891631:1891650|offset_90|444444&amp;v=1891359:1891850&amp;c=444444", "offset 66")</f>
        <v>offset 66</v>
      </c>
    </row>
    <row r="6012" customFormat="false" ht="12.8" hidden="false" customHeight="false" outlineLevel="0" collapsed="false">
      <c r="A6012" s="0" t="s">
        <v>12</v>
      </c>
      <c r="B6012" s="0" t="n">
        <v>1891630</v>
      </c>
      <c r="C6012" s="0" t="n">
        <v>1891650</v>
      </c>
      <c r="D6012" s="0" t="s">
        <v>20017</v>
      </c>
      <c r="E6012" s="0" t="s">
        <v>20018</v>
      </c>
      <c r="F6012" s="0" t="s">
        <v>15</v>
      </c>
      <c r="G6012" s="0" t="s">
        <v>36</v>
      </c>
      <c r="H6012" s="0" t="n">
        <v>90</v>
      </c>
      <c r="I6012" s="0" t="s">
        <v>20028</v>
      </c>
      <c r="J6012" s="0" t="s">
        <v>20029</v>
      </c>
      <c r="K6012" s="0" t="s">
        <v>20030</v>
      </c>
      <c r="L6012" s="0" t="str">
        <f aca="false">HYPERLINK("https://www.ncbi.nlm.nih.gov/nuccore/CP000058.1?report=graph&amp;tracks=[key:gene_model_track,Options:GeneOnly]&amp;mk=1891560:1891579|offset_19|444444,1891587:1891606|offset_46|444444,1891607:1891626|offset_66|444444,1891631:1891650|offset_90|00cc00&amp;v=1891359:1891850&amp;c=444444", "offset 90")</f>
        <v>offset 90</v>
      </c>
    </row>
    <row r="6013" customFormat="false" ht="12.8" hidden="false" customHeight="false" outlineLevel="0" collapsed="false">
      <c r="A6013" s="0" t="s">
        <v>12</v>
      </c>
      <c r="B6013" s="0" t="n">
        <v>1892346</v>
      </c>
      <c r="C6013" s="0" t="n">
        <v>1892366</v>
      </c>
      <c r="D6013" s="0" t="s">
        <v>20031</v>
      </c>
      <c r="E6013" s="0" t="s">
        <v>20032</v>
      </c>
      <c r="F6013" s="0" t="s">
        <v>15</v>
      </c>
      <c r="G6013" s="0" t="s">
        <v>20</v>
      </c>
      <c r="H6013" s="0" t="n">
        <v>7</v>
      </c>
      <c r="I6013" s="0" t="s">
        <v>20033</v>
      </c>
      <c r="J6013" s="0" t="s">
        <v>20034</v>
      </c>
      <c r="K6013" s="0" t="s">
        <v>20035</v>
      </c>
      <c r="L6013" s="0" t="str">
        <f aca="false">HYPERLINK("https://www.ncbi.nlm.nih.gov/nuccore/CP000058.1?report=graph&amp;tracks=[key:gene_model_track,Options:GeneOnly]&amp;mk=1892347:1892366|offset_7|00cc00,1892371:1892390|offset_31|444444,1892410:1892429|offset_70|444444,1892513:1892532|offset_173|444444&amp;v=1892146:1892732&amp;c=444444", "offset 7")</f>
        <v>offset 7</v>
      </c>
    </row>
    <row r="6014" customFormat="false" ht="12.8" hidden="false" customHeight="false" outlineLevel="0" collapsed="false">
      <c r="A6014" s="0" t="s">
        <v>12</v>
      </c>
      <c r="B6014" s="0" t="n">
        <v>1892370</v>
      </c>
      <c r="C6014" s="0" t="n">
        <v>1892390</v>
      </c>
      <c r="D6014" s="0" t="s">
        <v>20031</v>
      </c>
      <c r="E6014" s="0" t="s">
        <v>20032</v>
      </c>
      <c r="F6014" s="0" t="s">
        <v>15</v>
      </c>
      <c r="G6014" s="0" t="s">
        <v>36</v>
      </c>
      <c r="H6014" s="0" t="n">
        <v>31</v>
      </c>
      <c r="I6014" s="0" t="s">
        <v>20036</v>
      </c>
      <c r="J6014" s="0" t="s">
        <v>20037</v>
      </c>
      <c r="K6014" s="0" t="s">
        <v>20038</v>
      </c>
      <c r="L6014" s="0" t="str">
        <f aca="false">HYPERLINK("https://www.ncbi.nlm.nih.gov/nuccore/CP000058.1?report=graph&amp;tracks=[key:gene_model_track,Options:GeneOnly]&amp;mk=1892347:1892366|offset_7|444444,1892371:1892390|offset_31|00cc00,1892410:1892429|offset_70|444444,1892513:1892532|offset_173|444444&amp;v=1892146:1892732&amp;c=444444", "offset 31")</f>
        <v>offset 31</v>
      </c>
    </row>
    <row r="6015" customFormat="false" ht="12.8" hidden="false" customHeight="false" outlineLevel="0" collapsed="false">
      <c r="A6015" s="0" t="s">
        <v>12</v>
      </c>
      <c r="B6015" s="0" t="n">
        <v>1892409</v>
      </c>
      <c r="C6015" s="0" t="n">
        <v>1892429</v>
      </c>
      <c r="D6015" s="0" t="s">
        <v>20031</v>
      </c>
      <c r="E6015" s="0" t="s">
        <v>20032</v>
      </c>
      <c r="F6015" s="0" t="s">
        <v>15</v>
      </c>
      <c r="G6015" s="0" t="s">
        <v>36</v>
      </c>
      <c r="H6015" s="0" t="n">
        <v>70</v>
      </c>
      <c r="I6015" s="0" t="s">
        <v>20039</v>
      </c>
      <c r="J6015" s="0" t="s">
        <v>20040</v>
      </c>
      <c r="K6015" s="0" t="s">
        <v>20041</v>
      </c>
      <c r="L6015" s="0" t="str">
        <f aca="false">HYPERLINK("https://www.ncbi.nlm.nih.gov/nuccore/CP000058.1?report=graph&amp;tracks=[key:gene_model_track,Options:GeneOnly]&amp;mk=1892347:1892366|offset_7|444444,1892371:1892390|offset_31|444444,1892410:1892429|offset_70|00cc00,1892513:1892532|offset_173|444444&amp;v=1892146:1892732&amp;c=444444", "offset 70")</f>
        <v>offset 70</v>
      </c>
    </row>
    <row r="6016" customFormat="false" ht="12.8" hidden="false" customHeight="false" outlineLevel="0" collapsed="false">
      <c r="A6016" s="0" t="s">
        <v>12</v>
      </c>
      <c r="B6016" s="0" t="n">
        <v>1892512</v>
      </c>
      <c r="C6016" s="0" t="n">
        <v>1892532</v>
      </c>
      <c r="D6016" s="0" t="s">
        <v>20031</v>
      </c>
      <c r="E6016" s="0" t="s">
        <v>20032</v>
      </c>
      <c r="F6016" s="0" t="s">
        <v>15</v>
      </c>
      <c r="G6016" s="0" t="s">
        <v>20</v>
      </c>
      <c r="H6016" s="0" t="n">
        <v>173</v>
      </c>
      <c r="I6016" s="0" t="s">
        <v>20042</v>
      </c>
      <c r="J6016" s="0" t="s">
        <v>20043</v>
      </c>
      <c r="K6016" s="0" t="s">
        <v>20044</v>
      </c>
      <c r="L6016" s="0" t="str">
        <f aca="false">HYPERLINK("https://www.ncbi.nlm.nih.gov/nuccore/CP000058.1?report=graph&amp;tracks=[key:gene_model_track,Options:GeneOnly]&amp;mk=1892347:1892366|offset_7|444444,1892371:1892390|offset_31|444444,1892410:1892429|offset_70|444444,1892513:1892532|offset_173|00cc00&amp;v=1892146:1892732&amp;c=444444", "offset 173")</f>
        <v>offset 173</v>
      </c>
    </row>
    <row r="6017" customFormat="false" ht="12.8" hidden="false" customHeight="false" outlineLevel="0" collapsed="false">
      <c r="A6017" s="0" t="s">
        <v>12</v>
      </c>
      <c r="B6017" s="0" t="n">
        <v>1897007</v>
      </c>
      <c r="C6017" s="0" t="n">
        <v>1897027</v>
      </c>
      <c r="D6017" s="0" t="s">
        <v>20045</v>
      </c>
      <c r="E6017" s="0" t="s">
        <v>75</v>
      </c>
      <c r="F6017" s="0" t="s">
        <v>90</v>
      </c>
      <c r="G6017" s="0" t="s">
        <v>16</v>
      </c>
      <c r="H6017" s="0" t="n">
        <v>10</v>
      </c>
      <c r="I6017" s="0" t="s">
        <v>20046</v>
      </c>
      <c r="J6017" s="0" t="s">
        <v>20047</v>
      </c>
      <c r="K6017" s="0" t="s">
        <v>20048</v>
      </c>
      <c r="L6017" s="0" t="str">
        <f aca="false">HYPERLINK("https://www.ncbi.nlm.nih.gov/nuccore/CP000058.1?report=graph&amp;tracks=[key:gene_model_track,Options:GeneOnly]&amp;mk=1897008:1897027|offset_10|00cc00,1896988:1897007|offset_30|444444,1896937:1896956|offset_81|444444,1896905:1896924|offset_113|444444&amp;v=1896807:1897124&amp;c=444444", "offset 10")</f>
        <v>offset 10</v>
      </c>
    </row>
    <row r="6018" customFormat="false" ht="12.8" hidden="false" customHeight="false" outlineLevel="0" collapsed="false">
      <c r="A6018" s="0" t="s">
        <v>12</v>
      </c>
      <c r="B6018" s="0" t="n">
        <v>1896987</v>
      </c>
      <c r="C6018" s="0" t="n">
        <v>1897007</v>
      </c>
      <c r="D6018" s="0" t="s">
        <v>20045</v>
      </c>
      <c r="E6018" s="0" t="s">
        <v>75</v>
      </c>
      <c r="F6018" s="0" t="s">
        <v>90</v>
      </c>
      <c r="G6018" s="0" t="s">
        <v>36</v>
      </c>
      <c r="H6018" s="0" t="n">
        <v>30</v>
      </c>
      <c r="I6018" s="0" t="s">
        <v>20049</v>
      </c>
      <c r="J6018" s="0" t="s">
        <v>20050</v>
      </c>
      <c r="K6018" s="0" t="s">
        <v>20051</v>
      </c>
      <c r="L6018" s="0" t="str">
        <f aca="false">HYPERLINK("https://www.ncbi.nlm.nih.gov/nuccore/CP000058.1?report=graph&amp;tracks=[key:gene_model_track,Options:GeneOnly]&amp;mk=1897008:1897027|offset_10|444444,1896988:1897007|offset_30|00cc00,1896937:1896956|offset_81|444444,1896905:1896924|offset_113|444444&amp;v=1896807:1897124&amp;c=444444", "offset 30")</f>
        <v>offset 30</v>
      </c>
    </row>
    <row r="6019" customFormat="false" ht="12.8" hidden="false" customHeight="false" outlineLevel="0" collapsed="false">
      <c r="A6019" s="0" t="s">
        <v>12</v>
      </c>
      <c r="B6019" s="0" t="n">
        <v>1896936</v>
      </c>
      <c r="C6019" s="0" t="n">
        <v>1896956</v>
      </c>
      <c r="D6019" s="0" t="s">
        <v>20045</v>
      </c>
      <c r="E6019" s="0" t="s">
        <v>75</v>
      </c>
      <c r="F6019" s="0" t="s">
        <v>90</v>
      </c>
      <c r="G6019" s="0" t="s">
        <v>36</v>
      </c>
      <c r="H6019" s="0" t="n">
        <v>81</v>
      </c>
      <c r="I6019" s="0" t="s">
        <v>20052</v>
      </c>
      <c r="J6019" s="0" t="s">
        <v>20053</v>
      </c>
      <c r="K6019" s="0" t="s">
        <v>20054</v>
      </c>
      <c r="L6019" s="0" t="str">
        <f aca="false">HYPERLINK("https://www.ncbi.nlm.nih.gov/nuccore/CP000058.1?report=graph&amp;tracks=[key:gene_model_track,Options:GeneOnly]&amp;mk=1897008:1897027|offset_10|444444,1896988:1897007|offset_30|444444,1896937:1896956|offset_81|00cc00,1896905:1896924|offset_113|444444&amp;v=1896807:1897124&amp;c=444444", "offset 81")</f>
        <v>offset 81</v>
      </c>
    </row>
    <row r="6020" customFormat="false" ht="12.8" hidden="false" customHeight="false" outlineLevel="0" collapsed="false">
      <c r="A6020" s="0" t="s">
        <v>12</v>
      </c>
      <c r="B6020" s="0" t="n">
        <v>1896904</v>
      </c>
      <c r="C6020" s="0" t="n">
        <v>1896924</v>
      </c>
      <c r="D6020" s="0" t="s">
        <v>20045</v>
      </c>
      <c r="E6020" s="0" t="s">
        <v>75</v>
      </c>
      <c r="F6020" s="0" t="s">
        <v>90</v>
      </c>
      <c r="G6020" s="0" t="s">
        <v>32</v>
      </c>
      <c r="H6020" s="0" t="n">
        <v>113</v>
      </c>
      <c r="I6020" s="0" t="s">
        <v>20055</v>
      </c>
      <c r="J6020" s="0" t="s">
        <v>20056</v>
      </c>
      <c r="K6020" s="0" t="s">
        <v>20057</v>
      </c>
      <c r="L6020" s="0" t="str">
        <f aca="false">HYPERLINK("https://www.ncbi.nlm.nih.gov/nuccore/CP000058.1?report=graph&amp;tracks=[key:gene_model_track,Options:GeneOnly]&amp;mk=1897008:1897027|offset_10|444444,1896988:1897007|offset_30|444444,1896937:1896956|offset_81|444444,1896905:1896924|offset_113|00cc00&amp;v=1896807:1897124&amp;c=444444", "offset 113")</f>
        <v>offset 113</v>
      </c>
    </row>
    <row r="6021" customFormat="false" ht="12.8" hidden="false" customHeight="false" outlineLevel="0" collapsed="false">
      <c r="A6021" s="0" t="s">
        <v>12</v>
      </c>
      <c r="B6021" s="0" t="n">
        <v>1897722</v>
      </c>
      <c r="C6021" s="0" t="n">
        <v>1897742</v>
      </c>
      <c r="D6021" s="0" t="s">
        <v>20058</v>
      </c>
      <c r="E6021" s="0" t="s">
        <v>20059</v>
      </c>
      <c r="F6021" s="0" t="s">
        <v>15</v>
      </c>
      <c r="G6021" s="0" t="s">
        <v>36</v>
      </c>
      <c r="H6021" s="0" t="n">
        <v>16</v>
      </c>
      <c r="I6021" s="0" t="s">
        <v>20060</v>
      </c>
      <c r="J6021" s="0" t="s">
        <v>20061</v>
      </c>
      <c r="K6021" s="0" t="s">
        <v>20062</v>
      </c>
      <c r="L6021" s="0" t="str">
        <f aca="false">HYPERLINK("https://www.ncbi.nlm.nih.gov/nuccore/CP000058.1?report=graph&amp;tracks=[key:gene_model_track,Options:GeneOnly]&amp;mk=1897723:1897742|offset_16|00cc00,1897759:1897778|offset_52|444444,1897818:1897837|offset_111|444444,1897884:1897903|offset_177|444444&amp;v=1897522:1898103&amp;c=444444", "offset 16")</f>
        <v>offset 16</v>
      </c>
    </row>
    <row r="6022" customFormat="false" ht="12.8" hidden="false" customHeight="false" outlineLevel="0" collapsed="false">
      <c r="A6022" s="0" t="s">
        <v>12</v>
      </c>
      <c r="B6022" s="0" t="n">
        <v>1897758</v>
      </c>
      <c r="C6022" s="0" t="n">
        <v>1897778</v>
      </c>
      <c r="D6022" s="0" t="s">
        <v>20058</v>
      </c>
      <c r="E6022" s="0" t="s">
        <v>20059</v>
      </c>
      <c r="F6022" s="0" t="s">
        <v>15</v>
      </c>
      <c r="G6022" s="0" t="s">
        <v>36</v>
      </c>
      <c r="H6022" s="0" t="n">
        <v>52</v>
      </c>
      <c r="I6022" s="0" t="s">
        <v>20063</v>
      </c>
      <c r="J6022" s="0" t="s">
        <v>20064</v>
      </c>
      <c r="K6022" s="0" t="s">
        <v>20065</v>
      </c>
      <c r="L6022" s="0" t="str">
        <f aca="false">HYPERLINK("https://www.ncbi.nlm.nih.gov/nuccore/CP000058.1?report=graph&amp;tracks=[key:gene_model_track,Options:GeneOnly]&amp;mk=1897723:1897742|offset_16|444444,1897759:1897778|offset_52|00cc00,1897818:1897837|offset_111|444444,1897884:1897903|offset_177|444444&amp;v=1897522:1898103&amp;c=444444", "offset 52")</f>
        <v>offset 52</v>
      </c>
    </row>
    <row r="6023" customFormat="false" ht="12.8" hidden="false" customHeight="false" outlineLevel="0" collapsed="false">
      <c r="A6023" s="0" t="s">
        <v>12</v>
      </c>
      <c r="B6023" s="0" t="n">
        <v>1897817</v>
      </c>
      <c r="C6023" s="0" t="n">
        <v>1897837</v>
      </c>
      <c r="D6023" s="0" t="s">
        <v>20058</v>
      </c>
      <c r="E6023" s="0" t="s">
        <v>20059</v>
      </c>
      <c r="F6023" s="0" t="s">
        <v>15</v>
      </c>
      <c r="G6023" s="0" t="s">
        <v>36</v>
      </c>
      <c r="H6023" s="0" t="n">
        <v>111</v>
      </c>
      <c r="I6023" s="0" t="s">
        <v>20066</v>
      </c>
      <c r="J6023" s="0" t="s">
        <v>20067</v>
      </c>
      <c r="K6023" s="0" t="s">
        <v>20068</v>
      </c>
      <c r="L6023" s="0" t="str">
        <f aca="false">HYPERLINK("https://www.ncbi.nlm.nih.gov/nuccore/CP000058.1?report=graph&amp;tracks=[key:gene_model_track,Options:GeneOnly]&amp;mk=1897723:1897742|offset_16|444444,1897759:1897778|offset_52|444444,1897818:1897837|offset_111|00cc00,1897884:1897903|offset_177|444444&amp;v=1897522:1898103&amp;c=444444", "offset 111")</f>
        <v>offset 111</v>
      </c>
    </row>
    <row r="6024" customFormat="false" ht="12.8" hidden="false" customHeight="false" outlineLevel="0" collapsed="false">
      <c r="A6024" s="0" t="s">
        <v>12</v>
      </c>
      <c r="B6024" s="0" t="n">
        <v>1897883</v>
      </c>
      <c r="C6024" s="0" t="n">
        <v>1897903</v>
      </c>
      <c r="D6024" s="0" t="s">
        <v>20058</v>
      </c>
      <c r="E6024" s="0" t="s">
        <v>20059</v>
      </c>
      <c r="F6024" s="0" t="s">
        <v>15</v>
      </c>
      <c r="G6024" s="0" t="s">
        <v>16</v>
      </c>
      <c r="H6024" s="0" t="n">
        <v>177</v>
      </c>
      <c r="I6024" s="0" t="s">
        <v>20069</v>
      </c>
      <c r="J6024" s="0" t="s">
        <v>20070</v>
      </c>
      <c r="K6024" s="0" t="s">
        <v>20071</v>
      </c>
      <c r="L6024" s="0" t="str">
        <f aca="false">HYPERLINK("https://www.ncbi.nlm.nih.gov/nuccore/CP000058.1?report=graph&amp;tracks=[key:gene_model_track,Options:GeneOnly]&amp;mk=1897723:1897742|offset_16|444444,1897759:1897778|offset_52|444444,1897818:1897837|offset_111|444444,1897884:1897903|offset_177|00cc00&amp;v=1897522:1898103&amp;c=444444", "offset 177")</f>
        <v>offset 177</v>
      </c>
    </row>
    <row r="6025" customFormat="false" ht="12.8" hidden="false" customHeight="false" outlineLevel="0" collapsed="false">
      <c r="A6025" s="0" t="s">
        <v>12</v>
      </c>
      <c r="B6025" s="0" t="n">
        <v>1898672</v>
      </c>
      <c r="C6025" s="0" t="n">
        <v>1898692</v>
      </c>
      <c r="D6025" s="0" t="s">
        <v>20072</v>
      </c>
      <c r="E6025" s="0" t="s">
        <v>75</v>
      </c>
      <c r="F6025" s="0" t="s">
        <v>15</v>
      </c>
      <c r="G6025" s="0" t="s">
        <v>20</v>
      </c>
      <c r="H6025" s="0" t="n">
        <v>20</v>
      </c>
      <c r="I6025" s="0" t="s">
        <v>20073</v>
      </c>
      <c r="J6025" s="0" t="s">
        <v>20074</v>
      </c>
      <c r="K6025" s="0" t="s">
        <v>20075</v>
      </c>
      <c r="L6025" s="0" t="str">
        <f aca="false">HYPERLINK("https://www.ncbi.nlm.nih.gov/nuccore/CP000058.1?report=graph&amp;tracks=[key:gene_model_track,Options:GeneOnly]&amp;mk=1898673:1898692|offset_20|00cc00,1898705:1898724|offset_52|444444,1898732:1898751|offset_79|444444,1898779:1898798|offset_126|444444&amp;v=1898472:1898998&amp;c=444444", "offset 20")</f>
        <v>offset 20</v>
      </c>
    </row>
    <row r="6026" customFormat="false" ht="12.8" hidden="false" customHeight="false" outlineLevel="0" collapsed="false">
      <c r="A6026" s="0" t="s">
        <v>12</v>
      </c>
      <c r="B6026" s="0" t="n">
        <v>1898704</v>
      </c>
      <c r="C6026" s="0" t="n">
        <v>1898724</v>
      </c>
      <c r="D6026" s="0" t="s">
        <v>20072</v>
      </c>
      <c r="E6026" s="0" t="s">
        <v>75</v>
      </c>
      <c r="F6026" s="0" t="s">
        <v>15</v>
      </c>
      <c r="G6026" s="0" t="s">
        <v>16</v>
      </c>
      <c r="H6026" s="0" t="n">
        <v>52</v>
      </c>
      <c r="I6026" s="0" t="s">
        <v>20076</v>
      </c>
      <c r="J6026" s="0" t="s">
        <v>20077</v>
      </c>
      <c r="K6026" s="0" t="s">
        <v>20078</v>
      </c>
      <c r="L6026" s="0" t="str">
        <f aca="false">HYPERLINK("https://www.ncbi.nlm.nih.gov/nuccore/CP000058.1?report=graph&amp;tracks=[key:gene_model_track,Options:GeneOnly]&amp;mk=1898673:1898692|offset_20|444444,1898705:1898724|offset_52|00cc00,1898732:1898751|offset_79|444444,1898779:1898798|offset_126|444444&amp;v=1898472:1898998&amp;c=444444", "offset 52")</f>
        <v>offset 52</v>
      </c>
    </row>
    <row r="6027" customFormat="false" ht="12.8" hidden="false" customHeight="false" outlineLevel="0" collapsed="false">
      <c r="A6027" s="0" t="s">
        <v>12</v>
      </c>
      <c r="B6027" s="0" t="n">
        <v>1898731</v>
      </c>
      <c r="C6027" s="0" t="n">
        <v>1898751</v>
      </c>
      <c r="D6027" s="0" t="s">
        <v>20072</v>
      </c>
      <c r="E6027" s="0" t="s">
        <v>75</v>
      </c>
      <c r="F6027" s="0" t="s">
        <v>15</v>
      </c>
      <c r="G6027" s="0" t="s">
        <v>32</v>
      </c>
      <c r="H6027" s="0" t="n">
        <v>79</v>
      </c>
      <c r="I6027" s="0" t="s">
        <v>20079</v>
      </c>
      <c r="J6027" s="0" t="s">
        <v>20080</v>
      </c>
      <c r="K6027" s="0" t="s">
        <v>20081</v>
      </c>
      <c r="L6027" s="0" t="str">
        <f aca="false">HYPERLINK("https://www.ncbi.nlm.nih.gov/nuccore/CP000058.1?report=graph&amp;tracks=[key:gene_model_track,Options:GeneOnly]&amp;mk=1898673:1898692|offset_20|444444,1898705:1898724|offset_52|444444,1898732:1898751|offset_79|00cc00,1898779:1898798|offset_126|444444&amp;v=1898472:1898998&amp;c=444444", "offset 79")</f>
        <v>offset 79</v>
      </c>
    </row>
    <row r="6028" customFormat="false" ht="12.8" hidden="false" customHeight="false" outlineLevel="0" collapsed="false">
      <c r="A6028" s="0" t="s">
        <v>12</v>
      </c>
      <c r="B6028" s="0" t="n">
        <v>1898778</v>
      </c>
      <c r="C6028" s="0" t="n">
        <v>1898798</v>
      </c>
      <c r="D6028" s="0" t="s">
        <v>20072</v>
      </c>
      <c r="E6028" s="0" t="s">
        <v>75</v>
      </c>
      <c r="F6028" s="0" t="s">
        <v>15</v>
      </c>
      <c r="G6028" s="0" t="s">
        <v>16</v>
      </c>
      <c r="H6028" s="0" t="n">
        <v>126</v>
      </c>
      <c r="I6028" s="0" t="s">
        <v>20082</v>
      </c>
      <c r="J6028" s="0" t="s">
        <v>20083</v>
      </c>
      <c r="K6028" s="0" t="s">
        <v>20084</v>
      </c>
      <c r="L6028" s="0" t="str">
        <f aca="false">HYPERLINK("https://www.ncbi.nlm.nih.gov/nuccore/CP000058.1?report=graph&amp;tracks=[key:gene_model_track,Options:GeneOnly]&amp;mk=1898673:1898692|offset_20|444444,1898705:1898724|offset_52|444444,1898732:1898751|offset_79|444444,1898779:1898798|offset_126|00cc00&amp;v=1898472:1898998&amp;c=444444", "offset 126")</f>
        <v>offset 126</v>
      </c>
    </row>
    <row r="6029" customFormat="false" ht="12.8" hidden="false" customHeight="false" outlineLevel="0" collapsed="false">
      <c r="A6029" s="0" t="s">
        <v>12</v>
      </c>
      <c r="B6029" s="0" t="n">
        <v>1899363</v>
      </c>
      <c r="C6029" s="0" t="n">
        <v>1899383</v>
      </c>
      <c r="D6029" s="0" t="s">
        <v>20085</v>
      </c>
      <c r="E6029" s="0" t="s">
        <v>20086</v>
      </c>
      <c r="F6029" s="0" t="s">
        <v>15</v>
      </c>
      <c r="G6029" s="0" t="s">
        <v>36</v>
      </c>
      <c r="H6029" s="0" t="n">
        <v>24</v>
      </c>
      <c r="I6029" s="0" t="s">
        <v>20087</v>
      </c>
      <c r="J6029" s="0" t="s">
        <v>20088</v>
      </c>
      <c r="K6029" s="0" t="s">
        <v>20089</v>
      </c>
      <c r="L6029" s="0" t="str">
        <f aca="false">HYPERLINK("https://www.ncbi.nlm.nih.gov/nuccore/CP000058.1?report=graph&amp;tracks=[key:gene_model_track,Options:GeneOnly]&amp;mk=1899364:1899383|offset_24|00cc00,1899446:1899465|offset_106|444444,1899535:1899554|offset_195|444444,1899567:1899586|offset_227|444444&amp;v=1899163:1899786&amp;c=444444", "offset 24")</f>
        <v>offset 24</v>
      </c>
    </row>
    <row r="6030" customFormat="false" ht="12.8" hidden="false" customHeight="false" outlineLevel="0" collapsed="false">
      <c r="A6030" s="0" t="s">
        <v>12</v>
      </c>
      <c r="B6030" s="0" t="n">
        <v>1899445</v>
      </c>
      <c r="C6030" s="0" t="n">
        <v>1899465</v>
      </c>
      <c r="D6030" s="0" t="s">
        <v>20085</v>
      </c>
      <c r="E6030" s="0" t="s">
        <v>20086</v>
      </c>
      <c r="F6030" s="0" t="s">
        <v>15</v>
      </c>
      <c r="G6030" s="0" t="s">
        <v>32</v>
      </c>
      <c r="H6030" s="0" t="n">
        <v>106</v>
      </c>
      <c r="I6030" s="0" t="s">
        <v>20090</v>
      </c>
      <c r="J6030" s="0" t="s">
        <v>20091</v>
      </c>
      <c r="K6030" s="0" t="s">
        <v>20092</v>
      </c>
      <c r="L6030" s="0" t="str">
        <f aca="false">HYPERLINK("https://www.ncbi.nlm.nih.gov/nuccore/CP000058.1?report=graph&amp;tracks=[key:gene_model_track,Options:GeneOnly]&amp;mk=1899364:1899383|offset_24|444444,1899446:1899465|offset_106|00cc00,1899535:1899554|offset_195|444444,1899567:1899586|offset_227|444444&amp;v=1899163:1899786&amp;c=444444", "offset 106")</f>
        <v>offset 106</v>
      </c>
    </row>
    <row r="6031" customFormat="false" ht="12.8" hidden="false" customHeight="false" outlineLevel="0" collapsed="false">
      <c r="A6031" s="0" t="s">
        <v>12</v>
      </c>
      <c r="B6031" s="0" t="n">
        <v>1899534</v>
      </c>
      <c r="C6031" s="0" t="n">
        <v>1899554</v>
      </c>
      <c r="D6031" s="0" t="s">
        <v>20085</v>
      </c>
      <c r="E6031" s="0" t="s">
        <v>20086</v>
      </c>
      <c r="F6031" s="0" t="s">
        <v>15</v>
      </c>
      <c r="G6031" s="0" t="s">
        <v>16</v>
      </c>
      <c r="H6031" s="0" t="n">
        <v>195</v>
      </c>
      <c r="I6031" s="0" t="s">
        <v>20093</v>
      </c>
      <c r="J6031" s="0" t="s">
        <v>20094</v>
      </c>
      <c r="K6031" s="0" t="s">
        <v>20095</v>
      </c>
      <c r="L6031" s="0" t="str">
        <f aca="false">HYPERLINK("https://www.ncbi.nlm.nih.gov/nuccore/CP000058.1?report=graph&amp;tracks=[key:gene_model_track,Options:GeneOnly]&amp;mk=1899364:1899383|offset_24|444444,1899446:1899465|offset_106|444444,1899535:1899554|offset_195|00cc00,1899567:1899586|offset_227|444444&amp;v=1899163:1899786&amp;c=444444", "offset 195")</f>
        <v>offset 195</v>
      </c>
    </row>
    <row r="6032" customFormat="false" ht="12.8" hidden="false" customHeight="false" outlineLevel="0" collapsed="false">
      <c r="A6032" s="0" t="s">
        <v>12</v>
      </c>
      <c r="B6032" s="0" t="n">
        <v>1899566</v>
      </c>
      <c r="C6032" s="0" t="n">
        <v>1899586</v>
      </c>
      <c r="D6032" s="0" t="s">
        <v>20085</v>
      </c>
      <c r="E6032" s="0" t="s">
        <v>20086</v>
      </c>
      <c r="F6032" s="0" t="s">
        <v>15</v>
      </c>
      <c r="G6032" s="0" t="s">
        <v>16</v>
      </c>
      <c r="H6032" s="0" t="n">
        <v>227</v>
      </c>
      <c r="I6032" s="0" t="s">
        <v>20096</v>
      </c>
      <c r="J6032" s="0" t="s">
        <v>20097</v>
      </c>
      <c r="K6032" s="0" t="s">
        <v>20098</v>
      </c>
      <c r="L6032" s="0" t="str">
        <f aca="false">HYPERLINK("https://www.ncbi.nlm.nih.gov/nuccore/CP000058.1?report=graph&amp;tracks=[key:gene_model_track,Options:GeneOnly]&amp;mk=1899364:1899383|offset_24|444444,1899446:1899465|offset_106|444444,1899535:1899554|offset_195|444444,1899567:1899586|offset_227|00cc00&amp;v=1899163:1899786&amp;c=444444", "offset 227")</f>
        <v>offset 227</v>
      </c>
    </row>
    <row r="6033" customFormat="false" ht="12.8" hidden="false" customHeight="false" outlineLevel="0" collapsed="false">
      <c r="A6033" s="0" t="s">
        <v>12</v>
      </c>
      <c r="B6033" s="0" t="n">
        <v>1900946</v>
      </c>
      <c r="C6033" s="0" t="n">
        <v>1900966</v>
      </c>
      <c r="D6033" s="0" t="s">
        <v>20099</v>
      </c>
      <c r="E6033" s="0" t="s">
        <v>20100</v>
      </c>
      <c r="F6033" s="0" t="s">
        <v>90</v>
      </c>
      <c r="G6033" s="0" t="s">
        <v>32</v>
      </c>
      <c r="H6033" s="0" t="n">
        <v>6</v>
      </c>
      <c r="I6033" s="0" t="s">
        <v>20101</v>
      </c>
      <c r="J6033" s="0" t="s">
        <v>20102</v>
      </c>
      <c r="K6033" s="0" t="s">
        <v>20103</v>
      </c>
      <c r="L6033" s="0" t="str">
        <f aca="false">HYPERLINK("https://www.ncbi.nlm.nih.gov/nuccore/CP000058.1?report=graph&amp;tracks=[key:gene_model_track,Options:GeneOnly]&amp;mk=1900947:1900966|offset_6|00cc00,1900915:1900934|offset_38|444444,1900894:1900913|offset_59|444444,1900866:1900885|offset_87|444444&amp;v=1900746:1901085&amp;c=444444", "offset 6")</f>
        <v>offset 6</v>
      </c>
    </row>
    <row r="6034" customFormat="false" ht="12.8" hidden="false" customHeight="false" outlineLevel="0" collapsed="false">
      <c r="A6034" s="0" t="s">
        <v>12</v>
      </c>
      <c r="B6034" s="0" t="n">
        <v>1900914</v>
      </c>
      <c r="C6034" s="0" t="n">
        <v>1900934</v>
      </c>
      <c r="D6034" s="0" t="s">
        <v>20099</v>
      </c>
      <c r="E6034" s="0" t="s">
        <v>20100</v>
      </c>
      <c r="F6034" s="0" t="s">
        <v>90</v>
      </c>
      <c r="G6034" s="0" t="s">
        <v>16</v>
      </c>
      <c r="H6034" s="0" t="n">
        <v>38</v>
      </c>
      <c r="I6034" s="0" t="s">
        <v>20104</v>
      </c>
      <c r="J6034" s="0" t="s">
        <v>20105</v>
      </c>
      <c r="K6034" s="0" t="s">
        <v>20106</v>
      </c>
      <c r="L6034" s="0" t="str">
        <f aca="false">HYPERLINK("https://www.ncbi.nlm.nih.gov/nuccore/CP000058.1?report=graph&amp;tracks=[key:gene_model_track,Options:GeneOnly]&amp;mk=1900947:1900966|offset_6|444444,1900915:1900934|offset_38|00cc00,1900894:1900913|offset_59|444444,1900866:1900885|offset_87|444444&amp;v=1900746:1901085&amp;c=444444", "offset 38")</f>
        <v>offset 38</v>
      </c>
    </row>
    <row r="6035" customFormat="false" ht="12.8" hidden="false" customHeight="false" outlineLevel="0" collapsed="false">
      <c r="A6035" s="0" t="s">
        <v>12</v>
      </c>
      <c r="B6035" s="0" t="n">
        <v>1900893</v>
      </c>
      <c r="C6035" s="0" t="n">
        <v>1900913</v>
      </c>
      <c r="D6035" s="0" t="s">
        <v>20099</v>
      </c>
      <c r="E6035" s="0" t="s">
        <v>20100</v>
      </c>
      <c r="F6035" s="0" t="s">
        <v>90</v>
      </c>
      <c r="G6035" s="0" t="s">
        <v>20</v>
      </c>
      <c r="H6035" s="0" t="n">
        <v>59</v>
      </c>
      <c r="I6035" s="0" t="s">
        <v>20107</v>
      </c>
      <c r="J6035" s="0" t="s">
        <v>20108</v>
      </c>
      <c r="K6035" s="0" t="s">
        <v>20109</v>
      </c>
      <c r="L6035" s="0" t="str">
        <f aca="false">HYPERLINK("https://www.ncbi.nlm.nih.gov/nuccore/CP000058.1?report=graph&amp;tracks=[key:gene_model_track,Options:GeneOnly]&amp;mk=1900947:1900966|offset_6|444444,1900915:1900934|offset_38|444444,1900894:1900913|offset_59|00cc00,1900866:1900885|offset_87|444444&amp;v=1900746:1901085&amp;c=444444", "offset 59")</f>
        <v>offset 59</v>
      </c>
    </row>
    <row r="6036" customFormat="false" ht="12.8" hidden="false" customHeight="false" outlineLevel="0" collapsed="false">
      <c r="A6036" s="0" t="s">
        <v>12</v>
      </c>
      <c r="B6036" s="0" t="n">
        <v>1900865</v>
      </c>
      <c r="C6036" s="0" t="n">
        <v>1900885</v>
      </c>
      <c r="D6036" s="0" t="s">
        <v>20099</v>
      </c>
      <c r="E6036" s="0" t="s">
        <v>20100</v>
      </c>
      <c r="F6036" s="0" t="s">
        <v>90</v>
      </c>
      <c r="G6036" s="0" t="s">
        <v>16</v>
      </c>
      <c r="H6036" s="0" t="n">
        <v>87</v>
      </c>
      <c r="I6036" s="0" t="s">
        <v>20110</v>
      </c>
      <c r="J6036" s="0" t="s">
        <v>20111</v>
      </c>
      <c r="K6036" s="0" t="s">
        <v>20112</v>
      </c>
      <c r="L6036" s="0" t="str">
        <f aca="false">HYPERLINK("https://www.ncbi.nlm.nih.gov/nuccore/CP000058.1?report=graph&amp;tracks=[key:gene_model_track,Options:GeneOnly]&amp;mk=1900947:1900966|offset_6|444444,1900915:1900934|offset_38|444444,1900894:1900913|offset_59|444444,1900866:1900885|offset_87|00cc00&amp;v=1900746:1901085&amp;c=444444", "offset 87")</f>
        <v>offset 87</v>
      </c>
    </row>
    <row r="6037" customFormat="false" ht="12.8" hidden="false" customHeight="false" outlineLevel="0" collapsed="false">
      <c r="A6037" s="0" t="s">
        <v>12</v>
      </c>
      <c r="B6037" s="0" t="n">
        <v>1901078</v>
      </c>
      <c r="C6037" s="0" t="n">
        <v>1901098</v>
      </c>
      <c r="D6037" s="0" t="s">
        <v>20113</v>
      </c>
      <c r="E6037" s="0" t="s">
        <v>75</v>
      </c>
      <c r="F6037" s="0" t="s">
        <v>15</v>
      </c>
      <c r="G6037" s="0" t="s">
        <v>20</v>
      </c>
      <c r="H6037" s="0" t="n">
        <v>0</v>
      </c>
      <c r="I6037" s="0" t="s">
        <v>20114</v>
      </c>
      <c r="J6037" s="0" t="s">
        <v>20115</v>
      </c>
      <c r="K6037" s="0" t="s">
        <v>20116</v>
      </c>
      <c r="L6037" s="0" t="str">
        <f aca="false">HYPERLINK("https://www.ncbi.nlm.nih.gov/nuccore/CP000058.1?report=graph&amp;tracks=[key:gene_model_track,Options:GeneOnly]&amp;mk=1901079:1901098|offset_0|00cc00,1901100:1901119|offset_21|444444,1901189:1901208|offset_110|444444,1901249:1901268|offset_170|444444&amp;v=1900878:1901468&amp;c=444444", "offset 0")</f>
        <v>offset 0</v>
      </c>
    </row>
    <row r="6038" customFormat="false" ht="12.8" hidden="false" customHeight="false" outlineLevel="0" collapsed="false">
      <c r="A6038" s="0" t="s">
        <v>12</v>
      </c>
      <c r="B6038" s="0" t="n">
        <v>1901099</v>
      </c>
      <c r="C6038" s="0" t="n">
        <v>1901119</v>
      </c>
      <c r="D6038" s="0" t="s">
        <v>20113</v>
      </c>
      <c r="E6038" s="0" t="s">
        <v>75</v>
      </c>
      <c r="F6038" s="0" t="s">
        <v>15</v>
      </c>
      <c r="G6038" s="0" t="s">
        <v>32</v>
      </c>
      <c r="H6038" s="0" t="n">
        <v>21</v>
      </c>
      <c r="I6038" s="0" t="s">
        <v>20117</v>
      </c>
      <c r="J6038" s="0" t="s">
        <v>20118</v>
      </c>
      <c r="K6038" s="0" t="s">
        <v>20119</v>
      </c>
      <c r="L6038" s="0" t="str">
        <f aca="false">HYPERLINK("https://www.ncbi.nlm.nih.gov/nuccore/CP000058.1?report=graph&amp;tracks=[key:gene_model_track,Options:GeneOnly]&amp;mk=1901079:1901098|offset_0|444444,1901100:1901119|offset_21|00cc00,1901189:1901208|offset_110|444444,1901249:1901268|offset_170|444444&amp;v=1900878:1901468&amp;c=444444", "offset 21")</f>
        <v>offset 21</v>
      </c>
    </row>
    <row r="6039" customFormat="false" ht="12.8" hidden="false" customHeight="false" outlineLevel="0" collapsed="false">
      <c r="A6039" s="0" t="s">
        <v>12</v>
      </c>
      <c r="B6039" s="0" t="n">
        <v>1901188</v>
      </c>
      <c r="C6039" s="0" t="n">
        <v>1901208</v>
      </c>
      <c r="D6039" s="0" t="s">
        <v>20113</v>
      </c>
      <c r="E6039" s="0" t="s">
        <v>75</v>
      </c>
      <c r="F6039" s="0" t="s">
        <v>15</v>
      </c>
      <c r="G6039" s="0" t="s">
        <v>36</v>
      </c>
      <c r="H6039" s="0" t="n">
        <v>110</v>
      </c>
      <c r="I6039" s="0" t="s">
        <v>20120</v>
      </c>
      <c r="J6039" s="0" t="s">
        <v>20121</v>
      </c>
      <c r="K6039" s="0" t="s">
        <v>20122</v>
      </c>
      <c r="L6039" s="0" t="str">
        <f aca="false">HYPERLINK("https://www.ncbi.nlm.nih.gov/nuccore/CP000058.1?report=graph&amp;tracks=[key:gene_model_track,Options:GeneOnly]&amp;mk=1901079:1901098|offset_0|444444,1901100:1901119|offset_21|444444,1901189:1901208|offset_110|00cc00,1901249:1901268|offset_170|444444&amp;v=1900878:1901468&amp;c=444444", "offset 110")</f>
        <v>offset 110</v>
      </c>
    </row>
    <row r="6040" customFormat="false" ht="12.8" hidden="false" customHeight="false" outlineLevel="0" collapsed="false">
      <c r="A6040" s="0" t="s">
        <v>12</v>
      </c>
      <c r="B6040" s="0" t="n">
        <v>1901248</v>
      </c>
      <c r="C6040" s="0" t="n">
        <v>1901268</v>
      </c>
      <c r="D6040" s="0" t="s">
        <v>20113</v>
      </c>
      <c r="E6040" s="0" t="s">
        <v>75</v>
      </c>
      <c r="F6040" s="0" t="s">
        <v>15</v>
      </c>
      <c r="G6040" s="0" t="s">
        <v>16</v>
      </c>
      <c r="H6040" s="0" t="n">
        <v>170</v>
      </c>
      <c r="I6040" s="0" t="s">
        <v>20123</v>
      </c>
      <c r="J6040" s="0" t="s">
        <v>20124</v>
      </c>
      <c r="K6040" s="0" t="s">
        <v>20125</v>
      </c>
      <c r="L6040" s="0" t="str">
        <f aca="false">HYPERLINK("https://www.ncbi.nlm.nih.gov/nuccore/CP000058.1?report=graph&amp;tracks=[key:gene_model_track,Options:GeneOnly]&amp;mk=1901079:1901098|offset_0|444444,1901100:1901119|offset_21|444444,1901189:1901208|offset_110|444444,1901249:1901268|offset_170|00cc00&amp;v=1900878:1901468&amp;c=444444", "offset 170")</f>
        <v>offset 170</v>
      </c>
    </row>
    <row r="6041" customFormat="false" ht="12.8" hidden="false" customHeight="false" outlineLevel="0" collapsed="false">
      <c r="A6041" s="0" t="s">
        <v>12</v>
      </c>
      <c r="B6041" s="0" t="n">
        <v>1901647</v>
      </c>
      <c r="C6041" s="0" t="n">
        <v>1901667</v>
      </c>
      <c r="D6041" s="0" t="s">
        <v>20126</v>
      </c>
      <c r="E6041" s="0" t="s">
        <v>20127</v>
      </c>
      <c r="F6041" s="0" t="s">
        <v>15</v>
      </c>
      <c r="G6041" s="0" t="s">
        <v>36</v>
      </c>
      <c r="H6041" s="0" t="n">
        <v>28</v>
      </c>
      <c r="I6041" s="0" t="s">
        <v>20128</v>
      </c>
      <c r="J6041" s="0" t="s">
        <v>20129</v>
      </c>
      <c r="K6041" s="0" t="s">
        <v>20130</v>
      </c>
      <c r="L6041" s="0" t="str">
        <f aca="false">HYPERLINK("https://www.ncbi.nlm.nih.gov/nuccore/CP000058.1?report=graph&amp;tracks=[key:gene_model_track,Options:GeneOnly]&amp;mk=1901648:1901667|offset_28|00cc00,1901717:1901736|offset_97|444444,1901742:1901761|offset_122|444444,1901766:1901785|offset_146|444444&amp;v=1901447:1901985&amp;c=444444", "offset 28")</f>
        <v>offset 28</v>
      </c>
    </row>
    <row r="6042" customFormat="false" ht="12.8" hidden="false" customHeight="false" outlineLevel="0" collapsed="false">
      <c r="A6042" s="0" t="s">
        <v>12</v>
      </c>
      <c r="B6042" s="0" t="n">
        <v>1901716</v>
      </c>
      <c r="C6042" s="0" t="n">
        <v>1901736</v>
      </c>
      <c r="D6042" s="0" t="s">
        <v>20126</v>
      </c>
      <c r="E6042" s="0" t="s">
        <v>20127</v>
      </c>
      <c r="F6042" s="0" t="s">
        <v>15</v>
      </c>
      <c r="G6042" s="0" t="s">
        <v>32</v>
      </c>
      <c r="H6042" s="0" t="n">
        <v>97</v>
      </c>
      <c r="I6042" s="0" t="s">
        <v>20131</v>
      </c>
      <c r="J6042" s="0" t="s">
        <v>20132</v>
      </c>
      <c r="K6042" s="0" t="s">
        <v>20133</v>
      </c>
      <c r="L6042" s="0" t="str">
        <f aca="false">HYPERLINK("https://www.ncbi.nlm.nih.gov/nuccore/CP000058.1?report=graph&amp;tracks=[key:gene_model_track,Options:GeneOnly]&amp;mk=1901648:1901667|offset_28|444444,1901717:1901736|offset_97|00cc00,1901742:1901761|offset_122|444444,1901766:1901785|offset_146|444444&amp;v=1901447:1901985&amp;c=444444", "offset 97")</f>
        <v>offset 97</v>
      </c>
    </row>
    <row r="6043" customFormat="false" ht="12.8" hidden="false" customHeight="false" outlineLevel="0" collapsed="false">
      <c r="A6043" s="0" t="s">
        <v>12</v>
      </c>
      <c r="B6043" s="0" t="n">
        <v>1901741</v>
      </c>
      <c r="C6043" s="0" t="n">
        <v>1901761</v>
      </c>
      <c r="D6043" s="0" t="s">
        <v>20126</v>
      </c>
      <c r="E6043" s="0" t="s">
        <v>20127</v>
      </c>
      <c r="F6043" s="0" t="s">
        <v>15</v>
      </c>
      <c r="G6043" s="0" t="s">
        <v>32</v>
      </c>
      <c r="H6043" s="0" t="n">
        <v>122</v>
      </c>
      <c r="I6043" s="0" t="s">
        <v>20134</v>
      </c>
      <c r="J6043" s="0" t="s">
        <v>20135</v>
      </c>
      <c r="K6043" s="0" t="s">
        <v>20136</v>
      </c>
      <c r="L6043" s="0" t="str">
        <f aca="false">HYPERLINK("https://www.ncbi.nlm.nih.gov/nuccore/CP000058.1?report=graph&amp;tracks=[key:gene_model_track,Options:GeneOnly]&amp;mk=1901648:1901667|offset_28|444444,1901717:1901736|offset_97|444444,1901742:1901761|offset_122|00cc00,1901766:1901785|offset_146|444444&amp;v=1901447:1901985&amp;c=444444", "offset 122")</f>
        <v>offset 122</v>
      </c>
    </row>
    <row r="6044" customFormat="false" ht="12.8" hidden="false" customHeight="false" outlineLevel="0" collapsed="false">
      <c r="A6044" s="0" t="s">
        <v>12</v>
      </c>
      <c r="B6044" s="0" t="n">
        <v>1901765</v>
      </c>
      <c r="C6044" s="0" t="n">
        <v>1901785</v>
      </c>
      <c r="D6044" s="0" t="s">
        <v>20126</v>
      </c>
      <c r="E6044" s="0" t="s">
        <v>20127</v>
      </c>
      <c r="F6044" s="0" t="s">
        <v>15</v>
      </c>
      <c r="G6044" s="0" t="s">
        <v>16</v>
      </c>
      <c r="H6044" s="0" t="n">
        <v>146</v>
      </c>
      <c r="I6044" s="0" t="s">
        <v>20137</v>
      </c>
      <c r="J6044" s="0" t="s">
        <v>20138</v>
      </c>
      <c r="K6044" s="0" t="s">
        <v>20139</v>
      </c>
      <c r="L6044" s="0" t="str">
        <f aca="false">HYPERLINK("https://www.ncbi.nlm.nih.gov/nuccore/CP000058.1?report=graph&amp;tracks=[key:gene_model_track,Options:GeneOnly]&amp;mk=1901648:1901667|offset_28|444444,1901717:1901736|offset_97|444444,1901742:1901761|offset_122|444444,1901766:1901785|offset_146|00cc00&amp;v=1901447:1901985&amp;c=444444", "offset 146")</f>
        <v>offset 146</v>
      </c>
    </row>
    <row r="6045" customFormat="false" ht="12.8" hidden="false" customHeight="false" outlineLevel="0" collapsed="false">
      <c r="A6045" s="0" t="s">
        <v>12</v>
      </c>
      <c r="B6045" s="0" t="n">
        <v>1901813</v>
      </c>
      <c r="C6045" s="0" t="n">
        <v>1901833</v>
      </c>
      <c r="D6045" s="0" t="s">
        <v>20140</v>
      </c>
      <c r="E6045" s="0" t="s">
        <v>20141</v>
      </c>
      <c r="F6045" s="0" t="s">
        <v>15</v>
      </c>
      <c r="G6045" s="0" t="s">
        <v>16</v>
      </c>
      <c r="H6045" s="0" t="n">
        <v>7</v>
      </c>
      <c r="I6045" s="0" t="s">
        <v>20142</v>
      </c>
      <c r="J6045" s="0" t="s">
        <v>20143</v>
      </c>
      <c r="K6045" s="0" t="s">
        <v>20144</v>
      </c>
      <c r="L6045" s="0" t="str">
        <f aca="false">HYPERLINK("https://www.ncbi.nlm.nih.gov/nuccore/CP000058.1?report=graph&amp;tracks=[key:gene_model_track,Options:GeneOnly]&amp;mk=1901814:1901833|offset_7|00cc00,1901858:1901877|offset_51|444444,1901881:1901900|offset_74|444444,1901903:1901922|offset_96|444444&amp;v=1901613:1902122&amp;c=444444", "offset 7")</f>
        <v>offset 7</v>
      </c>
    </row>
    <row r="6046" customFormat="false" ht="12.8" hidden="false" customHeight="false" outlineLevel="0" collapsed="false">
      <c r="A6046" s="0" t="s">
        <v>12</v>
      </c>
      <c r="B6046" s="0" t="n">
        <v>1901857</v>
      </c>
      <c r="C6046" s="0" t="n">
        <v>1901877</v>
      </c>
      <c r="D6046" s="0" t="s">
        <v>20140</v>
      </c>
      <c r="E6046" s="0" t="s">
        <v>20141</v>
      </c>
      <c r="F6046" s="0" t="s">
        <v>15</v>
      </c>
      <c r="G6046" s="0" t="s">
        <v>36</v>
      </c>
      <c r="H6046" s="0" t="n">
        <v>51</v>
      </c>
      <c r="I6046" s="0" t="s">
        <v>20145</v>
      </c>
      <c r="J6046" s="0" t="s">
        <v>20146</v>
      </c>
      <c r="K6046" s="0" t="s">
        <v>20147</v>
      </c>
      <c r="L6046" s="0" t="str">
        <f aca="false">HYPERLINK("https://www.ncbi.nlm.nih.gov/nuccore/CP000058.1?report=graph&amp;tracks=[key:gene_model_track,Options:GeneOnly]&amp;mk=1901814:1901833|offset_7|444444,1901858:1901877|offset_51|00cc00,1901881:1901900|offset_74|444444,1901903:1901922|offset_96|444444&amp;v=1901613:1902122&amp;c=444444", "offset 51")</f>
        <v>offset 51</v>
      </c>
    </row>
    <row r="6047" customFormat="false" ht="12.8" hidden="false" customHeight="false" outlineLevel="0" collapsed="false">
      <c r="A6047" s="0" t="s">
        <v>12</v>
      </c>
      <c r="B6047" s="0" t="n">
        <v>1901880</v>
      </c>
      <c r="C6047" s="0" t="n">
        <v>1901900</v>
      </c>
      <c r="D6047" s="0" t="s">
        <v>20140</v>
      </c>
      <c r="E6047" s="0" t="s">
        <v>20141</v>
      </c>
      <c r="F6047" s="0" t="s">
        <v>15</v>
      </c>
      <c r="G6047" s="0" t="s">
        <v>20</v>
      </c>
      <c r="H6047" s="0" t="n">
        <v>74</v>
      </c>
      <c r="I6047" s="0" t="s">
        <v>20148</v>
      </c>
      <c r="J6047" s="0" t="s">
        <v>20149</v>
      </c>
      <c r="K6047" s="0" t="s">
        <v>20150</v>
      </c>
      <c r="L6047" s="0" t="str">
        <f aca="false">HYPERLINK("https://www.ncbi.nlm.nih.gov/nuccore/CP000058.1?report=graph&amp;tracks=[key:gene_model_track,Options:GeneOnly]&amp;mk=1901814:1901833|offset_7|444444,1901858:1901877|offset_51|444444,1901881:1901900|offset_74|00cc00,1901903:1901922|offset_96|444444&amp;v=1901613:1902122&amp;c=444444", "offset 74")</f>
        <v>offset 74</v>
      </c>
    </row>
    <row r="6048" customFormat="false" ht="12.8" hidden="false" customHeight="false" outlineLevel="0" collapsed="false">
      <c r="A6048" s="0" t="s">
        <v>12</v>
      </c>
      <c r="B6048" s="0" t="n">
        <v>1901902</v>
      </c>
      <c r="C6048" s="0" t="n">
        <v>1901922</v>
      </c>
      <c r="D6048" s="0" t="s">
        <v>20140</v>
      </c>
      <c r="E6048" s="0" t="s">
        <v>20141</v>
      </c>
      <c r="F6048" s="0" t="s">
        <v>15</v>
      </c>
      <c r="G6048" s="0" t="s">
        <v>36</v>
      </c>
      <c r="H6048" s="0" t="n">
        <v>96</v>
      </c>
      <c r="I6048" s="0" t="s">
        <v>20151</v>
      </c>
      <c r="J6048" s="0" t="s">
        <v>20152</v>
      </c>
      <c r="K6048" s="0" t="s">
        <v>20153</v>
      </c>
      <c r="L6048" s="0" t="str">
        <f aca="false">HYPERLINK("https://www.ncbi.nlm.nih.gov/nuccore/CP000058.1?report=graph&amp;tracks=[key:gene_model_track,Options:GeneOnly]&amp;mk=1901814:1901833|offset_7|444444,1901858:1901877|offset_51|444444,1901881:1901900|offset_74|444444,1901903:1901922|offset_96|00cc00&amp;v=1901613:1902122&amp;c=444444", "offset 96")</f>
        <v>offset 96</v>
      </c>
    </row>
    <row r="6049" customFormat="false" ht="12.8" hidden="false" customHeight="false" outlineLevel="0" collapsed="false">
      <c r="A6049" s="0" t="s">
        <v>12</v>
      </c>
      <c r="B6049" s="0" t="n">
        <v>1902958</v>
      </c>
      <c r="C6049" s="0" t="n">
        <v>1902978</v>
      </c>
      <c r="D6049" s="0" t="s">
        <v>20154</v>
      </c>
      <c r="E6049" s="0" t="s">
        <v>20155</v>
      </c>
      <c r="F6049" s="0" t="s">
        <v>15</v>
      </c>
      <c r="G6049" s="0" t="s">
        <v>36</v>
      </c>
      <c r="H6049" s="0" t="n">
        <v>13</v>
      </c>
      <c r="I6049" s="0" t="s">
        <v>20156</v>
      </c>
      <c r="J6049" s="0" t="s">
        <v>20157</v>
      </c>
      <c r="K6049" s="0" t="s">
        <v>20158</v>
      </c>
      <c r="L6049" s="0" t="str">
        <f aca="false">HYPERLINK("https://www.ncbi.nlm.nih.gov/nuccore/CP000058.1?report=graph&amp;tracks=[key:gene_model_track,Options:GeneOnly]&amp;mk=1902959:1902978|offset_13|00cc00,1903010:1903029|offset_64|444444,1903030:1903049|offset_84|444444,1903061:1903080|offset_115|444444&amp;v=1902758:1903280&amp;c=444444", "offset 13")</f>
        <v>offset 13</v>
      </c>
    </row>
    <row r="6050" customFormat="false" ht="12.8" hidden="false" customHeight="false" outlineLevel="0" collapsed="false">
      <c r="A6050" s="0" t="s">
        <v>12</v>
      </c>
      <c r="B6050" s="0" t="n">
        <v>1903009</v>
      </c>
      <c r="C6050" s="0" t="n">
        <v>1903029</v>
      </c>
      <c r="D6050" s="0" t="s">
        <v>20154</v>
      </c>
      <c r="E6050" s="0" t="s">
        <v>20155</v>
      </c>
      <c r="F6050" s="0" t="s">
        <v>15</v>
      </c>
      <c r="G6050" s="0" t="s">
        <v>16</v>
      </c>
      <c r="H6050" s="0" t="n">
        <v>64</v>
      </c>
      <c r="I6050" s="0" t="s">
        <v>20159</v>
      </c>
      <c r="J6050" s="0" t="s">
        <v>20160</v>
      </c>
      <c r="K6050" s="0" t="s">
        <v>20161</v>
      </c>
      <c r="L6050" s="0" t="str">
        <f aca="false">HYPERLINK("https://www.ncbi.nlm.nih.gov/nuccore/CP000058.1?report=graph&amp;tracks=[key:gene_model_track,Options:GeneOnly]&amp;mk=1902959:1902978|offset_13|444444,1903010:1903029|offset_64|00cc00,1903030:1903049|offset_84|444444,1903061:1903080|offset_115|444444&amp;v=1902758:1903280&amp;c=444444", "offset 64")</f>
        <v>offset 64</v>
      </c>
    </row>
    <row r="6051" customFormat="false" ht="12.8" hidden="false" customHeight="false" outlineLevel="0" collapsed="false">
      <c r="A6051" s="0" t="s">
        <v>12</v>
      </c>
      <c r="B6051" s="0" t="n">
        <v>1903029</v>
      </c>
      <c r="C6051" s="0" t="n">
        <v>1903049</v>
      </c>
      <c r="D6051" s="0" t="s">
        <v>20154</v>
      </c>
      <c r="E6051" s="0" t="s">
        <v>20155</v>
      </c>
      <c r="F6051" s="0" t="s">
        <v>15</v>
      </c>
      <c r="G6051" s="0" t="s">
        <v>16</v>
      </c>
      <c r="H6051" s="0" t="n">
        <v>84</v>
      </c>
      <c r="I6051" s="0" t="s">
        <v>20162</v>
      </c>
      <c r="J6051" s="0" t="s">
        <v>20163</v>
      </c>
      <c r="K6051" s="0" t="s">
        <v>20164</v>
      </c>
      <c r="L6051" s="0" t="str">
        <f aca="false">HYPERLINK("https://www.ncbi.nlm.nih.gov/nuccore/CP000058.1?report=graph&amp;tracks=[key:gene_model_track,Options:GeneOnly]&amp;mk=1902959:1902978|offset_13|444444,1903010:1903029|offset_64|444444,1903030:1903049|offset_84|00cc00,1903061:1903080|offset_115|444444&amp;v=1902758:1903280&amp;c=444444", "offset 84")</f>
        <v>offset 84</v>
      </c>
    </row>
    <row r="6052" customFormat="false" ht="12.8" hidden="false" customHeight="false" outlineLevel="0" collapsed="false">
      <c r="A6052" s="0" t="s">
        <v>12</v>
      </c>
      <c r="B6052" s="0" t="n">
        <v>1903060</v>
      </c>
      <c r="C6052" s="0" t="n">
        <v>1903080</v>
      </c>
      <c r="D6052" s="0" t="s">
        <v>20154</v>
      </c>
      <c r="E6052" s="0" t="s">
        <v>20155</v>
      </c>
      <c r="F6052" s="0" t="s">
        <v>15</v>
      </c>
      <c r="G6052" s="0" t="s">
        <v>16</v>
      </c>
      <c r="H6052" s="0" t="n">
        <v>115</v>
      </c>
      <c r="I6052" s="0" t="s">
        <v>20165</v>
      </c>
      <c r="J6052" s="0" t="s">
        <v>20166</v>
      </c>
      <c r="K6052" s="0" t="s">
        <v>20167</v>
      </c>
      <c r="L6052" s="0" t="str">
        <f aca="false">HYPERLINK("https://www.ncbi.nlm.nih.gov/nuccore/CP000058.1?report=graph&amp;tracks=[key:gene_model_track,Options:GeneOnly]&amp;mk=1902959:1902978|offset_13|444444,1903010:1903029|offset_64|444444,1903030:1903049|offset_84|444444,1903061:1903080|offset_115|00cc00&amp;v=1902758:1903280&amp;c=444444", "offset 115")</f>
        <v>offset 115</v>
      </c>
    </row>
    <row r="6053" customFormat="false" ht="12.8" hidden="false" customHeight="false" outlineLevel="0" collapsed="false">
      <c r="A6053" s="0" t="s">
        <v>12</v>
      </c>
      <c r="B6053" s="0" t="n">
        <v>1903907</v>
      </c>
      <c r="C6053" s="0" t="n">
        <v>1903927</v>
      </c>
      <c r="D6053" s="0" t="s">
        <v>20168</v>
      </c>
      <c r="E6053" s="0" t="s">
        <v>20169</v>
      </c>
      <c r="F6053" s="0" t="s">
        <v>15</v>
      </c>
      <c r="G6053" s="0" t="s">
        <v>20</v>
      </c>
      <c r="H6053" s="0" t="n">
        <v>8</v>
      </c>
      <c r="I6053" s="0" t="s">
        <v>20170</v>
      </c>
      <c r="J6053" s="0" t="s">
        <v>20171</v>
      </c>
      <c r="K6053" s="0" t="s">
        <v>20172</v>
      </c>
      <c r="L6053" s="0" t="str">
        <f aca="false">HYPERLINK("https://www.ncbi.nlm.nih.gov/nuccore/CP000058.1?report=graph&amp;tracks=[key:gene_model_track,Options:GeneOnly]&amp;mk=1903908:1903927|offset_8|00cc00,1903934:1903953|offset_34|444444,1903961:1903980|offset_61|444444,1904006:1904025|offset_106|444444&amp;v=1903707:1904225&amp;c=444444", "offset 8")</f>
        <v>offset 8</v>
      </c>
    </row>
    <row r="6054" customFormat="false" ht="12.8" hidden="false" customHeight="false" outlineLevel="0" collapsed="false">
      <c r="A6054" s="0" t="s">
        <v>12</v>
      </c>
      <c r="B6054" s="0" t="n">
        <v>1903933</v>
      </c>
      <c r="C6054" s="0" t="n">
        <v>1903953</v>
      </c>
      <c r="D6054" s="0" t="s">
        <v>20168</v>
      </c>
      <c r="E6054" s="0" t="s">
        <v>20169</v>
      </c>
      <c r="F6054" s="0" t="s">
        <v>15</v>
      </c>
      <c r="G6054" s="0" t="s">
        <v>16</v>
      </c>
      <c r="H6054" s="0" t="n">
        <v>34</v>
      </c>
      <c r="I6054" s="0" t="s">
        <v>20173</v>
      </c>
      <c r="J6054" s="0" t="s">
        <v>20174</v>
      </c>
      <c r="K6054" s="0" t="s">
        <v>20175</v>
      </c>
      <c r="L6054" s="0" t="str">
        <f aca="false">HYPERLINK("https://www.ncbi.nlm.nih.gov/nuccore/CP000058.1?report=graph&amp;tracks=[key:gene_model_track,Options:GeneOnly]&amp;mk=1903908:1903927|offset_8|444444,1903934:1903953|offset_34|00cc00,1903961:1903980|offset_61|444444,1904006:1904025|offset_106|444444&amp;v=1903707:1904225&amp;c=444444", "offset 34")</f>
        <v>offset 34</v>
      </c>
    </row>
    <row r="6055" customFormat="false" ht="12.8" hidden="false" customHeight="false" outlineLevel="0" collapsed="false">
      <c r="A6055" s="0" t="s">
        <v>12</v>
      </c>
      <c r="B6055" s="0" t="n">
        <v>1903960</v>
      </c>
      <c r="C6055" s="0" t="n">
        <v>1903980</v>
      </c>
      <c r="D6055" s="0" t="s">
        <v>20168</v>
      </c>
      <c r="E6055" s="0" t="s">
        <v>20169</v>
      </c>
      <c r="F6055" s="0" t="s">
        <v>15</v>
      </c>
      <c r="G6055" s="0" t="s">
        <v>32</v>
      </c>
      <c r="H6055" s="0" t="n">
        <v>61</v>
      </c>
      <c r="I6055" s="0" t="s">
        <v>20176</v>
      </c>
      <c r="J6055" s="0" t="s">
        <v>20177</v>
      </c>
      <c r="K6055" s="0" t="s">
        <v>20178</v>
      </c>
      <c r="L6055" s="0" t="str">
        <f aca="false">HYPERLINK("https://www.ncbi.nlm.nih.gov/nuccore/CP000058.1?report=graph&amp;tracks=[key:gene_model_track,Options:GeneOnly]&amp;mk=1903908:1903927|offset_8|444444,1903934:1903953|offset_34|444444,1903961:1903980|offset_61|00cc00,1904006:1904025|offset_106|444444&amp;v=1903707:1904225&amp;c=444444", "offset 61")</f>
        <v>offset 61</v>
      </c>
    </row>
    <row r="6056" customFormat="false" ht="12.8" hidden="false" customHeight="false" outlineLevel="0" collapsed="false">
      <c r="A6056" s="0" t="s">
        <v>12</v>
      </c>
      <c r="B6056" s="0" t="n">
        <v>1904005</v>
      </c>
      <c r="C6056" s="0" t="n">
        <v>1904025</v>
      </c>
      <c r="D6056" s="0" t="s">
        <v>20168</v>
      </c>
      <c r="E6056" s="0" t="s">
        <v>20169</v>
      </c>
      <c r="F6056" s="0" t="s">
        <v>15</v>
      </c>
      <c r="G6056" s="0" t="s">
        <v>16</v>
      </c>
      <c r="H6056" s="0" t="n">
        <v>106</v>
      </c>
      <c r="I6056" s="0" t="s">
        <v>20179</v>
      </c>
      <c r="J6056" s="0" t="s">
        <v>20180</v>
      </c>
      <c r="K6056" s="0" t="s">
        <v>20181</v>
      </c>
      <c r="L6056" s="0" t="str">
        <f aca="false">HYPERLINK("https://www.ncbi.nlm.nih.gov/nuccore/CP000058.1?report=graph&amp;tracks=[key:gene_model_track,Options:GeneOnly]&amp;mk=1903908:1903927|offset_8|444444,1903934:1903953|offset_34|444444,1903961:1903980|offset_61|444444,1904006:1904025|offset_106|00cc00&amp;v=1903707:1904225&amp;c=444444", "offset 106")</f>
        <v>offset 106</v>
      </c>
    </row>
    <row r="6057" customFormat="false" ht="12.8" hidden="false" customHeight="false" outlineLevel="0" collapsed="false">
      <c r="A6057" s="0" t="s">
        <v>12</v>
      </c>
      <c r="B6057" s="0" t="n">
        <v>1904844</v>
      </c>
      <c r="C6057" s="0" t="n">
        <v>1904864</v>
      </c>
      <c r="D6057" s="0" t="s">
        <v>20182</v>
      </c>
      <c r="E6057" s="0" t="s">
        <v>20183</v>
      </c>
      <c r="F6057" s="0" t="s">
        <v>15</v>
      </c>
      <c r="G6057" s="0" t="s">
        <v>32</v>
      </c>
      <c r="H6057" s="0" t="n">
        <v>10</v>
      </c>
      <c r="I6057" s="0" t="s">
        <v>20184</v>
      </c>
      <c r="J6057" s="0" t="s">
        <v>20185</v>
      </c>
      <c r="K6057" s="0" t="s">
        <v>20186</v>
      </c>
      <c r="L6057" s="0" t="str">
        <f aca="false">HYPERLINK("https://www.ncbi.nlm.nih.gov/nuccore/CP000058.1?report=graph&amp;tracks=[key:gene_model_track,Options:GeneOnly]&amp;mk=1904845:1904864|offset_10|00cc00,1904933:1904952|offset_98|444444,1904995:1905014|offset_160|444444,1905031:1905050|offset_196|444444&amp;v=1904644:1905250&amp;c=444444", "offset 10")</f>
        <v>offset 10</v>
      </c>
    </row>
    <row r="6058" customFormat="false" ht="12.8" hidden="false" customHeight="false" outlineLevel="0" collapsed="false">
      <c r="A6058" s="0" t="s">
        <v>12</v>
      </c>
      <c r="B6058" s="0" t="n">
        <v>1904932</v>
      </c>
      <c r="C6058" s="0" t="n">
        <v>1904952</v>
      </c>
      <c r="D6058" s="0" t="s">
        <v>20182</v>
      </c>
      <c r="E6058" s="0" t="s">
        <v>20183</v>
      </c>
      <c r="F6058" s="0" t="s">
        <v>15</v>
      </c>
      <c r="G6058" s="0" t="s">
        <v>20</v>
      </c>
      <c r="H6058" s="0" t="n">
        <v>98</v>
      </c>
      <c r="I6058" s="0" t="s">
        <v>20187</v>
      </c>
      <c r="J6058" s="0" t="s">
        <v>20188</v>
      </c>
      <c r="K6058" s="0" t="s">
        <v>20189</v>
      </c>
      <c r="L6058" s="0" t="str">
        <f aca="false">HYPERLINK("https://www.ncbi.nlm.nih.gov/nuccore/CP000058.1?report=graph&amp;tracks=[key:gene_model_track,Options:GeneOnly]&amp;mk=1904845:1904864|offset_10|444444,1904933:1904952|offset_98|00cc00,1904995:1905014|offset_160|444444,1905031:1905050|offset_196|444444&amp;v=1904644:1905250&amp;c=444444", "offset 98")</f>
        <v>offset 98</v>
      </c>
    </row>
    <row r="6059" customFormat="false" ht="12.8" hidden="false" customHeight="false" outlineLevel="0" collapsed="false">
      <c r="A6059" s="0" t="s">
        <v>12</v>
      </c>
      <c r="B6059" s="0" t="n">
        <v>1904994</v>
      </c>
      <c r="C6059" s="0" t="n">
        <v>1905014</v>
      </c>
      <c r="D6059" s="0" t="s">
        <v>20182</v>
      </c>
      <c r="E6059" s="0" t="s">
        <v>20183</v>
      </c>
      <c r="F6059" s="0" t="s">
        <v>15</v>
      </c>
      <c r="G6059" s="0" t="s">
        <v>16</v>
      </c>
      <c r="H6059" s="0" t="n">
        <v>160</v>
      </c>
      <c r="I6059" s="0" t="s">
        <v>20190</v>
      </c>
      <c r="J6059" s="0" t="s">
        <v>20191</v>
      </c>
      <c r="K6059" s="0" t="s">
        <v>20192</v>
      </c>
      <c r="L6059" s="0" t="str">
        <f aca="false">HYPERLINK("https://www.ncbi.nlm.nih.gov/nuccore/CP000058.1?report=graph&amp;tracks=[key:gene_model_track,Options:GeneOnly]&amp;mk=1904845:1904864|offset_10|444444,1904933:1904952|offset_98|444444,1904995:1905014|offset_160|00cc00,1905031:1905050|offset_196|444444&amp;v=1904644:1905250&amp;c=444444", "offset 160")</f>
        <v>offset 160</v>
      </c>
    </row>
    <row r="6060" customFormat="false" ht="12.8" hidden="false" customHeight="false" outlineLevel="0" collapsed="false">
      <c r="A6060" s="0" t="s">
        <v>12</v>
      </c>
      <c r="B6060" s="0" t="n">
        <v>1905030</v>
      </c>
      <c r="C6060" s="0" t="n">
        <v>1905050</v>
      </c>
      <c r="D6060" s="0" t="s">
        <v>20182</v>
      </c>
      <c r="E6060" s="0" t="s">
        <v>20183</v>
      </c>
      <c r="F6060" s="0" t="s">
        <v>15</v>
      </c>
      <c r="G6060" s="0" t="s">
        <v>16</v>
      </c>
      <c r="H6060" s="0" t="n">
        <v>196</v>
      </c>
      <c r="I6060" s="0" t="s">
        <v>20193</v>
      </c>
      <c r="J6060" s="0" t="s">
        <v>20194</v>
      </c>
      <c r="K6060" s="0" t="s">
        <v>20195</v>
      </c>
      <c r="L6060" s="0" t="str">
        <f aca="false">HYPERLINK("https://www.ncbi.nlm.nih.gov/nuccore/CP000058.1?report=graph&amp;tracks=[key:gene_model_track,Options:GeneOnly]&amp;mk=1904845:1904864|offset_10|444444,1904933:1904952|offset_98|444444,1904995:1905014|offset_160|444444,1905031:1905050|offset_196|00cc00&amp;v=1904644:1905250&amp;c=444444", "offset 196")</f>
        <v>offset 196</v>
      </c>
    </row>
    <row r="6061" customFormat="false" ht="12.8" hidden="false" customHeight="false" outlineLevel="0" collapsed="false">
      <c r="A6061" s="0" t="s">
        <v>12</v>
      </c>
      <c r="B6061" s="0" t="n">
        <v>1905199</v>
      </c>
      <c r="C6061" s="0" t="n">
        <v>1905219</v>
      </c>
      <c r="D6061" s="0" t="s">
        <v>20196</v>
      </c>
      <c r="E6061" s="0" t="s">
        <v>20197</v>
      </c>
      <c r="F6061" s="0" t="s">
        <v>15</v>
      </c>
      <c r="G6061" s="0" t="s">
        <v>20</v>
      </c>
      <c r="H6061" s="0" t="n">
        <v>0</v>
      </c>
      <c r="I6061" s="0" t="s">
        <v>20198</v>
      </c>
      <c r="J6061" s="0" t="s">
        <v>20199</v>
      </c>
      <c r="K6061" s="0" t="s">
        <v>20200</v>
      </c>
      <c r="L6061" s="0" t="str">
        <f aca="false">HYPERLINK("https://www.ncbi.nlm.nih.gov/nuccore/CP000058.1?report=graph&amp;tracks=[key:gene_model_track,Options:GeneOnly]&amp;mk=1905200:1905219|offset_0|00cc00,1905228:1905247|offset_28|444444,1905248:1905267|offset_48|444444,1905295:1905314|offset_95|444444&amp;v=1904999:1905514&amp;c=444444", "offset 0")</f>
        <v>offset 0</v>
      </c>
    </row>
    <row r="6062" customFormat="false" ht="12.8" hidden="false" customHeight="false" outlineLevel="0" collapsed="false">
      <c r="A6062" s="0" t="s">
        <v>12</v>
      </c>
      <c r="B6062" s="0" t="n">
        <v>1905227</v>
      </c>
      <c r="C6062" s="0" t="n">
        <v>1905247</v>
      </c>
      <c r="D6062" s="0" t="s">
        <v>20196</v>
      </c>
      <c r="E6062" s="0" t="s">
        <v>20197</v>
      </c>
      <c r="F6062" s="0" t="s">
        <v>15</v>
      </c>
      <c r="G6062" s="0" t="s">
        <v>16</v>
      </c>
      <c r="H6062" s="0" t="n">
        <v>28</v>
      </c>
      <c r="I6062" s="0" t="s">
        <v>20201</v>
      </c>
      <c r="J6062" s="0" t="s">
        <v>20202</v>
      </c>
      <c r="K6062" s="0" t="s">
        <v>20203</v>
      </c>
      <c r="L6062" s="0" t="str">
        <f aca="false">HYPERLINK("https://www.ncbi.nlm.nih.gov/nuccore/CP000058.1?report=graph&amp;tracks=[key:gene_model_track,Options:GeneOnly]&amp;mk=1905200:1905219|offset_0|444444,1905228:1905247|offset_28|00cc00,1905248:1905267|offset_48|444444,1905295:1905314|offset_95|444444&amp;v=1904999:1905514&amp;c=444444", "offset 28")</f>
        <v>offset 28</v>
      </c>
    </row>
    <row r="6063" customFormat="false" ht="12.8" hidden="false" customHeight="false" outlineLevel="0" collapsed="false">
      <c r="A6063" s="0" t="s">
        <v>12</v>
      </c>
      <c r="B6063" s="0" t="n">
        <v>1905247</v>
      </c>
      <c r="C6063" s="0" t="n">
        <v>1905267</v>
      </c>
      <c r="D6063" s="0" t="s">
        <v>20196</v>
      </c>
      <c r="E6063" s="0" t="s">
        <v>20197</v>
      </c>
      <c r="F6063" s="0" t="s">
        <v>15</v>
      </c>
      <c r="G6063" s="0" t="s">
        <v>32</v>
      </c>
      <c r="H6063" s="0" t="n">
        <v>48</v>
      </c>
      <c r="I6063" s="0" t="s">
        <v>20204</v>
      </c>
      <c r="J6063" s="0" t="s">
        <v>20205</v>
      </c>
      <c r="K6063" s="0" t="s">
        <v>20206</v>
      </c>
      <c r="L6063" s="0" t="str">
        <f aca="false">HYPERLINK("https://www.ncbi.nlm.nih.gov/nuccore/CP000058.1?report=graph&amp;tracks=[key:gene_model_track,Options:GeneOnly]&amp;mk=1905200:1905219|offset_0|444444,1905228:1905247|offset_28|444444,1905248:1905267|offset_48|00cc00,1905295:1905314|offset_95|444444&amp;v=1904999:1905514&amp;c=444444", "offset 48")</f>
        <v>offset 48</v>
      </c>
    </row>
    <row r="6064" customFormat="false" ht="12.8" hidden="false" customHeight="false" outlineLevel="0" collapsed="false">
      <c r="A6064" s="0" t="s">
        <v>12</v>
      </c>
      <c r="B6064" s="0" t="n">
        <v>1905294</v>
      </c>
      <c r="C6064" s="0" t="n">
        <v>1905314</v>
      </c>
      <c r="D6064" s="0" t="s">
        <v>20196</v>
      </c>
      <c r="E6064" s="0" t="s">
        <v>20197</v>
      </c>
      <c r="F6064" s="0" t="s">
        <v>15</v>
      </c>
      <c r="G6064" s="0" t="s">
        <v>16</v>
      </c>
      <c r="H6064" s="0" t="n">
        <v>95</v>
      </c>
      <c r="I6064" s="0" t="s">
        <v>20207</v>
      </c>
      <c r="J6064" s="0" t="s">
        <v>20208</v>
      </c>
      <c r="K6064" s="0" t="s">
        <v>20209</v>
      </c>
      <c r="L6064" s="0" t="str">
        <f aca="false">HYPERLINK("https://www.ncbi.nlm.nih.gov/nuccore/CP000058.1?report=graph&amp;tracks=[key:gene_model_track,Options:GeneOnly]&amp;mk=1905200:1905219|offset_0|444444,1905228:1905247|offset_28|444444,1905248:1905267|offset_48|444444,1905295:1905314|offset_95|00cc00&amp;v=1904999:1905514&amp;c=444444", "offset 95")</f>
        <v>offset 95</v>
      </c>
    </row>
    <row r="6065" customFormat="false" ht="12.8" hidden="false" customHeight="false" outlineLevel="0" collapsed="false">
      <c r="A6065" s="0" t="s">
        <v>12</v>
      </c>
      <c r="B6065" s="0" t="n">
        <v>1906449</v>
      </c>
      <c r="C6065" s="0" t="n">
        <v>1906469</v>
      </c>
      <c r="D6065" s="0" t="s">
        <v>20210</v>
      </c>
      <c r="E6065" s="0" t="s">
        <v>75</v>
      </c>
      <c r="F6065" s="0" t="s">
        <v>15</v>
      </c>
      <c r="G6065" s="0" t="s">
        <v>36</v>
      </c>
      <c r="H6065" s="0" t="n">
        <v>6</v>
      </c>
      <c r="I6065" s="0" t="s">
        <v>20211</v>
      </c>
      <c r="J6065" s="0" t="s">
        <v>20212</v>
      </c>
      <c r="K6065" s="0" t="s">
        <v>20213</v>
      </c>
      <c r="L6065" s="0" t="str">
        <f aca="false">HYPERLINK("https://www.ncbi.nlm.nih.gov/nuccore/CP000058.1?report=graph&amp;tracks=[key:gene_model_track,Options:GeneOnly]&amp;mk=1906450:1906469|offset_6|00cc00,1906470:1906489|offset_26|444444,1906497:1906516|offset_53|444444,1906532:1906551|offset_88|444444&amp;v=1906249:1906751&amp;c=444444", "offset 6")</f>
        <v>offset 6</v>
      </c>
    </row>
    <row r="6066" customFormat="false" ht="12.8" hidden="false" customHeight="false" outlineLevel="0" collapsed="false">
      <c r="A6066" s="0" t="s">
        <v>12</v>
      </c>
      <c r="B6066" s="0" t="n">
        <v>1906469</v>
      </c>
      <c r="C6066" s="0" t="n">
        <v>1906489</v>
      </c>
      <c r="D6066" s="0" t="s">
        <v>20210</v>
      </c>
      <c r="E6066" s="0" t="s">
        <v>75</v>
      </c>
      <c r="F6066" s="0" t="s">
        <v>15</v>
      </c>
      <c r="G6066" s="0" t="s">
        <v>36</v>
      </c>
      <c r="H6066" s="0" t="n">
        <v>26</v>
      </c>
      <c r="I6066" s="0" t="s">
        <v>20214</v>
      </c>
      <c r="J6066" s="0" t="s">
        <v>20215</v>
      </c>
      <c r="K6066" s="0" t="s">
        <v>20216</v>
      </c>
      <c r="L6066" s="0" t="str">
        <f aca="false">HYPERLINK("https://www.ncbi.nlm.nih.gov/nuccore/CP000058.1?report=graph&amp;tracks=[key:gene_model_track,Options:GeneOnly]&amp;mk=1906450:1906469|offset_6|444444,1906470:1906489|offset_26|00cc00,1906497:1906516|offset_53|444444,1906532:1906551|offset_88|444444&amp;v=1906249:1906751&amp;c=444444", "offset 26")</f>
        <v>offset 26</v>
      </c>
    </row>
    <row r="6067" customFormat="false" ht="12.8" hidden="false" customHeight="false" outlineLevel="0" collapsed="false">
      <c r="A6067" s="0" t="s">
        <v>12</v>
      </c>
      <c r="B6067" s="0" t="n">
        <v>1906496</v>
      </c>
      <c r="C6067" s="0" t="n">
        <v>1906516</v>
      </c>
      <c r="D6067" s="0" t="s">
        <v>20210</v>
      </c>
      <c r="E6067" s="0" t="s">
        <v>75</v>
      </c>
      <c r="F6067" s="0" t="s">
        <v>15</v>
      </c>
      <c r="G6067" s="0" t="s">
        <v>16</v>
      </c>
      <c r="H6067" s="0" t="n">
        <v>53</v>
      </c>
      <c r="I6067" s="0" t="s">
        <v>20217</v>
      </c>
      <c r="J6067" s="0" t="s">
        <v>20218</v>
      </c>
      <c r="K6067" s="0" t="s">
        <v>20219</v>
      </c>
      <c r="L6067" s="0" t="str">
        <f aca="false">HYPERLINK("https://www.ncbi.nlm.nih.gov/nuccore/CP000058.1?report=graph&amp;tracks=[key:gene_model_track,Options:GeneOnly]&amp;mk=1906450:1906469|offset_6|444444,1906470:1906489|offset_26|444444,1906497:1906516|offset_53|00cc00,1906532:1906551|offset_88|444444&amp;v=1906249:1906751&amp;c=444444", "offset 53")</f>
        <v>offset 53</v>
      </c>
    </row>
    <row r="6068" customFormat="false" ht="12.8" hidden="false" customHeight="false" outlineLevel="0" collapsed="false">
      <c r="A6068" s="0" t="s">
        <v>12</v>
      </c>
      <c r="B6068" s="0" t="n">
        <v>1906531</v>
      </c>
      <c r="C6068" s="0" t="n">
        <v>1906551</v>
      </c>
      <c r="D6068" s="0" t="s">
        <v>20210</v>
      </c>
      <c r="E6068" s="0" t="s">
        <v>75</v>
      </c>
      <c r="F6068" s="0" t="s">
        <v>15</v>
      </c>
      <c r="G6068" s="0" t="s">
        <v>32</v>
      </c>
      <c r="H6068" s="0" t="n">
        <v>88</v>
      </c>
      <c r="I6068" s="0" t="s">
        <v>20220</v>
      </c>
      <c r="J6068" s="0" t="s">
        <v>20221</v>
      </c>
      <c r="K6068" s="0" t="s">
        <v>20222</v>
      </c>
      <c r="L6068" s="0" t="str">
        <f aca="false">HYPERLINK("https://www.ncbi.nlm.nih.gov/nuccore/CP000058.1?report=graph&amp;tracks=[key:gene_model_track,Options:GeneOnly]&amp;mk=1906450:1906469|offset_6|444444,1906470:1906489|offset_26|444444,1906497:1906516|offset_53|444444,1906532:1906551|offset_88|00cc00&amp;v=1906249:1906751&amp;c=444444", "offset 88")</f>
        <v>offset 88</v>
      </c>
    </row>
    <row r="6069" customFormat="false" ht="12.8" hidden="false" customHeight="false" outlineLevel="0" collapsed="false">
      <c r="A6069" s="0" t="s">
        <v>12</v>
      </c>
      <c r="B6069" s="0" t="n">
        <v>1907315</v>
      </c>
      <c r="C6069" s="0" t="n">
        <v>1907335</v>
      </c>
      <c r="D6069" s="0" t="s">
        <v>20223</v>
      </c>
      <c r="E6069" s="0" t="s">
        <v>75</v>
      </c>
      <c r="F6069" s="0" t="s">
        <v>15</v>
      </c>
      <c r="G6069" s="0" t="s">
        <v>20</v>
      </c>
      <c r="H6069" s="0" t="n">
        <v>35</v>
      </c>
      <c r="I6069" s="0" t="s">
        <v>20224</v>
      </c>
      <c r="J6069" s="0" t="s">
        <v>20225</v>
      </c>
      <c r="K6069" s="0" t="s">
        <v>20226</v>
      </c>
      <c r="L6069" s="0" t="str">
        <f aca="false">HYPERLINK("https://www.ncbi.nlm.nih.gov/nuccore/CP000058.1?report=graph&amp;tracks=[key:gene_model_track,Options:GeneOnly]&amp;mk=1907316:1907335|offset_35|00cc00,1907361:1907380|offset_80|444444,1907400:1907419|offset_119|444444,1907420:1907439|offset_139|444444&amp;v=1907115:1907639&amp;c=444444", "offset 35")</f>
        <v>offset 35</v>
      </c>
    </row>
    <row r="6070" customFormat="false" ht="12.8" hidden="false" customHeight="false" outlineLevel="0" collapsed="false">
      <c r="A6070" s="0" t="s">
        <v>12</v>
      </c>
      <c r="B6070" s="0" t="n">
        <v>1907360</v>
      </c>
      <c r="C6070" s="0" t="n">
        <v>1907380</v>
      </c>
      <c r="D6070" s="0" t="s">
        <v>20223</v>
      </c>
      <c r="E6070" s="0" t="s">
        <v>75</v>
      </c>
      <c r="F6070" s="0" t="s">
        <v>15</v>
      </c>
      <c r="G6070" s="0" t="s">
        <v>32</v>
      </c>
      <c r="H6070" s="0" t="n">
        <v>80</v>
      </c>
      <c r="I6070" s="0" t="s">
        <v>20227</v>
      </c>
      <c r="J6070" s="0" t="s">
        <v>20228</v>
      </c>
      <c r="K6070" s="0" t="s">
        <v>20229</v>
      </c>
      <c r="L6070" s="0" t="str">
        <f aca="false">HYPERLINK("https://www.ncbi.nlm.nih.gov/nuccore/CP000058.1?report=graph&amp;tracks=[key:gene_model_track,Options:GeneOnly]&amp;mk=1907316:1907335|offset_35|444444,1907361:1907380|offset_80|00cc00,1907400:1907419|offset_119|444444,1907420:1907439|offset_139|444444&amp;v=1907115:1907639&amp;c=444444", "offset 80")</f>
        <v>offset 80</v>
      </c>
    </row>
    <row r="6071" customFormat="false" ht="12.8" hidden="false" customHeight="false" outlineLevel="0" collapsed="false">
      <c r="A6071" s="0" t="s">
        <v>12</v>
      </c>
      <c r="B6071" s="0" t="n">
        <v>1907399</v>
      </c>
      <c r="C6071" s="0" t="n">
        <v>1907419</v>
      </c>
      <c r="D6071" s="0" t="s">
        <v>20223</v>
      </c>
      <c r="E6071" s="0" t="s">
        <v>75</v>
      </c>
      <c r="F6071" s="0" t="s">
        <v>15</v>
      </c>
      <c r="G6071" s="0" t="s">
        <v>36</v>
      </c>
      <c r="H6071" s="0" t="n">
        <v>119</v>
      </c>
      <c r="I6071" s="0" t="s">
        <v>20230</v>
      </c>
      <c r="J6071" s="0" t="s">
        <v>20231</v>
      </c>
      <c r="K6071" s="0" t="s">
        <v>20232</v>
      </c>
      <c r="L6071" s="0" t="str">
        <f aca="false">HYPERLINK("https://www.ncbi.nlm.nih.gov/nuccore/CP000058.1?report=graph&amp;tracks=[key:gene_model_track,Options:GeneOnly]&amp;mk=1907316:1907335|offset_35|444444,1907361:1907380|offset_80|444444,1907400:1907419|offset_119|00cc00,1907420:1907439|offset_139|444444&amp;v=1907115:1907639&amp;c=444444", "offset 119")</f>
        <v>offset 119</v>
      </c>
    </row>
    <row r="6072" customFormat="false" ht="12.8" hidden="false" customHeight="false" outlineLevel="0" collapsed="false">
      <c r="A6072" s="0" t="s">
        <v>12</v>
      </c>
      <c r="B6072" s="0" t="n">
        <v>1907419</v>
      </c>
      <c r="C6072" s="0" t="n">
        <v>1907439</v>
      </c>
      <c r="D6072" s="0" t="s">
        <v>20223</v>
      </c>
      <c r="E6072" s="0" t="s">
        <v>75</v>
      </c>
      <c r="F6072" s="0" t="s">
        <v>15</v>
      </c>
      <c r="G6072" s="0" t="s">
        <v>16</v>
      </c>
      <c r="H6072" s="0" t="n">
        <v>139</v>
      </c>
      <c r="I6072" s="0" t="s">
        <v>20233</v>
      </c>
      <c r="J6072" s="0" t="s">
        <v>20234</v>
      </c>
      <c r="K6072" s="0" t="s">
        <v>20235</v>
      </c>
      <c r="L6072" s="0" t="str">
        <f aca="false">HYPERLINK("https://www.ncbi.nlm.nih.gov/nuccore/CP000058.1?report=graph&amp;tracks=[key:gene_model_track,Options:GeneOnly]&amp;mk=1907316:1907335|offset_35|444444,1907361:1907380|offset_80|444444,1907400:1907419|offset_119|444444,1907420:1907439|offset_139|00cc00&amp;v=1907115:1907639&amp;c=444444", "offset 139")</f>
        <v>offset 139</v>
      </c>
    </row>
    <row r="6073" customFormat="false" ht="12.8" hidden="false" customHeight="false" outlineLevel="0" collapsed="false">
      <c r="A6073" s="0" t="s">
        <v>12</v>
      </c>
      <c r="B6073" s="0" t="n">
        <v>1908436</v>
      </c>
      <c r="C6073" s="0" t="n">
        <v>1908456</v>
      </c>
      <c r="D6073" s="0" t="s">
        <v>20236</v>
      </c>
      <c r="E6073" s="0" t="s">
        <v>20237</v>
      </c>
      <c r="F6073" s="0" t="s">
        <v>15</v>
      </c>
      <c r="G6073" s="0" t="s">
        <v>20</v>
      </c>
      <c r="H6073" s="0" t="n">
        <v>0</v>
      </c>
      <c r="I6073" s="0" t="s">
        <v>20238</v>
      </c>
      <c r="J6073" s="0" t="s">
        <v>20239</v>
      </c>
      <c r="K6073" s="0" t="s">
        <v>20240</v>
      </c>
      <c r="L6073" s="0" t="str">
        <f aca="false">HYPERLINK("https://www.ncbi.nlm.nih.gov/nuccore/CP000058.1?report=graph&amp;tracks=[key:gene_model_track,Options:GeneOnly]&amp;mk=1908437:1908456|offset_0|00cc00,1908459:1908478|offset_22|444444,1908492:1908511|offset_55|444444,1908549:1908568|offset_112|444444&amp;v=1908236:1908768&amp;c=444444", "offset 0")</f>
        <v>offset 0</v>
      </c>
    </row>
    <row r="6074" customFormat="false" ht="12.8" hidden="false" customHeight="false" outlineLevel="0" collapsed="false">
      <c r="A6074" s="0" t="s">
        <v>12</v>
      </c>
      <c r="B6074" s="0" t="n">
        <v>1908458</v>
      </c>
      <c r="C6074" s="0" t="n">
        <v>1908478</v>
      </c>
      <c r="D6074" s="0" t="s">
        <v>20236</v>
      </c>
      <c r="E6074" s="0" t="s">
        <v>20237</v>
      </c>
      <c r="F6074" s="0" t="s">
        <v>15</v>
      </c>
      <c r="G6074" s="0" t="s">
        <v>36</v>
      </c>
      <c r="H6074" s="0" t="n">
        <v>22</v>
      </c>
      <c r="I6074" s="0" t="s">
        <v>20241</v>
      </c>
      <c r="J6074" s="0" t="s">
        <v>20242</v>
      </c>
      <c r="K6074" s="0" t="s">
        <v>20243</v>
      </c>
      <c r="L6074" s="0" t="str">
        <f aca="false">HYPERLINK("https://www.ncbi.nlm.nih.gov/nuccore/CP000058.1?report=graph&amp;tracks=[key:gene_model_track,Options:GeneOnly]&amp;mk=1908437:1908456|offset_0|444444,1908459:1908478|offset_22|00cc00,1908492:1908511|offset_55|444444,1908549:1908568|offset_112|444444&amp;v=1908236:1908768&amp;c=444444", "offset 22")</f>
        <v>offset 22</v>
      </c>
    </row>
    <row r="6075" customFormat="false" ht="12.8" hidden="false" customHeight="false" outlineLevel="0" collapsed="false">
      <c r="A6075" s="0" t="s">
        <v>12</v>
      </c>
      <c r="B6075" s="0" t="n">
        <v>1908491</v>
      </c>
      <c r="C6075" s="0" t="n">
        <v>1908511</v>
      </c>
      <c r="D6075" s="0" t="s">
        <v>20236</v>
      </c>
      <c r="E6075" s="0" t="s">
        <v>20237</v>
      </c>
      <c r="F6075" s="0" t="s">
        <v>15</v>
      </c>
      <c r="G6075" s="0" t="s">
        <v>32</v>
      </c>
      <c r="H6075" s="0" t="n">
        <v>55</v>
      </c>
      <c r="I6075" s="0" t="s">
        <v>20244</v>
      </c>
      <c r="J6075" s="0" t="s">
        <v>20245</v>
      </c>
      <c r="K6075" s="0" t="s">
        <v>20246</v>
      </c>
      <c r="L6075" s="0" t="str">
        <f aca="false">HYPERLINK("https://www.ncbi.nlm.nih.gov/nuccore/CP000058.1?report=graph&amp;tracks=[key:gene_model_track,Options:GeneOnly]&amp;mk=1908437:1908456|offset_0|444444,1908459:1908478|offset_22|444444,1908492:1908511|offset_55|00cc00,1908549:1908568|offset_112|444444&amp;v=1908236:1908768&amp;c=444444", "offset 55")</f>
        <v>offset 55</v>
      </c>
    </row>
    <row r="6076" customFormat="false" ht="12.8" hidden="false" customHeight="false" outlineLevel="0" collapsed="false">
      <c r="A6076" s="0" t="s">
        <v>12</v>
      </c>
      <c r="B6076" s="0" t="n">
        <v>1908548</v>
      </c>
      <c r="C6076" s="0" t="n">
        <v>1908568</v>
      </c>
      <c r="D6076" s="0" t="s">
        <v>20236</v>
      </c>
      <c r="E6076" s="0" t="s">
        <v>20237</v>
      </c>
      <c r="F6076" s="0" t="s">
        <v>15</v>
      </c>
      <c r="G6076" s="0" t="s">
        <v>36</v>
      </c>
      <c r="H6076" s="0" t="n">
        <v>112</v>
      </c>
      <c r="I6076" s="0" t="s">
        <v>20247</v>
      </c>
      <c r="J6076" s="0" t="s">
        <v>20248</v>
      </c>
      <c r="K6076" s="0" t="s">
        <v>20249</v>
      </c>
      <c r="L6076" s="0" t="str">
        <f aca="false">HYPERLINK("https://www.ncbi.nlm.nih.gov/nuccore/CP000058.1?report=graph&amp;tracks=[key:gene_model_track,Options:GeneOnly]&amp;mk=1908437:1908456|offset_0|444444,1908459:1908478|offset_22|444444,1908492:1908511|offset_55|444444,1908549:1908568|offset_112|00cc00&amp;v=1908236:1908768&amp;c=444444", "offset 112")</f>
        <v>offset 112</v>
      </c>
    </row>
    <row r="6077" customFormat="false" ht="12.8" hidden="false" customHeight="false" outlineLevel="0" collapsed="false">
      <c r="A6077" s="0" t="s">
        <v>12</v>
      </c>
      <c r="B6077" s="0" t="n">
        <v>1909074</v>
      </c>
      <c r="C6077" s="0" t="n">
        <v>1909094</v>
      </c>
      <c r="D6077" s="0" t="s">
        <v>20250</v>
      </c>
      <c r="E6077" s="0" t="s">
        <v>20251</v>
      </c>
      <c r="F6077" s="0" t="s">
        <v>15</v>
      </c>
      <c r="G6077" s="0" t="s">
        <v>20</v>
      </c>
      <c r="H6077" s="0" t="n">
        <v>13</v>
      </c>
      <c r="I6077" s="0" t="s">
        <v>20252</v>
      </c>
      <c r="J6077" s="0" t="s">
        <v>20253</v>
      </c>
      <c r="K6077" s="0" t="s">
        <v>20254</v>
      </c>
      <c r="L6077" s="0" t="str">
        <f aca="false">HYPERLINK("https://www.ncbi.nlm.nih.gov/nuccore/CP000058.1?report=graph&amp;tracks=[key:gene_model_track,Options:GeneOnly]&amp;mk=1909075:1909094|offset_13|00cc00,1909111:1909130|offset_49|444444,1909135:1909154|offset_73|444444,1909156:1909175|offset_94|444444&amp;v=1908874:1909375&amp;c=444444", "offset 13")</f>
        <v>offset 13</v>
      </c>
    </row>
    <row r="6078" customFormat="false" ht="12.8" hidden="false" customHeight="false" outlineLevel="0" collapsed="false">
      <c r="A6078" s="0" t="s">
        <v>12</v>
      </c>
      <c r="B6078" s="0" t="n">
        <v>1909110</v>
      </c>
      <c r="C6078" s="0" t="n">
        <v>1909130</v>
      </c>
      <c r="D6078" s="0" t="s">
        <v>20250</v>
      </c>
      <c r="E6078" s="0" t="s">
        <v>20251</v>
      </c>
      <c r="F6078" s="0" t="s">
        <v>15</v>
      </c>
      <c r="G6078" s="0" t="s">
        <v>16</v>
      </c>
      <c r="H6078" s="0" t="n">
        <v>49</v>
      </c>
      <c r="I6078" s="0" t="s">
        <v>20255</v>
      </c>
      <c r="J6078" s="0" t="s">
        <v>20256</v>
      </c>
      <c r="K6078" s="0" t="s">
        <v>20257</v>
      </c>
      <c r="L6078" s="0" t="str">
        <f aca="false">HYPERLINK("https://www.ncbi.nlm.nih.gov/nuccore/CP000058.1?report=graph&amp;tracks=[key:gene_model_track,Options:GeneOnly]&amp;mk=1909075:1909094|offset_13|444444,1909111:1909130|offset_49|00cc00,1909135:1909154|offset_73|444444,1909156:1909175|offset_94|444444&amp;v=1908874:1909375&amp;c=444444", "offset 49")</f>
        <v>offset 49</v>
      </c>
    </row>
    <row r="6079" customFormat="false" ht="12.8" hidden="false" customHeight="false" outlineLevel="0" collapsed="false">
      <c r="A6079" s="0" t="s">
        <v>12</v>
      </c>
      <c r="B6079" s="0" t="n">
        <v>1909134</v>
      </c>
      <c r="C6079" s="0" t="n">
        <v>1909154</v>
      </c>
      <c r="D6079" s="0" t="s">
        <v>20250</v>
      </c>
      <c r="E6079" s="0" t="s">
        <v>20251</v>
      </c>
      <c r="F6079" s="0" t="s">
        <v>15</v>
      </c>
      <c r="G6079" s="0" t="s">
        <v>20</v>
      </c>
      <c r="H6079" s="0" t="n">
        <v>73</v>
      </c>
      <c r="I6079" s="0" t="s">
        <v>20258</v>
      </c>
      <c r="J6079" s="0" t="s">
        <v>20259</v>
      </c>
      <c r="K6079" s="0" t="s">
        <v>20260</v>
      </c>
      <c r="L6079" s="0" t="str">
        <f aca="false">HYPERLINK("https://www.ncbi.nlm.nih.gov/nuccore/CP000058.1?report=graph&amp;tracks=[key:gene_model_track,Options:GeneOnly]&amp;mk=1909075:1909094|offset_13|444444,1909111:1909130|offset_49|444444,1909135:1909154|offset_73|00cc00,1909156:1909175|offset_94|444444&amp;v=1908874:1909375&amp;c=444444", "offset 73")</f>
        <v>offset 73</v>
      </c>
    </row>
    <row r="6080" customFormat="false" ht="12.8" hidden="false" customHeight="false" outlineLevel="0" collapsed="false">
      <c r="A6080" s="0" t="s">
        <v>12</v>
      </c>
      <c r="B6080" s="0" t="n">
        <v>1909155</v>
      </c>
      <c r="C6080" s="0" t="n">
        <v>1909175</v>
      </c>
      <c r="D6080" s="0" t="s">
        <v>20250</v>
      </c>
      <c r="E6080" s="0" t="s">
        <v>20251</v>
      </c>
      <c r="F6080" s="0" t="s">
        <v>15</v>
      </c>
      <c r="G6080" s="0" t="s">
        <v>16</v>
      </c>
      <c r="H6080" s="0" t="n">
        <v>94</v>
      </c>
      <c r="I6080" s="0" t="s">
        <v>20261</v>
      </c>
      <c r="J6080" s="0" t="s">
        <v>20262</v>
      </c>
      <c r="K6080" s="0" t="s">
        <v>20263</v>
      </c>
      <c r="L6080" s="0" t="str">
        <f aca="false">HYPERLINK("https://www.ncbi.nlm.nih.gov/nuccore/CP000058.1?report=graph&amp;tracks=[key:gene_model_track,Options:GeneOnly]&amp;mk=1909075:1909094|offset_13|444444,1909111:1909130|offset_49|444444,1909135:1909154|offset_73|444444,1909156:1909175|offset_94|00cc00&amp;v=1908874:1909375&amp;c=444444", "offset 94")</f>
        <v>offset 94</v>
      </c>
    </row>
    <row r="6081" customFormat="false" ht="12.8" hidden="false" customHeight="false" outlineLevel="0" collapsed="false">
      <c r="A6081" s="0" t="s">
        <v>12</v>
      </c>
      <c r="B6081" s="0" t="n">
        <v>1910094</v>
      </c>
      <c r="C6081" s="0" t="n">
        <v>1910114</v>
      </c>
      <c r="D6081" s="0" t="s">
        <v>20264</v>
      </c>
      <c r="E6081" s="0" t="s">
        <v>20265</v>
      </c>
      <c r="F6081" s="0" t="s">
        <v>15</v>
      </c>
      <c r="G6081" s="0" t="s">
        <v>16</v>
      </c>
      <c r="H6081" s="0" t="n">
        <v>12</v>
      </c>
      <c r="I6081" s="0" t="s">
        <v>20266</v>
      </c>
      <c r="J6081" s="0" t="s">
        <v>20267</v>
      </c>
      <c r="K6081" s="0" t="s">
        <v>20268</v>
      </c>
      <c r="L6081" s="0" t="str">
        <f aca="false">HYPERLINK("https://www.ncbi.nlm.nih.gov/nuccore/CP000058.1?report=graph&amp;tracks=[key:gene_model_track,Options:GeneOnly]&amp;mk=1910095:1910114|offset_12|00cc00,1910129:1910148|offset_46|444444,1910150:1910169|offset_67|444444,1910173:1910192|offset_90|444444&amp;v=1909894:1910392&amp;c=444444", "offset 12")</f>
        <v>offset 12</v>
      </c>
    </row>
    <row r="6082" customFormat="false" ht="12.8" hidden="false" customHeight="false" outlineLevel="0" collapsed="false">
      <c r="A6082" s="0" t="s">
        <v>12</v>
      </c>
      <c r="B6082" s="0" t="n">
        <v>1910128</v>
      </c>
      <c r="C6082" s="0" t="n">
        <v>1910148</v>
      </c>
      <c r="D6082" s="0" t="s">
        <v>20264</v>
      </c>
      <c r="E6082" s="0" t="s">
        <v>20265</v>
      </c>
      <c r="F6082" s="0" t="s">
        <v>15</v>
      </c>
      <c r="G6082" s="0" t="s">
        <v>36</v>
      </c>
      <c r="H6082" s="0" t="n">
        <v>46</v>
      </c>
      <c r="I6082" s="0" t="s">
        <v>20269</v>
      </c>
      <c r="J6082" s="0" t="s">
        <v>20270</v>
      </c>
      <c r="K6082" s="0" t="s">
        <v>20271</v>
      </c>
      <c r="L6082" s="0" t="str">
        <f aca="false">HYPERLINK("https://www.ncbi.nlm.nih.gov/nuccore/CP000058.1?report=graph&amp;tracks=[key:gene_model_track,Options:GeneOnly]&amp;mk=1910095:1910114|offset_12|444444,1910129:1910148|offset_46|00cc00,1910150:1910169|offset_67|444444,1910173:1910192|offset_90|444444&amp;v=1909894:1910392&amp;c=444444", "offset 46")</f>
        <v>offset 46</v>
      </c>
    </row>
    <row r="6083" customFormat="false" ht="12.8" hidden="false" customHeight="false" outlineLevel="0" collapsed="false">
      <c r="A6083" s="0" t="s">
        <v>12</v>
      </c>
      <c r="B6083" s="0" t="n">
        <v>1910149</v>
      </c>
      <c r="C6083" s="0" t="n">
        <v>1910169</v>
      </c>
      <c r="D6083" s="0" t="s">
        <v>20264</v>
      </c>
      <c r="E6083" s="0" t="s">
        <v>20265</v>
      </c>
      <c r="F6083" s="0" t="s">
        <v>15</v>
      </c>
      <c r="G6083" s="0" t="s">
        <v>16</v>
      </c>
      <c r="H6083" s="0" t="n">
        <v>67</v>
      </c>
      <c r="I6083" s="0" t="s">
        <v>20272</v>
      </c>
      <c r="J6083" s="0" t="s">
        <v>20273</v>
      </c>
      <c r="K6083" s="0" t="s">
        <v>20274</v>
      </c>
      <c r="L6083" s="0" t="str">
        <f aca="false">HYPERLINK("https://www.ncbi.nlm.nih.gov/nuccore/CP000058.1?report=graph&amp;tracks=[key:gene_model_track,Options:GeneOnly]&amp;mk=1910095:1910114|offset_12|444444,1910129:1910148|offset_46|444444,1910150:1910169|offset_67|00cc00,1910173:1910192|offset_90|444444&amp;v=1909894:1910392&amp;c=444444", "offset 67")</f>
        <v>offset 67</v>
      </c>
    </row>
    <row r="6084" customFormat="false" ht="12.8" hidden="false" customHeight="false" outlineLevel="0" collapsed="false">
      <c r="A6084" s="0" t="s">
        <v>12</v>
      </c>
      <c r="B6084" s="0" t="n">
        <v>1910172</v>
      </c>
      <c r="C6084" s="0" t="n">
        <v>1910192</v>
      </c>
      <c r="D6084" s="0" t="s">
        <v>20264</v>
      </c>
      <c r="E6084" s="0" t="s">
        <v>20265</v>
      </c>
      <c r="F6084" s="0" t="s">
        <v>15</v>
      </c>
      <c r="G6084" s="0" t="s">
        <v>32</v>
      </c>
      <c r="H6084" s="0" t="n">
        <v>90</v>
      </c>
      <c r="I6084" s="0" t="s">
        <v>20275</v>
      </c>
      <c r="J6084" s="0" t="s">
        <v>20276</v>
      </c>
      <c r="K6084" s="0" t="s">
        <v>20277</v>
      </c>
      <c r="L6084" s="0" t="str">
        <f aca="false">HYPERLINK("https://www.ncbi.nlm.nih.gov/nuccore/CP000058.1?report=graph&amp;tracks=[key:gene_model_track,Options:GeneOnly]&amp;mk=1910095:1910114|offset_12|444444,1910129:1910148|offset_46|444444,1910150:1910169|offset_67|444444,1910173:1910192|offset_90|00cc00&amp;v=1909894:1910392&amp;c=444444", "offset 90")</f>
        <v>offset 90</v>
      </c>
    </row>
    <row r="6085" customFormat="false" ht="12.8" hidden="false" customHeight="false" outlineLevel="0" collapsed="false">
      <c r="A6085" s="0" t="s">
        <v>12</v>
      </c>
      <c r="B6085" s="0" t="n">
        <v>1910453</v>
      </c>
      <c r="C6085" s="0" t="n">
        <v>1910473</v>
      </c>
      <c r="D6085" s="0" t="s">
        <v>20278</v>
      </c>
      <c r="E6085" s="0" t="s">
        <v>75</v>
      </c>
      <c r="F6085" s="0" t="s">
        <v>15</v>
      </c>
      <c r="G6085" s="0" t="s">
        <v>36</v>
      </c>
      <c r="H6085" s="0" t="n">
        <v>0</v>
      </c>
      <c r="I6085" s="0" t="s">
        <v>20279</v>
      </c>
      <c r="J6085" s="0" t="s">
        <v>20280</v>
      </c>
      <c r="K6085" s="0" t="s">
        <v>20281</v>
      </c>
      <c r="L6085" s="0" t="str">
        <f aca="false">HYPERLINK("https://www.ncbi.nlm.nih.gov/nuccore/CP000058.1?report=graph&amp;tracks=[key:gene_model_track,Options:GeneOnly]&amp;mk=1910454:1910473|offset_0|00cc00,1910480:1910499|offset_26|444444,1910500:1910519|offset_46|444444,1910527:1910546|offset_73|444444&amp;v=1910253:1910746&amp;c=444444", "offset 0")</f>
        <v>offset 0</v>
      </c>
    </row>
    <row r="6086" customFormat="false" ht="12.8" hidden="false" customHeight="false" outlineLevel="0" collapsed="false">
      <c r="A6086" s="0" t="s">
        <v>12</v>
      </c>
      <c r="B6086" s="0" t="n">
        <v>1910479</v>
      </c>
      <c r="C6086" s="0" t="n">
        <v>1910499</v>
      </c>
      <c r="D6086" s="0" t="s">
        <v>20278</v>
      </c>
      <c r="E6086" s="0" t="s">
        <v>75</v>
      </c>
      <c r="F6086" s="0" t="s">
        <v>15</v>
      </c>
      <c r="G6086" s="0" t="s">
        <v>20</v>
      </c>
      <c r="H6086" s="0" t="n">
        <v>26</v>
      </c>
      <c r="I6086" s="0" t="s">
        <v>20282</v>
      </c>
      <c r="J6086" s="0" t="s">
        <v>20283</v>
      </c>
      <c r="K6086" s="0" t="s">
        <v>20284</v>
      </c>
      <c r="L6086" s="0" t="str">
        <f aca="false">HYPERLINK("https://www.ncbi.nlm.nih.gov/nuccore/CP000058.1?report=graph&amp;tracks=[key:gene_model_track,Options:GeneOnly]&amp;mk=1910454:1910473|offset_0|444444,1910480:1910499|offset_26|00cc00,1910500:1910519|offset_46|444444,1910527:1910546|offset_73|444444&amp;v=1910253:1910746&amp;c=444444", "offset 26")</f>
        <v>offset 26</v>
      </c>
    </row>
    <row r="6087" customFormat="false" ht="12.8" hidden="false" customHeight="false" outlineLevel="0" collapsed="false">
      <c r="A6087" s="0" t="s">
        <v>12</v>
      </c>
      <c r="B6087" s="0" t="n">
        <v>1910499</v>
      </c>
      <c r="C6087" s="0" t="n">
        <v>1910519</v>
      </c>
      <c r="D6087" s="0" t="s">
        <v>20278</v>
      </c>
      <c r="E6087" s="0" t="s">
        <v>75</v>
      </c>
      <c r="F6087" s="0" t="s">
        <v>15</v>
      </c>
      <c r="G6087" s="0" t="s">
        <v>36</v>
      </c>
      <c r="H6087" s="0" t="n">
        <v>46</v>
      </c>
      <c r="I6087" s="0" t="s">
        <v>20285</v>
      </c>
      <c r="J6087" s="0" t="s">
        <v>20286</v>
      </c>
      <c r="K6087" s="0" t="s">
        <v>20287</v>
      </c>
      <c r="L6087" s="0" t="str">
        <f aca="false">HYPERLINK("https://www.ncbi.nlm.nih.gov/nuccore/CP000058.1?report=graph&amp;tracks=[key:gene_model_track,Options:GeneOnly]&amp;mk=1910454:1910473|offset_0|444444,1910480:1910499|offset_26|444444,1910500:1910519|offset_46|00cc00,1910527:1910546|offset_73|444444&amp;v=1910253:1910746&amp;c=444444", "offset 46")</f>
        <v>offset 46</v>
      </c>
    </row>
    <row r="6088" customFormat="false" ht="12.8" hidden="false" customHeight="false" outlineLevel="0" collapsed="false">
      <c r="A6088" s="0" t="s">
        <v>12</v>
      </c>
      <c r="B6088" s="0" t="n">
        <v>1910526</v>
      </c>
      <c r="C6088" s="0" t="n">
        <v>1910546</v>
      </c>
      <c r="D6088" s="0" t="s">
        <v>20278</v>
      </c>
      <c r="E6088" s="0" t="s">
        <v>75</v>
      </c>
      <c r="F6088" s="0" t="s">
        <v>15</v>
      </c>
      <c r="G6088" s="0" t="s">
        <v>36</v>
      </c>
      <c r="H6088" s="0" t="n">
        <v>73</v>
      </c>
      <c r="I6088" s="0" t="s">
        <v>20288</v>
      </c>
      <c r="J6088" s="0" t="s">
        <v>20289</v>
      </c>
      <c r="K6088" s="0" t="s">
        <v>20290</v>
      </c>
      <c r="L6088" s="0" t="str">
        <f aca="false">HYPERLINK("https://www.ncbi.nlm.nih.gov/nuccore/CP000058.1?report=graph&amp;tracks=[key:gene_model_track,Options:GeneOnly]&amp;mk=1910454:1910473|offset_0|444444,1910480:1910499|offset_26|444444,1910500:1910519|offset_46|444444,1910527:1910546|offset_73|00cc00&amp;v=1910253:1910746&amp;c=444444", "offset 73")</f>
        <v>offset 73</v>
      </c>
    </row>
    <row r="6089" customFormat="false" ht="12.8" hidden="false" customHeight="false" outlineLevel="0" collapsed="false">
      <c r="A6089" s="0" t="s">
        <v>12</v>
      </c>
      <c r="B6089" s="0" t="n">
        <v>1911610</v>
      </c>
      <c r="C6089" s="0" t="n">
        <v>1911630</v>
      </c>
      <c r="D6089" s="0" t="s">
        <v>20291</v>
      </c>
      <c r="E6089" s="0" t="s">
        <v>75</v>
      </c>
      <c r="F6089" s="0" t="s">
        <v>15</v>
      </c>
      <c r="G6089" s="0" t="s">
        <v>32</v>
      </c>
      <c r="H6089" s="0" t="n">
        <v>13</v>
      </c>
      <c r="I6089" s="0" t="s">
        <v>20292</v>
      </c>
      <c r="J6089" s="0" t="s">
        <v>20293</v>
      </c>
      <c r="K6089" s="0" t="s">
        <v>20294</v>
      </c>
      <c r="L6089" s="0" t="str">
        <f aca="false">HYPERLINK("https://www.ncbi.nlm.nih.gov/nuccore/CP000058.1?report=graph&amp;tracks=[key:gene_model_track,Options:GeneOnly]&amp;mk=1911611:1911630|offset_13|00cc00,1911642:1911661|offset_44|444444,1911668:1911687|offset_70|444444,1911701:1911720|offset_103|444444&amp;v=1911410:1911920&amp;c=444444", "offset 13")</f>
        <v>offset 13</v>
      </c>
    </row>
    <row r="6090" customFormat="false" ht="12.8" hidden="false" customHeight="false" outlineLevel="0" collapsed="false">
      <c r="A6090" s="0" t="s">
        <v>12</v>
      </c>
      <c r="B6090" s="0" t="n">
        <v>1911641</v>
      </c>
      <c r="C6090" s="0" t="n">
        <v>1911661</v>
      </c>
      <c r="D6090" s="0" t="s">
        <v>20291</v>
      </c>
      <c r="E6090" s="0" t="s">
        <v>75</v>
      </c>
      <c r="F6090" s="0" t="s">
        <v>15</v>
      </c>
      <c r="G6090" s="0" t="s">
        <v>20</v>
      </c>
      <c r="H6090" s="0" t="n">
        <v>44</v>
      </c>
      <c r="I6090" s="0" t="s">
        <v>20295</v>
      </c>
      <c r="J6090" s="0" t="s">
        <v>20296</v>
      </c>
      <c r="K6090" s="0" t="s">
        <v>20297</v>
      </c>
      <c r="L6090" s="0" t="str">
        <f aca="false">HYPERLINK("https://www.ncbi.nlm.nih.gov/nuccore/CP000058.1?report=graph&amp;tracks=[key:gene_model_track,Options:GeneOnly]&amp;mk=1911611:1911630|offset_13|444444,1911642:1911661|offset_44|00cc00,1911668:1911687|offset_70|444444,1911701:1911720|offset_103|444444&amp;v=1911410:1911920&amp;c=444444", "offset 44")</f>
        <v>offset 44</v>
      </c>
    </row>
    <row r="6091" customFormat="false" ht="12.8" hidden="false" customHeight="false" outlineLevel="0" collapsed="false">
      <c r="A6091" s="0" t="s">
        <v>12</v>
      </c>
      <c r="B6091" s="0" t="n">
        <v>1911667</v>
      </c>
      <c r="C6091" s="0" t="n">
        <v>1911687</v>
      </c>
      <c r="D6091" s="0" t="s">
        <v>20291</v>
      </c>
      <c r="E6091" s="0" t="s">
        <v>75</v>
      </c>
      <c r="F6091" s="0" t="s">
        <v>15</v>
      </c>
      <c r="G6091" s="0" t="s">
        <v>32</v>
      </c>
      <c r="H6091" s="0" t="n">
        <v>70</v>
      </c>
      <c r="I6091" s="0" t="s">
        <v>20298</v>
      </c>
      <c r="J6091" s="0" t="s">
        <v>20299</v>
      </c>
      <c r="K6091" s="0" t="s">
        <v>20300</v>
      </c>
      <c r="L6091" s="0" t="str">
        <f aca="false">HYPERLINK("https://www.ncbi.nlm.nih.gov/nuccore/CP000058.1?report=graph&amp;tracks=[key:gene_model_track,Options:GeneOnly]&amp;mk=1911611:1911630|offset_13|444444,1911642:1911661|offset_44|444444,1911668:1911687|offset_70|00cc00,1911701:1911720|offset_103|444444&amp;v=1911410:1911920&amp;c=444444", "offset 70")</f>
        <v>offset 70</v>
      </c>
    </row>
    <row r="6092" customFormat="false" ht="12.8" hidden="false" customHeight="false" outlineLevel="0" collapsed="false">
      <c r="A6092" s="0" t="s">
        <v>12</v>
      </c>
      <c r="B6092" s="0" t="n">
        <v>1911700</v>
      </c>
      <c r="C6092" s="0" t="n">
        <v>1911720</v>
      </c>
      <c r="D6092" s="0" t="s">
        <v>20291</v>
      </c>
      <c r="E6092" s="0" t="s">
        <v>75</v>
      </c>
      <c r="F6092" s="0" t="s">
        <v>15</v>
      </c>
      <c r="G6092" s="0" t="s">
        <v>32</v>
      </c>
      <c r="H6092" s="0" t="n">
        <v>103</v>
      </c>
      <c r="I6092" s="0" t="s">
        <v>20301</v>
      </c>
      <c r="J6092" s="0" t="s">
        <v>20302</v>
      </c>
      <c r="K6092" s="0" t="s">
        <v>20303</v>
      </c>
      <c r="L6092" s="0" t="str">
        <f aca="false">HYPERLINK("https://www.ncbi.nlm.nih.gov/nuccore/CP000058.1?report=graph&amp;tracks=[key:gene_model_track,Options:GeneOnly]&amp;mk=1911611:1911630|offset_13|444444,1911642:1911661|offset_44|444444,1911668:1911687|offset_70|444444,1911701:1911720|offset_103|00cc00&amp;v=1911410:1911920&amp;c=444444", "offset 103")</f>
        <v>offset 103</v>
      </c>
    </row>
    <row r="6093" customFormat="false" ht="12.8" hidden="false" customHeight="false" outlineLevel="0" collapsed="false">
      <c r="A6093" s="0" t="s">
        <v>12</v>
      </c>
      <c r="B6093" s="0" t="n">
        <v>1912421</v>
      </c>
      <c r="C6093" s="0" t="n">
        <v>1912441</v>
      </c>
      <c r="D6093" s="0" t="s">
        <v>20304</v>
      </c>
      <c r="E6093" s="0" t="s">
        <v>75</v>
      </c>
      <c r="F6093" s="0" t="s">
        <v>15</v>
      </c>
      <c r="G6093" s="0" t="s">
        <v>20</v>
      </c>
      <c r="H6093" s="0" t="n">
        <v>15</v>
      </c>
      <c r="I6093" s="0" t="s">
        <v>20305</v>
      </c>
      <c r="J6093" s="0" t="s">
        <v>20306</v>
      </c>
      <c r="K6093" s="0" t="s">
        <v>20307</v>
      </c>
      <c r="L6093" s="0" t="str">
        <f aca="false">HYPERLINK("https://www.ncbi.nlm.nih.gov/nuccore/CP000058.1?report=graph&amp;tracks=[key:gene_model_track,Options:GeneOnly]&amp;mk=1912422:1912441|offset_15|00cc00,1912445:1912464|offset_38|444444,1912471:1912490|offset_64|444444,1912534:1912553|offset_127|444444&amp;v=1912221:1912753&amp;c=444444", "offset 15")</f>
        <v>offset 15</v>
      </c>
    </row>
    <row r="6094" customFormat="false" ht="12.8" hidden="false" customHeight="false" outlineLevel="0" collapsed="false">
      <c r="A6094" s="0" t="s">
        <v>12</v>
      </c>
      <c r="B6094" s="0" t="n">
        <v>1912444</v>
      </c>
      <c r="C6094" s="0" t="n">
        <v>1912464</v>
      </c>
      <c r="D6094" s="0" t="s">
        <v>20304</v>
      </c>
      <c r="E6094" s="0" t="s">
        <v>75</v>
      </c>
      <c r="F6094" s="0" t="s">
        <v>15</v>
      </c>
      <c r="G6094" s="0" t="s">
        <v>16</v>
      </c>
      <c r="H6094" s="0" t="n">
        <v>38</v>
      </c>
      <c r="I6094" s="0" t="s">
        <v>20308</v>
      </c>
      <c r="J6094" s="0" t="s">
        <v>20309</v>
      </c>
      <c r="K6094" s="0" t="s">
        <v>20310</v>
      </c>
      <c r="L6094" s="0" t="str">
        <f aca="false">HYPERLINK("https://www.ncbi.nlm.nih.gov/nuccore/CP000058.1?report=graph&amp;tracks=[key:gene_model_track,Options:GeneOnly]&amp;mk=1912422:1912441|offset_15|444444,1912445:1912464|offset_38|00cc00,1912471:1912490|offset_64|444444,1912534:1912553|offset_127|444444&amp;v=1912221:1912753&amp;c=444444", "offset 38")</f>
        <v>offset 38</v>
      </c>
    </row>
    <row r="6095" customFormat="false" ht="12.8" hidden="false" customHeight="false" outlineLevel="0" collapsed="false">
      <c r="A6095" s="0" t="s">
        <v>12</v>
      </c>
      <c r="B6095" s="0" t="n">
        <v>1912470</v>
      </c>
      <c r="C6095" s="0" t="n">
        <v>1912490</v>
      </c>
      <c r="D6095" s="0" t="s">
        <v>20304</v>
      </c>
      <c r="E6095" s="0" t="s">
        <v>75</v>
      </c>
      <c r="F6095" s="0" t="s">
        <v>15</v>
      </c>
      <c r="G6095" s="0" t="s">
        <v>16</v>
      </c>
      <c r="H6095" s="0" t="n">
        <v>64</v>
      </c>
      <c r="I6095" s="0" t="s">
        <v>20311</v>
      </c>
      <c r="J6095" s="0" t="s">
        <v>20312</v>
      </c>
      <c r="K6095" s="0" t="s">
        <v>20313</v>
      </c>
      <c r="L6095" s="0" t="str">
        <f aca="false">HYPERLINK("https://www.ncbi.nlm.nih.gov/nuccore/CP000058.1?report=graph&amp;tracks=[key:gene_model_track,Options:GeneOnly]&amp;mk=1912422:1912441|offset_15|444444,1912445:1912464|offset_38|444444,1912471:1912490|offset_64|00cc00,1912534:1912553|offset_127|444444&amp;v=1912221:1912753&amp;c=444444", "offset 64")</f>
        <v>offset 64</v>
      </c>
    </row>
    <row r="6096" customFormat="false" ht="12.8" hidden="false" customHeight="false" outlineLevel="0" collapsed="false">
      <c r="A6096" s="0" t="s">
        <v>12</v>
      </c>
      <c r="B6096" s="0" t="n">
        <v>1912533</v>
      </c>
      <c r="C6096" s="0" t="n">
        <v>1912553</v>
      </c>
      <c r="D6096" s="0" t="s">
        <v>20304</v>
      </c>
      <c r="E6096" s="0" t="s">
        <v>75</v>
      </c>
      <c r="F6096" s="0" t="s">
        <v>15</v>
      </c>
      <c r="G6096" s="0" t="s">
        <v>16</v>
      </c>
      <c r="H6096" s="0" t="n">
        <v>127</v>
      </c>
      <c r="I6096" s="0" t="s">
        <v>20314</v>
      </c>
      <c r="J6096" s="0" t="s">
        <v>20315</v>
      </c>
      <c r="K6096" s="0" t="s">
        <v>20316</v>
      </c>
      <c r="L6096" s="0" t="str">
        <f aca="false">HYPERLINK("https://www.ncbi.nlm.nih.gov/nuccore/CP000058.1?report=graph&amp;tracks=[key:gene_model_track,Options:GeneOnly]&amp;mk=1912422:1912441|offset_15|444444,1912445:1912464|offset_38|444444,1912471:1912490|offset_64|444444,1912534:1912553|offset_127|00cc00&amp;v=1912221:1912753&amp;c=444444", "offset 127")</f>
        <v>offset 127</v>
      </c>
    </row>
    <row r="6097" customFormat="false" ht="12.8" hidden="false" customHeight="false" outlineLevel="0" collapsed="false">
      <c r="A6097" s="0" t="s">
        <v>12</v>
      </c>
      <c r="B6097" s="0" t="n">
        <v>1913203</v>
      </c>
      <c r="C6097" s="0" t="n">
        <v>1913223</v>
      </c>
      <c r="D6097" s="0" t="s">
        <v>20317</v>
      </c>
      <c r="E6097" s="0" t="s">
        <v>75</v>
      </c>
      <c r="F6097" s="0" t="s">
        <v>15</v>
      </c>
      <c r="G6097" s="0" t="s">
        <v>20</v>
      </c>
      <c r="H6097" s="0" t="n">
        <v>11</v>
      </c>
      <c r="I6097" s="0" t="s">
        <v>20318</v>
      </c>
      <c r="J6097" s="0" t="s">
        <v>20319</v>
      </c>
      <c r="K6097" s="0" t="s">
        <v>20320</v>
      </c>
      <c r="L6097" s="0" t="str">
        <f aca="false">HYPERLINK("https://www.ncbi.nlm.nih.gov/nuccore/CP000058.1?report=graph&amp;tracks=[key:gene_model_track,Options:GeneOnly]&amp;mk=1913204:1913223|offset_11|00cc00,1913321:1913340|offset_128|444444,1913346:1913365|offset_153|444444,1913377:1913396|offset_184|444444&amp;v=1913003:1913596&amp;c=444444", "offset 11")</f>
        <v>offset 11</v>
      </c>
    </row>
    <row r="6098" customFormat="false" ht="12.8" hidden="false" customHeight="false" outlineLevel="0" collapsed="false">
      <c r="A6098" s="0" t="s">
        <v>12</v>
      </c>
      <c r="B6098" s="0" t="n">
        <v>1913320</v>
      </c>
      <c r="C6098" s="0" t="n">
        <v>1913340</v>
      </c>
      <c r="D6098" s="0" t="s">
        <v>20317</v>
      </c>
      <c r="E6098" s="0" t="s">
        <v>75</v>
      </c>
      <c r="F6098" s="0" t="s">
        <v>15</v>
      </c>
      <c r="G6098" s="0" t="s">
        <v>16</v>
      </c>
      <c r="H6098" s="0" t="n">
        <v>128</v>
      </c>
      <c r="I6098" s="0" t="s">
        <v>20321</v>
      </c>
      <c r="J6098" s="0" t="s">
        <v>20322</v>
      </c>
      <c r="K6098" s="0" t="s">
        <v>20323</v>
      </c>
      <c r="L6098" s="0" t="str">
        <f aca="false">HYPERLINK("https://www.ncbi.nlm.nih.gov/nuccore/CP000058.1?report=graph&amp;tracks=[key:gene_model_track,Options:GeneOnly]&amp;mk=1913204:1913223|offset_11|444444,1913321:1913340|offset_128|00cc00,1913346:1913365|offset_153|444444,1913377:1913396|offset_184|444444&amp;v=1913003:1913596&amp;c=444444", "offset 128")</f>
        <v>offset 128</v>
      </c>
    </row>
    <row r="6099" customFormat="false" ht="12.8" hidden="false" customHeight="false" outlineLevel="0" collapsed="false">
      <c r="A6099" s="0" t="s">
        <v>12</v>
      </c>
      <c r="B6099" s="0" t="n">
        <v>1913345</v>
      </c>
      <c r="C6099" s="0" t="n">
        <v>1913365</v>
      </c>
      <c r="D6099" s="0" t="s">
        <v>20317</v>
      </c>
      <c r="E6099" s="0" t="s">
        <v>75</v>
      </c>
      <c r="F6099" s="0" t="s">
        <v>15</v>
      </c>
      <c r="G6099" s="0" t="s">
        <v>36</v>
      </c>
      <c r="H6099" s="0" t="n">
        <v>153</v>
      </c>
      <c r="I6099" s="0" t="s">
        <v>20324</v>
      </c>
      <c r="J6099" s="0" t="s">
        <v>20325</v>
      </c>
      <c r="K6099" s="0" t="s">
        <v>20326</v>
      </c>
      <c r="L6099" s="0" t="str">
        <f aca="false">HYPERLINK("https://www.ncbi.nlm.nih.gov/nuccore/CP000058.1?report=graph&amp;tracks=[key:gene_model_track,Options:GeneOnly]&amp;mk=1913204:1913223|offset_11|444444,1913321:1913340|offset_128|444444,1913346:1913365|offset_153|00cc00,1913377:1913396|offset_184|444444&amp;v=1913003:1913596&amp;c=444444", "offset 153")</f>
        <v>offset 153</v>
      </c>
    </row>
    <row r="6100" customFormat="false" ht="12.8" hidden="false" customHeight="false" outlineLevel="0" collapsed="false">
      <c r="A6100" s="0" t="s">
        <v>12</v>
      </c>
      <c r="B6100" s="0" t="n">
        <v>1913376</v>
      </c>
      <c r="C6100" s="0" t="n">
        <v>1913396</v>
      </c>
      <c r="D6100" s="0" t="s">
        <v>20317</v>
      </c>
      <c r="E6100" s="0" t="s">
        <v>75</v>
      </c>
      <c r="F6100" s="0" t="s">
        <v>15</v>
      </c>
      <c r="G6100" s="0" t="s">
        <v>20</v>
      </c>
      <c r="H6100" s="0" t="n">
        <v>184</v>
      </c>
      <c r="I6100" s="0" t="s">
        <v>20327</v>
      </c>
      <c r="J6100" s="0" t="s">
        <v>20328</v>
      </c>
      <c r="K6100" s="0" t="s">
        <v>20329</v>
      </c>
      <c r="L6100" s="0" t="str">
        <f aca="false">HYPERLINK("https://www.ncbi.nlm.nih.gov/nuccore/CP000058.1?report=graph&amp;tracks=[key:gene_model_track,Options:GeneOnly]&amp;mk=1913204:1913223|offset_11|444444,1913321:1913340|offset_128|444444,1913346:1913365|offset_153|444444,1913377:1913396|offset_184|00cc00&amp;v=1913003:1913596&amp;c=444444", "offset 184")</f>
        <v>offset 184</v>
      </c>
    </row>
    <row r="6101" customFormat="false" ht="12.8" hidden="false" customHeight="false" outlineLevel="0" collapsed="false">
      <c r="A6101" s="0" t="s">
        <v>12</v>
      </c>
      <c r="B6101" s="0" t="n">
        <v>1913822</v>
      </c>
      <c r="C6101" s="0" t="n">
        <v>1913842</v>
      </c>
      <c r="D6101" s="0" t="s">
        <v>20330</v>
      </c>
      <c r="E6101" s="0" t="s">
        <v>75</v>
      </c>
      <c r="F6101" s="0" t="s">
        <v>15</v>
      </c>
      <c r="G6101" s="0" t="s">
        <v>16</v>
      </c>
      <c r="H6101" s="0" t="n">
        <v>7</v>
      </c>
      <c r="I6101" s="0" t="s">
        <v>20331</v>
      </c>
      <c r="J6101" s="0" t="s">
        <v>20332</v>
      </c>
      <c r="K6101" s="0" t="s">
        <v>20333</v>
      </c>
      <c r="L6101" s="0" t="str">
        <f aca="false">HYPERLINK("https://www.ncbi.nlm.nih.gov/nuccore/CP000058.1?report=graph&amp;tracks=[key:gene_model_track,Options:GeneOnly]&amp;mk=1913823:1913842|offset_7|00cc00,1913860:1913879|offset_44|444444,1913882:1913901|offset_66|444444,1913934:1913953|offset_118|444444&amp;v=1913622:1914153&amp;c=444444", "offset 7")</f>
        <v>offset 7</v>
      </c>
    </row>
    <row r="6102" customFormat="false" ht="12.8" hidden="false" customHeight="false" outlineLevel="0" collapsed="false">
      <c r="A6102" s="0" t="s">
        <v>12</v>
      </c>
      <c r="B6102" s="0" t="n">
        <v>1913859</v>
      </c>
      <c r="C6102" s="0" t="n">
        <v>1913879</v>
      </c>
      <c r="D6102" s="0" t="s">
        <v>20330</v>
      </c>
      <c r="E6102" s="0" t="s">
        <v>75</v>
      </c>
      <c r="F6102" s="0" t="s">
        <v>15</v>
      </c>
      <c r="G6102" s="0" t="s">
        <v>36</v>
      </c>
      <c r="H6102" s="0" t="n">
        <v>44</v>
      </c>
      <c r="I6102" s="0" t="s">
        <v>20334</v>
      </c>
      <c r="J6102" s="0" t="s">
        <v>20335</v>
      </c>
      <c r="K6102" s="0" t="s">
        <v>20336</v>
      </c>
      <c r="L6102" s="0" t="str">
        <f aca="false">HYPERLINK("https://www.ncbi.nlm.nih.gov/nuccore/CP000058.1?report=graph&amp;tracks=[key:gene_model_track,Options:GeneOnly]&amp;mk=1913823:1913842|offset_7|444444,1913860:1913879|offset_44|00cc00,1913882:1913901|offset_66|444444,1913934:1913953|offset_118|444444&amp;v=1913622:1914153&amp;c=444444", "offset 44")</f>
        <v>offset 44</v>
      </c>
    </row>
    <row r="6103" customFormat="false" ht="12.8" hidden="false" customHeight="false" outlineLevel="0" collapsed="false">
      <c r="A6103" s="0" t="s">
        <v>12</v>
      </c>
      <c r="B6103" s="0" t="n">
        <v>1913881</v>
      </c>
      <c r="C6103" s="0" t="n">
        <v>1913901</v>
      </c>
      <c r="D6103" s="0" t="s">
        <v>20330</v>
      </c>
      <c r="E6103" s="0" t="s">
        <v>75</v>
      </c>
      <c r="F6103" s="0" t="s">
        <v>15</v>
      </c>
      <c r="G6103" s="0" t="s">
        <v>20</v>
      </c>
      <c r="H6103" s="0" t="n">
        <v>66</v>
      </c>
      <c r="I6103" s="0" t="s">
        <v>20337</v>
      </c>
      <c r="J6103" s="0" t="s">
        <v>20338</v>
      </c>
      <c r="K6103" s="0" t="s">
        <v>20339</v>
      </c>
      <c r="L6103" s="0" t="str">
        <f aca="false">HYPERLINK("https://www.ncbi.nlm.nih.gov/nuccore/CP000058.1?report=graph&amp;tracks=[key:gene_model_track,Options:GeneOnly]&amp;mk=1913823:1913842|offset_7|444444,1913860:1913879|offset_44|444444,1913882:1913901|offset_66|00cc00,1913934:1913953|offset_118|444444&amp;v=1913622:1914153&amp;c=444444", "offset 66")</f>
        <v>offset 66</v>
      </c>
    </row>
    <row r="6104" customFormat="false" ht="12.8" hidden="false" customHeight="false" outlineLevel="0" collapsed="false">
      <c r="A6104" s="0" t="s">
        <v>12</v>
      </c>
      <c r="B6104" s="0" t="n">
        <v>1913933</v>
      </c>
      <c r="C6104" s="0" t="n">
        <v>1913953</v>
      </c>
      <c r="D6104" s="0" t="s">
        <v>20330</v>
      </c>
      <c r="E6104" s="0" t="s">
        <v>75</v>
      </c>
      <c r="F6104" s="0" t="s">
        <v>15</v>
      </c>
      <c r="G6104" s="0" t="s">
        <v>36</v>
      </c>
      <c r="H6104" s="0" t="n">
        <v>118</v>
      </c>
      <c r="I6104" s="0" t="s">
        <v>20340</v>
      </c>
      <c r="J6104" s="0" t="s">
        <v>20341</v>
      </c>
      <c r="K6104" s="0" t="s">
        <v>20342</v>
      </c>
      <c r="L6104" s="0" t="str">
        <f aca="false">HYPERLINK("https://www.ncbi.nlm.nih.gov/nuccore/CP000058.1?report=graph&amp;tracks=[key:gene_model_track,Options:GeneOnly]&amp;mk=1913823:1913842|offset_7|444444,1913860:1913879|offset_44|444444,1913882:1913901|offset_66|444444,1913934:1913953|offset_118|00cc00&amp;v=1913622:1914153&amp;c=444444", "offset 118")</f>
        <v>offset 118</v>
      </c>
    </row>
    <row r="6105" customFormat="false" ht="12.8" hidden="false" customHeight="false" outlineLevel="0" collapsed="false">
      <c r="A6105" s="0" t="s">
        <v>12</v>
      </c>
      <c r="B6105" s="0" t="n">
        <v>1914469</v>
      </c>
      <c r="C6105" s="0" t="n">
        <v>1914489</v>
      </c>
      <c r="D6105" s="0" t="s">
        <v>20343</v>
      </c>
      <c r="E6105" s="0" t="s">
        <v>75</v>
      </c>
      <c r="F6105" s="0" t="s">
        <v>15</v>
      </c>
      <c r="G6105" s="0" t="s">
        <v>32</v>
      </c>
      <c r="H6105" s="0" t="n">
        <v>8</v>
      </c>
      <c r="I6105" s="0" t="s">
        <v>20344</v>
      </c>
      <c r="J6105" s="0" t="s">
        <v>20345</v>
      </c>
      <c r="K6105" s="0" t="s">
        <v>20346</v>
      </c>
      <c r="L6105" s="0" t="str">
        <f aca="false">HYPERLINK("https://www.ncbi.nlm.nih.gov/nuccore/CP000058.1?report=graph&amp;tracks=[key:gene_model_track,Options:GeneOnly]&amp;mk=1914470:1914489|offset_8|00cc00,1914502:1914521|offset_40|444444,1914527:1914546|offset_65|444444,1914552:1914571|offset_90|444444&amp;v=1914269:1914771&amp;c=444444", "offset 8")</f>
        <v>offset 8</v>
      </c>
    </row>
    <row r="6106" customFormat="false" ht="12.8" hidden="false" customHeight="false" outlineLevel="0" collapsed="false">
      <c r="A6106" s="0" t="s">
        <v>12</v>
      </c>
      <c r="B6106" s="0" t="n">
        <v>1914501</v>
      </c>
      <c r="C6106" s="0" t="n">
        <v>1914521</v>
      </c>
      <c r="D6106" s="0" t="s">
        <v>20343</v>
      </c>
      <c r="E6106" s="0" t="s">
        <v>75</v>
      </c>
      <c r="F6106" s="0" t="s">
        <v>15</v>
      </c>
      <c r="G6106" s="0" t="s">
        <v>16</v>
      </c>
      <c r="H6106" s="0" t="n">
        <v>40</v>
      </c>
      <c r="I6106" s="0" t="s">
        <v>20347</v>
      </c>
      <c r="J6106" s="0" t="s">
        <v>20348</v>
      </c>
      <c r="K6106" s="0" t="s">
        <v>20349</v>
      </c>
      <c r="L6106" s="0" t="str">
        <f aca="false">HYPERLINK("https://www.ncbi.nlm.nih.gov/nuccore/CP000058.1?report=graph&amp;tracks=[key:gene_model_track,Options:GeneOnly]&amp;mk=1914470:1914489|offset_8|444444,1914502:1914521|offset_40|00cc00,1914527:1914546|offset_65|444444,1914552:1914571|offset_90|444444&amp;v=1914269:1914771&amp;c=444444", "offset 40")</f>
        <v>offset 40</v>
      </c>
    </row>
    <row r="6107" customFormat="false" ht="12.8" hidden="false" customHeight="false" outlineLevel="0" collapsed="false">
      <c r="A6107" s="0" t="s">
        <v>12</v>
      </c>
      <c r="B6107" s="0" t="n">
        <v>1914526</v>
      </c>
      <c r="C6107" s="0" t="n">
        <v>1914546</v>
      </c>
      <c r="D6107" s="0" t="s">
        <v>20343</v>
      </c>
      <c r="E6107" s="0" t="s">
        <v>75</v>
      </c>
      <c r="F6107" s="0" t="s">
        <v>15</v>
      </c>
      <c r="G6107" s="0" t="s">
        <v>32</v>
      </c>
      <c r="H6107" s="0" t="n">
        <v>65</v>
      </c>
      <c r="I6107" s="0" t="s">
        <v>20350</v>
      </c>
      <c r="J6107" s="0" t="s">
        <v>20351</v>
      </c>
      <c r="K6107" s="0" t="s">
        <v>20352</v>
      </c>
      <c r="L6107" s="0" t="str">
        <f aca="false">HYPERLINK("https://www.ncbi.nlm.nih.gov/nuccore/CP000058.1?report=graph&amp;tracks=[key:gene_model_track,Options:GeneOnly]&amp;mk=1914470:1914489|offset_8|444444,1914502:1914521|offset_40|444444,1914527:1914546|offset_65|00cc00,1914552:1914571|offset_90|444444&amp;v=1914269:1914771&amp;c=444444", "offset 65")</f>
        <v>offset 65</v>
      </c>
    </row>
    <row r="6108" customFormat="false" ht="12.8" hidden="false" customHeight="false" outlineLevel="0" collapsed="false">
      <c r="A6108" s="0" t="s">
        <v>12</v>
      </c>
      <c r="B6108" s="0" t="n">
        <v>1914551</v>
      </c>
      <c r="C6108" s="0" t="n">
        <v>1914571</v>
      </c>
      <c r="D6108" s="0" t="s">
        <v>20343</v>
      </c>
      <c r="E6108" s="0" t="s">
        <v>75</v>
      </c>
      <c r="F6108" s="0" t="s">
        <v>15</v>
      </c>
      <c r="G6108" s="0" t="s">
        <v>16</v>
      </c>
      <c r="H6108" s="0" t="n">
        <v>90</v>
      </c>
      <c r="I6108" s="0" t="s">
        <v>20353</v>
      </c>
      <c r="J6108" s="0" t="s">
        <v>20354</v>
      </c>
      <c r="K6108" s="0" t="s">
        <v>20355</v>
      </c>
      <c r="L6108" s="0" t="str">
        <f aca="false">HYPERLINK("https://www.ncbi.nlm.nih.gov/nuccore/CP000058.1?report=graph&amp;tracks=[key:gene_model_track,Options:GeneOnly]&amp;mk=1914470:1914489|offset_8|444444,1914502:1914521|offset_40|444444,1914527:1914546|offset_65|444444,1914552:1914571|offset_90|00cc00&amp;v=1914269:1914771&amp;c=444444", "offset 90")</f>
        <v>offset 90</v>
      </c>
    </row>
    <row r="6109" customFormat="false" ht="12.8" hidden="false" customHeight="false" outlineLevel="0" collapsed="false">
      <c r="A6109" s="0" t="s">
        <v>12</v>
      </c>
      <c r="B6109" s="0" t="n">
        <v>1915687</v>
      </c>
      <c r="C6109" s="0" t="n">
        <v>1915707</v>
      </c>
      <c r="D6109" s="0" t="s">
        <v>20356</v>
      </c>
      <c r="E6109" s="0" t="s">
        <v>75</v>
      </c>
      <c r="F6109" s="0" t="s">
        <v>15</v>
      </c>
      <c r="G6109" s="0" t="s">
        <v>36</v>
      </c>
      <c r="H6109" s="0" t="n">
        <v>106</v>
      </c>
      <c r="I6109" s="0" t="s">
        <v>20357</v>
      </c>
      <c r="J6109" s="0" t="s">
        <v>20358</v>
      </c>
      <c r="K6109" s="0" t="s">
        <v>20359</v>
      </c>
      <c r="L6109" s="0" t="str">
        <f aca="false">HYPERLINK("https://www.ncbi.nlm.nih.gov/nuccore/CP000058.1?report=graph&amp;tracks=[key:gene_model_track,Options:GeneOnly]&amp;mk=1915688:1915707|offset_106|00cc00,1915759:1915778|offset_177|444444,1915802:1915821|offset_220|444444,1915835:1915854|offset_253|444444&amp;v=1915487:1916054&amp;c=444444", "offset 106")</f>
        <v>offset 106</v>
      </c>
    </row>
    <row r="6110" customFormat="false" ht="12.8" hidden="false" customHeight="false" outlineLevel="0" collapsed="false">
      <c r="A6110" s="0" t="s">
        <v>12</v>
      </c>
      <c r="B6110" s="0" t="n">
        <v>1915758</v>
      </c>
      <c r="C6110" s="0" t="n">
        <v>1915778</v>
      </c>
      <c r="D6110" s="0" t="s">
        <v>20356</v>
      </c>
      <c r="E6110" s="0" t="s">
        <v>75</v>
      </c>
      <c r="F6110" s="0" t="s">
        <v>15</v>
      </c>
      <c r="G6110" s="0" t="s">
        <v>16</v>
      </c>
      <c r="H6110" s="0" t="n">
        <v>177</v>
      </c>
      <c r="I6110" s="0" t="s">
        <v>20360</v>
      </c>
      <c r="J6110" s="0" t="s">
        <v>20361</v>
      </c>
      <c r="K6110" s="0" t="s">
        <v>20362</v>
      </c>
      <c r="L6110" s="0" t="str">
        <f aca="false">HYPERLINK("https://www.ncbi.nlm.nih.gov/nuccore/CP000058.1?report=graph&amp;tracks=[key:gene_model_track,Options:GeneOnly]&amp;mk=1915688:1915707|offset_106|444444,1915759:1915778|offset_177|00cc00,1915802:1915821|offset_220|444444,1915835:1915854|offset_253|444444&amp;v=1915487:1916054&amp;c=444444", "offset 177")</f>
        <v>offset 177</v>
      </c>
    </row>
    <row r="6111" customFormat="false" ht="12.8" hidden="false" customHeight="false" outlineLevel="0" collapsed="false">
      <c r="A6111" s="0" t="s">
        <v>12</v>
      </c>
      <c r="B6111" s="0" t="n">
        <v>1915801</v>
      </c>
      <c r="C6111" s="0" t="n">
        <v>1915821</v>
      </c>
      <c r="D6111" s="0" t="s">
        <v>20356</v>
      </c>
      <c r="E6111" s="0" t="s">
        <v>75</v>
      </c>
      <c r="F6111" s="0" t="s">
        <v>15</v>
      </c>
      <c r="G6111" s="0" t="s">
        <v>36</v>
      </c>
      <c r="H6111" s="0" t="n">
        <v>220</v>
      </c>
      <c r="I6111" s="0" t="s">
        <v>20363</v>
      </c>
      <c r="J6111" s="0" t="s">
        <v>20364</v>
      </c>
      <c r="K6111" s="0" t="s">
        <v>20365</v>
      </c>
      <c r="L6111" s="0" t="str">
        <f aca="false">HYPERLINK("https://www.ncbi.nlm.nih.gov/nuccore/CP000058.1?report=graph&amp;tracks=[key:gene_model_track,Options:GeneOnly]&amp;mk=1915688:1915707|offset_106|444444,1915759:1915778|offset_177|444444,1915802:1915821|offset_220|00cc00,1915835:1915854|offset_253|444444&amp;v=1915487:1916054&amp;c=444444", "offset 220")</f>
        <v>offset 220</v>
      </c>
    </row>
    <row r="6112" customFormat="false" ht="12.8" hidden="false" customHeight="false" outlineLevel="0" collapsed="false">
      <c r="A6112" s="0" t="s">
        <v>12</v>
      </c>
      <c r="B6112" s="0" t="n">
        <v>1915834</v>
      </c>
      <c r="C6112" s="0" t="n">
        <v>1915854</v>
      </c>
      <c r="D6112" s="0" t="s">
        <v>20356</v>
      </c>
      <c r="E6112" s="0" t="s">
        <v>75</v>
      </c>
      <c r="F6112" s="0" t="s">
        <v>15</v>
      </c>
      <c r="G6112" s="0" t="s">
        <v>36</v>
      </c>
      <c r="H6112" s="0" t="n">
        <v>253</v>
      </c>
      <c r="I6112" s="0" t="s">
        <v>20366</v>
      </c>
      <c r="J6112" s="0" t="s">
        <v>20367</v>
      </c>
      <c r="K6112" s="0" t="s">
        <v>20368</v>
      </c>
      <c r="L6112" s="0" t="str">
        <f aca="false">HYPERLINK("https://www.ncbi.nlm.nih.gov/nuccore/CP000058.1?report=graph&amp;tracks=[key:gene_model_track,Options:GeneOnly]&amp;mk=1915688:1915707|offset_106|444444,1915759:1915778|offset_177|444444,1915802:1915821|offset_220|444444,1915835:1915854|offset_253|00cc00&amp;v=1915487:1916054&amp;c=444444", "offset 253")</f>
        <v>offset 253</v>
      </c>
    </row>
    <row r="6113" customFormat="false" ht="12.8" hidden="false" customHeight="false" outlineLevel="0" collapsed="false">
      <c r="A6113" s="0" t="s">
        <v>12</v>
      </c>
      <c r="B6113" s="0" t="n">
        <v>1918584</v>
      </c>
      <c r="C6113" s="0" t="n">
        <v>1918604</v>
      </c>
      <c r="D6113" s="0" t="s">
        <v>20369</v>
      </c>
      <c r="E6113" s="0" t="s">
        <v>20370</v>
      </c>
      <c r="F6113" s="0" t="s">
        <v>15</v>
      </c>
      <c r="G6113" s="0" t="s">
        <v>16</v>
      </c>
      <c r="H6113" s="0" t="n">
        <v>10</v>
      </c>
      <c r="I6113" s="0" t="s">
        <v>20371</v>
      </c>
      <c r="J6113" s="0" t="s">
        <v>20372</v>
      </c>
      <c r="K6113" s="0" t="s">
        <v>20373</v>
      </c>
      <c r="L6113" s="0" t="str">
        <f aca="false">HYPERLINK("https://www.ncbi.nlm.nih.gov/nuccore/CP000058.1?report=graph&amp;tracks=[key:gene_model_track,Options:GeneOnly]&amp;mk=1918585:1918604|offset_10|00cc00,1918660:1918679|offset_85|444444,1918719:1918738|offset_144|444444,1918742:1918761|offset_167|444444&amp;v=1918384:1918961&amp;c=444444", "offset 10")</f>
        <v>offset 10</v>
      </c>
    </row>
    <row r="6114" customFormat="false" ht="12.8" hidden="false" customHeight="false" outlineLevel="0" collapsed="false">
      <c r="A6114" s="0" t="s">
        <v>12</v>
      </c>
      <c r="B6114" s="0" t="n">
        <v>1918659</v>
      </c>
      <c r="C6114" s="0" t="n">
        <v>1918679</v>
      </c>
      <c r="D6114" s="0" t="s">
        <v>20369</v>
      </c>
      <c r="E6114" s="0" t="s">
        <v>20370</v>
      </c>
      <c r="F6114" s="0" t="s">
        <v>15</v>
      </c>
      <c r="G6114" s="0" t="s">
        <v>16</v>
      </c>
      <c r="H6114" s="0" t="n">
        <v>85</v>
      </c>
      <c r="I6114" s="0" t="s">
        <v>20374</v>
      </c>
      <c r="J6114" s="0" t="s">
        <v>20375</v>
      </c>
      <c r="K6114" s="0" t="s">
        <v>20376</v>
      </c>
      <c r="L6114" s="0" t="str">
        <f aca="false">HYPERLINK("https://www.ncbi.nlm.nih.gov/nuccore/CP000058.1?report=graph&amp;tracks=[key:gene_model_track,Options:GeneOnly]&amp;mk=1918585:1918604|offset_10|444444,1918660:1918679|offset_85|00cc00,1918719:1918738|offset_144|444444,1918742:1918761|offset_167|444444&amp;v=1918384:1918961&amp;c=444444", "offset 85")</f>
        <v>offset 85</v>
      </c>
    </row>
    <row r="6115" customFormat="false" ht="12.8" hidden="false" customHeight="false" outlineLevel="0" collapsed="false">
      <c r="A6115" s="0" t="s">
        <v>12</v>
      </c>
      <c r="B6115" s="0" t="n">
        <v>1918718</v>
      </c>
      <c r="C6115" s="0" t="n">
        <v>1918738</v>
      </c>
      <c r="D6115" s="0" t="s">
        <v>20369</v>
      </c>
      <c r="E6115" s="0" t="s">
        <v>20370</v>
      </c>
      <c r="F6115" s="0" t="s">
        <v>15</v>
      </c>
      <c r="G6115" s="0" t="s">
        <v>16</v>
      </c>
      <c r="H6115" s="0" t="n">
        <v>144</v>
      </c>
      <c r="I6115" s="0" t="s">
        <v>20377</v>
      </c>
      <c r="J6115" s="0" t="s">
        <v>20378</v>
      </c>
      <c r="K6115" s="0" t="s">
        <v>20379</v>
      </c>
      <c r="L6115" s="0" t="str">
        <f aca="false">HYPERLINK("https://www.ncbi.nlm.nih.gov/nuccore/CP000058.1?report=graph&amp;tracks=[key:gene_model_track,Options:GeneOnly]&amp;mk=1918585:1918604|offset_10|444444,1918660:1918679|offset_85|444444,1918719:1918738|offset_144|00cc00,1918742:1918761|offset_167|444444&amp;v=1918384:1918961&amp;c=444444", "offset 144")</f>
        <v>offset 144</v>
      </c>
    </row>
    <row r="6116" customFormat="false" ht="12.8" hidden="false" customHeight="false" outlineLevel="0" collapsed="false">
      <c r="A6116" s="0" t="s">
        <v>12</v>
      </c>
      <c r="B6116" s="0" t="n">
        <v>1918741</v>
      </c>
      <c r="C6116" s="0" t="n">
        <v>1918761</v>
      </c>
      <c r="D6116" s="0" t="s">
        <v>20369</v>
      </c>
      <c r="E6116" s="0" t="s">
        <v>20370</v>
      </c>
      <c r="F6116" s="0" t="s">
        <v>15</v>
      </c>
      <c r="G6116" s="0" t="s">
        <v>16</v>
      </c>
      <c r="H6116" s="0" t="n">
        <v>167</v>
      </c>
      <c r="I6116" s="0" t="s">
        <v>20380</v>
      </c>
      <c r="J6116" s="0" t="s">
        <v>20381</v>
      </c>
      <c r="K6116" s="0" t="s">
        <v>20382</v>
      </c>
      <c r="L6116" s="0" t="str">
        <f aca="false">HYPERLINK("https://www.ncbi.nlm.nih.gov/nuccore/CP000058.1?report=graph&amp;tracks=[key:gene_model_track,Options:GeneOnly]&amp;mk=1918585:1918604|offset_10|444444,1918660:1918679|offset_85|444444,1918719:1918738|offset_144|444444,1918742:1918761|offset_167|00cc00&amp;v=1918384:1918961&amp;c=444444", "offset 167")</f>
        <v>offset 167</v>
      </c>
    </row>
    <row r="6117" customFormat="false" ht="12.8" hidden="false" customHeight="false" outlineLevel="0" collapsed="false">
      <c r="A6117" s="0" t="s">
        <v>12</v>
      </c>
      <c r="B6117" s="0" t="n">
        <v>1919470</v>
      </c>
      <c r="C6117" s="0" t="n">
        <v>1919490</v>
      </c>
      <c r="D6117" s="0" t="s">
        <v>20383</v>
      </c>
      <c r="E6117" s="0" t="s">
        <v>20384</v>
      </c>
      <c r="F6117" s="0" t="s">
        <v>15</v>
      </c>
      <c r="G6117" s="0" t="s">
        <v>16</v>
      </c>
      <c r="H6117" s="0" t="n">
        <v>10</v>
      </c>
      <c r="I6117" s="0" t="s">
        <v>20385</v>
      </c>
      <c r="J6117" s="0" t="s">
        <v>20386</v>
      </c>
      <c r="K6117" s="0" t="s">
        <v>20387</v>
      </c>
      <c r="L6117" s="0" t="str">
        <f aca="false">HYPERLINK("https://www.ncbi.nlm.nih.gov/nuccore/CP000058.1?report=graph&amp;tracks=[key:gene_model_track,Options:GeneOnly]&amp;mk=1919471:1919490|offset_10|00cc00,1919498:1919517|offset_37|444444,1919525:1919544|offset_64|444444,1919550:1919569|offset_89|444444&amp;v=1919270:1919769&amp;c=444444", "offset 10")</f>
        <v>offset 10</v>
      </c>
    </row>
    <row r="6118" customFormat="false" ht="12.8" hidden="false" customHeight="false" outlineLevel="0" collapsed="false">
      <c r="A6118" s="0" t="s">
        <v>12</v>
      </c>
      <c r="B6118" s="0" t="n">
        <v>1919497</v>
      </c>
      <c r="C6118" s="0" t="n">
        <v>1919517</v>
      </c>
      <c r="D6118" s="0" t="s">
        <v>20383</v>
      </c>
      <c r="E6118" s="0" t="s">
        <v>20384</v>
      </c>
      <c r="F6118" s="0" t="s">
        <v>15</v>
      </c>
      <c r="G6118" s="0" t="s">
        <v>36</v>
      </c>
      <c r="H6118" s="0" t="n">
        <v>37</v>
      </c>
      <c r="I6118" s="0" t="s">
        <v>20388</v>
      </c>
      <c r="J6118" s="0" t="s">
        <v>20389</v>
      </c>
      <c r="K6118" s="0" t="s">
        <v>20390</v>
      </c>
      <c r="L6118" s="0" t="str">
        <f aca="false">HYPERLINK("https://www.ncbi.nlm.nih.gov/nuccore/CP000058.1?report=graph&amp;tracks=[key:gene_model_track,Options:GeneOnly]&amp;mk=1919471:1919490|offset_10|444444,1919498:1919517|offset_37|00cc00,1919525:1919544|offset_64|444444,1919550:1919569|offset_89|444444&amp;v=1919270:1919769&amp;c=444444", "offset 37")</f>
        <v>offset 37</v>
      </c>
    </row>
    <row r="6119" customFormat="false" ht="12.8" hidden="false" customHeight="false" outlineLevel="0" collapsed="false">
      <c r="A6119" s="0" t="s">
        <v>12</v>
      </c>
      <c r="B6119" s="0" t="n">
        <v>1919524</v>
      </c>
      <c r="C6119" s="0" t="n">
        <v>1919544</v>
      </c>
      <c r="D6119" s="0" t="s">
        <v>20383</v>
      </c>
      <c r="E6119" s="0" t="s">
        <v>20384</v>
      </c>
      <c r="F6119" s="0" t="s">
        <v>15</v>
      </c>
      <c r="G6119" s="0" t="s">
        <v>16</v>
      </c>
      <c r="H6119" s="0" t="n">
        <v>64</v>
      </c>
      <c r="I6119" s="0" t="s">
        <v>20391</v>
      </c>
      <c r="J6119" s="0" t="s">
        <v>20392</v>
      </c>
      <c r="K6119" s="0" t="s">
        <v>20393</v>
      </c>
      <c r="L6119" s="0" t="str">
        <f aca="false">HYPERLINK("https://www.ncbi.nlm.nih.gov/nuccore/CP000058.1?report=graph&amp;tracks=[key:gene_model_track,Options:GeneOnly]&amp;mk=1919471:1919490|offset_10|444444,1919498:1919517|offset_37|444444,1919525:1919544|offset_64|00cc00,1919550:1919569|offset_89|444444&amp;v=1919270:1919769&amp;c=444444", "offset 64")</f>
        <v>offset 64</v>
      </c>
    </row>
    <row r="6120" customFormat="false" ht="12.8" hidden="false" customHeight="false" outlineLevel="0" collapsed="false">
      <c r="A6120" s="0" t="s">
        <v>12</v>
      </c>
      <c r="B6120" s="0" t="n">
        <v>1919549</v>
      </c>
      <c r="C6120" s="0" t="n">
        <v>1919569</v>
      </c>
      <c r="D6120" s="0" t="s">
        <v>20383</v>
      </c>
      <c r="E6120" s="0" t="s">
        <v>20384</v>
      </c>
      <c r="F6120" s="0" t="s">
        <v>15</v>
      </c>
      <c r="G6120" s="0" t="s">
        <v>20</v>
      </c>
      <c r="H6120" s="0" t="n">
        <v>89</v>
      </c>
      <c r="I6120" s="0" t="s">
        <v>20394</v>
      </c>
      <c r="J6120" s="0" t="s">
        <v>20395</v>
      </c>
      <c r="K6120" s="0" t="s">
        <v>20396</v>
      </c>
      <c r="L6120" s="0" t="str">
        <f aca="false">HYPERLINK("https://www.ncbi.nlm.nih.gov/nuccore/CP000058.1?report=graph&amp;tracks=[key:gene_model_track,Options:GeneOnly]&amp;mk=1919471:1919490|offset_10|444444,1919498:1919517|offset_37|444444,1919525:1919544|offset_64|444444,1919550:1919569|offset_89|00cc00&amp;v=1919270:1919769&amp;c=444444", "offset 89")</f>
        <v>offset 89</v>
      </c>
    </row>
    <row r="6121" customFormat="false" ht="12.8" hidden="false" customHeight="false" outlineLevel="0" collapsed="false">
      <c r="A6121" s="0" t="s">
        <v>12</v>
      </c>
      <c r="B6121" s="0" t="n">
        <v>1920362</v>
      </c>
      <c r="C6121" s="0" t="n">
        <v>1920382</v>
      </c>
      <c r="D6121" s="0" t="s">
        <v>20397</v>
      </c>
      <c r="E6121" s="0" t="s">
        <v>20398</v>
      </c>
      <c r="F6121" s="0" t="s">
        <v>15</v>
      </c>
      <c r="G6121" s="0" t="s">
        <v>36</v>
      </c>
      <c r="H6121" s="0" t="n">
        <v>32</v>
      </c>
      <c r="I6121" s="0" t="s">
        <v>20399</v>
      </c>
      <c r="J6121" s="0" t="s">
        <v>20400</v>
      </c>
      <c r="K6121" s="0" t="s">
        <v>20401</v>
      </c>
      <c r="L6121" s="0" t="str">
        <f aca="false">HYPERLINK("https://www.ncbi.nlm.nih.gov/nuccore/CP000058.1?report=graph&amp;tracks=[key:gene_model_track,Options:GeneOnly]&amp;mk=1920363:1920382|offset_32|00cc00,1920403:1920422|offset_72|444444,1920426:1920445|offset_95|444444,1920454:1920473|offset_123|444444&amp;v=1920162:1920673&amp;c=444444", "offset 32")</f>
        <v>offset 32</v>
      </c>
    </row>
    <row r="6122" customFormat="false" ht="12.8" hidden="false" customHeight="false" outlineLevel="0" collapsed="false">
      <c r="A6122" s="0" t="s">
        <v>12</v>
      </c>
      <c r="B6122" s="0" t="n">
        <v>1920402</v>
      </c>
      <c r="C6122" s="0" t="n">
        <v>1920422</v>
      </c>
      <c r="D6122" s="0" t="s">
        <v>20397</v>
      </c>
      <c r="E6122" s="0" t="s">
        <v>20398</v>
      </c>
      <c r="F6122" s="0" t="s">
        <v>15</v>
      </c>
      <c r="G6122" s="0" t="s">
        <v>36</v>
      </c>
      <c r="H6122" s="0" t="n">
        <v>72</v>
      </c>
      <c r="I6122" s="0" t="s">
        <v>20402</v>
      </c>
      <c r="J6122" s="0" t="s">
        <v>20403</v>
      </c>
      <c r="K6122" s="0" t="s">
        <v>20404</v>
      </c>
      <c r="L6122" s="0" t="str">
        <f aca="false">HYPERLINK("https://www.ncbi.nlm.nih.gov/nuccore/CP000058.1?report=graph&amp;tracks=[key:gene_model_track,Options:GeneOnly]&amp;mk=1920363:1920382|offset_32|444444,1920403:1920422|offset_72|00cc00,1920426:1920445|offset_95|444444,1920454:1920473|offset_123|444444&amp;v=1920162:1920673&amp;c=444444", "offset 72")</f>
        <v>offset 72</v>
      </c>
    </row>
    <row r="6123" customFormat="false" ht="12.8" hidden="false" customHeight="false" outlineLevel="0" collapsed="false">
      <c r="A6123" s="0" t="s">
        <v>12</v>
      </c>
      <c r="B6123" s="0" t="n">
        <v>1920425</v>
      </c>
      <c r="C6123" s="0" t="n">
        <v>1920445</v>
      </c>
      <c r="D6123" s="0" t="s">
        <v>20397</v>
      </c>
      <c r="E6123" s="0" t="s">
        <v>20398</v>
      </c>
      <c r="F6123" s="0" t="s">
        <v>15</v>
      </c>
      <c r="G6123" s="0" t="s">
        <v>36</v>
      </c>
      <c r="H6123" s="0" t="n">
        <v>95</v>
      </c>
      <c r="I6123" s="0" t="s">
        <v>20405</v>
      </c>
      <c r="J6123" s="0" t="s">
        <v>20406</v>
      </c>
      <c r="K6123" s="0" t="s">
        <v>20407</v>
      </c>
      <c r="L6123" s="0" t="str">
        <f aca="false">HYPERLINK("https://www.ncbi.nlm.nih.gov/nuccore/CP000058.1?report=graph&amp;tracks=[key:gene_model_track,Options:GeneOnly]&amp;mk=1920363:1920382|offset_32|444444,1920403:1920422|offset_72|444444,1920426:1920445|offset_95|00cc00,1920454:1920473|offset_123|444444&amp;v=1920162:1920673&amp;c=444444", "offset 95")</f>
        <v>offset 95</v>
      </c>
    </row>
    <row r="6124" customFormat="false" ht="12.8" hidden="false" customHeight="false" outlineLevel="0" collapsed="false">
      <c r="A6124" s="0" t="s">
        <v>12</v>
      </c>
      <c r="B6124" s="0" t="n">
        <v>1920453</v>
      </c>
      <c r="C6124" s="0" t="n">
        <v>1920473</v>
      </c>
      <c r="D6124" s="0" t="s">
        <v>20397</v>
      </c>
      <c r="E6124" s="0" t="s">
        <v>20398</v>
      </c>
      <c r="F6124" s="0" t="s">
        <v>15</v>
      </c>
      <c r="G6124" s="0" t="s">
        <v>16</v>
      </c>
      <c r="H6124" s="0" t="n">
        <v>123</v>
      </c>
      <c r="I6124" s="0" t="s">
        <v>20408</v>
      </c>
      <c r="J6124" s="0" t="s">
        <v>20409</v>
      </c>
      <c r="K6124" s="0" t="s">
        <v>20410</v>
      </c>
      <c r="L6124" s="0" t="str">
        <f aca="false">HYPERLINK("https://www.ncbi.nlm.nih.gov/nuccore/CP000058.1?report=graph&amp;tracks=[key:gene_model_track,Options:GeneOnly]&amp;mk=1920363:1920382|offset_32|444444,1920403:1920422|offset_72|444444,1920426:1920445|offset_95|444444,1920454:1920473|offset_123|00cc00&amp;v=1920162:1920673&amp;c=444444", "offset 123")</f>
        <v>offset 123</v>
      </c>
    </row>
    <row r="6125" customFormat="false" ht="12.8" hidden="false" customHeight="false" outlineLevel="0" collapsed="false">
      <c r="A6125" s="0" t="s">
        <v>12</v>
      </c>
      <c r="B6125" s="0" t="n">
        <v>1921254</v>
      </c>
      <c r="C6125" s="0" t="n">
        <v>1921274</v>
      </c>
      <c r="D6125" s="0" t="s">
        <v>20411</v>
      </c>
      <c r="E6125" s="0" t="s">
        <v>20412</v>
      </c>
      <c r="F6125" s="0" t="s">
        <v>15</v>
      </c>
      <c r="G6125" s="0" t="s">
        <v>20</v>
      </c>
      <c r="H6125" s="0" t="n">
        <v>7</v>
      </c>
      <c r="I6125" s="0" t="s">
        <v>20413</v>
      </c>
      <c r="J6125" s="0" t="s">
        <v>20414</v>
      </c>
      <c r="K6125" s="0" t="s">
        <v>20415</v>
      </c>
      <c r="L6125" s="0" t="str">
        <f aca="false">HYPERLINK("https://www.ncbi.nlm.nih.gov/nuccore/CP000058.1?report=graph&amp;tracks=[key:gene_model_track,Options:GeneOnly]&amp;mk=1921255:1921274|offset_7|00cc00,1921286:1921305|offset_38|444444,1921306:1921325|offset_58|444444,1921374:1921393|offset_126|444444&amp;v=1921054:1921593&amp;c=444444", "offset 7")</f>
        <v>offset 7</v>
      </c>
    </row>
    <row r="6126" customFormat="false" ht="12.8" hidden="false" customHeight="false" outlineLevel="0" collapsed="false">
      <c r="A6126" s="0" t="s">
        <v>12</v>
      </c>
      <c r="B6126" s="0" t="n">
        <v>1921285</v>
      </c>
      <c r="C6126" s="0" t="n">
        <v>1921305</v>
      </c>
      <c r="D6126" s="0" t="s">
        <v>20411</v>
      </c>
      <c r="E6126" s="0" t="s">
        <v>20412</v>
      </c>
      <c r="F6126" s="0" t="s">
        <v>15</v>
      </c>
      <c r="G6126" s="0" t="s">
        <v>20</v>
      </c>
      <c r="H6126" s="0" t="n">
        <v>38</v>
      </c>
      <c r="I6126" s="0" t="s">
        <v>20416</v>
      </c>
      <c r="J6126" s="0" t="s">
        <v>20417</v>
      </c>
      <c r="K6126" s="0" t="s">
        <v>20418</v>
      </c>
      <c r="L6126" s="0" t="str">
        <f aca="false">HYPERLINK("https://www.ncbi.nlm.nih.gov/nuccore/CP000058.1?report=graph&amp;tracks=[key:gene_model_track,Options:GeneOnly]&amp;mk=1921255:1921274|offset_7|444444,1921286:1921305|offset_38|00cc00,1921306:1921325|offset_58|444444,1921374:1921393|offset_126|444444&amp;v=1921054:1921593&amp;c=444444", "offset 38")</f>
        <v>offset 38</v>
      </c>
    </row>
    <row r="6127" customFormat="false" ht="12.8" hidden="false" customHeight="false" outlineLevel="0" collapsed="false">
      <c r="A6127" s="0" t="s">
        <v>12</v>
      </c>
      <c r="B6127" s="0" t="n">
        <v>1921305</v>
      </c>
      <c r="C6127" s="0" t="n">
        <v>1921325</v>
      </c>
      <c r="D6127" s="0" t="s">
        <v>20411</v>
      </c>
      <c r="E6127" s="0" t="s">
        <v>20412</v>
      </c>
      <c r="F6127" s="0" t="s">
        <v>15</v>
      </c>
      <c r="G6127" s="0" t="s">
        <v>16</v>
      </c>
      <c r="H6127" s="0" t="n">
        <v>58</v>
      </c>
      <c r="I6127" s="0" t="s">
        <v>20419</v>
      </c>
      <c r="J6127" s="0" t="s">
        <v>20420</v>
      </c>
      <c r="K6127" s="0" t="s">
        <v>20421</v>
      </c>
      <c r="L6127" s="0" t="str">
        <f aca="false">HYPERLINK("https://www.ncbi.nlm.nih.gov/nuccore/CP000058.1?report=graph&amp;tracks=[key:gene_model_track,Options:GeneOnly]&amp;mk=1921255:1921274|offset_7|444444,1921286:1921305|offset_38|444444,1921306:1921325|offset_58|00cc00,1921374:1921393|offset_126|444444&amp;v=1921054:1921593&amp;c=444444", "offset 58")</f>
        <v>offset 58</v>
      </c>
    </row>
    <row r="6128" customFormat="false" ht="12.8" hidden="false" customHeight="false" outlineLevel="0" collapsed="false">
      <c r="A6128" s="0" t="s">
        <v>12</v>
      </c>
      <c r="B6128" s="0" t="n">
        <v>1921373</v>
      </c>
      <c r="C6128" s="0" t="n">
        <v>1921393</v>
      </c>
      <c r="D6128" s="0" t="s">
        <v>20411</v>
      </c>
      <c r="E6128" s="0" t="s">
        <v>20412</v>
      </c>
      <c r="F6128" s="0" t="s">
        <v>15</v>
      </c>
      <c r="G6128" s="0" t="s">
        <v>36</v>
      </c>
      <c r="H6128" s="0" t="n">
        <v>126</v>
      </c>
      <c r="I6128" s="0" t="s">
        <v>20422</v>
      </c>
      <c r="J6128" s="0" t="s">
        <v>20423</v>
      </c>
      <c r="K6128" s="0" t="s">
        <v>20424</v>
      </c>
      <c r="L6128" s="0" t="str">
        <f aca="false">HYPERLINK("https://www.ncbi.nlm.nih.gov/nuccore/CP000058.1?report=graph&amp;tracks=[key:gene_model_track,Options:GeneOnly]&amp;mk=1921255:1921274|offset_7|444444,1921286:1921305|offset_38|444444,1921306:1921325|offset_58|444444,1921374:1921393|offset_126|00cc00&amp;v=1921054:1921593&amp;c=444444", "offset 126")</f>
        <v>offset 126</v>
      </c>
    </row>
    <row r="6129" customFormat="false" ht="12.8" hidden="false" customHeight="false" outlineLevel="0" collapsed="false">
      <c r="A6129" s="0" t="s">
        <v>12</v>
      </c>
      <c r="B6129" s="0" t="n">
        <v>1922616</v>
      </c>
      <c r="C6129" s="0" t="n">
        <v>1922636</v>
      </c>
      <c r="D6129" s="0" t="s">
        <v>20425</v>
      </c>
      <c r="E6129" s="0" t="s">
        <v>75</v>
      </c>
      <c r="F6129" s="0" t="s">
        <v>15</v>
      </c>
      <c r="G6129" s="0" t="s">
        <v>36</v>
      </c>
      <c r="H6129" s="0" t="n">
        <v>81</v>
      </c>
      <c r="I6129" s="0" t="s">
        <v>20426</v>
      </c>
      <c r="J6129" s="0" t="s">
        <v>20427</v>
      </c>
      <c r="K6129" s="0" t="s">
        <v>20428</v>
      </c>
      <c r="L6129" s="0" t="str">
        <f aca="false">HYPERLINK("https://www.ncbi.nlm.nih.gov/nuccore/CP000058.1?report=graph&amp;tracks=[key:gene_model_track,Options:GeneOnly]&amp;mk=1922617:1922636|offset_81|00cc00,1922668:1922687|offset_132|444444,1922703:1922722|offset_167|444444,1922725:1922744|offset_189|444444&amp;v=1922416:1922944&amp;c=444444", "offset 81")</f>
        <v>offset 81</v>
      </c>
    </row>
    <row r="6130" customFormat="false" ht="12.8" hidden="false" customHeight="false" outlineLevel="0" collapsed="false">
      <c r="A6130" s="0" t="s">
        <v>12</v>
      </c>
      <c r="B6130" s="0" t="n">
        <v>1922667</v>
      </c>
      <c r="C6130" s="0" t="n">
        <v>1922687</v>
      </c>
      <c r="D6130" s="0" t="s">
        <v>20425</v>
      </c>
      <c r="E6130" s="0" t="s">
        <v>75</v>
      </c>
      <c r="F6130" s="0" t="s">
        <v>15</v>
      </c>
      <c r="G6130" s="0" t="s">
        <v>16</v>
      </c>
      <c r="H6130" s="0" t="n">
        <v>132</v>
      </c>
      <c r="I6130" s="0" t="s">
        <v>20429</v>
      </c>
      <c r="J6130" s="0" t="s">
        <v>20430</v>
      </c>
      <c r="K6130" s="0" t="s">
        <v>20431</v>
      </c>
      <c r="L6130" s="0" t="str">
        <f aca="false">HYPERLINK("https://www.ncbi.nlm.nih.gov/nuccore/CP000058.1?report=graph&amp;tracks=[key:gene_model_track,Options:GeneOnly]&amp;mk=1922617:1922636|offset_81|444444,1922668:1922687|offset_132|00cc00,1922703:1922722|offset_167|444444,1922725:1922744|offset_189|444444&amp;v=1922416:1922944&amp;c=444444", "offset 132")</f>
        <v>offset 132</v>
      </c>
    </row>
    <row r="6131" customFormat="false" ht="12.8" hidden="false" customHeight="false" outlineLevel="0" collapsed="false">
      <c r="A6131" s="0" t="s">
        <v>12</v>
      </c>
      <c r="B6131" s="0" t="n">
        <v>1922702</v>
      </c>
      <c r="C6131" s="0" t="n">
        <v>1922722</v>
      </c>
      <c r="D6131" s="0" t="s">
        <v>20425</v>
      </c>
      <c r="E6131" s="0" t="s">
        <v>75</v>
      </c>
      <c r="F6131" s="0" t="s">
        <v>15</v>
      </c>
      <c r="G6131" s="0" t="s">
        <v>16</v>
      </c>
      <c r="H6131" s="0" t="n">
        <v>167</v>
      </c>
      <c r="I6131" s="0" t="s">
        <v>20432</v>
      </c>
      <c r="J6131" s="0" t="s">
        <v>20433</v>
      </c>
      <c r="K6131" s="0" t="s">
        <v>20434</v>
      </c>
      <c r="L6131" s="0" t="str">
        <f aca="false">HYPERLINK("https://www.ncbi.nlm.nih.gov/nuccore/CP000058.1?report=graph&amp;tracks=[key:gene_model_track,Options:GeneOnly]&amp;mk=1922617:1922636|offset_81|444444,1922668:1922687|offset_132|444444,1922703:1922722|offset_167|00cc00,1922725:1922744|offset_189|444444&amp;v=1922416:1922944&amp;c=444444", "offset 167")</f>
        <v>offset 167</v>
      </c>
    </row>
    <row r="6132" customFormat="false" ht="12.8" hidden="false" customHeight="false" outlineLevel="0" collapsed="false">
      <c r="A6132" s="0" t="s">
        <v>12</v>
      </c>
      <c r="B6132" s="0" t="n">
        <v>1922724</v>
      </c>
      <c r="C6132" s="0" t="n">
        <v>1922744</v>
      </c>
      <c r="D6132" s="0" t="s">
        <v>20425</v>
      </c>
      <c r="E6132" s="0" t="s">
        <v>75</v>
      </c>
      <c r="F6132" s="0" t="s">
        <v>15</v>
      </c>
      <c r="G6132" s="0" t="s">
        <v>32</v>
      </c>
      <c r="H6132" s="0" t="n">
        <v>189</v>
      </c>
      <c r="I6132" s="0" t="s">
        <v>20435</v>
      </c>
      <c r="J6132" s="0" t="s">
        <v>20436</v>
      </c>
      <c r="K6132" s="0" t="s">
        <v>20437</v>
      </c>
      <c r="L6132" s="0" t="str">
        <f aca="false">HYPERLINK("https://www.ncbi.nlm.nih.gov/nuccore/CP000058.1?report=graph&amp;tracks=[key:gene_model_track,Options:GeneOnly]&amp;mk=1922617:1922636|offset_81|444444,1922668:1922687|offset_132|444444,1922703:1922722|offset_167|444444,1922725:1922744|offset_189|00cc00&amp;v=1922416:1922944&amp;c=444444", "offset 189")</f>
        <v>offset 189</v>
      </c>
    </row>
    <row r="6133" customFormat="false" ht="12.8" hidden="false" customHeight="false" outlineLevel="0" collapsed="false">
      <c r="A6133" s="0" t="s">
        <v>12</v>
      </c>
      <c r="B6133" s="0" t="n">
        <v>1923319</v>
      </c>
      <c r="C6133" s="0" t="n">
        <v>1923339</v>
      </c>
      <c r="D6133" s="0" t="s">
        <v>20438</v>
      </c>
      <c r="E6133" s="0" t="s">
        <v>20439</v>
      </c>
      <c r="F6133" s="0" t="s">
        <v>15</v>
      </c>
      <c r="G6133" s="0" t="s">
        <v>32</v>
      </c>
      <c r="H6133" s="0" t="n">
        <v>6</v>
      </c>
      <c r="I6133" s="0" t="s">
        <v>20440</v>
      </c>
      <c r="J6133" s="0" t="s">
        <v>20441</v>
      </c>
      <c r="K6133" s="0" t="s">
        <v>20442</v>
      </c>
      <c r="L6133" s="0" t="str">
        <f aca="false">HYPERLINK("https://www.ncbi.nlm.nih.gov/nuccore/CP000058.1?report=graph&amp;tracks=[key:gene_model_track,Options:GeneOnly]&amp;mk=1923320:1923339|offset_6|00cc00,1923360:1923379|offset_46|444444,1923444:1923463|offset_130|444444,1923497:1923516|offset_183|444444&amp;v=1923119:1923716&amp;c=444444", "offset 6")</f>
        <v>offset 6</v>
      </c>
    </row>
    <row r="6134" customFormat="false" ht="12.8" hidden="false" customHeight="false" outlineLevel="0" collapsed="false">
      <c r="A6134" s="0" t="s">
        <v>12</v>
      </c>
      <c r="B6134" s="0" t="n">
        <v>1923359</v>
      </c>
      <c r="C6134" s="0" t="n">
        <v>1923379</v>
      </c>
      <c r="D6134" s="0" t="s">
        <v>20438</v>
      </c>
      <c r="E6134" s="0" t="s">
        <v>20439</v>
      </c>
      <c r="F6134" s="0" t="s">
        <v>15</v>
      </c>
      <c r="G6134" s="0" t="s">
        <v>32</v>
      </c>
      <c r="H6134" s="0" t="n">
        <v>46</v>
      </c>
      <c r="I6134" s="0" t="s">
        <v>20443</v>
      </c>
      <c r="J6134" s="0" t="s">
        <v>20444</v>
      </c>
      <c r="K6134" s="0" t="s">
        <v>20445</v>
      </c>
      <c r="L6134" s="0" t="str">
        <f aca="false">HYPERLINK("https://www.ncbi.nlm.nih.gov/nuccore/CP000058.1?report=graph&amp;tracks=[key:gene_model_track,Options:GeneOnly]&amp;mk=1923320:1923339|offset_6|444444,1923360:1923379|offset_46|00cc00,1923444:1923463|offset_130|444444,1923497:1923516|offset_183|444444&amp;v=1923119:1923716&amp;c=444444", "offset 46")</f>
        <v>offset 46</v>
      </c>
    </row>
    <row r="6135" customFormat="false" ht="12.8" hidden="false" customHeight="false" outlineLevel="0" collapsed="false">
      <c r="A6135" s="0" t="s">
        <v>12</v>
      </c>
      <c r="B6135" s="0" t="n">
        <v>1923443</v>
      </c>
      <c r="C6135" s="0" t="n">
        <v>1923463</v>
      </c>
      <c r="D6135" s="0" t="s">
        <v>20438</v>
      </c>
      <c r="E6135" s="0" t="s">
        <v>20439</v>
      </c>
      <c r="F6135" s="0" t="s">
        <v>15</v>
      </c>
      <c r="G6135" s="0" t="s">
        <v>20</v>
      </c>
      <c r="H6135" s="0" t="n">
        <v>130</v>
      </c>
      <c r="I6135" s="0" t="s">
        <v>20446</v>
      </c>
      <c r="J6135" s="0" t="s">
        <v>20447</v>
      </c>
      <c r="K6135" s="0" t="s">
        <v>20448</v>
      </c>
      <c r="L6135" s="0" t="str">
        <f aca="false">HYPERLINK("https://www.ncbi.nlm.nih.gov/nuccore/CP000058.1?report=graph&amp;tracks=[key:gene_model_track,Options:GeneOnly]&amp;mk=1923320:1923339|offset_6|444444,1923360:1923379|offset_46|444444,1923444:1923463|offset_130|00cc00,1923497:1923516|offset_183|444444&amp;v=1923119:1923716&amp;c=444444", "offset 130")</f>
        <v>offset 130</v>
      </c>
    </row>
    <row r="6136" customFormat="false" ht="12.8" hidden="false" customHeight="false" outlineLevel="0" collapsed="false">
      <c r="A6136" s="0" t="s">
        <v>12</v>
      </c>
      <c r="B6136" s="0" t="n">
        <v>1923496</v>
      </c>
      <c r="C6136" s="0" t="n">
        <v>1923516</v>
      </c>
      <c r="D6136" s="0" t="s">
        <v>20438</v>
      </c>
      <c r="E6136" s="0" t="s">
        <v>20439</v>
      </c>
      <c r="F6136" s="0" t="s">
        <v>15</v>
      </c>
      <c r="G6136" s="0" t="s">
        <v>20</v>
      </c>
      <c r="H6136" s="0" t="n">
        <v>183</v>
      </c>
      <c r="I6136" s="0" t="s">
        <v>20449</v>
      </c>
      <c r="J6136" s="0" t="s">
        <v>20450</v>
      </c>
      <c r="K6136" s="0" t="s">
        <v>20451</v>
      </c>
      <c r="L6136" s="0" t="str">
        <f aca="false">HYPERLINK("https://www.ncbi.nlm.nih.gov/nuccore/CP000058.1?report=graph&amp;tracks=[key:gene_model_track,Options:GeneOnly]&amp;mk=1923320:1923339|offset_6|444444,1923360:1923379|offset_46|444444,1923444:1923463|offset_130|444444,1923497:1923516|offset_183|00cc00&amp;v=1923119:1923716&amp;c=444444", "offset 183")</f>
        <v>offset 183</v>
      </c>
    </row>
    <row r="6137" customFormat="false" ht="12.8" hidden="false" customHeight="false" outlineLevel="0" collapsed="false">
      <c r="A6137" s="0" t="s">
        <v>12</v>
      </c>
      <c r="B6137" s="0" t="n">
        <v>1923980</v>
      </c>
      <c r="C6137" s="0" t="n">
        <v>1924000</v>
      </c>
      <c r="D6137" s="0" t="s">
        <v>20452</v>
      </c>
      <c r="E6137" s="0" t="s">
        <v>20453</v>
      </c>
      <c r="F6137" s="0" t="s">
        <v>15</v>
      </c>
      <c r="G6137" s="0" t="s">
        <v>16</v>
      </c>
      <c r="H6137" s="0" t="n">
        <v>67</v>
      </c>
      <c r="I6137" s="0" t="s">
        <v>20454</v>
      </c>
      <c r="J6137" s="0" t="s">
        <v>20455</v>
      </c>
      <c r="K6137" s="0" t="s">
        <v>20456</v>
      </c>
      <c r="L6137" s="0" t="str">
        <f aca="false">HYPERLINK("https://www.ncbi.nlm.nih.gov/nuccore/CP000058.1?report=graph&amp;tracks=[key:gene_model_track,Options:GeneOnly]&amp;mk=1923981:1924000|offset_67|00cc00,1924011:1924030|offset_97|444444,1924036:1924055|offset_122|444444,1924090:1924109|offset_176|444444&amp;v=1923780:1924309&amp;c=444444", "offset 67")</f>
        <v>offset 67</v>
      </c>
    </row>
    <row r="6138" customFormat="false" ht="12.8" hidden="false" customHeight="false" outlineLevel="0" collapsed="false">
      <c r="A6138" s="0" t="s">
        <v>12</v>
      </c>
      <c r="B6138" s="0" t="n">
        <v>1924010</v>
      </c>
      <c r="C6138" s="0" t="n">
        <v>1924030</v>
      </c>
      <c r="D6138" s="0" t="s">
        <v>20452</v>
      </c>
      <c r="E6138" s="0" t="s">
        <v>20453</v>
      </c>
      <c r="F6138" s="0" t="s">
        <v>15</v>
      </c>
      <c r="G6138" s="0" t="s">
        <v>16</v>
      </c>
      <c r="H6138" s="0" t="n">
        <v>97</v>
      </c>
      <c r="I6138" s="0" t="s">
        <v>20457</v>
      </c>
      <c r="J6138" s="0" t="s">
        <v>20458</v>
      </c>
      <c r="K6138" s="0" t="s">
        <v>20459</v>
      </c>
      <c r="L6138" s="0" t="str">
        <f aca="false">HYPERLINK("https://www.ncbi.nlm.nih.gov/nuccore/CP000058.1?report=graph&amp;tracks=[key:gene_model_track,Options:GeneOnly]&amp;mk=1923981:1924000|offset_67|444444,1924011:1924030|offset_97|00cc00,1924036:1924055|offset_122|444444,1924090:1924109|offset_176|444444&amp;v=1923780:1924309&amp;c=444444", "offset 97")</f>
        <v>offset 97</v>
      </c>
    </row>
    <row r="6139" customFormat="false" ht="12.8" hidden="false" customHeight="false" outlineLevel="0" collapsed="false">
      <c r="A6139" s="0" t="s">
        <v>12</v>
      </c>
      <c r="B6139" s="0" t="n">
        <v>1924035</v>
      </c>
      <c r="C6139" s="0" t="n">
        <v>1924055</v>
      </c>
      <c r="D6139" s="0" t="s">
        <v>20452</v>
      </c>
      <c r="E6139" s="0" t="s">
        <v>20453</v>
      </c>
      <c r="F6139" s="0" t="s">
        <v>15</v>
      </c>
      <c r="G6139" s="0" t="s">
        <v>16</v>
      </c>
      <c r="H6139" s="0" t="n">
        <v>122</v>
      </c>
      <c r="I6139" s="0" t="s">
        <v>20460</v>
      </c>
      <c r="J6139" s="0" t="s">
        <v>20461</v>
      </c>
      <c r="K6139" s="0" t="s">
        <v>20462</v>
      </c>
      <c r="L6139" s="0" t="str">
        <f aca="false">HYPERLINK("https://www.ncbi.nlm.nih.gov/nuccore/CP000058.1?report=graph&amp;tracks=[key:gene_model_track,Options:GeneOnly]&amp;mk=1923981:1924000|offset_67|444444,1924011:1924030|offset_97|444444,1924036:1924055|offset_122|00cc00,1924090:1924109|offset_176|444444&amp;v=1923780:1924309&amp;c=444444", "offset 122")</f>
        <v>offset 122</v>
      </c>
    </row>
    <row r="6140" customFormat="false" ht="12.8" hidden="false" customHeight="false" outlineLevel="0" collapsed="false">
      <c r="A6140" s="0" t="s">
        <v>12</v>
      </c>
      <c r="B6140" s="0" t="n">
        <v>1924089</v>
      </c>
      <c r="C6140" s="0" t="n">
        <v>1924109</v>
      </c>
      <c r="D6140" s="0" t="s">
        <v>20452</v>
      </c>
      <c r="E6140" s="0" t="s">
        <v>20453</v>
      </c>
      <c r="F6140" s="0" t="s">
        <v>15</v>
      </c>
      <c r="G6140" s="0" t="s">
        <v>32</v>
      </c>
      <c r="H6140" s="0" t="n">
        <v>176</v>
      </c>
      <c r="I6140" s="0" t="s">
        <v>20463</v>
      </c>
      <c r="J6140" s="0" t="s">
        <v>20464</v>
      </c>
      <c r="K6140" s="0" t="s">
        <v>20465</v>
      </c>
      <c r="L6140" s="0" t="str">
        <f aca="false">HYPERLINK("https://www.ncbi.nlm.nih.gov/nuccore/CP000058.1?report=graph&amp;tracks=[key:gene_model_track,Options:GeneOnly]&amp;mk=1923981:1924000|offset_67|444444,1924011:1924030|offset_97|444444,1924036:1924055|offset_122|444444,1924090:1924109|offset_176|00cc00&amp;v=1923780:1924309&amp;c=444444", "offset 176")</f>
        <v>offset 176</v>
      </c>
    </row>
    <row r="6141" customFormat="false" ht="12.8" hidden="false" customHeight="false" outlineLevel="0" collapsed="false">
      <c r="A6141" s="0" t="s">
        <v>12</v>
      </c>
      <c r="B6141" s="0" t="n">
        <v>1925484</v>
      </c>
      <c r="C6141" s="0" t="n">
        <v>1925504</v>
      </c>
      <c r="D6141" s="0" t="s">
        <v>20466</v>
      </c>
      <c r="E6141" s="0" t="s">
        <v>20467</v>
      </c>
      <c r="F6141" s="0" t="s">
        <v>15</v>
      </c>
      <c r="G6141" s="0" t="s">
        <v>20</v>
      </c>
      <c r="H6141" s="0" t="n">
        <v>41</v>
      </c>
      <c r="I6141" s="0" t="s">
        <v>20468</v>
      </c>
      <c r="J6141" s="0" t="s">
        <v>20469</v>
      </c>
      <c r="K6141" s="0" t="s">
        <v>20470</v>
      </c>
      <c r="L6141" s="0" t="str">
        <f aca="false">HYPERLINK("https://www.ncbi.nlm.nih.gov/nuccore/CP000058.1?report=graph&amp;tracks=[key:gene_model_track,Options:GeneOnly]&amp;mk=1925485:1925504|offset_41|00cc00,1925508:1925527|offset_64|444444,1925533:1925552|offset_89|444444,1925561:1925580|offset_117|444444&amp;v=1925284:1925780&amp;c=444444", "offset 41")</f>
        <v>offset 41</v>
      </c>
    </row>
    <row r="6142" customFormat="false" ht="12.8" hidden="false" customHeight="false" outlineLevel="0" collapsed="false">
      <c r="A6142" s="0" t="s">
        <v>12</v>
      </c>
      <c r="B6142" s="0" t="n">
        <v>1925507</v>
      </c>
      <c r="C6142" s="0" t="n">
        <v>1925527</v>
      </c>
      <c r="D6142" s="0" t="s">
        <v>20466</v>
      </c>
      <c r="E6142" s="0" t="s">
        <v>20467</v>
      </c>
      <c r="F6142" s="0" t="s">
        <v>15</v>
      </c>
      <c r="G6142" s="0" t="s">
        <v>36</v>
      </c>
      <c r="H6142" s="0" t="n">
        <v>64</v>
      </c>
      <c r="I6142" s="0" t="s">
        <v>20471</v>
      </c>
      <c r="J6142" s="0" t="s">
        <v>20472</v>
      </c>
      <c r="K6142" s="0" t="s">
        <v>20473</v>
      </c>
      <c r="L6142" s="0" t="str">
        <f aca="false">HYPERLINK("https://www.ncbi.nlm.nih.gov/nuccore/CP000058.1?report=graph&amp;tracks=[key:gene_model_track,Options:GeneOnly]&amp;mk=1925485:1925504|offset_41|444444,1925508:1925527|offset_64|00cc00,1925533:1925552|offset_89|444444,1925561:1925580|offset_117|444444&amp;v=1925284:1925780&amp;c=444444", "offset 64")</f>
        <v>offset 64</v>
      </c>
    </row>
    <row r="6143" customFormat="false" ht="12.8" hidden="false" customHeight="false" outlineLevel="0" collapsed="false">
      <c r="A6143" s="0" t="s">
        <v>12</v>
      </c>
      <c r="B6143" s="0" t="n">
        <v>1925532</v>
      </c>
      <c r="C6143" s="0" t="n">
        <v>1925552</v>
      </c>
      <c r="D6143" s="0" t="s">
        <v>20466</v>
      </c>
      <c r="E6143" s="0" t="s">
        <v>20467</v>
      </c>
      <c r="F6143" s="0" t="s">
        <v>15</v>
      </c>
      <c r="G6143" s="0" t="s">
        <v>16</v>
      </c>
      <c r="H6143" s="0" t="n">
        <v>89</v>
      </c>
      <c r="I6143" s="0" t="s">
        <v>20474</v>
      </c>
      <c r="J6143" s="0" t="s">
        <v>20475</v>
      </c>
      <c r="K6143" s="0" t="s">
        <v>20476</v>
      </c>
      <c r="L6143" s="0" t="str">
        <f aca="false">HYPERLINK("https://www.ncbi.nlm.nih.gov/nuccore/CP000058.1?report=graph&amp;tracks=[key:gene_model_track,Options:GeneOnly]&amp;mk=1925485:1925504|offset_41|444444,1925508:1925527|offset_64|444444,1925533:1925552|offset_89|00cc00,1925561:1925580|offset_117|444444&amp;v=1925284:1925780&amp;c=444444", "offset 89")</f>
        <v>offset 89</v>
      </c>
    </row>
    <row r="6144" customFormat="false" ht="12.8" hidden="false" customHeight="false" outlineLevel="0" collapsed="false">
      <c r="A6144" s="0" t="s">
        <v>12</v>
      </c>
      <c r="B6144" s="0" t="n">
        <v>1925560</v>
      </c>
      <c r="C6144" s="0" t="n">
        <v>1925580</v>
      </c>
      <c r="D6144" s="0" t="s">
        <v>20466</v>
      </c>
      <c r="E6144" s="0" t="s">
        <v>20467</v>
      </c>
      <c r="F6144" s="0" t="s">
        <v>15</v>
      </c>
      <c r="G6144" s="0" t="s">
        <v>36</v>
      </c>
      <c r="H6144" s="0" t="n">
        <v>117</v>
      </c>
      <c r="I6144" s="0" t="s">
        <v>20477</v>
      </c>
      <c r="J6144" s="0" t="s">
        <v>20478</v>
      </c>
      <c r="K6144" s="0" t="s">
        <v>20479</v>
      </c>
      <c r="L6144" s="0" t="str">
        <f aca="false">HYPERLINK("https://www.ncbi.nlm.nih.gov/nuccore/CP000058.1?report=graph&amp;tracks=[key:gene_model_track,Options:GeneOnly]&amp;mk=1925485:1925504|offset_41|444444,1925508:1925527|offset_64|444444,1925533:1925552|offset_89|444444,1925561:1925580|offset_117|00cc00&amp;v=1925284:1925780&amp;c=444444", "offset 117")</f>
        <v>offset 117</v>
      </c>
    </row>
    <row r="6145" customFormat="false" ht="12.8" hidden="false" customHeight="false" outlineLevel="0" collapsed="false">
      <c r="A6145" s="0" t="s">
        <v>12</v>
      </c>
      <c r="B6145" s="0" t="n">
        <v>1926718</v>
      </c>
      <c r="C6145" s="0" t="n">
        <v>1926738</v>
      </c>
      <c r="D6145" s="0" t="s">
        <v>20480</v>
      </c>
      <c r="E6145" s="0" t="s">
        <v>75</v>
      </c>
      <c r="F6145" s="0" t="s">
        <v>15</v>
      </c>
      <c r="G6145" s="0" t="s">
        <v>32</v>
      </c>
      <c r="H6145" s="0" t="n">
        <v>13</v>
      </c>
      <c r="I6145" s="0" t="s">
        <v>20481</v>
      </c>
      <c r="J6145" s="0" t="s">
        <v>20482</v>
      </c>
      <c r="K6145" s="0" t="s">
        <v>20483</v>
      </c>
      <c r="L6145" s="0" t="str">
        <f aca="false">HYPERLINK("https://www.ncbi.nlm.nih.gov/nuccore/CP000058.1?report=graph&amp;tracks=[key:gene_model_track,Options:GeneOnly]&amp;mk=1926719:1926738|offset_13|00cc00,1926743:1926762|offset_37|444444,1926800:1926819|offset_94|444444,1926824:1926843|offset_118|444444&amp;v=1926518:1927043&amp;c=444444", "offset 13")</f>
        <v>offset 13</v>
      </c>
    </row>
    <row r="6146" customFormat="false" ht="12.8" hidden="false" customHeight="false" outlineLevel="0" collapsed="false">
      <c r="A6146" s="0" t="s">
        <v>12</v>
      </c>
      <c r="B6146" s="0" t="n">
        <v>1926742</v>
      </c>
      <c r="C6146" s="0" t="n">
        <v>1926762</v>
      </c>
      <c r="D6146" s="0" t="s">
        <v>20480</v>
      </c>
      <c r="E6146" s="0" t="s">
        <v>75</v>
      </c>
      <c r="F6146" s="0" t="s">
        <v>15</v>
      </c>
      <c r="G6146" s="0" t="s">
        <v>36</v>
      </c>
      <c r="H6146" s="0" t="n">
        <v>37</v>
      </c>
      <c r="I6146" s="0" t="s">
        <v>20484</v>
      </c>
      <c r="J6146" s="0" t="s">
        <v>20485</v>
      </c>
      <c r="K6146" s="0" t="s">
        <v>20486</v>
      </c>
      <c r="L6146" s="0" t="str">
        <f aca="false">HYPERLINK("https://www.ncbi.nlm.nih.gov/nuccore/CP000058.1?report=graph&amp;tracks=[key:gene_model_track,Options:GeneOnly]&amp;mk=1926719:1926738|offset_13|444444,1926743:1926762|offset_37|00cc00,1926800:1926819|offset_94|444444,1926824:1926843|offset_118|444444&amp;v=1926518:1927043&amp;c=444444", "offset 37")</f>
        <v>offset 37</v>
      </c>
    </row>
    <row r="6147" customFormat="false" ht="12.8" hidden="false" customHeight="false" outlineLevel="0" collapsed="false">
      <c r="A6147" s="0" t="s">
        <v>12</v>
      </c>
      <c r="B6147" s="0" t="n">
        <v>1926799</v>
      </c>
      <c r="C6147" s="0" t="n">
        <v>1926819</v>
      </c>
      <c r="D6147" s="0" t="s">
        <v>20480</v>
      </c>
      <c r="E6147" s="0" t="s">
        <v>75</v>
      </c>
      <c r="F6147" s="0" t="s">
        <v>15</v>
      </c>
      <c r="G6147" s="0" t="s">
        <v>16</v>
      </c>
      <c r="H6147" s="0" t="n">
        <v>94</v>
      </c>
      <c r="I6147" s="0" t="s">
        <v>20487</v>
      </c>
      <c r="J6147" s="0" t="s">
        <v>20488</v>
      </c>
      <c r="K6147" s="0" t="s">
        <v>20489</v>
      </c>
      <c r="L6147" s="0" t="str">
        <f aca="false">HYPERLINK("https://www.ncbi.nlm.nih.gov/nuccore/CP000058.1?report=graph&amp;tracks=[key:gene_model_track,Options:GeneOnly]&amp;mk=1926719:1926738|offset_13|444444,1926743:1926762|offset_37|444444,1926800:1926819|offset_94|00cc00,1926824:1926843|offset_118|444444&amp;v=1926518:1927043&amp;c=444444", "offset 94")</f>
        <v>offset 94</v>
      </c>
    </row>
    <row r="6148" customFormat="false" ht="12.8" hidden="false" customHeight="false" outlineLevel="0" collapsed="false">
      <c r="A6148" s="0" t="s">
        <v>12</v>
      </c>
      <c r="B6148" s="0" t="n">
        <v>1926823</v>
      </c>
      <c r="C6148" s="0" t="n">
        <v>1926843</v>
      </c>
      <c r="D6148" s="0" t="s">
        <v>20480</v>
      </c>
      <c r="E6148" s="0" t="s">
        <v>75</v>
      </c>
      <c r="F6148" s="0" t="s">
        <v>15</v>
      </c>
      <c r="G6148" s="0" t="s">
        <v>16</v>
      </c>
      <c r="H6148" s="0" t="n">
        <v>118</v>
      </c>
      <c r="I6148" s="0" t="s">
        <v>20490</v>
      </c>
      <c r="J6148" s="0" t="s">
        <v>20491</v>
      </c>
      <c r="K6148" s="0" t="s">
        <v>20492</v>
      </c>
      <c r="L6148" s="0" t="str">
        <f aca="false">HYPERLINK("https://www.ncbi.nlm.nih.gov/nuccore/CP000058.1?report=graph&amp;tracks=[key:gene_model_track,Options:GeneOnly]&amp;mk=1926719:1926738|offset_13|444444,1926743:1926762|offset_37|444444,1926800:1926819|offset_94|444444,1926824:1926843|offset_118|00cc00&amp;v=1926518:1927043&amp;c=444444", "offset 118")</f>
        <v>offset 118</v>
      </c>
    </row>
    <row r="6149" customFormat="false" ht="12.8" hidden="false" customHeight="false" outlineLevel="0" collapsed="false">
      <c r="A6149" s="0" t="s">
        <v>12</v>
      </c>
      <c r="B6149" s="0" t="n">
        <v>1928291</v>
      </c>
      <c r="C6149" s="0" t="n">
        <v>1928311</v>
      </c>
      <c r="D6149" s="0" t="s">
        <v>20493</v>
      </c>
      <c r="E6149" s="0" t="s">
        <v>75</v>
      </c>
      <c r="F6149" s="0" t="s">
        <v>15</v>
      </c>
      <c r="G6149" s="0" t="s">
        <v>16</v>
      </c>
      <c r="H6149" s="0" t="n">
        <v>28</v>
      </c>
      <c r="I6149" s="0" t="s">
        <v>20494</v>
      </c>
      <c r="J6149" s="0" t="s">
        <v>20495</v>
      </c>
      <c r="K6149" s="0" t="s">
        <v>20496</v>
      </c>
      <c r="L6149" s="0" t="str">
        <f aca="false">HYPERLINK("https://www.ncbi.nlm.nih.gov/nuccore/CP000058.1?report=graph&amp;tracks=[key:gene_model_track,Options:GeneOnly]&amp;mk=1928292:1928311|offset_28|00cc00,1928339:1928358|offset_75|444444,1928359:1928378|offset_95|444444,1928379:1928398|offset_115|444444&amp;v=1928091:1928598&amp;c=444444", "offset 28")</f>
        <v>offset 28</v>
      </c>
    </row>
    <row r="6150" customFormat="false" ht="12.8" hidden="false" customHeight="false" outlineLevel="0" collapsed="false">
      <c r="A6150" s="0" t="s">
        <v>12</v>
      </c>
      <c r="B6150" s="0" t="n">
        <v>1928338</v>
      </c>
      <c r="C6150" s="0" t="n">
        <v>1928358</v>
      </c>
      <c r="D6150" s="0" t="s">
        <v>20493</v>
      </c>
      <c r="E6150" s="0" t="s">
        <v>75</v>
      </c>
      <c r="F6150" s="0" t="s">
        <v>15</v>
      </c>
      <c r="G6150" s="0" t="s">
        <v>16</v>
      </c>
      <c r="H6150" s="0" t="n">
        <v>75</v>
      </c>
      <c r="I6150" s="0" t="s">
        <v>20497</v>
      </c>
      <c r="J6150" s="0" t="s">
        <v>20498</v>
      </c>
      <c r="K6150" s="0" t="s">
        <v>20499</v>
      </c>
      <c r="L6150" s="0" t="str">
        <f aca="false">HYPERLINK("https://www.ncbi.nlm.nih.gov/nuccore/CP000058.1?report=graph&amp;tracks=[key:gene_model_track,Options:GeneOnly]&amp;mk=1928292:1928311|offset_28|444444,1928339:1928358|offset_75|00cc00,1928359:1928378|offset_95|444444,1928379:1928398|offset_115|444444&amp;v=1928091:1928598&amp;c=444444", "offset 75")</f>
        <v>offset 75</v>
      </c>
    </row>
    <row r="6151" customFormat="false" ht="12.8" hidden="false" customHeight="false" outlineLevel="0" collapsed="false">
      <c r="A6151" s="0" t="s">
        <v>12</v>
      </c>
      <c r="B6151" s="0" t="n">
        <v>1928358</v>
      </c>
      <c r="C6151" s="0" t="n">
        <v>1928378</v>
      </c>
      <c r="D6151" s="0" t="s">
        <v>20493</v>
      </c>
      <c r="E6151" s="0" t="s">
        <v>75</v>
      </c>
      <c r="F6151" s="0" t="s">
        <v>15</v>
      </c>
      <c r="G6151" s="0" t="s">
        <v>32</v>
      </c>
      <c r="H6151" s="0" t="n">
        <v>95</v>
      </c>
      <c r="I6151" s="0" t="s">
        <v>20500</v>
      </c>
      <c r="J6151" s="0" t="s">
        <v>20501</v>
      </c>
      <c r="K6151" s="0" t="s">
        <v>20502</v>
      </c>
      <c r="L6151" s="0" t="str">
        <f aca="false">HYPERLINK("https://www.ncbi.nlm.nih.gov/nuccore/CP000058.1?report=graph&amp;tracks=[key:gene_model_track,Options:GeneOnly]&amp;mk=1928292:1928311|offset_28|444444,1928339:1928358|offset_75|444444,1928359:1928378|offset_95|00cc00,1928379:1928398|offset_115|444444&amp;v=1928091:1928598&amp;c=444444", "offset 95")</f>
        <v>offset 95</v>
      </c>
    </row>
    <row r="6152" customFormat="false" ht="12.8" hidden="false" customHeight="false" outlineLevel="0" collapsed="false">
      <c r="A6152" s="0" t="s">
        <v>12</v>
      </c>
      <c r="B6152" s="0" t="n">
        <v>1928378</v>
      </c>
      <c r="C6152" s="0" t="n">
        <v>1928398</v>
      </c>
      <c r="D6152" s="0" t="s">
        <v>20493</v>
      </c>
      <c r="E6152" s="0" t="s">
        <v>75</v>
      </c>
      <c r="F6152" s="0" t="s">
        <v>15</v>
      </c>
      <c r="G6152" s="0" t="s">
        <v>16</v>
      </c>
      <c r="H6152" s="0" t="n">
        <v>115</v>
      </c>
      <c r="I6152" s="0" t="s">
        <v>20503</v>
      </c>
      <c r="J6152" s="0" t="s">
        <v>20504</v>
      </c>
      <c r="K6152" s="0" t="s">
        <v>20505</v>
      </c>
      <c r="L6152" s="0" t="str">
        <f aca="false">HYPERLINK("https://www.ncbi.nlm.nih.gov/nuccore/CP000058.1?report=graph&amp;tracks=[key:gene_model_track,Options:GeneOnly]&amp;mk=1928292:1928311|offset_28|444444,1928339:1928358|offset_75|444444,1928359:1928378|offset_95|444444,1928379:1928398|offset_115|00cc00&amp;v=1928091:1928598&amp;c=444444", "offset 115")</f>
        <v>offset 115</v>
      </c>
    </row>
    <row r="6153" customFormat="false" ht="12.8" hidden="false" customHeight="false" outlineLevel="0" collapsed="false">
      <c r="A6153" s="0" t="s">
        <v>12</v>
      </c>
      <c r="B6153" s="0" t="n">
        <v>1930748</v>
      </c>
      <c r="C6153" s="0" t="n">
        <v>1930768</v>
      </c>
      <c r="D6153" s="0" t="s">
        <v>20506</v>
      </c>
      <c r="E6153" s="0" t="s">
        <v>20507</v>
      </c>
      <c r="F6153" s="0" t="s">
        <v>90</v>
      </c>
      <c r="G6153" s="0" t="s">
        <v>32</v>
      </c>
      <c r="H6153" s="0" t="n">
        <v>8</v>
      </c>
      <c r="I6153" s="0" t="s">
        <v>20508</v>
      </c>
      <c r="J6153" s="0" t="s">
        <v>20509</v>
      </c>
      <c r="K6153" s="0" t="s">
        <v>20510</v>
      </c>
      <c r="L6153" s="0" t="str">
        <f aca="false">HYPERLINK("https://www.ncbi.nlm.nih.gov/nuccore/CP000058.1?report=graph&amp;tracks=[key:gene_model_track,Options:GeneOnly]&amp;mk=1930749:1930768|offset_8|00cc00,1930717:1930736|offset_40|444444,1930290:1930309|offset_467|444444,1930235:1930254|offset_522|444444&amp;v=1930548:1930454&amp;c=444444", "offset 8")</f>
        <v>offset 8</v>
      </c>
    </row>
    <row r="6154" customFormat="false" ht="12.8" hidden="false" customHeight="false" outlineLevel="0" collapsed="false">
      <c r="A6154" s="0" t="s">
        <v>12</v>
      </c>
      <c r="B6154" s="0" t="n">
        <v>1930716</v>
      </c>
      <c r="C6154" s="0" t="n">
        <v>1930736</v>
      </c>
      <c r="D6154" s="0" t="s">
        <v>20506</v>
      </c>
      <c r="E6154" s="0" t="s">
        <v>20507</v>
      </c>
      <c r="F6154" s="0" t="s">
        <v>90</v>
      </c>
      <c r="G6154" s="0" t="s">
        <v>36</v>
      </c>
      <c r="H6154" s="0" t="n">
        <v>40</v>
      </c>
      <c r="I6154" s="0" t="s">
        <v>20511</v>
      </c>
      <c r="J6154" s="0" t="s">
        <v>20512</v>
      </c>
      <c r="K6154" s="0" t="s">
        <v>20513</v>
      </c>
      <c r="L6154" s="0" t="str">
        <f aca="false">HYPERLINK("https://www.ncbi.nlm.nih.gov/nuccore/CP000058.1?report=graph&amp;tracks=[key:gene_model_track,Options:GeneOnly]&amp;mk=1930749:1930768|offset_8|444444,1930717:1930736|offset_40|00cc00,1930290:1930309|offset_467|444444,1930235:1930254|offset_522|444444&amp;v=1930548:1930454&amp;c=444444", "offset 40")</f>
        <v>offset 40</v>
      </c>
    </row>
    <row r="6155" customFormat="false" ht="12.8" hidden="false" customHeight="false" outlineLevel="0" collapsed="false">
      <c r="A6155" s="0" t="s">
        <v>12</v>
      </c>
      <c r="B6155" s="0" t="n">
        <v>1930289</v>
      </c>
      <c r="C6155" s="0" t="n">
        <v>1930309</v>
      </c>
      <c r="D6155" s="0" t="s">
        <v>20506</v>
      </c>
      <c r="E6155" s="0" t="s">
        <v>20507</v>
      </c>
      <c r="F6155" s="0" t="s">
        <v>90</v>
      </c>
      <c r="G6155" s="0" t="s">
        <v>36</v>
      </c>
      <c r="H6155" s="0" t="n">
        <v>467</v>
      </c>
      <c r="I6155" s="0" t="s">
        <v>20514</v>
      </c>
      <c r="J6155" s="0" t="s">
        <v>20515</v>
      </c>
      <c r="K6155" s="0" t="s">
        <v>20516</v>
      </c>
      <c r="L6155" s="0" t="str">
        <f aca="false">HYPERLINK("https://www.ncbi.nlm.nih.gov/nuccore/CP000058.1?report=graph&amp;tracks=[key:gene_model_track,Options:GeneOnly]&amp;mk=1930749:1930768|offset_8|444444,1930717:1930736|offset_40|444444,1930290:1930309|offset_467|00cc00,1930235:1930254|offset_522|444444&amp;v=1930548:1930454&amp;c=444444", "offset 467")</f>
        <v>offset 467</v>
      </c>
    </row>
    <row r="6156" customFormat="false" ht="12.8" hidden="false" customHeight="false" outlineLevel="0" collapsed="false">
      <c r="A6156" s="0" t="s">
        <v>12</v>
      </c>
      <c r="B6156" s="0" t="n">
        <v>1930234</v>
      </c>
      <c r="C6156" s="0" t="n">
        <v>1930254</v>
      </c>
      <c r="D6156" s="0" t="s">
        <v>20506</v>
      </c>
      <c r="E6156" s="0" t="s">
        <v>20507</v>
      </c>
      <c r="F6156" s="0" t="s">
        <v>90</v>
      </c>
      <c r="G6156" s="0" t="s">
        <v>16</v>
      </c>
      <c r="H6156" s="0" t="n">
        <v>522</v>
      </c>
      <c r="I6156" s="0" t="s">
        <v>20517</v>
      </c>
      <c r="J6156" s="0" t="s">
        <v>20518</v>
      </c>
      <c r="K6156" s="0" t="s">
        <v>20519</v>
      </c>
      <c r="L6156" s="0" t="str">
        <f aca="false">HYPERLINK("https://www.ncbi.nlm.nih.gov/nuccore/CP000058.1?report=graph&amp;tracks=[key:gene_model_track,Options:GeneOnly]&amp;mk=1930749:1930768|offset_8|444444,1930717:1930736|offset_40|444444,1930290:1930309|offset_467|444444,1930235:1930254|offset_522|00cc00&amp;v=1930548:1930454&amp;c=444444", "offset 522")</f>
        <v>offset 522</v>
      </c>
    </row>
    <row r="6157" customFormat="false" ht="12.8" hidden="false" customHeight="false" outlineLevel="0" collapsed="false">
      <c r="A6157" s="0" t="s">
        <v>12</v>
      </c>
      <c r="B6157" s="0" t="n">
        <v>1932338</v>
      </c>
      <c r="C6157" s="0" t="n">
        <v>1932358</v>
      </c>
      <c r="D6157" s="0" t="s">
        <v>20520</v>
      </c>
      <c r="E6157" s="0" t="s">
        <v>75</v>
      </c>
      <c r="F6157" s="0" t="s">
        <v>90</v>
      </c>
      <c r="G6157" s="0" t="s">
        <v>16</v>
      </c>
      <c r="H6157" s="0" t="n">
        <v>6</v>
      </c>
      <c r="I6157" s="0" t="s">
        <v>20521</v>
      </c>
      <c r="J6157" s="0" t="s">
        <v>20522</v>
      </c>
      <c r="K6157" s="0" t="s">
        <v>20523</v>
      </c>
      <c r="L6157" s="0" t="str">
        <f aca="false">HYPERLINK("https://www.ncbi.nlm.nih.gov/nuccore/CP000058.1?report=graph&amp;tracks=[key:gene_model_track,Options:GeneOnly]&amp;mk=1932339:1932358|offset_6|00cc00,1932313:1932332|offset_32|444444,1932284:1932303|offset_61|444444,1932255:1932274|offset_90|444444&amp;v=1932138:1932474&amp;c=444444", "offset 6")</f>
        <v>offset 6</v>
      </c>
    </row>
    <row r="6158" customFormat="false" ht="12.8" hidden="false" customHeight="false" outlineLevel="0" collapsed="false">
      <c r="A6158" s="0" t="s">
        <v>12</v>
      </c>
      <c r="B6158" s="0" t="n">
        <v>1932312</v>
      </c>
      <c r="C6158" s="0" t="n">
        <v>1932332</v>
      </c>
      <c r="D6158" s="0" t="s">
        <v>20520</v>
      </c>
      <c r="E6158" s="0" t="s">
        <v>75</v>
      </c>
      <c r="F6158" s="0" t="s">
        <v>90</v>
      </c>
      <c r="G6158" s="0" t="s">
        <v>20</v>
      </c>
      <c r="H6158" s="0" t="n">
        <v>32</v>
      </c>
      <c r="I6158" s="0" t="s">
        <v>20524</v>
      </c>
      <c r="J6158" s="0" t="s">
        <v>20525</v>
      </c>
      <c r="K6158" s="0" t="s">
        <v>20526</v>
      </c>
      <c r="L6158" s="0" t="str">
        <f aca="false">HYPERLINK("https://www.ncbi.nlm.nih.gov/nuccore/CP000058.1?report=graph&amp;tracks=[key:gene_model_track,Options:GeneOnly]&amp;mk=1932339:1932358|offset_6|444444,1932313:1932332|offset_32|00cc00,1932284:1932303|offset_61|444444,1932255:1932274|offset_90|444444&amp;v=1932138:1932474&amp;c=444444", "offset 32")</f>
        <v>offset 32</v>
      </c>
    </row>
    <row r="6159" customFormat="false" ht="12.8" hidden="false" customHeight="false" outlineLevel="0" collapsed="false">
      <c r="A6159" s="0" t="s">
        <v>12</v>
      </c>
      <c r="B6159" s="0" t="n">
        <v>1932283</v>
      </c>
      <c r="C6159" s="0" t="n">
        <v>1932303</v>
      </c>
      <c r="D6159" s="0" t="s">
        <v>20520</v>
      </c>
      <c r="E6159" s="0" t="s">
        <v>75</v>
      </c>
      <c r="F6159" s="0" t="s">
        <v>90</v>
      </c>
      <c r="G6159" s="0" t="s">
        <v>16</v>
      </c>
      <c r="H6159" s="0" t="n">
        <v>61</v>
      </c>
      <c r="I6159" s="0" t="s">
        <v>20527</v>
      </c>
      <c r="J6159" s="0" t="s">
        <v>20528</v>
      </c>
      <c r="K6159" s="0" t="s">
        <v>20529</v>
      </c>
      <c r="L6159" s="0" t="str">
        <f aca="false">HYPERLINK("https://www.ncbi.nlm.nih.gov/nuccore/CP000058.1?report=graph&amp;tracks=[key:gene_model_track,Options:GeneOnly]&amp;mk=1932339:1932358|offset_6|444444,1932313:1932332|offset_32|444444,1932284:1932303|offset_61|00cc00,1932255:1932274|offset_90|444444&amp;v=1932138:1932474&amp;c=444444", "offset 61")</f>
        <v>offset 61</v>
      </c>
    </row>
    <row r="6160" customFormat="false" ht="12.8" hidden="false" customHeight="false" outlineLevel="0" collapsed="false">
      <c r="A6160" s="0" t="s">
        <v>12</v>
      </c>
      <c r="B6160" s="0" t="n">
        <v>1932254</v>
      </c>
      <c r="C6160" s="0" t="n">
        <v>1932274</v>
      </c>
      <c r="D6160" s="0" t="s">
        <v>20520</v>
      </c>
      <c r="E6160" s="0" t="s">
        <v>75</v>
      </c>
      <c r="F6160" s="0" t="s">
        <v>90</v>
      </c>
      <c r="G6160" s="0" t="s">
        <v>20</v>
      </c>
      <c r="H6160" s="0" t="n">
        <v>90</v>
      </c>
      <c r="I6160" s="0" t="s">
        <v>20530</v>
      </c>
      <c r="J6160" s="0" t="s">
        <v>20531</v>
      </c>
      <c r="K6160" s="0" t="s">
        <v>20532</v>
      </c>
      <c r="L6160" s="0" t="str">
        <f aca="false">HYPERLINK("https://www.ncbi.nlm.nih.gov/nuccore/CP000058.1?report=graph&amp;tracks=[key:gene_model_track,Options:GeneOnly]&amp;mk=1932339:1932358|offset_6|444444,1932313:1932332|offset_32|444444,1932284:1932303|offset_61|444444,1932255:1932274|offset_90|00cc00&amp;v=1932138:1932474&amp;c=444444", "offset 90")</f>
        <v>offset 90</v>
      </c>
    </row>
    <row r="6161" customFormat="false" ht="12.8" hidden="false" customHeight="false" outlineLevel="0" collapsed="false">
      <c r="A6161" s="0" t="s">
        <v>12</v>
      </c>
      <c r="B6161" s="0" t="n">
        <v>1933461</v>
      </c>
      <c r="C6161" s="0" t="n">
        <v>1933481</v>
      </c>
      <c r="D6161" s="0" t="s">
        <v>20533</v>
      </c>
      <c r="E6161" s="0" t="s">
        <v>75</v>
      </c>
      <c r="F6161" s="0" t="s">
        <v>90</v>
      </c>
      <c r="G6161" s="0" t="s">
        <v>32</v>
      </c>
      <c r="H6161" s="0" t="n">
        <v>19</v>
      </c>
      <c r="I6161" s="0" t="s">
        <v>20534</v>
      </c>
      <c r="J6161" s="0" t="s">
        <v>20535</v>
      </c>
      <c r="K6161" s="0" t="s">
        <v>20536</v>
      </c>
      <c r="L6161" s="0" t="str">
        <f aca="false">HYPERLINK("https://www.ncbi.nlm.nih.gov/nuccore/CP000058.1?report=graph&amp;tracks=[key:gene_model_track,Options:GeneOnly]&amp;mk=1933462:1933481|offset_19|00cc00,1933435:1933454|offset_46|444444,1933408:1933427|offset_73|444444,1933383:1933402|offset_98|444444&amp;v=1933261:1933602&amp;c=444444", "offset 19")</f>
        <v>offset 19</v>
      </c>
    </row>
    <row r="6162" customFormat="false" ht="12.8" hidden="false" customHeight="false" outlineLevel="0" collapsed="false">
      <c r="A6162" s="0" t="s">
        <v>12</v>
      </c>
      <c r="B6162" s="0" t="n">
        <v>1933434</v>
      </c>
      <c r="C6162" s="0" t="n">
        <v>1933454</v>
      </c>
      <c r="D6162" s="0" t="s">
        <v>20533</v>
      </c>
      <c r="E6162" s="0" t="s">
        <v>75</v>
      </c>
      <c r="F6162" s="0" t="s">
        <v>90</v>
      </c>
      <c r="G6162" s="0" t="s">
        <v>32</v>
      </c>
      <c r="H6162" s="0" t="n">
        <v>46</v>
      </c>
      <c r="I6162" s="0" t="s">
        <v>20537</v>
      </c>
      <c r="J6162" s="0" t="s">
        <v>20538</v>
      </c>
      <c r="K6162" s="0" t="s">
        <v>20539</v>
      </c>
      <c r="L6162" s="0" t="str">
        <f aca="false">HYPERLINK("https://www.ncbi.nlm.nih.gov/nuccore/CP000058.1?report=graph&amp;tracks=[key:gene_model_track,Options:GeneOnly]&amp;mk=1933462:1933481|offset_19|444444,1933435:1933454|offset_46|00cc00,1933408:1933427|offset_73|444444,1933383:1933402|offset_98|444444&amp;v=1933261:1933602&amp;c=444444", "offset 46")</f>
        <v>offset 46</v>
      </c>
    </row>
    <row r="6163" customFormat="false" ht="12.8" hidden="false" customHeight="false" outlineLevel="0" collapsed="false">
      <c r="A6163" s="0" t="s">
        <v>12</v>
      </c>
      <c r="B6163" s="0" t="n">
        <v>1933407</v>
      </c>
      <c r="C6163" s="0" t="n">
        <v>1933427</v>
      </c>
      <c r="D6163" s="0" t="s">
        <v>20533</v>
      </c>
      <c r="E6163" s="0" t="s">
        <v>75</v>
      </c>
      <c r="F6163" s="0" t="s">
        <v>90</v>
      </c>
      <c r="G6163" s="0" t="s">
        <v>16</v>
      </c>
      <c r="H6163" s="0" t="n">
        <v>73</v>
      </c>
      <c r="I6163" s="0" t="s">
        <v>20540</v>
      </c>
      <c r="J6163" s="0" t="s">
        <v>20541</v>
      </c>
      <c r="K6163" s="0" t="s">
        <v>20542</v>
      </c>
      <c r="L6163" s="0" t="str">
        <f aca="false">HYPERLINK("https://www.ncbi.nlm.nih.gov/nuccore/CP000058.1?report=graph&amp;tracks=[key:gene_model_track,Options:GeneOnly]&amp;mk=1933462:1933481|offset_19|444444,1933435:1933454|offset_46|444444,1933408:1933427|offset_73|00cc00,1933383:1933402|offset_98|444444&amp;v=1933261:1933602&amp;c=444444", "offset 73")</f>
        <v>offset 73</v>
      </c>
    </row>
    <row r="6164" customFormat="false" ht="12.8" hidden="false" customHeight="false" outlineLevel="0" collapsed="false">
      <c r="A6164" s="0" t="s">
        <v>12</v>
      </c>
      <c r="B6164" s="0" t="n">
        <v>1933382</v>
      </c>
      <c r="C6164" s="0" t="n">
        <v>1933402</v>
      </c>
      <c r="D6164" s="0" t="s">
        <v>20533</v>
      </c>
      <c r="E6164" s="0" t="s">
        <v>75</v>
      </c>
      <c r="F6164" s="0" t="s">
        <v>90</v>
      </c>
      <c r="G6164" s="0" t="s">
        <v>20</v>
      </c>
      <c r="H6164" s="0" t="n">
        <v>98</v>
      </c>
      <c r="I6164" s="0" t="s">
        <v>20543</v>
      </c>
      <c r="J6164" s="0" t="s">
        <v>20544</v>
      </c>
      <c r="K6164" s="0" t="s">
        <v>20545</v>
      </c>
      <c r="L6164" s="0" t="str">
        <f aca="false">HYPERLINK("https://www.ncbi.nlm.nih.gov/nuccore/CP000058.1?report=graph&amp;tracks=[key:gene_model_track,Options:GeneOnly]&amp;mk=1933462:1933481|offset_19|444444,1933435:1933454|offset_46|444444,1933408:1933427|offset_73|444444,1933383:1933402|offset_98|00cc00&amp;v=1933261:1933602&amp;c=444444", "offset 98")</f>
        <v>offset 98</v>
      </c>
    </row>
    <row r="6165" customFormat="false" ht="12.8" hidden="false" customHeight="false" outlineLevel="0" collapsed="false">
      <c r="A6165" s="0" t="s">
        <v>12</v>
      </c>
      <c r="B6165" s="0" t="n">
        <v>1933704</v>
      </c>
      <c r="C6165" s="0" t="n">
        <v>1933724</v>
      </c>
      <c r="D6165" s="0" t="s">
        <v>20546</v>
      </c>
      <c r="E6165" s="0" t="s">
        <v>20547</v>
      </c>
      <c r="F6165" s="0" t="s">
        <v>15</v>
      </c>
      <c r="G6165" s="0" t="s">
        <v>32</v>
      </c>
      <c r="H6165" s="0" t="n">
        <v>1</v>
      </c>
      <c r="I6165" s="0" t="s">
        <v>20548</v>
      </c>
      <c r="J6165" s="0" t="s">
        <v>20549</v>
      </c>
      <c r="K6165" s="0" t="s">
        <v>20550</v>
      </c>
      <c r="L6165" s="0" t="str">
        <f aca="false">HYPERLINK("https://www.ncbi.nlm.nih.gov/nuccore/CP000058.1?report=graph&amp;tracks=[key:gene_model_track,Options:GeneOnly]&amp;mk=1933705:1933724|offset_1|00cc00,1933730:1933749|offset_26|444444,1933762:1933781|offset_58|444444,1933815:1933834|offset_111|444444&amp;v=1933504:1934034&amp;c=444444", "offset 1")</f>
        <v>offset 1</v>
      </c>
    </row>
    <row r="6166" customFormat="false" ht="12.8" hidden="false" customHeight="false" outlineLevel="0" collapsed="false">
      <c r="A6166" s="0" t="s">
        <v>12</v>
      </c>
      <c r="B6166" s="0" t="n">
        <v>1933729</v>
      </c>
      <c r="C6166" s="0" t="n">
        <v>1933749</v>
      </c>
      <c r="D6166" s="0" t="s">
        <v>20546</v>
      </c>
      <c r="E6166" s="0" t="s">
        <v>20547</v>
      </c>
      <c r="F6166" s="0" t="s">
        <v>15</v>
      </c>
      <c r="G6166" s="0" t="s">
        <v>20</v>
      </c>
      <c r="H6166" s="0" t="n">
        <v>26</v>
      </c>
      <c r="I6166" s="0" t="s">
        <v>20551</v>
      </c>
      <c r="J6166" s="0" t="s">
        <v>20552</v>
      </c>
      <c r="K6166" s="0" t="s">
        <v>20553</v>
      </c>
      <c r="L6166" s="0" t="str">
        <f aca="false">HYPERLINK("https://www.ncbi.nlm.nih.gov/nuccore/CP000058.1?report=graph&amp;tracks=[key:gene_model_track,Options:GeneOnly]&amp;mk=1933705:1933724|offset_1|444444,1933730:1933749|offset_26|00cc00,1933762:1933781|offset_58|444444,1933815:1933834|offset_111|444444&amp;v=1933504:1934034&amp;c=444444", "offset 26")</f>
        <v>offset 26</v>
      </c>
    </row>
    <row r="6167" customFormat="false" ht="12.8" hidden="false" customHeight="false" outlineLevel="0" collapsed="false">
      <c r="A6167" s="0" t="s">
        <v>12</v>
      </c>
      <c r="B6167" s="0" t="n">
        <v>1933761</v>
      </c>
      <c r="C6167" s="0" t="n">
        <v>1933781</v>
      </c>
      <c r="D6167" s="0" t="s">
        <v>20546</v>
      </c>
      <c r="E6167" s="0" t="s">
        <v>20547</v>
      </c>
      <c r="F6167" s="0" t="s">
        <v>15</v>
      </c>
      <c r="G6167" s="0" t="s">
        <v>20</v>
      </c>
      <c r="H6167" s="0" t="n">
        <v>58</v>
      </c>
      <c r="I6167" s="0" t="s">
        <v>20554</v>
      </c>
      <c r="J6167" s="0" t="s">
        <v>20555</v>
      </c>
      <c r="K6167" s="0" t="s">
        <v>20556</v>
      </c>
      <c r="L6167" s="0" t="str">
        <f aca="false">HYPERLINK("https://www.ncbi.nlm.nih.gov/nuccore/CP000058.1?report=graph&amp;tracks=[key:gene_model_track,Options:GeneOnly]&amp;mk=1933705:1933724|offset_1|444444,1933730:1933749|offset_26|444444,1933762:1933781|offset_58|00cc00,1933815:1933834|offset_111|444444&amp;v=1933504:1934034&amp;c=444444", "offset 58")</f>
        <v>offset 58</v>
      </c>
    </row>
    <row r="6168" customFormat="false" ht="12.8" hidden="false" customHeight="false" outlineLevel="0" collapsed="false">
      <c r="A6168" s="0" t="s">
        <v>12</v>
      </c>
      <c r="B6168" s="0" t="n">
        <v>1933814</v>
      </c>
      <c r="C6168" s="0" t="n">
        <v>1933834</v>
      </c>
      <c r="D6168" s="0" t="s">
        <v>20546</v>
      </c>
      <c r="E6168" s="0" t="s">
        <v>20547</v>
      </c>
      <c r="F6168" s="0" t="s">
        <v>15</v>
      </c>
      <c r="G6168" s="0" t="s">
        <v>16</v>
      </c>
      <c r="H6168" s="0" t="n">
        <v>111</v>
      </c>
      <c r="I6168" s="0" t="s">
        <v>20557</v>
      </c>
      <c r="J6168" s="0" t="s">
        <v>20558</v>
      </c>
      <c r="K6168" s="0" t="s">
        <v>20559</v>
      </c>
      <c r="L6168" s="0" t="str">
        <f aca="false">HYPERLINK("https://www.ncbi.nlm.nih.gov/nuccore/CP000058.1?report=graph&amp;tracks=[key:gene_model_track,Options:GeneOnly]&amp;mk=1933705:1933724|offset_1|444444,1933730:1933749|offset_26|444444,1933762:1933781|offset_58|444444,1933815:1933834|offset_111|00cc00&amp;v=1933504:1934034&amp;c=444444", "offset 111")</f>
        <v>offset 111</v>
      </c>
    </row>
    <row r="6169" customFormat="false" ht="12.8" hidden="false" customHeight="false" outlineLevel="0" collapsed="false">
      <c r="A6169" s="0" t="s">
        <v>12</v>
      </c>
      <c r="B6169" s="0" t="n">
        <v>1935784</v>
      </c>
      <c r="C6169" s="0" t="n">
        <v>1935804</v>
      </c>
      <c r="D6169" s="0" t="s">
        <v>20560</v>
      </c>
      <c r="E6169" s="0" t="s">
        <v>75</v>
      </c>
      <c r="F6169" s="0" t="s">
        <v>15</v>
      </c>
      <c r="G6169" s="0" t="s">
        <v>36</v>
      </c>
      <c r="H6169" s="0" t="n">
        <v>16</v>
      </c>
      <c r="I6169" s="0" t="s">
        <v>20561</v>
      </c>
      <c r="J6169" s="0" t="s">
        <v>20562</v>
      </c>
      <c r="K6169" s="0" t="s">
        <v>20563</v>
      </c>
      <c r="L6169" s="0" t="str">
        <f aca="false">HYPERLINK("https://www.ncbi.nlm.nih.gov/nuccore/CP000058.1?report=graph&amp;tracks=[key:gene_model_track,Options:GeneOnly]&amp;mk=1935785:1935804|offset_16|00cc00,1935825:1935844|offset_56|444444,1935845:1935864|offset_76|444444,1935876:1935895|offset_107|444444&amp;v=1935584:1936095&amp;c=444444", "offset 16")</f>
        <v>offset 16</v>
      </c>
    </row>
    <row r="6170" customFormat="false" ht="12.8" hidden="false" customHeight="false" outlineLevel="0" collapsed="false">
      <c r="A6170" s="0" t="s">
        <v>12</v>
      </c>
      <c r="B6170" s="0" t="n">
        <v>1935824</v>
      </c>
      <c r="C6170" s="0" t="n">
        <v>1935844</v>
      </c>
      <c r="D6170" s="0" t="s">
        <v>20560</v>
      </c>
      <c r="E6170" s="0" t="s">
        <v>75</v>
      </c>
      <c r="F6170" s="0" t="s">
        <v>15</v>
      </c>
      <c r="G6170" s="0" t="s">
        <v>20</v>
      </c>
      <c r="H6170" s="0" t="n">
        <v>56</v>
      </c>
      <c r="I6170" s="0" t="s">
        <v>20564</v>
      </c>
      <c r="J6170" s="0" t="s">
        <v>20565</v>
      </c>
      <c r="K6170" s="0" t="s">
        <v>20566</v>
      </c>
      <c r="L6170" s="0" t="str">
        <f aca="false">HYPERLINK("https://www.ncbi.nlm.nih.gov/nuccore/CP000058.1?report=graph&amp;tracks=[key:gene_model_track,Options:GeneOnly]&amp;mk=1935785:1935804|offset_16|444444,1935825:1935844|offset_56|00cc00,1935845:1935864|offset_76|444444,1935876:1935895|offset_107|444444&amp;v=1935584:1936095&amp;c=444444", "offset 56")</f>
        <v>offset 56</v>
      </c>
    </row>
    <row r="6171" customFormat="false" ht="12.8" hidden="false" customHeight="false" outlineLevel="0" collapsed="false">
      <c r="A6171" s="0" t="s">
        <v>12</v>
      </c>
      <c r="B6171" s="0" t="n">
        <v>1935844</v>
      </c>
      <c r="C6171" s="0" t="n">
        <v>1935864</v>
      </c>
      <c r="D6171" s="0" t="s">
        <v>20560</v>
      </c>
      <c r="E6171" s="0" t="s">
        <v>75</v>
      </c>
      <c r="F6171" s="0" t="s">
        <v>15</v>
      </c>
      <c r="G6171" s="0" t="s">
        <v>16</v>
      </c>
      <c r="H6171" s="0" t="n">
        <v>76</v>
      </c>
      <c r="I6171" s="0" t="s">
        <v>20567</v>
      </c>
      <c r="J6171" s="0" t="s">
        <v>20568</v>
      </c>
      <c r="K6171" s="0" t="s">
        <v>20569</v>
      </c>
      <c r="L6171" s="0" t="str">
        <f aca="false">HYPERLINK("https://www.ncbi.nlm.nih.gov/nuccore/CP000058.1?report=graph&amp;tracks=[key:gene_model_track,Options:GeneOnly]&amp;mk=1935785:1935804|offset_16|444444,1935825:1935844|offset_56|444444,1935845:1935864|offset_76|00cc00,1935876:1935895|offset_107|444444&amp;v=1935584:1936095&amp;c=444444", "offset 76")</f>
        <v>offset 76</v>
      </c>
    </row>
    <row r="6172" customFormat="false" ht="12.8" hidden="false" customHeight="false" outlineLevel="0" collapsed="false">
      <c r="A6172" s="0" t="s">
        <v>12</v>
      </c>
      <c r="B6172" s="0" t="n">
        <v>1935875</v>
      </c>
      <c r="C6172" s="0" t="n">
        <v>1935895</v>
      </c>
      <c r="D6172" s="0" t="s">
        <v>20560</v>
      </c>
      <c r="E6172" s="0" t="s">
        <v>75</v>
      </c>
      <c r="F6172" s="0" t="s">
        <v>15</v>
      </c>
      <c r="G6172" s="0" t="s">
        <v>20</v>
      </c>
      <c r="H6172" s="0" t="n">
        <v>107</v>
      </c>
      <c r="I6172" s="0" t="s">
        <v>20570</v>
      </c>
      <c r="J6172" s="0" t="s">
        <v>20571</v>
      </c>
      <c r="K6172" s="0" t="s">
        <v>20572</v>
      </c>
      <c r="L6172" s="0" t="str">
        <f aca="false">HYPERLINK("https://www.ncbi.nlm.nih.gov/nuccore/CP000058.1?report=graph&amp;tracks=[key:gene_model_track,Options:GeneOnly]&amp;mk=1935785:1935804|offset_16|444444,1935825:1935844|offset_56|444444,1935845:1935864|offset_76|444444,1935876:1935895|offset_107|00cc00&amp;v=1935584:1936095&amp;c=444444", "offset 107")</f>
        <v>offset 107</v>
      </c>
    </row>
    <row r="6173" customFormat="false" ht="12.8" hidden="false" customHeight="false" outlineLevel="0" collapsed="false">
      <c r="A6173" s="0" t="s">
        <v>12</v>
      </c>
      <c r="B6173" s="0" t="n">
        <v>1936862</v>
      </c>
      <c r="C6173" s="0" t="n">
        <v>1936882</v>
      </c>
      <c r="D6173" s="0" t="s">
        <v>20573</v>
      </c>
      <c r="E6173" s="0" t="s">
        <v>75</v>
      </c>
      <c r="F6173" s="0" t="s">
        <v>15</v>
      </c>
      <c r="G6173" s="0" t="s">
        <v>32</v>
      </c>
      <c r="H6173" s="0" t="n">
        <v>1</v>
      </c>
      <c r="I6173" s="0" t="s">
        <v>20574</v>
      </c>
      <c r="J6173" s="0" t="s">
        <v>20575</v>
      </c>
      <c r="K6173" s="0" t="s">
        <v>20576</v>
      </c>
      <c r="L6173" s="0" t="str">
        <f aca="false">HYPERLINK("https://www.ncbi.nlm.nih.gov/nuccore/CP000058.1?report=graph&amp;tracks=[key:gene_model_track,Options:GeneOnly]&amp;mk=1936863:1936882|offset_1|00cc00,1936895:1936914|offset_33|444444,1936929:1936948|offset_67|444444,1936962:1936981|offset_100|444444&amp;v=1936662:1937181&amp;c=444444", "offset 1")</f>
        <v>offset 1</v>
      </c>
    </row>
    <row r="6174" customFormat="false" ht="12.8" hidden="false" customHeight="false" outlineLevel="0" collapsed="false">
      <c r="A6174" s="0" t="s">
        <v>12</v>
      </c>
      <c r="B6174" s="0" t="n">
        <v>1936894</v>
      </c>
      <c r="C6174" s="0" t="n">
        <v>1936914</v>
      </c>
      <c r="D6174" s="0" t="s">
        <v>20573</v>
      </c>
      <c r="E6174" s="0" t="s">
        <v>75</v>
      </c>
      <c r="F6174" s="0" t="s">
        <v>15</v>
      </c>
      <c r="G6174" s="0" t="s">
        <v>20</v>
      </c>
      <c r="H6174" s="0" t="n">
        <v>33</v>
      </c>
      <c r="I6174" s="0" t="s">
        <v>20577</v>
      </c>
      <c r="J6174" s="0" t="s">
        <v>20578</v>
      </c>
      <c r="K6174" s="0" t="s">
        <v>20579</v>
      </c>
      <c r="L6174" s="0" t="str">
        <f aca="false">HYPERLINK("https://www.ncbi.nlm.nih.gov/nuccore/CP000058.1?report=graph&amp;tracks=[key:gene_model_track,Options:GeneOnly]&amp;mk=1936863:1936882|offset_1|444444,1936895:1936914|offset_33|00cc00,1936929:1936948|offset_67|444444,1936962:1936981|offset_100|444444&amp;v=1936662:1937181&amp;c=444444", "offset 33")</f>
        <v>offset 33</v>
      </c>
    </row>
    <row r="6175" customFormat="false" ht="12.8" hidden="false" customHeight="false" outlineLevel="0" collapsed="false">
      <c r="A6175" s="0" t="s">
        <v>12</v>
      </c>
      <c r="B6175" s="0" t="n">
        <v>1936928</v>
      </c>
      <c r="C6175" s="0" t="n">
        <v>1936948</v>
      </c>
      <c r="D6175" s="0" t="s">
        <v>20573</v>
      </c>
      <c r="E6175" s="0" t="s">
        <v>75</v>
      </c>
      <c r="F6175" s="0" t="s">
        <v>15</v>
      </c>
      <c r="G6175" s="0" t="s">
        <v>32</v>
      </c>
      <c r="H6175" s="0" t="n">
        <v>67</v>
      </c>
      <c r="I6175" s="0" t="s">
        <v>20580</v>
      </c>
      <c r="J6175" s="0" t="s">
        <v>20581</v>
      </c>
      <c r="K6175" s="0" t="s">
        <v>20582</v>
      </c>
      <c r="L6175" s="0" t="str">
        <f aca="false">HYPERLINK("https://www.ncbi.nlm.nih.gov/nuccore/CP000058.1?report=graph&amp;tracks=[key:gene_model_track,Options:GeneOnly]&amp;mk=1936863:1936882|offset_1|444444,1936895:1936914|offset_33|444444,1936929:1936948|offset_67|00cc00,1936962:1936981|offset_100|444444&amp;v=1936662:1937181&amp;c=444444", "offset 67")</f>
        <v>offset 67</v>
      </c>
    </row>
    <row r="6176" customFormat="false" ht="12.8" hidden="false" customHeight="false" outlineLevel="0" collapsed="false">
      <c r="A6176" s="0" t="s">
        <v>12</v>
      </c>
      <c r="B6176" s="0" t="n">
        <v>1936961</v>
      </c>
      <c r="C6176" s="0" t="n">
        <v>1936981</v>
      </c>
      <c r="D6176" s="0" t="s">
        <v>20573</v>
      </c>
      <c r="E6176" s="0" t="s">
        <v>75</v>
      </c>
      <c r="F6176" s="0" t="s">
        <v>15</v>
      </c>
      <c r="G6176" s="0" t="s">
        <v>16</v>
      </c>
      <c r="H6176" s="0" t="n">
        <v>100</v>
      </c>
      <c r="I6176" s="0" t="s">
        <v>20583</v>
      </c>
      <c r="J6176" s="0" t="s">
        <v>20584</v>
      </c>
      <c r="K6176" s="0" t="s">
        <v>20585</v>
      </c>
      <c r="L6176" s="0" t="str">
        <f aca="false">HYPERLINK("https://www.ncbi.nlm.nih.gov/nuccore/CP000058.1?report=graph&amp;tracks=[key:gene_model_track,Options:GeneOnly]&amp;mk=1936863:1936882|offset_1|444444,1936895:1936914|offset_33|444444,1936929:1936948|offset_67|444444,1936962:1936981|offset_100|00cc00&amp;v=1936662:1937181&amp;c=444444", "offset 100")</f>
        <v>offset 100</v>
      </c>
    </row>
    <row r="6177" customFormat="false" ht="12.8" hidden="false" customHeight="false" outlineLevel="0" collapsed="false">
      <c r="A6177" s="0" t="s">
        <v>12</v>
      </c>
      <c r="B6177" s="0" t="n">
        <v>1937996</v>
      </c>
      <c r="C6177" s="0" t="n">
        <v>1938016</v>
      </c>
      <c r="D6177" s="0" t="s">
        <v>20586</v>
      </c>
      <c r="E6177" s="0" t="s">
        <v>75</v>
      </c>
      <c r="F6177" s="0" t="s">
        <v>15</v>
      </c>
      <c r="G6177" s="0" t="s">
        <v>20</v>
      </c>
      <c r="H6177" s="0" t="n">
        <v>7</v>
      </c>
      <c r="I6177" s="0" t="s">
        <v>20587</v>
      </c>
      <c r="J6177" s="0" t="s">
        <v>20588</v>
      </c>
      <c r="K6177" s="0" t="s">
        <v>20589</v>
      </c>
      <c r="L6177" s="0" t="str">
        <f aca="false">HYPERLINK("https://www.ncbi.nlm.nih.gov/nuccore/CP000058.1?report=graph&amp;tracks=[key:gene_model_track,Options:GeneOnly]&amp;mk=1937997:1938016|offset_7|00cc00,1938018:1938037|offset_28|444444,1938064:1938083|offset_74|444444,1938090:1938109|offset_100|444444&amp;v=1937796:1938309&amp;c=444444", "offset 7")</f>
        <v>offset 7</v>
      </c>
    </row>
    <row r="6178" customFormat="false" ht="12.8" hidden="false" customHeight="false" outlineLevel="0" collapsed="false">
      <c r="A6178" s="0" t="s">
        <v>12</v>
      </c>
      <c r="B6178" s="0" t="n">
        <v>1938017</v>
      </c>
      <c r="C6178" s="0" t="n">
        <v>1938037</v>
      </c>
      <c r="D6178" s="0" t="s">
        <v>20586</v>
      </c>
      <c r="E6178" s="0" t="s">
        <v>75</v>
      </c>
      <c r="F6178" s="0" t="s">
        <v>15</v>
      </c>
      <c r="G6178" s="0" t="s">
        <v>32</v>
      </c>
      <c r="H6178" s="0" t="n">
        <v>28</v>
      </c>
      <c r="I6178" s="0" t="s">
        <v>20590</v>
      </c>
      <c r="J6178" s="0" t="s">
        <v>20591</v>
      </c>
      <c r="K6178" s="0" t="s">
        <v>20592</v>
      </c>
      <c r="L6178" s="0" t="str">
        <f aca="false">HYPERLINK("https://www.ncbi.nlm.nih.gov/nuccore/CP000058.1?report=graph&amp;tracks=[key:gene_model_track,Options:GeneOnly]&amp;mk=1937997:1938016|offset_7|444444,1938018:1938037|offset_28|00cc00,1938064:1938083|offset_74|444444,1938090:1938109|offset_100|444444&amp;v=1937796:1938309&amp;c=444444", "offset 28")</f>
        <v>offset 28</v>
      </c>
    </row>
    <row r="6179" customFormat="false" ht="12.8" hidden="false" customHeight="false" outlineLevel="0" collapsed="false">
      <c r="A6179" s="0" t="s">
        <v>12</v>
      </c>
      <c r="B6179" s="0" t="n">
        <v>1938063</v>
      </c>
      <c r="C6179" s="0" t="n">
        <v>1938083</v>
      </c>
      <c r="D6179" s="0" t="s">
        <v>20586</v>
      </c>
      <c r="E6179" s="0" t="s">
        <v>75</v>
      </c>
      <c r="F6179" s="0" t="s">
        <v>15</v>
      </c>
      <c r="G6179" s="0" t="s">
        <v>20</v>
      </c>
      <c r="H6179" s="0" t="n">
        <v>74</v>
      </c>
      <c r="I6179" s="0" t="s">
        <v>20593</v>
      </c>
      <c r="J6179" s="0" t="s">
        <v>20594</v>
      </c>
      <c r="K6179" s="0" t="s">
        <v>20595</v>
      </c>
      <c r="L6179" s="0" t="str">
        <f aca="false">HYPERLINK("https://www.ncbi.nlm.nih.gov/nuccore/CP000058.1?report=graph&amp;tracks=[key:gene_model_track,Options:GeneOnly]&amp;mk=1937997:1938016|offset_7|444444,1938018:1938037|offset_28|444444,1938064:1938083|offset_74|00cc00,1938090:1938109|offset_100|444444&amp;v=1937796:1938309&amp;c=444444", "offset 74")</f>
        <v>offset 74</v>
      </c>
    </row>
    <row r="6180" customFormat="false" ht="12.8" hidden="false" customHeight="false" outlineLevel="0" collapsed="false">
      <c r="A6180" s="0" t="s">
        <v>12</v>
      </c>
      <c r="B6180" s="0" t="n">
        <v>1938089</v>
      </c>
      <c r="C6180" s="0" t="n">
        <v>1938109</v>
      </c>
      <c r="D6180" s="0" t="s">
        <v>20586</v>
      </c>
      <c r="E6180" s="0" t="s">
        <v>75</v>
      </c>
      <c r="F6180" s="0" t="s">
        <v>15</v>
      </c>
      <c r="G6180" s="0" t="s">
        <v>16</v>
      </c>
      <c r="H6180" s="0" t="n">
        <v>100</v>
      </c>
      <c r="I6180" s="0" t="s">
        <v>20596</v>
      </c>
      <c r="J6180" s="0" t="s">
        <v>20597</v>
      </c>
      <c r="K6180" s="0" t="s">
        <v>20598</v>
      </c>
      <c r="L6180" s="0" t="str">
        <f aca="false">HYPERLINK("https://www.ncbi.nlm.nih.gov/nuccore/CP000058.1?report=graph&amp;tracks=[key:gene_model_track,Options:GeneOnly]&amp;mk=1937997:1938016|offset_7|444444,1938018:1938037|offset_28|444444,1938064:1938083|offset_74|444444,1938090:1938109|offset_100|00cc00&amp;v=1937796:1938309&amp;c=444444", "offset 100")</f>
        <v>offset 100</v>
      </c>
    </row>
    <row r="6181" customFormat="false" ht="12.8" hidden="false" customHeight="false" outlineLevel="0" collapsed="false">
      <c r="A6181" s="0" t="s">
        <v>12</v>
      </c>
      <c r="B6181" s="0" t="n">
        <v>1939155</v>
      </c>
      <c r="C6181" s="0" t="n">
        <v>1939175</v>
      </c>
      <c r="D6181" s="0" t="s">
        <v>20599</v>
      </c>
      <c r="E6181" s="0" t="s">
        <v>20600</v>
      </c>
      <c r="F6181" s="0" t="s">
        <v>90</v>
      </c>
      <c r="G6181" s="0" t="s">
        <v>20</v>
      </c>
      <c r="H6181" s="0" t="n">
        <v>29</v>
      </c>
      <c r="I6181" s="0" t="s">
        <v>20601</v>
      </c>
      <c r="J6181" s="0" t="s">
        <v>20602</v>
      </c>
      <c r="K6181" s="0" t="s">
        <v>20603</v>
      </c>
      <c r="L6181" s="0" t="str">
        <f aca="false">HYPERLINK("https://www.ncbi.nlm.nih.gov/nuccore/CP000058.1?report=graph&amp;tracks=[key:gene_model_track,Options:GeneOnly]&amp;mk=1939156:1939175|offset_29|00cc00,1939130:1939149|offset_55|444444,1939102:1939121|offset_83|444444,1939072:1939091|offset_113|444444&amp;v=1938955:1939291&amp;c=444444", "offset 29")</f>
        <v>offset 29</v>
      </c>
    </row>
    <row r="6182" customFormat="false" ht="12.8" hidden="false" customHeight="false" outlineLevel="0" collapsed="false">
      <c r="A6182" s="0" t="s">
        <v>12</v>
      </c>
      <c r="B6182" s="0" t="n">
        <v>1939129</v>
      </c>
      <c r="C6182" s="0" t="n">
        <v>1939149</v>
      </c>
      <c r="D6182" s="0" t="s">
        <v>20599</v>
      </c>
      <c r="E6182" s="0" t="s">
        <v>20600</v>
      </c>
      <c r="F6182" s="0" t="s">
        <v>90</v>
      </c>
      <c r="G6182" s="0" t="s">
        <v>36</v>
      </c>
      <c r="H6182" s="0" t="n">
        <v>55</v>
      </c>
      <c r="I6182" s="0" t="s">
        <v>20604</v>
      </c>
      <c r="J6182" s="0" t="s">
        <v>20605</v>
      </c>
      <c r="K6182" s="0" t="s">
        <v>20606</v>
      </c>
      <c r="L6182" s="0" t="str">
        <f aca="false">HYPERLINK("https://www.ncbi.nlm.nih.gov/nuccore/CP000058.1?report=graph&amp;tracks=[key:gene_model_track,Options:GeneOnly]&amp;mk=1939156:1939175|offset_29|444444,1939130:1939149|offset_55|00cc00,1939102:1939121|offset_83|444444,1939072:1939091|offset_113|444444&amp;v=1938955:1939291&amp;c=444444", "offset 55")</f>
        <v>offset 55</v>
      </c>
    </row>
    <row r="6183" customFormat="false" ht="12.8" hidden="false" customHeight="false" outlineLevel="0" collapsed="false">
      <c r="A6183" s="0" t="s">
        <v>12</v>
      </c>
      <c r="B6183" s="0" t="n">
        <v>1939101</v>
      </c>
      <c r="C6183" s="0" t="n">
        <v>1939121</v>
      </c>
      <c r="D6183" s="0" t="s">
        <v>20599</v>
      </c>
      <c r="E6183" s="0" t="s">
        <v>20600</v>
      </c>
      <c r="F6183" s="0" t="s">
        <v>90</v>
      </c>
      <c r="G6183" s="0" t="s">
        <v>16</v>
      </c>
      <c r="H6183" s="0" t="n">
        <v>83</v>
      </c>
      <c r="I6183" s="0" t="s">
        <v>20607</v>
      </c>
      <c r="J6183" s="0" t="s">
        <v>20608</v>
      </c>
      <c r="K6183" s="0" t="s">
        <v>20609</v>
      </c>
      <c r="L6183" s="0" t="str">
        <f aca="false">HYPERLINK("https://www.ncbi.nlm.nih.gov/nuccore/CP000058.1?report=graph&amp;tracks=[key:gene_model_track,Options:GeneOnly]&amp;mk=1939156:1939175|offset_29|444444,1939130:1939149|offset_55|444444,1939102:1939121|offset_83|00cc00,1939072:1939091|offset_113|444444&amp;v=1938955:1939291&amp;c=444444", "offset 83")</f>
        <v>offset 83</v>
      </c>
    </row>
    <row r="6184" customFormat="false" ht="12.8" hidden="false" customHeight="false" outlineLevel="0" collapsed="false">
      <c r="A6184" s="0" t="s">
        <v>12</v>
      </c>
      <c r="B6184" s="0" t="n">
        <v>1939071</v>
      </c>
      <c r="C6184" s="0" t="n">
        <v>1939091</v>
      </c>
      <c r="D6184" s="0" t="s">
        <v>20599</v>
      </c>
      <c r="E6184" s="0" t="s">
        <v>20600</v>
      </c>
      <c r="F6184" s="0" t="s">
        <v>90</v>
      </c>
      <c r="G6184" s="0" t="s">
        <v>20</v>
      </c>
      <c r="H6184" s="0" t="n">
        <v>113</v>
      </c>
      <c r="I6184" s="0" t="s">
        <v>20610</v>
      </c>
      <c r="J6184" s="0" t="s">
        <v>20611</v>
      </c>
      <c r="K6184" s="0" t="s">
        <v>20612</v>
      </c>
      <c r="L6184" s="0" t="str">
        <f aca="false">HYPERLINK("https://www.ncbi.nlm.nih.gov/nuccore/CP000058.1?report=graph&amp;tracks=[key:gene_model_track,Options:GeneOnly]&amp;mk=1939156:1939175|offset_29|444444,1939130:1939149|offset_55|444444,1939102:1939121|offset_83|444444,1939072:1939091|offset_113|00cc00&amp;v=1938955:1939291&amp;c=444444", "offset 113")</f>
        <v>offset 113</v>
      </c>
    </row>
    <row r="6185" customFormat="false" ht="12.8" hidden="false" customHeight="false" outlineLevel="0" collapsed="false">
      <c r="A6185" s="0" t="s">
        <v>12</v>
      </c>
      <c r="B6185" s="0" t="n">
        <v>1939715</v>
      </c>
      <c r="C6185" s="0" t="n">
        <v>1939735</v>
      </c>
      <c r="D6185" s="0" t="s">
        <v>20613</v>
      </c>
      <c r="E6185" s="0" t="s">
        <v>20614</v>
      </c>
      <c r="F6185" s="0" t="s">
        <v>90</v>
      </c>
      <c r="G6185" s="0" t="s">
        <v>36</v>
      </c>
      <c r="H6185" s="0" t="n">
        <v>8</v>
      </c>
      <c r="I6185" s="0" t="s">
        <v>20615</v>
      </c>
      <c r="J6185" s="0" t="s">
        <v>20616</v>
      </c>
      <c r="K6185" s="0" t="s">
        <v>20617</v>
      </c>
      <c r="L6185" s="0" t="str">
        <f aca="false">HYPERLINK("https://www.ncbi.nlm.nih.gov/nuccore/CP000058.1?report=graph&amp;tracks=[key:gene_model_track,Options:GeneOnly]&amp;mk=1939716:1939735|offset_8|00cc00,1939686:1939705|offset_38|444444,1939660:1939679|offset_64|444444,1939616:1939635|offset_108|444444&amp;v=1939515:1939835&amp;c=444444", "offset 8")</f>
        <v>offset 8</v>
      </c>
    </row>
    <row r="6186" customFormat="false" ht="12.8" hidden="false" customHeight="false" outlineLevel="0" collapsed="false">
      <c r="A6186" s="0" t="s">
        <v>12</v>
      </c>
      <c r="B6186" s="0" t="n">
        <v>1939685</v>
      </c>
      <c r="C6186" s="0" t="n">
        <v>1939705</v>
      </c>
      <c r="D6186" s="0" t="s">
        <v>20613</v>
      </c>
      <c r="E6186" s="0" t="s">
        <v>20614</v>
      </c>
      <c r="F6186" s="0" t="s">
        <v>90</v>
      </c>
      <c r="G6186" s="0" t="s">
        <v>32</v>
      </c>
      <c r="H6186" s="0" t="n">
        <v>38</v>
      </c>
      <c r="I6186" s="0" t="s">
        <v>20618</v>
      </c>
      <c r="J6186" s="0" t="s">
        <v>20619</v>
      </c>
      <c r="K6186" s="0" t="s">
        <v>20620</v>
      </c>
      <c r="L6186" s="0" t="str">
        <f aca="false">HYPERLINK("https://www.ncbi.nlm.nih.gov/nuccore/CP000058.1?report=graph&amp;tracks=[key:gene_model_track,Options:GeneOnly]&amp;mk=1939716:1939735|offset_8|444444,1939686:1939705|offset_38|00cc00,1939660:1939679|offset_64|444444,1939616:1939635|offset_108|444444&amp;v=1939515:1939835&amp;c=444444", "offset 38")</f>
        <v>offset 38</v>
      </c>
    </row>
    <row r="6187" customFormat="false" ht="12.8" hidden="false" customHeight="false" outlineLevel="0" collapsed="false">
      <c r="A6187" s="0" t="s">
        <v>12</v>
      </c>
      <c r="B6187" s="0" t="n">
        <v>1939659</v>
      </c>
      <c r="C6187" s="0" t="n">
        <v>1939679</v>
      </c>
      <c r="D6187" s="0" t="s">
        <v>20613</v>
      </c>
      <c r="E6187" s="0" t="s">
        <v>20614</v>
      </c>
      <c r="F6187" s="0" t="s">
        <v>90</v>
      </c>
      <c r="G6187" s="0" t="s">
        <v>32</v>
      </c>
      <c r="H6187" s="0" t="n">
        <v>64</v>
      </c>
      <c r="I6187" s="0" t="s">
        <v>20621</v>
      </c>
      <c r="J6187" s="0" t="s">
        <v>20622</v>
      </c>
      <c r="K6187" s="0" t="s">
        <v>20623</v>
      </c>
      <c r="L6187" s="0" t="str">
        <f aca="false">HYPERLINK("https://www.ncbi.nlm.nih.gov/nuccore/CP000058.1?report=graph&amp;tracks=[key:gene_model_track,Options:GeneOnly]&amp;mk=1939716:1939735|offset_8|444444,1939686:1939705|offset_38|444444,1939660:1939679|offset_64|00cc00,1939616:1939635|offset_108|444444&amp;v=1939515:1939835&amp;c=444444", "offset 64")</f>
        <v>offset 64</v>
      </c>
    </row>
    <row r="6188" customFormat="false" ht="12.8" hidden="false" customHeight="false" outlineLevel="0" collapsed="false">
      <c r="A6188" s="0" t="s">
        <v>12</v>
      </c>
      <c r="B6188" s="0" t="n">
        <v>1939615</v>
      </c>
      <c r="C6188" s="0" t="n">
        <v>1939635</v>
      </c>
      <c r="D6188" s="0" t="s">
        <v>20613</v>
      </c>
      <c r="E6188" s="0" t="s">
        <v>20614</v>
      </c>
      <c r="F6188" s="0" t="s">
        <v>90</v>
      </c>
      <c r="G6188" s="0" t="s">
        <v>32</v>
      </c>
      <c r="H6188" s="0" t="n">
        <v>108</v>
      </c>
      <c r="I6188" s="0" t="s">
        <v>20624</v>
      </c>
      <c r="J6188" s="0" t="s">
        <v>20625</v>
      </c>
      <c r="K6188" s="0" t="s">
        <v>20626</v>
      </c>
      <c r="L6188" s="0" t="str">
        <f aca="false">HYPERLINK("https://www.ncbi.nlm.nih.gov/nuccore/CP000058.1?report=graph&amp;tracks=[key:gene_model_track,Options:GeneOnly]&amp;mk=1939716:1939735|offset_8|444444,1939686:1939705|offset_38|444444,1939660:1939679|offset_64|444444,1939616:1939635|offset_108|00cc00&amp;v=1939515:1939835&amp;c=444444", "offset 108")</f>
        <v>offset 108</v>
      </c>
    </row>
    <row r="6189" customFormat="false" ht="12.8" hidden="false" customHeight="false" outlineLevel="0" collapsed="false">
      <c r="A6189" s="0" t="s">
        <v>12</v>
      </c>
      <c r="B6189" s="0" t="n">
        <v>1939903</v>
      </c>
      <c r="C6189" s="0" t="n">
        <v>1939923</v>
      </c>
      <c r="D6189" s="0" t="s">
        <v>20627</v>
      </c>
      <c r="E6189" s="0" t="s">
        <v>20628</v>
      </c>
      <c r="F6189" s="0" t="s">
        <v>15</v>
      </c>
      <c r="G6189" s="0" t="s">
        <v>32</v>
      </c>
      <c r="H6189" s="0" t="n">
        <v>7</v>
      </c>
      <c r="I6189" s="0" t="s">
        <v>20629</v>
      </c>
      <c r="J6189" s="0" t="s">
        <v>20630</v>
      </c>
      <c r="K6189" s="0" t="s">
        <v>20631</v>
      </c>
      <c r="L6189" s="0" t="str">
        <f aca="false">HYPERLINK("https://www.ncbi.nlm.nih.gov/nuccore/CP000058.1?report=graph&amp;tracks=[key:gene_model_track,Options:GeneOnly]&amp;mk=1939904:1939923|offset_7|00cc00,1939924:1939943|offset_27|444444,1939944:1939963|offset_47|444444,1939964:1939983|offset_67|444444&amp;v=1939703:1940183&amp;c=444444", "offset 7")</f>
        <v>offset 7</v>
      </c>
    </row>
    <row r="6190" customFormat="false" ht="12.8" hidden="false" customHeight="false" outlineLevel="0" collapsed="false">
      <c r="A6190" s="0" t="s">
        <v>12</v>
      </c>
      <c r="B6190" s="0" t="n">
        <v>1939923</v>
      </c>
      <c r="C6190" s="0" t="n">
        <v>1939943</v>
      </c>
      <c r="D6190" s="0" t="s">
        <v>20627</v>
      </c>
      <c r="E6190" s="0" t="s">
        <v>20628</v>
      </c>
      <c r="F6190" s="0" t="s">
        <v>15</v>
      </c>
      <c r="G6190" s="0" t="s">
        <v>36</v>
      </c>
      <c r="H6190" s="0" t="n">
        <v>27</v>
      </c>
      <c r="I6190" s="0" t="s">
        <v>20632</v>
      </c>
      <c r="J6190" s="0" t="s">
        <v>20633</v>
      </c>
      <c r="K6190" s="0" t="s">
        <v>20634</v>
      </c>
      <c r="L6190" s="0" t="str">
        <f aca="false">HYPERLINK("https://www.ncbi.nlm.nih.gov/nuccore/CP000058.1?report=graph&amp;tracks=[key:gene_model_track,Options:GeneOnly]&amp;mk=1939904:1939923|offset_7|444444,1939924:1939943|offset_27|00cc00,1939944:1939963|offset_47|444444,1939964:1939983|offset_67|444444&amp;v=1939703:1940183&amp;c=444444", "offset 27")</f>
        <v>offset 27</v>
      </c>
    </row>
    <row r="6191" customFormat="false" ht="12.8" hidden="false" customHeight="false" outlineLevel="0" collapsed="false">
      <c r="A6191" s="0" t="s">
        <v>12</v>
      </c>
      <c r="B6191" s="0" t="n">
        <v>1939943</v>
      </c>
      <c r="C6191" s="0" t="n">
        <v>1939963</v>
      </c>
      <c r="D6191" s="0" t="s">
        <v>20627</v>
      </c>
      <c r="E6191" s="0" t="s">
        <v>20628</v>
      </c>
      <c r="F6191" s="0" t="s">
        <v>15</v>
      </c>
      <c r="G6191" s="0" t="s">
        <v>32</v>
      </c>
      <c r="H6191" s="0" t="n">
        <v>47</v>
      </c>
      <c r="I6191" s="0" t="s">
        <v>20635</v>
      </c>
      <c r="J6191" s="0" t="s">
        <v>20636</v>
      </c>
      <c r="K6191" s="0" t="s">
        <v>20637</v>
      </c>
      <c r="L6191" s="0" t="str">
        <f aca="false">HYPERLINK("https://www.ncbi.nlm.nih.gov/nuccore/CP000058.1?report=graph&amp;tracks=[key:gene_model_track,Options:GeneOnly]&amp;mk=1939904:1939923|offset_7|444444,1939924:1939943|offset_27|444444,1939944:1939963|offset_47|00cc00,1939964:1939983|offset_67|444444&amp;v=1939703:1940183&amp;c=444444", "offset 47")</f>
        <v>offset 47</v>
      </c>
    </row>
    <row r="6192" customFormat="false" ht="12.8" hidden="false" customHeight="false" outlineLevel="0" collapsed="false">
      <c r="A6192" s="0" t="s">
        <v>12</v>
      </c>
      <c r="B6192" s="0" t="n">
        <v>1939963</v>
      </c>
      <c r="C6192" s="0" t="n">
        <v>1939983</v>
      </c>
      <c r="D6192" s="0" t="s">
        <v>20627</v>
      </c>
      <c r="E6192" s="0" t="s">
        <v>20628</v>
      </c>
      <c r="F6192" s="0" t="s">
        <v>15</v>
      </c>
      <c r="G6192" s="0" t="s">
        <v>16</v>
      </c>
      <c r="H6192" s="0" t="n">
        <v>67</v>
      </c>
      <c r="I6192" s="0" t="s">
        <v>20638</v>
      </c>
      <c r="J6192" s="0" t="s">
        <v>20639</v>
      </c>
      <c r="K6192" s="0" t="s">
        <v>20640</v>
      </c>
      <c r="L6192" s="0" t="str">
        <f aca="false">HYPERLINK("https://www.ncbi.nlm.nih.gov/nuccore/CP000058.1?report=graph&amp;tracks=[key:gene_model_track,Options:GeneOnly]&amp;mk=1939904:1939923|offset_7|444444,1939924:1939943|offset_27|444444,1939944:1939963|offset_47|444444,1939964:1939983|offset_67|00cc00&amp;v=1939703:1940183&amp;c=444444", "offset 67")</f>
        <v>offset 67</v>
      </c>
    </row>
    <row r="6193" customFormat="false" ht="12.8" hidden="false" customHeight="false" outlineLevel="0" collapsed="false">
      <c r="A6193" s="0" t="s">
        <v>12</v>
      </c>
      <c r="B6193" s="0" t="n">
        <v>1941653</v>
      </c>
      <c r="C6193" s="0" t="n">
        <v>1941673</v>
      </c>
      <c r="D6193" s="0" t="s">
        <v>20641</v>
      </c>
      <c r="E6193" s="0" t="s">
        <v>20642</v>
      </c>
      <c r="F6193" s="0" t="s">
        <v>15</v>
      </c>
      <c r="G6193" s="0" t="s">
        <v>32</v>
      </c>
      <c r="H6193" s="0" t="n">
        <v>28</v>
      </c>
      <c r="I6193" s="0" t="s">
        <v>20643</v>
      </c>
      <c r="J6193" s="0" t="s">
        <v>20644</v>
      </c>
      <c r="K6193" s="0" t="s">
        <v>20645</v>
      </c>
      <c r="L6193" s="0" t="str">
        <f aca="false">HYPERLINK("https://www.ncbi.nlm.nih.gov/nuccore/CP000058.1?report=graph&amp;tracks=[key:gene_model_track,Options:GeneOnly]&amp;mk=1941654:1941673|offset_28|00cc00,1941677:1941696|offset_51|444444,1941720:1941739|offset_94|444444,1941745:1941764|offset_119|444444&amp;v=1941453:1941964&amp;c=444444", "offset 28")</f>
        <v>offset 28</v>
      </c>
    </row>
    <row r="6194" customFormat="false" ht="12.8" hidden="false" customHeight="false" outlineLevel="0" collapsed="false">
      <c r="A6194" s="0" t="s">
        <v>12</v>
      </c>
      <c r="B6194" s="0" t="n">
        <v>1941676</v>
      </c>
      <c r="C6194" s="0" t="n">
        <v>1941696</v>
      </c>
      <c r="D6194" s="0" t="s">
        <v>20641</v>
      </c>
      <c r="E6194" s="0" t="s">
        <v>20642</v>
      </c>
      <c r="F6194" s="0" t="s">
        <v>15</v>
      </c>
      <c r="G6194" s="0" t="s">
        <v>16</v>
      </c>
      <c r="H6194" s="0" t="n">
        <v>51</v>
      </c>
      <c r="I6194" s="0" t="s">
        <v>20646</v>
      </c>
      <c r="J6194" s="0" t="s">
        <v>20647</v>
      </c>
      <c r="K6194" s="0" t="s">
        <v>20648</v>
      </c>
      <c r="L6194" s="0" t="str">
        <f aca="false">HYPERLINK("https://www.ncbi.nlm.nih.gov/nuccore/CP000058.1?report=graph&amp;tracks=[key:gene_model_track,Options:GeneOnly]&amp;mk=1941654:1941673|offset_28|444444,1941677:1941696|offset_51|00cc00,1941720:1941739|offset_94|444444,1941745:1941764|offset_119|444444&amp;v=1941453:1941964&amp;c=444444", "offset 51")</f>
        <v>offset 51</v>
      </c>
    </row>
    <row r="6195" customFormat="false" ht="12.8" hidden="false" customHeight="false" outlineLevel="0" collapsed="false">
      <c r="A6195" s="0" t="s">
        <v>12</v>
      </c>
      <c r="B6195" s="0" t="n">
        <v>1941719</v>
      </c>
      <c r="C6195" s="0" t="n">
        <v>1941739</v>
      </c>
      <c r="D6195" s="0" t="s">
        <v>20641</v>
      </c>
      <c r="E6195" s="0" t="s">
        <v>20642</v>
      </c>
      <c r="F6195" s="0" t="s">
        <v>15</v>
      </c>
      <c r="G6195" s="0" t="s">
        <v>16</v>
      </c>
      <c r="H6195" s="0" t="n">
        <v>94</v>
      </c>
      <c r="I6195" s="0" t="s">
        <v>20649</v>
      </c>
      <c r="J6195" s="0" t="s">
        <v>20650</v>
      </c>
      <c r="K6195" s="0" t="s">
        <v>20651</v>
      </c>
      <c r="L6195" s="0" t="str">
        <f aca="false">HYPERLINK("https://www.ncbi.nlm.nih.gov/nuccore/CP000058.1?report=graph&amp;tracks=[key:gene_model_track,Options:GeneOnly]&amp;mk=1941654:1941673|offset_28|444444,1941677:1941696|offset_51|444444,1941720:1941739|offset_94|00cc00,1941745:1941764|offset_119|444444&amp;v=1941453:1941964&amp;c=444444", "offset 94")</f>
        <v>offset 94</v>
      </c>
    </row>
    <row r="6196" customFormat="false" ht="12.8" hidden="false" customHeight="false" outlineLevel="0" collapsed="false">
      <c r="A6196" s="0" t="s">
        <v>12</v>
      </c>
      <c r="B6196" s="0" t="n">
        <v>1941744</v>
      </c>
      <c r="C6196" s="0" t="n">
        <v>1941764</v>
      </c>
      <c r="D6196" s="0" t="s">
        <v>20641</v>
      </c>
      <c r="E6196" s="0" t="s">
        <v>20642</v>
      </c>
      <c r="F6196" s="0" t="s">
        <v>15</v>
      </c>
      <c r="G6196" s="0" t="s">
        <v>32</v>
      </c>
      <c r="H6196" s="0" t="n">
        <v>119</v>
      </c>
      <c r="I6196" s="0" t="s">
        <v>20652</v>
      </c>
      <c r="J6196" s="0" t="s">
        <v>20653</v>
      </c>
      <c r="K6196" s="0" t="s">
        <v>20654</v>
      </c>
      <c r="L6196" s="0" t="str">
        <f aca="false">HYPERLINK("https://www.ncbi.nlm.nih.gov/nuccore/CP000058.1?report=graph&amp;tracks=[key:gene_model_track,Options:GeneOnly]&amp;mk=1941654:1941673|offset_28|444444,1941677:1941696|offset_51|444444,1941720:1941739|offset_94|444444,1941745:1941764|offset_119|00cc00&amp;v=1941453:1941964&amp;c=444444", "offset 119")</f>
        <v>offset 119</v>
      </c>
    </row>
    <row r="6197" customFormat="false" ht="12.8" hidden="false" customHeight="false" outlineLevel="0" collapsed="false">
      <c r="A6197" s="0" t="s">
        <v>12</v>
      </c>
      <c r="B6197" s="0" t="n">
        <v>1944995</v>
      </c>
      <c r="C6197" s="0" t="n">
        <v>1945015</v>
      </c>
      <c r="D6197" s="0" t="s">
        <v>20655</v>
      </c>
      <c r="E6197" s="0" t="s">
        <v>75</v>
      </c>
      <c r="F6197" s="0" t="s">
        <v>90</v>
      </c>
      <c r="G6197" s="0" t="s">
        <v>32</v>
      </c>
      <c r="H6197" s="0" t="n">
        <v>13</v>
      </c>
      <c r="I6197" s="0" t="s">
        <v>20656</v>
      </c>
      <c r="J6197" s="0" t="s">
        <v>20657</v>
      </c>
      <c r="K6197" s="0" t="s">
        <v>20658</v>
      </c>
      <c r="L6197" s="0" t="str">
        <f aca="false">HYPERLINK("https://www.ncbi.nlm.nih.gov/nuccore/CP000058.1?report=graph&amp;tracks=[key:gene_model_track,Options:GeneOnly]&amp;mk=1944996:1945015|offset_13|00cc00,1944944:1944963|offset_65|444444,1944914:1944933|offset_95|444444,1944879:1944898|offset_130|444444&amp;v=1944795:1945098&amp;c=444444", "offset 13")</f>
        <v>offset 13</v>
      </c>
    </row>
    <row r="6198" customFormat="false" ht="12.8" hidden="false" customHeight="false" outlineLevel="0" collapsed="false">
      <c r="A6198" s="0" t="s">
        <v>12</v>
      </c>
      <c r="B6198" s="0" t="n">
        <v>1944943</v>
      </c>
      <c r="C6198" s="0" t="n">
        <v>1944963</v>
      </c>
      <c r="D6198" s="0" t="s">
        <v>20655</v>
      </c>
      <c r="E6198" s="0" t="s">
        <v>75</v>
      </c>
      <c r="F6198" s="0" t="s">
        <v>90</v>
      </c>
      <c r="G6198" s="0" t="s">
        <v>16</v>
      </c>
      <c r="H6198" s="0" t="n">
        <v>65</v>
      </c>
      <c r="I6198" s="0" t="s">
        <v>20659</v>
      </c>
      <c r="J6198" s="0" t="s">
        <v>20660</v>
      </c>
      <c r="K6198" s="0" t="s">
        <v>20661</v>
      </c>
      <c r="L6198" s="0" t="str">
        <f aca="false">HYPERLINK("https://www.ncbi.nlm.nih.gov/nuccore/CP000058.1?report=graph&amp;tracks=[key:gene_model_track,Options:GeneOnly]&amp;mk=1944996:1945015|offset_13|444444,1944944:1944963|offset_65|00cc00,1944914:1944933|offset_95|444444,1944879:1944898|offset_130|444444&amp;v=1944795:1945098&amp;c=444444", "offset 65")</f>
        <v>offset 65</v>
      </c>
    </row>
    <row r="6199" customFormat="false" ht="12.8" hidden="false" customHeight="false" outlineLevel="0" collapsed="false">
      <c r="A6199" s="0" t="s">
        <v>12</v>
      </c>
      <c r="B6199" s="0" t="n">
        <v>1944913</v>
      </c>
      <c r="C6199" s="0" t="n">
        <v>1944933</v>
      </c>
      <c r="D6199" s="0" t="s">
        <v>20655</v>
      </c>
      <c r="E6199" s="0" t="s">
        <v>75</v>
      </c>
      <c r="F6199" s="0" t="s">
        <v>90</v>
      </c>
      <c r="G6199" s="0" t="s">
        <v>36</v>
      </c>
      <c r="H6199" s="0" t="n">
        <v>95</v>
      </c>
      <c r="I6199" s="0" t="s">
        <v>20662</v>
      </c>
      <c r="J6199" s="0" t="s">
        <v>20663</v>
      </c>
      <c r="K6199" s="0" t="s">
        <v>20664</v>
      </c>
      <c r="L6199" s="0" t="str">
        <f aca="false">HYPERLINK("https://www.ncbi.nlm.nih.gov/nuccore/CP000058.1?report=graph&amp;tracks=[key:gene_model_track,Options:GeneOnly]&amp;mk=1944996:1945015|offset_13|444444,1944944:1944963|offset_65|444444,1944914:1944933|offset_95|00cc00,1944879:1944898|offset_130|444444&amp;v=1944795:1945098&amp;c=444444", "offset 95")</f>
        <v>offset 95</v>
      </c>
    </row>
    <row r="6200" customFormat="false" ht="12.8" hidden="false" customHeight="false" outlineLevel="0" collapsed="false">
      <c r="A6200" s="0" t="s">
        <v>12</v>
      </c>
      <c r="B6200" s="0" t="n">
        <v>1944878</v>
      </c>
      <c r="C6200" s="0" t="n">
        <v>1944898</v>
      </c>
      <c r="D6200" s="0" t="s">
        <v>20655</v>
      </c>
      <c r="E6200" s="0" t="s">
        <v>75</v>
      </c>
      <c r="F6200" s="0" t="s">
        <v>90</v>
      </c>
      <c r="G6200" s="0" t="s">
        <v>32</v>
      </c>
      <c r="H6200" s="0" t="n">
        <v>130</v>
      </c>
      <c r="I6200" s="0" t="s">
        <v>20665</v>
      </c>
      <c r="J6200" s="0" t="s">
        <v>20666</v>
      </c>
      <c r="K6200" s="0" t="s">
        <v>20667</v>
      </c>
      <c r="L6200" s="0" t="str">
        <f aca="false">HYPERLINK("https://www.ncbi.nlm.nih.gov/nuccore/CP000058.1?report=graph&amp;tracks=[key:gene_model_track,Options:GeneOnly]&amp;mk=1944996:1945015|offset_13|444444,1944944:1944963|offset_65|444444,1944914:1944933|offset_95|444444,1944879:1944898|offset_130|00cc00&amp;v=1944795:1945098&amp;c=444444", "offset 130")</f>
        <v>offset 130</v>
      </c>
    </row>
    <row r="6201" customFormat="false" ht="12.8" hidden="false" customHeight="false" outlineLevel="0" collapsed="false">
      <c r="A6201" s="0" t="s">
        <v>12</v>
      </c>
      <c r="B6201" s="0" t="n">
        <v>1945328</v>
      </c>
      <c r="C6201" s="0" t="n">
        <v>1945348</v>
      </c>
      <c r="D6201" s="0" t="s">
        <v>20668</v>
      </c>
      <c r="E6201" s="0" t="s">
        <v>75</v>
      </c>
      <c r="F6201" s="0" t="s">
        <v>15</v>
      </c>
      <c r="G6201" s="0" t="s">
        <v>32</v>
      </c>
      <c r="H6201" s="0" t="n">
        <v>1</v>
      </c>
      <c r="I6201" s="0" t="s">
        <v>20669</v>
      </c>
      <c r="J6201" s="0" t="s">
        <v>20670</v>
      </c>
      <c r="K6201" s="0" t="s">
        <v>20671</v>
      </c>
      <c r="L6201" s="0" t="str">
        <f aca="false">HYPERLINK("https://www.ncbi.nlm.nih.gov/nuccore/CP000058.1?report=graph&amp;tracks=[key:gene_model_track,Options:GeneOnly]&amp;mk=1945329:1945348|offset_1|00cc00,1945395:1945414|offset_67|444444,1945440:1945459|offset_112|444444,1945468:1945487|offset_140|444444&amp;v=1945128:1945687&amp;c=444444", "offset 1")</f>
        <v>offset 1</v>
      </c>
    </row>
    <row r="6202" customFormat="false" ht="12.8" hidden="false" customHeight="false" outlineLevel="0" collapsed="false">
      <c r="A6202" s="0" t="s">
        <v>12</v>
      </c>
      <c r="B6202" s="0" t="n">
        <v>1945394</v>
      </c>
      <c r="C6202" s="0" t="n">
        <v>1945414</v>
      </c>
      <c r="D6202" s="0" t="s">
        <v>20668</v>
      </c>
      <c r="E6202" s="0" t="s">
        <v>75</v>
      </c>
      <c r="F6202" s="0" t="s">
        <v>15</v>
      </c>
      <c r="G6202" s="0" t="s">
        <v>36</v>
      </c>
      <c r="H6202" s="0" t="n">
        <v>67</v>
      </c>
      <c r="I6202" s="0" t="s">
        <v>20672</v>
      </c>
      <c r="J6202" s="0" t="s">
        <v>20673</v>
      </c>
      <c r="K6202" s="0" t="s">
        <v>20674</v>
      </c>
      <c r="L6202" s="0" t="str">
        <f aca="false">HYPERLINK("https://www.ncbi.nlm.nih.gov/nuccore/CP000058.1?report=graph&amp;tracks=[key:gene_model_track,Options:GeneOnly]&amp;mk=1945329:1945348|offset_1|444444,1945395:1945414|offset_67|00cc00,1945440:1945459|offset_112|444444,1945468:1945487|offset_140|444444&amp;v=1945128:1945687&amp;c=444444", "offset 67")</f>
        <v>offset 67</v>
      </c>
    </row>
    <row r="6203" customFormat="false" ht="12.8" hidden="false" customHeight="false" outlineLevel="0" collapsed="false">
      <c r="A6203" s="0" t="s">
        <v>12</v>
      </c>
      <c r="B6203" s="0" t="n">
        <v>1945439</v>
      </c>
      <c r="C6203" s="0" t="n">
        <v>1945459</v>
      </c>
      <c r="D6203" s="0" t="s">
        <v>20668</v>
      </c>
      <c r="E6203" s="0" t="s">
        <v>75</v>
      </c>
      <c r="F6203" s="0" t="s">
        <v>15</v>
      </c>
      <c r="G6203" s="0" t="s">
        <v>36</v>
      </c>
      <c r="H6203" s="0" t="n">
        <v>112</v>
      </c>
      <c r="I6203" s="0" t="s">
        <v>20675</v>
      </c>
      <c r="J6203" s="0" t="s">
        <v>20676</v>
      </c>
      <c r="K6203" s="0" t="s">
        <v>20677</v>
      </c>
      <c r="L6203" s="0" t="str">
        <f aca="false">HYPERLINK("https://www.ncbi.nlm.nih.gov/nuccore/CP000058.1?report=graph&amp;tracks=[key:gene_model_track,Options:GeneOnly]&amp;mk=1945329:1945348|offset_1|444444,1945395:1945414|offset_67|444444,1945440:1945459|offset_112|00cc00,1945468:1945487|offset_140|444444&amp;v=1945128:1945687&amp;c=444444", "offset 112")</f>
        <v>offset 112</v>
      </c>
    </row>
    <row r="6204" customFormat="false" ht="12.8" hidden="false" customHeight="false" outlineLevel="0" collapsed="false">
      <c r="A6204" s="0" t="s">
        <v>12</v>
      </c>
      <c r="B6204" s="0" t="n">
        <v>1945467</v>
      </c>
      <c r="C6204" s="0" t="n">
        <v>1945487</v>
      </c>
      <c r="D6204" s="0" t="s">
        <v>20668</v>
      </c>
      <c r="E6204" s="0" t="s">
        <v>75</v>
      </c>
      <c r="F6204" s="0" t="s">
        <v>15</v>
      </c>
      <c r="G6204" s="0" t="s">
        <v>20</v>
      </c>
      <c r="H6204" s="0" t="n">
        <v>140</v>
      </c>
      <c r="I6204" s="0" t="s">
        <v>20678</v>
      </c>
      <c r="J6204" s="0" t="s">
        <v>20679</v>
      </c>
      <c r="K6204" s="0" t="s">
        <v>20680</v>
      </c>
      <c r="L6204" s="0" t="str">
        <f aca="false">HYPERLINK("https://www.ncbi.nlm.nih.gov/nuccore/CP000058.1?report=graph&amp;tracks=[key:gene_model_track,Options:GeneOnly]&amp;mk=1945329:1945348|offset_1|444444,1945395:1945414|offset_67|444444,1945440:1945459|offset_112|444444,1945468:1945487|offset_140|00cc00&amp;v=1945128:1945687&amp;c=444444", "offset 140")</f>
        <v>offset 140</v>
      </c>
    </row>
    <row r="6205" customFormat="false" ht="12.8" hidden="false" customHeight="false" outlineLevel="0" collapsed="false">
      <c r="A6205" s="0" t="s">
        <v>12</v>
      </c>
      <c r="B6205" s="0" t="n">
        <v>1946428</v>
      </c>
      <c r="C6205" s="0" t="n">
        <v>1946448</v>
      </c>
      <c r="D6205" s="0" t="s">
        <v>20681</v>
      </c>
      <c r="E6205" s="0" t="s">
        <v>75</v>
      </c>
      <c r="F6205" s="0" t="s">
        <v>15</v>
      </c>
      <c r="G6205" s="0" t="s">
        <v>16</v>
      </c>
      <c r="H6205" s="0" t="n">
        <v>7</v>
      </c>
      <c r="I6205" s="0" t="s">
        <v>20682</v>
      </c>
      <c r="J6205" s="0" t="s">
        <v>20683</v>
      </c>
      <c r="K6205" s="0" t="s">
        <v>20684</v>
      </c>
      <c r="L6205" s="0" t="str">
        <f aca="false">HYPERLINK("https://www.ncbi.nlm.nih.gov/nuccore/CP000058.1?report=graph&amp;tracks=[key:gene_model_track,Options:GeneOnly]&amp;mk=1946429:1946448|offset_7|00cc00,1946468:1946487|offset_46|444444,1946508:1946527|offset_86|444444,1946570:1946589|offset_148|444444&amp;v=1946228:1946789&amp;c=444444", "offset 7")</f>
        <v>offset 7</v>
      </c>
    </row>
    <row r="6206" customFormat="false" ht="12.8" hidden="false" customHeight="false" outlineLevel="0" collapsed="false">
      <c r="A6206" s="0" t="s">
        <v>12</v>
      </c>
      <c r="B6206" s="0" t="n">
        <v>1946467</v>
      </c>
      <c r="C6206" s="0" t="n">
        <v>1946487</v>
      </c>
      <c r="D6206" s="0" t="s">
        <v>20681</v>
      </c>
      <c r="E6206" s="0" t="s">
        <v>75</v>
      </c>
      <c r="F6206" s="0" t="s">
        <v>15</v>
      </c>
      <c r="G6206" s="0" t="s">
        <v>32</v>
      </c>
      <c r="H6206" s="0" t="n">
        <v>46</v>
      </c>
      <c r="I6206" s="0" t="s">
        <v>20685</v>
      </c>
      <c r="J6206" s="0" t="s">
        <v>20686</v>
      </c>
      <c r="K6206" s="0" t="s">
        <v>20687</v>
      </c>
      <c r="L6206" s="0" t="str">
        <f aca="false">HYPERLINK("https://www.ncbi.nlm.nih.gov/nuccore/CP000058.1?report=graph&amp;tracks=[key:gene_model_track,Options:GeneOnly]&amp;mk=1946429:1946448|offset_7|444444,1946468:1946487|offset_46|00cc00,1946508:1946527|offset_86|444444,1946570:1946589|offset_148|444444&amp;v=1946228:1946789&amp;c=444444", "offset 46")</f>
        <v>offset 46</v>
      </c>
    </row>
    <row r="6207" customFormat="false" ht="12.8" hidden="false" customHeight="false" outlineLevel="0" collapsed="false">
      <c r="A6207" s="0" t="s">
        <v>12</v>
      </c>
      <c r="B6207" s="0" t="n">
        <v>1946507</v>
      </c>
      <c r="C6207" s="0" t="n">
        <v>1946527</v>
      </c>
      <c r="D6207" s="0" t="s">
        <v>20681</v>
      </c>
      <c r="E6207" s="0" t="s">
        <v>75</v>
      </c>
      <c r="F6207" s="0" t="s">
        <v>15</v>
      </c>
      <c r="G6207" s="0" t="s">
        <v>32</v>
      </c>
      <c r="H6207" s="0" t="n">
        <v>86</v>
      </c>
      <c r="I6207" s="0" t="s">
        <v>20688</v>
      </c>
      <c r="J6207" s="0" t="s">
        <v>20689</v>
      </c>
      <c r="K6207" s="0" t="s">
        <v>20690</v>
      </c>
      <c r="L6207" s="0" t="str">
        <f aca="false">HYPERLINK("https://www.ncbi.nlm.nih.gov/nuccore/CP000058.1?report=graph&amp;tracks=[key:gene_model_track,Options:GeneOnly]&amp;mk=1946429:1946448|offset_7|444444,1946468:1946487|offset_46|444444,1946508:1946527|offset_86|00cc00,1946570:1946589|offset_148|444444&amp;v=1946228:1946789&amp;c=444444", "offset 86")</f>
        <v>offset 86</v>
      </c>
    </row>
    <row r="6208" customFormat="false" ht="12.8" hidden="false" customHeight="false" outlineLevel="0" collapsed="false">
      <c r="A6208" s="0" t="s">
        <v>12</v>
      </c>
      <c r="B6208" s="0" t="n">
        <v>1946569</v>
      </c>
      <c r="C6208" s="0" t="n">
        <v>1946589</v>
      </c>
      <c r="D6208" s="0" t="s">
        <v>20681</v>
      </c>
      <c r="E6208" s="0" t="s">
        <v>75</v>
      </c>
      <c r="F6208" s="0" t="s">
        <v>15</v>
      </c>
      <c r="G6208" s="0" t="s">
        <v>36</v>
      </c>
      <c r="H6208" s="0" t="n">
        <v>148</v>
      </c>
      <c r="I6208" s="0" t="s">
        <v>20691</v>
      </c>
      <c r="J6208" s="0" t="s">
        <v>20692</v>
      </c>
      <c r="K6208" s="0" t="s">
        <v>20693</v>
      </c>
      <c r="L6208" s="0" t="str">
        <f aca="false">HYPERLINK("https://www.ncbi.nlm.nih.gov/nuccore/CP000058.1?report=graph&amp;tracks=[key:gene_model_track,Options:GeneOnly]&amp;mk=1946429:1946448|offset_7|444444,1946468:1946487|offset_46|444444,1946508:1946527|offset_86|444444,1946570:1946589|offset_148|00cc00&amp;v=1946228:1946789&amp;c=444444", "offset 148")</f>
        <v>offset 148</v>
      </c>
    </row>
    <row r="6209" customFormat="false" ht="12.8" hidden="false" customHeight="false" outlineLevel="0" collapsed="false">
      <c r="A6209" s="0" t="s">
        <v>12</v>
      </c>
      <c r="B6209" s="0" t="n">
        <v>1947557</v>
      </c>
      <c r="C6209" s="0" t="n">
        <v>1947577</v>
      </c>
      <c r="D6209" s="0" t="s">
        <v>20694</v>
      </c>
      <c r="E6209" s="0" t="s">
        <v>75</v>
      </c>
      <c r="F6209" s="0" t="s">
        <v>15</v>
      </c>
      <c r="G6209" s="0" t="s">
        <v>20</v>
      </c>
      <c r="H6209" s="0" t="n">
        <v>19</v>
      </c>
      <c r="I6209" s="0" t="s">
        <v>20695</v>
      </c>
      <c r="J6209" s="0" t="s">
        <v>20696</v>
      </c>
      <c r="K6209" s="0" t="s">
        <v>20697</v>
      </c>
      <c r="L6209" s="0" t="str">
        <f aca="false">HYPERLINK("https://www.ncbi.nlm.nih.gov/nuccore/CP000058.1?report=graph&amp;tracks=[key:gene_model_track,Options:GeneOnly]&amp;mk=1947558:1947577|offset_19|00cc00,1947610:1947629|offset_71|444444,1947655:1947674|offset_116|444444,1947691:1947710|offset_152|444444&amp;v=1947357:1947910&amp;c=444444", "offset 19")</f>
        <v>offset 19</v>
      </c>
    </row>
    <row r="6210" customFormat="false" ht="12.8" hidden="false" customHeight="false" outlineLevel="0" collapsed="false">
      <c r="A6210" s="0" t="s">
        <v>12</v>
      </c>
      <c r="B6210" s="0" t="n">
        <v>1947609</v>
      </c>
      <c r="C6210" s="0" t="n">
        <v>1947629</v>
      </c>
      <c r="D6210" s="0" t="s">
        <v>20694</v>
      </c>
      <c r="E6210" s="0" t="s">
        <v>75</v>
      </c>
      <c r="F6210" s="0" t="s">
        <v>15</v>
      </c>
      <c r="G6210" s="0" t="s">
        <v>36</v>
      </c>
      <c r="H6210" s="0" t="n">
        <v>71</v>
      </c>
      <c r="I6210" s="0" t="s">
        <v>20698</v>
      </c>
      <c r="J6210" s="0" t="s">
        <v>20699</v>
      </c>
      <c r="K6210" s="0" t="s">
        <v>20700</v>
      </c>
      <c r="L6210" s="0" t="str">
        <f aca="false">HYPERLINK("https://www.ncbi.nlm.nih.gov/nuccore/CP000058.1?report=graph&amp;tracks=[key:gene_model_track,Options:GeneOnly]&amp;mk=1947558:1947577|offset_19|444444,1947610:1947629|offset_71|00cc00,1947655:1947674|offset_116|444444,1947691:1947710|offset_152|444444&amp;v=1947357:1947910&amp;c=444444", "offset 71")</f>
        <v>offset 71</v>
      </c>
    </row>
    <row r="6211" customFormat="false" ht="12.8" hidden="false" customHeight="false" outlineLevel="0" collapsed="false">
      <c r="A6211" s="0" t="s">
        <v>12</v>
      </c>
      <c r="B6211" s="0" t="n">
        <v>1947654</v>
      </c>
      <c r="C6211" s="0" t="n">
        <v>1947674</v>
      </c>
      <c r="D6211" s="0" t="s">
        <v>20694</v>
      </c>
      <c r="E6211" s="0" t="s">
        <v>75</v>
      </c>
      <c r="F6211" s="0" t="s">
        <v>15</v>
      </c>
      <c r="G6211" s="0" t="s">
        <v>32</v>
      </c>
      <c r="H6211" s="0" t="n">
        <v>116</v>
      </c>
      <c r="I6211" s="0" t="s">
        <v>20701</v>
      </c>
      <c r="J6211" s="0" t="s">
        <v>20702</v>
      </c>
      <c r="K6211" s="0" t="s">
        <v>20703</v>
      </c>
      <c r="L6211" s="0" t="str">
        <f aca="false">HYPERLINK("https://www.ncbi.nlm.nih.gov/nuccore/CP000058.1?report=graph&amp;tracks=[key:gene_model_track,Options:GeneOnly]&amp;mk=1947558:1947577|offset_19|444444,1947610:1947629|offset_71|444444,1947655:1947674|offset_116|00cc00,1947691:1947710|offset_152|444444&amp;v=1947357:1947910&amp;c=444444", "offset 116")</f>
        <v>offset 116</v>
      </c>
    </row>
    <row r="6212" customFormat="false" ht="12.8" hidden="false" customHeight="false" outlineLevel="0" collapsed="false">
      <c r="A6212" s="0" t="s">
        <v>12</v>
      </c>
      <c r="B6212" s="0" t="n">
        <v>1947690</v>
      </c>
      <c r="C6212" s="0" t="n">
        <v>1947710</v>
      </c>
      <c r="D6212" s="0" t="s">
        <v>20694</v>
      </c>
      <c r="E6212" s="0" t="s">
        <v>75</v>
      </c>
      <c r="F6212" s="0" t="s">
        <v>15</v>
      </c>
      <c r="G6212" s="0" t="s">
        <v>16</v>
      </c>
      <c r="H6212" s="0" t="n">
        <v>152</v>
      </c>
      <c r="I6212" s="0" t="s">
        <v>20704</v>
      </c>
      <c r="J6212" s="0" t="s">
        <v>20705</v>
      </c>
      <c r="K6212" s="0" t="s">
        <v>20706</v>
      </c>
      <c r="L6212" s="0" t="str">
        <f aca="false">HYPERLINK("https://www.ncbi.nlm.nih.gov/nuccore/CP000058.1?report=graph&amp;tracks=[key:gene_model_track,Options:GeneOnly]&amp;mk=1947558:1947577|offset_19|444444,1947610:1947629|offset_71|444444,1947655:1947674|offset_116|444444,1947691:1947710|offset_152|00cc00&amp;v=1947357:1947910&amp;c=444444", "offset 152")</f>
        <v>offset 152</v>
      </c>
    </row>
    <row r="6213" customFormat="false" ht="12.8" hidden="false" customHeight="false" outlineLevel="0" collapsed="false">
      <c r="A6213" s="0" t="s">
        <v>12</v>
      </c>
      <c r="B6213" s="0" t="n">
        <v>1948430</v>
      </c>
      <c r="C6213" s="0" t="n">
        <v>1948450</v>
      </c>
      <c r="D6213" s="0" t="s">
        <v>20707</v>
      </c>
      <c r="E6213" s="0" t="s">
        <v>75</v>
      </c>
      <c r="F6213" s="0" t="s">
        <v>15</v>
      </c>
      <c r="G6213" s="0" t="s">
        <v>16</v>
      </c>
      <c r="H6213" s="0" t="n">
        <v>24</v>
      </c>
      <c r="I6213" s="0" t="s">
        <v>20708</v>
      </c>
      <c r="J6213" s="0" t="s">
        <v>20709</v>
      </c>
      <c r="K6213" s="0" t="s">
        <v>20710</v>
      </c>
      <c r="L6213" s="0" t="str">
        <f aca="false">HYPERLINK("https://www.ncbi.nlm.nih.gov/nuccore/CP000058.1?report=graph&amp;tracks=[key:gene_model_track,Options:GeneOnly]&amp;mk=1948431:1948450|offset_24|00cc00,1948464:1948483|offset_57|444444,1948498:1948517|offset_91|444444,1948520:1948539|offset_113|444444&amp;v=1948230:1948739&amp;c=444444", "offset 24")</f>
        <v>offset 24</v>
      </c>
    </row>
    <row r="6214" customFormat="false" ht="12.8" hidden="false" customHeight="false" outlineLevel="0" collapsed="false">
      <c r="A6214" s="0" t="s">
        <v>12</v>
      </c>
      <c r="B6214" s="0" t="n">
        <v>1948463</v>
      </c>
      <c r="C6214" s="0" t="n">
        <v>1948483</v>
      </c>
      <c r="D6214" s="0" t="s">
        <v>20707</v>
      </c>
      <c r="E6214" s="0" t="s">
        <v>75</v>
      </c>
      <c r="F6214" s="0" t="s">
        <v>15</v>
      </c>
      <c r="G6214" s="0" t="s">
        <v>16</v>
      </c>
      <c r="H6214" s="0" t="n">
        <v>57</v>
      </c>
      <c r="I6214" s="0" t="s">
        <v>20711</v>
      </c>
      <c r="J6214" s="0" t="s">
        <v>20712</v>
      </c>
      <c r="K6214" s="0" t="s">
        <v>20713</v>
      </c>
      <c r="L6214" s="0" t="str">
        <f aca="false">HYPERLINK("https://www.ncbi.nlm.nih.gov/nuccore/CP000058.1?report=graph&amp;tracks=[key:gene_model_track,Options:GeneOnly]&amp;mk=1948431:1948450|offset_24|444444,1948464:1948483|offset_57|00cc00,1948498:1948517|offset_91|444444,1948520:1948539|offset_113|444444&amp;v=1948230:1948739&amp;c=444444", "offset 57")</f>
        <v>offset 57</v>
      </c>
    </row>
    <row r="6215" customFormat="false" ht="12.8" hidden="false" customHeight="false" outlineLevel="0" collapsed="false">
      <c r="A6215" s="0" t="s">
        <v>12</v>
      </c>
      <c r="B6215" s="0" t="n">
        <v>1948497</v>
      </c>
      <c r="C6215" s="0" t="n">
        <v>1948517</v>
      </c>
      <c r="D6215" s="0" t="s">
        <v>20707</v>
      </c>
      <c r="E6215" s="0" t="s">
        <v>75</v>
      </c>
      <c r="F6215" s="0" t="s">
        <v>15</v>
      </c>
      <c r="G6215" s="0" t="s">
        <v>32</v>
      </c>
      <c r="H6215" s="0" t="n">
        <v>91</v>
      </c>
      <c r="I6215" s="0" t="s">
        <v>20714</v>
      </c>
      <c r="J6215" s="0" t="s">
        <v>20715</v>
      </c>
      <c r="K6215" s="0" t="s">
        <v>20716</v>
      </c>
      <c r="L6215" s="0" t="str">
        <f aca="false">HYPERLINK("https://www.ncbi.nlm.nih.gov/nuccore/CP000058.1?report=graph&amp;tracks=[key:gene_model_track,Options:GeneOnly]&amp;mk=1948431:1948450|offset_24|444444,1948464:1948483|offset_57|444444,1948498:1948517|offset_91|00cc00,1948520:1948539|offset_113|444444&amp;v=1948230:1948739&amp;c=444444", "offset 91")</f>
        <v>offset 91</v>
      </c>
    </row>
    <row r="6216" customFormat="false" ht="12.8" hidden="false" customHeight="false" outlineLevel="0" collapsed="false">
      <c r="A6216" s="0" t="s">
        <v>12</v>
      </c>
      <c r="B6216" s="0" t="n">
        <v>1948519</v>
      </c>
      <c r="C6216" s="0" t="n">
        <v>1948539</v>
      </c>
      <c r="D6216" s="0" t="s">
        <v>20707</v>
      </c>
      <c r="E6216" s="0" t="s">
        <v>75</v>
      </c>
      <c r="F6216" s="0" t="s">
        <v>15</v>
      </c>
      <c r="G6216" s="0" t="s">
        <v>20</v>
      </c>
      <c r="H6216" s="0" t="n">
        <v>113</v>
      </c>
      <c r="I6216" s="0" t="s">
        <v>20717</v>
      </c>
      <c r="J6216" s="0" t="s">
        <v>20718</v>
      </c>
      <c r="K6216" s="0" t="s">
        <v>20719</v>
      </c>
      <c r="L6216" s="0" t="str">
        <f aca="false">HYPERLINK("https://www.ncbi.nlm.nih.gov/nuccore/CP000058.1?report=graph&amp;tracks=[key:gene_model_track,Options:GeneOnly]&amp;mk=1948431:1948450|offset_24|444444,1948464:1948483|offset_57|444444,1948498:1948517|offset_91|444444,1948520:1948539|offset_113|00cc00&amp;v=1948230:1948739&amp;c=444444", "offset 113")</f>
        <v>offset 113</v>
      </c>
    </row>
    <row r="6217" customFormat="false" ht="12.8" hidden="false" customHeight="false" outlineLevel="0" collapsed="false">
      <c r="A6217" s="0" t="s">
        <v>12</v>
      </c>
      <c r="B6217" s="0" t="n">
        <v>1949235</v>
      </c>
      <c r="C6217" s="0" t="n">
        <v>1949255</v>
      </c>
      <c r="D6217" s="0" t="s">
        <v>20720</v>
      </c>
      <c r="E6217" s="0" t="s">
        <v>75</v>
      </c>
      <c r="F6217" s="0" t="s">
        <v>15</v>
      </c>
      <c r="G6217" s="0" t="s">
        <v>20</v>
      </c>
      <c r="H6217" s="0" t="n">
        <v>16</v>
      </c>
      <c r="I6217" s="0" t="s">
        <v>20721</v>
      </c>
      <c r="J6217" s="0" t="s">
        <v>20722</v>
      </c>
      <c r="K6217" s="0" t="s">
        <v>20723</v>
      </c>
      <c r="L6217" s="0" t="str">
        <f aca="false">HYPERLINK("https://www.ncbi.nlm.nih.gov/nuccore/CP000058.1?report=graph&amp;tracks=[key:gene_model_track,Options:GeneOnly]&amp;mk=1949236:1949255|offset_16|00cc00,1949257:1949276|offset_37|444444,1949296:1949315|offset_76|444444,1949330:1949349|offset_110|444444&amp;v=1949035:1949549&amp;c=444444", "offset 16")</f>
        <v>offset 16</v>
      </c>
    </row>
    <row r="6218" customFormat="false" ht="12.8" hidden="false" customHeight="false" outlineLevel="0" collapsed="false">
      <c r="A6218" s="0" t="s">
        <v>12</v>
      </c>
      <c r="B6218" s="0" t="n">
        <v>1949256</v>
      </c>
      <c r="C6218" s="0" t="n">
        <v>1949276</v>
      </c>
      <c r="D6218" s="0" t="s">
        <v>20720</v>
      </c>
      <c r="E6218" s="0" t="s">
        <v>75</v>
      </c>
      <c r="F6218" s="0" t="s">
        <v>15</v>
      </c>
      <c r="G6218" s="0" t="s">
        <v>20</v>
      </c>
      <c r="H6218" s="0" t="n">
        <v>37</v>
      </c>
      <c r="I6218" s="0" t="s">
        <v>20724</v>
      </c>
      <c r="J6218" s="0" t="s">
        <v>20725</v>
      </c>
      <c r="K6218" s="0" t="s">
        <v>20726</v>
      </c>
      <c r="L6218" s="0" t="str">
        <f aca="false">HYPERLINK("https://www.ncbi.nlm.nih.gov/nuccore/CP000058.1?report=graph&amp;tracks=[key:gene_model_track,Options:GeneOnly]&amp;mk=1949236:1949255|offset_16|444444,1949257:1949276|offset_37|00cc00,1949296:1949315|offset_76|444444,1949330:1949349|offset_110|444444&amp;v=1949035:1949549&amp;c=444444", "offset 37")</f>
        <v>offset 37</v>
      </c>
    </row>
    <row r="6219" customFormat="false" ht="12.8" hidden="false" customHeight="false" outlineLevel="0" collapsed="false">
      <c r="A6219" s="0" t="s">
        <v>12</v>
      </c>
      <c r="B6219" s="0" t="n">
        <v>1949295</v>
      </c>
      <c r="C6219" s="0" t="n">
        <v>1949315</v>
      </c>
      <c r="D6219" s="0" t="s">
        <v>20720</v>
      </c>
      <c r="E6219" s="0" t="s">
        <v>75</v>
      </c>
      <c r="F6219" s="0" t="s">
        <v>15</v>
      </c>
      <c r="G6219" s="0" t="s">
        <v>16</v>
      </c>
      <c r="H6219" s="0" t="n">
        <v>76</v>
      </c>
      <c r="I6219" s="0" t="s">
        <v>20727</v>
      </c>
      <c r="J6219" s="0" t="s">
        <v>20728</v>
      </c>
      <c r="K6219" s="0" t="s">
        <v>20729</v>
      </c>
      <c r="L6219" s="0" t="str">
        <f aca="false">HYPERLINK("https://www.ncbi.nlm.nih.gov/nuccore/CP000058.1?report=graph&amp;tracks=[key:gene_model_track,Options:GeneOnly]&amp;mk=1949236:1949255|offset_16|444444,1949257:1949276|offset_37|444444,1949296:1949315|offset_76|00cc00,1949330:1949349|offset_110|444444&amp;v=1949035:1949549&amp;c=444444", "offset 76")</f>
        <v>offset 76</v>
      </c>
    </row>
    <row r="6220" customFormat="false" ht="12.8" hidden="false" customHeight="false" outlineLevel="0" collapsed="false">
      <c r="A6220" s="0" t="s">
        <v>12</v>
      </c>
      <c r="B6220" s="0" t="n">
        <v>1949329</v>
      </c>
      <c r="C6220" s="0" t="n">
        <v>1949349</v>
      </c>
      <c r="D6220" s="0" t="s">
        <v>20720</v>
      </c>
      <c r="E6220" s="0" t="s">
        <v>75</v>
      </c>
      <c r="F6220" s="0" t="s">
        <v>15</v>
      </c>
      <c r="G6220" s="0" t="s">
        <v>16</v>
      </c>
      <c r="H6220" s="0" t="n">
        <v>110</v>
      </c>
      <c r="I6220" s="0" t="s">
        <v>20730</v>
      </c>
      <c r="J6220" s="0" t="s">
        <v>20731</v>
      </c>
      <c r="K6220" s="0" t="s">
        <v>20732</v>
      </c>
      <c r="L6220" s="0" t="str">
        <f aca="false">HYPERLINK("https://www.ncbi.nlm.nih.gov/nuccore/CP000058.1?report=graph&amp;tracks=[key:gene_model_track,Options:GeneOnly]&amp;mk=1949236:1949255|offset_16|444444,1949257:1949276|offset_37|444444,1949296:1949315|offset_76|444444,1949330:1949349|offset_110|00cc00&amp;v=1949035:1949549&amp;c=444444", "offset 110")</f>
        <v>offset 110</v>
      </c>
    </row>
    <row r="6221" customFormat="false" ht="12.8" hidden="false" customHeight="false" outlineLevel="0" collapsed="false">
      <c r="A6221" s="0" t="s">
        <v>12</v>
      </c>
      <c r="B6221" s="0" t="n">
        <v>1949701</v>
      </c>
      <c r="C6221" s="0" t="n">
        <v>1949721</v>
      </c>
      <c r="D6221" s="0" t="s">
        <v>20733</v>
      </c>
      <c r="E6221" s="0" t="s">
        <v>75</v>
      </c>
      <c r="F6221" s="0" t="s">
        <v>15</v>
      </c>
      <c r="G6221" s="0" t="s">
        <v>32</v>
      </c>
      <c r="H6221" s="0" t="n">
        <v>124</v>
      </c>
      <c r="I6221" s="0" t="s">
        <v>20734</v>
      </c>
      <c r="J6221" s="0" t="s">
        <v>20735</v>
      </c>
      <c r="K6221" s="0" t="s">
        <v>20736</v>
      </c>
      <c r="L6221" s="0" t="str">
        <f aca="false">HYPERLINK("https://www.ncbi.nlm.nih.gov/nuccore/CP000058.1?report=graph&amp;tracks=[key:gene_model_track,Options:GeneOnly]&amp;mk=1949702:1949721|offset_124|00cc00,1949729:1949748|offset_151|444444,1949771:1949790|offset_193|444444,1949816:1949835|offset_238|444444&amp;v=1949501:1950035&amp;c=444444", "offset 124")</f>
        <v>offset 124</v>
      </c>
    </row>
    <row r="6222" customFormat="false" ht="12.8" hidden="false" customHeight="false" outlineLevel="0" collapsed="false">
      <c r="A6222" s="0" t="s">
        <v>12</v>
      </c>
      <c r="B6222" s="0" t="n">
        <v>1949728</v>
      </c>
      <c r="C6222" s="0" t="n">
        <v>1949748</v>
      </c>
      <c r="D6222" s="0" t="s">
        <v>20733</v>
      </c>
      <c r="E6222" s="0" t="s">
        <v>75</v>
      </c>
      <c r="F6222" s="0" t="s">
        <v>15</v>
      </c>
      <c r="G6222" s="0" t="s">
        <v>16</v>
      </c>
      <c r="H6222" s="0" t="n">
        <v>151</v>
      </c>
      <c r="I6222" s="0" t="s">
        <v>20737</v>
      </c>
      <c r="J6222" s="0" t="s">
        <v>20738</v>
      </c>
      <c r="K6222" s="0" t="s">
        <v>20739</v>
      </c>
      <c r="L6222" s="0" t="str">
        <f aca="false">HYPERLINK("https://www.ncbi.nlm.nih.gov/nuccore/CP000058.1?report=graph&amp;tracks=[key:gene_model_track,Options:GeneOnly]&amp;mk=1949702:1949721|offset_124|444444,1949729:1949748|offset_151|00cc00,1949771:1949790|offset_193|444444,1949816:1949835|offset_238|444444&amp;v=1949501:1950035&amp;c=444444", "offset 151")</f>
        <v>offset 151</v>
      </c>
    </row>
    <row r="6223" customFormat="false" ht="12.8" hidden="false" customHeight="false" outlineLevel="0" collapsed="false">
      <c r="A6223" s="0" t="s">
        <v>12</v>
      </c>
      <c r="B6223" s="0" t="n">
        <v>1949770</v>
      </c>
      <c r="C6223" s="0" t="n">
        <v>1949790</v>
      </c>
      <c r="D6223" s="0" t="s">
        <v>20733</v>
      </c>
      <c r="E6223" s="0" t="s">
        <v>75</v>
      </c>
      <c r="F6223" s="0" t="s">
        <v>15</v>
      </c>
      <c r="G6223" s="0" t="s">
        <v>16</v>
      </c>
      <c r="H6223" s="0" t="n">
        <v>193</v>
      </c>
      <c r="I6223" s="0" t="s">
        <v>20740</v>
      </c>
      <c r="J6223" s="0" t="s">
        <v>20741</v>
      </c>
      <c r="K6223" s="0" t="s">
        <v>20742</v>
      </c>
      <c r="L6223" s="0" t="str">
        <f aca="false">HYPERLINK("https://www.ncbi.nlm.nih.gov/nuccore/CP000058.1?report=graph&amp;tracks=[key:gene_model_track,Options:GeneOnly]&amp;mk=1949702:1949721|offset_124|444444,1949729:1949748|offset_151|444444,1949771:1949790|offset_193|00cc00,1949816:1949835|offset_238|444444&amp;v=1949501:1950035&amp;c=444444", "offset 193")</f>
        <v>offset 193</v>
      </c>
    </row>
    <row r="6224" customFormat="false" ht="12.8" hidden="false" customHeight="false" outlineLevel="0" collapsed="false">
      <c r="A6224" s="0" t="s">
        <v>12</v>
      </c>
      <c r="B6224" s="0" t="n">
        <v>1949815</v>
      </c>
      <c r="C6224" s="0" t="n">
        <v>1949835</v>
      </c>
      <c r="D6224" s="0" t="s">
        <v>20733</v>
      </c>
      <c r="E6224" s="0" t="s">
        <v>75</v>
      </c>
      <c r="F6224" s="0" t="s">
        <v>15</v>
      </c>
      <c r="G6224" s="0" t="s">
        <v>36</v>
      </c>
      <c r="H6224" s="0" t="n">
        <v>238</v>
      </c>
      <c r="I6224" s="0" t="s">
        <v>20743</v>
      </c>
      <c r="J6224" s="0" t="s">
        <v>20744</v>
      </c>
      <c r="K6224" s="0" t="s">
        <v>20745</v>
      </c>
      <c r="L6224" s="0" t="str">
        <f aca="false">HYPERLINK("https://www.ncbi.nlm.nih.gov/nuccore/CP000058.1?report=graph&amp;tracks=[key:gene_model_track,Options:GeneOnly]&amp;mk=1949702:1949721|offset_124|444444,1949729:1949748|offset_151|444444,1949771:1949790|offset_193|444444,1949816:1949835|offset_238|00cc00&amp;v=1949501:1950035&amp;c=444444", "offset 238")</f>
        <v>offset 238</v>
      </c>
    </row>
    <row r="6225" customFormat="false" ht="12.8" hidden="false" customHeight="false" outlineLevel="0" collapsed="false">
      <c r="A6225" s="0" t="s">
        <v>12</v>
      </c>
      <c r="B6225" s="0" t="n">
        <v>1952210</v>
      </c>
      <c r="C6225" s="0" t="n">
        <v>1952230</v>
      </c>
      <c r="D6225" s="0" t="s">
        <v>20746</v>
      </c>
      <c r="E6225" s="0" t="s">
        <v>20747</v>
      </c>
      <c r="F6225" s="0" t="s">
        <v>90</v>
      </c>
      <c r="G6225" s="0" t="s">
        <v>16</v>
      </c>
      <c r="H6225" s="0" t="n">
        <v>37</v>
      </c>
      <c r="I6225" s="0" t="s">
        <v>20748</v>
      </c>
      <c r="J6225" s="0" t="s">
        <v>20749</v>
      </c>
      <c r="K6225" s="0" t="s">
        <v>20750</v>
      </c>
      <c r="L6225" s="0" t="str">
        <f aca="false">HYPERLINK("https://www.ncbi.nlm.nih.gov/nuccore/CP000058.1?report=graph&amp;tracks=[key:gene_model_track,Options:GeneOnly]&amp;mk=1952211:1952230|offset_37|00cc00,1952187:1952206|offset_61|444444,1952165:1952184|offset_83|444444,1952141:1952160|offset_107|444444&amp;v=1952010:1952360&amp;c=444444", "offset 37")</f>
        <v>offset 37</v>
      </c>
    </row>
    <row r="6226" customFormat="false" ht="12.8" hidden="false" customHeight="false" outlineLevel="0" collapsed="false">
      <c r="A6226" s="0" t="s">
        <v>12</v>
      </c>
      <c r="B6226" s="0" t="n">
        <v>1952186</v>
      </c>
      <c r="C6226" s="0" t="n">
        <v>1952206</v>
      </c>
      <c r="D6226" s="0" t="s">
        <v>20746</v>
      </c>
      <c r="E6226" s="0" t="s">
        <v>20747</v>
      </c>
      <c r="F6226" s="0" t="s">
        <v>90</v>
      </c>
      <c r="G6226" s="0" t="s">
        <v>32</v>
      </c>
      <c r="H6226" s="0" t="n">
        <v>61</v>
      </c>
      <c r="I6226" s="0" t="s">
        <v>20751</v>
      </c>
      <c r="J6226" s="0" t="s">
        <v>20752</v>
      </c>
      <c r="K6226" s="0" t="s">
        <v>20753</v>
      </c>
      <c r="L6226" s="0" t="str">
        <f aca="false">HYPERLINK("https://www.ncbi.nlm.nih.gov/nuccore/CP000058.1?report=graph&amp;tracks=[key:gene_model_track,Options:GeneOnly]&amp;mk=1952211:1952230|offset_37|444444,1952187:1952206|offset_61|00cc00,1952165:1952184|offset_83|444444,1952141:1952160|offset_107|444444&amp;v=1952010:1952360&amp;c=444444", "offset 61")</f>
        <v>offset 61</v>
      </c>
    </row>
    <row r="6227" customFormat="false" ht="12.8" hidden="false" customHeight="false" outlineLevel="0" collapsed="false">
      <c r="A6227" s="0" t="s">
        <v>12</v>
      </c>
      <c r="B6227" s="0" t="n">
        <v>1952164</v>
      </c>
      <c r="C6227" s="0" t="n">
        <v>1952184</v>
      </c>
      <c r="D6227" s="0" t="s">
        <v>20746</v>
      </c>
      <c r="E6227" s="0" t="s">
        <v>20747</v>
      </c>
      <c r="F6227" s="0" t="s">
        <v>90</v>
      </c>
      <c r="G6227" s="0" t="s">
        <v>32</v>
      </c>
      <c r="H6227" s="0" t="n">
        <v>83</v>
      </c>
      <c r="I6227" s="0" t="s">
        <v>20754</v>
      </c>
      <c r="J6227" s="0" t="s">
        <v>20755</v>
      </c>
      <c r="K6227" s="0" t="s">
        <v>20756</v>
      </c>
      <c r="L6227" s="0" t="str">
        <f aca="false">HYPERLINK("https://www.ncbi.nlm.nih.gov/nuccore/CP000058.1?report=graph&amp;tracks=[key:gene_model_track,Options:GeneOnly]&amp;mk=1952211:1952230|offset_37|444444,1952187:1952206|offset_61|444444,1952165:1952184|offset_83|00cc00,1952141:1952160|offset_107|444444&amp;v=1952010:1952360&amp;c=444444", "offset 83")</f>
        <v>offset 83</v>
      </c>
    </row>
    <row r="6228" customFormat="false" ht="12.8" hidden="false" customHeight="false" outlineLevel="0" collapsed="false">
      <c r="A6228" s="0" t="s">
        <v>12</v>
      </c>
      <c r="B6228" s="0" t="n">
        <v>1952140</v>
      </c>
      <c r="C6228" s="0" t="n">
        <v>1952160</v>
      </c>
      <c r="D6228" s="0" t="s">
        <v>20746</v>
      </c>
      <c r="E6228" s="0" t="s">
        <v>20747</v>
      </c>
      <c r="F6228" s="0" t="s">
        <v>90</v>
      </c>
      <c r="G6228" s="0" t="s">
        <v>20</v>
      </c>
      <c r="H6228" s="0" t="n">
        <v>107</v>
      </c>
      <c r="I6228" s="0" t="s">
        <v>20757</v>
      </c>
      <c r="J6228" s="0" t="s">
        <v>20758</v>
      </c>
      <c r="K6228" s="0" t="s">
        <v>20759</v>
      </c>
      <c r="L6228" s="0" t="str">
        <f aca="false">HYPERLINK("https://www.ncbi.nlm.nih.gov/nuccore/CP000058.1?report=graph&amp;tracks=[key:gene_model_track,Options:GeneOnly]&amp;mk=1952211:1952230|offset_37|444444,1952187:1952206|offset_61|444444,1952165:1952184|offset_83|444444,1952141:1952160|offset_107|00cc00&amp;v=1952010:1952360&amp;c=444444", "offset 107")</f>
        <v>offset 107</v>
      </c>
    </row>
    <row r="6229" customFormat="false" ht="12.8" hidden="false" customHeight="false" outlineLevel="0" collapsed="false">
      <c r="A6229" s="0" t="s">
        <v>12</v>
      </c>
      <c r="B6229" s="0" t="n">
        <v>1953421</v>
      </c>
      <c r="C6229" s="0" t="n">
        <v>1953441</v>
      </c>
      <c r="D6229" s="0" t="s">
        <v>20760</v>
      </c>
      <c r="E6229" s="0" t="s">
        <v>75</v>
      </c>
      <c r="F6229" s="0" t="s">
        <v>15</v>
      </c>
      <c r="G6229" s="0" t="s">
        <v>36</v>
      </c>
      <c r="H6229" s="0" t="n">
        <v>22</v>
      </c>
      <c r="I6229" s="0" t="s">
        <v>20761</v>
      </c>
      <c r="J6229" s="0" t="s">
        <v>20762</v>
      </c>
      <c r="K6229" s="0" t="s">
        <v>20763</v>
      </c>
      <c r="L6229" s="0" t="str">
        <f aca="false">HYPERLINK("https://www.ncbi.nlm.nih.gov/nuccore/CP000058.1?report=graph&amp;tracks=[key:gene_model_track,Options:GeneOnly]&amp;mk=1953422:1953441|offset_22|00cc00,1953460:1953479|offset_60|444444,1953480:1953499|offset_80|444444,1953500:1953519|offset_100|444444&amp;v=1953221:1953719&amp;c=444444", "offset 22")</f>
        <v>offset 22</v>
      </c>
    </row>
    <row r="6230" customFormat="false" ht="12.8" hidden="false" customHeight="false" outlineLevel="0" collapsed="false">
      <c r="A6230" s="0" t="s">
        <v>12</v>
      </c>
      <c r="B6230" s="0" t="n">
        <v>1953459</v>
      </c>
      <c r="C6230" s="0" t="n">
        <v>1953479</v>
      </c>
      <c r="D6230" s="0" t="s">
        <v>20760</v>
      </c>
      <c r="E6230" s="0" t="s">
        <v>75</v>
      </c>
      <c r="F6230" s="0" t="s">
        <v>15</v>
      </c>
      <c r="G6230" s="0" t="s">
        <v>36</v>
      </c>
      <c r="H6230" s="0" t="n">
        <v>60</v>
      </c>
      <c r="I6230" s="0" t="s">
        <v>20764</v>
      </c>
      <c r="J6230" s="0" t="s">
        <v>20765</v>
      </c>
      <c r="K6230" s="0" t="s">
        <v>20766</v>
      </c>
      <c r="L6230" s="0" t="str">
        <f aca="false">HYPERLINK("https://www.ncbi.nlm.nih.gov/nuccore/CP000058.1?report=graph&amp;tracks=[key:gene_model_track,Options:GeneOnly]&amp;mk=1953422:1953441|offset_22|444444,1953460:1953479|offset_60|00cc00,1953480:1953499|offset_80|444444,1953500:1953519|offset_100|444444&amp;v=1953221:1953719&amp;c=444444", "offset 60")</f>
        <v>offset 60</v>
      </c>
    </row>
    <row r="6231" customFormat="false" ht="12.8" hidden="false" customHeight="false" outlineLevel="0" collapsed="false">
      <c r="A6231" s="0" t="s">
        <v>12</v>
      </c>
      <c r="B6231" s="0" t="n">
        <v>1953479</v>
      </c>
      <c r="C6231" s="0" t="n">
        <v>1953499</v>
      </c>
      <c r="D6231" s="0" t="s">
        <v>20760</v>
      </c>
      <c r="E6231" s="0" t="s">
        <v>75</v>
      </c>
      <c r="F6231" s="0" t="s">
        <v>15</v>
      </c>
      <c r="G6231" s="0" t="s">
        <v>16</v>
      </c>
      <c r="H6231" s="0" t="n">
        <v>80</v>
      </c>
      <c r="I6231" s="0" t="s">
        <v>20767</v>
      </c>
      <c r="J6231" s="0" t="s">
        <v>20768</v>
      </c>
      <c r="K6231" s="0" t="s">
        <v>20769</v>
      </c>
      <c r="L6231" s="0" t="str">
        <f aca="false">HYPERLINK("https://www.ncbi.nlm.nih.gov/nuccore/CP000058.1?report=graph&amp;tracks=[key:gene_model_track,Options:GeneOnly]&amp;mk=1953422:1953441|offset_22|444444,1953460:1953479|offset_60|444444,1953480:1953499|offset_80|00cc00,1953500:1953519|offset_100|444444&amp;v=1953221:1953719&amp;c=444444", "offset 80")</f>
        <v>offset 80</v>
      </c>
    </row>
    <row r="6232" customFormat="false" ht="12.8" hidden="false" customHeight="false" outlineLevel="0" collapsed="false">
      <c r="A6232" s="0" t="s">
        <v>12</v>
      </c>
      <c r="B6232" s="0" t="n">
        <v>1953499</v>
      </c>
      <c r="C6232" s="0" t="n">
        <v>1953519</v>
      </c>
      <c r="D6232" s="0" t="s">
        <v>20760</v>
      </c>
      <c r="E6232" s="0" t="s">
        <v>75</v>
      </c>
      <c r="F6232" s="0" t="s">
        <v>15</v>
      </c>
      <c r="G6232" s="0" t="s">
        <v>32</v>
      </c>
      <c r="H6232" s="0" t="n">
        <v>100</v>
      </c>
      <c r="I6232" s="0" t="s">
        <v>20770</v>
      </c>
      <c r="J6232" s="0" t="s">
        <v>20771</v>
      </c>
      <c r="K6232" s="0" t="s">
        <v>20772</v>
      </c>
      <c r="L6232" s="0" t="str">
        <f aca="false">HYPERLINK("https://www.ncbi.nlm.nih.gov/nuccore/CP000058.1?report=graph&amp;tracks=[key:gene_model_track,Options:GeneOnly]&amp;mk=1953422:1953441|offset_22|444444,1953460:1953479|offset_60|444444,1953480:1953499|offset_80|444444,1953500:1953519|offset_100|00cc00&amp;v=1953221:1953719&amp;c=444444", "offset 100")</f>
        <v>offset 100</v>
      </c>
    </row>
    <row r="6233" customFormat="false" ht="12.8" hidden="false" customHeight="false" outlineLevel="0" collapsed="false">
      <c r="A6233" s="0" t="s">
        <v>12</v>
      </c>
      <c r="B6233" s="0" t="n">
        <v>1954496</v>
      </c>
      <c r="C6233" s="0" t="n">
        <v>1954516</v>
      </c>
      <c r="D6233" s="0" t="s">
        <v>20773</v>
      </c>
      <c r="E6233" s="0" t="s">
        <v>75</v>
      </c>
      <c r="F6233" s="0" t="s">
        <v>15</v>
      </c>
      <c r="G6233" s="0" t="s">
        <v>20</v>
      </c>
      <c r="H6233" s="0" t="n">
        <v>79</v>
      </c>
      <c r="I6233" s="0" t="s">
        <v>20774</v>
      </c>
      <c r="J6233" s="0" t="s">
        <v>20775</v>
      </c>
      <c r="K6233" s="0" t="s">
        <v>20776</v>
      </c>
      <c r="L6233" s="0" t="str">
        <f aca="false">HYPERLINK("https://www.ncbi.nlm.nih.gov/nuccore/CP000058.1?report=graph&amp;tracks=[key:gene_model_track,Options:GeneOnly]&amp;mk=1954497:1954516|offset_79|00cc00,1954521:1954540|offset_103|444444,1954554:1954573|offset_136|444444,1954578:1954597|offset_160|444444&amp;v=1954296:1954797&amp;c=444444", "offset 79")</f>
        <v>offset 79</v>
      </c>
    </row>
    <row r="6234" customFormat="false" ht="12.8" hidden="false" customHeight="false" outlineLevel="0" collapsed="false">
      <c r="A6234" s="0" t="s">
        <v>12</v>
      </c>
      <c r="B6234" s="0" t="n">
        <v>1954520</v>
      </c>
      <c r="C6234" s="0" t="n">
        <v>1954540</v>
      </c>
      <c r="D6234" s="0" t="s">
        <v>20773</v>
      </c>
      <c r="E6234" s="0" t="s">
        <v>75</v>
      </c>
      <c r="F6234" s="0" t="s">
        <v>15</v>
      </c>
      <c r="G6234" s="0" t="s">
        <v>16</v>
      </c>
      <c r="H6234" s="0" t="n">
        <v>103</v>
      </c>
      <c r="I6234" s="0" t="s">
        <v>20777</v>
      </c>
      <c r="J6234" s="0" t="s">
        <v>20778</v>
      </c>
      <c r="K6234" s="0" t="s">
        <v>20779</v>
      </c>
      <c r="L6234" s="0" t="str">
        <f aca="false">HYPERLINK("https://www.ncbi.nlm.nih.gov/nuccore/CP000058.1?report=graph&amp;tracks=[key:gene_model_track,Options:GeneOnly]&amp;mk=1954497:1954516|offset_79|444444,1954521:1954540|offset_103|00cc00,1954554:1954573|offset_136|444444,1954578:1954597|offset_160|444444&amp;v=1954296:1954797&amp;c=444444", "offset 103")</f>
        <v>offset 103</v>
      </c>
    </row>
    <row r="6235" customFormat="false" ht="12.8" hidden="false" customHeight="false" outlineLevel="0" collapsed="false">
      <c r="A6235" s="0" t="s">
        <v>12</v>
      </c>
      <c r="B6235" s="0" t="n">
        <v>1954553</v>
      </c>
      <c r="C6235" s="0" t="n">
        <v>1954573</v>
      </c>
      <c r="D6235" s="0" t="s">
        <v>20773</v>
      </c>
      <c r="E6235" s="0" t="s">
        <v>75</v>
      </c>
      <c r="F6235" s="0" t="s">
        <v>15</v>
      </c>
      <c r="G6235" s="0" t="s">
        <v>32</v>
      </c>
      <c r="H6235" s="0" t="n">
        <v>136</v>
      </c>
      <c r="I6235" s="0" t="s">
        <v>20780</v>
      </c>
      <c r="J6235" s="0" t="s">
        <v>20781</v>
      </c>
      <c r="K6235" s="0" t="s">
        <v>20782</v>
      </c>
      <c r="L6235" s="0" t="str">
        <f aca="false">HYPERLINK("https://www.ncbi.nlm.nih.gov/nuccore/CP000058.1?report=graph&amp;tracks=[key:gene_model_track,Options:GeneOnly]&amp;mk=1954497:1954516|offset_79|444444,1954521:1954540|offset_103|444444,1954554:1954573|offset_136|00cc00,1954578:1954597|offset_160|444444&amp;v=1954296:1954797&amp;c=444444", "offset 136")</f>
        <v>offset 136</v>
      </c>
    </row>
    <row r="6236" customFormat="false" ht="12.8" hidden="false" customHeight="false" outlineLevel="0" collapsed="false">
      <c r="A6236" s="0" t="s">
        <v>12</v>
      </c>
      <c r="B6236" s="0" t="n">
        <v>1954577</v>
      </c>
      <c r="C6236" s="0" t="n">
        <v>1954597</v>
      </c>
      <c r="D6236" s="0" t="s">
        <v>20773</v>
      </c>
      <c r="E6236" s="0" t="s">
        <v>75</v>
      </c>
      <c r="F6236" s="0" t="s">
        <v>15</v>
      </c>
      <c r="G6236" s="0" t="s">
        <v>16</v>
      </c>
      <c r="H6236" s="0" t="n">
        <v>160</v>
      </c>
      <c r="I6236" s="0" t="s">
        <v>20783</v>
      </c>
      <c r="J6236" s="0" t="s">
        <v>20784</v>
      </c>
      <c r="K6236" s="0" t="s">
        <v>20785</v>
      </c>
      <c r="L6236" s="0" t="str">
        <f aca="false">HYPERLINK("https://www.ncbi.nlm.nih.gov/nuccore/CP000058.1?report=graph&amp;tracks=[key:gene_model_track,Options:GeneOnly]&amp;mk=1954497:1954516|offset_79|444444,1954521:1954540|offset_103|444444,1954554:1954573|offset_136|444444,1954578:1954597|offset_160|00cc00&amp;v=1954296:1954797&amp;c=444444", "offset 160")</f>
        <v>offset 160</v>
      </c>
    </row>
    <row r="6237" customFormat="false" ht="12.8" hidden="false" customHeight="false" outlineLevel="0" collapsed="false">
      <c r="A6237" s="0" t="s">
        <v>12</v>
      </c>
      <c r="B6237" s="0" t="n">
        <v>1955071</v>
      </c>
      <c r="C6237" s="0" t="n">
        <v>1955091</v>
      </c>
      <c r="D6237" s="0" t="s">
        <v>20786</v>
      </c>
      <c r="E6237" s="0" t="s">
        <v>75</v>
      </c>
      <c r="F6237" s="0" t="s">
        <v>15</v>
      </c>
      <c r="G6237" s="0" t="s">
        <v>36</v>
      </c>
      <c r="H6237" s="0" t="n">
        <v>15</v>
      </c>
      <c r="I6237" s="0" t="s">
        <v>20787</v>
      </c>
      <c r="J6237" s="0" t="s">
        <v>20788</v>
      </c>
      <c r="K6237" s="0" t="s">
        <v>20789</v>
      </c>
      <c r="L6237" s="0" t="str">
        <f aca="false">HYPERLINK("https://www.ncbi.nlm.nih.gov/nuccore/CP000058.1?report=graph&amp;tracks=[key:gene_model_track,Options:GeneOnly]&amp;mk=1955072:1955091|offset_15|00cc00,1955097:1955116|offset_40|444444,1955129:1955148|offset_72|444444,1955155:1955174|offset_98|444444&amp;v=1954871:1955374&amp;c=444444", "offset 15")</f>
        <v>offset 15</v>
      </c>
    </row>
    <row r="6238" customFormat="false" ht="12.8" hidden="false" customHeight="false" outlineLevel="0" collapsed="false">
      <c r="A6238" s="0" t="s">
        <v>12</v>
      </c>
      <c r="B6238" s="0" t="n">
        <v>1955096</v>
      </c>
      <c r="C6238" s="0" t="n">
        <v>1955116</v>
      </c>
      <c r="D6238" s="0" t="s">
        <v>20786</v>
      </c>
      <c r="E6238" s="0" t="s">
        <v>75</v>
      </c>
      <c r="F6238" s="0" t="s">
        <v>15</v>
      </c>
      <c r="G6238" s="0" t="s">
        <v>16</v>
      </c>
      <c r="H6238" s="0" t="n">
        <v>40</v>
      </c>
      <c r="I6238" s="0" t="s">
        <v>20790</v>
      </c>
      <c r="J6238" s="0" t="s">
        <v>20791</v>
      </c>
      <c r="K6238" s="0" t="s">
        <v>20792</v>
      </c>
      <c r="L6238" s="0" t="str">
        <f aca="false">HYPERLINK("https://www.ncbi.nlm.nih.gov/nuccore/CP000058.1?report=graph&amp;tracks=[key:gene_model_track,Options:GeneOnly]&amp;mk=1955072:1955091|offset_15|444444,1955097:1955116|offset_40|00cc00,1955129:1955148|offset_72|444444,1955155:1955174|offset_98|444444&amp;v=1954871:1955374&amp;c=444444", "offset 40")</f>
        <v>offset 40</v>
      </c>
    </row>
    <row r="6239" customFormat="false" ht="12.8" hidden="false" customHeight="false" outlineLevel="0" collapsed="false">
      <c r="A6239" s="0" t="s">
        <v>12</v>
      </c>
      <c r="B6239" s="0" t="n">
        <v>1955128</v>
      </c>
      <c r="C6239" s="0" t="n">
        <v>1955148</v>
      </c>
      <c r="D6239" s="0" t="s">
        <v>20786</v>
      </c>
      <c r="E6239" s="0" t="s">
        <v>75</v>
      </c>
      <c r="F6239" s="0" t="s">
        <v>15</v>
      </c>
      <c r="G6239" s="0" t="s">
        <v>32</v>
      </c>
      <c r="H6239" s="0" t="n">
        <v>72</v>
      </c>
      <c r="I6239" s="0" t="s">
        <v>20793</v>
      </c>
      <c r="J6239" s="0" t="s">
        <v>20794</v>
      </c>
      <c r="K6239" s="0" t="s">
        <v>20795</v>
      </c>
      <c r="L6239" s="0" t="str">
        <f aca="false">HYPERLINK("https://www.ncbi.nlm.nih.gov/nuccore/CP000058.1?report=graph&amp;tracks=[key:gene_model_track,Options:GeneOnly]&amp;mk=1955072:1955091|offset_15|444444,1955097:1955116|offset_40|444444,1955129:1955148|offset_72|00cc00,1955155:1955174|offset_98|444444&amp;v=1954871:1955374&amp;c=444444", "offset 72")</f>
        <v>offset 72</v>
      </c>
    </row>
    <row r="6240" customFormat="false" ht="12.8" hidden="false" customHeight="false" outlineLevel="0" collapsed="false">
      <c r="A6240" s="0" t="s">
        <v>12</v>
      </c>
      <c r="B6240" s="0" t="n">
        <v>1955154</v>
      </c>
      <c r="C6240" s="0" t="n">
        <v>1955174</v>
      </c>
      <c r="D6240" s="0" t="s">
        <v>20786</v>
      </c>
      <c r="E6240" s="0" t="s">
        <v>75</v>
      </c>
      <c r="F6240" s="0" t="s">
        <v>15</v>
      </c>
      <c r="G6240" s="0" t="s">
        <v>20</v>
      </c>
      <c r="H6240" s="0" t="n">
        <v>98</v>
      </c>
      <c r="I6240" s="0" t="s">
        <v>20796</v>
      </c>
      <c r="J6240" s="0" t="s">
        <v>20797</v>
      </c>
      <c r="K6240" s="0" t="s">
        <v>20798</v>
      </c>
      <c r="L6240" s="0" t="str">
        <f aca="false">HYPERLINK("https://www.ncbi.nlm.nih.gov/nuccore/CP000058.1?report=graph&amp;tracks=[key:gene_model_track,Options:GeneOnly]&amp;mk=1955072:1955091|offset_15|444444,1955097:1955116|offset_40|444444,1955129:1955148|offset_72|444444,1955155:1955174|offset_98|00cc00&amp;v=1954871:1955374&amp;c=444444", "offset 98")</f>
        <v>offset 98</v>
      </c>
    </row>
    <row r="6241" customFormat="false" ht="12.8" hidden="false" customHeight="false" outlineLevel="0" collapsed="false">
      <c r="A6241" s="0" t="s">
        <v>12</v>
      </c>
      <c r="B6241" s="0" t="n">
        <v>1958160</v>
      </c>
      <c r="C6241" s="0" t="n">
        <v>1958180</v>
      </c>
      <c r="D6241" s="0" t="s">
        <v>20799</v>
      </c>
      <c r="E6241" s="0" t="s">
        <v>75</v>
      </c>
      <c r="F6241" s="0" t="s">
        <v>90</v>
      </c>
      <c r="G6241" s="0" t="s">
        <v>32</v>
      </c>
      <c r="H6241" s="0" t="n">
        <v>17</v>
      </c>
      <c r="I6241" s="0" t="s">
        <v>20800</v>
      </c>
      <c r="J6241" s="0" t="s">
        <v>20801</v>
      </c>
      <c r="K6241" s="0" t="s">
        <v>20802</v>
      </c>
      <c r="L6241" s="0" t="str">
        <f aca="false">HYPERLINK("https://www.ncbi.nlm.nih.gov/nuccore/CP000058.1?report=graph&amp;tracks=[key:gene_model_track,Options:GeneOnly]&amp;mk=1958161:1958180|offset_17|00cc00,1958105:1958124|offset_73|444444,1958075:1958094|offset_103|444444,1958049:1958068|offset_129|444444&amp;v=1957960:1958268&amp;c=444444", "offset 17")</f>
        <v>offset 17</v>
      </c>
    </row>
    <row r="6242" customFormat="false" ht="12.8" hidden="false" customHeight="false" outlineLevel="0" collapsed="false">
      <c r="A6242" s="0" t="s">
        <v>12</v>
      </c>
      <c r="B6242" s="0" t="n">
        <v>1958104</v>
      </c>
      <c r="C6242" s="0" t="n">
        <v>1958124</v>
      </c>
      <c r="D6242" s="0" t="s">
        <v>20799</v>
      </c>
      <c r="E6242" s="0" t="s">
        <v>75</v>
      </c>
      <c r="F6242" s="0" t="s">
        <v>90</v>
      </c>
      <c r="G6242" s="0" t="s">
        <v>32</v>
      </c>
      <c r="H6242" s="0" t="n">
        <v>73</v>
      </c>
      <c r="I6242" s="0" t="s">
        <v>20803</v>
      </c>
      <c r="J6242" s="0" t="s">
        <v>20804</v>
      </c>
      <c r="K6242" s="0" t="s">
        <v>20805</v>
      </c>
      <c r="L6242" s="0" t="str">
        <f aca="false">HYPERLINK("https://www.ncbi.nlm.nih.gov/nuccore/CP000058.1?report=graph&amp;tracks=[key:gene_model_track,Options:GeneOnly]&amp;mk=1958161:1958180|offset_17|444444,1958105:1958124|offset_73|00cc00,1958075:1958094|offset_103|444444,1958049:1958068|offset_129|444444&amp;v=1957960:1958268&amp;c=444444", "offset 73")</f>
        <v>offset 73</v>
      </c>
    </row>
    <row r="6243" customFormat="false" ht="12.8" hidden="false" customHeight="false" outlineLevel="0" collapsed="false">
      <c r="A6243" s="0" t="s">
        <v>12</v>
      </c>
      <c r="B6243" s="0" t="n">
        <v>1958074</v>
      </c>
      <c r="C6243" s="0" t="n">
        <v>1958094</v>
      </c>
      <c r="D6243" s="0" t="s">
        <v>20799</v>
      </c>
      <c r="E6243" s="0" t="s">
        <v>75</v>
      </c>
      <c r="F6243" s="0" t="s">
        <v>90</v>
      </c>
      <c r="G6243" s="0" t="s">
        <v>16</v>
      </c>
      <c r="H6243" s="0" t="n">
        <v>103</v>
      </c>
      <c r="I6243" s="0" t="s">
        <v>20806</v>
      </c>
      <c r="J6243" s="0" t="s">
        <v>20807</v>
      </c>
      <c r="K6243" s="0" t="s">
        <v>20808</v>
      </c>
      <c r="L6243" s="0" t="str">
        <f aca="false">HYPERLINK("https://www.ncbi.nlm.nih.gov/nuccore/CP000058.1?report=graph&amp;tracks=[key:gene_model_track,Options:GeneOnly]&amp;mk=1958161:1958180|offset_17|444444,1958105:1958124|offset_73|444444,1958075:1958094|offset_103|00cc00,1958049:1958068|offset_129|444444&amp;v=1957960:1958268&amp;c=444444", "offset 103")</f>
        <v>offset 103</v>
      </c>
    </row>
    <row r="6244" customFormat="false" ht="12.8" hidden="false" customHeight="false" outlineLevel="0" collapsed="false">
      <c r="A6244" s="0" t="s">
        <v>12</v>
      </c>
      <c r="B6244" s="0" t="n">
        <v>1958048</v>
      </c>
      <c r="C6244" s="0" t="n">
        <v>1958068</v>
      </c>
      <c r="D6244" s="0" t="s">
        <v>20799</v>
      </c>
      <c r="E6244" s="0" t="s">
        <v>75</v>
      </c>
      <c r="F6244" s="0" t="s">
        <v>90</v>
      </c>
      <c r="G6244" s="0" t="s">
        <v>32</v>
      </c>
      <c r="H6244" s="0" t="n">
        <v>129</v>
      </c>
      <c r="I6244" s="0" t="s">
        <v>20809</v>
      </c>
      <c r="J6244" s="0" t="s">
        <v>20810</v>
      </c>
      <c r="K6244" s="0" t="s">
        <v>20811</v>
      </c>
      <c r="L6244" s="0" t="str">
        <f aca="false">HYPERLINK("https://www.ncbi.nlm.nih.gov/nuccore/CP000058.1?report=graph&amp;tracks=[key:gene_model_track,Options:GeneOnly]&amp;mk=1958161:1958180|offset_17|444444,1958105:1958124|offset_73|444444,1958075:1958094|offset_103|444444,1958049:1958068|offset_129|00cc00&amp;v=1957960:1958268&amp;c=444444", "offset 129")</f>
        <v>offset 129</v>
      </c>
    </row>
    <row r="6245" customFormat="false" ht="12.8" hidden="false" customHeight="false" outlineLevel="0" collapsed="false">
      <c r="A6245" s="0" t="s">
        <v>12</v>
      </c>
      <c r="B6245" s="0" t="n">
        <v>1958741</v>
      </c>
      <c r="C6245" s="0" t="n">
        <v>1958761</v>
      </c>
      <c r="D6245" s="0" t="s">
        <v>20812</v>
      </c>
      <c r="E6245" s="0" t="s">
        <v>75</v>
      </c>
      <c r="F6245" s="0" t="s">
        <v>15</v>
      </c>
      <c r="G6245" s="0" t="s">
        <v>16</v>
      </c>
      <c r="H6245" s="0" t="n">
        <v>55</v>
      </c>
      <c r="I6245" s="0" t="s">
        <v>20813</v>
      </c>
      <c r="J6245" s="0" t="s">
        <v>20814</v>
      </c>
      <c r="K6245" s="0" t="s">
        <v>20815</v>
      </c>
      <c r="L6245" s="0" t="str">
        <f aca="false">HYPERLINK("https://www.ncbi.nlm.nih.gov/nuccore/CP000058.1?report=graph&amp;tracks=[key:gene_model_track,Options:GeneOnly]&amp;mk=1958742:1958761|offset_55|00cc00,1958771:1958790|offset_84|444444,1958817:1958836|offset_130|444444,1958853:1958872|offset_166|444444&amp;v=1958541:1959072&amp;c=444444", "offset 55")</f>
        <v>offset 55</v>
      </c>
    </row>
    <row r="6246" customFormat="false" ht="12.8" hidden="false" customHeight="false" outlineLevel="0" collapsed="false">
      <c r="A6246" s="0" t="s">
        <v>12</v>
      </c>
      <c r="B6246" s="0" t="n">
        <v>1958770</v>
      </c>
      <c r="C6246" s="0" t="n">
        <v>1958790</v>
      </c>
      <c r="D6246" s="0" t="s">
        <v>20812</v>
      </c>
      <c r="E6246" s="0" t="s">
        <v>75</v>
      </c>
      <c r="F6246" s="0" t="s">
        <v>15</v>
      </c>
      <c r="G6246" s="0" t="s">
        <v>20</v>
      </c>
      <c r="H6246" s="0" t="n">
        <v>84</v>
      </c>
      <c r="I6246" s="0" t="s">
        <v>20816</v>
      </c>
      <c r="J6246" s="0" t="s">
        <v>20817</v>
      </c>
      <c r="K6246" s="0" t="s">
        <v>20818</v>
      </c>
      <c r="L6246" s="0" t="str">
        <f aca="false">HYPERLINK("https://www.ncbi.nlm.nih.gov/nuccore/CP000058.1?report=graph&amp;tracks=[key:gene_model_track,Options:GeneOnly]&amp;mk=1958742:1958761|offset_55|444444,1958771:1958790|offset_84|00cc00,1958817:1958836|offset_130|444444,1958853:1958872|offset_166|444444&amp;v=1958541:1959072&amp;c=444444", "offset 84")</f>
        <v>offset 84</v>
      </c>
    </row>
    <row r="6247" customFormat="false" ht="12.8" hidden="false" customHeight="false" outlineLevel="0" collapsed="false">
      <c r="A6247" s="0" t="s">
        <v>12</v>
      </c>
      <c r="B6247" s="0" t="n">
        <v>1958816</v>
      </c>
      <c r="C6247" s="0" t="n">
        <v>1958836</v>
      </c>
      <c r="D6247" s="0" t="s">
        <v>20812</v>
      </c>
      <c r="E6247" s="0" t="s">
        <v>75</v>
      </c>
      <c r="F6247" s="0" t="s">
        <v>15</v>
      </c>
      <c r="G6247" s="0" t="s">
        <v>32</v>
      </c>
      <c r="H6247" s="0" t="n">
        <v>130</v>
      </c>
      <c r="I6247" s="0" t="s">
        <v>20819</v>
      </c>
      <c r="J6247" s="0" t="s">
        <v>20820</v>
      </c>
      <c r="K6247" s="0" t="s">
        <v>20821</v>
      </c>
      <c r="L6247" s="0" t="str">
        <f aca="false">HYPERLINK("https://www.ncbi.nlm.nih.gov/nuccore/CP000058.1?report=graph&amp;tracks=[key:gene_model_track,Options:GeneOnly]&amp;mk=1958742:1958761|offset_55|444444,1958771:1958790|offset_84|444444,1958817:1958836|offset_130|00cc00,1958853:1958872|offset_166|444444&amp;v=1958541:1959072&amp;c=444444", "offset 130")</f>
        <v>offset 130</v>
      </c>
    </row>
    <row r="6248" customFormat="false" ht="12.8" hidden="false" customHeight="false" outlineLevel="0" collapsed="false">
      <c r="A6248" s="0" t="s">
        <v>12</v>
      </c>
      <c r="B6248" s="0" t="n">
        <v>1958852</v>
      </c>
      <c r="C6248" s="0" t="n">
        <v>1958872</v>
      </c>
      <c r="D6248" s="0" t="s">
        <v>20812</v>
      </c>
      <c r="E6248" s="0" t="s">
        <v>75</v>
      </c>
      <c r="F6248" s="0" t="s">
        <v>15</v>
      </c>
      <c r="G6248" s="0" t="s">
        <v>36</v>
      </c>
      <c r="H6248" s="0" t="n">
        <v>166</v>
      </c>
      <c r="I6248" s="0" t="s">
        <v>20822</v>
      </c>
      <c r="J6248" s="0" t="s">
        <v>20823</v>
      </c>
      <c r="K6248" s="0" t="s">
        <v>20824</v>
      </c>
      <c r="L6248" s="0" t="str">
        <f aca="false">HYPERLINK("https://www.ncbi.nlm.nih.gov/nuccore/CP000058.1?report=graph&amp;tracks=[key:gene_model_track,Options:GeneOnly]&amp;mk=1958742:1958761|offset_55|444444,1958771:1958790|offset_84|444444,1958817:1958836|offset_130|444444,1958853:1958872|offset_166|00cc00&amp;v=1958541:1959072&amp;c=444444", "offset 166")</f>
        <v>offset 166</v>
      </c>
    </row>
    <row r="6249" customFormat="false" ht="12.8" hidden="false" customHeight="false" outlineLevel="0" collapsed="false">
      <c r="A6249" s="0" t="s">
        <v>12</v>
      </c>
      <c r="B6249" s="0" t="n">
        <v>1960228</v>
      </c>
      <c r="C6249" s="0" t="n">
        <v>1960248</v>
      </c>
      <c r="D6249" s="0" t="s">
        <v>20825</v>
      </c>
      <c r="E6249" s="0" t="s">
        <v>75</v>
      </c>
      <c r="F6249" s="0" t="s">
        <v>15</v>
      </c>
      <c r="G6249" s="0" t="s">
        <v>16</v>
      </c>
      <c r="H6249" s="0" t="n">
        <v>24</v>
      </c>
      <c r="I6249" s="0" t="s">
        <v>20826</v>
      </c>
      <c r="J6249" s="0" t="s">
        <v>20827</v>
      </c>
      <c r="K6249" s="0" t="s">
        <v>20828</v>
      </c>
      <c r="L6249" s="0" t="str">
        <f aca="false">HYPERLINK("https://www.ncbi.nlm.nih.gov/nuccore/CP000058.1?report=graph&amp;tracks=[key:gene_model_track,Options:GeneOnly]&amp;mk=1960229:1960248|offset_24|00cc00,1960305:1960324|offset_100|444444,1960330:1960349|offset_125|444444,1960392:1960411|offset_187|444444&amp;v=1960028:1960611&amp;c=444444", "offset 24")</f>
        <v>offset 24</v>
      </c>
    </row>
    <row r="6250" customFormat="false" ht="12.8" hidden="false" customHeight="false" outlineLevel="0" collapsed="false">
      <c r="A6250" s="0" t="s">
        <v>12</v>
      </c>
      <c r="B6250" s="0" t="n">
        <v>1960304</v>
      </c>
      <c r="C6250" s="0" t="n">
        <v>1960324</v>
      </c>
      <c r="D6250" s="0" t="s">
        <v>20825</v>
      </c>
      <c r="E6250" s="0" t="s">
        <v>75</v>
      </c>
      <c r="F6250" s="0" t="s">
        <v>15</v>
      </c>
      <c r="G6250" s="0" t="s">
        <v>16</v>
      </c>
      <c r="H6250" s="0" t="n">
        <v>100</v>
      </c>
      <c r="I6250" s="0" t="s">
        <v>20829</v>
      </c>
      <c r="J6250" s="0" t="s">
        <v>20830</v>
      </c>
      <c r="K6250" s="0" t="s">
        <v>20831</v>
      </c>
      <c r="L6250" s="0" t="str">
        <f aca="false">HYPERLINK("https://www.ncbi.nlm.nih.gov/nuccore/CP000058.1?report=graph&amp;tracks=[key:gene_model_track,Options:GeneOnly]&amp;mk=1960229:1960248|offset_24|444444,1960305:1960324|offset_100|00cc00,1960330:1960349|offset_125|444444,1960392:1960411|offset_187|444444&amp;v=1960028:1960611&amp;c=444444", "offset 100")</f>
        <v>offset 100</v>
      </c>
    </row>
    <row r="6251" customFormat="false" ht="12.8" hidden="false" customHeight="false" outlineLevel="0" collapsed="false">
      <c r="A6251" s="0" t="s">
        <v>12</v>
      </c>
      <c r="B6251" s="0" t="n">
        <v>1960329</v>
      </c>
      <c r="C6251" s="0" t="n">
        <v>1960349</v>
      </c>
      <c r="D6251" s="0" t="s">
        <v>20825</v>
      </c>
      <c r="E6251" s="0" t="s">
        <v>75</v>
      </c>
      <c r="F6251" s="0" t="s">
        <v>15</v>
      </c>
      <c r="G6251" s="0" t="s">
        <v>36</v>
      </c>
      <c r="H6251" s="0" t="n">
        <v>125</v>
      </c>
      <c r="I6251" s="0" t="s">
        <v>20832</v>
      </c>
      <c r="J6251" s="0" t="s">
        <v>20833</v>
      </c>
      <c r="K6251" s="0" t="s">
        <v>20834</v>
      </c>
      <c r="L6251" s="0" t="str">
        <f aca="false">HYPERLINK("https://www.ncbi.nlm.nih.gov/nuccore/CP000058.1?report=graph&amp;tracks=[key:gene_model_track,Options:GeneOnly]&amp;mk=1960229:1960248|offset_24|444444,1960305:1960324|offset_100|444444,1960330:1960349|offset_125|00cc00,1960392:1960411|offset_187|444444&amp;v=1960028:1960611&amp;c=444444", "offset 125")</f>
        <v>offset 125</v>
      </c>
    </row>
    <row r="6252" customFormat="false" ht="12.8" hidden="false" customHeight="false" outlineLevel="0" collapsed="false">
      <c r="A6252" s="0" t="s">
        <v>12</v>
      </c>
      <c r="B6252" s="0" t="n">
        <v>1960391</v>
      </c>
      <c r="C6252" s="0" t="n">
        <v>1960411</v>
      </c>
      <c r="D6252" s="0" t="s">
        <v>20825</v>
      </c>
      <c r="E6252" s="0" t="s">
        <v>75</v>
      </c>
      <c r="F6252" s="0" t="s">
        <v>15</v>
      </c>
      <c r="G6252" s="0" t="s">
        <v>20</v>
      </c>
      <c r="H6252" s="0" t="n">
        <v>187</v>
      </c>
      <c r="I6252" s="0" t="s">
        <v>20835</v>
      </c>
      <c r="J6252" s="0" t="s">
        <v>20836</v>
      </c>
      <c r="K6252" s="0" t="s">
        <v>20837</v>
      </c>
      <c r="L6252" s="0" t="str">
        <f aca="false">HYPERLINK("https://www.ncbi.nlm.nih.gov/nuccore/CP000058.1?report=graph&amp;tracks=[key:gene_model_track,Options:GeneOnly]&amp;mk=1960229:1960248|offset_24|444444,1960305:1960324|offset_100|444444,1960330:1960349|offset_125|444444,1960392:1960411|offset_187|00cc00&amp;v=1960028:1960611&amp;c=444444", "offset 187")</f>
        <v>offset 187</v>
      </c>
    </row>
    <row r="6253" customFormat="false" ht="12.8" hidden="false" customHeight="false" outlineLevel="0" collapsed="false">
      <c r="A6253" s="0" t="s">
        <v>12</v>
      </c>
      <c r="B6253" s="0" t="n">
        <v>1960830</v>
      </c>
      <c r="C6253" s="0" t="n">
        <v>1960850</v>
      </c>
      <c r="D6253" s="0" t="s">
        <v>20838</v>
      </c>
      <c r="E6253" s="0" t="s">
        <v>20839</v>
      </c>
      <c r="F6253" s="0" t="s">
        <v>15</v>
      </c>
      <c r="G6253" s="0" t="s">
        <v>16</v>
      </c>
      <c r="H6253" s="0" t="n">
        <v>28</v>
      </c>
      <c r="I6253" s="0" t="s">
        <v>20840</v>
      </c>
      <c r="J6253" s="0" t="s">
        <v>20841</v>
      </c>
      <c r="K6253" s="0" t="s">
        <v>20842</v>
      </c>
      <c r="L6253" s="0" t="str">
        <f aca="false">HYPERLINK("https://www.ncbi.nlm.nih.gov/nuccore/CP000058.1?report=graph&amp;tracks=[key:gene_model_track,Options:GeneOnly]&amp;mk=1960831:1960850|offset_28|00cc00,1960852:1960871|offset_49|444444,1960909:1960928|offset_106|444444,1960929:1960948|offset_126|444444&amp;v=1960630:1961148&amp;c=444444", "offset 28")</f>
        <v>offset 28</v>
      </c>
    </row>
    <row r="6254" customFormat="false" ht="12.8" hidden="false" customHeight="false" outlineLevel="0" collapsed="false">
      <c r="A6254" s="0" t="s">
        <v>12</v>
      </c>
      <c r="B6254" s="0" t="n">
        <v>1960851</v>
      </c>
      <c r="C6254" s="0" t="n">
        <v>1960871</v>
      </c>
      <c r="D6254" s="0" t="s">
        <v>20838</v>
      </c>
      <c r="E6254" s="0" t="s">
        <v>20839</v>
      </c>
      <c r="F6254" s="0" t="s">
        <v>15</v>
      </c>
      <c r="G6254" s="0" t="s">
        <v>32</v>
      </c>
      <c r="H6254" s="0" t="n">
        <v>49</v>
      </c>
      <c r="I6254" s="0" t="s">
        <v>20843</v>
      </c>
      <c r="J6254" s="0" t="s">
        <v>20844</v>
      </c>
      <c r="K6254" s="0" t="s">
        <v>20845</v>
      </c>
      <c r="L6254" s="0" t="str">
        <f aca="false">HYPERLINK("https://www.ncbi.nlm.nih.gov/nuccore/CP000058.1?report=graph&amp;tracks=[key:gene_model_track,Options:GeneOnly]&amp;mk=1960831:1960850|offset_28|444444,1960852:1960871|offset_49|00cc00,1960909:1960928|offset_106|444444,1960929:1960948|offset_126|444444&amp;v=1960630:1961148&amp;c=444444", "offset 49")</f>
        <v>offset 49</v>
      </c>
    </row>
    <row r="6255" customFormat="false" ht="12.8" hidden="false" customHeight="false" outlineLevel="0" collapsed="false">
      <c r="A6255" s="0" t="s">
        <v>12</v>
      </c>
      <c r="B6255" s="0" t="n">
        <v>1960908</v>
      </c>
      <c r="C6255" s="0" t="n">
        <v>1960928</v>
      </c>
      <c r="D6255" s="0" t="s">
        <v>20838</v>
      </c>
      <c r="E6255" s="0" t="s">
        <v>20839</v>
      </c>
      <c r="F6255" s="0" t="s">
        <v>15</v>
      </c>
      <c r="G6255" s="0" t="s">
        <v>16</v>
      </c>
      <c r="H6255" s="0" t="n">
        <v>106</v>
      </c>
      <c r="I6255" s="0" t="s">
        <v>20846</v>
      </c>
      <c r="J6255" s="0" t="s">
        <v>20847</v>
      </c>
      <c r="K6255" s="0" t="s">
        <v>20848</v>
      </c>
      <c r="L6255" s="0" t="str">
        <f aca="false">HYPERLINK("https://www.ncbi.nlm.nih.gov/nuccore/CP000058.1?report=graph&amp;tracks=[key:gene_model_track,Options:GeneOnly]&amp;mk=1960831:1960850|offset_28|444444,1960852:1960871|offset_49|444444,1960909:1960928|offset_106|00cc00,1960929:1960948|offset_126|444444&amp;v=1960630:1961148&amp;c=444444", "offset 106")</f>
        <v>offset 106</v>
      </c>
    </row>
    <row r="6256" customFormat="false" ht="12.8" hidden="false" customHeight="false" outlineLevel="0" collapsed="false">
      <c r="A6256" s="0" t="s">
        <v>12</v>
      </c>
      <c r="B6256" s="0" t="n">
        <v>1960928</v>
      </c>
      <c r="C6256" s="0" t="n">
        <v>1960948</v>
      </c>
      <c r="D6256" s="0" t="s">
        <v>20838</v>
      </c>
      <c r="E6256" s="0" t="s">
        <v>20839</v>
      </c>
      <c r="F6256" s="0" t="s">
        <v>15</v>
      </c>
      <c r="G6256" s="0" t="s">
        <v>16</v>
      </c>
      <c r="H6256" s="0" t="n">
        <v>126</v>
      </c>
      <c r="I6256" s="0" t="s">
        <v>20849</v>
      </c>
      <c r="J6256" s="0" t="s">
        <v>20850</v>
      </c>
      <c r="K6256" s="0" t="s">
        <v>20851</v>
      </c>
      <c r="L6256" s="0" t="str">
        <f aca="false">HYPERLINK("https://www.ncbi.nlm.nih.gov/nuccore/CP000058.1?report=graph&amp;tracks=[key:gene_model_track,Options:GeneOnly]&amp;mk=1960831:1960850|offset_28|444444,1960852:1960871|offset_49|444444,1960909:1960928|offset_106|444444,1960929:1960948|offset_126|00cc00&amp;v=1960630:1961148&amp;c=444444", "offset 126")</f>
        <v>offset 126</v>
      </c>
    </row>
    <row r="6257" customFormat="false" ht="12.8" hidden="false" customHeight="false" outlineLevel="0" collapsed="false">
      <c r="A6257" s="0" t="s">
        <v>12</v>
      </c>
      <c r="B6257" s="0" t="n">
        <v>1962211</v>
      </c>
      <c r="C6257" s="0" t="n">
        <v>1962231</v>
      </c>
      <c r="D6257" s="0" t="s">
        <v>20852</v>
      </c>
      <c r="E6257" s="0" t="s">
        <v>20853</v>
      </c>
      <c r="F6257" s="0" t="s">
        <v>15</v>
      </c>
      <c r="G6257" s="0" t="s">
        <v>36</v>
      </c>
      <c r="H6257" s="0" t="n">
        <v>7</v>
      </c>
      <c r="I6257" s="0" t="s">
        <v>20854</v>
      </c>
      <c r="J6257" s="0" t="s">
        <v>20855</v>
      </c>
      <c r="K6257" s="0" t="s">
        <v>20856</v>
      </c>
      <c r="L6257" s="0" t="str">
        <f aca="false">HYPERLINK("https://www.ncbi.nlm.nih.gov/nuccore/CP000058.1?report=graph&amp;tracks=[key:gene_model_track,Options:GeneOnly]&amp;mk=1962212:1962231|offset_7|00cc00,1962246:1962265|offset_41|444444,1962268:1962287|offset_63|444444,1962290:1962309|offset_85|444444&amp;v=1962011:1962509&amp;c=444444", "offset 7")</f>
        <v>offset 7</v>
      </c>
    </row>
    <row r="6258" customFormat="false" ht="12.8" hidden="false" customHeight="false" outlineLevel="0" collapsed="false">
      <c r="A6258" s="0" t="s">
        <v>12</v>
      </c>
      <c r="B6258" s="0" t="n">
        <v>1962245</v>
      </c>
      <c r="C6258" s="0" t="n">
        <v>1962265</v>
      </c>
      <c r="D6258" s="0" t="s">
        <v>20852</v>
      </c>
      <c r="E6258" s="0" t="s">
        <v>20853</v>
      </c>
      <c r="F6258" s="0" t="s">
        <v>15</v>
      </c>
      <c r="G6258" s="0" t="s">
        <v>32</v>
      </c>
      <c r="H6258" s="0" t="n">
        <v>41</v>
      </c>
      <c r="I6258" s="0" t="s">
        <v>20857</v>
      </c>
      <c r="J6258" s="0" t="s">
        <v>20858</v>
      </c>
      <c r="K6258" s="0" t="s">
        <v>20859</v>
      </c>
      <c r="L6258" s="0" t="str">
        <f aca="false">HYPERLINK("https://www.ncbi.nlm.nih.gov/nuccore/CP000058.1?report=graph&amp;tracks=[key:gene_model_track,Options:GeneOnly]&amp;mk=1962212:1962231|offset_7|444444,1962246:1962265|offset_41|00cc00,1962268:1962287|offset_63|444444,1962290:1962309|offset_85|444444&amp;v=1962011:1962509&amp;c=444444", "offset 41")</f>
        <v>offset 41</v>
      </c>
    </row>
    <row r="6259" customFormat="false" ht="12.8" hidden="false" customHeight="false" outlineLevel="0" collapsed="false">
      <c r="A6259" s="0" t="s">
        <v>12</v>
      </c>
      <c r="B6259" s="0" t="n">
        <v>1962267</v>
      </c>
      <c r="C6259" s="0" t="n">
        <v>1962287</v>
      </c>
      <c r="D6259" s="0" t="s">
        <v>20852</v>
      </c>
      <c r="E6259" s="0" t="s">
        <v>20853</v>
      </c>
      <c r="F6259" s="0" t="s">
        <v>15</v>
      </c>
      <c r="G6259" s="0" t="s">
        <v>16</v>
      </c>
      <c r="H6259" s="0" t="n">
        <v>63</v>
      </c>
      <c r="I6259" s="0" t="s">
        <v>20860</v>
      </c>
      <c r="J6259" s="0" t="s">
        <v>20861</v>
      </c>
      <c r="K6259" s="0" t="s">
        <v>20862</v>
      </c>
      <c r="L6259" s="0" t="str">
        <f aca="false">HYPERLINK("https://www.ncbi.nlm.nih.gov/nuccore/CP000058.1?report=graph&amp;tracks=[key:gene_model_track,Options:GeneOnly]&amp;mk=1962212:1962231|offset_7|444444,1962246:1962265|offset_41|444444,1962268:1962287|offset_63|00cc00,1962290:1962309|offset_85|444444&amp;v=1962011:1962509&amp;c=444444", "offset 63")</f>
        <v>offset 63</v>
      </c>
    </row>
    <row r="6260" customFormat="false" ht="12.8" hidden="false" customHeight="false" outlineLevel="0" collapsed="false">
      <c r="A6260" s="0" t="s">
        <v>12</v>
      </c>
      <c r="B6260" s="0" t="n">
        <v>1962289</v>
      </c>
      <c r="C6260" s="0" t="n">
        <v>1962309</v>
      </c>
      <c r="D6260" s="0" t="s">
        <v>20852</v>
      </c>
      <c r="E6260" s="0" t="s">
        <v>20853</v>
      </c>
      <c r="F6260" s="0" t="s">
        <v>15</v>
      </c>
      <c r="G6260" s="0" t="s">
        <v>36</v>
      </c>
      <c r="H6260" s="0" t="n">
        <v>85</v>
      </c>
      <c r="I6260" s="0" t="s">
        <v>20863</v>
      </c>
      <c r="J6260" s="0" t="s">
        <v>20864</v>
      </c>
      <c r="K6260" s="0" t="s">
        <v>20865</v>
      </c>
      <c r="L6260" s="0" t="str">
        <f aca="false">HYPERLINK("https://www.ncbi.nlm.nih.gov/nuccore/CP000058.1?report=graph&amp;tracks=[key:gene_model_track,Options:GeneOnly]&amp;mk=1962212:1962231|offset_7|444444,1962246:1962265|offset_41|444444,1962268:1962287|offset_63|444444,1962290:1962309|offset_85|00cc00&amp;v=1962011:1962509&amp;c=444444", "offset 85")</f>
        <v>offset 85</v>
      </c>
    </row>
    <row r="6261" customFormat="false" ht="12.8" hidden="false" customHeight="false" outlineLevel="0" collapsed="false">
      <c r="A6261" s="0" t="s">
        <v>12</v>
      </c>
      <c r="B6261" s="0" t="n">
        <v>1962965</v>
      </c>
      <c r="C6261" s="0" t="n">
        <v>1962985</v>
      </c>
      <c r="D6261" s="0" t="s">
        <v>20866</v>
      </c>
      <c r="E6261" s="0" t="s">
        <v>20867</v>
      </c>
      <c r="F6261" s="0" t="s">
        <v>15</v>
      </c>
      <c r="G6261" s="0" t="s">
        <v>36</v>
      </c>
      <c r="H6261" s="0" t="n">
        <v>13</v>
      </c>
      <c r="I6261" s="0" t="s">
        <v>20868</v>
      </c>
      <c r="J6261" s="0" t="s">
        <v>20869</v>
      </c>
      <c r="K6261" s="0" t="s">
        <v>20870</v>
      </c>
      <c r="L6261" s="0" t="str">
        <f aca="false">HYPERLINK("https://www.ncbi.nlm.nih.gov/nuccore/CP000058.1?report=graph&amp;tracks=[key:gene_model_track,Options:GeneOnly]&amp;mk=1962966:1962985|offset_13|00cc00,1963005:1963024|offset_52|444444,1963051:1963070|offset_98|444444,1963084:1963103|offset_131|444444&amp;v=1962765:1963303&amp;c=444444", "offset 13")</f>
        <v>offset 13</v>
      </c>
    </row>
    <row r="6262" customFormat="false" ht="12.8" hidden="false" customHeight="false" outlineLevel="0" collapsed="false">
      <c r="A6262" s="0" t="s">
        <v>12</v>
      </c>
      <c r="B6262" s="0" t="n">
        <v>1963004</v>
      </c>
      <c r="C6262" s="0" t="n">
        <v>1963024</v>
      </c>
      <c r="D6262" s="0" t="s">
        <v>20866</v>
      </c>
      <c r="E6262" s="0" t="s">
        <v>20867</v>
      </c>
      <c r="F6262" s="0" t="s">
        <v>15</v>
      </c>
      <c r="G6262" s="0" t="s">
        <v>20</v>
      </c>
      <c r="H6262" s="0" t="n">
        <v>52</v>
      </c>
      <c r="I6262" s="0" t="s">
        <v>20871</v>
      </c>
      <c r="J6262" s="0" t="s">
        <v>20872</v>
      </c>
      <c r="K6262" s="0" t="s">
        <v>20873</v>
      </c>
      <c r="L6262" s="0" t="str">
        <f aca="false">HYPERLINK("https://www.ncbi.nlm.nih.gov/nuccore/CP000058.1?report=graph&amp;tracks=[key:gene_model_track,Options:GeneOnly]&amp;mk=1962966:1962985|offset_13|444444,1963005:1963024|offset_52|00cc00,1963051:1963070|offset_98|444444,1963084:1963103|offset_131|444444&amp;v=1962765:1963303&amp;c=444444", "offset 52")</f>
        <v>offset 52</v>
      </c>
    </row>
    <row r="6263" customFormat="false" ht="12.8" hidden="false" customHeight="false" outlineLevel="0" collapsed="false">
      <c r="A6263" s="0" t="s">
        <v>12</v>
      </c>
      <c r="B6263" s="0" t="n">
        <v>1963050</v>
      </c>
      <c r="C6263" s="0" t="n">
        <v>1963070</v>
      </c>
      <c r="D6263" s="0" t="s">
        <v>20866</v>
      </c>
      <c r="E6263" s="0" t="s">
        <v>20867</v>
      </c>
      <c r="F6263" s="0" t="s">
        <v>15</v>
      </c>
      <c r="G6263" s="0" t="s">
        <v>36</v>
      </c>
      <c r="H6263" s="0" t="n">
        <v>98</v>
      </c>
      <c r="I6263" s="0" t="s">
        <v>20874</v>
      </c>
      <c r="J6263" s="0" t="s">
        <v>20875</v>
      </c>
      <c r="K6263" s="0" t="s">
        <v>20876</v>
      </c>
      <c r="L6263" s="0" t="str">
        <f aca="false">HYPERLINK("https://www.ncbi.nlm.nih.gov/nuccore/CP000058.1?report=graph&amp;tracks=[key:gene_model_track,Options:GeneOnly]&amp;mk=1962966:1962985|offset_13|444444,1963005:1963024|offset_52|444444,1963051:1963070|offset_98|00cc00,1963084:1963103|offset_131|444444&amp;v=1962765:1963303&amp;c=444444", "offset 98")</f>
        <v>offset 98</v>
      </c>
    </row>
    <row r="6264" customFormat="false" ht="12.8" hidden="false" customHeight="false" outlineLevel="0" collapsed="false">
      <c r="A6264" s="0" t="s">
        <v>12</v>
      </c>
      <c r="B6264" s="0" t="n">
        <v>1963083</v>
      </c>
      <c r="C6264" s="0" t="n">
        <v>1963103</v>
      </c>
      <c r="D6264" s="0" t="s">
        <v>20866</v>
      </c>
      <c r="E6264" s="0" t="s">
        <v>20867</v>
      </c>
      <c r="F6264" s="0" t="s">
        <v>15</v>
      </c>
      <c r="G6264" s="0" t="s">
        <v>20</v>
      </c>
      <c r="H6264" s="0" t="n">
        <v>131</v>
      </c>
      <c r="I6264" s="0" t="s">
        <v>20877</v>
      </c>
      <c r="J6264" s="0" t="s">
        <v>20878</v>
      </c>
      <c r="K6264" s="0" t="s">
        <v>20879</v>
      </c>
      <c r="L6264" s="0" t="str">
        <f aca="false">HYPERLINK("https://www.ncbi.nlm.nih.gov/nuccore/CP000058.1?report=graph&amp;tracks=[key:gene_model_track,Options:GeneOnly]&amp;mk=1962966:1962985|offset_13|444444,1963005:1963024|offset_52|444444,1963051:1963070|offset_98|444444,1963084:1963103|offset_131|00cc00&amp;v=1962765:1963303&amp;c=444444", "offset 131")</f>
        <v>offset 131</v>
      </c>
    </row>
    <row r="6265" customFormat="false" ht="12.8" hidden="false" customHeight="false" outlineLevel="0" collapsed="false">
      <c r="A6265" s="0" t="s">
        <v>12</v>
      </c>
      <c r="B6265" s="0" t="n">
        <v>1964456</v>
      </c>
      <c r="C6265" s="0" t="n">
        <v>1964476</v>
      </c>
      <c r="D6265" s="0" t="s">
        <v>20880</v>
      </c>
      <c r="E6265" s="0" t="s">
        <v>20881</v>
      </c>
      <c r="F6265" s="0" t="s">
        <v>15</v>
      </c>
      <c r="G6265" s="0" t="s">
        <v>32</v>
      </c>
      <c r="H6265" s="0" t="n">
        <v>10</v>
      </c>
      <c r="I6265" s="0" t="s">
        <v>20882</v>
      </c>
      <c r="J6265" s="0" t="s">
        <v>20883</v>
      </c>
      <c r="K6265" s="0" t="s">
        <v>20884</v>
      </c>
      <c r="L6265" s="0" t="str">
        <f aca="false">HYPERLINK("https://www.ncbi.nlm.nih.gov/nuccore/CP000058.1?report=graph&amp;tracks=[key:gene_model_track,Options:GeneOnly]&amp;mk=1964457:1964476|offset_10|00cc00,1964480:1964499|offset_33|444444,1964504:1964523|offset_57|444444,1964553:1964572|offset_106|444444&amp;v=1964256:1964772&amp;c=444444", "offset 10")</f>
        <v>offset 10</v>
      </c>
    </row>
    <row r="6266" customFormat="false" ht="12.8" hidden="false" customHeight="false" outlineLevel="0" collapsed="false">
      <c r="A6266" s="0" t="s">
        <v>12</v>
      </c>
      <c r="B6266" s="0" t="n">
        <v>1964479</v>
      </c>
      <c r="C6266" s="0" t="n">
        <v>1964499</v>
      </c>
      <c r="D6266" s="0" t="s">
        <v>20880</v>
      </c>
      <c r="E6266" s="0" t="s">
        <v>20881</v>
      </c>
      <c r="F6266" s="0" t="s">
        <v>15</v>
      </c>
      <c r="G6266" s="0" t="s">
        <v>32</v>
      </c>
      <c r="H6266" s="0" t="n">
        <v>33</v>
      </c>
      <c r="I6266" s="0" t="s">
        <v>20885</v>
      </c>
      <c r="J6266" s="0" t="s">
        <v>20886</v>
      </c>
      <c r="K6266" s="0" t="s">
        <v>20887</v>
      </c>
      <c r="L6266" s="0" t="str">
        <f aca="false">HYPERLINK("https://www.ncbi.nlm.nih.gov/nuccore/CP000058.1?report=graph&amp;tracks=[key:gene_model_track,Options:GeneOnly]&amp;mk=1964457:1964476|offset_10|444444,1964480:1964499|offset_33|00cc00,1964504:1964523|offset_57|444444,1964553:1964572|offset_106|444444&amp;v=1964256:1964772&amp;c=444444", "offset 33")</f>
        <v>offset 33</v>
      </c>
    </row>
    <row r="6267" customFormat="false" ht="12.8" hidden="false" customHeight="false" outlineLevel="0" collapsed="false">
      <c r="A6267" s="0" t="s">
        <v>12</v>
      </c>
      <c r="B6267" s="0" t="n">
        <v>1964503</v>
      </c>
      <c r="C6267" s="0" t="n">
        <v>1964523</v>
      </c>
      <c r="D6267" s="0" t="s">
        <v>20880</v>
      </c>
      <c r="E6267" s="0" t="s">
        <v>20881</v>
      </c>
      <c r="F6267" s="0" t="s">
        <v>15</v>
      </c>
      <c r="G6267" s="0" t="s">
        <v>16</v>
      </c>
      <c r="H6267" s="0" t="n">
        <v>57</v>
      </c>
      <c r="I6267" s="0" t="s">
        <v>20888</v>
      </c>
      <c r="J6267" s="0" t="s">
        <v>20889</v>
      </c>
      <c r="K6267" s="0" t="s">
        <v>20890</v>
      </c>
      <c r="L6267" s="0" t="str">
        <f aca="false">HYPERLINK("https://www.ncbi.nlm.nih.gov/nuccore/CP000058.1?report=graph&amp;tracks=[key:gene_model_track,Options:GeneOnly]&amp;mk=1964457:1964476|offset_10|444444,1964480:1964499|offset_33|444444,1964504:1964523|offset_57|00cc00,1964553:1964572|offset_106|444444&amp;v=1964256:1964772&amp;c=444444", "offset 57")</f>
        <v>offset 57</v>
      </c>
    </row>
    <row r="6268" customFormat="false" ht="12.8" hidden="false" customHeight="false" outlineLevel="0" collapsed="false">
      <c r="A6268" s="0" t="s">
        <v>12</v>
      </c>
      <c r="B6268" s="0" t="n">
        <v>1964552</v>
      </c>
      <c r="C6268" s="0" t="n">
        <v>1964572</v>
      </c>
      <c r="D6268" s="0" t="s">
        <v>20880</v>
      </c>
      <c r="E6268" s="0" t="s">
        <v>20881</v>
      </c>
      <c r="F6268" s="0" t="s">
        <v>15</v>
      </c>
      <c r="G6268" s="0" t="s">
        <v>36</v>
      </c>
      <c r="H6268" s="0" t="n">
        <v>106</v>
      </c>
      <c r="I6268" s="0" t="s">
        <v>20891</v>
      </c>
      <c r="J6268" s="0" t="s">
        <v>20892</v>
      </c>
      <c r="K6268" s="0" t="s">
        <v>20893</v>
      </c>
      <c r="L6268" s="0" t="str">
        <f aca="false">HYPERLINK("https://www.ncbi.nlm.nih.gov/nuccore/CP000058.1?report=graph&amp;tracks=[key:gene_model_track,Options:GeneOnly]&amp;mk=1964457:1964476|offset_10|444444,1964480:1964499|offset_33|444444,1964504:1964523|offset_57|444444,1964553:1964572|offset_106|00cc00&amp;v=1964256:1964772&amp;c=444444", "offset 106")</f>
        <v>offset 106</v>
      </c>
    </row>
    <row r="6269" customFormat="false" ht="12.8" hidden="false" customHeight="false" outlineLevel="0" collapsed="false">
      <c r="A6269" s="0" t="s">
        <v>12</v>
      </c>
      <c r="B6269" s="0" t="n">
        <v>1967039</v>
      </c>
      <c r="C6269" s="0" t="n">
        <v>1967059</v>
      </c>
      <c r="D6269" s="0" t="s">
        <v>20894</v>
      </c>
      <c r="E6269" s="0" t="s">
        <v>20895</v>
      </c>
      <c r="F6269" s="0" t="s">
        <v>15</v>
      </c>
      <c r="G6269" s="0" t="s">
        <v>36</v>
      </c>
      <c r="H6269" s="0" t="n">
        <v>50</v>
      </c>
      <c r="I6269" s="0" t="s">
        <v>20896</v>
      </c>
      <c r="J6269" s="0" t="s">
        <v>20897</v>
      </c>
      <c r="K6269" s="0" t="s">
        <v>20898</v>
      </c>
      <c r="L6269" s="0" t="str">
        <f aca="false">HYPERLINK("https://www.ncbi.nlm.nih.gov/nuccore/CP000058.1?report=graph&amp;tracks=[key:gene_model_track,Options:GeneOnly]&amp;mk=1967040:1967059|offset_50|00cc00,1967084:1967103|offset_94|444444,1967144:1967163|offset_154|444444,1967178:1967197|offset_188|444444&amp;v=1966839:1967397&amp;c=444444", "offset 50")</f>
        <v>offset 50</v>
      </c>
    </row>
    <row r="6270" customFormat="false" ht="12.8" hidden="false" customHeight="false" outlineLevel="0" collapsed="false">
      <c r="A6270" s="0" t="s">
        <v>12</v>
      </c>
      <c r="B6270" s="0" t="n">
        <v>1967083</v>
      </c>
      <c r="C6270" s="0" t="n">
        <v>1967103</v>
      </c>
      <c r="D6270" s="0" t="s">
        <v>20894</v>
      </c>
      <c r="E6270" s="0" t="s">
        <v>20895</v>
      </c>
      <c r="F6270" s="0" t="s">
        <v>15</v>
      </c>
      <c r="G6270" s="0" t="s">
        <v>16</v>
      </c>
      <c r="H6270" s="0" t="n">
        <v>94</v>
      </c>
      <c r="I6270" s="0" t="s">
        <v>20899</v>
      </c>
      <c r="J6270" s="0" t="s">
        <v>20900</v>
      </c>
      <c r="K6270" s="0" t="s">
        <v>20901</v>
      </c>
      <c r="L6270" s="0" t="str">
        <f aca="false">HYPERLINK("https://www.ncbi.nlm.nih.gov/nuccore/CP000058.1?report=graph&amp;tracks=[key:gene_model_track,Options:GeneOnly]&amp;mk=1967040:1967059|offset_50|444444,1967084:1967103|offset_94|00cc00,1967144:1967163|offset_154|444444,1967178:1967197|offset_188|444444&amp;v=1966839:1967397&amp;c=444444", "offset 94")</f>
        <v>offset 94</v>
      </c>
    </row>
    <row r="6271" customFormat="false" ht="12.8" hidden="false" customHeight="false" outlineLevel="0" collapsed="false">
      <c r="A6271" s="0" t="s">
        <v>12</v>
      </c>
      <c r="B6271" s="0" t="n">
        <v>1967143</v>
      </c>
      <c r="C6271" s="0" t="n">
        <v>1967163</v>
      </c>
      <c r="D6271" s="0" t="s">
        <v>20894</v>
      </c>
      <c r="E6271" s="0" t="s">
        <v>20895</v>
      </c>
      <c r="F6271" s="0" t="s">
        <v>15</v>
      </c>
      <c r="G6271" s="0" t="s">
        <v>16</v>
      </c>
      <c r="H6271" s="0" t="n">
        <v>154</v>
      </c>
      <c r="I6271" s="0" t="s">
        <v>20902</v>
      </c>
      <c r="J6271" s="0" t="s">
        <v>20903</v>
      </c>
      <c r="K6271" s="0" t="s">
        <v>20904</v>
      </c>
      <c r="L6271" s="0" t="str">
        <f aca="false">HYPERLINK("https://www.ncbi.nlm.nih.gov/nuccore/CP000058.1?report=graph&amp;tracks=[key:gene_model_track,Options:GeneOnly]&amp;mk=1967040:1967059|offset_50|444444,1967084:1967103|offset_94|444444,1967144:1967163|offset_154|00cc00,1967178:1967197|offset_188|444444&amp;v=1966839:1967397&amp;c=444444", "offset 154")</f>
        <v>offset 154</v>
      </c>
    </row>
    <row r="6272" customFormat="false" ht="12.8" hidden="false" customHeight="false" outlineLevel="0" collapsed="false">
      <c r="A6272" s="0" t="s">
        <v>12</v>
      </c>
      <c r="B6272" s="0" t="n">
        <v>1967177</v>
      </c>
      <c r="C6272" s="0" t="n">
        <v>1967197</v>
      </c>
      <c r="D6272" s="0" t="s">
        <v>20894</v>
      </c>
      <c r="E6272" s="0" t="s">
        <v>20895</v>
      </c>
      <c r="F6272" s="0" t="s">
        <v>15</v>
      </c>
      <c r="G6272" s="0" t="s">
        <v>36</v>
      </c>
      <c r="H6272" s="0" t="n">
        <v>188</v>
      </c>
      <c r="I6272" s="0" t="s">
        <v>20905</v>
      </c>
      <c r="J6272" s="0" t="s">
        <v>20906</v>
      </c>
      <c r="K6272" s="0" t="s">
        <v>20907</v>
      </c>
      <c r="L6272" s="0" t="str">
        <f aca="false">HYPERLINK("https://www.ncbi.nlm.nih.gov/nuccore/CP000058.1?report=graph&amp;tracks=[key:gene_model_track,Options:GeneOnly]&amp;mk=1967040:1967059|offset_50|444444,1967084:1967103|offset_94|444444,1967144:1967163|offset_154|444444,1967178:1967197|offset_188|00cc00&amp;v=1966839:1967397&amp;c=444444", "offset 188")</f>
        <v>offset 188</v>
      </c>
    </row>
    <row r="6273" customFormat="false" ht="12.8" hidden="false" customHeight="false" outlineLevel="0" collapsed="false">
      <c r="A6273" s="0" t="s">
        <v>12</v>
      </c>
      <c r="B6273" s="0" t="n">
        <v>1967510</v>
      </c>
      <c r="C6273" s="0" t="n">
        <v>1967530</v>
      </c>
      <c r="D6273" s="0" t="s">
        <v>20908</v>
      </c>
      <c r="E6273" s="0" t="s">
        <v>75</v>
      </c>
      <c r="F6273" s="0" t="s">
        <v>15</v>
      </c>
      <c r="G6273" s="0" t="s">
        <v>32</v>
      </c>
      <c r="H6273" s="0" t="n">
        <v>43</v>
      </c>
      <c r="I6273" s="0" t="s">
        <v>20909</v>
      </c>
      <c r="J6273" s="0" t="s">
        <v>20910</v>
      </c>
      <c r="K6273" s="0" t="s">
        <v>20911</v>
      </c>
      <c r="L6273" s="0" t="str">
        <f aca="false">HYPERLINK("https://www.ncbi.nlm.nih.gov/nuccore/CP000058.1?report=graph&amp;tracks=[key:gene_model_track,Options:GeneOnly]&amp;mk=1967511:1967530|offset_43|00cc00,1967547:1967566|offset_79|444444,1967574:1967593|offset_106|444444,1967641:1967660|offset_173|444444&amp;v=1967310:1967860&amp;c=444444", "offset 43")</f>
        <v>offset 43</v>
      </c>
    </row>
    <row r="6274" customFormat="false" ht="12.8" hidden="false" customHeight="false" outlineLevel="0" collapsed="false">
      <c r="A6274" s="0" t="s">
        <v>12</v>
      </c>
      <c r="B6274" s="0" t="n">
        <v>1967546</v>
      </c>
      <c r="C6274" s="0" t="n">
        <v>1967566</v>
      </c>
      <c r="D6274" s="0" t="s">
        <v>20908</v>
      </c>
      <c r="E6274" s="0" t="s">
        <v>75</v>
      </c>
      <c r="F6274" s="0" t="s">
        <v>15</v>
      </c>
      <c r="G6274" s="0" t="s">
        <v>20</v>
      </c>
      <c r="H6274" s="0" t="n">
        <v>79</v>
      </c>
      <c r="I6274" s="0" t="s">
        <v>20912</v>
      </c>
      <c r="J6274" s="0" t="s">
        <v>20913</v>
      </c>
      <c r="K6274" s="0" t="s">
        <v>20914</v>
      </c>
      <c r="L6274" s="0" t="str">
        <f aca="false">HYPERLINK("https://www.ncbi.nlm.nih.gov/nuccore/CP000058.1?report=graph&amp;tracks=[key:gene_model_track,Options:GeneOnly]&amp;mk=1967511:1967530|offset_43|444444,1967547:1967566|offset_79|00cc00,1967574:1967593|offset_106|444444,1967641:1967660|offset_173|444444&amp;v=1967310:1967860&amp;c=444444", "offset 79")</f>
        <v>offset 79</v>
      </c>
    </row>
    <row r="6275" customFormat="false" ht="12.8" hidden="false" customHeight="false" outlineLevel="0" collapsed="false">
      <c r="A6275" s="0" t="s">
        <v>12</v>
      </c>
      <c r="B6275" s="0" t="n">
        <v>1967573</v>
      </c>
      <c r="C6275" s="0" t="n">
        <v>1967593</v>
      </c>
      <c r="D6275" s="0" t="s">
        <v>20908</v>
      </c>
      <c r="E6275" s="0" t="s">
        <v>75</v>
      </c>
      <c r="F6275" s="0" t="s">
        <v>15</v>
      </c>
      <c r="G6275" s="0" t="s">
        <v>16</v>
      </c>
      <c r="H6275" s="0" t="n">
        <v>106</v>
      </c>
      <c r="I6275" s="0" t="s">
        <v>20915</v>
      </c>
      <c r="J6275" s="0" t="s">
        <v>20916</v>
      </c>
      <c r="K6275" s="0" t="s">
        <v>20917</v>
      </c>
      <c r="L6275" s="0" t="str">
        <f aca="false">HYPERLINK("https://www.ncbi.nlm.nih.gov/nuccore/CP000058.1?report=graph&amp;tracks=[key:gene_model_track,Options:GeneOnly]&amp;mk=1967511:1967530|offset_43|444444,1967547:1967566|offset_79|444444,1967574:1967593|offset_106|00cc00,1967641:1967660|offset_173|444444&amp;v=1967310:1967860&amp;c=444444", "offset 106")</f>
        <v>offset 106</v>
      </c>
    </row>
    <row r="6276" customFormat="false" ht="12.8" hidden="false" customHeight="false" outlineLevel="0" collapsed="false">
      <c r="A6276" s="0" t="s">
        <v>12</v>
      </c>
      <c r="B6276" s="0" t="n">
        <v>1967640</v>
      </c>
      <c r="C6276" s="0" t="n">
        <v>1967660</v>
      </c>
      <c r="D6276" s="0" t="s">
        <v>20908</v>
      </c>
      <c r="E6276" s="0" t="s">
        <v>75</v>
      </c>
      <c r="F6276" s="0" t="s">
        <v>15</v>
      </c>
      <c r="G6276" s="0" t="s">
        <v>32</v>
      </c>
      <c r="H6276" s="0" t="n">
        <v>173</v>
      </c>
      <c r="I6276" s="0" t="s">
        <v>20918</v>
      </c>
      <c r="J6276" s="0" t="s">
        <v>20919</v>
      </c>
      <c r="K6276" s="0" t="s">
        <v>20920</v>
      </c>
      <c r="L6276" s="0" t="str">
        <f aca="false">HYPERLINK("https://www.ncbi.nlm.nih.gov/nuccore/CP000058.1?report=graph&amp;tracks=[key:gene_model_track,Options:GeneOnly]&amp;mk=1967511:1967530|offset_43|444444,1967547:1967566|offset_79|444444,1967574:1967593|offset_106|444444,1967641:1967660|offset_173|00cc00&amp;v=1967310:1967860&amp;c=444444", "offset 173")</f>
        <v>offset 173</v>
      </c>
    </row>
    <row r="6277" customFormat="false" ht="12.8" hidden="false" customHeight="false" outlineLevel="0" collapsed="false">
      <c r="A6277" s="0" t="s">
        <v>12</v>
      </c>
      <c r="B6277" s="0" t="n">
        <v>1970222</v>
      </c>
      <c r="C6277" s="0" t="n">
        <v>1970242</v>
      </c>
      <c r="D6277" s="0" t="s">
        <v>20921</v>
      </c>
      <c r="E6277" s="0" t="s">
        <v>20922</v>
      </c>
      <c r="F6277" s="0" t="s">
        <v>90</v>
      </c>
      <c r="G6277" s="0" t="s">
        <v>16</v>
      </c>
      <c r="H6277" s="0" t="n">
        <v>16</v>
      </c>
      <c r="I6277" s="0" t="s">
        <v>20923</v>
      </c>
      <c r="J6277" s="0" t="s">
        <v>20924</v>
      </c>
      <c r="K6277" s="0" t="s">
        <v>20925</v>
      </c>
      <c r="L6277" s="0" t="str">
        <f aca="false">HYPERLINK("https://www.ncbi.nlm.nih.gov/nuccore/CP000058.1?report=graph&amp;tracks=[key:gene_model_track,Options:GeneOnly]&amp;mk=1970223:1970242|offset_16|00cc00,1970193:1970212|offset_46|444444,1970172:1970191|offset_67|444444,1970124:1970143|offset_115|444444&amp;v=1970022:1970343&amp;c=444444", "offset 16")</f>
        <v>offset 16</v>
      </c>
    </row>
    <row r="6278" customFormat="false" ht="12.8" hidden="false" customHeight="false" outlineLevel="0" collapsed="false">
      <c r="A6278" s="0" t="s">
        <v>12</v>
      </c>
      <c r="B6278" s="0" t="n">
        <v>1970192</v>
      </c>
      <c r="C6278" s="0" t="n">
        <v>1970212</v>
      </c>
      <c r="D6278" s="0" t="s">
        <v>20921</v>
      </c>
      <c r="E6278" s="0" t="s">
        <v>20922</v>
      </c>
      <c r="F6278" s="0" t="s">
        <v>90</v>
      </c>
      <c r="G6278" s="0" t="s">
        <v>32</v>
      </c>
      <c r="H6278" s="0" t="n">
        <v>46</v>
      </c>
      <c r="I6278" s="0" t="s">
        <v>20926</v>
      </c>
      <c r="J6278" s="0" t="s">
        <v>20927</v>
      </c>
      <c r="K6278" s="0" t="s">
        <v>20928</v>
      </c>
      <c r="L6278" s="0" t="str">
        <f aca="false">HYPERLINK("https://www.ncbi.nlm.nih.gov/nuccore/CP000058.1?report=graph&amp;tracks=[key:gene_model_track,Options:GeneOnly]&amp;mk=1970223:1970242|offset_16|444444,1970193:1970212|offset_46|00cc00,1970172:1970191|offset_67|444444,1970124:1970143|offset_115|444444&amp;v=1970022:1970343&amp;c=444444", "offset 46")</f>
        <v>offset 46</v>
      </c>
    </row>
    <row r="6279" customFormat="false" ht="12.8" hidden="false" customHeight="false" outlineLevel="0" collapsed="false">
      <c r="A6279" s="0" t="s">
        <v>12</v>
      </c>
      <c r="B6279" s="0" t="n">
        <v>1970171</v>
      </c>
      <c r="C6279" s="0" t="n">
        <v>1970191</v>
      </c>
      <c r="D6279" s="0" t="s">
        <v>20921</v>
      </c>
      <c r="E6279" s="0" t="s">
        <v>20922</v>
      </c>
      <c r="F6279" s="0" t="s">
        <v>90</v>
      </c>
      <c r="G6279" s="0" t="s">
        <v>16</v>
      </c>
      <c r="H6279" s="0" t="n">
        <v>67</v>
      </c>
      <c r="I6279" s="0" t="s">
        <v>20929</v>
      </c>
      <c r="J6279" s="0" t="s">
        <v>20930</v>
      </c>
      <c r="K6279" s="0" t="s">
        <v>20931</v>
      </c>
      <c r="L6279" s="0" t="str">
        <f aca="false">HYPERLINK("https://www.ncbi.nlm.nih.gov/nuccore/CP000058.1?report=graph&amp;tracks=[key:gene_model_track,Options:GeneOnly]&amp;mk=1970223:1970242|offset_16|444444,1970193:1970212|offset_46|444444,1970172:1970191|offset_67|00cc00,1970124:1970143|offset_115|444444&amp;v=1970022:1970343&amp;c=444444", "offset 67")</f>
        <v>offset 67</v>
      </c>
    </row>
    <row r="6280" customFormat="false" ht="12.8" hidden="false" customHeight="false" outlineLevel="0" collapsed="false">
      <c r="A6280" s="0" t="s">
        <v>12</v>
      </c>
      <c r="B6280" s="0" t="n">
        <v>1970123</v>
      </c>
      <c r="C6280" s="0" t="n">
        <v>1970143</v>
      </c>
      <c r="D6280" s="0" t="s">
        <v>20921</v>
      </c>
      <c r="E6280" s="0" t="s">
        <v>20922</v>
      </c>
      <c r="F6280" s="0" t="s">
        <v>90</v>
      </c>
      <c r="G6280" s="0" t="s">
        <v>20</v>
      </c>
      <c r="H6280" s="0" t="n">
        <v>115</v>
      </c>
      <c r="I6280" s="0" t="s">
        <v>20932</v>
      </c>
      <c r="J6280" s="0" t="s">
        <v>20933</v>
      </c>
      <c r="K6280" s="0" t="s">
        <v>20934</v>
      </c>
      <c r="L6280" s="0" t="str">
        <f aca="false">HYPERLINK("https://www.ncbi.nlm.nih.gov/nuccore/CP000058.1?report=graph&amp;tracks=[key:gene_model_track,Options:GeneOnly]&amp;mk=1970223:1970242|offset_16|444444,1970193:1970212|offset_46|444444,1970172:1970191|offset_67|444444,1970124:1970143|offset_115|00cc00&amp;v=1970022:1970343&amp;c=444444", "offset 115")</f>
        <v>offset 115</v>
      </c>
    </row>
    <row r="6281" customFormat="false" ht="12.8" hidden="false" customHeight="false" outlineLevel="0" collapsed="false">
      <c r="A6281" s="0" t="s">
        <v>12</v>
      </c>
      <c r="B6281" s="0" t="n">
        <v>1971766</v>
      </c>
      <c r="C6281" s="0" t="n">
        <v>1971786</v>
      </c>
      <c r="D6281" s="0" t="s">
        <v>20935</v>
      </c>
      <c r="E6281" s="0" t="s">
        <v>75</v>
      </c>
      <c r="F6281" s="0" t="s">
        <v>90</v>
      </c>
      <c r="G6281" s="0" t="s">
        <v>16</v>
      </c>
      <c r="H6281" s="0" t="n">
        <v>101</v>
      </c>
      <c r="I6281" s="0" t="s">
        <v>20936</v>
      </c>
      <c r="J6281" s="0" t="s">
        <v>20937</v>
      </c>
      <c r="K6281" s="0" t="s">
        <v>20938</v>
      </c>
      <c r="L6281" s="0" t="str">
        <f aca="false">HYPERLINK("https://www.ncbi.nlm.nih.gov/nuccore/CP000058.1?report=graph&amp;tracks=[key:gene_model_track,Options:GeneOnly]&amp;mk=1971767:1971786|offset_101|00cc00,1971698:1971717|offset_170|444444,1971678:1971697|offset_190|444444,1971650:1971669|offset_218|444444&amp;v=1971566:1971869&amp;c=444444", "offset 101")</f>
        <v>offset 101</v>
      </c>
    </row>
    <row r="6282" customFormat="false" ht="12.8" hidden="false" customHeight="false" outlineLevel="0" collapsed="false">
      <c r="A6282" s="0" t="s">
        <v>12</v>
      </c>
      <c r="B6282" s="0" t="n">
        <v>1971697</v>
      </c>
      <c r="C6282" s="0" t="n">
        <v>1971717</v>
      </c>
      <c r="D6282" s="0" t="s">
        <v>20935</v>
      </c>
      <c r="E6282" s="0" t="s">
        <v>75</v>
      </c>
      <c r="F6282" s="0" t="s">
        <v>90</v>
      </c>
      <c r="G6282" s="0" t="s">
        <v>20</v>
      </c>
      <c r="H6282" s="0" t="n">
        <v>170</v>
      </c>
      <c r="I6282" s="0" t="s">
        <v>20939</v>
      </c>
      <c r="J6282" s="0" t="s">
        <v>20940</v>
      </c>
      <c r="K6282" s="0" t="s">
        <v>20941</v>
      </c>
      <c r="L6282" s="0" t="str">
        <f aca="false">HYPERLINK("https://www.ncbi.nlm.nih.gov/nuccore/CP000058.1?report=graph&amp;tracks=[key:gene_model_track,Options:GeneOnly]&amp;mk=1971767:1971786|offset_101|444444,1971698:1971717|offset_170|00cc00,1971678:1971697|offset_190|444444,1971650:1971669|offset_218|444444&amp;v=1971566:1971869&amp;c=444444", "offset 170")</f>
        <v>offset 170</v>
      </c>
    </row>
    <row r="6283" customFormat="false" ht="12.8" hidden="false" customHeight="false" outlineLevel="0" collapsed="false">
      <c r="A6283" s="0" t="s">
        <v>12</v>
      </c>
      <c r="B6283" s="0" t="n">
        <v>1971677</v>
      </c>
      <c r="C6283" s="0" t="n">
        <v>1971697</v>
      </c>
      <c r="D6283" s="0" t="s">
        <v>20935</v>
      </c>
      <c r="E6283" s="0" t="s">
        <v>75</v>
      </c>
      <c r="F6283" s="0" t="s">
        <v>90</v>
      </c>
      <c r="G6283" s="0" t="s">
        <v>32</v>
      </c>
      <c r="H6283" s="0" t="n">
        <v>190</v>
      </c>
      <c r="I6283" s="0" t="s">
        <v>20942</v>
      </c>
      <c r="J6283" s="0" t="s">
        <v>20943</v>
      </c>
      <c r="K6283" s="0" t="s">
        <v>20944</v>
      </c>
      <c r="L6283" s="0" t="str">
        <f aca="false">HYPERLINK("https://www.ncbi.nlm.nih.gov/nuccore/CP000058.1?report=graph&amp;tracks=[key:gene_model_track,Options:GeneOnly]&amp;mk=1971767:1971786|offset_101|444444,1971698:1971717|offset_170|444444,1971678:1971697|offset_190|00cc00,1971650:1971669|offset_218|444444&amp;v=1971566:1971869&amp;c=444444", "offset 190")</f>
        <v>offset 190</v>
      </c>
    </row>
    <row r="6284" customFormat="false" ht="12.8" hidden="false" customHeight="false" outlineLevel="0" collapsed="false">
      <c r="A6284" s="0" t="s">
        <v>12</v>
      </c>
      <c r="B6284" s="0" t="n">
        <v>1971649</v>
      </c>
      <c r="C6284" s="0" t="n">
        <v>1971669</v>
      </c>
      <c r="D6284" s="0" t="s">
        <v>20935</v>
      </c>
      <c r="E6284" s="0" t="s">
        <v>75</v>
      </c>
      <c r="F6284" s="0" t="s">
        <v>90</v>
      </c>
      <c r="G6284" s="0" t="s">
        <v>16</v>
      </c>
      <c r="H6284" s="0" t="n">
        <v>218</v>
      </c>
      <c r="I6284" s="0" t="s">
        <v>20945</v>
      </c>
      <c r="J6284" s="0" t="s">
        <v>20946</v>
      </c>
      <c r="K6284" s="0" t="s">
        <v>20947</v>
      </c>
      <c r="L6284" s="0" t="str">
        <f aca="false">HYPERLINK("https://www.ncbi.nlm.nih.gov/nuccore/CP000058.1?report=graph&amp;tracks=[key:gene_model_track,Options:GeneOnly]&amp;mk=1971767:1971786|offset_101|444444,1971698:1971717|offset_170|444444,1971678:1971697|offset_190|444444,1971650:1971669|offset_218|00cc00&amp;v=1971566:1971869&amp;c=444444", "offset 218")</f>
        <v>offset 218</v>
      </c>
    </row>
    <row r="6285" customFormat="false" ht="12.8" hidden="false" customHeight="false" outlineLevel="0" collapsed="false">
      <c r="A6285" s="0" t="s">
        <v>12</v>
      </c>
      <c r="B6285" s="0" t="n">
        <v>1972873</v>
      </c>
      <c r="C6285" s="0" t="n">
        <v>1972893</v>
      </c>
      <c r="D6285" s="0" t="s">
        <v>20948</v>
      </c>
      <c r="E6285" s="0" t="s">
        <v>75</v>
      </c>
      <c r="F6285" s="0" t="s">
        <v>90</v>
      </c>
      <c r="G6285" s="0" t="s">
        <v>20</v>
      </c>
      <c r="H6285" s="0" t="n">
        <v>15</v>
      </c>
      <c r="I6285" s="0" t="s">
        <v>20949</v>
      </c>
      <c r="J6285" s="0" t="s">
        <v>20950</v>
      </c>
      <c r="K6285" s="0" t="s">
        <v>20951</v>
      </c>
      <c r="L6285" s="0" t="str">
        <f aca="false">HYPERLINK("https://www.ncbi.nlm.nih.gov/nuccore/CP000058.1?report=graph&amp;tracks=[key:gene_model_track,Options:GeneOnly]&amp;mk=1972874:1972893|offset_15|00cc00,1972840:1972859|offset_49|444444,1972806:1972825|offset_83|444444,1972785:1972804|offset_104|444444&amp;v=1972673:1973004&amp;c=444444", "offset 15")</f>
        <v>offset 15</v>
      </c>
    </row>
    <row r="6286" customFormat="false" ht="12.8" hidden="false" customHeight="false" outlineLevel="0" collapsed="false">
      <c r="A6286" s="0" t="s">
        <v>12</v>
      </c>
      <c r="B6286" s="0" t="n">
        <v>1972839</v>
      </c>
      <c r="C6286" s="0" t="n">
        <v>1972859</v>
      </c>
      <c r="D6286" s="0" t="s">
        <v>20948</v>
      </c>
      <c r="E6286" s="0" t="s">
        <v>75</v>
      </c>
      <c r="F6286" s="0" t="s">
        <v>90</v>
      </c>
      <c r="G6286" s="0" t="s">
        <v>32</v>
      </c>
      <c r="H6286" s="0" t="n">
        <v>49</v>
      </c>
      <c r="I6286" s="0" t="s">
        <v>20952</v>
      </c>
      <c r="J6286" s="0" t="s">
        <v>20953</v>
      </c>
      <c r="K6286" s="0" t="s">
        <v>20954</v>
      </c>
      <c r="L6286" s="0" t="str">
        <f aca="false">HYPERLINK("https://www.ncbi.nlm.nih.gov/nuccore/CP000058.1?report=graph&amp;tracks=[key:gene_model_track,Options:GeneOnly]&amp;mk=1972874:1972893|offset_15|444444,1972840:1972859|offset_49|00cc00,1972806:1972825|offset_83|444444,1972785:1972804|offset_104|444444&amp;v=1972673:1973004&amp;c=444444", "offset 49")</f>
        <v>offset 49</v>
      </c>
    </row>
    <row r="6287" customFormat="false" ht="12.8" hidden="false" customHeight="false" outlineLevel="0" collapsed="false">
      <c r="A6287" s="0" t="s">
        <v>12</v>
      </c>
      <c r="B6287" s="0" t="n">
        <v>1972805</v>
      </c>
      <c r="C6287" s="0" t="n">
        <v>1972825</v>
      </c>
      <c r="D6287" s="0" t="s">
        <v>20948</v>
      </c>
      <c r="E6287" s="0" t="s">
        <v>75</v>
      </c>
      <c r="F6287" s="0" t="s">
        <v>90</v>
      </c>
      <c r="G6287" s="0" t="s">
        <v>20</v>
      </c>
      <c r="H6287" s="0" t="n">
        <v>83</v>
      </c>
      <c r="I6287" s="0" t="s">
        <v>20955</v>
      </c>
      <c r="J6287" s="0" t="s">
        <v>20956</v>
      </c>
      <c r="K6287" s="0" t="s">
        <v>20957</v>
      </c>
      <c r="L6287" s="0" t="str">
        <f aca="false">HYPERLINK("https://www.ncbi.nlm.nih.gov/nuccore/CP000058.1?report=graph&amp;tracks=[key:gene_model_track,Options:GeneOnly]&amp;mk=1972874:1972893|offset_15|444444,1972840:1972859|offset_49|444444,1972806:1972825|offset_83|00cc00,1972785:1972804|offset_104|444444&amp;v=1972673:1973004&amp;c=444444", "offset 83")</f>
        <v>offset 83</v>
      </c>
    </row>
    <row r="6288" customFormat="false" ht="12.8" hidden="false" customHeight="false" outlineLevel="0" collapsed="false">
      <c r="A6288" s="0" t="s">
        <v>12</v>
      </c>
      <c r="B6288" s="0" t="n">
        <v>1972784</v>
      </c>
      <c r="C6288" s="0" t="n">
        <v>1972804</v>
      </c>
      <c r="D6288" s="0" t="s">
        <v>20948</v>
      </c>
      <c r="E6288" s="0" t="s">
        <v>75</v>
      </c>
      <c r="F6288" s="0" t="s">
        <v>90</v>
      </c>
      <c r="G6288" s="0" t="s">
        <v>20</v>
      </c>
      <c r="H6288" s="0" t="n">
        <v>104</v>
      </c>
      <c r="I6288" s="0" t="s">
        <v>20958</v>
      </c>
      <c r="J6288" s="0" t="s">
        <v>20959</v>
      </c>
      <c r="K6288" s="0" t="s">
        <v>20960</v>
      </c>
      <c r="L6288" s="0" t="str">
        <f aca="false">HYPERLINK("https://www.ncbi.nlm.nih.gov/nuccore/CP000058.1?report=graph&amp;tracks=[key:gene_model_track,Options:GeneOnly]&amp;mk=1972874:1972893|offset_15|444444,1972840:1972859|offset_49|444444,1972806:1972825|offset_83|444444,1972785:1972804|offset_104|00cc00&amp;v=1972673:1973004&amp;c=444444", "offset 104")</f>
        <v>offset 104</v>
      </c>
    </row>
    <row r="6289" customFormat="false" ht="12.8" hidden="false" customHeight="false" outlineLevel="0" collapsed="false">
      <c r="A6289" s="0" t="s">
        <v>12</v>
      </c>
      <c r="B6289" s="0" t="n">
        <v>1973922</v>
      </c>
      <c r="C6289" s="0" t="n">
        <v>1973942</v>
      </c>
      <c r="D6289" s="0" t="s">
        <v>20961</v>
      </c>
      <c r="E6289" s="0" t="s">
        <v>75</v>
      </c>
      <c r="F6289" s="0" t="s">
        <v>90</v>
      </c>
      <c r="G6289" s="0" t="s">
        <v>36</v>
      </c>
      <c r="H6289" s="0" t="n">
        <v>41</v>
      </c>
      <c r="I6289" s="0" t="s">
        <v>20962</v>
      </c>
      <c r="J6289" s="0" t="s">
        <v>20963</v>
      </c>
      <c r="K6289" s="0" t="s">
        <v>20964</v>
      </c>
      <c r="L6289" s="0" t="str">
        <f aca="false">HYPERLINK("https://www.ncbi.nlm.nih.gov/nuccore/CP000058.1?report=graph&amp;tracks=[key:gene_model_track,Options:GeneOnly]&amp;mk=1973923:1973942|offset_41|00cc00,1973876:1973895|offset_88|444444,1973843:1973862|offset_121|444444,1973816:1973835|offset_148|444444&amp;v=1973722:1974035&amp;c=444444", "offset 41")</f>
        <v>offset 41</v>
      </c>
    </row>
    <row r="6290" customFormat="false" ht="12.8" hidden="false" customHeight="false" outlineLevel="0" collapsed="false">
      <c r="A6290" s="0" t="s">
        <v>12</v>
      </c>
      <c r="B6290" s="0" t="n">
        <v>1973875</v>
      </c>
      <c r="C6290" s="0" t="n">
        <v>1973895</v>
      </c>
      <c r="D6290" s="0" t="s">
        <v>20961</v>
      </c>
      <c r="E6290" s="0" t="s">
        <v>75</v>
      </c>
      <c r="F6290" s="0" t="s">
        <v>90</v>
      </c>
      <c r="G6290" s="0" t="s">
        <v>16</v>
      </c>
      <c r="H6290" s="0" t="n">
        <v>88</v>
      </c>
      <c r="I6290" s="0" t="s">
        <v>20965</v>
      </c>
      <c r="J6290" s="0" t="s">
        <v>20966</v>
      </c>
      <c r="K6290" s="0" t="s">
        <v>20967</v>
      </c>
      <c r="L6290" s="0" t="str">
        <f aca="false">HYPERLINK("https://www.ncbi.nlm.nih.gov/nuccore/CP000058.1?report=graph&amp;tracks=[key:gene_model_track,Options:GeneOnly]&amp;mk=1973923:1973942|offset_41|444444,1973876:1973895|offset_88|00cc00,1973843:1973862|offset_121|444444,1973816:1973835|offset_148|444444&amp;v=1973722:1974035&amp;c=444444", "offset 88")</f>
        <v>offset 88</v>
      </c>
    </row>
    <row r="6291" customFormat="false" ht="12.8" hidden="false" customHeight="false" outlineLevel="0" collapsed="false">
      <c r="A6291" s="0" t="s">
        <v>12</v>
      </c>
      <c r="B6291" s="0" t="n">
        <v>1973842</v>
      </c>
      <c r="C6291" s="0" t="n">
        <v>1973862</v>
      </c>
      <c r="D6291" s="0" t="s">
        <v>20961</v>
      </c>
      <c r="E6291" s="0" t="s">
        <v>75</v>
      </c>
      <c r="F6291" s="0" t="s">
        <v>90</v>
      </c>
      <c r="G6291" s="0" t="s">
        <v>32</v>
      </c>
      <c r="H6291" s="0" t="n">
        <v>121</v>
      </c>
      <c r="I6291" s="0" t="s">
        <v>20968</v>
      </c>
      <c r="J6291" s="0" t="s">
        <v>20969</v>
      </c>
      <c r="K6291" s="0" t="s">
        <v>20970</v>
      </c>
      <c r="L6291" s="0" t="str">
        <f aca="false">HYPERLINK("https://www.ncbi.nlm.nih.gov/nuccore/CP000058.1?report=graph&amp;tracks=[key:gene_model_track,Options:GeneOnly]&amp;mk=1973923:1973942|offset_41|444444,1973876:1973895|offset_88|444444,1973843:1973862|offset_121|00cc00,1973816:1973835|offset_148|444444&amp;v=1973722:1974035&amp;c=444444", "offset 121")</f>
        <v>offset 121</v>
      </c>
    </row>
    <row r="6292" customFormat="false" ht="12.8" hidden="false" customHeight="false" outlineLevel="0" collapsed="false">
      <c r="A6292" s="0" t="s">
        <v>12</v>
      </c>
      <c r="B6292" s="0" t="n">
        <v>1973815</v>
      </c>
      <c r="C6292" s="0" t="n">
        <v>1973835</v>
      </c>
      <c r="D6292" s="0" t="s">
        <v>20961</v>
      </c>
      <c r="E6292" s="0" t="s">
        <v>75</v>
      </c>
      <c r="F6292" s="0" t="s">
        <v>90</v>
      </c>
      <c r="G6292" s="0" t="s">
        <v>32</v>
      </c>
      <c r="H6292" s="0" t="n">
        <v>148</v>
      </c>
      <c r="I6292" s="0" t="s">
        <v>20971</v>
      </c>
      <c r="J6292" s="0" t="s">
        <v>20972</v>
      </c>
      <c r="K6292" s="0" t="s">
        <v>20973</v>
      </c>
      <c r="L6292" s="0" t="str">
        <f aca="false">HYPERLINK("https://www.ncbi.nlm.nih.gov/nuccore/CP000058.1?report=graph&amp;tracks=[key:gene_model_track,Options:GeneOnly]&amp;mk=1973923:1973942|offset_41|444444,1973876:1973895|offset_88|444444,1973843:1973862|offset_121|444444,1973816:1973835|offset_148|00cc00&amp;v=1973722:1974035&amp;c=444444", "offset 148")</f>
        <v>offset 148</v>
      </c>
    </row>
    <row r="6293" customFormat="false" ht="12.8" hidden="false" customHeight="false" outlineLevel="0" collapsed="false">
      <c r="A6293" s="0" t="s">
        <v>12</v>
      </c>
      <c r="B6293" s="0" t="n">
        <v>1975813</v>
      </c>
      <c r="C6293" s="0" t="n">
        <v>1975833</v>
      </c>
      <c r="D6293" s="0" t="s">
        <v>20974</v>
      </c>
      <c r="E6293" s="0" t="s">
        <v>75</v>
      </c>
      <c r="F6293" s="0" t="s">
        <v>90</v>
      </c>
      <c r="G6293" s="0" t="s">
        <v>36</v>
      </c>
      <c r="H6293" s="0" t="n">
        <v>8</v>
      </c>
      <c r="I6293" s="0" t="s">
        <v>20975</v>
      </c>
      <c r="J6293" s="0" t="s">
        <v>20976</v>
      </c>
      <c r="K6293" s="0" t="s">
        <v>20977</v>
      </c>
      <c r="L6293" s="0" t="str">
        <f aca="false">HYPERLINK("https://www.ncbi.nlm.nih.gov/nuccore/CP000058.1?report=graph&amp;tracks=[key:gene_model_track,Options:GeneOnly]&amp;mk=1975814:1975833|offset_8|00cc00,1975785:1975804|offset_37|444444,1975761:1975780|offset_61|444444,1975741:1975760|offset_81|444444&amp;v=1975613:1975960&amp;c=444444", "offset 8")</f>
        <v>offset 8</v>
      </c>
    </row>
    <row r="6294" customFormat="false" ht="12.8" hidden="false" customHeight="false" outlineLevel="0" collapsed="false">
      <c r="A6294" s="0" t="s">
        <v>12</v>
      </c>
      <c r="B6294" s="0" t="n">
        <v>1975784</v>
      </c>
      <c r="C6294" s="0" t="n">
        <v>1975804</v>
      </c>
      <c r="D6294" s="0" t="s">
        <v>20974</v>
      </c>
      <c r="E6294" s="0" t="s">
        <v>75</v>
      </c>
      <c r="F6294" s="0" t="s">
        <v>90</v>
      </c>
      <c r="G6294" s="0" t="s">
        <v>16</v>
      </c>
      <c r="H6294" s="0" t="n">
        <v>37</v>
      </c>
      <c r="I6294" s="0" t="s">
        <v>20978</v>
      </c>
      <c r="J6294" s="0" t="s">
        <v>20979</v>
      </c>
      <c r="K6294" s="0" t="s">
        <v>20980</v>
      </c>
      <c r="L6294" s="0" t="str">
        <f aca="false">HYPERLINK("https://www.ncbi.nlm.nih.gov/nuccore/CP000058.1?report=graph&amp;tracks=[key:gene_model_track,Options:GeneOnly]&amp;mk=1975814:1975833|offset_8|444444,1975785:1975804|offset_37|00cc00,1975761:1975780|offset_61|444444,1975741:1975760|offset_81|444444&amp;v=1975613:1975960&amp;c=444444", "offset 37")</f>
        <v>offset 37</v>
      </c>
    </row>
    <row r="6295" customFormat="false" ht="12.8" hidden="false" customHeight="false" outlineLevel="0" collapsed="false">
      <c r="A6295" s="0" t="s">
        <v>12</v>
      </c>
      <c r="B6295" s="0" t="n">
        <v>1975760</v>
      </c>
      <c r="C6295" s="0" t="n">
        <v>1975780</v>
      </c>
      <c r="D6295" s="0" t="s">
        <v>20974</v>
      </c>
      <c r="E6295" s="0" t="s">
        <v>75</v>
      </c>
      <c r="F6295" s="0" t="s">
        <v>90</v>
      </c>
      <c r="G6295" s="0" t="s">
        <v>20</v>
      </c>
      <c r="H6295" s="0" t="n">
        <v>61</v>
      </c>
      <c r="I6295" s="0" t="s">
        <v>20981</v>
      </c>
      <c r="J6295" s="0" t="s">
        <v>20982</v>
      </c>
      <c r="K6295" s="0" t="s">
        <v>20983</v>
      </c>
      <c r="L6295" s="0" t="str">
        <f aca="false">HYPERLINK("https://www.ncbi.nlm.nih.gov/nuccore/CP000058.1?report=graph&amp;tracks=[key:gene_model_track,Options:GeneOnly]&amp;mk=1975814:1975833|offset_8|444444,1975785:1975804|offset_37|444444,1975761:1975780|offset_61|00cc00,1975741:1975760|offset_81|444444&amp;v=1975613:1975960&amp;c=444444", "offset 61")</f>
        <v>offset 61</v>
      </c>
    </row>
    <row r="6296" customFormat="false" ht="12.8" hidden="false" customHeight="false" outlineLevel="0" collapsed="false">
      <c r="A6296" s="0" t="s">
        <v>12</v>
      </c>
      <c r="B6296" s="0" t="n">
        <v>1975740</v>
      </c>
      <c r="C6296" s="0" t="n">
        <v>1975760</v>
      </c>
      <c r="D6296" s="0" t="s">
        <v>20974</v>
      </c>
      <c r="E6296" s="0" t="s">
        <v>75</v>
      </c>
      <c r="F6296" s="0" t="s">
        <v>90</v>
      </c>
      <c r="G6296" s="0" t="s">
        <v>20</v>
      </c>
      <c r="H6296" s="0" t="n">
        <v>81</v>
      </c>
      <c r="I6296" s="0" t="s">
        <v>20984</v>
      </c>
      <c r="J6296" s="0" t="s">
        <v>20985</v>
      </c>
      <c r="K6296" s="0" t="s">
        <v>20986</v>
      </c>
      <c r="L6296" s="0" t="str">
        <f aca="false">HYPERLINK("https://www.ncbi.nlm.nih.gov/nuccore/CP000058.1?report=graph&amp;tracks=[key:gene_model_track,Options:GeneOnly]&amp;mk=1975814:1975833|offset_8|444444,1975785:1975804|offset_37|444444,1975761:1975780|offset_61|444444,1975741:1975760|offset_81|00cc00&amp;v=1975613:1975960&amp;c=444444", "offset 81")</f>
        <v>offset 81</v>
      </c>
    </row>
    <row r="6297" customFormat="false" ht="12.8" hidden="false" customHeight="false" outlineLevel="0" collapsed="false">
      <c r="A6297" s="0" t="s">
        <v>12</v>
      </c>
      <c r="B6297" s="0" t="n">
        <v>1977778</v>
      </c>
      <c r="C6297" s="0" t="n">
        <v>1977798</v>
      </c>
      <c r="D6297" s="0" t="s">
        <v>20987</v>
      </c>
      <c r="E6297" s="0" t="s">
        <v>75</v>
      </c>
      <c r="F6297" s="0" t="s">
        <v>90</v>
      </c>
      <c r="G6297" s="0" t="s">
        <v>20</v>
      </c>
      <c r="H6297" s="0" t="n">
        <v>7</v>
      </c>
      <c r="I6297" s="0" t="s">
        <v>20988</v>
      </c>
      <c r="J6297" s="0" t="s">
        <v>20989</v>
      </c>
      <c r="K6297" s="0" t="s">
        <v>20990</v>
      </c>
      <c r="L6297" s="0" t="str">
        <f aca="false">HYPERLINK("https://www.ncbi.nlm.nih.gov/nuccore/CP000058.1?report=graph&amp;tracks=[key:gene_model_track,Options:GeneOnly]&amp;mk=1977779:1977798|offset_7|00cc00,1977755:1977774|offset_31|444444,1977731:1977750|offset_55|444444,1977700:1977719|offset_86|444444&amp;v=1977578:1977919&amp;c=444444", "offset 7")</f>
        <v>offset 7</v>
      </c>
    </row>
    <row r="6298" customFormat="false" ht="12.8" hidden="false" customHeight="false" outlineLevel="0" collapsed="false">
      <c r="A6298" s="0" t="s">
        <v>12</v>
      </c>
      <c r="B6298" s="0" t="n">
        <v>1977754</v>
      </c>
      <c r="C6298" s="0" t="n">
        <v>1977774</v>
      </c>
      <c r="D6298" s="0" t="s">
        <v>20987</v>
      </c>
      <c r="E6298" s="0" t="s">
        <v>75</v>
      </c>
      <c r="F6298" s="0" t="s">
        <v>90</v>
      </c>
      <c r="G6298" s="0" t="s">
        <v>20</v>
      </c>
      <c r="H6298" s="0" t="n">
        <v>31</v>
      </c>
      <c r="I6298" s="0" t="s">
        <v>20991</v>
      </c>
      <c r="J6298" s="0" t="s">
        <v>20992</v>
      </c>
      <c r="K6298" s="0" t="s">
        <v>20993</v>
      </c>
      <c r="L6298" s="0" t="str">
        <f aca="false">HYPERLINK("https://www.ncbi.nlm.nih.gov/nuccore/CP000058.1?report=graph&amp;tracks=[key:gene_model_track,Options:GeneOnly]&amp;mk=1977779:1977798|offset_7|444444,1977755:1977774|offset_31|00cc00,1977731:1977750|offset_55|444444,1977700:1977719|offset_86|444444&amp;v=1977578:1977919&amp;c=444444", "offset 31")</f>
        <v>offset 31</v>
      </c>
    </row>
    <row r="6299" customFormat="false" ht="12.8" hidden="false" customHeight="false" outlineLevel="0" collapsed="false">
      <c r="A6299" s="0" t="s">
        <v>12</v>
      </c>
      <c r="B6299" s="0" t="n">
        <v>1977730</v>
      </c>
      <c r="C6299" s="0" t="n">
        <v>1977750</v>
      </c>
      <c r="D6299" s="0" t="s">
        <v>20987</v>
      </c>
      <c r="E6299" s="0" t="s">
        <v>75</v>
      </c>
      <c r="F6299" s="0" t="s">
        <v>90</v>
      </c>
      <c r="G6299" s="0" t="s">
        <v>36</v>
      </c>
      <c r="H6299" s="0" t="n">
        <v>55</v>
      </c>
      <c r="I6299" s="0" t="s">
        <v>20994</v>
      </c>
      <c r="J6299" s="0" t="s">
        <v>20995</v>
      </c>
      <c r="K6299" s="0" t="s">
        <v>20996</v>
      </c>
      <c r="L6299" s="0" t="str">
        <f aca="false">HYPERLINK("https://www.ncbi.nlm.nih.gov/nuccore/CP000058.1?report=graph&amp;tracks=[key:gene_model_track,Options:GeneOnly]&amp;mk=1977779:1977798|offset_7|444444,1977755:1977774|offset_31|444444,1977731:1977750|offset_55|00cc00,1977700:1977719|offset_86|444444&amp;v=1977578:1977919&amp;c=444444", "offset 55")</f>
        <v>offset 55</v>
      </c>
    </row>
    <row r="6300" customFormat="false" ht="12.8" hidden="false" customHeight="false" outlineLevel="0" collapsed="false">
      <c r="A6300" s="0" t="s">
        <v>12</v>
      </c>
      <c r="B6300" s="0" t="n">
        <v>1977699</v>
      </c>
      <c r="C6300" s="0" t="n">
        <v>1977719</v>
      </c>
      <c r="D6300" s="0" t="s">
        <v>20987</v>
      </c>
      <c r="E6300" s="0" t="s">
        <v>75</v>
      </c>
      <c r="F6300" s="0" t="s">
        <v>90</v>
      </c>
      <c r="G6300" s="0" t="s">
        <v>32</v>
      </c>
      <c r="H6300" s="0" t="n">
        <v>86</v>
      </c>
      <c r="I6300" s="0" t="s">
        <v>20997</v>
      </c>
      <c r="J6300" s="0" t="s">
        <v>20998</v>
      </c>
      <c r="K6300" s="0" t="s">
        <v>20999</v>
      </c>
      <c r="L6300" s="0" t="str">
        <f aca="false">HYPERLINK("https://www.ncbi.nlm.nih.gov/nuccore/CP000058.1?report=graph&amp;tracks=[key:gene_model_track,Options:GeneOnly]&amp;mk=1977779:1977798|offset_7|444444,1977755:1977774|offset_31|444444,1977731:1977750|offset_55|444444,1977700:1977719|offset_86|00cc00&amp;v=1977578:1977919&amp;c=444444", "offset 86")</f>
        <v>offset 86</v>
      </c>
    </row>
    <row r="6301" customFormat="false" ht="12.8" hidden="false" customHeight="false" outlineLevel="0" collapsed="false">
      <c r="A6301" s="0" t="s">
        <v>12</v>
      </c>
      <c r="B6301" s="0" t="n">
        <v>1979347</v>
      </c>
      <c r="C6301" s="0" t="n">
        <v>1979367</v>
      </c>
      <c r="D6301" s="0" t="s">
        <v>21000</v>
      </c>
      <c r="E6301" s="0" t="s">
        <v>21001</v>
      </c>
      <c r="F6301" s="0" t="s">
        <v>90</v>
      </c>
      <c r="G6301" s="0" t="s">
        <v>20</v>
      </c>
      <c r="H6301" s="0" t="n">
        <v>24</v>
      </c>
      <c r="I6301" s="0" t="s">
        <v>21002</v>
      </c>
      <c r="J6301" s="0" t="s">
        <v>21003</v>
      </c>
      <c r="K6301" s="0" t="s">
        <v>21004</v>
      </c>
      <c r="L6301" s="0" t="str">
        <f aca="false">HYPERLINK("https://www.ncbi.nlm.nih.gov/nuccore/CP000058.1?report=graph&amp;tracks=[key:gene_model_track,Options:GeneOnly]&amp;mk=1979348:1979367|offset_24|00cc00,1979311:1979330|offset_61|444444,1979281:1979300|offset_91|444444,1979253:1979272|offset_119|444444&amp;v=1979147:1979472&amp;c=444444", "offset 24")</f>
        <v>offset 24</v>
      </c>
    </row>
    <row r="6302" customFormat="false" ht="12.8" hidden="false" customHeight="false" outlineLevel="0" collapsed="false">
      <c r="A6302" s="0" t="s">
        <v>12</v>
      </c>
      <c r="B6302" s="0" t="n">
        <v>1979310</v>
      </c>
      <c r="C6302" s="0" t="n">
        <v>1979330</v>
      </c>
      <c r="D6302" s="0" t="s">
        <v>21000</v>
      </c>
      <c r="E6302" s="0" t="s">
        <v>21001</v>
      </c>
      <c r="F6302" s="0" t="s">
        <v>90</v>
      </c>
      <c r="G6302" s="0" t="s">
        <v>32</v>
      </c>
      <c r="H6302" s="0" t="n">
        <v>61</v>
      </c>
      <c r="I6302" s="0" t="s">
        <v>21005</v>
      </c>
      <c r="J6302" s="0" t="s">
        <v>21006</v>
      </c>
      <c r="K6302" s="0" t="s">
        <v>21007</v>
      </c>
      <c r="L6302" s="0" t="str">
        <f aca="false">HYPERLINK("https://www.ncbi.nlm.nih.gov/nuccore/CP000058.1?report=graph&amp;tracks=[key:gene_model_track,Options:GeneOnly]&amp;mk=1979348:1979367|offset_24|444444,1979311:1979330|offset_61|00cc00,1979281:1979300|offset_91|444444,1979253:1979272|offset_119|444444&amp;v=1979147:1979472&amp;c=444444", "offset 61")</f>
        <v>offset 61</v>
      </c>
    </row>
    <row r="6303" customFormat="false" ht="12.8" hidden="false" customHeight="false" outlineLevel="0" collapsed="false">
      <c r="A6303" s="0" t="s">
        <v>12</v>
      </c>
      <c r="B6303" s="0" t="n">
        <v>1979280</v>
      </c>
      <c r="C6303" s="0" t="n">
        <v>1979300</v>
      </c>
      <c r="D6303" s="0" t="s">
        <v>21000</v>
      </c>
      <c r="E6303" s="0" t="s">
        <v>21001</v>
      </c>
      <c r="F6303" s="0" t="s">
        <v>90</v>
      </c>
      <c r="G6303" s="0" t="s">
        <v>16</v>
      </c>
      <c r="H6303" s="0" t="n">
        <v>91</v>
      </c>
      <c r="I6303" s="0" t="s">
        <v>21008</v>
      </c>
      <c r="J6303" s="0" t="s">
        <v>21009</v>
      </c>
      <c r="K6303" s="0" t="s">
        <v>21010</v>
      </c>
      <c r="L6303" s="0" t="str">
        <f aca="false">HYPERLINK("https://www.ncbi.nlm.nih.gov/nuccore/CP000058.1?report=graph&amp;tracks=[key:gene_model_track,Options:GeneOnly]&amp;mk=1979348:1979367|offset_24|444444,1979311:1979330|offset_61|444444,1979281:1979300|offset_91|00cc00,1979253:1979272|offset_119|444444&amp;v=1979147:1979472&amp;c=444444", "offset 91")</f>
        <v>offset 91</v>
      </c>
    </row>
    <row r="6304" customFormat="false" ht="12.8" hidden="false" customHeight="false" outlineLevel="0" collapsed="false">
      <c r="A6304" s="0" t="s">
        <v>12</v>
      </c>
      <c r="B6304" s="0" t="n">
        <v>1979252</v>
      </c>
      <c r="C6304" s="0" t="n">
        <v>1979272</v>
      </c>
      <c r="D6304" s="0" t="s">
        <v>21000</v>
      </c>
      <c r="E6304" s="0" t="s">
        <v>21001</v>
      </c>
      <c r="F6304" s="0" t="s">
        <v>90</v>
      </c>
      <c r="G6304" s="0" t="s">
        <v>36</v>
      </c>
      <c r="H6304" s="0" t="n">
        <v>119</v>
      </c>
      <c r="I6304" s="0" t="s">
        <v>21011</v>
      </c>
      <c r="J6304" s="0" t="s">
        <v>21012</v>
      </c>
      <c r="K6304" s="0" t="s">
        <v>21013</v>
      </c>
      <c r="L6304" s="0" t="str">
        <f aca="false">HYPERLINK("https://www.ncbi.nlm.nih.gov/nuccore/CP000058.1?report=graph&amp;tracks=[key:gene_model_track,Options:GeneOnly]&amp;mk=1979348:1979367|offset_24|444444,1979311:1979330|offset_61|444444,1979281:1979300|offset_91|444444,1979253:1979272|offset_119|00cc00&amp;v=1979147:1979472&amp;c=444444", "offset 119")</f>
        <v>offset 119</v>
      </c>
    </row>
    <row r="6305" customFormat="false" ht="12.8" hidden="false" customHeight="false" outlineLevel="0" collapsed="false">
      <c r="A6305" s="0" t="s">
        <v>12</v>
      </c>
      <c r="B6305" s="0" t="n">
        <v>1980249</v>
      </c>
      <c r="C6305" s="0" t="n">
        <v>1980269</v>
      </c>
      <c r="D6305" s="0" t="s">
        <v>21014</v>
      </c>
      <c r="E6305" s="0" t="s">
        <v>75</v>
      </c>
      <c r="F6305" s="0" t="s">
        <v>90</v>
      </c>
      <c r="G6305" s="0" t="s">
        <v>32</v>
      </c>
      <c r="H6305" s="0" t="n">
        <v>1</v>
      </c>
      <c r="I6305" s="0" t="s">
        <v>21015</v>
      </c>
      <c r="J6305" s="0" t="s">
        <v>21016</v>
      </c>
      <c r="K6305" s="0" t="s">
        <v>21017</v>
      </c>
      <c r="L6305" s="0" t="str">
        <f aca="false">HYPERLINK("https://www.ncbi.nlm.nih.gov/nuccore/CP000058.1?report=graph&amp;tracks=[key:gene_model_track,Options:GeneOnly]&amp;mk=1980250:1980269|offset_1|00cc00,1980227:1980246|offset_24|444444,1980189:1980208|offset_62|444444,1980158:1980177|offset_93|444444&amp;v=1980049:1980377&amp;c=444444", "offset 1")</f>
        <v>offset 1</v>
      </c>
    </row>
    <row r="6306" customFormat="false" ht="12.8" hidden="false" customHeight="false" outlineLevel="0" collapsed="false">
      <c r="A6306" s="0" t="s">
        <v>12</v>
      </c>
      <c r="B6306" s="0" t="n">
        <v>1980226</v>
      </c>
      <c r="C6306" s="0" t="n">
        <v>1980246</v>
      </c>
      <c r="D6306" s="0" t="s">
        <v>21014</v>
      </c>
      <c r="E6306" s="0" t="s">
        <v>75</v>
      </c>
      <c r="F6306" s="0" t="s">
        <v>90</v>
      </c>
      <c r="G6306" s="0" t="s">
        <v>20</v>
      </c>
      <c r="H6306" s="0" t="n">
        <v>24</v>
      </c>
      <c r="I6306" s="0" t="s">
        <v>21018</v>
      </c>
      <c r="J6306" s="0" t="s">
        <v>21019</v>
      </c>
      <c r="K6306" s="0" t="s">
        <v>21020</v>
      </c>
      <c r="L6306" s="0" t="str">
        <f aca="false">HYPERLINK("https://www.ncbi.nlm.nih.gov/nuccore/CP000058.1?report=graph&amp;tracks=[key:gene_model_track,Options:GeneOnly]&amp;mk=1980250:1980269|offset_1|444444,1980227:1980246|offset_24|00cc00,1980189:1980208|offset_62|444444,1980158:1980177|offset_93|444444&amp;v=1980049:1980377&amp;c=444444", "offset 24")</f>
        <v>offset 24</v>
      </c>
    </row>
    <row r="6307" customFormat="false" ht="12.8" hidden="false" customHeight="false" outlineLevel="0" collapsed="false">
      <c r="A6307" s="0" t="s">
        <v>12</v>
      </c>
      <c r="B6307" s="0" t="n">
        <v>1980188</v>
      </c>
      <c r="C6307" s="0" t="n">
        <v>1980208</v>
      </c>
      <c r="D6307" s="0" t="s">
        <v>21014</v>
      </c>
      <c r="E6307" s="0" t="s">
        <v>75</v>
      </c>
      <c r="F6307" s="0" t="s">
        <v>90</v>
      </c>
      <c r="G6307" s="0" t="s">
        <v>20</v>
      </c>
      <c r="H6307" s="0" t="n">
        <v>62</v>
      </c>
      <c r="I6307" s="0" t="s">
        <v>21021</v>
      </c>
      <c r="J6307" s="0" t="s">
        <v>21022</v>
      </c>
      <c r="K6307" s="0" t="s">
        <v>21023</v>
      </c>
      <c r="L6307" s="0" t="str">
        <f aca="false">HYPERLINK("https://www.ncbi.nlm.nih.gov/nuccore/CP000058.1?report=graph&amp;tracks=[key:gene_model_track,Options:GeneOnly]&amp;mk=1980250:1980269|offset_1|444444,1980227:1980246|offset_24|444444,1980189:1980208|offset_62|00cc00,1980158:1980177|offset_93|444444&amp;v=1980049:1980377&amp;c=444444", "offset 62")</f>
        <v>offset 62</v>
      </c>
    </row>
    <row r="6308" customFormat="false" ht="12.8" hidden="false" customHeight="false" outlineLevel="0" collapsed="false">
      <c r="A6308" s="0" t="s">
        <v>12</v>
      </c>
      <c r="B6308" s="0" t="n">
        <v>1980157</v>
      </c>
      <c r="C6308" s="0" t="n">
        <v>1980177</v>
      </c>
      <c r="D6308" s="0" t="s">
        <v>21014</v>
      </c>
      <c r="E6308" s="0" t="s">
        <v>75</v>
      </c>
      <c r="F6308" s="0" t="s">
        <v>90</v>
      </c>
      <c r="G6308" s="0" t="s">
        <v>20</v>
      </c>
      <c r="H6308" s="0" t="n">
        <v>93</v>
      </c>
      <c r="I6308" s="0" t="s">
        <v>21024</v>
      </c>
      <c r="J6308" s="0" t="s">
        <v>21025</v>
      </c>
      <c r="K6308" s="0" t="s">
        <v>21026</v>
      </c>
      <c r="L6308" s="0" t="str">
        <f aca="false">HYPERLINK("https://www.ncbi.nlm.nih.gov/nuccore/CP000058.1?report=graph&amp;tracks=[key:gene_model_track,Options:GeneOnly]&amp;mk=1980250:1980269|offset_1|444444,1980227:1980246|offset_24|444444,1980189:1980208|offset_62|444444,1980158:1980177|offset_93|00cc00&amp;v=1980049:1980377&amp;c=444444", "offset 93")</f>
        <v>offset 93</v>
      </c>
    </row>
    <row r="6309" customFormat="false" ht="12.8" hidden="false" customHeight="false" outlineLevel="0" collapsed="false">
      <c r="A6309" s="0" t="s">
        <v>12</v>
      </c>
      <c r="B6309" s="0" t="n">
        <v>1980358</v>
      </c>
      <c r="C6309" s="0" t="n">
        <v>1980378</v>
      </c>
      <c r="D6309" s="0" t="s">
        <v>21027</v>
      </c>
      <c r="E6309" s="0" t="s">
        <v>75</v>
      </c>
      <c r="F6309" s="0" t="s">
        <v>15</v>
      </c>
      <c r="G6309" s="0" t="s">
        <v>16</v>
      </c>
      <c r="H6309" s="0" t="n">
        <v>7</v>
      </c>
      <c r="I6309" s="0" t="s">
        <v>21028</v>
      </c>
      <c r="J6309" s="0" t="s">
        <v>21029</v>
      </c>
      <c r="K6309" s="0" t="s">
        <v>21030</v>
      </c>
      <c r="L6309" s="0" t="str">
        <f aca="false">HYPERLINK("https://www.ncbi.nlm.nih.gov/nuccore/CP000058.1?report=graph&amp;tracks=[key:gene_model_track,Options:GeneOnly]&amp;mk=1980359:1980378|offset_7|00cc00,1980385:1980404|offset_33|444444,1980405:1980424|offset_53|444444,1980428:1980447|offset_76|444444&amp;v=1980158:1980647&amp;c=444444", "offset 7")</f>
        <v>offset 7</v>
      </c>
    </row>
    <row r="6310" customFormat="false" ht="12.8" hidden="false" customHeight="false" outlineLevel="0" collapsed="false">
      <c r="A6310" s="0" t="s">
        <v>12</v>
      </c>
      <c r="B6310" s="0" t="n">
        <v>1980384</v>
      </c>
      <c r="C6310" s="0" t="n">
        <v>1980404</v>
      </c>
      <c r="D6310" s="0" t="s">
        <v>21027</v>
      </c>
      <c r="E6310" s="0" t="s">
        <v>75</v>
      </c>
      <c r="F6310" s="0" t="s">
        <v>15</v>
      </c>
      <c r="G6310" s="0" t="s">
        <v>20</v>
      </c>
      <c r="H6310" s="0" t="n">
        <v>33</v>
      </c>
      <c r="I6310" s="0" t="s">
        <v>21031</v>
      </c>
      <c r="J6310" s="0" t="s">
        <v>21032</v>
      </c>
      <c r="K6310" s="0" t="s">
        <v>21033</v>
      </c>
      <c r="L6310" s="0" t="str">
        <f aca="false">HYPERLINK("https://www.ncbi.nlm.nih.gov/nuccore/CP000058.1?report=graph&amp;tracks=[key:gene_model_track,Options:GeneOnly]&amp;mk=1980359:1980378|offset_7|444444,1980385:1980404|offset_33|00cc00,1980405:1980424|offset_53|444444,1980428:1980447|offset_76|444444&amp;v=1980158:1980647&amp;c=444444", "offset 33")</f>
        <v>offset 33</v>
      </c>
    </row>
    <row r="6311" customFormat="false" ht="12.8" hidden="false" customHeight="false" outlineLevel="0" collapsed="false">
      <c r="A6311" s="0" t="s">
        <v>12</v>
      </c>
      <c r="B6311" s="0" t="n">
        <v>1980404</v>
      </c>
      <c r="C6311" s="0" t="n">
        <v>1980424</v>
      </c>
      <c r="D6311" s="0" t="s">
        <v>21027</v>
      </c>
      <c r="E6311" s="0" t="s">
        <v>75</v>
      </c>
      <c r="F6311" s="0" t="s">
        <v>15</v>
      </c>
      <c r="G6311" s="0" t="s">
        <v>16</v>
      </c>
      <c r="H6311" s="0" t="n">
        <v>53</v>
      </c>
      <c r="I6311" s="0" t="s">
        <v>21034</v>
      </c>
      <c r="J6311" s="0" t="s">
        <v>21035</v>
      </c>
      <c r="K6311" s="0" t="s">
        <v>21036</v>
      </c>
      <c r="L6311" s="0" t="str">
        <f aca="false">HYPERLINK("https://www.ncbi.nlm.nih.gov/nuccore/CP000058.1?report=graph&amp;tracks=[key:gene_model_track,Options:GeneOnly]&amp;mk=1980359:1980378|offset_7|444444,1980385:1980404|offset_33|444444,1980405:1980424|offset_53|00cc00,1980428:1980447|offset_76|444444&amp;v=1980158:1980647&amp;c=444444", "offset 53")</f>
        <v>offset 53</v>
      </c>
    </row>
    <row r="6312" customFormat="false" ht="12.8" hidden="false" customHeight="false" outlineLevel="0" collapsed="false">
      <c r="A6312" s="0" t="s">
        <v>12</v>
      </c>
      <c r="B6312" s="0" t="n">
        <v>1980427</v>
      </c>
      <c r="C6312" s="0" t="n">
        <v>1980447</v>
      </c>
      <c r="D6312" s="0" t="s">
        <v>21027</v>
      </c>
      <c r="E6312" s="0" t="s">
        <v>75</v>
      </c>
      <c r="F6312" s="0" t="s">
        <v>15</v>
      </c>
      <c r="G6312" s="0" t="s">
        <v>16</v>
      </c>
      <c r="H6312" s="0" t="n">
        <v>76</v>
      </c>
      <c r="I6312" s="0" t="s">
        <v>21037</v>
      </c>
      <c r="J6312" s="0" t="s">
        <v>21038</v>
      </c>
      <c r="K6312" s="0" t="s">
        <v>21039</v>
      </c>
      <c r="L6312" s="0" t="str">
        <f aca="false">HYPERLINK("https://www.ncbi.nlm.nih.gov/nuccore/CP000058.1?report=graph&amp;tracks=[key:gene_model_track,Options:GeneOnly]&amp;mk=1980359:1980378|offset_7|444444,1980385:1980404|offset_33|444444,1980405:1980424|offset_53|444444,1980428:1980447|offset_76|00cc00&amp;v=1980158:1980647&amp;c=444444", "offset 76")</f>
        <v>offset 76</v>
      </c>
    </row>
    <row r="6313" customFormat="false" ht="12.8" hidden="false" customHeight="false" outlineLevel="0" collapsed="false">
      <c r="A6313" s="0" t="s">
        <v>12</v>
      </c>
      <c r="B6313" s="0" t="n">
        <v>1981187</v>
      </c>
      <c r="C6313" s="0" t="n">
        <v>1981207</v>
      </c>
      <c r="D6313" s="0" t="s">
        <v>21040</v>
      </c>
      <c r="E6313" s="0" t="s">
        <v>21041</v>
      </c>
      <c r="F6313" s="0" t="s">
        <v>15</v>
      </c>
      <c r="G6313" s="0" t="s">
        <v>16</v>
      </c>
      <c r="H6313" s="0" t="n">
        <v>28</v>
      </c>
      <c r="I6313" s="0" t="s">
        <v>21042</v>
      </c>
      <c r="J6313" s="0" t="s">
        <v>21043</v>
      </c>
      <c r="K6313" s="0" t="s">
        <v>21044</v>
      </c>
      <c r="L6313" s="0" t="str">
        <f aca="false">HYPERLINK("https://www.ncbi.nlm.nih.gov/nuccore/CP000058.1?report=graph&amp;tracks=[key:gene_model_track,Options:GeneOnly]&amp;mk=1981188:1981207|offset_28|00cc00,1981211:1981230|offset_51|444444,1981281:1981300|offset_121|444444,1981317:1981336|offset_157|444444&amp;v=1980987:1981536&amp;c=444444", "offset 28")</f>
        <v>offset 28</v>
      </c>
    </row>
    <row r="6314" customFormat="false" ht="12.8" hidden="false" customHeight="false" outlineLevel="0" collapsed="false">
      <c r="A6314" s="0" t="s">
        <v>12</v>
      </c>
      <c r="B6314" s="0" t="n">
        <v>1981210</v>
      </c>
      <c r="C6314" s="0" t="n">
        <v>1981230</v>
      </c>
      <c r="D6314" s="0" t="s">
        <v>21040</v>
      </c>
      <c r="E6314" s="0" t="s">
        <v>21041</v>
      </c>
      <c r="F6314" s="0" t="s">
        <v>15</v>
      </c>
      <c r="G6314" s="0" t="s">
        <v>20</v>
      </c>
      <c r="H6314" s="0" t="n">
        <v>51</v>
      </c>
      <c r="I6314" s="0" t="s">
        <v>21045</v>
      </c>
      <c r="J6314" s="0" t="s">
        <v>21046</v>
      </c>
      <c r="K6314" s="0" t="s">
        <v>21047</v>
      </c>
      <c r="L6314" s="0" t="str">
        <f aca="false">HYPERLINK("https://www.ncbi.nlm.nih.gov/nuccore/CP000058.1?report=graph&amp;tracks=[key:gene_model_track,Options:GeneOnly]&amp;mk=1981188:1981207|offset_28|444444,1981211:1981230|offset_51|00cc00,1981281:1981300|offset_121|444444,1981317:1981336|offset_157|444444&amp;v=1980987:1981536&amp;c=444444", "offset 51")</f>
        <v>offset 51</v>
      </c>
    </row>
    <row r="6315" customFormat="false" ht="12.8" hidden="false" customHeight="false" outlineLevel="0" collapsed="false">
      <c r="A6315" s="0" t="s">
        <v>12</v>
      </c>
      <c r="B6315" s="0" t="n">
        <v>1981280</v>
      </c>
      <c r="C6315" s="0" t="n">
        <v>1981300</v>
      </c>
      <c r="D6315" s="0" t="s">
        <v>21040</v>
      </c>
      <c r="E6315" s="0" t="s">
        <v>21041</v>
      </c>
      <c r="F6315" s="0" t="s">
        <v>15</v>
      </c>
      <c r="G6315" s="0" t="s">
        <v>32</v>
      </c>
      <c r="H6315" s="0" t="n">
        <v>121</v>
      </c>
      <c r="I6315" s="0" t="s">
        <v>21048</v>
      </c>
      <c r="J6315" s="0" t="s">
        <v>21049</v>
      </c>
      <c r="K6315" s="0" t="s">
        <v>21050</v>
      </c>
      <c r="L6315" s="0" t="str">
        <f aca="false">HYPERLINK("https://www.ncbi.nlm.nih.gov/nuccore/CP000058.1?report=graph&amp;tracks=[key:gene_model_track,Options:GeneOnly]&amp;mk=1981188:1981207|offset_28|444444,1981211:1981230|offset_51|444444,1981281:1981300|offset_121|00cc00,1981317:1981336|offset_157|444444&amp;v=1980987:1981536&amp;c=444444", "offset 121")</f>
        <v>offset 121</v>
      </c>
    </row>
    <row r="6316" customFormat="false" ht="12.8" hidden="false" customHeight="false" outlineLevel="0" collapsed="false">
      <c r="A6316" s="0" t="s">
        <v>12</v>
      </c>
      <c r="B6316" s="0" t="n">
        <v>1981316</v>
      </c>
      <c r="C6316" s="0" t="n">
        <v>1981336</v>
      </c>
      <c r="D6316" s="0" t="s">
        <v>21040</v>
      </c>
      <c r="E6316" s="0" t="s">
        <v>21041</v>
      </c>
      <c r="F6316" s="0" t="s">
        <v>15</v>
      </c>
      <c r="G6316" s="0" t="s">
        <v>32</v>
      </c>
      <c r="H6316" s="0" t="n">
        <v>157</v>
      </c>
      <c r="I6316" s="0" t="s">
        <v>21051</v>
      </c>
      <c r="J6316" s="0" t="s">
        <v>21052</v>
      </c>
      <c r="K6316" s="0" t="s">
        <v>21053</v>
      </c>
      <c r="L6316" s="0" t="str">
        <f aca="false">HYPERLINK("https://www.ncbi.nlm.nih.gov/nuccore/CP000058.1?report=graph&amp;tracks=[key:gene_model_track,Options:GeneOnly]&amp;mk=1981188:1981207|offset_28|444444,1981211:1981230|offset_51|444444,1981281:1981300|offset_121|444444,1981317:1981336|offset_157|00cc00&amp;v=1980987:1981536&amp;c=444444", "offset 157")</f>
        <v>offset 157</v>
      </c>
    </row>
    <row r="6317" customFormat="false" ht="12.8" hidden="false" customHeight="false" outlineLevel="0" collapsed="false">
      <c r="A6317" s="0" t="s">
        <v>12</v>
      </c>
      <c r="B6317" s="0" t="n">
        <v>1982515</v>
      </c>
      <c r="C6317" s="0" t="n">
        <v>1982535</v>
      </c>
      <c r="D6317" s="0" t="s">
        <v>21054</v>
      </c>
      <c r="E6317" s="0" t="s">
        <v>75</v>
      </c>
      <c r="F6317" s="0" t="s">
        <v>90</v>
      </c>
      <c r="G6317" s="0" t="s">
        <v>32</v>
      </c>
      <c r="H6317" s="0" t="n">
        <v>1</v>
      </c>
      <c r="I6317" s="0" t="s">
        <v>21055</v>
      </c>
      <c r="J6317" s="0" t="s">
        <v>21056</v>
      </c>
      <c r="K6317" s="0" t="s">
        <v>21057</v>
      </c>
      <c r="L6317" s="0" t="str">
        <f aca="false">HYPERLINK("https://www.ncbi.nlm.nih.gov/nuccore/CP000058.1?report=graph&amp;tracks=[key:gene_model_track,Options:GeneOnly]&amp;mk=1982516:1982535|offset_1|00cc00,1982475:1982494|offset_42|444444,1982450:1982469|offset_67|444444,1982412:1982431|offset_105|444444&amp;v=1982315:1982631&amp;c=444444", "offset 1")</f>
        <v>offset 1</v>
      </c>
    </row>
    <row r="6318" customFormat="false" ht="12.8" hidden="false" customHeight="false" outlineLevel="0" collapsed="false">
      <c r="A6318" s="0" t="s">
        <v>12</v>
      </c>
      <c r="B6318" s="0" t="n">
        <v>1982474</v>
      </c>
      <c r="C6318" s="0" t="n">
        <v>1982494</v>
      </c>
      <c r="D6318" s="0" t="s">
        <v>21054</v>
      </c>
      <c r="E6318" s="0" t="s">
        <v>75</v>
      </c>
      <c r="F6318" s="0" t="s">
        <v>90</v>
      </c>
      <c r="G6318" s="0" t="s">
        <v>20</v>
      </c>
      <c r="H6318" s="0" t="n">
        <v>42</v>
      </c>
      <c r="I6318" s="0" t="s">
        <v>21058</v>
      </c>
      <c r="J6318" s="0" t="s">
        <v>21059</v>
      </c>
      <c r="K6318" s="0" t="s">
        <v>21060</v>
      </c>
      <c r="L6318" s="0" t="str">
        <f aca="false">HYPERLINK("https://www.ncbi.nlm.nih.gov/nuccore/CP000058.1?report=graph&amp;tracks=[key:gene_model_track,Options:GeneOnly]&amp;mk=1982516:1982535|offset_1|444444,1982475:1982494|offset_42|00cc00,1982450:1982469|offset_67|444444,1982412:1982431|offset_105|444444&amp;v=1982315:1982631&amp;c=444444", "offset 42")</f>
        <v>offset 42</v>
      </c>
    </row>
    <row r="6319" customFormat="false" ht="12.8" hidden="false" customHeight="false" outlineLevel="0" collapsed="false">
      <c r="A6319" s="0" t="s">
        <v>12</v>
      </c>
      <c r="B6319" s="0" t="n">
        <v>1982449</v>
      </c>
      <c r="C6319" s="0" t="n">
        <v>1982469</v>
      </c>
      <c r="D6319" s="0" t="s">
        <v>21054</v>
      </c>
      <c r="E6319" s="0" t="s">
        <v>75</v>
      </c>
      <c r="F6319" s="0" t="s">
        <v>90</v>
      </c>
      <c r="G6319" s="0" t="s">
        <v>16</v>
      </c>
      <c r="H6319" s="0" t="n">
        <v>67</v>
      </c>
      <c r="I6319" s="0" t="s">
        <v>21061</v>
      </c>
      <c r="J6319" s="0" t="s">
        <v>21062</v>
      </c>
      <c r="K6319" s="0" t="s">
        <v>21063</v>
      </c>
      <c r="L6319" s="0" t="str">
        <f aca="false">HYPERLINK("https://www.ncbi.nlm.nih.gov/nuccore/CP000058.1?report=graph&amp;tracks=[key:gene_model_track,Options:GeneOnly]&amp;mk=1982516:1982535|offset_1|444444,1982475:1982494|offset_42|444444,1982450:1982469|offset_67|00cc00,1982412:1982431|offset_105|444444&amp;v=1982315:1982631&amp;c=444444", "offset 67")</f>
        <v>offset 67</v>
      </c>
    </row>
    <row r="6320" customFormat="false" ht="12.8" hidden="false" customHeight="false" outlineLevel="0" collapsed="false">
      <c r="A6320" s="0" t="s">
        <v>12</v>
      </c>
      <c r="B6320" s="0" t="n">
        <v>1982411</v>
      </c>
      <c r="C6320" s="0" t="n">
        <v>1982431</v>
      </c>
      <c r="D6320" s="0" t="s">
        <v>21054</v>
      </c>
      <c r="E6320" s="0" t="s">
        <v>75</v>
      </c>
      <c r="F6320" s="0" t="s">
        <v>90</v>
      </c>
      <c r="G6320" s="0" t="s">
        <v>16</v>
      </c>
      <c r="H6320" s="0" t="n">
        <v>105</v>
      </c>
      <c r="I6320" s="0" t="s">
        <v>21064</v>
      </c>
      <c r="J6320" s="0" t="s">
        <v>21065</v>
      </c>
      <c r="K6320" s="0" t="s">
        <v>21066</v>
      </c>
      <c r="L6320" s="0" t="str">
        <f aca="false">HYPERLINK("https://www.ncbi.nlm.nih.gov/nuccore/CP000058.1?report=graph&amp;tracks=[key:gene_model_track,Options:GeneOnly]&amp;mk=1982516:1982535|offset_1|444444,1982475:1982494|offset_42|444444,1982450:1982469|offset_67|444444,1982412:1982431|offset_105|00cc00&amp;v=1982315:1982631&amp;c=444444", "offset 105")</f>
        <v>offset 105</v>
      </c>
    </row>
    <row r="6321" customFormat="false" ht="12.8" hidden="false" customHeight="false" outlineLevel="0" collapsed="false">
      <c r="A6321" s="0" t="s">
        <v>12</v>
      </c>
      <c r="B6321" s="0" t="n">
        <v>1983288</v>
      </c>
      <c r="C6321" s="0" t="n">
        <v>1983308</v>
      </c>
      <c r="D6321" s="0" t="s">
        <v>21067</v>
      </c>
      <c r="E6321" s="0" t="s">
        <v>21068</v>
      </c>
      <c r="F6321" s="0" t="s">
        <v>90</v>
      </c>
      <c r="G6321" s="0" t="s">
        <v>36</v>
      </c>
      <c r="H6321" s="0" t="n">
        <v>8</v>
      </c>
      <c r="I6321" s="0" t="s">
        <v>21069</v>
      </c>
      <c r="J6321" s="0" t="s">
        <v>21070</v>
      </c>
      <c r="K6321" s="0" t="s">
        <v>21071</v>
      </c>
      <c r="L6321" s="0" t="str">
        <f aca="false">HYPERLINK("https://www.ncbi.nlm.nih.gov/nuccore/CP000058.1?report=graph&amp;tracks=[key:gene_model_track,Options:GeneOnly]&amp;mk=1983289:1983308|offset_8|00cc00,1983260:1983279|offset_37|444444,1983238:1983257|offset_59|444444,1983211:1983230|offset_86|444444&amp;v=1983088:1983430&amp;c=444444", "offset 8")</f>
        <v>offset 8</v>
      </c>
    </row>
    <row r="6322" customFormat="false" ht="12.8" hidden="false" customHeight="false" outlineLevel="0" collapsed="false">
      <c r="A6322" s="0" t="s">
        <v>12</v>
      </c>
      <c r="B6322" s="0" t="n">
        <v>1983259</v>
      </c>
      <c r="C6322" s="0" t="n">
        <v>1983279</v>
      </c>
      <c r="D6322" s="0" t="s">
        <v>21067</v>
      </c>
      <c r="E6322" s="0" t="s">
        <v>21068</v>
      </c>
      <c r="F6322" s="0" t="s">
        <v>90</v>
      </c>
      <c r="G6322" s="0" t="s">
        <v>36</v>
      </c>
      <c r="H6322" s="0" t="n">
        <v>37</v>
      </c>
      <c r="I6322" s="0" t="s">
        <v>21072</v>
      </c>
      <c r="J6322" s="0" t="s">
        <v>21073</v>
      </c>
      <c r="K6322" s="0" t="s">
        <v>21074</v>
      </c>
      <c r="L6322" s="0" t="str">
        <f aca="false">HYPERLINK("https://www.ncbi.nlm.nih.gov/nuccore/CP000058.1?report=graph&amp;tracks=[key:gene_model_track,Options:GeneOnly]&amp;mk=1983289:1983308|offset_8|444444,1983260:1983279|offset_37|00cc00,1983238:1983257|offset_59|444444,1983211:1983230|offset_86|444444&amp;v=1983088:1983430&amp;c=444444", "offset 37")</f>
        <v>offset 37</v>
      </c>
    </row>
    <row r="6323" customFormat="false" ht="12.8" hidden="false" customHeight="false" outlineLevel="0" collapsed="false">
      <c r="A6323" s="0" t="s">
        <v>12</v>
      </c>
      <c r="B6323" s="0" t="n">
        <v>1983237</v>
      </c>
      <c r="C6323" s="0" t="n">
        <v>1983257</v>
      </c>
      <c r="D6323" s="0" t="s">
        <v>21067</v>
      </c>
      <c r="E6323" s="0" t="s">
        <v>21068</v>
      </c>
      <c r="F6323" s="0" t="s">
        <v>90</v>
      </c>
      <c r="G6323" s="0" t="s">
        <v>36</v>
      </c>
      <c r="H6323" s="0" t="n">
        <v>59</v>
      </c>
      <c r="I6323" s="0" t="s">
        <v>21075</v>
      </c>
      <c r="J6323" s="0" t="s">
        <v>21076</v>
      </c>
      <c r="K6323" s="0" t="s">
        <v>21077</v>
      </c>
      <c r="L6323" s="0" t="str">
        <f aca="false">HYPERLINK("https://www.ncbi.nlm.nih.gov/nuccore/CP000058.1?report=graph&amp;tracks=[key:gene_model_track,Options:GeneOnly]&amp;mk=1983289:1983308|offset_8|444444,1983260:1983279|offset_37|444444,1983238:1983257|offset_59|00cc00,1983211:1983230|offset_86|444444&amp;v=1983088:1983430&amp;c=444444", "offset 59")</f>
        <v>offset 59</v>
      </c>
    </row>
    <row r="6324" customFormat="false" ht="12.8" hidden="false" customHeight="false" outlineLevel="0" collapsed="false">
      <c r="A6324" s="0" t="s">
        <v>12</v>
      </c>
      <c r="B6324" s="0" t="n">
        <v>1983210</v>
      </c>
      <c r="C6324" s="0" t="n">
        <v>1983230</v>
      </c>
      <c r="D6324" s="0" t="s">
        <v>21067</v>
      </c>
      <c r="E6324" s="0" t="s">
        <v>21068</v>
      </c>
      <c r="F6324" s="0" t="s">
        <v>90</v>
      </c>
      <c r="G6324" s="0" t="s">
        <v>32</v>
      </c>
      <c r="H6324" s="0" t="n">
        <v>86</v>
      </c>
      <c r="I6324" s="0" t="s">
        <v>21078</v>
      </c>
      <c r="J6324" s="0" t="s">
        <v>21079</v>
      </c>
      <c r="K6324" s="0" t="s">
        <v>21080</v>
      </c>
      <c r="L6324" s="0" t="str">
        <f aca="false">HYPERLINK("https://www.ncbi.nlm.nih.gov/nuccore/CP000058.1?report=graph&amp;tracks=[key:gene_model_track,Options:GeneOnly]&amp;mk=1983289:1983308|offset_8|444444,1983260:1983279|offset_37|444444,1983238:1983257|offset_59|444444,1983211:1983230|offset_86|00cc00&amp;v=1983088:1983430&amp;c=444444", "offset 86")</f>
        <v>offset 86</v>
      </c>
    </row>
    <row r="6325" customFormat="false" ht="12.8" hidden="false" customHeight="false" outlineLevel="0" collapsed="false">
      <c r="A6325" s="0" t="s">
        <v>12</v>
      </c>
      <c r="B6325" s="0" t="n">
        <v>1983592</v>
      </c>
      <c r="C6325" s="0" t="n">
        <v>1983612</v>
      </c>
      <c r="D6325" s="0" t="s">
        <v>21081</v>
      </c>
      <c r="E6325" s="0" t="s">
        <v>21082</v>
      </c>
      <c r="F6325" s="0" t="s">
        <v>15</v>
      </c>
      <c r="G6325" s="0" t="s">
        <v>20</v>
      </c>
      <c r="H6325" s="0" t="n">
        <v>17</v>
      </c>
      <c r="I6325" s="0" t="s">
        <v>21083</v>
      </c>
      <c r="J6325" s="0" t="s">
        <v>21084</v>
      </c>
      <c r="K6325" s="0" t="s">
        <v>21085</v>
      </c>
      <c r="L6325" s="0" t="str">
        <f aca="false">HYPERLINK("https://www.ncbi.nlm.nih.gov/nuccore/CP000058.1?report=graph&amp;tracks=[key:gene_model_track,Options:GeneOnly]&amp;mk=1983593:1983612|offset_17|00cc00,1983622:1983641|offset_46|444444,1983692:1983711|offset_116|444444,1983725:1983744|offset_149|444444&amp;v=1983392:1983944&amp;c=444444", "offset 17")</f>
        <v>offset 17</v>
      </c>
    </row>
    <row r="6326" customFormat="false" ht="12.8" hidden="false" customHeight="false" outlineLevel="0" collapsed="false">
      <c r="A6326" s="0" t="s">
        <v>12</v>
      </c>
      <c r="B6326" s="0" t="n">
        <v>1983621</v>
      </c>
      <c r="C6326" s="0" t="n">
        <v>1983641</v>
      </c>
      <c r="D6326" s="0" t="s">
        <v>21081</v>
      </c>
      <c r="E6326" s="0" t="s">
        <v>21082</v>
      </c>
      <c r="F6326" s="0" t="s">
        <v>15</v>
      </c>
      <c r="G6326" s="0" t="s">
        <v>16</v>
      </c>
      <c r="H6326" s="0" t="n">
        <v>46</v>
      </c>
      <c r="I6326" s="0" t="s">
        <v>21086</v>
      </c>
      <c r="J6326" s="0" t="s">
        <v>21087</v>
      </c>
      <c r="K6326" s="0" t="s">
        <v>21088</v>
      </c>
      <c r="L6326" s="0" t="str">
        <f aca="false">HYPERLINK("https://www.ncbi.nlm.nih.gov/nuccore/CP000058.1?report=graph&amp;tracks=[key:gene_model_track,Options:GeneOnly]&amp;mk=1983593:1983612|offset_17|444444,1983622:1983641|offset_46|00cc00,1983692:1983711|offset_116|444444,1983725:1983744|offset_149|444444&amp;v=1983392:1983944&amp;c=444444", "offset 46")</f>
        <v>offset 46</v>
      </c>
    </row>
    <row r="6327" customFormat="false" ht="12.8" hidden="false" customHeight="false" outlineLevel="0" collapsed="false">
      <c r="A6327" s="0" t="s">
        <v>12</v>
      </c>
      <c r="B6327" s="0" t="n">
        <v>1983691</v>
      </c>
      <c r="C6327" s="0" t="n">
        <v>1983711</v>
      </c>
      <c r="D6327" s="0" t="s">
        <v>21081</v>
      </c>
      <c r="E6327" s="0" t="s">
        <v>21082</v>
      </c>
      <c r="F6327" s="0" t="s">
        <v>15</v>
      </c>
      <c r="G6327" s="0" t="s">
        <v>16</v>
      </c>
      <c r="H6327" s="0" t="n">
        <v>116</v>
      </c>
      <c r="I6327" s="0" t="s">
        <v>21089</v>
      </c>
      <c r="J6327" s="0" t="s">
        <v>21090</v>
      </c>
      <c r="K6327" s="0" t="s">
        <v>21091</v>
      </c>
      <c r="L6327" s="0" t="str">
        <f aca="false">HYPERLINK("https://www.ncbi.nlm.nih.gov/nuccore/CP000058.1?report=graph&amp;tracks=[key:gene_model_track,Options:GeneOnly]&amp;mk=1983593:1983612|offset_17|444444,1983622:1983641|offset_46|444444,1983692:1983711|offset_116|00cc00,1983725:1983744|offset_149|444444&amp;v=1983392:1983944&amp;c=444444", "offset 116")</f>
        <v>offset 116</v>
      </c>
    </row>
    <row r="6328" customFormat="false" ht="12.8" hidden="false" customHeight="false" outlineLevel="0" collapsed="false">
      <c r="A6328" s="0" t="s">
        <v>12</v>
      </c>
      <c r="B6328" s="0" t="n">
        <v>1983724</v>
      </c>
      <c r="C6328" s="0" t="n">
        <v>1983744</v>
      </c>
      <c r="D6328" s="0" t="s">
        <v>21081</v>
      </c>
      <c r="E6328" s="0" t="s">
        <v>21082</v>
      </c>
      <c r="F6328" s="0" t="s">
        <v>15</v>
      </c>
      <c r="G6328" s="0" t="s">
        <v>20</v>
      </c>
      <c r="H6328" s="0" t="n">
        <v>149</v>
      </c>
      <c r="I6328" s="0" t="s">
        <v>21092</v>
      </c>
      <c r="J6328" s="0" t="s">
        <v>21093</v>
      </c>
      <c r="K6328" s="0" t="s">
        <v>21094</v>
      </c>
      <c r="L6328" s="0" t="str">
        <f aca="false">HYPERLINK("https://www.ncbi.nlm.nih.gov/nuccore/CP000058.1?report=graph&amp;tracks=[key:gene_model_track,Options:GeneOnly]&amp;mk=1983593:1983612|offset_17|444444,1983622:1983641|offset_46|444444,1983692:1983711|offset_116|444444,1983725:1983744|offset_149|00cc00&amp;v=1983392:1983944&amp;c=444444", "offset 149")</f>
        <v>offset 149</v>
      </c>
    </row>
    <row r="6329" customFormat="false" ht="12.8" hidden="false" customHeight="false" outlineLevel="0" collapsed="false">
      <c r="A6329" s="0" t="s">
        <v>12</v>
      </c>
      <c r="B6329" s="0" t="n">
        <v>1984393</v>
      </c>
      <c r="C6329" s="0" t="n">
        <v>1984413</v>
      </c>
      <c r="D6329" s="0" t="s">
        <v>21095</v>
      </c>
      <c r="E6329" s="0" t="s">
        <v>75</v>
      </c>
      <c r="F6329" s="0" t="s">
        <v>15</v>
      </c>
      <c r="G6329" s="0" t="s">
        <v>36</v>
      </c>
      <c r="H6329" s="0" t="n">
        <v>17</v>
      </c>
      <c r="I6329" s="0" t="s">
        <v>21096</v>
      </c>
      <c r="J6329" s="0" t="s">
        <v>21097</v>
      </c>
      <c r="K6329" s="0" t="s">
        <v>21098</v>
      </c>
      <c r="L6329" s="0" t="str">
        <f aca="false">HYPERLINK("https://www.ncbi.nlm.nih.gov/nuccore/CP000058.1?report=graph&amp;tracks=[key:gene_model_track,Options:GeneOnly]&amp;mk=1984394:1984413|offset_17|00cc00,1984480:1984499|offset_103|444444,1984533:1984552|offset_156|444444,1984573:1984592|offset_196|444444&amp;v=1984193:1984792&amp;c=444444", "offset 17")</f>
        <v>offset 17</v>
      </c>
    </row>
    <row r="6330" customFormat="false" ht="12.8" hidden="false" customHeight="false" outlineLevel="0" collapsed="false">
      <c r="A6330" s="0" t="s">
        <v>12</v>
      </c>
      <c r="B6330" s="0" t="n">
        <v>1984479</v>
      </c>
      <c r="C6330" s="0" t="n">
        <v>1984499</v>
      </c>
      <c r="D6330" s="0" t="s">
        <v>21095</v>
      </c>
      <c r="E6330" s="0" t="s">
        <v>75</v>
      </c>
      <c r="F6330" s="0" t="s">
        <v>15</v>
      </c>
      <c r="G6330" s="0" t="s">
        <v>36</v>
      </c>
      <c r="H6330" s="0" t="n">
        <v>103</v>
      </c>
      <c r="I6330" s="0" t="s">
        <v>21099</v>
      </c>
      <c r="J6330" s="0" t="s">
        <v>21100</v>
      </c>
      <c r="K6330" s="0" t="s">
        <v>21101</v>
      </c>
      <c r="L6330" s="0" t="str">
        <f aca="false">HYPERLINK("https://www.ncbi.nlm.nih.gov/nuccore/CP000058.1?report=graph&amp;tracks=[key:gene_model_track,Options:GeneOnly]&amp;mk=1984394:1984413|offset_17|444444,1984480:1984499|offset_103|00cc00,1984533:1984552|offset_156|444444,1984573:1984592|offset_196|444444&amp;v=1984193:1984792&amp;c=444444", "offset 103")</f>
        <v>offset 103</v>
      </c>
    </row>
    <row r="6331" customFormat="false" ht="12.8" hidden="false" customHeight="false" outlineLevel="0" collapsed="false">
      <c r="A6331" s="0" t="s">
        <v>12</v>
      </c>
      <c r="B6331" s="0" t="n">
        <v>1984532</v>
      </c>
      <c r="C6331" s="0" t="n">
        <v>1984552</v>
      </c>
      <c r="D6331" s="0" t="s">
        <v>21095</v>
      </c>
      <c r="E6331" s="0" t="s">
        <v>75</v>
      </c>
      <c r="F6331" s="0" t="s">
        <v>15</v>
      </c>
      <c r="G6331" s="0" t="s">
        <v>16</v>
      </c>
      <c r="H6331" s="0" t="n">
        <v>156</v>
      </c>
      <c r="I6331" s="0" t="s">
        <v>21102</v>
      </c>
      <c r="J6331" s="0" t="s">
        <v>21103</v>
      </c>
      <c r="K6331" s="0" t="s">
        <v>21104</v>
      </c>
      <c r="L6331" s="0" t="str">
        <f aca="false">HYPERLINK("https://www.ncbi.nlm.nih.gov/nuccore/CP000058.1?report=graph&amp;tracks=[key:gene_model_track,Options:GeneOnly]&amp;mk=1984394:1984413|offset_17|444444,1984480:1984499|offset_103|444444,1984533:1984552|offset_156|00cc00,1984573:1984592|offset_196|444444&amp;v=1984193:1984792&amp;c=444444", "offset 156")</f>
        <v>offset 156</v>
      </c>
    </row>
    <row r="6332" customFormat="false" ht="12.8" hidden="false" customHeight="false" outlineLevel="0" collapsed="false">
      <c r="A6332" s="0" t="s">
        <v>12</v>
      </c>
      <c r="B6332" s="0" t="n">
        <v>1984572</v>
      </c>
      <c r="C6332" s="0" t="n">
        <v>1984592</v>
      </c>
      <c r="D6332" s="0" t="s">
        <v>21095</v>
      </c>
      <c r="E6332" s="0" t="s">
        <v>75</v>
      </c>
      <c r="F6332" s="0" t="s">
        <v>15</v>
      </c>
      <c r="G6332" s="0" t="s">
        <v>16</v>
      </c>
      <c r="H6332" s="0" t="n">
        <v>196</v>
      </c>
      <c r="I6332" s="0" t="s">
        <v>21105</v>
      </c>
      <c r="J6332" s="0" t="s">
        <v>21106</v>
      </c>
      <c r="K6332" s="0" t="s">
        <v>21107</v>
      </c>
      <c r="L6332" s="0" t="str">
        <f aca="false">HYPERLINK("https://www.ncbi.nlm.nih.gov/nuccore/CP000058.1?report=graph&amp;tracks=[key:gene_model_track,Options:GeneOnly]&amp;mk=1984394:1984413|offset_17|444444,1984480:1984499|offset_103|444444,1984533:1984552|offset_156|444444,1984573:1984592|offset_196|00cc00&amp;v=1984193:1984792&amp;c=444444", "offset 196")</f>
        <v>offset 196</v>
      </c>
    </row>
    <row r="6333" customFormat="false" ht="12.8" hidden="false" customHeight="false" outlineLevel="0" collapsed="false">
      <c r="A6333" s="0" t="s">
        <v>12</v>
      </c>
      <c r="B6333" s="0" t="n">
        <v>1985317</v>
      </c>
      <c r="C6333" s="0" t="n">
        <v>1985337</v>
      </c>
      <c r="D6333" s="0" t="s">
        <v>21108</v>
      </c>
      <c r="E6333" s="0" t="s">
        <v>75</v>
      </c>
      <c r="F6333" s="0" t="s">
        <v>90</v>
      </c>
      <c r="G6333" s="0" t="s">
        <v>32</v>
      </c>
      <c r="H6333" s="0" t="n">
        <v>0</v>
      </c>
      <c r="I6333" s="0" t="s">
        <v>21109</v>
      </c>
      <c r="J6333" s="0" t="s">
        <v>21110</v>
      </c>
      <c r="K6333" s="0" t="s">
        <v>21111</v>
      </c>
      <c r="L6333" s="0" t="str">
        <f aca="false">HYPERLINK("https://www.ncbi.nlm.nih.gov/nuccore/CP000058.1?report=graph&amp;tracks=[key:gene_model_track,Options:GeneOnly]&amp;mk=1985318:1985337|offset_0|00cc00,1985298:1985317|offset_20|444444,1985261:1985280|offset_57|444444,1985226:1985245|offset_92|444444&amp;v=1985117:1985445&amp;c=444444", "offset 0")</f>
        <v>offset 0</v>
      </c>
    </row>
    <row r="6334" customFormat="false" ht="12.8" hidden="false" customHeight="false" outlineLevel="0" collapsed="false">
      <c r="A6334" s="0" t="s">
        <v>12</v>
      </c>
      <c r="B6334" s="0" t="n">
        <v>1985297</v>
      </c>
      <c r="C6334" s="0" t="n">
        <v>1985317</v>
      </c>
      <c r="D6334" s="0" t="s">
        <v>21108</v>
      </c>
      <c r="E6334" s="0" t="s">
        <v>75</v>
      </c>
      <c r="F6334" s="0" t="s">
        <v>90</v>
      </c>
      <c r="G6334" s="0" t="s">
        <v>16</v>
      </c>
      <c r="H6334" s="0" t="n">
        <v>20</v>
      </c>
      <c r="I6334" s="0" t="s">
        <v>21112</v>
      </c>
      <c r="J6334" s="0" t="s">
        <v>21113</v>
      </c>
      <c r="K6334" s="0" t="s">
        <v>21114</v>
      </c>
      <c r="L6334" s="0" t="str">
        <f aca="false">HYPERLINK("https://www.ncbi.nlm.nih.gov/nuccore/CP000058.1?report=graph&amp;tracks=[key:gene_model_track,Options:GeneOnly]&amp;mk=1985318:1985337|offset_0|444444,1985298:1985317|offset_20|00cc00,1985261:1985280|offset_57|444444,1985226:1985245|offset_92|444444&amp;v=1985117:1985445&amp;c=444444", "offset 20")</f>
        <v>offset 20</v>
      </c>
    </row>
    <row r="6335" customFormat="false" ht="12.8" hidden="false" customHeight="false" outlineLevel="0" collapsed="false">
      <c r="A6335" s="0" t="s">
        <v>12</v>
      </c>
      <c r="B6335" s="0" t="n">
        <v>1985260</v>
      </c>
      <c r="C6335" s="0" t="n">
        <v>1985280</v>
      </c>
      <c r="D6335" s="0" t="s">
        <v>21108</v>
      </c>
      <c r="E6335" s="0" t="s">
        <v>75</v>
      </c>
      <c r="F6335" s="0" t="s">
        <v>90</v>
      </c>
      <c r="G6335" s="0" t="s">
        <v>16</v>
      </c>
      <c r="H6335" s="0" t="n">
        <v>57</v>
      </c>
      <c r="I6335" s="0" t="s">
        <v>21115</v>
      </c>
      <c r="J6335" s="0" t="s">
        <v>21116</v>
      </c>
      <c r="K6335" s="0" t="s">
        <v>21117</v>
      </c>
      <c r="L6335" s="0" t="str">
        <f aca="false">HYPERLINK("https://www.ncbi.nlm.nih.gov/nuccore/CP000058.1?report=graph&amp;tracks=[key:gene_model_track,Options:GeneOnly]&amp;mk=1985318:1985337|offset_0|444444,1985298:1985317|offset_20|444444,1985261:1985280|offset_57|00cc00,1985226:1985245|offset_92|444444&amp;v=1985117:1985445&amp;c=444444", "offset 57")</f>
        <v>offset 57</v>
      </c>
    </row>
    <row r="6336" customFormat="false" ht="12.8" hidden="false" customHeight="false" outlineLevel="0" collapsed="false">
      <c r="A6336" s="0" t="s">
        <v>12</v>
      </c>
      <c r="B6336" s="0" t="n">
        <v>1985225</v>
      </c>
      <c r="C6336" s="0" t="n">
        <v>1985245</v>
      </c>
      <c r="D6336" s="0" t="s">
        <v>21108</v>
      </c>
      <c r="E6336" s="0" t="s">
        <v>75</v>
      </c>
      <c r="F6336" s="0" t="s">
        <v>90</v>
      </c>
      <c r="G6336" s="0" t="s">
        <v>20</v>
      </c>
      <c r="H6336" s="0" t="n">
        <v>92</v>
      </c>
      <c r="I6336" s="0" t="s">
        <v>21118</v>
      </c>
      <c r="J6336" s="0" t="s">
        <v>21119</v>
      </c>
      <c r="K6336" s="0" t="s">
        <v>21120</v>
      </c>
      <c r="L6336" s="0" t="str">
        <f aca="false">HYPERLINK("https://www.ncbi.nlm.nih.gov/nuccore/CP000058.1?report=graph&amp;tracks=[key:gene_model_track,Options:GeneOnly]&amp;mk=1985318:1985337|offset_0|444444,1985298:1985317|offset_20|444444,1985261:1985280|offset_57|444444,1985226:1985245|offset_92|00cc00&amp;v=1985117:1985445&amp;c=444444", "offset 92")</f>
        <v>offset 92</v>
      </c>
    </row>
    <row r="6337" customFormat="false" ht="12.8" hidden="false" customHeight="false" outlineLevel="0" collapsed="false">
      <c r="A6337" s="0" t="s">
        <v>12</v>
      </c>
      <c r="B6337" s="0" t="n">
        <v>1985412</v>
      </c>
      <c r="C6337" s="0" t="n">
        <v>1985432</v>
      </c>
      <c r="D6337" s="0" t="s">
        <v>21121</v>
      </c>
      <c r="E6337" s="0" t="s">
        <v>75</v>
      </c>
      <c r="F6337" s="0" t="s">
        <v>15</v>
      </c>
      <c r="G6337" s="0" t="s">
        <v>32</v>
      </c>
      <c r="H6337" s="0" t="n">
        <v>8</v>
      </c>
      <c r="I6337" s="0" t="s">
        <v>21122</v>
      </c>
      <c r="J6337" s="0" t="s">
        <v>21123</v>
      </c>
      <c r="K6337" s="0" t="s">
        <v>21124</v>
      </c>
      <c r="L6337" s="0" t="str">
        <f aca="false">HYPERLINK("https://www.ncbi.nlm.nih.gov/nuccore/CP000058.1?report=graph&amp;tracks=[key:gene_model_track,Options:GeneOnly]&amp;mk=1985413:1985432|offset_8|00cc00,1985460:1985479|offset_55|444444,1985484:1985503|offset_79|444444,1985505:1985524|offset_100|444444&amp;v=1985212:1985724&amp;c=444444", "offset 8")</f>
        <v>offset 8</v>
      </c>
    </row>
    <row r="6338" customFormat="false" ht="12.8" hidden="false" customHeight="false" outlineLevel="0" collapsed="false">
      <c r="A6338" s="0" t="s">
        <v>12</v>
      </c>
      <c r="B6338" s="0" t="n">
        <v>1985459</v>
      </c>
      <c r="C6338" s="0" t="n">
        <v>1985479</v>
      </c>
      <c r="D6338" s="0" t="s">
        <v>21121</v>
      </c>
      <c r="E6338" s="0" t="s">
        <v>75</v>
      </c>
      <c r="F6338" s="0" t="s">
        <v>15</v>
      </c>
      <c r="G6338" s="0" t="s">
        <v>32</v>
      </c>
      <c r="H6338" s="0" t="n">
        <v>55</v>
      </c>
      <c r="I6338" s="0" t="s">
        <v>21125</v>
      </c>
      <c r="J6338" s="0" t="s">
        <v>21126</v>
      </c>
      <c r="K6338" s="0" t="s">
        <v>21127</v>
      </c>
      <c r="L6338" s="0" t="str">
        <f aca="false">HYPERLINK("https://www.ncbi.nlm.nih.gov/nuccore/CP000058.1?report=graph&amp;tracks=[key:gene_model_track,Options:GeneOnly]&amp;mk=1985413:1985432|offset_8|444444,1985460:1985479|offset_55|00cc00,1985484:1985503|offset_79|444444,1985505:1985524|offset_100|444444&amp;v=1985212:1985724&amp;c=444444", "offset 55")</f>
        <v>offset 55</v>
      </c>
    </row>
    <row r="6339" customFormat="false" ht="12.8" hidden="false" customHeight="false" outlineLevel="0" collapsed="false">
      <c r="A6339" s="0" t="s">
        <v>12</v>
      </c>
      <c r="B6339" s="0" t="n">
        <v>1985483</v>
      </c>
      <c r="C6339" s="0" t="n">
        <v>1985503</v>
      </c>
      <c r="D6339" s="0" t="s">
        <v>21121</v>
      </c>
      <c r="E6339" s="0" t="s">
        <v>75</v>
      </c>
      <c r="F6339" s="0" t="s">
        <v>15</v>
      </c>
      <c r="G6339" s="0" t="s">
        <v>36</v>
      </c>
      <c r="H6339" s="0" t="n">
        <v>79</v>
      </c>
      <c r="I6339" s="0" t="s">
        <v>21128</v>
      </c>
      <c r="J6339" s="0" t="s">
        <v>21129</v>
      </c>
      <c r="K6339" s="0" t="s">
        <v>21130</v>
      </c>
      <c r="L6339" s="0" t="str">
        <f aca="false">HYPERLINK("https://www.ncbi.nlm.nih.gov/nuccore/CP000058.1?report=graph&amp;tracks=[key:gene_model_track,Options:GeneOnly]&amp;mk=1985413:1985432|offset_8|444444,1985460:1985479|offset_55|444444,1985484:1985503|offset_79|00cc00,1985505:1985524|offset_100|444444&amp;v=1985212:1985724&amp;c=444444", "offset 79")</f>
        <v>offset 79</v>
      </c>
    </row>
    <row r="6340" customFormat="false" ht="12.8" hidden="false" customHeight="false" outlineLevel="0" collapsed="false">
      <c r="A6340" s="0" t="s">
        <v>12</v>
      </c>
      <c r="B6340" s="0" t="n">
        <v>1985504</v>
      </c>
      <c r="C6340" s="0" t="n">
        <v>1985524</v>
      </c>
      <c r="D6340" s="0" t="s">
        <v>21121</v>
      </c>
      <c r="E6340" s="0" t="s">
        <v>75</v>
      </c>
      <c r="F6340" s="0" t="s">
        <v>15</v>
      </c>
      <c r="G6340" s="0" t="s">
        <v>32</v>
      </c>
      <c r="H6340" s="0" t="n">
        <v>100</v>
      </c>
      <c r="I6340" s="0" t="s">
        <v>21131</v>
      </c>
      <c r="J6340" s="0" t="s">
        <v>21132</v>
      </c>
      <c r="K6340" s="0" t="s">
        <v>21133</v>
      </c>
      <c r="L6340" s="0" t="str">
        <f aca="false">HYPERLINK("https://www.ncbi.nlm.nih.gov/nuccore/CP000058.1?report=graph&amp;tracks=[key:gene_model_track,Options:GeneOnly]&amp;mk=1985413:1985432|offset_8|444444,1985460:1985479|offset_55|444444,1985484:1985503|offset_79|444444,1985505:1985524|offset_100|00cc00&amp;v=1985212:1985724&amp;c=444444", "offset 100")</f>
        <v>offset 100</v>
      </c>
    </row>
    <row r="6341" customFormat="false" ht="12.8" hidden="false" customHeight="false" outlineLevel="0" collapsed="false">
      <c r="A6341" s="0" t="s">
        <v>12</v>
      </c>
      <c r="B6341" s="0" t="n">
        <v>1986117</v>
      </c>
      <c r="C6341" s="0" t="n">
        <v>1986137</v>
      </c>
      <c r="D6341" s="0" t="s">
        <v>21134</v>
      </c>
      <c r="E6341" s="0" t="s">
        <v>75</v>
      </c>
      <c r="F6341" s="0" t="s">
        <v>15</v>
      </c>
      <c r="G6341" s="0" t="s">
        <v>32</v>
      </c>
      <c r="H6341" s="0" t="n">
        <v>6</v>
      </c>
      <c r="I6341" s="0" t="s">
        <v>21135</v>
      </c>
      <c r="J6341" s="0" t="s">
        <v>21136</v>
      </c>
      <c r="K6341" s="0" t="s">
        <v>21137</v>
      </c>
      <c r="L6341" s="0" t="str">
        <f aca="false">HYPERLINK("https://www.ncbi.nlm.nih.gov/nuccore/CP000058.1?report=graph&amp;tracks=[key:gene_model_track,Options:GeneOnly]&amp;mk=1986118:1986137|offset_6|00cc00,1986159:1986178|offset_47|444444,1986256:1986275|offset_144|444444,1986277:1986296|offset_165|444444&amp;v=1985917:1986496&amp;c=444444", "offset 6")</f>
        <v>offset 6</v>
      </c>
    </row>
    <row r="6342" customFormat="false" ht="12.8" hidden="false" customHeight="false" outlineLevel="0" collapsed="false">
      <c r="A6342" s="0" t="s">
        <v>12</v>
      </c>
      <c r="B6342" s="0" t="n">
        <v>1986158</v>
      </c>
      <c r="C6342" s="0" t="n">
        <v>1986178</v>
      </c>
      <c r="D6342" s="0" t="s">
        <v>21134</v>
      </c>
      <c r="E6342" s="0" t="s">
        <v>75</v>
      </c>
      <c r="F6342" s="0" t="s">
        <v>15</v>
      </c>
      <c r="G6342" s="0" t="s">
        <v>16</v>
      </c>
      <c r="H6342" s="0" t="n">
        <v>47</v>
      </c>
      <c r="I6342" s="0" t="s">
        <v>21138</v>
      </c>
      <c r="J6342" s="0" t="s">
        <v>21139</v>
      </c>
      <c r="K6342" s="0" t="s">
        <v>21140</v>
      </c>
      <c r="L6342" s="0" t="str">
        <f aca="false">HYPERLINK("https://www.ncbi.nlm.nih.gov/nuccore/CP000058.1?report=graph&amp;tracks=[key:gene_model_track,Options:GeneOnly]&amp;mk=1986118:1986137|offset_6|444444,1986159:1986178|offset_47|00cc00,1986256:1986275|offset_144|444444,1986277:1986296|offset_165|444444&amp;v=1985917:1986496&amp;c=444444", "offset 47")</f>
        <v>offset 47</v>
      </c>
    </row>
    <row r="6343" customFormat="false" ht="12.8" hidden="false" customHeight="false" outlineLevel="0" collapsed="false">
      <c r="A6343" s="0" t="s">
        <v>12</v>
      </c>
      <c r="B6343" s="0" t="n">
        <v>1986255</v>
      </c>
      <c r="C6343" s="0" t="n">
        <v>1986275</v>
      </c>
      <c r="D6343" s="0" t="s">
        <v>21134</v>
      </c>
      <c r="E6343" s="0" t="s">
        <v>75</v>
      </c>
      <c r="F6343" s="0" t="s">
        <v>15</v>
      </c>
      <c r="G6343" s="0" t="s">
        <v>36</v>
      </c>
      <c r="H6343" s="0" t="n">
        <v>144</v>
      </c>
      <c r="I6343" s="0" t="s">
        <v>21141</v>
      </c>
      <c r="J6343" s="0" t="s">
        <v>21142</v>
      </c>
      <c r="K6343" s="0" t="s">
        <v>21143</v>
      </c>
      <c r="L6343" s="0" t="str">
        <f aca="false">HYPERLINK("https://www.ncbi.nlm.nih.gov/nuccore/CP000058.1?report=graph&amp;tracks=[key:gene_model_track,Options:GeneOnly]&amp;mk=1986118:1986137|offset_6|444444,1986159:1986178|offset_47|444444,1986256:1986275|offset_144|00cc00,1986277:1986296|offset_165|444444&amp;v=1985917:1986496&amp;c=444444", "offset 144")</f>
        <v>offset 144</v>
      </c>
    </row>
    <row r="6344" customFormat="false" ht="12.8" hidden="false" customHeight="false" outlineLevel="0" collapsed="false">
      <c r="A6344" s="0" t="s">
        <v>12</v>
      </c>
      <c r="B6344" s="0" t="n">
        <v>1986276</v>
      </c>
      <c r="C6344" s="0" t="n">
        <v>1986296</v>
      </c>
      <c r="D6344" s="0" t="s">
        <v>21134</v>
      </c>
      <c r="E6344" s="0" t="s">
        <v>75</v>
      </c>
      <c r="F6344" s="0" t="s">
        <v>15</v>
      </c>
      <c r="G6344" s="0" t="s">
        <v>32</v>
      </c>
      <c r="H6344" s="0" t="n">
        <v>165</v>
      </c>
      <c r="I6344" s="0" t="s">
        <v>21144</v>
      </c>
      <c r="J6344" s="0" t="s">
        <v>21145</v>
      </c>
      <c r="K6344" s="0" t="s">
        <v>21146</v>
      </c>
      <c r="L6344" s="0" t="str">
        <f aca="false">HYPERLINK("https://www.ncbi.nlm.nih.gov/nuccore/CP000058.1?report=graph&amp;tracks=[key:gene_model_track,Options:GeneOnly]&amp;mk=1986118:1986137|offset_6|444444,1986159:1986178|offset_47|444444,1986256:1986275|offset_144|444444,1986277:1986296|offset_165|00cc00&amp;v=1985917:1986496&amp;c=444444", "offset 165")</f>
        <v>offset 165</v>
      </c>
    </row>
    <row r="6345" customFormat="false" ht="12.8" hidden="false" customHeight="false" outlineLevel="0" collapsed="false">
      <c r="A6345" s="0" t="s">
        <v>12</v>
      </c>
      <c r="B6345" s="0" t="n">
        <v>1992501</v>
      </c>
      <c r="C6345" s="0" t="n">
        <v>1992521</v>
      </c>
      <c r="D6345" s="0" t="s">
        <v>21147</v>
      </c>
      <c r="E6345" s="0" t="s">
        <v>21148</v>
      </c>
      <c r="F6345" s="0" t="s">
        <v>90</v>
      </c>
      <c r="G6345" s="0" t="s">
        <v>20</v>
      </c>
      <c r="H6345" s="0" t="n">
        <v>11</v>
      </c>
      <c r="I6345" s="0" t="s">
        <v>21149</v>
      </c>
      <c r="J6345" s="0" t="s">
        <v>21150</v>
      </c>
      <c r="K6345" s="0" t="s">
        <v>21151</v>
      </c>
      <c r="L6345" s="0" t="str">
        <f aca="false">HYPERLINK("https://www.ncbi.nlm.nih.gov/nuccore/CP000058.1?report=graph&amp;tracks=[key:gene_model_track,Options:GeneOnly]&amp;mk=1992502:1992521|offset_11|00cc00,1992449:1992468|offset_64|444444,1992425:1992444|offset_88|444444,1992380:1992399|offset_133|444444&amp;v=1992301:1992599&amp;c=444444", "offset 11")</f>
        <v>offset 11</v>
      </c>
    </row>
    <row r="6346" customFormat="false" ht="12.8" hidden="false" customHeight="false" outlineLevel="0" collapsed="false">
      <c r="A6346" s="0" t="s">
        <v>12</v>
      </c>
      <c r="B6346" s="0" t="n">
        <v>1992448</v>
      </c>
      <c r="C6346" s="0" t="n">
        <v>1992468</v>
      </c>
      <c r="D6346" s="0" t="s">
        <v>21147</v>
      </c>
      <c r="E6346" s="0" t="s">
        <v>21148</v>
      </c>
      <c r="F6346" s="0" t="s">
        <v>90</v>
      </c>
      <c r="G6346" s="0" t="s">
        <v>36</v>
      </c>
      <c r="H6346" s="0" t="n">
        <v>64</v>
      </c>
      <c r="I6346" s="0" t="s">
        <v>21152</v>
      </c>
      <c r="J6346" s="0" t="s">
        <v>21153</v>
      </c>
      <c r="K6346" s="0" t="s">
        <v>21154</v>
      </c>
      <c r="L6346" s="0" t="str">
        <f aca="false">HYPERLINK("https://www.ncbi.nlm.nih.gov/nuccore/CP000058.1?report=graph&amp;tracks=[key:gene_model_track,Options:GeneOnly]&amp;mk=1992502:1992521|offset_11|444444,1992449:1992468|offset_64|00cc00,1992425:1992444|offset_88|444444,1992380:1992399|offset_133|444444&amp;v=1992301:1992599&amp;c=444444", "offset 64")</f>
        <v>offset 64</v>
      </c>
    </row>
    <row r="6347" customFormat="false" ht="12.8" hidden="false" customHeight="false" outlineLevel="0" collapsed="false">
      <c r="A6347" s="0" t="s">
        <v>12</v>
      </c>
      <c r="B6347" s="0" t="n">
        <v>1992424</v>
      </c>
      <c r="C6347" s="0" t="n">
        <v>1992444</v>
      </c>
      <c r="D6347" s="0" t="s">
        <v>21147</v>
      </c>
      <c r="E6347" s="0" t="s">
        <v>21148</v>
      </c>
      <c r="F6347" s="0" t="s">
        <v>90</v>
      </c>
      <c r="G6347" s="0" t="s">
        <v>36</v>
      </c>
      <c r="H6347" s="0" t="n">
        <v>88</v>
      </c>
      <c r="I6347" s="0" t="s">
        <v>21155</v>
      </c>
      <c r="J6347" s="0" t="s">
        <v>21156</v>
      </c>
      <c r="K6347" s="0" t="s">
        <v>21157</v>
      </c>
      <c r="L6347" s="0" t="str">
        <f aca="false">HYPERLINK("https://www.ncbi.nlm.nih.gov/nuccore/CP000058.1?report=graph&amp;tracks=[key:gene_model_track,Options:GeneOnly]&amp;mk=1992502:1992521|offset_11|444444,1992449:1992468|offset_64|444444,1992425:1992444|offset_88|00cc00,1992380:1992399|offset_133|444444&amp;v=1992301:1992599&amp;c=444444", "offset 88")</f>
        <v>offset 88</v>
      </c>
    </row>
    <row r="6348" customFormat="false" ht="12.8" hidden="false" customHeight="false" outlineLevel="0" collapsed="false">
      <c r="A6348" s="0" t="s">
        <v>12</v>
      </c>
      <c r="B6348" s="0" t="n">
        <v>1992379</v>
      </c>
      <c r="C6348" s="0" t="n">
        <v>1992399</v>
      </c>
      <c r="D6348" s="0" t="s">
        <v>21147</v>
      </c>
      <c r="E6348" s="0" t="s">
        <v>21148</v>
      </c>
      <c r="F6348" s="0" t="s">
        <v>90</v>
      </c>
      <c r="G6348" s="0" t="s">
        <v>32</v>
      </c>
      <c r="H6348" s="0" t="n">
        <v>133</v>
      </c>
      <c r="I6348" s="0" t="s">
        <v>21158</v>
      </c>
      <c r="J6348" s="0" t="s">
        <v>21159</v>
      </c>
      <c r="K6348" s="0" t="s">
        <v>21160</v>
      </c>
      <c r="L6348" s="0" t="str">
        <f aca="false">HYPERLINK("https://www.ncbi.nlm.nih.gov/nuccore/CP000058.1?report=graph&amp;tracks=[key:gene_model_track,Options:GeneOnly]&amp;mk=1992502:1992521|offset_11|444444,1992449:1992468|offset_64|444444,1992425:1992444|offset_88|444444,1992380:1992399|offset_133|00cc00&amp;v=1992301:1992599&amp;c=444444", "offset 133")</f>
        <v>offset 133</v>
      </c>
    </row>
    <row r="6349" customFormat="false" ht="12.8" hidden="false" customHeight="false" outlineLevel="0" collapsed="false">
      <c r="A6349" s="0" t="s">
        <v>12</v>
      </c>
      <c r="B6349" s="0" t="n">
        <v>1993588</v>
      </c>
      <c r="C6349" s="0" t="n">
        <v>1993608</v>
      </c>
      <c r="D6349" s="0" t="s">
        <v>21161</v>
      </c>
      <c r="E6349" s="0" t="s">
        <v>75</v>
      </c>
      <c r="F6349" s="0" t="s">
        <v>90</v>
      </c>
      <c r="G6349" s="0" t="s">
        <v>36</v>
      </c>
      <c r="H6349" s="0" t="n">
        <v>25</v>
      </c>
      <c r="I6349" s="0" t="s">
        <v>21162</v>
      </c>
      <c r="J6349" s="0" t="s">
        <v>21163</v>
      </c>
      <c r="K6349" s="0" t="s">
        <v>21164</v>
      </c>
      <c r="L6349" s="0" t="str">
        <f aca="false">HYPERLINK("https://www.ncbi.nlm.nih.gov/nuccore/CP000058.1?report=graph&amp;tracks=[key:gene_model_track,Options:GeneOnly]&amp;mk=1993589:1993608|offset_25|00cc00,1993568:1993587|offset_46|444444,1993534:1993553|offset_80|444444,1993506:1993525|offset_108|444444&amp;v=1993388:1993725&amp;c=444444", "offset 25")</f>
        <v>offset 25</v>
      </c>
    </row>
    <row r="6350" customFormat="false" ht="12.8" hidden="false" customHeight="false" outlineLevel="0" collapsed="false">
      <c r="A6350" s="0" t="s">
        <v>12</v>
      </c>
      <c r="B6350" s="0" t="n">
        <v>1993567</v>
      </c>
      <c r="C6350" s="0" t="n">
        <v>1993587</v>
      </c>
      <c r="D6350" s="0" t="s">
        <v>21161</v>
      </c>
      <c r="E6350" s="0" t="s">
        <v>75</v>
      </c>
      <c r="F6350" s="0" t="s">
        <v>90</v>
      </c>
      <c r="G6350" s="0" t="s">
        <v>32</v>
      </c>
      <c r="H6350" s="0" t="n">
        <v>46</v>
      </c>
      <c r="I6350" s="0" t="s">
        <v>21165</v>
      </c>
      <c r="J6350" s="0" t="s">
        <v>21166</v>
      </c>
      <c r="K6350" s="0" t="s">
        <v>21167</v>
      </c>
      <c r="L6350" s="0" t="str">
        <f aca="false">HYPERLINK("https://www.ncbi.nlm.nih.gov/nuccore/CP000058.1?report=graph&amp;tracks=[key:gene_model_track,Options:GeneOnly]&amp;mk=1993589:1993608|offset_25|444444,1993568:1993587|offset_46|00cc00,1993534:1993553|offset_80|444444,1993506:1993525|offset_108|444444&amp;v=1993388:1993725&amp;c=444444", "offset 46")</f>
        <v>offset 46</v>
      </c>
    </row>
    <row r="6351" customFormat="false" ht="12.8" hidden="false" customHeight="false" outlineLevel="0" collapsed="false">
      <c r="A6351" s="0" t="s">
        <v>12</v>
      </c>
      <c r="B6351" s="0" t="n">
        <v>1993533</v>
      </c>
      <c r="C6351" s="0" t="n">
        <v>1993553</v>
      </c>
      <c r="D6351" s="0" t="s">
        <v>21161</v>
      </c>
      <c r="E6351" s="0" t="s">
        <v>75</v>
      </c>
      <c r="F6351" s="0" t="s">
        <v>90</v>
      </c>
      <c r="G6351" s="0" t="s">
        <v>32</v>
      </c>
      <c r="H6351" s="0" t="n">
        <v>80</v>
      </c>
      <c r="I6351" s="0" t="s">
        <v>21168</v>
      </c>
      <c r="J6351" s="0" t="s">
        <v>21169</v>
      </c>
      <c r="K6351" s="0" t="s">
        <v>21170</v>
      </c>
      <c r="L6351" s="0" t="str">
        <f aca="false">HYPERLINK("https://www.ncbi.nlm.nih.gov/nuccore/CP000058.1?report=graph&amp;tracks=[key:gene_model_track,Options:GeneOnly]&amp;mk=1993589:1993608|offset_25|444444,1993568:1993587|offset_46|444444,1993534:1993553|offset_80|00cc00,1993506:1993525|offset_108|444444&amp;v=1993388:1993725&amp;c=444444", "offset 80")</f>
        <v>offset 80</v>
      </c>
    </row>
    <row r="6352" customFormat="false" ht="12.8" hidden="false" customHeight="false" outlineLevel="0" collapsed="false">
      <c r="A6352" s="0" t="s">
        <v>12</v>
      </c>
      <c r="B6352" s="0" t="n">
        <v>1993505</v>
      </c>
      <c r="C6352" s="0" t="n">
        <v>1993525</v>
      </c>
      <c r="D6352" s="0" t="s">
        <v>21161</v>
      </c>
      <c r="E6352" s="0" t="s">
        <v>75</v>
      </c>
      <c r="F6352" s="0" t="s">
        <v>90</v>
      </c>
      <c r="G6352" s="0" t="s">
        <v>16</v>
      </c>
      <c r="H6352" s="0" t="n">
        <v>108</v>
      </c>
      <c r="I6352" s="0" t="s">
        <v>21171</v>
      </c>
      <c r="J6352" s="0" t="s">
        <v>21172</v>
      </c>
      <c r="K6352" s="0" t="s">
        <v>21173</v>
      </c>
      <c r="L6352" s="0" t="str">
        <f aca="false">HYPERLINK("https://www.ncbi.nlm.nih.gov/nuccore/CP000058.1?report=graph&amp;tracks=[key:gene_model_track,Options:GeneOnly]&amp;mk=1993589:1993608|offset_25|444444,1993568:1993587|offset_46|444444,1993534:1993553|offset_80|444444,1993506:1993525|offset_108|00cc00&amp;v=1993388:1993725&amp;c=444444", "offset 108")</f>
        <v>offset 108</v>
      </c>
    </row>
    <row r="6353" customFormat="false" ht="12.8" hidden="false" customHeight="false" outlineLevel="0" collapsed="false">
      <c r="A6353" s="0" t="s">
        <v>12</v>
      </c>
      <c r="B6353" s="0" t="n">
        <v>1993963</v>
      </c>
      <c r="C6353" s="0" t="n">
        <v>1993983</v>
      </c>
      <c r="D6353" s="0" t="s">
        <v>21174</v>
      </c>
      <c r="E6353" s="0" t="s">
        <v>75</v>
      </c>
      <c r="F6353" s="0" t="s">
        <v>15</v>
      </c>
      <c r="G6353" s="0" t="s">
        <v>32</v>
      </c>
      <c r="H6353" s="0" t="n">
        <v>1</v>
      </c>
      <c r="I6353" s="0" t="s">
        <v>21175</v>
      </c>
      <c r="J6353" s="0" t="s">
        <v>21176</v>
      </c>
      <c r="K6353" s="0" t="s">
        <v>21177</v>
      </c>
      <c r="L6353" s="0" t="str">
        <f aca="false">HYPERLINK("https://www.ncbi.nlm.nih.gov/nuccore/CP000058.1?report=graph&amp;tracks=[key:gene_model_track,Options:GeneOnly]&amp;mk=1993964:1993983|offset_1|00cc00,1993987:1994006|offset_24|444444,1994078:1994097|offset_115|444444,1994129:1994148|offset_166|444444&amp;v=1993763:1994348&amp;c=444444", "offset 1")</f>
        <v>offset 1</v>
      </c>
    </row>
    <row r="6354" customFormat="false" ht="12.8" hidden="false" customHeight="false" outlineLevel="0" collapsed="false">
      <c r="A6354" s="0" t="s">
        <v>12</v>
      </c>
      <c r="B6354" s="0" t="n">
        <v>1993986</v>
      </c>
      <c r="C6354" s="0" t="n">
        <v>1994006</v>
      </c>
      <c r="D6354" s="0" t="s">
        <v>21174</v>
      </c>
      <c r="E6354" s="0" t="s">
        <v>75</v>
      </c>
      <c r="F6354" s="0" t="s">
        <v>15</v>
      </c>
      <c r="G6354" s="0" t="s">
        <v>20</v>
      </c>
      <c r="H6354" s="0" t="n">
        <v>24</v>
      </c>
      <c r="I6354" s="0" t="s">
        <v>21178</v>
      </c>
      <c r="J6354" s="0" t="s">
        <v>21179</v>
      </c>
      <c r="K6354" s="0" t="s">
        <v>21180</v>
      </c>
      <c r="L6354" s="0" t="str">
        <f aca="false">HYPERLINK("https://www.ncbi.nlm.nih.gov/nuccore/CP000058.1?report=graph&amp;tracks=[key:gene_model_track,Options:GeneOnly]&amp;mk=1993964:1993983|offset_1|444444,1993987:1994006|offset_24|00cc00,1994078:1994097|offset_115|444444,1994129:1994148|offset_166|444444&amp;v=1993763:1994348&amp;c=444444", "offset 24")</f>
        <v>offset 24</v>
      </c>
    </row>
    <row r="6355" customFormat="false" ht="12.8" hidden="false" customHeight="false" outlineLevel="0" collapsed="false">
      <c r="A6355" s="0" t="s">
        <v>12</v>
      </c>
      <c r="B6355" s="0" t="n">
        <v>1994077</v>
      </c>
      <c r="C6355" s="0" t="n">
        <v>1994097</v>
      </c>
      <c r="D6355" s="0" t="s">
        <v>21174</v>
      </c>
      <c r="E6355" s="0" t="s">
        <v>75</v>
      </c>
      <c r="F6355" s="0" t="s">
        <v>15</v>
      </c>
      <c r="G6355" s="0" t="s">
        <v>32</v>
      </c>
      <c r="H6355" s="0" t="n">
        <v>115</v>
      </c>
      <c r="I6355" s="0" t="s">
        <v>21181</v>
      </c>
      <c r="J6355" s="0" t="s">
        <v>21182</v>
      </c>
      <c r="K6355" s="0" t="s">
        <v>21183</v>
      </c>
      <c r="L6355" s="0" t="str">
        <f aca="false">HYPERLINK("https://www.ncbi.nlm.nih.gov/nuccore/CP000058.1?report=graph&amp;tracks=[key:gene_model_track,Options:GeneOnly]&amp;mk=1993964:1993983|offset_1|444444,1993987:1994006|offset_24|444444,1994078:1994097|offset_115|00cc00,1994129:1994148|offset_166|444444&amp;v=1993763:1994348&amp;c=444444", "offset 115")</f>
        <v>offset 115</v>
      </c>
    </row>
    <row r="6356" customFormat="false" ht="12.8" hidden="false" customHeight="false" outlineLevel="0" collapsed="false">
      <c r="A6356" s="0" t="s">
        <v>12</v>
      </c>
      <c r="B6356" s="0" t="n">
        <v>1994128</v>
      </c>
      <c r="C6356" s="0" t="n">
        <v>1994148</v>
      </c>
      <c r="D6356" s="0" t="s">
        <v>21174</v>
      </c>
      <c r="E6356" s="0" t="s">
        <v>75</v>
      </c>
      <c r="F6356" s="0" t="s">
        <v>15</v>
      </c>
      <c r="G6356" s="0" t="s">
        <v>20</v>
      </c>
      <c r="H6356" s="0" t="n">
        <v>166</v>
      </c>
      <c r="I6356" s="0" t="s">
        <v>21184</v>
      </c>
      <c r="J6356" s="0" t="s">
        <v>21185</v>
      </c>
      <c r="K6356" s="0" t="s">
        <v>21186</v>
      </c>
      <c r="L6356" s="0" t="str">
        <f aca="false">HYPERLINK("https://www.ncbi.nlm.nih.gov/nuccore/CP000058.1?report=graph&amp;tracks=[key:gene_model_track,Options:GeneOnly]&amp;mk=1993964:1993983|offset_1|444444,1993987:1994006|offset_24|444444,1994078:1994097|offset_115|444444,1994129:1994148|offset_166|00cc00&amp;v=1993763:1994348&amp;c=444444", "offset 166")</f>
        <v>offset 166</v>
      </c>
    </row>
    <row r="6357" customFormat="false" ht="12.8" hidden="false" customHeight="false" outlineLevel="0" collapsed="false">
      <c r="A6357" s="0" t="s">
        <v>12</v>
      </c>
      <c r="B6357" s="0" t="n">
        <v>1995600</v>
      </c>
      <c r="C6357" s="0" t="n">
        <v>1995620</v>
      </c>
      <c r="D6357" s="0" t="s">
        <v>21187</v>
      </c>
      <c r="E6357" s="0" t="s">
        <v>75</v>
      </c>
      <c r="F6357" s="0" t="s">
        <v>15</v>
      </c>
      <c r="G6357" s="0" t="s">
        <v>32</v>
      </c>
      <c r="H6357" s="0" t="n">
        <v>13</v>
      </c>
      <c r="I6357" s="0" t="s">
        <v>21188</v>
      </c>
      <c r="J6357" s="0" t="s">
        <v>21189</v>
      </c>
      <c r="K6357" s="0" t="s">
        <v>21190</v>
      </c>
      <c r="L6357" s="0" t="str">
        <f aca="false">HYPERLINK("https://www.ncbi.nlm.nih.gov/nuccore/CP000058.1?report=graph&amp;tracks=[key:gene_model_track,Options:GeneOnly]&amp;mk=1995601:1995620|offset_13|00cc00,1995625:1995644|offset_37|444444,1995648:1995667|offset_60|444444,1995675:1995694|offset_87|444444&amp;v=1995400:1995894&amp;c=444444", "offset 13")</f>
        <v>offset 13</v>
      </c>
    </row>
    <row r="6358" customFormat="false" ht="12.8" hidden="false" customHeight="false" outlineLevel="0" collapsed="false">
      <c r="A6358" s="0" t="s">
        <v>12</v>
      </c>
      <c r="B6358" s="0" t="n">
        <v>1995624</v>
      </c>
      <c r="C6358" s="0" t="n">
        <v>1995644</v>
      </c>
      <c r="D6358" s="0" t="s">
        <v>21187</v>
      </c>
      <c r="E6358" s="0" t="s">
        <v>75</v>
      </c>
      <c r="F6358" s="0" t="s">
        <v>15</v>
      </c>
      <c r="G6358" s="0" t="s">
        <v>36</v>
      </c>
      <c r="H6358" s="0" t="n">
        <v>37</v>
      </c>
      <c r="I6358" s="0" t="s">
        <v>21191</v>
      </c>
      <c r="J6358" s="0" t="s">
        <v>21192</v>
      </c>
      <c r="K6358" s="0" t="s">
        <v>21193</v>
      </c>
      <c r="L6358" s="0" t="str">
        <f aca="false">HYPERLINK("https://www.ncbi.nlm.nih.gov/nuccore/CP000058.1?report=graph&amp;tracks=[key:gene_model_track,Options:GeneOnly]&amp;mk=1995601:1995620|offset_13|444444,1995625:1995644|offset_37|00cc00,1995648:1995667|offset_60|444444,1995675:1995694|offset_87|444444&amp;v=1995400:1995894&amp;c=444444", "offset 37")</f>
        <v>offset 37</v>
      </c>
    </row>
    <row r="6359" customFormat="false" ht="12.8" hidden="false" customHeight="false" outlineLevel="0" collapsed="false">
      <c r="A6359" s="0" t="s">
        <v>12</v>
      </c>
      <c r="B6359" s="0" t="n">
        <v>1995647</v>
      </c>
      <c r="C6359" s="0" t="n">
        <v>1995667</v>
      </c>
      <c r="D6359" s="0" t="s">
        <v>21187</v>
      </c>
      <c r="E6359" s="0" t="s">
        <v>75</v>
      </c>
      <c r="F6359" s="0" t="s">
        <v>15</v>
      </c>
      <c r="G6359" s="0" t="s">
        <v>16</v>
      </c>
      <c r="H6359" s="0" t="n">
        <v>60</v>
      </c>
      <c r="I6359" s="0" t="s">
        <v>21194</v>
      </c>
      <c r="J6359" s="0" t="s">
        <v>21195</v>
      </c>
      <c r="K6359" s="0" t="s">
        <v>21196</v>
      </c>
      <c r="L6359" s="0" t="str">
        <f aca="false">HYPERLINK("https://www.ncbi.nlm.nih.gov/nuccore/CP000058.1?report=graph&amp;tracks=[key:gene_model_track,Options:GeneOnly]&amp;mk=1995601:1995620|offset_13|444444,1995625:1995644|offset_37|444444,1995648:1995667|offset_60|00cc00,1995675:1995694|offset_87|444444&amp;v=1995400:1995894&amp;c=444444", "offset 60")</f>
        <v>offset 60</v>
      </c>
    </row>
    <row r="6360" customFormat="false" ht="12.8" hidden="false" customHeight="false" outlineLevel="0" collapsed="false">
      <c r="A6360" s="0" t="s">
        <v>12</v>
      </c>
      <c r="B6360" s="0" t="n">
        <v>1995674</v>
      </c>
      <c r="C6360" s="0" t="n">
        <v>1995694</v>
      </c>
      <c r="D6360" s="0" t="s">
        <v>21187</v>
      </c>
      <c r="E6360" s="0" t="s">
        <v>75</v>
      </c>
      <c r="F6360" s="0" t="s">
        <v>15</v>
      </c>
      <c r="G6360" s="0" t="s">
        <v>16</v>
      </c>
      <c r="H6360" s="0" t="n">
        <v>87</v>
      </c>
      <c r="I6360" s="0" t="s">
        <v>21197</v>
      </c>
      <c r="J6360" s="0" t="s">
        <v>21198</v>
      </c>
      <c r="K6360" s="0" t="s">
        <v>21199</v>
      </c>
      <c r="L6360" s="0" t="str">
        <f aca="false">HYPERLINK("https://www.ncbi.nlm.nih.gov/nuccore/CP000058.1?report=graph&amp;tracks=[key:gene_model_track,Options:GeneOnly]&amp;mk=1995601:1995620|offset_13|444444,1995625:1995644|offset_37|444444,1995648:1995667|offset_60|444444,1995675:1995694|offset_87|00cc00&amp;v=1995400:1995894&amp;c=444444", "offset 87")</f>
        <v>offset 87</v>
      </c>
    </row>
    <row r="6361" customFormat="false" ht="12.8" hidden="false" customHeight="false" outlineLevel="0" collapsed="false">
      <c r="A6361" s="0" t="s">
        <v>12</v>
      </c>
      <c r="B6361" s="0" t="n">
        <v>1998491</v>
      </c>
      <c r="C6361" s="0" t="n">
        <v>1998511</v>
      </c>
      <c r="D6361" s="0" t="s">
        <v>21200</v>
      </c>
      <c r="E6361" s="0" t="s">
        <v>75</v>
      </c>
      <c r="F6361" s="0" t="s">
        <v>90</v>
      </c>
      <c r="G6361" s="0" t="s">
        <v>36</v>
      </c>
      <c r="H6361" s="0" t="n">
        <v>24</v>
      </c>
      <c r="I6361" s="0" t="s">
        <v>21201</v>
      </c>
      <c r="J6361" s="0" t="s">
        <v>21202</v>
      </c>
      <c r="K6361" s="0" t="s">
        <v>21203</v>
      </c>
      <c r="L6361" s="0" t="str">
        <f aca="false">HYPERLINK("https://www.ncbi.nlm.nih.gov/nuccore/CP000058.1?report=graph&amp;tracks=[key:gene_model_track,Options:GeneOnly]&amp;mk=1998492:1998511|offset_24|00cc00,1998469:1998488|offset_47|444444,1998441:1998460|offset_75|444444,1998398:1998417|offset_118|444444&amp;v=1998291:1998617&amp;c=444444", "offset 24")</f>
        <v>offset 24</v>
      </c>
    </row>
    <row r="6362" customFormat="false" ht="12.8" hidden="false" customHeight="false" outlineLevel="0" collapsed="false">
      <c r="A6362" s="0" t="s">
        <v>12</v>
      </c>
      <c r="B6362" s="0" t="n">
        <v>1998468</v>
      </c>
      <c r="C6362" s="0" t="n">
        <v>1998488</v>
      </c>
      <c r="D6362" s="0" t="s">
        <v>21200</v>
      </c>
      <c r="E6362" s="0" t="s">
        <v>75</v>
      </c>
      <c r="F6362" s="0" t="s">
        <v>90</v>
      </c>
      <c r="G6362" s="0" t="s">
        <v>20</v>
      </c>
      <c r="H6362" s="0" t="n">
        <v>47</v>
      </c>
      <c r="I6362" s="0" t="s">
        <v>21204</v>
      </c>
      <c r="J6362" s="0" t="s">
        <v>21205</v>
      </c>
      <c r="K6362" s="0" t="s">
        <v>21206</v>
      </c>
      <c r="L6362" s="0" t="str">
        <f aca="false">HYPERLINK("https://www.ncbi.nlm.nih.gov/nuccore/CP000058.1?report=graph&amp;tracks=[key:gene_model_track,Options:GeneOnly]&amp;mk=1998492:1998511|offset_24|444444,1998469:1998488|offset_47|00cc00,1998441:1998460|offset_75|444444,1998398:1998417|offset_118|444444&amp;v=1998291:1998617&amp;c=444444", "offset 47")</f>
        <v>offset 47</v>
      </c>
    </row>
    <row r="6363" customFormat="false" ht="12.8" hidden="false" customHeight="false" outlineLevel="0" collapsed="false">
      <c r="A6363" s="0" t="s">
        <v>12</v>
      </c>
      <c r="B6363" s="0" t="n">
        <v>1998440</v>
      </c>
      <c r="C6363" s="0" t="n">
        <v>1998460</v>
      </c>
      <c r="D6363" s="0" t="s">
        <v>21200</v>
      </c>
      <c r="E6363" s="0" t="s">
        <v>75</v>
      </c>
      <c r="F6363" s="0" t="s">
        <v>90</v>
      </c>
      <c r="G6363" s="0" t="s">
        <v>16</v>
      </c>
      <c r="H6363" s="0" t="n">
        <v>75</v>
      </c>
      <c r="I6363" s="0" t="s">
        <v>21207</v>
      </c>
      <c r="J6363" s="0" t="s">
        <v>21208</v>
      </c>
      <c r="K6363" s="0" t="s">
        <v>21209</v>
      </c>
      <c r="L6363" s="0" t="str">
        <f aca="false">HYPERLINK("https://www.ncbi.nlm.nih.gov/nuccore/CP000058.1?report=graph&amp;tracks=[key:gene_model_track,Options:GeneOnly]&amp;mk=1998492:1998511|offset_24|444444,1998469:1998488|offset_47|444444,1998441:1998460|offset_75|00cc00,1998398:1998417|offset_118|444444&amp;v=1998291:1998617&amp;c=444444", "offset 75")</f>
        <v>offset 75</v>
      </c>
    </row>
    <row r="6364" customFormat="false" ht="12.8" hidden="false" customHeight="false" outlineLevel="0" collapsed="false">
      <c r="A6364" s="0" t="s">
        <v>12</v>
      </c>
      <c r="B6364" s="0" t="n">
        <v>1998397</v>
      </c>
      <c r="C6364" s="0" t="n">
        <v>1998417</v>
      </c>
      <c r="D6364" s="0" t="s">
        <v>21200</v>
      </c>
      <c r="E6364" s="0" t="s">
        <v>75</v>
      </c>
      <c r="F6364" s="0" t="s">
        <v>90</v>
      </c>
      <c r="G6364" s="0" t="s">
        <v>16</v>
      </c>
      <c r="H6364" s="0" t="n">
        <v>118</v>
      </c>
      <c r="I6364" s="0" t="s">
        <v>21210</v>
      </c>
      <c r="J6364" s="0" t="s">
        <v>21211</v>
      </c>
      <c r="K6364" s="0" t="s">
        <v>21212</v>
      </c>
      <c r="L6364" s="0" t="str">
        <f aca="false">HYPERLINK("https://www.ncbi.nlm.nih.gov/nuccore/CP000058.1?report=graph&amp;tracks=[key:gene_model_track,Options:GeneOnly]&amp;mk=1998492:1998511|offset_24|444444,1998469:1998488|offset_47|444444,1998441:1998460|offset_75|444444,1998398:1998417|offset_118|00cc00&amp;v=1998291:1998617&amp;c=444444", "offset 118")</f>
        <v>offset 118</v>
      </c>
    </row>
    <row r="6365" customFormat="false" ht="12.8" hidden="false" customHeight="false" outlineLevel="0" collapsed="false">
      <c r="A6365" s="0" t="s">
        <v>12</v>
      </c>
      <c r="B6365" s="0" t="n">
        <v>1999739</v>
      </c>
      <c r="C6365" s="0" t="n">
        <v>1999759</v>
      </c>
      <c r="D6365" s="0" t="s">
        <v>21213</v>
      </c>
      <c r="E6365" s="0" t="s">
        <v>75</v>
      </c>
      <c r="F6365" s="0" t="s">
        <v>90</v>
      </c>
      <c r="G6365" s="0" t="s">
        <v>20</v>
      </c>
      <c r="H6365" s="0" t="n">
        <v>11</v>
      </c>
      <c r="I6365" s="0" t="s">
        <v>21214</v>
      </c>
      <c r="J6365" s="0" t="s">
        <v>21215</v>
      </c>
      <c r="K6365" s="0" t="s">
        <v>21216</v>
      </c>
      <c r="L6365" s="0" t="str">
        <f aca="false">HYPERLINK("https://www.ncbi.nlm.nih.gov/nuccore/CP000058.1?report=graph&amp;tracks=[key:gene_model_track,Options:GeneOnly]&amp;mk=1999740:1999759|offset_11|00cc00,1999706:1999725|offset_45|444444,1999684:1999703|offset_67|444444,1999651:1999670|offset_100|444444&amp;v=1999539:1999870&amp;c=444444", "offset 11")</f>
        <v>offset 11</v>
      </c>
    </row>
    <row r="6366" customFormat="false" ht="12.8" hidden="false" customHeight="false" outlineLevel="0" collapsed="false">
      <c r="A6366" s="0" t="s">
        <v>12</v>
      </c>
      <c r="B6366" s="0" t="n">
        <v>1999705</v>
      </c>
      <c r="C6366" s="0" t="n">
        <v>1999725</v>
      </c>
      <c r="D6366" s="0" t="s">
        <v>21213</v>
      </c>
      <c r="E6366" s="0" t="s">
        <v>75</v>
      </c>
      <c r="F6366" s="0" t="s">
        <v>90</v>
      </c>
      <c r="G6366" s="0" t="s">
        <v>20</v>
      </c>
      <c r="H6366" s="0" t="n">
        <v>45</v>
      </c>
      <c r="I6366" s="0" t="s">
        <v>21217</v>
      </c>
      <c r="J6366" s="0" t="s">
        <v>21218</v>
      </c>
      <c r="K6366" s="0" t="s">
        <v>21219</v>
      </c>
      <c r="L6366" s="0" t="str">
        <f aca="false">HYPERLINK("https://www.ncbi.nlm.nih.gov/nuccore/CP000058.1?report=graph&amp;tracks=[key:gene_model_track,Options:GeneOnly]&amp;mk=1999740:1999759|offset_11|444444,1999706:1999725|offset_45|00cc00,1999684:1999703|offset_67|444444,1999651:1999670|offset_100|444444&amp;v=1999539:1999870&amp;c=444444", "offset 45")</f>
        <v>offset 45</v>
      </c>
    </row>
    <row r="6367" customFormat="false" ht="12.8" hidden="false" customHeight="false" outlineLevel="0" collapsed="false">
      <c r="A6367" s="0" t="s">
        <v>12</v>
      </c>
      <c r="B6367" s="0" t="n">
        <v>1999683</v>
      </c>
      <c r="C6367" s="0" t="n">
        <v>1999703</v>
      </c>
      <c r="D6367" s="0" t="s">
        <v>21213</v>
      </c>
      <c r="E6367" s="0" t="s">
        <v>75</v>
      </c>
      <c r="F6367" s="0" t="s">
        <v>90</v>
      </c>
      <c r="G6367" s="0" t="s">
        <v>20</v>
      </c>
      <c r="H6367" s="0" t="n">
        <v>67</v>
      </c>
      <c r="I6367" s="0" t="s">
        <v>21220</v>
      </c>
      <c r="J6367" s="0" t="s">
        <v>21221</v>
      </c>
      <c r="K6367" s="0" t="s">
        <v>21222</v>
      </c>
      <c r="L6367" s="0" t="str">
        <f aca="false">HYPERLINK("https://www.ncbi.nlm.nih.gov/nuccore/CP000058.1?report=graph&amp;tracks=[key:gene_model_track,Options:GeneOnly]&amp;mk=1999740:1999759|offset_11|444444,1999706:1999725|offset_45|444444,1999684:1999703|offset_67|00cc00,1999651:1999670|offset_100|444444&amp;v=1999539:1999870&amp;c=444444", "offset 67")</f>
        <v>offset 67</v>
      </c>
    </row>
    <row r="6368" customFormat="false" ht="12.8" hidden="false" customHeight="false" outlineLevel="0" collapsed="false">
      <c r="A6368" s="0" t="s">
        <v>12</v>
      </c>
      <c r="B6368" s="0" t="n">
        <v>1999650</v>
      </c>
      <c r="C6368" s="0" t="n">
        <v>1999670</v>
      </c>
      <c r="D6368" s="0" t="s">
        <v>21213</v>
      </c>
      <c r="E6368" s="0" t="s">
        <v>75</v>
      </c>
      <c r="F6368" s="0" t="s">
        <v>90</v>
      </c>
      <c r="G6368" s="0" t="s">
        <v>32</v>
      </c>
      <c r="H6368" s="0" t="n">
        <v>100</v>
      </c>
      <c r="I6368" s="0" t="s">
        <v>21223</v>
      </c>
      <c r="J6368" s="0" t="s">
        <v>21224</v>
      </c>
      <c r="K6368" s="0" t="s">
        <v>21225</v>
      </c>
      <c r="L6368" s="0" t="str">
        <f aca="false">HYPERLINK("https://www.ncbi.nlm.nih.gov/nuccore/CP000058.1?report=graph&amp;tracks=[key:gene_model_track,Options:GeneOnly]&amp;mk=1999740:1999759|offset_11|444444,1999706:1999725|offset_45|444444,1999684:1999703|offset_67|444444,1999651:1999670|offset_100|00cc00&amp;v=1999539:1999870&amp;c=444444", "offset 100")</f>
        <v>offset 100</v>
      </c>
    </row>
    <row r="6369" customFormat="false" ht="12.8" hidden="false" customHeight="false" outlineLevel="0" collapsed="false">
      <c r="A6369" s="0" t="s">
        <v>12</v>
      </c>
      <c r="B6369" s="0" t="n">
        <v>2000607</v>
      </c>
      <c r="C6369" s="0" t="n">
        <v>2000627</v>
      </c>
      <c r="D6369" s="0" t="s">
        <v>21226</v>
      </c>
      <c r="E6369" s="0" t="s">
        <v>75</v>
      </c>
      <c r="F6369" s="0" t="s">
        <v>90</v>
      </c>
      <c r="G6369" s="0" t="s">
        <v>32</v>
      </c>
      <c r="H6369" s="0" t="n">
        <v>36</v>
      </c>
      <c r="I6369" s="0" t="s">
        <v>21227</v>
      </c>
      <c r="J6369" s="0" t="s">
        <v>21228</v>
      </c>
      <c r="K6369" s="0" t="s">
        <v>21229</v>
      </c>
      <c r="L6369" s="0" t="str">
        <f aca="false">HYPERLINK("https://www.ncbi.nlm.nih.gov/nuccore/CP000058.1?report=graph&amp;tracks=[key:gene_model_track,Options:GeneOnly]&amp;mk=2000608:2000627|offset_36|00cc00,2000564:2000583|offset_80|444444,2000540:2000559|offset_104|444444,2000511:2000530|offset_133|444444&amp;v=2000407:2000730&amp;c=444444", "offset 36")</f>
        <v>offset 36</v>
      </c>
    </row>
    <row r="6370" customFormat="false" ht="12.8" hidden="false" customHeight="false" outlineLevel="0" collapsed="false">
      <c r="A6370" s="0" t="s">
        <v>12</v>
      </c>
      <c r="B6370" s="0" t="n">
        <v>2000563</v>
      </c>
      <c r="C6370" s="0" t="n">
        <v>2000583</v>
      </c>
      <c r="D6370" s="0" t="s">
        <v>21226</v>
      </c>
      <c r="E6370" s="0" t="s">
        <v>75</v>
      </c>
      <c r="F6370" s="0" t="s">
        <v>90</v>
      </c>
      <c r="G6370" s="0" t="s">
        <v>20</v>
      </c>
      <c r="H6370" s="0" t="n">
        <v>80</v>
      </c>
      <c r="I6370" s="0" t="s">
        <v>21230</v>
      </c>
      <c r="J6370" s="0" t="s">
        <v>21231</v>
      </c>
      <c r="K6370" s="0" t="s">
        <v>21232</v>
      </c>
      <c r="L6370" s="0" t="str">
        <f aca="false">HYPERLINK("https://www.ncbi.nlm.nih.gov/nuccore/CP000058.1?report=graph&amp;tracks=[key:gene_model_track,Options:GeneOnly]&amp;mk=2000608:2000627|offset_36|444444,2000564:2000583|offset_80|00cc00,2000540:2000559|offset_104|444444,2000511:2000530|offset_133|444444&amp;v=2000407:2000730&amp;c=444444", "offset 80")</f>
        <v>offset 80</v>
      </c>
    </row>
    <row r="6371" customFormat="false" ht="12.8" hidden="false" customHeight="false" outlineLevel="0" collapsed="false">
      <c r="A6371" s="0" t="s">
        <v>12</v>
      </c>
      <c r="B6371" s="0" t="n">
        <v>2000539</v>
      </c>
      <c r="C6371" s="0" t="n">
        <v>2000559</v>
      </c>
      <c r="D6371" s="0" t="s">
        <v>21226</v>
      </c>
      <c r="E6371" s="0" t="s">
        <v>75</v>
      </c>
      <c r="F6371" s="0" t="s">
        <v>90</v>
      </c>
      <c r="G6371" s="0" t="s">
        <v>20</v>
      </c>
      <c r="H6371" s="0" t="n">
        <v>104</v>
      </c>
      <c r="I6371" s="0" t="s">
        <v>21233</v>
      </c>
      <c r="J6371" s="0" t="s">
        <v>21234</v>
      </c>
      <c r="K6371" s="0" t="s">
        <v>21235</v>
      </c>
      <c r="L6371" s="0" t="str">
        <f aca="false">HYPERLINK("https://www.ncbi.nlm.nih.gov/nuccore/CP000058.1?report=graph&amp;tracks=[key:gene_model_track,Options:GeneOnly]&amp;mk=2000608:2000627|offset_36|444444,2000564:2000583|offset_80|444444,2000540:2000559|offset_104|00cc00,2000511:2000530|offset_133|444444&amp;v=2000407:2000730&amp;c=444444", "offset 104")</f>
        <v>offset 104</v>
      </c>
    </row>
    <row r="6372" customFormat="false" ht="12.8" hidden="false" customHeight="false" outlineLevel="0" collapsed="false">
      <c r="A6372" s="0" t="s">
        <v>12</v>
      </c>
      <c r="B6372" s="0" t="n">
        <v>2000510</v>
      </c>
      <c r="C6372" s="0" t="n">
        <v>2000530</v>
      </c>
      <c r="D6372" s="0" t="s">
        <v>21226</v>
      </c>
      <c r="E6372" s="0" t="s">
        <v>75</v>
      </c>
      <c r="F6372" s="0" t="s">
        <v>90</v>
      </c>
      <c r="G6372" s="0" t="s">
        <v>36</v>
      </c>
      <c r="H6372" s="0" t="n">
        <v>133</v>
      </c>
      <c r="I6372" s="0" t="s">
        <v>21236</v>
      </c>
      <c r="J6372" s="0" t="s">
        <v>21237</v>
      </c>
      <c r="K6372" s="0" t="s">
        <v>21238</v>
      </c>
      <c r="L6372" s="0" t="str">
        <f aca="false">HYPERLINK("https://www.ncbi.nlm.nih.gov/nuccore/CP000058.1?report=graph&amp;tracks=[key:gene_model_track,Options:GeneOnly]&amp;mk=2000608:2000627|offset_36|444444,2000564:2000583|offset_80|444444,2000540:2000559|offset_104|444444,2000511:2000530|offset_133|00cc00&amp;v=2000407:2000730&amp;c=444444", "offset 133")</f>
        <v>offset 133</v>
      </c>
    </row>
    <row r="6373" customFormat="false" ht="12.8" hidden="false" customHeight="false" outlineLevel="0" collapsed="false">
      <c r="A6373" s="0" t="s">
        <v>12</v>
      </c>
      <c r="B6373" s="0" t="n">
        <v>2002356</v>
      </c>
      <c r="C6373" s="0" t="n">
        <v>2002376</v>
      </c>
      <c r="D6373" s="0" t="s">
        <v>21239</v>
      </c>
      <c r="E6373" s="0" t="s">
        <v>75</v>
      </c>
      <c r="F6373" s="0" t="s">
        <v>90</v>
      </c>
      <c r="G6373" s="0" t="s">
        <v>32</v>
      </c>
      <c r="H6373" s="0" t="n">
        <v>22</v>
      </c>
      <c r="I6373" s="0" t="s">
        <v>21240</v>
      </c>
      <c r="J6373" s="0" t="s">
        <v>21241</v>
      </c>
      <c r="K6373" s="0" t="s">
        <v>21242</v>
      </c>
      <c r="L6373" s="0" t="str">
        <f aca="false">HYPERLINK("https://www.ncbi.nlm.nih.gov/nuccore/CP000058.1?report=graph&amp;tracks=[key:gene_model_track,Options:GeneOnly]&amp;mk=2002357:2002376|offset_22|00cc00,2002302:2002321|offset_77|444444,2002266:2002285|offset_113|444444,2002240:2002259|offset_139|444444&amp;v=2002156:2002459&amp;c=444444", "offset 22")</f>
        <v>offset 22</v>
      </c>
    </row>
    <row r="6374" customFormat="false" ht="12.8" hidden="false" customHeight="false" outlineLevel="0" collapsed="false">
      <c r="A6374" s="0" t="s">
        <v>12</v>
      </c>
      <c r="B6374" s="0" t="n">
        <v>2002301</v>
      </c>
      <c r="C6374" s="0" t="n">
        <v>2002321</v>
      </c>
      <c r="D6374" s="0" t="s">
        <v>21239</v>
      </c>
      <c r="E6374" s="0" t="s">
        <v>75</v>
      </c>
      <c r="F6374" s="0" t="s">
        <v>90</v>
      </c>
      <c r="G6374" s="0" t="s">
        <v>20</v>
      </c>
      <c r="H6374" s="0" t="n">
        <v>77</v>
      </c>
      <c r="I6374" s="0" t="s">
        <v>21243</v>
      </c>
      <c r="J6374" s="0" t="s">
        <v>21244</v>
      </c>
      <c r="K6374" s="0" t="s">
        <v>21245</v>
      </c>
      <c r="L6374" s="0" t="str">
        <f aca="false">HYPERLINK("https://www.ncbi.nlm.nih.gov/nuccore/CP000058.1?report=graph&amp;tracks=[key:gene_model_track,Options:GeneOnly]&amp;mk=2002357:2002376|offset_22|444444,2002302:2002321|offset_77|00cc00,2002266:2002285|offset_113|444444,2002240:2002259|offset_139|444444&amp;v=2002156:2002459&amp;c=444444", "offset 77")</f>
        <v>offset 77</v>
      </c>
    </row>
    <row r="6375" customFormat="false" ht="12.8" hidden="false" customHeight="false" outlineLevel="0" collapsed="false">
      <c r="A6375" s="0" t="s">
        <v>12</v>
      </c>
      <c r="B6375" s="0" t="n">
        <v>2002265</v>
      </c>
      <c r="C6375" s="0" t="n">
        <v>2002285</v>
      </c>
      <c r="D6375" s="0" t="s">
        <v>21239</v>
      </c>
      <c r="E6375" s="0" t="s">
        <v>75</v>
      </c>
      <c r="F6375" s="0" t="s">
        <v>90</v>
      </c>
      <c r="G6375" s="0" t="s">
        <v>20</v>
      </c>
      <c r="H6375" s="0" t="n">
        <v>113</v>
      </c>
      <c r="I6375" s="0" t="s">
        <v>21246</v>
      </c>
      <c r="J6375" s="0" t="s">
        <v>21247</v>
      </c>
      <c r="K6375" s="0" t="s">
        <v>21248</v>
      </c>
      <c r="L6375" s="0" t="str">
        <f aca="false">HYPERLINK("https://www.ncbi.nlm.nih.gov/nuccore/CP000058.1?report=graph&amp;tracks=[key:gene_model_track,Options:GeneOnly]&amp;mk=2002357:2002376|offset_22|444444,2002302:2002321|offset_77|444444,2002266:2002285|offset_113|00cc00,2002240:2002259|offset_139|444444&amp;v=2002156:2002459&amp;c=444444", "offset 113")</f>
        <v>offset 113</v>
      </c>
    </row>
    <row r="6376" customFormat="false" ht="12.8" hidden="false" customHeight="false" outlineLevel="0" collapsed="false">
      <c r="A6376" s="0" t="s">
        <v>12</v>
      </c>
      <c r="B6376" s="0" t="n">
        <v>2002239</v>
      </c>
      <c r="C6376" s="0" t="n">
        <v>2002259</v>
      </c>
      <c r="D6376" s="0" t="s">
        <v>21239</v>
      </c>
      <c r="E6376" s="0" t="s">
        <v>75</v>
      </c>
      <c r="F6376" s="0" t="s">
        <v>90</v>
      </c>
      <c r="G6376" s="0" t="s">
        <v>32</v>
      </c>
      <c r="H6376" s="0" t="n">
        <v>139</v>
      </c>
      <c r="I6376" s="0" t="s">
        <v>21249</v>
      </c>
      <c r="J6376" s="0" t="s">
        <v>21250</v>
      </c>
      <c r="K6376" s="0" t="s">
        <v>21251</v>
      </c>
      <c r="L6376" s="0" t="str">
        <f aca="false">HYPERLINK("https://www.ncbi.nlm.nih.gov/nuccore/CP000058.1?report=graph&amp;tracks=[key:gene_model_track,Options:GeneOnly]&amp;mk=2002357:2002376|offset_22|444444,2002302:2002321|offset_77|444444,2002266:2002285|offset_113|444444,2002240:2002259|offset_139|00cc00&amp;v=2002156:2002459&amp;c=444444", "offset 139")</f>
        <v>offset 139</v>
      </c>
    </row>
    <row r="6377" customFormat="false" ht="12.8" hidden="false" customHeight="false" outlineLevel="0" collapsed="false">
      <c r="A6377" s="0" t="s">
        <v>12</v>
      </c>
      <c r="B6377" s="0" t="n">
        <v>2003328</v>
      </c>
      <c r="C6377" s="0" t="n">
        <v>2003348</v>
      </c>
      <c r="D6377" s="0" t="s">
        <v>21252</v>
      </c>
      <c r="E6377" s="0" t="s">
        <v>75</v>
      </c>
      <c r="F6377" s="0" t="s">
        <v>90</v>
      </c>
      <c r="G6377" s="0" t="s">
        <v>16</v>
      </c>
      <c r="H6377" s="0" t="n">
        <v>14</v>
      </c>
      <c r="I6377" s="0" t="s">
        <v>21253</v>
      </c>
      <c r="J6377" s="0" t="s">
        <v>21254</v>
      </c>
      <c r="K6377" s="0" t="s">
        <v>21255</v>
      </c>
      <c r="L6377" s="0" t="str">
        <f aca="false">HYPERLINK("https://www.ncbi.nlm.nih.gov/nuccore/CP000058.1?report=graph&amp;tracks=[key:gene_model_track,Options:GeneOnly]&amp;mk=2003329:2003348|offset_14|00cc00,2003305:2003324|offset_38|444444,2003279:2003298|offset_64|444444,2003252:2003271|offset_91|444444&amp;v=2003128:2003471&amp;c=444444", "offset 14")</f>
        <v>offset 14</v>
      </c>
    </row>
    <row r="6378" customFormat="false" ht="12.8" hidden="false" customHeight="false" outlineLevel="0" collapsed="false">
      <c r="A6378" s="0" t="s">
        <v>12</v>
      </c>
      <c r="B6378" s="0" t="n">
        <v>2003304</v>
      </c>
      <c r="C6378" s="0" t="n">
        <v>2003324</v>
      </c>
      <c r="D6378" s="0" t="s">
        <v>21252</v>
      </c>
      <c r="E6378" s="0" t="s">
        <v>75</v>
      </c>
      <c r="F6378" s="0" t="s">
        <v>90</v>
      </c>
      <c r="G6378" s="0" t="s">
        <v>20</v>
      </c>
      <c r="H6378" s="0" t="n">
        <v>38</v>
      </c>
      <c r="I6378" s="0" t="s">
        <v>21256</v>
      </c>
      <c r="J6378" s="0" t="s">
        <v>21257</v>
      </c>
      <c r="K6378" s="0" t="s">
        <v>21258</v>
      </c>
      <c r="L6378" s="0" t="str">
        <f aca="false">HYPERLINK("https://www.ncbi.nlm.nih.gov/nuccore/CP000058.1?report=graph&amp;tracks=[key:gene_model_track,Options:GeneOnly]&amp;mk=2003329:2003348|offset_14|444444,2003305:2003324|offset_38|00cc00,2003279:2003298|offset_64|444444,2003252:2003271|offset_91|444444&amp;v=2003128:2003471&amp;c=444444", "offset 38")</f>
        <v>offset 38</v>
      </c>
    </row>
    <row r="6379" customFormat="false" ht="12.8" hidden="false" customHeight="false" outlineLevel="0" collapsed="false">
      <c r="A6379" s="0" t="s">
        <v>12</v>
      </c>
      <c r="B6379" s="0" t="n">
        <v>2003278</v>
      </c>
      <c r="C6379" s="0" t="n">
        <v>2003298</v>
      </c>
      <c r="D6379" s="0" t="s">
        <v>21252</v>
      </c>
      <c r="E6379" s="0" t="s">
        <v>75</v>
      </c>
      <c r="F6379" s="0" t="s">
        <v>90</v>
      </c>
      <c r="G6379" s="0" t="s">
        <v>16</v>
      </c>
      <c r="H6379" s="0" t="n">
        <v>64</v>
      </c>
      <c r="I6379" s="0" t="s">
        <v>21259</v>
      </c>
      <c r="J6379" s="0" t="s">
        <v>21260</v>
      </c>
      <c r="K6379" s="0" t="s">
        <v>21261</v>
      </c>
      <c r="L6379" s="0" t="str">
        <f aca="false">HYPERLINK("https://www.ncbi.nlm.nih.gov/nuccore/CP000058.1?report=graph&amp;tracks=[key:gene_model_track,Options:GeneOnly]&amp;mk=2003329:2003348|offset_14|444444,2003305:2003324|offset_38|444444,2003279:2003298|offset_64|00cc00,2003252:2003271|offset_91|444444&amp;v=2003128:2003471&amp;c=444444", "offset 64")</f>
        <v>offset 64</v>
      </c>
    </row>
    <row r="6380" customFormat="false" ht="12.8" hidden="false" customHeight="false" outlineLevel="0" collapsed="false">
      <c r="A6380" s="0" t="s">
        <v>12</v>
      </c>
      <c r="B6380" s="0" t="n">
        <v>2003251</v>
      </c>
      <c r="C6380" s="0" t="n">
        <v>2003271</v>
      </c>
      <c r="D6380" s="0" t="s">
        <v>21252</v>
      </c>
      <c r="E6380" s="0" t="s">
        <v>75</v>
      </c>
      <c r="F6380" s="0" t="s">
        <v>90</v>
      </c>
      <c r="G6380" s="0" t="s">
        <v>32</v>
      </c>
      <c r="H6380" s="0" t="n">
        <v>91</v>
      </c>
      <c r="I6380" s="0" t="s">
        <v>21262</v>
      </c>
      <c r="J6380" s="0" t="s">
        <v>21263</v>
      </c>
      <c r="K6380" s="0" t="s">
        <v>21264</v>
      </c>
      <c r="L6380" s="0" t="str">
        <f aca="false">HYPERLINK("https://www.ncbi.nlm.nih.gov/nuccore/CP000058.1?report=graph&amp;tracks=[key:gene_model_track,Options:GeneOnly]&amp;mk=2003329:2003348|offset_14|444444,2003305:2003324|offset_38|444444,2003279:2003298|offset_64|444444,2003252:2003271|offset_91|00cc00&amp;v=2003128:2003471&amp;c=444444", "offset 91")</f>
        <v>offset 91</v>
      </c>
    </row>
    <row r="6381" customFormat="false" ht="12.8" hidden="false" customHeight="false" outlineLevel="0" collapsed="false">
      <c r="A6381" s="0" t="s">
        <v>12</v>
      </c>
      <c r="B6381" s="0" t="n">
        <v>2006311</v>
      </c>
      <c r="C6381" s="0" t="n">
        <v>2006331</v>
      </c>
      <c r="D6381" s="0" t="s">
        <v>21265</v>
      </c>
      <c r="E6381" s="0" t="s">
        <v>75</v>
      </c>
      <c r="F6381" s="0" t="s">
        <v>90</v>
      </c>
      <c r="G6381" s="0" t="s">
        <v>20</v>
      </c>
      <c r="H6381" s="0" t="n">
        <v>8</v>
      </c>
      <c r="I6381" s="0" t="s">
        <v>21266</v>
      </c>
      <c r="J6381" s="0" t="s">
        <v>21267</v>
      </c>
      <c r="K6381" s="0" t="s">
        <v>21268</v>
      </c>
      <c r="L6381" s="0" t="str">
        <f aca="false">HYPERLINK("https://www.ncbi.nlm.nih.gov/nuccore/CP000058.1?report=graph&amp;tracks=[key:gene_model_track,Options:GeneOnly]&amp;mk=2006312:2006331|offset_8|00cc00,2006289:2006308|offset_31|444444,2006248:2006267|offset_72|444444,2006196:2006215|offset_124|444444&amp;v=2006111:2006415&amp;c=444444", "offset 8")</f>
        <v>offset 8</v>
      </c>
    </row>
    <row r="6382" customFormat="false" ht="12.8" hidden="false" customHeight="false" outlineLevel="0" collapsed="false">
      <c r="A6382" s="0" t="s">
        <v>12</v>
      </c>
      <c r="B6382" s="0" t="n">
        <v>2006288</v>
      </c>
      <c r="C6382" s="0" t="n">
        <v>2006308</v>
      </c>
      <c r="D6382" s="0" t="s">
        <v>21265</v>
      </c>
      <c r="E6382" s="0" t="s">
        <v>75</v>
      </c>
      <c r="F6382" s="0" t="s">
        <v>90</v>
      </c>
      <c r="G6382" s="0" t="s">
        <v>16</v>
      </c>
      <c r="H6382" s="0" t="n">
        <v>31</v>
      </c>
      <c r="I6382" s="0" t="s">
        <v>21269</v>
      </c>
      <c r="J6382" s="0" t="s">
        <v>21270</v>
      </c>
      <c r="K6382" s="0" t="s">
        <v>21271</v>
      </c>
      <c r="L6382" s="0" t="str">
        <f aca="false">HYPERLINK("https://www.ncbi.nlm.nih.gov/nuccore/CP000058.1?report=graph&amp;tracks=[key:gene_model_track,Options:GeneOnly]&amp;mk=2006312:2006331|offset_8|444444,2006289:2006308|offset_31|00cc00,2006248:2006267|offset_72|444444,2006196:2006215|offset_124|444444&amp;v=2006111:2006415&amp;c=444444", "offset 31")</f>
        <v>offset 31</v>
      </c>
    </row>
    <row r="6383" customFormat="false" ht="12.8" hidden="false" customHeight="false" outlineLevel="0" collapsed="false">
      <c r="A6383" s="0" t="s">
        <v>12</v>
      </c>
      <c r="B6383" s="0" t="n">
        <v>2006247</v>
      </c>
      <c r="C6383" s="0" t="n">
        <v>2006267</v>
      </c>
      <c r="D6383" s="0" t="s">
        <v>21265</v>
      </c>
      <c r="E6383" s="0" t="s">
        <v>75</v>
      </c>
      <c r="F6383" s="0" t="s">
        <v>90</v>
      </c>
      <c r="G6383" s="0" t="s">
        <v>36</v>
      </c>
      <c r="H6383" s="0" t="n">
        <v>72</v>
      </c>
      <c r="I6383" s="0" t="s">
        <v>21272</v>
      </c>
      <c r="J6383" s="0" t="s">
        <v>21273</v>
      </c>
      <c r="K6383" s="0" t="s">
        <v>21274</v>
      </c>
      <c r="L6383" s="0" t="str">
        <f aca="false">HYPERLINK("https://www.ncbi.nlm.nih.gov/nuccore/CP000058.1?report=graph&amp;tracks=[key:gene_model_track,Options:GeneOnly]&amp;mk=2006312:2006331|offset_8|444444,2006289:2006308|offset_31|444444,2006248:2006267|offset_72|00cc00,2006196:2006215|offset_124|444444&amp;v=2006111:2006415&amp;c=444444", "offset 72")</f>
        <v>offset 72</v>
      </c>
    </row>
    <row r="6384" customFormat="false" ht="12.8" hidden="false" customHeight="false" outlineLevel="0" collapsed="false">
      <c r="A6384" s="0" t="s">
        <v>12</v>
      </c>
      <c r="B6384" s="0" t="n">
        <v>2006195</v>
      </c>
      <c r="C6384" s="0" t="n">
        <v>2006215</v>
      </c>
      <c r="D6384" s="0" t="s">
        <v>21265</v>
      </c>
      <c r="E6384" s="0" t="s">
        <v>75</v>
      </c>
      <c r="F6384" s="0" t="s">
        <v>90</v>
      </c>
      <c r="G6384" s="0" t="s">
        <v>32</v>
      </c>
      <c r="H6384" s="0" t="n">
        <v>124</v>
      </c>
      <c r="I6384" s="0" t="s">
        <v>21275</v>
      </c>
      <c r="J6384" s="0" t="s">
        <v>21276</v>
      </c>
      <c r="K6384" s="0" t="s">
        <v>21277</v>
      </c>
      <c r="L6384" s="0" t="str">
        <f aca="false">HYPERLINK("https://www.ncbi.nlm.nih.gov/nuccore/CP000058.1?report=graph&amp;tracks=[key:gene_model_track,Options:GeneOnly]&amp;mk=2006312:2006331|offset_8|444444,2006289:2006308|offset_31|444444,2006248:2006267|offset_72|444444,2006196:2006215|offset_124|00cc00&amp;v=2006111:2006415&amp;c=444444", "offset 124")</f>
        <v>offset 124</v>
      </c>
    </row>
    <row r="6385" customFormat="false" ht="12.8" hidden="false" customHeight="false" outlineLevel="0" collapsed="false">
      <c r="A6385" s="0" t="s">
        <v>12</v>
      </c>
      <c r="B6385" s="0" t="n">
        <v>2006427</v>
      </c>
      <c r="C6385" s="0" t="n">
        <v>2006447</v>
      </c>
      <c r="D6385" s="0" t="s">
        <v>21278</v>
      </c>
      <c r="E6385" s="0" t="s">
        <v>75</v>
      </c>
      <c r="F6385" s="0" t="s">
        <v>15</v>
      </c>
      <c r="G6385" s="0" t="s">
        <v>36</v>
      </c>
      <c r="H6385" s="0" t="n">
        <v>26</v>
      </c>
      <c r="I6385" s="0" t="s">
        <v>21279</v>
      </c>
      <c r="J6385" s="0" t="s">
        <v>21280</v>
      </c>
      <c r="K6385" s="0" t="s">
        <v>21281</v>
      </c>
      <c r="L6385" s="0" t="str">
        <f aca="false">HYPERLINK("https://www.ncbi.nlm.nih.gov/nuccore/CP000058.1?report=graph&amp;tracks=[key:gene_model_track,Options:GeneOnly]&amp;mk=2006428:2006447|offset_26|00cc00,2006477:2006496|offset_75|444444,2006507:2006526|offset_105|444444,2006614:2006633|offset_212|444444&amp;v=2006227:2006833&amp;c=444444", "offset 26")</f>
        <v>offset 26</v>
      </c>
    </row>
    <row r="6386" customFormat="false" ht="12.8" hidden="false" customHeight="false" outlineLevel="0" collapsed="false">
      <c r="A6386" s="0" t="s">
        <v>12</v>
      </c>
      <c r="B6386" s="0" t="n">
        <v>2006476</v>
      </c>
      <c r="C6386" s="0" t="n">
        <v>2006496</v>
      </c>
      <c r="D6386" s="0" t="s">
        <v>21278</v>
      </c>
      <c r="E6386" s="0" t="s">
        <v>75</v>
      </c>
      <c r="F6386" s="0" t="s">
        <v>15</v>
      </c>
      <c r="G6386" s="0" t="s">
        <v>32</v>
      </c>
      <c r="H6386" s="0" t="n">
        <v>75</v>
      </c>
      <c r="I6386" s="0" t="s">
        <v>21282</v>
      </c>
      <c r="J6386" s="0" t="s">
        <v>21283</v>
      </c>
      <c r="K6386" s="0" t="s">
        <v>21284</v>
      </c>
      <c r="L6386" s="0" t="str">
        <f aca="false">HYPERLINK("https://www.ncbi.nlm.nih.gov/nuccore/CP000058.1?report=graph&amp;tracks=[key:gene_model_track,Options:GeneOnly]&amp;mk=2006428:2006447|offset_26|444444,2006477:2006496|offset_75|00cc00,2006507:2006526|offset_105|444444,2006614:2006633|offset_212|444444&amp;v=2006227:2006833&amp;c=444444", "offset 75")</f>
        <v>offset 75</v>
      </c>
    </row>
    <row r="6387" customFormat="false" ht="12.8" hidden="false" customHeight="false" outlineLevel="0" collapsed="false">
      <c r="A6387" s="0" t="s">
        <v>12</v>
      </c>
      <c r="B6387" s="0" t="n">
        <v>2006506</v>
      </c>
      <c r="C6387" s="0" t="n">
        <v>2006526</v>
      </c>
      <c r="D6387" s="0" t="s">
        <v>21278</v>
      </c>
      <c r="E6387" s="0" t="s">
        <v>75</v>
      </c>
      <c r="F6387" s="0" t="s">
        <v>15</v>
      </c>
      <c r="G6387" s="0" t="s">
        <v>16</v>
      </c>
      <c r="H6387" s="0" t="n">
        <v>105</v>
      </c>
      <c r="I6387" s="0" t="s">
        <v>21285</v>
      </c>
      <c r="J6387" s="0" t="s">
        <v>21286</v>
      </c>
      <c r="K6387" s="0" t="s">
        <v>21287</v>
      </c>
      <c r="L6387" s="0" t="str">
        <f aca="false">HYPERLINK("https://www.ncbi.nlm.nih.gov/nuccore/CP000058.1?report=graph&amp;tracks=[key:gene_model_track,Options:GeneOnly]&amp;mk=2006428:2006447|offset_26|444444,2006477:2006496|offset_75|444444,2006507:2006526|offset_105|00cc00,2006614:2006633|offset_212|444444&amp;v=2006227:2006833&amp;c=444444", "offset 105")</f>
        <v>offset 105</v>
      </c>
    </row>
    <row r="6388" customFormat="false" ht="12.8" hidden="false" customHeight="false" outlineLevel="0" collapsed="false">
      <c r="A6388" s="0" t="s">
        <v>12</v>
      </c>
      <c r="B6388" s="0" t="n">
        <v>2006613</v>
      </c>
      <c r="C6388" s="0" t="n">
        <v>2006633</v>
      </c>
      <c r="D6388" s="0" t="s">
        <v>21278</v>
      </c>
      <c r="E6388" s="0" t="s">
        <v>75</v>
      </c>
      <c r="F6388" s="0" t="s">
        <v>15</v>
      </c>
      <c r="G6388" s="0" t="s">
        <v>20</v>
      </c>
      <c r="H6388" s="0" t="n">
        <v>212</v>
      </c>
      <c r="I6388" s="0" t="s">
        <v>21288</v>
      </c>
      <c r="J6388" s="0" t="s">
        <v>21289</v>
      </c>
      <c r="K6388" s="0" t="s">
        <v>21290</v>
      </c>
      <c r="L6388" s="0" t="str">
        <f aca="false">HYPERLINK("https://www.ncbi.nlm.nih.gov/nuccore/CP000058.1?report=graph&amp;tracks=[key:gene_model_track,Options:GeneOnly]&amp;mk=2006428:2006447|offset_26|444444,2006477:2006496|offset_75|444444,2006507:2006526|offset_105|444444,2006614:2006633|offset_212|00cc00&amp;v=2006227:2006833&amp;c=444444", "offset 212")</f>
        <v>offset 212</v>
      </c>
    </row>
    <row r="6389" customFormat="false" ht="12.8" hidden="false" customHeight="false" outlineLevel="0" collapsed="false">
      <c r="A6389" s="0" t="s">
        <v>12</v>
      </c>
      <c r="B6389" s="0" t="n">
        <v>2010109</v>
      </c>
      <c r="C6389" s="0" t="n">
        <v>2010129</v>
      </c>
      <c r="D6389" s="0" t="s">
        <v>21291</v>
      </c>
      <c r="E6389" s="0" t="s">
        <v>75</v>
      </c>
      <c r="F6389" s="0" t="s">
        <v>90</v>
      </c>
      <c r="G6389" s="0" t="s">
        <v>16</v>
      </c>
      <c r="H6389" s="0" t="n">
        <v>21</v>
      </c>
      <c r="I6389" s="0" t="s">
        <v>21292</v>
      </c>
      <c r="J6389" s="0" t="s">
        <v>21293</v>
      </c>
      <c r="K6389" s="0" t="s">
        <v>21294</v>
      </c>
      <c r="L6389" s="0" t="str">
        <f aca="false">HYPERLINK("https://www.ncbi.nlm.nih.gov/nuccore/CP000058.1?report=graph&amp;tracks=[key:gene_model_track,Options:GeneOnly]&amp;mk=2010110:2010129|offset_21|00cc00,2010069:2010088|offset_62|444444,2010048:2010067|offset_83|444444,2010003:2010022|offset_128|444444&amp;v=2009909:2010222&amp;c=444444", "offset 21")</f>
        <v>offset 21</v>
      </c>
    </row>
    <row r="6390" customFormat="false" ht="12.8" hidden="false" customHeight="false" outlineLevel="0" collapsed="false">
      <c r="A6390" s="0" t="s">
        <v>12</v>
      </c>
      <c r="B6390" s="0" t="n">
        <v>2010068</v>
      </c>
      <c r="C6390" s="0" t="n">
        <v>2010088</v>
      </c>
      <c r="D6390" s="0" t="s">
        <v>21291</v>
      </c>
      <c r="E6390" s="0" t="s">
        <v>75</v>
      </c>
      <c r="F6390" s="0" t="s">
        <v>90</v>
      </c>
      <c r="G6390" s="0" t="s">
        <v>20</v>
      </c>
      <c r="H6390" s="0" t="n">
        <v>62</v>
      </c>
      <c r="I6390" s="0" t="s">
        <v>21295</v>
      </c>
      <c r="J6390" s="0" t="s">
        <v>21296</v>
      </c>
      <c r="K6390" s="0" t="s">
        <v>21297</v>
      </c>
      <c r="L6390" s="0" t="str">
        <f aca="false">HYPERLINK("https://www.ncbi.nlm.nih.gov/nuccore/CP000058.1?report=graph&amp;tracks=[key:gene_model_track,Options:GeneOnly]&amp;mk=2010110:2010129|offset_21|444444,2010069:2010088|offset_62|00cc00,2010048:2010067|offset_83|444444,2010003:2010022|offset_128|444444&amp;v=2009909:2010222&amp;c=444444", "offset 62")</f>
        <v>offset 62</v>
      </c>
    </row>
    <row r="6391" customFormat="false" ht="12.8" hidden="false" customHeight="false" outlineLevel="0" collapsed="false">
      <c r="A6391" s="0" t="s">
        <v>12</v>
      </c>
      <c r="B6391" s="0" t="n">
        <v>2010047</v>
      </c>
      <c r="C6391" s="0" t="n">
        <v>2010067</v>
      </c>
      <c r="D6391" s="0" t="s">
        <v>21291</v>
      </c>
      <c r="E6391" s="0" t="s">
        <v>75</v>
      </c>
      <c r="F6391" s="0" t="s">
        <v>90</v>
      </c>
      <c r="G6391" s="0" t="s">
        <v>16</v>
      </c>
      <c r="H6391" s="0" t="n">
        <v>83</v>
      </c>
      <c r="I6391" s="0" t="s">
        <v>21298</v>
      </c>
      <c r="J6391" s="0" t="s">
        <v>21299</v>
      </c>
      <c r="K6391" s="0" t="s">
        <v>21300</v>
      </c>
      <c r="L6391" s="0" t="str">
        <f aca="false">HYPERLINK("https://www.ncbi.nlm.nih.gov/nuccore/CP000058.1?report=graph&amp;tracks=[key:gene_model_track,Options:GeneOnly]&amp;mk=2010110:2010129|offset_21|444444,2010069:2010088|offset_62|444444,2010048:2010067|offset_83|00cc00,2010003:2010022|offset_128|444444&amp;v=2009909:2010222&amp;c=444444", "offset 83")</f>
        <v>offset 83</v>
      </c>
    </row>
    <row r="6392" customFormat="false" ht="12.8" hidden="false" customHeight="false" outlineLevel="0" collapsed="false">
      <c r="A6392" s="0" t="s">
        <v>12</v>
      </c>
      <c r="B6392" s="0" t="n">
        <v>2010002</v>
      </c>
      <c r="C6392" s="0" t="n">
        <v>2010022</v>
      </c>
      <c r="D6392" s="0" t="s">
        <v>21291</v>
      </c>
      <c r="E6392" s="0" t="s">
        <v>75</v>
      </c>
      <c r="F6392" s="0" t="s">
        <v>90</v>
      </c>
      <c r="G6392" s="0" t="s">
        <v>36</v>
      </c>
      <c r="H6392" s="0" t="n">
        <v>128</v>
      </c>
      <c r="I6392" s="0" t="s">
        <v>21301</v>
      </c>
      <c r="J6392" s="0" t="s">
        <v>21302</v>
      </c>
      <c r="K6392" s="0" t="s">
        <v>21303</v>
      </c>
      <c r="L6392" s="0" t="str">
        <f aca="false">HYPERLINK("https://www.ncbi.nlm.nih.gov/nuccore/CP000058.1?report=graph&amp;tracks=[key:gene_model_track,Options:GeneOnly]&amp;mk=2010110:2010129|offset_21|444444,2010069:2010088|offset_62|444444,2010048:2010067|offset_83|444444,2010003:2010022|offset_128|00cc00&amp;v=2009909:2010222&amp;c=444444", "offset 128")</f>
        <v>offset 128</v>
      </c>
    </row>
    <row r="6393" customFormat="false" ht="12.8" hidden="false" customHeight="false" outlineLevel="0" collapsed="false">
      <c r="A6393" s="0" t="s">
        <v>12</v>
      </c>
      <c r="B6393" s="0" t="n">
        <v>2011635</v>
      </c>
      <c r="C6393" s="0" t="n">
        <v>2011655</v>
      </c>
      <c r="D6393" s="0" t="s">
        <v>21304</v>
      </c>
      <c r="E6393" s="0" t="s">
        <v>75</v>
      </c>
      <c r="F6393" s="0" t="s">
        <v>15</v>
      </c>
      <c r="G6393" s="0" t="s">
        <v>16</v>
      </c>
      <c r="H6393" s="0" t="n">
        <v>16</v>
      </c>
      <c r="I6393" s="0" t="s">
        <v>21305</v>
      </c>
      <c r="J6393" s="0" t="s">
        <v>21306</v>
      </c>
      <c r="K6393" s="0" t="s">
        <v>21307</v>
      </c>
      <c r="L6393" s="0" t="str">
        <f aca="false">HYPERLINK("https://www.ncbi.nlm.nih.gov/nuccore/CP000058.1?report=graph&amp;tracks=[key:gene_model_track,Options:GeneOnly]&amp;mk=2011636:2011655|offset_16|00cc00,2011669:2011688|offset_49|444444,2011690:2011709|offset_70|444444,2011729:2011748|offset_109|444444&amp;v=2011435:2011948&amp;c=444444", "offset 16")</f>
        <v>offset 16</v>
      </c>
    </row>
    <row r="6394" customFormat="false" ht="12.8" hidden="false" customHeight="false" outlineLevel="0" collapsed="false">
      <c r="A6394" s="0" t="s">
        <v>12</v>
      </c>
      <c r="B6394" s="0" t="n">
        <v>2011668</v>
      </c>
      <c r="C6394" s="0" t="n">
        <v>2011688</v>
      </c>
      <c r="D6394" s="0" t="s">
        <v>21304</v>
      </c>
      <c r="E6394" s="0" t="s">
        <v>75</v>
      </c>
      <c r="F6394" s="0" t="s">
        <v>15</v>
      </c>
      <c r="G6394" s="0" t="s">
        <v>32</v>
      </c>
      <c r="H6394" s="0" t="n">
        <v>49</v>
      </c>
      <c r="I6394" s="0" t="s">
        <v>21308</v>
      </c>
      <c r="J6394" s="0" t="s">
        <v>21309</v>
      </c>
      <c r="K6394" s="0" t="s">
        <v>21310</v>
      </c>
      <c r="L6394" s="0" t="str">
        <f aca="false">HYPERLINK("https://www.ncbi.nlm.nih.gov/nuccore/CP000058.1?report=graph&amp;tracks=[key:gene_model_track,Options:GeneOnly]&amp;mk=2011636:2011655|offset_16|444444,2011669:2011688|offset_49|00cc00,2011690:2011709|offset_70|444444,2011729:2011748|offset_109|444444&amp;v=2011435:2011948&amp;c=444444", "offset 49")</f>
        <v>offset 49</v>
      </c>
    </row>
    <row r="6395" customFormat="false" ht="12.8" hidden="false" customHeight="false" outlineLevel="0" collapsed="false">
      <c r="A6395" s="0" t="s">
        <v>12</v>
      </c>
      <c r="B6395" s="0" t="n">
        <v>2011689</v>
      </c>
      <c r="C6395" s="0" t="n">
        <v>2011709</v>
      </c>
      <c r="D6395" s="0" t="s">
        <v>21304</v>
      </c>
      <c r="E6395" s="0" t="s">
        <v>75</v>
      </c>
      <c r="F6395" s="0" t="s">
        <v>15</v>
      </c>
      <c r="G6395" s="0" t="s">
        <v>36</v>
      </c>
      <c r="H6395" s="0" t="n">
        <v>70</v>
      </c>
      <c r="I6395" s="0" t="s">
        <v>21311</v>
      </c>
      <c r="J6395" s="0" t="s">
        <v>21312</v>
      </c>
      <c r="K6395" s="0" t="s">
        <v>21313</v>
      </c>
      <c r="L6395" s="0" t="str">
        <f aca="false">HYPERLINK("https://www.ncbi.nlm.nih.gov/nuccore/CP000058.1?report=graph&amp;tracks=[key:gene_model_track,Options:GeneOnly]&amp;mk=2011636:2011655|offset_16|444444,2011669:2011688|offset_49|444444,2011690:2011709|offset_70|00cc00,2011729:2011748|offset_109|444444&amp;v=2011435:2011948&amp;c=444444", "offset 70")</f>
        <v>offset 70</v>
      </c>
    </row>
    <row r="6396" customFormat="false" ht="12.8" hidden="false" customHeight="false" outlineLevel="0" collapsed="false">
      <c r="A6396" s="0" t="s">
        <v>12</v>
      </c>
      <c r="B6396" s="0" t="n">
        <v>2011728</v>
      </c>
      <c r="C6396" s="0" t="n">
        <v>2011748</v>
      </c>
      <c r="D6396" s="0" t="s">
        <v>21304</v>
      </c>
      <c r="E6396" s="0" t="s">
        <v>75</v>
      </c>
      <c r="F6396" s="0" t="s">
        <v>15</v>
      </c>
      <c r="G6396" s="0" t="s">
        <v>16</v>
      </c>
      <c r="H6396" s="0" t="n">
        <v>109</v>
      </c>
      <c r="I6396" s="0" t="s">
        <v>21314</v>
      </c>
      <c r="J6396" s="0" t="s">
        <v>21315</v>
      </c>
      <c r="K6396" s="0" t="s">
        <v>21316</v>
      </c>
      <c r="L6396" s="0" t="str">
        <f aca="false">HYPERLINK("https://www.ncbi.nlm.nih.gov/nuccore/CP000058.1?report=graph&amp;tracks=[key:gene_model_track,Options:GeneOnly]&amp;mk=2011636:2011655|offset_16|444444,2011669:2011688|offset_49|444444,2011690:2011709|offset_70|444444,2011729:2011748|offset_109|00cc00&amp;v=2011435:2011948&amp;c=444444", "offset 109")</f>
        <v>offset 109</v>
      </c>
    </row>
    <row r="6397" customFormat="false" ht="12.8" hidden="false" customHeight="false" outlineLevel="0" collapsed="false">
      <c r="A6397" s="0" t="s">
        <v>12</v>
      </c>
      <c r="B6397" s="0" t="n">
        <v>2016553</v>
      </c>
      <c r="C6397" s="0" t="n">
        <v>2016573</v>
      </c>
      <c r="D6397" s="0" t="s">
        <v>21317</v>
      </c>
      <c r="E6397" s="0" t="s">
        <v>75</v>
      </c>
      <c r="F6397" s="0" t="s">
        <v>90</v>
      </c>
      <c r="G6397" s="0" t="s">
        <v>16</v>
      </c>
      <c r="H6397" s="0" t="n">
        <v>6</v>
      </c>
      <c r="I6397" s="0" t="s">
        <v>21318</v>
      </c>
      <c r="J6397" s="0" t="s">
        <v>21319</v>
      </c>
      <c r="K6397" s="0" t="s">
        <v>21320</v>
      </c>
      <c r="L6397" s="0" t="str">
        <f aca="false">HYPERLINK("https://www.ncbi.nlm.nih.gov/nuccore/CP000058.1?report=graph&amp;tracks=[key:gene_model_track,Options:GeneOnly]&amp;mk=2016554:2016573|offset_6|00cc00,2016534:2016553|offset_26|444444,2016514:2016533|offset_46|444444,2016472:2016491|offset_88|444444&amp;v=2016353:2016691&amp;c=444444", "offset 6")</f>
        <v>offset 6</v>
      </c>
    </row>
    <row r="6398" customFormat="false" ht="12.8" hidden="false" customHeight="false" outlineLevel="0" collapsed="false">
      <c r="A6398" s="0" t="s">
        <v>12</v>
      </c>
      <c r="B6398" s="0" t="n">
        <v>2016533</v>
      </c>
      <c r="C6398" s="0" t="n">
        <v>2016553</v>
      </c>
      <c r="D6398" s="0" t="s">
        <v>21317</v>
      </c>
      <c r="E6398" s="0" t="s">
        <v>75</v>
      </c>
      <c r="F6398" s="0" t="s">
        <v>90</v>
      </c>
      <c r="G6398" s="0" t="s">
        <v>16</v>
      </c>
      <c r="H6398" s="0" t="n">
        <v>26</v>
      </c>
      <c r="I6398" s="0" t="s">
        <v>21321</v>
      </c>
      <c r="J6398" s="0" t="s">
        <v>21322</v>
      </c>
      <c r="K6398" s="0" t="s">
        <v>21323</v>
      </c>
      <c r="L6398" s="0" t="str">
        <f aca="false">HYPERLINK("https://www.ncbi.nlm.nih.gov/nuccore/CP000058.1?report=graph&amp;tracks=[key:gene_model_track,Options:GeneOnly]&amp;mk=2016554:2016573|offset_6|444444,2016534:2016553|offset_26|00cc00,2016514:2016533|offset_46|444444,2016472:2016491|offset_88|444444&amp;v=2016353:2016691&amp;c=444444", "offset 26")</f>
        <v>offset 26</v>
      </c>
    </row>
    <row r="6399" customFormat="false" ht="12.8" hidden="false" customHeight="false" outlineLevel="0" collapsed="false">
      <c r="A6399" s="0" t="s">
        <v>12</v>
      </c>
      <c r="B6399" s="0" t="n">
        <v>2016513</v>
      </c>
      <c r="C6399" s="0" t="n">
        <v>2016533</v>
      </c>
      <c r="D6399" s="0" t="s">
        <v>21317</v>
      </c>
      <c r="E6399" s="0" t="s">
        <v>75</v>
      </c>
      <c r="F6399" s="0" t="s">
        <v>90</v>
      </c>
      <c r="G6399" s="0" t="s">
        <v>36</v>
      </c>
      <c r="H6399" s="0" t="n">
        <v>46</v>
      </c>
      <c r="I6399" s="0" t="s">
        <v>21324</v>
      </c>
      <c r="J6399" s="0" t="s">
        <v>21325</v>
      </c>
      <c r="K6399" s="0" t="s">
        <v>21326</v>
      </c>
      <c r="L6399" s="0" t="str">
        <f aca="false">HYPERLINK("https://www.ncbi.nlm.nih.gov/nuccore/CP000058.1?report=graph&amp;tracks=[key:gene_model_track,Options:GeneOnly]&amp;mk=2016554:2016573|offset_6|444444,2016534:2016553|offset_26|444444,2016514:2016533|offset_46|00cc00,2016472:2016491|offset_88|444444&amp;v=2016353:2016691&amp;c=444444", "offset 46")</f>
        <v>offset 46</v>
      </c>
    </row>
    <row r="6400" customFormat="false" ht="12.8" hidden="false" customHeight="false" outlineLevel="0" collapsed="false">
      <c r="A6400" s="0" t="s">
        <v>12</v>
      </c>
      <c r="B6400" s="0" t="n">
        <v>2016471</v>
      </c>
      <c r="C6400" s="0" t="n">
        <v>2016491</v>
      </c>
      <c r="D6400" s="0" t="s">
        <v>21317</v>
      </c>
      <c r="E6400" s="0" t="s">
        <v>75</v>
      </c>
      <c r="F6400" s="0" t="s">
        <v>90</v>
      </c>
      <c r="G6400" s="0" t="s">
        <v>20</v>
      </c>
      <c r="H6400" s="0" t="n">
        <v>88</v>
      </c>
      <c r="I6400" s="0" t="s">
        <v>21327</v>
      </c>
      <c r="J6400" s="0" t="s">
        <v>21328</v>
      </c>
      <c r="K6400" s="0" t="s">
        <v>21329</v>
      </c>
      <c r="L6400" s="0" t="str">
        <f aca="false">HYPERLINK("https://www.ncbi.nlm.nih.gov/nuccore/CP000058.1?report=graph&amp;tracks=[key:gene_model_track,Options:GeneOnly]&amp;mk=2016554:2016573|offset_6|444444,2016534:2016553|offset_26|444444,2016514:2016533|offset_46|444444,2016472:2016491|offset_88|00cc00&amp;v=2016353:2016691&amp;c=444444", "offset 88")</f>
        <v>offset 88</v>
      </c>
    </row>
    <row r="6401" customFormat="false" ht="12.8" hidden="false" customHeight="false" outlineLevel="0" collapsed="false">
      <c r="A6401" s="0" t="s">
        <v>12</v>
      </c>
      <c r="B6401" s="0" t="n">
        <v>2017628</v>
      </c>
      <c r="C6401" s="0" t="n">
        <v>2017648</v>
      </c>
      <c r="D6401" s="0" t="s">
        <v>21330</v>
      </c>
      <c r="E6401" s="0" t="s">
        <v>75</v>
      </c>
      <c r="F6401" s="0" t="s">
        <v>90</v>
      </c>
      <c r="G6401" s="0" t="s">
        <v>32</v>
      </c>
      <c r="H6401" s="0" t="n">
        <v>25</v>
      </c>
      <c r="I6401" s="0" t="s">
        <v>21331</v>
      </c>
      <c r="J6401" s="0" t="s">
        <v>21332</v>
      </c>
      <c r="K6401" s="0" t="s">
        <v>21333</v>
      </c>
      <c r="L6401" s="0" t="str">
        <f aca="false">HYPERLINK("https://www.ncbi.nlm.nih.gov/nuccore/CP000058.1?report=graph&amp;tracks=[key:gene_model_track,Options:GeneOnly]&amp;mk=2017629:2017648|offset_25|00cc00,2017575:2017594|offset_79|444444,2017550:2017569|offset_104|444444,2017511:2017530|offset_143|444444&amp;v=2017428:2017730&amp;c=444444", "offset 25")</f>
        <v>offset 25</v>
      </c>
    </row>
    <row r="6402" customFormat="false" ht="12.8" hidden="false" customHeight="false" outlineLevel="0" collapsed="false">
      <c r="A6402" s="0" t="s">
        <v>12</v>
      </c>
      <c r="B6402" s="0" t="n">
        <v>2017574</v>
      </c>
      <c r="C6402" s="0" t="n">
        <v>2017594</v>
      </c>
      <c r="D6402" s="0" t="s">
        <v>21330</v>
      </c>
      <c r="E6402" s="0" t="s">
        <v>75</v>
      </c>
      <c r="F6402" s="0" t="s">
        <v>90</v>
      </c>
      <c r="G6402" s="0" t="s">
        <v>16</v>
      </c>
      <c r="H6402" s="0" t="n">
        <v>79</v>
      </c>
      <c r="I6402" s="0" t="s">
        <v>21334</v>
      </c>
      <c r="J6402" s="0" t="s">
        <v>21335</v>
      </c>
      <c r="K6402" s="0" t="s">
        <v>21336</v>
      </c>
      <c r="L6402" s="0" t="str">
        <f aca="false">HYPERLINK("https://www.ncbi.nlm.nih.gov/nuccore/CP000058.1?report=graph&amp;tracks=[key:gene_model_track,Options:GeneOnly]&amp;mk=2017629:2017648|offset_25|444444,2017575:2017594|offset_79|00cc00,2017550:2017569|offset_104|444444,2017511:2017530|offset_143|444444&amp;v=2017428:2017730&amp;c=444444", "offset 79")</f>
        <v>offset 79</v>
      </c>
    </row>
    <row r="6403" customFormat="false" ht="12.8" hidden="false" customHeight="false" outlineLevel="0" collapsed="false">
      <c r="A6403" s="0" t="s">
        <v>12</v>
      </c>
      <c r="B6403" s="0" t="n">
        <v>2017549</v>
      </c>
      <c r="C6403" s="0" t="n">
        <v>2017569</v>
      </c>
      <c r="D6403" s="0" t="s">
        <v>21330</v>
      </c>
      <c r="E6403" s="0" t="s">
        <v>75</v>
      </c>
      <c r="F6403" s="0" t="s">
        <v>90</v>
      </c>
      <c r="G6403" s="0" t="s">
        <v>16</v>
      </c>
      <c r="H6403" s="0" t="n">
        <v>104</v>
      </c>
      <c r="I6403" s="0" t="s">
        <v>21337</v>
      </c>
      <c r="J6403" s="0" t="s">
        <v>21338</v>
      </c>
      <c r="K6403" s="0" t="s">
        <v>21339</v>
      </c>
      <c r="L6403" s="0" t="str">
        <f aca="false">HYPERLINK("https://www.ncbi.nlm.nih.gov/nuccore/CP000058.1?report=graph&amp;tracks=[key:gene_model_track,Options:GeneOnly]&amp;mk=2017629:2017648|offset_25|444444,2017575:2017594|offset_79|444444,2017550:2017569|offset_104|00cc00,2017511:2017530|offset_143|444444&amp;v=2017428:2017730&amp;c=444444", "offset 104")</f>
        <v>offset 104</v>
      </c>
    </row>
    <row r="6404" customFormat="false" ht="12.8" hidden="false" customHeight="false" outlineLevel="0" collapsed="false">
      <c r="A6404" s="0" t="s">
        <v>12</v>
      </c>
      <c r="B6404" s="0" t="n">
        <v>2017510</v>
      </c>
      <c r="C6404" s="0" t="n">
        <v>2017530</v>
      </c>
      <c r="D6404" s="0" t="s">
        <v>21330</v>
      </c>
      <c r="E6404" s="0" t="s">
        <v>75</v>
      </c>
      <c r="F6404" s="0" t="s">
        <v>90</v>
      </c>
      <c r="G6404" s="0" t="s">
        <v>20</v>
      </c>
      <c r="H6404" s="0" t="n">
        <v>143</v>
      </c>
      <c r="I6404" s="0" t="s">
        <v>21340</v>
      </c>
      <c r="J6404" s="0" t="s">
        <v>21341</v>
      </c>
      <c r="K6404" s="0" t="s">
        <v>21342</v>
      </c>
      <c r="L6404" s="0" t="str">
        <f aca="false">HYPERLINK("https://www.ncbi.nlm.nih.gov/nuccore/CP000058.1?report=graph&amp;tracks=[key:gene_model_track,Options:GeneOnly]&amp;mk=2017629:2017648|offset_25|444444,2017575:2017594|offset_79|444444,2017550:2017569|offset_104|444444,2017511:2017530|offset_143|00cc00&amp;v=2017428:2017730&amp;c=444444", "offset 143")</f>
        <v>offset 143</v>
      </c>
    </row>
    <row r="6405" customFormat="false" ht="12.8" hidden="false" customHeight="false" outlineLevel="0" collapsed="false">
      <c r="A6405" s="0" t="s">
        <v>12</v>
      </c>
      <c r="B6405" s="0" t="n">
        <v>2017744</v>
      </c>
      <c r="C6405" s="0" t="n">
        <v>2017764</v>
      </c>
      <c r="D6405" s="0" t="s">
        <v>21343</v>
      </c>
      <c r="E6405" s="0" t="s">
        <v>75</v>
      </c>
      <c r="F6405" s="0" t="s">
        <v>15</v>
      </c>
      <c r="G6405" s="0" t="s">
        <v>16</v>
      </c>
      <c r="H6405" s="0" t="n">
        <v>1</v>
      </c>
      <c r="I6405" s="0" t="s">
        <v>21344</v>
      </c>
      <c r="J6405" s="0" t="s">
        <v>21345</v>
      </c>
      <c r="K6405" s="0" t="s">
        <v>21346</v>
      </c>
      <c r="L6405" s="0" t="str">
        <f aca="false">HYPERLINK("https://www.ncbi.nlm.nih.gov/nuccore/CP000058.1?report=graph&amp;tracks=[key:gene_model_track,Options:GeneOnly]&amp;mk=2017745:2017764|offset_1|00cc00,2017772:2017791|offset_28|444444,2017804:2017823|offset_60|444444,2017833:2017852|offset_89|444444&amp;v=2017544:2018052&amp;c=444444", "offset 1")</f>
        <v>offset 1</v>
      </c>
    </row>
    <row r="6406" customFormat="false" ht="12.8" hidden="false" customHeight="false" outlineLevel="0" collapsed="false">
      <c r="A6406" s="0" t="s">
        <v>12</v>
      </c>
      <c r="B6406" s="0" t="n">
        <v>2017771</v>
      </c>
      <c r="C6406" s="0" t="n">
        <v>2017791</v>
      </c>
      <c r="D6406" s="0" t="s">
        <v>21343</v>
      </c>
      <c r="E6406" s="0" t="s">
        <v>75</v>
      </c>
      <c r="F6406" s="0" t="s">
        <v>15</v>
      </c>
      <c r="G6406" s="0" t="s">
        <v>32</v>
      </c>
      <c r="H6406" s="0" t="n">
        <v>28</v>
      </c>
      <c r="I6406" s="0" t="s">
        <v>21347</v>
      </c>
      <c r="J6406" s="0" t="s">
        <v>21348</v>
      </c>
      <c r="K6406" s="0" t="s">
        <v>21349</v>
      </c>
      <c r="L6406" s="0" t="str">
        <f aca="false">HYPERLINK("https://www.ncbi.nlm.nih.gov/nuccore/CP000058.1?report=graph&amp;tracks=[key:gene_model_track,Options:GeneOnly]&amp;mk=2017745:2017764|offset_1|444444,2017772:2017791|offset_28|00cc00,2017804:2017823|offset_60|444444,2017833:2017852|offset_89|444444&amp;v=2017544:2018052&amp;c=444444", "offset 28")</f>
        <v>offset 28</v>
      </c>
    </row>
    <row r="6407" customFormat="false" ht="12.8" hidden="false" customHeight="false" outlineLevel="0" collapsed="false">
      <c r="A6407" s="0" t="s">
        <v>12</v>
      </c>
      <c r="B6407" s="0" t="n">
        <v>2017803</v>
      </c>
      <c r="C6407" s="0" t="n">
        <v>2017823</v>
      </c>
      <c r="D6407" s="0" t="s">
        <v>21343</v>
      </c>
      <c r="E6407" s="0" t="s">
        <v>75</v>
      </c>
      <c r="F6407" s="0" t="s">
        <v>15</v>
      </c>
      <c r="G6407" s="0" t="s">
        <v>36</v>
      </c>
      <c r="H6407" s="0" t="n">
        <v>60</v>
      </c>
      <c r="I6407" s="0" t="s">
        <v>21350</v>
      </c>
      <c r="J6407" s="0" t="s">
        <v>21351</v>
      </c>
      <c r="K6407" s="0" t="s">
        <v>21352</v>
      </c>
      <c r="L6407" s="0" t="str">
        <f aca="false">HYPERLINK("https://www.ncbi.nlm.nih.gov/nuccore/CP000058.1?report=graph&amp;tracks=[key:gene_model_track,Options:GeneOnly]&amp;mk=2017745:2017764|offset_1|444444,2017772:2017791|offset_28|444444,2017804:2017823|offset_60|00cc00,2017833:2017852|offset_89|444444&amp;v=2017544:2018052&amp;c=444444", "offset 60")</f>
        <v>offset 60</v>
      </c>
    </row>
    <row r="6408" customFormat="false" ht="12.8" hidden="false" customHeight="false" outlineLevel="0" collapsed="false">
      <c r="A6408" s="0" t="s">
        <v>12</v>
      </c>
      <c r="B6408" s="0" t="n">
        <v>2017832</v>
      </c>
      <c r="C6408" s="0" t="n">
        <v>2017852</v>
      </c>
      <c r="D6408" s="0" t="s">
        <v>21343</v>
      </c>
      <c r="E6408" s="0" t="s">
        <v>75</v>
      </c>
      <c r="F6408" s="0" t="s">
        <v>15</v>
      </c>
      <c r="G6408" s="0" t="s">
        <v>32</v>
      </c>
      <c r="H6408" s="0" t="n">
        <v>89</v>
      </c>
      <c r="I6408" s="0" t="s">
        <v>21353</v>
      </c>
      <c r="J6408" s="0" t="s">
        <v>21354</v>
      </c>
      <c r="K6408" s="0" t="s">
        <v>21355</v>
      </c>
      <c r="L6408" s="0" t="str">
        <f aca="false">HYPERLINK("https://www.ncbi.nlm.nih.gov/nuccore/CP000058.1?report=graph&amp;tracks=[key:gene_model_track,Options:GeneOnly]&amp;mk=2017745:2017764|offset_1|444444,2017772:2017791|offset_28|444444,2017804:2017823|offset_60|444444,2017833:2017852|offset_89|00cc00&amp;v=2017544:2018052&amp;c=444444", "offset 89")</f>
        <v>offset 89</v>
      </c>
    </row>
    <row r="6409" customFormat="false" ht="12.8" hidden="false" customHeight="false" outlineLevel="0" collapsed="false">
      <c r="A6409" s="0" t="s">
        <v>12</v>
      </c>
      <c r="B6409" s="0" t="n">
        <v>2018238</v>
      </c>
      <c r="C6409" s="0" t="n">
        <v>2018258</v>
      </c>
      <c r="D6409" s="0" t="s">
        <v>21356</v>
      </c>
      <c r="E6409" s="0" t="s">
        <v>75</v>
      </c>
      <c r="F6409" s="0" t="s">
        <v>15</v>
      </c>
      <c r="G6409" s="0" t="s">
        <v>20</v>
      </c>
      <c r="H6409" s="0" t="n">
        <v>25</v>
      </c>
      <c r="I6409" s="0" t="s">
        <v>21357</v>
      </c>
      <c r="J6409" s="0" t="s">
        <v>21358</v>
      </c>
      <c r="K6409" s="0" t="s">
        <v>21359</v>
      </c>
      <c r="L6409" s="0" t="str">
        <f aca="false">HYPERLINK("https://www.ncbi.nlm.nih.gov/nuccore/CP000058.1?report=graph&amp;tracks=[key:gene_model_track,Options:GeneOnly]&amp;mk=2018239:2018258|offset_25|00cc00,2018261:2018280|offset_47|444444,2018281:2018300|offset_67|444444,2018337:2018356|offset_123|444444&amp;v=2018038:2018556&amp;c=444444", "offset 25")</f>
        <v>offset 25</v>
      </c>
    </row>
    <row r="6410" customFormat="false" ht="12.8" hidden="false" customHeight="false" outlineLevel="0" collapsed="false">
      <c r="A6410" s="0" t="s">
        <v>12</v>
      </c>
      <c r="B6410" s="0" t="n">
        <v>2018260</v>
      </c>
      <c r="C6410" s="0" t="n">
        <v>2018280</v>
      </c>
      <c r="D6410" s="0" t="s">
        <v>21356</v>
      </c>
      <c r="E6410" s="0" t="s">
        <v>75</v>
      </c>
      <c r="F6410" s="0" t="s">
        <v>15</v>
      </c>
      <c r="G6410" s="0" t="s">
        <v>16</v>
      </c>
      <c r="H6410" s="0" t="n">
        <v>47</v>
      </c>
      <c r="I6410" s="0" t="s">
        <v>21360</v>
      </c>
      <c r="J6410" s="0" t="s">
        <v>21361</v>
      </c>
      <c r="K6410" s="0" t="s">
        <v>21362</v>
      </c>
      <c r="L6410" s="0" t="str">
        <f aca="false">HYPERLINK("https://www.ncbi.nlm.nih.gov/nuccore/CP000058.1?report=graph&amp;tracks=[key:gene_model_track,Options:GeneOnly]&amp;mk=2018239:2018258|offset_25|444444,2018261:2018280|offset_47|00cc00,2018281:2018300|offset_67|444444,2018337:2018356|offset_123|444444&amp;v=2018038:2018556&amp;c=444444", "offset 47")</f>
        <v>offset 47</v>
      </c>
    </row>
    <row r="6411" customFormat="false" ht="12.8" hidden="false" customHeight="false" outlineLevel="0" collapsed="false">
      <c r="A6411" s="0" t="s">
        <v>12</v>
      </c>
      <c r="B6411" s="0" t="n">
        <v>2018280</v>
      </c>
      <c r="C6411" s="0" t="n">
        <v>2018300</v>
      </c>
      <c r="D6411" s="0" t="s">
        <v>21356</v>
      </c>
      <c r="E6411" s="0" t="s">
        <v>75</v>
      </c>
      <c r="F6411" s="0" t="s">
        <v>15</v>
      </c>
      <c r="G6411" s="0" t="s">
        <v>36</v>
      </c>
      <c r="H6411" s="0" t="n">
        <v>67</v>
      </c>
      <c r="I6411" s="0" t="s">
        <v>21363</v>
      </c>
      <c r="J6411" s="0" t="s">
        <v>21364</v>
      </c>
      <c r="K6411" s="0" t="s">
        <v>21365</v>
      </c>
      <c r="L6411" s="0" t="str">
        <f aca="false">HYPERLINK("https://www.ncbi.nlm.nih.gov/nuccore/CP000058.1?report=graph&amp;tracks=[key:gene_model_track,Options:GeneOnly]&amp;mk=2018239:2018258|offset_25|444444,2018261:2018280|offset_47|444444,2018281:2018300|offset_67|00cc00,2018337:2018356|offset_123|444444&amp;v=2018038:2018556&amp;c=444444", "offset 67")</f>
        <v>offset 67</v>
      </c>
    </row>
    <row r="6412" customFormat="false" ht="12.8" hidden="false" customHeight="false" outlineLevel="0" collapsed="false">
      <c r="A6412" s="0" t="s">
        <v>12</v>
      </c>
      <c r="B6412" s="0" t="n">
        <v>2018336</v>
      </c>
      <c r="C6412" s="0" t="n">
        <v>2018356</v>
      </c>
      <c r="D6412" s="0" t="s">
        <v>21356</v>
      </c>
      <c r="E6412" s="0" t="s">
        <v>75</v>
      </c>
      <c r="F6412" s="0" t="s">
        <v>15</v>
      </c>
      <c r="G6412" s="0" t="s">
        <v>32</v>
      </c>
      <c r="H6412" s="0" t="n">
        <v>123</v>
      </c>
      <c r="I6412" s="0" t="s">
        <v>21366</v>
      </c>
      <c r="J6412" s="0" t="s">
        <v>21367</v>
      </c>
      <c r="K6412" s="0" t="s">
        <v>21368</v>
      </c>
      <c r="L6412" s="0" t="str">
        <f aca="false">HYPERLINK("https://www.ncbi.nlm.nih.gov/nuccore/CP000058.1?report=graph&amp;tracks=[key:gene_model_track,Options:GeneOnly]&amp;mk=2018239:2018258|offset_25|444444,2018261:2018280|offset_47|444444,2018281:2018300|offset_67|444444,2018337:2018356|offset_123|00cc00&amp;v=2018038:2018556&amp;c=444444", "offset 123")</f>
        <v>offset 123</v>
      </c>
    </row>
    <row r="6413" customFormat="false" ht="12.8" hidden="false" customHeight="false" outlineLevel="0" collapsed="false">
      <c r="A6413" s="0" t="s">
        <v>12</v>
      </c>
      <c r="B6413" s="0" t="n">
        <v>2019052</v>
      </c>
      <c r="C6413" s="0" t="n">
        <v>2019072</v>
      </c>
      <c r="D6413" s="0" t="s">
        <v>21369</v>
      </c>
      <c r="E6413" s="0" t="s">
        <v>75</v>
      </c>
      <c r="F6413" s="0" t="s">
        <v>15</v>
      </c>
      <c r="G6413" s="0" t="s">
        <v>32</v>
      </c>
      <c r="H6413" s="0" t="n">
        <v>0</v>
      </c>
      <c r="I6413" s="0" t="s">
        <v>21370</v>
      </c>
      <c r="J6413" s="0" t="s">
        <v>21371</v>
      </c>
      <c r="K6413" s="0" t="s">
        <v>21372</v>
      </c>
      <c r="L6413" s="0" t="str">
        <f aca="false">HYPERLINK("https://www.ncbi.nlm.nih.gov/nuccore/CP000058.1?report=graph&amp;tracks=[key:gene_model_track,Options:GeneOnly]&amp;mk=2019053:2019072|offset_0|00cc00,2019076:2019095|offset_23|444444,2019102:2019121|offset_49|444444,2019127:2019146|offset_74|444444&amp;v=2018852:2019346&amp;c=444444", "offset 0")</f>
        <v>offset 0</v>
      </c>
    </row>
    <row r="6414" customFormat="false" ht="12.8" hidden="false" customHeight="false" outlineLevel="0" collapsed="false">
      <c r="A6414" s="0" t="s">
        <v>12</v>
      </c>
      <c r="B6414" s="0" t="n">
        <v>2019075</v>
      </c>
      <c r="C6414" s="0" t="n">
        <v>2019095</v>
      </c>
      <c r="D6414" s="0" t="s">
        <v>21369</v>
      </c>
      <c r="E6414" s="0" t="s">
        <v>75</v>
      </c>
      <c r="F6414" s="0" t="s">
        <v>15</v>
      </c>
      <c r="G6414" s="0" t="s">
        <v>32</v>
      </c>
      <c r="H6414" s="0" t="n">
        <v>23</v>
      </c>
      <c r="I6414" s="0" t="s">
        <v>21373</v>
      </c>
      <c r="J6414" s="0" t="s">
        <v>21374</v>
      </c>
      <c r="K6414" s="0" t="s">
        <v>21375</v>
      </c>
      <c r="L6414" s="0" t="str">
        <f aca="false">HYPERLINK("https://www.ncbi.nlm.nih.gov/nuccore/CP000058.1?report=graph&amp;tracks=[key:gene_model_track,Options:GeneOnly]&amp;mk=2019053:2019072|offset_0|444444,2019076:2019095|offset_23|00cc00,2019102:2019121|offset_49|444444,2019127:2019146|offset_74|444444&amp;v=2018852:2019346&amp;c=444444", "offset 23")</f>
        <v>offset 23</v>
      </c>
    </row>
    <row r="6415" customFormat="false" ht="12.8" hidden="false" customHeight="false" outlineLevel="0" collapsed="false">
      <c r="A6415" s="0" t="s">
        <v>12</v>
      </c>
      <c r="B6415" s="0" t="n">
        <v>2019101</v>
      </c>
      <c r="C6415" s="0" t="n">
        <v>2019121</v>
      </c>
      <c r="D6415" s="0" t="s">
        <v>21369</v>
      </c>
      <c r="E6415" s="0" t="s">
        <v>75</v>
      </c>
      <c r="F6415" s="0" t="s">
        <v>15</v>
      </c>
      <c r="G6415" s="0" t="s">
        <v>20</v>
      </c>
      <c r="H6415" s="0" t="n">
        <v>49</v>
      </c>
      <c r="I6415" s="0" t="s">
        <v>21376</v>
      </c>
      <c r="J6415" s="0" t="s">
        <v>21377</v>
      </c>
      <c r="K6415" s="0" t="s">
        <v>21378</v>
      </c>
      <c r="L6415" s="0" t="str">
        <f aca="false">HYPERLINK("https://www.ncbi.nlm.nih.gov/nuccore/CP000058.1?report=graph&amp;tracks=[key:gene_model_track,Options:GeneOnly]&amp;mk=2019053:2019072|offset_0|444444,2019076:2019095|offset_23|444444,2019102:2019121|offset_49|00cc00,2019127:2019146|offset_74|444444&amp;v=2018852:2019346&amp;c=444444", "offset 49")</f>
        <v>offset 49</v>
      </c>
    </row>
    <row r="6416" customFormat="false" ht="12.8" hidden="false" customHeight="false" outlineLevel="0" collapsed="false">
      <c r="A6416" s="0" t="s">
        <v>12</v>
      </c>
      <c r="B6416" s="0" t="n">
        <v>2019126</v>
      </c>
      <c r="C6416" s="0" t="n">
        <v>2019146</v>
      </c>
      <c r="D6416" s="0" t="s">
        <v>21369</v>
      </c>
      <c r="E6416" s="0" t="s">
        <v>75</v>
      </c>
      <c r="F6416" s="0" t="s">
        <v>15</v>
      </c>
      <c r="G6416" s="0" t="s">
        <v>20</v>
      </c>
      <c r="H6416" s="0" t="n">
        <v>74</v>
      </c>
      <c r="I6416" s="0" t="s">
        <v>21379</v>
      </c>
      <c r="J6416" s="0" t="s">
        <v>21380</v>
      </c>
      <c r="K6416" s="0" t="s">
        <v>21381</v>
      </c>
      <c r="L6416" s="0" t="str">
        <f aca="false">HYPERLINK("https://www.ncbi.nlm.nih.gov/nuccore/CP000058.1?report=graph&amp;tracks=[key:gene_model_track,Options:GeneOnly]&amp;mk=2019053:2019072|offset_0|444444,2019076:2019095|offset_23|444444,2019102:2019121|offset_49|444444,2019127:2019146|offset_74|00cc00&amp;v=2018852:2019346&amp;c=444444", "offset 74")</f>
        <v>offset 74</v>
      </c>
    </row>
    <row r="6417" customFormat="false" ht="12.8" hidden="false" customHeight="false" outlineLevel="0" collapsed="false">
      <c r="A6417" s="0" t="s">
        <v>12</v>
      </c>
      <c r="B6417" s="0" t="n">
        <v>2020608</v>
      </c>
      <c r="C6417" s="0" t="n">
        <v>2020628</v>
      </c>
      <c r="D6417" s="0" t="s">
        <v>21382</v>
      </c>
      <c r="E6417" s="0" t="s">
        <v>75</v>
      </c>
      <c r="F6417" s="0" t="s">
        <v>15</v>
      </c>
      <c r="G6417" s="0" t="s">
        <v>16</v>
      </c>
      <c r="H6417" s="0" t="n">
        <v>21</v>
      </c>
      <c r="I6417" s="0" t="s">
        <v>21383</v>
      </c>
      <c r="J6417" s="0" t="s">
        <v>21384</v>
      </c>
      <c r="K6417" s="0" t="s">
        <v>21385</v>
      </c>
      <c r="L6417" s="0" t="str">
        <f aca="false">HYPERLINK("https://www.ncbi.nlm.nih.gov/nuccore/CP000058.1?report=graph&amp;tracks=[key:gene_model_track,Options:GeneOnly]&amp;mk=2020609:2020628|offset_21|00cc00,2020639:2020658|offset_51|444444,2020704:2020723|offset_116|444444&amp;v=2020408:2020923&amp;c=444444", "offset 21")</f>
        <v>offset 21</v>
      </c>
    </row>
    <row r="6418" customFormat="false" ht="12.8" hidden="false" customHeight="false" outlineLevel="0" collapsed="false">
      <c r="A6418" s="0" t="s">
        <v>12</v>
      </c>
      <c r="B6418" s="0" t="n">
        <v>2020638</v>
      </c>
      <c r="C6418" s="0" t="n">
        <v>2020658</v>
      </c>
      <c r="D6418" s="0" t="s">
        <v>21382</v>
      </c>
      <c r="E6418" s="0" t="s">
        <v>75</v>
      </c>
      <c r="F6418" s="0" t="s">
        <v>15</v>
      </c>
      <c r="G6418" s="0" t="s">
        <v>16</v>
      </c>
      <c r="H6418" s="0" t="n">
        <v>51</v>
      </c>
      <c r="I6418" s="0" t="s">
        <v>21386</v>
      </c>
      <c r="J6418" s="0" t="s">
        <v>21387</v>
      </c>
      <c r="K6418" s="0" t="s">
        <v>21388</v>
      </c>
      <c r="L6418" s="0" t="str">
        <f aca="false">HYPERLINK("https://www.ncbi.nlm.nih.gov/nuccore/CP000058.1?report=graph&amp;tracks=[key:gene_model_track,Options:GeneOnly]&amp;mk=2020609:2020628|offset_21|444444,2020639:2020658|offset_51|00cc00,2020704:2020723|offset_116|444444&amp;v=2020408:2020923&amp;c=444444", "offset 51")</f>
        <v>offset 51</v>
      </c>
    </row>
    <row r="6419" customFormat="false" ht="12.8" hidden="false" customHeight="false" outlineLevel="0" collapsed="false">
      <c r="A6419" s="0" t="s">
        <v>12</v>
      </c>
      <c r="B6419" s="0" t="n">
        <v>2020703</v>
      </c>
      <c r="C6419" s="0" t="n">
        <v>2020723</v>
      </c>
      <c r="D6419" s="0" t="s">
        <v>21382</v>
      </c>
      <c r="E6419" s="0" t="s">
        <v>75</v>
      </c>
      <c r="F6419" s="0" t="s">
        <v>15</v>
      </c>
      <c r="G6419" s="0" t="s">
        <v>16</v>
      </c>
      <c r="H6419" s="0" t="n">
        <v>116</v>
      </c>
      <c r="I6419" s="0" t="s">
        <v>21389</v>
      </c>
      <c r="J6419" s="0" t="s">
        <v>21390</v>
      </c>
      <c r="K6419" s="0" t="s">
        <v>21391</v>
      </c>
      <c r="L6419" s="0" t="str">
        <f aca="false">HYPERLINK("https://www.ncbi.nlm.nih.gov/nuccore/CP000058.1?report=graph&amp;tracks=[key:gene_model_track,Options:GeneOnly]&amp;mk=2020609:2020628|offset_21|444444,2020639:2020658|offset_51|444444,2020704:2020723|offset_116|00cc00&amp;v=2020408:2020923&amp;c=444444", "offset 116")</f>
        <v>offset 116</v>
      </c>
    </row>
    <row r="6420" customFormat="false" ht="12.8" hidden="false" customHeight="false" outlineLevel="0" collapsed="false">
      <c r="A6420" s="0" t="s">
        <v>12</v>
      </c>
      <c r="B6420" s="0" t="n">
        <v>2020884</v>
      </c>
      <c r="C6420" s="0" t="n">
        <v>2020904</v>
      </c>
      <c r="D6420" s="0" t="s">
        <v>21392</v>
      </c>
      <c r="E6420" s="0" t="s">
        <v>75</v>
      </c>
      <c r="F6420" s="0" t="s">
        <v>15</v>
      </c>
      <c r="G6420" s="0" t="s">
        <v>16</v>
      </c>
      <c r="H6420" s="0" t="n">
        <v>7</v>
      </c>
      <c r="I6420" s="0" t="s">
        <v>21393</v>
      </c>
      <c r="J6420" s="0" t="s">
        <v>21394</v>
      </c>
      <c r="K6420" s="0" t="s">
        <v>21395</v>
      </c>
      <c r="L6420" s="0" t="str">
        <f aca="false">HYPERLINK("https://www.ncbi.nlm.nih.gov/nuccore/CP000058.1?report=graph&amp;tracks=[key:gene_model_track,Options:GeneOnly]&amp;mk=2020885:2020904|offset_7|00cc00,2020907:2020926|offset_29|444444,2020936:2020955|offset_58|444444,2020956:2020975|offset_78|444444&amp;v=2020684:2021175&amp;c=444444", "offset 7")</f>
        <v>offset 7</v>
      </c>
    </row>
    <row r="6421" customFormat="false" ht="12.8" hidden="false" customHeight="false" outlineLevel="0" collapsed="false">
      <c r="A6421" s="0" t="s">
        <v>12</v>
      </c>
      <c r="B6421" s="0" t="n">
        <v>2020906</v>
      </c>
      <c r="C6421" s="0" t="n">
        <v>2020926</v>
      </c>
      <c r="D6421" s="0" t="s">
        <v>21392</v>
      </c>
      <c r="E6421" s="0" t="s">
        <v>75</v>
      </c>
      <c r="F6421" s="0" t="s">
        <v>15</v>
      </c>
      <c r="G6421" s="0" t="s">
        <v>16</v>
      </c>
      <c r="H6421" s="0" t="n">
        <v>29</v>
      </c>
      <c r="I6421" s="0" t="s">
        <v>21396</v>
      </c>
      <c r="J6421" s="0" t="s">
        <v>21397</v>
      </c>
      <c r="K6421" s="0" t="s">
        <v>21398</v>
      </c>
      <c r="L6421" s="0" t="str">
        <f aca="false">HYPERLINK("https://www.ncbi.nlm.nih.gov/nuccore/CP000058.1?report=graph&amp;tracks=[key:gene_model_track,Options:GeneOnly]&amp;mk=2020885:2020904|offset_7|444444,2020907:2020926|offset_29|00cc00,2020936:2020955|offset_58|444444,2020956:2020975|offset_78|444444&amp;v=2020684:2021175&amp;c=444444", "offset 29")</f>
        <v>offset 29</v>
      </c>
    </row>
    <row r="6422" customFormat="false" ht="12.8" hidden="false" customHeight="false" outlineLevel="0" collapsed="false">
      <c r="A6422" s="0" t="s">
        <v>12</v>
      </c>
      <c r="B6422" s="0" t="n">
        <v>2020935</v>
      </c>
      <c r="C6422" s="0" t="n">
        <v>2020955</v>
      </c>
      <c r="D6422" s="0" t="s">
        <v>21392</v>
      </c>
      <c r="E6422" s="0" t="s">
        <v>75</v>
      </c>
      <c r="F6422" s="0" t="s">
        <v>15</v>
      </c>
      <c r="G6422" s="0" t="s">
        <v>20</v>
      </c>
      <c r="H6422" s="0" t="n">
        <v>58</v>
      </c>
      <c r="I6422" s="0" t="s">
        <v>21399</v>
      </c>
      <c r="J6422" s="0" t="s">
        <v>21400</v>
      </c>
      <c r="K6422" s="0" t="s">
        <v>21401</v>
      </c>
      <c r="L6422" s="0" t="str">
        <f aca="false">HYPERLINK("https://www.ncbi.nlm.nih.gov/nuccore/CP000058.1?report=graph&amp;tracks=[key:gene_model_track,Options:GeneOnly]&amp;mk=2020885:2020904|offset_7|444444,2020907:2020926|offset_29|444444,2020936:2020955|offset_58|00cc00,2020956:2020975|offset_78|444444&amp;v=2020684:2021175&amp;c=444444", "offset 58")</f>
        <v>offset 58</v>
      </c>
    </row>
    <row r="6423" customFormat="false" ht="12.8" hidden="false" customHeight="false" outlineLevel="0" collapsed="false">
      <c r="A6423" s="0" t="s">
        <v>12</v>
      </c>
      <c r="B6423" s="0" t="n">
        <v>2020955</v>
      </c>
      <c r="C6423" s="0" t="n">
        <v>2020975</v>
      </c>
      <c r="D6423" s="0" t="s">
        <v>21392</v>
      </c>
      <c r="E6423" s="0" t="s">
        <v>75</v>
      </c>
      <c r="F6423" s="0" t="s">
        <v>15</v>
      </c>
      <c r="G6423" s="0" t="s">
        <v>20</v>
      </c>
      <c r="H6423" s="0" t="n">
        <v>78</v>
      </c>
      <c r="I6423" s="0" t="s">
        <v>21402</v>
      </c>
      <c r="J6423" s="0" t="s">
        <v>21403</v>
      </c>
      <c r="K6423" s="0" t="s">
        <v>21404</v>
      </c>
      <c r="L6423" s="0" t="str">
        <f aca="false">HYPERLINK("https://www.ncbi.nlm.nih.gov/nuccore/CP000058.1?report=graph&amp;tracks=[key:gene_model_track,Options:GeneOnly]&amp;mk=2020885:2020904|offset_7|444444,2020907:2020926|offset_29|444444,2020936:2020955|offset_58|444444,2020956:2020975|offset_78|00cc00&amp;v=2020684:2021175&amp;c=444444", "offset 78")</f>
        <v>offset 78</v>
      </c>
    </row>
    <row r="6424" customFormat="false" ht="12.8" hidden="false" customHeight="false" outlineLevel="0" collapsed="false">
      <c r="A6424" s="0" t="s">
        <v>12</v>
      </c>
      <c r="B6424" s="0" t="n">
        <v>2021357</v>
      </c>
      <c r="C6424" s="0" t="n">
        <v>2021377</v>
      </c>
      <c r="D6424" s="0" t="s">
        <v>21405</v>
      </c>
      <c r="E6424" s="0" t="s">
        <v>75</v>
      </c>
      <c r="F6424" s="0" t="s">
        <v>15</v>
      </c>
      <c r="G6424" s="0" t="s">
        <v>20</v>
      </c>
      <c r="H6424" s="0" t="n">
        <v>55</v>
      </c>
      <c r="I6424" s="0" t="s">
        <v>21406</v>
      </c>
      <c r="J6424" s="0" t="s">
        <v>21407</v>
      </c>
      <c r="K6424" s="0" t="s">
        <v>21408</v>
      </c>
      <c r="L6424" s="0" t="str">
        <f aca="false">HYPERLINK("https://www.ncbi.nlm.nih.gov/nuccore/CP000058.1?report=graph&amp;tracks=[key:gene_model_track,Options:GeneOnly]&amp;mk=2021358:2021377|offset_55|00cc00,2021382:2021401|offset_79|444444,2021402:2021421|offset_99|444444,2021428:2021447|offset_125|444444&amp;v=2021157:2021647&amp;c=444444", "offset 55")</f>
        <v>offset 55</v>
      </c>
    </row>
    <row r="6425" customFormat="false" ht="12.8" hidden="false" customHeight="false" outlineLevel="0" collapsed="false">
      <c r="A6425" s="0" t="s">
        <v>12</v>
      </c>
      <c r="B6425" s="0" t="n">
        <v>2021381</v>
      </c>
      <c r="C6425" s="0" t="n">
        <v>2021401</v>
      </c>
      <c r="D6425" s="0" t="s">
        <v>21405</v>
      </c>
      <c r="E6425" s="0" t="s">
        <v>75</v>
      </c>
      <c r="F6425" s="0" t="s">
        <v>15</v>
      </c>
      <c r="G6425" s="0" t="s">
        <v>36</v>
      </c>
      <c r="H6425" s="0" t="n">
        <v>79</v>
      </c>
      <c r="I6425" s="0" t="s">
        <v>21409</v>
      </c>
      <c r="J6425" s="0" t="s">
        <v>21410</v>
      </c>
      <c r="K6425" s="0" t="s">
        <v>21411</v>
      </c>
      <c r="L6425" s="0" t="str">
        <f aca="false">HYPERLINK("https://www.ncbi.nlm.nih.gov/nuccore/CP000058.1?report=graph&amp;tracks=[key:gene_model_track,Options:GeneOnly]&amp;mk=2021358:2021377|offset_55|444444,2021382:2021401|offset_79|00cc00,2021402:2021421|offset_99|444444,2021428:2021447|offset_125|444444&amp;v=2021157:2021647&amp;c=444444", "offset 79")</f>
        <v>offset 79</v>
      </c>
    </row>
    <row r="6426" customFormat="false" ht="12.8" hidden="false" customHeight="false" outlineLevel="0" collapsed="false">
      <c r="A6426" s="0" t="s">
        <v>12</v>
      </c>
      <c r="B6426" s="0" t="n">
        <v>2021401</v>
      </c>
      <c r="C6426" s="0" t="n">
        <v>2021421</v>
      </c>
      <c r="D6426" s="0" t="s">
        <v>21405</v>
      </c>
      <c r="E6426" s="0" t="s">
        <v>75</v>
      </c>
      <c r="F6426" s="0" t="s">
        <v>15</v>
      </c>
      <c r="G6426" s="0" t="s">
        <v>16</v>
      </c>
      <c r="H6426" s="0" t="n">
        <v>99</v>
      </c>
      <c r="I6426" s="0" t="s">
        <v>21412</v>
      </c>
      <c r="J6426" s="0" t="s">
        <v>21413</v>
      </c>
      <c r="K6426" s="0" t="s">
        <v>21414</v>
      </c>
      <c r="L6426" s="0" t="str">
        <f aca="false">HYPERLINK("https://www.ncbi.nlm.nih.gov/nuccore/CP000058.1?report=graph&amp;tracks=[key:gene_model_track,Options:GeneOnly]&amp;mk=2021358:2021377|offset_55|444444,2021382:2021401|offset_79|444444,2021402:2021421|offset_99|00cc00,2021428:2021447|offset_125|444444&amp;v=2021157:2021647&amp;c=444444", "offset 99")</f>
        <v>offset 99</v>
      </c>
    </row>
    <row r="6427" customFormat="false" ht="12.8" hidden="false" customHeight="false" outlineLevel="0" collapsed="false">
      <c r="A6427" s="0" t="s">
        <v>12</v>
      </c>
      <c r="B6427" s="0" t="n">
        <v>2021427</v>
      </c>
      <c r="C6427" s="0" t="n">
        <v>2021447</v>
      </c>
      <c r="D6427" s="0" t="s">
        <v>21405</v>
      </c>
      <c r="E6427" s="0" t="s">
        <v>75</v>
      </c>
      <c r="F6427" s="0" t="s">
        <v>15</v>
      </c>
      <c r="G6427" s="0" t="s">
        <v>20</v>
      </c>
      <c r="H6427" s="0" t="n">
        <v>125</v>
      </c>
      <c r="I6427" s="0" t="s">
        <v>21415</v>
      </c>
      <c r="J6427" s="0" t="s">
        <v>21416</v>
      </c>
      <c r="K6427" s="0" t="s">
        <v>21417</v>
      </c>
      <c r="L6427" s="0" t="str">
        <f aca="false">HYPERLINK("https://www.ncbi.nlm.nih.gov/nuccore/CP000058.1?report=graph&amp;tracks=[key:gene_model_track,Options:GeneOnly]&amp;mk=2021358:2021377|offset_55|444444,2021382:2021401|offset_79|444444,2021402:2021421|offset_99|444444,2021428:2021447|offset_125|00cc00&amp;v=2021157:2021647&amp;c=444444", "offset 125")</f>
        <v>offset 125</v>
      </c>
    </row>
    <row r="6428" customFormat="false" ht="12.8" hidden="false" customHeight="false" outlineLevel="0" collapsed="false">
      <c r="A6428" s="0" t="s">
        <v>12</v>
      </c>
      <c r="B6428" s="0" t="n">
        <v>2022874</v>
      </c>
      <c r="C6428" s="0" t="n">
        <v>2022894</v>
      </c>
      <c r="D6428" s="0" t="s">
        <v>21418</v>
      </c>
      <c r="E6428" s="0" t="s">
        <v>75</v>
      </c>
      <c r="F6428" s="0" t="s">
        <v>15</v>
      </c>
      <c r="G6428" s="0" t="s">
        <v>20</v>
      </c>
      <c r="H6428" s="0" t="n">
        <v>29</v>
      </c>
      <c r="I6428" s="0" t="s">
        <v>21419</v>
      </c>
      <c r="J6428" s="0" t="s">
        <v>21420</v>
      </c>
      <c r="K6428" s="0" t="s">
        <v>21421</v>
      </c>
      <c r="L6428" s="0" t="str">
        <f aca="false">HYPERLINK("https://www.ncbi.nlm.nih.gov/nuccore/CP000058.1?report=graph&amp;tracks=[key:gene_model_track,Options:GeneOnly]&amp;mk=2022875:2022894|offset_29|00cc00,2022919:2022938|offset_73|444444,2022956:2022975|offset_110|444444,2022989:2023008|offset_143|444444&amp;v=2022674:2023208&amp;c=444444", "offset 29")</f>
        <v>offset 29</v>
      </c>
    </row>
    <row r="6429" customFormat="false" ht="12.8" hidden="false" customHeight="false" outlineLevel="0" collapsed="false">
      <c r="A6429" s="0" t="s">
        <v>12</v>
      </c>
      <c r="B6429" s="0" t="n">
        <v>2022918</v>
      </c>
      <c r="C6429" s="0" t="n">
        <v>2022938</v>
      </c>
      <c r="D6429" s="0" t="s">
        <v>21418</v>
      </c>
      <c r="E6429" s="0" t="s">
        <v>75</v>
      </c>
      <c r="F6429" s="0" t="s">
        <v>15</v>
      </c>
      <c r="G6429" s="0" t="s">
        <v>36</v>
      </c>
      <c r="H6429" s="0" t="n">
        <v>73</v>
      </c>
      <c r="I6429" s="0" t="s">
        <v>21422</v>
      </c>
      <c r="J6429" s="0" t="s">
        <v>21423</v>
      </c>
      <c r="K6429" s="0" t="s">
        <v>21424</v>
      </c>
      <c r="L6429" s="0" t="str">
        <f aca="false">HYPERLINK("https://www.ncbi.nlm.nih.gov/nuccore/CP000058.1?report=graph&amp;tracks=[key:gene_model_track,Options:GeneOnly]&amp;mk=2022875:2022894|offset_29|444444,2022919:2022938|offset_73|00cc00,2022956:2022975|offset_110|444444,2022989:2023008|offset_143|444444&amp;v=2022674:2023208&amp;c=444444", "offset 73")</f>
        <v>offset 73</v>
      </c>
    </row>
    <row r="6430" customFormat="false" ht="12.8" hidden="false" customHeight="false" outlineLevel="0" collapsed="false">
      <c r="A6430" s="0" t="s">
        <v>12</v>
      </c>
      <c r="B6430" s="0" t="n">
        <v>2022955</v>
      </c>
      <c r="C6430" s="0" t="n">
        <v>2022975</v>
      </c>
      <c r="D6430" s="0" t="s">
        <v>21418</v>
      </c>
      <c r="E6430" s="0" t="s">
        <v>75</v>
      </c>
      <c r="F6430" s="0" t="s">
        <v>15</v>
      </c>
      <c r="G6430" s="0" t="s">
        <v>36</v>
      </c>
      <c r="H6430" s="0" t="n">
        <v>110</v>
      </c>
      <c r="I6430" s="0" t="s">
        <v>21425</v>
      </c>
      <c r="J6430" s="0" t="s">
        <v>21426</v>
      </c>
      <c r="K6430" s="0" t="s">
        <v>21427</v>
      </c>
      <c r="L6430" s="0" t="str">
        <f aca="false">HYPERLINK("https://www.ncbi.nlm.nih.gov/nuccore/CP000058.1?report=graph&amp;tracks=[key:gene_model_track,Options:GeneOnly]&amp;mk=2022875:2022894|offset_29|444444,2022919:2022938|offset_73|444444,2022956:2022975|offset_110|00cc00,2022989:2023008|offset_143|444444&amp;v=2022674:2023208&amp;c=444444", "offset 110")</f>
        <v>offset 110</v>
      </c>
    </row>
    <row r="6431" customFormat="false" ht="12.8" hidden="false" customHeight="false" outlineLevel="0" collapsed="false">
      <c r="A6431" s="0" t="s">
        <v>12</v>
      </c>
      <c r="B6431" s="0" t="n">
        <v>2022988</v>
      </c>
      <c r="C6431" s="0" t="n">
        <v>2023008</v>
      </c>
      <c r="D6431" s="0" t="s">
        <v>21418</v>
      </c>
      <c r="E6431" s="0" t="s">
        <v>75</v>
      </c>
      <c r="F6431" s="0" t="s">
        <v>15</v>
      </c>
      <c r="G6431" s="0" t="s">
        <v>20</v>
      </c>
      <c r="H6431" s="0" t="n">
        <v>143</v>
      </c>
      <c r="I6431" s="0" t="s">
        <v>21428</v>
      </c>
      <c r="J6431" s="0" t="s">
        <v>21429</v>
      </c>
      <c r="K6431" s="0" t="s">
        <v>21430</v>
      </c>
      <c r="L6431" s="0" t="str">
        <f aca="false">HYPERLINK("https://www.ncbi.nlm.nih.gov/nuccore/CP000058.1?report=graph&amp;tracks=[key:gene_model_track,Options:GeneOnly]&amp;mk=2022875:2022894|offset_29|444444,2022919:2022938|offset_73|444444,2022956:2022975|offset_110|444444,2022989:2023008|offset_143|00cc00&amp;v=2022674:2023208&amp;c=444444", "offset 143")</f>
        <v>offset 143</v>
      </c>
    </row>
    <row r="6432" customFormat="false" ht="12.8" hidden="false" customHeight="false" outlineLevel="0" collapsed="false">
      <c r="A6432" s="0" t="s">
        <v>12</v>
      </c>
      <c r="B6432" s="0" t="n">
        <v>2025725</v>
      </c>
      <c r="C6432" s="0" t="n">
        <v>2025745</v>
      </c>
      <c r="D6432" s="0" t="s">
        <v>21431</v>
      </c>
      <c r="E6432" s="0" t="s">
        <v>75</v>
      </c>
      <c r="F6432" s="0" t="s">
        <v>90</v>
      </c>
      <c r="G6432" s="0" t="s">
        <v>32</v>
      </c>
      <c r="H6432" s="0" t="n">
        <v>1</v>
      </c>
      <c r="I6432" s="0" t="s">
        <v>21432</v>
      </c>
      <c r="J6432" s="0" t="s">
        <v>21433</v>
      </c>
      <c r="K6432" s="0" t="s">
        <v>21434</v>
      </c>
      <c r="L6432" s="0" t="str">
        <f aca="false">HYPERLINK("https://www.ncbi.nlm.nih.gov/nuccore/CP000058.1?report=graph&amp;tracks=[key:gene_model_track,Options:GeneOnly]&amp;mk=2025726:2025745|offset_1|00cc00,2025699:2025718|offset_28|444444,2025678:2025697|offset_49|444444,2025648:2025667|offset_79|444444&amp;v=2025525:2025867&amp;c=444444", "offset 1")</f>
        <v>offset 1</v>
      </c>
    </row>
    <row r="6433" customFormat="false" ht="12.8" hidden="false" customHeight="false" outlineLevel="0" collapsed="false">
      <c r="A6433" s="0" t="s">
        <v>12</v>
      </c>
      <c r="B6433" s="0" t="n">
        <v>2025698</v>
      </c>
      <c r="C6433" s="0" t="n">
        <v>2025718</v>
      </c>
      <c r="D6433" s="0" t="s">
        <v>21431</v>
      </c>
      <c r="E6433" s="0" t="s">
        <v>75</v>
      </c>
      <c r="F6433" s="0" t="s">
        <v>90</v>
      </c>
      <c r="G6433" s="0" t="s">
        <v>36</v>
      </c>
      <c r="H6433" s="0" t="n">
        <v>28</v>
      </c>
      <c r="I6433" s="0" t="s">
        <v>21435</v>
      </c>
      <c r="J6433" s="0" t="s">
        <v>21436</v>
      </c>
      <c r="K6433" s="0" t="s">
        <v>21437</v>
      </c>
      <c r="L6433" s="0" t="str">
        <f aca="false">HYPERLINK("https://www.ncbi.nlm.nih.gov/nuccore/CP000058.1?report=graph&amp;tracks=[key:gene_model_track,Options:GeneOnly]&amp;mk=2025726:2025745|offset_1|444444,2025699:2025718|offset_28|00cc00,2025678:2025697|offset_49|444444,2025648:2025667|offset_79|444444&amp;v=2025525:2025867&amp;c=444444", "offset 28")</f>
        <v>offset 28</v>
      </c>
    </row>
    <row r="6434" customFormat="false" ht="12.8" hidden="false" customHeight="false" outlineLevel="0" collapsed="false">
      <c r="A6434" s="0" t="s">
        <v>12</v>
      </c>
      <c r="B6434" s="0" t="n">
        <v>2025677</v>
      </c>
      <c r="C6434" s="0" t="n">
        <v>2025697</v>
      </c>
      <c r="D6434" s="0" t="s">
        <v>21431</v>
      </c>
      <c r="E6434" s="0" t="s">
        <v>75</v>
      </c>
      <c r="F6434" s="0" t="s">
        <v>90</v>
      </c>
      <c r="G6434" s="0" t="s">
        <v>16</v>
      </c>
      <c r="H6434" s="0" t="n">
        <v>49</v>
      </c>
      <c r="I6434" s="0" t="s">
        <v>21438</v>
      </c>
      <c r="J6434" s="0" t="s">
        <v>21439</v>
      </c>
      <c r="K6434" s="0" t="s">
        <v>21440</v>
      </c>
      <c r="L6434" s="0" t="str">
        <f aca="false">HYPERLINK("https://www.ncbi.nlm.nih.gov/nuccore/CP000058.1?report=graph&amp;tracks=[key:gene_model_track,Options:GeneOnly]&amp;mk=2025726:2025745|offset_1|444444,2025699:2025718|offset_28|444444,2025678:2025697|offset_49|00cc00,2025648:2025667|offset_79|444444&amp;v=2025525:2025867&amp;c=444444", "offset 49")</f>
        <v>offset 49</v>
      </c>
    </row>
    <row r="6435" customFormat="false" ht="12.8" hidden="false" customHeight="false" outlineLevel="0" collapsed="false">
      <c r="A6435" s="0" t="s">
        <v>12</v>
      </c>
      <c r="B6435" s="0" t="n">
        <v>2025647</v>
      </c>
      <c r="C6435" s="0" t="n">
        <v>2025667</v>
      </c>
      <c r="D6435" s="0" t="s">
        <v>21431</v>
      </c>
      <c r="E6435" s="0" t="s">
        <v>75</v>
      </c>
      <c r="F6435" s="0" t="s">
        <v>90</v>
      </c>
      <c r="G6435" s="0" t="s">
        <v>16</v>
      </c>
      <c r="H6435" s="0" t="n">
        <v>79</v>
      </c>
      <c r="I6435" s="0" t="s">
        <v>21441</v>
      </c>
      <c r="J6435" s="0" t="s">
        <v>21442</v>
      </c>
      <c r="K6435" s="0" t="s">
        <v>21443</v>
      </c>
      <c r="L6435" s="0" t="str">
        <f aca="false">HYPERLINK("https://www.ncbi.nlm.nih.gov/nuccore/CP000058.1?report=graph&amp;tracks=[key:gene_model_track,Options:GeneOnly]&amp;mk=2025726:2025745|offset_1|444444,2025699:2025718|offset_28|444444,2025678:2025697|offset_49|444444,2025648:2025667|offset_79|00cc00&amp;v=2025525:2025867&amp;c=444444", "offset 79")</f>
        <v>offset 79</v>
      </c>
    </row>
    <row r="6436" customFormat="false" ht="12.8" hidden="false" customHeight="false" outlineLevel="0" collapsed="false">
      <c r="A6436" s="0" t="s">
        <v>12</v>
      </c>
      <c r="B6436" s="0" t="n">
        <v>2026967</v>
      </c>
      <c r="C6436" s="0" t="n">
        <v>2026987</v>
      </c>
      <c r="D6436" s="0" t="s">
        <v>21444</v>
      </c>
      <c r="E6436" s="0" t="s">
        <v>75</v>
      </c>
      <c r="F6436" s="0" t="s">
        <v>90</v>
      </c>
      <c r="G6436" s="0" t="s">
        <v>32</v>
      </c>
      <c r="H6436" s="0" t="n">
        <v>43</v>
      </c>
      <c r="I6436" s="0" t="s">
        <v>21445</v>
      </c>
      <c r="J6436" s="0" t="s">
        <v>21446</v>
      </c>
      <c r="K6436" s="0" t="s">
        <v>21447</v>
      </c>
      <c r="L6436" s="0" t="str">
        <f aca="false">HYPERLINK("https://www.ncbi.nlm.nih.gov/nuccore/CP000058.1?report=graph&amp;tracks=[key:gene_model_track,Options:GeneOnly]&amp;mk=2026968:2026987|offset_43|00cc00,2026944:2026963|offset_67|444444,2026915:2026934|offset_96|444444,2026885:2026904|offset_126|444444&amp;v=2026767:2027104&amp;c=444444", "offset 43")</f>
        <v>offset 43</v>
      </c>
    </row>
    <row r="6437" customFormat="false" ht="12.8" hidden="false" customHeight="false" outlineLevel="0" collapsed="false">
      <c r="A6437" s="0" t="s">
        <v>12</v>
      </c>
      <c r="B6437" s="0" t="n">
        <v>2026943</v>
      </c>
      <c r="C6437" s="0" t="n">
        <v>2026963</v>
      </c>
      <c r="D6437" s="0" t="s">
        <v>21444</v>
      </c>
      <c r="E6437" s="0" t="s">
        <v>75</v>
      </c>
      <c r="F6437" s="0" t="s">
        <v>90</v>
      </c>
      <c r="G6437" s="0" t="s">
        <v>20</v>
      </c>
      <c r="H6437" s="0" t="n">
        <v>67</v>
      </c>
      <c r="I6437" s="0" t="s">
        <v>21448</v>
      </c>
      <c r="J6437" s="0" t="s">
        <v>21449</v>
      </c>
      <c r="K6437" s="0" t="s">
        <v>21450</v>
      </c>
      <c r="L6437" s="0" t="str">
        <f aca="false">HYPERLINK("https://www.ncbi.nlm.nih.gov/nuccore/CP000058.1?report=graph&amp;tracks=[key:gene_model_track,Options:GeneOnly]&amp;mk=2026968:2026987|offset_43|444444,2026944:2026963|offset_67|00cc00,2026915:2026934|offset_96|444444,2026885:2026904|offset_126|444444&amp;v=2026767:2027104&amp;c=444444", "offset 67")</f>
        <v>offset 67</v>
      </c>
    </row>
    <row r="6438" customFormat="false" ht="12.8" hidden="false" customHeight="false" outlineLevel="0" collapsed="false">
      <c r="A6438" s="0" t="s">
        <v>12</v>
      </c>
      <c r="B6438" s="0" t="n">
        <v>2026914</v>
      </c>
      <c r="C6438" s="0" t="n">
        <v>2026934</v>
      </c>
      <c r="D6438" s="0" t="s">
        <v>21444</v>
      </c>
      <c r="E6438" s="0" t="s">
        <v>75</v>
      </c>
      <c r="F6438" s="0" t="s">
        <v>90</v>
      </c>
      <c r="G6438" s="0" t="s">
        <v>36</v>
      </c>
      <c r="H6438" s="0" t="n">
        <v>96</v>
      </c>
      <c r="I6438" s="0" t="s">
        <v>21451</v>
      </c>
      <c r="J6438" s="0" t="s">
        <v>21452</v>
      </c>
      <c r="K6438" s="0" t="s">
        <v>21453</v>
      </c>
      <c r="L6438" s="0" t="str">
        <f aca="false">HYPERLINK("https://www.ncbi.nlm.nih.gov/nuccore/CP000058.1?report=graph&amp;tracks=[key:gene_model_track,Options:GeneOnly]&amp;mk=2026968:2026987|offset_43|444444,2026944:2026963|offset_67|444444,2026915:2026934|offset_96|00cc00,2026885:2026904|offset_126|444444&amp;v=2026767:2027104&amp;c=444444", "offset 96")</f>
        <v>offset 96</v>
      </c>
    </row>
    <row r="6439" customFormat="false" ht="12.8" hidden="false" customHeight="false" outlineLevel="0" collapsed="false">
      <c r="A6439" s="0" t="s">
        <v>12</v>
      </c>
      <c r="B6439" s="0" t="n">
        <v>2026884</v>
      </c>
      <c r="C6439" s="0" t="n">
        <v>2026904</v>
      </c>
      <c r="D6439" s="0" t="s">
        <v>21444</v>
      </c>
      <c r="E6439" s="0" t="s">
        <v>75</v>
      </c>
      <c r="F6439" s="0" t="s">
        <v>90</v>
      </c>
      <c r="G6439" s="0" t="s">
        <v>16</v>
      </c>
      <c r="H6439" s="0" t="n">
        <v>126</v>
      </c>
      <c r="I6439" s="0" t="s">
        <v>21454</v>
      </c>
      <c r="J6439" s="0" t="s">
        <v>21455</v>
      </c>
      <c r="K6439" s="0" t="s">
        <v>21456</v>
      </c>
      <c r="L6439" s="0" t="str">
        <f aca="false">HYPERLINK("https://www.ncbi.nlm.nih.gov/nuccore/CP000058.1?report=graph&amp;tracks=[key:gene_model_track,Options:GeneOnly]&amp;mk=2026968:2026987|offset_43|444444,2026944:2026963|offset_67|444444,2026915:2026934|offset_96|444444,2026885:2026904|offset_126|00cc00&amp;v=2026767:2027104&amp;c=444444", "offset 126")</f>
        <v>offset 126</v>
      </c>
    </row>
    <row r="6440" customFormat="false" ht="12.8" hidden="false" customHeight="false" outlineLevel="0" collapsed="false">
      <c r="A6440" s="0" t="s">
        <v>12</v>
      </c>
      <c r="B6440" s="0" t="n">
        <v>2027194</v>
      </c>
      <c r="C6440" s="0" t="n">
        <v>2027214</v>
      </c>
      <c r="D6440" s="0" t="s">
        <v>21457</v>
      </c>
      <c r="E6440" s="0" t="s">
        <v>21458</v>
      </c>
      <c r="F6440" s="0" t="s">
        <v>15</v>
      </c>
      <c r="G6440" s="0" t="s">
        <v>32</v>
      </c>
      <c r="H6440" s="0" t="n">
        <v>7</v>
      </c>
      <c r="I6440" s="0" t="s">
        <v>21459</v>
      </c>
      <c r="J6440" s="0" t="s">
        <v>21460</v>
      </c>
      <c r="K6440" s="0" t="s">
        <v>21461</v>
      </c>
      <c r="L6440" s="0" t="str">
        <f aca="false">HYPERLINK("https://www.ncbi.nlm.nih.gov/nuccore/CP000058.1?report=graph&amp;tracks=[key:gene_model_track,Options:GeneOnly]&amp;mk=2027195:2027214|offset_7|00cc00,2027273:2027292|offset_85|444444,2027313:2027332|offset_125|444444,2027349:2027368|offset_161|444444&amp;v=2026994:2027568&amp;c=444444", "offset 7")</f>
        <v>offset 7</v>
      </c>
    </row>
    <row r="6441" customFormat="false" ht="12.8" hidden="false" customHeight="false" outlineLevel="0" collapsed="false">
      <c r="A6441" s="0" t="s">
        <v>12</v>
      </c>
      <c r="B6441" s="0" t="n">
        <v>2027272</v>
      </c>
      <c r="C6441" s="0" t="n">
        <v>2027292</v>
      </c>
      <c r="D6441" s="0" t="s">
        <v>21457</v>
      </c>
      <c r="E6441" s="0" t="s">
        <v>21458</v>
      </c>
      <c r="F6441" s="0" t="s">
        <v>15</v>
      </c>
      <c r="G6441" s="0" t="s">
        <v>16</v>
      </c>
      <c r="H6441" s="0" t="n">
        <v>85</v>
      </c>
      <c r="I6441" s="0" t="s">
        <v>21462</v>
      </c>
      <c r="J6441" s="0" t="s">
        <v>21463</v>
      </c>
      <c r="K6441" s="0" t="s">
        <v>21464</v>
      </c>
      <c r="L6441" s="0" t="str">
        <f aca="false">HYPERLINK("https://www.ncbi.nlm.nih.gov/nuccore/CP000058.1?report=graph&amp;tracks=[key:gene_model_track,Options:GeneOnly]&amp;mk=2027195:2027214|offset_7|444444,2027273:2027292|offset_85|00cc00,2027313:2027332|offset_125|444444,2027349:2027368|offset_161|444444&amp;v=2026994:2027568&amp;c=444444", "offset 85")</f>
        <v>offset 85</v>
      </c>
    </row>
    <row r="6442" customFormat="false" ht="12.8" hidden="false" customHeight="false" outlineLevel="0" collapsed="false">
      <c r="A6442" s="0" t="s">
        <v>12</v>
      </c>
      <c r="B6442" s="0" t="n">
        <v>2027312</v>
      </c>
      <c r="C6442" s="0" t="n">
        <v>2027332</v>
      </c>
      <c r="D6442" s="0" t="s">
        <v>21457</v>
      </c>
      <c r="E6442" s="0" t="s">
        <v>21458</v>
      </c>
      <c r="F6442" s="0" t="s">
        <v>15</v>
      </c>
      <c r="G6442" s="0" t="s">
        <v>36</v>
      </c>
      <c r="H6442" s="0" t="n">
        <v>125</v>
      </c>
      <c r="I6442" s="0" t="s">
        <v>21465</v>
      </c>
      <c r="J6442" s="0" t="s">
        <v>21466</v>
      </c>
      <c r="K6442" s="0" t="s">
        <v>21467</v>
      </c>
      <c r="L6442" s="0" t="str">
        <f aca="false">HYPERLINK("https://www.ncbi.nlm.nih.gov/nuccore/CP000058.1?report=graph&amp;tracks=[key:gene_model_track,Options:GeneOnly]&amp;mk=2027195:2027214|offset_7|444444,2027273:2027292|offset_85|444444,2027313:2027332|offset_125|00cc00,2027349:2027368|offset_161|444444&amp;v=2026994:2027568&amp;c=444444", "offset 125")</f>
        <v>offset 125</v>
      </c>
    </row>
    <row r="6443" customFormat="false" ht="12.8" hidden="false" customHeight="false" outlineLevel="0" collapsed="false">
      <c r="A6443" s="0" t="s">
        <v>12</v>
      </c>
      <c r="B6443" s="0" t="n">
        <v>2027348</v>
      </c>
      <c r="C6443" s="0" t="n">
        <v>2027368</v>
      </c>
      <c r="D6443" s="0" t="s">
        <v>21457</v>
      </c>
      <c r="E6443" s="0" t="s">
        <v>21458</v>
      </c>
      <c r="F6443" s="0" t="s">
        <v>15</v>
      </c>
      <c r="G6443" s="0" t="s">
        <v>32</v>
      </c>
      <c r="H6443" s="0" t="n">
        <v>161</v>
      </c>
      <c r="I6443" s="0" t="s">
        <v>21468</v>
      </c>
      <c r="J6443" s="0" t="s">
        <v>21469</v>
      </c>
      <c r="K6443" s="0" t="s">
        <v>21470</v>
      </c>
      <c r="L6443" s="0" t="str">
        <f aca="false">HYPERLINK("https://www.ncbi.nlm.nih.gov/nuccore/CP000058.1?report=graph&amp;tracks=[key:gene_model_track,Options:GeneOnly]&amp;mk=2027195:2027214|offset_7|444444,2027273:2027292|offset_85|444444,2027313:2027332|offset_125|444444,2027349:2027368|offset_161|00cc00&amp;v=2026994:2027568&amp;c=444444", "offset 161")</f>
        <v>offset 161</v>
      </c>
    </row>
    <row r="6444" customFormat="false" ht="12.8" hidden="false" customHeight="false" outlineLevel="0" collapsed="false">
      <c r="A6444" s="0" t="s">
        <v>12</v>
      </c>
      <c r="B6444" s="0" t="n">
        <v>2028427</v>
      </c>
      <c r="C6444" s="0" t="n">
        <v>2028447</v>
      </c>
      <c r="D6444" s="0" t="s">
        <v>21471</v>
      </c>
      <c r="E6444" s="0" t="s">
        <v>75</v>
      </c>
      <c r="F6444" s="0" t="s">
        <v>90</v>
      </c>
      <c r="G6444" s="0" t="s">
        <v>36</v>
      </c>
      <c r="H6444" s="0" t="n">
        <v>7</v>
      </c>
      <c r="I6444" s="0" t="s">
        <v>21472</v>
      </c>
      <c r="J6444" s="0" t="s">
        <v>21473</v>
      </c>
      <c r="K6444" s="0" t="s">
        <v>21474</v>
      </c>
      <c r="L6444" s="0" t="str">
        <f aca="false">HYPERLINK("https://www.ncbi.nlm.nih.gov/nuccore/CP000058.1?report=graph&amp;tracks=[key:gene_model_track,Options:GeneOnly]&amp;mk=2028428:2028447|offset_7|00cc00,2028407:2028426|offset_28|444444,2028355:2028374|offset_80|444444,2028309:2028328|offset_126|444444&amp;v=2028227:2028528&amp;c=444444", "offset 7")</f>
        <v>offset 7</v>
      </c>
    </row>
    <row r="6445" customFormat="false" ht="12.8" hidden="false" customHeight="false" outlineLevel="0" collapsed="false">
      <c r="A6445" s="0" t="s">
        <v>12</v>
      </c>
      <c r="B6445" s="0" t="n">
        <v>2028406</v>
      </c>
      <c r="C6445" s="0" t="n">
        <v>2028426</v>
      </c>
      <c r="D6445" s="0" t="s">
        <v>21471</v>
      </c>
      <c r="E6445" s="0" t="s">
        <v>75</v>
      </c>
      <c r="F6445" s="0" t="s">
        <v>90</v>
      </c>
      <c r="G6445" s="0" t="s">
        <v>36</v>
      </c>
      <c r="H6445" s="0" t="n">
        <v>28</v>
      </c>
      <c r="I6445" s="0" t="s">
        <v>21475</v>
      </c>
      <c r="J6445" s="0" t="s">
        <v>21476</v>
      </c>
      <c r="K6445" s="0" t="s">
        <v>21477</v>
      </c>
      <c r="L6445" s="0" t="str">
        <f aca="false">HYPERLINK("https://www.ncbi.nlm.nih.gov/nuccore/CP000058.1?report=graph&amp;tracks=[key:gene_model_track,Options:GeneOnly]&amp;mk=2028428:2028447|offset_7|444444,2028407:2028426|offset_28|00cc00,2028355:2028374|offset_80|444444,2028309:2028328|offset_126|444444&amp;v=2028227:2028528&amp;c=444444", "offset 28")</f>
        <v>offset 28</v>
      </c>
    </row>
    <row r="6446" customFormat="false" ht="12.8" hidden="false" customHeight="false" outlineLevel="0" collapsed="false">
      <c r="A6446" s="0" t="s">
        <v>12</v>
      </c>
      <c r="B6446" s="0" t="n">
        <v>2028354</v>
      </c>
      <c r="C6446" s="0" t="n">
        <v>2028374</v>
      </c>
      <c r="D6446" s="0" t="s">
        <v>21471</v>
      </c>
      <c r="E6446" s="0" t="s">
        <v>75</v>
      </c>
      <c r="F6446" s="0" t="s">
        <v>90</v>
      </c>
      <c r="G6446" s="0" t="s">
        <v>32</v>
      </c>
      <c r="H6446" s="0" t="n">
        <v>80</v>
      </c>
      <c r="I6446" s="0" t="s">
        <v>21478</v>
      </c>
      <c r="J6446" s="0" t="s">
        <v>21479</v>
      </c>
      <c r="K6446" s="0" t="s">
        <v>21480</v>
      </c>
      <c r="L6446" s="0" t="str">
        <f aca="false">HYPERLINK("https://www.ncbi.nlm.nih.gov/nuccore/CP000058.1?report=graph&amp;tracks=[key:gene_model_track,Options:GeneOnly]&amp;mk=2028428:2028447|offset_7|444444,2028407:2028426|offset_28|444444,2028355:2028374|offset_80|00cc00,2028309:2028328|offset_126|444444&amp;v=2028227:2028528&amp;c=444444", "offset 80")</f>
        <v>offset 80</v>
      </c>
    </row>
    <row r="6447" customFormat="false" ht="12.8" hidden="false" customHeight="false" outlineLevel="0" collapsed="false">
      <c r="A6447" s="0" t="s">
        <v>12</v>
      </c>
      <c r="B6447" s="0" t="n">
        <v>2028308</v>
      </c>
      <c r="C6447" s="0" t="n">
        <v>2028328</v>
      </c>
      <c r="D6447" s="0" t="s">
        <v>21471</v>
      </c>
      <c r="E6447" s="0" t="s">
        <v>75</v>
      </c>
      <c r="F6447" s="0" t="s">
        <v>90</v>
      </c>
      <c r="G6447" s="0" t="s">
        <v>20</v>
      </c>
      <c r="H6447" s="0" t="n">
        <v>126</v>
      </c>
      <c r="I6447" s="0" t="s">
        <v>21481</v>
      </c>
      <c r="J6447" s="0" t="s">
        <v>21482</v>
      </c>
      <c r="K6447" s="0" t="s">
        <v>21483</v>
      </c>
      <c r="L6447" s="0" t="str">
        <f aca="false">HYPERLINK("https://www.ncbi.nlm.nih.gov/nuccore/CP000058.1?report=graph&amp;tracks=[key:gene_model_track,Options:GeneOnly]&amp;mk=2028428:2028447|offset_7|444444,2028407:2028426|offset_28|444444,2028355:2028374|offset_80|444444,2028309:2028328|offset_126|00cc00&amp;v=2028227:2028528&amp;c=444444", "offset 126")</f>
        <v>offset 126</v>
      </c>
    </row>
    <row r="6448" customFormat="false" ht="12.8" hidden="false" customHeight="false" outlineLevel="0" collapsed="false">
      <c r="A6448" s="0" t="s">
        <v>12</v>
      </c>
      <c r="B6448" s="0" t="n">
        <v>2029092</v>
      </c>
      <c r="C6448" s="0" t="n">
        <v>2029112</v>
      </c>
      <c r="D6448" s="0" t="s">
        <v>21484</v>
      </c>
      <c r="E6448" s="0" t="s">
        <v>75</v>
      </c>
      <c r="F6448" s="0" t="s">
        <v>15</v>
      </c>
      <c r="G6448" s="0" t="s">
        <v>20</v>
      </c>
      <c r="H6448" s="0" t="n">
        <v>19</v>
      </c>
      <c r="I6448" s="0" t="s">
        <v>21485</v>
      </c>
      <c r="J6448" s="0" t="s">
        <v>21486</v>
      </c>
      <c r="K6448" s="0" t="s">
        <v>21487</v>
      </c>
      <c r="L6448" s="0" t="str">
        <f aca="false">HYPERLINK("https://www.ncbi.nlm.nih.gov/nuccore/CP000058.1?report=graph&amp;tracks=[key:gene_model_track,Options:GeneOnly]&amp;mk=2029093:2029112|offset_19|00cc00,2029119:2029138|offset_45|444444,2029141:2029160|offset_67|444444,2029163:2029182|offset_89|444444&amp;v=2028892:2029382&amp;c=444444", "offset 19")</f>
        <v>offset 19</v>
      </c>
    </row>
    <row r="6449" customFormat="false" ht="12.8" hidden="false" customHeight="false" outlineLevel="0" collapsed="false">
      <c r="A6449" s="0" t="s">
        <v>12</v>
      </c>
      <c r="B6449" s="0" t="n">
        <v>2029118</v>
      </c>
      <c r="C6449" s="0" t="n">
        <v>2029138</v>
      </c>
      <c r="D6449" s="0" t="s">
        <v>21484</v>
      </c>
      <c r="E6449" s="0" t="s">
        <v>75</v>
      </c>
      <c r="F6449" s="0" t="s">
        <v>15</v>
      </c>
      <c r="G6449" s="0" t="s">
        <v>20</v>
      </c>
      <c r="H6449" s="0" t="n">
        <v>45</v>
      </c>
      <c r="I6449" s="0" t="s">
        <v>21488</v>
      </c>
      <c r="J6449" s="0" t="s">
        <v>21489</v>
      </c>
      <c r="K6449" s="0" t="s">
        <v>21490</v>
      </c>
      <c r="L6449" s="0" t="str">
        <f aca="false">HYPERLINK("https://www.ncbi.nlm.nih.gov/nuccore/CP000058.1?report=graph&amp;tracks=[key:gene_model_track,Options:GeneOnly]&amp;mk=2029093:2029112|offset_19|444444,2029119:2029138|offset_45|00cc00,2029141:2029160|offset_67|444444,2029163:2029182|offset_89|444444&amp;v=2028892:2029382&amp;c=444444", "offset 45")</f>
        <v>offset 45</v>
      </c>
    </row>
    <row r="6450" customFormat="false" ht="12.8" hidden="false" customHeight="false" outlineLevel="0" collapsed="false">
      <c r="A6450" s="0" t="s">
        <v>12</v>
      </c>
      <c r="B6450" s="0" t="n">
        <v>2029140</v>
      </c>
      <c r="C6450" s="0" t="n">
        <v>2029160</v>
      </c>
      <c r="D6450" s="0" t="s">
        <v>21484</v>
      </c>
      <c r="E6450" s="0" t="s">
        <v>75</v>
      </c>
      <c r="F6450" s="0" t="s">
        <v>15</v>
      </c>
      <c r="G6450" s="0" t="s">
        <v>16</v>
      </c>
      <c r="H6450" s="0" t="n">
        <v>67</v>
      </c>
      <c r="I6450" s="0" t="s">
        <v>21491</v>
      </c>
      <c r="J6450" s="0" t="s">
        <v>21492</v>
      </c>
      <c r="K6450" s="0" t="s">
        <v>21493</v>
      </c>
      <c r="L6450" s="0" t="str">
        <f aca="false">HYPERLINK("https://www.ncbi.nlm.nih.gov/nuccore/CP000058.1?report=graph&amp;tracks=[key:gene_model_track,Options:GeneOnly]&amp;mk=2029093:2029112|offset_19|444444,2029119:2029138|offset_45|444444,2029141:2029160|offset_67|00cc00,2029163:2029182|offset_89|444444&amp;v=2028892:2029382&amp;c=444444", "offset 67")</f>
        <v>offset 67</v>
      </c>
    </row>
    <row r="6451" customFormat="false" ht="12.8" hidden="false" customHeight="false" outlineLevel="0" collapsed="false">
      <c r="A6451" s="0" t="s">
        <v>12</v>
      </c>
      <c r="B6451" s="0" t="n">
        <v>2029162</v>
      </c>
      <c r="C6451" s="0" t="n">
        <v>2029182</v>
      </c>
      <c r="D6451" s="0" t="s">
        <v>21484</v>
      </c>
      <c r="E6451" s="0" t="s">
        <v>75</v>
      </c>
      <c r="F6451" s="0" t="s">
        <v>15</v>
      </c>
      <c r="G6451" s="0" t="s">
        <v>20</v>
      </c>
      <c r="H6451" s="0" t="n">
        <v>89</v>
      </c>
      <c r="I6451" s="0" t="s">
        <v>21494</v>
      </c>
      <c r="J6451" s="0" t="s">
        <v>21495</v>
      </c>
      <c r="K6451" s="0" t="s">
        <v>21496</v>
      </c>
      <c r="L6451" s="0" t="str">
        <f aca="false">HYPERLINK("https://www.ncbi.nlm.nih.gov/nuccore/CP000058.1?report=graph&amp;tracks=[key:gene_model_track,Options:GeneOnly]&amp;mk=2029093:2029112|offset_19|444444,2029119:2029138|offset_45|444444,2029141:2029160|offset_67|444444,2029163:2029182|offset_89|00cc00&amp;v=2028892:2029382&amp;c=444444", "offset 89")</f>
        <v>offset 89</v>
      </c>
    </row>
    <row r="6452" customFormat="false" ht="12.8" hidden="false" customHeight="false" outlineLevel="0" collapsed="false">
      <c r="A6452" s="0" t="s">
        <v>12</v>
      </c>
      <c r="B6452" s="0" t="n">
        <v>2038115</v>
      </c>
      <c r="C6452" s="0" t="n">
        <v>2038135</v>
      </c>
      <c r="D6452" s="0" t="s">
        <v>21497</v>
      </c>
      <c r="E6452" s="0" t="s">
        <v>75</v>
      </c>
      <c r="F6452" s="0" t="s">
        <v>15</v>
      </c>
      <c r="G6452" s="0" t="s">
        <v>20</v>
      </c>
      <c r="H6452" s="0" t="n">
        <v>10</v>
      </c>
      <c r="I6452" s="0" t="s">
        <v>21498</v>
      </c>
      <c r="J6452" s="0" t="s">
        <v>21499</v>
      </c>
      <c r="K6452" s="0" t="s">
        <v>21500</v>
      </c>
      <c r="L6452" s="0" t="str">
        <f aca="false">HYPERLINK("https://www.ncbi.nlm.nih.gov/nuccore/CP000058.1?report=graph&amp;tracks=[key:gene_model_track,Options:GeneOnly]&amp;mk=2038116:2038135|offset_10|00cc00,2038149:2038168|offset_43|444444,2038193:2038212|offset_87|444444,2038272:2038291|offset_166|444444&amp;v=2037915:2038491&amp;c=444444", "offset 10")</f>
        <v>offset 10</v>
      </c>
    </row>
    <row r="6453" customFormat="false" ht="12.8" hidden="false" customHeight="false" outlineLevel="0" collapsed="false">
      <c r="A6453" s="0" t="s">
        <v>12</v>
      </c>
      <c r="B6453" s="0" t="n">
        <v>2038148</v>
      </c>
      <c r="C6453" s="0" t="n">
        <v>2038168</v>
      </c>
      <c r="D6453" s="0" t="s">
        <v>21497</v>
      </c>
      <c r="E6453" s="0" t="s">
        <v>75</v>
      </c>
      <c r="F6453" s="0" t="s">
        <v>15</v>
      </c>
      <c r="G6453" s="0" t="s">
        <v>16</v>
      </c>
      <c r="H6453" s="0" t="n">
        <v>43</v>
      </c>
      <c r="I6453" s="0" t="s">
        <v>21501</v>
      </c>
      <c r="J6453" s="0" t="s">
        <v>21502</v>
      </c>
      <c r="K6453" s="0" t="s">
        <v>21503</v>
      </c>
      <c r="L6453" s="0" t="str">
        <f aca="false">HYPERLINK("https://www.ncbi.nlm.nih.gov/nuccore/CP000058.1?report=graph&amp;tracks=[key:gene_model_track,Options:GeneOnly]&amp;mk=2038116:2038135|offset_10|444444,2038149:2038168|offset_43|00cc00,2038193:2038212|offset_87|444444,2038272:2038291|offset_166|444444&amp;v=2037915:2038491&amp;c=444444", "offset 43")</f>
        <v>offset 43</v>
      </c>
    </row>
    <row r="6454" customFormat="false" ht="12.8" hidden="false" customHeight="false" outlineLevel="0" collapsed="false">
      <c r="A6454" s="0" t="s">
        <v>12</v>
      </c>
      <c r="B6454" s="0" t="n">
        <v>2038192</v>
      </c>
      <c r="C6454" s="0" t="n">
        <v>2038212</v>
      </c>
      <c r="D6454" s="0" t="s">
        <v>21497</v>
      </c>
      <c r="E6454" s="0" t="s">
        <v>75</v>
      </c>
      <c r="F6454" s="0" t="s">
        <v>15</v>
      </c>
      <c r="G6454" s="0" t="s">
        <v>16</v>
      </c>
      <c r="H6454" s="0" t="n">
        <v>87</v>
      </c>
      <c r="I6454" s="0" t="s">
        <v>21504</v>
      </c>
      <c r="J6454" s="0" t="s">
        <v>21505</v>
      </c>
      <c r="K6454" s="0" t="s">
        <v>21506</v>
      </c>
      <c r="L6454" s="0" t="str">
        <f aca="false">HYPERLINK("https://www.ncbi.nlm.nih.gov/nuccore/CP000058.1?report=graph&amp;tracks=[key:gene_model_track,Options:GeneOnly]&amp;mk=2038116:2038135|offset_10|444444,2038149:2038168|offset_43|444444,2038193:2038212|offset_87|00cc00,2038272:2038291|offset_166|444444&amp;v=2037915:2038491&amp;c=444444", "offset 87")</f>
        <v>offset 87</v>
      </c>
    </row>
    <row r="6455" customFormat="false" ht="12.8" hidden="false" customHeight="false" outlineLevel="0" collapsed="false">
      <c r="A6455" s="0" t="s">
        <v>12</v>
      </c>
      <c r="B6455" s="0" t="n">
        <v>2038271</v>
      </c>
      <c r="C6455" s="0" t="n">
        <v>2038291</v>
      </c>
      <c r="D6455" s="0" t="s">
        <v>21497</v>
      </c>
      <c r="E6455" s="0" t="s">
        <v>75</v>
      </c>
      <c r="F6455" s="0" t="s">
        <v>15</v>
      </c>
      <c r="G6455" s="0" t="s">
        <v>16</v>
      </c>
      <c r="H6455" s="0" t="n">
        <v>166</v>
      </c>
      <c r="I6455" s="0" t="s">
        <v>21507</v>
      </c>
      <c r="J6455" s="0" t="s">
        <v>21508</v>
      </c>
      <c r="K6455" s="0" t="s">
        <v>21509</v>
      </c>
      <c r="L6455" s="0" t="str">
        <f aca="false">HYPERLINK("https://www.ncbi.nlm.nih.gov/nuccore/CP000058.1?report=graph&amp;tracks=[key:gene_model_track,Options:GeneOnly]&amp;mk=2038116:2038135|offset_10|444444,2038149:2038168|offset_43|444444,2038193:2038212|offset_87|444444,2038272:2038291|offset_166|00cc00&amp;v=2037915:2038491&amp;c=444444", "offset 166")</f>
        <v>offset 166</v>
      </c>
    </row>
    <row r="6456" customFormat="false" ht="12.8" hidden="false" customHeight="false" outlineLevel="0" collapsed="false">
      <c r="A6456" s="0" t="s">
        <v>12</v>
      </c>
      <c r="B6456" s="0" t="n">
        <v>2042228</v>
      </c>
      <c r="C6456" s="0" t="n">
        <v>2042248</v>
      </c>
      <c r="D6456" s="0" t="s">
        <v>21510</v>
      </c>
      <c r="E6456" s="0" t="s">
        <v>75</v>
      </c>
      <c r="F6456" s="0" t="s">
        <v>15</v>
      </c>
      <c r="G6456" s="0" t="s">
        <v>32</v>
      </c>
      <c r="H6456" s="0" t="n">
        <v>11</v>
      </c>
      <c r="I6456" s="0" t="s">
        <v>21511</v>
      </c>
      <c r="J6456" s="0" t="s">
        <v>21512</v>
      </c>
      <c r="K6456" s="0" t="s">
        <v>21513</v>
      </c>
      <c r="L6456" s="0" t="str">
        <f aca="false">HYPERLINK("https://www.ncbi.nlm.nih.gov/nuccore/CP000058.1?report=graph&amp;tracks=[key:gene_model_track,Options:GeneOnly]&amp;mk=2042229:2042248|offset_11|00cc00,2042253:2042272|offset_35|444444,2042279:2042298|offset_61|444444,2042299:2042318|offset_81|444444&amp;v=2042028:2042518&amp;c=444444", "offset 11")</f>
        <v>offset 11</v>
      </c>
    </row>
    <row r="6457" customFormat="false" ht="12.8" hidden="false" customHeight="false" outlineLevel="0" collapsed="false">
      <c r="A6457" s="0" t="s">
        <v>12</v>
      </c>
      <c r="B6457" s="0" t="n">
        <v>2042252</v>
      </c>
      <c r="C6457" s="0" t="n">
        <v>2042272</v>
      </c>
      <c r="D6457" s="0" t="s">
        <v>21510</v>
      </c>
      <c r="E6457" s="0" t="s">
        <v>75</v>
      </c>
      <c r="F6457" s="0" t="s">
        <v>15</v>
      </c>
      <c r="G6457" s="0" t="s">
        <v>36</v>
      </c>
      <c r="H6457" s="0" t="n">
        <v>35</v>
      </c>
      <c r="I6457" s="0" t="s">
        <v>21514</v>
      </c>
      <c r="J6457" s="0" t="s">
        <v>21515</v>
      </c>
      <c r="K6457" s="0" t="s">
        <v>21516</v>
      </c>
      <c r="L6457" s="0" t="str">
        <f aca="false">HYPERLINK("https://www.ncbi.nlm.nih.gov/nuccore/CP000058.1?report=graph&amp;tracks=[key:gene_model_track,Options:GeneOnly]&amp;mk=2042229:2042248|offset_11|444444,2042253:2042272|offset_35|00cc00,2042279:2042298|offset_61|444444,2042299:2042318|offset_81|444444&amp;v=2042028:2042518&amp;c=444444", "offset 35")</f>
        <v>offset 35</v>
      </c>
    </row>
    <row r="6458" customFormat="false" ht="12.8" hidden="false" customHeight="false" outlineLevel="0" collapsed="false">
      <c r="A6458" s="0" t="s">
        <v>12</v>
      </c>
      <c r="B6458" s="0" t="n">
        <v>2042278</v>
      </c>
      <c r="C6458" s="0" t="n">
        <v>2042298</v>
      </c>
      <c r="D6458" s="0" t="s">
        <v>21510</v>
      </c>
      <c r="E6458" s="0" t="s">
        <v>75</v>
      </c>
      <c r="F6458" s="0" t="s">
        <v>15</v>
      </c>
      <c r="G6458" s="0" t="s">
        <v>16</v>
      </c>
      <c r="H6458" s="0" t="n">
        <v>61</v>
      </c>
      <c r="I6458" s="0" t="s">
        <v>21517</v>
      </c>
      <c r="J6458" s="0" t="s">
        <v>21518</v>
      </c>
      <c r="K6458" s="0" t="s">
        <v>21519</v>
      </c>
      <c r="L6458" s="0" t="str">
        <f aca="false">HYPERLINK("https://www.ncbi.nlm.nih.gov/nuccore/CP000058.1?report=graph&amp;tracks=[key:gene_model_track,Options:GeneOnly]&amp;mk=2042229:2042248|offset_11|444444,2042253:2042272|offset_35|444444,2042279:2042298|offset_61|00cc00,2042299:2042318|offset_81|444444&amp;v=2042028:2042518&amp;c=444444", "offset 61")</f>
        <v>offset 61</v>
      </c>
    </row>
    <row r="6459" customFormat="false" ht="12.8" hidden="false" customHeight="false" outlineLevel="0" collapsed="false">
      <c r="A6459" s="0" t="s">
        <v>12</v>
      </c>
      <c r="B6459" s="0" t="n">
        <v>2042298</v>
      </c>
      <c r="C6459" s="0" t="n">
        <v>2042318</v>
      </c>
      <c r="D6459" s="0" t="s">
        <v>21510</v>
      </c>
      <c r="E6459" s="0" t="s">
        <v>75</v>
      </c>
      <c r="F6459" s="0" t="s">
        <v>15</v>
      </c>
      <c r="G6459" s="0" t="s">
        <v>36</v>
      </c>
      <c r="H6459" s="0" t="n">
        <v>81</v>
      </c>
      <c r="I6459" s="0" t="s">
        <v>21520</v>
      </c>
      <c r="J6459" s="0" t="s">
        <v>21521</v>
      </c>
      <c r="K6459" s="0" t="s">
        <v>21522</v>
      </c>
      <c r="L6459" s="0" t="str">
        <f aca="false">HYPERLINK("https://www.ncbi.nlm.nih.gov/nuccore/CP000058.1?report=graph&amp;tracks=[key:gene_model_track,Options:GeneOnly]&amp;mk=2042229:2042248|offset_11|444444,2042253:2042272|offset_35|444444,2042279:2042298|offset_61|444444,2042299:2042318|offset_81|00cc00&amp;v=2042028:2042518&amp;c=444444", "offset 81")</f>
        <v>offset 81</v>
      </c>
    </row>
    <row r="6460" customFormat="false" ht="12.8" hidden="false" customHeight="false" outlineLevel="0" collapsed="false">
      <c r="A6460" s="0" t="s">
        <v>12</v>
      </c>
      <c r="B6460" s="0" t="n">
        <v>2051493</v>
      </c>
      <c r="C6460" s="0" t="n">
        <v>2051513</v>
      </c>
      <c r="D6460" s="0" t="s">
        <v>21523</v>
      </c>
      <c r="E6460" s="0" t="s">
        <v>75</v>
      </c>
      <c r="F6460" s="0" t="s">
        <v>15</v>
      </c>
      <c r="G6460" s="0" t="s">
        <v>32</v>
      </c>
      <c r="H6460" s="0" t="n">
        <v>16</v>
      </c>
      <c r="I6460" s="0" t="s">
        <v>21524</v>
      </c>
      <c r="J6460" s="0" t="s">
        <v>21525</v>
      </c>
      <c r="K6460" s="0" t="s">
        <v>21526</v>
      </c>
      <c r="L6460" s="0" t="str">
        <f aca="false">HYPERLINK("https://www.ncbi.nlm.nih.gov/nuccore/CP000058.1?report=graph&amp;tracks=[key:gene_model_track,Options:GeneOnly]&amp;mk=2051494:2051513|offset_16|00cc00,2051517:2051536|offset_39|444444,2051549:2051568|offset_71|444444,2051572:2051591|offset_94|444444&amp;v=2051293:2051791&amp;c=444444", "offset 16")</f>
        <v>offset 16</v>
      </c>
    </row>
    <row r="6461" customFormat="false" ht="12.8" hidden="false" customHeight="false" outlineLevel="0" collapsed="false">
      <c r="A6461" s="0" t="s">
        <v>12</v>
      </c>
      <c r="B6461" s="0" t="n">
        <v>2051516</v>
      </c>
      <c r="C6461" s="0" t="n">
        <v>2051536</v>
      </c>
      <c r="D6461" s="0" t="s">
        <v>21523</v>
      </c>
      <c r="E6461" s="0" t="s">
        <v>75</v>
      </c>
      <c r="F6461" s="0" t="s">
        <v>15</v>
      </c>
      <c r="G6461" s="0" t="s">
        <v>20</v>
      </c>
      <c r="H6461" s="0" t="n">
        <v>39</v>
      </c>
      <c r="I6461" s="0" t="s">
        <v>21527</v>
      </c>
      <c r="J6461" s="0" t="s">
        <v>21528</v>
      </c>
      <c r="K6461" s="0" t="s">
        <v>21529</v>
      </c>
      <c r="L6461" s="0" t="str">
        <f aca="false">HYPERLINK("https://www.ncbi.nlm.nih.gov/nuccore/CP000058.1?report=graph&amp;tracks=[key:gene_model_track,Options:GeneOnly]&amp;mk=2051494:2051513|offset_16|444444,2051517:2051536|offset_39|00cc00,2051549:2051568|offset_71|444444,2051572:2051591|offset_94|444444&amp;v=2051293:2051791&amp;c=444444", "offset 39")</f>
        <v>offset 39</v>
      </c>
    </row>
    <row r="6462" customFormat="false" ht="12.8" hidden="false" customHeight="false" outlineLevel="0" collapsed="false">
      <c r="A6462" s="0" t="s">
        <v>12</v>
      </c>
      <c r="B6462" s="0" t="n">
        <v>2051548</v>
      </c>
      <c r="C6462" s="0" t="n">
        <v>2051568</v>
      </c>
      <c r="D6462" s="0" t="s">
        <v>21523</v>
      </c>
      <c r="E6462" s="0" t="s">
        <v>75</v>
      </c>
      <c r="F6462" s="0" t="s">
        <v>15</v>
      </c>
      <c r="G6462" s="0" t="s">
        <v>16</v>
      </c>
      <c r="H6462" s="0" t="n">
        <v>71</v>
      </c>
      <c r="I6462" s="0" t="s">
        <v>21530</v>
      </c>
      <c r="J6462" s="0" t="s">
        <v>21531</v>
      </c>
      <c r="K6462" s="0" t="s">
        <v>21532</v>
      </c>
      <c r="L6462" s="0" t="str">
        <f aca="false">HYPERLINK("https://www.ncbi.nlm.nih.gov/nuccore/CP000058.1?report=graph&amp;tracks=[key:gene_model_track,Options:GeneOnly]&amp;mk=2051494:2051513|offset_16|444444,2051517:2051536|offset_39|444444,2051549:2051568|offset_71|00cc00,2051572:2051591|offset_94|444444&amp;v=2051293:2051791&amp;c=444444", "offset 71")</f>
        <v>offset 71</v>
      </c>
    </row>
    <row r="6463" customFormat="false" ht="12.8" hidden="false" customHeight="false" outlineLevel="0" collapsed="false">
      <c r="A6463" s="0" t="s">
        <v>12</v>
      </c>
      <c r="B6463" s="0" t="n">
        <v>2051571</v>
      </c>
      <c r="C6463" s="0" t="n">
        <v>2051591</v>
      </c>
      <c r="D6463" s="0" t="s">
        <v>21523</v>
      </c>
      <c r="E6463" s="0" t="s">
        <v>75</v>
      </c>
      <c r="F6463" s="0" t="s">
        <v>15</v>
      </c>
      <c r="G6463" s="0" t="s">
        <v>16</v>
      </c>
      <c r="H6463" s="0" t="n">
        <v>94</v>
      </c>
      <c r="I6463" s="0" t="s">
        <v>21533</v>
      </c>
      <c r="J6463" s="0" t="s">
        <v>21534</v>
      </c>
      <c r="K6463" s="0" t="s">
        <v>21535</v>
      </c>
      <c r="L6463" s="0" t="str">
        <f aca="false">HYPERLINK("https://www.ncbi.nlm.nih.gov/nuccore/CP000058.1?report=graph&amp;tracks=[key:gene_model_track,Options:GeneOnly]&amp;mk=2051494:2051513|offset_16|444444,2051517:2051536|offset_39|444444,2051549:2051568|offset_71|444444,2051572:2051591|offset_94|00cc00&amp;v=2051293:2051791&amp;c=444444", "offset 94")</f>
        <v>offset 94</v>
      </c>
    </row>
    <row r="6464" customFormat="false" ht="12.8" hidden="false" customHeight="false" outlineLevel="0" collapsed="false">
      <c r="A6464" s="0" t="s">
        <v>12</v>
      </c>
      <c r="B6464" s="0" t="n">
        <v>2052857</v>
      </c>
      <c r="C6464" s="0" t="n">
        <v>2052877</v>
      </c>
      <c r="D6464" s="0" t="s">
        <v>21536</v>
      </c>
      <c r="E6464" s="0" t="s">
        <v>75</v>
      </c>
      <c r="F6464" s="0" t="s">
        <v>90</v>
      </c>
      <c r="G6464" s="0" t="s">
        <v>16</v>
      </c>
      <c r="H6464" s="0" t="n">
        <v>19</v>
      </c>
      <c r="I6464" s="0" t="s">
        <v>21537</v>
      </c>
      <c r="J6464" s="0" t="s">
        <v>21538</v>
      </c>
      <c r="K6464" s="0" t="s">
        <v>21539</v>
      </c>
      <c r="L6464" s="0" t="str">
        <f aca="false">HYPERLINK("https://www.ncbi.nlm.nih.gov/nuccore/CP000058.1?report=graph&amp;tracks=[key:gene_model_track,Options:GeneOnly]&amp;mk=2052858:2052877|offset_19|00cc00,2052836:2052855|offset_41|444444,2052795:2052814|offset_82|444444,2052743:2052762|offset_134|444444&amp;v=2052657:2052962&amp;c=444444", "offset 19")</f>
        <v>offset 19</v>
      </c>
    </row>
    <row r="6465" customFormat="false" ht="12.8" hidden="false" customHeight="false" outlineLevel="0" collapsed="false">
      <c r="A6465" s="0" t="s">
        <v>12</v>
      </c>
      <c r="B6465" s="0" t="n">
        <v>2052835</v>
      </c>
      <c r="C6465" s="0" t="n">
        <v>2052855</v>
      </c>
      <c r="D6465" s="0" t="s">
        <v>21536</v>
      </c>
      <c r="E6465" s="0" t="s">
        <v>75</v>
      </c>
      <c r="F6465" s="0" t="s">
        <v>90</v>
      </c>
      <c r="G6465" s="0" t="s">
        <v>20</v>
      </c>
      <c r="H6465" s="0" t="n">
        <v>41</v>
      </c>
      <c r="I6465" s="0" t="s">
        <v>21540</v>
      </c>
      <c r="J6465" s="0" t="s">
        <v>21541</v>
      </c>
      <c r="K6465" s="0" t="s">
        <v>21542</v>
      </c>
      <c r="L6465" s="0" t="str">
        <f aca="false">HYPERLINK("https://www.ncbi.nlm.nih.gov/nuccore/CP000058.1?report=graph&amp;tracks=[key:gene_model_track,Options:GeneOnly]&amp;mk=2052858:2052877|offset_19|444444,2052836:2052855|offset_41|00cc00,2052795:2052814|offset_82|444444,2052743:2052762|offset_134|444444&amp;v=2052657:2052962&amp;c=444444", "offset 41")</f>
        <v>offset 41</v>
      </c>
    </row>
    <row r="6466" customFormat="false" ht="12.8" hidden="false" customHeight="false" outlineLevel="0" collapsed="false">
      <c r="A6466" s="0" t="s">
        <v>12</v>
      </c>
      <c r="B6466" s="0" t="n">
        <v>2052794</v>
      </c>
      <c r="C6466" s="0" t="n">
        <v>2052814</v>
      </c>
      <c r="D6466" s="0" t="s">
        <v>21536</v>
      </c>
      <c r="E6466" s="0" t="s">
        <v>75</v>
      </c>
      <c r="F6466" s="0" t="s">
        <v>90</v>
      </c>
      <c r="G6466" s="0" t="s">
        <v>16</v>
      </c>
      <c r="H6466" s="0" t="n">
        <v>82</v>
      </c>
      <c r="I6466" s="0" t="s">
        <v>21543</v>
      </c>
      <c r="J6466" s="0" t="s">
        <v>21544</v>
      </c>
      <c r="K6466" s="0" t="s">
        <v>21545</v>
      </c>
      <c r="L6466" s="0" t="str">
        <f aca="false">HYPERLINK("https://www.ncbi.nlm.nih.gov/nuccore/CP000058.1?report=graph&amp;tracks=[key:gene_model_track,Options:GeneOnly]&amp;mk=2052858:2052877|offset_19|444444,2052836:2052855|offset_41|444444,2052795:2052814|offset_82|00cc00,2052743:2052762|offset_134|444444&amp;v=2052657:2052962&amp;c=444444", "offset 82")</f>
        <v>offset 82</v>
      </c>
    </row>
    <row r="6467" customFormat="false" ht="12.8" hidden="false" customHeight="false" outlineLevel="0" collapsed="false">
      <c r="A6467" s="0" t="s">
        <v>12</v>
      </c>
      <c r="B6467" s="0" t="n">
        <v>2052742</v>
      </c>
      <c r="C6467" s="0" t="n">
        <v>2052762</v>
      </c>
      <c r="D6467" s="0" t="s">
        <v>21536</v>
      </c>
      <c r="E6467" s="0" t="s">
        <v>75</v>
      </c>
      <c r="F6467" s="0" t="s">
        <v>90</v>
      </c>
      <c r="G6467" s="0" t="s">
        <v>16</v>
      </c>
      <c r="H6467" s="0" t="n">
        <v>134</v>
      </c>
      <c r="I6467" s="0" t="s">
        <v>21546</v>
      </c>
      <c r="J6467" s="0" t="s">
        <v>21547</v>
      </c>
      <c r="K6467" s="0" t="s">
        <v>21548</v>
      </c>
      <c r="L6467" s="0" t="str">
        <f aca="false">HYPERLINK("https://www.ncbi.nlm.nih.gov/nuccore/CP000058.1?report=graph&amp;tracks=[key:gene_model_track,Options:GeneOnly]&amp;mk=2052858:2052877|offset_19|444444,2052836:2052855|offset_41|444444,2052795:2052814|offset_82|444444,2052743:2052762|offset_134|00cc00&amp;v=2052657:2052962&amp;c=444444", "offset 134")</f>
        <v>offset 134</v>
      </c>
    </row>
    <row r="6468" customFormat="false" ht="12.8" hidden="false" customHeight="false" outlineLevel="0" collapsed="false">
      <c r="A6468" s="0" t="s">
        <v>12</v>
      </c>
      <c r="B6468" s="0" t="n">
        <v>2053100</v>
      </c>
      <c r="C6468" s="0" t="n">
        <v>2053120</v>
      </c>
      <c r="D6468" s="0" t="s">
        <v>21549</v>
      </c>
      <c r="E6468" s="0" t="s">
        <v>75</v>
      </c>
      <c r="F6468" s="0" t="s">
        <v>15</v>
      </c>
      <c r="G6468" s="0" t="s">
        <v>20</v>
      </c>
      <c r="H6468" s="0" t="n">
        <v>50</v>
      </c>
      <c r="I6468" s="0" t="s">
        <v>21550</v>
      </c>
      <c r="J6468" s="0" t="s">
        <v>21551</v>
      </c>
      <c r="K6468" s="0" t="s">
        <v>21552</v>
      </c>
      <c r="L6468" s="0" t="str">
        <f aca="false">HYPERLINK("https://www.ncbi.nlm.nih.gov/nuccore/CP000058.1?report=graph&amp;tracks=[key:gene_model_track,Options:GeneOnly]&amp;mk=2053101:2053120|offset_50|00cc00,2053129:2053148|offset_78|444444,2053162:2053181|offset_111|444444,2053187:2053206|offset_136|444444&amp;v=2052900:2053406&amp;c=444444", "offset 50")</f>
        <v>offset 50</v>
      </c>
    </row>
    <row r="6469" customFormat="false" ht="12.8" hidden="false" customHeight="false" outlineLevel="0" collapsed="false">
      <c r="A6469" s="0" t="s">
        <v>12</v>
      </c>
      <c r="B6469" s="0" t="n">
        <v>2053128</v>
      </c>
      <c r="C6469" s="0" t="n">
        <v>2053148</v>
      </c>
      <c r="D6469" s="0" t="s">
        <v>21549</v>
      </c>
      <c r="E6469" s="0" t="s">
        <v>75</v>
      </c>
      <c r="F6469" s="0" t="s">
        <v>15</v>
      </c>
      <c r="G6469" s="0" t="s">
        <v>16</v>
      </c>
      <c r="H6469" s="0" t="n">
        <v>78</v>
      </c>
      <c r="I6469" s="0" t="s">
        <v>21553</v>
      </c>
      <c r="J6469" s="0" t="s">
        <v>21554</v>
      </c>
      <c r="K6469" s="0" t="s">
        <v>21555</v>
      </c>
      <c r="L6469" s="0" t="str">
        <f aca="false">HYPERLINK("https://www.ncbi.nlm.nih.gov/nuccore/CP000058.1?report=graph&amp;tracks=[key:gene_model_track,Options:GeneOnly]&amp;mk=2053101:2053120|offset_50|444444,2053129:2053148|offset_78|00cc00,2053162:2053181|offset_111|444444,2053187:2053206|offset_136|444444&amp;v=2052900:2053406&amp;c=444444", "offset 78")</f>
        <v>offset 78</v>
      </c>
    </row>
    <row r="6470" customFormat="false" ht="12.8" hidden="false" customHeight="false" outlineLevel="0" collapsed="false">
      <c r="A6470" s="0" t="s">
        <v>12</v>
      </c>
      <c r="B6470" s="0" t="n">
        <v>2053161</v>
      </c>
      <c r="C6470" s="0" t="n">
        <v>2053181</v>
      </c>
      <c r="D6470" s="0" t="s">
        <v>21549</v>
      </c>
      <c r="E6470" s="0" t="s">
        <v>75</v>
      </c>
      <c r="F6470" s="0" t="s">
        <v>15</v>
      </c>
      <c r="G6470" s="0" t="s">
        <v>16</v>
      </c>
      <c r="H6470" s="0" t="n">
        <v>111</v>
      </c>
      <c r="I6470" s="0" t="s">
        <v>21556</v>
      </c>
      <c r="J6470" s="0" t="s">
        <v>21557</v>
      </c>
      <c r="K6470" s="0" t="s">
        <v>21558</v>
      </c>
      <c r="L6470" s="0" t="str">
        <f aca="false">HYPERLINK("https://www.ncbi.nlm.nih.gov/nuccore/CP000058.1?report=graph&amp;tracks=[key:gene_model_track,Options:GeneOnly]&amp;mk=2053101:2053120|offset_50|444444,2053129:2053148|offset_78|444444,2053162:2053181|offset_111|00cc00,2053187:2053206|offset_136|444444&amp;v=2052900:2053406&amp;c=444444", "offset 111")</f>
        <v>offset 111</v>
      </c>
    </row>
    <row r="6471" customFormat="false" ht="12.8" hidden="false" customHeight="false" outlineLevel="0" collapsed="false">
      <c r="A6471" s="0" t="s">
        <v>12</v>
      </c>
      <c r="B6471" s="0" t="n">
        <v>2053186</v>
      </c>
      <c r="C6471" s="0" t="n">
        <v>2053206</v>
      </c>
      <c r="D6471" s="0" t="s">
        <v>21549</v>
      </c>
      <c r="E6471" s="0" t="s">
        <v>75</v>
      </c>
      <c r="F6471" s="0" t="s">
        <v>15</v>
      </c>
      <c r="G6471" s="0" t="s">
        <v>16</v>
      </c>
      <c r="H6471" s="0" t="n">
        <v>136</v>
      </c>
      <c r="I6471" s="0" t="s">
        <v>21559</v>
      </c>
      <c r="J6471" s="0" t="s">
        <v>21560</v>
      </c>
      <c r="K6471" s="0" t="s">
        <v>21561</v>
      </c>
      <c r="L6471" s="0" t="str">
        <f aca="false">HYPERLINK("https://www.ncbi.nlm.nih.gov/nuccore/CP000058.1?report=graph&amp;tracks=[key:gene_model_track,Options:GeneOnly]&amp;mk=2053101:2053120|offset_50|444444,2053129:2053148|offset_78|444444,2053162:2053181|offset_111|444444,2053187:2053206|offset_136|00cc00&amp;v=2052900:2053406&amp;c=444444", "offset 136")</f>
        <v>offset 136</v>
      </c>
    </row>
    <row r="6472" customFormat="false" ht="12.8" hidden="false" customHeight="false" outlineLevel="0" collapsed="false">
      <c r="A6472" s="0" t="s">
        <v>12</v>
      </c>
      <c r="B6472" s="0" t="n">
        <v>2054189</v>
      </c>
      <c r="C6472" s="0" t="n">
        <v>2054209</v>
      </c>
      <c r="D6472" s="0" t="s">
        <v>21562</v>
      </c>
      <c r="E6472" s="0" t="s">
        <v>75</v>
      </c>
      <c r="F6472" s="0" t="s">
        <v>15</v>
      </c>
      <c r="G6472" s="0" t="s">
        <v>32</v>
      </c>
      <c r="H6472" s="0" t="n">
        <v>6</v>
      </c>
      <c r="I6472" s="0" t="s">
        <v>21563</v>
      </c>
      <c r="J6472" s="0" t="s">
        <v>21564</v>
      </c>
      <c r="K6472" s="0" t="s">
        <v>21565</v>
      </c>
      <c r="L6472" s="0" t="str">
        <f aca="false">HYPERLINK("https://www.ncbi.nlm.nih.gov/nuccore/CP000058.1?report=graph&amp;tracks=[key:gene_model_track,Options:GeneOnly]&amp;mk=2054190:2054209|offset_6|00cc00,2054247:2054266|offset_63|444444&amp;v=2053989:2054466&amp;c=444444", "offset 6")</f>
        <v>offset 6</v>
      </c>
    </row>
    <row r="6473" customFormat="false" ht="12.8" hidden="false" customHeight="false" outlineLevel="0" collapsed="false">
      <c r="A6473" s="0" t="s">
        <v>12</v>
      </c>
      <c r="B6473" s="0" t="n">
        <v>2054246</v>
      </c>
      <c r="C6473" s="0" t="n">
        <v>2054266</v>
      </c>
      <c r="D6473" s="0" t="s">
        <v>21562</v>
      </c>
      <c r="E6473" s="0" t="s">
        <v>75</v>
      </c>
      <c r="F6473" s="0" t="s">
        <v>15</v>
      </c>
      <c r="G6473" s="0" t="s">
        <v>16</v>
      </c>
      <c r="H6473" s="0" t="n">
        <v>63</v>
      </c>
      <c r="I6473" s="0" t="s">
        <v>21566</v>
      </c>
      <c r="J6473" s="0" t="s">
        <v>21567</v>
      </c>
      <c r="K6473" s="0" t="s">
        <v>21568</v>
      </c>
      <c r="L6473" s="0" t="str">
        <f aca="false">HYPERLINK("https://www.ncbi.nlm.nih.gov/nuccore/CP000058.1?report=graph&amp;tracks=[key:gene_model_track,Options:GeneOnly]&amp;mk=2054190:2054209|offset_6|444444,2054247:2054266|offset_63|00cc00&amp;v=2053989:2054466&amp;c=444444", "offset 63")</f>
        <v>offset 63</v>
      </c>
    </row>
    <row r="6474" customFormat="false" ht="12.8" hidden="false" customHeight="false" outlineLevel="0" collapsed="false">
      <c r="A6474" s="0" t="s">
        <v>12</v>
      </c>
      <c r="B6474" s="0" t="n">
        <v>2054507</v>
      </c>
      <c r="C6474" s="0" t="n">
        <v>2054527</v>
      </c>
      <c r="D6474" s="0" t="s">
        <v>21569</v>
      </c>
      <c r="E6474" s="0" t="s">
        <v>75</v>
      </c>
      <c r="F6474" s="0" t="s">
        <v>15</v>
      </c>
      <c r="G6474" s="0" t="s">
        <v>16</v>
      </c>
      <c r="H6474" s="0" t="n">
        <v>61</v>
      </c>
      <c r="I6474" s="0" t="s">
        <v>21570</v>
      </c>
      <c r="J6474" s="0" t="s">
        <v>21571</v>
      </c>
      <c r="K6474" s="0" t="s">
        <v>21572</v>
      </c>
      <c r="L6474" s="0" t="str">
        <f aca="false">HYPERLINK("https://www.ncbi.nlm.nih.gov/nuccore/CP000058.1?report=graph&amp;tracks=[key:gene_model_track,Options:GeneOnly]&amp;mk=2054508:2054527|offset_61|00cc00,2054532:2054551|offset_85|444444,2054553:2054572|offset_106|444444,2054601:2054620|offset_154|444444&amp;v=2054307:2054820&amp;c=444444", "offset 61")</f>
        <v>offset 61</v>
      </c>
    </row>
    <row r="6475" customFormat="false" ht="12.8" hidden="false" customHeight="false" outlineLevel="0" collapsed="false">
      <c r="A6475" s="0" t="s">
        <v>12</v>
      </c>
      <c r="B6475" s="0" t="n">
        <v>2054531</v>
      </c>
      <c r="C6475" s="0" t="n">
        <v>2054551</v>
      </c>
      <c r="D6475" s="0" t="s">
        <v>21569</v>
      </c>
      <c r="E6475" s="0" t="s">
        <v>75</v>
      </c>
      <c r="F6475" s="0" t="s">
        <v>15</v>
      </c>
      <c r="G6475" s="0" t="s">
        <v>16</v>
      </c>
      <c r="H6475" s="0" t="n">
        <v>85</v>
      </c>
      <c r="I6475" s="0" t="s">
        <v>21573</v>
      </c>
      <c r="J6475" s="0" t="s">
        <v>21574</v>
      </c>
      <c r="K6475" s="0" t="s">
        <v>21575</v>
      </c>
      <c r="L6475" s="0" t="str">
        <f aca="false">HYPERLINK("https://www.ncbi.nlm.nih.gov/nuccore/CP000058.1?report=graph&amp;tracks=[key:gene_model_track,Options:GeneOnly]&amp;mk=2054508:2054527|offset_61|444444,2054532:2054551|offset_85|00cc00,2054553:2054572|offset_106|444444,2054601:2054620|offset_154|444444&amp;v=2054307:2054820&amp;c=444444", "offset 85")</f>
        <v>offset 85</v>
      </c>
    </row>
    <row r="6476" customFormat="false" ht="12.8" hidden="false" customHeight="false" outlineLevel="0" collapsed="false">
      <c r="A6476" s="0" t="s">
        <v>12</v>
      </c>
      <c r="B6476" s="0" t="n">
        <v>2054552</v>
      </c>
      <c r="C6476" s="0" t="n">
        <v>2054572</v>
      </c>
      <c r="D6476" s="0" t="s">
        <v>21569</v>
      </c>
      <c r="E6476" s="0" t="s">
        <v>75</v>
      </c>
      <c r="F6476" s="0" t="s">
        <v>15</v>
      </c>
      <c r="G6476" s="0" t="s">
        <v>32</v>
      </c>
      <c r="H6476" s="0" t="n">
        <v>106</v>
      </c>
      <c r="I6476" s="0" t="s">
        <v>21576</v>
      </c>
      <c r="J6476" s="0" t="s">
        <v>21577</v>
      </c>
      <c r="K6476" s="0" t="s">
        <v>21578</v>
      </c>
      <c r="L6476" s="0" t="str">
        <f aca="false">HYPERLINK("https://www.ncbi.nlm.nih.gov/nuccore/CP000058.1?report=graph&amp;tracks=[key:gene_model_track,Options:GeneOnly]&amp;mk=2054508:2054527|offset_61|444444,2054532:2054551|offset_85|444444,2054553:2054572|offset_106|00cc00,2054601:2054620|offset_154|444444&amp;v=2054307:2054820&amp;c=444444", "offset 106")</f>
        <v>offset 106</v>
      </c>
    </row>
    <row r="6477" customFormat="false" ht="12.8" hidden="false" customHeight="false" outlineLevel="0" collapsed="false">
      <c r="A6477" s="0" t="s">
        <v>12</v>
      </c>
      <c r="B6477" s="0" t="n">
        <v>2054600</v>
      </c>
      <c r="C6477" s="0" t="n">
        <v>2054620</v>
      </c>
      <c r="D6477" s="0" t="s">
        <v>21569</v>
      </c>
      <c r="E6477" s="0" t="s">
        <v>75</v>
      </c>
      <c r="F6477" s="0" t="s">
        <v>15</v>
      </c>
      <c r="G6477" s="0" t="s">
        <v>16</v>
      </c>
      <c r="H6477" s="0" t="n">
        <v>154</v>
      </c>
      <c r="I6477" s="0" t="s">
        <v>21579</v>
      </c>
      <c r="J6477" s="0" t="s">
        <v>21580</v>
      </c>
      <c r="K6477" s="0" t="s">
        <v>21581</v>
      </c>
      <c r="L6477" s="0" t="str">
        <f aca="false">HYPERLINK("https://www.ncbi.nlm.nih.gov/nuccore/CP000058.1?report=graph&amp;tracks=[key:gene_model_track,Options:GeneOnly]&amp;mk=2054508:2054527|offset_61|444444,2054532:2054551|offset_85|444444,2054553:2054572|offset_106|444444,2054601:2054620|offset_154|00cc00&amp;v=2054307:2054820&amp;c=444444", "offset 154")</f>
        <v>offset 154</v>
      </c>
    </row>
    <row r="6478" customFormat="false" ht="12.8" hidden="false" customHeight="false" outlineLevel="0" collapsed="false">
      <c r="A6478" s="0" t="s">
        <v>12</v>
      </c>
      <c r="B6478" s="0" t="n">
        <v>2057324</v>
      </c>
      <c r="C6478" s="0" t="n">
        <v>2057344</v>
      </c>
      <c r="D6478" s="0" t="s">
        <v>21582</v>
      </c>
      <c r="E6478" s="0" t="s">
        <v>75</v>
      </c>
      <c r="F6478" s="0" t="s">
        <v>90</v>
      </c>
      <c r="G6478" s="0" t="s">
        <v>20</v>
      </c>
      <c r="H6478" s="0" t="n">
        <v>0</v>
      </c>
      <c r="I6478" s="0" t="s">
        <v>21583</v>
      </c>
      <c r="J6478" s="0" t="s">
        <v>21584</v>
      </c>
      <c r="K6478" s="0" t="s">
        <v>21585</v>
      </c>
      <c r="L6478" s="0" t="str">
        <f aca="false">HYPERLINK("https://www.ncbi.nlm.nih.gov/nuccore/CP000058.1?report=graph&amp;tracks=[key:gene_model_track,Options:GeneOnly]&amp;mk=2057325:2057344|offset_0|00cc00,2057305:2057324|offset_20|444444,2057277:2057296|offset_48|444444,2057256:2057275|offset_69|444444&amp;v=2057124:2057475&amp;c=444444", "offset 0")</f>
        <v>offset 0</v>
      </c>
    </row>
    <row r="6479" customFormat="false" ht="12.8" hidden="false" customHeight="false" outlineLevel="0" collapsed="false">
      <c r="A6479" s="0" t="s">
        <v>12</v>
      </c>
      <c r="B6479" s="0" t="n">
        <v>2057304</v>
      </c>
      <c r="C6479" s="0" t="n">
        <v>2057324</v>
      </c>
      <c r="D6479" s="0" t="s">
        <v>21582</v>
      </c>
      <c r="E6479" s="0" t="s">
        <v>75</v>
      </c>
      <c r="F6479" s="0" t="s">
        <v>90</v>
      </c>
      <c r="G6479" s="0" t="s">
        <v>20</v>
      </c>
      <c r="H6479" s="0" t="n">
        <v>20</v>
      </c>
      <c r="I6479" s="0" t="s">
        <v>21586</v>
      </c>
      <c r="J6479" s="0" t="s">
        <v>21587</v>
      </c>
      <c r="K6479" s="0" t="s">
        <v>21588</v>
      </c>
      <c r="L6479" s="0" t="str">
        <f aca="false">HYPERLINK("https://www.ncbi.nlm.nih.gov/nuccore/CP000058.1?report=graph&amp;tracks=[key:gene_model_track,Options:GeneOnly]&amp;mk=2057325:2057344|offset_0|444444,2057305:2057324|offset_20|00cc00,2057277:2057296|offset_48|444444,2057256:2057275|offset_69|444444&amp;v=2057124:2057475&amp;c=444444", "offset 20")</f>
        <v>offset 20</v>
      </c>
    </row>
    <row r="6480" customFormat="false" ht="12.8" hidden="false" customHeight="false" outlineLevel="0" collapsed="false">
      <c r="A6480" s="0" t="s">
        <v>12</v>
      </c>
      <c r="B6480" s="0" t="n">
        <v>2057276</v>
      </c>
      <c r="C6480" s="0" t="n">
        <v>2057296</v>
      </c>
      <c r="D6480" s="0" t="s">
        <v>21582</v>
      </c>
      <c r="E6480" s="0" t="s">
        <v>75</v>
      </c>
      <c r="F6480" s="0" t="s">
        <v>90</v>
      </c>
      <c r="G6480" s="0" t="s">
        <v>20</v>
      </c>
      <c r="H6480" s="0" t="n">
        <v>48</v>
      </c>
      <c r="I6480" s="0" t="s">
        <v>21589</v>
      </c>
      <c r="J6480" s="0" t="s">
        <v>21590</v>
      </c>
      <c r="K6480" s="0" t="s">
        <v>21591</v>
      </c>
      <c r="L6480" s="0" t="str">
        <f aca="false">HYPERLINK("https://www.ncbi.nlm.nih.gov/nuccore/CP000058.1?report=graph&amp;tracks=[key:gene_model_track,Options:GeneOnly]&amp;mk=2057325:2057344|offset_0|444444,2057305:2057324|offset_20|444444,2057277:2057296|offset_48|00cc00,2057256:2057275|offset_69|444444&amp;v=2057124:2057475&amp;c=444444", "offset 48")</f>
        <v>offset 48</v>
      </c>
    </row>
    <row r="6481" customFormat="false" ht="12.8" hidden="false" customHeight="false" outlineLevel="0" collapsed="false">
      <c r="A6481" s="0" t="s">
        <v>12</v>
      </c>
      <c r="B6481" s="0" t="n">
        <v>2057255</v>
      </c>
      <c r="C6481" s="0" t="n">
        <v>2057275</v>
      </c>
      <c r="D6481" s="0" t="s">
        <v>21582</v>
      </c>
      <c r="E6481" s="0" t="s">
        <v>75</v>
      </c>
      <c r="F6481" s="0" t="s">
        <v>90</v>
      </c>
      <c r="G6481" s="0" t="s">
        <v>36</v>
      </c>
      <c r="H6481" s="0" t="n">
        <v>69</v>
      </c>
      <c r="I6481" s="0" t="s">
        <v>21592</v>
      </c>
      <c r="J6481" s="0" t="s">
        <v>21593</v>
      </c>
      <c r="K6481" s="0" t="s">
        <v>21594</v>
      </c>
      <c r="L6481" s="0" t="str">
        <f aca="false">HYPERLINK("https://www.ncbi.nlm.nih.gov/nuccore/CP000058.1?report=graph&amp;tracks=[key:gene_model_track,Options:GeneOnly]&amp;mk=2057325:2057344|offset_0|444444,2057305:2057324|offset_20|444444,2057277:2057296|offset_48|444444,2057256:2057275|offset_69|00cc00&amp;v=2057124:2057475&amp;c=444444", "offset 69")</f>
        <v>offset 69</v>
      </c>
    </row>
    <row r="6482" customFormat="false" ht="12.8" hidden="false" customHeight="false" outlineLevel="0" collapsed="false">
      <c r="A6482" s="0" t="s">
        <v>12</v>
      </c>
      <c r="B6482" s="0" t="n">
        <v>2057458</v>
      </c>
      <c r="C6482" s="0" t="n">
        <v>2057478</v>
      </c>
      <c r="D6482" s="0" t="s">
        <v>21595</v>
      </c>
      <c r="E6482" s="0" t="s">
        <v>75</v>
      </c>
      <c r="F6482" s="0" t="s">
        <v>15</v>
      </c>
      <c r="G6482" s="0" t="s">
        <v>16</v>
      </c>
      <c r="H6482" s="0" t="n">
        <v>46</v>
      </c>
      <c r="I6482" s="0" t="s">
        <v>21596</v>
      </c>
      <c r="J6482" s="0" t="s">
        <v>21597</v>
      </c>
      <c r="K6482" s="0" t="s">
        <v>21598</v>
      </c>
      <c r="L6482" s="0" t="str">
        <f aca="false">HYPERLINK("https://www.ncbi.nlm.nih.gov/nuccore/CP000058.1?report=graph&amp;tracks=[key:gene_model_track,Options:GeneOnly]&amp;mk=2057459:2057478|offset_46|00cc00,2057492:2057511|offset_79|444444,2057512:2057531|offset_99|444444,2057535:2057554|offset_122|444444&amp;v=2057258:2057754&amp;c=444444", "offset 46")</f>
        <v>offset 46</v>
      </c>
    </row>
    <row r="6483" customFormat="false" ht="12.8" hidden="false" customHeight="false" outlineLevel="0" collapsed="false">
      <c r="A6483" s="0" t="s">
        <v>12</v>
      </c>
      <c r="B6483" s="0" t="n">
        <v>2057491</v>
      </c>
      <c r="C6483" s="0" t="n">
        <v>2057511</v>
      </c>
      <c r="D6483" s="0" t="s">
        <v>21595</v>
      </c>
      <c r="E6483" s="0" t="s">
        <v>75</v>
      </c>
      <c r="F6483" s="0" t="s">
        <v>15</v>
      </c>
      <c r="G6483" s="0" t="s">
        <v>16</v>
      </c>
      <c r="H6483" s="0" t="n">
        <v>79</v>
      </c>
      <c r="I6483" s="0" t="s">
        <v>21599</v>
      </c>
      <c r="J6483" s="0" t="s">
        <v>21600</v>
      </c>
      <c r="K6483" s="0" t="s">
        <v>21601</v>
      </c>
      <c r="L6483" s="0" t="str">
        <f aca="false">HYPERLINK("https://www.ncbi.nlm.nih.gov/nuccore/CP000058.1?report=graph&amp;tracks=[key:gene_model_track,Options:GeneOnly]&amp;mk=2057459:2057478|offset_46|444444,2057492:2057511|offset_79|00cc00,2057512:2057531|offset_99|444444,2057535:2057554|offset_122|444444&amp;v=2057258:2057754&amp;c=444444", "offset 79")</f>
        <v>offset 79</v>
      </c>
    </row>
    <row r="6484" customFormat="false" ht="12.8" hidden="false" customHeight="false" outlineLevel="0" collapsed="false">
      <c r="A6484" s="0" t="s">
        <v>12</v>
      </c>
      <c r="B6484" s="0" t="n">
        <v>2057511</v>
      </c>
      <c r="C6484" s="0" t="n">
        <v>2057531</v>
      </c>
      <c r="D6484" s="0" t="s">
        <v>21595</v>
      </c>
      <c r="E6484" s="0" t="s">
        <v>75</v>
      </c>
      <c r="F6484" s="0" t="s">
        <v>15</v>
      </c>
      <c r="G6484" s="0" t="s">
        <v>36</v>
      </c>
      <c r="H6484" s="0" t="n">
        <v>99</v>
      </c>
      <c r="I6484" s="0" t="s">
        <v>21602</v>
      </c>
      <c r="J6484" s="0" t="s">
        <v>21603</v>
      </c>
      <c r="K6484" s="0" t="s">
        <v>21604</v>
      </c>
      <c r="L6484" s="0" t="str">
        <f aca="false">HYPERLINK("https://www.ncbi.nlm.nih.gov/nuccore/CP000058.1?report=graph&amp;tracks=[key:gene_model_track,Options:GeneOnly]&amp;mk=2057459:2057478|offset_46|444444,2057492:2057511|offset_79|444444,2057512:2057531|offset_99|00cc00,2057535:2057554|offset_122|444444&amp;v=2057258:2057754&amp;c=444444", "offset 99")</f>
        <v>offset 99</v>
      </c>
    </row>
    <row r="6485" customFormat="false" ht="12.8" hidden="false" customHeight="false" outlineLevel="0" collapsed="false">
      <c r="A6485" s="0" t="s">
        <v>12</v>
      </c>
      <c r="B6485" s="0" t="n">
        <v>2057534</v>
      </c>
      <c r="C6485" s="0" t="n">
        <v>2057554</v>
      </c>
      <c r="D6485" s="0" t="s">
        <v>21595</v>
      </c>
      <c r="E6485" s="0" t="s">
        <v>75</v>
      </c>
      <c r="F6485" s="0" t="s">
        <v>15</v>
      </c>
      <c r="G6485" s="0" t="s">
        <v>32</v>
      </c>
      <c r="H6485" s="0" t="n">
        <v>122</v>
      </c>
      <c r="I6485" s="0" t="s">
        <v>21605</v>
      </c>
      <c r="J6485" s="0" t="s">
        <v>21606</v>
      </c>
      <c r="K6485" s="0" t="s">
        <v>21607</v>
      </c>
      <c r="L6485" s="0" t="str">
        <f aca="false">HYPERLINK("https://www.ncbi.nlm.nih.gov/nuccore/CP000058.1?report=graph&amp;tracks=[key:gene_model_track,Options:GeneOnly]&amp;mk=2057459:2057478|offset_46|444444,2057492:2057511|offset_79|444444,2057512:2057531|offset_99|444444,2057535:2057554|offset_122|00cc00&amp;v=2057258:2057754&amp;c=444444", "offset 122")</f>
        <v>offset 122</v>
      </c>
    </row>
    <row r="6486" customFormat="false" ht="12.8" hidden="false" customHeight="false" outlineLevel="0" collapsed="false">
      <c r="A6486" s="0" t="s">
        <v>12</v>
      </c>
      <c r="B6486" s="0" t="n">
        <v>2058493</v>
      </c>
      <c r="C6486" s="0" t="n">
        <v>2058513</v>
      </c>
      <c r="D6486" s="0" t="s">
        <v>21608</v>
      </c>
      <c r="E6486" s="0" t="s">
        <v>75</v>
      </c>
      <c r="F6486" s="0" t="s">
        <v>90</v>
      </c>
      <c r="G6486" s="0" t="s">
        <v>32</v>
      </c>
      <c r="H6486" s="0" t="n">
        <v>75</v>
      </c>
      <c r="I6486" s="0" t="s">
        <v>21609</v>
      </c>
      <c r="J6486" s="0" t="s">
        <v>21610</v>
      </c>
      <c r="K6486" s="0" t="s">
        <v>21611</v>
      </c>
      <c r="L6486" s="0" t="str">
        <f aca="false">HYPERLINK("https://www.ncbi.nlm.nih.gov/nuccore/CP000058.1?report=graph&amp;tracks=[key:gene_model_track,Options:GeneOnly]&amp;mk=2058494:2058513|offset_75|00cc00,2058431:2058450|offset_138|444444,2058403:2058422|offset_166|444444,2058380:2058399|offset_189|444444&amp;v=2058293:2058599&amp;c=444444", "offset 75")</f>
        <v>offset 75</v>
      </c>
    </row>
    <row r="6487" customFormat="false" ht="12.8" hidden="false" customHeight="false" outlineLevel="0" collapsed="false">
      <c r="A6487" s="0" t="s">
        <v>12</v>
      </c>
      <c r="B6487" s="0" t="n">
        <v>2058430</v>
      </c>
      <c r="C6487" s="0" t="n">
        <v>2058450</v>
      </c>
      <c r="D6487" s="0" t="s">
        <v>21608</v>
      </c>
      <c r="E6487" s="0" t="s">
        <v>75</v>
      </c>
      <c r="F6487" s="0" t="s">
        <v>90</v>
      </c>
      <c r="G6487" s="0" t="s">
        <v>36</v>
      </c>
      <c r="H6487" s="0" t="n">
        <v>138</v>
      </c>
      <c r="I6487" s="0" t="s">
        <v>21612</v>
      </c>
      <c r="J6487" s="0" t="s">
        <v>21613</v>
      </c>
      <c r="K6487" s="0" t="s">
        <v>21614</v>
      </c>
      <c r="L6487" s="0" t="str">
        <f aca="false">HYPERLINK("https://www.ncbi.nlm.nih.gov/nuccore/CP000058.1?report=graph&amp;tracks=[key:gene_model_track,Options:GeneOnly]&amp;mk=2058494:2058513|offset_75|444444,2058431:2058450|offset_138|00cc00,2058403:2058422|offset_166|444444,2058380:2058399|offset_189|444444&amp;v=2058293:2058599&amp;c=444444", "offset 138")</f>
        <v>offset 138</v>
      </c>
    </row>
    <row r="6488" customFormat="false" ht="12.8" hidden="false" customHeight="false" outlineLevel="0" collapsed="false">
      <c r="A6488" s="0" t="s">
        <v>12</v>
      </c>
      <c r="B6488" s="0" t="n">
        <v>2058402</v>
      </c>
      <c r="C6488" s="0" t="n">
        <v>2058422</v>
      </c>
      <c r="D6488" s="0" t="s">
        <v>21608</v>
      </c>
      <c r="E6488" s="0" t="s">
        <v>75</v>
      </c>
      <c r="F6488" s="0" t="s">
        <v>90</v>
      </c>
      <c r="G6488" s="0" t="s">
        <v>16</v>
      </c>
      <c r="H6488" s="0" t="n">
        <v>166</v>
      </c>
      <c r="I6488" s="0" t="s">
        <v>21615</v>
      </c>
      <c r="J6488" s="0" t="s">
        <v>21616</v>
      </c>
      <c r="K6488" s="0" t="s">
        <v>21617</v>
      </c>
      <c r="L6488" s="0" t="str">
        <f aca="false">HYPERLINK("https://www.ncbi.nlm.nih.gov/nuccore/CP000058.1?report=graph&amp;tracks=[key:gene_model_track,Options:GeneOnly]&amp;mk=2058494:2058513|offset_75|444444,2058431:2058450|offset_138|444444,2058403:2058422|offset_166|00cc00,2058380:2058399|offset_189|444444&amp;v=2058293:2058599&amp;c=444444", "offset 166")</f>
        <v>offset 166</v>
      </c>
    </row>
    <row r="6489" customFormat="false" ht="12.8" hidden="false" customHeight="false" outlineLevel="0" collapsed="false">
      <c r="A6489" s="0" t="s">
        <v>12</v>
      </c>
      <c r="B6489" s="0" t="n">
        <v>2058379</v>
      </c>
      <c r="C6489" s="0" t="n">
        <v>2058399</v>
      </c>
      <c r="D6489" s="0" t="s">
        <v>21608</v>
      </c>
      <c r="E6489" s="0" t="s">
        <v>75</v>
      </c>
      <c r="F6489" s="0" t="s">
        <v>90</v>
      </c>
      <c r="G6489" s="0" t="s">
        <v>32</v>
      </c>
      <c r="H6489" s="0" t="n">
        <v>189</v>
      </c>
      <c r="I6489" s="0" t="s">
        <v>21618</v>
      </c>
      <c r="J6489" s="0" t="s">
        <v>21619</v>
      </c>
      <c r="K6489" s="0" t="s">
        <v>21620</v>
      </c>
      <c r="L6489" s="0" t="str">
        <f aca="false">HYPERLINK("https://www.ncbi.nlm.nih.gov/nuccore/CP000058.1?report=graph&amp;tracks=[key:gene_model_track,Options:GeneOnly]&amp;mk=2058494:2058513|offset_75|444444,2058431:2058450|offset_138|444444,2058403:2058422|offset_166|444444,2058380:2058399|offset_189|00cc00&amp;v=2058293:2058599&amp;c=444444", "offset 189")</f>
        <v>offset 189</v>
      </c>
    </row>
    <row r="6490" customFormat="false" ht="12.8" hidden="false" customHeight="false" outlineLevel="0" collapsed="false">
      <c r="A6490" s="0" t="s">
        <v>12</v>
      </c>
      <c r="B6490" s="0" t="n">
        <v>2058790</v>
      </c>
      <c r="C6490" s="0" t="n">
        <v>2058810</v>
      </c>
      <c r="D6490" s="0" t="s">
        <v>21621</v>
      </c>
      <c r="E6490" s="0" t="s">
        <v>75</v>
      </c>
      <c r="F6490" s="0" t="s">
        <v>90</v>
      </c>
      <c r="G6490" s="0" t="s">
        <v>32</v>
      </c>
      <c r="H6490" s="0" t="n">
        <v>7</v>
      </c>
      <c r="I6490" s="0" t="s">
        <v>21622</v>
      </c>
      <c r="J6490" s="0" t="s">
        <v>21623</v>
      </c>
      <c r="K6490" s="0" t="s">
        <v>21624</v>
      </c>
      <c r="L6490" s="0" t="str">
        <f aca="false">HYPERLINK("https://www.ncbi.nlm.nih.gov/nuccore/CP000058.1?report=graph&amp;tracks=[key:gene_model_track,Options:GeneOnly]&amp;mk=2058791:2058810|offset_7|00cc00,2058752:2058771|offset_46|444444,2058728:2058747|offset_70|444444,2058704:2058723|offset_94|444444&amp;v=2058590:2058923&amp;c=444444", "offset 7")</f>
        <v>offset 7</v>
      </c>
    </row>
    <row r="6491" customFormat="false" ht="12.8" hidden="false" customHeight="false" outlineLevel="0" collapsed="false">
      <c r="A6491" s="0" t="s">
        <v>12</v>
      </c>
      <c r="B6491" s="0" t="n">
        <v>2058751</v>
      </c>
      <c r="C6491" s="0" t="n">
        <v>2058771</v>
      </c>
      <c r="D6491" s="0" t="s">
        <v>21621</v>
      </c>
      <c r="E6491" s="0" t="s">
        <v>75</v>
      </c>
      <c r="F6491" s="0" t="s">
        <v>90</v>
      </c>
      <c r="G6491" s="0" t="s">
        <v>36</v>
      </c>
      <c r="H6491" s="0" t="n">
        <v>46</v>
      </c>
      <c r="I6491" s="0" t="s">
        <v>21625</v>
      </c>
      <c r="J6491" s="0" t="s">
        <v>21626</v>
      </c>
      <c r="K6491" s="0" t="s">
        <v>21627</v>
      </c>
      <c r="L6491" s="0" t="str">
        <f aca="false">HYPERLINK("https://www.ncbi.nlm.nih.gov/nuccore/CP000058.1?report=graph&amp;tracks=[key:gene_model_track,Options:GeneOnly]&amp;mk=2058791:2058810|offset_7|444444,2058752:2058771|offset_46|00cc00,2058728:2058747|offset_70|444444,2058704:2058723|offset_94|444444&amp;v=2058590:2058923&amp;c=444444", "offset 46")</f>
        <v>offset 46</v>
      </c>
    </row>
    <row r="6492" customFormat="false" ht="12.8" hidden="false" customHeight="false" outlineLevel="0" collapsed="false">
      <c r="A6492" s="0" t="s">
        <v>12</v>
      </c>
      <c r="B6492" s="0" t="n">
        <v>2058727</v>
      </c>
      <c r="C6492" s="0" t="n">
        <v>2058747</v>
      </c>
      <c r="D6492" s="0" t="s">
        <v>21621</v>
      </c>
      <c r="E6492" s="0" t="s">
        <v>75</v>
      </c>
      <c r="F6492" s="0" t="s">
        <v>90</v>
      </c>
      <c r="G6492" s="0" t="s">
        <v>16</v>
      </c>
      <c r="H6492" s="0" t="n">
        <v>70</v>
      </c>
      <c r="I6492" s="0" t="s">
        <v>21628</v>
      </c>
      <c r="J6492" s="0" t="s">
        <v>21629</v>
      </c>
      <c r="K6492" s="0" t="s">
        <v>21630</v>
      </c>
      <c r="L6492" s="0" t="str">
        <f aca="false">HYPERLINK("https://www.ncbi.nlm.nih.gov/nuccore/CP000058.1?report=graph&amp;tracks=[key:gene_model_track,Options:GeneOnly]&amp;mk=2058791:2058810|offset_7|444444,2058752:2058771|offset_46|444444,2058728:2058747|offset_70|00cc00,2058704:2058723|offset_94|444444&amp;v=2058590:2058923&amp;c=444444", "offset 70")</f>
        <v>offset 70</v>
      </c>
    </row>
    <row r="6493" customFormat="false" ht="12.8" hidden="false" customHeight="false" outlineLevel="0" collapsed="false">
      <c r="A6493" s="0" t="s">
        <v>12</v>
      </c>
      <c r="B6493" s="0" t="n">
        <v>2058703</v>
      </c>
      <c r="C6493" s="0" t="n">
        <v>2058723</v>
      </c>
      <c r="D6493" s="0" t="s">
        <v>21621</v>
      </c>
      <c r="E6493" s="0" t="s">
        <v>75</v>
      </c>
      <c r="F6493" s="0" t="s">
        <v>90</v>
      </c>
      <c r="G6493" s="0" t="s">
        <v>36</v>
      </c>
      <c r="H6493" s="0" t="n">
        <v>94</v>
      </c>
      <c r="I6493" s="0" t="s">
        <v>21631</v>
      </c>
      <c r="J6493" s="0" t="s">
        <v>21632</v>
      </c>
      <c r="K6493" s="0" t="s">
        <v>21633</v>
      </c>
      <c r="L6493" s="0" t="str">
        <f aca="false">HYPERLINK("https://www.ncbi.nlm.nih.gov/nuccore/CP000058.1?report=graph&amp;tracks=[key:gene_model_track,Options:GeneOnly]&amp;mk=2058791:2058810|offset_7|444444,2058752:2058771|offset_46|444444,2058728:2058747|offset_70|444444,2058704:2058723|offset_94|00cc00&amp;v=2058590:2058923&amp;c=444444", "offset 94")</f>
        <v>offset 94</v>
      </c>
    </row>
    <row r="6494" customFormat="false" ht="12.8" hidden="false" customHeight="false" outlineLevel="0" collapsed="false">
      <c r="A6494" s="0" t="s">
        <v>12</v>
      </c>
      <c r="B6494" s="0" t="n">
        <v>2059965</v>
      </c>
      <c r="C6494" s="0" t="n">
        <v>2059985</v>
      </c>
      <c r="D6494" s="0" t="s">
        <v>21634</v>
      </c>
      <c r="E6494" s="0" t="s">
        <v>75</v>
      </c>
      <c r="F6494" s="0" t="s">
        <v>90</v>
      </c>
      <c r="G6494" s="0" t="s">
        <v>20</v>
      </c>
      <c r="H6494" s="0" t="n">
        <v>8</v>
      </c>
      <c r="I6494" s="0" t="s">
        <v>21635</v>
      </c>
      <c r="J6494" s="0" t="s">
        <v>21636</v>
      </c>
      <c r="K6494" s="0" t="s">
        <v>21637</v>
      </c>
      <c r="L6494" s="0" t="str">
        <f aca="false">HYPERLINK("https://www.ncbi.nlm.nih.gov/nuccore/CP000058.1?report=graph&amp;tracks=[key:gene_model_track,Options:GeneOnly]&amp;mk=2059966:2059985|offset_8|00cc00,2059945:2059964|offset_29|444444,2059923:2059942|offset_51|444444,2059865:2059884|offset_109|444444&amp;v=2059765:2060084&amp;c=444444", "offset 8")</f>
        <v>offset 8</v>
      </c>
    </row>
    <row r="6495" customFormat="false" ht="12.8" hidden="false" customHeight="false" outlineLevel="0" collapsed="false">
      <c r="A6495" s="0" t="s">
        <v>12</v>
      </c>
      <c r="B6495" s="0" t="n">
        <v>2059944</v>
      </c>
      <c r="C6495" s="0" t="n">
        <v>2059964</v>
      </c>
      <c r="D6495" s="0" t="s">
        <v>21634</v>
      </c>
      <c r="E6495" s="0" t="s">
        <v>75</v>
      </c>
      <c r="F6495" s="0" t="s">
        <v>90</v>
      </c>
      <c r="G6495" s="0" t="s">
        <v>36</v>
      </c>
      <c r="H6495" s="0" t="n">
        <v>29</v>
      </c>
      <c r="I6495" s="0" t="s">
        <v>21638</v>
      </c>
      <c r="J6495" s="0" t="s">
        <v>21639</v>
      </c>
      <c r="K6495" s="0" t="s">
        <v>21640</v>
      </c>
      <c r="L6495" s="0" t="str">
        <f aca="false">HYPERLINK("https://www.ncbi.nlm.nih.gov/nuccore/CP000058.1?report=graph&amp;tracks=[key:gene_model_track,Options:GeneOnly]&amp;mk=2059966:2059985|offset_8|444444,2059945:2059964|offset_29|00cc00,2059923:2059942|offset_51|444444,2059865:2059884|offset_109|444444&amp;v=2059765:2060084&amp;c=444444", "offset 29")</f>
        <v>offset 29</v>
      </c>
    </row>
    <row r="6496" customFormat="false" ht="12.8" hidden="false" customHeight="false" outlineLevel="0" collapsed="false">
      <c r="A6496" s="0" t="s">
        <v>12</v>
      </c>
      <c r="B6496" s="0" t="n">
        <v>2059922</v>
      </c>
      <c r="C6496" s="0" t="n">
        <v>2059942</v>
      </c>
      <c r="D6496" s="0" t="s">
        <v>21634</v>
      </c>
      <c r="E6496" s="0" t="s">
        <v>75</v>
      </c>
      <c r="F6496" s="0" t="s">
        <v>90</v>
      </c>
      <c r="G6496" s="0" t="s">
        <v>36</v>
      </c>
      <c r="H6496" s="0" t="n">
        <v>51</v>
      </c>
      <c r="I6496" s="0" t="s">
        <v>21641</v>
      </c>
      <c r="J6496" s="0" t="s">
        <v>21642</v>
      </c>
      <c r="K6496" s="0" t="s">
        <v>21643</v>
      </c>
      <c r="L6496" s="0" t="str">
        <f aca="false">HYPERLINK("https://www.ncbi.nlm.nih.gov/nuccore/CP000058.1?report=graph&amp;tracks=[key:gene_model_track,Options:GeneOnly]&amp;mk=2059966:2059985|offset_8|444444,2059945:2059964|offset_29|444444,2059923:2059942|offset_51|00cc00,2059865:2059884|offset_109|444444&amp;v=2059765:2060084&amp;c=444444", "offset 51")</f>
        <v>offset 51</v>
      </c>
    </row>
    <row r="6497" customFormat="false" ht="12.8" hidden="false" customHeight="false" outlineLevel="0" collapsed="false">
      <c r="A6497" s="0" t="s">
        <v>12</v>
      </c>
      <c r="B6497" s="0" t="n">
        <v>2059864</v>
      </c>
      <c r="C6497" s="0" t="n">
        <v>2059884</v>
      </c>
      <c r="D6497" s="0" t="s">
        <v>21634</v>
      </c>
      <c r="E6497" s="0" t="s">
        <v>75</v>
      </c>
      <c r="F6497" s="0" t="s">
        <v>90</v>
      </c>
      <c r="G6497" s="0" t="s">
        <v>32</v>
      </c>
      <c r="H6497" s="0" t="n">
        <v>109</v>
      </c>
      <c r="I6497" s="0" t="s">
        <v>21644</v>
      </c>
      <c r="J6497" s="0" t="s">
        <v>21645</v>
      </c>
      <c r="K6497" s="0" t="s">
        <v>21646</v>
      </c>
      <c r="L6497" s="0" t="str">
        <f aca="false">HYPERLINK("https://www.ncbi.nlm.nih.gov/nuccore/CP000058.1?report=graph&amp;tracks=[key:gene_model_track,Options:GeneOnly]&amp;mk=2059966:2059985|offset_8|444444,2059945:2059964|offset_29|444444,2059923:2059942|offset_51|444444,2059865:2059884|offset_109|00cc00&amp;v=2059765:2060084&amp;c=444444", "offset 109")</f>
        <v>offset 109</v>
      </c>
    </row>
    <row r="6498" customFormat="false" ht="12.8" hidden="false" customHeight="false" outlineLevel="0" collapsed="false">
      <c r="A6498" s="0" t="s">
        <v>12</v>
      </c>
      <c r="B6498" s="0" t="n">
        <v>2060213</v>
      </c>
      <c r="C6498" s="0" t="n">
        <v>2060233</v>
      </c>
      <c r="D6498" s="0" t="s">
        <v>21647</v>
      </c>
      <c r="E6498" s="0" t="s">
        <v>75</v>
      </c>
      <c r="F6498" s="0" t="s">
        <v>15</v>
      </c>
      <c r="G6498" s="0" t="s">
        <v>16</v>
      </c>
      <c r="H6498" s="0" t="n">
        <v>46</v>
      </c>
      <c r="I6498" s="0" t="s">
        <v>21648</v>
      </c>
      <c r="J6498" s="0" t="s">
        <v>21649</v>
      </c>
      <c r="K6498" s="0" t="s">
        <v>21650</v>
      </c>
      <c r="L6498" s="0" t="str">
        <f aca="false">HYPERLINK("https://www.ncbi.nlm.nih.gov/nuccore/CP000058.1?report=graph&amp;tracks=[key:gene_model_track,Options:GeneOnly]&amp;mk=2060214:2060233|offset_46|00cc00,2060251:2060270|offset_83|444444,2060283:2060302|offset_115|444444,2060307:2060326|offset_139|444444&amp;v=2060013:2060526&amp;c=444444", "offset 46")</f>
        <v>offset 46</v>
      </c>
    </row>
    <row r="6499" customFormat="false" ht="12.8" hidden="false" customHeight="false" outlineLevel="0" collapsed="false">
      <c r="A6499" s="0" t="s">
        <v>12</v>
      </c>
      <c r="B6499" s="0" t="n">
        <v>2060250</v>
      </c>
      <c r="C6499" s="0" t="n">
        <v>2060270</v>
      </c>
      <c r="D6499" s="0" t="s">
        <v>21647</v>
      </c>
      <c r="E6499" s="0" t="s">
        <v>75</v>
      </c>
      <c r="F6499" s="0" t="s">
        <v>15</v>
      </c>
      <c r="G6499" s="0" t="s">
        <v>16</v>
      </c>
      <c r="H6499" s="0" t="n">
        <v>83</v>
      </c>
      <c r="I6499" s="0" t="s">
        <v>21651</v>
      </c>
      <c r="J6499" s="0" t="s">
        <v>21652</v>
      </c>
      <c r="K6499" s="0" t="s">
        <v>21653</v>
      </c>
      <c r="L6499" s="0" t="str">
        <f aca="false">HYPERLINK("https://www.ncbi.nlm.nih.gov/nuccore/CP000058.1?report=graph&amp;tracks=[key:gene_model_track,Options:GeneOnly]&amp;mk=2060214:2060233|offset_46|444444,2060251:2060270|offset_83|00cc00,2060283:2060302|offset_115|444444,2060307:2060326|offset_139|444444&amp;v=2060013:2060526&amp;c=444444", "offset 83")</f>
        <v>offset 83</v>
      </c>
    </row>
    <row r="6500" customFormat="false" ht="12.8" hidden="false" customHeight="false" outlineLevel="0" collapsed="false">
      <c r="A6500" s="0" t="s">
        <v>12</v>
      </c>
      <c r="B6500" s="0" t="n">
        <v>2060282</v>
      </c>
      <c r="C6500" s="0" t="n">
        <v>2060302</v>
      </c>
      <c r="D6500" s="0" t="s">
        <v>21647</v>
      </c>
      <c r="E6500" s="0" t="s">
        <v>75</v>
      </c>
      <c r="F6500" s="0" t="s">
        <v>15</v>
      </c>
      <c r="G6500" s="0" t="s">
        <v>20</v>
      </c>
      <c r="H6500" s="0" t="n">
        <v>115</v>
      </c>
      <c r="I6500" s="0" t="s">
        <v>21654</v>
      </c>
      <c r="J6500" s="0" t="s">
        <v>21655</v>
      </c>
      <c r="K6500" s="0" t="s">
        <v>21656</v>
      </c>
      <c r="L6500" s="0" t="str">
        <f aca="false">HYPERLINK("https://www.ncbi.nlm.nih.gov/nuccore/CP000058.1?report=graph&amp;tracks=[key:gene_model_track,Options:GeneOnly]&amp;mk=2060214:2060233|offset_46|444444,2060251:2060270|offset_83|444444,2060283:2060302|offset_115|00cc00,2060307:2060326|offset_139|444444&amp;v=2060013:2060526&amp;c=444444", "offset 115")</f>
        <v>offset 115</v>
      </c>
    </row>
    <row r="6501" customFormat="false" ht="12.8" hidden="false" customHeight="false" outlineLevel="0" collapsed="false">
      <c r="A6501" s="0" t="s">
        <v>12</v>
      </c>
      <c r="B6501" s="0" t="n">
        <v>2060306</v>
      </c>
      <c r="C6501" s="0" t="n">
        <v>2060326</v>
      </c>
      <c r="D6501" s="0" t="s">
        <v>21647</v>
      </c>
      <c r="E6501" s="0" t="s">
        <v>75</v>
      </c>
      <c r="F6501" s="0" t="s">
        <v>15</v>
      </c>
      <c r="G6501" s="0" t="s">
        <v>16</v>
      </c>
      <c r="H6501" s="0" t="n">
        <v>139</v>
      </c>
      <c r="I6501" s="0" t="s">
        <v>21657</v>
      </c>
      <c r="J6501" s="0" t="s">
        <v>21658</v>
      </c>
      <c r="K6501" s="0" t="s">
        <v>21659</v>
      </c>
      <c r="L6501" s="0" t="str">
        <f aca="false">HYPERLINK("https://www.ncbi.nlm.nih.gov/nuccore/CP000058.1?report=graph&amp;tracks=[key:gene_model_track,Options:GeneOnly]&amp;mk=2060214:2060233|offset_46|444444,2060251:2060270|offset_83|444444,2060283:2060302|offset_115|444444,2060307:2060326|offset_139|00cc00&amp;v=2060013:2060526&amp;c=444444", "offset 139")</f>
        <v>offset 139</v>
      </c>
    </row>
    <row r="6502" customFormat="false" ht="12.8" hidden="false" customHeight="false" outlineLevel="0" collapsed="false">
      <c r="A6502" s="0" t="s">
        <v>12</v>
      </c>
      <c r="B6502" s="0" t="n">
        <v>2060860</v>
      </c>
      <c r="C6502" s="0" t="n">
        <v>2060880</v>
      </c>
      <c r="D6502" s="0" t="s">
        <v>21660</v>
      </c>
      <c r="E6502" s="0" t="s">
        <v>75</v>
      </c>
      <c r="F6502" s="0" t="s">
        <v>15</v>
      </c>
      <c r="G6502" s="0" t="s">
        <v>36</v>
      </c>
      <c r="H6502" s="0" t="n">
        <v>25</v>
      </c>
      <c r="I6502" s="0" t="s">
        <v>21661</v>
      </c>
      <c r="J6502" s="0" t="s">
        <v>21662</v>
      </c>
      <c r="K6502" s="0" t="s">
        <v>21663</v>
      </c>
      <c r="L6502" s="0" t="str">
        <f aca="false">HYPERLINK("https://www.ncbi.nlm.nih.gov/nuccore/CP000058.1?report=graph&amp;tracks=[key:gene_model_track,Options:GeneOnly]&amp;mk=2060861:2060880|offset_25|00cc00,2060882:2060901|offset_46|444444,2060906:2060925|offset_70|444444,2060954:2060973|offset_118|444444&amp;v=2060660:2061173&amp;c=444444", "offset 25")</f>
        <v>offset 25</v>
      </c>
    </row>
    <row r="6503" customFormat="false" ht="12.8" hidden="false" customHeight="false" outlineLevel="0" collapsed="false">
      <c r="A6503" s="0" t="s">
        <v>12</v>
      </c>
      <c r="B6503" s="0" t="n">
        <v>2060881</v>
      </c>
      <c r="C6503" s="0" t="n">
        <v>2060901</v>
      </c>
      <c r="D6503" s="0" t="s">
        <v>21660</v>
      </c>
      <c r="E6503" s="0" t="s">
        <v>75</v>
      </c>
      <c r="F6503" s="0" t="s">
        <v>15</v>
      </c>
      <c r="G6503" s="0" t="s">
        <v>36</v>
      </c>
      <c r="H6503" s="0" t="n">
        <v>46</v>
      </c>
      <c r="I6503" s="0" t="s">
        <v>21664</v>
      </c>
      <c r="J6503" s="0" t="s">
        <v>21665</v>
      </c>
      <c r="K6503" s="0" t="s">
        <v>21666</v>
      </c>
      <c r="L6503" s="0" t="str">
        <f aca="false">HYPERLINK("https://www.ncbi.nlm.nih.gov/nuccore/CP000058.1?report=graph&amp;tracks=[key:gene_model_track,Options:GeneOnly]&amp;mk=2060861:2060880|offset_25|444444,2060882:2060901|offset_46|00cc00,2060906:2060925|offset_70|444444,2060954:2060973|offset_118|444444&amp;v=2060660:2061173&amp;c=444444", "offset 46")</f>
        <v>offset 46</v>
      </c>
    </row>
    <row r="6504" customFormat="false" ht="12.8" hidden="false" customHeight="false" outlineLevel="0" collapsed="false">
      <c r="A6504" s="0" t="s">
        <v>12</v>
      </c>
      <c r="B6504" s="0" t="n">
        <v>2060905</v>
      </c>
      <c r="C6504" s="0" t="n">
        <v>2060925</v>
      </c>
      <c r="D6504" s="0" t="s">
        <v>21660</v>
      </c>
      <c r="E6504" s="0" t="s">
        <v>75</v>
      </c>
      <c r="F6504" s="0" t="s">
        <v>15</v>
      </c>
      <c r="G6504" s="0" t="s">
        <v>32</v>
      </c>
      <c r="H6504" s="0" t="n">
        <v>70</v>
      </c>
      <c r="I6504" s="0" t="s">
        <v>21667</v>
      </c>
      <c r="J6504" s="0" t="s">
        <v>21668</v>
      </c>
      <c r="K6504" s="0" t="s">
        <v>21669</v>
      </c>
      <c r="L6504" s="0" t="str">
        <f aca="false">HYPERLINK("https://www.ncbi.nlm.nih.gov/nuccore/CP000058.1?report=graph&amp;tracks=[key:gene_model_track,Options:GeneOnly]&amp;mk=2060861:2060880|offset_25|444444,2060882:2060901|offset_46|444444,2060906:2060925|offset_70|00cc00,2060954:2060973|offset_118|444444&amp;v=2060660:2061173&amp;c=444444", "offset 70")</f>
        <v>offset 70</v>
      </c>
    </row>
    <row r="6505" customFormat="false" ht="12.8" hidden="false" customHeight="false" outlineLevel="0" collapsed="false">
      <c r="A6505" s="0" t="s">
        <v>12</v>
      </c>
      <c r="B6505" s="0" t="n">
        <v>2060953</v>
      </c>
      <c r="C6505" s="0" t="n">
        <v>2060973</v>
      </c>
      <c r="D6505" s="0" t="s">
        <v>21660</v>
      </c>
      <c r="E6505" s="0" t="s">
        <v>75</v>
      </c>
      <c r="F6505" s="0" t="s">
        <v>15</v>
      </c>
      <c r="G6505" s="0" t="s">
        <v>36</v>
      </c>
      <c r="H6505" s="0" t="n">
        <v>118</v>
      </c>
      <c r="I6505" s="0" t="s">
        <v>21670</v>
      </c>
      <c r="J6505" s="0" t="s">
        <v>21671</v>
      </c>
      <c r="K6505" s="0" t="s">
        <v>21672</v>
      </c>
      <c r="L6505" s="0" t="str">
        <f aca="false">HYPERLINK("https://www.ncbi.nlm.nih.gov/nuccore/CP000058.1?report=graph&amp;tracks=[key:gene_model_track,Options:GeneOnly]&amp;mk=2060861:2060880|offset_25|444444,2060882:2060901|offset_46|444444,2060906:2060925|offset_70|444444,2060954:2060973|offset_118|00cc00&amp;v=2060660:2061173&amp;c=444444", "offset 118")</f>
        <v>offset 118</v>
      </c>
    </row>
    <row r="6506" customFormat="false" ht="12.8" hidden="false" customHeight="false" outlineLevel="0" collapsed="false">
      <c r="A6506" s="0" t="s">
        <v>12</v>
      </c>
      <c r="B6506" s="0" t="n">
        <v>2064340</v>
      </c>
      <c r="C6506" s="0" t="n">
        <v>2064360</v>
      </c>
      <c r="D6506" s="0" t="s">
        <v>21673</v>
      </c>
      <c r="E6506" s="0" t="s">
        <v>75</v>
      </c>
      <c r="F6506" s="0" t="s">
        <v>90</v>
      </c>
      <c r="G6506" s="0" t="s">
        <v>16</v>
      </c>
      <c r="H6506" s="0" t="n">
        <v>1</v>
      </c>
      <c r="I6506" s="0" t="s">
        <v>21674</v>
      </c>
      <c r="J6506" s="0" t="s">
        <v>21675</v>
      </c>
      <c r="K6506" s="0" t="s">
        <v>21676</v>
      </c>
      <c r="L6506" s="0" t="str">
        <f aca="false">HYPERLINK("https://www.ncbi.nlm.nih.gov/nuccore/CP000058.1?report=graph&amp;tracks=[key:gene_model_track,Options:GeneOnly]&amp;mk=2064341:2064360|offset_1|00cc00,2064272:2064291|offset_70|444444,2064229:2064248|offset_113|444444,2064197:2064216|offset_145|444444&amp;v=2064140:2064416&amp;c=444444", "offset 1")</f>
        <v>offset 1</v>
      </c>
    </row>
    <row r="6507" customFormat="false" ht="12.8" hidden="false" customHeight="false" outlineLevel="0" collapsed="false">
      <c r="A6507" s="0" t="s">
        <v>12</v>
      </c>
      <c r="B6507" s="0" t="n">
        <v>2064271</v>
      </c>
      <c r="C6507" s="0" t="n">
        <v>2064291</v>
      </c>
      <c r="D6507" s="0" t="s">
        <v>21673</v>
      </c>
      <c r="E6507" s="0" t="s">
        <v>75</v>
      </c>
      <c r="F6507" s="0" t="s">
        <v>90</v>
      </c>
      <c r="G6507" s="0" t="s">
        <v>20</v>
      </c>
      <c r="H6507" s="0" t="n">
        <v>70</v>
      </c>
      <c r="I6507" s="0" t="s">
        <v>21677</v>
      </c>
      <c r="J6507" s="0" t="s">
        <v>21678</v>
      </c>
      <c r="K6507" s="0" t="s">
        <v>21679</v>
      </c>
      <c r="L6507" s="0" t="str">
        <f aca="false">HYPERLINK("https://www.ncbi.nlm.nih.gov/nuccore/CP000058.1?report=graph&amp;tracks=[key:gene_model_track,Options:GeneOnly]&amp;mk=2064341:2064360|offset_1|444444,2064272:2064291|offset_70|00cc00,2064229:2064248|offset_113|444444,2064197:2064216|offset_145|444444&amp;v=2064140:2064416&amp;c=444444", "offset 70")</f>
        <v>offset 70</v>
      </c>
    </row>
    <row r="6508" customFormat="false" ht="12.8" hidden="false" customHeight="false" outlineLevel="0" collapsed="false">
      <c r="A6508" s="0" t="s">
        <v>12</v>
      </c>
      <c r="B6508" s="0" t="n">
        <v>2064228</v>
      </c>
      <c r="C6508" s="0" t="n">
        <v>2064248</v>
      </c>
      <c r="D6508" s="0" t="s">
        <v>21673</v>
      </c>
      <c r="E6508" s="0" t="s">
        <v>75</v>
      </c>
      <c r="F6508" s="0" t="s">
        <v>90</v>
      </c>
      <c r="G6508" s="0" t="s">
        <v>20</v>
      </c>
      <c r="H6508" s="0" t="n">
        <v>113</v>
      </c>
      <c r="I6508" s="0" t="s">
        <v>21680</v>
      </c>
      <c r="J6508" s="0" t="s">
        <v>21681</v>
      </c>
      <c r="K6508" s="0" t="s">
        <v>21682</v>
      </c>
      <c r="L6508" s="0" t="str">
        <f aca="false">HYPERLINK("https://www.ncbi.nlm.nih.gov/nuccore/CP000058.1?report=graph&amp;tracks=[key:gene_model_track,Options:GeneOnly]&amp;mk=2064341:2064360|offset_1|444444,2064272:2064291|offset_70|444444,2064229:2064248|offset_113|00cc00,2064197:2064216|offset_145|444444&amp;v=2064140:2064416&amp;c=444444", "offset 113")</f>
        <v>offset 113</v>
      </c>
    </row>
    <row r="6509" customFormat="false" ht="12.8" hidden="false" customHeight="false" outlineLevel="0" collapsed="false">
      <c r="A6509" s="0" t="s">
        <v>12</v>
      </c>
      <c r="B6509" s="0" t="n">
        <v>2064196</v>
      </c>
      <c r="C6509" s="0" t="n">
        <v>2064216</v>
      </c>
      <c r="D6509" s="0" t="s">
        <v>21673</v>
      </c>
      <c r="E6509" s="0" t="s">
        <v>75</v>
      </c>
      <c r="F6509" s="0" t="s">
        <v>90</v>
      </c>
      <c r="G6509" s="0" t="s">
        <v>16</v>
      </c>
      <c r="H6509" s="0" t="n">
        <v>145</v>
      </c>
      <c r="I6509" s="0" t="s">
        <v>21683</v>
      </c>
      <c r="J6509" s="0" t="s">
        <v>21684</v>
      </c>
      <c r="K6509" s="0" t="s">
        <v>21685</v>
      </c>
      <c r="L6509" s="0" t="str">
        <f aca="false">HYPERLINK("https://www.ncbi.nlm.nih.gov/nuccore/CP000058.1?report=graph&amp;tracks=[key:gene_model_track,Options:GeneOnly]&amp;mk=2064341:2064360|offset_1|444444,2064272:2064291|offset_70|444444,2064229:2064248|offset_113|444444,2064197:2064216|offset_145|00cc00&amp;v=2064140:2064416&amp;c=444444", "offset 145")</f>
        <v>offset 145</v>
      </c>
    </row>
    <row r="6510" customFormat="false" ht="12.8" hidden="false" customHeight="false" outlineLevel="0" collapsed="false">
      <c r="A6510" s="0" t="s">
        <v>12</v>
      </c>
      <c r="B6510" s="0" t="n">
        <v>2064835</v>
      </c>
      <c r="C6510" s="0" t="n">
        <v>2064855</v>
      </c>
      <c r="D6510" s="0" t="s">
        <v>21686</v>
      </c>
      <c r="E6510" s="0" t="s">
        <v>21687</v>
      </c>
      <c r="F6510" s="0" t="s">
        <v>90</v>
      </c>
      <c r="G6510" s="0" t="s">
        <v>32</v>
      </c>
      <c r="H6510" s="0" t="n">
        <v>24</v>
      </c>
      <c r="I6510" s="0" t="s">
        <v>21688</v>
      </c>
      <c r="J6510" s="0" t="s">
        <v>21689</v>
      </c>
      <c r="K6510" s="0" t="s">
        <v>21690</v>
      </c>
      <c r="L6510" s="0" t="str">
        <f aca="false">HYPERLINK("https://www.ncbi.nlm.nih.gov/nuccore/CP000058.1?report=graph&amp;tracks=[key:gene_model_track,Options:GeneOnly]&amp;mk=2064836:2064855|offset_24|00cc00,2064812:2064831|offset_48|444444,2064790:2064809|offset_70|444444,2064751:2064770|offset_109|444444&amp;v=2064635:2064970&amp;c=444444", "offset 24")</f>
        <v>offset 24</v>
      </c>
    </row>
    <row r="6511" customFormat="false" ht="12.8" hidden="false" customHeight="false" outlineLevel="0" collapsed="false">
      <c r="A6511" s="0" t="s">
        <v>12</v>
      </c>
      <c r="B6511" s="0" t="n">
        <v>2064811</v>
      </c>
      <c r="C6511" s="0" t="n">
        <v>2064831</v>
      </c>
      <c r="D6511" s="0" t="s">
        <v>21686</v>
      </c>
      <c r="E6511" s="0" t="s">
        <v>21687</v>
      </c>
      <c r="F6511" s="0" t="s">
        <v>90</v>
      </c>
      <c r="G6511" s="0" t="s">
        <v>32</v>
      </c>
      <c r="H6511" s="0" t="n">
        <v>48</v>
      </c>
      <c r="I6511" s="0" t="s">
        <v>21691</v>
      </c>
      <c r="J6511" s="0" t="s">
        <v>21692</v>
      </c>
      <c r="K6511" s="0" t="s">
        <v>21693</v>
      </c>
      <c r="L6511" s="0" t="str">
        <f aca="false">HYPERLINK("https://www.ncbi.nlm.nih.gov/nuccore/CP000058.1?report=graph&amp;tracks=[key:gene_model_track,Options:GeneOnly]&amp;mk=2064836:2064855|offset_24|444444,2064812:2064831|offset_48|00cc00,2064790:2064809|offset_70|444444,2064751:2064770|offset_109|444444&amp;v=2064635:2064970&amp;c=444444", "offset 48")</f>
        <v>offset 48</v>
      </c>
    </row>
    <row r="6512" customFormat="false" ht="12.8" hidden="false" customHeight="false" outlineLevel="0" collapsed="false">
      <c r="A6512" s="0" t="s">
        <v>12</v>
      </c>
      <c r="B6512" s="0" t="n">
        <v>2064789</v>
      </c>
      <c r="C6512" s="0" t="n">
        <v>2064809</v>
      </c>
      <c r="D6512" s="0" t="s">
        <v>21686</v>
      </c>
      <c r="E6512" s="0" t="s">
        <v>21687</v>
      </c>
      <c r="F6512" s="0" t="s">
        <v>90</v>
      </c>
      <c r="G6512" s="0" t="s">
        <v>16</v>
      </c>
      <c r="H6512" s="0" t="n">
        <v>70</v>
      </c>
      <c r="I6512" s="0" t="s">
        <v>21694</v>
      </c>
      <c r="J6512" s="0" t="s">
        <v>21695</v>
      </c>
      <c r="K6512" s="0" t="s">
        <v>21696</v>
      </c>
      <c r="L6512" s="0" t="str">
        <f aca="false">HYPERLINK("https://www.ncbi.nlm.nih.gov/nuccore/CP000058.1?report=graph&amp;tracks=[key:gene_model_track,Options:GeneOnly]&amp;mk=2064836:2064855|offset_24|444444,2064812:2064831|offset_48|444444,2064790:2064809|offset_70|00cc00,2064751:2064770|offset_109|444444&amp;v=2064635:2064970&amp;c=444444", "offset 70")</f>
        <v>offset 70</v>
      </c>
    </row>
    <row r="6513" customFormat="false" ht="12.8" hidden="false" customHeight="false" outlineLevel="0" collapsed="false">
      <c r="A6513" s="0" t="s">
        <v>12</v>
      </c>
      <c r="B6513" s="0" t="n">
        <v>2064750</v>
      </c>
      <c r="C6513" s="0" t="n">
        <v>2064770</v>
      </c>
      <c r="D6513" s="0" t="s">
        <v>21686</v>
      </c>
      <c r="E6513" s="0" t="s">
        <v>21687</v>
      </c>
      <c r="F6513" s="0" t="s">
        <v>90</v>
      </c>
      <c r="G6513" s="0" t="s">
        <v>32</v>
      </c>
      <c r="H6513" s="0" t="n">
        <v>109</v>
      </c>
      <c r="I6513" s="0" t="s">
        <v>21697</v>
      </c>
      <c r="J6513" s="0" t="s">
        <v>21698</v>
      </c>
      <c r="K6513" s="0" t="s">
        <v>21699</v>
      </c>
      <c r="L6513" s="0" t="str">
        <f aca="false">HYPERLINK("https://www.ncbi.nlm.nih.gov/nuccore/CP000058.1?report=graph&amp;tracks=[key:gene_model_track,Options:GeneOnly]&amp;mk=2064836:2064855|offset_24|444444,2064812:2064831|offset_48|444444,2064790:2064809|offset_70|444444,2064751:2064770|offset_109|00cc00&amp;v=2064635:2064970&amp;c=444444", "offset 109")</f>
        <v>offset 109</v>
      </c>
    </row>
    <row r="6514" customFormat="false" ht="12.8" hidden="false" customHeight="false" outlineLevel="0" collapsed="false">
      <c r="A6514" s="0" t="s">
        <v>12</v>
      </c>
      <c r="B6514" s="0" t="n">
        <v>2066081</v>
      </c>
      <c r="C6514" s="0" t="n">
        <v>2066101</v>
      </c>
      <c r="D6514" s="0" t="s">
        <v>21700</v>
      </c>
      <c r="E6514" s="0" t="s">
        <v>75</v>
      </c>
      <c r="F6514" s="0" t="s">
        <v>90</v>
      </c>
      <c r="G6514" s="0" t="s">
        <v>16</v>
      </c>
      <c r="H6514" s="0" t="n">
        <v>16</v>
      </c>
      <c r="I6514" s="0" t="s">
        <v>21701</v>
      </c>
      <c r="J6514" s="0" t="s">
        <v>21702</v>
      </c>
      <c r="K6514" s="0" t="s">
        <v>21703</v>
      </c>
      <c r="L6514" s="0" t="str">
        <f aca="false">HYPERLINK("https://www.ncbi.nlm.nih.gov/nuccore/CP000058.1?report=graph&amp;tracks=[key:gene_model_track,Options:GeneOnly]&amp;mk=2066082:2066101|offset_16|00cc00,2066057:2066076|offset_41|444444,2066034:2066053|offset_64|444444,2066001:2066020|offset_97|444444&amp;v=2065881:2066220&amp;c=444444", "offset 16")</f>
        <v>offset 16</v>
      </c>
    </row>
    <row r="6515" customFormat="false" ht="12.8" hidden="false" customHeight="false" outlineLevel="0" collapsed="false">
      <c r="A6515" s="0" t="s">
        <v>12</v>
      </c>
      <c r="B6515" s="0" t="n">
        <v>2066056</v>
      </c>
      <c r="C6515" s="0" t="n">
        <v>2066076</v>
      </c>
      <c r="D6515" s="0" t="s">
        <v>21700</v>
      </c>
      <c r="E6515" s="0" t="s">
        <v>75</v>
      </c>
      <c r="F6515" s="0" t="s">
        <v>90</v>
      </c>
      <c r="G6515" s="0" t="s">
        <v>20</v>
      </c>
      <c r="H6515" s="0" t="n">
        <v>41</v>
      </c>
      <c r="I6515" s="0" t="s">
        <v>21704</v>
      </c>
      <c r="J6515" s="0" t="s">
        <v>21705</v>
      </c>
      <c r="K6515" s="0" t="s">
        <v>21706</v>
      </c>
      <c r="L6515" s="0" t="str">
        <f aca="false">HYPERLINK("https://www.ncbi.nlm.nih.gov/nuccore/CP000058.1?report=graph&amp;tracks=[key:gene_model_track,Options:GeneOnly]&amp;mk=2066082:2066101|offset_16|444444,2066057:2066076|offset_41|00cc00,2066034:2066053|offset_64|444444,2066001:2066020|offset_97|444444&amp;v=2065881:2066220&amp;c=444444", "offset 41")</f>
        <v>offset 41</v>
      </c>
    </row>
    <row r="6516" customFormat="false" ht="12.8" hidden="false" customHeight="false" outlineLevel="0" collapsed="false">
      <c r="A6516" s="0" t="s">
        <v>12</v>
      </c>
      <c r="B6516" s="0" t="n">
        <v>2066033</v>
      </c>
      <c r="C6516" s="0" t="n">
        <v>2066053</v>
      </c>
      <c r="D6516" s="0" t="s">
        <v>21700</v>
      </c>
      <c r="E6516" s="0" t="s">
        <v>75</v>
      </c>
      <c r="F6516" s="0" t="s">
        <v>90</v>
      </c>
      <c r="G6516" s="0" t="s">
        <v>32</v>
      </c>
      <c r="H6516" s="0" t="n">
        <v>64</v>
      </c>
      <c r="I6516" s="0" t="s">
        <v>21707</v>
      </c>
      <c r="J6516" s="0" t="s">
        <v>21708</v>
      </c>
      <c r="K6516" s="0" t="s">
        <v>21709</v>
      </c>
      <c r="L6516" s="0" t="str">
        <f aca="false">HYPERLINK("https://www.ncbi.nlm.nih.gov/nuccore/CP000058.1?report=graph&amp;tracks=[key:gene_model_track,Options:GeneOnly]&amp;mk=2066082:2066101|offset_16|444444,2066057:2066076|offset_41|444444,2066034:2066053|offset_64|00cc00,2066001:2066020|offset_97|444444&amp;v=2065881:2066220&amp;c=444444", "offset 64")</f>
        <v>offset 64</v>
      </c>
    </row>
    <row r="6517" customFormat="false" ht="12.8" hidden="false" customHeight="false" outlineLevel="0" collapsed="false">
      <c r="A6517" s="0" t="s">
        <v>12</v>
      </c>
      <c r="B6517" s="0" t="n">
        <v>2066000</v>
      </c>
      <c r="C6517" s="0" t="n">
        <v>2066020</v>
      </c>
      <c r="D6517" s="0" t="s">
        <v>21700</v>
      </c>
      <c r="E6517" s="0" t="s">
        <v>75</v>
      </c>
      <c r="F6517" s="0" t="s">
        <v>90</v>
      </c>
      <c r="G6517" s="0" t="s">
        <v>16</v>
      </c>
      <c r="H6517" s="0" t="n">
        <v>97</v>
      </c>
      <c r="I6517" s="0" t="s">
        <v>21710</v>
      </c>
      <c r="J6517" s="0" t="s">
        <v>21711</v>
      </c>
      <c r="K6517" s="0" t="s">
        <v>21712</v>
      </c>
      <c r="L6517" s="0" t="str">
        <f aca="false">HYPERLINK("https://www.ncbi.nlm.nih.gov/nuccore/CP000058.1?report=graph&amp;tracks=[key:gene_model_track,Options:GeneOnly]&amp;mk=2066082:2066101|offset_16|444444,2066057:2066076|offset_41|444444,2066034:2066053|offset_64|444444,2066001:2066020|offset_97|00cc00&amp;v=2065881:2066220&amp;c=444444", "offset 97")</f>
        <v>offset 97</v>
      </c>
    </row>
    <row r="6518" customFormat="false" ht="12.8" hidden="false" customHeight="false" outlineLevel="0" collapsed="false">
      <c r="A6518" s="0" t="s">
        <v>12</v>
      </c>
      <c r="B6518" s="0" t="n">
        <v>2066627</v>
      </c>
      <c r="C6518" s="0" t="n">
        <v>2066647</v>
      </c>
      <c r="D6518" s="0" t="s">
        <v>21713</v>
      </c>
      <c r="E6518" s="0" t="s">
        <v>75</v>
      </c>
      <c r="F6518" s="0" t="s">
        <v>90</v>
      </c>
      <c r="G6518" s="0" t="s">
        <v>20</v>
      </c>
      <c r="H6518" s="0" t="n">
        <v>27</v>
      </c>
      <c r="I6518" s="0" t="s">
        <v>21714</v>
      </c>
      <c r="J6518" s="0" t="s">
        <v>21715</v>
      </c>
      <c r="K6518" s="0" t="s">
        <v>21716</v>
      </c>
      <c r="L6518" s="0" t="str">
        <f aca="false">HYPERLINK("https://www.ncbi.nlm.nih.gov/nuccore/CP000058.1?report=graph&amp;tracks=[key:gene_model_track,Options:GeneOnly]&amp;mk=2066628:2066647|offset_27|00cc00,2066594:2066613|offset_61|444444,2066568:2066587|offset_87|444444,2066530:2066549|offset_125|444444&amp;v=2066427:2066749&amp;c=444444", "offset 27")</f>
        <v>offset 27</v>
      </c>
    </row>
    <row r="6519" customFormat="false" ht="12.8" hidden="false" customHeight="false" outlineLevel="0" collapsed="false">
      <c r="A6519" s="0" t="s">
        <v>12</v>
      </c>
      <c r="B6519" s="0" t="n">
        <v>2066593</v>
      </c>
      <c r="C6519" s="0" t="n">
        <v>2066613</v>
      </c>
      <c r="D6519" s="0" t="s">
        <v>21713</v>
      </c>
      <c r="E6519" s="0" t="s">
        <v>75</v>
      </c>
      <c r="F6519" s="0" t="s">
        <v>90</v>
      </c>
      <c r="G6519" s="0" t="s">
        <v>20</v>
      </c>
      <c r="H6519" s="0" t="n">
        <v>61</v>
      </c>
      <c r="I6519" s="0" t="s">
        <v>21717</v>
      </c>
      <c r="J6519" s="0" t="s">
        <v>21718</v>
      </c>
      <c r="K6519" s="0" t="s">
        <v>21719</v>
      </c>
      <c r="L6519" s="0" t="str">
        <f aca="false">HYPERLINK("https://www.ncbi.nlm.nih.gov/nuccore/CP000058.1?report=graph&amp;tracks=[key:gene_model_track,Options:GeneOnly]&amp;mk=2066628:2066647|offset_27|444444,2066594:2066613|offset_61|00cc00,2066568:2066587|offset_87|444444,2066530:2066549|offset_125|444444&amp;v=2066427:2066749&amp;c=444444", "offset 61")</f>
        <v>offset 61</v>
      </c>
    </row>
    <row r="6520" customFormat="false" ht="12.8" hidden="false" customHeight="false" outlineLevel="0" collapsed="false">
      <c r="A6520" s="0" t="s">
        <v>12</v>
      </c>
      <c r="B6520" s="0" t="n">
        <v>2066567</v>
      </c>
      <c r="C6520" s="0" t="n">
        <v>2066587</v>
      </c>
      <c r="D6520" s="0" t="s">
        <v>21713</v>
      </c>
      <c r="E6520" s="0" t="s">
        <v>75</v>
      </c>
      <c r="F6520" s="0" t="s">
        <v>90</v>
      </c>
      <c r="G6520" s="0" t="s">
        <v>20</v>
      </c>
      <c r="H6520" s="0" t="n">
        <v>87</v>
      </c>
      <c r="I6520" s="0" t="s">
        <v>21720</v>
      </c>
      <c r="J6520" s="0" t="s">
        <v>21721</v>
      </c>
      <c r="K6520" s="0" t="s">
        <v>21722</v>
      </c>
      <c r="L6520" s="0" t="str">
        <f aca="false">HYPERLINK("https://www.ncbi.nlm.nih.gov/nuccore/CP000058.1?report=graph&amp;tracks=[key:gene_model_track,Options:GeneOnly]&amp;mk=2066628:2066647|offset_27|444444,2066594:2066613|offset_61|444444,2066568:2066587|offset_87|00cc00,2066530:2066549|offset_125|444444&amp;v=2066427:2066749&amp;c=444444", "offset 87")</f>
        <v>offset 87</v>
      </c>
    </row>
    <row r="6521" customFormat="false" ht="12.8" hidden="false" customHeight="false" outlineLevel="0" collapsed="false">
      <c r="A6521" s="0" t="s">
        <v>12</v>
      </c>
      <c r="B6521" s="0" t="n">
        <v>2066529</v>
      </c>
      <c r="C6521" s="0" t="n">
        <v>2066549</v>
      </c>
      <c r="D6521" s="0" t="s">
        <v>21713</v>
      </c>
      <c r="E6521" s="0" t="s">
        <v>75</v>
      </c>
      <c r="F6521" s="0" t="s">
        <v>90</v>
      </c>
      <c r="G6521" s="0" t="s">
        <v>36</v>
      </c>
      <c r="H6521" s="0" t="n">
        <v>125</v>
      </c>
      <c r="I6521" s="0" t="s">
        <v>21723</v>
      </c>
      <c r="J6521" s="0" t="s">
        <v>21724</v>
      </c>
      <c r="K6521" s="0" t="s">
        <v>21725</v>
      </c>
      <c r="L6521" s="0" t="str">
        <f aca="false">HYPERLINK("https://www.ncbi.nlm.nih.gov/nuccore/CP000058.1?report=graph&amp;tracks=[key:gene_model_track,Options:GeneOnly]&amp;mk=2066628:2066647|offset_27|444444,2066594:2066613|offset_61|444444,2066568:2066587|offset_87|444444,2066530:2066549|offset_125|00cc00&amp;v=2066427:2066749&amp;c=444444", "offset 125")</f>
        <v>offset 125</v>
      </c>
    </row>
    <row r="6522" customFormat="false" ht="12.8" hidden="false" customHeight="false" outlineLevel="0" collapsed="false">
      <c r="A6522" s="0" t="s">
        <v>12</v>
      </c>
      <c r="B6522" s="0" t="n">
        <v>2067563</v>
      </c>
      <c r="C6522" s="0" t="n">
        <v>2067583</v>
      </c>
      <c r="D6522" s="0" t="s">
        <v>21726</v>
      </c>
      <c r="E6522" s="0" t="s">
        <v>75</v>
      </c>
      <c r="F6522" s="0" t="s">
        <v>90</v>
      </c>
      <c r="G6522" s="0" t="s">
        <v>36</v>
      </c>
      <c r="H6522" s="0" t="n">
        <v>17</v>
      </c>
      <c r="I6522" s="0" t="s">
        <v>21727</v>
      </c>
      <c r="J6522" s="0" t="s">
        <v>21728</v>
      </c>
      <c r="K6522" s="0" t="s">
        <v>21729</v>
      </c>
      <c r="L6522" s="0" t="str">
        <f aca="false">HYPERLINK("https://www.ncbi.nlm.nih.gov/nuccore/CP000058.1?report=graph&amp;tracks=[key:gene_model_track,Options:GeneOnly]&amp;mk=2067564:2067583|offset_17|00cc00,2067534:2067553|offset_47|444444,2067496:2067515|offset_85|444444,2067424:2067443|offset_157|444444&amp;v=2067363:2067643&amp;c=444444", "offset 17")</f>
        <v>offset 17</v>
      </c>
    </row>
    <row r="6523" customFormat="false" ht="12.8" hidden="false" customHeight="false" outlineLevel="0" collapsed="false">
      <c r="A6523" s="0" t="s">
        <v>12</v>
      </c>
      <c r="B6523" s="0" t="n">
        <v>2067533</v>
      </c>
      <c r="C6523" s="0" t="n">
        <v>2067553</v>
      </c>
      <c r="D6523" s="0" t="s">
        <v>21726</v>
      </c>
      <c r="E6523" s="0" t="s">
        <v>75</v>
      </c>
      <c r="F6523" s="0" t="s">
        <v>90</v>
      </c>
      <c r="G6523" s="0" t="s">
        <v>36</v>
      </c>
      <c r="H6523" s="0" t="n">
        <v>47</v>
      </c>
      <c r="I6523" s="0" t="s">
        <v>21730</v>
      </c>
      <c r="J6523" s="0" t="s">
        <v>21731</v>
      </c>
      <c r="K6523" s="0" t="s">
        <v>21732</v>
      </c>
      <c r="L6523" s="0" t="str">
        <f aca="false">HYPERLINK("https://www.ncbi.nlm.nih.gov/nuccore/CP000058.1?report=graph&amp;tracks=[key:gene_model_track,Options:GeneOnly]&amp;mk=2067564:2067583|offset_17|444444,2067534:2067553|offset_47|00cc00,2067496:2067515|offset_85|444444,2067424:2067443|offset_157|444444&amp;v=2067363:2067643&amp;c=444444", "offset 47")</f>
        <v>offset 47</v>
      </c>
    </row>
    <row r="6524" customFormat="false" ht="12.8" hidden="false" customHeight="false" outlineLevel="0" collapsed="false">
      <c r="A6524" s="0" t="s">
        <v>12</v>
      </c>
      <c r="B6524" s="0" t="n">
        <v>2067495</v>
      </c>
      <c r="C6524" s="0" t="n">
        <v>2067515</v>
      </c>
      <c r="D6524" s="0" t="s">
        <v>21726</v>
      </c>
      <c r="E6524" s="0" t="s">
        <v>75</v>
      </c>
      <c r="F6524" s="0" t="s">
        <v>90</v>
      </c>
      <c r="G6524" s="0" t="s">
        <v>20</v>
      </c>
      <c r="H6524" s="0" t="n">
        <v>85</v>
      </c>
      <c r="I6524" s="0" t="s">
        <v>21733</v>
      </c>
      <c r="J6524" s="0" t="s">
        <v>21734</v>
      </c>
      <c r="K6524" s="0" t="s">
        <v>21735</v>
      </c>
      <c r="L6524" s="0" t="str">
        <f aca="false">HYPERLINK("https://www.ncbi.nlm.nih.gov/nuccore/CP000058.1?report=graph&amp;tracks=[key:gene_model_track,Options:GeneOnly]&amp;mk=2067564:2067583|offset_17|444444,2067534:2067553|offset_47|444444,2067496:2067515|offset_85|00cc00,2067424:2067443|offset_157|444444&amp;v=2067363:2067643&amp;c=444444", "offset 85")</f>
        <v>offset 85</v>
      </c>
    </row>
    <row r="6525" customFormat="false" ht="12.8" hidden="false" customHeight="false" outlineLevel="0" collapsed="false">
      <c r="A6525" s="0" t="s">
        <v>12</v>
      </c>
      <c r="B6525" s="0" t="n">
        <v>2067423</v>
      </c>
      <c r="C6525" s="0" t="n">
        <v>2067443</v>
      </c>
      <c r="D6525" s="0" t="s">
        <v>21726</v>
      </c>
      <c r="E6525" s="0" t="s">
        <v>75</v>
      </c>
      <c r="F6525" s="0" t="s">
        <v>90</v>
      </c>
      <c r="G6525" s="0" t="s">
        <v>20</v>
      </c>
      <c r="H6525" s="0" t="n">
        <v>157</v>
      </c>
      <c r="I6525" s="0" t="s">
        <v>21736</v>
      </c>
      <c r="J6525" s="0" t="s">
        <v>21737</v>
      </c>
      <c r="K6525" s="0" t="s">
        <v>21738</v>
      </c>
      <c r="L6525" s="0" t="str">
        <f aca="false">HYPERLINK("https://www.ncbi.nlm.nih.gov/nuccore/CP000058.1?report=graph&amp;tracks=[key:gene_model_track,Options:GeneOnly]&amp;mk=2067564:2067583|offset_17|444444,2067534:2067553|offset_47|444444,2067496:2067515|offset_85|444444,2067424:2067443|offset_157|00cc00&amp;v=2067363:2067643&amp;c=444444", "offset 157")</f>
        <v>offset 157</v>
      </c>
    </row>
    <row r="6526" customFormat="false" ht="12.8" hidden="false" customHeight="false" outlineLevel="0" collapsed="false">
      <c r="A6526" s="0" t="s">
        <v>12</v>
      </c>
      <c r="B6526" s="0" t="n">
        <v>2068004</v>
      </c>
      <c r="C6526" s="0" t="n">
        <v>2068024</v>
      </c>
      <c r="D6526" s="0" t="s">
        <v>21739</v>
      </c>
      <c r="E6526" s="0" t="s">
        <v>75</v>
      </c>
      <c r="F6526" s="0" t="s">
        <v>15</v>
      </c>
      <c r="G6526" s="0" t="s">
        <v>32</v>
      </c>
      <c r="H6526" s="0" t="n">
        <v>16</v>
      </c>
      <c r="I6526" s="0" t="s">
        <v>21740</v>
      </c>
      <c r="J6526" s="0" t="s">
        <v>21741</v>
      </c>
      <c r="K6526" s="0" t="s">
        <v>21742</v>
      </c>
      <c r="L6526" s="0" t="str">
        <f aca="false">HYPERLINK("https://www.ncbi.nlm.nih.gov/nuccore/CP000058.1?report=graph&amp;tracks=[key:gene_model_track,Options:GeneOnly]&amp;mk=2068005:2068024|offset_16|00cc00,2068027:2068046|offset_38|444444,2068047:2068066|offset_58|444444,2068078:2068097|offset_89|444444&amp;v=2067804:2068297&amp;c=444444", "offset 16")</f>
        <v>offset 16</v>
      </c>
    </row>
    <row r="6527" customFormat="false" ht="12.8" hidden="false" customHeight="false" outlineLevel="0" collapsed="false">
      <c r="A6527" s="0" t="s">
        <v>12</v>
      </c>
      <c r="B6527" s="0" t="n">
        <v>2068026</v>
      </c>
      <c r="C6527" s="0" t="n">
        <v>2068046</v>
      </c>
      <c r="D6527" s="0" t="s">
        <v>21739</v>
      </c>
      <c r="E6527" s="0" t="s">
        <v>75</v>
      </c>
      <c r="F6527" s="0" t="s">
        <v>15</v>
      </c>
      <c r="G6527" s="0" t="s">
        <v>32</v>
      </c>
      <c r="H6527" s="0" t="n">
        <v>38</v>
      </c>
      <c r="I6527" s="0" t="s">
        <v>21743</v>
      </c>
      <c r="J6527" s="0" t="s">
        <v>21744</v>
      </c>
      <c r="K6527" s="0" t="s">
        <v>21745</v>
      </c>
      <c r="L6527" s="0" t="str">
        <f aca="false">HYPERLINK("https://www.ncbi.nlm.nih.gov/nuccore/CP000058.1?report=graph&amp;tracks=[key:gene_model_track,Options:GeneOnly]&amp;mk=2068005:2068024|offset_16|444444,2068027:2068046|offset_38|00cc00,2068047:2068066|offset_58|444444,2068078:2068097|offset_89|444444&amp;v=2067804:2068297&amp;c=444444", "offset 38")</f>
        <v>offset 38</v>
      </c>
    </row>
    <row r="6528" customFormat="false" ht="12.8" hidden="false" customHeight="false" outlineLevel="0" collapsed="false">
      <c r="A6528" s="0" t="s">
        <v>12</v>
      </c>
      <c r="B6528" s="0" t="n">
        <v>2068046</v>
      </c>
      <c r="C6528" s="0" t="n">
        <v>2068066</v>
      </c>
      <c r="D6528" s="0" t="s">
        <v>21739</v>
      </c>
      <c r="E6528" s="0" t="s">
        <v>75</v>
      </c>
      <c r="F6528" s="0" t="s">
        <v>15</v>
      </c>
      <c r="G6528" s="0" t="s">
        <v>32</v>
      </c>
      <c r="H6528" s="0" t="n">
        <v>58</v>
      </c>
      <c r="I6528" s="0" t="s">
        <v>21746</v>
      </c>
      <c r="J6528" s="0" t="s">
        <v>21747</v>
      </c>
      <c r="K6528" s="0" t="s">
        <v>21748</v>
      </c>
      <c r="L6528" s="0" t="str">
        <f aca="false">HYPERLINK("https://www.ncbi.nlm.nih.gov/nuccore/CP000058.1?report=graph&amp;tracks=[key:gene_model_track,Options:GeneOnly]&amp;mk=2068005:2068024|offset_16|444444,2068027:2068046|offset_38|444444,2068047:2068066|offset_58|00cc00,2068078:2068097|offset_89|444444&amp;v=2067804:2068297&amp;c=444444", "offset 58")</f>
        <v>offset 58</v>
      </c>
    </row>
    <row r="6529" customFormat="false" ht="12.8" hidden="false" customHeight="false" outlineLevel="0" collapsed="false">
      <c r="A6529" s="0" t="s">
        <v>12</v>
      </c>
      <c r="B6529" s="0" t="n">
        <v>2068077</v>
      </c>
      <c r="C6529" s="0" t="n">
        <v>2068097</v>
      </c>
      <c r="D6529" s="0" t="s">
        <v>21739</v>
      </c>
      <c r="E6529" s="0" t="s">
        <v>75</v>
      </c>
      <c r="F6529" s="0" t="s">
        <v>15</v>
      </c>
      <c r="G6529" s="0" t="s">
        <v>32</v>
      </c>
      <c r="H6529" s="0" t="n">
        <v>89</v>
      </c>
      <c r="I6529" s="0" t="s">
        <v>21749</v>
      </c>
      <c r="J6529" s="0" t="s">
        <v>21750</v>
      </c>
      <c r="K6529" s="0" t="s">
        <v>21751</v>
      </c>
      <c r="L6529" s="0" t="str">
        <f aca="false">HYPERLINK("https://www.ncbi.nlm.nih.gov/nuccore/CP000058.1?report=graph&amp;tracks=[key:gene_model_track,Options:GeneOnly]&amp;mk=2068005:2068024|offset_16|444444,2068027:2068046|offset_38|444444,2068047:2068066|offset_58|444444,2068078:2068097|offset_89|00cc00&amp;v=2067804:2068297&amp;c=444444", "offset 89")</f>
        <v>offset 89</v>
      </c>
    </row>
    <row r="6530" customFormat="false" ht="12.8" hidden="false" customHeight="false" outlineLevel="0" collapsed="false">
      <c r="A6530" s="0" t="s">
        <v>12</v>
      </c>
      <c r="B6530" s="0" t="n">
        <v>2068453</v>
      </c>
      <c r="C6530" s="0" t="n">
        <v>2068473</v>
      </c>
      <c r="D6530" s="0" t="s">
        <v>21752</v>
      </c>
      <c r="E6530" s="0" t="s">
        <v>75</v>
      </c>
      <c r="F6530" s="0" t="s">
        <v>15</v>
      </c>
      <c r="G6530" s="0" t="s">
        <v>36</v>
      </c>
      <c r="H6530" s="0" t="n">
        <v>0</v>
      </c>
      <c r="I6530" s="0" t="s">
        <v>21753</v>
      </c>
      <c r="J6530" s="0" t="s">
        <v>21754</v>
      </c>
      <c r="K6530" s="0" t="s">
        <v>21755</v>
      </c>
      <c r="L6530" s="0" t="str">
        <f aca="false">HYPERLINK("https://www.ncbi.nlm.nih.gov/nuccore/CP000058.1?report=graph&amp;tracks=[key:gene_model_track,Options:GeneOnly]&amp;mk=2068454:2068473|offset_0|00cc00,2068475:2068494|offset_21|444444,2068503:2068522|offset_49|444444,2068560:2068579|offset_106|444444&amp;v=2068253:2068779&amp;c=444444", "offset 0")</f>
        <v>offset 0</v>
      </c>
    </row>
    <row r="6531" customFormat="false" ht="12.8" hidden="false" customHeight="false" outlineLevel="0" collapsed="false">
      <c r="A6531" s="0" t="s">
        <v>12</v>
      </c>
      <c r="B6531" s="0" t="n">
        <v>2068474</v>
      </c>
      <c r="C6531" s="0" t="n">
        <v>2068494</v>
      </c>
      <c r="D6531" s="0" t="s">
        <v>21752</v>
      </c>
      <c r="E6531" s="0" t="s">
        <v>75</v>
      </c>
      <c r="F6531" s="0" t="s">
        <v>15</v>
      </c>
      <c r="G6531" s="0" t="s">
        <v>20</v>
      </c>
      <c r="H6531" s="0" t="n">
        <v>21</v>
      </c>
      <c r="I6531" s="0" t="s">
        <v>21756</v>
      </c>
      <c r="J6531" s="0" t="s">
        <v>21757</v>
      </c>
      <c r="K6531" s="0" t="s">
        <v>21758</v>
      </c>
      <c r="L6531" s="0" t="str">
        <f aca="false">HYPERLINK("https://www.ncbi.nlm.nih.gov/nuccore/CP000058.1?report=graph&amp;tracks=[key:gene_model_track,Options:GeneOnly]&amp;mk=2068454:2068473|offset_0|444444,2068475:2068494|offset_21|00cc00,2068503:2068522|offset_49|444444,2068560:2068579|offset_106|444444&amp;v=2068253:2068779&amp;c=444444", "offset 21")</f>
        <v>offset 21</v>
      </c>
    </row>
    <row r="6532" customFormat="false" ht="12.8" hidden="false" customHeight="false" outlineLevel="0" collapsed="false">
      <c r="A6532" s="0" t="s">
        <v>12</v>
      </c>
      <c r="B6532" s="0" t="n">
        <v>2068502</v>
      </c>
      <c r="C6532" s="0" t="n">
        <v>2068522</v>
      </c>
      <c r="D6532" s="0" t="s">
        <v>21752</v>
      </c>
      <c r="E6532" s="0" t="s">
        <v>75</v>
      </c>
      <c r="F6532" s="0" t="s">
        <v>15</v>
      </c>
      <c r="G6532" s="0" t="s">
        <v>32</v>
      </c>
      <c r="H6532" s="0" t="n">
        <v>49</v>
      </c>
      <c r="I6532" s="0" t="s">
        <v>21759</v>
      </c>
      <c r="J6532" s="0" t="s">
        <v>21760</v>
      </c>
      <c r="K6532" s="0" t="s">
        <v>21761</v>
      </c>
      <c r="L6532" s="0" t="str">
        <f aca="false">HYPERLINK("https://www.ncbi.nlm.nih.gov/nuccore/CP000058.1?report=graph&amp;tracks=[key:gene_model_track,Options:GeneOnly]&amp;mk=2068454:2068473|offset_0|444444,2068475:2068494|offset_21|444444,2068503:2068522|offset_49|00cc00,2068560:2068579|offset_106|444444&amp;v=2068253:2068779&amp;c=444444", "offset 49")</f>
        <v>offset 49</v>
      </c>
    </row>
    <row r="6533" customFormat="false" ht="12.8" hidden="false" customHeight="false" outlineLevel="0" collapsed="false">
      <c r="A6533" s="0" t="s">
        <v>12</v>
      </c>
      <c r="B6533" s="0" t="n">
        <v>2068559</v>
      </c>
      <c r="C6533" s="0" t="n">
        <v>2068579</v>
      </c>
      <c r="D6533" s="0" t="s">
        <v>21752</v>
      </c>
      <c r="E6533" s="0" t="s">
        <v>75</v>
      </c>
      <c r="F6533" s="0" t="s">
        <v>15</v>
      </c>
      <c r="G6533" s="0" t="s">
        <v>32</v>
      </c>
      <c r="H6533" s="0" t="n">
        <v>106</v>
      </c>
      <c r="I6533" s="0" t="s">
        <v>21762</v>
      </c>
      <c r="J6533" s="0" t="s">
        <v>21763</v>
      </c>
      <c r="K6533" s="0" t="s">
        <v>21764</v>
      </c>
      <c r="L6533" s="0" t="str">
        <f aca="false">HYPERLINK("https://www.ncbi.nlm.nih.gov/nuccore/CP000058.1?report=graph&amp;tracks=[key:gene_model_track,Options:GeneOnly]&amp;mk=2068454:2068473|offset_0|444444,2068475:2068494|offset_21|444444,2068503:2068522|offset_49|444444,2068560:2068579|offset_106|00cc00&amp;v=2068253:2068779&amp;c=444444", "offset 106")</f>
        <v>offset 106</v>
      </c>
    </row>
    <row r="6534" customFormat="false" ht="12.8" hidden="false" customHeight="false" outlineLevel="0" collapsed="false">
      <c r="A6534" s="0" t="s">
        <v>12</v>
      </c>
      <c r="B6534" s="0" t="n">
        <v>2071261</v>
      </c>
      <c r="C6534" s="0" t="n">
        <v>2071281</v>
      </c>
      <c r="D6534" s="0" t="s">
        <v>21765</v>
      </c>
      <c r="E6534" s="0" t="s">
        <v>21766</v>
      </c>
      <c r="F6534" s="0" t="s">
        <v>90</v>
      </c>
      <c r="G6534" s="0" t="s">
        <v>32</v>
      </c>
      <c r="H6534" s="0" t="n">
        <v>1</v>
      </c>
      <c r="I6534" s="0" t="s">
        <v>21767</v>
      </c>
      <c r="J6534" s="0" t="s">
        <v>21768</v>
      </c>
      <c r="K6534" s="0" t="s">
        <v>21769</v>
      </c>
      <c r="L6534" s="0" t="str">
        <f aca="false">HYPERLINK("https://www.ncbi.nlm.nih.gov/nuccore/CP000058.1?report=graph&amp;tracks=[key:gene_model_track,Options:GeneOnly]&amp;mk=2071262:2071281|offset_1|00cc00,2071235:2071254|offset_28|444444,2071205:2071224|offset_58|444444,2071160:2071179|offset_103|444444&amp;v=2071061:2071379&amp;c=444444", "offset 1")</f>
        <v>offset 1</v>
      </c>
    </row>
    <row r="6535" customFormat="false" ht="12.8" hidden="false" customHeight="false" outlineLevel="0" collapsed="false">
      <c r="A6535" s="0" t="s">
        <v>12</v>
      </c>
      <c r="B6535" s="0" t="n">
        <v>2071234</v>
      </c>
      <c r="C6535" s="0" t="n">
        <v>2071254</v>
      </c>
      <c r="D6535" s="0" t="s">
        <v>21765</v>
      </c>
      <c r="E6535" s="0" t="s">
        <v>21766</v>
      </c>
      <c r="F6535" s="0" t="s">
        <v>90</v>
      </c>
      <c r="G6535" s="0" t="s">
        <v>20</v>
      </c>
      <c r="H6535" s="0" t="n">
        <v>28</v>
      </c>
      <c r="I6535" s="0" t="s">
        <v>21770</v>
      </c>
      <c r="J6535" s="0" t="s">
        <v>21771</v>
      </c>
      <c r="K6535" s="0" t="s">
        <v>21772</v>
      </c>
      <c r="L6535" s="0" t="str">
        <f aca="false">HYPERLINK("https://www.ncbi.nlm.nih.gov/nuccore/CP000058.1?report=graph&amp;tracks=[key:gene_model_track,Options:GeneOnly]&amp;mk=2071262:2071281|offset_1|444444,2071235:2071254|offset_28|00cc00,2071205:2071224|offset_58|444444,2071160:2071179|offset_103|444444&amp;v=2071061:2071379&amp;c=444444", "offset 28")</f>
        <v>offset 28</v>
      </c>
    </row>
    <row r="6536" customFormat="false" ht="12.8" hidden="false" customHeight="false" outlineLevel="0" collapsed="false">
      <c r="A6536" s="0" t="s">
        <v>12</v>
      </c>
      <c r="B6536" s="0" t="n">
        <v>2071204</v>
      </c>
      <c r="C6536" s="0" t="n">
        <v>2071224</v>
      </c>
      <c r="D6536" s="0" t="s">
        <v>21765</v>
      </c>
      <c r="E6536" s="0" t="s">
        <v>21766</v>
      </c>
      <c r="F6536" s="0" t="s">
        <v>90</v>
      </c>
      <c r="G6536" s="0" t="s">
        <v>16</v>
      </c>
      <c r="H6536" s="0" t="n">
        <v>58</v>
      </c>
      <c r="I6536" s="0" t="s">
        <v>21773</v>
      </c>
      <c r="J6536" s="0" t="s">
        <v>21774</v>
      </c>
      <c r="K6536" s="0" t="s">
        <v>21775</v>
      </c>
      <c r="L6536" s="0" t="str">
        <f aca="false">HYPERLINK("https://www.ncbi.nlm.nih.gov/nuccore/CP000058.1?report=graph&amp;tracks=[key:gene_model_track,Options:GeneOnly]&amp;mk=2071262:2071281|offset_1|444444,2071235:2071254|offset_28|444444,2071205:2071224|offset_58|00cc00,2071160:2071179|offset_103|444444&amp;v=2071061:2071379&amp;c=444444", "offset 58")</f>
        <v>offset 58</v>
      </c>
    </row>
    <row r="6537" customFormat="false" ht="12.8" hidden="false" customHeight="false" outlineLevel="0" collapsed="false">
      <c r="A6537" s="0" t="s">
        <v>12</v>
      </c>
      <c r="B6537" s="0" t="n">
        <v>2071159</v>
      </c>
      <c r="C6537" s="0" t="n">
        <v>2071179</v>
      </c>
      <c r="D6537" s="0" t="s">
        <v>21765</v>
      </c>
      <c r="E6537" s="0" t="s">
        <v>21766</v>
      </c>
      <c r="F6537" s="0" t="s">
        <v>90</v>
      </c>
      <c r="G6537" s="0" t="s">
        <v>16</v>
      </c>
      <c r="H6537" s="0" t="n">
        <v>103</v>
      </c>
      <c r="I6537" s="0" t="s">
        <v>21776</v>
      </c>
      <c r="J6537" s="0" t="s">
        <v>21777</v>
      </c>
      <c r="K6537" s="0" t="s">
        <v>21778</v>
      </c>
      <c r="L6537" s="0" t="str">
        <f aca="false">HYPERLINK("https://www.ncbi.nlm.nih.gov/nuccore/CP000058.1?report=graph&amp;tracks=[key:gene_model_track,Options:GeneOnly]&amp;mk=2071262:2071281|offset_1|444444,2071235:2071254|offset_28|444444,2071205:2071224|offset_58|444444,2071160:2071179|offset_103|00cc00&amp;v=2071061:2071379&amp;c=444444", "offset 103")</f>
        <v>offset 103</v>
      </c>
    </row>
    <row r="6538" customFormat="false" ht="12.8" hidden="false" customHeight="false" outlineLevel="0" collapsed="false">
      <c r="A6538" s="0" t="s">
        <v>12</v>
      </c>
      <c r="B6538" s="0" t="n">
        <v>2072096</v>
      </c>
      <c r="C6538" s="0" t="n">
        <v>2072116</v>
      </c>
      <c r="D6538" s="0" t="s">
        <v>21779</v>
      </c>
      <c r="E6538" s="0" t="s">
        <v>75</v>
      </c>
      <c r="F6538" s="0" t="s">
        <v>90</v>
      </c>
      <c r="G6538" s="0" t="s">
        <v>20</v>
      </c>
      <c r="H6538" s="0" t="n">
        <v>23</v>
      </c>
      <c r="I6538" s="0" t="s">
        <v>21780</v>
      </c>
      <c r="J6538" s="0" t="s">
        <v>21781</v>
      </c>
      <c r="K6538" s="0" t="s">
        <v>21782</v>
      </c>
      <c r="L6538" s="0" t="str">
        <f aca="false">HYPERLINK("https://www.ncbi.nlm.nih.gov/nuccore/CP000058.1?report=graph&amp;tracks=[key:gene_model_track,Options:GeneOnly]&amp;mk=2072097:2072116|offset_23|00cc00,2072069:2072088|offset_51|444444,2072027:2072046|offset_93|444444,2071993:2072012|offset_127|444444&amp;v=2071896:2072212&amp;c=444444", "offset 23")</f>
        <v>offset 23</v>
      </c>
    </row>
    <row r="6539" customFormat="false" ht="12.8" hidden="false" customHeight="false" outlineLevel="0" collapsed="false">
      <c r="A6539" s="0" t="s">
        <v>12</v>
      </c>
      <c r="B6539" s="0" t="n">
        <v>2072068</v>
      </c>
      <c r="C6539" s="0" t="n">
        <v>2072088</v>
      </c>
      <c r="D6539" s="0" t="s">
        <v>21779</v>
      </c>
      <c r="E6539" s="0" t="s">
        <v>75</v>
      </c>
      <c r="F6539" s="0" t="s">
        <v>90</v>
      </c>
      <c r="G6539" s="0" t="s">
        <v>36</v>
      </c>
      <c r="H6539" s="0" t="n">
        <v>51</v>
      </c>
      <c r="I6539" s="0" t="s">
        <v>21783</v>
      </c>
      <c r="J6539" s="0" t="s">
        <v>21784</v>
      </c>
      <c r="K6539" s="0" t="s">
        <v>21785</v>
      </c>
      <c r="L6539" s="0" t="str">
        <f aca="false">HYPERLINK("https://www.ncbi.nlm.nih.gov/nuccore/CP000058.1?report=graph&amp;tracks=[key:gene_model_track,Options:GeneOnly]&amp;mk=2072097:2072116|offset_23|444444,2072069:2072088|offset_51|00cc00,2072027:2072046|offset_93|444444,2071993:2072012|offset_127|444444&amp;v=2071896:2072212&amp;c=444444", "offset 51")</f>
        <v>offset 51</v>
      </c>
    </row>
    <row r="6540" customFormat="false" ht="12.8" hidden="false" customHeight="false" outlineLevel="0" collapsed="false">
      <c r="A6540" s="0" t="s">
        <v>12</v>
      </c>
      <c r="B6540" s="0" t="n">
        <v>2072026</v>
      </c>
      <c r="C6540" s="0" t="n">
        <v>2072046</v>
      </c>
      <c r="D6540" s="0" t="s">
        <v>21779</v>
      </c>
      <c r="E6540" s="0" t="s">
        <v>75</v>
      </c>
      <c r="F6540" s="0" t="s">
        <v>90</v>
      </c>
      <c r="G6540" s="0" t="s">
        <v>32</v>
      </c>
      <c r="H6540" s="0" t="n">
        <v>93</v>
      </c>
      <c r="I6540" s="0" t="s">
        <v>21786</v>
      </c>
      <c r="J6540" s="0" t="s">
        <v>21787</v>
      </c>
      <c r="K6540" s="0" t="s">
        <v>21788</v>
      </c>
      <c r="L6540" s="0" t="str">
        <f aca="false">HYPERLINK("https://www.ncbi.nlm.nih.gov/nuccore/CP000058.1?report=graph&amp;tracks=[key:gene_model_track,Options:GeneOnly]&amp;mk=2072097:2072116|offset_23|444444,2072069:2072088|offset_51|444444,2072027:2072046|offset_93|00cc00,2071993:2072012|offset_127|444444&amp;v=2071896:2072212&amp;c=444444", "offset 93")</f>
        <v>offset 93</v>
      </c>
    </row>
    <row r="6541" customFormat="false" ht="12.8" hidden="false" customHeight="false" outlineLevel="0" collapsed="false">
      <c r="A6541" s="0" t="s">
        <v>12</v>
      </c>
      <c r="B6541" s="0" t="n">
        <v>2071992</v>
      </c>
      <c r="C6541" s="0" t="n">
        <v>2072012</v>
      </c>
      <c r="D6541" s="0" t="s">
        <v>21779</v>
      </c>
      <c r="E6541" s="0" t="s">
        <v>75</v>
      </c>
      <c r="F6541" s="0" t="s">
        <v>90</v>
      </c>
      <c r="G6541" s="0" t="s">
        <v>16</v>
      </c>
      <c r="H6541" s="0" t="n">
        <v>127</v>
      </c>
      <c r="I6541" s="0" t="s">
        <v>21789</v>
      </c>
      <c r="J6541" s="0" t="s">
        <v>21790</v>
      </c>
      <c r="K6541" s="0" t="s">
        <v>21791</v>
      </c>
      <c r="L6541" s="0" t="str">
        <f aca="false">HYPERLINK("https://www.ncbi.nlm.nih.gov/nuccore/CP000058.1?report=graph&amp;tracks=[key:gene_model_track,Options:GeneOnly]&amp;mk=2072097:2072116|offset_23|444444,2072069:2072088|offset_51|444444,2072027:2072046|offset_93|444444,2071993:2072012|offset_127|00cc00&amp;v=2071896:2072212&amp;c=444444", "offset 127")</f>
        <v>offset 127</v>
      </c>
    </row>
    <row r="6542" customFormat="false" ht="12.8" hidden="false" customHeight="false" outlineLevel="0" collapsed="false">
      <c r="A6542" s="0" t="s">
        <v>12</v>
      </c>
      <c r="B6542" s="0" t="n">
        <v>2074617</v>
      </c>
      <c r="C6542" s="0" t="n">
        <v>2074637</v>
      </c>
      <c r="D6542" s="0" t="s">
        <v>21792</v>
      </c>
      <c r="E6542" s="0" t="s">
        <v>75</v>
      </c>
      <c r="F6542" s="0" t="s">
        <v>90</v>
      </c>
      <c r="G6542" s="0" t="s">
        <v>32</v>
      </c>
      <c r="H6542" s="0" t="n">
        <v>18</v>
      </c>
      <c r="I6542" s="0" t="s">
        <v>21793</v>
      </c>
      <c r="J6542" s="0" t="s">
        <v>21794</v>
      </c>
      <c r="K6542" s="0" t="s">
        <v>21795</v>
      </c>
      <c r="L6542" s="0" t="str">
        <f aca="false">HYPERLINK("https://www.ncbi.nlm.nih.gov/nuccore/CP000058.1?report=graph&amp;tracks=[key:gene_model_track,Options:GeneOnly]&amp;mk=2074618:2074637|offset_18|00cc00,2074590:2074609|offset_46|444444,2074533:2074552|offset_103|444444,2074490:2074509|offset_146|444444&amp;v=2074417:2074709&amp;c=444444", "offset 18")</f>
        <v>offset 18</v>
      </c>
    </row>
    <row r="6543" customFormat="false" ht="12.8" hidden="false" customHeight="false" outlineLevel="0" collapsed="false">
      <c r="A6543" s="0" t="s">
        <v>12</v>
      </c>
      <c r="B6543" s="0" t="n">
        <v>2074589</v>
      </c>
      <c r="C6543" s="0" t="n">
        <v>2074609</v>
      </c>
      <c r="D6543" s="0" t="s">
        <v>21792</v>
      </c>
      <c r="E6543" s="0" t="s">
        <v>75</v>
      </c>
      <c r="F6543" s="0" t="s">
        <v>90</v>
      </c>
      <c r="G6543" s="0" t="s">
        <v>16</v>
      </c>
      <c r="H6543" s="0" t="n">
        <v>46</v>
      </c>
      <c r="I6543" s="0" t="s">
        <v>21796</v>
      </c>
      <c r="J6543" s="0" t="s">
        <v>21797</v>
      </c>
      <c r="K6543" s="0" t="s">
        <v>21798</v>
      </c>
      <c r="L6543" s="0" t="str">
        <f aca="false">HYPERLINK("https://www.ncbi.nlm.nih.gov/nuccore/CP000058.1?report=graph&amp;tracks=[key:gene_model_track,Options:GeneOnly]&amp;mk=2074618:2074637|offset_18|444444,2074590:2074609|offset_46|00cc00,2074533:2074552|offset_103|444444,2074490:2074509|offset_146|444444&amp;v=2074417:2074709&amp;c=444444", "offset 46")</f>
        <v>offset 46</v>
      </c>
    </row>
    <row r="6544" customFormat="false" ht="12.8" hidden="false" customHeight="false" outlineLevel="0" collapsed="false">
      <c r="A6544" s="0" t="s">
        <v>12</v>
      </c>
      <c r="B6544" s="0" t="n">
        <v>2074532</v>
      </c>
      <c r="C6544" s="0" t="n">
        <v>2074552</v>
      </c>
      <c r="D6544" s="0" t="s">
        <v>21792</v>
      </c>
      <c r="E6544" s="0" t="s">
        <v>75</v>
      </c>
      <c r="F6544" s="0" t="s">
        <v>90</v>
      </c>
      <c r="G6544" s="0" t="s">
        <v>16</v>
      </c>
      <c r="H6544" s="0" t="n">
        <v>103</v>
      </c>
      <c r="I6544" s="0" t="s">
        <v>21799</v>
      </c>
      <c r="J6544" s="0" t="s">
        <v>21800</v>
      </c>
      <c r="K6544" s="0" t="s">
        <v>21801</v>
      </c>
      <c r="L6544" s="0" t="str">
        <f aca="false">HYPERLINK("https://www.ncbi.nlm.nih.gov/nuccore/CP000058.1?report=graph&amp;tracks=[key:gene_model_track,Options:GeneOnly]&amp;mk=2074618:2074637|offset_18|444444,2074590:2074609|offset_46|444444,2074533:2074552|offset_103|00cc00,2074490:2074509|offset_146|444444&amp;v=2074417:2074709&amp;c=444444", "offset 103")</f>
        <v>offset 103</v>
      </c>
    </row>
    <row r="6545" customFormat="false" ht="12.8" hidden="false" customHeight="false" outlineLevel="0" collapsed="false">
      <c r="A6545" s="0" t="s">
        <v>12</v>
      </c>
      <c r="B6545" s="0" t="n">
        <v>2074489</v>
      </c>
      <c r="C6545" s="0" t="n">
        <v>2074509</v>
      </c>
      <c r="D6545" s="0" t="s">
        <v>21792</v>
      </c>
      <c r="E6545" s="0" t="s">
        <v>75</v>
      </c>
      <c r="F6545" s="0" t="s">
        <v>90</v>
      </c>
      <c r="G6545" s="0" t="s">
        <v>20</v>
      </c>
      <c r="H6545" s="0" t="n">
        <v>146</v>
      </c>
      <c r="I6545" s="0" t="s">
        <v>21802</v>
      </c>
      <c r="J6545" s="0" t="s">
        <v>21803</v>
      </c>
      <c r="K6545" s="0" t="s">
        <v>21804</v>
      </c>
      <c r="L6545" s="0" t="str">
        <f aca="false">HYPERLINK("https://www.ncbi.nlm.nih.gov/nuccore/CP000058.1?report=graph&amp;tracks=[key:gene_model_track,Options:GeneOnly]&amp;mk=2074618:2074637|offset_18|444444,2074590:2074609|offset_46|444444,2074533:2074552|offset_103|444444,2074490:2074509|offset_146|00cc00&amp;v=2074417:2074709&amp;c=444444", "offset 146")</f>
        <v>offset 146</v>
      </c>
    </row>
    <row r="6546" customFormat="false" ht="12.8" hidden="false" customHeight="false" outlineLevel="0" collapsed="false">
      <c r="A6546" s="0" t="s">
        <v>12</v>
      </c>
      <c r="B6546" s="0" t="n">
        <v>2076081</v>
      </c>
      <c r="C6546" s="0" t="n">
        <v>2076101</v>
      </c>
      <c r="D6546" s="0" t="s">
        <v>21805</v>
      </c>
      <c r="E6546" s="0" t="s">
        <v>21806</v>
      </c>
      <c r="F6546" s="0" t="s">
        <v>90</v>
      </c>
      <c r="G6546" s="0" t="s">
        <v>16</v>
      </c>
      <c r="H6546" s="0" t="n">
        <v>1</v>
      </c>
      <c r="I6546" s="0" t="s">
        <v>21807</v>
      </c>
      <c r="J6546" s="0" t="s">
        <v>21808</v>
      </c>
      <c r="K6546" s="0" t="s">
        <v>21809</v>
      </c>
      <c r="L6546" s="0" t="str">
        <f aca="false">HYPERLINK("https://www.ncbi.nlm.nih.gov/nuccore/CP000058.1?report=graph&amp;tracks=[key:gene_model_track,Options:GeneOnly]&amp;mk=2076082:2076101|offset_1|00cc00,2076060:2076079|offset_23|444444,2076036:2076055|offset_47|444444,2076010:2076029|offset_73|444444&amp;v=2075881:2076229&amp;c=444444", "offset 1")</f>
        <v>offset 1</v>
      </c>
    </row>
    <row r="6547" customFormat="false" ht="12.8" hidden="false" customHeight="false" outlineLevel="0" collapsed="false">
      <c r="A6547" s="0" t="s">
        <v>12</v>
      </c>
      <c r="B6547" s="0" t="n">
        <v>2076059</v>
      </c>
      <c r="C6547" s="0" t="n">
        <v>2076079</v>
      </c>
      <c r="D6547" s="0" t="s">
        <v>21805</v>
      </c>
      <c r="E6547" s="0" t="s">
        <v>21806</v>
      </c>
      <c r="F6547" s="0" t="s">
        <v>90</v>
      </c>
      <c r="G6547" s="0" t="s">
        <v>32</v>
      </c>
      <c r="H6547" s="0" t="n">
        <v>23</v>
      </c>
      <c r="I6547" s="0" t="s">
        <v>21810</v>
      </c>
      <c r="J6547" s="0" t="s">
        <v>21811</v>
      </c>
      <c r="K6547" s="0" t="s">
        <v>21812</v>
      </c>
      <c r="L6547" s="0" t="str">
        <f aca="false">HYPERLINK("https://www.ncbi.nlm.nih.gov/nuccore/CP000058.1?report=graph&amp;tracks=[key:gene_model_track,Options:GeneOnly]&amp;mk=2076082:2076101|offset_1|444444,2076060:2076079|offset_23|00cc00,2076036:2076055|offset_47|444444,2076010:2076029|offset_73|444444&amp;v=2075881:2076229&amp;c=444444", "offset 23")</f>
        <v>offset 23</v>
      </c>
    </row>
    <row r="6548" customFormat="false" ht="12.8" hidden="false" customHeight="false" outlineLevel="0" collapsed="false">
      <c r="A6548" s="0" t="s">
        <v>12</v>
      </c>
      <c r="B6548" s="0" t="n">
        <v>2076035</v>
      </c>
      <c r="C6548" s="0" t="n">
        <v>2076055</v>
      </c>
      <c r="D6548" s="0" t="s">
        <v>21805</v>
      </c>
      <c r="E6548" s="0" t="s">
        <v>21806</v>
      </c>
      <c r="F6548" s="0" t="s">
        <v>90</v>
      </c>
      <c r="G6548" s="0" t="s">
        <v>20</v>
      </c>
      <c r="H6548" s="0" t="n">
        <v>47</v>
      </c>
      <c r="I6548" s="0" t="s">
        <v>21813</v>
      </c>
      <c r="J6548" s="0" t="s">
        <v>21814</v>
      </c>
      <c r="K6548" s="0" t="s">
        <v>21815</v>
      </c>
      <c r="L6548" s="0" t="str">
        <f aca="false">HYPERLINK("https://www.ncbi.nlm.nih.gov/nuccore/CP000058.1?report=graph&amp;tracks=[key:gene_model_track,Options:GeneOnly]&amp;mk=2076082:2076101|offset_1|444444,2076060:2076079|offset_23|444444,2076036:2076055|offset_47|00cc00,2076010:2076029|offset_73|444444&amp;v=2075881:2076229&amp;c=444444", "offset 47")</f>
        <v>offset 47</v>
      </c>
    </row>
    <row r="6549" customFormat="false" ht="12.8" hidden="false" customHeight="false" outlineLevel="0" collapsed="false">
      <c r="A6549" s="0" t="s">
        <v>12</v>
      </c>
      <c r="B6549" s="0" t="n">
        <v>2076009</v>
      </c>
      <c r="C6549" s="0" t="n">
        <v>2076029</v>
      </c>
      <c r="D6549" s="0" t="s">
        <v>21805</v>
      </c>
      <c r="E6549" s="0" t="s">
        <v>21806</v>
      </c>
      <c r="F6549" s="0" t="s">
        <v>90</v>
      </c>
      <c r="G6549" s="0" t="s">
        <v>20</v>
      </c>
      <c r="H6549" s="0" t="n">
        <v>73</v>
      </c>
      <c r="I6549" s="0" t="s">
        <v>21816</v>
      </c>
      <c r="J6549" s="0" t="s">
        <v>21817</v>
      </c>
      <c r="K6549" s="0" t="s">
        <v>21818</v>
      </c>
      <c r="L6549" s="0" t="str">
        <f aca="false">HYPERLINK("https://www.ncbi.nlm.nih.gov/nuccore/CP000058.1?report=graph&amp;tracks=[key:gene_model_track,Options:GeneOnly]&amp;mk=2076082:2076101|offset_1|444444,2076060:2076079|offset_23|444444,2076036:2076055|offset_47|444444,2076010:2076029|offset_73|00cc00&amp;v=2075881:2076229&amp;c=444444", "offset 73")</f>
        <v>offset 73</v>
      </c>
    </row>
    <row r="6550" customFormat="false" ht="12.8" hidden="false" customHeight="false" outlineLevel="0" collapsed="false">
      <c r="A6550" s="0" t="s">
        <v>12</v>
      </c>
      <c r="B6550" s="0" t="n">
        <v>2076394</v>
      </c>
      <c r="C6550" s="0" t="n">
        <v>2076414</v>
      </c>
      <c r="D6550" s="0" t="s">
        <v>21819</v>
      </c>
      <c r="E6550" s="0" t="s">
        <v>75</v>
      </c>
      <c r="F6550" s="0" t="s">
        <v>15</v>
      </c>
      <c r="G6550" s="0" t="s">
        <v>36</v>
      </c>
      <c r="H6550" s="0" t="n">
        <v>16</v>
      </c>
      <c r="I6550" s="0" t="s">
        <v>21820</v>
      </c>
      <c r="J6550" s="0" t="s">
        <v>21821</v>
      </c>
      <c r="K6550" s="0" t="s">
        <v>21822</v>
      </c>
      <c r="L6550" s="0" t="str">
        <f aca="false">HYPERLINK("https://www.ncbi.nlm.nih.gov/nuccore/CP000058.1?report=graph&amp;tracks=[key:gene_model_track,Options:GeneOnly]&amp;mk=2076395:2076414|offset_16|00cc00,2076434:2076453|offset_55|444444,2076463:2076482|offset_84|444444,2076513:2076532|offset_134|444444&amp;v=2076194:2076732&amp;c=444444", "offset 16")</f>
        <v>offset 16</v>
      </c>
    </row>
    <row r="6551" customFormat="false" ht="12.8" hidden="false" customHeight="false" outlineLevel="0" collapsed="false">
      <c r="A6551" s="0" t="s">
        <v>12</v>
      </c>
      <c r="B6551" s="0" t="n">
        <v>2076433</v>
      </c>
      <c r="C6551" s="0" t="n">
        <v>2076453</v>
      </c>
      <c r="D6551" s="0" t="s">
        <v>21819</v>
      </c>
      <c r="E6551" s="0" t="s">
        <v>75</v>
      </c>
      <c r="F6551" s="0" t="s">
        <v>15</v>
      </c>
      <c r="G6551" s="0" t="s">
        <v>16</v>
      </c>
      <c r="H6551" s="0" t="n">
        <v>55</v>
      </c>
      <c r="I6551" s="0" t="s">
        <v>21823</v>
      </c>
      <c r="J6551" s="0" t="s">
        <v>21824</v>
      </c>
      <c r="K6551" s="0" t="s">
        <v>21825</v>
      </c>
      <c r="L6551" s="0" t="str">
        <f aca="false">HYPERLINK("https://www.ncbi.nlm.nih.gov/nuccore/CP000058.1?report=graph&amp;tracks=[key:gene_model_track,Options:GeneOnly]&amp;mk=2076395:2076414|offset_16|444444,2076434:2076453|offset_55|00cc00,2076463:2076482|offset_84|444444,2076513:2076532|offset_134|444444&amp;v=2076194:2076732&amp;c=444444", "offset 55")</f>
        <v>offset 55</v>
      </c>
    </row>
    <row r="6552" customFormat="false" ht="12.8" hidden="false" customHeight="false" outlineLevel="0" collapsed="false">
      <c r="A6552" s="0" t="s">
        <v>12</v>
      </c>
      <c r="B6552" s="0" t="n">
        <v>2076462</v>
      </c>
      <c r="C6552" s="0" t="n">
        <v>2076482</v>
      </c>
      <c r="D6552" s="0" t="s">
        <v>21819</v>
      </c>
      <c r="E6552" s="0" t="s">
        <v>75</v>
      </c>
      <c r="F6552" s="0" t="s">
        <v>15</v>
      </c>
      <c r="G6552" s="0" t="s">
        <v>20</v>
      </c>
      <c r="H6552" s="0" t="n">
        <v>84</v>
      </c>
      <c r="I6552" s="0" t="s">
        <v>21826</v>
      </c>
      <c r="J6552" s="0" t="s">
        <v>21827</v>
      </c>
      <c r="K6552" s="0" t="s">
        <v>21828</v>
      </c>
      <c r="L6552" s="0" t="str">
        <f aca="false">HYPERLINK("https://www.ncbi.nlm.nih.gov/nuccore/CP000058.1?report=graph&amp;tracks=[key:gene_model_track,Options:GeneOnly]&amp;mk=2076395:2076414|offset_16|444444,2076434:2076453|offset_55|444444,2076463:2076482|offset_84|00cc00,2076513:2076532|offset_134|444444&amp;v=2076194:2076732&amp;c=444444", "offset 84")</f>
        <v>offset 84</v>
      </c>
    </row>
    <row r="6553" customFormat="false" ht="12.8" hidden="false" customHeight="false" outlineLevel="0" collapsed="false">
      <c r="A6553" s="0" t="s">
        <v>12</v>
      </c>
      <c r="B6553" s="0" t="n">
        <v>2076512</v>
      </c>
      <c r="C6553" s="0" t="n">
        <v>2076532</v>
      </c>
      <c r="D6553" s="0" t="s">
        <v>21819</v>
      </c>
      <c r="E6553" s="0" t="s">
        <v>75</v>
      </c>
      <c r="F6553" s="0" t="s">
        <v>15</v>
      </c>
      <c r="G6553" s="0" t="s">
        <v>16</v>
      </c>
      <c r="H6553" s="0" t="n">
        <v>134</v>
      </c>
      <c r="I6553" s="0" t="s">
        <v>21829</v>
      </c>
      <c r="J6553" s="0" t="s">
        <v>21830</v>
      </c>
      <c r="K6553" s="0" t="s">
        <v>21831</v>
      </c>
      <c r="L6553" s="0" t="str">
        <f aca="false">HYPERLINK("https://www.ncbi.nlm.nih.gov/nuccore/CP000058.1?report=graph&amp;tracks=[key:gene_model_track,Options:GeneOnly]&amp;mk=2076395:2076414|offset_16|444444,2076434:2076453|offset_55|444444,2076463:2076482|offset_84|444444,2076513:2076532|offset_134|00cc00&amp;v=2076194:2076732&amp;c=444444", "offset 134")</f>
        <v>offset 134</v>
      </c>
    </row>
    <row r="6554" customFormat="false" ht="12.8" hidden="false" customHeight="false" outlineLevel="0" collapsed="false">
      <c r="A6554" s="0" t="s">
        <v>12</v>
      </c>
      <c r="B6554" s="0" t="n">
        <v>2077043</v>
      </c>
      <c r="C6554" s="0" t="n">
        <v>2077063</v>
      </c>
      <c r="D6554" s="0" t="s">
        <v>21832</v>
      </c>
      <c r="E6554" s="0" t="s">
        <v>21833</v>
      </c>
      <c r="F6554" s="0" t="s">
        <v>15</v>
      </c>
      <c r="G6554" s="0" t="s">
        <v>32</v>
      </c>
      <c r="H6554" s="0" t="n">
        <v>1</v>
      </c>
      <c r="I6554" s="0" t="s">
        <v>21834</v>
      </c>
      <c r="J6554" s="0" t="s">
        <v>21835</v>
      </c>
      <c r="K6554" s="0" t="s">
        <v>21836</v>
      </c>
      <c r="L6554" s="0" t="str">
        <f aca="false">HYPERLINK("https://www.ncbi.nlm.nih.gov/nuccore/CP000058.1?report=graph&amp;tracks=[key:gene_model_track,Options:GeneOnly]&amp;mk=2077044:2077063|offset_1|00cc00,2077094:2077113|offset_51|444444,2077128:2077147|offset_85|444444,2077158:2077177|offset_115|444444&amp;v=2076843:2077377&amp;c=444444", "offset 1")</f>
        <v>offset 1</v>
      </c>
    </row>
    <row r="6555" customFormat="false" ht="12.8" hidden="false" customHeight="false" outlineLevel="0" collapsed="false">
      <c r="A6555" s="0" t="s">
        <v>12</v>
      </c>
      <c r="B6555" s="0" t="n">
        <v>2077093</v>
      </c>
      <c r="C6555" s="0" t="n">
        <v>2077113</v>
      </c>
      <c r="D6555" s="0" t="s">
        <v>21832</v>
      </c>
      <c r="E6555" s="0" t="s">
        <v>21833</v>
      </c>
      <c r="F6555" s="0" t="s">
        <v>15</v>
      </c>
      <c r="G6555" s="0" t="s">
        <v>36</v>
      </c>
      <c r="H6555" s="0" t="n">
        <v>51</v>
      </c>
      <c r="I6555" s="0" t="s">
        <v>21837</v>
      </c>
      <c r="J6555" s="0" t="s">
        <v>21838</v>
      </c>
      <c r="K6555" s="0" t="s">
        <v>21839</v>
      </c>
      <c r="L6555" s="0" t="str">
        <f aca="false">HYPERLINK("https://www.ncbi.nlm.nih.gov/nuccore/CP000058.1?report=graph&amp;tracks=[key:gene_model_track,Options:GeneOnly]&amp;mk=2077044:2077063|offset_1|444444,2077094:2077113|offset_51|00cc00,2077128:2077147|offset_85|444444,2077158:2077177|offset_115|444444&amp;v=2076843:2077377&amp;c=444444", "offset 51")</f>
        <v>offset 51</v>
      </c>
    </row>
    <row r="6556" customFormat="false" ht="12.8" hidden="false" customHeight="false" outlineLevel="0" collapsed="false">
      <c r="A6556" s="0" t="s">
        <v>12</v>
      </c>
      <c r="B6556" s="0" t="n">
        <v>2077127</v>
      </c>
      <c r="C6556" s="0" t="n">
        <v>2077147</v>
      </c>
      <c r="D6556" s="0" t="s">
        <v>21832</v>
      </c>
      <c r="E6556" s="0" t="s">
        <v>21833</v>
      </c>
      <c r="F6556" s="0" t="s">
        <v>15</v>
      </c>
      <c r="G6556" s="0" t="s">
        <v>16</v>
      </c>
      <c r="H6556" s="0" t="n">
        <v>85</v>
      </c>
      <c r="I6556" s="0" t="s">
        <v>21840</v>
      </c>
      <c r="J6556" s="0" t="s">
        <v>21841</v>
      </c>
      <c r="K6556" s="0" t="s">
        <v>21842</v>
      </c>
      <c r="L6556" s="0" t="str">
        <f aca="false">HYPERLINK("https://www.ncbi.nlm.nih.gov/nuccore/CP000058.1?report=graph&amp;tracks=[key:gene_model_track,Options:GeneOnly]&amp;mk=2077044:2077063|offset_1|444444,2077094:2077113|offset_51|444444,2077128:2077147|offset_85|00cc00,2077158:2077177|offset_115|444444&amp;v=2076843:2077377&amp;c=444444", "offset 85")</f>
        <v>offset 85</v>
      </c>
    </row>
    <row r="6557" customFormat="false" ht="12.8" hidden="false" customHeight="false" outlineLevel="0" collapsed="false">
      <c r="A6557" s="0" t="s">
        <v>12</v>
      </c>
      <c r="B6557" s="0" t="n">
        <v>2077157</v>
      </c>
      <c r="C6557" s="0" t="n">
        <v>2077177</v>
      </c>
      <c r="D6557" s="0" t="s">
        <v>21832</v>
      </c>
      <c r="E6557" s="0" t="s">
        <v>21833</v>
      </c>
      <c r="F6557" s="0" t="s">
        <v>15</v>
      </c>
      <c r="G6557" s="0" t="s">
        <v>32</v>
      </c>
      <c r="H6557" s="0" t="n">
        <v>115</v>
      </c>
      <c r="I6557" s="0" t="s">
        <v>21843</v>
      </c>
      <c r="J6557" s="0" t="s">
        <v>21844</v>
      </c>
      <c r="K6557" s="0" t="s">
        <v>21845</v>
      </c>
      <c r="L6557" s="0" t="str">
        <f aca="false">HYPERLINK("https://www.ncbi.nlm.nih.gov/nuccore/CP000058.1?report=graph&amp;tracks=[key:gene_model_track,Options:GeneOnly]&amp;mk=2077044:2077063|offset_1|444444,2077094:2077113|offset_51|444444,2077128:2077147|offset_85|444444,2077158:2077177|offset_115|00cc00&amp;v=2076843:2077377&amp;c=444444", "offset 115")</f>
        <v>offset 115</v>
      </c>
    </row>
    <row r="6558" customFormat="false" ht="12.8" hidden="false" customHeight="false" outlineLevel="0" collapsed="false">
      <c r="A6558" s="0" t="s">
        <v>12</v>
      </c>
      <c r="B6558" s="0" t="n">
        <v>2080836</v>
      </c>
      <c r="C6558" s="0" t="n">
        <v>2080856</v>
      </c>
      <c r="D6558" s="0" t="s">
        <v>21846</v>
      </c>
      <c r="E6558" s="0" t="s">
        <v>21847</v>
      </c>
      <c r="F6558" s="0" t="s">
        <v>15</v>
      </c>
      <c r="G6558" s="0" t="s">
        <v>16</v>
      </c>
      <c r="H6558" s="0" t="n">
        <v>55</v>
      </c>
      <c r="I6558" s="0" t="s">
        <v>21848</v>
      </c>
      <c r="J6558" s="0" t="s">
        <v>21849</v>
      </c>
      <c r="K6558" s="0" t="s">
        <v>21850</v>
      </c>
      <c r="L6558" s="0" t="str">
        <f aca="false">HYPERLINK("https://www.ncbi.nlm.nih.gov/nuccore/CP000058.1?report=graph&amp;tracks=[key:gene_model_track,Options:GeneOnly]&amp;mk=2080837:2080856|offset_55|00cc00,2080862:2080881|offset_80|444444,2080915:2080934|offset_133|444444,2080939:2080958|offset_157|444444&amp;v=2080636:2081158&amp;c=444444", "offset 55")</f>
        <v>offset 55</v>
      </c>
    </row>
    <row r="6559" customFormat="false" ht="12.8" hidden="false" customHeight="false" outlineLevel="0" collapsed="false">
      <c r="A6559" s="0" t="s">
        <v>12</v>
      </c>
      <c r="B6559" s="0" t="n">
        <v>2080861</v>
      </c>
      <c r="C6559" s="0" t="n">
        <v>2080881</v>
      </c>
      <c r="D6559" s="0" t="s">
        <v>21846</v>
      </c>
      <c r="E6559" s="0" t="s">
        <v>21847</v>
      </c>
      <c r="F6559" s="0" t="s">
        <v>15</v>
      </c>
      <c r="G6559" s="0" t="s">
        <v>16</v>
      </c>
      <c r="H6559" s="0" t="n">
        <v>80</v>
      </c>
      <c r="I6559" s="0" t="s">
        <v>21851</v>
      </c>
      <c r="J6559" s="0" t="s">
        <v>21852</v>
      </c>
      <c r="K6559" s="0" t="s">
        <v>21853</v>
      </c>
      <c r="L6559" s="0" t="str">
        <f aca="false">HYPERLINK("https://www.ncbi.nlm.nih.gov/nuccore/CP000058.1?report=graph&amp;tracks=[key:gene_model_track,Options:GeneOnly]&amp;mk=2080837:2080856|offset_55|444444,2080862:2080881|offset_80|00cc00,2080915:2080934|offset_133|444444,2080939:2080958|offset_157|444444&amp;v=2080636:2081158&amp;c=444444", "offset 80")</f>
        <v>offset 80</v>
      </c>
    </row>
    <row r="6560" customFormat="false" ht="12.8" hidden="false" customHeight="false" outlineLevel="0" collapsed="false">
      <c r="A6560" s="0" t="s">
        <v>12</v>
      </c>
      <c r="B6560" s="0" t="n">
        <v>2080914</v>
      </c>
      <c r="C6560" s="0" t="n">
        <v>2080934</v>
      </c>
      <c r="D6560" s="0" t="s">
        <v>21846</v>
      </c>
      <c r="E6560" s="0" t="s">
        <v>21847</v>
      </c>
      <c r="F6560" s="0" t="s">
        <v>15</v>
      </c>
      <c r="G6560" s="0" t="s">
        <v>32</v>
      </c>
      <c r="H6560" s="0" t="n">
        <v>133</v>
      </c>
      <c r="I6560" s="0" t="s">
        <v>21854</v>
      </c>
      <c r="J6560" s="0" t="s">
        <v>21855</v>
      </c>
      <c r="K6560" s="0" t="s">
        <v>21856</v>
      </c>
      <c r="L6560" s="0" t="str">
        <f aca="false">HYPERLINK("https://www.ncbi.nlm.nih.gov/nuccore/CP000058.1?report=graph&amp;tracks=[key:gene_model_track,Options:GeneOnly]&amp;mk=2080837:2080856|offset_55|444444,2080862:2080881|offset_80|444444,2080915:2080934|offset_133|00cc00,2080939:2080958|offset_157|444444&amp;v=2080636:2081158&amp;c=444444", "offset 133")</f>
        <v>offset 133</v>
      </c>
    </row>
    <row r="6561" customFormat="false" ht="12.8" hidden="false" customHeight="false" outlineLevel="0" collapsed="false">
      <c r="A6561" s="0" t="s">
        <v>12</v>
      </c>
      <c r="B6561" s="0" t="n">
        <v>2080938</v>
      </c>
      <c r="C6561" s="0" t="n">
        <v>2080958</v>
      </c>
      <c r="D6561" s="0" t="s">
        <v>21846</v>
      </c>
      <c r="E6561" s="0" t="s">
        <v>21847</v>
      </c>
      <c r="F6561" s="0" t="s">
        <v>15</v>
      </c>
      <c r="G6561" s="0" t="s">
        <v>32</v>
      </c>
      <c r="H6561" s="0" t="n">
        <v>157</v>
      </c>
      <c r="I6561" s="0" t="s">
        <v>21857</v>
      </c>
      <c r="J6561" s="0" t="s">
        <v>21858</v>
      </c>
      <c r="K6561" s="0" t="s">
        <v>21859</v>
      </c>
      <c r="L6561" s="0" t="str">
        <f aca="false">HYPERLINK("https://www.ncbi.nlm.nih.gov/nuccore/CP000058.1?report=graph&amp;tracks=[key:gene_model_track,Options:GeneOnly]&amp;mk=2080837:2080856|offset_55|444444,2080862:2080881|offset_80|444444,2080915:2080934|offset_133|444444,2080939:2080958|offset_157|00cc00&amp;v=2080636:2081158&amp;c=444444", "offset 157")</f>
        <v>offset 157</v>
      </c>
    </row>
    <row r="6562" customFormat="false" ht="12.8" hidden="false" customHeight="false" outlineLevel="0" collapsed="false">
      <c r="A6562" s="0" t="s">
        <v>12</v>
      </c>
      <c r="B6562" s="0" t="n">
        <v>2081790</v>
      </c>
      <c r="C6562" s="0" t="n">
        <v>2081810</v>
      </c>
      <c r="D6562" s="0" t="s">
        <v>21860</v>
      </c>
      <c r="E6562" s="0" t="s">
        <v>21861</v>
      </c>
      <c r="F6562" s="0" t="s">
        <v>15</v>
      </c>
      <c r="G6562" s="0" t="s">
        <v>16</v>
      </c>
      <c r="H6562" s="0" t="n">
        <v>10</v>
      </c>
      <c r="I6562" s="0" t="s">
        <v>21862</v>
      </c>
      <c r="J6562" s="0" t="s">
        <v>21863</v>
      </c>
      <c r="K6562" s="0" t="s">
        <v>21864</v>
      </c>
      <c r="L6562" s="0" t="str">
        <f aca="false">HYPERLINK("https://www.ncbi.nlm.nih.gov/nuccore/CP000058.1?report=graph&amp;tracks=[key:gene_model_track,Options:GeneOnly]&amp;mk=2081791:2081810|offset_10|00cc00,2081843:2081862|offset_62|444444,2081865:2081884|offset_84|444444,2081891:2081910|offset_110|444444&amp;v=2081590:2082110&amp;c=444444", "offset 10")</f>
        <v>offset 10</v>
      </c>
    </row>
    <row r="6563" customFormat="false" ht="12.8" hidden="false" customHeight="false" outlineLevel="0" collapsed="false">
      <c r="A6563" s="0" t="s">
        <v>12</v>
      </c>
      <c r="B6563" s="0" t="n">
        <v>2081842</v>
      </c>
      <c r="C6563" s="0" t="n">
        <v>2081862</v>
      </c>
      <c r="D6563" s="0" t="s">
        <v>21860</v>
      </c>
      <c r="E6563" s="0" t="s">
        <v>21861</v>
      </c>
      <c r="F6563" s="0" t="s">
        <v>15</v>
      </c>
      <c r="G6563" s="0" t="s">
        <v>16</v>
      </c>
      <c r="H6563" s="0" t="n">
        <v>62</v>
      </c>
      <c r="I6563" s="0" t="s">
        <v>21865</v>
      </c>
      <c r="J6563" s="0" t="s">
        <v>21866</v>
      </c>
      <c r="K6563" s="0" t="s">
        <v>21867</v>
      </c>
      <c r="L6563" s="0" t="str">
        <f aca="false">HYPERLINK("https://www.ncbi.nlm.nih.gov/nuccore/CP000058.1?report=graph&amp;tracks=[key:gene_model_track,Options:GeneOnly]&amp;mk=2081791:2081810|offset_10|444444,2081843:2081862|offset_62|00cc00,2081865:2081884|offset_84|444444,2081891:2081910|offset_110|444444&amp;v=2081590:2082110&amp;c=444444", "offset 62")</f>
        <v>offset 62</v>
      </c>
    </row>
    <row r="6564" customFormat="false" ht="12.8" hidden="false" customHeight="false" outlineLevel="0" collapsed="false">
      <c r="A6564" s="0" t="s">
        <v>12</v>
      </c>
      <c r="B6564" s="0" t="n">
        <v>2081864</v>
      </c>
      <c r="C6564" s="0" t="n">
        <v>2081884</v>
      </c>
      <c r="D6564" s="0" t="s">
        <v>21860</v>
      </c>
      <c r="E6564" s="0" t="s">
        <v>21861</v>
      </c>
      <c r="F6564" s="0" t="s">
        <v>15</v>
      </c>
      <c r="G6564" s="0" t="s">
        <v>36</v>
      </c>
      <c r="H6564" s="0" t="n">
        <v>84</v>
      </c>
      <c r="I6564" s="0" t="s">
        <v>21868</v>
      </c>
      <c r="J6564" s="0" t="s">
        <v>21869</v>
      </c>
      <c r="K6564" s="0" t="s">
        <v>21870</v>
      </c>
      <c r="L6564" s="0" t="str">
        <f aca="false">HYPERLINK("https://www.ncbi.nlm.nih.gov/nuccore/CP000058.1?report=graph&amp;tracks=[key:gene_model_track,Options:GeneOnly]&amp;mk=2081791:2081810|offset_10|444444,2081843:2081862|offset_62|444444,2081865:2081884|offset_84|00cc00,2081891:2081910|offset_110|444444&amp;v=2081590:2082110&amp;c=444444", "offset 84")</f>
        <v>offset 84</v>
      </c>
    </row>
    <row r="6565" customFormat="false" ht="12.8" hidden="false" customHeight="false" outlineLevel="0" collapsed="false">
      <c r="A6565" s="0" t="s">
        <v>12</v>
      </c>
      <c r="B6565" s="0" t="n">
        <v>2081890</v>
      </c>
      <c r="C6565" s="0" t="n">
        <v>2081910</v>
      </c>
      <c r="D6565" s="0" t="s">
        <v>21860</v>
      </c>
      <c r="E6565" s="0" t="s">
        <v>21861</v>
      </c>
      <c r="F6565" s="0" t="s">
        <v>15</v>
      </c>
      <c r="G6565" s="0" t="s">
        <v>16</v>
      </c>
      <c r="H6565" s="0" t="n">
        <v>110</v>
      </c>
      <c r="I6565" s="0" t="s">
        <v>21871</v>
      </c>
      <c r="J6565" s="0" t="s">
        <v>21872</v>
      </c>
      <c r="K6565" s="0" t="s">
        <v>21873</v>
      </c>
      <c r="L6565" s="0" t="str">
        <f aca="false">HYPERLINK("https://www.ncbi.nlm.nih.gov/nuccore/CP000058.1?report=graph&amp;tracks=[key:gene_model_track,Options:GeneOnly]&amp;mk=2081791:2081810|offset_10|444444,2081843:2081862|offset_62|444444,2081865:2081884|offset_84|444444,2081891:2081910|offset_110|00cc00&amp;v=2081590:2082110&amp;c=444444", "offset 110")</f>
        <v>offset 110</v>
      </c>
    </row>
    <row r="6566" customFormat="false" ht="12.8" hidden="false" customHeight="false" outlineLevel="0" collapsed="false">
      <c r="A6566" s="0" t="s">
        <v>12</v>
      </c>
      <c r="B6566" s="0" t="n">
        <v>2084780</v>
      </c>
      <c r="C6566" s="0" t="n">
        <v>2084800</v>
      </c>
      <c r="D6566" s="0" t="s">
        <v>21874</v>
      </c>
      <c r="E6566" s="0" t="s">
        <v>75</v>
      </c>
      <c r="F6566" s="0" t="s">
        <v>15</v>
      </c>
      <c r="G6566" s="0" t="s">
        <v>32</v>
      </c>
      <c r="H6566" s="0" t="n">
        <v>1</v>
      </c>
      <c r="I6566" s="0" t="s">
        <v>21875</v>
      </c>
      <c r="J6566" s="0" t="s">
        <v>21876</v>
      </c>
      <c r="K6566" s="0" t="s">
        <v>21877</v>
      </c>
      <c r="L6566" s="0" t="str">
        <f aca="false">HYPERLINK("https://www.ncbi.nlm.nih.gov/nuccore/CP000058.1?report=graph&amp;tracks=[key:gene_model_track,Options:GeneOnly]&amp;mk=2084781:2084800|offset_1|00cc00,2084820:2084839|offset_40|444444,2084841:2084860|offset_61|444444,2084878:2084897|offset_98|444444&amp;v=2084580:2085097&amp;c=444444", "offset 1")</f>
        <v>offset 1</v>
      </c>
    </row>
    <row r="6567" customFormat="false" ht="12.8" hidden="false" customHeight="false" outlineLevel="0" collapsed="false">
      <c r="A6567" s="0" t="s">
        <v>12</v>
      </c>
      <c r="B6567" s="0" t="n">
        <v>2084819</v>
      </c>
      <c r="C6567" s="0" t="n">
        <v>2084839</v>
      </c>
      <c r="D6567" s="0" t="s">
        <v>21874</v>
      </c>
      <c r="E6567" s="0" t="s">
        <v>75</v>
      </c>
      <c r="F6567" s="0" t="s">
        <v>15</v>
      </c>
      <c r="G6567" s="0" t="s">
        <v>16</v>
      </c>
      <c r="H6567" s="0" t="n">
        <v>40</v>
      </c>
      <c r="I6567" s="0" t="s">
        <v>21878</v>
      </c>
      <c r="J6567" s="0" t="s">
        <v>21879</v>
      </c>
      <c r="K6567" s="0" t="s">
        <v>21880</v>
      </c>
      <c r="L6567" s="0" t="str">
        <f aca="false">HYPERLINK("https://www.ncbi.nlm.nih.gov/nuccore/CP000058.1?report=graph&amp;tracks=[key:gene_model_track,Options:GeneOnly]&amp;mk=2084781:2084800|offset_1|444444,2084820:2084839|offset_40|00cc00,2084841:2084860|offset_61|444444,2084878:2084897|offset_98|444444&amp;v=2084580:2085097&amp;c=444444", "offset 40")</f>
        <v>offset 40</v>
      </c>
    </row>
    <row r="6568" customFormat="false" ht="12.8" hidden="false" customHeight="false" outlineLevel="0" collapsed="false">
      <c r="A6568" s="0" t="s">
        <v>12</v>
      </c>
      <c r="B6568" s="0" t="n">
        <v>2084840</v>
      </c>
      <c r="C6568" s="0" t="n">
        <v>2084860</v>
      </c>
      <c r="D6568" s="0" t="s">
        <v>21874</v>
      </c>
      <c r="E6568" s="0" t="s">
        <v>75</v>
      </c>
      <c r="F6568" s="0" t="s">
        <v>15</v>
      </c>
      <c r="G6568" s="0" t="s">
        <v>32</v>
      </c>
      <c r="H6568" s="0" t="n">
        <v>61</v>
      </c>
      <c r="I6568" s="0" t="s">
        <v>21881</v>
      </c>
      <c r="J6568" s="0" t="s">
        <v>21882</v>
      </c>
      <c r="K6568" s="0" t="s">
        <v>21883</v>
      </c>
      <c r="L6568" s="0" t="str">
        <f aca="false">HYPERLINK("https://www.ncbi.nlm.nih.gov/nuccore/CP000058.1?report=graph&amp;tracks=[key:gene_model_track,Options:GeneOnly]&amp;mk=2084781:2084800|offset_1|444444,2084820:2084839|offset_40|444444,2084841:2084860|offset_61|00cc00,2084878:2084897|offset_98|444444&amp;v=2084580:2085097&amp;c=444444", "offset 61")</f>
        <v>offset 61</v>
      </c>
    </row>
    <row r="6569" customFormat="false" ht="12.8" hidden="false" customHeight="false" outlineLevel="0" collapsed="false">
      <c r="A6569" s="0" t="s">
        <v>12</v>
      </c>
      <c r="B6569" s="0" t="n">
        <v>2084877</v>
      </c>
      <c r="C6569" s="0" t="n">
        <v>2084897</v>
      </c>
      <c r="D6569" s="0" t="s">
        <v>21874</v>
      </c>
      <c r="E6569" s="0" t="s">
        <v>75</v>
      </c>
      <c r="F6569" s="0" t="s">
        <v>15</v>
      </c>
      <c r="G6569" s="0" t="s">
        <v>32</v>
      </c>
      <c r="H6569" s="0" t="n">
        <v>98</v>
      </c>
      <c r="I6569" s="0" t="s">
        <v>21884</v>
      </c>
      <c r="J6569" s="0" t="s">
        <v>21885</v>
      </c>
      <c r="K6569" s="0" t="s">
        <v>21886</v>
      </c>
      <c r="L6569" s="0" t="str">
        <f aca="false">HYPERLINK("https://www.ncbi.nlm.nih.gov/nuccore/CP000058.1?report=graph&amp;tracks=[key:gene_model_track,Options:GeneOnly]&amp;mk=2084781:2084800|offset_1|444444,2084820:2084839|offset_40|444444,2084841:2084860|offset_61|444444,2084878:2084897|offset_98|00cc00&amp;v=2084580:2085097&amp;c=444444", "offset 98")</f>
        <v>offset 98</v>
      </c>
    </row>
    <row r="6570" customFormat="false" ht="12.8" hidden="false" customHeight="false" outlineLevel="0" collapsed="false">
      <c r="A6570" s="0" t="s">
        <v>12</v>
      </c>
      <c r="B6570" s="0" t="n">
        <v>2086438</v>
      </c>
      <c r="C6570" s="0" t="n">
        <v>2086458</v>
      </c>
      <c r="D6570" s="0" t="s">
        <v>21887</v>
      </c>
      <c r="E6570" s="0" t="s">
        <v>75</v>
      </c>
      <c r="F6570" s="0" t="s">
        <v>90</v>
      </c>
      <c r="G6570" s="0" t="s">
        <v>32</v>
      </c>
      <c r="H6570" s="0" t="n">
        <v>26</v>
      </c>
      <c r="I6570" s="0" t="s">
        <v>21888</v>
      </c>
      <c r="J6570" s="0" t="s">
        <v>21889</v>
      </c>
      <c r="K6570" s="0" t="s">
        <v>21890</v>
      </c>
      <c r="L6570" s="0" t="str">
        <f aca="false">HYPERLINK("https://www.ncbi.nlm.nih.gov/nuccore/CP000058.1?report=graph&amp;tracks=[key:gene_model_track,Options:GeneOnly]&amp;mk=2086439:2086458|offset_26|00cc00,2086415:2086434|offset_50|444444,2086368:2086387|offset_97|444444,2086328:2086347|offset_137|444444&amp;v=2086238:2086547&amp;c=444444", "offset 26")</f>
        <v>offset 26</v>
      </c>
    </row>
    <row r="6571" customFormat="false" ht="12.8" hidden="false" customHeight="false" outlineLevel="0" collapsed="false">
      <c r="A6571" s="0" t="s">
        <v>12</v>
      </c>
      <c r="B6571" s="0" t="n">
        <v>2086414</v>
      </c>
      <c r="C6571" s="0" t="n">
        <v>2086434</v>
      </c>
      <c r="D6571" s="0" t="s">
        <v>21887</v>
      </c>
      <c r="E6571" s="0" t="s">
        <v>75</v>
      </c>
      <c r="F6571" s="0" t="s">
        <v>90</v>
      </c>
      <c r="G6571" s="0" t="s">
        <v>32</v>
      </c>
      <c r="H6571" s="0" t="n">
        <v>50</v>
      </c>
      <c r="I6571" s="0" t="s">
        <v>21891</v>
      </c>
      <c r="J6571" s="0" t="s">
        <v>21892</v>
      </c>
      <c r="K6571" s="0" t="s">
        <v>21893</v>
      </c>
      <c r="L6571" s="0" t="str">
        <f aca="false">HYPERLINK("https://www.ncbi.nlm.nih.gov/nuccore/CP000058.1?report=graph&amp;tracks=[key:gene_model_track,Options:GeneOnly]&amp;mk=2086439:2086458|offset_26|444444,2086415:2086434|offset_50|00cc00,2086368:2086387|offset_97|444444,2086328:2086347|offset_137|444444&amp;v=2086238:2086547&amp;c=444444", "offset 50")</f>
        <v>offset 50</v>
      </c>
    </row>
    <row r="6572" customFormat="false" ht="12.8" hidden="false" customHeight="false" outlineLevel="0" collapsed="false">
      <c r="A6572" s="0" t="s">
        <v>12</v>
      </c>
      <c r="B6572" s="0" t="n">
        <v>2086367</v>
      </c>
      <c r="C6572" s="0" t="n">
        <v>2086387</v>
      </c>
      <c r="D6572" s="0" t="s">
        <v>21887</v>
      </c>
      <c r="E6572" s="0" t="s">
        <v>75</v>
      </c>
      <c r="F6572" s="0" t="s">
        <v>90</v>
      </c>
      <c r="G6572" s="0" t="s">
        <v>16</v>
      </c>
      <c r="H6572" s="0" t="n">
        <v>97</v>
      </c>
      <c r="I6572" s="0" t="s">
        <v>21894</v>
      </c>
      <c r="J6572" s="0" t="s">
        <v>21895</v>
      </c>
      <c r="K6572" s="0" t="s">
        <v>21896</v>
      </c>
      <c r="L6572" s="0" t="str">
        <f aca="false">HYPERLINK("https://www.ncbi.nlm.nih.gov/nuccore/CP000058.1?report=graph&amp;tracks=[key:gene_model_track,Options:GeneOnly]&amp;mk=2086439:2086458|offset_26|444444,2086415:2086434|offset_50|444444,2086368:2086387|offset_97|00cc00,2086328:2086347|offset_137|444444&amp;v=2086238:2086547&amp;c=444444", "offset 97")</f>
        <v>offset 97</v>
      </c>
    </row>
    <row r="6573" customFormat="false" ht="12.8" hidden="false" customHeight="false" outlineLevel="0" collapsed="false">
      <c r="A6573" s="0" t="s">
        <v>12</v>
      </c>
      <c r="B6573" s="0" t="n">
        <v>2086327</v>
      </c>
      <c r="C6573" s="0" t="n">
        <v>2086347</v>
      </c>
      <c r="D6573" s="0" t="s">
        <v>21887</v>
      </c>
      <c r="E6573" s="0" t="s">
        <v>75</v>
      </c>
      <c r="F6573" s="0" t="s">
        <v>90</v>
      </c>
      <c r="G6573" s="0" t="s">
        <v>36</v>
      </c>
      <c r="H6573" s="0" t="n">
        <v>137</v>
      </c>
      <c r="I6573" s="0" t="s">
        <v>21897</v>
      </c>
      <c r="J6573" s="0" t="s">
        <v>21898</v>
      </c>
      <c r="K6573" s="0" t="s">
        <v>21899</v>
      </c>
      <c r="L6573" s="0" t="str">
        <f aca="false">HYPERLINK("https://www.ncbi.nlm.nih.gov/nuccore/CP000058.1?report=graph&amp;tracks=[key:gene_model_track,Options:GeneOnly]&amp;mk=2086439:2086458|offset_26|444444,2086415:2086434|offset_50|444444,2086368:2086387|offset_97|444444,2086328:2086347|offset_137|00cc00&amp;v=2086238:2086547&amp;c=444444", "offset 137")</f>
        <v>offset 137</v>
      </c>
    </row>
    <row r="6574" customFormat="false" ht="12.8" hidden="false" customHeight="false" outlineLevel="0" collapsed="false">
      <c r="A6574" s="0" t="s">
        <v>12</v>
      </c>
      <c r="B6574" s="0" t="n">
        <v>2087263</v>
      </c>
      <c r="C6574" s="0" t="n">
        <v>2087283</v>
      </c>
      <c r="D6574" s="0" t="s">
        <v>21900</v>
      </c>
      <c r="E6574" s="0" t="s">
        <v>75</v>
      </c>
      <c r="F6574" s="0" t="s">
        <v>15</v>
      </c>
      <c r="G6574" s="0" t="s">
        <v>20</v>
      </c>
      <c r="H6574" s="0" t="n">
        <v>15</v>
      </c>
      <c r="I6574" s="0" t="s">
        <v>21901</v>
      </c>
      <c r="J6574" s="0" t="s">
        <v>21902</v>
      </c>
      <c r="K6574" s="0" t="s">
        <v>21903</v>
      </c>
      <c r="L6574" s="0" t="str">
        <f aca="false">HYPERLINK("https://www.ncbi.nlm.nih.gov/nuccore/CP000058.1?report=graph&amp;tracks=[key:gene_model_track,Options:GeneOnly]&amp;mk=2087264:2087283|offset_15|00cc00,2087319:2087338|offset_70|444444,2087378:2087397|offset_129|444444,2087508:2087527|offset_259|444444&amp;v=2087063:2087727&amp;c=444444", "offset 15")</f>
        <v>offset 15</v>
      </c>
    </row>
    <row r="6575" customFormat="false" ht="12.8" hidden="false" customHeight="false" outlineLevel="0" collapsed="false">
      <c r="A6575" s="0" t="s">
        <v>12</v>
      </c>
      <c r="B6575" s="0" t="n">
        <v>2087318</v>
      </c>
      <c r="C6575" s="0" t="n">
        <v>2087338</v>
      </c>
      <c r="D6575" s="0" t="s">
        <v>21900</v>
      </c>
      <c r="E6575" s="0" t="s">
        <v>75</v>
      </c>
      <c r="F6575" s="0" t="s">
        <v>15</v>
      </c>
      <c r="G6575" s="0" t="s">
        <v>32</v>
      </c>
      <c r="H6575" s="0" t="n">
        <v>70</v>
      </c>
      <c r="I6575" s="0" t="s">
        <v>21904</v>
      </c>
      <c r="J6575" s="0" t="s">
        <v>21905</v>
      </c>
      <c r="K6575" s="0" t="s">
        <v>21906</v>
      </c>
      <c r="L6575" s="0" t="str">
        <f aca="false">HYPERLINK("https://www.ncbi.nlm.nih.gov/nuccore/CP000058.1?report=graph&amp;tracks=[key:gene_model_track,Options:GeneOnly]&amp;mk=2087264:2087283|offset_15|444444,2087319:2087338|offset_70|00cc00,2087378:2087397|offset_129|444444,2087508:2087527|offset_259|444444&amp;v=2087063:2087727&amp;c=444444", "offset 70")</f>
        <v>offset 70</v>
      </c>
    </row>
    <row r="6576" customFormat="false" ht="12.8" hidden="false" customHeight="false" outlineLevel="0" collapsed="false">
      <c r="A6576" s="0" t="s">
        <v>12</v>
      </c>
      <c r="B6576" s="0" t="n">
        <v>2087377</v>
      </c>
      <c r="C6576" s="0" t="n">
        <v>2087397</v>
      </c>
      <c r="D6576" s="0" t="s">
        <v>21900</v>
      </c>
      <c r="E6576" s="0" t="s">
        <v>75</v>
      </c>
      <c r="F6576" s="0" t="s">
        <v>15</v>
      </c>
      <c r="G6576" s="0" t="s">
        <v>16</v>
      </c>
      <c r="H6576" s="0" t="n">
        <v>129</v>
      </c>
      <c r="I6576" s="0" t="s">
        <v>21907</v>
      </c>
      <c r="J6576" s="0" t="s">
        <v>21908</v>
      </c>
      <c r="K6576" s="0" t="s">
        <v>21909</v>
      </c>
      <c r="L6576" s="0" t="str">
        <f aca="false">HYPERLINK("https://www.ncbi.nlm.nih.gov/nuccore/CP000058.1?report=graph&amp;tracks=[key:gene_model_track,Options:GeneOnly]&amp;mk=2087264:2087283|offset_15|444444,2087319:2087338|offset_70|444444,2087378:2087397|offset_129|00cc00,2087508:2087527|offset_259|444444&amp;v=2087063:2087727&amp;c=444444", "offset 129")</f>
        <v>offset 129</v>
      </c>
    </row>
    <row r="6577" customFormat="false" ht="12.8" hidden="false" customHeight="false" outlineLevel="0" collapsed="false">
      <c r="A6577" s="0" t="s">
        <v>12</v>
      </c>
      <c r="B6577" s="0" t="n">
        <v>2087507</v>
      </c>
      <c r="C6577" s="0" t="n">
        <v>2087527</v>
      </c>
      <c r="D6577" s="0" t="s">
        <v>21900</v>
      </c>
      <c r="E6577" s="0" t="s">
        <v>75</v>
      </c>
      <c r="F6577" s="0" t="s">
        <v>15</v>
      </c>
      <c r="G6577" s="0" t="s">
        <v>20</v>
      </c>
      <c r="H6577" s="0" t="n">
        <v>259</v>
      </c>
      <c r="I6577" s="0" t="s">
        <v>21910</v>
      </c>
      <c r="J6577" s="0" t="s">
        <v>21911</v>
      </c>
      <c r="K6577" s="0" t="s">
        <v>21912</v>
      </c>
      <c r="L6577" s="0" t="str">
        <f aca="false">HYPERLINK("https://www.ncbi.nlm.nih.gov/nuccore/CP000058.1?report=graph&amp;tracks=[key:gene_model_track,Options:GeneOnly]&amp;mk=2087264:2087283|offset_15|444444,2087319:2087338|offset_70|444444,2087378:2087397|offset_129|444444,2087508:2087527|offset_259|00cc00&amp;v=2087063:2087727&amp;c=444444", "offset 259")</f>
        <v>offset 259</v>
      </c>
    </row>
    <row r="6578" customFormat="false" ht="12.8" hidden="false" customHeight="false" outlineLevel="0" collapsed="false">
      <c r="A6578" s="0" t="s">
        <v>12</v>
      </c>
      <c r="B6578" s="0" t="n">
        <v>2089903</v>
      </c>
      <c r="C6578" s="0" t="n">
        <v>2089923</v>
      </c>
      <c r="D6578" s="0" t="s">
        <v>21913</v>
      </c>
      <c r="E6578" s="0" t="s">
        <v>75</v>
      </c>
      <c r="F6578" s="0" t="s">
        <v>90</v>
      </c>
      <c r="G6578" s="0" t="s">
        <v>32</v>
      </c>
      <c r="H6578" s="0" t="n">
        <v>15</v>
      </c>
      <c r="I6578" s="0" t="s">
        <v>21914</v>
      </c>
      <c r="J6578" s="0" t="s">
        <v>21915</v>
      </c>
      <c r="K6578" s="0" t="s">
        <v>21916</v>
      </c>
      <c r="L6578" s="0" t="str">
        <f aca="false">HYPERLINK("https://www.ncbi.nlm.nih.gov/nuccore/CP000058.1?report=graph&amp;tracks=[key:gene_model_track,Options:GeneOnly]&amp;mk=2089904:2089923|offset_15|00cc00,2089878:2089897|offset_41|444444,2089843:2089862|offset_76|444444,2089804:2089823|offset_115|444444&amp;v=2089703:2090023&amp;c=444444", "offset 15")</f>
        <v>offset 15</v>
      </c>
    </row>
    <row r="6579" customFormat="false" ht="12.8" hidden="false" customHeight="false" outlineLevel="0" collapsed="false">
      <c r="A6579" s="0" t="s">
        <v>12</v>
      </c>
      <c r="B6579" s="0" t="n">
        <v>2089877</v>
      </c>
      <c r="C6579" s="0" t="n">
        <v>2089897</v>
      </c>
      <c r="D6579" s="0" t="s">
        <v>21913</v>
      </c>
      <c r="E6579" s="0" t="s">
        <v>75</v>
      </c>
      <c r="F6579" s="0" t="s">
        <v>90</v>
      </c>
      <c r="G6579" s="0" t="s">
        <v>36</v>
      </c>
      <c r="H6579" s="0" t="n">
        <v>41</v>
      </c>
      <c r="I6579" s="0" t="s">
        <v>21917</v>
      </c>
      <c r="J6579" s="0" t="s">
        <v>21918</v>
      </c>
      <c r="K6579" s="0" t="s">
        <v>21919</v>
      </c>
      <c r="L6579" s="0" t="str">
        <f aca="false">HYPERLINK("https://www.ncbi.nlm.nih.gov/nuccore/CP000058.1?report=graph&amp;tracks=[key:gene_model_track,Options:GeneOnly]&amp;mk=2089904:2089923|offset_15|444444,2089878:2089897|offset_41|00cc00,2089843:2089862|offset_76|444444,2089804:2089823|offset_115|444444&amp;v=2089703:2090023&amp;c=444444", "offset 41")</f>
        <v>offset 41</v>
      </c>
    </row>
    <row r="6580" customFormat="false" ht="12.8" hidden="false" customHeight="false" outlineLevel="0" collapsed="false">
      <c r="A6580" s="0" t="s">
        <v>12</v>
      </c>
      <c r="B6580" s="0" t="n">
        <v>2089842</v>
      </c>
      <c r="C6580" s="0" t="n">
        <v>2089862</v>
      </c>
      <c r="D6580" s="0" t="s">
        <v>21913</v>
      </c>
      <c r="E6580" s="0" t="s">
        <v>75</v>
      </c>
      <c r="F6580" s="0" t="s">
        <v>90</v>
      </c>
      <c r="G6580" s="0" t="s">
        <v>20</v>
      </c>
      <c r="H6580" s="0" t="n">
        <v>76</v>
      </c>
      <c r="I6580" s="0" t="s">
        <v>21920</v>
      </c>
      <c r="J6580" s="0" t="s">
        <v>21921</v>
      </c>
      <c r="K6580" s="0" t="s">
        <v>21922</v>
      </c>
      <c r="L6580" s="0" t="str">
        <f aca="false">HYPERLINK("https://www.ncbi.nlm.nih.gov/nuccore/CP000058.1?report=graph&amp;tracks=[key:gene_model_track,Options:GeneOnly]&amp;mk=2089904:2089923|offset_15|444444,2089878:2089897|offset_41|444444,2089843:2089862|offset_76|00cc00,2089804:2089823|offset_115|444444&amp;v=2089703:2090023&amp;c=444444", "offset 76")</f>
        <v>offset 76</v>
      </c>
    </row>
    <row r="6581" customFormat="false" ht="12.8" hidden="false" customHeight="false" outlineLevel="0" collapsed="false">
      <c r="A6581" s="0" t="s">
        <v>12</v>
      </c>
      <c r="B6581" s="0" t="n">
        <v>2089803</v>
      </c>
      <c r="C6581" s="0" t="n">
        <v>2089823</v>
      </c>
      <c r="D6581" s="0" t="s">
        <v>21913</v>
      </c>
      <c r="E6581" s="0" t="s">
        <v>75</v>
      </c>
      <c r="F6581" s="0" t="s">
        <v>90</v>
      </c>
      <c r="G6581" s="0" t="s">
        <v>36</v>
      </c>
      <c r="H6581" s="0" t="n">
        <v>115</v>
      </c>
      <c r="I6581" s="0" t="s">
        <v>21923</v>
      </c>
      <c r="J6581" s="0" t="s">
        <v>21924</v>
      </c>
      <c r="K6581" s="0" t="s">
        <v>21925</v>
      </c>
      <c r="L6581" s="0" t="str">
        <f aca="false">HYPERLINK("https://www.ncbi.nlm.nih.gov/nuccore/CP000058.1?report=graph&amp;tracks=[key:gene_model_track,Options:GeneOnly]&amp;mk=2089904:2089923|offset_15|444444,2089878:2089897|offset_41|444444,2089843:2089862|offset_76|444444,2089804:2089823|offset_115|00cc00&amp;v=2089703:2090023&amp;c=444444", "offset 115")</f>
        <v>offset 115</v>
      </c>
    </row>
    <row r="6582" customFormat="false" ht="12.8" hidden="false" customHeight="false" outlineLevel="0" collapsed="false">
      <c r="A6582" s="0" t="s">
        <v>12</v>
      </c>
      <c r="B6582" s="0" t="n">
        <v>2090797</v>
      </c>
      <c r="C6582" s="0" t="n">
        <v>2090817</v>
      </c>
      <c r="D6582" s="0" t="s">
        <v>21926</v>
      </c>
      <c r="E6582" s="0" t="s">
        <v>75</v>
      </c>
      <c r="F6582" s="0" t="s">
        <v>90</v>
      </c>
      <c r="G6582" s="0" t="s">
        <v>32</v>
      </c>
      <c r="H6582" s="0" t="n">
        <v>9</v>
      </c>
      <c r="I6582" s="0" t="s">
        <v>21927</v>
      </c>
      <c r="J6582" s="0" t="s">
        <v>21928</v>
      </c>
      <c r="K6582" s="0" t="s">
        <v>21929</v>
      </c>
      <c r="L6582" s="0" t="str">
        <f aca="false">HYPERLINK("https://www.ncbi.nlm.nih.gov/nuccore/CP000058.1?report=graph&amp;tracks=[key:gene_model_track,Options:GeneOnly]&amp;mk=2090798:2090817|offset_9|00cc00,2090765:2090784|offset_42|444444,2090701:2090720|offset_106|444444,2090662:2090681|offset_145|444444&amp;v=2090597:2090881&amp;c=444444", "offset 9")</f>
        <v>offset 9</v>
      </c>
    </row>
    <row r="6583" customFormat="false" ht="12.8" hidden="false" customHeight="false" outlineLevel="0" collapsed="false">
      <c r="A6583" s="0" t="s">
        <v>12</v>
      </c>
      <c r="B6583" s="0" t="n">
        <v>2090764</v>
      </c>
      <c r="C6583" s="0" t="n">
        <v>2090784</v>
      </c>
      <c r="D6583" s="0" t="s">
        <v>21926</v>
      </c>
      <c r="E6583" s="0" t="s">
        <v>75</v>
      </c>
      <c r="F6583" s="0" t="s">
        <v>90</v>
      </c>
      <c r="G6583" s="0" t="s">
        <v>32</v>
      </c>
      <c r="H6583" s="0" t="n">
        <v>42</v>
      </c>
      <c r="I6583" s="0" t="s">
        <v>21930</v>
      </c>
      <c r="J6583" s="0" t="s">
        <v>21931</v>
      </c>
      <c r="K6583" s="0" t="s">
        <v>21932</v>
      </c>
      <c r="L6583" s="0" t="str">
        <f aca="false">HYPERLINK("https://www.ncbi.nlm.nih.gov/nuccore/CP000058.1?report=graph&amp;tracks=[key:gene_model_track,Options:GeneOnly]&amp;mk=2090798:2090817|offset_9|444444,2090765:2090784|offset_42|00cc00,2090701:2090720|offset_106|444444,2090662:2090681|offset_145|444444&amp;v=2090597:2090881&amp;c=444444", "offset 42")</f>
        <v>offset 42</v>
      </c>
    </row>
    <row r="6584" customFormat="false" ht="12.8" hidden="false" customHeight="false" outlineLevel="0" collapsed="false">
      <c r="A6584" s="0" t="s">
        <v>12</v>
      </c>
      <c r="B6584" s="0" t="n">
        <v>2090700</v>
      </c>
      <c r="C6584" s="0" t="n">
        <v>2090720</v>
      </c>
      <c r="D6584" s="0" t="s">
        <v>21926</v>
      </c>
      <c r="E6584" s="0" t="s">
        <v>75</v>
      </c>
      <c r="F6584" s="0" t="s">
        <v>90</v>
      </c>
      <c r="G6584" s="0" t="s">
        <v>32</v>
      </c>
      <c r="H6584" s="0" t="n">
        <v>106</v>
      </c>
      <c r="I6584" s="0" t="s">
        <v>21933</v>
      </c>
      <c r="J6584" s="0" t="s">
        <v>21934</v>
      </c>
      <c r="K6584" s="0" t="s">
        <v>21935</v>
      </c>
      <c r="L6584" s="0" t="str">
        <f aca="false">HYPERLINK("https://www.ncbi.nlm.nih.gov/nuccore/CP000058.1?report=graph&amp;tracks=[key:gene_model_track,Options:GeneOnly]&amp;mk=2090798:2090817|offset_9|444444,2090765:2090784|offset_42|444444,2090701:2090720|offset_106|00cc00,2090662:2090681|offset_145|444444&amp;v=2090597:2090881&amp;c=444444", "offset 106")</f>
        <v>offset 106</v>
      </c>
    </row>
    <row r="6585" customFormat="false" ht="12.8" hidden="false" customHeight="false" outlineLevel="0" collapsed="false">
      <c r="A6585" s="0" t="s">
        <v>12</v>
      </c>
      <c r="B6585" s="0" t="n">
        <v>2090661</v>
      </c>
      <c r="C6585" s="0" t="n">
        <v>2090681</v>
      </c>
      <c r="D6585" s="0" t="s">
        <v>21926</v>
      </c>
      <c r="E6585" s="0" t="s">
        <v>75</v>
      </c>
      <c r="F6585" s="0" t="s">
        <v>90</v>
      </c>
      <c r="G6585" s="0" t="s">
        <v>32</v>
      </c>
      <c r="H6585" s="0" t="n">
        <v>145</v>
      </c>
      <c r="I6585" s="0" t="s">
        <v>21936</v>
      </c>
      <c r="J6585" s="0" t="s">
        <v>21937</v>
      </c>
      <c r="K6585" s="0" t="s">
        <v>21938</v>
      </c>
      <c r="L6585" s="0" t="str">
        <f aca="false">HYPERLINK("https://www.ncbi.nlm.nih.gov/nuccore/CP000058.1?report=graph&amp;tracks=[key:gene_model_track,Options:GeneOnly]&amp;mk=2090798:2090817|offset_9|444444,2090765:2090784|offset_42|444444,2090701:2090720|offset_106|444444,2090662:2090681|offset_145|00cc00&amp;v=2090597:2090881&amp;c=444444", "offset 145")</f>
        <v>offset 145</v>
      </c>
    </row>
    <row r="6586" customFormat="false" ht="12.8" hidden="false" customHeight="false" outlineLevel="0" collapsed="false">
      <c r="A6586" s="0" t="s">
        <v>12</v>
      </c>
      <c r="B6586" s="0" t="n">
        <v>2090962</v>
      </c>
      <c r="C6586" s="0" t="n">
        <v>2090982</v>
      </c>
      <c r="D6586" s="0" t="s">
        <v>21939</v>
      </c>
      <c r="E6586" s="0" t="s">
        <v>21940</v>
      </c>
      <c r="F6586" s="0" t="s">
        <v>15</v>
      </c>
      <c r="G6586" s="0" t="s">
        <v>16</v>
      </c>
      <c r="H6586" s="0" t="n">
        <v>36</v>
      </c>
      <c r="I6586" s="0" t="s">
        <v>21941</v>
      </c>
      <c r="J6586" s="0" t="s">
        <v>21942</v>
      </c>
      <c r="K6586" s="0" t="s">
        <v>21943</v>
      </c>
      <c r="L6586" s="0" t="str">
        <f aca="false">HYPERLINK("https://www.ncbi.nlm.nih.gov/nuccore/CP000058.1?report=graph&amp;tracks=[key:gene_model_track,Options:GeneOnly]&amp;mk=2090963:2090982|offset_36|00cc00,2090989:2091008|offset_62|444444,2091009:2091028|offset_82|444444,2091031:2091050|offset_104|444444&amp;v=2090762:2091250&amp;c=444444", "offset 36")</f>
        <v>offset 36</v>
      </c>
    </row>
    <row r="6587" customFormat="false" ht="12.8" hidden="false" customHeight="false" outlineLevel="0" collapsed="false">
      <c r="A6587" s="0" t="s">
        <v>12</v>
      </c>
      <c r="B6587" s="0" t="n">
        <v>2090988</v>
      </c>
      <c r="C6587" s="0" t="n">
        <v>2091008</v>
      </c>
      <c r="D6587" s="0" t="s">
        <v>21939</v>
      </c>
      <c r="E6587" s="0" t="s">
        <v>21940</v>
      </c>
      <c r="F6587" s="0" t="s">
        <v>15</v>
      </c>
      <c r="G6587" s="0" t="s">
        <v>32</v>
      </c>
      <c r="H6587" s="0" t="n">
        <v>62</v>
      </c>
      <c r="I6587" s="0" t="s">
        <v>21944</v>
      </c>
      <c r="J6587" s="0" t="s">
        <v>21945</v>
      </c>
      <c r="K6587" s="0" t="s">
        <v>21946</v>
      </c>
      <c r="L6587" s="0" t="str">
        <f aca="false">HYPERLINK("https://www.ncbi.nlm.nih.gov/nuccore/CP000058.1?report=graph&amp;tracks=[key:gene_model_track,Options:GeneOnly]&amp;mk=2090963:2090982|offset_36|444444,2090989:2091008|offset_62|00cc00,2091009:2091028|offset_82|444444,2091031:2091050|offset_104|444444&amp;v=2090762:2091250&amp;c=444444", "offset 62")</f>
        <v>offset 62</v>
      </c>
    </row>
    <row r="6588" customFormat="false" ht="12.8" hidden="false" customHeight="false" outlineLevel="0" collapsed="false">
      <c r="A6588" s="0" t="s">
        <v>12</v>
      </c>
      <c r="B6588" s="0" t="n">
        <v>2091008</v>
      </c>
      <c r="C6588" s="0" t="n">
        <v>2091028</v>
      </c>
      <c r="D6588" s="0" t="s">
        <v>21939</v>
      </c>
      <c r="E6588" s="0" t="s">
        <v>21940</v>
      </c>
      <c r="F6588" s="0" t="s">
        <v>15</v>
      </c>
      <c r="G6588" s="0" t="s">
        <v>36</v>
      </c>
      <c r="H6588" s="0" t="n">
        <v>82</v>
      </c>
      <c r="I6588" s="0" t="s">
        <v>21947</v>
      </c>
      <c r="J6588" s="0" t="s">
        <v>21948</v>
      </c>
      <c r="K6588" s="0" t="s">
        <v>21949</v>
      </c>
      <c r="L6588" s="0" t="str">
        <f aca="false">HYPERLINK("https://www.ncbi.nlm.nih.gov/nuccore/CP000058.1?report=graph&amp;tracks=[key:gene_model_track,Options:GeneOnly]&amp;mk=2090963:2090982|offset_36|444444,2090989:2091008|offset_62|444444,2091009:2091028|offset_82|00cc00,2091031:2091050|offset_104|444444&amp;v=2090762:2091250&amp;c=444444", "offset 82")</f>
        <v>offset 82</v>
      </c>
    </row>
    <row r="6589" customFormat="false" ht="12.8" hidden="false" customHeight="false" outlineLevel="0" collapsed="false">
      <c r="A6589" s="0" t="s">
        <v>12</v>
      </c>
      <c r="B6589" s="0" t="n">
        <v>2091030</v>
      </c>
      <c r="C6589" s="0" t="n">
        <v>2091050</v>
      </c>
      <c r="D6589" s="0" t="s">
        <v>21939</v>
      </c>
      <c r="E6589" s="0" t="s">
        <v>21940</v>
      </c>
      <c r="F6589" s="0" t="s">
        <v>15</v>
      </c>
      <c r="G6589" s="0" t="s">
        <v>32</v>
      </c>
      <c r="H6589" s="0" t="n">
        <v>104</v>
      </c>
      <c r="I6589" s="0" t="s">
        <v>21950</v>
      </c>
      <c r="J6589" s="0" t="s">
        <v>21951</v>
      </c>
      <c r="K6589" s="0" t="s">
        <v>21952</v>
      </c>
      <c r="L6589" s="0" t="str">
        <f aca="false">HYPERLINK("https://www.ncbi.nlm.nih.gov/nuccore/CP000058.1?report=graph&amp;tracks=[key:gene_model_track,Options:GeneOnly]&amp;mk=2090963:2090982|offset_36|444444,2090989:2091008|offset_62|444444,2091009:2091028|offset_82|444444,2091031:2091050|offset_104|00cc00&amp;v=2090762:2091250&amp;c=444444", "offset 104")</f>
        <v>offset 104</v>
      </c>
    </row>
    <row r="6590" customFormat="false" ht="12.8" hidden="false" customHeight="false" outlineLevel="0" collapsed="false">
      <c r="A6590" s="0" t="s">
        <v>12</v>
      </c>
      <c r="B6590" s="0" t="n">
        <v>2093201</v>
      </c>
      <c r="C6590" s="0" t="n">
        <v>2093221</v>
      </c>
      <c r="D6590" s="0" t="s">
        <v>21953</v>
      </c>
      <c r="E6590" s="0" t="s">
        <v>75</v>
      </c>
      <c r="F6590" s="0" t="s">
        <v>15</v>
      </c>
      <c r="G6590" s="0" t="s">
        <v>36</v>
      </c>
      <c r="H6590" s="0" t="n">
        <v>0</v>
      </c>
      <c r="I6590" s="0" t="s">
        <v>21954</v>
      </c>
      <c r="J6590" s="0" t="s">
        <v>21955</v>
      </c>
      <c r="K6590" s="0" t="s">
        <v>21956</v>
      </c>
      <c r="L6590" s="0" t="str">
        <f aca="false">HYPERLINK("https://www.ncbi.nlm.nih.gov/nuccore/CP000058.1?report=graph&amp;tracks=[key:gene_model_track,Options:GeneOnly]&amp;mk=2093202:2093221|offset_0|00cc00,2093228:2093247|offset_26|444444,2093266:2093285|offset_64|444444,2093287:2093306|offset_85|444444&amp;v=2093001:2093506&amp;c=444444", "offset 0")</f>
        <v>offset 0</v>
      </c>
    </row>
    <row r="6591" customFormat="false" ht="12.8" hidden="false" customHeight="false" outlineLevel="0" collapsed="false">
      <c r="A6591" s="0" t="s">
        <v>12</v>
      </c>
      <c r="B6591" s="0" t="n">
        <v>2093227</v>
      </c>
      <c r="C6591" s="0" t="n">
        <v>2093247</v>
      </c>
      <c r="D6591" s="0" t="s">
        <v>21953</v>
      </c>
      <c r="E6591" s="0" t="s">
        <v>75</v>
      </c>
      <c r="F6591" s="0" t="s">
        <v>15</v>
      </c>
      <c r="G6591" s="0" t="s">
        <v>20</v>
      </c>
      <c r="H6591" s="0" t="n">
        <v>26</v>
      </c>
      <c r="I6591" s="0" t="s">
        <v>21957</v>
      </c>
      <c r="J6591" s="0" t="s">
        <v>21958</v>
      </c>
      <c r="K6591" s="0" t="s">
        <v>21959</v>
      </c>
      <c r="L6591" s="0" t="str">
        <f aca="false">HYPERLINK("https://www.ncbi.nlm.nih.gov/nuccore/CP000058.1?report=graph&amp;tracks=[key:gene_model_track,Options:GeneOnly]&amp;mk=2093202:2093221|offset_0|444444,2093228:2093247|offset_26|00cc00,2093266:2093285|offset_64|444444,2093287:2093306|offset_85|444444&amp;v=2093001:2093506&amp;c=444444", "offset 26")</f>
        <v>offset 26</v>
      </c>
    </row>
    <row r="6592" customFormat="false" ht="12.8" hidden="false" customHeight="false" outlineLevel="0" collapsed="false">
      <c r="A6592" s="0" t="s">
        <v>12</v>
      </c>
      <c r="B6592" s="0" t="n">
        <v>2093265</v>
      </c>
      <c r="C6592" s="0" t="n">
        <v>2093285</v>
      </c>
      <c r="D6592" s="0" t="s">
        <v>21953</v>
      </c>
      <c r="E6592" s="0" t="s">
        <v>75</v>
      </c>
      <c r="F6592" s="0" t="s">
        <v>15</v>
      </c>
      <c r="G6592" s="0" t="s">
        <v>32</v>
      </c>
      <c r="H6592" s="0" t="n">
        <v>64</v>
      </c>
      <c r="I6592" s="0" t="s">
        <v>21960</v>
      </c>
      <c r="J6592" s="0" t="s">
        <v>21961</v>
      </c>
      <c r="K6592" s="0" t="s">
        <v>21962</v>
      </c>
      <c r="L6592" s="0" t="str">
        <f aca="false">HYPERLINK("https://www.ncbi.nlm.nih.gov/nuccore/CP000058.1?report=graph&amp;tracks=[key:gene_model_track,Options:GeneOnly]&amp;mk=2093202:2093221|offset_0|444444,2093228:2093247|offset_26|444444,2093266:2093285|offset_64|00cc00,2093287:2093306|offset_85|444444&amp;v=2093001:2093506&amp;c=444444", "offset 64")</f>
        <v>offset 64</v>
      </c>
    </row>
    <row r="6593" customFormat="false" ht="12.8" hidden="false" customHeight="false" outlineLevel="0" collapsed="false">
      <c r="A6593" s="0" t="s">
        <v>12</v>
      </c>
      <c r="B6593" s="0" t="n">
        <v>2093286</v>
      </c>
      <c r="C6593" s="0" t="n">
        <v>2093306</v>
      </c>
      <c r="D6593" s="0" t="s">
        <v>21953</v>
      </c>
      <c r="E6593" s="0" t="s">
        <v>75</v>
      </c>
      <c r="F6593" s="0" t="s">
        <v>15</v>
      </c>
      <c r="G6593" s="0" t="s">
        <v>32</v>
      </c>
      <c r="H6593" s="0" t="n">
        <v>85</v>
      </c>
      <c r="I6593" s="0" t="s">
        <v>21963</v>
      </c>
      <c r="J6593" s="0" t="s">
        <v>21964</v>
      </c>
      <c r="K6593" s="0" t="s">
        <v>21965</v>
      </c>
      <c r="L6593" s="0" t="str">
        <f aca="false">HYPERLINK("https://www.ncbi.nlm.nih.gov/nuccore/CP000058.1?report=graph&amp;tracks=[key:gene_model_track,Options:GeneOnly]&amp;mk=2093202:2093221|offset_0|444444,2093228:2093247|offset_26|444444,2093266:2093285|offset_64|444444,2093287:2093306|offset_85|00cc00&amp;v=2093001:2093506&amp;c=444444", "offset 85")</f>
        <v>offset 85</v>
      </c>
    </row>
    <row r="6594" customFormat="false" ht="12.8" hidden="false" customHeight="false" outlineLevel="0" collapsed="false">
      <c r="A6594" s="0" t="s">
        <v>12</v>
      </c>
      <c r="B6594" s="0" t="n">
        <v>2093684</v>
      </c>
      <c r="C6594" s="0" t="n">
        <v>2093704</v>
      </c>
      <c r="D6594" s="0" t="s">
        <v>21966</v>
      </c>
      <c r="E6594" s="0" t="s">
        <v>75</v>
      </c>
      <c r="F6594" s="0" t="s">
        <v>15</v>
      </c>
      <c r="G6594" s="0" t="s">
        <v>36</v>
      </c>
      <c r="H6594" s="0" t="n">
        <v>0</v>
      </c>
      <c r="I6594" s="0" t="s">
        <v>21967</v>
      </c>
      <c r="J6594" s="0" t="s">
        <v>21968</v>
      </c>
      <c r="K6594" s="0" t="s">
        <v>21969</v>
      </c>
      <c r="L6594" s="0" t="str">
        <f aca="false">HYPERLINK("https://www.ncbi.nlm.nih.gov/nuccore/CP000058.1?report=graph&amp;tracks=[key:gene_model_track,Options:GeneOnly]&amp;mk=2093685:2093704|offset_0|00cc00,2093708:2093727|offset_23|444444,2093741:2093760|offset_56|444444,2093793:2093812|offset_108|444444&amp;v=2093484:2094012&amp;c=444444", "offset 0")</f>
        <v>offset 0</v>
      </c>
    </row>
    <row r="6595" customFormat="false" ht="12.8" hidden="false" customHeight="false" outlineLevel="0" collapsed="false">
      <c r="A6595" s="0" t="s">
        <v>12</v>
      </c>
      <c r="B6595" s="0" t="n">
        <v>2093707</v>
      </c>
      <c r="C6595" s="0" t="n">
        <v>2093727</v>
      </c>
      <c r="D6595" s="0" t="s">
        <v>21966</v>
      </c>
      <c r="E6595" s="0" t="s">
        <v>75</v>
      </c>
      <c r="F6595" s="0" t="s">
        <v>15</v>
      </c>
      <c r="G6595" s="0" t="s">
        <v>20</v>
      </c>
      <c r="H6595" s="0" t="n">
        <v>23</v>
      </c>
      <c r="I6595" s="0" t="s">
        <v>21970</v>
      </c>
      <c r="J6595" s="0" t="s">
        <v>21971</v>
      </c>
      <c r="K6595" s="0" t="s">
        <v>21972</v>
      </c>
      <c r="L6595" s="0" t="str">
        <f aca="false">HYPERLINK("https://www.ncbi.nlm.nih.gov/nuccore/CP000058.1?report=graph&amp;tracks=[key:gene_model_track,Options:GeneOnly]&amp;mk=2093685:2093704|offset_0|444444,2093708:2093727|offset_23|00cc00,2093741:2093760|offset_56|444444,2093793:2093812|offset_108|444444&amp;v=2093484:2094012&amp;c=444444", "offset 23")</f>
        <v>offset 23</v>
      </c>
    </row>
    <row r="6596" customFormat="false" ht="12.8" hidden="false" customHeight="false" outlineLevel="0" collapsed="false">
      <c r="A6596" s="0" t="s">
        <v>12</v>
      </c>
      <c r="B6596" s="0" t="n">
        <v>2093740</v>
      </c>
      <c r="C6596" s="0" t="n">
        <v>2093760</v>
      </c>
      <c r="D6596" s="0" t="s">
        <v>21966</v>
      </c>
      <c r="E6596" s="0" t="s">
        <v>75</v>
      </c>
      <c r="F6596" s="0" t="s">
        <v>15</v>
      </c>
      <c r="G6596" s="0" t="s">
        <v>20</v>
      </c>
      <c r="H6596" s="0" t="n">
        <v>56</v>
      </c>
      <c r="I6596" s="0" t="s">
        <v>21973</v>
      </c>
      <c r="J6596" s="0" t="s">
        <v>21974</v>
      </c>
      <c r="K6596" s="0" t="s">
        <v>21975</v>
      </c>
      <c r="L6596" s="0" t="str">
        <f aca="false">HYPERLINK("https://www.ncbi.nlm.nih.gov/nuccore/CP000058.1?report=graph&amp;tracks=[key:gene_model_track,Options:GeneOnly]&amp;mk=2093685:2093704|offset_0|444444,2093708:2093727|offset_23|444444,2093741:2093760|offset_56|00cc00,2093793:2093812|offset_108|444444&amp;v=2093484:2094012&amp;c=444444", "offset 56")</f>
        <v>offset 56</v>
      </c>
    </row>
    <row r="6597" customFormat="false" ht="12.8" hidden="false" customHeight="false" outlineLevel="0" collapsed="false">
      <c r="A6597" s="0" t="s">
        <v>12</v>
      </c>
      <c r="B6597" s="0" t="n">
        <v>2093792</v>
      </c>
      <c r="C6597" s="0" t="n">
        <v>2093812</v>
      </c>
      <c r="D6597" s="0" t="s">
        <v>21966</v>
      </c>
      <c r="E6597" s="0" t="s">
        <v>75</v>
      </c>
      <c r="F6597" s="0" t="s">
        <v>15</v>
      </c>
      <c r="G6597" s="0" t="s">
        <v>20</v>
      </c>
      <c r="H6597" s="0" t="n">
        <v>108</v>
      </c>
      <c r="I6597" s="0" t="s">
        <v>21976</v>
      </c>
      <c r="J6597" s="0" t="s">
        <v>21977</v>
      </c>
      <c r="K6597" s="0" t="s">
        <v>21978</v>
      </c>
      <c r="L6597" s="0" t="str">
        <f aca="false">HYPERLINK("https://www.ncbi.nlm.nih.gov/nuccore/CP000058.1?report=graph&amp;tracks=[key:gene_model_track,Options:GeneOnly]&amp;mk=2093685:2093704|offset_0|444444,2093708:2093727|offset_23|444444,2093741:2093760|offset_56|444444,2093793:2093812|offset_108|00cc00&amp;v=2093484:2094012&amp;c=444444", "offset 108")</f>
        <v>offset 108</v>
      </c>
    </row>
    <row r="6598" customFormat="false" ht="12.8" hidden="false" customHeight="false" outlineLevel="0" collapsed="false">
      <c r="A6598" s="0" t="s">
        <v>12</v>
      </c>
      <c r="B6598" s="0" t="n">
        <v>2093959</v>
      </c>
      <c r="C6598" s="0" t="n">
        <v>2093979</v>
      </c>
      <c r="D6598" s="0" t="s">
        <v>21979</v>
      </c>
      <c r="E6598" s="0" t="s">
        <v>75</v>
      </c>
      <c r="F6598" s="0" t="s">
        <v>15</v>
      </c>
      <c r="G6598" s="0" t="s">
        <v>36</v>
      </c>
      <c r="H6598" s="0" t="n">
        <v>24</v>
      </c>
      <c r="I6598" s="0" t="s">
        <v>21980</v>
      </c>
      <c r="J6598" s="0" t="s">
        <v>21981</v>
      </c>
      <c r="K6598" s="0" t="s">
        <v>21982</v>
      </c>
      <c r="L6598" s="0" t="str">
        <f aca="false">HYPERLINK("https://www.ncbi.nlm.nih.gov/nuccore/CP000058.1?report=graph&amp;tracks=[key:gene_model_track,Options:GeneOnly]&amp;mk=2093960:2093979|offset_24|00cc00,2093981:2094000|offset_45|444444,2094003:2094022|offset_67|444444,2094030:2094049|offset_94|444444&amp;v=2093759:2094249&amp;c=444444", "offset 24")</f>
        <v>offset 24</v>
      </c>
    </row>
    <row r="6599" customFormat="false" ht="12.8" hidden="false" customHeight="false" outlineLevel="0" collapsed="false">
      <c r="A6599" s="0" t="s">
        <v>12</v>
      </c>
      <c r="B6599" s="0" t="n">
        <v>2093980</v>
      </c>
      <c r="C6599" s="0" t="n">
        <v>2094000</v>
      </c>
      <c r="D6599" s="0" t="s">
        <v>21979</v>
      </c>
      <c r="E6599" s="0" t="s">
        <v>75</v>
      </c>
      <c r="F6599" s="0" t="s">
        <v>15</v>
      </c>
      <c r="G6599" s="0" t="s">
        <v>20</v>
      </c>
      <c r="H6599" s="0" t="n">
        <v>45</v>
      </c>
      <c r="I6599" s="0" t="s">
        <v>21983</v>
      </c>
      <c r="J6599" s="0" t="s">
        <v>21984</v>
      </c>
      <c r="K6599" s="0" t="s">
        <v>21985</v>
      </c>
      <c r="L6599" s="0" t="str">
        <f aca="false">HYPERLINK("https://www.ncbi.nlm.nih.gov/nuccore/CP000058.1?report=graph&amp;tracks=[key:gene_model_track,Options:GeneOnly]&amp;mk=2093960:2093979|offset_24|444444,2093981:2094000|offset_45|00cc00,2094003:2094022|offset_67|444444,2094030:2094049|offset_94|444444&amp;v=2093759:2094249&amp;c=444444", "offset 45")</f>
        <v>offset 45</v>
      </c>
    </row>
    <row r="6600" customFormat="false" ht="12.8" hidden="false" customHeight="false" outlineLevel="0" collapsed="false">
      <c r="A6600" s="0" t="s">
        <v>12</v>
      </c>
      <c r="B6600" s="0" t="n">
        <v>2094002</v>
      </c>
      <c r="C6600" s="0" t="n">
        <v>2094022</v>
      </c>
      <c r="D6600" s="0" t="s">
        <v>21979</v>
      </c>
      <c r="E6600" s="0" t="s">
        <v>75</v>
      </c>
      <c r="F6600" s="0" t="s">
        <v>15</v>
      </c>
      <c r="G6600" s="0" t="s">
        <v>36</v>
      </c>
      <c r="H6600" s="0" t="n">
        <v>67</v>
      </c>
      <c r="I6600" s="0" t="s">
        <v>21986</v>
      </c>
      <c r="J6600" s="0" t="s">
        <v>21987</v>
      </c>
      <c r="K6600" s="0" t="s">
        <v>21988</v>
      </c>
      <c r="L6600" s="0" t="str">
        <f aca="false">HYPERLINK("https://www.ncbi.nlm.nih.gov/nuccore/CP000058.1?report=graph&amp;tracks=[key:gene_model_track,Options:GeneOnly]&amp;mk=2093960:2093979|offset_24|444444,2093981:2094000|offset_45|444444,2094003:2094022|offset_67|00cc00,2094030:2094049|offset_94|444444&amp;v=2093759:2094249&amp;c=444444", "offset 67")</f>
        <v>offset 67</v>
      </c>
    </row>
    <row r="6601" customFormat="false" ht="12.8" hidden="false" customHeight="false" outlineLevel="0" collapsed="false">
      <c r="A6601" s="0" t="s">
        <v>12</v>
      </c>
      <c r="B6601" s="0" t="n">
        <v>2094029</v>
      </c>
      <c r="C6601" s="0" t="n">
        <v>2094049</v>
      </c>
      <c r="D6601" s="0" t="s">
        <v>21979</v>
      </c>
      <c r="E6601" s="0" t="s">
        <v>75</v>
      </c>
      <c r="F6601" s="0" t="s">
        <v>15</v>
      </c>
      <c r="G6601" s="0" t="s">
        <v>32</v>
      </c>
      <c r="H6601" s="0" t="n">
        <v>94</v>
      </c>
      <c r="I6601" s="0" t="s">
        <v>21989</v>
      </c>
      <c r="J6601" s="0" t="s">
        <v>21990</v>
      </c>
      <c r="K6601" s="0" t="s">
        <v>21991</v>
      </c>
      <c r="L6601" s="0" t="str">
        <f aca="false">HYPERLINK("https://www.ncbi.nlm.nih.gov/nuccore/CP000058.1?report=graph&amp;tracks=[key:gene_model_track,Options:GeneOnly]&amp;mk=2093960:2093979|offset_24|444444,2093981:2094000|offset_45|444444,2094003:2094022|offset_67|444444,2094030:2094049|offset_94|00cc00&amp;v=2093759:2094249&amp;c=444444", "offset 94")</f>
        <v>offset 94</v>
      </c>
    </row>
    <row r="6602" customFormat="false" ht="12.8" hidden="false" customHeight="false" outlineLevel="0" collapsed="false">
      <c r="A6602" s="0" t="s">
        <v>12</v>
      </c>
      <c r="B6602" s="0" t="n">
        <v>2095457</v>
      </c>
      <c r="C6602" s="0" t="n">
        <v>2095477</v>
      </c>
      <c r="D6602" s="0" t="s">
        <v>21992</v>
      </c>
      <c r="E6602" s="0" t="s">
        <v>75</v>
      </c>
      <c r="F6602" s="0" t="s">
        <v>90</v>
      </c>
      <c r="G6602" s="0" t="s">
        <v>20</v>
      </c>
      <c r="H6602" s="0" t="n">
        <v>51</v>
      </c>
      <c r="I6602" s="0" t="s">
        <v>21993</v>
      </c>
      <c r="J6602" s="0" t="s">
        <v>21994</v>
      </c>
      <c r="K6602" s="0" t="s">
        <v>21995</v>
      </c>
      <c r="L6602" s="0" t="str">
        <f aca="false">HYPERLINK("https://www.ncbi.nlm.nih.gov/nuccore/CP000058.1?report=graph&amp;tracks=[key:gene_model_track,Options:GeneOnly]&amp;mk=2095458:2095477|offset_51|00cc00,2095419:2095438|offset_90|444444,2095387:2095406|offset_122|444444,2095362:2095381|offset_147|444444&amp;v=2095257:2095581&amp;c=444444", "offset 51")</f>
        <v>offset 51</v>
      </c>
    </row>
    <row r="6603" customFormat="false" ht="12.8" hidden="false" customHeight="false" outlineLevel="0" collapsed="false">
      <c r="A6603" s="0" t="s">
        <v>12</v>
      </c>
      <c r="B6603" s="0" t="n">
        <v>2095418</v>
      </c>
      <c r="C6603" s="0" t="n">
        <v>2095438</v>
      </c>
      <c r="D6603" s="0" t="s">
        <v>21992</v>
      </c>
      <c r="E6603" s="0" t="s">
        <v>75</v>
      </c>
      <c r="F6603" s="0" t="s">
        <v>90</v>
      </c>
      <c r="G6603" s="0" t="s">
        <v>16</v>
      </c>
      <c r="H6603" s="0" t="n">
        <v>90</v>
      </c>
      <c r="I6603" s="0" t="s">
        <v>21996</v>
      </c>
      <c r="J6603" s="0" t="s">
        <v>21997</v>
      </c>
      <c r="K6603" s="0" t="s">
        <v>21998</v>
      </c>
      <c r="L6603" s="0" t="str">
        <f aca="false">HYPERLINK("https://www.ncbi.nlm.nih.gov/nuccore/CP000058.1?report=graph&amp;tracks=[key:gene_model_track,Options:GeneOnly]&amp;mk=2095458:2095477|offset_51|444444,2095419:2095438|offset_90|00cc00,2095387:2095406|offset_122|444444,2095362:2095381|offset_147|444444&amp;v=2095257:2095581&amp;c=444444", "offset 90")</f>
        <v>offset 90</v>
      </c>
    </row>
    <row r="6604" customFormat="false" ht="12.8" hidden="false" customHeight="false" outlineLevel="0" collapsed="false">
      <c r="A6604" s="0" t="s">
        <v>12</v>
      </c>
      <c r="B6604" s="0" t="n">
        <v>2095386</v>
      </c>
      <c r="C6604" s="0" t="n">
        <v>2095406</v>
      </c>
      <c r="D6604" s="0" t="s">
        <v>21992</v>
      </c>
      <c r="E6604" s="0" t="s">
        <v>75</v>
      </c>
      <c r="F6604" s="0" t="s">
        <v>90</v>
      </c>
      <c r="G6604" s="0" t="s">
        <v>20</v>
      </c>
      <c r="H6604" s="0" t="n">
        <v>122</v>
      </c>
      <c r="I6604" s="0" t="s">
        <v>21999</v>
      </c>
      <c r="J6604" s="0" t="s">
        <v>22000</v>
      </c>
      <c r="K6604" s="0" t="s">
        <v>22001</v>
      </c>
      <c r="L6604" s="0" t="str">
        <f aca="false">HYPERLINK("https://www.ncbi.nlm.nih.gov/nuccore/CP000058.1?report=graph&amp;tracks=[key:gene_model_track,Options:GeneOnly]&amp;mk=2095458:2095477|offset_51|444444,2095419:2095438|offset_90|444444,2095387:2095406|offset_122|00cc00,2095362:2095381|offset_147|444444&amp;v=2095257:2095581&amp;c=444444", "offset 122")</f>
        <v>offset 122</v>
      </c>
    </row>
    <row r="6605" customFormat="false" ht="12.8" hidden="false" customHeight="false" outlineLevel="0" collapsed="false">
      <c r="A6605" s="0" t="s">
        <v>12</v>
      </c>
      <c r="B6605" s="0" t="n">
        <v>2095361</v>
      </c>
      <c r="C6605" s="0" t="n">
        <v>2095381</v>
      </c>
      <c r="D6605" s="0" t="s">
        <v>21992</v>
      </c>
      <c r="E6605" s="0" t="s">
        <v>75</v>
      </c>
      <c r="F6605" s="0" t="s">
        <v>90</v>
      </c>
      <c r="G6605" s="0" t="s">
        <v>32</v>
      </c>
      <c r="H6605" s="0" t="n">
        <v>147</v>
      </c>
      <c r="I6605" s="0" t="s">
        <v>22002</v>
      </c>
      <c r="J6605" s="0" t="s">
        <v>22003</v>
      </c>
      <c r="K6605" s="0" t="s">
        <v>22004</v>
      </c>
      <c r="L6605" s="0" t="str">
        <f aca="false">HYPERLINK("https://www.ncbi.nlm.nih.gov/nuccore/CP000058.1?report=graph&amp;tracks=[key:gene_model_track,Options:GeneOnly]&amp;mk=2095458:2095477|offset_51|444444,2095419:2095438|offset_90|444444,2095387:2095406|offset_122|444444,2095362:2095381|offset_147|00cc00&amp;v=2095257:2095581&amp;c=444444", "offset 147")</f>
        <v>offset 147</v>
      </c>
    </row>
    <row r="6606" customFormat="false" ht="12.8" hidden="false" customHeight="false" outlineLevel="0" collapsed="false">
      <c r="A6606" s="0" t="s">
        <v>12</v>
      </c>
      <c r="B6606" s="0" t="n">
        <v>2095713</v>
      </c>
      <c r="C6606" s="0" t="n">
        <v>2095733</v>
      </c>
      <c r="D6606" s="0" t="s">
        <v>22005</v>
      </c>
      <c r="E6606" s="0" t="s">
        <v>75</v>
      </c>
      <c r="F6606" s="0" t="s">
        <v>15</v>
      </c>
      <c r="G6606" s="0" t="s">
        <v>36</v>
      </c>
      <c r="H6606" s="0" t="n">
        <v>19</v>
      </c>
      <c r="I6606" s="0" t="s">
        <v>22006</v>
      </c>
      <c r="J6606" s="0" t="s">
        <v>22007</v>
      </c>
      <c r="K6606" s="0" t="s">
        <v>22008</v>
      </c>
      <c r="L6606" s="0" t="str">
        <f aca="false">HYPERLINK("https://www.ncbi.nlm.nih.gov/nuccore/CP000058.1?report=graph&amp;tracks=[key:gene_model_track,Options:GeneOnly]&amp;mk=2095714:2095733|offset_19|00cc00,2095739:2095758|offset_44|444444,2095761:2095780|offset_66|444444,2095807:2095826|offset_112|444444&amp;v=2095513:2096026&amp;c=444444", "offset 19")</f>
        <v>offset 19</v>
      </c>
    </row>
    <row r="6607" customFormat="false" ht="12.8" hidden="false" customHeight="false" outlineLevel="0" collapsed="false">
      <c r="A6607" s="0" t="s">
        <v>12</v>
      </c>
      <c r="B6607" s="0" t="n">
        <v>2095738</v>
      </c>
      <c r="C6607" s="0" t="n">
        <v>2095758</v>
      </c>
      <c r="D6607" s="0" t="s">
        <v>22005</v>
      </c>
      <c r="E6607" s="0" t="s">
        <v>75</v>
      </c>
      <c r="F6607" s="0" t="s">
        <v>15</v>
      </c>
      <c r="G6607" s="0" t="s">
        <v>20</v>
      </c>
      <c r="H6607" s="0" t="n">
        <v>44</v>
      </c>
      <c r="I6607" s="0" t="s">
        <v>22009</v>
      </c>
      <c r="J6607" s="0" t="s">
        <v>22010</v>
      </c>
      <c r="K6607" s="0" t="s">
        <v>22011</v>
      </c>
      <c r="L6607" s="0" t="str">
        <f aca="false">HYPERLINK("https://www.ncbi.nlm.nih.gov/nuccore/CP000058.1?report=graph&amp;tracks=[key:gene_model_track,Options:GeneOnly]&amp;mk=2095714:2095733|offset_19|444444,2095739:2095758|offset_44|00cc00,2095761:2095780|offset_66|444444,2095807:2095826|offset_112|444444&amp;v=2095513:2096026&amp;c=444444", "offset 44")</f>
        <v>offset 44</v>
      </c>
    </row>
    <row r="6608" customFormat="false" ht="12.8" hidden="false" customHeight="false" outlineLevel="0" collapsed="false">
      <c r="A6608" s="0" t="s">
        <v>12</v>
      </c>
      <c r="B6608" s="0" t="n">
        <v>2095760</v>
      </c>
      <c r="C6608" s="0" t="n">
        <v>2095780</v>
      </c>
      <c r="D6608" s="0" t="s">
        <v>22005</v>
      </c>
      <c r="E6608" s="0" t="s">
        <v>75</v>
      </c>
      <c r="F6608" s="0" t="s">
        <v>15</v>
      </c>
      <c r="G6608" s="0" t="s">
        <v>16</v>
      </c>
      <c r="H6608" s="0" t="n">
        <v>66</v>
      </c>
      <c r="I6608" s="0" t="s">
        <v>22012</v>
      </c>
      <c r="J6608" s="0" t="s">
        <v>22013</v>
      </c>
      <c r="K6608" s="0" t="s">
        <v>22014</v>
      </c>
      <c r="L6608" s="0" t="str">
        <f aca="false">HYPERLINK("https://www.ncbi.nlm.nih.gov/nuccore/CP000058.1?report=graph&amp;tracks=[key:gene_model_track,Options:GeneOnly]&amp;mk=2095714:2095733|offset_19|444444,2095739:2095758|offset_44|444444,2095761:2095780|offset_66|00cc00,2095807:2095826|offset_112|444444&amp;v=2095513:2096026&amp;c=444444", "offset 66")</f>
        <v>offset 66</v>
      </c>
    </row>
    <row r="6609" customFormat="false" ht="12.8" hidden="false" customHeight="false" outlineLevel="0" collapsed="false">
      <c r="A6609" s="0" t="s">
        <v>12</v>
      </c>
      <c r="B6609" s="0" t="n">
        <v>2095806</v>
      </c>
      <c r="C6609" s="0" t="n">
        <v>2095826</v>
      </c>
      <c r="D6609" s="0" t="s">
        <v>22005</v>
      </c>
      <c r="E6609" s="0" t="s">
        <v>75</v>
      </c>
      <c r="F6609" s="0" t="s">
        <v>15</v>
      </c>
      <c r="G6609" s="0" t="s">
        <v>16</v>
      </c>
      <c r="H6609" s="0" t="n">
        <v>112</v>
      </c>
      <c r="I6609" s="0" t="s">
        <v>22015</v>
      </c>
      <c r="J6609" s="0" t="s">
        <v>22016</v>
      </c>
      <c r="K6609" s="0" t="s">
        <v>22017</v>
      </c>
      <c r="L6609" s="0" t="str">
        <f aca="false">HYPERLINK("https://www.ncbi.nlm.nih.gov/nuccore/CP000058.1?report=graph&amp;tracks=[key:gene_model_track,Options:GeneOnly]&amp;mk=2095714:2095733|offset_19|444444,2095739:2095758|offset_44|444444,2095761:2095780|offset_66|444444,2095807:2095826|offset_112|00cc00&amp;v=2095513:2096026&amp;c=444444", "offset 112")</f>
        <v>offset 112</v>
      </c>
    </row>
    <row r="6610" customFormat="false" ht="12.8" hidden="false" customHeight="false" outlineLevel="0" collapsed="false">
      <c r="A6610" s="0" t="s">
        <v>12</v>
      </c>
      <c r="B6610" s="0" t="n">
        <v>2097789</v>
      </c>
      <c r="C6610" s="0" t="n">
        <v>2097809</v>
      </c>
      <c r="D6610" s="0" t="s">
        <v>22018</v>
      </c>
      <c r="E6610" s="0" t="s">
        <v>75</v>
      </c>
      <c r="F6610" s="0" t="s">
        <v>90</v>
      </c>
      <c r="G6610" s="0" t="s">
        <v>36</v>
      </c>
      <c r="H6610" s="0" t="n">
        <v>0</v>
      </c>
      <c r="I6610" s="0" t="s">
        <v>22019</v>
      </c>
      <c r="J6610" s="0" t="s">
        <v>22020</v>
      </c>
      <c r="K6610" s="0" t="s">
        <v>22021</v>
      </c>
      <c r="L6610" s="0" t="str">
        <f aca="false">HYPERLINK("https://www.ncbi.nlm.nih.gov/nuccore/CP000058.1?report=graph&amp;tracks=[key:gene_model_track,Options:GeneOnly]&amp;mk=2097790:2097809|offset_0|00cc00,2097756:2097775|offset_34|444444,2097714:2097733|offset_76|444444,2097645:2097664|offset_145|444444&amp;v=2097589:2097864&amp;c=444444", "offset 0")</f>
        <v>offset 0</v>
      </c>
    </row>
    <row r="6611" customFormat="false" ht="12.8" hidden="false" customHeight="false" outlineLevel="0" collapsed="false">
      <c r="A6611" s="0" t="s">
        <v>12</v>
      </c>
      <c r="B6611" s="0" t="n">
        <v>2097755</v>
      </c>
      <c r="C6611" s="0" t="n">
        <v>2097775</v>
      </c>
      <c r="D6611" s="0" t="s">
        <v>22018</v>
      </c>
      <c r="E6611" s="0" t="s">
        <v>75</v>
      </c>
      <c r="F6611" s="0" t="s">
        <v>90</v>
      </c>
      <c r="G6611" s="0" t="s">
        <v>16</v>
      </c>
      <c r="H6611" s="0" t="n">
        <v>34</v>
      </c>
      <c r="I6611" s="0" t="s">
        <v>22022</v>
      </c>
      <c r="J6611" s="0" t="s">
        <v>22023</v>
      </c>
      <c r="K6611" s="0" t="s">
        <v>22024</v>
      </c>
      <c r="L6611" s="0" t="str">
        <f aca="false">HYPERLINK("https://www.ncbi.nlm.nih.gov/nuccore/CP000058.1?report=graph&amp;tracks=[key:gene_model_track,Options:GeneOnly]&amp;mk=2097790:2097809|offset_0|444444,2097756:2097775|offset_34|00cc00,2097714:2097733|offset_76|444444,2097645:2097664|offset_145|444444&amp;v=2097589:2097864&amp;c=444444", "offset 34")</f>
        <v>offset 34</v>
      </c>
    </row>
    <row r="6612" customFormat="false" ht="12.8" hidden="false" customHeight="false" outlineLevel="0" collapsed="false">
      <c r="A6612" s="0" t="s">
        <v>12</v>
      </c>
      <c r="B6612" s="0" t="n">
        <v>2097713</v>
      </c>
      <c r="C6612" s="0" t="n">
        <v>2097733</v>
      </c>
      <c r="D6612" s="0" t="s">
        <v>22018</v>
      </c>
      <c r="E6612" s="0" t="s">
        <v>75</v>
      </c>
      <c r="F6612" s="0" t="s">
        <v>90</v>
      </c>
      <c r="G6612" s="0" t="s">
        <v>32</v>
      </c>
      <c r="H6612" s="0" t="n">
        <v>76</v>
      </c>
      <c r="I6612" s="0" t="s">
        <v>22025</v>
      </c>
      <c r="J6612" s="0" t="s">
        <v>22026</v>
      </c>
      <c r="K6612" s="0" t="s">
        <v>22027</v>
      </c>
      <c r="L6612" s="0" t="str">
        <f aca="false">HYPERLINK("https://www.ncbi.nlm.nih.gov/nuccore/CP000058.1?report=graph&amp;tracks=[key:gene_model_track,Options:GeneOnly]&amp;mk=2097790:2097809|offset_0|444444,2097756:2097775|offset_34|444444,2097714:2097733|offset_76|00cc00,2097645:2097664|offset_145|444444&amp;v=2097589:2097864&amp;c=444444", "offset 76")</f>
        <v>offset 76</v>
      </c>
    </row>
    <row r="6613" customFormat="false" ht="12.8" hidden="false" customHeight="false" outlineLevel="0" collapsed="false">
      <c r="A6613" s="0" t="s">
        <v>12</v>
      </c>
      <c r="B6613" s="0" t="n">
        <v>2097644</v>
      </c>
      <c r="C6613" s="0" t="n">
        <v>2097664</v>
      </c>
      <c r="D6613" s="0" t="s">
        <v>22018</v>
      </c>
      <c r="E6613" s="0" t="s">
        <v>75</v>
      </c>
      <c r="F6613" s="0" t="s">
        <v>90</v>
      </c>
      <c r="G6613" s="0" t="s">
        <v>16</v>
      </c>
      <c r="H6613" s="0" t="n">
        <v>145</v>
      </c>
      <c r="I6613" s="0" t="s">
        <v>22028</v>
      </c>
      <c r="J6613" s="0" t="s">
        <v>22029</v>
      </c>
      <c r="K6613" s="0" t="s">
        <v>22030</v>
      </c>
      <c r="L6613" s="0" t="str">
        <f aca="false">HYPERLINK("https://www.ncbi.nlm.nih.gov/nuccore/CP000058.1?report=graph&amp;tracks=[key:gene_model_track,Options:GeneOnly]&amp;mk=2097790:2097809|offset_0|444444,2097756:2097775|offset_34|444444,2097714:2097733|offset_76|444444,2097645:2097664|offset_145|00cc00&amp;v=2097589:2097864&amp;c=444444", "offset 145")</f>
        <v>offset 145</v>
      </c>
    </row>
    <row r="6614" customFormat="false" ht="12.8" hidden="false" customHeight="false" outlineLevel="0" collapsed="false">
      <c r="A6614" s="0" t="s">
        <v>12</v>
      </c>
      <c r="B6614" s="0" t="n">
        <v>2098438</v>
      </c>
      <c r="C6614" s="0" t="n">
        <v>2098458</v>
      </c>
      <c r="D6614" s="0" t="s">
        <v>22031</v>
      </c>
      <c r="E6614" s="0" t="s">
        <v>75</v>
      </c>
      <c r="F6614" s="0" t="s">
        <v>90</v>
      </c>
      <c r="G6614" s="0" t="s">
        <v>16</v>
      </c>
      <c r="H6614" s="0" t="n">
        <v>6</v>
      </c>
      <c r="I6614" s="0" t="s">
        <v>22032</v>
      </c>
      <c r="J6614" s="0" t="s">
        <v>22033</v>
      </c>
      <c r="K6614" s="0" t="s">
        <v>22034</v>
      </c>
      <c r="L6614" s="0" t="str">
        <f aca="false">HYPERLINK("https://www.ncbi.nlm.nih.gov/nuccore/CP000058.1?report=graph&amp;tracks=[key:gene_model_track,Options:GeneOnly]&amp;mk=2098439:2098458|offset_6|00cc00,2098408:2098427|offset_37|444444,2098388:2098407|offset_57|444444,2098320:2098339|offset_125|444444&amp;v=2098238:2098539&amp;c=444444", "offset 6")</f>
        <v>offset 6</v>
      </c>
    </row>
    <row r="6615" customFormat="false" ht="12.8" hidden="false" customHeight="false" outlineLevel="0" collapsed="false">
      <c r="A6615" s="0" t="s">
        <v>12</v>
      </c>
      <c r="B6615" s="0" t="n">
        <v>2098407</v>
      </c>
      <c r="C6615" s="0" t="n">
        <v>2098427</v>
      </c>
      <c r="D6615" s="0" t="s">
        <v>22031</v>
      </c>
      <c r="E6615" s="0" t="s">
        <v>75</v>
      </c>
      <c r="F6615" s="0" t="s">
        <v>90</v>
      </c>
      <c r="G6615" s="0" t="s">
        <v>32</v>
      </c>
      <c r="H6615" s="0" t="n">
        <v>37</v>
      </c>
      <c r="I6615" s="0" t="s">
        <v>22035</v>
      </c>
      <c r="J6615" s="0" t="s">
        <v>22036</v>
      </c>
      <c r="K6615" s="0" t="s">
        <v>22037</v>
      </c>
      <c r="L6615" s="0" t="str">
        <f aca="false">HYPERLINK("https://www.ncbi.nlm.nih.gov/nuccore/CP000058.1?report=graph&amp;tracks=[key:gene_model_track,Options:GeneOnly]&amp;mk=2098439:2098458|offset_6|444444,2098408:2098427|offset_37|00cc00,2098388:2098407|offset_57|444444,2098320:2098339|offset_125|444444&amp;v=2098238:2098539&amp;c=444444", "offset 37")</f>
        <v>offset 37</v>
      </c>
    </row>
    <row r="6616" customFormat="false" ht="12.8" hidden="false" customHeight="false" outlineLevel="0" collapsed="false">
      <c r="A6616" s="0" t="s">
        <v>12</v>
      </c>
      <c r="B6616" s="0" t="n">
        <v>2098387</v>
      </c>
      <c r="C6616" s="0" t="n">
        <v>2098407</v>
      </c>
      <c r="D6616" s="0" t="s">
        <v>22031</v>
      </c>
      <c r="E6616" s="0" t="s">
        <v>75</v>
      </c>
      <c r="F6616" s="0" t="s">
        <v>90</v>
      </c>
      <c r="G6616" s="0" t="s">
        <v>16</v>
      </c>
      <c r="H6616" s="0" t="n">
        <v>57</v>
      </c>
      <c r="I6616" s="0" t="s">
        <v>22038</v>
      </c>
      <c r="J6616" s="0" t="s">
        <v>22039</v>
      </c>
      <c r="K6616" s="0" t="s">
        <v>22040</v>
      </c>
      <c r="L6616" s="0" t="str">
        <f aca="false">HYPERLINK("https://www.ncbi.nlm.nih.gov/nuccore/CP000058.1?report=graph&amp;tracks=[key:gene_model_track,Options:GeneOnly]&amp;mk=2098439:2098458|offset_6|444444,2098408:2098427|offset_37|444444,2098388:2098407|offset_57|00cc00,2098320:2098339|offset_125|444444&amp;v=2098238:2098539&amp;c=444444", "offset 57")</f>
        <v>offset 57</v>
      </c>
    </row>
    <row r="6617" customFormat="false" ht="12.8" hidden="false" customHeight="false" outlineLevel="0" collapsed="false">
      <c r="A6617" s="0" t="s">
        <v>12</v>
      </c>
      <c r="B6617" s="0" t="n">
        <v>2098319</v>
      </c>
      <c r="C6617" s="0" t="n">
        <v>2098339</v>
      </c>
      <c r="D6617" s="0" t="s">
        <v>22031</v>
      </c>
      <c r="E6617" s="0" t="s">
        <v>75</v>
      </c>
      <c r="F6617" s="0" t="s">
        <v>90</v>
      </c>
      <c r="G6617" s="0" t="s">
        <v>32</v>
      </c>
      <c r="H6617" s="0" t="n">
        <v>125</v>
      </c>
      <c r="I6617" s="0" t="s">
        <v>22041</v>
      </c>
      <c r="J6617" s="0" t="s">
        <v>22042</v>
      </c>
      <c r="K6617" s="0" t="s">
        <v>22043</v>
      </c>
      <c r="L6617" s="0" t="str">
        <f aca="false">HYPERLINK("https://www.ncbi.nlm.nih.gov/nuccore/CP000058.1?report=graph&amp;tracks=[key:gene_model_track,Options:GeneOnly]&amp;mk=2098439:2098458|offset_6|444444,2098408:2098427|offset_37|444444,2098388:2098407|offset_57|444444,2098320:2098339|offset_125|00cc00&amp;v=2098238:2098539&amp;c=444444", "offset 125")</f>
        <v>offset 125</v>
      </c>
    </row>
    <row r="6618" customFormat="false" ht="12.8" hidden="false" customHeight="false" outlineLevel="0" collapsed="false">
      <c r="A6618" s="0" t="s">
        <v>12</v>
      </c>
      <c r="B6618" s="0" t="n">
        <v>2098774</v>
      </c>
      <c r="C6618" s="0" t="n">
        <v>2098794</v>
      </c>
      <c r="D6618" s="0" t="s">
        <v>22044</v>
      </c>
      <c r="E6618" s="0" t="s">
        <v>75</v>
      </c>
      <c r="F6618" s="0" t="s">
        <v>15</v>
      </c>
      <c r="G6618" s="0" t="s">
        <v>32</v>
      </c>
      <c r="H6618" s="0" t="n">
        <v>61</v>
      </c>
      <c r="I6618" s="0" t="s">
        <v>22045</v>
      </c>
      <c r="J6618" s="0" t="s">
        <v>22046</v>
      </c>
      <c r="K6618" s="0" t="s">
        <v>22047</v>
      </c>
      <c r="L6618" s="0" t="str">
        <f aca="false">HYPERLINK("https://www.ncbi.nlm.nih.gov/nuccore/CP000058.1?report=graph&amp;tracks=[key:gene_model_track,Options:GeneOnly]&amp;mk=2098775:2098794|offset_61|00cc00,2098798:2098817|offset_84|444444,2098826:2098845|offset_112|444444,2098847:2098866|offset_133|444444&amp;v=2098574:2099066&amp;c=444444", "offset 61")</f>
        <v>offset 61</v>
      </c>
    </row>
    <row r="6619" customFormat="false" ht="12.8" hidden="false" customHeight="false" outlineLevel="0" collapsed="false">
      <c r="A6619" s="0" t="s">
        <v>12</v>
      </c>
      <c r="B6619" s="0" t="n">
        <v>2098797</v>
      </c>
      <c r="C6619" s="0" t="n">
        <v>2098817</v>
      </c>
      <c r="D6619" s="0" t="s">
        <v>22044</v>
      </c>
      <c r="E6619" s="0" t="s">
        <v>75</v>
      </c>
      <c r="F6619" s="0" t="s">
        <v>15</v>
      </c>
      <c r="G6619" s="0" t="s">
        <v>16</v>
      </c>
      <c r="H6619" s="0" t="n">
        <v>84</v>
      </c>
      <c r="I6619" s="0" t="s">
        <v>22048</v>
      </c>
      <c r="J6619" s="0" t="s">
        <v>22049</v>
      </c>
      <c r="K6619" s="0" t="s">
        <v>22050</v>
      </c>
      <c r="L6619" s="0" t="str">
        <f aca="false">HYPERLINK("https://www.ncbi.nlm.nih.gov/nuccore/CP000058.1?report=graph&amp;tracks=[key:gene_model_track,Options:GeneOnly]&amp;mk=2098775:2098794|offset_61|444444,2098798:2098817|offset_84|00cc00,2098826:2098845|offset_112|444444,2098847:2098866|offset_133|444444&amp;v=2098574:2099066&amp;c=444444", "offset 84")</f>
        <v>offset 84</v>
      </c>
    </row>
    <row r="6620" customFormat="false" ht="12.8" hidden="false" customHeight="false" outlineLevel="0" collapsed="false">
      <c r="A6620" s="0" t="s">
        <v>12</v>
      </c>
      <c r="B6620" s="0" t="n">
        <v>2098825</v>
      </c>
      <c r="C6620" s="0" t="n">
        <v>2098845</v>
      </c>
      <c r="D6620" s="0" t="s">
        <v>22044</v>
      </c>
      <c r="E6620" s="0" t="s">
        <v>75</v>
      </c>
      <c r="F6620" s="0" t="s">
        <v>15</v>
      </c>
      <c r="G6620" s="0" t="s">
        <v>16</v>
      </c>
      <c r="H6620" s="0" t="n">
        <v>112</v>
      </c>
      <c r="I6620" s="0" t="s">
        <v>22051</v>
      </c>
      <c r="J6620" s="0" t="s">
        <v>22052</v>
      </c>
      <c r="K6620" s="0" t="s">
        <v>22053</v>
      </c>
      <c r="L6620" s="0" t="str">
        <f aca="false">HYPERLINK("https://www.ncbi.nlm.nih.gov/nuccore/CP000058.1?report=graph&amp;tracks=[key:gene_model_track,Options:GeneOnly]&amp;mk=2098775:2098794|offset_61|444444,2098798:2098817|offset_84|444444,2098826:2098845|offset_112|00cc00,2098847:2098866|offset_133|444444&amp;v=2098574:2099066&amp;c=444444", "offset 112")</f>
        <v>offset 112</v>
      </c>
    </row>
    <row r="6621" customFormat="false" ht="12.8" hidden="false" customHeight="false" outlineLevel="0" collapsed="false">
      <c r="A6621" s="0" t="s">
        <v>12</v>
      </c>
      <c r="B6621" s="0" t="n">
        <v>2098846</v>
      </c>
      <c r="C6621" s="0" t="n">
        <v>2098866</v>
      </c>
      <c r="D6621" s="0" t="s">
        <v>22044</v>
      </c>
      <c r="E6621" s="0" t="s">
        <v>75</v>
      </c>
      <c r="F6621" s="0" t="s">
        <v>15</v>
      </c>
      <c r="G6621" s="0" t="s">
        <v>16</v>
      </c>
      <c r="H6621" s="0" t="n">
        <v>133</v>
      </c>
      <c r="I6621" s="0" t="s">
        <v>22054</v>
      </c>
      <c r="J6621" s="0" t="s">
        <v>22055</v>
      </c>
      <c r="K6621" s="0" t="s">
        <v>22056</v>
      </c>
      <c r="L6621" s="0" t="str">
        <f aca="false">HYPERLINK("https://www.ncbi.nlm.nih.gov/nuccore/CP000058.1?report=graph&amp;tracks=[key:gene_model_track,Options:GeneOnly]&amp;mk=2098775:2098794|offset_61|444444,2098798:2098817|offset_84|444444,2098826:2098845|offset_112|444444,2098847:2098866|offset_133|00cc00&amp;v=2098574:2099066&amp;c=444444", "offset 133")</f>
        <v>offset 133</v>
      </c>
    </row>
    <row r="6622" customFormat="false" ht="12.8" hidden="false" customHeight="false" outlineLevel="0" collapsed="false">
      <c r="A6622" s="0" t="s">
        <v>12</v>
      </c>
      <c r="B6622" s="0" t="n">
        <v>2099728</v>
      </c>
      <c r="C6622" s="0" t="n">
        <v>2099748</v>
      </c>
      <c r="D6622" s="0" t="s">
        <v>22057</v>
      </c>
      <c r="E6622" s="0" t="s">
        <v>75</v>
      </c>
      <c r="F6622" s="0" t="s">
        <v>90</v>
      </c>
      <c r="G6622" s="0" t="s">
        <v>36</v>
      </c>
      <c r="H6622" s="0" t="n">
        <v>6</v>
      </c>
      <c r="I6622" s="0" t="s">
        <v>22058</v>
      </c>
      <c r="J6622" s="0" t="s">
        <v>22059</v>
      </c>
      <c r="K6622" s="0" t="s">
        <v>22060</v>
      </c>
      <c r="L6622" s="0" t="str">
        <f aca="false">HYPERLINK("https://www.ncbi.nlm.nih.gov/nuccore/CP000058.1?report=graph&amp;tracks=[key:gene_model_track,Options:GeneOnly]&amp;mk=2099729:2099748|offset_6|00cc00,2099698:2099717|offset_37|444444,2099656:2099675|offset_79|444444,2099635:2099654|offset_100|444444&amp;v=2099528:2099854&amp;c=444444", "offset 6")</f>
        <v>offset 6</v>
      </c>
    </row>
    <row r="6623" customFormat="false" ht="12.8" hidden="false" customHeight="false" outlineLevel="0" collapsed="false">
      <c r="A6623" s="0" t="s">
        <v>12</v>
      </c>
      <c r="B6623" s="0" t="n">
        <v>2099697</v>
      </c>
      <c r="C6623" s="0" t="n">
        <v>2099717</v>
      </c>
      <c r="D6623" s="0" t="s">
        <v>22057</v>
      </c>
      <c r="E6623" s="0" t="s">
        <v>75</v>
      </c>
      <c r="F6623" s="0" t="s">
        <v>90</v>
      </c>
      <c r="G6623" s="0" t="s">
        <v>32</v>
      </c>
      <c r="H6623" s="0" t="n">
        <v>37</v>
      </c>
      <c r="I6623" s="0" t="s">
        <v>22061</v>
      </c>
      <c r="J6623" s="0" t="s">
        <v>22062</v>
      </c>
      <c r="K6623" s="0" t="s">
        <v>22063</v>
      </c>
      <c r="L6623" s="0" t="str">
        <f aca="false">HYPERLINK("https://www.ncbi.nlm.nih.gov/nuccore/CP000058.1?report=graph&amp;tracks=[key:gene_model_track,Options:GeneOnly]&amp;mk=2099729:2099748|offset_6|444444,2099698:2099717|offset_37|00cc00,2099656:2099675|offset_79|444444,2099635:2099654|offset_100|444444&amp;v=2099528:2099854&amp;c=444444", "offset 37")</f>
        <v>offset 37</v>
      </c>
    </row>
    <row r="6624" customFormat="false" ht="12.8" hidden="false" customHeight="false" outlineLevel="0" collapsed="false">
      <c r="A6624" s="0" t="s">
        <v>12</v>
      </c>
      <c r="B6624" s="0" t="n">
        <v>2099655</v>
      </c>
      <c r="C6624" s="0" t="n">
        <v>2099675</v>
      </c>
      <c r="D6624" s="0" t="s">
        <v>22057</v>
      </c>
      <c r="E6624" s="0" t="s">
        <v>75</v>
      </c>
      <c r="F6624" s="0" t="s">
        <v>90</v>
      </c>
      <c r="G6624" s="0" t="s">
        <v>16</v>
      </c>
      <c r="H6624" s="0" t="n">
        <v>79</v>
      </c>
      <c r="I6624" s="0" t="s">
        <v>22064</v>
      </c>
      <c r="J6624" s="0" t="s">
        <v>22065</v>
      </c>
      <c r="K6624" s="0" t="s">
        <v>22066</v>
      </c>
      <c r="L6624" s="0" t="str">
        <f aca="false">HYPERLINK("https://www.ncbi.nlm.nih.gov/nuccore/CP000058.1?report=graph&amp;tracks=[key:gene_model_track,Options:GeneOnly]&amp;mk=2099729:2099748|offset_6|444444,2099698:2099717|offset_37|444444,2099656:2099675|offset_79|00cc00,2099635:2099654|offset_100|444444&amp;v=2099528:2099854&amp;c=444444", "offset 79")</f>
        <v>offset 79</v>
      </c>
    </row>
    <row r="6625" customFormat="false" ht="12.8" hidden="false" customHeight="false" outlineLevel="0" collapsed="false">
      <c r="A6625" s="0" t="s">
        <v>12</v>
      </c>
      <c r="B6625" s="0" t="n">
        <v>2099634</v>
      </c>
      <c r="C6625" s="0" t="n">
        <v>2099654</v>
      </c>
      <c r="D6625" s="0" t="s">
        <v>22057</v>
      </c>
      <c r="E6625" s="0" t="s">
        <v>75</v>
      </c>
      <c r="F6625" s="0" t="s">
        <v>90</v>
      </c>
      <c r="G6625" s="0" t="s">
        <v>16</v>
      </c>
      <c r="H6625" s="0" t="n">
        <v>100</v>
      </c>
      <c r="I6625" s="0" t="s">
        <v>22067</v>
      </c>
      <c r="J6625" s="0" t="s">
        <v>22068</v>
      </c>
      <c r="K6625" s="0" t="s">
        <v>22069</v>
      </c>
      <c r="L6625" s="0" t="str">
        <f aca="false">HYPERLINK("https://www.ncbi.nlm.nih.gov/nuccore/CP000058.1?report=graph&amp;tracks=[key:gene_model_track,Options:GeneOnly]&amp;mk=2099729:2099748|offset_6|444444,2099698:2099717|offset_37|444444,2099656:2099675|offset_79|444444,2099635:2099654|offset_100|00cc00&amp;v=2099528:2099854&amp;c=444444", "offset 100")</f>
        <v>offset 100</v>
      </c>
    </row>
    <row r="6626" customFormat="false" ht="12.8" hidden="false" customHeight="false" outlineLevel="0" collapsed="false">
      <c r="A6626" s="0" t="s">
        <v>12</v>
      </c>
      <c r="B6626" s="0" t="n">
        <v>2101217</v>
      </c>
      <c r="C6626" s="0" t="n">
        <v>2101237</v>
      </c>
      <c r="D6626" s="0" t="s">
        <v>22070</v>
      </c>
      <c r="E6626" s="0" t="s">
        <v>75</v>
      </c>
      <c r="F6626" s="0" t="s">
        <v>90</v>
      </c>
      <c r="G6626" s="0" t="s">
        <v>32</v>
      </c>
      <c r="H6626" s="0" t="n">
        <v>1</v>
      </c>
      <c r="I6626" s="0" t="s">
        <v>22071</v>
      </c>
      <c r="J6626" s="0" t="s">
        <v>22072</v>
      </c>
      <c r="K6626" s="0" t="s">
        <v>22073</v>
      </c>
      <c r="L6626" s="0" t="str">
        <f aca="false">HYPERLINK("https://www.ncbi.nlm.nih.gov/nuccore/CP000058.1?report=graph&amp;tracks=[key:gene_model_track,Options:GeneOnly]&amp;mk=2101218:2101237|offset_1|00cc00,2101198:2101217|offset_21|444444,2101146:2101165|offset_73|444444,2101080:2101099|offset_139|444444&amp;v=2101017:2101299&amp;c=444444", "offset 1")</f>
        <v>offset 1</v>
      </c>
    </row>
    <row r="6627" customFormat="false" ht="12.8" hidden="false" customHeight="false" outlineLevel="0" collapsed="false">
      <c r="A6627" s="0" t="s">
        <v>12</v>
      </c>
      <c r="B6627" s="0" t="n">
        <v>2101197</v>
      </c>
      <c r="C6627" s="0" t="n">
        <v>2101217</v>
      </c>
      <c r="D6627" s="0" t="s">
        <v>22070</v>
      </c>
      <c r="E6627" s="0" t="s">
        <v>75</v>
      </c>
      <c r="F6627" s="0" t="s">
        <v>90</v>
      </c>
      <c r="G6627" s="0" t="s">
        <v>32</v>
      </c>
      <c r="H6627" s="0" t="n">
        <v>21</v>
      </c>
      <c r="I6627" s="0" t="s">
        <v>22074</v>
      </c>
      <c r="J6627" s="0" t="s">
        <v>22075</v>
      </c>
      <c r="K6627" s="0" t="s">
        <v>22076</v>
      </c>
      <c r="L6627" s="0" t="str">
        <f aca="false">HYPERLINK("https://www.ncbi.nlm.nih.gov/nuccore/CP000058.1?report=graph&amp;tracks=[key:gene_model_track,Options:GeneOnly]&amp;mk=2101218:2101237|offset_1|444444,2101198:2101217|offset_21|00cc00,2101146:2101165|offset_73|444444,2101080:2101099|offset_139|444444&amp;v=2101017:2101299&amp;c=444444", "offset 21")</f>
        <v>offset 21</v>
      </c>
    </row>
    <row r="6628" customFormat="false" ht="12.8" hidden="false" customHeight="false" outlineLevel="0" collapsed="false">
      <c r="A6628" s="0" t="s">
        <v>12</v>
      </c>
      <c r="B6628" s="0" t="n">
        <v>2101145</v>
      </c>
      <c r="C6628" s="0" t="n">
        <v>2101165</v>
      </c>
      <c r="D6628" s="0" t="s">
        <v>22070</v>
      </c>
      <c r="E6628" s="0" t="s">
        <v>75</v>
      </c>
      <c r="F6628" s="0" t="s">
        <v>90</v>
      </c>
      <c r="G6628" s="0" t="s">
        <v>16</v>
      </c>
      <c r="H6628" s="0" t="n">
        <v>73</v>
      </c>
      <c r="I6628" s="0" t="s">
        <v>22077</v>
      </c>
      <c r="J6628" s="0" t="s">
        <v>22078</v>
      </c>
      <c r="K6628" s="0" t="s">
        <v>22079</v>
      </c>
      <c r="L6628" s="0" t="str">
        <f aca="false">HYPERLINK("https://www.ncbi.nlm.nih.gov/nuccore/CP000058.1?report=graph&amp;tracks=[key:gene_model_track,Options:GeneOnly]&amp;mk=2101218:2101237|offset_1|444444,2101198:2101217|offset_21|444444,2101146:2101165|offset_73|00cc00,2101080:2101099|offset_139|444444&amp;v=2101017:2101299&amp;c=444444", "offset 73")</f>
        <v>offset 73</v>
      </c>
    </row>
    <row r="6629" customFormat="false" ht="12.8" hidden="false" customHeight="false" outlineLevel="0" collapsed="false">
      <c r="A6629" s="0" t="s">
        <v>12</v>
      </c>
      <c r="B6629" s="0" t="n">
        <v>2101079</v>
      </c>
      <c r="C6629" s="0" t="n">
        <v>2101099</v>
      </c>
      <c r="D6629" s="0" t="s">
        <v>22070</v>
      </c>
      <c r="E6629" s="0" t="s">
        <v>75</v>
      </c>
      <c r="F6629" s="0" t="s">
        <v>90</v>
      </c>
      <c r="G6629" s="0" t="s">
        <v>20</v>
      </c>
      <c r="H6629" s="0" t="n">
        <v>139</v>
      </c>
      <c r="I6629" s="0" t="s">
        <v>22080</v>
      </c>
      <c r="J6629" s="0" t="s">
        <v>22081</v>
      </c>
      <c r="K6629" s="0" t="s">
        <v>22082</v>
      </c>
      <c r="L6629" s="0" t="str">
        <f aca="false">HYPERLINK("https://www.ncbi.nlm.nih.gov/nuccore/CP000058.1?report=graph&amp;tracks=[key:gene_model_track,Options:GeneOnly]&amp;mk=2101218:2101237|offset_1|444444,2101198:2101217|offset_21|444444,2101146:2101165|offset_73|444444,2101080:2101099|offset_139|00cc00&amp;v=2101017:2101299&amp;c=444444", "offset 139")</f>
        <v>offset 139</v>
      </c>
    </row>
    <row r="6630" customFormat="false" ht="12.8" hidden="false" customHeight="false" outlineLevel="0" collapsed="false">
      <c r="A6630" s="0" t="s">
        <v>12</v>
      </c>
      <c r="B6630" s="0" t="n">
        <v>2101457</v>
      </c>
      <c r="C6630" s="0" t="n">
        <v>2101477</v>
      </c>
      <c r="D6630" s="0" t="s">
        <v>22083</v>
      </c>
      <c r="E6630" s="0" t="s">
        <v>22084</v>
      </c>
      <c r="F6630" s="0" t="s">
        <v>15</v>
      </c>
      <c r="G6630" s="0" t="s">
        <v>16</v>
      </c>
      <c r="H6630" s="0" t="n">
        <v>6</v>
      </c>
      <c r="I6630" s="0" t="s">
        <v>22085</v>
      </c>
      <c r="J6630" s="0" t="s">
        <v>22086</v>
      </c>
      <c r="K6630" s="0" t="s">
        <v>22087</v>
      </c>
      <c r="L6630" s="0" t="str">
        <f aca="false">HYPERLINK("https://www.ncbi.nlm.nih.gov/nuccore/CP000058.1?report=graph&amp;tracks=[key:gene_model_track,Options:GeneOnly]&amp;mk=2101458:2101477|offset_6|00cc00,2101483:2101502|offset_31|444444,2101504:2101523|offset_52|444444,2101525:2101544|offset_73|444444&amp;v=2101257:2101744&amp;c=444444", "offset 6")</f>
        <v>offset 6</v>
      </c>
    </row>
    <row r="6631" customFormat="false" ht="12.8" hidden="false" customHeight="false" outlineLevel="0" collapsed="false">
      <c r="A6631" s="0" t="s">
        <v>12</v>
      </c>
      <c r="B6631" s="0" t="n">
        <v>2101482</v>
      </c>
      <c r="C6631" s="0" t="n">
        <v>2101502</v>
      </c>
      <c r="D6631" s="0" t="s">
        <v>22083</v>
      </c>
      <c r="E6631" s="0" t="s">
        <v>22084</v>
      </c>
      <c r="F6631" s="0" t="s">
        <v>15</v>
      </c>
      <c r="G6631" s="0" t="s">
        <v>16</v>
      </c>
      <c r="H6631" s="0" t="n">
        <v>31</v>
      </c>
      <c r="I6631" s="0" t="s">
        <v>22088</v>
      </c>
      <c r="J6631" s="0" t="s">
        <v>22089</v>
      </c>
      <c r="K6631" s="0" t="s">
        <v>22090</v>
      </c>
      <c r="L6631" s="0" t="str">
        <f aca="false">HYPERLINK("https://www.ncbi.nlm.nih.gov/nuccore/CP000058.1?report=graph&amp;tracks=[key:gene_model_track,Options:GeneOnly]&amp;mk=2101458:2101477|offset_6|444444,2101483:2101502|offset_31|00cc00,2101504:2101523|offset_52|444444,2101525:2101544|offset_73|444444&amp;v=2101257:2101744&amp;c=444444", "offset 31")</f>
        <v>offset 31</v>
      </c>
    </row>
    <row r="6632" customFormat="false" ht="12.8" hidden="false" customHeight="false" outlineLevel="0" collapsed="false">
      <c r="A6632" s="0" t="s">
        <v>12</v>
      </c>
      <c r="B6632" s="0" t="n">
        <v>2101503</v>
      </c>
      <c r="C6632" s="0" t="n">
        <v>2101523</v>
      </c>
      <c r="D6632" s="0" t="s">
        <v>22083</v>
      </c>
      <c r="E6632" s="0" t="s">
        <v>22084</v>
      </c>
      <c r="F6632" s="0" t="s">
        <v>15</v>
      </c>
      <c r="G6632" s="0" t="s">
        <v>16</v>
      </c>
      <c r="H6632" s="0" t="n">
        <v>52</v>
      </c>
      <c r="I6632" s="0" t="s">
        <v>22091</v>
      </c>
      <c r="J6632" s="0" t="s">
        <v>22092</v>
      </c>
      <c r="K6632" s="0" t="s">
        <v>22093</v>
      </c>
      <c r="L6632" s="0" t="str">
        <f aca="false">HYPERLINK("https://www.ncbi.nlm.nih.gov/nuccore/CP000058.1?report=graph&amp;tracks=[key:gene_model_track,Options:GeneOnly]&amp;mk=2101458:2101477|offset_6|444444,2101483:2101502|offset_31|444444,2101504:2101523|offset_52|00cc00,2101525:2101544|offset_73|444444&amp;v=2101257:2101744&amp;c=444444", "offset 52")</f>
        <v>offset 52</v>
      </c>
    </row>
    <row r="6633" customFormat="false" ht="12.8" hidden="false" customHeight="false" outlineLevel="0" collapsed="false">
      <c r="A6633" s="0" t="s">
        <v>12</v>
      </c>
      <c r="B6633" s="0" t="n">
        <v>2101524</v>
      </c>
      <c r="C6633" s="0" t="n">
        <v>2101544</v>
      </c>
      <c r="D6633" s="0" t="s">
        <v>22083</v>
      </c>
      <c r="E6633" s="0" t="s">
        <v>22084</v>
      </c>
      <c r="F6633" s="0" t="s">
        <v>15</v>
      </c>
      <c r="G6633" s="0" t="s">
        <v>32</v>
      </c>
      <c r="H6633" s="0" t="n">
        <v>73</v>
      </c>
      <c r="I6633" s="0" t="s">
        <v>22094</v>
      </c>
      <c r="J6633" s="0" t="s">
        <v>22095</v>
      </c>
      <c r="K6633" s="0" t="s">
        <v>22096</v>
      </c>
      <c r="L6633" s="0" t="str">
        <f aca="false">HYPERLINK("https://www.ncbi.nlm.nih.gov/nuccore/CP000058.1?report=graph&amp;tracks=[key:gene_model_track,Options:GeneOnly]&amp;mk=2101458:2101477|offset_6|444444,2101483:2101502|offset_31|444444,2101504:2101523|offset_52|444444,2101525:2101544|offset_73|00cc00&amp;v=2101257:2101744&amp;c=444444", "offset 73")</f>
        <v>offset 73</v>
      </c>
    </row>
    <row r="6634" customFormat="false" ht="12.8" hidden="false" customHeight="false" outlineLevel="0" collapsed="false">
      <c r="A6634" s="0" t="s">
        <v>12</v>
      </c>
      <c r="B6634" s="0" t="n">
        <v>2103282</v>
      </c>
      <c r="C6634" s="0" t="n">
        <v>2103302</v>
      </c>
      <c r="D6634" s="0" t="s">
        <v>22097</v>
      </c>
      <c r="E6634" s="0" t="s">
        <v>75</v>
      </c>
      <c r="F6634" s="0" t="s">
        <v>90</v>
      </c>
      <c r="G6634" s="0" t="s">
        <v>32</v>
      </c>
      <c r="H6634" s="0" t="n">
        <v>1</v>
      </c>
      <c r="I6634" s="0" t="s">
        <v>22098</v>
      </c>
      <c r="J6634" s="0" t="s">
        <v>22099</v>
      </c>
      <c r="K6634" s="0" t="s">
        <v>22100</v>
      </c>
      <c r="L6634" s="0" t="str">
        <f aca="false">HYPERLINK("https://www.ncbi.nlm.nih.gov/nuccore/CP000058.1?report=graph&amp;tracks=[key:gene_model_track,Options:GeneOnly]&amp;mk=2103283:2103302|offset_1|00cc00,2103261:2103280|offset_23|444444,2103222:2103241|offset_62|444444,2103194:2103213|offset_90|444444&amp;v=2103082:2103413&amp;c=444444", "offset 1")</f>
        <v>offset 1</v>
      </c>
    </row>
    <row r="6635" customFormat="false" ht="12.8" hidden="false" customHeight="false" outlineLevel="0" collapsed="false">
      <c r="A6635" s="0" t="s">
        <v>12</v>
      </c>
      <c r="B6635" s="0" t="n">
        <v>2103260</v>
      </c>
      <c r="C6635" s="0" t="n">
        <v>2103280</v>
      </c>
      <c r="D6635" s="0" t="s">
        <v>22097</v>
      </c>
      <c r="E6635" s="0" t="s">
        <v>75</v>
      </c>
      <c r="F6635" s="0" t="s">
        <v>90</v>
      </c>
      <c r="G6635" s="0" t="s">
        <v>32</v>
      </c>
      <c r="H6635" s="0" t="n">
        <v>23</v>
      </c>
      <c r="I6635" s="0" t="s">
        <v>22101</v>
      </c>
      <c r="J6635" s="0" t="s">
        <v>22102</v>
      </c>
      <c r="K6635" s="0" t="s">
        <v>22103</v>
      </c>
      <c r="L6635" s="0" t="str">
        <f aca="false">HYPERLINK("https://www.ncbi.nlm.nih.gov/nuccore/CP000058.1?report=graph&amp;tracks=[key:gene_model_track,Options:GeneOnly]&amp;mk=2103283:2103302|offset_1|444444,2103261:2103280|offset_23|00cc00,2103222:2103241|offset_62|444444,2103194:2103213|offset_90|444444&amp;v=2103082:2103413&amp;c=444444", "offset 23")</f>
        <v>offset 23</v>
      </c>
    </row>
    <row r="6636" customFormat="false" ht="12.8" hidden="false" customHeight="false" outlineLevel="0" collapsed="false">
      <c r="A6636" s="0" t="s">
        <v>12</v>
      </c>
      <c r="B6636" s="0" t="n">
        <v>2103221</v>
      </c>
      <c r="C6636" s="0" t="n">
        <v>2103241</v>
      </c>
      <c r="D6636" s="0" t="s">
        <v>22097</v>
      </c>
      <c r="E6636" s="0" t="s">
        <v>75</v>
      </c>
      <c r="F6636" s="0" t="s">
        <v>90</v>
      </c>
      <c r="G6636" s="0" t="s">
        <v>16</v>
      </c>
      <c r="H6636" s="0" t="n">
        <v>62</v>
      </c>
      <c r="I6636" s="0" t="s">
        <v>22104</v>
      </c>
      <c r="J6636" s="0" t="s">
        <v>22105</v>
      </c>
      <c r="K6636" s="0" t="s">
        <v>22106</v>
      </c>
      <c r="L6636" s="0" t="str">
        <f aca="false">HYPERLINK("https://www.ncbi.nlm.nih.gov/nuccore/CP000058.1?report=graph&amp;tracks=[key:gene_model_track,Options:GeneOnly]&amp;mk=2103283:2103302|offset_1|444444,2103261:2103280|offset_23|444444,2103222:2103241|offset_62|00cc00,2103194:2103213|offset_90|444444&amp;v=2103082:2103413&amp;c=444444", "offset 62")</f>
        <v>offset 62</v>
      </c>
    </row>
    <row r="6637" customFormat="false" ht="12.8" hidden="false" customHeight="false" outlineLevel="0" collapsed="false">
      <c r="A6637" s="0" t="s">
        <v>12</v>
      </c>
      <c r="B6637" s="0" t="n">
        <v>2103193</v>
      </c>
      <c r="C6637" s="0" t="n">
        <v>2103213</v>
      </c>
      <c r="D6637" s="0" t="s">
        <v>22097</v>
      </c>
      <c r="E6637" s="0" t="s">
        <v>75</v>
      </c>
      <c r="F6637" s="0" t="s">
        <v>90</v>
      </c>
      <c r="G6637" s="0" t="s">
        <v>16</v>
      </c>
      <c r="H6637" s="0" t="n">
        <v>90</v>
      </c>
      <c r="I6637" s="0" t="s">
        <v>22107</v>
      </c>
      <c r="J6637" s="0" t="s">
        <v>22108</v>
      </c>
      <c r="K6637" s="0" t="s">
        <v>22109</v>
      </c>
      <c r="L6637" s="0" t="str">
        <f aca="false">HYPERLINK("https://www.ncbi.nlm.nih.gov/nuccore/CP000058.1?report=graph&amp;tracks=[key:gene_model_track,Options:GeneOnly]&amp;mk=2103283:2103302|offset_1|444444,2103261:2103280|offset_23|444444,2103222:2103241|offset_62|444444,2103194:2103213|offset_90|00cc00&amp;v=2103082:2103413&amp;c=444444", "offset 90")</f>
        <v>offset 90</v>
      </c>
    </row>
    <row r="6638" customFormat="false" ht="12.8" hidden="false" customHeight="false" outlineLevel="0" collapsed="false">
      <c r="A6638" s="0" t="s">
        <v>12</v>
      </c>
      <c r="B6638" s="0" t="n">
        <v>2103540</v>
      </c>
      <c r="C6638" s="0" t="n">
        <v>2103560</v>
      </c>
      <c r="D6638" s="0" t="s">
        <v>22110</v>
      </c>
      <c r="E6638" s="0" t="s">
        <v>75</v>
      </c>
      <c r="F6638" s="0" t="s">
        <v>15</v>
      </c>
      <c r="G6638" s="0" t="s">
        <v>32</v>
      </c>
      <c r="H6638" s="0" t="n">
        <v>6</v>
      </c>
      <c r="I6638" s="0" t="s">
        <v>22111</v>
      </c>
      <c r="J6638" s="0" t="s">
        <v>22112</v>
      </c>
      <c r="K6638" s="0" t="s">
        <v>22113</v>
      </c>
      <c r="L6638" s="0" t="str">
        <f aca="false">HYPERLINK("https://www.ncbi.nlm.nih.gov/nuccore/CP000058.1?report=graph&amp;tracks=[key:gene_model_track,Options:GeneOnly]&amp;mk=2103541:2103560|offset_6|00cc00,2103567:2103586|offset_32|444444,2103593:2103612|offset_58|444444,2103614:2103633|offset_79|444444&amp;v=2103340:2103833&amp;c=444444", "offset 6")</f>
        <v>offset 6</v>
      </c>
    </row>
    <row r="6639" customFormat="false" ht="12.8" hidden="false" customHeight="false" outlineLevel="0" collapsed="false">
      <c r="A6639" s="0" t="s">
        <v>12</v>
      </c>
      <c r="B6639" s="0" t="n">
        <v>2103566</v>
      </c>
      <c r="C6639" s="0" t="n">
        <v>2103586</v>
      </c>
      <c r="D6639" s="0" t="s">
        <v>22110</v>
      </c>
      <c r="E6639" s="0" t="s">
        <v>75</v>
      </c>
      <c r="F6639" s="0" t="s">
        <v>15</v>
      </c>
      <c r="G6639" s="0" t="s">
        <v>36</v>
      </c>
      <c r="H6639" s="0" t="n">
        <v>32</v>
      </c>
      <c r="I6639" s="0" t="s">
        <v>22114</v>
      </c>
      <c r="J6639" s="0" t="s">
        <v>22115</v>
      </c>
      <c r="K6639" s="0" t="s">
        <v>22116</v>
      </c>
      <c r="L6639" s="0" t="str">
        <f aca="false">HYPERLINK("https://www.ncbi.nlm.nih.gov/nuccore/CP000058.1?report=graph&amp;tracks=[key:gene_model_track,Options:GeneOnly]&amp;mk=2103541:2103560|offset_6|444444,2103567:2103586|offset_32|00cc00,2103593:2103612|offset_58|444444,2103614:2103633|offset_79|444444&amp;v=2103340:2103833&amp;c=444444", "offset 32")</f>
        <v>offset 32</v>
      </c>
    </row>
    <row r="6640" customFormat="false" ht="12.8" hidden="false" customHeight="false" outlineLevel="0" collapsed="false">
      <c r="A6640" s="0" t="s">
        <v>12</v>
      </c>
      <c r="B6640" s="0" t="n">
        <v>2103592</v>
      </c>
      <c r="C6640" s="0" t="n">
        <v>2103612</v>
      </c>
      <c r="D6640" s="0" t="s">
        <v>22110</v>
      </c>
      <c r="E6640" s="0" t="s">
        <v>75</v>
      </c>
      <c r="F6640" s="0" t="s">
        <v>15</v>
      </c>
      <c r="G6640" s="0" t="s">
        <v>16</v>
      </c>
      <c r="H6640" s="0" t="n">
        <v>58</v>
      </c>
      <c r="I6640" s="0" t="s">
        <v>22117</v>
      </c>
      <c r="J6640" s="0" t="s">
        <v>22118</v>
      </c>
      <c r="K6640" s="0" t="s">
        <v>22119</v>
      </c>
      <c r="L6640" s="0" t="str">
        <f aca="false">HYPERLINK("https://www.ncbi.nlm.nih.gov/nuccore/CP000058.1?report=graph&amp;tracks=[key:gene_model_track,Options:GeneOnly]&amp;mk=2103541:2103560|offset_6|444444,2103567:2103586|offset_32|444444,2103593:2103612|offset_58|00cc00,2103614:2103633|offset_79|444444&amp;v=2103340:2103833&amp;c=444444", "offset 58")</f>
        <v>offset 58</v>
      </c>
    </row>
    <row r="6641" customFormat="false" ht="12.8" hidden="false" customHeight="false" outlineLevel="0" collapsed="false">
      <c r="A6641" s="0" t="s">
        <v>12</v>
      </c>
      <c r="B6641" s="0" t="n">
        <v>2103613</v>
      </c>
      <c r="C6641" s="0" t="n">
        <v>2103633</v>
      </c>
      <c r="D6641" s="0" t="s">
        <v>22110</v>
      </c>
      <c r="E6641" s="0" t="s">
        <v>75</v>
      </c>
      <c r="F6641" s="0" t="s">
        <v>15</v>
      </c>
      <c r="G6641" s="0" t="s">
        <v>16</v>
      </c>
      <c r="H6641" s="0" t="n">
        <v>79</v>
      </c>
      <c r="I6641" s="0" t="s">
        <v>22120</v>
      </c>
      <c r="J6641" s="0" t="s">
        <v>22121</v>
      </c>
      <c r="K6641" s="0" t="s">
        <v>22122</v>
      </c>
      <c r="L6641" s="0" t="str">
        <f aca="false">HYPERLINK("https://www.ncbi.nlm.nih.gov/nuccore/CP000058.1?report=graph&amp;tracks=[key:gene_model_track,Options:GeneOnly]&amp;mk=2103541:2103560|offset_6|444444,2103567:2103586|offset_32|444444,2103593:2103612|offset_58|444444,2103614:2103633|offset_79|00cc00&amp;v=2103340:2103833&amp;c=444444", "offset 79")</f>
        <v>offset 79</v>
      </c>
    </row>
    <row r="6642" customFormat="false" ht="12.8" hidden="false" customHeight="false" outlineLevel="0" collapsed="false">
      <c r="A6642" s="0" t="s">
        <v>12</v>
      </c>
      <c r="B6642" s="0" t="n">
        <v>2105661</v>
      </c>
      <c r="C6642" s="0" t="n">
        <v>2105681</v>
      </c>
      <c r="D6642" s="0" t="s">
        <v>22123</v>
      </c>
      <c r="E6642" s="0" t="s">
        <v>75</v>
      </c>
      <c r="F6642" s="0" t="s">
        <v>90</v>
      </c>
      <c r="G6642" s="0" t="s">
        <v>36</v>
      </c>
      <c r="H6642" s="0" t="n">
        <v>13</v>
      </c>
      <c r="I6642" s="0" t="s">
        <v>22124</v>
      </c>
      <c r="J6642" s="0" t="s">
        <v>22125</v>
      </c>
      <c r="K6642" s="0" t="s">
        <v>22126</v>
      </c>
      <c r="L6642" s="0" t="str">
        <f aca="false">HYPERLINK("https://www.ncbi.nlm.nih.gov/nuccore/CP000058.1?report=graph&amp;tracks=[key:gene_model_track,Options:GeneOnly]&amp;mk=2105662:2105681|offset_13|00cc00,2105642:2105661|offset_33|444444,2105608:2105627|offset_67|444444,2105578:2105597|offset_97|444444&amp;v=2105461:2105797&amp;c=444444", "offset 13")</f>
        <v>offset 13</v>
      </c>
    </row>
    <row r="6643" customFormat="false" ht="12.8" hidden="false" customHeight="false" outlineLevel="0" collapsed="false">
      <c r="A6643" s="0" t="s">
        <v>12</v>
      </c>
      <c r="B6643" s="0" t="n">
        <v>2105641</v>
      </c>
      <c r="C6643" s="0" t="n">
        <v>2105661</v>
      </c>
      <c r="D6643" s="0" t="s">
        <v>22123</v>
      </c>
      <c r="E6643" s="0" t="s">
        <v>75</v>
      </c>
      <c r="F6643" s="0" t="s">
        <v>90</v>
      </c>
      <c r="G6643" s="0" t="s">
        <v>16</v>
      </c>
      <c r="H6643" s="0" t="n">
        <v>33</v>
      </c>
      <c r="I6643" s="0" t="s">
        <v>22127</v>
      </c>
      <c r="J6643" s="0" t="s">
        <v>22128</v>
      </c>
      <c r="K6643" s="0" t="s">
        <v>22129</v>
      </c>
      <c r="L6643" s="0" t="str">
        <f aca="false">HYPERLINK("https://www.ncbi.nlm.nih.gov/nuccore/CP000058.1?report=graph&amp;tracks=[key:gene_model_track,Options:GeneOnly]&amp;mk=2105662:2105681|offset_13|444444,2105642:2105661|offset_33|00cc00,2105608:2105627|offset_67|444444,2105578:2105597|offset_97|444444&amp;v=2105461:2105797&amp;c=444444", "offset 33")</f>
        <v>offset 33</v>
      </c>
    </row>
    <row r="6644" customFormat="false" ht="12.8" hidden="false" customHeight="false" outlineLevel="0" collapsed="false">
      <c r="A6644" s="0" t="s">
        <v>12</v>
      </c>
      <c r="B6644" s="0" t="n">
        <v>2105607</v>
      </c>
      <c r="C6644" s="0" t="n">
        <v>2105627</v>
      </c>
      <c r="D6644" s="0" t="s">
        <v>22123</v>
      </c>
      <c r="E6644" s="0" t="s">
        <v>75</v>
      </c>
      <c r="F6644" s="0" t="s">
        <v>90</v>
      </c>
      <c r="G6644" s="0" t="s">
        <v>16</v>
      </c>
      <c r="H6644" s="0" t="n">
        <v>67</v>
      </c>
      <c r="I6644" s="0" t="s">
        <v>22130</v>
      </c>
      <c r="J6644" s="0" t="s">
        <v>22131</v>
      </c>
      <c r="K6644" s="0" t="s">
        <v>22132</v>
      </c>
      <c r="L6644" s="0" t="str">
        <f aca="false">HYPERLINK("https://www.ncbi.nlm.nih.gov/nuccore/CP000058.1?report=graph&amp;tracks=[key:gene_model_track,Options:GeneOnly]&amp;mk=2105662:2105681|offset_13|444444,2105642:2105661|offset_33|444444,2105608:2105627|offset_67|00cc00,2105578:2105597|offset_97|444444&amp;v=2105461:2105797&amp;c=444444", "offset 67")</f>
        <v>offset 67</v>
      </c>
    </row>
    <row r="6645" customFormat="false" ht="12.8" hidden="false" customHeight="false" outlineLevel="0" collapsed="false">
      <c r="A6645" s="0" t="s">
        <v>12</v>
      </c>
      <c r="B6645" s="0" t="n">
        <v>2105577</v>
      </c>
      <c r="C6645" s="0" t="n">
        <v>2105597</v>
      </c>
      <c r="D6645" s="0" t="s">
        <v>22123</v>
      </c>
      <c r="E6645" s="0" t="s">
        <v>75</v>
      </c>
      <c r="F6645" s="0" t="s">
        <v>90</v>
      </c>
      <c r="G6645" s="0" t="s">
        <v>32</v>
      </c>
      <c r="H6645" s="0" t="n">
        <v>97</v>
      </c>
      <c r="I6645" s="0" t="s">
        <v>22133</v>
      </c>
      <c r="J6645" s="0" t="s">
        <v>22134</v>
      </c>
      <c r="K6645" s="0" t="s">
        <v>22135</v>
      </c>
      <c r="L6645" s="0" t="str">
        <f aca="false">HYPERLINK("https://www.ncbi.nlm.nih.gov/nuccore/CP000058.1?report=graph&amp;tracks=[key:gene_model_track,Options:GeneOnly]&amp;mk=2105662:2105681|offset_13|444444,2105642:2105661|offset_33|444444,2105608:2105627|offset_67|444444,2105578:2105597|offset_97|00cc00&amp;v=2105461:2105797&amp;c=444444", "offset 97")</f>
        <v>offset 97</v>
      </c>
    </row>
    <row r="6646" customFormat="false" ht="12.8" hidden="false" customHeight="false" outlineLevel="0" collapsed="false">
      <c r="A6646" s="0" t="s">
        <v>12</v>
      </c>
      <c r="B6646" s="0" t="n">
        <v>2106240</v>
      </c>
      <c r="C6646" s="0" t="n">
        <v>2106260</v>
      </c>
      <c r="D6646" s="0" t="s">
        <v>22136</v>
      </c>
      <c r="E6646" s="0" t="s">
        <v>75</v>
      </c>
      <c r="F6646" s="0" t="s">
        <v>90</v>
      </c>
      <c r="G6646" s="0" t="s">
        <v>20</v>
      </c>
      <c r="H6646" s="0" t="n">
        <v>21</v>
      </c>
      <c r="I6646" s="0" t="s">
        <v>22137</v>
      </c>
      <c r="J6646" s="0" t="s">
        <v>22138</v>
      </c>
      <c r="K6646" s="0" t="s">
        <v>22139</v>
      </c>
      <c r="L6646" s="0" t="str">
        <f aca="false">HYPERLINK("https://www.ncbi.nlm.nih.gov/nuccore/CP000058.1?report=graph&amp;tracks=[key:gene_model_track,Options:GeneOnly]&amp;mk=2106241:2106260|offset_21|00cc00,2106213:2106232|offset_49|444444,2106186:2106205|offset_76|444444,2106106:2106125|offset_156|444444&amp;v=2106040:2106325&amp;c=444444", "offset 21")</f>
        <v>offset 21</v>
      </c>
    </row>
    <row r="6647" customFormat="false" ht="12.8" hidden="false" customHeight="false" outlineLevel="0" collapsed="false">
      <c r="A6647" s="0" t="s">
        <v>12</v>
      </c>
      <c r="B6647" s="0" t="n">
        <v>2106212</v>
      </c>
      <c r="C6647" s="0" t="n">
        <v>2106232</v>
      </c>
      <c r="D6647" s="0" t="s">
        <v>22136</v>
      </c>
      <c r="E6647" s="0" t="s">
        <v>75</v>
      </c>
      <c r="F6647" s="0" t="s">
        <v>90</v>
      </c>
      <c r="G6647" s="0" t="s">
        <v>20</v>
      </c>
      <c r="H6647" s="0" t="n">
        <v>49</v>
      </c>
      <c r="I6647" s="0" t="s">
        <v>22140</v>
      </c>
      <c r="J6647" s="0" t="s">
        <v>22141</v>
      </c>
      <c r="K6647" s="0" t="s">
        <v>22142</v>
      </c>
      <c r="L6647" s="0" t="str">
        <f aca="false">HYPERLINK("https://www.ncbi.nlm.nih.gov/nuccore/CP000058.1?report=graph&amp;tracks=[key:gene_model_track,Options:GeneOnly]&amp;mk=2106241:2106260|offset_21|444444,2106213:2106232|offset_49|00cc00,2106186:2106205|offset_76|444444,2106106:2106125|offset_156|444444&amp;v=2106040:2106325&amp;c=444444", "offset 49")</f>
        <v>offset 49</v>
      </c>
    </row>
    <row r="6648" customFormat="false" ht="12.8" hidden="false" customHeight="false" outlineLevel="0" collapsed="false">
      <c r="A6648" s="0" t="s">
        <v>12</v>
      </c>
      <c r="B6648" s="0" t="n">
        <v>2106185</v>
      </c>
      <c r="C6648" s="0" t="n">
        <v>2106205</v>
      </c>
      <c r="D6648" s="0" t="s">
        <v>22136</v>
      </c>
      <c r="E6648" s="0" t="s">
        <v>75</v>
      </c>
      <c r="F6648" s="0" t="s">
        <v>90</v>
      </c>
      <c r="G6648" s="0" t="s">
        <v>16</v>
      </c>
      <c r="H6648" s="0" t="n">
        <v>76</v>
      </c>
      <c r="I6648" s="0" t="s">
        <v>22143</v>
      </c>
      <c r="J6648" s="0" t="s">
        <v>22144</v>
      </c>
      <c r="K6648" s="0" t="s">
        <v>22145</v>
      </c>
      <c r="L6648" s="0" t="str">
        <f aca="false">HYPERLINK("https://www.ncbi.nlm.nih.gov/nuccore/CP000058.1?report=graph&amp;tracks=[key:gene_model_track,Options:GeneOnly]&amp;mk=2106241:2106260|offset_21|444444,2106213:2106232|offset_49|444444,2106186:2106205|offset_76|00cc00,2106106:2106125|offset_156|444444&amp;v=2106040:2106325&amp;c=444444", "offset 76")</f>
        <v>offset 76</v>
      </c>
    </row>
    <row r="6649" customFormat="false" ht="12.8" hidden="false" customHeight="false" outlineLevel="0" collapsed="false">
      <c r="A6649" s="0" t="s">
        <v>12</v>
      </c>
      <c r="B6649" s="0" t="n">
        <v>2106105</v>
      </c>
      <c r="C6649" s="0" t="n">
        <v>2106125</v>
      </c>
      <c r="D6649" s="0" t="s">
        <v>22136</v>
      </c>
      <c r="E6649" s="0" t="s">
        <v>75</v>
      </c>
      <c r="F6649" s="0" t="s">
        <v>90</v>
      </c>
      <c r="G6649" s="0" t="s">
        <v>36</v>
      </c>
      <c r="H6649" s="0" t="n">
        <v>156</v>
      </c>
      <c r="I6649" s="0" t="s">
        <v>22146</v>
      </c>
      <c r="J6649" s="0" t="s">
        <v>22147</v>
      </c>
      <c r="K6649" s="0" t="s">
        <v>22148</v>
      </c>
      <c r="L6649" s="0" t="str">
        <f aca="false">HYPERLINK("https://www.ncbi.nlm.nih.gov/nuccore/CP000058.1?report=graph&amp;tracks=[key:gene_model_track,Options:GeneOnly]&amp;mk=2106241:2106260|offset_21|444444,2106213:2106232|offset_49|444444,2106186:2106205|offset_76|444444,2106106:2106125|offset_156|00cc00&amp;v=2106040:2106325&amp;c=444444", "offset 156")</f>
        <v>offset 156</v>
      </c>
    </row>
    <row r="6650" customFormat="false" ht="12.8" hidden="false" customHeight="false" outlineLevel="0" collapsed="false">
      <c r="A6650" s="0" t="s">
        <v>12</v>
      </c>
      <c r="B6650" s="0" t="n">
        <v>2107633</v>
      </c>
      <c r="C6650" s="0" t="n">
        <v>2107653</v>
      </c>
      <c r="D6650" s="0" t="s">
        <v>22149</v>
      </c>
      <c r="E6650" s="0" t="s">
        <v>75</v>
      </c>
      <c r="F6650" s="0" t="s">
        <v>15</v>
      </c>
      <c r="G6650" s="0" t="s">
        <v>20</v>
      </c>
      <c r="H6650" s="0" t="n">
        <v>65</v>
      </c>
      <c r="I6650" s="0" t="s">
        <v>22150</v>
      </c>
      <c r="J6650" s="0" t="s">
        <v>22151</v>
      </c>
      <c r="K6650" s="0" t="s">
        <v>22152</v>
      </c>
      <c r="L6650" s="0" t="str">
        <f aca="false">HYPERLINK("https://www.ncbi.nlm.nih.gov/nuccore/CP000058.1?report=graph&amp;tracks=[key:gene_model_track,Options:GeneOnly]&amp;mk=2107634:2107653|offset_65|00cc00,2107662:2107681|offset_93|444444,2107687:2107706|offset_118|444444,2107715:2107734|offset_146|444444&amp;v=2107433:2107934&amp;c=444444", "offset 65")</f>
        <v>offset 65</v>
      </c>
    </row>
    <row r="6651" customFormat="false" ht="12.8" hidden="false" customHeight="false" outlineLevel="0" collapsed="false">
      <c r="A6651" s="0" t="s">
        <v>12</v>
      </c>
      <c r="B6651" s="0" t="n">
        <v>2107661</v>
      </c>
      <c r="C6651" s="0" t="n">
        <v>2107681</v>
      </c>
      <c r="D6651" s="0" t="s">
        <v>22149</v>
      </c>
      <c r="E6651" s="0" t="s">
        <v>75</v>
      </c>
      <c r="F6651" s="0" t="s">
        <v>15</v>
      </c>
      <c r="G6651" s="0" t="s">
        <v>16</v>
      </c>
      <c r="H6651" s="0" t="n">
        <v>93</v>
      </c>
      <c r="I6651" s="0" t="s">
        <v>22153</v>
      </c>
      <c r="J6651" s="0" t="s">
        <v>22154</v>
      </c>
      <c r="K6651" s="0" t="s">
        <v>22155</v>
      </c>
      <c r="L6651" s="0" t="str">
        <f aca="false">HYPERLINK("https://www.ncbi.nlm.nih.gov/nuccore/CP000058.1?report=graph&amp;tracks=[key:gene_model_track,Options:GeneOnly]&amp;mk=2107634:2107653|offset_65|444444,2107662:2107681|offset_93|00cc00,2107687:2107706|offset_118|444444,2107715:2107734|offset_146|444444&amp;v=2107433:2107934&amp;c=444444", "offset 93")</f>
        <v>offset 93</v>
      </c>
    </row>
    <row r="6652" customFormat="false" ht="12.8" hidden="false" customHeight="false" outlineLevel="0" collapsed="false">
      <c r="A6652" s="0" t="s">
        <v>12</v>
      </c>
      <c r="B6652" s="0" t="n">
        <v>2107686</v>
      </c>
      <c r="C6652" s="0" t="n">
        <v>2107706</v>
      </c>
      <c r="D6652" s="0" t="s">
        <v>22149</v>
      </c>
      <c r="E6652" s="0" t="s">
        <v>75</v>
      </c>
      <c r="F6652" s="0" t="s">
        <v>15</v>
      </c>
      <c r="G6652" s="0" t="s">
        <v>36</v>
      </c>
      <c r="H6652" s="0" t="n">
        <v>118</v>
      </c>
      <c r="I6652" s="0" t="s">
        <v>22156</v>
      </c>
      <c r="J6652" s="0" t="s">
        <v>22157</v>
      </c>
      <c r="K6652" s="0" t="s">
        <v>22158</v>
      </c>
      <c r="L6652" s="0" t="str">
        <f aca="false">HYPERLINK("https://www.ncbi.nlm.nih.gov/nuccore/CP000058.1?report=graph&amp;tracks=[key:gene_model_track,Options:GeneOnly]&amp;mk=2107634:2107653|offset_65|444444,2107662:2107681|offset_93|444444,2107687:2107706|offset_118|00cc00,2107715:2107734|offset_146|444444&amp;v=2107433:2107934&amp;c=444444", "offset 118")</f>
        <v>offset 118</v>
      </c>
    </row>
    <row r="6653" customFormat="false" ht="12.8" hidden="false" customHeight="false" outlineLevel="0" collapsed="false">
      <c r="A6653" s="0" t="s">
        <v>12</v>
      </c>
      <c r="B6653" s="0" t="n">
        <v>2107714</v>
      </c>
      <c r="C6653" s="0" t="n">
        <v>2107734</v>
      </c>
      <c r="D6653" s="0" t="s">
        <v>22149</v>
      </c>
      <c r="E6653" s="0" t="s">
        <v>75</v>
      </c>
      <c r="F6653" s="0" t="s">
        <v>15</v>
      </c>
      <c r="G6653" s="0" t="s">
        <v>36</v>
      </c>
      <c r="H6653" s="0" t="n">
        <v>146</v>
      </c>
      <c r="I6653" s="0" t="s">
        <v>22159</v>
      </c>
      <c r="J6653" s="0" t="s">
        <v>22160</v>
      </c>
      <c r="K6653" s="0" t="s">
        <v>22161</v>
      </c>
      <c r="L6653" s="0" t="str">
        <f aca="false">HYPERLINK("https://www.ncbi.nlm.nih.gov/nuccore/CP000058.1?report=graph&amp;tracks=[key:gene_model_track,Options:GeneOnly]&amp;mk=2107634:2107653|offset_65|444444,2107662:2107681|offset_93|444444,2107687:2107706|offset_118|444444,2107715:2107734|offset_146|00cc00&amp;v=2107433:2107934&amp;c=444444", "offset 146")</f>
        <v>offset 146</v>
      </c>
    </row>
    <row r="6654" customFormat="false" ht="12.8" hidden="false" customHeight="false" outlineLevel="0" collapsed="false">
      <c r="A6654" s="0" t="s">
        <v>12</v>
      </c>
      <c r="B6654" s="0" t="n">
        <v>2108229</v>
      </c>
      <c r="C6654" s="0" t="n">
        <v>2108249</v>
      </c>
      <c r="D6654" s="0" t="s">
        <v>22162</v>
      </c>
      <c r="E6654" s="0" t="s">
        <v>75</v>
      </c>
      <c r="F6654" s="0" t="s">
        <v>15</v>
      </c>
      <c r="G6654" s="0" t="s">
        <v>16</v>
      </c>
      <c r="H6654" s="0" t="n">
        <v>28</v>
      </c>
      <c r="I6654" s="0" t="s">
        <v>22163</v>
      </c>
      <c r="J6654" s="0" t="s">
        <v>22164</v>
      </c>
      <c r="K6654" s="0" t="s">
        <v>22165</v>
      </c>
      <c r="L6654" s="0" t="str">
        <f aca="false">HYPERLINK("https://www.ncbi.nlm.nih.gov/nuccore/CP000058.1?report=graph&amp;tracks=[key:gene_model_track,Options:GeneOnly]&amp;mk=2108230:2108249|offset_28|00cc00,2108284:2108303|offset_82|444444,2108314:2108333|offset_112|444444,2108385:2108404|offset_183|444444&amp;v=2108029:2108604&amp;c=444444", "offset 28")</f>
        <v>offset 28</v>
      </c>
    </row>
    <row r="6655" customFormat="false" ht="12.8" hidden="false" customHeight="false" outlineLevel="0" collapsed="false">
      <c r="A6655" s="0" t="s">
        <v>12</v>
      </c>
      <c r="B6655" s="0" t="n">
        <v>2108283</v>
      </c>
      <c r="C6655" s="0" t="n">
        <v>2108303</v>
      </c>
      <c r="D6655" s="0" t="s">
        <v>22162</v>
      </c>
      <c r="E6655" s="0" t="s">
        <v>75</v>
      </c>
      <c r="F6655" s="0" t="s">
        <v>15</v>
      </c>
      <c r="G6655" s="0" t="s">
        <v>32</v>
      </c>
      <c r="H6655" s="0" t="n">
        <v>82</v>
      </c>
      <c r="I6655" s="0" t="s">
        <v>22166</v>
      </c>
      <c r="J6655" s="0" t="s">
        <v>22167</v>
      </c>
      <c r="K6655" s="0" t="s">
        <v>22168</v>
      </c>
      <c r="L6655" s="0" t="str">
        <f aca="false">HYPERLINK("https://www.ncbi.nlm.nih.gov/nuccore/CP000058.1?report=graph&amp;tracks=[key:gene_model_track,Options:GeneOnly]&amp;mk=2108230:2108249|offset_28|444444,2108284:2108303|offset_82|00cc00,2108314:2108333|offset_112|444444,2108385:2108404|offset_183|444444&amp;v=2108029:2108604&amp;c=444444", "offset 82")</f>
        <v>offset 82</v>
      </c>
    </row>
    <row r="6656" customFormat="false" ht="12.8" hidden="false" customHeight="false" outlineLevel="0" collapsed="false">
      <c r="A6656" s="0" t="s">
        <v>12</v>
      </c>
      <c r="B6656" s="0" t="n">
        <v>2108313</v>
      </c>
      <c r="C6656" s="0" t="n">
        <v>2108333</v>
      </c>
      <c r="D6656" s="0" t="s">
        <v>22162</v>
      </c>
      <c r="E6656" s="0" t="s">
        <v>75</v>
      </c>
      <c r="F6656" s="0" t="s">
        <v>15</v>
      </c>
      <c r="G6656" s="0" t="s">
        <v>32</v>
      </c>
      <c r="H6656" s="0" t="n">
        <v>112</v>
      </c>
      <c r="I6656" s="0" t="s">
        <v>22169</v>
      </c>
      <c r="J6656" s="0" t="s">
        <v>22170</v>
      </c>
      <c r="K6656" s="0" t="s">
        <v>22171</v>
      </c>
      <c r="L6656" s="0" t="str">
        <f aca="false">HYPERLINK("https://www.ncbi.nlm.nih.gov/nuccore/CP000058.1?report=graph&amp;tracks=[key:gene_model_track,Options:GeneOnly]&amp;mk=2108230:2108249|offset_28|444444,2108284:2108303|offset_82|444444,2108314:2108333|offset_112|00cc00,2108385:2108404|offset_183|444444&amp;v=2108029:2108604&amp;c=444444", "offset 112")</f>
        <v>offset 112</v>
      </c>
    </row>
    <row r="6657" customFormat="false" ht="12.8" hidden="false" customHeight="false" outlineLevel="0" collapsed="false">
      <c r="A6657" s="0" t="s">
        <v>12</v>
      </c>
      <c r="B6657" s="0" t="n">
        <v>2108384</v>
      </c>
      <c r="C6657" s="0" t="n">
        <v>2108404</v>
      </c>
      <c r="D6657" s="0" t="s">
        <v>22162</v>
      </c>
      <c r="E6657" s="0" t="s">
        <v>75</v>
      </c>
      <c r="F6657" s="0" t="s">
        <v>15</v>
      </c>
      <c r="G6657" s="0" t="s">
        <v>16</v>
      </c>
      <c r="H6657" s="0" t="n">
        <v>183</v>
      </c>
      <c r="I6657" s="0" t="s">
        <v>22172</v>
      </c>
      <c r="J6657" s="0" t="s">
        <v>22173</v>
      </c>
      <c r="K6657" s="0" t="s">
        <v>22174</v>
      </c>
      <c r="L6657" s="0" t="str">
        <f aca="false">HYPERLINK("https://www.ncbi.nlm.nih.gov/nuccore/CP000058.1?report=graph&amp;tracks=[key:gene_model_track,Options:GeneOnly]&amp;mk=2108230:2108249|offset_28|444444,2108284:2108303|offset_82|444444,2108314:2108333|offset_112|444444,2108385:2108404|offset_183|00cc00&amp;v=2108029:2108604&amp;c=444444", "offset 183")</f>
        <v>offset 183</v>
      </c>
    </row>
    <row r="6658" customFormat="false" ht="12.8" hidden="false" customHeight="false" outlineLevel="0" collapsed="false">
      <c r="A6658" s="0" t="s">
        <v>12</v>
      </c>
      <c r="B6658" s="0" t="n">
        <v>2108960</v>
      </c>
      <c r="C6658" s="0" t="n">
        <v>2108980</v>
      </c>
      <c r="D6658" s="0" t="s">
        <v>22175</v>
      </c>
      <c r="E6658" s="0" t="s">
        <v>75</v>
      </c>
      <c r="F6658" s="0" t="s">
        <v>90</v>
      </c>
      <c r="G6658" s="0" t="s">
        <v>16</v>
      </c>
      <c r="H6658" s="0" t="n">
        <v>7</v>
      </c>
      <c r="I6658" s="0" t="s">
        <v>22176</v>
      </c>
      <c r="J6658" s="0" t="s">
        <v>22177</v>
      </c>
      <c r="K6658" s="0" t="s">
        <v>22178</v>
      </c>
      <c r="L6658" s="0" t="str">
        <f aca="false">HYPERLINK("https://www.ncbi.nlm.nih.gov/nuccore/CP000058.1?report=graph&amp;tracks=[key:gene_model_track,Options:GeneOnly]&amp;mk=2108961:2108980|offset_7|00cc00,2108933:2108952|offset_35|444444,2108903:2108922|offset_65|444444,2108872:2108891|offset_96|444444&amp;v=2108760:2109091&amp;c=444444", "offset 7")</f>
        <v>offset 7</v>
      </c>
    </row>
    <row r="6659" customFormat="false" ht="12.8" hidden="false" customHeight="false" outlineLevel="0" collapsed="false">
      <c r="A6659" s="0" t="s">
        <v>12</v>
      </c>
      <c r="B6659" s="0" t="n">
        <v>2108932</v>
      </c>
      <c r="C6659" s="0" t="n">
        <v>2108952</v>
      </c>
      <c r="D6659" s="0" t="s">
        <v>22175</v>
      </c>
      <c r="E6659" s="0" t="s">
        <v>75</v>
      </c>
      <c r="F6659" s="0" t="s">
        <v>90</v>
      </c>
      <c r="G6659" s="0" t="s">
        <v>20</v>
      </c>
      <c r="H6659" s="0" t="n">
        <v>35</v>
      </c>
      <c r="I6659" s="0" t="s">
        <v>22179</v>
      </c>
      <c r="J6659" s="0" t="s">
        <v>22180</v>
      </c>
      <c r="K6659" s="0" t="s">
        <v>22181</v>
      </c>
      <c r="L6659" s="0" t="str">
        <f aca="false">HYPERLINK("https://www.ncbi.nlm.nih.gov/nuccore/CP000058.1?report=graph&amp;tracks=[key:gene_model_track,Options:GeneOnly]&amp;mk=2108961:2108980|offset_7|444444,2108933:2108952|offset_35|00cc00,2108903:2108922|offset_65|444444,2108872:2108891|offset_96|444444&amp;v=2108760:2109091&amp;c=444444", "offset 35")</f>
        <v>offset 35</v>
      </c>
    </row>
    <row r="6660" customFormat="false" ht="12.8" hidden="false" customHeight="false" outlineLevel="0" collapsed="false">
      <c r="A6660" s="0" t="s">
        <v>12</v>
      </c>
      <c r="B6660" s="0" t="n">
        <v>2108902</v>
      </c>
      <c r="C6660" s="0" t="n">
        <v>2108922</v>
      </c>
      <c r="D6660" s="0" t="s">
        <v>22175</v>
      </c>
      <c r="E6660" s="0" t="s">
        <v>75</v>
      </c>
      <c r="F6660" s="0" t="s">
        <v>90</v>
      </c>
      <c r="G6660" s="0" t="s">
        <v>20</v>
      </c>
      <c r="H6660" s="0" t="n">
        <v>65</v>
      </c>
      <c r="I6660" s="0" t="s">
        <v>22182</v>
      </c>
      <c r="J6660" s="0" t="s">
        <v>22183</v>
      </c>
      <c r="K6660" s="0" t="s">
        <v>22184</v>
      </c>
      <c r="L6660" s="0" t="str">
        <f aca="false">HYPERLINK("https://www.ncbi.nlm.nih.gov/nuccore/CP000058.1?report=graph&amp;tracks=[key:gene_model_track,Options:GeneOnly]&amp;mk=2108961:2108980|offset_7|444444,2108933:2108952|offset_35|444444,2108903:2108922|offset_65|00cc00,2108872:2108891|offset_96|444444&amp;v=2108760:2109091&amp;c=444444", "offset 65")</f>
        <v>offset 65</v>
      </c>
    </row>
    <row r="6661" customFormat="false" ht="12.8" hidden="false" customHeight="false" outlineLevel="0" collapsed="false">
      <c r="A6661" s="0" t="s">
        <v>12</v>
      </c>
      <c r="B6661" s="0" t="n">
        <v>2108871</v>
      </c>
      <c r="C6661" s="0" t="n">
        <v>2108891</v>
      </c>
      <c r="D6661" s="0" t="s">
        <v>22175</v>
      </c>
      <c r="E6661" s="0" t="s">
        <v>75</v>
      </c>
      <c r="F6661" s="0" t="s">
        <v>90</v>
      </c>
      <c r="G6661" s="0" t="s">
        <v>16</v>
      </c>
      <c r="H6661" s="0" t="n">
        <v>96</v>
      </c>
      <c r="I6661" s="0" t="s">
        <v>22185</v>
      </c>
      <c r="J6661" s="0" t="s">
        <v>22186</v>
      </c>
      <c r="K6661" s="0" t="s">
        <v>22187</v>
      </c>
      <c r="L6661" s="0" t="str">
        <f aca="false">HYPERLINK("https://www.ncbi.nlm.nih.gov/nuccore/CP000058.1?report=graph&amp;tracks=[key:gene_model_track,Options:GeneOnly]&amp;mk=2108961:2108980|offset_7|444444,2108933:2108952|offset_35|444444,2108903:2108922|offset_65|444444,2108872:2108891|offset_96|00cc00&amp;v=2108760:2109091&amp;c=444444", "offset 96")</f>
        <v>offset 96</v>
      </c>
    </row>
    <row r="6662" customFormat="false" ht="12.8" hidden="false" customHeight="false" outlineLevel="0" collapsed="false">
      <c r="A6662" s="0" t="s">
        <v>12</v>
      </c>
      <c r="B6662" s="0" t="n">
        <v>2109679</v>
      </c>
      <c r="C6662" s="0" t="n">
        <v>2109699</v>
      </c>
      <c r="D6662" s="0" t="s">
        <v>22188</v>
      </c>
      <c r="E6662" s="0" t="s">
        <v>22189</v>
      </c>
      <c r="F6662" s="0" t="s">
        <v>90</v>
      </c>
      <c r="G6662" s="0" t="s">
        <v>16</v>
      </c>
      <c r="H6662" s="0" t="n">
        <v>14</v>
      </c>
      <c r="I6662" s="0" t="s">
        <v>22190</v>
      </c>
      <c r="J6662" s="0" t="s">
        <v>22191</v>
      </c>
      <c r="K6662" s="0" t="s">
        <v>22192</v>
      </c>
      <c r="L6662" s="0" t="str">
        <f aca="false">HYPERLINK("https://www.ncbi.nlm.nih.gov/nuccore/CP000058.1?report=graph&amp;tracks=[key:gene_model_track,Options:GeneOnly]&amp;mk=2109680:2109699|offset_14|00cc00,2109643:2109662|offset_51|444444,2109617:2109636|offset_77|444444,2109591:2109610|offset_103|444444&amp;v=2109479:2109810&amp;c=444444", "offset 14")</f>
        <v>offset 14</v>
      </c>
    </row>
    <row r="6663" customFormat="false" ht="12.8" hidden="false" customHeight="false" outlineLevel="0" collapsed="false">
      <c r="A6663" s="0" t="s">
        <v>12</v>
      </c>
      <c r="B6663" s="0" t="n">
        <v>2109642</v>
      </c>
      <c r="C6663" s="0" t="n">
        <v>2109662</v>
      </c>
      <c r="D6663" s="0" t="s">
        <v>22188</v>
      </c>
      <c r="E6663" s="0" t="s">
        <v>22189</v>
      </c>
      <c r="F6663" s="0" t="s">
        <v>90</v>
      </c>
      <c r="G6663" s="0" t="s">
        <v>16</v>
      </c>
      <c r="H6663" s="0" t="n">
        <v>51</v>
      </c>
      <c r="I6663" s="0" t="s">
        <v>22193</v>
      </c>
      <c r="J6663" s="0" t="s">
        <v>22194</v>
      </c>
      <c r="K6663" s="0" t="s">
        <v>22195</v>
      </c>
      <c r="L6663" s="0" t="str">
        <f aca="false">HYPERLINK("https://www.ncbi.nlm.nih.gov/nuccore/CP000058.1?report=graph&amp;tracks=[key:gene_model_track,Options:GeneOnly]&amp;mk=2109680:2109699|offset_14|444444,2109643:2109662|offset_51|00cc00,2109617:2109636|offset_77|444444,2109591:2109610|offset_103|444444&amp;v=2109479:2109810&amp;c=444444", "offset 51")</f>
        <v>offset 51</v>
      </c>
    </row>
    <row r="6664" customFormat="false" ht="12.8" hidden="false" customHeight="false" outlineLevel="0" collapsed="false">
      <c r="A6664" s="0" t="s">
        <v>12</v>
      </c>
      <c r="B6664" s="0" t="n">
        <v>2109616</v>
      </c>
      <c r="C6664" s="0" t="n">
        <v>2109636</v>
      </c>
      <c r="D6664" s="0" t="s">
        <v>22188</v>
      </c>
      <c r="E6664" s="0" t="s">
        <v>22189</v>
      </c>
      <c r="F6664" s="0" t="s">
        <v>90</v>
      </c>
      <c r="G6664" s="0" t="s">
        <v>36</v>
      </c>
      <c r="H6664" s="0" t="n">
        <v>77</v>
      </c>
      <c r="I6664" s="0" t="s">
        <v>22196</v>
      </c>
      <c r="J6664" s="0" t="s">
        <v>22197</v>
      </c>
      <c r="K6664" s="0" t="s">
        <v>22198</v>
      </c>
      <c r="L6664" s="0" t="str">
        <f aca="false">HYPERLINK("https://www.ncbi.nlm.nih.gov/nuccore/CP000058.1?report=graph&amp;tracks=[key:gene_model_track,Options:GeneOnly]&amp;mk=2109680:2109699|offset_14|444444,2109643:2109662|offset_51|444444,2109617:2109636|offset_77|00cc00,2109591:2109610|offset_103|444444&amp;v=2109479:2109810&amp;c=444444", "offset 77")</f>
        <v>offset 77</v>
      </c>
    </row>
    <row r="6665" customFormat="false" ht="12.8" hidden="false" customHeight="false" outlineLevel="0" collapsed="false">
      <c r="A6665" s="0" t="s">
        <v>12</v>
      </c>
      <c r="B6665" s="0" t="n">
        <v>2109590</v>
      </c>
      <c r="C6665" s="0" t="n">
        <v>2109610</v>
      </c>
      <c r="D6665" s="0" t="s">
        <v>22188</v>
      </c>
      <c r="E6665" s="0" t="s">
        <v>22189</v>
      </c>
      <c r="F6665" s="0" t="s">
        <v>90</v>
      </c>
      <c r="G6665" s="0" t="s">
        <v>36</v>
      </c>
      <c r="H6665" s="0" t="n">
        <v>103</v>
      </c>
      <c r="I6665" s="0" t="s">
        <v>22199</v>
      </c>
      <c r="J6665" s="0" t="s">
        <v>22200</v>
      </c>
      <c r="K6665" s="0" t="s">
        <v>22201</v>
      </c>
      <c r="L6665" s="0" t="str">
        <f aca="false">HYPERLINK("https://www.ncbi.nlm.nih.gov/nuccore/CP000058.1?report=graph&amp;tracks=[key:gene_model_track,Options:GeneOnly]&amp;mk=2109680:2109699|offset_14|444444,2109643:2109662|offset_51|444444,2109617:2109636|offset_77|444444,2109591:2109610|offset_103|00cc00&amp;v=2109479:2109810&amp;c=444444", "offset 103")</f>
        <v>offset 103</v>
      </c>
    </row>
    <row r="6666" customFormat="false" ht="12.8" hidden="false" customHeight="false" outlineLevel="0" collapsed="false">
      <c r="A6666" s="0" t="s">
        <v>12</v>
      </c>
      <c r="B6666" s="0" t="n">
        <v>2110588</v>
      </c>
      <c r="C6666" s="0" t="n">
        <v>2110608</v>
      </c>
      <c r="D6666" s="0" t="s">
        <v>22202</v>
      </c>
      <c r="E6666" s="0" t="s">
        <v>75</v>
      </c>
      <c r="F6666" s="0" t="s">
        <v>90</v>
      </c>
      <c r="G6666" s="0" t="s">
        <v>36</v>
      </c>
      <c r="H6666" s="0" t="n">
        <v>0</v>
      </c>
      <c r="I6666" s="0" t="s">
        <v>22203</v>
      </c>
      <c r="J6666" s="0" t="s">
        <v>22204</v>
      </c>
      <c r="K6666" s="0" t="s">
        <v>22205</v>
      </c>
      <c r="L6666" s="0" t="str">
        <f aca="false">HYPERLINK("https://www.ncbi.nlm.nih.gov/nuccore/CP000058.1?report=graph&amp;tracks=[key:gene_model_track,Options:GeneOnly]&amp;mk=2110589:2110608|offset_0|00cc00,2110567:2110586|offset_22|444444,2110535:2110554|offset_54|444444,2110502:2110521|offset_87|444444&amp;v=2110388:2110721&amp;c=444444", "offset 0")</f>
        <v>offset 0</v>
      </c>
    </row>
    <row r="6667" customFormat="false" ht="12.8" hidden="false" customHeight="false" outlineLevel="0" collapsed="false">
      <c r="A6667" s="0" t="s">
        <v>12</v>
      </c>
      <c r="B6667" s="0" t="n">
        <v>2110566</v>
      </c>
      <c r="C6667" s="0" t="n">
        <v>2110586</v>
      </c>
      <c r="D6667" s="0" t="s">
        <v>22202</v>
      </c>
      <c r="E6667" s="0" t="s">
        <v>75</v>
      </c>
      <c r="F6667" s="0" t="s">
        <v>90</v>
      </c>
      <c r="G6667" s="0" t="s">
        <v>36</v>
      </c>
      <c r="H6667" s="0" t="n">
        <v>22</v>
      </c>
      <c r="I6667" s="0" t="s">
        <v>22206</v>
      </c>
      <c r="J6667" s="0" t="s">
        <v>22207</v>
      </c>
      <c r="K6667" s="0" t="s">
        <v>22208</v>
      </c>
      <c r="L6667" s="0" t="str">
        <f aca="false">HYPERLINK("https://www.ncbi.nlm.nih.gov/nuccore/CP000058.1?report=graph&amp;tracks=[key:gene_model_track,Options:GeneOnly]&amp;mk=2110589:2110608|offset_0|444444,2110567:2110586|offset_22|00cc00,2110535:2110554|offset_54|444444,2110502:2110521|offset_87|444444&amp;v=2110388:2110721&amp;c=444444", "offset 22")</f>
        <v>offset 22</v>
      </c>
    </row>
    <row r="6668" customFormat="false" ht="12.8" hidden="false" customHeight="false" outlineLevel="0" collapsed="false">
      <c r="A6668" s="0" t="s">
        <v>12</v>
      </c>
      <c r="B6668" s="0" t="n">
        <v>2110534</v>
      </c>
      <c r="C6668" s="0" t="n">
        <v>2110554</v>
      </c>
      <c r="D6668" s="0" t="s">
        <v>22202</v>
      </c>
      <c r="E6668" s="0" t="s">
        <v>75</v>
      </c>
      <c r="F6668" s="0" t="s">
        <v>90</v>
      </c>
      <c r="G6668" s="0" t="s">
        <v>16</v>
      </c>
      <c r="H6668" s="0" t="n">
        <v>54</v>
      </c>
      <c r="I6668" s="0" t="s">
        <v>22209</v>
      </c>
      <c r="J6668" s="0" t="s">
        <v>22210</v>
      </c>
      <c r="K6668" s="0" t="s">
        <v>22211</v>
      </c>
      <c r="L6668" s="0" t="str">
        <f aca="false">HYPERLINK("https://www.ncbi.nlm.nih.gov/nuccore/CP000058.1?report=graph&amp;tracks=[key:gene_model_track,Options:GeneOnly]&amp;mk=2110589:2110608|offset_0|444444,2110567:2110586|offset_22|444444,2110535:2110554|offset_54|00cc00,2110502:2110521|offset_87|444444&amp;v=2110388:2110721&amp;c=444444", "offset 54")</f>
        <v>offset 54</v>
      </c>
    </row>
    <row r="6669" customFormat="false" ht="12.8" hidden="false" customHeight="false" outlineLevel="0" collapsed="false">
      <c r="A6669" s="0" t="s">
        <v>12</v>
      </c>
      <c r="B6669" s="0" t="n">
        <v>2110501</v>
      </c>
      <c r="C6669" s="0" t="n">
        <v>2110521</v>
      </c>
      <c r="D6669" s="0" t="s">
        <v>22202</v>
      </c>
      <c r="E6669" s="0" t="s">
        <v>75</v>
      </c>
      <c r="F6669" s="0" t="s">
        <v>90</v>
      </c>
      <c r="G6669" s="0" t="s">
        <v>36</v>
      </c>
      <c r="H6669" s="0" t="n">
        <v>87</v>
      </c>
      <c r="I6669" s="0" t="s">
        <v>22212</v>
      </c>
      <c r="J6669" s="0" t="s">
        <v>22213</v>
      </c>
      <c r="K6669" s="0" t="s">
        <v>22214</v>
      </c>
      <c r="L6669" s="0" t="str">
        <f aca="false">HYPERLINK("https://www.ncbi.nlm.nih.gov/nuccore/CP000058.1?report=graph&amp;tracks=[key:gene_model_track,Options:GeneOnly]&amp;mk=2110589:2110608|offset_0|444444,2110567:2110586|offset_22|444444,2110535:2110554|offset_54|444444,2110502:2110521|offset_87|00cc00&amp;v=2110388:2110721&amp;c=444444", "offset 87")</f>
        <v>offset 87</v>
      </c>
    </row>
    <row r="6670" customFormat="false" ht="12.8" hidden="false" customHeight="false" outlineLevel="0" collapsed="false">
      <c r="A6670" s="0" t="s">
        <v>12</v>
      </c>
      <c r="B6670" s="0" t="n">
        <v>2110916</v>
      </c>
      <c r="C6670" s="0" t="n">
        <v>2110936</v>
      </c>
      <c r="D6670" s="0" t="s">
        <v>22215</v>
      </c>
      <c r="E6670" s="0" t="s">
        <v>75</v>
      </c>
      <c r="F6670" s="0" t="s">
        <v>90</v>
      </c>
      <c r="G6670" s="0" t="s">
        <v>20</v>
      </c>
      <c r="H6670" s="0" t="n">
        <v>35</v>
      </c>
      <c r="I6670" s="0" t="s">
        <v>22216</v>
      </c>
      <c r="J6670" s="0" t="s">
        <v>22217</v>
      </c>
      <c r="K6670" s="0" t="s">
        <v>22218</v>
      </c>
      <c r="L6670" s="0" t="str">
        <f aca="false">HYPERLINK("https://www.ncbi.nlm.nih.gov/nuccore/CP000058.1?report=graph&amp;tracks=[key:gene_model_track,Options:GeneOnly]&amp;mk=2110917:2110936|offset_35|00cc00,2110831:2110850|offset_121|444444,2110807:2110826|offset_145|444444,2110774:2110793|offset_178|444444&amp;v=2110716:2110993&amp;c=444444", "offset 35")</f>
        <v>offset 35</v>
      </c>
    </row>
    <row r="6671" customFormat="false" ht="12.8" hidden="false" customHeight="false" outlineLevel="0" collapsed="false">
      <c r="A6671" s="0" t="s">
        <v>12</v>
      </c>
      <c r="B6671" s="0" t="n">
        <v>2110830</v>
      </c>
      <c r="C6671" s="0" t="n">
        <v>2110850</v>
      </c>
      <c r="D6671" s="0" t="s">
        <v>22215</v>
      </c>
      <c r="E6671" s="0" t="s">
        <v>75</v>
      </c>
      <c r="F6671" s="0" t="s">
        <v>90</v>
      </c>
      <c r="G6671" s="0" t="s">
        <v>16</v>
      </c>
      <c r="H6671" s="0" t="n">
        <v>121</v>
      </c>
      <c r="I6671" s="0" t="s">
        <v>22219</v>
      </c>
      <c r="J6671" s="0" t="s">
        <v>22220</v>
      </c>
      <c r="K6671" s="0" t="s">
        <v>22221</v>
      </c>
      <c r="L6671" s="0" t="str">
        <f aca="false">HYPERLINK("https://www.ncbi.nlm.nih.gov/nuccore/CP000058.1?report=graph&amp;tracks=[key:gene_model_track,Options:GeneOnly]&amp;mk=2110917:2110936|offset_35|444444,2110831:2110850|offset_121|00cc00,2110807:2110826|offset_145|444444,2110774:2110793|offset_178|444444&amp;v=2110716:2110993&amp;c=444444", "offset 121")</f>
        <v>offset 121</v>
      </c>
    </row>
    <row r="6672" customFormat="false" ht="12.8" hidden="false" customHeight="false" outlineLevel="0" collapsed="false">
      <c r="A6672" s="0" t="s">
        <v>12</v>
      </c>
      <c r="B6672" s="0" t="n">
        <v>2110806</v>
      </c>
      <c r="C6672" s="0" t="n">
        <v>2110826</v>
      </c>
      <c r="D6672" s="0" t="s">
        <v>22215</v>
      </c>
      <c r="E6672" s="0" t="s">
        <v>75</v>
      </c>
      <c r="F6672" s="0" t="s">
        <v>90</v>
      </c>
      <c r="G6672" s="0" t="s">
        <v>16</v>
      </c>
      <c r="H6672" s="0" t="n">
        <v>145</v>
      </c>
      <c r="I6672" s="0" t="s">
        <v>22222</v>
      </c>
      <c r="J6672" s="0" t="s">
        <v>22223</v>
      </c>
      <c r="K6672" s="0" t="s">
        <v>22224</v>
      </c>
      <c r="L6672" s="0" t="str">
        <f aca="false">HYPERLINK("https://www.ncbi.nlm.nih.gov/nuccore/CP000058.1?report=graph&amp;tracks=[key:gene_model_track,Options:GeneOnly]&amp;mk=2110917:2110936|offset_35|444444,2110831:2110850|offset_121|444444,2110807:2110826|offset_145|00cc00,2110774:2110793|offset_178|444444&amp;v=2110716:2110993&amp;c=444444", "offset 145")</f>
        <v>offset 145</v>
      </c>
    </row>
    <row r="6673" customFormat="false" ht="12.8" hidden="false" customHeight="false" outlineLevel="0" collapsed="false">
      <c r="A6673" s="0" t="s">
        <v>12</v>
      </c>
      <c r="B6673" s="0" t="n">
        <v>2110773</v>
      </c>
      <c r="C6673" s="0" t="n">
        <v>2110793</v>
      </c>
      <c r="D6673" s="0" t="s">
        <v>22215</v>
      </c>
      <c r="E6673" s="0" t="s">
        <v>75</v>
      </c>
      <c r="F6673" s="0" t="s">
        <v>90</v>
      </c>
      <c r="G6673" s="0" t="s">
        <v>32</v>
      </c>
      <c r="H6673" s="0" t="n">
        <v>178</v>
      </c>
      <c r="I6673" s="0" t="s">
        <v>22225</v>
      </c>
      <c r="J6673" s="0" t="s">
        <v>22226</v>
      </c>
      <c r="K6673" s="0" t="s">
        <v>22227</v>
      </c>
      <c r="L6673" s="0" t="str">
        <f aca="false">HYPERLINK("https://www.ncbi.nlm.nih.gov/nuccore/CP000058.1?report=graph&amp;tracks=[key:gene_model_track,Options:GeneOnly]&amp;mk=2110917:2110936|offset_35|444444,2110831:2110850|offset_121|444444,2110807:2110826|offset_145|444444,2110774:2110793|offset_178|00cc00&amp;v=2110716:2110993&amp;c=444444", "offset 178")</f>
        <v>offset 178</v>
      </c>
    </row>
    <row r="6674" customFormat="false" ht="12.8" hidden="false" customHeight="false" outlineLevel="0" collapsed="false">
      <c r="A6674" s="0" t="s">
        <v>12</v>
      </c>
      <c r="B6674" s="0" t="n">
        <v>2111684</v>
      </c>
      <c r="C6674" s="0" t="n">
        <v>2111704</v>
      </c>
      <c r="D6674" s="0" t="s">
        <v>22228</v>
      </c>
      <c r="E6674" s="0" t="s">
        <v>75</v>
      </c>
      <c r="F6674" s="0" t="s">
        <v>90</v>
      </c>
      <c r="G6674" s="0" t="s">
        <v>16</v>
      </c>
      <c r="H6674" s="0" t="n">
        <v>7</v>
      </c>
      <c r="I6674" s="0" t="s">
        <v>22229</v>
      </c>
      <c r="J6674" s="0" t="s">
        <v>22230</v>
      </c>
      <c r="K6674" s="0" t="s">
        <v>22231</v>
      </c>
      <c r="L6674" s="0" t="str">
        <f aca="false">HYPERLINK("https://www.ncbi.nlm.nih.gov/nuccore/CP000058.1?report=graph&amp;tracks=[key:gene_model_track,Options:GeneOnly]&amp;mk=2111685:2111704|offset_7|00cc00,2111654:2111673|offset_38|444444,2111600:2111619|offset_92|444444,2111579:2111598|offset_113|444444&amp;v=2111484:2111798&amp;c=444444", "offset 7")</f>
        <v>offset 7</v>
      </c>
    </row>
    <row r="6675" customFormat="false" ht="12.8" hidden="false" customHeight="false" outlineLevel="0" collapsed="false">
      <c r="A6675" s="0" t="s">
        <v>12</v>
      </c>
      <c r="B6675" s="0" t="n">
        <v>2111653</v>
      </c>
      <c r="C6675" s="0" t="n">
        <v>2111673</v>
      </c>
      <c r="D6675" s="0" t="s">
        <v>22228</v>
      </c>
      <c r="E6675" s="0" t="s">
        <v>75</v>
      </c>
      <c r="F6675" s="0" t="s">
        <v>90</v>
      </c>
      <c r="G6675" s="0" t="s">
        <v>16</v>
      </c>
      <c r="H6675" s="0" t="n">
        <v>38</v>
      </c>
      <c r="I6675" s="0" t="s">
        <v>22232</v>
      </c>
      <c r="J6675" s="0" t="s">
        <v>22233</v>
      </c>
      <c r="K6675" s="0" t="s">
        <v>22234</v>
      </c>
      <c r="L6675" s="0" t="str">
        <f aca="false">HYPERLINK("https://www.ncbi.nlm.nih.gov/nuccore/CP000058.1?report=graph&amp;tracks=[key:gene_model_track,Options:GeneOnly]&amp;mk=2111685:2111704|offset_7|444444,2111654:2111673|offset_38|00cc00,2111600:2111619|offset_92|444444,2111579:2111598|offset_113|444444&amp;v=2111484:2111798&amp;c=444444", "offset 38")</f>
        <v>offset 38</v>
      </c>
    </row>
    <row r="6676" customFormat="false" ht="12.8" hidden="false" customHeight="false" outlineLevel="0" collapsed="false">
      <c r="A6676" s="0" t="s">
        <v>12</v>
      </c>
      <c r="B6676" s="0" t="n">
        <v>2111599</v>
      </c>
      <c r="C6676" s="0" t="n">
        <v>2111619</v>
      </c>
      <c r="D6676" s="0" t="s">
        <v>22228</v>
      </c>
      <c r="E6676" s="0" t="s">
        <v>75</v>
      </c>
      <c r="F6676" s="0" t="s">
        <v>90</v>
      </c>
      <c r="G6676" s="0" t="s">
        <v>32</v>
      </c>
      <c r="H6676" s="0" t="n">
        <v>92</v>
      </c>
      <c r="I6676" s="0" t="s">
        <v>22235</v>
      </c>
      <c r="J6676" s="0" t="s">
        <v>22236</v>
      </c>
      <c r="K6676" s="0" t="s">
        <v>22237</v>
      </c>
      <c r="L6676" s="0" t="str">
        <f aca="false">HYPERLINK("https://www.ncbi.nlm.nih.gov/nuccore/CP000058.1?report=graph&amp;tracks=[key:gene_model_track,Options:GeneOnly]&amp;mk=2111685:2111704|offset_7|444444,2111654:2111673|offset_38|444444,2111600:2111619|offset_92|00cc00,2111579:2111598|offset_113|444444&amp;v=2111484:2111798&amp;c=444444", "offset 92")</f>
        <v>offset 92</v>
      </c>
    </row>
    <row r="6677" customFormat="false" ht="12.8" hidden="false" customHeight="false" outlineLevel="0" collapsed="false">
      <c r="A6677" s="0" t="s">
        <v>12</v>
      </c>
      <c r="B6677" s="0" t="n">
        <v>2111578</v>
      </c>
      <c r="C6677" s="0" t="n">
        <v>2111598</v>
      </c>
      <c r="D6677" s="0" t="s">
        <v>22228</v>
      </c>
      <c r="E6677" s="0" t="s">
        <v>75</v>
      </c>
      <c r="F6677" s="0" t="s">
        <v>90</v>
      </c>
      <c r="G6677" s="0" t="s">
        <v>36</v>
      </c>
      <c r="H6677" s="0" t="n">
        <v>113</v>
      </c>
      <c r="I6677" s="0" t="s">
        <v>22238</v>
      </c>
      <c r="J6677" s="0" t="s">
        <v>22239</v>
      </c>
      <c r="K6677" s="0" t="s">
        <v>22240</v>
      </c>
      <c r="L6677" s="0" t="str">
        <f aca="false">HYPERLINK("https://www.ncbi.nlm.nih.gov/nuccore/CP000058.1?report=graph&amp;tracks=[key:gene_model_track,Options:GeneOnly]&amp;mk=2111685:2111704|offset_7|444444,2111654:2111673|offset_38|444444,2111600:2111619|offset_92|444444,2111579:2111598|offset_113|00cc00&amp;v=2111484:2111798&amp;c=444444", "offset 113")</f>
        <v>offset 113</v>
      </c>
    </row>
    <row r="6678" customFormat="false" ht="12.8" hidden="false" customHeight="false" outlineLevel="0" collapsed="false">
      <c r="A6678" s="0" t="s">
        <v>12</v>
      </c>
      <c r="B6678" s="0" t="n">
        <v>2111974</v>
      </c>
      <c r="C6678" s="0" t="n">
        <v>2111994</v>
      </c>
      <c r="D6678" s="0" t="s">
        <v>22241</v>
      </c>
      <c r="E6678" s="0" t="s">
        <v>75</v>
      </c>
      <c r="F6678" s="0" t="s">
        <v>15</v>
      </c>
      <c r="G6678" s="0" t="s">
        <v>32</v>
      </c>
      <c r="H6678" s="0" t="n">
        <v>1</v>
      </c>
      <c r="I6678" s="0" t="s">
        <v>22242</v>
      </c>
      <c r="J6678" s="0" t="s">
        <v>22243</v>
      </c>
      <c r="K6678" s="0" t="s">
        <v>22244</v>
      </c>
      <c r="L6678" s="0" t="str">
        <f aca="false">HYPERLINK("https://www.ncbi.nlm.nih.gov/nuccore/CP000058.1?report=graph&amp;tracks=[key:gene_model_track,Options:GeneOnly]&amp;mk=2111975:2111994|offset_1|00cc00,2111999:2112018|offset_25|444444,2112023:2112042|offset_49|444444,2112068:2112087|offset_94|444444&amp;v=2111774:2112287&amp;c=444444", "offset 1")</f>
        <v>offset 1</v>
      </c>
    </row>
    <row r="6679" customFormat="false" ht="12.8" hidden="false" customHeight="false" outlineLevel="0" collapsed="false">
      <c r="A6679" s="0" t="s">
        <v>12</v>
      </c>
      <c r="B6679" s="0" t="n">
        <v>2111998</v>
      </c>
      <c r="C6679" s="0" t="n">
        <v>2112018</v>
      </c>
      <c r="D6679" s="0" t="s">
        <v>22241</v>
      </c>
      <c r="E6679" s="0" t="s">
        <v>75</v>
      </c>
      <c r="F6679" s="0" t="s">
        <v>15</v>
      </c>
      <c r="G6679" s="0" t="s">
        <v>16</v>
      </c>
      <c r="H6679" s="0" t="n">
        <v>25</v>
      </c>
      <c r="I6679" s="0" t="s">
        <v>22245</v>
      </c>
      <c r="J6679" s="0" t="s">
        <v>22246</v>
      </c>
      <c r="K6679" s="0" t="s">
        <v>22247</v>
      </c>
      <c r="L6679" s="0" t="str">
        <f aca="false">HYPERLINK("https://www.ncbi.nlm.nih.gov/nuccore/CP000058.1?report=graph&amp;tracks=[key:gene_model_track,Options:GeneOnly]&amp;mk=2111975:2111994|offset_1|444444,2111999:2112018|offset_25|00cc00,2112023:2112042|offset_49|444444,2112068:2112087|offset_94|444444&amp;v=2111774:2112287&amp;c=444444", "offset 25")</f>
        <v>offset 25</v>
      </c>
    </row>
    <row r="6680" customFormat="false" ht="12.8" hidden="false" customHeight="false" outlineLevel="0" collapsed="false">
      <c r="A6680" s="0" t="s">
        <v>12</v>
      </c>
      <c r="B6680" s="0" t="n">
        <v>2112022</v>
      </c>
      <c r="C6680" s="0" t="n">
        <v>2112042</v>
      </c>
      <c r="D6680" s="0" t="s">
        <v>22241</v>
      </c>
      <c r="E6680" s="0" t="s">
        <v>75</v>
      </c>
      <c r="F6680" s="0" t="s">
        <v>15</v>
      </c>
      <c r="G6680" s="0" t="s">
        <v>16</v>
      </c>
      <c r="H6680" s="0" t="n">
        <v>49</v>
      </c>
      <c r="I6680" s="0" t="s">
        <v>22248</v>
      </c>
      <c r="J6680" s="0" t="s">
        <v>22249</v>
      </c>
      <c r="K6680" s="0" t="s">
        <v>22250</v>
      </c>
      <c r="L6680" s="0" t="str">
        <f aca="false">HYPERLINK("https://www.ncbi.nlm.nih.gov/nuccore/CP000058.1?report=graph&amp;tracks=[key:gene_model_track,Options:GeneOnly]&amp;mk=2111975:2111994|offset_1|444444,2111999:2112018|offset_25|444444,2112023:2112042|offset_49|00cc00,2112068:2112087|offset_94|444444&amp;v=2111774:2112287&amp;c=444444", "offset 49")</f>
        <v>offset 49</v>
      </c>
    </row>
    <row r="6681" customFormat="false" ht="12.8" hidden="false" customHeight="false" outlineLevel="0" collapsed="false">
      <c r="A6681" s="0" t="s">
        <v>12</v>
      </c>
      <c r="B6681" s="0" t="n">
        <v>2112067</v>
      </c>
      <c r="C6681" s="0" t="n">
        <v>2112087</v>
      </c>
      <c r="D6681" s="0" t="s">
        <v>22241</v>
      </c>
      <c r="E6681" s="0" t="s">
        <v>75</v>
      </c>
      <c r="F6681" s="0" t="s">
        <v>15</v>
      </c>
      <c r="G6681" s="0" t="s">
        <v>16</v>
      </c>
      <c r="H6681" s="0" t="n">
        <v>94</v>
      </c>
      <c r="I6681" s="0" t="s">
        <v>22251</v>
      </c>
      <c r="J6681" s="0" t="s">
        <v>22252</v>
      </c>
      <c r="K6681" s="0" t="s">
        <v>22253</v>
      </c>
      <c r="L6681" s="0" t="str">
        <f aca="false">HYPERLINK("https://www.ncbi.nlm.nih.gov/nuccore/CP000058.1?report=graph&amp;tracks=[key:gene_model_track,Options:GeneOnly]&amp;mk=2111975:2111994|offset_1|444444,2111999:2112018|offset_25|444444,2112023:2112042|offset_49|444444,2112068:2112087|offset_94|00cc00&amp;v=2111774:2112287&amp;c=444444", "offset 94")</f>
        <v>offset 94</v>
      </c>
    </row>
    <row r="6682" customFormat="false" ht="12.8" hidden="false" customHeight="false" outlineLevel="0" collapsed="false">
      <c r="A6682" s="0" t="s">
        <v>12</v>
      </c>
      <c r="B6682" s="0" t="n">
        <v>2113679</v>
      </c>
      <c r="C6682" s="0" t="n">
        <v>2113699</v>
      </c>
      <c r="D6682" s="0" t="s">
        <v>22254</v>
      </c>
      <c r="E6682" s="0" t="s">
        <v>75</v>
      </c>
      <c r="F6682" s="0" t="s">
        <v>90</v>
      </c>
      <c r="G6682" s="0" t="s">
        <v>32</v>
      </c>
      <c r="H6682" s="0" t="n">
        <v>31</v>
      </c>
      <c r="I6682" s="0" t="s">
        <v>22255</v>
      </c>
      <c r="J6682" s="0" t="s">
        <v>22256</v>
      </c>
      <c r="K6682" s="0" t="s">
        <v>22257</v>
      </c>
      <c r="L6682" s="0" t="str">
        <f aca="false">HYPERLINK("https://www.ncbi.nlm.nih.gov/nuccore/CP000058.1?report=graph&amp;tracks=[key:gene_model_track,Options:GeneOnly]&amp;mk=2113680:2113699|offset_31|00cc00,2113653:2113672|offset_58|444444,2113630:2113649|offset_81|444444,2113582:2113601|offset_129|444444&amp;v=2113479:2113801&amp;c=444444", "offset 31")</f>
        <v>offset 31</v>
      </c>
    </row>
    <row r="6683" customFormat="false" ht="12.8" hidden="false" customHeight="false" outlineLevel="0" collapsed="false">
      <c r="A6683" s="0" t="s">
        <v>12</v>
      </c>
      <c r="B6683" s="0" t="n">
        <v>2113652</v>
      </c>
      <c r="C6683" s="0" t="n">
        <v>2113672</v>
      </c>
      <c r="D6683" s="0" t="s">
        <v>22254</v>
      </c>
      <c r="E6683" s="0" t="s">
        <v>75</v>
      </c>
      <c r="F6683" s="0" t="s">
        <v>90</v>
      </c>
      <c r="G6683" s="0" t="s">
        <v>16</v>
      </c>
      <c r="H6683" s="0" t="n">
        <v>58</v>
      </c>
      <c r="I6683" s="0" t="s">
        <v>22258</v>
      </c>
      <c r="J6683" s="0" t="s">
        <v>22259</v>
      </c>
      <c r="K6683" s="0" t="s">
        <v>22260</v>
      </c>
      <c r="L6683" s="0" t="str">
        <f aca="false">HYPERLINK("https://www.ncbi.nlm.nih.gov/nuccore/CP000058.1?report=graph&amp;tracks=[key:gene_model_track,Options:GeneOnly]&amp;mk=2113680:2113699|offset_31|444444,2113653:2113672|offset_58|00cc00,2113630:2113649|offset_81|444444,2113582:2113601|offset_129|444444&amp;v=2113479:2113801&amp;c=444444", "offset 58")</f>
        <v>offset 58</v>
      </c>
    </row>
    <row r="6684" customFormat="false" ht="12.8" hidden="false" customHeight="false" outlineLevel="0" collapsed="false">
      <c r="A6684" s="0" t="s">
        <v>12</v>
      </c>
      <c r="B6684" s="0" t="n">
        <v>2113629</v>
      </c>
      <c r="C6684" s="0" t="n">
        <v>2113649</v>
      </c>
      <c r="D6684" s="0" t="s">
        <v>22254</v>
      </c>
      <c r="E6684" s="0" t="s">
        <v>75</v>
      </c>
      <c r="F6684" s="0" t="s">
        <v>90</v>
      </c>
      <c r="G6684" s="0" t="s">
        <v>16</v>
      </c>
      <c r="H6684" s="0" t="n">
        <v>81</v>
      </c>
      <c r="I6684" s="0" t="s">
        <v>22261</v>
      </c>
      <c r="J6684" s="0" t="s">
        <v>22262</v>
      </c>
      <c r="K6684" s="0" t="s">
        <v>22263</v>
      </c>
      <c r="L6684" s="0" t="str">
        <f aca="false">HYPERLINK("https://www.ncbi.nlm.nih.gov/nuccore/CP000058.1?report=graph&amp;tracks=[key:gene_model_track,Options:GeneOnly]&amp;mk=2113680:2113699|offset_31|444444,2113653:2113672|offset_58|444444,2113630:2113649|offset_81|00cc00,2113582:2113601|offset_129|444444&amp;v=2113479:2113801&amp;c=444444", "offset 81")</f>
        <v>offset 81</v>
      </c>
    </row>
    <row r="6685" customFormat="false" ht="12.8" hidden="false" customHeight="false" outlineLevel="0" collapsed="false">
      <c r="A6685" s="0" t="s">
        <v>12</v>
      </c>
      <c r="B6685" s="0" t="n">
        <v>2113581</v>
      </c>
      <c r="C6685" s="0" t="n">
        <v>2113601</v>
      </c>
      <c r="D6685" s="0" t="s">
        <v>22254</v>
      </c>
      <c r="E6685" s="0" t="s">
        <v>75</v>
      </c>
      <c r="F6685" s="0" t="s">
        <v>90</v>
      </c>
      <c r="G6685" s="0" t="s">
        <v>32</v>
      </c>
      <c r="H6685" s="0" t="n">
        <v>129</v>
      </c>
      <c r="I6685" s="0" t="s">
        <v>22264</v>
      </c>
      <c r="J6685" s="0" t="s">
        <v>22265</v>
      </c>
      <c r="K6685" s="0" t="s">
        <v>22266</v>
      </c>
      <c r="L6685" s="0" t="str">
        <f aca="false">HYPERLINK("https://www.ncbi.nlm.nih.gov/nuccore/CP000058.1?report=graph&amp;tracks=[key:gene_model_track,Options:GeneOnly]&amp;mk=2113680:2113699|offset_31|444444,2113653:2113672|offset_58|444444,2113630:2113649|offset_81|444444,2113582:2113601|offset_129|00cc00&amp;v=2113479:2113801&amp;c=444444", "offset 129")</f>
        <v>offset 129</v>
      </c>
    </row>
    <row r="6686" customFormat="false" ht="12.8" hidden="false" customHeight="false" outlineLevel="0" collapsed="false">
      <c r="A6686" s="0" t="s">
        <v>12</v>
      </c>
      <c r="B6686" s="0" t="n">
        <v>2114830</v>
      </c>
      <c r="C6686" s="0" t="n">
        <v>2114850</v>
      </c>
      <c r="D6686" s="0" t="s">
        <v>22267</v>
      </c>
      <c r="E6686" s="0" t="s">
        <v>75</v>
      </c>
      <c r="F6686" s="0" t="s">
        <v>90</v>
      </c>
      <c r="G6686" s="0" t="s">
        <v>16</v>
      </c>
      <c r="H6686" s="0" t="n">
        <v>10</v>
      </c>
      <c r="I6686" s="0" t="s">
        <v>22268</v>
      </c>
      <c r="J6686" s="0" t="s">
        <v>22269</v>
      </c>
      <c r="K6686" s="0" t="s">
        <v>22270</v>
      </c>
      <c r="L6686" s="0" t="str">
        <f aca="false">HYPERLINK("https://www.ncbi.nlm.nih.gov/nuccore/CP000058.1?report=graph&amp;tracks=[key:gene_model_track,Options:GeneOnly]&amp;mk=2114831:2114850|offset_10|00cc00,2114808:2114827|offset_33|444444,2114786:2114805|offset_55|444444,2114761:2114780|offset_80|444444&amp;v=2114630:2114980&amp;c=444444", "offset 10")</f>
        <v>offset 10</v>
      </c>
    </row>
    <row r="6687" customFormat="false" ht="12.8" hidden="false" customHeight="false" outlineLevel="0" collapsed="false">
      <c r="A6687" s="0" t="s">
        <v>12</v>
      </c>
      <c r="B6687" s="0" t="n">
        <v>2114807</v>
      </c>
      <c r="C6687" s="0" t="n">
        <v>2114827</v>
      </c>
      <c r="D6687" s="0" t="s">
        <v>22267</v>
      </c>
      <c r="E6687" s="0" t="s">
        <v>75</v>
      </c>
      <c r="F6687" s="0" t="s">
        <v>90</v>
      </c>
      <c r="G6687" s="0" t="s">
        <v>32</v>
      </c>
      <c r="H6687" s="0" t="n">
        <v>33</v>
      </c>
      <c r="I6687" s="0" t="s">
        <v>22271</v>
      </c>
      <c r="J6687" s="0" t="s">
        <v>22272</v>
      </c>
      <c r="K6687" s="0" t="s">
        <v>22273</v>
      </c>
      <c r="L6687" s="0" t="str">
        <f aca="false">HYPERLINK("https://www.ncbi.nlm.nih.gov/nuccore/CP000058.1?report=graph&amp;tracks=[key:gene_model_track,Options:GeneOnly]&amp;mk=2114831:2114850|offset_10|444444,2114808:2114827|offset_33|00cc00,2114786:2114805|offset_55|444444,2114761:2114780|offset_80|444444&amp;v=2114630:2114980&amp;c=444444", "offset 33")</f>
        <v>offset 33</v>
      </c>
    </row>
    <row r="6688" customFormat="false" ht="12.8" hidden="false" customHeight="false" outlineLevel="0" collapsed="false">
      <c r="A6688" s="0" t="s">
        <v>12</v>
      </c>
      <c r="B6688" s="0" t="n">
        <v>2114785</v>
      </c>
      <c r="C6688" s="0" t="n">
        <v>2114805</v>
      </c>
      <c r="D6688" s="0" t="s">
        <v>22267</v>
      </c>
      <c r="E6688" s="0" t="s">
        <v>75</v>
      </c>
      <c r="F6688" s="0" t="s">
        <v>90</v>
      </c>
      <c r="G6688" s="0" t="s">
        <v>36</v>
      </c>
      <c r="H6688" s="0" t="n">
        <v>55</v>
      </c>
      <c r="I6688" s="0" t="s">
        <v>22274</v>
      </c>
      <c r="J6688" s="0" t="s">
        <v>22275</v>
      </c>
      <c r="K6688" s="0" t="s">
        <v>22276</v>
      </c>
      <c r="L6688" s="0" t="str">
        <f aca="false">HYPERLINK("https://www.ncbi.nlm.nih.gov/nuccore/CP000058.1?report=graph&amp;tracks=[key:gene_model_track,Options:GeneOnly]&amp;mk=2114831:2114850|offset_10|444444,2114808:2114827|offset_33|444444,2114786:2114805|offset_55|00cc00,2114761:2114780|offset_80|444444&amp;v=2114630:2114980&amp;c=444444", "offset 55")</f>
        <v>offset 55</v>
      </c>
    </row>
    <row r="6689" customFormat="false" ht="12.8" hidden="false" customHeight="false" outlineLevel="0" collapsed="false">
      <c r="A6689" s="0" t="s">
        <v>12</v>
      </c>
      <c r="B6689" s="0" t="n">
        <v>2114760</v>
      </c>
      <c r="C6689" s="0" t="n">
        <v>2114780</v>
      </c>
      <c r="D6689" s="0" t="s">
        <v>22267</v>
      </c>
      <c r="E6689" s="0" t="s">
        <v>75</v>
      </c>
      <c r="F6689" s="0" t="s">
        <v>90</v>
      </c>
      <c r="G6689" s="0" t="s">
        <v>20</v>
      </c>
      <c r="H6689" s="0" t="n">
        <v>80</v>
      </c>
      <c r="I6689" s="0" t="s">
        <v>22277</v>
      </c>
      <c r="J6689" s="0" t="s">
        <v>22278</v>
      </c>
      <c r="K6689" s="0" t="s">
        <v>22279</v>
      </c>
      <c r="L6689" s="0" t="str">
        <f aca="false">HYPERLINK("https://www.ncbi.nlm.nih.gov/nuccore/CP000058.1?report=graph&amp;tracks=[key:gene_model_track,Options:GeneOnly]&amp;mk=2114831:2114850|offset_10|444444,2114808:2114827|offset_33|444444,2114786:2114805|offset_55|444444,2114761:2114780|offset_80|00cc00&amp;v=2114630:2114980&amp;c=444444", "offset 80")</f>
        <v>offset 80</v>
      </c>
    </row>
    <row r="6690" customFormat="false" ht="12.8" hidden="false" customHeight="false" outlineLevel="0" collapsed="false">
      <c r="A6690" s="0" t="s">
        <v>12</v>
      </c>
      <c r="B6690" s="0" t="n">
        <v>2115008</v>
      </c>
      <c r="C6690" s="0" t="n">
        <v>2115028</v>
      </c>
      <c r="D6690" s="0" t="s">
        <v>22280</v>
      </c>
      <c r="E6690" s="0" t="s">
        <v>22281</v>
      </c>
      <c r="F6690" s="0" t="s">
        <v>15</v>
      </c>
      <c r="G6690" s="0" t="s">
        <v>16</v>
      </c>
      <c r="H6690" s="0" t="n">
        <v>7</v>
      </c>
      <c r="I6690" s="0" t="s">
        <v>22282</v>
      </c>
      <c r="J6690" s="0" t="s">
        <v>22283</v>
      </c>
      <c r="K6690" s="0" t="s">
        <v>22284</v>
      </c>
      <c r="L6690" s="0" t="str">
        <f aca="false">HYPERLINK("https://www.ncbi.nlm.nih.gov/nuccore/CP000058.1?report=graph&amp;tracks=[key:gene_model_track,Options:GeneOnly]&amp;mk=2115009:2115028|offset_7|00cc00,2115042:2115061|offset_40|444444,2115064:2115083|offset_62|444444,2115094:2115113|offset_92|444444&amp;v=2114808:2115313&amp;c=444444", "offset 7")</f>
        <v>offset 7</v>
      </c>
    </row>
    <row r="6691" customFormat="false" ht="12.8" hidden="false" customHeight="false" outlineLevel="0" collapsed="false">
      <c r="A6691" s="0" t="s">
        <v>12</v>
      </c>
      <c r="B6691" s="0" t="n">
        <v>2115041</v>
      </c>
      <c r="C6691" s="0" t="n">
        <v>2115061</v>
      </c>
      <c r="D6691" s="0" t="s">
        <v>22280</v>
      </c>
      <c r="E6691" s="0" t="s">
        <v>22281</v>
      </c>
      <c r="F6691" s="0" t="s">
        <v>15</v>
      </c>
      <c r="G6691" s="0" t="s">
        <v>32</v>
      </c>
      <c r="H6691" s="0" t="n">
        <v>40</v>
      </c>
      <c r="I6691" s="0" t="s">
        <v>22285</v>
      </c>
      <c r="J6691" s="0" t="s">
        <v>22286</v>
      </c>
      <c r="K6691" s="0" t="s">
        <v>22287</v>
      </c>
      <c r="L6691" s="0" t="str">
        <f aca="false">HYPERLINK("https://www.ncbi.nlm.nih.gov/nuccore/CP000058.1?report=graph&amp;tracks=[key:gene_model_track,Options:GeneOnly]&amp;mk=2115009:2115028|offset_7|444444,2115042:2115061|offset_40|00cc00,2115064:2115083|offset_62|444444,2115094:2115113|offset_92|444444&amp;v=2114808:2115313&amp;c=444444", "offset 40")</f>
        <v>offset 40</v>
      </c>
    </row>
    <row r="6692" customFormat="false" ht="12.8" hidden="false" customHeight="false" outlineLevel="0" collapsed="false">
      <c r="A6692" s="0" t="s">
        <v>12</v>
      </c>
      <c r="B6692" s="0" t="n">
        <v>2115063</v>
      </c>
      <c r="C6692" s="0" t="n">
        <v>2115083</v>
      </c>
      <c r="D6692" s="0" t="s">
        <v>22280</v>
      </c>
      <c r="E6692" s="0" t="s">
        <v>22281</v>
      </c>
      <c r="F6692" s="0" t="s">
        <v>15</v>
      </c>
      <c r="G6692" s="0" t="s">
        <v>36</v>
      </c>
      <c r="H6692" s="0" t="n">
        <v>62</v>
      </c>
      <c r="I6692" s="0" t="s">
        <v>22288</v>
      </c>
      <c r="J6692" s="0" t="s">
        <v>22289</v>
      </c>
      <c r="K6692" s="0" t="s">
        <v>22290</v>
      </c>
      <c r="L6692" s="0" t="str">
        <f aca="false">HYPERLINK("https://www.ncbi.nlm.nih.gov/nuccore/CP000058.1?report=graph&amp;tracks=[key:gene_model_track,Options:GeneOnly]&amp;mk=2115009:2115028|offset_7|444444,2115042:2115061|offset_40|444444,2115064:2115083|offset_62|00cc00,2115094:2115113|offset_92|444444&amp;v=2114808:2115313&amp;c=444444", "offset 62")</f>
        <v>offset 62</v>
      </c>
    </row>
    <row r="6693" customFormat="false" ht="12.8" hidden="false" customHeight="false" outlineLevel="0" collapsed="false">
      <c r="A6693" s="0" t="s">
        <v>12</v>
      </c>
      <c r="B6693" s="0" t="n">
        <v>2115093</v>
      </c>
      <c r="C6693" s="0" t="n">
        <v>2115113</v>
      </c>
      <c r="D6693" s="0" t="s">
        <v>22280</v>
      </c>
      <c r="E6693" s="0" t="s">
        <v>22281</v>
      </c>
      <c r="F6693" s="0" t="s">
        <v>15</v>
      </c>
      <c r="G6693" s="0" t="s">
        <v>36</v>
      </c>
      <c r="H6693" s="0" t="n">
        <v>92</v>
      </c>
      <c r="I6693" s="0" t="s">
        <v>22291</v>
      </c>
      <c r="J6693" s="0" t="s">
        <v>22292</v>
      </c>
      <c r="K6693" s="0" t="s">
        <v>22293</v>
      </c>
      <c r="L6693" s="0" t="str">
        <f aca="false">HYPERLINK("https://www.ncbi.nlm.nih.gov/nuccore/CP000058.1?report=graph&amp;tracks=[key:gene_model_track,Options:GeneOnly]&amp;mk=2115009:2115028|offset_7|444444,2115042:2115061|offset_40|444444,2115064:2115083|offset_62|444444,2115094:2115113|offset_92|00cc00&amp;v=2114808:2115313&amp;c=444444", "offset 92")</f>
        <v>offset 92</v>
      </c>
    </row>
    <row r="6694" customFormat="false" ht="12.8" hidden="false" customHeight="false" outlineLevel="0" collapsed="false">
      <c r="A6694" s="0" t="s">
        <v>12</v>
      </c>
      <c r="B6694" s="0" t="n">
        <v>2116139</v>
      </c>
      <c r="C6694" s="0" t="n">
        <v>2116159</v>
      </c>
      <c r="D6694" s="0" t="s">
        <v>22294</v>
      </c>
      <c r="E6694" s="0" t="s">
        <v>75</v>
      </c>
      <c r="F6694" s="0" t="s">
        <v>15</v>
      </c>
      <c r="G6694" s="0" t="s">
        <v>16</v>
      </c>
      <c r="H6694" s="0" t="n">
        <v>16</v>
      </c>
      <c r="I6694" s="0" t="s">
        <v>22295</v>
      </c>
      <c r="J6694" s="0" t="s">
        <v>22296</v>
      </c>
      <c r="K6694" s="0" t="s">
        <v>22297</v>
      </c>
      <c r="L6694" s="0" t="str">
        <f aca="false">HYPERLINK("https://www.ncbi.nlm.nih.gov/nuccore/CP000058.1?report=graph&amp;tracks=[key:gene_model_track,Options:GeneOnly]&amp;mk=2116140:2116159|offset_16|00cc00,2116170:2116189|offset_46|444444,2116204:2116223|offset_80|444444,2116224:2116243|offset_100|444444&amp;v=2115939:2116443&amp;c=444444", "offset 16")</f>
        <v>offset 16</v>
      </c>
    </row>
    <row r="6695" customFormat="false" ht="12.8" hidden="false" customHeight="false" outlineLevel="0" collapsed="false">
      <c r="A6695" s="0" t="s">
        <v>12</v>
      </c>
      <c r="B6695" s="0" t="n">
        <v>2116169</v>
      </c>
      <c r="C6695" s="0" t="n">
        <v>2116189</v>
      </c>
      <c r="D6695" s="0" t="s">
        <v>22294</v>
      </c>
      <c r="E6695" s="0" t="s">
        <v>75</v>
      </c>
      <c r="F6695" s="0" t="s">
        <v>15</v>
      </c>
      <c r="G6695" s="0" t="s">
        <v>16</v>
      </c>
      <c r="H6695" s="0" t="n">
        <v>46</v>
      </c>
      <c r="I6695" s="0" t="s">
        <v>22298</v>
      </c>
      <c r="J6695" s="0" t="s">
        <v>22299</v>
      </c>
      <c r="K6695" s="0" t="s">
        <v>22300</v>
      </c>
      <c r="L6695" s="0" t="str">
        <f aca="false">HYPERLINK("https://www.ncbi.nlm.nih.gov/nuccore/CP000058.1?report=graph&amp;tracks=[key:gene_model_track,Options:GeneOnly]&amp;mk=2116140:2116159|offset_16|444444,2116170:2116189|offset_46|00cc00,2116204:2116223|offset_80|444444,2116224:2116243|offset_100|444444&amp;v=2115939:2116443&amp;c=444444", "offset 46")</f>
        <v>offset 46</v>
      </c>
    </row>
    <row r="6696" customFormat="false" ht="12.8" hidden="false" customHeight="false" outlineLevel="0" collapsed="false">
      <c r="A6696" s="0" t="s">
        <v>12</v>
      </c>
      <c r="B6696" s="0" t="n">
        <v>2116203</v>
      </c>
      <c r="C6696" s="0" t="n">
        <v>2116223</v>
      </c>
      <c r="D6696" s="0" t="s">
        <v>22294</v>
      </c>
      <c r="E6696" s="0" t="s">
        <v>75</v>
      </c>
      <c r="F6696" s="0" t="s">
        <v>15</v>
      </c>
      <c r="G6696" s="0" t="s">
        <v>20</v>
      </c>
      <c r="H6696" s="0" t="n">
        <v>80</v>
      </c>
      <c r="I6696" s="0" t="s">
        <v>22301</v>
      </c>
      <c r="J6696" s="0" t="s">
        <v>22302</v>
      </c>
      <c r="K6696" s="0" t="s">
        <v>22303</v>
      </c>
      <c r="L6696" s="0" t="str">
        <f aca="false">HYPERLINK("https://www.ncbi.nlm.nih.gov/nuccore/CP000058.1?report=graph&amp;tracks=[key:gene_model_track,Options:GeneOnly]&amp;mk=2116140:2116159|offset_16|444444,2116170:2116189|offset_46|444444,2116204:2116223|offset_80|00cc00,2116224:2116243|offset_100|444444&amp;v=2115939:2116443&amp;c=444444", "offset 80")</f>
        <v>offset 80</v>
      </c>
    </row>
    <row r="6697" customFormat="false" ht="12.8" hidden="false" customHeight="false" outlineLevel="0" collapsed="false">
      <c r="A6697" s="0" t="s">
        <v>12</v>
      </c>
      <c r="B6697" s="0" t="n">
        <v>2116223</v>
      </c>
      <c r="C6697" s="0" t="n">
        <v>2116243</v>
      </c>
      <c r="D6697" s="0" t="s">
        <v>22294</v>
      </c>
      <c r="E6697" s="0" t="s">
        <v>75</v>
      </c>
      <c r="F6697" s="0" t="s">
        <v>15</v>
      </c>
      <c r="G6697" s="0" t="s">
        <v>36</v>
      </c>
      <c r="H6697" s="0" t="n">
        <v>100</v>
      </c>
      <c r="I6697" s="0" t="s">
        <v>22304</v>
      </c>
      <c r="J6697" s="0" t="s">
        <v>22305</v>
      </c>
      <c r="K6697" s="0" t="s">
        <v>22306</v>
      </c>
      <c r="L6697" s="0" t="str">
        <f aca="false">HYPERLINK("https://www.ncbi.nlm.nih.gov/nuccore/CP000058.1?report=graph&amp;tracks=[key:gene_model_track,Options:GeneOnly]&amp;mk=2116140:2116159|offset_16|444444,2116170:2116189|offset_46|444444,2116204:2116223|offset_80|444444,2116224:2116243|offset_100|00cc00&amp;v=2115939:2116443&amp;c=444444", "offset 100")</f>
        <v>offset 100</v>
      </c>
    </row>
    <row r="6698" customFormat="false" ht="12.8" hidden="false" customHeight="false" outlineLevel="0" collapsed="false">
      <c r="A6698" s="0" t="s">
        <v>12</v>
      </c>
      <c r="B6698" s="0" t="n">
        <v>2117291</v>
      </c>
      <c r="C6698" s="0" t="n">
        <v>2117311</v>
      </c>
      <c r="D6698" s="0" t="s">
        <v>22307</v>
      </c>
      <c r="E6698" s="0" t="s">
        <v>75</v>
      </c>
      <c r="F6698" s="0" t="s">
        <v>15</v>
      </c>
      <c r="G6698" s="0" t="s">
        <v>16</v>
      </c>
      <c r="H6698" s="0" t="n">
        <v>8</v>
      </c>
      <c r="I6698" s="0" t="s">
        <v>22308</v>
      </c>
      <c r="J6698" s="0" t="s">
        <v>22309</v>
      </c>
      <c r="K6698" s="0" t="s">
        <v>22310</v>
      </c>
      <c r="L6698" s="0" t="str">
        <f aca="false">HYPERLINK("https://www.ncbi.nlm.nih.gov/nuccore/CP000058.1?report=graph&amp;tracks=[key:gene_model_track,Options:GeneOnly]&amp;mk=2117292:2117311|offset_8|00cc00,2117324:2117343|offset_40|444444,2117360:2117379|offset_76|444444,2117393:2117412|offset_109|444444&amp;v=2117091:2117612&amp;c=444444", "offset 8")</f>
        <v>offset 8</v>
      </c>
    </row>
    <row r="6699" customFormat="false" ht="12.8" hidden="false" customHeight="false" outlineLevel="0" collapsed="false">
      <c r="A6699" s="0" t="s">
        <v>12</v>
      </c>
      <c r="B6699" s="0" t="n">
        <v>2117323</v>
      </c>
      <c r="C6699" s="0" t="n">
        <v>2117343</v>
      </c>
      <c r="D6699" s="0" t="s">
        <v>22307</v>
      </c>
      <c r="E6699" s="0" t="s">
        <v>75</v>
      </c>
      <c r="F6699" s="0" t="s">
        <v>15</v>
      </c>
      <c r="G6699" s="0" t="s">
        <v>16</v>
      </c>
      <c r="H6699" s="0" t="n">
        <v>40</v>
      </c>
      <c r="I6699" s="0" t="s">
        <v>22311</v>
      </c>
      <c r="J6699" s="0" t="s">
        <v>22312</v>
      </c>
      <c r="K6699" s="0" t="s">
        <v>22313</v>
      </c>
      <c r="L6699" s="0" t="str">
        <f aca="false">HYPERLINK("https://www.ncbi.nlm.nih.gov/nuccore/CP000058.1?report=graph&amp;tracks=[key:gene_model_track,Options:GeneOnly]&amp;mk=2117292:2117311|offset_8|444444,2117324:2117343|offset_40|00cc00,2117360:2117379|offset_76|444444,2117393:2117412|offset_109|444444&amp;v=2117091:2117612&amp;c=444444", "offset 40")</f>
        <v>offset 40</v>
      </c>
    </row>
    <row r="6700" customFormat="false" ht="12.8" hidden="false" customHeight="false" outlineLevel="0" collapsed="false">
      <c r="A6700" s="0" t="s">
        <v>12</v>
      </c>
      <c r="B6700" s="0" t="n">
        <v>2117359</v>
      </c>
      <c r="C6700" s="0" t="n">
        <v>2117379</v>
      </c>
      <c r="D6700" s="0" t="s">
        <v>22307</v>
      </c>
      <c r="E6700" s="0" t="s">
        <v>75</v>
      </c>
      <c r="F6700" s="0" t="s">
        <v>15</v>
      </c>
      <c r="G6700" s="0" t="s">
        <v>32</v>
      </c>
      <c r="H6700" s="0" t="n">
        <v>76</v>
      </c>
      <c r="I6700" s="0" t="s">
        <v>22314</v>
      </c>
      <c r="J6700" s="0" t="s">
        <v>22315</v>
      </c>
      <c r="K6700" s="0" t="s">
        <v>22316</v>
      </c>
      <c r="L6700" s="0" t="str">
        <f aca="false">HYPERLINK("https://www.ncbi.nlm.nih.gov/nuccore/CP000058.1?report=graph&amp;tracks=[key:gene_model_track,Options:GeneOnly]&amp;mk=2117292:2117311|offset_8|444444,2117324:2117343|offset_40|444444,2117360:2117379|offset_76|00cc00,2117393:2117412|offset_109|444444&amp;v=2117091:2117612&amp;c=444444", "offset 76")</f>
        <v>offset 76</v>
      </c>
    </row>
    <row r="6701" customFormat="false" ht="12.8" hidden="false" customHeight="false" outlineLevel="0" collapsed="false">
      <c r="A6701" s="0" t="s">
        <v>12</v>
      </c>
      <c r="B6701" s="0" t="n">
        <v>2117392</v>
      </c>
      <c r="C6701" s="0" t="n">
        <v>2117412</v>
      </c>
      <c r="D6701" s="0" t="s">
        <v>22307</v>
      </c>
      <c r="E6701" s="0" t="s">
        <v>75</v>
      </c>
      <c r="F6701" s="0" t="s">
        <v>15</v>
      </c>
      <c r="G6701" s="0" t="s">
        <v>32</v>
      </c>
      <c r="H6701" s="0" t="n">
        <v>109</v>
      </c>
      <c r="I6701" s="0" t="s">
        <v>22317</v>
      </c>
      <c r="J6701" s="0" t="s">
        <v>22318</v>
      </c>
      <c r="K6701" s="0" t="s">
        <v>22319</v>
      </c>
      <c r="L6701" s="0" t="str">
        <f aca="false">HYPERLINK("https://www.ncbi.nlm.nih.gov/nuccore/CP000058.1?report=graph&amp;tracks=[key:gene_model_track,Options:GeneOnly]&amp;mk=2117292:2117311|offset_8|444444,2117324:2117343|offset_40|444444,2117360:2117379|offset_76|444444,2117393:2117412|offset_109|00cc00&amp;v=2117091:2117612&amp;c=444444", "offset 109")</f>
        <v>offset 109</v>
      </c>
    </row>
    <row r="6702" customFormat="false" ht="12.8" hidden="false" customHeight="false" outlineLevel="0" collapsed="false">
      <c r="A6702" s="0" t="s">
        <v>12</v>
      </c>
      <c r="B6702" s="0" t="n">
        <v>2117981</v>
      </c>
      <c r="C6702" s="0" t="n">
        <v>2118001</v>
      </c>
      <c r="D6702" s="0" t="s">
        <v>22320</v>
      </c>
      <c r="E6702" s="0" t="s">
        <v>75</v>
      </c>
      <c r="F6702" s="0" t="s">
        <v>15</v>
      </c>
      <c r="G6702" s="0" t="s">
        <v>32</v>
      </c>
      <c r="H6702" s="0" t="n">
        <v>1</v>
      </c>
      <c r="I6702" s="0" t="s">
        <v>22321</v>
      </c>
      <c r="J6702" s="0" t="s">
        <v>22322</v>
      </c>
      <c r="K6702" s="0" t="s">
        <v>22323</v>
      </c>
      <c r="L6702" s="0" t="str">
        <f aca="false">HYPERLINK("https://www.ncbi.nlm.nih.gov/nuccore/CP000058.1?report=graph&amp;tracks=[key:gene_model_track,Options:GeneOnly]&amp;mk=2117982:2118001|offset_1|00cc00,2118016:2118035|offset_35|444444,2118042:2118061|offset_61|444444,2118113:2118132|offset_132|444444&amp;v=2117781:2118332&amp;c=444444", "offset 1")</f>
        <v>offset 1</v>
      </c>
    </row>
    <row r="6703" customFormat="false" ht="12.8" hidden="false" customHeight="false" outlineLevel="0" collapsed="false">
      <c r="A6703" s="0" t="s">
        <v>12</v>
      </c>
      <c r="B6703" s="0" t="n">
        <v>2118015</v>
      </c>
      <c r="C6703" s="0" t="n">
        <v>2118035</v>
      </c>
      <c r="D6703" s="0" t="s">
        <v>22320</v>
      </c>
      <c r="E6703" s="0" t="s">
        <v>75</v>
      </c>
      <c r="F6703" s="0" t="s">
        <v>15</v>
      </c>
      <c r="G6703" s="0" t="s">
        <v>36</v>
      </c>
      <c r="H6703" s="0" t="n">
        <v>35</v>
      </c>
      <c r="I6703" s="0" t="s">
        <v>22324</v>
      </c>
      <c r="J6703" s="0" t="s">
        <v>22325</v>
      </c>
      <c r="K6703" s="0" t="s">
        <v>22326</v>
      </c>
      <c r="L6703" s="0" t="str">
        <f aca="false">HYPERLINK("https://www.ncbi.nlm.nih.gov/nuccore/CP000058.1?report=graph&amp;tracks=[key:gene_model_track,Options:GeneOnly]&amp;mk=2117982:2118001|offset_1|444444,2118016:2118035|offset_35|00cc00,2118042:2118061|offset_61|444444,2118113:2118132|offset_132|444444&amp;v=2117781:2118332&amp;c=444444", "offset 35")</f>
        <v>offset 35</v>
      </c>
    </row>
    <row r="6704" customFormat="false" ht="12.8" hidden="false" customHeight="false" outlineLevel="0" collapsed="false">
      <c r="A6704" s="0" t="s">
        <v>12</v>
      </c>
      <c r="B6704" s="0" t="n">
        <v>2118041</v>
      </c>
      <c r="C6704" s="0" t="n">
        <v>2118061</v>
      </c>
      <c r="D6704" s="0" t="s">
        <v>22320</v>
      </c>
      <c r="E6704" s="0" t="s">
        <v>75</v>
      </c>
      <c r="F6704" s="0" t="s">
        <v>15</v>
      </c>
      <c r="G6704" s="0" t="s">
        <v>36</v>
      </c>
      <c r="H6704" s="0" t="n">
        <v>61</v>
      </c>
      <c r="I6704" s="0" t="s">
        <v>22327</v>
      </c>
      <c r="J6704" s="0" t="s">
        <v>22328</v>
      </c>
      <c r="K6704" s="0" t="s">
        <v>22329</v>
      </c>
      <c r="L6704" s="0" t="str">
        <f aca="false">HYPERLINK("https://www.ncbi.nlm.nih.gov/nuccore/CP000058.1?report=graph&amp;tracks=[key:gene_model_track,Options:GeneOnly]&amp;mk=2117982:2118001|offset_1|444444,2118016:2118035|offset_35|444444,2118042:2118061|offset_61|00cc00,2118113:2118132|offset_132|444444&amp;v=2117781:2118332&amp;c=444444", "offset 61")</f>
        <v>offset 61</v>
      </c>
    </row>
    <row r="6705" customFormat="false" ht="12.8" hidden="false" customHeight="false" outlineLevel="0" collapsed="false">
      <c r="A6705" s="0" t="s">
        <v>12</v>
      </c>
      <c r="B6705" s="0" t="n">
        <v>2118112</v>
      </c>
      <c r="C6705" s="0" t="n">
        <v>2118132</v>
      </c>
      <c r="D6705" s="0" t="s">
        <v>22320</v>
      </c>
      <c r="E6705" s="0" t="s">
        <v>75</v>
      </c>
      <c r="F6705" s="0" t="s">
        <v>15</v>
      </c>
      <c r="G6705" s="0" t="s">
        <v>32</v>
      </c>
      <c r="H6705" s="0" t="n">
        <v>132</v>
      </c>
      <c r="I6705" s="0" t="s">
        <v>22330</v>
      </c>
      <c r="J6705" s="0" t="s">
        <v>22331</v>
      </c>
      <c r="K6705" s="0" t="s">
        <v>22332</v>
      </c>
      <c r="L6705" s="0" t="str">
        <f aca="false">HYPERLINK("https://www.ncbi.nlm.nih.gov/nuccore/CP000058.1?report=graph&amp;tracks=[key:gene_model_track,Options:GeneOnly]&amp;mk=2117982:2118001|offset_1|444444,2118016:2118035|offset_35|444444,2118042:2118061|offset_61|444444,2118113:2118132|offset_132|00cc00&amp;v=2117781:2118332&amp;c=444444", "offset 132")</f>
        <v>offset 132</v>
      </c>
    </row>
    <row r="6706" customFormat="false" ht="12.8" hidden="false" customHeight="false" outlineLevel="0" collapsed="false">
      <c r="A6706" s="0" t="s">
        <v>12</v>
      </c>
      <c r="B6706" s="0" t="n">
        <v>2118548</v>
      </c>
      <c r="C6706" s="0" t="n">
        <v>2118568</v>
      </c>
      <c r="D6706" s="0" t="s">
        <v>22333</v>
      </c>
      <c r="E6706" s="0" t="s">
        <v>75</v>
      </c>
      <c r="F6706" s="0" t="s">
        <v>15</v>
      </c>
      <c r="G6706" s="0" t="s">
        <v>36</v>
      </c>
      <c r="H6706" s="0" t="n">
        <v>6</v>
      </c>
      <c r="I6706" s="0" t="s">
        <v>22334</v>
      </c>
      <c r="J6706" s="0" t="s">
        <v>22335</v>
      </c>
      <c r="K6706" s="0" t="s">
        <v>22336</v>
      </c>
      <c r="L6706" s="0" t="str">
        <f aca="false">HYPERLINK("https://www.ncbi.nlm.nih.gov/nuccore/CP000058.1?report=graph&amp;tracks=[key:gene_model_track,Options:GeneOnly]&amp;mk=2118549:2118568|offset_6|00cc00,2118583:2118602|offset_40|444444,2118621:2118640|offset_78|444444,2118642:2118661|offset_99|444444&amp;v=2118348:2118861&amp;c=444444", "offset 6")</f>
        <v>offset 6</v>
      </c>
    </row>
    <row r="6707" customFormat="false" ht="12.8" hidden="false" customHeight="false" outlineLevel="0" collapsed="false">
      <c r="A6707" s="0" t="s">
        <v>12</v>
      </c>
      <c r="B6707" s="0" t="n">
        <v>2118582</v>
      </c>
      <c r="C6707" s="0" t="n">
        <v>2118602</v>
      </c>
      <c r="D6707" s="0" t="s">
        <v>22333</v>
      </c>
      <c r="E6707" s="0" t="s">
        <v>75</v>
      </c>
      <c r="F6707" s="0" t="s">
        <v>15</v>
      </c>
      <c r="G6707" s="0" t="s">
        <v>32</v>
      </c>
      <c r="H6707" s="0" t="n">
        <v>40</v>
      </c>
      <c r="I6707" s="0" t="s">
        <v>22337</v>
      </c>
      <c r="J6707" s="0" t="s">
        <v>22338</v>
      </c>
      <c r="K6707" s="0" t="s">
        <v>22339</v>
      </c>
      <c r="L6707" s="0" t="str">
        <f aca="false">HYPERLINK("https://www.ncbi.nlm.nih.gov/nuccore/CP000058.1?report=graph&amp;tracks=[key:gene_model_track,Options:GeneOnly]&amp;mk=2118549:2118568|offset_6|444444,2118583:2118602|offset_40|00cc00,2118621:2118640|offset_78|444444,2118642:2118661|offset_99|444444&amp;v=2118348:2118861&amp;c=444444", "offset 40")</f>
        <v>offset 40</v>
      </c>
    </row>
    <row r="6708" customFormat="false" ht="12.8" hidden="false" customHeight="false" outlineLevel="0" collapsed="false">
      <c r="A6708" s="0" t="s">
        <v>12</v>
      </c>
      <c r="B6708" s="0" t="n">
        <v>2118620</v>
      </c>
      <c r="C6708" s="0" t="n">
        <v>2118640</v>
      </c>
      <c r="D6708" s="0" t="s">
        <v>22333</v>
      </c>
      <c r="E6708" s="0" t="s">
        <v>75</v>
      </c>
      <c r="F6708" s="0" t="s">
        <v>15</v>
      </c>
      <c r="G6708" s="0" t="s">
        <v>16</v>
      </c>
      <c r="H6708" s="0" t="n">
        <v>78</v>
      </c>
      <c r="I6708" s="0" t="s">
        <v>22340</v>
      </c>
      <c r="J6708" s="0" t="s">
        <v>22341</v>
      </c>
      <c r="K6708" s="0" t="s">
        <v>22342</v>
      </c>
      <c r="L6708" s="0" t="str">
        <f aca="false">HYPERLINK("https://www.ncbi.nlm.nih.gov/nuccore/CP000058.1?report=graph&amp;tracks=[key:gene_model_track,Options:GeneOnly]&amp;mk=2118549:2118568|offset_6|444444,2118583:2118602|offset_40|444444,2118621:2118640|offset_78|00cc00,2118642:2118661|offset_99|444444&amp;v=2118348:2118861&amp;c=444444", "offset 78")</f>
        <v>offset 78</v>
      </c>
    </row>
    <row r="6709" customFormat="false" ht="12.8" hidden="false" customHeight="false" outlineLevel="0" collapsed="false">
      <c r="A6709" s="0" t="s">
        <v>12</v>
      </c>
      <c r="B6709" s="0" t="n">
        <v>2118641</v>
      </c>
      <c r="C6709" s="0" t="n">
        <v>2118661</v>
      </c>
      <c r="D6709" s="0" t="s">
        <v>22333</v>
      </c>
      <c r="E6709" s="0" t="s">
        <v>75</v>
      </c>
      <c r="F6709" s="0" t="s">
        <v>15</v>
      </c>
      <c r="G6709" s="0" t="s">
        <v>36</v>
      </c>
      <c r="H6709" s="0" t="n">
        <v>99</v>
      </c>
      <c r="I6709" s="0" t="s">
        <v>22343</v>
      </c>
      <c r="J6709" s="0" t="s">
        <v>22344</v>
      </c>
      <c r="K6709" s="0" t="s">
        <v>22345</v>
      </c>
      <c r="L6709" s="0" t="str">
        <f aca="false">HYPERLINK("https://www.ncbi.nlm.nih.gov/nuccore/CP000058.1?report=graph&amp;tracks=[key:gene_model_track,Options:GeneOnly]&amp;mk=2118549:2118568|offset_6|444444,2118583:2118602|offset_40|444444,2118621:2118640|offset_78|444444,2118642:2118661|offset_99|00cc00&amp;v=2118348:2118861&amp;c=444444", "offset 99")</f>
        <v>offset 99</v>
      </c>
    </row>
    <row r="6710" customFormat="false" ht="12.8" hidden="false" customHeight="false" outlineLevel="0" collapsed="false">
      <c r="A6710" s="0" t="s">
        <v>12</v>
      </c>
      <c r="B6710" s="0" t="n">
        <v>2119284</v>
      </c>
      <c r="C6710" s="0" t="n">
        <v>2119304</v>
      </c>
      <c r="D6710" s="0" t="s">
        <v>22346</v>
      </c>
      <c r="E6710" s="0" t="s">
        <v>75</v>
      </c>
      <c r="F6710" s="0" t="s">
        <v>15</v>
      </c>
      <c r="G6710" s="0" t="s">
        <v>20</v>
      </c>
      <c r="H6710" s="0" t="n">
        <v>14</v>
      </c>
      <c r="I6710" s="0" t="s">
        <v>22347</v>
      </c>
      <c r="J6710" s="0" t="s">
        <v>22348</v>
      </c>
      <c r="K6710" s="0" t="s">
        <v>22349</v>
      </c>
      <c r="L6710" s="0" t="str">
        <f aca="false">HYPERLINK("https://www.ncbi.nlm.nih.gov/nuccore/CP000058.1?report=graph&amp;tracks=[key:gene_model_track,Options:GeneOnly]&amp;mk=2119285:2119304|offset_14|00cc00&amp;v=2119084:2119504&amp;c=444444", "offset 14")</f>
        <v>offset 14</v>
      </c>
    </row>
    <row r="6711" customFormat="false" ht="12.8" hidden="false" customHeight="false" outlineLevel="0" collapsed="false">
      <c r="A6711" s="0" t="s">
        <v>12</v>
      </c>
      <c r="B6711" s="0" t="n">
        <v>2119496</v>
      </c>
      <c r="C6711" s="0" t="n">
        <v>2119516</v>
      </c>
      <c r="D6711" s="0" t="s">
        <v>22350</v>
      </c>
      <c r="E6711" s="0" t="s">
        <v>75</v>
      </c>
      <c r="F6711" s="0" t="s">
        <v>15</v>
      </c>
      <c r="G6711" s="0" t="s">
        <v>32</v>
      </c>
      <c r="H6711" s="0" t="n">
        <v>13</v>
      </c>
      <c r="I6711" s="0" t="s">
        <v>22351</v>
      </c>
      <c r="J6711" s="0" t="s">
        <v>22352</v>
      </c>
      <c r="K6711" s="0" t="s">
        <v>22353</v>
      </c>
      <c r="L6711" s="0" t="str">
        <f aca="false">HYPERLINK("https://www.ncbi.nlm.nih.gov/nuccore/CP000058.1?report=graph&amp;tracks=[key:gene_model_track,Options:GeneOnly]&amp;mk=2119497:2119516|offset_13|00cc00,2119567:2119586|offset_83|444444,2119587:2119606|offset_103|444444,2119649:2119668|offset_165|444444&amp;v=2119296:2119868&amp;c=444444", "offset 13")</f>
        <v>offset 13</v>
      </c>
    </row>
    <row r="6712" customFormat="false" ht="12.8" hidden="false" customHeight="false" outlineLevel="0" collapsed="false">
      <c r="A6712" s="0" t="s">
        <v>12</v>
      </c>
      <c r="B6712" s="0" t="n">
        <v>2119566</v>
      </c>
      <c r="C6712" s="0" t="n">
        <v>2119586</v>
      </c>
      <c r="D6712" s="0" t="s">
        <v>22350</v>
      </c>
      <c r="E6712" s="0" t="s">
        <v>75</v>
      </c>
      <c r="F6712" s="0" t="s">
        <v>15</v>
      </c>
      <c r="G6712" s="0" t="s">
        <v>32</v>
      </c>
      <c r="H6712" s="0" t="n">
        <v>83</v>
      </c>
      <c r="I6712" s="0" t="s">
        <v>22354</v>
      </c>
      <c r="J6712" s="0" t="s">
        <v>22355</v>
      </c>
      <c r="K6712" s="0" t="s">
        <v>22356</v>
      </c>
      <c r="L6712" s="0" t="str">
        <f aca="false">HYPERLINK("https://www.ncbi.nlm.nih.gov/nuccore/CP000058.1?report=graph&amp;tracks=[key:gene_model_track,Options:GeneOnly]&amp;mk=2119497:2119516|offset_13|444444,2119567:2119586|offset_83|00cc00,2119587:2119606|offset_103|444444,2119649:2119668|offset_165|444444&amp;v=2119296:2119868&amp;c=444444", "offset 83")</f>
        <v>offset 83</v>
      </c>
    </row>
    <row r="6713" customFormat="false" ht="12.8" hidden="false" customHeight="false" outlineLevel="0" collapsed="false">
      <c r="A6713" s="0" t="s">
        <v>12</v>
      </c>
      <c r="B6713" s="0" t="n">
        <v>2119586</v>
      </c>
      <c r="C6713" s="0" t="n">
        <v>2119606</v>
      </c>
      <c r="D6713" s="0" t="s">
        <v>22350</v>
      </c>
      <c r="E6713" s="0" t="s">
        <v>75</v>
      </c>
      <c r="F6713" s="0" t="s">
        <v>15</v>
      </c>
      <c r="G6713" s="0" t="s">
        <v>36</v>
      </c>
      <c r="H6713" s="0" t="n">
        <v>103</v>
      </c>
      <c r="I6713" s="0" t="s">
        <v>22357</v>
      </c>
      <c r="J6713" s="0" t="s">
        <v>22358</v>
      </c>
      <c r="K6713" s="0" t="s">
        <v>22359</v>
      </c>
      <c r="L6713" s="0" t="str">
        <f aca="false">HYPERLINK("https://www.ncbi.nlm.nih.gov/nuccore/CP000058.1?report=graph&amp;tracks=[key:gene_model_track,Options:GeneOnly]&amp;mk=2119497:2119516|offset_13|444444,2119567:2119586|offset_83|444444,2119587:2119606|offset_103|00cc00,2119649:2119668|offset_165|444444&amp;v=2119296:2119868&amp;c=444444", "offset 103")</f>
        <v>offset 103</v>
      </c>
    </row>
    <row r="6714" customFormat="false" ht="12.8" hidden="false" customHeight="false" outlineLevel="0" collapsed="false">
      <c r="A6714" s="0" t="s">
        <v>12</v>
      </c>
      <c r="B6714" s="0" t="n">
        <v>2119648</v>
      </c>
      <c r="C6714" s="0" t="n">
        <v>2119668</v>
      </c>
      <c r="D6714" s="0" t="s">
        <v>22350</v>
      </c>
      <c r="E6714" s="0" t="s">
        <v>75</v>
      </c>
      <c r="F6714" s="0" t="s">
        <v>15</v>
      </c>
      <c r="G6714" s="0" t="s">
        <v>16</v>
      </c>
      <c r="H6714" s="0" t="n">
        <v>165</v>
      </c>
      <c r="I6714" s="0" t="s">
        <v>22360</v>
      </c>
      <c r="J6714" s="0" t="s">
        <v>22361</v>
      </c>
      <c r="K6714" s="0" t="s">
        <v>22362</v>
      </c>
      <c r="L6714" s="0" t="str">
        <f aca="false">HYPERLINK("https://www.ncbi.nlm.nih.gov/nuccore/CP000058.1?report=graph&amp;tracks=[key:gene_model_track,Options:GeneOnly]&amp;mk=2119497:2119516|offset_13|444444,2119567:2119586|offset_83|444444,2119587:2119606|offset_103|444444,2119649:2119668|offset_165|00cc00&amp;v=2119296:2119868&amp;c=444444", "offset 165")</f>
        <v>offset 165</v>
      </c>
    </row>
    <row r="6715" customFormat="false" ht="12.8" hidden="false" customHeight="false" outlineLevel="0" collapsed="false">
      <c r="A6715" s="0" t="s">
        <v>12</v>
      </c>
      <c r="B6715" s="0" t="n">
        <v>2120543</v>
      </c>
      <c r="C6715" s="0" t="n">
        <v>2120563</v>
      </c>
      <c r="D6715" s="0" t="s">
        <v>22363</v>
      </c>
      <c r="E6715" s="0" t="s">
        <v>75</v>
      </c>
      <c r="F6715" s="0" t="s">
        <v>90</v>
      </c>
      <c r="G6715" s="0" t="s">
        <v>16</v>
      </c>
      <c r="H6715" s="0" t="n">
        <v>31</v>
      </c>
      <c r="I6715" s="0" t="s">
        <v>22364</v>
      </c>
      <c r="J6715" s="0" t="s">
        <v>22365</v>
      </c>
      <c r="K6715" s="0" t="s">
        <v>22366</v>
      </c>
      <c r="L6715" s="0" t="str">
        <f aca="false">HYPERLINK("https://www.ncbi.nlm.nih.gov/nuccore/CP000058.1?report=graph&amp;tracks=[key:gene_model_track,Options:GeneOnly]&amp;mk=2120544:2120563|offset_31|00cc00,2120520:2120539|offset_55|444444,2120456:2120475|offset_119|444444,2120422:2120441|offset_153|444444&amp;v=2120343:2120641&amp;c=444444", "offset 31")</f>
        <v>offset 31</v>
      </c>
    </row>
    <row r="6716" customFormat="false" ht="12.8" hidden="false" customHeight="false" outlineLevel="0" collapsed="false">
      <c r="A6716" s="0" t="s">
        <v>12</v>
      </c>
      <c r="B6716" s="0" t="n">
        <v>2120519</v>
      </c>
      <c r="C6716" s="0" t="n">
        <v>2120539</v>
      </c>
      <c r="D6716" s="0" t="s">
        <v>22363</v>
      </c>
      <c r="E6716" s="0" t="s">
        <v>75</v>
      </c>
      <c r="F6716" s="0" t="s">
        <v>90</v>
      </c>
      <c r="G6716" s="0" t="s">
        <v>32</v>
      </c>
      <c r="H6716" s="0" t="n">
        <v>55</v>
      </c>
      <c r="I6716" s="0" t="s">
        <v>22367</v>
      </c>
      <c r="J6716" s="0" t="s">
        <v>22368</v>
      </c>
      <c r="K6716" s="0" t="s">
        <v>22369</v>
      </c>
      <c r="L6716" s="0" t="str">
        <f aca="false">HYPERLINK("https://www.ncbi.nlm.nih.gov/nuccore/CP000058.1?report=graph&amp;tracks=[key:gene_model_track,Options:GeneOnly]&amp;mk=2120544:2120563|offset_31|444444,2120520:2120539|offset_55|00cc00,2120456:2120475|offset_119|444444,2120422:2120441|offset_153|444444&amp;v=2120343:2120641&amp;c=444444", "offset 55")</f>
        <v>offset 55</v>
      </c>
    </row>
    <row r="6717" customFormat="false" ht="12.8" hidden="false" customHeight="false" outlineLevel="0" collapsed="false">
      <c r="A6717" s="0" t="s">
        <v>12</v>
      </c>
      <c r="B6717" s="0" t="n">
        <v>2120455</v>
      </c>
      <c r="C6717" s="0" t="n">
        <v>2120475</v>
      </c>
      <c r="D6717" s="0" t="s">
        <v>22363</v>
      </c>
      <c r="E6717" s="0" t="s">
        <v>75</v>
      </c>
      <c r="F6717" s="0" t="s">
        <v>90</v>
      </c>
      <c r="G6717" s="0" t="s">
        <v>16</v>
      </c>
      <c r="H6717" s="0" t="n">
        <v>119</v>
      </c>
      <c r="I6717" s="0" t="s">
        <v>22370</v>
      </c>
      <c r="J6717" s="0" t="s">
        <v>22371</v>
      </c>
      <c r="K6717" s="0" t="s">
        <v>22372</v>
      </c>
      <c r="L6717" s="0" t="str">
        <f aca="false">HYPERLINK("https://www.ncbi.nlm.nih.gov/nuccore/CP000058.1?report=graph&amp;tracks=[key:gene_model_track,Options:GeneOnly]&amp;mk=2120544:2120563|offset_31|444444,2120520:2120539|offset_55|444444,2120456:2120475|offset_119|00cc00,2120422:2120441|offset_153|444444&amp;v=2120343:2120641&amp;c=444444", "offset 119")</f>
        <v>offset 119</v>
      </c>
    </row>
    <row r="6718" customFormat="false" ht="12.8" hidden="false" customHeight="false" outlineLevel="0" collapsed="false">
      <c r="A6718" s="0" t="s">
        <v>12</v>
      </c>
      <c r="B6718" s="0" t="n">
        <v>2120421</v>
      </c>
      <c r="C6718" s="0" t="n">
        <v>2120441</v>
      </c>
      <c r="D6718" s="0" t="s">
        <v>22363</v>
      </c>
      <c r="E6718" s="0" t="s">
        <v>75</v>
      </c>
      <c r="F6718" s="0" t="s">
        <v>90</v>
      </c>
      <c r="G6718" s="0" t="s">
        <v>16</v>
      </c>
      <c r="H6718" s="0" t="n">
        <v>153</v>
      </c>
      <c r="I6718" s="0" t="s">
        <v>22373</v>
      </c>
      <c r="J6718" s="0" t="s">
        <v>22374</v>
      </c>
      <c r="K6718" s="0" t="s">
        <v>22375</v>
      </c>
      <c r="L6718" s="0" t="str">
        <f aca="false">HYPERLINK("https://www.ncbi.nlm.nih.gov/nuccore/CP000058.1?report=graph&amp;tracks=[key:gene_model_track,Options:GeneOnly]&amp;mk=2120544:2120563|offset_31|444444,2120520:2120539|offset_55|444444,2120456:2120475|offset_119|444444,2120422:2120441|offset_153|00cc00&amp;v=2120343:2120641&amp;c=444444", "offset 153")</f>
        <v>offset 153</v>
      </c>
    </row>
    <row r="6719" customFormat="false" ht="12.8" hidden="false" customHeight="false" outlineLevel="0" collapsed="false">
      <c r="A6719" s="0" t="s">
        <v>12</v>
      </c>
      <c r="B6719" s="0" t="n">
        <v>2120947</v>
      </c>
      <c r="C6719" s="0" t="n">
        <v>2120967</v>
      </c>
      <c r="D6719" s="0" t="s">
        <v>22376</v>
      </c>
      <c r="E6719" s="0" t="s">
        <v>75</v>
      </c>
      <c r="F6719" s="0" t="s">
        <v>15</v>
      </c>
      <c r="G6719" s="0" t="s">
        <v>16</v>
      </c>
      <c r="H6719" s="0" t="n">
        <v>7</v>
      </c>
      <c r="I6719" s="0" t="s">
        <v>22377</v>
      </c>
      <c r="J6719" s="0" t="s">
        <v>22378</v>
      </c>
      <c r="K6719" s="0" t="s">
        <v>22379</v>
      </c>
      <c r="L6719" s="0" t="str">
        <f aca="false">HYPERLINK("https://www.ncbi.nlm.nih.gov/nuccore/CP000058.1?report=graph&amp;tracks=[key:gene_model_track,Options:GeneOnly]&amp;mk=2120948:2120967|offset_7|00cc00,2120975:2120994|offset_34|444444,2121005:2121024|offset_64|444444,2121030:2121049|offset_89|444444&amp;v=2120747:2121249&amp;c=444444", "offset 7")</f>
        <v>offset 7</v>
      </c>
    </row>
    <row r="6720" customFormat="false" ht="12.8" hidden="false" customHeight="false" outlineLevel="0" collapsed="false">
      <c r="A6720" s="0" t="s">
        <v>12</v>
      </c>
      <c r="B6720" s="0" t="n">
        <v>2120974</v>
      </c>
      <c r="C6720" s="0" t="n">
        <v>2120994</v>
      </c>
      <c r="D6720" s="0" t="s">
        <v>22376</v>
      </c>
      <c r="E6720" s="0" t="s">
        <v>75</v>
      </c>
      <c r="F6720" s="0" t="s">
        <v>15</v>
      </c>
      <c r="G6720" s="0" t="s">
        <v>32</v>
      </c>
      <c r="H6720" s="0" t="n">
        <v>34</v>
      </c>
      <c r="I6720" s="0" t="s">
        <v>22380</v>
      </c>
      <c r="J6720" s="0" t="s">
        <v>22381</v>
      </c>
      <c r="K6720" s="0" t="s">
        <v>22382</v>
      </c>
      <c r="L6720" s="0" t="str">
        <f aca="false">HYPERLINK("https://www.ncbi.nlm.nih.gov/nuccore/CP000058.1?report=graph&amp;tracks=[key:gene_model_track,Options:GeneOnly]&amp;mk=2120948:2120967|offset_7|444444,2120975:2120994|offset_34|00cc00,2121005:2121024|offset_64|444444,2121030:2121049|offset_89|444444&amp;v=2120747:2121249&amp;c=444444", "offset 34")</f>
        <v>offset 34</v>
      </c>
    </row>
    <row r="6721" customFormat="false" ht="12.8" hidden="false" customHeight="false" outlineLevel="0" collapsed="false">
      <c r="A6721" s="0" t="s">
        <v>12</v>
      </c>
      <c r="B6721" s="0" t="n">
        <v>2121004</v>
      </c>
      <c r="C6721" s="0" t="n">
        <v>2121024</v>
      </c>
      <c r="D6721" s="0" t="s">
        <v>22376</v>
      </c>
      <c r="E6721" s="0" t="s">
        <v>75</v>
      </c>
      <c r="F6721" s="0" t="s">
        <v>15</v>
      </c>
      <c r="G6721" s="0" t="s">
        <v>16</v>
      </c>
      <c r="H6721" s="0" t="n">
        <v>64</v>
      </c>
      <c r="I6721" s="0" t="s">
        <v>22383</v>
      </c>
      <c r="J6721" s="0" t="s">
        <v>22384</v>
      </c>
      <c r="K6721" s="0" t="s">
        <v>22385</v>
      </c>
      <c r="L6721" s="0" t="str">
        <f aca="false">HYPERLINK("https://www.ncbi.nlm.nih.gov/nuccore/CP000058.1?report=graph&amp;tracks=[key:gene_model_track,Options:GeneOnly]&amp;mk=2120948:2120967|offset_7|444444,2120975:2120994|offset_34|444444,2121005:2121024|offset_64|00cc00,2121030:2121049|offset_89|444444&amp;v=2120747:2121249&amp;c=444444", "offset 64")</f>
        <v>offset 64</v>
      </c>
    </row>
    <row r="6722" customFormat="false" ht="12.8" hidden="false" customHeight="false" outlineLevel="0" collapsed="false">
      <c r="A6722" s="0" t="s">
        <v>12</v>
      </c>
      <c r="B6722" s="0" t="n">
        <v>2121029</v>
      </c>
      <c r="C6722" s="0" t="n">
        <v>2121049</v>
      </c>
      <c r="D6722" s="0" t="s">
        <v>22376</v>
      </c>
      <c r="E6722" s="0" t="s">
        <v>75</v>
      </c>
      <c r="F6722" s="0" t="s">
        <v>15</v>
      </c>
      <c r="G6722" s="0" t="s">
        <v>32</v>
      </c>
      <c r="H6722" s="0" t="n">
        <v>89</v>
      </c>
      <c r="I6722" s="0" t="s">
        <v>22386</v>
      </c>
      <c r="J6722" s="0" t="s">
        <v>22387</v>
      </c>
      <c r="K6722" s="0" t="s">
        <v>22388</v>
      </c>
      <c r="L6722" s="0" t="str">
        <f aca="false">HYPERLINK("https://www.ncbi.nlm.nih.gov/nuccore/CP000058.1?report=graph&amp;tracks=[key:gene_model_track,Options:GeneOnly]&amp;mk=2120948:2120967|offset_7|444444,2120975:2120994|offset_34|444444,2121005:2121024|offset_64|444444,2121030:2121049|offset_89|00cc00&amp;v=2120747:2121249&amp;c=444444", "offset 89")</f>
        <v>offset 89</v>
      </c>
    </row>
    <row r="6723" customFormat="false" ht="12.8" hidden="false" customHeight="false" outlineLevel="0" collapsed="false">
      <c r="A6723" s="0" t="s">
        <v>12</v>
      </c>
      <c r="B6723" s="0" t="n">
        <v>2121536</v>
      </c>
      <c r="C6723" s="0" t="n">
        <v>2121556</v>
      </c>
      <c r="D6723" s="0" t="s">
        <v>22389</v>
      </c>
      <c r="E6723" s="0" t="s">
        <v>75</v>
      </c>
      <c r="F6723" s="0" t="s">
        <v>15</v>
      </c>
      <c r="G6723" s="0" t="s">
        <v>16</v>
      </c>
      <c r="H6723" s="0" t="n">
        <v>12</v>
      </c>
      <c r="I6723" s="0" t="s">
        <v>22390</v>
      </c>
      <c r="J6723" s="0" t="s">
        <v>22391</v>
      </c>
      <c r="K6723" s="0" t="s">
        <v>22392</v>
      </c>
      <c r="L6723" s="0" t="str">
        <f aca="false">HYPERLINK("https://www.ncbi.nlm.nih.gov/nuccore/CP000058.1?report=graph&amp;tracks=[key:gene_model_track,Options:GeneOnly]&amp;mk=2121537:2121556|offset_12|00cc00,2121564:2121583|offset_39|444444,2121661:2121680|offset_136|444444,2121685:2121704|offset_160|444444&amp;v=2121336:2121904&amp;c=444444", "offset 12")</f>
        <v>offset 12</v>
      </c>
    </row>
    <row r="6724" customFormat="false" ht="12.8" hidden="false" customHeight="false" outlineLevel="0" collapsed="false">
      <c r="A6724" s="0" t="s">
        <v>12</v>
      </c>
      <c r="B6724" s="0" t="n">
        <v>2121563</v>
      </c>
      <c r="C6724" s="0" t="n">
        <v>2121583</v>
      </c>
      <c r="D6724" s="0" t="s">
        <v>22389</v>
      </c>
      <c r="E6724" s="0" t="s">
        <v>75</v>
      </c>
      <c r="F6724" s="0" t="s">
        <v>15</v>
      </c>
      <c r="G6724" s="0" t="s">
        <v>36</v>
      </c>
      <c r="H6724" s="0" t="n">
        <v>39</v>
      </c>
      <c r="I6724" s="0" t="s">
        <v>22393</v>
      </c>
      <c r="J6724" s="0" t="s">
        <v>22394</v>
      </c>
      <c r="K6724" s="0" t="s">
        <v>22395</v>
      </c>
      <c r="L6724" s="0" t="str">
        <f aca="false">HYPERLINK("https://www.ncbi.nlm.nih.gov/nuccore/CP000058.1?report=graph&amp;tracks=[key:gene_model_track,Options:GeneOnly]&amp;mk=2121537:2121556|offset_12|444444,2121564:2121583|offset_39|00cc00,2121661:2121680|offset_136|444444,2121685:2121704|offset_160|444444&amp;v=2121336:2121904&amp;c=444444", "offset 39")</f>
        <v>offset 39</v>
      </c>
    </row>
    <row r="6725" customFormat="false" ht="12.8" hidden="false" customHeight="false" outlineLevel="0" collapsed="false">
      <c r="A6725" s="0" t="s">
        <v>12</v>
      </c>
      <c r="B6725" s="0" t="n">
        <v>2121660</v>
      </c>
      <c r="C6725" s="0" t="n">
        <v>2121680</v>
      </c>
      <c r="D6725" s="0" t="s">
        <v>22389</v>
      </c>
      <c r="E6725" s="0" t="s">
        <v>75</v>
      </c>
      <c r="F6725" s="0" t="s">
        <v>15</v>
      </c>
      <c r="G6725" s="0" t="s">
        <v>16</v>
      </c>
      <c r="H6725" s="0" t="n">
        <v>136</v>
      </c>
      <c r="I6725" s="0" t="s">
        <v>22396</v>
      </c>
      <c r="J6725" s="0" t="s">
        <v>22397</v>
      </c>
      <c r="K6725" s="0" t="s">
        <v>22398</v>
      </c>
      <c r="L6725" s="0" t="str">
        <f aca="false">HYPERLINK("https://www.ncbi.nlm.nih.gov/nuccore/CP000058.1?report=graph&amp;tracks=[key:gene_model_track,Options:GeneOnly]&amp;mk=2121537:2121556|offset_12|444444,2121564:2121583|offset_39|444444,2121661:2121680|offset_136|00cc00,2121685:2121704|offset_160|444444&amp;v=2121336:2121904&amp;c=444444", "offset 136")</f>
        <v>offset 136</v>
      </c>
    </row>
    <row r="6726" customFormat="false" ht="12.8" hidden="false" customHeight="false" outlineLevel="0" collapsed="false">
      <c r="A6726" s="0" t="s">
        <v>12</v>
      </c>
      <c r="B6726" s="0" t="n">
        <v>2121684</v>
      </c>
      <c r="C6726" s="0" t="n">
        <v>2121704</v>
      </c>
      <c r="D6726" s="0" t="s">
        <v>22389</v>
      </c>
      <c r="E6726" s="0" t="s">
        <v>75</v>
      </c>
      <c r="F6726" s="0" t="s">
        <v>15</v>
      </c>
      <c r="G6726" s="0" t="s">
        <v>16</v>
      </c>
      <c r="H6726" s="0" t="n">
        <v>160</v>
      </c>
      <c r="I6726" s="0" t="s">
        <v>22399</v>
      </c>
      <c r="J6726" s="0" t="s">
        <v>22400</v>
      </c>
      <c r="K6726" s="0" t="s">
        <v>22401</v>
      </c>
      <c r="L6726" s="0" t="str">
        <f aca="false">HYPERLINK("https://www.ncbi.nlm.nih.gov/nuccore/CP000058.1?report=graph&amp;tracks=[key:gene_model_track,Options:GeneOnly]&amp;mk=2121537:2121556|offset_12|444444,2121564:2121583|offset_39|444444,2121661:2121680|offset_136|444444,2121685:2121704|offset_160|00cc00&amp;v=2121336:2121904&amp;c=444444", "offset 160")</f>
        <v>offset 160</v>
      </c>
    </row>
    <row r="6727" customFormat="false" ht="12.8" hidden="false" customHeight="false" outlineLevel="0" collapsed="false">
      <c r="A6727" s="0" t="s">
        <v>12</v>
      </c>
      <c r="B6727" s="0" t="n">
        <v>2122997</v>
      </c>
      <c r="C6727" s="0" t="n">
        <v>2123017</v>
      </c>
      <c r="D6727" s="0" t="s">
        <v>22402</v>
      </c>
      <c r="E6727" s="0" t="s">
        <v>22403</v>
      </c>
      <c r="F6727" s="0" t="s">
        <v>90</v>
      </c>
      <c r="G6727" s="0" t="s">
        <v>32</v>
      </c>
      <c r="H6727" s="0" t="n">
        <v>6</v>
      </c>
      <c r="I6727" s="0" t="s">
        <v>22404</v>
      </c>
      <c r="J6727" s="0" t="s">
        <v>22405</v>
      </c>
      <c r="K6727" s="0" t="s">
        <v>22406</v>
      </c>
      <c r="L6727" s="0" t="str">
        <f aca="false">HYPERLINK("https://www.ncbi.nlm.nih.gov/nuccore/CP000058.1?report=graph&amp;tracks=[key:gene_model_track,Options:GeneOnly]&amp;mk=2122998:2123017|offset_6|00cc00,2122974:2122993|offset_30|444444,2122954:2122973|offset_50|444444,2122927:2122946|offset_77|444444&amp;v=2122797:2123146&amp;c=444444", "offset 6")</f>
        <v>offset 6</v>
      </c>
    </row>
    <row r="6728" customFormat="false" ht="12.8" hidden="false" customHeight="false" outlineLevel="0" collapsed="false">
      <c r="A6728" s="0" t="s">
        <v>12</v>
      </c>
      <c r="B6728" s="0" t="n">
        <v>2122973</v>
      </c>
      <c r="C6728" s="0" t="n">
        <v>2122993</v>
      </c>
      <c r="D6728" s="0" t="s">
        <v>22402</v>
      </c>
      <c r="E6728" s="0" t="s">
        <v>22403</v>
      </c>
      <c r="F6728" s="0" t="s">
        <v>90</v>
      </c>
      <c r="G6728" s="0" t="s">
        <v>20</v>
      </c>
      <c r="H6728" s="0" t="n">
        <v>30</v>
      </c>
      <c r="I6728" s="0" t="s">
        <v>22407</v>
      </c>
      <c r="J6728" s="0" t="s">
        <v>22408</v>
      </c>
      <c r="K6728" s="0" t="s">
        <v>22409</v>
      </c>
      <c r="L6728" s="0" t="str">
        <f aca="false">HYPERLINK("https://www.ncbi.nlm.nih.gov/nuccore/CP000058.1?report=graph&amp;tracks=[key:gene_model_track,Options:GeneOnly]&amp;mk=2122998:2123017|offset_6|444444,2122974:2122993|offset_30|00cc00,2122954:2122973|offset_50|444444,2122927:2122946|offset_77|444444&amp;v=2122797:2123146&amp;c=444444", "offset 30")</f>
        <v>offset 30</v>
      </c>
    </row>
    <row r="6729" customFormat="false" ht="12.8" hidden="false" customHeight="false" outlineLevel="0" collapsed="false">
      <c r="A6729" s="0" t="s">
        <v>12</v>
      </c>
      <c r="B6729" s="0" t="n">
        <v>2122953</v>
      </c>
      <c r="C6729" s="0" t="n">
        <v>2122973</v>
      </c>
      <c r="D6729" s="0" t="s">
        <v>22402</v>
      </c>
      <c r="E6729" s="0" t="s">
        <v>22403</v>
      </c>
      <c r="F6729" s="0" t="s">
        <v>90</v>
      </c>
      <c r="G6729" s="0" t="s">
        <v>32</v>
      </c>
      <c r="H6729" s="0" t="n">
        <v>50</v>
      </c>
      <c r="I6729" s="0" t="s">
        <v>22410</v>
      </c>
      <c r="J6729" s="0" t="s">
        <v>22411</v>
      </c>
      <c r="K6729" s="0" t="s">
        <v>22412</v>
      </c>
      <c r="L6729" s="0" t="str">
        <f aca="false">HYPERLINK("https://www.ncbi.nlm.nih.gov/nuccore/CP000058.1?report=graph&amp;tracks=[key:gene_model_track,Options:GeneOnly]&amp;mk=2122998:2123017|offset_6|444444,2122974:2122993|offset_30|444444,2122954:2122973|offset_50|00cc00,2122927:2122946|offset_77|444444&amp;v=2122797:2123146&amp;c=444444", "offset 50")</f>
        <v>offset 50</v>
      </c>
    </row>
    <row r="6730" customFormat="false" ht="12.8" hidden="false" customHeight="false" outlineLevel="0" collapsed="false">
      <c r="A6730" s="0" t="s">
        <v>12</v>
      </c>
      <c r="B6730" s="0" t="n">
        <v>2122926</v>
      </c>
      <c r="C6730" s="0" t="n">
        <v>2122946</v>
      </c>
      <c r="D6730" s="0" t="s">
        <v>22402</v>
      </c>
      <c r="E6730" s="0" t="s">
        <v>22403</v>
      </c>
      <c r="F6730" s="0" t="s">
        <v>90</v>
      </c>
      <c r="G6730" s="0" t="s">
        <v>20</v>
      </c>
      <c r="H6730" s="0" t="n">
        <v>77</v>
      </c>
      <c r="I6730" s="0" t="s">
        <v>22413</v>
      </c>
      <c r="J6730" s="0" t="s">
        <v>22414</v>
      </c>
      <c r="K6730" s="0" t="s">
        <v>22415</v>
      </c>
      <c r="L6730" s="0" t="str">
        <f aca="false">HYPERLINK("https://www.ncbi.nlm.nih.gov/nuccore/CP000058.1?report=graph&amp;tracks=[key:gene_model_track,Options:GeneOnly]&amp;mk=2122998:2123017|offset_6|444444,2122974:2122993|offset_30|444444,2122954:2122973|offset_50|444444,2122927:2122946|offset_77|00cc00&amp;v=2122797:2123146&amp;c=444444", "offset 77")</f>
        <v>offset 77</v>
      </c>
    </row>
    <row r="6731" customFormat="false" ht="12.8" hidden="false" customHeight="false" outlineLevel="0" collapsed="false">
      <c r="A6731" s="0" t="s">
        <v>12</v>
      </c>
      <c r="B6731" s="0" t="n">
        <v>2123178</v>
      </c>
      <c r="C6731" s="0" t="n">
        <v>2123198</v>
      </c>
      <c r="D6731" s="0" t="s">
        <v>22416</v>
      </c>
      <c r="E6731" s="0" t="s">
        <v>75</v>
      </c>
      <c r="F6731" s="0" t="s">
        <v>15</v>
      </c>
      <c r="G6731" s="0" t="s">
        <v>32</v>
      </c>
      <c r="H6731" s="0" t="n">
        <v>1</v>
      </c>
      <c r="I6731" s="0" t="s">
        <v>22417</v>
      </c>
      <c r="J6731" s="0" t="s">
        <v>22418</v>
      </c>
      <c r="K6731" s="0" t="s">
        <v>22419</v>
      </c>
      <c r="L6731" s="0" t="str">
        <f aca="false">HYPERLINK("https://www.ncbi.nlm.nih.gov/nuccore/CP000058.1?report=graph&amp;tracks=[key:gene_model_track,Options:GeneOnly]&amp;mk=2123179:2123198|offset_1|00cc00,2123201:2123220|offset_23|444444,2123239:2123258|offset_61|444444,2123266:2123285|offset_88|444444&amp;v=2122978:2123485&amp;c=444444", "offset 1")</f>
        <v>offset 1</v>
      </c>
    </row>
    <row r="6732" customFormat="false" ht="12.8" hidden="false" customHeight="false" outlineLevel="0" collapsed="false">
      <c r="A6732" s="0" t="s">
        <v>12</v>
      </c>
      <c r="B6732" s="0" t="n">
        <v>2123200</v>
      </c>
      <c r="C6732" s="0" t="n">
        <v>2123220</v>
      </c>
      <c r="D6732" s="0" t="s">
        <v>22416</v>
      </c>
      <c r="E6732" s="0" t="s">
        <v>75</v>
      </c>
      <c r="F6732" s="0" t="s">
        <v>15</v>
      </c>
      <c r="G6732" s="0" t="s">
        <v>20</v>
      </c>
      <c r="H6732" s="0" t="n">
        <v>23</v>
      </c>
      <c r="I6732" s="0" t="s">
        <v>22420</v>
      </c>
      <c r="J6732" s="0" t="s">
        <v>22421</v>
      </c>
      <c r="K6732" s="0" t="s">
        <v>22422</v>
      </c>
      <c r="L6732" s="0" t="str">
        <f aca="false">HYPERLINK("https://www.ncbi.nlm.nih.gov/nuccore/CP000058.1?report=graph&amp;tracks=[key:gene_model_track,Options:GeneOnly]&amp;mk=2123179:2123198|offset_1|444444,2123201:2123220|offset_23|00cc00,2123239:2123258|offset_61|444444,2123266:2123285|offset_88|444444&amp;v=2122978:2123485&amp;c=444444", "offset 23")</f>
        <v>offset 23</v>
      </c>
    </row>
    <row r="6733" customFormat="false" ht="12.8" hidden="false" customHeight="false" outlineLevel="0" collapsed="false">
      <c r="A6733" s="0" t="s">
        <v>12</v>
      </c>
      <c r="B6733" s="0" t="n">
        <v>2123238</v>
      </c>
      <c r="C6733" s="0" t="n">
        <v>2123258</v>
      </c>
      <c r="D6733" s="0" t="s">
        <v>22416</v>
      </c>
      <c r="E6733" s="0" t="s">
        <v>75</v>
      </c>
      <c r="F6733" s="0" t="s">
        <v>15</v>
      </c>
      <c r="G6733" s="0" t="s">
        <v>32</v>
      </c>
      <c r="H6733" s="0" t="n">
        <v>61</v>
      </c>
      <c r="I6733" s="0" t="s">
        <v>22423</v>
      </c>
      <c r="J6733" s="0" t="s">
        <v>22424</v>
      </c>
      <c r="K6733" s="0" t="s">
        <v>22425</v>
      </c>
      <c r="L6733" s="0" t="str">
        <f aca="false">HYPERLINK("https://www.ncbi.nlm.nih.gov/nuccore/CP000058.1?report=graph&amp;tracks=[key:gene_model_track,Options:GeneOnly]&amp;mk=2123179:2123198|offset_1|444444,2123201:2123220|offset_23|444444,2123239:2123258|offset_61|00cc00,2123266:2123285|offset_88|444444&amp;v=2122978:2123485&amp;c=444444", "offset 61")</f>
        <v>offset 61</v>
      </c>
    </row>
    <row r="6734" customFormat="false" ht="12.8" hidden="false" customHeight="false" outlineLevel="0" collapsed="false">
      <c r="A6734" s="0" t="s">
        <v>12</v>
      </c>
      <c r="B6734" s="0" t="n">
        <v>2123265</v>
      </c>
      <c r="C6734" s="0" t="n">
        <v>2123285</v>
      </c>
      <c r="D6734" s="0" t="s">
        <v>22416</v>
      </c>
      <c r="E6734" s="0" t="s">
        <v>75</v>
      </c>
      <c r="F6734" s="0" t="s">
        <v>15</v>
      </c>
      <c r="G6734" s="0" t="s">
        <v>16</v>
      </c>
      <c r="H6734" s="0" t="n">
        <v>88</v>
      </c>
      <c r="I6734" s="0" t="s">
        <v>22426</v>
      </c>
      <c r="J6734" s="0" t="s">
        <v>22427</v>
      </c>
      <c r="K6734" s="0" t="s">
        <v>22428</v>
      </c>
      <c r="L6734" s="0" t="str">
        <f aca="false">HYPERLINK("https://www.ncbi.nlm.nih.gov/nuccore/CP000058.1?report=graph&amp;tracks=[key:gene_model_track,Options:GeneOnly]&amp;mk=2123179:2123198|offset_1|444444,2123201:2123220|offset_23|444444,2123239:2123258|offset_61|444444,2123266:2123285|offset_88|00cc00&amp;v=2122978:2123485&amp;c=444444", "offset 88")</f>
        <v>offset 88</v>
      </c>
    </row>
    <row r="6735" customFormat="false" ht="12.8" hidden="false" customHeight="false" outlineLevel="0" collapsed="false">
      <c r="A6735" s="0" t="s">
        <v>12</v>
      </c>
      <c r="B6735" s="0" t="n">
        <v>2123558</v>
      </c>
      <c r="C6735" s="0" t="n">
        <v>2123578</v>
      </c>
      <c r="D6735" s="0" t="s">
        <v>22429</v>
      </c>
      <c r="E6735" s="0" t="s">
        <v>22430</v>
      </c>
      <c r="F6735" s="0" t="s">
        <v>15</v>
      </c>
      <c r="G6735" s="0" t="s">
        <v>36</v>
      </c>
      <c r="H6735" s="0" t="n">
        <v>0</v>
      </c>
      <c r="I6735" s="0" t="s">
        <v>22431</v>
      </c>
      <c r="J6735" s="0" t="s">
        <v>22432</v>
      </c>
      <c r="K6735" s="0" t="s">
        <v>22433</v>
      </c>
      <c r="L6735" s="0" t="str">
        <f aca="false">HYPERLINK("https://www.ncbi.nlm.nih.gov/nuccore/CP000058.1?report=graph&amp;tracks=[key:gene_model_track,Options:GeneOnly]&amp;mk=2123559:2123578|offset_0|00cc00,2123600:2123619|offset_41|444444,2123641:2123660|offset_82|444444,2123666:2123685|offset_107|444444&amp;v=2123358:2123885&amp;c=444444", "offset 0")</f>
        <v>offset 0</v>
      </c>
    </row>
    <row r="6736" customFormat="false" ht="12.8" hidden="false" customHeight="false" outlineLevel="0" collapsed="false">
      <c r="A6736" s="0" t="s">
        <v>12</v>
      </c>
      <c r="B6736" s="0" t="n">
        <v>2123599</v>
      </c>
      <c r="C6736" s="0" t="n">
        <v>2123619</v>
      </c>
      <c r="D6736" s="0" t="s">
        <v>22429</v>
      </c>
      <c r="E6736" s="0" t="s">
        <v>22430</v>
      </c>
      <c r="F6736" s="0" t="s">
        <v>15</v>
      </c>
      <c r="G6736" s="0" t="s">
        <v>32</v>
      </c>
      <c r="H6736" s="0" t="n">
        <v>41</v>
      </c>
      <c r="I6736" s="0" t="s">
        <v>22434</v>
      </c>
      <c r="J6736" s="0" t="s">
        <v>22435</v>
      </c>
      <c r="K6736" s="0" t="s">
        <v>22436</v>
      </c>
      <c r="L6736" s="0" t="str">
        <f aca="false">HYPERLINK("https://www.ncbi.nlm.nih.gov/nuccore/CP000058.1?report=graph&amp;tracks=[key:gene_model_track,Options:GeneOnly]&amp;mk=2123559:2123578|offset_0|444444,2123600:2123619|offset_41|00cc00,2123641:2123660|offset_82|444444,2123666:2123685|offset_107|444444&amp;v=2123358:2123885&amp;c=444444", "offset 41")</f>
        <v>offset 41</v>
      </c>
    </row>
    <row r="6737" customFormat="false" ht="12.8" hidden="false" customHeight="false" outlineLevel="0" collapsed="false">
      <c r="A6737" s="0" t="s">
        <v>12</v>
      </c>
      <c r="B6737" s="0" t="n">
        <v>2123640</v>
      </c>
      <c r="C6737" s="0" t="n">
        <v>2123660</v>
      </c>
      <c r="D6737" s="0" t="s">
        <v>22429</v>
      </c>
      <c r="E6737" s="0" t="s">
        <v>22430</v>
      </c>
      <c r="F6737" s="0" t="s">
        <v>15</v>
      </c>
      <c r="G6737" s="0" t="s">
        <v>16</v>
      </c>
      <c r="H6737" s="0" t="n">
        <v>82</v>
      </c>
      <c r="I6737" s="0" t="s">
        <v>22437</v>
      </c>
      <c r="J6737" s="0" t="s">
        <v>22438</v>
      </c>
      <c r="K6737" s="0" t="s">
        <v>22439</v>
      </c>
      <c r="L6737" s="0" t="str">
        <f aca="false">HYPERLINK("https://www.ncbi.nlm.nih.gov/nuccore/CP000058.1?report=graph&amp;tracks=[key:gene_model_track,Options:GeneOnly]&amp;mk=2123559:2123578|offset_0|444444,2123600:2123619|offset_41|444444,2123641:2123660|offset_82|00cc00,2123666:2123685|offset_107|444444&amp;v=2123358:2123885&amp;c=444444", "offset 82")</f>
        <v>offset 82</v>
      </c>
    </row>
    <row r="6738" customFormat="false" ht="12.8" hidden="false" customHeight="false" outlineLevel="0" collapsed="false">
      <c r="A6738" s="0" t="s">
        <v>12</v>
      </c>
      <c r="B6738" s="0" t="n">
        <v>2123665</v>
      </c>
      <c r="C6738" s="0" t="n">
        <v>2123685</v>
      </c>
      <c r="D6738" s="0" t="s">
        <v>22429</v>
      </c>
      <c r="E6738" s="0" t="s">
        <v>22430</v>
      </c>
      <c r="F6738" s="0" t="s">
        <v>15</v>
      </c>
      <c r="G6738" s="0" t="s">
        <v>32</v>
      </c>
      <c r="H6738" s="0" t="n">
        <v>107</v>
      </c>
      <c r="I6738" s="0" t="s">
        <v>22440</v>
      </c>
      <c r="J6738" s="0" t="s">
        <v>22441</v>
      </c>
      <c r="K6738" s="0" t="s">
        <v>22442</v>
      </c>
      <c r="L6738" s="0" t="str">
        <f aca="false">HYPERLINK("https://www.ncbi.nlm.nih.gov/nuccore/CP000058.1?report=graph&amp;tracks=[key:gene_model_track,Options:GeneOnly]&amp;mk=2123559:2123578|offset_0|444444,2123600:2123619|offset_41|444444,2123641:2123660|offset_82|444444,2123666:2123685|offset_107|00cc00&amp;v=2123358:2123885&amp;c=444444", "offset 107")</f>
        <v>offset 107</v>
      </c>
    </row>
    <row r="6739" customFormat="false" ht="12.8" hidden="false" customHeight="false" outlineLevel="0" collapsed="false">
      <c r="A6739" s="0" t="s">
        <v>12</v>
      </c>
      <c r="B6739" s="0" t="n">
        <v>2124827</v>
      </c>
      <c r="C6739" s="0" t="n">
        <v>2124847</v>
      </c>
      <c r="D6739" s="0" t="s">
        <v>22443</v>
      </c>
      <c r="E6739" s="0" t="s">
        <v>75</v>
      </c>
      <c r="F6739" s="0" t="s">
        <v>15</v>
      </c>
      <c r="G6739" s="0" t="s">
        <v>16</v>
      </c>
      <c r="H6739" s="0" t="n">
        <v>50</v>
      </c>
      <c r="I6739" s="0" t="s">
        <v>22444</v>
      </c>
      <c r="J6739" s="0" t="s">
        <v>22445</v>
      </c>
      <c r="K6739" s="0" t="s">
        <v>22446</v>
      </c>
      <c r="L6739" s="0" t="str">
        <f aca="false">HYPERLINK("https://www.ncbi.nlm.nih.gov/nuccore/CP000058.1?report=graph&amp;tracks=[key:gene_model_track,Options:GeneOnly]&amp;mk=2124828:2124847|offset_50|00cc00,2124850:2124869|offset_72|444444,2124897:2124916|offset_119|444444,2124950:2124969|offset_172|444444&amp;v=2124627:2125169&amp;c=444444", "offset 50")</f>
        <v>offset 50</v>
      </c>
    </row>
    <row r="6740" customFormat="false" ht="12.8" hidden="false" customHeight="false" outlineLevel="0" collapsed="false">
      <c r="A6740" s="0" t="s">
        <v>12</v>
      </c>
      <c r="B6740" s="0" t="n">
        <v>2124849</v>
      </c>
      <c r="C6740" s="0" t="n">
        <v>2124869</v>
      </c>
      <c r="D6740" s="0" t="s">
        <v>22443</v>
      </c>
      <c r="E6740" s="0" t="s">
        <v>75</v>
      </c>
      <c r="F6740" s="0" t="s">
        <v>15</v>
      </c>
      <c r="G6740" s="0" t="s">
        <v>32</v>
      </c>
      <c r="H6740" s="0" t="n">
        <v>72</v>
      </c>
      <c r="I6740" s="0" t="s">
        <v>22447</v>
      </c>
      <c r="J6740" s="0" t="s">
        <v>22448</v>
      </c>
      <c r="K6740" s="0" t="s">
        <v>22449</v>
      </c>
      <c r="L6740" s="0" t="str">
        <f aca="false">HYPERLINK("https://www.ncbi.nlm.nih.gov/nuccore/CP000058.1?report=graph&amp;tracks=[key:gene_model_track,Options:GeneOnly]&amp;mk=2124828:2124847|offset_50|444444,2124850:2124869|offset_72|00cc00,2124897:2124916|offset_119|444444,2124950:2124969|offset_172|444444&amp;v=2124627:2125169&amp;c=444444", "offset 72")</f>
        <v>offset 72</v>
      </c>
    </row>
    <row r="6741" customFormat="false" ht="12.8" hidden="false" customHeight="false" outlineLevel="0" collapsed="false">
      <c r="A6741" s="0" t="s">
        <v>12</v>
      </c>
      <c r="B6741" s="0" t="n">
        <v>2124896</v>
      </c>
      <c r="C6741" s="0" t="n">
        <v>2124916</v>
      </c>
      <c r="D6741" s="0" t="s">
        <v>22443</v>
      </c>
      <c r="E6741" s="0" t="s">
        <v>75</v>
      </c>
      <c r="F6741" s="0" t="s">
        <v>15</v>
      </c>
      <c r="G6741" s="0" t="s">
        <v>20</v>
      </c>
      <c r="H6741" s="0" t="n">
        <v>119</v>
      </c>
      <c r="I6741" s="0" t="s">
        <v>22450</v>
      </c>
      <c r="J6741" s="0" t="s">
        <v>22451</v>
      </c>
      <c r="K6741" s="0" t="s">
        <v>22452</v>
      </c>
      <c r="L6741" s="0" t="str">
        <f aca="false">HYPERLINK("https://www.ncbi.nlm.nih.gov/nuccore/CP000058.1?report=graph&amp;tracks=[key:gene_model_track,Options:GeneOnly]&amp;mk=2124828:2124847|offset_50|444444,2124850:2124869|offset_72|444444,2124897:2124916|offset_119|00cc00,2124950:2124969|offset_172|444444&amp;v=2124627:2125169&amp;c=444444", "offset 119")</f>
        <v>offset 119</v>
      </c>
    </row>
    <row r="6742" customFormat="false" ht="12.8" hidden="false" customHeight="false" outlineLevel="0" collapsed="false">
      <c r="A6742" s="0" t="s">
        <v>12</v>
      </c>
      <c r="B6742" s="0" t="n">
        <v>2124949</v>
      </c>
      <c r="C6742" s="0" t="n">
        <v>2124969</v>
      </c>
      <c r="D6742" s="0" t="s">
        <v>22443</v>
      </c>
      <c r="E6742" s="0" t="s">
        <v>75</v>
      </c>
      <c r="F6742" s="0" t="s">
        <v>15</v>
      </c>
      <c r="G6742" s="0" t="s">
        <v>36</v>
      </c>
      <c r="H6742" s="0" t="n">
        <v>172</v>
      </c>
      <c r="I6742" s="0" t="s">
        <v>22453</v>
      </c>
      <c r="J6742" s="0" t="s">
        <v>22454</v>
      </c>
      <c r="K6742" s="0" t="s">
        <v>22455</v>
      </c>
      <c r="L6742" s="0" t="str">
        <f aca="false">HYPERLINK("https://www.ncbi.nlm.nih.gov/nuccore/CP000058.1?report=graph&amp;tracks=[key:gene_model_track,Options:GeneOnly]&amp;mk=2124828:2124847|offset_50|444444,2124850:2124869|offset_72|444444,2124897:2124916|offset_119|444444,2124950:2124969|offset_172|00cc00&amp;v=2124627:2125169&amp;c=444444", "offset 172")</f>
        <v>offset 172</v>
      </c>
    </row>
    <row r="6743" customFormat="false" ht="12.8" hidden="false" customHeight="false" outlineLevel="0" collapsed="false">
      <c r="A6743" s="0" t="s">
        <v>12</v>
      </c>
      <c r="B6743" s="0" t="n">
        <v>2126977</v>
      </c>
      <c r="C6743" s="0" t="n">
        <v>2126997</v>
      </c>
      <c r="D6743" s="0" t="s">
        <v>22456</v>
      </c>
      <c r="E6743" s="0" t="s">
        <v>75</v>
      </c>
      <c r="F6743" s="0" t="s">
        <v>15</v>
      </c>
      <c r="G6743" s="0" t="s">
        <v>32</v>
      </c>
      <c r="H6743" s="0" t="n">
        <v>16</v>
      </c>
      <c r="I6743" s="0" t="s">
        <v>22457</v>
      </c>
      <c r="J6743" s="0" t="s">
        <v>22458</v>
      </c>
      <c r="K6743" s="0" t="s">
        <v>22459</v>
      </c>
      <c r="L6743" s="0" t="str">
        <f aca="false">HYPERLINK("https://www.ncbi.nlm.nih.gov/nuccore/CP000058.1?report=graph&amp;tracks=[key:gene_model_track,Options:GeneOnly]&amp;mk=2126978:2126997|offset_16|00cc00,2127015:2127034|offset_53|444444,2127040:2127059|offset_78|444444,2127066:2127085|offset_104|444444&amp;v=2126777:2127285&amp;c=444444", "offset 16")</f>
        <v>offset 16</v>
      </c>
    </row>
    <row r="6744" customFormat="false" ht="12.8" hidden="false" customHeight="false" outlineLevel="0" collapsed="false">
      <c r="A6744" s="0" t="s">
        <v>12</v>
      </c>
      <c r="B6744" s="0" t="n">
        <v>2127014</v>
      </c>
      <c r="C6744" s="0" t="n">
        <v>2127034</v>
      </c>
      <c r="D6744" s="0" t="s">
        <v>22456</v>
      </c>
      <c r="E6744" s="0" t="s">
        <v>75</v>
      </c>
      <c r="F6744" s="0" t="s">
        <v>15</v>
      </c>
      <c r="G6744" s="0" t="s">
        <v>16</v>
      </c>
      <c r="H6744" s="0" t="n">
        <v>53</v>
      </c>
      <c r="I6744" s="0" t="s">
        <v>22460</v>
      </c>
      <c r="J6744" s="0" t="s">
        <v>22461</v>
      </c>
      <c r="K6744" s="0" t="s">
        <v>22462</v>
      </c>
      <c r="L6744" s="0" t="str">
        <f aca="false">HYPERLINK("https://www.ncbi.nlm.nih.gov/nuccore/CP000058.1?report=graph&amp;tracks=[key:gene_model_track,Options:GeneOnly]&amp;mk=2126978:2126997|offset_16|444444,2127015:2127034|offset_53|00cc00,2127040:2127059|offset_78|444444,2127066:2127085|offset_104|444444&amp;v=2126777:2127285&amp;c=444444", "offset 53")</f>
        <v>offset 53</v>
      </c>
    </row>
    <row r="6745" customFormat="false" ht="12.8" hidden="false" customHeight="false" outlineLevel="0" collapsed="false">
      <c r="A6745" s="0" t="s">
        <v>12</v>
      </c>
      <c r="B6745" s="0" t="n">
        <v>2127039</v>
      </c>
      <c r="C6745" s="0" t="n">
        <v>2127059</v>
      </c>
      <c r="D6745" s="0" t="s">
        <v>22456</v>
      </c>
      <c r="E6745" s="0" t="s">
        <v>75</v>
      </c>
      <c r="F6745" s="0" t="s">
        <v>15</v>
      </c>
      <c r="G6745" s="0" t="s">
        <v>36</v>
      </c>
      <c r="H6745" s="0" t="n">
        <v>78</v>
      </c>
      <c r="I6745" s="0" t="s">
        <v>22463</v>
      </c>
      <c r="J6745" s="0" t="s">
        <v>22464</v>
      </c>
      <c r="K6745" s="0" t="s">
        <v>22465</v>
      </c>
      <c r="L6745" s="0" t="str">
        <f aca="false">HYPERLINK("https://www.ncbi.nlm.nih.gov/nuccore/CP000058.1?report=graph&amp;tracks=[key:gene_model_track,Options:GeneOnly]&amp;mk=2126978:2126997|offset_16|444444,2127015:2127034|offset_53|444444,2127040:2127059|offset_78|00cc00,2127066:2127085|offset_104|444444&amp;v=2126777:2127285&amp;c=444444", "offset 78")</f>
        <v>offset 78</v>
      </c>
    </row>
    <row r="6746" customFormat="false" ht="12.8" hidden="false" customHeight="false" outlineLevel="0" collapsed="false">
      <c r="A6746" s="0" t="s">
        <v>12</v>
      </c>
      <c r="B6746" s="0" t="n">
        <v>2127065</v>
      </c>
      <c r="C6746" s="0" t="n">
        <v>2127085</v>
      </c>
      <c r="D6746" s="0" t="s">
        <v>22456</v>
      </c>
      <c r="E6746" s="0" t="s">
        <v>75</v>
      </c>
      <c r="F6746" s="0" t="s">
        <v>15</v>
      </c>
      <c r="G6746" s="0" t="s">
        <v>20</v>
      </c>
      <c r="H6746" s="0" t="n">
        <v>104</v>
      </c>
      <c r="I6746" s="0" t="s">
        <v>22466</v>
      </c>
      <c r="J6746" s="0" t="s">
        <v>22467</v>
      </c>
      <c r="K6746" s="0" t="s">
        <v>22468</v>
      </c>
      <c r="L6746" s="0" t="str">
        <f aca="false">HYPERLINK("https://www.ncbi.nlm.nih.gov/nuccore/CP000058.1?report=graph&amp;tracks=[key:gene_model_track,Options:GeneOnly]&amp;mk=2126978:2126997|offset_16|444444,2127015:2127034|offset_53|444444,2127040:2127059|offset_78|444444,2127066:2127085|offset_104|00cc00&amp;v=2126777:2127285&amp;c=444444", "offset 104")</f>
        <v>offset 104</v>
      </c>
    </row>
    <row r="6747" customFormat="false" ht="12.8" hidden="false" customHeight="false" outlineLevel="0" collapsed="false">
      <c r="A6747" s="0" t="s">
        <v>12</v>
      </c>
      <c r="B6747" s="0" t="n">
        <v>2127459</v>
      </c>
      <c r="C6747" s="0" t="n">
        <v>2127479</v>
      </c>
      <c r="D6747" s="0" t="s">
        <v>22469</v>
      </c>
      <c r="E6747" s="0" t="s">
        <v>75</v>
      </c>
      <c r="F6747" s="0" t="s">
        <v>15</v>
      </c>
      <c r="G6747" s="0" t="s">
        <v>20</v>
      </c>
      <c r="H6747" s="0" t="n">
        <v>13</v>
      </c>
      <c r="I6747" s="0" t="s">
        <v>22470</v>
      </c>
      <c r="J6747" s="0" t="s">
        <v>22471</v>
      </c>
      <c r="K6747" s="0" t="s">
        <v>22472</v>
      </c>
      <c r="L6747" s="0" t="str">
        <f aca="false">HYPERLINK("https://www.ncbi.nlm.nih.gov/nuccore/CP000058.1?report=graph&amp;tracks=[key:gene_model_track,Options:GeneOnly]&amp;mk=2127460:2127479|offset_13|00cc00,2127494:2127513|offset_47|444444,2127534:2127553|offset_87|444444,2127557:2127576|offset_110|444444&amp;v=2127259:2127776&amp;c=444444", "offset 13")</f>
        <v>offset 13</v>
      </c>
    </row>
    <row r="6748" customFormat="false" ht="12.8" hidden="false" customHeight="false" outlineLevel="0" collapsed="false">
      <c r="A6748" s="0" t="s">
        <v>12</v>
      </c>
      <c r="B6748" s="0" t="n">
        <v>2127493</v>
      </c>
      <c r="C6748" s="0" t="n">
        <v>2127513</v>
      </c>
      <c r="D6748" s="0" t="s">
        <v>22469</v>
      </c>
      <c r="E6748" s="0" t="s">
        <v>75</v>
      </c>
      <c r="F6748" s="0" t="s">
        <v>15</v>
      </c>
      <c r="G6748" s="0" t="s">
        <v>16</v>
      </c>
      <c r="H6748" s="0" t="n">
        <v>47</v>
      </c>
      <c r="I6748" s="0" t="s">
        <v>22473</v>
      </c>
      <c r="J6748" s="0" t="s">
        <v>22474</v>
      </c>
      <c r="K6748" s="0" t="s">
        <v>22475</v>
      </c>
      <c r="L6748" s="0" t="str">
        <f aca="false">HYPERLINK("https://www.ncbi.nlm.nih.gov/nuccore/CP000058.1?report=graph&amp;tracks=[key:gene_model_track,Options:GeneOnly]&amp;mk=2127460:2127479|offset_13|444444,2127494:2127513|offset_47|00cc00,2127534:2127553|offset_87|444444,2127557:2127576|offset_110|444444&amp;v=2127259:2127776&amp;c=444444", "offset 47")</f>
        <v>offset 47</v>
      </c>
    </row>
    <row r="6749" customFormat="false" ht="12.8" hidden="false" customHeight="false" outlineLevel="0" collapsed="false">
      <c r="A6749" s="0" t="s">
        <v>12</v>
      </c>
      <c r="B6749" s="0" t="n">
        <v>2127533</v>
      </c>
      <c r="C6749" s="0" t="n">
        <v>2127553</v>
      </c>
      <c r="D6749" s="0" t="s">
        <v>22469</v>
      </c>
      <c r="E6749" s="0" t="s">
        <v>75</v>
      </c>
      <c r="F6749" s="0" t="s">
        <v>15</v>
      </c>
      <c r="G6749" s="0" t="s">
        <v>36</v>
      </c>
      <c r="H6749" s="0" t="n">
        <v>87</v>
      </c>
      <c r="I6749" s="0" t="s">
        <v>22476</v>
      </c>
      <c r="J6749" s="0" t="s">
        <v>22477</v>
      </c>
      <c r="K6749" s="0" t="s">
        <v>22478</v>
      </c>
      <c r="L6749" s="0" t="str">
        <f aca="false">HYPERLINK("https://www.ncbi.nlm.nih.gov/nuccore/CP000058.1?report=graph&amp;tracks=[key:gene_model_track,Options:GeneOnly]&amp;mk=2127460:2127479|offset_13|444444,2127494:2127513|offset_47|444444,2127534:2127553|offset_87|00cc00,2127557:2127576|offset_110|444444&amp;v=2127259:2127776&amp;c=444444", "offset 87")</f>
        <v>offset 87</v>
      </c>
    </row>
    <row r="6750" customFormat="false" ht="12.8" hidden="false" customHeight="false" outlineLevel="0" collapsed="false">
      <c r="A6750" s="0" t="s">
        <v>12</v>
      </c>
      <c r="B6750" s="0" t="n">
        <v>2127556</v>
      </c>
      <c r="C6750" s="0" t="n">
        <v>2127576</v>
      </c>
      <c r="D6750" s="0" t="s">
        <v>22469</v>
      </c>
      <c r="E6750" s="0" t="s">
        <v>75</v>
      </c>
      <c r="F6750" s="0" t="s">
        <v>15</v>
      </c>
      <c r="G6750" s="0" t="s">
        <v>36</v>
      </c>
      <c r="H6750" s="0" t="n">
        <v>110</v>
      </c>
      <c r="I6750" s="0" t="s">
        <v>22479</v>
      </c>
      <c r="J6750" s="0" t="s">
        <v>22480</v>
      </c>
      <c r="K6750" s="0" t="s">
        <v>22481</v>
      </c>
      <c r="L6750" s="0" t="str">
        <f aca="false">HYPERLINK("https://www.ncbi.nlm.nih.gov/nuccore/CP000058.1?report=graph&amp;tracks=[key:gene_model_track,Options:GeneOnly]&amp;mk=2127460:2127479|offset_13|444444,2127494:2127513|offset_47|444444,2127534:2127553|offset_87|444444,2127557:2127576|offset_110|00cc00&amp;v=2127259:2127776&amp;c=444444", "offset 110")</f>
        <v>offset 110</v>
      </c>
    </row>
    <row r="6751" customFormat="false" ht="12.8" hidden="false" customHeight="false" outlineLevel="0" collapsed="false">
      <c r="A6751" s="0" t="s">
        <v>12</v>
      </c>
      <c r="B6751" s="0" t="n">
        <v>2128257</v>
      </c>
      <c r="C6751" s="0" t="n">
        <v>2128277</v>
      </c>
      <c r="D6751" s="0" t="s">
        <v>22482</v>
      </c>
      <c r="E6751" s="0" t="s">
        <v>75</v>
      </c>
      <c r="F6751" s="0" t="s">
        <v>15</v>
      </c>
      <c r="G6751" s="0" t="s">
        <v>16</v>
      </c>
      <c r="H6751" s="0" t="n">
        <v>8</v>
      </c>
      <c r="I6751" s="0" t="s">
        <v>22483</v>
      </c>
      <c r="J6751" s="0" t="s">
        <v>22484</v>
      </c>
      <c r="K6751" s="0" t="s">
        <v>22485</v>
      </c>
      <c r="L6751" s="0" t="str">
        <f aca="false">HYPERLINK("https://www.ncbi.nlm.nih.gov/nuccore/CP000058.1?report=graph&amp;tracks=[key:gene_model_track,Options:GeneOnly]&amp;mk=2128258:2128277|offset_8|00cc00,2128300:2128319|offset_50|444444,2128323:2128342|offset_73|444444,2128343:2128362|offset_93|444444&amp;v=2128057:2128562&amp;c=444444", "offset 8")</f>
        <v>offset 8</v>
      </c>
    </row>
    <row r="6752" customFormat="false" ht="12.8" hidden="false" customHeight="false" outlineLevel="0" collapsed="false">
      <c r="A6752" s="0" t="s">
        <v>12</v>
      </c>
      <c r="B6752" s="0" t="n">
        <v>2128299</v>
      </c>
      <c r="C6752" s="0" t="n">
        <v>2128319</v>
      </c>
      <c r="D6752" s="0" t="s">
        <v>22482</v>
      </c>
      <c r="E6752" s="0" t="s">
        <v>75</v>
      </c>
      <c r="F6752" s="0" t="s">
        <v>15</v>
      </c>
      <c r="G6752" s="0" t="s">
        <v>16</v>
      </c>
      <c r="H6752" s="0" t="n">
        <v>50</v>
      </c>
      <c r="I6752" s="0" t="s">
        <v>22486</v>
      </c>
      <c r="J6752" s="0" t="s">
        <v>22487</v>
      </c>
      <c r="K6752" s="0" t="s">
        <v>22488</v>
      </c>
      <c r="L6752" s="0" t="str">
        <f aca="false">HYPERLINK("https://www.ncbi.nlm.nih.gov/nuccore/CP000058.1?report=graph&amp;tracks=[key:gene_model_track,Options:GeneOnly]&amp;mk=2128258:2128277|offset_8|444444,2128300:2128319|offset_50|00cc00,2128323:2128342|offset_73|444444,2128343:2128362|offset_93|444444&amp;v=2128057:2128562&amp;c=444444", "offset 50")</f>
        <v>offset 50</v>
      </c>
    </row>
    <row r="6753" customFormat="false" ht="12.8" hidden="false" customHeight="false" outlineLevel="0" collapsed="false">
      <c r="A6753" s="0" t="s">
        <v>12</v>
      </c>
      <c r="B6753" s="0" t="n">
        <v>2128322</v>
      </c>
      <c r="C6753" s="0" t="n">
        <v>2128342</v>
      </c>
      <c r="D6753" s="0" t="s">
        <v>22482</v>
      </c>
      <c r="E6753" s="0" t="s">
        <v>75</v>
      </c>
      <c r="F6753" s="0" t="s">
        <v>15</v>
      </c>
      <c r="G6753" s="0" t="s">
        <v>36</v>
      </c>
      <c r="H6753" s="0" t="n">
        <v>73</v>
      </c>
      <c r="I6753" s="0" t="s">
        <v>22489</v>
      </c>
      <c r="J6753" s="0" t="s">
        <v>22490</v>
      </c>
      <c r="K6753" s="0" t="s">
        <v>22491</v>
      </c>
      <c r="L6753" s="0" t="str">
        <f aca="false">HYPERLINK("https://www.ncbi.nlm.nih.gov/nuccore/CP000058.1?report=graph&amp;tracks=[key:gene_model_track,Options:GeneOnly]&amp;mk=2128258:2128277|offset_8|444444,2128300:2128319|offset_50|444444,2128323:2128342|offset_73|00cc00,2128343:2128362|offset_93|444444&amp;v=2128057:2128562&amp;c=444444", "offset 73")</f>
        <v>offset 73</v>
      </c>
    </row>
    <row r="6754" customFormat="false" ht="12.8" hidden="false" customHeight="false" outlineLevel="0" collapsed="false">
      <c r="A6754" s="0" t="s">
        <v>12</v>
      </c>
      <c r="B6754" s="0" t="n">
        <v>2128342</v>
      </c>
      <c r="C6754" s="0" t="n">
        <v>2128362</v>
      </c>
      <c r="D6754" s="0" t="s">
        <v>22482</v>
      </c>
      <c r="E6754" s="0" t="s">
        <v>75</v>
      </c>
      <c r="F6754" s="0" t="s">
        <v>15</v>
      </c>
      <c r="G6754" s="0" t="s">
        <v>20</v>
      </c>
      <c r="H6754" s="0" t="n">
        <v>93</v>
      </c>
      <c r="I6754" s="0" t="s">
        <v>22492</v>
      </c>
      <c r="J6754" s="0" t="s">
        <v>22493</v>
      </c>
      <c r="K6754" s="0" t="s">
        <v>22494</v>
      </c>
      <c r="L6754" s="0" t="str">
        <f aca="false">HYPERLINK("https://www.ncbi.nlm.nih.gov/nuccore/CP000058.1?report=graph&amp;tracks=[key:gene_model_track,Options:GeneOnly]&amp;mk=2128258:2128277|offset_8|444444,2128300:2128319|offset_50|444444,2128323:2128342|offset_73|444444,2128343:2128362|offset_93|00cc00&amp;v=2128057:2128562&amp;c=444444", "offset 93")</f>
        <v>offset 93</v>
      </c>
    </row>
    <row r="6755" customFormat="false" ht="12.8" hidden="false" customHeight="false" outlineLevel="0" collapsed="false">
      <c r="A6755" s="0" t="s">
        <v>12</v>
      </c>
      <c r="B6755" s="0" t="n">
        <v>2129671</v>
      </c>
      <c r="C6755" s="0" t="n">
        <v>2129691</v>
      </c>
      <c r="D6755" s="0" t="s">
        <v>22495</v>
      </c>
      <c r="E6755" s="0" t="s">
        <v>75</v>
      </c>
      <c r="F6755" s="0" t="s">
        <v>15</v>
      </c>
      <c r="G6755" s="0" t="s">
        <v>32</v>
      </c>
      <c r="H6755" s="0" t="n">
        <v>0</v>
      </c>
      <c r="I6755" s="0" t="s">
        <v>22496</v>
      </c>
      <c r="J6755" s="0" t="s">
        <v>22497</v>
      </c>
      <c r="K6755" s="0" t="s">
        <v>22498</v>
      </c>
      <c r="L6755" s="0" t="str">
        <f aca="false">HYPERLINK("https://www.ncbi.nlm.nih.gov/nuccore/CP000058.1?report=graph&amp;tracks=[key:gene_model_track,Options:GeneOnly]&amp;mk=2129672:2129691|offset_0|00cc00,2129719:2129738|offset_47|444444,2129743:2129762|offset_71|444444,2129780:2129799|offset_108|444444&amp;v=2129471:2129999&amp;c=444444", "offset 0")</f>
        <v>offset 0</v>
      </c>
    </row>
    <row r="6756" customFormat="false" ht="12.8" hidden="false" customHeight="false" outlineLevel="0" collapsed="false">
      <c r="A6756" s="0" t="s">
        <v>12</v>
      </c>
      <c r="B6756" s="0" t="n">
        <v>2129718</v>
      </c>
      <c r="C6756" s="0" t="n">
        <v>2129738</v>
      </c>
      <c r="D6756" s="0" t="s">
        <v>22495</v>
      </c>
      <c r="E6756" s="0" t="s">
        <v>75</v>
      </c>
      <c r="F6756" s="0" t="s">
        <v>15</v>
      </c>
      <c r="G6756" s="0" t="s">
        <v>20</v>
      </c>
      <c r="H6756" s="0" t="n">
        <v>47</v>
      </c>
      <c r="I6756" s="0" t="s">
        <v>22499</v>
      </c>
      <c r="J6756" s="0" t="s">
        <v>22500</v>
      </c>
      <c r="K6756" s="0" t="s">
        <v>22501</v>
      </c>
      <c r="L6756" s="0" t="str">
        <f aca="false">HYPERLINK("https://www.ncbi.nlm.nih.gov/nuccore/CP000058.1?report=graph&amp;tracks=[key:gene_model_track,Options:GeneOnly]&amp;mk=2129672:2129691|offset_0|444444,2129719:2129738|offset_47|00cc00,2129743:2129762|offset_71|444444,2129780:2129799|offset_108|444444&amp;v=2129471:2129999&amp;c=444444", "offset 47")</f>
        <v>offset 47</v>
      </c>
    </row>
    <row r="6757" customFormat="false" ht="12.8" hidden="false" customHeight="false" outlineLevel="0" collapsed="false">
      <c r="A6757" s="0" t="s">
        <v>12</v>
      </c>
      <c r="B6757" s="0" t="n">
        <v>2129742</v>
      </c>
      <c r="C6757" s="0" t="n">
        <v>2129762</v>
      </c>
      <c r="D6757" s="0" t="s">
        <v>22495</v>
      </c>
      <c r="E6757" s="0" t="s">
        <v>75</v>
      </c>
      <c r="F6757" s="0" t="s">
        <v>15</v>
      </c>
      <c r="G6757" s="0" t="s">
        <v>16</v>
      </c>
      <c r="H6757" s="0" t="n">
        <v>71</v>
      </c>
      <c r="I6757" s="0" t="s">
        <v>22502</v>
      </c>
      <c r="J6757" s="0" t="s">
        <v>22503</v>
      </c>
      <c r="K6757" s="0" t="s">
        <v>22504</v>
      </c>
      <c r="L6757" s="0" t="str">
        <f aca="false">HYPERLINK("https://www.ncbi.nlm.nih.gov/nuccore/CP000058.1?report=graph&amp;tracks=[key:gene_model_track,Options:GeneOnly]&amp;mk=2129672:2129691|offset_0|444444,2129719:2129738|offset_47|444444,2129743:2129762|offset_71|00cc00,2129780:2129799|offset_108|444444&amp;v=2129471:2129999&amp;c=444444", "offset 71")</f>
        <v>offset 71</v>
      </c>
    </row>
    <row r="6758" customFormat="false" ht="12.8" hidden="false" customHeight="false" outlineLevel="0" collapsed="false">
      <c r="A6758" s="0" t="s">
        <v>12</v>
      </c>
      <c r="B6758" s="0" t="n">
        <v>2129779</v>
      </c>
      <c r="C6758" s="0" t="n">
        <v>2129799</v>
      </c>
      <c r="D6758" s="0" t="s">
        <v>22495</v>
      </c>
      <c r="E6758" s="0" t="s">
        <v>75</v>
      </c>
      <c r="F6758" s="0" t="s">
        <v>15</v>
      </c>
      <c r="G6758" s="0" t="s">
        <v>16</v>
      </c>
      <c r="H6758" s="0" t="n">
        <v>108</v>
      </c>
      <c r="I6758" s="0" t="s">
        <v>22505</v>
      </c>
      <c r="J6758" s="0" t="s">
        <v>22506</v>
      </c>
      <c r="K6758" s="0" t="s">
        <v>22507</v>
      </c>
      <c r="L6758" s="0" t="str">
        <f aca="false">HYPERLINK("https://www.ncbi.nlm.nih.gov/nuccore/CP000058.1?report=graph&amp;tracks=[key:gene_model_track,Options:GeneOnly]&amp;mk=2129672:2129691|offset_0|444444,2129719:2129738|offset_47|444444,2129743:2129762|offset_71|444444,2129780:2129799|offset_108|00cc00&amp;v=2129471:2129999&amp;c=444444", "offset 108")</f>
        <v>offset 108</v>
      </c>
    </row>
    <row r="6759" customFormat="false" ht="12.8" hidden="false" customHeight="false" outlineLevel="0" collapsed="false">
      <c r="A6759" s="0" t="s">
        <v>12</v>
      </c>
      <c r="B6759" s="0" t="n">
        <v>2130647</v>
      </c>
      <c r="C6759" s="0" t="n">
        <v>2130667</v>
      </c>
      <c r="D6759" s="0" t="s">
        <v>22508</v>
      </c>
      <c r="E6759" s="0" t="s">
        <v>75</v>
      </c>
      <c r="F6759" s="0" t="s">
        <v>15</v>
      </c>
      <c r="G6759" s="0" t="s">
        <v>32</v>
      </c>
      <c r="H6759" s="0" t="n">
        <v>20</v>
      </c>
      <c r="I6759" s="0" t="s">
        <v>22509</v>
      </c>
      <c r="J6759" s="0" t="s">
        <v>22510</v>
      </c>
      <c r="K6759" s="0" t="s">
        <v>22511</v>
      </c>
      <c r="L6759" s="0" t="str">
        <f aca="false">HYPERLINK("https://www.ncbi.nlm.nih.gov/nuccore/CP000058.1?report=graph&amp;tracks=[key:gene_model_track,Options:GeneOnly]&amp;mk=2130648:2130667|offset_20|00cc00,2130675:2130694|offset_47|444444,2130705:2130724|offset_77|444444,2130729:2130748|offset_101|444444&amp;v=2130447:2130948&amp;c=444444", "offset 20")</f>
        <v>offset 20</v>
      </c>
    </row>
    <row r="6760" customFormat="false" ht="12.8" hidden="false" customHeight="false" outlineLevel="0" collapsed="false">
      <c r="A6760" s="0" t="s">
        <v>12</v>
      </c>
      <c r="B6760" s="0" t="n">
        <v>2130674</v>
      </c>
      <c r="C6760" s="0" t="n">
        <v>2130694</v>
      </c>
      <c r="D6760" s="0" t="s">
        <v>22508</v>
      </c>
      <c r="E6760" s="0" t="s">
        <v>75</v>
      </c>
      <c r="F6760" s="0" t="s">
        <v>15</v>
      </c>
      <c r="G6760" s="0" t="s">
        <v>32</v>
      </c>
      <c r="H6760" s="0" t="n">
        <v>47</v>
      </c>
      <c r="I6760" s="0" t="s">
        <v>22512</v>
      </c>
      <c r="J6760" s="0" t="s">
        <v>22513</v>
      </c>
      <c r="K6760" s="0" t="s">
        <v>22514</v>
      </c>
      <c r="L6760" s="0" t="str">
        <f aca="false">HYPERLINK("https://www.ncbi.nlm.nih.gov/nuccore/CP000058.1?report=graph&amp;tracks=[key:gene_model_track,Options:GeneOnly]&amp;mk=2130648:2130667|offset_20|444444,2130675:2130694|offset_47|00cc00,2130705:2130724|offset_77|444444,2130729:2130748|offset_101|444444&amp;v=2130447:2130948&amp;c=444444", "offset 47")</f>
        <v>offset 47</v>
      </c>
    </row>
    <row r="6761" customFormat="false" ht="12.8" hidden="false" customHeight="false" outlineLevel="0" collapsed="false">
      <c r="A6761" s="0" t="s">
        <v>12</v>
      </c>
      <c r="B6761" s="0" t="n">
        <v>2130704</v>
      </c>
      <c r="C6761" s="0" t="n">
        <v>2130724</v>
      </c>
      <c r="D6761" s="0" t="s">
        <v>22508</v>
      </c>
      <c r="E6761" s="0" t="s">
        <v>75</v>
      </c>
      <c r="F6761" s="0" t="s">
        <v>15</v>
      </c>
      <c r="G6761" s="0" t="s">
        <v>20</v>
      </c>
      <c r="H6761" s="0" t="n">
        <v>77</v>
      </c>
      <c r="I6761" s="0" t="s">
        <v>22515</v>
      </c>
      <c r="J6761" s="0" t="s">
        <v>22516</v>
      </c>
      <c r="K6761" s="0" t="s">
        <v>22517</v>
      </c>
      <c r="L6761" s="0" t="str">
        <f aca="false">HYPERLINK("https://www.ncbi.nlm.nih.gov/nuccore/CP000058.1?report=graph&amp;tracks=[key:gene_model_track,Options:GeneOnly]&amp;mk=2130648:2130667|offset_20|444444,2130675:2130694|offset_47|444444,2130705:2130724|offset_77|00cc00,2130729:2130748|offset_101|444444&amp;v=2130447:2130948&amp;c=444444", "offset 77")</f>
        <v>offset 77</v>
      </c>
    </row>
    <row r="6762" customFormat="false" ht="12.8" hidden="false" customHeight="false" outlineLevel="0" collapsed="false">
      <c r="A6762" s="0" t="s">
        <v>12</v>
      </c>
      <c r="B6762" s="0" t="n">
        <v>2130728</v>
      </c>
      <c r="C6762" s="0" t="n">
        <v>2130748</v>
      </c>
      <c r="D6762" s="0" t="s">
        <v>22508</v>
      </c>
      <c r="E6762" s="0" t="s">
        <v>75</v>
      </c>
      <c r="F6762" s="0" t="s">
        <v>15</v>
      </c>
      <c r="G6762" s="0" t="s">
        <v>32</v>
      </c>
      <c r="H6762" s="0" t="n">
        <v>101</v>
      </c>
      <c r="I6762" s="0" t="s">
        <v>22518</v>
      </c>
      <c r="J6762" s="0" t="s">
        <v>22519</v>
      </c>
      <c r="K6762" s="0" t="s">
        <v>22520</v>
      </c>
      <c r="L6762" s="0" t="str">
        <f aca="false">HYPERLINK("https://www.ncbi.nlm.nih.gov/nuccore/CP000058.1?report=graph&amp;tracks=[key:gene_model_track,Options:GeneOnly]&amp;mk=2130648:2130667|offset_20|444444,2130675:2130694|offset_47|444444,2130705:2130724|offset_77|444444,2130729:2130748|offset_101|00cc00&amp;v=2130447:2130948&amp;c=444444", "offset 101")</f>
        <v>offset 101</v>
      </c>
    </row>
    <row r="6763" customFormat="false" ht="12.8" hidden="false" customHeight="false" outlineLevel="0" collapsed="false">
      <c r="A6763" s="0" t="s">
        <v>12</v>
      </c>
      <c r="B6763" s="0" t="n">
        <v>2131869</v>
      </c>
      <c r="C6763" s="0" t="n">
        <v>2131889</v>
      </c>
      <c r="D6763" s="0" t="s">
        <v>22521</v>
      </c>
      <c r="E6763" s="0" t="s">
        <v>75</v>
      </c>
      <c r="F6763" s="0" t="s">
        <v>90</v>
      </c>
      <c r="G6763" s="0" t="s">
        <v>20</v>
      </c>
      <c r="H6763" s="0" t="n">
        <v>0</v>
      </c>
      <c r="I6763" s="0" t="s">
        <v>22522</v>
      </c>
      <c r="J6763" s="0" t="s">
        <v>22523</v>
      </c>
      <c r="K6763" s="0" t="s">
        <v>22524</v>
      </c>
      <c r="L6763" s="0" t="str">
        <f aca="false">HYPERLINK("https://www.ncbi.nlm.nih.gov/nuccore/CP000058.1?report=graph&amp;tracks=[key:gene_model_track,Options:GeneOnly]&amp;mk=2131870:2131889|offset_0|00cc00,2131821:2131840|offset_49|444444,2131745:2131764|offset_125|444444,2131694:2131713|offset_176|444444&amp;v=2131669:2131913&amp;c=444444", "offset 0")</f>
        <v>offset 0</v>
      </c>
    </row>
    <row r="6764" customFormat="false" ht="12.8" hidden="false" customHeight="false" outlineLevel="0" collapsed="false">
      <c r="A6764" s="0" t="s">
        <v>12</v>
      </c>
      <c r="B6764" s="0" t="n">
        <v>2131820</v>
      </c>
      <c r="C6764" s="0" t="n">
        <v>2131840</v>
      </c>
      <c r="D6764" s="0" t="s">
        <v>22521</v>
      </c>
      <c r="E6764" s="0" t="s">
        <v>75</v>
      </c>
      <c r="F6764" s="0" t="s">
        <v>90</v>
      </c>
      <c r="G6764" s="0" t="s">
        <v>36</v>
      </c>
      <c r="H6764" s="0" t="n">
        <v>49</v>
      </c>
      <c r="I6764" s="0" t="s">
        <v>22525</v>
      </c>
      <c r="J6764" s="0" t="s">
        <v>22526</v>
      </c>
      <c r="K6764" s="0" t="s">
        <v>22527</v>
      </c>
      <c r="L6764" s="0" t="str">
        <f aca="false">HYPERLINK("https://www.ncbi.nlm.nih.gov/nuccore/CP000058.1?report=graph&amp;tracks=[key:gene_model_track,Options:GeneOnly]&amp;mk=2131870:2131889|offset_0|444444,2131821:2131840|offset_49|00cc00,2131745:2131764|offset_125|444444,2131694:2131713|offset_176|444444&amp;v=2131669:2131913&amp;c=444444", "offset 49")</f>
        <v>offset 49</v>
      </c>
    </row>
    <row r="6765" customFormat="false" ht="12.8" hidden="false" customHeight="false" outlineLevel="0" collapsed="false">
      <c r="A6765" s="0" t="s">
        <v>12</v>
      </c>
      <c r="B6765" s="0" t="n">
        <v>2131744</v>
      </c>
      <c r="C6765" s="0" t="n">
        <v>2131764</v>
      </c>
      <c r="D6765" s="0" t="s">
        <v>22521</v>
      </c>
      <c r="E6765" s="0" t="s">
        <v>75</v>
      </c>
      <c r="F6765" s="0" t="s">
        <v>90</v>
      </c>
      <c r="G6765" s="0" t="s">
        <v>32</v>
      </c>
      <c r="H6765" s="0" t="n">
        <v>125</v>
      </c>
      <c r="I6765" s="0" t="s">
        <v>22528</v>
      </c>
      <c r="J6765" s="0" t="s">
        <v>22529</v>
      </c>
      <c r="K6765" s="0" t="s">
        <v>22530</v>
      </c>
      <c r="L6765" s="0" t="str">
        <f aca="false">HYPERLINK("https://www.ncbi.nlm.nih.gov/nuccore/CP000058.1?report=graph&amp;tracks=[key:gene_model_track,Options:GeneOnly]&amp;mk=2131870:2131889|offset_0|444444,2131821:2131840|offset_49|444444,2131745:2131764|offset_125|00cc00,2131694:2131713|offset_176|444444&amp;v=2131669:2131913&amp;c=444444", "offset 125")</f>
        <v>offset 125</v>
      </c>
    </row>
    <row r="6766" customFormat="false" ht="12.8" hidden="false" customHeight="false" outlineLevel="0" collapsed="false">
      <c r="A6766" s="0" t="s">
        <v>12</v>
      </c>
      <c r="B6766" s="0" t="n">
        <v>2131693</v>
      </c>
      <c r="C6766" s="0" t="n">
        <v>2131713</v>
      </c>
      <c r="D6766" s="0" t="s">
        <v>22521</v>
      </c>
      <c r="E6766" s="0" t="s">
        <v>75</v>
      </c>
      <c r="F6766" s="0" t="s">
        <v>90</v>
      </c>
      <c r="G6766" s="0" t="s">
        <v>16</v>
      </c>
      <c r="H6766" s="0" t="n">
        <v>176</v>
      </c>
      <c r="I6766" s="0" t="s">
        <v>22531</v>
      </c>
      <c r="J6766" s="0" t="s">
        <v>22532</v>
      </c>
      <c r="K6766" s="0" t="s">
        <v>22533</v>
      </c>
      <c r="L6766" s="0" t="str">
        <f aca="false">HYPERLINK("https://www.ncbi.nlm.nih.gov/nuccore/CP000058.1?report=graph&amp;tracks=[key:gene_model_track,Options:GeneOnly]&amp;mk=2131870:2131889|offset_0|444444,2131821:2131840|offset_49|444444,2131745:2131764|offset_125|444444,2131694:2131713|offset_176|00cc00&amp;v=2131669:2131913&amp;c=444444", "offset 176")</f>
        <v>offset 176</v>
      </c>
    </row>
    <row r="6767" customFormat="false" ht="12.8" hidden="false" customHeight="false" outlineLevel="0" collapsed="false">
      <c r="A6767" s="0" t="s">
        <v>12</v>
      </c>
      <c r="B6767" s="0" t="n">
        <v>2134216</v>
      </c>
      <c r="C6767" s="0" t="n">
        <v>2134236</v>
      </c>
      <c r="D6767" s="0" t="s">
        <v>22534</v>
      </c>
      <c r="E6767" s="0" t="s">
        <v>22535</v>
      </c>
      <c r="F6767" s="0" t="s">
        <v>90</v>
      </c>
      <c r="G6767" s="0" t="s">
        <v>32</v>
      </c>
      <c r="H6767" s="0" t="n">
        <v>1</v>
      </c>
      <c r="I6767" s="0" t="s">
        <v>22536</v>
      </c>
      <c r="J6767" s="0" t="s">
        <v>22537</v>
      </c>
      <c r="K6767" s="0" t="s">
        <v>22538</v>
      </c>
      <c r="L6767" s="0" t="str">
        <f aca="false">HYPERLINK("https://www.ncbi.nlm.nih.gov/nuccore/CP000058.1?report=graph&amp;tracks=[key:gene_model_track,Options:GeneOnly]&amp;mk=2134217:2134236|offset_1|00cc00,2134168:2134187|offset_50|444444,2134142:2134161|offset_76|444444,2134102:2134121|offset_116|444444&amp;v=2134016:2134321&amp;c=444444", "offset 1")</f>
        <v>offset 1</v>
      </c>
    </row>
    <row r="6768" customFormat="false" ht="12.8" hidden="false" customHeight="false" outlineLevel="0" collapsed="false">
      <c r="A6768" s="0" t="s">
        <v>12</v>
      </c>
      <c r="B6768" s="0" t="n">
        <v>2134167</v>
      </c>
      <c r="C6768" s="0" t="n">
        <v>2134187</v>
      </c>
      <c r="D6768" s="0" t="s">
        <v>22534</v>
      </c>
      <c r="E6768" s="0" t="s">
        <v>22535</v>
      </c>
      <c r="F6768" s="0" t="s">
        <v>90</v>
      </c>
      <c r="G6768" s="0" t="s">
        <v>16</v>
      </c>
      <c r="H6768" s="0" t="n">
        <v>50</v>
      </c>
      <c r="I6768" s="0" t="s">
        <v>22539</v>
      </c>
      <c r="J6768" s="0" t="s">
        <v>22540</v>
      </c>
      <c r="K6768" s="0" t="s">
        <v>22541</v>
      </c>
      <c r="L6768" s="0" t="str">
        <f aca="false">HYPERLINK("https://www.ncbi.nlm.nih.gov/nuccore/CP000058.1?report=graph&amp;tracks=[key:gene_model_track,Options:GeneOnly]&amp;mk=2134217:2134236|offset_1|444444,2134168:2134187|offset_50|00cc00,2134142:2134161|offset_76|444444,2134102:2134121|offset_116|444444&amp;v=2134016:2134321&amp;c=444444", "offset 50")</f>
        <v>offset 50</v>
      </c>
    </row>
    <row r="6769" customFormat="false" ht="12.8" hidden="false" customHeight="false" outlineLevel="0" collapsed="false">
      <c r="A6769" s="0" t="s">
        <v>12</v>
      </c>
      <c r="B6769" s="0" t="n">
        <v>2134141</v>
      </c>
      <c r="C6769" s="0" t="n">
        <v>2134161</v>
      </c>
      <c r="D6769" s="0" t="s">
        <v>22534</v>
      </c>
      <c r="E6769" s="0" t="s">
        <v>22535</v>
      </c>
      <c r="F6769" s="0" t="s">
        <v>90</v>
      </c>
      <c r="G6769" s="0" t="s">
        <v>16</v>
      </c>
      <c r="H6769" s="0" t="n">
        <v>76</v>
      </c>
      <c r="I6769" s="0" t="s">
        <v>22542</v>
      </c>
      <c r="J6769" s="0" t="s">
        <v>22543</v>
      </c>
      <c r="K6769" s="0" t="s">
        <v>22544</v>
      </c>
      <c r="L6769" s="0" t="str">
        <f aca="false">HYPERLINK("https://www.ncbi.nlm.nih.gov/nuccore/CP000058.1?report=graph&amp;tracks=[key:gene_model_track,Options:GeneOnly]&amp;mk=2134217:2134236|offset_1|444444,2134168:2134187|offset_50|444444,2134142:2134161|offset_76|00cc00,2134102:2134121|offset_116|444444&amp;v=2134016:2134321&amp;c=444444", "offset 76")</f>
        <v>offset 76</v>
      </c>
    </row>
    <row r="6770" customFormat="false" ht="12.8" hidden="false" customHeight="false" outlineLevel="0" collapsed="false">
      <c r="A6770" s="0" t="s">
        <v>12</v>
      </c>
      <c r="B6770" s="0" t="n">
        <v>2134101</v>
      </c>
      <c r="C6770" s="0" t="n">
        <v>2134121</v>
      </c>
      <c r="D6770" s="0" t="s">
        <v>22534</v>
      </c>
      <c r="E6770" s="0" t="s">
        <v>22535</v>
      </c>
      <c r="F6770" s="0" t="s">
        <v>90</v>
      </c>
      <c r="G6770" s="0" t="s">
        <v>20</v>
      </c>
      <c r="H6770" s="0" t="n">
        <v>116</v>
      </c>
      <c r="I6770" s="0" t="s">
        <v>22545</v>
      </c>
      <c r="J6770" s="0" t="s">
        <v>22546</v>
      </c>
      <c r="K6770" s="0" t="s">
        <v>22547</v>
      </c>
      <c r="L6770" s="0" t="str">
        <f aca="false">HYPERLINK("https://www.ncbi.nlm.nih.gov/nuccore/CP000058.1?report=graph&amp;tracks=[key:gene_model_track,Options:GeneOnly]&amp;mk=2134217:2134236|offset_1|444444,2134168:2134187|offset_50|444444,2134142:2134161|offset_76|444444,2134102:2134121|offset_116|00cc00&amp;v=2134016:2134321&amp;c=444444", "offset 116")</f>
        <v>offset 116</v>
      </c>
    </row>
    <row r="6771" customFormat="false" ht="12.8" hidden="false" customHeight="false" outlineLevel="0" collapsed="false">
      <c r="A6771" s="0" t="s">
        <v>12</v>
      </c>
      <c r="B6771" s="0" t="n">
        <v>2135008</v>
      </c>
      <c r="C6771" s="0" t="n">
        <v>2135028</v>
      </c>
      <c r="D6771" s="0" t="s">
        <v>22548</v>
      </c>
      <c r="E6771" s="0" t="s">
        <v>75</v>
      </c>
      <c r="F6771" s="0" t="s">
        <v>90</v>
      </c>
      <c r="G6771" s="0" t="s">
        <v>32</v>
      </c>
      <c r="H6771" s="0" t="n">
        <v>23</v>
      </c>
      <c r="I6771" s="0" t="s">
        <v>22549</v>
      </c>
      <c r="J6771" s="0" t="s">
        <v>22550</v>
      </c>
      <c r="K6771" s="0" t="s">
        <v>22551</v>
      </c>
      <c r="L6771" s="0" t="str">
        <f aca="false">HYPERLINK("https://www.ncbi.nlm.nih.gov/nuccore/CP000058.1?report=graph&amp;tracks=[key:gene_model_track,Options:GeneOnly]&amp;mk=2135009:2135028|offset_23|00cc00,2134989:2135008|offset_43|444444,2134956:2134975|offset_76|444444,2134908:2134927|offset_124|444444&amp;v=2134808:2135127&amp;c=444444", "offset 23")</f>
        <v>offset 23</v>
      </c>
    </row>
    <row r="6772" customFormat="false" ht="12.8" hidden="false" customHeight="false" outlineLevel="0" collapsed="false">
      <c r="A6772" s="0" t="s">
        <v>12</v>
      </c>
      <c r="B6772" s="0" t="n">
        <v>2134988</v>
      </c>
      <c r="C6772" s="0" t="n">
        <v>2135008</v>
      </c>
      <c r="D6772" s="0" t="s">
        <v>22548</v>
      </c>
      <c r="E6772" s="0" t="s">
        <v>75</v>
      </c>
      <c r="F6772" s="0" t="s">
        <v>90</v>
      </c>
      <c r="G6772" s="0" t="s">
        <v>32</v>
      </c>
      <c r="H6772" s="0" t="n">
        <v>43</v>
      </c>
      <c r="I6772" s="0" t="s">
        <v>22552</v>
      </c>
      <c r="J6772" s="0" t="s">
        <v>22553</v>
      </c>
      <c r="K6772" s="0" t="s">
        <v>22554</v>
      </c>
      <c r="L6772" s="0" t="str">
        <f aca="false">HYPERLINK("https://www.ncbi.nlm.nih.gov/nuccore/CP000058.1?report=graph&amp;tracks=[key:gene_model_track,Options:GeneOnly]&amp;mk=2135009:2135028|offset_23|444444,2134989:2135008|offset_43|00cc00,2134956:2134975|offset_76|444444,2134908:2134927|offset_124|444444&amp;v=2134808:2135127&amp;c=444444", "offset 43")</f>
        <v>offset 43</v>
      </c>
    </row>
    <row r="6773" customFormat="false" ht="12.8" hidden="false" customHeight="false" outlineLevel="0" collapsed="false">
      <c r="A6773" s="0" t="s">
        <v>12</v>
      </c>
      <c r="B6773" s="0" t="n">
        <v>2134955</v>
      </c>
      <c r="C6773" s="0" t="n">
        <v>2134975</v>
      </c>
      <c r="D6773" s="0" t="s">
        <v>22548</v>
      </c>
      <c r="E6773" s="0" t="s">
        <v>75</v>
      </c>
      <c r="F6773" s="0" t="s">
        <v>90</v>
      </c>
      <c r="G6773" s="0" t="s">
        <v>32</v>
      </c>
      <c r="H6773" s="0" t="n">
        <v>76</v>
      </c>
      <c r="I6773" s="0" t="s">
        <v>22555</v>
      </c>
      <c r="J6773" s="0" t="s">
        <v>22556</v>
      </c>
      <c r="K6773" s="0" t="s">
        <v>22557</v>
      </c>
      <c r="L6773" s="0" t="str">
        <f aca="false">HYPERLINK("https://www.ncbi.nlm.nih.gov/nuccore/CP000058.1?report=graph&amp;tracks=[key:gene_model_track,Options:GeneOnly]&amp;mk=2135009:2135028|offset_23|444444,2134989:2135008|offset_43|444444,2134956:2134975|offset_76|00cc00,2134908:2134927|offset_124|444444&amp;v=2134808:2135127&amp;c=444444", "offset 76")</f>
        <v>offset 76</v>
      </c>
    </row>
    <row r="6774" customFormat="false" ht="12.8" hidden="false" customHeight="false" outlineLevel="0" collapsed="false">
      <c r="A6774" s="0" t="s">
        <v>12</v>
      </c>
      <c r="B6774" s="0" t="n">
        <v>2134907</v>
      </c>
      <c r="C6774" s="0" t="n">
        <v>2134927</v>
      </c>
      <c r="D6774" s="0" t="s">
        <v>22548</v>
      </c>
      <c r="E6774" s="0" t="s">
        <v>75</v>
      </c>
      <c r="F6774" s="0" t="s">
        <v>90</v>
      </c>
      <c r="G6774" s="0" t="s">
        <v>16</v>
      </c>
      <c r="H6774" s="0" t="n">
        <v>124</v>
      </c>
      <c r="I6774" s="0" t="s">
        <v>22558</v>
      </c>
      <c r="J6774" s="0" t="s">
        <v>22559</v>
      </c>
      <c r="K6774" s="0" t="s">
        <v>22560</v>
      </c>
      <c r="L6774" s="0" t="str">
        <f aca="false">HYPERLINK("https://www.ncbi.nlm.nih.gov/nuccore/CP000058.1?report=graph&amp;tracks=[key:gene_model_track,Options:GeneOnly]&amp;mk=2135009:2135028|offset_23|444444,2134989:2135008|offset_43|444444,2134956:2134975|offset_76|444444,2134908:2134927|offset_124|00cc00&amp;v=2134808:2135127&amp;c=444444", "offset 124")</f>
        <v>offset 124</v>
      </c>
    </row>
    <row r="6775" customFormat="false" ht="12.8" hidden="false" customHeight="false" outlineLevel="0" collapsed="false">
      <c r="A6775" s="0" t="s">
        <v>12</v>
      </c>
      <c r="B6775" s="0" t="n">
        <v>2135422</v>
      </c>
      <c r="C6775" s="0" t="n">
        <v>2135442</v>
      </c>
      <c r="D6775" s="0" t="s">
        <v>22561</v>
      </c>
      <c r="E6775" s="0" t="s">
        <v>75</v>
      </c>
      <c r="F6775" s="0" t="s">
        <v>90</v>
      </c>
      <c r="G6775" s="0" t="s">
        <v>16</v>
      </c>
      <c r="H6775" s="0" t="n">
        <v>28</v>
      </c>
      <c r="I6775" s="0" t="s">
        <v>22562</v>
      </c>
      <c r="J6775" s="0" t="s">
        <v>22563</v>
      </c>
      <c r="K6775" s="0" t="s">
        <v>22564</v>
      </c>
      <c r="L6775" s="0" t="str">
        <f aca="false">HYPERLINK("https://www.ncbi.nlm.nih.gov/nuccore/CP000058.1?report=graph&amp;tracks=[key:gene_model_track,Options:GeneOnly]&amp;mk=2135423:2135442|offset_28|00cc00,2135399:2135418|offset_52|444444,2135362:2135381|offset_89|444444,2135315:2135334|offset_136|444444&amp;v=2135222:2135534&amp;c=444444", "offset 28")</f>
        <v>offset 28</v>
      </c>
    </row>
    <row r="6776" customFormat="false" ht="12.8" hidden="false" customHeight="false" outlineLevel="0" collapsed="false">
      <c r="A6776" s="0" t="s">
        <v>12</v>
      </c>
      <c r="B6776" s="0" t="n">
        <v>2135398</v>
      </c>
      <c r="C6776" s="0" t="n">
        <v>2135418</v>
      </c>
      <c r="D6776" s="0" t="s">
        <v>22561</v>
      </c>
      <c r="E6776" s="0" t="s">
        <v>75</v>
      </c>
      <c r="F6776" s="0" t="s">
        <v>90</v>
      </c>
      <c r="G6776" s="0" t="s">
        <v>36</v>
      </c>
      <c r="H6776" s="0" t="n">
        <v>52</v>
      </c>
      <c r="I6776" s="0" t="s">
        <v>22565</v>
      </c>
      <c r="J6776" s="0" t="s">
        <v>22566</v>
      </c>
      <c r="K6776" s="0" t="s">
        <v>22567</v>
      </c>
      <c r="L6776" s="0" t="str">
        <f aca="false">HYPERLINK("https://www.ncbi.nlm.nih.gov/nuccore/CP000058.1?report=graph&amp;tracks=[key:gene_model_track,Options:GeneOnly]&amp;mk=2135423:2135442|offset_28|444444,2135399:2135418|offset_52|00cc00,2135362:2135381|offset_89|444444,2135315:2135334|offset_136|444444&amp;v=2135222:2135534&amp;c=444444", "offset 52")</f>
        <v>offset 52</v>
      </c>
    </row>
    <row r="6777" customFormat="false" ht="12.8" hidden="false" customHeight="false" outlineLevel="0" collapsed="false">
      <c r="A6777" s="0" t="s">
        <v>12</v>
      </c>
      <c r="B6777" s="0" t="n">
        <v>2135361</v>
      </c>
      <c r="C6777" s="0" t="n">
        <v>2135381</v>
      </c>
      <c r="D6777" s="0" t="s">
        <v>22561</v>
      </c>
      <c r="E6777" s="0" t="s">
        <v>75</v>
      </c>
      <c r="F6777" s="0" t="s">
        <v>90</v>
      </c>
      <c r="G6777" s="0" t="s">
        <v>36</v>
      </c>
      <c r="H6777" s="0" t="n">
        <v>89</v>
      </c>
      <c r="I6777" s="0" t="s">
        <v>22568</v>
      </c>
      <c r="J6777" s="0" t="s">
        <v>22569</v>
      </c>
      <c r="K6777" s="0" t="s">
        <v>22570</v>
      </c>
      <c r="L6777" s="0" t="str">
        <f aca="false">HYPERLINK("https://www.ncbi.nlm.nih.gov/nuccore/CP000058.1?report=graph&amp;tracks=[key:gene_model_track,Options:GeneOnly]&amp;mk=2135423:2135442|offset_28|444444,2135399:2135418|offset_52|444444,2135362:2135381|offset_89|00cc00,2135315:2135334|offset_136|444444&amp;v=2135222:2135534&amp;c=444444", "offset 89")</f>
        <v>offset 89</v>
      </c>
    </row>
    <row r="6778" customFormat="false" ht="12.8" hidden="false" customHeight="false" outlineLevel="0" collapsed="false">
      <c r="A6778" s="0" t="s">
        <v>12</v>
      </c>
      <c r="B6778" s="0" t="n">
        <v>2135314</v>
      </c>
      <c r="C6778" s="0" t="n">
        <v>2135334</v>
      </c>
      <c r="D6778" s="0" t="s">
        <v>22561</v>
      </c>
      <c r="E6778" s="0" t="s">
        <v>75</v>
      </c>
      <c r="F6778" s="0" t="s">
        <v>90</v>
      </c>
      <c r="G6778" s="0" t="s">
        <v>16</v>
      </c>
      <c r="H6778" s="0" t="n">
        <v>136</v>
      </c>
      <c r="I6778" s="0" t="s">
        <v>22571</v>
      </c>
      <c r="J6778" s="0" t="s">
        <v>22572</v>
      </c>
      <c r="K6778" s="0" t="s">
        <v>22573</v>
      </c>
      <c r="L6778" s="0" t="str">
        <f aca="false">HYPERLINK("https://www.ncbi.nlm.nih.gov/nuccore/CP000058.1?report=graph&amp;tracks=[key:gene_model_track,Options:GeneOnly]&amp;mk=2135423:2135442|offset_28|444444,2135399:2135418|offset_52|444444,2135362:2135381|offset_89|444444,2135315:2135334|offset_136|00cc00&amp;v=2135222:2135534&amp;c=444444", "offset 136")</f>
        <v>offset 136</v>
      </c>
    </row>
    <row r="6779" customFormat="false" ht="12.8" hidden="false" customHeight="false" outlineLevel="0" collapsed="false">
      <c r="A6779" s="0" t="s">
        <v>12</v>
      </c>
      <c r="B6779" s="0" t="n">
        <v>2135675</v>
      </c>
      <c r="C6779" s="0" t="n">
        <v>2135695</v>
      </c>
      <c r="D6779" s="0" t="s">
        <v>22574</v>
      </c>
      <c r="E6779" s="0" t="s">
        <v>75</v>
      </c>
      <c r="F6779" s="0" t="s">
        <v>15</v>
      </c>
      <c r="G6779" s="0" t="s">
        <v>36</v>
      </c>
      <c r="H6779" s="0" t="n">
        <v>43</v>
      </c>
      <c r="I6779" s="0" t="s">
        <v>22575</v>
      </c>
      <c r="J6779" s="0" t="s">
        <v>22576</v>
      </c>
      <c r="K6779" s="0" t="s">
        <v>22577</v>
      </c>
      <c r="L6779" s="0" t="str">
        <f aca="false">HYPERLINK("https://www.ncbi.nlm.nih.gov/nuccore/CP000058.1?report=graph&amp;tracks=[key:gene_model_track,Options:GeneOnly]&amp;mk=2135676:2135695|offset_43|00cc00,2135714:2135733|offset_81|444444,2135786:2135805|offset_153|444444,2135818:2135837|offset_185|444444&amp;v=2135475:2136037&amp;c=444444", "offset 43")</f>
        <v>offset 43</v>
      </c>
    </row>
    <row r="6780" customFormat="false" ht="12.8" hidden="false" customHeight="false" outlineLevel="0" collapsed="false">
      <c r="A6780" s="0" t="s">
        <v>12</v>
      </c>
      <c r="B6780" s="0" t="n">
        <v>2135713</v>
      </c>
      <c r="C6780" s="0" t="n">
        <v>2135733</v>
      </c>
      <c r="D6780" s="0" t="s">
        <v>22574</v>
      </c>
      <c r="E6780" s="0" t="s">
        <v>75</v>
      </c>
      <c r="F6780" s="0" t="s">
        <v>15</v>
      </c>
      <c r="G6780" s="0" t="s">
        <v>16</v>
      </c>
      <c r="H6780" s="0" t="n">
        <v>81</v>
      </c>
      <c r="I6780" s="0" t="s">
        <v>22578</v>
      </c>
      <c r="J6780" s="0" t="s">
        <v>22579</v>
      </c>
      <c r="K6780" s="0" t="s">
        <v>22580</v>
      </c>
      <c r="L6780" s="0" t="str">
        <f aca="false">HYPERLINK("https://www.ncbi.nlm.nih.gov/nuccore/CP000058.1?report=graph&amp;tracks=[key:gene_model_track,Options:GeneOnly]&amp;mk=2135676:2135695|offset_43|444444,2135714:2135733|offset_81|00cc00,2135786:2135805|offset_153|444444,2135818:2135837|offset_185|444444&amp;v=2135475:2136037&amp;c=444444", "offset 81")</f>
        <v>offset 81</v>
      </c>
    </row>
    <row r="6781" customFormat="false" ht="12.8" hidden="false" customHeight="false" outlineLevel="0" collapsed="false">
      <c r="A6781" s="0" t="s">
        <v>12</v>
      </c>
      <c r="B6781" s="0" t="n">
        <v>2135785</v>
      </c>
      <c r="C6781" s="0" t="n">
        <v>2135805</v>
      </c>
      <c r="D6781" s="0" t="s">
        <v>22574</v>
      </c>
      <c r="E6781" s="0" t="s">
        <v>75</v>
      </c>
      <c r="F6781" s="0" t="s">
        <v>15</v>
      </c>
      <c r="G6781" s="0" t="s">
        <v>16</v>
      </c>
      <c r="H6781" s="0" t="n">
        <v>153</v>
      </c>
      <c r="I6781" s="0" t="s">
        <v>22581</v>
      </c>
      <c r="J6781" s="0" t="s">
        <v>22582</v>
      </c>
      <c r="K6781" s="0" t="s">
        <v>22583</v>
      </c>
      <c r="L6781" s="0" t="str">
        <f aca="false">HYPERLINK("https://www.ncbi.nlm.nih.gov/nuccore/CP000058.1?report=graph&amp;tracks=[key:gene_model_track,Options:GeneOnly]&amp;mk=2135676:2135695|offset_43|444444,2135714:2135733|offset_81|444444,2135786:2135805|offset_153|00cc00,2135818:2135837|offset_185|444444&amp;v=2135475:2136037&amp;c=444444", "offset 153")</f>
        <v>offset 153</v>
      </c>
    </row>
    <row r="6782" customFormat="false" ht="12.8" hidden="false" customHeight="false" outlineLevel="0" collapsed="false">
      <c r="A6782" s="0" t="s">
        <v>12</v>
      </c>
      <c r="B6782" s="0" t="n">
        <v>2135817</v>
      </c>
      <c r="C6782" s="0" t="n">
        <v>2135837</v>
      </c>
      <c r="D6782" s="0" t="s">
        <v>22574</v>
      </c>
      <c r="E6782" s="0" t="s">
        <v>75</v>
      </c>
      <c r="F6782" s="0" t="s">
        <v>15</v>
      </c>
      <c r="G6782" s="0" t="s">
        <v>32</v>
      </c>
      <c r="H6782" s="0" t="n">
        <v>185</v>
      </c>
      <c r="I6782" s="0" t="s">
        <v>22584</v>
      </c>
      <c r="J6782" s="0" t="s">
        <v>22585</v>
      </c>
      <c r="K6782" s="0" t="s">
        <v>22586</v>
      </c>
      <c r="L6782" s="0" t="str">
        <f aca="false">HYPERLINK("https://www.ncbi.nlm.nih.gov/nuccore/CP000058.1?report=graph&amp;tracks=[key:gene_model_track,Options:GeneOnly]&amp;mk=2135676:2135695|offset_43|444444,2135714:2135733|offset_81|444444,2135786:2135805|offset_153|444444,2135818:2135837|offset_185|00cc00&amp;v=2135475:2136037&amp;c=444444", "offset 185")</f>
        <v>offset 185</v>
      </c>
    </row>
    <row r="6783" customFormat="false" ht="12.8" hidden="false" customHeight="false" outlineLevel="0" collapsed="false">
      <c r="A6783" s="0" t="s">
        <v>12</v>
      </c>
      <c r="B6783" s="0" t="n">
        <v>2136362</v>
      </c>
      <c r="C6783" s="0" t="n">
        <v>2136382</v>
      </c>
      <c r="D6783" s="0" t="s">
        <v>22587</v>
      </c>
      <c r="E6783" s="0" t="s">
        <v>75</v>
      </c>
      <c r="F6783" s="0" t="s">
        <v>90</v>
      </c>
      <c r="G6783" s="0" t="s">
        <v>32</v>
      </c>
      <c r="H6783" s="0" t="n">
        <v>1</v>
      </c>
      <c r="I6783" s="0" t="s">
        <v>22588</v>
      </c>
      <c r="J6783" s="0" t="s">
        <v>22589</v>
      </c>
      <c r="K6783" s="0" t="s">
        <v>22590</v>
      </c>
      <c r="L6783" s="0" t="str">
        <f aca="false">HYPERLINK("https://www.ncbi.nlm.nih.gov/nuccore/CP000058.1?report=graph&amp;tracks=[key:gene_model_track,Options:GeneOnly]&amp;mk=2136363:2136382|offset_1|00cc00,2136248:2136267|offset_116|444444,2136212:2136231|offset_152|444444,2136178:2136197|offset_186|444444&amp;v=2136162:2136397&amp;c=444444", "offset 1")</f>
        <v>offset 1</v>
      </c>
    </row>
    <row r="6784" customFormat="false" ht="12.8" hidden="false" customHeight="false" outlineLevel="0" collapsed="false">
      <c r="A6784" s="0" t="s">
        <v>12</v>
      </c>
      <c r="B6784" s="0" t="n">
        <v>2136247</v>
      </c>
      <c r="C6784" s="0" t="n">
        <v>2136267</v>
      </c>
      <c r="D6784" s="0" t="s">
        <v>22587</v>
      </c>
      <c r="E6784" s="0" t="s">
        <v>75</v>
      </c>
      <c r="F6784" s="0" t="s">
        <v>90</v>
      </c>
      <c r="G6784" s="0" t="s">
        <v>36</v>
      </c>
      <c r="H6784" s="0" t="n">
        <v>116</v>
      </c>
      <c r="I6784" s="0" t="s">
        <v>22591</v>
      </c>
      <c r="J6784" s="0" t="s">
        <v>22592</v>
      </c>
      <c r="K6784" s="0" t="s">
        <v>22593</v>
      </c>
      <c r="L6784" s="0" t="str">
        <f aca="false">HYPERLINK("https://www.ncbi.nlm.nih.gov/nuccore/CP000058.1?report=graph&amp;tracks=[key:gene_model_track,Options:GeneOnly]&amp;mk=2136363:2136382|offset_1|444444,2136248:2136267|offset_116|00cc00,2136212:2136231|offset_152|444444,2136178:2136197|offset_186|444444&amp;v=2136162:2136397&amp;c=444444", "offset 116")</f>
        <v>offset 116</v>
      </c>
    </row>
    <row r="6785" customFormat="false" ht="12.8" hidden="false" customHeight="false" outlineLevel="0" collapsed="false">
      <c r="A6785" s="0" t="s">
        <v>12</v>
      </c>
      <c r="B6785" s="0" t="n">
        <v>2136211</v>
      </c>
      <c r="C6785" s="0" t="n">
        <v>2136231</v>
      </c>
      <c r="D6785" s="0" t="s">
        <v>22587</v>
      </c>
      <c r="E6785" s="0" t="s">
        <v>75</v>
      </c>
      <c r="F6785" s="0" t="s">
        <v>90</v>
      </c>
      <c r="G6785" s="0" t="s">
        <v>32</v>
      </c>
      <c r="H6785" s="0" t="n">
        <v>152</v>
      </c>
      <c r="I6785" s="0" t="s">
        <v>22594</v>
      </c>
      <c r="J6785" s="0" t="s">
        <v>22595</v>
      </c>
      <c r="K6785" s="0" t="s">
        <v>22596</v>
      </c>
      <c r="L6785" s="0" t="str">
        <f aca="false">HYPERLINK("https://www.ncbi.nlm.nih.gov/nuccore/CP000058.1?report=graph&amp;tracks=[key:gene_model_track,Options:GeneOnly]&amp;mk=2136363:2136382|offset_1|444444,2136248:2136267|offset_116|444444,2136212:2136231|offset_152|00cc00,2136178:2136197|offset_186|444444&amp;v=2136162:2136397&amp;c=444444", "offset 152")</f>
        <v>offset 152</v>
      </c>
    </row>
    <row r="6786" customFormat="false" ht="12.8" hidden="false" customHeight="false" outlineLevel="0" collapsed="false">
      <c r="A6786" s="0" t="s">
        <v>12</v>
      </c>
      <c r="B6786" s="0" t="n">
        <v>2136177</v>
      </c>
      <c r="C6786" s="0" t="n">
        <v>2136197</v>
      </c>
      <c r="D6786" s="0" t="s">
        <v>22587</v>
      </c>
      <c r="E6786" s="0" t="s">
        <v>75</v>
      </c>
      <c r="F6786" s="0" t="s">
        <v>90</v>
      </c>
      <c r="G6786" s="0" t="s">
        <v>20</v>
      </c>
      <c r="H6786" s="0" t="n">
        <v>186</v>
      </c>
      <c r="I6786" s="0" t="s">
        <v>22597</v>
      </c>
      <c r="J6786" s="0" t="s">
        <v>22598</v>
      </c>
      <c r="K6786" s="0" t="s">
        <v>22599</v>
      </c>
      <c r="L6786" s="0" t="str">
        <f aca="false">HYPERLINK("https://www.ncbi.nlm.nih.gov/nuccore/CP000058.1?report=graph&amp;tracks=[key:gene_model_track,Options:GeneOnly]&amp;mk=2136363:2136382|offset_1|444444,2136248:2136267|offset_116|444444,2136212:2136231|offset_152|444444,2136178:2136197|offset_186|00cc00&amp;v=2136162:2136397&amp;c=444444", "offset 186")</f>
        <v>offset 186</v>
      </c>
    </row>
    <row r="6787" customFormat="false" ht="12.8" hidden="false" customHeight="false" outlineLevel="0" collapsed="false">
      <c r="A6787" s="0" t="s">
        <v>12</v>
      </c>
      <c r="B6787" s="0" t="n">
        <v>2136547</v>
      </c>
      <c r="C6787" s="0" t="n">
        <v>2136567</v>
      </c>
      <c r="D6787" s="0" t="s">
        <v>22600</v>
      </c>
      <c r="E6787" s="0" t="s">
        <v>75</v>
      </c>
      <c r="F6787" s="0" t="s">
        <v>15</v>
      </c>
      <c r="G6787" s="0" t="s">
        <v>32</v>
      </c>
      <c r="H6787" s="0" t="n">
        <v>13</v>
      </c>
      <c r="I6787" s="0" t="s">
        <v>22601</v>
      </c>
      <c r="J6787" s="0" t="s">
        <v>22602</v>
      </c>
      <c r="K6787" s="0" t="s">
        <v>22603</v>
      </c>
      <c r="L6787" s="0" t="str">
        <f aca="false">HYPERLINK("https://www.ncbi.nlm.nih.gov/nuccore/CP000058.1?report=graph&amp;tracks=[key:gene_model_track,Options:GeneOnly]&amp;mk=2136548:2136567|offset_13|00cc00,2136583:2136602|offset_48|444444,2136604:2136623|offset_69|444444,2136631:2136650|offset_96|444444&amp;v=2136347:2136850&amp;c=444444", "offset 13")</f>
        <v>offset 13</v>
      </c>
    </row>
    <row r="6788" customFormat="false" ht="12.8" hidden="false" customHeight="false" outlineLevel="0" collapsed="false">
      <c r="A6788" s="0" t="s">
        <v>12</v>
      </c>
      <c r="B6788" s="0" t="n">
        <v>2136582</v>
      </c>
      <c r="C6788" s="0" t="n">
        <v>2136602</v>
      </c>
      <c r="D6788" s="0" t="s">
        <v>22600</v>
      </c>
      <c r="E6788" s="0" t="s">
        <v>75</v>
      </c>
      <c r="F6788" s="0" t="s">
        <v>15</v>
      </c>
      <c r="G6788" s="0" t="s">
        <v>16</v>
      </c>
      <c r="H6788" s="0" t="n">
        <v>48</v>
      </c>
      <c r="I6788" s="0" t="s">
        <v>22604</v>
      </c>
      <c r="J6788" s="0" t="s">
        <v>22605</v>
      </c>
      <c r="K6788" s="0" t="s">
        <v>22606</v>
      </c>
      <c r="L6788" s="0" t="str">
        <f aca="false">HYPERLINK("https://www.ncbi.nlm.nih.gov/nuccore/CP000058.1?report=graph&amp;tracks=[key:gene_model_track,Options:GeneOnly]&amp;mk=2136548:2136567|offset_13|444444,2136583:2136602|offset_48|00cc00,2136604:2136623|offset_69|444444,2136631:2136650|offset_96|444444&amp;v=2136347:2136850&amp;c=444444", "offset 48")</f>
        <v>offset 48</v>
      </c>
    </row>
    <row r="6789" customFormat="false" ht="12.8" hidden="false" customHeight="false" outlineLevel="0" collapsed="false">
      <c r="A6789" s="0" t="s">
        <v>12</v>
      </c>
      <c r="B6789" s="0" t="n">
        <v>2136603</v>
      </c>
      <c r="C6789" s="0" t="n">
        <v>2136623</v>
      </c>
      <c r="D6789" s="0" t="s">
        <v>22600</v>
      </c>
      <c r="E6789" s="0" t="s">
        <v>75</v>
      </c>
      <c r="F6789" s="0" t="s">
        <v>15</v>
      </c>
      <c r="G6789" s="0" t="s">
        <v>16</v>
      </c>
      <c r="H6789" s="0" t="n">
        <v>69</v>
      </c>
      <c r="I6789" s="0" t="s">
        <v>22607</v>
      </c>
      <c r="J6789" s="0" t="s">
        <v>22608</v>
      </c>
      <c r="K6789" s="0" t="s">
        <v>22609</v>
      </c>
      <c r="L6789" s="0" t="str">
        <f aca="false">HYPERLINK("https://www.ncbi.nlm.nih.gov/nuccore/CP000058.1?report=graph&amp;tracks=[key:gene_model_track,Options:GeneOnly]&amp;mk=2136548:2136567|offset_13|444444,2136583:2136602|offset_48|444444,2136604:2136623|offset_69|00cc00,2136631:2136650|offset_96|444444&amp;v=2136347:2136850&amp;c=444444", "offset 69")</f>
        <v>offset 69</v>
      </c>
    </row>
    <row r="6790" customFormat="false" ht="12.8" hidden="false" customHeight="false" outlineLevel="0" collapsed="false">
      <c r="A6790" s="0" t="s">
        <v>12</v>
      </c>
      <c r="B6790" s="0" t="n">
        <v>2136630</v>
      </c>
      <c r="C6790" s="0" t="n">
        <v>2136650</v>
      </c>
      <c r="D6790" s="0" t="s">
        <v>22600</v>
      </c>
      <c r="E6790" s="0" t="s">
        <v>75</v>
      </c>
      <c r="F6790" s="0" t="s">
        <v>15</v>
      </c>
      <c r="G6790" s="0" t="s">
        <v>16</v>
      </c>
      <c r="H6790" s="0" t="n">
        <v>96</v>
      </c>
      <c r="I6790" s="0" t="s">
        <v>22610</v>
      </c>
      <c r="J6790" s="0" t="s">
        <v>22611</v>
      </c>
      <c r="K6790" s="0" t="s">
        <v>22612</v>
      </c>
      <c r="L6790" s="0" t="str">
        <f aca="false">HYPERLINK("https://www.ncbi.nlm.nih.gov/nuccore/CP000058.1?report=graph&amp;tracks=[key:gene_model_track,Options:GeneOnly]&amp;mk=2136548:2136567|offset_13|444444,2136583:2136602|offset_48|444444,2136604:2136623|offset_69|444444,2136631:2136650|offset_96|00cc00&amp;v=2136347:2136850&amp;c=444444", "offset 96")</f>
        <v>offset 96</v>
      </c>
    </row>
    <row r="6791" customFormat="false" ht="12.8" hidden="false" customHeight="false" outlineLevel="0" collapsed="false">
      <c r="A6791" s="0" t="s">
        <v>12</v>
      </c>
      <c r="B6791" s="0" t="n">
        <v>2137090</v>
      </c>
      <c r="C6791" s="0" t="n">
        <v>2137110</v>
      </c>
      <c r="D6791" s="0" t="s">
        <v>22613</v>
      </c>
      <c r="E6791" s="0" t="s">
        <v>22614</v>
      </c>
      <c r="F6791" s="0" t="s">
        <v>90</v>
      </c>
      <c r="G6791" s="0" t="s">
        <v>20</v>
      </c>
      <c r="H6791" s="0" t="n">
        <v>16</v>
      </c>
      <c r="I6791" s="0" t="s">
        <v>22615</v>
      </c>
      <c r="J6791" s="0" t="s">
        <v>22616</v>
      </c>
      <c r="K6791" s="0" t="s">
        <v>22617</v>
      </c>
      <c r="L6791" s="0" t="str">
        <f aca="false">HYPERLINK("https://www.ncbi.nlm.nih.gov/nuccore/CP000058.1?report=graph&amp;tracks=[key:gene_model_track,Options:GeneOnly]&amp;mk=2137091:2137110|offset_16|00cc00,2137062:2137081|offset_45|444444,2137031:2137050|offset_76|444444,2137009:2137028|offset_98|444444&amp;v=2136890:2137228&amp;c=444444", "offset 16")</f>
        <v>offset 16</v>
      </c>
    </row>
    <row r="6792" customFormat="false" ht="12.8" hidden="false" customHeight="false" outlineLevel="0" collapsed="false">
      <c r="A6792" s="0" t="s">
        <v>12</v>
      </c>
      <c r="B6792" s="0" t="n">
        <v>2137061</v>
      </c>
      <c r="C6792" s="0" t="n">
        <v>2137081</v>
      </c>
      <c r="D6792" s="0" t="s">
        <v>22613</v>
      </c>
      <c r="E6792" s="0" t="s">
        <v>22614</v>
      </c>
      <c r="F6792" s="0" t="s">
        <v>90</v>
      </c>
      <c r="G6792" s="0" t="s">
        <v>16</v>
      </c>
      <c r="H6792" s="0" t="n">
        <v>45</v>
      </c>
      <c r="I6792" s="0" t="s">
        <v>22618</v>
      </c>
      <c r="J6792" s="0" t="s">
        <v>22619</v>
      </c>
      <c r="K6792" s="0" t="s">
        <v>22620</v>
      </c>
      <c r="L6792" s="0" t="str">
        <f aca="false">HYPERLINK("https://www.ncbi.nlm.nih.gov/nuccore/CP000058.1?report=graph&amp;tracks=[key:gene_model_track,Options:GeneOnly]&amp;mk=2137091:2137110|offset_16|444444,2137062:2137081|offset_45|00cc00,2137031:2137050|offset_76|444444,2137009:2137028|offset_98|444444&amp;v=2136890:2137228&amp;c=444444", "offset 45")</f>
        <v>offset 45</v>
      </c>
    </row>
    <row r="6793" customFormat="false" ht="12.8" hidden="false" customHeight="false" outlineLevel="0" collapsed="false">
      <c r="A6793" s="0" t="s">
        <v>12</v>
      </c>
      <c r="B6793" s="0" t="n">
        <v>2137030</v>
      </c>
      <c r="C6793" s="0" t="n">
        <v>2137050</v>
      </c>
      <c r="D6793" s="0" t="s">
        <v>22613</v>
      </c>
      <c r="E6793" s="0" t="s">
        <v>22614</v>
      </c>
      <c r="F6793" s="0" t="s">
        <v>90</v>
      </c>
      <c r="G6793" s="0" t="s">
        <v>16</v>
      </c>
      <c r="H6793" s="0" t="n">
        <v>76</v>
      </c>
      <c r="I6793" s="0" t="s">
        <v>22621</v>
      </c>
      <c r="J6793" s="0" t="s">
        <v>22622</v>
      </c>
      <c r="K6793" s="0" t="s">
        <v>22623</v>
      </c>
      <c r="L6793" s="0" t="str">
        <f aca="false">HYPERLINK("https://www.ncbi.nlm.nih.gov/nuccore/CP000058.1?report=graph&amp;tracks=[key:gene_model_track,Options:GeneOnly]&amp;mk=2137091:2137110|offset_16|444444,2137062:2137081|offset_45|444444,2137031:2137050|offset_76|00cc00,2137009:2137028|offset_98|444444&amp;v=2136890:2137228&amp;c=444444", "offset 76")</f>
        <v>offset 76</v>
      </c>
    </row>
    <row r="6794" customFormat="false" ht="12.8" hidden="false" customHeight="false" outlineLevel="0" collapsed="false">
      <c r="A6794" s="0" t="s">
        <v>12</v>
      </c>
      <c r="B6794" s="0" t="n">
        <v>2137008</v>
      </c>
      <c r="C6794" s="0" t="n">
        <v>2137028</v>
      </c>
      <c r="D6794" s="0" t="s">
        <v>22613</v>
      </c>
      <c r="E6794" s="0" t="s">
        <v>22614</v>
      </c>
      <c r="F6794" s="0" t="s">
        <v>90</v>
      </c>
      <c r="G6794" s="0" t="s">
        <v>20</v>
      </c>
      <c r="H6794" s="0" t="n">
        <v>98</v>
      </c>
      <c r="I6794" s="0" t="s">
        <v>22624</v>
      </c>
      <c r="J6794" s="0" t="s">
        <v>22625</v>
      </c>
      <c r="K6794" s="0" t="s">
        <v>22626</v>
      </c>
      <c r="L6794" s="0" t="str">
        <f aca="false">HYPERLINK("https://www.ncbi.nlm.nih.gov/nuccore/CP000058.1?report=graph&amp;tracks=[key:gene_model_track,Options:GeneOnly]&amp;mk=2137091:2137110|offset_16|444444,2137062:2137081|offset_45|444444,2137031:2137050|offset_76|444444,2137009:2137028|offset_98|00cc00&amp;v=2136890:2137228&amp;c=444444", "offset 98")</f>
        <v>offset 98</v>
      </c>
    </row>
    <row r="6795" customFormat="false" ht="12.8" hidden="false" customHeight="false" outlineLevel="0" collapsed="false">
      <c r="A6795" s="0" t="s">
        <v>12</v>
      </c>
      <c r="B6795" s="0" t="n">
        <v>2137689</v>
      </c>
      <c r="C6795" s="0" t="n">
        <v>2137709</v>
      </c>
      <c r="D6795" s="0" t="s">
        <v>22627</v>
      </c>
      <c r="E6795" s="0" t="s">
        <v>75</v>
      </c>
      <c r="F6795" s="0" t="s">
        <v>90</v>
      </c>
      <c r="G6795" s="0" t="s">
        <v>20</v>
      </c>
      <c r="H6795" s="0" t="n">
        <v>14</v>
      </c>
      <c r="I6795" s="0" t="s">
        <v>22628</v>
      </c>
      <c r="J6795" s="0" t="s">
        <v>22629</v>
      </c>
      <c r="K6795" s="0" t="s">
        <v>22630</v>
      </c>
      <c r="L6795" s="0" t="str">
        <f aca="false">HYPERLINK("https://www.ncbi.nlm.nih.gov/nuccore/CP000058.1?report=graph&amp;tracks=[key:gene_model_track,Options:GeneOnly]&amp;mk=2137690:2137709|offset_14|00cc00,2137670:2137689|offset_34|444444,2137647:2137666|offset_57|444444,2137620:2137639|offset_84|444444&amp;v=2137489:2137839&amp;c=444444", "offset 14")</f>
        <v>offset 14</v>
      </c>
    </row>
    <row r="6796" customFormat="false" ht="12.8" hidden="false" customHeight="false" outlineLevel="0" collapsed="false">
      <c r="A6796" s="0" t="s">
        <v>12</v>
      </c>
      <c r="B6796" s="0" t="n">
        <v>2137669</v>
      </c>
      <c r="C6796" s="0" t="n">
        <v>2137689</v>
      </c>
      <c r="D6796" s="0" t="s">
        <v>22627</v>
      </c>
      <c r="E6796" s="0" t="s">
        <v>75</v>
      </c>
      <c r="F6796" s="0" t="s">
        <v>90</v>
      </c>
      <c r="G6796" s="0" t="s">
        <v>16</v>
      </c>
      <c r="H6796" s="0" t="n">
        <v>34</v>
      </c>
      <c r="I6796" s="0" t="s">
        <v>22631</v>
      </c>
      <c r="J6796" s="0" t="s">
        <v>22632</v>
      </c>
      <c r="K6796" s="0" t="s">
        <v>22633</v>
      </c>
      <c r="L6796" s="0" t="str">
        <f aca="false">HYPERLINK("https://www.ncbi.nlm.nih.gov/nuccore/CP000058.1?report=graph&amp;tracks=[key:gene_model_track,Options:GeneOnly]&amp;mk=2137690:2137709|offset_14|444444,2137670:2137689|offset_34|00cc00,2137647:2137666|offset_57|444444,2137620:2137639|offset_84|444444&amp;v=2137489:2137839&amp;c=444444", "offset 34")</f>
        <v>offset 34</v>
      </c>
    </row>
    <row r="6797" customFormat="false" ht="12.8" hidden="false" customHeight="false" outlineLevel="0" collapsed="false">
      <c r="A6797" s="0" t="s">
        <v>12</v>
      </c>
      <c r="B6797" s="0" t="n">
        <v>2137646</v>
      </c>
      <c r="C6797" s="0" t="n">
        <v>2137666</v>
      </c>
      <c r="D6797" s="0" t="s">
        <v>22627</v>
      </c>
      <c r="E6797" s="0" t="s">
        <v>75</v>
      </c>
      <c r="F6797" s="0" t="s">
        <v>90</v>
      </c>
      <c r="G6797" s="0" t="s">
        <v>36</v>
      </c>
      <c r="H6797" s="0" t="n">
        <v>57</v>
      </c>
      <c r="I6797" s="0" t="s">
        <v>22634</v>
      </c>
      <c r="J6797" s="0" t="s">
        <v>22635</v>
      </c>
      <c r="K6797" s="0" t="s">
        <v>22636</v>
      </c>
      <c r="L6797" s="0" t="str">
        <f aca="false">HYPERLINK("https://www.ncbi.nlm.nih.gov/nuccore/CP000058.1?report=graph&amp;tracks=[key:gene_model_track,Options:GeneOnly]&amp;mk=2137690:2137709|offset_14|444444,2137670:2137689|offset_34|444444,2137647:2137666|offset_57|00cc00,2137620:2137639|offset_84|444444&amp;v=2137489:2137839&amp;c=444444", "offset 57")</f>
        <v>offset 57</v>
      </c>
    </row>
    <row r="6798" customFormat="false" ht="12.8" hidden="false" customHeight="false" outlineLevel="0" collapsed="false">
      <c r="A6798" s="0" t="s">
        <v>12</v>
      </c>
      <c r="B6798" s="0" t="n">
        <v>2137619</v>
      </c>
      <c r="C6798" s="0" t="n">
        <v>2137639</v>
      </c>
      <c r="D6798" s="0" t="s">
        <v>22627</v>
      </c>
      <c r="E6798" s="0" t="s">
        <v>75</v>
      </c>
      <c r="F6798" s="0" t="s">
        <v>90</v>
      </c>
      <c r="G6798" s="0" t="s">
        <v>32</v>
      </c>
      <c r="H6798" s="0" t="n">
        <v>84</v>
      </c>
      <c r="I6798" s="0" t="s">
        <v>22637</v>
      </c>
      <c r="J6798" s="0" t="s">
        <v>22638</v>
      </c>
      <c r="K6798" s="0" t="s">
        <v>22639</v>
      </c>
      <c r="L6798" s="0" t="str">
        <f aca="false">HYPERLINK("https://www.ncbi.nlm.nih.gov/nuccore/CP000058.1?report=graph&amp;tracks=[key:gene_model_track,Options:GeneOnly]&amp;mk=2137690:2137709|offset_14|444444,2137670:2137689|offset_34|444444,2137647:2137666|offset_57|444444,2137620:2137639|offset_84|00cc00&amp;v=2137489:2137839&amp;c=444444", "offset 84")</f>
        <v>offset 84</v>
      </c>
    </row>
    <row r="6799" customFormat="false" ht="12.8" hidden="false" customHeight="false" outlineLevel="0" collapsed="false">
      <c r="A6799" s="0" t="s">
        <v>12</v>
      </c>
      <c r="B6799" s="0" t="n">
        <v>2138410</v>
      </c>
      <c r="C6799" s="0" t="n">
        <v>2138430</v>
      </c>
      <c r="D6799" s="0" t="s">
        <v>22640</v>
      </c>
      <c r="E6799" s="0" t="s">
        <v>75</v>
      </c>
      <c r="F6799" s="0" t="s">
        <v>90</v>
      </c>
      <c r="G6799" s="0" t="s">
        <v>36</v>
      </c>
      <c r="H6799" s="0" t="n">
        <v>58</v>
      </c>
      <c r="I6799" s="0" t="s">
        <v>22641</v>
      </c>
      <c r="J6799" s="0" t="s">
        <v>22642</v>
      </c>
      <c r="K6799" s="0" t="s">
        <v>22643</v>
      </c>
      <c r="L6799" s="0" t="str">
        <f aca="false">HYPERLINK("https://www.ncbi.nlm.nih.gov/nuccore/CP000058.1?report=graph&amp;tracks=[key:gene_model_track,Options:GeneOnly]&amp;mk=2138411:2138430|offset_58|00cc00,2138385:2138404|offset_84|444444,2138363:2138382|offset_106|444444,2138324:2138343|offset_145|444444&amp;v=2138210:2138543&amp;c=444444", "offset 58")</f>
        <v>offset 58</v>
      </c>
    </row>
    <row r="6800" customFormat="false" ht="12.8" hidden="false" customHeight="false" outlineLevel="0" collapsed="false">
      <c r="A6800" s="0" t="s">
        <v>12</v>
      </c>
      <c r="B6800" s="0" t="n">
        <v>2138384</v>
      </c>
      <c r="C6800" s="0" t="n">
        <v>2138404</v>
      </c>
      <c r="D6800" s="0" t="s">
        <v>22640</v>
      </c>
      <c r="E6800" s="0" t="s">
        <v>75</v>
      </c>
      <c r="F6800" s="0" t="s">
        <v>90</v>
      </c>
      <c r="G6800" s="0" t="s">
        <v>20</v>
      </c>
      <c r="H6800" s="0" t="n">
        <v>84</v>
      </c>
      <c r="I6800" s="0" t="s">
        <v>22644</v>
      </c>
      <c r="J6800" s="0" t="s">
        <v>22645</v>
      </c>
      <c r="K6800" s="0" t="s">
        <v>22646</v>
      </c>
      <c r="L6800" s="0" t="str">
        <f aca="false">HYPERLINK("https://www.ncbi.nlm.nih.gov/nuccore/CP000058.1?report=graph&amp;tracks=[key:gene_model_track,Options:GeneOnly]&amp;mk=2138411:2138430|offset_58|444444,2138385:2138404|offset_84|00cc00,2138363:2138382|offset_106|444444,2138324:2138343|offset_145|444444&amp;v=2138210:2138543&amp;c=444444", "offset 84")</f>
        <v>offset 84</v>
      </c>
    </row>
    <row r="6801" customFormat="false" ht="12.8" hidden="false" customHeight="false" outlineLevel="0" collapsed="false">
      <c r="A6801" s="0" t="s">
        <v>12</v>
      </c>
      <c r="B6801" s="0" t="n">
        <v>2138362</v>
      </c>
      <c r="C6801" s="0" t="n">
        <v>2138382</v>
      </c>
      <c r="D6801" s="0" t="s">
        <v>22640</v>
      </c>
      <c r="E6801" s="0" t="s">
        <v>75</v>
      </c>
      <c r="F6801" s="0" t="s">
        <v>90</v>
      </c>
      <c r="G6801" s="0" t="s">
        <v>36</v>
      </c>
      <c r="H6801" s="0" t="n">
        <v>106</v>
      </c>
      <c r="I6801" s="0" t="s">
        <v>22647</v>
      </c>
      <c r="J6801" s="0" t="s">
        <v>22648</v>
      </c>
      <c r="K6801" s="0" t="s">
        <v>22649</v>
      </c>
      <c r="L6801" s="0" t="str">
        <f aca="false">HYPERLINK("https://www.ncbi.nlm.nih.gov/nuccore/CP000058.1?report=graph&amp;tracks=[key:gene_model_track,Options:GeneOnly]&amp;mk=2138411:2138430|offset_58|444444,2138385:2138404|offset_84|444444,2138363:2138382|offset_106|00cc00,2138324:2138343|offset_145|444444&amp;v=2138210:2138543&amp;c=444444", "offset 106")</f>
        <v>offset 106</v>
      </c>
    </row>
    <row r="6802" customFormat="false" ht="12.8" hidden="false" customHeight="false" outlineLevel="0" collapsed="false">
      <c r="A6802" s="0" t="s">
        <v>12</v>
      </c>
      <c r="B6802" s="0" t="n">
        <v>2138323</v>
      </c>
      <c r="C6802" s="0" t="n">
        <v>2138343</v>
      </c>
      <c r="D6802" s="0" t="s">
        <v>22640</v>
      </c>
      <c r="E6802" s="0" t="s">
        <v>75</v>
      </c>
      <c r="F6802" s="0" t="s">
        <v>90</v>
      </c>
      <c r="G6802" s="0" t="s">
        <v>20</v>
      </c>
      <c r="H6802" s="0" t="n">
        <v>145</v>
      </c>
      <c r="I6802" s="0" t="s">
        <v>22650</v>
      </c>
      <c r="J6802" s="0" t="s">
        <v>22651</v>
      </c>
      <c r="K6802" s="0" t="s">
        <v>22652</v>
      </c>
      <c r="L6802" s="0" t="str">
        <f aca="false">HYPERLINK("https://www.ncbi.nlm.nih.gov/nuccore/CP000058.1?report=graph&amp;tracks=[key:gene_model_track,Options:GeneOnly]&amp;mk=2138411:2138430|offset_58|444444,2138385:2138404|offset_84|444444,2138363:2138382|offset_106|444444,2138324:2138343|offset_145|00cc00&amp;v=2138210:2138543&amp;c=444444", "offset 145")</f>
        <v>offset 145</v>
      </c>
    </row>
    <row r="6803" customFormat="false" ht="12.8" hidden="false" customHeight="false" outlineLevel="0" collapsed="false">
      <c r="A6803" s="0" t="s">
        <v>12</v>
      </c>
      <c r="B6803" s="0" t="n">
        <v>2138643</v>
      </c>
      <c r="C6803" s="0" t="n">
        <v>2138663</v>
      </c>
      <c r="D6803" s="0" t="s">
        <v>22653</v>
      </c>
      <c r="E6803" s="0" t="s">
        <v>75</v>
      </c>
      <c r="F6803" s="0" t="s">
        <v>15</v>
      </c>
      <c r="G6803" s="0" t="s">
        <v>20</v>
      </c>
      <c r="H6803" s="0" t="n">
        <v>30</v>
      </c>
      <c r="I6803" s="0" t="s">
        <v>22654</v>
      </c>
      <c r="J6803" s="0" t="s">
        <v>22655</v>
      </c>
      <c r="K6803" s="0" t="s">
        <v>22656</v>
      </c>
      <c r="L6803" s="0" t="str">
        <f aca="false">HYPERLINK("https://www.ncbi.nlm.nih.gov/nuccore/CP000058.1?report=graph&amp;tracks=[key:gene_model_track,Options:GeneOnly]&amp;mk=2138644:2138663|offset_30|00cc00,2138687:2138706|offset_73|444444,2138719:2138738|offset_105|444444,2138747:2138766|offset_133|444444&amp;v=2138443:2138966&amp;c=444444", "offset 30")</f>
        <v>offset 30</v>
      </c>
    </row>
    <row r="6804" customFormat="false" ht="12.8" hidden="false" customHeight="false" outlineLevel="0" collapsed="false">
      <c r="A6804" s="0" t="s">
        <v>12</v>
      </c>
      <c r="B6804" s="0" t="n">
        <v>2138686</v>
      </c>
      <c r="C6804" s="0" t="n">
        <v>2138706</v>
      </c>
      <c r="D6804" s="0" t="s">
        <v>22653</v>
      </c>
      <c r="E6804" s="0" t="s">
        <v>75</v>
      </c>
      <c r="F6804" s="0" t="s">
        <v>15</v>
      </c>
      <c r="G6804" s="0" t="s">
        <v>36</v>
      </c>
      <c r="H6804" s="0" t="n">
        <v>73</v>
      </c>
      <c r="I6804" s="0" t="s">
        <v>22657</v>
      </c>
      <c r="J6804" s="0" t="s">
        <v>22658</v>
      </c>
      <c r="K6804" s="0" t="s">
        <v>22659</v>
      </c>
      <c r="L6804" s="0" t="str">
        <f aca="false">HYPERLINK("https://www.ncbi.nlm.nih.gov/nuccore/CP000058.1?report=graph&amp;tracks=[key:gene_model_track,Options:GeneOnly]&amp;mk=2138644:2138663|offset_30|444444,2138687:2138706|offset_73|00cc00,2138719:2138738|offset_105|444444,2138747:2138766|offset_133|444444&amp;v=2138443:2138966&amp;c=444444", "offset 73")</f>
        <v>offset 73</v>
      </c>
    </row>
    <row r="6805" customFormat="false" ht="12.8" hidden="false" customHeight="false" outlineLevel="0" collapsed="false">
      <c r="A6805" s="0" t="s">
        <v>12</v>
      </c>
      <c r="B6805" s="0" t="n">
        <v>2138718</v>
      </c>
      <c r="C6805" s="0" t="n">
        <v>2138738</v>
      </c>
      <c r="D6805" s="0" t="s">
        <v>22653</v>
      </c>
      <c r="E6805" s="0" t="s">
        <v>75</v>
      </c>
      <c r="F6805" s="0" t="s">
        <v>15</v>
      </c>
      <c r="G6805" s="0" t="s">
        <v>36</v>
      </c>
      <c r="H6805" s="0" t="n">
        <v>105</v>
      </c>
      <c r="I6805" s="0" t="s">
        <v>22660</v>
      </c>
      <c r="J6805" s="0" t="s">
        <v>22661</v>
      </c>
      <c r="K6805" s="0" t="s">
        <v>22662</v>
      </c>
      <c r="L6805" s="0" t="str">
        <f aca="false">HYPERLINK("https://www.ncbi.nlm.nih.gov/nuccore/CP000058.1?report=graph&amp;tracks=[key:gene_model_track,Options:GeneOnly]&amp;mk=2138644:2138663|offset_30|444444,2138687:2138706|offset_73|444444,2138719:2138738|offset_105|00cc00,2138747:2138766|offset_133|444444&amp;v=2138443:2138966&amp;c=444444", "offset 105")</f>
        <v>offset 105</v>
      </c>
    </row>
    <row r="6806" customFormat="false" ht="12.8" hidden="false" customHeight="false" outlineLevel="0" collapsed="false">
      <c r="A6806" s="0" t="s">
        <v>12</v>
      </c>
      <c r="B6806" s="0" t="n">
        <v>2138746</v>
      </c>
      <c r="C6806" s="0" t="n">
        <v>2138766</v>
      </c>
      <c r="D6806" s="0" t="s">
        <v>22653</v>
      </c>
      <c r="E6806" s="0" t="s">
        <v>75</v>
      </c>
      <c r="F6806" s="0" t="s">
        <v>15</v>
      </c>
      <c r="G6806" s="0" t="s">
        <v>20</v>
      </c>
      <c r="H6806" s="0" t="n">
        <v>133</v>
      </c>
      <c r="I6806" s="0" t="s">
        <v>22663</v>
      </c>
      <c r="J6806" s="0" t="s">
        <v>22664</v>
      </c>
      <c r="K6806" s="0" t="s">
        <v>22665</v>
      </c>
      <c r="L6806" s="0" t="str">
        <f aca="false">HYPERLINK("https://www.ncbi.nlm.nih.gov/nuccore/CP000058.1?report=graph&amp;tracks=[key:gene_model_track,Options:GeneOnly]&amp;mk=2138644:2138663|offset_30|444444,2138687:2138706|offset_73|444444,2138719:2138738|offset_105|444444,2138747:2138766|offset_133|00cc00&amp;v=2138443:2138966&amp;c=444444", "offset 133")</f>
        <v>offset 133</v>
      </c>
    </row>
    <row r="6807" customFormat="false" ht="12.8" hidden="false" customHeight="false" outlineLevel="0" collapsed="false">
      <c r="A6807" s="0" t="s">
        <v>12</v>
      </c>
      <c r="B6807" s="0" t="n">
        <v>2139795</v>
      </c>
      <c r="C6807" s="0" t="n">
        <v>2139815</v>
      </c>
      <c r="D6807" s="0" t="s">
        <v>22666</v>
      </c>
      <c r="E6807" s="0" t="s">
        <v>75</v>
      </c>
      <c r="F6807" s="0" t="s">
        <v>15</v>
      </c>
      <c r="G6807" s="0" t="s">
        <v>16</v>
      </c>
      <c r="H6807" s="0" t="n">
        <v>16</v>
      </c>
      <c r="I6807" s="0" t="s">
        <v>22667</v>
      </c>
      <c r="J6807" s="0" t="s">
        <v>22668</v>
      </c>
      <c r="K6807" s="0" t="s">
        <v>22669</v>
      </c>
      <c r="L6807" s="0" t="str">
        <f aca="false">HYPERLINK("https://www.ncbi.nlm.nih.gov/nuccore/CP000058.1?report=graph&amp;tracks=[key:gene_model_track,Options:GeneOnly]&amp;mk=2139796:2139815|offset_16|00cc00,2139874:2139893|offset_94|444444,2139922:2139941|offset_142|444444,2139946:2139965|offset_166|444444&amp;v=2139595:2140165&amp;c=444444", "offset 16")</f>
        <v>offset 16</v>
      </c>
    </row>
    <row r="6808" customFormat="false" ht="12.8" hidden="false" customHeight="false" outlineLevel="0" collapsed="false">
      <c r="A6808" s="0" t="s">
        <v>12</v>
      </c>
      <c r="B6808" s="0" t="n">
        <v>2139873</v>
      </c>
      <c r="C6808" s="0" t="n">
        <v>2139893</v>
      </c>
      <c r="D6808" s="0" t="s">
        <v>22666</v>
      </c>
      <c r="E6808" s="0" t="s">
        <v>75</v>
      </c>
      <c r="F6808" s="0" t="s">
        <v>15</v>
      </c>
      <c r="G6808" s="0" t="s">
        <v>32</v>
      </c>
      <c r="H6808" s="0" t="n">
        <v>94</v>
      </c>
      <c r="I6808" s="0" t="s">
        <v>22670</v>
      </c>
      <c r="J6808" s="0" t="s">
        <v>22671</v>
      </c>
      <c r="K6808" s="0" t="s">
        <v>22672</v>
      </c>
      <c r="L6808" s="0" t="str">
        <f aca="false">HYPERLINK("https://www.ncbi.nlm.nih.gov/nuccore/CP000058.1?report=graph&amp;tracks=[key:gene_model_track,Options:GeneOnly]&amp;mk=2139796:2139815|offset_16|444444,2139874:2139893|offset_94|00cc00,2139922:2139941|offset_142|444444,2139946:2139965|offset_166|444444&amp;v=2139595:2140165&amp;c=444444", "offset 94")</f>
        <v>offset 94</v>
      </c>
    </row>
    <row r="6809" customFormat="false" ht="12.8" hidden="false" customHeight="false" outlineLevel="0" collapsed="false">
      <c r="A6809" s="0" t="s">
        <v>12</v>
      </c>
      <c r="B6809" s="0" t="n">
        <v>2139921</v>
      </c>
      <c r="C6809" s="0" t="n">
        <v>2139941</v>
      </c>
      <c r="D6809" s="0" t="s">
        <v>22666</v>
      </c>
      <c r="E6809" s="0" t="s">
        <v>75</v>
      </c>
      <c r="F6809" s="0" t="s">
        <v>15</v>
      </c>
      <c r="G6809" s="0" t="s">
        <v>20</v>
      </c>
      <c r="H6809" s="0" t="n">
        <v>142</v>
      </c>
      <c r="I6809" s="0" t="s">
        <v>22673</v>
      </c>
      <c r="J6809" s="0" t="s">
        <v>22674</v>
      </c>
      <c r="K6809" s="0" t="s">
        <v>22675</v>
      </c>
      <c r="L6809" s="0" t="str">
        <f aca="false">HYPERLINK("https://www.ncbi.nlm.nih.gov/nuccore/CP000058.1?report=graph&amp;tracks=[key:gene_model_track,Options:GeneOnly]&amp;mk=2139796:2139815|offset_16|444444,2139874:2139893|offset_94|444444,2139922:2139941|offset_142|00cc00,2139946:2139965|offset_166|444444&amp;v=2139595:2140165&amp;c=444444", "offset 142")</f>
        <v>offset 142</v>
      </c>
    </row>
    <row r="6810" customFormat="false" ht="12.8" hidden="false" customHeight="false" outlineLevel="0" collapsed="false">
      <c r="A6810" s="0" t="s">
        <v>12</v>
      </c>
      <c r="B6810" s="0" t="n">
        <v>2139945</v>
      </c>
      <c r="C6810" s="0" t="n">
        <v>2139965</v>
      </c>
      <c r="D6810" s="0" t="s">
        <v>22666</v>
      </c>
      <c r="E6810" s="0" t="s">
        <v>75</v>
      </c>
      <c r="F6810" s="0" t="s">
        <v>15</v>
      </c>
      <c r="G6810" s="0" t="s">
        <v>36</v>
      </c>
      <c r="H6810" s="0" t="n">
        <v>166</v>
      </c>
      <c r="I6810" s="0" t="s">
        <v>22676</v>
      </c>
      <c r="J6810" s="0" t="s">
        <v>22677</v>
      </c>
      <c r="K6810" s="0" t="s">
        <v>22678</v>
      </c>
      <c r="L6810" s="0" t="str">
        <f aca="false">HYPERLINK("https://www.ncbi.nlm.nih.gov/nuccore/CP000058.1?report=graph&amp;tracks=[key:gene_model_track,Options:GeneOnly]&amp;mk=2139796:2139815|offset_16|444444,2139874:2139893|offset_94|444444,2139922:2139941|offset_142|444444,2139946:2139965|offset_166|00cc00&amp;v=2139595:2140165&amp;c=444444", "offset 166")</f>
        <v>offset 166</v>
      </c>
    </row>
    <row r="6811" customFormat="false" ht="12.8" hidden="false" customHeight="false" outlineLevel="0" collapsed="false">
      <c r="A6811" s="0" t="s">
        <v>12</v>
      </c>
      <c r="B6811" s="0" t="n">
        <v>2144074</v>
      </c>
      <c r="C6811" s="0" t="n">
        <v>2144094</v>
      </c>
      <c r="D6811" s="0" t="s">
        <v>22679</v>
      </c>
      <c r="E6811" s="0" t="s">
        <v>75</v>
      </c>
      <c r="F6811" s="0" t="s">
        <v>90</v>
      </c>
      <c r="G6811" s="0" t="s">
        <v>20</v>
      </c>
      <c r="H6811" s="0" t="n">
        <v>14</v>
      </c>
      <c r="I6811" s="0" t="s">
        <v>22680</v>
      </c>
      <c r="J6811" s="0" t="s">
        <v>22681</v>
      </c>
      <c r="K6811" s="0" t="s">
        <v>22682</v>
      </c>
      <c r="L6811" s="0" t="str">
        <f aca="false">HYPERLINK("https://www.ncbi.nlm.nih.gov/nuccore/CP000058.1?report=graph&amp;tracks=[key:gene_model_track,Options:GeneOnly]&amp;mk=2144075:2144094|offset_14|00cc00,2144034:2144053|offset_55|444444,2144009:2144028|offset_80|444444,2143986:2144005|offset_103|444444&amp;v=2143874:2144205&amp;c=444444", "offset 14")</f>
        <v>offset 14</v>
      </c>
    </row>
    <row r="6812" customFormat="false" ht="12.8" hidden="false" customHeight="false" outlineLevel="0" collapsed="false">
      <c r="A6812" s="0" t="s">
        <v>12</v>
      </c>
      <c r="B6812" s="0" t="n">
        <v>2144033</v>
      </c>
      <c r="C6812" s="0" t="n">
        <v>2144053</v>
      </c>
      <c r="D6812" s="0" t="s">
        <v>22679</v>
      </c>
      <c r="E6812" s="0" t="s">
        <v>75</v>
      </c>
      <c r="F6812" s="0" t="s">
        <v>90</v>
      </c>
      <c r="G6812" s="0" t="s">
        <v>36</v>
      </c>
      <c r="H6812" s="0" t="n">
        <v>55</v>
      </c>
      <c r="I6812" s="0" t="s">
        <v>22683</v>
      </c>
      <c r="J6812" s="0" t="s">
        <v>22684</v>
      </c>
      <c r="K6812" s="0" t="s">
        <v>22685</v>
      </c>
      <c r="L6812" s="0" t="str">
        <f aca="false">HYPERLINK("https://www.ncbi.nlm.nih.gov/nuccore/CP000058.1?report=graph&amp;tracks=[key:gene_model_track,Options:GeneOnly]&amp;mk=2144075:2144094|offset_14|444444,2144034:2144053|offset_55|00cc00,2144009:2144028|offset_80|444444,2143986:2144005|offset_103|444444&amp;v=2143874:2144205&amp;c=444444", "offset 55")</f>
        <v>offset 55</v>
      </c>
    </row>
    <row r="6813" customFormat="false" ht="12.8" hidden="false" customHeight="false" outlineLevel="0" collapsed="false">
      <c r="A6813" s="0" t="s">
        <v>12</v>
      </c>
      <c r="B6813" s="0" t="n">
        <v>2144008</v>
      </c>
      <c r="C6813" s="0" t="n">
        <v>2144028</v>
      </c>
      <c r="D6813" s="0" t="s">
        <v>22679</v>
      </c>
      <c r="E6813" s="0" t="s">
        <v>75</v>
      </c>
      <c r="F6813" s="0" t="s">
        <v>90</v>
      </c>
      <c r="G6813" s="0" t="s">
        <v>32</v>
      </c>
      <c r="H6813" s="0" t="n">
        <v>80</v>
      </c>
      <c r="I6813" s="0" t="s">
        <v>22686</v>
      </c>
      <c r="J6813" s="0" t="s">
        <v>22687</v>
      </c>
      <c r="K6813" s="0" t="s">
        <v>22688</v>
      </c>
      <c r="L6813" s="0" t="str">
        <f aca="false">HYPERLINK("https://www.ncbi.nlm.nih.gov/nuccore/CP000058.1?report=graph&amp;tracks=[key:gene_model_track,Options:GeneOnly]&amp;mk=2144075:2144094|offset_14|444444,2144034:2144053|offset_55|444444,2144009:2144028|offset_80|00cc00,2143986:2144005|offset_103|444444&amp;v=2143874:2144205&amp;c=444444", "offset 80")</f>
        <v>offset 80</v>
      </c>
    </row>
    <row r="6814" customFormat="false" ht="12.8" hidden="false" customHeight="false" outlineLevel="0" collapsed="false">
      <c r="A6814" s="0" t="s">
        <v>12</v>
      </c>
      <c r="B6814" s="0" t="n">
        <v>2143985</v>
      </c>
      <c r="C6814" s="0" t="n">
        <v>2144005</v>
      </c>
      <c r="D6814" s="0" t="s">
        <v>22679</v>
      </c>
      <c r="E6814" s="0" t="s">
        <v>75</v>
      </c>
      <c r="F6814" s="0" t="s">
        <v>90</v>
      </c>
      <c r="G6814" s="0" t="s">
        <v>16</v>
      </c>
      <c r="H6814" s="0" t="n">
        <v>103</v>
      </c>
      <c r="I6814" s="0" t="s">
        <v>22689</v>
      </c>
      <c r="J6814" s="0" t="s">
        <v>22690</v>
      </c>
      <c r="K6814" s="0" t="s">
        <v>22691</v>
      </c>
      <c r="L6814" s="0" t="str">
        <f aca="false">HYPERLINK("https://www.ncbi.nlm.nih.gov/nuccore/CP000058.1?report=graph&amp;tracks=[key:gene_model_track,Options:GeneOnly]&amp;mk=2144075:2144094|offset_14|444444,2144034:2144053|offset_55|444444,2144009:2144028|offset_80|444444,2143986:2144005|offset_103|00cc00&amp;v=2143874:2144205&amp;c=444444", "offset 103")</f>
        <v>offset 103</v>
      </c>
    </row>
    <row r="6815" customFormat="false" ht="12.8" hidden="false" customHeight="false" outlineLevel="0" collapsed="false">
      <c r="A6815" s="0" t="s">
        <v>12</v>
      </c>
      <c r="B6815" s="0" t="n">
        <v>2144254</v>
      </c>
      <c r="C6815" s="0" t="n">
        <v>2144274</v>
      </c>
      <c r="D6815" s="0" t="s">
        <v>22692</v>
      </c>
      <c r="E6815" s="0" t="s">
        <v>75</v>
      </c>
      <c r="F6815" s="0" t="s">
        <v>15</v>
      </c>
      <c r="G6815" s="0" t="s">
        <v>20</v>
      </c>
      <c r="H6815" s="0" t="n">
        <v>32</v>
      </c>
      <c r="I6815" s="0" t="s">
        <v>22693</v>
      </c>
      <c r="J6815" s="0" t="s">
        <v>22694</v>
      </c>
      <c r="K6815" s="0" t="s">
        <v>22695</v>
      </c>
      <c r="L6815" s="0" t="str">
        <f aca="false">HYPERLINK("https://www.ncbi.nlm.nih.gov/nuccore/CP000058.1?report=graph&amp;tracks=[key:gene_model_track,Options:GeneOnly]&amp;mk=2144255:2144274|offset_32|00cc00,2144286:2144305|offset_63|444444,2144310:2144329|offset_87|444444,2144347:2144366|offset_124|444444&amp;v=2144054:2144566&amp;c=444444", "offset 32")</f>
        <v>offset 32</v>
      </c>
    </row>
    <row r="6816" customFormat="false" ht="12.8" hidden="false" customHeight="false" outlineLevel="0" collapsed="false">
      <c r="A6816" s="0" t="s">
        <v>12</v>
      </c>
      <c r="B6816" s="0" t="n">
        <v>2144285</v>
      </c>
      <c r="C6816" s="0" t="n">
        <v>2144305</v>
      </c>
      <c r="D6816" s="0" t="s">
        <v>22692</v>
      </c>
      <c r="E6816" s="0" t="s">
        <v>75</v>
      </c>
      <c r="F6816" s="0" t="s">
        <v>15</v>
      </c>
      <c r="G6816" s="0" t="s">
        <v>36</v>
      </c>
      <c r="H6816" s="0" t="n">
        <v>63</v>
      </c>
      <c r="I6816" s="0" t="s">
        <v>22696</v>
      </c>
      <c r="J6816" s="0" t="s">
        <v>22697</v>
      </c>
      <c r="K6816" s="0" t="s">
        <v>22698</v>
      </c>
      <c r="L6816" s="0" t="str">
        <f aca="false">HYPERLINK("https://www.ncbi.nlm.nih.gov/nuccore/CP000058.1?report=graph&amp;tracks=[key:gene_model_track,Options:GeneOnly]&amp;mk=2144255:2144274|offset_32|444444,2144286:2144305|offset_63|00cc00,2144310:2144329|offset_87|444444,2144347:2144366|offset_124|444444&amp;v=2144054:2144566&amp;c=444444", "offset 63")</f>
        <v>offset 63</v>
      </c>
    </row>
    <row r="6817" customFormat="false" ht="12.8" hidden="false" customHeight="false" outlineLevel="0" collapsed="false">
      <c r="A6817" s="0" t="s">
        <v>12</v>
      </c>
      <c r="B6817" s="0" t="n">
        <v>2144309</v>
      </c>
      <c r="C6817" s="0" t="n">
        <v>2144329</v>
      </c>
      <c r="D6817" s="0" t="s">
        <v>22692</v>
      </c>
      <c r="E6817" s="0" t="s">
        <v>75</v>
      </c>
      <c r="F6817" s="0" t="s">
        <v>15</v>
      </c>
      <c r="G6817" s="0" t="s">
        <v>16</v>
      </c>
      <c r="H6817" s="0" t="n">
        <v>87</v>
      </c>
      <c r="I6817" s="0" t="s">
        <v>22699</v>
      </c>
      <c r="J6817" s="0" t="s">
        <v>22700</v>
      </c>
      <c r="K6817" s="0" t="s">
        <v>22701</v>
      </c>
      <c r="L6817" s="0" t="str">
        <f aca="false">HYPERLINK("https://www.ncbi.nlm.nih.gov/nuccore/CP000058.1?report=graph&amp;tracks=[key:gene_model_track,Options:GeneOnly]&amp;mk=2144255:2144274|offset_32|444444,2144286:2144305|offset_63|444444,2144310:2144329|offset_87|00cc00,2144347:2144366|offset_124|444444&amp;v=2144054:2144566&amp;c=444444", "offset 87")</f>
        <v>offset 87</v>
      </c>
    </row>
    <row r="6818" customFormat="false" ht="12.8" hidden="false" customHeight="false" outlineLevel="0" collapsed="false">
      <c r="A6818" s="0" t="s">
        <v>12</v>
      </c>
      <c r="B6818" s="0" t="n">
        <v>2144346</v>
      </c>
      <c r="C6818" s="0" t="n">
        <v>2144366</v>
      </c>
      <c r="D6818" s="0" t="s">
        <v>22692</v>
      </c>
      <c r="E6818" s="0" t="s">
        <v>75</v>
      </c>
      <c r="F6818" s="0" t="s">
        <v>15</v>
      </c>
      <c r="G6818" s="0" t="s">
        <v>20</v>
      </c>
      <c r="H6818" s="0" t="n">
        <v>124</v>
      </c>
      <c r="I6818" s="0" t="s">
        <v>22702</v>
      </c>
      <c r="J6818" s="0" t="s">
        <v>22703</v>
      </c>
      <c r="K6818" s="0" t="s">
        <v>22704</v>
      </c>
      <c r="L6818" s="0" t="str">
        <f aca="false">HYPERLINK("https://www.ncbi.nlm.nih.gov/nuccore/CP000058.1?report=graph&amp;tracks=[key:gene_model_track,Options:GeneOnly]&amp;mk=2144255:2144274|offset_32|444444,2144286:2144305|offset_63|444444,2144310:2144329|offset_87|444444,2144347:2144366|offset_124|00cc00&amp;v=2144054:2144566&amp;c=444444", "offset 124")</f>
        <v>offset 124</v>
      </c>
    </row>
    <row r="6819" customFormat="false" ht="12.8" hidden="false" customHeight="false" outlineLevel="0" collapsed="false">
      <c r="A6819" s="0" t="s">
        <v>12</v>
      </c>
      <c r="B6819" s="0" t="n">
        <v>2147517</v>
      </c>
      <c r="C6819" s="0" t="n">
        <v>2147537</v>
      </c>
      <c r="D6819" s="0" t="s">
        <v>22705</v>
      </c>
      <c r="E6819" s="0" t="s">
        <v>75</v>
      </c>
      <c r="F6819" s="0" t="s">
        <v>90</v>
      </c>
      <c r="G6819" s="0" t="s">
        <v>32</v>
      </c>
      <c r="H6819" s="0" t="n">
        <v>10</v>
      </c>
      <c r="I6819" s="0" t="s">
        <v>22706</v>
      </c>
      <c r="J6819" s="0" t="s">
        <v>22707</v>
      </c>
      <c r="K6819" s="0" t="s">
        <v>22708</v>
      </c>
      <c r="L6819" s="0" t="str">
        <f aca="false">HYPERLINK("https://www.ncbi.nlm.nih.gov/nuccore/CP000058.1?report=graph&amp;tracks=[key:gene_model_track,Options:GeneOnly]&amp;mk=2147518:2147537|offset_10|00cc00,2147491:2147510|offset_37|444444,2147439:2147458|offset_89|444444,2147410:2147429|offset_118|444444&amp;v=2147317:2147629&amp;c=444444", "offset 10")</f>
        <v>offset 10</v>
      </c>
    </row>
    <row r="6820" customFormat="false" ht="12.8" hidden="false" customHeight="false" outlineLevel="0" collapsed="false">
      <c r="A6820" s="0" t="s">
        <v>12</v>
      </c>
      <c r="B6820" s="0" t="n">
        <v>2147490</v>
      </c>
      <c r="C6820" s="0" t="n">
        <v>2147510</v>
      </c>
      <c r="D6820" s="0" t="s">
        <v>22705</v>
      </c>
      <c r="E6820" s="0" t="s">
        <v>75</v>
      </c>
      <c r="F6820" s="0" t="s">
        <v>90</v>
      </c>
      <c r="G6820" s="0" t="s">
        <v>20</v>
      </c>
      <c r="H6820" s="0" t="n">
        <v>37</v>
      </c>
      <c r="I6820" s="0" t="s">
        <v>22709</v>
      </c>
      <c r="J6820" s="0" t="s">
        <v>22710</v>
      </c>
      <c r="K6820" s="0" t="s">
        <v>22711</v>
      </c>
      <c r="L6820" s="0" t="str">
        <f aca="false">HYPERLINK("https://www.ncbi.nlm.nih.gov/nuccore/CP000058.1?report=graph&amp;tracks=[key:gene_model_track,Options:GeneOnly]&amp;mk=2147518:2147537|offset_10|444444,2147491:2147510|offset_37|00cc00,2147439:2147458|offset_89|444444,2147410:2147429|offset_118|444444&amp;v=2147317:2147629&amp;c=444444", "offset 37")</f>
        <v>offset 37</v>
      </c>
    </row>
    <row r="6821" customFormat="false" ht="12.8" hidden="false" customHeight="false" outlineLevel="0" collapsed="false">
      <c r="A6821" s="0" t="s">
        <v>12</v>
      </c>
      <c r="B6821" s="0" t="n">
        <v>2147438</v>
      </c>
      <c r="C6821" s="0" t="n">
        <v>2147458</v>
      </c>
      <c r="D6821" s="0" t="s">
        <v>22705</v>
      </c>
      <c r="E6821" s="0" t="s">
        <v>75</v>
      </c>
      <c r="F6821" s="0" t="s">
        <v>90</v>
      </c>
      <c r="G6821" s="0" t="s">
        <v>16</v>
      </c>
      <c r="H6821" s="0" t="n">
        <v>89</v>
      </c>
      <c r="I6821" s="0" t="s">
        <v>22712</v>
      </c>
      <c r="J6821" s="0" t="s">
        <v>22713</v>
      </c>
      <c r="K6821" s="0" t="s">
        <v>22714</v>
      </c>
      <c r="L6821" s="0" t="str">
        <f aca="false">HYPERLINK("https://www.ncbi.nlm.nih.gov/nuccore/CP000058.1?report=graph&amp;tracks=[key:gene_model_track,Options:GeneOnly]&amp;mk=2147518:2147537|offset_10|444444,2147491:2147510|offset_37|444444,2147439:2147458|offset_89|00cc00,2147410:2147429|offset_118|444444&amp;v=2147317:2147629&amp;c=444444", "offset 89")</f>
        <v>offset 89</v>
      </c>
    </row>
    <row r="6822" customFormat="false" ht="12.8" hidden="false" customHeight="false" outlineLevel="0" collapsed="false">
      <c r="A6822" s="0" t="s">
        <v>12</v>
      </c>
      <c r="B6822" s="0" t="n">
        <v>2147409</v>
      </c>
      <c r="C6822" s="0" t="n">
        <v>2147429</v>
      </c>
      <c r="D6822" s="0" t="s">
        <v>22705</v>
      </c>
      <c r="E6822" s="0" t="s">
        <v>75</v>
      </c>
      <c r="F6822" s="0" t="s">
        <v>90</v>
      </c>
      <c r="G6822" s="0" t="s">
        <v>32</v>
      </c>
      <c r="H6822" s="0" t="n">
        <v>118</v>
      </c>
      <c r="I6822" s="0" t="s">
        <v>22715</v>
      </c>
      <c r="J6822" s="0" t="s">
        <v>22716</v>
      </c>
      <c r="K6822" s="0" t="s">
        <v>22717</v>
      </c>
      <c r="L6822" s="0" t="str">
        <f aca="false">HYPERLINK("https://www.ncbi.nlm.nih.gov/nuccore/CP000058.1?report=graph&amp;tracks=[key:gene_model_track,Options:GeneOnly]&amp;mk=2147518:2147537|offset_10|444444,2147491:2147510|offset_37|444444,2147439:2147458|offset_89|444444,2147410:2147429|offset_118|00cc00&amp;v=2147317:2147629&amp;c=444444", "offset 118")</f>
        <v>offset 118</v>
      </c>
    </row>
    <row r="6823" customFormat="false" ht="12.8" hidden="false" customHeight="false" outlineLevel="0" collapsed="false">
      <c r="A6823" s="0" t="s">
        <v>12</v>
      </c>
      <c r="B6823" s="0" t="n">
        <v>2148101</v>
      </c>
      <c r="C6823" s="0" t="n">
        <v>2148121</v>
      </c>
      <c r="D6823" s="0" t="s">
        <v>22718</v>
      </c>
      <c r="E6823" s="0" t="s">
        <v>75</v>
      </c>
      <c r="F6823" s="0" t="s">
        <v>90</v>
      </c>
      <c r="G6823" s="0" t="s">
        <v>20</v>
      </c>
      <c r="H6823" s="0" t="n">
        <v>26</v>
      </c>
      <c r="I6823" s="0" t="s">
        <v>22719</v>
      </c>
      <c r="J6823" s="0" t="s">
        <v>22720</v>
      </c>
      <c r="K6823" s="0" t="s">
        <v>22721</v>
      </c>
      <c r="L6823" s="0" t="str">
        <f aca="false">HYPERLINK("https://www.ncbi.nlm.nih.gov/nuccore/CP000058.1?report=graph&amp;tracks=[key:gene_model_track,Options:GeneOnly]&amp;mk=2148102:2148121|offset_26|00cc00,2148080:2148099|offset_48|444444,2148017:2148036|offset_111|444444,2147994:2148013|offset_134|444444&amp;v=2147901:2148213&amp;c=444444", "offset 26")</f>
        <v>offset 26</v>
      </c>
    </row>
    <row r="6824" customFormat="false" ht="12.8" hidden="false" customHeight="false" outlineLevel="0" collapsed="false">
      <c r="A6824" s="0" t="s">
        <v>12</v>
      </c>
      <c r="B6824" s="0" t="n">
        <v>2148079</v>
      </c>
      <c r="C6824" s="0" t="n">
        <v>2148099</v>
      </c>
      <c r="D6824" s="0" t="s">
        <v>22718</v>
      </c>
      <c r="E6824" s="0" t="s">
        <v>75</v>
      </c>
      <c r="F6824" s="0" t="s">
        <v>90</v>
      </c>
      <c r="G6824" s="0" t="s">
        <v>16</v>
      </c>
      <c r="H6824" s="0" t="n">
        <v>48</v>
      </c>
      <c r="I6824" s="0" t="s">
        <v>22722</v>
      </c>
      <c r="J6824" s="0" t="s">
        <v>22723</v>
      </c>
      <c r="K6824" s="0" t="s">
        <v>22724</v>
      </c>
      <c r="L6824" s="0" t="str">
        <f aca="false">HYPERLINK("https://www.ncbi.nlm.nih.gov/nuccore/CP000058.1?report=graph&amp;tracks=[key:gene_model_track,Options:GeneOnly]&amp;mk=2148102:2148121|offset_26|444444,2148080:2148099|offset_48|00cc00,2148017:2148036|offset_111|444444,2147994:2148013|offset_134|444444&amp;v=2147901:2148213&amp;c=444444", "offset 48")</f>
        <v>offset 48</v>
      </c>
    </row>
    <row r="6825" customFormat="false" ht="12.8" hidden="false" customHeight="false" outlineLevel="0" collapsed="false">
      <c r="A6825" s="0" t="s">
        <v>12</v>
      </c>
      <c r="B6825" s="0" t="n">
        <v>2148016</v>
      </c>
      <c r="C6825" s="0" t="n">
        <v>2148036</v>
      </c>
      <c r="D6825" s="0" t="s">
        <v>22718</v>
      </c>
      <c r="E6825" s="0" t="s">
        <v>75</v>
      </c>
      <c r="F6825" s="0" t="s">
        <v>90</v>
      </c>
      <c r="G6825" s="0" t="s">
        <v>36</v>
      </c>
      <c r="H6825" s="0" t="n">
        <v>111</v>
      </c>
      <c r="I6825" s="0" t="s">
        <v>22725</v>
      </c>
      <c r="J6825" s="0" t="s">
        <v>22726</v>
      </c>
      <c r="K6825" s="0" t="s">
        <v>22727</v>
      </c>
      <c r="L6825" s="0" t="str">
        <f aca="false">HYPERLINK("https://www.ncbi.nlm.nih.gov/nuccore/CP000058.1?report=graph&amp;tracks=[key:gene_model_track,Options:GeneOnly]&amp;mk=2148102:2148121|offset_26|444444,2148080:2148099|offset_48|444444,2148017:2148036|offset_111|00cc00,2147994:2148013|offset_134|444444&amp;v=2147901:2148213&amp;c=444444", "offset 111")</f>
        <v>offset 111</v>
      </c>
    </row>
    <row r="6826" customFormat="false" ht="12.8" hidden="false" customHeight="false" outlineLevel="0" collapsed="false">
      <c r="A6826" s="0" t="s">
        <v>12</v>
      </c>
      <c r="B6826" s="0" t="n">
        <v>2147993</v>
      </c>
      <c r="C6826" s="0" t="n">
        <v>2148013</v>
      </c>
      <c r="D6826" s="0" t="s">
        <v>22718</v>
      </c>
      <c r="E6826" s="0" t="s">
        <v>75</v>
      </c>
      <c r="F6826" s="0" t="s">
        <v>90</v>
      </c>
      <c r="G6826" s="0" t="s">
        <v>36</v>
      </c>
      <c r="H6826" s="0" t="n">
        <v>134</v>
      </c>
      <c r="I6826" s="0" t="s">
        <v>22728</v>
      </c>
      <c r="J6826" s="0" t="s">
        <v>22729</v>
      </c>
      <c r="K6826" s="0" t="s">
        <v>22730</v>
      </c>
      <c r="L6826" s="0" t="str">
        <f aca="false">HYPERLINK("https://www.ncbi.nlm.nih.gov/nuccore/CP000058.1?report=graph&amp;tracks=[key:gene_model_track,Options:GeneOnly]&amp;mk=2148102:2148121|offset_26|444444,2148080:2148099|offset_48|444444,2148017:2148036|offset_111|444444,2147994:2148013|offset_134|00cc00&amp;v=2147901:2148213&amp;c=444444", "offset 134")</f>
        <v>offset 134</v>
      </c>
    </row>
    <row r="6827" customFormat="false" ht="12.8" hidden="false" customHeight="false" outlineLevel="0" collapsed="false">
      <c r="A6827" s="0" t="s">
        <v>12</v>
      </c>
      <c r="B6827" s="0" t="n">
        <v>2151591</v>
      </c>
      <c r="C6827" s="0" t="n">
        <v>2151611</v>
      </c>
      <c r="D6827" s="0" t="s">
        <v>22731</v>
      </c>
      <c r="E6827" s="0" t="s">
        <v>22732</v>
      </c>
      <c r="F6827" s="0" t="s">
        <v>90</v>
      </c>
      <c r="G6827" s="0" t="s">
        <v>36</v>
      </c>
      <c r="H6827" s="0" t="n">
        <v>0</v>
      </c>
      <c r="I6827" s="0" t="s">
        <v>22733</v>
      </c>
      <c r="J6827" s="0" t="s">
        <v>22734</v>
      </c>
      <c r="K6827" s="0" t="s">
        <v>22735</v>
      </c>
      <c r="L6827" s="0" t="str">
        <f aca="false">HYPERLINK("https://www.ncbi.nlm.nih.gov/nuccore/CP000058.1?report=graph&amp;tracks=[key:gene_model_track,Options:GeneOnly]&amp;mk=2151592:2151611|offset_0|00cc00,2151571:2151590|offset_21|444444,2151526:2151545|offset_66|444444,2151504:2151523|offset_88|444444&amp;v=2151391:2151723&amp;c=444444", "offset 0")</f>
        <v>offset 0</v>
      </c>
    </row>
    <row r="6828" customFormat="false" ht="12.8" hidden="false" customHeight="false" outlineLevel="0" collapsed="false">
      <c r="A6828" s="0" t="s">
        <v>12</v>
      </c>
      <c r="B6828" s="0" t="n">
        <v>2151570</v>
      </c>
      <c r="C6828" s="0" t="n">
        <v>2151590</v>
      </c>
      <c r="D6828" s="0" t="s">
        <v>22731</v>
      </c>
      <c r="E6828" s="0" t="s">
        <v>22732</v>
      </c>
      <c r="F6828" s="0" t="s">
        <v>90</v>
      </c>
      <c r="G6828" s="0" t="s">
        <v>16</v>
      </c>
      <c r="H6828" s="0" t="n">
        <v>21</v>
      </c>
      <c r="I6828" s="0" t="s">
        <v>22736</v>
      </c>
      <c r="J6828" s="0" t="s">
        <v>22737</v>
      </c>
      <c r="K6828" s="0" t="s">
        <v>22738</v>
      </c>
      <c r="L6828" s="0" t="str">
        <f aca="false">HYPERLINK("https://www.ncbi.nlm.nih.gov/nuccore/CP000058.1?report=graph&amp;tracks=[key:gene_model_track,Options:GeneOnly]&amp;mk=2151592:2151611|offset_0|444444,2151571:2151590|offset_21|00cc00,2151526:2151545|offset_66|444444,2151504:2151523|offset_88|444444&amp;v=2151391:2151723&amp;c=444444", "offset 21")</f>
        <v>offset 21</v>
      </c>
    </row>
    <row r="6829" customFormat="false" ht="12.8" hidden="false" customHeight="false" outlineLevel="0" collapsed="false">
      <c r="A6829" s="0" t="s">
        <v>12</v>
      </c>
      <c r="B6829" s="0" t="n">
        <v>2151525</v>
      </c>
      <c r="C6829" s="0" t="n">
        <v>2151545</v>
      </c>
      <c r="D6829" s="0" t="s">
        <v>22731</v>
      </c>
      <c r="E6829" s="0" t="s">
        <v>22732</v>
      </c>
      <c r="F6829" s="0" t="s">
        <v>90</v>
      </c>
      <c r="G6829" s="0" t="s">
        <v>36</v>
      </c>
      <c r="H6829" s="0" t="n">
        <v>66</v>
      </c>
      <c r="I6829" s="0" t="s">
        <v>22739</v>
      </c>
      <c r="J6829" s="0" t="s">
        <v>22740</v>
      </c>
      <c r="K6829" s="0" t="s">
        <v>22741</v>
      </c>
      <c r="L6829" s="0" t="str">
        <f aca="false">HYPERLINK("https://www.ncbi.nlm.nih.gov/nuccore/CP000058.1?report=graph&amp;tracks=[key:gene_model_track,Options:GeneOnly]&amp;mk=2151592:2151611|offset_0|444444,2151571:2151590|offset_21|444444,2151526:2151545|offset_66|00cc00,2151504:2151523|offset_88|444444&amp;v=2151391:2151723&amp;c=444444", "offset 66")</f>
        <v>offset 66</v>
      </c>
    </row>
    <row r="6830" customFormat="false" ht="12.8" hidden="false" customHeight="false" outlineLevel="0" collapsed="false">
      <c r="A6830" s="0" t="s">
        <v>12</v>
      </c>
      <c r="B6830" s="0" t="n">
        <v>2151503</v>
      </c>
      <c r="C6830" s="0" t="n">
        <v>2151523</v>
      </c>
      <c r="D6830" s="0" t="s">
        <v>22731</v>
      </c>
      <c r="E6830" s="0" t="s">
        <v>22732</v>
      </c>
      <c r="F6830" s="0" t="s">
        <v>90</v>
      </c>
      <c r="G6830" s="0" t="s">
        <v>32</v>
      </c>
      <c r="H6830" s="0" t="n">
        <v>88</v>
      </c>
      <c r="I6830" s="0" t="s">
        <v>22742</v>
      </c>
      <c r="J6830" s="0" t="s">
        <v>22743</v>
      </c>
      <c r="K6830" s="0" t="s">
        <v>22744</v>
      </c>
      <c r="L6830" s="0" t="str">
        <f aca="false">HYPERLINK("https://www.ncbi.nlm.nih.gov/nuccore/CP000058.1?report=graph&amp;tracks=[key:gene_model_track,Options:GeneOnly]&amp;mk=2151592:2151611|offset_0|444444,2151571:2151590|offset_21|444444,2151526:2151545|offset_66|444444,2151504:2151523|offset_88|00cc00&amp;v=2151391:2151723&amp;c=444444", "offset 88")</f>
        <v>offset 88</v>
      </c>
    </row>
    <row r="6831" customFormat="false" ht="12.8" hidden="false" customHeight="false" outlineLevel="0" collapsed="false">
      <c r="A6831" s="0" t="s">
        <v>12</v>
      </c>
      <c r="B6831" s="0" t="n">
        <v>2151816</v>
      </c>
      <c r="C6831" s="0" t="n">
        <v>2151836</v>
      </c>
      <c r="D6831" s="0" t="s">
        <v>22745</v>
      </c>
      <c r="E6831" s="0" t="s">
        <v>22746</v>
      </c>
      <c r="F6831" s="0" t="s">
        <v>15</v>
      </c>
      <c r="G6831" s="0" t="s">
        <v>36</v>
      </c>
      <c r="H6831" s="0" t="n">
        <v>15</v>
      </c>
      <c r="I6831" s="0" t="s">
        <v>22747</v>
      </c>
      <c r="J6831" s="0" t="s">
        <v>22748</v>
      </c>
      <c r="K6831" s="0" t="s">
        <v>22749</v>
      </c>
      <c r="L6831" s="0" t="str">
        <f aca="false">HYPERLINK("https://www.ncbi.nlm.nih.gov/nuccore/CP000058.1?report=graph&amp;tracks=[key:gene_model_track,Options:GeneOnly]&amp;mk=2151817:2151836|offset_15|00cc00,2151837:2151856|offset_35|444444,2151875:2151894|offset_73|444444,2151909:2151928|offset_107|444444&amp;v=2151616:2152128&amp;c=444444", "offset 15")</f>
        <v>offset 15</v>
      </c>
    </row>
    <row r="6832" customFormat="false" ht="12.8" hidden="false" customHeight="false" outlineLevel="0" collapsed="false">
      <c r="A6832" s="0" t="s">
        <v>12</v>
      </c>
      <c r="B6832" s="0" t="n">
        <v>2151836</v>
      </c>
      <c r="C6832" s="0" t="n">
        <v>2151856</v>
      </c>
      <c r="D6832" s="0" t="s">
        <v>22745</v>
      </c>
      <c r="E6832" s="0" t="s">
        <v>22746</v>
      </c>
      <c r="F6832" s="0" t="s">
        <v>15</v>
      </c>
      <c r="G6832" s="0" t="s">
        <v>32</v>
      </c>
      <c r="H6832" s="0" t="n">
        <v>35</v>
      </c>
      <c r="I6832" s="0" t="s">
        <v>22750</v>
      </c>
      <c r="J6832" s="0" t="s">
        <v>22751</v>
      </c>
      <c r="K6832" s="0" t="s">
        <v>22752</v>
      </c>
      <c r="L6832" s="0" t="str">
        <f aca="false">HYPERLINK("https://www.ncbi.nlm.nih.gov/nuccore/CP000058.1?report=graph&amp;tracks=[key:gene_model_track,Options:GeneOnly]&amp;mk=2151817:2151836|offset_15|444444,2151837:2151856|offset_35|00cc00,2151875:2151894|offset_73|444444,2151909:2151928|offset_107|444444&amp;v=2151616:2152128&amp;c=444444", "offset 35")</f>
        <v>offset 35</v>
      </c>
    </row>
    <row r="6833" customFormat="false" ht="12.8" hidden="false" customHeight="false" outlineLevel="0" collapsed="false">
      <c r="A6833" s="0" t="s">
        <v>12</v>
      </c>
      <c r="B6833" s="0" t="n">
        <v>2151874</v>
      </c>
      <c r="C6833" s="0" t="n">
        <v>2151894</v>
      </c>
      <c r="D6833" s="0" t="s">
        <v>22745</v>
      </c>
      <c r="E6833" s="0" t="s">
        <v>22746</v>
      </c>
      <c r="F6833" s="0" t="s">
        <v>15</v>
      </c>
      <c r="G6833" s="0" t="s">
        <v>16</v>
      </c>
      <c r="H6833" s="0" t="n">
        <v>73</v>
      </c>
      <c r="I6833" s="0" t="s">
        <v>22753</v>
      </c>
      <c r="J6833" s="0" t="s">
        <v>22754</v>
      </c>
      <c r="K6833" s="0" t="s">
        <v>22755</v>
      </c>
      <c r="L6833" s="0" t="str">
        <f aca="false">HYPERLINK("https://www.ncbi.nlm.nih.gov/nuccore/CP000058.1?report=graph&amp;tracks=[key:gene_model_track,Options:GeneOnly]&amp;mk=2151817:2151836|offset_15|444444,2151837:2151856|offset_35|444444,2151875:2151894|offset_73|00cc00,2151909:2151928|offset_107|444444&amp;v=2151616:2152128&amp;c=444444", "offset 73")</f>
        <v>offset 73</v>
      </c>
    </row>
    <row r="6834" customFormat="false" ht="12.8" hidden="false" customHeight="false" outlineLevel="0" collapsed="false">
      <c r="A6834" s="0" t="s">
        <v>12</v>
      </c>
      <c r="B6834" s="0" t="n">
        <v>2151908</v>
      </c>
      <c r="C6834" s="0" t="n">
        <v>2151928</v>
      </c>
      <c r="D6834" s="0" t="s">
        <v>22745</v>
      </c>
      <c r="E6834" s="0" t="s">
        <v>22746</v>
      </c>
      <c r="F6834" s="0" t="s">
        <v>15</v>
      </c>
      <c r="G6834" s="0" t="s">
        <v>16</v>
      </c>
      <c r="H6834" s="0" t="n">
        <v>107</v>
      </c>
      <c r="I6834" s="0" t="s">
        <v>22756</v>
      </c>
      <c r="J6834" s="0" t="s">
        <v>22757</v>
      </c>
      <c r="K6834" s="0" t="s">
        <v>22758</v>
      </c>
      <c r="L6834" s="0" t="str">
        <f aca="false">HYPERLINK("https://www.ncbi.nlm.nih.gov/nuccore/CP000058.1?report=graph&amp;tracks=[key:gene_model_track,Options:GeneOnly]&amp;mk=2151817:2151836|offset_15|444444,2151837:2151856|offset_35|444444,2151875:2151894|offset_73|444444,2151909:2151928|offset_107|00cc00&amp;v=2151616:2152128&amp;c=444444", "offset 107")</f>
        <v>offset 107</v>
      </c>
    </row>
    <row r="6835" customFormat="false" ht="12.8" hidden="false" customHeight="false" outlineLevel="0" collapsed="false">
      <c r="A6835" s="0" t="s">
        <v>12</v>
      </c>
      <c r="B6835" s="0" t="n">
        <v>2153427</v>
      </c>
      <c r="C6835" s="0" t="n">
        <v>2153447</v>
      </c>
      <c r="D6835" s="0" t="s">
        <v>22759</v>
      </c>
      <c r="E6835" s="0" t="s">
        <v>75</v>
      </c>
      <c r="F6835" s="0" t="s">
        <v>15</v>
      </c>
      <c r="G6835" s="0" t="s">
        <v>36</v>
      </c>
      <c r="H6835" s="0" t="n">
        <v>16</v>
      </c>
      <c r="I6835" s="0" t="s">
        <v>22760</v>
      </c>
      <c r="J6835" s="0" t="s">
        <v>22761</v>
      </c>
      <c r="K6835" s="0" t="s">
        <v>22762</v>
      </c>
      <c r="L6835" s="0" t="str">
        <f aca="false">HYPERLINK("https://www.ncbi.nlm.nih.gov/nuccore/CP000058.1?report=graph&amp;tracks=[key:gene_model_track,Options:GeneOnly]&amp;mk=2153428:2153447|offset_16|00cc00,2153450:2153469|offset_38|444444,2153492:2153511|offset_80|444444,2153518:2153537|offset_106|444444&amp;v=2153227:2153737&amp;c=444444", "offset 16")</f>
        <v>offset 16</v>
      </c>
    </row>
    <row r="6836" customFormat="false" ht="12.8" hidden="false" customHeight="false" outlineLevel="0" collapsed="false">
      <c r="A6836" s="0" t="s">
        <v>12</v>
      </c>
      <c r="B6836" s="0" t="n">
        <v>2153449</v>
      </c>
      <c r="C6836" s="0" t="n">
        <v>2153469</v>
      </c>
      <c r="D6836" s="0" t="s">
        <v>22759</v>
      </c>
      <c r="E6836" s="0" t="s">
        <v>75</v>
      </c>
      <c r="F6836" s="0" t="s">
        <v>15</v>
      </c>
      <c r="G6836" s="0" t="s">
        <v>20</v>
      </c>
      <c r="H6836" s="0" t="n">
        <v>38</v>
      </c>
      <c r="I6836" s="0" t="s">
        <v>22763</v>
      </c>
      <c r="J6836" s="0" t="s">
        <v>22764</v>
      </c>
      <c r="K6836" s="0" t="s">
        <v>22765</v>
      </c>
      <c r="L6836" s="0" t="str">
        <f aca="false">HYPERLINK("https://www.ncbi.nlm.nih.gov/nuccore/CP000058.1?report=graph&amp;tracks=[key:gene_model_track,Options:GeneOnly]&amp;mk=2153428:2153447|offset_16|444444,2153450:2153469|offset_38|00cc00,2153492:2153511|offset_80|444444,2153518:2153537|offset_106|444444&amp;v=2153227:2153737&amp;c=444444", "offset 38")</f>
        <v>offset 38</v>
      </c>
    </row>
    <row r="6837" customFormat="false" ht="12.8" hidden="false" customHeight="false" outlineLevel="0" collapsed="false">
      <c r="A6837" s="0" t="s">
        <v>12</v>
      </c>
      <c r="B6837" s="0" t="n">
        <v>2153491</v>
      </c>
      <c r="C6837" s="0" t="n">
        <v>2153511</v>
      </c>
      <c r="D6837" s="0" t="s">
        <v>22759</v>
      </c>
      <c r="E6837" s="0" t="s">
        <v>75</v>
      </c>
      <c r="F6837" s="0" t="s">
        <v>15</v>
      </c>
      <c r="G6837" s="0" t="s">
        <v>36</v>
      </c>
      <c r="H6837" s="0" t="n">
        <v>80</v>
      </c>
      <c r="I6837" s="0" t="s">
        <v>22766</v>
      </c>
      <c r="J6837" s="0" t="s">
        <v>22767</v>
      </c>
      <c r="K6837" s="0" t="s">
        <v>22768</v>
      </c>
      <c r="L6837" s="0" t="str">
        <f aca="false">HYPERLINK("https://www.ncbi.nlm.nih.gov/nuccore/CP000058.1?report=graph&amp;tracks=[key:gene_model_track,Options:GeneOnly]&amp;mk=2153428:2153447|offset_16|444444,2153450:2153469|offset_38|444444,2153492:2153511|offset_80|00cc00,2153518:2153537|offset_106|444444&amp;v=2153227:2153737&amp;c=444444", "offset 80")</f>
        <v>offset 80</v>
      </c>
    </row>
    <row r="6838" customFormat="false" ht="12.8" hidden="false" customHeight="false" outlineLevel="0" collapsed="false">
      <c r="A6838" s="0" t="s">
        <v>12</v>
      </c>
      <c r="B6838" s="0" t="n">
        <v>2153517</v>
      </c>
      <c r="C6838" s="0" t="n">
        <v>2153537</v>
      </c>
      <c r="D6838" s="0" t="s">
        <v>22759</v>
      </c>
      <c r="E6838" s="0" t="s">
        <v>75</v>
      </c>
      <c r="F6838" s="0" t="s">
        <v>15</v>
      </c>
      <c r="G6838" s="0" t="s">
        <v>20</v>
      </c>
      <c r="H6838" s="0" t="n">
        <v>106</v>
      </c>
      <c r="I6838" s="0" t="s">
        <v>22769</v>
      </c>
      <c r="J6838" s="0" t="s">
        <v>22770</v>
      </c>
      <c r="K6838" s="0" t="s">
        <v>22771</v>
      </c>
      <c r="L6838" s="0" t="str">
        <f aca="false">HYPERLINK("https://www.ncbi.nlm.nih.gov/nuccore/CP000058.1?report=graph&amp;tracks=[key:gene_model_track,Options:GeneOnly]&amp;mk=2153428:2153447|offset_16|444444,2153450:2153469|offset_38|444444,2153492:2153511|offset_80|444444,2153518:2153537|offset_106|00cc00&amp;v=2153227:2153737&amp;c=444444", "offset 106")</f>
        <v>offset 106</v>
      </c>
    </row>
    <row r="6839" customFormat="false" ht="12.8" hidden="false" customHeight="false" outlineLevel="0" collapsed="false">
      <c r="A6839" s="0" t="s">
        <v>12</v>
      </c>
      <c r="B6839" s="0" t="n">
        <v>2156006</v>
      </c>
      <c r="C6839" s="0" t="n">
        <v>2156026</v>
      </c>
      <c r="D6839" s="0" t="s">
        <v>22772</v>
      </c>
      <c r="E6839" s="0" t="s">
        <v>75</v>
      </c>
      <c r="F6839" s="0" t="s">
        <v>90</v>
      </c>
      <c r="G6839" s="0" t="s">
        <v>20</v>
      </c>
      <c r="H6839" s="0" t="n">
        <v>7</v>
      </c>
      <c r="I6839" s="0" t="s">
        <v>22773</v>
      </c>
      <c r="J6839" s="0" t="s">
        <v>22774</v>
      </c>
      <c r="K6839" s="0" t="s">
        <v>22775</v>
      </c>
      <c r="L6839" s="0" t="str">
        <f aca="false">HYPERLINK("https://www.ncbi.nlm.nih.gov/nuccore/CP000058.1?report=graph&amp;tracks=[key:gene_model_track,Options:GeneOnly]&amp;mk=2156007:2156026|offset_7|00cc00,2155955:2155974|offset_59|444444,2155917:2155936|offset_97|444444,2155892:2155911|offset_122|444444&amp;v=2155806:2156111&amp;c=444444", "offset 7")</f>
        <v>offset 7</v>
      </c>
    </row>
    <row r="6840" customFormat="false" ht="12.8" hidden="false" customHeight="false" outlineLevel="0" collapsed="false">
      <c r="A6840" s="0" t="s">
        <v>12</v>
      </c>
      <c r="B6840" s="0" t="n">
        <v>2155954</v>
      </c>
      <c r="C6840" s="0" t="n">
        <v>2155974</v>
      </c>
      <c r="D6840" s="0" t="s">
        <v>22772</v>
      </c>
      <c r="E6840" s="0" t="s">
        <v>75</v>
      </c>
      <c r="F6840" s="0" t="s">
        <v>90</v>
      </c>
      <c r="G6840" s="0" t="s">
        <v>20</v>
      </c>
      <c r="H6840" s="0" t="n">
        <v>59</v>
      </c>
      <c r="I6840" s="0" t="s">
        <v>22776</v>
      </c>
      <c r="J6840" s="0" t="s">
        <v>22777</v>
      </c>
      <c r="K6840" s="0" t="s">
        <v>22778</v>
      </c>
      <c r="L6840" s="0" t="str">
        <f aca="false">HYPERLINK("https://www.ncbi.nlm.nih.gov/nuccore/CP000058.1?report=graph&amp;tracks=[key:gene_model_track,Options:GeneOnly]&amp;mk=2156007:2156026|offset_7|444444,2155955:2155974|offset_59|00cc00,2155917:2155936|offset_97|444444,2155892:2155911|offset_122|444444&amp;v=2155806:2156111&amp;c=444444", "offset 59")</f>
        <v>offset 59</v>
      </c>
    </row>
    <row r="6841" customFormat="false" ht="12.8" hidden="false" customHeight="false" outlineLevel="0" collapsed="false">
      <c r="A6841" s="0" t="s">
        <v>12</v>
      </c>
      <c r="B6841" s="0" t="n">
        <v>2155916</v>
      </c>
      <c r="C6841" s="0" t="n">
        <v>2155936</v>
      </c>
      <c r="D6841" s="0" t="s">
        <v>22772</v>
      </c>
      <c r="E6841" s="0" t="s">
        <v>75</v>
      </c>
      <c r="F6841" s="0" t="s">
        <v>90</v>
      </c>
      <c r="G6841" s="0" t="s">
        <v>32</v>
      </c>
      <c r="H6841" s="0" t="n">
        <v>97</v>
      </c>
      <c r="I6841" s="0" t="s">
        <v>22779</v>
      </c>
      <c r="J6841" s="0" t="s">
        <v>22780</v>
      </c>
      <c r="K6841" s="0" t="s">
        <v>22781</v>
      </c>
      <c r="L6841" s="0" t="str">
        <f aca="false">HYPERLINK("https://www.ncbi.nlm.nih.gov/nuccore/CP000058.1?report=graph&amp;tracks=[key:gene_model_track,Options:GeneOnly]&amp;mk=2156007:2156026|offset_7|444444,2155955:2155974|offset_59|444444,2155917:2155936|offset_97|00cc00,2155892:2155911|offset_122|444444&amp;v=2155806:2156111&amp;c=444444", "offset 97")</f>
        <v>offset 97</v>
      </c>
    </row>
    <row r="6842" customFormat="false" ht="12.8" hidden="false" customHeight="false" outlineLevel="0" collapsed="false">
      <c r="A6842" s="0" t="s">
        <v>12</v>
      </c>
      <c r="B6842" s="0" t="n">
        <v>2155891</v>
      </c>
      <c r="C6842" s="0" t="n">
        <v>2155911</v>
      </c>
      <c r="D6842" s="0" t="s">
        <v>22772</v>
      </c>
      <c r="E6842" s="0" t="s">
        <v>75</v>
      </c>
      <c r="F6842" s="0" t="s">
        <v>90</v>
      </c>
      <c r="G6842" s="0" t="s">
        <v>36</v>
      </c>
      <c r="H6842" s="0" t="n">
        <v>122</v>
      </c>
      <c r="I6842" s="0" t="s">
        <v>22782</v>
      </c>
      <c r="J6842" s="0" t="s">
        <v>22783</v>
      </c>
      <c r="K6842" s="0" t="s">
        <v>22784</v>
      </c>
      <c r="L6842" s="0" t="str">
        <f aca="false">HYPERLINK("https://www.ncbi.nlm.nih.gov/nuccore/CP000058.1?report=graph&amp;tracks=[key:gene_model_track,Options:GeneOnly]&amp;mk=2156007:2156026|offset_7|444444,2155955:2155974|offset_59|444444,2155917:2155936|offset_97|444444,2155892:2155911|offset_122|00cc00&amp;v=2155806:2156111&amp;c=444444", "offset 122")</f>
        <v>offset 122</v>
      </c>
    </row>
    <row r="6843" customFormat="false" ht="12.8" hidden="false" customHeight="false" outlineLevel="0" collapsed="false">
      <c r="A6843" s="0" t="s">
        <v>12</v>
      </c>
      <c r="B6843" s="0" t="n">
        <v>2156518</v>
      </c>
      <c r="C6843" s="0" t="n">
        <v>2156538</v>
      </c>
      <c r="D6843" s="0" t="s">
        <v>22785</v>
      </c>
      <c r="E6843" s="0" t="s">
        <v>75</v>
      </c>
      <c r="F6843" s="0" t="s">
        <v>15</v>
      </c>
      <c r="G6843" s="0" t="s">
        <v>16</v>
      </c>
      <c r="H6843" s="0" t="n">
        <v>69</v>
      </c>
      <c r="I6843" s="0" t="s">
        <v>22786</v>
      </c>
      <c r="J6843" s="0" t="s">
        <v>22787</v>
      </c>
      <c r="K6843" s="0" t="s">
        <v>22788</v>
      </c>
      <c r="L6843" s="0" t="str">
        <f aca="false">HYPERLINK("https://www.ncbi.nlm.nih.gov/nuccore/CP000058.1?report=graph&amp;tracks=[key:gene_model_track,Options:GeneOnly]&amp;mk=2156519:2156538|offset_69|00cc00,2156559:2156578|offset_109|444444,2156590:2156609|offset_140|444444,2156678:2156697|offset_228|444444&amp;v=2156318:2156897&amp;c=444444", "offset 69")</f>
        <v>offset 69</v>
      </c>
    </row>
    <row r="6844" customFormat="false" ht="12.8" hidden="false" customHeight="false" outlineLevel="0" collapsed="false">
      <c r="A6844" s="0" t="s">
        <v>12</v>
      </c>
      <c r="B6844" s="0" t="n">
        <v>2156558</v>
      </c>
      <c r="C6844" s="0" t="n">
        <v>2156578</v>
      </c>
      <c r="D6844" s="0" t="s">
        <v>22785</v>
      </c>
      <c r="E6844" s="0" t="s">
        <v>75</v>
      </c>
      <c r="F6844" s="0" t="s">
        <v>15</v>
      </c>
      <c r="G6844" s="0" t="s">
        <v>20</v>
      </c>
      <c r="H6844" s="0" t="n">
        <v>109</v>
      </c>
      <c r="I6844" s="0" t="s">
        <v>22789</v>
      </c>
      <c r="J6844" s="0" t="s">
        <v>22790</v>
      </c>
      <c r="K6844" s="0" t="s">
        <v>22791</v>
      </c>
      <c r="L6844" s="0" t="str">
        <f aca="false">HYPERLINK("https://www.ncbi.nlm.nih.gov/nuccore/CP000058.1?report=graph&amp;tracks=[key:gene_model_track,Options:GeneOnly]&amp;mk=2156519:2156538|offset_69|444444,2156559:2156578|offset_109|00cc00,2156590:2156609|offset_140|444444,2156678:2156697|offset_228|444444&amp;v=2156318:2156897&amp;c=444444", "offset 109")</f>
        <v>offset 109</v>
      </c>
    </row>
    <row r="6845" customFormat="false" ht="12.8" hidden="false" customHeight="false" outlineLevel="0" collapsed="false">
      <c r="A6845" s="0" t="s">
        <v>12</v>
      </c>
      <c r="B6845" s="0" t="n">
        <v>2156589</v>
      </c>
      <c r="C6845" s="0" t="n">
        <v>2156609</v>
      </c>
      <c r="D6845" s="0" t="s">
        <v>22785</v>
      </c>
      <c r="E6845" s="0" t="s">
        <v>75</v>
      </c>
      <c r="F6845" s="0" t="s">
        <v>15</v>
      </c>
      <c r="G6845" s="0" t="s">
        <v>36</v>
      </c>
      <c r="H6845" s="0" t="n">
        <v>140</v>
      </c>
      <c r="I6845" s="0" t="s">
        <v>22792</v>
      </c>
      <c r="J6845" s="0" t="s">
        <v>22793</v>
      </c>
      <c r="K6845" s="0" t="s">
        <v>22794</v>
      </c>
      <c r="L6845" s="0" t="str">
        <f aca="false">HYPERLINK("https://www.ncbi.nlm.nih.gov/nuccore/CP000058.1?report=graph&amp;tracks=[key:gene_model_track,Options:GeneOnly]&amp;mk=2156519:2156538|offset_69|444444,2156559:2156578|offset_109|444444,2156590:2156609|offset_140|00cc00,2156678:2156697|offset_228|444444&amp;v=2156318:2156897&amp;c=444444", "offset 140")</f>
        <v>offset 140</v>
      </c>
    </row>
    <row r="6846" customFormat="false" ht="12.8" hidden="false" customHeight="false" outlineLevel="0" collapsed="false">
      <c r="A6846" s="0" t="s">
        <v>12</v>
      </c>
      <c r="B6846" s="0" t="n">
        <v>2156677</v>
      </c>
      <c r="C6846" s="0" t="n">
        <v>2156697</v>
      </c>
      <c r="D6846" s="0" t="s">
        <v>22785</v>
      </c>
      <c r="E6846" s="0" t="s">
        <v>75</v>
      </c>
      <c r="F6846" s="0" t="s">
        <v>15</v>
      </c>
      <c r="G6846" s="0" t="s">
        <v>20</v>
      </c>
      <c r="H6846" s="0" t="n">
        <v>228</v>
      </c>
      <c r="I6846" s="0" t="s">
        <v>22795</v>
      </c>
      <c r="J6846" s="0" t="s">
        <v>22796</v>
      </c>
      <c r="K6846" s="0" t="s">
        <v>22797</v>
      </c>
      <c r="L6846" s="0" t="str">
        <f aca="false">HYPERLINK("https://www.ncbi.nlm.nih.gov/nuccore/CP000058.1?report=graph&amp;tracks=[key:gene_model_track,Options:GeneOnly]&amp;mk=2156519:2156538|offset_69|444444,2156559:2156578|offset_109|444444,2156590:2156609|offset_140|444444,2156678:2156697|offset_228|00cc00&amp;v=2156318:2156897&amp;c=444444", "offset 228")</f>
        <v>offset 228</v>
      </c>
    </row>
    <row r="6847" customFormat="false" ht="12.8" hidden="false" customHeight="false" outlineLevel="0" collapsed="false">
      <c r="A6847" s="0" t="s">
        <v>12</v>
      </c>
      <c r="B6847" s="0" t="n">
        <v>2157648</v>
      </c>
      <c r="C6847" s="0" t="n">
        <v>2157668</v>
      </c>
      <c r="D6847" s="0" t="s">
        <v>22798</v>
      </c>
      <c r="E6847" s="0" t="s">
        <v>22799</v>
      </c>
      <c r="F6847" s="0" t="s">
        <v>15</v>
      </c>
      <c r="G6847" s="0" t="s">
        <v>16</v>
      </c>
      <c r="H6847" s="0" t="n">
        <v>40</v>
      </c>
      <c r="I6847" s="0" t="s">
        <v>22800</v>
      </c>
      <c r="J6847" s="0" t="s">
        <v>22801</v>
      </c>
      <c r="K6847" s="0" t="s">
        <v>22802</v>
      </c>
      <c r="L6847" s="0" t="str">
        <f aca="false">HYPERLINK("https://www.ncbi.nlm.nih.gov/nuccore/CP000058.1?report=graph&amp;tracks=[key:gene_model_track,Options:GeneOnly]&amp;mk=2157649:2157668|offset_40|00cc00,2157682:2157701|offset_73|444444,2157706:2157725|offset_97|444444,2157745:2157764|offset_136|444444&amp;v=2157448:2157964&amp;c=444444", "offset 40")</f>
        <v>offset 40</v>
      </c>
    </row>
    <row r="6848" customFormat="false" ht="12.8" hidden="false" customHeight="false" outlineLevel="0" collapsed="false">
      <c r="A6848" s="0" t="s">
        <v>12</v>
      </c>
      <c r="B6848" s="0" t="n">
        <v>2157681</v>
      </c>
      <c r="C6848" s="0" t="n">
        <v>2157701</v>
      </c>
      <c r="D6848" s="0" t="s">
        <v>22798</v>
      </c>
      <c r="E6848" s="0" t="s">
        <v>22799</v>
      </c>
      <c r="F6848" s="0" t="s">
        <v>15</v>
      </c>
      <c r="G6848" s="0" t="s">
        <v>16</v>
      </c>
      <c r="H6848" s="0" t="n">
        <v>73</v>
      </c>
      <c r="I6848" s="0" t="s">
        <v>22803</v>
      </c>
      <c r="J6848" s="0" t="s">
        <v>22804</v>
      </c>
      <c r="K6848" s="0" t="s">
        <v>22805</v>
      </c>
      <c r="L6848" s="0" t="str">
        <f aca="false">HYPERLINK("https://www.ncbi.nlm.nih.gov/nuccore/CP000058.1?report=graph&amp;tracks=[key:gene_model_track,Options:GeneOnly]&amp;mk=2157649:2157668|offset_40|444444,2157682:2157701|offset_73|00cc00,2157706:2157725|offset_97|444444,2157745:2157764|offset_136|444444&amp;v=2157448:2157964&amp;c=444444", "offset 73")</f>
        <v>offset 73</v>
      </c>
    </row>
    <row r="6849" customFormat="false" ht="12.8" hidden="false" customHeight="false" outlineLevel="0" collapsed="false">
      <c r="A6849" s="0" t="s">
        <v>12</v>
      </c>
      <c r="B6849" s="0" t="n">
        <v>2157705</v>
      </c>
      <c r="C6849" s="0" t="n">
        <v>2157725</v>
      </c>
      <c r="D6849" s="0" t="s">
        <v>22798</v>
      </c>
      <c r="E6849" s="0" t="s">
        <v>22799</v>
      </c>
      <c r="F6849" s="0" t="s">
        <v>15</v>
      </c>
      <c r="G6849" s="0" t="s">
        <v>32</v>
      </c>
      <c r="H6849" s="0" t="n">
        <v>97</v>
      </c>
      <c r="I6849" s="0" t="s">
        <v>22806</v>
      </c>
      <c r="J6849" s="0" t="s">
        <v>22807</v>
      </c>
      <c r="K6849" s="0" t="s">
        <v>22808</v>
      </c>
      <c r="L6849" s="0" t="str">
        <f aca="false">HYPERLINK("https://www.ncbi.nlm.nih.gov/nuccore/CP000058.1?report=graph&amp;tracks=[key:gene_model_track,Options:GeneOnly]&amp;mk=2157649:2157668|offset_40|444444,2157682:2157701|offset_73|444444,2157706:2157725|offset_97|00cc00,2157745:2157764|offset_136|444444&amp;v=2157448:2157964&amp;c=444444", "offset 97")</f>
        <v>offset 97</v>
      </c>
    </row>
    <row r="6850" customFormat="false" ht="12.8" hidden="false" customHeight="false" outlineLevel="0" collapsed="false">
      <c r="A6850" s="0" t="s">
        <v>12</v>
      </c>
      <c r="B6850" s="0" t="n">
        <v>2157744</v>
      </c>
      <c r="C6850" s="0" t="n">
        <v>2157764</v>
      </c>
      <c r="D6850" s="0" t="s">
        <v>22798</v>
      </c>
      <c r="E6850" s="0" t="s">
        <v>22799</v>
      </c>
      <c r="F6850" s="0" t="s">
        <v>15</v>
      </c>
      <c r="G6850" s="0" t="s">
        <v>36</v>
      </c>
      <c r="H6850" s="0" t="n">
        <v>136</v>
      </c>
      <c r="I6850" s="0" t="s">
        <v>22809</v>
      </c>
      <c r="J6850" s="0" t="s">
        <v>22810</v>
      </c>
      <c r="K6850" s="0" t="s">
        <v>22811</v>
      </c>
      <c r="L6850" s="0" t="str">
        <f aca="false">HYPERLINK("https://www.ncbi.nlm.nih.gov/nuccore/CP000058.1?report=graph&amp;tracks=[key:gene_model_track,Options:GeneOnly]&amp;mk=2157649:2157668|offset_40|444444,2157682:2157701|offset_73|444444,2157706:2157725|offset_97|444444,2157745:2157764|offset_136|00cc00&amp;v=2157448:2157964&amp;c=444444", "offset 136")</f>
        <v>offset 136</v>
      </c>
    </row>
    <row r="6851" customFormat="false" ht="12.8" hidden="false" customHeight="false" outlineLevel="0" collapsed="false">
      <c r="A6851" s="0" t="s">
        <v>12</v>
      </c>
      <c r="B6851" s="0" t="n">
        <v>2159741</v>
      </c>
      <c r="C6851" s="0" t="n">
        <v>2159761</v>
      </c>
      <c r="D6851" s="0" t="s">
        <v>22812</v>
      </c>
      <c r="E6851" s="0" t="s">
        <v>75</v>
      </c>
      <c r="F6851" s="0" t="s">
        <v>90</v>
      </c>
      <c r="G6851" s="0" t="s">
        <v>20</v>
      </c>
      <c r="H6851" s="0" t="n">
        <v>7</v>
      </c>
      <c r="I6851" s="0" t="s">
        <v>22813</v>
      </c>
      <c r="J6851" s="0" t="s">
        <v>22814</v>
      </c>
      <c r="K6851" s="0" t="s">
        <v>22815</v>
      </c>
      <c r="L6851" s="0" t="str">
        <f aca="false">HYPERLINK("https://www.ncbi.nlm.nih.gov/nuccore/CP000058.1?report=graph&amp;tracks=[key:gene_model_track,Options:GeneOnly]&amp;mk=2159742:2159761|offset_7|00cc00,2159718:2159737|offset_31|444444,2159694:2159713|offset_55|444444,2159654:2159673|offset_95|444444&amp;v=2159541:2159873&amp;c=444444", "offset 7")</f>
        <v>offset 7</v>
      </c>
    </row>
    <row r="6852" customFormat="false" ht="12.8" hidden="false" customHeight="false" outlineLevel="0" collapsed="false">
      <c r="A6852" s="0" t="s">
        <v>12</v>
      </c>
      <c r="B6852" s="0" t="n">
        <v>2159717</v>
      </c>
      <c r="C6852" s="0" t="n">
        <v>2159737</v>
      </c>
      <c r="D6852" s="0" t="s">
        <v>22812</v>
      </c>
      <c r="E6852" s="0" t="s">
        <v>75</v>
      </c>
      <c r="F6852" s="0" t="s">
        <v>90</v>
      </c>
      <c r="G6852" s="0" t="s">
        <v>32</v>
      </c>
      <c r="H6852" s="0" t="n">
        <v>31</v>
      </c>
      <c r="I6852" s="0" t="s">
        <v>22816</v>
      </c>
      <c r="J6852" s="0" t="s">
        <v>22817</v>
      </c>
      <c r="K6852" s="0" t="s">
        <v>22818</v>
      </c>
      <c r="L6852" s="0" t="str">
        <f aca="false">HYPERLINK("https://www.ncbi.nlm.nih.gov/nuccore/CP000058.1?report=graph&amp;tracks=[key:gene_model_track,Options:GeneOnly]&amp;mk=2159742:2159761|offset_7|444444,2159718:2159737|offset_31|00cc00,2159694:2159713|offset_55|444444,2159654:2159673|offset_95|444444&amp;v=2159541:2159873&amp;c=444444", "offset 31")</f>
        <v>offset 31</v>
      </c>
    </row>
    <row r="6853" customFormat="false" ht="12.8" hidden="false" customHeight="false" outlineLevel="0" collapsed="false">
      <c r="A6853" s="0" t="s">
        <v>12</v>
      </c>
      <c r="B6853" s="0" t="n">
        <v>2159693</v>
      </c>
      <c r="C6853" s="0" t="n">
        <v>2159713</v>
      </c>
      <c r="D6853" s="0" t="s">
        <v>22812</v>
      </c>
      <c r="E6853" s="0" t="s">
        <v>75</v>
      </c>
      <c r="F6853" s="0" t="s">
        <v>90</v>
      </c>
      <c r="G6853" s="0" t="s">
        <v>36</v>
      </c>
      <c r="H6853" s="0" t="n">
        <v>55</v>
      </c>
      <c r="I6853" s="0" t="s">
        <v>22819</v>
      </c>
      <c r="J6853" s="0" t="s">
        <v>22820</v>
      </c>
      <c r="K6853" s="0" t="s">
        <v>22821</v>
      </c>
      <c r="L6853" s="0" t="str">
        <f aca="false">HYPERLINK("https://www.ncbi.nlm.nih.gov/nuccore/CP000058.1?report=graph&amp;tracks=[key:gene_model_track,Options:GeneOnly]&amp;mk=2159742:2159761|offset_7|444444,2159718:2159737|offset_31|444444,2159694:2159713|offset_55|00cc00,2159654:2159673|offset_95|444444&amp;v=2159541:2159873&amp;c=444444", "offset 55")</f>
        <v>offset 55</v>
      </c>
    </row>
    <row r="6854" customFormat="false" ht="12.8" hidden="false" customHeight="false" outlineLevel="0" collapsed="false">
      <c r="A6854" s="0" t="s">
        <v>12</v>
      </c>
      <c r="B6854" s="0" t="n">
        <v>2159653</v>
      </c>
      <c r="C6854" s="0" t="n">
        <v>2159673</v>
      </c>
      <c r="D6854" s="0" t="s">
        <v>22812</v>
      </c>
      <c r="E6854" s="0" t="s">
        <v>75</v>
      </c>
      <c r="F6854" s="0" t="s">
        <v>90</v>
      </c>
      <c r="G6854" s="0" t="s">
        <v>16</v>
      </c>
      <c r="H6854" s="0" t="n">
        <v>95</v>
      </c>
      <c r="I6854" s="0" t="s">
        <v>22822</v>
      </c>
      <c r="J6854" s="0" t="s">
        <v>22823</v>
      </c>
      <c r="K6854" s="0" t="s">
        <v>22824</v>
      </c>
      <c r="L6854" s="0" t="str">
        <f aca="false">HYPERLINK("https://www.ncbi.nlm.nih.gov/nuccore/CP000058.1?report=graph&amp;tracks=[key:gene_model_track,Options:GeneOnly]&amp;mk=2159742:2159761|offset_7|444444,2159718:2159737|offset_31|444444,2159694:2159713|offset_55|444444,2159654:2159673|offset_95|00cc00&amp;v=2159541:2159873&amp;c=444444", "offset 95")</f>
        <v>offset 95</v>
      </c>
    </row>
    <row r="6855" customFormat="false" ht="12.8" hidden="false" customHeight="false" outlineLevel="0" collapsed="false">
      <c r="A6855" s="0" t="s">
        <v>12</v>
      </c>
      <c r="B6855" s="0" t="n">
        <v>2160407</v>
      </c>
      <c r="C6855" s="0" t="n">
        <v>2160427</v>
      </c>
      <c r="D6855" s="0" t="s">
        <v>22825</v>
      </c>
      <c r="E6855" s="0" t="s">
        <v>75</v>
      </c>
      <c r="F6855" s="0" t="s">
        <v>90</v>
      </c>
      <c r="G6855" s="0" t="s">
        <v>32</v>
      </c>
      <c r="H6855" s="0" t="n">
        <v>1</v>
      </c>
      <c r="I6855" s="0" t="s">
        <v>22826</v>
      </c>
      <c r="J6855" s="0" t="s">
        <v>22827</v>
      </c>
      <c r="K6855" s="0" t="s">
        <v>22828</v>
      </c>
      <c r="L6855" s="0" t="str">
        <f aca="false">HYPERLINK("https://www.ncbi.nlm.nih.gov/nuccore/CP000058.1?report=graph&amp;tracks=[key:gene_model_track,Options:GeneOnly]&amp;mk=2160408:2160427|offset_1|00cc00,2160380:2160399|offset_29|444444,2160335:2160354|offset_74|444444,2160300:2160319|offset_109|444444&amp;v=2160207:2160519&amp;c=444444", "offset 1")</f>
        <v>offset 1</v>
      </c>
    </row>
    <row r="6856" customFormat="false" ht="12.8" hidden="false" customHeight="false" outlineLevel="0" collapsed="false">
      <c r="A6856" s="0" t="s">
        <v>12</v>
      </c>
      <c r="B6856" s="0" t="n">
        <v>2160379</v>
      </c>
      <c r="C6856" s="0" t="n">
        <v>2160399</v>
      </c>
      <c r="D6856" s="0" t="s">
        <v>22825</v>
      </c>
      <c r="E6856" s="0" t="s">
        <v>75</v>
      </c>
      <c r="F6856" s="0" t="s">
        <v>90</v>
      </c>
      <c r="G6856" s="0" t="s">
        <v>16</v>
      </c>
      <c r="H6856" s="0" t="n">
        <v>29</v>
      </c>
      <c r="I6856" s="0" t="s">
        <v>22829</v>
      </c>
      <c r="J6856" s="0" t="s">
        <v>22830</v>
      </c>
      <c r="K6856" s="0" t="s">
        <v>22831</v>
      </c>
      <c r="L6856" s="0" t="str">
        <f aca="false">HYPERLINK("https://www.ncbi.nlm.nih.gov/nuccore/CP000058.1?report=graph&amp;tracks=[key:gene_model_track,Options:GeneOnly]&amp;mk=2160408:2160427|offset_1|444444,2160380:2160399|offset_29|00cc00,2160335:2160354|offset_74|444444,2160300:2160319|offset_109|444444&amp;v=2160207:2160519&amp;c=444444", "offset 29")</f>
        <v>offset 29</v>
      </c>
    </row>
    <row r="6857" customFormat="false" ht="12.8" hidden="false" customHeight="false" outlineLevel="0" collapsed="false">
      <c r="A6857" s="0" t="s">
        <v>12</v>
      </c>
      <c r="B6857" s="0" t="n">
        <v>2160334</v>
      </c>
      <c r="C6857" s="0" t="n">
        <v>2160354</v>
      </c>
      <c r="D6857" s="0" t="s">
        <v>22825</v>
      </c>
      <c r="E6857" s="0" t="s">
        <v>75</v>
      </c>
      <c r="F6857" s="0" t="s">
        <v>90</v>
      </c>
      <c r="G6857" s="0" t="s">
        <v>36</v>
      </c>
      <c r="H6857" s="0" t="n">
        <v>74</v>
      </c>
      <c r="I6857" s="0" t="s">
        <v>22832</v>
      </c>
      <c r="J6857" s="0" t="s">
        <v>22833</v>
      </c>
      <c r="K6857" s="0" t="s">
        <v>22834</v>
      </c>
      <c r="L6857" s="0" t="str">
        <f aca="false">HYPERLINK("https://www.ncbi.nlm.nih.gov/nuccore/CP000058.1?report=graph&amp;tracks=[key:gene_model_track,Options:GeneOnly]&amp;mk=2160408:2160427|offset_1|444444,2160380:2160399|offset_29|444444,2160335:2160354|offset_74|00cc00,2160300:2160319|offset_109|444444&amp;v=2160207:2160519&amp;c=444444", "offset 74")</f>
        <v>offset 74</v>
      </c>
    </row>
    <row r="6858" customFormat="false" ht="12.8" hidden="false" customHeight="false" outlineLevel="0" collapsed="false">
      <c r="A6858" s="0" t="s">
        <v>12</v>
      </c>
      <c r="B6858" s="0" t="n">
        <v>2160299</v>
      </c>
      <c r="C6858" s="0" t="n">
        <v>2160319</v>
      </c>
      <c r="D6858" s="0" t="s">
        <v>22825</v>
      </c>
      <c r="E6858" s="0" t="s">
        <v>75</v>
      </c>
      <c r="F6858" s="0" t="s">
        <v>90</v>
      </c>
      <c r="G6858" s="0" t="s">
        <v>32</v>
      </c>
      <c r="H6858" s="0" t="n">
        <v>109</v>
      </c>
      <c r="I6858" s="0" t="s">
        <v>22835</v>
      </c>
      <c r="J6858" s="0" t="s">
        <v>22836</v>
      </c>
      <c r="K6858" s="0" t="s">
        <v>22837</v>
      </c>
      <c r="L6858" s="0" t="str">
        <f aca="false">HYPERLINK("https://www.ncbi.nlm.nih.gov/nuccore/CP000058.1?report=graph&amp;tracks=[key:gene_model_track,Options:GeneOnly]&amp;mk=2160408:2160427|offset_1|444444,2160380:2160399|offset_29|444444,2160335:2160354|offset_74|444444,2160300:2160319|offset_109|00cc00&amp;v=2160207:2160519&amp;c=444444", "offset 109")</f>
        <v>offset 109</v>
      </c>
    </row>
    <row r="6859" customFormat="false" ht="12.8" hidden="false" customHeight="false" outlineLevel="0" collapsed="false">
      <c r="A6859" s="0" t="s">
        <v>12</v>
      </c>
      <c r="B6859" s="0" t="n">
        <v>2160542</v>
      </c>
      <c r="C6859" s="0" t="n">
        <v>2160562</v>
      </c>
      <c r="D6859" s="0" t="s">
        <v>22838</v>
      </c>
      <c r="E6859" s="0" t="s">
        <v>22839</v>
      </c>
      <c r="F6859" s="0" t="s">
        <v>15</v>
      </c>
      <c r="G6859" s="0" t="s">
        <v>20</v>
      </c>
      <c r="H6859" s="0" t="n">
        <v>12</v>
      </c>
      <c r="I6859" s="0" t="s">
        <v>22840</v>
      </c>
      <c r="J6859" s="0" t="s">
        <v>22841</v>
      </c>
      <c r="K6859" s="0" t="s">
        <v>22842</v>
      </c>
      <c r="L6859" s="0" t="str">
        <f aca="false">HYPERLINK("https://www.ncbi.nlm.nih.gov/nuccore/CP000058.1?report=graph&amp;tracks=[key:gene_model_track,Options:GeneOnly]&amp;mk=2160543:2160562|offset_12|00cc00,2160580:2160599|offset_49|444444,2160613:2160632|offset_82|444444,2160637:2160656|offset_106|444444&amp;v=2160342:2160856&amp;c=444444", "offset 12")</f>
        <v>offset 12</v>
      </c>
    </row>
    <row r="6860" customFormat="false" ht="12.8" hidden="false" customHeight="false" outlineLevel="0" collapsed="false">
      <c r="A6860" s="0" t="s">
        <v>12</v>
      </c>
      <c r="B6860" s="0" t="n">
        <v>2160579</v>
      </c>
      <c r="C6860" s="0" t="n">
        <v>2160599</v>
      </c>
      <c r="D6860" s="0" t="s">
        <v>22838</v>
      </c>
      <c r="E6860" s="0" t="s">
        <v>22839</v>
      </c>
      <c r="F6860" s="0" t="s">
        <v>15</v>
      </c>
      <c r="G6860" s="0" t="s">
        <v>32</v>
      </c>
      <c r="H6860" s="0" t="n">
        <v>49</v>
      </c>
      <c r="I6860" s="0" t="s">
        <v>22843</v>
      </c>
      <c r="J6860" s="0" t="s">
        <v>22844</v>
      </c>
      <c r="K6860" s="0" t="s">
        <v>22845</v>
      </c>
      <c r="L6860" s="0" t="str">
        <f aca="false">HYPERLINK("https://www.ncbi.nlm.nih.gov/nuccore/CP000058.1?report=graph&amp;tracks=[key:gene_model_track,Options:GeneOnly]&amp;mk=2160543:2160562|offset_12|444444,2160580:2160599|offset_49|00cc00,2160613:2160632|offset_82|444444,2160637:2160656|offset_106|444444&amp;v=2160342:2160856&amp;c=444444", "offset 49")</f>
        <v>offset 49</v>
      </c>
    </row>
    <row r="6861" customFormat="false" ht="12.8" hidden="false" customHeight="false" outlineLevel="0" collapsed="false">
      <c r="A6861" s="0" t="s">
        <v>12</v>
      </c>
      <c r="B6861" s="0" t="n">
        <v>2160612</v>
      </c>
      <c r="C6861" s="0" t="n">
        <v>2160632</v>
      </c>
      <c r="D6861" s="0" t="s">
        <v>22838</v>
      </c>
      <c r="E6861" s="0" t="s">
        <v>22839</v>
      </c>
      <c r="F6861" s="0" t="s">
        <v>15</v>
      </c>
      <c r="G6861" s="0" t="s">
        <v>36</v>
      </c>
      <c r="H6861" s="0" t="n">
        <v>82</v>
      </c>
      <c r="I6861" s="0" t="s">
        <v>22846</v>
      </c>
      <c r="J6861" s="0" t="s">
        <v>22847</v>
      </c>
      <c r="K6861" s="0" t="s">
        <v>22848</v>
      </c>
      <c r="L6861" s="0" t="str">
        <f aca="false">HYPERLINK("https://www.ncbi.nlm.nih.gov/nuccore/CP000058.1?report=graph&amp;tracks=[key:gene_model_track,Options:GeneOnly]&amp;mk=2160543:2160562|offset_12|444444,2160580:2160599|offset_49|444444,2160613:2160632|offset_82|00cc00,2160637:2160656|offset_106|444444&amp;v=2160342:2160856&amp;c=444444", "offset 82")</f>
        <v>offset 82</v>
      </c>
    </row>
    <row r="6862" customFormat="false" ht="12.8" hidden="false" customHeight="false" outlineLevel="0" collapsed="false">
      <c r="A6862" s="0" t="s">
        <v>12</v>
      </c>
      <c r="B6862" s="0" t="n">
        <v>2160636</v>
      </c>
      <c r="C6862" s="0" t="n">
        <v>2160656</v>
      </c>
      <c r="D6862" s="0" t="s">
        <v>22838</v>
      </c>
      <c r="E6862" s="0" t="s">
        <v>22839</v>
      </c>
      <c r="F6862" s="0" t="s">
        <v>15</v>
      </c>
      <c r="G6862" s="0" t="s">
        <v>36</v>
      </c>
      <c r="H6862" s="0" t="n">
        <v>106</v>
      </c>
      <c r="I6862" s="0" t="s">
        <v>22849</v>
      </c>
      <c r="J6862" s="0" t="s">
        <v>22850</v>
      </c>
      <c r="K6862" s="0" t="s">
        <v>22851</v>
      </c>
      <c r="L6862" s="0" t="str">
        <f aca="false">HYPERLINK("https://www.ncbi.nlm.nih.gov/nuccore/CP000058.1?report=graph&amp;tracks=[key:gene_model_track,Options:GeneOnly]&amp;mk=2160543:2160562|offset_12|444444,2160580:2160599|offset_49|444444,2160613:2160632|offset_82|444444,2160637:2160656|offset_106|00cc00&amp;v=2160342:2160856&amp;c=444444", "offset 106")</f>
        <v>offset 106</v>
      </c>
    </row>
    <row r="6863" customFormat="false" ht="12.8" hidden="false" customHeight="false" outlineLevel="0" collapsed="false">
      <c r="A6863" s="0" t="s">
        <v>12</v>
      </c>
      <c r="B6863" s="0" t="n">
        <v>2161817</v>
      </c>
      <c r="C6863" s="0" t="n">
        <v>2161837</v>
      </c>
      <c r="D6863" s="0" t="s">
        <v>22852</v>
      </c>
      <c r="E6863" s="0" t="s">
        <v>22853</v>
      </c>
      <c r="F6863" s="0" t="s">
        <v>15</v>
      </c>
      <c r="G6863" s="0" t="s">
        <v>16</v>
      </c>
      <c r="H6863" s="0" t="n">
        <v>29</v>
      </c>
      <c r="I6863" s="0" t="s">
        <v>22854</v>
      </c>
      <c r="J6863" s="0" t="s">
        <v>22855</v>
      </c>
      <c r="K6863" s="0" t="s">
        <v>22856</v>
      </c>
      <c r="L6863" s="0" t="str">
        <f aca="false">HYPERLINK("https://www.ncbi.nlm.nih.gov/nuccore/CP000058.1?report=graph&amp;tracks=[key:gene_model_track,Options:GeneOnly]&amp;mk=2161818:2161837|offset_29|00cc00,2161848:2161867|offset_59|444444,2161871:2161890|offset_82|444444,2161894:2161913|offset_105|444444&amp;v=2161617:2162113&amp;c=444444", "offset 29")</f>
        <v>offset 29</v>
      </c>
    </row>
    <row r="6864" customFormat="false" ht="12.8" hidden="false" customHeight="false" outlineLevel="0" collapsed="false">
      <c r="A6864" s="0" t="s">
        <v>12</v>
      </c>
      <c r="B6864" s="0" t="n">
        <v>2161847</v>
      </c>
      <c r="C6864" s="0" t="n">
        <v>2161867</v>
      </c>
      <c r="D6864" s="0" t="s">
        <v>22852</v>
      </c>
      <c r="E6864" s="0" t="s">
        <v>22853</v>
      </c>
      <c r="F6864" s="0" t="s">
        <v>15</v>
      </c>
      <c r="G6864" s="0" t="s">
        <v>36</v>
      </c>
      <c r="H6864" s="0" t="n">
        <v>59</v>
      </c>
      <c r="I6864" s="0" t="s">
        <v>22857</v>
      </c>
      <c r="J6864" s="0" t="s">
        <v>22858</v>
      </c>
      <c r="K6864" s="0" t="s">
        <v>22859</v>
      </c>
      <c r="L6864" s="0" t="str">
        <f aca="false">HYPERLINK("https://www.ncbi.nlm.nih.gov/nuccore/CP000058.1?report=graph&amp;tracks=[key:gene_model_track,Options:GeneOnly]&amp;mk=2161818:2161837|offset_29|444444,2161848:2161867|offset_59|00cc00,2161871:2161890|offset_82|444444,2161894:2161913|offset_105|444444&amp;v=2161617:2162113&amp;c=444444", "offset 59")</f>
        <v>offset 59</v>
      </c>
    </row>
    <row r="6865" customFormat="false" ht="12.8" hidden="false" customHeight="false" outlineLevel="0" collapsed="false">
      <c r="A6865" s="0" t="s">
        <v>12</v>
      </c>
      <c r="B6865" s="0" t="n">
        <v>2161870</v>
      </c>
      <c r="C6865" s="0" t="n">
        <v>2161890</v>
      </c>
      <c r="D6865" s="0" t="s">
        <v>22852</v>
      </c>
      <c r="E6865" s="0" t="s">
        <v>22853</v>
      </c>
      <c r="F6865" s="0" t="s">
        <v>15</v>
      </c>
      <c r="G6865" s="0" t="s">
        <v>16</v>
      </c>
      <c r="H6865" s="0" t="n">
        <v>82</v>
      </c>
      <c r="I6865" s="0" t="s">
        <v>22860</v>
      </c>
      <c r="J6865" s="0" t="s">
        <v>22861</v>
      </c>
      <c r="K6865" s="0" t="s">
        <v>22862</v>
      </c>
      <c r="L6865" s="0" t="str">
        <f aca="false">HYPERLINK("https://www.ncbi.nlm.nih.gov/nuccore/CP000058.1?report=graph&amp;tracks=[key:gene_model_track,Options:GeneOnly]&amp;mk=2161818:2161837|offset_29|444444,2161848:2161867|offset_59|444444,2161871:2161890|offset_82|00cc00,2161894:2161913|offset_105|444444&amp;v=2161617:2162113&amp;c=444444", "offset 82")</f>
        <v>offset 82</v>
      </c>
    </row>
    <row r="6866" customFormat="false" ht="12.8" hidden="false" customHeight="false" outlineLevel="0" collapsed="false">
      <c r="A6866" s="0" t="s">
        <v>12</v>
      </c>
      <c r="B6866" s="0" t="n">
        <v>2161893</v>
      </c>
      <c r="C6866" s="0" t="n">
        <v>2161913</v>
      </c>
      <c r="D6866" s="0" t="s">
        <v>22852</v>
      </c>
      <c r="E6866" s="0" t="s">
        <v>22853</v>
      </c>
      <c r="F6866" s="0" t="s">
        <v>15</v>
      </c>
      <c r="G6866" s="0" t="s">
        <v>36</v>
      </c>
      <c r="H6866" s="0" t="n">
        <v>105</v>
      </c>
      <c r="I6866" s="0" t="s">
        <v>22863</v>
      </c>
      <c r="J6866" s="0" t="s">
        <v>22864</v>
      </c>
      <c r="K6866" s="0" t="s">
        <v>22865</v>
      </c>
      <c r="L6866" s="0" t="str">
        <f aca="false">HYPERLINK("https://www.ncbi.nlm.nih.gov/nuccore/CP000058.1?report=graph&amp;tracks=[key:gene_model_track,Options:GeneOnly]&amp;mk=2161818:2161837|offset_29|444444,2161848:2161867|offset_59|444444,2161871:2161890|offset_82|444444,2161894:2161913|offset_105|00cc00&amp;v=2161617:2162113&amp;c=444444", "offset 105")</f>
        <v>offset 105</v>
      </c>
    </row>
    <row r="6867" customFormat="false" ht="12.8" hidden="false" customHeight="false" outlineLevel="0" collapsed="false">
      <c r="A6867" s="0" t="s">
        <v>12</v>
      </c>
      <c r="B6867" s="0" t="n">
        <v>2162561</v>
      </c>
      <c r="C6867" s="0" t="n">
        <v>2162581</v>
      </c>
      <c r="D6867" s="0" t="s">
        <v>22866</v>
      </c>
      <c r="E6867" s="0" t="s">
        <v>22867</v>
      </c>
      <c r="F6867" s="0" t="s">
        <v>15</v>
      </c>
      <c r="G6867" s="0" t="s">
        <v>16</v>
      </c>
      <c r="H6867" s="0" t="n">
        <v>12</v>
      </c>
      <c r="I6867" s="0" t="s">
        <v>22868</v>
      </c>
      <c r="J6867" s="0" t="s">
        <v>22869</v>
      </c>
      <c r="K6867" s="0" t="s">
        <v>22870</v>
      </c>
      <c r="L6867" s="0" t="str">
        <f aca="false">HYPERLINK("https://www.ncbi.nlm.nih.gov/nuccore/CP000058.1?report=graph&amp;tracks=[key:gene_model_track,Options:GeneOnly]&amp;mk=2162562:2162581|offset_12|00cc00,2162593:2162612|offset_43|444444,2162705:2162724|offset_155|444444,2162729:2162748|offset_179|444444&amp;v=2162361:2162948&amp;c=444444", "offset 12")</f>
        <v>offset 12</v>
      </c>
    </row>
    <row r="6868" customFormat="false" ht="12.8" hidden="false" customHeight="false" outlineLevel="0" collapsed="false">
      <c r="A6868" s="0" t="s">
        <v>12</v>
      </c>
      <c r="B6868" s="0" t="n">
        <v>2162592</v>
      </c>
      <c r="C6868" s="0" t="n">
        <v>2162612</v>
      </c>
      <c r="D6868" s="0" t="s">
        <v>22866</v>
      </c>
      <c r="E6868" s="0" t="s">
        <v>22867</v>
      </c>
      <c r="F6868" s="0" t="s">
        <v>15</v>
      </c>
      <c r="G6868" s="0" t="s">
        <v>36</v>
      </c>
      <c r="H6868" s="0" t="n">
        <v>43</v>
      </c>
      <c r="I6868" s="0" t="s">
        <v>22871</v>
      </c>
      <c r="J6868" s="0" t="s">
        <v>22872</v>
      </c>
      <c r="K6868" s="0" t="s">
        <v>22873</v>
      </c>
      <c r="L6868" s="0" t="str">
        <f aca="false">HYPERLINK("https://www.ncbi.nlm.nih.gov/nuccore/CP000058.1?report=graph&amp;tracks=[key:gene_model_track,Options:GeneOnly]&amp;mk=2162562:2162581|offset_12|444444,2162593:2162612|offset_43|00cc00,2162705:2162724|offset_155|444444,2162729:2162748|offset_179|444444&amp;v=2162361:2162948&amp;c=444444", "offset 43")</f>
        <v>offset 43</v>
      </c>
    </row>
    <row r="6869" customFormat="false" ht="12.8" hidden="false" customHeight="false" outlineLevel="0" collapsed="false">
      <c r="A6869" s="0" t="s">
        <v>12</v>
      </c>
      <c r="B6869" s="0" t="n">
        <v>2162704</v>
      </c>
      <c r="C6869" s="0" t="n">
        <v>2162724</v>
      </c>
      <c r="D6869" s="0" t="s">
        <v>22866</v>
      </c>
      <c r="E6869" s="0" t="s">
        <v>22867</v>
      </c>
      <c r="F6869" s="0" t="s">
        <v>15</v>
      </c>
      <c r="G6869" s="0" t="s">
        <v>32</v>
      </c>
      <c r="H6869" s="0" t="n">
        <v>155</v>
      </c>
      <c r="I6869" s="0" t="s">
        <v>22874</v>
      </c>
      <c r="J6869" s="0" t="s">
        <v>22875</v>
      </c>
      <c r="K6869" s="0" t="s">
        <v>22876</v>
      </c>
      <c r="L6869" s="0" t="str">
        <f aca="false">HYPERLINK("https://www.ncbi.nlm.nih.gov/nuccore/CP000058.1?report=graph&amp;tracks=[key:gene_model_track,Options:GeneOnly]&amp;mk=2162562:2162581|offset_12|444444,2162593:2162612|offset_43|444444,2162705:2162724|offset_155|00cc00,2162729:2162748|offset_179|444444&amp;v=2162361:2162948&amp;c=444444", "offset 155")</f>
        <v>offset 155</v>
      </c>
    </row>
    <row r="6870" customFormat="false" ht="12.8" hidden="false" customHeight="false" outlineLevel="0" collapsed="false">
      <c r="A6870" s="0" t="s">
        <v>12</v>
      </c>
      <c r="B6870" s="0" t="n">
        <v>2162728</v>
      </c>
      <c r="C6870" s="0" t="n">
        <v>2162748</v>
      </c>
      <c r="D6870" s="0" t="s">
        <v>22866</v>
      </c>
      <c r="E6870" s="0" t="s">
        <v>22867</v>
      </c>
      <c r="F6870" s="0" t="s">
        <v>15</v>
      </c>
      <c r="G6870" s="0" t="s">
        <v>20</v>
      </c>
      <c r="H6870" s="0" t="n">
        <v>179</v>
      </c>
      <c r="I6870" s="0" t="s">
        <v>22877</v>
      </c>
      <c r="J6870" s="0" t="s">
        <v>22878</v>
      </c>
      <c r="K6870" s="0" t="s">
        <v>22879</v>
      </c>
      <c r="L6870" s="0" t="str">
        <f aca="false">HYPERLINK("https://www.ncbi.nlm.nih.gov/nuccore/CP000058.1?report=graph&amp;tracks=[key:gene_model_track,Options:GeneOnly]&amp;mk=2162562:2162581|offset_12|444444,2162593:2162612|offset_43|444444,2162705:2162724|offset_155|444444,2162729:2162748|offset_179|00cc00&amp;v=2162361:2162948&amp;c=444444", "offset 179")</f>
        <v>offset 179</v>
      </c>
    </row>
    <row r="6871" customFormat="false" ht="12.8" hidden="false" customHeight="false" outlineLevel="0" collapsed="false">
      <c r="A6871" s="0" t="s">
        <v>12</v>
      </c>
      <c r="B6871" s="0" t="n">
        <v>2163924</v>
      </c>
      <c r="C6871" s="0" t="n">
        <v>2163944</v>
      </c>
      <c r="D6871" s="0" t="s">
        <v>22880</v>
      </c>
      <c r="E6871" s="0" t="s">
        <v>75</v>
      </c>
      <c r="F6871" s="0" t="s">
        <v>15</v>
      </c>
      <c r="G6871" s="0" t="s">
        <v>32</v>
      </c>
      <c r="H6871" s="0" t="n">
        <v>1</v>
      </c>
      <c r="I6871" s="0" t="s">
        <v>22881</v>
      </c>
      <c r="J6871" s="0" t="s">
        <v>22882</v>
      </c>
      <c r="K6871" s="0" t="s">
        <v>22883</v>
      </c>
      <c r="L6871" s="0" t="str">
        <f aca="false">HYPERLINK("https://www.ncbi.nlm.nih.gov/nuccore/CP000058.1?report=graph&amp;tracks=[key:gene_model_track,Options:GeneOnly]&amp;mk=2163925:2163944|offset_1|00cc00,2163951:2163970|offset_27|444444,2163979:2163998|offset_55|444444,2164004:2164023|offset_80|444444&amp;v=2163724:2164223&amp;c=444444", "offset 1")</f>
        <v>offset 1</v>
      </c>
    </row>
    <row r="6872" customFormat="false" ht="12.8" hidden="false" customHeight="false" outlineLevel="0" collapsed="false">
      <c r="A6872" s="0" t="s">
        <v>12</v>
      </c>
      <c r="B6872" s="0" t="n">
        <v>2163950</v>
      </c>
      <c r="C6872" s="0" t="n">
        <v>2163970</v>
      </c>
      <c r="D6872" s="0" t="s">
        <v>22880</v>
      </c>
      <c r="E6872" s="0" t="s">
        <v>75</v>
      </c>
      <c r="F6872" s="0" t="s">
        <v>15</v>
      </c>
      <c r="G6872" s="0" t="s">
        <v>16</v>
      </c>
      <c r="H6872" s="0" t="n">
        <v>27</v>
      </c>
      <c r="I6872" s="0" t="s">
        <v>22884</v>
      </c>
      <c r="J6872" s="0" t="s">
        <v>22885</v>
      </c>
      <c r="K6872" s="0" t="s">
        <v>22886</v>
      </c>
      <c r="L6872" s="0" t="str">
        <f aca="false">HYPERLINK("https://www.ncbi.nlm.nih.gov/nuccore/CP000058.1?report=graph&amp;tracks=[key:gene_model_track,Options:GeneOnly]&amp;mk=2163925:2163944|offset_1|444444,2163951:2163970|offset_27|00cc00,2163979:2163998|offset_55|444444,2164004:2164023|offset_80|444444&amp;v=2163724:2164223&amp;c=444444", "offset 27")</f>
        <v>offset 27</v>
      </c>
    </row>
    <row r="6873" customFormat="false" ht="12.8" hidden="false" customHeight="false" outlineLevel="0" collapsed="false">
      <c r="A6873" s="0" t="s">
        <v>12</v>
      </c>
      <c r="B6873" s="0" t="n">
        <v>2163978</v>
      </c>
      <c r="C6873" s="0" t="n">
        <v>2163998</v>
      </c>
      <c r="D6873" s="0" t="s">
        <v>22880</v>
      </c>
      <c r="E6873" s="0" t="s">
        <v>75</v>
      </c>
      <c r="F6873" s="0" t="s">
        <v>15</v>
      </c>
      <c r="G6873" s="0" t="s">
        <v>32</v>
      </c>
      <c r="H6873" s="0" t="n">
        <v>55</v>
      </c>
      <c r="I6873" s="0" t="s">
        <v>22887</v>
      </c>
      <c r="J6873" s="0" t="s">
        <v>22888</v>
      </c>
      <c r="K6873" s="0" t="s">
        <v>22889</v>
      </c>
      <c r="L6873" s="0" t="str">
        <f aca="false">HYPERLINK("https://www.ncbi.nlm.nih.gov/nuccore/CP000058.1?report=graph&amp;tracks=[key:gene_model_track,Options:GeneOnly]&amp;mk=2163925:2163944|offset_1|444444,2163951:2163970|offset_27|444444,2163979:2163998|offset_55|00cc00,2164004:2164023|offset_80|444444&amp;v=2163724:2164223&amp;c=444444", "offset 55")</f>
        <v>offset 55</v>
      </c>
    </row>
    <row r="6874" customFormat="false" ht="12.8" hidden="false" customHeight="false" outlineLevel="0" collapsed="false">
      <c r="A6874" s="0" t="s">
        <v>12</v>
      </c>
      <c r="B6874" s="0" t="n">
        <v>2164003</v>
      </c>
      <c r="C6874" s="0" t="n">
        <v>2164023</v>
      </c>
      <c r="D6874" s="0" t="s">
        <v>22880</v>
      </c>
      <c r="E6874" s="0" t="s">
        <v>75</v>
      </c>
      <c r="F6874" s="0" t="s">
        <v>15</v>
      </c>
      <c r="G6874" s="0" t="s">
        <v>36</v>
      </c>
      <c r="H6874" s="0" t="n">
        <v>80</v>
      </c>
      <c r="I6874" s="0" t="s">
        <v>22890</v>
      </c>
      <c r="J6874" s="0" t="s">
        <v>22891</v>
      </c>
      <c r="K6874" s="0" t="s">
        <v>22892</v>
      </c>
      <c r="L6874" s="0" t="str">
        <f aca="false">HYPERLINK("https://www.ncbi.nlm.nih.gov/nuccore/CP000058.1?report=graph&amp;tracks=[key:gene_model_track,Options:GeneOnly]&amp;mk=2163925:2163944|offset_1|444444,2163951:2163970|offset_27|444444,2163979:2163998|offset_55|444444,2164004:2164023|offset_80|00cc00&amp;v=2163724:2164223&amp;c=444444", "offset 80")</f>
        <v>offset 80</v>
      </c>
    </row>
    <row r="6875" customFormat="false" ht="12.8" hidden="false" customHeight="false" outlineLevel="0" collapsed="false">
      <c r="A6875" s="0" t="s">
        <v>12</v>
      </c>
      <c r="B6875" s="0" t="n">
        <v>2165250</v>
      </c>
      <c r="C6875" s="0" t="n">
        <v>2165270</v>
      </c>
      <c r="D6875" s="0" t="s">
        <v>22893</v>
      </c>
      <c r="E6875" s="0" t="s">
        <v>75</v>
      </c>
      <c r="F6875" s="0" t="s">
        <v>90</v>
      </c>
      <c r="G6875" s="0" t="s">
        <v>36</v>
      </c>
      <c r="H6875" s="0" t="n">
        <v>6</v>
      </c>
      <c r="I6875" s="0" t="s">
        <v>22894</v>
      </c>
      <c r="J6875" s="0" t="s">
        <v>22895</v>
      </c>
      <c r="K6875" s="0" t="s">
        <v>22896</v>
      </c>
      <c r="L6875" s="0" t="str">
        <f aca="false">HYPERLINK("https://www.ncbi.nlm.nih.gov/nuccore/CP000058.1?report=graph&amp;tracks=[key:gene_model_track,Options:GeneOnly]&amp;mk=2165251:2165270|offset_6|00cc00,2165220:2165239|offset_37|444444,2165195:2165214|offset_62|444444,2165174:2165193|offset_83|444444&amp;v=2165050:2165393&amp;c=444444", "offset 6")</f>
        <v>offset 6</v>
      </c>
    </row>
    <row r="6876" customFormat="false" ht="12.8" hidden="false" customHeight="false" outlineLevel="0" collapsed="false">
      <c r="A6876" s="0" t="s">
        <v>12</v>
      </c>
      <c r="B6876" s="0" t="n">
        <v>2165219</v>
      </c>
      <c r="C6876" s="0" t="n">
        <v>2165239</v>
      </c>
      <c r="D6876" s="0" t="s">
        <v>22893</v>
      </c>
      <c r="E6876" s="0" t="s">
        <v>75</v>
      </c>
      <c r="F6876" s="0" t="s">
        <v>90</v>
      </c>
      <c r="G6876" s="0" t="s">
        <v>36</v>
      </c>
      <c r="H6876" s="0" t="n">
        <v>37</v>
      </c>
      <c r="I6876" s="0" t="s">
        <v>22897</v>
      </c>
      <c r="J6876" s="0" t="s">
        <v>22898</v>
      </c>
      <c r="K6876" s="0" t="s">
        <v>22899</v>
      </c>
      <c r="L6876" s="0" t="str">
        <f aca="false">HYPERLINK("https://www.ncbi.nlm.nih.gov/nuccore/CP000058.1?report=graph&amp;tracks=[key:gene_model_track,Options:GeneOnly]&amp;mk=2165251:2165270|offset_6|444444,2165220:2165239|offset_37|00cc00,2165195:2165214|offset_62|444444,2165174:2165193|offset_83|444444&amp;v=2165050:2165393&amp;c=444444", "offset 37")</f>
        <v>offset 37</v>
      </c>
    </row>
    <row r="6877" customFormat="false" ht="12.8" hidden="false" customHeight="false" outlineLevel="0" collapsed="false">
      <c r="A6877" s="0" t="s">
        <v>12</v>
      </c>
      <c r="B6877" s="0" t="n">
        <v>2165194</v>
      </c>
      <c r="C6877" s="0" t="n">
        <v>2165214</v>
      </c>
      <c r="D6877" s="0" t="s">
        <v>22893</v>
      </c>
      <c r="E6877" s="0" t="s">
        <v>75</v>
      </c>
      <c r="F6877" s="0" t="s">
        <v>90</v>
      </c>
      <c r="G6877" s="0" t="s">
        <v>36</v>
      </c>
      <c r="H6877" s="0" t="n">
        <v>62</v>
      </c>
      <c r="I6877" s="0" t="s">
        <v>22900</v>
      </c>
      <c r="J6877" s="0" t="s">
        <v>22901</v>
      </c>
      <c r="K6877" s="0" t="s">
        <v>22902</v>
      </c>
      <c r="L6877" s="0" t="str">
        <f aca="false">HYPERLINK("https://www.ncbi.nlm.nih.gov/nuccore/CP000058.1?report=graph&amp;tracks=[key:gene_model_track,Options:GeneOnly]&amp;mk=2165251:2165270|offset_6|444444,2165220:2165239|offset_37|444444,2165195:2165214|offset_62|00cc00,2165174:2165193|offset_83|444444&amp;v=2165050:2165393&amp;c=444444", "offset 62")</f>
        <v>offset 62</v>
      </c>
    </row>
    <row r="6878" customFormat="false" ht="12.8" hidden="false" customHeight="false" outlineLevel="0" collapsed="false">
      <c r="A6878" s="0" t="s">
        <v>12</v>
      </c>
      <c r="B6878" s="0" t="n">
        <v>2165173</v>
      </c>
      <c r="C6878" s="0" t="n">
        <v>2165193</v>
      </c>
      <c r="D6878" s="0" t="s">
        <v>22893</v>
      </c>
      <c r="E6878" s="0" t="s">
        <v>75</v>
      </c>
      <c r="F6878" s="0" t="s">
        <v>90</v>
      </c>
      <c r="G6878" s="0" t="s">
        <v>16</v>
      </c>
      <c r="H6878" s="0" t="n">
        <v>83</v>
      </c>
      <c r="I6878" s="0" t="s">
        <v>22903</v>
      </c>
      <c r="J6878" s="0" t="s">
        <v>22904</v>
      </c>
      <c r="K6878" s="0" t="s">
        <v>22905</v>
      </c>
      <c r="L6878" s="0" t="str">
        <f aca="false">HYPERLINK("https://www.ncbi.nlm.nih.gov/nuccore/CP000058.1?report=graph&amp;tracks=[key:gene_model_track,Options:GeneOnly]&amp;mk=2165251:2165270|offset_6|444444,2165220:2165239|offset_37|444444,2165195:2165214|offset_62|444444,2165174:2165193|offset_83|00cc00&amp;v=2165050:2165393&amp;c=444444", "offset 83")</f>
        <v>offset 83</v>
      </c>
    </row>
    <row r="6879" customFormat="false" ht="12.8" hidden="false" customHeight="false" outlineLevel="0" collapsed="false">
      <c r="A6879" s="0" t="s">
        <v>12</v>
      </c>
      <c r="B6879" s="0" t="n">
        <v>2165956</v>
      </c>
      <c r="C6879" s="0" t="n">
        <v>2165976</v>
      </c>
      <c r="D6879" s="0" t="s">
        <v>22906</v>
      </c>
      <c r="E6879" s="0" t="s">
        <v>75</v>
      </c>
      <c r="F6879" s="0" t="s">
        <v>90</v>
      </c>
      <c r="G6879" s="0" t="s">
        <v>16</v>
      </c>
      <c r="H6879" s="0" t="n">
        <v>12</v>
      </c>
      <c r="I6879" s="0" t="s">
        <v>22907</v>
      </c>
      <c r="J6879" s="0" t="s">
        <v>22908</v>
      </c>
      <c r="K6879" s="0" t="s">
        <v>22909</v>
      </c>
      <c r="L6879" s="0" t="str">
        <f aca="false">HYPERLINK("https://www.ncbi.nlm.nih.gov/nuccore/CP000058.1?report=graph&amp;tracks=[key:gene_model_track,Options:GeneOnly]&amp;mk=2165957:2165976|offset_12|00cc00,2165935:2165954|offset_34|444444,2165913:2165932|offset_56|444444,2165878:2165897|offset_91|444444&amp;v=2165756:2166097&amp;c=444444", "offset 12")</f>
        <v>offset 12</v>
      </c>
    </row>
    <row r="6880" customFormat="false" ht="12.8" hidden="false" customHeight="false" outlineLevel="0" collapsed="false">
      <c r="A6880" s="0" t="s">
        <v>12</v>
      </c>
      <c r="B6880" s="0" t="n">
        <v>2165934</v>
      </c>
      <c r="C6880" s="0" t="n">
        <v>2165954</v>
      </c>
      <c r="D6880" s="0" t="s">
        <v>22906</v>
      </c>
      <c r="E6880" s="0" t="s">
        <v>75</v>
      </c>
      <c r="F6880" s="0" t="s">
        <v>90</v>
      </c>
      <c r="G6880" s="0" t="s">
        <v>20</v>
      </c>
      <c r="H6880" s="0" t="n">
        <v>34</v>
      </c>
      <c r="I6880" s="0" t="s">
        <v>22910</v>
      </c>
      <c r="J6880" s="0" t="s">
        <v>22911</v>
      </c>
      <c r="K6880" s="0" t="s">
        <v>22912</v>
      </c>
      <c r="L6880" s="0" t="str">
        <f aca="false">HYPERLINK("https://www.ncbi.nlm.nih.gov/nuccore/CP000058.1?report=graph&amp;tracks=[key:gene_model_track,Options:GeneOnly]&amp;mk=2165957:2165976|offset_12|444444,2165935:2165954|offset_34|00cc00,2165913:2165932|offset_56|444444,2165878:2165897|offset_91|444444&amp;v=2165756:2166097&amp;c=444444", "offset 34")</f>
        <v>offset 34</v>
      </c>
    </row>
    <row r="6881" customFormat="false" ht="12.8" hidden="false" customHeight="false" outlineLevel="0" collapsed="false">
      <c r="A6881" s="0" t="s">
        <v>12</v>
      </c>
      <c r="B6881" s="0" t="n">
        <v>2165912</v>
      </c>
      <c r="C6881" s="0" t="n">
        <v>2165932</v>
      </c>
      <c r="D6881" s="0" t="s">
        <v>22906</v>
      </c>
      <c r="E6881" s="0" t="s">
        <v>75</v>
      </c>
      <c r="F6881" s="0" t="s">
        <v>90</v>
      </c>
      <c r="G6881" s="0" t="s">
        <v>20</v>
      </c>
      <c r="H6881" s="0" t="n">
        <v>56</v>
      </c>
      <c r="I6881" s="0" t="s">
        <v>22913</v>
      </c>
      <c r="J6881" s="0" t="s">
        <v>22914</v>
      </c>
      <c r="K6881" s="0" t="s">
        <v>22915</v>
      </c>
      <c r="L6881" s="0" t="str">
        <f aca="false">HYPERLINK("https://www.ncbi.nlm.nih.gov/nuccore/CP000058.1?report=graph&amp;tracks=[key:gene_model_track,Options:GeneOnly]&amp;mk=2165957:2165976|offset_12|444444,2165935:2165954|offset_34|444444,2165913:2165932|offset_56|00cc00,2165878:2165897|offset_91|444444&amp;v=2165756:2166097&amp;c=444444", "offset 56")</f>
        <v>offset 56</v>
      </c>
    </row>
    <row r="6882" customFormat="false" ht="12.8" hidden="false" customHeight="false" outlineLevel="0" collapsed="false">
      <c r="A6882" s="0" t="s">
        <v>12</v>
      </c>
      <c r="B6882" s="0" t="n">
        <v>2165877</v>
      </c>
      <c r="C6882" s="0" t="n">
        <v>2165897</v>
      </c>
      <c r="D6882" s="0" t="s">
        <v>22906</v>
      </c>
      <c r="E6882" s="0" t="s">
        <v>75</v>
      </c>
      <c r="F6882" s="0" t="s">
        <v>90</v>
      </c>
      <c r="G6882" s="0" t="s">
        <v>16</v>
      </c>
      <c r="H6882" s="0" t="n">
        <v>91</v>
      </c>
      <c r="I6882" s="0" t="s">
        <v>22916</v>
      </c>
      <c r="J6882" s="0" t="s">
        <v>22917</v>
      </c>
      <c r="K6882" s="0" t="s">
        <v>22918</v>
      </c>
      <c r="L6882" s="0" t="str">
        <f aca="false">HYPERLINK("https://www.ncbi.nlm.nih.gov/nuccore/CP000058.1?report=graph&amp;tracks=[key:gene_model_track,Options:GeneOnly]&amp;mk=2165957:2165976|offset_12|444444,2165935:2165954|offset_34|444444,2165913:2165932|offset_56|444444,2165878:2165897|offset_91|00cc00&amp;v=2165756:2166097&amp;c=444444", "offset 91")</f>
        <v>offset 91</v>
      </c>
    </row>
    <row r="6883" customFormat="false" ht="12.8" hidden="false" customHeight="false" outlineLevel="0" collapsed="false">
      <c r="A6883" s="0" t="s">
        <v>12</v>
      </c>
      <c r="B6883" s="0" t="n">
        <v>2166193</v>
      </c>
      <c r="C6883" s="0" t="n">
        <v>2166213</v>
      </c>
      <c r="D6883" s="0" t="s">
        <v>22919</v>
      </c>
      <c r="E6883" s="0" t="s">
        <v>75</v>
      </c>
      <c r="F6883" s="0" t="s">
        <v>15</v>
      </c>
      <c r="G6883" s="0" t="s">
        <v>36</v>
      </c>
      <c r="H6883" s="0" t="n">
        <v>6</v>
      </c>
      <c r="I6883" s="0" t="s">
        <v>22920</v>
      </c>
      <c r="J6883" s="0" t="s">
        <v>22921</v>
      </c>
      <c r="K6883" s="0" t="s">
        <v>22922</v>
      </c>
      <c r="L6883" s="0" t="str">
        <f aca="false">HYPERLINK("https://www.ncbi.nlm.nih.gov/nuccore/CP000058.1?report=graph&amp;tracks=[key:gene_model_track,Options:GeneOnly]&amp;mk=2166194:2166213|offset_6|00cc00,2166237:2166256|offset_49|444444,2166263:2166282|offset_75|444444,2166292:2166311|offset_104|444444&amp;v=2165993:2166511&amp;c=444444", "offset 6")</f>
        <v>offset 6</v>
      </c>
    </row>
    <row r="6884" customFormat="false" ht="12.8" hidden="false" customHeight="false" outlineLevel="0" collapsed="false">
      <c r="A6884" s="0" t="s">
        <v>12</v>
      </c>
      <c r="B6884" s="0" t="n">
        <v>2166236</v>
      </c>
      <c r="C6884" s="0" t="n">
        <v>2166256</v>
      </c>
      <c r="D6884" s="0" t="s">
        <v>22919</v>
      </c>
      <c r="E6884" s="0" t="s">
        <v>75</v>
      </c>
      <c r="F6884" s="0" t="s">
        <v>15</v>
      </c>
      <c r="G6884" s="0" t="s">
        <v>36</v>
      </c>
      <c r="H6884" s="0" t="n">
        <v>49</v>
      </c>
      <c r="I6884" s="0" t="s">
        <v>22923</v>
      </c>
      <c r="J6884" s="0" t="s">
        <v>22924</v>
      </c>
      <c r="K6884" s="0" t="s">
        <v>22925</v>
      </c>
      <c r="L6884" s="0" t="str">
        <f aca="false">HYPERLINK("https://www.ncbi.nlm.nih.gov/nuccore/CP000058.1?report=graph&amp;tracks=[key:gene_model_track,Options:GeneOnly]&amp;mk=2166194:2166213|offset_6|444444,2166237:2166256|offset_49|00cc00,2166263:2166282|offset_75|444444,2166292:2166311|offset_104|444444&amp;v=2165993:2166511&amp;c=444444", "offset 49")</f>
        <v>offset 49</v>
      </c>
    </row>
    <row r="6885" customFormat="false" ht="12.8" hidden="false" customHeight="false" outlineLevel="0" collapsed="false">
      <c r="A6885" s="0" t="s">
        <v>12</v>
      </c>
      <c r="B6885" s="0" t="n">
        <v>2166262</v>
      </c>
      <c r="C6885" s="0" t="n">
        <v>2166282</v>
      </c>
      <c r="D6885" s="0" t="s">
        <v>22919</v>
      </c>
      <c r="E6885" s="0" t="s">
        <v>75</v>
      </c>
      <c r="F6885" s="0" t="s">
        <v>15</v>
      </c>
      <c r="G6885" s="0" t="s">
        <v>16</v>
      </c>
      <c r="H6885" s="0" t="n">
        <v>75</v>
      </c>
      <c r="I6885" s="0" t="s">
        <v>22926</v>
      </c>
      <c r="J6885" s="0" t="s">
        <v>22927</v>
      </c>
      <c r="K6885" s="0" t="s">
        <v>22928</v>
      </c>
      <c r="L6885" s="0" t="str">
        <f aca="false">HYPERLINK("https://www.ncbi.nlm.nih.gov/nuccore/CP000058.1?report=graph&amp;tracks=[key:gene_model_track,Options:GeneOnly]&amp;mk=2166194:2166213|offset_6|444444,2166237:2166256|offset_49|444444,2166263:2166282|offset_75|00cc00,2166292:2166311|offset_104|444444&amp;v=2165993:2166511&amp;c=444444", "offset 75")</f>
        <v>offset 75</v>
      </c>
    </row>
    <row r="6886" customFormat="false" ht="12.8" hidden="false" customHeight="false" outlineLevel="0" collapsed="false">
      <c r="A6886" s="0" t="s">
        <v>12</v>
      </c>
      <c r="B6886" s="0" t="n">
        <v>2166291</v>
      </c>
      <c r="C6886" s="0" t="n">
        <v>2166311</v>
      </c>
      <c r="D6886" s="0" t="s">
        <v>22919</v>
      </c>
      <c r="E6886" s="0" t="s">
        <v>75</v>
      </c>
      <c r="F6886" s="0" t="s">
        <v>15</v>
      </c>
      <c r="G6886" s="0" t="s">
        <v>36</v>
      </c>
      <c r="H6886" s="0" t="n">
        <v>104</v>
      </c>
      <c r="I6886" s="0" t="s">
        <v>22929</v>
      </c>
      <c r="J6886" s="0" t="s">
        <v>22930</v>
      </c>
      <c r="K6886" s="0" t="s">
        <v>22931</v>
      </c>
      <c r="L6886" s="0" t="str">
        <f aca="false">HYPERLINK("https://www.ncbi.nlm.nih.gov/nuccore/CP000058.1?report=graph&amp;tracks=[key:gene_model_track,Options:GeneOnly]&amp;mk=2166194:2166213|offset_6|444444,2166237:2166256|offset_49|444444,2166263:2166282|offset_75|444444,2166292:2166311|offset_104|00cc00&amp;v=2165993:2166511&amp;c=444444", "offset 104")</f>
        <v>offset 104</v>
      </c>
    </row>
    <row r="6887" customFormat="false" ht="12.8" hidden="false" customHeight="false" outlineLevel="0" collapsed="false">
      <c r="A6887" s="0" t="s">
        <v>12</v>
      </c>
      <c r="B6887" s="0" t="n">
        <v>2167210</v>
      </c>
      <c r="C6887" s="0" t="n">
        <v>2167230</v>
      </c>
      <c r="D6887" s="0" t="s">
        <v>22932</v>
      </c>
      <c r="E6887" s="0" t="s">
        <v>75</v>
      </c>
      <c r="F6887" s="0" t="s">
        <v>90</v>
      </c>
      <c r="G6887" s="0" t="s">
        <v>16</v>
      </c>
      <c r="H6887" s="0" t="n">
        <v>47</v>
      </c>
      <c r="I6887" s="0" t="s">
        <v>22933</v>
      </c>
      <c r="J6887" s="0" t="s">
        <v>22934</v>
      </c>
      <c r="K6887" s="0" t="s">
        <v>22935</v>
      </c>
      <c r="L6887" s="0" t="str">
        <f aca="false">HYPERLINK("https://www.ncbi.nlm.nih.gov/nuccore/CP000058.1?report=graph&amp;tracks=[key:gene_model_track,Options:GeneOnly]&amp;mk=2167211:2167230|offset_47|00cc00,2167184:2167203|offset_74|444444,2167159:2167178|offset_99|444444,2167137:2167156|offset_121|444444&amp;v=2167010:2167356&amp;c=444444", "offset 47")</f>
        <v>offset 47</v>
      </c>
    </row>
    <row r="6888" customFormat="false" ht="12.8" hidden="false" customHeight="false" outlineLevel="0" collapsed="false">
      <c r="A6888" s="0" t="s">
        <v>12</v>
      </c>
      <c r="B6888" s="0" t="n">
        <v>2167183</v>
      </c>
      <c r="C6888" s="0" t="n">
        <v>2167203</v>
      </c>
      <c r="D6888" s="0" t="s">
        <v>22932</v>
      </c>
      <c r="E6888" s="0" t="s">
        <v>75</v>
      </c>
      <c r="F6888" s="0" t="s">
        <v>90</v>
      </c>
      <c r="G6888" s="0" t="s">
        <v>20</v>
      </c>
      <c r="H6888" s="0" t="n">
        <v>74</v>
      </c>
      <c r="I6888" s="0" t="s">
        <v>22936</v>
      </c>
      <c r="J6888" s="0" t="s">
        <v>22937</v>
      </c>
      <c r="K6888" s="0" t="s">
        <v>22938</v>
      </c>
      <c r="L6888" s="0" t="str">
        <f aca="false">HYPERLINK("https://www.ncbi.nlm.nih.gov/nuccore/CP000058.1?report=graph&amp;tracks=[key:gene_model_track,Options:GeneOnly]&amp;mk=2167211:2167230|offset_47|444444,2167184:2167203|offset_74|00cc00,2167159:2167178|offset_99|444444,2167137:2167156|offset_121|444444&amp;v=2167010:2167356&amp;c=444444", "offset 74")</f>
        <v>offset 74</v>
      </c>
    </row>
    <row r="6889" customFormat="false" ht="12.8" hidden="false" customHeight="false" outlineLevel="0" collapsed="false">
      <c r="A6889" s="0" t="s">
        <v>12</v>
      </c>
      <c r="B6889" s="0" t="n">
        <v>2167158</v>
      </c>
      <c r="C6889" s="0" t="n">
        <v>2167178</v>
      </c>
      <c r="D6889" s="0" t="s">
        <v>22932</v>
      </c>
      <c r="E6889" s="0" t="s">
        <v>75</v>
      </c>
      <c r="F6889" s="0" t="s">
        <v>90</v>
      </c>
      <c r="G6889" s="0" t="s">
        <v>36</v>
      </c>
      <c r="H6889" s="0" t="n">
        <v>99</v>
      </c>
      <c r="I6889" s="0" t="s">
        <v>22939</v>
      </c>
      <c r="J6889" s="0" t="s">
        <v>22940</v>
      </c>
      <c r="K6889" s="0" t="s">
        <v>22941</v>
      </c>
      <c r="L6889" s="0" t="str">
        <f aca="false">HYPERLINK("https://www.ncbi.nlm.nih.gov/nuccore/CP000058.1?report=graph&amp;tracks=[key:gene_model_track,Options:GeneOnly]&amp;mk=2167211:2167230|offset_47|444444,2167184:2167203|offset_74|444444,2167159:2167178|offset_99|00cc00,2167137:2167156|offset_121|444444&amp;v=2167010:2167356&amp;c=444444", "offset 99")</f>
        <v>offset 99</v>
      </c>
    </row>
    <row r="6890" customFormat="false" ht="12.8" hidden="false" customHeight="false" outlineLevel="0" collapsed="false">
      <c r="A6890" s="0" t="s">
        <v>12</v>
      </c>
      <c r="B6890" s="0" t="n">
        <v>2167136</v>
      </c>
      <c r="C6890" s="0" t="n">
        <v>2167156</v>
      </c>
      <c r="D6890" s="0" t="s">
        <v>22932</v>
      </c>
      <c r="E6890" s="0" t="s">
        <v>75</v>
      </c>
      <c r="F6890" s="0" t="s">
        <v>90</v>
      </c>
      <c r="G6890" s="0" t="s">
        <v>32</v>
      </c>
      <c r="H6890" s="0" t="n">
        <v>121</v>
      </c>
      <c r="I6890" s="0" t="s">
        <v>22942</v>
      </c>
      <c r="J6890" s="0" t="s">
        <v>22943</v>
      </c>
      <c r="K6890" s="0" t="s">
        <v>22944</v>
      </c>
      <c r="L6890" s="0" t="str">
        <f aca="false">HYPERLINK("https://www.ncbi.nlm.nih.gov/nuccore/CP000058.1?report=graph&amp;tracks=[key:gene_model_track,Options:GeneOnly]&amp;mk=2167211:2167230|offset_47|444444,2167184:2167203|offset_74|444444,2167159:2167178|offset_99|444444,2167137:2167156|offset_121|00cc00&amp;v=2167010:2167356&amp;c=444444", "offset 121")</f>
        <v>offset 121</v>
      </c>
    </row>
    <row r="6891" customFormat="false" ht="12.8" hidden="false" customHeight="false" outlineLevel="0" collapsed="false">
      <c r="A6891" s="0" t="s">
        <v>12</v>
      </c>
      <c r="B6891" s="0" t="n">
        <v>2167381</v>
      </c>
      <c r="C6891" s="0" t="n">
        <v>2167401</v>
      </c>
      <c r="D6891" s="0" t="s">
        <v>22945</v>
      </c>
      <c r="E6891" s="0" t="s">
        <v>75</v>
      </c>
      <c r="F6891" s="0" t="s">
        <v>15</v>
      </c>
      <c r="G6891" s="0" t="s">
        <v>36</v>
      </c>
      <c r="H6891" s="0" t="n">
        <v>29</v>
      </c>
      <c r="I6891" s="0" t="s">
        <v>22946</v>
      </c>
      <c r="J6891" s="0" t="s">
        <v>22947</v>
      </c>
      <c r="K6891" s="0" t="s">
        <v>22948</v>
      </c>
      <c r="L6891" s="0" t="str">
        <f aca="false">HYPERLINK("https://www.ncbi.nlm.nih.gov/nuccore/CP000058.1?report=graph&amp;tracks=[key:gene_model_track,Options:GeneOnly]&amp;mk=2167382:2167401|offset_29|00cc00,2167408:2167427|offset_55|444444,2167433:2167452|offset_80|444444,2167483:2167502|offset_130|444444&amp;v=2167181:2167702&amp;c=444444", "offset 29")</f>
        <v>offset 29</v>
      </c>
    </row>
    <row r="6892" customFormat="false" ht="12.8" hidden="false" customHeight="false" outlineLevel="0" collapsed="false">
      <c r="A6892" s="0" t="s">
        <v>12</v>
      </c>
      <c r="B6892" s="0" t="n">
        <v>2167407</v>
      </c>
      <c r="C6892" s="0" t="n">
        <v>2167427</v>
      </c>
      <c r="D6892" s="0" t="s">
        <v>22945</v>
      </c>
      <c r="E6892" s="0" t="s">
        <v>75</v>
      </c>
      <c r="F6892" s="0" t="s">
        <v>15</v>
      </c>
      <c r="G6892" s="0" t="s">
        <v>20</v>
      </c>
      <c r="H6892" s="0" t="n">
        <v>55</v>
      </c>
      <c r="I6892" s="0" t="s">
        <v>22949</v>
      </c>
      <c r="J6892" s="0" t="s">
        <v>22950</v>
      </c>
      <c r="K6892" s="0" t="s">
        <v>22951</v>
      </c>
      <c r="L6892" s="0" t="str">
        <f aca="false">HYPERLINK("https://www.ncbi.nlm.nih.gov/nuccore/CP000058.1?report=graph&amp;tracks=[key:gene_model_track,Options:GeneOnly]&amp;mk=2167382:2167401|offset_29|444444,2167408:2167427|offset_55|00cc00,2167433:2167452|offset_80|444444,2167483:2167502|offset_130|444444&amp;v=2167181:2167702&amp;c=444444", "offset 55")</f>
        <v>offset 55</v>
      </c>
    </row>
    <row r="6893" customFormat="false" ht="12.8" hidden="false" customHeight="false" outlineLevel="0" collapsed="false">
      <c r="A6893" s="0" t="s">
        <v>12</v>
      </c>
      <c r="B6893" s="0" t="n">
        <v>2167432</v>
      </c>
      <c r="C6893" s="0" t="n">
        <v>2167452</v>
      </c>
      <c r="D6893" s="0" t="s">
        <v>22945</v>
      </c>
      <c r="E6893" s="0" t="s">
        <v>75</v>
      </c>
      <c r="F6893" s="0" t="s">
        <v>15</v>
      </c>
      <c r="G6893" s="0" t="s">
        <v>32</v>
      </c>
      <c r="H6893" s="0" t="n">
        <v>80</v>
      </c>
      <c r="I6893" s="0" t="s">
        <v>22952</v>
      </c>
      <c r="J6893" s="0" t="s">
        <v>22953</v>
      </c>
      <c r="K6893" s="0" t="s">
        <v>22954</v>
      </c>
      <c r="L6893" s="0" t="str">
        <f aca="false">HYPERLINK("https://www.ncbi.nlm.nih.gov/nuccore/CP000058.1?report=graph&amp;tracks=[key:gene_model_track,Options:GeneOnly]&amp;mk=2167382:2167401|offset_29|444444,2167408:2167427|offset_55|444444,2167433:2167452|offset_80|00cc00,2167483:2167502|offset_130|444444&amp;v=2167181:2167702&amp;c=444444", "offset 80")</f>
        <v>offset 80</v>
      </c>
    </row>
    <row r="6894" customFormat="false" ht="12.8" hidden="false" customHeight="false" outlineLevel="0" collapsed="false">
      <c r="A6894" s="0" t="s">
        <v>12</v>
      </c>
      <c r="B6894" s="0" t="n">
        <v>2167482</v>
      </c>
      <c r="C6894" s="0" t="n">
        <v>2167502</v>
      </c>
      <c r="D6894" s="0" t="s">
        <v>22945</v>
      </c>
      <c r="E6894" s="0" t="s">
        <v>75</v>
      </c>
      <c r="F6894" s="0" t="s">
        <v>15</v>
      </c>
      <c r="G6894" s="0" t="s">
        <v>32</v>
      </c>
      <c r="H6894" s="0" t="n">
        <v>130</v>
      </c>
      <c r="I6894" s="0" t="s">
        <v>22955</v>
      </c>
      <c r="J6894" s="0" t="s">
        <v>22956</v>
      </c>
      <c r="K6894" s="0" t="s">
        <v>22957</v>
      </c>
      <c r="L6894" s="0" t="str">
        <f aca="false">HYPERLINK("https://www.ncbi.nlm.nih.gov/nuccore/CP000058.1?report=graph&amp;tracks=[key:gene_model_track,Options:GeneOnly]&amp;mk=2167382:2167401|offset_29|444444,2167408:2167427|offset_55|444444,2167433:2167452|offset_80|444444,2167483:2167502|offset_130|00cc00&amp;v=2167181:2167702&amp;c=444444", "offset 130")</f>
        <v>offset 130</v>
      </c>
    </row>
    <row r="6895" customFormat="false" ht="12.8" hidden="false" customHeight="false" outlineLevel="0" collapsed="false">
      <c r="A6895" s="0" t="s">
        <v>12</v>
      </c>
      <c r="B6895" s="0" t="n">
        <v>2168735</v>
      </c>
      <c r="C6895" s="0" t="n">
        <v>2168755</v>
      </c>
      <c r="D6895" s="0" t="s">
        <v>22958</v>
      </c>
      <c r="E6895" s="0" t="s">
        <v>75</v>
      </c>
      <c r="F6895" s="0" t="s">
        <v>15</v>
      </c>
      <c r="G6895" s="0" t="s">
        <v>16</v>
      </c>
      <c r="H6895" s="0" t="n">
        <v>10</v>
      </c>
      <c r="I6895" s="0" t="s">
        <v>22959</v>
      </c>
      <c r="J6895" s="0" t="s">
        <v>22960</v>
      </c>
      <c r="K6895" s="0" t="s">
        <v>22961</v>
      </c>
      <c r="L6895" s="0" t="str">
        <f aca="false">HYPERLINK("https://www.ncbi.nlm.nih.gov/nuccore/CP000058.1?report=graph&amp;tracks=[key:gene_model_track,Options:GeneOnly]&amp;mk=2168736:2168755|offset_10|00cc00,2168769:2168788|offset_43|444444,2168817:2168836|offset_91|444444,2168925:2168944|offset_199|444444&amp;v=2168535:2169144&amp;c=444444", "offset 10")</f>
        <v>offset 10</v>
      </c>
    </row>
    <row r="6896" customFormat="false" ht="12.8" hidden="false" customHeight="false" outlineLevel="0" collapsed="false">
      <c r="A6896" s="0" t="s">
        <v>12</v>
      </c>
      <c r="B6896" s="0" t="n">
        <v>2168768</v>
      </c>
      <c r="C6896" s="0" t="n">
        <v>2168788</v>
      </c>
      <c r="D6896" s="0" t="s">
        <v>22958</v>
      </c>
      <c r="E6896" s="0" t="s">
        <v>75</v>
      </c>
      <c r="F6896" s="0" t="s">
        <v>15</v>
      </c>
      <c r="G6896" s="0" t="s">
        <v>20</v>
      </c>
      <c r="H6896" s="0" t="n">
        <v>43</v>
      </c>
      <c r="I6896" s="0" t="s">
        <v>22962</v>
      </c>
      <c r="J6896" s="0" t="s">
        <v>22963</v>
      </c>
      <c r="K6896" s="0" t="s">
        <v>22964</v>
      </c>
      <c r="L6896" s="0" t="str">
        <f aca="false">HYPERLINK("https://www.ncbi.nlm.nih.gov/nuccore/CP000058.1?report=graph&amp;tracks=[key:gene_model_track,Options:GeneOnly]&amp;mk=2168736:2168755|offset_10|444444,2168769:2168788|offset_43|00cc00,2168817:2168836|offset_91|444444,2168925:2168944|offset_199|444444&amp;v=2168535:2169144&amp;c=444444", "offset 43")</f>
        <v>offset 43</v>
      </c>
    </row>
    <row r="6897" customFormat="false" ht="12.8" hidden="false" customHeight="false" outlineLevel="0" collapsed="false">
      <c r="A6897" s="0" t="s">
        <v>12</v>
      </c>
      <c r="B6897" s="0" t="n">
        <v>2168816</v>
      </c>
      <c r="C6897" s="0" t="n">
        <v>2168836</v>
      </c>
      <c r="D6897" s="0" t="s">
        <v>22958</v>
      </c>
      <c r="E6897" s="0" t="s">
        <v>75</v>
      </c>
      <c r="F6897" s="0" t="s">
        <v>15</v>
      </c>
      <c r="G6897" s="0" t="s">
        <v>36</v>
      </c>
      <c r="H6897" s="0" t="n">
        <v>91</v>
      </c>
      <c r="I6897" s="0" t="s">
        <v>22965</v>
      </c>
      <c r="J6897" s="0" t="s">
        <v>22966</v>
      </c>
      <c r="K6897" s="0" t="s">
        <v>22967</v>
      </c>
      <c r="L6897" s="0" t="str">
        <f aca="false">HYPERLINK("https://www.ncbi.nlm.nih.gov/nuccore/CP000058.1?report=graph&amp;tracks=[key:gene_model_track,Options:GeneOnly]&amp;mk=2168736:2168755|offset_10|444444,2168769:2168788|offset_43|444444,2168817:2168836|offset_91|00cc00,2168925:2168944|offset_199|444444&amp;v=2168535:2169144&amp;c=444444", "offset 91")</f>
        <v>offset 91</v>
      </c>
    </row>
    <row r="6898" customFormat="false" ht="12.8" hidden="false" customHeight="false" outlineLevel="0" collapsed="false">
      <c r="A6898" s="0" t="s">
        <v>12</v>
      </c>
      <c r="B6898" s="0" t="n">
        <v>2168924</v>
      </c>
      <c r="C6898" s="0" t="n">
        <v>2168944</v>
      </c>
      <c r="D6898" s="0" t="s">
        <v>22958</v>
      </c>
      <c r="E6898" s="0" t="s">
        <v>75</v>
      </c>
      <c r="F6898" s="0" t="s">
        <v>15</v>
      </c>
      <c r="G6898" s="0" t="s">
        <v>32</v>
      </c>
      <c r="H6898" s="0" t="n">
        <v>199</v>
      </c>
      <c r="I6898" s="0" t="s">
        <v>22968</v>
      </c>
      <c r="J6898" s="0" t="s">
        <v>22969</v>
      </c>
      <c r="K6898" s="0" t="s">
        <v>22970</v>
      </c>
      <c r="L6898" s="0" t="str">
        <f aca="false">HYPERLINK("https://www.ncbi.nlm.nih.gov/nuccore/CP000058.1?report=graph&amp;tracks=[key:gene_model_track,Options:GeneOnly]&amp;mk=2168736:2168755|offset_10|444444,2168769:2168788|offset_43|444444,2168817:2168836|offset_91|444444,2168925:2168944|offset_199|00cc00&amp;v=2168535:2169144&amp;c=444444", "offset 199")</f>
        <v>offset 199</v>
      </c>
    </row>
    <row r="6899" customFormat="false" ht="12.8" hidden="false" customHeight="false" outlineLevel="0" collapsed="false">
      <c r="A6899" s="0" t="s">
        <v>12</v>
      </c>
      <c r="B6899" s="0" t="n">
        <v>2170193</v>
      </c>
      <c r="C6899" s="0" t="n">
        <v>2170213</v>
      </c>
      <c r="D6899" s="0" t="s">
        <v>22971</v>
      </c>
      <c r="E6899" s="0" t="s">
        <v>22972</v>
      </c>
      <c r="F6899" s="0" t="s">
        <v>90</v>
      </c>
      <c r="G6899" s="0" t="s">
        <v>32</v>
      </c>
      <c r="H6899" s="0" t="n">
        <v>10</v>
      </c>
      <c r="I6899" s="0" t="s">
        <v>22973</v>
      </c>
      <c r="J6899" s="0" t="s">
        <v>22974</v>
      </c>
      <c r="K6899" s="0" t="s">
        <v>22975</v>
      </c>
      <c r="L6899" s="0" t="str">
        <f aca="false">HYPERLINK("https://www.ncbi.nlm.nih.gov/nuccore/CP000058.1?report=graph&amp;tracks=[key:gene_model_track,Options:GeneOnly]&amp;mk=2170194:2170213|offset_10|00cc00,2170164:2170183|offset_40|444444,2170124:2170143|offset_80|444444,2170097:2170116|offset_107|444444&amp;v=2169993:2170316&amp;c=444444", "offset 10")</f>
        <v>offset 10</v>
      </c>
    </row>
    <row r="6900" customFormat="false" ht="12.8" hidden="false" customHeight="false" outlineLevel="0" collapsed="false">
      <c r="A6900" s="0" t="s">
        <v>12</v>
      </c>
      <c r="B6900" s="0" t="n">
        <v>2170163</v>
      </c>
      <c r="C6900" s="0" t="n">
        <v>2170183</v>
      </c>
      <c r="D6900" s="0" t="s">
        <v>22971</v>
      </c>
      <c r="E6900" s="0" t="s">
        <v>22972</v>
      </c>
      <c r="F6900" s="0" t="s">
        <v>90</v>
      </c>
      <c r="G6900" s="0" t="s">
        <v>16</v>
      </c>
      <c r="H6900" s="0" t="n">
        <v>40</v>
      </c>
      <c r="I6900" s="0" t="s">
        <v>22976</v>
      </c>
      <c r="J6900" s="0" t="s">
        <v>22977</v>
      </c>
      <c r="K6900" s="0" t="s">
        <v>22978</v>
      </c>
      <c r="L6900" s="0" t="str">
        <f aca="false">HYPERLINK("https://www.ncbi.nlm.nih.gov/nuccore/CP000058.1?report=graph&amp;tracks=[key:gene_model_track,Options:GeneOnly]&amp;mk=2170194:2170213|offset_10|444444,2170164:2170183|offset_40|00cc00,2170124:2170143|offset_80|444444,2170097:2170116|offset_107|444444&amp;v=2169993:2170316&amp;c=444444", "offset 40")</f>
        <v>offset 40</v>
      </c>
    </row>
    <row r="6901" customFormat="false" ht="12.8" hidden="false" customHeight="false" outlineLevel="0" collapsed="false">
      <c r="A6901" s="0" t="s">
        <v>12</v>
      </c>
      <c r="B6901" s="0" t="n">
        <v>2170123</v>
      </c>
      <c r="C6901" s="0" t="n">
        <v>2170143</v>
      </c>
      <c r="D6901" s="0" t="s">
        <v>22971</v>
      </c>
      <c r="E6901" s="0" t="s">
        <v>22972</v>
      </c>
      <c r="F6901" s="0" t="s">
        <v>90</v>
      </c>
      <c r="G6901" s="0" t="s">
        <v>20</v>
      </c>
      <c r="H6901" s="0" t="n">
        <v>80</v>
      </c>
      <c r="I6901" s="0" t="s">
        <v>22979</v>
      </c>
      <c r="J6901" s="0" t="s">
        <v>22980</v>
      </c>
      <c r="K6901" s="0" t="s">
        <v>22981</v>
      </c>
      <c r="L6901" s="0" t="str">
        <f aca="false">HYPERLINK("https://www.ncbi.nlm.nih.gov/nuccore/CP000058.1?report=graph&amp;tracks=[key:gene_model_track,Options:GeneOnly]&amp;mk=2170194:2170213|offset_10|444444,2170164:2170183|offset_40|444444,2170124:2170143|offset_80|00cc00,2170097:2170116|offset_107|444444&amp;v=2169993:2170316&amp;c=444444", "offset 80")</f>
        <v>offset 80</v>
      </c>
    </row>
    <row r="6902" customFormat="false" ht="12.8" hidden="false" customHeight="false" outlineLevel="0" collapsed="false">
      <c r="A6902" s="0" t="s">
        <v>12</v>
      </c>
      <c r="B6902" s="0" t="n">
        <v>2170096</v>
      </c>
      <c r="C6902" s="0" t="n">
        <v>2170116</v>
      </c>
      <c r="D6902" s="0" t="s">
        <v>22971</v>
      </c>
      <c r="E6902" s="0" t="s">
        <v>22972</v>
      </c>
      <c r="F6902" s="0" t="s">
        <v>90</v>
      </c>
      <c r="G6902" s="0" t="s">
        <v>36</v>
      </c>
      <c r="H6902" s="0" t="n">
        <v>107</v>
      </c>
      <c r="I6902" s="0" t="s">
        <v>22982</v>
      </c>
      <c r="J6902" s="0" t="s">
        <v>22983</v>
      </c>
      <c r="K6902" s="0" t="s">
        <v>22984</v>
      </c>
      <c r="L6902" s="0" t="str">
        <f aca="false">HYPERLINK("https://www.ncbi.nlm.nih.gov/nuccore/CP000058.1?report=graph&amp;tracks=[key:gene_model_track,Options:GeneOnly]&amp;mk=2170194:2170213|offset_10|444444,2170164:2170183|offset_40|444444,2170124:2170143|offset_80|444444,2170097:2170116|offset_107|00cc00&amp;v=2169993:2170316&amp;c=444444", "offset 107")</f>
        <v>offset 107</v>
      </c>
    </row>
    <row r="6903" customFormat="false" ht="12.8" hidden="false" customHeight="false" outlineLevel="0" collapsed="false">
      <c r="A6903" s="0" t="s">
        <v>12</v>
      </c>
      <c r="B6903" s="0" t="n">
        <v>2172788</v>
      </c>
      <c r="C6903" s="0" t="n">
        <v>2172808</v>
      </c>
      <c r="D6903" s="0" t="s">
        <v>22985</v>
      </c>
      <c r="E6903" s="0" t="s">
        <v>75</v>
      </c>
      <c r="F6903" s="0" t="s">
        <v>90</v>
      </c>
      <c r="G6903" s="0" t="s">
        <v>32</v>
      </c>
      <c r="H6903" s="0" t="n">
        <v>0</v>
      </c>
      <c r="I6903" s="0" t="s">
        <v>22986</v>
      </c>
      <c r="J6903" s="0" t="s">
        <v>22987</v>
      </c>
      <c r="K6903" s="0" t="s">
        <v>22988</v>
      </c>
      <c r="L6903" s="0" t="str">
        <f aca="false">HYPERLINK("https://www.ncbi.nlm.nih.gov/nuccore/CP000058.1?report=graph&amp;tracks=[key:gene_model_track,Options:GeneOnly]&amp;mk=2172789:2172808|offset_0|00cc00,2172768:2172787|offset_21|444444,2172731:2172750|offset_58|444444,2172696:2172715|offset_93|444444&amp;v=2172588:2172915&amp;c=444444", "offset 0")</f>
        <v>offset 0</v>
      </c>
    </row>
    <row r="6904" customFormat="false" ht="12.8" hidden="false" customHeight="false" outlineLevel="0" collapsed="false">
      <c r="A6904" s="0" t="s">
        <v>12</v>
      </c>
      <c r="B6904" s="0" t="n">
        <v>2172767</v>
      </c>
      <c r="C6904" s="0" t="n">
        <v>2172787</v>
      </c>
      <c r="D6904" s="0" t="s">
        <v>22985</v>
      </c>
      <c r="E6904" s="0" t="s">
        <v>75</v>
      </c>
      <c r="F6904" s="0" t="s">
        <v>90</v>
      </c>
      <c r="G6904" s="0" t="s">
        <v>20</v>
      </c>
      <c r="H6904" s="0" t="n">
        <v>21</v>
      </c>
      <c r="I6904" s="0" t="s">
        <v>22989</v>
      </c>
      <c r="J6904" s="0" t="s">
        <v>22990</v>
      </c>
      <c r="K6904" s="0" t="s">
        <v>22991</v>
      </c>
      <c r="L6904" s="0" t="str">
        <f aca="false">HYPERLINK("https://www.ncbi.nlm.nih.gov/nuccore/CP000058.1?report=graph&amp;tracks=[key:gene_model_track,Options:GeneOnly]&amp;mk=2172789:2172808|offset_0|444444,2172768:2172787|offset_21|00cc00,2172731:2172750|offset_58|444444,2172696:2172715|offset_93|444444&amp;v=2172588:2172915&amp;c=444444", "offset 21")</f>
        <v>offset 21</v>
      </c>
    </row>
    <row r="6905" customFormat="false" ht="12.8" hidden="false" customHeight="false" outlineLevel="0" collapsed="false">
      <c r="A6905" s="0" t="s">
        <v>12</v>
      </c>
      <c r="B6905" s="0" t="n">
        <v>2172730</v>
      </c>
      <c r="C6905" s="0" t="n">
        <v>2172750</v>
      </c>
      <c r="D6905" s="0" t="s">
        <v>22985</v>
      </c>
      <c r="E6905" s="0" t="s">
        <v>75</v>
      </c>
      <c r="F6905" s="0" t="s">
        <v>90</v>
      </c>
      <c r="G6905" s="0" t="s">
        <v>16</v>
      </c>
      <c r="H6905" s="0" t="n">
        <v>58</v>
      </c>
      <c r="I6905" s="0" t="s">
        <v>22992</v>
      </c>
      <c r="J6905" s="0" t="s">
        <v>22993</v>
      </c>
      <c r="K6905" s="0" t="s">
        <v>22994</v>
      </c>
      <c r="L6905" s="0" t="str">
        <f aca="false">HYPERLINK("https://www.ncbi.nlm.nih.gov/nuccore/CP000058.1?report=graph&amp;tracks=[key:gene_model_track,Options:GeneOnly]&amp;mk=2172789:2172808|offset_0|444444,2172768:2172787|offset_21|444444,2172731:2172750|offset_58|00cc00,2172696:2172715|offset_93|444444&amp;v=2172588:2172915&amp;c=444444", "offset 58")</f>
        <v>offset 58</v>
      </c>
    </row>
    <row r="6906" customFormat="false" ht="12.8" hidden="false" customHeight="false" outlineLevel="0" collapsed="false">
      <c r="A6906" s="0" t="s">
        <v>12</v>
      </c>
      <c r="B6906" s="0" t="n">
        <v>2172695</v>
      </c>
      <c r="C6906" s="0" t="n">
        <v>2172715</v>
      </c>
      <c r="D6906" s="0" t="s">
        <v>22985</v>
      </c>
      <c r="E6906" s="0" t="s">
        <v>75</v>
      </c>
      <c r="F6906" s="0" t="s">
        <v>90</v>
      </c>
      <c r="G6906" s="0" t="s">
        <v>20</v>
      </c>
      <c r="H6906" s="0" t="n">
        <v>93</v>
      </c>
      <c r="I6906" s="0" t="s">
        <v>22995</v>
      </c>
      <c r="J6906" s="0" t="s">
        <v>22996</v>
      </c>
      <c r="K6906" s="0" t="s">
        <v>22997</v>
      </c>
      <c r="L6906" s="0" t="str">
        <f aca="false">HYPERLINK("https://www.ncbi.nlm.nih.gov/nuccore/CP000058.1?report=graph&amp;tracks=[key:gene_model_track,Options:GeneOnly]&amp;mk=2172789:2172808|offset_0|444444,2172768:2172787|offset_21|444444,2172731:2172750|offset_58|444444,2172696:2172715|offset_93|00cc00&amp;v=2172588:2172915&amp;c=444444", "offset 93")</f>
        <v>offset 93</v>
      </c>
    </row>
    <row r="6907" customFormat="false" ht="12.8" hidden="false" customHeight="false" outlineLevel="0" collapsed="false">
      <c r="A6907" s="0" t="s">
        <v>12</v>
      </c>
      <c r="B6907" s="0" t="n">
        <v>2173068</v>
      </c>
      <c r="C6907" s="0" t="n">
        <v>2173088</v>
      </c>
      <c r="D6907" s="0" t="s">
        <v>22998</v>
      </c>
      <c r="E6907" s="0" t="s">
        <v>75</v>
      </c>
      <c r="F6907" s="0" t="s">
        <v>15</v>
      </c>
      <c r="G6907" s="0" t="s">
        <v>36</v>
      </c>
      <c r="H6907" s="0" t="n">
        <v>20</v>
      </c>
      <c r="I6907" s="0" t="s">
        <v>22999</v>
      </c>
      <c r="J6907" s="0" t="s">
        <v>23000</v>
      </c>
      <c r="K6907" s="0" t="s">
        <v>23001</v>
      </c>
      <c r="L6907" s="0" t="str">
        <f aca="false">HYPERLINK("https://www.ncbi.nlm.nih.gov/nuccore/CP000058.1?report=graph&amp;tracks=[key:gene_model_track,Options:GeneOnly]&amp;mk=2173069:2173088|offset_20|00cc00,2173104:2173123|offset_55|444444,2173130:2173149|offset_81|444444,2173156:2173175|offset_107|444444&amp;v=2172868:2173375&amp;c=444444", "offset 20")</f>
        <v>offset 20</v>
      </c>
    </row>
    <row r="6908" customFormat="false" ht="12.8" hidden="false" customHeight="false" outlineLevel="0" collapsed="false">
      <c r="A6908" s="0" t="s">
        <v>12</v>
      </c>
      <c r="B6908" s="0" t="n">
        <v>2173103</v>
      </c>
      <c r="C6908" s="0" t="n">
        <v>2173123</v>
      </c>
      <c r="D6908" s="0" t="s">
        <v>22998</v>
      </c>
      <c r="E6908" s="0" t="s">
        <v>75</v>
      </c>
      <c r="F6908" s="0" t="s">
        <v>15</v>
      </c>
      <c r="G6908" s="0" t="s">
        <v>32</v>
      </c>
      <c r="H6908" s="0" t="n">
        <v>55</v>
      </c>
      <c r="I6908" s="0" t="s">
        <v>23002</v>
      </c>
      <c r="J6908" s="0" t="s">
        <v>23003</v>
      </c>
      <c r="K6908" s="0" t="s">
        <v>23004</v>
      </c>
      <c r="L6908" s="0" t="str">
        <f aca="false">HYPERLINK("https://www.ncbi.nlm.nih.gov/nuccore/CP000058.1?report=graph&amp;tracks=[key:gene_model_track,Options:GeneOnly]&amp;mk=2173069:2173088|offset_20|444444,2173104:2173123|offset_55|00cc00,2173130:2173149|offset_81|444444,2173156:2173175|offset_107|444444&amp;v=2172868:2173375&amp;c=444444", "offset 55")</f>
        <v>offset 55</v>
      </c>
    </row>
    <row r="6909" customFormat="false" ht="12.8" hidden="false" customHeight="false" outlineLevel="0" collapsed="false">
      <c r="A6909" s="0" t="s">
        <v>12</v>
      </c>
      <c r="B6909" s="0" t="n">
        <v>2173129</v>
      </c>
      <c r="C6909" s="0" t="n">
        <v>2173149</v>
      </c>
      <c r="D6909" s="0" t="s">
        <v>22998</v>
      </c>
      <c r="E6909" s="0" t="s">
        <v>75</v>
      </c>
      <c r="F6909" s="0" t="s">
        <v>15</v>
      </c>
      <c r="G6909" s="0" t="s">
        <v>32</v>
      </c>
      <c r="H6909" s="0" t="n">
        <v>81</v>
      </c>
      <c r="I6909" s="0" t="s">
        <v>23005</v>
      </c>
      <c r="J6909" s="0" t="s">
        <v>23006</v>
      </c>
      <c r="K6909" s="0" t="s">
        <v>23007</v>
      </c>
      <c r="L6909" s="0" t="str">
        <f aca="false">HYPERLINK("https://www.ncbi.nlm.nih.gov/nuccore/CP000058.1?report=graph&amp;tracks=[key:gene_model_track,Options:GeneOnly]&amp;mk=2173069:2173088|offset_20|444444,2173104:2173123|offset_55|444444,2173130:2173149|offset_81|00cc00,2173156:2173175|offset_107|444444&amp;v=2172868:2173375&amp;c=444444", "offset 81")</f>
        <v>offset 81</v>
      </c>
    </row>
    <row r="6910" customFormat="false" ht="12.8" hidden="false" customHeight="false" outlineLevel="0" collapsed="false">
      <c r="A6910" s="0" t="s">
        <v>12</v>
      </c>
      <c r="B6910" s="0" t="n">
        <v>2173155</v>
      </c>
      <c r="C6910" s="0" t="n">
        <v>2173175</v>
      </c>
      <c r="D6910" s="0" t="s">
        <v>22998</v>
      </c>
      <c r="E6910" s="0" t="s">
        <v>75</v>
      </c>
      <c r="F6910" s="0" t="s">
        <v>15</v>
      </c>
      <c r="G6910" s="0" t="s">
        <v>32</v>
      </c>
      <c r="H6910" s="0" t="n">
        <v>107</v>
      </c>
      <c r="I6910" s="0" t="s">
        <v>23008</v>
      </c>
      <c r="J6910" s="0" t="s">
        <v>23009</v>
      </c>
      <c r="K6910" s="0" t="s">
        <v>23010</v>
      </c>
      <c r="L6910" s="0" t="str">
        <f aca="false">HYPERLINK("https://www.ncbi.nlm.nih.gov/nuccore/CP000058.1?report=graph&amp;tracks=[key:gene_model_track,Options:GeneOnly]&amp;mk=2173069:2173088|offset_20|444444,2173104:2173123|offset_55|444444,2173130:2173149|offset_81|444444,2173156:2173175|offset_107|00cc00&amp;v=2172868:2173375&amp;c=444444", "offset 107")</f>
        <v>offset 107</v>
      </c>
    </row>
    <row r="6911" customFormat="false" ht="12.8" hidden="false" customHeight="false" outlineLevel="0" collapsed="false">
      <c r="A6911" s="0" t="s">
        <v>12</v>
      </c>
      <c r="B6911" s="0" t="n">
        <v>2174427</v>
      </c>
      <c r="C6911" s="0" t="n">
        <v>2174447</v>
      </c>
      <c r="D6911" s="0" t="s">
        <v>23011</v>
      </c>
      <c r="E6911" s="0" t="s">
        <v>75</v>
      </c>
      <c r="F6911" s="0" t="s">
        <v>15</v>
      </c>
      <c r="G6911" s="0" t="s">
        <v>36</v>
      </c>
      <c r="H6911" s="0" t="n">
        <v>0</v>
      </c>
      <c r="I6911" s="0" t="s">
        <v>23012</v>
      </c>
      <c r="J6911" s="0" t="s">
        <v>23013</v>
      </c>
      <c r="K6911" s="0" t="s">
        <v>23014</v>
      </c>
      <c r="L6911" s="0" t="str">
        <f aca="false">HYPERLINK("https://www.ncbi.nlm.nih.gov/nuccore/CP000058.1?report=graph&amp;tracks=[key:gene_model_track,Options:GeneOnly]&amp;mk=2174428:2174447|offset_0|00cc00,2174451:2174470|offset_23|444444,2174478:2174497|offset_50|444444,2174498:2174517|offset_70|444444&amp;v=2174227:2174717&amp;c=444444", "offset 0")</f>
        <v>offset 0</v>
      </c>
    </row>
    <row r="6912" customFormat="false" ht="12.8" hidden="false" customHeight="false" outlineLevel="0" collapsed="false">
      <c r="A6912" s="0" t="s">
        <v>12</v>
      </c>
      <c r="B6912" s="0" t="n">
        <v>2174450</v>
      </c>
      <c r="C6912" s="0" t="n">
        <v>2174470</v>
      </c>
      <c r="D6912" s="0" t="s">
        <v>23011</v>
      </c>
      <c r="E6912" s="0" t="s">
        <v>75</v>
      </c>
      <c r="F6912" s="0" t="s">
        <v>15</v>
      </c>
      <c r="G6912" s="0" t="s">
        <v>36</v>
      </c>
      <c r="H6912" s="0" t="n">
        <v>23</v>
      </c>
      <c r="I6912" s="0" t="s">
        <v>23015</v>
      </c>
      <c r="J6912" s="0" t="s">
        <v>23016</v>
      </c>
      <c r="K6912" s="0" t="s">
        <v>23017</v>
      </c>
      <c r="L6912" s="0" t="str">
        <f aca="false">HYPERLINK("https://www.ncbi.nlm.nih.gov/nuccore/CP000058.1?report=graph&amp;tracks=[key:gene_model_track,Options:GeneOnly]&amp;mk=2174428:2174447|offset_0|444444,2174451:2174470|offset_23|00cc00,2174478:2174497|offset_50|444444,2174498:2174517|offset_70|444444&amp;v=2174227:2174717&amp;c=444444", "offset 23")</f>
        <v>offset 23</v>
      </c>
    </row>
    <row r="6913" customFormat="false" ht="12.8" hidden="false" customHeight="false" outlineLevel="0" collapsed="false">
      <c r="A6913" s="0" t="s">
        <v>12</v>
      </c>
      <c r="B6913" s="0" t="n">
        <v>2174477</v>
      </c>
      <c r="C6913" s="0" t="n">
        <v>2174497</v>
      </c>
      <c r="D6913" s="0" t="s">
        <v>23011</v>
      </c>
      <c r="E6913" s="0" t="s">
        <v>75</v>
      </c>
      <c r="F6913" s="0" t="s">
        <v>15</v>
      </c>
      <c r="G6913" s="0" t="s">
        <v>36</v>
      </c>
      <c r="H6913" s="0" t="n">
        <v>50</v>
      </c>
      <c r="I6913" s="0" t="s">
        <v>23018</v>
      </c>
      <c r="J6913" s="0" t="s">
        <v>23019</v>
      </c>
      <c r="K6913" s="0" t="s">
        <v>23020</v>
      </c>
      <c r="L6913" s="0" t="str">
        <f aca="false">HYPERLINK("https://www.ncbi.nlm.nih.gov/nuccore/CP000058.1?report=graph&amp;tracks=[key:gene_model_track,Options:GeneOnly]&amp;mk=2174428:2174447|offset_0|444444,2174451:2174470|offset_23|444444,2174478:2174497|offset_50|00cc00,2174498:2174517|offset_70|444444&amp;v=2174227:2174717&amp;c=444444", "offset 50")</f>
        <v>offset 50</v>
      </c>
    </row>
    <row r="6914" customFormat="false" ht="12.8" hidden="false" customHeight="false" outlineLevel="0" collapsed="false">
      <c r="A6914" s="0" t="s">
        <v>12</v>
      </c>
      <c r="B6914" s="0" t="n">
        <v>2174497</v>
      </c>
      <c r="C6914" s="0" t="n">
        <v>2174517</v>
      </c>
      <c r="D6914" s="0" t="s">
        <v>23011</v>
      </c>
      <c r="E6914" s="0" t="s">
        <v>75</v>
      </c>
      <c r="F6914" s="0" t="s">
        <v>15</v>
      </c>
      <c r="G6914" s="0" t="s">
        <v>16</v>
      </c>
      <c r="H6914" s="0" t="n">
        <v>70</v>
      </c>
      <c r="I6914" s="0" t="s">
        <v>23021</v>
      </c>
      <c r="J6914" s="0" t="s">
        <v>23022</v>
      </c>
      <c r="K6914" s="0" t="s">
        <v>23023</v>
      </c>
      <c r="L6914" s="0" t="str">
        <f aca="false">HYPERLINK("https://www.ncbi.nlm.nih.gov/nuccore/CP000058.1?report=graph&amp;tracks=[key:gene_model_track,Options:GeneOnly]&amp;mk=2174428:2174447|offset_0|444444,2174451:2174470|offset_23|444444,2174478:2174497|offset_50|444444,2174498:2174517|offset_70|00cc00&amp;v=2174227:2174717&amp;c=444444", "offset 70")</f>
        <v>offset 70</v>
      </c>
    </row>
    <row r="6915" customFormat="false" ht="12.8" hidden="false" customHeight="false" outlineLevel="0" collapsed="false">
      <c r="A6915" s="0" t="s">
        <v>12</v>
      </c>
      <c r="B6915" s="0" t="n">
        <v>2174905</v>
      </c>
      <c r="C6915" s="0" t="n">
        <v>2174925</v>
      </c>
      <c r="D6915" s="0" t="s">
        <v>23024</v>
      </c>
      <c r="E6915" s="0" t="s">
        <v>75</v>
      </c>
      <c r="F6915" s="0" t="s">
        <v>15</v>
      </c>
      <c r="G6915" s="0" t="s">
        <v>16</v>
      </c>
      <c r="H6915" s="0" t="n">
        <v>1</v>
      </c>
      <c r="I6915" s="0" t="s">
        <v>23025</v>
      </c>
      <c r="J6915" s="0" t="s">
        <v>23026</v>
      </c>
      <c r="K6915" s="0" t="s">
        <v>23027</v>
      </c>
      <c r="L6915" s="0" t="str">
        <f aca="false">HYPERLINK("https://www.ncbi.nlm.nih.gov/nuccore/CP000058.1?report=graph&amp;tracks=[key:gene_model_track,Options:GeneOnly]&amp;mk=2174906:2174925|offset_1|00cc00,2174937:2174956|offset_32|444444,2174970:2174989|offset_65|444444,2174994:2175013|offset_89|444444&amp;v=2174705:2175213&amp;c=444444", "offset 1")</f>
        <v>offset 1</v>
      </c>
    </row>
    <row r="6916" customFormat="false" ht="12.8" hidden="false" customHeight="false" outlineLevel="0" collapsed="false">
      <c r="A6916" s="0" t="s">
        <v>12</v>
      </c>
      <c r="B6916" s="0" t="n">
        <v>2174936</v>
      </c>
      <c r="C6916" s="0" t="n">
        <v>2174956</v>
      </c>
      <c r="D6916" s="0" t="s">
        <v>23024</v>
      </c>
      <c r="E6916" s="0" t="s">
        <v>75</v>
      </c>
      <c r="F6916" s="0" t="s">
        <v>15</v>
      </c>
      <c r="G6916" s="0" t="s">
        <v>36</v>
      </c>
      <c r="H6916" s="0" t="n">
        <v>32</v>
      </c>
      <c r="I6916" s="0" t="s">
        <v>23028</v>
      </c>
      <c r="J6916" s="0" t="s">
        <v>23029</v>
      </c>
      <c r="K6916" s="0" t="s">
        <v>23030</v>
      </c>
      <c r="L6916" s="0" t="str">
        <f aca="false">HYPERLINK("https://www.ncbi.nlm.nih.gov/nuccore/CP000058.1?report=graph&amp;tracks=[key:gene_model_track,Options:GeneOnly]&amp;mk=2174906:2174925|offset_1|444444,2174937:2174956|offset_32|00cc00,2174970:2174989|offset_65|444444,2174994:2175013|offset_89|444444&amp;v=2174705:2175213&amp;c=444444", "offset 32")</f>
        <v>offset 32</v>
      </c>
    </row>
    <row r="6917" customFormat="false" ht="12.8" hidden="false" customHeight="false" outlineLevel="0" collapsed="false">
      <c r="A6917" s="0" t="s">
        <v>12</v>
      </c>
      <c r="B6917" s="0" t="n">
        <v>2174969</v>
      </c>
      <c r="C6917" s="0" t="n">
        <v>2174989</v>
      </c>
      <c r="D6917" s="0" t="s">
        <v>23024</v>
      </c>
      <c r="E6917" s="0" t="s">
        <v>75</v>
      </c>
      <c r="F6917" s="0" t="s">
        <v>15</v>
      </c>
      <c r="G6917" s="0" t="s">
        <v>32</v>
      </c>
      <c r="H6917" s="0" t="n">
        <v>65</v>
      </c>
      <c r="I6917" s="0" t="s">
        <v>23031</v>
      </c>
      <c r="J6917" s="0" t="s">
        <v>23032</v>
      </c>
      <c r="K6917" s="0" t="s">
        <v>23033</v>
      </c>
      <c r="L6917" s="0" t="str">
        <f aca="false">HYPERLINK("https://www.ncbi.nlm.nih.gov/nuccore/CP000058.1?report=graph&amp;tracks=[key:gene_model_track,Options:GeneOnly]&amp;mk=2174906:2174925|offset_1|444444,2174937:2174956|offset_32|444444,2174970:2174989|offset_65|00cc00,2174994:2175013|offset_89|444444&amp;v=2174705:2175213&amp;c=444444", "offset 65")</f>
        <v>offset 65</v>
      </c>
    </row>
    <row r="6918" customFormat="false" ht="12.8" hidden="false" customHeight="false" outlineLevel="0" collapsed="false">
      <c r="A6918" s="0" t="s">
        <v>12</v>
      </c>
      <c r="B6918" s="0" t="n">
        <v>2174993</v>
      </c>
      <c r="C6918" s="0" t="n">
        <v>2175013</v>
      </c>
      <c r="D6918" s="0" t="s">
        <v>23024</v>
      </c>
      <c r="E6918" s="0" t="s">
        <v>75</v>
      </c>
      <c r="F6918" s="0" t="s">
        <v>15</v>
      </c>
      <c r="G6918" s="0" t="s">
        <v>32</v>
      </c>
      <c r="H6918" s="0" t="n">
        <v>89</v>
      </c>
      <c r="I6918" s="0" t="s">
        <v>23034</v>
      </c>
      <c r="J6918" s="0" t="s">
        <v>23035</v>
      </c>
      <c r="K6918" s="0" t="s">
        <v>23036</v>
      </c>
      <c r="L6918" s="0" t="str">
        <f aca="false">HYPERLINK("https://www.ncbi.nlm.nih.gov/nuccore/CP000058.1?report=graph&amp;tracks=[key:gene_model_track,Options:GeneOnly]&amp;mk=2174906:2174925|offset_1|444444,2174937:2174956|offset_32|444444,2174970:2174989|offset_65|444444,2174994:2175013|offset_89|00cc00&amp;v=2174705:2175213&amp;c=444444", "offset 89")</f>
        <v>offset 89</v>
      </c>
    </row>
    <row r="6919" customFormat="false" ht="12.8" hidden="false" customHeight="false" outlineLevel="0" collapsed="false">
      <c r="A6919" s="0" t="s">
        <v>12</v>
      </c>
      <c r="B6919" s="0" t="n">
        <v>2175465</v>
      </c>
      <c r="C6919" s="0" t="n">
        <v>2175485</v>
      </c>
      <c r="D6919" s="0" t="s">
        <v>23037</v>
      </c>
      <c r="E6919" s="0" t="s">
        <v>75</v>
      </c>
      <c r="F6919" s="0" t="s">
        <v>15</v>
      </c>
      <c r="G6919" s="0" t="s">
        <v>32</v>
      </c>
      <c r="H6919" s="0" t="n">
        <v>13</v>
      </c>
      <c r="I6919" s="0" t="s">
        <v>23038</v>
      </c>
      <c r="J6919" s="0" t="s">
        <v>23039</v>
      </c>
      <c r="K6919" s="0" t="s">
        <v>23040</v>
      </c>
      <c r="L6919" s="0" t="str">
        <f aca="false">HYPERLINK("https://www.ncbi.nlm.nih.gov/nuccore/CP000058.1?report=graph&amp;tracks=[key:gene_model_track,Options:GeneOnly]&amp;mk=2175466:2175485|offset_13|00cc00,2175527:2175546|offset_74|444444,2175550:2175569|offset_97|444444,2175595:2175614|offset_142|444444&amp;v=2175265:2175814&amp;c=444444", "offset 13")</f>
        <v>offset 13</v>
      </c>
    </row>
    <row r="6920" customFormat="false" ht="12.8" hidden="false" customHeight="false" outlineLevel="0" collapsed="false">
      <c r="A6920" s="0" t="s">
        <v>12</v>
      </c>
      <c r="B6920" s="0" t="n">
        <v>2175526</v>
      </c>
      <c r="C6920" s="0" t="n">
        <v>2175546</v>
      </c>
      <c r="D6920" s="0" t="s">
        <v>23037</v>
      </c>
      <c r="E6920" s="0" t="s">
        <v>75</v>
      </c>
      <c r="F6920" s="0" t="s">
        <v>15</v>
      </c>
      <c r="G6920" s="0" t="s">
        <v>32</v>
      </c>
      <c r="H6920" s="0" t="n">
        <v>74</v>
      </c>
      <c r="I6920" s="0" t="s">
        <v>23041</v>
      </c>
      <c r="J6920" s="0" t="s">
        <v>23042</v>
      </c>
      <c r="K6920" s="0" t="s">
        <v>23043</v>
      </c>
      <c r="L6920" s="0" t="str">
        <f aca="false">HYPERLINK("https://www.ncbi.nlm.nih.gov/nuccore/CP000058.1?report=graph&amp;tracks=[key:gene_model_track,Options:GeneOnly]&amp;mk=2175466:2175485|offset_13|444444,2175527:2175546|offset_74|00cc00,2175550:2175569|offset_97|444444,2175595:2175614|offset_142|444444&amp;v=2175265:2175814&amp;c=444444", "offset 74")</f>
        <v>offset 74</v>
      </c>
    </row>
    <row r="6921" customFormat="false" ht="12.8" hidden="false" customHeight="false" outlineLevel="0" collapsed="false">
      <c r="A6921" s="0" t="s">
        <v>12</v>
      </c>
      <c r="B6921" s="0" t="n">
        <v>2175549</v>
      </c>
      <c r="C6921" s="0" t="n">
        <v>2175569</v>
      </c>
      <c r="D6921" s="0" t="s">
        <v>23037</v>
      </c>
      <c r="E6921" s="0" t="s">
        <v>75</v>
      </c>
      <c r="F6921" s="0" t="s">
        <v>15</v>
      </c>
      <c r="G6921" s="0" t="s">
        <v>16</v>
      </c>
      <c r="H6921" s="0" t="n">
        <v>97</v>
      </c>
      <c r="I6921" s="0" t="s">
        <v>23044</v>
      </c>
      <c r="J6921" s="0" t="s">
        <v>23045</v>
      </c>
      <c r="K6921" s="0" t="s">
        <v>23046</v>
      </c>
      <c r="L6921" s="0" t="str">
        <f aca="false">HYPERLINK("https://www.ncbi.nlm.nih.gov/nuccore/CP000058.1?report=graph&amp;tracks=[key:gene_model_track,Options:GeneOnly]&amp;mk=2175466:2175485|offset_13|444444,2175527:2175546|offset_74|444444,2175550:2175569|offset_97|00cc00,2175595:2175614|offset_142|444444&amp;v=2175265:2175814&amp;c=444444", "offset 97")</f>
        <v>offset 97</v>
      </c>
    </row>
    <row r="6922" customFormat="false" ht="12.8" hidden="false" customHeight="false" outlineLevel="0" collapsed="false">
      <c r="A6922" s="0" t="s">
        <v>12</v>
      </c>
      <c r="B6922" s="0" t="n">
        <v>2175594</v>
      </c>
      <c r="C6922" s="0" t="n">
        <v>2175614</v>
      </c>
      <c r="D6922" s="0" t="s">
        <v>23037</v>
      </c>
      <c r="E6922" s="0" t="s">
        <v>75</v>
      </c>
      <c r="F6922" s="0" t="s">
        <v>15</v>
      </c>
      <c r="G6922" s="0" t="s">
        <v>32</v>
      </c>
      <c r="H6922" s="0" t="n">
        <v>142</v>
      </c>
      <c r="I6922" s="0" t="s">
        <v>23047</v>
      </c>
      <c r="J6922" s="0" t="s">
        <v>23048</v>
      </c>
      <c r="K6922" s="0" t="s">
        <v>23049</v>
      </c>
      <c r="L6922" s="0" t="str">
        <f aca="false">HYPERLINK("https://www.ncbi.nlm.nih.gov/nuccore/CP000058.1?report=graph&amp;tracks=[key:gene_model_track,Options:GeneOnly]&amp;mk=2175466:2175485|offset_13|444444,2175527:2175546|offset_74|444444,2175550:2175569|offset_97|444444,2175595:2175614|offset_142|00cc00&amp;v=2175265:2175814&amp;c=444444", "offset 142")</f>
        <v>offset 142</v>
      </c>
    </row>
    <row r="6923" customFormat="false" ht="12.8" hidden="false" customHeight="false" outlineLevel="0" collapsed="false">
      <c r="A6923" s="0" t="s">
        <v>12</v>
      </c>
      <c r="B6923" s="0" t="n">
        <v>2176749</v>
      </c>
      <c r="C6923" s="0" t="n">
        <v>2176769</v>
      </c>
      <c r="D6923" s="0" t="s">
        <v>23050</v>
      </c>
      <c r="E6923" s="0" t="s">
        <v>75</v>
      </c>
      <c r="F6923" s="0" t="s">
        <v>90</v>
      </c>
      <c r="G6923" s="0" t="s">
        <v>36</v>
      </c>
      <c r="H6923" s="0" t="n">
        <v>16</v>
      </c>
      <c r="I6923" s="0" t="s">
        <v>23051</v>
      </c>
      <c r="J6923" s="0" t="s">
        <v>23052</v>
      </c>
      <c r="K6923" s="0" t="s">
        <v>23053</v>
      </c>
      <c r="L6923" s="0" t="str">
        <f aca="false">HYPERLINK("https://www.ncbi.nlm.nih.gov/nuccore/CP000058.1?report=graph&amp;tracks=[key:gene_model_track,Options:GeneOnly]&amp;mk=2176750:2176769|offset_16|00cc00,2176729:2176748|offset_37|444444,2176683:2176702|offset_83|444444,2176645:2176664|offset_121|444444&amp;v=2176549:2176864&amp;c=444444", "offset 16")</f>
        <v>offset 16</v>
      </c>
    </row>
    <row r="6924" customFormat="false" ht="12.8" hidden="false" customHeight="false" outlineLevel="0" collapsed="false">
      <c r="A6924" s="0" t="s">
        <v>12</v>
      </c>
      <c r="B6924" s="0" t="n">
        <v>2176728</v>
      </c>
      <c r="C6924" s="0" t="n">
        <v>2176748</v>
      </c>
      <c r="D6924" s="0" t="s">
        <v>23050</v>
      </c>
      <c r="E6924" s="0" t="s">
        <v>75</v>
      </c>
      <c r="F6924" s="0" t="s">
        <v>90</v>
      </c>
      <c r="G6924" s="0" t="s">
        <v>32</v>
      </c>
      <c r="H6924" s="0" t="n">
        <v>37</v>
      </c>
      <c r="I6924" s="0" t="s">
        <v>23054</v>
      </c>
      <c r="J6924" s="0" t="s">
        <v>23055</v>
      </c>
      <c r="K6924" s="0" t="s">
        <v>23056</v>
      </c>
      <c r="L6924" s="0" t="str">
        <f aca="false">HYPERLINK("https://www.ncbi.nlm.nih.gov/nuccore/CP000058.1?report=graph&amp;tracks=[key:gene_model_track,Options:GeneOnly]&amp;mk=2176750:2176769|offset_16|444444,2176729:2176748|offset_37|00cc00,2176683:2176702|offset_83|444444,2176645:2176664|offset_121|444444&amp;v=2176549:2176864&amp;c=444444", "offset 37")</f>
        <v>offset 37</v>
      </c>
    </row>
    <row r="6925" customFormat="false" ht="12.8" hidden="false" customHeight="false" outlineLevel="0" collapsed="false">
      <c r="A6925" s="0" t="s">
        <v>12</v>
      </c>
      <c r="B6925" s="0" t="n">
        <v>2176682</v>
      </c>
      <c r="C6925" s="0" t="n">
        <v>2176702</v>
      </c>
      <c r="D6925" s="0" t="s">
        <v>23050</v>
      </c>
      <c r="E6925" s="0" t="s">
        <v>75</v>
      </c>
      <c r="F6925" s="0" t="s">
        <v>90</v>
      </c>
      <c r="G6925" s="0" t="s">
        <v>20</v>
      </c>
      <c r="H6925" s="0" t="n">
        <v>83</v>
      </c>
      <c r="I6925" s="0" t="s">
        <v>23057</v>
      </c>
      <c r="J6925" s="0" t="s">
        <v>23058</v>
      </c>
      <c r="K6925" s="0" t="s">
        <v>23059</v>
      </c>
      <c r="L6925" s="0" t="str">
        <f aca="false">HYPERLINK("https://www.ncbi.nlm.nih.gov/nuccore/CP000058.1?report=graph&amp;tracks=[key:gene_model_track,Options:GeneOnly]&amp;mk=2176750:2176769|offset_16|444444,2176729:2176748|offset_37|444444,2176683:2176702|offset_83|00cc00,2176645:2176664|offset_121|444444&amp;v=2176549:2176864&amp;c=444444", "offset 83")</f>
        <v>offset 83</v>
      </c>
    </row>
    <row r="6926" customFormat="false" ht="12.8" hidden="false" customHeight="false" outlineLevel="0" collapsed="false">
      <c r="A6926" s="0" t="s">
        <v>12</v>
      </c>
      <c r="B6926" s="0" t="n">
        <v>2176644</v>
      </c>
      <c r="C6926" s="0" t="n">
        <v>2176664</v>
      </c>
      <c r="D6926" s="0" t="s">
        <v>23050</v>
      </c>
      <c r="E6926" s="0" t="s">
        <v>75</v>
      </c>
      <c r="F6926" s="0" t="s">
        <v>90</v>
      </c>
      <c r="G6926" s="0" t="s">
        <v>36</v>
      </c>
      <c r="H6926" s="0" t="n">
        <v>121</v>
      </c>
      <c r="I6926" s="0" t="s">
        <v>23060</v>
      </c>
      <c r="J6926" s="0" t="s">
        <v>23061</v>
      </c>
      <c r="K6926" s="0" t="s">
        <v>23062</v>
      </c>
      <c r="L6926" s="0" t="str">
        <f aca="false">HYPERLINK("https://www.ncbi.nlm.nih.gov/nuccore/CP000058.1?report=graph&amp;tracks=[key:gene_model_track,Options:GeneOnly]&amp;mk=2176750:2176769|offset_16|444444,2176729:2176748|offset_37|444444,2176683:2176702|offset_83|444444,2176645:2176664|offset_121|00cc00&amp;v=2176549:2176864&amp;c=444444", "offset 121")</f>
        <v>offset 121</v>
      </c>
    </row>
    <row r="6927" customFormat="false" ht="12.8" hidden="false" customHeight="false" outlineLevel="0" collapsed="false">
      <c r="A6927" s="0" t="s">
        <v>12</v>
      </c>
      <c r="B6927" s="0" t="n">
        <v>2177258</v>
      </c>
      <c r="C6927" s="0" t="n">
        <v>2177278</v>
      </c>
      <c r="D6927" s="0" t="s">
        <v>23063</v>
      </c>
      <c r="E6927" s="0" t="s">
        <v>75</v>
      </c>
      <c r="F6927" s="0" t="s">
        <v>15</v>
      </c>
      <c r="G6927" s="0" t="s">
        <v>36</v>
      </c>
      <c r="H6927" s="0" t="n">
        <v>75</v>
      </c>
      <c r="I6927" s="0" t="s">
        <v>23064</v>
      </c>
      <c r="J6927" s="0" t="s">
        <v>23065</v>
      </c>
      <c r="K6927" s="0" t="s">
        <v>23066</v>
      </c>
      <c r="L6927" s="0" t="str">
        <f aca="false">HYPERLINK("https://www.ncbi.nlm.nih.gov/nuccore/CP000058.1?report=graph&amp;tracks=[key:gene_model_track,Options:GeneOnly]&amp;mk=2177259:2177278|offset_75|00cc00,2177281:2177300|offset_97|444444,2177321:2177340|offset_137|444444,2177347:2177366|offset_163|444444&amp;v=2177058:2177566&amp;c=444444", "offset 75")</f>
        <v>offset 75</v>
      </c>
    </row>
    <row r="6928" customFormat="false" ht="12.8" hidden="false" customHeight="false" outlineLevel="0" collapsed="false">
      <c r="A6928" s="0" t="s">
        <v>12</v>
      </c>
      <c r="B6928" s="0" t="n">
        <v>2177280</v>
      </c>
      <c r="C6928" s="0" t="n">
        <v>2177300</v>
      </c>
      <c r="D6928" s="0" t="s">
        <v>23063</v>
      </c>
      <c r="E6928" s="0" t="s">
        <v>75</v>
      </c>
      <c r="F6928" s="0" t="s">
        <v>15</v>
      </c>
      <c r="G6928" s="0" t="s">
        <v>20</v>
      </c>
      <c r="H6928" s="0" t="n">
        <v>97</v>
      </c>
      <c r="I6928" s="0" t="s">
        <v>23067</v>
      </c>
      <c r="J6928" s="0" t="s">
        <v>23068</v>
      </c>
      <c r="K6928" s="0" t="s">
        <v>23069</v>
      </c>
      <c r="L6928" s="0" t="str">
        <f aca="false">HYPERLINK("https://www.ncbi.nlm.nih.gov/nuccore/CP000058.1?report=graph&amp;tracks=[key:gene_model_track,Options:GeneOnly]&amp;mk=2177259:2177278|offset_75|444444,2177281:2177300|offset_97|00cc00,2177321:2177340|offset_137|444444,2177347:2177366|offset_163|444444&amp;v=2177058:2177566&amp;c=444444", "offset 97")</f>
        <v>offset 97</v>
      </c>
    </row>
    <row r="6929" customFormat="false" ht="12.8" hidden="false" customHeight="false" outlineLevel="0" collapsed="false">
      <c r="A6929" s="0" t="s">
        <v>12</v>
      </c>
      <c r="B6929" s="0" t="n">
        <v>2177320</v>
      </c>
      <c r="C6929" s="0" t="n">
        <v>2177340</v>
      </c>
      <c r="D6929" s="0" t="s">
        <v>23063</v>
      </c>
      <c r="E6929" s="0" t="s">
        <v>75</v>
      </c>
      <c r="F6929" s="0" t="s">
        <v>15</v>
      </c>
      <c r="G6929" s="0" t="s">
        <v>32</v>
      </c>
      <c r="H6929" s="0" t="n">
        <v>137</v>
      </c>
      <c r="I6929" s="0" t="s">
        <v>23070</v>
      </c>
      <c r="J6929" s="0" t="s">
        <v>23071</v>
      </c>
      <c r="K6929" s="0" t="s">
        <v>23072</v>
      </c>
      <c r="L6929" s="0" t="str">
        <f aca="false">HYPERLINK("https://www.ncbi.nlm.nih.gov/nuccore/CP000058.1?report=graph&amp;tracks=[key:gene_model_track,Options:GeneOnly]&amp;mk=2177259:2177278|offset_75|444444,2177281:2177300|offset_97|444444,2177321:2177340|offset_137|00cc00,2177347:2177366|offset_163|444444&amp;v=2177058:2177566&amp;c=444444", "offset 137")</f>
        <v>offset 137</v>
      </c>
    </row>
    <row r="6930" customFormat="false" ht="12.8" hidden="false" customHeight="false" outlineLevel="0" collapsed="false">
      <c r="A6930" s="0" t="s">
        <v>12</v>
      </c>
      <c r="B6930" s="0" t="n">
        <v>2177346</v>
      </c>
      <c r="C6930" s="0" t="n">
        <v>2177366</v>
      </c>
      <c r="D6930" s="0" t="s">
        <v>23063</v>
      </c>
      <c r="E6930" s="0" t="s">
        <v>75</v>
      </c>
      <c r="F6930" s="0" t="s">
        <v>15</v>
      </c>
      <c r="G6930" s="0" t="s">
        <v>32</v>
      </c>
      <c r="H6930" s="0" t="n">
        <v>163</v>
      </c>
      <c r="I6930" s="0" t="s">
        <v>23073</v>
      </c>
      <c r="J6930" s="0" t="s">
        <v>23074</v>
      </c>
      <c r="K6930" s="0" t="s">
        <v>23075</v>
      </c>
      <c r="L6930" s="0" t="str">
        <f aca="false">HYPERLINK("https://www.ncbi.nlm.nih.gov/nuccore/CP000058.1?report=graph&amp;tracks=[key:gene_model_track,Options:GeneOnly]&amp;mk=2177259:2177278|offset_75|444444,2177281:2177300|offset_97|444444,2177321:2177340|offset_137|444444,2177347:2177366|offset_163|00cc00&amp;v=2177058:2177566&amp;c=444444", "offset 163")</f>
        <v>offset 163</v>
      </c>
    </row>
    <row r="6931" customFormat="false" ht="12.8" hidden="false" customHeight="false" outlineLevel="0" collapsed="false">
      <c r="A6931" s="0" t="s">
        <v>12</v>
      </c>
      <c r="B6931" s="0" t="n">
        <v>2181782</v>
      </c>
      <c r="C6931" s="0" t="n">
        <v>2181802</v>
      </c>
      <c r="D6931" s="0" t="s">
        <v>23076</v>
      </c>
      <c r="E6931" s="0" t="s">
        <v>75</v>
      </c>
      <c r="F6931" s="0" t="s">
        <v>15</v>
      </c>
      <c r="G6931" s="0" t="s">
        <v>20</v>
      </c>
      <c r="H6931" s="0" t="n">
        <v>38</v>
      </c>
      <c r="I6931" s="0" t="s">
        <v>23077</v>
      </c>
      <c r="J6931" s="0" t="s">
        <v>23078</v>
      </c>
      <c r="K6931" s="0" t="s">
        <v>23079</v>
      </c>
      <c r="L6931" s="0" t="str">
        <f aca="false">HYPERLINK("https://www.ncbi.nlm.nih.gov/nuccore/CP000058.1?report=graph&amp;tracks=[key:gene_model_track,Options:GeneOnly]&amp;mk=2181783:2181802|offset_38|00cc00,2181813:2181832|offset_68|444444,2181836:2181855|offset_91|444444,2181858:2181877|offset_113|444444&amp;v=2181582:2182077&amp;c=444444", "offset 38")</f>
        <v>offset 38</v>
      </c>
    </row>
    <row r="6932" customFormat="false" ht="12.8" hidden="false" customHeight="false" outlineLevel="0" collapsed="false">
      <c r="A6932" s="0" t="s">
        <v>12</v>
      </c>
      <c r="B6932" s="0" t="n">
        <v>2181812</v>
      </c>
      <c r="C6932" s="0" t="n">
        <v>2181832</v>
      </c>
      <c r="D6932" s="0" t="s">
        <v>23076</v>
      </c>
      <c r="E6932" s="0" t="s">
        <v>75</v>
      </c>
      <c r="F6932" s="0" t="s">
        <v>15</v>
      </c>
      <c r="G6932" s="0" t="s">
        <v>32</v>
      </c>
      <c r="H6932" s="0" t="n">
        <v>68</v>
      </c>
      <c r="I6932" s="0" t="s">
        <v>23080</v>
      </c>
      <c r="J6932" s="0" t="s">
        <v>23081</v>
      </c>
      <c r="K6932" s="0" t="s">
        <v>23082</v>
      </c>
      <c r="L6932" s="0" t="str">
        <f aca="false">HYPERLINK("https://www.ncbi.nlm.nih.gov/nuccore/CP000058.1?report=graph&amp;tracks=[key:gene_model_track,Options:GeneOnly]&amp;mk=2181783:2181802|offset_38|444444,2181813:2181832|offset_68|00cc00,2181836:2181855|offset_91|444444,2181858:2181877|offset_113|444444&amp;v=2181582:2182077&amp;c=444444", "offset 68")</f>
        <v>offset 68</v>
      </c>
    </row>
    <row r="6933" customFormat="false" ht="12.8" hidden="false" customHeight="false" outlineLevel="0" collapsed="false">
      <c r="A6933" s="0" t="s">
        <v>12</v>
      </c>
      <c r="B6933" s="0" t="n">
        <v>2181835</v>
      </c>
      <c r="C6933" s="0" t="n">
        <v>2181855</v>
      </c>
      <c r="D6933" s="0" t="s">
        <v>23076</v>
      </c>
      <c r="E6933" s="0" t="s">
        <v>75</v>
      </c>
      <c r="F6933" s="0" t="s">
        <v>15</v>
      </c>
      <c r="G6933" s="0" t="s">
        <v>16</v>
      </c>
      <c r="H6933" s="0" t="n">
        <v>91</v>
      </c>
      <c r="I6933" s="0" t="s">
        <v>23083</v>
      </c>
      <c r="J6933" s="0" t="s">
        <v>23084</v>
      </c>
      <c r="K6933" s="0" t="s">
        <v>23085</v>
      </c>
      <c r="L6933" s="0" t="str">
        <f aca="false">HYPERLINK("https://www.ncbi.nlm.nih.gov/nuccore/CP000058.1?report=graph&amp;tracks=[key:gene_model_track,Options:GeneOnly]&amp;mk=2181783:2181802|offset_38|444444,2181813:2181832|offset_68|444444,2181836:2181855|offset_91|00cc00,2181858:2181877|offset_113|444444&amp;v=2181582:2182077&amp;c=444444", "offset 91")</f>
        <v>offset 91</v>
      </c>
    </row>
    <row r="6934" customFormat="false" ht="12.8" hidden="false" customHeight="false" outlineLevel="0" collapsed="false">
      <c r="A6934" s="0" t="s">
        <v>12</v>
      </c>
      <c r="B6934" s="0" t="n">
        <v>2181857</v>
      </c>
      <c r="C6934" s="0" t="n">
        <v>2181877</v>
      </c>
      <c r="D6934" s="0" t="s">
        <v>23076</v>
      </c>
      <c r="E6934" s="0" t="s">
        <v>75</v>
      </c>
      <c r="F6934" s="0" t="s">
        <v>15</v>
      </c>
      <c r="G6934" s="0" t="s">
        <v>20</v>
      </c>
      <c r="H6934" s="0" t="n">
        <v>113</v>
      </c>
      <c r="I6934" s="0" t="s">
        <v>23086</v>
      </c>
      <c r="J6934" s="0" t="s">
        <v>23087</v>
      </c>
      <c r="K6934" s="0" t="s">
        <v>23088</v>
      </c>
      <c r="L6934" s="0" t="str">
        <f aca="false">HYPERLINK("https://www.ncbi.nlm.nih.gov/nuccore/CP000058.1?report=graph&amp;tracks=[key:gene_model_track,Options:GeneOnly]&amp;mk=2181783:2181802|offset_38|444444,2181813:2181832|offset_68|444444,2181836:2181855|offset_91|444444,2181858:2181877|offset_113|00cc00&amp;v=2181582:2182077&amp;c=444444", "offset 113")</f>
        <v>offset 113</v>
      </c>
    </row>
    <row r="6935" customFormat="false" ht="12.8" hidden="false" customHeight="false" outlineLevel="0" collapsed="false">
      <c r="A6935" s="0" t="s">
        <v>12</v>
      </c>
      <c r="B6935" s="0" t="n">
        <v>2182027</v>
      </c>
      <c r="C6935" s="0" t="n">
        <v>2182047</v>
      </c>
      <c r="D6935" s="0" t="s">
        <v>23089</v>
      </c>
      <c r="E6935" s="0" t="s">
        <v>75</v>
      </c>
      <c r="F6935" s="0" t="s">
        <v>15</v>
      </c>
      <c r="G6935" s="0" t="s">
        <v>36</v>
      </c>
      <c r="H6935" s="0" t="n">
        <v>0</v>
      </c>
      <c r="I6935" s="0" t="s">
        <v>23090</v>
      </c>
      <c r="J6935" s="0" t="s">
        <v>23091</v>
      </c>
      <c r="K6935" s="0" t="s">
        <v>23092</v>
      </c>
      <c r="L6935" s="0" t="str">
        <f aca="false">HYPERLINK("https://www.ncbi.nlm.nih.gov/nuccore/CP000058.1?report=graph&amp;tracks=[key:gene_model_track,Options:GeneOnly]&amp;mk=2182028:2182047|offset_0|00cc00,2182056:2182075|offset_28|444444,2182099:2182118|offset_71|444444,2182121:2182140|offset_93|444444&amp;v=2181827:2182340&amp;c=444444", "offset 0")</f>
        <v>offset 0</v>
      </c>
    </row>
    <row r="6936" customFormat="false" ht="12.8" hidden="false" customHeight="false" outlineLevel="0" collapsed="false">
      <c r="A6936" s="0" t="s">
        <v>12</v>
      </c>
      <c r="B6936" s="0" t="n">
        <v>2182055</v>
      </c>
      <c r="C6936" s="0" t="n">
        <v>2182075</v>
      </c>
      <c r="D6936" s="0" t="s">
        <v>23089</v>
      </c>
      <c r="E6936" s="0" t="s">
        <v>75</v>
      </c>
      <c r="F6936" s="0" t="s">
        <v>15</v>
      </c>
      <c r="G6936" s="0" t="s">
        <v>16</v>
      </c>
      <c r="H6936" s="0" t="n">
        <v>28</v>
      </c>
      <c r="I6936" s="0" t="s">
        <v>23093</v>
      </c>
      <c r="J6936" s="0" t="s">
        <v>23094</v>
      </c>
      <c r="K6936" s="0" t="s">
        <v>23095</v>
      </c>
      <c r="L6936" s="0" t="str">
        <f aca="false">HYPERLINK("https://www.ncbi.nlm.nih.gov/nuccore/CP000058.1?report=graph&amp;tracks=[key:gene_model_track,Options:GeneOnly]&amp;mk=2182028:2182047|offset_0|444444,2182056:2182075|offset_28|00cc00,2182099:2182118|offset_71|444444,2182121:2182140|offset_93|444444&amp;v=2181827:2182340&amp;c=444444", "offset 28")</f>
        <v>offset 28</v>
      </c>
    </row>
    <row r="6937" customFormat="false" ht="12.8" hidden="false" customHeight="false" outlineLevel="0" collapsed="false">
      <c r="A6937" s="0" t="s">
        <v>12</v>
      </c>
      <c r="B6937" s="0" t="n">
        <v>2182098</v>
      </c>
      <c r="C6937" s="0" t="n">
        <v>2182118</v>
      </c>
      <c r="D6937" s="0" t="s">
        <v>23089</v>
      </c>
      <c r="E6937" s="0" t="s">
        <v>75</v>
      </c>
      <c r="F6937" s="0" t="s">
        <v>15</v>
      </c>
      <c r="G6937" s="0" t="s">
        <v>32</v>
      </c>
      <c r="H6937" s="0" t="n">
        <v>71</v>
      </c>
      <c r="I6937" s="0" t="s">
        <v>23096</v>
      </c>
      <c r="J6937" s="0" t="s">
        <v>23097</v>
      </c>
      <c r="K6937" s="0" t="s">
        <v>23098</v>
      </c>
      <c r="L6937" s="0" t="str">
        <f aca="false">HYPERLINK("https://www.ncbi.nlm.nih.gov/nuccore/CP000058.1?report=graph&amp;tracks=[key:gene_model_track,Options:GeneOnly]&amp;mk=2182028:2182047|offset_0|444444,2182056:2182075|offset_28|444444,2182099:2182118|offset_71|00cc00,2182121:2182140|offset_93|444444&amp;v=2181827:2182340&amp;c=444444", "offset 71")</f>
        <v>offset 71</v>
      </c>
    </row>
    <row r="6938" customFormat="false" ht="12.8" hidden="false" customHeight="false" outlineLevel="0" collapsed="false">
      <c r="A6938" s="0" t="s">
        <v>12</v>
      </c>
      <c r="B6938" s="0" t="n">
        <v>2182120</v>
      </c>
      <c r="C6938" s="0" t="n">
        <v>2182140</v>
      </c>
      <c r="D6938" s="0" t="s">
        <v>23089</v>
      </c>
      <c r="E6938" s="0" t="s">
        <v>75</v>
      </c>
      <c r="F6938" s="0" t="s">
        <v>15</v>
      </c>
      <c r="G6938" s="0" t="s">
        <v>36</v>
      </c>
      <c r="H6938" s="0" t="n">
        <v>93</v>
      </c>
      <c r="I6938" s="0" t="s">
        <v>23099</v>
      </c>
      <c r="J6938" s="0" t="s">
        <v>23100</v>
      </c>
      <c r="K6938" s="0" t="s">
        <v>23101</v>
      </c>
      <c r="L6938" s="0" t="str">
        <f aca="false">HYPERLINK("https://www.ncbi.nlm.nih.gov/nuccore/CP000058.1?report=graph&amp;tracks=[key:gene_model_track,Options:GeneOnly]&amp;mk=2182028:2182047|offset_0|444444,2182056:2182075|offset_28|444444,2182099:2182118|offset_71|444444,2182121:2182140|offset_93|00cc00&amp;v=2181827:2182340&amp;c=444444", "offset 93")</f>
        <v>offset 93</v>
      </c>
    </row>
    <row r="6939" customFormat="false" ht="12.8" hidden="false" customHeight="false" outlineLevel="0" collapsed="false">
      <c r="A6939" s="0" t="s">
        <v>12</v>
      </c>
      <c r="B6939" s="0" t="n">
        <v>2183207</v>
      </c>
      <c r="C6939" s="0" t="n">
        <v>2183227</v>
      </c>
      <c r="D6939" s="0" t="s">
        <v>23102</v>
      </c>
      <c r="E6939" s="0" t="s">
        <v>75</v>
      </c>
      <c r="F6939" s="0" t="s">
        <v>15</v>
      </c>
      <c r="G6939" s="0" t="s">
        <v>32</v>
      </c>
      <c r="H6939" s="0" t="n">
        <v>101</v>
      </c>
      <c r="I6939" s="0" t="s">
        <v>23103</v>
      </c>
      <c r="J6939" s="0" t="s">
        <v>23104</v>
      </c>
      <c r="K6939" s="0" t="s">
        <v>23105</v>
      </c>
      <c r="L6939" s="0" t="str">
        <f aca="false">HYPERLINK("https://www.ncbi.nlm.nih.gov/nuccore/CP000058.1?report=graph&amp;tracks=[key:gene_model_track,Options:GeneOnly]&amp;mk=2183208:2183227|offset_101|00cc00,2183234:2183253|offset_127|444444,2183264:2183283|offset_157|444444,2183307:2183326|offset_200|444444&amp;v=2183007:2183526&amp;c=444444", "offset 101")</f>
        <v>offset 101</v>
      </c>
    </row>
    <row r="6940" customFormat="false" ht="12.8" hidden="false" customHeight="false" outlineLevel="0" collapsed="false">
      <c r="A6940" s="0" t="s">
        <v>12</v>
      </c>
      <c r="B6940" s="0" t="n">
        <v>2183233</v>
      </c>
      <c r="C6940" s="0" t="n">
        <v>2183253</v>
      </c>
      <c r="D6940" s="0" t="s">
        <v>23102</v>
      </c>
      <c r="E6940" s="0" t="s">
        <v>75</v>
      </c>
      <c r="F6940" s="0" t="s">
        <v>15</v>
      </c>
      <c r="G6940" s="0" t="s">
        <v>16</v>
      </c>
      <c r="H6940" s="0" t="n">
        <v>127</v>
      </c>
      <c r="I6940" s="0" t="s">
        <v>23106</v>
      </c>
      <c r="J6940" s="0" t="s">
        <v>23107</v>
      </c>
      <c r="K6940" s="0" t="s">
        <v>23108</v>
      </c>
      <c r="L6940" s="0" t="str">
        <f aca="false">HYPERLINK("https://www.ncbi.nlm.nih.gov/nuccore/CP000058.1?report=graph&amp;tracks=[key:gene_model_track,Options:GeneOnly]&amp;mk=2183208:2183227|offset_101|444444,2183234:2183253|offset_127|00cc00,2183264:2183283|offset_157|444444,2183307:2183326|offset_200|444444&amp;v=2183007:2183526&amp;c=444444", "offset 127")</f>
        <v>offset 127</v>
      </c>
    </row>
    <row r="6941" customFormat="false" ht="12.8" hidden="false" customHeight="false" outlineLevel="0" collapsed="false">
      <c r="A6941" s="0" t="s">
        <v>12</v>
      </c>
      <c r="B6941" s="0" t="n">
        <v>2183263</v>
      </c>
      <c r="C6941" s="0" t="n">
        <v>2183283</v>
      </c>
      <c r="D6941" s="0" t="s">
        <v>23102</v>
      </c>
      <c r="E6941" s="0" t="s">
        <v>75</v>
      </c>
      <c r="F6941" s="0" t="s">
        <v>15</v>
      </c>
      <c r="G6941" s="0" t="s">
        <v>16</v>
      </c>
      <c r="H6941" s="0" t="n">
        <v>157</v>
      </c>
      <c r="I6941" s="0" t="s">
        <v>23109</v>
      </c>
      <c r="J6941" s="0" t="s">
        <v>23110</v>
      </c>
      <c r="K6941" s="0" t="s">
        <v>23111</v>
      </c>
      <c r="L6941" s="0" t="str">
        <f aca="false">HYPERLINK("https://www.ncbi.nlm.nih.gov/nuccore/CP000058.1?report=graph&amp;tracks=[key:gene_model_track,Options:GeneOnly]&amp;mk=2183208:2183227|offset_101|444444,2183234:2183253|offset_127|444444,2183264:2183283|offset_157|00cc00,2183307:2183326|offset_200|444444&amp;v=2183007:2183526&amp;c=444444", "offset 157")</f>
        <v>offset 157</v>
      </c>
    </row>
    <row r="6942" customFormat="false" ht="12.8" hidden="false" customHeight="false" outlineLevel="0" collapsed="false">
      <c r="A6942" s="0" t="s">
        <v>12</v>
      </c>
      <c r="B6942" s="0" t="n">
        <v>2183306</v>
      </c>
      <c r="C6942" s="0" t="n">
        <v>2183326</v>
      </c>
      <c r="D6942" s="0" t="s">
        <v>23102</v>
      </c>
      <c r="E6942" s="0" t="s">
        <v>75</v>
      </c>
      <c r="F6942" s="0" t="s">
        <v>15</v>
      </c>
      <c r="G6942" s="0" t="s">
        <v>20</v>
      </c>
      <c r="H6942" s="0" t="n">
        <v>200</v>
      </c>
      <c r="I6942" s="0" t="s">
        <v>23112</v>
      </c>
      <c r="J6942" s="0" t="s">
        <v>23113</v>
      </c>
      <c r="K6942" s="0" t="s">
        <v>23114</v>
      </c>
      <c r="L6942" s="0" t="str">
        <f aca="false">HYPERLINK("https://www.ncbi.nlm.nih.gov/nuccore/CP000058.1?report=graph&amp;tracks=[key:gene_model_track,Options:GeneOnly]&amp;mk=2183208:2183227|offset_101|444444,2183234:2183253|offset_127|444444,2183264:2183283|offset_157|444444,2183307:2183326|offset_200|00cc00&amp;v=2183007:2183526&amp;c=444444", "offset 200")</f>
        <v>offset 200</v>
      </c>
    </row>
    <row r="6943" customFormat="false" ht="12.8" hidden="false" customHeight="false" outlineLevel="0" collapsed="false">
      <c r="A6943" s="0" t="s">
        <v>12</v>
      </c>
      <c r="B6943" s="0" t="n">
        <v>2183930</v>
      </c>
      <c r="C6943" s="0" t="n">
        <v>2183950</v>
      </c>
      <c r="D6943" s="0" t="s">
        <v>23115</v>
      </c>
      <c r="E6943" s="0" t="s">
        <v>75</v>
      </c>
      <c r="F6943" s="0" t="s">
        <v>15</v>
      </c>
      <c r="G6943" s="0" t="s">
        <v>36</v>
      </c>
      <c r="H6943" s="0" t="n">
        <v>75</v>
      </c>
      <c r="I6943" s="0" t="s">
        <v>23116</v>
      </c>
      <c r="J6943" s="0" t="s">
        <v>23117</v>
      </c>
      <c r="K6943" s="0" t="s">
        <v>23118</v>
      </c>
      <c r="L6943" s="0" t="str">
        <f aca="false">HYPERLINK("https://www.ncbi.nlm.nih.gov/nuccore/CP000058.1?report=graph&amp;tracks=[key:gene_model_track,Options:GeneOnly]&amp;mk=2183931:2183950|offset_75|00cc00,2183987:2184006|offset_131|444444,2184140:2184159|offset_284|444444,2184169:2184188|offset_313|444444&amp;v=2183730:2184388&amp;c=444444", "offset 75")</f>
        <v>offset 75</v>
      </c>
    </row>
    <row r="6944" customFormat="false" ht="12.8" hidden="false" customHeight="false" outlineLevel="0" collapsed="false">
      <c r="A6944" s="0" t="s">
        <v>12</v>
      </c>
      <c r="B6944" s="0" t="n">
        <v>2183986</v>
      </c>
      <c r="C6944" s="0" t="n">
        <v>2184006</v>
      </c>
      <c r="D6944" s="0" t="s">
        <v>23115</v>
      </c>
      <c r="E6944" s="0" t="s">
        <v>75</v>
      </c>
      <c r="F6944" s="0" t="s">
        <v>15</v>
      </c>
      <c r="G6944" s="0" t="s">
        <v>36</v>
      </c>
      <c r="H6944" s="0" t="n">
        <v>131</v>
      </c>
      <c r="I6944" s="0" t="s">
        <v>23119</v>
      </c>
      <c r="J6944" s="0" t="s">
        <v>23120</v>
      </c>
      <c r="K6944" s="0" t="s">
        <v>23121</v>
      </c>
      <c r="L6944" s="0" t="str">
        <f aca="false">HYPERLINK("https://www.ncbi.nlm.nih.gov/nuccore/CP000058.1?report=graph&amp;tracks=[key:gene_model_track,Options:GeneOnly]&amp;mk=2183931:2183950|offset_75|444444,2183987:2184006|offset_131|00cc00,2184140:2184159|offset_284|444444,2184169:2184188|offset_313|444444&amp;v=2183730:2184388&amp;c=444444", "offset 131")</f>
        <v>offset 131</v>
      </c>
    </row>
    <row r="6945" customFormat="false" ht="12.8" hidden="false" customHeight="false" outlineLevel="0" collapsed="false">
      <c r="A6945" s="0" t="s">
        <v>12</v>
      </c>
      <c r="B6945" s="0" t="n">
        <v>2184139</v>
      </c>
      <c r="C6945" s="0" t="n">
        <v>2184159</v>
      </c>
      <c r="D6945" s="0" t="s">
        <v>23115</v>
      </c>
      <c r="E6945" s="0" t="s">
        <v>75</v>
      </c>
      <c r="F6945" s="0" t="s">
        <v>15</v>
      </c>
      <c r="G6945" s="0" t="s">
        <v>36</v>
      </c>
      <c r="H6945" s="0" t="n">
        <v>284</v>
      </c>
      <c r="I6945" s="0" t="s">
        <v>23122</v>
      </c>
      <c r="J6945" s="0" t="s">
        <v>23123</v>
      </c>
      <c r="K6945" s="0" t="s">
        <v>23124</v>
      </c>
      <c r="L6945" s="0" t="str">
        <f aca="false">HYPERLINK("https://www.ncbi.nlm.nih.gov/nuccore/CP000058.1?report=graph&amp;tracks=[key:gene_model_track,Options:GeneOnly]&amp;mk=2183931:2183950|offset_75|444444,2183987:2184006|offset_131|444444,2184140:2184159|offset_284|00cc00,2184169:2184188|offset_313|444444&amp;v=2183730:2184388&amp;c=444444", "offset 284")</f>
        <v>offset 284</v>
      </c>
    </row>
    <row r="6946" customFormat="false" ht="12.8" hidden="false" customHeight="false" outlineLevel="0" collapsed="false">
      <c r="A6946" s="0" t="s">
        <v>12</v>
      </c>
      <c r="B6946" s="0" t="n">
        <v>2184168</v>
      </c>
      <c r="C6946" s="0" t="n">
        <v>2184188</v>
      </c>
      <c r="D6946" s="0" t="s">
        <v>23115</v>
      </c>
      <c r="E6946" s="0" t="s">
        <v>75</v>
      </c>
      <c r="F6946" s="0" t="s">
        <v>15</v>
      </c>
      <c r="G6946" s="0" t="s">
        <v>16</v>
      </c>
      <c r="H6946" s="0" t="n">
        <v>313</v>
      </c>
      <c r="I6946" s="0" t="s">
        <v>23125</v>
      </c>
      <c r="J6946" s="0" t="s">
        <v>23126</v>
      </c>
      <c r="K6946" s="0" t="s">
        <v>23127</v>
      </c>
      <c r="L6946" s="0" t="str">
        <f aca="false">HYPERLINK("https://www.ncbi.nlm.nih.gov/nuccore/CP000058.1?report=graph&amp;tracks=[key:gene_model_track,Options:GeneOnly]&amp;mk=2183931:2183950|offset_75|444444,2183987:2184006|offset_131|444444,2184140:2184159|offset_284|444444,2184169:2184188|offset_313|00cc00&amp;v=2183730:2184388&amp;c=444444", "offset 313")</f>
        <v>offset 313</v>
      </c>
    </row>
    <row r="6947" customFormat="false" ht="12.8" hidden="false" customHeight="false" outlineLevel="0" collapsed="false">
      <c r="A6947" s="0" t="s">
        <v>12</v>
      </c>
      <c r="B6947" s="0" t="n">
        <v>2185221</v>
      </c>
      <c r="C6947" s="0" t="n">
        <v>2185241</v>
      </c>
      <c r="D6947" s="0" t="s">
        <v>23128</v>
      </c>
      <c r="E6947" s="0" t="s">
        <v>75</v>
      </c>
      <c r="F6947" s="0" t="s">
        <v>15</v>
      </c>
      <c r="G6947" s="0" t="s">
        <v>36</v>
      </c>
      <c r="H6947" s="0" t="n">
        <v>38</v>
      </c>
      <c r="I6947" s="0" t="s">
        <v>23129</v>
      </c>
      <c r="J6947" s="0" t="s">
        <v>23130</v>
      </c>
      <c r="K6947" s="0" t="s">
        <v>23131</v>
      </c>
      <c r="L6947" s="0" t="str">
        <f aca="false">HYPERLINK("https://www.ncbi.nlm.nih.gov/nuccore/CP000058.1?report=graph&amp;tracks=[key:gene_model_track,Options:GeneOnly]&amp;mk=2185222:2185241|offset_38|00cc00,2185299:2185318|offset_115|444444,2185362:2185381|offset_178|444444,2185544:2185563|offset_360|444444&amp;v=2185021:2185763&amp;c=444444", "offset 38")</f>
        <v>offset 38</v>
      </c>
    </row>
    <row r="6948" customFormat="false" ht="12.8" hidden="false" customHeight="false" outlineLevel="0" collapsed="false">
      <c r="A6948" s="0" t="s">
        <v>12</v>
      </c>
      <c r="B6948" s="0" t="n">
        <v>2185298</v>
      </c>
      <c r="C6948" s="0" t="n">
        <v>2185318</v>
      </c>
      <c r="D6948" s="0" t="s">
        <v>23128</v>
      </c>
      <c r="E6948" s="0" t="s">
        <v>75</v>
      </c>
      <c r="F6948" s="0" t="s">
        <v>15</v>
      </c>
      <c r="G6948" s="0" t="s">
        <v>20</v>
      </c>
      <c r="H6948" s="0" t="n">
        <v>115</v>
      </c>
      <c r="I6948" s="0" t="s">
        <v>23132</v>
      </c>
      <c r="J6948" s="0" t="s">
        <v>23133</v>
      </c>
      <c r="K6948" s="0" t="s">
        <v>23134</v>
      </c>
      <c r="L6948" s="0" t="str">
        <f aca="false">HYPERLINK("https://www.ncbi.nlm.nih.gov/nuccore/CP000058.1?report=graph&amp;tracks=[key:gene_model_track,Options:GeneOnly]&amp;mk=2185222:2185241|offset_38|444444,2185299:2185318|offset_115|00cc00,2185362:2185381|offset_178|444444,2185544:2185563|offset_360|444444&amp;v=2185021:2185763&amp;c=444444", "offset 115")</f>
        <v>offset 115</v>
      </c>
    </row>
    <row r="6949" customFormat="false" ht="12.8" hidden="false" customHeight="false" outlineLevel="0" collapsed="false">
      <c r="A6949" s="0" t="s">
        <v>12</v>
      </c>
      <c r="B6949" s="0" t="n">
        <v>2185361</v>
      </c>
      <c r="C6949" s="0" t="n">
        <v>2185381</v>
      </c>
      <c r="D6949" s="0" t="s">
        <v>23128</v>
      </c>
      <c r="E6949" s="0" t="s">
        <v>75</v>
      </c>
      <c r="F6949" s="0" t="s">
        <v>15</v>
      </c>
      <c r="G6949" s="0" t="s">
        <v>20</v>
      </c>
      <c r="H6949" s="0" t="n">
        <v>178</v>
      </c>
      <c r="I6949" s="0" t="s">
        <v>23135</v>
      </c>
      <c r="J6949" s="0" t="s">
        <v>23136</v>
      </c>
      <c r="K6949" s="0" t="s">
        <v>23137</v>
      </c>
      <c r="L6949" s="0" t="str">
        <f aca="false">HYPERLINK("https://www.ncbi.nlm.nih.gov/nuccore/CP000058.1?report=graph&amp;tracks=[key:gene_model_track,Options:GeneOnly]&amp;mk=2185222:2185241|offset_38|444444,2185299:2185318|offset_115|444444,2185362:2185381|offset_178|00cc00,2185544:2185563|offset_360|444444&amp;v=2185021:2185763&amp;c=444444", "offset 178")</f>
        <v>offset 178</v>
      </c>
    </row>
    <row r="6950" customFormat="false" ht="12.8" hidden="false" customHeight="false" outlineLevel="0" collapsed="false">
      <c r="A6950" s="0" t="s">
        <v>12</v>
      </c>
      <c r="B6950" s="0" t="n">
        <v>2185543</v>
      </c>
      <c r="C6950" s="0" t="n">
        <v>2185563</v>
      </c>
      <c r="D6950" s="0" t="s">
        <v>23128</v>
      </c>
      <c r="E6950" s="0" t="s">
        <v>75</v>
      </c>
      <c r="F6950" s="0" t="s">
        <v>15</v>
      </c>
      <c r="G6950" s="0" t="s">
        <v>36</v>
      </c>
      <c r="H6950" s="0" t="n">
        <v>360</v>
      </c>
      <c r="I6950" s="0" t="s">
        <v>23138</v>
      </c>
      <c r="J6950" s="0" t="s">
        <v>23139</v>
      </c>
      <c r="K6950" s="0" t="s">
        <v>23140</v>
      </c>
      <c r="L6950" s="0" t="str">
        <f aca="false">HYPERLINK("https://www.ncbi.nlm.nih.gov/nuccore/CP000058.1?report=graph&amp;tracks=[key:gene_model_track,Options:GeneOnly]&amp;mk=2185222:2185241|offset_38|444444,2185299:2185318|offset_115|444444,2185362:2185381|offset_178|444444,2185544:2185563|offset_360|00cc00&amp;v=2185021:2185763&amp;c=444444", "offset 360")</f>
        <v>offset 360</v>
      </c>
    </row>
    <row r="6951" customFormat="false" ht="12.8" hidden="false" customHeight="false" outlineLevel="0" collapsed="false">
      <c r="A6951" s="0" t="s">
        <v>12</v>
      </c>
      <c r="B6951" s="0" t="n">
        <v>2185682</v>
      </c>
      <c r="C6951" s="0" t="n">
        <v>2185702</v>
      </c>
      <c r="D6951" s="0" t="s">
        <v>23141</v>
      </c>
      <c r="E6951" s="0" t="s">
        <v>75</v>
      </c>
      <c r="F6951" s="0" t="s">
        <v>15</v>
      </c>
      <c r="G6951" s="0" t="s">
        <v>32</v>
      </c>
      <c r="H6951" s="0" t="n">
        <v>1</v>
      </c>
      <c r="I6951" s="0" t="s">
        <v>23142</v>
      </c>
      <c r="J6951" s="0" t="s">
        <v>23143</v>
      </c>
      <c r="K6951" s="0" t="s">
        <v>23144</v>
      </c>
      <c r="L6951" s="0" t="str">
        <f aca="false">HYPERLINK("https://www.ncbi.nlm.nih.gov/nuccore/CP000058.1?report=graph&amp;tracks=[key:gene_model_track,Options:GeneOnly]&amp;mk=2185683:2185702|offset_1|00cc00,2185713:2185732|offset_31|444444,2185757:2185776|offset_75|444444,2185816:2185835|offset_134|444444&amp;v=2185482:2186035&amp;c=444444", "offset 1")</f>
        <v>offset 1</v>
      </c>
    </row>
    <row r="6952" customFormat="false" ht="12.8" hidden="false" customHeight="false" outlineLevel="0" collapsed="false">
      <c r="A6952" s="0" t="s">
        <v>12</v>
      </c>
      <c r="B6952" s="0" t="n">
        <v>2185712</v>
      </c>
      <c r="C6952" s="0" t="n">
        <v>2185732</v>
      </c>
      <c r="D6952" s="0" t="s">
        <v>23141</v>
      </c>
      <c r="E6952" s="0" t="s">
        <v>75</v>
      </c>
      <c r="F6952" s="0" t="s">
        <v>15</v>
      </c>
      <c r="G6952" s="0" t="s">
        <v>32</v>
      </c>
      <c r="H6952" s="0" t="n">
        <v>31</v>
      </c>
      <c r="I6952" s="0" t="s">
        <v>23145</v>
      </c>
      <c r="J6952" s="0" t="s">
        <v>23146</v>
      </c>
      <c r="K6952" s="0" t="s">
        <v>23147</v>
      </c>
      <c r="L6952" s="0" t="str">
        <f aca="false">HYPERLINK("https://www.ncbi.nlm.nih.gov/nuccore/CP000058.1?report=graph&amp;tracks=[key:gene_model_track,Options:GeneOnly]&amp;mk=2185683:2185702|offset_1|444444,2185713:2185732|offset_31|00cc00,2185757:2185776|offset_75|444444,2185816:2185835|offset_134|444444&amp;v=2185482:2186035&amp;c=444444", "offset 31")</f>
        <v>offset 31</v>
      </c>
    </row>
    <row r="6953" customFormat="false" ht="12.8" hidden="false" customHeight="false" outlineLevel="0" collapsed="false">
      <c r="A6953" s="0" t="s">
        <v>12</v>
      </c>
      <c r="B6953" s="0" t="n">
        <v>2185756</v>
      </c>
      <c r="C6953" s="0" t="n">
        <v>2185776</v>
      </c>
      <c r="D6953" s="0" t="s">
        <v>23141</v>
      </c>
      <c r="E6953" s="0" t="s">
        <v>75</v>
      </c>
      <c r="F6953" s="0" t="s">
        <v>15</v>
      </c>
      <c r="G6953" s="0" t="s">
        <v>32</v>
      </c>
      <c r="H6953" s="0" t="n">
        <v>75</v>
      </c>
      <c r="I6953" s="0" t="s">
        <v>23148</v>
      </c>
      <c r="J6953" s="0" t="s">
        <v>23149</v>
      </c>
      <c r="K6953" s="0" t="s">
        <v>23150</v>
      </c>
      <c r="L6953" s="0" t="str">
        <f aca="false">HYPERLINK("https://www.ncbi.nlm.nih.gov/nuccore/CP000058.1?report=graph&amp;tracks=[key:gene_model_track,Options:GeneOnly]&amp;mk=2185683:2185702|offset_1|444444,2185713:2185732|offset_31|444444,2185757:2185776|offset_75|00cc00,2185816:2185835|offset_134|444444&amp;v=2185482:2186035&amp;c=444444", "offset 75")</f>
        <v>offset 75</v>
      </c>
    </row>
    <row r="6954" customFormat="false" ht="12.8" hidden="false" customHeight="false" outlineLevel="0" collapsed="false">
      <c r="A6954" s="0" t="s">
        <v>12</v>
      </c>
      <c r="B6954" s="0" t="n">
        <v>2185815</v>
      </c>
      <c r="C6954" s="0" t="n">
        <v>2185835</v>
      </c>
      <c r="D6954" s="0" t="s">
        <v>23141</v>
      </c>
      <c r="E6954" s="0" t="s">
        <v>75</v>
      </c>
      <c r="F6954" s="0" t="s">
        <v>15</v>
      </c>
      <c r="G6954" s="0" t="s">
        <v>20</v>
      </c>
      <c r="H6954" s="0" t="n">
        <v>134</v>
      </c>
      <c r="I6954" s="0" t="s">
        <v>23151</v>
      </c>
      <c r="J6954" s="0" t="s">
        <v>23152</v>
      </c>
      <c r="K6954" s="0" t="s">
        <v>23153</v>
      </c>
      <c r="L6954" s="0" t="str">
        <f aca="false">HYPERLINK("https://www.ncbi.nlm.nih.gov/nuccore/CP000058.1?report=graph&amp;tracks=[key:gene_model_track,Options:GeneOnly]&amp;mk=2185683:2185702|offset_1|444444,2185713:2185732|offset_31|444444,2185757:2185776|offset_75|444444,2185816:2185835|offset_134|00cc00&amp;v=2185482:2186035&amp;c=444444", "offset 134")</f>
        <v>offset 134</v>
      </c>
    </row>
    <row r="6955" customFormat="false" ht="12.8" hidden="false" customHeight="false" outlineLevel="0" collapsed="false">
      <c r="A6955" s="0" t="s">
        <v>12</v>
      </c>
      <c r="B6955" s="0" t="n">
        <v>2190561</v>
      </c>
      <c r="C6955" s="0" t="n">
        <v>2190581</v>
      </c>
      <c r="D6955" s="0" t="s">
        <v>23154</v>
      </c>
      <c r="E6955" s="0" t="s">
        <v>75</v>
      </c>
      <c r="F6955" s="0" t="s">
        <v>15</v>
      </c>
      <c r="G6955" s="0" t="s">
        <v>20</v>
      </c>
      <c r="H6955" s="0" t="n">
        <v>47</v>
      </c>
      <c r="I6955" s="0" t="s">
        <v>23155</v>
      </c>
      <c r="J6955" s="0" t="s">
        <v>23156</v>
      </c>
      <c r="K6955" s="0" t="s">
        <v>23157</v>
      </c>
      <c r="L6955" s="0" t="str">
        <f aca="false">HYPERLINK("https://www.ncbi.nlm.nih.gov/nuccore/CP000058.1?report=graph&amp;tracks=[key:gene_model_track,Options:GeneOnly]&amp;mk=2190562:2190581|offset_47|00cc00,2190588:2190607|offset_73|444444,2190612:2190631|offset_97|444444,2190661:2190680|offset_146|444444&amp;v=2190361:2190880&amp;c=444444", "offset 47")</f>
        <v>offset 47</v>
      </c>
    </row>
    <row r="6956" customFormat="false" ht="12.8" hidden="false" customHeight="false" outlineLevel="0" collapsed="false">
      <c r="A6956" s="0" t="s">
        <v>12</v>
      </c>
      <c r="B6956" s="0" t="n">
        <v>2190587</v>
      </c>
      <c r="C6956" s="0" t="n">
        <v>2190607</v>
      </c>
      <c r="D6956" s="0" t="s">
        <v>23154</v>
      </c>
      <c r="E6956" s="0" t="s">
        <v>75</v>
      </c>
      <c r="F6956" s="0" t="s">
        <v>15</v>
      </c>
      <c r="G6956" s="0" t="s">
        <v>32</v>
      </c>
      <c r="H6956" s="0" t="n">
        <v>73</v>
      </c>
      <c r="I6956" s="0" t="s">
        <v>23158</v>
      </c>
      <c r="J6956" s="0" t="s">
        <v>23159</v>
      </c>
      <c r="K6956" s="0" t="s">
        <v>23160</v>
      </c>
      <c r="L6956" s="0" t="str">
        <f aca="false">HYPERLINK("https://www.ncbi.nlm.nih.gov/nuccore/CP000058.1?report=graph&amp;tracks=[key:gene_model_track,Options:GeneOnly]&amp;mk=2190562:2190581|offset_47|444444,2190588:2190607|offset_73|00cc00,2190612:2190631|offset_97|444444,2190661:2190680|offset_146|444444&amp;v=2190361:2190880&amp;c=444444", "offset 73")</f>
        <v>offset 73</v>
      </c>
    </row>
    <row r="6957" customFormat="false" ht="12.8" hidden="false" customHeight="false" outlineLevel="0" collapsed="false">
      <c r="A6957" s="0" t="s">
        <v>12</v>
      </c>
      <c r="B6957" s="0" t="n">
        <v>2190611</v>
      </c>
      <c r="C6957" s="0" t="n">
        <v>2190631</v>
      </c>
      <c r="D6957" s="0" t="s">
        <v>23154</v>
      </c>
      <c r="E6957" s="0" t="s">
        <v>75</v>
      </c>
      <c r="F6957" s="0" t="s">
        <v>15</v>
      </c>
      <c r="G6957" s="0" t="s">
        <v>32</v>
      </c>
      <c r="H6957" s="0" t="n">
        <v>97</v>
      </c>
      <c r="I6957" s="0" t="s">
        <v>23161</v>
      </c>
      <c r="J6957" s="0" t="s">
        <v>23162</v>
      </c>
      <c r="K6957" s="0" t="s">
        <v>23163</v>
      </c>
      <c r="L6957" s="0" t="str">
        <f aca="false">HYPERLINK("https://www.ncbi.nlm.nih.gov/nuccore/CP000058.1?report=graph&amp;tracks=[key:gene_model_track,Options:GeneOnly]&amp;mk=2190562:2190581|offset_47|444444,2190588:2190607|offset_73|444444,2190612:2190631|offset_97|00cc00,2190661:2190680|offset_146|444444&amp;v=2190361:2190880&amp;c=444444", "offset 97")</f>
        <v>offset 97</v>
      </c>
    </row>
    <row r="6958" customFormat="false" ht="12.8" hidden="false" customHeight="false" outlineLevel="0" collapsed="false">
      <c r="A6958" s="0" t="s">
        <v>12</v>
      </c>
      <c r="B6958" s="0" t="n">
        <v>2190660</v>
      </c>
      <c r="C6958" s="0" t="n">
        <v>2190680</v>
      </c>
      <c r="D6958" s="0" t="s">
        <v>23154</v>
      </c>
      <c r="E6958" s="0" t="s">
        <v>75</v>
      </c>
      <c r="F6958" s="0" t="s">
        <v>15</v>
      </c>
      <c r="G6958" s="0" t="s">
        <v>16</v>
      </c>
      <c r="H6958" s="0" t="n">
        <v>146</v>
      </c>
      <c r="I6958" s="0" t="s">
        <v>23164</v>
      </c>
      <c r="J6958" s="0" t="s">
        <v>23165</v>
      </c>
      <c r="K6958" s="0" t="s">
        <v>23166</v>
      </c>
      <c r="L6958" s="0" t="str">
        <f aca="false">HYPERLINK("https://www.ncbi.nlm.nih.gov/nuccore/CP000058.1?report=graph&amp;tracks=[key:gene_model_track,Options:GeneOnly]&amp;mk=2190562:2190581|offset_47|444444,2190588:2190607|offset_73|444444,2190612:2190631|offset_97|444444,2190661:2190680|offset_146|00cc00&amp;v=2190361:2190880&amp;c=444444", "offset 146")</f>
        <v>offset 146</v>
      </c>
    </row>
    <row r="6959" customFormat="false" ht="12.8" hidden="false" customHeight="false" outlineLevel="0" collapsed="false">
      <c r="A6959" s="0" t="s">
        <v>12</v>
      </c>
      <c r="B6959" s="0" t="n">
        <v>2191411</v>
      </c>
      <c r="C6959" s="0" t="n">
        <v>2191431</v>
      </c>
      <c r="D6959" s="0" t="s">
        <v>23167</v>
      </c>
      <c r="E6959" s="0" t="s">
        <v>75</v>
      </c>
      <c r="F6959" s="0" t="s">
        <v>15</v>
      </c>
      <c r="G6959" s="0" t="s">
        <v>32</v>
      </c>
      <c r="H6959" s="0" t="n">
        <v>1</v>
      </c>
      <c r="I6959" s="0" t="s">
        <v>23168</v>
      </c>
      <c r="J6959" s="0" t="s">
        <v>23169</v>
      </c>
      <c r="K6959" s="0" t="s">
        <v>23170</v>
      </c>
      <c r="L6959" s="0" t="str">
        <f aca="false">HYPERLINK("https://www.ncbi.nlm.nih.gov/nuccore/CP000058.1?report=graph&amp;tracks=[key:gene_model_track,Options:GeneOnly]&amp;mk=2191412:2191431|offset_1|00cc00,2191439:2191458|offset_28|444444,2191465:2191484|offset_54|444444,2191490:2191509|offset_79|444444&amp;v=2191211:2191709&amp;c=444444", "offset 1")</f>
        <v>offset 1</v>
      </c>
    </row>
    <row r="6960" customFormat="false" ht="12.8" hidden="false" customHeight="false" outlineLevel="0" collapsed="false">
      <c r="A6960" s="0" t="s">
        <v>12</v>
      </c>
      <c r="B6960" s="0" t="n">
        <v>2191438</v>
      </c>
      <c r="C6960" s="0" t="n">
        <v>2191458</v>
      </c>
      <c r="D6960" s="0" t="s">
        <v>23167</v>
      </c>
      <c r="E6960" s="0" t="s">
        <v>75</v>
      </c>
      <c r="F6960" s="0" t="s">
        <v>15</v>
      </c>
      <c r="G6960" s="0" t="s">
        <v>32</v>
      </c>
      <c r="H6960" s="0" t="n">
        <v>28</v>
      </c>
      <c r="I6960" s="0" t="s">
        <v>23171</v>
      </c>
      <c r="J6960" s="0" t="s">
        <v>23172</v>
      </c>
      <c r="K6960" s="0" t="s">
        <v>23173</v>
      </c>
      <c r="L6960" s="0" t="str">
        <f aca="false">HYPERLINK("https://www.ncbi.nlm.nih.gov/nuccore/CP000058.1?report=graph&amp;tracks=[key:gene_model_track,Options:GeneOnly]&amp;mk=2191412:2191431|offset_1|444444,2191439:2191458|offset_28|00cc00,2191465:2191484|offset_54|444444,2191490:2191509|offset_79|444444&amp;v=2191211:2191709&amp;c=444444", "offset 28")</f>
        <v>offset 28</v>
      </c>
    </row>
    <row r="6961" customFormat="false" ht="12.8" hidden="false" customHeight="false" outlineLevel="0" collapsed="false">
      <c r="A6961" s="0" t="s">
        <v>12</v>
      </c>
      <c r="B6961" s="0" t="n">
        <v>2191464</v>
      </c>
      <c r="C6961" s="0" t="n">
        <v>2191484</v>
      </c>
      <c r="D6961" s="0" t="s">
        <v>23167</v>
      </c>
      <c r="E6961" s="0" t="s">
        <v>75</v>
      </c>
      <c r="F6961" s="0" t="s">
        <v>15</v>
      </c>
      <c r="G6961" s="0" t="s">
        <v>32</v>
      </c>
      <c r="H6961" s="0" t="n">
        <v>54</v>
      </c>
      <c r="I6961" s="0" t="s">
        <v>23174</v>
      </c>
      <c r="J6961" s="0" t="s">
        <v>23175</v>
      </c>
      <c r="K6961" s="0" t="s">
        <v>23176</v>
      </c>
      <c r="L6961" s="0" t="str">
        <f aca="false">HYPERLINK("https://www.ncbi.nlm.nih.gov/nuccore/CP000058.1?report=graph&amp;tracks=[key:gene_model_track,Options:GeneOnly]&amp;mk=2191412:2191431|offset_1|444444,2191439:2191458|offset_28|444444,2191465:2191484|offset_54|00cc00,2191490:2191509|offset_79|444444&amp;v=2191211:2191709&amp;c=444444", "offset 54")</f>
        <v>offset 54</v>
      </c>
    </row>
    <row r="6962" customFormat="false" ht="12.8" hidden="false" customHeight="false" outlineLevel="0" collapsed="false">
      <c r="A6962" s="0" t="s">
        <v>12</v>
      </c>
      <c r="B6962" s="0" t="n">
        <v>2191489</v>
      </c>
      <c r="C6962" s="0" t="n">
        <v>2191509</v>
      </c>
      <c r="D6962" s="0" t="s">
        <v>23167</v>
      </c>
      <c r="E6962" s="0" t="s">
        <v>75</v>
      </c>
      <c r="F6962" s="0" t="s">
        <v>15</v>
      </c>
      <c r="G6962" s="0" t="s">
        <v>32</v>
      </c>
      <c r="H6962" s="0" t="n">
        <v>79</v>
      </c>
      <c r="I6962" s="0" t="s">
        <v>23177</v>
      </c>
      <c r="J6962" s="0" t="s">
        <v>23178</v>
      </c>
      <c r="K6962" s="0" t="s">
        <v>23179</v>
      </c>
      <c r="L6962" s="0" t="str">
        <f aca="false">HYPERLINK("https://www.ncbi.nlm.nih.gov/nuccore/CP000058.1?report=graph&amp;tracks=[key:gene_model_track,Options:GeneOnly]&amp;mk=2191412:2191431|offset_1|444444,2191439:2191458|offset_28|444444,2191465:2191484|offset_54|444444,2191490:2191509|offset_79|00cc00&amp;v=2191211:2191709&amp;c=444444", "offset 79")</f>
        <v>offset 79</v>
      </c>
    </row>
    <row r="6963" customFormat="false" ht="12.8" hidden="false" customHeight="false" outlineLevel="0" collapsed="false">
      <c r="A6963" s="0" t="s">
        <v>12</v>
      </c>
      <c r="B6963" s="0" t="n">
        <v>2191737</v>
      </c>
      <c r="C6963" s="0" t="n">
        <v>2191757</v>
      </c>
      <c r="D6963" s="0" t="s">
        <v>23180</v>
      </c>
      <c r="E6963" s="0" t="s">
        <v>75</v>
      </c>
      <c r="F6963" s="0" t="s">
        <v>15</v>
      </c>
      <c r="G6963" s="0" t="s">
        <v>16</v>
      </c>
      <c r="H6963" s="0" t="n">
        <v>16</v>
      </c>
      <c r="I6963" s="0" t="s">
        <v>23181</v>
      </c>
      <c r="J6963" s="0" t="s">
        <v>23182</v>
      </c>
      <c r="K6963" s="0" t="s">
        <v>23183</v>
      </c>
      <c r="L6963" s="0" t="str">
        <f aca="false">HYPERLINK("https://www.ncbi.nlm.nih.gov/nuccore/CP000058.1?report=graph&amp;tracks=[key:gene_model_track,Options:GeneOnly]&amp;mk=2191738:2191757|offset_16|00cc00,2191793:2191812|offset_71|444444,2191837:2191856|offset_115|444444,2191858:2191877|offset_136|444444&amp;v=2191537:2192077&amp;c=444444", "offset 16")</f>
        <v>offset 16</v>
      </c>
    </row>
    <row r="6964" customFormat="false" ht="12.8" hidden="false" customHeight="false" outlineLevel="0" collapsed="false">
      <c r="A6964" s="0" t="s">
        <v>12</v>
      </c>
      <c r="B6964" s="0" t="n">
        <v>2191792</v>
      </c>
      <c r="C6964" s="0" t="n">
        <v>2191812</v>
      </c>
      <c r="D6964" s="0" t="s">
        <v>23180</v>
      </c>
      <c r="E6964" s="0" t="s">
        <v>75</v>
      </c>
      <c r="F6964" s="0" t="s">
        <v>15</v>
      </c>
      <c r="G6964" s="0" t="s">
        <v>16</v>
      </c>
      <c r="H6964" s="0" t="n">
        <v>71</v>
      </c>
      <c r="I6964" s="0" t="s">
        <v>23184</v>
      </c>
      <c r="J6964" s="0" t="s">
        <v>23185</v>
      </c>
      <c r="K6964" s="0" t="s">
        <v>23186</v>
      </c>
      <c r="L6964" s="0" t="str">
        <f aca="false">HYPERLINK("https://www.ncbi.nlm.nih.gov/nuccore/CP000058.1?report=graph&amp;tracks=[key:gene_model_track,Options:GeneOnly]&amp;mk=2191738:2191757|offset_16|444444,2191793:2191812|offset_71|00cc00,2191837:2191856|offset_115|444444,2191858:2191877|offset_136|444444&amp;v=2191537:2192077&amp;c=444444", "offset 71")</f>
        <v>offset 71</v>
      </c>
    </row>
    <row r="6965" customFormat="false" ht="12.8" hidden="false" customHeight="false" outlineLevel="0" collapsed="false">
      <c r="A6965" s="0" t="s">
        <v>12</v>
      </c>
      <c r="B6965" s="0" t="n">
        <v>2191836</v>
      </c>
      <c r="C6965" s="0" t="n">
        <v>2191856</v>
      </c>
      <c r="D6965" s="0" t="s">
        <v>23180</v>
      </c>
      <c r="E6965" s="0" t="s">
        <v>75</v>
      </c>
      <c r="F6965" s="0" t="s">
        <v>15</v>
      </c>
      <c r="G6965" s="0" t="s">
        <v>32</v>
      </c>
      <c r="H6965" s="0" t="n">
        <v>115</v>
      </c>
      <c r="I6965" s="0" t="s">
        <v>23187</v>
      </c>
      <c r="J6965" s="0" t="s">
        <v>23188</v>
      </c>
      <c r="K6965" s="0" t="s">
        <v>23189</v>
      </c>
      <c r="L6965" s="0" t="str">
        <f aca="false">HYPERLINK("https://www.ncbi.nlm.nih.gov/nuccore/CP000058.1?report=graph&amp;tracks=[key:gene_model_track,Options:GeneOnly]&amp;mk=2191738:2191757|offset_16|444444,2191793:2191812|offset_71|444444,2191837:2191856|offset_115|00cc00,2191858:2191877|offset_136|444444&amp;v=2191537:2192077&amp;c=444444", "offset 115")</f>
        <v>offset 115</v>
      </c>
    </row>
    <row r="6966" customFormat="false" ht="12.8" hidden="false" customHeight="false" outlineLevel="0" collapsed="false">
      <c r="A6966" s="0" t="s">
        <v>12</v>
      </c>
      <c r="B6966" s="0" t="n">
        <v>2191857</v>
      </c>
      <c r="C6966" s="0" t="n">
        <v>2191877</v>
      </c>
      <c r="D6966" s="0" t="s">
        <v>23180</v>
      </c>
      <c r="E6966" s="0" t="s">
        <v>75</v>
      </c>
      <c r="F6966" s="0" t="s">
        <v>15</v>
      </c>
      <c r="G6966" s="0" t="s">
        <v>32</v>
      </c>
      <c r="H6966" s="0" t="n">
        <v>136</v>
      </c>
      <c r="I6966" s="0" t="s">
        <v>23190</v>
      </c>
      <c r="J6966" s="0" t="s">
        <v>23191</v>
      </c>
      <c r="K6966" s="0" t="s">
        <v>23192</v>
      </c>
      <c r="L6966" s="0" t="str">
        <f aca="false">HYPERLINK("https://www.ncbi.nlm.nih.gov/nuccore/CP000058.1?report=graph&amp;tracks=[key:gene_model_track,Options:GeneOnly]&amp;mk=2191738:2191757|offset_16|444444,2191793:2191812|offset_71|444444,2191837:2191856|offset_115|444444,2191858:2191877|offset_136|00cc00&amp;v=2191537:2192077&amp;c=444444", "offset 136")</f>
        <v>offset 136</v>
      </c>
    </row>
    <row r="6967" customFormat="false" ht="12.8" hidden="false" customHeight="false" outlineLevel="0" collapsed="false">
      <c r="A6967" s="0" t="s">
        <v>12</v>
      </c>
      <c r="B6967" s="0" t="n">
        <v>2192568</v>
      </c>
      <c r="C6967" s="0" t="n">
        <v>2192588</v>
      </c>
      <c r="D6967" s="0" t="s">
        <v>23193</v>
      </c>
      <c r="E6967" s="0" t="s">
        <v>75</v>
      </c>
      <c r="F6967" s="0" t="s">
        <v>15</v>
      </c>
      <c r="G6967" s="0" t="s">
        <v>16</v>
      </c>
      <c r="H6967" s="0" t="n">
        <v>112</v>
      </c>
      <c r="I6967" s="0" t="s">
        <v>23194</v>
      </c>
      <c r="J6967" s="0" t="s">
        <v>23195</v>
      </c>
      <c r="K6967" s="0" t="s">
        <v>23196</v>
      </c>
      <c r="L6967" s="0" t="str">
        <f aca="false">HYPERLINK("https://www.ncbi.nlm.nih.gov/nuccore/CP000058.1?report=graph&amp;tracks=[key:gene_model_track,Options:GeneOnly]&amp;mk=2192569:2192588|offset_112|00cc00,2192596:2192615|offset_139|444444,2192620:2192639|offset_163|444444,2192640:2192659|offset_183|444444&amp;v=2192368:2192859&amp;c=444444", "offset 112")</f>
        <v>offset 112</v>
      </c>
    </row>
    <row r="6968" customFormat="false" ht="12.8" hidden="false" customHeight="false" outlineLevel="0" collapsed="false">
      <c r="A6968" s="0" t="s">
        <v>12</v>
      </c>
      <c r="B6968" s="0" t="n">
        <v>2192595</v>
      </c>
      <c r="C6968" s="0" t="n">
        <v>2192615</v>
      </c>
      <c r="D6968" s="0" t="s">
        <v>23193</v>
      </c>
      <c r="E6968" s="0" t="s">
        <v>75</v>
      </c>
      <c r="F6968" s="0" t="s">
        <v>15</v>
      </c>
      <c r="G6968" s="0" t="s">
        <v>32</v>
      </c>
      <c r="H6968" s="0" t="n">
        <v>139</v>
      </c>
      <c r="I6968" s="0" t="s">
        <v>23197</v>
      </c>
      <c r="J6968" s="0" t="s">
        <v>23198</v>
      </c>
      <c r="K6968" s="0" t="s">
        <v>23199</v>
      </c>
      <c r="L6968" s="0" t="str">
        <f aca="false">HYPERLINK("https://www.ncbi.nlm.nih.gov/nuccore/CP000058.1?report=graph&amp;tracks=[key:gene_model_track,Options:GeneOnly]&amp;mk=2192569:2192588|offset_112|444444,2192596:2192615|offset_139|00cc00,2192620:2192639|offset_163|444444,2192640:2192659|offset_183|444444&amp;v=2192368:2192859&amp;c=444444", "offset 139")</f>
        <v>offset 139</v>
      </c>
    </row>
    <row r="6969" customFormat="false" ht="12.8" hidden="false" customHeight="false" outlineLevel="0" collapsed="false">
      <c r="A6969" s="0" t="s">
        <v>12</v>
      </c>
      <c r="B6969" s="0" t="n">
        <v>2192619</v>
      </c>
      <c r="C6969" s="0" t="n">
        <v>2192639</v>
      </c>
      <c r="D6969" s="0" t="s">
        <v>23193</v>
      </c>
      <c r="E6969" s="0" t="s">
        <v>75</v>
      </c>
      <c r="F6969" s="0" t="s">
        <v>15</v>
      </c>
      <c r="G6969" s="0" t="s">
        <v>32</v>
      </c>
      <c r="H6969" s="0" t="n">
        <v>163</v>
      </c>
      <c r="I6969" s="0" t="s">
        <v>23200</v>
      </c>
      <c r="J6969" s="0" t="s">
        <v>23201</v>
      </c>
      <c r="K6969" s="0" t="s">
        <v>23202</v>
      </c>
      <c r="L6969" s="0" t="str">
        <f aca="false">HYPERLINK("https://www.ncbi.nlm.nih.gov/nuccore/CP000058.1?report=graph&amp;tracks=[key:gene_model_track,Options:GeneOnly]&amp;mk=2192569:2192588|offset_112|444444,2192596:2192615|offset_139|444444,2192620:2192639|offset_163|00cc00,2192640:2192659|offset_183|444444&amp;v=2192368:2192859&amp;c=444444", "offset 163")</f>
        <v>offset 163</v>
      </c>
    </row>
    <row r="6970" customFormat="false" ht="12.8" hidden="false" customHeight="false" outlineLevel="0" collapsed="false">
      <c r="A6970" s="0" t="s">
        <v>12</v>
      </c>
      <c r="B6970" s="0" t="n">
        <v>2192639</v>
      </c>
      <c r="C6970" s="0" t="n">
        <v>2192659</v>
      </c>
      <c r="D6970" s="0" t="s">
        <v>23193</v>
      </c>
      <c r="E6970" s="0" t="s">
        <v>75</v>
      </c>
      <c r="F6970" s="0" t="s">
        <v>15</v>
      </c>
      <c r="G6970" s="0" t="s">
        <v>32</v>
      </c>
      <c r="H6970" s="0" t="n">
        <v>183</v>
      </c>
      <c r="I6970" s="0" t="s">
        <v>23203</v>
      </c>
      <c r="J6970" s="0" t="s">
        <v>23204</v>
      </c>
      <c r="K6970" s="0" t="s">
        <v>23205</v>
      </c>
      <c r="L6970" s="0" t="str">
        <f aca="false">HYPERLINK("https://www.ncbi.nlm.nih.gov/nuccore/CP000058.1?report=graph&amp;tracks=[key:gene_model_track,Options:GeneOnly]&amp;mk=2192569:2192588|offset_112|444444,2192596:2192615|offset_139|444444,2192620:2192639|offset_163|444444,2192640:2192659|offset_183|00cc00&amp;v=2192368:2192859&amp;c=444444", "offset 183")</f>
        <v>offset 183</v>
      </c>
    </row>
    <row r="6971" customFormat="false" ht="12.8" hidden="false" customHeight="false" outlineLevel="0" collapsed="false">
      <c r="A6971" s="0" t="s">
        <v>12</v>
      </c>
      <c r="B6971" s="0" t="n">
        <v>2193129</v>
      </c>
      <c r="C6971" s="0" t="n">
        <v>2193149</v>
      </c>
      <c r="D6971" s="0" t="s">
        <v>23206</v>
      </c>
      <c r="E6971" s="0" t="s">
        <v>75</v>
      </c>
      <c r="F6971" s="0" t="s">
        <v>15</v>
      </c>
      <c r="G6971" s="0" t="s">
        <v>36</v>
      </c>
      <c r="H6971" s="0" t="n">
        <v>74</v>
      </c>
      <c r="I6971" s="0" t="s">
        <v>23207</v>
      </c>
      <c r="J6971" s="0" t="s">
        <v>23208</v>
      </c>
      <c r="K6971" s="0" t="s">
        <v>23209</v>
      </c>
      <c r="L6971" s="0" t="str">
        <f aca="false">HYPERLINK("https://www.ncbi.nlm.nih.gov/nuccore/CP000058.1?report=graph&amp;tracks=[key:gene_model_track,Options:GeneOnly]&amp;mk=2193130:2193149|offset_74|00cc00,2193163:2193182|offset_107|444444,2193213:2193232|offset_157|444444,2193236:2193255|offset_180|444444&amp;v=2192929:2193455&amp;c=444444", "offset 74")</f>
        <v>offset 74</v>
      </c>
    </row>
    <row r="6972" customFormat="false" ht="12.8" hidden="false" customHeight="false" outlineLevel="0" collapsed="false">
      <c r="A6972" s="0" t="s">
        <v>12</v>
      </c>
      <c r="B6972" s="0" t="n">
        <v>2193162</v>
      </c>
      <c r="C6972" s="0" t="n">
        <v>2193182</v>
      </c>
      <c r="D6972" s="0" t="s">
        <v>23206</v>
      </c>
      <c r="E6972" s="0" t="s">
        <v>75</v>
      </c>
      <c r="F6972" s="0" t="s">
        <v>15</v>
      </c>
      <c r="G6972" s="0" t="s">
        <v>32</v>
      </c>
      <c r="H6972" s="0" t="n">
        <v>107</v>
      </c>
      <c r="I6972" s="0" t="s">
        <v>23210</v>
      </c>
      <c r="J6972" s="0" t="s">
        <v>23211</v>
      </c>
      <c r="K6972" s="0" t="s">
        <v>23212</v>
      </c>
      <c r="L6972" s="0" t="str">
        <f aca="false">HYPERLINK("https://www.ncbi.nlm.nih.gov/nuccore/CP000058.1?report=graph&amp;tracks=[key:gene_model_track,Options:GeneOnly]&amp;mk=2193130:2193149|offset_74|444444,2193163:2193182|offset_107|00cc00,2193213:2193232|offset_157|444444,2193236:2193255|offset_180|444444&amp;v=2192929:2193455&amp;c=444444", "offset 107")</f>
        <v>offset 107</v>
      </c>
    </row>
    <row r="6973" customFormat="false" ht="12.8" hidden="false" customHeight="false" outlineLevel="0" collapsed="false">
      <c r="A6973" s="0" t="s">
        <v>12</v>
      </c>
      <c r="B6973" s="0" t="n">
        <v>2193212</v>
      </c>
      <c r="C6973" s="0" t="n">
        <v>2193232</v>
      </c>
      <c r="D6973" s="0" t="s">
        <v>23206</v>
      </c>
      <c r="E6973" s="0" t="s">
        <v>75</v>
      </c>
      <c r="F6973" s="0" t="s">
        <v>15</v>
      </c>
      <c r="G6973" s="0" t="s">
        <v>16</v>
      </c>
      <c r="H6973" s="0" t="n">
        <v>157</v>
      </c>
      <c r="I6973" s="0" t="s">
        <v>23213</v>
      </c>
      <c r="J6973" s="0" t="s">
        <v>23214</v>
      </c>
      <c r="K6973" s="0" t="s">
        <v>23215</v>
      </c>
      <c r="L6973" s="0" t="str">
        <f aca="false">HYPERLINK("https://www.ncbi.nlm.nih.gov/nuccore/CP000058.1?report=graph&amp;tracks=[key:gene_model_track,Options:GeneOnly]&amp;mk=2193130:2193149|offset_74|444444,2193163:2193182|offset_107|444444,2193213:2193232|offset_157|00cc00,2193236:2193255|offset_180|444444&amp;v=2192929:2193455&amp;c=444444", "offset 157")</f>
        <v>offset 157</v>
      </c>
    </row>
    <row r="6974" customFormat="false" ht="12.8" hidden="false" customHeight="false" outlineLevel="0" collapsed="false">
      <c r="A6974" s="0" t="s">
        <v>12</v>
      </c>
      <c r="B6974" s="0" t="n">
        <v>2193235</v>
      </c>
      <c r="C6974" s="0" t="n">
        <v>2193255</v>
      </c>
      <c r="D6974" s="0" t="s">
        <v>23206</v>
      </c>
      <c r="E6974" s="0" t="s">
        <v>75</v>
      </c>
      <c r="F6974" s="0" t="s">
        <v>15</v>
      </c>
      <c r="G6974" s="0" t="s">
        <v>36</v>
      </c>
      <c r="H6974" s="0" t="n">
        <v>180</v>
      </c>
      <c r="I6974" s="0" t="s">
        <v>23216</v>
      </c>
      <c r="J6974" s="0" t="s">
        <v>23217</v>
      </c>
      <c r="K6974" s="0" t="s">
        <v>23218</v>
      </c>
      <c r="L6974" s="0" t="str">
        <f aca="false">HYPERLINK("https://www.ncbi.nlm.nih.gov/nuccore/CP000058.1?report=graph&amp;tracks=[key:gene_model_track,Options:GeneOnly]&amp;mk=2193130:2193149|offset_74|444444,2193163:2193182|offset_107|444444,2193213:2193232|offset_157|444444,2193236:2193255|offset_180|00cc00&amp;v=2192929:2193455&amp;c=444444", "offset 180")</f>
        <v>offset 180</v>
      </c>
    </row>
    <row r="6975" customFormat="false" ht="12.8" hidden="false" customHeight="false" outlineLevel="0" collapsed="false">
      <c r="A6975" s="0" t="s">
        <v>12</v>
      </c>
      <c r="B6975" s="0" t="n">
        <v>2193833</v>
      </c>
      <c r="C6975" s="0" t="n">
        <v>2193853</v>
      </c>
      <c r="D6975" s="0" t="s">
        <v>23219</v>
      </c>
      <c r="E6975" s="0" t="s">
        <v>75</v>
      </c>
      <c r="F6975" s="0" t="s">
        <v>15</v>
      </c>
      <c r="G6975" s="0" t="s">
        <v>20</v>
      </c>
      <c r="H6975" s="0" t="n">
        <v>35</v>
      </c>
      <c r="I6975" s="0" t="s">
        <v>23220</v>
      </c>
      <c r="J6975" s="0" t="s">
        <v>23221</v>
      </c>
      <c r="K6975" s="0" t="s">
        <v>23222</v>
      </c>
      <c r="L6975" s="0" t="str">
        <f aca="false">HYPERLINK("https://www.ncbi.nlm.nih.gov/nuccore/CP000058.1?report=graph&amp;tracks=[key:gene_model_track,Options:GeneOnly]&amp;mk=2193834:2193853|offset_35|00cc00,2193871:2193890|offset_72|444444,2193902:2193921|offset_103|444444,2193929:2193948|offset_130|444444&amp;v=2193633:2194148&amp;c=444444", "offset 35")</f>
        <v>offset 35</v>
      </c>
    </row>
    <row r="6976" customFormat="false" ht="12.8" hidden="false" customHeight="false" outlineLevel="0" collapsed="false">
      <c r="A6976" s="0" t="s">
        <v>12</v>
      </c>
      <c r="B6976" s="0" t="n">
        <v>2193870</v>
      </c>
      <c r="C6976" s="0" t="n">
        <v>2193890</v>
      </c>
      <c r="D6976" s="0" t="s">
        <v>23219</v>
      </c>
      <c r="E6976" s="0" t="s">
        <v>75</v>
      </c>
      <c r="F6976" s="0" t="s">
        <v>15</v>
      </c>
      <c r="G6976" s="0" t="s">
        <v>20</v>
      </c>
      <c r="H6976" s="0" t="n">
        <v>72</v>
      </c>
      <c r="I6976" s="0" t="s">
        <v>23223</v>
      </c>
      <c r="J6976" s="0" t="s">
        <v>23224</v>
      </c>
      <c r="K6976" s="0" t="s">
        <v>23225</v>
      </c>
      <c r="L6976" s="0" t="str">
        <f aca="false">HYPERLINK("https://www.ncbi.nlm.nih.gov/nuccore/CP000058.1?report=graph&amp;tracks=[key:gene_model_track,Options:GeneOnly]&amp;mk=2193834:2193853|offset_35|444444,2193871:2193890|offset_72|00cc00,2193902:2193921|offset_103|444444,2193929:2193948|offset_130|444444&amp;v=2193633:2194148&amp;c=444444", "offset 72")</f>
        <v>offset 72</v>
      </c>
    </row>
    <row r="6977" customFormat="false" ht="12.8" hidden="false" customHeight="false" outlineLevel="0" collapsed="false">
      <c r="A6977" s="0" t="s">
        <v>12</v>
      </c>
      <c r="B6977" s="0" t="n">
        <v>2193901</v>
      </c>
      <c r="C6977" s="0" t="n">
        <v>2193921</v>
      </c>
      <c r="D6977" s="0" t="s">
        <v>23219</v>
      </c>
      <c r="E6977" s="0" t="s">
        <v>75</v>
      </c>
      <c r="F6977" s="0" t="s">
        <v>15</v>
      </c>
      <c r="G6977" s="0" t="s">
        <v>32</v>
      </c>
      <c r="H6977" s="0" t="n">
        <v>103</v>
      </c>
      <c r="I6977" s="0" t="s">
        <v>23226</v>
      </c>
      <c r="J6977" s="0" t="s">
        <v>23227</v>
      </c>
      <c r="K6977" s="0" t="s">
        <v>23228</v>
      </c>
      <c r="L6977" s="0" t="str">
        <f aca="false">HYPERLINK("https://www.ncbi.nlm.nih.gov/nuccore/CP000058.1?report=graph&amp;tracks=[key:gene_model_track,Options:GeneOnly]&amp;mk=2193834:2193853|offset_35|444444,2193871:2193890|offset_72|444444,2193902:2193921|offset_103|00cc00,2193929:2193948|offset_130|444444&amp;v=2193633:2194148&amp;c=444444", "offset 103")</f>
        <v>offset 103</v>
      </c>
    </row>
    <row r="6978" customFormat="false" ht="12.8" hidden="false" customHeight="false" outlineLevel="0" collapsed="false">
      <c r="A6978" s="0" t="s">
        <v>12</v>
      </c>
      <c r="B6978" s="0" t="n">
        <v>2193928</v>
      </c>
      <c r="C6978" s="0" t="n">
        <v>2193948</v>
      </c>
      <c r="D6978" s="0" t="s">
        <v>23219</v>
      </c>
      <c r="E6978" s="0" t="s">
        <v>75</v>
      </c>
      <c r="F6978" s="0" t="s">
        <v>15</v>
      </c>
      <c r="G6978" s="0" t="s">
        <v>20</v>
      </c>
      <c r="H6978" s="0" t="n">
        <v>130</v>
      </c>
      <c r="I6978" s="0" t="s">
        <v>23229</v>
      </c>
      <c r="J6978" s="0" t="s">
        <v>23230</v>
      </c>
      <c r="K6978" s="0" t="s">
        <v>23231</v>
      </c>
      <c r="L6978" s="0" t="str">
        <f aca="false">HYPERLINK("https://www.ncbi.nlm.nih.gov/nuccore/CP000058.1?report=graph&amp;tracks=[key:gene_model_track,Options:GeneOnly]&amp;mk=2193834:2193853|offset_35|444444,2193871:2193890|offset_72|444444,2193902:2193921|offset_103|444444,2193929:2193948|offset_130|00cc00&amp;v=2193633:2194148&amp;c=444444", "offset 130")</f>
        <v>offset 130</v>
      </c>
    </row>
    <row r="6979" customFormat="false" ht="12.8" hidden="false" customHeight="false" outlineLevel="0" collapsed="false">
      <c r="A6979" s="0" t="s">
        <v>12</v>
      </c>
      <c r="B6979" s="0" t="n">
        <v>2194656</v>
      </c>
      <c r="C6979" s="0" t="n">
        <v>2194676</v>
      </c>
      <c r="D6979" s="0" t="s">
        <v>23232</v>
      </c>
      <c r="E6979" s="0" t="s">
        <v>75</v>
      </c>
      <c r="F6979" s="0" t="s">
        <v>15</v>
      </c>
      <c r="G6979" s="0" t="s">
        <v>36</v>
      </c>
      <c r="H6979" s="0" t="n">
        <v>132</v>
      </c>
      <c r="I6979" s="0" t="s">
        <v>23233</v>
      </c>
      <c r="J6979" s="0" t="s">
        <v>23234</v>
      </c>
      <c r="K6979" s="0" t="s">
        <v>23235</v>
      </c>
      <c r="L6979" s="0" t="str">
        <f aca="false">HYPERLINK("https://www.ncbi.nlm.nih.gov/nuccore/CP000058.1?report=graph&amp;tracks=[key:gene_model_track,Options:GeneOnly]&amp;mk=2194657:2194676|offset_132|00cc00,2194701:2194720|offset_176|444444,2194838:2194857|offset_313|444444,2194868:2194887|offset_343|444444&amp;v=2194456:2195087&amp;c=444444", "offset 132")</f>
        <v>offset 132</v>
      </c>
    </row>
    <row r="6980" customFormat="false" ht="12.8" hidden="false" customHeight="false" outlineLevel="0" collapsed="false">
      <c r="A6980" s="0" t="s">
        <v>12</v>
      </c>
      <c r="B6980" s="0" t="n">
        <v>2194700</v>
      </c>
      <c r="C6980" s="0" t="n">
        <v>2194720</v>
      </c>
      <c r="D6980" s="0" t="s">
        <v>23232</v>
      </c>
      <c r="E6980" s="0" t="s">
        <v>75</v>
      </c>
      <c r="F6980" s="0" t="s">
        <v>15</v>
      </c>
      <c r="G6980" s="0" t="s">
        <v>20</v>
      </c>
      <c r="H6980" s="0" t="n">
        <v>176</v>
      </c>
      <c r="I6980" s="0" t="s">
        <v>23236</v>
      </c>
      <c r="J6980" s="0" t="s">
        <v>23237</v>
      </c>
      <c r="K6980" s="0" t="s">
        <v>23238</v>
      </c>
      <c r="L6980" s="0" t="str">
        <f aca="false">HYPERLINK("https://www.ncbi.nlm.nih.gov/nuccore/CP000058.1?report=graph&amp;tracks=[key:gene_model_track,Options:GeneOnly]&amp;mk=2194657:2194676|offset_132|444444,2194701:2194720|offset_176|00cc00,2194838:2194857|offset_313|444444,2194868:2194887|offset_343|444444&amp;v=2194456:2195087&amp;c=444444", "offset 176")</f>
        <v>offset 176</v>
      </c>
    </row>
    <row r="6981" customFormat="false" ht="12.8" hidden="false" customHeight="false" outlineLevel="0" collapsed="false">
      <c r="A6981" s="0" t="s">
        <v>12</v>
      </c>
      <c r="B6981" s="0" t="n">
        <v>2194837</v>
      </c>
      <c r="C6981" s="0" t="n">
        <v>2194857</v>
      </c>
      <c r="D6981" s="0" t="s">
        <v>23232</v>
      </c>
      <c r="E6981" s="0" t="s">
        <v>75</v>
      </c>
      <c r="F6981" s="0" t="s">
        <v>15</v>
      </c>
      <c r="G6981" s="0" t="s">
        <v>16</v>
      </c>
      <c r="H6981" s="0" t="n">
        <v>313</v>
      </c>
      <c r="I6981" s="0" t="s">
        <v>23239</v>
      </c>
      <c r="J6981" s="0" t="s">
        <v>23240</v>
      </c>
      <c r="K6981" s="0" t="s">
        <v>23241</v>
      </c>
      <c r="L6981" s="0" t="str">
        <f aca="false">HYPERLINK("https://www.ncbi.nlm.nih.gov/nuccore/CP000058.1?report=graph&amp;tracks=[key:gene_model_track,Options:GeneOnly]&amp;mk=2194657:2194676|offset_132|444444,2194701:2194720|offset_176|444444,2194838:2194857|offset_313|00cc00,2194868:2194887|offset_343|444444&amp;v=2194456:2195087&amp;c=444444", "offset 313")</f>
        <v>offset 313</v>
      </c>
    </row>
    <row r="6982" customFormat="false" ht="12.8" hidden="false" customHeight="false" outlineLevel="0" collapsed="false">
      <c r="A6982" s="0" t="s">
        <v>12</v>
      </c>
      <c r="B6982" s="0" t="n">
        <v>2194867</v>
      </c>
      <c r="C6982" s="0" t="n">
        <v>2194887</v>
      </c>
      <c r="D6982" s="0" t="s">
        <v>23232</v>
      </c>
      <c r="E6982" s="0" t="s">
        <v>75</v>
      </c>
      <c r="F6982" s="0" t="s">
        <v>15</v>
      </c>
      <c r="G6982" s="0" t="s">
        <v>20</v>
      </c>
      <c r="H6982" s="0" t="n">
        <v>343</v>
      </c>
      <c r="I6982" s="0" t="s">
        <v>23242</v>
      </c>
      <c r="J6982" s="0" t="s">
        <v>23243</v>
      </c>
      <c r="K6982" s="0" t="s">
        <v>23244</v>
      </c>
      <c r="L6982" s="0" t="str">
        <f aca="false">HYPERLINK("https://www.ncbi.nlm.nih.gov/nuccore/CP000058.1?report=graph&amp;tracks=[key:gene_model_track,Options:GeneOnly]&amp;mk=2194657:2194676|offset_132|444444,2194701:2194720|offset_176|444444,2194838:2194857|offset_313|444444,2194868:2194887|offset_343|00cc00&amp;v=2194456:2195087&amp;c=444444", "offset 343")</f>
        <v>offset 343</v>
      </c>
    </row>
    <row r="6983" customFormat="false" ht="12.8" hidden="false" customHeight="false" outlineLevel="0" collapsed="false">
      <c r="A6983" s="0" t="s">
        <v>12</v>
      </c>
      <c r="B6983" s="0" t="n">
        <v>2195479</v>
      </c>
      <c r="C6983" s="0" t="n">
        <v>2195499</v>
      </c>
      <c r="D6983" s="0" t="s">
        <v>23245</v>
      </c>
      <c r="E6983" s="0" t="s">
        <v>75</v>
      </c>
      <c r="F6983" s="0" t="s">
        <v>15</v>
      </c>
      <c r="G6983" s="0" t="s">
        <v>32</v>
      </c>
      <c r="H6983" s="0" t="n">
        <v>36</v>
      </c>
      <c r="I6983" s="0" t="s">
        <v>23246</v>
      </c>
      <c r="J6983" s="0" t="s">
        <v>23247</v>
      </c>
      <c r="K6983" s="0" t="s">
        <v>23248</v>
      </c>
      <c r="L6983" s="0" t="str">
        <f aca="false">HYPERLINK("https://www.ncbi.nlm.nih.gov/nuccore/CP000058.1?report=graph&amp;tracks=[key:gene_model_track,Options:GeneOnly]&amp;mk=2195480:2195499|offset_36|00cc00,2195523:2195542|offset_79|444444,2195606:2195625|offset_162|444444,2195699:2195718|offset_255|444444&amp;v=2195279:2195918&amp;c=444444", "offset 36")</f>
        <v>offset 36</v>
      </c>
    </row>
    <row r="6984" customFormat="false" ht="12.8" hidden="false" customHeight="false" outlineLevel="0" collapsed="false">
      <c r="A6984" s="0" t="s">
        <v>12</v>
      </c>
      <c r="B6984" s="0" t="n">
        <v>2195522</v>
      </c>
      <c r="C6984" s="0" t="n">
        <v>2195542</v>
      </c>
      <c r="D6984" s="0" t="s">
        <v>23245</v>
      </c>
      <c r="E6984" s="0" t="s">
        <v>75</v>
      </c>
      <c r="F6984" s="0" t="s">
        <v>15</v>
      </c>
      <c r="G6984" s="0" t="s">
        <v>36</v>
      </c>
      <c r="H6984" s="0" t="n">
        <v>79</v>
      </c>
      <c r="I6984" s="0" t="s">
        <v>23249</v>
      </c>
      <c r="J6984" s="0" t="s">
        <v>23250</v>
      </c>
      <c r="K6984" s="0" t="s">
        <v>23251</v>
      </c>
      <c r="L6984" s="0" t="str">
        <f aca="false">HYPERLINK("https://www.ncbi.nlm.nih.gov/nuccore/CP000058.1?report=graph&amp;tracks=[key:gene_model_track,Options:GeneOnly]&amp;mk=2195480:2195499|offset_36|444444,2195523:2195542|offset_79|00cc00,2195606:2195625|offset_162|444444,2195699:2195718|offset_255|444444&amp;v=2195279:2195918&amp;c=444444", "offset 79")</f>
        <v>offset 79</v>
      </c>
    </row>
    <row r="6985" customFormat="false" ht="12.8" hidden="false" customHeight="false" outlineLevel="0" collapsed="false">
      <c r="A6985" s="0" t="s">
        <v>12</v>
      </c>
      <c r="B6985" s="0" t="n">
        <v>2195605</v>
      </c>
      <c r="C6985" s="0" t="n">
        <v>2195625</v>
      </c>
      <c r="D6985" s="0" t="s">
        <v>23245</v>
      </c>
      <c r="E6985" s="0" t="s">
        <v>75</v>
      </c>
      <c r="F6985" s="0" t="s">
        <v>15</v>
      </c>
      <c r="G6985" s="0" t="s">
        <v>16</v>
      </c>
      <c r="H6985" s="0" t="n">
        <v>162</v>
      </c>
      <c r="I6985" s="0" t="s">
        <v>23252</v>
      </c>
      <c r="J6985" s="0" t="s">
        <v>23253</v>
      </c>
      <c r="K6985" s="0" t="s">
        <v>23254</v>
      </c>
      <c r="L6985" s="0" t="str">
        <f aca="false">HYPERLINK("https://www.ncbi.nlm.nih.gov/nuccore/CP000058.1?report=graph&amp;tracks=[key:gene_model_track,Options:GeneOnly]&amp;mk=2195480:2195499|offset_36|444444,2195523:2195542|offset_79|444444,2195606:2195625|offset_162|00cc00,2195699:2195718|offset_255|444444&amp;v=2195279:2195918&amp;c=444444", "offset 162")</f>
        <v>offset 162</v>
      </c>
    </row>
    <row r="6986" customFormat="false" ht="12.8" hidden="false" customHeight="false" outlineLevel="0" collapsed="false">
      <c r="A6986" s="0" t="s">
        <v>12</v>
      </c>
      <c r="B6986" s="0" t="n">
        <v>2195698</v>
      </c>
      <c r="C6986" s="0" t="n">
        <v>2195718</v>
      </c>
      <c r="D6986" s="0" t="s">
        <v>23245</v>
      </c>
      <c r="E6986" s="0" t="s">
        <v>75</v>
      </c>
      <c r="F6986" s="0" t="s">
        <v>15</v>
      </c>
      <c r="G6986" s="0" t="s">
        <v>32</v>
      </c>
      <c r="H6986" s="0" t="n">
        <v>255</v>
      </c>
      <c r="I6986" s="0" t="s">
        <v>23255</v>
      </c>
      <c r="J6986" s="0" t="s">
        <v>23256</v>
      </c>
      <c r="K6986" s="0" t="s">
        <v>23257</v>
      </c>
      <c r="L6986" s="0" t="str">
        <f aca="false">HYPERLINK("https://www.ncbi.nlm.nih.gov/nuccore/CP000058.1?report=graph&amp;tracks=[key:gene_model_track,Options:GeneOnly]&amp;mk=2195480:2195499|offset_36|444444,2195523:2195542|offset_79|444444,2195606:2195625|offset_162|444444,2195699:2195718|offset_255|00cc00&amp;v=2195279:2195918&amp;c=444444", "offset 255")</f>
        <v>offset 255</v>
      </c>
    </row>
    <row r="6987" customFormat="false" ht="12.8" hidden="false" customHeight="false" outlineLevel="0" collapsed="false">
      <c r="A6987" s="0" t="s">
        <v>12</v>
      </c>
      <c r="B6987" s="0" t="n">
        <v>2196244</v>
      </c>
      <c r="C6987" s="0" t="n">
        <v>2196264</v>
      </c>
      <c r="D6987" s="0" t="s">
        <v>23258</v>
      </c>
      <c r="E6987" s="0" t="s">
        <v>75</v>
      </c>
      <c r="F6987" s="0" t="s">
        <v>15</v>
      </c>
      <c r="G6987" s="0" t="s">
        <v>20</v>
      </c>
      <c r="H6987" s="0" t="n">
        <v>39</v>
      </c>
      <c r="I6987" s="0" t="s">
        <v>23259</v>
      </c>
      <c r="J6987" s="0" t="s">
        <v>23260</v>
      </c>
      <c r="K6987" s="0" t="s">
        <v>23261</v>
      </c>
      <c r="L6987" s="0" t="str">
        <f aca="false">HYPERLINK("https://www.ncbi.nlm.nih.gov/nuccore/CP000058.1?report=graph&amp;tracks=[key:gene_model_track,Options:GeneOnly]&amp;mk=2196245:2196264|offset_39|00cc00,2196294:2196313|offset_88|444444,2196321:2196340|offset_115|444444,2196366:2196385|offset_160|444444&amp;v=2196044:2196585&amp;c=444444", "offset 39")</f>
        <v>offset 39</v>
      </c>
    </row>
    <row r="6988" customFormat="false" ht="12.8" hidden="false" customHeight="false" outlineLevel="0" collapsed="false">
      <c r="A6988" s="0" t="s">
        <v>12</v>
      </c>
      <c r="B6988" s="0" t="n">
        <v>2196293</v>
      </c>
      <c r="C6988" s="0" t="n">
        <v>2196313</v>
      </c>
      <c r="D6988" s="0" t="s">
        <v>23258</v>
      </c>
      <c r="E6988" s="0" t="s">
        <v>75</v>
      </c>
      <c r="F6988" s="0" t="s">
        <v>15</v>
      </c>
      <c r="G6988" s="0" t="s">
        <v>36</v>
      </c>
      <c r="H6988" s="0" t="n">
        <v>88</v>
      </c>
      <c r="I6988" s="0" t="s">
        <v>23262</v>
      </c>
      <c r="J6988" s="0" t="s">
        <v>23263</v>
      </c>
      <c r="K6988" s="0" t="s">
        <v>23264</v>
      </c>
      <c r="L6988" s="0" t="str">
        <f aca="false">HYPERLINK("https://www.ncbi.nlm.nih.gov/nuccore/CP000058.1?report=graph&amp;tracks=[key:gene_model_track,Options:GeneOnly]&amp;mk=2196245:2196264|offset_39|444444,2196294:2196313|offset_88|00cc00,2196321:2196340|offset_115|444444,2196366:2196385|offset_160|444444&amp;v=2196044:2196585&amp;c=444444", "offset 88")</f>
        <v>offset 88</v>
      </c>
    </row>
    <row r="6989" customFormat="false" ht="12.8" hidden="false" customHeight="false" outlineLevel="0" collapsed="false">
      <c r="A6989" s="0" t="s">
        <v>12</v>
      </c>
      <c r="B6989" s="0" t="n">
        <v>2196320</v>
      </c>
      <c r="C6989" s="0" t="n">
        <v>2196340</v>
      </c>
      <c r="D6989" s="0" t="s">
        <v>23258</v>
      </c>
      <c r="E6989" s="0" t="s">
        <v>75</v>
      </c>
      <c r="F6989" s="0" t="s">
        <v>15</v>
      </c>
      <c r="G6989" s="0" t="s">
        <v>16</v>
      </c>
      <c r="H6989" s="0" t="n">
        <v>115</v>
      </c>
      <c r="I6989" s="0" t="s">
        <v>23265</v>
      </c>
      <c r="J6989" s="0" t="s">
        <v>23266</v>
      </c>
      <c r="K6989" s="0" t="s">
        <v>23267</v>
      </c>
      <c r="L6989" s="0" t="str">
        <f aca="false">HYPERLINK("https://www.ncbi.nlm.nih.gov/nuccore/CP000058.1?report=graph&amp;tracks=[key:gene_model_track,Options:GeneOnly]&amp;mk=2196245:2196264|offset_39|444444,2196294:2196313|offset_88|444444,2196321:2196340|offset_115|00cc00,2196366:2196385|offset_160|444444&amp;v=2196044:2196585&amp;c=444444", "offset 115")</f>
        <v>offset 115</v>
      </c>
    </row>
    <row r="6990" customFormat="false" ht="12.8" hidden="false" customHeight="false" outlineLevel="0" collapsed="false">
      <c r="A6990" s="0" t="s">
        <v>12</v>
      </c>
      <c r="B6990" s="0" t="n">
        <v>2196365</v>
      </c>
      <c r="C6990" s="0" t="n">
        <v>2196385</v>
      </c>
      <c r="D6990" s="0" t="s">
        <v>23258</v>
      </c>
      <c r="E6990" s="0" t="s">
        <v>75</v>
      </c>
      <c r="F6990" s="0" t="s">
        <v>15</v>
      </c>
      <c r="G6990" s="0" t="s">
        <v>16</v>
      </c>
      <c r="H6990" s="0" t="n">
        <v>160</v>
      </c>
      <c r="I6990" s="0" t="s">
        <v>23268</v>
      </c>
      <c r="J6990" s="0" t="s">
        <v>23269</v>
      </c>
      <c r="K6990" s="0" t="s">
        <v>23270</v>
      </c>
      <c r="L6990" s="0" t="str">
        <f aca="false">HYPERLINK("https://www.ncbi.nlm.nih.gov/nuccore/CP000058.1?report=graph&amp;tracks=[key:gene_model_track,Options:GeneOnly]&amp;mk=2196245:2196264|offset_39|444444,2196294:2196313|offset_88|444444,2196321:2196340|offset_115|444444,2196366:2196385|offset_160|00cc00&amp;v=2196044:2196585&amp;c=444444", "offset 160")</f>
        <v>offset 160</v>
      </c>
    </row>
    <row r="6991" customFormat="false" ht="12.8" hidden="false" customHeight="false" outlineLevel="0" collapsed="false">
      <c r="A6991" s="0" t="s">
        <v>12</v>
      </c>
      <c r="B6991" s="0" t="n">
        <v>2201486</v>
      </c>
      <c r="C6991" s="0" t="n">
        <v>2201506</v>
      </c>
      <c r="D6991" s="0" t="s">
        <v>23271</v>
      </c>
      <c r="E6991" s="0" t="s">
        <v>75</v>
      </c>
      <c r="F6991" s="0" t="s">
        <v>90</v>
      </c>
      <c r="G6991" s="0" t="s">
        <v>32</v>
      </c>
      <c r="H6991" s="0" t="n">
        <v>40</v>
      </c>
      <c r="I6991" s="0" t="s">
        <v>23272</v>
      </c>
      <c r="J6991" s="0" t="s">
        <v>23273</v>
      </c>
      <c r="K6991" s="0" t="s">
        <v>23274</v>
      </c>
      <c r="L6991" s="0" t="str">
        <f aca="false">HYPERLINK("https://www.ncbi.nlm.nih.gov/nuccore/CP000058.1?report=graph&amp;tracks=[key:gene_model_track,Options:GeneOnly]&amp;mk=2201487:2201506|offset_40|00cc00,2201443:2201462|offset_84|444444,2201421:2201440|offset_106|444444,2201400:2201419|offset_127|444444&amp;v=2201286:2201619&amp;c=444444", "offset 40")</f>
        <v>offset 40</v>
      </c>
    </row>
    <row r="6992" customFormat="false" ht="12.8" hidden="false" customHeight="false" outlineLevel="0" collapsed="false">
      <c r="A6992" s="0" t="s">
        <v>12</v>
      </c>
      <c r="B6992" s="0" t="n">
        <v>2201442</v>
      </c>
      <c r="C6992" s="0" t="n">
        <v>2201462</v>
      </c>
      <c r="D6992" s="0" t="s">
        <v>23271</v>
      </c>
      <c r="E6992" s="0" t="s">
        <v>75</v>
      </c>
      <c r="F6992" s="0" t="s">
        <v>90</v>
      </c>
      <c r="G6992" s="0" t="s">
        <v>32</v>
      </c>
      <c r="H6992" s="0" t="n">
        <v>84</v>
      </c>
      <c r="I6992" s="0" t="s">
        <v>23275</v>
      </c>
      <c r="J6992" s="0" t="s">
        <v>23276</v>
      </c>
      <c r="K6992" s="0" t="s">
        <v>23277</v>
      </c>
      <c r="L6992" s="0" t="str">
        <f aca="false">HYPERLINK("https://www.ncbi.nlm.nih.gov/nuccore/CP000058.1?report=graph&amp;tracks=[key:gene_model_track,Options:GeneOnly]&amp;mk=2201487:2201506|offset_40|444444,2201443:2201462|offset_84|00cc00,2201421:2201440|offset_106|444444,2201400:2201419|offset_127|444444&amp;v=2201286:2201619&amp;c=444444", "offset 84")</f>
        <v>offset 84</v>
      </c>
    </row>
    <row r="6993" customFormat="false" ht="12.8" hidden="false" customHeight="false" outlineLevel="0" collapsed="false">
      <c r="A6993" s="0" t="s">
        <v>12</v>
      </c>
      <c r="B6993" s="0" t="n">
        <v>2201420</v>
      </c>
      <c r="C6993" s="0" t="n">
        <v>2201440</v>
      </c>
      <c r="D6993" s="0" t="s">
        <v>23271</v>
      </c>
      <c r="E6993" s="0" t="s">
        <v>75</v>
      </c>
      <c r="F6993" s="0" t="s">
        <v>90</v>
      </c>
      <c r="G6993" s="0" t="s">
        <v>20</v>
      </c>
      <c r="H6993" s="0" t="n">
        <v>106</v>
      </c>
      <c r="I6993" s="0" t="s">
        <v>23278</v>
      </c>
      <c r="J6993" s="0" t="s">
        <v>23279</v>
      </c>
      <c r="K6993" s="0" t="s">
        <v>23280</v>
      </c>
      <c r="L6993" s="0" t="str">
        <f aca="false">HYPERLINK("https://www.ncbi.nlm.nih.gov/nuccore/CP000058.1?report=graph&amp;tracks=[key:gene_model_track,Options:GeneOnly]&amp;mk=2201487:2201506|offset_40|444444,2201443:2201462|offset_84|444444,2201421:2201440|offset_106|00cc00,2201400:2201419|offset_127|444444&amp;v=2201286:2201619&amp;c=444444", "offset 106")</f>
        <v>offset 106</v>
      </c>
    </row>
    <row r="6994" customFormat="false" ht="12.8" hidden="false" customHeight="false" outlineLevel="0" collapsed="false">
      <c r="A6994" s="0" t="s">
        <v>12</v>
      </c>
      <c r="B6994" s="0" t="n">
        <v>2201399</v>
      </c>
      <c r="C6994" s="0" t="n">
        <v>2201419</v>
      </c>
      <c r="D6994" s="0" t="s">
        <v>23271</v>
      </c>
      <c r="E6994" s="0" t="s">
        <v>75</v>
      </c>
      <c r="F6994" s="0" t="s">
        <v>90</v>
      </c>
      <c r="G6994" s="0" t="s">
        <v>36</v>
      </c>
      <c r="H6994" s="0" t="n">
        <v>127</v>
      </c>
      <c r="I6994" s="0" t="s">
        <v>23281</v>
      </c>
      <c r="J6994" s="0" t="s">
        <v>23282</v>
      </c>
      <c r="K6994" s="0" t="s">
        <v>23283</v>
      </c>
      <c r="L6994" s="0" t="str">
        <f aca="false">HYPERLINK("https://www.ncbi.nlm.nih.gov/nuccore/CP000058.1?report=graph&amp;tracks=[key:gene_model_track,Options:GeneOnly]&amp;mk=2201487:2201506|offset_40|444444,2201443:2201462|offset_84|444444,2201421:2201440|offset_106|444444,2201400:2201419|offset_127|00cc00&amp;v=2201286:2201619&amp;c=444444", "offset 127")</f>
        <v>offset 127</v>
      </c>
    </row>
    <row r="6995" customFormat="false" ht="12.8" hidden="false" customHeight="false" outlineLevel="0" collapsed="false">
      <c r="A6995" s="0" t="s">
        <v>12</v>
      </c>
      <c r="B6995" s="0" t="n">
        <v>2201672</v>
      </c>
      <c r="C6995" s="0" t="n">
        <v>2201692</v>
      </c>
      <c r="D6995" s="0" t="s">
        <v>23284</v>
      </c>
      <c r="E6995" s="0" t="s">
        <v>75</v>
      </c>
      <c r="F6995" s="0" t="s">
        <v>15</v>
      </c>
      <c r="G6995" s="0" t="s">
        <v>36</v>
      </c>
      <c r="H6995" s="0" t="n">
        <v>25</v>
      </c>
      <c r="I6995" s="0" t="s">
        <v>23285</v>
      </c>
      <c r="J6995" s="0" t="s">
        <v>23286</v>
      </c>
      <c r="K6995" s="0" t="s">
        <v>23287</v>
      </c>
      <c r="L6995" s="0" t="str">
        <f aca="false">HYPERLINK("https://www.ncbi.nlm.nih.gov/nuccore/CP000058.1?report=graph&amp;tracks=[key:gene_model_track,Options:GeneOnly]&amp;mk=2201673:2201692|offset_25|00cc00,2201709:2201728|offset_61|444444,2201729:2201748|offset_81|444444,2201752:2201771|offset_104|444444&amp;v=2201472:2201971&amp;c=444444", "offset 25")</f>
        <v>offset 25</v>
      </c>
    </row>
    <row r="6996" customFormat="false" ht="12.8" hidden="false" customHeight="false" outlineLevel="0" collapsed="false">
      <c r="A6996" s="0" t="s">
        <v>12</v>
      </c>
      <c r="B6996" s="0" t="n">
        <v>2201708</v>
      </c>
      <c r="C6996" s="0" t="n">
        <v>2201728</v>
      </c>
      <c r="D6996" s="0" t="s">
        <v>23284</v>
      </c>
      <c r="E6996" s="0" t="s">
        <v>75</v>
      </c>
      <c r="F6996" s="0" t="s">
        <v>15</v>
      </c>
      <c r="G6996" s="0" t="s">
        <v>36</v>
      </c>
      <c r="H6996" s="0" t="n">
        <v>61</v>
      </c>
      <c r="I6996" s="0" t="s">
        <v>23288</v>
      </c>
      <c r="J6996" s="0" t="s">
        <v>23289</v>
      </c>
      <c r="K6996" s="0" t="s">
        <v>23290</v>
      </c>
      <c r="L6996" s="0" t="str">
        <f aca="false">HYPERLINK("https://www.ncbi.nlm.nih.gov/nuccore/CP000058.1?report=graph&amp;tracks=[key:gene_model_track,Options:GeneOnly]&amp;mk=2201673:2201692|offset_25|444444,2201709:2201728|offset_61|00cc00,2201729:2201748|offset_81|444444,2201752:2201771|offset_104|444444&amp;v=2201472:2201971&amp;c=444444", "offset 61")</f>
        <v>offset 61</v>
      </c>
    </row>
    <row r="6997" customFormat="false" ht="12.8" hidden="false" customHeight="false" outlineLevel="0" collapsed="false">
      <c r="A6997" s="0" t="s">
        <v>12</v>
      </c>
      <c r="B6997" s="0" t="n">
        <v>2201728</v>
      </c>
      <c r="C6997" s="0" t="n">
        <v>2201748</v>
      </c>
      <c r="D6997" s="0" t="s">
        <v>23284</v>
      </c>
      <c r="E6997" s="0" t="s">
        <v>75</v>
      </c>
      <c r="F6997" s="0" t="s">
        <v>15</v>
      </c>
      <c r="G6997" s="0" t="s">
        <v>16</v>
      </c>
      <c r="H6997" s="0" t="n">
        <v>81</v>
      </c>
      <c r="I6997" s="0" t="s">
        <v>23291</v>
      </c>
      <c r="J6997" s="0" t="s">
        <v>23292</v>
      </c>
      <c r="K6997" s="0" t="s">
        <v>23293</v>
      </c>
      <c r="L6997" s="0" t="str">
        <f aca="false">HYPERLINK("https://www.ncbi.nlm.nih.gov/nuccore/CP000058.1?report=graph&amp;tracks=[key:gene_model_track,Options:GeneOnly]&amp;mk=2201673:2201692|offset_25|444444,2201709:2201728|offset_61|444444,2201729:2201748|offset_81|00cc00,2201752:2201771|offset_104|444444&amp;v=2201472:2201971&amp;c=444444", "offset 81")</f>
        <v>offset 81</v>
      </c>
    </row>
    <row r="6998" customFormat="false" ht="12.8" hidden="false" customHeight="false" outlineLevel="0" collapsed="false">
      <c r="A6998" s="0" t="s">
        <v>12</v>
      </c>
      <c r="B6998" s="0" t="n">
        <v>2201751</v>
      </c>
      <c r="C6998" s="0" t="n">
        <v>2201771</v>
      </c>
      <c r="D6998" s="0" t="s">
        <v>23284</v>
      </c>
      <c r="E6998" s="0" t="s">
        <v>75</v>
      </c>
      <c r="F6998" s="0" t="s">
        <v>15</v>
      </c>
      <c r="G6998" s="0" t="s">
        <v>32</v>
      </c>
      <c r="H6998" s="0" t="n">
        <v>104</v>
      </c>
      <c r="I6998" s="0" t="s">
        <v>23294</v>
      </c>
      <c r="J6998" s="0" t="s">
        <v>23295</v>
      </c>
      <c r="K6998" s="0" t="s">
        <v>23296</v>
      </c>
      <c r="L6998" s="0" t="str">
        <f aca="false">HYPERLINK("https://www.ncbi.nlm.nih.gov/nuccore/CP000058.1?report=graph&amp;tracks=[key:gene_model_track,Options:GeneOnly]&amp;mk=2201673:2201692|offset_25|444444,2201709:2201728|offset_61|444444,2201729:2201748|offset_81|444444,2201752:2201771|offset_104|00cc00&amp;v=2201472:2201971&amp;c=444444", "offset 104")</f>
        <v>offset 104</v>
      </c>
    </row>
    <row r="6999" customFormat="false" ht="12.8" hidden="false" customHeight="false" outlineLevel="0" collapsed="false">
      <c r="A6999" s="0" t="s">
        <v>12</v>
      </c>
      <c r="B6999" s="0" t="n">
        <v>2202763</v>
      </c>
      <c r="C6999" s="0" t="n">
        <v>2202783</v>
      </c>
      <c r="D6999" s="0" t="s">
        <v>23297</v>
      </c>
      <c r="E6999" s="0" t="s">
        <v>23298</v>
      </c>
      <c r="F6999" s="0" t="s">
        <v>15</v>
      </c>
      <c r="G6999" s="0" t="s">
        <v>32</v>
      </c>
      <c r="H6999" s="0" t="n">
        <v>1</v>
      </c>
      <c r="I6999" s="0" t="s">
        <v>23299</v>
      </c>
      <c r="J6999" s="0" t="s">
        <v>23300</v>
      </c>
      <c r="K6999" s="0" t="s">
        <v>23301</v>
      </c>
      <c r="L6999" s="0" t="str">
        <f aca="false">HYPERLINK("https://www.ncbi.nlm.nih.gov/nuccore/CP000058.1?report=graph&amp;tracks=[key:gene_model_track,Options:GeneOnly]&amp;mk=2202764:2202783|offset_1|00cc00,2202831:2202850|offset_68|444444,2202856:2202875|offset_93|444444,2202880:2202899|offset_117|444444&amp;v=2202563:2203099&amp;c=444444", "offset 1")</f>
        <v>offset 1</v>
      </c>
    </row>
    <row r="7000" customFormat="false" ht="12.8" hidden="false" customHeight="false" outlineLevel="0" collapsed="false">
      <c r="A7000" s="0" t="s">
        <v>12</v>
      </c>
      <c r="B7000" s="0" t="n">
        <v>2202830</v>
      </c>
      <c r="C7000" s="0" t="n">
        <v>2202850</v>
      </c>
      <c r="D7000" s="0" t="s">
        <v>23297</v>
      </c>
      <c r="E7000" s="0" t="s">
        <v>23298</v>
      </c>
      <c r="F7000" s="0" t="s">
        <v>15</v>
      </c>
      <c r="G7000" s="0" t="s">
        <v>36</v>
      </c>
      <c r="H7000" s="0" t="n">
        <v>68</v>
      </c>
      <c r="I7000" s="0" t="s">
        <v>23302</v>
      </c>
      <c r="J7000" s="0" t="s">
        <v>23303</v>
      </c>
      <c r="K7000" s="0" t="s">
        <v>23304</v>
      </c>
      <c r="L7000" s="0" t="str">
        <f aca="false">HYPERLINK("https://www.ncbi.nlm.nih.gov/nuccore/CP000058.1?report=graph&amp;tracks=[key:gene_model_track,Options:GeneOnly]&amp;mk=2202764:2202783|offset_1|444444,2202831:2202850|offset_68|00cc00,2202856:2202875|offset_93|444444,2202880:2202899|offset_117|444444&amp;v=2202563:2203099&amp;c=444444", "offset 68")</f>
        <v>offset 68</v>
      </c>
    </row>
    <row r="7001" customFormat="false" ht="12.8" hidden="false" customHeight="false" outlineLevel="0" collapsed="false">
      <c r="A7001" s="0" t="s">
        <v>12</v>
      </c>
      <c r="B7001" s="0" t="n">
        <v>2202855</v>
      </c>
      <c r="C7001" s="0" t="n">
        <v>2202875</v>
      </c>
      <c r="D7001" s="0" t="s">
        <v>23297</v>
      </c>
      <c r="E7001" s="0" t="s">
        <v>23298</v>
      </c>
      <c r="F7001" s="0" t="s">
        <v>15</v>
      </c>
      <c r="G7001" s="0" t="s">
        <v>16</v>
      </c>
      <c r="H7001" s="0" t="n">
        <v>93</v>
      </c>
      <c r="I7001" s="0" t="s">
        <v>23305</v>
      </c>
      <c r="J7001" s="0" t="s">
        <v>23306</v>
      </c>
      <c r="K7001" s="0" t="s">
        <v>23307</v>
      </c>
      <c r="L7001" s="0" t="str">
        <f aca="false">HYPERLINK("https://www.ncbi.nlm.nih.gov/nuccore/CP000058.1?report=graph&amp;tracks=[key:gene_model_track,Options:GeneOnly]&amp;mk=2202764:2202783|offset_1|444444,2202831:2202850|offset_68|444444,2202856:2202875|offset_93|00cc00,2202880:2202899|offset_117|444444&amp;v=2202563:2203099&amp;c=444444", "offset 93")</f>
        <v>offset 93</v>
      </c>
    </row>
    <row r="7002" customFormat="false" ht="12.8" hidden="false" customHeight="false" outlineLevel="0" collapsed="false">
      <c r="A7002" s="0" t="s">
        <v>12</v>
      </c>
      <c r="B7002" s="0" t="n">
        <v>2202879</v>
      </c>
      <c r="C7002" s="0" t="n">
        <v>2202899</v>
      </c>
      <c r="D7002" s="0" t="s">
        <v>23297</v>
      </c>
      <c r="E7002" s="0" t="s">
        <v>23298</v>
      </c>
      <c r="F7002" s="0" t="s">
        <v>15</v>
      </c>
      <c r="G7002" s="0" t="s">
        <v>36</v>
      </c>
      <c r="H7002" s="0" t="n">
        <v>117</v>
      </c>
      <c r="I7002" s="0" t="s">
        <v>23308</v>
      </c>
      <c r="J7002" s="0" t="s">
        <v>23309</v>
      </c>
      <c r="K7002" s="0" t="s">
        <v>23310</v>
      </c>
      <c r="L7002" s="0" t="str">
        <f aca="false">HYPERLINK("https://www.ncbi.nlm.nih.gov/nuccore/CP000058.1?report=graph&amp;tracks=[key:gene_model_track,Options:GeneOnly]&amp;mk=2202764:2202783|offset_1|444444,2202831:2202850|offset_68|444444,2202856:2202875|offset_93|444444,2202880:2202899|offset_117|00cc00&amp;v=2202563:2203099&amp;c=444444", "offset 117")</f>
        <v>offset 117</v>
      </c>
    </row>
    <row r="7003" customFormat="false" ht="12.8" hidden="false" customHeight="false" outlineLevel="0" collapsed="false">
      <c r="A7003" s="0" t="s">
        <v>12</v>
      </c>
      <c r="B7003" s="0" t="n">
        <v>2205851</v>
      </c>
      <c r="C7003" s="0" t="n">
        <v>2205871</v>
      </c>
      <c r="D7003" s="0" t="s">
        <v>23311</v>
      </c>
      <c r="E7003" s="0" t="s">
        <v>75</v>
      </c>
      <c r="F7003" s="0" t="s">
        <v>90</v>
      </c>
      <c r="G7003" s="0" t="s">
        <v>36</v>
      </c>
      <c r="H7003" s="0" t="n">
        <v>0</v>
      </c>
      <c r="I7003" s="0" t="s">
        <v>23312</v>
      </c>
      <c r="J7003" s="0" t="s">
        <v>23313</v>
      </c>
      <c r="K7003" s="0" t="s">
        <v>23314</v>
      </c>
      <c r="L7003" s="0" t="str">
        <f aca="false">HYPERLINK("https://www.ncbi.nlm.nih.gov/nuccore/CP000058.1?report=graph&amp;tracks=[key:gene_model_track,Options:GeneOnly]&amp;mk=2205852:2205871|offset_0|00cc00,2205815:2205834|offset_37|444444,2205778:2205797|offset_74|444444,2205749:2205768|offset_103|444444&amp;v=2205651:2205968&amp;c=444444", "offset 0")</f>
        <v>offset 0</v>
      </c>
    </row>
    <row r="7004" customFormat="false" ht="12.8" hidden="false" customHeight="false" outlineLevel="0" collapsed="false">
      <c r="A7004" s="0" t="s">
        <v>12</v>
      </c>
      <c r="B7004" s="0" t="n">
        <v>2205814</v>
      </c>
      <c r="C7004" s="0" t="n">
        <v>2205834</v>
      </c>
      <c r="D7004" s="0" t="s">
        <v>23311</v>
      </c>
      <c r="E7004" s="0" t="s">
        <v>75</v>
      </c>
      <c r="F7004" s="0" t="s">
        <v>90</v>
      </c>
      <c r="G7004" s="0" t="s">
        <v>20</v>
      </c>
      <c r="H7004" s="0" t="n">
        <v>37</v>
      </c>
      <c r="I7004" s="0" t="s">
        <v>23315</v>
      </c>
      <c r="J7004" s="0" t="s">
        <v>23316</v>
      </c>
      <c r="K7004" s="0" t="s">
        <v>23317</v>
      </c>
      <c r="L7004" s="0" t="str">
        <f aca="false">HYPERLINK("https://www.ncbi.nlm.nih.gov/nuccore/CP000058.1?report=graph&amp;tracks=[key:gene_model_track,Options:GeneOnly]&amp;mk=2205852:2205871|offset_0|444444,2205815:2205834|offset_37|00cc00,2205778:2205797|offset_74|444444,2205749:2205768|offset_103|444444&amp;v=2205651:2205968&amp;c=444444", "offset 37")</f>
        <v>offset 37</v>
      </c>
    </row>
    <row r="7005" customFormat="false" ht="12.8" hidden="false" customHeight="false" outlineLevel="0" collapsed="false">
      <c r="A7005" s="0" t="s">
        <v>12</v>
      </c>
      <c r="B7005" s="0" t="n">
        <v>2205777</v>
      </c>
      <c r="C7005" s="0" t="n">
        <v>2205797</v>
      </c>
      <c r="D7005" s="0" t="s">
        <v>23311</v>
      </c>
      <c r="E7005" s="0" t="s">
        <v>75</v>
      </c>
      <c r="F7005" s="0" t="s">
        <v>90</v>
      </c>
      <c r="G7005" s="0" t="s">
        <v>20</v>
      </c>
      <c r="H7005" s="0" t="n">
        <v>74</v>
      </c>
      <c r="I7005" s="0" t="s">
        <v>23318</v>
      </c>
      <c r="J7005" s="0" t="s">
        <v>23319</v>
      </c>
      <c r="K7005" s="0" t="s">
        <v>23320</v>
      </c>
      <c r="L7005" s="0" t="str">
        <f aca="false">HYPERLINK("https://www.ncbi.nlm.nih.gov/nuccore/CP000058.1?report=graph&amp;tracks=[key:gene_model_track,Options:GeneOnly]&amp;mk=2205852:2205871|offset_0|444444,2205815:2205834|offset_37|444444,2205778:2205797|offset_74|00cc00,2205749:2205768|offset_103|444444&amp;v=2205651:2205968&amp;c=444444", "offset 74")</f>
        <v>offset 74</v>
      </c>
    </row>
    <row r="7006" customFormat="false" ht="12.8" hidden="false" customHeight="false" outlineLevel="0" collapsed="false">
      <c r="A7006" s="0" t="s">
        <v>12</v>
      </c>
      <c r="B7006" s="0" t="n">
        <v>2205748</v>
      </c>
      <c r="C7006" s="0" t="n">
        <v>2205768</v>
      </c>
      <c r="D7006" s="0" t="s">
        <v>23311</v>
      </c>
      <c r="E7006" s="0" t="s">
        <v>75</v>
      </c>
      <c r="F7006" s="0" t="s">
        <v>90</v>
      </c>
      <c r="G7006" s="0" t="s">
        <v>16</v>
      </c>
      <c r="H7006" s="0" t="n">
        <v>103</v>
      </c>
      <c r="I7006" s="0" t="s">
        <v>23321</v>
      </c>
      <c r="J7006" s="0" t="s">
        <v>23322</v>
      </c>
      <c r="K7006" s="0" t="s">
        <v>23323</v>
      </c>
      <c r="L7006" s="0" t="str">
        <f aca="false">HYPERLINK("https://www.ncbi.nlm.nih.gov/nuccore/CP000058.1?report=graph&amp;tracks=[key:gene_model_track,Options:GeneOnly]&amp;mk=2205852:2205871|offset_0|444444,2205815:2205834|offset_37|444444,2205778:2205797|offset_74|444444,2205749:2205768|offset_103|00cc00&amp;v=2205651:2205968&amp;c=444444", "offset 103")</f>
        <v>offset 103</v>
      </c>
    </row>
    <row r="7007" customFormat="false" ht="12.8" hidden="false" customHeight="false" outlineLevel="0" collapsed="false">
      <c r="A7007" s="0" t="s">
        <v>12</v>
      </c>
      <c r="B7007" s="0" t="n">
        <v>2207345</v>
      </c>
      <c r="C7007" s="0" t="n">
        <v>2207365</v>
      </c>
      <c r="D7007" s="0" t="s">
        <v>23324</v>
      </c>
      <c r="E7007" s="0" t="s">
        <v>75</v>
      </c>
      <c r="F7007" s="0" t="s">
        <v>90</v>
      </c>
      <c r="G7007" s="0" t="s">
        <v>36</v>
      </c>
      <c r="H7007" s="0" t="n">
        <v>55</v>
      </c>
      <c r="I7007" s="0" t="s">
        <v>23325</v>
      </c>
      <c r="J7007" s="0" t="s">
        <v>23326</v>
      </c>
      <c r="K7007" s="0" t="s">
        <v>23327</v>
      </c>
      <c r="L7007" s="0" t="str">
        <f aca="false">HYPERLINK("https://www.ncbi.nlm.nih.gov/nuccore/CP000058.1?report=graph&amp;tracks=[key:gene_model_track,Options:GeneOnly]&amp;mk=2207346:2207365|offset_55|00cc00,2207316:2207335|offset_85|444444,2207292:2207311|offset_109|444444,2207272:2207291|offset_129|444444&amp;v=2207145:2207491&amp;c=444444", "offset 55")</f>
        <v>offset 55</v>
      </c>
    </row>
    <row r="7008" customFormat="false" ht="12.8" hidden="false" customHeight="false" outlineLevel="0" collapsed="false">
      <c r="A7008" s="0" t="s">
        <v>12</v>
      </c>
      <c r="B7008" s="0" t="n">
        <v>2207315</v>
      </c>
      <c r="C7008" s="0" t="n">
        <v>2207335</v>
      </c>
      <c r="D7008" s="0" t="s">
        <v>23324</v>
      </c>
      <c r="E7008" s="0" t="s">
        <v>75</v>
      </c>
      <c r="F7008" s="0" t="s">
        <v>90</v>
      </c>
      <c r="G7008" s="0" t="s">
        <v>32</v>
      </c>
      <c r="H7008" s="0" t="n">
        <v>85</v>
      </c>
      <c r="I7008" s="0" t="s">
        <v>23328</v>
      </c>
      <c r="J7008" s="0" t="s">
        <v>23329</v>
      </c>
      <c r="K7008" s="0" t="s">
        <v>23330</v>
      </c>
      <c r="L7008" s="0" t="str">
        <f aca="false">HYPERLINK("https://www.ncbi.nlm.nih.gov/nuccore/CP000058.1?report=graph&amp;tracks=[key:gene_model_track,Options:GeneOnly]&amp;mk=2207346:2207365|offset_55|444444,2207316:2207335|offset_85|00cc00,2207292:2207311|offset_109|444444,2207272:2207291|offset_129|444444&amp;v=2207145:2207491&amp;c=444444", "offset 85")</f>
        <v>offset 85</v>
      </c>
    </row>
    <row r="7009" customFormat="false" ht="12.8" hidden="false" customHeight="false" outlineLevel="0" collapsed="false">
      <c r="A7009" s="0" t="s">
        <v>12</v>
      </c>
      <c r="B7009" s="0" t="n">
        <v>2207291</v>
      </c>
      <c r="C7009" s="0" t="n">
        <v>2207311</v>
      </c>
      <c r="D7009" s="0" t="s">
        <v>23324</v>
      </c>
      <c r="E7009" s="0" t="s">
        <v>75</v>
      </c>
      <c r="F7009" s="0" t="s">
        <v>90</v>
      </c>
      <c r="G7009" s="0" t="s">
        <v>32</v>
      </c>
      <c r="H7009" s="0" t="n">
        <v>109</v>
      </c>
      <c r="I7009" s="0" t="s">
        <v>23331</v>
      </c>
      <c r="J7009" s="0" t="s">
        <v>23332</v>
      </c>
      <c r="K7009" s="0" t="s">
        <v>23333</v>
      </c>
      <c r="L7009" s="0" t="str">
        <f aca="false">HYPERLINK("https://www.ncbi.nlm.nih.gov/nuccore/CP000058.1?report=graph&amp;tracks=[key:gene_model_track,Options:GeneOnly]&amp;mk=2207346:2207365|offset_55|444444,2207316:2207335|offset_85|444444,2207292:2207311|offset_109|00cc00,2207272:2207291|offset_129|444444&amp;v=2207145:2207491&amp;c=444444", "offset 109")</f>
        <v>offset 109</v>
      </c>
    </row>
    <row r="7010" customFormat="false" ht="12.8" hidden="false" customHeight="false" outlineLevel="0" collapsed="false">
      <c r="A7010" s="0" t="s">
        <v>12</v>
      </c>
      <c r="B7010" s="0" t="n">
        <v>2207271</v>
      </c>
      <c r="C7010" s="0" t="n">
        <v>2207291</v>
      </c>
      <c r="D7010" s="0" t="s">
        <v>23324</v>
      </c>
      <c r="E7010" s="0" t="s">
        <v>75</v>
      </c>
      <c r="F7010" s="0" t="s">
        <v>90</v>
      </c>
      <c r="G7010" s="0" t="s">
        <v>16</v>
      </c>
      <c r="H7010" s="0" t="n">
        <v>129</v>
      </c>
      <c r="I7010" s="0" t="s">
        <v>23334</v>
      </c>
      <c r="J7010" s="0" t="s">
        <v>23335</v>
      </c>
      <c r="K7010" s="0" t="s">
        <v>23336</v>
      </c>
      <c r="L7010" s="0" t="str">
        <f aca="false">HYPERLINK("https://www.ncbi.nlm.nih.gov/nuccore/CP000058.1?report=graph&amp;tracks=[key:gene_model_track,Options:GeneOnly]&amp;mk=2207346:2207365|offset_55|444444,2207316:2207335|offset_85|444444,2207292:2207311|offset_109|444444,2207272:2207291|offset_129|00cc00&amp;v=2207145:2207491&amp;c=444444", "offset 129")</f>
        <v>offset 129</v>
      </c>
    </row>
    <row r="7011" customFormat="false" ht="12.8" hidden="false" customHeight="false" outlineLevel="0" collapsed="false">
      <c r="A7011" s="0" t="s">
        <v>12</v>
      </c>
      <c r="B7011" s="0" t="n">
        <v>2209017</v>
      </c>
      <c r="C7011" s="0" t="n">
        <v>2209037</v>
      </c>
      <c r="D7011" s="0" t="s">
        <v>23337</v>
      </c>
      <c r="E7011" s="0" t="s">
        <v>75</v>
      </c>
      <c r="F7011" s="0" t="s">
        <v>15</v>
      </c>
      <c r="G7011" s="0" t="s">
        <v>36</v>
      </c>
      <c r="H7011" s="0" t="n">
        <v>21</v>
      </c>
      <c r="I7011" s="0" t="s">
        <v>23338</v>
      </c>
      <c r="J7011" s="0" t="s">
        <v>23339</v>
      </c>
      <c r="K7011" s="0" t="s">
        <v>23340</v>
      </c>
      <c r="L7011" s="0" t="str">
        <f aca="false">HYPERLINK("https://www.ncbi.nlm.nih.gov/nuccore/CP000058.1?report=graph&amp;tracks=[key:gene_model_track,Options:GeneOnly]&amp;mk=2209018:2209037|offset_21|00cc00,2209040:2209059|offset_43|444444,2209080:2209099|offset_83|444444,2209107:2209126|offset_110|444444&amp;v=2208817:2209326&amp;c=444444", "offset 21")</f>
        <v>offset 21</v>
      </c>
    </row>
    <row r="7012" customFormat="false" ht="12.8" hidden="false" customHeight="false" outlineLevel="0" collapsed="false">
      <c r="A7012" s="0" t="s">
        <v>12</v>
      </c>
      <c r="B7012" s="0" t="n">
        <v>2209039</v>
      </c>
      <c r="C7012" s="0" t="n">
        <v>2209059</v>
      </c>
      <c r="D7012" s="0" t="s">
        <v>23337</v>
      </c>
      <c r="E7012" s="0" t="s">
        <v>75</v>
      </c>
      <c r="F7012" s="0" t="s">
        <v>15</v>
      </c>
      <c r="G7012" s="0" t="s">
        <v>32</v>
      </c>
      <c r="H7012" s="0" t="n">
        <v>43</v>
      </c>
      <c r="I7012" s="0" t="s">
        <v>23341</v>
      </c>
      <c r="J7012" s="0" t="s">
        <v>23342</v>
      </c>
      <c r="K7012" s="0" t="s">
        <v>23343</v>
      </c>
      <c r="L7012" s="0" t="str">
        <f aca="false">HYPERLINK("https://www.ncbi.nlm.nih.gov/nuccore/CP000058.1?report=graph&amp;tracks=[key:gene_model_track,Options:GeneOnly]&amp;mk=2209018:2209037|offset_21|444444,2209040:2209059|offset_43|00cc00,2209080:2209099|offset_83|444444,2209107:2209126|offset_110|444444&amp;v=2208817:2209326&amp;c=444444", "offset 43")</f>
        <v>offset 43</v>
      </c>
    </row>
    <row r="7013" customFormat="false" ht="12.8" hidden="false" customHeight="false" outlineLevel="0" collapsed="false">
      <c r="A7013" s="0" t="s">
        <v>12</v>
      </c>
      <c r="B7013" s="0" t="n">
        <v>2209079</v>
      </c>
      <c r="C7013" s="0" t="n">
        <v>2209099</v>
      </c>
      <c r="D7013" s="0" t="s">
        <v>23337</v>
      </c>
      <c r="E7013" s="0" t="s">
        <v>75</v>
      </c>
      <c r="F7013" s="0" t="s">
        <v>15</v>
      </c>
      <c r="G7013" s="0" t="s">
        <v>20</v>
      </c>
      <c r="H7013" s="0" t="n">
        <v>83</v>
      </c>
      <c r="I7013" s="0" t="s">
        <v>23344</v>
      </c>
      <c r="J7013" s="0" t="s">
        <v>23345</v>
      </c>
      <c r="K7013" s="0" t="s">
        <v>23346</v>
      </c>
      <c r="L7013" s="0" t="str">
        <f aca="false">HYPERLINK("https://www.ncbi.nlm.nih.gov/nuccore/CP000058.1?report=graph&amp;tracks=[key:gene_model_track,Options:GeneOnly]&amp;mk=2209018:2209037|offset_21|444444,2209040:2209059|offset_43|444444,2209080:2209099|offset_83|00cc00,2209107:2209126|offset_110|444444&amp;v=2208817:2209326&amp;c=444444", "offset 83")</f>
        <v>offset 83</v>
      </c>
    </row>
    <row r="7014" customFormat="false" ht="12.8" hidden="false" customHeight="false" outlineLevel="0" collapsed="false">
      <c r="A7014" s="0" t="s">
        <v>12</v>
      </c>
      <c r="B7014" s="0" t="n">
        <v>2209106</v>
      </c>
      <c r="C7014" s="0" t="n">
        <v>2209126</v>
      </c>
      <c r="D7014" s="0" t="s">
        <v>23337</v>
      </c>
      <c r="E7014" s="0" t="s">
        <v>75</v>
      </c>
      <c r="F7014" s="0" t="s">
        <v>15</v>
      </c>
      <c r="G7014" s="0" t="s">
        <v>20</v>
      </c>
      <c r="H7014" s="0" t="n">
        <v>110</v>
      </c>
      <c r="I7014" s="0" t="s">
        <v>23347</v>
      </c>
      <c r="J7014" s="0" t="s">
        <v>23348</v>
      </c>
      <c r="K7014" s="0" t="s">
        <v>23349</v>
      </c>
      <c r="L7014" s="0" t="str">
        <f aca="false">HYPERLINK("https://www.ncbi.nlm.nih.gov/nuccore/CP000058.1?report=graph&amp;tracks=[key:gene_model_track,Options:GeneOnly]&amp;mk=2209018:2209037|offset_21|444444,2209040:2209059|offset_43|444444,2209080:2209099|offset_83|444444,2209107:2209126|offset_110|00cc00&amp;v=2208817:2209326&amp;c=444444", "offset 110")</f>
        <v>offset 110</v>
      </c>
    </row>
    <row r="7015" customFormat="false" ht="12.8" hidden="false" customHeight="false" outlineLevel="0" collapsed="false">
      <c r="A7015" s="0" t="s">
        <v>12</v>
      </c>
      <c r="B7015" s="0" t="n">
        <v>2209873</v>
      </c>
      <c r="C7015" s="0" t="n">
        <v>2209893</v>
      </c>
      <c r="D7015" s="0" t="s">
        <v>23350</v>
      </c>
      <c r="E7015" s="0" t="s">
        <v>75</v>
      </c>
      <c r="F7015" s="0" t="s">
        <v>90</v>
      </c>
      <c r="G7015" s="0" t="s">
        <v>16</v>
      </c>
      <c r="H7015" s="0" t="n">
        <v>7</v>
      </c>
      <c r="I7015" s="0" t="s">
        <v>23351</v>
      </c>
      <c r="J7015" s="0" t="s">
        <v>23352</v>
      </c>
      <c r="K7015" s="0" t="s">
        <v>23353</v>
      </c>
      <c r="L7015" s="0" t="str">
        <f aca="false">HYPERLINK("https://www.ncbi.nlm.nih.gov/nuccore/CP000058.1?report=graph&amp;tracks=[key:gene_model_track,Options:GeneOnly]&amp;mk=2209874:2209893|offset_7|00cc00,2209843:2209862|offset_38|444444,2209804:2209823|offset_77|444444,2209772:2209791|offset_109|444444&amp;v=2209673:2209991&amp;c=444444", "offset 7")</f>
        <v>offset 7</v>
      </c>
    </row>
    <row r="7016" customFormat="false" ht="12.8" hidden="false" customHeight="false" outlineLevel="0" collapsed="false">
      <c r="A7016" s="0" t="s">
        <v>12</v>
      </c>
      <c r="B7016" s="0" t="n">
        <v>2209842</v>
      </c>
      <c r="C7016" s="0" t="n">
        <v>2209862</v>
      </c>
      <c r="D7016" s="0" t="s">
        <v>23350</v>
      </c>
      <c r="E7016" s="0" t="s">
        <v>75</v>
      </c>
      <c r="F7016" s="0" t="s">
        <v>90</v>
      </c>
      <c r="G7016" s="0" t="s">
        <v>32</v>
      </c>
      <c r="H7016" s="0" t="n">
        <v>38</v>
      </c>
      <c r="I7016" s="0" t="s">
        <v>23354</v>
      </c>
      <c r="J7016" s="0" t="s">
        <v>23355</v>
      </c>
      <c r="K7016" s="0" t="s">
        <v>23356</v>
      </c>
      <c r="L7016" s="0" t="str">
        <f aca="false">HYPERLINK("https://www.ncbi.nlm.nih.gov/nuccore/CP000058.1?report=graph&amp;tracks=[key:gene_model_track,Options:GeneOnly]&amp;mk=2209874:2209893|offset_7|444444,2209843:2209862|offset_38|00cc00,2209804:2209823|offset_77|444444,2209772:2209791|offset_109|444444&amp;v=2209673:2209991&amp;c=444444", "offset 38")</f>
        <v>offset 38</v>
      </c>
    </row>
    <row r="7017" customFormat="false" ht="12.8" hidden="false" customHeight="false" outlineLevel="0" collapsed="false">
      <c r="A7017" s="0" t="s">
        <v>12</v>
      </c>
      <c r="B7017" s="0" t="n">
        <v>2209803</v>
      </c>
      <c r="C7017" s="0" t="n">
        <v>2209823</v>
      </c>
      <c r="D7017" s="0" t="s">
        <v>23350</v>
      </c>
      <c r="E7017" s="0" t="s">
        <v>75</v>
      </c>
      <c r="F7017" s="0" t="s">
        <v>90</v>
      </c>
      <c r="G7017" s="0" t="s">
        <v>16</v>
      </c>
      <c r="H7017" s="0" t="n">
        <v>77</v>
      </c>
      <c r="I7017" s="0" t="s">
        <v>23357</v>
      </c>
      <c r="J7017" s="0" t="s">
        <v>23358</v>
      </c>
      <c r="K7017" s="0" t="s">
        <v>23359</v>
      </c>
      <c r="L7017" s="0" t="str">
        <f aca="false">HYPERLINK("https://www.ncbi.nlm.nih.gov/nuccore/CP000058.1?report=graph&amp;tracks=[key:gene_model_track,Options:GeneOnly]&amp;mk=2209874:2209893|offset_7|444444,2209843:2209862|offset_38|444444,2209804:2209823|offset_77|00cc00,2209772:2209791|offset_109|444444&amp;v=2209673:2209991&amp;c=444444", "offset 77")</f>
        <v>offset 77</v>
      </c>
    </row>
    <row r="7018" customFormat="false" ht="12.8" hidden="false" customHeight="false" outlineLevel="0" collapsed="false">
      <c r="A7018" s="0" t="s">
        <v>12</v>
      </c>
      <c r="B7018" s="0" t="n">
        <v>2209771</v>
      </c>
      <c r="C7018" s="0" t="n">
        <v>2209791</v>
      </c>
      <c r="D7018" s="0" t="s">
        <v>23350</v>
      </c>
      <c r="E7018" s="0" t="s">
        <v>75</v>
      </c>
      <c r="F7018" s="0" t="s">
        <v>90</v>
      </c>
      <c r="G7018" s="0" t="s">
        <v>16</v>
      </c>
      <c r="H7018" s="0" t="n">
        <v>109</v>
      </c>
      <c r="I7018" s="0" t="s">
        <v>23360</v>
      </c>
      <c r="J7018" s="0" t="s">
        <v>23361</v>
      </c>
      <c r="K7018" s="0" t="s">
        <v>23362</v>
      </c>
      <c r="L7018" s="0" t="str">
        <f aca="false">HYPERLINK("https://www.ncbi.nlm.nih.gov/nuccore/CP000058.1?report=graph&amp;tracks=[key:gene_model_track,Options:GeneOnly]&amp;mk=2209874:2209893|offset_7|444444,2209843:2209862|offset_38|444444,2209804:2209823|offset_77|444444,2209772:2209791|offset_109|00cc00&amp;v=2209673:2209991&amp;c=444444", "offset 109")</f>
        <v>offset 109</v>
      </c>
    </row>
    <row r="7019" customFormat="false" ht="12.8" hidden="false" customHeight="false" outlineLevel="0" collapsed="false">
      <c r="A7019" s="0" t="s">
        <v>12</v>
      </c>
      <c r="B7019" s="0" t="n">
        <v>2212200</v>
      </c>
      <c r="C7019" s="0" t="n">
        <v>2212220</v>
      </c>
      <c r="D7019" s="0" t="s">
        <v>23363</v>
      </c>
      <c r="E7019" s="0" t="s">
        <v>75</v>
      </c>
      <c r="F7019" s="0" t="s">
        <v>90</v>
      </c>
      <c r="G7019" s="0" t="s">
        <v>16</v>
      </c>
      <c r="H7019" s="0" t="n">
        <v>13</v>
      </c>
      <c r="I7019" s="0" t="s">
        <v>23364</v>
      </c>
      <c r="J7019" s="0" t="s">
        <v>23365</v>
      </c>
      <c r="K7019" s="0" t="s">
        <v>23366</v>
      </c>
      <c r="L7019" s="0" t="str">
        <f aca="false">HYPERLINK("https://www.ncbi.nlm.nih.gov/nuccore/CP000058.1?report=graph&amp;tracks=[key:gene_model_track,Options:GeneOnly]&amp;mk=2212201:2212220|offset_13|00cc00,2212179:2212198|offset_35|444444,2212150:2212169|offset_64|444444,2212089:2212108|offset_125|444444&amp;v=2212000:2212308&amp;c=444444", "offset 13")</f>
        <v>offset 13</v>
      </c>
    </row>
    <row r="7020" customFormat="false" ht="12.8" hidden="false" customHeight="false" outlineLevel="0" collapsed="false">
      <c r="A7020" s="0" t="s">
        <v>12</v>
      </c>
      <c r="B7020" s="0" t="n">
        <v>2212178</v>
      </c>
      <c r="C7020" s="0" t="n">
        <v>2212198</v>
      </c>
      <c r="D7020" s="0" t="s">
        <v>23363</v>
      </c>
      <c r="E7020" s="0" t="s">
        <v>75</v>
      </c>
      <c r="F7020" s="0" t="s">
        <v>90</v>
      </c>
      <c r="G7020" s="0" t="s">
        <v>20</v>
      </c>
      <c r="H7020" s="0" t="n">
        <v>35</v>
      </c>
      <c r="I7020" s="0" t="s">
        <v>23367</v>
      </c>
      <c r="J7020" s="0" t="s">
        <v>23368</v>
      </c>
      <c r="K7020" s="0" t="s">
        <v>23369</v>
      </c>
      <c r="L7020" s="0" t="str">
        <f aca="false">HYPERLINK("https://www.ncbi.nlm.nih.gov/nuccore/CP000058.1?report=graph&amp;tracks=[key:gene_model_track,Options:GeneOnly]&amp;mk=2212201:2212220|offset_13|444444,2212179:2212198|offset_35|00cc00,2212150:2212169|offset_64|444444,2212089:2212108|offset_125|444444&amp;v=2212000:2212308&amp;c=444444", "offset 35")</f>
        <v>offset 35</v>
      </c>
    </row>
    <row r="7021" customFormat="false" ht="12.8" hidden="false" customHeight="false" outlineLevel="0" collapsed="false">
      <c r="A7021" s="0" t="s">
        <v>12</v>
      </c>
      <c r="B7021" s="0" t="n">
        <v>2212149</v>
      </c>
      <c r="C7021" s="0" t="n">
        <v>2212169</v>
      </c>
      <c r="D7021" s="0" t="s">
        <v>23363</v>
      </c>
      <c r="E7021" s="0" t="s">
        <v>75</v>
      </c>
      <c r="F7021" s="0" t="s">
        <v>90</v>
      </c>
      <c r="G7021" s="0" t="s">
        <v>32</v>
      </c>
      <c r="H7021" s="0" t="n">
        <v>64</v>
      </c>
      <c r="I7021" s="0" t="s">
        <v>23370</v>
      </c>
      <c r="J7021" s="0" t="s">
        <v>23371</v>
      </c>
      <c r="K7021" s="0" t="s">
        <v>23372</v>
      </c>
      <c r="L7021" s="0" t="str">
        <f aca="false">HYPERLINK("https://www.ncbi.nlm.nih.gov/nuccore/CP000058.1?report=graph&amp;tracks=[key:gene_model_track,Options:GeneOnly]&amp;mk=2212201:2212220|offset_13|444444,2212179:2212198|offset_35|444444,2212150:2212169|offset_64|00cc00,2212089:2212108|offset_125|444444&amp;v=2212000:2212308&amp;c=444444", "offset 64")</f>
        <v>offset 64</v>
      </c>
    </row>
    <row r="7022" customFormat="false" ht="12.8" hidden="false" customHeight="false" outlineLevel="0" collapsed="false">
      <c r="A7022" s="0" t="s">
        <v>12</v>
      </c>
      <c r="B7022" s="0" t="n">
        <v>2212088</v>
      </c>
      <c r="C7022" s="0" t="n">
        <v>2212108</v>
      </c>
      <c r="D7022" s="0" t="s">
        <v>23363</v>
      </c>
      <c r="E7022" s="0" t="s">
        <v>75</v>
      </c>
      <c r="F7022" s="0" t="s">
        <v>90</v>
      </c>
      <c r="G7022" s="0" t="s">
        <v>32</v>
      </c>
      <c r="H7022" s="0" t="n">
        <v>125</v>
      </c>
      <c r="I7022" s="0" t="s">
        <v>23373</v>
      </c>
      <c r="J7022" s="0" t="s">
        <v>23374</v>
      </c>
      <c r="K7022" s="0" t="s">
        <v>23375</v>
      </c>
      <c r="L7022" s="0" t="str">
        <f aca="false">HYPERLINK("https://www.ncbi.nlm.nih.gov/nuccore/CP000058.1?report=graph&amp;tracks=[key:gene_model_track,Options:GeneOnly]&amp;mk=2212201:2212220|offset_13|444444,2212179:2212198|offset_35|444444,2212150:2212169|offset_64|444444,2212089:2212108|offset_125|00cc00&amp;v=2212000:2212308&amp;c=444444", "offset 125")</f>
        <v>offset 125</v>
      </c>
    </row>
    <row r="7023" customFormat="false" ht="12.8" hidden="false" customHeight="false" outlineLevel="0" collapsed="false">
      <c r="A7023" s="0" t="s">
        <v>12</v>
      </c>
      <c r="B7023" s="0" t="n">
        <v>2212829</v>
      </c>
      <c r="C7023" s="0" t="n">
        <v>2212849</v>
      </c>
      <c r="D7023" s="0" t="s">
        <v>23376</v>
      </c>
      <c r="E7023" s="0" t="s">
        <v>75</v>
      </c>
      <c r="F7023" s="0" t="s">
        <v>90</v>
      </c>
      <c r="G7023" s="0" t="s">
        <v>36</v>
      </c>
      <c r="H7023" s="0" t="n">
        <v>49</v>
      </c>
      <c r="I7023" s="0" t="s">
        <v>23377</v>
      </c>
      <c r="J7023" s="0" t="s">
        <v>23378</v>
      </c>
      <c r="K7023" s="0" t="s">
        <v>23379</v>
      </c>
      <c r="L7023" s="0" t="str">
        <f aca="false">HYPERLINK("https://www.ncbi.nlm.nih.gov/nuccore/CP000058.1?report=graph&amp;tracks=[key:gene_model_track,Options:GeneOnly]&amp;mk=2212830:2212849|offset_49|00cc00,2212795:2212814|offset_84|444444,2212775:2212794|offset_104|444444,2212752:2212771|offset_127|444444&amp;v=2212629:2212971&amp;c=444444", "offset 49")</f>
        <v>offset 49</v>
      </c>
    </row>
    <row r="7024" customFormat="false" ht="12.8" hidden="false" customHeight="false" outlineLevel="0" collapsed="false">
      <c r="A7024" s="0" t="s">
        <v>12</v>
      </c>
      <c r="B7024" s="0" t="n">
        <v>2212794</v>
      </c>
      <c r="C7024" s="0" t="n">
        <v>2212814</v>
      </c>
      <c r="D7024" s="0" t="s">
        <v>23376</v>
      </c>
      <c r="E7024" s="0" t="s">
        <v>75</v>
      </c>
      <c r="F7024" s="0" t="s">
        <v>90</v>
      </c>
      <c r="G7024" s="0" t="s">
        <v>16</v>
      </c>
      <c r="H7024" s="0" t="n">
        <v>84</v>
      </c>
      <c r="I7024" s="0" t="s">
        <v>23380</v>
      </c>
      <c r="J7024" s="0" t="s">
        <v>23381</v>
      </c>
      <c r="K7024" s="0" t="s">
        <v>23382</v>
      </c>
      <c r="L7024" s="0" t="str">
        <f aca="false">HYPERLINK("https://www.ncbi.nlm.nih.gov/nuccore/CP000058.1?report=graph&amp;tracks=[key:gene_model_track,Options:GeneOnly]&amp;mk=2212830:2212849|offset_49|444444,2212795:2212814|offset_84|00cc00,2212775:2212794|offset_104|444444,2212752:2212771|offset_127|444444&amp;v=2212629:2212971&amp;c=444444", "offset 84")</f>
        <v>offset 84</v>
      </c>
    </row>
    <row r="7025" customFormat="false" ht="12.8" hidden="false" customHeight="false" outlineLevel="0" collapsed="false">
      <c r="A7025" s="0" t="s">
        <v>12</v>
      </c>
      <c r="B7025" s="0" t="n">
        <v>2212774</v>
      </c>
      <c r="C7025" s="0" t="n">
        <v>2212794</v>
      </c>
      <c r="D7025" s="0" t="s">
        <v>23376</v>
      </c>
      <c r="E7025" s="0" t="s">
        <v>75</v>
      </c>
      <c r="F7025" s="0" t="s">
        <v>90</v>
      </c>
      <c r="G7025" s="0" t="s">
        <v>32</v>
      </c>
      <c r="H7025" s="0" t="n">
        <v>104</v>
      </c>
      <c r="I7025" s="0" t="s">
        <v>23383</v>
      </c>
      <c r="J7025" s="0" t="s">
        <v>23384</v>
      </c>
      <c r="K7025" s="0" t="s">
        <v>23385</v>
      </c>
      <c r="L7025" s="0" t="str">
        <f aca="false">HYPERLINK("https://www.ncbi.nlm.nih.gov/nuccore/CP000058.1?report=graph&amp;tracks=[key:gene_model_track,Options:GeneOnly]&amp;mk=2212830:2212849|offset_49|444444,2212795:2212814|offset_84|444444,2212775:2212794|offset_104|00cc00,2212752:2212771|offset_127|444444&amp;v=2212629:2212971&amp;c=444444", "offset 104")</f>
        <v>offset 104</v>
      </c>
    </row>
    <row r="7026" customFormat="false" ht="12.8" hidden="false" customHeight="false" outlineLevel="0" collapsed="false">
      <c r="A7026" s="0" t="s">
        <v>12</v>
      </c>
      <c r="B7026" s="0" t="n">
        <v>2212751</v>
      </c>
      <c r="C7026" s="0" t="n">
        <v>2212771</v>
      </c>
      <c r="D7026" s="0" t="s">
        <v>23376</v>
      </c>
      <c r="E7026" s="0" t="s">
        <v>75</v>
      </c>
      <c r="F7026" s="0" t="s">
        <v>90</v>
      </c>
      <c r="G7026" s="0" t="s">
        <v>32</v>
      </c>
      <c r="H7026" s="0" t="n">
        <v>127</v>
      </c>
      <c r="I7026" s="0" t="s">
        <v>23386</v>
      </c>
      <c r="J7026" s="0" t="s">
        <v>23387</v>
      </c>
      <c r="K7026" s="0" t="s">
        <v>23388</v>
      </c>
      <c r="L7026" s="0" t="str">
        <f aca="false">HYPERLINK("https://www.ncbi.nlm.nih.gov/nuccore/CP000058.1?report=graph&amp;tracks=[key:gene_model_track,Options:GeneOnly]&amp;mk=2212830:2212849|offset_49|444444,2212795:2212814|offset_84|444444,2212775:2212794|offset_104|444444,2212752:2212771|offset_127|00cc00&amp;v=2212629:2212971&amp;c=444444", "offset 127")</f>
        <v>offset 127</v>
      </c>
    </row>
    <row r="7027" customFormat="false" ht="12.8" hidden="false" customHeight="false" outlineLevel="0" collapsed="false">
      <c r="A7027" s="0" t="s">
        <v>12</v>
      </c>
      <c r="B7027" s="0" t="n">
        <v>2213923</v>
      </c>
      <c r="C7027" s="0" t="n">
        <v>2213943</v>
      </c>
      <c r="D7027" s="0" t="s">
        <v>23389</v>
      </c>
      <c r="E7027" s="0" t="s">
        <v>75</v>
      </c>
      <c r="F7027" s="0" t="s">
        <v>90</v>
      </c>
      <c r="G7027" s="0" t="s">
        <v>32</v>
      </c>
      <c r="H7027" s="0" t="n">
        <v>1</v>
      </c>
      <c r="I7027" s="0" t="s">
        <v>23390</v>
      </c>
      <c r="J7027" s="0" t="s">
        <v>23391</v>
      </c>
      <c r="K7027" s="0" t="s">
        <v>23392</v>
      </c>
      <c r="L7027" s="0" t="str">
        <f aca="false">HYPERLINK("https://www.ncbi.nlm.nih.gov/nuccore/CP000058.1?report=graph&amp;tracks=[key:gene_model_track,Options:GeneOnly]&amp;mk=2213924:2213943|offset_1|00cc00,2213897:2213916|offset_28|444444,2213875:2213894|offset_50|444444,2213831:2213850|offset_94|444444&amp;v=2213723:2214050&amp;c=444444", "offset 1")</f>
        <v>offset 1</v>
      </c>
    </row>
    <row r="7028" customFormat="false" ht="12.8" hidden="false" customHeight="false" outlineLevel="0" collapsed="false">
      <c r="A7028" s="0" t="s">
        <v>12</v>
      </c>
      <c r="B7028" s="0" t="n">
        <v>2213896</v>
      </c>
      <c r="C7028" s="0" t="n">
        <v>2213916</v>
      </c>
      <c r="D7028" s="0" t="s">
        <v>23389</v>
      </c>
      <c r="E7028" s="0" t="s">
        <v>75</v>
      </c>
      <c r="F7028" s="0" t="s">
        <v>90</v>
      </c>
      <c r="G7028" s="0" t="s">
        <v>20</v>
      </c>
      <c r="H7028" s="0" t="n">
        <v>28</v>
      </c>
      <c r="I7028" s="0" t="s">
        <v>23393</v>
      </c>
      <c r="J7028" s="0" t="s">
        <v>23394</v>
      </c>
      <c r="K7028" s="0" t="s">
        <v>23395</v>
      </c>
      <c r="L7028" s="0" t="str">
        <f aca="false">HYPERLINK("https://www.ncbi.nlm.nih.gov/nuccore/CP000058.1?report=graph&amp;tracks=[key:gene_model_track,Options:GeneOnly]&amp;mk=2213924:2213943|offset_1|444444,2213897:2213916|offset_28|00cc00,2213875:2213894|offset_50|444444,2213831:2213850|offset_94|444444&amp;v=2213723:2214050&amp;c=444444", "offset 28")</f>
        <v>offset 28</v>
      </c>
    </row>
    <row r="7029" customFormat="false" ht="12.8" hidden="false" customHeight="false" outlineLevel="0" collapsed="false">
      <c r="A7029" s="0" t="s">
        <v>12</v>
      </c>
      <c r="B7029" s="0" t="n">
        <v>2213874</v>
      </c>
      <c r="C7029" s="0" t="n">
        <v>2213894</v>
      </c>
      <c r="D7029" s="0" t="s">
        <v>23389</v>
      </c>
      <c r="E7029" s="0" t="s">
        <v>75</v>
      </c>
      <c r="F7029" s="0" t="s">
        <v>90</v>
      </c>
      <c r="G7029" s="0" t="s">
        <v>32</v>
      </c>
      <c r="H7029" s="0" t="n">
        <v>50</v>
      </c>
      <c r="I7029" s="0" t="s">
        <v>23396</v>
      </c>
      <c r="J7029" s="0" t="s">
        <v>23397</v>
      </c>
      <c r="K7029" s="0" t="s">
        <v>23398</v>
      </c>
      <c r="L7029" s="0" t="str">
        <f aca="false">HYPERLINK("https://www.ncbi.nlm.nih.gov/nuccore/CP000058.1?report=graph&amp;tracks=[key:gene_model_track,Options:GeneOnly]&amp;mk=2213924:2213943|offset_1|444444,2213897:2213916|offset_28|444444,2213875:2213894|offset_50|00cc00,2213831:2213850|offset_94|444444&amp;v=2213723:2214050&amp;c=444444", "offset 50")</f>
        <v>offset 50</v>
      </c>
    </row>
    <row r="7030" customFormat="false" ht="12.8" hidden="false" customHeight="false" outlineLevel="0" collapsed="false">
      <c r="A7030" s="0" t="s">
        <v>12</v>
      </c>
      <c r="B7030" s="0" t="n">
        <v>2213830</v>
      </c>
      <c r="C7030" s="0" t="n">
        <v>2213850</v>
      </c>
      <c r="D7030" s="0" t="s">
        <v>23389</v>
      </c>
      <c r="E7030" s="0" t="s">
        <v>75</v>
      </c>
      <c r="F7030" s="0" t="s">
        <v>90</v>
      </c>
      <c r="G7030" s="0" t="s">
        <v>32</v>
      </c>
      <c r="H7030" s="0" t="n">
        <v>94</v>
      </c>
      <c r="I7030" s="0" t="s">
        <v>23399</v>
      </c>
      <c r="J7030" s="0" t="s">
        <v>23400</v>
      </c>
      <c r="K7030" s="0" t="s">
        <v>23401</v>
      </c>
      <c r="L7030" s="0" t="str">
        <f aca="false">HYPERLINK("https://www.ncbi.nlm.nih.gov/nuccore/CP000058.1?report=graph&amp;tracks=[key:gene_model_track,Options:GeneOnly]&amp;mk=2213924:2213943|offset_1|444444,2213897:2213916|offset_28|444444,2213875:2213894|offset_50|444444,2213831:2213850|offset_94|00cc00&amp;v=2213723:2214050&amp;c=444444", "offset 94")</f>
        <v>offset 94</v>
      </c>
    </row>
    <row r="7031" customFormat="false" ht="12.8" hidden="false" customHeight="false" outlineLevel="0" collapsed="false">
      <c r="A7031" s="0" t="s">
        <v>12</v>
      </c>
      <c r="B7031" s="0" t="n">
        <v>2214291</v>
      </c>
      <c r="C7031" s="0" t="n">
        <v>2214311</v>
      </c>
      <c r="D7031" s="0" t="s">
        <v>23402</v>
      </c>
      <c r="E7031" s="0" t="s">
        <v>75</v>
      </c>
      <c r="F7031" s="0" t="s">
        <v>15</v>
      </c>
      <c r="G7031" s="0" t="s">
        <v>16</v>
      </c>
      <c r="H7031" s="0" t="n">
        <v>19</v>
      </c>
      <c r="I7031" s="0" t="s">
        <v>23403</v>
      </c>
      <c r="J7031" s="0" t="s">
        <v>23404</v>
      </c>
      <c r="K7031" s="0" t="s">
        <v>23405</v>
      </c>
      <c r="L7031" s="0" t="str">
        <f aca="false">HYPERLINK("https://www.ncbi.nlm.nih.gov/nuccore/CP000058.1?report=graph&amp;tracks=[key:gene_model_track,Options:GeneOnly]&amp;mk=2214292:2214311|offset_19|00cc00,2214324:2214343|offset_51|444444,2214348:2214367|offset_75|444444,2214376:2214395|offset_103|444444&amp;v=2214091:2214595&amp;c=444444", "offset 19")</f>
        <v>offset 19</v>
      </c>
    </row>
    <row r="7032" customFormat="false" ht="12.8" hidden="false" customHeight="false" outlineLevel="0" collapsed="false">
      <c r="A7032" s="0" t="s">
        <v>12</v>
      </c>
      <c r="B7032" s="0" t="n">
        <v>2214323</v>
      </c>
      <c r="C7032" s="0" t="n">
        <v>2214343</v>
      </c>
      <c r="D7032" s="0" t="s">
        <v>23402</v>
      </c>
      <c r="E7032" s="0" t="s">
        <v>75</v>
      </c>
      <c r="F7032" s="0" t="s">
        <v>15</v>
      </c>
      <c r="G7032" s="0" t="s">
        <v>16</v>
      </c>
      <c r="H7032" s="0" t="n">
        <v>51</v>
      </c>
      <c r="I7032" s="0" t="s">
        <v>23406</v>
      </c>
      <c r="J7032" s="0" t="s">
        <v>23407</v>
      </c>
      <c r="K7032" s="0" t="s">
        <v>23408</v>
      </c>
      <c r="L7032" s="0" t="str">
        <f aca="false">HYPERLINK("https://www.ncbi.nlm.nih.gov/nuccore/CP000058.1?report=graph&amp;tracks=[key:gene_model_track,Options:GeneOnly]&amp;mk=2214292:2214311|offset_19|444444,2214324:2214343|offset_51|00cc00,2214348:2214367|offset_75|444444,2214376:2214395|offset_103|444444&amp;v=2214091:2214595&amp;c=444444", "offset 51")</f>
        <v>offset 51</v>
      </c>
    </row>
    <row r="7033" customFormat="false" ht="12.8" hidden="false" customHeight="false" outlineLevel="0" collapsed="false">
      <c r="A7033" s="0" t="s">
        <v>12</v>
      </c>
      <c r="B7033" s="0" t="n">
        <v>2214347</v>
      </c>
      <c r="C7033" s="0" t="n">
        <v>2214367</v>
      </c>
      <c r="D7033" s="0" t="s">
        <v>23402</v>
      </c>
      <c r="E7033" s="0" t="s">
        <v>75</v>
      </c>
      <c r="F7033" s="0" t="s">
        <v>15</v>
      </c>
      <c r="G7033" s="0" t="s">
        <v>16</v>
      </c>
      <c r="H7033" s="0" t="n">
        <v>75</v>
      </c>
      <c r="I7033" s="0" t="s">
        <v>23409</v>
      </c>
      <c r="J7033" s="0" t="s">
        <v>23410</v>
      </c>
      <c r="K7033" s="0" t="s">
        <v>23411</v>
      </c>
      <c r="L7033" s="0" t="str">
        <f aca="false">HYPERLINK("https://www.ncbi.nlm.nih.gov/nuccore/CP000058.1?report=graph&amp;tracks=[key:gene_model_track,Options:GeneOnly]&amp;mk=2214292:2214311|offset_19|444444,2214324:2214343|offset_51|444444,2214348:2214367|offset_75|00cc00,2214376:2214395|offset_103|444444&amp;v=2214091:2214595&amp;c=444444", "offset 75")</f>
        <v>offset 75</v>
      </c>
    </row>
    <row r="7034" customFormat="false" ht="12.8" hidden="false" customHeight="false" outlineLevel="0" collapsed="false">
      <c r="A7034" s="0" t="s">
        <v>12</v>
      </c>
      <c r="B7034" s="0" t="n">
        <v>2214375</v>
      </c>
      <c r="C7034" s="0" t="n">
        <v>2214395</v>
      </c>
      <c r="D7034" s="0" t="s">
        <v>23402</v>
      </c>
      <c r="E7034" s="0" t="s">
        <v>75</v>
      </c>
      <c r="F7034" s="0" t="s">
        <v>15</v>
      </c>
      <c r="G7034" s="0" t="s">
        <v>16</v>
      </c>
      <c r="H7034" s="0" t="n">
        <v>103</v>
      </c>
      <c r="I7034" s="0" t="s">
        <v>23412</v>
      </c>
      <c r="J7034" s="0" t="s">
        <v>23413</v>
      </c>
      <c r="K7034" s="0" t="s">
        <v>23414</v>
      </c>
      <c r="L7034" s="0" t="str">
        <f aca="false">HYPERLINK("https://www.ncbi.nlm.nih.gov/nuccore/CP000058.1?report=graph&amp;tracks=[key:gene_model_track,Options:GeneOnly]&amp;mk=2214292:2214311|offset_19|444444,2214324:2214343|offset_51|444444,2214348:2214367|offset_75|444444,2214376:2214395|offset_103|00cc00&amp;v=2214091:2214595&amp;c=444444", "offset 103")</f>
        <v>offset 103</v>
      </c>
    </row>
    <row r="7035" customFormat="false" ht="12.8" hidden="false" customHeight="false" outlineLevel="0" collapsed="false">
      <c r="A7035" s="0" t="s">
        <v>12</v>
      </c>
      <c r="B7035" s="0" t="n">
        <v>2215385</v>
      </c>
      <c r="C7035" s="0" t="n">
        <v>2215405</v>
      </c>
      <c r="D7035" s="0" t="s">
        <v>23415</v>
      </c>
      <c r="E7035" s="0" t="s">
        <v>75</v>
      </c>
      <c r="F7035" s="0" t="s">
        <v>90</v>
      </c>
      <c r="G7035" s="0" t="s">
        <v>32</v>
      </c>
      <c r="H7035" s="0" t="n">
        <v>1</v>
      </c>
      <c r="I7035" s="0" t="s">
        <v>23416</v>
      </c>
      <c r="J7035" s="0" t="s">
        <v>23417</v>
      </c>
      <c r="K7035" s="0" t="s">
        <v>23418</v>
      </c>
      <c r="L7035" s="0" t="str">
        <f aca="false">HYPERLINK("https://www.ncbi.nlm.nih.gov/nuccore/CP000058.1?report=graph&amp;tracks=[key:gene_model_track,Options:GeneOnly]&amp;mk=2215386:2215405|offset_1|00cc00,2215348:2215367|offset_39|444444,2215280:2215299|offset_107|444444,2215248:2215267|offset_139|444444&amp;v=2215185:2215467&amp;c=444444", "offset 1")</f>
        <v>offset 1</v>
      </c>
    </row>
    <row r="7036" customFormat="false" ht="12.8" hidden="false" customHeight="false" outlineLevel="0" collapsed="false">
      <c r="A7036" s="0" t="s">
        <v>12</v>
      </c>
      <c r="B7036" s="0" t="n">
        <v>2215347</v>
      </c>
      <c r="C7036" s="0" t="n">
        <v>2215367</v>
      </c>
      <c r="D7036" s="0" t="s">
        <v>23415</v>
      </c>
      <c r="E7036" s="0" t="s">
        <v>75</v>
      </c>
      <c r="F7036" s="0" t="s">
        <v>90</v>
      </c>
      <c r="G7036" s="0" t="s">
        <v>32</v>
      </c>
      <c r="H7036" s="0" t="n">
        <v>39</v>
      </c>
      <c r="I7036" s="0" t="s">
        <v>23419</v>
      </c>
      <c r="J7036" s="0" t="s">
        <v>23420</v>
      </c>
      <c r="K7036" s="0" t="s">
        <v>23421</v>
      </c>
      <c r="L7036" s="0" t="str">
        <f aca="false">HYPERLINK("https://www.ncbi.nlm.nih.gov/nuccore/CP000058.1?report=graph&amp;tracks=[key:gene_model_track,Options:GeneOnly]&amp;mk=2215386:2215405|offset_1|444444,2215348:2215367|offset_39|00cc00,2215280:2215299|offset_107|444444,2215248:2215267|offset_139|444444&amp;v=2215185:2215467&amp;c=444444", "offset 39")</f>
        <v>offset 39</v>
      </c>
    </row>
    <row r="7037" customFormat="false" ht="12.8" hidden="false" customHeight="false" outlineLevel="0" collapsed="false">
      <c r="A7037" s="0" t="s">
        <v>12</v>
      </c>
      <c r="B7037" s="0" t="n">
        <v>2215279</v>
      </c>
      <c r="C7037" s="0" t="n">
        <v>2215299</v>
      </c>
      <c r="D7037" s="0" t="s">
        <v>23415</v>
      </c>
      <c r="E7037" s="0" t="s">
        <v>75</v>
      </c>
      <c r="F7037" s="0" t="s">
        <v>90</v>
      </c>
      <c r="G7037" s="0" t="s">
        <v>16</v>
      </c>
      <c r="H7037" s="0" t="n">
        <v>107</v>
      </c>
      <c r="I7037" s="0" t="s">
        <v>23422</v>
      </c>
      <c r="J7037" s="0" t="s">
        <v>23423</v>
      </c>
      <c r="K7037" s="0" t="s">
        <v>23424</v>
      </c>
      <c r="L7037" s="0" t="str">
        <f aca="false">HYPERLINK("https://www.ncbi.nlm.nih.gov/nuccore/CP000058.1?report=graph&amp;tracks=[key:gene_model_track,Options:GeneOnly]&amp;mk=2215386:2215405|offset_1|444444,2215348:2215367|offset_39|444444,2215280:2215299|offset_107|00cc00,2215248:2215267|offset_139|444444&amp;v=2215185:2215467&amp;c=444444", "offset 107")</f>
        <v>offset 107</v>
      </c>
    </row>
    <row r="7038" customFormat="false" ht="12.8" hidden="false" customHeight="false" outlineLevel="0" collapsed="false">
      <c r="A7038" s="0" t="s">
        <v>12</v>
      </c>
      <c r="B7038" s="0" t="n">
        <v>2215247</v>
      </c>
      <c r="C7038" s="0" t="n">
        <v>2215267</v>
      </c>
      <c r="D7038" s="0" t="s">
        <v>23415</v>
      </c>
      <c r="E7038" s="0" t="s">
        <v>75</v>
      </c>
      <c r="F7038" s="0" t="s">
        <v>90</v>
      </c>
      <c r="G7038" s="0" t="s">
        <v>20</v>
      </c>
      <c r="H7038" s="0" t="n">
        <v>139</v>
      </c>
      <c r="I7038" s="0" t="s">
        <v>23425</v>
      </c>
      <c r="J7038" s="0" t="s">
        <v>23426</v>
      </c>
      <c r="K7038" s="0" t="s">
        <v>23427</v>
      </c>
      <c r="L7038" s="0" t="str">
        <f aca="false">HYPERLINK("https://www.ncbi.nlm.nih.gov/nuccore/CP000058.1?report=graph&amp;tracks=[key:gene_model_track,Options:GeneOnly]&amp;mk=2215386:2215405|offset_1|444444,2215348:2215367|offset_39|444444,2215280:2215299|offset_107|444444,2215248:2215267|offset_139|00cc00&amp;v=2215185:2215467&amp;c=444444", "offset 139")</f>
        <v>offset 139</v>
      </c>
    </row>
    <row r="7039" customFormat="false" ht="12.8" hidden="false" customHeight="false" outlineLevel="0" collapsed="false">
      <c r="A7039" s="0" t="s">
        <v>12</v>
      </c>
      <c r="B7039" s="0" t="n">
        <v>2215735</v>
      </c>
      <c r="C7039" s="0" t="n">
        <v>2215755</v>
      </c>
      <c r="D7039" s="0" t="s">
        <v>23428</v>
      </c>
      <c r="E7039" s="0" t="s">
        <v>75</v>
      </c>
      <c r="F7039" s="0" t="s">
        <v>15</v>
      </c>
      <c r="G7039" s="0" t="s">
        <v>16</v>
      </c>
      <c r="H7039" s="0" t="n">
        <v>1</v>
      </c>
      <c r="I7039" s="0" t="s">
        <v>23429</v>
      </c>
      <c r="J7039" s="0" t="s">
        <v>23430</v>
      </c>
      <c r="K7039" s="0" t="s">
        <v>23431</v>
      </c>
      <c r="L7039" s="0" t="str">
        <f aca="false">HYPERLINK("https://www.ncbi.nlm.nih.gov/nuccore/CP000058.1?report=graph&amp;tracks=[key:gene_model_track,Options:GeneOnly]&amp;mk=2215736:2215755|offset_1|00cc00,2215758:2215777|offset_23|444444,2215794:2215813|offset_59|444444,2215834:2215853|offset_99|444444&amp;v=2215535:2216053&amp;c=444444", "offset 1")</f>
        <v>offset 1</v>
      </c>
    </row>
    <row r="7040" customFormat="false" ht="12.8" hidden="false" customHeight="false" outlineLevel="0" collapsed="false">
      <c r="A7040" s="0" t="s">
        <v>12</v>
      </c>
      <c r="B7040" s="0" t="n">
        <v>2215757</v>
      </c>
      <c r="C7040" s="0" t="n">
        <v>2215777</v>
      </c>
      <c r="D7040" s="0" t="s">
        <v>23428</v>
      </c>
      <c r="E7040" s="0" t="s">
        <v>75</v>
      </c>
      <c r="F7040" s="0" t="s">
        <v>15</v>
      </c>
      <c r="G7040" s="0" t="s">
        <v>20</v>
      </c>
      <c r="H7040" s="0" t="n">
        <v>23</v>
      </c>
      <c r="I7040" s="0" t="s">
        <v>23432</v>
      </c>
      <c r="J7040" s="0" t="s">
        <v>23433</v>
      </c>
      <c r="K7040" s="0" t="s">
        <v>23434</v>
      </c>
      <c r="L7040" s="0" t="str">
        <f aca="false">HYPERLINK("https://www.ncbi.nlm.nih.gov/nuccore/CP000058.1?report=graph&amp;tracks=[key:gene_model_track,Options:GeneOnly]&amp;mk=2215736:2215755|offset_1|444444,2215758:2215777|offset_23|00cc00,2215794:2215813|offset_59|444444,2215834:2215853|offset_99|444444&amp;v=2215535:2216053&amp;c=444444", "offset 23")</f>
        <v>offset 23</v>
      </c>
    </row>
    <row r="7041" customFormat="false" ht="12.8" hidden="false" customHeight="false" outlineLevel="0" collapsed="false">
      <c r="A7041" s="0" t="s">
        <v>12</v>
      </c>
      <c r="B7041" s="0" t="n">
        <v>2215793</v>
      </c>
      <c r="C7041" s="0" t="n">
        <v>2215813</v>
      </c>
      <c r="D7041" s="0" t="s">
        <v>23428</v>
      </c>
      <c r="E7041" s="0" t="s">
        <v>75</v>
      </c>
      <c r="F7041" s="0" t="s">
        <v>15</v>
      </c>
      <c r="G7041" s="0" t="s">
        <v>36</v>
      </c>
      <c r="H7041" s="0" t="n">
        <v>59</v>
      </c>
      <c r="I7041" s="0" t="s">
        <v>23435</v>
      </c>
      <c r="J7041" s="0" t="s">
        <v>23436</v>
      </c>
      <c r="K7041" s="0" t="s">
        <v>23437</v>
      </c>
      <c r="L7041" s="0" t="str">
        <f aca="false">HYPERLINK("https://www.ncbi.nlm.nih.gov/nuccore/CP000058.1?report=graph&amp;tracks=[key:gene_model_track,Options:GeneOnly]&amp;mk=2215736:2215755|offset_1|444444,2215758:2215777|offset_23|444444,2215794:2215813|offset_59|00cc00,2215834:2215853|offset_99|444444&amp;v=2215535:2216053&amp;c=444444", "offset 59")</f>
        <v>offset 59</v>
      </c>
    </row>
    <row r="7042" customFormat="false" ht="12.8" hidden="false" customHeight="false" outlineLevel="0" collapsed="false">
      <c r="A7042" s="0" t="s">
        <v>12</v>
      </c>
      <c r="B7042" s="0" t="n">
        <v>2215833</v>
      </c>
      <c r="C7042" s="0" t="n">
        <v>2215853</v>
      </c>
      <c r="D7042" s="0" t="s">
        <v>23428</v>
      </c>
      <c r="E7042" s="0" t="s">
        <v>75</v>
      </c>
      <c r="F7042" s="0" t="s">
        <v>15</v>
      </c>
      <c r="G7042" s="0" t="s">
        <v>20</v>
      </c>
      <c r="H7042" s="0" t="n">
        <v>99</v>
      </c>
      <c r="I7042" s="0" t="s">
        <v>23438</v>
      </c>
      <c r="J7042" s="0" t="s">
        <v>23439</v>
      </c>
      <c r="K7042" s="0" t="s">
        <v>23440</v>
      </c>
      <c r="L7042" s="0" t="str">
        <f aca="false">HYPERLINK("https://www.ncbi.nlm.nih.gov/nuccore/CP000058.1?report=graph&amp;tracks=[key:gene_model_track,Options:GeneOnly]&amp;mk=2215736:2215755|offset_1|444444,2215758:2215777|offset_23|444444,2215794:2215813|offset_59|444444,2215834:2215853|offset_99|00cc00&amp;v=2215535:2216053&amp;c=444444", "offset 99")</f>
        <v>offset 99</v>
      </c>
    </row>
    <row r="7043" customFormat="false" ht="12.8" hidden="false" customHeight="false" outlineLevel="0" collapsed="false">
      <c r="A7043" s="0" t="s">
        <v>12</v>
      </c>
      <c r="B7043" s="0" t="n">
        <v>2216597</v>
      </c>
      <c r="C7043" s="0" t="n">
        <v>2216617</v>
      </c>
      <c r="D7043" s="0" t="s">
        <v>23441</v>
      </c>
      <c r="E7043" s="0" t="s">
        <v>75</v>
      </c>
      <c r="F7043" s="0" t="s">
        <v>15</v>
      </c>
      <c r="G7043" s="0" t="s">
        <v>36</v>
      </c>
      <c r="H7043" s="0" t="n">
        <v>20</v>
      </c>
      <c r="I7043" s="0" t="s">
        <v>23442</v>
      </c>
      <c r="J7043" s="0" t="s">
        <v>23443</v>
      </c>
      <c r="K7043" s="0" t="s">
        <v>23444</v>
      </c>
      <c r="L7043" s="0" t="str">
        <f aca="false">HYPERLINK("https://www.ncbi.nlm.nih.gov/nuccore/CP000058.1?report=graph&amp;tracks=[key:gene_model_track,Options:GeneOnly]&amp;mk=2216598:2216617|offset_20|00cc00,2216633:2216652|offset_55|444444,2216672:2216691|offset_94|444444,2216706:2216725|offset_128|444444&amp;v=2216397:2216925&amp;c=444444", "offset 20")</f>
        <v>offset 20</v>
      </c>
    </row>
    <row r="7044" customFormat="false" ht="12.8" hidden="false" customHeight="false" outlineLevel="0" collapsed="false">
      <c r="A7044" s="0" t="s">
        <v>12</v>
      </c>
      <c r="B7044" s="0" t="n">
        <v>2216632</v>
      </c>
      <c r="C7044" s="0" t="n">
        <v>2216652</v>
      </c>
      <c r="D7044" s="0" t="s">
        <v>23441</v>
      </c>
      <c r="E7044" s="0" t="s">
        <v>75</v>
      </c>
      <c r="F7044" s="0" t="s">
        <v>15</v>
      </c>
      <c r="G7044" s="0" t="s">
        <v>20</v>
      </c>
      <c r="H7044" s="0" t="n">
        <v>55</v>
      </c>
      <c r="I7044" s="0" t="s">
        <v>23445</v>
      </c>
      <c r="J7044" s="0" t="s">
        <v>23446</v>
      </c>
      <c r="K7044" s="0" t="s">
        <v>23447</v>
      </c>
      <c r="L7044" s="0" t="str">
        <f aca="false">HYPERLINK("https://www.ncbi.nlm.nih.gov/nuccore/CP000058.1?report=graph&amp;tracks=[key:gene_model_track,Options:GeneOnly]&amp;mk=2216598:2216617|offset_20|444444,2216633:2216652|offset_55|00cc00,2216672:2216691|offset_94|444444,2216706:2216725|offset_128|444444&amp;v=2216397:2216925&amp;c=444444", "offset 55")</f>
        <v>offset 55</v>
      </c>
    </row>
    <row r="7045" customFormat="false" ht="12.8" hidden="false" customHeight="false" outlineLevel="0" collapsed="false">
      <c r="A7045" s="0" t="s">
        <v>12</v>
      </c>
      <c r="B7045" s="0" t="n">
        <v>2216671</v>
      </c>
      <c r="C7045" s="0" t="n">
        <v>2216691</v>
      </c>
      <c r="D7045" s="0" t="s">
        <v>23441</v>
      </c>
      <c r="E7045" s="0" t="s">
        <v>75</v>
      </c>
      <c r="F7045" s="0" t="s">
        <v>15</v>
      </c>
      <c r="G7045" s="0" t="s">
        <v>16</v>
      </c>
      <c r="H7045" s="0" t="n">
        <v>94</v>
      </c>
      <c r="I7045" s="0" t="s">
        <v>23448</v>
      </c>
      <c r="J7045" s="0" t="s">
        <v>23449</v>
      </c>
      <c r="K7045" s="0" t="s">
        <v>23450</v>
      </c>
      <c r="L7045" s="0" t="str">
        <f aca="false">HYPERLINK("https://www.ncbi.nlm.nih.gov/nuccore/CP000058.1?report=graph&amp;tracks=[key:gene_model_track,Options:GeneOnly]&amp;mk=2216598:2216617|offset_20|444444,2216633:2216652|offset_55|444444,2216672:2216691|offset_94|00cc00,2216706:2216725|offset_128|444444&amp;v=2216397:2216925&amp;c=444444", "offset 94")</f>
        <v>offset 94</v>
      </c>
    </row>
    <row r="7046" customFormat="false" ht="12.8" hidden="false" customHeight="false" outlineLevel="0" collapsed="false">
      <c r="A7046" s="0" t="s">
        <v>12</v>
      </c>
      <c r="B7046" s="0" t="n">
        <v>2216705</v>
      </c>
      <c r="C7046" s="0" t="n">
        <v>2216725</v>
      </c>
      <c r="D7046" s="0" t="s">
        <v>23441</v>
      </c>
      <c r="E7046" s="0" t="s">
        <v>75</v>
      </c>
      <c r="F7046" s="0" t="s">
        <v>15</v>
      </c>
      <c r="G7046" s="0" t="s">
        <v>16</v>
      </c>
      <c r="H7046" s="0" t="n">
        <v>128</v>
      </c>
      <c r="I7046" s="0" t="s">
        <v>23451</v>
      </c>
      <c r="J7046" s="0" t="s">
        <v>23452</v>
      </c>
      <c r="K7046" s="0" t="s">
        <v>23453</v>
      </c>
      <c r="L7046" s="0" t="str">
        <f aca="false">HYPERLINK("https://www.ncbi.nlm.nih.gov/nuccore/CP000058.1?report=graph&amp;tracks=[key:gene_model_track,Options:GeneOnly]&amp;mk=2216598:2216617|offset_20|444444,2216633:2216652|offset_55|444444,2216672:2216691|offset_94|444444,2216706:2216725|offset_128|00cc00&amp;v=2216397:2216925&amp;c=444444", "offset 128")</f>
        <v>offset 128</v>
      </c>
    </row>
    <row r="7047" customFormat="false" ht="12.8" hidden="false" customHeight="false" outlineLevel="0" collapsed="false">
      <c r="A7047" s="0" t="s">
        <v>12</v>
      </c>
      <c r="B7047" s="0" t="n">
        <v>2229704</v>
      </c>
      <c r="C7047" s="0" t="n">
        <v>2229724</v>
      </c>
      <c r="D7047" s="0" t="s">
        <v>23454</v>
      </c>
      <c r="E7047" s="0" t="s">
        <v>75</v>
      </c>
      <c r="F7047" s="0" t="s">
        <v>15</v>
      </c>
      <c r="G7047" s="0" t="s">
        <v>32</v>
      </c>
      <c r="H7047" s="0" t="n">
        <v>7</v>
      </c>
      <c r="I7047" s="0" t="s">
        <v>23455</v>
      </c>
      <c r="J7047" s="0" t="s">
        <v>23456</v>
      </c>
      <c r="K7047" s="0" t="s">
        <v>23457</v>
      </c>
      <c r="L7047" s="0" t="str">
        <f aca="false">HYPERLINK("https://www.ncbi.nlm.nih.gov/nuccore/CP000058.1?report=graph&amp;tracks=[key:gene_model_track,Options:GeneOnly]&amp;mk=2229705:2229724|offset_7|00cc00,2229732:2229751|offset_34|444444,2229768:2229787|offset_70|444444,2229801:2229820|offset_103|444444&amp;v=2229504:2230020&amp;c=444444", "offset 7")</f>
        <v>offset 7</v>
      </c>
    </row>
    <row r="7048" customFormat="false" ht="12.8" hidden="false" customHeight="false" outlineLevel="0" collapsed="false">
      <c r="A7048" s="0" t="s">
        <v>12</v>
      </c>
      <c r="B7048" s="0" t="n">
        <v>2229731</v>
      </c>
      <c r="C7048" s="0" t="n">
        <v>2229751</v>
      </c>
      <c r="D7048" s="0" t="s">
        <v>23454</v>
      </c>
      <c r="E7048" s="0" t="s">
        <v>75</v>
      </c>
      <c r="F7048" s="0" t="s">
        <v>15</v>
      </c>
      <c r="G7048" s="0" t="s">
        <v>32</v>
      </c>
      <c r="H7048" s="0" t="n">
        <v>34</v>
      </c>
      <c r="I7048" s="0" t="s">
        <v>23458</v>
      </c>
      <c r="J7048" s="0" t="s">
        <v>23459</v>
      </c>
      <c r="K7048" s="0" t="s">
        <v>23460</v>
      </c>
      <c r="L7048" s="0" t="str">
        <f aca="false">HYPERLINK("https://www.ncbi.nlm.nih.gov/nuccore/CP000058.1?report=graph&amp;tracks=[key:gene_model_track,Options:GeneOnly]&amp;mk=2229705:2229724|offset_7|444444,2229732:2229751|offset_34|00cc00,2229768:2229787|offset_70|444444,2229801:2229820|offset_103|444444&amp;v=2229504:2230020&amp;c=444444", "offset 34")</f>
        <v>offset 34</v>
      </c>
    </row>
    <row r="7049" customFormat="false" ht="12.8" hidden="false" customHeight="false" outlineLevel="0" collapsed="false">
      <c r="A7049" s="0" t="s">
        <v>12</v>
      </c>
      <c r="B7049" s="0" t="n">
        <v>2229767</v>
      </c>
      <c r="C7049" s="0" t="n">
        <v>2229787</v>
      </c>
      <c r="D7049" s="0" t="s">
        <v>23454</v>
      </c>
      <c r="E7049" s="0" t="s">
        <v>75</v>
      </c>
      <c r="F7049" s="0" t="s">
        <v>15</v>
      </c>
      <c r="G7049" s="0" t="s">
        <v>32</v>
      </c>
      <c r="H7049" s="0" t="n">
        <v>70</v>
      </c>
      <c r="I7049" s="0" t="s">
        <v>23461</v>
      </c>
      <c r="J7049" s="0" t="s">
        <v>23462</v>
      </c>
      <c r="K7049" s="0" t="s">
        <v>23463</v>
      </c>
      <c r="L7049" s="0" t="str">
        <f aca="false">HYPERLINK("https://www.ncbi.nlm.nih.gov/nuccore/CP000058.1?report=graph&amp;tracks=[key:gene_model_track,Options:GeneOnly]&amp;mk=2229705:2229724|offset_7|444444,2229732:2229751|offset_34|444444,2229768:2229787|offset_70|00cc00,2229801:2229820|offset_103|444444&amp;v=2229504:2230020&amp;c=444444", "offset 70")</f>
        <v>offset 70</v>
      </c>
    </row>
    <row r="7050" customFormat="false" ht="12.8" hidden="false" customHeight="false" outlineLevel="0" collapsed="false">
      <c r="A7050" s="0" t="s">
        <v>12</v>
      </c>
      <c r="B7050" s="0" t="n">
        <v>2229800</v>
      </c>
      <c r="C7050" s="0" t="n">
        <v>2229820</v>
      </c>
      <c r="D7050" s="0" t="s">
        <v>23454</v>
      </c>
      <c r="E7050" s="0" t="s">
        <v>75</v>
      </c>
      <c r="F7050" s="0" t="s">
        <v>15</v>
      </c>
      <c r="G7050" s="0" t="s">
        <v>36</v>
      </c>
      <c r="H7050" s="0" t="n">
        <v>103</v>
      </c>
      <c r="I7050" s="0" t="s">
        <v>23464</v>
      </c>
      <c r="J7050" s="0" t="s">
        <v>23465</v>
      </c>
      <c r="K7050" s="0" t="s">
        <v>23466</v>
      </c>
      <c r="L7050" s="0" t="str">
        <f aca="false">HYPERLINK("https://www.ncbi.nlm.nih.gov/nuccore/CP000058.1?report=graph&amp;tracks=[key:gene_model_track,Options:GeneOnly]&amp;mk=2229705:2229724|offset_7|444444,2229732:2229751|offset_34|444444,2229768:2229787|offset_70|444444,2229801:2229820|offset_103|00cc00&amp;v=2229504:2230020&amp;c=444444", "offset 103")</f>
        <v>offset 103</v>
      </c>
    </row>
    <row r="7051" customFormat="false" ht="12.8" hidden="false" customHeight="false" outlineLevel="0" collapsed="false">
      <c r="A7051" s="0" t="s">
        <v>12</v>
      </c>
      <c r="B7051" s="0" t="n">
        <v>2231230</v>
      </c>
      <c r="C7051" s="0" t="n">
        <v>2231250</v>
      </c>
      <c r="D7051" s="0" t="s">
        <v>23467</v>
      </c>
      <c r="E7051" s="0" t="s">
        <v>75</v>
      </c>
      <c r="F7051" s="0" t="s">
        <v>15</v>
      </c>
      <c r="G7051" s="0" t="s">
        <v>32</v>
      </c>
      <c r="H7051" s="0" t="n">
        <v>27</v>
      </c>
      <c r="I7051" s="0" t="s">
        <v>23468</v>
      </c>
      <c r="J7051" s="0" t="s">
        <v>23469</v>
      </c>
      <c r="K7051" s="0" t="s">
        <v>23470</v>
      </c>
      <c r="L7051" s="0" t="str">
        <f aca="false">HYPERLINK("https://www.ncbi.nlm.nih.gov/nuccore/CP000058.1?report=graph&amp;tracks=[key:gene_model_track,Options:GeneOnly]&amp;mk=2231231:2231250|offset_27|00cc00,2231299:2231318|offset_95|444444,2231324:2231343|offset_120|444444,2231358:2231377|offset_154|444444&amp;v=2231030:2231577&amp;c=444444", "offset 27")</f>
        <v>offset 27</v>
      </c>
    </row>
    <row r="7052" customFormat="false" ht="12.8" hidden="false" customHeight="false" outlineLevel="0" collapsed="false">
      <c r="A7052" s="0" t="s">
        <v>12</v>
      </c>
      <c r="B7052" s="0" t="n">
        <v>2231298</v>
      </c>
      <c r="C7052" s="0" t="n">
        <v>2231318</v>
      </c>
      <c r="D7052" s="0" t="s">
        <v>23467</v>
      </c>
      <c r="E7052" s="0" t="s">
        <v>75</v>
      </c>
      <c r="F7052" s="0" t="s">
        <v>15</v>
      </c>
      <c r="G7052" s="0" t="s">
        <v>32</v>
      </c>
      <c r="H7052" s="0" t="n">
        <v>95</v>
      </c>
      <c r="I7052" s="0" t="s">
        <v>23471</v>
      </c>
      <c r="J7052" s="0" t="s">
        <v>23472</v>
      </c>
      <c r="K7052" s="0" t="s">
        <v>23473</v>
      </c>
      <c r="L7052" s="0" t="str">
        <f aca="false">HYPERLINK("https://www.ncbi.nlm.nih.gov/nuccore/CP000058.1?report=graph&amp;tracks=[key:gene_model_track,Options:GeneOnly]&amp;mk=2231231:2231250|offset_27|444444,2231299:2231318|offset_95|00cc00,2231324:2231343|offset_120|444444,2231358:2231377|offset_154|444444&amp;v=2231030:2231577&amp;c=444444", "offset 95")</f>
        <v>offset 95</v>
      </c>
    </row>
    <row r="7053" customFormat="false" ht="12.8" hidden="false" customHeight="false" outlineLevel="0" collapsed="false">
      <c r="A7053" s="0" t="s">
        <v>12</v>
      </c>
      <c r="B7053" s="0" t="n">
        <v>2231323</v>
      </c>
      <c r="C7053" s="0" t="n">
        <v>2231343</v>
      </c>
      <c r="D7053" s="0" t="s">
        <v>23467</v>
      </c>
      <c r="E7053" s="0" t="s">
        <v>75</v>
      </c>
      <c r="F7053" s="0" t="s">
        <v>15</v>
      </c>
      <c r="G7053" s="0" t="s">
        <v>36</v>
      </c>
      <c r="H7053" s="0" t="n">
        <v>120</v>
      </c>
      <c r="I7053" s="0" t="s">
        <v>23474</v>
      </c>
      <c r="J7053" s="0" t="s">
        <v>23475</v>
      </c>
      <c r="K7053" s="0" t="s">
        <v>23476</v>
      </c>
      <c r="L7053" s="0" t="str">
        <f aca="false">HYPERLINK("https://www.ncbi.nlm.nih.gov/nuccore/CP000058.1?report=graph&amp;tracks=[key:gene_model_track,Options:GeneOnly]&amp;mk=2231231:2231250|offset_27|444444,2231299:2231318|offset_95|444444,2231324:2231343|offset_120|00cc00,2231358:2231377|offset_154|444444&amp;v=2231030:2231577&amp;c=444444", "offset 120")</f>
        <v>offset 120</v>
      </c>
    </row>
    <row r="7054" customFormat="false" ht="12.8" hidden="false" customHeight="false" outlineLevel="0" collapsed="false">
      <c r="A7054" s="0" t="s">
        <v>12</v>
      </c>
      <c r="B7054" s="0" t="n">
        <v>2231357</v>
      </c>
      <c r="C7054" s="0" t="n">
        <v>2231377</v>
      </c>
      <c r="D7054" s="0" t="s">
        <v>23467</v>
      </c>
      <c r="E7054" s="0" t="s">
        <v>75</v>
      </c>
      <c r="F7054" s="0" t="s">
        <v>15</v>
      </c>
      <c r="G7054" s="0" t="s">
        <v>16</v>
      </c>
      <c r="H7054" s="0" t="n">
        <v>154</v>
      </c>
      <c r="I7054" s="0" t="s">
        <v>23477</v>
      </c>
      <c r="J7054" s="0" t="s">
        <v>23478</v>
      </c>
      <c r="K7054" s="0" t="s">
        <v>23479</v>
      </c>
      <c r="L7054" s="0" t="str">
        <f aca="false">HYPERLINK("https://www.ncbi.nlm.nih.gov/nuccore/CP000058.1?report=graph&amp;tracks=[key:gene_model_track,Options:GeneOnly]&amp;mk=2231231:2231250|offset_27|444444,2231299:2231318|offset_95|444444,2231324:2231343|offset_120|444444,2231358:2231377|offset_154|00cc00&amp;v=2231030:2231577&amp;c=444444", "offset 154")</f>
        <v>offset 154</v>
      </c>
    </row>
    <row r="7055" customFormat="false" ht="12.8" hidden="false" customHeight="false" outlineLevel="0" collapsed="false">
      <c r="A7055" s="0" t="s">
        <v>12</v>
      </c>
      <c r="B7055" s="0" t="n">
        <v>2232592</v>
      </c>
      <c r="C7055" s="0" t="n">
        <v>2232612</v>
      </c>
      <c r="D7055" s="0" t="s">
        <v>23480</v>
      </c>
      <c r="E7055" s="0" t="s">
        <v>75</v>
      </c>
      <c r="F7055" s="0" t="s">
        <v>90</v>
      </c>
      <c r="G7055" s="0" t="s">
        <v>32</v>
      </c>
      <c r="H7055" s="0" t="n">
        <v>1</v>
      </c>
      <c r="I7055" s="0" t="s">
        <v>23481</v>
      </c>
      <c r="J7055" s="0" t="s">
        <v>23482</v>
      </c>
      <c r="K7055" s="0" t="s">
        <v>23483</v>
      </c>
      <c r="L7055" s="0" t="str">
        <f aca="false">HYPERLINK("https://www.ncbi.nlm.nih.gov/nuccore/CP000058.1?report=graph&amp;tracks=[key:gene_model_track,Options:GeneOnly]&amp;mk=2232593:2232612|offset_1|00cc00,2232568:2232587|offset_26|444444,2232545:2232564|offset_49|444444,2232511:2232530|offset_83|444444&amp;v=2232392:2232730&amp;c=444444", "offset 1")</f>
        <v>offset 1</v>
      </c>
    </row>
    <row r="7056" customFormat="false" ht="12.8" hidden="false" customHeight="false" outlineLevel="0" collapsed="false">
      <c r="A7056" s="0" t="s">
        <v>12</v>
      </c>
      <c r="B7056" s="0" t="n">
        <v>2232567</v>
      </c>
      <c r="C7056" s="0" t="n">
        <v>2232587</v>
      </c>
      <c r="D7056" s="0" t="s">
        <v>23480</v>
      </c>
      <c r="E7056" s="0" t="s">
        <v>75</v>
      </c>
      <c r="F7056" s="0" t="s">
        <v>90</v>
      </c>
      <c r="G7056" s="0" t="s">
        <v>20</v>
      </c>
      <c r="H7056" s="0" t="n">
        <v>26</v>
      </c>
      <c r="I7056" s="0" t="s">
        <v>23484</v>
      </c>
      <c r="J7056" s="0" t="s">
        <v>23485</v>
      </c>
      <c r="K7056" s="0" t="s">
        <v>23486</v>
      </c>
      <c r="L7056" s="0" t="str">
        <f aca="false">HYPERLINK("https://www.ncbi.nlm.nih.gov/nuccore/CP000058.1?report=graph&amp;tracks=[key:gene_model_track,Options:GeneOnly]&amp;mk=2232593:2232612|offset_1|444444,2232568:2232587|offset_26|00cc00,2232545:2232564|offset_49|444444,2232511:2232530|offset_83|444444&amp;v=2232392:2232730&amp;c=444444", "offset 26")</f>
        <v>offset 26</v>
      </c>
    </row>
    <row r="7057" customFormat="false" ht="12.8" hidden="false" customHeight="false" outlineLevel="0" collapsed="false">
      <c r="A7057" s="0" t="s">
        <v>12</v>
      </c>
      <c r="B7057" s="0" t="n">
        <v>2232544</v>
      </c>
      <c r="C7057" s="0" t="n">
        <v>2232564</v>
      </c>
      <c r="D7057" s="0" t="s">
        <v>23480</v>
      </c>
      <c r="E7057" s="0" t="s">
        <v>75</v>
      </c>
      <c r="F7057" s="0" t="s">
        <v>90</v>
      </c>
      <c r="G7057" s="0" t="s">
        <v>16</v>
      </c>
      <c r="H7057" s="0" t="n">
        <v>49</v>
      </c>
      <c r="I7057" s="0" t="s">
        <v>23487</v>
      </c>
      <c r="J7057" s="0" t="s">
        <v>23488</v>
      </c>
      <c r="K7057" s="0" t="s">
        <v>23489</v>
      </c>
      <c r="L7057" s="0" t="str">
        <f aca="false">HYPERLINK("https://www.ncbi.nlm.nih.gov/nuccore/CP000058.1?report=graph&amp;tracks=[key:gene_model_track,Options:GeneOnly]&amp;mk=2232593:2232612|offset_1|444444,2232568:2232587|offset_26|444444,2232545:2232564|offset_49|00cc00,2232511:2232530|offset_83|444444&amp;v=2232392:2232730&amp;c=444444", "offset 49")</f>
        <v>offset 49</v>
      </c>
    </row>
    <row r="7058" customFormat="false" ht="12.8" hidden="false" customHeight="false" outlineLevel="0" collapsed="false">
      <c r="A7058" s="0" t="s">
        <v>12</v>
      </c>
      <c r="B7058" s="0" t="n">
        <v>2232510</v>
      </c>
      <c r="C7058" s="0" t="n">
        <v>2232530</v>
      </c>
      <c r="D7058" s="0" t="s">
        <v>23480</v>
      </c>
      <c r="E7058" s="0" t="s">
        <v>75</v>
      </c>
      <c r="F7058" s="0" t="s">
        <v>90</v>
      </c>
      <c r="G7058" s="0" t="s">
        <v>20</v>
      </c>
      <c r="H7058" s="0" t="n">
        <v>83</v>
      </c>
      <c r="I7058" s="0" t="s">
        <v>23490</v>
      </c>
      <c r="J7058" s="0" t="s">
        <v>23491</v>
      </c>
      <c r="K7058" s="0" t="s">
        <v>23492</v>
      </c>
      <c r="L7058" s="0" t="str">
        <f aca="false">HYPERLINK("https://www.ncbi.nlm.nih.gov/nuccore/CP000058.1?report=graph&amp;tracks=[key:gene_model_track,Options:GeneOnly]&amp;mk=2232593:2232612|offset_1|444444,2232568:2232587|offset_26|444444,2232545:2232564|offset_49|444444,2232511:2232530|offset_83|00cc00&amp;v=2232392:2232730&amp;c=444444", "offset 83")</f>
        <v>offset 83</v>
      </c>
    </row>
    <row r="7059" customFormat="false" ht="12.8" hidden="false" customHeight="false" outlineLevel="0" collapsed="false">
      <c r="A7059" s="0" t="s">
        <v>12</v>
      </c>
      <c r="B7059" s="0" t="n">
        <v>2233491</v>
      </c>
      <c r="C7059" s="0" t="n">
        <v>2233511</v>
      </c>
      <c r="D7059" s="0" t="s">
        <v>23493</v>
      </c>
      <c r="E7059" s="0" t="s">
        <v>75</v>
      </c>
      <c r="F7059" s="0" t="s">
        <v>90</v>
      </c>
      <c r="G7059" s="0" t="s">
        <v>20</v>
      </c>
      <c r="H7059" s="0" t="n">
        <v>38</v>
      </c>
      <c r="I7059" s="0" t="s">
        <v>23494</v>
      </c>
      <c r="J7059" s="0" t="s">
        <v>23495</v>
      </c>
      <c r="K7059" s="0" t="s">
        <v>23496</v>
      </c>
      <c r="L7059" s="0" t="str">
        <f aca="false">HYPERLINK("https://www.ncbi.nlm.nih.gov/nuccore/CP000058.1?report=graph&amp;tracks=[key:gene_model_track,Options:GeneOnly]&amp;mk=2233492:2233511|offset_38|00cc00,2233470:2233489|offset_60|444444,2233436:2233455|offset_94|444444,2233410:2233429|offset_120|444444&amp;v=2233291:2233629&amp;c=444444", "offset 38")</f>
        <v>offset 38</v>
      </c>
    </row>
    <row r="7060" customFormat="false" ht="12.8" hidden="false" customHeight="false" outlineLevel="0" collapsed="false">
      <c r="A7060" s="0" t="s">
        <v>12</v>
      </c>
      <c r="B7060" s="0" t="n">
        <v>2233469</v>
      </c>
      <c r="C7060" s="0" t="n">
        <v>2233489</v>
      </c>
      <c r="D7060" s="0" t="s">
        <v>23493</v>
      </c>
      <c r="E7060" s="0" t="s">
        <v>75</v>
      </c>
      <c r="F7060" s="0" t="s">
        <v>90</v>
      </c>
      <c r="G7060" s="0" t="s">
        <v>16</v>
      </c>
      <c r="H7060" s="0" t="n">
        <v>60</v>
      </c>
      <c r="I7060" s="0" t="s">
        <v>23497</v>
      </c>
      <c r="J7060" s="0" t="s">
        <v>23498</v>
      </c>
      <c r="K7060" s="0" t="s">
        <v>23499</v>
      </c>
      <c r="L7060" s="0" t="str">
        <f aca="false">HYPERLINK("https://www.ncbi.nlm.nih.gov/nuccore/CP000058.1?report=graph&amp;tracks=[key:gene_model_track,Options:GeneOnly]&amp;mk=2233492:2233511|offset_38|444444,2233470:2233489|offset_60|00cc00,2233436:2233455|offset_94|444444,2233410:2233429|offset_120|444444&amp;v=2233291:2233629&amp;c=444444", "offset 60")</f>
        <v>offset 60</v>
      </c>
    </row>
    <row r="7061" customFormat="false" ht="12.8" hidden="false" customHeight="false" outlineLevel="0" collapsed="false">
      <c r="A7061" s="0" t="s">
        <v>12</v>
      </c>
      <c r="B7061" s="0" t="n">
        <v>2233435</v>
      </c>
      <c r="C7061" s="0" t="n">
        <v>2233455</v>
      </c>
      <c r="D7061" s="0" t="s">
        <v>23493</v>
      </c>
      <c r="E7061" s="0" t="s">
        <v>75</v>
      </c>
      <c r="F7061" s="0" t="s">
        <v>90</v>
      </c>
      <c r="G7061" s="0" t="s">
        <v>36</v>
      </c>
      <c r="H7061" s="0" t="n">
        <v>94</v>
      </c>
      <c r="I7061" s="0" t="s">
        <v>23500</v>
      </c>
      <c r="J7061" s="0" t="s">
        <v>23501</v>
      </c>
      <c r="K7061" s="0" t="s">
        <v>23502</v>
      </c>
      <c r="L7061" s="0" t="str">
        <f aca="false">HYPERLINK("https://www.ncbi.nlm.nih.gov/nuccore/CP000058.1?report=graph&amp;tracks=[key:gene_model_track,Options:GeneOnly]&amp;mk=2233492:2233511|offset_38|444444,2233470:2233489|offset_60|444444,2233436:2233455|offset_94|00cc00,2233410:2233429|offset_120|444444&amp;v=2233291:2233629&amp;c=444444", "offset 94")</f>
        <v>offset 94</v>
      </c>
    </row>
    <row r="7062" customFormat="false" ht="12.8" hidden="false" customHeight="false" outlineLevel="0" collapsed="false">
      <c r="A7062" s="0" t="s">
        <v>12</v>
      </c>
      <c r="B7062" s="0" t="n">
        <v>2233409</v>
      </c>
      <c r="C7062" s="0" t="n">
        <v>2233429</v>
      </c>
      <c r="D7062" s="0" t="s">
        <v>23493</v>
      </c>
      <c r="E7062" s="0" t="s">
        <v>75</v>
      </c>
      <c r="F7062" s="0" t="s">
        <v>90</v>
      </c>
      <c r="G7062" s="0" t="s">
        <v>16</v>
      </c>
      <c r="H7062" s="0" t="n">
        <v>120</v>
      </c>
      <c r="I7062" s="0" t="s">
        <v>23503</v>
      </c>
      <c r="J7062" s="0" t="s">
        <v>23504</v>
      </c>
      <c r="K7062" s="0" t="s">
        <v>23505</v>
      </c>
      <c r="L7062" s="0" t="str">
        <f aca="false">HYPERLINK("https://www.ncbi.nlm.nih.gov/nuccore/CP000058.1?report=graph&amp;tracks=[key:gene_model_track,Options:GeneOnly]&amp;mk=2233492:2233511|offset_38|444444,2233470:2233489|offset_60|444444,2233436:2233455|offset_94|444444,2233410:2233429|offset_120|00cc00&amp;v=2233291:2233629&amp;c=444444", "offset 120")</f>
        <v>offset 120</v>
      </c>
    </row>
    <row r="7063" customFormat="false" ht="12.8" hidden="false" customHeight="false" outlineLevel="0" collapsed="false">
      <c r="A7063" s="0" t="s">
        <v>12</v>
      </c>
      <c r="B7063" s="0" t="n">
        <v>2234273</v>
      </c>
      <c r="C7063" s="0" t="n">
        <v>2234293</v>
      </c>
      <c r="D7063" s="0" t="s">
        <v>23506</v>
      </c>
      <c r="E7063" s="0" t="s">
        <v>75</v>
      </c>
      <c r="F7063" s="0" t="s">
        <v>90</v>
      </c>
      <c r="G7063" s="0" t="s">
        <v>20</v>
      </c>
      <c r="H7063" s="0" t="n">
        <v>20</v>
      </c>
      <c r="I7063" s="0" t="s">
        <v>23507</v>
      </c>
      <c r="J7063" s="0" t="s">
        <v>23508</v>
      </c>
      <c r="K7063" s="0" t="s">
        <v>23509</v>
      </c>
      <c r="L7063" s="0" t="str">
        <f aca="false">HYPERLINK("https://www.ncbi.nlm.nih.gov/nuccore/CP000058.1?report=graph&amp;tracks=[key:gene_model_track,Options:GeneOnly]&amp;mk=2234274:2234293|offset_20|00cc00,2234252:2234271|offset_42|444444,2234226:2234245|offset_68|444444,2234196:2234215|offset_98|444444&amp;v=2234073:2234415&amp;c=444444", "offset 20")</f>
        <v>offset 20</v>
      </c>
    </row>
    <row r="7064" customFormat="false" ht="12.8" hidden="false" customHeight="false" outlineLevel="0" collapsed="false">
      <c r="A7064" s="0" t="s">
        <v>12</v>
      </c>
      <c r="B7064" s="0" t="n">
        <v>2234251</v>
      </c>
      <c r="C7064" s="0" t="n">
        <v>2234271</v>
      </c>
      <c r="D7064" s="0" t="s">
        <v>23506</v>
      </c>
      <c r="E7064" s="0" t="s">
        <v>75</v>
      </c>
      <c r="F7064" s="0" t="s">
        <v>90</v>
      </c>
      <c r="G7064" s="0" t="s">
        <v>32</v>
      </c>
      <c r="H7064" s="0" t="n">
        <v>42</v>
      </c>
      <c r="I7064" s="0" t="s">
        <v>23510</v>
      </c>
      <c r="J7064" s="0" t="s">
        <v>23511</v>
      </c>
      <c r="K7064" s="0" t="s">
        <v>23512</v>
      </c>
      <c r="L7064" s="0" t="str">
        <f aca="false">HYPERLINK("https://www.ncbi.nlm.nih.gov/nuccore/CP000058.1?report=graph&amp;tracks=[key:gene_model_track,Options:GeneOnly]&amp;mk=2234274:2234293|offset_20|444444,2234252:2234271|offset_42|00cc00,2234226:2234245|offset_68|444444,2234196:2234215|offset_98|444444&amp;v=2234073:2234415&amp;c=444444", "offset 42")</f>
        <v>offset 42</v>
      </c>
    </row>
    <row r="7065" customFormat="false" ht="12.8" hidden="false" customHeight="false" outlineLevel="0" collapsed="false">
      <c r="A7065" s="0" t="s">
        <v>12</v>
      </c>
      <c r="B7065" s="0" t="n">
        <v>2234225</v>
      </c>
      <c r="C7065" s="0" t="n">
        <v>2234245</v>
      </c>
      <c r="D7065" s="0" t="s">
        <v>23506</v>
      </c>
      <c r="E7065" s="0" t="s">
        <v>75</v>
      </c>
      <c r="F7065" s="0" t="s">
        <v>90</v>
      </c>
      <c r="G7065" s="0" t="s">
        <v>20</v>
      </c>
      <c r="H7065" s="0" t="n">
        <v>68</v>
      </c>
      <c r="I7065" s="0" t="s">
        <v>23513</v>
      </c>
      <c r="J7065" s="0" t="s">
        <v>23514</v>
      </c>
      <c r="K7065" s="0" t="s">
        <v>23515</v>
      </c>
      <c r="L7065" s="0" t="str">
        <f aca="false">HYPERLINK("https://www.ncbi.nlm.nih.gov/nuccore/CP000058.1?report=graph&amp;tracks=[key:gene_model_track,Options:GeneOnly]&amp;mk=2234274:2234293|offset_20|444444,2234252:2234271|offset_42|444444,2234226:2234245|offset_68|00cc00,2234196:2234215|offset_98|444444&amp;v=2234073:2234415&amp;c=444444", "offset 68")</f>
        <v>offset 68</v>
      </c>
    </row>
    <row r="7066" customFormat="false" ht="12.8" hidden="false" customHeight="false" outlineLevel="0" collapsed="false">
      <c r="A7066" s="0" t="s">
        <v>12</v>
      </c>
      <c r="B7066" s="0" t="n">
        <v>2234195</v>
      </c>
      <c r="C7066" s="0" t="n">
        <v>2234215</v>
      </c>
      <c r="D7066" s="0" t="s">
        <v>23506</v>
      </c>
      <c r="E7066" s="0" t="s">
        <v>75</v>
      </c>
      <c r="F7066" s="0" t="s">
        <v>90</v>
      </c>
      <c r="G7066" s="0" t="s">
        <v>16</v>
      </c>
      <c r="H7066" s="0" t="n">
        <v>98</v>
      </c>
      <c r="I7066" s="0" t="s">
        <v>23516</v>
      </c>
      <c r="J7066" s="0" t="s">
        <v>23517</v>
      </c>
      <c r="K7066" s="0" t="s">
        <v>23518</v>
      </c>
      <c r="L7066" s="0" t="str">
        <f aca="false">HYPERLINK("https://www.ncbi.nlm.nih.gov/nuccore/CP000058.1?report=graph&amp;tracks=[key:gene_model_track,Options:GeneOnly]&amp;mk=2234274:2234293|offset_20|444444,2234252:2234271|offset_42|444444,2234226:2234245|offset_68|444444,2234196:2234215|offset_98|00cc00&amp;v=2234073:2234415&amp;c=444444", "offset 98")</f>
        <v>offset 98</v>
      </c>
    </row>
    <row r="7067" customFormat="false" ht="12.8" hidden="false" customHeight="false" outlineLevel="0" collapsed="false">
      <c r="A7067" s="0" t="s">
        <v>12</v>
      </c>
      <c r="B7067" s="0" t="n">
        <v>2235222</v>
      </c>
      <c r="C7067" s="0" t="n">
        <v>2235242</v>
      </c>
      <c r="D7067" s="0" t="s">
        <v>23519</v>
      </c>
      <c r="E7067" s="0" t="s">
        <v>75</v>
      </c>
      <c r="F7067" s="0" t="s">
        <v>90</v>
      </c>
      <c r="G7067" s="0" t="s">
        <v>36</v>
      </c>
      <c r="H7067" s="0" t="n">
        <v>6</v>
      </c>
      <c r="I7067" s="0" t="s">
        <v>23520</v>
      </c>
      <c r="J7067" s="0" t="s">
        <v>23521</v>
      </c>
      <c r="K7067" s="0" t="s">
        <v>23522</v>
      </c>
      <c r="L7067" s="0" t="str">
        <f aca="false">HYPERLINK("https://www.ncbi.nlm.nih.gov/nuccore/CP000058.1?report=graph&amp;tracks=[key:gene_model_track,Options:GeneOnly]&amp;mk=2235223:2235242|offset_6|00cc00,2235200:2235219|offset_29|444444,2235162:2235181|offset_67|444444,2235135:2235154|offset_94|444444&amp;v=2235022:2235354&amp;c=444444", "offset 6")</f>
        <v>offset 6</v>
      </c>
    </row>
    <row r="7068" customFormat="false" ht="12.8" hidden="false" customHeight="false" outlineLevel="0" collapsed="false">
      <c r="A7068" s="0" t="s">
        <v>12</v>
      </c>
      <c r="B7068" s="0" t="n">
        <v>2235199</v>
      </c>
      <c r="C7068" s="0" t="n">
        <v>2235219</v>
      </c>
      <c r="D7068" s="0" t="s">
        <v>23519</v>
      </c>
      <c r="E7068" s="0" t="s">
        <v>75</v>
      </c>
      <c r="F7068" s="0" t="s">
        <v>90</v>
      </c>
      <c r="G7068" s="0" t="s">
        <v>16</v>
      </c>
      <c r="H7068" s="0" t="n">
        <v>29</v>
      </c>
      <c r="I7068" s="0" t="s">
        <v>23523</v>
      </c>
      <c r="J7068" s="0" t="s">
        <v>23524</v>
      </c>
      <c r="K7068" s="0" t="s">
        <v>23525</v>
      </c>
      <c r="L7068" s="0" t="str">
        <f aca="false">HYPERLINK("https://www.ncbi.nlm.nih.gov/nuccore/CP000058.1?report=graph&amp;tracks=[key:gene_model_track,Options:GeneOnly]&amp;mk=2235223:2235242|offset_6|444444,2235200:2235219|offset_29|00cc00,2235162:2235181|offset_67|444444,2235135:2235154|offset_94|444444&amp;v=2235022:2235354&amp;c=444444", "offset 29")</f>
        <v>offset 29</v>
      </c>
    </row>
    <row r="7069" customFormat="false" ht="12.8" hidden="false" customHeight="false" outlineLevel="0" collapsed="false">
      <c r="A7069" s="0" t="s">
        <v>12</v>
      </c>
      <c r="B7069" s="0" t="n">
        <v>2235161</v>
      </c>
      <c r="C7069" s="0" t="n">
        <v>2235181</v>
      </c>
      <c r="D7069" s="0" t="s">
        <v>23519</v>
      </c>
      <c r="E7069" s="0" t="s">
        <v>75</v>
      </c>
      <c r="F7069" s="0" t="s">
        <v>90</v>
      </c>
      <c r="G7069" s="0" t="s">
        <v>16</v>
      </c>
      <c r="H7069" s="0" t="n">
        <v>67</v>
      </c>
      <c r="I7069" s="0" t="s">
        <v>23526</v>
      </c>
      <c r="J7069" s="0" t="s">
        <v>23527</v>
      </c>
      <c r="K7069" s="0" t="s">
        <v>23528</v>
      </c>
      <c r="L7069" s="0" t="str">
        <f aca="false">HYPERLINK("https://www.ncbi.nlm.nih.gov/nuccore/CP000058.1?report=graph&amp;tracks=[key:gene_model_track,Options:GeneOnly]&amp;mk=2235223:2235242|offset_6|444444,2235200:2235219|offset_29|444444,2235162:2235181|offset_67|00cc00,2235135:2235154|offset_94|444444&amp;v=2235022:2235354&amp;c=444444", "offset 67")</f>
        <v>offset 67</v>
      </c>
    </row>
    <row r="7070" customFormat="false" ht="12.8" hidden="false" customHeight="false" outlineLevel="0" collapsed="false">
      <c r="A7070" s="0" t="s">
        <v>12</v>
      </c>
      <c r="B7070" s="0" t="n">
        <v>2235134</v>
      </c>
      <c r="C7070" s="0" t="n">
        <v>2235154</v>
      </c>
      <c r="D7070" s="0" t="s">
        <v>23519</v>
      </c>
      <c r="E7070" s="0" t="s">
        <v>75</v>
      </c>
      <c r="F7070" s="0" t="s">
        <v>90</v>
      </c>
      <c r="G7070" s="0" t="s">
        <v>16</v>
      </c>
      <c r="H7070" s="0" t="n">
        <v>94</v>
      </c>
      <c r="I7070" s="0" t="s">
        <v>23529</v>
      </c>
      <c r="J7070" s="0" t="s">
        <v>23530</v>
      </c>
      <c r="K7070" s="0" t="s">
        <v>23531</v>
      </c>
      <c r="L7070" s="0" t="str">
        <f aca="false">HYPERLINK("https://www.ncbi.nlm.nih.gov/nuccore/CP000058.1?report=graph&amp;tracks=[key:gene_model_track,Options:GeneOnly]&amp;mk=2235223:2235242|offset_6|444444,2235200:2235219|offset_29|444444,2235162:2235181|offset_67|444444,2235135:2235154|offset_94|00cc00&amp;v=2235022:2235354&amp;c=444444", "offset 94")</f>
        <v>offset 94</v>
      </c>
    </row>
    <row r="7071" customFormat="false" ht="12.8" hidden="false" customHeight="false" outlineLevel="0" collapsed="false">
      <c r="A7071" s="0" t="s">
        <v>12</v>
      </c>
      <c r="B7071" s="0" t="n">
        <v>2235812</v>
      </c>
      <c r="C7071" s="0" t="n">
        <v>2235832</v>
      </c>
      <c r="D7071" s="0" t="s">
        <v>23532</v>
      </c>
      <c r="E7071" s="0" t="s">
        <v>75</v>
      </c>
      <c r="F7071" s="0" t="s">
        <v>90</v>
      </c>
      <c r="G7071" s="0" t="s">
        <v>32</v>
      </c>
      <c r="H7071" s="0" t="n">
        <v>12</v>
      </c>
      <c r="I7071" s="0" t="s">
        <v>23533</v>
      </c>
      <c r="J7071" s="0" t="s">
        <v>23534</v>
      </c>
      <c r="K7071" s="0" t="s">
        <v>23535</v>
      </c>
      <c r="L7071" s="0" t="str">
        <f aca="false">HYPERLINK("https://www.ncbi.nlm.nih.gov/nuccore/CP000058.1?report=graph&amp;tracks=[key:gene_model_track,Options:GeneOnly]&amp;mk=2235813:2235832|offset_12|00cc00,2235793:2235812|offset_32|444444,2235770:2235789|offset_55|444444,2235739:2235758|offset_86|444444&amp;v=2235612:2235958&amp;c=444444", "offset 12")</f>
        <v>offset 12</v>
      </c>
    </row>
    <row r="7072" customFormat="false" ht="12.8" hidden="false" customHeight="false" outlineLevel="0" collapsed="false">
      <c r="A7072" s="0" t="s">
        <v>12</v>
      </c>
      <c r="B7072" s="0" t="n">
        <v>2235792</v>
      </c>
      <c r="C7072" s="0" t="n">
        <v>2235812</v>
      </c>
      <c r="D7072" s="0" t="s">
        <v>23532</v>
      </c>
      <c r="E7072" s="0" t="s">
        <v>75</v>
      </c>
      <c r="F7072" s="0" t="s">
        <v>90</v>
      </c>
      <c r="G7072" s="0" t="s">
        <v>36</v>
      </c>
      <c r="H7072" s="0" t="n">
        <v>32</v>
      </c>
      <c r="I7072" s="0" t="s">
        <v>23536</v>
      </c>
      <c r="J7072" s="0" t="s">
        <v>23537</v>
      </c>
      <c r="K7072" s="0" t="s">
        <v>23538</v>
      </c>
      <c r="L7072" s="0" t="str">
        <f aca="false">HYPERLINK("https://www.ncbi.nlm.nih.gov/nuccore/CP000058.1?report=graph&amp;tracks=[key:gene_model_track,Options:GeneOnly]&amp;mk=2235813:2235832|offset_12|444444,2235793:2235812|offset_32|00cc00,2235770:2235789|offset_55|444444,2235739:2235758|offset_86|444444&amp;v=2235612:2235958&amp;c=444444", "offset 32")</f>
        <v>offset 32</v>
      </c>
    </row>
    <row r="7073" customFormat="false" ht="12.8" hidden="false" customHeight="false" outlineLevel="0" collapsed="false">
      <c r="A7073" s="0" t="s">
        <v>12</v>
      </c>
      <c r="B7073" s="0" t="n">
        <v>2235769</v>
      </c>
      <c r="C7073" s="0" t="n">
        <v>2235789</v>
      </c>
      <c r="D7073" s="0" t="s">
        <v>23532</v>
      </c>
      <c r="E7073" s="0" t="s">
        <v>75</v>
      </c>
      <c r="F7073" s="0" t="s">
        <v>90</v>
      </c>
      <c r="G7073" s="0" t="s">
        <v>36</v>
      </c>
      <c r="H7073" s="0" t="n">
        <v>55</v>
      </c>
      <c r="I7073" s="0" t="s">
        <v>23539</v>
      </c>
      <c r="J7073" s="0" t="s">
        <v>23540</v>
      </c>
      <c r="K7073" s="0" t="s">
        <v>23541</v>
      </c>
      <c r="L7073" s="0" t="str">
        <f aca="false">HYPERLINK("https://www.ncbi.nlm.nih.gov/nuccore/CP000058.1?report=graph&amp;tracks=[key:gene_model_track,Options:GeneOnly]&amp;mk=2235813:2235832|offset_12|444444,2235793:2235812|offset_32|444444,2235770:2235789|offset_55|00cc00,2235739:2235758|offset_86|444444&amp;v=2235612:2235958&amp;c=444444", "offset 55")</f>
        <v>offset 55</v>
      </c>
    </row>
    <row r="7074" customFormat="false" ht="12.8" hidden="false" customHeight="false" outlineLevel="0" collapsed="false">
      <c r="A7074" s="0" t="s">
        <v>12</v>
      </c>
      <c r="B7074" s="0" t="n">
        <v>2235738</v>
      </c>
      <c r="C7074" s="0" t="n">
        <v>2235758</v>
      </c>
      <c r="D7074" s="0" t="s">
        <v>23532</v>
      </c>
      <c r="E7074" s="0" t="s">
        <v>75</v>
      </c>
      <c r="F7074" s="0" t="s">
        <v>90</v>
      </c>
      <c r="G7074" s="0" t="s">
        <v>20</v>
      </c>
      <c r="H7074" s="0" t="n">
        <v>86</v>
      </c>
      <c r="I7074" s="0" t="s">
        <v>23542</v>
      </c>
      <c r="J7074" s="0" t="s">
        <v>23543</v>
      </c>
      <c r="K7074" s="0" t="s">
        <v>23544</v>
      </c>
      <c r="L7074" s="0" t="str">
        <f aca="false">HYPERLINK("https://www.ncbi.nlm.nih.gov/nuccore/CP000058.1?report=graph&amp;tracks=[key:gene_model_track,Options:GeneOnly]&amp;mk=2235813:2235832|offset_12|444444,2235793:2235812|offset_32|444444,2235770:2235789|offset_55|444444,2235739:2235758|offset_86|00cc00&amp;v=2235612:2235958&amp;c=444444", "offset 86")</f>
        <v>offset 86</v>
      </c>
    </row>
    <row r="7075" customFormat="false" ht="12.8" hidden="false" customHeight="false" outlineLevel="0" collapsed="false">
      <c r="A7075" s="0" t="s">
        <v>12</v>
      </c>
      <c r="B7075" s="0" t="n">
        <v>2236143</v>
      </c>
      <c r="C7075" s="0" t="n">
        <v>2236163</v>
      </c>
      <c r="D7075" s="0" t="s">
        <v>23545</v>
      </c>
      <c r="E7075" s="0" t="s">
        <v>75</v>
      </c>
      <c r="F7075" s="0" t="s">
        <v>90</v>
      </c>
      <c r="G7075" s="0" t="s">
        <v>36</v>
      </c>
      <c r="H7075" s="0" t="n">
        <v>10</v>
      </c>
      <c r="I7075" s="0" t="s">
        <v>23546</v>
      </c>
      <c r="J7075" s="0" t="s">
        <v>23547</v>
      </c>
      <c r="K7075" s="0" t="s">
        <v>23548</v>
      </c>
      <c r="L7075" s="0" t="str">
        <f aca="false">HYPERLINK("https://www.ncbi.nlm.nih.gov/nuccore/CP000058.1?report=graph&amp;tracks=[key:gene_model_track,Options:GeneOnly]&amp;mk=2236144:2236163|offset_10|00cc00,2236117:2236136|offset_37|444444,2236068:2236087|offset_86|444444,2236021:2236040|offset_133|444444&amp;v=2235943:2236240&amp;c=444444", "offset 10")</f>
        <v>offset 10</v>
      </c>
    </row>
    <row r="7076" customFormat="false" ht="12.8" hidden="false" customHeight="false" outlineLevel="0" collapsed="false">
      <c r="A7076" s="0" t="s">
        <v>12</v>
      </c>
      <c r="B7076" s="0" t="n">
        <v>2236116</v>
      </c>
      <c r="C7076" s="0" t="n">
        <v>2236136</v>
      </c>
      <c r="D7076" s="0" t="s">
        <v>23545</v>
      </c>
      <c r="E7076" s="0" t="s">
        <v>75</v>
      </c>
      <c r="F7076" s="0" t="s">
        <v>90</v>
      </c>
      <c r="G7076" s="0" t="s">
        <v>32</v>
      </c>
      <c r="H7076" s="0" t="n">
        <v>37</v>
      </c>
      <c r="I7076" s="0" t="s">
        <v>23549</v>
      </c>
      <c r="J7076" s="0" t="s">
        <v>23550</v>
      </c>
      <c r="K7076" s="0" t="s">
        <v>23551</v>
      </c>
      <c r="L7076" s="0" t="str">
        <f aca="false">HYPERLINK("https://www.ncbi.nlm.nih.gov/nuccore/CP000058.1?report=graph&amp;tracks=[key:gene_model_track,Options:GeneOnly]&amp;mk=2236144:2236163|offset_10|444444,2236117:2236136|offset_37|00cc00,2236068:2236087|offset_86|444444,2236021:2236040|offset_133|444444&amp;v=2235943:2236240&amp;c=444444", "offset 37")</f>
        <v>offset 37</v>
      </c>
    </row>
    <row r="7077" customFormat="false" ht="12.8" hidden="false" customHeight="false" outlineLevel="0" collapsed="false">
      <c r="A7077" s="0" t="s">
        <v>12</v>
      </c>
      <c r="B7077" s="0" t="n">
        <v>2236067</v>
      </c>
      <c r="C7077" s="0" t="n">
        <v>2236087</v>
      </c>
      <c r="D7077" s="0" t="s">
        <v>23545</v>
      </c>
      <c r="E7077" s="0" t="s">
        <v>75</v>
      </c>
      <c r="F7077" s="0" t="s">
        <v>90</v>
      </c>
      <c r="G7077" s="0" t="s">
        <v>36</v>
      </c>
      <c r="H7077" s="0" t="n">
        <v>86</v>
      </c>
      <c r="I7077" s="0" t="s">
        <v>23552</v>
      </c>
      <c r="J7077" s="0" t="s">
        <v>23553</v>
      </c>
      <c r="K7077" s="0" t="s">
        <v>23554</v>
      </c>
      <c r="L7077" s="0" t="str">
        <f aca="false">HYPERLINK("https://www.ncbi.nlm.nih.gov/nuccore/CP000058.1?report=graph&amp;tracks=[key:gene_model_track,Options:GeneOnly]&amp;mk=2236144:2236163|offset_10|444444,2236117:2236136|offset_37|444444,2236068:2236087|offset_86|00cc00,2236021:2236040|offset_133|444444&amp;v=2235943:2236240&amp;c=444444", "offset 86")</f>
        <v>offset 86</v>
      </c>
    </row>
    <row r="7078" customFormat="false" ht="12.8" hidden="false" customHeight="false" outlineLevel="0" collapsed="false">
      <c r="A7078" s="0" t="s">
        <v>12</v>
      </c>
      <c r="B7078" s="0" t="n">
        <v>2236020</v>
      </c>
      <c r="C7078" s="0" t="n">
        <v>2236040</v>
      </c>
      <c r="D7078" s="0" t="s">
        <v>23545</v>
      </c>
      <c r="E7078" s="0" t="s">
        <v>75</v>
      </c>
      <c r="F7078" s="0" t="s">
        <v>90</v>
      </c>
      <c r="G7078" s="0" t="s">
        <v>16</v>
      </c>
      <c r="H7078" s="0" t="n">
        <v>133</v>
      </c>
      <c r="I7078" s="0" t="s">
        <v>23555</v>
      </c>
      <c r="J7078" s="0" t="s">
        <v>23556</v>
      </c>
      <c r="K7078" s="0" t="s">
        <v>23557</v>
      </c>
      <c r="L7078" s="0" t="str">
        <f aca="false">HYPERLINK("https://www.ncbi.nlm.nih.gov/nuccore/CP000058.1?report=graph&amp;tracks=[key:gene_model_track,Options:GeneOnly]&amp;mk=2236144:2236163|offset_10|444444,2236117:2236136|offset_37|444444,2236068:2236087|offset_86|444444,2236021:2236040|offset_133|00cc00&amp;v=2235943:2236240&amp;c=444444", "offset 133")</f>
        <v>offset 133</v>
      </c>
    </row>
    <row r="7079" customFormat="false" ht="12.8" hidden="false" customHeight="false" outlineLevel="0" collapsed="false">
      <c r="A7079" s="0" t="s">
        <v>12</v>
      </c>
      <c r="B7079" s="0" t="n">
        <v>2236679</v>
      </c>
      <c r="C7079" s="0" t="n">
        <v>2236699</v>
      </c>
      <c r="D7079" s="0" t="s">
        <v>23558</v>
      </c>
      <c r="E7079" s="0" t="s">
        <v>75</v>
      </c>
      <c r="F7079" s="0" t="s">
        <v>90</v>
      </c>
      <c r="G7079" s="0" t="s">
        <v>16</v>
      </c>
      <c r="H7079" s="0" t="n">
        <v>13</v>
      </c>
      <c r="I7079" s="0" t="s">
        <v>23559</v>
      </c>
      <c r="J7079" s="0" t="s">
        <v>23560</v>
      </c>
      <c r="K7079" s="0" t="s">
        <v>23561</v>
      </c>
      <c r="L7079" s="0" t="str">
        <f aca="false">HYPERLINK("https://www.ncbi.nlm.nih.gov/nuccore/CP000058.1?report=graph&amp;tracks=[key:gene_model_track,Options:GeneOnly]&amp;mk=2236680:2236699|offset_13|00cc00,2236625:2236644|offset_68|444444,2236582:2236601|offset_111|444444,2236538:2236557|offset_155|444444&amp;v=2236479:2236757&amp;c=444444", "offset 13")</f>
        <v>offset 13</v>
      </c>
    </row>
    <row r="7080" customFormat="false" ht="12.8" hidden="false" customHeight="false" outlineLevel="0" collapsed="false">
      <c r="A7080" s="0" t="s">
        <v>12</v>
      </c>
      <c r="B7080" s="0" t="n">
        <v>2236624</v>
      </c>
      <c r="C7080" s="0" t="n">
        <v>2236644</v>
      </c>
      <c r="D7080" s="0" t="s">
        <v>23558</v>
      </c>
      <c r="E7080" s="0" t="s">
        <v>75</v>
      </c>
      <c r="F7080" s="0" t="s">
        <v>90</v>
      </c>
      <c r="G7080" s="0" t="s">
        <v>32</v>
      </c>
      <c r="H7080" s="0" t="n">
        <v>68</v>
      </c>
      <c r="I7080" s="0" t="s">
        <v>23562</v>
      </c>
      <c r="J7080" s="0" t="s">
        <v>23563</v>
      </c>
      <c r="K7080" s="0" t="s">
        <v>23564</v>
      </c>
      <c r="L7080" s="0" t="str">
        <f aca="false">HYPERLINK("https://www.ncbi.nlm.nih.gov/nuccore/CP000058.1?report=graph&amp;tracks=[key:gene_model_track,Options:GeneOnly]&amp;mk=2236680:2236699|offset_13|444444,2236625:2236644|offset_68|00cc00,2236582:2236601|offset_111|444444,2236538:2236557|offset_155|444444&amp;v=2236479:2236757&amp;c=444444", "offset 68")</f>
        <v>offset 68</v>
      </c>
    </row>
    <row r="7081" customFormat="false" ht="12.8" hidden="false" customHeight="false" outlineLevel="0" collapsed="false">
      <c r="A7081" s="0" t="s">
        <v>12</v>
      </c>
      <c r="B7081" s="0" t="n">
        <v>2236581</v>
      </c>
      <c r="C7081" s="0" t="n">
        <v>2236601</v>
      </c>
      <c r="D7081" s="0" t="s">
        <v>23558</v>
      </c>
      <c r="E7081" s="0" t="s">
        <v>75</v>
      </c>
      <c r="F7081" s="0" t="s">
        <v>90</v>
      </c>
      <c r="G7081" s="0" t="s">
        <v>36</v>
      </c>
      <c r="H7081" s="0" t="n">
        <v>111</v>
      </c>
      <c r="I7081" s="0" t="s">
        <v>23565</v>
      </c>
      <c r="J7081" s="0" t="s">
        <v>23566</v>
      </c>
      <c r="K7081" s="0" t="s">
        <v>23567</v>
      </c>
      <c r="L7081" s="0" t="str">
        <f aca="false">HYPERLINK("https://www.ncbi.nlm.nih.gov/nuccore/CP000058.1?report=graph&amp;tracks=[key:gene_model_track,Options:GeneOnly]&amp;mk=2236680:2236699|offset_13|444444,2236625:2236644|offset_68|444444,2236582:2236601|offset_111|00cc00,2236538:2236557|offset_155|444444&amp;v=2236479:2236757&amp;c=444444", "offset 111")</f>
        <v>offset 111</v>
      </c>
    </row>
    <row r="7082" customFormat="false" ht="12.8" hidden="false" customHeight="false" outlineLevel="0" collapsed="false">
      <c r="A7082" s="0" t="s">
        <v>12</v>
      </c>
      <c r="B7082" s="0" t="n">
        <v>2236537</v>
      </c>
      <c r="C7082" s="0" t="n">
        <v>2236557</v>
      </c>
      <c r="D7082" s="0" t="s">
        <v>23558</v>
      </c>
      <c r="E7082" s="0" t="s">
        <v>75</v>
      </c>
      <c r="F7082" s="0" t="s">
        <v>90</v>
      </c>
      <c r="G7082" s="0" t="s">
        <v>20</v>
      </c>
      <c r="H7082" s="0" t="n">
        <v>155</v>
      </c>
      <c r="I7082" s="0" t="s">
        <v>23568</v>
      </c>
      <c r="J7082" s="0" t="s">
        <v>23569</v>
      </c>
      <c r="K7082" s="0" t="s">
        <v>23570</v>
      </c>
      <c r="L7082" s="0" t="str">
        <f aca="false">HYPERLINK("https://www.ncbi.nlm.nih.gov/nuccore/CP000058.1?report=graph&amp;tracks=[key:gene_model_track,Options:GeneOnly]&amp;mk=2236680:2236699|offset_13|444444,2236625:2236644|offset_68|444444,2236582:2236601|offset_111|444444,2236538:2236557|offset_155|00cc00&amp;v=2236479:2236757&amp;c=444444", "offset 155")</f>
        <v>offset 155</v>
      </c>
    </row>
    <row r="7083" customFormat="false" ht="12.8" hidden="false" customHeight="false" outlineLevel="0" collapsed="false">
      <c r="A7083" s="0" t="s">
        <v>12</v>
      </c>
      <c r="B7083" s="0" t="n">
        <v>2237914</v>
      </c>
      <c r="C7083" s="0" t="n">
        <v>2237934</v>
      </c>
      <c r="D7083" s="0" t="s">
        <v>23571</v>
      </c>
      <c r="E7083" s="0" t="s">
        <v>75</v>
      </c>
      <c r="F7083" s="0" t="s">
        <v>90</v>
      </c>
      <c r="G7083" s="0" t="s">
        <v>32</v>
      </c>
      <c r="H7083" s="0" t="n">
        <v>1</v>
      </c>
      <c r="I7083" s="0" t="s">
        <v>23572</v>
      </c>
      <c r="J7083" s="0" t="s">
        <v>23573</v>
      </c>
      <c r="K7083" s="0" t="s">
        <v>23574</v>
      </c>
      <c r="L7083" s="0" t="str">
        <f aca="false">HYPERLINK("https://www.ncbi.nlm.nih.gov/nuccore/CP000058.1?report=graph&amp;tracks=[key:gene_model_track,Options:GeneOnly]&amp;mk=2237915:2237934|offset_1|00cc00,2237876:2237895|offset_40|444444,2237856:2237875|offset_60|444444,2237822:2237841|offset_94|444444&amp;v=2237714:2238041&amp;c=444444", "offset 1")</f>
        <v>offset 1</v>
      </c>
    </row>
    <row r="7084" customFormat="false" ht="12.8" hidden="false" customHeight="false" outlineLevel="0" collapsed="false">
      <c r="A7084" s="0" t="s">
        <v>12</v>
      </c>
      <c r="B7084" s="0" t="n">
        <v>2237875</v>
      </c>
      <c r="C7084" s="0" t="n">
        <v>2237895</v>
      </c>
      <c r="D7084" s="0" t="s">
        <v>23571</v>
      </c>
      <c r="E7084" s="0" t="s">
        <v>75</v>
      </c>
      <c r="F7084" s="0" t="s">
        <v>90</v>
      </c>
      <c r="G7084" s="0" t="s">
        <v>36</v>
      </c>
      <c r="H7084" s="0" t="n">
        <v>40</v>
      </c>
      <c r="I7084" s="0" t="s">
        <v>23575</v>
      </c>
      <c r="J7084" s="0" t="s">
        <v>23576</v>
      </c>
      <c r="K7084" s="0" t="s">
        <v>23577</v>
      </c>
      <c r="L7084" s="0" t="str">
        <f aca="false">HYPERLINK("https://www.ncbi.nlm.nih.gov/nuccore/CP000058.1?report=graph&amp;tracks=[key:gene_model_track,Options:GeneOnly]&amp;mk=2237915:2237934|offset_1|444444,2237876:2237895|offset_40|00cc00,2237856:2237875|offset_60|444444,2237822:2237841|offset_94|444444&amp;v=2237714:2238041&amp;c=444444", "offset 40")</f>
        <v>offset 40</v>
      </c>
    </row>
    <row r="7085" customFormat="false" ht="12.8" hidden="false" customHeight="false" outlineLevel="0" collapsed="false">
      <c r="A7085" s="0" t="s">
        <v>12</v>
      </c>
      <c r="B7085" s="0" t="n">
        <v>2237855</v>
      </c>
      <c r="C7085" s="0" t="n">
        <v>2237875</v>
      </c>
      <c r="D7085" s="0" t="s">
        <v>23571</v>
      </c>
      <c r="E7085" s="0" t="s">
        <v>75</v>
      </c>
      <c r="F7085" s="0" t="s">
        <v>90</v>
      </c>
      <c r="G7085" s="0" t="s">
        <v>36</v>
      </c>
      <c r="H7085" s="0" t="n">
        <v>60</v>
      </c>
      <c r="I7085" s="0" t="s">
        <v>23578</v>
      </c>
      <c r="J7085" s="0" t="s">
        <v>23579</v>
      </c>
      <c r="K7085" s="0" t="s">
        <v>23580</v>
      </c>
      <c r="L7085" s="0" t="str">
        <f aca="false">HYPERLINK("https://www.ncbi.nlm.nih.gov/nuccore/CP000058.1?report=graph&amp;tracks=[key:gene_model_track,Options:GeneOnly]&amp;mk=2237915:2237934|offset_1|444444,2237876:2237895|offset_40|444444,2237856:2237875|offset_60|00cc00,2237822:2237841|offset_94|444444&amp;v=2237714:2238041&amp;c=444444", "offset 60")</f>
        <v>offset 60</v>
      </c>
    </row>
    <row r="7086" customFormat="false" ht="12.8" hidden="false" customHeight="false" outlineLevel="0" collapsed="false">
      <c r="A7086" s="0" t="s">
        <v>12</v>
      </c>
      <c r="B7086" s="0" t="n">
        <v>2237821</v>
      </c>
      <c r="C7086" s="0" t="n">
        <v>2237841</v>
      </c>
      <c r="D7086" s="0" t="s">
        <v>23571</v>
      </c>
      <c r="E7086" s="0" t="s">
        <v>75</v>
      </c>
      <c r="F7086" s="0" t="s">
        <v>90</v>
      </c>
      <c r="G7086" s="0" t="s">
        <v>16</v>
      </c>
      <c r="H7086" s="0" t="n">
        <v>94</v>
      </c>
      <c r="I7086" s="0" t="s">
        <v>23581</v>
      </c>
      <c r="J7086" s="0" t="s">
        <v>23582</v>
      </c>
      <c r="K7086" s="0" t="s">
        <v>23583</v>
      </c>
      <c r="L7086" s="0" t="str">
        <f aca="false">HYPERLINK("https://www.ncbi.nlm.nih.gov/nuccore/CP000058.1?report=graph&amp;tracks=[key:gene_model_track,Options:GeneOnly]&amp;mk=2237915:2237934|offset_1|444444,2237876:2237895|offset_40|444444,2237856:2237875|offset_60|444444,2237822:2237841|offset_94|00cc00&amp;v=2237714:2238041&amp;c=444444", "offset 94")</f>
        <v>offset 94</v>
      </c>
    </row>
    <row r="7087" customFormat="false" ht="12.8" hidden="false" customHeight="false" outlineLevel="0" collapsed="false">
      <c r="A7087" s="0" t="s">
        <v>12</v>
      </c>
      <c r="B7087" s="0" t="n">
        <v>2238260</v>
      </c>
      <c r="C7087" s="0" t="n">
        <v>2238280</v>
      </c>
      <c r="D7087" s="0" t="s">
        <v>23584</v>
      </c>
      <c r="E7087" s="0" t="s">
        <v>75</v>
      </c>
      <c r="F7087" s="0" t="s">
        <v>15</v>
      </c>
      <c r="G7087" s="0" t="s">
        <v>16</v>
      </c>
      <c r="H7087" s="0" t="n">
        <v>29</v>
      </c>
      <c r="I7087" s="0" t="s">
        <v>23585</v>
      </c>
      <c r="J7087" s="0" t="s">
        <v>23586</v>
      </c>
      <c r="K7087" s="0" t="s">
        <v>23587</v>
      </c>
      <c r="L7087" s="0" t="str">
        <f aca="false">HYPERLINK("https://www.ncbi.nlm.nih.gov/nuccore/CP000058.1?report=graph&amp;tracks=[key:gene_model_track,Options:GeneOnly]&amp;mk=2238261:2238280|offset_29|00cc00,2238292:2238311|offset_60|444444,2238316:2238335|offset_84|444444,2238355:2238374|offset_123|444444&amp;v=2238060:2238574&amp;c=444444", "offset 29")</f>
        <v>offset 29</v>
      </c>
    </row>
    <row r="7088" customFormat="false" ht="12.8" hidden="false" customHeight="false" outlineLevel="0" collapsed="false">
      <c r="A7088" s="0" t="s">
        <v>12</v>
      </c>
      <c r="B7088" s="0" t="n">
        <v>2238291</v>
      </c>
      <c r="C7088" s="0" t="n">
        <v>2238311</v>
      </c>
      <c r="D7088" s="0" t="s">
        <v>23584</v>
      </c>
      <c r="E7088" s="0" t="s">
        <v>75</v>
      </c>
      <c r="F7088" s="0" t="s">
        <v>15</v>
      </c>
      <c r="G7088" s="0" t="s">
        <v>36</v>
      </c>
      <c r="H7088" s="0" t="n">
        <v>60</v>
      </c>
      <c r="I7088" s="0" t="s">
        <v>23588</v>
      </c>
      <c r="J7088" s="0" t="s">
        <v>23589</v>
      </c>
      <c r="K7088" s="0" t="s">
        <v>23590</v>
      </c>
      <c r="L7088" s="0" t="str">
        <f aca="false">HYPERLINK("https://www.ncbi.nlm.nih.gov/nuccore/CP000058.1?report=graph&amp;tracks=[key:gene_model_track,Options:GeneOnly]&amp;mk=2238261:2238280|offset_29|444444,2238292:2238311|offset_60|00cc00,2238316:2238335|offset_84|444444,2238355:2238374|offset_123|444444&amp;v=2238060:2238574&amp;c=444444", "offset 60")</f>
        <v>offset 60</v>
      </c>
    </row>
    <row r="7089" customFormat="false" ht="12.8" hidden="false" customHeight="false" outlineLevel="0" collapsed="false">
      <c r="A7089" s="0" t="s">
        <v>12</v>
      </c>
      <c r="B7089" s="0" t="n">
        <v>2238315</v>
      </c>
      <c r="C7089" s="0" t="n">
        <v>2238335</v>
      </c>
      <c r="D7089" s="0" t="s">
        <v>23584</v>
      </c>
      <c r="E7089" s="0" t="s">
        <v>75</v>
      </c>
      <c r="F7089" s="0" t="s">
        <v>15</v>
      </c>
      <c r="G7089" s="0" t="s">
        <v>36</v>
      </c>
      <c r="H7089" s="0" t="n">
        <v>84</v>
      </c>
      <c r="I7089" s="0" t="s">
        <v>23591</v>
      </c>
      <c r="J7089" s="0" t="s">
        <v>23592</v>
      </c>
      <c r="K7089" s="0" t="s">
        <v>23593</v>
      </c>
      <c r="L7089" s="0" t="str">
        <f aca="false">HYPERLINK("https://www.ncbi.nlm.nih.gov/nuccore/CP000058.1?report=graph&amp;tracks=[key:gene_model_track,Options:GeneOnly]&amp;mk=2238261:2238280|offset_29|444444,2238292:2238311|offset_60|444444,2238316:2238335|offset_84|00cc00,2238355:2238374|offset_123|444444&amp;v=2238060:2238574&amp;c=444444", "offset 84")</f>
        <v>offset 84</v>
      </c>
    </row>
    <row r="7090" customFormat="false" ht="12.8" hidden="false" customHeight="false" outlineLevel="0" collapsed="false">
      <c r="A7090" s="0" t="s">
        <v>12</v>
      </c>
      <c r="B7090" s="0" t="n">
        <v>2238354</v>
      </c>
      <c r="C7090" s="0" t="n">
        <v>2238374</v>
      </c>
      <c r="D7090" s="0" t="s">
        <v>23584</v>
      </c>
      <c r="E7090" s="0" t="s">
        <v>75</v>
      </c>
      <c r="F7090" s="0" t="s">
        <v>15</v>
      </c>
      <c r="G7090" s="0" t="s">
        <v>32</v>
      </c>
      <c r="H7090" s="0" t="n">
        <v>123</v>
      </c>
      <c r="I7090" s="0" t="s">
        <v>23594</v>
      </c>
      <c r="J7090" s="0" t="s">
        <v>23595</v>
      </c>
      <c r="K7090" s="0" t="s">
        <v>23596</v>
      </c>
      <c r="L7090" s="0" t="str">
        <f aca="false">HYPERLINK("https://www.ncbi.nlm.nih.gov/nuccore/CP000058.1?report=graph&amp;tracks=[key:gene_model_track,Options:GeneOnly]&amp;mk=2238261:2238280|offset_29|444444,2238292:2238311|offset_60|444444,2238316:2238335|offset_84|444444,2238355:2238374|offset_123|00cc00&amp;v=2238060:2238574&amp;c=444444", "offset 123")</f>
        <v>offset 123</v>
      </c>
    </row>
    <row r="7091" customFormat="false" ht="12.8" hidden="false" customHeight="false" outlineLevel="0" collapsed="false">
      <c r="A7091" s="0" t="s">
        <v>12</v>
      </c>
      <c r="B7091" s="0" t="n">
        <v>2239740</v>
      </c>
      <c r="C7091" s="0" t="n">
        <v>2239760</v>
      </c>
      <c r="D7091" s="0" t="s">
        <v>23597</v>
      </c>
      <c r="E7091" s="0" t="s">
        <v>75</v>
      </c>
      <c r="F7091" s="0" t="s">
        <v>15</v>
      </c>
      <c r="G7091" s="0" t="s">
        <v>36</v>
      </c>
      <c r="H7091" s="0" t="n">
        <v>20</v>
      </c>
      <c r="I7091" s="0" t="s">
        <v>23598</v>
      </c>
      <c r="J7091" s="0" t="s">
        <v>23599</v>
      </c>
      <c r="K7091" s="0" t="s">
        <v>23600</v>
      </c>
      <c r="L7091" s="0" t="str">
        <f aca="false">HYPERLINK("https://www.ncbi.nlm.nih.gov/nuccore/CP000058.1?report=graph&amp;tracks=[key:gene_model_track,Options:GeneOnly]&amp;mk=2239741:2239760|offset_20|00cc00,2239767:2239786|offset_46|444444,2239791:2239810|offset_70|444444,2239825:2239844|offset_104|444444&amp;v=2239540:2240044&amp;c=444444", "offset 20")</f>
        <v>offset 20</v>
      </c>
    </row>
    <row r="7092" customFormat="false" ht="12.8" hidden="false" customHeight="false" outlineLevel="0" collapsed="false">
      <c r="A7092" s="0" t="s">
        <v>12</v>
      </c>
      <c r="B7092" s="0" t="n">
        <v>2239766</v>
      </c>
      <c r="C7092" s="0" t="n">
        <v>2239786</v>
      </c>
      <c r="D7092" s="0" t="s">
        <v>23597</v>
      </c>
      <c r="E7092" s="0" t="s">
        <v>75</v>
      </c>
      <c r="F7092" s="0" t="s">
        <v>15</v>
      </c>
      <c r="G7092" s="0" t="s">
        <v>16</v>
      </c>
      <c r="H7092" s="0" t="n">
        <v>46</v>
      </c>
      <c r="I7092" s="0" t="s">
        <v>23601</v>
      </c>
      <c r="J7092" s="0" t="s">
        <v>23602</v>
      </c>
      <c r="K7092" s="0" t="s">
        <v>23603</v>
      </c>
      <c r="L7092" s="0" t="str">
        <f aca="false">HYPERLINK("https://www.ncbi.nlm.nih.gov/nuccore/CP000058.1?report=graph&amp;tracks=[key:gene_model_track,Options:GeneOnly]&amp;mk=2239741:2239760|offset_20|444444,2239767:2239786|offset_46|00cc00,2239791:2239810|offset_70|444444,2239825:2239844|offset_104|444444&amp;v=2239540:2240044&amp;c=444444", "offset 46")</f>
        <v>offset 46</v>
      </c>
    </row>
    <row r="7093" customFormat="false" ht="12.8" hidden="false" customHeight="false" outlineLevel="0" collapsed="false">
      <c r="A7093" s="0" t="s">
        <v>12</v>
      </c>
      <c r="B7093" s="0" t="n">
        <v>2239790</v>
      </c>
      <c r="C7093" s="0" t="n">
        <v>2239810</v>
      </c>
      <c r="D7093" s="0" t="s">
        <v>23597</v>
      </c>
      <c r="E7093" s="0" t="s">
        <v>75</v>
      </c>
      <c r="F7093" s="0" t="s">
        <v>15</v>
      </c>
      <c r="G7093" s="0" t="s">
        <v>36</v>
      </c>
      <c r="H7093" s="0" t="n">
        <v>70</v>
      </c>
      <c r="I7093" s="0" t="s">
        <v>23604</v>
      </c>
      <c r="J7093" s="0" t="s">
        <v>23605</v>
      </c>
      <c r="K7093" s="0" t="s">
        <v>23606</v>
      </c>
      <c r="L7093" s="0" t="str">
        <f aca="false">HYPERLINK("https://www.ncbi.nlm.nih.gov/nuccore/CP000058.1?report=graph&amp;tracks=[key:gene_model_track,Options:GeneOnly]&amp;mk=2239741:2239760|offset_20|444444,2239767:2239786|offset_46|444444,2239791:2239810|offset_70|00cc00,2239825:2239844|offset_104|444444&amp;v=2239540:2240044&amp;c=444444", "offset 70")</f>
        <v>offset 70</v>
      </c>
    </row>
    <row r="7094" customFormat="false" ht="12.8" hidden="false" customHeight="false" outlineLevel="0" collapsed="false">
      <c r="A7094" s="0" t="s">
        <v>12</v>
      </c>
      <c r="B7094" s="0" t="n">
        <v>2239824</v>
      </c>
      <c r="C7094" s="0" t="n">
        <v>2239844</v>
      </c>
      <c r="D7094" s="0" t="s">
        <v>23597</v>
      </c>
      <c r="E7094" s="0" t="s">
        <v>75</v>
      </c>
      <c r="F7094" s="0" t="s">
        <v>15</v>
      </c>
      <c r="G7094" s="0" t="s">
        <v>36</v>
      </c>
      <c r="H7094" s="0" t="n">
        <v>104</v>
      </c>
      <c r="I7094" s="0" t="s">
        <v>23607</v>
      </c>
      <c r="J7094" s="0" t="s">
        <v>23608</v>
      </c>
      <c r="K7094" s="0" t="s">
        <v>23609</v>
      </c>
      <c r="L7094" s="0" t="str">
        <f aca="false">HYPERLINK("https://www.ncbi.nlm.nih.gov/nuccore/CP000058.1?report=graph&amp;tracks=[key:gene_model_track,Options:GeneOnly]&amp;mk=2239741:2239760|offset_20|444444,2239767:2239786|offset_46|444444,2239791:2239810|offset_70|444444,2239825:2239844|offset_104|00cc00&amp;v=2239540:2240044&amp;c=444444", "offset 104")</f>
        <v>offset 104</v>
      </c>
    </row>
    <row r="7095" customFormat="false" ht="12.8" hidden="false" customHeight="false" outlineLevel="0" collapsed="false">
      <c r="A7095" s="0" t="s">
        <v>12</v>
      </c>
      <c r="B7095" s="0" t="n">
        <v>2243038</v>
      </c>
      <c r="C7095" s="0" t="n">
        <v>2243058</v>
      </c>
      <c r="D7095" s="0" t="s">
        <v>23610</v>
      </c>
      <c r="E7095" s="0" t="s">
        <v>75</v>
      </c>
      <c r="F7095" s="0" t="s">
        <v>15</v>
      </c>
      <c r="G7095" s="0" t="s">
        <v>16</v>
      </c>
      <c r="H7095" s="0" t="n">
        <v>7</v>
      </c>
      <c r="I7095" s="0" t="s">
        <v>23611</v>
      </c>
      <c r="J7095" s="0" t="s">
        <v>23612</v>
      </c>
      <c r="K7095" s="0" t="s">
        <v>23613</v>
      </c>
      <c r="L7095" s="0" t="str">
        <f aca="false">HYPERLINK("https://www.ncbi.nlm.nih.gov/nuccore/CP000058.1?report=graph&amp;tracks=[key:gene_model_track,Options:GeneOnly]&amp;mk=2243039:2243058|offset_7|00cc00,2243079:2243098|offset_47|444444,2243106:2243125|offset_74|444444,2243142:2243161|offset_110|444444&amp;v=2242838:2243361&amp;c=444444", "offset 7")</f>
        <v>offset 7</v>
      </c>
    </row>
    <row r="7096" customFormat="false" ht="12.8" hidden="false" customHeight="false" outlineLevel="0" collapsed="false">
      <c r="A7096" s="0" t="s">
        <v>12</v>
      </c>
      <c r="B7096" s="0" t="n">
        <v>2243078</v>
      </c>
      <c r="C7096" s="0" t="n">
        <v>2243098</v>
      </c>
      <c r="D7096" s="0" t="s">
        <v>23610</v>
      </c>
      <c r="E7096" s="0" t="s">
        <v>75</v>
      </c>
      <c r="F7096" s="0" t="s">
        <v>15</v>
      </c>
      <c r="G7096" s="0" t="s">
        <v>20</v>
      </c>
      <c r="H7096" s="0" t="n">
        <v>47</v>
      </c>
      <c r="I7096" s="0" t="s">
        <v>23614</v>
      </c>
      <c r="J7096" s="0" t="s">
        <v>23615</v>
      </c>
      <c r="K7096" s="0" t="s">
        <v>23616</v>
      </c>
      <c r="L7096" s="0" t="str">
        <f aca="false">HYPERLINK("https://www.ncbi.nlm.nih.gov/nuccore/CP000058.1?report=graph&amp;tracks=[key:gene_model_track,Options:GeneOnly]&amp;mk=2243039:2243058|offset_7|444444,2243079:2243098|offset_47|00cc00,2243106:2243125|offset_74|444444,2243142:2243161|offset_110|444444&amp;v=2242838:2243361&amp;c=444444", "offset 47")</f>
        <v>offset 47</v>
      </c>
    </row>
    <row r="7097" customFormat="false" ht="12.8" hidden="false" customHeight="false" outlineLevel="0" collapsed="false">
      <c r="A7097" s="0" t="s">
        <v>12</v>
      </c>
      <c r="B7097" s="0" t="n">
        <v>2243105</v>
      </c>
      <c r="C7097" s="0" t="n">
        <v>2243125</v>
      </c>
      <c r="D7097" s="0" t="s">
        <v>23610</v>
      </c>
      <c r="E7097" s="0" t="s">
        <v>75</v>
      </c>
      <c r="F7097" s="0" t="s">
        <v>15</v>
      </c>
      <c r="G7097" s="0" t="s">
        <v>20</v>
      </c>
      <c r="H7097" s="0" t="n">
        <v>74</v>
      </c>
      <c r="I7097" s="0" t="s">
        <v>23617</v>
      </c>
      <c r="J7097" s="0" t="s">
        <v>23618</v>
      </c>
      <c r="K7097" s="0" t="s">
        <v>23619</v>
      </c>
      <c r="L7097" s="0" t="str">
        <f aca="false">HYPERLINK("https://www.ncbi.nlm.nih.gov/nuccore/CP000058.1?report=graph&amp;tracks=[key:gene_model_track,Options:GeneOnly]&amp;mk=2243039:2243058|offset_7|444444,2243079:2243098|offset_47|444444,2243106:2243125|offset_74|00cc00,2243142:2243161|offset_110|444444&amp;v=2242838:2243361&amp;c=444444", "offset 74")</f>
        <v>offset 74</v>
      </c>
    </row>
    <row r="7098" customFormat="false" ht="12.8" hidden="false" customHeight="false" outlineLevel="0" collapsed="false">
      <c r="A7098" s="0" t="s">
        <v>12</v>
      </c>
      <c r="B7098" s="0" t="n">
        <v>2243141</v>
      </c>
      <c r="C7098" s="0" t="n">
        <v>2243161</v>
      </c>
      <c r="D7098" s="0" t="s">
        <v>23610</v>
      </c>
      <c r="E7098" s="0" t="s">
        <v>75</v>
      </c>
      <c r="F7098" s="0" t="s">
        <v>15</v>
      </c>
      <c r="G7098" s="0" t="s">
        <v>20</v>
      </c>
      <c r="H7098" s="0" t="n">
        <v>110</v>
      </c>
      <c r="I7098" s="0" t="s">
        <v>23620</v>
      </c>
      <c r="J7098" s="0" t="s">
        <v>23621</v>
      </c>
      <c r="K7098" s="0" t="s">
        <v>23622</v>
      </c>
      <c r="L7098" s="0" t="str">
        <f aca="false">HYPERLINK("https://www.ncbi.nlm.nih.gov/nuccore/CP000058.1?report=graph&amp;tracks=[key:gene_model_track,Options:GeneOnly]&amp;mk=2243039:2243058|offset_7|444444,2243079:2243098|offset_47|444444,2243106:2243125|offset_74|444444,2243142:2243161|offset_110|00cc00&amp;v=2242838:2243361&amp;c=444444", "offset 110")</f>
        <v>offset 110</v>
      </c>
    </row>
    <row r="7099" customFormat="false" ht="12.8" hidden="false" customHeight="false" outlineLevel="0" collapsed="false">
      <c r="A7099" s="0" t="s">
        <v>12</v>
      </c>
      <c r="B7099" s="0" t="n">
        <v>2250986</v>
      </c>
      <c r="C7099" s="0" t="n">
        <v>2251006</v>
      </c>
      <c r="D7099" s="0" t="s">
        <v>23623</v>
      </c>
      <c r="E7099" s="0" t="s">
        <v>75</v>
      </c>
      <c r="F7099" s="0" t="s">
        <v>15</v>
      </c>
      <c r="G7099" s="0" t="s">
        <v>32</v>
      </c>
      <c r="H7099" s="0" t="n">
        <v>0</v>
      </c>
      <c r="I7099" s="0" t="s">
        <v>23624</v>
      </c>
      <c r="J7099" s="0" t="s">
        <v>23625</v>
      </c>
      <c r="K7099" s="0" t="s">
        <v>23626</v>
      </c>
      <c r="L7099" s="0" t="str">
        <f aca="false">HYPERLINK("https://www.ncbi.nlm.nih.gov/nuccore/CP000058.1?report=graph&amp;tracks=[key:gene_model_track,Options:GeneOnly]&amp;mk=2250987:2251006|offset_0|00cc00,2251009:2251028|offset_22|444444,2251052:2251071|offset_65|444444,2251092:2251111|offset_105|444444&amp;v=2250786:2251311&amp;c=444444", "offset 0")</f>
        <v>offset 0</v>
      </c>
    </row>
    <row r="7100" customFormat="false" ht="12.8" hidden="false" customHeight="false" outlineLevel="0" collapsed="false">
      <c r="A7100" s="0" t="s">
        <v>12</v>
      </c>
      <c r="B7100" s="0" t="n">
        <v>2251008</v>
      </c>
      <c r="C7100" s="0" t="n">
        <v>2251028</v>
      </c>
      <c r="D7100" s="0" t="s">
        <v>23623</v>
      </c>
      <c r="E7100" s="0" t="s">
        <v>75</v>
      </c>
      <c r="F7100" s="0" t="s">
        <v>15</v>
      </c>
      <c r="G7100" s="0" t="s">
        <v>16</v>
      </c>
      <c r="H7100" s="0" t="n">
        <v>22</v>
      </c>
      <c r="I7100" s="0" t="s">
        <v>23627</v>
      </c>
      <c r="J7100" s="0" t="s">
        <v>23628</v>
      </c>
      <c r="K7100" s="0" t="s">
        <v>23629</v>
      </c>
      <c r="L7100" s="0" t="str">
        <f aca="false">HYPERLINK("https://www.ncbi.nlm.nih.gov/nuccore/CP000058.1?report=graph&amp;tracks=[key:gene_model_track,Options:GeneOnly]&amp;mk=2250987:2251006|offset_0|444444,2251009:2251028|offset_22|00cc00,2251052:2251071|offset_65|444444,2251092:2251111|offset_105|444444&amp;v=2250786:2251311&amp;c=444444", "offset 22")</f>
        <v>offset 22</v>
      </c>
    </row>
    <row r="7101" customFormat="false" ht="12.8" hidden="false" customHeight="false" outlineLevel="0" collapsed="false">
      <c r="A7101" s="0" t="s">
        <v>12</v>
      </c>
      <c r="B7101" s="0" t="n">
        <v>2251051</v>
      </c>
      <c r="C7101" s="0" t="n">
        <v>2251071</v>
      </c>
      <c r="D7101" s="0" t="s">
        <v>23623</v>
      </c>
      <c r="E7101" s="0" t="s">
        <v>75</v>
      </c>
      <c r="F7101" s="0" t="s">
        <v>15</v>
      </c>
      <c r="G7101" s="0" t="s">
        <v>20</v>
      </c>
      <c r="H7101" s="0" t="n">
        <v>65</v>
      </c>
      <c r="I7101" s="0" t="s">
        <v>23630</v>
      </c>
      <c r="J7101" s="0" t="s">
        <v>23631</v>
      </c>
      <c r="K7101" s="0" t="s">
        <v>23632</v>
      </c>
      <c r="L7101" s="0" t="str">
        <f aca="false">HYPERLINK("https://www.ncbi.nlm.nih.gov/nuccore/CP000058.1?report=graph&amp;tracks=[key:gene_model_track,Options:GeneOnly]&amp;mk=2250987:2251006|offset_0|444444,2251009:2251028|offset_22|444444,2251052:2251071|offset_65|00cc00,2251092:2251111|offset_105|444444&amp;v=2250786:2251311&amp;c=444444", "offset 65")</f>
        <v>offset 65</v>
      </c>
    </row>
    <row r="7102" customFormat="false" ht="12.8" hidden="false" customHeight="false" outlineLevel="0" collapsed="false">
      <c r="A7102" s="0" t="s">
        <v>12</v>
      </c>
      <c r="B7102" s="0" t="n">
        <v>2251091</v>
      </c>
      <c r="C7102" s="0" t="n">
        <v>2251111</v>
      </c>
      <c r="D7102" s="0" t="s">
        <v>23623</v>
      </c>
      <c r="E7102" s="0" t="s">
        <v>75</v>
      </c>
      <c r="F7102" s="0" t="s">
        <v>15</v>
      </c>
      <c r="G7102" s="0" t="s">
        <v>16</v>
      </c>
      <c r="H7102" s="0" t="n">
        <v>105</v>
      </c>
      <c r="I7102" s="0" t="s">
        <v>23633</v>
      </c>
      <c r="J7102" s="0" t="s">
        <v>23634</v>
      </c>
      <c r="K7102" s="0" t="s">
        <v>23635</v>
      </c>
      <c r="L7102" s="0" t="str">
        <f aca="false">HYPERLINK("https://www.ncbi.nlm.nih.gov/nuccore/CP000058.1?report=graph&amp;tracks=[key:gene_model_track,Options:GeneOnly]&amp;mk=2250987:2251006|offset_0|444444,2251009:2251028|offset_22|444444,2251052:2251071|offset_65|444444,2251092:2251111|offset_105|00cc00&amp;v=2250786:2251311&amp;c=444444", "offset 105")</f>
        <v>offset 105</v>
      </c>
    </row>
    <row r="7103" customFormat="false" ht="12.8" hidden="false" customHeight="false" outlineLevel="0" collapsed="false">
      <c r="A7103" s="0" t="s">
        <v>12</v>
      </c>
      <c r="B7103" s="0" t="n">
        <v>2257474</v>
      </c>
      <c r="C7103" s="0" t="n">
        <v>2257494</v>
      </c>
      <c r="D7103" s="0" t="s">
        <v>23636</v>
      </c>
      <c r="E7103" s="0" t="s">
        <v>75</v>
      </c>
      <c r="F7103" s="0" t="s">
        <v>15</v>
      </c>
      <c r="G7103" s="0" t="s">
        <v>36</v>
      </c>
      <c r="H7103" s="0" t="n">
        <v>31</v>
      </c>
      <c r="I7103" s="0" t="s">
        <v>23637</v>
      </c>
      <c r="J7103" s="0" t="s">
        <v>23638</v>
      </c>
      <c r="K7103" s="0" t="s">
        <v>23639</v>
      </c>
      <c r="L7103" s="0" t="str">
        <f aca="false">HYPERLINK("https://www.ncbi.nlm.nih.gov/nuccore/CP000058.1?report=graph&amp;tracks=[key:gene_model_track,Options:GeneOnly]&amp;mk=2257475:2257494|offset_31|00cc00,2257495:2257514|offset_51|444444,2257538:2257557|offset_94|444444,2257561:2257580|offset_117|444444&amp;v=2257274:2257780&amp;c=444444", "offset 31")</f>
        <v>offset 31</v>
      </c>
    </row>
    <row r="7104" customFormat="false" ht="12.8" hidden="false" customHeight="false" outlineLevel="0" collapsed="false">
      <c r="A7104" s="0" t="s">
        <v>12</v>
      </c>
      <c r="B7104" s="0" t="n">
        <v>2257494</v>
      </c>
      <c r="C7104" s="0" t="n">
        <v>2257514</v>
      </c>
      <c r="D7104" s="0" t="s">
        <v>23636</v>
      </c>
      <c r="E7104" s="0" t="s">
        <v>75</v>
      </c>
      <c r="F7104" s="0" t="s">
        <v>15</v>
      </c>
      <c r="G7104" s="0" t="s">
        <v>36</v>
      </c>
      <c r="H7104" s="0" t="n">
        <v>51</v>
      </c>
      <c r="I7104" s="0" t="s">
        <v>23640</v>
      </c>
      <c r="J7104" s="0" t="s">
        <v>23641</v>
      </c>
      <c r="K7104" s="0" t="s">
        <v>23642</v>
      </c>
      <c r="L7104" s="0" t="str">
        <f aca="false">HYPERLINK("https://www.ncbi.nlm.nih.gov/nuccore/CP000058.1?report=graph&amp;tracks=[key:gene_model_track,Options:GeneOnly]&amp;mk=2257475:2257494|offset_31|444444,2257495:2257514|offset_51|00cc00,2257538:2257557|offset_94|444444,2257561:2257580|offset_117|444444&amp;v=2257274:2257780&amp;c=444444", "offset 51")</f>
        <v>offset 51</v>
      </c>
    </row>
    <row r="7105" customFormat="false" ht="12.8" hidden="false" customHeight="false" outlineLevel="0" collapsed="false">
      <c r="A7105" s="0" t="s">
        <v>12</v>
      </c>
      <c r="B7105" s="0" t="n">
        <v>2257537</v>
      </c>
      <c r="C7105" s="0" t="n">
        <v>2257557</v>
      </c>
      <c r="D7105" s="0" t="s">
        <v>23636</v>
      </c>
      <c r="E7105" s="0" t="s">
        <v>75</v>
      </c>
      <c r="F7105" s="0" t="s">
        <v>15</v>
      </c>
      <c r="G7105" s="0" t="s">
        <v>16</v>
      </c>
      <c r="H7105" s="0" t="n">
        <v>94</v>
      </c>
      <c r="I7105" s="0" t="s">
        <v>23643</v>
      </c>
      <c r="J7105" s="0" t="s">
        <v>23644</v>
      </c>
      <c r="K7105" s="0" t="s">
        <v>23645</v>
      </c>
      <c r="L7105" s="0" t="str">
        <f aca="false">HYPERLINK("https://www.ncbi.nlm.nih.gov/nuccore/CP000058.1?report=graph&amp;tracks=[key:gene_model_track,Options:GeneOnly]&amp;mk=2257475:2257494|offset_31|444444,2257495:2257514|offset_51|444444,2257538:2257557|offset_94|00cc00,2257561:2257580|offset_117|444444&amp;v=2257274:2257780&amp;c=444444", "offset 94")</f>
        <v>offset 94</v>
      </c>
    </row>
    <row r="7106" customFormat="false" ht="12.8" hidden="false" customHeight="false" outlineLevel="0" collapsed="false">
      <c r="A7106" s="0" t="s">
        <v>12</v>
      </c>
      <c r="B7106" s="0" t="n">
        <v>2257560</v>
      </c>
      <c r="C7106" s="0" t="n">
        <v>2257580</v>
      </c>
      <c r="D7106" s="0" t="s">
        <v>23636</v>
      </c>
      <c r="E7106" s="0" t="s">
        <v>75</v>
      </c>
      <c r="F7106" s="0" t="s">
        <v>15</v>
      </c>
      <c r="G7106" s="0" t="s">
        <v>36</v>
      </c>
      <c r="H7106" s="0" t="n">
        <v>117</v>
      </c>
      <c r="I7106" s="0" t="s">
        <v>23646</v>
      </c>
      <c r="J7106" s="0" t="s">
        <v>23647</v>
      </c>
      <c r="K7106" s="0" t="s">
        <v>23648</v>
      </c>
      <c r="L7106" s="0" t="str">
        <f aca="false">HYPERLINK("https://www.ncbi.nlm.nih.gov/nuccore/CP000058.1?report=graph&amp;tracks=[key:gene_model_track,Options:GeneOnly]&amp;mk=2257475:2257494|offset_31|444444,2257495:2257514|offset_51|444444,2257538:2257557|offset_94|444444,2257561:2257580|offset_117|00cc00&amp;v=2257274:2257780&amp;c=444444", "offset 117")</f>
        <v>offset 117</v>
      </c>
    </row>
    <row r="7107" customFormat="false" ht="12.8" hidden="false" customHeight="false" outlineLevel="0" collapsed="false">
      <c r="A7107" s="0" t="s">
        <v>12</v>
      </c>
      <c r="B7107" s="0" t="n">
        <v>2268602</v>
      </c>
      <c r="C7107" s="0" t="n">
        <v>2268622</v>
      </c>
      <c r="D7107" s="0" t="s">
        <v>23649</v>
      </c>
      <c r="E7107" s="0" t="s">
        <v>75</v>
      </c>
      <c r="F7107" s="0" t="s">
        <v>90</v>
      </c>
      <c r="G7107" s="0" t="s">
        <v>36</v>
      </c>
      <c r="H7107" s="0" t="n">
        <v>0</v>
      </c>
      <c r="I7107" s="0" t="s">
        <v>23650</v>
      </c>
      <c r="J7107" s="0" t="s">
        <v>23651</v>
      </c>
      <c r="K7107" s="0" t="s">
        <v>23652</v>
      </c>
      <c r="L7107" s="0" t="str">
        <f aca="false">HYPERLINK("https://www.ncbi.nlm.nih.gov/nuccore/CP000058.1?report=graph&amp;tracks=[key:gene_model_track,Options:GeneOnly]&amp;mk=2268603:2268622|offset_0|00cc00,2268583:2268602|offset_20|444444,2268475:2268494|offset_128|444444,2268452:2268471|offset_151|444444&amp;v=2268402:2268671&amp;c=444444", "offset 0")</f>
        <v>offset 0</v>
      </c>
    </row>
    <row r="7108" customFormat="false" ht="12.8" hidden="false" customHeight="false" outlineLevel="0" collapsed="false">
      <c r="A7108" s="0" t="s">
        <v>12</v>
      </c>
      <c r="B7108" s="0" t="n">
        <v>2268582</v>
      </c>
      <c r="C7108" s="0" t="n">
        <v>2268602</v>
      </c>
      <c r="D7108" s="0" t="s">
        <v>23649</v>
      </c>
      <c r="E7108" s="0" t="s">
        <v>75</v>
      </c>
      <c r="F7108" s="0" t="s">
        <v>90</v>
      </c>
      <c r="G7108" s="0" t="s">
        <v>16</v>
      </c>
      <c r="H7108" s="0" t="n">
        <v>20</v>
      </c>
      <c r="I7108" s="0" t="s">
        <v>23653</v>
      </c>
      <c r="J7108" s="0" t="s">
        <v>23654</v>
      </c>
      <c r="K7108" s="0" t="s">
        <v>23655</v>
      </c>
      <c r="L7108" s="0" t="str">
        <f aca="false">HYPERLINK("https://www.ncbi.nlm.nih.gov/nuccore/CP000058.1?report=graph&amp;tracks=[key:gene_model_track,Options:GeneOnly]&amp;mk=2268603:2268622|offset_0|444444,2268583:2268602|offset_20|00cc00,2268475:2268494|offset_128|444444,2268452:2268471|offset_151|444444&amp;v=2268402:2268671&amp;c=444444", "offset 20")</f>
        <v>offset 20</v>
      </c>
    </row>
    <row r="7109" customFormat="false" ht="12.8" hidden="false" customHeight="false" outlineLevel="0" collapsed="false">
      <c r="A7109" s="0" t="s">
        <v>12</v>
      </c>
      <c r="B7109" s="0" t="n">
        <v>2268474</v>
      </c>
      <c r="C7109" s="0" t="n">
        <v>2268494</v>
      </c>
      <c r="D7109" s="0" t="s">
        <v>23649</v>
      </c>
      <c r="E7109" s="0" t="s">
        <v>75</v>
      </c>
      <c r="F7109" s="0" t="s">
        <v>90</v>
      </c>
      <c r="G7109" s="0" t="s">
        <v>36</v>
      </c>
      <c r="H7109" s="0" t="n">
        <v>128</v>
      </c>
      <c r="I7109" s="0" t="s">
        <v>23656</v>
      </c>
      <c r="J7109" s="0" t="s">
        <v>23657</v>
      </c>
      <c r="K7109" s="0" t="s">
        <v>23658</v>
      </c>
      <c r="L7109" s="0" t="str">
        <f aca="false">HYPERLINK("https://www.ncbi.nlm.nih.gov/nuccore/CP000058.1?report=graph&amp;tracks=[key:gene_model_track,Options:GeneOnly]&amp;mk=2268603:2268622|offset_0|444444,2268583:2268602|offset_20|444444,2268475:2268494|offset_128|00cc00,2268452:2268471|offset_151|444444&amp;v=2268402:2268671&amp;c=444444", "offset 128")</f>
        <v>offset 128</v>
      </c>
    </row>
    <row r="7110" customFormat="false" ht="12.8" hidden="false" customHeight="false" outlineLevel="0" collapsed="false">
      <c r="A7110" s="0" t="s">
        <v>12</v>
      </c>
      <c r="B7110" s="0" t="n">
        <v>2268451</v>
      </c>
      <c r="C7110" s="0" t="n">
        <v>2268471</v>
      </c>
      <c r="D7110" s="0" t="s">
        <v>23649</v>
      </c>
      <c r="E7110" s="0" t="s">
        <v>75</v>
      </c>
      <c r="F7110" s="0" t="s">
        <v>90</v>
      </c>
      <c r="G7110" s="0" t="s">
        <v>36</v>
      </c>
      <c r="H7110" s="0" t="n">
        <v>151</v>
      </c>
      <c r="I7110" s="0" t="s">
        <v>23659</v>
      </c>
      <c r="J7110" s="0" t="s">
        <v>23660</v>
      </c>
      <c r="K7110" s="0" t="s">
        <v>23661</v>
      </c>
      <c r="L7110" s="0" t="str">
        <f aca="false">HYPERLINK("https://www.ncbi.nlm.nih.gov/nuccore/CP000058.1?report=graph&amp;tracks=[key:gene_model_track,Options:GeneOnly]&amp;mk=2268603:2268622|offset_0|444444,2268583:2268602|offset_20|444444,2268475:2268494|offset_128|444444,2268452:2268471|offset_151|00cc00&amp;v=2268402:2268671&amp;c=444444", "offset 151")</f>
        <v>offset 151</v>
      </c>
    </row>
    <row r="7111" customFormat="false" ht="12.8" hidden="false" customHeight="false" outlineLevel="0" collapsed="false">
      <c r="A7111" s="0" t="s">
        <v>12</v>
      </c>
      <c r="B7111" s="0" t="n">
        <v>2271012</v>
      </c>
      <c r="C7111" s="0" t="n">
        <v>2271032</v>
      </c>
      <c r="D7111" s="0" t="s">
        <v>23662</v>
      </c>
      <c r="E7111" s="0" t="s">
        <v>75</v>
      </c>
      <c r="F7111" s="0" t="s">
        <v>90</v>
      </c>
      <c r="G7111" s="0" t="s">
        <v>36</v>
      </c>
      <c r="H7111" s="0" t="n">
        <v>11</v>
      </c>
      <c r="I7111" s="0" t="s">
        <v>23663</v>
      </c>
      <c r="J7111" s="0" t="s">
        <v>23664</v>
      </c>
      <c r="K7111" s="0" t="s">
        <v>23665</v>
      </c>
      <c r="L7111" s="0" t="str">
        <f aca="false">HYPERLINK("https://www.ncbi.nlm.nih.gov/nuccore/CP000058.1?report=graph&amp;tracks=[key:gene_model_track,Options:GeneOnly]&amp;mk=2271013:2271032|offset_11|00cc00,2270962:2270981|offset_62|444444,2270939:2270958|offset_85|444444,2270916:2270935|offset_108|444444&amp;v=2270812:2271135&amp;c=444444", "offset 11")</f>
        <v>offset 11</v>
      </c>
    </row>
    <row r="7112" customFormat="false" ht="12.8" hidden="false" customHeight="false" outlineLevel="0" collapsed="false">
      <c r="A7112" s="0" t="s">
        <v>12</v>
      </c>
      <c r="B7112" s="0" t="n">
        <v>2270961</v>
      </c>
      <c r="C7112" s="0" t="n">
        <v>2270981</v>
      </c>
      <c r="D7112" s="0" t="s">
        <v>23662</v>
      </c>
      <c r="E7112" s="0" t="s">
        <v>75</v>
      </c>
      <c r="F7112" s="0" t="s">
        <v>90</v>
      </c>
      <c r="G7112" s="0" t="s">
        <v>16</v>
      </c>
      <c r="H7112" s="0" t="n">
        <v>62</v>
      </c>
      <c r="I7112" s="0" t="s">
        <v>23666</v>
      </c>
      <c r="J7112" s="0" t="s">
        <v>23667</v>
      </c>
      <c r="K7112" s="0" t="s">
        <v>23668</v>
      </c>
      <c r="L7112" s="0" t="str">
        <f aca="false">HYPERLINK("https://www.ncbi.nlm.nih.gov/nuccore/CP000058.1?report=graph&amp;tracks=[key:gene_model_track,Options:GeneOnly]&amp;mk=2271013:2271032|offset_11|444444,2270962:2270981|offset_62|00cc00,2270939:2270958|offset_85|444444,2270916:2270935|offset_108|444444&amp;v=2270812:2271135&amp;c=444444", "offset 62")</f>
        <v>offset 62</v>
      </c>
    </row>
    <row r="7113" customFormat="false" ht="12.8" hidden="false" customHeight="false" outlineLevel="0" collapsed="false">
      <c r="A7113" s="0" t="s">
        <v>12</v>
      </c>
      <c r="B7113" s="0" t="n">
        <v>2270938</v>
      </c>
      <c r="C7113" s="0" t="n">
        <v>2270958</v>
      </c>
      <c r="D7113" s="0" t="s">
        <v>23662</v>
      </c>
      <c r="E7113" s="0" t="s">
        <v>75</v>
      </c>
      <c r="F7113" s="0" t="s">
        <v>90</v>
      </c>
      <c r="G7113" s="0" t="s">
        <v>32</v>
      </c>
      <c r="H7113" s="0" t="n">
        <v>85</v>
      </c>
      <c r="I7113" s="0" t="s">
        <v>23669</v>
      </c>
      <c r="J7113" s="0" t="s">
        <v>23670</v>
      </c>
      <c r="K7113" s="0" t="s">
        <v>23671</v>
      </c>
      <c r="L7113" s="0" t="str">
        <f aca="false">HYPERLINK("https://www.ncbi.nlm.nih.gov/nuccore/CP000058.1?report=graph&amp;tracks=[key:gene_model_track,Options:GeneOnly]&amp;mk=2271013:2271032|offset_11|444444,2270962:2270981|offset_62|444444,2270939:2270958|offset_85|00cc00,2270916:2270935|offset_108|444444&amp;v=2270812:2271135&amp;c=444444", "offset 85")</f>
        <v>offset 85</v>
      </c>
    </row>
    <row r="7114" customFormat="false" ht="12.8" hidden="false" customHeight="false" outlineLevel="0" collapsed="false">
      <c r="A7114" s="0" t="s">
        <v>12</v>
      </c>
      <c r="B7114" s="0" t="n">
        <v>2270915</v>
      </c>
      <c r="C7114" s="0" t="n">
        <v>2270935</v>
      </c>
      <c r="D7114" s="0" t="s">
        <v>23662</v>
      </c>
      <c r="E7114" s="0" t="s">
        <v>75</v>
      </c>
      <c r="F7114" s="0" t="s">
        <v>90</v>
      </c>
      <c r="G7114" s="0" t="s">
        <v>16</v>
      </c>
      <c r="H7114" s="0" t="n">
        <v>108</v>
      </c>
      <c r="I7114" s="0" t="s">
        <v>23672</v>
      </c>
      <c r="J7114" s="0" t="s">
        <v>23673</v>
      </c>
      <c r="K7114" s="0" t="s">
        <v>23674</v>
      </c>
      <c r="L7114" s="0" t="str">
        <f aca="false">HYPERLINK("https://www.ncbi.nlm.nih.gov/nuccore/CP000058.1?report=graph&amp;tracks=[key:gene_model_track,Options:GeneOnly]&amp;mk=2271013:2271032|offset_11|444444,2270962:2270981|offset_62|444444,2270939:2270958|offset_85|444444,2270916:2270935|offset_108|00cc00&amp;v=2270812:2271135&amp;c=444444", "offset 108")</f>
        <v>offset 108</v>
      </c>
    </row>
    <row r="7115" customFormat="false" ht="12.8" hidden="false" customHeight="false" outlineLevel="0" collapsed="false">
      <c r="A7115" s="0" t="s">
        <v>12</v>
      </c>
      <c r="B7115" s="0" t="n">
        <v>2273006</v>
      </c>
      <c r="C7115" s="0" t="n">
        <v>2273026</v>
      </c>
      <c r="D7115" s="0" t="s">
        <v>23675</v>
      </c>
      <c r="E7115" s="0" t="s">
        <v>75</v>
      </c>
      <c r="F7115" s="0" t="s">
        <v>90</v>
      </c>
      <c r="G7115" s="0" t="s">
        <v>32</v>
      </c>
      <c r="H7115" s="0" t="n">
        <v>1</v>
      </c>
      <c r="I7115" s="0" t="s">
        <v>23676</v>
      </c>
      <c r="J7115" s="0" t="s">
        <v>23677</v>
      </c>
      <c r="K7115" s="0" t="s">
        <v>23678</v>
      </c>
      <c r="L7115" s="0" t="str">
        <f aca="false">HYPERLINK("https://www.ncbi.nlm.nih.gov/nuccore/CP000058.1?report=graph&amp;tracks=[key:gene_model_track,Options:GeneOnly]&amp;mk=2273007:2273026|offset_1|00cc00,2272985:2273004|offset_23|444444,2272961:2272980|offset_47|444444,2272926:2272945|offset_82|444444&amp;v=2272806:2273145&amp;c=444444", "offset 1")</f>
        <v>offset 1</v>
      </c>
    </row>
    <row r="7116" customFormat="false" ht="12.8" hidden="false" customHeight="false" outlineLevel="0" collapsed="false">
      <c r="A7116" s="0" t="s">
        <v>12</v>
      </c>
      <c r="B7116" s="0" t="n">
        <v>2272984</v>
      </c>
      <c r="C7116" s="0" t="n">
        <v>2273004</v>
      </c>
      <c r="D7116" s="0" t="s">
        <v>23675</v>
      </c>
      <c r="E7116" s="0" t="s">
        <v>75</v>
      </c>
      <c r="F7116" s="0" t="s">
        <v>90</v>
      </c>
      <c r="G7116" s="0" t="s">
        <v>20</v>
      </c>
      <c r="H7116" s="0" t="n">
        <v>23</v>
      </c>
      <c r="I7116" s="0" t="s">
        <v>23679</v>
      </c>
      <c r="J7116" s="0" t="s">
        <v>23680</v>
      </c>
      <c r="K7116" s="0" t="s">
        <v>23681</v>
      </c>
      <c r="L7116" s="0" t="str">
        <f aca="false">HYPERLINK("https://www.ncbi.nlm.nih.gov/nuccore/CP000058.1?report=graph&amp;tracks=[key:gene_model_track,Options:GeneOnly]&amp;mk=2273007:2273026|offset_1|444444,2272985:2273004|offset_23|00cc00,2272961:2272980|offset_47|444444,2272926:2272945|offset_82|444444&amp;v=2272806:2273145&amp;c=444444", "offset 23")</f>
        <v>offset 23</v>
      </c>
    </row>
    <row r="7117" customFormat="false" ht="12.8" hidden="false" customHeight="false" outlineLevel="0" collapsed="false">
      <c r="A7117" s="0" t="s">
        <v>12</v>
      </c>
      <c r="B7117" s="0" t="n">
        <v>2272960</v>
      </c>
      <c r="C7117" s="0" t="n">
        <v>2272980</v>
      </c>
      <c r="D7117" s="0" t="s">
        <v>23675</v>
      </c>
      <c r="E7117" s="0" t="s">
        <v>75</v>
      </c>
      <c r="F7117" s="0" t="s">
        <v>90</v>
      </c>
      <c r="G7117" s="0" t="s">
        <v>20</v>
      </c>
      <c r="H7117" s="0" t="n">
        <v>47</v>
      </c>
      <c r="I7117" s="0" t="s">
        <v>23682</v>
      </c>
      <c r="J7117" s="0" t="s">
        <v>23683</v>
      </c>
      <c r="K7117" s="0" t="s">
        <v>23684</v>
      </c>
      <c r="L7117" s="0" t="str">
        <f aca="false">HYPERLINK("https://www.ncbi.nlm.nih.gov/nuccore/CP000058.1?report=graph&amp;tracks=[key:gene_model_track,Options:GeneOnly]&amp;mk=2273007:2273026|offset_1|444444,2272985:2273004|offset_23|444444,2272961:2272980|offset_47|00cc00,2272926:2272945|offset_82|444444&amp;v=2272806:2273145&amp;c=444444", "offset 47")</f>
        <v>offset 47</v>
      </c>
    </row>
    <row r="7118" customFormat="false" ht="12.8" hidden="false" customHeight="false" outlineLevel="0" collapsed="false">
      <c r="A7118" s="0" t="s">
        <v>12</v>
      </c>
      <c r="B7118" s="0" t="n">
        <v>2272925</v>
      </c>
      <c r="C7118" s="0" t="n">
        <v>2272945</v>
      </c>
      <c r="D7118" s="0" t="s">
        <v>23675</v>
      </c>
      <c r="E7118" s="0" t="s">
        <v>75</v>
      </c>
      <c r="F7118" s="0" t="s">
        <v>90</v>
      </c>
      <c r="G7118" s="0" t="s">
        <v>16</v>
      </c>
      <c r="H7118" s="0" t="n">
        <v>82</v>
      </c>
      <c r="I7118" s="0" t="s">
        <v>23685</v>
      </c>
      <c r="J7118" s="0" t="s">
        <v>23686</v>
      </c>
      <c r="K7118" s="0" t="s">
        <v>23687</v>
      </c>
      <c r="L7118" s="0" t="str">
        <f aca="false">HYPERLINK("https://www.ncbi.nlm.nih.gov/nuccore/CP000058.1?report=graph&amp;tracks=[key:gene_model_track,Options:GeneOnly]&amp;mk=2273007:2273026|offset_1|444444,2272985:2273004|offset_23|444444,2272961:2272980|offset_47|444444,2272926:2272945|offset_82|00cc00&amp;v=2272806:2273145&amp;c=444444", "offset 82")</f>
        <v>offset 82</v>
      </c>
    </row>
    <row r="7119" customFormat="false" ht="12.8" hidden="false" customHeight="false" outlineLevel="0" collapsed="false">
      <c r="A7119" s="0" t="s">
        <v>12</v>
      </c>
      <c r="B7119" s="0" t="n">
        <v>2273921</v>
      </c>
      <c r="C7119" s="0" t="n">
        <v>2273941</v>
      </c>
      <c r="D7119" s="0" t="s">
        <v>23688</v>
      </c>
      <c r="E7119" s="0" t="s">
        <v>75</v>
      </c>
      <c r="F7119" s="0" t="s">
        <v>90</v>
      </c>
      <c r="G7119" s="0" t="s">
        <v>36</v>
      </c>
      <c r="H7119" s="0" t="n">
        <v>22</v>
      </c>
      <c r="I7119" s="0" t="s">
        <v>23689</v>
      </c>
      <c r="J7119" s="0" t="s">
        <v>23690</v>
      </c>
      <c r="K7119" s="0" t="s">
        <v>23691</v>
      </c>
      <c r="L7119" s="0" t="str">
        <f aca="false">HYPERLINK("https://www.ncbi.nlm.nih.gov/nuccore/CP000058.1?report=graph&amp;tracks=[key:gene_model_track,Options:GeneOnly]&amp;mk=2273922:2273941|offset_22|00cc00,2273883:2273902|offset_61|444444,2273863:2273882|offset_81|444444,2273819:2273838|offset_125|444444&amp;v=2273721:2274038&amp;c=444444", "offset 22")</f>
        <v>offset 22</v>
      </c>
    </row>
    <row r="7120" customFormat="false" ht="12.8" hidden="false" customHeight="false" outlineLevel="0" collapsed="false">
      <c r="A7120" s="0" t="s">
        <v>12</v>
      </c>
      <c r="B7120" s="0" t="n">
        <v>2273882</v>
      </c>
      <c r="C7120" s="0" t="n">
        <v>2273902</v>
      </c>
      <c r="D7120" s="0" t="s">
        <v>23688</v>
      </c>
      <c r="E7120" s="0" t="s">
        <v>75</v>
      </c>
      <c r="F7120" s="0" t="s">
        <v>90</v>
      </c>
      <c r="G7120" s="0" t="s">
        <v>36</v>
      </c>
      <c r="H7120" s="0" t="n">
        <v>61</v>
      </c>
      <c r="I7120" s="0" t="s">
        <v>23692</v>
      </c>
      <c r="J7120" s="0" t="s">
        <v>23693</v>
      </c>
      <c r="K7120" s="0" t="s">
        <v>23694</v>
      </c>
      <c r="L7120" s="0" t="str">
        <f aca="false">HYPERLINK("https://www.ncbi.nlm.nih.gov/nuccore/CP000058.1?report=graph&amp;tracks=[key:gene_model_track,Options:GeneOnly]&amp;mk=2273922:2273941|offset_22|444444,2273883:2273902|offset_61|00cc00,2273863:2273882|offset_81|444444,2273819:2273838|offset_125|444444&amp;v=2273721:2274038&amp;c=444444", "offset 61")</f>
        <v>offset 61</v>
      </c>
    </row>
    <row r="7121" customFormat="false" ht="12.8" hidden="false" customHeight="false" outlineLevel="0" collapsed="false">
      <c r="A7121" s="0" t="s">
        <v>12</v>
      </c>
      <c r="B7121" s="0" t="n">
        <v>2273862</v>
      </c>
      <c r="C7121" s="0" t="n">
        <v>2273882</v>
      </c>
      <c r="D7121" s="0" t="s">
        <v>23688</v>
      </c>
      <c r="E7121" s="0" t="s">
        <v>75</v>
      </c>
      <c r="F7121" s="0" t="s">
        <v>90</v>
      </c>
      <c r="G7121" s="0" t="s">
        <v>32</v>
      </c>
      <c r="H7121" s="0" t="n">
        <v>81</v>
      </c>
      <c r="I7121" s="0" t="s">
        <v>23695</v>
      </c>
      <c r="J7121" s="0" t="s">
        <v>23696</v>
      </c>
      <c r="K7121" s="0" t="s">
        <v>23697</v>
      </c>
      <c r="L7121" s="0" t="str">
        <f aca="false">HYPERLINK("https://www.ncbi.nlm.nih.gov/nuccore/CP000058.1?report=graph&amp;tracks=[key:gene_model_track,Options:GeneOnly]&amp;mk=2273922:2273941|offset_22|444444,2273883:2273902|offset_61|444444,2273863:2273882|offset_81|00cc00,2273819:2273838|offset_125|444444&amp;v=2273721:2274038&amp;c=444444", "offset 81")</f>
        <v>offset 81</v>
      </c>
    </row>
    <row r="7122" customFormat="false" ht="12.8" hidden="false" customHeight="false" outlineLevel="0" collapsed="false">
      <c r="A7122" s="0" t="s">
        <v>12</v>
      </c>
      <c r="B7122" s="0" t="n">
        <v>2273818</v>
      </c>
      <c r="C7122" s="0" t="n">
        <v>2273838</v>
      </c>
      <c r="D7122" s="0" t="s">
        <v>23688</v>
      </c>
      <c r="E7122" s="0" t="s">
        <v>75</v>
      </c>
      <c r="F7122" s="0" t="s">
        <v>90</v>
      </c>
      <c r="G7122" s="0" t="s">
        <v>36</v>
      </c>
      <c r="H7122" s="0" t="n">
        <v>125</v>
      </c>
      <c r="I7122" s="0" t="s">
        <v>23698</v>
      </c>
      <c r="J7122" s="0" t="s">
        <v>23699</v>
      </c>
      <c r="K7122" s="0" t="s">
        <v>23700</v>
      </c>
      <c r="L7122" s="0" t="str">
        <f aca="false">HYPERLINK("https://www.ncbi.nlm.nih.gov/nuccore/CP000058.1?report=graph&amp;tracks=[key:gene_model_track,Options:GeneOnly]&amp;mk=2273922:2273941|offset_22|444444,2273883:2273902|offset_61|444444,2273863:2273882|offset_81|444444,2273819:2273838|offset_125|00cc00&amp;v=2273721:2274038&amp;c=444444", "offset 125")</f>
        <v>offset 125</v>
      </c>
    </row>
    <row r="7123" customFormat="false" ht="12.8" hidden="false" customHeight="false" outlineLevel="0" collapsed="false">
      <c r="A7123" s="0" t="s">
        <v>12</v>
      </c>
      <c r="B7123" s="0" t="n">
        <v>2275261</v>
      </c>
      <c r="C7123" s="0" t="n">
        <v>2275281</v>
      </c>
      <c r="D7123" s="0" t="s">
        <v>23701</v>
      </c>
      <c r="E7123" s="0" t="s">
        <v>75</v>
      </c>
      <c r="F7123" s="0" t="s">
        <v>90</v>
      </c>
      <c r="G7123" s="0" t="s">
        <v>16</v>
      </c>
      <c r="H7123" s="0" t="n">
        <v>11</v>
      </c>
      <c r="I7123" s="0" t="s">
        <v>23702</v>
      </c>
      <c r="J7123" s="0" t="s">
        <v>23703</v>
      </c>
      <c r="K7123" s="0" t="s">
        <v>23704</v>
      </c>
      <c r="L7123" s="0" t="str">
        <f aca="false">HYPERLINK("https://www.ncbi.nlm.nih.gov/nuccore/CP000058.1?report=graph&amp;tracks=[key:gene_model_track,Options:GeneOnly]&amp;mk=2275262:2275281|offset_11|00cc00,2275239:2275258|offset_34|444444,2275216:2275235|offset_57|444444,2275188:2275207|offset_85|444444&amp;v=2275061:2275407&amp;c=444444", "offset 11")</f>
        <v>offset 11</v>
      </c>
    </row>
    <row r="7124" customFormat="false" ht="12.8" hidden="false" customHeight="false" outlineLevel="0" collapsed="false">
      <c r="A7124" s="0" t="s">
        <v>12</v>
      </c>
      <c r="B7124" s="0" t="n">
        <v>2275238</v>
      </c>
      <c r="C7124" s="0" t="n">
        <v>2275258</v>
      </c>
      <c r="D7124" s="0" t="s">
        <v>23701</v>
      </c>
      <c r="E7124" s="0" t="s">
        <v>75</v>
      </c>
      <c r="F7124" s="0" t="s">
        <v>90</v>
      </c>
      <c r="G7124" s="0" t="s">
        <v>16</v>
      </c>
      <c r="H7124" s="0" t="n">
        <v>34</v>
      </c>
      <c r="I7124" s="0" t="s">
        <v>23705</v>
      </c>
      <c r="J7124" s="0" t="s">
        <v>23706</v>
      </c>
      <c r="K7124" s="0" t="s">
        <v>23707</v>
      </c>
      <c r="L7124" s="0" t="str">
        <f aca="false">HYPERLINK("https://www.ncbi.nlm.nih.gov/nuccore/CP000058.1?report=graph&amp;tracks=[key:gene_model_track,Options:GeneOnly]&amp;mk=2275262:2275281|offset_11|444444,2275239:2275258|offset_34|00cc00,2275216:2275235|offset_57|444444,2275188:2275207|offset_85|444444&amp;v=2275061:2275407&amp;c=444444", "offset 34")</f>
        <v>offset 34</v>
      </c>
    </row>
    <row r="7125" customFormat="false" ht="12.8" hidden="false" customHeight="false" outlineLevel="0" collapsed="false">
      <c r="A7125" s="0" t="s">
        <v>12</v>
      </c>
      <c r="B7125" s="0" t="n">
        <v>2275215</v>
      </c>
      <c r="C7125" s="0" t="n">
        <v>2275235</v>
      </c>
      <c r="D7125" s="0" t="s">
        <v>23701</v>
      </c>
      <c r="E7125" s="0" t="s">
        <v>75</v>
      </c>
      <c r="F7125" s="0" t="s">
        <v>90</v>
      </c>
      <c r="G7125" s="0" t="s">
        <v>32</v>
      </c>
      <c r="H7125" s="0" t="n">
        <v>57</v>
      </c>
      <c r="I7125" s="0" t="s">
        <v>23708</v>
      </c>
      <c r="J7125" s="0" t="s">
        <v>23709</v>
      </c>
      <c r="K7125" s="0" t="s">
        <v>23710</v>
      </c>
      <c r="L7125" s="0" t="str">
        <f aca="false">HYPERLINK("https://www.ncbi.nlm.nih.gov/nuccore/CP000058.1?report=graph&amp;tracks=[key:gene_model_track,Options:GeneOnly]&amp;mk=2275262:2275281|offset_11|444444,2275239:2275258|offset_34|444444,2275216:2275235|offset_57|00cc00,2275188:2275207|offset_85|444444&amp;v=2275061:2275407&amp;c=444444", "offset 57")</f>
        <v>offset 57</v>
      </c>
    </row>
    <row r="7126" customFormat="false" ht="12.8" hidden="false" customHeight="false" outlineLevel="0" collapsed="false">
      <c r="A7126" s="0" t="s">
        <v>12</v>
      </c>
      <c r="B7126" s="0" t="n">
        <v>2275187</v>
      </c>
      <c r="C7126" s="0" t="n">
        <v>2275207</v>
      </c>
      <c r="D7126" s="0" t="s">
        <v>23701</v>
      </c>
      <c r="E7126" s="0" t="s">
        <v>75</v>
      </c>
      <c r="F7126" s="0" t="s">
        <v>90</v>
      </c>
      <c r="G7126" s="0" t="s">
        <v>36</v>
      </c>
      <c r="H7126" s="0" t="n">
        <v>85</v>
      </c>
      <c r="I7126" s="0" t="s">
        <v>23711</v>
      </c>
      <c r="J7126" s="0" t="s">
        <v>23712</v>
      </c>
      <c r="K7126" s="0" t="s">
        <v>23713</v>
      </c>
      <c r="L7126" s="0" t="str">
        <f aca="false">HYPERLINK("https://www.ncbi.nlm.nih.gov/nuccore/CP000058.1?report=graph&amp;tracks=[key:gene_model_track,Options:GeneOnly]&amp;mk=2275262:2275281|offset_11|444444,2275239:2275258|offset_34|444444,2275216:2275235|offset_57|444444,2275188:2275207|offset_85|00cc00&amp;v=2275061:2275407&amp;c=444444", "offset 85")</f>
        <v>offset 85</v>
      </c>
    </row>
    <row r="7127" customFormat="false" ht="12.8" hidden="false" customHeight="false" outlineLevel="0" collapsed="false">
      <c r="A7127" s="0" t="s">
        <v>12</v>
      </c>
      <c r="B7127" s="0" t="n">
        <v>2276647</v>
      </c>
      <c r="C7127" s="0" t="n">
        <v>2276667</v>
      </c>
      <c r="D7127" s="0" t="s">
        <v>23714</v>
      </c>
      <c r="E7127" s="0" t="s">
        <v>75</v>
      </c>
      <c r="F7127" s="0" t="s">
        <v>90</v>
      </c>
      <c r="G7127" s="0" t="s">
        <v>16</v>
      </c>
      <c r="H7127" s="0" t="n">
        <v>12</v>
      </c>
      <c r="I7127" s="0" t="s">
        <v>23715</v>
      </c>
      <c r="J7127" s="0" t="s">
        <v>23716</v>
      </c>
      <c r="K7127" s="0" t="s">
        <v>23717</v>
      </c>
      <c r="L7127" s="0" t="str">
        <f aca="false">HYPERLINK("https://www.ncbi.nlm.nih.gov/nuccore/CP000058.1?report=graph&amp;tracks=[key:gene_model_track,Options:GeneOnly]&amp;mk=2276648:2276667|offset_12|00cc00,2276615:2276634|offset_45|444444,2276575:2276594|offset_85|444444,2276554:2276573|offset_106|444444&amp;v=2276447:2276773&amp;c=444444", "offset 12")</f>
        <v>offset 12</v>
      </c>
    </row>
    <row r="7128" customFormat="false" ht="12.8" hidden="false" customHeight="false" outlineLevel="0" collapsed="false">
      <c r="A7128" s="0" t="s">
        <v>12</v>
      </c>
      <c r="B7128" s="0" t="n">
        <v>2276614</v>
      </c>
      <c r="C7128" s="0" t="n">
        <v>2276634</v>
      </c>
      <c r="D7128" s="0" t="s">
        <v>23714</v>
      </c>
      <c r="E7128" s="0" t="s">
        <v>75</v>
      </c>
      <c r="F7128" s="0" t="s">
        <v>90</v>
      </c>
      <c r="G7128" s="0" t="s">
        <v>16</v>
      </c>
      <c r="H7128" s="0" t="n">
        <v>45</v>
      </c>
      <c r="I7128" s="0" t="s">
        <v>23718</v>
      </c>
      <c r="J7128" s="0" t="s">
        <v>23719</v>
      </c>
      <c r="K7128" s="0" t="s">
        <v>23720</v>
      </c>
      <c r="L7128" s="0" t="str">
        <f aca="false">HYPERLINK("https://www.ncbi.nlm.nih.gov/nuccore/CP000058.1?report=graph&amp;tracks=[key:gene_model_track,Options:GeneOnly]&amp;mk=2276648:2276667|offset_12|444444,2276615:2276634|offset_45|00cc00,2276575:2276594|offset_85|444444,2276554:2276573|offset_106|444444&amp;v=2276447:2276773&amp;c=444444", "offset 45")</f>
        <v>offset 45</v>
      </c>
    </row>
    <row r="7129" customFormat="false" ht="12.8" hidden="false" customHeight="false" outlineLevel="0" collapsed="false">
      <c r="A7129" s="0" t="s">
        <v>12</v>
      </c>
      <c r="B7129" s="0" t="n">
        <v>2276574</v>
      </c>
      <c r="C7129" s="0" t="n">
        <v>2276594</v>
      </c>
      <c r="D7129" s="0" t="s">
        <v>23714</v>
      </c>
      <c r="E7129" s="0" t="s">
        <v>75</v>
      </c>
      <c r="F7129" s="0" t="s">
        <v>90</v>
      </c>
      <c r="G7129" s="0" t="s">
        <v>20</v>
      </c>
      <c r="H7129" s="0" t="n">
        <v>85</v>
      </c>
      <c r="I7129" s="0" t="s">
        <v>23721</v>
      </c>
      <c r="J7129" s="0" t="s">
        <v>23722</v>
      </c>
      <c r="K7129" s="0" t="s">
        <v>23723</v>
      </c>
      <c r="L7129" s="0" t="str">
        <f aca="false">HYPERLINK("https://www.ncbi.nlm.nih.gov/nuccore/CP000058.1?report=graph&amp;tracks=[key:gene_model_track,Options:GeneOnly]&amp;mk=2276648:2276667|offset_12|444444,2276615:2276634|offset_45|444444,2276575:2276594|offset_85|00cc00,2276554:2276573|offset_106|444444&amp;v=2276447:2276773&amp;c=444444", "offset 85")</f>
        <v>offset 85</v>
      </c>
    </row>
    <row r="7130" customFormat="false" ht="12.8" hidden="false" customHeight="false" outlineLevel="0" collapsed="false">
      <c r="A7130" s="0" t="s">
        <v>12</v>
      </c>
      <c r="B7130" s="0" t="n">
        <v>2276553</v>
      </c>
      <c r="C7130" s="0" t="n">
        <v>2276573</v>
      </c>
      <c r="D7130" s="0" t="s">
        <v>23714</v>
      </c>
      <c r="E7130" s="0" t="s">
        <v>75</v>
      </c>
      <c r="F7130" s="0" t="s">
        <v>90</v>
      </c>
      <c r="G7130" s="0" t="s">
        <v>16</v>
      </c>
      <c r="H7130" s="0" t="n">
        <v>106</v>
      </c>
      <c r="I7130" s="0" t="s">
        <v>23724</v>
      </c>
      <c r="J7130" s="0" t="s">
        <v>23725</v>
      </c>
      <c r="K7130" s="0" t="s">
        <v>23726</v>
      </c>
      <c r="L7130" s="0" t="str">
        <f aca="false">HYPERLINK("https://www.ncbi.nlm.nih.gov/nuccore/CP000058.1?report=graph&amp;tracks=[key:gene_model_track,Options:GeneOnly]&amp;mk=2276648:2276667|offset_12|444444,2276615:2276634|offset_45|444444,2276575:2276594|offset_85|444444,2276554:2276573|offset_106|00cc00&amp;v=2276447:2276773&amp;c=444444", "offset 106")</f>
        <v>offset 106</v>
      </c>
    </row>
    <row r="7131" customFormat="false" ht="12.8" hidden="false" customHeight="false" outlineLevel="0" collapsed="false">
      <c r="A7131" s="0" t="s">
        <v>12</v>
      </c>
      <c r="B7131" s="0" t="n">
        <v>2276908</v>
      </c>
      <c r="C7131" s="0" t="n">
        <v>2276928</v>
      </c>
      <c r="D7131" s="0" t="s">
        <v>23727</v>
      </c>
      <c r="E7131" s="0" t="s">
        <v>75</v>
      </c>
      <c r="F7131" s="0" t="s">
        <v>15</v>
      </c>
      <c r="G7131" s="0" t="s">
        <v>16</v>
      </c>
      <c r="H7131" s="0" t="n">
        <v>85</v>
      </c>
      <c r="I7131" s="0" t="s">
        <v>23728</v>
      </c>
      <c r="J7131" s="0" t="s">
        <v>23729</v>
      </c>
      <c r="K7131" s="0" t="s">
        <v>23730</v>
      </c>
      <c r="L7131" s="0" t="str">
        <f aca="false">HYPERLINK("https://www.ncbi.nlm.nih.gov/nuccore/CP000058.1?report=graph&amp;tracks=[key:gene_model_track,Options:GeneOnly]&amp;mk=2276909:2276928|offset_85|00cc00,2276930:2276949|offset_106|444444,2276954:2276973|offset_130|444444,2276977:2276996|offset_153|444444&amp;v=2276708:2277196&amp;c=444444", "offset 85")</f>
        <v>offset 85</v>
      </c>
    </row>
    <row r="7132" customFormat="false" ht="12.8" hidden="false" customHeight="false" outlineLevel="0" collapsed="false">
      <c r="A7132" s="0" t="s">
        <v>12</v>
      </c>
      <c r="B7132" s="0" t="n">
        <v>2276929</v>
      </c>
      <c r="C7132" s="0" t="n">
        <v>2276949</v>
      </c>
      <c r="D7132" s="0" t="s">
        <v>23727</v>
      </c>
      <c r="E7132" s="0" t="s">
        <v>75</v>
      </c>
      <c r="F7132" s="0" t="s">
        <v>15</v>
      </c>
      <c r="G7132" s="0" t="s">
        <v>20</v>
      </c>
      <c r="H7132" s="0" t="n">
        <v>106</v>
      </c>
      <c r="I7132" s="0" t="s">
        <v>23731</v>
      </c>
      <c r="J7132" s="0" t="s">
        <v>23732</v>
      </c>
      <c r="K7132" s="0" t="s">
        <v>23733</v>
      </c>
      <c r="L7132" s="0" t="str">
        <f aca="false">HYPERLINK("https://www.ncbi.nlm.nih.gov/nuccore/CP000058.1?report=graph&amp;tracks=[key:gene_model_track,Options:GeneOnly]&amp;mk=2276909:2276928|offset_85|444444,2276930:2276949|offset_106|00cc00,2276954:2276973|offset_130|444444,2276977:2276996|offset_153|444444&amp;v=2276708:2277196&amp;c=444444", "offset 106")</f>
        <v>offset 106</v>
      </c>
    </row>
    <row r="7133" customFormat="false" ht="12.8" hidden="false" customHeight="false" outlineLevel="0" collapsed="false">
      <c r="A7133" s="0" t="s">
        <v>12</v>
      </c>
      <c r="B7133" s="0" t="n">
        <v>2276953</v>
      </c>
      <c r="C7133" s="0" t="n">
        <v>2276973</v>
      </c>
      <c r="D7133" s="0" t="s">
        <v>23727</v>
      </c>
      <c r="E7133" s="0" t="s">
        <v>75</v>
      </c>
      <c r="F7133" s="0" t="s">
        <v>15</v>
      </c>
      <c r="G7133" s="0" t="s">
        <v>36</v>
      </c>
      <c r="H7133" s="0" t="n">
        <v>130</v>
      </c>
      <c r="I7133" s="0" t="s">
        <v>23734</v>
      </c>
      <c r="J7133" s="0" t="s">
        <v>23735</v>
      </c>
      <c r="K7133" s="0" t="s">
        <v>23736</v>
      </c>
      <c r="L7133" s="0" t="str">
        <f aca="false">HYPERLINK("https://www.ncbi.nlm.nih.gov/nuccore/CP000058.1?report=graph&amp;tracks=[key:gene_model_track,Options:GeneOnly]&amp;mk=2276909:2276928|offset_85|444444,2276930:2276949|offset_106|444444,2276954:2276973|offset_130|00cc00,2276977:2276996|offset_153|444444&amp;v=2276708:2277196&amp;c=444444", "offset 130")</f>
        <v>offset 130</v>
      </c>
    </row>
    <row r="7134" customFormat="false" ht="12.8" hidden="false" customHeight="false" outlineLevel="0" collapsed="false">
      <c r="A7134" s="0" t="s">
        <v>12</v>
      </c>
      <c r="B7134" s="0" t="n">
        <v>2276976</v>
      </c>
      <c r="C7134" s="0" t="n">
        <v>2276996</v>
      </c>
      <c r="D7134" s="0" t="s">
        <v>23727</v>
      </c>
      <c r="E7134" s="0" t="s">
        <v>75</v>
      </c>
      <c r="F7134" s="0" t="s">
        <v>15</v>
      </c>
      <c r="G7134" s="0" t="s">
        <v>16</v>
      </c>
      <c r="H7134" s="0" t="n">
        <v>153</v>
      </c>
      <c r="I7134" s="0" t="s">
        <v>23737</v>
      </c>
      <c r="J7134" s="0" t="s">
        <v>23738</v>
      </c>
      <c r="K7134" s="0" t="s">
        <v>23739</v>
      </c>
      <c r="L7134" s="0" t="str">
        <f aca="false">HYPERLINK("https://www.ncbi.nlm.nih.gov/nuccore/CP000058.1?report=graph&amp;tracks=[key:gene_model_track,Options:GeneOnly]&amp;mk=2276909:2276928|offset_85|444444,2276930:2276949|offset_106|444444,2276954:2276973|offset_130|444444,2276977:2276996|offset_153|00cc00&amp;v=2276708:2277196&amp;c=444444", "offset 153")</f>
        <v>offset 153</v>
      </c>
    </row>
    <row r="7135" customFormat="false" ht="12.8" hidden="false" customHeight="false" outlineLevel="0" collapsed="false">
      <c r="A7135" s="0" t="s">
        <v>12</v>
      </c>
      <c r="B7135" s="0" t="n">
        <v>2280260</v>
      </c>
      <c r="C7135" s="0" t="n">
        <v>2280280</v>
      </c>
      <c r="D7135" s="0" t="s">
        <v>23740</v>
      </c>
      <c r="E7135" s="0" t="s">
        <v>75</v>
      </c>
      <c r="F7135" s="0" t="s">
        <v>90</v>
      </c>
      <c r="G7135" s="0" t="s">
        <v>16</v>
      </c>
      <c r="H7135" s="0" t="n">
        <v>24</v>
      </c>
      <c r="I7135" s="0" t="s">
        <v>23741</v>
      </c>
      <c r="J7135" s="0" t="s">
        <v>23742</v>
      </c>
      <c r="K7135" s="0" t="s">
        <v>23743</v>
      </c>
      <c r="L7135" s="0" t="str">
        <f aca="false">HYPERLINK("https://www.ncbi.nlm.nih.gov/nuccore/CP000058.1?report=graph&amp;tracks=[key:gene_model_track,Options:GeneOnly]&amp;mk=2280261:2280280|offset_24|00cc00,2280235:2280254|offset_50|444444,2280212:2280231|offset_73|444444,2280180:2280199|offset_105|444444&amp;v=2280060:2280399&amp;c=444444", "offset 24")</f>
        <v>offset 24</v>
      </c>
    </row>
    <row r="7136" customFormat="false" ht="12.8" hidden="false" customHeight="false" outlineLevel="0" collapsed="false">
      <c r="A7136" s="0" t="s">
        <v>12</v>
      </c>
      <c r="B7136" s="0" t="n">
        <v>2280234</v>
      </c>
      <c r="C7136" s="0" t="n">
        <v>2280254</v>
      </c>
      <c r="D7136" s="0" t="s">
        <v>23740</v>
      </c>
      <c r="E7136" s="0" t="s">
        <v>75</v>
      </c>
      <c r="F7136" s="0" t="s">
        <v>90</v>
      </c>
      <c r="G7136" s="0" t="s">
        <v>20</v>
      </c>
      <c r="H7136" s="0" t="n">
        <v>50</v>
      </c>
      <c r="I7136" s="0" t="s">
        <v>23744</v>
      </c>
      <c r="J7136" s="0" t="s">
        <v>23745</v>
      </c>
      <c r="K7136" s="0" t="s">
        <v>23746</v>
      </c>
      <c r="L7136" s="0" t="str">
        <f aca="false">HYPERLINK("https://www.ncbi.nlm.nih.gov/nuccore/CP000058.1?report=graph&amp;tracks=[key:gene_model_track,Options:GeneOnly]&amp;mk=2280261:2280280|offset_24|444444,2280235:2280254|offset_50|00cc00,2280212:2280231|offset_73|444444,2280180:2280199|offset_105|444444&amp;v=2280060:2280399&amp;c=444444", "offset 50")</f>
        <v>offset 50</v>
      </c>
    </row>
    <row r="7137" customFormat="false" ht="12.8" hidden="false" customHeight="false" outlineLevel="0" collapsed="false">
      <c r="A7137" s="0" t="s">
        <v>12</v>
      </c>
      <c r="B7137" s="0" t="n">
        <v>2280211</v>
      </c>
      <c r="C7137" s="0" t="n">
        <v>2280231</v>
      </c>
      <c r="D7137" s="0" t="s">
        <v>23740</v>
      </c>
      <c r="E7137" s="0" t="s">
        <v>75</v>
      </c>
      <c r="F7137" s="0" t="s">
        <v>90</v>
      </c>
      <c r="G7137" s="0" t="s">
        <v>36</v>
      </c>
      <c r="H7137" s="0" t="n">
        <v>73</v>
      </c>
      <c r="I7137" s="0" t="s">
        <v>23747</v>
      </c>
      <c r="J7137" s="0" t="s">
        <v>23748</v>
      </c>
      <c r="K7137" s="0" t="s">
        <v>23749</v>
      </c>
      <c r="L7137" s="0" t="str">
        <f aca="false">HYPERLINK("https://www.ncbi.nlm.nih.gov/nuccore/CP000058.1?report=graph&amp;tracks=[key:gene_model_track,Options:GeneOnly]&amp;mk=2280261:2280280|offset_24|444444,2280235:2280254|offset_50|444444,2280212:2280231|offset_73|00cc00,2280180:2280199|offset_105|444444&amp;v=2280060:2280399&amp;c=444444", "offset 73")</f>
        <v>offset 73</v>
      </c>
    </row>
    <row r="7138" customFormat="false" ht="12.8" hidden="false" customHeight="false" outlineLevel="0" collapsed="false">
      <c r="A7138" s="0" t="s">
        <v>12</v>
      </c>
      <c r="B7138" s="0" t="n">
        <v>2280179</v>
      </c>
      <c r="C7138" s="0" t="n">
        <v>2280199</v>
      </c>
      <c r="D7138" s="0" t="s">
        <v>23740</v>
      </c>
      <c r="E7138" s="0" t="s">
        <v>75</v>
      </c>
      <c r="F7138" s="0" t="s">
        <v>90</v>
      </c>
      <c r="G7138" s="0" t="s">
        <v>32</v>
      </c>
      <c r="H7138" s="0" t="n">
        <v>105</v>
      </c>
      <c r="I7138" s="0" t="s">
        <v>23750</v>
      </c>
      <c r="J7138" s="0" t="s">
        <v>23751</v>
      </c>
      <c r="K7138" s="0" t="s">
        <v>23752</v>
      </c>
      <c r="L7138" s="0" t="str">
        <f aca="false">HYPERLINK("https://www.ncbi.nlm.nih.gov/nuccore/CP000058.1?report=graph&amp;tracks=[key:gene_model_track,Options:GeneOnly]&amp;mk=2280261:2280280|offset_24|444444,2280235:2280254|offset_50|444444,2280212:2280231|offset_73|444444,2280180:2280199|offset_105|00cc00&amp;v=2280060:2280399&amp;c=444444", "offset 105")</f>
        <v>offset 105</v>
      </c>
    </row>
    <row r="7139" customFormat="false" ht="12.8" hidden="false" customHeight="false" outlineLevel="0" collapsed="false">
      <c r="A7139" s="0" t="s">
        <v>12</v>
      </c>
      <c r="B7139" s="0" t="n">
        <v>2282235</v>
      </c>
      <c r="C7139" s="0" t="n">
        <v>2282255</v>
      </c>
      <c r="D7139" s="0" t="s">
        <v>23753</v>
      </c>
      <c r="E7139" s="0" t="s">
        <v>23754</v>
      </c>
      <c r="F7139" s="0" t="s">
        <v>90</v>
      </c>
      <c r="G7139" s="0" t="s">
        <v>16</v>
      </c>
      <c r="H7139" s="0" t="n">
        <v>12</v>
      </c>
      <c r="I7139" s="0" t="s">
        <v>23755</v>
      </c>
      <c r="J7139" s="0" t="s">
        <v>23756</v>
      </c>
      <c r="K7139" s="0" t="s">
        <v>23757</v>
      </c>
      <c r="L7139" s="0" t="str">
        <f aca="false">HYPERLINK("https://www.ncbi.nlm.nih.gov/nuccore/CP000058.1?report=graph&amp;tracks=[key:gene_model_track,Options:GeneOnly]&amp;mk=2282236:2282255|offset_12|00cc00,2282205:2282224|offset_43|444444,2282147:2282166|offset_101|444444,2282081:2282100|offset_167|444444&amp;v=2282035:2282300&amp;c=444444", "offset 12")</f>
        <v>offset 12</v>
      </c>
    </row>
    <row r="7140" customFormat="false" ht="12.8" hidden="false" customHeight="false" outlineLevel="0" collapsed="false">
      <c r="A7140" s="0" t="s">
        <v>12</v>
      </c>
      <c r="B7140" s="0" t="n">
        <v>2282204</v>
      </c>
      <c r="C7140" s="0" t="n">
        <v>2282224</v>
      </c>
      <c r="D7140" s="0" t="s">
        <v>23753</v>
      </c>
      <c r="E7140" s="0" t="s">
        <v>23754</v>
      </c>
      <c r="F7140" s="0" t="s">
        <v>90</v>
      </c>
      <c r="G7140" s="0" t="s">
        <v>20</v>
      </c>
      <c r="H7140" s="0" t="n">
        <v>43</v>
      </c>
      <c r="I7140" s="0" t="s">
        <v>23758</v>
      </c>
      <c r="J7140" s="0" t="s">
        <v>23759</v>
      </c>
      <c r="K7140" s="0" t="s">
        <v>23760</v>
      </c>
      <c r="L7140" s="0" t="str">
        <f aca="false">HYPERLINK("https://www.ncbi.nlm.nih.gov/nuccore/CP000058.1?report=graph&amp;tracks=[key:gene_model_track,Options:GeneOnly]&amp;mk=2282236:2282255|offset_12|444444,2282205:2282224|offset_43|00cc00,2282147:2282166|offset_101|444444,2282081:2282100|offset_167|444444&amp;v=2282035:2282300&amp;c=444444", "offset 43")</f>
        <v>offset 43</v>
      </c>
    </row>
    <row r="7141" customFormat="false" ht="12.8" hidden="false" customHeight="false" outlineLevel="0" collapsed="false">
      <c r="A7141" s="0" t="s">
        <v>12</v>
      </c>
      <c r="B7141" s="0" t="n">
        <v>2282146</v>
      </c>
      <c r="C7141" s="0" t="n">
        <v>2282166</v>
      </c>
      <c r="D7141" s="0" t="s">
        <v>23753</v>
      </c>
      <c r="E7141" s="0" t="s">
        <v>23754</v>
      </c>
      <c r="F7141" s="0" t="s">
        <v>90</v>
      </c>
      <c r="G7141" s="0" t="s">
        <v>32</v>
      </c>
      <c r="H7141" s="0" t="n">
        <v>101</v>
      </c>
      <c r="I7141" s="0" t="s">
        <v>23761</v>
      </c>
      <c r="J7141" s="0" t="s">
        <v>23762</v>
      </c>
      <c r="K7141" s="0" t="s">
        <v>23763</v>
      </c>
      <c r="L7141" s="0" t="str">
        <f aca="false">HYPERLINK("https://www.ncbi.nlm.nih.gov/nuccore/CP000058.1?report=graph&amp;tracks=[key:gene_model_track,Options:GeneOnly]&amp;mk=2282236:2282255|offset_12|444444,2282205:2282224|offset_43|444444,2282147:2282166|offset_101|00cc00,2282081:2282100|offset_167|444444&amp;v=2282035:2282300&amp;c=444444", "offset 101")</f>
        <v>offset 101</v>
      </c>
    </row>
    <row r="7142" customFormat="false" ht="12.8" hidden="false" customHeight="false" outlineLevel="0" collapsed="false">
      <c r="A7142" s="0" t="s">
        <v>12</v>
      </c>
      <c r="B7142" s="0" t="n">
        <v>2282080</v>
      </c>
      <c r="C7142" s="0" t="n">
        <v>2282100</v>
      </c>
      <c r="D7142" s="0" t="s">
        <v>23753</v>
      </c>
      <c r="E7142" s="0" t="s">
        <v>23754</v>
      </c>
      <c r="F7142" s="0" t="s">
        <v>90</v>
      </c>
      <c r="G7142" s="0" t="s">
        <v>20</v>
      </c>
      <c r="H7142" s="0" t="n">
        <v>167</v>
      </c>
      <c r="I7142" s="0" t="s">
        <v>23764</v>
      </c>
      <c r="J7142" s="0" t="s">
        <v>23765</v>
      </c>
      <c r="K7142" s="0" t="s">
        <v>23766</v>
      </c>
      <c r="L7142" s="0" t="str">
        <f aca="false">HYPERLINK("https://www.ncbi.nlm.nih.gov/nuccore/CP000058.1?report=graph&amp;tracks=[key:gene_model_track,Options:GeneOnly]&amp;mk=2282236:2282255|offset_12|444444,2282205:2282224|offset_43|444444,2282147:2282166|offset_101|444444,2282081:2282100|offset_167|00cc00&amp;v=2282035:2282300&amp;c=444444", "offset 167")</f>
        <v>offset 167</v>
      </c>
    </row>
    <row r="7143" customFormat="false" ht="12.8" hidden="false" customHeight="false" outlineLevel="0" collapsed="false">
      <c r="A7143" s="0" t="s">
        <v>12</v>
      </c>
      <c r="B7143" s="0" t="n">
        <v>2283403</v>
      </c>
      <c r="C7143" s="0" t="n">
        <v>2283423</v>
      </c>
      <c r="D7143" s="0" t="s">
        <v>23767</v>
      </c>
      <c r="E7143" s="0" t="s">
        <v>75</v>
      </c>
      <c r="F7143" s="0" t="s">
        <v>90</v>
      </c>
      <c r="G7143" s="0" t="s">
        <v>36</v>
      </c>
      <c r="H7143" s="0" t="n">
        <v>17</v>
      </c>
      <c r="I7143" s="0" t="s">
        <v>23768</v>
      </c>
      <c r="J7143" s="0" t="s">
        <v>23769</v>
      </c>
      <c r="K7143" s="0" t="s">
        <v>23770</v>
      </c>
      <c r="L7143" s="0" t="str">
        <f aca="false">HYPERLINK("https://www.ncbi.nlm.nih.gov/nuccore/CP000058.1?report=graph&amp;tracks=[key:gene_model_track,Options:GeneOnly]&amp;mk=2283404:2283423|offset_17|00cc00,2283371:2283390|offset_50|444444,2283345:2283364|offset_76|444444,2283317:2283336|offset_104|444444&amp;v=2283203:2283536&amp;c=444444", "offset 17")</f>
        <v>offset 17</v>
      </c>
    </row>
    <row r="7144" customFormat="false" ht="12.8" hidden="false" customHeight="false" outlineLevel="0" collapsed="false">
      <c r="A7144" s="0" t="s">
        <v>12</v>
      </c>
      <c r="B7144" s="0" t="n">
        <v>2283370</v>
      </c>
      <c r="C7144" s="0" t="n">
        <v>2283390</v>
      </c>
      <c r="D7144" s="0" t="s">
        <v>23767</v>
      </c>
      <c r="E7144" s="0" t="s">
        <v>75</v>
      </c>
      <c r="F7144" s="0" t="s">
        <v>90</v>
      </c>
      <c r="G7144" s="0" t="s">
        <v>20</v>
      </c>
      <c r="H7144" s="0" t="n">
        <v>50</v>
      </c>
      <c r="I7144" s="0" t="s">
        <v>23771</v>
      </c>
      <c r="J7144" s="0" t="s">
        <v>23772</v>
      </c>
      <c r="K7144" s="0" t="s">
        <v>23773</v>
      </c>
      <c r="L7144" s="0" t="str">
        <f aca="false">HYPERLINK("https://www.ncbi.nlm.nih.gov/nuccore/CP000058.1?report=graph&amp;tracks=[key:gene_model_track,Options:GeneOnly]&amp;mk=2283404:2283423|offset_17|444444,2283371:2283390|offset_50|00cc00,2283345:2283364|offset_76|444444,2283317:2283336|offset_104|444444&amp;v=2283203:2283536&amp;c=444444", "offset 50")</f>
        <v>offset 50</v>
      </c>
    </row>
    <row r="7145" customFormat="false" ht="12.8" hidden="false" customHeight="false" outlineLevel="0" collapsed="false">
      <c r="A7145" s="0" t="s">
        <v>12</v>
      </c>
      <c r="B7145" s="0" t="n">
        <v>2283344</v>
      </c>
      <c r="C7145" s="0" t="n">
        <v>2283364</v>
      </c>
      <c r="D7145" s="0" t="s">
        <v>23767</v>
      </c>
      <c r="E7145" s="0" t="s">
        <v>75</v>
      </c>
      <c r="F7145" s="0" t="s">
        <v>90</v>
      </c>
      <c r="G7145" s="0" t="s">
        <v>20</v>
      </c>
      <c r="H7145" s="0" t="n">
        <v>76</v>
      </c>
      <c r="I7145" s="0" t="s">
        <v>23774</v>
      </c>
      <c r="J7145" s="0" t="s">
        <v>23775</v>
      </c>
      <c r="K7145" s="0" t="s">
        <v>23776</v>
      </c>
      <c r="L7145" s="0" t="str">
        <f aca="false">HYPERLINK("https://www.ncbi.nlm.nih.gov/nuccore/CP000058.1?report=graph&amp;tracks=[key:gene_model_track,Options:GeneOnly]&amp;mk=2283404:2283423|offset_17|444444,2283371:2283390|offset_50|444444,2283345:2283364|offset_76|00cc00,2283317:2283336|offset_104|444444&amp;v=2283203:2283536&amp;c=444444", "offset 76")</f>
        <v>offset 76</v>
      </c>
    </row>
    <row r="7146" customFormat="false" ht="12.8" hidden="false" customHeight="false" outlineLevel="0" collapsed="false">
      <c r="A7146" s="0" t="s">
        <v>12</v>
      </c>
      <c r="B7146" s="0" t="n">
        <v>2283316</v>
      </c>
      <c r="C7146" s="0" t="n">
        <v>2283336</v>
      </c>
      <c r="D7146" s="0" t="s">
        <v>23767</v>
      </c>
      <c r="E7146" s="0" t="s">
        <v>75</v>
      </c>
      <c r="F7146" s="0" t="s">
        <v>90</v>
      </c>
      <c r="G7146" s="0" t="s">
        <v>32</v>
      </c>
      <c r="H7146" s="0" t="n">
        <v>104</v>
      </c>
      <c r="I7146" s="0" t="s">
        <v>23777</v>
      </c>
      <c r="J7146" s="0" t="s">
        <v>23778</v>
      </c>
      <c r="K7146" s="0" t="s">
        <v>23779</v>
      </c>
      <c r="L7146" s="0" t="str">
        <f aca="false">HYPERLINK("https://www.ncbi.nlm.nih.gov/nuccore/CP000058.1?report=graph&amp;tracks=[key:gene_model_track,Options:GeneOnly]&amp;mk=2283404:2283423|offset_17|444444,2283371:2283390|offset_50|444444,2283345:2283364|offset_76|444444,2283317:2283336|offset_104|00cc00&amp;v=2283203:2283536&amp;c=444444", "offset 104")</f>
        <v>offset 104</v>
      </c>
    </row>
    <row r="7147" customFormat="false" ht="12.8" hidden="false" customHeight="false" outlineLevel="0" collapsed="false">
      <c r="A7147" s="0" t="s">
        <v>12</v>
      </c>
      <c r="B7147" s="0" t="n">
        <v>2283656</v>
      </c>
      <c r="C7147" s="0" t="n">
        <v>2283676</v>
      </c>
      <c r="D7147" s="0" t="s">
        <v>23780</v>
      </c>
      <c r="E7147" s="0" t="s">
        <v>75</v>
      </c>
      <c r="F7147" s="0" t="s">
        <v>15</v>
      </c>
      <c r="G7147" s="0" t="s">
        <v>32</v>
      </c>
      <c r="H7147" s="0" t="n">
        <v>13</v>
      </c>
      <c r="I7147" s="0" t="s">
        <v>23781</v>
      </c>
      <c r="J7147" s="0" t="s">
        <v>23782</v>
      </c>
      <c r="K7147" s="0" t="s">
        <v>23783</v>
      </c>
      <c r="L7147" s="0" t="str">
        <f aca="false">HYPERLINK("https://www.ncbi.nlm.nih.gov/nuccore/CP000058.1?report=graph&amp;tracks=[key:gene_model_track,Options:GeneOnly]&amp;mk=2283657:2283676|offset_13|00cc00,2283710:2283729|offset_66|444444,2283744:2283763|offset_100|444444,2283768:2283787|offset_124|444444&amp;v=2283456:2283987&amp;c=444444", "offset 13")</f>
        <v>offset 13</v>
      </c>
    </row>
    <row r="7148" customFormat="false" ht="12.8" hidden="false" customHeight="false" outlineLevel="0" collapsed="false">
      <c r="A7148" s="0" t="s">
        <v>12</v>
      </c>
      <c r="B7148" s="0" t="n">
        <v>2283709</v>
      </c>
      <c r="C7148" s="0" t="n">
        <v>2283729</v>
      </c>
      <c r="D7148" s="0" t="s">
        <v>23780</v>
      </c>
      <c r="E7148" s="0" t="s">
        <v>75</v>
      </c>
      <c r="F7148" s="0" t="s">
        <v>15</v>
      </c>
      <c r="G7148" s="0" t="s">
        <v>20</v>
      </c>
      <c r="H7148" s="0" t="n">
        <v>66</v>
      </c>
      <c r="I7148" s="0" t="s">
        <v>23784</v>
      </c>
      <c r="J7148" s="0" t="s">
        <v>23785</v>
      </c>
      <c r="K7148" s="0" t="s">
        <v>23786</v>
      </c>
      <c r="L7148" s="0" t="str">
        <f aca="false">HYPERLINK("https://www.ncbi.nlm.nih.gov/nuccore/CP000058.1?report=graph&amp;tracks=[key:gene_model_track,Options:GeneOnly]&amp;mk=2283657:2283676|offset_13|444444,2283710:2283729|offset_66|00cc00,2283744:2283763|offset_100|444444,2283768:2283787|offset_124|444444&amp;v=2283456:2283987&amp;c=444444", "offset 66")</f>
        <v>offset 66</v>
      </c>
    </row>
    <row r="7149" customFormat="false" ht="12.8" hidden="false" customHeight="false" outlineLevel="0" collapsed="false">
      <c r="A7149" s="0" t="s">
        <v>12</v>
      </c>
      <c r="B7149" s="0" t="n">
        <v>2283743</v>
      </c>
      <c r="C7149" s="0" t="n">
        <v>2283763</v>
      </c>
      <c r="D7149" s="0" t="s">
        <v>23780</v>
      </c>
      <c r="E7149" s="0" t="s">
        <v>75</v>
      </c>
      <c r="F7149" s="0" t="s">
        <v>15</v>
      </c>
      <c r="G7149" s="0" t="s">
        <v>16</v>
      </c>
      <c r="H7149" s="0" t="n">
        <v>100</v>
      </c>
      <c r="I7149" s="0" t="s">
        <v>23787</v>
      </c>
      <c r="J7149" s="0" t="s">
        <v>23788</v>
      </c>
      <c r="K7149" s="0" t="s">
        <v>23789</v>
      </c>
      <c r="L7149" s="0" t="str">
        <f aca="false">HYPERLINK("https://www.ncbi.nlm.nih.gov/nuccore/CP000058.1?report=graph&amp;tracks=[key:gene_model_track,Options:GeneOnly]&amp;mk=2283657:2283676|offset_13|444444,2283710:2283729|offset_66|444444,2283744:2283763|offset_100|00cc00,2283768:2283787|offset_124|444444&amp;v=2283456:2283987&amp;c=444444", "offset 100")</f>
        <v>offset 100</v>
      </c>
    </row>
    <row r="7150" customFormat="false" ht="12.8" hidden="false" customHeight="false" outlineLevel="0" collapsed="false">
      <c r="A7150" s="0" t="s">
        <v>12</v>
      </c>
      <c r="B7150" s="0" t="n">
        <v>2283767</v>
      </c>
      <c r="C7150" s="0" t="n">
        <v>2283787</v>
      </c>
      <c r="D7150" s="0" t="s">
        <v>23780</v>
      </c>
      <c r="E7150" s="0" t="s">
        <v>75</v>
      </c>
      <c r="F7150" s="0" t="s">
        <v>15</v>
      </c>
      <c r="G7150" s="0" t="s">
        <v>16</v>
      </c>
      <c r="H7150" s="0" t="n">
        <v>124</v>
      </c>
      <c r="I7150" s="0" t="s">
        <v>23790</v>
      </c>
      <c r="J7150" s="0" t="s">
        <v>23791</v>
      </c>
      <c r="K7150" s="0" t="s">
        <v>23792</v>
      </c>
      <c r="L7150" s="0" t="str">
        <f aca="false">HYPERLINK("https://www.ncbi.nlm.nih.gov/nuccore/CP000058.1?report=graph&amp;tracks=[key:gene_model_track,Options:GeneOnly]&amp;mk=2283657:2283676|offset_13|444444,2283710:2283729|offset_66|444444,2283744:2283763|offset_100|444444,2283768:2283787|offset_124|00cc00&amp;v=2283456:2283987&amp;c=444444", "offset 124")</f>
        <v>offset 124</v>
      </c>
    </row>
    <row r="7151" customFormat="false" ht="12.8" hidden="false" customHeight="false" outlineLevel="0" collapsed="false">
      <c r="A7151" s="0" t="s">
        <v>12</v>
      </c>
      <c r="B7151" s="0" t="n">
        <v>2286335</v>
      </c>
      <c r="C7151" s="0" t="n">
        <v>2286355</v>
      </c>
      <c r="D7151" s="0" t="s">
        <v>23793</v>
      </c>
      <c r="E7151" s="0" t="s">
        <v>75</v>
      </c>
      <c r="F7151" s="0" t="s">
        <v>90</v>
      </c>
      <c r="G7151" s="0" t="s">
        <v>32</v>
      </c>
      <c r="H7151" s="0" t="n">
        <v>7</v>
      </c>
      <c r="I7151" s="0" t="s">
        <v>23794</v>
      </c>
      <c r="J7151" s="0" t="s">
        <v>23795</v>
      </c>
      <c r="K7151" s="0" t="s">
        <v>23796</v>
      </c>
      <c r="L7151" s="0" t="str">
        <f aca="false">HYPERLINK("https://www.ncbi.nlm.nih.gov/nuccore/CP000058.1?report=graph&amp;tracks=[key:gene_model_track,Options:GeneOnly]&amp;mk=2286336:2286355|offset_7|00cc00,2286307:2286326|offset_36|444444,2286281:2286300|offset_62|444444,2286260:2286279|offset_83|444444&amp;v=2286135:2286479&amp;c=444444", "offset 7")</f>
        <v>offset 7</v>
      </c>
    </row>
    <row r="7152" customFormat="false" ht="12.8" hidden="false" customHeight="false" outlineLevel="0" collapsed="false">
      <c r="A7152" s="0" t="s">
        <v>12</v>
      </c>
      <c r="B7152" s="0" t="n">
        <v>2286306</v>
      </c>
      <c r="C7152" s="0" t="n">
        <v>2286326</v>
      </c>
      <c r="D7152" s="0" t="s">
        <v>23793</v>
      </c>
      <c r="E7152" s="0" t="s">
        <v>75</v>
      </c>
      <c r="F7152" s="0" t="s">
        <v>90</v>
      </c>
      <c r="G7152" s="0" t="s">
        <v>32</v>
      </c>
      <c r="H7152" s="0" t="n">
        <v>36</v>
      </c>
      <c r="I7152" s="0" t="s">
        <v>23797</v>
      </c>
      <c r="J7152" s="0" t="s">
        <v>23798</v>
      </c>
      <c r="K7152" s="0" t="s">
        <v>23799</v>
      </c>
      <c r="L7152" s="0" t="str">
        <f aca="false">HYPERLINK("https://www.ncbi.nlm.nih.gov/nuccore/CP000058.1?report=graph&amp;tracks=[key:gene_model_track,Options:GeneOnly]&amp;mk=2286336:2286355|offset_7|444444,2286307:2286326|offset_36|00cc00,2286281:2286300|offset_62|444444,2286260:2286279|offset_83|444444&amp;v=2286135:2286479&amp;c=444444", "offset 36")</f>
        <v>offset 36</v>
      </c>
    </row>
    <row r="7153" customFormat="false" ht="12.8" hidden="false" customHeight="false" outlineLevel="0" collapsed="false">
      <c r="A7153" s="0" t="s">
        <v>12</v>
      </c>
      <c r="B7153" s="0" t="n">
        <v>2286280</v>
      </c>
      <c r="C7153" s="0" t="n">
        <v>2286300</v>
      </c>
      <c r="D7153" s="0" t="s">
        <v>23793</v>
      </c>
      <c r="E7153" s="0" t="s">
        <v>75</v>
      </c>
      <c r="F7153" s="0" t="s">
        <v>90</v>
      </c>
      <c r="G7153" s="0" t="s">
        <v>32</v>
      </c>
      <c r="H7153" s="0" t="n">
        <v>62</v>
      </c>
      <c r="I7153" s="0" t="s">
        <v>23800</v>
      </c>
      <c r="J7153" s="0" t="s">
        <v>23801</v>
      </c>
      <c r="K7153" s="0" t="s">
        <v>23802</v>
      </c>
      <c r="L7153" s="0" t="str">
        <f aca="false">HYPERLINK("https://www.ncbi.nlm.nih.gov/nuccore/CP000058.1?report=graph&amp;tracks=[key:gene_model_track,Options:GeneOnly]&amp;mk=2286336:2286355|offset_7|444444,2286307:2286326|offset_36|444444,2286281:2286300|offset_62|00cc00,2286260:2286279|offset_83|444444&amp;v=2286135:2286479&amp;c=444444", "offset 62")</f>
        <v>offset 62</v>
      </c>
    </row>
    <row r="7154" customFormat="false" ht="12.8" hidden="false" customHeight="false" outlineLevel="0" collapsed="false">
      <c r="A7154" s="0" t="s">
        <v>12</v>
      </c>
      <c r="B7154" s="0" t="n">
        <v>2286259</v>
      </c>
      <c r="C7154" s="0" t="n">
        <v>2286279</v>
      </c>
      <c r="D7154" s="0" t="s">
        <v>23793</v>
      </c>
      <c r="E7154" s="0" t="s">
        <v>75</v>
      </c>
      <c r="F7154" s="0" t="s">
        <v>90</v>
      </c>
      <c r="G7154" s="0" t="s">
        <v>36</v>
      </c>
      <c r="H7154" s="0" t="n">
        <v>83</v>
      </c>
      <c r="I7154" s="0" t="s">
        <v>23803</v>
      </c>
      <c r="J7154" s="0" t="s">
        <v>23804</v>
      </c>
      <c r="K7154" s="0" t="s">
        <v>23805</v>
      </c>
      <c r="L7154" s="0" t="str">
        <f aca="false">HYPERLINK("https://www.ncbi.nlm.nih.gov/nuccore/CP000058.1?report=graph&amp;tracks=[key:gene_model_track,Options:GeneOnly]&amp;mk=2286336:2286355|offset_7|444444,2286307:2286326|offset_36|444444,2286281:2286300|offset_62|444444,2286260:2286279|offset_83|00cc00&amp;v=2286135:2286479&amp;c=444444", "offset 83")</f>
        <v>offset 83</v>
      </c>
    </row>
    <row r="7155" customFormat="false" ht="12.8" hidden="false" customHeight="false" outlineLevel="0" collapsed="false">
      <c r="A7155" s="0" t="s">
        <v>12</v>
      </c>
      <c r="B7155" s="0" t="n">
        <v>2287766</v>
      </c>
      <c r="C7155" s="0" t="n">
        <v>2287786</v>
      </c>
      <c r="D7155" s="0" t="s">
        <v>23806</v>
      </c>
      <c r="E7155" s="0" t="s">
        <v>23807</v>
      </c>
      <c r="F7155" s="0" t="s">
        <v>90</v>
      </c>
      <c r="G7155" s="0" t="s">
        <v>20</v>
      </c>
      <c r="H7155" s="0" t="n">
        <v>8</v>
      </c>
      <c r="I7155" s="0" t="s">
        <v>23808</v>
      </c>
      <c r="J7155" s="0" t="s">
        <v>23809</v>
      </c>
      <c r="K7155" s="0" t="s">
        <v>23810</v>
      </c>
      <c r="L7155" s="0" t="str">
        <f aca="false">HYPERLINK("https://www.ncbi.nlm.nih.gov/nuccore/CP000058.1?report=graph&amp;tracks=[key:gene_model_track,Options:GeneOnly]&amp;mk=2287767:2287786|offset_8|00cc00,2287742:2287761|offset_33|444444,2287711:2287730|offset_64|444444,2287690:2287709|offset_85|444444&amp;v=2287566:2287909&amp;c=444444", "offset 8")</f>
        <v>offset 8</v>
      </c>
    </row>
    <row r="7156" customFormat="false" ht="12.8" hidden="false" customHeight="false" outlineLevel="0" collapsed="false">
      <c r="A7156" s="0" t="s">
        <v>12</v>
      </c>
      <c r="B7156" s="0" t="n">
        <v>2287741</v>
      </c>
      <c r="C7156" s="0" t="n">
        <v>2287761</v>
      </c>
      <c r="D7156" s="0" t="s">
        <v>23806</v>
      </c>
      <c r="E7156" s="0" t="s">
        <v>23807</v>
      </c>
      <c r="F7156" s="0" t="s">
        <v>90</v>
      </c>
      <c r="G7156" s="0" t="s">
        <v>36</v>
      </c>
      <c r="H7156" s="0" t="n">
        <v>33</v>
      </c>
      <c r="I7156" s="0" t="s">
        <v>23811</v>
      </c>
      <c r="J7156" s="0" t="s">
        <v>23812</v>
      </c>
      <c r="K7156" s="0" t="s">
        <v>23813</v>
      </c>
      <c r="L7156" s="0" t="str">
        <f aca="false">HYPERLINK("https://www.ncbi.nlm.nih.gov/nuccore/CP000058.1?report=graph&amp;tracks=[key:gene_model_track,Options:GeneOnly]&amp;mk=2287767:2287786|offset_8|444444,2287742:2287761|offset_33|00cc00,2287711:2287730|offset_64|444444,2287690:2287709|offset_85|444444&amp;v=2287566:2287909&amp;c=444444", "offset 33")</f>
        <v>offset 33</v>
      </c>
    </row>
    <row r="7157" customFormat="false" ht="12.8" hidden="false" customHeight="false" outlineLevel="0" collapsed="false">
      <c r="A7157" s="0" t="s">
        <v>12</v>
      </c>
      <c r="B7157" s="0" t="n">
        <v>2287710</v>
      </c>
      <c r="C7157" s="0" t="n">
        <v>2287730</v>
      </c>
      <c r="D7157" s="0" t="s">
        <v>23806</v>
      </c>
      <c r="E7157" s="0" t="s">
        <v>23807</v>
      </c>
      <c r="F7157" s="0" t="s">
        <v>90</v>
      </c>
      <c r="G7157" s="0" t="s">
        <v>20</v>
      </c>
      <c r="H7157" s="0" t="n">
        <v>64</v>
      </c>
      <c r="I7157" s="0" t="s">
        <v>23814</v>
      </c>
      <c r="J7157" s="0" t="s">
        <v>23815</v>
      </c>
      <c r="K7157" s="0" t="s">
        <v>23816</v>
      </c>
      <c r="L7157" s="0" t="str">
        <f aca="false">HYPERLINK("https://www.ncbi.nlm.nih.gov/nuccore/CP000058.1?report=graph&amp;tracks=[key:gene_model_track,Options:GeneOnly]&amp;mk=2287767:2287786|offset_8|444444,2287742:2287761|offset_33|444444,2287711:2287730|offset_64|00cc00,2287690:2287709|offset_85|444444&amp;v=2287566:2287909&amp;c=444444", "offset 64")</f>
        <v>offset 64</v>
      </c>
    </row>
    <row r="7158" customFormat="false" ht="12.8" hidden="false" customHeight="false" outlineLevel="0" collapsed="false">
      <c r="A7158" s="0" t="s">
        <v>12</v>
      </c>
      <c r="B7158" s="0" t="n">
        <v>2287689</v>
      </c>
      <c r="C7158" s="0" t="n">
        <v>2287709</v>
      </c>
      <c r="D7158" s="0" t="s">
        <v>23806</v>
      </c>
      <c r="E7158" s="0" t="s">
        <v>23807</v>
      </c>
      <c r="F7158" s="0" t="s">
        <v>90</v>
      </c>
      <c r="G7158" s="0" t="s">
        <v>32</v>
      </c>
      <c r="H7158" s="0" t="n">
        <v>85</v>
      </c>
      <c r="I7158" s="0" t="s">
        <v>23817</v>
      </c>
      <c r="J7158" s="0" t="s">
        <v>23818</v>
      </c>
      <c r="K7158" s="0" t="s">
        <v>23819</v>
      </c>
      <c r="L7158" s="0" t="str">
        <f aca="false">HYPERLINK("https://www.ncbi.nlm.nih.gov/nuccore/CP000058.1?report=graph&amp;tracks=[key:gene_model_track,Options:GeneOnly]&amp;mk=2287767:2287786|offset_8|444444,2287742:2287761|offset_33|444444,2287711:2287730|offset_64|444444,2287690:2287709|offset_85|00cc00&amp;v=2287566:2287909&amp;c=444444", "offset 85")</f>
        <v>offset 85</v>
      </c>
    </row>
    <row r="7159" customFormat="false" ht="12.8" hidden="false" customHeight="false" outlineLevel="0" collapsed="false">
      <c r="A7159" s="0" t="s">
        <v>12</v>
      </c>
      <c r="B7159" s="0" t="n">
        <v>2288088</v>
      </c>
      <c r="C7159" s="0" t="n">
        <v>2288108</v>
      </c>
      <c r="D7159" s="0" t="s">
        <v>23820</v>
      </c>
      <c r="E7159" s="0" t="s">
        <v>75</v>
      </c>
      <c r="F7159" s="0" t="s">
        <v>90</v>
      </c>
      <c r="G7159" s="0" t="s">
        <v>20</v>
      </c>
      <c r="H7159" s="0" t="n">
        <v>39</v>
      </c>
      <c r="I7159" s="0" t="s">
        <v>23821</v>
      </c>
      <c r="J7159" s="0" t="s">
        <v>23822</v>
      </c>
      <c r="K7159" s="0" t="s">
        <v>23823</v>
      </c>
      <c r="L7159" s="0" t="str">
        <f aca="false">HYPERLINK("https://www.ncbi.nlm.nih.gov/nuccore/CP000058.1?report=graph&amp;tracks=[key:gene_model_track,Options:GeneOnly]&amp;mk=2288089:2288108|offset_39|00cc00,2288049:2288068|offset_79|444444&amp;v=2287888:2288268&amp;c=444444", "offset 39")</f>
        <v>offset 39</v>
      </c>
    </row>
    <row r="7160" customFormat="false" ht="12.8" hidden="false" customHeight="false" outlineLevel="0" collapsed="false">
      <c r="A7160" s="0" t="s">
        <v>12</v>
      </c>
      <c r="B7160" s="0" t="n">
        <v>2288048</v>
      </c>
      <c r="C7160" s="0" t="n">
        <v>2288068</v>
      </c>
      <c r="D7160" s="0" t="s">
        <v>23820</v>
      </c>
      <c r="E7160" s="0" t="s">
        <v>75</v>
      </c>
      <c r="F7160" s="0" t="s">
        <v>90</v>
      </c>
      <c r="G7160" s="0" t="s">
        <v>32</v>
      </c>
      <c r="H7160" s="0" t="n">
        <v>79</v>
      </c>
      <c r="I7160" s="0" t="s">
        <v>23824</v>
      </c>
      <c r="J7160" s="0" t="s">
        <v>23825</v>
      </c>
      <c r="K7160" s="0" t="s">
        <v>23826</v>
      </c>
      <c r="L7160" s="0" t="str">
        <f aca="false">HYPERLINK("https://www.ncbi.nlm.nih.gov/nuccore/CP000058.1?report=graph&amp;tracks=[key:gene_model_track,Options:GeneOnly]&amp;mk=2288089:2288108|offset_39|444444,2288049:2288068|offset_79|00cc00&amp;v=2287888:2288268&amp;c=444444", "offset 79")</f>
        <v>offset 79</v>
      </c>
    </row>
    <row r="7161" customFormat="false" ht="12.8" hidden="false" customHeight="false" outlineLevel="0" collapsed="false">
      <c r="A7161" s="0" t="s">
        <v>12</v>
      </c>
      <c r="B7161" s="0" t="n">
        <v>2288180</v>
      </c>
      <c r="C7161" s="0" t="n">
        <v>2288200</v>
      </c>
      <c r="D7161" s="0" t="s">
        <v>23827</v>
      </c>
      <c r="E7161" s="0" t="s">
        <v>23828</v>
      </c>
      <c r="F7161" s="0" t="s">
        <v>15</v>
      </c>
      <c r="G7161" s="0" t="s">
        <v>16</v>
      </c>
      <c r="H7161" s="0" t="n">
        <v>7</v>
      </c>
      <c r="I7161" s="0" t="s">
        <v>23829</v>
      </c>
      <c r="J7161" s="0" t="s">
        <v>23830</v>
      </c>
      <c r="K7161" s="0" t="s">
        <v>23831</v>
      </c>
      <c r="L7161" s="0" t="str">
        <f aca="false">HYPERLINK("https://www.ncbi.nlm.nih.gov/nuccore/CP000058.1?report=graph&amp;tracks=[key:gene_model_track,Options:GeneOnly]&amp;mk=2288181:2288200|offset_7|00cc00,2288210:2288229|offset_36|444444,2288232:2288251|offset_58|444444,2288280:2288299|offset_106|444444&amp;v=2287980:2288499&amp;c=444444", "offset 7")</f>
        <v>offset 7</v>
      </c>
    </row>
    <row r="7162" customFormat="false" ht="12.8" hidden="false" customHeight="false" outlineLevel="0" collapsed="false">
      <c r="A7162" s="0" t="s">
        <v>12</v>
      </c>
      <c r="B7162" s="0" t="n">
        <v>2288209</v>
      </c>
      <c r="C7162" s="0" t="n">
        <v>2288229</v>
      </c>
      <c r="D7162" s="0" t="s">
        <v>23827</v>
      </c>
      <c r="E7162" s="0" t="s">
        <v>23828</v>
      </c>
      <c r="F7162" s="0" t="s">
        <v>15</v>
      </c>
      <c r="G7162" s="0" t="s">
        <v>32</v>
      </c>
      <c r="H7162" s="0" t="n">
        <v>36</v>
      </c>
      <c r="I7162" s="0" t="s">
        <v>23832</v>
      </c>
      <c r="J7162" s="0" t="s">
        <v>23833</v>
      </c>
      <c r="K7162" s="0" t="s">
        <v>23834</v>
      </c>
      <c r="L7162" s="0" t="str">
        <f aca="false">HYPERLINK("https://www.ncbi.nlm.nih.gov/nuccore/CP000058.1?report=graph&amp;tracks=[key:gene_model_track,Options:GeneOnly]&amp;mk=2288181:2288200|offset_7|444444,2288210:2288229|offset_36|00cc00,2288232:2288251|offset_58|444444,2288280:2288299|offset_106|444444&amp;v=2287980:2288499&amp;c=444444", "offset 36")</f>
        <v>offset 36</v>
      </c>
    </row>
    <row r="7163" customFormat="false" ht="12.8" hidden="false" customHeight="false" outlineLevel="0" collapsed="false">
      <c r="A7163" s="0" t="s">
        <v>12</v>
      </c>
      <c r="B7163" s="0" t="n">
        <v>2288231</v>
      </c>
      <c r="C7163" s="0" t="n">
        <v>2288251</v>
      </c>
      <c r="D7163" s="0" t="s">
        <v>23827</v>
      </c>
      <c r="E7163" s="0" t="s">
        <v>23828</v>
      </c>
      <c r="F7163" s="0" t="s">
        <v>15</v>
      </c>
      <c r="G7163" s="0" t="s">
        <v>32</v>
      </c>
      <c r="H7163" s="0" t="n">
        <v>58</v>
      </c>
      <c r="I7163" s="0" t="s">
        <v>23835</v>
      </c>
      <c r="J7163" s="0" t="s">
        <v>23836</v>
      </c>
      <c r="K7163" s="0" t="s">
        <v>23837</v>
      </c>
      <c r="L7163" s="0" t="str">
        <f aca="false">HYPERLINK("https://www.ncbi.nlm.nih.gov/nuccore/CP000058.1?report=graph&amp;tracks=[key:gene_model_track,Options:GeneOnly]&amp;mk=2288181:2288200|offset_7|444444,2288210:2288229|offset_36|444444,2288232:2288251|offset_58|00cc00,2288280:2288299|offset_106|444444&amp;v=2287980:2288499&amp;c=444444", "offset 58")</f>
        <v>offset 58</v>
      </c>
    </row>
    <row r="7164" customFormat="false" ht="12.8" hidden="false" customHeight="false" outlineLevel="0" collapsed="false">
      <c r="A7164" s="0" t="s">
        <v>12</v>
      </c>
      <c r="B7164" s="0" t="n">
        <v>2288279</v>
      </c>
      <c r="C7164" s="0" t="n">
        <v>2288299</v>
      </c>
      <c r="D7164" s="0" t="s">
        <v>23827</v>
      </c>
      <c r="E7164" s="0" t="s">
        <v>23828</v>
      </c>
      <c r="F7164" s="0" t="s">
        <v>15</v>
      </c>
      <c r="G7164" s="0" t="s">
        <v>20</v>
      </c>
      <c r="H7164" s="0" t="n">
        <v>106</v>
      </c>
      <c r="I7164" s="0" t="s">
        <v>23838</v>
      </c>
      <c r="J7164" s="0" t="s">
        <v>23839</v>
      </c>
      <c r="K7164" s="0" t="s">
        <v>23840</v>
      </c>
      <c r="L7164" s="0" t="str">
        <f aca="false">HYPERLINK("https://www.ncbi.nlm.nih.gov/nuccore/CP000058.1?report=graph&amp;tracks=[key:gene_model_track,Options:GeneOnly]&amp;mk=2288181:2288200|offset_7|444444,2288210:2288229|offset_36|444444,2288232:2288251|offset_58|444444,2288280:2288299|offset_106|00cc00&amp;v=2287980:2288499&amp;c=444444", "offset 106")</f>
        <v>offset 106</v>
      </c>
    </row>
    <row r="7165" customFormat="false" ht="12.8" hidden="false" customHeight="false" outlineLevel="0" collapsed="false">
      <c r="A7165" s="0" t="s">
        <v>12</v>
      </c>
      <c r="B7165" s="0" t="n">
        <v>2290845</v>
      </c>
      <c r="C7165" s="0" t="n">
        <v>2290865</v>
      </c>
      <c r="D7165" s="0" t="s">
        <v>23841</v>
      </c>
      <c r="E7165" s="0" t="s">
        <v>23842</v>
      </c>
      <c r="F7165" s="0" t="s">
        <v>15</v>
      </c>
      <c r="G7165" s="0" t="s">
        <v>32</v>
      </c>
      <c r="H7165" s="0" t="n">
        <v>1</v>
      </c>
      <c r="I7165" s="0" t="s">
        <v>23843</v>
      </c>
      <c r="J7165" s="0" t="s">
        <v>23844</v>
      </c>
      <c r="K7165" s="0" t="s">
        <v>23845</v>
      </c>
      <c r="L7165" s="0" t="str">
        <f aca="false">HYPERLINK("https://www.ncbi.nlm.nih.gov/nuccore/CP000058.1?report=graph&amp;tracks=[key:gene_model_track,Options:GeneOnly]&amp;mk=2290846:2290865|offset_1|00cc00,2290875:2290894|offset_30|444444,2290909:2290928|offset_64|444444,2290939:2290958|offset_94|444444&amp;v=2290645:2291158&amp;c=444444", "offset 1")</f>
        <v>offset 1</v>
      </c>
    </row>
    <row r="7166" customFormat="false" ht="12.8" hidden="false" customHeight="false" outlineLevel="0" collapsed="false">
      <c r="A7166" s="0" t="s">
        <v>12</v>
      </c>
      <c r="B7166" s="0" t="n">
        <v>2290874</v>
      </c>
      <c r="C7166" s="0" t="n">
        <v>2290894</v>
      </c>
      <c r="D7166" s="0" t="s">
        <v>23841</v>
      </c>
      <c r="E7166" s="0" t="s">
        <v>23842</v>
      </c>
      <c r="F7166" s="0" t="s">
        <v>15</v>
      </c>
      <c r="G7166" s="0" t="s">
        <v>32</v>
      </c>
      <c r="H7166" s="0" t="n">
        <v>30</v>
      </c>
      <c r="I7166" s="0" t="s">
        <v>23846</v>
      </c>
      <c r="J7166" s="0" t="s">
        <v>23847</v>
      </c>
      <c r="K7166" s="0" t="s">
        <v>23848</v>
      </c>
      <c r="L7166" s="0" t="str">
        <f aca="false">HYPERLINK("https://www.ncbi.nlm.nih.gov/nuccore/CP000058.1?report=graph&amp;tracks=[key:gene_model_track,Options:GeneOnly]&amp;mk=2290846:2290865|offset_1|444444,2290875:2290894|offset_30|00cc00,2290909:2290928|offset_64|444444,2290939:2290958|offset_94|444444&amp;v=2290645:2291158&amp;c=444444", "offset 30")</f>
        <v>offset 30</v>
      </c>
    </row>
    <row r="7167" customFormat="false" ht="12.8" hidden="false" customHeight="false" outlineLevel="0" collapsed="false">
      <c r="A7167" s="0" t="s">
        <v>12</v>
      </c>
      <c r="B7167" s="0" t="n">
        <v>2290908</v>
      </c>
      <c r="C7167" s="0" t="n">
        <v>2290928</v>
      </c>
      <c r="D7167" s="0" t="s">
        <v>23841</v>
      </c>
      <c r="E7167" s="0" t="s">
        <v>23842</v>
      </c>
      <c r="F7167" s="0" t="s">
        <v>15</v>
      </c>
      <c r="G7167" s="0" t="s">
        <v>20</v>
      </c>
      <c r="H7167" s="0" t="n">
        <v>64</v>
      </c>
      <c r="I7167" s="0" t="s">
        <v>23849</v>
      </c>
      <c r="J7167" s="0" t="s">
        <v>23850</v>
      </c>
      <c r="K7167" s="0" t="s">
        <v>23851</v>
      </c>
      <c r="L7167" s="0" t="str">
        <f aca="false">HYPERLINK("https://www.ncbi.nlm.nih.gov/nuccore/CP000058.1?report=graph&amp;tracks=[key:gene_model_track,Options:GeneOnly]&amp;mk=2290846:2290865|offset_1|444444,2290875:2290894|offset_30|444444,2290909:2290928|offset_64|00cc00,2290939:2290958|offset_94|444444&amp;v=2290645:2291158&amp;c=444444", "offset 64")</f>
        <v>offset 64</v>
      </c>
    </row>
    <row r="7168" customFormat="false" ht="12.8" hidden="false" customHeight="false" outlineLevel="0" collapsed="false">
      <c r="A7168" s="0" t="s">
        <v>12</v>
      </c>
      <c r="B7168" s="0" t="n">
        <v>2290938</v>
      </c>
      <c r="C7168" s="0" t="n">
        <v>2290958</v>
      </c>
      <c r="D7168" s="0" t="s">
        <v>23841</v>
      </c>
      <c r="E7168" s="0" t="s">
        <v>23842</v>
      </c>
      <c r="F7168" s="0" t="s">
        <v>15</v>
      </c>
      <c r="G7168" s="0" t="s">
        <v>32</v>
      </c>
      <c r="H7168" s="0" t="n">
        <v>94</v>
      </c>
      <c r="I7168" s="0" t="s">
        <v>23852</v>
      </c>
      <c r="J7168" s="0" t="s">
        <v>23853</v>
      </c>
      <c r="K7168" s="0" t="s">
        <v>23854</v>
      </c>
      <c r="L7168" s="0" t="str">
        <f aca="false">HYPERLINK("https://www.ncbi.nlm.nih.gov/nuccore/CP000058.1?report=graph&amp;tracks=[key:gene_model_track,Options:GeneOnly]&amp;mk=2290846:2290865|offset_1|444444,2290875:2290894|offset_30|444444,2290909:2290928|offset_64|444444,2290939:2290958|offset_94|00cc00&amp;v=2290645:2291158&amp;c=444444", "offset 94")</f>
        <v>offset 94</v>
      </c>
    </row>
    <row r="7169" customFormat="false" ht="12.8" hidden="false" customHeight="false" outlineLevel="0" collapsed="false">
      <c r="A7169" s="0" t="s">
        <v>12</v>
      </c>
      <c r="B7169" s="0" t="n">
        <v>2293296</v>
      </c>
      <c r="C7169" s="0" t="n">
        <v>2293316</v>
      </c>
      <c r="D7169" s="0" t="s">
        <v>23855</v>
      </c>
      <c r="E7169" s="0" t="s">
        <v>75</v>
      </c>
      <c r="F7169" s="0" t="s">
        <v>15</v>
      </c>
      <c r="G7169" s="0" t="s">
        <v>16</v>
      </c>
      <c r="H7169" s="0" t="n">
        <v>14</v>
      </c>
      <c r="I7169" s="0" t="s">
        <v>23856</v>
      </c>
      <c r="J7169" s="0" t="s">
        <v>23857</v>
      </c>
      <c r="K7169" s="0" t="s">
        <v>23858</v>
      </c>
      <c r="L7169" s="0" t="str">
        <f aca="false">HYPERLINK("https://www.ncbi.nlm.nih.gov/nuccore/CP000058.1?report=graph&amp;tracks=[key:gene_model_track,Options:GeneOnly]&amp;mk=2293297:2293316|offset_14|00cc00,2293362:2293381|offset_79|444444,2293383:2293402|offset_100|444444,2293426:2293445|offset_143|444444&amp;v=2293096:2293645&amp;c=444444", "offset 14")</f>
        <v>offset 14</v>
      </c>
    </row>
    <row r="7170" customFormat="false" ht="12.8" hidden="false" customHeight="false" outlineLevel="0" collapsed="false">
      <c r="A7170" s="0" t="s">
        <v>12</v>
      </c>
      <c r="B7170" s="0" t="n">
        <v>2293361</v>
      </c>
      <c r="C7170" s="0" t="n">
        <v>2293381</v>
      </c>
      <c r="D7170" s="0" t="s">
        <v>23855</v>
      </c>
      <c r="E7170" s="0" t="s">
        <v>75</v>
      </c>
      <c r="F7170" s="0" t="s">
        <v>15</v>
      </c>
      <c r="G7170" s="0" t="s">
        <v>32</v>
      </c>
      <c r="H7170" s="0" t="n">
        <v>79</v>
      </c>
      <c r="I7170" s="0" t="s">
        <v>23859</v>
      </c>
      <c r="J7170" s="0" t="s">
        <v>23860</v>
      </c>
      <c r="K7170" s="0" t="s">
        <v>23861</v>
      </c>
      <c r="L7170" s="0" t="str">
        <f aca="false">HYPERLINK("https://www.ncbi.nlm.nih.gov/nuccore/CP000058.1?report=graph&amp;tracks=[key:gene_model_track,Options:GeneOnly]&amp;mk=2293297:2293316|offset_14|444444,2293362:2293381|offset_79|00cc00,2293383:2293402|offset_100|444444,2293426:2293445|offset_143|444444&amp;v=2293096:2293645&amp;c=444444", "offset 79")</f>
        <v>offset 79</v>
      </c>
    </row>
    <row r="7171" customFormat="false" ht="12.8" hidden="false" customHeight="false" outlineLevel="0" collapsed="false">
      <c r="A7171" s="0" t="s">
        <v>12</v>
      </c>
      <c r="B7171" s="0" t="n">
        <v>2293382</v>
      </c>
      <c r="C7171" s="0" t="n">
        <v>2293402</v>
      </c>
      <c r="D7171" s="0" t="s">
        <v>23855</v>
      </c>
      <c r="E7171" s="0" t="s">
        <v>75</v>
      </c>
      <c r="F7171" s="0" t="s">
        <v>15</v>
      </c>
      <c r="G7171" s="0" t="s">
        <v>20</v>
      </c>
      <c r="H7171" s="0" t="n">
        <v>100</v>
      </c>
      <c r="I7171" s="0" t="s">
        <v>23862</v>
      </c>
      <c r="J7171" s="0" t="s">
        <v>23863</v>
      </c>
      <c r="K7171" s="0" t="s">
        <v>23864</v>
      </c>
      <c r="L7171" s="0" t="str">
        <f aca="false">HYPERLINK("https://www.ncbi.nlm.nih.gov/nuccore/CP000058.1?report=graph&amp;tracks=[key:gene_model_track,Options:GeneOnly]&amp;mk=2293297:2293316|offset_14|444444,2293362:2293381|offset_79|444444,2293383:2293402|offset_100|00cc00,2293426:2293445|offset_143|444444&amp;v=2293096:2293645&amp;c=444444", "offset 100")</f>
        <v>offset 100</v>
      </c>
    </row>
    <row r="7172" customFormat="false" ht="12.8" hidden="false" customHeight="false" outlineLevel="0" collapsed="false">
      <c r="A7172" s="0" t="s">
        <v>12</v>
      </c>
      <c r="B7172" s="0" t="n">
        <v>2293425</v>
      </c>
      <c r="C7172" s="0" t="n">
        <v>2293445</v>
      </c>
      <c r="D7172" s="0" t="s">
        <v>23855</v>
      </c>
      <c r="E7172" s="0" t="s">
        <v>75</v>
      </c>
      <c r="F7172" s="0" t="s">
        <v>15</v>
      </c>
      <c r="G7172" s="0" t="s">
        <v>20</v>
      </c>
      <c r="H7172" s="0" t="n">
        <v>143</v>
      </c>
      <c r="I7172" s="0" t="s">
        <v>23865</v>
      </c>
      <c r="J7172" s="0" t="s">
        <v>23866</v>
      </c>
      <c r="K7172" s="0" t="s">
        <v>23867</v>
      </c>
      <c r="L7172" s="0" t="str">
        <f aca="false">HYPERLINK("https://www.ncbi.nlm.nih.gov/nuccore/CP000058.1?report=graph&amp;tracks=[key:gene_model_track,Options:GeneOnly]&amp;mk=2293297:2293316|offset_14|444444,2293362:2293381|offset_79|444444,2293383:2293402|offset_100|444444,2293426:2293445|offset_143|00cc00&amp;v=2293096:2293645&amp;c=444444", "offset 143")</f>
        <v>offset 143</v>
      </c>
    </row>
    <row r="7173" customFormat="false" ht="12.8" hidden="false" customHeight="false" outlineLevel="0" collapsed="false">
      <c r="A7173" s="0" t="s">
        <v>12</v>
      </c>
      <c r="B7173" s="0" t="n">
        <v>2293773</v>
      </c>
      <c r="C7173" s="0" t="n">
        <v>2293793</v>
      </c>
      <c r="D7173" s="0" t="s">
        <v>23868</v>
      </c>
      <c r="E7173" s="0" t="s">
        <v>75</v>
      </c>
      <c r="F7173" s="0" t="s">
        <v>15</v>
      </c>
      <c r="G7173" s="0" t="s">
        <v>16</v>
      </c>
      <c r="H7173" s="0" t="n">
        <v>0</v>
      </c>
      <c r="I7173" s="0" t="s">
        <v>23869</v>
      </c>
      <c r="J7173" s="0" t="s">
        <v>23870</v>
      </c>
      <c r="K7173" s="0" t="s">
        <v>23871</v>
      </c>
      <c r="L7173" s="0" t="str">
        <f aca="false">HYPERLINK("https://www.ncbi.nlm.nih.gov/nuccore/CP000058.1?report=graph&amp;tracks=[key:gene_model_track,Options:GeneOnly]&amp;mk=2293774:2293793|offset_0|00cc00,2293795:2293814|offset_21|444444,2293821:2293840|offset_47|444444,2293868:2293887|offset_94|444444&amp;v=2293573:2294087&amp;c=444444", "offset 0")</f>
        <v>offset 0</v>
      </c>
    </row>
    <row r="7174" customFormat="false" ht="12.8" hidden="false" customHeight="false" outlineLevel="0" collapsed="false">
      <c r="A7174" s="0" t="s">
        <v>12</v>
      </c>
      <c r="B7174" s="0" t="n">
        <v>2293794</v>
      </c>
      <c r="C7174" s="0" t="n">
        <v>2293814</v>
      </c>
      <c r="D7174" s="0" t="s">
        <v>23868</v>
      </c>
      <c r="E7174" s="0" t="s">
        <v>75</v>
      </c>
      <c r="F7174" s="0" t="s">
        <v>15</v>
      </c>
      <c r="G7174" s="0" t="s">
        <v>36</v>
      </c>
      <c r="H7174" s="0" t="n">
        <v>21</v>
      </c>
      <c r="I7174" s="0" t="s">
        <v>23872</v>
      </c>
      <c r="J7174" s="0" t="s">
        <v>23873</v>
      </c>
      <c r="K7174" s="0" t="s">
        <v>23874</v>
      </c>
      <c r="L7174" s="0" t="str">
        <f aca="false">HYPERLINK("https://www.ncbi.nlm.nih.gov/nuccore/CP000058.1?report=graph&amp;tracks=[key:gene_model_track,Options:GeneOnly]&amp;mk=2293774:2293793|offset_0|444444,2293795:2293814|offset_21|00cc00,2293821:2293840|offset_47|444444,2293868:2293887|offset_94|444444&amp;v=2293573:2294087&amp;c=444444", "offset 21")</f>
        <v>offset 21</v>
      </c>
    </row>
    <row r="7175" customFormat="false" ht="12.8" hidden="false" customHeight="false" outlineLevel="0" collapsed="false">
      <c r="A7175" s="0" t="s">
        <v>12</v>
      </c>
      <c r="B7175" s="0" t="n">
        <v>2293820</v>
      </c>
      <c r="C7175" s="0" t="n">
        <v>2293840</v>
      </c>
      <c r="D7175" s="0" t="s">
        <v>23868</v>
      </c>
      <c r="E7175" s="0" t="s">
        <v>75</v>
      </c>
      <c r="F7175" s="0" t="s">
        <v>15</v>
      </c>
      <c r="G7175" s="0" t="s">
        <v>20</v>
      </c>
      <c r="H7175" s="0" t="n">
        <v>47</v>
      </c>
      <c r="I7175" s="0" t="s">
        <v>23875</v>
      </c>
      <c r="J7175" s="0" t="s">
        <v>23876</v>
      </c>
      <c r="K7175" s="0" t="s">
        <v>23877</v>
      </c>
      <c r="L7175" s="0" t="str">
        <f aca="false">HYPERLINK("https://www.ncbi.nlm.nih.gov/nuccore/CP000058.1?report=graph&amp;tracks=[key:gene_model_track,Options:GeneOnly]&amp;mk=2293774:2293793|offset_0|444444,2293795:2293814|offset_21|444444,2293821:2293840|offset_47|00cc00,2293868:2293887|offset_94|444444&amp;v=2293573:2294087&amp;c=444444", "offset 47")</f>
        <v>offset 47</v>
      </c>
    </row>
    <row r="7176" customFormat="false" ht="12.8" hidden="false" customHeight="false" outlineLevel="0" collapsed="false">
      <c r="A7176" s="0" t="s">
        <v>12</v>
      </c>
      <c r="B7176" s="0" t="n">
        <v>2293867</v>
      </c>
      <c r="C7176" s="0" t="n">
        <v>2293887</v>
      </c>
      <c r="D7176" s="0" t="s">
        <v>23868</v>
      </c>
      <c r="E7176" s="0" t="s">
        <v>75</v>
      </c>
      <c r="F7176" s="0" t="s">
        <v>15</v>
      </c>
      <c r="G7176" s="0" t="s">
        <v>16</v>
      </c>
      <c r="H7176" s="0" t="n">
        <v>94</v>
      </c>
      <c r="I7176" s="0" t="s">
        <v>23878</v>
      </c>
      <c r="J7176" s="0" t="s">
        <v>23879</v>
      </c>
      <c r="K7176" s="0" t="s">
        <v>23880</v>
      </c>
      <c r="L7176" s="0" t="str">
        <f aca="false">HYPERLINK("https://www.ncbi.nlm.nih.gov/nuccore/CP000058.1?report=graph&amp;tracks=[key:gene_model_track,Options:GeneOnly]&amp;mk=2293774:2293793|offset_0|444444,2293795:2293814|offset_21|444444,2293821:2293840|offset_47|444444,2293868:2293887|offset_94|00cc00&amp;v=2293573:2294087&amp;c=444444", "offset 94")</f>
        <v>offset 94</v>
      </c>
    </row>
    <row r="7177" customFormat="false" ht="12.8" hidden="false" customHeight="false" outlineLevel="0" collapsed="false">
      <c r="A7177" s="0" t="s">
        <v>12</v>
      </c>
      <c r="B7177" s="0" t="n">
        <v>2294895</v>
      </c>
      <c r="C7177" s="0" t="n">
        <v>2294915</v>
      </c>
      <c r="D7177" s="0" t="s">
        <v>23881</v>
      </c>
      <c r="E7177" s="0" t="s">
        <v>75</v>
      </c>
      <c r="F7177" s="0" t="s">
        <v>15</v>
      </c>
      <c r="G7177" s="0" t="s">
        <v>32</v>
      </c>
      <c r="H7177" s="0" t="n">
        <v>27</v>
      </c>
      <c r="I7177" s="0" t="s">
        <v>23882</v>
      </c>
      <c r="J7177" s="0" t="s">
        <v>23883</v>
      </c>
      <c r="K7177" s="0" t="s">
        <v>23884</v>
      </c>
      <c r="L7177" s="0" t="str">
        <f aca="false">HYPERLINK("https://www.ncbi.nlm.nih.gov/nuccore/CP000058.1?report=graph&amp;tracks=[key:gene_model_track,Options:GeneOnly]&amp;mk=2294896:2294915|offset_27|00cc00,2294925:2294944|offset_56|444444,2294969:2294988|offset_100|444444,2295005:2295024|offset_136|444444&amp;v=2294695:2295224&amp;c=444444", "offset 27")</f>
        <v>offset 27</v>
      </c>
    </row>
    <row r="7178" customFormat="false" ht="12.8" hidden="false" customHeight="false" outlineLevel="0" collapsed="false">
      <c r="A7178" s="0" t="s">
        <v>12</v>
      </c>
      <c r="B7178" s="0" t="n">
        <v>2294924</v>
      </c>
      <c r="C7178" s="0" t="n">
        <v>2294944</v>
      </c>
      <c r="D7178" s="0" t="s">
        <v>23881</v>
      </c>
      <c r="E7178" s="0" t="s">
        <v>75</v>
      </c>
      <c r="F7178" s="0" t="s">
        <v>15</v>
      </c>
      <c r="G7178" s="0" t="s">
        <v>16</v>
      </c>
      <c r="H7178" s="0" t="n">
        <v>56</v>
      </c>
      <c r="I7178" s="0" t="s">
        <v>23885</v>
      </c>
      <c r="J7178" s="0" t="s">
        <v>23886</v>
      </c>
      <c r="K7178" s="0" t="s">
        <v>23887</v>
      </c>
      <c r="L7178" s="0" t="str">
        <f aca="false">HYPERLINK("https://www.ncbi.nlm.nih.gov/nuccore/CP000058.1?report=graph&amp;tracks=[key:gene_model_track,Options:GeneOnly]&amp;mk=2294896:2294915|offset_27|444444,2294925:2294944|offset_56|00cc00,2294969:2294988|offset_100|444444,2295005:2295024|offset_136|444444&amp;v=2294695:2295224&amp;c=444444", "offset 56")</f>
        <v>offset 56</v>
      </c>
    </row>
    <row r="7179" customFormat="false" ht="12.8" hidden="false" customHeight="false" outlineLevel="0" collapsed="false">
      <c r="A7179" s="0" t="s">
        <v>12</v>
      </c>
      <c r="B7179" s="0" t="n">
        <v>2294968</v>
      </c>
      <c r="C7179" s="0" t="n">
        <v>2294988</v>
      </c>
      <c r="D7179" s="0" t="s">
        <v>23881</v>
      </c>
      <c r="E7179" s="0" t="s">
        <v>75</v>
      </c>
      <c r="F7179" s="0" t="s">
        <v>15</v>
      </c>
      <c r="G7179" s="0" t="s">
        <v>32</v>
      </c>
      <c r="H7179" s="0" t="n">
        <v>100</v>
      </c>
      <c r="I7179" s="0" t="s">
        <v>23888</v>
      </c>
      <c r="J7179" s="0" t="s">
        <v>23889</v>
      </c>
      <c r="K7179" s="0" t="s">
        <v>23890</v>
      </c>
      <c r="L7179" s="0" t="str">
        <f aca="false">HYPERLINK("https://www.ncbi.nlm.nih.gov/nuccore/CP000058.1?report=graph&amp;tracks=[key:gene_model_track,Options:GeneOnly]&amp;mk=2294896:2294915|offset_27|444444,2294925:2294944|offset_56|444444,2294969:2294988|offset_100|00cc00,2295005:2295024|offset_136|444444&amp;v=2294695:2295224&amp;c=444444", "offset 100")</f>
        <v>offset 100</v>
      </c>
    </row>
    <row r="7180" customFormat="false" ht="12.8" hidden="false" customHeight="false" outlineLevel="0" collapsed="false">
      <c r="A7180" s="0" t="s">
        <v>12</v>
      </c>
      <c r="B7180" s="0" t="n">
        <v>2295004</v>
      </c>
      <c r="C7180" s="0" t="n">
        <v>2295024</v>
      </c>
      <c r="D7180" s="0" t="s">
        <v>23881</v>
      </c>
      <c r="E7180" s="0" t="s">
        <v>75</v>
      </c>
      <c r="F7180" s="0" t="s">
        <v>15</v>
      </c>
      <c r="G7180" s="0" t="s">
        <v>16</v>
      </c>
      <c r="H7180" s="0" t="n">
        <v>136</v>
      </c>
      <c r="I7180" s="0" t="s">
        <v>23891</v>
      </c>
      <c r="J7180" s="0" t="s">
        <v>23892</v>
      </c>
      <c r="K7180" s="0" t="s">
        <v>23893</v>
      </c>
      <c r="L7180" s="0" t="str">
        <f aca="false">HYPERLINK("https://www.ncbi.nlm.nih.gov/nuccore/CP000058.1?report=graph&amp;tracks=[key:gene_model_track,Options:GeneOnly]&amp;mk=2294896:2294915|offset_27|444444,2294925:2294944|offset_56|444444,2294969:2294988|offset_100|444444,2295005:2295024|offset_136|00cc00&amp;v=2294695:2295224&amp;c=444444", "offset 136")</f>
        <v>offset 136</v>
      </c>
    </row>
    <row r="7181" customFormat="false" ht="12.8" hidden="false" customHeight="false" outlineLevel="0" collapsed="false">
      <c r="A7181" s="0" t="s">
        <v>12</v>
      </c>
      <c r="B7181" s="0" t="n">
        <v>2297520</v>
      </c>
      <c r="C7181" s="0" t="n">
        <v>2297540</v>
      </c>
      <c r="D7181" s="0" t="s">
        <v>23894</v>
      </c>
      <c r="E7181" s="0" t="s">
        <v>75</v>
      </c>
      <c r="F7181" s="0" t="s">
        <v>90</v>
      </c>
      <c r="G7181" s="0" t="s">
        <v>32</v>
      </c>
      <c r="H7181" s="0" t="n">
        <v>7</v>
      </c>
      <c r="I7181" s="0" t="s">
        <v>23895</v>
      </c>
      <c r="J7181" s="0" t="s">
        <v>23896</v>
      </c>
      <c r="K7181" s="0" t="s">
        <v>23897</v>
      </c>
      <c r="L7181" s="0" t="str">
        <f aca="false">HYPERLINK("https://www.ncbi.nlm.nih.gov/nuccore/CP000058.1?report=graph&amp;tracks=[key:gene_model_track,Options:GeneOnly]&amp;mk=2297521:2297540|offset_7|00cc00,2297490:2297509|offset_38|444444,2297470:2297489|offset_58|444444,2297439:2297458|offset_89|444444&amp;v=2297320:2297658&amp;c=444444", "offset 7")</f>
        <v>offset 7</v>
      </c>
    </row>
    <row r="7182" customFormat="false" ht="12.8" hidden="false" customHeight="false" outlineLevel="0" collapsed="false">
      <c r="A7182" s="0" t="s">
        <v>12</v>
      </c>
      <c r="B7182" s="0" t="n">
        <v>2297489</v>
      </c>
      <c r="C7182" s="0" t="n">
        <v>2297509</v>
      </c>
      <c r="D7182" s="0" t="s">
        <v>23894</v>
      </c>
      <c r="E7182" s="0" t="s">
        <v>75</v>
      </c>
      <c r="F7182" s="0" t="s">
        <v>90</v>
      </c>
      <c r="G7182" s="0" t="s">
        <v>36</v>
      </c>
      <c r="H7182" s="0" t="n">
        <v>38</v>
      </c>
      <c r="I7182" s="0" t="s">
        <v>23898</v>
      </c>
      <c r="J7182" s="0" t="s">
        <v>23899</v>
      </c>
      <c r="K7182" s="0" t="s">
        <v>23900</v>
      </c>
      <c r="L7182" s="0" t="str">
        <f aca="false">HYPERLINK("https://www.ncbi.nlm.nih.gov/nuccore/CP000058.1?report=graph&amp;tracks=[key:gene_model_track,Options:GeneOnly]&amp;mk=2297521:2297540|offset_7|444444,2297490:2297509|offset_38|00cc00,2297470:2297489|offset_58|444444,2297439:2297458|offset_89|444444&amp;v=2297320:2297658&amp;c=444444", "offset 38")</f>
        <v>offset 38</v>
      </c>
    </row>
    <row r="7183" customFormat="false" ht="12.8" hidden="false" customHeight="false" outlineLevel="0" collapsed="false">
      <c r="A7183" s="0" t="s">
        <v>12</v>
      </c>
      <c r="B7183" s="0" t="n">
        <v>2297469</v>
      </c>
      <c r="C7183" s="0" t="n">
        <v>2297489</v>
      </c>
      <c r="D7183" s="0" t="s">
        <v>23894</v>
      </c>
      <c r="E7183" s="0" t="s">
        <v>75</v>
      </c>
      <c r="F7183" s="0" t="s">
        <v>90</v>
      </c>
      <c r="G7183" s="0" t="s">
        <v>32</v>
      </c>
      <c r="H7183" s="0" t="n">
        <v>58</v>
      </c>
      <c r="I7183" s="0" t="s">
        <v>23901</v>
      </c>
      <c r="J7183" s="0" t="s">
        <v>23902</v>
      </c>
      <c r="K7183" s="0" t="s">
        <v>23903</v>
      </c>
      <c r="L7183" s="0" t="str">
        <f aca="false">HYPERLINK("https://www.ncbi.nlm.nih.gov/nuccore/CP000058.1?report=graph&amp;tracks=[key:gene_model_track,Options:GeneOnly]&amp;mk=2297521:2297540|offset_7|444444,2297490:2297509|offset_38|444444,2297470:2297489|offset_58|00cc00,2297439:2297458|offset_89|444444&amp;v=2297320:2297658&amp;c=444444", "offset 58")</f>
        <v>offset 58</v>
      </c>
    </row>
    <row r="7184" customFormat="false" ht="12.8" hidden="false" customHeight="false" outlineLevel="0" collapsed="false">
      <c r="A7184" s="0" t="s">
        <v>12</v>
      </c>
      <c r="B7184" s="0" t="n">
        <v>2297438</v>
      </c>
      <c r="C7184" s="0" t="n">
        <v>2297458</v>
      </c>
      <c r="D7184" s="0" t="s">
        <v>23894</v>
      </c>
      <c r="E7184" s="0" t="s">
        <v>75</v>
      </c>
      <c r="F7184" s="0" t="s">
        <v>90</v>
      </c>
      <c r="G7184" s="0" t="s">
        <v>20</v>
      </c>
      <c r="H7184" s="0" t="n">
        <v>89</v>
      </c>
      <c r="I7184" s="0" t="s">
        <v>23904</v>
      </c>
      <c r="J7184" s="0" t="s">
        <v>23905</v>
      </c>
      <c r="K7184" s="0" t="s">
        <v>23906</v>
      </c>
      <c r="L7184" s="0" t="str">
        <f aca="false">HYPERLINK("https://www.ncbi.nlm.nih.gov/nuccore/CP000058.1?report=graph&amp;tracks=[key:gene_model_track,Options:GeneOnly]&amp;mk=2297521:2297540|offset_7|444444,2297490:2297509|offset_38|444444,2297470:2297489|offset_58|444444,2297439:2297458|offset_89|00cc00&amp;v=2297320:2297658&amp;c=444444", "offset 89")</f>
        <v>offset 89</v>
      </c>
    </row>
    <row r="7185" customFormat="false" ht="12.8" hidden="false" customHeight="false" outlineLevel="0" collapsed="false">
      <c r="A7185" s="0" t="s">
        <v>12</v>
      </c>
      <c r="B7185" s="0" t="n">
        <v>2298466</v>
      </c>
      <c r="C7185" s="0" t="n">
        <v>2298486</v>
      </c>
      <c r="D7185" s="0" t="s">
        <v>23907</v>
      </c>
      <c r="E7185" s="0" t="s">
        <v>75</v>
      </c>
      <c r="F7185" s="0" t="s">
        <v>90</v>
      </c>
      <c r="G7185" s="0" t="s">
        <v>32</v>
      </c>
      <c r="H7185" s="0" t="n">
        <v>1</v>
      </c>
      <c r="I7185" s="0" t="s">
        <v>23908</v>
      </c>
      <c r="J7185" s="0" t="s">
        <v>23909</v>
      </c>
      <c r="K7185" s="0" t="s">
        <v>23910</v>
      </c>
      <c r="L7185" s="0" t="str">
        <f aca="false">HYPERLINK("https://www.ncbi.nlm.nih.gov/nuccore/CP000058.1?report=graph&amp;tracks=[key:gene_model_track,Options:GeneOnly]&amp;mk=2298467:2298486|offset_1|00cc00,2298428:2298447|offset_40|444444,2298394:2298413|offset_74|444444,2298374:2298393|offset_94|444444&amp;v=2298266:2298593&amp;c=444444", "offset 1")</f>
        <v>offset 1</v>
      </c>
    </row>
    <row r="7186" customFormat="false" ht="12.8" hidden="false" customHeight="false" outlineLevel="0" collapsed="false">
      <c r="A7186" s="0" t="s">
        <v>12</v>
      </c>
      <c r="B7186" s="0" t="n">
        <v>2298427</v>
      </c>
      <c r="C7186" s="0" t="n">
        <v>2298447</v>
      </c>
      <c r="D7186" s="0" t="s">
        <v>23907</v>
      </c>
      <c r="E7186" s="0" t="s">
        <v>75</v>
      </c>
      <c r="F7186" s="0" t="s">
        <v>90</v>
      </c>
      <c r="G7186" s="0" t="s">
        <v>16</v>
      </c>
      <c r="H7186" s="0" t="n">
        <v>40</v>
      </c>
      <c r="I7186" s="0" t="s">
        <v>23911</v>
      </c>
      <c r="J7186" s="0" t="s">
        <v>23912</v>
      </c>
      <c r="K7186" s="0" t="s">
        <v>23913</v>
      </c>
      <c r="L7186" s="0" t="str">
        <f aca="false">HYPERLINK("https://www.ncbi.nlm.nih.gov/nuccore/CP000058.1?report=graph&amp;tracks=[key:gene_model_track,Options:GeneOnly]&amp;mk=2298467:2298486|offset_1|444444,2298428:2298447|offset_40|00cc00,2298394:2298413|offset_74|444444,2298374:2298393|offset_94|444444&amp;v=2298266:2298593&amp;c=444444", "offset 40")</f>
        <v>offset 40</v>
      </c>
    </row>
    <row r="7187" customFormat="false" ht="12.8" hidden="false" customHeight="false" outlineLevel="0" collapsed="false">
      <c r="A7187" s="0" t="s">
        <v>12</v>
      </c>
      <c r="B7187" s="0" t="n">
        <v>2298393</v>
      </c>
      <c r="C7187" s="0" t="n">
        <v>2298413</v>
      </c>
      <c r="D7187" s="0" t="s">
        <v>23907</v>
      </c>
      <c r="E7187" s="0" t="s">
        <v>75</v>
      </c>
      <c r="F7187" s="0" t="s">
        <v>90</v>
      </c>
      <c r="G7187" s="0" t="s">
        <v>20</v>
      </c>
      <c r="H7187" s="0" t="n">
        <v>74</v>
      </c>
      <c r="I7187" s="0" t="s">
        <v>23914</v>
      </c>
      <c r="J7187" s="0" t="s">
        <v>23915</v>
      </c>
      <c r="K7187" s="0" t="s">
        <v>23916</v>
      </c>
      <c r="L7187" s="0" t="str">
        <f aca="false">HYPERLINK("https://www.ncbi.nlm.nih.gov/nuccore/CP000058.1?report=graph&amp;tracks=[key:gene_model_track,Options:GeneOnly]&amp;mk=2298467:2298486|offset_1|444444,2298428:2298447|offset_40|444444,2298394:2298413|offset_74|00cc00,2298374:2298393|offset_94|444444&amp;v=2298266:2298593&amp;c=444444", "offset 74")</f>
        <v>offset 74</v>
      </c>
    </row>
    <row r="7188" customFormat="false" ht="12.8" hidden="false" customHeight="false" outlineLevel="0" collapsed="false">
      <c r="A7188" s="0" t="s">
        <v>12</v>
      </c>
      <c r="B7188" s="0" t="n">
        <v>2298373</v>
      </c>
      <c r="C7188" s="0" t="n">
        <v>2298393</v>
      </c>
      <c r="D7188" s="0" t="s">
        <v>23907</v>
      </c>
      <c r="E7188" s="0" t="s">
        <v>75</v>
      </c>
      <c r="F7188" s="0" t="s">
        <v>90</v>
      </c>
      <c r="G7188" s="0" t="s">
        <v>32</v>
      </c>
      <c r="H7188" s="0" t="n">
        <v>94</v>
      </c>
      <c r="I7188" s="0" t="s">
        <v>23917</v>
      </c>
      <c r="J7188" s="0" t="s">
        <v>23918</v>
      </c>
      <c r="K7188" s="0" t="s">
        <v>23919</v>
      </c>
      <c r="L7188" s="0" t="str">
        <f aca="false">HYPERLINK("https://www.ncbi.nlm.nih.gov/nuccore/CP000058.1?report=graph&amp;tracks=[key:gene_model_track,Options:GeneOnly]&amp;mk=2298467:2298486|offset_1|444444,2298428:2298447|offset_40|444444,2298394:2298413|offset_74|444444,2298374:2298393|offset_94|00cc00&amp;v=2298266:2298593&amp;c=444444", "offset 94")</f>
        <v>offset 94</v>
      </c>
    </row>
    <row r="7189" customFormat="false" ht="12.8" hidden="false" customHeight="false" outlineLevel="0" collapsed="false">
      <c r="A7189" s="0" t="s">
        <v>12</v>
      </c>
      <c r="B7189" s="0" t="n">
        <v>2298632</v>
      </c>
      <c r="C7189" s="0" t="n">
        <v>2298652</v>
      </c>
      <c r="D7189" s="0" t="s">
        <v>23920</v>
      </c>
      <c r="E7189" s="0" t="s">
        <v>23921</v>
      </c>
      <c r="F7189" s="0" t="s">
        <v>15</v>
      </c>
      <c r="G7189" s="0" t="s">
        <v>16</v>
      </c>
      <c r="H7189" s="0" t="n">
        <v>0</v>
      </c>
      <c r="I7189" s="0" t="s">
        <v>23922</v>
      </c>
      <c r="J7189" s="0" t="s">
        <v>23923</v>
      </c>
      <c r="K7189" s="0" t="s">
        <v>23924</v>
      </c>
      <c r="L7189" s="0" t="str">
        <f aca="false">HYPERLINK("https://www.ncbi.nlm.nih.gov/nuccore/CP000058.1?report=graph&amp;tracks=[key:gene_model_track,Options:GeneOnly]&amp;mk=2298633:2298652|offset_0|00cc00,2298722:2298741|offset_89|444444,2298745:2298764|offset_112|444444,2298789:2298808|offset_156|444444&amp;v=2298432:2299008&amp;c=444444", "offset 0")</f>
        <v>offset 0</v>
      </c>
    </row>
    <row r="7190" customFormat="false" ht="12.8" hidden="false" customHeight="false" outlineLevel="0" collapsed="false">
      <c r="A7190" s="0" t="s">
        <v>12</v>
      </c>
      <c r="B7190" s="0" t="n">
        <v>2298721</v>
      </c>
      <c r="C7190" s="0" t="n">
        <v>2298741</v>
      </c>
      <c r="D7190" s="0" t="s">
        <v>23920</v>
      </c>
      <c r="E7190" s="0" t="s">
        <v>23921</v>
      </c>
      <c r="F7190" s="0" t="s">
        <v>15</v>
      </c>
      <c r="G7190" s="0" t="s">
        <v>16</v>
      </c>
      <c r="H7190" s="0" t="n">
        <v>89</v>
      </c>
      <c r="I7190" s="0" t="s">
        <v>23925</v>
      </c>
      <c r="J7190" s="0" t="s">
        <v>23926</v>
      </c>
      <c r="K7190" s="0" t="s">
        <v>23927</v>
      </c>
      <c r="L7190" s="0" t="str">
        <f aca="false">HYPERLINK("https://www.ncbi.nlm.nih.gov/nuccore/CP000058.1?report=graph&amp;tracks=[key:gene_model_track,Options:GeneOnly]&amp;mk=2298633:2298652|offset_0|444444,2298722:2298741|offset_89|00cc00,2298745:2298764|offset_112|444444,2298789:2298808|offset_156|444444&amp;v=2298432:2299008&amp;c=444444", "offset 89")</f>
        <v>offset 89</v>
      </c>
    </row>
    <row r="7191" customFormat="false" ht="12.8" hidden="false" customHeight="false" outlineLevel="0" collapsed="false">
      <c r="A7191" s="0" t="s">
        <v>12</v>
      </c>
      <c r="B7191" s="0" t="n">
        <v>2298744</v>
      </c>
      <c r="C7191" s="0" t="n">
        <v>2298764</v>
      </c>
      <c r="D7191" s="0" t="s">
        <v>23920</v>
      </c>
      <c r="E7191" s="0" t="s">
        <v>23921</v>
      </c>
      <c r="F7191" s="0" t="s">
        <v>15</v>
      </c>
      <c r="G7191" s="0" t="s">
        <v>20</v>
      </c>
      <c r="H7191" s="0" t="n">
        <v>112</v>
      </c>
      <c r="I7191" s="0" t="s">
        <v>23928</v>
      </c>
      <c r="J7191" s="0" t="s">
        <v>23929</v>
      </c>
      <c r="K7191" s="0" t="s">
        <v>23930</v>
      </c>
      <c r="L7191" s="0" t="str">
        <f aca="false">HYPERLINK("https://www.ncbi.nlm.nih.gov/nuccore/CP000058.1?report=graph&amp;tracks=[key:gene_model_track,Options:GeneOnly]&amp;mk=2298633:2298652|offset_0|444444,2298722:2298741|offset_89|444444,2298745:2298764|offset_112|00cc00,2298789:2298808|offset_156|444444&amp;v=2298432:2299008&amp;c=444444", "offset 112")</f>
        <v>offset 112</v>
      </c>
    </row>
    <row r="7192" customFormat="false" ht="12.8" hidden="false" customHeight="false" outlineLevel="0" collapsed="false">
      <c r="A7192" s="0" t="s">
        <v>12</v>
      </c>
      <c r="B7192" s="0" t="n">
        <v>2298788</v>
      </c>
      <c r="C7192" s="0" t="n">
        <v>2298808</v>
      </c>
      <c r="D7192" s="0" t="s">
        <v>23920</v>
      </c>
      <c r="E7192" s="0" t="s">
        <v>23921</v>
      </c>
      <c r="F7192" s="0" t="s">
        <v>15</v>
      </c>
      <c r="G7192" s="0" t="s">
        <v>32</v>
      </c>
      <c r="H7192" s="0" t="n">
        <v>156</v>
      </c>
      <c r="I7192" s="0" t="s">
        <v>23931</v>
      </c>
      <c r="J7192" s="0" t="s">
        <v>23932</v>
      </c>
      <c r="K7192" s="0" t="s">
        <v>23933</v>
      </c>
      <c r="L7192" s="0" t="str">
        <f aca="false">HYPERLINK("https://www.ncbi.nlm.nih.gov/nuccore/CP000058.1?report=graph&amp;tracks=[key:gene_model_track,Options:GeneOnly]&amp;mk=2298633:2298652|offset_0|444444,2298722:2298741|offset_89|444444,2298745:2298764|offset_112|444444,2298789:2298808|offset_156|00cc00&amp;v=2298432:2299008&amp;c=444444", "offset 156")</f>
        <v>offset 156</v>
      </c>
    </row>
    <row r="7193" customFormat="false" ht="12.8" hidden="false" customHeight="false" outlineLevel="0" collapsed="false">
      <c r="A7193" s="0" t="s">
        <v>12</v>
      </c>
      <c r="B7193" s="0" t="n">
        <v>2300077</v>
      </c>
      <c r="C7193" s="0" t="n">
        <v>2300097</v>
      </c>
      <c r="D7193" s="0" t="s">
        <v>23934</v>
      </c>
      <c r="E7193" s="0" t="s">
        <v>23935</v>
      </c>
      <c r="F7193" s="0" t="s">
        <v>15</v>
      </c>
      <c r="G7193" s="0" t="s">
        <v>20</v>
      </c>
      <c r="H7193" s="0" t="n">
        <v>10</v>
      </c>
      <c r="I7193" s="0" t="s">
        <v>23936</v>
      </c>
      <c r="J7193" s="0" t="s">
        <v>23937</v>
      </c>
      <c r="K7193" s="0" t="s">
        <v>23938</v>
      </c>
      <c r="L7193" s="0" t="str">
        <f aca="false">HYPERLINK("https://www.ncbi.nlm.nih.gov/nuccore/CP000058.1?report=graph&amp;tracks=[key:gene_model_track,Options:GeneOnly]&amp;mk=2300078:2300097|offset_10|00cc00,2300107:2300126|offset_39|444444,2300132:2300151|offset_64|444444,2300187:2300206|offset_119|444444&amp;v=2299877:2300406&amp;c=444444", "offset 10")</f>
        <v>offset 10</v>
      </c>
    </row>
    <row r="7194" customFormat="false" ht="12.8" hidden="false" customHeight="false" outlineLevel="0" collapsed="false">
      <c r="A7194" s="0" t="s">
        <v>12</v>
      </c>
      <c r="B7194" s="0" t="n">
        <v>2300106</v>
      </c>
      <c r="C7194" s="0" t="n">
        <v>2300126</v>
      </c>
      <c r="D7194" s="0" t="s">
        <v>23934</v>
      </c>
      <c r="E7194" s="0" t="s">
        <v>23935</v>
      </c>
      <c r="F7194" s="0" t="s">
        <v>15</v>
      </c>
      <c r="G7194" s="0" t="s">
        <v>20</v>
      </c>
      <c r="H7194" s="0" t="n">
        <v>39</v>
      </c>
      <c r="I7194" s="0" t="s">
        <v>23939</v>
      </c>
      <c r="J7194" s="0" t="s">
        <v>23940</v>
      </c>
      <c r="K7194" s="0" t="s">
        <v>23941</v>
      </c>
      <c r="L7194" s="0" t="str">
        <f aca="false">HYPERLINK("https://www.ncbi.nlm.nih.gov/nuccore/CP000058.1?report=graph&amp;tracks=[key:gene_model_track,Options:GeneOnly]&amp;mk=2300078:2300097|offset_10|444444,2300107:2300126|offset_39|00cc00,2300132:2300151|offset_64|444444,2300187:2300206|offset_119|444444&amp;v=2299877:2300406&amp;c=444444", "offset 39")</f>
        <v>offset 39</v>
      </c>
    </row>
    <row r="7195" customFormat="false" ht="12.8" hidden="false" customHeight="false" outlineLevel="0" collapsed="false">
      <c r="A7195" s="0" t="s">
        <v>12</v>
      </c>
      <c r="B7195" s="0" t="n">
        <v>2300131</v>
      </c>
      <c r="C7195" s="0" t="n">
        <v>2300151</v>
      </c>
      <c r="D7195" s="0" t="s">
        <v>23934</v>
      </c>
      <c r="E7195" s="0" t="s">
        <v>23935</v>
      </c>
      <c r="F7195" s="0" t="s">
        <v>15</v>
      </c>
      <c r="G7195" s="0" t="s">
        <v>16</v>
      </c>
      <c r="H7195" s="0" t="n">
        <v>64</v>
      </c>
      <c r="I7195" s="0" t="s">
        <v>23942</v>
      </c>
      <c r="J7195" s="0" t="s">
        <v>23943</v>
      </c>
      <c r="K7195" s="0" t="s">
        <v>23944</v>
      </c>
      <c r="L7195" s="0" t="str">
        <f aca="false">HYPERLINK("https://www.ncbi.nlm.nih.gov/nuccore/CP000058.1?report=graph&amp;tracks=[key:gene_model_track,Options:GeneOnly]&amp;mk=2300078:2300097|offset_10|444444,2300107:2300126|offset_39|444444,2300132:2300151|offset_64|00cc00,2300187:2300206|offset_119|444444&amp;v=2299877:2300406&amp;c=444444", "offset 64")</f>
        <v>offset 64</v>
      </c>
    </row>
    <row r="7196" customFormat="false" ht="12.8" hidden="false" customHeight="false" outlineLevel="0" collapsed="false">
      <c r="A7196" s="0" t="s">
        <v>12</v>
      </c>
      <c r="B7196" s="0" t="n">
        <v>2300186</v>
      </c>
      <c r="C7196" s="0" t="n">
        <v>2300206</v>
      </c>
      <c r="D7196" s="0" t="s">
        <v>23934</v>
      </c>
      <c r="E7196" s="0" t="s">
        <v>23935</v>
      </c>
      <c r="F7196" s="0" t="s">
        <v>15</v>
      </c>
      <c r="G7196" s="0" t="s">
        <v>36</v>
      </c>
      <c r="H7196" s="0" t="n">
        <v>119</v>
      </c>
      <c r="I7196" s="0" t="s">
        <v>23945</v>
      </c>
      <c r="J7196" s="0" t="s">
        <v>23946</v>
      </c>
      <c r="K7196" s="0" t="s">
        <v>23947</v>
      </c>
      <c r="L7196" s="0" t="str">
        <f aca="false">HYPERLINK("https://www.ncbi.nlm.nih.gov/nuccore/CP000058.1?report=graph&amp;tracks=[key:gene_model_track,Options:GeneOnly]&amp;mk=2300078:2300097|offset_10|444444,2300107:2300126|offset_39|444444,2300132:2300151|offset_64|444444,2300187:2300206|offset_119|00cc00&amp;v=2299877:2300406&amp;c=444444", "offset 119")</f>
        <v>offset 119</v>
      </c>
    </row>
    <row r="7197" customFormat="false" ht="12.8" hidden="false" customHeight="false" outlineLevel="0" collapsed="false">
      <c r="A7197" s="0" t="s">
        <v>12</v>
      </c>
      <c r="B7197" s="0" t="n">
        <v>2300882</v>
      </c>
      <c r="C7197" s="0" t="n">
        <v>2300902</v>
      </c>
      <c r="D7197" s="0" t="s">
        <v>23948</v>
      </c>
      <c r="E7197" s="0" t="s">
        <v>23949</v>
      </c>
      <c r="F7197" s="0" t="s">
        <v>15</v>
      </c>
      <c r="G7197" s="0" t="s">
        <v>36</v>
      </c>
      <c r="H7197" s="0" t="n">
        <v>26</v>
      </c>
      <c r="I7197" s="0" t="s">
        <v>23950</v>
      </c>
      <c r="J7197" s="0" t="s">
        <v>23951</v>
      </c>
      <c r="K7197" s="0" t="s">
        <v>23952</v>
      </c>
      <c r="L7197" s="0" t="str">
        <f aca="false">HYPERLINK("https://www.ncbi.nlm.nih.gov/nuccore/CP000058.1?report=graph&amp;tracks=[key:gene_model_track,Options:GeneOnly]&amp;mk=2300883:2300902|offset_26|00cc00,2300915:2300934|offset_58|444444,2300942:2300961|offset_85|444444,2300975:2300994|offset_118|444444&amp;v=2300682:2301194&amp;c=444444", "offset 26")</f>
        <v>offset 26</v>
      </c>
    </row>
    <row r="7198" customFormat="false" ht="12.8" hidden="false" customHeight="false" outlineLevel="0" collapsed="false">
      <c r="A7198" s="0" t="s">
        <v>12</v>
      </c>
      <c r="B7198" s="0" t="n">
        <v>2300914</v>
      </c>
      <c r="C7198" s="0" t="n">
        <v>2300934</v>
      </c>
      <c r="D7198" s="0" t="s">
        <v>23948</v>
      </c>
      <c r="E7198" s="0" t="s">
        <v>23949</v>
      </c>
      <c r="F7198" s="0" t="s">
        <v>15</v>
      </c>
      <c r="G7198" s="0" t="s">
        <v>16</v>
      </c>
      <c r="H7198" s="0" t="n">
        <v>58</v>
      </c>
      <c r="I7198" s="0" t="s">
        <v>23953</v>
      </c>
      <c r="J7198" s="0" t="s">
        <v>23954</v>
      </c>
      <c r="K7198" s="0" t="s">
        <v>23955</v>
      </c>
      <c r="L7198" s="0" t="str">
        <f aca="false">HYPERLINK("https://www.ncbi.nlm.nih.gov/nuccore/CP000058.1?report=graph&amp;tracks=[key:gene_model_track,Options:GeneOnly]&amp;mk=2300883:2300902|offset_26|444444,2300915:2300934|offset_58|00cc00,2300942:2300961|offset_85|444444,2300975:2300994|offset_118|444444&amp;v=2300682:2301194&amp;c=444444", "offset 58")</f>
        <v>offset 58</v>
      </c>
    </row>
    <row r="7199" customFormat="false" ht="12.8" hidden="false" customHeight="false" outlineLevel="0" collapsed="false">
      <c r="A7199" s="0" t="s">
        <v>12</v>
      </c>
      <c r="B7199" s="0" t="n">
        <v>2300941</v>
      </c>
      <c r="C7199" s="0" t="n">
        <v>2300961</v>
      </c>
      <c r="D7199" s="0" t="s">
        <v>23948</v>
      </c>
      <c r="E7199" s="0" t="s">
        <v>23949</v>
      </c>
      <c r="F7199" s="0" t="s">
        <v>15</v>
      </c>
      <c r="G7199" s="0" t="s">
        <v>32</v>
      </c>
      <c r="H7199" s="0" t="n">
        <v>85</v>
      </c>
      <c r="I7199" s="0" t="s">
        <v>23956</v>
      </c>
      <c r="J7199" s="0" t="s">
        <v>23957</v>
      </c>
      <c r="K7199" s="0" t="s">
        <v>23958</v>
      </c>
      <c r="L7199" s="0" t="str">
        <f aca="false">HYPERLINK("https://www.ncbi.nlm.nih.gov/nuccore/CP000058.1?report=graph&amp;tracks=[key:gene_model_track,Options:GeneOnly]&amp;mk=2300883:2300902|offset_26|444444,2300915:2300934|offset_58|444444,2300942:2300961|offset_85|00cc00,2300975:2300994|offset_118|444444&amp;v=2300682:2301194&amp;c=444444", "offset 85")</f>
        <v>offset 85</v>
      </c>
    </row>
    <row r="7200" customFormat="false" ht="12.8" hidden="false" customHeight="false" outlineLevel="0" collapsed="false">
      <c r="A7200" s="0" t="s">
        <v>12</v>
      </c>
      <c r="B7200" s="0" t="n">
        <v>2300974</v>
      </c>
      <c r="C7200" s="0" t="n">
        <v>2300994</v>
      </c>
      <c r="D7200" s="0" t="s">
        <v>23948</v>
      </c>
      <c r="E7200" s="0" t="s">
        <v>23949</v>
      </c>
      <c r="F7200" s="0" t="s">
        <v>15</v>
      </c>
      <c r="G7200" s="0" t="s">
        <v>36</v>
      </c>
      <c r="H7200" s="0" t="n">
        <v>118</v>
      </c>
      <c r="I7200" s="0" t="s">
        <v>23959</v>
      </c>
      <c r="J7200" s="0" t="s">
        <v>23960</v>
      </c>
      <c r="K7200" s="0" t="s">
        <v>23961</v>
      </c>
      <c r="L7200" s="0" t="str">
        <f aca="false">HYPERLINK("https://www.ncbi.nlm.nih.gov/nuccore/CP000058.1?report=graph&amp;tracks=[key:gene_model_track,Options:GeneOnly]&amp;mk=2300883:2300902|offset_26|444444,2300915:2300934|offset_58|444444,2300942:2300961|offset_85|444444,2300975:2300994|offset_118|00cc00&amp;v=2300682:2301194&amp;c=444444", "offset 118")</f>
        <v>offset 118</v>
      </c>
    </row>
    <row r="7201" customFormat="false" ht="12.8" hidden="false" customHeight="false" outlineLevel="0" collapsed="false">
      <c r="A7201" s="0" t="s">
        <v>12</v>
      </c>
      <c r="B7201" s="0" t="n">
        <v>2302055</v>
      </c>
      <c r="C7201" s="0" t="n">
        <v>2302075</v>
      </c>
      <c r="D7201" s="0" t="s">
        <v>23962</v>
      </c>
      <c r="E7201" s="0" t="s">
        <v>23963</v>
      </c>
      <c r="F7201" s="0" t="s">
        <v>15</v>
      </c>
      <c r="G7201" s="0" t="s">
        <v>16</v>
      </c>
      <c r="H7201" s="0" t="n">
        <v>46</v>
      </c>
      <c r="I7201" s="0" t="s">
        <v>23964</v>
      </c>
      <c r="J7201" s="0" t="s">
        <v>23965</v>
      </c>
      <c r="K7201" s="0" t="s">
        <v>23966</v>
      </c>
      <c r="L7201" s="0" t="str">
        <f aca="false">HYPERLINK("https://www.ncbi.nlm.nih.gov/nuccore/CP000058.1?report=graph&amp;tracks=[key:gene_model_track,Options:GeneOnly]&amp;mk=2302056:2302075|offset_46|00cc00,2302106:2302125|offset_96|444444,2302138:2302157|offset_128|444444,2302182:2302201|offset_172|444444&amp;v=2301855:2302401&amp;c=444444", "offset 46")</f>
        <v>offset 46</v>
      </c>
    </row>
    <row r="7202" customFormat="false" ht="12.8" hidden="false" customHeight="false" outlineLevel="0" collapsed="false">
      <c r="A7202" s="0" t="s">
        <v>12</v>
      </c>
      <c r="B7202" s="0" t="n">
        <v>2302105</v>
      </c>
      <c r="C7202" s="0" t="n">
        <v>2302125</v>
      </c>
      <c r="D7202" s="0" t="s">
        <v>23962</v>
      </c>
      <c r="E7202" s="0" t="s">
        <v>23963</v>
      </c>
      <c r="F7202" s="0" t="s">
        <v>15</v>
      </c>
      <c r="G7202" s="0" t="s">
        <v>16</v>
      </c>
      <c r="H7202" s="0" t="n">
        <v>96</v>
      </c>
      <c r="I7202" s="0" t="s">
        <v>23967</v>
      </c>
      <c r="J7202" s="0" t="s">
        <v>23968</v>
      </c>
      <c r="K7202" s="0" t="s">
        <v>23969</v>
      </c>
      <c r="L7202" s="0" t="str">
        <f aca="false">HYPERLINK("https://www.ncbi.nlm.nih.gov/nuccore/CP000058.1?report=graph&amp;tracks=[key:gene_model_track,Options:GeneOnly]&amp;mk=2302056:2302075|offset_46|444444,2302106:2302125|offset_96|00cc00,2302138:2302157|offset_128|444444,2302182:2302201|offset_172|444444&amp;v=2301855:2302401&amp;c=444444", "offset 96")</f>
        <v>offset 96</v>
      </c>
    </row>
    <row r="7203" customFormat="false" ht="12.8" hidden="false" customHeight="false" outlineLevel="0" collapsed="false">
      <c r="A7203" s="0" t="s">
        <v>12</v>
      </c>
      <c r="B7203" s="0" t="n">
        <v>2302137</v>
      </c>
      <c r="C7203" s="0" t="n">
        <v>2302157</v>
      </c>
      <c r="D7203" s="0" t="s">
        <v>23962</v>
      </c>
      <c r="E7203" s="0" t="s">
        <v>23963</v>
      </c>
      <c r="F7203" s="0" t="s">
        <v>15</v>
      </c>
      <c r="G7203" s="0" t="s">
        <v>32</v>
      </c>
      <c r="H7203" s="0" t="n">
        <v>128</v>
      </c>
      <c r="I7203" s="0" t="s">
        <v>23970</v>
      </c>
      <c r="J7203" s="0" t="s">
        <v>23971</v>
      </c>
      <c r="K7203" s="0" t="s">
        <v>23972</v>
      </c>
      <c r="L7203" s="0" t="str">
        <f aca="false">HYPERLINK("https://www.ncbi.nlm.nih.gov/nuccore/CP000058.1?report=graph&amp;tracks=[key:gene_model_track,Options:GeneOnly]&amp;mk=2302056:2302075|offset_46|444444,2302106:2302125|offset_96|444444,2302138:2302157|offset_128|00cc00,2302182:2302201|offset_172|444444&amp;v=2301855:2302401&amp;c=444444", "offset 128")</f>
        <v>offset 128</v>
      </c>
    </row>
    <row r="7204" customFormat="false" ht="12.8" hidden="false" customHeight="false" outlineLevel="0" collapsed="false">
      <c r="A7204" s="0" t="s">
        <v>12</v>
      </c>
      <c r="B7204" s="0" t="n">
        <v>2302181</v>
      </c>
      <c r="C7204" s="0" t="n">
        <v>2302201</v>
      </c>
      <c r="D7204" s="0" t="s">
        <v>23962</v>
      </c>
      <c r="E7204" s="0" t="s">
        <v>23963</v>
      </c>
      <c r="F7204" s="0" t="s">
        <v>15</v>
      </c>
      <c r="G7204" s="0" t="s">
        <v>20</v>
      </c>
      <c r="H7204" s="0" t="n">
        <v>172</v>
      </c>
      <c r="I7204" s="0" t="s">
        <v>23973</v>
      </c>
      <c r="J7204" s="0" t="s">
        <v>23974</v>
      </c>
      <c r="K7204" s="0" t="s">
        <v>23975</v>
      </c>
      <c r="L7204" s="0" t="str">
        <f aca="false">HYPERLINK("https://www.ncbi.nlm.nih.gov/nuccore/CP000058.1?report=graph&amp;tracks=[key:gene_model_track,Options:GeneOnly]&amp;mk=2302056:2302075|offset_46|444444,2302106:2302125|offset_96|444444,2302138:2302157|offset_128|444444,2302182:2302201|offset_172|00cc00&amp;v=2301855:2302401&amp;c=444444", "offset 172")</f>
        <v>offset 172</v>
      </c>
    </row>
    <row r="7205" customFormat="false" ht="12.8" hidden="false" customHeight="false" outlineLevel="0" collapsed="false">
      <c r="A7205" s="0" t="s">
        <v>12</v>
      </c>
      <c r="B7205" s="0" t="n">
        <v>2303342</v>
      </c>
      <c r="C7205" s="0" t="n">
        <v>2303362</v>
      </c>
      <c r="D7205" s="0" t="s">
        <v>23976</v>
      </c>
      <c r="E7205" s="0" t="s">
        <v>23977</v>
      </c>
      <c r="F7205" s="0" t="s">
        <v>15</v>
      </c>
      <c r="G7205" s="0" t="s">
        <v>20</v>
      </c>
      <c r="H7205" s="0" t="n">
        <v>40</v>
      </c>
      <c r="I7205" s="0" t="s">
        <v>23978</v>
      </c>
      <c r="J7205" s="0" t="s">
        <v>23979</v>
      </c>
      <c r="K7205" s="0" t="s">
        <v>23980</v>
      </c>
      <c r="L7205" s="0" t="str">
        <f aca="false">HYPERLINK("https://www.ncbi.nlm.nih.gov/nuccore/CP000058.1?report=graph&amp;tracks=[key:gene_model_track,Options:GeneOnly]&amp;mk=2303343:2303362|offset_40|00cc00,2303377:2303396|offset_74|444444,2303423:2303442|offset_120|444444,2303478:2303497|offset_175|444444&amp;v=2303142:2303697&amp;c=444444", "offset 40")</f>
        <v>offset 40</v>
      </c>
    </row>
    <row r="7206" customFormat="false" ht="12.8" hidden="false" customHeight="false" outlineLevel="0" collapsed="false">
      <c r="A7206" s="0" t="s">
        <v>12</v>
      </c>
      <c r="B7206" s="0" t="n">
        <v>2303376</v>
      </c>
      <c r="C7206" s="0" t="n">
        <v>2303396</v>
      </c>
      <c r="D7206" s="0" t="s">
        <v>23976</v>
      </c>
      <c r="E7206" s="0" t="s">
        <v>23977</v>
      </c>
      <c r="F7206" s="0" t="s">
        <v>15</v>
      </c>
      <c r="G7206" s="0" t="s">
        <v>32</v>
      </c>
      <c r="H7206" s="0" t="n">
        <v>74</v>
      </c>
      <c r="I7206" s="0" t="s">
        <v>23981</v>
      </c>
      <c r="J7206" s="0" t="s">
        <v>23982</v>
      </c>
      <c r="K7206" s="0" t="s">
        <v>23983</v>
      </c>
      <c r="L7206" s="0" t="str">
        <f aca="false">HYPERLINK("https://www.ncbi.nlm.nih.gov/nuccore/CP000058.1?report=graph&amp;tracks=[key:gene_model_track,Options:GeneOnly]&amp;mk=2303343:2303362|offset_40|444444,2303377:2303396|offset_74|00cc00,2303423:2303442|offset_120|444444,2303478:2303497|offset_175|444444&amp;v=2303142:2303697&amp;c=444444", "offset 74")</f>
        <v>offset 74</v>
      </c>
    </row>
    <row r="7207" customFormat="false" ht="12.8" hidden="false" customHeight="false" outlineLevel="0" collapsed="false">
      <c r="A7207" s="0" t="s">
        <v>12</v>
      </c>
      <c r="B7207" s="0" t="n">
        <v>2303422</v>
      </c>
      <c r="C7207" s="0" t="n">
        <v>2303442</v>
      </c>
      <c r="D7207" s="0" t="s">
        <v>23976</v>
      </c>
      <c r="E7207" s="0" t="s">
        <v>23977</v>
      </c>
      <c r="F7207" s="0" t="s">
        <v>15</v>
      </c>
      <c r="G7207" s="0" t="s">
        <v>16</v>
      </c>
      <c r="H7207" s="0" t="n">
        <v>120</v>
      </c>
      <c r="I7207" s="0" t="s">
        <v>23984</v>
      </c>
      <c r="J7207" s="0" t="s">
        <v>23985</v>
      </c>
      <c r="K7207" s="0" t="s">
        <v>23986</v>
      </c>
      <c r="L7207" s="0" t="str">
        <f aca="false">HYPERLINK("https://www.ncbi.nlm.nih.gov/nuccore/CP000058.1?report=graph&amp;tracks=[key:gene_model_track,Options:GeneOnly]&amp;mk=2303343:2303362|offset_40|444444,2303377:2303396|offset_74|444444,2303423:2303442|offset_120|00cc00,2303478:2303497|offset_175|444444&amp;v=2303142:2303697&amp;c=444444", "offset 120")</f>
        <v>offset 120</v>
      </c>
    </row>
    <row r="7208" customFormat="false" ht="12.8" hidden="false" customHeight="false" outlineLevel="0" collapsed="false">
      <c r="A7208" s="0" t="s">
        <v>12</v>
      </c>
      <c r="B7208" s="0" t="n">
        <v>2303477</v>
      </c>
      <c r="C7208" s="0" t="n">
        <v>2303497</v>
      </c>
      <c r="D7208" s="0" t="s">
        <v>23976</v>
      </c>
      <c r="E7208" s="0" t="s">
        <v>23977</v>
      </c>
      <c r="F7208" s="0" t="s">
        <v>15</v>
      </c>
      <c r="G7208" s="0" t="s">
        <v>20</v>
      </c>
      <c r="H7208" s="0" t="n">
        <v>175</v>
      </c>
      <c r="I7208" s="0" t="s">
        <v>23987</v>
      </c>
      <c r="J7208" s="0" t="s">
        <v>23988</v>
      </c>
      <c r="K7208" s="0" t="s">
        <v>23989</v>
      </c>
      <c r="L7208" s="0" t="str">
        <f aca="false">HYPERLINK("https://www.ncbi.nlm.nih.gov/nuccore/CP000058.1?report=graph&amp;tracks=[key:gene_model_track,Options:GeneOnly]&amp;mk=2303343:2303362|offset_40|444444,2303377:2303396|offset_74|444444,2303423:2303442|offset_120|444444,2303478:2303497|offset_175|00cc00&amp;v=2303142:2303697&amp;c=444444", "offset 175")</f>
        <v>offset 175</v>
      </c>
    </row>
    <row r="7209" customFormat="false" ht="12.8" hidden="false" customHeight="false" outlineLevel="0" collapsed="false">
      <c r="A7209" s="0" t="s">
        <v>12</v>
      </c>
      <c r="B7209" s="0" t="n">
        <v>2304361</v>
      </c>
      <c r="C7209" s="0" t="n">
        <v>2304381</v>
      </c>
      <c r="D7209" s="0" t="s">
        <v>23990</v>
      </c>
      <c r="E7209" s="0" t="s">
        <v>23991</v>
      </c>
      <c r="F7209" s="0" t="s">
        <v>15</v>
      </c>
      <c r="G7209" s="0" t="s">
        <v>20</v>
      </c>
      <c r="H7209" s="0" t="n">
        <v>53</v>
      </c>
      <c r="I7209" s="0" t="s">
        <v>23992</v>
      </c>
      <c r="J7209" s="0" t="s">
        <v>23993</v>
      </c>
      <c r="K7209" s="0" t="s">
        <v>23994</v>
      </c>
      <c r="L7209" s="0" t="str">
        <f aca="false">HYPERLINK("https://www.ncbi.nlm.nih.gov/nuccore/CP000058.1?report=graph&amp;tracks=[key:gene_model_track,Options:GeneOnly]&amp;mk=2304362:2304381|offset_53|00cc00,2304409:2304428|offset_100|444444,2304432:2304451|offset_123|444444,2304464:2304483|offset_155|444444&amp;v=2304161:2304683&amp;c=444444", "offset 53")</f>
        <v>offset 53</v>
      </c>
    </row>
    <row r="7210" customFormat="false" ht="12.8" hidden="false" customHeight="false" outlineLevel="0" collapsed="false">
      <c r="A7210" s="0" t="s">
        <v>12</v>
      </c>
      <c r="B7210" s="0" t="n">
        <v>2304408</v>
      </c>
      <c r="C7210" s="0" t="n">
        <v>2304428</v>
      </c>
      <c r="D7210" s="0" t="s">
        <v>23990</v>
      </c>
      <c r="E7210" s="0" t="s">
        <v>23991</v>
      </c>
      <c r="F7210" s="0" t="s">
        <v>15</v>
      </c>
      <c r="G7210" s="0" t="s">
        <v>16</v>
      </c>
      <c r="H7210" s="0" t="n">
        <v>100</v>
      </c>
      <c r="I7210" s="0" t="s">
        <v>23995</v>
      </c>
      <c r="J7210" s="0" t="s">
        <v>23996</v>
      </c>
      <c r="K7210" s="0" t="s">
        <v>23997</v>
      </c>
      <c r="L7210" s="0" t="str">
        <f aca="false">HYPERLINK("https://www.ncbi.nlm.nih.gov/nuccore/CP000058.1?report=graph&amp;tracks=[key:gene_model_track,Options:GeneOnly]&amp;mk=2304362:2304381|offset_53|444444,2304409:2304428|offset_100|00cc00,2304432:2304451|offset_123|444444,2304464:2304483|offset_155|444444&amp;v=2304161:2304683&amp;c=444444", "offset 100")</f>
        <v>offset 100</v>
      </c>
    </row>
    <row r="7211" customFormat="false" ht="12.8" hidden="false" customHeight="false" outlineLevel="0" collapsed="false">
      <c r="A7211" s="0" t="s">
        <v>12</v>
      </c>
      <c r="B7211" s="0" t="n">
        <v>2304431</v>
      </c>
      <c r="C7211" s="0" t="n">
        <v>2304451</v>
      </c>
      <c r="D7211" s="0" t="s">
        <v>23990</v>
      </c>
      <c r="E7211" s="0" t="s">
        <v>23991</v>
      </c>
      <c r="F7211" s="0" t="s">
        <v>15</v>
      </c>
      <c r="G7211" s="0" t="s">
        <v>16</v>
      </c>
      <c r="H7211" s="0" t="n">
        <v>123</v>
      </c>
      <c r="I7211" s="0" t="s">
        <v>23998</v>
      </c>
      <c r="J7211" s="0" t="s">
        <v>23999</v>
      </c>
      <c r="K7211" s="0" t="s">
        <v>24000</v>
      </c>
      <c r="L7211" s="0" t="str">
        <f aca="false">HYPERLINK("https://www.ncbi.nlm.nih.gov/nuccore/CP000058.1?report=graph&amp;tracks=[key:gene_model_track,Options:GeneOnly]&amp;mk=2304362:2304381|offset_53|444444,2304409:2304428|offset_100|444444,2304432:2304451|offset_123|00cc00,2304464:2304483|offset_155|444444&amp;v=2304161:2304683&amp;c=444444", "offset 123")</f>
        <v>offset 123</v>
      </c>
    </row>
    <row r="7212" customFormat="false" ht="12.8" hidden="false" customHeight="false" outlineLevel="0" collapsed="false">
      <c r="A7212" s="0" t="s">
        <v>12</v>
      </c>
      <c r="B7212" s="0" t="n">
        <v>2304463</v>
      </c>
      <c r="C7212" s="0" t="n">
        <v>2304483</v>
      </c>
      <c r="D7212" s="0" t="s">
        <v>23990</v>
      </c>
      <c r="E7212" s="0" t="s">
        <v>23991</v>
      </c>
      <c r="F7212" s="0" t="s">
        <v>15</v>
      </c>
      <c r="G7212" s="0" t="s">
        <v>16</v>
      </c>
      <c r="H7212" s="0" t="n">
        <v>155</v>
      </c>
      <c r="I7212" s="0" t="s">
        <v>24001</v>
      </c>
      <c r="J7212" s="0" t="s">
        <v>24002</v>
      </c>
      <c r="K7212" s="0" t="s">
        <v>24003</v>
      </c>
      <c r="L7212" s="0" t="str">
        <f aca="false">HYPERLINK("https://www.ncbi.nlm.nih.gov/nuccore/CP000058.1?report=graph&amp;tracks=[key:gene_model_track,Options:GeneOnly]&amp;mk=2304362:2304381|offset_53|444444,2304409:2304428|offset_100|444444,2304432:2304451|offset_123|444444,2304464:2304483|offset_155|00cc00&amp;v=2304161:2304683&amp;c=444444", "offset 155")</f>
        <v>offset 155</v>
      </c>
    </row>
    <row r="7213" customFormat="false" ht="12.8" hidden="false" customHeight="false" outlineLevel="0" collapsed="false">
      <c r="A7213" s="0" t="s">
        <v>12</v>
      </c>
      <c r="B7213" s="0" t="n">
        <v>2304997</v>
      </c>
      <c r="C7213" s="0" t="n">
        <v>2305017</v>
      </c>
      <c r="D7213" s="0" t="s">
        <v>24004</v>
      </c>
      <c r="E7213" s="0" t="s">
        <v>24005</v>
      </c>
      <c r="F7213" s="0" t="s">
        <v>15</v>
      </c>
      <c r="G7213" s="0" t="s">
        <v>36</v>
      </c>
      <c r="H7213" s="0" t="n">
        <v>0</v>
      </c>
      <c r="I7213" s="0" t="s">
        <v>24006</v>
      </c>
      <c r="J7213" s="0" t="s">
        <v>24007</v>
      </c>
      <c r="K7213" s="0" t="s">
        <v>24008</v>
      </c>
      <c r="L7213" s="0" t="str">
        <f aca="false">HYPERLINK("https://www.ncbi.nlm.nih.gov/nuccore/CP000058.1?report=graph&amp;tracks=[key:gene_model_track,Options:GeneOnly]&amp;mk=2304998:2305017|offset_0|00cc00,2305020:2305039|offset_22|444444,2305051:2305070|offset_53|444444,2305094:2305113|offset_96|444444&amp;v=2304797:2305313&amp;c=444444", "offset 0")</f>
        <v>offset 0</v>
      </c>
    </row>
    <row r="7214" customFormat="false" ht="12.8" hidden="false" customHeight="false" outlineLevel="0" collapsed="false">
      <c r="A7214" s="0" t="s">
        <v>12</v>
      </c>
      <c r="B7214" s="0" t="n">
        <v>2305019</v>
      </c>
      <c r="C7214" s="0" t="n">
        <v>2305039</v>
      </c>
      <c r="D7214" s="0" t="s">
        <v>24004</v>
      </c>
      <c r="E7214" s="0" t="s">
        <v>24005</v>
      </c>
      <c r="F7214" s="0" t="s">
        <v>15</v>
      </c>
      <c r="G7214" s="0" t="s">
        <v>32</v>
      </c>
      <c r="H7214" s="0" t="n">
        <v>22</v>
      </c>
      <c r="I7214" s="0" t="s">
        <v>24009</v>
      </c>
      <c r="J7214" s="0" t="s">
        <v>24010</v>
      </c>
      <c r="K7214" s="0" t="s">
        <v>24011</v>
      </c>
      <c r="L7214" s="0" t="str">
        <f aca="false">HYPERLINK("https://www.ncbi.nlm.nih.gov/nuccore/CP000058.1?report=graph&amp;tracks=[key:gene_model_track,Options:GeneOnly]&amp;mk=2304998:2305017|offset_0|444444,2305020:2305039|offset_22|00cc00,2305051:2305070|offset_53|444444,2305094:2305113|offset_96|444444&amp;v=2304797:2305313&amp;c=444444", "offset 22")</f>
        <v>offset 22</v>
      </c>
    </row>
    <row r="7215" customFormat="false" ht="12.8" hidden="false" customHeight="false" outlineLevel="0" collapsed="false">
      <c r="A7215" s="0" t="s">
        <v>12</v>
      </c>
      <c r="B7215" s="0" t="n">
        <v>2305050</v>
      </c>
      <c r="C7215" s="0" t="n">
        <v>2305070</v>
      </c>
      <c r="D7215" s="0" t="s">
        <v>24004</v>
      </c>
      <c r="E7215" s="0" t="s">
        <v>24005</v>
      </c>
      <c r="F7215" s="0" t="s">
        <v>15</v>
      </c>
      <c r="G7215" s="0" t="s">
        <v>20</v>
      </c>
      <c r="H7215" s="0" t="n">
        <v>53</v>
      </c>
      <c r="I7215" s="0" t="s">
        <v>24012</v>
      </c>
      <c r="J7215" s="0" t="s">
        <v>24013</v>
      </c>
      <c r="K7215" s="0" t="s">
        <v>24014</v>
      </c>
      <c r="L7215" s="0" t="str">
        <f aca="false">HYPERLINK("https://www.ncbi.nlm.nih.gov/nuccore/CP000058.1?report=graph&amp;tracks=[key:gene_model_track,Options:GeneOnly]&amp;mk=2304998:2305017|offset_0|444444,2305020:2305039|offset_22|444444,2305051:2305070|offset_53|00cc00,2305094:2305113|offset_96|444444&amp;v=2304797:2305313&amp;c=444444", "offset 53")</f>
        <v>offset 53</v>
      </c>
    </row>
    <row r="7216" customFormat="false" ht="12.8" hidden="false" customHeight="false" outlineLevel="0" collapsed="false">
      <c r="A7216" s="0" t="s">
        <v>12</v>
      </c>
      <c r="B7216" s="0" t="n">
        <v>2305093</v>
      </c>
      <c r="C7216" s="0" t="n">
        <v>2305113</v>
      </c>
      <c r="D7216" s="0" t="s">
        <v>24004</v>
      </c>
      <c r="E7216" s="0" t="s">
        <v>24005</v>
      </c>
      <c r="F7216" s="0" t="s">
        <v>15</v>
      </c>
      <c r="G7216" s="0" t="s">
        <v>32</v>
      </c>
      <c r="H7216" s="0" t="n">
        <v>96</v>
      </c>
      <c r="I7216" s="0" t="s">
        <v>24015</v>
      </c>
      <c r="J7216" s="0" t="s">
        <v>24016</v>
      </c>
      <c r="K7216" s="0" t="s">
        <v>24017</v>
      </c>
      <c r="L7216" s="0" t="str">
        <f aca="false">HYPERLINK("https://www.ncbi.nlm.nih.gov/nuccore/CP000058.1?report=graph&amp;tracks=[key:gene_model_track,Options:GeneOnly]&amp;mk=2304998:2305017|offset_0|444444,2305020:2305039|offset_22|444444,2305051:2305070|offset_53|444444,2305094:2305113|offset_96|00cc00&amp;v=2304797:2305313&amp;c=444444", "offset 96")</f>
        <v>offset 96</v>
      </c>
    </row>
    <row r="7217" customFormat="false" ht="12.8" hidden="false" customHeight="false" outlineLevel="0" collapsed="false">
      <c r="A7217" s="0" t="s">
        <v>12</v>
      </c>
      <c r="B7217" s="0" t="n">
        <v>2306450</v>
      </c>
      <c r="C7217" s="0" t="n">
        <v>2306470</v>
      </c>
      <c r="D7217" s="0" t="s">
        <v>24018</v>
      </c>
      <c r="E7217" s="0" t="s">
        <v>75</v>
      </c>
      <c r="F7217" s="0" t="s">
        <v>15</v>
      </c>
      <c r="G7217" s="0" t="s">
        <v>32</v>
      </c>
      <c r="H7217" s="0" t="n">
        <v>1</v>
      </c>
      <c r="I7217" s="0" t="s">
        <v>24019</v>
      </c>
      <c r="J7217" s="0" t="s">
        <v>24020</v>
      </c>
      <c r="K7217" s="0" t="s">
        <v>24021</v>
      </c>
      <c r="L7217" s="0" t="str">
        <f aca="false">HYPERLINK("https://www.ncbi.nlm.nih.gov/nuccore/CP000058.1?report=graph&amp;tracks=[key:gene_model_track,Options:GeneOnly]&amp;mk=2306451:2306470|offset_1|00cc00,2306484:2306503|offset_34|444444,2306554:2306573|offset_104|444444,2306580:2306599|offset_130|444444&amp;v=2306250:2306799&amp;c=444444", "offset 1")</f>
        <v>offset 1</v>
      </c>
    </row>
    <row r="7218" customFormat="false" ht="12.8" hidden="false" customHeight="false" outlineLevel="0" collapsed="false">
      <c r="A7218" s="0" t="s">
        <v>12</v>
      </c>
      <c r="B7218" s="0" t="n">
        <v>2306483</v>
      </c>
      <c r="C7218" s="0" t="n">
        <v>2306503</v>
      </c>
      <c r="D7218" s="0" t="s">
        <v>24018</v>
      </c>
      <c r="E7218" s="0" t="s">
        <v>75</v>
      </c>
      <c r="F7218" s="0" t="s">
        <v>15</v>
      </c>
      <c r="G7218" s="0" t="s">
        <v>36</v>
      </c>
      <c r="H7218" s="0" t="n">
        <v>34</v>
      </c>
      <c r="I7218" s="0" t="s">
        <v>24022</v>
      </c>
      <c r="J7218" s="0" t="s">
        <v>24023</v>
      </c>
      <c r="K7218" s="0" t="s">
        <v>24024</v>
      </c>
      <c r="L7218" s="0" t="str">
        <f aca="false">HYPERLINK("https://www.ncbi.nlm.nih.gov/nuccore/CP000058.1?report=graph&amp;tracks=[key:gene_model_track,Options:GeneOnly]&amp;mk=2306451:2306470|offset_1|444444,2306484:2306503|offset_34|00cc00,2306554:2306573|offset_104|444444,2306580:2306599|offset_130|444444&amp;v=2306250:2306799&amp;c=444444", "offset 34")</f>
        <v>offset 34</v>
      </c>
    </row>
    <row r="7219" customFormat="false" ht="12.8" hidden="false" customHeight="false" outlineLevel="0" collapsed="false">
      <c r="A7219" s="0" t="s">
        <v>12</v>
      </c>
      <c r="B7219" s="0" t="n">
        <v>2306553</v>
      </c>
      <c r="C7219" s="0" t="n">
        <v>2306573</v>
      </c>
      <c r="D7219" s="0" t="s">
        <v>24018</v>
      </c>
      <c r="E7219" s="0" t="s">
        <v>75</v>
      </c>
      <c r="F7219" s="0" t="s">
        <v>15</v>
      </c>
      <c r="G7219" s="0" t="s">
        <v>20</v>
      </c>
      <c r="H7219" s="0" t="n">
        <v>104</v>
      </c>
      <c r="I7219" s="0" t="s">
        <v>24025</v>
      </c>
      <c r="J7219" s="0" t="s">
        <v>24026</v>
      </c>
      <c r="K7219" s="0" t="s">
        <v>24027</v>
      </c>
      <c r="L7219" s="0" t="str">
        <f aca="false">HYPERLINK("https://www.ncbi.nlm.nih.gov/nuccore/CP000058.1?report=graph&amp;tracks=[key:gene_model_track,Options:GeneOnly]&amp;mk=2306451:2306470|offset_1|444444,2306484:2306503|offset_34|444444,2306554:2306573|offset_104|00cc00,2306580:2306599|offset_130|444444&amp;v=2306250:2306799&amp;c=444444", "offset 104")</f>
        <v>offset 104</v>
      </c>
    </row>
    <row r="7220" customFormat="false" ht="12.8" hidden="false" customHeight="false" outlineLevel="0" collapsed="false">
      <c r="A7220" s="0" t="s">
        <v>12</v>
      </c>
      <c r="B7220" s="0" t="n">
        <v>2306579</v>
      </c>
      <c r="C7220" s="0" t="n">
        <v>2306599</v>
      </c>
      <c r="D7220" s="0" t="s">
        <v>24018</v>
      </c>
      <c r="E7220" s="0" t="s">
        <v>75</v>
      </c>
      <c r="F7220" s="0" t="s">
        <v>15</v>
      </c>
      <c r="G7220" s="0" t="s">
        <v>16</v>
      </c>
      <c r="H7220" s="0" t="n">
        <v>130</v>
      </c>
      <c r="I7220" s="0" t="s">
        <v>24028</v>
      </c>
      <c r="J7220" s="0" t="s">
        <v>24029</v>
      </c>
      <c r="K7220" s="0" t="s">
        <v>24030</v>
      </c>
      <c r="L7220" s="0" t="str">
        <f aca="false">HYPERLINK("https://www.ncbi.nlm.nih.gov/nuccore/CP000058.1?report=graph&amp;tracks=[key:gene_model_track,Options:GeneOnly]&amp;mk=2306451:2306470|offset_1|444444,2306484:2306503|offset_34|444444,2306554:2306573|offset_104|444444,2306580:2306599|offset_130|00cc00&amp;v=2306250:2306799&amp;c=444444", "offset 130")</f>
        <v>offset 130</v>
      </c>
    </row>
    <row r="7221" customFormat="false" ht="12.8" hidden="false" customHeight="false" outlineLevel="0" collapsed="false">
      <c r="A7221" s="0" t="s">
        <v>12</v>
      </c>
      <c r="B7221" s="0" t="n">
        <v>2307859</v>
      </c>
      <c r="C7221" s="0" t="n">
        <v>2307879</v>
      </c>
      <c r="D7221" s="0" t="s">
        <v>24031</v>
      </c>
      <c r="E7221" s="0" t="s">
        <v>75</v>
      </c>
      <c r="F7221" s="0" t="s">
        <v>15</v>
      </c>
      <c r="G7221" s="0" t="s">
        <v>36</v>
      </c>
      <c r="H7221" s="0" t="n">
        <v>23</v>
      </c>
      <c r="I7221" s="0" t="s">
        <v>24032</v>
      </c>
      <c r="J7221" s="0" t="s">
        <v>24033</v>
      </c>
      <c r="K7221" s="0" t="s">
        <v>24034</v>
      </c>
      <c r="L7221" s="0" t="str">
        <f aca="false">HYPERLINK("https://www.ncbi.nlm.nih.gov/nuccore/CP000058.1?report=graph&amp;tracks=[key:gene_model_track,Options:GeneOnly]&amp;mk=2307860:2307879|offset_23|00cc00,2307885:2307904|offset_48|444444,2307943:2307962|offset_106|444444,2307973:2307992|offset_136|444444&amp;v=2307659:2308192&amp;c=444444", "offset 23")</f>
        <v>offset 23</v>
      </c>
    </row>
    <row r="7222" customFormat="false" ht="12.8" hidden="false" customHeight="false" outlineLevel="0" collapsed="false">
      <c r="A7222" s="0" t="s">
        <v>12</v>
      </c>
      <c r="B7222" s="0" t="n">
        <v>2307884</v>
      </c>
      <c r="C7222" s="0" t="n">
        <v>2307904</v>
      </c>
      <c r="D7222" s="0" t="s">
        <v>24031</v>
      </c>
      <c r="E7222" s="0" t="s">
        <v>75</v>
      </c>
      <c r="F7222" s="0" t="s">
        <v>15</v>
      </c>
      <c r="G7222" s="0" t="s">
        <v>16</v>
      </c>
      <c r="H7222" s="0" t="n">
        <v>48</v>
      </c>
      <c r="I7222" s="0" t="s">
        <v>24035</v>
      </c>
      <c r="J7222" s="0" t="s">
        <v>24036</v>
      </c>
      <c r="K7222" s="0" t="s">
        <v>24037</v>
      </c>
      <c r="L7222" s="0" t="str">
        <f aca="false">HYPERLINK("https://www.ncbi.nlm.nih.gov/nuccore/CP000058.1?report=graph&amp;tracks=[key:gene_model_track,Options:GeneOnly]&amp;mk=2307860:2307879|offset_23|444444,2307885:2307904|offset_48|00cc00,2307943:2307962|offset_106|444444,2307973:2307992|offset_136|444444&amp;v=2307659:2308192&amp;c=444444", "offset 48")</f>
        <v>offset 48</v>
      </c>
    </row>
    <row r="7223" customFormat="false" ht="12.8" hidden="false" customHeight="false" outlineLevel="0" collapsed="false">
      <c r="A7223" s="0" t="s">
        <v>12</v>
      </c>
      <c r="B7223" s="0" t="n">
        <v>2307942</v>
      </c>
      <c r="C7223" s="0" t="n">
        <v>2307962</v>
      </c>
      <c r="D7223" s="0" t="s">
        <v>24031</v>
      </c>
      <c r="E7223" s="0" t="s">
        <v>75</v>
      </c>
      <c r="F7223" s="0" t="s">
        <v>15</v>
      </c>
      <c r="G7223" s="0" t="s">
        <v>16</v>
      </c>
      <c r="H7223" s="0" t="n">
        <v>106</v>
      </c>
      <c r="I7223" s="0" t="s">
        <v>24038</v>
      </c>
      <c r="J7223" s="0" t="s">
        <v>24039</v>
      </c>
      <c r="K7223" s="0" t="s">
        <v>24040</v>
      </c>
      <c r="L7223" s="0" t="str">
        <f aca="false">HYPERLINK("https://www.ncbi.nlm.nih.gov/nuccore/CP000058.1?report=graph&amp;tracks=[key:gene_model_track,Options:GeneOnly]&amp;mk=2307860:2307879|offset_23|444444,2307885:2307904|offset_48|444444,2307943:2307962|offset_106|00cc00,2307973:2307992|offset_136|444444&amp;v=2307659:2308192&amp;c=444444", "offset 106")</f>
        <v>offset 106</v>
      </c>
    </row>
    <row r="7224" customFormat="false" ht="12.8" hidden="false" customHeight="false" outlineLevel="0" collapsed="false">
      <c r="A7224" s="0" t="s">
        <v>12</v>
      </c>
      <c r="B7224" s="0" t="n">
        <v>2307972</v>
      </c>
      <c r="C7224" s="0" t="n">
        <v>2307992</v>
      </c>
      <c r="D7224" s="0" t="s">
        <v>24031</v>
      </c>
      <c r="E7224" s="0" t="s">
        <v>75</v>
      </c>
      <c r="F7224" s="0" t="s">
        <v>15</v>
      </c>
      <c r="G7224" s="0" t="s">
        <v>36</v>
      </c>
      <c r="H7224" s="0" t="n">
        <v>136</v>
      </c>
      <c r="I7224" s="0" t="s">
        <v>24041</v>
      </c>
      <c r="J7224" s="0" t="s">
        <v>24042</v>
      </c>
      <c r="K7224" s="0" t="s">
        <v>24043</v>
      </c>
      <c r="L7224" s="0" t="str">
        <f aca="false">HYPERLINK("https://www.ncbi.nlm.nih.gov/nuccore/CP000058.1?report=graph&amp;tracks=[key:gene_model_track,Options:GeneOnly]&amp;mk=2307860:2307879|offset_23|444444,2307885:2307904|offset_48|444444,2307943:2307962|offset_106|444444,2307973:2307992|offset_136|00cc00&amp;v=2307659:2308192&amp;c=444444", "offset 136")</f>
        <v>offset 136</v>
      </c>
    </row>
    <row r="7225" customFormat="false" ht="12.8" hidden="false" customHeight="false" outlineLevel="0" collapsed="false">
      <c r="A7225" s="0" t="s">
        <v>12</v>
      </c>
      <c r="B7225" s="0" t="n">
        <v>2309665</v>
      </c>
      <c r="C7225" s="0" t="n">
        <v>2309685</v>
      </c>
      <c r="D7225" s="0" t="s">
        <v>24044</v>
      </c>
      <c r="E7225" s="0" t="s">
        <v>75</v>
      </c>
      <c r="F7225" s="0" t="s">
        <v>90</v>
      </c>
      <c r="G7225" s="0" t="s">
        <v>16</v>
      </c>
      <c r="H7225" s="0" t="n">
        <v>25</v>
      </c>
      <c r="I7225" s="0" t="s">
        <v>24045</v>
      </c>
      <c r="J7225" s="0" t="s">
        <v>24046</v>
      </c>
      <c r="K7225" s="0" t="s">
        <v>24047</v>
      </c>
      <c r="L7225" s="0" t="str">
        <f aca="false">HYPERLINK("https://www.ncbi.nlm.nih.gov/nuccore/CP000058.1?report=graph&amp;tracks=[key:gene_model_track,Options:GeneOnly]&amp;mk=2309666:2309685|offset_25|00cc00,2309646:2309665|offset_45|444444,2309613:2309632|offset_78|444444,2309584:2309603|offset_107|444444&amp;v=2309465:2309803&amp;c=444444", "offset 25")</f>
        <v>offset 25</v>
      </c>
    </row>
    <row r="7226" customFormat="false" ht="12.8" hidden="false" customHeight="false" outlineLevel="0" collapsed="false">
      <c r="A7226" s="0" t="s">
        <v>12</v>
      </c>
      <c r="B7226" s="0" t="n">
        <v>2309645</v>
      </c>
      <c r="C7226" s="0" t="n">
        <v>2309665</v>
      </c>
      <c r="D7226" s="0" t="s">
        <v>24044</v>
      </c>
      <c r="E7226" s="0" t="s">
        <v>75</v>
      </c>
      <c r="F7226" s="0" t="s">
        <v>90</v>
      </c>
      <c r="G7226" s="0" t="s">
        <v>36</v>
      </c>
      <c r="H7226" s="0" t="n">
        <v>45</v>
      </c>
      <c r="I7226" s="0" t="s">
        <v>24048</v>
      </c>
      <c r="J7226" s="0" t="s">
        <v>24049</v>
      </c>
      <c r="K7226" s="0" t="s">
        <v>24050</v>
      </c>
      <c r="L7226" s="0" t="str">
        <f aca="false">HYPERLINK("https://www.ncbi.nlm.nih.gov/nuccore/CP000058.1?report=graph&amp;tracks=[key:gene_model_track,Options:GeneOnly]&amp;mk=2309666:2309685|offset_25|444444,2309646:2309665|offset_45|00cc00,2309613:2309632|offset_78|444444,2309584:2309603|offset_107|444444&amp;v=2309465:2309803&amp;c=444444", "offset 45")</f>
        <v>offset 45</v>
      </c>
    </row>
    <row r="7227" customFormat="false" ht="12.8" hidden="false" customHeight="false" outlineLevel="0" collapsed="false">
      <c r="A7227" s="0" t="s">
        <v>12</v>
      </c>
      <c r="B7227" s="0" t="n">
        <v>2309612</v>
      </c>
      <c r="C7227" s="0" t="n">
        <v>2309632</v>
      </c>
      <c r="D7227" s="0" t="s">
        <v>24044</v>
      </c>
      <c r="E7227" s="0" t="s">
        <v>75</v>
      </c>
      <c r="F7227" s="0" t="s">
        <v>90</v>
      </c>
      <c r="G7227" s="0" t="s">
        <v>16</v>
      </c>
      <c r="H7227" s="0" t="n">
        <v>78</v>
      </c>
      <c r="I7227" s="0" t="s">
        <v>24051</v>
      </c>
      <c r="J7227" s="0" t="s">
        <v>24052</v>
      </c>
      <c r="K7227" s="0" t="s">
        <v>24053</v>
      </c>
      <c r="L7227" s="0" t="str">
        <f aca="false">HYPERLINK("https://www.ncbi.nlm.nih.gov/nuccore/CP000058.1?report=graph&amp;tracks=[key:gene_model_track,Options:GeneOnly]&amp;mk=2309666:2309685|offset_25|444444,2309646:2309665|offset_45|444444,2309613:2309632|offset_78|00cc00,2309584:2309603|offset_107|444444&amp;v=2309465:2309803&amp;c=444444", "offset 78")</f>
        <v>offset 78</v>
      </c>
    </row>
    <row r="7228" customFormat="false" ht="12.8" hidden="false" customHeight="false" outlineLevel="0" collapsed="false">
      <c r="A7228" s="0" t="s">
        <v>12</v>
      </c>
      <c r="B7228" s="0" t="n">
        <v>2309583</v>
      </c>
      <c r="C7228" s="0" t="n">
        <v>2309603</v>
      </c>
      <c r="D7228" s="0" t="s">
        <v>24044</v>
      </c>
      <c r="E7228" s="0" t="s">
        <v>75</v>
      </c>
      <c r="F7228" s="0" t="s">
        <v>90</v>
      </c>
      <c r="G7228" s="0" t="s">
        <v>20</v>
      </c>
      <c r="H7228" s="0" t="n">
        <v>107</v>
      </c>
      <c r="I7228" s="0" t="s">
        <v>24054</v>
      </c>
      <c r="J7228" s="0" t="s">
        <v>24055</v>
      </c>
      <c r="K7228" s="0" t="s">
        <v>24056</v>
      </c>
      <c r="L7228" s="0" t="str">
        <f aca="false">HYPERLINK("https://www.ncbi.nlm.nih.gov/nuccore/CP000058.1?report=graph&amp;tracks=[key:gene_model_track,Options:GeneOnly]&amp;mk=2309666:2309685|offset_25|444444,2309646:2309665|offset_45|444444,2309613:2309632|offset_78|444444,2309584:2309603|offset_107|00cc00&amp;v=2309465:2309803&amp;c=444444", "offset 107")</f>
        <v>offset 107</v>
      </c>
    </row>
    <row r="7229" customFormat="false" ht="12.8" hidden="false" customHeight="false" outlineLevel="0" collapsed="false">
      <c r="A7229" s="0" t="s">
        <v>12</v>
      </c>
      <c r="B7229" s="0" t="n">
        <v>2309889</v>
      </c>
      <c r="C7229" s="0" t="n">
        <v>2309909</v>
      </c>
      <c r="D7229" s="0" t="s">
        <v>24057</v>
      </c>
      <c r="E7229" s="0" t="s">
        <v>75</v>
      </c>
      <c r="F7229" s="0" t="s">
        <v>15</v>
      </c>
      <c r="G7229" s="0" t="s">
        <v>36</v>
      </c>
      <c r="H7229" s="0" t="n">
        <v>0</v>
      </c>
      <c r="I7229" s="0" t="s">
        <v>24058</v>
      </c>
      <c r="J7229" s="0" t="s">
        <v>24059</v>
      </c>
      <c r="K7229" s="0" t="s">
        <v>24060</v>
      </c>
      <c r="L7229" s="0" t="str">
        <f aca="false">HYPERLINK("https://www.ncbi.nlm.nih.gov/nuccore/CP000058.1?report=graph&amp;tracks=[key:gene_model_track,Options:GeneOnly]&amp;mk=2309890:2309909|offset_0|00cc00,2309924:2309943|offset_34|444444,2309947:2309966|offset_57|444444,2309986:2310005|offset_96|444444&amp;v=2309689:2310205&amp;c=444444", "offset 0")</f>
        <v>offset 0</v>
      </c>
    </row>
    <row r="7230" customFormat="false" ht="12.8" hidden="false" customHeight="false" outlineLevel="0" collapsed="false">
      <c r="A7230" s="0" t="s">
        <v>12</v>
      </c>
      <c r="B7230" s="0" t="n">
        <v>2309923</v>
      </c>
      <c r="C7230" s="0" t="n">
        <v>2309943</v>
      </c>
      <c r="D7230" s="0" t="s">
        <v>24057</v>
      </c>
      <c r="E7230" s="0" t="s">
        <v>75</v>
      </c>
      <c r="F7230" s="0" t="s">
        <v>15</v>
      </c>
      <c r="G7230" s="0" t="s">
        <v>32</v>
      </c>
      <c r="H7230" s="0" t="n">
        <v>34</v>
      </c>
      <c r="I7230" s="0" t="s">
        <v>24061</v>
      </c>
      <c r="J7230" s="0" t="s">
        <v>24062</v>
      </c>
      <c r="K7230" s="0" t="s">
        <v>24063</v>
      </c>
      <c r="L7230" s="0" t="str">
        <f aca="false">HYPERLINK("https://www.ncbi.nlm.nih.gov/nuccore/CP000058.1?report=graph&amp;tracks=[key:gene_model_track,Options:GeneOnly]&amp;mk=2309890:2309909|offset_0|444444,2309924:2309943|offset_34|00cc00,2309947:2309966|offset_57|444444,2309986:2310005|offset_96|444444&amp;v=2309689:2310205&amp;c=444444", "offset 34")</f>
        <v>offset 34</v>
      </c>
    </row>
    <row r="7231" customFormat="false" ht="12.8" hidden="false" customHeight="false" outlineLevel="0" collapsed="false">
      <c r="A7231" s="0" t="s">
        <v>12</v>
      </c>
      <c r="B7231" s="0" t="n">
        <v>2309946</v>
      </c>
      <c r="C7231" s="0" t="n">
        <v>2309966</v>
      </c>
      <c r="D7231" s="0" t="s">
        <v>24057</v>
      </c>
      <c r="E7231" s="0" t="s">
        <v>75</v>
      </c>
      <c r="F7231" s="0" t="s">
        <v>15</v>
      </c>
      <c r="G7231" s="0" t="s">
        <v>16</v>
      </c>
      <c r="H7231" s="0" t="n">
        <v>57</v>
      </c>
      <c r="I7231" s="0" t="s">
        <v>24064</v>
      </c>
      <c r="J7231" s="0" t="s">
        <v>24065</v>
      </c>
      <c r="K7231" s="0" t="s">
        <v>24066</v>
      </c>
      <c r="L7231" s="0" t="str">
        <f aca="false">HYPERLINK("https://www.ncbi.nlm.nih.gov/nuccore/CP000058.1?report=graph&amp;tracks=[key:gene_model_track,Options:GeneOnly]&amp;mk=2309890:2309909|offset_0|444444,2309924:2309943|offset_34|444444,2309947:2309966|offset_57|00cc00,2309986:2310005|offset_96|444444&amp;v=2309689:2310205&amp;c=444444", "offset 57")</f>
        <v>offset 57</v>
      </c>
    </row>
    <row r="7232" customFormat="false" ht="12.8" hidden="false" customHeight="false" outlineLevel="0" collapsed="false">
      <c r="A7232" s="0" t="s">
        <v>12</v>
      </c>
      <c r="B7232" s="0" t="n">
        <v>2309985</v>
      </c>
      <c r="C7232" s="0" t="n">
        <v>2310005</v>
      </c>
      <c r="D7232" s="0" t="s">
        <v>24057</v>
      </c>
      <c r="E7232" s="0" t="s">
        <v>75</v>
      </c>
      <c r="F7232" s="0" t="s">
        <v>15</v>
      </c>
      <c r="G7232" s="0" t="s">
        <v>36</v>
      </c>
      <c r="H7232" s="0" t="n">
        <v>96</v>
      </c>
      <c r="I7232" s="0" t="s">
        <v>24067</v>
      </c>
      <c r="J7232" s="0" t="s">
        <v>24068</v>
      </c>
      <c r="K7232" s="0" t="s">
        <v>24069</v>
      </c>
      <c r="L7232" s="0" t="str">
        <f aca="false">HYPERLINK("https://www.ncbi.nlm.nih.gov/nuccore/CP000058.1?report=graph&amp;tracks=[key:gene_model_track,Options:GeneOnly]&amp;mk=2309890:2309909|offset_0|444444,2309924:2309943|offset_34|444444,2309947:2309966|offset_57|444444,2309986:2310005|offset_96|00cc00&amp;v=2309689:2310205&amp;c=444444", "offset 96")</f>
        <v>offset 96</v>
      </c>
    </row>
    <row r="7233" customFormat="false" ht="12.8" hidden="false" customHeight="false" outlineLevel="0" collapsed="false">
      <c r="A7233" s="0" t="s">
        <v>12</v>
      </c>
      <c r="B7233" s="0" t="n">
        <v>2312466</v>
      </c>
      <c r="C7233" s="0" t="n">
        <v>2312486</v>
      </c>
      <c r="D7233" s="0" t="s">
        <v>24070</v>
      </c>
      <c r="E7233" s="0" t="s">
        <v>75</v>
      </c>
      <c r="F7233" s="0" t="s">
        <v>90</v>
      </c>
      <c r="G7233" s="0" t="s">
        <v>20</v>
      </c>
      <c r="H7233" s="0" t="n">
        <v>0</v>
      </c>
      <c r="I7233" s="0" t="s">
        <v>24071</v>
      </c>
      <c r="J7233" s="0" t="s">
        <v>24072</v>
      </c>
      <c r="K7233" s="0" t="s">
        <v>24073</v>
      </c>
      <c r="L7233" s="0" t="str">
        <f aca="false">HYPERLINK("https://www.ncbi.nlm.nih.gov/nuccore/CP000058.1?report=graph&amp;tracks=[key:gene_model_track,Options:GeneOnly]&amp;mk=2312467:2312486|offset_0|00cc00,2312421:2312440|offset_46|444444,2312400:2312419|offset_67|444444,2312376:2312395|offset_91|444444&amp;v=2312266:2312595&amp;c=444444", "offset 0")</f>
        <v>offset 0</v>
      </c>
    </row>
    <row r="7234" customFormat="false" ht="12.8" hidden="false" customHeight="false" outlineLevel="0" collapsed="false">
      <c r="A7234" s="0" t="s">
        <v>12</v>
      </c>
      <c r="B7234" s="0" t="n">
        <v>2312420</v>
      </c>
      <c r="C7234" s="0" t="n">
        <v>2312440</v>
      </c>
      <c r="D7234" s="0" t="s">
        <v>24070</v>
      </c>
      <c r="E7234" s="0" t="s">
        <v>75</v>
      </c>
      <c r="F7234" s="0" t="s">
        <v>90</v>
      </c>
      <c r="G7234" s="0" t="s">
        <v>16</v>
      </c>
      <c r="H7234" s="0" t="n">
        <v>46</v>
      </c>
      <c r="I7234" s="0" t="s">
        <v>24074</v>
      </c>
      <c r="J7234" s="0" t="s">
        <v>24075</v>
      </c>
      <c r="K7234" s="0" t="s">
        <v>24076</v>
      </c>
      <c r="L7234" s="0" t="str">
        <f aca="false">HYPERLINK("https://www.ncbi.nlm.nih.gov/nuccore/CP000058.1?report=graph&amp;tracks=[key:gene_model_track,Options:GeneOnly]&amp;mk=2312467:2312486|offset_0|444444,2312421:2312440|offset_46|00cc00,2312400:2312419|offset_67|444444,2312376:2312395|offset_91|444444&amp;v=2312266:2312595&amp;c=444444", "offset 46")</f>
        <v>offset 46</v>
      </c>
    </row>
    <row r="7235" customFormat="false" ht="12.8" hidden="false" customHeight="false" outlineLevel="0" collapsed="false">
      <c r="A7235" s="0" t="s">
        <v>12</v>
      </c>
      <c r="B7235" s="0" t="n">
        <v>2312399</v>
      </c>
      <c r="C7235" s="0" t="n">
        <v>2312419</v>
      </c>
      <c r="D7235" s="0" t="s">
        <v>24070</v>
      </c>
      <c r="E7235" s="0" t="s">
        <v>75</v>
      </c>
      <c r="F7235" s="0" t="s">
        <v>90</v>
      </c>
      <c r="G7235" s="0" t="s">
        <v>16</v>
      </c>
      <c r="H7235" s="0" t="n">
        <v>67</v>
      </c>
      <c r="I7235" s="0" t="s">
        <v>24077</v>
      </c>
      <c r="J7235" s="0" t="s">
        <v>24078</v>
      </c>
      <c r="K7235" s="0" t="s">
        <v>24079</v>
      </c>
      <c r="L7235" s="0" t="str">
        <f aca="false">HYPERLINK("https://www.ncbi.nlm.nih.gov/nuccore/CP000058.1?report=graph&amp;tracks=[key:gene_model_track,Options:GeneOnly]&amp;mk=2312467:2312486|offset_0|444444,2312421:2312440|offset_46|444444,2312400:2312419|offset_67|00cc00,2312376:2312395|offset_91|444444&amp;v=2312266:2312595&amp;c=444444", "offset 67")</f>
        <v>offset 67</v>
      </c>
    </row>
    <row r="7236" customFormat="false" ht="12.8" hidden="false" customHeight="false" outlineLevel="0" collapsed="false">
      <c r="A7236" s="0" t="s">
        <v>12</v>
      </c>
      <c r="B7236" s="0" t="n">
        <v>2312375</v>
      </c>
      <c r="C7236" s="0" t="n">
        <v>2312395</v>
      </c>
      <c r="D7236" s="0" t="s">
        <v>24070</v>
      </c>
      <c r="E7236" s="0" t="s">
        <v>75</v>
      </c>
      <c r="F7236" s="0" t="s">
        <v>90</v>
      </c>
      <c r="G7236" s="0" t="s">
        <v>16</v>
      </c>
      <c r="H7236" s="0" t="n">
        <v>91</v>
      </c>
      <c r="I7236" s="0" t="s">
        <v>24080</v>
      </c>
      <c r="J7236" s="0" t="s">
        <v>24081</v>
      </c>
      <c r="K7236" s="0" t="s">
        <v>24082</v>
      </c>
      <c r="L7236" s="0" t="str">
        <f aca="false">HYPERLINK("https://www.ncbi.nlm.nih.gov/nuccore/CP000058.1?report=graph&amp;tracks=[key:gene_model_track,Options:GeneOnly]&amp;mk=2312467:2312486|offset_0|444444,2312421:2312440|offset_46|444444,2312400:2312419|offset_67|444444,2312376:2312395|offset_91|00cc00&amp;v=2312266:2312595&amp;c=444444", "offset 91")</f>
        <v>offset 91</v>
      </c>
    </row>
    <row r="7237" customFormat="false" ht="12.8" hidden="false" customHeight="false" outlineLevel="0" collapsed="false">
      <c r="A7237" s="0" t="s">
        <v>12</v>
      </c>
      <c r="B7237" s="0" t="n">
        <v>2313006</v>
      </c>
      <c r="C7237" s="0" t="n">
        <v>2313026</v>
      </c>
      <c r="D7237" s="0" t="s">
        <v>24083</v>
      </c>
      <c r="E7237" s="0" t="s">
        <v>24084</v>
      </c>
      <c r="F7237" s="0" t="s">
        <v>15</v>
      </c>
      <c r="G7237" s="0" t="s">
        <v>32</v>
      </c>
      <c r="H7237" s="0" t="n">
        <v>1</v>
      </c>
      <c r="I7237" s="0" t="s">
        <v>24085</v>
      </c>
      <c r="J7237" s="0" t="s">
        <v>24086</v>
      </c>
      <c r="K7237" s="0" t="s">
        <v>24087</v>
      </c>
      <c r="L7237" s="0" t="str">
        <f aca="false">HYPERLINK("https://www.ncbi.nlm.nih.gov/nuccore/CP000058.1?report=graph&amp;tracks=[key:gene_model_track,Options:GeneOnly]&amp;mk=2313007:2313026|offset_1|00cc00,2313079:2313098|offset_73|444444,2313109:2313128|offset_103|444444,2313193:2313212|offset_187|444444&amp;v=2312806:2313412&amp;c=444444", "offset 1")</f>
        <v>offset 1</v>
      </c>
    </row>
    <row r="7238" customFormat="false" ht="12.8" hidden="false" customHeight="false" outlineLevel="0" collapsed="false">
      <c r="A7238" s="0" t="s">
        <v>12</v>
      </c>
      <c r="B7238" s="0" t="n">
        <v>2313078</v>
      </c>
      <c r="C7238" s="0" t="n">
        <v>2313098</v>
      </c>
      <c r="D7238" s="0" t="s">
        <v>24083</v>
      </c>
      <c r="E7238" s="0" t="s">
        <v>24084</v>
      </c>
      <c r="F7238" s="0" t="s">
        <v>15</v>
      </c>
      <c r="G7238" s="0" t="s">
        <v>16</v>
      </c>
      <c r="H7238" s="0" t="n">
        <v>73</v>
      </c>
      <c r="I7238" s="0" t="s">
        <v>24088</v>
      </c>
      <c r="J7238" s="0" t="s">
        <v>24089</v>
      </c>
      <c r="K7238" s="0" t="s">
        <v>24090</v>
      </c>
      <c r="L7238" s="0" t="str">
        <f aca="false">HYPERLINK("https://www.ncbi.nlm.nih.gov/nuccore/CP000058.1?report=graph&amp;tracks=[key:gene_model_track,Options:GeneOnly]&amp;mk=2313007:2313026|offset_1|444444,2313079:2313098|offset_73|00cc00,2313109:2313128|offset_103|444444,2313193:2313212|offset_187|444444&amp;v=2312806:2313412&amp;c=444444", "offset 73")</f>
        <v>offset 73</v>
      </c>
    </row>
    <row r="7239" customFormat="false" ht="12.8" hidden="false" customHeight="false" outlineLevel="0" collapsed="false">
      <c r="A7239" s="0" t="s">
        <v>12</v>
      </c>
      <c r="B7239" s="0" t="n">
        <v>2313108</v>
      </c>
      <c r="C7239" s="0" t="n">
        <v>2313128</v>
      </c>
      <c r="D7239" s="0" t="s">
        <v>24083</v>
      </c>
      <c r="E7239" s="0" t="s">
        <v>24084</v>
      </c>
      <c r="F7239" s="0" t="s">
        <v>15</v>
      </c>
      <c r="G7239" s="0" t="s">
        <v>32</v>
      </c>
      <c r="H7239" s="0" t="n">
        <v>103</v>
      </c>
      <c r="I7239" s="0" t="s">
        <v>24091</v>
      </c>
      <c r="J7239" s="0" t="s">
        <v>24092</v>
      </c>
      <c r="K7239" s="0" t="s">
        <v>24093</v>
      </c>
      <c r="L7239" s="0" t="str">
        <f aca="false">HYPERLINK("https://www.ncbi.nlm.nih.gov/nuccore/CP000058.1?report=graph&amp;tracks=[key:gene_model_track,Options:GeneOnly]&amp;mk=2313007:2313026|offset_1|444444,2313079:2313098|offset_73|444444,2313109:2313128|offset_103|00cc00,2313193:2313212|offset_187|444444&amp;v=2312806:2313412&amp;c=444444", "offset 103")</f>
        <v>offset 103</v>
      </c>
    </row>
    <row r="7240" customFormat="false" ht="12.8" hidden="false" customHeight="false" outlineLevel="0" collapsed="false">
      <c r="A7240" s="0" t="s">
        <v>12</v>
      </c>
      <c r="B7240" s="0" t="n">
        <v>2313192</v>
      </c>
      <c r="C7240" s="0" t="n">
        <v>2313212</v>
      </c>
      <c r="D7240" s="0" t="s">
        <v>24083</v>
      </c>
      <c r="E7240" s="0" t="s">
        <v>24084</v>
      </c>
      <c r="F7240" s="0" t="s">
        <v>15</v>
      </c>
      <c r="G7240" s="0" t="s">
        <v>32</v>
      </c>
      <c r="H7240" s="0" t="n">
        <v>187</v>
      </c>
      <c r="I7240" s="0" t="s">
        <v>24094</v>
      </c>
      <c r="J7240" s="0" t="s">
        <v>24095</v>
      </c>
      <c r="K7240" s="0" t="s">
        <v>24096</v>
      </c>
      <c r="L7240" s="0" t="str">
        <f aca="false">HYPERLINK("https://www.ncbi.nlm.nih.gov/nuccore/CP000058.1?report=graph&amp;tracks=[key:gene_model_track,Options:GeneOnly]&amp;mk=2313007:2313026|offset_1|444444,2313079:2313098|offset_73|444444,2313109:2313128|offset_103|444444,2313193:2313212|offset_187|00cc00&amp;v=2312806:2313412&amp;c=444444", "offset 187")</f>
        <v>offset 187</v>
      </c>
    </row>
    <row r="7241" customFormat="false" ht="12.8" hidden="false" customHeight="false" outlineLevel="0" collapsed="false">
      <c r="A7241" s="0" t="s">
        <v>12</v>
      </c>
      <c r="B7241" s="0" t="n">
        <v>2313766</v>
      </c>
      <c r="C7241" s="0" t="n">
        <v>2313786</v>
      </c>
      <c r="D7241" s="0" t="s">
        <v>24097</v>
      </c>
      <c r="E7241" s="0" t="s">
        <v>24098</v>
      </c>
      <c r="F7241" s="0" t="s">
        <v>15</v>
      </c>
      <c r="G7241" s="0" t="s">
        <v>20</v>
      </c>
      <c r="H7241" s="0" t="n">
        <v>11</v>
      </c>
      <c r="I7241" s="0" t="s">
        <v>24099</v>
      </c>
      <c r="J7241" s="0" t="s">
        <v>24100</v>
      </c>
      <c r="K7241" s="0" t="s">
        <v>24101</v>
      </c>
      <c r="L7241" s="0" t="str">
        <f aca="false">HYPERLINK("https://www.ncbi.nlm.nih.gov/nuccore/CP000058.1?report=graph&amp;tracks=[key:gene_model_track,Options:GeneOnly]&amp;mk=2313767:2313786|offset_11|00cc00,2313796:2313815|offset_40|444444,2313820:2313839|offset_64|444444,2313854:2313873|offset_98|444444&amp;v=2313566:2314073&amp;c=444444", "offset 11")</f>
        <v>offset 11</v>
      </c>
    </row>
    <row r="7242" customFormat="false" ht="12.8" hidden="false" customHeight="false" outlineLevel="0" collapsed="false">
      <c r="A7242" s="0" t="s">
        <v>12</v>
      </c>
      <c r="B7242" s="0" t="n">
        <v>2313795</v>
      </c>
      <c r="C7242" s="0" t="n">
        <v>2313815</v>
      </c>
      <c r="D7242" s="0" t="s">
        <v>24097</v>
      </c>
      <c r="E7242" s="0" t="s">
        <v>24098</v>
      </c>
      <c r="F7242" s="0" t="s">
        <v>15</v>
      </c>
      <c r="G7242" s="0" t="s">
        <v>16</v>
      </c>
      <c r="H7242" s="0" t="n">
        <v>40</v>
      </c>
      <c r="I7242" s="0" t="s">
        <v>24102</v>
      </c>
      <c r="J7242" s="0" t="s">
        <v>24103</v>
      </c>
      <c r="K7242" s="0" t="s">
        <v>24104</v>
      </c>
      <c r="L7242" s="0" t="str">
        <f aca="false">HYPERLINK("https://www.ncbi.nlm.nih.gov/nuccore/CP000058.1?report=graph&amp;tracks=[key:gene_model_track,Options:GeneOnly]&amp;mk=2313767:2313786|offset_11|444444,2313796:2313815|offset_40|00cc00,2313820:2313839|offset_64|444444,2313854:2313873|offset_98|444444&amp;v=2313566:2314073&amp;c=444444", "offset 40")</f>
        <v>offset 40</v>
      </c>
    </row>
    <row r="7243" customFormat="false" ht="12.8" hidden="false" customHeight="false" outlineLevel="0" collapsed="false">
      <c r="A7243" s="0" t="s">
        <v>12</v>
      </c>
      <c r="B7243" s="0" t="n">
        <v>2313819</v>
      </c>
      <c r="C7243" s="0" t="n">
        <v>2313839</v>
      </c>
      <c r="D7243" s="0" t="s">
        <v>24097</v>
      </c>
      <c r="E7243" s="0" t="s">
        <v>24098</v>
      </c>
      <c r="F7243" s="0" t="s">
        <v>15</v>
      </c>
      <c r="G7243" s="0" t="s">
        <v>36</v>
      </c>
      <c r="H7243" s="0" t="n">
        <v>64</v>
      </c>
      <c r="I7243" s="0" t="s">
        <v>24105</v>
      </c>
      <c r="J7243" s="0" t="s">
        <v>24106</v>
      </c>
      <c r="K7243" s="0" t="s">
        <v>24107</v>
      </c>
      <c r="L7243" s="0" t="str">
        <f aca="false">HYPERLINK("https://www.ncbi.nlm.nih.gov/nuccore/CP000058.1?report=graph&amp;tracks=[key:gene_model_track,Options:GeneOnly]&amp;mk=2313767:2313786|offset_11|444444,2313796:2313815|offset_40|444444,2313820:2313839|offset_64|00cc00,2313854:2313873|offset_98|444444&amp;v=2313566:2314073&amp;c=444444", "offset 64")</f>
        <v>offset 64</v>
      </c>
    </row>
    <row r="7244" customFormat="false" ht="12.8" hidden="false" customHeight="false" outlineLevel="0" collapsed="false">
      <c r="A7244" s="0" t="s">
        <v>12</v>
      </c>
      <c r="B7244" s="0" t="n">
        <v>2313853</v>
      </c>
      <c r="C7244" s="0" t="n">
        <v>2313873</v>
      </c>
      <c r="D7244" s="0" t="s">
        <v>24097</v>
      </c>
      <c r="E7244" s="0" t="s">
        <v>24098</v>
      </c>
      <c r="F7244" s="0" t="s">
        <v>15</v>
      </c>
      <c r="G7244" s="0" t="s">
        <v>32</v>
      </c>
      <c r="H7244" s="0" t="n">
        <v>98</v>
      </c>
      <c r="I7244" s="0" t="s">
        <v>24108</v>
      </c>
      <c r="J7244" s="0" t="s">
        <v>24109</v>
      </c>
      <c r="K7244" s="0" t="s">
        <v>24110</v>
      </c>
      <c r="L7244" s="0" t="str">
        <f aca="false">HYPERLINK("https://www.ncbi.nlm.nih.gov/nuccore/CP000058.1?report=graph&amp;tracks=[key:gene_model_track,Options:GeneOnly]&amp;mk=2313767:2313786|offset_11|444444,2313796:2313815|offset_40|444444,2313820:2313839|offset_64|444444,2313854:2313873|offset_98|00cc00&amp;v=2313566:2314073&amp;c=444444", "offset 98")</f>
        <v>offset 98</v>
      </c>
    </row>
    <row r="7245" customFormat="false" ht="12.8" hidden="false" customHeight="false" outlineLevel="0" collapsed="false">
      <c r="A7245" s="0" t="s">
        <v>12</v>
      </c>
      <c r="B7245" s="0" t="n">
        <v>2314816</v>
      </c>
      <c r="C7245" s="0" t="n">
        <v>2314836</v>
      </c>
      <c r="D7245" s="0" t="s">
        <v>24111</v>
      </c>
      <c r="E7245" s="0" t="s">
        <v>75</v>
      </c>
      <c r="F7245" s="0" t="s">
        <v>15</v>
      </c>
      <c r="G7245" s="0" t="s">
        <v>36</v>
      </c>
      <c r="H7245" s="0" t="n">
        <v>12</v>
      </c>
      <c r="I7245" s="0" t="s">
        <v>24112</v>
      </c>
      <c r="J7245" s="0" t="s">
        <v>24113</v>
      </c>
      <c r="K7245" s="0" t="s">
        <v>24114</v>
      </c>
      <c r="L7245" s="0" t="str">
        <f aca="false">HYPERLINK("https://www.ncbi.nlm.nih.gov/nuccore/CP000058.1?report=graph&amp;tracks=[key:gene_model_track,Options:GeneOnly]&amp;mk=2314817:2314836|offset_12|00cc00,2314859:2314878|offset_54|444444,2314905:2314924|offset_100|444444,2314925:2314944|offset_120|444444&amp;v=2314616:2315144&amp;c=444444", "offset 12")</f>
        <v>offset 12</v>
      </c>
    </row>
    <row r="7246" customFormat="false" ht="12.8" hidden="false" customHeight="false" outlineLevel="0" collapsed="false">
      <c r="A7246" s="0" t="s">
        <v>12</v>
      </c>
      <c r="B7246" s="0" t="n">
        <v>2314858</v>
      </c>
      <c r="C7246" s="0" t="n">
        <v>2314878</v>
      </c>
      <c r="D7246" s="0" t="s">
        <v>24111</v>
      </c>
      <c r="E7246" s="0" t="s">
        <v>75</v>
      </c>
      <c r="F7246" s="0" t="s">
        <v>15</v>
      </c>
      <c r="G7246" s="0" t="s">
        <v>16</v>
      </c>
      <c r="H7246" s="0" t="n">
        <v>54</v>
      </c>
      <c r="I7246" s="0" t="s">
        <v>24115</v>
      </c>
      <c r="J7246" s="0" t="s">
        <v>24116</v>
      </c>
      <c r="K7246" s="0" t="s">
        <v>24117</v>
      </c>
      <c r="L7246" s="0" t="str">
        <f aca="false">HYPERLINK("https://www.ncbi.nlm.nih.gov/nuccore/CP000058.1?report=graph&amp;tracks=[key:gene_model_track,Options:GeneOnly]&amp;mk=2314817:2314836|offset_12|444444,2314859:2314878|offset_54|00cc00,2314905:2314924|offset_100|444444,2314925:2314944|offset_120|444444&amp;v=2314616:2315144&amp;c=444444", "offset 54")</f>
        <v>offset 54</v>
      </c>
    </row>
    <row r="7247" customFormat="false" ht="12.8" hidden="false" customHeight="false" outlineLevel="0" collapsed="false">
      <c r="A7247" s="0" t="s">
        <v>12</v>
      </c>
      <c r="B7247" s="0" t="n">
        <v>2314904</v>
      </c>
      <c r="C7247" s="0" t="n">
        <v>2314924</v>
      </c>
      <c r="D7247" s="0" t="s">
        <v>24111</v>
      </c>
      <c r="E7247" s="0" t="s">
        <v>75</v>
      </c>
      <c r="F7247" s="0" t="s">
        <v>15</v>
      </c>
      <c r="G7247" s="0" t="s">
        <v>16</v>
      </c>
      <c r="H7247" s="0" t="n">
        <v>100</v>
      </c>
      <c r="I7247" s="0" t="s">
        <v>24118</v>
      </c>
      <c r="J7247" s="0" t="s">
        <v>24119</v>
      </c>
      <c r="K7247" s="0" t="s">
        <v>24120</v>
      </c>
      <c r="L7247" s="0" t="str">
        <f aca="false">HYPERLINK("https://www.ncbi.nlm.nih.gov/nuccore/CP000058.1?report=graph&amp;tracks=[key:gene_model_track,Options:GeneOnly]&amp;mk=2314817:2314836|offset_12|444444,2314859:2314878|offset_54|444444,2314905:2314924|offset_100|00cc00,2314925:2314944|offset_120|444444&amp;v=2314616:2315144&amp;c=444444", "offset 100")</f>
        <v>offset 100</v>
      </c>
    </row>
    <row r="7248" customFormat="false" ht="12.8" hidden="false" customHeight="false" outlineLevel="0" collapsed="false">
      <c r="A7248" s="0" t="s">
        <v>12</v>
      </c>
      <c r="B7248" s="0" t="n">
        <v>2314924</v>
      </c>
      <c r="C7248" s="0" t="n">
        <v>2314944</v>
      </c>
      <c r="D7248" s="0" t="s">
        <v>24111</v>
      </c>
      <c r="E7248" s="0" t="s">
        <v>75</v>
      </c>
      <c r="F7248" s="0" t="s">
        <v>15</v>
      </c>
      <c r="G7248" s="0" t="s">
        <v>20</v>
      </c>
      <c r="H7248" s="0" t="n">
        <v>120</v>
      </c>
      <c r="I7248" s="0" t="s">
        <v>24121</v>
      </c>
      <c r="J7248" s="0" t="s">
        <v>24122</v>
      </c>
      <c r="K7248" s="0" t="s">
        <v>24123</v>
      </c>
      <c r="L7248" s="0" t="str">
        <f aca="false">HYPERLINK("https://www.ncbi.nlm.nih.gov/nuccore/CP000058.1?report=graph&amp;tracks=[key:gene_model_track,Options:GeneOnly]&amp;mk=2314817:2314836|offset_12|444444,2314859:2314878|offset_54|444444,2314905:2314924|offset_100|444444,2314925:2314944|offset_120|00cc00&amp;v=2314616:2315144&amp;c=444444", "offset 120")</f>
        <v>offset 120</v>
      </c>
    </row>
    <row r="7249" customFormat="false" ht="12.8" hidden="false" customHeight="false" outlineLevel="0" collapsed="false">
      <c r="A7249" s="0" t="s">
        <v>12</v>
      </c>
      <c r="B7249" s="0" t="n">
        <v>2315676</v>
      </c>
      <c r="C7249" s="0" t="n">
        <v>2315696</v>
      </c>
      <c r="D7249" s="0" t="s">
        <v>24124</v>
      </c>
      <c r="E7249" s="0" t="s">
        <v>75</v>
      </c>
      <c r="F7249" s="0" t="s">
        <v>15</v>
      </c>
      <c r="G7249" s="0" t="s">
        <v>32</v>
      </c>
      <c r="H7249" s="0" t="n">
        <v>34</v>
      </c>
      <c r="I7249" s="0" t="s">
        <v>24125</v>
      </c>
      <c r="J7249" s="0" t="s">
        <v>24126</v>
      </c>
      <c r="K7249" s="0" t="s">
        <v>24127</v>
      </c>
      <c r="L7249" s="0" t="str">
        <f aca="false">HYPERLINK("https://www.ncbi.nlm.nih.gov/nuccore/CP000058.1?report=graph&amp;tracks=[key:gene_model_track,Options:GeneOnly]&amp;mk=2315677:2315696|offset_34|00cc00,2315701:2315720|offset_58|444444,2315758:2315777|offset_115|444444,2315787:2315806|offset_144|444444&amp;v=2315476:2316006&amp;c=444444", "offset 34")</f>
        <v>offset 34</v>
      </c>
    </row>
    <row r="7250" customFormat="false" ht="12.8" hidden="false" customHeight="false" outlineLevel="0" collapsed="false">
      <c r="A7250" s="0" t="s">
        <v>12</v>
      </c>
      <c r="B7250" s="0" t="n">
        <v>2315700</v>
      </c>
      <c r="C7250" s="0" t="n">
        <v>2315720</v>
      </c>
      <c r="D7250" s="0" t="s">
        <v>24124</v>
      </c>
      <c r="E7250" s="0" t="s">
        <v>75</v>
      </c>
      <c r="F7250" s="0" t="s">
        <v>15</v>
      </c>
      <c r="G7250" s="0" t="s">
        <v>32</v>
      </c>
      <c r="H7250" s="0" t="n">
        <v>58</v>
      </c>
      <c r="I7250" s="0" t="s">
        <v>24128</v>
      </c>
      <c r="J7250" s="0" t="s">
        <v>24129</v>
      </c>
      <c r="K7250" s="0" t="s">
        <v>24130</v>
      </c>
      <c r="L7250" s="0" t="str">
        <f aca="false">HYPERLINK("https://www.ncbi.nlm.nih.gov/nuccore/CP000058.1?report=graph&amp;tracks=[key:gene_model_track,Options:GeneOnly]&amp;mk=2315677:2315696|offset_34|444444,2315701:2315720|offset_58|00cc00,2315758:2315777|offset_115|444444,2315787:2315806|offset_144|444444&amp;v=2315476:2316006&amp;c=444444", "offset 58")</f>
        <v>offset 58</v>
      </c>
    </row>
    <row r="7251" customFormat="false" ht="12.8" hidden="false" customHeight="false" outlineLevel="0" collapsed="false">
      <c r="A7251" s="0" t="s">
        <v>12</v>
      </c>
      <c r="B7251" s="0" t="n">
        <v>2315757</v>
      </c>
      <c r="C7251" s="0" t="n">
        <v>2315777</v>
      </c>
      <c r="D7251" s="0" t="s">
        <v>24124</v>
      </c>
      <c r="E7251" s="0" t="s">
        <v>75</v>
      </c>
      <c r="F7251" s="0" t="s">
        <v>15</v>
      </c>
      <c r="G7251" s="0" t="s">
        <v>32</v>
      </c>
      <c r="H7251" s="0" t="n">
        <v>115</v>
      </c>
      <c r="I7251" s="0" t="s">
        <v>24131</v>
      </c>
      <c r="J7251" s="0" t="s">
        <v>24132</v>
      </c>
      <c r="K7251" s="0" t="s">
        <v>24133</v>
      </c>
      <c r="L7251" s="0" t="str">
        <f aca="false">HYPERLINK("https://www.ncbi.nlm.nih.gov/nuccore/CP000058.1?report=graph&amp;tracks=[key:gene_model_track,Options:GeneOnly]&amp;mk=2315677:2315696|offset_34|444444,2315701:2315720|offset_58|444444,2315758:2315777|offset_115|00cc00,2315787:2315806|offset_144|444444&amp;v=2315476:2316006&amp;c=444444", "offset 115")</f>
        <v>offset 115</v>
      </c>
    </row>
    <row r="7252" customFormat="false" ht="12.8" hidden="false" customHeight="false" outlineLevel="0" collapsed="false">
      <c r="A7252" s="0" t="s">
        <v>12</v>
      </c>
      <c r="B7252" s="0" t="n">
        <v>2315786</v>
      </c>
      <c r="C7252" s="0" t="n">
        <v>2315806</v>
      </c>
      <c r="D7252" s="0" t="s">
        <v>24124</v>
      </c>
      <c r="E7252" s="0" t="s">
        <v>75</v>
      </c>
      <c r="F7252" s="0" t="s">
        <v>15</v>
      </c>
      <c r="G7252" s="0" t="s">
        <v>36</v>
      </c>
      <c r="H7252" s="0" t="n">
        <v>144</v>
      </c>
      <c r="I7252" s="0" t="s">
        <v>24134</v>
      </c>
      <c r="J7252" s="0" t="s">
        <v>24135</v>
      </c>
      <c r="K7252" s="0" t="s">
        <v>24136</v>
      </c>
      <c r="L7252" s="0" t="str">
        <f aca="false">HYPERLINK("https://www.ncbi.nlm.nih.gov/nuccore/CP000058.1?report=graph&amp;tracks=[key:gene_model_track,Options:GeneOnly]&amp;mk=2315677:2315696|offset_34|444444,2315701:2315720|offset_58|444444,2315758:2315777|offset_115|444444,2315787:2315806|offset_144|00cc00&amp;v=2315476:2316006&amp;c=444444", "offset 144")</f>
        <v>offset 144</v>
      </c>
    </row>
    <row r="7253" customFormat="false" ht="12.8" hidden="false" customHeight="false" outlineLevel="0" collapsed="false">
      <c r="A7253" s="0" t="s">
        <v>12</v>
      </c>
      <c r="B7253" s="0" t="n">
        <v>2316000</v>
      </c>
      <c r="C7253" s="0" t="n">
        <v>2316020</v>
      </c>
      <c r="D7253" s="0" t="s">
        <v>24137</v>
      </c>
      <c r="E7253" s="0" t="s">
        <v>75</v>
      </c>
      <c r="F7253" s="0" t="s">
        <v>15</v>
      </c>
      <c r="G7253" s="0" t="s">
        <v>16</v>
      </c>
      <c r="H7253" s="0" t="n">
        <v>8</v>
      </c>
      <c r="I7253" s="0" t="s">
        <v>24138</v>
      </c>
      <c r="J7253" s="0" t="s">
        <v>24139</v>
      </c>
      <c r="K7253" s="0" t="s">
        <v>24140</v>
      </c>
      <c r="L7253" s="0" t="str">
        <f aca="false">HYPERLINK("https://www.ncbi.nlm.nih.gov/nuccore/CP000058.1?report=graph&amp;tracks=[key:gene_model_track,Options:GeneOnly]&amp;mk=2316001:2316020|offset_8|00cc00,2316028:2316047|offset_35|444444,2316049:2316068|offset_56|444444,2316087:2316106|offset_94|444444&amp;v=2315800:2316306&amp;c=444444", "offset 8")</f>
        <v>offset 8</v>
      </c>
    </row>
    <row r="7254" customFormat="false" ht="12.8" hidden="false" customHeight="false" outlineLevel="0" collapsed="false">
      <c r="A7254" s="0" t="s">
        <v>12</v>
      </c>
      <c r="B7254" s="0" t="n">
        <v>2316027</v>
      </c>
      <c r="C7254" s="0" t="n">
        <v>2316047</v>
      </c>
      <c r="D7254" s="0" t="s">
        <v>24137</v>
      </c>
      <c r="E7254" s="0" t="s">
        <v>75</v>
      </c>
      <c r="F7254" s="0" t="s">
        <v>15</v>
      </c>
      <c r="G7254" s="0" t="s">
        <v>20</v>
      </c>
      <c r="H7254" s="0" t="n">
        <v>35</v>
      </c>
      <c r="I7254" s="0" t="s">
        <v>24141</v>
      </c>
      <c r="J7254" s="0" t="s">
        <v>24142</v>
      </c>
      <c r="K7254" s="0" t="s">
        <v>24143</v>
      </c>
      <c r="L7254" s="0" t="str">
        <f aca="false">HYPERLINK("https://www.ncbi.nlm.nih.gov/nuccore/CP000058.1?report=graph&amp;tracks=[key:gene_model_track,Options:GeneOnly]&amp;mk=2316001:2316020|offset_8|444444,2316028:2316047|offset_35|00cc00,2316049:2316068|offset_56|444444,2316087:2316106|offset_94|444444&amp;v=2315800:2316306&amp;c=444444", "offset 35")</f>
        <v>offset 35</v>
      </c>
    </row>
    <row r="7255" customFormat="false" ht="12.8" hidden="false" customHeight="false" outlineLevel="0" collapsed="false">
      <c r="A7255" s="0" t="s">
        <v>12</v>
      </c>
      <c r="B7255" s="0" t="n">
        <v>2316048</v>
      </c>
      <c r="C7255" s="0" t="n">
        <v>2316068</v>
      </c>
      <c r="D7255" s="0" t="s">
        <v>24137</v>
      </c>
      <c r="E7255" s="0" t="s">
        <v>75</v>
      </c>
      <c r="F7255" s="0" t="s">
        <v>15</v>
      </c>
      <c r="G7255" s="0" t="s">
        <v>20</v>
      </c>
      <c r="H7255" s="0" t="n">
        <v>56</v>
      </c>
      <c r="I7255" s="0" t="s">
        <v>24144</v>
      </c>
      <c r="J7255" s="0" t="s">
        <v>24145</v>
      </c>
      <c r="K7255" s="0" t="s">
        <v>24146</v>
      </c>
      <c r="L7255" s="0" t="str">
        <f aca="false">HYPERLINK("https://www.ncbi.nlm.nih.gov/nuccore/CP000058.1?report=graph&amp;tracks=[key:gene_model_track,Options:GeneOnly]&amp;mk=2316001:2316020|offset_8|444444,2316028:2316047|offset_35|444444,2316049:2316068|offset_56|00cc00,2316087:2316106|offset_94|444444&amp;v=2315800:2316306&amp;c=444444", "offset 56")</f>
        <v>offset 56</v>
      </c>
    </row>
    <row r="7256" customFormat="false" ht="12.8" hidden="false" customHeight="false" outlineLevel="0" collapsed="false">
      <c r="A7256" s="0" t="s">
        <v>12</v>
      </c>
      <c r="B7256" s="0" t="n">
        <v>2316086</v>
      </c>
      <c r="C7256" s="0" t="n">
        <v>2316106</v>
      </c>
      <c r="D7256" s="0" t="s">
        <v>24137</v>
      </c>
      <c r="E7256" s="0" t="s">
        <v>75</v>
      </c>
      <c r="F7256" s="0" t="s">
        <v>15</v>
      </c>
      <c r="G7256" s="0" t="s">
        <v>20</v>
      </c>
      <c r="H7256" s="0" t="n">
        <v>94</v>
      </c>
      <c r="I7256" s="0" t="s">
        <v>24147</v>
      </c>
      <c r="J7256" s="0" t="s">
        <v>24148</v>
      </c>
      <c r="K7256" s="0" t="s">
        <v>24149</v>
      </c>
      <c r="L7256" s="0" t="str">
        <f aca="false">HYPERLINK("https://www.ncbi.nlm.nih.gov/nuccore/CP000058.1?report=graph&amp;tracks=[key:gene_model_track,Options:GeneOnly]&amp;mk=2316001:2316020|offset_8|444444,2316028:2316047|offset_35|444444,2316049:2316068|offset_56|444444,2316087:2316106|offset_94|00cc00&amp;v=2315800:2316306&amp;c=444444", "offset 94")</f>
        <v>offset 94</v>
      </c>
    </row>
    <row r="7257" customFormat="false" ht="12.8" hidden="false" customHeight="false" outlineLevel="0" collapsed="false">
      <c r="A7257" s="0" t="s">
        <v>12</v>
      </c>
      <c r="B7257" s="0" t="n">
        <v>2317032</v>
      </c>
      <c r="C7257" s="0" t="n">
        <v>2317052</v>
      </c>
      <c r="D7257" s="0" t="s">
        <v>24150</v>
      </c>
      <c r="E7257" s="0" t="s">
        <v>75</v>
      </c>
      <c r="F7257" s="0" t="s">
        <v>15</v>
      </c>
      <c r="G7257" s="0" t="s">
        <v>32</v>
      </c>
      <c r="H7257" s="0" t="n">
        <v>7</v>
      </c>
      <c r="I7257" s="0" t="s">
        <v>24151</v>
      </c>
      <c r="J7257" s="0" t="s">
        <v>24152</v>
      </c>
      <c r="K7257" s="0" t="s">
        <v>24153</v>
      </c>
      <c r="L7257" s="0" t="str">
        <f aca="false">HYPERLINK("https://www.ncbi.nlm.nih.gov/nuccore/CP000058.1?report=graph&amp;tracks=[key:gene_model_track,Options:GeneOnly]&amp;mk=2317033:2317052|offset_7|00cc00,2317060:2317079|offset_34|444444,2317101:2317120|offset_75|444444,2317154:2317173|offset_128|444444&amp;v=2316832:2317373&amp;c=444444", "offset 7")</f>
        <v>offset 7</v>
      </c>
    </row>
    <row r="7258" customFormat="false" ht="12.8" hidden="false" customHeight="false" outlineLevel="0" collapsed="false">
      <c r="A7258" s="0" t="s">
        <v>12</v>
      </c>
      <c r="B7258" s="0" t="n">
        <v>2317059</v>
      </c>
      <c r="C7258" s="0" t="n">
        <v>2317079</v>
      </c>
      <c r="D7258" s="0" t="s">
        <v>24150</v>
      </c>
      <c r="E7258" s="0" t="s">
        <v>75</v>
      </c>
      <c r="F7258" s="0" t="s">
        <v>15</v>
      </c>
      <c r="G7258" s="0" t="s">
        <v>36</v>
      </c>
      <c r="H7258" s="0" t="n">
        <v>34</v>
      </c>
      <c r="I7258" s="0" t="s">
        <v>24154</v>
      </c>
      <c r="J7258" s="0" t="s">
        <v>24155</v>
      </c>
      <c r="K7258" s="0" t="s">
        <v>24156</v>
      </c>
      <c r="L7258" s="0" t="str">
        <f aca="false">HYPERLINK("https://www.ncbi.nlm.nih.gov/nuccore/CP000058.1?report=graph&amp;tracks=[key:gene_model_track,Options:GeneOnly]&amp;mk=2317033:2317052|offset_7|444444,2317060:2317079|offset_34|00cc00,2317101:2317120|offset_75|444444,2317154:2317173|offset_128|444444&amp;v=2316832:2317373&amp;c=444444", "offset 34")</f>
        <v>offset 34</v>
      </c>
    </row>
    <row r="7259" customFormat="false" ht="12.8" hidden="false" customHeight="false" outlineLevel="0" collapsed="false">
      <c r="A7259" s="0" t="s">
        <v>12</v>
      </c>
      <c r="B7259" s="0" t="n">
        <v>2317100</v>
      </c>
      <c r="C7259" s="0" t="n">
        <v>2317120</v>
      </c>
      <c r="D7259" s="0" t="s">
        <v>24150</v>
      </c>
      <c r="E7259" s="0" t="s">
        <v>75</v>
      </c>
      <c r="F7259" s="0" t="s">
        <v>15</v>
      </c>
      <c r="G7259" s="0" t="s">
        <v>36</v>
      </c>
      <c r="H7259" s="0" t="n">
        <v>75</v>
      </c>
      <c r="I7259" s="0" t="s">
        <v>24157</v>
      </c>
      <c r="J7259" s="0" t="s">
        <v>24158</v>
      </c>
      <c r="K7259" s="0" t="s">
        <v>24159</v>
      </c>
      <c r="L7259" s="0" t="str">
        <f aca="false">HYPERLINK("https://www.ncbi.nlm.nih.gov/nuccore/CP000058.1?report=graph&amp;tracks=[key:gene_model_track,Options:GeneOnly]&amp;mk=2317033:2317052|offset_7|444444,2317060:2317079|offset_34|444444,2317101:2317120|offset_75|00cc00,2317154:2317173|offset_128|444444&amp;v=2316832:2317373&amp;c=444444", "offset 75")</f>
        <v>offset 75</v>
      </c>
    </row>
    <row r="7260" customFormat="false" ht="12.8" hidden="false" customHeight="false" outlineLevel="0" collapsed="false">
      <c r="A7260" s="0" t="s">
        <v>12</v>
      </c>
      <c r="B7260" s="0" t="n">
        <v>2317153</v>
      </c>
      <c r="C7260" s="0" t="n">
        <v>2317173</v>
      </c>
      <c r="D7260" s="0" t="s">
        <v>24150</v>
      </c>
      <c r="E7260" s="0" t="s">
        <v>75</v>
      </c>
      <c r="F7260" s="0" t="s">
        <v>15</v>
      </c>
      <c r="G7260" s="0" t="s">
        <v>32</v>
      </c>
      <c r="H7260" s="0" t="n">
        <v>128</v>
      </c>
      <c r="I7260" s="0" t="s">
        <v>24160</v>
      </c>
      <c r="J7260" s="0" t="s">
        <v>24161</v>
      </c>
      <c r="K7260" s="0" t="s">
        <v>24162</v>
      </c>
      <c r="L7260" s="0" t="str">
        <f aca="false">HYPERLINK("https://www.ncbi.nlm.nih.gov/nuccore/CP000058.1?report=graph&amp;tracks=[key:gene_model_track,Options:GeneOnly]&amp;mk=2317033:2317052|offset_7|444444,2317060:2317079|offset_34|444444,2317101:2317120|offset_75|444444,2317154:2317173|offset_128|00cc00&amp;v=2316832:2317373&amp;c=444444", "offset 128")</f>
        <v>offset 128</v>
      </c>
    </row>
    <row r="7261" customFormat="false" ht="12.8" hidden="false" customHeight="false" outlineLevel="0" collapsed="false">
      <c r="A7261" s="0" t="s">
        <v>12</v>
      </c>
      <c r="B7261" s="0" t="n">
        <v>2318519</v>
      </c>
      <c r="C7261" s="0" t="n">
        <v>2318539</v>
      </c>
      <c r="D7261" s="0" t="s">
        <v>24163</v>
      </c>
      <c r="E7261" s="0" t="s">
        <v>75</v>
      </c>
      <c r="F7261" s="0" t="s">
        <v>15</v>
      </c>
      <c r="G7261" s="0" t="s">
        <v>20</v>
      </c>
      <c r="H7261" s="0" t="n">
        <v>40</v>
      </c>
      <c r="I7261" s="0" t="s">
        <v>24164</v>
      </c>
      <c r="J7261" s="0" t="s">
        <v>24165</v>
      </c>
      <c r="K7261" s="0" t="s">
        <v>24166</v>
      </c>
      <c r="L7261" s="0" t="str">
        <f aca="false">HYPERLINK("https://www.ncbi.nlm.nih.gov/nuccore/CP000058.1?report=graph&amp;tracks=[key:gene_model_track,Options:GeneOnly]&amp;mk=2318520:2318539|offset_40|00cc00,2318542:2318561|offset_62|444444,2318570:2318589|offset_90|444444,2318650:2318669|offset_170|444444&amp;v=2318319:2318869&amp;c=444444", "offset 40")</f>
        <v>offset 40</v>
      </c>
    </row>
    <row r="7262" customFormat="false" ht="12.8" hidden="false" customHeight="false" outlineLevel="0" collapsed="false">
      <c r="A7262" s="0" t="s">
        <v>12</v>
      </c>
      <c r="B7262" s="0" t="n">
        <v>2318541</v>
      </c>
      <c r="C7262" s="0" t="n">
        <v>2318561</v>
      </c>
      <c r="D7262" s="0" t="s">
        <v>24163</v>
      </c>
      <c r="E7262" s="0" t="s">
        <v>75</v>
      </c>
      <c r="F7262" s="0" t="s">
        <v>15</v>
      </c>
      <c r="G7262" s="0" t="s">
        <v>20</v>
      </c>
      <c r="H7262" s="0" t="n">
        <v>62</v>
      </c>
      <c r="I7262" s="0" t="s">
        <v>24167</v>
      </c>
      <c r="J7262" s="0" t="s">
        <v>24168</v>
      </c>
      <c r="K7262" s="0" t="s">
        <v>24169</v>
      </c>
      <c r="L7262" s="0" t="str">
        <f aca="false">HYPERLINK("https://www.ncbi.nlm.nih.gov/nuccore/CP000058.1?report=graph&amp;tracks=[key:gene_model_track,Options:GeneOnly]&amp;mk=2318520:2318539|offset_40|444444,2318542:2318561|offset_62|00cc00,2318570:2318589|offset_90|444444,2318650:2318669|offset_170|444444&amp;v=2318319:2318869&amp;c=444444", "offset 62")</f>
        <v>offset 62</v>
      </c>
    </row>
    <row r="7263" customFormat="false" ht="12.8" hidden="false" customHeight="false" outlineLevel="0" collapsed="false">
      <c r="A7263" s="0" t="s">
        <v>12</v>
      </c>
      <c r="B7263" s="0" t="n">
        <v>2318569</v>
      </c>
      <c r="C7263" s="0" t="n">
        <v>2318589</v>
      </c>
      <c r="D7263" s="0" t="s">
        <v>24163</v>
      </c>
      <c r="E7263" s="0" t="s">
        <v>75</v>
      </c>
      <c r="F7263" s="0" t="s">
        <v>15</v>
      </c>
      <c r="G7263" s="0" t="s">
        <v>20</v>
      </c>
      <c r="H7263" s="0" t="n">
        <v>90</v>
      </c>
      <c r="I7263" s="0" t="s">
        <v>24170</v>
      </c>
      <c r="J7263" s="0" t="s">
        <v>24171</v>
      </c>
      <c r="K7263" s="0" t="s">
        <v>24172</v>
      </c>
      <c r="L7263" s="0" t="str">
        <f aca="false">HYPERLINK("https://www.ncbi.nlm.nih.gov/nuccore/CP000058.1?report=graph&amp;tracks=[key:gene_model_track,Options:GeneOnly]&amp;mk=2318520:2318539|offset_40|444444,2318542:2318561|offset_62|444444,2318570:2318589|offset_90|00cc00,2318650:2318669|offset_170|444444&amp;v=2318319:2318869&amp;c=444444", "offset 90")</f>
        <v>offset 90</v>
      </c>
    </row>
    <row r="7264" customFormat="false" ht="12.8" hidden="false" customHeight="false" outlineLevel="0" collapsed="false">
      <c r="A7264" s="0" t="s">
        <v>12</v>
      </c>
      <c r="B7264" s="0" t="n">
        <v>2318649</v>
      </c>
      <c r="C7264" s="0" t="n">
        <v>2318669</v>
      </c>
      <c r="D7264" s="0" t="s">
        <v>24163</v>
      </c>
      <c r="E7264" s="0" t="s">
        <v>75</v>
      </c>
      <c r="F7264" s="0" t="s">
        <v>15</v>
      </c>
      <c r="G7264" s="0" t="s">
        <v>36</v>
      </c>
      <c r="H7264" s="0" t="n">
        <v>170</v>
      </c>
      <c r="I7264" s="0" t="s">
        <v>24173</v>
      </c>
      <c r="J7264" s="0" t="s">
        <v>24174</v>
      </c>
      <c r="K7264" s="0" t="s">
        <v>24175</v>
      </c>
      <c r="L7264" s="0" t="str">
        <f aca="false">HYPERLINK("https://www.ncbi.nlm.nih.gov/nuccore/CP000058.1?report=graph&amp;tracks=[key:gene_model_track,Options:GeneOnly]&amp;mk=2318520:2318539|offset_40|444444,2318542:2318561|offset_62|444444,2318570:2318589|offset_90|444444,2318650:2318669|offset_170|00cc00&amp;v=2318319:2318869&amp;c=444444", "offset 170")</f>
        <v>offset 170</v>
      </c>
    </row>
    <row r="7265" customFormat="false" ht="12.8" hidden="false" customHeight="false" outlineLevel="0" collapsed="false">
      <c r="A7265" s="0" t="s">
        <v>12</v>
      </c>
      <c r="B7265" s="0" t="n">
        <v>2319328</v>
      </c>
      <c r="C7265" s="0" t="n">
        <v>2319348</v>
      </c>
      <c r="D7265" s="0" t="s">
        <v>24176</v>
      </c>
      <c r="E7265" s="0" t="s">
        <v>75</v>
      </c>
      <c r="F7265" s="0" t="s">
        <v>15</v>
      </c>
      <c r="G7265" s="0" t="s">
        <v>16</v>
      </c>
      <c r="H7265" s="0" t="n">
        <v>11</v>
      </c>
      <c r="I7265" s="0" t="s">
        <v>24177</v>
      </c>
      <c r="J7265" s="0" t="s">
        <v>24178</v>
      </c>
      <c r="K7265" s="0" t="s">
        <v>24179</v>
      </c>
      <c r="L7265" s="0" t="str">
        <f aca="false">HYPERLINK("https://www.ncbi.nlm.nih.gov/nuccore/CP000058.1?report=graph&amp;tracks=[key:gene_model_track,Options:GeneOnly]&amp;mk=2319329:2319348|offset_11|00cc00,2319360:2319379|offset_42|444444,2319381:2319400|offset_63|444444,2319402:2319421|offset_84|444444&amp;v=2319128:2319621&amp;c=444444", "offset 11")</f>
        <v>offset 11</v>
      </c>
    </row>
    <row r="7266" customFormat="false" ht="12.8" hidden="false" customHeight="false" outlineLevel="0" collapsed="false">
      <c r="A7266" s="0" t="s">
        <v>12</v>
      </c>
      <c r="B7266" s="0" t="n">
        <v>2319359</v>
      </c>
      <c r="C7266" s="0" t="n">
        <v>2319379</v>
      </c>
      <c r="D7266" s="0" t="s">
        <v>24176</v>
      </c>
      <c r="E7266" s="0" t="s">
        <v>75</v>
      </c>
      <c r="F7266" s="0" t="s">
        <v>15</v>
      </c>
      <c r="G7266" s="0" t="s">
        <v>20</v>
      </c>
      <c r="H7266" s="0" t="n">
        <v>42</v>
      </c>
      <c r="I7266" s="0" t="s">
        <v>24180</v>
      </c>
      <c r="J7266" s="0" t="s">
        <v>24181</v>
      </c>
      <c r="K7266" s="0" t="s">
        <v>24182</v>
      </c>
      <c r="L7266" s="0" t="str">
        <f aca="false">HYPERLINK("https://www.ncbi.nlm.nih.gov/nuccore/CP000058.1?report=graph&amp;tracks=[key:gene_model_track,Options:GeneOnly]&amp;mk=2319329:2319348|offset_11|444444,2319360:2319379|offset_42|00cc00,2319381:2319400|offset_63|444444,2319402:2319421|offset_84|444444&amp;v=2319128:2319621&amp;c=444444", "offset 42")</f>
        <v>offset 42</v>
      </c>
    </row>
    <row r="7267" customFormat="false" ht="12.8" hidden="false" customHeight="false" outlineLevel="0" collapsed="false">
      <c r="A7267" s="0" t="s">
        <v>12</v>
      </c>
      <c r="B7267" s="0" t="n">
        <v>2319380</v>
      </c>
      <c r="C7267" s="0" t="n">
        <v>2319400</v>
      </c>
      <c r="D7267" s="0" t="s">
        <v>24176</v>
      </c>
      <c r="E7267" s="0" t="s">
        <v>75</v>
      </c>
      <c r="F7267" s="0" t="s">
        <v>15</v>
      </c>
      <c r="G7267" s="0" t="s">
        <v>36</v>
      </c>
      <c r="H7267" s="0" t="n">
        <v>63</v>
      </c>
      <c r="I7267" s="0" t="s">
        <v>24183</v>
      </c>
      <c r="J7267" s="0" t="s">
        <v>24184</v>
      </c>
      <c r="K7267" s="0" t="s">
        <v>24185</v>
      </c>
      <c r="L7267" s="0" t="str">
        <f aca="false">HYPERLINK("https://www.ncbi.nlm.nih.gov/nuccore/CP000058.1?report=graph&amp;tracks=[key:gene_model_track,Options:GeneOnly]&amp;mk=2319329:2319348|offset_11|444444,2319360:2319379|offset_42|444444,2319381:2319400|offset_63|00cc00,2319402:2319421|offset_84|444444&amp;v=2319128:2319621&amp;c=444444", "offset 63")</f>
        <v>offset 63</v>
      </c>
    </row>
    <row r="7268" customFormat="false" ht="12.8" hidden="false" customHeight="false" outlineLevel="0" collapsed="false">
      <c r="A7268" s="0" t="s">
        <v>12</v>
      </c>
      <c r="B7268" s="0" t="n">
        <v>2319401</v>
      </c>
      <c r="C7268" s="0" t="n">
        <v>2319421</v>
      </c>
      <c r="D7268" s="0" t="s">
        <v>24176</v>
      </c>
      <c r="E7268" s="0" t="s">
        <v>75</v>
      </c>
      <c r="F7268" s="0" t="s">
        <v>15</v>
      </c>
      <c r="G7268" s="0" t="s">
        <v>16</v>
      </c>
      <c r="H7268" s="0" t="n">
        <v>84</v>
      </c>
      <c r="I7268" s="0" t="s">
        <v>24186</v>
      </c>
      <c r="J7268" s="0" t="s">
        <v>24187</v>
      </c>
      <c r="K7268" s="0" t="s">
        <v>24188</v>
      </c>
      <c r="L7268" s="0" t="str">
        <f aca="false">HYPERLINK("https://www.ncbi.nlm.nih.gov/nuccore/CP000058.1?report=graph&amp;tracks=[key:gene_model_track,Options:GeneOnly]&amp;mk=2319329:2319348|offset_11|444444,2319360:2319379|offset_42|444444,2319381:2319400|offset_63|444444,2319402:2319421|offset_84|00cc00&amp;v=2319128:2319621&amp;c=444444", "offset 84")</f>
        <v>offset 84</v>
      </c>
    </row>
    <row r="7269" customFormat="false" ht="12.8" hidden="false" customHeight="false" outlineLevel="0" collapsed="false">
      <c r="A7269" s="0" t="s">
        <v>12</v>
      </c>
      <c r="B7269" s="0" t="n">
        <v>2319641</v>
      </c>
      <c r="C7269" s="0" t="n">
        <v>2319661</v>
      </c>
      <c r="D7269" s="0" t="s">
        <v>24189</v>
      </c>
      <c r="E7269" s="0" t="s">
        <v>75</v>
      </c>
      <c r="F7269" s="0" t="s">
        <v>15</v>
      </c>
      <c r="G7269" s="0" t="s">
        <v>16</v>
      </c>
      <c r="H7269" s="0" t="n">
        <v>9</v>
      </c>
      <c r="I7269" s="0" t="s">
        <v>24190</v>
      </c>
      <c r="J7269" s="0" t="s">
        <v>24191</v>
      </c>
      <c r="K7269" s="0" t="s">
        <v>24192</v>
      </c>
      <c r="L7269" s="0" t="str">
        <f aca="false">HYPERLINK("https://www.ncbi.nlm.nih.gov/nuccore/CP000058.1?report=graph&amp;tracks=[key:gene_model_track,Options:GeneOnly]&amp;mk=2319642:2319661|offset_9|00cc00,2319688:2319707|offset_55|444444,2319762:2319781|offset_129|444444,2319808:2319827|offset_175|444444&amp;v=2319441:2320027&amp;c=444444", "offset 9")</f>
        <v>offset 9</v>
      </c>
    </row>
    <row r="7270" customFormat="false" ht="12.8" hidden="false" customHeight="false" outlineLevel="0" collapsed="false">
      <c r="A7270" s="0" t="s">
        <v>12</v>
      </c>
      <c r="B7270" s="0" t="n">
        <v>2319687</v>
      </c>
      <c r="C7270" s="0" t="n">
        <v>2319707</v>
      </c>
      <c r="D7270" s="0" t="s">
        <v>24189</v>
      </c>
      <c r="E7270" s="0" t="s">
        <v>75</v>
      </c>
      <c r="F7270" s="0" t="s">
        <v>15</v>
      </c>
      <c r="G7270" s="0" t="s">
        <v>16</v>
      </c>
      <c r="H7270" s="0" t="n">
        <v>55</v>
      </c>
      <c r="I7270" s="0" t="s">
        <v>24193</v>
      </c>
      <c r="J7270" s="0" t="s">
        <v>24194</v>
      </c>
      <c r="K7270" s="0" t="s">
        <v>24195</v>
      </c>
      <c r="L7270" s="0" t="str">
        <f aca="false">HYPERLINK("https://www.ncbi.nlm.nih.gov/nuccore/CP000058.1?report=graph&amp;tracks=[key:gene_model_track,Options:GeneOnly]&amp;mk=2319642:2319661|offset_9|444444,2319688:2319707|offset_55|00cc00,2319762:2319781|offset_129|444444,2319808:2319827|offset_175|444444&amp;v=2319441:2320027&amp;c=444444", "offset 55")</f>
        <v>offset 55</v>
      </c>
    </row>
    <row r="7271" customFormat="false" ht="12.8" hidden="false" customHeight="false" outlineLevel="0" collapsed="false">
      <c r="A7271" s="0" t="s">
        <v>12</v>
      </c>
      <c r="B7271" s="0" t="n">
        <v>2319761</v>
      </c>
      <c r="C7271" s="0" t="n">
        <v>2319781</v>
      </c>
      <c r="D7271" s="0" t="s">
        <v>24189</v>
      </c>
      <c r="E7271" s="0" t="s">
        <v>75</v>
      </c>
      <c r="F7271" s="0" t="s">
        <v>15</v>
      </c>
      <c r="G7271" s="0" t="s">
        <v>36</v>
      </c>
      <c r="H7271" s="0" t="n">
        <v>129</v>
      </c>
      <c r="I7271" s="0" t="s">
        <v>24196</v>
      </c>
      <c r="J7271" s="0" t="s">
        <v>24197</v>
      </c>
      <c r="K7271" s="0" t="s">
        <v>24198</v>
      </c>
      <c r="L7271" s="0" t="str">
        <f aca="false">HYPERLINK("https://www.ncbi.nlm.nih.gov/nuccore/CP000058.1?report=graph&amp;tracks=[key:gene_model_track,Options:GeneOnly]&amp;mk=2319642:2319661|offset_9|444444,2319688:2319707|offset_55|444444,2319762:2319781|offset_129|00cc00,2319808:2319827|offset_175|444444&amp;v=2319441:2320027&amp;c=444444", "offset 129")</f>
        <v>offset 129</v>
      </c>
    </row>
    <row r="7272" customFormat="false" ht="12.8" hidden="false" customHeight="false" outlineLevel="0" collapsed="false">
      <c r="A7272" s="0" t="s">
        <v>12</v>
      </c>
      <c r="B7272" s="0" t="n">
        <v>2319807</v>
      </c>
      <c r="C7272" s="0" t="n">
        <v>2319827</v>
      </c>
      <c r="D7272" s="0" t="s">
        <v>24189</v>
      </c>
      <c r="E7272" s="0" t="s">
        <v>75</v>
      </c>
      <c r="F7272" s="0" t="s">
        <v>15</v>
      </c>
      <c r="G7272" s="0" t="s">
        <v>32</v>
      </c>
      <c r="H7272" s="0" t="n">
        <v>175</v>
      </c>
      <c r="I7272" s="0" t="s">
        <v>24199</v>
      </c>
      <c r="J7272" s="0" t="s">
        <v>24200</v>
      </c>
      <c r="K7272" s="0" t="s">
        <v>24201</v>
      </c>
      <c r="L7272" s="0" t="str">
        <f aca="false">HYPERLINK("https://www.ncbi.nlm.nih.gov/nuccore/CP000058.1?report=graph&amp;tracks=[key:gene_model_track,Options:GeneOnly]&amp;mk=2319642:2319661|offset_9|444444,2319688:2319707|offset_55|444444,2319762:2319781|offset_129|444444,2319808:2319827|offset_175|00cc00&amp;v=2319441:2320027&amp;c=444444", "offset 175")</f>
        <v>offset 175</v>
      </c>
    </row>
    <row r="7273" customFormat="false" ht="12.8" hidden="false" customHeight="false" outlineLevel="0" collapsed="false">
      <c r="A7273" s="0" t="s">
        <v>12</v>
      </c>
      <c r="B7273" s="0" t="n">
        <v>2320068</v>
      </c>
      <c r="C7273" s="0" t="n">
        <v>2320088</v>
      </c>
      <c r="D7273" s="0" t="s">
        <v>24202</v>
      </c>
      <c r="E7273" s="0" t="s">
        <v>75</v>
      </c>
      <c r="F7273" s="0" t="s">
        <v>15</v>
      </c>
      <c r="G7273" s="0" t="s">
        <v>16</v>
      </c>
      <c r="H7273" s="0" t="n">
        <v>13</v>
      </c>
      <c r="I7273" s="0" t="s">
        <v>24203</v>
      </c>
      <c r="J7273" s="0" t="s">
        <v>24204</v>
      </c>
      <c r="K7273" s="0" t="s">
        <v>24205</v>
      </c>
      <c r="L7273" s="0" t="str">
        <f aca="false">HYPERLINK("https://www.ncbi.nlm.nih.gov/nuccore/CP000058.1?report=graph&amp;tracks=[key:gene_model_track,Options:GeneOnly]&amp;mk=2320069:2320088|offset_13|00cc00,2320098:2320117|offset_42|444444,2320126:2320145|offset_70|444444,2320146:2320165|offset_90|444444&amp;v=2319868:2320365&amp;c=444444", "offset 13")</f>
        <v>offset 13</v>
      </c>
    </row>
    <row r="7274" customFormat="false" ht="12.8" hidden="false" customHeight="false" outlineLevel="0" collapsed="false">
      <c r="A7274" s="0" t="s">
        <v>12</v>
      </c>
      <c r="B7274" s="0" t="n">
        <v>2320097</v>
      </c>
      <c r="C7274" s="0" t="n">
        <v>2320117</v>
      </c>
      <c r="D7274" s="0" t="s">
        <v>24202</v>
      </c>
      <c r="E7274" s="0" t="s">
        <v>75</v>
      </c>
      <c r="F7274" s="0" t="s">
        <v>15</v>
      </c>
      <c r="G7274" s="0" t="s">
        <v>36</v>
      </c>
      <c r="H7274" s="0" t="n">
        <v>42</v>
      </c>
      <c r="I7274" s="0" t="s">
        <v>24206</v>
      </c>
      <c r="J7274" s="0" t="s">
        <v>24207</v>
      </c>
      <c r="K7274" s="0" t="s">
        <v>24208</v>
      </c>
      <c r="L7274" s="0" t="str">
        <f aca="false">HYPERLINK("https://www.ncbi.nlm.nih.gov/nuccore/CP000058.1?report=graph&amp;tracks=[key:gene_model_track,Options:GeneOnly]&amp;mk=2320069:2320088|offset_13|444444,2320098:2320117|offset_42|00cc00,2320126:2320145|offset_70|444444,2320146:2320165|offset_90|444444&amp;v=2319868:2320365&amp;c=444444", "offset 42")</f>
        <v>offset 42</v>
      </c>
    </row>
    <row r="7275" customFormat="false" ht="12.8" hidden="false" customHeight="false" outlineLevel="0" collapsed="false">
      <c r="A7275" s="0" t="s">
        <v>12</v>
      </c>
      <c r="B7275" s="0" t="n">
        <v>2320125</v>
      </c>
      <c r="C7275" s="0" t="n">
        <v>2320145</v>
      </c>
      <c r="D7275" s="0" t="s">
        <v>24202</v>
      </c>
      <c r="E7275" s="0" t="s">
        <v>75</v>
      </c>
      <c r="F7275" s="0" t="s">
        <v>15</v>
      </c>
      <c r="G7275" s="0" t="s">
        <v>20</v>
      </c>
      <c r="H7275" s="0" t="n">
        <v>70</v>
      </c>
      <c r="I7275" s="0" t="s">
        <v>24209</v>
      </c>
      <c r="J7275" s="0" t="s">
        <v>24210</v>
      </c>
      <c r="K7275" s="0" t="s">
        <v>24211</v>
      </c>
      <c r="L7275" s="0" t="str">
        <f aca="false">HYPERLINK("https://www.ncbi.nlm.nih.gov/nuccore/CP000058.1?report=graph&amp;tracks=[key:gene_model_track,Options:GeneOnly]&amp;mk=2320069:2320088|offset_13|444444,2320098:2320117|offset_42|444444,2320126:2320145|offset_70|00cc00,2320146:2320165|offset_90|444444&amp;v=2319868:2320365&amp;c=444444", "offset 70")</f>
        <v>offset 70</v>
      </c>
    </row>
    <row r="7276" customFormat="false" ht="12.8" hidden="false" customHeight="false" outlineLevel="0" collapsed="false">
      <c r="A7276" s="0" t="s">
        <v>12</v>
      </c>
      <c r="B7276" s="0" t="n">
        <v>2320145</v>
      </c>
      <c r="C7276" s="0" t="n">
        <v>2320165</v>
      </c>
      <c r="D7276" s="0" t="s">
        <v>24202</v>
      </c>
      <c r="E7276" s="0" t="s">
        <v>75</v>
      </c>
      <c r="F7276" s="0" t="s">
        <v>15</v>
      </c>
      <c r="G7276" s="0" t="s">
        <v>16</v>
      </c>
      <c r="H7276" s="0" t="n">
        <v>90</v>
      </c>
      <c r="I7276" s="0" t="s">
        <v>24212</v>
      </c>
      <c r="J7276" s="0" t="s">
        <v>24213</v>
      </c>
      <c r="K7276" s="0" t="s">
        <v>24214</v>
      </c>
      <c r="L7276" s="0" t="str">
        <f aca="false">HYPERLINK("https://www.ncbi.nlm.nih.gov/nuccore/CP000058.1?report=graph&amp;tracks=[key:gene_model_track,Options:GeneOnly]&amp;mk=2320069:2320088|offset_13|444444,2320098:2320117|offset_42|444444,2320126:2320145|offset_70|444444,2320146:2320165|offset_90|00cc00&amp;v=2319868:2320365&amp;c=444444", "offset 90")</f>
        <v>offset 90</v>
      </c>
    </row>
    <row r="7277" customFormat="false" ht="12.8" hidden="false" customHeight="false" outlineLevel="0" collapsed="false">
      <c r="A7277" s="0" t="s">
        <v>12</v>
      </c>
      <c r="B7277" s="0" t="n">
        <v>2321535</v>
      </c>
      <c r="C7277" s="0" t="n">
        <v>2321555</v>
      </c>
      <c r="D7277" s="0" t="s">
        <v>24215</v>
      </c>
      <c r="E7277" s="0" t="s">
        <v>24216</v>
      </c>
      <c r="F7277" s="0" t="s">
        <v>90</v>
      </c>
      <c r="G7277" s="0" t="s">
        <v>36</v>
      </c>
      <c r="H7277" s="0" t="n">
        <v>43</v>
      </c>
      <c r="I7277" s="0" t="s">
        <v>24217</v>
      </c>
      <c r="J7277" s="0" t="s">
        <v>24218</v>
      </c>
      <c r="K7277" s="0" t="s">
        <v>24219</v>
      </c>
      <c r="L7277" s="0" t="str">
        <f aca="false">HYPERLINK("https://www.ncbi.nlm.nih.gov/nuccore/CP000058.1?report=graph&amp;tracks=[key:gene_model_track,Options:GeneOnly]&amp;mk=2321536:2321555|offset_43|00cc00,2321512:2321531|offset_67|444444,2321475:2321494|offset_104|444444,2321445:2321464|offset_134|444444&amp;v=2321335:2321664&amp;c=444444", "offset 43")</f>
        <v>offset 43</v>
      </c>
    </row>
    <row r="7278" customFormat="false" ht="12.8" hidden="false" customHeight="false" outlineLevel="0" collapsed="false">
      <c r="A7278" s="0" t="s">
        <v>12</v>
      </c>
      <c r="B7278" s="0" t="n">
        <v>2321511</v>
      </c>
      <c r="C7278" s="0" t="n">
        <v>2321531</v>
      </c>
      <c r="D7278" s="0" t="s">
        <v>24215</v>
      </c>
      <c r="E7278" s="0" t="s">
        <v>24216</v>
      </c>
      <c r="F7278" s="0" t="s">
        <v>90</v>
      </c>
      <c r="G7278" s="0" t="s">
        <v>16</v>
      </c>
      <c r="H7278" s="0" t="n">
        <v>67</v>
      </c>
      <c r="I7278" s="0" t="s">
        <v>24220</v>
      </c>
      <c r="J7278" s="0" t="s">
        <v>24221</v>
      </c>
      <c r="K7278" s="0" t="s">
        <v>24222</v>
      </c>
      <c r="L7278" s="0" t="str">
        <f aca="false">HYPERLINK("https://www.ncbi.nlm.nih.gov/nuccore/CP000058.1?report=graph&amp;tracks=[key:gene_model_track,Options:GeneOnly]&amp;mk=2321536:2321555|offset_43|444444,2321512:2321531|offset_67|00cc00,2321475:2321494|offset_104|444444,2321445:2321464|offset_134|444444&amp;v=2321335:2321664&amp;c=444444", "offset 67")</f>
        <v>offset 67</v>
      </c>
    </row>
    <row r="7279" customFormat="false" ht="12.8" hidden="false" customHeight="false" outlineLevel="0" collapsed="false">
      <c r="A7279" s="0" t="s">
        <v>12</v>
      </c>
      <c r="B7279" s="0" t="n">
        <v>2321474</v>
      </c>
      <c r="C7279" s="0" t="n">
        <v>2321494</v>
      </c>
      <c r="D7279" s="0" t="s">
        <v>24215</v>
      </c>
      <c r="E7279" s="0" t="s">
        <v>24216</v>
      </c>
      <c r="F7279" s="0" t="s">
        <v>90</v>
      </c>
      <c r="G7279" s="0" t="s">
        <v>20</v>
      </c>
      <c r="H7279" s="0" t="n">
        <v>104</v>
      </c>
      <c r="I7279" s="0" t="s">
        <v>24223</v>
      </c>
      <c r="J7279" s="0" t="s">
        <v>24224</v>
      </c>
      <c r="K7279" s="0" t="s">
        <v>24225</v>
      </c>
      <c r="L7279" s="0" t="str">
        <f aca="false">HYPERLINK("https://www.ncbi.nlm.nih.gov/nuccore/CP000058.1?report=graph&amp;tracks=[key:gene_model_track,Options:GeneOnly]&amp;mk=2321536:2321555|offset_43|444444,2321512:2321531|offset_67|444444,2321475:2321494|offset_104|00cc00,2321445:2321464|offset_134|444444&amp;v=2321335:2321664&amp;c=444444", "offset 104")</f>
        <v>offset 104</v>
      </c>
    </row>
    <row r="7280" customFormat="false" ht="12.8" hidden="false" customHeight="false" outlineLevel="0" collapsed="false">
      <c r="A7280" s="0" t="s">
        <v>12</v>
      </c>
      <c r="B7280" s="0" t="n">
        <v>2321444</v>
      </c>
      <c r="C7280" s="0" t="n">
        <v>2321464</v>
      </c>
      <c r="D7280" s="0" t="s">
        <v>24215</v>
      </c>
      <c r="E7280" s="0" t="s">
        <v>24216</v>
      </c>
      <c r="F7280" s="0" t="s">
        <v>90</v>
      </c>
      <c r="G7280" s="0" t="s">
        <v>36</v>
      </c>
      <c r="H7280" s="0" t="n">
        <v>134</v>
      </c>
      <c r="I7280" s="0" t="s">
        <v>24226</v>
      </c>
      <c r="J7280" s="0" t="s">
        <v>24227</v>
      </c>
      <c r="K7280" s="0" t="s">
        <v>24228</v>
      </c>
      <c r="L7280" s="0" t="str">
        <f aca="false">HYPERLINK("https://www.ncbi.nlm.nih.gov/nuccore/CP000058.1?report=graph&amp;tracks=[key:gene_model_track,Options:GeneOnly]&amp;mk=2321536:2321555|offset_43|444444,2321512:2321531|offset_67|444444,2321475:2321494|offset_104|444444,2321445:2321464|offset_134|00cc00&amp;v=2321335:2321664&amp;c=444444", "offset 134")</f>
        <v>offset 134</v>
      </c>
    </row>
    <row r="7281" customFormat="false" ht="12.8" hidden="false" customHeight="false" outlineLevel="0" collapsed="false">
      <c r="A7281" s="0" t="s">
        <v>12</v>
      </c>
      <c r="B7281" s="0" t="n">
        <v>2321705</v>
      </c>
      <c r="C7281" s="0" t="n">
        <v>2321725</v>
      </c>
      <c r="D7281" s="0" t="s">
        <v>24229</v>
      </c>
      <c r="E7281" s="0" t="s">
        <v>75</v>
      </c>
      <c r="F7281" s="0" t="s">
        <v>15</v>
      </c>
      <c r="G7281" s="0" t="s">
        <v>16</v>
      </c>
      <c r="H7281" s="0" t="n">
        <v>8</v>
      </c>
      <c r="I7281" s="0" t="s">
        <v>24230</v>
      </c>
      <c r="J7281" s="0" t="s">
        <v>24231</v>
      </c>
      <c r="K7281" s="0" t="s">
        <v>24232</v>
      </c>
      <c r="L7281" s="0" t="str">
        <f aca="false">HYPERLINK("https://www.ncbi.nlm.nih.gov/nuccore/CP000058.1?report=graph&amp;tracks=[key:gene_model_track,Options:GeneOnly]&amp;mk=2321706:2321725|offset_8|00cc00,2321736:2321755|offset_38|444444,2321763:2321782|offset_65|444444&amp;v=2321505:2321982&amp;c=444444", "offset 8")</f>
        <v>offset 8</v>
      </c>
    </row>
    <row r="7282" customFormat="false" ht="12.8" hidden="false" customHeight="false" outlineLevel="0" collapsed="false">
      <c r="A7282" s="0" t="s">
        <v>12</v>
      </c>
      <c r="B7282" s="0" t="n">
        <v>2321735</v>
      </c>
      <c r="C7282" s="0" t="n">
        <v>2321755</v>
      </c>
      <c r="D7282" s="0" t="s">
        <v>24229</v>
      </c>
      <c r="E7282" s="0" t="s">
        <v>75</v>
      </c>
      <c r="F7282" s="0" t="s">
        <v>15</v>
      </c>
      <c r="G7282" s="0" t="s">
        <v>16</v>
      </c>
      <c r="H7282" s="0" t="n">
        <v>38</v>
      </c>
      <c r="I7282" s="0" t="s">
        <v>24233</v>
      </c>
      <c r="J7282" s="0" t="s">
        <v>24234</v>
      </c>
      <c r="K7282" s="0" t="s">
        <v>24235</v>
      </c>
      <c r="L7282" s="0" t="str">
        <f aca="false">HYPERLINK("https://www.ncbi.nlm.nih.gov/nuccore/CP000058.1?report=graph&amp;tracks=[key:gene_model_track,Options:GeneOnly]&amp;mk=2321706:2321725|offset_8|444444,2321736:2321755|offset_38|00cc00,2321763:2321782|offset_65|444444&amp;v=2321505:2321982&amp;c=444444", "offset 38")</f>
        <v>offset 38</v>
      </c>
    </row>
    <row r="7283" customFormat="false" ht="12.8" hidden="false" customHeight="false" outlineLevel="0" collapsed="false">
      <c r="A7283" s="0" t="s">
        <v>12</v>
      </c>
      <c r="B7283" s="0" t="n">
        <v>2321762</v>
      </c>
      <c r="C7283" s="0" t="n">
        <v>2321782</v>
      </c>
      <c r="D7283" s="0" t="s">
        <v>24229</v>
      </c>
      <c r="E7283" s="0" t="s">
        <v>75</v>
      </c>
      <c r="F7283" s="0" t="s">
        <v>15</v>
      </c>
      <c r="G7283" s="0" t="s">
        <v>36</v>
      </c>
      <c r="H7283" s="0" t="n">
        <v>65</v>
      </c>
      <c r="I7283" s="0" t="s">
        <v>24236</v>
      </c>
      <c r="J7283" s="0" t="s">
        <v>24237</v>
      </c>
      <c r="K7283" s="0" t="s">
        <v>24238</v>
      </c>
      <c r="L7283" s="0" t="str">
        <f aca="false">HYPERLINK("https://www.ncbi.nlm.nih.gov/nuccore/CP000058.1?report=graph&amp;tracks=[key:gene_model_track,Options:GeneOnly]&amp;mk=2321706:2321725|offset_8|444444,2321736:2321755|offset_38|444444,2321763:2321782|offset_65|00cc00&amp;v=2321505:2321982&amp;c=444444", "offset 65")</f>
        <v>offset 65</v>
      </c>
    </row>
    <row r="7284" customFormat="false" ht="12.8" hidden="false" customHeight="false" outlineLevel="0" collapsed="false">
      <c r="A7284" s="0" t="s">
        <v>12</v>
      </c>
      <c r="B7284" s="0" t="n">
        <v>2321961</v>
      </c>
      <c r="C7284" s="0" t="n">
        <v>2321981</v>
      </c>
      <c r="D7284" s="0" t="s">
        <v>24239</v>
      </c>
      <c r="E7284" s="0" t="s">
        <v>24240</v>
      </c>
      <c r="F7284" s="0" t="s">
        <v>15</v>
      </c>
      <c r="G7284" s="0" t="s">
        <v>16</v>
      </c>
      <c r="H7284" s="0" t="n">
        <v>1</v>
      </c>
      <c r="I7284" s="0" t="s">
        <v>24241</v>
      </c>
      <c r="J7284" s="0" t="s">
        <v>24242</v>
      </c>
      <c r="K7284" s="0" t="s">
        <v>24243</v>
      </c>
      <c r="L7284" s="0" t="str">
        <f aca="false">HYPERLINK("https://www.ncbi.nlm.nih.gov/nuccore/CP000058.1?report=graph&amp;tracks=[key:gene_model_track,Options:GeneOnly]&amp;mk=2321962:2321981|offset_1|00cc00,2321993:2322012|offset_32|444444,2322019:2322038|offset_58|444444,2322041:2322060|offset_80|444444&amp;v=2321761:2322260&amp;c=444444", "offset 1")</f>
        <v>offset 1</v>
      </c>
    </row>
    <row r="7285" customFormat="false" ht="12.8" hidden="false" customHeight="false" outlineLevel="0" collapsed="false">
      <c r="A7285" s="0" t="s">
        <v>12</v>
      </c>
      <c r="B7285" s="0" t="n">
        <v>2321992</v>
      </c>
      <c r="C7285" s="0" t="n">
        <v>2322012</v>
      </c>
      <c r="D7285" s="0" t="s">
        <v>24239</v>
      </c>
      <c r="E7285" s="0" t="s">
        <v>24240</v>
      </c>
      <c r="F7285" s="0" t="s">
        <v>15</v>
      </c>
      <c r="G7285" s="0" t="s">
        <v>20</v>
      </c>
      <c r="H7285" s="0" t="n">
        <v>32</v>
      </c>
      <c r="I7285" s="0" t="s">
        <v>24244</v>
      </c>
      <c r="J7285" s="0" t="s">
        <v>24245</v>
      </c>
      <c r="K7285" s="0" t="s">
        <v>24246</v>
      </c>
      <c r="L7285" s="0" t="str">
        <f aca="false">HYPERLINK("https://www.ncbi.nlm.nih.gov/nuccore/CP000058.1?report=graph&amp;tracks=[key:gene_model_track,Options:GeneOnly]&amp;mk=2321962:2321981|offset_1|444444,2321993:2322012|offset_32|00cc00,2322019:2322038|offset_58|444444,2322041:2322060|offset_80|444444&amp;v=2321761:2322260&amp;c=444444", "offset 32")</f>
        <v>offset 32</v>
      </c>
    </row>
    <row r="7286" customFormat="false" ht="12.8" hidden="false" customHeight="false" outlineLevel="0" collapsed="false">
      <c r="A7286" s="0" t="s">
        <v>12</v>
      </c>
      <c r="B7286" s="0" t="n">
        <v>2322018</v>
      </c>
      <c r="C7286" s="0" t="n">
        <v>2322038</v>
      </c>
      <c r="D7286" s="0" t="s">
        <v>24239</v>
      </c>
      <c r="E7286" s="0" t="s">
        <v>24240</v>
      </c>
      <c r="F7286" s="0" t="s">
        <v>15</v>
      </c>
      <c r="G7286" s="0" t="s">
        <v>16</v>
      </c>
      <c r="H7286" s="0" t="n">
        <v>58</v>
      </c>
      <c r="I7286" s="0" t="s">
        <v>24247</v>
      </c>
      <c r="J7286" s="0" t="s">
        <v>24248</v>
      </c>
      <c r="K7286" s="0" t="s">
        <v>24249</v>
      </c>
      <c r="L7286" s="0" t="str">
        <f aca="false">HYPERLINK("https://www.ncbi.nlm.nih.gov/nuccore/CP000058.1?report=graph&amp;tracks=[key:gene_model_track,Options:GeneOnly]&amp;mk=2321962:2321981|offset_1|444444,2321993:2322012|offset_32|444444,2322019:2322038|offset_58|00cc00,2322041:2322060|offset_80|444444&amp;v=2321761:2322260&amp;c=444444", "offset 58")</f>
        <v>offset 58</v>
      </c>
    </row>
    <row r="7287" customFormat="false" ht="12.8" hidden="false" customHeight="false" outlineLevel="0" collapsed="false">
      <c r="A7287" s="0" t="s">
        <v>12</v>
      </c>
      <c r="B7287" s="0" t="n">
        <v>2322040</v>
      </c>
      <c r="C7287" s="0" t="n">
        <v>2322060</v>
      </c>
      <c r="D7287" s="0" t="s">
        <v>24239</v>
      </c>
      <c r="E7287" s="0" t="s">
        <v>24240</v>
      </c>
      <c r="F7287" s="0" t="s">
        <v>15</v>
      </c>
      <c r="G7287" s="0" t="s">
        <v>16</v>
      </c>
      <c r="H7287" s="0" t="n">
        <v>80</v>
      </c>
      <c r="I7287" s="0" t="s">
        <v>24250</v>
      </c>
      <c r="J7287" s="0" t="s">
        <v>24251</v>
      </c>
      <c r="K7287" s="0" t="s">
        <v>24252</v>
      </c>
      <c r="L7287" s="0" t="str">
        <f aca="false">HYPERLINK("https://www.ncbi.nlm.nih.gov/nuccore/CP000058.1?report=graph&amp;tracks=[key:gene_model_track,Options:GeneOnly]&amp;mk=2321962:2321981|offset_1|444444,2321993:2322012|offset_32|444444,2322019:2322038|offset_58|444444,2322041:2322060|offset_80|00cc00&amp;v=2321761:2322260&amp;c=444444", "offset 80")</f>
        <v>offset 80</v>
      </c>
    </row>
    <row r="7288" customFormat="false" ht="12.8" hidden="false" customHeight="false" outlineLevel="0" collapsed="false">
      <c r="A7288" s="0" t="s">
        <v>12</v>
      </c>
      <c r="B7288" s="0" t="n">
        <v>2322338</v>
      </c>
      <c r="C7288" s="0" t="n">
        <v>2322358</v>
      </c>
      <c r="D7288" s="0" t="s">
        <v>24253</v>
      </c>
      <c r="E7288" s="0" t="s">
        <v>24254</v>
      </c>
      <c r="F7288" s="0" t="s">
        <v>15</v>
      </c>
      <c r="G7288" s="0" t="s">
        <v>32</v>
      </c>
      <c r="H7288" s="0" t="n">
        <v>10</v>
      </c>
      <c r="I7288" s="0" t="s">
        <v>24255</v>
      </c>
      <c r="J7288" s="0" t="s">
        <v>24256</v>
      </c>
      <c r="K7288" s="0" t="s">
        <v>24257</v>
      </c>
      <c r="L7288" s="0" t="str">
        <f aca="false">HYPERLINK("https://www.ncbi.nlm.nih.gov/nuccore/CP000058.1?report=graph&amp;tracks=[key:gene_model_track,Options:GeneOnly]&amp;mk=2322339:2322358|offset_10|00cc00,2322367:2322386|offset_38|444444,2322427:2322446|offset_98|444444,2322452:2322471|offset_123|444444&amp;v=2322138:2322671&amp;c=444444", "offset 10")</f>
        <v>offset 10</v>
      </c>
    </row>
    <row r="7289" customFormat="false" ht="12.8" hidden="false" customHeight="false" outlineLevel="0" collapsed="false">
      <c r="A7289" s="0" t="s">
        <v>12</v>
      </c>
      <c r="B7289" s="0" t="n">
        <v>2322366</v>
      </c>
      <c r="C7289" s="0" t="n">
        <v>2322386</v>
      </c>
      <c r="D7289" s="0" t="s">
        <v>24253</v>
      </c>
      <c r="E7289" s="0" t="s">
        <v>24254</v>
      </c>
      <c r="F7289" s="0" t="s">
        <v>15</v>
      </c>
      <c r="G7289" s="0" t="s">
        <v>20</v>
      </c>
      <c r="H7289" s="0" t="n">
        <v>38</v>
      </c>
      <c r="I7289" s="0" t="s">
        <v>24258</v>
      </c>
      <c r="J7289" s="0" t="s">
        <v>24259</v>
      </c>
      <c r="K7289" s="0" t="s">
        <v>24260</v>
      </c>
      <c r="L7289" s="0" t="str">
        <f aca="false">HYPERLINK("https://www.ncbi.nlm.nih.gov/nuccore/CP000058.1?report=graph&amp;tracks=[key:gene_model_track,Options:GeneOnly]&amp;mk=2322339:2322358|offset_10|444444,2322367:2322386|offset_38|00cc00,2322427:2322446|offset_98|444444,2322452:2322471|offset_123|444444&amp;v=2322138:2322671&amp;c=444444", "offset 38")</f>
        <v>offset 38</v>
      </c>
    </row>
    <row r="7290" customFormat="false" ht="12.8" hidden="false" customHeight="false" outlineLevel="0" collapsed="false">
      <c r="A7290" s="0" t="s">
        <v>12</v>
      </c>
      <c r="B7290" s="0" t="n">
        <v>2322426</v>
      </c>
      <c r="C7290" s="0" t="n">
        <v>2322446</v>
      </c>
      <c r="D7290" s="0" t="s">
        <v>24253</v>
      </c>
      <c r="E7290" s="0" t="s">
        <v>24254</v>
      </c>
      <c r="F7290" s="0" t="s">
        <v>15</v>
      </c>
      <c r="G7290" s="0" t="s">
        <v>20</v>
      </c>
      <c r="H7290" s="0" t="n">
        <v>98</v>
      </c>
      <c r="I7290" s="0" t="s">
        <v>24261</v>
      </c>
      <c r="J7290" s="0" t="s">
        <v>24262</v>
      </c>
      <c r="K7290" s="0" t="s">
        <v>24263</v>
      </c>
      <c r="L7290" s="0" t="str">
        <f aca="false">HYPERLINK("https://www.ncbi.nlm.nih.gov/nuccore/CP000058.1?report=graph&amp;tracks=[key:gene_model_track,Options:GeneOnly]&amp;mk=2322339:2322358|offset_10|444444,2322367:2322386|offset_38|444444,2322427:2322446|offset_98|00cc00,2322452:2322471|offset_123|444444&amp;v=2322138:2322671&amp;c=444444", "offset 98")</f>
        <v>offset 98</v>
      </c>
    </row>
    <row r="7291" customFormat="false" ht="12.8" hidden="false" customHeight="false" outlineLevel="0" collapsed="false">
      <c r="A7291" s="0" t="s">
        <v>12</v>
      </c>
      <c r="B7291" s="0" t="n">
        <v>2322451</v>
      </c>
      <c r="C7291" s="0" t="n">
        <v>2322471</v>
      </c>
      <c r="D7291" s="0" t="s">
        <v>24253</v>
      </c>
      <c r="E7291" s="0" t="s">
        <v>24254</v>
      </c>
      <c r="F7291" s="0" t="s">
        <v>15</v>
      </c>
      <c r="G7291" s="0" t="s">
        <v>16</v>
      </c>
      <c r="H7291" s="0" t="n">
        <v>123</v>
      </c>
      <c r="I7291" s="0" t="s">
        <v>24264</v>
      </c>
      <c r="J7291" s="0" t="s">
        <v>24265</v>
      </c>
      <c r="K7291" s="0" t="s">
        <v>24266</v>
      </c>
      <c r="L7291" s="0" t="str">
        <f aca="false">HYPERLINK("https://www.ncbi.nlm.nih.gov/nuccore/CP000058.1?report=graph&amp;tracks=[key:gene_model_track,Options:GeneOnly]&amp;mk=2322339:2322358|offset_10|444444,2322367:2322386|offset_38|444444,2322427:2322446|offset_98|444444,2322452:2322471|offset_123|00cc00&amp;v=2322138:2322671&amp;c=444444", "offset 123")</f>
        <v>offset 123</v>
      </c>
    </row>
    <row r="7292" customFormat="false" ht="12.8" hidden="false" customHeight="false" outlineLevel="0" collapsed="false">
      <c r="A7292" s="0" t="s">
        <v>12</v>
      </c>
      <c r="B7292" s="0" t="n">
        <v>2322734</v>
      </c>
      <c r="C7292" s="0" t="n">
        <v>2322754</v>
      </c>
      <c r="D7292" s="0" t="s">
        <v>24267</v>
      </c>
      <c r="E7292" s="0" t="s">
        <v>24268</v>
      </c>
      <c r="F7292" s="0" t="s">
        <v>15</v>
      </c>
      <c r="G7292" s="0" t="s">
        <v>32</v>
      </c>
      <c r="H7292" s="0" t="n">
        <v>34</v>
      </c>
      <c r="I7292" s="0" t="s">
        <v>24269</v>
      </c>
      <c r="J7292" s="0" t="s">
        <v>24270</v>
      </c>
      <c r="K7292" s="0" t="s">
        <v>24271</v>
      </c>
      <c r="L7292" s="0" t="str">
        <f aca="false">HYPERLINK("https://www.ncbi.nlm.nih.gov/nuccore/CP000058.1?report=graph&amp;tracks=[key:gene_model_track,Options:GeneOnly]&amp;mk=2322735:2322754|offset_34|00cc00,2322759:2322778|offset_58|444444,2322807:2322826|offset_106|444444,2322827:2322846|offset_126|444444&amp;v=2322534:2323046&amp;c=444444", "offset 34")</f>
        <v>offset 34</v>
      </c>
    </row>
    <row r="7293" customFormat="false" ht="12.8" hidden="false" customHeight="false" outlineLevel="0" collapsed="false">
      <c r="A7293" s="0" t="s">
        <v>12</v>
      </c>
      <c r="B7293" s="0" t="n">
        <v>2322758</v>
      </c>
      <c r="C7293" s="0" t="n">
        <v>2322778</v>
      </c>
      <c r="D7293" s="0" t="s">
        <v>24267</v>
      </c>
      <c r="E7293" s="0" t="s">
        <v>24268</v>
      </c>
      <c r="F7293" s="0" t="s">
        <v>15</v>
      </c>
      <c r="G7293" s="0" t="s">
        <v>16</v>
      </c>
      <c r="H7293" s="0" t="n">
        <v>58</v>
      </c>
      <c r="I7293" s="0" t="s">
        <v>24272</v>
      </c>
      <c r="J7293" s="0" t="s">
        <v>24273</v>
      </c>
      <c r="K7293" s="0" t="s">
        <v>24274</v>
      </c>
      <c r="L7293" s="0" t="str">
        <f aca="false">HYPERLINK("https://www.ncbi.nlm.nih.gov/nuccore/CP000058.1?report=graph&amp;tracks=[key:gene_model_track,Options:GeneOnly]&amp;mk=2322735:2322754|offset_34|444444,2322759:2322778|offset_58|00cc00,2322807:2322826|offset_106|444444,2322827:2322846|offset_126|444444&amp;v=2322534:2323046&amp;c=444444", "offset 58")</f>
        <v>offset 58</v>
      </c>
    </row>
    <row r="7294" customFormat="false" ht="12.8" hidden="false" customHeight="false" outlineLevel="0" collapsed="false">
      <c r="A7294" s="0" t="s">
        <v>12</v>
      </c>
      <c r="B7294" s="0" t="n">
        <v>2322806</v>
      </c>
      <c r="C7294" s="0" t="n">
        <v>2322826</v>
      </c>
      <c r="D7294" s="0" t="s">
        <v>24267</v>
      </c>
      <c r="E7294" s="0" t="s">
        <v>24268</v>
      </c>
      <c r="F7294" s="0" t="s">
        <v>15</v>
      </c>
      <c r="G7294" s="0" t="s">
        <v>16</v>
      </c>
      <c r="H7294" s="0" t="n">
        <v>106</v>
      </c>
      <c r="I7294" s="0" t="s">
        <v>24275</v>
      </c>
      <c r="J7294" s="0" t="s">
        <v>24276</v>
      </c>
      <c r="K7294" s="0" t="s">
        <v>24277</v>
      </c>
      <c r="L7294" s="0" t="str">
        <f aca="false">HYPERLINK("https://www.ncbi.nlm.nih.gov/nuccore/CP000058.1?report=graph&amp;tracks=[key:gene_model_track,Options:GeneOnly]&amp;mk=2322735:2322754|offset_34|444444,2322759:2322778|offset_58|444444,2322807:2322826|offset_106|00cc00,2322827:2322846|offset_126|444444&amp;v=2322534:2323046&amp;c=444444", "offset 106")</f>
        <v>offset 106</v>
      </c>
    </row>
    <row r="7295" customFormat="false" ht="12.8" hidden="false" customHeight="false" outlineLevel="0" collapsed="false">
      <c r="A7295" s="0" t="s">
        <v>12</v>
      </c>
      <c r="B7295" s="0" t="n">
        <v>2322826</v>
      </c>
      <c r="C7295" s="0" t="n">
        <v>2322846</v>
      </c>
      <c r="D7295" s="0" t="s">
        <v>24267</v>
      </c>
      <c r="E7295" s="0" t="s">
        <v>24268</v>
      </c>
      <c r="F7295" s="0" t="s">
        <v>15</v>
      </c>
      <c r="G7295" s="0" t="s">
        <v>16</v>
      </c>
      <c r="H7295" s="0" t="n">
        <v>126</v>
      </c>
      <c r="I7295" s="0" t="s">
        <v>24278</v>
      </c>
      <c r="J7295" s="0" t="s">
        <v>24279</v>
      </c>
      <c r="K7295" s="0" t="s">
        <v>24280</v>
      </c>
      <c r="L7295" s="0" t="str">
        <f aca="false">HYPERLINK("https://www.ncbi.nlm.nih.gov/nuccore/CP000058.1?report=graph&amp;tracks=[key:gene_model_track,Options:GeneOnly]&amp;mk=2322735:2322754|offset_34|444444,2322759:2322778|offset_58|444444,2322807:2322826|offset_106|444444,2322827:2322846|offset_126|00cc00&amp;v=2322534:2323046&amp;c=444444", "offset 126")</f>
        <v>offset 126</v>
      </c>
    </row>
    <row r="7296" customFormat="false" ht="12.8" hidden="false" customHeight="false" outlineLevel="0" collapsed="false">
      <c r="A7296" s="0" t="s">
        <v>12</v>
      </c>
      <c r="B7296" s="0" t="n">
        <v>2324517</v>
      </c>
      <c r="C7296" s="0" t="n">
        <v>2324537</v>
      </c>
      <c r="D7296" s="0" t="s">
        <v>24281</v>
      </c>
      <c r="E7296" s="0" t="s">
        <v>24282</v>
      </c>
      <c r="F7296" s="0" t="s">
        <v>15</v>
      </c>
      <c r="G7296" s="0" t="s">
        <v>36</v>
      </c>
      <c r="H7296" s="0" t="n">
        <v>32</v>
      </c>
      <c r="I7296" s="0" t="s">
        <v>24283</v>
      </c>
      <c r="J7296" s="0" t="s">
        <v>24284</v>
      </c>
      <c r="K7296" s="0" t="s">
        <v>24285</v>
      </c>
      <c r="L7296" s="0" t="str">
        <f aca="false">HYPERLINK("https://www.ncbi.nlm.nih.gov/nuccore/CP000058.1?report=graph&amp;tracks=[key:gene_model_track,Options:GeneOnly]&amp;mk=2324518:2324537|offset_32|00cc00,2324565:2324584|offset_79|444444,2324601:2324620|offset_115|444444,2324635:2324654|offset_149|444444&amp;v=2324317:2324854&amp;c=444444", "offset 32")</f>
        <v>offset 32</v>
      </c>
    </row>
    <row r="7297" customFormat="false" ht="12.8" hidden="false" customHeight="false" outlineLevel="0" collapsed="false">
      <c r="A7297" s="0" t="s">
        <v>12</v>
      </c>
      <c r="B7297" s="0" t="n">
        <v>2324564</v>
      </c>
      <c r="C7297" s="0" t="n">
        <v>2324584</v>
      </c>
      <c r="D7297" s="0" t="s">
        <v>24281</v>
      </c>
      <c r="E7297" s="0" t="s">
        <v>24282</v>
      </c>
      <c r="F7297" s="0" t="s">
        <v>15</v>
      </c>
      <c r="G7297" s="0" t="s">
        <v>16</v>
      </c>
      <c r="H7297" s="0" t="n">
        <v>79</v>
      </c>
      <c r="I7297" s="0" t="s">
        <v>24286</v>
      </c>
      <c r="J7297" s="0" t="s">
        <v>24287</v>
      </c>
      <c r="K7297" s="0" t="s">
        <v>24288</v>
      </c>
      <c r="L7297" s="0" t="str">
        <f aca="false">HYPERLINK("https://www.ncbi.nlm.nih.gov/nuccore/CP000058.1?report=graph&amp;tracks=[key:gene_model_track,Options:GeneOnly]&amp;mk=2324518:2324537|offset_32|444444,2324565:2324584|offset_79|00cc00,2324601:2324620|offset_115|444444,2324635:2324654|offset_149|444444&amp;v=2324317:2324854&amp;c=444444", "offset 79")</f>
        <v>offset 79</v>
      </c>
    </row>
    <row r="7298" customFormat="false" ht="12.8" hidden="false" customHeight="false" outlineLevel="0" collapsed="false">
      <c r="A7298" s="0" t="s">
        <v>12</v>
      </c>
      <c r="B7298" s="0" t="n">
        <v>2324600</v>
      </c>
      <c r="C7298" s="0" t="n">
        <v>2324620</v>
      </c>
      <c r="D7298" s="0" t="s">
        <v>24281</v>
      </c>
      <c r="E7298" s="0" t="s">
        <v>24282</v>
      </c>
      <c r="F7298" s="0" t="s">
        <v>15</v>
      </c>
      <c r="G7298" s="0" t="s">
        <v>36</v>
      </c>
      <c r="H7298" s="0" t="n">
        <v>115</v>
      </c>
      <c r="I7298" s="0" t="s">
        <v>24289</v>
      </c>
      <c r="J7298" s="0" t="s">
        <v>24290</v>
      </c>
      <c r="K7298" s="0" t="s">
        <v>24291</v>
      </c>
      <c r="L7298" s="0" t="str">
        <f aca="false">HYPERLINK("https://www.ncbi.nlm.nih.gov/nuccore/CP000058.1?report=graph&amp;tracks=[key:gene_model_track,Options:GeneOnly]&amp;mk=2324518:2324537|offset_32|444444,2324565:2324584|offset_79|444444,2324601:2324620|offset_115|00cc00,2324635:2324654|offset_149|444444&amp;v=2324317:2324854&amp;c=444444", "offset 115")</f>
        <v>offset 115</v>
      </c>
    </row>
    <row r="7299" customFormat="false" ht="12.8" hidden="false" customHeight="false" outlineLevel="0" collapsed="false">
      <c r="A7299" s="0" t="s">
        <v>12</v>
      </c>
      <c r="B7299" s="0" t="n">
        <v>2324634</v>
      </c>
      <c r="C7299" s="0" t="n">
        <v>2324654</v>
      </c>
      <c r="D7299" s="0" t="s">
        <v>24281</v>
      </c>
      <c r="E7299" s="0" t="s">
        <v>24282</v>
      </c>
      <c r="F7299" s="0" t="s">
        <v>15</v>
      </c>
      <c r="G7299" s="0" t="s">
        <v>16</v>
      </c>
      <c r="H7299" s="0" t="n">
        <v>149</v>
      </c>
      <c r="I7299" s="0" t="s">
        <v>24292</v>
      </c>
      <c r="J7299" s="0" t="s">
        <v>24293</v>
      </c>
      <c r="K7299" s="0" t="s">
        <v>24294</v>
      </c>
      <c r="L7299" s="0" t="str">
        <f aca="false">HYPERLINK("https://www.ncbi.nlm.nih.gov/nuccore/CP000058.1?report=graph&amp;tracks=[key:gene_model_track,Options:GeneOnly]&amp;mk=2324518:2324537|offset_32|444444,2324565:2324584|offset_79|444444,2324601:2324620|offset_115|444444,2324635:2324654|offset_149|00cc00&amp;v=2324317:2324854&amp;c=444444", "offset 149")</f>
        <v>offset 149</v>
      </c>
    </row>
    <row r="7300" customFormat="false" ht="12.8" hidden="false" customHeight="false" outlineLevel="0" collapsed="false">
      <c r="A7300" s="0" t="s">
        <v>12</v>
      </c>
      <c r="B7300" s="0" t="n">
        <v>2325489</v>
      </c>
      <c r="C7300" s="0" t="n">
        <v>2325509</v>
      </c>
      <c r="D7300" s="0" t="s">
        <v>24295</v>
      </c>
      <c r="E7300" s="0" t="s">
        <v>24296</v>
      </c>
      <c r="F7300" s="0" t="s">
        <v>15</v>
      </c>
      <c r="G7300" s="0" t="s">
        <v>36</v>
      </c>
      <c r="H7300" s="0" t="n">
        <v>40</v>
      </c>
      <c r="I7300" s="0" t="s">
        <v>24297</v>
      </c>
      <c r="J7300" s="0" t="s">
        <v>24298</v>
      </c>
      <c r="K7300" s="0" t="s">
        <v>24299</v>
      </c>
      <c r="L7300" s="0" t="str">
        <f aca="false">HYPERLINK("https://www.ncbi.nlm.nih.gov/nuccore/CP000058.1?report=graph&amp;tracks=[key:gene_model_track,Options:GeneOnly]&amp;mk=2325490:2325509|offset_40|00cc00,2325514:2325533|offset_64|444444,2325542:2325561|offset_92|444444,2325564:2325583|offset_114|444444&amp;v=2325289:2325783&amp;c=444444", "offset 40")</f>
        <v>offset 40</v>
      </c>
    </row>
    <row r="7301" customFormat="false" ht="12.8" hidden="false" customHeight="false" outlineLevel="0" collapsed="false">
      <c r="A7301" s="0" t="s">
        <v>12</v>
      </c>
      <c r="B7301" s="0" t="n">
        <v>2325513</v>
      </c>
      <c r="C7301" s="0" t="n">
        <v>2325533</v>
      </c>
      <c r="D7301" s="0" t="s">
        <v>24295</v>
      </c>
      <c r="E7301" s="0" t="s">
        <v>24296</v>
      </c>
      <c r="F7301" s="0" t="s">
        <v>15</v>
      </c>
      <c r="G7301" s="0" t="s">
        <v>20</v>
      </c>
      <c r="H7301" s="0" t="n">
        <v>64</v>
      </c>
      <c r="I7301" s="0" t="s">
        <v>24300</v>
      </c>
      <c r="J7301" s="0" t="s">
        <v>24301</v>
      </c>
      <c r="K7301" s="0" t="s">
        <v>24302</v>
      </c>
      <c r="L7301" s="0" t="str">
        <f aca="false">HYPERLINK("https://www.ncbi.nlm.nih.gov/nuccore/CP000058.1?report=graph&amp;tracks=[key:gene_model_track,Options:GeneOnly]&amp;mk=2325490:2325509|offset_40|444444,2325514:2325533|offset_64|00cc00,2325542:2325561|offset_92|444444,2325564:2325583|offset_114|444444&amp;v=2325289:2325783&amp;c=444444", "offset 64")</f>
        <v>offset 64</v>
      </c>
    </row>
    <row r="7302" customFormat="false" ht="12.8" hidden="false" customHeight="false" outlineLevel="0" collapsed="false">
      <c r="A7302" s="0" t="s">
        <v>12</v>
      </c>
      <c r="B7302" s="0" t="n">
        <v>2325541</v>
      </c>
      <c r="C7302" s="0" t="n">
        <v>2325561</v>
      </c>
      <c r="D7302" s="0" t="s">
        <v>24295</v>
      </c>
      <c r="E7302" s="0" t="s">
        <v>24296</v>
      </c>
      <c r="F7302" s="0" t="s">
        <v>15</v>
      </c>
      <c r="G7302" s="0" t="s">
        <v>20</v>
      </c>
      <c r="H7302" s="0" t="n">
        <v>92</v>
      </c>
      <c r="I7302" s="0" t="s">
        <v>24303</v>
      </c>
      <c r="J7302" s="0" t="s">
        <v>24304</v>
      </c>
      <c r="K7302" s="0" t="s">
        <v>24305</v>
      </c>
      <c r="L7302" s="0" t="str">
        <f aca="false">HYPERLINK("https://www.ncbi.nlm.nih.gov/nuccore/CP000058.1?report=graph&amp;tracks=[key:gene_model_track,Options:GeneOnly]&amp;mk=2325490:2325509|offset_40|444444,2325514:2325533|offset_64|444444,2325542:2325561|offset_92|00cc00,2325564:2325583|offset_114|444444&amp;v=2325289:2325783&amp;c=444444", "offset 92")</f>
        <v>offset 92</v>
      </c>
    </row>
    <row r="7303" customFormat="false" ht="12.8" hidden="false" customHeight="false" outlineLevel="0" collapsed="false">
      <c r="A7303" s="0" t="s">
        <v>12</v>
      </c>
      <c r="B7303" s="0" t="n">
        <v>2325563</v>
      </c>
      <c r="C7303" s="0" t="n">
        <v>2325583</v>
      </c>
      <c r="D7303" s="0" t="s">
        <v>24295</v>
      </c>
      <c r="E7303" s="0" t="s">
        <v>24296</v>
      </c>
      <c r="F7303" s="0" t="s">
        <v>15</v>
      </c>
      <c r="G7303" s="0" t="s">
        <v>32</v>
      </c>
      <c r="H7303" s="0" t="n">
        <v>114</v>
      </c>
      <c r="I7303" s="0" t="s">
        <v>24306</v>
      </c>
      <c r="J7303" s="0" t="s">
        <v>24307</v>
      </c>
      <c r="K7303" s="0" t="s">
        <v>24308</v>
      </c>
      <c r="L7303" s="0" t="str">
        <f aca="false">HYPERLINK("https://www.ncbi.nlm.nih.gov/nuccore/CP000058.1?report=graph&amp;tracks=[key:gene_model_track,Options:GeneOnly]&amp;mk=2325490:2325509|offset_40|444444,2325514:2325533|offset_64|444444,2325542:2325561|offset_92|444444,2325564:2325583|offset_114|00cc00&amp;v=2325289:2325783&amp;c=444444", "offset 114")</f>
        <v>offset 114</v>
      </c>
    </row>
    <row r="7304" customFormat="false" ht="12.8" hidden="false" customHeight="false" outlineLevel="0" collapsed="false">
      <c r="A7304" s="0" t="s">
        <v>12</v>
      </c>
      <c r="B7304" s="0" t="n">
        <v>2328344</v>
      </c>
      <c r="C7304" s="0" t="n">
        <v>2328364</v>
      </c>
      <c r="D7304" s="0" t="s">
        <v>24309</v>
      </c>
      <c r="E7304" s="0" t="s">
        <v>24310</v>
      </c>
      <c r="F7304" s="0" t="s">
        <v>15</v>
      </c>
      <c r="G7304" s="0" t="s">
        <v>36</v>
      </c>
      <c r="H7304" s="0" t="n">
        <v>22</v>
      </c>
      <c r="I7304" s="0" t="s">
        <v>24311</v>
      </c>
      <c r="J7304" s="0" t="s">
        <v>24312</v>
      </c>
      <c r="K7304" s="0" t="s">
        <v>24313</v>
      </c>
      <c r="L7304" s="0" t="str">
        <f aca="false">HYPERLINK("https://www.ncbi.nlm.nih.gov/nuccore/CP000058.1?report=graph&amp;tracks=[key:gene_model_track,Options:GeneOnly]&amp;mk=2328345:2328364|offset_22|00cc00,2328369:2328388|offset_46|444444,2328474:2328493|offset_151|444444,2328504:2328523|offset_181|444444&amp;v=2328144:2328723&amp;c=444444", "offset 22")</f>
        <v>offset 22</v>
      </c>
    </row>
    <row r="7305" customFormat="false" ht="12.8" hidden="false" customHeight="false" outlineLevel="0" collapsed="false">
      <c r="A7305" s="0" t="s">
        <v>12</v>
      </c>
      <c r="B7305" s="0" t="n">
        <v>2328368</v>
      </c>
      <c r="C7305" s="0" t="n">
        <v>2328388</v>
      </c>
      <c r="D7305" s="0" t="s">
        <v>24309</v>
      </c>
      <c r="E7305" s="0" t="s">
        <v>24310</v>
      </c>
      <c r="F7305" s="0" t="s">
        <v>15</v>
      </c>
      <c r="G7305" s="0" t="s">
        <v>16</v>
      </c>
      <c r="H7305" s="0" t="n">
        <v>46</v>
      </c>
      <c r="I7305" s="0" t="s">
        <v>24314</v>
      </c>
      <c r="J7305" s="0" t="s">
        <v>24315</v>
      </c>
      <c r="K7305" s="0" t="s">
        <v>24316</v>
      </c>
      <c r="L7305" s="0" t="str">
        <f aca="false">HYPERLINK("https://www.ncbi.nlm.nih.gov/nuccore/CP000058.1?report=graph&amp;tracks=[key:gene_model_track,Options:GeneOnly]&amp;mk=2328345:2328364|offset_22|444444,2328369:2328388|offset_46|00cc00,2328474:2328493|offset_151|444444,2328504:2328523|offset_181|444444&amp;v=2328144:2328723&amp;c=444444", "offset 46")</f>
        <v>offset 46</v>
      </c>
    </row>
    <row r="7306" customFormat="false" ht="12.8" hidden="false" customHeight="false" outlineLevel="0" collapsed="false">
      <c r="A7306" s="0" t="s">
        <v>12</v>
      </c>
      <c r="B7306" s="0" t="n">
        <v>2328473</v>
      </c>
      <c r="C7306" s="0" t="n">
        <v>2328493</v>
      </c>
      <c r="D7306" s="0" t="s">
        <v>24309</v>
      </c>
      <c r="E7306" s="0" t="s">
        <v>24310</v>
      </c>
      <c r="F7306" s="0" t="s">
        <v>15</v>
      </c>
      <c r="G7306" s="0" t="s">
        <v>16</v>
      </c>
      <c r="H7306" s="0" t="n">
        <v>151</v>
      </c>
      <c r="I7306" s="0" t="s">
        <v>24317</v>
      </c>
      <c r="J7306" s="0" t="s">
        <v>24318</v>
      </c>
      <c r="K7306" s="0" t="s">
        <v>24319</v>
      </c>
      <c r="L7306" s="0" t="str">
        <f aca="false">HYPERLINK("https://www.ncbi.nlm.nih.gov/nuccore/CP000058.1?report=graph&amp;tracks=[key:gene_model_track,Options:GeneOnly]&amp;mk=2328345:2328364|offset_22|444444,2328369:2328388|offset_46|444444,2328474:2328493|offset_151|00cc00,2328504:2328523|offset_181|444444&amp;v=2328144:2328723&amp;c=444444", "offset 151")</f>
        <v>offset 151</v>
      </c>
    </row>
    <row r="7307" customFormat="false" ht="12.8" hidden="false" customHeight="false" outlineLevel="0" collapsed="false">
      <c r="A7307" s="0" t="s">
        <v>12</v>
      </c>
      <c r="B7307" s="0" t="n">
        <v>2328503</v>
      </c>
      <c r="C7307" s="0" t="n">
        <v>2328523</v>
      </c>
      <c r="D7307" s="0" t="s">
        <v>24309</v>
      </c>
      <c r="E7307" s="0" t="s">
        <v>24310</v>
      </c>
      <c r="F7307" s="0" t="s">
        <v>15</v>
      </c>
      <c r="G7307" s="0" t="s">
        <v>32</v>
      </c>
      <c r="H7307" s="0" t="n">
        <v>181</v>
      </c>
      <c r="I7307" s="0" t="s">
        <v>24320</v>
      </c>
      <c r="J7307" s="0" t="s">
        <v>24321</v>
      </c>
      <c r="K7307" s="0" t="s">
        <v>24322</v>
      </c>
      <c r="L7307" s="0" t="str">
        <f aca="false">HYPERLINK("https://www.ncbi.nlm.nih.gov/nuccore/CP000058.1?report=graph&amp;tracks=[key:gene_model_track,Options:GeneOnly]&amp;mk=2328345:2328364|offset_22|444444,2328369:2328388|offset_46|444444,2328474:2328493|offset_151|444444,2328504:2328523|offset_181|00cc00&amp;v=2328144:2328723&amp;c=444444", "offset 181")</f>
        <v>offset 181</v>
      </c>
    </row>
    <row r="7308" customFormat="false" ht="12.8" hidden="false" customHeight="false" outlineLevel="0" collapsed="false">
      <c r="A7308" s="0" t="s">
        <v>12</v>
      </c>
      <c r="B7308" s="0" t="n">
        <v>2329720</v>
      </c>
      <c r="C7308" s="0" t="n">
        <v>2329740</v>
      </c>
      <c r="D7308" s="0" t="s">
        <v>24323</v>
      </c>
      <c r="E7308" s="0" t="s">
        <v>24324</v>
      </c>
      <c r="F7308" s="0" t="s">
        <v>15</v>
      </c>
      <c r="G7308" s="0" t="s">
        <v>36</v>
      </c>
      <c r="H7308" s="0" t="n">
        <v>7</v>
      </c>
      <c r="I7308" s="0" t="s">
        <v>24325</v>
      </c>
      <c r="J7308" s="0" t="s">
        <v>24326</v>
      </c>
      <c r="K7308" s="0" t="s">
        <v>24327</v>
      </c>
      <c r="L7308" s="0" t="str">
        <f aca="false">HYPERLINK("https://www.ncbi.nlm.nih.gov/nuccore/CP000058.1?report=graph&amp;tracks=[key:gene_model_track,Options:GeneOnly]&amp;mk=2329721:2329740|offset_7|00cc00,2329755:2329774|offset_41|444444,2329775:2329794|offset_61|444444,2329824:2329843|offset_110|444444&amp;v=2329520:2330043&amp;c=444444", "offset 7")</f>
        <v>offset 7</v>
      </c>
    </row>
    <row r="7309" customFormat="false" ht="12.8" hidden="false" customHeight="false" outlineLevel="0" collapsed="false">
      <c r="A7309" s="0" t="s">
        <v>12</v>
      </c>
      <c r="B7309" s="0" t="n">
        <v>2329754</v>
      </c>
      <c r="C7309" s="0" t="n">
        <v>2329774</v>
      </c>
      <c r="D7309" s="0" t="s">
        <v>24323</v>
      </c>
      <c r="E7309" s="0" t="s">
        <v>24324</v>
      </c>
      <c r="F7309" s="0" t="s">
        <v>15</v>
      </c>
      <c r="G7309" s="0" t="s">
        <v>36</v>
      </c>
      <c r="H7309" s="0" t="n">
        <v>41</v>
      </c>
      <c r="I7309" s="0" t="s">
        <v>24328</v>
      </c>
      <c r="J7309" s="0" t="s">
        <v>24329</v>
      </c>
      <c r="K7309" s="0" t="s">
        <v>24330</v>
      </c>
      <c r="L7309" s="0" t="str">
        <f aca="false">HYPERLINK("https://www.ncbi.nlm.nih.gov/nuccore/CP000058.1?report=graph&amp;tracks=[key:gene_model_track,Options:GeneOnly]&amp;mk=2329721:2329740|offset_7|444444,2329755:2329774|offset_41|00cc00,2329775:2329794|offset_61|444444,2329824:2329843|offset_110|444444&amp;v=2329520:2330043&amp;c=444444", "offset 41")</f>
        <v>offset 41</v>
      </c>
    </row>
    <row r="7310" customFormat="false" ht="12.8" hidden="false" customHeight="false" outlineLevel="0" collapsed="false">
      <c r="A7310" s="0" t="s">
        <v>12</v>
      </c>
      <c r="B7310" s="0" t="n">
        <v>2329774</v>
      </c>
      <c r="C7310" s="0" t="n">
        <v>2329794</v>
      </c>
      <c r="D7310" s="0" t="s">
        <v>24323</v>
      </c>
      <c r="E7310" s="0" t="s">
        <v>24324</v>
      </c>
      <c r="F7310" s="0" t="s">
        <v>15</v>
      </c>
      <c r="G7310" s="0" t="s">
        <v>32</v>
      </c>
      <c r="H7310" s="0" t="n">
        <v>61</v>
      </c>
      <c r="I7310" s="0" t="s">
        <v>24331</v>
      </c>
      <c r="J7310" s="0" t="s">
        <v>24332</v>
      </c>
      <c r="K7310" s="0" t="s">
        <v>24333</v>
      </c>
      <c r="L7310" s="0" t="str">
        <f aca="false">HYPERLINK("https://www.ncbi.nlm.nih.gov/nuccore/CP000058.1?report=graph&amp;tracks=[key:gene_model_track,Options:GeneOnly]&amp;mk=2329721:2329740|offset_7|444444,2329755:2329774|offset_41|444444,2329775:2329794|offset_61|00cc00,2329824:2329843|offset_110|444444&amp;v=2329520:2330043&amp;c=444444", "offset 61")</f>
        <v>offset 61</v>
      </c>
    </row>
    <row r="7311" customFormat="false" ht="12.8" hidden="false" customHeight="false" outlineLevel="0" collapsed="false">
      <c r="A7311" s="0" t="s">
        <v>12</v>
      </c>
      <c r="B7311" s="0" t="n">
        <v>2329823</v>
      </c>
      <c r="C7311" s="0" t="n">
        <v>2329843</v>
      </c>
      <c r="D7311" s="0" t="s">
        <v>24323</v>
      </c>
      <c r="E7311" s="0" t="s">
        <v>24324</v>
      </c>
      <c r="F7311" s="0" t="s">
        <v>15</v>
      </c>
      <c r="G7311" s="0" t="s">
        <v>32</v>
      </c>
      <c r="H7311" s="0" t="n">
        <v>110</v>
      </c>
      <c r="I7311" s="0" t="s">
        <v>24334</v>
      </c>
      <c r="J7311" s="0" t="s">
        <v>24335</v>
      </c>
      <c r="K7311" s="0" t="s">
        <v>24336</v>
      </c>
      <c r="L7311" s="0" t="str">
        <f aca="false">HYPERLINK("https://www.ncbi.nlm.nih.gov/nuccore/CP000058.1?report=graph&amp;tracks=[key:gene_model_track,Options:GeneOnly]&amp;mk=2329721:2329740|offset_7|444444,2329755:2329774|offset_41|444444,2329775:2329794|offset_61|444444,2329824:2329843|offset_110|00cc00&amp;v=2329520:2330043&amp;c=444444", "offset 110")</f>
        <v>offset 110</v>
      </c>
    </row>
    <row r="7312" customFormat="false" ht="12.8" hidden="false" customHeight="false" outlineLevel="0" collapsed="false">
      <c r="A7312" s="0" t="s">
        <v>12</v>
      </c>
      <c r="B7312" s="0" t="n">
        <v>2331408</v>
      </c>
      <c r="C7312" s="0" t="n">
        <v>2331428</v>
      </c>
      <c r="D7312" s="0" t="s">
        <v>24337</v>
      </c>
      <c r="E7312" s="0" t="s">
        <v>24338</v>
      </c>
      <c r="F7312" s="0" t="s">
        <v>15</v>
      </c>
      <c r="G7312" s="0" t="s">
        <v>20</v>
      </c>
      <c r="H7312" s="0" t="n">
        <v>50</v>
      </c>
      <c r="I7312" s="0" t="s">
        <v>24339</v>
      </c>
      <c r="J7312" s="0" t="s">
        <v>24340</v>
      </c>
      <c r="K7312" s="0" t="s">
        <v>24341</v>
      </c>
      <c r="L7312" s="0" t="str">
        <f aca="false">HYPERLINK("https://www.ncbi.nlm.nih.gov/nuccore/CP000058.1?report=graph&amp;tracks=[key:gene_model_track,Options:GeneOnly]&amp;mk=2331409:2331428|offset_50|00cc00,2331441:2331460|offset_82|444444,2331462:2331481|offset_103|444444,2331483:2331502|offset_124|444444&amp;v=2331208:2331702&amp;c=444444", "offset 50")</f>
        <v>offset 50</v>
      </c>
    </row>
    <row r="7313" customFormat="false" ht="12.8" hidden="false" customHeight="false" outlineLevel="0" collapsed="false">
      <c r="A7313" s="0" t="s">
        <v>12</v>
      </c>
      <c r="B7313" s="0" t="n">
        <v>2331440</v>
      </c>
      <c r="C7313" s="0" t="n">
        <v>2331460</v>
      </c>
      <c r="D7313" s="0" t="s">
        <v>24337</v>
      </c>
      <c r="E7313" s="0" t="s">
        <v>24338</v>
      </c>
      <c r="F7313" s="0" t="s">
        <v>15</v>
      </c>
      <c r="G7313" s="0" t="s">
        <v>36</v>
      </c>
      <c r="H7313" s="0" t="n">
        <v>82</v>
      </c>
      <c r="I7313" s="0" t="s">
        <v>24342</v>
      </c>
      <c r="J7313" s="0" t="s">
        <v>24343</v>
      </c>
      <c r="K7313" s="0" t="s">
        <v>24344</v>
      </c>
      <c r="L7313" s="0" t="str">
        <f aca="false">HYPERLINK("https://www.ncbi.nlm.nih.gov/nuccore/CP000058.1?report=graph&amp;tracks=[key:gene_model_track,Options:GeneOnly]&amp;mk=2331409:2331428|offset_50|444444,2331441:2331460|offset_82|00cc00,2331462:2331481|offset_103|444444,2331483:2331502|offset_124|444444&amp;v=2331208:2331702&amp;c=444444", "offset 82")</f>
        <v>offset 82</v>
      </c>
    </row>
    <row r="7314" customFormat="false" ht="12.8" hidden="false" customHeight="false" outlineLevel="0" collapsed="false">
      <c r="A7314" s="0" t="s">
        <v>12</v>
      </c>
      <c r="B7314" s="0" t="n">
        <v>2331461</v>
      </c>
      <c r="C7314" s="0" t="n">
        <v>2331481</v>
      </c>
      <c r="D7314" s="0" t="s">
        <v>24337</v>
      </c>
      <c r="E7314" s="0" t="s">
        <v>24338</v>
      </c>
      <c r="F7314" s="0" t="s">
        <v>15</v>
      </c>
      <c r="G7314" s="0" t="s">
        <v>20</v>
      </c>
      <c r="H7314" s="0" t="n">
        <v>103</v>
      </c>
      <c r="I7314" s="0" t="s">
        <v>24345</v>
      </c>
      <c r="J7314" s="0" t="s">
        <v>24346</v>
      </c>
      <c r="K7314" s="0" t="s">
        <v>24347</v>
      </c>
      <c r="L7314" s="0" t="str">
        <f aca="false">HYPERLINK("https://www.ncbi.nlm.nih.gov/nuccore/CP000058.1?report=graph&amp;tracks=[key:gene_model_track,Options:GeneOnly]&amp;mk=2331409:2331428|offset_50|444444,2331441:2331460|offset_82|444444,2331462:2331481|offset_103|00cc00,2331483:2331502|offset_124|444444&amp;v=2331208:2331702&amp;c=444444", "offset 103")</f>
        <v>offset 103</v>
      </c>
    </row>
    <row r="7315" customFormat="false" ht="12.8" hidden="false" customHeight="false" outlineLevel="0" collapsed="false">
      <c r="A7315" s="0" t="s">
        <v>12</v>
      </c>
      <c r="B7315" s="0" t="n">
        <v>2331482</v>
      </c>
      <c r="C7315" s="0" t="n">
        <v>2331502</v>
      </c>
      <c r="D7315" s="0" t="s">
        <v>24337</v>
      </c>
      <c r="E7315" s="0" t="s">
        <v>24338</v>
      </c>
      <c r="F7315" s="0" t="s">
        <v>15</v>
      </c>
      <c r="G7315" s="0" t="s">
        <v>16</v>
      </c>
      <c r="H7315" s="0" t="n">
        <v>124</v>
      </c>
      <c r="I7315" s="0" t="s">
        <v>24348</v>
      </c>
      <c r="J7315" s="0" t="s">
        <v>24349</v>
      </c>
      <c r="K7315" s="0" t="s">
        <v>24350</v>
      </c>
      <c r="L7315" s="0" t="str">
        <f aca="false">HYPERLINK("https://www.ncbi.nlm.nih.gov/nuccore/CP000058.1?report=graph&amp;tracks=[key:gene_model_track,Options:GeneOnly]&amp;mk=2331409:2331428|offset_50|444444,2331441:2331460|offset_82|444444,2331462:2331481|offset_103|444444,2331483:2331502|offset_124|00cc00&amp;v=2331208:2331702&amp;c=444444", "offset 124")</f>
        <v>offset 124</v>
      </c>
    </row>
    <row r="7316" customFormat="false" ht="12.8" hidden="false" customHeight="false" outlineLevel="0" collapsed="false">
      <c r="A7316" s="0" t="s">
        <v>12</v>
      </c>
      <c r="B7316" s="0" t="n">
        <v>2332535</v>
      </c>
      <c r="C7316" s="0" t="n">
        <v>2332555</v>
      </c>
      <c r="D7316" s="0" t="s">
        <v>24351</v>
      </c>
      <c r="E7316" s="0" t="s">
        <v>24352</v>
      </c>
      <c r="F7316" s="0" t="s">
        <v>15</v>
      </c>
      <c r="G7316" s="0" t="s">
        <v>20</v>
      </c>
      <c r="H7316" s="0" t="n">
        <v>11</v>
      </c>
      <c r="I7316" s="0" t="s">
        <v>24353</v>
      </c>
      <c r="J7316" s="0" t="s">
        <v>24354</v>
      </c>
      <c r="K7316" s="0" t="s">
        <v>24355</v>
      </c>
      <c r="L7316" s="0" t="str">
        <f aca="false">HYPERLINK("https://www.ncbi.nlm.nih.gov/nuccore/CP000058.1?report=graph&amp;tracks=[key:gene_model_track,Options:GeneOnly]&amp;mk=2332536:2332555|offset_11|00cc00,2332566:2332585|offset_41|444444,2332592:2332611|offset_67|444444,2332616:2332635|offset_91|444444&amp;v=2332335:2332835&amp;c=444444", "offset 11")</f>
        <v>offset 11</v>
      </c>
    </row>
    <row r="7317" customFormat="false" ht="12.8" hidden="false" customHeight="false" outlineLevel="0" collapsed="false">
      <c r="A7317" s="0" t="s">
        <v>12</v>
      </c>
      <c r="B7317" s="0" t="n">
        <v>2332565</v>
      </c>
      <c r="C7317" s="0" t="n">
        <v>2332585</v>
      </c>
      <c r="D7317" s="0" t="s">
        <v>24351</v>
      </c>
      <c r="E7317" s="0" t="s">
        <v>24352</v>
      </c>
      <c r="F7317" s="0" t="s">
        <v>15</v>
      </c>
      <c r="G7317" s="0" t="s">
        <v>32</v>
      </c>
      <c r="H7317" s="0" t="n">
        <v>41</v>
      </c>
      <c r="I7317" s="0" t="s">
        <v>24356</v>
      </c>
      <c r="J7317" s="0" t="s">
        <v>24357</v>
      </c>
      <c r="K7317" s="0" t="s">
        <v>24358</v>
      </c>
      <c r="L7317" s="0" t="str">
        <f aca="false">HYPERLINK("https://www.ncbi.nlm.nih.gov/nuccore/CP000058.1?report=graph&amp;tracks=[key:gene_model_track,Options:GeneOnly]&amp;mk=2332536:2332555|offset_11|444444,2332566:2332585|offset_41|00cc00,2332592:2332611|offset_67|444444,2332616:2332635|offset_91|444444&amp;v=2332335:2332835&amp;c=444444", "offset 41")</f>
        <v>offset 41</v>
      </c>
    </row>
    <row r="7318" customFormat="false" ht="12.8" hidden="false" customHeight="false" outlineLevel="0" collapsed="false">
      <c r="A7318" s="0" t="s">
        <v>12</v>
      </c>
      <c r="B7318" s="0" t="n">
        <v>2332591</v>
      </c>
      <c r="C7318" s="0" t="n">
        <v>2332611</v>
      </c>
      <c r="D7318" s="0" t="s">
        <v>24351</v>
      </c>
      <c r="E7318" s="0" t="s">
        <v>24352</v>
      </c>
      <c r="F7318" s="0" t="s">
        <v>15</v>
      </c>
      <c r="G7318" s="0" t="s">
        <v>20</v>
      </c>
      <c r="H7318" s="0" t="n">
        <v>67</v>
      </c>
      <c r="I7318" s="0" t="s">
        <v>24359</v>
      </c>
      <c r="J7318" s="0" t="s">
        <v>24360</v>
      </c>
      <c r="K7318" s="0" t="s">
        <v>24361</v>
      </c>
      <c r="L7318" s="0" t="str">
        <f aca="false">HYPERLINK("https://www.ncbi.nlm.nih.gov/nuccore/CP000058.1?report=graph&amp;tracks=[key:gene_model_track,Options:GeneOnly]&amp;mk=2332536:2332555|offset_11|444444,2332566:2332585|offset_41|444444,2332592:2332611|offset_67|00cc00,2332616:2332635|offset_91|444444&amp;v=2332335:2332835&amp;c=444444", "offset 67")</f>
        <v>offset 67</v>
      </c>
    </row>
    <row r="7319" customFormat="false" ht="12.8" hidden="false" customHeight="false" outlineLevel="0" collapsed="false">
      <c r="A7319" s="0" t="s">
        <v>12</v>
      </c>
      <c r="B7319" s="0" t="n">
        <v>2332615</v>
      </c>
      <c r="C7319" s="0" t="n">
        <v>2332635</v>
      </c>
      <c r="D7319" s="0" t="s">
        <v>24351</v>
      </c>
      <c r="E7319" s="0" t="s">
        <v>24352</v>
      </c>
      <c r="F7319" s="0" t="s">
        <v>15</v>
      </c>
      <c r="G7319" s="0" t="s">
        <v>20</v>
      </c>
      <c r="H7319" s="0" t="n">
        <v>91</v>
      </c>
      <c r="I7319" s="0" t="s">
        <v>24362</v>
      </c>
      <c r="J7319" s="0" t="s">
        <v>24363</v>
      </c>
      <c r="K7319" s="0" t="s">
        <v>24364</v>
      </c>
      <c r="L7319" s="0" t="str">
        <f aca="false">HYPERLINK("https://www.ncbi.nlm.nih.gov/nuccore/CP000058.1?report=graph&amp;tracks=[key:gene_model_track,Options:GeneOnly]&amp;mk=2332536:2332555|offset_11|444444,2332566:2332585|offset_41|444444,2332592:2332611|offset_67|444444,2332616:2332635|offset_91|00cc00&amp;v=2332335:2332835&amp;c=444444", "offset 91")</f>
        <v>offset 91</v>
      </c>
    </row>
    <row r="7320" customFormat="false" ht="12.8" hidden="false" customHeight="false" outlineLevel="0" collapsed="false">
      <c r="A7320" s="0" t="s">
        <v>12</v>
      </c>
      <c r="B7320" s="0" t="n">
        <v>2333495</v>
      </c>
      <c r="C7320" s="0" t="n">
        <v>2333515</v>
      </c>
      <c r="D7320" s="0" t="s">
        <v>24365</v>
      </c>
      <c r="E7320" s="0" t="s">
        <v>24366</v>
      </c>
      <c r="F7320" s="0" t="s">
        <v>15</v>
      </c>
      <c r="G7320" s="0" t="s">
        <v>20</v>
      </c>
      <c r="H7320" s="0" t="n">
        <v>21</v>
      </c>
      <c r="I7320" s="0" t="s">
        <v>24367</v>
      </c>
      <c r="J7320" s="0" t="s">
        <v>24368</v>
      </c>
      <c r="K7320" s="0" t="s">
        <v>24369</v>
      </c>
      <c r="L7320" s="0" t="str">
        <f aca="false">HYPERLINK("https://www.ncbi.nlm.nih.gov/nuccore/CP000058.1?report=graph&amp;tracks=[key:gene_model_track,Options:GeneOnly]&amp;mk=2333496:2333515|offset_21|00cc00,2333516:2333535|offset_41|444444,2333545:2333564|offset_70|444444,2333572:2333591|offset_97|444444&amp;v=2333295:2333791&amp;c=444444", "offset 21")</f>
        <v>offset 21</v>
      </c>
    </row>
    <row r="7321" customFormat="false" ht="12.8" hidden="false" customHeight="false" outlineLevel="0" collapsed="false">
      <c r="A7321" s="0" t="s">
        <v>12</v>
      </c>
      <c r="B7321" s="0" t="n">
        <v>2333515</v>
      </c>
      <c r="C7321" s="0" t="n">
        <v>2333535</v>
      </c>
      <c r="D7321" s="0" t="s">
        <v>24365</v>
      </c>
      <c r="E7321" s="0" t="s">
        <v>24366</v>
      </c>
      <c r="F7321" s="0" t="s">
        <v>15</v>
      </c>
      <c r="G7321" s="0" t="s">
        <v>16</v>
      </c>
      <c r="H7321" s="0" t="n">
        <v>41</v>
      </c>
      <c r="I7321" s="0" t="s">
        <v>24370</v>
      </c>
      <c r="J7321" s="0" t="s">
        <v>24371</v>
      </c>
      <c r="K7321" s="0" t="s">
        <v>24372</v>
      </c>
      <c r="L7321" s="0" t="str">
        <f aca="false">HYPERLINK("https://www.ncbi.nlm.nih.gov/nuccore/CP000058.1?report=graph&amp;tracks=[key:gene_model_track,Options:GeneOnly]&amp;mk=2333496:2333515|offset_21|444444,2333516:2333535|offset_41|00cc00,2333545:2333564|offset_70|444444,2333572:2333591|offset_97|444444&amp;v=2333295:2333791&amp;c=444444", "offset 41")</f>
        <v>offset 41</v>
      </c>
    </row>
    <row r="7322" customFormat="false" ht="12.8" hidden="false" customHeight="false" outlineLevel="0" collapsed="false">
      <c r="A7322" s="0" t="s">
        <v>12</v>
      </c>
      <c r="B7322" s="0" t="n">
        <v>2333544</v>
      </c>
      <c r="C7322" s="0" t="n">
        <v>2333564</v>
      </c>
      <c r="D7322" s="0" t="s">
        <v>24365</v>
      </c>
      <c r="E7322" s="0" t="s">
        <v>24366</v>
      </c>
      <c r="F7322" s="0" t="s">
        <v>15</v>
      </c>
      <c r="G7322" s="0" t="s">
        <v>16</v>
      </c>
      <c r="H7322" s="0" t="n">
        <v>70</v>
      </c>
      <c r="I7322" s="0" t="s">
        <v>24373</v>
      </c>
      <c r="J7322" s="0" t="s">
        <v>24374</v>
      </c>
      <c r="K7322" s="0" t="s">
        <v>24375</v>
      </c>
      <c r="L7322" s="0" t="str">
        <f aca="false">HYPERLINK("https://www.ncbi.nlm.nih.gov/nuccore/CP000058.1?report=graph&amp;tracks=[key:gene_model_track,Options:GeneOnly]&amp;mk=2333496:2333515|offset_21|444444,2333516:2333535|offset_41|444444,2333545:2333564|offset_70|00cc00,2333572:2333591|offset_97|444444&amp;v=2333295:2333791&amp;c=444444", "offset 70")</f>
        <v>offset 70</v>
      </c>
    </row>
    <row r="7323" customFormat="false" ht="12.8" hidden="false" customHeight="false" outlineLevel="0" collapsed="false">
      <c r="A7323" s="0" t="s">
        <v>12</v>
      </c>
      <c r="B7323" s="0" t="n">
        <v>2333571</v>
      </c>
      <c r="C7323" s="0" t="n">
        <v>2333591</v>
      </c>
      <c r="D7323" s="0" t="s">
        <v>24365</v>
      </c>
      <c r="E7323" s="0" t="s">
        <v>24366</v>
      </c>
      <c r="F7323" s="0" t="s">
        <v>15</v>
      </c>
      <c r="G7323" s="0" t="s">
        <v>32</v>
      </c>
      <c r="H7323" s="0" t="n">
        <v>97</v>
      </c>
      <c r="I7323" s="0" t="s">
        <v>24376</v>
      </c>
      <c r="J7323" s="0" t="s">
        <v>24377</v>
      </c>
      <c r="K7323" s="0" t="s">
        <v>24378</v>
      </c>
      <c r="L7323" s="0" t="str">
        <f aca="false">HYPERLINK("https://www.ncbi.nlm.nih.gov/nuccore/CP000058.1?report=graph&amp;tracks=[key:gene_model_track,Options:GeneOnly]&amp;mk=2333496:2333515|offset_21|444444,2333516:2333535|offset_41|444444,2333545:2333564|offset_70|444444,2333572:2333591|offset_97|00cc00&amp;v=2333295:2333791&amp;c=444444", "offset 97")</f>
        <v>offset 97</v>
      </c>
    </row>
    <row r="7324" customFormat="false" ht="12.8" hidden="false" customHeight="false" outlineLevel="0" collapsed="false">
      <c r="A7324" s="0" t="s">
        <v>12</v>
      </c>
      <c r="B7324" s="0" t="n">
        <v>2335440</v>
      </c>
      <c r="C7324" s="0" t="n">
        <v>2335460</v>
      </c>
      <c r="D7324" s="0" t="s">
        <v>24379</v>
      </c>
      <c r="E7324" s="0" t="s">
        <v>75</v>
      </c>
      <c r="F7324" s="0" t="s">
        <v>90</v>
      </c>
      <c r="G7324" s="0" t="s">
        <v>36</v>
      </c>
      <c r="H7324" s="0" t="n">
        <v>0</v>
      </c>
      <c r="I7324" s="0" t="s">
        <v>24380</v>
      </c>
      <c r="J7324" s="0" t="s">
        <v>24381</v>
      </c>
      <c r="K7324" s="0" t="s">
        <v>24382</v>
      </c>
      <c r="L7324" s="0" t="str">
        <f aca="false">HYPERLINK("https://www.ncbi.nlm.nih.gov/nuccore/CP000058.1?report=graph&amp;tracks=[key:gene_model_track,Options:GeneOnly]&amp;mk=2335441:2335460|offset_0|00cc00,2335416:2335435|offset_25|444444,2335391:2335410|offset_50|444444,2335368:2335387|offset_73|444444&amp;v=2335240:2335587&amp;c=444444", "offset 0")</f>
        <v>offset 0</v>
      </c>
    </row>
    <row r="7325" customFormat="false" ht="12.8" hidden="false" customHeight="false" outlineLevel="0" collapsed="false">
      <c r="A7325" s="0" t="s">
        <v>12</v>
      </c>
      <c r="B7325" s="0" t="n">
        <v>2335415</v>
      </c>
      <c r="C7325" s="0" t="n">
        <v>2335435</v>
      </c>
      <c r="D7325" s="0" t="s">
        <v>24379</v>
      </c>
      <c r="E7325" s="0" t="s">
        <v>75</v>
      </c>
      <c r="F7325" s="0" t="s">
        <v>90</v>
      </c>
      <c r="G7325" s="0" t="s">
        <v>20</v>
      </c>
      <c r="H7325" s="0" t="n">
        <v>25</v>
      </c>
      <c r="I7325" s="0" t="s">
        <v>24383</v>
      </c>
      <c r="J7325" s="0" t="s">
        <v>24384</v>
      </c>
      <c r="K7325" s="0" t="s">
        <v>24385</v>
      </c>
      <c r="L7325" s="0" t="str">
        <f aca="false">HYPERLINK("https://www.ncbi.nlm.nih.gov/nuccore/CP000058.1?report=graph&amp;tracks=[key:gene_model_track,Options:GeneOnly]&amp;mk=2335441:2335460|offset_0|444444,2335416:2335435|offset_25|00cc00,2335391:2335410|offset_50|444444,2335368:2335387|offset_73|444444&amp;v=2335240:2335587&amp;c=444444", "offset 25")</f>
        <v>offset 25</v>
      </c>
    </row>
    <row r="7326" customFormat="false" ht="12.8" hidden="false" customHeight="false" outlineLevel="0" collapsed="false">
      <c r="A7326" s="0" t="s">
        <v>12</v>
      </c>
      <c r="B7326" s="0" t="n">
        <v>2335390</v>
      </c>
      <c r="C7326" s="0" t="n">
        <v>2335410</v>
      </c>
      <c r="D7326" s="0" t="s">
        <v>24379</v>
      </c>
      <c r="E7326" s="0" t="s">
        <v>75</v>
      </c>
      <c r="F7326" s="0" t="s">
        <v>90</v>
      </c>
      <c r="G7326" s="0" t="s">
        <v>20</v>
      </c>
      <c r="H7326" s="0" t="n">
        <v>50</v>
      </c>
      <c r="I7326" s="0" t="s">
        <v>24386</v>
      </c>
      <c r="J7326" s="0" t="s">
        <v>24387</v>
      </c>
      <c r="K7326" s="0" t="s">
        <v>24388</v>
      </c>
      <c r="L7326" s="0" t="str">
        <f aca="false">HYPERLINK("https://www.ncbi.nlm.nih.gov/nuccore/CP000058.1?report=graph&amp;tracks=[key:gene_model_track,Options:GeneOnly]&amp;mk=2335441:2335460|offset_0|444444,2335416:2335435|offset_25|444444,2335391:2335410|offset_50|00cc00,2335368:2335387|offset_73|444444&amp;v=2335240:2335587&amp;c=444444", "offset 50")</f>
        <v>offset 50</v>
      </c>
    </row>
    <row r="7327" customFormat="false" ht="12.8" hidden="false" customHeight="false" outlineLevel="0" collapsed="false">
      <c r="A7327" s="0" t="s">
        <v>12</v>
      </c>
      <c r="B7327" s="0" t="n">
        <v>2335367</v>
      </c>
      <c r="C7327" s="0" t="n">
        <v>2335387</v>
      </c>
      <c r="D7327" s="0" t="s">
        <v>24379</v>
      </c>
      <c r="E7327" s="0" t="s">
        <v>75</v>
      </c>
      <c r="F7327" s="0" t="s">
        <v>90</v>
      </c>
      <c r="G7327" s="0" t="s">
        <v>16</v>
      </c>
      <c r="H7327" s="0" t="n">
        <v>73</v>
      </c>
      <c r="I7327" s="0" t="s">
        <v>24389</v>
      </c>
      <c r="J7327" s="0" t="s">
        <v>24390</v>
      </c>
      <c r="K7327" s="0" t="s">
        <v>24391</v>
      </c>
      <c r="L7327" s="0" t="str">
        <f aca="false">HYPERLINK("https://www.ncbi.nlm.nih.gov/nuccore/CP000058.1?report=graph&amp;tracks=[key:gene_model_track,Options:GeneOnly]&amp;mk=2335441:2335460|offset_0|444444,2335416:2335435|offset_25|444444,2335391:2335410|offset_50|444444,2335368:2335387|offset_73|00cc00&amp;v=2335240:2335587&amp;c=444444", "offset 73")</f>
        <v>offset 73</v>
      </c>
    </row>
    <row r="7328" customFormat="false" ht="12.8" hidden="false" customHeight="false" outlineLevel="0" collapsed="false">
      <c r="A7328" s="0" t="s">
        <v>12</v>
      </c>
      <c r="B7328" s="0" t="n">
        <v>2335802</v>
      </c>
      <c r="C7328" s="0" t="n">
        <v>2335822</v>
      </c>
      <c r="D7328" s="0" t="s">
        <v>24392</v>
      </c>
      <c r="E7328" s="0" t="s">
        <v>24393</v>
      </c>
      <c r="F7328" s="0" t="s">
        <v>15</v>
      </c>
      <c r="G7328" s="0" t="s">
        <v>20</v>
      </c>
      <c r="H7328" s="0" t="n">
        <v>29</v>
      </c>
      <c r="I7328" s="0" t="s">
        <v>24394</v>
      </c>
      <c r="J7328" s="0" t="s">
        <v>24395</v>
      </c>
      <c r="K7328" s="0" t="s">
        <v>24396</v>
      </c>
      <c r="L7328" s="0" t="str">
        <f aca="false">HYPERLINK("https://www.ncbi.nlm.nih.gov/nuccore/CP000058.1?report=graph&amp;tracks=[key:gene_model_track,Options:GeneOnly]&amp;mk=2335803:2335822|offset_29|00cc00,2335839:2335858|offset_65|444444,2335862:2335881|offset_88|444444,2335940:2335959|offset_166|444444&amp;v=2335602:2336159&amp;c=444444", "offset 29")</f>
        <v>offset 29</v>
      </c>
    </row>
    <row r="7329" customFormat="false" ht="12.8" hidden="false" customHeight="false" outlineLevel="0" collapsed="false">
      <c r="A7329" s="0" t="s">
        <v>12</v>
      </c>
      <c r="B7329" s="0" t="n">
        <v>2335838</v>
      </c>
      <c r="C7329" s="0" t="n">
        <v>2335858</v>
      </c>
      <c r="D7329" s="0" t="s">
        <v>24392</v>
      </c>
      <c r="E7329" s="0" t="s">
        <v>24393</v>
      </c>
      <c r="F7329" s="0" t="s">
        <v>15</v>
      </c>
      <c r="G7329" s="0" t="s">
        <v>20</v>
      </c>
      <c r="H7329" s="0" t="n">
        <v>65</v>
      </c>
      <c r="I7329" s="0" t="s">
        <v>24397</v>
      </c>
      <c r="J7329" s="0" t="s">
        <v>24398</v>
      </c>
      <c r="K7329" s="0" t="s">
        <v>24399</v>
      </c>
      <c r="L7329" s="0" t="str">
        <f aca="false">HYPERLINK("https://www.ncbi.nlm.nih.gov/nuccore/CP000058.1?report=graph&amp;tracks=[key:gene_model_track,Options:GeneOnly]&amp;mk=2335803:2335822|offset_29|444444,2335839:2335858|offset_65|00cc00,2335862:2335881|offset_88|444444,2335940:2335959|offset_166|444444&amp;v=2335602:2336159&amp;c=444444", "offset 65")</f>
        <v>offset 65</v>
      </c>
    </row>
    <row r="7330" customFormat="false" ht="12.8" hidden="false" customHeight="false" outlineLevel="0" collapsed="false">
      <c r="A7330" s="0" t="s">
        <v>12</v>
      </c>
      <c r="B7330" s="0" t="n">
        <v>2335861</v>
      </c>
      <c r="C7330" s="0" t="n">
        <v>2335881</v>
      </c>
      <c r="D7330" s="0" t="s">
        <v>24392</v>
      </c>
      <c r="E7330" s="0" t="s">
        <v>24393</v>
      </c>
      <c r="F7330" s="0" t="s">
        <v>15</v>
      </c>
      <c r="G7330" s="0" t="s">
        <v>32</v>
      </c>
      <c r="H7330" s="0" t="n">
        <v>88</v>
      </c>
      <c r="I7330" s="0" t="s">
        <v>24400</v>
      </c>
      <c r="J7330" s="0" t="s">
        <v>24401</v>
      </c>
      <c r="K7330" s="0" t="s">
        <v>24402</v>
      </c>
      <c r="L7330" s="0" t="str">
        <f aca="false">HYPERLINK("https://www.ncbi.nlm.nih.gov/nuccore/CP000058.1?report=graph&amp;tracks=[key:gene_model_track,Options:GeneOnly]&amp;mk=2335803:2335822|offset_29|444444,2335839:2335858|offset_65|444444,2335862:2335881|offset_88|00cc00,2335940:2335959|offset_166|444444&amp;v=2335602:2336159&amp;c=444444", "offset 88")</f>
        <v>offset 88</v>
      </c>
    </row>
    <row r="7331" customFormat="false" ht="12.8" hidden="false" customHeight="false" outlineLevel="0" collapsed="false">
      <c r="A7331" s="0" t="s">
        <v>12</v>
      </c>
      <c r="B7331" s="0" t="n">
        <v>2335939</v>
      </c>
      <c r="C7331" s="0" t="n">
        <v>2335959</v>
      </c>
      <c r="D7331" s="0" t="s">
        <v>24392</v>
      </c>
      <c r="E7331" s="0" t="s">
        <v>24393</v>
      </c>
      <c r="F7331" s="0" t="s">
        <v>15</v>
      </c>
      <c r="G7331" s="0" t="s">
        <v>32</v>
      </c>
      <c r="H7331" s="0" t="n">
        <v>166</v>
      </c>
      <c r="I7331" s="0" t="s">
        <v>24403</v>
      </c>
      <c r="J7331" s="0" t="s">
        <v>24404</v>
      </c>
      <c r="K7331" s="0" t="s">
        <v>24405</v>
      </c>
      <c r="L7331" s="0" t="str">
        <f aca="false">HYPERLINK("https://www.ncbi.nlm.nih.gov/nuccore/CP000058.1?report=graph&amp;tracks=[key:gene_model_track,Options:GeneOnly]&amp;mk=2335803:2335822|offset_29|444444,2335839:2335858|offset_65|444444,2335862:2335881|offset_88|444444,2335940:2335959|offset_166|00cc00&amp;v=2335602:2336159&amp;c=444444", "offset 166")</f>
        <v>offset 166</v>
      </c>
    </row>
    <row r="7332" customFormat="false" ht="12.8" hidden="false" customHeight="false" outlineLevel="0" collapsed="false">
      <c r="A7332" s="0" t="s">
        <v>12</v>
      </c>
      <c r="B7332" s="0" t="n">
        <v>2337821</v>
      </c>
      <c r="C7332" s="0" t="n">
        <v>2337841</v>
      </c>
      <c r="D7332" s="0" t="s">
        <v>24406</v>
      </c>
      <c r="E7332" s="0" t="s">
        <v>75</v>
      </c>
      <c r="F7332" s="0" t="s">
        <v>15</v>
      </c>
      <c r="G7332" s="0" t="s">
        <v>32</v>
      </c>
      <c r="H7332" s="0" t="n">
        <v>50</v>
      </c>
      <c r="I7332" s="0" t="s">
        <v>24407</v>
      </c>
      <c r="J7332" s="0" t="s">
        <v>24408</v>
      </c>
      <c r="K7332" s="0" t="s">
        <v>24409</v>
      </c>
      <c r="L7332" s="0" t="str">
        <f aca="false">HYPERLINK("https://www.ncbi.nlm.nih.gov/nuccore/CP000058.1?report=graph&amp;tracks=[key:gene_model_track,Options:GeneOnly]&amp;mk=2337822:2337841|offset_50|00cc00,2337852:2337871|offset_80|444444,2337874:2337893|offset_102|444444,2337912:2337931|offset_140|444444&amp;v=2337621:2338131&amp;c=444444", "offset 50")</f>
        <v>offset 50</v>
      </c>
    </row>
    <row r="7333" customFormat="false" ht="12.8" hidden="false" customHeight="false" outlineLevel="0" collapsed="false">
      <c r="A7333" s="0" t="s">
        <v>12</v>
      </c>
      <c r="B7333" s="0" t="n">
        <v>2337851</v>
      </c>
      <c r="C7333" s="0" t="n">
        <v>2337871</v>
      </c>
      <c r="D7333" s="0" t="s">
        <v>24406</v>
      </c>
      <c r="E7333" s="0" t="s">
        <v>75</v>
      </c>
      <c r="F7333" s="0" t="s">
        <v>15</v>
      </c>
      <c r="G7333" s="0" t="s">
        <v>36</v>
      </c>
      <c r="H7333" s="0" t="n">
        <v>80</v>
      </c>
      <c r="I7333" s="0" t="s">
        <v>24410</v>
      </c>
      <c r="J7333" s="0" t="s">
        <v>24411</v>
      </c>
      <c r="K7333" s="0" t="s">
        <v>24412</v>
      </c>
      <c r="L7333" s="0" t="str">
        <f aca="false">HYPERLINK("https://www.ncbi.nlm.nih.gov/nuccore/CP000058.1?report=graph&amp;tracks=[key:gene_model_track,Options:GeneOnly]&amp;mk=2337822:2337841|offset_50|444444,2337852:2337871|offset_80|00cc00,2337874:2337893|offset_102|444444,2337912:2337931|offset_140|444444&amp;v=2337621:2338131&amp;c=444444", "offset 80")</f>
        <v>offset 80</v>
      </c>
    </row>
    <row r="7334" customFormat="false" ht="12.8" hidden="false" customHeight="false" outlineLevel="0" collapsed="false">
      <c r="A7334" s="0" t="s">
        <v>12</v>
      </c>
      <c r="B7334" s="0" t="n">
        <v>2337873</v>
      </c>
      <c r="C7334" s="0" t="n">
        <v>2337893</v>
      </c>
      <c r="D7334" s="0" t="s">
        <v>24406</v>
      </c>
      <c r="E7334" s="0" t="s">
        <v>75</v>
      </c>
      <c r="F7334" s="0" t="s">
        <v>15</v>
      </c>
      <c r="G7334" s="0" t="s">
        <v>32</v>
      </c>
      <c r="H7334" s="0" t="n">
        <v>102</v>
      </c>
      <c r="I7334" s="0" t="s">
        <v>24413</v>
      </c>
      <c r="J7334" s="0" t="s">
        <v>24414</v>
      </c>
      <c r="K7334" s="0" t="s">
        <v>24415</v>
      </c>
      <c r="L7334" s="0" t="str">
        <f aca="false">HYPERLINK("https://www.ncbi.nlm.nih.gov/nuccore/CP000058.1?report=graph&amp;tracks=[key:gene_model_track,Options:GeneOnly]&amp;mk=2337822:2337841|offset_50|444444,2337852:2337871|offset_80|444444,2337874:2337893|offset_102|00cc00,2337912:2337931|offset_140|444444&amp;v=2337621:2338131&amp;c=444444", "offset 102")</f>
        <v>offset 102</v>
      </c>
    </row>
    <row r="7335" customFormat="false" ht="12.8" hidden="false" customHeight="false" outlineLevel="0" collapsed="false">
      <c r="A7335" s="0" t="s">
        <v>12</v>
      </c>
      <c r="B7335" s="0" t="n">
        <v>2337911</v>
      </c>
      <c r="C7335" s="0" t="n">
        <v>2337931</v>
      </c>
      <c r="D7335" s="0" t="s">
        <v>24406</v>
      </c>
      <c r="E7335" s="0" t="s">
        <v>75</v>
      </c>
      <c r="F7335" s="0" t="s">
        <v>15</v>
      </c>
      <c r="G7335" s="0" t="s">
        <v>32</v>
      </c>
      <c r="H7335" s="0" t="n">
        <v>140</v>
      </c>
      <c r="I7335" s="0" t="s">
        <v>24416</v>
      </c>
      <c r="J7335" s="0" t="s">
        <v>24417</v>
      </c>
      <c r="K7335" s="0" t="s">
        <v>24418</v>
      </c>
      <c r="L7335" s="0" t="str">
        <f aca="false">HYPERLINK("https://www.ncbi.nlm.nih.gov/nuccore/CP000058.1?report=graph&amp;tracks=[key:gene_model_track,Options:GeneOnly]&amp;mk=2337822:2337841|offset_50|444444,2337852:2337871|offset_80|444444,2337874:2337893|offset_102|444444,2337912:2337931|offset_140|00cc00&amp;v=2337621:2338131&amp;c=444444", "offset 140")</f>
        <v>offset 140</v>
      </c>
    </row>
    <row r="7336" customFormat="false" ht="12.8" hidden="false" customHeight="false" outlineLevel="0" collapsed="false">
      <c r="A7336" s="0" t="s">
        <v>12</v>
      </c>
      <c r="B7336" s="0" t="n">
        <v>2339983</v>
      </c>
      <c r="C7336" s="0" t="n">
        <v>2340003</v>
      </c>
      <c r="D7336" s="0" t="s">
        <v>24419</v>
      </c>
      <c r="E7336" s="0" t="s">
        <v>24420</v>
      </c>
      <c r="F7336" s="0" t="s">
        <v>90</v>
      </c>
      <c r="G7336" s="0" t="s">
        <v>16</v>
      </c>
      <c r="H7336" s="0" t="n">
        <v>8</v>
      </c>
      <c r="I7336" s="0" t="s">
        <v>24421</v>
      </c>
      <c r="J7336" s="0" t="s">
        <v>24422</v>
      </c>
      <c r="K7336" s="0" t="s">
        <v>24423</v>
      </c>
      <c r="L7336" s="0" t="str">
        <f aca="false">HYPERLINK("https://www.ncbi.nlm.nih.gov/nuccore/CP000058.1?report=graph&amp;tracks=[key:gene_model_track,Options:GeneOnly]&amp;mk=2339984:2340003|offset_8|00cc00,2339952:2339971|offset_40|444444,2339928:2339947|offset_64|444444,2339903:2339922|offset_89|444444&amp;v=2339783:2340122&amp;c=444444", "offset 8")</f>
        <v>offset 8</v>
      </c>
    </row>
    <row r="7337" customFormat="false" ht="12.8" hidden="false" customHeight="false" outlineLevel="0" collapsed="false">
      <c r="A7337" s="0" t="s">
        <v>12</v>
      </c>
      <c r="B7337" s="0" t="n">
        <v>2339951</v>
      </c>
      <c r="C7337" s="0" t="n">
        <v>2339971</v>
      </c>
      <c r="D7337" s="0" t="s">
        <v>24419</v>
      </c>
      <c r="E7337" s="0" t="s">
        <v>24420</v>
      </c>
      <c r="F7337" s="0" t="s">
        <v>90</v>
      </c>
      <c r="G7337" s="0" t="s">
        <v>20</v>
      </c>
      <c r="H7337" s="0" t="n">
        <v>40</v>
      </c>
      <c r="I7337" s="0" t="s">
        <v>24424</v>
      </c>
      <c r="J7337" s="0" t="s">
        <v>24425</v>
      </c>
      <c r="K7337" s="0" t="s">
        <v>24426</v>
      </c>
      <c r="L7337" s="0" t="str">
        <f aca="false">HYPERLINK("https://www.ncbi.nlm.nih.gov/nuccore/CP000058.1?report=graph&amp;tracks=[key:gene_model_track,Options:GeneOnly]&amp;mk=2339984:2340003|offset_8|444444,2339952:2339971|offset_40|00cc00,2339928:2339947|offset_64|444444,2339903:2339922|offset_89|444444&amp;v=2339783:2340122&amp;c=444444", "offset 40")</f>
        <v>offset 40</v>
      </c>
    </row>
    <row r="7338" customFormat="false" ht="12.8" hidden="false" customHeight="false" outlineLevel="0" collapsed="false">
      <c r="A7338" s="0" t="s">
        <v>12</v>
      </c>
      <c r="B7338" s="0" t="n">
        <v>2339927</v>
      </c>
      <c r="C7338" s="0" t="n">
        <v>2339947</v>
      </c>
      <c r="D7338" s="0" t="s">
        <v>24419</v>
      </c>
      <c r="E7338" s="0" t="s">
        <v>24420</v>
      </c>
      <c r="F7338" s="0" t="s">
        <v>90</v>
      </c>
      <c r="G7338" s="0" t="s">
        <v>16</v>
      </c>
      <c r="H7338" s="0" t="n">
        <v>64</v>
      </c>
      <c r="I7338" s="0" t="s">
        <v>24427</v>
      </c>
      <c r="J7338" s="0" t="s">
        <v>24428</v>
      </c>
      <c r="K7338" s="0" t="s">
        <v>24429</v>
      </c>
      <c r="L7338" s="0" t="str">
        <f aca="false">HYPERLINK("https://www.ncbi.nlm.nih.gov/nuccore/CP000058.1?report=graph&amp;tracks=[key:gene_model_track,Options:GeneOnly]&amp;mk=2339984:2340003|offset_8|444444,2339952:2339971|offset_40|444444,2339928:2339947|offset_64|00cc00,2339903:2339922|offset_89|444444&amp;v=2339783:2340122&amp;c=444444", "offset 64")</f>
        <v>offset 64</v>
      </c>
    </row>
    <row r="7339" customFormat="false" ht="12.8" hidden="false" customHeight="false" outlineLevel="0" collapsed="false">
      <c r="A7339" s="0" t="s">
        <v>12</v>
      </c>
      <c r="B7339" s="0" t="n">
        <v>2339902</v>
      </c>
      <c r="C7339" s="0" t="n">
        <v>2339922</v>
      </c>
      <c r="D7339" s="0" t="s">
        <v>24419</v>
      </c>
      <c r="E7339" s="0" t="s">
        <v>24420</v>
      </c>
      <c r="F7339" s="0" t="s">
        <v>90</v>
      </c>
      <c r="G7339" s="0" t="s">
        <v>16</v>
      </c>
      <c r="H7339" s="0" t="n">
        <v>89</v>
      </c>
      <c r="I7339" s="0" t="s">
        <v>24430</v>
      </c>
      <c r="J7339" s="0" t="s">
        <v>24431</v>
      </c>
      <c r="K7339" s="0" t="s">
        <v>24432</v>
      </c>
      <c r="L7339" s="0" t="str">
        <f aca="false">HYPERLINK("https://www.ncbi.nlm.nih.gov/nuccore/CP000058.1?report=graph&amp;tracks=[key:gene_model_track,Options:GeneOnly]&amp;mk=2339984:2340003|offset_8|444444,2339952:2339971|offset_40|444444,2339928:2339947|offset_64|444444,2339903:2339922|offset_89|00cc00&amp;v=2339783:2340122&amp;c=444444", "offset 89")</f>
        <v>offset 89</v>
      </c>
    </row>
    <row r="7340" customFormat="false" ht="12.8" hidden="false" customHeight="false" outlineLevel="0" collapsed="false">
      <c r="A7340" s="0" t="s">
        <v>12</v>
      </c>
      <c r="B7340" s="0" t="n">
        <v>2340510</v>
      </c>
      <c r="C7340" s="0" t="n">
        <v>2340530</v>
      </c>
      <c r="D7340" s="0" t="s">
        <v>24433</v>
      </c>
      <c r="E7340" s="0" t="s">
        <v>24434</v>
      </c>
      <c r="F7340" s="0" t="s">
        <v>90</v>
      </c>
      <c r="G7340" s="0" t="s">
        <v>32</v>
      </c>
      <c r="H7340" s="0" t="n">
        <v>7</v>
      </c>
      <c r="I7340" s="0" t="s">
        <v>24435</v>
      </c>
      <c r="J7340" s="0" t="s">
        <v>24436</v>
      </c>
      <c r="K7340" s="0" t="s">
        <v>24437</v>
      </c>
      <c r="L7340" s="0" t="str">
        <f aca="false">HYPERLINK("https://www.ncbi.nlm.nih.gov/nuccore/CP000058.1?report=graph&amp;tracks=[key:gene_model_track,Options:GeneOnly]&amp;mk=2340511:2340530|offset_7|00cc00,2340483:2340502|offset_35|444444,2340450:2340469|offset_68|444444,2340430:2340449|offset_88|444444&amp;v=2340310:2340649&amp;c=444444", "offset 7")</f>
        <v>offset 7</v>
      </c>
    </row>
    <row r="7341" customFormat="false" ht="12.8" hidden="false" customHeight="false" outlineLevel="0" collapsed="false">
      <c r="A7341" s="0" t="s">
        <v>12</v>
      </c>
      <c r="B7341" s="0" t="n">
        <v>2340482</v>
      </c>
      <c r="C7341" s="0" t="n">
        <v>2340502</v>
      </c>
      <c r="D7341" s="0" t="s">
        <v>24433</v>
      </c>
      <c r="E7341" s="0" t="s">
        <v>24434</v>
      </c>
      <c r="F7341" s="0" t="s">
        <v>90</v>
      </c>
      <c r="G7341" s="0" t="s">
        <v>20</v>
      </c>
      <c r="H7341" s="0" t="n">
        <v>35</v>
      </c>
      <c r="I7341" s="0" t="s">
        <v>24438</v>
      </c>
      <c r="J7341" s="0" t="s">
        <v>24439</v>
      </c>
      <c r="K7341" s="0" t="s">
        <v>24440</v>
      </c>
      <c r="L7341" s="0" t="str">
        <f aca="false">HYPERLINK("https://www.ncbi.nlm.nih.gov/nuccore/CP000058.1?report=graph&amp;tracks=[key:gene_model_track,Options:GeneOnly]&amp;mk=2340511:2340530|offset_7|444444,2340483:2340502|offset_35|00cc00,2340450:2340469|offset_68|444444,2340430:2340449|offset_88|444444&amp;v=2340310:2340649&amp;c=444444", "offset 35")</f>
        <v>offset 35</v>
      </c>
    </row>
    <row r="7342" customFormat="false" ht="12.8" hidden="false" customHeight="false" outlineLevel="0" collapsed="false">
      <c r="A7342" s="0" t="s">
        <v>12</v>
      </c>
      <c r="B7342" s="0" t="n">
        <v>2340449</v>
      </c>
      <c r="C7342" s="0" t="n">
        <v>2340469</v>
      </c>
      <c r="D7342" s="0" t="s">
        <v>24433</v>
      </c>
      <c r="E7342" s="0" t="s">
        <v>24434</v>
      </c>
      <c r="F7342" s="0" t="s">
        <v>90</v>
      </c>
      <c r="G7342" s="0" t="s">
        <v>36</v>
      </c>
      <c r="H7342" s="0" t="n">
        <v>68</v>
      </c>
      <c r="I7342" s="0" t="s">
        <v>24441</v>
      </c>
      <c r="J7342" s="0" t="s">
        <v>24442</v>
      </c>
      <c r="K7342" s="0" t="s">
        <v>24443</v>
      </c>
      <c r="L7342" s="0" t="str">
        <f aca="false">HYPERLINK("https://www.ncbi.nlm.nih.gov/nuccore/CP000058.1?report=graph&amp;tracks=[key:gene_model_track,Options:GeneOnly]&amp;mk=2340511:2340530|offset_7|444444,2340483:2340502|offset_35|444444,2340450:2340469|offset_68|00cc00,2340430:2340449|offset_88|444444&amp;v=2340310:2340649&amp;c=444444", "offset 68")</f>
        <v>offset 68</v>
      </c>
    </row>
    <row r="7343" customFormat="false" ht="12.8" hidden="false" customHeight="false" outlineLevel="0" collapsed="false">
      <c r="A7343" s="0" t="s">
        <v>12</v>
      </c>
      <c r="B7343" s="0" t="n">
        <v>2340429</v>
      </c>
      <c r="C7343" s="0" t="n">
        <v>2340449</v>
      </c>
      <c r="D7343" s="0" t="s">
        <v>24433</v>
      </c>
      <c r="E7343" s="0" t="s">
        <v>24434</v>
      </c>
      <c r="F7343" s="0" t="s">
        <v>90</v>
      </c>
      <c r="G7343" s="0" t="s">
        <v>16</v>
      </c>
      <c r="H7343" s="0" t="n">
        <v>88</v>
      </c>
      <c r="I7343" s="0" t="s">
        <v>24444</v>
      </c>
      <c r="J7343" s="0" t="s">
        <v>24445</v>
      </c>
      <c r="K7343" s="0" t="s">
        <v>24446</v>
      </c>
      <c r="L7343" s="0" t="str">
        <f aca="false">HYPERLINK("https://www.ncbi.nlm.nih.gov/nuccore/CP000058.1?report=graph&amp;tracks=[key:gene_model_track,Options:GeneOnly]&amp;mk=2340511:2340530|offset_7|444444,2340483:2340502|offset_35|444444,2340450:2340469|offset_68|444444,2340430:2340449|offset_88|00cc00&amp;v=2340310:2340649&amp;c=444444", "offset 88")</f>
        <v>offset 88</v>
      </c>
    </row>
    <row r="7344" customFormat="false" ht="12.8" hidden="false" customHeight="false" outlineLevel="0" collapsed="false">
      <c r="A7344" s="0" t="s">
        <v>12</v>
      </c>
      <c r="B7344" s="0" t="n">
        <v>2344370</v>
      </c>
      <c r="C7344" s="0" t="n">
        <v>2344390</v>
      </c>
      <c r="D7344" s="0" t="s">
        <v>24447</v>
      </c>
      <c r="E7344" s="0" t="s">
        <v>24448</v>
      </c>
      <c r="F7344" s="0" t="s">
        <v>15</v>
      </c>
      <c r="G7344" s="0" t="s">
        <v>32</v>
      </c>
      <c r="H7344" s="0" t="n">
        <v>7</v>
      </c>
      <c r="I7344" s="0" t="s">
        <v>24449</v>
      </c>
      <c r="J7344" s="0" t="s">
        <v>24450</v>
      </c>
      <c r="K7344" s="0" t="s">
        <v>24451</v>
      </c>
      <c r="L7344" s="0" t="str">
        <f aca="false">HYPERLINK("https://www.ncbi.nlm.nih.gov/nuccore/CP000058.1?report=graph&amp;tracks=[key:gene_model_track,Options:GeneOnly]&amp;mk=2344371:2344390|offset_7|00cc00,2344419:2344438|offset_55|444444,2344447:2344466|offset_83|444444,2344475:2344494|offset_111|444444&amp;v=2344170:2344694&amp;c=444444", "offset 7")</f>
        <v>offset 7</v>
      </c>
    </row>
    <row r="7345" customFormat="false" ht="12.8" hidden="false" customHeight="false" outlineLevel="0" collapsed="false">
      <c r="A7345" s="0" t="s">
        <v>12</v>
      </c>
      <c r="B7345" s="0" t="n">
        <v>2344418</v>
      </c>
      <c r="C7345" s="0" t="n">
        <v>2344438</v>
      </c>
      <c r="D7345" s="0" t="s">
        <v>24447</v>
      </c>
      <c r="E7345" s="0" t="s">
        <v>24448</v>
      </c>
      <c r="F7345" s="0" t="s">
        <v>15</v>
      </c>
      <c r="G7345" s="0" t="s">
        <v>32</v>
      </c>
      <c r="H7345" s="0" t="n">
        <v>55</v>
      </c>
      <c r="I7345" s="0" t="s">
        <v>24452</v>
      </c>
      <c r="J7345" s="0" t="s">
        <v>24453</v>
      </c>
      <c r="K7345" s="0" t="s">
        <v>24454</v>
      </c>
      <c r="L7345" s="0" t="str">
        <f aca="false">HYPERLINK("https://www.ncbi.nlm.nih.gov/nuccore/CP000058.1?report=graph&amp;tracks=[key:gene_model_track,Options:GeneOnly]&amp;mk=2344371:2344390|offset_7|444444,2344419:2344438|offset_55|00cc00,2344447:2344466|offset_83|444444,2344475:2344494|offset_111|444444&amp;v=2344170:2344694&amp;c=444444", "offset 55")</f>
        <v>offset 55</v>
      </c>
    </row>
    <row r="7346" customFormat="false" ht="12.8" hidden="false" customHeight="false" outlineLevel="0" collapsed="false">
      <c r="A7346" s="0" t="s">
        <v>12</v>
      </c>
      <c r="B7346" s="0" t="n">
        <v>2344446</v>
      </c>
      <c r="C7346" s="0" t="n">
        <v>2344466</v>
      </c>
      <c r="D7346" s="0" t="s">
        <v>24447</v>
      </c>
      <c r="E7346" s="0" t="s">
        <v>24448</v>
      </c>
      <c r="F7346" s="0" t="s">
        <v>15</v>
      </c>
      <c r="G7346" s="0" t="s">
        <v>32</v>
      </c>
      <c r="H7346" s="0" t="n">
        <v>83</v>
      </c>
      <c r="I7346" s="0" t="s">
        <v>24455</v>
      </c>
      <c r="J7346" s="0" t="s">
        <v>24456</v>
      </c>
      <c r="K7346" s="0" t="s">
        <v>24457</v>
      </c>
      <c r="L7346" s="0" t="str">
        <f aca="false">HYPERLINK("https://www.ncbi.nlm.nih.gov/nuccore/CP000058.1?report=graph&amp;tracks=[key:gene_model_track,Options:GeneOnly]&amp;mk=2344371:2344390|offset_7|444444,2344419:2344438|offset_55|444444,2344447:2344466|offset_83|00cc00,2344475:2344494|offset_111|444444&amp;v=2344170:2344694&amp;c=444444", "offset 83")</f>
        <v>offset 83</v>
      </c>
    </row>
    <row r="7347" customFormat="false" ht="12.8" hidden="false" customHeight="false" outlineLevel="0" collapsed="false">
      <c r="A7347" s="0" t="s">
        <v>12</v>
      </c>
      <c r="B7347" s="0" t="n">
        <v>2344474</v>
      </c>
      <c r="C7347" s="0" t="n">
        <v>2344494</v>
      </c>
      <c r="D7347" s="0" t="s">
        <v>24447</v>
      </c>
      <c r="E7347" s="0" t="s">
        <v>24448</v>
      </c>
      <c r="F7347" s="0" t="s">
        <v>15</v>
      </c>
      <c r="G7347" s="0" t="s">
        <v>16</v>
      </c>
      <c r="H7347" s="0" t="n">
        <v>111</v>
      </c>
      <c r="I7347" s="0" t="s">
        <v>24458</v>
      </c>
      <c r="J7347" s="0" t="s">
        <v>24459</v>
      </c>
      <c r="K7347" s="0" t="s">
        <v>24460</v>
      </c>
      <c r="L7347" s="0" t="str">
        <f aca="false">HYPERLINK("https://www.ncbi.nlm.nih.gov/nuccore/CP000058.1?report=graph&amp;tracks=[key:gene_model_track,Options:GeneOnly]&amp;mk=2344371:2344390|offset_7|444444,2344419:2344438|offset_55|444444,2344447:2344466|offset_83|444444,2344475:2344494|offset_111|00cc00&amp;v=2344170:2344694&amp;c=444444", "offset 111")</f>
        <v>offset 111</v>
      </c>
    </row>
    <row r="7348" customFormat="false" ht="12.8" hidden="false" customHeight="false" outlineLevel="0" collapsed="false">
      <c r="A7348" s="0" t="s">
        <v>12</v>
      </c>
      <c r="B7348" s="0" t="n">
        <v>2345399</v>
      </c>
      <c r="C7348" s="0" t="n">
        <v>2345419</v>
      </c>
      <c r="D7348" s="0" t="s">
        <v>24461</v>
      </c>
      <c r="E7348" s="0" t="s">
        <v>75</v>
      </c>
      <c r="F7348" s="0" t="s">
        <v>15</v>
      </c>
      <c r="G7348" s="0" t="s">
        <v>16</v>
      </c>
      <c r="H7348" s="0" t="n">
        <v>63</v>
      </c>
      <c r="I7348" s="0" t="s">
        <v>24462</v>
      </c>
      <c r="J7348" s="0" t="s">
        <v>24463</v>
      </c>
      <c r="K7348" s="0" t="s">
        <v>24464</v>
      </c>
      <c r="L7348" s="0" t="str">
        <f aca="false">HYPERLINK("https://www.ncbi.nlm.nih.gov/nuccore/CP000058.1?report=graph&amp;tracks=[key:gene_model_track,Options:GeneOnly]&amp;mk=2345400:2345419|offset_63|00cc00,2345435:2345454|offset_98|444444,2345549:2345568|offset_212|444444,2345576:2345595|offset_239|444444&amp;v=2345199:2345795&amp;c=444444", "offset 63")</f>
        <v>offset 63</v>
      </c>
    </row>
    <row r="7349" customFormat="false" ht="12.8" hidden="false" customHeight="false" outlineLevel="0" collapsed="false">
      <c r="A7349" s="0" t="s">
        <v>12</v>
      </c>
      <c r="B7349" s="0" t="n">
        <v>2345434</v>
      </c>
      <c r="C7349" s="0" t="n">
        <v>2345454</v>
      </c>
      <c r="D7349" s="0" t="s">
        <v>24461</v>
      </c>
      <c r="E7349" s="0" t="s">
        <v>75</v>
      </c>
      <c r="F7349" s="0" t="s">
        <v>15</v>
      </c>
      <c r="G7349" s="0" t="s">
        <v>32</v>
      </c>
      <c r="H7349" s="0" t="n">
        <v>98</v>
      </c>
      <c r="I7349" s="0" t="s">
        <v>24465</v>
      </c>
      <c r="J7349" s="0" t="s">
        <v>24466</v>
      </c>
      <c r="K7349" s="0" t="s">
        <v>24467</v>
      </c>
      <c r="L7349" s="0" t="str">
        <f aca="false">HYPERLINK("https://www.ncbi.nlm.nih.gov/nuccore/CP000058.1?report=graph&amp;tracks=[key:gene_model_track,Options:GeneOnly]&amp;mk=2345400:2345419|offset_63|444444,2345435:2345454|offset_98|00cc00,2345549:2345568|offset_212|444444,2345576:2345595|offset_239|444444&amp;v=2345199:2345795&amp;c=444444", "offset 98")</f>
        <v>offset 98</v>
      </c>
    </row>
    <row r="7350" customFormat="false" ht="12.8" hidden="false" customHeight="false" outlineLevel="0" collapsed="false">
      <c r="A7350" s="0" t="s">
        <v>12</v>
      </c>
      <c r="B7350" s="0" t="n">
        <v>2345548</v>
      </c>
      <c r="C7350" s="0" t="n">
        <v>2345568</v>
      </c>
      <c r="D7350" s="0" t="s">
        <v>24461</v>
      </c>
      <c r="E7350" s="0" t="s">
        <v>75</v>
      </c>
      <c r="F7350" s="0" t="s">
        <v>15</v>
      </c>
      <c r="G7350" s="0" t="s">
        <v>20</v>
      </c>
      <c r="H7350" s="0" t="n">
        <v>212</v>
      </c>
      <c r="I7350" s="0" t="s">
        <v>24468</v>
      </c>
      <c r="J7350" s="0" t="s">
        <v>24469</v>
      </c>
      <c r="K7350" s="0" t="s">
        <v>24470</v>
      </c>
      <c r="L7350" s="0" t="str">
        <f aca="false">HYPERLINK("https://www.ncbi.nlm.nih.gov/nuccore/CP000058.1?report=graph&amp;tracks=[key:gene_model_track,Options:GeneOnly]&amp;mk=2345400:2345419|offset_63|444444,2345435:2345454|offset_98|444444,2345549:2345568|offset_212|00cc00,2345576:2345595|offset_239|444444&amp;v=2345199:2345795&amp;c=444444", "offset 212")</f>
        <v>offset 212</v>
      </c>
    </row>
    <row r="7351" customFormat="false" ht="12.8" hidden="false" customHeight="false" outlineLevel="0" collapsed="false">
      <c r="A7351" s="0" t="s">
        <v>12</v>
      </c>
      <c r="B7351" s="0" t="n">
        <v>2345575</v>
      </c>
      <c r="C7351" s="0" t="n">
        <v>2345595</v>
      </c>
      <c r="D7351" s="0" t="s">
        <v>24461</v>
      </c>
      <c r="E7351" s="0" t="s">
        <v>75</v>
      </c>
      <c r="F7351" s="0" t="s">
        <v>15</v>
      </c>
      <c r="G7351" s="0" t="s">
        <v>20</v>
      </c>
      <c r="H7351" s="0" t="n">
        <v>239</v>
      </c>
      <c r="I7351" s="0" t="s">
        <v>24471</v>
      </c>
      <c r="J7351" s="0" t="s">
        <v>24472</v>
      </c>
      <c r="K7351" s="0" t="s">
        <v>24473</v>
      </c>
      <c r="L7351" s="0" t="str">
        <f aca="false">HYPERLINK("https://www.ncbi.nlm.nih.gov/nuccore/CP000058.1?report=graph&amp;tracks=[key:gene_model_track,Options:GeneOnly]&amp;mk=2345400:2345419|offset_63|444444,2345435:2345454|offset_98|444444,2345549:2345568|offset_212|444444,2345576:2345595|offset_239|00cc00&amp;v=2345199:2345795&amp;c=444444", "offset 239")</f>
        <v>offset 239</v>
      </c>
    </row>
    <row r="7352" customFormat="false" ht="12.8" hidden="false" customHeight="false" outlineLevel="0" collapsed="false">
      <c r="A7352" s="0" t="s">
        <v>12</v>
      </c>
      <c r="B7352" s="0" t="n">
        <v>2345813</v>
      </c>
      <c r="C7352" s="0" t="n">
        <v>2345833</v>
      </c>
      <c r="D7352" s="0" t="s">
        <v>24474</v>
      </c>
      <c r="E7352" s="0" t="s">
        <v>24475</v>
      </c>
      <c r="F7352" s="0" t="s">
        <v>15</v>
      </c>
      <c r="G7352" s="0" t="s">
        <v>16</v>
      </c>
      <c r="H7352" s="0" t="n">
        <v>58</v>
      </c>
      <c r="I7352" s="0" t="s">
        <v>24476</v>
      </c>
      <c r="J7352" s="0" t="s">
        <v>24477</v>
      </c>
      <c r="K7352" s="0" t="s">
        <v>24478</v>
      </c>
      <c r="L7352" s="0" t="str">
        <f aca="false">HYPERLINK("https://www.ncbi.nlm.nih.gov/nuccore/CP000058.1?report=graph&amp;tracks=[key:gene_model_track,Options:GeneOnly]&amp;mk=2345814:2345833|offset_58|00cc00,2345901:2345920|offset_145|444444,2345931:2345950|offset_175|444444,2345965:2345984|offset_209|444444&amp;v=2345613:2346184&amp;c=444444", "offset 58")</f>
        <v>offset 58</v>
      </c>
    </row>
    <row r="7353" customFormat="false" ht="12.8" hidden="false" customHeight="false" outlineLevel="0" collapsed="false">
      <c r="A7353" s="0" t="s">
        <v>12</v>
      </c>
      <c r="B7353" s="0" t="n">
        <v>2345900</v>
      </c>
      <c r="C7353" s="0" t="n">
        <v>2345920</v>
      </c>
      <c r="D7353" s="0" t="s">
        <v>24474</v>
      </c>
      <c r="E7353" s="0" t="s">
        <v>24475</v>
      </c>
      <c r="F7353" s="0" t="s">
        <v>15</v>
      </c>
      <c r="G7353" s="0" t="s">
        <v>32</v>
      </c>
      <c r="H7353" s="0" t="n">
        <v>145</v>
      </c>
      <c r="I7353" s="0" t="s">
        <v>24479</v>
      </c>
      <c r="J7353" s="0" t="s">
        <v>24480</v>
      </c>
      <c r="K7353" s="0" t="s">
        <v>24481</v>
      </c>
      <c r="L7353" s="0" t="str">
        <f aca="false">HYPERLINK("https://www.ncbi.nlm.nih.gov/nuccore/CP000058.1?report=graph&amp;tracks=[key:gene_model_track,Options:GeneOnly]&amp;mk=2345814:2345833|offset_58|444444,2345901:2345920|offset_145|00cc00,2345931:2345950|offset_175|444444,2345965:2345984|offset_209|444444&amp;v=2345613:2346184&amp;c=444444", "offset 145")</f>
        <v>offset 145</v>
      </c>
    </row>
    <row r="7354" customFormat="false" ht="12.8" hidden="false" customHeight="false" outlineLevel="0" collapsed="false">
      <c r="A7354" s="0" t="s">
        <v>12</v>
      </c>
      <c r="B7354" s="0" t="n">
        <v>2345930</v>
      </c>
      <c r="C7354" s="0" t="n">
        <v>2345950</v>
      </c>
      <c r="D7354" s="0" t="s">
        <v>24474</v>
      </c>
      <c r="E7354" s="0" t="s">
        <v>24475</v>
      </c>
      <c r="F7354" s="0" t="s">
        <v>15</v>
      </c>
      <c r="G7354" s="0" t="s">
        <v>16</v>
      </c>
      <c r="H7354" s="0" t="n">
        <v>175</v>
      </c>
      <c r="I7354" s="0" t="s">
        <v>24482</v>
      </c>
      <c r="J7354" s="0" t="s">
        <v>24483</v>
      </c>
      <c r="K7354" s="0" t="s">
        <v>24484</v>
      </c>
      <c r="L7354" s="0" t="str">
        <f aca="false">HYPERLINK("https://www.ncbi.nlm.nih.gov/nuccore/CP000058.1?report=graph&amp;tracks=[key:gene_model_track,Options:GeneOnly]&amp;mk=2345814:2345833|offset_58|444444,2345901:2345920|offset_145|444444,2345931:2345950|offset_175|00cc00,2345965:2345984|offset_209|444444&amp;v=2345613:2346184&amp;c=444444", "offset 175")</f>
        <v>offset 175</v>
      </c>
    </row>
    <row r="7355" customFormat="false" ht="12.8" hidden="false" customHeight="false" outlineLevel="0" collapsed="false">
      <c r="A7355" s="0" t="s">
        <v>12</v>
      </c>
      <c r="B7355" s="0" t="n">
        <v>2345964</v>
      </c>
      <c r="C7355" s="0" t="n">
        <v>2345984</v>
      </c>
      <c r="D7355" s="0" t="s">
        <v>24474</v>
      </c>
      <c r="E7355" s="0" t="s">
        <v>24475</v>
      </c>
      <c r="F7355" s="0" t="s">
        <v>15</v>
      </c>
      <c r="G7355" s="0" t="s">
        <v>36</v>
      </c>
      <c r="H7355" s="0" t="n">
        <v>209</v>
      </c>
      <c r="I7355" s="0" t="s">
        <v>24485</v>
      </c>
      <c r="J7355" s="0" t="s">
        <v>24486</v>
      </c>
      <c r="K7355" s="0" t="s">
        <v>24487</v>
      </c>
      <c r="L7355" s="0" t="str">
        <f aca="false">HYPERLINK("https://www.ncbi.nlm.nih.gov/nuccore/CP000058.1?report=graph&amp;tracks=[key:gene_model_track,Options:GeneOnly]&amp;mk=2345814:2345833|offset_58|444444,2345901:2345920|offset_145|444444,2345931:2345950|offset_175|444444,2345965:2345984|offset_209|00cc00&amp;v=2345613:2346184&amp;c=444444", "offset 209")</f>
        <v>offset 209</v>
      </c>
    </row>
    <row r="7356" customFormat="false" ht="12.8" hidden="false" customHeight="false" outlineLevel="0" collapsed="false">
      <c r="A7356" s="0" t="s">
        <v>12</v>
      </c>
      <c r="B7356" s="0" t="n">
        <v>2346295</v>
      </c>
      <c r="C7356" s="0" t="n">
        <v>2346315</v>
      </c>
      <c r="D7356" s="0" t="s">
        <v>24488</v>
      </c>
      <c r="E7356" s="0" t="s">
        <v>75</v>
      </c>
      <c r="F7356" s="0" t="s">
        <v>15</v>
      </c>
      <c r="G7356" s="0" t="s">
        <v>20</v>
      </c>
      <c r="H7356" s="0" t="n">
        <v>24</v>
      </c>
      <c r="I7356" s="0" t="s">
        <v>24489</v>
      </c>
      <c r="J7356" s="0" t="s">
        <v>24490</v>
      </c>
      <c r="K7356" s="0" t="s">
        <v>24491</v>
      </c>
      <c r="L7356" s="0" t="str">
        <f aca="false">HYPERLINK("https://www.ncbi.nlm.nih.gov/nuccore/CP000058.1?report=graph&amp;tracks=[key:gene_model_track,Options:GeneOnly]&amp;mk=2346296:2346315|offset_24|00cc00,2346355:2346374|offset_83|444444,2346381:2346400|offset_109|444444,2346414:2346433|offset_142|444444&amp;v=2346095:2346633&amp;c=444444", "offset 24")</f>
        <v>offset 24</v>
      </c>
    </row>
    <row r="7357" customFormat="false" ht="12.8" hidden="false" customHeight="false" outlineLevel="0" collapsed="false">
      <c r="A7357" s="0" t="s">
        <v>12</v>
      </c>
      <c r="B7357" s="0" t="n">
        <v>2346354</v>
      </c>
      <c r="C7357" s="0" t="n">
        <v>2346374</v>
      </c>
      <c r="D7357" s="0" t="s">
        <v>24488</v>
      </c>
      <c r="E7357" s="0" t="s">
        <v>75</v>
      </c>
      <c r="F7357" s="0" t="s">
        <v>15</v>
      </c>
      <c r="G7357" s="0" t="s">
        <v>16</v>
      </c>
      <c r="H7357" s="0" t="n">
        <v>83</v>
      </c>
      <c r="I7357" s="0" t="s">
        <v>24492</v>
      </c>
      <c r="J7357" s="0" t="s">
        <v>24493</v>
      </c>
      <c r="K7357" s="0" t="s">
        <v>24494</v>
      </c>
      <c r="L7357" s="0" t="str">
        <f aca="false">HYPERLINK("https://www.ncbi.nlm.nih.gov/nuccore/CP000058.1?report=graph&amp;tracks=[key:gene_model_track,Options:GeneOnly]&amp;mk=2346296:2346315|offset_24|444444,2346355:2346374|offset_83|00cc00,2346381:2346400|offset_109|444444,2346414:2346433|offset_142|444444&amp;v=2346095:2346633&amp;c=444444", "offset 83")</f>
        <v>offset 83</v>
      </c>
    </row>
    <row r="7358" customFormat="false" ht="12.8" hidden="false" customHeight="false" outlineLevel="0" collapsed="false">
      <c r="A7358" s="0" t="s">
        <v>12</v>
      </c>
      <c r="B7358" s="0" t="n">
        <v>2346380</v>
      </c>
      <c r="C7358" s="0" t="n">
        <v>2346400</v>
      </c>
      <c r="D7358" s="0" t="s">
        <v>24488</v>
      </c>
      <c r="E7358" s="0" t="s">
        <v>75</v>
      </c>
      <c r="F7358" s="0" t="s">
        <v>15</v>
      </c>
      <c r="G7358" s="0" t="s">
        <v>36</v>
      </c>
      <c r="H7358" s="0" t="n">
        <v>109</v>
      </c>
      <c r="I7358" s="0" t="s">
        <v>24495</v>
      </c>
      <c r="J7358" s="0" t="s">
        <v>24496</v>
      </c>
      <c r="K7358" s="0" t="s">
        <v>24497</v>
      </c>
      <c r="L7358" s="0" t="str">
        <f aca="false">HYPERLINK("https://www.ncbi.nlm.nih.gov/nuccore/CP000058.1?report=graph&amp;tracks=[key:gene_model_track,Options:GeneOnly]&amp;mk=2346296:2346315|offset_24|444444,2346355:2346374|offset_83|444444,2346381:2346400|offset_109|00cc00,2346414:2346433|offset_142|444444&amp;v=2346095:2346633&amp;c=444444", "offset 109")</f>
        <v>offset 109</v>
      </c>
    </row>
    <row r="7359" customFormat="false" ht="12.8" hidden="false" customHeight="false" outlineLevel="0" collapsed="false">
      <c r="A7359" s="0" t="s">
        <v>12</v>
      </c>
      <c r="B7359" s="0" t="n">
        <v>2346413</v>
      </c>
      <c r="C7359" s="0" t="n">
        <v>2346433</v>
      </c>
      <c r="D7359" s="0" t="s">
        <v>24488</v>
      </c>
      <c r="E7359" s="0" t="s">
        <v>75</v>
      </c>
      <c r="F7359" s="0" t="s">
        <v>15</v>
      </c>
      <c r="G7359" s="0" t="s">
        <v>36</v>
      </c>
      <c r="H7359" s="0" t="n">
        <v>142</v>
      </c>
      <c r="I7359" s="0" t="s">
        <v>24498</v>
      </c>
      <c r="J7359" s="0" t="s">
        <v>24499</v>
      </c>
      <c r="K7359" s="0" t="s">
        <v>24500</v>
      </c>
      <c r="L7359" s="0" t="str">
        <f aca="false">HYPERLINK("https://www.ncbi.nlm.nih.gov/nuccore/CP000058.1?report=graph&amp;tracks=[key:gene_model_track,Options:GeneOnly]&amp;mk=2346296:2346315|offset_24|444444,2346355:2346374|offset_83|444444,2346381:2346400|offset_109|444444,2346414:2346433|offset_142|00cc00&amp;v=2346095:2346633&amp;c=444444", "offset 142")</f>
        <v>offset 142</v>
      </c>
    </row>
    <row r="7360" customFormat="false" ht="12.8" hidden="false" customHeight="false" outlineLevel="0" collapsed="false">
      <c r="A7360" s="0" t="s">
        <v>12</v>
      </c>
      <c r="B7360" s="0" t="n">
        <v>2346743</v>
      </c>
      <c r="C7360" s="0" t="n">
        <v>2346763</v>
      </c>
      <c r="D7360" s="0" t="s">
        <v>24501</v>
      </c>
      <c r="E7360" s="0" t="s">
        <v>75</v>
      </c>
      <c r="F7360" s="0" t="s">
        <v>15</v>
      </c>
      <c r="G7360" s="0" t="s">
        <v>16</v>
      </c>
      <c r="H7360" s="0" t="n">
        <v>11</v>
      </c>
      <c r="I7360" s="0" t="s">
        <v>24502</v>
      </c>
      <c r="J7360" s="0" t="s">
        <v>24503</v>
      </c>
      <c r="K7360" s="0" t="s">
        <v>24504</v>
      </c>
      <c r="L7360" s="0" t="str">
        <f aca="false">HYPERLINK("https://www.ncbi.nlm.nih.gov/nuccore/CP000058.1?report=graph&amp;tracks=[key:gene_model_track,Options:GeneOnly]&amp;mk=2346744:2346763|offset_11|00cc00,2346770:2346789|offset_37|444444,2346821:2346840|offset_88|444444,2346847:2346866|offset_114|444444&amp;v=2346543:2347066&amp;c=444444", "offset 11")</f>
        <v>offset 11</v>
      </c>
    </row>
    <row r="7361" customFormat="false" ht="12.8" hidden="false" customHeight="false" outlineLevel="0" collapsed="false">
      <c r="A7361" s="0" t="s">
        <v>12</v>
      </c>
      <c r="B7361" s="0" t="n">
        <v>2346769</v>
      </c>
      <c r="C7361" s="0" t="n">
        <v>2346789</v>
      </c>
      <c r="D7361" s="0" t="s">
        <v>24501</v>
      </c>
      <c r="E7361" s="0" t="s">
        <v>75</v>
      </c>
      <c r="F7361" s="0" t="s">
        <v>15</v>
      </c>
      <c r="G7361" s="0" t="s">
        <v>32</v>
      </c>
      <c r="H7361" s="0" t="n">
        <v>37</v>
      </c>
      <c r="I7361" s="0" t="s">
        <v>24505</v>
      </c>
      <c r="J7361" s="0" t="s">
        <v>24506</v>
      </c>
      <c r="K7361" s="0" t="s">
        <v>24507</v>
      </c>
      <c r="L7361" s="0" t="str">
        <f aca="false">HYPERLINK("https://www.ncbi.nlm.nih.gov/nuccore/CP000058.1?report=graph&amp;tracks=[key:gene_model_track,Options:GeneOnly]&amp;mk=2346744:2346763|offset_11|444444,2346770:2346789|offset_37|00cc00,2346821:2346840|offset_88|444444,2346847:2346866|offset_114|444444&amp;v=2346543:2347066&amp;c=444444", "offset 37")</f>
        <v>offset 37</v>
      </c>
    </row>
    <row r="7362" customFormat="false" ht="12.8" hidden="false" customHeight="false" outlineLevel="0" collapsed="false">
      <c r="A7362" s="0" t="s">
        <v>12</v>
      </c>
      <c r="B7362" s="0" t="n">
        <v>2346820</v>
      </c>
      <c r="C7362" s="0" t="n">
        <v>2346840</v>
      </c>
      <c r="D7362" s="0" t="s">
        <v>24501</v>
      </c>
      <c r="E7362" s="0" t="s">
        <v>75</v>
      </c>
      <c r="F7362" s="0" t="s">
        <v>15</v>
      </c>
      <c r="G7362" s="0" t="s">
        <v>20</v>
      </c>
      <c r="H7362" s="0" t="n">
        <v>88</v>
      </c>
      <c r="I7362" s="0" t="s">
        <v>24508</v>
      </c>
      <c r="J7362" s="0" t="s">
        <v>24509</v>
      </c>
      <c r="K7362" s="0" t="s">
        <v>24510</v>
      </c>
      <c r="L7362" s="0" t="str">
        <f aca="false">HYPERLINK("https://www.ncbi.nlm.nih.gov/nuccore/CP000058.1?report=graph&amp;tracks=[key:gene_model_track,Options:GeneOnly]&amp;mk=2346744:2346763|offset_11|444444,2346770:2346789|offset_37|444444,2346821:2346840|offset_88|00cc00,2346847:2346866|offset_114|444444&amp;v=2346543:2347066&amp;c=444444", "offset 88")</f>
        <v>offset 88</v>
      </c>
    </row>
    <row r="7363" customFormat="false" ht="12.8" hidden="false" customHeight="false" outlineLevel="0" collapsed="false">
      <c r="A7363" s="0" t="s">
        <v>12</v>
      </c>
      <c r="B7363" s="0" t="n">
        <v>2346846</v>
      </c>
      <c r="C7363" s="0" t="n">
        <v>2346866</v>
      </c>
      <c r="D7363" s="0" t="s">
        <v>24501</v>
      </c>
      <c r="E7363" s="0" t="s">
        <v>75</v>
      </c>
      <c r="F7363" s="0" t="s">
        <v>15</v>
      </c>
      <c r="G7363" s="0" t="s">
        <v>36</v>
      </c>
      <c r="H7363" s="0" t="n">
        <v>114</v>
      </c>
      <c r="I7363" s="0" t="s">
        <v>24511</v>
      </c>
      <c r="J7363" s="0" t="s">
        <v>24512</v>
      </c>
      <c r="K7363" s="0" t="s">
        <v>24513</v>
      </c>
      <c r="L7363" s="0" t="str">
        <f aca="false">HYPERLINK("https://www.ncbi.nlm.nih.gov/nuccore/CP000058.1?report=graph&amp;tracks=[key:gene_model_track,Options:GeneOnly]&amp;mk=2346744:2346763|offset_11|444444,2346770:2346789|offset_37|444444,2346821:2346840|offset_88|444444,2346847:2346866|offset_114|00cc00&amp;v=2346543:2347066&amp;c=444444", "offset 114")</f>
        <v>offset 114</v>
      </c>
    </row>
    <row r="7364" customFormat="false" ht="12.8" hidden="false" customHeight="false" outlineLevel="0" collapsed="false">
      <c r="A7364" s="0" t="s">
        <v>12</v>
      </c>
      <c r="B7364" s="0" t="n">
        <v>2347669</v>
      </c>
      <c r="C7364" s="0" t="n">
        <v>2347689</v>
      </c>
      <c r="D7364" s="0" t="s">
        <v>24514</v>
      </c>
      <c r="E7364" s="0" t="s">
        <v>75</v>
      </c>
      <c r="F7364" s="0" t="s">
        <v>15</v>
      </c>
      <c r="G7364" s="0" t="s">
        <v>20</v>
      </c>
      <c r="H7364" s="0" t="n">
        <v>29</v>
      </c>
      <c r="I7364" s="0" t="s">
        <v>24515</v>
      </c>
      <c r="J7364" s="0" t="s">
        <v>24516</v>
      </c>
      <c r="K7364" s="0" t="s">
        <v>24517</v>
      </c>
      <c r="L7364" s="0" t="str">
        <f aca="false">HYPERLINK("https://www.ncbi.nlm.nih.gov/nuccore/CP000058.1?report=graph&amp;tracks=[key:gene_model_track,Options:GeneOnly]&amp;mk=2347670:2347689|offset_29|00cc00,2347712:2347731|offset_71|444444,2347762:2347781|offset_121|444444,2347785:2347804|offset_144|444444&amp;v=2347469:2348004&amp;c=444444", "offset 29")</f>
        <v>offset 29</v>
      </c>
    </row>
    <row r="7365" customFormat="false" ht="12.8" hidden="false" customHeight="false" outlineLevel="0" collapsed="false">
      <c r="A7365" s="0" t="s">
        <v>12</v>
      </c>
      <c r="B7365" s="0" t="n">
        <v>2347711</v>
      </c>
      <c r="C7365" s="0" t="n">
        <v>2347731</v>
      </c>
      <c r="D7365" s="0" t="s">
        <v>24514</v>
      </c>
      <c r="E7365" s="0" t="s">
        <v>75</v>
      </c>
      <c r="F7365" s="0" t="s">
        <v>15</v>
      </c>
      <c r="G7365" s="0" t="s">
        <v>36</v>
      </c>
      <c r="H7365" s="0" t="n">
        <v>71</v>
      </c>
      <c r="I7365" s="0" t="s">
        <v>24518</v>
      </c>
      <c r="J7365" s="0" t="s">
        <v>24519</v>
      </c>
      <c r="K7365" s="0" t="s">
        <v>24520</v>
      </c>
      <c r="L7365" s="0" t="str">
        <f aca="false">HYPERLINK("https://www.ncbi.nlm.nih.gov/nuccore/CP000058.1?report=graph&amp;tracks=[key:gene_model_track,Options:GeneOnly]&amp;mk=2347670:2347689|offset_29|444444,2347712:2347731|offset_71|00cc00,2347762:2347781|offset_121|444444,2347785:2347804|offset_144|444444&amp;v=2347469:2348004&amp;c=444444", "offset 71")</f>
        <v>offset 71</v>
      </c>
    </row>
    <row r="7366" customFormat="false" ht="12.8" hidden="false" customHeight="false" outlineLevel="0" collapsed="false">
      <c r="A7366" s="0" t="s">
        <v>12</v>
      </c>
      <c r="B7366" s="0" t="n">
        <v>2347761</v>
      </c>
      <c r="C7366" s="0" t="n">
        <v>2347781</v>
      </c>
      <c r="D7366" s="0" t="s">
        <v>24514</v>
      </c>
      <c r="E7366" s="0" t="s">
        <v>75</v>
      </c>
      <c r="F7366" s="0" t="s">
        <v>15</v>
      </c>
      <c r="G7366" s="0" t="s">
        <v>32</v>
      </c>
      <c r="H7366" s="0" t="n">
        <v>121</v>
      </c>
      <c r="I7366" s="0" t="s">
        <v>24521</v>
      </c>
      <c r="J7366" s="0" t="s">
        <v>24522</v>
      </c>
      <c r="K7366" s="0" t="s">
        <v>24523</v>
      </c>
      <c r="L7366" s="0" t="str">
        <f aca="false">HYPERLINK("https://www.ncbi.nlm.nih.gov/nuccore/CP000058.1?report=graph&amp;tracks=[key:gene_model_track,Options:GeneOnly]&amp;mk=2347670:2347689|offset_29|444444,2347712:2347731|offset_71|444444,2347762:2347781|offset_121|00cc00,2347785:2347804|offset_144|444444&amp;v=2347469:2348004&amp;c=444444", "offset 121")</f>
        <v>offset 121</v>
      </c>
    </row>
    <row r="7367" customFormat="false" ht="12.8" hidden="false" customHeight="false" outlineLevel="0" collapsed="false">
      <c r="A7367" s="0" t="s">
        <v>12</v>
      </c>
      <c r="B7367" s="0" t="n">
        <v>2347784</v>
      </c>
      <c r="C7367" s="0" t="n">
        <v>2347804</v>
      </c>
      <c r="D7367" s="0" t="s">
        <v>24514</v>
      </c>
      <c r="E7367" s="0" t="s">
        <v>75</v>
      </c>
      <c r="F7367" s="0" t="s">
        <v>15</v>
      </c>
      <c r="G7367" s="0" t="s">
        <v>32</v>
      </c>
      <c r="H7367" s="0" t="n">
        <v>144</v>
      </c>
      <c r="I7367" s="0" t="s">
        <v>24524</v>
      </c>
      <c r="J7367" s="0" t="s">
        <v>24525</v>
      </c>
      <c r="K7367" s="0" t="s">
        <v>24526</v>
      </c>
      <c r="L7367" s="0" t="str">
        <f aca="false">HYPERLINK("https://www.ncbi.nlm.nih.gov/nuccore/CP000058.1?report=graph&amp;tracks=[key:gene_model_track,Options:GeneOnly]&amp;mk=2347670:2347689|offset_29|444444,2347712:2347731|offset_71|444444,2347762:2347781|offset_121|444444,2347785:2347804|offset_144|00cc00&amp;v=2347469:2348004&amp;c=444444", "offset 144")</f>
        <v>offset 144</v>
      </c>
    </row>
    <row r="7368" customFormat="false" ht="12.8" hidden="false" customHeight="false" outlineLevel="0" collapsed="false">
      <c r="A7368" s="0" t="s">
        <v>12</v>
      </c>
      <c r="B7368" s="0" t="n">
        <v>2348622</v>
      </c>
      <c r="C7368" s="0" t="n">
        <v>2348642</v>
      </c>
      <c r="D7368" s="0" t="s">
        <v>24527</v>
      </c>
      <c r="E7368" s="0" t="s">
        <v>75</v>
      </c>
      <c r="F7368" s="0" t="s">
        <v>15</v>
      </c>
      <c r="G7368" s="0" t="s">
        <v>16</v>
      </c>
      <c r="H7368" s="0" t="n">
        <v>0</v>
      </c>
      <c r="I7368" s="0" t="s">
        <v>24528</v>
      </c>
      <c r="J7368" s="0" t="s">
        <v>24529</v>
      </c>
      <c r="K7368" s="0" t="s">
        <v>24530</v>
      </c>
      <c r="L7368" s="0" t="str">
        <f aca="false">HYPERLINK("https://www.ncbi.nlm.nih.gov/nuccore/CP000058.1?report=graph&amp;tracks=[key:gene_model_track,Options:GeneOnly]&amp;mk=2348623:2348642|offset_0|00cc00,2348656:2348675|offset_33|444444,2348694:2348713|offset_71|444444,2348740:2348759|offset_117|444444&amp;v=2348422:2348959&amp;c=444444", "offset 0")</f>
        <v>offset 0</v>
      </c>
    </row>
    <row r="7369" customFormat="false" ht="12.8" hidden="false" customHeight="false" outlineLevel="0" collapsed="false">
      <c r="A7369" s="0" t="s">
        <v>12</v>
      </c>
      <c r="B7369" s="0" t="n">
        <v>2348655</v>
      </c>
      <c r="C7369" s="0" t="n">
        <v>2348675</v>
      </c>
      <c r="D7369" s="0" t="s">
        <v>24527</v>
      </c>
      <c r="E7369" s="0" t="s">
        <v>75</v>
      </c>
      <c r="F7369" s="0" t="s">
        <v>15</v>
      </c>
      <c r="G7369" s="0" t="s">
        <v>36</v>
      </c>
      <c r="H7369" s="0" t="n">
        <v>33</v>
      </c>
      <c r="I7369" s="0" t="s">
        <v>24531</v>
      </c>
      <c r="J7369" s="0" t="s">
        <v>24532</v>
      </c>
      <c r="K7369" s="0" t="s">
        <v>24533</v>
      </c>
      <c r="L7369" s="0" t="str">
        <f aca="false">HYPERLINK("https://www.ncbi.nlm.nih.gov/nuccore/CP000058.1?report=graph&amp;tracks=[key:gene_model_track,Options:GeneOnly]&amp;mk=2348623:2348642|offset_0|444444,2348656:2348675|offset_33|00cc00,2348694:2348713|offset_71|444444,2348740:2348759|offset_117|444444&amp;v=2348422:2348959&amp;c=444444", "offset 33")</f>
        <v>offset 33</v>
      </c>
    </row>
    <row r="7370" customFormat="false" ht="12.8" hidden="false" customHeight="false" outlineLevel="0" collapsed="false">
      <c r="A7370" s="0" t="s">
        <v>12</v>
      </c>
      <c r="B7370" s="0" t="n">
        <v>2348693</v>
      </c>
      <c r="C7370" s="0" t="n">
        <v>2348713</v>
      </c>
      <c r="D7370" s="0" t="s">
        <v>24527</v>
      </c>
      <c r="E7370" s="0" t="s">
        <v>75</v>
      </c>
      <c r="F7370" s="0" t="s">
        <v>15</v>
      </c>
      <c r="G7370" s="0" t="s">
        <v>20</v>
      </c>
      <c r="H7370" s="0" t="n">
        <v>71</v>
      </c>
      <c r="I7370" s="0" t="s">
        <v>24534</v>
      </c>
      <c r="J7370" s="0" t="s">
        <v>24535</v>
      </c>
      <c r="K7370" s="0" t="s">
        <v>24536</v>
      </c>
      <c r="L7370" s="0" t="str">
        <f aca="false">HYPERLINK("https://www.ncbi.nlm.nih.gov/nuccore/CP000058.1?report=graph&amp;tracks=[key:gene_model_track,Options:GeneOnly]&amp;mk=2348623:2348642|offset_0|444444,2348656:2348675|offset_33|444444,2348694:2348713|offset_71|00cc00,2348740:2348759|offset_117|444444&amp;v=2348422:2348959&amp;c=444444", "offset 71")</f>
        <v>offset 71</v>
      </c>
    </row>
    <row r="7371" customFormat="false" ht="12.8" hidden="false" customHeight="false" outlineLevel="0" collapsed="false">
      <c r="A7371" s="0" t="s">
        <v>12</v>
      </c>
      <c r="B7371" s="0" t="n">
        <v>2348739</v>
      </c>
      <c r="C7371" s="0" t="n">
        <v>2348759</v>
      </c>
      <c r="D7371" s="0" t="s">
        <v>24527</v>
      </c>
      <c r="E7371" s="0" t="s">
        <v>75</v>
      </c>
      <c r="F7371" s="0" t="s">
        <v>15</v>
      </c>
      <c r="G7371" s="0" t="s">
        <v>36</v>
      </c>
      <c r="H7371" s="0" t="n">
        <v>117</v>
      </c>
      <c r="I7371" s="0" t="s">
        <v>24537</v>
      </c>
      <c r="J7371" s="0" t="s">
        <v>24538</v>
      </c>
      <c r="K7371" s="0" t="s">
        <v>24539</v>
      </c>
      <c r="L7371" s="0" t="str">
        <f aca="false">HYPERLINK("https://www.ncbi.nlm.nih.gov/nuccore/CP000058.1?report=graph&amp;tracks=[key:gene_model_track,Options:GeneOnly]&amp;mk=2348623:2348642|offset_0|444444,2348656:2348675|offset_33|444444,2348694:2348713|offset_71|444444,2348740:2348759|offset_117|00cc00&amp;v=2348422:2348959&amp;c=444444", "offset 117")</f>
        <v>offset 117</v>
      </c>
    </row>
    <row r="7372" customFormat="false" ht="12.8" hidden="false" customHeight="false" outlineLevel="0" collapsed="false">
      <c r="A7372" s="0" t="s">
        <v>12</v>
      </c>
      <c r="B7372" s="0" t="n">
        <v>2349602</v>
      </c>
      <c r="C7372" s="0" t="n">
        <v>2349622</v>
      </c>
      <c r="D7372" s="0" t="s">
        <v>24540</v>
      </c>
      <c r="E7372" s="0" t="s">
        <v>75</v>
      </c>
      <c r="F7372" s="0" t="s">
        <v>15</v>
      </c>
      <c r="G7372" s="0" t="s">
        <v>20</v>
      </c>
      <c r="H7372" s="0" t="n">
        <v>58</v>
      </c>
      <c r="I7372" s="0" t="s">
        <v>24541</v>
      </c>
      <c r="J7372" s="0" t="s">
        <v>24542</v>
      </c>
      <c r="K7372" s="0" t="s">
        <v>24543</v>
      </c>
      <c r="L7372" s="0" t="str">
        <f aca="false">HYPERLINK("https://www.ncbi.nlm.nih.gov/nuccore/CP000058.1?report=graph&amp;tracks=[key:gene_model_track,Options:GeneOnly]&amp;mk=2349603:2349622|offset_58|00cc00,2349623:2349642|offset_78|444444,2349666:2349685|offset_121|444444,2349694:2349713|offset_149|444444&amp;v=2349402:2349913&amp;c=444444", "offset 58")</f>
        <v>offset 58</v>
      </c>
    </row>
    <row r="7373" customFormat="false" ht="12.8" hidden="false" customHeight="false" outlineLevel="0" collapsed="false">
      <c r="A7373" s="0" t="s">
        <v>12</v>
      </c>
      <c r="B7373" s="0" t="n">
        <v>2349622</v>
      </c>
      <c r="C7373" s="0" t="n">
        <v>2349642</v>
      </c>
      <c r="D7373" s="0" t="s">
        <v>24540</v>
      </c>
      <c r="E7373" s="0" t="s">
        <v>75</v>
      </c>
      <c r="F7373" s="0" t="s">
        <v>15</v>
      </c>
      <c r="G7373" s="0" t="s">
        <v>20</v>
      </c>
      <c r="H7373" s="0" t="n">
        <v>78</v>
      </c>
      <c r="I7373" s="0" t="s">
        <v>24544</v>
      </c>
      <c r="J7373" s="0" t="s">
        <v>24545</v>
      </c>
      <c r="K7373" s="0" t="s">
        <v>24546</v>
      </c>
      <c r="L7373" s="0" t="str">
        <f aca="false">HYPERLINK("https://www.ncbi.nlm.nih.gov/nuccore/CP000058.1?report=graph&amp;tracks=[key:gene_model_track,Options:GeneOnly]&amp;mk=2349603:2349622|offset_58|444444,2349623:2349642|offset_78|00cc00,2349666:2349685|offset_121|444444,2349694:2349713|offset_149|444444&amp;v=2349402:2349913&amp;c=444444", "offset 78")</f>
        <v>offset 78</v>
      </c>
    </row>
    <row r="7374" customFormat="false" ht="12.8" hidden="false" customHeight="false" outlineLevel="0" collapsed="false">
      <c r="A7374" s="0" t="s">
        <v>12</v>
      </c>
      <c r="B7374" s="0" t="n">
        <v>2349665</v>
      </c>
      <c r="C7374" s="0" t="n">
        <v>2349685</v>
      </c>
      <c r="D7374" s="0" t="s">
        <v>24540</v>
      </c>
      <c r="E7374" s="0" t="s">
        <v>75</v>
      </c>
      <c r="F7374" s="0" t="s">
        <v>15</v>
      </c>
      <c r="G7374" s="0" t="s">
        <v>32</v>
      </c>
      <c r="H7374" s="0" t="n">
        <v>121</v>
      </c>
      <c r="I7374" s="0" t="s">
        <v>24547</v>
      </c>
      <c r="J7374" s="0" t="s">
        <v>24548</v>
      </c>
      <c r="K7374" s="0" t="s">
        <v>24549</v>
      </c>
      <c r="L7374" s="0" t="str">
        <f aca="false">HYPERLINK("https://www.ncbi.nlm.nih.gov/nuccore/CP000058.1?report=graph&amp;tracks=[key:gene_model_track,Options:GeneOnly]&amp;mk=2349603:2349622|offset_58|444444,2349623:2349642|offset_78|444444,2349666:2349685|offset_121|00cc00,2349694:2349713|offset_149|444444&amp;v=2349402:2349913&amp;c=444444", "offset 121")</f>
        <v>offset 121</v>
      </c>
    </row>
    <row r="7375" customFormat="false" ht="12.8" hidden="false" customHeight="false" outlineLevel="0" collapsed="false">
      <c r="A7375" s="0" t="s">
        <v>12</v>
      </c>
      <c r="B7375" s="0" t="n">
        <v>2349693</v>
      </c>
      <c r="C7375" s="0" t="n">
        <v>2349713</v>
      </c>
      <c r="D7375" s="0" t="s">
        <v>24540</v>
      </c>
      <c r="E7375" s="0" t="s">
        <v>75</v>
      </c>
      <c r="F7375" s="0" t="s">
        <v>15</v>
      </c>
      <c r="G7375" s="0" t="s">
        <v>16</v>
      </c>
      <c r="H7375" s="0" t="n">
        <v>149</v>
      </c>
      <c r="I7375" s="0" t="s">
        <v>24550</v>
      </c>
      <c r="J7375" s="0" t="s">
        <v>24551</v>
      </c>
      <c r="K7375" s="0" t="s">
        <v>24552</v>
      </c>
      <c r="L7375" s="0" t="str">
        <f aca="false">HYPERLINK("https://www.ncbi.nlm.nih.gov/nuccore/CP000058.1?report=graph&amp;tracks=[key:gene_model_track,Options:GeneOnly]&amp;mk=2349603:2349622|offset_58|444444,2349623:2349642|offset_78|444444,2349666:2349685|offset_121|444444,2349694:2349713|offset_149|00cc00&amp;v=2349402:2349913&amp;c=444444", "offset 149")</f>
        <v>offset 149</v>
      </c>
    </row>
    <row r="7376" customFormat="false" ht="12.8" hidden="false" customHeight="false" outlineLevel="0" collapsed="false">
      <c r="A7376" s="0" t="s">
        <v>12</v>
      </c>
      <c r="B7376" s="0" t="n">
        <v>2351347</v>
      </c>
      <c r="C7376" s="0" t="n">
        <v>2351367</v>
      </c>
      <c r="D7376" s="0" t="s">
        <v>24553</v>
      </c>
      <c r="E7376" s="0" t="s">
        <v>75</v>
      </c>
      <c r="F7376" s="0" t="s">
        <v>90</v>
      </c>
      <c r="G7376" s="0" t="s">
        <v>32</v>
      </c>
      <c r="H7376" s="0" t="n">
        <v>31</v>
      </c>
      <c r="I7376" s="0" t="s">
        <v>24554</v>
      </c>
      <c r="J7376" s="0" t="s">
        <v>24555</v>
      </c>
      <c r="K7376" s="0" t="s">
        <v>24556</v>
      </c>
      <c r="L7376" s="0" t="str">
        <f aca="false">HYPERLINK("https://www.ncbi.nlm.nih.gov/nuccore/CP000058.1?report=graph&amp;tracks=[key:gene_model_track,Options:GeneOnly]&amp;mk=2351348:2351367|offset_31|00cc00,2351321:2351340|offset_58|444444,2351267:2351286|offset_112|444444,2351225:2351244|offset_154|444444&amp;v=2351147:2351444&amp;c=444444", "offset 31")</f>
        <v>offset 31</v>
      </c>
    </row>
    <row r="7377" customFormat="false" ht="12.8" hidden="false" customHeight="false" outlineLevel="0" collapsed="false">
      <c r="A7377" s="0" t="s">
        <v>12</v>
      </c>
      <c r="B7377" s="0" t="n">
        <v>2351320</v>
      </c>
      <c r="C7377" s="0" t="n">
        <v>2351340</v>
      </c>
      <c r="D7377" s="0" t="s">
        <v>24553</v>
      </c>
      <c r="E7377" s="0" t="s">
        <v>75</v>
      </c>
      <c r="F7377" s="0" t="s">
        <v>90</v>
      </c>
      <c r="G7377" s="0" t="s">
        <v>16</v>
      </c>
      <c r="H7377" s="0" t="n">
        <v>58</v>
      </c>
      <c r="I7377" s="0" t="s">
        <v>24557</v>
      </c>
      <c r="J7377" s="0" t="s">
        <v>24558</v>
      </c>
      <c r="K7377" s="0" t="s">
        <v>24559</v>
      </c>
      <c r="L7377" s="0" t="str">
        <f aca="false">HYPERLINK("https://www.ncbi.nlm.nih.gov/nuccore/CP000058.1?report=graph&amp;tracks=[key:gene_model_track,Options:GeneOnly]&amp;mk=2351348:2351367|offset_31|444444,2351321:2351340|offset_58|00cc00,2351267:2351286|offset_112|444444,2351225:2351244|offset_154|444444&amp;v=2351147:2351444&amp;c=444444", "offset 58")</f>
        <v>offset 58</v>
      </c>
    </row>
    <row r="7378" customFormat="false" ht="12.8" hidden="false" customHeight="false" outlineLevel="0" collapsed="false">
      <c r="A7378" s="0" t="s">
        <v>12</v>
      </c>
      <c r="B7378" s="0" t="n">
        <v>2351266</v>
      </c>
      <c r="C7378" s="0" t="n">
        <v>2351286</v>
      </c>
      <c r="D7378" s="0" t="s">
        <v>24553</v>
      </c>
      <c r="E7378" s="0" t="s">
        <v>75</v>
      </c>
      <c r="F7378" s="0" t="s">
        <v>90</v>
      </c>
      <c r="G7378" s="0" t="s">
        <v>16</v>
      </c>
      <c r="H7378" s="0" t="n">
        <v>112</v>
      </c>
      <c r="I7378" s="0" t="s">
        <v>24560</v>
      </c>
      <c r="J7378" s="0" t="s">
        <v>24561</v>
      </c>
      <c r="K7378" s="0" t="s">
        <v>24562</v>
      </c>
      <c r="L7378" s="0" t="str">
        <f aca="false">HYPERLINK("https://www.ncbi.nlm.nih.gov/nuccore/CP000058.1?report=graph&amp;tracks=[key:gene_model_track,Options:GeneOnly]&amp;mk=2351348:2351367|offset_31|444444,2351321:2351340|offset_58|444444,2351267:2351286|offset_112|00cc00,2351225:2351244|offset_154|444444&amp;v=2351147:2351444&amp;c=444444", "offset 112")</f>
        <v>offset 112</v>
      </c>
    </row>
    <row r="7379" customFormat="false" ht="12.8" hidden="false" customHeight="false" outlineLevel="0" collapsed="false">
      <c r="A7379" s="0" t="s">
        <v>12</v>
      </c>
      <c r="B7379" s="0" t="n">
        <v>2351224</v>
      </c>
      <c r="C7379" s="0" t="n">
        <v>2351244</v>
      </c>
      <c r="D7379" s="0" t="s">
        <v>24553</v>
      </c>
      <c r="E7379" s="0" t="s">
        <v>75</v>
      </c>
      <c r="F7379" s="0" t="s">
        <v>90</v>
      </c>
      <c r="G7379" s="0" t="s">
        <v>20</v>
      </c>
      <c r="H7379" s="0" t="n">
        <v>154</v>
      </c>
      <c r="I7379" s="0" t="s">
        <v>24563</v>
      </c>
      <c r="J7379" s="0" t="s">
        <v>24564</v>
      </c>
      <c r="K7379" s="0" t="s">
        <v>24565</v>
      </c>
      <c r="L7379" s="0" t="str">
        <f aca="false">HYPERLINK("https://www.ncbi.nlm.nih.gov/nuccore/CP000058.1?report=graph&amp;tracks=[key:gene_model_track,Options:GeneOnly]&amp;mk=2351348:2351367|offset_31|444444,2351321:2351340|offset_58|444444,2351267:2351286|offset_112|444444,2351225:2351244|offset_154|00cc00&amp;v=2351147:2351444&amp;c=444444", "offset 154")</f>
        <v>offset 154</v>
      </c>
    </row>
    <row r="7380" customFormat="false" ht="12.8" hidden="false" customHeight="false" outlineLevel="0" collapsed="false">
      <c r="A7380" s="0" t="s">
        <v>12</v>
      </c>
      <c r="B7380" s="0" t="n">
        <v>2352511</v>
      </c>
      <c r="C7380" s="0" t="n">
        <v>2352531</v>
      </c>
      <c r="D7380" s="0" t="s">
        <v>24566</v>
      </c>
      <c r="E7380" s="0" t="s">
        <v>75</v>
      </c>
      <c r="F7380" s="0" t="s">
        <v>90</v>
      </c>
      <c r="G7380" s="0" t="s">
        <v>16</v>
      </c>
      <c r="H7380" s="0" t="n">
        <v>8</v>
      </c>
      <c r="I7380" s="0" t="s">
        <v>24567</v>
      </c>
      <c r="J7380" s="0" t="s">
        <v>24568</v>
      </c>
      <c r="K7380" s="0" t="s">
        <v>24569</v>
      </c>
      <c r="L7380" s="0" t="str">
        <f aca="false">HYPERLINK("https://www.ncbi.nlm.nih.gov/nuccore/CP000058.1?report=graph&amp;tracks=[key:gene_model_track,Options:GeneOnly]&amp;mk=2352512:2352531|offset_8|00cc00,2352485:2352504|offset_35|444444,2352423:2352442|offset_97|444444,2352403:2352422|offset_117|444444&amp;v=2352311:2352622&amp;c=444444", "offset 8")</f>
        <v>offset 8</v>
      </c>
    </row>
    <row r="7381" customFormat="false" ht="12.8" hidden="false" customHeight="false" outlineLevel="0" collapsed="false">
      <c r="A7381" s="0" t="s">
        <v>12</v>
      </c>
      <c r="B7381" s="0" t="n">
        <v>2352484</v>
      </c>
      <c r="C7381" s="0" t="n">
        <v>2352504</v>
      </c>
      <c r="D7381" s="0" t="s">
        <v>24566</v>
      </c>
      <c r="E7381" s="0" t="s">
        <v>75</v>
      </c>
      <c r="F7381" s="0" t="s">
        <v>90</v>
      </c>
      <c r="G7381" s="0" t="s">
        <v>20</v>
      </c>
      <c r="H7381" s="0" t="n">
        <v>35</v>
      </c>
      <c r="I7381" s="0" t="s">
        <v>24570</v>
      </c>
      <c r="J7381" s="0" t="s">
        <v>24571</v>
      </c>
      <c r="K7381" s="0" t="s">
        <v>24572</v>
      </c>
      <c r="L7381" s="0" t="str">
        <f aca="false">HYPERLINK("https://www.ncbi.nlm.nih.gov/nuccore/CP000058.1?report=graph&amp;tracks=[key:gene_model_track,Options:GeneOnly]&amp;mk=2352512:2352531|offset_8|444444,2352485:2352504|offset_35|00cc00,2352423:2352442|offset_97|444444,2352403:2352422|offset_117|444444&amp;v=2352311:2352622&amp;c=444444", "offset 35")</f>
        <v>offset 35</v>
      </c>
    </row>
    <row r="7382" customFormat="false" ht="12.8" hidden="false" customHeight="false" outlineLevel="0" collapsed="false">
      <c r="A7382" s="0" t="s">
        <v>12</v>
      </c>
      <c r="B7382" s="0" t="n">
        <v>2352422</v>
      </c>
      <c r="C7382" s="0" t="n">
        <v>2352442</v>
      </c>
      <c r="D7382" s="0" t="s">
        <v>24566</v>
      </c>
      <c r="E7382" s="0" t="s">
        <v>75</v>
      </c>
      <c r="F7382" s="0" t="s">
        <v>90</v>
      </c>
      <c r="G7382" s="0" t="s">
        <v>36</v>
      </c>
      <c r="H7382" s="0" t="n">
        <v>97</v>
      </c>
      <c r="I7382" s="0" t="s">
        <v>24573</v>
      </c>
      <c r="J7382" s="0" t="s">
        <v>24574</v>
      </c>
      <c r="K7382" s="0" t="s">
        <v>24575</v>
      </c>
      <c r="L7382" s="0" t="str">
        <f aca="false">HYPERLINK("https://www.ncbi.nlm.nih.gov/nuccore/CP000058.1?report=graph&amp;tracks=[key:gene_model_track,Options:GeneOnly]&amp;mk=2352512:2352531|offset_8|444444,2352485:2352504|offset_35|444444,2352423:2352442|offset_97|00cc00,2352403:2352422|offset_117|444444&amp;v=2352311:2352622&amp;c=444444", "offset 97")</f>
        <v>offset 97</v>
      </c>
    </row>
    <row r="7383" customFormat="false" ht="12.8" hidden="false" customHeight="false" outlineLevel="0" collapsed="false">
      <c r="A7383" s="0" t="s">
        <v>12</v>
      </c>
      <c r="B7383" s="0" t="n">
        <v>2352402</v>
      </c>
      <c r="C7383" s="0" t="n">
        <v>2352422</v>
      </c>
      <c r="D7383" s="0" t="s">
        <v>24566</v>
      </c>
      <c r="E7383" s="0" t="s">
        <v>75</v>
      </c>
      <c r="F7383" s="0" t="s">
        <v>90</v>
      </c>
      <c r="G7383" s="0" t="s">
        <v>32</v>
      </c>
      <c r="H7383" s="0" t="n">
        <v>117</v>
      </c>
      <c r="I7383" s="0" t="s">
        <v>24576</v>
      </c>
      <c r="J7383" s="0" t="s">
        <v>24577</v>
      </c>
      <c r="K7383" s="0" t="s">
        <v>24578</v>
      </c>
      <c r="L7383" s="0" t="str">
        <f aca="false">HYPERLINK("https://www.ncbi.nlm.nih.gov/nuccore/CP000058.1?report=graph&amp;tracks=[key:gene_model_track,Options:GeneOnly]&amp;mk=2352512:2352531|offset_8|444444,2352485:2352504|offset_35|444444,2352423:2352442|offset_97|444444,2352403:2352422|offset_117|00cc00&amp;v=2352311:2352622&amp;c=444444", "offset 117")</f>
        <v>offset 117</v>
      </c>
    </row>
    <row r="7384" customFormat="false" ht="12.8" hidden="false" customHeight="false" outlineLevel="0" collapsed="false">
      <c r="A7384" s="0" t="s">
        <v>12</v>
      </c>
      <c r="B7384" s="0" t="n">
        <v>2353250</v>
      </c>
      <c r="C7384" s="0" t="n">
        <v>2353270</v>
      </c>
      <c r="D7384" s="0" t="s">
        <v>24579</v>
      </c>
      <c r="E7384" s="0" t="s">
        <v>75</v>
      </c>
      <c r="F7384" s="0" t="s">
        <v>90</v>
      </c>
      <c r="G7384" s="0" t="s">
        <v>36</v>
      </c>
      <c r="H7384" s="0" t="n">
        <v>15</v>
      </c>
      <c r="I7384" s="0" t="s">
        <v>24580</v>
      </c>
      <c r="J7384" s="0" t="s">
        <v>24581</v>
      </c>
      <c r="K7384" s="0" t="s">
        <v>24582</v>
      </c>
      <c r="L7384" s="0" t="str">
        <f aca="false">HYPERLINK("https://www.ncbi.nlm.nih.gov/nuccore/CP000058.1?report=graph&amp;tracks=[key:gene_model_track,Options:GeneOnly]&amp;mk=2353251:2353270|offset_15|00cc00,2353223:2353242|offset_43|444444,2353175:2353194|offset_91|444444,2353150:2353169|offset_116|444444&amp;v=2353050:2353369&amp;c=444444", "offset 15")</f>
        <v>offset 15</v>
      </c>
    </row>
    <row r="7385" customFormat="false" ht="12.8" hidden="false" customHeight="false" outlineLevel="0" collapsed="false">
      <c r="A7385" s="0" t="s">
        <v>12</v>
      </c>
      <c r="B7385" s="0" t="n">
        <v>2353222</v>
      </c>
      <c r="C7385" s="0" t="n">
        <v>2353242</v>
      </c>
      <c r="D7385" s="0" t="s">
        <v>24579</v>
      </c>
      <c r="E7385" s="0" t="s">
        <v>75</v>
      </c>
      <c r="F7385" s="0" t="s">
        <v>90</v>
      </c>
      <c r="G7385" s="0" t="s">
        <v>16</v>
      </c>
      <c r="H7385" s="0" t="n">
        <v>43</v>
      </c>
      <c r="I7385" s="0" t="s">
        <v>24583</v>
      </c>
      <c r="J7385" s="0" t="s">
        <v>24584</v>
      </c>
      <c r="K7385" s="0" t="s">
        <v>24585</v>
      </c>
      <c r="L7385" s="0" t="str">
        <f aca="false">HYPERLINK("https://www.ncbi.nlm.nih.gov/nuccore/CP000058.1?report=graph&amp;tracks=[key:gene_model_track,Options:GeneOnly]&amp;mk=2353251:2353270|offset_15|444444,2353223:2353242|offset_43|00cc00,2353175:2353194|offset_91|444444,2353150:2353169|offset_116|444444&amp;v=2353050:2353369&amp;c=444444", "offset 43")</f>
        <v>offset 43</v>
      </c>
    </row>
    <row r="7386" customFormat="false" ht="12.8" hidden="false" customHeight="false" outlineLevel="0" collapsed="false">
      <c r="A7386" s="0" t="s">
        <v>12</v>
      </c>
      <c r="B7386" s="0" t="n">
        <v>2353174</v>
      </c>
      <c r="C7386" s="0" t="n">
        <v>2353194</v>
      </c>
      <c r="D7386" s="0" t="s">
        <v>24579</v>
      </c>
      <c r="E7386" s="0" t="s">
        <v>75</v>
      </c>
      <c r="F7386" s="0" t="s">
        <v>90</v>
      </c>
      <c r="G7386" s="0" t="s">
        <v>32</v>
      </c>
      <c r="H7386" s="0" t="n">
        <v>91</v>
      </c>
      <c r="I7386" s="0" t="s">
        <v>24586</v>
      </c>
      <c r="J7386" s="0" t="s">
        <v>24587</v>
      </c>
      <c r="K7386" s="0" t="s">
        <v>24588</v>
      </c>
      <c r="L7386" s="0" t="str">
        <f aca="false">HYPERLINK("https://www.ncbi.nlm.nih.gov/nuccore/CP000058.1?report=graph&amp;tracks=[key:gene_model_track,Options:GeneOnly]&amp;mk=2353251:2353270|offset_15|444444,2353223:2353242|offset_43|444444,2353175:2353194|offset_91|00cc00,2353150:2353169|offset_116|444444&amp;v=2353050:2353369&amp;c=444444", "offset 91")</f>
        <v>offset 91</v>
      </c>
    </row>
    <row r="7387" customFormat="false" ht="12.8" hidden="false" customHeight="false" outlineLevel="0" collapsed="false">
      <c r="A7387" s="0" t="s">
        <v>12</v>
      </c>
      <c r="B7387" s="0" t="n">
        <v>2353149</v>
      </c>
      <c r="C7387" s="0" t="n">
        <v>2353169</v>
      </c>
      <c r="D7387" s="0" t="s">
        <v>24579</v>
      </c>
      <c r="E7387" s="0" t="s">
        <v>75</v>
      </c>
      <c r="F7387" s="0" t="s">
        <v>90</v>
      </c>
      <c r="G7387" s="0" t="s">
        <v>20</v>
      </c>
      <c r="H7387" s="0" t="n">
        <v>116</v>
      </c>
      <c r="I7387" s="0" t="s">
        <v>24589</v>
      </c>
      <c r="J7387" s="0" t="s">
        <v>24590</v>
      </c>
      <c r="K7387" s="0" t="s">
        <v>24591</v>
      </c>
      <c r="L7387" s="0" t="str">
        <f aca="false">HYPERLINK("https://www.ncbi.nlm.nih.gov/nuccore/CP000058.1?report=graph&amp;tracks=[key:gene_model_track,Options:GeneOnly]&amp;mk=2353251:2353270|offset_15|444444,2353223:2353242|offset_43|444444,2353175:2353194|offset_91|444444,2353150:2353169|offset_116|00cc00&amp;v=2353050:2353369&amp;c=444444", "offset 116")</f>
        <v>offset 116</v>
      </c>
    </row>
    <row r="7388" customFormat="false" ht="12.8" hidden="false" customHeight="false" outlineLevel="0" collapsed="false">
      <c r="A7388" s="0" t="s">
        <v>12</v>
      </c>
      <c r="B7388" s="0" t="n">
        <v>2353680</v>
      </c>
      <c r="C7388" s="0" t="n">
        <v>2353700</v>
      </c>
      <c r="D7388" s="0" t="s">
        <v>24592</v>
      </c>
      <c r="E7388" s="0" t="s">
        <v>75</v>
      </c>
      <c r="F7388" s="0" t="s">
        <v>15</v>
      </c>
      <c r="G7388" s="0" t="s">
        <v>20</v>
      </c>
      <c r="H7388" s="0" t="n">
        <v>30</v>
      </c>
      <c r="I7388" s="0" t="s">
        <v>24593</v>
      </c>
      <c r="J7388" s="0" t="s">
        <v>24594</v>
      </c>
      <c r="K7388" s="0" t="s">
        <v>24595</v>
      </c>
      <c r="L7388" s="0" t="str">
        <f aca="false">HYPERLINK("https://www.ncbi.nlm.nih.gov/nuccore/CP000058.1?report=graph&amp;tracks=[key:gene_model_track,Options:GeneOnly]&amp;mk=2353681:2353700|offset_30|00cc00,2353713:2353732|offset_62|444444,2353743:2353762|offset_92|444444,2353775:2353794|offset_124|444444&amp;v=2353480:2353994&amp;c=444444", "offset 30")</f>
        <v>offset 30</v>
      </c>
    </row>
    <row r="7389" customFormat="false" ht="12.8" hidden="false" customHeight="false" outlineLevel="0" collapsed="false">
      <c r="A7389" s="0" t="s">
        <v>12</v>
      </c>
      <c r="B7389" s="0" t="n">
        <v>2353712</v>
      </c>
      <c r="C7389" s="0" t="n">
        <v>2353732</v>
      </c>
      <c r="D7389" s="0" t="s">
        <v>24592</v>
      </c>
      <c r="E7389" s="0" t="s">
        <v>75</v>
      </c>
      <c r="F7389" s="0" t="s">
        <v>15</v>
      </c>
      <c r="G7389" s="0" t="s">
        <v>16</v>
      </c>
      <c r="H7389" s="0" t="n">
        <v>62</v>
      </c>
      <c r="I7389" s="0" t="s">
        <v>24596</v>
      </c>
      <c r="J7389" s="0" t="s">
        <v>24597</v>
      </c>
      <c r="K7389" s="0" t="s">
        <v>24598</v>
      </c>
      <c r="L7389" s="0" t="str">
        <f aca="false">HYPERLINK("https://www.ncbi.nlm.nih.gov/nuccore/CP000058.1?report=graph&amp;tracks=[key:gene_model_track,Options:GeneOnly]&amp;mk=2353681:2353700|offset_30|444444,2353713:2353732|offset_62|00cc00,2353743:2353762|offset_92|444444,2353775:2353794|offset_124|444444&amp;v=2353480:2353994&amp;c=444444", "offset 62")</f>
        <v>offset 62</v>
      </c>
    </row>
    <row r="7390" customFormat="false" ht="12.8" hidden="false" customHeight="false" outlineLevel="0" collapsed="false">
      <c r="A7390" s="0" t="s">
        <v>12</v>
      </c>
      <c r="B7390" s="0" t="n">
        <v>2353742</v>
      </c>
      <c r="C7390" s="0" t="n">
        <v>2353762</v>
      </c>
      <c r="D7390" s="0" t="s">
        <v>24592</v>
      </c>
      <c r="E7390" s="0" t="s">
        <v>75</v>
      </c>
      <c r="F7390" s="0" t="s">
        <v>15</v>
      </c>
      <c r="G7390" s="0" t="s">
        <v>20</v>
      </c>
      <c r="H7390" s="0" t="n">
        <v>92</v>
      </c>
      <c r="I7390" s="0" t="s">
        <v>24599</v>
      </c>
      <c r="J7390" s="0" t="s">
        <v>24600</v>
      </c>
      <c r="K7390" s="0" t="s">
        <v>24601</v>
      </c>
      <c r="L7390" s="0" t="str">
        <f aca="false">HYPERLINK("https://www.ncbi.nlm.nih.gov/nuccore/CP000058.1?report=graph&amp;tracks=[key:gene_model_track,Options:GeneOnly]&amp;mk=2353681:2353700|offset_30|444444,2353713:2353732|offset_62|444444,2353743:2353762|offset_92|00cc00,2353775:2353794|offset_124|444444&amp;v=2353480:2353994&amp;c=444444", "offset 92")</f>
        <v>offset 92</v>
      </c>
    </row>
    <row r="7391" customFormat="false" ht="12.8" hidden="false" customHeight="false" outlineLevel="0" collapsed="false">
      <c r="A7391" s="0" t="s">
        <v>12</v>
      </c>
      <c r="B7391" s="0" t="n">
        <v>2353774</v>
      </c>
      <c r="C7391" s="0" t="n">
        <v>2353794</v>
      </c>
      <c r="D7391" s="0" t="s">
        <v>24592</v>
      </c>
      <c r="E7391" s="0" t="s">
        <v>75</v>
      </c>
      <c r="F7391" s="0" t="s">
        <v>15</v>
      </c>
      <c r="G7391" s="0" t="s">
        <v>32</v>
      </c>
      <c r="H7391" s="0" t="n">
        <v>124</v>
      </c>
      <c r="I7391" s="0" t="s">
        <v>24602</v>
      </c>
      <c r="J7391" s="0" t="s">
        <v>24603</v>
      </c>
      <c r="K7391" s="0" t="s">
        <v>24604</v>
      </c>
      <c r="L7391" s="0" t="str">
        <f aca="false">HYPERLINK("https://www.ncbi.nlm.nih.gov/nuccore/CP000058.1?report=graph&amp;tracks=[key:gene_model_track,Options:GeneOnly]&amp;mk=2353681:2353700|offset_30|444444,2353713:2353732|offset_62|444444,2353743:2353762|offset_92|444444,2353775:2353794|offset_124|00cc00&amp;v=2353480:2353994&amp;c=444444", "offset 124")</f>
        <v>offset 124</v>
      </c>
    </row>
    <row r="7392" customFormat="false" ht="12.8" hidden="false" customHeight="false" outlineLevel="0" collapsed="false">
      <c r="A7392" s="0" t="s">
        <v>12</v>
      </c>
      <c r="B7392" s="0" t="n">
        <v>2355725</v>
      </c>
      <c r="C7392" s="0" t="n">
        <v>2355745</v>
      </c>
      <c r="D7392" s="0" t="s">
        <v>24605</v>
      </c>
      <c r="E7392" s="0" t="s">
        <v>75</v>
      </c>
      <c r="F7392" s="0" t="s">
        <v>15</v>
      </c>
      <c r="G7392" s="0" t="s">
        <v>36</v>
      </c>
      <c r="H7392" s="0" t="n">
        <v>66</v>
      </c>
      <c r="I7392" s="0" t="s">
        <v>24606</v>
      </c>
      <c r="J7392" s="0" t="s">
        <v>24607</v>
      </c>
      <c r="K7392" s="0" t="s">
        <v>24608</v>
      </c>
      <c r="L7392" s="0" t="str">
        <f aca="false">HYPERLINK("https://www.ncbi.nlm.nih.gov/nuccore/CP000058.1?report=graph&amp;tracks=[key:gene_model_track,Options:GeneOnly]&amp;mk=2355726:2355745|offset_66|00cc00,2355749:2355768|offset_89|444444,2355807:2355826|offset_147|444444,2355829:2355848|offset_169|444444&amp;v=2355525:2356048&amp;c=444444", "offset 66")</f>
        <v>offset 66</v>
      </c>
    </row>
    <row r="7393" customFormat="false" ht="12.8" hidden="false" customHeight="false" outlineLevel="0" collapsed="false">
      <c r="A7393" s="0" t="s">
        <v>12</v>
      </c>
      <c r="B7393" s="0" t="n">
        <v>2355748</v>
      </c>
      <c r="C7393" s="0" t="n">
        <v>2355768</v>
      </c>
      <c r="D7393" s="0" t="s">
        <v>24605</v>
      </c>
      <c r="E7393" s="0" t="s">
        <v>75</v>
      </c>
      <c r="F7393" s="0" t="s">
        <v>15</v>
      </c>
      <c r="G7393" s="0" t="s">
        <v>20</v>
      </c>
      <c r="H7393" s="0" t="n">
        <v>89</v>
      </c>
      <c r="I7393" s="0" t="s">
        <v>24609</v>
      </c>
      <c r="J7393" s="0" t="s">
        <v>24610</v>
      </c>
      <c r="K7393" s="0" t="s">
        <v>24611</v>
      </c>
      <c r="L7393" s="0" t="str">
        <f aca="false">HYPERLINK("https://www.ncbi.nlm.nih.gov/nuccore/CP000058.1?report=graph&amp;tracks=[key:gene_model_track,Options:GeneOnly]&amp;mk=2355726:2355745|offset_66|444444,2355749:2355768|offset_89|00cc00,2355807:2355826|offset_147|444444,2355829:2355848|offset_169|444444&amp;v=2355525:2356048&amp;c=444444", "offset 89")</f>
        <v>offset 89</v>
      </c>
    </row>
    <row r="7394" customFormat="false" ht="12.8" hidden="false" customHeight="false" outlineLevel="0" collapsed="false">
      <c r="A7394" s="0" t="s">
        <v>12</v>
      </c>
      <c r="B7394" s="0" t="n">
        <v>2355806</v>
      </c>
      <c r="C7394" s="0" t="n">
        <v>2355826</v>
      </c>
      <c r="D7394" s="0" t="s">
        <v>24605</v>
      </c>
      <c r="E7394" s="0" t="s">
        <v>75</v>
      </c>
      <c r="F7394" s="0" t="s">
        <v>15</v>
      </c>
      <c r="G7394" s="0" t="s">
        <v>20</v>
      </c>
      <c r="H7394" s="0" t="n">
        <v>147</v>
      </c>
      <c r="I7394" s="0" t="s">
        <v>24612</v>
      </c>
      <c r="J7394" s="0" t="s">
        <v>24613</v>
      </c>
      <c r="K7394" s="0" t="s">
        <v>24614</v>
      </c>
      <c r="L7394" s="0" t="str">
        <f aca="false">HYPERLINK("https://www.ncbi.nlm.nih.gov/nuccore/CP000058.1?report=graph&amp;tracks=[key:gene_model_track,Options:GeneOnly]&amp;mk=2355726:2355745|offset_66|444444,2355749:2355768|offset_89|444444,2355807:2355826|offset_147|00cc00,2355829:2355848|offset_169|444444&amp;v=2355525:2356048&amp;c=444444", "offset 147")</f>
        <v>offset 147</v>
      </c>
    </row>
    <row r="7395" customFormat="false" ht="12.8" hidden="false" customHeight="false" outlineLevel="0" collapsed="false">
      <c r="A7395" s="0" t="s">
        <v>12</v>
      </c>
      <c r="B7395" s="0" t="n">
        <v>2355828</v>
      </c>
      <c r="C7395" s="0" t="n">
        <v>2355848</v>
      </c>
      <c r="D7395" s="0" t="s">
        <v>24605</v>
      </c>
      <c r="E7395" s="0" t="s">
        <v>75</v>
      </c>
      <c r="F7395" s="0" t="s">
        <v>15</v>
      </c>
      <c r="G7395" s="0" t="s">
        <v>20</v>
      </c>
      <c r="H7395" s="0" t="n">
        <v>169</v>
      </c>
      <c r="I7395" s="0" t="s">
        <v>24615</v>
      </c>
      <c r="J7395" s="0" t="s">
        <v>24616</v>
      </c>
      <c r="K7395" s="0" t="s">
        <v>24617</v>
      </c>
      <c r="L7395" s="0" t="str">
        <f aca="false">HYPERLINK("https://www.ncbi.nlm.nih.gov/nuccore/CP000058.1?report=graph&amp;tracks=[key:gene_model_track,Options:GeneOnly]&amp;mk=2355726:2355745|offset_66|444444,2355749:2355768|offset_89|444444,2355807:2355826|offset_147|444444,2355829:2355848|offset_169|00cc00&amp;v=2355525:2356048&amp;c=444444", "offset 169")</f>
        <v>offset 169</v>
      </c>
    </row>
    <row r="7396" customFormat="false" ht="12.8" hidden="false" customHeight="false" outlineLevel="0" collapsed="false">
      <c r="A7396" s="0" t="s">
        <v>12</v>
      </c>
      <c r="B7396" s="0" t="n">
        <v>2359604</v>
      </c>
      <c r="C7396" s="0" t="n">
        <v>2359624</v>
      </c>
      <c r="D7396" s="0" t="s">
        <v>24618</v>
      </c>
      <c r="E7396" s="0" t="s">
        <v>75</v>
      </c>
      <c r="F7396" s="0" t="s">
        <v>15</v>
      </c>
      <c r="G7396" s="0" t="s">
        <v>20</v>
      </c>
      <c r="H7396" s="0" t="n">
        <v>41</v>
      </c>
      <c r="I7396" s="0" t="s">
        <v>24619</v>
      </c>
      <c r="J7396" s="0" t="s">
        <v>24620</v>
      </c>
      <c r="K7396" s="0" t="s">
        <v>24621</v>
      </c>
      <c r="L7396" s="0" t="str">
        <f aca="false">HYPERLINK("https://www.ncbi.nlm.nih.gov/nuccore/CP000058.1?report=graph&amp;tracks=[key:gene_model_track,Options:GeneOnly]&amp;mk=2359605:2359624|offset_41|00cc00,2359648:2359667|offset_84|444444,2359668:2359687|offset_104|444444,2359693:2359712|offset_129|444444&amp;v=2359404:2359912&amp;c=444444", "offset 41")</f>
        <v>offset 41</v>
      </c>
    </row>
    <row r="7397" customFormat="false" ht="12.8" hidden="false" customHeight="false" outlineLevel="0" collapsed="false">
      <c r="A7397" s="0" t="s">
        <v>12</v>
      </c>
      <c r="B7397" s="0" t="n">
        <v>2359647</v>
      </c>
      <c r="C7397" s="0" t="n">
        <v>2359667</v>
      </c>
      <c r="D7397" s="0" t="s">
        <v>24618</v>
      </c>
      <c r="E7397" s="0" t="s">
        <v>75</v>
      </c>
      <c r="F7397" s="0" t="s">
        <v>15</v>
      </c>
      <c r="G7397" s="0" t="s">
        <v>16</v>
      </c>
      <c r="H7397" s="0" t="n">
        <v>84</v>
      </c>
      <c r="I7397" s="0" t="s">
        <v>24622</v>
      </c>
      <c r="J7397" s="0" t="s">
        <v>24623</v>
      </c>
      <c r="K7397" s="0" t="s">
        <v>24624</v>
      </c>
      <c r="L7397" s="0" t="str">
        <f aca="false">HYPERLINK("https://www.ncbi.nlm.nih.gov/nuccore/CP000058.1?report=graph&amp;tracks=[key:gene_model_track,Options:GeneOnly]&amp;mk=2359605:2359624|offset_41|444444,2359648:2359667|offset_84|00cc00,2359668:2359687|offset_104|444444,2359693:2359712|offset_129|444444&amp;v=2359404:2359912&amp;c=444444", "offset 84")</f>
        <v>offset 84</v>
      </c>
    </row>
    <row r="7398" customFormat="false" ht="12.8" hidden="false" customHeight="false" outlineLevel="0" collapsed="false">
      <c r="A7398" s="0" t="s">
        <v>12</v>
      </c>
      <c r="B7398" s="0" t="n">
        <v>2359667</v>
      </c>
      <c r="C7398" s="0" t="n">
        <v>2359687</v>
      </c>
      <c r="D7398" s="0" t="s">
        <v>24618</v>
      </c>
      <c r="E7398" s="0" t="s">
        <v>75</v>
      </c>
      <c r="F7398" s="0" t="s">
        <v>15</v>
      </c>
      <c r="G7398" s="0" t="s">
        <v>20</v>
      </c>
      <c r="H7398" s="0" t="n">
        <v>104</v>
      </c>
      <c r="I7398" s="0" t="s">
        <v>24625</v>
      </c>
      <c r="J7398" s="0" t="s">
        <v>24626</v>
      </c>
      <c r="K7398" s="0" t="s">
        <v>24627</v>
      </c>
      <c r="L7398" s="0" t="str">
        <f aca="false">HYPERLINK("https://www.ncbi.nlm.nih.gov/nuccore/CP000058.1?report=graph&amp;tracks=[key:gene_model_track,Options:GeneOnly]&amp;mk=2359605:2359624|offset_41|444444,2359648:2359667|offset_84|444444,2359668:2359687|offset_104|00cc00,2359693:2359712|offset_129|444444&amp;v=2359404:2359912&amp;c=444444", "offset 104")</f>
        <v>offset 104</v>
      </c>
    </row>
    <row r="7399" customFormat="false" ht="12.8" hidden="false" customHeight="false" outlineLevel="0" collapsed="false">
      <c r="A7399" s="0" t="s">
        <v>12</v>
      </c>
      <c r="B7399" s="0" t="n">
        <v>2359692</v>
      </c>
      <c r="C7399" s="0" t="n">
        <v>2359712</v>
      </c>
      <c r="D7399" s="0" t="s">
        <v>24618</v>
      </c>
      <c r="E7399" s="0" t="s">
        <v>75</v>
      </c>
      <c r="F7399" s="0" t="s">
        <v>15</v>
      </c>
      <c r="G7399" s="0" t="s">
        <v>36</v>
      </c>
      <c r="H7399" s="0" t="n">
        <v>129</v>
      </c>
      <c r="I7399" s="0" t="s">
        <v>24628</v>
      </c>
      <c r="J7399" s="0" t="s">
        <v>24629</v>
      </c>
      <c r="K7399" s="0" t="s">
        <v>24630</v>
      </c>
      <c r="L7399" s="0" t="str">
        <f aca="false">HYPERLINK("https://www.ncbi.nlm.nih.gov/nuccore/CP000058.1?report=graph&amp;tracks=[key:gene_model_track,Options:GeneOnly]&amp;mk=2359605:2359624|offset_41|444444,2359648:2359667|offset_84|444444,2359668:2359687|offset_104|444444,2359693:2359712|offset_129|00cc00&amp;v=2359404:2359912&amp;c=444444", "offset 129")</f>
        <v>offset 129</v>
      </c>
    </row>
    <row r="7400" customFormat="false" ht="12.8" hidden="false" customHeight="false" outlineLevel="0" collapsed="false">
      <c r="A7400" s="0" t="s">
        <v>12</v>
      </c>
      <c r="B7400" s="0" t="n">
        <v>2362179</v>
      </c>
      <c r="C7400" s="0" t="n">
        <v>2362199</v>
      </c>
      <c r="D7400" s="0" t="s">
        <v>24631</v>
      </c>
      <c r="E7400" s="0" t="s">
        <v>75</v>
      </c>
      <c r="F7400" s="0" t="s">
        <v>90</v>
      </c>
      <c r="G7400" s="0" t="s">
        <v>36</v>
      </c>
      <c r="H7400" s="0" t="n">
        <v>0</v>
      </c>
      <c r="I7400" s="0" t="s">
        <v>24632</v>
      </c>
      <c r="J7400" s="0" t="s">
        <v>24633</v>
      </c>
      <c r="K7400" s="0" t="s">
        <v>24634</v>
      </c>
      <c r="L7400" s="0" t="str">
        <f aca="false">HYPERLINK("https://www.ncbi.nlm.nih.gov/nuccore/CP000058.1?report=graph&amp;tracks=[key:gene_model_track,Options:GeneOnly]&amp;mk=2362180:2362199|offset_0|00cc00,2362158:2362177|offset_22|444444,2362128:2362147|offset_52|444444,2362104:2362123|offset_76|444444&amp;v=2361979:2362323&amp;c=444444", "offset 0")</f>
        <v>offset 0</v>
      </c>
    </row>
    <row r="7401" customFormat="false" ht="12.8" hidden="false" customHeight="false" outlineLevel="0" collapsed="false">
      <c r="A7401" s="0" t="s">
        <v>12</v>
      </c>
      <c r="B7401" s="0" t="n">
        <v>2362157</v>
      </c>
      <c r="C7401" s="0" t="n">
        <v>2362177</v>
      </c>
      <c r="D7401" s="0" t="s">
        <v>24631</v>
      </c>
      <c r="E7401" s="0" t="s">
        <v>75</v>
      </c>
      <c r="F7401" s="0" t="s">
        <v>90</v>
      </c>
      <c r="G7401" s="0" t="s">
        <v>36</v>
      </c>
      <c r="H7401" s="0" t="n">
        <v>22</v>
      </c>
      <c r="I7401" s="0" t="s">
        <v>24635</v>
      </c>
      <c r="J7401" s="0" t="s">
        <v>24636</v>
      </c>
      <c r="K7401" s="0" t="s">
        <v>24637</v>
      </c>
      <c r="L7401" s="0" t="str">
        <f aca="false">HYPERLINK("https://www.ncbi.nlm.nih.gov/nuccore/CP000058.1?report=graph&amp;tracks=[key:gene_model_track,Options:GeneOnly]&amp;mk=2362180:2362199|offset_0|444444,2362158:2362177|offset_22|00cc00,2362128:2362147|offset_52|444444,2362104:2362123|offset_76|444444&amp;v=2361979:2362323&amp;c=444444", "offset 22")</f>
        <v>offset 22</v>
      </c>
    </row>
    <row r="7402" customFormat="false" ht="12.8" hidden="false" customHeight="false" outlineLevel="0" collapsed="false">
      <c r="A7402" s="0" t="s">
        <v>12</v>
      </c>
      <c r="B7402" s="0" t="n">
        <v>2362127</v>
      </c>
      <c r="C7402" s="0" t="n">
        <v>2362147</v>
      </c>
      <c r="D7402" s="0" t="s">
        <v>24631</v>
      </c>
      <c r="E7402" s="0" t="s">
        <v>75</v>
      </c>
      <c r="F7402" s="0" t="s">
        <v>90</v>
      </c>
      <c r="G7402" s="0" t="s">
        <v>32</v>
      </c>
      <c r="H7402" s="0" t="n">
        <v>52</v>
      </c>
      <c r="I7402" s="0" t="s">
        <v>24638</v>
      </c>
      <c r="J7402" s="0" t="s">
        <v>24639</v>
      </c>
      <c r="K7402" s="0" t="s">
        <v>24640</v>
      </c>
      <c r="L7402" s="0" t="str">
        <f aca="false">HYPERLINK("https://www.ncbi.nlm.nih.gov/nuccore/CP000058.1?report=graph&amp;tracks=[key:gene_model_track,Options:GeneOnly]&amp;mk=2362180:2362199|offset_0|444444,2362158:2362177|offset_22|444444,2362128:2362147|offset_52|00cc00,2362104:2362123|offset_76|444444&amp;v=2361979:2362323&amp;c=444444", "offset 52")</f>
        <v>offset 52</v>
      </c>
    </row>
    <row r="7403" customFormat="false" ht="12.8" hidden="false" customHeight="false" outlineLevel="0" collapsed="false">
      <c r="A7403" s="0" t="s">
        <v>12</v>
      </c>
      <c r="B7403" s="0" t="n">
        <v>2362103</v>
      </c>
      <c r="C7403" s="0" t="n">
        <v>2362123</v>
      </c>
      <c r="D7403" s="0" t="s">
        <v>24631</v>
      </c>
      <c r="E7403" s="0" t="s">
        <v>75</v>
      </c>
      <c r="F7403" s="0" t="s">
        <v>90</v>
      </c>
      <c r="G7403" s="0" t="s">
        <v>16</v>
      </c>
      <c r="H7403" s="0" t="n">
        <v>76</v>
      </c>
      <c r="I7403" s="0" t="s">
        <v>24641</v>
      </c>
      <c r="J7403" s="0" t="s">
        <v>24642</v>
      </c>
      <c r="K7403" s="0" t="s">
        <v>24643</v>
      </c>
      <c r="L7403" s="0" t="str">
        <f aca="false">HYPERLINK("https://www.ncbi.nlm.nih.gov/nuccore/CP000058.1?report=graph&amp;tracks=[key:gene_model_track,Options:GeneOnly]&amp;mk=2362180:2362199|offset_0|444444,2362158:2362177|offset_22|444444,2362128:2362147|offset_52|444444,2362104:2362123|offset_76|00cc00&amp;v=2361979:2362323&amp;c=444444", "offset 76")</f>
        <v>offset 76</v>
      </c>
    </row>
    <row r="7404" customFormat="false" ht="12.8" hidden="false" customHeight="false" outlineLevel="0" collapsed="false">
      <c r="A7404" s="0" t="s">
        <v>12</v>
      </c>
      <c r="B7404" s="0" t="n">
        <v>2364736</v>
      </c>
      <c r="C7404" s="0" t="n">
        <v>2364756</v>
      </c>
      <c r="D7404" s="0" t="s">
        <v>24644</v>
      </c>
      <c r="E7404" s="0" t="s">
        <v>75</v>
      </c>
      <c r="F7404" s="0" t="s">
        <v>90</v>
      </c>
      <c r="G7404" s="0" t="s">
        <v>36</v>
      </c>
      <c r="H7404" s="0" t="n">
        <v>7</v>
      </c>
      <c r="I7404" s="0" t="s">
        <v>24645</v>
      </c>
      <c r="J7404" s="0" t="s">
        <v>24646</v>
      </c>
      <c r="K7404" s="0" t="s">
        <v>24647</v>
      </c>
      <c r="L7404" s="0" t="str">
        <f aca="false">HYPERLINK("https://www.ncbi.nlm.nih.gov/nuccore/CP000058.1?report=graph&amp;tracks=[key:gene_model_track,Options:GeneOnly]&amp;mk=2364737:2364756|offset_7|00cc00,2364711:2364730|offset_33|444444,2364662:2364681|offset_82|444444,2364632:2364651|offset_112|444444&amp;v=2364536:2364851&amp;c=444444", "offset 7")</f>
        <v>offset 7</v>
      </c>
    </row>
    <row r="7405" customFormat="false" ht="12.8" hidden="false" customHeight="false" outlineLevel="0" collapsed="false">
      <c r="A7405" s="0" t="s">
        <v>12</v>
      </c>
      <c r="B7405" s="0" t="n">
        <v>2364710</v>
      </c>
      <c r="C7405" s="0" t="n">
        <v>2364730</v>
      </c>
      <c r="D7405" s="0" t="s">
        <v>24644</v>
      </c>
      <c r="E7405" s="0" t="s">
        <v>75</v>
      </c>
      <c r="F7405" s="0" t="s">
        <v>90</v>
      </c>
      <c r="G7405" s="0" t="s">
        <v>32</v>
      </c>
      <c r="H7405" s="0" t="n">
        <v>33</v>
      </c>
      <c r="I7405" s="0" t="s">
        <v>24648</v>
      </c>
      <c r="J7405" s="0" t="s">
        <v>24649</v>
      </c>
      <c r="K7405" s="0" t="s">
        <v>24650</v>
      </c>
      <c r="L7405" s="0" t="str">
        <f aca="false">HYPERLINK("https://www.ncbi.nlm.nih.gov/nuccore/CP000058.1?report=graph&amp;tracks=[key:gene_model_track,Options:GeneOnly]&amp;mk=2364737:2364756|offset_7|444444,2364711:2364730|offset_33|00cc00,2364662:2364681|offset_82|444444,2364632:2364651|offset_112|444444&amp;v=2364536:2364851&amp;c=444444", "offset 33")</f>
        <v>offset 33</v>
      </c>
    </row>
    <row r="7406" customFormat="false" ht="12.8" hidden="false" customHeight="false" outlineLevel="0" collapsed="false">
      <c r="A7406" s="0" t="s">
        <v>12</v>
      </c>
      <c r="B7406" s="0" t="n">
        <v>2364661</v>
      </c>
      <c r="C7406" s="0" t="n">
        <v>2364681</v>
      </c>
      <c r="D7406" s="0" t="s">
        <v>24644</v>
      </c>
      <c r="E7406" s="0" t="s">
        <v>75</v>
      </c>
      <c r="F7406" s="0" t="s">
        <v>90</v>
      </c>
      <c r="G7406" s="0" t="s">
        <v>16</v>
      </c>
      <c r="H7406" s="0" t="n">
        <v>82</v>
      </c>
      <c r="I7406" s="0" t="s">
        <v>24651</v>
      </c>
      <c r="J7406" s="0" t="s">
        <v>24652</v>
      </c>
      <c r="K7406" s="0" t="s">
        <v>24653</v>
      </c>
      <c r="L7406" s="0" t="str">
        <f aca="false">HYPERLINK("https://www.ncbi.nlm.nih.gov/nuccore/CP000058.1?report=graph&amp;tracks=[key:gene_model_track,Options:GeneOnly]&amp;mk=2364737:2364756|offset_7|444444,2364711:2364730|offset_33|444444,2364662:2364681|offset_82|00cc00,2364632:2364651|offset_112|444444&amp;v=2364536:2364851&amp;c=444444", "offset 82")</f>
        <v>offset 82</v>
      </c>
    </row>
    <row r="7407" customFormat="false" ht="12.8" hidden="false" customHeight="false" outlineLevel="0" collapsed="false">
      <c r="A7407" s="0" t="s">
        <v>12</v>
      </c>
      <c r="B7407" s="0" t="n">
        <v>2364631</v>
      </c>
      <c r="C7407" s="0" t="n">
        <v>2364651</v>
      </c>
      <c r="D7407" s="0" t="s">
        <v>24644</v>
      </c>
      <c r="E7407" s="0" t="s">
        <v>75</v>
      </c>
      <c r="F7407" s="0" t="s">
        <v>90</v>
      </c>
      <c r="G7407" s="0" t="s">
        <v>16</v>
      </c>
      <c r="H7407" s="0" t="n">
        <v>112</v>
      </c>
      <c r="I7407" s="0" t="s">
        <v>24654</v>
      </c>
      <c r="J7407" s="0" t="s">
        <v>24655</v>
      </c>
      <c r="K7407" s="0" t="s">
        <v>24656</v>
      </c>
      <c r="L7407" s="0" t="str">
        <f aca="false">HYPERLINK("https://www.ncbi.nlm.nih.gov/nuccore/CP000058.1?report=graph&amp;tracks=[key:gene_model_track,Options:GeneOnly]&amp;mk=2364737:2364756|offset_7|444444,2364711:2364730|offset_33|444444,2364662:2364681|offset_82|444444,2364632:2364651|offset_112|00cc00&amp;v=2364536:2364851&amp;c=444444", "offset 112")</f>
        <v>offset 112</v>
      </c>
    </row>
    <row r="7408" customFormat="false" ht="12.8" hidden="false" customHeight="false" outlineLevel="0" collapsed="false">
      <c r="A7408" s="0" t="s">
        <v>12</v>
      </c>
      <c r="B7408" s="0" t="n">
        <v>2365456</v>
      </c>
      <c r="C7408" s="0" t="n">
        <v>2365476</v>
      </c>
      <c r="D7408" s="0" t="s">
        <v>24657</v>
      </c>
      <c r="E7408" s="0" t="s">
        <v>75</v>
      </c>
      <c r="F7408" s="0" t="s">
        <v>90</v>
      </c>
      <c r="G7408" s="0" t="s">
        <v>20</v>
      </c>
      <c r="H7408" s="0" t="n">
        <v>22</v>
      </c>
      <c r="I7408" s="0" t="s">
        <v>24658</v>
      </c>
      <c r="J7408" s="0" t="s">
        <v>24659</v>
      </c>
      <c r="K7408" s="0" t="s">
        <v>24660</v>
      </c>
      <c r="L7408" s="0" t="str">
        <f aca="false">HYPERLINK("https://www.ncbi.nlm.nih.gov/nuccore/CP000058.1?report=graph&amp;tracks=[key:gene_model_track,Options:GeneOnly]&amp;mk=2365457:2365476|offset_22|00cc00,2365427:2365446|offset_52|444444,2365367:2365386|offset_112|444444,2365334:2365353|offset_145|444444&amp;v=2365256:2365553&amp;c=444444", "offset 22")</f>
        <v>offset 22</v>
      </c>
    </row>
    <row r="7409" customFormat="false" ht="12.8" hidden="false" customHeight="false" outlineLevel="0" collapsed="false">
      <c r="A7409" s="0" t="s">
        <v>12</v>
      </c>
      <c r="B7409" s="0" t="n">
        <v>2365426</v>
      </c>
      <c r="C7409" s="0" t="n">
        <v>2365446</v>
      </c>
      <c r="D7409" s="0" t="s">
        <v>24657</v>
      </c>
      <c r="E7409" s="0" t="s">
        <v>75</v>
      </c>
      <c r="F7409" s="0" t="s">
        <v>90</v>
      </c>
      <c r="G7409" s="0" t="s">
        <v>16</v>
      </c>
      <c r="H7409" s="0" t="n">
        <v>52</v>
      </c>
      <c r="I7409" s="0" t="s">
        <v>24661</v>
      </c>
      <c r="J7409" s="0" t="s">
        <v>24662</v>
      </c>
      <c r="K7409" s="0" t="s">
        <v>24663</v>
      </c>
      <c r="L7409" s="0" t="str">
        <f aca="false">HYPERLINK("https://www.ncbi.nlm.nih.gov/nuccore/CP000058.1?report=graph&amp;tracks=[key:gene_model_track,Options:GeneOnly]&amp;mk=2365457:2365476|offset_22|444444,2365427:2365446|offset_52|00cc00,2365367:2365386|offset_112|444444,2365334:2365353|offset_145|444444&amp;v=2365256:2365553&amp;c=444444", "offset 52")</f>
        <v>offset 52</v>
      </c>
    </row>
    <row r="7410" customFormat="false" ht="12.8" hidden="false" customHeight="false" outlineLevel="0" collapsed="false">
      <c r="A7410" s="0" t="s">
        <v>12</v>
      </c>
      <c r="B7410" s="0" t="n">
        <v>2365366</v>
      </c>
      <c r="C7410" s="0" t="n">
        <v>2365386</v>
      </c>
      <c r="D7410" s="0" t="s">
        <v>24657</v>
      </c>
      <c r="E7410" s="0" t="s">
        <v>75</v>
      </c>
      <c r="F7410" s="0" t="s">
        <v>90</v>
      </c>
      <c r="G7410" s="0" t="s">
        <v>32</v>
      </c>
      <c r="H7410" s="0" t="n">
        <v>112</v>
      </c>
      <c r="I7410" s="0" t="s">
        <v>24664</v>
      </c>
      <c r="J7410" s="0" t="s">
        <v>24665</v>
      </c>
      <c r="K7410" s="0" t="s">
        <v>24666</v>
      </c>
      <c r="L7410" s="0" t="str">
        <f aca="false">HYPERLINK("https://www.ncbi.nlm.nih.gov/nuccore/CP000058.1?report=graph&amp;tracks=[key:gene_model_track,Options:GeneOnly]&amp;mk=2365457:2365476|offset_22|444444,2365427:2365446|offset_52|444444,2365367:2365386|offset_112|00cc00,2365334:2365353|offset_145|444444&amp;v=2365256:2365553&amp;c=444444", "offset 112")</f>
        <v>offset 112</v>
      </c>
    </row>
    <row r="7411" customFormat="false" ht="12.8" hidden="false" customHeight="false" outlineLevel="0" collapsed="false">
      <c r="A7411" s="0" t="s">
        <v>12</v>
      </c>
      <c r="B7411" s="0" t="n">
        <v>2365333</v>
      </c>
      <c r="C7411" s="0" t="n">
        <v>2365353</v>
      </c>
      <c r="D7411" s="0" t="s">
        <v>24657</v>
      </c>
      <c r="E7411" s="0" t="s">
        <v>75</v>
      </c>
      <c r="F7411" s="0" t="s">
        <v>90</v>
      </c>
      <c r="G7411" s="0" t="s">
        <v>20</v>
      </c>
      <c r="H7411" s="0" t="n">
        <v>145</v>
      </c>
      <c r="I7411" s="0" t="s">
        <v>24667</v>
      </c>
      <c r="J7411" s="0" t="s">
        <v>24668</v>
      </c>
      <c r="K7411" s="0" t="s">
        <v>24669</v>
      </c>
      <c r="L7411" s="0" t="str">
        <f aca="false">HYPERLINK("https://www.ncbi.nlm.nih.gov/nuccore/CP000058.1?report=graph&amp;tracks=[key:gene_model_track,Options:GeneOnly]&amp;mk=2365457:2365476|offset_22|444444,2365427:2365446|offset_52|444444,2365367:2365386|offset_112|444444,2365334:2365353|offset_145|00cc00&amp;v=2365256:2365553&amp;c=444444", "offset 145")</f>
        <v>offset 145</v>
      </c>
    </row>
    <row r="7412" customFormat="false" ht="12.8" hidden="false" customHeight="false" outlineLevel="0" collapsed="false">
      <c r="A7412" s="0" t="s">
        <v>12</v>
      </c>
      <c r="B7412" s="0" t="n">
        <v>2366172</v>
      </c>
      <c r="C7412" s="0" t="n">
        <v>2366192</v>
      </c>
      <c r="D7412" s="0" t="s">
        <v>24670</v>
      </c>
      <c r="E7412" s="0" t="s">
        <v>24671</v>
      </c>
      <c r="F7412" s="0" t="s">
        <v>90</v>
      </c>
      <c r="G7412" s="0" t="s">
        <v>16</v>
      </c>
      <c r="H7412" s="0" t="n">
        <v>19</v>
      </c>
      <c r="I7412" s="0" t="s">
        <v>24672</v>
      </c>
      <c r="J7412" s="0" t="s">
        <v>24673</v>
      </c>
      <c r="K7412" s="0" t="s">
        <v>24674</v>
      </c>
      <c r="L7412" s="0" t="str">
        <f aca="false">HYPERLINK("https://www.ncbi.nlm.nih.gov/nuccore/CP000058.1?report=graph&amp;tracks=[key:gene_model_track,Options:GeneOnly]&amp;mk=2366173:2366192|offset_19|00cc00,2366149:2366168|offset_43|444444,2366125:2366144|offset_67|444444,2366086:2366105|offset_106|444444&amp;v=2365972:2366305&amp;c=444444", "offset 19")</f>
        <v>offset 19</v>
      </c>
    </row>
    <row r="7413" customFormat="false" ht="12.8" hidden="false" customHeight="false" outlineLevel="0" collapsed="false">
      <c r="A7413" s="0" t="s">
        <v>12</v>
      </c>
      <c r="B7413" s="0" t="n">
        <v>2366148</v>
      </c>
      <c r="C7413" s="0" t="n">
        <v>2366168</v>
      </c>
      <c r="D7413" s="0" t="s">
        <v>24670</v>
      </c>
      <c r="E7413" s="0" t="s">
        <v>24671</v>
      </c>
      <c r="F7413" s="0" t="s">
        <v>90</v>
      </c>
      <c r="G7413" s="0" t="s">
        <v>32</v>
      </c>
      <c r="H7413" s="0" t="n">
        <v>43</v>
      </c>
      <c r="I7413" s="0" t="s">
        <v>24675</v>
      </c>
      <c r="J7413" s="0" t="s">
        <v>24676</v>
      </c>
      <c r="K7413" s="0" t="s">
        <v>24677</v>
      </c>
      <c r="L7413" s="0" t="str">
        <f aca="false">HYPERLINK("https://www.ncbi.nlm.nih.gov/nuccore/CP000058.1?report=graph&amp;tracks=[key:gene_model_track,Options:GeneOnly]&amp;mk=2366173:2366192|offset_19|444444,2366149:2366168|offset_43|00cc00,2366125:2366144|offset_67|444444,2366086:2366105|offset_106|444444&amp;v=2365972:2366305&amp;c=444444", "offset 43")</f>
        <v>offset 43</v>
      </c>
    </row>
    <row r="7414" customFormat="false" ht="12.8" hidden="false" customHeight="false" outlineLevel="0" collapsed="false">
      <c r="A7414" s="0" t="s">
        <v>12</v>
      </c>
      <c r="B7414" s="0" t="n">
        <v>2366124</v>
      </c>
      <c r="C7414" s="0" t="n">
        <v>2366144</v>
      </c>
      <c r="D7414" s="0" t="s">
        <v>24670</v>
      </c>
      <c r="E7414" s="0" t="s">
        <v>24671</v>
      </c>
      <c r="F7414" s="0" t="s">
        <v>90</v>
      </c>
      <c r="G7414" s="0" t="s">
        <v>16</v>
      </c>
      <c r="H7414" s="0" t="n">
        <v>67</v>
      </c>
      <c r="I7414" s="0" t="s">
        <v>24678</v>
      </c>
      <c r="J7414" s="0" t="s">
        <v>24679</v>
      </c>
      <c r="K7414" s="0" t="s">
        <v>24680</v>
      </c>
      <c r="L7414" s="0" t="str">
        <f aca="false">HYPERLINK("https://www.ncbi.nlm.nih.gov/nuccore/CP000058.1?report=graph&amp;tracks=[key:gene_model_track,Options:GeneOnly]&amp;mk=2366173:2366192|offset_19|444444,2366149:2366168|offset_43|444444,2366125:2366144|offset_67|00cc00,2366086:2366105|offset_106|444444&amp;v=2365972:2366305&amp;c=444444", "offset 67")</f>
        <v>offset 67</v>
      </c>
    </row>
    <row r="7415" customFormat="false" ht="12.8" hidden="false" customHeight="false" outlineLevel="0" collapsed="false">
      <c r="A7415" s="0" t="s">
        <v>12</v>
      </c>
      <c r="B7415" s="0" t="n">
        <v>2366085</v>
      </c>
      <c r="C7415" s="0" t="n">
        <v>2366105</v>
      </c>
      <c r="D7415" s="0" t="s">
        <v>24670</v>
      </c>
      <c r="E7415" s="0" t="s">
        <v>24671</v>
      </c>
      <c r="F7415" s="0" t="s">
        <v>90</v>
      </c>
      <c r="G7415" s="0" t="s">
        <v>20</v>
      </c>
      <c r="H7415" s="0" t="n">
        <v>106</v>
      </c>
      <c r="I7415" s="0" t="s">
        <v>24681</v>
      </c>
      <c r="J7415" s="0" t="s">
        <v>24682</v>
      </c>
      <c r="K7415" s="0" t="s">
        <v>24683</v>
      </c>
      <c r="L7415" s="0" t="str">
        <f aca="false">HYPERLINK("https://www.ncbi.nlm.nih.gov/nuccore/CP000058.1?report=graph&amp;tracks=[key:gene_model_track,Options:GeneOnly]&amp;mk=2366173:2366192|offset_19|444444,2366149:2366168|offset_43|444444,2366125:2366144|offset_67|444444,2366086:2366105|offset_106|00cc00&amp;v=2365972:2366305&amp;c=444444", "offset 106")</f>
        <v>offset 106</v>
      </c>
    </row>
    <row r="7416" customFormat="false" ht="12.8" hidden="false" customHeight="false" outlineLevel="0" collapsed="false">
      <c r="A7416" s="0" t="s">
        <v>12</v>
      </c>
      <c r="B7416" s="0" t="n">
        <v>2368134</v>
      </c>
      <c r="C7416" s="0" t="n">
        <v>2368154</v>
      </c>
      <c r="D7416" s="0" t="s">
        <v>24684</v>
      </c>
      <c r="E7416" s="0" t="s">
        <v>75</v>
      </c>
      <c r="F7416" s="0" t="s">
        <v>90</v>
      </c>
      <c r="G7416" s="0" t="s">
        <v>32</v>
      </c>
      <c r="H7416" s="0" t="n">
        <v>1</v>
      </c>
      <c r="I7416" s="0" t="s">
        <v>24685</v>
      </c>
      <c r="J7416" s="0" t="s">
        <v>24686</v>
      </c>
      <c r="K7416" s="0" t="s">
        <v>24687</v>
      </c>
      <c r="L7416" s="0" t="str">
        <f aca="false">HYPERLINK("https://www.ncbi.nlm.nih.gov/nuccore/CP000058.1?report=graph&amp;tracks=[key:gene_model_track,Options:GeneOnly]&amp;mk=2368135:2368154|offset_1|00cc00,2368112:2368131|offset_24|444444,2368090:2368109|offset_46|444444,2368068:2368087|offset_68|444444&amp;v=2367934:2368287&amp;c=444444", "offset 1")</f>
        <v>offset 1</v>
      </c>
    </row>
    <row r="7417" customFormat="false" ht="12.8" hidden="false" customHeight="false" outlineLevel="0" collapsed="false">
      <c r="A7417" s="0" t="s">
        <v>12</v>
      </c>
      <c r="B7417" s="0" t="n">
        <v>2368111</v>
      </c>
      <c r="C7417" s="0" t="n">
        <v>2368131</v>
      </c>
      <c r="D7417" s="0" t="s">
        <v>24684</v>
      </c>
      <c r="E7417" s="0" t="s">
        <v>75</v>
      </c>
      <c r="F7417" s="0" t="s">
        <v>90</v>
      </c>
      <c r="G7417" s="0" t="s">
        <v>32</v>
      </c>
      <c r="H7417" s="0" t="n">
        <v>24</v>
      </c>
      <c r="I7417" s="0" t="s">
        <v>24688</v>
      </c>
      <c r="J7417" s="0" t="s">
        <v>24689</v>
      </c>
      <c r="K7417" s="0" t="s">
        <v>24690</v>
      </c>
      <c r="L7417" s="0" t="str">
        <f aca="false">HYPERLINK("https://www.ncbi.nlm.nih.gov/nuccore/CP000058.1?report=graph&amp;tracks=[key:gene_model_track,Options:GeneOnly]&amp;mk=2368135:2368154|offset_1|444444,2368112:2368131|offset_24|00cc00,2368090:2368109|offset_46|444444,2368068:2368087|offset_68|444444&amp;v=2367934:2368287&amp;c=444444", "offset 24")</f>
        <v>offset 24</v>
      </c>
    </row>
    <row r="7418" customFormat="false" ht="12.8" hidden="false" customHeight="false" outlineLevel="0" collapsed="false">
      <c r="A7418" s="0" t="s">
        <v>12</v>
      </c>
      <c r="B7418" s="0" t="n">
        <v>2368089</v>
      </c>
      <c r="C7418" s="0" t="n">
        <v>2368109</v>
      </c>
      <c r="D7418" s="0" t="s">
        <v>24684</v>
      </c>
      <c r="E7418" s="0" t="s">
        <v>75</v>
      </c>
      <c r="F7418" s="0" t="s">
        <v>90</v>
      </c>
      <c r="G7418" s="0" t="s">
        <v>36</v>
      </c>
      <c r="H7418" s="0" t="n">
        <v>46</v>
      </c>
      <c r="I7418" s="0" t="s">
        <v>24691</v>
      </c>
      <c r="J7418" s="0" t="s">
        <v>24692</v>
      </c>
      <c r="K7418" s="0" t="s">
        <v>24693</v>
      </c>
      <c r="L7418" s="0" t="str">
        <f aca="false">HYPERLINK("https://www.ncbi.nlm.nih.gov/nuccore/CP000058.1?report=graph&amp;tracks=[key:gene_model_track,Options:GeneOnly]&amp;mk=2368135:2368154|offset_1|444444,2368112:2368131|offset_24|444444,2368090:2368109|offset_46|00cc00,2368068:2368087|offset_68|444444&amp;v=2367934:2368287&amp;c=444444", "offset 46")</f>
        <v>offset 46</v>
      </c>
    </row>
    <row r="7419" customFormat="false" ht="12.8" hidden="false" customHeight="false" outlineLevel="0" collapsed="false">
      <c r="A7419" s="0" t="s">
        <v>12</v>
      </c>
      <c r="B7419" s="0" t="n">
        <v>2368067</v>
      </c>
      <c r="C7419" s="0" t="n">
        <v>2368087</v>
      </c>
      <c r="D7419" s="0" t="s">
        <v>24684</v>
      </c>
      <c r="E7419" s="0" t="s">
        <v>75</v>
      </c>
      <c r="F7419" s="0" t="s">
        <v>90</v>
      </c>
      <c r="G7419" s="0" t="s">
        <v>32</v>
      </c>
      <c r="H7419" s="0" t="n">
        <v>68</v>
      </c>
      <c r="I7419" s="0" t="s">
        <v>24694</v>
      </c>
      <c r="J7419" s="0" t="s">
        <v>24695</v>
      </c>
      <c r="K7419" s="0" t="s">
        <v>24696</v>
      </c>
      <c r="L7419" s="0" t="str">
        <f aca="false">HYPERLINK("https://www.ncbi.nlm.nih.gov/nuccore/CP000058.1?report=graph&amp;tracks=[key:gene_model_track,Options:GeneOnly]&amp;mk=2368135:2368154|offset_1|444444,2368112:2368131|offset_24|444444,2368090:2368109|offset_46|444444,2368068:2368087|offset_68|00cc00&amp;v=2367934:2368287&amp;c=444444", "offset 68")</f>
        <v>offset 68</v>
      </c>
    </row>
    <row r="7420" customFormat="false" ht="12.8" hidden="false" customHeight="false" outlineLevel="0" collapsed="false">
      <c r="A7420" s="0" t="s">
        <v>12</v>
      </c>
      <c r="B7420" s="0" t="n">
        <v>2368524</v>
      </c>
      <c r="C7420" s="0" t="n">
        <v>2368544</v>
      </c>
      <c r="D7420" s="0" t="s">
        <v>24697</v>
      </c>
      <c r="E7420" s="0" t="s">
        <v>24698</v>
      </c>
      <c r="F7420" s="0" t="s">
        <v>15</v>
      </c>
      <c r="G7420" s="0" t="s">
        <v>20</v>
      </c>
      <c r="H7420" s="0" t="n">
        <v>29</v>
      </c>
      <c r="I7420" s="0" t="s">
        <v>24699</v>
      </c>
      <c r="J7420" s="0" t="s">
        <v>24700</v>
      </c>
      <c r="K7420" s="0" t="s">
        <v>24701</v>
      </c>
      <c r="L7420" s="0" t="str">
        <f aca="false">HYPERLINK("https://www.ncbi.nlm.nih.gov/nuccore/CP000058.1?report=graph&amp;tracks=[key:gene_model_track,Options:GeneOnly]&amp;mk=2368525:2368544|offset_29|00cc00,2368553:2368572|offset_57|444444,2368615:2368634|offset_119|444444,2368641:2368660|offset_145|444444&amp;v=2368324:2368860&amp;c=444444", "offset 29")</f>
        <v>offset 29</v>
      </c>
    </row>
    <row r="7421" customFormat="false" ht="12.8" hidden="false" customHeight="false" outlineLevel="0" collapsed="false">
      <c r="A7421" s="0" t="s">
        <v>12</v>
      </c>
      <c r="B7421" s="0" t="n">
        <v>2368552</v>
      </c>
      <c r="C7421" s="0" t="n">
        <v>2368572</v>
      </c>
      <c r="D7421" s="0" t="s">
        <v>24697</v>
      </c>
      <c r="E7421" s="0" t="s">
        <v>24698</v>
      </c>
      <c r="F7421" s="0" t="s">
        <v>15</v>
      </c>
      <c r="G7421" s="0" t="s">
        <v>36</v>
      </c>
      <c r="H7421" s="0" t="n">
        <v>57</v>
      </c>
      <c r="I7421" s="0" t="s">
        <v>24702</v>
      </c>
      <c r="J7421" s="0" t="s">
        <v>24703</v>
      </c>
      <c r="K7421" s="0" t="s">
        <v>24704</v>
      </c>
      <c r="L7421" s="0" t="str">
        <f aca="false">HYPERLINK("https://www.ncbi.nlm.nih.gov/nuccore/CP000058.1?report=graph&amp;tracks=[key:gene_model_track,Options:GeneOnly]&amp;mk=2368525:2368544|offset_29|444444,2368553:2368572|offset_57|00cc00,2368615:2368634|offset_119|444444,2368641:2368660|offset_145|444444&amp;v=2368324:2368860&amp;c=444444", "offset 57")</f>
        <v>offset 57</v>
      </c>
    </row>
    <row r="7422" customFormat="false" ht="12.8" hidden="false" customHeight="false" outlineLevel="0" collapsed="false">
      <c r="A7422" s="0" t="s">
        <v>12</v>
      </c>
      <c r="B7422" s="0" t="n">
        <v>2368614</v>
      </c>
      <c r="C7422" s="0" t="n">
        <v>2368634</v>
      </c>
      <c r="D7422" s="0" t="s">
        <v>24697</v>
      </c>
      <c r="E7422" s="0" t="s">
        <v>24698</v>
      </c>
      <c r="F7422" s="0" t="s">
        <v>15</v>
      </c>
      <c r="G7422" s="0" t="s">
        <v>36</v>
      </c>
      <c r="H7422" s="0" t="n">
        <v>119</v>
      </c>
      <c r="I7422" s="0" t="s">
        <v>24705</v>
      </c>
      <c r="J7422" s="0" t="s">
        <v>24706</v>
      </c>
      <c r="K7422" s="0" t="s">
        <v>24707</v>
      </c>
      <c r="L7422" s="0" t="str">
        <f aca="false">HYPERLINK("https://www.ncbi.nlm.nih.gov/nuccore/CP000058.1?report=graph&amp;tracks=[key:gene_model_track,Options:GeneOnly]&amp;mk=2368525:2368544|offset_29|444444,2368553:2368572|offset_57|444444,2368615:2368634|offset_119|00cc00,2368641:2368660|offset_145|444444&amp;v=2368324:2368860&amp;c=444444", "offset 119")</f>
        <v>offset 119</v>
      </c>
    </row>
    <row r="7423" customFormat="false" ht="12.8" hidden="false" customHeight="false" outlineLevel="0" collapsed="false">
      <c r="A7423" s="0" t="s">
        <v>12</v>
      </c>
      <c r="B7423" s="0" t="n">
        <v>2368640</v>
      </c>
      <c r="C7423" s="0" t="n">
        <v>2368660</v>
      </c>
      <c r="D7423" s="0" t="s">
        <v>24697</v>
      </c>
      <c r="E7423" s="0" t="s">
        <v>24698</v>
      </c>
      <c r="F7423" s="0" t="s">
        <v>15</v>
      </c>
      <c r="G7423" s="0" t="s">
        <v>20</v>
      </c>
      <c r="H7423" s="0" t="n">
        <v>145</v>
      </c>
      <c r="I7423" s="0" t="s">
        <v>24708</v>
      </c>
      <c r="J7423" s="0" t="s">
        <v>24709</v>
      </c>
      <c r="K7423" s="0" t="s">
        <v>24710</v>
      </c>
      <c r="L7423" s="0" t="str">
        <f aca="false">HYPERLINK("https://www.ncbi.nlm.nih.gov/nuccore/CP000058.1?report=graph&amp;tracks=[key:gene_model_track,Options:GeneOnly]&amp;mk=2368525:2368544|offset_29|444444,2368553:2368572|offset_57|444444,2368615:2368634|offset_119|444444,2368641:2368660|offset_145|00cc00&amp;v=2368324:2368860&amp;c=444444", "offset 145")</f>
        <v>offset 145</v>
      </c>
    </row>
    <row r="7424" customFormat="false" ht="12.8" hidden="false" customHeight="false" outlineLevel="0" collapsed="false">
      <c r="A7424" s="0" t="s">
        <v>12</v>
      </c>
      <c r="B7424" s="0" t="n">
        <v>2370246</v>
      </c>
      <c r="C7424" s="0" t="n">
        <v>2370266</v>
      </c>
      <c r="D7424" s="0" t="s">
        <v>24711</v>
      </c>
      <c r="E7424" s="0" t="s">
        <v>24712</v>
      </c>
      <c r="F7424" s="0" t="s">
        <v>15</v>
      </c>
      <c r="G7424" s="0" t="s">
        <v>16</v>
      </c>
      <c r="H7424" s="0" t="n">
        <v>46</v>
      </c>
      <c r="I7424" s="0" t="s">
        <v>24713</v>
      </c>
      <c r="J7424" s="0" t="s">
        <v>24714</v>
      </c>
      <c r="K7424" s="0" t="s">
        <v>24715</v>
      </c>
      <c r="L7424" s="0" t="str">
        <f aca="false">HYPERLINK("https://www.ncbi.nlm.nih.gov/nuccore/CP000058.1?report=graph&amp;tracks=[key:gene_model_track,Options:GeneOnly]&amp;mk=2370247:2370266|offset_46|00cc00,2370274:2370293|offset_73|444444,2370303:2370322|offset_102|444444,2370335:2370354|offset_134|444444&amp;v=2370046:2370554&amp;c=444444", "offset 46")</f>
        <v>offset 46</v>
      </c>
    </row>
    <row r="7425" customFormat="false" ht="12.8" hidden="false" customHeight="false" outlineLevel="0" collapsed="false">
      <c r="A7425" s="0" t="s">
        <v>12</v>
      </c>
      <c r="B7425" s="0" t="n">
        <v>2370273</v>
      </c>
      <c r="C7425" s="0" t="n">
        <v>2370293</v>
      </c>
      <c r="D7425" s="0" t="s">
        <v>24711</v>
      </c>
      <c r="E7425" s="0" t="s">
        <v>24712</v>
      </c>
      <c r="F7425" s="0" t="s">
        <v>15</v>
      </c>
      <c r="G7425" s="0" t="s">
        <v>32</v>
      </c>
      <c r="H7425" s="0" t="n">
        <v>73</v>
      </c>
      <c r="I7425" s="0" t="s">
        <v>24716</v>
      </c>
      <c r="J7425" s="0" t="s">
        <v>24717</v>
      </c>
      <c r="K7425" s="0" t="s">
        <v>24718</v>
      </c>
      <c r="L7425" s="0" t="str">
        <f aca="false">HYPERLINK("https://www.ncbi.nlm.nih.gov/nuccore/CP000058.1?report=graph&amp;tracks=[key:gene_model_track,Options:GeneOnly]&amp;mk=2370247:2370266|offset_46|444444,2370274:2370293|offset_73|00cc00,2370303:2370322|offset_102|444444,2370335:2370354|offset_134|444444&amp;v=2370046:2370554&amp;c=444444", "offset 73")</f>
        <v>offset 73</v>
      </c>
    </row>
    <row r="7426" customFormat="false" ht="12.8" hidden="false" customHeight="false" outlineLevel="0" collapsed="false">
      <c r="A7426" s="0" t="s">
        <v>12</v>
      </c>
      <c r="B7426" s="0" t="n">
        <v>2370302</v>
      </c>
      <c r="C7426" s="0" t="n">
        <v>2370322</v>
      </c>
      <c r="D7426" s="0" t="s">
        <v>24711</v>
      </c>
      <c r="E7426" s="0" t="s">
        <v>24712</v>
      </c>
      <c r="F7426" s="0" t="s">
        <v>15</v>
      </c>
      <c r="G7426" s="0" t="s">
        <v>16</v>
      </c>
      <c r="H7426" s="0" t="n">
        <v>102</v>
      </c>
      <c r="I7426" s="0" t="s">
        <v>24719</v>
      </c>
      <c r="J7426" s="0" t="s">
        <v>24720</v>
      </c>
      <c r="K7426" s="0" t="s">
        <v>24721</v>
      </c>
      <c r="L7426" s="0" t="str">
        <f aca="false">HYPERLINK("https://www.ncbi.nlm.nih.gov/nuccore/CP000058.1?report=graph&amp;tracks=[key:gene_model_track,Options:GeneOnly]&amp;mk=2370247:2370266|offset_46|444444,2370274:2370293|offset_73|444444,2370303:2370322|offset_102|00cc00,2370335:2370354|offset_134|444444&amp;v=2370046:2370554&amp;c=444444", "offset 102")</f>
        <v>offset 102</v>
      </c>
    </row>
    <row r="7427" customFormat="false" ht="12.8" hidden="false" customHeight="false" outlineLevel="0" collapsed="false">
      <c r="A7427" s="0" t="s">
        <v>12</v>
      </c>
      <c r="B7427" s="0" t="n">
        <v>2370334</v>
      </c>
      <c r="C7427" s="0" t="n">
        <v>2370354</v>
      </c>
      <c r="D7427" s="0" t="s">
        <v>24711</v>
      </c>
      <c r="E7427" s="0" t="s">
        <v>24712</v>
      </c>
      <c r="F7427" s="0" t="s">
        <v>15</v>
      </c>
      <c r="G7427" s="0" t="s">
        <v>36</v>
      </c>
      <c r="H7427" s="0" t="n">
        <v>134</v>
      </c>
      <c r="I7427" s="0" t="s">
        <v>24722</v>
      </c>
      <c r="J7427" s="0" t="s">
        <v>24723</v>
      </c>
      <c r="K7427" s="0" t="s">
        <v>24724</v>
      </c>
      <c r="L7427" s="0" t="str">
        <f aca="false">HYPERLINK("https://www.ncbi.nlm.nih.gov/nuccore/CP000058.1?report=graph&amp;tracks=[key:gene_model_track,Options:GeneOnly]&amp;mk=2370247:2370266|offset_46|444444,2370274:2370293|offset_73|444444,2370303:2370322|offset_102|444444,2370335:2370354|offset_134|00cc00&amp;v=2370046:2370554&amp;c=444444", "offset 134")</f>
        <v>offset 134</v>
      </c>
    </row>
    <row r="7428" customFormat="false" ht="12.8" hidden="false" customHeight="false" outlineLevel="0" collapsed="false">
      <c r="A7428" s="0" t="s">
        <v>12</v>
      </c>
      <c r="B7428" s="0" t="n">
        <v>2371791</v>
      </c>
      <c r="C7428" s="0" t="n">
        <v>2371811</v>
      </c>
      <c r="D7428" s="0" t="s">
        <v>24725</v>
      </c>
      <c r="E7428" s="0" t="s">
        <v>75</v>
      </c>
      <c r="F7428" s="0" t="s">
        <v>15</v>
      </c>
      <c r="G7428" s="0" t="s">
        <v>32</v>
      </c>
      <c r="H7428" s="0" t="n">
        <v>25</v>
      </c>
      <c r="I7428" s="0" t="s">
        <v>24726</v>
      </c>
      <c r="J7428" s="0" t="s">
        <v>24727</v>
      </c>
      <c r="K7428" s="0" t="s">
        <v>24728</v>
      </c>
      <c r="L7428" s="0" t="str">
        <f aca="false">HYPERLINK("https://www.ncbi.nlm.nih.gov/nuccore/CP000058.1?report=graph&amp;tracks=[key:gene_model_track,Options:GeneOnly]&amp;mk=2371792:2371811|offset_25|00cc00,2371850:2371869|offset_83|444444,2371870:2371889|offset_103|444444,2371895:2371914|offset_128|444444&amp;v=2371591:2372114&amp;c=444444", "offset 25")</f>
        <v>offset 25</v>
      </c>
    </row>
    <row r="7429" customFormat="false" ht="12.8" hidden="false" customHeight="false" outlineLevel="0" collapsed="false">
      <c r="A7429" s="0" t="s">
        <v>12</v>
      </c>
      <c r="B7429" s="0" t="n">
        <v>2371849</v>
      </c>
      <c r="C7429" s="0" t="n">
        <v>2371869</v>
      </c>
      <c r="D7429" s="0" t="s">
        <v>24725</v>
      </c>
      <c r="E7429" s="0" t="s">
        <v>75</v>
      </c>
      <c r="F7429" s="0" t="s">
        <v>15</v>
      </c>
      <c r="G7429" s="0" t="s">
        <v>32</v>
      </c>
      <c r="H7429" s="0" t="n">
        <v>83</v>
      </c>
      <c r="I7429" s="0" t="s">
        <v>24729</v>
      </c>
      <c r="J7429" s="0" t="s">
        <v>24730</v>
      </c>
      <c r="K7429" s="0" t="s">
        <v>24731</v>
      </c>
      <c r="L7429" s="0" t="str">
        <f aca="false">HYPERLINK("https://www.ncbi.nlm.nih.gov/nuccore/CP000058.1?report=graph&amp;tracks=[key:gene_model_track,Options:GeneOnly]&amp;mk=2371792:2371811|offset_25|444444,2371850:2371869|offset_83|00cc00,2371870:2371889|offset_103|444444,2371895:2371914|offset_128|444444&amp;v=2371591:2372114&amp;c=444444", "offset 83")</f>
        <v>offset 83</v>
      </c>
    </row>
    <row r="7430" customFormat="false" ht="12.8" hidden="false" customHeight="false" outlineLevel="0" collapsed="false">
      <c r="A7430" s="0" t="s">
        <v>12</v>
      </c>
      <c r="B7430" s="0" t="n">
        <v>2371869</v>
      </c>
      <c r="C7430" s="0" t="n">
        <v>2371889</v>
      </c>
      <c r="D7430" s="0" t="s">
        <v>24725</v>
      </c>
      <c r="E7430" s="0" t="s">
        <v>75</v>
      </c>
      <c r="F7430" s="0" t="s">
        <v>15</v>
      </c>
      <c r="G7430" s="0" t="s">
        <v>32</v>
      </c>
      <c r="H7430" s="0" t="n">
        <v>103</v>
      </c>
      <c r="I7430" s="0" t="s">
        <v>24732</v>
      </c>
      <c r="J7430" s="0" t="s">
        <v>24733</v>
      </c>
      <c r="K7430" s="0" t="s">
        <v>24734</v>
      </c>
      <c r="L7430" s="0" t="str">
        <f aca="false">HYPERLINK("https://www.ncbi.nlm.nih.gov/nuccore/CP000058.1?report=graph&amp;tracks=[key:gene_model_track,Options:GeneOnly]&amp;mk=2371792:2371811|offset_25|444444,2371850:2371869|offset_83|444444,2371870:2371889|offset_103|00cc00,2371895:2371914|offset_128|444444&amp;v=2371591:2372114&amp;c=444444", "offset 103")</f>
        <v>offset 103</v>
      </c>
    </row>
    <row r="7431" customFormat="false" ht="12.8" hidden="false" customHeight="false" outlineLevel="0" collapsed="false">
      <c r="A7431" s="0" t="s">
        <v>12</v>
      </c>
      <c r="B7431" s="0" t="n">
        <v>2371894</v>
      </c>
      <c r="C7431" s="0" t="n">
        <v>2371914</v>
      </c>
      <c r="D7431" s="0" t="s">
        <v>24725</v>
      </c>
      <c r="E7431" s="0" t="s">
        <v>75</v>
      </c>
      <c r="F7431" s="0" t="s">
        <v>15</v>
      </c>
      <c r="G7431" s="0" t="s">
        <v>36</v>
      </c>
      <c r="H7431" s="0" t="n">
        <v>128</v>
      </c>
      <c r="I7431" s="0" t="s">
        <v>24735</v>
      </c>
      <c r="J7431" s="0" t="s">
        <v>24736</v>
      </c>
      <c r="K7431" s="0" t="s">
        <v>24737</v>
      </c>
      <c r="L7431" s="0" t="str">
        <f aca="false">HYPERLINK("https://www.ncbi.nlm.nih.gov/nuccore/CP000058.1?report=graph&amp;tracks=[key:gene_model_track,Options:GeneOnly]&amp;mk=2371792:2371811|offset_25|444444,2371850:2371869|offset_83|444444,2371870:2371889|offset_103|444444,2371895:2371914|offset_128|00cc00&amp;v=2371591:2372114&amp;c=444444", "offset 128")</f>
        <v>offset 128</v>
      </c>
    </row>
    <row r="7432" customFormat="false" ht="12.8" hidden="false" customHeight="false" outlineLevel="0" collapsed="false">
      <c r="A7432" s="0" t="s">
        <v>12</v>
      </c>
      <c r="B7432" s="0" t="n">
        <v>2372340</v>
      </c>
      <c r="C7432" s="0" t="n">
        <v>2372360</v>
      </c>
      <c r="D7432" s="0" t="s">
        <v>24738</v>
      </c>
      <c r="E7432" s="0" t="s">
        <v>24739</v>
      </c>
      <c r="F7432" s="0" t="s">
        <v>15</v>
      </c>
      <c r="G7432" s="0" t="s">
        <v>32</v>
      </c>
      <c r="H7432" s="0" t="n">
        <v>7</v>
      </c>
      <c r="I7432" s="0" t="s">
        <v>24740</v>
      </c>
      <c r="J7432" s="0" t="s">
        <v>24741</v>
      </c>
      <c r="K7432" s="0" t="s">
        <v>24742</v>
      </c>
      <c r="L7432" s="0" t="str">
        <f aca="false">HYPERLINK("https://www.ncbi.nlm.nih.gov/nuccore/CP000058.1?report=graph&amp;tracks=[key:gene_model_track,Options:GeneOnly]&amp;mk=2372341:2372360|offset_7|00cc00,2372366:2372385|offset_32|444444,2372392:2372411|offset_58|444444,2372419:2372438|offset_85|444444&amp;v=2372140:2372638&amp;c=444444", "offset 7")</f>
        <v>offset 7</v>
      </c>
    </row>
    <row r="7433" customFormat="false" ht="12.8" hidden="false" customHeight="false" outlineLevel="0" collapsed="false">
      <c r="A7433" s="0" t="s">
        <v>12</v>
      </c>
      <c r="B7433" s="0" t="n">
        <v>2372365</v>
      </c>
      <c r="C7433" s="0" t="n">
        <v>2372385</v>
      </c>
      <c r="D7433" s="0" t="s">
        <v>24738</v>
      </c>
      <c r="E7433" s="0" t="s">
        <v>24739</v>
      </c>
      <c r="F7433" s="0" t="s">
        <v>15</v>
      </c>
      <c r="G7433" s="0" t="s">
        <v>20</v>
      </c>
      <c r="H7433" s="0" t="n">
        <v>32</v>
      </c>
      <c r="I7433" s="0" t="s">
        <v>24743</v>
      </c>
      <c r="J7433" s="0" t="s">
        <v>24744</v>
      </c>
      <c r="K7433" s="0" t="s">
        <v>24745</v>
      </c>
      <c r="L7433" s="0" t="str">
        <f aca="false">HYPERLINK("https://www.ncbi.nlm.nih.gov/nuccore/CP000058.1?report=graph&amp;tracks=[key:gene_model_track,Options:GeneOnly]&amp;mk=2372341:2372360|offset_7|444444,2372366:2372385|offset_32|00cc00,2372392:2372411|offset_58|444444,2372419:2372438|offset_85|444444&amp;v=2372140:2372638&amp;c=444444", "offset 32")</f>
        <v>offset 32</v>
      </c>
    </row>
    <row r="7434" customFormat="false" ht="12.8" hidden="false" customHeight="false" outlineLevel="0" collapsed="false">
      <c r="A7434" s="0" t="s">
        <v>12</v>
      </c>
      <c r="B7434" s="0" t="n">
        <v>2372391</v>
      </c>
      <c r="C7434" s="0" t="n">
        <v>2372411</v>
      </c>
      <c r="D7434" s="0" t="s">
        <v>24738</v>
      </c>
      <c r="E7434" s="0" t="s">
        <v>24739</v>
      </c>
      <c r="F7434" s="0" t="s">
        <v>15</v>
      </c>
      <c r="G7434" s="0" t="s">
        <v>16</v>
      </c>
      <c r="H7434" s="0" t="n">
        <v>58</v>
      </c>
      <c r="I7434" s="0" t="s">
        <v>24746</v>
      </c>
      <c r="J7434" s="0" t="s">
        <v>24747</v>
      </c>
      <c r="K7434" s="0" t="s">
        <v>24748</v>
      </c>
      <c r="L7434" s="0" t="str">
        <f aca="false">HYPERLINK("https://www.ncbi.nlm.nih.gov/nuccore/CP000058.1?report=graph&amp;tracks=[key:gene_model_track,Options:GeneOnly]&amp;mk=2372341:2372360|offset_7|444444,2372366:2372385|offset_32|444444,2372392:2372411|offset_58|00cc00,2372419:2372438|offset_85|444444&amp;v=2372140:2372638&amp;c=444444", "offset 58")</f>
        <v>offset 58</v>
      </c>
    </row>
    <row r="7435" customFormat="false" ht="12.8" hidden="false" customHeight="false" outlineLevel="0" collapsed="false">
      <c r="A7435" s="0" t="s">
        <v>12</v>
      </c>
      <c r="B7435" s="0" t="n">
        <v>2372418</v>
      </c>
      <c r="C7435" s="0" t="n">
        <v>2372438</v>
      </c>
      <c r="D7435" s="0" t="s">
        <v>24738</v>
      </c>
      <c r="E7435" s="0" t="s">
        <v>24739</v>
      </c>
      <c r="F7435" s="0" t="s">
        <v>15</v>
      </c>
      <c r="G7435" s="0" t="s">
        <v>16</v>
      </c>
      <c r="H7435" s="0" t="n">
        <v>85</v>
      </c>
      <c r="I7435" s="0" t="s">
        <v>24749</v>
      </c>
      <c r="J7435" s="0" t="s">
        <v>24750</v>
      </c>
      <c r="K7435" s="0" t="s">
        <v>24751</v>
      </c>
      <c r="L7435" s="0" t="str">
        <f aca="false">HYPERLINK("https://www.ncbi.nlm.nih.gov/nuccore/CP000058.1?report=graph&amp;tracks=[key:gene_model_track,Options:GeneOnly]&amp;mk=2372341:2372360|offset_7|444444,2372366:2372385|offset_32|444444,2372392:2372411|offset_58|444444,2372419:2372438|offset_85|00cc00&amp;v=2372140:2372638&amp;c=444444", "offset 85")</f>
        <v>offset 85</v>
      </c>
    </row>
    <row r="7436" customFormat="false" ht="12.8" hidden="false" customHeight="false" outlineLevel="0" collapsed="false">
      <c r="A7436" s="0" t="s">
        <v>12</v>
      </c>
      <c r="B7436" s="0" t="n">
        <v>2372985</v>
      </c>
      <c r="C7436" s="0" t="n">
        <v>2373005</v>
      </c>
      <c r="D7436" s="0" t="s">
        <v>24752</v>
      </c>
      <c r="E7436" s="0" t="s">
        <v>24753</v>
      </c>
      <c r="F7436" s="0" t="s">
        <v>15</v>
      </c>
      <c r="G7436" s="0" t="s">
        <v>16</v>
      </c>
      <c r="H7436" s="0" t="n">
        <v>13</v>
      </c>
      <c r="I7436" s="0" t="s">
        <v>24754</v>
      </c>
      <c r="J7436" s="0" t="s">
        <v>24755</v>
      </c>
      <c r="K7436" s="0" t="s">
        <v>24756</v>
      </c>
      <c r="L7436" s="0" t="str">
        <f aca="false">HYPERLINK("https://www.ncbi.nlm.nih.gov/nuccore/CP000058.1?report=graph&amp;tracks=[key:gene_model_track,Options:GeneOnly]&amp;mk=2372986:2373005|offset_13|00cc00,2373010:2373029|offset_37|444444,2373058:2373077|offset_85|444444,2373079:2373098|offset_106|444444&amp;v=2372785:2373298&amp;c=444444", "offset 13")</f>
        <v>offset 13</v>
      </c>
    </row>
    <row r="7437" customFormat="false" ht="12.8" hidden="false" customHeight="false" outlineLevel="0" collapsed="false">
      <c r="A7437" s="0" t="s">
        <v>12</v>
      </c>
      <c r="B7437" s="0" t="n">
        <v>2373009</v>
      </c>
      <c r="C7437" s="0" t="n">
        <v>2373029</v>
      </c>
      <c r="D7437" s="0" t="s">
        <v>24752</v>
      </c>
      <c r="E7437" s="0" t="s">
        <v>24753</v>
      </c>
      <c r="F7437" s="0" t="s">
        <v>15</v>
      </c>
      <c r="G7437" s="0" t="s">
        <v>36</v>
      </c>
      <c r="H7437" s="0" t="n">
        <v>37</v>
      </c>
      <c r="I7437" s="0" t="s">
        <v>24757</v>
      </c>
      <c r="J7437" s="0" t="s">
        <v>24758</v>
      </c>
      <c r="K7437" s="0" t="s">
        <v>24759</v>
      </c>
      <c r="L7437" s="0" t="str">
        <f aca="false">HYPERLINK("https://www.ncbi.nlm.nih.gov/nuccore/CP000058.1?report=graph&amp;tracks=[key:gene_model_track,Options:GeneOnly]&amp;mk=2372986:2373005|offset_13|444444,2373010:2373029|offset_37|00cc00,2373058:2373077|offset_85|444444,2373079:2373098|offset_106|444444&amp;v=2372785:2373298&amp;c=444444", "offset 37")</f>
        <v>offset 37</v>
      </c>
    </row>
    <row r="7438" customFormat="false" ht="12.8" hidden="false" customHeight="false" outlineLevel="0" collapsed="false">
      <c r="A7438" s="0" t="s">
        <v>12</v>
      </c>
      <c r="B7438" s="0" t="n">
        <v>2373057</v>
      </c>
      <c r="C7438" s="0" t="n">
        <v>2373077</v>
      </c>
      <c r="D7438" s="0" t="s">
        <v>24752</v>
      </c>
      <c r="E7438" s="0" t="s">
        <v>24753</v>
      </c>
      <c r="F7438" s="0" t="s">
        <v>15</v>
      </c>
      <c r="G7438" s="0" t="s">
        <v>16</v>
      </c>
      <c r="H7438" s="0" t="n">
        <v>85</v>
      </c>
      <c r="I7438" s="0" t="s">
        <v>24760</v>
      </c>
      <c r="J7438" s="0" t="s">
        <v>24761</v>
      </c>
      <c r="K7438" s="0" t="s">
        <v>24762</v>
      </c>
      <c r="L7438" s="0" t="str">
        <f aca="false">HYPERLINK("https://www.ncbi.nlm.nih.gov/nuccore/CP000058.1?report=graph&amp;tracks=[key:gene_model_track,Options:GeneOnly]&amp;mk=2372986:2373005|offset_13|444444,2373010:2373029|offset_37|444444,2373058:2373077|offset_85|00cc00,2373079:2373098|offset_106|444444&amp;v=2372785:2373298&amp;c=444444", "offset 85")</f>
        <v>offset 85</v>
      </c>
    </row>
    <row r="7439" customFormat="false" ht="12.8" hidden="false" customHeight="false" outlineLevel="0" collapsed="false">
      <c r="A7439" s="0" t="s">
        <v>12</v>
      </c>
      <c r="B7439" s="0" t="n">
        <v>2373078</v>
      </c>
      <c r="C7439" s="0" t="n">
        <v>2373098</v>
      </c>
      <c r="D7439" s="0" t="s">
        <v>24752</v>
      </c>
      <c r="E7439" s="0" t="s">
        <v>24753</v>
      </c>
      <c r="F7439" s="0" t="s">
        <v>15</v>
      </c>
      <c r="G7439" s="0" t="s">
        <v>20</v>
      </c>
      <c r="H7439" s="0" t="n">
        <v>106</v>
      </c>
      <c r="I7439" s="0" t="s">
        <v>24763</v>
      </c>
      <c r="J7439" s="0" t="s">
        <v>24764</v>
      </c>
      <c r="K7439" s="0" t="s">
        <v>24765</v>
      </c>
      <c r="L7439" s="0" t="str">
        <f aca="false">HYPERLINK("https://www.ncbi.nlm.nih.gov/nuccore/CP000058.1?report=graph&amp;tracks=[key:gene_model_track,Options:GeneOnly]&amp;mk=2372986:2373005|offset_13|444444,2373010:2373029|offset_37|444444,2373058:2373077|offset_85|444444,2373079:2373098|offset_106|00cc00&amp;v=2372785:2373298&amp;c=444444", "offset 106")</f>
        <v>offset 106</v>
      </c>
    </row>
    <row r="7440" customFormat="false" ht="12.8" hidden="false" customHeight="false" outlineLevel="0" collapsed="false">
      <c r="A7440" s="0" t="s">
        <v>12</v>
      </c>
      <c r="B7440" s="0" t="n">
        <v>2375640</v>
      </c>
      <c r="C7440" s="0" t="n">
        <v>2375660</v>
      </c>
      <c r="D7440" s="0" t="s">
        <v>24766</v>
      </c>
      <c r="E7440" s="0" t="s">
        <v>24767</v>
      </c>
      <c r="F7440" s="0" t="s">
        <v>15</v>
      </c>
      <c r="G7440" s="0" t="s">
        <v>32</v>
      </c>
      <c r="H7440" s="0" t="n">
        <v>8</v>
      </c>
      <c r="I7440" s="0" t="s">
        <v>24768</v>
      </c>
      <c r="J7440" s="0" t="s">
        <v>24769</v>
      </c>
      <c r="K7440" s="0" t="s">
        <v>24770</v>
      </c>
      <c r="L7440" s="0" t="str">
        <f aca="false">HYPERLINK("https://www.ncbi.nlm.nih.gov/nuccore/CP000058.1?report=graph&amp;tracks=[key:gene_model_track,Options:GeneOnly]&amp;mk=2375641:2375660|offset_8|00cc00,2375675:2375694|offset_42|444444,2375739:2375758|offset_106|444444,2375760:2375779|offset_127|444444&amp;v=2375440:2375979&amp;c=444444", "offset 8")</f>
        <v>offset 8</v>
      </c>
    </row>
    <row r="7441" customFormat="false" ht="12.8" hidden="false" customHeight="false" outlineLevel="0" collapsed="false">
      <c r="A7441" s="0" t="s">
        <v>12</v>
      </c>
      <c r="B7441" s="0" t="n">
        <v>2375674</v>
      </c>
      <c r="C7441" s="0" t="n">
        <v>2375694</v>
      </c>
      <c r="D7441" s="0" t="s">
        <v>24766</v>
      </c>
      <c r="E7441" s="0" t="s">
        <v>24767</v>
      </c>
      <c r="F7441" s="0" t="s">
        <v>15</v>
      </c>
      <c r="G7441" s="0" t="s">
        <v>16</v>
      </c>
      <c r="H7441" s="0" t="n">
        <v>42</v>
      </c>
      <c r="I7441" s="0" t="s">
        <v>24771</v>
      </c>
      <c r="J7441" s="0" t="s">
        <v>24772</v>
      </c>
      <c r="K7441" s="0" t="s">
        <v>24773</v>
      </c>
      <c r="L7441" s="0" t="str">
        <f aca="false">HYPERLINK("https://www.ncbi.nlm.nih.gov/nuccore/CP000058.1?report=graph&amp;tracks=[key:gene_model_track,Options:GeneOnly]&amp;mk=2375641:2375660|offset_8|444444,2375675:2375694|offset_42|00cc00,2375739:2375758|offset_106|444444,2375760:2375779|offset_127|444444&amp;v=2375440:2375979&amp;c=444444", "offset 42")</f>
        <v>offset 42</v>
      </c>
    </row>
    <row r="7442" customFormat="false" ht="12.8" hidden="false" customHeight="false" outlineLevel="0" collapsed="false">
      <c r="A7442" s="0" t="s">
        <v>12</v>
      </c>
      <c r="B7442" s="0" t="n">
        <v>2375738</v>
      </c>
      <c r="C7442" s="0" t="n">
        <v>2375758</v>
      </c>
      <c r="D7442" s="0" t="s">
        <v>24766</v>
      </c>
      <c r="E7442" s="0" t="s">
        <v>24767</v>
      </c>
      <c r="F7442" s="0" t="s">
        <v>15</v>
      </c>
      <c r="G7442" s="0" t="s">
        <v>32</v>
      </c>
      <c r="H7442" s="0" t="n">
        <v>106</v>
      </c>
      <c r="I7442" s="0" t="s">
        <v>24774</v>
      </c>
      <c r="J7442" s="0" t="s">
        <v>24775</v>
      </c>
      <c r="K7442" s="0" t="s">
        <v>24776</v>
      </c>
      <c r="L7442" s="0" t="str">
        <f aca="false">HYPERLINK("https://www.ncbi.nlm.nih.gov/nuccore/CP000058.1?report=graph&amp;tracks=[key:gene_model_track,Options:GeneOnly]&amp;mk=2375641:2375660|offset_8|444444,2375675:2375694|offset_42|444444,2375739:2375758|offset_106|00cc00,2375760:2375779|offset_127|444444&amp;v=2375440:2375979&amp;c=444444", "offset 106")</f>
        <v>offset 106</v>
      </c>
    </row>
    <row r="7443" customFormat="false" ht="12.8" hidden="false" customHeight="false" outlineLevel="0" collapsed="false">
      <c r="A7443" s="0" t="s">
        <v>12</v>
      </c>
      <c r="B7443" s="0" t="n">
        <v>2375759</v>
      </c>
      <c r="C7443" s="0" t="n">
        <v>2375779</v>
      </c>
      <c r="D7443" s="0" t="s">
        <v>24766</v>
      </c>
      <c r="E7443" s="0" t="s">
        <v>24767</v>
      </c>
      <c r="F7443" s="0" t="s">
        <v>15</v>
      </c>
      <c r="G7443" s="0" t="s">
        <v>36</v>
      </c>
      <c r="H7443" s="0" t="n">
        <v>127</v>
      </c>
      <c r="I7443" s="0" t="s">
        <v>24777</v>
      </c>
      <c r="J7443" s="0" t="s">
        <v>24778</v>
      </c>
      <c r="K7443" s="0" t="s">
        <v>24779</v>
      </c>
      <c r="L7443" s="0" t="str">
        <f aca="false">HYPERLINK("https://www.ncbi.nlm.nih.gov/nuccore/CP000058.1?report=graph&amp;tracks=[key:gene_model_track,Options:GeneOnly]&amp;mk=2375641:2375660|offset_8|444444,2375675:2375694|offset_42|444444,2375739:2375758|offset_106|444444,2375760:2375779|offset_127|00cc00&amp;v=2375440:2375979&amp;c=444444", "offset 127")</f>
        <v>offset 127</v>
      </c>
    </row>
    <row r="7444" customFormat="false" ht="12.8" hidden="false" customHeight="false" outlineLevel="0" collapsed="false">
      <c r="A7444" s="0" t="s">
        <v>12</v>
      </c>
      <c r="B7444" s="0" t="n">
        <v>2376421</v>
      </c>
      <c r="C7444" s="0" t="n">
        <v>2376441</v>
      </c>
      <c r="D7444" s="0" t="s">
        <v>24780</v>
      </c>
      <c r="E7444" s="0" t="s">
        <v>75</v>
      </c>
      <c r="F7444" s="0" t="s">
        <v>15</v>
      </c>
      <c r="G7444" s="0" t="s">
        <v>36</v>
      </c>
      <c r="H7444" s="0" t="n">
        <v>0</v>
      </c>
      <c r="I7444" s="0" t="s">
        <v>24781</v>
      </c>
      <c r="J7444" s="0" t="s">
        <v>24782</v>
      </c>
      <c r="K7444" s="0" t="s">
        <v>24783</v>
      </c>
      <c r="L7444" s="0" t="str">
        <f aca="false">HYPERLINK("https://www.ncbi.nlm.nih.gov/nuccore/CP000058.1?report=graph&amp;tracks=[key:gene_model_track,Options:GeneOnly]&amp;mk=2376422:2376441|offset_0|00cc00,2376446:2376465|offset_24|444444,2376486:2376505|offset_64|444444,2376507:2376526|offset_85|444444&amp;v=2376221:2376726&amp;c=444444", "offset 0")</f>
        <v>offset 0</v>
      </c>
    </row>
    <row r="7445" customFormat="false" ht="12.8" hidden="false" customHeight="false" outlineLevel="0" collapsed="false">
      <c r="A7445" s="0" t="s">
        <v>12</v>
      </c>
      <c r="B7445" s="0" t="n">
        <v>2376445</v>
      </c>
      <c r="C7445" s="0" t="n">
        <v>2376465</v>
      </c>
      <c r="D7445" s="0" t="s">
        <v>24780</v>
      </c>
      <c r="E7445" s="0" t="s">
        <v>75</v>
      </c>
      <c r="F7445" s="0" t="s">
        <v>15</v>
      </c>
      <c r="G7445" s="0" t="s">
        <v>32</v>
      </c>
      <c r="H7445" s="0" t="n">
        <v>24</v>
      </c>
      <c r="I7445" s="0" t="s">
        <v>24784</v>
      </c>
      <c r="J7445" s="0" t="s">
        <v>24785</v>
      </c>
      <c r="K7445" s="0" t="s">
        <v>24786</v>
      </c>
      <c r="L7445" s="0" t="str">
        <f aca="false">HYPERLINK("https://www.ncbi.nlm.nih.gov/nuccore/CP000058.1?report=graph&amp;tracks=[key:gene_model_track,Options:GeneOnly]&amp;mk=2376422:2376441|offset_0|444444,2376446:2376465|offset_24|00cc00,2376486:2376505|offset_64|444444,2376507:2376526|offset_85|444444&amp;v=2376221:2376726&amp;c=444444", "offset 24")</f>
        <v>offset 24</v>
      </c>
    </row>
    <row r="7446" customFormat="false" ht="12.8" hidden="false" customHeight="false" outlineLevel="0" collapsed="false">
      <c r="A7446" s="0" t="s">
        <v>12</v>
      </c>
      <c r="B7446" s="0" t="n">
        <v>2376485</v>
      </c>
      <c r="C7446" s="0" t="n">
        <v>2376505</v>
      </c>
      <c r="D7446" s="0" t="s">
        <v>24780</v>
      </c>
      <c r="E7446" s="0" t="s">
        <v>75</v>
      </c>
      <c r="F7446" s="0" t="s">
        <v>15</v>
      </c>
      <c r="G7446" s="0" t="s">
        <v>16</v>
      </c>
      <c r="H7446" s="0" t="n">
        <v>64</v>
      </c>
      <c r="I7446" s="0" t="s">
        <v>24787</v>
      </c>
      <c r="J7446" s="0" t="s">
        <v>24788</v>
      </c>
      <c r="K7446" s="0" t="s">
        <v>24789</v>
      </c>
      <c r="L7446" s="0" t="str">
        <f aca="false">HYPERLINK("https://www.ncbi.nlm.nih.gov/nuccore/CP000058.1?report=graph&amp;tracks=[key:gene_model_track,Options:GeneOnly]&amp;mk=2376422:2376441|offset_0|444444,2376446:2376465|offset_24|444444,2376486:2376505|offset_64|00cc00,2376507:2376526|offset_85|444444&amp;v=2376221:2376726&amp;c=444444", "offset 64")</f>
        <v>offset 64</v>
      </c>
    </row>
    <row r="7447" customFormat="false" ht="12.8" hidden="false" customHeight="false" outlineLevel="0" collapsed="false">
      <c r="A7447" s="0" t="s">
        <v>12</v>
      </c>
      <c r="B7447" s="0" t="n">
        <v>2376506</v>
      </c>
      <c r="C7447" s="0" t="n">
        <v>2376526</v>
      </c>
      <c r="D7447" s="0" t="s">
        <v>24780</v>
      </c>
      <c r="E7447" s="0" t="s">
        <v>75</v>
      </c>
      <c r="F7447" s="0" t="s">
        <v>15</v>
      </c>
      <c r="G7447" s="0" t="s">
        <v>32</v>
      </c>
      <c r="H7447" s="0" t="n">
        <v>85</v>
      </c>
      <c r="I7447" s="0" t="s">
        <v>24790</v>
      </c>
      <c r="J7447" s="0" t="s">
        <v>24791</v>
      </c>
      <c r="K7447" s="0" t="s">
        <v>24792</v>
      </c>
      <c r="L7447" s="0" t="str">
        <f aca="false">HYPERLINK("https://www.ncbi.nlm.nih.gov/nuccore/CP000058.1?report=graph&amp;tracks=[key:gene_model_track,Options:GeneOnly]&amp;mk=2376422:2376441|offset_0|444444,2376446:2376465|offset_24|444444,2376486:2376505|offset_64|444444,2376507:2376526|offset_85|00cc00&amp;v=2376221:2376726&amp;c=444444", "offset 85")</f>
        <v>offset 85</v>
      </c>
    </row>
    <row r="7448" customFormat="false" ht="12.8" hidden="false" customHeight="false" outlineLevel="0" collapsed="false">
      <c r="A7448" s="0" t="s">
        <v>12</v>
      </c>
      <c r="B7448" s="0" t="n">
        <v>2377119</v>
      </c>
      <c r="C7448" s="0" t="n">
        <v>2377139</v>
      </c>
      <c r="D7448" s="0" t="s">
        <v>24793</v>
      </c>
      <c r="E7448" s="0" t="s">
        <v>75</v>
      </c>
      <c r="F7448" s="0" t="s">
        <v>15</v>
      </c>
      <c r="G7448" s="0" t="s">
        <v>20</v>
      </c>
      <c r="H7448" s="0" t="n">
        <v>26</v>
      </c>
      <c r="I7448" s="0" t="s">
        <v>24794</v>
      </c>
      <c r="J7448" s="0" t="s">
        <v>24795</v>
      </c>
      <c r="K7448" s="0" t="s">
        <v>24796</v>
      </c>
      <c r="L7448" s="0" t="str">
        <f aca="false">HYPERLINK("https://www.ncbi.nlm.nih.gov/nuccore/CP000058.1?report=graph&amp;tracks=[key:gene_model_track,Options:GeneOnly]&amp;mk=2377120:2377139|offset_26|00cc00,2377220:2377239|offset_126|444444,2377246:2377265|offset_152|444444,2377270:2377289|offset_176|444444&amp;v=2376919:2377489&amp;c=444444", "offset 26")</f>
        <v>offset 26</v>
      </c>
    </row>
    <row r="7449" customFormat="false" ht="12.8" hidden="false" customHeight="false" outlineLevel="0" collapsed="false">
      <c r="A7449" s="0" t="s">
        <v>12</v>
      </c>
      <c r="B7449" s="0" t="n">
        <v>2377219</v>
      </c>
      <c r="C7449" s="0" t="n">
        <v>2377239</v>
      </c>
      <c r="D7449" s="0" t="s">
        <v>24793</v>
      </c>
      <c r="E7449" s="0" t="s">
        <v>75</v>
      </c>
      <c r="F7449" s="0" t="s">
        <v>15</v>
      </c>
      <c r="G7449" s="0" t="s">
        <v>16</v>
      </c>
      <c r="H7449" s="0" t="n">
        <v>126</v>
      </c>
      <c r="I7449" s="0" t="s">
        <v>24797</v>
      </c>
      <c r="J7449" s="0" t="s">
        <v>24798</v>
      </c>
      <c r="K7449" s="0" t="s">
        <v>24799</v>
      </c>
      <c r="L7449" s="0" t="str">
        <f aca="false">HYPERLINK("https://www.ncbi.nlm.nih.gov/nuccore/CP000058.1?report=graph&amp;tracks=[key:gene_model_track,Options:GeneOnly]&amp;mk=2377120:2377139|offset_26|444444,2377220:2377239|offset_126|00cc00,2377246:2377265|offset_152|444444,2377270:2377289|offset_176|444444&amp;v=2376919:2377489&amp;c=444444", "offset 126")</f>
        <v>offset 126</v>
      </c>
    </row>
    <row r="7450" customFormat="false" ht="12.8" hidden="false" customHeight="false" outlineLevel="0" collapsed="false">
      <c r="A7450" s="0" t="s">
        <v>12</v>
      </c>
      <c r="B7450" s="0" t="n">
        <v>2377245</v>
      </c>
      <c r="C7450" s="0" t="n">
        <v>2377265</v>
      </c>
      <c r="D7450" s="0" t="s">
        <v>24793</v>
      </c>
      <c r="E7450" s="0" t="s">
        <v>75</v>
      </c>
      <c r="F7450" s="0" t="s">
        <v>15</v>
      </c>
      <c r="G7450" s="0" t="s">
        <v>32</v>
      </c>
      <c r="H7450" s="0" t="n">
        <v>152</v>
      </c>
      <c r="I7450" s="0" t="s">
        <v>24800</v>
      </c>
      <c r="J7450" s="0" t="s">
        <v>24801</v>
      </c>
      <c r="K7450" s="0" t="s">
        <v>24802</v>
      </c>
      <c r="L7450" s="0" t="str">
        <f aca="false">HYPERLINK("https://www.ncbi.nlm.nih.gov/nuccore/CP000058.1?report=graph&amp;tracks=[key:gene_model_track,Options:GeneOnly]&amp;mk=2377120:2377139|offset_26|444444,2377220:2377239|offset_126|444444,2377246:2377265|offset_152|00cc00,2377270:2377289|offset_176|444444&amp;v=2376919:2377489&amp;c=444444", "offset 152")</f>
        <v>offset 152</v>
      </c>
    </row>
    <row r="7451" customFormat="false" ht="12.8" hidden="false" customHeight="false" outlineLevel="0" collapsed="false">
      <c r="A7451" s="0" t="s">
        <v>12</v>
      </c>
      <c r="B7451" s="0" t="n">
        <v>2377269</v>
      </c>
      <c r="C7451" s="0" t="n">
        <v>2377289</v>
      </c>
      <c r="D7451" s="0" t="s">
        <v>24793</v>
      </c>
      <c r="E7451" s="0" t="s">
        <v>75</v>
      </c>
      <c r="F7451" s="0" t="s">
        <v>15</v>
      </c>
      <c r="G7451" s="0" t="s">
        <v>20</v>
      </c>
      <c r="H7451" s="0" t="n">
        <v>176</v>
      </c>
      <c r="I7451" s="0" t="s">
        <v>24803</v>
      </c>
      <c r="J7451" s="0" t="s">
        <v>24804</v>
      </c>
      <c r="K7451" s="0" t="s">
        <v>24805</v>
      </c>
      <c r="L7451" s="0" t="str">
        <f aca="false">HYPERLINK("https://www.ncbi.nlm.nih.gov/nuccore/CP000058.1?report=graph&amp;tracks=[key:gene_model_track,Options:GeneOnly]&amp;mk=2377120:2377139|offset_26|444444,2377220:2377239|offset_126|444444,2377246:2377265|offset_152|444444,2377270:2377289|offset_176|00cc00&amp;v=2376919:2377489&amp;c=444444", "offset 176")</f>
        <v>offset 176</v>
      </c>
    </row>
    <row r="7452" customFormat="false" ht="12.8" hidden="false" customHeight="false" outlineLevel="0" collapsed="false">
      <c r="A7452" s="0" t="s">
        <v>12</v>
      </c>
      <c r="B7452" s="0" t="n">
        <v>2378019</v>
      </c>
      <c r="C7452" s="0" t="n">
        <v>2378039</v>
      </c>
      <c r="D7452" s="0" t="s">
        <v>24806</v>
      </c>
      <c r="E7452" s="0" t="s">
        <v>75</v>
      </c>
      <c r="F7452" s="0" t="s">
        <v>15</v>
      </c>
      <c r="G7452" s="0" t="s">
        <v>16</v>
      </c>
      <c r="H7452" s="0" t="n">
        <v>12</v>
      </c>
      <c r="I7452" s="0" t="s">
        <v>24807</v>
      </c>
      <c r="J7452" s="0" t="s">
        <v>24808</v>
      </c>
      <c r="K7452" s="0" t="s">
        <v>24809</v>
      </c>
      <c r="L7452" s="0" t="str">
        <f aca="false">HYPERLINK("https://www.ncbi.nlm.nih.gov/nuccore/CP000058.1?report=graph&amp;tracks=[key:gene_model_track,Options:GeneOnly]&amp;mk=2378020:2378039|offset_12|00cc00,2378062:2378081|offset_54|444444,2378088:2378107|offset_80|444444,2378110:2378129|offset_102|444444&amp;v=2377819:2378329&amp;c=444444", "offset 12")</f>
        <v>offset 12</v>
      </c>
    </row>
    <row r="7453" customFormat="false" ht="12.8" hidden="false" customHeight="false" outlineLevel="0" collapsed="false">
      <c r="A7453" s="0" t="s">
        <v>12</v>
      </c>
      <c r="B7453" s="0" t="n">
        <v>2378061</v>
      </c>
      <c r="C7453" s="0" t="n">
        <v>2378081</v>
      </c>
      <c r="D7453" s="0" t="s">
        <v>24806</v>
      </c>
      <c r="E7453" s="0" t="s">
        <v>75</v>
      </c>
      <c r="F7453" s="0" t="s">
        <v>15</v>
      </c>
      <c r="G7453" s="0" t="s">
        <v>20</v>
      </c>
      <c r="H7453" s="0" t="n">
        <v>54</v>
      </c>
      <c r="I7453" s="0" t="s">
        <v>24810</v>
      </c>
      <c r="J7453" s="0" t="s">
        <v>24811</v>
      </c>
      <c r="K7453" s="0" t="s">
        <v>24812</v>
      </c>
      <c r="L7453" s="0" t="str">
        <f aca="false">HYPERLINK("https://www.ncbi.nlm.nih.gov/nuccore/CP000058.1?report=graph&amp;tracks=[key:gene_model_track,Options:GeneOnly]&amp;mk=2378020:2378039|offset_12|444444,2378062:2378081|offset_54|00cc00,2378088:2378107|offset_80|444444,2378110:2378129|offset_102|444444&amp;v=2377819:2378329&amp;c=444444", "offset 54")</f>
        <v>offset 54</v>
      </c>
    </row>
    <row r="7454" customFormat="false" ht="12.8" hidden="false" customHeight="false" outlineLevel="0" collapsed="false">
      <c r="A7454" s="0" t="s">
        <v>12</v>
      </c>
      <c r="B7454" s="0" t="n">
        <v>2378087</v>
      </c>
      <c r="C7454" s="0" t="n">
        <v>2378107</v>
      </c>
      <c r="D7454" s="0" t="s">
        <v>24806</v>
      </c>
      <c r="E7454" s="0" t="s">
        <v>75</v>
      </c>
      <c r="F7454" s="0" t="s">
        <v>15</v>
      </c>
      <c r="G7454" s="0" t="s">
        <v>32</v>
      </c>
      <c r="H7454" s="0" t="n">
        <v>80</v>
      </c>
      <c r="I7454" s="0" t="s">
        <v>24813</v>
      </c>
      <c r="J7454" s="0" t="s">
        <v>24814</v>
      </c>
      <c r="K7454" s="0" t="s">
        <v>24815</v>
      </c>
      <c r="L7454" s="0" t="str">
        <f aca="false">HYPERLINK("https://www.ncbi.nlm.nih.gov/nuccore/CP000058.1?report=graph&amp;tracks=[key:gene_model_track,Options:GeneOnly]&amp;mk=2378020:2378039|offset_12|444444,2378062:2378081|offset_54|444444,2378088:2378107|offset_80|00cc00,2378110:2378129|offset_102|444444&amp;v=2377819:2378329&amp;c=444444", "offset 80")</f>
        <v>offset 80</v>
      </c>
    </row>
    <row r="7455" customFormat="false" ht="12.8" hidden="false" customHeight="false" outlineLevel="0" collapsed="false">
      <c r="A7455" s="0" t="s">
        <v>12</v>
      </c>
      <c r="B7455" s="0" t="n">
        <v>2378109</v>
      </c>
      <c r="C7455" s="0" t="n">
        <v>2378129</v>
      </c>
      <c r="D7455" s="0" t="s">
        <v>24806</v>
      </c>
      <c r="E7455" s="0" t="s">
        <v>75</v>
      </c>
      <c r="F7455" s="0" t="s">
        <v>15</v>
      </c>
      <c r="G7455" s="0" t="s">
        <v>16</v>
      </c>
      <c r="H7455" s="0" t="n">
        <v>102</v>
      </c>
      <c r="I7455" s="0" t="s">
        <v>24816</v>
      </c>
      <c r="J7455" s="0" t="s">
        <v>24817</v>
      </c>
      <c r="K7455" s="0" t="s">
        <v>24818</v>
      </c>
      <c r="L7455" s="0" t="str">
        <f aca="false">HYPERLINK("https://www.ncbi.nlm.nih.gov/nuccore/CP000058.1?report=graph&amp;tracks=[key:gene_model_track,Options:GeneOnly]&amp;mk=2378020:2378039|offset_12|444444,2378062:2378081|offset_54|444444,2378088:2378107|offset_80|444444,2378110:2378129|offset_102|00cc00&amp;v=2377819:2378329&amp;c=444444", "offset 102")</f>
        <v>offset 102</v>
      </c>
    </row>
    <row r="7456" customFormat="false" ht="12.8" hidden="false" customHeight="false" outlineLevel="0" collapsed="false">
      <c r="A7456" s="0" t="s">
        <v>12</v>
      </c>
      <c r="B7456" s="0" t="n">
        <v>2379146</v>
      </c>
      <c r="C7456" s="0" t="n">
        <v>2379166</v>
      </c>
      <c r="D7456" s="0" t="s">
        <v>24819</v>
      </c>
      <c r="E7456" s="0" t="s">
        <v>75</v>
      </c>
      <c r="F7456" s="0" t="s">
        <v>15</v>
      </c>
      <c r="G7456" s="0" t="s">
        <v>36</v>
      </c>
      <c r="H7456" s="0" t="n">
        <v>18</v>
      </c>
      <c r="I7456" s="0" t="s">
        <v>24820</v>
      </c>
      <c r="J7456" s="0" t="s">
        <v>24821</v>
      </c>
      <c r="K7456" s="0" t="s">
        <v>24822</v>
      </c>
      <c r="L7456" s="0" t="str">
        <f aca="false">HYPERLINK("https://www.ncbi.nlm.nih.gov/nuccore/CP000058.1?report=graph&amp;tracks=[key:gene_model_track,Options:GeneOnly]&amp;mk=2379147:2379166|offset_18|00cc00,2379187:2379206|offset_58|444444,2379215:2379234|offset_86|444444,2379287:2379306|offset_158|444444&amp;v=2378946:2379506&amp;c=444444", "offset 18")</f>
        <v>offset 18</v>
      </c>
    </row>
    <row r="7457" customFormat="false" ht="12.8" hidden="false" customHeight="false" outlineLevel="0" collapsed="false">
      <c r="A7457" s="0" t="s">
        <v>12</v>
      </c>
      <c r="B7457" s="0" t="n">
        <v>2379186</v>
      </c>
      <c r="C7457" s="0" t="n">
        <v>2379206</v>
      </c>
      <c r="D7457" s="0" t="s">
        <v>24819</v>
      </c>
      <c r="E7457" s="0" t="s">
        <v>75</v>
      </c>
      <c r="F7457" s="0" t="s">
        <v>15</v>
      </c>
      <c r="G7457" s="0" t="s">
        <v>16</v>
      </c>
      <c r="H7457" s="0" t="n">
        <v>58</v>
      </c>
      <c r="I7457" s="0" t="s">
        <v>24823</v>
      </c>
      <c r="J7457" s="0" t="s">
        <v>24824</v>
      </c>
      <c r="K7457" s="0" t="s">
        <v>24825</v>
      </c>
      <c r="L7457" s="0" t="str">
        <f aca="false">HYPERLINK("https://www.ncbi.nlm.nih.gov/nuccore/CP000058.1?report=graph&amp;tracks=[key:gene_model_track,Options:GeneOnly]&amp;mk=2379147:2379166|offset_18|444444,2379187:2379206|offset_58|00cc00,2379215:2379234|offset_86|444444,2379287:2379306|offset_158|444444&amp;v=2378946:2379506&amp;c=444444", "offset 58")</f>
        <v>offset 58</v>
      </c>
    </row>
    <row r="7458" customFormat="false" ht="12.8" hidden="false" customHeight="false" outlineLevel="0" collapsed="false">
      <c r="A7458" s="0" t="s">
        <v>12</v>
      </c>
      <c r="B7458" s="0" t="n">
        <v>2379214</v>
      </c>
      <c r="C7458" s="0" t="n">
        <v>2379234</v>
      </c>
      <c r="D7458" s="0" t="s">
        <v>24819</v>
      </c>
      <c r="E7458" s="0" t="s">
        <v>75</v>
      </c>
      <c r="F7458" s="0" t="s">
        <v>15</v>
      </c>
      <c r="G7458" s="0" t="s">
        <v>20</v>
      </c>
      <c r="H7458" s="0" t="n">
        <v>86</v>
      </c>
      <c r="I7458" s="0" t="s">
        <v>24826</v>
      </c>
      <c r="J7458" s="0" t="s">
        <v>24827</v>
      </c>
      <c r="K7458" s="0" t="s">
        <v>24828</v>
      </c>
      <c r="L7458" s="0" t="str">
        <f aca="false">HYPERLINK("https://www.ncbi.nlm.nih.gov/nuccore/CP000058.1?report=graph&amp;tracks=[key:gene_model_track,Options:GeneOnly]&amp;mk=2379147:2379166|offset_18|444444,2379187:2379206|offset_58|444444,2379215:2379234|offset_86|00cc00,2379287:2379306|offset_158|444444&amp;v=2378946:2379506&amp;c=444444", "offset 86")</f>
        <v>offset 86</v>
      </c>
    </row>
    <row r="7459" customFormat="false" ht="12.8" hidden="false" customHeight="false" outlineLevel="0" collapsed="false">
      <c r="A7459" s="0" t="s">
        <v>12</v>
      </c>
      <c r="B7459" s="0" t="n">
        <v>2379286</v>
      </c>
      <c r="C7459" s="0" t="n">
        <v>2379306</v>
      </c>
      <c r="D7459" s="0" t="s">
        <v>24819</v>
      </c>
      <c r="E7459" s="0" t="s">
        <v>75</v>
      </c>
      <c r="F7459" s="0" t="s">
        <v>15</v>
      </c>
      <c r="G7459" s="0" t="s">
        <v>32</v>
      </c>
      <c r="H7459" s="0" t="n">
        <v>158</v>
      </c>
      <c r="I7459" s="0" t="s">
        <v>24829</v>
      </c>
      <c r="J7459" s="0" t="s">
        <v>24830</v>
      </c>
      <c r="K7459" s="0" t="s">
        <v>24831</v>
      </c>
      <c r="L7459" s="0" t="str">
        <f aca="false">HYPERLINK("https://www.ncbi.nlm.nih.gov/nuccore/CP000058.1?report=graph&amp;tracks=[key:gene_model_track,Options:GeneOnly]&amp;mk=2379147:2379166|offset_18|444444,2379187:2379206|offset_58|444444,2379215:2379234|offset_86|444444,2379287:2379306|offset_158|00cc00&amp;v=2378946:2379506&amp;c=444444", "offset 158")</f>
        <v>offset 158</v>
      </c>
    </row>
    <row r="7460" customFormat="false" ht="12.8" hidden="false" customHeight="false" outlineLevel="0" collapsed="false">
      <c r="A7460" s="0" t="s">
        <v>12</v>
      </c>
      <c r="B7460" s="0" t="n">
        <v>2381000</v>
      </c>
      <c r="C7460" s="0" t="n">
        <v>2381020</v>
      </c>
      <c r="D7460" s="0" t="s">
        <v>24832</v>
      </c>
      <c r="E7460" s="0" t="s">
        <v>75</v>
      </c>
      <c r="F7460" s="0" t="s">
        <v>15</v>
      </c>
      <c r="G7460" s="0" t="s">
        <v>20</v>
      </c>
      <c r="H7460" s="0" t="n">
        <v>6</v>
      </c>
      <c r="I7460" s="0" t="s">
        <v>24833</v>
      </c>
      <c r="J7460" s="0" t="s">
        <v>24834</v>
      </c>
      <c r="K7460" s="0" t="s">
        <v>24835</v>
      </c>
      <c r="L7460" s="0" t="str">
        <f aca="false">HYPERLINK("https://www.ncbi.nlm.nih.gov/nuccore/CP000058.1?report=graph&amp;tracks=[key:gene_model_track,Options:GeneOnly]&amp;mk=2381001:2381020|offset_6|00cc00,2381026:2381045|offset_31|444444,2381063:2381082|offset_68|444444,2381116:2381135|offset_121|444444&amp;v=2380800:2381335&amp;c=444444", "offset 6")</f>
        <v>offset 6</v>
      </c>
    </row>
    <row r="7461" customFormat="false" ht="12.8" hidden="false" customHeight="false" outlineLevel="0" collapsed="false">
      <c r="A7461" s="0" t="s">
        <v>12</v>
      </c>
      <c r="B7461" s="0" t="n">
        <v>2381025</v>
      </c>
      <c r="C7461" s="0" t="n">
        <v>2381045</v>
      </c>
      <c r="D7461" s="0" t="s">
        <v>24832</v>
      </c>
      <c r="E7461" s="0" t="s">
        <v>75</v>
      </c>
      <c r="F7461" s="0" t="s">
        <v>15</v>
      </c>
      <c r="G7461" s="0" t="s">
        <v>16</v>
      </c>
      <c r="H7461" s="0" t="n">
        <v>31</v>
      </c>
      <c r="I7461" s="0" t="s">
        <v>24836</v>
      </c>
      <c r="J7461" s="0" t="s">
        <v>24837</v>
      </c>
      <c r="K7461" s="0" t="s">
        <v>24838</v>
      </c>
      <c r="L7461" s="0" t="str">
        <f aca="false">HYPERLINK("https://www.ncbi.nlm.nih.gov/nuccore/CP000058.1?report=graph&amp;tracks=[key:gene_model_track,Options:GeneOnly]&amp;mk=2381001:2381020|offset_6|444444,2381026:2381045|offset_31|00cc00,2381063:2381082|offset_68|444444,2381116:2381135|offset_121|444444&amp;v=2380800:2381335&amp;c=444444", "offset 31")</f>
        <v>offset 31</v>
      </c>
    </row>
    <row r="7462" customFormat="false" ht="12.8" hidden="false" customHeight="false" outlineLevel="0" collapsed="false">
      <c r="A7462" s="0" t="s">
        <v>12</v>
      </c>
      <c r="B7462" s="0" t="n">
        <v>2381062</v>
      </c>
      <c r="C7462" s="0" t="n">
        <v>2381082</v>
      </c>
      <c r="D7462" s="0" t="s">
        <v>24832</v>
      </c>
      <c r="E7462" s="0" t="s">
        <v>75</v>
      </c>
      <c r="F7462" s="0" t="s">
        <v>15</v>
      </c>
      <c r="G7462" s="0" t="s">
        <v>32</v>
      </c>
      <c r="H7462" s="0" t="n">
        <v>68</v>
      </c>
      <c r="I7462" s="0" t="s">
        <v>24839</v>
      </c>
      <c r="J7462" s="0" t="s">
        <v>24840</v>
      </c>
      <c r="K7462" s="0" t="s">
        <v>24841</v>
      </c>
      <c r="L7462" s="0" t="str">
        <f aca="false">HYPERLINK("https://www.ncbi.nlm.nih.gov/nuccore/CP000058.1?report=graph&amp;tracks=[key:gene_model_track,Options:GeneOnly]&amp;mk=2381001:2381020|offset_6|444444,2381026:2381045|offset_31|444444,2381063:2381082|offset_68|00cc00,2381116:2381135|offset_121|444444&amp;v=2380800:2381335&amp;c=444444", "offset 68")</f>
        <v>offset 68</v>
      </c>
    </row>
    <row r="7463" customFormat="false" ht="12.8" hidden="false" customHeight="false" outlineLevel="0" collapsed="false">
      <c r="A7463" s="0" t="s">
        <v>12</v>
      </c>
      <c r="B7463" s="0" t="n">
        <v>2381115</v>
      </c>
      <c r="C7463" s="0" t="n">
        <v>2381135</v>
      </c>
      <c r="D7463" s="0" t="s">
        <v>24832</v>
      </c>
      <c r="E7463" s="0" t="s">
        <v>75</v>
      </c>
      <c r="F7463" s="0" t="s">
        <v>15</v>
      </c>
      <c r="G7463" s="0" t="s">
        <v>32</v>
      </c>
      <c r="H7463" s="0" t="n">
        <v>121</v>
      </c>
      <c r="I7463" s="0" t="s">
        <v>24842</v>
      </c>
      <c r="J7463" s="0" t="s">
        <v>24843</v>
      </c>
      <c r="K7463" s="0" t="s">
        <v>24844</v>
      </c>
      <c r="L7463" s="0" t="str">
        <f aca="false">HYPERLINK("https://www.ncbi.nlm.nih.gov/nuccore/CP000058.1?report=graph&amp;tracks=[key:gene_model_track,Options:GeneOnly]&amp;mk=2381001:2381020|offset_6|444444,2381026:2381045|offset_31|444444,2381063:2381082|offset_68|444444,2381116:2381135|offset_121|00cc00&amp;v=2380800:2381335&amp;c=444444", "offset 121")</f>
        <v>offset 121</v>
      </c>
    </row>
    <row r="7464" customFormat="false" ht="12.8" hidden="false" customHeight="false" outlineLevel="0" collapsed="false">
      <c r="A7464" s="0" t="s">
        <v>12</v>
      </c>
      <c r="B7464" s="0" t="n">
        <v>2381918</v>
      </c>
      <c r="C7464" s="0" t="n">
        <v>2381938</v>
      </c>
      <c r="D7464" s="0" t="s">
        <v>24845</v>
      </c>
      <c r="E7464" s="0" t="s">
        <v>75</v>
      </c>
      <c r="F7464" s="0" t="s">
        <v>15</v>
      </c>
      <c r="G7464" s="0" t="s">
        <v>36</v>
      </c>
      <c r="H7464" s="0" t="n">
        <v>14</v>
      </c>
      <c r="I7464" s="0" t="s">
        <v>24846</v>
      </c>
      <c r="J7464" s="0" t="s">
        <v>24847</v>
      </c>
      <c r="K7464" s="0" t="s">
        <v>24848</v>
      </c>
      <c r="L7464" s="0" t="str">
        <f aca="false">HYPERLINK("https://www.ncbi.nlm.nih.gov/nuccore/CP000058.1?report=graph&amp;tracks=[key:gene_model_track,Options:GeneOnly]&amp;mk=2381919:2381938|offset_14|00cc00,2381942:2381961|offset_37|444444,2382011:2382030|offset_106|444444,2382031:2382050|offset_126|444444&amp;v=2381718:2382250&amp;c=444444", "offset 14")</f>
        <v>offset 14</v>
      </c>
    </row>
    <row r="7465" customFormat="false" ht="12.8" hidden="false" customHeight="false" outlineLevel="0" collapsed="false">
      <c r="A7465" s="0" t="s">
        <v>12</v>
      </c>
      <c r="B7465" s="0" t="n">
        <v>2381941</v>
      </c>
      <c r="C7465" s="0" t="n">
        <v>2381961</v>
      </c>
      <c r="D7465" s="0" t="s">
        <v>24845</v>
      </c>
      <c r="E7465" s="0" t="s">
        <v>75</v>
      </c>
      <c r="F7465" s="0" t="s">
        <v>15</v>
      </c>
      <c r="G7465" s="0" t="s">
        <v>16</v>
      </c>
      <c r="H7465" s="0" t="n">
        <v>37</v>
      </c>
      <c r="I7465" s="0" t="s">
        <v>24849</v>
      </c>
      <c r="J7465" s="0" t="s">
        <v>24850</v>
      </c>
      <c r="K7465" s="0" t="s">
        <v>24851</v>
      </c>
      <c r="L7465" s="0" t="str">
        <f aca="false">HYPERLINK("https://www.ncbi.nlm.nih.gov/nuccore/CP000058.1?report=graph&amp;tracks=[key:gene_model_track,Options:GeneOnly]&amp;mk=2381919:2381938|offset_14|444444,2381942:2381961|offset_37|00cc00,2382011:2382030|offset_106|444444,2382031:2382050|offset_126|444444&amp;v=2381718:2382250&amp;c=444444", "offset 37")</f>
        <v>offset 37</v>
      </c>
    </row>
    <row r="7466" customFormat="false" ht="12.8" hidden="false" customHeight="false" outlineLevel="0" collapsed="false">
      <c r="A7466" s="0" t="s">
        <v>12</v>
      </c>
      <c r="B7466" s="0" t="n">
        <v>2382010</v>
      </c>
      <c r="C7466" s="0" t="n">
        <v>2382030</v>
      </c>
      <c r="D7466" s="0" t="s">
        <v>24845</v>
      </c>
      <c r="E7466" s="0" t="s">
        <v>75</v>
      </c>
      <c r="F7466" s="0" t="s">
        <v>15</v>
      </c>
      <c r="G7466" s="0" t="s">
        <v>16</v>
      </c>
      <c r="H7466" s="0" t="n">
        <v>106</v>
      </c>
      <c r="I7466" s="0" t="s">
        <v>24852</v>
      </c>
      <c r="J7466" s="0" t="s">
        <v>24853</v>
      </c>
      <c r="K7466" s="0" t="s">
        <v>24854</v>
      </c>
      <c r="L7466" s="0" t="str">
        <f aca="false">HYPERLINK("https://www.ncbi.nlm.nih.gov/nuccore/CP000058.1?report=graph&amp;tracks=[key:gene_model_track,Options:GeneOnly]&amp;mk=2381919:2381938|offset_14|444444,2381942:2381961|offset_37|444444,2382011:2382030|offset_106|00cc00,2382031:2382050|offset_126|444444&amp;v=2381718:2382250&amp;c=444444", "offset 106")</f>
        <v>offset 106</v>
      </c>
    </row>
    <row r="7467" customFormat="false" ht="12.8" hidden="false" customHeight="false" outlineLevel="0" collapsed="false">
      <c r="A7467" s="0" t="s">
        <v>12</v>
      </c>
      <c r="B7467" s="0" t="n">
        <v>2382030</v>
      </c>
      <c r="C7467" s="0" t="n">
        <v>2382050</v>
      </c>
      <c r="D7467" s="0" t="s">
        <v>24845</v>
      </c>
      <c r="E7467" s="0" t="s">
        <v>75</v>
      </c>
      <c r="F7467" s="0" t="s">
        <v>15</v>
      </c>
      <c r="G7467" s="0" t="s">
        <v>16</v>
      </c>
      <c r="H7467" s="0" t="n">
        <v>126</v>
      </c>
      <c r="I7467" s="0" t="s">
        <v>24855</v>
      </c>
      <c r="J7467" s="0" t="s">
        <v>24856</v>
      </c>
      <c r="K7467" s="0" t="s">
        <v>24857</v>
      </c>
      <c r="L7467" s="0" t="str">
        <f aca="false">HYPERLINK("https://www.ncbi.nlm.nih.gov/nuccore/CP000058.1?report=graph&amp;tracks=[key:gene_model_track,Options:GeneOnly]&amp;mk=2381919:2381938|offset_14|444444,2381942:2381961|offset_37|444444,2382011:2382030|offset_106|444444,2382031:2382050|offset_126|00cc00&amp;v=2381718:2382250&amp;c=444444", "offset 126")</f>
        <v>offset 126</v>
      </c>
    </row>
    <row r="7468" customFormat="false" ht="12.8" hidden="false" customHeight="false" outlineLevel="0" collapsed="false">
      <c r="A7468" s="0" t="s">
        <v>12</v>
      </c>
      <c r="B7468" s="0" t="n">
        <v>2382899</v>
      </c>
      <c r="C7468" s="0" t="n">
        <v>2382919</v>
      </c>
      <c r="D7468" s="0" t="s">
        <v>24858</v>
      </c>
      <c r="E7468" s="0" t="s">
        <v>75</v>
      </c>
      <c r="F7468" s="0" t="s">
        <v>90</v>
      </c>
      <c r="G7468" s="0" t="s">
        <v>32</v>
      </c>
      <c r="H7468" s="0" t="n">
        <v>12</v>
      </c>
      <c r="I7468" s="0" t="s">
        <v>24859</v>
      </c>
      <c r="J7468" s="0" t="s">
        <v>24860</v>
      </c>
      <c r="K7468" s="0" t="s">
        <v>24861</v>
      </c>
      <c r="L7468" s="0" t="str">
        <f aca="false">HYPERLINK("https://www.ncbi.nlm.nih.gov/nuccore/CP000058.1?report=graph&amp;tracks=[key:gene_model_track,Options:GeneOnly]&amp;mk=2382900:2382919|offset_12|00cc00,2382839:2382858|offset_73|444444,2382815:2382834|offset_97|444444,2382791:2382810|offset_121|444444&amp;v=2382699:2383010&amp;c=444444", "offset 12")</f>
        <v>offset 12</v>
      </c>
    </row>
    <row r="7469" customFormat="false" ht="12.8" hidden="false" customHeight="false" outlineLevel="0" collapsed="false">
      <c r="A7469" s="0" t="s">
        <v>12</v>
      </c>
      <c r="B7469" s="0" t="n">
        <v>2382838</v>
      </c>
      <c r="C7469" s="0" t="n">
        <v>2382858</v>
      </c>
      <c r="D7469" s="0" t="s">
        <v>24858</v>
      </c>
      <c r="E7469" s="0" t="s">
        <v>75</v>
      </c>
      <c r="F7469" s="0" t="s">
        <v>90</v>
      </c>
      <c r="G7469" s="0" t="s">
        <v>32</v>
      </c>
      <c r="H7469" s="0" t="n">
        <v>73</v>
      </c>
      <c r="I7469" s="0" t="s">
        <v>24862</v>
      </c>
      <c r="J7469" s="0" t="s">
        <v>24863</v>
      </c>
      <c r="K7469" s="0" t="s">
        <v>24864</v>
      </c>
      <c r="L7469" s="0" t="str">
        <f aca="false">HYPERLINK("https://www.ncbi.nlm.nih.gov/nuccore/CP000058.1?report=graph&amp;tracks=[key:gene_model_track,Options:GeneOnly]&amp;mk=2382900:2382919|offset_12|444444,2382839:2382858|offset_73|00cc00,2382815:2382834|offset_97|444444,2382791:2382810|offset_121|444444&amp;v=2382699:2383010&amp;c=444444", "offset 73")</f>
        <v>offset 73</v>
      </c>
    </row>
    <row r="7470" customFormat="false" ht="12.8" hidden="false" customHeight="false" outlineLevel="0" collapsed="false">
      <c r="A7470" s="0" t="s">
        <v>12</v>
      </c>
      <c r="B7470" s="0" t="n">
        <v>2382814</v>
      </c>
      <c r="C7470" s="0" t="n">
        <v>2382834</v>
      </c>
      <c r="D7470" s="0" t="s">
        <v>24858</v>
      </c>
      <c r="E7470" s="0" t="s">
        <v>75</v>
      </c>
      <c r="F7470" s="0" t="s">
        <v>90</v>
      </c>
      <c r="G7470" s="0" t="s">
        <v>16</v>
      </c>
      <c r="H7470" s="0" t="n">
        <v>97</v>
      </c>
      <c r="I7470" s="0" t="s">
        <v>24865</v>
      </c>
      <c r="J7470" s="0" t="s">
        <v>24866</v>
      </c>
      <c r="K7470" s="0" t="s">
        <v>24867</v>
      </c>
      <c r="L7470" s="0" t="str">
        <f aca="false">HYPERLINK("https://www.ncbi.nlm.nih.gov/nuccore/CP000058.1?report=graph&amp;tracks=[key:gene_model_track,Options:GeneOnly]&amp;mk=2382900:2382919|offset_12|444444,2382839:2382858|offset_73|444444,2382815:2382834|offset_97|00cc00,2382791:2382810|offset_121|444444&amp;v=2382699:2383010&amp;c=444444", "offset 97")</f>
        <v>offset 97</v>
      </c>
    </row>
    <row r="7471" customFormat="false" ht="12.8" hidden="false" customHeight="false" outlineLevel="0" collapsed="false">
      <c r="A7471" s="0" t="s">
        <v>12</v>
      </c>
      <c r="B7471" s="0" t="n">
        <v>2382790</v>
      </c>
      <c r="C7471" s="0" t="n">
        <v>2382810</v>
      </c>
      <c r="D7471" s="0" t="s">
        <v>24858</v>
      </c>
      <c r="E7471" s="0" t="s">
        <v>75</v>
      </c>
      <c r="F7471" s="0" t="s">
        <v>90</v>
      </c>
      <c r="G7471" s="0" t="s">
        <v>36</v>
      </c>
      <c r="H7471" s="0" t="n">
        <v>121</v>
      </c>
      <c r="I7471" s="0" t="s">
        <v>24868</v>
      </c>
      <c r="J7471" s="0" t="s">
        <v>24869</v>
      </c>
      <c r="K7471" s="0" t="s">
        <v>24870</v>
      </c>
      <c r="L7471" s="0" t="str">
        <f aca="false">HYPERLINK("https://www.ncbi.nlm.nih.gov/nuccore/CP000058.1?report=graph&amp;tracks=[key:gene_model_track,Options:GeneOnly]&amp;mk=2382900:2382919|offset_12|444444,2382839:2382858|offset_73|444444,2382815:2382834|offset_97|444444,2382791:2382810|offset_121|00cc00&amp;v=2382699:2383010&amp;c=444444", "offset 121")</f>
        <v>offset 121</v>
      </c>
    </row>
    <row r="7472" customFormat="false" ht="12.8" hidden="false" customHeight="false" outlineLevel="0" collapsed="false">
      <c r="A7472" s="0" t="s">
        <v>12</v>
      </c>
      <c r="B7472" s="0" t="n">
        <v>2384488</v>
      </c>
      <c r="C7472" s="0" t="n">
        <v>2384508</v>
      </c>
      <c r="D7472" s="0" t="s">
        <v>24871</v>
      </c>
      <c r="E7472" s="0" t="s">
        <v>75</v>
      </c>
      <c r="F7472" s="0" t="s">
        <v>90</v>
      </c>
      <c r="G7472" s="0" t="s">
        <v>20</v>
      </c>
      <c r="H7472" s="0" t="n">
        <v>23</v>
      </c>
      <c r="I7472" s="0" t="s">
        <v>24872</v>
      </c>
      <c r="J7472" s="0" t="s">
        <v>24873</v>
      </c>
      <c r="K7472" s="0" t="s">
        <v>24874</v>
      </c>
      <c r="L7472" s="0" t="str">
        <f aca="false">HYPERLINK("https://www.ncbi.nlm.nih.gov/nuccore/CP000058.1?report=graph&amp;tracks=[key:gene_model_track,Options:GeneOnly]&amp;mk=2384489:2384508|offset_23|00cc00,2384463:2384482|offset_49|444444,2384436:2384455|offset_76|444444,2384415:2384434|offset_97|444444&amp;v=2384288:2384634&amp;c=444444", "offset 23")</f>
        <v>offset 23</v>
      </c>
    </row>
    <row r="7473" customFormat="false" ht="12.8" hidden="false" customHeight="false" outlineLevel="0" collapsed="false">
      <c r="A7473" s="0" t="s">
        <v>12</v>
      </c>
      <c r="B7473" s="0" t="n">
        <v>2384462</v>
      </c>
      <c r="C7473" s="0" t="n">
        <v>2384482</v>
      </c>
      <c r="D7473" s="0" t="s">
        <v>24871</v>
      </c>
      <c r="E7473" s="0" t="s">
        <v>75</v>
      </c>
      <c r="F7473" s="0" t="s">
        <v>90</v>
      </c>
      <c r="G7473" s="0" t="s">
        <v>16</v>
      </c>
      <c r="H7473" s="0" t="n">
        <v>49</v>
      </c>
      <c r="I7473" s="0" t="s">
        <v>24875</v>
      </c>
      <c r="J7473" s="0" t="s">
        <v>24876</v>
      </c>
      <c r="K7473" s="0" t="s">
        <v>24877</v>
      </c>
      <c r="L7473" s="0" t="str">
        <f aca="false">HYPERLINK("https://www.ncbi.nlm.nih.gov/nuccore/CP000058.1?report=graph&amp;tracks=[key:gene_model_track,Options:GeneOnly]&amp;mk=2384489:2384508|offset_23|444444,2384463:2384482|offset_49|00cc00,2384436:2384455|offset_76|444444,2384415:2384434|offset_97|444444&amp;v=2384288:2384634&amp;c=444444", "offset 49")</f>
        <v>offset 49</v>
      </c>
    </row>
    <row r="7474" customFormat="false" ht="12.8" hidden="false" customHeight="false" outlineLevel="0" collapsed="false">
      <c r="A7474" s="0" t="s">
        <v>12</v>
      </c>
      <c r="B7474" s="0" t="n">
        <v>2384435</v>
      </c>
      <c r="C7474" s="0" t="n">
        <v>2384455</v>
      </c>
      <c r="D7474" s="0" t="s">
        <v>24871</v>
      </c>
      <c r="E7474" s="0" t="s">
        <v>75</v>
      </c>
      <c r="F7474" s="0" t="s">
        <v>90</v>
      </c>
      <c r="G7474" s="0" t="s">
        <v>36</v>
      </c>
      <c r="H7474" s="0" t="n">
        <v>76</v>
      </c>
      <c r="I7474" s="0" t="s">
        <v>24878</v>
      </c>
      <c r="J7474" s="0" t="s">
        <v>24879</v>
      </c>
      <c r="K7474" s="0" t="s">
        <v>24880</v>
      </c>
      <c r="L7474" s="0" t="str">
        <f aca="false">HYPERLINK("https://www.ncbi.nlm.nih.gov/nuccore/CP000058.1?report=graph&amp;tracks=[key:gene_model_track,Options:GeneOnly]&amp;mk=2384489:2384508|offset_23|444444,2384463:2384482|offset_49|444444,2384436:2384455|offset_76|00cc00,2384415:2384434|offset_97|444444&amp;v=2384288:2384634&amp;c=444444", "offset 76")</f>
        <v>offset 76</v>
      </c>
    </row>
    <row r="7475" customFormat="false" ht="12.8" hidden="false" customHeight="false" outlineLevel="0" collapsed="false">
      <c r="A7475" s="0" t="s">
        <v>12</v>
      </c>
      <c r="B7475" s="0" t="n">
        <v>2384414</v>
      </c>
      <c r="C7475" s="0" t="n">
        <v>2384434</v>
      </c>
      <c r="D7475" s="0" t="s">
        <v>24871</v>
      </c>
      <c r="E7475" s="0" t="s">
        <v>75</v>
      </c>
      <c r="F7475" s="0" t="s">
        <v>90</v>
      </c>
      <c r="G7475" s="0" t="s">
        <v>32</v>
      </c>
      <c r="H7475" s="0" t="n">
        <v>97</v>
      </c>
      <c r="I7475" s="0" t="s">
        <v>24881</v>
      </c>
      <c r="J7475" s="0" t="s">
        <v>24882</v>
      </c>
      <c r="K7475" s="0" t="s">
        <v>24883</v>
      </c>
      <c r="L7475" s="0" t="str">
        <f aca="false">HYPERLINK("https://www.ncbi.nlm.nih.gov/nuccore/CP000058.1?report=graph&amp;tracks=[key:gene_model_track,Options:GeneOnly]&amp;mk=2384489:2384508|offset_23|444444,2384463:2384482|offset_49|444444,2384436:2384455|offset_76|444444,2384415:2384434|offset_97|00cc00&amp;v=2384288:2384634&amp;c=444444", "offset 97")</f>
        <v>offset 97</v>
      </c>
    </row>
    <row r="7476" customFormat="false" ht="12.8" hidden="false" customHeight="false" outlineLevel="0" collapsed="false">
      <c r="A7476" s="0" t="s">
        <v>12</v>
      </c>
      <c r="B7476" s="0" t="n">
        <v>2385431</v>
      </c>
      <c r="C7476" s="0" t="n">
        <v>2385451</v>
      </c>
      <c r="D7476" s="0" t="s">
        <v>24884</v>
      </c>
      <c r="E7476" s="0" t="s">
        <v>24885</v>
      </c>
      <c r="F7476" s="0" t="s">
        <v>90</v>
      </c>
      <c r="G7476" s="0" t="s">
        <v>32</v>
      </c>
      <c r="H7476" s="0" t="n">
        <v>1</v>
      </c>
      <c r="I7476" s="0" t="s">
        <v>24886</v>
      </c>
      <c r="J7476" s="0" t="s">
        <v>24887</v>
      </c>
      <c r="K7476" s="0" t="s">
        <v>24888</v>
      </c>
      <c r="L7476" s="0" t="str">
        <f aca="false">HYPERLINK("https://www.ncbi.nlm.nih.gov/nuccore/CP000058.1?report=graph&amp;tracks=[key:gene_model_track,Options:GeneOnly]&amp;mk=2385432:2385451|offset_1|00cc00,2385399:2385418|offset_34|444444,2385354:2385373|offset_79|444444,2385321:2385340|offset_112|444444&amp;v=2385231:2385540&amp;c=444444", "offset 1")</f>
        <v>offset 1</v>
      </c>
    </row>
    <row r="7477" customFormat="false" ht="12.8" hidden="false" customHeight="false" outlineLevel="0" collapsed="false">
      <c r="A7477" s="0" t="s">
        <v>12</v>
      </c>
      <c r="B7477" s="0" t="n">
        <v>2385398</v>
      </c>
      <c r="C7477" s="0" t="n">
        <v>2385418</v>
      </c>
      <c r="D7477" s="0" t="s">
        <v>24884</v>
      </c>
      <c r="E7477" s="0" t="s">
        <v>24885</v>
      </c>
      <c r="F7477" s="0" t="s">
        <v>90</v>
      </c>
      <c r="G7477" s="0" t="s">
        <v>32</v>
      </c>
      <c r="H7477" s="0" t="n">
        <v>34</v>
      </c>
      <c r="I7477" s="0" t="s">
        <v>24889</v>
      </c>
      <c r="J7477" s="0" t="s">
        <v>24890</v>
      </c>
      <c r="K7477" s="0" t="s">
        <v>24891</v>
      </c>
      <c r="L7477" s="0" t="str">
        <f aca="false">HYPERLINK("https://www.ncbi.nlm.nih.gov/nuccore/CP000058.1?report=graph&amp;tracks=[key:gene_model_track,Options:GeneOnly]&amp;mk=2385432:2385451|offset_1|444444,2385399:2385418|offset_34|00cc00,2385354:2385373|offset_79|444444,2385321:2385340|offset_112|444444&amp;v=2385231:2385540&amp;c=444444", "offset 34")</f>
        <v>offset 34</v>
      </c>
    </row>
    <row r="7478" customFormat="false" ht="12.8" hidden="false" customHeight="false" outlineLevel="0" collapsed="false">
      <c r="A7478" s="0" t="s">
        <v>12</v>
      </c>
      <c r="B7478" s="0" t="n">
        <v>2385353</v>
      </c>
      <c r="C7478" s="0" t="n">
        <v>2385373</v>
      </c>
      <c r="D7478" s="0" t="s">
        <v>24884</v>
      </c>
      <c r="E7478" s="0" t="s">
        <v>24885</v>
      </c>
      <c r="F7478" s="0" t="s">
        <v>90</v>
      </c>
      <c r="G7478" s="0" t="s">
        <v>20</v>
      </c>
      <c r="H7478" s="0" t="n">
        <v>79</v>
      </c>
      <c r="I7478" s="0" t="s">
        <v>24892</v>
      </c>
      <c r="J7478" s="0" t="s">
        <v>24893</v>
      </c>
      <c r="K7478" s="0" t="s">
        <v>24894</v>
      </c>
      <c r="L7478" s="0" t="str">
        <f aca="false">HYPERLINK("https://www.ncbi.nlm.nih.gov/nuccore/CP000058.1?report=graph&amp;tracks=[key:gene_model_track,Options:GeneOnly]&amp;mk=2385432:2385451|offset_1|444444,2385399:2385418|offset_34|444444,2385354:2385373|offset_79|00cc00,2385321:2385340|offset_112|444444&amp;v=2385231:2385540&amp;c=444444", "offset 79")</f>
        <v>offset 79</v>
      </c>
    </row>
    <row r="7479" customFormat="false" ht="12.8" hidden="false" customHeight="false" outlineLevel="0" collapsed="false">
      <c r="A7479" s="0" t="s">
        <v>12</v>
      </c>
      <c r="B7479" s="0" t="n">
        <v>2385320</v>
      </c>
      <c r="C7479" s="0" t="n">
        <v>2385340</v>
      </c>
      <c r="D7479" s="0" t="s">
        <v>24884</v>
      </c>
      <c r="E7479" s="0" t="s">
        <v>24885</v>
      </c>
      <c r="F7479" s="0" t="s">
        <v>90</v>
      </c>
      <c r="G7479" s="0" t="s">
        <v>16</v>
      </c>
      <c r="H7479" s="0" t="n">
        <v>112</v>
      </c>
      <c r="I7479" s="0" t="s">
        <v>24895</v>
      </c>
      <c r="J7479" s="0" t="s">
        <v>24896</v>
      </c>
      <c r="K7479" s="0" t="s">
        <v>24897</v>
      </c>
      <c r="L7479" s="0" t="str">
        <f aca="false">HYPERLINK("https://www.ncbi.nlm.nih.gov/nuccore/CP000058.1?report=graph&amp;tracks=[key:gene_model_track,Options:GeneOnly]&amp;mk=2385432:2385451|offset_1|444444,2385399:2385418|offset_34|444444,2385354:2385373|offset_79|444444,2385321:2385340|offset_112|00cc00&amp;v=2385231:2385540&amp;c=444444", "offset 112")</f>
        <v>offset 112</v>
      </c>
    </row>
    <row r="7480" customFormat="false" ht="12.8" hidden="false" customHeight="false" outlineLevel="0" collapsed="false">
      <c r="A7480" s="0" t="s">
        <v>12</v>
      </c>
      <c r="B7480" s="0" t="n">
        <v>2385641</v>
      </c>
      <c r="C7480" s="0" t="n">
        <v>2385661</v>
      </c>
      <c r="D7480" s="0" t="s">
        <v>24898</v>
      </c>
      <c r="E7480" s="0" t="s">
        <v>75</v>
      </c>
      <c r="F7480" s="0" t="s">
        <v>15</v>
      </c>
      <c r="G7480" s="0" t="s">
        <v>16</v>
      </c>
      <c r="H7480" s="0" t="n">
        <v>8</v>
      </c>
      <c r="I7480" s="0" t="s">
        <v>24899</v>
      </c>
      <c r="J7480" s="0" t="s">
        <v>24900</v>
      </c>
      <c r="K7480" s="0" t="s">
        <v>24901</v>
      </c>
      <c r="L7480" s="0" t="str">
        <f aca="false">HYPERLINK("https://www.ncbi.nlm.nih.gov/nuccore/CP000058.1?report=graph&amp;tracks=[key:gene_model_track,Options:GeneOnly]&amp;mk=2385642:2385661|offset_8|00cc00,2385685:2385704|offset_51|444444,2385714:2385733|offset_80|444444,2385754:2385773|offset_120|444444&amp;v=2385441:2385973&amp;c=444444", "offset 8")</f>
        <v>offset 8</v>
      </c>
    </row>
    <row r="7481" customFormat="false" ht="12.8" hidden="false" customHeight="false" outlineLevel="0" collapsed="false">
      <c r="A7481" s="0" t="s">
        <v>12</v>
      </c>
      <c r="B7481" s="0" t="n">
        <v>2385684</v>
      </c>
      <c r="C7481" s="0" t="n">
        <v>2385704</v>
      </c>
      <c r="D7481" s="0" t="s">
        <v>24898</v>
      </c>
      <c r="E7481" s="0" t="s">
        <v>75</v>
      </c>
      <c r="F7481" s="0" t="s">
        <v>15</v>
      </c>
      <c r="G7481" s="0" t="s">
        <v>16</v>
      </c>
      <c r="H7481" s="0" t="n">
        <v>51</v>
      </c>
      <c r="I7481" s="0" t="s">
        <v>24902</v>
      </c>
      <c r="J7481" s="0" t="s">
        <v>24903</v>
      </c>
      <c r="K7481" s="0" t="s">
        <v>24904</v>
      </c>
      <c r="L7481" s="0" t="str">
        <f aca="false">HYPERLINK("https://www.ncbi.nlm.nih.gov/nuccore/CP000058.1?report=graph&amp;tracks=[key:gene_model_track,Options:GeneOnly]&amp;mk=2385642:2385661|offset_8|444444,2385685:2385704|offset_51|00cc00,2385714:2385733|offset_80|444444,2385754:2385773|offset_120|444444&amp;v=2385441:2385973&amp;c=444444", "offset 51")</f>
        <v>offset 51</v>
      </c>
    </row>
    <row r="7482" customFormat="false" ht="12.8" hidden="false" customHeight="false" outlineLevel="0" collapsed="false">
      <c r="A7482" s="0" t="s">
        <v>12</v>
      </c>
      <c r="B7482" s="0" t="n">
        <v>2385713</v>
      </c>
      <c r="C7482" s="0" t="n">
        <v>2385733</v>
      </c>
      <c r="D7482" s="0" t="s">
        <v>24898</v>
      </c>
      <c r="E7482" s="0" t="s">
        <v>75</v>
      </c>
      <c r="F7482" s="0" t="s">
        <v>15</v>
      </c>
      <c r="G7482" s="0" t="s">
        <v>36</v>
      </c>
      <c r="H7482" s="0" t="n">
        <v>80</v>
      </c>
      <c r="I7482" s="0" t="s">
        <v>24905</v>
      </c>
      <c r="J7482" s="0" t="s">
        <v>24906</v>
      </c>
      <c r="K7482" s="0" t="s">
        <v>24907</v>
      </c>
      <c r="L7482" s="0" t="str">
        <f aca="false">HYPERLINK("https://www.ncbi.nlm.nih.gov/nuccore/CP000058.1?report=graph&amp;tracks=[key:gene_model_track,Options:GeneOnly]&amp;mk=2385642:2385661|offset_8|444444,2385685:2385704|offset_51|444444,2385714:2385733|offset_80|00cc00,2385754:2385773|offset_120|444444&amp;v=2385441:2385973&amp;c=444444", "offset 80")</f>
        <v>offset 80</v>
      </c>
    </row>
    <row r="7483" customFormat="false" ht="12.8" hidden="false" customHeight="false" outlineLevel="0" collapsed="false">
      <c r="A7483" s="0" t="s">
        <v>12</v>
      </c>
      <c r="B7483" s="0" t="n">
        <v>2385753</v>
      </c>
      <c r="C7483" s="0" t="n">
        <v>2385773</v>
      </c>
      <c r="D7483" s="0" t="s">
        <v>24898</v>
      </c>
      <c r="E7483" s="0" t="s">
        <v>75</v>
      </c>
      <c r="F7483" s="0" t="s">
        <v>15</v>
      </c>
      <c r="G7483" s="0" t="s">
        <v>20</v>
      </c>
      <c r="H7483" s="0" t="n">
        <v>120</v>
      </c>
      <c r="I7483" s="0" t="s">
        <v>24908</v>
      </c>
      <c r="J7483" s="0" t="s">
        <v>24909</v>
      </c>
      <c r="K7483" s="0" t="s">
        <v>24910</v>
      </c>
      <c r="L7483" s="0" t="str">
        <f aca="false">HYPERLINK("https://www.ncbi.nlm.nih.gov/nuccore/CP000058.1?report=graph&amp;tracks=[key:gene_model_track,Options:GeneOnly]&amp;mk=2385642:2385661|offset_8|444444,2385685:2385704|offset_51|444444,2385714:2385733|offset_80|444444,2385754:2385773|offset_120|00cc00&amp;v=2385441:2385973&amp;c=444444", "offset 120")</f>
        <v>offset 120</v>
      </c>
    </row>
    <row r="7484" customFormat="false" ht="12.8" hidden="false" customHeight="false" outlineLevel="0" collapsed="false">
      <c r="A7484" s="0" t="s">
        <v>12</v>
      </c>
      <c r="B7484" s="0" t="n">
        <v>2388464</v>
      </c>
      <c r="C7484" s="0" t="n">
        <v>2388484</v>
      </c>
      <c r="D7484" s="0" t="s">
        <v>24911</v>
      </c>
      <c r="E7484" s="0" t="s">
        <v>75</v>
      </c>
      <c r="F7484" s="0" t="s">
        <v>15</v>
      </c>
      <c r="G7484" s="0" t="s">
        <v>20</v>
      </c>
      <c r="H7484" s="0" t="n">
        <v>32</v>
      </c>
      <c r="I7484" s="0" t="s">
        <v>24912</v>
      </c>
      <c r="J7484" s="0" t="s">
        <v>24913</v>
      </c>
      <c r="K7484" s="0" t="s">
        <v>24914</v>
      </c>
      <c r="L7484" s="0" t="str">
        <f aca="false">HYPERLINK("https://www.ncbi.nlm.nih.gov/nuccore/CP000058.1?report=graph&amp;tracks=[key:gene_model_track,Options:GeneOnly]&amp;mk=2388465:2388484|offset_32|00cc00,2388491:2388510|offset_58|444444,2388548:2388567|offset_115|444444,2388572:2388591|offset_139|444444&amp;v=2388264:2388791&amp;c=444444", "offset 32")</f>
        <v>offset 32</v>
      </c>
    </row>
    <row r="7485" customFormat="false" ht="12.8" hidden="false" customHeight="false" outlineLevel="0" collapsed="false">
      <c r="A7485" s="0" t="s">
        <v>12</v>
      </c>
      <c r="B7485" s="0" t="n">
        <v>2388490</v>
      </c>
      <c r="C7485" s="0" t="n">
        <v>2388510</v>
      </c>
      <c r="D7485" s="0" t="s">
        <v>24911</v>
      </c>
      <c r="E7485" s="0" t="s">
        <v>75</v>
      </c>
      <c r="F7485" s="0" t="s">
        <v>15</v>
      </c>
      <c r="G7485" s="0" t="s">
        <v>16</v>
      </c>
      <c r="H7485" s="0" t="n">
        <v>58</v>
      </c>
      <c r="I7485" s="0" t="s">
        <v>24915</v>
      </c>
      <c r="J7485" s="0" t="s">
        <v>24916</v>
      </c>
      <c r="K7485" s="0" t="s">
        <v>24917</v>
      </c>
      <c r="L7485" s="0" t="str">
        <f aca="false">HYPERLINK("https://www.ncbi.nlm.nih.gov/nuccore/CP000058.1?report=graph&amp;tracks=[key:gene_model_track,Options:GeneOnly]&amp;mk=2388465:2388484|offset_32|444444,2388491:2388510|offset_58|00cc00,2388548:2388567|offset_115|444444,2388572:2388591|offset_139|444444&amp;v=2388264:2388791&amp;c=444444", "offset 58")</f>
        <v>offset 58</v>
      </c>
    </row>
    <row r="7486" customFormat="false" ht="12.8" hidden="false" customHeight="false" outlineLevel="0" collapsed="false">
      <c r="A7486" s="0" t="s">
        <v>12</v>
      </c>
      <c r="B7486" s="0" t="n">
        <v>2388547</v>
      </c>
      <c r="C7486" s="0" t="n">
        <v>2388567</v>
      </c>
      <c r="D7486" s="0" t="s">
        <v>24911</v>
      </c>
      <c r="E7486" s="0" t="s">
        <v>75</v>
      </c>
      <c r="F7486" s="0" t="s">
        <v>15</v>
      </c>
      <c r="G7486" s="0" t="s">
        <v>32</v>
      </c>
      <c r="H7486" s="0" t="n">
        <v>115</v>
      </c>
      <c r="I7486" s="0" t="s">
        <v>24918</v>
      </c>
      <c r="J7486" s="0" t="s">
        <v>24919</v>
      </c>
      <c r="K7486" s="0" t="s">
        <v>24920</v>
      </c>
      <c r="L7486" s="0" t="str">
        <f aca="false">HYPERLINK("https://www.ncbi.nlm.nih.gov/nuccore/CP000058.1?report=graph&amp;tracks=[key:gene_model_track,Options:GeneOnly]&amp;mk=2388465:2388484|offset_32|444444,2388491:2388510|offset_58|444444,2388548:2388567|offset_115|00cc00,2388572:2388591|offset_139|444444&amp;v=2388264:2388791&amp;c=444444", "offset 115")</f>
        <v>offset 115</v>
      </c>
    </row>
    <row r="7487" customFormat="false" ht="12.8" hidden="false" customHeight="false" outlineLevel="0" collapsed="false">
      <c r="A7487" s="0" t="s">
        <v>12</v>
      </c>
      <c r="B7487" s="0" t="n">
        <v>2388571</v>
      </c>
      <c r="C7487" s="0" t="n">
        <v>2388591</v>
      </c>
      <c r="D7487" s="0" t="s">
        <v>24911</v>
      </c>
      <c r="E7487" s="0" t="s">
        <v>75</v>
      </c>
      <c r="F7487" s="0" t="s">
        <v>15</v>
      </c>
      <c r="G7487" s="0" t="s">
        <v>32</v>
      </c>
      <c r="H7487" s="0" t="n">
        <v>139</v>
      </c>
      <c r="I7487" s="0" t="s">
        <v>24921</v>
      </c>
      <c r="J7487" s="0" t="s">
        <v>24922</v>
      </c>
      <c r="K7487" s="0" t="s">
        <v>24923</v>
      </c>
      <c r="L7487" s="0" t="str">
        <f aca="false">HYPERLINK("https://www.ncbi.nlm.nih.gov/nuccore/CP000058.1?report=graph&amp;tracks=[key:gene_model_track,Options:GeneOnly]&amp;mk=2388465:2388484|offset_32|444444,2388491:2388510|offset_58|444444,2388548:2388567|offset_115|444444,2388572:2388591|offset_139|00cc00&amp;v=2388264:2388791&amp;c=444444", "offset 139")</f>
        <v>offset 139</v>
      </c>
    </row>
    <row r="7488" customFormat="false" ht="12.8" hidden="false" customHeight="false" outlineLevel="0" collapsed="false">
      <c r="A7488" s="0" t="s">
        <v>12</v>
      </c>
      <c r="B7488" s="0" t="n">
        <v>2388830</v>
      </c>
      <c r="C7488" s="0" t="n">
        <v>2388850</v>
      </c>
      <c r="D7488" s="0" t="s">
        <v>24924</v>
      </c>
      <c r="E7488" s="0" t="s">
        <v>24925</v>
      </c>
      <c r="F7488" s="0" t="s">
        <v>15</v>
      </c>
      <c r="G7488" s="0" t="s">
        <v>32</v>
      </c>
      <c r="H7488" s="0" t="n">
        <v>22</v>
      </c>
      <c r="I7488" s="0" t="s">
        <v>24926</v>
      </c>
      <c r="J7488" s="0" t="s">
        <v>24927</v>
      </c>
      <c r="K7488" s="0" t="s">
        <v>24928</v>
      </c>
      <c r="L7488" s="0" t="str">
        <f aca="false">HYPERLINK("https://www.ncbi.nlm.nih.gov/nuccore/CP000058.1?report=graph&amp;tracks=[key:gene_model_track,Options:GeneOnly]&amp;mk=2388831:2388850|offset_22|00cc00,2388871:2388890|offset_62|444444,2388912:2388931|offset_103|444444,2388955:2388974|offset_146|444444&amp;v=2388630:2389174&amp;c=444444", "offset 22")</f>
        <v>offset 22</v>
      </c>
    </row>
    <row r="7489" customFormat="false" ht="12.8" hidden="false" customHeight="false" outlineLevel="0" collapsed="false">
      <c r="A7489" s="0" t="s">
        <v>12</v>
      </c>
      <c r="B7489" s="0" t="n">
        <v>2388870</v>
      </c>
      <c r="C7489" s="0" t="n">
        <v>2388890</v>
      </c>
      <c r="D7489" s="0" t="s">
        <v>24924</v>
      </c>
      <c r="E7489" s="0" t="s">
        <v>24925</v>
      </c>
      <c r="F7489" s="0" t="s">
        <v>15</v>
      </c>
      <c r="G7489" s="0" t="s">
        <v>20</v>
      </c>
      <c r="H7489" s="0" t="n">
        <v>62</v>
      </c>
      <c r="I7489" s="0" t="s">
        <v>24929</v>
      </c>
      <c r="J7489" s="0" t="s">
        <v>24930</v>
      </c>
      <c r="K7489" s="0" t="s">
        <v>24931</v>
      </c>
      <c r="L7489" s="0" t="str">
        <f aca="false">HYPERLINK("https://www.ncbi.nlm.nih.gov/nuccore/CP000058.1?report=graph&amp;tracks=[key:gene_model_track,Options:GeneOnly]&amp;mk=2388831:2388850|offset_22|444444,2388871:2388890|offset_62|00cc00,2388912:2388931|offset_103|444444,2388955:2388974|offset_146|444444&amp;v=2388630:2389174&amp;c=444444", "offset 62")</f>
        <v>offset 62</v>
      </c>
    </row>
    <row r="7490" customFormat="false" ht="12.8" hidden="false" customHeight="false" outlineLevel="0" collapsed="false">
      <c r="A7490" s="0" t="s">
        <v>12</v>
      </c>
      <c r="B7490" s="0" t="n">
        <v>2388911</v>
      </c>
      <c r="C7490" s="0" t="n">
        <v>2388931</v>
      </c>
      <c r="D7490" s="0" t="s">
        <v>24924</v>
      </c>
      <c r="E7490" s="0" t="s">
        <v>24925</v>
      </c>
      <c r="F7490" s="0" t="s">
        <v>15</v>
      </c>
      <c r="G7490" s="0" t="s">
        <v>20</v>
      </c>
      <c r="H7490" s="0" t="n">
        <v>103</v>
      </c>
      <c r="I7490" s="0" t="s">
        <v>24932</v>
      </c>
      <c r="J7490" s="0" t="s">
        <v>24933</v>
      </c>
      <c r="K7490" s="0" t="s">
        <v>24934</v>
      </c>
      <c r="L7490" s="0" t="str">
        <f aca="false">HYPERLINK("https://www.ncbi.nlm.nih.gov/nuccore/CP000058.1?report=graph&amp;tracks=[key:gene_model_track,Options:GeneOnly]&amp;mk=2388831:2388850|offset_22|444444,2388871:2388890|offset_62|444444,2388912:2388931|offset_103|00cc00,2388955:2388974|offset_146|444444&amp;v=2388630:2389174&amp;c=444444", "offset 103")</f>
        <v>offset 103</v>
      </c>
    </row>
    <row r="7491" customFormat="false" ht="12.8" hidden="false" customHeight="false" outlineLevel="0" collapsed="false">
      <c r="A7491" s="0" t="s">
        <v>12</v>
      </c>
      <c r="B7491" s="0" t="n">
        <v>2388954</v>
      </c>
      <c r="C7491" s="0" t="n">
        <v>2388974</v>
      </c>
      <c r="D7491" s="0" t="s">
        <v>24924</v>
      </c>
      <c r="E7491" s="0" t="s">
        <v>24925</v>
      </c>
      <c r="F7491" s="0" t="s">
        <v>15</v>
      </c>
      <c r="G7491" s="0" t="s">
        <v>32</v>
      </c>
      <c r="H7491" s="0" t="n">
        <v>146</v>
      </c>
      <c r="I7491" s="0" t="s">
        <v>24935</v>
      </c>
      <c r="J7491" s="0" t="s">
        <v>24936</v>
      </c>
      <c r="K7491" s="0" t="s">
        <v>24937</v>
      </c>
      <c r="L7491" s="0" t="str">
        <f aca="false">HYPERLINK("https://www.ncbi.nlm.nih.gov/nuccore/CP000058.1?report=graph&amp;tracks=[key:gene_model_track,Options:GeneOnly]&amp;mk=2388831:2388850|offset_22|444444,2388871:2388890|offset_62|444444,2388912:2388931|offset_103|444444,2388955:2388974|offset_146|00cc00&amp;v=2388630:2389174&amp;c=444444", "offset 146")</f>
        <v>offset 146</v>
      </c>
    </row>
    <row r="7492" customFormat="false" ht="12.8" hidden="false" customHeight="false" outlineLevel="0" collapsed="false">
      <c r="A7492" s="0" t="s">
        <v>12</v>
      </c>
      <c r="B7492" s="0" t="n">
        <v>2391801</v>
      </c>
      <c r="C7492" s="0" t="n">
        <v>2391821</v>
      </c>
      <c r="D7492" s="0" t="s">
        <v>24938</v>
      </c>
      <c r="E7492" s="0" t="s">
        <v>75</v>
      </c>
      <c r="F7492" s="0" t="s">
        <v>90</v>
      </c>
      <c r="G7492" s="0" t="s">
        <v>20</v>
      </c>
      <c r="H7492" s="0" t="n">
        <v>15</v>
      </c>
      <c r="I7492" s="0" t="s">
        <v>24939</v>
      </c>
      <c r="J7492" s="0" t="s">
        <v>24940</v>
      </c>
      <c r="K7492" s="0" t="s">
        <v>24941</v>
      </c>
      <c r="L7492" s="0" t="str">
        <f aca="false">HYPERLINK("https://www.ncbi.nlm.nih.gov/nuccore/CP000058.1?report=graph&amp;tracks=[key:gene_model_track,Options:GeneOnly]&amp;mk=2391802:2391821|offset_15|00cc00,2391782:2391801|offset_35|444444,2391747:2391766|offset_70|444444,2391720:2391739|offset_97|444444&amp;v=2391601:2391939&amp;c=444444", "offset 15")</f>
        <v>offset 15</v>
      </c>
    </row>
    <row r="7493" customFormat="false" ht="12.8" hidden="false" customHeight="false" outlineLevel="0" collapsed="false">
      <c r="A7493" s="0" t="s">
        <v>12</v>
      </c>
      <c r="B7493" s="0" t="n">
        <v>2391781</v>
      </c>
      <c r="C7493" s="0" t="n">
        <v>2391801</v>
      </c>
      <c r="D7493" s="0" t="s">
        <v>24938</v>
      </c>
      <c r="E7493" s="0" t="s">
        <v>75</v>
      </c>
      <c r="F7493" s="0" t="s">
        <v>90</v>
      </c>
      <c r="G7493" s="0" t="s">
        <v>20</v>
      </c>
      <c r="H7493" s="0" t="n">
        <v>35</v>
      </c>
      <c r="I7493" s="0" t="s">
        <v>24942</v>
      </c>
      <c r="J7493" s="0" t="s">
        <v>24943</v>
      </c>
      <c r="K7493" s="0" t="s">
        <v>24944</v>
      </c>
      <c r="L7493" s="0" t="str">
        <f aca="false">HYPERLINK("https://www.ncbi.nlm.nih.gov/nuccore/CP000058.1?report=graph&amp;tracks=[key:gene_model_track,Options:GeneOnly]&amp;mk=2391802:2391821|offset_15|444444,2391782:2391801|offset_35|00cc00,2391747:2391766|offset_70|444444,2391720:2391739|offset_97|444444&amp;v=2391601:2391939&amp;c=444444", "offset 35")</f>
        <v>offset 35</v>
      </c>
    </row>
    <row r="7494" customFormat="false" ht="12.8" hidden="false" customHeight="false" outlineLevel="0" collapsed="false">
      <c r="A7494" s="0" t="s">
        <v>12</v>
      </c>
      <c r="B7494" s="0" t="n">
        <v>2391746</v>
      </c>
      <c r="C7494" s="0" t="n">
        <v>2391766</v>
      </c>
      <c r="D7494" s="0" t="s">
        <v>24938</v>
      </c>
      <c r="E7494" s="0" t="s">
        <v>75</v>
      </c>
      <c r="F7494" s="0" t="s">
        <v>90</v>
      </c>
      <c r="G7494" s="0" t="s">
        <v>16</v>
      </c>
      <c r="H7494" s="0" t="n">
        <v>70</v>
      </c>
      <c r="I7494" s="0" t="s">
        <v>24945</v>
      </c>
      <c r="J7494" s="0" t="s">
        <v>24946</v>
      </c>
      <c r="K7494" s="0" t="s">
        <v>24947</v>
      </c>
      <c r="L7494" s="0" t="str">
        <f aca="false">HYPERLINK("https://www.ncbi.nlm.nih.gov/nuccore/CP000058.1?report=graph&amp;tracks=[key:gene_model_track,Options:GeneOnly]&amp;mk=2391802:2391821|offset_15|444444,2391782:2391801|offset_35|444444,2391747:2391766|offset_70|00cc00,2391720:2391739|offset_97|444444&amp;v=2391601:2391939&amp;c=444444", "offset 70")</f>
        <v>offset 70</v>
      </c>
    </row>
    <row r="7495" customFormat="false" ht="12.8" hidden="false" customHeight="false" outlineLevel="0" collapsed="false">
      <c r="A7495" s="0" t="s">
        <v>12</v>
      </c>
      <c r="B7495" s="0" t="n">
        <v>2391719</v>
      </c>
      <c r="C7495" s="0" t="n">
        <v>2391739</v>
      </c>
      <c r="D7495" s="0" t="s">
        <v>24938</v>
      </c>
      <c r="E7495" s="0" t="s">
        <v>75</v>
      </c>
      <c r="F7495" s="0" t="s">
        <v>90</v>
      </c>
      <c r="G7495" s="0" t="s">
        <v>36</v>
      </c>
      <c r="H7495" s="0" t="n">
        <v>97</v>
      </c>
      <c r="I7495" s="0" t="s">
        <v>24948</v>
      </c>
      <c r="J7495" s="0" t="s">
        <v>24949</v>
      </c>
      <c r="K7495" s="0" t="s">
        <v>24950</v>
      </c>
      <c r="L7495" s="0" t="str">
        <f aca="false">HYPERLINK("https://www.ncbi.nlm.nih.gov/nuccore/CP000058.1?report=graph&amp;tracks=[key:gene_model_track,Options:GeneOnly]&amp;mk=2391802:2391821|offset_15|444444,2391782:2391801|offset_35|444444,2391747:2391766|offset_70|444444,2391720:2391739|offset_97|00cc00&amp;v=2391601:2391939&amp;c=444444", "offset 97")</f>
        <v>offset 97</v>
      </c>
    </row>
    <row r="7496" customFormat="false" ht="12.8" hidden="false" customHeight="false" outlineLevel="0" collapsed="false">
      <c r="A7496" s="0" t="s">
        <v>12</v>
      </c>
      <c r="B7496" s="0" t="n">
        <v>2392498</v>
      </c>
      <c r="C7496" s="0" t="n">
        <v>2392518</v>
      </c>
      <c r="D7496" s="0" t="s">
        <v>24951</v>
      </c>
      <c r="E7496" s="0" t="s">
        <v>75</v>
      </c>
      <c r="F7496" s="0" t="s">
        <v>90</v>
      </c>
      <c r="G7496" s="0" t="s">
        <v>32</v>
      </c>
      <c r="H7496" s="0" t="n">
        <v>1</v>
      </c>
      <c r="I7496" s="0" t="s">
        <v>24952</v>
      </c>
      <c r="J7496" s="0" t="s">
        <v>24953</v>
      </c>
      <c r="K7496" s="0" t="s">
        <v>24954</v>
      </c>
      <c r="L7496" s="0" t="str">
        <f aca="false">HYPERLINK("https://www.ncbi.nlm.nih.gov/nuccore/CP000058.1?report=graph&amp;tracks=[key:gene_model_track,Options:GeneOnly]&amp;mk=2392499:2392518|offset_1|00cc00,2392475:2392494|offset_25|444444,2392453:2392472|offset_47|444444,2392430:2392449|offset_70|444444&amp;v=2392298:2392649&amp;c=444444", "offset 1")</f>
        <v>offset 1</v>
      </c>
    </row>
    <row r="7497" customFormat="false" ht="12.8" hidden="false" customHeight="false" outlineLevel="0" collapsed="false">
      <c r="A7497" s="0" t="s">
        <v>12</v>
      </c>
      <c r="B7497" s="0" t="n">
        <v>2392474</v>
      </c>
      <c r="C7497" s="0" t="n">
        <v>2392494</v>
      </c>
      <c r="D7497" s="0" t="s">
        <v>24951</v>
      </c>
      <c r="E7497" s="0" t="s">
        <v>75</v>
      </c>
      <c r="F7497" s="0" t="s">
        <v>90</v>
      </c>
      <c r="G7497" s="0" t="s">
        <v>36</v>
      </c>
      <c r="H7497" s="0" t="n">
        <v>25</v>
      </c>
      <c r="I7497" s="0" t="s">
        <v>24955</v>
      </c>
      <c r="J7497" s="0" t="s">
        <v>24956</v>
      </c>
      <c r="K7497" s="0" t="s">
        <v>24957</v>
      </c>
      <c r="L7497" s="0" t="str">
        <f aca="false">HYPERLINK("https://www.ncbi.nlm.nih.gov/nuccore/CP000058.1?report=graph&amp;tracks=[key:gene_model_track,Options:GeneOnly]&amp;mk=2392499:2392518|offset_1|444444,2392475:2392494|offset_25|00cc00,2392453:2392472|offset_47|444444,2392430:2392449|offset_70|444444&amp;v=2392298:2392649&amp;c=444444", "offset 25")</f>
        <v>offset 25</v>
      </c>
    </row>
    <row r="7498" customFormat="false" ht="12.8" hidden="false" customHeight="false" outlineLevel="0" collapsed="false">
      <c r="A7498" s="0" t="s">
        <v>12</v>
      </c>
      <c r="B7498" s="0" t="n">
        <v>2392452</v>
      </c>
      <c r="C7498" s="0" t="n">
        <v>2392472</v>
      </c>
      <c r="D7498" s="0" t="s">
        <v>24951</v>
      </c>
      <c r="E7498" s="0" t="s">
        <v>75</v>
      </c>
      <c r="F7498" s="0" t="s">
        <v>90</v>
      </c>
      <c r="G7498" s="0" t="s">
        <v>36</v>
      </c>
      <c r="H7498" s="0" t="n">
        <v>47</v>
      </c>
      <c r="I7498" s="0" t="s">
        <v>24958</v>
      </c>
      <c r="J7498" s="0" t="s">
        <v>24959</v>
      </c>
      <c r="K7498" s="0" t="s">
        <v>24960</v>
      </c>
      <c r="L7498" s="0" t="str">
        <f aca="false">HYPERLINK("https://www.ncbi.nlm.nih.gov/nuccore/CP000058.1?report=graph&amp;tracks=[key:gene_model_track,Options:GeneOnly]&amp;mk=2392499:2392518|offset_1|444444,2392475:2392494|offset_25|444444,2392453:2392472|offset_47|00cc00,2392430:2392449|offset_70|444444&amp;v=2392298:2392649&amp;c=444444", "offset 47")</f>
        <v>offset 47</v>
      </c>
    </row>
    <row r="7499" customFormat="false" ht="12.8" hidden="false" customHeight="false" outlineLevel="0" collapsed="false">
      <c r="A7499" s="0" t="s">
        <v>12</v>
      </c>
      <c r="B7499" s="0" t="n">
        <v>2392429</v>
      </c>
      <c r="C7499" s="0" t="n">
        <v>2392449</v>
      </c>
      <c r="D7499" s="0" t="s">
        <v>24951</v>
      </c>
      <c r="E7499" s="0" t="s">
        <v>75</v>
      </c>
      <c r="F7499" s="0" t="s">
        <v>90</v>
      </c>
      <c r="G7499" s="0" t="s">
        <v>32</v>
      </c>
      <c r="H7499" s="0" t="n">
        <v>70</v>
      </c>
      <c r="I7499" s="0" t="s">
        <v>24961</v>
      </c>
      <c r="J7499" s="0" t="s">
        <v>24962</v>
      </c>
      <c r="K7499" s="0" t="s">
        <v>24963</v>
      </c>
      <c r="L7499" s="0" t="str">
        <f aca="false">HYPERLINK("https://www.ncbi.nlm.nih.gov/nuccore/CP000058.1?report=graph&amp;tracks=[key:gene_model_track,Options:GeneOnly]&amp;mk=2392499:2392518|offset_1|444444,2392475:2392494|offset_25|444444,2392453:2392472|offset_47|444444,2392430:2392449|offset_70|00cc00&amp;v=2392298:2392649&amp;c=444444", "offset 70")</f>
        <v>offset 70</v>
      </c>
    </row>
    <row r="7500" customFormat="false" ht="12.8" hidden="false" customHeight="false" outlineLevel="0" collapsed="false">
      <c r="A7500" s="0" t="s">
        <v>12</v>
      </c>
      <c r="B7500" s="0" t="n">
        <v>2392529</v>
      </c>
      <c r="C7500" s="0" t="n">
        <v>2392549</v>
      </c>
      <c r="D7500" s="0" t="s">
        <v>24964</v>
      </c>
      <c r="E7500" s="0" t="s">
        <v>75</v>
      </c>
      <c r="F7500" s="0" t="s">
        <v>15</v>
      </c>
      <c r="G7500" s="0" t="s">
        <v>16</v>
      </c>
      <c r="H7500" s="0" t="n">
        <v>0</v>
      </c>
      <c r="I7500" s="0" t="s">
        <v>24965</v>
      </c>
      <c r="J7500" s="0" t="s">
        <v>24966</v>
      </c>
      <c r="K7500" s="0" t="s">
        <v>24967</v>
      </c>
      <c r="L7500" s="0" t="str">
        <f aca="false">HYPERLINK("https://www.ncbi.nlm.nih.gov/nuccore/CP000058.1?report=graph&amp;tracks=[key:gene_model_track,Options:GeneOnly]&amp;mk=2392530:2392549|offset_0|00cc00,2392559:2392578|offset_29|444444,2392648:2392667|offset_118|444444,2392738:2392757|offset_208|444444&amp;v=2392329:2392957&amp;c=444444", "offset 0")</f>
        <v>offset 0</v>
      </c>
    </row>
    <row r="7501" customFormat="false" ht="12.8" hidden="false" customHeight="false" outlineLevel="0" collapsed="false">
      <c r="A7501" s="0" t="s">
        <v>12</v>
      </c>
      <c r="B7501" s="0" t="n">
        <v>2392558</v>
      </c>
      <c r="C7501" s="0" t="n">
        <v>2392578</v>
      </c>
      <c r="D7501" s="0" t="s">
        <v>24964</v>
      </c>
      <c r="E7501" s="0" t="s">
        <v>75</v>
      </c>
      <c r="F7501" s="0" t="s">
        <v>15</v>
      </c>
      <c r="G7501" s="0" t="s">
        <v>20</v>
      </c>
      <c r="H7501" s="0" t="n">
        <v>29</v>
      </c>
      <c r="I7501" s="0" t="s">
        <v>24968</v>
      </c>
      <c r="J7501" s="0" t="s">
        <v>24969</v>
      </c>
      <c r="K7501" s="0" t="s">
        <v>24970</v>
      </c>
      <c r="L7501" s="0" t="str">
        <f aca="false">HYPERLINK("https://www.ncbi.nlm.nih.gov/nuccore/CP000058.1?report=graph&amp;tracks=[key:gene_model_track,Options:GeneOnly]&amp;mk=2392530:2392549|offset_0|444444,2392559:2392578|offset_29|00cc00,2392648:2392667|offset_118|444444,2392738:2392757|offset_208|444444&amp;v=2392329:2392957&amp;c=444444", "offset 29")</f>
        <v>offset 29</v>
      </c>
    </row>
    <row r="7502" customFormat="false" ht="12.8" hidden="false" customHeight="false" outlineLevel="0" collapsed="false">
      <c r="A7502" s="0" t="s">
        <v>12</v>
      </c>
      <c r="B7502" s="0" t="n">
        <v>2392647</v>
      </c>
      <c r="C7502" s="0" t="n">
        <v>2392667</v>
      </c>
      <c r="D7502" s="0" t="s">
        <v>24964</v>
      </c>
      <c r="E7502" s="0" t="s">
        <v>75</v>
      </c>
      <c r="F7502" s="0" t="s">
        <v>15</v>
      </c>
      <c r="G7502" s="0" t="s">
        <v>36</v>
      </c>
      <c r="H7502" s="0" t="n">
        <v>118</v>
      </c>
      <c r="I7502" s="0" t="s">
        <v>24971</v>
      </c>
      <c r="J7502" s="0" t="s">
        <v>24972</v>
      </c>
      <c r="K7502" s="0" t="s">
        <v>24973</v>
      </c>
      <c r="L7502" s="0" t="str">
        <f aca="false">HYPERLINK("https://www.ncbi.nlm.nih.gov/nuccore/CP000058.1?report=graph&amp;tracks=[key:gene_model_track,Options:GeneOnly]&amp;mk=2392530:2392549|offset_0|444444,2392559:2392578|offset_29|444444,2392648:2392667|offset_118|00cc00,2392738:2392757|offset_208|444444&amp;v=2392329:2392957&amp;c=444444", "offset 118")</f>
        <v>offset 118</v>
      </c>
    </row>
    <row r="7503" customFormat="false" ht="12.8" hidden="false" customHeight="false" outlineLevel="0" collapsed="false">
      <c r="A7503" s="0" t="s">
        <v>12</v>
      </c>
      <c r="B7503" s="0" t="n">
        <v>2392737</v>
      </c>
      <c r="C7503" s="0" t="n">
        <v>2392757</v>
      </c>
      <c r="D7503" s="0" t="s">
        <v>24964</v>
      </c>
      <c r="E7503" s="0" t="s">
        <v>75</v>
      </c>
      <c r="F7503" s="0" t="s">
        <v>15</v>
      </c>
      <c r="G7503" s="0" t="s">
        <v>32</v>
      </c>
      <c r="H7503" s="0" t="n">
        <v>208</v>
      </c>
      <c r="I7503" s="0" t="s">
        <v>24974</v>
      </c>
      <c r="J7503" s="0" t="s">
        <v>24975</v>
      </c>
      <c r="K7503" s="0" t="s">
        <v>24976</v>
      </c>
      <c r="L7503" s="0" t="str">
        <f aca="false">HYPERLINK("https://www.ncbi.nlm.nih.gov/nuccore/CP000058.1?report=graph&amp;tracks=[key:gene_model_track,Options:GeneOnly]&amp;mk=2392530:2392549|offset_0|444444,2392559:2392578|offset_29|444444,2392648:2392667|offset_118|444444,2392738:2392757|offset_208|00cc00&amp;v=2392329:2392957&amp;c=444444", "offset 208")</f>
        <v>offset 208</v>
      </c>
    </row>
    <row r="7504" customFormat="false" ht="12.8" hidden="false" customHeight="false" outlineLevel="0" collapsed="false">
      <c r="A7504" s="0" t="s">
        <v>12</v>
      </c>
      <c r="B7504" s="0" t="n">
        <v>2393191</v>
      </c>
      <c r="C7504" s="0" t="n">
        <v>2393211</v>
      </c>
      <c r="D7504" s="0" t="s">
        <v>24977</v>
      </c>
      <c r="E7504" s="0" t="s">
        <v>75</v>
      </c>
      <c r="F7504" s="0" t="s">
        <v>15</v>
      </c>
      <c r="G7504" s="0" t="s">
        <v>36</v>
      </c>
      <c r="H7504" s="0" t="n">
        <v>0</v>
      </c>
      <c r="I7504" s="0" t="s">
        <v>24978</v>
      </c>
      <c r="J7504" s="0" t="s">
        <v>24979</v>
      </c>
      <c r="K7504" s="0" t="s">
        <v>24980</v>
      </c>
      <c r="L7504" s="0" t="str">
        <f aca="false">HYPERLINK("https://www.ncbi.nlm.nih.gov/nuccore/CP000058.1?report=graph&amp;tracks=[key:gene_model_track,Options:GeneOnly]&amp;mk=2393192:2393211|offset_0|00cc00,2393214:2393233|offset_22|444444,2393240:2393259|offset_48|444444,2393265:2393284|offset_73|444444&amp;v=2392991:2393484&amp;c=444444", "offset 0")</f>
        <v>offset 0</v>
      </c>
    </row>
    <row r="7505" customFormat="false" ht="12.8" hidden="false" customHeight="false" outlineLevel="0" collapsed="false">
      <c r="A7505" s="0" t="s">
        <v>12</v>
      </c>
      <c r="B7505" s="0" t="n">
        <v>2393213</v>
      </c>
      <c r="C7505" s="0" t="n">
        <v>2393233</v>
      </c>
      <c r="D7505" s="0" t="s">
        <v>24977</v>
      </c>
      <c r="E7505" s="0" t="s">
        <v>75</v>
      </c>
      <c r="F7505" s="0" t="s">
        <v>15</v>
      </c>
      <c r="G7505" s="0" t="s">
        <v>36</v>
      </c>
      <c r="H7505" s="0" t="n">
        <v>22</v>
      </c>
      <c r="I7505" s="0" t="s">
        <v>24981</v>
      </c>
      <c r="J7505" s="0" t="s">
        <v>24982</v>
      </c>
      <c r="K7505" s="0" t="s">
        <v>24983</v>
      </c>
      <c r="L7505" s="0" t="str">
        <f aca="false">HYPERLINK("https://www.ncbi.nlm.nih.gov/nuccore/CP000058.1?report=graph&amp;tracks=[key:gene_model_track,Options:GeneOnly]&amp;mk=2393192:2393211|offset_0|444444,2393214:2393233|offset_22|00cc00,2393240:2393259|offset_48|444444,2393265:2393284|offset_73|444444&amp;v=2392991:2393484&amp;c=444444", "offset 22")</f>
        <v>offset 22</v>
      </c>
    </row>
    <row r="7506" customFormat="false" ht="12.8" hidden="false" customHeight="false" outlineLevel="0" collapsed="false">
      <c r="A7506" s="0" t="s">
        <v>12</v>
      </c>
      <c r="B7506" s="0" t="n">
        <v>2393239</v>
      </c>
      <c r="C7506" s="0" t="n">
        <v>2393259</v>
      </c>
      <c r="D7506" s="0" t="s">
        <v>24977</v>
      </c>
      <c r="E7506" s="0" t="s">
        <v>75</v>
      </c>
      <c r="F7506" s="0" t="s">
        <v>15</v>
      </c>
      <c r="G7506" s="0" t="s">
        <v>36</v>
      </c>
      <c r="H7506" s="0" t="n">
        <v>48</v>
      </c>
      <c r="I7506" s="0" t="s">
        <v>24984</v>
      </c>
      <c r="J7506" s="0" t="s">
        <v>24985</v>
      </c>
      <c r="K7506" s="0" t="s">
        <v>24986</v>
      </c>
      <c r="L7506" s="0" t="str">
        <f aca="false">HYPERLINK("https://www.ncbi.nlm.nih.gov/nuccore/CP000058.1?report=graph&amp;tracks=[key:gene_model_track,Options:GeneOnly]&amp;mk=2393192:2393211|offset_0|444444,2393214:2393233|offset_22|444444,2393240:2393259|offset_48|00cc00,2393265:2393284|offset_73|444444&amp;v=2392991:2393484&amp;c=444444", "offset 48")</f>
        <v>offset 48</v>
      </c>
    </row>
    <row r="7507" customFormat="false" ht="12.8" hidden="false" customHeight="false" outlineLevel="0" collapsed="false">
      <c r="A7507" s="0" t="s">
        <v>12</v>
      </c>
      <c r="B7507" s="0" t="n">
        <v>2393264</v>
      </c>
      <c r="C7507" s="0" t="n">
        <v>2393284</v>
      </c>
      <c r="D7507" s="0" t="s">
        <v>24977</v>
      </c>
      <c r="E7507" s="0" t="s">
        <v>75</v>
      </c>
      <c r="F7507" s="0" t="s">
        <v>15</v>
      </c>
      <c r="G7507" s="0" t="s">
        <v>20</v>
      </c>
      <c r="H7507" s="0" t="n">
        <v>73</v>
      </c>
      <c r="I7507" s="0" t="s">
        <v>24987</v>
      </c>
      <c r="J7507" s="0" t="s">
        <v>24988</v>
      </c>
      <c r="K7507" s="0" t="s">
        <v>24989</v>
      </c>
      <c r="L7507" s="0" t="str">
        <f aca="false">HYPERLINK("https://www.ncbi.nlm.nih.gov/nuccore/CP000058.1?report=graph&amp;tracks=[key:gene_model_track,Options:GeneOnly]&amp;mk=2393192:2393211|offset_0|444444,2393214:2393233|offset_22|444444,2393240:2393259|offset_48|444444,2393265:2393284|offset_73|00cc00&amp;v=2392991:2393484&amp;c=444444", "offset 73")</f>
        <v>offset 73</v>
      </c>
    </row>
    <row r="7508" customFormat="false" ht="12.8" hidden="false" customHeight="false" outlineLevel="0" collapsed="false">
      <c r="A7508" s="0" t="s">
        <v>12</v>
      </c>
      <c r="B7508" s="0" t="n">
        <v>2393603</v>
      </c>
      <c r="C7508" s="0" t="n">
        <v>2393623</v>
      </c>
      <c r="D7508" s="0" t="s">
        <v>24990</v>
      </c>
      <c r="E7508" s="0" t="s">
        <v>75</v>
      </c>
      <c r="F7508" s="0" t="s">
        <v>15</v>
      </c>
      <c r="G7508" s="0" t="s">
        <v>32</v>
      </c>
      <c r="H7508" s="0" t="n">
        <v>18</v>
      </c>
      <c r="I7508" s="0" t="s">
        <v>24991</v>
      </c>
      <c r="J7508" s="0" t="s">
        <v>24992</v>
      </c>
      <c r="K7508" s="0" t="s">
        <v>24993</v>
      </c>
      <c r="L7508" s="0" t="str">
        <f aca="false">HYPERLINK("https://www.ncbi.nlm.nih.gov/nuccore/CP000058.1?report=graph&amp;tracks=[key:gene_model_track,Options:GeneOnly]&amp;mk=2393604:2393623|offset_18|00cc00,2393657:2393676|offset_71|444444,2393679:2393698|offset_93|444444,2393705:2393724|offset_119|444444&amp;v=2393403:2393924&amp;c=444444", "offset 18")</f>
        <v>offset 18</v>
      </c>
    </row>
    <row r="7509" customFormat="false" ht="12.8" hidden="false" customHeight="false" outlineLevel="0" collapsed="false">
      <c r="A7509" s="0" t="s">
        <v>12</v>
      </c>
      <c r="B7509" s="0" t="n">
        <v>2393656</v>
      </c>
      <c r="C7509" s="0" t="n">
        <v>2393676</v>
      </c>
      <c r="D7509" s="0" t="s">
        <v>24990</v>
      </c>
      <c r="E7509" s="0" t="s">
        <v>75</v>
      </c>
      <c r="F7509" s="0" t="s">
        <v>15</v>
      </c>
      <c r="G7509" s="0" t="s">
        <v>32</v>
      </c>
      <c r="H7509" s="0" t="n">
        <v>71</v>
      </c>
      <c r="I7509" s="0" t="s">
        <v>24994</v>
      </c>
      <c r="J7509" s="0" t="s">
        <v>24995</v>
      </c>
      <c r="K7509" s="0" t="s">
        <v>24996</v>
      </c>
      <c r="L7509" s="0" t="str">
        <f aca="false">HYPERLINK("https://www.ncbi.nlm.nih.gov/nuccore/CP000058.1?report=graph&amp;tracks=[key:gene_model_track,Options:GeneOnly]&amp;mk=2393604:2393623|offset_18|444444,2393657:2393676|offset_71|00cc00,2393679:2393698|offset_93|444444,2393705:2393724|offset_119|444444&amp;v=2393403:2393924&amp;c=444444", "offset 71")</f>
        <v>offset 71</v>
      </c>
    </row>
    <row r="7510" customFormat="false" ht="12.8" hidden="false" customHeight="false" outlineLevel="0" collapsed="false">
      <c r="A7510" s="0" t="s">
        <v>12</v>
      </c>
      <c r="B7510" s="0" t="n">
        <v>2393678</v>
      </c>
      <c r="C7510" s="0" t="n">
        <v>2393698</v>
      </c>
      <c r="D7510" s="0" t="s">
        <v>24990</v>
      </c>
      <c r="E7510" s="0" t="s">
        <v>75</v>
      </c>
      <c r="F7510" s="0" t="s">
        <v>15</v>
      </c>
      <c r="G7510" s="0" t="s">
        <v>16</v>
      </c>
      <c r="H7510" s="0" t="n">
        <v>93</v>
      </c>
      <c r="I7510" s="0" t="s">
        <v>24997</v>
      </c>
      <c r="J7510" s="0" t="s">
        <v>24998</v>
      </c>
      <c r="K7510" s="0" t="s">
        <v>24999</v>
      </c>
      <c r="L7510" s="0" t="str">
        <f aca="false">HYPERLINK("https://www.ncbi.nlm.nih.gov/nuccore/CP000058.1?report=graph&amp;tracks=[key:gene_model_track,Options:GeneOnly]&amp;mk=2393604:2393623|offset_18|444444,2393657:2393676|offset_71|444444,2393679:2393698|offset_93|00cc00,2393705:2393724|offset_119|444444&amp;v=2393403:2393924&amp;c=444444", "offset 93")</f>
        <v>offset 93</v>
      </c>
    </row>
    <row r="7511" customFormat="false" ht="12.8" hidden="false" customHeight="false" outlineLevel="0" collapsed="false">
      <c r="A7511" s="0" t="s">
        <v>12</v>
      </c>
      <c r="B7511" s="0" t="n">
        <v>2393704</v>
      </c>
      <c r="C7511" s="0" t="n">
        <v>2393724</v>
      </c>
      <c r="D7511" s="0" t="s">
        <v>24990</v>
      </c>
      <c r="E7511" s="0" t="s">
        <v>75</v>
      </c>
      <c r="F7511" s="0" t="s">
        <v>15</v>
      </c>
      <c r="G7511" s="0" t="s">
        <v>32</v>
      </c>
      <c r="H7511" s="0" t="n">
        <v>119</v>
      </c>
      <c r="I7511" s="0" t="s">
        <v>25000</v>
      </c>
      <c r="J7511" s="0" t="s">
        <v>25001</v>
      </c>
      <c r="K7511" s="0" t="s">
        <v>25002</v>
      </c>
      <c r="L7511" s="0" t="str">
        <f aca="false">HYPERLINK("https://www.ncbi.nlm.nih.gov/nuccore/CP000058.1?report=graph&amp;tracks=[key:gene_model_track,Options:GeneOnly]&amp;mk=2393604:2393623|offset_18|444444,2393657:2393676|offset_71|444444,2393679:2393698|offset_93|444444,2393705:2393724|offset_119|00cc00&amp;v=2393403:2393924&amp;c=444444", "offset 119")</f>
        <v>offset 119</v>
      </c>
    </row>
    <row r="7512" customFormat="false" ht="12.8" hidden="false" customHeight="false" outlineLevel="0" collapsed="false">
      <c r="A7512" s="0" t="s">
        <v>12</v>
      </c>
      <c r="B7512" s="0" t="n">
        <v>2395819</v>
      </c>
      <c r="C7512" s="0" t="n">
        <v>2395839</v>
      </c>
      <c r="D7512" s="0" t="s">
        <v>25003</v>
      </c>
      <c r="E7512" s="0" t="s">
        <v>25004</v>
      </c>
      <c r="F7512" s="0" t="s">
        <v>90</v>
      </c>
      <c r="G7512" s="0" t="s">
        <v>16</v>
      </c>
      <c r="H7512" s="0" t="n">
        <v>40</v>
      </c>
      <c r="I7512" s="0" t="s">
        <v>25005</v>
      </c>
      <c r="J7512" s="0" t="s">
        <v>25006</v>
      </c>
      <c r="K7512" s="0" t="s">
        <v>25007</v>
      </c>
      <c r="L7512" s="0" t="str">
        <f aca="false">HYPERLINK("https://www.ncbi.nlm.nih.gov/nuccore/CP000058.1?report=graph&amp;tracks=[key:gene_model_track,Options:GeneOnly]&amp;mk=2395820:2395839|offset_40|00cc00,2395787:2395806|offset_73|444444,2395757:2395776|offset_103|444444,2395724:2395743|offset_136|444444&amp;v=2395619:2395943&amp;c=444444", "offset 40")</f>
        <v>offset 40</v>
      </c>
    </row>
    <row r="7513" customFormat="false" ht="12.8" hidden="false" customHeight="false" outlineLevel="0" collapsed="false">
      <c r="A7513" s="0" t="s">
        <v>12</v>
      </c>
      <c r="B7513" s="0" t="n">
        <v>2395786</v>
      </c>
      <c r="C7513" s="0" t="n">
        <v>2395806</v>
      </c>
      <c r="D7513" s="0" t="s">
        <v>25003</v>
      </c>
      <c r="E7513" s="0" t="s">
        <v>25004</v>
      </c>
      <c r="F7513" s="0" t="s">
        <v>90</v>
      </c>
      <c r="G7513" s="0" t="s">
        <v>32</v>
      </c>
      <c r="H7513" s="0" t="n">
        <v>73</v>
      </c>
      <c r="I7513" s="0" t="s">
        <v>25008</v>
      </c>
      <c r="J7513" s="0" t="s">
        <v>25009</v>
      </c>
      <c r="K7513" s="0" t="s">
        <v>25010</v>
      </c>
      <c r="L7513" s="0" t="str">
        <f aca="false">HYPERLINK("https://www.ncbi.nlm.nih.gov/nuccore/CP000058.1?report=graph&amp;tracks=[key:gene_model_track,Options:GeneOnly]&amp;mk=2395820:2395839|offset_40|444444,2395787:2395806|offset_73|00cc00,2395757:2395776|offset_103|444444,2395724:2395743|offset_136|444444&amp;v=2395619:2395943&amp;c=444444", "offset 73")</f>
        <v>offset 73</v>
      </c>
    </row>
    <row r="7514" customFormat="false" ht="12.8" hidden="false" customHeight="false" outlineLevel="0" collapsed="false">
      <c r="A7514" s="0" t="s">
        <v>12</v>
      </c>
      <c r="B7514" s="0" t="n">
        <v>2395756</v>
      </c>
      <c r="C7514" s="0" t="n">
        <v>2395776</v>
      </c>
      <c r="D7514" s="0" t="s">
        <v>25003</v>
      </c>
      <c r="E7514" s="0" t="s">
        <v>25004</v>
      </c>
      <c r="F7514" s="0" t="s">
        <v>90</v>
      </c>
      <c r="G7514" s="0" t="s">
        <v>16</v>
      </c>
      <c r="H7514" s="0" t="n">
        <v>103</v>
      </c>
      <c r="I7514" s="0" t="s">
        <v>25011</v>
      </c>
      <c r="J7514" s="0" t="s">
        <v>25012</v>
      </c>
      <c r="K7514" s="0" t="s">
        <v>25013</v>
      </c>
      <c r="L7514" s="0" t="str">
        <f aca="false">HYPERLINK("https://www.ncbi.nlm.nih.gov/nuccore/CP000058.1?report=graph&amp;tracks=[key:gene_model_track,Options:GeneOnly]&amp;mk=2395820:2395839|offset_40|444444,2395787:2395806|offset_73|444444,2395757:2395776|offset_103|00cc00,2395724:2395743|offset_136|444444&amp;v=2395619:2395943&amp;c=444444", "offset 103")</f>
        <v>offset 103</v>
      </c>
    </row>
    <row r="7515" customFormat="false" ht="12.8" hidden="false" customHeight="false" outlineLevel="0" collapsed="false">
      <c r="A7515" s="0" t="s">
        <v>12</v>
      </c>
      <c r="B7515" s="0" t="n">
        <v>2395723</v>
      </c>
      <c r="C7515" s="0" t="n">
        <v>2395743</v>
      </c>
      <c r="D7515" s="0" t="s">
        <v>25003</v>
      </c>
      <c r="E7515" s="0" t="s">
        <v>25004</v>
      </c>
      <c r="F7515" s="0" t="s">
        <v>90</v>
      </c>
      <c r="G7515" s="0" t="s">
        <v>16</v>
      </c>
      <c r="H7515" s="0" t="n">
        <v>136</v>
      </c>
      <c r="I7515" s="0" t="s">
        <v>25014</v>
      </c>
      <c r="J7515" s="0" t="s">
        <v>25015</v>
      </c>
      <c r="K7515" s="0" t="s">
        <v>25016</v>
      </c>
      <c r="L7515" s="0" t="str">
        <f aca="false">HYPERLINK("https://www.ncbi.nlm.nih.gov/nuccore/CP000058.1?report=graph&amp;tracks=[key:gene_model_track,Options:GeneOnly]&amp;mk=2395820:2395839|offset_40|444444,2395787:2395806|offset_73|444444,2395757:2395776|offset_103|444444,2395724:2395743|offset_136|00cc00&amp;v=2395619:2395943&amp;c=444444", "offset 136")</f>
        <v>offset 136</v>
      </c>
    </row>
    <row r="7516" customFormat="false" ht="12.8" hidden="false" customHeight="false" outlineLevel="0" collapsed="false">
      <c r="A7516" s="0" t="s">
        <v>12</v>
      </c>
      <c r="B7516" s="0" t="n">
        <v>2396372</v>
      </c>
      <c r="C7516" s="0" t="n">
        <v>2396392</v>
      </c>
      <c r="D7516" s="0" t="s">
        <v>25017</v>
      </c>
      <c r="E7516" s="0" t="s">
        <v>75</v>
      </c>
      <c r="F7516" s="0" t="s">
        <v>15</v>
      </c>
      <c r="G7516" s="0" t="s">
        <v>32</v>
      </c>
      <c r="H7516" s="0" t="n">
        <v>19</v>
      </c>
      <c r="I7516" s="0" t="s">
        <v>25018</v>
      </c>
      <c r="J7516" s="0" t="s">
        <v>25019</v>
      </c>
      <c r="K7516" s="0" t="s">
        <v>25020</v>
      </c>
      <c r="L7516" s="0" t="str">
        <f aca="false">HYPERLINK("https://www.ncbi.nlm.nih.gov/nuccore/CP000058.1?report=graph&amp;tracks=[key:gene_model_track,Options:GeneOnly]&amp;mk=2396373:2396392|offset_19|00cc00,2396395:2396414|offset_41|444444,2396425:2396444|offset_71|444444,2396476:2396495|offset_122|444444&amp;v=2396172:2396695&amp;c=444444", "offset 19")</f>
        <v>offset 19</v>
      </c>
    </row>
    <row r="7517" customFormat="false" ht="12.8" hidden="false" customHeight="false" outlineLevel="0" collapsed="false">
      <c r="A7517" s="0" t="s">
        <v>12</v>
      </c>
      <c r="B7517" s="0" t="n">
        <v>2396394</v>
      </c>
      <c r="C7517" s="0" t="n">
        <v>2396414</v>
      </c>
      <c r="D7517" s="0" t="s">
        <v>25017</v>
      </c>
      <c r="E7517" s="0" t="s">
        <v>75</v>
      </c>
      <c r="F7517" s="0" t="s">
        <v>15</v>
      </c>
      <c r="G7517" s="0" t="s">
        <v>32</v>
      </c>
      <c r="H7517" s="0" t="n">
        <v>41</v>
      </c>
      <c r="I7517" s="0" t="s">
        <v>25021</v>
      </c>
      <c r="J7517" s="0" t="s">
        <v>25022</v>
      </c>
      <c r="K7517" s="0" t="s">
        <v>25023</v>
      </c>
      <c r="L7517" s="0" t="str">
        <f aca="false">HYPERLINK("https://www.ncbi.nlm.nih.gov/nuccore/CP000058.1?report=graph&amp;tracks=[key:gene_model_track,Options:GeneOnly]&amp;mk=2396373:2396392|offset_19|444444,2396395:2396414|offset_41|00cc00,2396425:2396444|offset_71|444444,2396476:2396495|offset_122|444444&amp;v=2396172:2396695&amp;c=444444", "offset 41")</f>
        <v>offset 41</v>
      </c>
    </row>
    <row r="7518" customFormat="false" ht="12.8" hidden="false" customHeight="false" outlineLevel="0" collapsed="false">
      <c r="A7518" s="0" t="s">
        <v>12</v>
      </c>
      <c r="B7518" s="0" t="n">
        <v>2396424</v>
      </c>
      <c r="C7518" s="0" t="n">
        <v>2396444</v>
      </c>
      <c r="D7518" s="0" t="s">
        <v>25017</v>
      </c>
      <c r="E7518" s="0" t="s">
        <v>75</v>
      </c>
      <c r="F7518" s="0" t="s">
        <v>15</v>
      </c>
      <c r="G7518" s="0" t="s">
        <v>16</v>
      </c>
      <c r="H7518" s="0" t="n">
        <v>71</v>
      </c>
      <c r="I7518" s="0" t="s">
        <v>25024</v>
      </c>
      <c r="J7518" s="0" t="s">
        <v>25025</v>
      </c>
      <c r="K7518" s="0" t="s">
        <v>25026</v>
      </c>
      <c r="L7518" s="0" t="str">
        <f aca="false">HYPERLINK("https://www.ncbi.nlm.nih.gov/nuccore/CP000058.1?report=graph&amp;tracks=[key:gene_model_track,Options:GeneOnly]&amp;mk=2396373:2396392|offset_19|444444,2396395:2396414|offset_41|444444,2396425:2396444|offset_71|00cc00,2396476:2396495|offset_122|444444&amp;v=2396172:2396695&amp;c=444444", "offset 71")</f>
        <v>offset 71</v>
      </c>
    </row>
    <row r="7519" customFormat="false" ht="12.8" hidden="false" customHeight="false" outlineLevel="0" collapsed="false">
      <c r="A7519" s="0" t="s">
        <v>12</v>
      </c>
      <c r="B7519" s="0" t="n">
        <v>2396475</v>
      </c>
      <c r="C7519" s="0" t="n">
        <v>2396495</v>
      </c>
      <c r="D7519" s="0" t="s">
        <v>25017</v>
      </c>
      <c r="E7519" s="0" t="s">
        <v>75</v>
      </c>
      <c r="F7519" s="0" t="s">
        <v>15</v>
      </c>
      <c r="G7519" s="0" t="s">
        <v>16</v>
      </c>
      <c r="H7519" s="0" t="n">
        <v>122</v>
      </c>
      <c r="I7519" s="0" t="s">
        <v>25027</v>
      </c>
      <c r="J7519" s="0" t="s">
        <v>25028</v>
      </c>
      <c r="K7519" s="0" t="s">
        <v>25029</v>
      </c>
      <c r="L7519" s="0" t="str">
        <f aca="false">HYPERLINK("https://www.ncbi.nlm.nih.gov/nuccore/CP000058.1?report=graph&amp;tracks=[key:gene_model_track,Options:GeneOnly]&amp;mk=2396373:2396392|offset_19|444444,2396395:2396414|offset_41|444444,2396425:2396444|offset_71|444444,2396476:2396495|offset_122|00cc00&amp;v=2396172:2396695&amp;c=444444", "offset 122")</f>
        <v>offset 122</v>
      </c>
    </row>
    <row r="7520" customFormat="false" ht="12.8" hidden="false" customHeight="false" outlineLevel="0" collapsed="false">
      <c r="A7520" s="0" t="s">
        <v>12</v>
      </c>
      <c r="B7520" s="0" t="n">
        <v>2397768</v>
      </c>
      <c r="C7520" s="0" t="n">
        <v>2397788</v>
      </c>
      <c r="D7520" s="0" t="s">
        <v>25030</v>
      </c>
      <c r="E7520" s="0" t="s">
        <v>75</v>
      </c>
      <c r="F7520" s="0" t="s">
        <v>90</v>
      </c>
      <c r="G7520" s="0" t="s">
        <v>16</v>
      </c>
      <c r="H7520" s="0" t="n">
        <v>15</v>
      </c>
      <c r="I7520" s="0" t="s">
        <v>25031</v>
      </c>
      <c r="J7520" s="0" t="s">
        <v>25032</v>
      </c>
      <c r="K7520" s="0" t="s">
        <v>25033</v>
      </c>
      <c r="L7520" s="0" t="str">
        <f aca="false">HYPERLINK("https://www.ncbi.nlm.nih.gov/nuccore/CP000058.1?report=graph&amp;tracks=[key:gene_model_track,Options:GeneOnly]&amp;mk=2397769:2397788|offset_15|00cc00,2397747:2397766|offset_37|444444,2397726:2397745|offset_58|444444,2397701:2397720|offset_83|444444&amp;v=2397568:2397920&amp;c=444444", "offset 15")</f>
        <v>offset 15</v>
      </c>
    </row>
    <row r="7521" customFormat="false" ht="12.8" hidden="false" customHeight="false" outlineLevel="0" collapsed="false">
      <c r="A7521" s="0" t="s">
        <v>12</v>
      </c>
      <c r="B7521" s="0" t="n">
        <v>2397746</v>
      </c>
      <c r="C7521" s="0" t="n">
        <v>2397766</v>
      </c>
      <c r="D7521" s="0" t="s">
        <v>25030</v>
      </c>
      <c r="E7521" s="0" t="s">
        <v>75</v>
      </c>
      <c r="F7521" s="0" t="s">
        <v>90</v>
      </c>
      <c r="G7521" s="0" t="s">
        <v>20</v>
      </c>
      <c r="H7521" s="0" t="n">
        <v>37</v>
      </c>
      <c r="I7521" s="0" t="s">
        <v>25034</v>
      </c>
      <c r="J7521" s="0" t="s">
        <v>25035</v>
      </c>
      <c r="K7521" s="0" t="s">
        <v>25036</v>
      </c>
      <c r="L7521" s="0" t="str">
        <f aca="false">HYPERLINK("https://www.ncbi.nlm.nih.gov/nuccore/CP000058.1?report=graph&amp;tracks=[key:gene_model_track,Options:GeneOnly]&amp;mk=2397769:2397788|offset_15|444444,2397747:2397766|offset_37|00cc00,2397726:2397745|offset_58|444444,2397701:2397720|offset_83|444444&amp;v=2397568:2397920&amp;c=444444", "offset 37")</f>
        <v>offset 37</v>
      </c>
    </row>
    <row r="7522" customFormat="false" ht="12.8" hidden="false" customHeight="false" outlineLevel="0" collapsed="false">
      <c r="A7522" s="0" t="s">
        <v>12</v>
      </c>
      <c r="B7522" s="0" t="n">
        <v>2397725</v>
      </c>
      <c r="C7522" s="0" t="n">
        <v>2397745</v>
      </c>
      <c r="D7522" s="0" t="s">
        <v>25030</v>
      </c>
      <c r="E7522" s="0" t="s">
        <v>75</v>
      </c>
      <c r="F7522" s="0" t="s">
        <v>90</v>
      </c>
      <c r="G7522" s="0" t="s">
        <v>36</v>
      </c>
      <c r="H7522" s="0" t="n">
        <v>58</v>
      </c>
      <c r="I7522" s="0" t="s">
        <v>25037</v>
      </c>
      <c r="J7522" s="0" t="s">
        <v>25038</v>
      </c>
      <c r="K7522" s="0" t="s">
        <v>25039</v>
      </c>
      <c r="L7522" s="0" t="str">
        <f aca="false">HYPERLINK("https://www.ncbi.nlm.nih.gov/nuccore/CP000058.1?report=graph&amp;tracks=[key:gene_model_track,Options:GeneOnly]&amp;mk=2397769:2397788|offset_15|444444,2397747:2397766|offset_37|444444,2397726:2397745|offset_58|00cc00,2397701:2397720|offset_83|444444&amp;v=2397568:2397920&amp;c=444444", "offset 58")</f>
        <v>offset 58</v>
      </c>
    </row>
    <row r="7523" customFormat="false" ht="12.8" hidden="false" customHeight="false" outlineLevel="0" collapsed="false">
      <c r="A7523" s="0" t="s">
        <v>12</v>
      </c>
      <c r="B7523" s="0" t="n">
        <v>2397700</v>
      </c>
      <c r="C7523" s="0" t="n">
        <v>2397720</v>
      </c>
      <c r="D7523" s="0" t="s">
        <v>25030</v>
      </c>
      <c r="E7523" s="0" t="s">
        <v>75</v>
      </c>
      <c r="F7523" s="0" t="s">
        <v>90</v>
      </c>
      <c r="G7523" s="0" t="s">
        <v>36</v>
      </c>
      <c r="H7523" s="0" t="n">
        <v>83</v>
      </c>
      <c r="I7523" s="0" t="s">
        <v>25040</v>
      </c>
      <c r="J7523" s="0" t="s">
        <v>25041</v>
      </c>
      <c r="K7523" s="0" t="s">
        <v>25042</v>
      </c>
      <c r="L7523" s="0" t="str">
        <f aca="false">HYPERLINK("https://www.ncbi.nlm.nih.gov/nuccore/CP000058.1?report=graph&amp;tracks=[key:gene_model_track,Options:GeneOnly]&amp;mk=2397769:2397788|offset_15|444444,2397747:2397766|offset_37|444444,2397726:2397745|offset_58|444444,2397701:2397720|offset_83|00cc00&amp;v=2397568:2397920&amp;c=444444", "offset 83")</f>
        <v>offset 83</v>
      </c>
    </row>
    <row r="7524" customFormat="false" ht="12.8" hidden="false" customHeight="false" outlineLevel="0" collapsed="false">
      <c r="A7524" s="0" t="s">
        <v>12</v>
      </c>
      <c r="B7524" s="0" t="n">
        <v>2398062</v>
      </c>
      <c r="C7524" s="0" t="n">
        <v>2398082</v>
      </c>
      <c r="D7524" s="0" t="s">
        <v>25043</v>
      </c>
      <c r="E7524" s="0" t="s">
        <v>25044</v>
      </c>
      <c r="F7524" s="0" t="s">
        <v>15</v>
      </c>
      <c r="G7524" s="0" t="s">
        <v>36</v>
      </c>
      <c r="H7524" s="0" t="n">
        <v>16</v>
      </c>
      <c r="I7524" s="0" t="s">
        <v>25045</v>
      </c>
      <c r="J7524" s="0" t="s">
        <v>25046</v>
      </c>
      <c r="K7524" s="0" t="s">
        <v>25047</v>
      </c>
      <c r="L7524" s="0" t="str">
        <f aca="false">HYPERLINK("https://www.ncbi.nlm.nih.gov/nuccore/CP000058.1?report=graph&amp;tracks=[key:gene_model_track,Options:GeneOnly]&amp;mk=2398063:2398082|offset_16|00cc00,2398093:2398112|offset_46|444444,2398135:2398154|offset_88|444444,2398236:2398255|offset_189|444444&amp;v=2397862:2398455&amp;c=444444", "offset 16")</f>
        <v>offset 16</v>
      </c>
    </row>
    <row r="7525" customFormat="false" ht="12.8" hidden="false" customHeight="false" outlineLevel="0" collapsed="false">
      <c r="A7525" s="0" t="s">
        <v>12</v>
      </c>
      <c r="B7525" s="0" t="n">
        <v>2398092</v>
      </c>
      <c r="C7525" s="0" t="n">
        <v>2398112</v>
      </c>
      <c r="D7525" s="0" t="s">
        <v>25043</v>
      </c>
      <c r="E7525" s="0" t="s">
        <v>25044</v>
      </c>
      <c r="F7525" s="0" t="s">
        <v>15</v>
      </c>
      <c r="G7525" s="0" t="s">
        <v>16</v>
      </c>
      <c r="H7525" s="0" t="n">
        <v>46</v>
      </c>
      <c r="I7525" s="0" t="s">
        <v>25048</v>
      </c>
      <c r="J7525" s="0" t="s">
        <v>25049</v>
      </c>
      <c r="K7525" s="0" t="s">
        <v>25050</v>
      </c>
      <c r="L7525" s="0" t="str">
        <f aca="false">HYPERLINK("https://www.ncbi.nlm.nih.gov/nuccore/CP000058.1?report=graph&amp;tracks=[key:gene_model_track,Options:GeneOnly]&amp;mk=2398063:2398082|offset_16|444444,2398093:2398112|offset_46|00cc00,2398135:2398154|offset_88|444444,2398236:2398255|offset_189|444444&amp;v=2397862:2398455&amp;c=444444", "offset 46")</f>
        <v>offset 46</v>
      </c>
    </row>
    <row r="7526" customFormat="false" ht="12.8" hidden="false" customHeight="false" outlineLevel="0" collapsed="false">
      <c r="A7526" s="0" t="s">
        <v>12</v>
      </c>
      <c r="B7526" s="0" t="n">
        <v>2398134</v>
      </c>
      <c r="C7526" s="0" t="n">
        <v>2398154</v>
      </c>
      <c r="D7526" s="0" t="s">
        <v>25043</v>
      </c>
      <c r="E7526" s="0" t="s">
        <v>25044</v>
      </c>
      <c r="F7526" s="0" t="s">
        <v>15</v>
      </c>
      <c r="G7526" s="0" t="s">
        <v>16</v>
      </c>
      <c r="H7526" s="0" t="n">
        <v>88</v>
      </c>
      <c r="I7526" s="0" t="s">
        <v>25051</v>
      </c>
      <c r="J7526" s="0" t="s">
        <v>25052</v>
      </c>
      <c r="K7526" s="0" t="s">
        <v>25053</v>
      </c>
      <c r="L7526" s="0" t="str">
        <f aca="false">HYPERLINK("https://www.ncbi.nlm.nih.gov/nuccore/CP000058.1?report=graph&amp;tracks=[key:gene_model_track,Options:GeneOnly]&amp;mk=2398063:2398082|offset_16|444444,2398093:2398112|offset_46|444444,2398135:2398154|offset_88|00cc00,2398236:2398255|offset_189|444444&amp;v=2397862:2398455&amp;c=444444", "offset 88")</f>
        <v>offset 88</v>
      </c>
    </row>
    <row r="7527" customFormat="false" ht="12.8" hidden="false" customHeight="false" outlineLevel="0" collapsed="false">
      <c r="A7527" s="0" t="s">
        <v>12</v>
      </c>
      <c r="B7527" s="0" t="n">
        <v>2398235</v>
      </c>
      <c r="C7527" s="0" t="n">
        <v>2398255</v>
      </c>
      <c r="D7527" s="0" t="s">
        <v>25043</v>
      </c>
      <c r="E7527" s="0" t="s">
        <v>25044</v>
      </c>
      <c r="F7527" s="0" t="s">
        <v>15</v>
      </c>
      <c r="G7527" s="0" t="s">
        <v>36</v>
      </c>
      <c r="H7527" s="0" t="n">
        <v>189</v>
      </c>
      <c r="I7527" s="0" t="s">
        <v>25054</v>
      </c>
      <c r="J7527" s="0" t="s">
        <v>25055</v>
      </c>
      <c r="K7527" s="0" t="s">
        <v>25056</v>
      </c>
      <c r="L7527" s="0" t="str">
        <f aca="false">HYPERLINK("https://www.ncbi.nlm.nih.gov/nuccore/CP000058.1?report=graph&amp;tracks=[key:gene_model_track,Options:GeneOnly]&amp;mk=2398063:2398082|offset_16|444444,2398093:2398112|offset_46|444444,2398135:2398154|offset_88|444444,2398236:2398255|offset_189|00cc00&amp;v=2397862:2398455&amp;c=444444", "offset 189")</f>
        <v>offset 189</v>
      </c>
    </row>
    <row r="7528" customFormat="false" ht="12.8" hidden="false" customHeight="false" outlineLevel="0" collapsed="false">
      <c r="A7528" s="0" t="s">
        <v>12</v>
      </c>
      <c r="B7528" s="0" t="n">
        <v>2399041</v>
      </c>
      <c r="C7528" s="0" t="n">
        <v>2399061</v>
      </c>
      <c r="D7528" s="0" t="s">
        <v>25057</v>
      </c>
      <c r="E7528" s="0" t="s">
        <v>75</v>
      </c>
      <c r="F7528" s="0" t="s">
        <v>15</v>
      </c>
      <c r="G7528" s="0" t="s">
        <v>32</v>
      </c>
      <c r="H7528" s="0" t="n">
        <v>20</v>
      </c>
      <c r="I7528" s="0" t="s">
        <v>25058</v>
      </c>
      <c r="J7528" s="0" t="s">
        <v>25059</v>
      </c>
      <c r="K7528" s="0" t="s">
        <v>25060</v>
      </c>
      <c r="L7528" s="0" t="str">
        <f aca="false">HYPERLINK("https://www.ncbi.nlm.nih.gov/nuccore/CP000058.1?report=graph&amp;tracks=[key:gene_model_track,Options:GeneOnly]&amp;mk=2399042:2399061|offset_20|00cc00,2399096:2399115|offset_74|444444,2399128:2399147|offset_106|444444,2399186:2399205|offset_164|444444&amp;v=2398841:2399405&amp;c=444444", "offset 20")</f>
        <v>offset 20</v>
      </c>
    </row>
    <row r="7529" customFormat="false" ht="12.8" hidden="false" customHeight="false" outlineLevel="0" collapsed="false">
      <c r="A7529" s="0" t="s">
        <v>12</v>
      </c>
      <c r="B7529" s="0" t="n">
        <v>2399095</v>
      </c>
      <c r="C7529" s="0" t="n">
        <v>2399115</v>
      </c>
      <c r="D7529" s="0" t="s">
        <v>25057</v>
      </c>
      <c r="E7529" s="0" t="s">
        <v>75</v>
      </c>
      <c r="F7529" s="0" t="s">
        <v>15</v>
      </c>
      <c r="G7529" s="0" t="s">
        <v>32</v>
      </c>
      <c r="H7529" s="0" t="n">
        <v>74</v>
      </c>
      <c r="I7529" s="0" t="s">
        <v>25061</v>
      </c>
      <c r="J7529" s="0" t="s">
        <v>25062</v>
      </c>
      <c r="K7529" s="0" t="s">
        <v>25063</v>
      </c>
      <c r="L7529" s="0" t="str">
        <f aca="false">HYPERLINK("https://www.ncbi.nlm.nih.gov/nuccore/CP000058.1?report=graph&amp;tracks=[key:gene_model_track,Options:GeneOnly]&amp;mk=2399042:2399061|offset_20|444444,2399096:2399115|offset_74|00cc00,2399128:2399147|offset_106|444444,2399186:2399205|offset_164|444444&amp;v=2398841:2399405&amp;c=444444", "offset 74")</f>
        <v>offset 74</v>
      </c>
    </row>
    <row r="7530" customFormat="false" ht="12.8" hidden="false" customHeight="false" outlineLevel="0" collapsed="false">
      <c r="A7530" s="0" t="s">
        <v>12</v>
      </c>
      <c r="B7530" s="0" t="n">
        <v>2399127</v>
      </c>
      <c r="C7530" s="0" t="n">
        <v>2399147</v>
      </c>
      <c r="D7530" s="0" t="s">
        <v>25057</v>
      </c>
      <c r="E7530" s="0" t="s">
        <v>75</v>
      </c>
      <c r="F7530" s="0" t="s">
        <v>15</v>
      </c>
      <c r="G7530" s="0" t="s">
        <v>20</v>
      </c>
      <c r="H7530" s="0" t="n">
        <v>106</v>
      </c>
      <c r="I7530" s="0" t="s">
        <v>25064</v>
      </c>
      <c r="J7530" s="0" t="s">
        <v>25065</v>
      </c>
      <c r="K7530" s="0" t="s">
        <v>25066</v>
      </c>
      <c r="L7530" s="0" t="str">
        <f aca="false">HYPERLINK("https://www.ncbi.nlm.nih.gov/nuccore/CP000058.1?report=graph&amp;tracks=[key:gene_model_track,Options:GeneOnly]&amp;mk=2399042:2399061|offset_20|444444,2399096:2399115|offset_74|444444,2399128:2399147|offset_106|00cc00,2399186:2399205|offset_164|444444&amp;v=2398841:2399405&amp;c=444444", "offset 106")</f>
        <v>offset 106</v>
      </c>
    </row>
    <row r="7531" customFormat="false" ht="12.8" hidden="false" customHeight="false" outlineLevel="0" collapsed="false">
      <c r="A7531" s="0" t="s">
        <v>12</v>
      </c>
      <c r="B7531" s="0" t="n">
        <v>2399185</v>
      </c>
      <c r="C7531" s="0" t="n">
        <v>2399205</v>
      </c>
      <c r="D7531" s="0" t="s">
        <v>25057</v>
      </c>
      <c r="E7531" s="0" t="s">
        <v>75</v>
      </c>
      <c r="F7531" s="0" t="s">
        <v>15</v>
      </c>
      <c r="G7531" s="0" t="s">
        <v>36</v>
      </c>
      <c r="H7531" s="0" t="n">
        <v>164</v>
      </c>
      <c r="I7531" s="0" t="s">
        <v>25067</v>
      </c>
      <c r="J7531" s="0" t="s">
        <v>25068</v>
      </c>
      <c r="K7531" s="0" t="s">
        <v>25069</v>
      </c>
      <c r="L7531" s="0" t="str">
        <f aca="false">HYPERLINK("https://www.ncbi.nlm.nih.gov/nuccore/CP000058.1?report=graph&amp;tracks=[key:gene_model_track,Options:GeneOnly]&amp;mk=2399042:2399061|offset_20|444444,2399096:2399115|offset_74|444444,2399128:2399147|offset_106|444444,2399186:2399205|offset_164|00cc00&amp;v=2398841:2399405&amp;c=444444", "offset 164")</f>
        <v>offset 164</v>
      </c>
    </row>
    <row r="7532" customFormat="false" ht="12.8" hidden="false" customHeight="false" outlineLevel="0" collapsed="false">
      <c r="A7532" s="0" t="s">
        <v>12</v>
      </c>
      <c r="B7532" s="0" t="n">
        <v>2400043</v>
      </c>
      <c r="C7532" s="0" t="n">
        <v>2400063</v>
      </c>
      <c r="D7532" s="0" t="s">
        <v>25070</v>
      </c>
      <c r="E7532" s="0" t="s">
        <v>75</v>
      </c>
      <c r="F7532" s="0" t="s">
        <v>15</v>
      </c>
      <c r="G7532" s="0" t="s">
        <v>32</v>
      </c>
      <c r="H7532" s="0" t="n">
        <v>25</v>
      </c>
      <c r="I7532" s="0" t="s">
        <v>25071</v>
      </c>
      <c r="J7532" s="0" t="s">
        <v>25072</v>
      </c>
      <c r="K7532" s="0" t="s">
        <v>25073</v>
      </c>
      <c r="L7532" s="0" t="str">
        <f aca="false">HYPERLINK("https://www.ncbi.nlm.nih.gov/nuccore/CP000058.1?report=graph&amp;tracks=[key:gene_model_track,Options:GeneOnly]&amp;mk=2400044:2400063|offset_25|00cc00,2400067:2400086|offset_48|444444,2400129:2400148|offset_110|444444,2400158:2400177|offset_139|444444&amp;v=2399843:2400377&amp;c=444444", "offset 25")</f>
        <v>offset 25</v>
      </c>
    </row>
    <row r="7533" customFormat="false" ht="12.8" hidden="false" customHeight="false" outlineLevel="0" collapsed="false">
      <c r="A7533" s="0" t="s">
        <v>12</v>
      </c>
      <c r="B7533" s="0" t="n">
        <v>2400066</v>
      </c>
      <c r="C7533" s="0" t="n">
        <v>2400086</v>
      </c>
      <c r="D7533" s="0" t="s">
        <v>25070</v>
      </c>
      <c r="E7533" s="0" t="s">
        <v>75</v>
      </c>
      <c r="F7533" s="0" t="s">
        <v>15</v>
      </c>
      <c r="G7533" s="0" t="s">
        <v>20</v>
      </c>
      <c r="H7533" s="0" t="n">
        <v>48</v>
      </c>
      <c r="I7533" s="0" t="s">
        <v>25074</v>
      </c>
      <c r="J7533" s="0" t="s">
        <v>25075</v>
      </c>
      <c r="K7533" s="0" t="s">
        <v>25076</v>
      </c>
      <c r="L7533" s="0" t="str">
        <f aca="false">HYPERLINK("https://www.ncbi.nlm.nih.gov/nuccore/CP000058.1?report=graph&amp;tracks=[key:gene_model_track,Options:GeneOnly]&amp;mk=2400044:2400063|offset_25|444444,2400067:2400086|offset_48|00cc00,2400129:2400148|offset_110|444444,2400158:2400177|offset_139|444444&amp;v=2399843:2400377&amp;c=444444", "offset 48")</f>
        <v>offset 48</v>
      </c>
    </row>
    <row r="7534" customFormat="false" ht="12.8" hidden="false" customHeight="false" outlineLevel="0" collapsed="false">
      <c r="A7534" s="0" t="s">
        <v>12</v>
      </c>
      <c r="B7534" s="0" t="n">
        <v>2400128</v>
      </c>
      <c r="C7534" s="0" t="n">
        <v>2400148</v>
      </c>
      <c r="D7534" s="0" t="s">
        <v>25070</v>
      </c>
      <c r="E7534" s="0" t="s">
        <v>75</v>
      </c>
      <c r="F7534" s="0" t="s">
        <v>15</v>
      </c>
      <c r="G7534" s="0" t="s">
        <v>32</v>
      </c>
      <c r="H7534" s="0" t="n">
        <v>110</v>
      </c>
      <c r="I7534" s="0" t="s">
        <v>25077</v>
      </c>
      <c r="J7534" s="0" t="s">
        <v>25078</v>
      </c>
      <c r="K7534" s="0" t="s">
        <v>25079</v>
      </c>
      <c r="L7534" s="0" t="str">
        <f aca="false">HYPERLINK("https://www.ncbi.nlm.nih.gov/nuccore/CP000058.1?report=graph&amp;tracks=[key:gene_model_track,Options:GeneOnly]&amp;mk=2400044:2400063|offset_25|444444,2400067:2400086|offset_48|444444,2400129:2400148|offset_110|00cc00,2400158:2400177|offset_139|444444&amp;v=2399843:2400377&amp;c=444444", "offset 110")</f>
        <v>offset 110</v>
      </c>
    </row>
    <row r="7535" customFormat="false" ht="12.8" hidden="false" customHeight="false" outlineLevel="0" collapsed="false">
      <c r="A7535" s="0" t="s">
        <v>12</v>
      </c>
      <c r="B7535" s="0" t="n">
        <v>2400157</v>
      </c>
      <c r="C7535" s="0" t="n">
        <v>2400177</v>
      </c>
      <c r="D7535" s="0" t="s">
        <v>25070</v>
      </c>
      <c r="E7535" s="0" t="s">
        <v>75</v>
      </c>
      <c r="F7535" s="0" t="s">
        <v>15</v>
      </c>
      <c r="G7535" s="0" t="s">
        <v>16</v>
      </c>
      <c r="H7535" s="0" t="n">
        <v>139</v>
      </c>
      <c r="I7535" s="0" t="s">
        <v>25080</v>
      </c>
      <c r="J7535" s="0" t="s">
        <v>25081</v>
      </c>
      <c r="K7535" s="0" t="s">
        <v>25082</v>
      </c>
      <c r="L7535" s="0" t="str">
        <f aca="false">HYPERLINK("https://www.ncbi.nlm.nih.gov/nuccore/CP000058.1?report=graph&amp;tracks=[key:gene_model_track,Options:GeneOnly]&amp;mk=2400044:2400063|offset_25|444444,2400067:2400086|offset_48|444444,2400129:2400148|offset_110|444444,2400158:2400177|offset_139|00cc00&amp;v=2399843:2400377&amp;c=444444", "offset 139")</f>
        <v>offset 139</v>
      </c>
    </row>
    <row r="7536" customFormat="false" ht="12.8" hidden="false" customHeight="false" outlineLevel="0" collapsed="false">
      <c r="A7536" s="0" t="s">
        <v>12</v>
      </c>
      <c r="B7536" s="0" t="n">
        <v>2400677</v>
      </c>
      <c r="C7536" s="0" t="n">
        <v>2400697</v>
      </c>
      <c r="D7536" s="0" t="s">
        <v>25083</v>
      </c>
      <c r="E7536" s="0" t="s">
        <v>25084</v>
      </c>
      <c r="F7536" s="0" t="s">
        <v>15</v>
      </c>
      <c r="G7536" s="0" t="s">
        <v>32</v>
      </c>
      <c r="H7536" s="0" t="n">
        <v>11</v>
      </c>
      <c r="I7536" s="0" t="s">
        <v>25085</v>
      </c>
      <c r="J7536" s="0" t="s">
        <v>25086</v>
      </c>
      <c r="K7536" s="0" t="s">
        <v>25087</v>
      </c>
      <c r="L7536" s="0" t="str">
        <f aca="false">HYPERLINK("https://www.ncbi.nlm.nih.gov/nuccore/CP000058.1?report=graph&amp;tracks=[key:gene_model_track,Options:GeneOnly]&amp;mk=2400678:2400697|offset_11|00cc00,2400711:2400730|offset_44|444444,2400737:2400756|offset_70|444444,2400760:2400779|offset_93|444444&amp;v=2400477:2400979&amp;c=444444", "offset 11")</f>
        <v>offset 11</v>
      </c>
    </row>
    <row r="7537" customFormat="false" ht="12.8" hidden="false" customHeight="false" outlineLevel="0" collapsed="false">
      <c r="A7537" s="0" t="s">
        <v>12</v>
      </c>
      <c r="B7537" s="0" t="n">
        <v>2400710</v>
      </c>
      <c r="C7537" s="0" t="n">
        <v>2400730</v>
      </c>
      <c r="D7537" s="0" t="s">
        <v>25083</v>
      </c>
      <c r="E7537" s="0" t="s">
        <v>25084</v>
      </c>
      <c r="F7537" s="0" t="s">
        <v>15</v>
      </c>
      <c r="G7537" s="0" t="s">
        <v>32</v>
      </c>
      <c r="H7537" s="0" t="n">
        <v>44</v>
      </c>
      <c r="I7537" s="0" t="s">
        <v>25088</v>
      </c>
      <c r="J7537" s="0" t="s">
        <v>25089</v>
      </c>
      <c r="K7537" s="0" t="s">
        <v>25090</v>
      </c>
      <c r="L7537" s="0" t="str">
        <f aca="false">HYPERLINK("https://www.ncbi.nlm.nih.gov/nuccore/CP000058.1?report=graph&amp;tracks=[key:gene_model_track,Options:GeneOnly]&amp;mk=2400678:2400697|offset_11|444444,2400711:2400730|offset_44|00cc00,2400737:2400756|offset_70|444444,2400760:2400779|offset_93|444444&amp;v=2400477:2400979&amp;c=444444", "offset 44")</f>
        <v>offset 44</v>
      </c>
    </row>
    <row r="7538" customFormat="false" ht="12.8" hidden="false" customHeight="false" outlineLevel="0" collapsed="false">
      <c r="A7538" s="0" t="s">
        <v>12</v>
      </c>
      <c r="B7538" s="0" t="n">
        <v>2400736</v>
      </c>
      <c r="C7538" s="0" t="n">
        <v>2400756</v>
      </c>
      <c r="D7538" s="0" t="s">
        <v>25083</v>
      </c>
      <c r="E7538" s="0" t="s">
        <v>25084</v>
      </c>
      <c r="F7538" s="0" t="s">
        <v>15</v>
      </c>
      <c r="G7538" s="0" t="s">
        <v>36</v>
      </c>
      <c r="H7538" s="0" t="n">
        <v>70</v>
      </c>
      <c r="I7538" s="0" t="s">
        <v>25091</v>
      </c>
      <c r="J7538" s="0" t="s">
        <v>25092</v>
      </c>
      <c r="K7538" s="0" t="s">
        <v>25093</v>
      </c>
      <c r="L7538" s="0" t="str">
        <f aca="false">HYPERLINK("https://www.ncbi.nlm.nih.gov/nuccore/CP000058.1?report=graph&amp;tracks=[key:gene_model_track,Options:GeneOnly]&amp;mk=2400678:2400697|offset_11|444444,2400711:2400730|offset_44|444444,2400737:2400756|offset_70|00cc00,2400760:2400779|offset_93|444444&amp;v=2400477:2400979&amp;c=444444", "offset 70")</f>
        <v>offset 70</v>
      </c>
    </row>
    <row r="7539" customFormat="false" ht="12.8" hidden="false" customHeight="false" outlineLevel="0" collapsed="false">
      <c r="A7539" s="0" t="s">
        <v>12</v>
      </c>
      <c r="B7539" s="0" t="n">
        <v>2400759</v>
      </c>
      <c r="C7539" s="0" t="n">
        <v>2400779</v>
      </c>
      <c r="D7539" s="0" t="s">
        <v>25083</v>
      </c>
      <c r="E7539" s="0" t="s">
        <v>25084</v>
      </c>
      <c r="F7539" s="0" t="s">
        <v>15</v>
      </c>
      <c r="G7539" s="0" t="s">
        <v>32</v>
      </c>
      <c r="H7539" s="0" t="n">
        <v>93</v>
      </c>
      <c r="I7539" s="0" t="s">
        <v>25094</v>
      </c>
      <c r="J7539" s="0" t="s">
        <v>25095</v>
      </c>
      <c r="K7539" s="0" t="s">
        <v>25096</v>
      </c>
      <c r="L7539" s="0" t="str">
        <f aca="false">HYPERLINK("https://www.ncbi.nlm.nih.gov/nuccore/CP000058.1?report=graph&amp;tracks=[key:gene_model_track,Options:GeneOnly]&amp;mk=2400678:2400697|offset_11|444444,2400711:2400730|offset_44|444444,2400737:2400756|offset_70|444444,2400760:2400779|offset_93|00cc00&amp;v=2400477:2400979&amp;c=444444", "offset 93")</f>
        <v>offset 93</v>
      </c>
    </row>
    <row r="7540" customFormat="false" ht="12.8" hidden="false" customHeight="false" outlineLevel="0" collapsed="false">
      <c r="A7540" s="0" t="s">
        <v>12</v>
      </c>
      <c r="B7540" s="0" t="n">
        <v>2402439</v>
      </c>
      <c r="C7540" s="0" t="n">
        <v>2402459</v>
      </c>
      <c r="D7540" s="0" t="s">
        <v>25097</v>
      </c>
      <c r="E7540" s="0" t="s">
        <v>75</v>
      </c>
      <c r="F7540" s="0" t="s">
        <v>90</v>
      </c>
      <c r="G7540" s="0" t="s">
        <v>32</v>
      </c>
      <c r="H7540" s="0" t="n">
        <v>8</v>
      </c>
      <c r="I7540" s="0" t="s">
        <v>25098</v>
      </c>
      <c r="J7540" s="0" t="s">
        <v>25099</v>
      </c>
      <c r="K7540" s="0" t="s">
        <v>25100</v>
      </c>
      <c r="L7540" s="0" t="str">
        <f aca="false">HYPERLINK("https://www.ncbi.nlm.nih.gov/nuccore/CP000058.1?report=graph&amp;tracks=[key:gene_model_track,Options:GeneOnly]&amp;mk=2402440:2402459|offset_8|00cc00,2402408:2402427|offset_40|444444,2402369:2402388|offset_79|444444,2402336:2402355|offset_112|444444&amp;v=2402239:2402555&amp;c=444444", "offset 8")</f>
        <v>offset 8</v>
      </c>
    </row>
    <row r="7541" customFormat="false" ht="12.8" hidden="false" customHeight="false" outlineLevel="0" collapsed="false">
      <c r="A7541" s="0" t="s">
        <v>12</v>
      </c>
      <c r="B7541" s="0" t="n">
        <v>2402407</v>
      </c>
      <c r="C7541" s="0" t="n">
        <v>2402427</v>
      </c>
      <c r="D7541" s="0" t="s">
        <v>25097</v>
      </c>
      <c r="E7541" s="0" t="s">
        <v>75</v>
      </c>
      <c r="F7541" s="0" t="s">
        <v>90</v>
      </c>
      <c r="G7541" s="0" t="s">
        <v>20</v>
      </c>
      <c r="H7541" s="0" t="n">
        <v>40</v>
      </c>
      <c r="I7541" s="0" t="s">
        <v>25101</v>
      </c>
      <c r="J7541" s="0" t="s">
        <v>25102</v>
      </c>
      <c r="K7541" s="0" t="s">
        <v>25103</v>
      </c>
      <c r="L7541" s="0" t="str">
        <f aca="false">HYPERLINK("https://www.ncbi.nlm.nih.gov/nuccore/CP000058.1?report=graph&amp;tracks=[key:gene_model_track,Options:GeneOnly]&amp;mk=2402440:2402459|offset_8|444444,2402408:2402427|offset_40|00cc00,2402369:2402388|offset_79|444444,2402336:2402355|offset_112|444444&amp;v=2402239:2402555&amp;c=444444", "offset 40")</f>
        <v>offset 40</v>
      </c>
    </row>
    <row r="7542" customFormat="false" ht="12.8" hidden="false" customHeight="false" outlineLevel="0" collapsed="false">
      <c r="A7542" s="0" t="s">
        <v>12</v>
      </c>
      <c r="B7542" s="0" t="n">
        <v>2402368</v>
      </c>
      <c r="C7542" s="0" t="n">
        <v>2402388</v>
      </c>
      <c r="D7542" s="0" t="s">
        <v>25097</v>
      </c>
      <c r="E7542" s="0" t="s">
        <v>75</v>
      </c>
      <c r="F7542" s="0" t="s">
        <v>90</v>
      </c>
      <c r="G7542" s="0" t="s">
        <v>20</v>
      </c>
      <c r="H7542" s="0" t="n">
        <v>79</v>
      </c>
      <c r="I7542" s="0" t="s">
        <v>25104</v>
      </c>
      <c r="J7542" s="0" t="s">
        <v>25105</v>
      </c>
      <c r="K7542" s="0" t="s">
        <v>25106</v>
      </c>
      <c r="L7542" s="0" t="str">
        <f aca="false">HYPERLINK("https://www.ncbi.nlm.nih.gov/nuccore/CP000058.1?report=graph&amp;tracks=[key:gene_model_track,Options:GeneOnly]&amp;mk=2402440:2402459|offset_8|444444,2402408:2402427|offset_40|444444,2402369:2402388|offset_79|00cc00,2402336:2402355|offset_112|444444&amp;v=2402239:2402555&amp;c=444444", "offset 79")</f>
        <v>offset 79</v>
      </c>
    </row>
    <row r="7543" customFormat="false" ht="12.8" hidden="false" customHeight="false" outlineLevel="0" collapsed="false">
      <c r="A7543" s="0" t="s">
        <v>12</v>
      </c>
      <c r="B7543" s="0" t="n">
        <v>2402335</v>
      </c>
      <c r="C7543" s="0" t="n">
        <v>2402355</v>
      </c>
      <c r="D7543" s="0" t="s">
        <v>25097</v>
      </c>
      <c r="E7543" s="0" t="s">
        <v>75</v>
      </c>
      <c r="F7543" s="0" t="s">
        <v>90</v>
      </c>
      <c r="G7543" s="0" t="s">
        <v>20</v>
      </c>
      <c r="H7543" s="0" t="n">
        <v>112</v>
      </c>
      <c r="I7543" s="0" t="s">
        <v>25107</v>
      </c>
      <c r="J7543" s="0" t="s">
        <v>25108</v>
      </c>
      <c r="K7543" s="0" t="s">
        <v>25109</v>
      </c>
      <c r="L7543" s="0" t="str">
        <f aca="false">HYPERLINK("https://www.ncbi.nlm.nih.gov/nuccore/CP000058.1?report=graph&amp;tracks=[key:gene_model_track,Options:GeneOnly]&amp;mk=2402440:2402459|offset_8|444444,2402408:2402427|offset_40|444444,2402369:2402388|offset_79|444444,2402336:2402355|offset_112|00cc00&amp;v=2402239:2402555&amp;c=444444", "offset 112")</f>
        <v>offset 112</v>
      </c>
    </row>
    <row r="7544" customFormat="false" ht="12.8" hidden="false" customHeight="false" outlineLevel="0" collapsed="false">
      <c r="A7544" s="0" t="s">
        <v>12</v>
      </c>
      <c r="B7544" s="0" t="n">
        <v>2402619</v>
      </c>
      <c r="C7544" s="0" t="n">
        <v>2402639</v>
      </c>
      <c r="D7544" s="0" t="s">
        <v>25110</v>
      </c>
      <c r="E7544" s="0" t="s">
        <v>25111</v>
      </c>
      <c r="F7544" s="0" t="s">
        <v>15</v>
      </c>
      <c r="G7544" s="0" t="s">
        <v>20</v>
      </c>
      <c r="H7544" s="0" t="n">
        <v>13</v>
      </c>
      <c r="I7544" s="0" t="s">
        <v>25112</v>
      </c>
      <c r="J7544" s="0" t="s">
        <v>25113</v>
      </c>
      <c r="K7544" s="0" t="s">
        <v>25114</v>
      </c>
      <c r="L7544" s="0" t="str">
        <f aca="false">HYPERLINK("https://www.ncbi.nlm.nih.gov/nuccore/CP000058.1?report=graph&amp;tracks=[key:gene_model_track,Options:GeneOnly]&amp;mk=2402620:2402639|offset_13|00cc00,2402648:2402667|offset_41|444444,2402671:2402690|offset_64|444444,2402704:2402723|offset_97|444444&amp;v=2402419:2402923&amp;c=444444", "offset 13")</f>
        <v>offset 13</v>
      </c>
    </row>
    <row r="7545" customFormat="false" ht="12.8" hidden="false" customHeight="false" outlineLevel="0" collapsed="false">
      <c r="A7545" s="0" t="s">
        <v>12</v>
      </c>
      <c r="B7545" s="0" t="n">
        <v>2402647</v>
      </c>
      <c r="C7545" s="0" t="n">
        <v>2402667</v>
      </c>
      <c r="D7545" s="0" t="s">
        <v>25110</v>
      </c>
      <c r="E7545" s="0" t="s">
        <v>25111</v>
      </c>
      <c r="F7545" s="0" t="s">
        <v>15</v>
      </c>
      <c r="G7545" s="0" t="s">
        <v>36</v>
      </c>
      <c r="H7545" s="0" t="n">
        <v>41</v>
      </c>
      <c r="I7545" s="0" t="s">
        <v>25115</v>
      </c>
      <c r="J7545" s="0" t="s">
        <v>25116</v>
      </c>
      <c r="K7545" s="0" t="s">
        <v>25117</v>
      </c>
      <c r="L7545" s="0" t="str">
        <f aca="false">HYPERLINK("https://www.ncbi.nlm.nih.gov/nuccore/CP000058.1?report=graph&amp;tracks=[key:gene_model_track,Options:GeneOnly]&amp;mk=2402620:2402639|offset_13|444444,2402648:2402667|offset_41|00cc00,2402671:2402690|offset_64|444444,2402704:2402723|offset_97|444444&amp;v=2402419:2402923&amp;c=444444", "offset 41")</f>
        <v>offset 41</v>
      </c>
    </row>
    <row r="7546" customFormat="false" ht="12.8" hidden="false" customHeight="false" outlineLevel="0" collapsed="false">
      <c r="A7546" s="0" t="s">
        <v>12</v>
      </c>
      <c r="B7546" s="0" t="n">
        <v>2402670</v>
      </c>
      <c r="C7546" s="0" t="n">
        <v>2402690</v>
      </c>
      <c r="D7546" s="0" t="s">
        <v>25110</v>
      </c>
      <c r="E7546" s="0" t="s">
        <v>25111</v>
      </c>
      <c r="F7546" s="0" t="s">
        <v>15</v>
      </c>
      <c r="G7546" s="0" t="s">
        <v>16</v>
      </c>
      <c r="H7546" s="0" t="n">
        <v>64</v>
      </c>
      <c r="I7546" s="0" t="s">
        <v>25118</v>
      </c>
      <c r="J7546" s="0" t="s">
        <v>25119</v>
      </c>
      <c r="K7546" s="0" t="s">
        <v>25120</v>
      </c>
      <c r="L7546" s="0" t="str">
        <f aca="false">HYPERLINK("https://www.ncbi.nlm.nih.gov/nuccore/CP000058.1?report=graph&amp;tracks=[key:gene_model_track,Options:GeneOnly]&amp;mk=2402620:2402639|offset_13|444444,2402648:2402667|offset_41|444444,2402671:2402690|offset_64|00cc00,2402704:2402723|offset_97|444444&amp;v=2402419:2402923&amp;c=444444", "offset 64")</f>
        <v>offset 64</v>
      </c>
    </row>
    <row r="7547" customFormat="false" ht="12.8" hidden="false" customHeight="false" outlineLevel="0" collapsed="false">
      <c r="A7547" s="0" t="s">
        <v>12</v>
      </c>
      <c r="B7547" s="0" t="n">
        <v>2402703</v>
      </c>
      <c r="C7547" s="0" t="n">
        <v>2402723</v>
      </c>
      <c r="D7547" s="0" t="s">
        <v>25110</v>
      </c>
      <c r="E7547" s="0" t="s">
        <v>25111</v>
      </c>
      <c r="F7547" s="0" t="s">
        <v>15</v>
      </c>
      <c r="G7547" s="0" t="s">
        <v>32</v>
      </c>
      <c r="H7547" s="0" t="n">
        <v>97</v>
      </c>
      <c r="I7547" s="0" t="s">
        <v>25121</v>
      </c>
      <c r="J7547" s="0" t="s">
        <v>25122</v>
      </c>
      <c r="K7547" s="0" t="s">
        <v>25123</v>
      </c>
      <c r="L7547" s="0" t="str">
        <f aca="false">HYPERLINK("https://www.ncbi.nlm.nih.gov/nuccore/CP000058.1?report=graph&amp;tracks=[key:gene_model_track,Options:GeneOnly]&amp;mk=2402620:2402639|offset_13|444444,2402648:2402667|offset_41|444444,2402671:2402690|offset_64|444444,2402704:2402723|offset_97|00cc00&amp;v=2402419:2402923&amp;c=444444", "offset 97")</f>
        <v>offset 97</v>
      </c>
    </row>
    <row r="7548" customFormat="false" ht="12.8" hidden="false" customHeight="false" outlineLevel="0" collapsed="false">
      <c r="A7548" s="0" t="s">
        <v>12</v>
      </c>
      <c r="B7548" s="0" t="n">
        <v>2404659</v>
      </c>
      <c r="C7548" s="0" t="n">
        <v>2404679</v>
      </c>
      <c r="D7548" s="0" t="s">
        <v>25124</v>
      </c>
      <c r="E7548" s="0" t="s">
        <v>25125</v>
      </c>
      <c r="F7548" s="0" t="s">
        <v>90</v>
      </c>
      <c r="G7548" s="0" t="s">
        <v>16</v>
      </c>
      <c r="H7548" s="0" t="n">
        <v>6</v>
      </c>
      <c r="I7548" s="0" t="s">
        <v>25126</v>
      </c>
      <c r="J7548" s="0" t="s">
        <v>25127</v>
      </c>
      <c r="K7548" s="0" t="s">
        <v>25128</v>
      </c>
      <c r="L7548" s="0" t="str">
        <f aca="false">HYPERLINK("https://www.ncbi.nlm.nih.gov/nuccore/CP000058.1?report=graph&amp;tracks=[key:gene_model_track,Options:GeneOnly]&amp;mk=2404660:2404679|offset_6|00cc00,2404640:2404659|offset_26|444444,2404598:2404617|offset_68|444444,2404558:2404577|offset_108|444444&amp;v=2404459:2404777&amp;c=444444", "offset 6")</f>
        <v>offset 6</v>
      </c>
    </row>
    <row r="7549" customFormat="false" ht="12.8" hidden="false" customHeight="false" outlineLevel="0" collapsed="false">
      <c r="A7549" s="0" t="s">
        <v>12</v>
      </c>
      <c r="B7549" s="0" t="n">
        <v>2404639</v>
      </c>
      <c r="C7549" s="0" t="n">
        <v>2404659</v>
      </c>
      <c r="D7549" s="0" t="s">
        <v>25124</v>
      </c>
      <c r="E7549" s="0" t="s">
        <v>25125</v>
      </c>
      <c r="F7549" s="0" t="s">
        <v>90</v>
      </c>
      <c r="G7549" s="0" t="s">
        <v>20</v>
      </c>
      <c r="H7549" s="0" t="n">
        <v>26</v>
      </c>
      <c r="I7549" s="0" t="s">
        <v>25129</v>
      </c>
      <c r="J7549" s="0" t="s">
        <v>25130</v>
      </c>
      <c r="K7549" s="0" t="s">
        <v>25131</v>
      </c>
      <c r="L7549" s="0" t="str">
        <f aca="false">HYPERLINK("https://www.ncbi.nlm.nih.gov/nuccore/CP000058.1?report=graph&amp;tracks=[key:gene_model_track,Options:GeneOnly]&amp;mk=2404660:2404679|offset_6|444444,2404640:2404659|offset_26|00cc00,2404598:2404617|offset_68|444444,2404558:2404577|offset_108|444444&amp;v=2404459:2404777&amp;c=444444", "offset 26")</f>
        <v>offset 26</v>
      </c>
    </row>
    <row r="7550" customFormat="false" ht="12.8" hidden="false" customHeight="false" outlineLevel="0" collapsed="false">
      <c r="A7550" s="0" t="s">
        <v>12</v>
      </c>
      <c r="B7550" s="0" t="n">
        <v>2404597</v>
      </c>
      <c r="C7550" s="0" t="n">
        <v>2404617</v>
      </c>
      <c r="D7550" s="0" t="s">
        <v>25124</v>
      </c>
      <c r="E7550" s="0" t="s">
        <v>25125</v>
      </c>
      <c r="F7550" s="0" t="s">
        <v>90</v>
      </c>
      <c r="G7550" s="0" t="s">
        <v>16</v>
      </c>
      <c r="H7550" s="0" t="n">
        <v>68</v>
      </c>
      <c r="I7550" s="0" t="s">
        <v>25132</v>
      </c>
      <c r="J7550" s="0" t="s">
        <v>25133</v>
      </c>
      <c r="K7550" s="0" t="s">
        <v>25134</v>
      </c>
      <c r="L7550" s="0" t="str">
        <f aca="false">HYPERLINK("https://www.ncbi.nlm.nih.gov/nuccore/CP000058.1?report=graph&amp;tracks=[key:gene_model_track,Options:GeneOnly]&amp;mk=2404660:2404679|offset_6|444444,2404640:2404659|offset_26|444444,2404598:2404617|offset_68|00cc00,2404558:2404577|offset_108|444444&amp;v=2404459:2404777&amp;c=444444", "offset 68")</f>
        <v>offset 68</v>
      </c>
    </row>
    <row r="7551" customFormat="false" ht="12.8" hidden="false" customHeight="false" outlineLevel="0" collapsed="false">
      <c r="A7551" s="0" t="s">
        <v>12</v>
      </c>
      <c r="B7551" s="0" t="n">
        <v>2404557</v>
      </c>
      <c r="C7551" s="0" t="n">
        <v>2404577</v>
      </c>
      <c r="D7551" s="0" t="s">
        <v>25124</v>
      </c>
      <c r="E7551" s="0" t="s">
        <v>25125</v>
      </c>
      <c r="F7551" s="0" t="s">
        <v>90</v>
      </c>
      <c r="G7551" s="0" t="s">
        <v>36</v>
      </c>
      <c r="H7551" s="0" t="n">
        <v>108</v>
      </c>
      <c r="I7551" s="0" t="s">
        <v>25135</v>
      </c>
      <c r="J7551" s="0" t="s">
        <v>25136</v>
      </c>
      <c r="K7551" s="0" t="s">
        <v>25137</v>
      </c>
      <c r="L7551" s="0" t="str">
        <f aca="false">HYPERLINK("https://www.ncbi.nlm.nih.gov/nuccore/CP000058.1?report=graph&amp;tracks=[key:gene_model_track,Options:GeneOnly]&amp;mk=2404660:2404679|offset_6|444444,2404640:2404659|offset_26|444444,2404598:2404617|offset_68|444444,2404558:2404577|offset_108|00cc00&amp;v=2404459:2404777&amp;c=444444", "offset 108")</f>
        <v>offset 108</v>
      </c>
    </row>
    <row r="7552" customFormat="false" ht="12.8" hidden="false" customHeight="false" outlineLevel="0" collapsed="false">
      <c r="A7552" s="0" t="s">
        <v>12</v>
      </c>
      <c r="B7552" s="0" t="n">
        <v>2405699</v>
      </c>
      <c r="C7552" s="0" t="n">
        <v>2405719</v>
      </c>
      <c r="D7552" s="0" t="s">
        <v>25138</v>
      </c>
      <c r="E7552" s="0" t="s">
        <v>75</v>
      </c>
      <c r="F7552" s="0" t="s">
        <v>90</v>
      </c>
      <c r="G7552" s="0" t="s">
        <v>20</v>
      </c>
      <c r="H7552" s="0" t="n">
        <v>22</v>
      </c>
      <c r="I7552" s="0" t="s">
        <v>25139</v>
      </c>
      <c r="J7552" s="0" t="s">
        <v>25140</v>
      </c>
      <c r="K7552" s="0" t="s">
        <v>25141</v>
      </c>
      <c r="L7552" s="0" t="str">
        <f aca="false">HYPERLINK("https://www.ncbi.nlm.nih.gov/nuccore/CP000058.1?report=graph&amp;tracks=[key:gene_model_track,Options:GeneOnly]&amp;mk=2405700:2405719|offset_22|00cc00,2405649:2405668|offset_73|444444,2405618:2405637|offset_104|444444,2405586:2405605|offset_136|444444&amp;v=2405499:2405805&amp;c=444444", "offset 22")</f>
        <v>offset 22</v>
      </c>
    </row>
    <row r="7553" customFormat="false" ht="12.8" hidden="false" customHeight="false" outlineLevel="0" collapsed="false">
      <c r="A7553" s="0" t="s">
        <v>12</v>
      </c>
      <c r="B7553" s="0" t="n">
        <v>2405648</v>
      </c>
      <c r="C7553" s="0" t="n">
        <v>2405668</v>
      </c>
      <c r="D7553" s="0" t="s">
        <v>25138</v>
      </c>
      <c r="E7553" s="0" t="s">
        <v>75</v>
      </c>
      <c r="F7553" s="0" t="s">
        <v>90</v>
      </c>
      <c r="G7553" s="0" t="s">
        <v>16</v>
      </c>
      <c r="H7553" s="0" t="n">
        <v>73</v>
      </c>
      <c r="I7553" s="0" t="s">
        <v>25142</v>
      </c>
      <c r="J7553" s="0" t="s">
        <v>25143</v>
      </c>
      <c r="K7553" s="0" t="s">
        <v>25144</v>
      </c>
      <c r="L7553" s="0" t="str">
        <f aca="false">HYPERLINK("https://www.ncbi.nlm.nih.gov/nuccore/CP000058.1?report=graph&amp;tracks=[key:gene_model_track,Options:GeneOnly]&amp;mk=2405700:2405719|offset_22|444444,2405649:2405668|offset_73|00cc00,2405618:2405637|offset_104|444444,2405586:2405605|offset_136|444444&amp;v=2405499:2405805&amp;c=444444", "offset 73")</f>
        <v>offset 73</v>
      </c>
    </row>
    <row r="7554" customFormat="false" ht="12.8" hidden="false" customHeight="false" outlineLevel="0" collapsed="false">
      <c r="A7554" s="0" t="s">
        <v>12</v>
      </c>
      <c r="B7554" s="0" t="n">
        <v>2405617</v>
      </c>
      <c r="C7554" s="0" t="n">
        <v>2405637</v>
      </c>
      <c r="D7554" s="0" t="s">
        <v>25138</v>
      </c>
      <c r="E7554" s="0" t="s">
        <v>75</v>
      </c>
      <c r="F7554" s="0" t="s">
        <v>90</v>
      </c>
      <c r="G7554" s="0" t="s">
        <v>20</v>
      </c>
      <c r="H7554" s="0" t="n">
        <v>104</v>
      </c>
      <c r="I7554" s="0" t="s">
        <v>25145</v>
      </c>
      <c r="J7554" s="0" t="s">
        <v>25146</v>
      </c>
      <c r="K7554" s="0" t="s">
        <v>25147</v>
      </c>
      <c r="L7554" s="0" t="str">
        <f aca="false">HYPERLINK("https://www.ncbi.nlm.nih.gov/nuccore/CP000058.1?report=graph&amp;tracks=[key:gene_model_track,Options:GeneOnly]&amp;mk=2405700:2405719|offset_22|444444,2405649:2405668|offset_73|444444,2405618:2405637|offset_104|00cc00,2405586:2405605|offset_136|444444&amp;v=2405499:2405805&amp;c=444444", "offset 104")</f>
        <v>offset 104</v>
      </c>
    </row>
    <row r="7555" customFormat="false" ht="12.8" hidden="false" customHeight="false" outlineLevel="0" collapsed="false">
      <c r="A7555" s="0" t="s">
        <v>12</v>
      </c>
      <c r="B7555" s="0" t="n">
        <v>2405585</v>
      </c>
      <c r="C7555" s="0" t="n">
        <v>2405605</v>
      </c>
      <c r="D7555" s="0" t="s">
        <v>25138</v>
      </c>
      <c r="E7555" s="0" t="s">
        <v>75</v>
      </c>
      <c r="F7555" s="0" t="s">
        <v>90</v>
      </c>
      <c r="G7555" s="0" t="s">
        <v>32</v>
      </c>
      <c r="H7555" s="0" t="n">
        <v>136</v>
      </c>
      <c r="I7555" s="0" t="s">
        <v>25148</v>
      </c>
      <c r="J7555" s="0" t="s">
        <v>25149</v>
      </c>
      <c r="K7555" s="0" t="s">
        <v>25150</v>
      </c>
      <c r="L7555" s="0" t="str">
        <f aca="false">HYPERLINK("https://www.ncbi.nlm.nih.gov/nuccore/CP000058.1?report=graph&amp;tracks=[key:gene_model_track,Options:GeneOnly]&amp;mk=2405700:2405719|offset_22|444444,2405649:2405668|offset_73|444444,2405618:2405637|offset_104|444444,2405586:2405605|offset_136|00cc00&amp;v=2405499:2405805&amp;c=444444", "offset 136")</f>
        <v>offset 136</v>
      </c>
    </row>
    <row r="7556" customFormat="false" ht="12.8" hidden="false" customHeight="false" outlineLevel="0" collapsed="false">
      <c r="A7556" s="0" t="s">
        <v>12</v>
      </c>
      <c r="B7556" s="0" t="n">
        <v>2407253</v>
      </c>
      <c r="C7556" s="0" t="n">
        <v>2407273</v>
      </c>
      <c r="D7556" s="0" t="s">
        <v>25151</v>
      </c>
      <c r="E7556" s="0" t="s">
        <v>75</v>
      </c>
      <c r="F7556" s="0" t="s">
        <v>90</v>
      </c>
      <c r="G7556" s="0" t="s">
        <v>36</v>
      </c>
      <c r="H7556" s="0" t="n">
        <v>0</v>
      </c>
      <c r="I7556" s="0" t="s">
        <v>25152</v>
      </c>
      <c r="J7556" s="0" t="s">
        <v>25153</v>
      </c>
      <c r="K7556" s="0" t="s">
        <v>25154</v>
      </c>
      <c r="L7556" s="0" t="str">
        <f aca="false">HYPERLINK("https://www.ncbi.nlm.nih.gov/nuccore/CP000058.1?report=graph&amp;tracks=[key:gene_model_track,Options:GeneOnly]&amp;mk=2407254:2407273|offset_0|00cc00,2407234:2407253|offset_20|444444,2407211:2407230|offset_43|444444,2407181:2407200|offset_73|444444&amp;v=2407053:2407400&amp;c=444444", "offset 0")</f>
        <v>offset 0</v>
      </c>
    </row>
    <row r="7557" customFormat="false" ht="12.8" hidden="false" customHeight="false" outlineLevel="0" collapsed="false">
      <c r="A7557" s="0" t="s">
        <v>12</v>
      </c>
      <c r="B7557" s="0" t="n">
        <v>2407233</v>
      </c>
      <c r="C7557" s="0" t="n">
        <v>2407253</v>
      </c>
      <c r="D7557" s="0" t="s">
        <v>25151</v>
      </c>
      <c r="E7557" s="0" t="s">
        <v>75</v>
      </c>
      <c r="F7557" s="0" t="s">
        <v>90</v>
      </c>
      <c r="G7557" s="0" t="s">
        <v>32</v>
      </c>
      <c r="H7557" s="0" t="n">
        <v>20</v>
      </c>
      <c r="I7557" s="0" t="s">
        <v>25155</v>
      </c>
      <c r="J7557" s="0" t="s">
        <v>25156</v>
      </c>
      <c r="K7557" s="0" t="s">
        <v>25157</v>
      </c>
      <c r="L7557" s="0" t="str">
        <f aca="false">HYPERLINK("https://www.ncbi.nlm.nih.gov/nuccore/CP000058.1?report=graph&amp;tracks=[key:gene_model_track,Options:GeneOnly]&amp;mk=2407254:2407273|offset_0|444444,2407234:2407253|offset_20|00cc00,2407211:2407230|offset_43|444444,2407181:2407200|offset_73|444444&amp;v=2407053:2407400&amp;c=444444", "offset 20")</f>
        <v>offset 20</v>
      </c>
    </row>
    <row r="7558" customFormat="false" ht="12.8" hidden="false" customHeight="false" outlineLevel="0" collapsed="false">
      <c r="A7558" s="0" t="s">
        <v>12</v>
      </c>
      <c r="B7558" s="0" t="n">
        <v>2407210</v>
      </c>
      <c r="C7558" s="0" t="n">
        <v>2407230</v>
      </c>
      <c r="D7558" s="0" t="s">
        <v>25151</v>
      </c>
      <c r="E7558" s="0" t="s">
        <v>75</v>
      </c>
      <c r="F7558" s="0" t="s">
        <v>90</v>
      </c>
      <c r="G7558" s="0" t="s">
        <v>36</v>
      </c>
      <c r="H7558" s="0" t="n">
        <v>43</v>
      </c>
      <c r="I7558" s="0" t="s">
        <v>25158</v>
      </c>
      <c r="J7558" s="0" t="s">
        <v>25159</v>
      </c>
      <c r="K7558" s="0" t="s">
        <v>25160</v>
      </c>
      <c r="L7558" s="0" t="str">
        <f aca="false">HYPERLINK("https://www.ncbi.nlm.nih.gov/nuccore/CP000058.1?report=graph&amp;tracks=[key:gene_model_track,Options:GeneOnly]&amp;mk=2407254:2407273|offset_0|444444,2407234:2407253|offset_20|444444,2407211:2407230|offset_43|00cc00,2407181:2407200|offset_73|444444&amp;v=2407053:2407400&amp;c=444444", "offset 43")</f>
        <v>offset 43</v>
      </c>
    </row>
    <row r="7559" customFormat="false" ht="12.8" hidden="false" customHeight="false" outlineLevel="0" collapsed="false">
      <c r="A7559" s="0" t="s">
        <v>12</v>
      </c>
      <c r="B7559" s="0" t="n">
        <v>2407180</v>
      </c>
      <c r="C7559" s="0" t="n">
        <v>2407200</v>
      </c>
      <c r="D7559" s="0" t="s">
        <v>25151</v>
      </c>
      <c r="E7559" s="0" t="s">
        <v>75</v>
      </c>
      <c r="F7559" s="0" t="s">
        <v>90</v>
      </c>
      <c r="G7559" s="0" t="s">
        <v>20</v>
      </c>
      <c r="H7559" s="0" t="n">
        <v>73</v>
      </c>
      <c r="I7559" s="0" t="s">
        <v>25161</v>
      </c>
      <c r="J7559" s="0" t="s">
        <v>25162</v>
      </c>
      <c r="K7559" s="0" t="s">
        <v>25163</v>
      </c>
      <c r="L7559" s="0" t="str">
        <f aca="false">HYPERLINK("https://www.ncbi.nlm.nih.gov/nuccore/CP000058.1?report=graph&amp;tracks=[key:gene_model_track,Options:GeneOnly]&amp;mk=2407254:2407273|offset_0|444444,2407234:2407253|offset_20|444444,2407211:2407230|offset_43|444444,2407181:2407200|offset_73|00cc00&amp;v=2407053:2407400&amp;c=444444", "offset 73")</f>
        <v>offset 73</v>
      </c>
    </row>
    <row r="7560" customFormat="false" ht="12.8" hidden="false" customHeight="false" outlineLevel="0" collapsed="false">
      <c r="A7560" s="0" t="s">
        <v>12</v>
      </c>
      <c r="B7560" s="0" t="n">
        <v>2407788</v>
      </c>
      <c r="C7560" s="0" t="n">
        <v>2407808</v>
      </c>
      <c r="D7560" s="0" t="s">
        <v>25164</v>
      </c>
      <c r="E7560" s="0" t="s">
        <v>75</v>
      </c>
      <c r="F7560" s="0" t="s">
        <v>90</v>
      </c>
      <c r="G7560" s="0" t="s">
        <v>36</v>
      </c>
      <c r="H7560" s="0" t="n">
        <v>21</v>
      </c>
      <c r="I7560" s="0" t="s">
        <v>25165</v>
      </c>
      <c r="J7560" s="0" t="s">
        <v>25166</v>
      </c>
      <c r="K7560" s="0" t="s">
        <v>25167</v>
      </c>
      <c r="L7560" s="0" t="str">
        <f aca="false">HYPERLINK("https://www.ncbi.nlm.nih.gov/nuccore/CP000058.1?report=graph&amp;tracks=[key:gene_model_track,Options:GeneOnly]&amp;mk=2407789:2407808|offset_21|00cc00,2407761:2407780|offset_49|444444,2407736:2407755|offset_74|444444,2407709:2407728|offset_101|444444&amp;v=2407588:2407928&amp;c=444444", "offset 21")</f>
        <v>offset 21</v>
      </c>
    </row>
    <row r="7561" customFormat="false" ht="12.8" hidden="false" customHeight="false" outlineLevel="0" collapsed="false">
      <c r="A7561" s="0" t="s">
        <v>12</v>
      </c>
      <c r="B7561" s="0" t="n">
        <v>2407760</v>
      </c>
      <c r="C7561" s="0" t="n">
        <v>2407780</v>
      </c>
      <c r="D7561" s="0" t="s">
        <v>25164</v>
      </c>
      <c r="E7561" s="0" t="s">
        <v>75</v>
      </c>
      <c r="F7561" s="0" t="s">
        <v>90</v>
      </c>
      <c r="G7561" s="0" t="s">
        <v>16</v>
      </c>
      <c r="H7561" s="0" t="n">
        <v>49</v>
      </c>
      <c r="I7561" s="0" t="s">
        <v>25168</v>
      </c>
      <c r="J7561" s="0" t="s">
        <v>25169</v>
      </c>
      <c r="K7561" s="0" t="s">
        <v>25170</v>
      </c>
      <c r="L7561" s="0" t="str">
        <f aca="false">HYPERLINK("https://www.ncbi.nlm.nih.gov/nuccore/CP000058.1?report=graph&amp;tracks=[key:gene_model_track,Options:GeneOnly]&amp;mk=2407789:2407808|offset_21|444444,2407761:2407780|offset_49|00cc00,2407736:2407755|offset_74|444444,2407709:2407728|offset_101|444444&amp;v=2407588:2407928&amp;c=444444", "offset 49")</f>
        <v>offset 49</v>
      </c>
    </row>
    <row r="7562" customFormat="false" ht="12.8" hidden="false" customHeight="false" outlineLevel="0" collapsed="false">
      <c r="A7562" s="0" t="s">
        <v>12</v>
      </c>
      <c r="B7562" s="0" t="n">
        <v>2407735</v>
      </c>
      <c r="C7562" s="0" t="n">
        <v>2407755</v>
      </c>
      <c r="D7562" s="0" t="s">
        <v>25164</v>
      </c>
      <c r="E7562" s="0" t="s">
        <v>75</v>
      </c>
      <c r="F7562" s="0" t="s">
        <v>90</v>
      </c>
      <c r="G7562" s="0" t="s">
        <v>20</v>
      </c>
      <c r="H7562" s="0" t="n">
        <v>74</v>
      </c>
      <c r="I7562" s="0" t="s">
        <v>25171</v>
      </c>
      <c r="J7562" s="0" t="s">
        <v>25172</v>
      </c>
      <c r="K7562" s="0" t="s">
        <v>25173</v>
      </c>
      <c r="L7562" s="0" t="str">
        <f aca="false">HYPERLINK("https://www.ncbi.nlm.nih.gov/nuccore/CP000058.1?report=graph&amp;tracks=[key:gene_model_track,Options:GeneOnly]&amp;mk=2407789:2407808|offset_21|444444,2407761:2407780|offset_49|444444,2407736:2407755|offset_74|00cc00,2407709:2407728|offset_101|444444&amp;v=2407588:2407928&amp;c=444444", "offset 74")</f>
        <v>offset 74</v>
      </c>
    </row>
    <row r="7563" customFormat="false" ht="12.8" hidden="false" customHeight="false" outlineLevel="0" collapsed="false">
      <c r="A7563" s="0" t="s">
        <v>12</v>
      </c>
      <c r="B7563" s="0" t="n">
        <v>2407708</v>
      </c>
      <c r="C7563" s="0" t="n">
        <v>2407728</v>
      </c>
      <c r="D7563" s="0" t="s">
        <v>25164</v>
      </c>
      <c r="E7563" s="0" t="s">
        <v>75</v>
      </c>
      <c r="F7563" s="0" t="s">
        <v>90</v>
      </c>
      <c r="G7563" s="0" t="s">
        <v>20</v>
      </c>
      <c r="H7563" s="0" t="n">
        <v>101</v>
      </c>
      <c r="I7563" s="0" t="s">
        <v>25174</v>
      </c>
      <c r="J7563" s="0" t="s">
        <v>25175</v>
      </c>
      <c r="K7563" s="0" t="s">
        <v>25176</v>
      </c>
      <c r="L7563" s="0" t="str">
        <f aca="false">HYPERLINK("https://www.ncbi.nlm.nih.gov/nuccore/CP000058.1?report=graph&amp;tracks=[key:gene_model_track,Options:GeneOnly]&amp;mk=2407789:2407808|offset_21|444444,2407761:2407780|offset_49|444444,2407736:2407755|offset_74|444444,2407709:2407728|offset_101|00cc00&amp;v=2407588:2407928&amp;c=444444", "offset 101")</f>
        <v>offset 101</v>
      </c>
    </row>
    <row r="7564" customFormat="false" ht="12.8" hidden="false" customHeight="false" outlineLevel="0" collapsed="false">
      <c r="A7564" s="0" t="s">
        <v>12</v>
      </c>
      <c r="B7564" s="0" t="n">
        <v>2408177</v>
      </c>
      <c r="C7564" s="0" t="n">
        <v>2408197</v>
      </c>
      <c r="D7564" s="0" t="s">
        <v>25177</v>
      </c>
      <c r="E7564" s="0" t="s">
        <v>75</v>
      </c>
      <c r="F7564" s="0" t="s">
        <v>15</v>
      </c>
      <c r="G7564" s="0" t="s">
        <v>36</v>
      </c>
      <c r="H7564" s="0" t="n">
        <v>52</v>
      </c>
      <c r="I7564" s="0" t="s">
        <v>25178</v>
      </c>
      <c r="J7564" s="0" t="s">
        <v>25179</v>
      </c>
      <c r="K7564" s="0" t="s">
        <v>25180</v>
      </c>
      <c r="L7564" s="0" t="str">
        <f aca="false">HYPERLINK("https://www.ncbi.nlm.nih.gov/nuccore/CP000058.1?report=graph&amp;tracks=[key:gene_model_track,Options:GeneOnly]&amp;mk=2408178:2408197|offset_52|00cc00,2408211:2408230|offset_85|444444,2408235:2408254|offset_109|444444,2408258:2408277|offset_132|444444&amp;v=2407977:2408477&amp;c=444444", "offset 52")</f>
        <v>offset 52</v>
      </c>
    </row>
    <row r="7565" customFormat="false" ht="12.8" hidden="false" customHeight="false" outlineLevel="0" collapsed="false">
      <c r="A7565" s="0" t="s">
        <v>12</v>
      </c>
      <c r="B7565" s="0" t="n">
        <v>2408210</v>
      </c>
      <c r="C7565" s="0" t="n">
        <v>2408230</v>
      </c>
      <c r="D7565" s="0" t="s">
        <v>25177</v>
      </c>
      <c r="E7565" s="0" t="s">
        <v>75</v>
      </c>
      <c r="F7565" s="0" t="s">
        <v>15</v>
      </c>
      <c r="G7565" s="0" t="s">
        <v>16</v>
      </c>
      <c r="H7565" s="0" t="n">
        <v>85</v>
      </c>
      <c r="I7565" s="0" t="s">
        <v>25181</v>
      </c>
      <c r="J7565" s="0" t="s">
        <v>25182</v>
      </c>
      <c r="K7565" s="0" t="s">
        <v>25183</v>
      </c>
      <c r="L7565" s="0" t="str">
        <f aca="false">HYPERLINK("https://www.ncbi.nlm.nih.gov/nuccore/CP000058.1?report=graph&amp;tracks=[key:gene_model_track,Options:GeneOnly]&amp;mk=2408178:2408197|offset_52|444444,2408211:2408230|offset_85|00cc00,2408235:2408254|offset_109|444444,2408258:2408277|offset_132|444444&amp;v=2407977:2408477&amp;c=444444", "offset 85")</f>
        <v>offset 85</v>
      </c>
    </row>
    <row r="7566" customFormat="false" ht="12.8" hidden="false" customHeight="false" outlineLevel="0" collapsed="false">
      <c r="A7566" s="0" t="s">
        <v>12</v>
      </c>
      <c r="B7566" s="0" t="n">
        <v>2408234</v>
      </c>
      <c r="C7566" s="0" t="n">
        <v>2408254</v>
      </c>
      <c r="D7566" s="0" t="s">
        <v>25177</v>
      </c>
      <c r="E7566" s="0" t="s">
        <v>75</v>
      </c>
      <c r="F7566" s="0" t="s">
        <v>15</v>
      </c>
      <c r="G7566" s="0" t="s">
        <v>36</v>
      </c>
      <c r="H7566" s="0" t="n">
        <v>109</v>
      </c>
      <c r="I7566" s="0" t="s">
        <v>25184</v>
      </c>
      <c r="J7566" s="0" t="s">
        <v>25185</v>
      </c>
      <c r="K7566" s="0" t="s">
        <v>25186</v>
      </c>
      <c r="L7566" s="0" t="str">
        <f aca="false">HYPERLINK("https://www.ncbi.nlm.nih.gov/nuccore/CP000058.1?report=graph&amp;tracks=[key:gene_model_track,Options:GeneOnly]&amp;mk=2408178:2408197|offset_52|444444,2408211:2408230|offset_85|444444,2408235:2408254|offset_109|00cc00,2408258:2408277|offset_132|444444&amp;v=2407977:2408477&amp;c=444444", "offset 109")</f>
        <v>offset 109</v>
      </c>
    </row>
    <row r="7567" customFormat="false" ht="12.8" hidden="false" customHeight="false" outlineLevel="0" collapsed="false">
      <c r="A7567" s="0" t="s">
        <v>12</v>
      </c>
      <c r="B7567" s="0" t="n">
        <v>2408257</v>
      </c>
      <c r="C7567" s="0" t="n">
        <v>2408277</v>
      </c>
      <c r="D7567" s="0" t="s">
        <v>25177</v>
      </c>
      <c r="E7567" s="0" t="s">
        <v>75</v>
      </c>
      <c r="F7567" s="0" t="s">
        <v>15</v>
      </c>
      <c r="G7567" s="0" t="s">
        <v>16</v>
      </c>
      <c r="H7567" s="0" t="n">
        <v>132</v>
      </c>
      <c r="I7567" s="0" t="s">
        <v>25187</v>
      </c>
      <c r="J7567" s="0" t="s">
        <v>25188</v>
      </c>
      <c r="K7567" s="0" t="s">
        <v>25189</v>
      </c>
      <c r="L7567" s="0" t="str">
        <f aca="false">HYPERLINK("https://www.ncbi.nlm.nih.gov/nuccore/CP000058.1?report=graph&amp;tracks=[key:gene_model_track,Options:GeneOnly]&amp;mk=2408178:2408197|offset_52|444444,2408211:2408230|offset_85|444444,2408235:2408254|offset_109|444444,2408258:2408277|offset_132|00cc00&amp;v=2407977:2408477&amp;c=444444", "offset 132")</f>
        <v>offset 132</v>
      </c>
    </row>
    <row r="7568" customFormat="false" ht="12.8" hidden="false" customHeight="false" outlineLevel="0" collapsed="false">
      <c r="A7568" s="0" t="s">
        <v>12</v>
      </c>
      <c r="B7568" s="0" t="n">
        <v>2408853</v>
      </c>
      <c r="C7568" s="0" t="n">
        <v>2408873</v>
      </c>
      <c r="D7568" s="0" t="s">
        <v>25190</v>
      </c>
      <c r="E7568" s="0" t="s">
        <v>25191</v>
      </c>
      <c r="F7568" s="0" t="s">
        <v>15</v>
      </c>
      <c r="G7568" s="0" t="s">
        <v>36</v>
      </c>
      <c r="H7568" s="0" t="n">
        <v>24</v>
      </c>
      <c r="I7568" s="0" t="s">
        <v>25192</v>
      </c>
      <c r="J7568" s="0" t="s">
        <v>25193</v>
      </c>
      <c r="K7568" s="0" t="s">
        <v>25194</v>
      </c>
      <c r="L7568" s="0" t="str">
        <f aca="false">HYPERLINK("https://www.ncbi.nlm.nih.gov/nuccore/CP000058.1?report=graph&amp;tracks=[key:gene_model_track,Options:GeneOnly]&amp;mk=2408854:2408873|offset_24|00cc00,2408882:2408901|offset_52|444444,2408921:2408940|offset_91|444444,2408948:2408967|offset_118|444444&amp;v=2408653:2409167&amp;c=444444", "offset 24")</f>
        <v>offset 24</v>
      </c>
    </row>
    <row r="7569" customFormat="false" ht="12.8" hidden="false" customHeight="false" outlineLevel="0" collapsed="false">
      <c r="A7569" s="0" t="s">
        <v>12</v>
      </c>
      <c r="B7569" s="0" t="n">
        <v>2408881</v>
      </c>
      <c r="C7569" s="0" t="n">
        <v>2408901</v>
      </c>
      <c r="D7569" s="0" t="s">
        <v>25190</v>
      </c>
      <c r="E7569" s="0" t="s">
        <v>25191</v>
      </c>
      <c r="F7569" s="0" t="s">
        <v>15</v>
      </c>
      <c r="G7569" s="0" t="s">
        <v>32</v>
      </c>
      <c r="H7569" s="0" t="n">
        <v>52</v>
      </c>
      <c r="I7569" s="0" t="s">
        <v>25195</v>
      </c>
      <c r="J7569" s="0" t="s">
        <v>25196</v>
      </c>
      <c r="K7569" s="0" t="s">
        <v>25197</v>
      </c>
      <c r="L7569" s="0" t="str">
        <f aca="false">HYPERLINK("https://www.ncbi.nlm.nih.gov/nuccore/CP000058.1?report=graph&amp;tracks=[key:gene_model_track,Options:GeneOnly]&amp;mk=2408854:2408873|offset_24|444444,2408882:2408901|offset_52|00cc00,2408921:2408940|offset_91|444444,2408948:2408967|offset_118|444444&amp;v=2408653:2409167&amp;c=444444", "offset 52")</f>
        <v>offset 52</v>
      </c>
    </row>
    <row r="7570" customFormat="false" ht="12.8" hidden="false" customHeight="false" outlineLevel="0" collapsed="false">
      <c r="A7570" s="0" t="s">
        <v>12</v>
      </c>
      <c r="B7570" s="0" t="n">
        <v>2408920</v>
      </c>
      <c r="C7570" s="0" t="n">
        <v>2408940</v>
      </c>
      <c r="D7570" s="0" t="s">
        <v>25190</v>
      </c>
      <c r="E7570" s="0" t="s">
        <v>25191</v>
      </c>
      <c r="F7570" s="0" t="s">
        <v>15</v>
      </c>
      <c r="G7570" s="0" t="s">
        <v>32</v>
      </c>
      <c r="H7570" s="0" t="n">
        <v>91</v>
      </c>
      <c r="I7570" s="0" t="s">
        <v>25198</v>
      </c>
      <c r="J7570" s="0" t="s">
        <v>25199</v>
      </c>
      <c r="K7570" s="0" t="s">
        <v>25200</v>
      </c>
      <c r="L7570" s="0" t="str">
        <f aca="false">HYPERLINK("https://www.ncbi.nlm.nih.gov/nuccore/CP000058.1?report=graph&amp;tracks=[key:gene_model_track,Options:GeneOnly]&amp;mk=2408854:2408873|offset_24|444444,2408882:2408901|offset_52|444444,2408921:2408940|offset_91|00cc00,2408948:2408967|offset_118|444444&amp;v=2408653:2409167&amp;c=444444", "offset 91")</f>
        <v>offset 91</v>
      </c>
    </row>
    <row r="7571" customFormat="false" ht="12.8" hidden="false" customHeight="false" outlineLevel="0" collapsed="false">
      <c r="A7571" s="0" t="s">
        <v>12</v>
      </c>
      <c r="B7571" s="0" t="n">
        <v>2408947</v>
      </c>
      <c r="C7571" s="0" t="n">
        <v>2408967</v>
      </c>
      <c r="D7571" s="0" t="s">
        <v>25190</v>
      </c>
      <c r="E7571" s="0" t="s">
        <v>25191</v>
      </c>
      <c r="F7571" s="0" t="s">
        <v>15</v>
      </c>
      <c r="G7571" s="0" t="s">
        <v>16</v>
      </c>
      <c r="H7571" s="0" t="n">
        <v>118</v>
      </c>
      <c r="I7571" s="0" t="s">
        <v>25201</v>
      </c>
      <c r="J7571" s="0" t="s">
        <v>25202</v>
      </c>
      <c r="K7571" s="0" t="s">
        <v>25203</v>
      </c>
      <c r="L7571" s="0" t="str">
        <f aca="false">HYPERLINK("https://www.ncbi.nlm.nih.gov/nuccore/CP000058.1?report=graph&amp;tracks=[key:gene_model_track,Options:GeneOnly]&amp;mk=2408854:2408873|offset_24|444444,2408882:2408901|offset_52|444444,2408921:2408940|offset_91|444444,2408948:2408967|offset_118|00cc00&amp;v=2408653:2409167&amp;c=444444", "offset 118")</f>
        <v>offset 118</v>
      </c>
    </row>
    <row r="7572" customFormat="false" ht="12.8" hidden="false" customHeight="false" outlineLevel="0" collapsed="false">
      <c r="A7572" s="0" t="s">
        <v>12</v>
      </c>
      <c r="B7572" s="0" t="n">
        <v>2410021</v>
      </c>
      <c r="C7572" s="0" t="n">
        <v>2410041</v>
      </c>
      <c r="D7572" s="0" t="s">
        <v>25204</v>
      </c>
      <c r="E7572" s="0" t="s">
        <v>25205</v>
      </c>
      <c r="F7572" s="0" t="s">
        <v>15</v>
      </c>
      <c r="G7572" s="0" t="s">
        <v>32</v>
      </c>
      <c r="H7572" s="0" t="n">
        <v>1</v>
      </c>
      <c r="I7572" s="0" t="s">
        <v>25206</v>
      </c>
      <c r="J7572" s="0" t="s">
        <v>25207</v>
      </c>
      <c r="K7572" s="0" t="s">
        <v>25208</v>
      </c>
      <c r="L7572" s="0" t="str">
        <f aca="false">HYPERLINK("https://www.ncbi.nlm.nih.gov/nuccore/CP000058.1?report=graph&amp;tracks=[key:gene_model_track,Options:GeneOnly]&amp;mk=2410022:2410041|offset_1|00cc00,2410052:2410071|offset_31|444444,2410073:2410092|offset_52|444444,2410106:2410125|offset_85|444444&amp;v=2409821:2410325&amp;c=444444", "offset 1")</f>
        <v>offset 1</v>
      </c>
    </row>
    <row r="7573" customFormat="false" ht="12.8" hidden="false" customHeight="false" outlineLevel="0" collapsed="false">
      <c r="A7573" s="0" t="s">
        <v>12</v>
      </c>
      <c r="B7573" s="0" t="n">
        <v>2410051</v>
      </c>
      <c r="C7573" s="0" t="n">
        <v>2410071</v>
      </c>
      <c r="D7573" s="0" t="s">
        <v>25204</v>
      </c>
      <c r="E7573" s="0" t="s">
        <v>25205</v>
      </c>
      <c r="F7573" s="0" t="s">
        <v>15</v>
      </c>
      <c r="G7573" s="0" t="s">
        <v>16</v>
      </c>
      <c r="H7573" s="0" t="n">
        <v>31</v>
      </c>
      <c r="I7573" s="0" t="s">
        <v>25209</v>
      </c>
      <c r="J7573" s="0" t="s">
        <v>25210</v>
      </c>
      <c r="K7573" s="0" t="s">
        <v>25211</v>
      </c>
      <c r="L7573" s="0" t="str">
        <f aca="false">HYPERLINK("https://www.ncbi.nlm.nih.gov/nuccore/CP000058.1?report=graph&amp;tracks=[key:gene_model_track,Options:GeneOnly]&amp;mk=2410022:2410041|offset_1|444444,2410052:2410071|offset_31|00cc00,2410073:2410092|offset_52|444444,2410106:2410125|offset_85|444444&amp;v=2409821:2410325&amp;c=444444", "offset 31")</f>
        <v>offset 31</v>
      </c>
    </row>
    <row r="7574" customFormat="false" ht="12.8" hidden="false" customHeight="false" outlineLevel="0" collapsed="false">
      <c r="A7574" s="0" t="s">
        <v>12</v>
      </c>
      <c r="B7574" s="0" t="n">
        <v>2410072</v>
      </c>
      <c r="C7574" s="0" t="n">
        <v>2410092</v>
      </c>
      <c r="D7574" s="0" t="s">
        <v>25204</v>
      </c>
      <c r="E7574" s="0" t="s">
        <v>25205</v>
      </c>
      <c r="F7574" s="0" t="s">
        <v>15</v>
      </c>
      <c r="G7574" s="0" t="s">
        <v>16</v>
      </c>
      <c r="H7574" s="0" t="n">
        <v>52</v>
      </c>
      <c r="I7574" s="0" t="s">
        <v>25212</v>
      </c>
      <c r="J7574" s="0" t="s">
        <v>25213</v>
      </c>
      <c r="K7574" s="0" t="s">
        <v>25214</v>
      </c>
      <c r="L7574" s="0" t="str">
        <f aca="false">HYPERLINK("https://www.ncbi.nlm.nih.gov/nuccore/CP000058.1?report=graph&amp;tracks=[key:gene_model_track,Options:GeneOnly]&amp;mk=2410022:2410041|offset_1|444444,2410052:2410071|offset_31|444444,2410073:2410092|offset_52|00cc00,2410106:2410125|offset_85|444444&amp;v=2409821:2410325&amp;c=444444", "offset 52")</f>
        <v>offset 52</v>
      </c>
    </row>
    <row r="7575" customFormat="false" ht="12.8" hidden="false" customHeight="false" outlineLevel="0" collapsed="false">
      <c r="A7575" s="0" t="s">
        <v>12</v>
      </c>
      <c r="B7575" s="0" t="n">
        <v>2410105</v>
      </c>
      <c r="C7575" s="0" t="n">
        <v>2410125</v>
      </c>
      <c r="D7575" s="0" t="s">
        <v>25204</v>
      </c>
      <c r="E7575" s="0" t="s">
        <v>25205</v>
      </c>
      <c r="F7575" s="0" t="s">
        <v>15</v>
      </c>
      <c r="G7575" s="0" t="s">
        <v>16</v>
      </c>
      <c r="H7575" s="0" t="n">
        <v>85</v>
      </c>
      <c r="I7575" s="0" t="s">
        <v>25215</v>
      </c>
      <c r="J7575" s="0" t="s">
        <v>25216</v>
      </c>
      <c r="K7575" s="0" t="s">
        <v>25217</v>
      </c>
      <c r="L7575" s="0" t="str">
        <f aca="false">HYPERLINK("https://www.ncbi.nlm.nih.gov/nuccore/CP000058.1?report=graph&amp;tracks=[key:gene_model_track,Options:GeneOnly]&amp;mk=2410022:2410041|offset_1|444444,2410052:2410071|offset_31|444444,2410073:2410092|offset_52|444444,2410106:2410125|offset_85|00cc00&amp;v=2409821:2410325&amp;c=444444", "offset 85")</f>
        <v>offset 85</v>
      </c>
    </row>
    <row r="7576" customFormat="false" ht="12.8" hidden="false" customHeight="false" outlineLevel="0" collapsed="false">
      <c r="A7576" s="0" t="s">
        <v>12</v>
      </c>
      <c r="B7576" s="0" t="n">
        <v>2411234</v>
      </c>
      <c r="C7576" s="0" t="n">
        <v>2411254</v>
      </c>
      <c r="D7576" s="0" t="s">
        <v>25218</v>
      </c>
      <c r="E7576" s="0" t="s">
        <v>25219</v>
      </c>
      <c r="F7576" s="0" t="s">
        <v>15</v>
      </c>
      <c r="G7576" s="0" t="s">
        <v>16</v>
      </c>
      <c r="H7576" s="0" t="n">
        <v>17</v>
      </c>
      <c r="I7576" s="0" t="s">
        <v>25220</v>
      </c>
      <c r="J7576" s="0" t="s">
        <v>25221</v>
      </c>
      <c r="K7576" s="0" t="s">
        <v>25222</v>
      </c>
      <c r="L7576" s="0" t="str">
        <f aca="false">HYPERLINK("https://www.ncbi.nlm.nih.gov/nuccore/CP000058.1?report=graph&amp;tracks=[key:gene_model_track,Options:GeneOnly]&amp;mk=2411235:2411254|offset_17|00cc00,2411255:2411274|offset_37|444444,2411302:2411321|offset_84|444444,2411323:2411342|offset_105|444444&amp;v=2411034:2411542&amp;c=444444", "offset 17")</f>
        <v>offset 17</v>
      </c>
    </row>
    <row r="7577" customFormat="false" ht="12.8" hidden="false" customHeight="false" outlineLevel="0" collapsed="false">
      <c r="A7577" s="0" t="s">
        <v>12</v>
      </c>
      <c r="B7577" s="0" t="n">
        <v>2411254</v>
      </c>
      <c r="C7577" s="0" t="n">
        <v>2411274</v>
      </c>
      <c r="D7577" s="0" t="s">
        <v>25218</v>
      </c>
      <c r="E7577" s="0" t="s">
        <v>25219</v>
      </c>
      <c r="F7577" s="0" t="s">
        <v>15</v>
      </c>
      <c r="G7577" s="0" t="s">
        <v>36</v>
      </c>
      <c r="H7577" s="0" t="n">
        <v>37</v>
      </c>
      <c r="I7577" s="0" t="s">
        <v>25223</v>
      </c>
      <c r="J7577" s="0" t="s">
        <v>25224</v>
      </c>
      <c r="K7577" s="0" t="s">
        <v>25225</v>
      </c>
      <c r="L7577" s="0" t="str">
        <f aca="false">HYPERLINK("https://www.ncbi.nlm.nih.gov/nuccore/CP000058.1?report=graph&amp;tracks=[key:gene_model_track,Options:GeneOnly]&amp;mk=2411235:2411254|offset_17|444444,2411255:2411274|offset_37|00cc00,2411302:2411321|offset_84|444444,2411323:2411342|offset_105|444444&amp;v=2411034:2411542&amp;c=444444", "offset 37")</f>
        <v>offset 37</v>
      </c>
    </row>
    <row r="7578" customFormat="false" ht="12.8" hidden="false" customHeight="false" outlineLevel="0" collapsed="false">
      <c r="A7578" s="0" t="s">
        <v>12</v>
      </c>
      <c r="B7578" s="0" t="n">
        <v>2411301</v>
      </c>
      <c r="C7578" s="0" t="n">
        <v>2411321</v>
      </c>
      <c r="D7578" s="0" t="s">
        <v>25218</v>
      </c>
      <c r="E7578" s="0" t="s">
        <v>25219</v>
      </c>
      <c r="F7578" s="0" t="s">
        <v>15</v>
      </c>
      <c r="G7578" s="0" t="s">
        <v>36</v>
      </c>
      <c r="H7578" s="0" t="n">
        <v>84</v>
      </c>
      <c r="I7578" s="0" t="s">
        <v>25226</v>
      </c>
      <c r="J7578" s="0" t="s">
        <v>25227</v>
      </c>
      <c r="K7578" s="0" t="s">
        <v>25228</v>
      </c>
      <c r="L7578" s="0" t="str">
        <f aca="false">HYPERLINK("https://www.ncbi.nlm.nih.gov/nuccore/CP000058.1?report=graph&amp;tracks=[key:gene_model_track,Options:GeneOnly]&amp;mk=2411235:2411254|offset_17|444444,2411255:2411274|offset_37|444444,2411302:2411321|offset_84|00cc00,2411323:2411342|offset_105|444444&amp;v=2411034:2411542&amp;c=444444", "offset 84")</f>
        <v>offset 84</v>
      </c>
    </row>
    <row r="7579" customFormat="false" ht="12.8" hidden="false" customHeight="false" outlineLevel="0" collapsed="false">
      <c r="A7579" s="0" t="s">
        <v>12</v>
      </c>
      <c r="B7579" s="0" t="n">
        <v>2411322</v>
      </c>
      <c r="C7579" s="0" t="n">
        <v>2411342</v>
      </c>
      <c r="D7579" s="0" t="s">
        <v>25218</v>
      </c>
      <c r="E7579" s="0" t="s">
        <v>25219</v>
      </c>
      <c r="F7579" s="0" t="s">
        <v>15</v>
      </c>
      <c r="G7579" s="0" t="s">
        <v>36</v>
      </c>
      <c r="H7579" s="0" t="n">
        <v>105</v>
      </c>
      <c r="I7579" s="0" t="s">
        <v>25229</v>
      </c>
      <c r="J7579" s="0" t="s">
        <v>25230</v>
      </c>
      <c r="K7579" s="0" t="s">
        <v>25231</v>
      </c>
      <c r="L7579" s="0" t="str">
        <f aca="false">HYPERLINK("https://www.ncbi.nlm.nih.gov/nuccore/CP000058.1?report=graph&amp;tracks=[key:gene_model_track,Options:GeneOnly]&amp;mk=2411235:2411254|offset_17|444444,2411255:2411274|offset_37|444444,2411302:2411321|offset_84|444444,2411323:2411342|offset_105|00cc00&amp;v=2411034:2411542&amp;c=444444", "offset 105")</f>
        <v>offset 105</v>
      </c>
    </row>
    <row r="7580" customFormat="false" ht="12.8" hidden="false" customHeight="false" outlineLevel="0" collapsed="false">
      <c r="A7580" s="0" t="s">
        <v>12</v>
      </c>
      <c r="B7580" s="0" t="n">
        <v>2413942</v>
      </c>
      <c r="C7580" s="0" t="n">
        <v>2413962</v>
      </c>
      <c r="D7580" s="0" t="s">
        <v>25232</v>
      </c>
      <c r="E7580" s="0" t="s">
        <v>25233</v>
      </c>
      <c r="F7580" s="0" t="s">
        <v>15</v>
      </c>
      <c r="G7580" s="0" t="s">
        <v>36</v>
      </c>
      <c r="H7580" s="0" t="n">
        <v>15</v>
      </c>
      <c r="I7580" s="0" t="s">
        <v>25234</v>
      </c>
      <c r="J7580" s="0" t="s">
        <v>25235</v>
      </c>
      <c r="K7580" s="0" t="s">
        <v>25236</v>
      </c>
      <c r="L7580" s="0" t="str">
        <f aca="false">HYPERLINK("https://www.ncbi.nlm.nih.gov/nuccore/CP000058.1?report=graph&amp;tracks=[key:gene_model_track,Options:GeneOnly]&amp;mk=2413943:2413962|offset_15|00cc00,2413965:2413984|offset_37|444444,2414014:2414033|offset_86|444444,2414036:2414055|offset_108|444444&amp;v=2413742:2414255&amp;c=444444", "offset 15")</f>
        <v>offset 15</v>
      </c>
    </row>
    <row r="7581" customFormat="false" ht="12.8" hidden="false" customHeight="false" outlineLevel="0" collapsed="false">
      <c r="A7581" s="0" t="s">
        <v>12</v>
      </c>
      <c r="B7581" s="0" t="n">
        <v>2413964</v>
      </c>
      <c r="C7581" s="0" t="n">
        <v>2413984</v>
      </c>
      <c r="D7581" s="0" t="s">
        <v>25232</v>
      </c>
      <c r="E7581" s="0" t="s">
        <v>25233</v>
      </c>
      <c r="F7581" s="0" t="s">
        <v>15</v>
      </c>
      <c r="G7581" s="0" t="s">
        <v>20</v>
      </c>
      <c r="H7581" s="0" t="n">
        <v>37</v>
      </c>
      <c r="I7581" s="0" t="s">
        <v>25237</v>
      </c>
      <c r="J7581" s="0" t="s">
        <v>25238</v>
      </c>
      <c r="K7581" s="0" t="s">
        <v>25239</v>
      </c>
      <c r="L7581" s="0" t="str">
        <f aca="false">HYPERLINK("https://www.ncbi.nlm.nih.gov/nuccore/CP000058.1?report=graph&amp;tracks=[key:gene_model_track,Options:GeneOnly]&amp;mk=2413943:2413962|offset_15|444444,2413965:2413984|offset_37|00cc00,2414014:2414033|offset_86|444444,2414036:2414055|offset_108|444444&amp;v=2413742:2414255&amp;c=444444", "offset 37")</f>
        <v>offset 37</v>
      </c>
    </row>
    <row r="7582" customFormat="false" ht="12.8" hidden="false" customHeight="false" outlineLevel="0" collapsed="false">
      <c r="A7582" s="0" t="s">
        <v>12</v>
      </c>
      <c r="B7582" s="0" t="n">
        <v>2414013</v>
      </c>
      <c r="C7582" s="0" t="n">
        <v>2414033</v>
      </c>
      <c r="D7582" s="0" t="s">
        <v>25232</v>
      </c>
      <c r="E7582" s="0" t="s">
        <v>25233</v>
      </c>
      <c r="F7582" s="0" t="s">
        <v>15</v>
      </c>
      <c r="G7582" s="0" t="s">
        <v>20</v>
      </c>
      <c r="H7582" s="0" t="n">
        <v>86</v>
      </c>
      <c r="I7582" s="0" t="s">
        <v>25240</v>
      </c>
      <c r="J7582" s="0" t="s">
        <v>25241</v>
      </c>
      <c r="K7582" s="0" t="s">
        <v>25242</v>
      </c>
      <c r="L7582" s="0" t="str">
        <f aca="false">HYPERLINK("https://www.ncbi.nlm.nih.gov/nuccore/CP000058.1?report=graph&amp;tracks=[key:gene_model_track,Options:GeneOnly]&amp;mk=2413943:2413962|offset_15|444444,2413965:2413984|offset_37|444444,2414014:2414033|offset_86|00cc00,2414036:2414055|offset_108|444444&amp;v=2413742:2414255&amp;c=444444", "offset 86")</f>
        <v>offset 86</v>
      </c>
    </row>
    <row r="7583" customFormat="false" ht="12.8" hidden="false" customHeight="false" outlineLevel="0" collapsed="false">
      <c r="A7583" s="0" t="s">
        <v>12</v>
      </c>
      <c r="B7583" s="0" t="n">
        <v>2414035</v>
      </c>
      <c r="C7583" s="0" t="n">
        <v>2414055</v>
      </c>
      <c r="D7583" s="0" t="s">
        <v>25232</v>
      </c>
      <c r="E7583" s="0" t="s">
        <v>25233</v>
      </c>
      <c r="F7583" s="0" t="s">
        <v>15</v>
      </c>
      <c r="G7583" s="0" t="s">
        <v>16</v>
      </c>
      <c r="H7583" s="0" t="n">
        <v>108</v>
      </c>
      <c r="I7583" s="0" t="s">
        <v>25243</v>
      </c>
      <c r="J7583" s="0" t="s">
        <v>25244</v>
      </c>
      <c r="K7583" s="0" t="s">
        <v>25245</v>
      </c>
      <c r="L7583" s="0" t="str">
        <f aca="false">HYPERLINK("https://www.ncbi.nlm.nih.gov/nuccore/CP000058.1?report=graph&amp;tracks=[key:gene_model_track,Options:GeneOnly]&amp;mk=2413943:2413962|offset_15|444444,2413965:2413984|offset_37|444444,2414014:2414033|offset_86|444444,2414036:2414055|offset_108|00cc00&amp;v=2413742:2414255&amp;c=444444", "offset 108")</f>
        <v>offset 108</v>
      </c>
    </row>
    <row r="7584" customFormat="false" ht="12.8" hidden="false" customHeight="false" outlineLevel="0" collapsed="false">
      <c r="A7584" s="0" t="s">
        <v>12</v>
      </c>
      <c r="B7584" s="0" t="n">
        <v>2415924</v>
      </c>
      <c r="C7584" s="0" t="n">
        <v>2415944</v>
      </c>
      <c r="D7584" s="0" t="s">
        <v>25246</v>
      </c>
      <c r="E7584" s="0" t="s">
        <v>75</v>
      </c>
      <c r="F7584" s="0" t="s">
        <v>90</v>
      </c>
      <c r="G7584" s="0" t="s">
        <v>16</v>
      </c>
      <c r="H7584" s="0" t="n">
        <v>37</v>
      </c>
      <c r="I7584" s="0" t="s">
        <v>25247</v>
      </c>
      <c r="J7584" s="0" t="s">
        <v>25248</v>
      </c>
      <c r="K7584" s="0" t="s">
        <v>25249</v>
      </c>
      <c r="L7584" s="0" t="str">
        <f aca="false">HYPERLINK("https://www.ncbi.nlm.nih.gov/nuccore/CP000058.1?report=graph&amp;tracks=[key:gene_model_track,Options:GeneOnly]&amp;mk=2415925:2415944|offset_37|00cc00,2415900:2415919|offset_62|444444,2415853:2415872|offset_109|444444,2415790:2415809|offset_172|444444&amp;v=2415724:2416009&amp;c=444444", "offset 37")</f>
        <v>offset 37</v>
      </c>
    </row>
    <row r="7585" customFormat="false" ht="12.8" hidden="false" customHeight="false" outlineLevel="0" collapsed="false">
      <c r="A7585" s="0" t="s">
        <v>12</v>
      </c>
      <c r="B7585" s="0" t="n">
        <v>2415899</v>
      </c>
      <c r="C7585" s="0" t="n">
        <v>2415919</v>
      </c>
      <c r="D7585" s="0" t="s">
        <v>25246</v>
      </c>
      <c r="E7585" s="0" t="s">
        <v>75</v>
      </c>
      <c r="F7585" s="0" t="s">
        <v>90</v>
      </c>
      <c r="G7585" s="0" t="s">
        <v>32</v>
      </c>
      <c r="H7585" s="0" t="n">
        <v>62</v>
      </c>
      <c r="I7585" s="0" t="s">
        <v>25250</v>
      </c>
      <c r="J7585" s="0" t="s">
        <v>25251</v>
      </c>
      <c r="K7585" s="0" t="s">
        <v>25252</v>
      </c>
      <c r="L7585" s="0" t="str">
        <f aca="false">HYPERLINK("https://www.ncbi.nlm.nih.gov/nuccore/CP000058.1?report=graph&amp;tracks=[key:gene_model_track,Options:GeneOnly]&amp;mk=2415925:2415944|offset_37|444444,2415900:2415919|offset_62|00cc00,2415853:2415872|offset_109|444444,2415790:2415809|offset_172|444444&amp;v=2415724:2416009&amp;c=444444", "offset 62")</f>
        <v>offset 62</v>
      </c>
    </row>
    <row r="7586" customFormat="false" ht="12.8" hidden="false" customHeight="false" outlineLevel="0" collapsed="false">
      <c r="A7586" s="0" t="s">
        <v>12</v>
      </c>
      <c r="B7586" s="0" t="n">
        <v>2415852</v>
      </c>
      <c r="C7586" s="0" t="n">
        <v>2415872</v>
      </c>
      <c r="D7586" s="0" t="s">
        <v>25246</v>
      </c>
      <c r="E7586" s="0" t="s">
        <v>75</v>
      </c>
      <c r="F7586" s="0" t="s">
        <v>90</v>
      </c>
      <c r="G7586" s="0" t="s">
        <v>32</v>
      </c>
      <c r="H7586" s="0" t="n">
        <v>109</v>
      </c>
      <c r="I7586" s="0" t="s">
        <v>25253</v>
      </c>
      <c r="J7586" s="0" t="s">
        <v>25254</v>
      </c>
      <c r="K7586" s="0" t="s">
        <v>25255</v>
      </c>
      <c r="L7586" s="0" t="str">
        <f aca="false">HYPERLINK("https://www.ncbi.nlm.nih.gov/nuccore/CP000058.1?report=graph&amp;tracks=[key:gene_model_track,Options:GeneOnly]&amp;mk=2415925:2415944|offset_37|444444,2415900:2415919|offset_62|444444,2415853:2415872|offset_109|00cc00,2415790:2415809|offset_172|444444&amp;v=2415724:2416009&amp;c=444444", "offset 109")</f>
        <v>offset 109</v>
      </c>
    </row>
    <row r="7587" customFormat="false" ht="12.8" hidden="false" customHeight="false" outlineLevel="0" collapsed="false">
      <c r="A7587" s="0" t="s">
        <v>12</v>
      </c>
      <c r="B7587" s="0" t="n">
        <v>2415789</v>
      </c>
      <c r="C7587" s="0" t="n">
        <v>2415809</v>
      </c>
      <c r="D7587" s="0" t="s">
        <v>25246</v>
      </c>
      <c r="E7587" s="0" t="s">
        <v>75</v>
      </c>
      <c r="F7587" s="0" t="s">
        <v>90</v>
      </c>
      <c r="G7587" s="0" t="s">
        <v>16</v>
      </c>
      <c r="H7587" s="0" t="n">
        <v>172</v>
      </c>
      <c r="I7587" s="0" t="s">
        <v>25256</v>
      </c>
      <c r="J7587" s="0" t="s">
        <v>25257</v>
      </c>
      <c r="K7587" s="0" t="s">
        <v>25258</v>
      </c>
      <c r="L7587" s="0" t="str">
        <f aca="false">HYPERLINK("https://www.ncbi.nlm.nih.gov/nuccore/CP000058.1?report=graph&amp;tracks=[key:gene_model_track,Options:GeneOnly]&amp;mk=2415925:2415944|offset_37|444444,2415900:2415919|offset_62|444444,2415853:2415872|offset_109|444444,2415790:2415809|offset_172|00cc00&amp;v=2415724:2416009&amp;c=444444", "offset 172")</f>
        <v>offset 172</v>
      </c>
    </row>
    <row r="7588" customFormat="false" ht="12.8" hidden="false" customHeight="false" outlineLevel="0" collapsed="false">
      <c r="A7588" s="0" t="s">
        <v>12</v>
      </c>
      <c r="B7588" s="0" t="n">
        <v>2416187</v>
      </c>
      <c r="C7588" s="0" t="n">
        <v>2416207</v>
      </c>
      <c r="D7588" s="0" t="s">
        <v>25259</v>
      </c>
      <c r="E7588" s="0" t="s">
        <v>25260</v>
      </c>
      <c r="F7588" s="0" t="s">
        <v>15</v>
      </c>
      <c r="G7588" s="0" t="s">
        <v>20</v>
      </c>
      <c r="H7588" s="0" t="n">
        <v>1</v>
      </c>
      <c r="I7588" s="0" t="s">
        <v>25261</v>
      </c>
      <c r="J7588" s="0" t="s">
        <v>25262</v>
      </c>
      <c r="K7588" s="0" t="s">
        <v>25263</v>
      </c>
      <c r="L7588" s="0" t="str">
        <f aca="false">HYPERLINK("https://www.ncbi.nlm.nih.gov/nuccore/CP000058.1?report=graph&amp;tracks=[key:gene_model_track,Options:GeneOnly]&amp;mk=2416188:2416207|offset_1|00cc00,2416209:2416228|offset_22|444444,2416264:2416283|offset_77|444444,2416285:2416304|offset_98|444444&amp;v=2415987:2416504&amp;c=444444", "offset 1")</f>
        <v>offset 1</v>
      </c>
    </row>
    <row r="7589" customFormat="false" ht="12.8" hidden="false" customHeight="false" outlineLevel="0" collapsed="false">
      <c r="A7589" s="0" t="s">
        <v>12</v>
      </c>
      <c r="B7589" s="0" t="n">
        <v>2416208</v>
      </c>
      <c r="C7589" s="0" t="n">
        <v>2416228</v>
      </c>
      <c r="D7589" s="0" t="s">
        <v>25259</v>
      </c>
      <c r="E7589" s="0" t="s">
        <v>25260</v>
      </c>
      <c r="F7589" s="0" t="s">
        <v>15</v>
      </c>
      <c r="G7589" s="0" t="s">
        <v>36</v>
      </c>
      <c r="H7589" s="0" t="n">
        <v>22</v>
      </c>
      <c r="I7589" s="0" t="s">
        <v>25264</v>
      </c>
      <c r="J7589" s="0" t="s">
        <v>25265</v>
      </c>
      <c r="K7589" s="0" t="s">
        <v>25266</v>
      </c>
      <c r="L7589" s="0" t="str">
        <f aca="false">HYPERLINK("https://www.ncbi.nlm.nih.gov/nuccore/CP000058.1?report=graph&amp;tracks=[key:gene_model_track,Options:GeneOnly]&amp;mk=2416188:2416207|offset_1|444444,2416209:2416228|offset_22|00cc00,2416264:2416283|offset_77|444444,2416285:2416304|offset_98|444444&amp;v=2415987:2416504&amp;c=444444", "offset 22")</f>
        <v>offset 22</v>
      </c>
    </row>
    <row r="7590" customFormat="false" ht="12.8" hidden="false" customHeight="false" outlineLevel="0" collapsed="false">
      <c r="A7590" s="0" t="s">
        <v>12</v>
      </c>
      <c r="B7590" s="0" t="n">
        <v>2416263</v>
      </c>
      <c r="C7590" s="0" t="n">
        <v>2416283</v>
      </c>
      <c r="D7590" s="0" t="s">
        <v>25259</v>
      </c>
      <c r="E7590" s="0" t="s">
        <v>25260</v>
      </c>
      <c r="F7590" s="0" t="s">
        <v>15</v>
      </c>
      <c r="G7590" s="0" t="s">
        <v>20</v>
      </c>
      <c r="H7590" s="0" t="n">
        <v>77</v>
      </c>
      <c r="I7590" s="0" t="s">
        <v>25267</v>
      </c>
      <c r="J7590" s="0" t="s">
        <v>25268</v>
      </c>
      <c r="K7590" s="0" t="s">
        <v>25269</v>
      </c>
      <c r="L7590" s="0" t="str">
        <f aca="false">HYPERLINK("https://www.ncbi.nlm.nih.gov/nuccore/CP000058.1?report=graph&amp;tracks=[key:gene_model_track,Options:GeneOnly]&amp;mk=2416188:2416207|offset_1|444444,2416209:2416228|offset_22|444444,2416264:2416283|offset_77|00cc00,2416285:2416304|offset_98|444444&amp;v=2415987:2416504&amp;c=444444", "offset 77")</f>
        <v>offset 77</v>
      </c>
    </row>
    <row r="7591" customFormat="false" ht="12.8" hidden="false" customHeight="false" outlineLevel="0" collapsed="false">
      <c r="A7591" s="0" t="s">
        <v>12</v>
      </c>
      <c r="B7591" s="0" t="n">
        <v>2416284</v>
      </c>
      <c r="C7591" s="0" t="n">
        <v>2416304</v>
      </c>
      <c r="D7591" s="0" t="s">
        <v>25259</v>
      </c>
      <c r="E7591" s="0" t="s">
        <v>25260</v>
      </c>
      <c r="F7591" s="0" t="s">
        <v>15</v>
      </c>
      <c r="G7591" s="0" t="s">
        <v>20</v>
      </c>
      <c r="H7591" s="0" t="n">
        <v>98</v>
      </c>
      <c r="I7591" s="0" t="s">
        <v>25270</v>
      </c>
      <c r="J7591" s="0" t="s">
        <v>25271</v>
      </c>
      <c r="K7591" s="0" t="s">
        <v>25272</v>
      </c>
      <c r="L7591" s="0" t="str">
        <f aca="false">HYPERLINK("https://www.ncbi.nlm.nih.gov/nuccore/CP000058.1?report=graph&amp;tracks=[key:gene_model_track,Options:GeneOnly]&amp;mk=2416188:2416207|offset_1|444444,2416209:2416228|offset_22|444444,2416264:2416283|offset_77|444444,2416285:2416304|offset_98|00cc00&amp;v=2415987:2416504&amp;c=444444", "offset 98")</f>
        <v>offset 98</v>
      </c>
    </row>
    <row r="7592" customFormat="false" ht="12.8" hidden="false" customHeight="false" outlineLevel="0" collapsed="false">
      <c r="A7592" s="0" t="s">
        <v>12</v>
      </c>
      <c r="B7592" s="0" t="n">
        <v>2418740</v>
      </c>
      <c r="C7592" s="0" t="n">
        <v>2418760</v>
      </c>
      <c r="D7592" s="0" t="s">
        <v>25273</v>
      </c>
      <c r="E7592" s="0" t="s">
        <v>75</v>
      </c>
      <c r="F7592" s="0" t="s">
        <v>15</v>
      </c>
      <c r="G7592" s="0" t="s">
        <v>32</v>
      </c>
      <c r="H7592" s="0" t="n">
        <v>17</v>
      </c>
      <c r="I7592" s="0" t="s">
        <v>25274</v>
      </c>
      <c r="J7592" s="0" t="s">
        <v>25275</v>
      </c>
      <c r="K7592" s="0" t="s">
        <v>25276</v>
      </c>
      <c r="L7592" s="0" t="str">
        <f aca="false">HYPERLINK("https://www.ncbi.nlm.nih.gov/nuccore/CP000058.1?report=graph&amp;tracks=[key:gene_model_track,Options:GeneOnly]&amp;mk=2418741:2418760|offset_17|00cc00,2418770:2418789|offset_46|444444,2418804:2418823|offset_80|444444,2418825:2418844|offset_101|444444&amp;v=2418540:2419044&amp;c=444444", "offset 17")</f>
        <v>offset 17</v>
      </c>
    </row>
    <row r="7593" customFormat="false" ht="12.8" hidden="false" customHeight="false" outlineLevel="0" collapsed="false">
      <c r="A7593" s="0" t="s">
        <v>12</v>
      </c>
      <c r="B7593" s="0" t="n">
        <v>2418769</v>
      </c>
      <c r="C7593" s="0" t="n">
        <v>2418789</v>
      </c>
      <c r="D7593" s="0" t="s">
        <v>25273</v>
      </c>
      <c r="E7593" s="0" t="s">
        <v>75</v>
      </c>
      <c r="F7593" s="0" t="s">
        <v>15</v>
      </c>
      <c r="G7593" s="0" t="s">
        <v>16</v>
      </c>
      <c r="H7593" s="0" t="n">
        <v>46</v>
      </c>
      <c r="I7593" s="0" t="s">
        <v>25277</v>
      </c>
      <c r="J7593" s="0" t="s">
        <v>25278</v>
      </c>
      <c r="K7593" s="0" t="s">
        <v>25279</v>
      </c>
      <c r="L7593" s="0" t="str">
        <f aca="false">HYPERLINK("https://www.ncbi.nlm.nih.gov/nuccore/CP000058.1?report=graph&amp;tracks=[key:gene_model_track,Options:GeneOnly]&amp;mk=2418741:2418760|offset_17|444444,2418770:2418789|offset_46|00cc00,2418804:2418823|offset_80|444444,2418825:2418844|offset_101|444444&amp;v=2418540:2419044&amp;c=444444", "offset 46")</f>
        <v>offset 46</v>
      </c>
    </row>
    <row r="7594" customFormat="false" ht="12.8" hidden="false" customHeight="false" outlineLevel="0" collapsed="false">
      <c r="A7594" s="0" t="s">
        <v>12</v>
      </c>
      <c r="B7594" s="0" t="n">
        <v>2418803</v>
      </c>
      <c r="C7594" s="0" t="n">
        <v>2418823</v>
      </c>
      <c r="D7594" s="0" t="s">
        <v>25273</v>
      </c>
      <c r="E7594" s="0" t="s">
        <v>75</v>
      </c>
      <c r="F7594" s="0" t="s">
        <v>15</v>
      </c>
      <c r="G7594" s="0" t="s">
        <v>16</v>
      </c>
      <c r="H7594" s="0" t="n">
        <v>80</v>
      </c>
      <c r="I7594" s="0" t="s">
        <v>25280</v>
      </c>
      <c r="J7594" s="0" t="s">
        <v>25281</v>
      </c>
      <c r="K7594" s="0" t="s">
        <v>25282</v>
      </c>
      <c r="L7594" s="0" t="str">
        <f aca="false">HYPERLINK("https://www.ncbi.nlm.nih.gov/nuccore/CP000058.1?report=graph&amp;tracks=[key:gene_model_track,Options:GeneOnly]&amp;mk=2418741:2418760|offset_17|444444,2418770:2418789|offset_46|444444,2418804:2418823|offset_80|00cc00,2418825:2418844|offset_101|444444&amp;v=2418540:2419044&amp;c=444444", "offset 80")</f>
        <v>offset 80</v>
      </c>
    </row>
    <row r="7595" customFormat="false" ht="12.8" hidden="false" customHeight="false" outlineLevel="0" collapsed="false">
      <c r="A7595" s="0" t="s">
        <v>12</v>
      </c>
      <c r="B7595" s="0" t="n">
        <v>2418824</v>
      </c>
      <c r="C7595" s="0" t="n">
        <v>2418844</v>
      </c>
      <c r="D7595" s="0" t="s">
        <v>25273</v>
      </c>
      <c r="E7595" s="0" t="s">
        <v>75</v>
      </c>
      <c r="F7595" s="0" t="s">
        <v>15</v>
      </c>
      <c r="G7595" s="0" t="s">
        <v>36</v>
      </c>
      <c r="H7595" s="0" t="n">
        <v>101</v>
      </c>
      <c r="I7595" s="0" t="s">
        <v>25283</v>
      </c>
      <c r="J7595" s="0" t="s">
        <v>25284</v>
      </c>
      <c r="K7595" s="0" t="s">
        <v>25285</v>
      </c>
      <c r="L7595" s="0" t="str">
        <f aca="false">HYPERLINK("https://www.ncbi.nlm.nih.gov/nuccore/CP000058.1?report=graph&amp;tracks=[key:gene_model_track,Options:GeneOnly]&amp;mk=2418741:2418760|offset_17|444444,2418770:2418789|offset_46|444444,2418804:2418823|offset_80|444444,2418825:2418844|offset_101|00cc00&amp;v=2418540:2419044&amp;c=444444", "offset 101")</f>
        <v>offset 101</v>
      </c>
    </row>
    <row r="7596" customFormat="false" ht="12.8" hidden="false" customHeight="false" outlineLevel="0" collapsed="false">
      <c r="A7596" s="0" t="s">
        <v>12</v>
      </c>
      <c r="B7596" s="0" t="n">
        <v>2419819</v>
      </c>
      <c r="C7596" s="0" t="n">
        <v>2419839</v>
      </c>
      <c r="D7596" s="0" t="s">
        <v>25286</v>
      </c>
      <c r="E7596" s="0" t="s">
        <v>75</v>
      </c>
      <c r="F7596" s="0" t="s">
        <v>15</v>
      </c>
      <c r="G7596" s="0" t="s">
        <v>36</v>
      </c>
      <c r="H7596" s="0" t="n">
        <v>16</v>
      </c>
      <c r="I7596" s="0" t="s">
        <v>25287</v>
      </c>
      <c r="J7596" s="0" t="s">
        <v>25288</v>
      </c>
      <c r="K7596" s="0" t="s">
        <v>25289</v>
      </c>
      <c r="L7596" s="0" t="str">
        <f aca="false">HYPERLINK("https://www.ncbi.nlm.nih.gov/nuccore/CP000058.1?report=graph&amp;tracks=[key:gene_model_track,Options:GeneOnly]&amp;mk=2419820:2419839|offset_16|00cc00,2419843:2419862|offset_39|444444,2419867:2419886|offset_63|444444,2419908:2419927|offset_104|444444&amp;v=2419619:2420127&amp;c=444444", "offset 16")</f>
        <v>offset 16</v>
      </c>
    </row>
    <row r="7597" customFormat="false" ht="12.8" hidden="false" customHeight="false" outlineLevel="0" collapsed="false">
      <c r="A7597" s="0" t="s">
        <v>12</v>
      </c>
      <c r="B7597" s="0" t="n">
        <v>2419842</v>
      </c>
      <c r="C7597" s="0" t="n">
        <v>2419862</v>
      </c>
      <c r="D7597" s="0" t="s">
        <v>25286</v>
      </c>
      <c r="E7597" s="0" t="s">
        <v>75</v>
      </c>
      <c r="F7597" s="0" t="s">
        <v>15</v>
      </c>
      <c r="G7597" s="0" t="s">
        <v>16</v>
      </c>
      <c r="H7597" s="0" t="n">
        <v>39</v>
      </c>
      <c r="I7597" s="0" t="s">
        <v>25290</v>
      </c>
      <c r="J7597" s="0" t="s">
        <v>25291</v>
      </c>
      <c r="K7597" s="0" t="s">
        <v>25292</v>
      </c>
      <c r="L7597" s="0" t="str">
        <f aca="false">HYPERLINK("https://www.ncbi.nlm.nih.gov/nuccore/CP000058.1?report=graph&amp;tracks=[key:gene_model_track,Options:GeneOnly]&amp;mk=2419820:2419839|offset_16|444444,2419843:2419862|offset_39|00cc00,2419867:2419886|offset_63|444444,2419908:2419927|offset_104|444444&amp;v=2419619:2420127&amp;c=444444", "offset 39")</f>
        <v>offset 39</v>
      </c>
    </row>
    <row r="7598" customFormat="false" ht="12.8" hidden="false" customHeight="false" outlineLevel="0" collapsed="false">
      <c r="A7598" s="0" t="s">
        <v>12</v>
      </c>
      <c r="B7598" s="0" t="n">
        <v>2419866</v>
      </c>
      <c r="C7598" s="0" t="n">
        <v>2419886</v>
      </c>
      <c r="D7598" s="0" t="s">
        <v>25286</v>
      </c>
      <c r="E7598" s="0" t="s">
        <v>75</v>
      </c>
      <c r="F7598" s="0" t="s">
        <v>15</v>
      </c>
      <c r="G7598" s="0" t="s">
        <v>16</v>
      </c>
      <c r="H7598" s="0" t="n">
        <v>63</v>
      </c>
      <c r="I7598" s="0" t="s">
        <v>25293</v>
      </c>
      <c r="J7598" s="0" t="s">
        <v>25294</v>
      </c>
      <c r="K7598" s="0" t="s">
        <v>25295</v>
      </c>
      <c r="L7598" s="0" t="str">
        <f aca="false">HYPERLINK("https://www.ncbi.nlm.nih.gov/nuccore/CP000058.1?report=graph&amp;tracks=[key:gene_model_track,Options:GeneOnly]&amp;mk=2419820:2419839|offset_16|444444,2419843:2419862|offset_39|444444,2419867:2419886|offset_63|00cc00,2419908:2419927|offset_104|444444&amp;v=2419619:2420127&amp;c=444444", "offset 63")</f>
        <v>offset 63</v>
      </c>
    </row>
    <row r="7599" customFormat="false" ht="12.8" hidden="false" customHeight="false" outlineLevel="0" collapsed="false">
      <c r="A7599" s="0" t="s">
        <v>12</v>
      </c>
      <c r="B7599" s="0" t="n">
        <v>2419907</v>
      </c>
      <c r="C7599" s="0" t="n">
        <v>2419927</v>
      </c>
      <c r="D7599" s="0" t="s">
        <v>25286</v>
      </c>
      <c r="E7599" s="0" t="s">
        <v>75</v>
      </c>
      <c r="F7599" s="0" t="s">
        <v>15</v>
      </c>
      <c r="G7599" s="0" t="s">
        <v>32</v>
      </c>
      <c r="H7599" s="0" t="n">
        <v>104</v>
      </c>
      <c r="I7599" s="0" t="s">
        <v>25296</v>
      </c>
      <c r="J7599" s="0" t="s">
        <v>25297</v>
      </c>
      <c r="K7599" s="0" t="s">
        <v>25298</v>
      </c>
      <c r="L7599" s="0" t="str">
        <f aca="false">HYPERLINK("https://www.ncbi.nlm.nih.gov/nuccore/CP000058.1?report=graph&amp;tracks=[key:gene_model_track,Options:GeneOnly]&amp;mk=2419820:2419839|offset_16|444444,2419843:2419862|offset_39|444444,2419867:2419886|offset_63|444444,2419908:2419927|offset_104|00cc00&amp;v=2419619:2420127&amp;c=444444", "offset 104")</f>
        <v>offset 104</v>
      </c>
    </row>
    <row r="7600" customFormat="false" ht="12.8" hidden="false" customHeight="false" outlineLevel="0" collapsed="false">
      <c r="A7600" s="0" t="s">
        <v>12</v>
      </c>
      <c r="B7600" s="0" t="n">
        <v>2420310</v>
      </c>
      <c r="C7600" s="0" t="n">
        <v>2420330</v>
      </c>
      <c r="D7600" s="0" t="s">
        <v>25299</v>
      </c>
      <c r="E7600" s="0" t="s">
        <v>75</v>
      </c>
      <c r="F7600" s="0" t="s">
        <v>15</v>
      </c>
      <c r="G7600" s="0" t="s">
        <v>32</v>
      </c>
      <c r="H7600" s="0" t="n">
        <v>1</v>
      </c>
      <c r="I7600" s="0" t="s">
        <v>25300</v>
      </c>
      <c r="J7600" s="0" t="s">
        <v>25301</v>
      </c>
      <c r="K7600" s="0" t="s">
        <v>25302</v>
      </c>
      <c r="L7600" s="0" t="str">
        <f aca="false">HYPERLINK("https://www.ncbi.nlm.nih.gov/nuccore/CP000058.1?report=graph&amp;tracks=[key:gene_model_track,Options:GeneOnly]&amp;mk=2420311:2420330|offset_1|00cc00,2420353:2420372|offset_43|444444,2420398:2420417|offset_88|444444,2420424:2420443|offset_114|444444&amp;v=2420110:2420643&amp;c=444444", "offset 1")</f>
        <v>offset 1</v>
      </c>
    </row>
    <row r="7601" customFormat="false" ht="12.8" hidden="false" customHeight="false" outlineLevel="0" collapsed="false">
      <c r="A7601" s="0" t="s">
        <v>12</v>
      </c>
      <c r="B7601" s="0" t="n">
        <v>2420352</v>
      </c>
      <c r="C7601" s="0" t="n">
        <v>2420372</v>
      </c>
      <c r="D7601" s="0" t="s">
        <v>25299</v>
      </c>
      <c r="E7601" s="0" t="s">
        <v>75</v>
      </c>
      <c r="F7601" s="0" t="s">
        <v>15</v>
      </c>
      <c r="G7601" s="0" t="s">
        <v>36</v>
      </c>
      <c r="H7601" s="0" t="n">
        <v>43</v>
      </c>
      <c r="I7601" s="0" t="s">
        <v>25303</v>
      </c>
      <c r="J7601" s="0" t="s">
        <v>25304</v>
      </c>
      <c r="K7601" s="0" t="s">
        <v>25305</v>
      </c>
      <c r="L7601" s="0" t="str">
        <f aca="false">HYPERLINK("https://www.ncbi.nlm.nih.gov/nuccore/CP000058.1?report=graph&amp;tracks=[key:gene_model_track,Options:GeneOnly]&amp;mk=2420311:2420330|offset_1|444444,2420353:2420372|offset_43|00cc00,2420398:2420417|offset_88|444444,2420424:2420443|offset_114|444444&amp;v=2420110:2420643&amp;c=444444", "offset 43")</f>
        <v>offset 43</v>
      </c>
    </row>
    <row r="7602" customFormat="false" ht="12.8" hidden="false" customHeight="false" outlineLevel="0" collapsed="false">
      <c r="A7602" s="0" t="s">
        <v>12</v>
      </c>
      <c r="B7602" s="0" t="n">
        <v>2420397</v>
      </c>
      <c r="C7602" s="0" t="n">
        <v>2420417</v>
      </c>
      <c r="D7602" s="0" t="s">
        <v>25299</v>
      </c>
      <c r="E7602" s="0" t="s">
        <v>75</v>
      </c>
      <c r="F7602" s="0" t="s">
        <v>15</v>
      </c>
      <c r="G7602" s="0" t="s">
        <v>16</v>
      </c>
      <c r="H7602" s="0" t="n">
        <v>88</v>
      </c>
      <c r="I7602" s="0" t="s">
        <v>25306</v>
      </c>
      <c r="J7602" s="0" t="s">
        <v>25307</v>
      </c>
      <c r="K7602" s="0" t="s">
        <v>25308</v>
      </c>
      <c r="L7602" s="0" t="str">
        <f aca="false">HYPERLINK("https://www.ncbi.nlm.nih.gov/nuccore/CP000058.1?report=graph&amp;tracks=[key:gene_model_track,Options:GeneOnly]&amp;mk=2420311:2420330|offset_1|444444,2420353:2420372|offset_43|444444,2420398:2420417|offset_88|00cc00,2420424:2420443|offset_114|444444&amp;v=2420110:2420643&amp;c=444444", "offset 88")</f>
        <v>offset 88</v>
      </c>
    </row>
    <row r="7603" customFormat="false" ht="12.8" hidden="false" customHeight="false" outlineLevel="0" collapsed="false">
      <c r="A7603" s="0" t="s">
        <v>12</v>
      </c>
      <c r="B7603" s="0" t="n">
        <v>2420423</v>
      </c>
      <c r="C7603" s="0" t="n">
        <v>2420443</v>
      </c>
      <c r="D7603" s="0" t="s">
        <v>25299</v>
      </c>
      <c r="E7603" s="0" t="s">
        <v>75</v>
      </c>
      <c r="F7603" s="0" t="s">
        <v>15</v>
      </c>
      <c r="G7603" s="0" t="s">
        <v>16</v>
      </c>
      <c r="H7603" s="0" t="n">
        <v>114</v>
      </c>
      <c r="I7603" s="0" t="s">
        <v>25309</v>
      </c>
      <c r="J7603" s="0" t="s">
        <v>25310</v>
      </c>
      <c r="K7603" s="0" t="s">
        <v>25311</v>
      </c>
      <c r="L7603" s="0" t="str">
        <f aca="false">HYPERLINK("https://www.ncbi.nlm.nih.gov/nuccore/CP000058.1?report=graph&amp;tracks=[key:gene_model_track,Options:GeneOnly]&amp;mk=2420311:2420330|offset_1|444444,2420353:2420372|offset_43|444444,2420398:2420417|offset_88|444444,2420424:2420443|offset_114|00cc00&amp;v=2420110:2420643&amp;c=444444", "offset 114")</f>
        <v>offset 114</v>
      </c>
    </row>
    <row r="7604" customFormat="false" ht="12.8" hidden="false" customHeight="false" outlineLevel="0" collapsed="false">
      <c r="A7604" s="0" t="s">
        <v>12</v>
      </c>
      <c r="B7604" s="0" t="n">
        <v>2421403</v>
      </c>
      <c r="C7604" s="0" t="n">
        <v>2421423</v>
      </c>
      <c r="D7604" s="0" t="s">
        <v>25312</v>
      </c>
      <c r="E7604" s="0" t="s">
        <v>75</v>
      </c>
      <c r="F7604" s="0" t="s">
        <v>15</v>
      </c>
      <c r="G7604" s="0" t="s">
        <v>16</v>
      </c>
      <c r="H7604" s="0" t="n">
        <v>12</v>
      </c>
      <c r="I7604" s="0" t="s">
        <v>25313</v>
      </c>
      <c r="J7604" s="0" t="s">
        <v>25314</v>
      </c>
      <c r="K7604" s="0" t="s">
        <v>25315</v>
      </c>
      <c r="L7604" s="0" t="str">
        <f aca="false">HYPERLINK("https://www.ncbi.nlm.nih.gov/nuccore/CP000058.1?report=graph&amp;tracks=[key:gene_model_track,Options:GeneOnly]&amp;mk=2421404:2421423|offset_12|00cc00,2421444:2421463|offset_52|444444,2421481:2421500|offset_89|444444,2421535:2421554|offset_143|444444&amp;v=2421203:2421754&amp;c=444444", "offset 12")</f>
        <v>offset 12</v>
      </c>
    </row>
    <row r="7605" customFormat="false" ht="12.8" hidden="false" customHeight="false" outlineLevel="0" collapsed="false">
      <c r="A7605" s="0" t="s">
        <v>12</v>
      </c>
      <c r="B7605" s="0" t="n">
        <v>2421443</v>
      </c>
      <c r="C7605" s="0" t="n">
        <v>2421463</v>
      </c>
      <c r="D7605" s="0" t="s">
        <v>25312</v>
      </c>
      <c r="E7605" s="0" t="s">
        <v>75</v>
      </c>
      <c r="F7605" s="0" t="s">
        <v>15</v>
      </c>
      <c r="G7605" s="0" t="s">
        <v>20</v>
      </c>
      <c r="H7605" s="0" t="n">
        <v>52</v>
      </c>
      <c r="I7605" s="0" t="s">
        <v>25316</v>
      </c>
      <c r="J7605" s="0" t="s">
        <v>25317</v>
      </c>
      <c r="K7605" s="0" t="s">
        <v>25318</v>
      </c>
      <c r="L7605" s="0" t="str">
        <f aca="false">HYPERLINK("https://www.ncbi.nlm.nih.gov/nuccore/CP000058.1?report=graph&amp;tracks=[key:gene_model_track,Options:GeneOnly]&amp;mk=2421404:2421423|offset_12|444444,2421444:2421463|offset_52|00cc00,2421481:2421500|offset_89|444444,2421535:2421554|offset_143|444444&amp;v=2421203:2421754&amp;c=444444", "offset 52")</f>
        <v>offset 52</v>
      </c>
    </row>
    <row r="7606" customFormat="false" ht="12.8" hidden="false" customHeight="false" outlineLevel="0" collapsed="false">
      <c r="A7606" s="0" t="s">
        <v>12</v>
      </c>
      <c r="B7606" s="0" t="n">
        <v>2421480</v>
      </c>
      <c r="C7606" s="0" t="n">
        <v>2421500</v>
      </c>
      <c r="D7606" s="0" t="s">
        <v>25312</v>
      </c>
      <c r="E7606" s="0" t="s">
        <v>75</v>
      </c>
      <c r="F7606" s="0" t="s">
        <v>15</v>
      </c>
      <c r="G7606" s="0" t="s">
        <v>20</v>
      </c>
      <c r="H7606" s="0" t="n">
        <v>89</v>
      </c>
      <c r="I7606" s="0" t="s">
        <v>25319</v>
      </c>
      <c r="J7606" s="0" t="s">
        <v>25320</v>
      </c>
      <c r="K7606" s="0" t="s">
        <v>25321</v>
      </c>
      <c r="L7606" s="0" t="str">
        <f aca="false">HYPERLINK("https://www.ncbi.nlm.nih.gov/nuccore/CP000058.1?report=graph&amp;tracks=[key:gene_model_track,Options:GeneOnly]&amp;mk=2421404:2421423|offset_12|444444,2421444:2421463|offset_52|444444,2421481:2421500|offset_89|00cc00,2421535:2421554|offset_143|444444&amp;v=2421203:2421754&amp;c=444444", "offset 89")</f>
        <v>offset 89</v>
      </c>
    </row>
    <row r="7607" customFormat="false" ht="12.8" hidden="false" customHeight="false" outlineLevel="0" collapsed="false">
      <c r="A7607" s="0" t="s">
        <v>12</v>
      </c>
      <c r="B7607" s="0" t="n">
        <v>2421534</v>
      </c>
      <c r="C7607" s="0" t="n">
        <v>2421554</v>
      </c>
      <c r="D7607" s="0" t="s">
        <v>25312</v>
      </c>
      <c r="E7607" s="0" t="s">
        <v>75</v>
      </c>
      <c r="F7607" s="0" t="s">
        <v>15</v>
      </c>
      <c r="G7607" s="0" t="s">
        <v>16</v>
      </c>
      <c r="H7607" s="0" t="n">
        <v>143</v>
      </c>
      <c r="I7607" s="0" t="s">
        <v>25322</v>
      </c>
      <c r="J7607" s="0" t="s">
        <v>25323</v>
      </c>
      <c r="K7607" s="0" t="s">
        <v>25324</v>
      </c>
      <c r="L7607" s="0" t="str">
        <f aca="false">HYPERLINK("https://www.ncbi.nlm.nih.gov/nuccore/CP000058.1?report=graph&amp;tracks=[key:gene_model_track,Options:GeneOnly]&amp;mk=2421404:2421423|offset_12|444444,2421444:2421463|offset_52|444444,2421481:2421500|offset_89|444444,2421535:2421554|offset_143|00cc00&amp;v=2421203:2421754&amp;c=444444", "offset 143")</f>
        <v>offset 143</v>
      </c>
    </row>
    <row r="7608" customFormat="false" ht="12.8" hidden="false" customHeight="false" outlineLevel="0" collapsed="false">
      <c r="A7608" s="0" t="s">
        <v>12</v>
      </c>
      <c r="B7608" s="0" t="n">
        <v>2421664</v>
      </c>
      <c r="C7608" s="0" t="n">
        <v>2421684</v>
      </c>
      <c r="D7608" s="0" t="s">
        <v>25325</v>
      </c>
      <c r="E7608" s="0" t="s">
        <v>75</v>
      </c>
      <c r="F7608" s="0" t="s">
        <v>15</v>
      </c>
      <c r="G7608" s="0" t="s">
        <v>36</v>
      </c>
      <c r="H7608" s="0" t="n">
        <v>22</v>
      </c>
      <c r="I7608" s="0" t="s">
        <v>25326</v>
      </c>
      <c r="J7608" s="0" t="s">
        <v>25327</v>
      </c>
      <c r="K7608" s="0" t="s">
        <v>25328</v>
      </c>
      <c r="L7608" s="0" t="str">
        <f aca="false">HYPERLINK("https://www.ncbi.nlm.nih.gov/nuccore/CP000058.1?report=graph&amp;tracks=[key:gene_model_track,Options:GeneOnly]&amp;mk=2421665:2421684|offset_22|00cc00,2421701:2421720|offset_58|444444,2421721:2421740|offset_78|444444,2421770:2421789|offset_127|444444&amp;v=2421464:2421989&amp;c=444444", "offset 22")</f>
        <v>offset 22</v>
      </c>
    </row>
    <row r="7609" customFormat="false" ht="12.8" hidden="false" customHeight="false" outlineLevel="0" collapsed="false">
      <c r="A7609" s="0" t="s">
        <v>12</v>
      </c>
      <c r="B7609" s="0" t="n">
        <v>2421700</v>
      </c>
      <c r="C7609" s="0" t="n">
        <v>2421720</v>
      </c>
      <c r="D7609" s="0" t="s">
        <v>25325</v>
      </c>
      <c r="E7609" s="0" t="s">
        <v>75</v>
      </c>
      <c r="F7609" s="0" t="s">
        <v>15</v>
      </c>
      <c r="G7609" s="0" t="s">
        <v>32</v>
      </c>
      <c r="H7609" s="0" t="n">
        <v>58</v>
      </c>
      <c r="I7609" s="0" t="s">
        <v>25329</v>
      </c>
      <c r="J7609" s="0" t="s">
        <v>25330</v>
      </c>
      <c r="K7609" s="0" t="s">
        <v>25331</v>
      </c>
      <c r="L7609" s="0" t="str">
        <f aca="false">HYPERLINK("https://www.ncbi.nlm.nih.gov/nuccore/CP000058.1?report=graph&amp;tracks=[key:gene_model_track,Options:GeneOnly]&amp;mk=2421665:2421684|offset_22|444444,2421701:2421720|offset_58|00cc00,2421721:2421740|offset_78|444444,2421770:2421789|offset_127|444444&amp;v=2421464:2421989&amp;c=444444", "offset 58")</f>
        <v>offset 58</v>
      </c>
    </row>
    <row r="7610" customFormat="false" ht="12.8" hidden="false" customHeight="false" outlineLevel="0" collapsed="false">
      <c r="A7610" s="0" t="s">
        <v>12</v>
      </c>
      <c r="B7610" s="0" t="n">
        <v>2421720</v>
      </c>
      <c r="C7610" s="0" t="n">
        <v>2421740</v>
      </c>
      <c r="D7610" s="0" t="s">
        <v>25325</v>
      </c>
      <c r="E7610" s="0" t="s">
        <v>75</v>
      </c>
      <c r="F7610" s="0" t="s">
        <v>15</v>
      </c>
      <c r="G7610" s="0" t="s">
        <v>20</v>
      </c>
      <c r="H7610" s="0" t="n">
        <v>78</v>
      </c>
      <c r="I7610" s="0" t="s">
        <v>25332</v>
      </c>
      <c r="J7610" s="0" t="s">
        <v>25333</v>
      </c>
      <c r="K7610" s="0" t="s">
        <v>25334</v>
      </c>
      <c r="L7610" s="0" t="str">
        <f aca="false">HYPERLINK("https://www.ncbi.nlm.nih.gov/nuccore/CP000058.1?report=graph&amp;tracks=[key:gene_model_track,Options:GeneOnly]&amp;mk=2421665:2421684|offset_22|444444,2421701:2421720|offset_58|444444,2421721:2421740|offset_78|00cc00,2421770:2421789|offset_127|444444&amp;v=2421464:2421989&amp;c=444444", "offset 78")</f>
        <v>offset 78</v>
      </c>
    </row>
    <row r="7611" customFormat="false" ht="12.8" hidden="false" customHeight="false" outlineLevel="0" collapsed="false">
      <c r="A7611" s="0" t="s">
        <v>12</v>
      </c>
      <c r="B7611" s="0" t="n">
        <v>2421769</v>
      </c>
      <c r="C7611" s="0" t="n">
        <v>2421789</v>
      </c>
      <c r="D7611" s="0" t="s">
        <v>25325</v>
      </c>
      <c r="E7611" s="0" t="s">
        <v>75</v>
      </c>
      <c r="F7611" s="0" t="s">
        <v>15</v>
      </c>
      <c r="G7611" s="0" t="s">
        <v>32</v>
      </c>
      <c r="H7611" s="0" t="n">
        <v>127</v>
      </c>
      <c r="I7611" s="0" t="s">
        <v>25335</v>
      </c>
      <c r="J7611" s="0" t="s">
        <v>25336</v>
      </c>
      <c r="K7611" s="0" t="s">
        <v>25337</v>
      </c>
      <c r="L7611" s="0" t="str">
        <f aca="false">HYPERLINK("https://www.ncbi.nlm.nih.gov/nuccore/CP000058.1?report=graph&amp;tracks=[key:gene_model_track,Options:GeneOnly]&amp;mk=2421665:2421684|offset_22|444444,2421701:2421720|offset_58|444444,2421721:2421740|offset_78|444444,2421770:2421789|offset_127|00cc00&amp;v=2421464:2421989&amp;c=444444", "offset 127")</f>
        <v>offset 127</v>
      </c>
    </row>
    <row r="7612" customFormat="false" ht="12.8" hidden="false" customHeight="false" outlineLevel="0" collapsed="false">
      <c r="A7612" s="0" t="s">
        <v>12</v>
      </c>
      <c r="B7612" s="0" t="n">
        <v>2422680</v>
      </c>
      <c r="C7612" s="0" t="n">
        <v>2422700</v>
      </c>
      <c r="D7612" s="0" t="s">
        <v>25338</v>
      </c>
      <c r="E7612" s="0" t="s">
        <v>75</v>
      </c>
      <c r="F7612" s="0" t="s">
        <v>15</v>
      </c>
      <c r="G7612" s="0" t="s">
        <v>32</v>
      </c>
      <c r="H7612" s="0" t="n">
        <v>38</v>
      </c>
      <c r="I7612" s="0" t="s">
        <v>25339</v>
      </c>
      <c r="J7612" s="0" t="s">
        <v>25340</v>
      </c>
      <c r="K7612" s="0" t="s">
        <v>25341</v>
      </c>
      <c r="L7612" s="0" t="str">
        <f aca="false">HYPERLINK("https://www.ncbi.nlm.nih.gov/nuccore/CP000058.1?report=graph&amp;tracks=[key:gene_model_track,Options:GeneOnly]&amp;mk=2422681:2422700|offset_38|00cc00,2422812:2422831|offset_169|444444,2422904:2422923|offset_261|444444,2422934:2422953|offset_291|444444&amp;v=2422480:2423153&amp;c=444444", "offset 38")</f>
        <v>offset 38</v>
      </c>
    </row>
    <row r="7613" customFormat="false" ht="12.8" hidden="false" customHeight="false" outlineLevel="0" collapsed="false">
      <c r="A7613" s="0" t="s">
        <v>12</v>
      </c>
      <c r="B7613" s="0" t="n">
        <v>2422811</v>
      </c>
      <c r="C7613" s="0" t="n">
        <v>2422831</v>
      </c>
      <c r="D7613" s="0" t="s">
        <v>25338</v>
      </c>
      <c r="E7613" s="0" t="s">
        <v>75</v>
      </c>
      <c r="F7613" s="0" t="s">
        <v>15</v>
      </c>
      <c r="G7613" s="0" t="s">
        <v>20</v>
      </c>
      <c r="H7613" s="0" t="n">
        <v>169</v>
      </c>
      <c r="I7613" s="0" t="s">
        <v>25342</v>
      </c>
      <c r="J7613" s="0" t="s">
        <v>25343</v>
      </c>
      <c r="K7613" s="0" t="s">
        <v>25344</v>
      </c>
      <c r="L7613" s="0" t="str">
        <f aca="false">HYPERLINK("https://www.ncbi.nlm.nih.gov/nuccore/CP000058.1?report=graph&amp;tracks=[key:gene_model_track,Options:GeneOnly]&amp;mk=2422681:2422700|offset_38|444444,2422812:2422831|offset_169|00cc00,2422904:2422923|offset_261|444444,2422934:2422953|offset_291|444444&amp;v=2422480:2423153&amp;c=444444", "offset 169")</f>
        <v>offset 169</v>
      </c>
    </row>
    <row r="7614" customFormat="false" ht="12.8" hidden="false" customHeight="false" outlineLevel="0" collapsed="false">
      <c r="A7614" s="0" t="s">
        <v>12</v>
      </c>
      <c r="B7614" s="0" t="n">
        <v>2422903</v>
      </c>
      <c r="C7614" s="0" t="n">
        <v>2422923</v>
      </c>
      <c r="D7614" s="0" t="s">
        <v>25338</v>
      </c>
      <c r="E7614" s="0" t="s">
        <v>75</v>
      </c>
      <c r="F7614" s="0" t="s">
        <v>15</v>
      </c>
      <c r="G7614" s="0" t="s">
        <v>32</v>
      </c>
      <c r="H7614" s="0" t="n">
        <v>261</v>
      </c>
      <c r="I7614" s="0" t="s">
        <v>25345</v>
      </c>
      <c r="J7614" s="0" t="s">
        <v>25346</v>
      </c>
      <c r="K7614" s="0" t="s">
        <v>25347</v>
      </c>
      <c r="L7614" s="0" t="str">
        <f aca="false">HYPERLINK("https://www.ncbi.nlm.nih.gov/nuccore/CP000058.1?report=graph&amp;tracks=[key:gene_model_track,Options:GeneOnly]&amp;mk=2422681:2422700|offset_38|444444,2422812:2422831|offset_169|444444,2422904:2422923|offset_261|00cc00,2422934:2422953|offset_291|444444&amp;v=2422480:2423153&amp;c=444444", "offset 261")</f>
        <v>offset 261</v>
      </c>
    </row>
    <row r="7615" customFormat="false" ht="12.8" hidden="false" customHeight="false" outlineLevel="0" collapsed="false">
      <c r="A7615" s="0" t="s">
        <v>12</v>
      </c>
      <c r="B7615" s="0" t="n">
        <v>2422933</v>
      </c>
      <c r="C7615" s="0" t="n">
        <v>2422953</v>
      </c>
      <c r="D7615" s="0" t="s">
        <v>25338</v>
      </c>
      <c r="E7615" s="0" t="s">
        <v>75</v>
      </c>
      <c r="F7615" s="0" t="s">
        <v>15</v>
      </c>
      <c r="G7615" s="0" t="s">
        <v>36</v>
      </c>
      <c r="H7615" s="0" t="n">
        <v>291</v>
      </c>
      <c r="I7615" s="0" t="s">
        <v>25348</v>
      </c>
      <c r="J7615" s="0" t="s">
        <v>25349</v>
      </c>
      <c r="K7615" s="0" t="s">
        <v>25350</v>
      </c>
      <c r="L7615" s="0" t="str">
        <f aca="false">HYPERLINK("https://www.ncbi.nlm.nih.gov/nuccore/CP000058.1?report=graph&amp;tracks=[key:gene_model_track,Options:GeneOnly]&amp;mk=2422681:2422700|offset_38|444444,2422812:2422831|offset_169|444444,2422904:2422923|offset_261|444444,2422934:2422953|offset_291|00cc00&amp;v=2422480:2423153&amp;c=444444", "offset 291")</f>
        <v>offset 291</v>
      </c>
    </row>
    <row r="7616" customFormat="false" ht="12.8" hidden="false" customHeight="false" outlineLevel="0" collapsed="false">
      <c r="A7616" s="0" t="s">
        <v>12</v>
      </c>
      <c r="B7616" s="0" t="n">
        <v>2423264</v>
      </c>
      <c r="C7616" s="0" t="n">
        <v>2423284</v>
      </c>
      <c r="D7616" s="0" t="s">
        <v>25351</v>
      </c>
      <c r="E7616" s="0" t="s">
        <v>75</v>
      </c>
      <c r="F7616" s="0" t="s">
        <v>15</v>
      </c>
      <c r="G7616" s="0" t="s">
        <v>20</v>
      </c>
      <c r="H7616" s="0" t="n">
        <v>19</v>
      </c>
      <c r="I7616" s="0" t="s">
        <v>25352</v>
      </c>
      <c r="J7616" s="0" t="s">
        <v>25353</v>
      </c>
      <c r="K7616" s="0" t="s">
        <v>25354</v>
      </c>
      <c r="L7616" s="0" t="str">
        <f aca="false">HYPERLINK("https://www.ncbi.nlm.nih.gov/nuccore/CP000058.1?report=graph&amp;tracks=[key:gene_model_track,Options:GeneOnly]&amp;mk=2423265:2423284|offset_19|00cc00,2423295:2423314|offset_49|444444,2423326:2423345|offset_80|444444,2423355:2423374|offset_109|444444&amp;v=2423064:2423574&amp;c=444444", "offset 19")</f>
        <v>offset 19</v>
      </c>
    </row>
    <row r="7617" customFormat="false" ht="12.8" hidden="false" customHeight="false" outlineLevel="0" collapsed="false">
      <c r="A7617" s="0" t="s">
        <v>12</v>
      </c>
      <c r="B7617" s="0" t="n">
        <v>2423294</v>
      </c>
      <c r="C7617" s="0" t="n">
        <v>2423314</v>
      </c>
      <c r="D7617" s="0" t="s">
        <v>25351</v>
      </c>
      <c r="E7617" s="0" t="s">
        <v>75</v>
      </c>
      <c r="F7617" s="0" t="s">
        <v>15</v>
      </c>
      <c r="G7617" s="0" t="s">
        <v>16</v>
      </c>
      <c r="H7617" s="0" t="n">
        <v>49</v>
      </c>
      <c r="I7617" s="0" t="s">
        <v>25355</v>
      </c>
      <c r="J7617" s="0" t="s">
        <v>25356</v>
      </c>
      <c r="K7617" s="0" t="s">
        <v>25357</v>
      </c>
      <c r="L7617" s="0" t="str">
        <f aca="false">HYPERLINK("https://www.ncbi.nlm.nih.gov/nuccore/CP000058.1?report=graph&amp;tracks=[key:gene_model_track,Options:GeneOnly]&amp;mk=2423265:2423284|offset_19|444444,2423295:2423314|offset_49|00cc00,2423326:2423345|offset_80|444444,2423355:2423374|offset_109|444444&amp;v=2423064:2423574&amp;c=444444", "offset 49")</f>
        <v>offset 49</v>
      </c>
    </row>
    <row r="7618" customFormat="false" ht="12.8" hidden="false" customHeight="false" outlineLevel="0" collapsed="false">
      <c r="A7618" s="0" t="s">
        <v>12</v>
      </c>
      <c r="B7618" s="0" t="n">
        <v>2423325</v>
      </c>
      <c r="C7618" s="0" t="n">
        <v>2423345</v>
      </c>
      <c r="D7618" s="0" t="s">
        <v>25351</v>
      </c>
      <c r="E7618" s="0" t="s">
        <v>75</v>
      </c>
      <c r="F7618" s="0" t="s">
        <v>15</v>
      </c>
      <c r="G7618" s="0" t="s">
        <v>32</v>
      </c>
      <c r="H7618" s="0" t="n">
        <v>80</v>
      </c>
      <c r="I7618" s="0" t="s">
        <v>25358</v>
      </c>
      <c r="J7618" s="0" t="s">
        <v>25359</v>
      </c>
      <c r="K7618" s="0" t="s">
        <v>25360</v>
      </c>
      <c r="L7618" s="0" t="str">
        <f aca="false">HYPERLINK("https://www.ncbi.nlm.nih.gov/nuccore/CP000058.1?report=graph&amp;tracks=[key:gene_model_track,Options:GeneOnly]&amp;mk=2423265:2423284|offset_19|444444,2423295:2423314|offset_49|444444,2423326:2423345|offset_80|00cc00,2423355:2423374|offset_109|444444&amp;v=2423064:2423574&amp;c=444444", "offset 80")</f>
        <v>offset 80</v>
      </c>
    </row>
    <row r="7619" customFormat="false" ht="12.8" hidden="false" customHeight="false" outlineLevel="0" collapsed="false">
      <c r="A7619" s="0" t="s">
        <v>12</v>
      </c>
      <c r="B7619" s="0" t="n">
        <v>2423354</v>
      </c>
      <c r="C7619" s="0" t="n">
        <v>2423374</v>
      </c>
      <c r="D7619" s="0" t="s">
        <v>25351</v>
      </c>
      <c r="E7619" s="0" t="s">
        <v>75</v>
      </c>
      <c r="F7619" s="0" t="s">
        <v>15</v>
      </c>
      <c r="G7619" s="0" t="s">
        <v>32</v>
      </c>
      <c r="H7619" s="0" t="n">
        <v>109</v>
      </c>
      <c r="I7619" s="0" t="s">
        <v>25361</v>
      </c>
      <c r="J7619" s="0" t="s">
        <v>25362</v>
      </c>
      <c r="K7619" s="0" t="s">
        <v>25363</v>
      </c>
      <c r="L7619" s="0" t="str">
        <f aca="false">HYPERLINK("https://www.ncbi.nlm.nih.gov/nuccore/CP000058.1?report=graph&amp;tracks=[key:gene_model_track,Options:GeneOnly]&amp;mk=2423265:2423284|offset_19|444444,2423295:2423314|offset_49|444444,2423326:2423345|offset_80|444444,2423355:2423374|offset_109|00cc00&amp;v=2423064:2423574&amp;c=444444", "offset 109")</f>
        <v>offset 109</v>
      </c>
    </row>
    <row r="7620" customFormat="false" ht="12.8" hidden="false" customHeight="false" outlineLevel="0" collapsed="false">
      <c r="A7620" s="0" t="s">
        <v>12</v>
      </c>
      <c r="B7620" s="0" t="n">
        <v>2425078</v>
      </c>
      <c r="C7620" s="0" t="n">
        <v>2425098</v>
      </c>
      <c r="D7620" s="0" t="s">
        <v>25364</v>
      </c>
      <c r="E7620" s="0" t="s">
        <v>25365</v>
      </c>
      <c r="F7620" s="0" t="s">
        <v>90</v>
      </c>
      <c r="G7620" s="0" t="s">
        <v>16</v>
      </c>
      <c r="H7620" s="0" t="n">
        <v>31</v>
      </c>
      <c r="I7620" s="0" t="s">
        <v>25366</v>
      </c>
      <c r="J7620" s="0" t="s">
        <v>25367</v>
      </c>
      <c r="K7620" s="0" t="s">
        <v>25368</v>
      </c>
      <c r="L7620" s="0" t="str">
        <f aca="false">HYPERLINK("https://www.ncbi.nlm.nih.gov/nuccore/CP000058.1?report=graph&amp;tracks=[key:gene_model_track,Options:GeneOnly]&amp;mk=2425079:2425098|offset_31|00cc00,2425052:2425071|offset_58|444444,2425022:2425041|offset_88|444444,2424989:2425008|offset_121|444444&amp;v=2424878:2425208&amp;c=444444", "offset 31")</f>
        <v>offset 31</v>
      </c>
    </row>
    <row r="7621" customFormat="false" ht="12.8" hidden="false" customHeight="false" outlineLevel="0" collapsed="false">
      <c r="A7621" s="0" t="s">
        <v>12</v>
      </c>
      <c r="B7621" s="0" t="n">
        <v>2425051</v>
      </c>
      <c r="C7621" s="0" t="n">
        <v>2425071</v>
      </c>
      <c r="D7621" s="0" t="s">
        <v>25364</v>
      </c>
      <c r="E7621" s="0" t="s">
        <v>25365</v>
      </c>
      <c r="F7621" s="0" t="s">
        <v>90</v>
      </c>
      <c r="G7621" s="0" t="s">
        <v>36</v>
      </c>
      <c r="H7621" s="0" t="n">
        <v>58</v>
      </c>
      <c r="I7621" s="0" t="s">
        <v>25369</v>
      </c>
      <c r="J7621" s="0" t="s">
        <v>25370</v>
      </c>
      <c r="K7621" s="0" t="s">
        <v>25371</v>
      </c>
      <c r="L7621" s="0" t="str">
        <f aca="false">HYPERLINK("https://www.ncbi.nlm.nih.gov/nuccore/CP000058.1?report=graph&amp;tracks=[key:gene_model_track,Options:GeneOnly]&amp;mk=2425079:2425098|offset_31|444444,2425052:2425071|offset_58|00cc00,2425022:2425041|offset_88|444444,2424989:2425008|offset_121|444444&amp;v=2424878:2425208&amp;c=444444", "offset 58")</f>
        <v>offset 58</v>
      </c>
    </row>
    <row r="7622" customFormat="false" ht="12.8" hidden="false" customHeight="false" outlineLevel="0" collapsed="false">
      <c r="A7622" s="0" t="s">
        <v>12</v>
      </c>
      <c r="B7622" s="0" t="n">
        <v>2425021</v>
      </c>
      <c r="C7622" s="0" t="n">
        <v>2425041</v>
      </c>
      <c r="D7622" s="0" t="s">
        <v>25364</v>
      </c>
      <c r="E7622" s="0" t="s">
        <v>25365</v>
      </c>
      <c r="F7622" s="0" t="s">
        <v>90</v>
      </c>
      <c r="G7622" s="0" t="s">
        <v>16</v>
      </c>
      <c r="H7622" s="0" t="n">
        <v>88</v>
      </c>
      <c r="I7622" s="0" t="s">
        <v>25372</v>
      </c>
      <c r="J7622" s="0" t="s">
        <v>25373</v>
      </c>
      <c r="K7622" s="0" t="s">
        <v>25374</v>
      </c>
      <c r="L7622" s="0" t="str">
        <f aca="false">HYPERLINK("https://www.ncbi.nlm.nih.gov/nuccore/CP000058.1?report=graph&amp;tracks=[key:gene_model_track,Options:GeneOnly]&amp;mk=2425079:2425098|offset_31|444444,2425052:2425071|offset_58|444444,2425022:2425041|offset_88|00cc00,2424989:2425008|offset_121|444444&amp;v=2424878:2425208&amp;c=444444", "offset 88")</f>
        <v>offset 88</v>
      </c>
    </row>
    <row r="7623" customFormat="false" ht="12.8" hidden="false" customHeight="false" outlineLevel="0" collapsed="false">
      <c r="A7623" s="0" t="s">
        <v>12</v>
      </c>
      <c r="B7623" s="0" t="n">
        <v>2424988</v>
      </c>
      <c r="C7623" s="0" t="n">
        <v>2425008</v>
      </c>
      <c r="D7623" s="0" t="s">
        <v>25364</v>
      </c>
      <c r="E7623" s="0" t="s">
        <v>25365</v>
      </c>
      <c r="F7623" s="0" t="s">
        <v>90</v>
      </c>
      <c r="G7623" s="0" t="s">
        <v>16</v>
      </c>
      <c r="H7623" s="0" t="n">
        <v>121</v>
      </c>
      <c r="I7623" s="0" t="s">
        <v>25375</v>
      </c>
      <c r="J7623" s="0" t="s">
        <v>25376</v>
      </c>
      <c r="K7623" s="0" t="s">
        <v>25377</v>
      </c>
      <c r="L7623" s="0" t="str">
        <f aca="false">HYPERLINK("https://www.ncbi.nlm.nih.gov/nuccore/CP000058.1?report=graph&amp;tracks=[key:gene_model_track,Options:GeneOnly]&amp;mk=2425079:2425098|offset_31|444444,2425052:2425071|offset_58|444444,2425022:2425041|offset_88|444444,2424989:2425008|offset_121|00cc00&amp;v=2424878:2425208&amp;c=444444", "offset 121")</f>
        <v>offset 121</v>
      </c>
    </row>
    <row r="7624" customFormat="false" ht="12.8" hidden="false" customHeight="false" outlineLevel="0" collapsed="false">
      <c r="A7624" s="0" t="s">
        <v>12</v>
      </c>
      <c r="B7624" s="0" t="n">
        <v>2427833</v>
      </c>
      <c r="C7624" s="0" t="n">
        <v>2427853</v>
      </c>
      <c r="D7624" s="0" t="s">
        <v>25378</v>
      </c>
      <c r="E7624" s="0" t="s">
        <v>75</v>
      </c>
      <c r="F7624" s="0" t="s">
        <v>90</v>
      </c>
      <c r="G7624" s="0" t="s">
        <v>32</v>
      </c>
      <c r="H7624" s="0" t="n">
        <v>7</v>
      </c>
      <c r="I7624" s="0" t="s">
        <v>25379</v>
      </c>
      <c r="J7624" s="0" t="s">
        <v>25380</v>
      </c>
      <c r="K7624" s="0" t="s">
        <v>25381</v>
      </c>
      <c r="L7624" s="0" t="str">
        <f aca="false">HYPERLINK("https://www.ncbi.nlm.nih.gov/nuccore/CP000058.1?report=graph&amp;tracks=[key:gene_model_track,Options:GeneOnly]&amp;mk=2427834:2427853|offset_7|00cc00,2427804:2427823|offset_37|444444,2427737:2427756|offset_104|444444,2427710:2427729|offset_131|444444&amp;v=2427633:2427929&amp;c=444444", "offset 7")</f>
        <v>offset 7</v>
      </c>
    </row>
    <row r="7625" customFormat="false" ht="12.8" hidden="false" customHeight="false" outlineLevel="0" collapsed="false">
      <c r="A7625" s="0" t="s">
        <v>12</v>
      </c>
      <c r="B7625" s="0" t="n">
        <v>2427803</v>
      </c>
      <c r="C7625" s="0" t="n">
        <v>2427823</v>
      </c>
      <c r="D7625" s="0" t="s">
        <v>25378</v>
      </c>
      <c r="E7625" s="0" t="s">
        <v>75</v>
      </c>
      <c r="F7625" s="0" t="s">
        <v>90</v>
      </c>
      <c r="G7625" s="0" t="s">
        <v>16</v>
      </c>
      <c r="H7625" s="0" t="n">
        <v>37</v>
      </c>
      <c r="I7625" s="0" t="s">
        <v>25382</v>
      </c>
      <c r="J7625" s="0" t="s">
        <v>25383</v>
      </c>
      <c r="K7625" s="0" t="s">
        <v>25384</v>
      </c>
      <c r="L7625" s="0" t="str">
        <f aca="false">HYPERLINK("https://www.ncbi.nlm.nih.gov/nuccore/CP000058.1?report=graph&amp;tracks=[key:gene_model_track,Options:GeneOnly]&amp;mk=2427834:2427853|offset_7|444444,2427804:2427823|offset_37|00cc00,2427737:2427756|offset_104|444444,2427710:2427729|offset_131|444444&amp;v=2427633:2427929&amp;c=444444", "offset 37")</f>
        <v>offset 37</v>
      </c>
    </row>
    <row r="7626" customFormat="false" ht="12.8" hidden="false" customHeight="false" outlineLevel="0" collapsed="false">
      <c r="A7626" s="0" t="s">
        <v>12</v>
      </c>
      <c r="B7626" s="0" t="n">
        <v>2427736</v>
      </c>
      <c r="C7626" s="0" t="n">
        <v>2427756</v>
      </c>
      <c r="D7626" s="0" t="s">
        <v>25378</v>
      </c>
      <c r="E7626" s="0" t="s">
        <v>75</v>
      </c>
      <c r="F7626" s="0" t="s">
        <v>90</v>
      </c>
      <c r="G7626" s="0" t="s">
        <v>20</v>
      </c>
      <c r="H7626" s="0" t="n">
        <v>104</v>
      </c>
      <c r="I7626" s="0" t="s">
        <v>25385</v>
      </c>
      <c r="J7626" s="0" t="s">
        <v>25386</v>
      </c>
      <c r="K7626" s="0" t="s">
        <v>25387</v>
      </c>
      <c r="L7626" s="0" t="str">
        <f aca="false">HYPERLINK("https://www.ncbi.nlm.nih.gov/nuccore/CP000058.1?report=graph&amp;tracks=[key:gene_model_track,Options:GeneOnly]&amp;mk=2427834:2427853|offset_7|444444,2427804:2427823|offset_37|444444,2427737:2427756|offset_104|00cc00,2427710:2427729|offset_131|444444&amp;v=2427633:2427929&amp;c=444444", "offset 104")</f>
        <v>offset 104</v>
      </c>
    </row>
    <row r="7627" customFormat="false" ht="12.8" hidden="false" customHeight="false" outlineLevel="0" collapsed="false">
      <c r="A7627" s="0" t="s">
        <v>12</v>
      </c>
      <c r="B7627" s="0" t="n">
        <v>2427709</v>
      </c>
      <c r="C7627" s="0" t="n">
        <v>2427729</v>
      </c>
      <c r="D7627" s="0" t="s">
        <v>25378</v>
      </c>
      <c r="E7627" s="0" t="s">
        <v>75</v>
      </c>
      <c r="F7627" s="0" t="s">
        <v>90</v>
      </c>
      <c r="G7627" s="0" t="s">
        <v>36</v>
      </c>
      <c r="H7627" s="0" t="n">
        <v>131</v>
      </c>
      <c r="I7627" s="0" t="s">
        <v>25388</v>
      </c>
      <c r="J7627" s="0" t="s">
        <v>25389</v>
      </c>
      <c r="K7627" s="0" t="s">
        <v>25390</v>
      </c>
      <c r="L7627" s="0" t="str">
        <f aca="false">HYPERLINK("https://www.ncbi.nlm.nih.gov/nuccore/CP000058.1?report=graph&amp;tracks=[key:gene_model_track,Options:GeneOnly]&amp;mk=2427834:2427853|offset_7|444444,2427804:2427823|offset_37|444444,2427737:2427756|offset_104|444444,2427710:2427729|offset_131|00cc00&amp;v=2427633:2427929&amp;c=444444", "offset 131")</f>
        <v>offset 131</v>
      </c>
    </row>
    <row r="7628" customFormat="false" ht="12.8" hidden="false" customHeight="false" outlineLevel="0" collapsed="false">
      <c r="A7628" s="0" t="s">
        <v>12</v>
      </c>
      <c r="B7628" s="0" t="n">
        <v>2429023</v>
      </c>
      <c r="C7628" s="0" t="n">
        <v>2429043</v>
      </c>
      <c r="D7628" s="0" t="s">
        <v>25391</v>
      </c>
      <c r="E7628" s="0" t="s">
        <v>75</v>
      </c>
      <c r="F7628" s="0" t="s">
        <v>90</v>
      </c>
      <c r="G7628" s="0" t="s">
        <v>16</v>
      </c>
      <c r="H7628" s="0" t="n">
        <v>43</v>
      </c>
      <c r="I7628" s="0" t="s">
        <v>25392</v>
      </c>
      <c r="J7628" s="0" t="s">
        <v>25393</v>
      </c>
      <c r="K7628" s="0" t="s">
        <v>25394</v>
      </c>
      <c r="L7628" s="0" t="str">
        <f aca="false">HYPERLINK("https://www.ncbi.nlm.nih.gov/nuccore/CP000058.1?report=graph&amp;tracks=[key:gene_model_track,Options:GeneOnly]&amp;mk=2429024:2429043|offset_43|00cc00,2428981:2429000|offset_86|444444,2428955:2428974|offset_112|444444,2428933:2428952|offset_134|444444&amp;v=2428823:2429152&amp;c=444444", "offset 43")</f>
        <v>offset 43</v>
      </c>
    </row>
    <row r="7629" customFormat="false" ht="12.8" hidden="false" customHeight="false" outlineLevel="0" collapsed="false">
      <c r="A7629" s="0" t="s">
        <v>12</v>
      </c>
      <c r="B7629" s="0" t="n">
        <v>2428980</v>
      </c>
      <c r="C7629" s="0" t="n">
        <v>2429000</v>
      </c>
      <c r="D7629" s="0" t="s">
        <v>25391</v>
      </c>
      <c r="E7629" s="0" t="s">
        <v>75</v>
      </c>
      <c r="F7629" s="0" t="s">
        <v>90</v>
      </c>
      <c r="G7629" s="0" t="s">
        <v>20</v>
      </c>
      <c r="H7629" s="0" t="n">
        <v>86</v>
      </c>
      <c r="I7629" s="0" t="s">
        <v>25395</v>
      </c>
      <c r="J7629" s="0" t="s">
        <v>25396</v>
      </c>
      <c r="K7629" s="0" t="s">
        <v>25397</v>
      </c>
      <c r="L7629" s="0" t="str">
        <f aca="false">HYPERLINK("https://www.ncbi.nlm.nih.gov/nuccore/CP000058.1?report=graph&amp;tracks=[key:gene_model_track,Options:GeneOnly]&amp;mk=2429024:2429043|offset_43|444444,2428981:2429000|offset_86|00cc00,2428955:2428974|offset_112|444444,2428933:2428952|offset_134|444444&amp;v=2428823:2429152&amp;c=444444", "offset 86")</f>
        <v>offset 86</v>
      </c>
    </row>
    <row r="7630" customFormat="false" ht="12.8" hidden="false" customHeight="false" outlineLevel="0" collapsed="false">
      <c r="A7630" s="0" t="s">
        <v>12</v>
      </c>
      <c r="B7630" s="0" t="n">
        <v>2428954</v>
      </c>
      <c r="C7630" s="0" t="n">
        <v>2428974</v>
      </c>
      <c r="D7630" s="0" t="s">
        <v>25391</v>
      </c>
      <c r="E7630" s="0" t="s">
        <v>75</v>
      </c>
      <c r="F7630" s="0" t="s">
        <v>90</v>
      </c>
      <c r="G7630" s="0" t="s">
        <v>16</v>
      </c>
      <c r="H7630" s="0" t="n">
        <v>112</v>
      </c>
      <c r="I7630" s="0" t="s">
        <v>25398</v>
      </c>
      <c r="J7630" s="0" t="s">
        <v>25399</v>
      </c>
      <c r="K7630" s="0" t="s">
        <v>25400</v>
      </c>
      <c r="L7630" s="0" t="str">
        <f aca="false">HYPERLINK("https://www.ncbi.nlm.nih.gov/nuccore/CP000058.1?report=graph&amp;tracks=[key:gene_model_track,Options:GeneOnly]&amp;mk=2429024:2429043|offset_43|444444,2428981:2429000|offset_86|444444,2428955:2428974|offset_112|00cc00,2428933:2428952|offset_134|444444&amp;v=2428823:2429152&amp;c=444444", "offset 112")</f>
        <v>offset 112</v>
      </c>
    </row>
    <row r="7631" customFormat="false" ht="12.8" hidden="false" customHeight="false" outlineLevel="0" collapsed="false">
      <c r="A7631" s="0" t="s">
        <v>12</v>
      </c>
      <c r="B7631" s="0" t="n">
        <v>2428932</v>
      </c>
      <c r="C7631" s="0" t="n">
        <v>2428952</v>
      </c>
      <c r="D7631" s="0" t="s">
        <v>25391</v>
      </c>
      <c r="E7631" s="0" t="s">
        <v>75</v>
      </c>
      <c r="F7631" s="0" t="s">
        <v>90</v>
      </c>
      <c r="G7631" s="0" t="s">
        <v>16</v>
      </c>
      <c r="H7631" s="0" t="n">
        <v>134</v>
      </c>
      <c r="I7631" s="0" t="s">
        <v>25401</v>
      </c>
      <c r="J7631" s="0" t="s">
        <v>25402</v>
      </c>
      <c r="K7631" s="0" t="s">
        <v>25403</v>
      </c>
      <c r="L7631" s="0" t="str">
        <f aca="false">HYPERLINK("https://www.ncbi.nlm.nih.gov/nuccore/CP000058.1?report=graph&amp;tracks=[key:gene_model_track,Options:GeneOnly]&amp;mk=2429024:2429043|offset_43|444444,2428981:2429000|offset_86|444444,2428955:2428974|offset_112|444444,2428933:2428952|offset_134|00cc00&amp;v=2428823:2429152&amp;c=444444", "offset 134")</f>
        <v>offset 134</v>
      </c>
    </row>
    <row r="7632" customFormat="false" ht="12.8" hidden="false" customHeight="false" outlineLevel="0" collapsed="false">
      <c r="A7632" s="0" t="s">
        <v>12</v>
      </c>
      <c r="B7632" s="0" t="n">
        <v>2431004</v>
      </c>
      <c r="C7632" s="0" t="n">
        <v>2431024</v>
      </c>
      <c r="D7632" s="0" t="s">
        <v>25404</v>
      </c>
      <c r="E7632" s="0" t="s">
        <v>75</v>
      </c>
      <c r="F7632" s="0" t="s">
        <v>90</v>
      </c>
      <c r="G7632" s="0" t="s">
        <v>16</v>
      </c>
      <c r="H7632" s="0" t="n">
        <v>0</v>
      </c>
      <c r="I7632" s="0" t="s">
        <v>25405</v>
      </c>
      <c r="J7632" s="0" t="s">
        <v>25406</v>
      </c>
      <c r="K7632" s="0" t="s">
        <v>25407</v>
      </c>
      <c r="L7632" s="0" t="str">
        <f aca="false">HYPERLINK("https://www.ncbi.nlm.nih.gov/nuccore/CP000058.1?report=graph&amp;tracks=[key:gene_model_track,Options:GeneOnly]&amp;mk=2431005:2431024|offset_0|00cc00,2430968:2430987|offset_37|444444,2430931:2430950|offset_74|444444,2430905:2430924|offset_100|444444&amp;v=2430804:2431124&amp;c=444444", "offset 0")</f>
        <v>offset 0</v>
      </c>
    </row>
    <row r="7633" customFormat="false" ht="12.8" hidden="false" customHeight="false" outlineLevel="0" collapsed="false">
      <c r="A7633" s="0" t="s">
        <v>12</v>
      </c>
      <c r="B7633" s="0" t="n">
        <v>2430967</v>
      </c>
      <c r="C7633" s="0" t="n">
        <v>2430987</v>
      </c>
      <c r="D7633" s="0" t="s">
        <v>25404</v>
      </c>
      <c r="E7633" s="0" t="s">
        <v>75</v>
      </c>
      <c r="F7633" s="0" t="s">
        <v>90</v>
      </c>
      <c r="G7633" s="0" t="s">
        <v>32</v>
      </c>
      <c r="H7633" s="0" t="n">
        <v>37</v>
      </c>
      <c r="I7633" s="0" t="s">
        <v>25408</v>
      </c>
      <c r="J7633" s="0" t="s">
        <v>25409</v>
      </c>
      <c r="K7633" s="0" t="s">
        <v>25410</v>
      </c>
      <c r="L7633" s="0" t="str">
        <f aca="false">HYPERLINK("https://www.ncbi.nlm.nih.gov/nuccore/CP000058.1?report=graph&amp;tracks=[key:gene_model_track,Options:GeneOnly]&amp;mk=2431005:2431024|offset_0|444444,2430968:2430987|offset_37|00cc00,2430931:2430950|offset_74|444444,2430905:2430924|offset_100|444444&amp;v=2430804:2431124&amp;c=444444", "offset 37")</f>
        <v>offset 37</v>
      </c>
    </row>
    <row r="7634" customFormat="false" ht="12.8" hidden="false" customHeight="false" outlineLevel="0" collapsed="false">
      <c r="A7634" s="0" t="s">
        <v>12</v>
      </c>
      <c r="B7634" s="0" t="n">
        <v>2430930</v>
      </c>
      <c r="C7634" s="0" t="n">
        <v>2430950</v>
      </c>
      <c r="D7634" s="0" t="s">
        <v>25404</v>
      </c>
      <c r="E7634" s="0" t="s">
        <v>75</v>
      </c>
      <c r="F7634" s="0" t="s">
        <v>90</v>
      </c>
      <c r="G7634" s="0" t="s">
        <v>20</v>
      </c>
      <c r="H7634" s="0" t="n">
        <v>74</v>
      </c>
      <c r="I7634" s="0" t="s">
        <v>25411</v>
      </c>
      <c r="J7634" s="0" t="s">
        <v>25412</v>
      </c>
      <c r="K7634" s="0" t="s">
        <v>25413</v>
      </c>
      <c r="L7634" s="0" t="str">
        <f aca="false">HYPERLINK("https://www.ncbi.nlm.nih.gov/nuccore/CP000058.1?report=graph&amp;tracks=[key:gene_model_track,Options:GeneOnly]&amp;mk=2431005:2431024|offset_0|444444,2430968:2430987|offset_37|444444,2430931:2430950|offset_74|00cc00,2430905:2430924|offset_100|444444&amp;v=2430804:2431124&amp;c=444444", "offset 74")</f>
        <v>offset 74</v>
      </c>
    </row>
    <row r="7635" customFormat="false" ht="12.8" hidden="false" customHeight="false" outlineLevel="0" collapsed="false">
      <c r="A7635" s="0" t="s">
        <v>12</v>
      </c>
      <c r="B7635" s="0" t="n">
        <v>2430904</v>
      </c>
      <c r="C7635" s="0" t="n">
        <v>2430924</v>
      </c>
      <c r="D7635" s="0" t="s">
        <v>25404</v>
      </c>
      <c r="E7635" s="0" t="s">
        <v>75</v>
      </c>
      <c r="F7635" s="0" t="s">
        <v>90</v>
      </c>
      <c r="G7635" s="0" t="s">
        <v>16</v>
      </c>
      <c r="H7635" s="0" t="n">
        <v>100</v>
      </c>
      <c r="I7635" s="0" t="s">
        <v>25414</v>
      </c>
      <c r="J7635" s="0" t="s">
        <v>25415</v>
      </c>
      <c r="K7635" s="0" t="s">
        <v>25416</v>
      </c>
      <c r="L7635" s="0" t="str">
        <f aca="false">HYPERLINK("https://www.ncbi.nlm.nih.gov/nuccore/CP000058.1?report=graph&amp;tracks=[key:gene_model_track,Options:GeneOnly]&amp;mk=2431005:2431024|offset_0|444444,2430968:2430987|offset_37|444444,2430931:2430950|offset_74|444444,2430905:2430924|offset_100|00cc00&amp;v=2430804:2431124&amp;c=444444", "offset 100")</f>
        <v>offset 100</v>
      </c>
    </row>
    <row r="7636" customFormat="false" ht="12.8" hidden="false" customHeight="false" outlineLevel="0" collapsed="false">
      <c r="A7636" s="0" t="s">
        <v>12</v>
      </c>
      <c r="B7636" s="0" t="n">
        <v>2432194</v>
      </c>
      <c r="C7636" s="0" t="n">
        <v>2432214</v>
      </c>
      <c r="D7636" s="0" t="s">
        <v>25417</v>
      </c>
      <c r="E7636" s="0" t="s">
        <v>75</v>
      </c>
      <c r="F7636" s="0" t="s">
        <v>90</v>
      </c>
      <c r="G7636" s="0" t="s">
        <v>32</v>
      </c>
      <c r="H7636" s="0" t="n">
        <v>29</v>
      </c>
      <c r="I7636" s="0" t="s">
        <v>25418</v>
      </c>
      <c r="J7636" s="0" t="s">
        <v>25419</v>
      </c>
      <c r="K7636" s="0" t="s">
        <v>25420</v>
      </c>
      <c r="L7636" s="0" t="str">
        <f aca="false">HYPERLINK("https://www.ncbi.nlm.nih.gov/nuccore/CP000058.1?report=graph&amp;tracks=[key:gene_model_track,Options:GeneOnly]&amp;mk=2432195:2432214|offset_29|00cc00,2432156:2432175|offset_68|444444,2432135:2432154|offset_89|444444,2432106:2432125|offset_118|444444&amp;v=2431994:2432325&amp;c=444444", "offset 29")</f>
        <v>offset 29</v>
      </c>
    </row>
    <row r="7637" customFormat="false" ht="12.8" hidden="false" customHeight="false" outlineLevel="0" collapsed="false">
      <c r="A7637" s="0" t="s">
        <v>12</v>
      </c>
      <c r="B7637" s="0" t="n">
        <v>2432155</v>
      </c>
      <c r="C7637" s="0" t="n">
        <v>2432175</v>
      </c>
      <c r="D7637" s="0" t="s">
        <v>25417</v>
      </c>
      <c r="E7637" s="0" t="s">
        <v>75</v>
      </c>
      <c r="F7637" s="0" t="s">
        <v>90</v>
      </c>
      <c r="G7637" s="0" t="s">
        <v>20</v>
      </c>
      <c r="H7637" s="0" t="n">
        <v>68</v>
      </c>
      <c r="I7637" s="0" t="s">
        <v>25421</v>
      </c>
      <c r="J7637" s="0" t="s">
        <v>25422</v>
      </c>
      <c r="K7637" s="0" t="s">
        <v>25423</v>
      </c>
      <c r="L7637" s="0" t="str">
        <f aca="false">HYPERLINK("https://www.ncbi.nlm.nih.gov/nuccore/CP000058.1?report=graph&amp;tracks=[key:gene_model_track,Options:GeneOnly]&amp;mk=2432195:2432214|offset_29|444444,2432156:2432175|offset_68|00cc00,2432135:2432154|offset_89|444444,2432106:2432125|offset_118|444444&amp;v=2431994:2432325&amp;c=444444", "offset 68")</f>
        <v>offset 68</v>
      </c>
    </row>
    <row r="7638" customFormat="false" ht="12.8" hidden="false" customHeight="false" outlineLevel="0" collapsed="false">
      <c r="A7638" s="0" t="s">
        <v>12</v>
      </c>
      <c r="B7638" s="0" t="n">
        <v>2432134</v>
      </c>
      <c r="C7638" s="0" t="n">
        <v>2432154</v>
      </c>
      <c r="D7638" s="0" t="s">
        <v>25417</v>
      </c>
      <c r="E7638" s="0" t="s">
        <v>75</v>
      </c>
      <c r="F7638" s="0" t="s">
        <v>90</v>
      </c>
      <c r="G7638" s="0" t="s">
        <v>20</v>
      </c>
      <c r="H7638" s="0" t="n">
        <v>89</v>
      </c>
      <c r="I7638" s="0" t="s">
        <v>25424</v>
      </c>
      <c r="J7638" s="0" t="s">
        <v>25425</v>
      </c>
      <c r="K7638" s="0" t="s">
        <v>25426</v>
      </c>
      <c r="L7638" s="0" t="str">
        <f aca="false">HYPERLINK("https://www.ncbi.nlm.nih.gov/nuccore/CP000058.1?report=graph&amp;tracks=[key:gene_model_track,Options:GeneOnly]&amp;mk=2432195:2432214|offset_29|444444,2432156:2432175|offset_68|444444,2432135:2432154|offset_89|00cc00,2432106:2432125|offset_118|444444&amp;v=2431994:2432325&amp;c=444444", "offset 89")</f>
        <v>offset 89</v>
      </c>
    </row>
    <row r="7639" customFormat="false" ht="12.8" hidden="false" customHeight="false" outlineLevel="0" collapsed="false">
      <c r="A7639" s="0" t="s">
        <v>12</v>
      </c>
      <c r="B7639" s="0" t="n">
        <v>2432105</v>
      </c>
      <c r="C7639" s="0" t="n">
        <v>2432125</v>
      </c>
      <c r="D7639" s="0" t="s">
        <v>25417</v>
      </c>
      <c r="E7639" s="0" t="s">
        <v>75</v>
      </c>
      <c r="F7639" s="0" t="s">
        <v>90</v>
      </c>
      <c r="G7639" s="0" t="s">
        <v>32</v>
      </c>
      <c r="H7639" s="0" t="n">
        <v>118</v>
      </c>
      <c r="I7639" s="0" t="s">
        <v>25427</v>
      </c>
      <c r="J7639" s="0" t="s">
        <v>25428</v>
      </c>
      <c r="K7639" s="0" t="s">
        <v>25429</v>
      </c>
      <c r="L7639" s="0" t="str">
        <f aca="false">HYPERLINK("https://www.ncbi.nlm.nih.gov/nuccore/CP000058.1?report=graph&amp;tracks=[key:gene_model_track,Options:GeneOnly]&amp;mk=2432195:2432214|offset_29|444444,2432156:2432175|offset_68|444444,2432135:2432154|offset_89|444444,2432106:2432125|offset_118|00cc00&amp;v=2431994:2432325&amp;c=444444", "offset 118")</f>
        <v>offset 118</v>
      </c>
    </row>
    <row r="7640" customFormat="false" ht="12.8" hidden="false" customHeight="false" outlineLevel="0" collapsed="false">
      <c r="A7640" s="0" t="s">
        <v>12</v>
      </c>
      <c r="B7640" s="0" t="n">
        <v>2433155</v>
      </c>
      <c r="C7640" s="0" t="n">
        <v>2433175</v>
      </c>
      <c r="D7640" s="0" t="s">
        <v>25430</v>
      </c>
      <c r="E7640" s="0" t="s">
        <v>75</v>
      </c>
      <c r="F7640" s="0" t="s">
        <v>15</v>
      </c>
      <c r="G7640" s="0" t="s">
        <v>36</v>
      </c>
      <c r="H7640" s="0" t="n">
        <v>24</v>
      </c>
      <c r="I7640" s="0" t="s">
        <v>25431</v>
      </c>
      <c r="J7640" s="0" t="s">
        <v>25432</v>
      </c>
      <c r="K7640" s="0" t="s">
        <v>25433</v>
      </c>
      <c r="L7640" s="0" t="str">
        <f aca="false">HYPERLINK("https://www.ncbi.nlm.nih.gov/nuccore/CP000058.1?report=graph&amp;tracks=[key:gene_model_track,Options:GeneOnly]&amp;mk=2433156:2433175|offset_24|00cc00,2433211:2433230|offset_79|444444,2433231:2433250|offset_99|444444,2433274:2433293|offset_142|444444&amp;v=2432955:2433493&amp;c=444444", "offset 24")</f>
        <v>offset 24</v>
      </c>
    </row>
    <row r="7641" customFormat="false" ht="12.8" hidden="false" customHeight="false" outlineLevel="0" collapsed="false">
      <c r="A7641" s="0" t="s">
        <v>12</v>
      </c>
      <c r="B7641" s="0" t="n">
        <v>2433210</v>
      </c>
      <c r="C7641" s="0" t="n">
        <v>2433230</v>
      </c>
      <c r="D7641" s="0" t="s">
        <v>25430</v>
      </c>
      <c r="E7641" s="0" t="s">
        <v>75</v>
      </c>
      <c r="F7641" s="0" t="s">
        <v>15</v>
      </c>
      <c r="G7641" s="0" t="s">
        <v>32</v>
      </c>
      <c r="H7641" s="0" t="n">
        <v>79</v>
      </c>
      <c r="I7641" s="0" t="s">
        <v>25434</v>
      </c>
      <c r="J7641" s="0" t="s">
        <v>25435</v>
      </c>
      <c r="K7641" s="0" t="s">
        <v>25436</v>
      </c>
      <c r="L7641" s="0" t="str">
        <f aca="false">HYPERLINK("https://www.ncbi.nlm.nih.gov/nuccore/CP000058.1?report=graph&amp;tracks=[key:gene_model_track,Options:GeneOnly]&amp;mk=2433156:2433175|offset_24|444444,2433211:2433230|offset_79|00cc00,2433231:2433250|offset_99|444444,2433274:2433293|offset_142|444444&amp;v=2432955:2433493&amp;c=444444", "offset 79")</f>
        <v>offset 79</v>
      </c>
    </row>
    <row r="7642" customFormat="false" ht="12.8" hidden="false" customHeight="false" outlineLevel="0" collapsed="false">
      <c r="A7642" s="0" t="s">
        <v>12</v>
      </c>
      <c r="B7642" s="0" t="n">
        <v>2433230</v>
      </c>
      <c r="C7642" s="0" t="n">
        <v>2433250</v>
      </c>
      <c r="D7642" s="0" t="s">
        <v>25430</v>
      </c>
      <c r="E7642" s="0" t="s">
        <v>75</v>
      </c>
      <c r="F7642" s="0" t="s">
        <v>15</v>
      </c>
      <c r="G7642" s="0" t="s">
        <v>16</v>
      </c>
      <c r="H7642" s="0" t="n">
        <v>99</v>
      </c>
      <c r="I7642" s="0" t="s">
        <v>25437</v>
      </c>
      <c r="J7642" s="0" t="s">
        <v>25438</v>
      </c>
      <c r="K7642" s="0" t="s">
        <v>25439</v>
      </c>
      <c r="L7642" s="0" t="str">
        <f aca="false">HYPERLINK("https://www.ncbi.nlm.nih.gov/nuccore/CP000058.1?report=graph&amp;tracks=[key:gene_model_track,Options:GeneOnly]&amp;mk=2433156:2433175|offset_24|444444,2433211:2433230|offset_79|444444,2433231:2433250|offset_99|00cc00,2433274:2433293|offset_142|444444&amp;v=2432955:2433493&amp;c=444444", "offset 99")</f>
        <v>offset 99</v>
      </c>
    </row>
    <row r="7643" customFormat="false" ht="12.8" hidden="false" customHeight="false" outlineLevel="0" collapsed="false">
      <c r="A7643" s="0" t="s">
        <v>12</v>
      </c>
      <c r="B7643" s="0" t="n">
        <v>2433273</v>
      </c>
      <c r="C7643" s="0" t="n">
        <v>2433293</v>
      </c>
      <c r="D7643" s="0" t="s">
        <v>25430</v>
      </c>
      <c r="E7643" s="0" t="s">
        <v>75</v>
      </c>
      <c r="F7643" s="0" t="s">
        <v>15</v>
      </c>
      <c r="G7643" s="0" t="s">
        <v>32</v>
      </c>
      <c r="H7643" s="0" t="n">
        <v>142</v>
      </c>
      <c r="I7643" s="0" t="s">
        <v>25440</v>
      </c>
      <c r="J7643" s="0" t="s">
        <v>25441</v>
      </c>
      <c r="K7643" s="0" t="s">
        <v>25442</v>
      </c>
      <c r="L7643" s="0" t="str">
        <f aca="false">HYPERLINK("https://www.ncbi.nlm.nih.gov/nuccore/CP000058.1?report=graph&amp;tracks=[key:gene_model_track,Options:GeneOnly]&amp;mk=2433156:2433175|offset_24|444444,2433211:2433230|offset_79|444444,2433231:2433250|offset_99|444444,2433274:2433293|offset_142|00cc00&amp;v=2432955:2433493&amp;c=444444", "offset 142")</f>
        <v>offset 142</v>
      </c>
    </row>
    <row r="7644" customFormat="false" ht="12.8" hidden="false" customHeight="false" outlineLevel="0" collapsed="false">
      <c r="A7644" s="0" t="s">
        <v>12</v>
      </c>
      <c r="B7644" s="0" t="n">
        <v>2434997</v>
      </c>
      <c r="C7644" s="0" t="n">
        <v>2435017</v>
      </c>
      <c r="D7644" s="0" t="s">
        <v>25443</v>
      </c>
      <c r="E7644" s="0" t="s">
        <v>25444</v>
      </c>
      <c r="F7644" s="0" t="s">
        <v>90</v>
      </c>
      <c r="G7644" s="0" t="s">
        <v>32</v>
      </c>
      <c r="H7644" s="0" t="n">
        <v>1</v>
      </c>
      <c r="I7644" s="0" t="s">
        <v>25445</v>
      </c>
      <c r="J7644" s="0" t="s">
        <v>25446</v>
      </c>
      <c r="K7644" s="0" t="s">
        <v>25447</v>
      </c>
      <c r="L7644" s="0" t="str">
        <f aca="false">HYPERLINK("https://www.ncbi.nlm.nih.gov/nuccore/CP000058.1?report=graph&amp;tracks=[key:gene_model_track,Options:GeneOnly]&amp;mk=2434998:2435017|offset_1|00cc00,2434965:2434984|offset_34|444444,2434926:2434945|offset_73|444444,2434902:2434921|offset_97|444444&amp;v=2434797:2435121&amp;c=444444", "offset 1")</f>
        <v>offset 1</v>
      </c>
    </row>
    <row r="7645" customFormat="false" ht="12.8" hidden="false" customHeight="false" outlineLevel="0" collapsed="false">
      <c r="A7645" s="0" t="s">
        <v>12</v>
      </c>
      <c r="B7645" s="0" t="n">
        <v>2434964</v>
      </c>
      <c r="C7645" s="0" t="n">
        <v>2434984</v>
      </c>
      <c r="D7645" s="0" t="s">
        <v>25443</v>
      </c>
      <c r="E7645" s="0" t="s">
        <v>25444</v>
      </c>
      <c r="F7645" s="0" t="s">
        <v>90</v>
      </c>
      <c r="G7645" s="0" t="s">
        <v>32</v>
      </c>
      <c r="H7645" s="0" t="n">
        <v>34</v>
      </c>
      <c r="I7645" s="0" t="s">
        <v>25448</v>
      </c>
      <c r="J7645" s="0" t="s">
        <v>25449</v>
      </c>
      <c r="K7645" s="0" t="s">
        <v>25450</v>
      </c>
      <c r="L7645" s="0" t="str">
        <f aca="false">HYPERLINK("https://www.ncbi.nlm.nih.gov/nuccore/CP000058.1?report=graph&amp;tracks=[key:gene_model_track,Options:GeneOnly]&amp;mk=2434998:2435017|offset_1|444444,2434965:2434984|offset_34|00cc00,2434926:2434945|offset_73|444444,2434902:2434921|offset_97|444444&amp;v=2434797:2435121&amp;c=444444", "offset 34")</f>
        <v>offset 34</v>
      </c>
    </row>
    <row r="7646" customFormat="false" ht="12.8" hidden="false" customHeight="false" outlineLevel="0" collapsed="false">
      <c r="A7646" s="0" t="s">
        <v>12</v>
      </c>
      <c r="B7646" s="0" t="n">
        <v>2434925</v>
      </c>
      <c r="C7646" s="0" t="n">
        <v>2434945</v>
      </c>
      <c r="D7646" s="0" t="s">
        <v>25443</v>
      </c>
      <c r="E7646" s="0" t="s">
        <v>25444</v>
      </c>
      <c r="F7646" s="0" t="s">
        <v>90</v>
      </c>
      <c r="G7646" s="0" t="s">
        <v>16</v>
      </c>
      <c r="H7646" s="0" t="n">
        <v>73</v>
      </c>
      <c r="I7646" s="0" t="s">
        <v>25451</v>
      </c>
      <c r="J7646" s="0" t="s">
        <v>25452</v>
      </c>
      <c r="K7646" s="0" t="s">
        <v>25453</v>
      </c>
      <c r="L7646" s="0" t="str">
        <f aca="false">HYPERLINK("https://www.ncbi.nlm.nih.gov/nuccore/CP000058.1?report=graph&amp;tracks=[key:gene_model_track,Options:GeneOnly]&amp;mk=2434998:2435017|offset_1|444444,2434965:2434984|offset_34|444444,2434926:2434945|offset_73|00cc00,2434902:2434921|offset_97|444444&amp;v=2434797:2435121&amp;c=444444", "offset 73")</f>
        <v>offset 73</v>
      </c>
    </row>
    <row r="7647" customFormat="false" ht="12.8" hidden="false" customHeight="false" outlineLevel="0" collapsed="false">
      <c r="A7647" s="0" t="s">
        <v>12</v>
      </c>
      <c r="B7647" s="0" t="n">
        <v>2434901</v>
      </c>
      <c r="C7647" s="0" t="n">
        <v>2434921</v>
      </c>
      <c r="D7647" s="0" t="s">
        <v>25443</v>
      </c>
      <c r="E7647" s="0" t="s">
        <v>25444</v>
      </c>
      <c r="F7647" s="0" t="s">
        <v>90</v>
      </c>
      <c r="G7647" s="0" t="s">
        <v>16</v>
      </c>
      <c r="H7647" s="0" t="n">
        <v>97</v>
      </c>
      <c r="I7647" s="0" t="s">
        <v>25454</v>
      </c>
      <c r="J7647" s="0" t="s">
        <v>25455</v>
      </c>
      <c r="K7647" s="0" t="s">
        <v>25456</v>
      </c>
      <c r="L7647" s="0" t="str">
        <f aca="false">HYPERLINK("https://www.ncbi.nlm.nih.gov/nuccore/CP000058.1?report=graph&amp;tracks=[key:gene_model_track,Options:GeneOnly]&amp;mk=2434998:2435017|offset_1|444444,2434965:2434984|offset_34|444444,2434926:2434945|offset_73|444444,2434902:2434921|offset_97|00cc00&amp;v=2434797:2435121&amp;c=444444", "offset 97")</f>
        <v>offset 97</v>
      </c>
    </row>
    <row r="7648" customFormat="false" ht="12.8" hidden="false" customHeight="false" outlineLevel="0" collapsed="false">
      <c r="A7648" s="0" t="s">
        <v>12</v>
      </c>
      <c r="B7648" s="0" t="n">
        <v>2436258</v>
      </c>
      <c r="C7648" s="0" t="n">
        <v>2436278</v>
      </c>
      <c r="D7648" s="0" t="s">
        <v>25457</v>
      </c>
      <c r="E7648" s="0" t="s">
        <v>75</v>
      </c>
      <c r="F7648" s="0" t="s">
        <v>90</v>
      </c>
      <c r="G7648" s="0" t="s">
        <v>20</v>
      </c>
      <c r="H7648" s="0" t="n">
        <v>53</v>
      </c>
      <c r="I7648" s="0" t="s">
        <v>25458</v>
      </c>
      <c r="J7648" s="0" t="s">
        <v>25459</v>
      </c>
      <c r="K7648" s="0" t="s">
        <v>25460</v>
      </c>
      <c r="L7648" s="0" t="str">
        <f aca="false">HYPERLINK("https://www.ncbi.nlm.nih.gov/nuccore/CP000058.1?report=graph&amp;tracks=[key:gene_model_track,Options:GeneOnly]&amp;mk=2436259:2436278|offset_53|00cc00,2436209:2436228|offset_103|444444,2436185:2436204|offset_127|444444,2436157:2436176|offset_155|444444&amp;v=2436058:2436376&amp;c=444444", "offset 53")</f>
        <v>offset 53</v>
      </c>
    </row>
    <row r="7649" customFormat="false" ht="12.8" hidden="false" customHeight="false" outlineLevel="0" collapsed="false">
      <c r="A7649" s="0" t="s">
        <v>12</v>
      </c>
      <c r="B7649" s="0" t="n">
        <v>2436208</v>
      </c>
      <c r="C7649" s="0" t="n">
        <v>2436228</v>
      </c>
      <c r="D7649" s="0" t="s">
        <v>25457</v>
      </c>
      <c r="E7649" s="0" t="s">
        <v>75</v>
      </c>
      <c r="F7649" s="0" t="s">
        <v>90</v>
      </c>
      <c r="G7649" s="0" t="s">
        <v>16</v>
      </c>
      <c r="H7649" s="0" t="n">
        <v>103</v>
      </c>
      <c r="I7649" s="0" t="s">
        <v>25461</v>
      </c>
      <c r="J7649" s="0" t="s">
        <v>25462</v>
      </c>
      <c r="K7649" s="0" t="s">
        <v>25463</v>
      </c>
      <c r="L7649" s="0" t="str">
        <f aca="false">HYPERLINK("https://www.ncbi.nlm.nih.gov/nuccore/CP000058.1?report=graph&amp;tracks=[key:gene_model_track,Options:GeneOnly]&amp;mk=2436259:2436278|offset_53|444444,2436209:2436228|offset_103|00cc00,2436185:2436204|offset_127|444444,2436157:2436176|offset_155|444444&amp;v=2436058:2436376&amp;c=444444", "offset 103")</f>
        <v>offset 103</v>
      </c>
    </row>
    <row r="7650" customFormat="false" ht="12.8" hidden="false" customHeight="false" outlineLevel="0" collapsed="false">
      <c r="A7650" s="0" t="s">
        <v>12</v>
      </c>
      <c r="B7650" s="0" t="n">
        <v>2436184</v>
      </c>
      <c r="C7650" s="0" t="n">
        <v>2436204</v>
      </c>
      <c r="D7650" s="0" t="s">
        <v>25457</v>
      </c>
      <c r="E7650" s="0" t="s">
        <v>75</v>
      </c>
      <c r="F7650" s="0" t="s">
        <v>90</v>
      </c>
      <c r="G7650" s="0" t="s">
        <v>16</v>
      </c>
      <c r="H7650" s="0" t="n">
        <v>127</v>
      </c>
      <c r="I7650" s="0" t="s">
        <v>25464</v>
      </c>
      <c r="J7650" s="0" t="s">
        <v>25465</v>
      </c>
      <c r="K7650" s="0" t="s">
        <v>25466</v>
      </c>
      <c r="L7650" s="0" t="str">
        <f aca="false">HYPERLINK("https://www.ncbi.nlm.nih.gov/nuccore/CP000058.1?report=graph&amp;tracks=[key:gene_model_track,Options:GeneOnly]&amp;mk=2436259:2436278|offset_53|444444,2436209:2436228|offset_103|444444,2436185:2436204|offset_127|00cc00,2436157:2436176|offset_155|444444&amp;v=2436058:2436376&amp;c=444444", "offset 127")</f>
        <v>offset 127</v>
      </c>
    </row>
    <row r="7651" customFormat="false" ht="12.8" hidden="false" customHeight="false" outlineLevel="0" collapsed="false">
      <c r="A7651" s="0" t="s">
        <v>12</v>
      </c>
      <c r="B7651" s="0" t="n">
        <v>2436156</v>
      </c>
      <c r="C7651" s="0" t="n">
        <v>2436176</v>
      </c>
      <c r="D7651" s="0" t="s">
        <v>25457</v>
      </c>
      <c r="E7651" s="0" t="s">
        <v>75</v>
      </c>
      <c r="F7651" s="0" t="s">
        <v>90</v>
      </c>
      <c r="G7651" s="0" t="s">
        <v>20</v>
      </c>
      <c r="H7651" s="0" t="n">
        <v>155</v>
      </c>
      <c r="I7651" s="0" t="s">
        <v>25467</v>
      </c>
      <c r="J7651" s="0" t="s">
        <v>25468</v>
      </c>
      <c r="K7651" s="0" t="s">
        <v>25469</v>
      </c>
      <c r="L7651" s="0" t="str">
        <f aca="false">HYPERLINK("https://www.ncbi.nlm.nih.gov/nuccore/CP000058.1?report=graph&amp;tracks=[key:gene_model_track,Options:GeneOnly]&amp;mk=2436259:2436278|offset_53|444444,2436209:2436228|offset_103|444444,2436185:2436204|offset_127|444444,2436157:2436176|offset_155|00cc00&amp;v=2436058:2436376&amp;c=444444", "offset 155")</f>
        <v>offset 155</v>
      </c>
    </row>
    <row r="7652" customFormat="false" ht="12.8" hidden="false" customHeight="false" outlineLevel="0" collapsed="false">
      <c r="A7652" s="0" t="s">
        <v>12</v>
      </c>
      <c r="B7652" s="0" t="n">
        <v>2436427</v>
      </c>
      <c r="C7652" s="0" t="n">
        <v>2436447</v>
      </c>
      <c r="D7652" s="0" t="s">
        <v>25470</v>
      </c>
      <c r="E7652" s="0" t="s">
        <v>25471</v>
      </c>
      <c r="F7652" s="0" t="s">
        <v>15</v>
      </c>
      <c r="G7652" s="0" t="s">
        <v>20</v>
      </c>
      <c r="H7652" s="0" t="n">
        <v>13</v>
      </c>
      <c r="I7652" s="0" t="s">
        <v>25472</v>
      </c>
      <c r="J7652" s="0" t="s">
        <v>25473</v>
      </c>
      <c r="K7652" s="0" t="s">
        <v>25474</v>
      </c>
      <c r="L7652" s="0" t="str">
        <f aca="false">HYPERLINK("https://www.ncbi.nlm.nih.gov/nuccore/CP000058.1?report=graph&amp;tracks=[key:gene_model_track,Options:GeneOnly]&amp;mk=2436428:2436447|offset_13|00cc00,2436462:2436481|offset_47|444444,2436488:2436507|offset_73|444444,2436512:2436531|offset_97|444444&amp;v=2436227:2436731&amp;c=444444", "offset 13")</f>
        <v>offset 13</v>
      </c>
    </row>
    <row r="7653" customFormat="false" ht="12.8" hidden="false" customHeight="false" outlineLevel="0" collapsed="false">
      <c r="A7653" s="0" t="s">
        <v>12</v>
      </c>
      <c r="B7653" s="0" t="n">
        <v>2436461</v>
      </c>
      <c r="C7653" s="0" t="n">
        <v>2436481</v>
      </c>
      <c r="D7653" s="0" t="s">
        <v>25470</v>
      </c>
      <c r="E7653" s="0" t="s">
        <v>25471</v>
      </c>
      <c r="F7653" s="0" t="s">
        <v>15</v>
      </c>
      <c r="G7653" s="0" t="s">
        <v>32</v>
      </c>
      <c r="H7653" s="0" t="n">
        <v>47</v>
      </c>
      <c r="I7653" s="0" t="s">
        <v>25475</v>
      </c>
      <c r="J7653" s="0" t="s">
        <v>25476</v>
      </c>
      <c r="K7653" s="0" t="s">
        <v>25477</v>
      </c>
      <c r="L7653" s="0" t="str">
        <f aca="false">HYPERLINK("https://www.ncbi.nlm.nih.gov/nuccore/CP000058.1?report=graph&amp;tracks=[key:gene_model_track,Options:GeneOnly]&amp;mk=2436428:2436447|offset_13|444444,2436462:2436481|offset_47|00cc00,2436488:2436507|offset_73|444444,2436512:2436531|offset_97|444444&amp;v=2436227:2436731&amp;c=444444", "offset 47")</f>
        <v>offset 47</v>
      </c>
    </row>
    <row r="7654" customFormat="false" ht="12.8" hidden="false" customHeight="false" outlineLevel="0" collapsed="false">
      <c r="A7654" s="0" t="s">
        <v>12</v>
      </c>
      <c r="B7654" s="0" t="n">
        <v>2436487</v>
      </c>
      <c r="C7654" s="0" t="n">
        <v>2436507</v>
      </c>
      <c r="D7654" s="0" t="s">
        <v>25470</v>
      </c>
      <c r="E7654" s="0" t="s">
        <v>25471</v>
      </c>
      <c r="F7654" s="0" t="s">
        <v>15</v>
      </c>
      <c r="G7654" s="0" t="s">
        <v>36</v>
      </c>
      <c r="H7654" s="0" t="n">
        <v>73</v>
      </c>
      <c r="I7654" s="0" t="s">
        <v>25478</v>
      </c>
      <c r="J7654" s="0" t="s">
        <v>25479</v>
      </c>
      <c r="K7654" s="0" t="s">
        <v>25480</v>
      </c>
      <c r="L7654" s="0" t="str">
        <f aca="false">HYPERLINK("https://www.ncbi.nlm.nih.gov/nuccore/CP000058.1?report=graph&amp;tracks=[key:gene_model_track,Options:GeneOnly]&amp;mk=2436428:2436447|offset_13|444444,2436462:2436481|offset_47|444444,2436488:2436507|offset_73|00cc00,2436512:2436531|offset_97|444444&amp;v=2436227:2436731&amp;c=444444", "offset 73")</f>
        <v>offset 73</v>
      </c>
    </row>
    <row r="7655" customFormat="false" ht="12.8" hidden="false" customHeight="false" outlineLevel="0" collapsed="false">
      <c r="A7655" s="0" t="s">
        <v>12</v>
      </c>
      <c r="B7655" s="0" t="n">
        <v>2436511</v>
      </c>
      <c r="C7655" s="0" t="n">
        <v>2436531</v>
      </c>
      <c r="D7655" s="0" t="s">
        <v>25470</v>
      </c>
      <c r="E7655" s="0" t="s">
        <v>25471</v>
      </c>
      <c r="F7655" s="0" t="s">
        <v>15</v>
      </c>
      <c r="G7655" s="0" t="s">
        <v>36</v>
      </c>
      <c r="H7655" s="0" t="n">
        <v>97</v>
      </c>
      <c r="I7655" s="0" t="s">
        <v>25481</v>
      </c>
      <c r="J7655" s="0" t="s">
        <v>25482</v>
      </c>
      <c r="K7655" s="0" t="s">
        <v>25483</v>
      </c>
      <c r="L7655" s="0" t="str">
        <f aca="false">HYPERLINK("https://www.ncbi.nlm.nih.gov/nuccore/CP000058.1?report=graph&amp;tracks=[key:gene_model_track,Options:GeneOnly]&amp;mk=2436428:2436447|offset_13|444444,2436462:2436481|offset_47|444444,2436488:2436507|offset_73|444444,2436512:2436531|offset_97|00cc00&amp;v=2436227:2436731&amp;c=444444", "offset 97")</f>
        <v>offset 97</v>
      </c>
    </row>
    <row r="7656" customFormat="false" ht="12.8" hidden="false" customHeight="false" outlineLevel="0" collapsed="false">
      <c r="A7656" s="0" t="s">
        <v>12</v>
      </c>
      <c r="B7656" s="0" t="n">
        <v>2437957</v>
      </c>
      <c r="C7656" s="0" t="n">
        <v>2437977</v>
      </c>
      <c r="D7656" s="0" t="s">
        <v>25484</v>
      </c>
      <c r="E7656" s="0" t="s">
        <v>25485</v>
      </c>
      <c r="F7656" s="0" t="s">
        <v>90</v>
      </c>
      <c r="G7656" s="0" t="s">
        <v>36</v>
      </c>
      <c r="H7656" s="0" t="n">
        <v>15</v>
      </c>
      <c r="I7656" s="0" t="s">
        <v>25486</v>
      </c>
      <c r="J7656" s="0" t="s">
        <v>25487</v>
      </c>
      <c r="K7656" s="0" t="s">
        <v>25488</v>
      </c>
      <c r="L7656" s="0" t="str">
        <f aca="false">HYPERLINK("https://www.ncbi.nlm.nih.gov/nuccore/CP000058.1?report=graph&amp;tracks=[key:gene_model_track,Options:GeneOnly]&amp;mk=2437958:2437977|offset_15|00cc00,2437936:2437955|offset_37|444444,2437916:2437935|offset_57|444444,2437863:2437882|offset_110|444444&amp;v=2437757:2438082&amp;c=444444", "offset 15")</f>
        <v>offset 15</v>
      </c>
    </row>
    <row r="7657" customFormat="false" ht="12.8" hidden="false" customHeight="false" outlineLevel="0" collapsed="false">
      <c r="A7657" s="0" t="s">
        <v>12</v>
      </c>
      <c r="B7657" s="0" t="n">
        <v>2437935</v>
      </c>
      <c r="C7657" s="0" t="n">
        <v>2437955</v>
      </c>
      <c r="D7657" s="0" t="s">
        <v>25484</v>
      </c>
      <c r="E7657" s="0" t="s">
        <v>25485</v>
      </c>
      <c r="F7657" s="0" t="s">
        <v>90</v>
      </c>
      <c r="G7657" s="0" t="s">
        <v>32</v>
      </c>
      <c r="H7657" s="0" t="n">
        <v>37</v>
      </c>
      <c r="I7657" s="0" t="s">
        <v>25489</v>
      </c>
      <c r="J7657" s="0" t="s">
        <v>25490</v>
      </c>
      <c r="K7657" s="0" t="s">
        <v>25491</v>
      </c>
      <c r="L7657" s="0" t="str">
        <f aca="false">HYPERLINK("https://www.ncbi.nlm.nih.gov/nuccore/CP000058.1?report=graph&amp;tracks=[key:gene_model_track,Options:GeneOnly]&amp;mk=2437958:2437977|offset_15|444444,2437936:2437955|offset_37|00cc00,2437916:2437935|offset_57|444444,2437863:2437882|offset_110|444444&amp;v=2437757:2438082&amp;c=444444", "offset 37")</f>
        <v>offset 37</v>
      </c>
    </row>
    <row r="7658" customFormat="false" ht="12.8" hidden="false" customHeight="false" outlineLevel="0" collapsed="false">
      <c r="A7658" s="0" t="s">
        <v>12</v>
      </c>
      <c r="B7658" s="0" t="n">
        <v>2437915</v>
      </c>
      <c r="C7658" s="0" t="n">
        <v>2437935</v>
      </c>
      <c r="D7658" s="0" t="s">
        <v>25484</v>
      </c>
      <c r="E7658" s="0" t="s">
        <v>25485</v>
      </c>
      <c r="F7658" s="0" t="s">
        <v>90</v>
      </c>
      <c r="G7658" s="0" t="s">
        <v>16</v>
      </c>
      <c r="H7658" s="0" t="n">
        <v>57</v>
      </c>
      <c r="I7658" s="0" t="s">
        <v>25492</v>
      </c>
      <c r="J7658" s="0" t="s">
        <v>25493</v>
      </c>
      <c r="K7658" s="0" t="s">
        <v>25494</v>
      </c>
      <c r="L7658" s="0" t="str">
        <f aca="false">HYPERLINK("https://www.ncbi.nlm.nih.gov/nuccore/CP000058.1?report=graph&amp;tracks=[key:gene_model_track,Options:GeneOnly]&amp;mk=2437958:2437977|offset_15|444444,2437936:2437955|offset_37|444444,2437916:2437935|offset_57|00cc00,2437863:2437882|offset_110|444444&amp;v=2437757:2438082&amp;c=444444", "offset 57")</f>
        <v>offset 57</v>
      </c>
    </row>
    <row r="7659" customFormat="false" ht="12.8" hidden="false" customHeight="false" outlineLevel="0" collapsed="false">
      <c r="A7659" s="0" t="s">
        <v>12</v>
      </c>
      <c r="B7659" s="0" t="n">
        <v>2437862</v>
      </c>
      <c r="C7659" s="0" t="n">
        <v>2437882</v>
      </c>
      <c r="D7659" s="0" t="s">
        <v>25484</v>
      </c>
      <c r="E7659" s="0" t="s">
        <v>25485</v>
      </c>
      <c r="F7659" s="0" t="s">
        <v>90</v>
      </c>
      <c r="G7659" s="0" t="s">
        <v>36</v>
      </c>
      <c r="H7659" s="0" t="n">
        <v>110</v>
      </c>
      <c r="I7659" s="0" t="s">
        <v>25495</v>
      </c>
      <c r="J7659" s="0" t="s">
        <v>25496</v>
      </c>
      <c r="K7659" s="0" t="s">
        <v>25497</v>
      </c>
      <c r="L7659" s="0" t="str">
        <f aca="false">HYPERLINK("https://www.ncbi.nlm.nih.gov/nuccore/CP000058.1?report=graph&amp;tracks=[key:gene_model_track,Options:GeneOnly]&amp;mk=2437958:2437977|offset_15|444444,2437936:2437955|offset_37|444444,2437916:2437935|offset_57|444444,2437863:2437882|offset_110|00cc00&amp;v=2437757:2438082&amp;c=444444", "offset 110")</f>
        <v>offset 110</v>
      </c>
    </row>
    <row r="7660" customFormat="false" ht="12.8" hidden="false" customHeight="false" outlineLevel="0" collapsed="false">
      <c r="A7660" s="0" t="s">
        <v>12</v>
      </c>
      <c r="B7660" s="0" t="n">
        <v>2438441</v>
      </c>
      <c r="C7660" s="0" t="n">
        <v>2438461</v>
      </c>
      <c r="D7660" s="0" t="s">
        <v>25498</v>
      </c>
      <c r="E7660" s="0" t="s">
        <v>75</v>
      </c>
      <c r="F7660" s="0" t="s">
        <v>15</v>
      </c>
      <c r="G7660" s="0" t="s">
        <v>36</v>
      </c>
      <c r="H7660" s="0" t="n">
        <v>6</v>
      </c>
      <c r="I7660" s="0" t="s">
        <v>25499</v>
      </c>
      <c r="J7660" s="0" t="s">
        <v>25500</v>
      </c>
      <c r="K7660" s="0" t="s">
        <v>25501</v>
      </c>
      <c r="L7660" s="0" t="str">
        <f aca="false">HYPERLINK("https://www.ncbi.nlm.nih.gov/nuccore/CP000058.1?report=graph&amp;tracks=[key:gene_model_track,Options:GeneOnly]&amp;mk=2438442:2438461|offset_6|00cc00,2438462:2438481|offset_26|444444,2438498:2438517|offset_62|444444,2438533:2438552|offset_97|444444&amp;v=2438241:2438752&amp;c=444444", "offset 6")</f>
        <v>offset 6</v>
      </c>
    </row>
    <row r="7661" customFormat="false" ht="12.8" hidden="false" customHeight="false" outlineLevel="0" collapsed="false">
      <c r="A7661" s="0" t="s">
        <v>12</v>
      </c>
      <c r="B7661" s="0" t="n">
        <v>2438461</v>
      </c>
      <c r="C7661" s="0" t="n">
        <v>2438481</v>
      </c>
      <c r="D7661" s="0" t="s">
        <v>25498</v>
      </c>
      <c r="E7661" s="0" t="s">
        <v>75</v>
      </c>
      <c r="F7661" s="0" t="s">
        <v>15</v>
      </c>
      <c r="G7661" s="0" t="s">
        <v>36</v>
      </c>
      <c r="H7661" s="0" t="n">
        <v>26</v>
      </c>
      <c r="I7661" s="0" t="s">
        <v>25502</v>
      </c>
      <c r="J7661" s="0" t="s">
        <v>25503</v>
      </c>
      <c r="K7661" s="0" t="s">
        <v>25504</v>
      </c>
      <c r="L7661" s="0" t="str">
        <f aca="false">HYPERLINK("https://www.ncbi.nlm.nih.gov/nuccore/CP000058.1?report=graph&amp;tracks=[key:gene_model_track,Options:GeneOnly]&amp;mk=2438442:2438461|offset_6|444444,2438462:2438481|offset_26|00cc00,2438498:2438517|offset_62|444444,2438533:2438552|offset_97|444444&amp;v=2438241:2438752&amp;c=444444", "offset 26")</f>
        <v>offset 26</v>
      </c>
    </row>
    <row r="7662" customFormat="false" ht="12.8" hidden="false" customHeight="false" outlineLevel="0" collapsed="false">
      <c r="A7662" s="0" t="s">
        <v>12</v>
      </c>
      <c r="B7662" s="0" t="n">
        <v>2438497</v>
      </c>
      <c r="C7662" s="0" t="n">
        <v>2438517</v>
      </c>
      <c r="D7662" s="0" t="s">
        <v>25498</v>
      </c>
      <c r="E7662" s="0" t="s">
        <v>75</v>
      </c>
      <c r="F7662" s="0" t="s">
        <v>15</v>
      </c>
      <c r="G7662" s="0" t="s">
        <v>20</v>
      </c>
      <c r="H7662" s="0" t="n">
        <v>62</v>
      </c>
      <c r="I7662" s="0" t="s">
        <v>25505</v>
      </c>
      <c r="J7662" s="0" t="s">
        <v>25506</v>
      </c>
      <c r="K7662" s="0" t="s">
        <v>25507</v>
      </c>
      <c r="L7662" s="0" t="str">
        <f aca="false">HYPERLINK("https://www.ncbi.nlm.nih.gov/nuccore/CP000058.1?report=graph&amp;tracks=[key:gene_model_track,Options:GeneOnly]&amp;mk=2438442:2438461|offset_6|444444,2438462:2438481|offset_26|444444,2438498:2438517|offset_62|00cc00,2438533:2438552|offset_97|444444&amp;v=2438241:2438752&amp;c=444444", "offset 62")</f>
        <v>offset 62</v>
      </c>
    </row>
    <row r="7663" customFormat="false" ht="12.8" hidden="false" customHeight="false" outlineLevel="0" collapsed="false">
      <c r="A7663" s="0" t="s">
        <v>12</v>
      </c>
      <c r="B7663" s="0" t="n">
        <v>2438532</v>
      </c>
      <c r="C7663" s="0" t="n">
        <v>2438552</v>
      </c>
      <c r="D7663" s="0" t="s">
        <v>25498</v>
      </c>
      <c r="E7663" s="0" t="s">
        <v>75</v>
      </c>
      <c r="F7663" s="0" t="s">
        <v>15</v>
      </c>
      <c r="G7663" s="0" t="s">
        <v>16</v>
      </c>
      <c r="H7663" s="0" t="n">
        <v>97</v>
      </c>
      <c r="I7663" s="0" t="s">
        <v>25508</v>
      </c>
      <c r="J7663" s="0" t="s">
        <v>25509</v>
      </c>
      <c r="K7663" s="0" t="s">
        <v>25510</v>
      </c>
      <c r="L7663" s="0" t="str">
        <f aca="false">HYPERLINK("https://www.ncbi.nlm.nih.gov/nuccore/CP000058.1?report=graph&amp;tracks=[key:gene_model_track,Options:GeneOnly]&amp;mk=2438442:2438461|offset_6|444444,2438462:2438481|offset_26|444444,2438498:2438517|offset_62|444444,2438533:2438552|offset_97|00cc00&amp;v=2438241:2438752&amp;c=444444", "offset 97")</f>
        <v>offset 97</v>
      </c>
    </row>
    <row r="7664" customFormat="false" ht="12.8" hidden="false" customHeight="false" outlineLevel="0" collapsed="false">
      <c r="A7664" s="0" t="s">
        <v>12</v>
      </c>
      <c r="B7664" s="0" t="n">
        <v>2440914</v>
      </c>
      <c r="C7664" s="0" t="n">
        <v>2440934</v>
      </c>
      <c r="D7664" s="0" t="s">
        <v>25511</v>
      </c>
      <c r="E7664" s="0" t="s">
        <v>75</v>
      </c>
      <c r="F7664" s="0" t="s">
        <v>15</v>
      </c>
      <c r="G7664" s="0" t="s">
        <v>32</v>
      </c>
      <c r="H7664" s="0" t="n">
        <v>50</v>
      </c>
      <c r="I7664" s="0" t="s">
        <v>25512</v>
      </c>
      <c r="J7664" s="0" t="s">
        <v>25513</v>
      </c>
      <c r="K7664" s="0" t="s">
        <v>25514</v>
      </c>
      <c r="L7664" s="0" t="str">
        <f aca="false">HYPERLINK("https://www.ncbi.nlm.nih.gov/nuccore/CP000058.1?report=graph&amp;tracks=[key:gene_model_track,Options:GeneOnly]&amp;mk=2440915:2440934|offset_50|00cc00,2440938:2440957|offset_73|444444,2440971:2440990|offset_106|444444,2441005:2441024|offset_140|444444&amp;v=2440714:2441224&amp;c=444444", "offset 50")</f>
        <v>offset 50</v>
      </c>
    </row>
    <row r="7665" customFormat="false" ht="12.8" hidden="false" customHeight="false" outlineLevel="0" collapsed="false">
      <c r="A7665" s="0" t="s">
        <v>12</v>
      </c>
      <c r="B7665" s="0" t="n">
        <v>2440937</v>
      </c>
      <c r="C7665" s="0" t="n">
        <v>2440957</v>
      </c>
      <c r="D7665" s="0" t="s">
        <v>25511</v>
      </c>
      <c r="E7665" s="0" t="s">
        <v>75</v>
      </c>
      <c r="F7665" s="0" t="s">
        <v>15</v>
      </c>
      <c r="G7665" s="0" t="s">
        <v>16</v>
      </c>
      <c r="H7665" s="0" t="n">
        <v>73</v>
      </c>
      <c r="I7665" s="0" t="s">
        <v>25515</v>
      </c>
      <c r="J7665" s="0" t="s">
        <v>25516</v>
      </c>
      <c r="K7665" s="0" t="s">
        <v>25517</v>
      </c>
      <c r="L7665" s="0" t="str">
        <f aca="false">HYPERLINK("https://www.ncbi.nlm.nih.gov/nuccore/CP000058.1?report=graph&amp;tracks=[key:gene_model_track,Options:GeneOnly]&amp;mk=2440915:2440934|offset_50|444444,2440938:2440957|offset_73|00cc00,2440971:2440990|offset_106|444444,2441005:2441024|offset_140|444444&amp;v=2440714:2441224&amp;c=444444", "offset 73")</f>
        <v>offset 73</v>
      </c>
    </row>
    <row r="7666" customFormat="false" ht="12.8" hidden="false" customHeight="false" outlineLevel="0" collapsed="false">
      <c r="A7666" s="0" t="s">
        <v>12</v>
      </c>
      <c r="B7666" s="0" t="n">
        <v>2440970</v>
      </c>
      <c r="C7666" s="0" t="n">
        <v>2440990</v>
      </c>
      <c r="D7666" s="0" t="s">
        <v>25511</v>
      </c>
      <c r="E7666" s="0" t="s">
        <v>75</v>
      </c>
      <c r="F7666" s="0" t="s">
        <v>15</v>
      </c>
      <c r="G7666" s="0" t="s">
        <v>32</v>
      </c>
      <c r="H7666" s="0" t="n">
        <v>106</v>
      </c>
      <c r="I7666" s="0" t="s">
        <v>25518</v>
      </c>
      <c r="J7666" s="0" t="s">
        <v>25519</v>
      </c>
      <c r="K7666" s="0" t="s">
        <v>25520</v>
      </c>
      <c r="L7666" s="0" t="str">
        <f aca="false">HYPERLINK("https://www.ncbi.nlm.nih.gov/nuccore/CP000058.1?report=graph&amp;tracks=[key:gene_model_track,Options:GeneOnly]&amp;mk=2440915:2440934|offset_50|444444,2440938:2440957|offset_73|444444,2440971:2440990|offset_106|00cc00,2441005:2441024|offset_140|444444&amp;v=2440714:2441224&amp;c=444444", "offset 106")</f>
        <v>offset 106</v>
      </c>
    </row>
    <row r="7667" customFormat="false" ht="12.8" hidden="false" customHeight="false" outlineLevel="0" collapsed="false">
      <c r="A7667" s="0" t="s">
        <v>12</v>
      </c>
      <c r="B7667" s="0" t="n">
        <v>2441004</v>
      </c>
      <c r="C7667" s="0" t="n">
        <v>2441024</v>
      </c>
      <c r="D7667" s="0" t="s">
        <v>25511</v>
      </c>
      <c r="E7667" s="0" t="s">
        <v>75</v>
      </c>
      <c r="F7667" s="0" t="s">
        <v>15</v>
      </c>
      <c r="G7667" s="0" t="s">
        <v>32</v>
      </c>
      <c r="H7667" s="0" t="n">
        <v>140</v>
      </c>
      <c r="I7667" s="0" t="s">
        <v>25521</v>
      </c>
      <c r="J7667" s="0" t="s">
        <v>25522</v>
      </c>
      <c r="K7667" s="0" t="s">
        <v>25523</v>
      </c>
      <c r="L7667" s="0" t="str">
        <f aca="false">HYPERLINK("https://www.ncbi.nlm.nih.gov/nuccore/CP000058.1?report=graph&amp;tracks=[key:gene_model_track,Options:GeneOnly]&amp;mk=2440915:2440934|offset_50|444444,2440938:2440957|offset_73|444444,2440971:2440990|offset_106|444444,2441005:2441024|offset_140|00cc00&amp;v=2440714:2441224&amp;c=444444", "offset 140")</f>
        <v>offset 140</v>
      </c>
    </row>
    <row r="7668" customFormat="false" ht="12.8" hidden="false" customHeight="false" outlineLevel="0" collapsed="false">
      <c r="A7668" s="0" t="s">
        <v>12</v>
      </c>
      <c r="B7668" s="0" t="n">
        <v>2444733</v>
      </c>
      <c r="C7668" s="0" t="n">
        <v>2444753</v>
      </c>
      <c r="D7668" s="0" t="s">
        <v>25524</v>
      </c>
      <c r="E7668" s="0" t="s">
        <v>25525</v>
      </c>
      <c r="F7668" s="0" t="s">
        <v>90</v>
      </c>
      <c r="G7668" s="0" t="s">
        <v>32</v>
      </c>
      <c r="H7668" s="0" t="n">
        <v>21</v>
      </c>
      <c r="I7668" s="0" t="s">
        <v>25526</v>
      </c>
      <c r="J7668" s="0" t="s">
        <v>25527</v>
      </c>
      <c r="K7668" s="0" t="s">
        <v>25528</v>
      </c>
      <c r="L7668" s="0" t="str">
        <f aca="false">HYPERLINK("https://www.ncbi.nlm.nih.gov/nuccore/CP000058.1?report=graph&amp;tracks=[key:gene_model_track,Options:GeneOnly]&amp;mk=2444734:2444753|offset_21|00cc00,2444707:2444726|offset_48|444444,2444670:2444689|offset_85|444444,2444634:2444653|offset_121|444444&amp;v=2444533:2444853&amp;c=444444", "offset 21")</f>
        <v>offset 21</v>
      </c>
    </row>
    <row r="7669" customFormat="false" ht="12.8" hidden="false" customHeight="false" outlineLevel="0" collapsed="false">
      <c r="A7669" s="0" t="s">
        <v>12</v>
      </c>
      <c r="B7669" s="0" t="n">
        <v>2444706</v>
      </c>
      <c r="C7669" s="0" t="n">
        <v>2444726</v>
      </c>
      <c r="D7669" s="0" t="s">
        <v>25524</v>
      </c>
      <c r="E7669" s="0" t="s">
        <v>25525</v>
      </c>
      <c r="F7669" s="0" t="s">
        <v>90</v>
      </c>
      <c r="G7669" s="0" t="s">
        <v>32</v>
      </c>
      <c r="H7669" s="0" t="n">
        <v>48</v>
      </c>
      <c r="I7669" s="0" t="s">
        <v>25529</v>
      </c>
      <c r="J7669" s="0" t="s">
        <v>25530</v>
      </c>
      <c r="K7669" s="0" t="s">
        <v>25531</v>
      </c>
      <c r="L7669" s="0" t="str">
        <f aca="false">HYPERLINK("https://www.ncbi.nlm.nih.gov/nuccore/CP000058.1?report=graph&amp;tracks=[key:gene_model_track,Options:GeneOnly]&amp;mk=2444734:2444753|offset_21|444444,2444707:2444726|offset_48|00cc00,2444670:2444689|offset_85|444444,2444634:2444653|offset_121|444444&amp;v=2444533:2444853&amp;c=444444", "offset 48")</f>
        <v>offset 48</v>
      </c>
    </row>
    <row r="7670" customFormat="false" ht="12.8" hidden="false" customHeight="false" outlineLevel="0" collapsed="false">
      <c r="A7670" s="0" t="s">
        <v>12</v>
      </c>
      <c r="B7670" s="0" t="n">
        <v>2444669</v>
      </c>
      <c r="C7670" s="0" t="n">
        <v>2444689</v>
      </c>
      <c r="D7670" s="0" t="s">
        <v>25524</v>
      </c>
      <c r="E7670" s="0" t="s">
        <v>25525</v>
      </c>
      <c r="F7670" s="0" t="s">
        <v>90</v>
      </c>
      <c r="G7670" s="0" t="s">
        <v>32</v>
      </c>
      <c r="H7670" s="0" t="n">
        <v>85</v>
      </c>
      <c r="I7670" s="0" t="s">
        <v>25532</v>
      </c>
      <c r="J7670" s="0" t="s">
        <v>25533</v>
      </c>
      <c r="K7670" s="0" t="s">
        <v>25534</v>
      </c>
      <c r="L7670" s="0" t="str">
        <f aca="false">HYPERLINK("https://www.ncbi.nlm.nih.gov/nuccore/CP000058.1?report=graph&amp;tracks=[key:gene_model_track,Options:GeneOnly]&amp;mk=2444734:2444753|offset_21|444444,2444707:2444726|offset_48|444444,2444670:2444689|offset_85|00cc00,2444634:2444653|offset_121|444444&amp;v=2444533:2444853&amp;c=444444", "offset 85")</f>
        <v>offset 85</v>
      </c>
    </row>
    <row r="7671" customFormat="false" ht="12.8" hidden="false" customHeight="false" outlineLevel="0" collapsed="false">
      <c r="A7671" s="0" t="s">
        <v>12</v>
      </c>
      <c r="B7671" s="0" t="n">
        <v>2444633</v>
      </c>
      <c r="C7671" s="0" t="n">
        <v>2444653</v>
      </c>
      <c r="D7671" s="0" t="s">
        <v>25524</v>
      </c>
      <c r="E7671" s="0" t="s">
        <v>25525</v>
      </c>
      <c r="F7671" s="0" t="s">
        <v>90</v>
      </c>
      <c r="G7671" s="0" t="s">
        <v>32</v>
      </c>
      <c r="H7671" s="0" t="n">
        <v>121</v>
      </c>
      <c r="I7671" s="0" t="s">
        <v>25535</v>
      </c>
      <c r="J7671" s="0" t="s">
        <v>25536</v>
      </c>
      <c r="K7671" s="0" t="s">
        <v>25537</v>
      </c>
      <c r="L7671" s="0" t="str">
        <f aca="false">HYPERLINK("https://www.ncbi.nlm.nih.gov/nuccore/CP000058.1?report=graph&amp;tracks=[key:gene_model_track,Options:GeneOnly]&amp;mk=2444734:2444753|offset_21|444444,2444707:2444726|offset_48|444444,2444670:2444689|offset_85|444444,2444634:2444653|offset_121|00cc00&amp;v=2444533:2444853&amp;c=444444", "offset 121")</f>
        <v>offset 121</v>
      </c>
    </row>
    <row r="7672" customFormat="false" ht="12.8" hidden="false" customHeight="false" outlineLevel="0" collapsed="false">
      <c r="A7672" s="0" t="s">
        <v>12</v>
      </c>
      <c r="B7672" s="0" t="n">
        <v>2445104</v>
      </c>
      <c r="C7672" s="0" t="n">
        <v>2445124</v>
      </c>
      <c r="D7672" s="0" t="s">
        <v>25538</v>
      </c>
      <c r="E7672" s="0" t="s">
        <v>75</v>
      </c>
      <c r="F7672" s="0" t="s">
        <v>15</v>
      </c>
      <c r="G7672" s="0" t="s">
        <v>36</v>
      </c>
      <c r="H7672" s="0" t="n">
        <v>0</v>
      </c>
      <c r="I7672" s="0" t="s">
        <v>25539</v>
      </c>
      <c r="J7672" s="0" t="s">
        <v>25540</v>
      </c>
      <c r="K7672" s="0" t="s">
        <v>25541</v>
      </c>
      <c r="L7672" s="0" t="str">
        <f aca="false">HYPERLINK("https://www.ncbi.nlm.nih.gov/nuccore/CP000058.1?report=graph&amp;tracks=[key:gene_model_track,Options:GeneOnly]&amp;mk=2445105:2445124|offset_0|00cc00,2445125:2445144|offset_20|444444,2445161:2445180|offset_56|444444,2445185:2445204|offset_80|444444&amp;v=2444904:2445404&amp;c=444444", "offset 0")</f>
        <v>offset 0</v>
      </c>
    </row>
    <row r="7673" customFormat="false" ht="12.8" hidden="false" customHeight="false" outlineLevel="0" collapsed="false">
      <c r="A7673" s="0" t="s">
        <v>12</v>
      </c>
      <c r="B7673" s="0" t="n">
        <v>2445124</v>
      </c>
      <c r="C7673" s="0" t="n">
        <v>2445144</v>
      </c>
      <c r="D7673" s="0" t="s">
        <v>25538</v>
      </c>
      <c r="E7673" s="0" t="s">
        <v>75</v>
      </c>
      <c r="F7673" s="0" t="s">
        <v>15</v>
      </c>
      <c r="G7673" s="0" t="s">
        <v>16</v>
      </c>
      <c r="H7673" s="0" t="n">
        <v>20</v>
      </c>
      <c r="I7673" s="0" t="s">
        <v>25542</v>
      </c>
      <c r="J7673" s="0" t="s">
        <v>25543</v>
      </c>
      <c r="K7673" s="0" t="s">
        <v>25544</v>
      </c>
      <c r="L7673" s="0" t="str">
        <f aca="false">HYPERLINK("https://www.ncbi.nlm.nih.gov/nuccore/CP000058.1?report=graph&amp;tracks=[key:gene_model_track,Options:GeneOnly]&amp;mk=2445105:2445124|offset_0|444444,2445125:2445144|offset_20|00cc00,2445161:2445180|offset_56|444444,2445185:2445204|offset_80|444444&amp;v=2444904:2445404&amp;c=444444", "offset 20")</f>
        <v>offset 20</v>
      </c>
    </row>
    <row r="7674" customFormat="false" ht="12.8" hidden="false" customHeight="false" outlineLevel="0" collapsed="false">
      <c r="A7674" s="0" t="s">
        <v>12</v>
      </c>
      <c r="B7674" s="0" t="n">
        <v>2445160</v>
      </c>
      <c r="C7674" s="0" t="n">
        <v>2445180</v>
      </c>
      <c r="D7674" s="0" t="s">
        <v>25538</v>
      </c>
      <c r="E7674" s="0" t="s">
        <v>75</v>
      </c>
      <c r="F7674" s="0" t="s">
        <v>15</v>
      </c>
      <c r="G7674" s="0" t="s">
        <v>32</v>
      </c>
      <c r="H7674" s="0" t="n">
        <v>56</v>
      </c>
      <c r="I7674" s="0" t="s">
        <v>25545</v>
      </c>
      <c r="J7674" s="0" t="s">
        <v>25546</v>
      </c>
      <c r="K7674" s="0" t="s">
        <v>25547</v>
      </c>
      <c r="L7674" s="0" t="str">
        <f aca="false">HYPERLINK("https://www.ncbi.nlm.nih.gov/nuccore/CP000058.1?report=graph&amp;tracks=[key:gene_model_track,Options:GeneOnly]&amp;mk=2445105:2445124|offset_0|444444,2445125:2445144|offset_20|444444,2445161:2445180|offset_56|00cc00,2445185:2445204|offset_80|444444&amp;v=2444904:2445404&amp;c=444444", "offset 56")</f>
        <v>offset 56</v>
      </c>
    </row>
    <row r="7675" customFormat="false" ht="12.8" hidden="false" customHeight="false" outlineLevel="0" collapsed="false">
      <c r="A7675" s="0" t="s">
        <v>12</v>
      </c>
      <c r="B7675" s="0" t="n">
        <v>2445184</v>
      </c>
      <c r="C7675" s="0" t="n">
        <v>2445204</v>
      </c>
      <c r="D7675" s="0" t="s">
        <v>25538</v>
      </c>
      <c r="E7675" s="0" t="s">
        <v>75</v>
      </c>
      <c r="F7675" s="0" t="s">
        <v>15</v>
      </c>
      <c r="G7675" s="0" t="s">
        <v>20</v>
      </c>
      <c r="H7675" s="0" t="n">
        <v>80</v>
      </c>
      <c r="I7675" s="0" t="s">
        <v>25548</v>
      </c>
      <c r="J7675" s="0" t="s">
        <v>25549</v>
      </c>
      <c r="K7675" s="0" t="s">
        <v>25550</v>
      </c>
      <c r="L7675" s="0" t="str">
        <f aca="false">HYPERLINK("https://www.ncbi.nlm.nih.gov/nuccore/CP000058.1?report=graph&amp;tracks=[key:gene_model_track,Options:GeneOnly]&amp;mk=2445105:2445124|offset_0|444444,2445125:2445144|offset_20|444444,2445161:2445180|offset_56|444444,2445185:2445204|offset_80|00cc00&amp;v=2444904:2445404&amp;c=444444", "offset 80")</f>
        <v>offset 80</v>
      </c>
    </row>
    <row r="7676" customFormat="false" ht="12.8" hidden="false" customHeight="false" outlineLevel="0" collapsed="false">
      <c r="A7676" s="0" t="s">
        <v>12</v>
      </c>
      <c r="B7676" s="0" t="n">
        <v>2446072</v>
      </c>
      <c r="C7676" s="0" t="n">
        <v>2446092</v>
      </c>
      <c r="D7676" s="0" t="s">
        <v>25551</v>
      </c>
      <c r="E7676" s="0" t="s">
        <v>75</v>
      </c>
      <c r="F7676" s="0" t="s">
        <v>90</v>
      </c>
      <c r="G7676" s="0" t="s">
        <v>16</v>
      </c>
      <c r="H7676" s="0" t="n">
        <v>6</v>
      </c>
      <c r="I7676" s="0" t="s">
        <v>25552</v>
      </c>
      <c r="J7676" s="0" t="s">
        <v>25553</v>
      </c>
      <c r="K7676" s="0" t="s">
        <v>25554</v>
      </c>
      <c r="L7676" s="0" t="str">
        <f aca="false">HYPERLINK("https://www.ncbi.nlm.nih.gov/nuccore/CP000058.1?report=graph&amp;tracks=[key:gene_model_track,Options:GeneOnly]&amp;mk=2446073:2446092|offset_6|00cc00,2446048:2446067|offset_31|444444,2446014:2446033|offset_65|444444,2445982:2446001|offset_97|444444&amp;v=2445872:2446201&amp;c=444444", "offset 6")</f>
        <v>offset 6</v>
      </c>
    </row>
    <row r="7677" customFormat="false" ht="12.8" hidden="false" customHeight="false" outlineLevel="0" collapsed="false">
      <c r="A7677" s="0" t="s">
        <v>12</v>
      </c>
      <c r="B7677" s="0" t="n">
        <v>2446047</v>
      </c>
      <c r="C7677" s="0" t="n">
        <v>2446067</v>
      </c>
      <c r="D7677" s="0" t="s">
        <v>25551</v>
      </c>
      <c r="E7677" s="0" t="s">
        <v>75</v>
      </c>
      <c r="F7677" s="0" t="s">
        <v>90</v>
      </c>
      <c r="G7677" s="0" t="s">
        <v>32</v>
      </c>
      <c r="H7677" s="0" t="n">
        <v>31</v>
      </c>
      <c r="I7677" s="0" t="s">
        <v>25555</v>
      </c>
      <c r="J7677" s="0" t="s">
        <v>25556</v>
      </c>
      <c r="K7677" s="0" t="s">
        <v>25557</v>
      </c>
      <c r="L7677" s="0" t="str">
        <f aca="false">HYPERLINK("https://www.ncbi.nlm.nih.gov/nuccore/CP000058.1?report=graph&amp;tracks=[key:gene_model_track,Options:GeneOnly]&amp;mk=2446073:2446092|offset_6|444444,2446048:2446067|offset_31|00cc00,2446014:2446033|offset_65|444444,2445982:2446001|offset_97|444444&amp;v=2445872:2446201&amp;c=444444", "offset 31")</f>
        <v>offset 31</v>
      </c>
    </row>
    <row r="7678" customFormat="false" ht="12.8" hidden="false" customHeight="false" outlineLevel="0" collapsed="false">
      <c r="A7678" s="0" t="s">
        <v>12</v>
      </c>
      <c r="B7678" s="0" t="n">
        <v>2446013</v>
      </c>
      <c r="C7678" s="0" t="n">
        <v>2446033</v>
      </c>
      <c r="D7678" s="0" t="s">
        <v>25551</v>
      </c>
      <c r="E7678" s="0" t="s">
        <v>75</v>
      </c>
      <c r="F7678" s="0" t="s">
        <v>90</v>
      </c>
      <c r="G7678" s="0" t="s">
        <v>32</v>
      </c>
      <c r="H7678" s="0" t="n">
        <v>65</v>
      </c>
      <c r="I7678" s="0" t="s">
        <v>25558</v>
      </c>
      <c r="J7678" s="0" t="s">
        <v>25559</v>
      </c>
      <c r="K7678" s="0" t="s">
        <v>25560</v>
      </c>
      <c r="L7678" s="0" t="str">
        <f aca="false">HYPERLINK("https://www.ncbi.nlm.nih.gov/nuccore/CP000058.1?report=graph&amp;tracks=[key:gene_model_track,Options:GeneOnly]&amp;mk=2446073:2446092|offset_6|444444,2446048:2446067|offset_31|444444,2446014:2446033|offset_65|00cc00,2445982:2446001|offset_97|444444&amp;v=2445872:2446201&amp;c=444444", "offset 65")</f>
        <v>offset 65</v>
      </c>
    </row>
    <row r="7679" customFormat="false" ht="12.8" hidden="false" customHeight="false" outlineLevel="0" collapsed="false">
      <c r="A7679" s="0" t="s">
        <v>12</v>
      </c>
      <c r="B7679" s="0" t="n">
        <v>2445981</v>
      </c>
      <c r="C7679" s="0" t="n">
        <v>2446001</v>
      </c>
      <c r="D7679" s="0" t="s">
        <v>25551</v>
      </c>
      <c r="E7679" s="0" t="s">
        <v>75</v>
      </c>
      <c r="F7679" s="0" t="s">
        <v>90</v>
      </c>
      <c r="G7679" s="0" t="s">
        <v>32</v>
      </c>
      <c r="H7679" s="0" t="n">
        <v>97</v>
      </c>
      <c r="I7679" s="0" t="s">
        <v>25561</v>
      </c>
      <c r="J7679" s="0" t="s">
        <v>25562</v>
      </c>
      <c r="K7679" s="0" t="s">
        <v>25563</v>
      </c>
      <c r="L7679" s="0" t="str">
        <f aca="false">HYPERLINK("https://www.ncbi.nlm.nih.gov/nuccore/CP000058.1?report=graph&amp;tracks=[key:gene_model_track,Options:GeneOnly]&amp;mk=2446073:2446092|offset_6|444444,2446048:2446067|offset_31|444444,2446014:2446033|offset_65|444444,2445982:2446001|offset_97|00cc00&amp;v=2445872:2446201&amp;c=444444", "offset 97")</f>
        <v>offset 97</v>
      </c>
    </row>
    <row r="7680" customFormat="false" ht="12.8" hidden="false" customHeight="false" outlineLevel="0" collapsed="false">
      <c r="A7680" s="0" t="s">
        <v>12</v>
      </c>
      <c r="B7680" s="0" t="n">
        <v>2447180</v>
      </c>
      <c r="C7680" s="0" t="n">
        <v>2447200</v>
      </c>
      <c r="D7680" s="0" t="s">
        <v>25564</v>
      </c>
      <c r="E7680" s="0" t="s">
        <v>75</v>
      </c>
      <c r="F7680" s="0" t="s">
        <v>90</v>
      </c>
      <c r="G7680" s="0" t="s">
        <v>20</v>
      </c>
      <c r="H7680" s="0" t="n">
        <v>8</v>
      </c>
      <c r="I7680" s="0" t="s">
        <v>25565</v>
      </c>
      <c r="J7680" s="0" t="s">
        <v>25566</v>
      </c>
      <c r="K7680" s="0" t="s">
        <v>25567</v>
      </c>
      <c r="L7680" s="0" t="str">
        <f aca="false">HYPERLINK("https://www.ncbi.nlm.nih.gov/nuccore/CP000058.1?report=graph&amp;tracks=[key:gene_model_track,Options:GeneOnly]&amp;mk=2447181:2447200|offset_8|00cc00,2447107:2447126|offset_82|444444,2447081:2447100|offset_108|444444,2447054:2447073|offset_135|444444&amp;v=2446980:2447273&amp;c=444444", "offset 8")</f>
        <v>offset 8</v>
      </c>
    </row>
    <row r="7681" customFormat="false" ht="12.8" hidden="false" customHeight="false" outlineLevel="0" collapsed="false">
      <c r="A7681" s="0" t="s">
        <v>12</v>
      </c>
      <c r="B7681" s="0" t="n">
        <v>2447106</v>
      </c>
      <c r="C7681" s="0" t="n">
        <v>2447126</v>
      </c>
      <c r="D7681" s="0" t="s">
        <v>25564</v>
      </c>
      <c r="E7681" s="0" t="s">
        <v>75</v>
      </c>
      <c r="F7681" s="0" t="s">
        <v>90</v>
      </c>
      <c r="G7681" s="0" t="s">
        <v>16</v>
      </c>
      <c r="H7681" s="0" t="n">
        <v>82</v>
      </c>
      <c r="I7681" s="0" t="s">
        <v>25568</v>
      </c>
      <c r="J7681" s="0" t="s">
        <v>25569</v>
      </c>
      <c r="K7681" s="0" t="s">
        <v>25570</v>
      </c>
      <c r="L7681" s="0" t="str">
        <f aca="false">HYPERLINK("https://www.ncbi.nlm.nih.gov/nuccore/CP000058.1?report=graph&amp;tracks=[key:gene_model_track,Options:GeneOnly]&amp;mk=2447181:2447200|offset_8|444444,2447107:2447126|offset_82|00cc00,2447081:2447100|offset_108|444444,2447054:2447073|offset_135|444444&amp;v=2446980:2447273&amp;c=444444", "offset 82")</f>
        <v>offset 82</v>
      </c>
    </row>
    <row r="7682" customFormat="false" ht="12.8" hidden="false" customHeight="false" outlineLevel="0" collapsed="false">
      <c r="A7682" s="0" t="s">
        <v>12</v>
      </c>
      <c r="B7682" s="0" t="n">
        <v>2447080</v>
      </c>
      <c r="C7682" s="0" t="n">
        <v>2447100</v>
      </c>
      <c r="D7682" s="0" t="s">
        <v>25564</v>
      </c>
      <c r="E7682" s="0" t="s">
        <v>75</v>
      </c>
      <c r="F7682" s="0" t="s">
        <v>90</v>
      </c>
      <c r="G7682" s="0" t="s">
        <v>16</v>
      </c>
      <c r="H7682" s="0" t="n">
        <v>108</v>
      </c>
      <c r="I7682" s="0" t="s">
        <v>25571</v>
      </c>
      <c r="J7682" s="0" t="s">
        <v>25572</v>
      </c>
      <c r="K7682" s="0" t="s">
        <v>25573</v>
      </c>
      <c r="L7682" s="0" t="str">
        <f aca="false">HYPERLINK("https://www.ncbi.nlm.nih.gov/nuccore/CP000058.1?report=graph&amp;tracks=[key:gene_model_track,Options:GeneOnly]&amp;mk=2447181:2447200|offset_8|444444,2447107:2447126|offset_82|444444,2447081:2447100|offset_108|00cc00,2447054:2447073|offset_135|444444&amp;v=2446980:2447273&amp;c=444444", "offset 108")</f>
        <v>offset 108</v>
      </c>
    </row>
    <row r="7683" customFormat="false" ht="12.8" hidden="false" customHeight="false" outlineLevel="0" collapsed="false">
      <c r="A7683" s="0" t="s">
        <v>12</v>
      </c>
      <c r="B7683" s="0" t="n">
        <v>2447053</v>
      </c>
      <c r="C7683" s="0" t="n">
        <v>2447073</v>
      </c>
      <c r="D7683" s="0" t="s">
        <v>25564</v>
      </c>
      <c r="E7683" s="0" t="s">
        <v>75</v>
      </c>
      <c r="F7683" s="0" t="s">
        <v>90</v>
      </c>
      <c r="G7683" s="0" t="s">
        <v>32</v>
      </c>
      <c r="H7683" s="0" t="n">
        <v>135</v>
      </c>
      <c r="I7683" s="0" t="s">
        <v>25574</v>
      </c>
      <c r="J7683" s="0" t="s">
        <v>25575</v>
      </c>
      <c r="K7683" s="0" t="s">
        <v>25576</v>
      </c>
      <c r="L7683" s="0" t="str">
        <f aca="false">HYPERLINK("https://www.ncbi.nlm.nih.gov/nuccore/CP000058.1?report=graph&amp;tracks=[key:gene_model_track,Options:GeneOnly]&amp;mk=2447181:2447200|offset_8|444444,2447107:2447126|offset_82|444444,2447081:2447100|offset_108|444444,2447054:2447073|offset_135|00cc00&amp;v=2446980:2447273&amp;c=444444", "offset 135")</f>
        <v>offset 135</v>
      </c>
    </row>
    <row r="7684" customFormat="false" ht="12.8" hidden="false" customHeight="false" outlineLevel="0" collapsed="false">
      <c r="A7684" s="0" t="s">
        <v>12</v>
      </c>
      <c r="B7684" s="0" t="n">
        <v>2447615</v>
      </c>
      <c r="C7684" s="0" t="n">
        <v>2447635</v>
      </c>
      <c r="D7684" s="0" t="s">
        <v>25577</v>
      </c>
      <c r="E7684" s="0" t="s">
        <v>75</v>
      </c>
      <c r="F7684" s="0" t="s">
        <v>15</v>
      </c>
      <c r="G7684" s="0" t="s">
        <v>16</v>
      </c>
      <c r="H7684" s="0" t="n">
        <v>265</v>
      </c>
      <c r="I7684" s="0" t="s">
        <v>25578</v>
      </c>
      <c r="J7684" s="0" t="s">
        <v>25579</v>
      </c>
      <c r="K7684" s="0" t="s">
        <v>25580</v>
      </c>
      <c r="L7684" s="0" t="str">
        <f aca="false">HYPERLINK("https://www.ncbi.nlm.nih.gov/nuccore/CP000058.1?report=graph&amp;tracks=[key:gene_model_track,Options:GeneOnly]&amp;mk=2447616:2447635|offset_265|00cc00,2447641:2447660|offset_290|444444,2447679:2447698|offset_328|444444&amp;v=2447415:2447898&amp;c=444444", "offset 265")</f>
        <v>offset 265</v>
      </c>
    </row>
    <row r="7685" customFormat="false" ht="12.8" hidden="false" customHeight="false" outlineLevel="0" collapsed="false">
      <c r="A7685" s="0" t="s">
        <v>12</v>
      </c>
      <c r="B7685" s="0" t="n">
        <v>2447640</v>
      </c>
      <c r="C7685" s="0" t="n">
        <v>2447660</v>
      </c>
      <c r="D7685" s="0" t="s">
        <v>25577</v>
      </c>
      <c r="E7685" s="0" t="s">
        <v>75</v>
      </c>
      <c r="F7685" s="0" t="s">
        <v>15</v>
      </c>
      <c r="G7685" s="0" t="s">
        <v>36</v>
      </c>
      <c r="H7685" s="0" t="n">
        <v>290</v>
      </c>
      <c r="I7685" s="0" t="s">
        <v>25581</v>
      </c>
      <c r="J7685" s="0" t="s">
        <v>25582</v>
      </c>
      <c r="K7685" s="0" t="s">
        <v>25583</v>
      </c>
      <c r="L7685" s="0" t="str">
        <f aca="false">HYPERLINK("https://www.ncbi.nlm.nih.gov/nuccore/CP000058.1?report=graph&amp;tracks=[key:gene_model_track,Options:GeneOnly]&amp;mk=2447616:2447635|offset_265|444444,2447641:2447660|offset_290|00cc00,2447679:2447698|offset_328|444444&amp;v=2447415:2447898&amp;c=444444", "offset 290")</f>
        <v>offset 290</v>
      </c>
    </row>
    <row r="7686" customFormat="false" ht="12.8" hidden="false" customHeight="false" outlineLevel="0" collapsed="false">
      <c r="A7686" s="0" t="s">
        <v>12</v>
      </c>
      <c r="B7686" s="0" t="n">
        <v>2447678</v>
      </c>
      <c r="C7686" s="0" t="n">
        <v>2447698</v>
      </c>
      <c r="D7686" s="0" t="s">
        <v>25577</v>
      </c>
      <c r="E7686" s="0" t="s">
        <v>75</v>
      </c>
      <c r="F7686" s="0" t="s">
        <v>15</v>
      </c>
      <c r="G7686" s="0" t="s">
        <v>16</v>
      </c>
      <c r="H7686" s="0" t="n">
        <v>328</v>
      </c>
      <c r="I7686" s="0" t="s">
        <v>25584</v>
      </c>
      <c r="J7686" s="0" t="s">
        <v>25585</v>
      </c>
      <c r="K7686" s="0" t="s">
        <v>25586</v>
      </c>
      <c r="L7686" s="0" t="str">
        <f aca="false">HYPERLINK("https://www.ncbi.nlm.nih.gov/nuccore/CP000058.1?report=graph&amp;tracks=[key:gene_model_track,Options:GeneOnly]&amp;mk=2447616:2447635|offset_265|444444,2447641:2447660|offset_290|444444,2447679:2447698|offset_328|00cc00&amp;v=2447415:2447898&amp;c=444444", "offset 328")</f>
        <v>offset 328</v>
      </c>
    </row>
    <row r="7687" customFormat="false" ht="12.8" hidden="false" customHeight="false" outlineLevel="0" collapsed="false">
      <c r="A7687" s="0" t="s">
        <v>12</v>
      </c>
      <c r="B7687" s="0" t="n">
        <v>2447933</v>
      </c>
      <c r="C7687" s="0" t="n">
        <v>2447953</v>
      </c>
      <c r="D7687" s="0" t="s">
        <v>25587</v>
      </c>
      <c r="E7687" s="0" t="s">
        <v>75</v>
      </c>
      <c r="F7687" s="0" t="s">
        <v>15</v>
      </c>
      <c r="G7687" s="0" t="s">
        <v>32</v>
      </c>
      <c r="H7687" s="0" t="n">
        <v>161</v>
      </c>
      <c r="I7687" s="0" t="s">
        <v>25588</v>
      </c>
      <c r="J7687" s="0" t="s">
        <v>25589</v>
      </c>
      <c r="K7687" s="0" t="s">
        <v>25590</v>
      </c>
      <c r="L7687" s="0" t="str">
        <f aca="false">HYPERLINK("https://www.ncbi.nlm.nih.gov/nuccore/CP000058.1?report=graph&amp;tracks=[key:gene_model_track,Options:GeneOnly]&amp;mk=2447934:2447953|offset_161|00cc00,2447969:2447988|offset_196|444444,2447990:2448009|offset_217|444444,2448022:2448041|offset_249|444444&amp;v=2447733:2448241&amp;c=444444", "offset 161")</f>
        <v>offset 161</v>
      </c>
    </row>
    <row r="7688" customFormat="false" ht="12.8" hidden="false" customHeight="false" outlineLevel="0" collapsed="false">
      <c r="A7688" s="0" t="s">
        <v>12</v>
      </c>
      <c r="B7688" s="0" t="n">
        <v>2447968</v>
      </c>
      <c r="C7688" s="0" t="n">
        <v>2447988</v>
      </c>
      <c r="D7688" s="0" t="s">
        <v>25587</v>
      </c>
      <c r="E7688" s="0" t="s">
        <v>75</v>
      </c>
      <c r="F7688" s="0" t="s">
        <v>15</v>
      </c>
      <c r="G7688" s="0" t="s">
        <v>20</v>
      </c>
      <c r="H7688" s="0" t="n">
        <v>196</v>
      </c>
      <c r="I7688" s="0" t="s">
        <v>25591</v>
      </c>
      <c r="J7688" s="0" t="s">
        <v>25592</v>
      </c>
      <c r="K7688" s="0" t="s">
        <v>25593</v>
      </c>
      <c r="L7688" s="0" t="str">
        <f aca="false">HYPERLINK("https://www.ncbi.nlm.nih.gov/nuccore/CP000058.1?report=graph&amp;tracks=[key:gene_model_track,Options:GeneOnly]&amp;mk=2447934:2447953|offset_161|444444,2447969:2447988|offset_196|00cc00,2447990:2448009|offset_217|444444,2448022:2448041|offset_249|444444&amp;v=2447733:2448241&amp;c=444444", "offset 196")</f>
        <v>offset 196</v>
      </c>
    </row>
    <row r="7689" customFormat="false" ht="12.8" hidden="false" customHeight="false" outlineLevel="0" collapsed="false">
      <c r="A7689" s="0" t="s">
        <v>12</v>
      </c>
      <c r="B7689" s="0" t="n">
        <v>2447989</v>
      </c>
      <c r="C7689" s="0" t="n">
        <v>2448009</v>
      </c>
      <c r="D7689" s="0" t="s">
        <v>25587</v>
      </c>
      <c r="E7689" s="0" t="s">
        <v>75</v>
      </c>
      <c r="F7689" s="0" t="s">
        <v>15</v>
      </c>
      <c r="G7689" s="0" t="s">
        <v>16</v>
      </c>
      <c r="H7689" s="0" t="n">
        <v>217</v>
      </c>
      <c r="I7689" s="0" t="s">
        <v>25594</v>
      </c>
      <c r="J7689" s="0" t="s">
        <v>25595</v>
      </c>
      <c r="K7689" s="0" t="s">
        <v>25596</v>
      </c>
      <c r="L7689" s="0" t="str">
        <f aca="false">HYPERLINK("https://www.ncbi.nlm.nih.gov/nuccore/CP000058.1?report=graph&amp;tracks=[key:gene_model_track,Options:GeneOnly]&amp;mk=2447934:2447953|offset_161|444444,2447969:2447988|offset_196|444444,2447990:2448009|offset_217|00cc00,2448022:2448041|offset_249|444444&amp;v=2447733:2448241&amp;c=444444", "offset 217")</f>
        <v>offset 217</v>
      </c>
    </row>
    <row r="7690" customFormat="false" ht="12.8" hidden="false" customHeight="false" outlineLevel="0" collapsed="false">
      <c r="A7690" s="0" t="s">
        <v>12</v>
      </c>
      <c r="B7690" s="0" t="n">
        <v>2448021</v>
      </c>
      <c r="C7690" s="0" t="n">
        <v>2448041</v>
      </c>
      <c r="D7690" s="0" t="s">
        <v>25587</v>
      </c>
      <c r="E7690" s="0" t="s">
        <v>75</v>
      </c>
      <c r="F7690" s="0" t="s">
        <v>15</v>
      </c>
      <c r="G7690" s="0" t="s">
        <v>36</v>
      </c>
      <c r="H7690" s="0" t="n">
        <v>249</v>
      </c>
      <c r="I7690" s="0" t="s">
        <v>25597</v>
      </c>
      <c r="J7690" s="0" t="s">
        <v>25598</v>
      </c>
      <c r="K7690" s="0" t="s">
        <v>25599</v>
      </c>
      <c r="L7690" s="0" t="str">
        <f aca="false">HYPERLINK("https://www.ncbi.nlm.nih.gov/nuccore/CP000058.1?report=graph&amp;tracks=[key:gene_model_track,Options:GeneOnly]&amp;mk=2447934:2447953|offset_161|444444,2447969:2447988|offset_196|444444,2447990:2448009|offset_217|444444,2448022:2448041|offset_249|00cc00&amp;v=2447733:2448241&amp;c=444444", "offset 249")</f>
        <v>offset 249</v>
      </c>
    </row>
    <row r="7691" customFormat="false" ht="12.8" hidden="false" customHeight="false" outlineLevel="0" collapsed="false">
      <c r="A7691" s="0" t="s">
        <v>12</v>
      </c>
      <c r="B7691" s="0" t="n">
        <v>2449527</v>
      </c>
      <c r="C7691" s="0" t="n">
        <v>2449547</v>
      </c>
      <c r="D7691" s="0" t="s">
        <v>25600</v>
      </c>
      <c r="E7691" s="0" t="s">
        <v>75</v>
      </c>
      <c r="F7691" s="0" t="s">
        <v>90</v>
      </c>
      <c r="G7691" s="0" t="s">
        <v>36</v>
      </c>
      <c r="H7691" s="0" t="n">
        <v>23</v>
      </c>
      <c r="I7691" s="0" t="s">
        <v>25601</v>
      </c>
      <c r="J7691" s="0" t="s">
        <v>25602</v>
      </c>
      <c r="K7691" s="0" t="s">
        <v>25603</v>
      </c>
      <c r="L7691" s="0" t="str">
        <f aca="false">HYPERLINK("https://www.ncbi.nlm.nih.gov/nuccore/CP000058.1?report=graph&amp;tracks=[key:gene_model_track,Options:GeneOnly]&amp;mk=2449528:2449547|offset_23|00cc00&amp;v=2449327:2449747&amp;c=444444", "offset 23")</f>
        <v>offset 23</v>
      </c>
    </row>
    <row r="7692" customFormat="false" ht="12.8" hidden="false" customHeight="false" outlineLevel="0" collapsed="false">
      <c r="A7692" s="0" t="s">
        <v>12</v>
      </c>
      <c r="B7692" s="0" t="n">
        <v>2451019</v>
      </c>
      <c r="C7692" s="0" t="n">
        <v>2451039</v>
      </c>
      <c r="D7692" s="0" t="s">
        <v>25604</v>
      </c>
      <c r="E7692" s="0" t="s">
        <v>75</v>
      </c>
      <c r="F7692" s="0" t="s">
        <v>90</v>
      </c>
      <c r="G7692" s="0" t="s">
        <v>20</v>
      </c>
      <c r="H7692" s="0" t="n">
        <v>10</v>
      </c>
      <c r="I7692" s="0" t="s">
        <v>25605</v>
      </c>
      <c r="J7692" s="0" t="s">
        <v>25606</v>
      </c>
      <c r="K7692" s="0" t="s">
        <v>25607</v>
      </c>
      <c r="L7692" s="0" t="str">
        <f aca="false">HYPERLINK("https://www.ncbi.nlm.nih.gov/nuccore/CP000058.1?report=graph&amp;tracks=[key:gene_model_track,Options:GeneOnly]&amp;mk=2451020:2451039|offset_10|00cc00,2450995:2451014|offset_35|444444,2450965:2450984|offset_65|444444,2450943:2450962|offset_87|444444&amp;v=2450819:2451162&amp;c=444444", "offset 10")</f>
        <v>offset 10</v>
      </c>
    </row>
    <row r="7693" customFormat="false" ht="12.8" hidden="false" customHeight="false" outlineLevel="0" collapsed="false">
      <c r="A7693" s="0" t="s">
        <v>12</v>
      </c>
      <c r="B7693" s="0" t="n">
        <v>2450994</v>
      </c>
      <c r="C7693" s="0" t="n">
        <v>2451014</v>
      </c>
      <c r="D7693" s="0" t="s">
        <v>25604</v>
      </c>
      <c r="E7693" s="0" t="s">
        <v>75</v>
      </c>
      <c r="F7693" s="0" t="s">
        <v>90</v>
      </c>
      <c r="G7693" s="0" t="s">
        <v>16</v>
      </c>
      <c r="H7693" s="0" t="n">
        <v>35</v>
      </c>
      <c r="I7693" s="0" t="s">
        <v>25608</v>
      </c>
      <c r="J7693" s="0" t="s">
        <v>25609</v>
      </c>
      <c r="K7693" s="0" t="s">
        <v>25610</v>
      </c>
      <c r="L7693" s="0" t="str">
        <f aca="false">HYPERLINK("https://www.ncbi.nlm.nih.gov/nuccore/CP000058.1?report=graph&amp;tracks=[key:gene_model_track,Options:GeneOnly]&amp;mk=2451020:2451039|offset_10|444444,2450995:2451014|offset_35|00cc00,2450965:2450984|offset_65|444444,2450943:2450962|offset_87|444444&amp;v=2450819:2451162&amp;c=444444", "offset 35")</f>
        <v>offset 35</v>
      </c>
    </row>
    <row r="7694" customFormat="false" ht="12.8" hidden="false" customHeight="false" outlineLevel="0" collapsed="false">
      <c r="A7694" s="0" t="s">
        <v>12</v>
      </c>
      <c r="B7694" s="0" t="n">
        <v>2450964</v>
      </c>
      <c r="C7694" s="0" t="n">
        <v>2450984</v>
      </c>
      <c r="D7694" s="0" t="s">
        <v>25604</v>
      </c>
      <c r="E7694" s="0" t="s">
        <v>75</v>
      </c>
      <c r="F7694" s="0" t="s">
        <v>90</v>
      </c>
      <c r="G7694" s="0" t="s">
        <v>36</v>
      </c>
      <c r="H7694" s="0" t="n">
        <v>65</v>
      </c>
      <c r="I7694" s="0" t="s">
        <v>25611</v>
      </c>
      <c r="J7694" s="0" t="s">
        <v>25612</v>
      </c>
      <c r="K7694" s="0" t="s">
        <v>25613</v>
      </c>
      <c r="L7694" s="0" t="str">
        <f aca="false">HYPERLINK("https://www.ncbi.nlm.nih.gov/nuccore/CP000058.1?report=graph&amp;tracks=[key:gene_model_track,Options:GeneOnly]&amp;mk=2451020:2451039|offset_10|444444,2450995:2451014|offset_35|444444,2450965:2450984|offset_65|00cc00,2450943:2450962|offset_87|444444&amp;v=2450819:2451162&amp;c=444444", "offset 65")</f>
        <v>offset 65</v>
      </c>
    </row>
    <row r="7695" customFormat="false" ht="12.8" hidden="false" customHeight="false" outlineLevel="0" collapsed="false">
      <c r="A7695" s="0" t="s">
        <v>12</v>
      </c>
      <c r="B7695" s="0" t="n">
        <v>2450942</v>
      </c>
      <c r="C7695" s="0" t="n">
        <v>2450962</v>
      </c>
      <c r="D7695" s="0" t="s">
        <v>25604</v>
      </c>
      <c r="E7695" s="0" t="s">
        <v>75</v>
      </c>
      <c r="F7695" s="0" t="s">
        <v>90</v>
      </c>
      <c r="G7695" s="0" t="s">
        <v>16</v>
      </c>
      <c r="H7695" s="0" t="n">
        <v>87</v>
      </c>
      <c r="I7695" s="0" t="s">
        <v>25614</v>
      </c>
      <c r="J7695" s="0" t="s">
        <v>25615</v>
      </c>
      <c r="K7695" s="0" t="s">
        <v>25616</v>
      </c>
      <c r="L7695" s="0" t="str">
        <f aca="false">HYPERLINK("https://www.ncbi.nlm.nih.gov/nuccore/CP000058.1?report=graph&amp;tracks=[key:gene_model_track,Options:GeneOnly]&amp;mk=2451020:2451039|offset_10|444444,2450995:2451014|offset_35|444444,2450965:2450984|offset_65|444444,2450943:2450962|offset_87|00cc00&amp;v=2450819:2451162&amp;c=444444", "offset 87")</f>
        <v>offset 87</v>
      </c>
    </row>
    <row r="7696" customFormat="false" ht="12.8" hidden="false" customHeight="false" outlineLevel="0" collapsed="false">
      <c r="A7696" s="0" t="s">
        <v>12</v>
      </c>
      <c r="B7696" s="0" t="n">
        <v>2451544</v>
      </c>
      <c r="C7696" s="0" t="n">
        <v>2451564</v>
      </c>
      <c r="D7696" s="0" t="s">
        <v>25617</v>
      </c>
      <c r="E7696" s="0" t="s">
        <v>75</v>
      </c>
      <c r="F7696" s="0" t="s">
        <v>90</v>
      </c>
      <c r="G7696" s="0" t="s">
        <v>36</v>
      </c>
      <c r="H7696" s="0" t="n">
        <v>12</v>
      </c>
      <c r="I7696" s="0" t="s">
        <v>25618</v>
      </c>
      <c r="J7696" s="0" t="s">
        <v>25619</v>
      </c>
      <c r="K7696" s="0" t="s">
        <v>25620</v>
      </c>
      <c r="L7696" s="0" t="str">
        <f aca="false">HYPERLINK("https://www.ncbi.nlm.nih.gov/nuccore/CP000058.1?report=graph&amp;tracks=[key:gene_model_track,Options:GeneOnly]&amp;mk=2451545:2451564|offset_12|00cc00,2451523:2451542|offset_34|444444,2451495:2451514|offset_62|444444,2451474:2451493|offset_83|444444&amp;v=2451344:2451693&amp;c=444444", "offset 12")</f>
        <v>offset 12</v>
      </c>
    </row>
    <row r="7697" customFormat="false" ht="12.8" hidden="false" customHeight="false" outlineLevel="0" collapsed="false">
      <c r="A7697" s="0" t="s">
        <v>12</v>
      </c>
      <c r="B7697" s="0" t="n">
        <v>2451522</v>
      </c>
      <c r="C7697" s="0" t="n">
        <v>2451542</v>
      </c>
      <c r="D7697" s="0" t="s">
        <v>25617</v>
      </c>
      <c r="E7697" s="0" t="s">
        <v>75</v>
      </c>
      <c r="F7697" s="0" t="s">
        <v>90</v>
      </c>
      <c r="G7697" s="0" t="s">
        <v>36</v>
      </c>
      <c r="H7697" s="0" t="n">
        <v>34</v>
      </c>
      <c r="I7697" s="0" t="s">
        <v>25621</v>
      </c>
      <c r="J7697" s="0" t="s">
        <v>25622</v>
      </c>
      <c r="K7697" s="0" t="s">
        <v>25623</v>
      </c>
      <c r="L7697" s="0" t="str">
        <f aca="false">HYPERLINK("https://www.ncbi.nlm.nih.gov/nuccore/CP000058.1?report=graph&amp;tracks=[key:gene_model_track,Options:GeneOnly]&amp;mk=2451545:2451564|offset_12|444444,2451523:2451542|offset_34|00cc00,2451495:2451514|offset_62|444444,2451474:2451493|offset_83|444444&amp;v=2451344:2451693&amp;c=444444", "offset 34")</f>
        <v>offset 34</v>
      </c>
    </row>
    <row r="7698" customFormat="false" ht="12.8" hidden="false" customHeight="false" outlineLevel="0" collapsed="false">
      <c r="A7698" s="0" t="s">
        <v>12</v>
      </c>
      <c r="B7698" s="0" t="n">
        <v>2451494</v>
      </c>
      <c r="C7698" s="0" t="n">
        <v>2451514</v>
      </c>
      <c r="D7698" s="0" t="s">
        <v>25617</v>
      </c>
      <c r="E7698" s="0" t="s">
        <v>75</v>
      </c>
      <c r="F7698" s="0" t="s">
        <v>90</v>
      </c>
      <c r="G7698" s="0" t="s">
        <v>16</v>
      </c>
      <c r="H7698" s="0" t="n">
        <v>62</v>
      </c>
      <c r="I7698" s="0" t="s">
        <v>25624</v>
      </c>
      <c r="J7698" s="0" t="s">
        <v>25625</v>
      </c>
      <c r="K7698" s="0" t="s">
        <v>25626</v>
      </c>
      <c r="L7698" s="0" t="str">
        <f aca="false">HYPERLINK("https://www.ncbi.nlm.nih.gov/nuccore/CP000058.1?report=graph&amp;tracks=[key:gene_model_track,Options:GeneOnly]&amp;mk=2451545:2451564|offset_12|444444,2451523:2451542|offset_34|444444,2451495:2451514|offset_62|00cc00,2451474:2451493|offset_83|444444&amp;v=2451344:2451693&amp;c=444444", "offset 62")</f>
        <v>offset 62</v>
      </c>
    </row>
    <row r="7699" customFormat="false" ht="12.8" hidden="false" customHeight="false" outlineLevel="0" collapsed="false">
      <c r="A7699" s="0" t="s">
        <v>12</v>
      </c>
      <c r="B7699" s="0" t="n">
        <v>2451473</v>
      </c>
      <c r="C7699" s="0" t="n">
        <v>2451493</v>
      </c>
      <c r="D7699" s="0" t="s">
        <v>25617</v>
      </c>
      <c r="E7699" s="0" t="s">
        <v>75</v>
      </c>
      <c r="F7699" s="0" t="s">
        <v>90</v>
      </c>
      <c r="G7699" s="0" t="s">
        <v>16</v>
      </c>
      <c r="H7699" s="0" t="n">
        <v>83</v>
      </c>
      <c r="I7699" s="0" t="s">
        <v>25627</v>
      </c>
      <c r="J7699" s="0" t="s">
        <v>25628</v>
      </c>
      <c r="K7699" s="0" t="s">
        <v>25629</v>
      </c>
      <c r="L7699" s="0" t="str">
        <f aca="false">HYPERLINK("https://www.ncbi.nlm.nih.gov/nuccore/CP000058.1?report=graph&amp;tracks=[key:gene_model_track,Options:GeneOnly]&amp;mk=2451545:2451564|offset_12|444444,2451523:2451542|offset_34|444444,2451495:2451514|offset_62|444444,2451474:2451493|offset_83|00cc00&amp;v=2451344:2451693&amp;c=444444", "offset 83")</f>
        <v>offset 83</v>
      </c>
    </row>
    <row r="7700" customFormat="false" ht="12.8" hidden="false" customHeight="false" outlineLevel="0" collapsed="false">
      <c r="A7700" s="0" t="s">
        <v>12</v>
      </c>
      <c r="B7700" s="0" t="n">
        <v>2451918</v>
      </c>
      <c r="C7700" s="0" t="n">
        <v>2451938</v>
      </c>
      <c r="D7700" s="0" t="s">
        <v>25630</v>
      </c>
      <c r="E7700" s="0" t="s">
        <v>75</v>
      </c>
      <c r="F7700" s="0" t="s">
        <v>90</v>
      </c>
      <c r="G7700" s="0" t="s">
        <v>16</v>
      </c>
      <c r="H7700" s="0" t="n">
        <v>27</v>
      </c>
      <c r="I7700" s="0" t="s">
        <v>25631</v>
      </c>
      <c r="J7700" s="0" t="s">
        <v>25632</v>
      </c>
      <c r="K7700" s="0" t="s">
        <v>25633</v>
      </c>
      <c r="L7700" s="0" t="str">
        <f aca="false">HYPERLINK("https://www.ncbi.nlm.nih.gov/nuccore/CP000058.1?report=graph&amp;tracks=[key:gene_model_track,Options:GeneOnly]&amp;mk=2451919:2451938|offset_27|00cc00,2451892:2451911|offset_54|444444,2451869:2451888|offset_77|444444,2451804:2451823|offset_142|444444&amp;v=2451718:2452023&amp;c=444444", "offset 27")</f>
        <v>offset 27</v>
      </c>
    </row>
    <row r="7701" customFormat="false" ht="12.8" hidden="false" customHeight="false" outlineLevel="0" collapsed="false">
      <c r="A7701" s="0" t="s">
        <v>12</v>
      </c>
      <c r="B7701" s="0" t="n">
        <v>2451891</v>
      </c>
      <c r="C7701" s="0" t="n">
        <v>2451911</v>
      </c>
      <c r="D7701" s="0" t="s">
        <v>25630</v>
      </c>
      <c r="E7701" s="0" t="s">
        <v>75</v>
      </c>
      <c r="F7701" s="0" t="s">
        <v>90</v>
      </c>
      <c r="G7701" s="0" t="s">
        <v>16</v>
      </c>
      <c r="H7701" s="0" t="n">
        <v>54</v>
      </c>
      <c r="I7701" s="0" t="s">
        <v>25634</v>
      </c>
      <c r="J7701" s="0" t="s">
        <v>25635</v>
      </c>
      <c r="K7701" s="0" t="s">
        <v>25636</v>
      </c>
      <c r="L7701" s="0" t="str">
        <f aca="false">HYPERLINK("https://www.ncbi.nlm.nih.gov/nuccore/CP000058.1?report=graph&amp;tracks=[key:gene_model_track,Options:GeneOnly]&amp;mk=2451919:2451938|offset_27|444444,2451892:2451911|offset_54|00cc00,2451869:2451888|offset_77|444444,2451804:2451823|offset_142|444444&amp;v=2451718:2452023&amp;c=444444", "offset 54")</f>
        <v>offset 54</v>
      </c>
    </row>
    <row r="7702" customFormat="false" ht="12.8" hidden="false" customHeight="false" outlineLevel="0" collapsed="false">
      <c r="A7702" s="0" t="s">
        <v>12</v>
      </c>
      <c r="B7702" s="0" t="n">
        <v>2451868</v>
      </c>
      <c r="C7702" s="0" t="n">
        <v>2451888</v>
      </c>
      <c r="D7702" s="0" t="s">
        <v>25630</v>
      </c>
      <c r="E7702" s="0" t="s">
        <v>75</v>
      </c>
      <c r="F7702" s="0" t="s">
        <v>90</v>
      </c>
      <c r="G7702" s="0" t="s">
        <v>20</v>
      </c>
      <c r="H7702" s="0" t="n">
        <v>77</v>
      </c>
      <c r="I7702" s="0" t="s">
        <v>25637</v>
      </c>
      <c r="J7702" s="0" t="s">
        <v>25638</v>
      </c>
      <c r="K7702" s="0" t="s">
        <v>25639</v>
      </c>
      <c r="L7702" s="0" t="str">
        <f aca="false">HYPERLINK("https://www.ncbi.nlm.nih.gov/nuccore/CP000058.1?report=graph&amp;tracks=[key:gene_model_track,Options:GeneOnly]&amp;mk=2451919:2451938|offset_27|444444,2451892:2451911|offset_54|444444,2451869:2451888|offset_77|00cc00,2451804:2451823|offset_142|444444&amp;v=2451718:2452023&amp;c=444444", "offset 77")</f>
        <v>offset 77</v>
      </c>
    </row>
    <row r="7703" customFormat="false" ht="12.8" hidden="false" customHeight="false" outlineLevel="0" collapsed="false">
      <c r="A7703" s="0" t="s">
        <v>12</v>
      </c>
      <c r="B7703" s="0" t="n">
        <v>2451803</v>
      </c>
      <c r="C7703" s="0" t="n">
        <v>2451823</v>
      </c>
      <c r="D7703" s="0" t="s">
        <v>25630</v>
      </c>
      <c r="E7703" s="0" t="s">
        <v>75</v>
      </c>
      <c r="F7703" s="0" t="s">
        <v>90</v>
      </c>
      <c r="G7703" s="0" t="s">
        <v>16</v>
      </c>
      <c r="H7703" s="0" t="n">
        <v>142</v>
      </c>
      <c r="I7703" s="0" t="s">
        <v>25640</v>
      </c>
      <c r="J7703" s="0" t="s">
        <v>25641</v>
      </c>
      <c r="K7703" s="0" t="s">
        <v>25642</v>
      </c>
      <c r="L7703" s="0" t="str">
        <f aca="false">HYPERLINK("https://www.ncbi.nlm.nih.gov/nuccore/CP000058.1?report=graph&amp;tracks=[key:gene_model_track,Options:GeneOnly]&amp;mk=2451919:2451938|offset_27|444444,2451892:2451911|offset_54|444444,2451869:2451888|offset_77|444444,2451804:2451823|offset_142|00cc00&amp;v=2451718:2452023&amp;c=444444", "offset 142")</f>
        <v>offset 142</v>
      </c>
    </row>
    <row r="7704" customFormat="false" ht="12.8" hidden="false" customHeight="false" outlineLevel="0" collapsed="false">
      <c r="A7704" s="0" t="s">
        <v>12</v>
      </c>
      <c r="B7704" s="0" t="n">
        <v>2452257</v>
      </c>
      <c r="C7704" s="0" t="n">
        <v>2452277</v>
      </c>
      <c r="D7704" s="0" t="s">
        <v>25643</v>
      </c>
      <c r="E7704" s="0" t="s">
        <v>75</v>
      </c>
      <c r="F7704" s="0" t="s">
        <v>90</v>
      </c>
      <c r="G7704" s="0" t="s">
        <v>36</v>
      </c>
      <c r="H7704" s="0" t="n">
        <v>7</v>
      </c>
      <c r="I7704" s="0" t="s">
        <v>25644</v>
      </c>
      <c r="J7704" s="0" t="s">
        <v>25645</v>
      </c>
      <c r="K7704" s="0" t="s">
        <v>25646</v>
      </c>
      <c r="L7704" s="0" t="str">
        <f aca="false">HYPERLINK("https://www.ncbi.nlm.nih.gov/nuccore/CP000058.1?report=graph&amp;tracks=[key:gene_model_track,Options:GeneOnly]&amp;mk=2452258:2452277|offset_7|00cc00,2452227:2452246|offset_38|444444,2452198:2452217|offset_67|444444,2452171:2452190|offset_94|444444&amp;v=2452057:2452390&amp;c=444444", "offset 7")</f>
        <v>offset 7</v>
      </c>
    </row>
    <row r="7705" customFormat="false" ht="12.8" hidden="false" customHeight="false" outlineLevel="0" collapsed="false">
      <c r="A7705" s="0" t="s">
        <v>12</v>
      </c>
      <c r="B7705" s="0" t="n">
        <v>2452226</v>
      </c>
      <c r="C7705" s="0" t="n">
        <v>2452246</v>
      </c>
      <c r="D7705" s="0" t="s">
        <v>25643</v>
      </c>
      <c r="E7705" s="0" t="s">
        <v>75</v>
      </c>
      <c r="F7705" s="0" t="s">
        <v>90</v>
      </c>
      <c r="G7705" s="0" t="s">
        <v>20</v>
      </c>
      <c r="H7705" s="0" t="n">
        <v>38</v>
      </c>
      <c r="I7705" s="0" t="s">
        <v>25647</v>
      </c>
      <c r="J7705" s="0" t="s">
        <v>25648</v>
      </c>
      <c r="K7705" s="0" t="s">
        <v>25649</v>
      </c>
      <c r="L7705" s="0" t="str">
        <f aca="false">HYPERLINK("https://www.ncbi.nlm.nih.gov/nuccore/CP000058.1?report=graph&amp;tracks=[key:gene_model_track,Options:GeneOnly]&amp;mk=2452258:2452277|offset_7|444444,2452227:2452246|offset_38|00cc00,2452198:2452217|offset_67|444444,2452171:2452190|offset_94|444444&amp;v=2452057:2452390&amp;c=444444", "offset 38")</f>
        <v>offset 38</v>
      </c>
    </row>
    <row r="7706" customFormat="false" ht="12.8" hidden="false" customHeight="false" outlineLevel="0" collapsed="false">
      <c r="A7706" s="0" t="s">
        <v>12</v>
      </c>
      <c r="B7706" s="0" t="n">
        <v>2452197</v>
      </c>
      <c r="C7706" s="0" t="n">
        <v>2452217</v>
      </c>
      <c r="D7706" s="0" t="s">
        <v>25643</v>
      </c>
      <c r="E7706" s="0" t="s">
        <v>75</v>
      </c>
      <c r="F7706" s="0" t="s">
        <v>90</v>
      </c>
      <c r="G7706" s="0" t="s">
        <v>16</v>
      </c>
      <c r="H7706" s="0" t="n">
        <v>67</v>
      </c>
      <c r="I7706" s="0" t="s">
        <v>25650</v>
      </c>
      <c r="J7706" s="0" t="s">
        <v>25651</v>
      </c>
      <c r="K7706" s="0" t="s">
        <v>25652</v>
      </c>
      <c r="L7706" s="0" t="str">
        <f aca="false">HYPERLINK("https://www.ncbi.nlm.nih.gov/nuccore/CP000058.1?report=graph&amp;tracks=[key:gene_model_track,Options:GeneOnly]&amp;mk=2452258:2452277|offset_7|444444,2452227:2452246|offset_38|444444,2452198:2452217|offset_67|00cc00,2452171:2452190|offset_94|444444&amp;v=2452057:2452390&amp;c=444444", "offset 67")</f>
        <v>offset 67</v>
      </c>
    </row>
    <row r="7707" customFormat="false" ht="12.8" hidden="false" customHeight="false" outlineLevel="0" collapsed="false">
      <c r="A7707" s="0" t="s">
        <v>12</v>
      </c>
      <c r="B7707" s="0" t="n">
        <v>2452170</v>
      </c>
      <c r="C7707" s="0" t="n">
        <v>2452190</v>
      </c>
      <c r="D7707" s="0" t="s">
        <v>25643</v>
      </c>
      <c r="E7707" s="0" t="s">
        <v>75</v>
      </c>
      <c r="F7707" s="0" t="s">
        <v>90</v>
      </c>
      <c r="G7707" s="0" t="s">
        <v>16</v>
      </c>
      <c r="H7707" s="0" t="n">
        <v>94</v>
      </c>
      <c r="I7707" s="0" t="s">
        <v>25653</v>
      </c>
      <c r="J7707" s="0" t="s">
        <v>25654</v>
      </c>
      <c r="K7707" s="0" t="s">
        <v>25655</v>
      </c>
      <c r="L7707" s="0" t="str">
        <f aca="false">HYPERLINK("https://www.ncbi.nlm.nih.gov/nuccore/CP000058.1?report=graph&amp;tracks=[key:gene_model_track,Options:GeneOnly]&amp;mk=2452258:2452277|offset_7|444444,2452227:2452246|offset_38|444444,2452198:2452217|offset_67|444444,2452171:2452190|offset_94|00cc00&amp;v=2452057:2452390&amp;c=444444", "offset 94")</f>
        <v>offset 94</v>
      </c>
    </row>
    <row r="7708" customFormat="false" ht="12.8" hidden="false" customHeight="false" outlineLevel="0" collapsed="false">
      <c r="A7708" s="0" t="s">
        <v>12</v>
      </c>
      <c r="B7708" s="0" t="n">
        <v>2452386</v>
      </c>
      <c r="C7708" s="0" t="n">
        <v>2452406</v>
      </c>
      <c r="D7708" s="0" t="s">
        <v>25656</v>
      </c>
      <c r="E7708" s="0" t="s">
        <v>75</v>
      </c>
      <c r="F7708" s="0" t="s">
        <v>15</v>
      </c>
      <c r="G7708" s="0" t="s">
        <v>16</v>
      </c>
      <c r="H7708" s="0" t="n">
        <v>26</v>
      </c>
      <c r="I7708" s="0" t="s">
        <v>25657</v>
      </c>
      <c r="J7708" s="0" t="s">
        <v>25658</v>
      </c>
      <c r="K7708" s="0" t="s">
        <v>25659</v>
      </c>
      <c r="L7708" s="0" t="str">
        <f aca="false">HYPERLINK("https://www.ncbi.nlm.nih.gov/nuccore/CP000058.1?report=graph&amp;tracks=[key:gene_model_track,Options:GeneOnly]&amp;mk=2452387:2452406|offset_26|00cc00,2452424:2452443|offset_63|444444,2452449:2452468|offset_88|444444&amp;v=2452186:2452668&amp;c=444444", "offset 26")</f>
        <v>offset 26</v>
      </c>
    </row>
    <row r="7709" customFormat="false" ht="12.8" hidden="false" customHeight="false" outlineLevel="0" collapsed="false">
      <c r="A7709" s="0" t="s">
        <v>12</v>
      </c>
      <c r="B7709" s="0" t="n">
        <v>2452423</v>
      </c>
      <c r="C7709" s="0" t="n">
        <v>2452443</v>
      </c>
      <c r="D7709" s="0" t="s">
        <v>25656</v>
      </c>
      <c r="E7709" s="0" t="s">
        <v>75</v>
      </c>
      <c r="F7709" s="0" t="s">
        <v>15</v>
      </c>
      <c r="G7709" s="0" t="s">
        <v>16</v>
      </c>
      <c r="H7709" s="0" t="n">
        <v>63</v>
      </c>
      <c r="I7709" s="0" t="s">
        <v>25660</v>
      </c>
      <c r="J7709" s="0" t="s">
        <v>25661</v>
      </c>
      <c r="K7709" s="0" t="s">
        <v>25662</v>
      </c>
      <c r="L7709" s="0" t="str">
        <f aca="false">HYPERLINK("https://www.ncbi.nlm.nih.gov/nuccore/CP000058.1?report=graph&amp;tracks=[key:gene_model_track,Options:GeneOnly]&amp;mk=2452387:2452406|offset_26|444444,2452424:2452443|offset_63|00cc00,2452449:2452468|offset_88|444444&amp;v=2452186:2452668&amp;c=444444", "offset 63")</f>
        <v>offset 63</v>
      </c>
    </row>
    <row r="7710" customFormat="false" ht="12.8" hidden="false" customHeight="false" outlineLevel="0" collapsed="false">
      <c r="A7710" s="0" t="s">
        <v>12</v>
      </c>
      <c r="B7710" s="0" t="n">
        <v>2452448</v>
      </c>
      <c r="C7710" s="0" t="n">
        <v>2452468</v>
      </c>
      <c r="D7710" s="0" t="s">
        <v>25656</v>
      </c>
      <c r="E7710" s="0" t="s">
        <v>75</v>
      </c>
      <c r="F7710" s="0" t="s">
        <v>15</v>
      </c>
      <c r="G7710" s="0" t="s">
        <v>16</v>
      </c>
      <c r="H7710" s="0" t="n">
        <v>88</v>
      </c>
      <c r="I7710" s="0" t="s">
        <v>25663</v>
      </c>
      <c r="J7710" s="0" t="s">
        <v>25664</v>
      </c>
      <c r="K7710" s="0" t="s">
        <v>25665</v>
      </c>
      <c r="L7710" s="0" t="str">
        <f aca="false">HYPERLINK("https://www.ncbi.nlm.nih.gov/nuccore/CP000058.1?report=graph&amp;tracks=[key:gene_model_track,Options:GeneOnly]&amp;mk=2452387:2452406|offset_26|444444,2452424:2452443|offset_63|444444,2452449:2452468|offset_88|00cc00&amp;v=2452186:2452668&amp;c=444444", "offset 88")</f>
        <v>offset 88</v>
      </c>
    </row>
    <row r="7711" customFormat="false" ht="12.8" hidden="false" customHeight="false" outlineLevel="0" collapsed="false">
      <c r="A7711" s="0" t="s">
        <v>12</v>
      </c>
      <c r="B7711" s="0" t="n">
        <v>2452545</v>
      </c>
      <c r="C7711" s="0" t="n">
        <v>2452565</v>
      </c>
      <c r="D7711" s="0" t="s">
        <v>25666</v>
      </c>
      <c r="E7711" s="0" t="s">
        <v>75</v>
      </c>
      <c r="F7711" s="0" t="s">
        <v>15</v>
      </c>
      <c r="G7711" s="0" t="s">
        <v>36</v>
      </c>
      <c r="H7711" s="0" t="n">
        <v>19</v>
      </c>
      <c r="I7711" s="0" t="s">
        <v>25667</v>
      </c>
      <c r="J7711" s="0" t="s">
        <v>25668</v>
      </c>
      <c r="K7711" s="0" t="s">
        <v>25669</v>
      </c>
      <c r="L7711" s="0" t="str">
        <f aca="false">HYPERLINK("https://www.ncbi.nlm.nih.gov/nuccore/CP000058.1?report=graph&amp;tracks=[key:gene_model_track,Options:GeneOnly]&amp;mk=2452546:2452565|offset_19|00cc00,2452574:2452593|offset_47|444444,2452621:2452640|offset_94|444444,2452641:2452660|offset_114|444444&amp;v=2452345:2452860&amp;c=444444", "offset 19")</f>
        <v>offset 19</v>
      </c>
    </row>
    <row r="7712" customFormat="false" ht="12.8" hidden="false" customHeight="false" outlineLevel="0" collapsed="false">
      <c r="A7712" s="0" t="s">
        <v>12</v>
      </c>
      <c r="B7712" s="0" t="n">
        <v>2452573</v>
      </c>
      <c r="C7712" s="0" t="n">
        <v>2452593</v>
      </c>
      <c r="D7712" s="0" t="s">
        <v>25666</v>
      </c>
      <c r="E7712" s="0" t="s">
        <v>75</v>
      </c>
      <c r="F7712" s="0" t="s">
        <v>15</v>
      </c>
      <c r="G7712" s="0" t="s">
        <v>20</v>
      </c>
      <c r="H7712" s="0" t="n">
        <v>47</v>
      </c>
      <c r="I7712" s="0" t="s">
        <v>25670</v>
      </c>
      <c r="J7712" s="0" t="s">
        <v>25671</v>
      </c>
      <c r="K7712" s="0" t="s">
        <v>25672</v>
      </c>
      <c r="L7712" s="0" t="str">
        <f aca="false">HYPERLINK("https://www.ncbi.nlm.nih.gov/nuccore/CP000058.1?report=graph&amp;tracks=[key:gene_model_track,Options:GeneOnly]&amp;mk=2452546:2452565|offset_19|444444,2452574:2452593|offset_47|00cc00,2452621:2452640|offset_94|444444,2452641:2452660|offset_114|444444&amp;v=2452345:2452860&amp;c=444444", "offset 47")</f>
        <v>offset 47</v>
      </c>
    </row>
    <row r="7713" customFormat="false" ht="12.8" hidden="false" customHeight="false" outlineLevel="0" collapsed="false">
      <c r="A7713" s="0" t="s">
        <v>12</v>
      </c>
      <c r="B7713" s="0" t="n">
        <v>2452620</v>
      </c>
      <c r="C7713" s="0" t="n">
        <v>2452640</v>
      </c>
      <c r="D7713" s="0" t="s">
        <v>25666</v>
      </c>
      <c r="E7713" s="0" t="s">
        <v>75</v>
      </c>
      <c r="F7713" s="0" t="s">
        <v>15</v>
      </c>
      <c r="G7713" s="0" t="s">
        <v>16</v>
      </c>
      <c r="H7713" s="0" t="n">
        <v>94</v>
      </c>
      <c r="I7713" s="0" t="s">
        <v>25673</v>
      </c>
      <c r="J7713" s="0" t="s">
        <v>25674</v>
      </c>
      <c r="K7713" s="0" t="s">
        <v>25675</v>
      </c>
      <c r="L7713" s="0" t="str">
        <f aca="false">HYPERLINK("https://www.ncbi.nlm.nih.gov/nuccore/CP000058.1?report=graph&amp;tracks=[key:gene_model_track,Options:GeneOnly]&amp;mk=2452546:2452565|offset_19|444444,2452574:2452593|offset_47|444444,2452621:2452640|offset_94|00cc00,2452641:2452660|offset_114|444444&amp;v=2452345:2452860&amp;c=444444", "offset 94")</f>
        <v>offset 94</v>
      </c>
    </row>
    <row r="7714" customFormat="false" ht="12.8" hidden="false" customHeight="false" outlineLevel="0" collapsed="false">
      <c r="A7714" s="0" t="s">
        <v>12</v>
      </c>
      <c r="B7714" s="0" t="n">
        <v>2452640</v>
      </c>
      <c r="C7714" s="0" t="n">
        <v>2452660</v>
      </c>
      <c r="D7714" s="0" t="s">
        <v>25666</v>
      </c>
      <c r="E7714" s="0" t="s">
        <v>75</v>
      </c>
      <c r="F7714" s="0" t="s">
        <v>15</v>
      </c>
      <c r="G7714" s="0" t="s">
        <v>16</v>
      </c>
      <c r="H7714" s="0" t="n">
        <v>114</v>
      </c>
      <c r="I7714" s="0" t="s">
        <v>25676</v>
      </c>
      <c r="J7714" s="0" t="s">
        <v>25677</v>
      </c>
      <c r="K7714" s="0" t="s">
        <v>25678</v>
      </c>
      <c r="L7714" s="0" t="str">
        <f aca="false">HYPERLINK("https://www.ncbi.nlm.nih.gov/nuccore/CP000058.1?report=graph&amp;tracks=[key:gene_model_track,Options:GeneOnly]&amp;mk=2452546:2452565|offset_19|444444,2452574:2452593|offset_47|444444,2452621:2452640|offset_94|444444,2452641:2452660|offset_114|00cc00&amp;v=2452345:2452860&amp;c=444444", "offset 114")</f>
        <v>offset 114</v>
      </c>
    </row>
    <row r="7715" customFormat="false" ht="12.8" hidden="false" customHeight="false" outlineLevel="0" collapsed="false">
      <c r="A7715" s="0" t="s">
        <v>12</v>
      </c>
      <c r="B7715" s="0" t="n">
        <v>2453660</v>
      </c>
      <c r="C7715" s="0" t="n">
        <v>2453680</v>
      </c>
      <c r="D7715" s="0" t="s">
        <v>25679</v>
      </c>
      <c r="E7715" s="0" t="s">
        <v>75</v>
      </c>
      <c r="F7715" s="0" t="s">
        <v>15</v>
      </c>
      <c r="G7715" s="0" t="s">
        <v>16</v>
      </c>
      <c r="H7715" s="0" t="n">
        <v>6</v>
      </c>
      <c r="I7715" s="0" t="s">
        <v>25680</v>
      </c>
      <c r="J7715" s="0" t="s">
        <v>25681</v>
      </c>
      <c r="K7715" s="0" t="s">
        <v>25682</v>
      </c>
      <c r="L7715" s="0" t="str">
        <f aca="false">HYPERLINK("https://www.ncbi.nlm.nih.gov/nuccore/CP000058.1?report=graph&amp;tracks=[key:gene_model_track,Options:GeneOnly]&amp;mk=2453661:2453680|offset_6|00cc00,2453686:2453705|offset_31|444444,2453713:2453732|offset_58|444444,2453737:2453756|offset_82|444444&amp;v=2453460:2453956&amp;c=444444", "offset 6")</f>
        <v>offset 6</v>
      </c>
    </row>
    <row r="7716" customFormat="false" ht="12.8" hidden="false" customHeight="false" outlineLevel="0" collapsed="false">
      <c r="A7716" s="0" t="s">
        <v>12</v>
      </c>
      <c r="B7716" s="0" t="n">
        <v>2453685</v>
      </c>
      <c r="C7716" s="0" t="n">
        <v>2453705</v>
      </c>
      <c r="D7716" s="0" t="s">
        <v>25679</v>
      </c>
      <c r="E7716" s="0" t="s">
        <v>75</v>
      </c>
      <c r="F7716" s="0" t="s">
        <v>15</v>
      </c>
      <c r="G7716" s="0" t="s">
        <v>36</v>
      </c>
      <c r="H7716" s="0" t="n">
        <v>31</v>
      </c>
      <c r="I7716" s="0" t="s">
        <v>25683</v>
      </c>
      <c r="J7716" s="0" t="s">
        <v>25684</v>
      </c>
      <c r="K7716" s="0" t="s">
        <v>25685</v>
      </c>
      <c r="L7716" s="0" t="str">
        <f aca="false">HYPERLINK("https://www.ncbi.nlm.nih.gov/nuccore/CP000058.1?report=graph&amp;tracks=[key:gene_model_track,Options:GeneOnly]&amp;mk=2453661:2453680|offset_6|444444,2453686:2453705|offset_31|00cc00,2453713:2453732|offset_58|444444,2453737:2453756|offset_82|444444&amp;v=2453460:2453956&amp;c=444444", "offset 31")</f>
        <v>offset 31</v>
      </c>
    </row>
    <row r="7717" customFormat="false" ht="12.8" hidden="false" customHeight="false" outlineLevel="0" collapsed="false">
      <c r="A7717" s="0" t="s">
        <v>12</v>
      </c>
      <c r="B7717" s="0" t="n">
        <v>2453712</v>
      </c>
      <c r="C7717" s="0" t="n">
        <v>2453732</v>
      </c>
      <c r="D7717" s="0" t="s">
        <v>25679</v>
      </c>
      <c r="E7717" s="0" t="s">
        <v>75</v>
      </c>
      <c r="F7717" s="0" t="s">
        <v>15</v>
      </c>
      <c r="G7717" s="0" t="s">
        <v>16</v>
      </c>
      <c r="H7717" s="0" t="n">
        <v>58</v>
      </c>
      <c r="I7717" s="0" t="s">
        <v>25686</v>
      </c>
      <c r="J7717" s="0" t="s">
        <v>25687</v>
      </c>
      <c r="K7717" s="0" t="s">
        <v>25688</v>
      </c>
      <c r="L7717" s="0" t="str">
        <f aca="false">HYPERLINK("https://www.ncbi.nlm.nih.gov/nuccore/CP000058.1?report=graph&amp;tracks=[key:gene_model_track,Options:GeneOnly]&amp;mk=2453661:2453680|offset_6|444444,2453686:2453705|offset_31|444444,2453713:2453732|offset_58|00cc00,2453737:2453756|offset_82|444444&amp;v=2453460:2453956&amp;c=444444", "offset 58")</f>
        <v>offset 58</v>
      </c>
    </row>
    <row r="7718" customFormat="false" ht="12.8" hidden="false" customHeight="false" outlineLevel="0" collapsed="false">
      <c r="A7718" s="0" t="s">
        <v>12</v>
      </c>
      <c r="B7718" s="0" t="n">
        <v>2453736</v>
      </c>
      <c r="C7718" s="0" t="n">
        <v>2453756</v>
      </c>
      <c r="D7718" s="0" t="s">
        <v>25679</v>
      </c>
      <c r="E7718" s="0" t="s">
        <v>75</v>
      </c>
      <c r="F7718" s="0" t="s">
        <v>15</v>
      </c>
      <c r="G7718" s="0" t="s">
        <v>32</v>
      </c>
      <c r="H7718" s="0" t="n">
        <v>82</v>
      </c>
      <c r="I7718" s="0" t="s">
        <v>25689</v>
      </c>
      <c r="J7718" s="0" t="s">
        <v>25690</v>
      </c>
      <c r="K7718" s="0" t="s">
        <v>25691</v>
      </c>
      <c r="L7718" s="0" t="str">
        <f aca="false">HYPERLINK("https://www.ncbi.nlm.nih.gov/nuccore/CP000058.1?report=graph&amp;tracks=[key:gene_model_track,Options:GeneOnly]&amp;mk=2453661:2453680|offset_6|444444,2453686:2453705|offset_31|444444,2453713:2453732|offset_58|444444,2453737:2453756|offset_82|00cc00&amp;v=2453460:2453956&amp;c=444444", "offset 82")</f>
        <v>offset 82</v>
      </c>
    </row>
    <row r="7719" customFormat="false" ht="12.8" hidden="false" customHeight="false" outlineLevel="0" collapsed="false">
      <c r="A7719" s="0" t="s">
        <v>12</v>
      </c>
      <c r="B7719" s="0" t="n">
        <v>2453965</v>
      </c>
      <c r="C7719" s="0" t="n">
        <v>2453985</v>
      </c>
      <c r="D7719" s="0" t="s">
        <v>25692</v>
      </c>
      <c r="E7719" s="0" t="s">
        <v>25693</v>
      </c>
      <c r="F7719" s="0" t="s">
        <v>15</v>
      </c>
      <c r="G7719" s="0" t="s">
        <v>36</v>
      </c>
      <c r="H7719" s="0" t="n">
        <v>16</v>
      </c>
      <c r="I7719" s="0" t="s">
        <v>25694</v>
      </c>
      <c r="J7719" s="0" t="s">
        <v>25695</v>
      </c>
      <c r="K7719" s="0" t="s">
        <v>25696</v>
      </c>
      <c r="L7719" s="0" t="str">
        <f aca="false">HYPERLINK("https://www.ncbi.nlm.nih.gov/nuccore/CP000058.1?report=graph&amp;tracks=[key:gene_model_track,Options:GeneOnly]&amp;mk=2453966:2453985|offset_16|00cc00,2454021:2454040|offset_71|444444,2454058:2454077|offset_108|444444,2454101:2454120|offset_151|444444&amp;v=2453765:2454320&amp;c=444444", "offset 16")</f>
        <v>offset 16</v>
      </c>
    </row>
    <row r="7720" customFormat="false" ht="12.8" hidden="false" customHeight="false" outlineLevel="0" collapsed="false">
      <c r="A7720" s="0" t="s">
        <v>12</v>
      </c>
      <c r="B7720" s="0" t="n">
        <v>2454020</v>
      </c>
      <c r="C7720" s="0" t="n">
        <v>2454040</v>
      </c>
      <c r="D7720" s="0" t="s">
        <v>25692</v>
      </c>
      <c r="E7720" s="0" t="s">
        <v>25693</v>
      </c>
      <c r="F7720" s="0" t="s">
        <v>15</v>
      </c>
      <c r="G7720" s="0" t="s">
        <v>20</v>
      </c>
      <c r="H7720" s="0" t="n">
        <v>71</v>
      </c>
      <c r="I7720" s="0" t="s">
        <v>25697</v>
      </c>
      <c r="J7720" s="0" t="s">
        <v>25698</v>
      </c>
      <c r="K7720" s="0" t="s">
        <v>25699</v>
      </c>
      <c r="L7720" s="0" t="str">
        <f aca="false">HYPERLINK("https://www.ncbi.nlm.nih.gov/nuccore/CP000058.1?report=graph&amp;tracks=[key:gene_model_track,Options:GeneOnly]&amp;mk=2453966:2453985|offset_16|444444,2454021:2454040|offset_71|00cc00,2454058:2454077|offset_108|444444,2454101:2454120|offset_151|444444&amp;v=2453765:2454320&amp;c=444444", "offset 71")</f>
        <v>offset 71</v>
      </c>
    </row>
    <row r="7721" customFormat="false" ht="12.8" hidden="false" customHeight="false" outlineLevel="0" collapsed="false">
      <c r="A7721" s="0" t="s">
        <v>12</v>
      </c>
      <c r="B7721" s="0" t="n">
        <v>2454057</v>
      </c>
      <c r="C7721" s="0" t="n">
        <v>2454077</v>
      </c>
      <c r="D7721" s="0" t="s">
        <v>25692</v>
      </c>
      <c r="E7721" s="0" t="s">
        <v>25693</v>
      </c>
      <c r="F7721" s="0" t="s">
        <v>15</v>
      </c>
      <c r="G7721" s="0" t="s">
        <v>36</v>
      </c>
      <c r="H7721" s="0" t="n">
        <v>108</v>
      </c>
      <c r="I7721" s="0" t="s">
        <v>25700</v>
      </c>
      <c r="J7721" s="0" t="s">
        <v>25701</v>
      </c>
      <c r="K7721" s="0" t="s">
        <v>25702</v>
      </c>
      <c r="L7721" s="0" t="str">
        <f aca="false">HYPERLINK("https://www.ncbi.nlm.nih.gov/nuccore/CP000058.1?report=graph&amp;tracks=[key:gene_model_track,Options:GeneOnly]&amp;mk=2453966:2453985|offset_16|444444,2454021:2454040|offset_71|444444,2454058:2454077|offset_108|00cc00,2454101:2454120|offset_151|444444&amp;v=2453765:2454320&amp;c=444444", "offset 108")</f>
        <v>offset 108</v>
      </c>
    </row>
    <row r="7722" customFormat="false" ht="12.8" hidden="false" customHeight="false" outlineLevel="0" collapsed="false">
      <c r="A7722" s="0" t="s">
        <v>12</v>
      </c>
      <c r="B7722" s="0" t="n">
        <v>2454100</v>
      </c>
      <c r="C7722" s="0" t="n">
        <v>2454120</v>
      </c>
      <c r="D7722" s="0" t="s">
        <v>25692</v>
      </c>
      <c r="E7722" s="0" t="s">
        <v>25693</v>
      </c>
      <c r="F7722" s="0" t="s">
        <v>15</v>
      </c>
      <c r="G7722" s="0" t="s">
        <v>32</v>
      </c>
      <c r="H7722" s="0" t="n">
        <v>151</v>
      </c>
      <c r="I7722" s="0" t="s">
        <v>25703</v>
      </c>
      <c r="J7722" s="0" t="s">
        <v>25704</v>
      </c>
      <c r="K7722" s="0" t="s">
        <v>25705</v>
      </c>
      <c r="L7722" s="0" t="str">
        <f aca="false">HYPERLINK("https://www.ncbi.nlm.nih.gov/nuccore/CP000058.1?report=graph&amp;tracks=[key:gene_model_track,Options:GeneOnly]&amp;mk=2453966:2453985|offset_16|444444,2454021:2454040|offset_71|444444,2454058:2454077|offset_108|444444,2454101:2454120|offset_151|00cc00&amp;v=2453765:2454320&amp;c=444444", "offset 151")</f>
        <v>offset 151</v>
      </c>
    </row>
    <row r="7723" customFormat="false" ht="12.8" hidden="false" customHeight="false" outlineLevel="0" collapsed="false">
      <c r="A7723" s="0" t="s">
        <v>12</v>
      </c>
      <c r="B7723" s="0" t="n">
        <v>2455005</v>
      </c>
      <c r="C7723" s="0" t="n">
        <v>2455025</v>
      </c>
      <c r="D7723" s="0" t="s">
        <v>25706</v>
      </c>
      <c r="E7723" s="0" t="s">
        <v>25707</v>
      </c>
      <c r="F7723" s="0" t="s">
        <v>15</v>
      </c>
      <c r="G7723" s="0" t="s">
        <v>32</v>
      </c>
      <c r="H7723" s="0" t="n">
        <v>1</v>
      </c>
      <c r="I7723" s="0" t="s">
        <v>25708</v>
      </c>
      <c r="J7723" s="0" t="s">
        <v>25709</v>
      </c>
      <c r="K7723" s="0" t="s">
        <v>25710</v>
      </c>
      <c r="L7723" s="0" t="str">
        <f aca="false">HYPERLINK("https://www.ncbi.nlm.nih.gov/nuccore/CP000058.1?report=graph&amp;tracks=[key:gene_model_track,Options:GeneOnly]&amp;mk=2455006:2455025|offset_1|00cc00,2455028:2455047|offset_23|444444,2455058:2455077|offset_53|444444,2455087:2455106|offset_82|444444&amp;v=2454805:2455306&amp;c=444444", "offset 1")</f>
        <v>offset 1</v>
      </c>
    </row>
    <row r="7724" customFormat="false" ht="12.8" hidden="false" customHeight="false" outlineLevel="0" collapsed="false">
      <c r="A7724" s="0" t="s">
        <v>12</v>
      </c>
      <c r="B7724" s="0" t="n">
        <v>2455027</v>
      </c>
      <c r="C7724" s="0" t="n">
        <v>2455047</v>
      </c>
      <c r="D7724" s="0" t="s">
        <v>25706</v>
      </c>
      <c r="E7724" s="0" t="s">
        <v>25707</v>
      </c>
      <c r="F7724" s="0" t="s">
        <v>15</v>
      </c>
      <c r="G7724" s="0" t="s">
        <v>16</v>
      </c>
      <c r="H7724" s="0" t="n">
        <v>23</v>
      </c>
      <c r="I7724" s="0" t="s">
        <v>25711</v>
      </c>
      <c r="J7724" s="0" t="s">
        <v>25712</v>
      </c>
      <c r="K7724" s="0" t="s">
        <v>25713</v>
      </c>
      <c r="L7724" s="0" t="str">
        <f aca="false">HYPERLINK("https://www.ncbi.nlm.nih.gov/nuccore/CP000058.1?report=graph&amp;tracks=[key:gene_model_track,Options:GeneOnly]&amp;mk=2455006:2455025|offset_1|444444,2455028:2455047|offset_23|00cc00,2455058:2455077|offset_53|444444,2455087:2455106|offset_82|444444&amp;v=2454805:2455306&amp;c=444444", "offset 23")</f>
        <v>offset 23</v>
      </c>
    </row>
    <row r="7725" customFormat="false" ht="12.8" hidden="false" customHeight="false" outlineLevel="0" collapsed="false">
      <c r="A7725" s="0" t="s">
        <v>12</v>
      </c>
      <c r="B7725" s="0" t="n">
        <v>2455057</v>
      </c>
      <c r="C7725" s="0" t="n">
        <v>2455077</v>
      </c>
      <c r="D7725" s="0" t="s">
        <v>25706</v>
      </c>
      <c r="E7725" s="0" t="s">
        <v>25707</v>
      </c>
      <c r="F7725" s="0" t="s">
        <v>15</v>
      </c>
      <c r="G7725" s="0" t="s">
        <v>36</v>
      </c>
      <c r="H7725" s="0" t="n">
        <v>53</v>
      </c>
      <c r="I7725" s="0" t="s">
        <v>25714</v>
      </c>
      <c r="J7725" s="0" t="s">
        <v>25715</v>
      </c>
      <c r="K7725" s="0" t="s">
        <v>25716</v>
      </c>
      <c r="L7725" s="0" t="str">
        <f aca="false">HYPERLINK("https://www.ncbi.nlm.nih.gov/nuccore/CP000058.1?report=graph&amp;tracks=[key:gene_model_track,Options:GeneOnly]&amp;mk=2455006:2455025|offset_1|444444,2455028:2455047|offset_23|444444,2455058:2455077|offset_53|00cc00,2455087:2455106|offset_82|444444&amp;v=2454805:2455306&amp;c=444444", "offset 53")</f>
        <v>offset 53</v>
      </c>
    </row>
    <row r="7726" customFormat="false" ht="12.8" hidden="false" customHeight="false" outlineLevel="0" collapsed="false">
      <c r="A7726" s="0" t="s">
        <v>12</v>
      </c>
      <c r="B7726" s="0" t="n">
        <v>2455086</v>
      </c>
      <c r="C7726" s="0" t="n">
        <v>2455106</v>
      </c>
      <c r="D7726" s="0" t="s">
        <v>25706</v>
      </c>
      <c r="E7726" s="0" t="s">
        <v>25707</v>
      </c>
      <c r="F7726" s="0" t="s">
        <v>15</v>
      </c>
      <c r="G7726" s="0" t="s">
        <v>20</v>
      </c>
      <c r="H7726" s="0" t="n">
        <v>82</v>
      </c>
      <c r="I7726" s="0" t="s">
        <v>25717</v>
      </c>
      <c r="J7726" s="0" t="s">
        <v>25718</v>
      </c>
      <c r="K7726" s="0" t="s">
        <v>25719</v>
      </c>
      <c r="L7726" s="0" t="str">
        <f aca="false">HYPERLINK("https://www.ncbi.nlm.nih.gov/nuccore/CP000058.1?report=graph&amp;tracks=[key:gene_model_track,Options:GeneOnly]&amp;mk=2455006:2455025|offset_1|444444,2455028:2455047|offset_23|444444,2455058:2455077|offset_53|444444,2455087:2455106|offset_82|00cc00&amp;v=2454805:2455306&amp;c=444444", "offset 82")</f>
        <v>offset 82</v>
      </c>
    </row>
    <row r="7727" customFormat="false" ht="12.8" hidden="false" customHeight="false" outlineLevel="0" collapsed="false">
      <c r="A7727" s="0" t="s">
        <v>12</v>
      </c>
      <c r="B7727" s="0" t="n">
        <v>2455741</v>
      </c>
      <c r="C7727" s="0" t="n">
        <v>2455761</v>
      </c>
      <c r="D7727" s="0" t="s">
        <v>25720</v>
      </c>
      <c r="E7727" s="0" t="s">
        <v>25721</v>
      </c>
      <c r="F7727" s="0" t="s">
        <v>15</v>
      </c>
      <c r="G7727" s="0" t="s">
        <v>36</v>
      </c>
      <c r="H7727" s="0" t="n">
        <v>6</v>
      </c>
      <c r="I7727" s="0" t="s">
        <v>25722</v>
      </c>
      <c r="J7727" s="0" t="s">
        <v>25723</v>
      </c>
      <c r="K7727" s="0" t="s">
        <v>25724</v>
      </c>
      <c r="L7727" s="0" t="str">
        <f aca="false">HYPERLINK("https://www.ncbi.nlm.nih.gov/nuccore/CP000058.1?report=graph&amp;tracks=[key:gene_model_track,Options:GeneOnly]&amp;mk=2455742:2455761|offset_6|00cc00,2455764:2455783|offset_28|444444,2455784:2455803|offset_48|444444,2455808:2455827|offset_72|444444&amp;v=2455541:2456027&amp;c=444444", "offset 6")</f>
        <v>offset 6</v>
      </c>
    </row>
    <row r="7728" customFormat="false" ht="12.8" hidden="false" customHeight="false" outlineLevel="0" collapsed="false">
      <c r="A7728" s="0" t="s">
        <v>12</v>
      </c>
      <c r="B7728" s="0" t="n">
        <v>2455763</v>
      </c>
      <c r="C7728" s="0" t="n">
        <v>2455783</v>
      </c>
      <c r="D7728" s="0" t="s">
        <v>25720</v>
      </c>
      <c r="E7728" s="0" t="s">
        <v>25721</v>
      </c>
      <c r="F7728" s="0" t="s">
        <v>15</v>
      </c>
      <c r="G7728" s="0" t="s">
        <v>36</v>
      </c>
      <c r="H7728" s="0" t="n">
        <v>28</v>
      </c>
      <c r="I7728" s="0" t="s">
        <v>25725</v>
      </c>
      <c r="J7728" s="0" t="s">
        <v>25726</v>
      </c>
      <c r="K7728" s="0" t="s">
        <v>25727</v>
      </c>
      <c r="L7728" s="0" t="str">
        <f aca="false">HYPERLINK("https://www.ncbi.nlm.nih.gov/nuccore/CP000058.1?report=graph&amp;tracks=[key:gene_model_track,Options:GeneOnly]&amp;mk=2455742:2455761|offset_6|444444,2455764:2455783|offset_28|00cc00,2455784:2455803|offset_48|444444,2455808:2455827|offset_72|444444&amp;v=2455541:2456027&amp;c=444444", "offset 28")</f>
        <v>offset 28</v>
      </c>
    </row>
    <row r="7729" customFormat="false" ht="12.8" hidden="false" customHeight="false" outlineLevel="0" collapsed="false">
      <c r="A7729" s="0" t="s">
        <v>12</v>
      </c>
      <c r="B7729" s="0" t="n">
        <v>2455783</v>
      </c>
      <c r="C7729" s="0" t="n">
        <v>2455803</v>
      </c>
      <c r="D7729" s="0" t="s">
        <v>25720</v>
      </c>
      <c r="E7729" s="0" t="s">
        <v>25721</v>
      </c>
      <c r="F7729" s="0" t="s">
        <v>15</v>
      </c>
      <c r="G7729" s="0" t="s">
        <v>16</v>
      </c>
      <c r="H7729" s="0" t="n">
        <v>48</v>
      </c>
      <c r="I7729" s="0" t="s">
        <v>25728</v>
      </c>
      <c r="J7729" s="0" t="s">
        <v>25729</v>
      </c>
      <c r="K7729" s="0" t="s">
        <v>25730</v>
      </c>
      <c r="L7729" s="0" t="str">
        <f aca="false">HYPERLINK("https://www.ncbi.nlm.nih.gov/nuccore/CP000058.1?report=graph&amp;tracks=[key:gene_model_track,Options:GeneOnly]&amp;mk=2455742:2455761|offset_6|444444,2455764:2455783|offset_28|444444,2455784:2455803|offset_48|00cc00,2455808:2455827|offset_72|444444&amp;v=2455541:2456027&amp;c=444444", "offset 48")</f>
        <v>offset 48</v>
      </c>
    </row>
    <row r="7730" customFormat="false" ht="12.8" hidden="false" customHeight="false" outlineLevel="0" collapsed="false">
      <c r="A7730" s="0" t="s">
        <v>12</v>
      </c>
      <c r="B7730" s="0" t="n">
        <v>2455807</v>
      </c>
      <c r="C7730" s="0" t="n">
        <v>2455827</v>
      </c>
      <c r="D7730" s="0" t="s">
        <v>25720</v>
      </c>
      <c r="E7730" s="0" t="s">
        <v>25721</v>
      </c>
      <c r="F7730" s="0" t="s">
        <v>15</v>
      </c>
      <c r="G7730" s="0" t="s">
        <v>16</v>
      </c>
      <c r="H7730" s="0" t="n">
        <v>72</v>
      </c>
      <c r="I7730" s="0" t="s">
        <v>25731</v>
      </c>
      <c r="J7730" s="0" t="s">
        <v>25732</v>
      </c>
      <c r="K7730" s="0" t="s">
        <v>25733</v>
      </c>
      <c r="L7730" s="0" t="str">
        <f aca="false">HYPERLINK("https://www.ncbi.nlm.nih.gov/nuccore/CP000058.1?report=graph&amp;tracks=[key:gene_model_track,Options:GeneOnly]&amp;mk=2455742:2455761|offset_6|444444,2455764:2455783|offset_28|444444,2455784:2455803|offset_48|444444,2455808:2455827|offset_72|00cc00&amp;v=2455541:2456027&amp;c=444444", "offset 72")</f>
        <v>offset 72</v>
      </c>
    </row>
    <row r="7731" customFormat="false" ht="12.8" hidden="false" customHeight="false" outlineLevel="0" collapsed="false">
      <c r="A7731" s="0" t="s">
        <v>12</v>
      </c>
      <c r="B7731" s="0" t="n">
        <v>2456425</v>
      </c>
      <c r="C7731" s="0" t="n">
        <v>2456445</v>
      </c>
      <c r="D7731" s="0" t="s">
        <v>25734</v>
      </c>
      <c r="E7731" s="0" t="s">
        <v>25735</v>
      </c>
      <c r="F7731" s="0" t="s">
        <v>15</v>
      </c>
      <c r="G7731" s="0" t="s">
        <v>32</v>
      </c>
      <c r="H7731" s="0" t="n">
        <v>1</v>
      </c>
      <c r="I7731" s="0" t="s">
        <v>25736</v>
      </c>
      <c r="J7731" s="0" t="s">
        <v>25737</v>
      </c>
      <c r="K7731" s="0" t="s">
        <v>25738</v>
      </c>
      <c r="L7731" s="0" t="str">
        <f aca="false">HYPERLINK("https://www.ncbi.nlm.nih.gov/nuccore/CP000058.1?report=graph&amp;tracks=[key:gene_model_track,Options:GeneOnly]&amp;mk=2456426:2456445|offset_1|00cc00,2456449:2456468|offset_24|444444,2456477:2456496|offset_52|444444,2456501:2456520|offset_76|444444&amp;v=2456225:2456720&amp;c=444444", "offset 1")</f>
        <v>offset 1</v>
      </c>
    </row>
    <row r="7732" customFormat="false" ht="12.8" hidden="false" customHeight="false" outlineLevel="0" collapsed="false">
      <c r="A7732" s="0" t="s">
        <v>12</v>
      </c>
      <c r="B7732" s="0" t="n">
        <v>2456448</v>
      </c>
      <c r="C7732" s="0" t="n">
        <v>2456468</v>
      </c>
      <c r="D7732" s="0" t="s">
        <v>25734</v>
      </c>
      <c r="E7732" s="0" t="s">
        <v>25735</v>
      </c>
      <c r="F7732" s="0" t="s">
        <v>15</v>
      </c>
      <c r="G7732" s="0" t="s">
        <v>20</v>
      </c>
      <c r="H7732" s="0" t="n">
        <v>24</v>
      </c>
      <c r="I7732" s="0" t="s">
        <v>25739</v>
      </c>
      <c r="J7732" s="0" t="s">
        <v>25740</v>
      </c>
      <c r="K7732" s="0" t="s">
        <v>25741</v>
      </c>
      <c r="L7732" s="0" t="str">
        <f aca="false">HYPERLINK("https://www.ncbi.nlm.nih.gov/nuccore/CP000058.1?report=graph&amp;tracks=[key:gene_model_track,Options:GeneOnly]&amp;mk=2456426:2456445|offset_1|444444,2456449:2456468|offset_24|00cc00,2456477:2456496|offset_52|444444,2456501:2456520|offset_76|444444&amp;v=2456225:2456720&amp;c=444444", "offset 24")</f>
        <v>offset 24</v>
      </c>
    </row>
    <row r="7733" customFormat="false" ht="12.8" hidden="false" customHeight="false" outlineLevel="0" collapsed="false">
      <c r="A7733" s="0" t="s">
        <v>12</v>
      </c>
      <c r="B7733" s="0" t="n">
        <v>2456476</v>
      </c>
      <c r="C7733" s="0" t="n">
        <v>2456496</v>
      </c>
      <c r="D7733" s="0" t="s">
        <v>25734</v>
      </c>
      <c r="E7733" s="0" t="s">
        <v>25735</v>
      </c>
      <c r="F7733" s="0" t="s">
        <v>15</v>
      </c>
      <c r="G7733" s="0" t="s">
        <v>20</v>
      </c>
      <c r="H7733" s="0" t="n">
        <v>52</v>
      </c>
      <c r="I7733" s="0" t="s">
        <v>25742</v>
      </c>
      <c r="J7733" s="0" t="s">
        <v>25743</v>
      </c>
      <c r="K7733" s="0" t="s">
        <v>25744</v>
      </c>
      <c r="L7733" s="0" t="str">
        <f aca="false">HYPERLINK("https://www.ncbi.nlm.nih.gov/nuccore/CP000058.1?report=graph&amp;tracks=[key:gene_model_track,Options:GeneOnly]&amp;mk=2456426:2456445|offset_1|444444,2456449:2456468|offset_24|444444,2456477:2456496|offset_52|00cc00,2456501:2456520|offset_76|444444&amp;v=2456225:2456720&amp;c=444444", "offset 52")</f>
        <v>offset 52</v>
      </c>
    </row>
    <row r="7734" customFormat="false" ht="12.8" hidden="false" customHeight="false" outlineLevel="0" collapsed="false">
      <c r="A7734" s="0" t="s">
        <v>12</v>
      </c>
      <c r="B7734" s="0" t="n">
        <v>2456500</v>
      </c>
      <c r="C7734" s="0" t="n">
        <v>2456520</v>
      </c>
      <c r="D7734" s="0" t="s">
        <v>25734</v>
      </c>
      <c r="E7734" s="0" t="s">
        <v>25735</v>
      </c>
      <c r="F7734" s="0" t="s">
        <v>15</v>
      </c>
      <c r="G7734" s="0" t="s">
        <v>16</v>
      </c>
      <c r="H7734" s="0" t="n">
        <v>76</v>
      </c>
      <c r="I7734" s="0" t="s">
        <v>25745</v>
      </c>
      <c r="J7734" s="0" t="s">
        <v>25746</v>
      </c>
      <c r="K7734" s="0" t="s">
        <v>25747</v>
      </c>
      <c r="L7734" s="0" t="str">
        <f aca="false">HYPERLINK("https://www.ncbi.nlm.nih.gov/nuccore/CP000058.1?report=graph&amp;tracks=[key:gene_model_track,Options:GeneOnly]&amp;mk=2456426:2456445|offset_1|444444,2456449:2456468|offset_24|444444,2456477:2456496|offset_52|444444,2456501:2456520|offset_76|00cc00&amp;v=2456225:2456720&amp;c=444444", "offset 76")</f>
        <v>offset 76</v>
      </c>
    </row>
    <row r="7735" customFormat="false" ht="12.8" hidden="false" customHeight="false" outlineLevel="0" collapsed="false">
      <c r="A7735" s="0" t="s">
        <v>12</v>
      </c>
      <c r="B7735" s="0" t="n">
        <v>2457832</v>
      </c>
      <c r="C7735" s="0" t="n">
        <v>2457852</v>
      </c>
      <c r="D7735" s="0" t="s">
        <v>25748</v>
      </c>
      <c r="E7735" s="0" t="s">
        <v>25749</v>
      </c>
      <c r="F7735" s="0" t="s">
        <v>15</v>
      </c>
      <c r="G7735" s="0" t="s">
        <v>20</v>
      </c>
      <c r="H7735" s="0" t="n">
        <v>34</v>
      </c>
      <c r="I7735" s="0" t="s">
        <v>25750</v>
      </c>
      <c r="J7735" s="0" t="s">
        <v>25751</v>
      </c>
      <c r="K7735" s="0" t="s">
        <v>25752</v>
      </c>
      <c r="L7735" s="0" t="str">
        <f aca="false">HYPERLINK("https://www.ncbi.nlm.nih.gov/nuccore/CP000058.1?report=graph&amp;tracks=[key:gene_model_track,Options:GeneOnly]&amp;mk=2457833:2457852|offset_34|00cc00,2457879:2457898|offset_80|444444,2457939:2457958|offset_140|444444,2457962:2457981|offset_163|444444&amp;v=2457632:2458181&amp;c=444444", "offset 34")</f>
        <v>offset 34</v>
      </c>
    </row>
    <row r="7736" customFormat="false" ht="12.8" hidden="false" customHeight="false" outlineLevel="0" collapsed="false">
      <c r="A7736" s="0" t="s">
        <v>12</v>
      </c>
      <c r="B7736" s="0" t="n">
        <v>2457878</v>
      </c>
      <c r="C7736" s="0" t="n">
        <v>2457898</v>
      </c>
      <c r="D7736" s="0" t="s">
        <v>25748</v>
      </c>
      <c r="E7736" s="0" t="s">
        <v>25749</v>
      </c>
      <c r="F7736" s="0" t="s">
        <v>15</v>
      </c>
      <c r="G7736" s="0" t="s">
        <v>16</v>
      </c>
      <c r="H7736" s="0" t="n">
        <v>80</v>
      </c>
      <c r="I7736" s="0" t="s">
        <v>25753</v>
      </c>
      <c r="J7736" s="0" t="s">
        <v>25754</v>
      </c>
      <c r="K7736" s="0" t="s">
        <v>25755</v>
      </c>
      <c r="L7736" s="0" t="str">
        <f aca="false">HYPERLINK("https://www.ncbi.nlm.nih.gov/nuccore/CP000058.1?report=graph&amp;tracks=[key:gene_model_track,Options:GeneOnly]&amp;mk=2457833:2457852|offset_34|444444,2457879:2457898|offset_80|00cc00,2457939:2457958|offset_140|444444,2457962:2457981|offset_163|444444&amp;v=2457632:2458181&amp;c=444444", "offset 80")</f>
        <v>offset 80</v>
      </c>
    </row>
    <row r="7737" customFormat="false" ht="12.8" hidden="false" customHeight="false" outlineLevel="0" collapsed="false">
      <c r="A7737" s="0" t="s">
        <v>12</v>
      </c>
      <c r="B7737" s="0" t="n">
        <v>2457938</v>
      </c>
      <c r="C7737" s="0" t="n">
        <v>2457958</v>
      </c>
      <c r="D7737" s="0" t="s">
        <v>25748</v>
      </c>
      <c r="E7737" s="0" t="s">
        <v>25749</v>
      </c>
      <c r="F7737" s="0" t="s">
        <v>15</v>
      </c>
      <c r="G7737" s="0" t="s">
        <v>20</v>
      </c>
      <c r="H7737" s="0" t="n">
        <v>140</v>
      </c>
      <c r="I7737" s="0" t="s">
        <v>25756</v>
      </c>
      <c r="J7737" s="0" t="s">
        <v>25757</v>
      </c>
      <c r="K7737" s="0" t="s">
        <v>25758</v>
      </c>
      <c r="L7737" s="0" t="str">
        <f aca="false">HYPERLINK("https://www.ncbi.nlm.nih.gov/nuccore/CP000058.1?report=graph&amp;tracks=[key:gene_model_track,Options:GeneOnly]&amp;mk=2457833:2457852|offset_34|444444,2457879:2457898|offset_80|444444,2457939:2457958|offset_140|00cc00,2457962:2457981|offset_163|444444&amp;v=2457632:2458181&amp;c=444444", "offset 140")</f>
        <v>offset 140</v>
      </c>
    </row>
    <row r="7738" customFormat="false" ht="12.8" hidden="false" customHeight="false" outlineLevel="0" collapsed="false">
      <c r="A7738" s="0" t="s">
        <v>12</v>
      </c>
      <c r="B7738" s="0" t="n">
        <v>2457961</v>
      </c>
      <c r="C7738" s="0" t="n">
        <v>2457981</v>
      </c>
      <c r="D7738" s="0" t="s">
        <v>25748</v>
      </c>
      <c r="E7738" s="0" t="s">
        <v>25749</v>
      </c>
      <c r="F7738" s="0" t="s">
        <v>15</v>
      </c>
      <c r="G7738" s="0" t="s">
        <v>16</v>
      </c>
      <c r="H7738" s="0" t="n">
        <v>163</v>
      </c>
      <c r="I7738" s="0" t="s">
        <v>25759</v>
      </c>
      <c r="J7738" s="0" t="s">
        <v>25760</v>
      </c>
      <c r="K7738" s="0" t="s">
        <v>25761</v>
      </c>
      <c r="L7738" s="0" t="str">
        <f aca="false">HYPERLINK("https://www.ncbi.nlm.nih.gov/nuccore/CP000058.1?report=graph&amp;tracks=[key:gene_model_track,Options:GeneOnly]&amp;mk=2457833:2457852|offset_34|444444,2457879:2457898|offset_80|444444,2457939:2457958|offset_140|444444,2457962:2457981|offset_163|00cc00&amp;v=2457632:2458181&amp;c=444444", "offset 163")</f>
        <v>offset 163</v>
      </c>
    </row>
    <row r="7739" customFormat="false" ht="12.8" hidden="false" customHeight="false" outlineLevel="0" collapsed="false">
      <c r="A7739" s="0" t="s">
        <v>12</v>
      </c>
      <c r="B7739" s="0" t="n">
        <v>2459163</v>
      </c>
      <c r="C7739" s="0" t="n">
        <v>2459183</v>
      </c>
      <c r="D7739" s="0" t="s">
        <v>25762</v>
      </c>
      <c r="E7739" s="0" t="s">
        <v>25763</v>
      </c>
      <c r="F7739" s="0" t="s">
        <v>15</v>
      </c>
      <c r="G7739" s="0" t="s">
        <v>16</v>
      </c>
      <c r="H7739" s="0" t="n">
        <v>7</v>
      </c>
      <c r="I7739" s="0" t="s">
        <v>25764</v>
      </c>
      <c r="J7739" s="0" t="s">
        <v>25765</v>
      </c>
      <c r="K7739" s="0" t="s">
        <v>25766</v>
      </c>
      <c r="L7739" s="0" t="str">
        <f aca="false">HYPERLINK("https://www.ncbi.nlm.nih.gov/nuccore/CP000058.1?report=graph&amp;tracks=[key:gene_model_track,Options:GeneOnly]&amp;mk=2459164:2459183|offset_7|00cc00,2459201:2459220|offset_44|444444,2459237:2459256|offset_80|444444,2459270:2459289|offset_113|444444&amp;v=2458963:2459489&amp;c=444444", "offset 7")</f>
        <v>offset 7</v>
      </c>
    </row>
    <row r="7740" customFormat="false" ht="12.8" hidden="false" customHeight="false" outlineLevel="0" collapsed="false">
      <c r="A7740" s="0" t="s">
        <v>12</v>
      </c>
      <c r="B7740" s="0" t="n">
        <v>2459200</v>
      </c>
      <c r="C7740" s="0" t="n">
        <v>2459220</v>
      </c>
      <c r="D7740" s="0" t="s">
        <v>25762</v>
      </c>
      <c r="E7740" s="0" t="s">
        <v>25763</v>
      </c>
      <c r="F7740" s="0" t="s">
        <v>15</v>
      </c>
      <c r="G7740" s="0" t="s">
        <v>16</v>
      </c>
      <c r="H7740" s="0" t="n">
        <v>44</v>
      </c>
      <c r="I7740" s="0" t="s">
        <v>25767</v>
      </c>
      <c r="J7740" s="0" t="s">
        <v>25768</v>
      </c>
      <c r="K7740" s="0" t="s">
        <v>25769</v>
      </c>
      <c r="L7740" s="0" t="str">
        <f aca="false">HYPERLINK("https://www.ncbi.nlm.nih.gov/nuccore/CP000058.1?report=graph&amp;tracks=[key:gene_model_track,Options:GeneOnly]&amp;mk=2459164:2459183|offset_7|444444,2459201:2459220|offset_44|00cc00,2459237:2459256|offset_80|444444,2459270:2459289|offset_113|444444&amp;v=2458963:2459489&amp;c=444444", "offset 44")</f>
        <v>offset 44</v>
      </c>
    </row>
    <row r="7741" customFormat="false" ht="12.8" hidden="false" customHeight="false" outlineLevel="0" collapsed="false">
      <c r="A7741" s="0" t="s">
        <v>12</v>
      </c>
      <c r="B7741" s="0" t="n">
        <v>2459236</v>
      </c>
      <c r="C7741" s="0" t="n">
        <v>2459256</v>
      </c>
      <c r="D7741" s="0" t="s">
        <v>25762</v>
      </c>
      <c r="E7741" s="0" t="s">
        <v>25763</v>
      </c>
      <c r="F7741" s="0" t="s">
        <v>15</v>
      </c>
      <c r="G7741" s="0" t="s">
        <v>20</v>
      </c>
      <c r="H7741" s="0" t="n">
        <v>80</v>
      </c>
      <c r="I7741" s="0" t="s">
        <v>25770</v>
      </c>
      <c r="J7741" s="0" t="s">
        <v>25771</v>
      </c>
      <c r="K7741" s="0" t="s">
        <v>25772</v>
      </c>
      <c r="L7741" s="0" t="str">
        <f aca="false">HYPERLINK("https://www.ncbi.nlm.nih.gov/nuccore/CP000058.1?report=graph&amp;tracks=[key:gene_model_track,Options:GeneOnly]&amp;mk=2459164:2459183|offset_7|444444,2459201:2459220|offset_44|444444,2459237:2459256|offset_80|00cc00,2459270:2459289|offset_113|444444&amp;v=2458963:2459489&amp;c=444444", "offset 80")</f>
        <v>offset 80</v>
      </c>
    </row>
    <row r="7742" customFormat="false" ht="12.8" hidden="false" customHeight="false" outlineLevel="0" collapsed="false">
      <c r="A7742" s="0" t="s">
        <v>12</v>
      </c>
      <c r="B7742" s="0" t="n">
        <v>2459269</v>
      </c>
      <c r="C7742" s="0" t="n">
        <v>2459289</v>
      </c>
      <c r="D7742" s="0" t="s">
        <v>25762</v>
      </c>
      <c r="E7742" s="0" t="s">
        <v>25763</v>
      </c>
      <c r="F7742" s="0" t="s">
        <v>15</v>
      </c>
      <c r="G7742" s="0" t="s">
        <v>32</v>
      </c>
      <c r="H7742" s="0" t="n">
        <v>113</v>
      </c>
      <c r="I7742" s="0" t="s">
        <v>25773</v>
      </c>
      <c r="J7742" s="0" t="s">
        <v>25774</v>
      </c>
      <c r="K7742" s="0" t="s">
        <v>25775</v>
      </c>
      <c r="L7742" s="0" t="str">
        <f aca="false">HYPERLINK("https://www.ncbi.nlm.nih.gov/nuccore/CP000058.1?report=graph&amp;tracks=[key:gene_model_track,Options:GeneOnly]&amp;mk=2459164:2459183|offset_7|444444,2459201:2459220|offset_44|444444,2459237:2459256|offset_80|444444,2459270:2459289|offset_113|00cc00&amp;v=2458963:2459489&amp;c=444444", "offset 113")</f>
        <v>offset 113</v>
      </c>
    </row>
    <row r="7743" customFormat="false" ht="12.8" hidden="false" customHeight="false" outlineLevel="0" collapsed="false">
      <c r="A7743" s="0" t="s">
        <v>12</v>
      </c>
      <c r="B7743" s="0" t="n">
        <v>2461043</v>
      </c>
      <c r="C7743" s="0" t="n">
        <v>2461063</v>
      </c>
      <c r="D7743" s="0" t="s">
        <v>25776</v>
      </c>
      <c r="E7743" s="0" t="s">
        <v>75</v>
      </c>
      <c r="F7743" s="0" t="s">
        <v>90</v>
      </c>
      <c r="G7743" s="0" t="s">
        <v>32</v>
      </c>
      <c r="H7743" s="0" t="n">
        <v>1</v>
      </c>
      <c r="I7743" s="0" t="s">
        <v>25777</v>
      </c>
      <c r="J7743" s="0" t="s">
        <v>25778</v>
      </c>
      <c r="K7743" s="0" t="s">
        <v>25779</v>
      </c>
      <c r="L7743" s="0" t="str">
        <f aca="false">HYPERLINK("https://www.ncbi.nlm.nih.gov/nuccore/CP000058.1?report=graph&amp;tracks=[key:gene_model_track,Options:GeneOnly]&amp;mk=2461044:2461063|offset_1|00cc00,2461016:2461035|offset_29|444444,2460996:2461015|offset_49|444444,2460976:2460995|offset_69|444444&amp;v=2460843:2461195&amp;c=444444", "offset 1")</f>
        <v>offset 1</v>
      </c>
    </row>
    <row r="7744" customFormat="false" ht="12.8" hidden="false" customHeight="false" outlineLevel="0" collapsed="false">
      <c r="A7744" s="0" t="s">
        <v>12</v>
      </c>
      <c r="B7744" s="0" t="n">
        <v>2461015</v>
      </c>
      <c r="C7744" s="0" t="n">
        <v>2461035</v>
      </c>
      <c r="D7744" s="0" t="s">
        <v>25776</v>
      </c>
      <c r="E7744" s="0" t="s">
        <v>75</v>
      </c>
      <c r="F7744" s="0" t="s">
        <v>90</v>
      </c>
      <c r="G7744" s="0" t="s">
        <v>20</v>
      </c>
      <c r="H7744" s="0" t="n">
        <v>29</v>
      </c>
      <c r="I7744" s="0" t="s">
        <v>25780</v>
      </c>
      <c r="J7744" s="0" t="s">
        <v>25781</v>
      </c>
      <c r="K7744" s="0" t="s">
        <v>25782</v>
      </c>
      <c r="L7744" s="0" t="str">
        <f aca="false">HYPERLINK("https://www.ncbi.nlm.nih.gov/nuccore/CP000058.1?report=graph&amp;tracks=[key:gene_model_track,Options:GeneOnly]&amp;mk=2461044:2461063|offset_1|444444,2461016:2461035|offset_29|00cc00,2460996:2461015|offset_49|444444,2460976:2460995|offset_69|444444&amp;v=2460843:2461195&amp;c=444444", "offset 29")</f>
        <v>offset 29</v>
      </c>
    </row>
    <row r="7745" customFormat="false" ht="12.8" hidden="false" customHeight="false" outlineLevel="0" collapsed="false">
      <c r="A7745" s="0" t="s">
        <v>12</v>
      </c>
      <c r="B7745" s="0" t="n">
        <v>2460995</v>
      </c>
      <c r="C7745" s="0" t="n">
        <v>2461015</v>
      </c>
      <c r="D7745" s="0" t="s">
        <v>25776</v>
      </c>
      <c r="E7745" s="0" t="s">
        <v>75</v>
      </c>
      <c r="F7745" s="0" t="s">
        <v>90</v>
      </c>
      <c r="G7745" s="0" t="s">
        <v>32</v>
      </c>
      <c r="H7745" s="0" t="n">
        <v>49</v>
      </c>
      <c r="I7745" s="0" t="s">
        <v>25783</v>
      </c>
      <c r="J7745" s="0" t="s">
        <v>25784</v>
      </c>
      <c r="K7745" s="0" t="s">
        <v>25785</v>
      </c>
      <c r="L7745" s="0" t="str">
        <f aca="false">HYPERLINK("https://www.ncbi.nlm.nih.gov/nuccore/CP000058.1?report=graph&amp;tracks=[key:gene_model_track,Options:GeneOnly]&amp;mk=2461044:2461063|offset_1|444444,2461016:2461035|offset_29|444444,2460996:2461015|offset_49|00cc00,2460976:2460995|offset_69|444444&amp;v=2460843:2461195&amp;c=444444", "offset 49")</f>
        <v>offset 49</v>
      </c>
    </row>
    <row r="7746" customFormat="false" ht="12.8" hidden="false" customHeight="false" outlineLevel="0" collapsed="false">
      <c r="A7746" s="0" t="s">
        <v>12</v>
      </c>
      <c r="B7746" s="0" t="n">
        <v>2460975</v>
      </c>
      <c r="C7746" s="0" t="n">
        <v>2460995</v>
      </c>
      <c r="D7746" s="0" t="s">
        <v>25776</v>
      </c>
      <c r="E7746" s="0" t="s">
        <v>75</v>
      </c>
      <c r="F7746" s="0" t="s">
        <v>90</v>
      </c>
      <c r="G7746" s="0" t="s">
        <v>36</v>
      </c>
      <c r="H7746" s="0" t="n">
        <v>69</v>
      </c>
      <c r="I7746" s="0" t="s">
        <v>25786</v>
      </c>
      <c r="J7746" s="0" t="s">
        <v>25787</v>
      </c>
      <c r="K7746" s="0" t="s">
        <v>25788</v>
      </c>
      <c r="L7746" s="0" t="str">
        <f aca="false">HYPERLINK("https://www.ncbi.nlm.nih.gov/nuccore/CP000058.1?report=graph&amp;tracks=[key:gene_model_track,Options:GeneOnly]&amp;mk=2461044:2461063|offset_1|444444,2461016:2461035|offset_29|444444,2460996:2461015|offset_49|444444,2460976:2460995|offset_69|00cc00&amp;v=2460843:2461195&amp;c=444444", "offset 69")</f>
        <v>offset 69</v>
      </c>
    </row>
    <row r="7747" customFormat="false" ht="12.8" hidden="false" customHeight="false" outlineLevel="0" collapsed="false">
      <c r="A7747" s="0" t="s">
        <v>12</v>
      </c>
      <c r="B7747" s="0" t="n">
        <v>2461337</v>
      </c>
      <c r="C7747" s="0" t="n">
        <v>2461357</v>
      </c>
      <c r="D7747" s="0" t="s">
        <v>25789</v>
      </c>
      <c r="E7747" s="0" t="s">
        <v>75</v>
      </c>
      <c r="F7747" s="0" t="s">
        <v>15</v>
      </c>
      <c r="G7747" s="0" t="s">
        <v>32</v>
      </c>
      <c r="H7747" s="0" t="n">
        <v>13</v>
      </c>
      <c r="I7747" s="0" t="s">
        <v>25790</v>
      </c>
      <c r="J7747" s="0" t="s">
        <v>25791</v>
      </c>
      <c r="K7747" s="0" t="s">
        <v>25792</v>
      </c>
      <c r="L7747" s="0" t="str">
        <f aca="false">HYPERLINK("https://www.ncbi.nlm.nih.gov/nuccore/CP000058.1?report=graph&amp;tracks=[key:gene_model_track,Options:GeneOnly]&amp;mk=2461338:2461357|offset_13|00cc00,2461363:2461382|offset_38|444444,2461413:2461432|offset_88|444444,2461438:2461457|offset_113|444444&amp;v=2461137:2461657&amp;c=444444", "offset 13")</f>
        <v>offset 13</v>
      </c>
    </row>
    <row r="7748" customFormat="false" ht="12.8" hidden="false" customHeight="false" outlineLevel="0" collapsed="false">
      <c r="A7748" s="0" t="s">
        <v>12</v>
      </c>
      <c r="B7748" s="0" t="n">
        <v>2461362</v>
      </c>
      <c r="C7748" s="0" t="n">
        <v>2461382</v>
      </c>
      <c r="D7748" s="0" t="s">
        <v>25789</v>
      </c>
      <c r="E7748" s="0" t="s">
        <v>75</v>
      </c>
      <c r="F7748" s="0" t="s">
        <v>15</v>
      </c>
      <c r="G7748" s="0" t="s">
        <v>32</v>
      </c>
      <c r="H7748" s="0" t="n">
        <v>38</v>
      </c>
      <c r="I7748" s="0" t="s">
        <v>25793</v>
      </c>
      <c r="J7748" s="0" t="s">
        <v>25794</v>
      </c>
      <c r="K7748" s="0" t="s">
        <v>25795</v>
      </c>
      <c r="L7748" s="0" t="str">
        <f aca="false">HYPERLINK("https://www.ncbi.nlm.nih.gov/nuccore/CP000058.1?report=graph&amp;tracks=[key:gene_model_track,Options:GeneOnly]&amp;mk=2461338:2461357|offset_13|444444,2461363:2461382|offset_38|00cc00,2461413:2461432|offset_88|444444,2461438:2461457|offset_113|444444&amp;v=2461137:2461657&amp;c=444444", "offset 38")</f>
        <v>offset 38</v>
      </c>
    </row>
    <row r="7749" customFormat="false" ht="12.8" hidden="false" customHeight="false" outlineLevel="0" collapsed="false">
      <c r="A7749" s="0" t="s">
        <v>12</v>
      </c>
      <c r="B7749" s="0" t="n">
        <v>2461412</v>
      </c>
      <c r="C7749" s="0" t="n">
        <v>2461432</v>
      </c>
      <c r="D7749" s="0" t="s">
        <v>25789</v>
      </c>
      <c r="E7749" s="0" t="s">
        <v>75</v>
      </c>
      <c r="F7749" s="0" t="s">
        <v>15</v>
      </c>
      <c r="G7749" s="0" t="s">
        <v>32</v>
      </c>
      <c r="H7749" s="0" t="n">
        <v>88</v>
      </c>
      <c r="I7749" s="0" t="s">
        <v>25796</v>
      </c>
      <c r="J7749" s="0" t="s">
        <v>25797</v>
      </c>
      <c r="K7749" s="0" t="s">
        <v>25798</v>
      </c>
      <c r="L7749" s="0" t="str">
        <f aca="false">HYPERLINK("https://www.ncbi.nlm.nih.gov/nuccore/CP000058.1?report=graph&amp;tracks=[key:gene_model_track,Options:GeneOnly]&amp;mk=2461338:2461357|offset_13|444444,2461363:2461382|offset_38|444444,2461413:2461432|offset_88|00cc00,2461438:2461457|offset_113|444444&amp;v=2461137:2461657&amp;c=444444", "offset 88")</f>
        <v>offset 88</v>
      </c>
    </row>
    <row r="7750" customFormat="false" ht="12.8" hidden="false" customHeight="false" outlineLevel="0" collapsed="false">
      <c r="A7750" s="0" t="s">
        <v>12</v>
      </c>
      <c r="B7750" s="0" t="n">
        <v>2461437</v>
      </c>
      <c r="C7750" s="0" t="n">
        <v>2461457</v>
      </c>
      <c r="D7750" s="0" t="s">
        <v>25789</v>
      </c>
      <c r="E7750" s="0" t="s">
        <v>75</v>
      </c>
      <c r="F7750" s="0" t="s">
        <v>15</v>
      </c>
      <c r="G7750" s="0" t="s">
        <v>20</v>
      </c>
      <c r="H7750" s="0" t="n">
        <v>113</v>
      </c>
      <c r="I7750" s="0" t="s">
        <v>25799</v>
      </c>
      <c r="J7750" s="0" t="s">
        <v>25800</v>
      </c>
      <c r="K7750" s="0" t="s">
        <v>25801</v>
      </c>
      <c r="L7750" s="0" t="str">
        <f aca="false">HYPERLINK("https://www.ncbi.nlm.nih.gov/nuccore/CP000058.1?report=graph&amp;tracks=[key:gene_model_track,Options:GeneOnly]&amp;mk=2461338:2461357|offset_13|444444,2461363:2461382|offset_38|444444,2461413:2461432|offset_88|444444,2461438:2461457|offset_113|00cc00&amp;v=2461137:2461657&amp;c=444444", "offset 113")</f>
        <v>offset 113</v>
      </c>
    </row>
    <row r="7751" customFormat="false" ht="12.8" hidden="false" customHeight="false" outlineLevel="0" collapsed="false">
      <c r="A7751" s="0" t="s">
        <v>12</v>
      </c>
      <c r="B7751" s="0" t="n">
        <v>2462778</v>
      </c>
      <c r="C7751" s="0" t="n">
        <v>2462798</v>
      </c>
      <c r="D7751" s="0" t="s">
        <v>25802</v>
      </c>
      <c r="E7751" s="0" t="s">
        <v>75</v>
      </c>
      <c r="F7751" s="0" t="s">
        <v>90</v>
      </c>
      <c r="G7751" s="0" t="s">
        <v>36</v>
      </c>
      <c r="H7751" s="0" t="n">
        <v>10</v>
      </c>
      <c r="I7751" s="0" t="s">
        <v>25803</v>
      </c>
      <c r="J7751" s="0" t="s">
        <v>25804</v>
      </c>
      <c r="K7751" s="0" t="s">
        <v>25805</v>
      </c>
      <c r="L7751" s="0" t="str">
        <f aca="false">HYPERLINK("https://www.ncbi.nlm.nih.gov/nuccore/CP000058.1?report=graph&amp;tracks=[key:gene_model_track,Options:GeneOnly]&amp;mk=2462779:2462798|offset_10|00cc00,2462714:2462733|offset_75|444444,2462497:2462516|offset_292|444444&amp;v=2462578:2462716&amp;c=444444", "offset 10")</f>
        <v>offset 10</v>
      </c>
    </row>
    <row r="7752" customFormat="false" ht="12.8" hidden="false" customHeight="false" outlineLevel="0" collapsed="false">
      <c r="A7752" s="0" t="s">
        <v>12</v>
      </c>
      <c r="B7752" s="0" t="n">
        <v>2462713</v>
      </c>
      <c r="C7752" s="0" t="n">
        <v>2462733</v>
      </c>
      <c r="D7752" s="0" t="s">
        <v>25802</v>
      </c>
      <c r="E7752" s="0" t="s">
        <v>75</v>
      </c>
      <c r="F7752" s="0" t="s">
        <v>90</v>
      </c>
      <c r="G7752" s="0" t="s">
        <v>36</v>
      </c>
      <c r="H7752" s="0" t="n">
        <v>75</v>
      </c>
      <c r="I7752" s="0" t="s">
        <v>25806</v>
      </c>
      <c r="J7752" s="0" t="s">
        <v>25807</v>
      </c>
      <c r="K7752" s="0" t="s">
        <v>25808</v>
      </c>
      <c r="L7752" s="0" t="str">
        <f aca="false">HYPERLINK("https://www.ncbi.nlm.nih.gov/nuccore/CP000058.1?report=graph&amp;tracks=[key:gene_model_track,Options:GeneOnly]&amp;mk=2462779:2462798|offset_10|444444,2462714:2462733|offset_75|00cc00,2462497:2462516|offset_292|444444&amp;v=2462578:2462716&amp;c=444444", "offset 75")</f>
        <v>offset 75</v>
      </c>
    </row>
    <row r="7753" customFormat="false" ht="12.8" hidden="false" customHeight="false" outlineLevel="0" collapsed="false">
      <c r="A7753" s="0" t="s">
        <v>12</v>
      </c>
      <c r="B7753" s="0" t="n">
        <v>2462496</v>
      </c>
      <c r="C7753" s="0" t="n">
        <v>2462516</v>
      </c>
      <c r="D7753" s="0" t="s">
        <v>25802</v>
      </c>
      <c r="E7753" s="0" t="s">
        <v>75</v>
      </c>
      <c r="F7753" s="0" t="s">
        <v>90</v>
      </c>
      <c r="G7753" s="0" t="s">
        <v>36</v>
      </c>
      <c r="H7753" s="0" t="n">
        <v>292</v>
      </c>
      <c r="I7753" s="0" t="s">
        <v>25809</v>
      </c>
      <c r="J7753" s="0" t="s">
        <v>25810</v>
      </c>
      <c r="K7753" s="0" t="s">
        <v>25811</v>
      </c>
      <c r="L7753" s="0" t="str">
        <f aca="false">HYPERLINK("https://www.ncbi.nlm.nih.gov/nuccore/CP000058.1?report=graph&amp;tracks=[key:gene_model_track,Options:GeneOnly]&amp;mk=2462779:2462798|offset_10|444444,2462714:2462733|offset_75|444444,2462497:2462516|offset_292|00cc00&amp;v=2462578:2462716&amp;c=444444", "offset 292")</f>
        <v>offset 292</v>
      </c>
    </row>
    <row r="7754" customFormat="false" ht="12.8" hidden="false" customHeight="false" outlineLevel="0" collapsed="false">
      <c r="A7754" s="0" t="s">
        <v>12</v>
      </c>
      <c r="B7754" s="0" t="n">
        <v>2464191</v>
      </c>
      <c r="C7754" s="0" t="n">
        <v>2464211</v>
      </c>
      <c r="D7754" s="0" t="s">
        <v>25812</v>
      </c>
      <c r="E7754" s="0" t="s">
        <v>75</v>
      </c>
      <c r="F7754" s="0" t="s">
        <v>90</v>
      </c>
      <c r="G7754" s="0" t="s">
        <v>36</v>
      </c>
      <c r="H7754" s="0" t="n">
        <v>13</v>
      </c>
      <c r="I7754" s="0" t="s">
        <v>25813</v>
      </c>
      <c r="J7754" s="0" t="s">
        <v>25814</v>
      </c>
      <c r="K7754" s="0" t="s">
        <v>25815</v>
      </c>
      <c r="L7754" s="0" t="str">
        <f aca="false">HYPERLINK("https://www.ncbi.nlm.nih.gov/nuccore/CP000058.1?report=graph&amp;tracks=[key:gene_model_track,Options:GeneOnly]&amp;mk=2464192:2464211|offset_13|00cc00,2464168:2464187|offset_37|444444,2464126:2464145|offset_79|444444,2464096:2464115|offset_109|444444&amp;v=2463991:2464315&amp;c=444444", "offset 13")</f>
        <v>offset 13</v>
      </c>
    </row>
    <row r="7755" customFormat="false" ht="12.8" hidden="false" customHeight="false" outlineLevel="0" collapsed="false">
      <c r="A7755" s="0" t="s">
        <v>12</v>
      </c>
      <c r="B7755" s="0" t="n">
        <v>2464167</v>
      </c>
      <c r="C7755" s="0" t="n">
        <v>2464187</v>
      </c>
      <c r="D7755" s="0" t="s">
        <v>25812</v>
      </c>
      <c r="E7755" s="0" t="s">
        <v>75</v>
      </c>
      <c r="F7755" s="0" t="s">
        <v>90</v>
      </c>
      <c r="G7755" s="0" t="s">
        <v>16</v>
      </c>
      <c r="H7755" s="0" t="n">
        <v>37</v>
      </c>
      <c r="I7755" s="0" t="s">
        <v>25816</v>
      </c>
      <c r="J7755" s="0" t="s">
        <v>25817</v>
      </c>
      <c r="K7755" s="0" t="s">
        <v>25818</v>
      </c>
      <c r="L7755" s="0" t="str">
        <f aca="false">HYPERLINK("https://www.ncbi.nlm.nih.gov/nuccore/CP000058.1?report=graph&amp;tracks=[key:gene_model_track,Options:GeneOnly]&amp;mk=2464192:2464211|offset_13|444444,2464168:2464187|offset_37|00cc00,2464126:2464145|offset_79|444444,2464096:2464115|offset_109|444444&amp;v=2463991:2464315&amp;c=444444", "offset 37")</f>
        <v>offset 37</v>
      </c>
    </row>
    <row r="7756" customFormat="false" ht="12.8" hidden="false" customHeight="false" outlineLevel="0" collapsed="false">
      <c r="A7756" s="0" t="s">
        <v>12</v>
      </c>
      <c r="B7756" s="0" t="n">
        <v>2464125</v>
      </c>
      <c r="C7756" s="0" t="n">
        <v>2464145</v>
      </c>
      <c r="D7756" s="0" t="s">
        <v>25812</v>
      </c>
      <c r="E7756" s="0" t="s">
        <v>75</v>
      </c>
      <c r="F7756" s="0" t="s">
        <v>90</v>
      </c>
      <c r="G7756" s="0" t="s">
        <v>16</v>
      </c>
      <c r="H7756" s="0" t="n">
        <v>79</v>
      </c>
      <c r="I7756" s="0" t="s">
        <v>25819</v>
      </c>
      <c r="J7756" s="0" t="s">
        <v>25820</v>
      </c>
      <c r="K7756" s="0" t="s">
        <v>25821</v>
      </c>
      <c r="L7756" s="0" t="str">
        <f aca="false">HYPERLINK("https://www.ncbi.nlm.nih.gov/nuccore/CP000058.1?report=graph&amp;tracks=[key:gene_model_track,Options:GeneOnly]&amp;mk=2464192:2464211|offset_13|444444,2464168:2464187|offset_37|444444,2464126:2464145|offset_79|00cc00,2464096:2464115|offset_109|444444&amp;v=2463991:2464315&amp;c=444444", "offset 79")</f>
        <v>offset 79</v>
      </c>
    </row>
    <row r="7757" customFormat="false" ht="12.8" hidden="false" customHeight="false" outlineLevel="0" collapsed="false">
      <c r="A7757" s="0" t="s">
        <v>12</v>
      </c>
      <c r="B7757" s="0" t="n">
        <v>2464095</v>
      </c>
      <c r="C7757" s="0" t="n">
        <v>2464115</v>
      </c>
      <c r="D7757" s="0" t="s">
        <v>25812</v>
      </c>
      <c r="E7757" s="0" t="s">
        <v>75</v>
      </c>
      <c r="F7757" s="0" t="s">
        <v>90</v>
      </c>
      <c r="G7757" s="0" t="s">
        <v>36</v>
      </c>
      <c r="H7757" s="0" t="n">
        <v>109</v>
      </c>
      <c r="I7757" s="0" t="s">
        <v>25822</v>
      </c>
      <c r="J7757" s="0" t="s">
        <v>25823</v>
      </c>
      <c r="K7757" s="0" t="s">
        <v>25824</v>
      </c>
      <c r="L7757" s="0" t="str">
        <f aca="false">HYPERLINK("https://www.ncbi.nlm.nih.gov/nuccore/CP000058.1?report=graph&amp;tracks=[key:gene_model_track,Options:GeneOnly]&amp;mk=2464192:2464211|offset_13|444444,2464168:2464187|offset_37|444444,2464126:2464145|offset_79|444444,2464096:2464115|offset_109|00cc00&amp;v=2463991:2464315&amp;c=444444", "offset 109")</f>
        <v>offset 109</v>
      </c>
    </row>
    <row r="7758" customFormat="false" ht="12.8" hidden="false" customHeight="false" outlineLevel="0" collapsed="false">
      <c r="A7758" s="0" t="s">
        <v>12</v>
      </c>
      <c r="B7758" s="0" t="n">
        <v>2464863</v>
      </c>
      <c r="C7758" s="0" t="n">
        <v>2464883</v>
      </c>
      <c r="D7758" s="0" t="s">
        <v>25825</v>
      </c>
      <c r="E7758" s="0" t="s">
        <v>75</v>
      </c>
      <c r="F7758" s="0" t="s">
        <v>15</v>
      </c>
      <c r="G7758" s="0" t="s">
        <v>16</v>
      </c>
      <c r="H7758" s="0" t="n">
        <v>22</v>
      </c>
      <c r="I7758" s="0" t="s">
        <v>25826</v>
      </c>
      <c r="J7758" s="0" t="s">
        <v>25827</v>
      </c>
      <c r="K7758" s="0" t="s">
        <v>25828</v>
      </c>
      <c r="L7758" s="0" t="str">
        <f aca="false">HYPERLINK("https://www.ncbi.nlm.nih.gov/nuccore/CP000058.1?report=graph&amp;tracks=[key:gene_model_track,Options:GeneOnly]&amp;mk=2464864:2464883|offset_22|00cc00,2464887:2464906|offset_45|444444,2464909:2464928|offset_67|444444,2464970:2464989|offset_128|444444&amp;v=2464663:2465189&amp;c=444444", "offset 22")</f>
        <v>offset 22</v>
      </c>
    </row>
    <row r="7759" customFormat="false" ht="12.8" hidden="false" customHeight="false" outlineLevel="0" collapsed="false">
      <c r="A7759" s="0" t="s">
        <v>12</v>
      </c>
      <c r="B7759" s="0" t="n">
        <v>2464886</v>
      </c>
      <c r="C7759" s="0" t="n">
        <v>2464906</v>
      </c>
      <c r="D7759" s="0" t="s">
        <v>25825</v>
      </c>
      <c r="E7759" s="0" t="s">
        <v>75</v>
      </c>
      <c r="F7759" s="0" t="s">
        <v>15</v>
      </c>
      <c r="G7759" s="0" t="s">
        <v>36</v>
      </c>
      <c r="H7759" s="0" t="n">
        <v>45</v>
      </c>
      <c r="I7759" s="0" t="s">
        <v>25829</v>
      </c>
      <c r="J7759" s="0" t="s">
        <v>25830</v>
      </c>
      <c r="K7759" s="0" t="s">
        <v>25831</v>
      </c>
      <c r="L7759" s="0" t="str">
        <f aca="false">HYPERLINK("https://www.ncbi.nlm.nih.gov/nuccore/CP000058.1?report=graph&amp;tracks=[key:gene_model_track,Options:GeneOnly]&amp;mk=2464864:2464883|offset_22|444444,2464887:2464906|offset_45|00cc00,2464909:2464928|offset_67|444444,2464970:2464989|offset_128|444444&amp;v=2464663:2465189&amp;c=444444", "offset 45")</f>
        <v>offset 45</v>
      </c>
    </row>
    <row r="7760" customFormat="false" ht="12.8" hidden="false" customHeight="false" outlineLevel="0" collapsed="false">
      <c r="A7760" s="0" t="s">
        <v>12</v>
      </c>
      <c r="B7760" s="0" t="n">
        <v>2464908</v>
      </c>
      <c r="C7760" s="0" t="n">
        <v>2464928</v>
      </c>
      <c r="D7760" s="0" t="s">
        <v>25825</v>
      </c>
      <c r="E7760" s="0" t="s">
        <v>75</v>
      </c>
      <c r="F7760" s="0" t="s">
        <v>15</v>
      </c>
      <c r="G7760" s="0" t="s">
        <v>16</v>
      </c>
      <c r="H7760" s="0" t="n">
        <v>67</v>
      </c>
      <c r="I7760" s="0" t="s">
        <v>25832</v>
      </c>
      <c r="J7760" s="0" t="s">
        <v>25833</v>
      </c>
      <c r="K7760" s="0" t="s">
        <v>25834</v>
      </c>
      <c r="L7760" s="0" t="str">
        <f aca="false">HYPERLINK("https://www.ncbi.nlm.nih.gov/nuccore/CP000058.1?report=graph&amp;tracks=[key:gene_model_track,Options:GeneOnly]&amp;mk=2464864:2464883|offset_22|444444,2464887:2464906|offset_45|444444,2464909:2464928|offset_67|00cc00,2464970:2464989|offset_128|444444&amp;v=2464663:2465189&amp;c=444444", "offset 67")</f>
        <v>offset 67</v>
      </c>
    </row>
    <row r="7761" customFormat="false" ht="12.8" hidden="false" customHeight="false" outlineLevel="0" collapsed="false">
      <c r="A7761" s="0" t="s">
        <v>12</v>
      </c>
      <c r="B7761" s="0" t="n">
        <v>2464969</v>
      </c>
      <c r="C7761" s="0" t="n">
        <v>2464989</v>
      </c>
      <c r="D7761" s="0" t="s">
        <v>25825</v>
      </c>
      <c r="E7761" s="0" t="s">
        <v>75</v>
      </c>
      <c r="F7761" s="0" t="s">
        <v>15</v>
      </c>
      <c r="G7761" s="0" t="s">
        <v>36</v>
      </c>
      <c r="H7761" s="0" t="n">
        <v>128</v>
      </c>
      <c r="I7761" s="0" t="s">
        <v>25835</v>
      </c>
      <c r="J7761" s="0" t="s">
        <v>25836</v>
      </c>
      <c r="K7761" s="0" t="s">
        <v>25837</v>
      </c>
      <c r="L7761" s="0" t="str">
        <f aca="false">HYPERLINK("https://www.ncbi.nlm.nih.gov/nuccore/CP000058.1?report=graph&amp;tracks=[key:gene_model_track,Options:GeneOnly]&amp;mk=2464864:2464883|offset_22|444444,2464887:2464906|offset_45|444444,2464909:2464928|offset_67|444444,2464970:2464989|offset_128|00cc00&amp;v=2464663:2465189&amp;c=444444", "offset 128")</f>
        <v>offset 128</v>
      </c>
    </row>
    <row r="7762" customFormat="false" ht="12.8" hidden="false" customHeight="false" outlineLevel="0" collapsed="false">
      <c r="A7762" s="0" t="s">
        <v>12</v>
      </c>
      <c r="B7762" s="0" t="n">
        <v>2466875</v>
      </c>
      <c r="C7762" s="0" t="n">
        <v>2466895</v>
      </c>
      <c r="D7762" s="0" t="s">
        <v>25838</v>
      </c>
      <c r="E7762" s="0" t="s">
        <v>75</v>
      </c>
      <c r="F7762" s="0" t="s">
        <v>15</v>
      </c>
      <c r="G7762" s="0" t="s">
        <v>16</v>
      </c>
      <c r="H7762" s="0" t="n">
        <v>19</v>
      </c>
      <c r="I7762" s="0" t="s">
        <v>25839</v>
      </c>
      <c r="J7762" s="0" t="s">
        <v>25840</v>
      </c>
      <c r="K7762" s="0" t="s">
        <v>25841</v>
      </c>
      <c r="L7762" s="0" t="str">
        <f aca="false">HYPERLINK("https://www.ncbi.nlm.nih.gov/nuccore/CP000058.1?report=graph&amp;tracks=[key:gene_model_track,Options:GeneOnly]&amp;mk=2466876:2466895|offset_19|00cc00,2466897:2466916|offset_40|444444,2466928:2466947|offset_71|444444,2466969:2466988|offset_112|444444&amp;v=2466675:2467188&amp;c=444444", "offset 19")</f>
        <v>offset 19</v>
      </c>
    </row>
    <row r="7763" customFormat="false" ht="12.8" hidden="false" customHeight="false" outlineLevel="0" collapsed="false">
      <c r="A7763" s="0" t="s">
        <v>12</v>
      </c>
      <c r="B7763" s="0" t="n">
        <v>2466896</v>
      </c>
      <c r="C7763" s="0" t="n">
        <v>2466916</v>
      </c>
      <c r="D7763" s="0" t="s">
        <v>25838</v>
      </c>
      <c r="E7763" s="0" t="s">
        <v>75</v>
      </c>
      <c r="F7763" s="0" t="s">
        <v>15</v>
      </c>
      <c r="G7763" s="0" t="s">
        <v>16</v>
      </c>
      <c r="H7763" s="0" t="n">
        <v>40</v>
      </c>
      <c r="I7763" s="0" t="s">
        <v>25842</v>
      </c>
      <c r="J7763" s="0" t="s">
        <v>25843</v>
      </c>
      <c r="K7763" s="0" t="s">
        <v>25844</v>
      </c>
      <c r="L7763" s="0" t="str">
        <f aca="false">HYPERLINK("https://www.ncbi.nlm.nih.gov/nuccore/CP000058.1?report=graph&amp;tracks=[key:gene_model_track,Options:GeneOnly]&amp;mk=2466876:2466895|offset_19|444444,2466897:2466916|offset_40|00cc00,2466928:2466947|offset_71|444444,2466969:2466988|offset_112|444444&amp;v=2466675:2467188&amp;c=444444", "offset 40")</f>
        <v>offset 40</v>
      </c>
    </row>
    <row r="7764" customFormat="false" ht="12.8" hidden="false" customHeight="false" outlineLevel="0" collapsed="false">
      <c r="A7764" s="0" t="s">
        <v>12</v>
      </c>
      <c r="B7764" s="0" t="n">
        <v>2466927</v>
      </c>
      <c r="C7764" s="0" t="n">
        <v>2466947</v>
      </c>
      <c r="D7764" s="0" t="s">
        <v>25838</v>
      </c>
      <c r="E7764" s="0" t="s">
        <v>75</v>
      </c>
      <c r="F7764" s="0" t="s">
        <v>15</v>
      </c>
      <c r="G7764" s="0" t="s">
        <v>36</v>
      </c>
      <c r="H7764" s="0" t="n">
        <v>71</v>
      </c>
      <c r="I7764" s="0" t="s">
        <v>25845</v>
      </c>
      <c r="J7764" s="0" t="s">
        <v>25846</v>
      </c>
      <c r="K7764" s="0" t="s">
        <v>25847</v>
      </c>
      <c r="L7764" s="0" t="str">
        <f aca="false">HYPERLINK("https://www.ncbi.nlm.nih.gov/nuccore/CP000058.1?report=graph&amp;tracks=[key:gene_model_track,Options:GeneOnly]&amp;mk=2466876:2466895|offset_19|444444,2466897:2466916|offset_40|444444,2466928:2466947|offset_71|00cc00,2466969:2466988|offset_112|444444&amp;v=2466675:2467188&amp;c=444444", "offset 71")</f>
        <v>offset 71</v>
      </c>
    </row>
    <row r="7765" customFormat="false" ht="12.8" hidden="false" customHeight="false" outlineLevel="0" collapsed="false">
      <c r="A7765" s="0" t="s">
        <v>12</v>
      </c>
      <c r="B7765" s="0" t="n">
        <v>2466968</v>
      </c>
      <c r="C7765" s="0" t="n">
        <v>2466988</v>
      </c>
      <c r="D7765" s="0" t="s">
        <v>25838</v>
      </c>
      <c r="E7765" s="0" t="s">
        <v>75</v>
      </c>
      <c r="F7765" s="0" t="s">
        <v>15</v>
      </c>
      <c r="G7765" s="0" t="s">
        <v>16</v>
      </c>
      <c r="H7765" s="0" t="n">
        <v>112</v>
      </c>
      <c r="I7765" s="0" t="s">
        <v>25848</v>
      </c>
      <c r="J7765" s="0" t="s">
        <v>25849</v>
      </c>
      <c r="K7765" s="0" t="s">
        <v>25850</v>
      </c>
      <c r="L7765" s="0" t="str">
        <f aca="false">HYPERLINK("https://www.ncbi.nlm.nih.gov/nuccore/CP000058.1?report=graph&amp;tracks=[key:gene_model_track,Options:GeneOnly]&amp;mk=2466876:2466895|offset_19|444444,2466897:2466916|offset_40|444444,2466928:2466947|offset_71|444444,2466969:2466988|offset_112|00cc00&amp;v=2466675:2467188&amp;c=444444", "offset 112")</f>
        <v>offset 112</v>
      </c>
    </row>
    <row r="7766" customFormat="false" ht="12.8" hidden="false" customHeight="false" outlineLevel="0" collapsed="false">
      <c r="A7766" s="0" t="s">
        <v>12</v>
      </c>
      <c r="B7766" s="0" t="n">
        <v>2468359</v>
      </c>
      <c r="C7766" s="0" t="n">
        <v>2468379</v>
      </c>
      <c r="D7766" s="0" t="s">
        <v>25851</v>
      </c>
      <c r="E7766" s="0" t="s">
        <v>75</v>
      </c>
      <c r="F7766" s="0" t="s">
        <v>90</v>
      </c>
      <c r="G7766" s="0" t="s">
        <v>36</v>
      </c>
      <c r="H7766" s="0" t="n">
        <v>7</v>
      </c>
      <c r="I7766" s="0" t="s">
        <v>25852</v>
      </c>
      <c r="J7766" s="0" t="s">
        <v>25853</v>
      </c>
      <c r="K7766" s="0" t="s">
        <v>25854</v>
      </c>
      <c r="L7766" s="0" t="str">
        <f aca="false">HYPERLINK("https://www.ncbi.nlm.nih.gov/nuccore/CP000058.1?report=graph&amp;tracks=[key:gene_model_track,Options:GeneOnly]&amp;mk=2468360:2468379|offset_7|00cc00,2468333:2468352|offset_34|444444,2468306:2468325|offset_61|444444,2468267:2468286|offset_100|444444&amp;v=2468159:2468486&amp;c=444444", "offset 7")</f>
        <v>offset 7</v>
      </c>
    </row>
    <row r="7767" customFormat="false" ht="12.8" hidden="false" customHeight="false" outlineLevel="0" collapsed="false">
      <c r="A7767" s="0" t="s">
        <v>12</v>
      </c>
      <c r="B7767" s="0" t="n">
        <v>2468332</v>
      </c>
      <c r="C7767" s="0" t="n">
        <v>2468352</v>
      </c>
      <c r="D7767" s="0" t="s">
        <v>25851</v>
      </c>
      <c r="E7767" s="0" t="s">
        <v>75</v>
      </c>
      <c r="F7767" s="0" t="s">
        <v>90</v>
      </c>
      <c r="G7767" s="0" t="s">
        <v>16</v>
      </c>
      <c r="H7767" s="0" t="n">
        <v>34</v>
      </c>
      <c r="I7767" s="0" t="s">
        <v>25855</v>
      </c>
      <c r="J7767" s="0" t="s">
        <v>25856</v>
      </c>
      <c r="K7767" s="0" t="s">
        <v>25857</v>
      </c>
      <c r="L7767" s="0" t="str">
        <f aca="false">HYPERLINK("https://www.ncbi.nlm.nih.gov/nuccore/CP000058.1?report=graph&amp;tracks=[key:gene_model_track,Options:GeneOnly]&amp;mk=2468360:2468379|offset_7|444444,2468333:2468352|offset_34|00cc00,2468306:2468325|offset_61|444444,2468267:2468286|offset_100|444444&amp;v=2468159:2468486&amp;c=444444", "offset 34")</f>
        <v>offset 34</v>
      </c>
    </row>
    <row r="7768" customFormat="false" ht="12.8" hidden="false" customHeight="false" outlineLevel="0" collapsed="false">
      <c r="A7768" s="0" t="s">
        <v>12</v>
      </c>
      <c r="B7768" s="0" t="n">
        <v>2468305</v>
      </c>
      <c r="C7768" s="0" t="n">
        <v>2468325</v>
      </c>
      <c r="D7768" s="0" t="s">
        <v>25851</v>
      </c>
      <c r="E7768" s="0" t="s">
        <v>75</v>
      </c>
      <c r="F7768" s="0" t="s">
        <v>90</v>
      </c>
      <c r="G7768" s="0" t="s">
        <v>20</v>
      </c>
      <c r="H7768" s="0" t="n">
        <v>61</v>
      </c>
      <c r="I7768" s="0" t="s">
        <v>25858</v>
      </c>
      <c r="J7768" s="0" t="s">
        <v>25859</v>
      </c>
      <c r="K7768" s="0" t="s">
        <v>25860</v>
      </c>
      <c r="L7768" s="0" t="str">
        <f aca="false">HYPERLINK("https://www.ncbi.nlm.nih.gov/nuccore/CP000058.1?report=graph&amp;tracks=[key:gene_model_track,Options:GeneOnly]&amp;mk=2468360:2468379|offset_7|444444,2468333:2468352|offset_34|444444,2468306:2468325|offset_61|00cc00,2468267:2468286|offset_100|444444&amp;v=2468159:2468486&amp;c=444444", "offset 61")</f>
        <v>offset 61</v>
      </c>
    </row>
    <row r="7769" customFormat="false" ht="12.8" hidden="false" customHeight="false" outlineLevel="0" collapsed="false">
      <c r="A7769" s="0" t="s">
        <v>12</v>
      </c>
      <c r="B7769" s="0" t="n">
        <v>2468266</v>
      </c>
      <c r="C7769" s="0" t="n">
        <v>2468286</v>
      </c>
      <c r="D7769" s="0" t="s">
        <v>25851</v>
      </c>
      <c r="E7769" s="0" t="s">
        <v>75</v>
      </c>
      <c r="F7769" s="0" t="s">
        <v>90</v>
      </c>
      <c r="G7769" s="0" t="s">
        <v>36</v>
      </c>
      <c r="H7769" s="0" t="n">
        <v>100</v>
      </c>
      <c r="I7769" s="0" t="s">
        <v>25861</v>
      </c>
      <c r="J7769" s="0" t="s">
        <v>25862</v>
      </c>
      <c r="K7769" s="0" t="s">
        <v>25863</v>
      </c>
      <c r="L7769" s="0" t="str">
        <f aca="false">HYPERLINK("https://www.ncbi.nlm.nih.gov/nuccore/CP000058.1?report=graph&amp;tracks=[key:gene_model_track,Options:GeneOnly]&amp;mk=2468360:2468379|offset_7|444444,2468333:2468352|offset_34|444444,2468306:2468325|offset_61|444444,2468267:2468286|offset_100|00cc00&amp;v=2468159:2468486&amp;c=444444", "offset 100")</f>
        <v>offset 100</v>
      </c>
    </row>
    <row r="7770" customFormat="false" ht="12.8" hidden="false" customHeight="false" outlineLevel="0" collapsed="false">
      <c r="A7770" s="0" t="s">
        <v>12</v>
      </c>
      <c r="B7770" s="0" t="n">
        <v>2468576</v>
      </c>
      <c r="C7770" s="0" t="n">
        <v>2468596</v>
      </c>
      <c r="D7770" s="0" t="s">
        <v>25864</v>
      </c>
      <c r="E7770" s="0" t="s">
        <v>75</v>
      </c>
      <c r="F7770" s="0" t="s">
        <v>15</v>
      </c>
      <c r="G7770" s="0" t="s">
        <v>36</v>
      </c>
      <c r="H7770" s="0" t="n">
        <v>6</v>
      </c>
      <c r="I7770" s="0" t="s">
        <v>25865</v>
      </c>
      <c r="J7770" s="0" t="s">
        <v>25866</v>
      </c>
      <c r="K7770" s="0" t="s">
        <v>25867</v>
      </c>
      <c r="L7770" s="0" t="str">
        <f aca="false">HYPERLINK("https://www.ncbi.nlm.nih.gov/nuccore/CP000058.1?report=graph&amp;tracks=[key:gene_model_track,Options:GeneOnly]&amp;mk=2468577:2468596|offset_6|00cc00,2468611:2468630|offset_40|444444,2468631:2468650|offset_60|444444,2468660:2468679|offset_89|444444&amp;v=2468376:2468879&amp;c=444444", "offset 6")</f>
        <v>offset 6</v>
      </c>
    </row>
    <row r="7771" customFormat="false" ht="12.8" hidden="false" customHeight="false" outlineLevel="0" collapsed="false">
      <c r="A7771" s="0" t="s">
        <v>12</v>
      </c>
      <c r="B7771" s="0" t="n">
        <v>2468610</v>
      </c>
      <c r="C7771" s="0" t="n">
        <v>2468630</v>
      </c>
      <c r="D7771" s="0" t="s">
        <v>25864</v>
      </c>
      <c r="E7771" s="0" t="s">
        <v>75</v>
      </c>
      <c r="F7771" s="0" t="s">
        <v>15</v>
      </c>
      <c r="G7771" s="0" t="s">
        <v>32</v>
      </c>
      <c r="H7771" s="0" t="n">
        <v>40</v>
      </c>
      <c r="I7771" s="0" t="s">
        <v>25868</v>
      </c>
      <c r="J7771" s="0" t="s">
        <v>25869</v>
      </c>
      <c r="K7771" s="0" t="s">
        <v>25870</v>
      </c>
      <c r="L7771" s="0" t="str">
        <f aca="false">HYPERLINK("https://www.ncbi.nlm.nih.gov/nuccore/CP000058.1?report=graph&amp;tracks=[key:gene_model_track,Options:GeneOnly]&amp;mk=2468577:2468596|offset_6|444444,2468611:2468630|offset_40|00cc00,2468631:2468650|offset_60|444444,2468660:2468679|offset_89|444444&amp;v=2468376:2468879&amp;c=444444", "offset 40")</f>
        <v>offset 40</v>
      </c>
    </row>
    <row r="7772" customFormat="false" ht="12.8" hidden="false" customHeight="false" outlineLevel="0" collapsed="false">
      <c r="A7772" s="0" t="s">
        <v>12</v>
      </c>
      <c r="B7772" s="0" t="n">
        <v>2468630</v>
      </c>
      <c r="C7772" s="0" t="n">
        <v>2468650</v>
      </c>
      <c r="D7772" s="0" t="s">
        <v>25864</v>
      </c>
      <c r="E7772" s="0" t="s">
        <v>75</v>
      </c>
      <c r="F7772" s="0" t="s">
        <v>15</v>
      </c>
      <c r="G7772" s="0" t="s">
        <v>32</v>
      </c>
      <c r="H7772" s="0" t="n">
        <v>60</v>
      </c>
      <c r="I7772" s="0" t="s">
        <v>25871</v>
      </c>
      <c r="J7772" s="0" t="s">
        <v>25872</v>
      </c>
      <c r="K7772" s="0" t="s">
        <v>25873</v>
      </c>
      <c r="L7772" s="0" t="str">
        <f aca="false">HYPERLINK("https://www.ncbi.nlm.nih.gov/nuccore/CP000058.1?report=graph&amp;tracks=[key:gene_model_track,Options:GeneOnly]&amp;mk=2468577:2468596|offset_6|444444,2468611:2468630|offset_40|444444,2468631:2468650|offset_60|00cc00,2468660:2468679|offset_89|444444&amp;v=2468376:2468879&amp;c=444444", "offset 60")</f>
        <v>offset 60</v>
      </c>
    </row>
    <row r="7773" customFormat="false" ht="12.8" hidden="false" customHeight="false" outlineLevel="0" collapsed="false">
      <c r="A7773" s="0" t="s">
        <v>12</v>
      </c>
      <c r="B7773" s="0" t="n">
        <v>2468659</v>
      </c>
      <c r="C7773" s="0" t="n">
        <v>2468679</v>
      </c>
      <c r="D7773" s="0" t="s">
        <v>25864</v>
      </c>
      <c r="E7773" s="0" t="s">
        <v>75</v>
      </c>
      <c r="F7773" s="0" t="s">
        <v>15</v>
      </c>
      <c r="G7773" s="0" t="s">
        <v>20</v>
      </c>
      <c r="H7773" s="0" t="n">
        <v>89</v>
      </c>
      <c r="I7773" s="0" t="s">
        <v>25874</v>
      </c>
      <c r="J7773" s="0" t="s">
        <v>25875</v>
      </c>
      <c r="K7773" s="0" t="s">
        <v>25876</v>
      </c>
      <c r="L7773" s="0" t="str">
        <f aca="false">HYPERLINK("https://www.ncbi.nlm.nih.gov/nuccore/CP000058.1?report=graph&amp;tracks=[key:gene_model_track,Options:GeneOnly]&amp;mk=2468577:2468596|offset_6|444444,2468611:2468630|offset_40|444444,2468631:2468650|offset_60|444444,2468660:2468679|offset_89|00cc00&amp;v=2468376:2468879&amp;c=444444", "offset 89")</f>
        <v>offset 89</v>
      </c>
    </row>
    <row r="7774" customFormat="false" ht="12.8" hidden="false" customHeight="false" outlineLevel="0" collapsed="false">
      <c r="A7774" s="0" t="s">
        <v>12</v>
      </c>
      <c r="B7774" s="0" t="n">
        <v>2469727</v>
      </c>
      <c r="C7774" s="0" t="n">
        <v>2469747</v>
      </c>
      <c r="D7774" s="0" t="s">
        <v>25877</v>
      </c>
      <c r="E7774" s="0" t="s">
        <v>75</v>
      </c>
      <c r="F7774" s="0" t="s">
        <v>90</v>
      </c>
      <c r="G7774" s="0" t="s">
        <v>36</v>
      </c>
      <c r="H7774" s="0" t="n">
        <v>16</v>
      </c>
      <c r="I7774" s="0" t="s">
        <v>25878</v>
      </c>
      <c r="J7774" s="0" t="s">
        <v>25879</v>
      </c>
      <c r="K7774" s="0" t="s">
        <v>25880</v>
      </c>
      <c r="L7774" s="0" t="str">
        <f aca="false">HYPERLINK("https://www.ncbi.nlm.nih.gov/nuccore/CP000058.1?report=graph&amp;tracks=[key:gene_model_track,Options:GeneOnly]&amp;mk=2469728:2469747|offset_16|00cc00,2469692:2469711|offset_52|444444,2469669:2469688|offset_75|444444,2469634:2469653|offset_110|444444&amp;v=2469527:2469853&amp;c=444444", "offset 16")</f>
        <v>offset 16</v>
      </c>
    </row>
    <row r="7775" customFormat="false" ht="12.8" hidden="false" customHeight="false" outlineLevel="0" collapsed="false">
      <c r="A7775" s="0" t="s">
        <v>12</v>
      </c>
      <c r="B7775" s="0" t="n">
        <v>2469691</v>
      </c>
      <c r="C7775" s="0" t="n">
        <v>2469711</v>
      </c>
      <c r="D7775" s="0" t="s">
        <v>25877</v>
      </c>
      <c r="E7775" s="0" t="s">
        <v>75</v>
      </c>
      <c r="F7775" s="0" t="s">
        <v>90</v>
      </c>
      <c r="G7775" s="0" t="s">
        <v>20</v>
      </c>
      <c r="H7775" s="0" t="n">
        <v>52</v>
      </c>
      <c r="I7775" s="0" t="s">
        <v>25881</v>
      </c>
      <c r="J7775" s="0" t="s">
        <v>25882</v>
      </c>
      <c r="K7775" s="0" t="s">
        <v>25883</v>
      </c>
      <c r="L7775" s="0" t="str">
        <f aca="false">HYPERLINK("https://www.ncbi.nlm.nih.gov/nuccore/CP000058.1?report=graph&amp;tracks=[key:gene_model_track,Options:GeneOnly]&amp;mk=2469728:2469747|offset_16|444444,2469692:2469711|offset_52|00cc00,2469669:2469688|offset_75|444444,2469634:2469653|offset_110|444444&amp;v=2469527:2469853&amp;c=444444", "offset 52")</f>
        <v>offset 52</v>
      </c>
    </row>
    <row r="7776" customFormat="false" ht="12.8" hidden="false" customHeight="false" outlineLevel="0" collapsed="false">
      <c r="A7776" s="0" t="s">
        <v>12</v>
      </c>
      <c r="B7776" s="0" t="n">
        <v>2469668</v>
      </c>
      <c r="C7776" s="0" t="n">
        <v>2469688</v>
      </c>
      <c r="D7776" s="0" t="s">
        <v>25877</v>
      </c>
      <c r="E7776" s="0" t="s">
        <v>75</v>
      </c>
      <c r="F7776" s="0" t="s">
        <v>90</v>
      </c>
      <c r="G7776" s="0" t="s">
        <v>36</v>
      </c>
      <c r="H7776" s="0" t="n">
        <v>75</v>
      </c>
      <c r="I7776" s="0" t="s">
        <v>25884</v>
      </c>
      <c r="J7776" s="0" t="s">
        <v>25885</v>
      </c>
      <c r="K7776" s="0" t="s">
        <v>25886</v>
      </c>
      <c r="L7776" s="0" t="str">
        <f aca="false">HYPERLINK("https://www.ncbi.nlm.nih.gov/nuccore/CP000058.1?report=graph&amp;tracks=[key:gene_model_track,Options:GeneOnly]&amp;mk=2469728:2469747|offset_16|444444,2469692:2469711|offset_52|444444,2469669:2469688|offset_75|00cc00,2469634:2469653|offset_110|444444&amp;v=2469527:2469853&amp;c=444444", "offset 75")</f>
        <v>offset 75</v>
      </c>
    </row>
    <row r="7777" customFormat="false" ht="12.8" hidden="false" customHeight="false" outlineLevel="0" collapsed="false">
      <c r="A7777" s="0" t="s">
        <v>12</v>
      </c>
      <c r="B7777" s="0" t="n">
        <v>2469633</v>
      </c>
      <c r="C7777" s="0" t="n">
        <v>2469653</v>
      </c>
      <c r="D7777" s="0" t="s">
        <v>25877</v>
      </c>
      <c r="E7777" s="0" t="s">
        <v>75</v>
      </c>
      <c r="F7777" s="0" t="s">
        <v>90</v>
      </c>
      <c r="G7777" s="0" t="s">
        <v>32</v>
      </c>
      <c r="H7777" s="0" t="n">
        <v>110</v>
      </c>
      <c r="I7777" s="0" t="s">
        <v>25887</v>
      </c>
      <c r="J7777" s="0" t="s">
        <v>25888</v>
      </c>
      <c r="K7777" s="0" t="s">
        <v>25889</v>
      </c>
      <c r="L7777" s="0" t="str">
        <f aca="false">HYPERLINK("https://www.ncbi.nlm.nih.gov/nuccore/CP000058.1?report=graph&amp;tracks=[key:gene_model_track,Options:GeneOnly]&amp;mk=2469728:2469747|offset_16|444444,2469692:2469711|offset_52|444444,2469669:2469688|offset_75|444444,2469634:2469653|offset_110|00cc00&amp;v=2469527:2469853&amp;c=444444", "offset 110")</f>
        <v>offset 110</v>
      </c>
    </row>
    <row r="7778" customFormat="false" ht="12.8" hidden="false" customHeight="false" outlineLevel="0" collapsed="false">
      <c r="A7778" s="0" t="s">
        <v>12</v>
      </c>
      <c r="B7778" s="0" t="n">
        <v>2470435</v>
      </c>
      <c r="C7778" s="0" t="n">
        <v>2470455</v>
      </c>
      <c r="D7778" s="0" t="s">
        <v>25890</v>
      </c>
      <c r="E7778" s="0" t="s">
        <v>25891</v>
      </c>
      <c r="F7778" s="0" t="s">
        <v>90</v>
      </c>
      <c r="G7778" s="0" t="s">
        <v>36</v>
      </c>
      <c r="H7778" s="0" t="n">
        <v>11</v>
      </c>
      <c r="I7778" s="0" t="s">
        <v>25892</v>
      </c>
      <c r="J7778" s="0" t="s">
        <v>25893</v>
      </c>
      <c r="K7778" s="0" t="s">
        <v>25894</v>
      </c>
      <c r="L7778" s="0" t="str">
        <f aca="false">HYPERLINK("https://www.ncbi.nlm.nih.gov/nuccore/CP000058.1?report=graph&amp;tracks=[key:gene_model_track,Options:GeneOnly]&amp;mk=2470436:2470455|offset_11|00cc00,2470403:2470422|offset_44|444444,2470358:2470377|offset_89|444444,2470322:2470341|offset_125|444444&amp;v=2470235:2470541&amp;c=444444", "offset 11")</f>
        <v>offset 11</v>
      </c>
    </row>
    <row r="7779" customFormat="false" ht="12.8" hidden="false" customHeight="false" outlineLevel="0" collapsed="false">
      <c r="A7779" s="0" t="s">
        <v>12</v>
      </c>
      <c r="B7779" s="0" t="n">
        <v>2470402</v>
      </c>
      <c r="C7779" s="0" t="n">
        <v>2470422</v>
      </c>
      <c r="D7779" s="0" t="s">
        <v>25890</v>
      </c>
      <c r="E7779" s="0" t="s">
        <v>25891</v>
      </c>
      <c r="F7779" s="0" t="s">
        <v>90</v>
      </c>
      <c r="G7779" s="0" t="s">
        <v>20</v>
      </c>
      <c r="H7779" s="0" t="n">
        <v>44</v>
      </c>
      <c r="I7779" s="0" t="s">
        <v>25895</v>
      </c>
      <c r="J7779" s="0" t="s">
        <v>25896</v>
      </c>
      <c r="K7779" s="0" t="s">
        <v>25897</v>
      </c>
      <c r="L7779" s="0" t="str">
        <f aca="false">HYPERLINK("https://www.ncbi.nlm.nih.gov/nuccore/CP000058.1?report=graph&amp;tracks=[key:gene_model_track,Options:GeneOnly]&amp;mk=2470436:2470455|offset_11|444444,2470403:2470422|offset_44|00cc00,2470358:2470377|offset_89|444444,2470322:2470341|offset_125|444444&amp;v=2470235:2470541&amp;c=444444", "offset 44")</f>
        <v>offset 44</v>
      </c>
    </row>
    <row r="7780" customFormat="false" ht="12.8" hidden="false" customHeight="false" outlineLevel="0" collapsed="false">
      <c r="A7780" s="0" t="s">
        <v>12</v>
      </c>
      <c r="B7780" s="0" t="n">
        <v>2470357</v>
      </c>
      <c r="C7780" s="0" t="n">
        <v>2470377</v>
      </c>
      <c r="D7780" s="0" t="s">
        <v>25890</v>
      </c>
      <c r="E7780" s="0" t="s">
        <v>25891</v>
      </c>
      <c r="F7780" s="0" t="s">
        <v>90</v>
      </c>
      <c r="G7780" s="0" t="s">
        <v>20</v>
      </c>
      <c r="H7780" s="0" t="n">
        <v>89</v>
      </c>
      <c r="I7780" s="0" t="s">
        <v>25898</v>
      </c>
      <c r="J7780" s="0" t="s">
        <v>25899</v>
      </c>
      <c r="K7780" s="0" t="s">
        <v>25900</v>
      </c>
      <c r="L7780" s="0" t="str">
        <f aca="false">HYPERLINK("https://www.ncbi.nlm.nih.gov/nuccore/CP000058.1?report=graph&amp;tracks=[key:gene_model_track,Options:GeneOnly]&amp;mk=2470436:2470455|offset_11|444444,2470403:2470422|offset_44|444444,2470358:2470377|offset_89|00cc00,2470322:2470341|offset_125|444444&amp;v=2470235:2470541&amp;c=444444", "offset 89")</f>
        <v>offset 89</v>
      </c>
    </row>
    <row r="7781" customFormat="false" ht="12.8" hidden="false" customHeight="false" outlineLevel="0" collapsed="false">
      <c r="A7781" s="0" t="s">
        <v>12</v>
      </c>
      <c r="B7781" s="0" t="n">
        <v>2470321</v>
      </c>
      <c r="C7781" s="0" t="n">
        <v>2470341</v>
      </c>
      <c r="D7781" s="0" t="s">
        <v>25890</v>
      </c>
      <c r="E7781" s="0" t="s">
        <v>25891</v>
      </c>
      <c r="F7781" s="0" t="s">
        <v>90</v>
      </c>
      <c r="G7781" s="0" t="s">
        <v>20</v>
      </c>
      <c r="H7781" s="0" t="n">
        <v>125</v>
      </c>
      <c r="I7781" s="0" t="s">
        <v>25901</v>
      </c>
      <c r="J7781" s="0" t="s">
        <v>25902</v>
      </c>
      <c r="K7781" s="0" t="s">
        <v>25903</v>
      </c>
      <c r="L7781" s="0" t="str">
        <f aca="false">HYPERLINK("https://www.ncbi.nlm.nih.gov/nuccore/CP000058.1?report=graph&amp;tracks=[key:gene_model_track,Options:GeneOnly]&amp;mk=2470436:2470455|offset_11|444444,2470403:2470422|offset_44|444444,2470358:2470377|offset_89|444444,2470322:2470341|offset_125|00cc00&amp;v=2470235:2470541&amp;c=444444", "offset 125")</f>
        <v>offset 125</v>
      </c>
    </row>
    <row r="7782" customFormat="false" ht="12.8" hidden="false" customHeight="false" outlineLevel="0" collapsed="false">
      <c r="A7782" s="0" t="s">
        <v>12</v>
      </c>
      <c r="B7782" s="0" t="n">
        <v>2470542</v>
      </c>
      <c r="C7782" s="0" t="n">
        <v>2470562</v>
      </c>
      <c r="D7782" s="0" t="s">
        <v>25904</v>
      </c>
      <c r="E7782" s="0" t="s">
        <v>25905</v>
      </c>
      <c r="F7782" s="0" t="s">
        <v>15</v>
      </c>
      <c r="G7782" s="0" t="s">
        <v>32</v>
      </c>
      <c r="H7782" s="0" t="n">
        <v>1</v>
      </c>
      <c r="I7782" s="0" t="s">
        <v>25906</v>
      </c>
      <c r="J7782" s="0" t="s">
        <v>25907</v>
      </c>
      <c r="K7782" s="0" t="s">
        <v>25908</v>
      </c>
      <c r="L7782" s="0" t="str">
        <f aca="false">HYPERLINK("https://www.ncbi.nlm.nih.gov/nuccore/CP000058.1?report=graph&amp;tracks=[key:gene_model_track,Options:GeneOnly]&amp;mk=2470543:2470562|offset_1|00cc00,2470566:2470585|offset_24|444444,2470588:2470607|offset_46|444444,2470609:2470628|offset_67|444444&amp;v=2470342:2470828&amp;c=444444", "offset 1")</f>
        <v>offset 1</v>
      </c>
    </row>
    <row r="7783" customFormat="false" ht="12.8" hidden="false" customHeight="false" outlineLevel="0" collapsed="false">
      <c r="A7783" s="0" t="s">
        <v>12</v>
      </c>
      <c r="B7783" s="0" t="n">
        <v>2470565</v>
      </c>
      <c r="C7783" s="0" t="n">
        <v>2470585</v>
      </c>
      <c r="D7783" s="0" t="s">
        <v>25904</v>
      </c>
      <c r="E7783" s="0" t="s">
        <v>25905</v>
      </c>
      <c r="F7783" s="0" t="s">
        <v>15</v>
      </c>
      <c r="G7783" s="0" t="s">
        <v>20</v>
      </c>
      <c r="H7783" s="0" t="n">
        <v>24</v>
      </c>
      <c r="I7783" s="0" t="s">
        <v>25909</v>
      </c>
      <c r="J7783" s="0" t="s">
        <v>25910</v>
      </c>
      <c r="K7783" s="0" t="s">
        <v>25911</v>
      </c>
      <c r="L7783" s="0" t="str">
        <f aca="false">HYPERLINK("https://www.ncbi.nlm.nih.gov/nuccore/CP000058.1?report=graph&amp;tracks=[key:gene_model_track,Options:GeneOnly]&amp;mk=2470543:2470562|offset_1|444444,2470566:2470585|offset_24|00cc00,2470588:2470607|offset_46|444444,2470609:2470628|offset_67|444444&amp;v=2470342:2470828&amp;c=444444", "offset 24")</f>
        <v>offset 24</v>
      </c>
    </row>
    <row r="7784" customFormat="false" ht="12.8" hidden="false" customHeight="false" outlineLevel="0" collapsed="false">
      <c r="A7784" s="0" t="s">
        <v>12</v>
      </c>
      <c r="B7784" s="0" t="n">
        <v>2470587</v>
      </c>
      <c r="C7784" s="0" t="n">
        <v>2470607</v>
      </c>
      <c r="D7784" s="0" t="s">
        <v>25904</v>
      </c>
      <c r="E7784" s="0" t="s">
        <v>25905</v>
      </c>
      <c r="F7784" s="0" t="s">
        <v>15</v>
      </c>
      <c r="G7784" s="0" t="s">
        <v>16</v>
      </c>
      <c r="H7784" s="0" t="n">
        <v>46</v>
      </c>
      <c r="I7784" s="0" t="s">
        <v>25912</v>
      </c>
      <c r="J7784" s="0" t="s">
        <v>25913</v>
      </c>
      <c r="K7784" s="0" t="s">
        <v>25914</v>
      </c>
      <c r="L7784" s="0" t="str">
        <f aca="false">HYPERLINK("https://www.ncbi.nlm.nih.gov/nuccore/CP000058.1?report=graph&amp;tracks=[key:gene_model_track,Options:GeneOnly]&amp;mk=2470543:2470562|offset_1|444444,2470566:2470585|offset_24|444444,2470588:2470607|offset_46|00cc00,2470609:2470628|offset_67|444444&amp;v=2470342:2470828&amp;c=444444", "offset 46")</f>
        <v>offset 46</v>
      </c>
    </row>
    <row r="7785" customFormat="false" ht="12.8" hidden="false" customHeight="false" outlineLevel="0" collapsed="false">
      <c r="A7785" s="0" t="s">
        <v>12</v>
      </c>
      <c r="B7785" s="0" t="n">
        <v>2470608</v>
      </c>
      <c r="C7785" s="0" t="n">
        <v>2470628</v>
      </c>
      <c r="D7785" s="0" t="s">
        <v>25904</v>
      </c>
      <c r="E7785" s="0" t="s">
        <v>25905</v>
      </c>
      <c r="F7785" s="0" t="s">
        <v>15</v>
      </c>
      <c r="G7785" s="0" t="s">
        <v>36</v>
      </c>
      <c r="H7785" s="0" t="n">
        <v>67</v>
      </c>
      <c r="I7785" s="0" t="s">
        <v>25915</v>
      </c>
      <c r="J7785" s="0" t="s">
        <v>25916</v>
      </c>
      <c r="K7785" s="0" t="s">
        <v>25917</v>
      </c>
      <c r="L7785" s="0" t="str">
        <f aca="false">HYPERLINK("https://www.ncbi.nlm.nih.gov/nuccore/CP000058.1?report=graph&amp;tracks=[key:gene_model_track,Options:GeneOnly]&amp;mk=2470543:2470562|offset_1|444444,2470566:2470585|offset_24|444444,2470588:2470607|offset_46|444444,2470609:2470628|offset_67|00cc00&amp;v=2470342:2470828&amp;c=444444", "offset 67")</f>
        <v>offset 67</v>
      </c>
    </row>
    <row r="7786" customFormat="false" ht="12.8" hidden="false" customHeight="false" outlineLevel="0" collapsed="false">
      <c r="A7786" s="0" t="s">
        <v>12</v>
      </c>
      <c r="B7786" s="0" t="n">
        <v>2471102</v>
      </c>
      <c r="C7786" s="0" t="n">
        <v>2471122</v>
      </c>
      <c r="D7786" s="0" t="s">
        <v>25918</v>
      </c>
      <c r="E7786" s="0" t="s">
        <v>25919</v>
      </c>
      <c r="F7786" s="0" t="s">
        <v>15</v>
      </c>
      <c r="G7786" s="0" t="s">
        <v>16</v>
      </c>
      <c r="H7786" s="0" t="n">
        <v>15</v>
      </c>
      <c r="I7786" s="0" t="s">
        <v>25920</v>
      </c>
      <c r="J7786" s="0" t="s">
        <v>25921</v>
      </c>
      <c r="K7786" s="0" t="s">
        <v>25922</v>
      </c>
      <c r="L7786" s="0" t="str">
        <f aca="false">HYPERLINK("https://www.ncbi.nlm.nih.gov/nuccore/CP000058.1?report=graph&amp;tracks=[key:gene_model_track,Options:GeneOnly]&amp;mk=2471103:2471122|offset_15|00cc00,2471155:2471174|offset_67|444444,2471180:2471199|offset_92|444444,2471203:2471222|offset_115|444444&amp;v=2470902:2471422&amp;c=444444", "offset 15")</f>
        <v>offset 15</v>
      </c>
    </row>
    <row r="7787" customFormat="false" ht="12.8" hidden="false" customHeight="false" outlineLevel="0" collapsed="false">
      <c r="A7787" s="0" t="s">
        <v>12</v>
      </c>
      <c r="B7787" s="0" t="n">
        <v>2471154</v>
      </c>
      <c r="C7787" s="0" t="n">
        <v>2471174</v>
      </c>
      <c r="D7787" s="0" t="s">
        <v>25918</v>
      </c>
      <c r="E7787" s="0" t="s">
        <v>25919</v>
      </c>
      <c r="F7787" s="0" t="s">
        <v>15</v>
      </c>
      <c r="G7787" s="0" t="s">
        <v>16</v>
      </c>
      <c r="H7787" s="0" t="n">
        <v>67</v>
      </c>
      <c r="I7787" s="0" t="s">
        <v>25923</v>
      </c>
      <c r="J7787" s="0" t="s">
        <v>25924</v>
      </c>
      <c r="K7787" s="0" t="s">
        <v>25925</v>
      </c>
      <c r="L7787" s="0" t="str">
        <f aca="false">HYPERLINK("https://www.ncbi.nlm.nih.gov/nuccore/CP000058.1?report=graph&amp;tracks=[key:gene_model_track,Options:GeneOnly]&amp;mk=2471103:2471122|offset_15|444444,2471155:2471174|offset_67|00cc00,2471180:2471199|offset_92|444444,2471203:2471222|offset_115|444444&amp;v=2470902:2471422&amp;c=444444", "offset 67")</f>
        <v>offset 67</v>
      </c>
    </row>
    <row r="7788" customFormat="false" ht="12.8" hidden="false" customHeight="false" outlineLevel="0" collapsed="false">
      <c r="A7788" s="0" t="s">
        <v>12</v>
      </c>
      <c r="B7788" s="0" t="n">
        <v>2471179</v>
      </c>
      <c r="C7788" s="0" t="n">
        <v>2471199</v>
      </c>
      <c r="D7788" s="0" t="s">
        <v>25918</v>
      </c>
      <c r="E7788" s="0" t="s">
        <v>25919</v>
      </c>
      <c r="F7788" s="0" t="s">
        <v>15</v>
      </c>
      <c r="G7788" s="0" t="s">
        <v>32</v>
      </c>
      <c r="H7788" s="0" t="n">
        <v>92</v>
      </c>
      <c r="I7788" s="0" t="s">
        <v>25926</v>
      </c>
      <c r="J7788" s="0" t="s">
        <v>25927</v>
      </c>
      <c r="K7788" s="0" t="s">
        <v>25928</v>
      </c>
      <c r="L7788" s="0" t="str">
        <f aca="false">HYPERLINK("https://www.ncbi.nlm.nih.gov/nuccore/CP000058.1?report=graph&amp;tracks=[key:gene_model_track,Options:GeneOnly]&amp;mk=2471103:2471122|offset_15|444444,2471155:2471174|offset_67|444444,2471180:2471199|offset_92|00cc00,2471203:2471222|offset_115|444444&amp;v=2470902:2471422&amp;c=444444", "offset 92")</f>
        <v>offset 92</v>
      </c>
    </row>
    <row r="7789" customFormat="false" ht="12.8" hidden="false" customHeight="false" outlineLevel="0" collapsed="false">
      <c r="A7789" s="0" t="s">
        <v>12</v>
      </c>
      <c r="B7789" s="0" t="n">
        <v>2471202</v>
      </c>
      <c r="C7789" s="0" t="n">
        <v>2471222</v>
      </c>
      <c r="D7789" s="0" t="s">
        <v>25918</v>
      </c>
      <c r="E7789" s="0" t="s">
        <v>25919</v>
      </c>
      <c r="F7789" s="0" t="s">
        <v>15</v>
      </c>
      <c r="G7789" s="0" t="s">
        <v>16</v>
      </c>
      <c r="H7789" s="0" t="n">
        <v>115</v>
      </c>
      <c r="I7789" s="0" t="s">
        <v>25929</v>
      </c>
      <c r="J7789" s="0" t="s">
        <v>25930</v>
      </c>
      <c r="K7789" s="0" t="s">
        <v>25931</v>
      </c>
      <c r="L7789" s="0" t="str">
        <f aca="false">HYPERLINK("https://www.ncbi.nlm.nih.gov/nuccore/CP000058.1?report=graph&amp;tracks=[key:gene_model_track,Options:GeneOnly]&amp;mk=2471103:2471122|offset_15|444444,2471155:2471174|offset_67|444444,2471180:2471199|offset_92|444444,2471203:2471222|offset_115|00cc00&amp;v=2470902:2471422&amp;c=444444", "offset 115")</f>
        <v>offset 115</v>
      </c>
    </row>
    <row r="7790" customFormat="false" ht="12.8" hidden="false" customHeight="false" outlineLevel="0" collapsed="false">
      <c r="A7790" s="0" t="s">
        <v>12</v>
      </c>
      <c r="B7790" s="0" t="n">
        <v>2472395</v>
      </c>
      <c r="C7790" s="0" t="n">
        <v>2472415</v>
      </c>
      <c r="D7790" s="0" t="s">
        <v>25932</v>
      </c>
      <c r="E7790" s="0" t="s">
        <v>75</v>
      </c>
      <c r="F7790" s="0" t="s">
        <v>15</v>
      </c>
      <c r="G7790" s="0" t="s">
        <v>32</v>
      </c>
      <c r="H7790" s="0" t="n">
        <v>9</v>
      </c>
      <c r="I7790" s="0" t="s">
        <v>25933</v>
      </c>
      <c r="J7790" s="0" t="s">
        <v>25934</v>
      </c>
      <c r="K7790" s="0" t="s">
        <v>25935</v>
      </c>
      <c r="L7790" s="0" t="str">
        <f aca="false">HYPERLINK("https://www.ncbi.nlm.nih.gov/nuccore/CP000058.1?report=graph&amp;tracks=[key:gene_model_track,Options:GeneOnly]&amp;mk=2472396:2472415|offset_9|00cc00,2472419:2472438|offset_32|444444,2472508:2472527|offset_121|444444,2472544:2472563|offset_157|444444&amp;v=2472195:2472763&amp;c=444444", "offset 9")</f>
        <v>offset 9</v>
      </c>
    </row>
    <row r="7791" customFormat="false" ht="12.8" hidden="false" customHeight="false" outlineLevel="0" collapsed="false">
      <c r="A7791" s="0" t="s">
        <v>12</v>
      </c>
      <c r="B7791" s="0" t="n">
        <v>2472418</v>
      </c>
      <c r="C7791" s="0" t="n">
        <v>2472438</v>
      </c>
      <c r="D7791" s="0" t="s">
        <v>25932</v>
      </c>
      <c r="E7791" s="0" t="s">
        <v>75</v>
      </c>
      <c r="F7791" s="0" t="s">
        <v>15</v>
      </c>
      <c r="G7791" s="0" t="s">
        <v>36</v>
      </c>
      <c r="H7791" s="0" t="n">
        <v>32</v>
      </c>
      <c r="I7791" s="0" t="s">
        <v>25936</v>
      </c>
      <c r="J7791" s="0" t="s">
        <v>25937</v>
      </c>
      <c r="K7791" s="0" t="s">
        <v>25938</v>
      </c>
      <c r="L7791" s="0" t="str">
        <f aca="false">HYPERLINK("https://www.ncbi.nlm.nih.gov/nuccore/CP000058.1?report=graph&amp;tracks=[key:gene_model_track,Options:GeneOnly]&amp;mk=2472396:2472415|offset_9|444444,2472419:2472438|offset_32|00cc00,2472508:2472527|offset_121|444444,2472544:2472563|offset_157|444444&amp;v=2472195:2472763&amp;c=444444", "offset 32")</f>
        <v>offset 32</v>
      </c>
    </row>
    <row r="7792" customFormat="false" ht="12.8" hidden="false" customHeight="false" outlineLevel="0" collapsed="false">
      <c r="A7792" s="0" t="s">
        <v>12</v>
      </c>
      <c r="B7792" s="0" t="n">
        <v>2472507</v>
      </c>
      <c r="C7792" s="0" t="n">
        <v>2472527</v>
      </c>
      <c r="D7792" s="0" t="s">
        <v>25932</v>
      </c>
      <c r="E7792" s="0" t="s">
        <v>75</v>
      </c>
      <c r="F7792" s="0" t="s">
        <v>15</v>
      </c>
      <c r="G7792" s="0" t="s">
        <v>32</v>
      </c>
      <c r="H7792" s="0" t="n">
        <v>121</v>
      </c>
      <c r="I7792" s="0" t="s">
        <v>25939</v>
      </c>
      <c r="J7792" s="0" t="s">
        <v>25940</v>
      </c>
      <c r="K7792" s="0" t="s">
        <v>25941</v>
      </c>
      <c r="L7792" s="0" t="str">
        <f aca="false">HYPERLINK("https://www.ncbi.nlm.nih.gov/nuccore/CP000058.1?report=graph&amp;tracks=[key:gene_model_track,Options:GeneOnly]&amp;mk=2472396:2472415|offset_9|444444,2472419:2472438|offset_32|444444,2472508:2472527|offset_121|00cc00,2472544:2472563|offset_157|444444&amp;v=2472195:2472763&amp;c=444444", "offset 121")</f>
        <v>offset 121</v>
      </c>
    </row>
    <row r="7793" customFormat="false" ht="12.8" hidden="false" customHeight="false" outlineLevel="0" collapsed="false">
      <c r="A7793" s="0" t="s">
        <v>12</v>
      </c>
      <c r="B7793" s="0" t="n">
        <v>2472543</v>
      </c>
      <c r="C7793" s="0" t="n">
        <v>2472563</v>
      </c>
      <c r="D7793" s="0" t="s">
        <v>25932</v>
      </c>
      <c r="E7793" s="0" t="s">
        <v>75</v>
      </c>
      <c r="F7793" s="0" t="s">
        <v>15</v>
      </c>
      <c r="G7793" s="0" t="s">
        <v>36</v>
      </c>
      <c r="H7793" s="0" t="n">
        <v>157</v>
      </c>
      <c r="I7793" s="0" t="s">
        <v>25942</v>
      </c>
      <c r="J7793" s="0" t="s">
        <v>25943</v>
      </c>
      <c r="K7793" s="0" t="s">
        <v>25944</v>
      </c>
      <c r="L7793" s="0" t="str">
        <f aca="false">HYPERLINK("https://www.ncbi.nlm.nih.gov/nuccore/CP000058.1?report=graph&amp;tracks=[key:gene_model_track,Options:GeneOnly]&amp;mk=2472396:2472415|offset_9|444444,2472419:2472438|offset_32|444444,2472508:2472527|offset_121|444444,2472544:2472563|offset_157|00cc00&amp;v=2472195:2472763&amp;c=444444", "offset 157")</f>
        <v>offset 157</v>
      </c>
    </row>
    <row r="7794" customFormat="false" ht="12.8" hidden="false" customHeight="false" outlineLevel="0" collapsed="false">
      <c r="A7794" s="0" t="s">
        <v>12</v>
      </c>
      <c r="B7794" s="0" t="n">
        <v>2475138</v>
      </c>
      <c r="C7794" s="0" t="n">
        <v>2475158</v>
      </c>
      <c r="D7794" s="0" t="s">
        <v>25945</v>
      </c>
      <c r="E7794" s="0" t="s">
        <v>75</v>
      </c>
      <c r="F7794" s="0" t="s">
        <v>90</v>
      </c>
      <c r="G7794" s="0" t="s">
        <v>36</v>
      </c>
      <c r="H7794" s="0" t="n">
        <v>6</v>
      </c>
      <c r="I7794" s="0" t="s">
        <v>25946</v>
      </c>
      <c r="J7794" s="0" t="s">
        <v>25947</v>
      </c>
      <c r="K7794" s="0" t="s">
        <v>25948</v>
      </c>
      <c r="L7794" s="0" t="str">
        <f aca="false">HYPERLINK("https://www.ncbi.nlm.nih.gov/nuccore/CP000058.1?report=graph&amp;tracks=[key:gene_model_track,Options:GeneOnly]&amp;mk=2475139:2475158|offset_6|00cc00,2475114:2475133|offset_31|444444,2475093:2475112|offset_52|444444,2475062:2475081|offset_83|444444&amp;v=2474938:2475281&amp;c=444444", "offset 6")</f>
        <v>offset 6</v>
      </c>
    </row>
    <row r="7795" customFormat="false" ht="12.8" hidden="false" customHeight="false" outlineLevel="0" collapsed="false">
      <c r="A7795" s="0" t="s">
        <v>12</v>
      </c>
      <c r="B7795" s="0" t="n">
        <v>2475113</v>
      </c>
      <c r="C7795" s="0" t="n">
        <v>2475133</v>
      </c>
      <c r="D7795" s="0" t="s">
        <v>25945</v>
      </c>
      <c r="E7795" s="0" t="s">
        <v>75</v>
      </c>
      <c r="F7795" s="0" t="s">
        <v>90</v>
      </c>
      <c r="G7795" s="0" t="s">
        <v>16</v>
      </c>
      <c r="H7795" s="0" t="n">
        <v>31</v>
      </c>
      <c r="I7795" s="0" t="s">
        <v>25949</v>
      </c>
      <c r="J7795" s="0" t="s">
        <v>25950</v>
      </c>
      <c r="K7795" s="0" t="s">
        <v>25951</v>
      </c>
      <c r="L7795" s="0" t="str">
        <f aca="false">HYPERLINK("https://www.ncbi.nlm.nih.gov/nuccore/CP000058.1?report=graph&amp;tracks=[key:gene_model_track,Options:GeneOnly]&amp;mk=2475139:2475158|offset_6|444444,2475114:2475133|offset_31|00cc00,2475093:2475112|offset_52|444444,2475062:2475081|offset_83|444444&amp;v=2474938:2475281&amp;c=444444", "offset 31")</f>
        <v>offset 31</v>
      </c>
    </row>
    <row r="7796" customFormat="false" ht="12.8" hidden="false" customHeight="false" outlineLevel="0" collapsed="false">
      <c r="A7796" s="0" t="s">
        <v>12</v>
      </c>
      <c r="B7796" s="0" t="n">
        <v>2475092</v>
      </c>
      <c r="C7796" s="0" t="n">
        <v>2475112</v>
      </c>
      <c r="D7796" s="0" t="s">
        <v>25945</v>
      </c>
      <c r="E7796" s="0" t="s">
        <v>75</v>
      </c>
      <c r="F7796" s="0" t="s">
        <v>90</v>
      </c>
      <c r="G7796" s="0" t="s">
        <v>16</v>
      </c>
      <c r="H7796" s="0" t="n">
        <v>52</v>
      </c>
      <c r="I7796" s="0" t="s">
        <v>25952</v>
      </c>
      <c r="J7796" s="0" t="s">
        <v>25953</v>
      </c>
      <c r="K7796" s="0" t="s">
        <v>25954</v>
      </c>
      <c r="L7796" s="0" t="str">
        <f aca="false">HYPERLINK("https://www.ncbi.nlm.nih.gov/nuccore/CP000058.1?report=graph&amp;tracks=[key:gene_model_track,Options:GeneOnly]&amp;mk=2475139:2475158|offset_6|444444,2475114:2475133|offset_31|444444,2475093:2475112|offset_52|00cc00,2475062:2475081|offset_83|444444&amp;v=2474938:2475281&amp;c=444444", "offset 52")</f>
        <v>offset 52</v>
      </c>
    </row>
    <row r="7797" customFormat="false" ht="12.8" hidden="false" customHeight="false" outlineLevel="0" collapsed="false">
      <c r="A7797" s="0" t="s">
        <v>12</v>
      </c>
      <c r="B7797" s="0" t="n">
        <v>2475061</v>
      </c>
      <c r="C7797" s="0" t="n">
        <v>2475081</v>
      </c>
      <c r="D7797" s="0" t="s">
        <v>25945</v>
      </c>
      <c r="E7797" s="0" t="s">
        <v>75</v>
      </c>
      <c r="F7797" s="0" t="s">
        <v>90</v>
      </c>
      <c r="G7797" s="0" t="s">
        <v>20</v>
      </c>
      <c r="H7797" s="0" t="n">
        <v>83</v>
      </c>
      <c r="I7797" s="0" t="s">
        <v>25955</v>
      </c>
      <c r="J7797" s="0" t="s">
        <v>25956</v>
      </c>
      <c r="K7797" s="0" t="s">
        <v>25957</v>
      </c>
      <c r="L7797" s="0" t="str">
        <f aca="false">HYPERLINK("https://www.ncbi.nlm.nih.gov/nuccore/CP000058.1?report=graph&amp;tracks=[key:gene_model_track,Options:GeneOnly]&amp;mk=2475139:2475158|offset_6|444444,2475114:2475133|offset_31|444444,2475093:2475112|offset_52|444444,2475062:2475081|offset_83|00cc00&amp;v=2474938:2475281&amp;c=444444", "offset 83")</f>
        <v>offset 83</v>
      </c>
    </row>
    <row r="7798" customFormat="false" ht="12.8" hidden="false" customHeight="false" outlineLevel="0" collapsed="false">
      <c r="A7798" s="0" t="s">
        <v>12</v>
      </c>
      <c r="B7798" s="0" t="n">
        <v>2475329</v>
      </c>
      <c r="C7798" s="0" t="n">
        <v>2475349</v>
      </c>
      <c r="D7798" s="0" t="s">
        <v>25958</v>
      </c>
      <c r="E7798" s="0" t="s">
        <v>75</v>
      </c>
      <c r="F7798" s="0" t="s">
        <v>15</v>
      </c>
      <c r="G7798" s="0" t="s">
        <v>32</v>
      </c>
      <c r="H7798" s="0" t="n">
        <v>6</v>
      </c>
      <c r="I7798" s="0" t="s">
        <v>25959</v>
      </c>
      <c r="J7798" s="0" t="s">
        <v>25960</v>
      </c>
      <c r="K7798" s="0" t="s">
        <v>25961</v>
      </c>
      <c r="L7798" s="0" t="str">
        <f aca="false">HYPERLINK("https://www.ncbi.nlm.nih.gov/nuccore/CP000058.1?report=graph&amp;tracks=[key:gene_model_track,Options:GeneOnly]&amp;mk=2475330:2475349|offset_6|00cc00,2475376:2475395|offset_52|444444,2475406:2475425|offset_82|444444,2475451:2475470|offset_127|444444&amp;v=2475129:2475670&amp;c=444444", "offset 6")</f>
        <v>offset 6</v>
      </c>
    </row>
    <row r="7799" customFormat="false" ht="12.8" hidden="false" customHeight="false" outlineLevel="0" collapsed="false">
      <c r="A7799" s="0" t="s">
        <v>12</v>
      </c>
      <c r="B7799" s="0" t="n">
        <v>2475375</v>
      </c>
      <c r="C7799" s="0" t="n">
        <v>2475395</v>
      </c>
      <c r="D7799" s="0" t="s">
        <v>25958</v>
      </c>
      <c r="E7799" s="0" t="s">
        <v>75</v>
      </c>
      <c r="F7799" s="0" t="s">
        <v>15</v>
      </c>
      <c r="G7799" s="0" t="s">
        <v>32</v>
      </c>
      <c r="H7799" s="0" t="n">
        <v>52</v>
      </c>
      <c r="I7799" s="0" t="s">
        <v>25962</v>
      </c>
      <c r="J7799" s="0" t="s">
        <v>25963</v>
      </c>
      <c r="K7799" s="0" t="s">
        <v>25964</v>
      </c>
      <c r="L7799" s="0" t="str">
        <f aca="false">HYPERLINK("https://www.ncbi.nlm.nih.gov/nuccore/CP000058.1?report=graph&amp;tracks=[key:gene_model_track,Options:GeneOnly]&amp;mk=2475330:2475349|offset_6|444444,2475376:2475395|offset_52|00cc00,2475406:2475425|offset_82|444444,2475451:2475470|offset_127|444444&amp;v=2475129:2475670&amp;c=444444", "offset 52")</f>
        <v>offset 52</v>
      </c>
    </row>
    <row r="7800" customFormat="false" ht="12.8" hidden="false" customHeight="false" outlineLevel="0" collapsed="false">
      <c r="A7800" s="0" t="s">
        <v>12</v>
      </c>
      <c r="B7800" s="0" t="n">
        <v>2475405</v>
      </c>
      <c r="C7800" s="0" t="n">
        <v>2475425</v>
      </c>
      <c r="D7800" s="0" t="s">
        <v>25958</v>
      </c>
      <c r="E7800" s="0" t="s">
        <v>75</v>
      </c>
      <c r="F7800" s="0" t="s">
        <v>15</v>
      </c>
      <c r="G7800" s="0" t="s">
        <v>16</v>
      </c>
      <c r="H7800" s="0" t="n">
        <v>82</v>
      </c>
      <c r="I7800" s="0" t="s">
        <v>25965</v>
      </c>
      <c r="J7800" s="0" t="s">
        <v>25966</v>
      </c>
      <c r="K7800" s="0" t="s">
        <v>25967</v>
      </c>
      <c r="L7800" s="0" t="str">
        <f aca="false">HYPERLINK("https://www.ncbi.nlm.nih.gov/nuccore/CP000058.1?report=graph&amp;tracks=[key:gene_model_track,Options:GeneOnly]&amp;mk=2475330:2475349|offset_6|444444,2475376:2475395|offset_52|444444,2475406:2475425|offset_82|00cc00,2475451:2475470|offset_127|444444&amp;v=2475129:2475670&amp;c=444444", "offset 82")</f>
        <v>offset 82</v>
      </c>
    </row>
    <row r="7801" customFormat="false" ht="12.8" hidden="false" customHeight="false" outlineLevel="0" collapsed="false">
      <c r="A7801" s="0" t="s">
        <v>12</v>
      </c>
      <c r="B7801" s="0" t="n">
        <v>2475450</v>
      </c>
      <c r="C7801" s="0" t="n">
        <v>2475470</v>
      </c>
      <c r="D7801" s="0" t="s">
        <v>25958</v>
      </c>
      <c r="E7801" s="0" t="s">
        <v>75</v>
      </c>
      <c r="F7801" s="0" t="s">
        <v>15</v>
      </c>
      <c r="G7801" s="0" t="s">
        <v>36</v>
      </c>
      <c r="H7801" s="0" t="n">
        <v>127</v>
      </c>
      <c r="I7801" s="0" t="s">
        <v>25968</v>
      </c>
      <c r="J7801" s="0" t="s">
        <v>25969</v>
      </c>
      <c r="K7801" s="0" t="s">
        <v>25970</v>
      </c>
      <c r="L7801" s="0" t="str">
        <f aca="false">HYPERLINK("https://www.ncbi.nlm.nih.gov/nuccore/CP000058.1?report=graph&amp;tracks=[key:gene_model_track,Options:GeneOnly]&amp;mk=2475330:2475349|offset_6|444444,2475376:2475395|offset_52|444444,2475406:2475425|offset_82|444444,2475451:2475470|offset_127|00cc00&amp;v=2475129:2475670&amp;c=444444", "offset 127")</f>
        <v>offset 127</v>
      </c>
    </row>
    <row r="7802" customFormat="false" ht="12.8" hidden="false" customHeight="false" outlineLevel="0" collapsed="false">
      <c r="A7802" s="0" t="s">
        <v>12</v>
      </c>
      <c r="B7802" s="0" t="n">
        <v>2475988</v>
      </c>
      <c r="C7802" s="0" t="n">
        <v>2476008</v>
      </c>
      <c r="D7802" s="0" t="s">
        <v>25971</v>
      </c>
      <c r="E7802" s="0" t="s">
        <v>75</v>
      </c>
      <c r="F7802" s="0" t="s">
        <v>90</v>
      </c>
      <c r="G7802" s="0" t="s">
        <v>32</v>
      </c>
      <c r="H7802" s="0" t="n">
        <v>14</v>
      </c>
      <c r="I7802" s="0" t="s">
        <v>25972</v>
      </c>
      <c r="J7802" s="0" t="s">
        <v>25973</v>
      </c>
      <c r="K7802" s="0" t="s">
        <v>25974</v>
      </c>
      <c r="L7802" s="0" t="str">
        <f aca="false">HYPERLINK("https://www.ncbi.nlm.nih.gov/nuccore/CP000058.1?report=graph&amp;tracks=[key:gene_model_track,Options:GeneOnly]&amp;mk=2475989:2476008|offset_14|00cc00,2475969:2475988|offset_34|444444,2475928:2475947|offset_75|444444,2475907:2475926|offset_96|444444&amp;v=2475788:2476126&amp;c=444444", "offset 14")</f>
        <v>offset 14</v>
      </c>
    </row>
    <row r="7803" customFormat="false" ht="12.8" hidden="false" customHeight="false" outlineLevel="0" collapsed="false">
      <c r="A7803" s="0" t="s">
        <v>12</v>
      </c>
      <c r="B7803" s="0" t="n">
        <v>2475968</v>
      </c>
      <c r="C7803" s="0" t="n">
        <v>2475988</v>
      </c>
      <c r="D7803" s="0" t="s">
        <v>25971</v>
      </c>
      <c r="E7803" s="0" t="s">
        <v>75</v>
      </c>
      <c r="F7803" s="0" t="s">
        <v>90</v>
      </c>
      <c r="G7803" s="0" t="s">
        <v>36</v>
      </c>
      <c r="H7803" s="0" t="n">
        <v>34</v>
      </c>
      <c r="I7803" s="0" t="s">
        <v>25975</v>
      </c>
      <c r="J7803" s="0" t="s">
        <v>25976</v>
      </c>
      <c r="K7803" s="0" t="s">
        <v>25977</v>
      </c>
      <c r="L7803" s="0" t="str">
        <f aca="false">HYPERLINK("https://www.ncbi.nlm.nih.gov/nuccore/CP000058.1?report=graph&amp;tracks=[key:gene_model_track,Options:GeneOnly]&amp;mk=2475989:2476008|offset_14|444444,2475969:2475988|offset_34|00cc00,2475928:2475947|offset_75|444444,2475907:2475926|offset_96|444444&amp;v=2475788:2476126&amp;c=444444", "offset 34")</f>
        <v>offset 34</v>
      </c>
    </row>
    <row r="7804" customFormat="false" ht="12.8" hidden="false" customHeight="false" outlineLevel="0" collapsed="false">
      <c r="A7804" s="0" t="s">
        <v>12</v>
      </c>
      <c r="B7804" s="0" t="n">
        <v>2475927</v>
      </c>
      <c r="C7804" s="0" t="n">
        <v>2475947</v>
      </c>
      <c r="D7804" s="0" t="s">
        <v>25971</v>
      </c>
      <c r="E7804" s="0" t="s">
        <v>75</v>
      </c>
      <c r="F7804" s="0" t="s">
        <v>90</v>
      </c>
      <c r="G7804" s="0" t="s">
        <v>36</v>
      </c>
      <c r="H7804" s="0" t="n">
        <v>75</v>
      </c>
      <c r="I7804" s="0" t="s">
        <v>25978</v>
      </c>
      <c r="J7804" s="0" t="s">
        <v>25979</v>
      </c>
      <c r="K7804" s="0" t="s">
        <v>25980</v>
      </c>
      <c r="L7804" s="0" t="str">
        <f aca="false">HYPERLINK("https://www.ncbi.nlm.nih.gov/nuccore/CP000058.1?report=graph&amp;tracks=[key:gene_model_track,Options:GeneOnly]&amp;mk=2475989:2476008|offset_14|444444,2475969:2475988|offset_34|444444,2475928:2475947|offset_75|00cc00,2475907:2475926|offset_96|444444&amp;v=2475788:2476126&amp;c=444444", "offset 75")</f>
        <v>offset 75</v>
      </c>
    </row>
    <row r="7805" customFormat="false" ht="12.8" hidden="false" customHeight="false" outlineLevel="0" collapsed="false">
      <c r="A7805" s="0" t="s">
        <v>12</v>
      </c>
      <c r="B7805" s="0" t="n">
        <v>2475906</v>
      </c>
      <c r="C7805" s="0" t="n">
        <v>2475926</v>
      </c>
      <c r="D7805" s="0" t="s">
        <v>25971</v>
      </c>
      <c r="E7805" s="0" t="s">
        <v>75</v>
      </c>
      <c r="F7805" s="0" t="s">
        <v>90</v>
      </c>
      <c r="G7805" s="0" t="s">
        <v>36</v>
      </c>
      <c r="H7805" s="0" t="n">
        <v>96</v>
      </c>
      <c r="I7805" s="0" t="s">
        <v>25981</v>
      </c>
      <c r="J7805" s="0" t="s">
        <v>25982</v>
      </c>
      <c r="K7805" s="0" t="s">
        <v>25983</v>
      </c>
      <c r="L7805" s="0" t="str">
        <f aca="false">HYPERLINK("https://www.ncbi.nlm.nih.gov/nuccore/CP000058.1?report=graph&amp;tracks=[key:gene_model_track,Options:GeneOnly]&amp;mk=2475989:2476008|offset_14|444444,2475969:2475988|offset_34|444444,2475928:2475947|offset_75|444444,2475907:2475926|offset_96|00cc00&amp;v=2475788:2476126&amp;c=444444", "offset 96")</f>
        <v>offset 96</v>
      </c>
    </row>
    <row r="7806" customFormat="false" ht="12.8" hidden="false" customHeight="false" outlineLevel="0" collapsed="false">
      <c r="A7806" s="0" t="s">
        <v>12</v>
      </c>
      <c r="B7806" s="0" t="n">
        <v>2477259</v>
      </c>
      <c r="C7806" s="0" t="n">
        <v>2477279</v>
      </c>
      <c r="D7806" s="0" t="s">
        <v>25984</v>
      </c>
      <c r="E7806" s="0" t="s">
        <v>75</v>
      </c>
      <c r="F7806" s="0" t="s">
        <v>90</v>
      </c>
      <c r="G7806" s="0" t="s">
        <v>36</v>
      </c>
      <c r="H7806" s="0" t="n">
        <v>0</v>
      </c>
      <c r="I7806" s="0" t="s">
        <v>25985</v>
      </c>
      <c r="J7806" s="0" t="s">
        <v>25986</v>
      </c>
      <c r="K7806" s="0" t="s">
        <v>25987</v>
      </c>
      <c r="L7806" s="0" t="str">
        <f aca="false">HYPERLINK("https://www.ncbi.nlm.nih.gov/nuccore/CP000058.1?report=graph&amp;tracks=[key:gene_model_track,Options:GeneOnly]&amp;mk=2477260:2477279|offset_0|00cc00,2477214:2477233|offset_46|444444,2477186:2477205|offset_74|444444,2477166:2477185|offset_94|444444&amp;v=2477059:2477385&amp;c=444444", "offset 0")</f>
        <v>offset 0</v>
      </c>
    </row>
    <row r="7807" customFormat="false" ht="12.8" hidden="false" customHeight="false" outlineLevel="0" collapsed="false">
      <c r="A7807" s="0" t="s">
        <v>12</v>
      </c>
      <c r="B7807" s="0" t="n">
        <v>2477213</v>
      </c>
      <c r="C7807" s="0" t="n">
        <v>2477233</v>
      </c>
      <c r="D7807" s="0" t="s">
        <v>25984</v>
      </c>
      <c r="E7807" s="0" t="s">
        <v>75</v>
      </c>
      <c r="F7807" s="0" t="s">
        <v>90</v>
      </c>
      <c r="G7807" s="0" t="s">
        <v>16</v>
      </c>
      <c r="H7807" s="0" t="n">
        <v>46</v>
      </c>
      <c r="I7807" s="0" t="s">
        <v>25988</v>
      </c>
      <c r="J7807" s="0" t="s">
        <v>25989</v>
      </c>
      <c r="K7807" s="0" t="s">
        <v>25990</v>
      </c>
      <c r="L7807" s="0" t="str">
        <f aca="false">HYPERLINK("https://www.ncbi.nlm.nih.gov/nuccore/CP000058.1?report=graph&amp;tracks=[key:gene_model_track,Options:GeneOnly]&amp;mk=2477260:2477279|offset_0|444444,2477214:2477233|offset_46|00cc00,2477186:2477205|offset_74|444444,2477166:2477185|offset_94|444444&amp;v=2477059:2477385&amp;c=444444", "offset 46")</f>
        <v>offset 46</v>
      </c>
    </row>
    <row r="7808" customFormat="false" ht="12.8" hidden="false" customHeight="false" outlineLevel="0" collapsed="false">
      <c r="A7808" s="0" t="s">
        <v>12</v>
      </c>
      <c r="B7808" s="0" t="n">
        <v>2477185</v>
      </c>
      <c r="C7808" s="0" t="n">
        <v>2477205</v>
      </c>
      <c r="D7808" s="0" t="s">
        <v>25984</v>
      </c>
      <c r="E7808" s="0" t="s">
        <v>75</v>
      </c>
      <c r="F7808" s="0" t="s">
        <v>90</v>
      </c>
      <c r="G7808" s="0" t="s">
        <v>20</v>
      </c>
      <c r="H7808" s="0" t="n">
        <v>74</v>
      </c>
      <c r="I7808" s="0" t="s">
        <v>25991</v>
      </c>
      <c r="J7808" s="0" t="s">
        <v>25992</v>
      </c>
      <c r="K7808" s="0" t="s">
        <v>25993</v>
      </c>
      <c r="L7808" s="0" t="str">
        <f aca="false">HYPERLINK("https://www.ncbi.nlm.nih.gov/nuccore/CP000058.1?report=graph&amp;tracks=[key:gene_model_track,Options:GeneOnly]&amp;mk=2477260:2477279|offset_0|444444,2477214:2477233|offset_46|444444,2477186:2477205|offset_74|00cc00,2477166:2477185|offset_94|444444&amp;v=2477059:2477385&amp;c=444444", "offset 74")</f>
        <v>offset 74</v>
      </c>
    </row>
    <row r="7809" customFormat="false" ht="12.8" hidden="false" customHeight="false" outlineLevel="0" collapsed="false">
      <c r="A7809" s="0" t="s">
        <v>12</v>
      </c>
      <c r="B7809" s="0" t="n">
        <v>2477165</v>
      </c>
      <c r="C7809" s="0" t="n">
        <v>2477185</v>
      </c>
      <c r="D7809" s="0" t="s">
        <v>25984</v>
      </c>
      <c r="E7809" s="0" t="s">
        <v>75</v>
      </c>
      <c r="F7809" s="0" t="s">
        <v>90</v>
      </c>
      <c r="G7809" s="0" t="s">
        <v>16</v>
      </c>
      <c r="H7809" s="0" t="n">
        <v>94</v>
      </c>
      <c r="I7809" s="0" t="s">
        <v>25994</v>
      </c>
      <c r="J7809" s="0" t="s">
        <v>25995</v>
      </c>
      <c r="K7809" s="0" t="s">
        <v>25996</v>
      </c>
      <c r="L7809" s="0" t="str">
        <f aca="false">HYPERLINK("https://www.ncbi.nlm.nih.gov/nuccore/CP000058.1?report=graph&amp;tracks=[key:gene_model_track,Options:GeneOnly]&amp;mk=2477260:2477279|offset_0|444444,2477214:2477233|offset_46|444444,2477186:2477205|offset_74|444444,2477166:2477185|offset_94|00cc00&amp;v=2477059:2477385&amp;c=444444", "offset 94")</f>
        <v>offset 94</v>
      </c>
    </row>
    <row r="7810" customFormat="false" ht="12.8" hidden="false" customHeight="false" outlineLevel="0" collapsed="false">
      <c r="A7810" s="0" t="s">
        <v>12</v>
      </c>
      <c r="B7810" s="0" t="n">
        <v>2477541</v>
      </c>
      <c r="C7810" s="0" t="n">
        <v>2477561</v>
      </c>
      <c r="D7810" s="0" t="s">
        <v>25997</v>
      </c>
      <c r="E7810" s="0" t="s">
        <v>75</v>
      </c>
      <c r="F7810" s="0" t="s">
        <v>15</v>
      </c>
      <c r="G7810" s="0" t="s">
        <v>16</v>
      </c>
      <c r="H7810" s="0" t="n">
        <v>7</v>
      </c>
      <c r="I7810" s="0" t="s">
        <v>25998</v>
      </c>
      <c r="J7810" s="0" t="s">
        <v>25999</v>
      </c>
      <c r="K7810" s="0" t="s">
        <v>26000</v>
      </c>
      <c r="L7810" s="0" t="str">
        <f aca="false">HYPERLINK("https://www.ncbi.nlm.nih.gov/nuccore/CP000058.1?report=graph&amp;tracks=[key:gene_model_track,Options:GeneOnly]&amp;mk=2477542:2477561|offset_7|00cc00,2477562:2477581|offset_27|444444,2477615:2477634|offset_80|444444,2477644:2477663|offset_109|444444&amp;v=2477341:2477863&amp;c=444444", "offset 7")</f>
        <v>offset 7</v>
      </c>
    </row>
    <row r="7811" customFormat="false" ht="12.8" hidden="false" customHeight="false" outlineLevel="0" collapsed="false">
      <c r="A7811" s="0" t="s">
        <v>12</v>
      </c>
      <c r="B7811" s="0" t="n">
        <v>2477561</v>
      </c>
      <c r="C7811" s="0" t="n">
        <v>2477581</v>
      </c>
      <c r="D7811" s="0" t="s">
        <v>25997</v>
      </c>
      <c r="E7811" s="0" t="s">
        <v>75</v>
      </c>
      <c r="F7811" s="0" t="s">
        <v>15</v>
      </c>
      <c r="G7811" s="0" t="s">
        <v>16</v>
      </c>
      <c r="H7811" s="0" t="n">
        <v>27</v>
      </c>
      <c r="I7811" s="0" t="s">
        <v>26001</v>
      </c>
      <c r="J7811" s="0" t="s">
        <v>26002</v>
      </c>
      <c r="K7811" s="0" t="s">
        <v>26003</v>
      </c>
      <c r="L7811" s="0" t="str">
        <f aca="false">HYPERLINK("https://www.ncbi.nlm.nih.gov/nuccore/CP000058.1?report=graph&amp;tracks=[key:gene_model_track,Options:GeneOnly]&amp;mk=2477542:2477561|offset_7|444444,2477562:2477581|offset_27|00cc00,2477615:2477634|offset_80|444444,2477644:2477663|offset_109|444444&amp;v=2477341:2477863&amp;c=444444", "offset 27")</f>
        <v>offset 27</v>
      </c>
    </row>
    <row r="7812" customFormat="false" ht="12.8" hidden="false" customHeight="false" outlineLevel="0" collapsed="false">
      <c r="A7812" s="0" t="s">
        <v>12</v>
      </c>
      <c r="B7812" s="0" t="n">
        <v>2477614</v>
      </c>
      <c r="C7812" s="0" t="n">
        <v>2477634</v>
      </c>
      <c r="D7812" s="0" t="s">
        <v>25997</v>
      </c>
      <c r="E7812" s="0" t="s">
        <v>75</v>
      </c>
      <c r="F7812" s="0" t="s">
        <v>15</v>
      </c>
      <c r="G7812" s="0" t="s">
        <v>20</v>
      </c>
      <c r="H7812" s="0" t="n">
        <v>80</v>
      </c>
      <c r="I7812" s="0" t="s">
        <v>26004</v>
      </c>
      <c r="J7812" s="0" t="s">
        <v>26005</v>
      </c>
      <c r="K7812" s="0" t="s">
        <v>26006</v>
      </c>
      <c r="L7812" s="0" t="str">
        <f aca="false">HYPERLINK("https://www.ncbi.nlm.nih.gov/nuccore/CP000058.1?report=graph&amp;tracks=[key:gene_model_track,Options:GeneOnly]&amp;mk=2477542:2477561|offset_7|444444,2477562:2477581|offset_27|444444,2477615:2477634|offset_80|00cc00,2477644:2477663|offset_109|444444&amp;v=2477341:2477863&amp;c=444444", "offset 80")</f>
        <v>offset 80</v>
      </c>
    </row>
    <row r="7813" customFormat="false" ht="12.8" hidden="false" customHeight="false" outlineLevel="0" collapsed="false">
      <c r="A7813" s="0" t="s">
        <v>12</v>
      </c>
      <c r="B7813" s="0" t="n">
        <v>2477643</v>
      </c>
      <c r="C7813" s="0" t="n">
        <v>2477663</v>
      </c>
      <c r="D7813" s="0" t="s">
        <v>25997</v>
      </c>
      <c r="E7813" s="0" t="s">
        <v>75</v>
      </c>
      <c r="F7813" s="0" t="s">
        <v>15</v>
      </c>
      <c r="G7813" s="0" t="s">
        <v>16</v>
      </c>
      <c r="H7813" s="0" t="n">
        <v>109</v>
      </c>
      <c r="I7813" s="0" t="s">
        <v>26007</v>
      </c>
      <c r="J7813" s="0" t="s">
        <v>26008</v>
      </c>
      <c r="K7813" s="0" t="s">
        <v>26009</v>
      </c>
      <c r="L7813" s="0" t="str">
        <f aca="false">HYPERLINK("https://www.ncbi.nlm.nih.gov/nuccore/CP000058.1?report=graph&amp;tracks=[key:gene_model_track,Options:GeneOnly]&amp;mk=2477542:2477561|offset_7|444444,2477562:2477581|offset_27|444444,2477615:2477634|offset_80|444444,2477644:2477663|offset_109|00cc00&amp;v=2477341:2477863&amp;c=444444", "offset 109")</f>
        <v>offset 109</v>
      </c>
    </row>
    <row r="7814" customFormat="false" ht="12.8" hidden="false" customHeight="false" outlineLevel="0" collapsed="false">
      <c r="A7814" s="0" t="s">
        <v>12</v>
      </c>
      <c r="B7814" s="0" t="n">
        <v>2478987</v>
      </c>
      <c r="C7814" s="0" t="n">
        <v>2479007</v>
      </c>
      <c r="D7814" s="0" t="s">
        <v>26010</v>
      </c>
      <c r="E7814" s="0" t="s">
        <v>75</v>
      </c>
      <c r="F7814" s="0" t="s">
        <v>15</v>
      </c>
      <c r="G7814" s="0" t="s">
        <v>16</v>
      </c>
      <c r="H7814" s="0" t="n">
        <v>22</v>
      </c>
      <c r="I7814" s="0" t="s">
        <v>26011</v>
      </c>
      <c r="J7814" s="0" t="s">
        <v>26012</v>
      </c>
      <c r="K7814" s="0" t="s">
        <v>26013</v>
      </c>
      <c r="L7814" s="0" t="str">
        <f aca="false">HYPERLINK("https://www.ncbi.nlm.nih.gov/nuccore/CP000058.1?report=graph&amp;tracks=[key:gene_model_track,Options:GeneOnly]&amp;mk=2478988:2479007|offset_22|00cc00,2479018:2479037|offset_52|444444,2479039:2479058|offset_73|444444,2479084:2479103|offset_118|444444&amp;v=2478787:2479303&amp;c=444444", "offset 22")</f>
        <v>offset 22</v>
      </c>
    </row>
    <row r="7815" customFormat="false" ht="12.8" hidden="false" customHeight="false" outlineLevel="0" collapsed="false">
      <c r="A7815" s="0" t="s">
        <v>12</v>
      </c>
      <c r="B7815" s="0" t="n">
        <v>2479017</v>
      </c>
      <c r="C7815" s="0" t="n">
        <v>2479037</v>
      </c>
      <c r="D7815" s="0" t="s">
        <v>26010</v>
      </c>
      <c r="E7815" s="0" t="s">
        <v>75</v>
      </c>
      <c r="F7815" s="0" t="s">
        <v>15</v>
      </c>
      <c r="G7815" s="0" t="s">
        <v>32</v>
      </c>
      <c r="H7815" s="0" t="n">
        <v>52</v>
      </c>
      <c r="I7815" s="0" t="s">
        <v>26014</v>
      </c>
      <c r="J7815" s="0" t="s">
        <v>26015</v>
      </c>
      <c r="K7815" s="0" t="s">
        <v>26016</v>
      </c>
      <c r="L7815" s="0" t="str">
        <f aca="false">HYPERLINK("https://www.ncbi.nlm.nih.gov/nuccore/CP000058.1?report=graph&amp;tracks=[key:gene_model_track,Options:GeneOnly]&amp;mk=2478988:2479007|offset_22|444444,2479018:2479037|offset_52|00cc00,2479039:2479058|offset_73|444444,2479084:2479103|offset_118|444444&amp;v=2478787:2479303&amp;c=444444", "offset 52")</f>
        <v>offset 52</v>
      </c>
    </row>
    <row r="7816" customFormat="false" ht="12.8" hidden="false" customHeight="false" outlineLevel="0" collapsed="false">
      <c r="A7816" s="0" t="s">
        <v>12</v>
      </c>
      <c r="B7816" s="0" t="n">
        <v>2479038</v>
      </c>
      <c r="C7816" s="0" t="n">
        <v>2479058</v>
      </c>
      <c r="D7816" s="0" t="s">
        <v>26010</v>
      </c>
      <c r="E7816" s="0" t="s">
        <v>75</v>
      </c>
      <c r="F7816" s="0" t="s">
        <v>15</v>
      </c>
      <c r="G7816" s="0" t="s">
        <v>32</v>
      </c>
      <c r="H7816" s="0" t="n">
        <v>73</v>
      </c>
      <c r="I7816" s="0" t="s">
        <v>26017</v>
      </c>
      <c r="J7816" s="0" t="s">
        <v>26018</v>
      </c>
      <c r="K7816" s="0" t="s">
        <v>26019</v>
      </c>
      <c r="L7816" s="0" t="str">
        <f aca="false">HYPERLINK("https://www.ncbi.nlm.nih.gov/nuccore/CP000058.1?report=graph&amp;tracks=[key:gene_model_track,Options:GeneOnly]&amp;mk=2478988:2479007|offset_22|444444,2479018:2479037|offset_52|444444,2479039:2479058|offset_73|00cc00,2479084:2479103|offset_118|444444&amp;v=2478787:2479303&amp;c=444444", "offset 73")</f>
        <v>offset 73</v>
      </c>
    </row>
    <row r="7817" customFormat="false" ht="12.8" hidden="false" customHeight="false" outlineLevel="0" collapsed="false">
      <c r="A7817" s="0" t="s">
        <v>12</v>
      </c>
      <c r="B7817" s="0" t="n">
        <v>2479083</v>
      </c>
      <c r="C7817" s="0" t="n">
        <v>2479103</v>
      </c>
      <c r="D7817" s="0" t="s">
        <v>26010</v>
      </c>
      <c r="E7817" s="0" t="s">
        <v>75</v>
      </c>
      <c r="F7817" s="0" t="s">
        <v>15</v>
      </c>
      <c r="G7817" s="0" t="s">
        <v>16</v>
      </c>
      <c r="H7817" s="0" t="n">
        <v>118</v>
      </c>
      <c r="I7817" s="0" t="s">
        <v>26020</v>
      </c>
      <c r="J7817" s="0" t="s">
        <v>26021</v>
      </c>
      <c r="K7817" s="0" t="s">
        <v>26022</v>
      </c>
      <c r="L7817" s="0" t="str">
        <f aca="false">HYPERLINK("https://www.ncbi.nlm.nih.gov/nuccore/CP000058.1?report=graph&amp;tracks=[key:gene_model_track,Options:GeneOnly]&amp;mk=2478988:2479007|offset_22|444444,2479018:2479037|offset_52|444444,2479039:2479058|offset_73|444444,2479084:2479103|offset_118|00cc00&amp;v=2478787:2479303&amp;c=444444", "offset 118")</f>
        <v>offset 118</v>
      </c>
    </row>
    <row r="7818" customFormat="false" ht="12.8" hidden="false" customHeight="false" outlineLevel="0" collapsed="false">
      <c r="A7818" s="0" t="s">
        <v>12</v>
      </c>
      <c r="B7818" s="0" t="n">
        <v>2479232</v>
      </c>
      <c r="C7818" s="0" t="n">
        <v>2479252</v>
      </c>
      <c r="D7818" s="0" t="s">
        <v>26023</v>
      </c>
      <c r="E7818" s="0" t="s">
        <v>26024</v>
      </c>
      <c r="F7818" s="0" t="s">
        <v>15</v>
      </c>
      <c r="G7818" s="0" t="s">
        <v>32</v>
      </c>
      <c r="H7818" s="0" t="n">
        <v>13</v>
      </c>
      <c r="I7818" s="0" t="s">
        <v>26025</v>
      </c>
      <c r="J7818" s="0" t="s">
        <v>26026</v>
      </c>
      <c r="K7818" s="0" t="s">
        <v>26027</v>
      </c>
      <c r="L7818" s="0" t="str">
        <f aca="false">HYPERLINK("https://www.ncbi.nlm.nih.gov/nuccore/CP000058.1?report=graph&amp;tracks=[key:gene_model_track,Options:GeneOnly]&amp;mk=2479233:2479252|offset_13|00cc00,2479258:2479277|offset_38|444444,2479278:2479297|offset_58|444444,2479341:2479360|offset_121|444444&amp;v=2479032:2479560&amp;c=444444", "offset 13")</f>
        <v>offset 13</v>
      </c>
    </row>
    <row r="7819" customFormat="false" ht="12.8" hidden="false" customHeight="false" outlineLevel="0" collapsed="false">
      <c r="A7819" s="0" t="s">
        <v>12</v>
      </c>
      <c r="B7819" s="0" t="n">
        <v>2479257</v>
      </c>
      <c r="C7819" s="0" t="n">
        <v>2479277</v>
      </c>
      <c r="D7819" s="0" t="s">
        <v>26023</v>
      </c>
      <c r="E7819" s="0" t="s">
        <v>26024</v>
      </c>
      <c r="F7819" s="0" t="s">
        <v>15</v>
      </c>
      <c r="G7819" s="0" t="s">
        <v>20</v>
      </c>
      <c r="H7819" s="0" t="n">
        <v>38</v>
      </c>
      <c r="I7819" s="0" t="s">
        <v>26028</v>
      </c>
      <c r="J7819" s="0" t="s">
        <v>26029</v>
      </c>
      <c r="K7819" s="0" t="s">
        <v>26030</v>
      </c>
      <c r="L7819" s="0" t="str">
        <f aca="false">HYPERLINK("https://www.ncbi.nlm.nih.gov/nuccore/CP000058.1?report=graph&amp;tracks=[key:gene_model_track,Options:GeneOnly]&amp;mk=2479233:2479252|offset_13|444444,2479258:2479277|offset_38|00cc00,2479278:2479297|offset_58|444444,2479341:2479360|offset_121|444444&amp;v=2479032:2479560&amp;c=444444", "offset 38")</f>
        <v>offset 38</v>
      </c>
    </row>
    <row r="7820" customFormat="false" ht="12.8" hidden="false" customHeight="false" outlineLevel="0" collapsed="false">
      <c r="A7820" s="0" t="s">
        <v>12</v>
      </c>
      <c r="B7820" s="0" t="n">
        <v>2479277</v>
      </c>
      <c r="C7820" s="0" t="n">
        <v>2479297</v>
      </c>
      <c r="D7820" s="0" t="s">
        <v>26023</v>
      </c>
      <c r="E7820" s="0" t="s">
        <v>26024</v>
      </c>
      <c r="F7820" s="0" t="s">
        <v>15</v>
      </c>
      <c r="G7820" s="0" t="s">
        <v>16</v>
      </c>
      <c r="H7820" s="0" t="n">
        <v>58</v>
      </c>
      <c r="I7820" s="0" t="s">
        <v>26031</v>
      </c>
      <c r="J7820" s="0" t="s">
        <v>26032</v>
      </c>
      <c r="K7820" s="0" t="s">
        <v>26033</v>
      </c>
      <c r="L7820" s="0" t="str">
        <f aca="false">HYPERLINK("https://www.ncbi.nlm.nih.gov/nuccore/CP000058.1?report=graph&amp;tracks=[key:gene_model_track,Options:GeneOnly]&amp;mk=2479233:2479252|offset_13|444444,2479258:2479277|offset_38|444444,2479278:2479297|offset_58|00cc00,2479341:2479360|offset_121|444444&amp;v=2479032:2479560&amp;c=444444", "offset 58")</f>
        <v>offset 58</v>
      </c>
    </row>
    <row r="7821" customFormat="false" ht="12.8" hidden="false" customHeight="false" outlineLevel="0" collapsed="false">
      <c r="A7821" s="0" t="s">
        <v>12</v>
      </c>
      <c r="B7821" s="0" t="n">
        <v>2479340</v>
      </c>
      <c r="C7821" s="0" t="n">
        <v>2479360</v>
      </c>
      <c r="D7821" s="0" t="s">
        <v>26023</v>
      </c>
      <c r="E7821" s="0" t="s">
        <v>26024</v>
      </c>
      <c r="F7821" s="0" t="s">
        <v>15</v>
      </c>
      <c r="G7821" s="0" t="s">
        <v>16</v>
      </c>
      <c r="H7821" s="0" t="n">
        <v>121</v>
      </c>
      <c r="I7821" s="0" t="s">
        <v>26034</v>
      </c>
      <c r="J7821" s="0" t="s">
        <v>26035</v>
      </c>
      <c r="K7821" s="0" t="s">
        <v>26036</v>
      </c>
      <c r="L7821" s="0" t="str">
        <f aca="false">HYPERLINK("https://www.ncbi.nlm.nih.gov/nuccore/CP000058.1?report=graph&amp;tracks=[key:gene_model_track,Options:GeneOnly]&amp;mk=2479233:2479252|offset_13|444444,2479258:2479277|offset_38|444444,2479278:2479297|offset_58|444444,2479341:2479360|offset_121|00cc00&amp;v=2479032:2479560&amp;c=444444", "offset 121")</f>
        <v>offset 121</v>
      </c>
    </row>
    <row r="7822" customFormat="false" ht="12.8" hidden="false" customHeight="false" outlineLevel="0" collapsed="false">
      <c r="A7822" s="0" t="s">
        <v>12</v>
      </c>
      <c r="B7822" s="0" t="n">
        <v>2480326</v>
      </c>
      <c r="C7822" s="0" t="n">
        <v>2480346</v>
      </c>
      <c r="D7822" s="0" t="s">
        <v>26037</v>
      </c>
      <c r="E7822" s="0" t="s">
        <v>75</v>
      </c>
      <c r="F7822" s="0" t="s">
        <v>90</v>
      </c>
      <c r="G7822" s="0" t="s">
        <v>16</v>
      </c>
      <c r="H7822" s="0" t="n">
        <v>6</v>
      </c>
      <c r="I7822" s="0" t="s">
        <v>26038</v>
      </c>
      <c r="J7822" s="0" t="s">
        <v>26039</v>
      </c>
      <c r="K7822" s="0" t="s">
        <v>26040</v>
      </c>
      <c r="L7822" s="0" t="str">
        <f aca="false">HYPERLINK("https://www.ncbi.nlm.nih.gov/nuccore/CP000058.1?report=graph&amp;tracks=[key:gene_model_track,Options:GeneOnly]&amp;mk=2480327:2480346|offset_6|00cc00,2480255:2480274|offset_78|444444,2480233:2480252|offset_100|444444,2480185:2480204|offset_148|444444&amp;v=2480126:2480404&amp;c=444444", "offset 6")</f>
        <v>offset 6</v>
      </c>
    </row>
    <row r="7823" customFormat="false" ht="12.8" hidden="false" customHeight="false" outlineLevel="0" collapsed="false">
      <c r="A7823" s="0" t="s">
        <v>12</v>
      </c>
      <c r="B7823" s="0" t="n">
        <v>2480254</v>
      </c>
      <c r="C7823" s="0" t="n">
        <v>2480274</v>
      </c>
      <c r="D7823" s="0" t="s">
        <v>26037</v>
      </c>
      <c r="E7823" s="0" t="s">
        <v>75</v>
      </c>
      <c r="F7823" s="0" t="s">
        <v>90</v>
      </c>
      <c r="G7823" s="0" t="s">
        <v>20</v>
      </c>
      <c r="H7823" s="0" t="n">
        <v>78</v>
      </c>
      <c r="I7823" s="0" t="s">
        <v>26041</v>
      </c>
      <c r="J7823" s="0" t="s">
        <v>26042</v>
      </c>
      <c r="K7823" s="0" t="s">
        <v>26043</v>
      </c>
      <c r="L7823" s="0" t="str">
        <f aca="false">HYPERLINK("https://www.ncbi.nlm.nih.gov/nuccore/CP000058.1?report=graph&amp;tracks=[key:gene_model_track,Options:GeneOnly]&amp;mk=2480327:2480346|offset_6|444444,2480255:2480274|offset_78|00cc00,2480233:2480252|offset_100|444444,2480185:2480204|offset_148|444444&amp;v=2480126:2480404&amp;c=444444", "offset 78")</f>
        <v>offset 78</v>
      </c>
    </row>
    <row r="7824" customFormat="false" ht="12.8" hidden="false" customHeight="false" outlineLevel="0" collapsed="false">
      <c r="A7824" s="0" t="s">
        <v>12</v>
      </c>
      <c r="B7824" s="0" t="n">
        <v>2480232</v>
      </c>
      <c r="C7824" s="0" t="n">
        <v>2480252</v>
      </c>
      <c r="D7824" s="0" t="s">
        <v>26037</v>
      </c>
      <c r="E7824" s="0" t="s">
        <v>75</v>
      </c>
      <c r="F7824" s="0" t="s">
        <v>90</v>
      </c>
      <c r="G7824" s="0" t="s">
        <v>32</v>
      </c>
      <c r="H7824" s="0" t="n">
        <v>100</v>
      </c>
      <c r="I7824" s="0" t="s">
        <v>26044</v>
      </c>
      <c r="J7824" s="0" t="s">
        <v>26045</v>
      </c>
      <c r="K7824" s="0" t="s">
        <v>26046</v>
      </c>
      <c r="L7824" s="0" t="str">
        <f aca="false">HYPERLINK("https://www.ncbi.nlm.nih.gov/nuccore/CP000058.1?report=graph&amp;tracks=[key:gene_model_track,Options:GeneOnly]&amp;mk=2480327:2480346|offset_6|444444,2480255:2480274|offset_78|444444,2480233:2480252|offset_100|00cc00,2480185:2480204|offset_148|444444&amp;v=2480126:2480404&amp;c=444444", "offset 100")</f>
        <v>offset 100</v>
      </c>
    </row>
    <row r="7825" customFormat="false" ht="12.8" hidden="false" customHeight="false" outlineLevel="0" collapsed="false">
      <c r="A7825" s="0" t="s">
        <v>12</v>
      </c>
      <c r="B7825" s="0" t="n">
        <v>2480184</v>
      </c>
      <c r="C7825" s="0" t="n">
        <v>2480204</v>
      </c>
      <c r="D7825" s="0" t="s">
        <v>26037</v>
      </c>
      <c r="E7825" s="0" t="s">
        <v>75</v>
      </c>
      <c r="F7825" s="0" t="s">
        <v>90</v>
      </c>
      <c r="G7825" s="0" t="s">
        <v>16</v>
      </c>
      <c r="H7825" s="0" t="n">
        <v>148</v>
      </c>
      <c r="I7825" s="0" t="s">
        <v>26047</v>
      </c>
      <c r="J7825" s="0" t="s">
        <v>26048</v>
      </c>
      <c r="K7825" s="0" t="s">
        <v>26049</v>
      </c>
      <c r="L7825" s="0" t="str">
        <f aca="false">HYPERLINK("https://www.ncbi.nlm.nih.gov/nuccore/CP000058.1?report=graph&amp;tracks=[key:gene_model_track,Options:GeneOnly]&amp;mk=2480327:2480346|offset_6|444444,2480255:2480274|offset_78|444444,2480233:2480252|offset_100|444444,2480185:2480204|offset_148|00cc00&amp;v=2480126:2480404&amp;c=444444", "offset 148")</f>
        <v>offset 148</v>
      </c>
    </row>
    <row r="7826" customFormat="false" ht="12.8" hidden="false" customHeight="false" outlineLevel="0" collapsed="false">
      <c r="A7826" s="0" t="s">
        <v>12</v>
      </c>
      <c r="B7826" s="0" t="n">
        <v>2481207</v>
      </c>
      <c r="C7826" s="0" t="n">
        <v>2481227</v>
      </c>
      <c r="D7826" s="0" t="s">
        <v>26050</v>
      </c>
      <c r="E7826" s="0" t="s">
        <v>26051</v>
      </c>
      <c r="F7826" s="0" t="s">
        <v>90</v>
      </c>
      <c r="G7826" s="0" t="s">
        <v>32</v>
      </c>
      <c r="H7826" s="0" t="n">
        <v>34</v>
      </c>
      <c r="I7826" s="0" t="s">
        <v>26052</v>
      </c>
      <c r="J7826" s="0" t="s">
        <v>26053</v>
      </c>
      <c r="K7826" s="0" t="s">
        <v>26054</v>
      </c>
      <c r="L7826" s="0" t="str">
        <f aca="false">HYPERLINK("https://www.ncbi.nlm.nih.gov/nuccore/CP000058.1?report=graph&amp;tracks=[key:gene_model_track,Options:GeneOnly]&amp;mk=2481208:2481227|offset_34|00cc00,2481172:2481191|offset_70|444444,2481145:2481164|offset_97|444444,2481116:2481135|offset_126|444444&amp;v=2481007:2481335&amp;c=444444", "offset 34")</f>
        <v>offset 34</v>
      </c>
    </row>
    <row r="7827" customFormat="false" ht="12.8" hidden="false" customHeight="false" outlineLevel="0" collapsed="false">
      <c r="A7827" s="0" t="s">
        <v>12</v>
      </c>
      <c r="B7827" s="0" t="n">
        <v>2481171</v>
      </c>
      <c r="C7827" s="0" t="n">
        <v>2481191</v>
      </c>
      <c r="D7827" s="0" t="s">
        <v>26050</v>
      </c>
      <c r="E7827" s="0" t="s">
        <v>26051</v>
      </c>
      <c r="F7827" s="0" t="s">
        <v>90</v>
      </c>
      <c r="G7827" s="0" t="s">
        <v>36</v>
      </c>
      <c r="H7827" s="0" t="n">
        <v>70</v>
      </c>
      <c r="I7827" s="0" t="s">
        <v>26055</v>
      </c>
      <c r="J7827" s="0" t="s">
        <v>26056</v>
      </c>
      <c r="K7827" s="0" t="s">
        <v>26057</v>
      </c>
      <c r="L7827" s="0" t="str">
        <f aca="false">HYPERLINK("https://www.ncbi.nlm.nih.gov/nuccore/CP000058.1?report=graph&amp;tracks=[key:gene_model_track,Options:GeneOnly]&amp;mk=2481208:2481227|offset_34|444444,2481172:2481191|offset_70|00cc00,2481145:2481164|offset_97|444444,2481116:2481135|offset_126|444444&amp;v=2481007:2481335&amp;c=444444", "offset 70")</f>
        <v>offset 70</v>
      </c>
    </row>
    <row r="7828" customFormat="false" ht="12.8" hidden="false" customHeight="false" outlineLevel="0" collapsed="false">
      <c r="A7828" s="0" t="s">
        <v>12</v>
      </c>
      <c r="B7828" s="0" t="n">
        <v>2481144</v>
      </c>
      <c r="C7828" s="0" t="n">
        <v>2481164</v>
      </c>
      <c r="D7828" s="0" t="s">
        <v>26050</v>
      </c>
      <c r="E7828" s="0" t="s">
        <v>26051</v>
      </c>
      <c r="F7828" s="0" t="s">
        <v>90</v>
      </c>
      <c r="G7828" s="0" t="s">
        <v>32</v>
      </c>
      <c r="H7828" s="0" t="n">
        <v>97</v>
      </c>
      <c r="I7828" s="0" t="s">
        <v>26058</v>
      </c>
      <c r="J7828" s="0" t="s">
        <v>26059</v>
      </c>
      <c r="K7828" s="0" t="s">
        <v>26060</v>
      </c>
      <c r="L7828" s="0" t="str">
        <f aca="false">HYPERLINK("https://www.ncbi.nlm.nih.gov/nuccore/CP000058.1?report=graph&amp;tracks=[key:gene_model_track,Options:GeneOnly]&amp;mk=2481208:2481227|offset_34|444444,2481172:2481191|offset_70|444444,2481145:2481164|offset_97|00cc00,2481116:2481135|offset_126|444444&amp;v=2481007:2481335&amp;c=444444", "offset 97")</f>
        <v>offset 97</v>
      </c>
    </row>
    <row r="7829" customFormat="false" ht="12.8" hidden="false" customHeight="false" outlineLevel="0" collapsed="false">
      <c r="A7829" s="0" t="s">
        <v>12</v>
      </c>
      <c r="B7829" s="0" t="n">
        <v>2481115</v>
      </c>
      <c r="C7829" s="0" t="n">
        <v>2481135</v>
      </c>
      <c r="D7829" s="0" t="s">
        <v>26050</v>
      </c>
      <c r="E7829" s="0" t="s">
        <v>26051</v>
      </c>
      <c r="F7829" s="0" t="s">
        <v>90</v>
      </c>
      <c r="G7829" s="0" t="s">
        <v>32</v>
      </c>
      <c r="H7829" s="0" t="n">
        <v>126</v>
      </c>
      <c r="I7829" s="0" t="s">
        <v>26061</v>
      </c>
      <c r="J7829" s="0" t="s">
        <v>26062</v>
      </c>
      <c r="K7829" s="0" t="s">
        <v>26063</v>
      </c>
      <c r="L7829" s="0" t="str">
        <f aca="false">HYPERLINK("https://www.ncbi.nlm.nih.gov/nuccore/CP000058.1?report=graph&amp;tracks=[key:gene_model_track,Options:GeneOnly]&amp;mk=2481208:2481227|offset_34|444444,2481172:2481191|offset_70|444444,2481145:2481164|offset_97|444444,2481116:2481135|offset_126|00cc00&amp;v=2481007:2481335&amp;c=444444", "offset 126")</f>
        <v>offset 126</v>
      </c>
    </row>
    <row r="7830" customFormat="false" ht="12.8" hidden="false" customHeight="false" outlineLevel="0" collapsed="false">
      <c r="A7830" s="0" t="s">
        <v>12</v>
      </c>
      <c r="B7830" s="0" t="n">
        <v>2481524</v>
      </c>
      <c r="C7830" s="0" t="n">
        <v>2481544</v>
      </c>
      <c r="D7830" s="0" t="s">
        <v>26064</v>
      </c>
      <c r="E7830" s="0" t="s">
        <v>75</v>
      </c>
      <c r="F7830" s="0" t="s">
        <v>90</v>
      </c>
      <c r="G7830" s="0" t="s">
        <v>36</v>
      </c>
      <c r="H7830" s="0" t="n">
        <v>6</v>
      </c>
      <c r="I7830" s="0" t="s">
        <v>26065</v>
      </c>
      <c r="J7830" s="0" t="s">
        <v>26066</v>
      </c>
      <c r="K7830" s="0" t="s">
        <v>26067</v>
      </c>
      <c r="L7830" s="0" t="str">
        <f aca="false">HYPERLINK("https://www.ncbi.nlm.nih.gov/nuccore/CP000058.1?report=graph&amp;tracks=[key:gene_model_track,Options:GeneOnly]&amp;mk=2481525:2481544|offset_6|00cc00,2481503:2481522|offset_28|444444,2481482:2481501|offset_49|444444,2481462:2481481|offset_69|444444&amp;v=2481324:2481681&amp;c=444444", "offset 6")</f>
        <v>offset 6</v>
      </c>
    </row>
    <row r="7831" customFormat="false" ht="12.8" hidden="false" customHeight="false" outlineLevel="0" collapsed="false">
      <c r="A7831" s="0" t="s">
        <v>12</v>
      </c>
      <c r="B7831" s="0" t="n">
        <v>2481502</v>
      </c>
      <c r="C7831" s="0" t="n">
        <v>2481522</v>
      </c>
      <c r="D7831" s="0" t="s">
        <v>26064</v>
      </c>
      <c r="E7831" s="0" t="s">
        <v>75</v>
      </c>
      <c r="F7831" s="0" t="s">
        <v>90</v>
      </c>
      <c r="G7831" s="0" t="s">
        <v>36</v>
      </c>
      <c r="H7831" s="0" t="n">
        <v>28</v>
      </c>
      <c r="I7831" s="0" t="s">
        <v>26068</v>
      </c>
      <c r="J7831" s="0" t="s">
        <v>26069</v>
      </c>
      <c r="K7831" s="0" t="s">
        <v>26070</v>
      </c>
      <c r="L7831" s="0" t="str">
        <f aca="false">HYPERLINK("https://www.ncbi.nlm.nih.gov/nuccore/CP000058.1?report=graph&amp;tracks=[key:gene_model_track,Options:GeneOnly]&amp;mk=2481525:2481544|offset_6|444444,2481503:2481522|offset_28|00cc00,2481482:2481501|offset_49|444444,2481462:2481481|offset_69|444444&amp;v=2481324:2481681&amp;c=444444", "offset 28")</f>
        <v>offset 28</v>
      </c>
    </row>
    <row r="7832" customFormat="false" ht="12.8" hidden="false" customHeight="false" outlineLevel="0" collapsed="false">
      <c r="A7832" s="0" t="s">
        <v>12</v>
      </c>
      <c r="B7832" s="0" t="n">
        <v>2481481</v>
      </c>
      <c r="C7832" s="0" t="n">
        <v>2481501</v>
      </c>
      <c r="D7832" s="0" t="s">
        <v>26064</v>
      </c>
      <c r="E7832" s="0" t="s">
        <v>75</v>
      </c>
      <c r="F7832" s="0" t="s">
        <v>90</v>
      </c>
      <c r="G7832" s="0" t="s">
        <v>16</v>
      </c>
      <c r="H7832" s="0" t="n">
        <v>49</v>
      </c>
      <c r="I7832" s="0" t="s">
        <v>26071</v>
      </c>
      <c r="J7832" s="0" t="s">
        <v>26072</v>
      </c>
      <c r="K7832" s="0" t="s">
        <v>26073</v>
      </c>
      <c r="L7832" s="0" t="str">
        <f aca="false">HYPERLINK("https://www.ncbi.nlm.nih.gov/nuccore/CP000058.1?report=graph&amp;tracks=[key:gene_model_track,Options:GeneOnly]&amp;mk=2481525:2481544|offset_6|444444,2481503:2481522|offset_28|444444,2481482:2481501|offset_49|00cc00,2481462:2481481|offset_69|444444&amp;v=2481324:2481681&amp;c=444444", "offset 49")</f>
        <v>offset 49</v>
      </c>
    </row>
    <row r="7833" customFormat="false" ht="12.8" hidden="false" customHeight="false" outlineLevel="0" collapsed="false">
      <c r="A7833" s="0" t="s">
        <v>12</v>
      </c>
      <c r="B7833" s="0" t="n">
        <v>2481461</v>
      </c>
      <c r="C7833" s="0" t="n">
        <v>2481481</v>
      </c>
      <c r="D7833" s="0" t="s">
        <v>26064</v>
      </c>
      <c r="E7833" s="0" t="s">
        <v>75</v>
      </c>
      <c r="F7833" s="0" t="s">
        <v>90</v>
      </c>
      <c r="G7833" s="0" t="s">
        <v>36</v>
      </c>
      <c r="H7833" s="0" t="n">
        <v>69</v>
      </c>
      <c r="I7833" s="0" t="s">
        <v>26074</v>
      </c>
      <c r="J7833" s="0" t="s">
        <v>26075</v>
      </c>
      <c r="K7833" s="0" t="s">
        <v>26076</v>
      </c>
      <c r="L7833" s="0" t="str">
        <f aca="false">HYPERLINK("https://www.ncbi.nlm.nih.gov/nuccore/CP000058.1?report=graph&amp;tracks=[key:gene_model_track,Options:GeneOnly]&amp;mk=2481525:2481544|offset_6|444444,2481503:2481522|offset_28|444444,2481482:2481501|offset_49|444444,2481462:2481481|offset_69|00cc00&amp;v=2481324:2481681&amp;c=444444", "offset 69")</f>
        <v>offset 69</v>
      </c>
    </row>
    <row r="7834" customFormat="false" ht="12.8" hidden="false" customHeight="false" outlineLevel="0" collapsed="false">
      <c r="A7834" s="0" t="s">
        <v>12</v>
      </c>
      <c r="B7834" s="0" t="n">
        <v>2481632</v>
      </c>
      <c r="C7834" s="0" t="n">
        <v>2481652</v>
      </c>
      <c r="D7834" s="0" t="s">
        <v>26077</v>
      </c>
      <c r="E7834" s="0" t="s">
        <v>75</v>
      </c>
      <c r="F7834" s="0" t="s">
        <v>15</v>
      </c>
      <c r="G7834" s="0" t="s">
        <v>32</v>
      </c>
      <c r="H7834" s="0" t="n">
        <v>27</v>
      </c>
      <c r="I7834" s="0" t="s">
        <v>26078</v>
      </c>
      <c r="J7834" s="0" t="s">
        <v>26079</v>
      </c>
      <c r="K7834" s="0" t="s">
        <v>26080</v>
      </c>
      <c r="L7834" s="0" t="str">
        <f aca="false">HYPERLINK("https://www.ncbi.nlm.nih.gov/nuccore/CP000058.1?report=graph&amp;tracks=[key:gene_model_track,Options:GeneOnly]&amp;mk=2481633:2481652|offset_27|00cc00,2481678:2481697|offset_72|444444,2481723:2481742|offset_117|444444,2481763:2481782|offset_157|444444&amp;v=2481432:2481982&amp;c=444444", "offset 27")</f>
        <v>offset 27</v>
      </c>
    </row>
    <row r="7835" customFormat="false" ht="12.8" hidden="false" customHeight="false" outlineLevel="0" collapsed="false">
      <c r="A7835" s="0" t="s">
        <v>12</v>
      </c>
      <c r="B7835" s="0" t="n">
        <v>2481677</v>
      </c>
      <c r="C7835" s="0" t="n">
        <v>2481697</v>
      </c>
      <c r="D7835" s="0" t="s">
        <v>26077</v>
      </c>
      <c r="E7835" s="0" t="s">
        <v>75</v>
      </c>
      <c r="F7835" s="0" t="s">
        <v>15</v>
      </c>
      <c r="G7835" s="0" t="s">
        <v>16</v>
      </c>
      <c r="H7835" s="0" t="n">
        <v>72</v>
      </c>
      <c r="I7835" s="0" t="s">
        <v>26081</v>
      </c>
      <c r="J7835" s="0" t="s">
        <v>26082</v>
      </c>
      <c r="K7835" s="0" t="s">
        <v>26083</v>
      </c>
      <c r="L7835" s="0" t="str">
        <f aca="false">HYPERLINK("https://www.ncbi.nlm.nih.gov/nuccore/CP000058.1?report=graph&amp;tracks=[key:gene_model_track,Options:GeneOnly]&amp;mk=2481633:2481652|offset_27|444444,2481678:2481697|offset_72|00cc00,2481723:2481742|offset_117|444444,2481763:2481782|offset_157|444444&amp;v=2481432:2481982&amp;c=444444", "offset 72")</f>
        <v>offset 72</v>
      </c>
    </row>
    <row r="7836" customFormat="false" ht="12.8" hidden="false" customHeight="false" outlineLevel="0" collapsed="false">
      <c r="A7836" s="0" t="s">
        <v>12</v>
      </c>
      <c r="B7836" s="0" t="n">
        <v>2481722</v>
      </c>
      <c r="C7836" s="0" t="n">
        <v>2481742</v>
      </c>
      <c r="D7836" s="0" t="s">
        <v>26077</v>
      </c>
      <c r="E7836" s="0" t="s">
        <v>75</v>
      </c>
      <c r="F7836" s="0" t="s">
        <v>15</v>
      </c>
      <c r="G7836" s="0" t="s">
        <v>20</v>
      </c>
      <c r="H7836" s="0" t="n">
        <v>117</v>
      </c>
      <c r="I7836" s="0" t="s">
        <v>26084</v>
      </c>
      <c r="J7836" s="0" t="s">
        <v>26085</v>
      </c>
      <c r="K7836" s="0" t="s">
        <v>26086</v>
      </c>
      <c r="L7836" s="0" t="str">
        <f aca="false">HYPERLINK("https://www.ncbi.nlm.nih.gov/nuccore/CP000058.1?report=graph&amp;tracks=[key:gene_model_track,Options:GeneOnly]&amp;mk=2481633:2481652|offset_27|444444,2481678:2481697|offset_72|444444,2481723:2481742|offset_117|00cc00,2481763:2481782|offset_157|444444&amp;v=2481432:2481982&amp;c=444444", "offset 117")</f>
        <v>offset 117</v>
      </c>
    </row>
    <row r="7837" customFormat="false" ht="12.8" hidden="false" customHeight="false" outlineLevel="0" collapsed="false">
      <c r="A7837" s="0" t="s">
        <v>12</v>
      </c>
      <c r="B7837" s="0" t="n">
        <v>2481762</v>
      </c>
      <c r="C7837" s="0" t="n">
        <v>2481782</v>
      </c>
      <c r="D7837" s="0" t="s">
        <v>26077</v>
      </c>
      <c r="E7837" s="0" t="s">
        <v>75</v>
      </c>
      <c r="F7837" s="0" t="s">
        <v>15</v>
      </c>
      <c r="G7837" s="0" t="s">
        <v>32</v>
      </c>
      <c r="H7837" s="0" t="n">
        <v>157</v>
      </c>
      <c r="I7837" s="0" t="s">
        <v>26087</v>
      </c>
      <c r="J7837" s="0" t="s">
        <v>26088</v>
      </c>
      <c r="K7837" s="0" t="s">
        <v>26089</v>
      </c>
      <c r="L7837" s="0" t="str">
        <f aca="false">HYPERLINK("https://www.ncbi.nlm.nih.gov/nuccore/CP000058.1?report=graph&amp;tracks=[key:gene_model_track,Options:GeneOnly]&amp;mk=2481633:2481652|offset_27|444444,2481678:2481697|offset_72|444444,2481723:2481742|offset_117|444444,2481763:2481782|offset_157|00cc00&amp;v=2481432:2481982&amp;c=444444", "offset 157")</f>
        <v>offset 157</v>
      </c>
    </row>
    <row r="7838" customFormat="false" ht="12.8" hidden="false" customHeight="false" outlineLevel="0" collapsed="false">
      <c r="A7838" s="0" t="s">
        <v>12</v>
      </c>
      <c r="B7838" s="0" t="n">
        <v>2482080</v>
      </c>
      <c r="C7838" s="0" t="n">
        <v>2482100</v>
      </c>
      <c r="D7838" s="0" t="s">
        <v>26090</v>
      </c>
      <c r="E7838" s="0" t="s">
        <v>26091</v>
      </c>
      <c r="F7838" s="0" t="s">
        <v>15</v>
      </c>
      <c r="G7838" s="0" t="s">
        <v>32</v>
      </c>
      <c r="H7838" s="0" t="n">
        <v>12</v>
      </c>
      <c r="I7838" s="0" t="s">
        <v>26092</v>
      </c>
      <c r="J7838" s="0" t="s">
        <v>26093</v>
      </c>
      <c r="K7838" s="0" t="s">
        <v>26094</v>
      </c>
      <c r="L7838" s="0" t="str">
        <f aca="false">HYPERLINK("https://www.ncbi.nlm.nih.gov/nuccore/CP000058.1?report=graph&amp;tracks=[key:gene_model_track,Options:GeneOnly]&amp;mk=2482081:2482100|offset_12|00cc00,2482109:2482128|offset_40|444444,2482138:2482157|offset_69|444444,2482165:2482184|offset_96|444444&amp;v=2481880:2482384&amp;c=444444", "offset 12")</f>
        <v>offset 12</v>
      </c>
    </row>
    <row r="7839" customFormat="false" ht="12.8" hidden="false" customHeight="false" outlineLevel="0" collapsed="false">
      <c r="A7839" s="0" t="s">
        <v>12</v>
      </c>
      <c r="B7839" s="0" t="n">
        <v>2482108</v>
      </c>
      <c r="C7839" s="0" t="n">
        <v>2482128</v>
      </c>
      <c r="D7839" s="0" t="s">
        <v>26090</v>
      </c>
      <c r="E7839" s="0" t="s">
        <v>26091</v>
      </c>
      <c r="F7839" s="0" t="s">
        <v>15</v>
      </c>
      <c r="G7839" s="0" t="s">
        <v>32</v>
      </c>
      <c r="H7839" s="0" t="n">
        <v>40</v>
      </c>
      <c r="I7839" s="0" t="s">
        <v>26095</v>
      </c>
      <c r="J7839" s="0" t="s">
        <v>26096</v>
      </c>
      <c r="K7839" s="0" t="s">
        <v>26097</v>
      </c>
      <c r="L7839" s="0" t="str">
        <f aca="false">HYPERLINK("https://www.ncbi.nlm.nih.gov/nuccore/CP000058.1?report=graph&amp;tracks=[key:gene_model_track,Options:GeneOnly]&amp;mk=2482081:2482100|offset_12|444444,2482109:2482128|offset_40|00cc00,2482138:2482157|offset_69|444444,2482165:2482184|offset_96|444444&amp;v=2481880:2482384&amp;c=444444", "offset 40")</f>
        <v>offset 40</v>
      </c>
    </row>
    <row r="7840" customFormat="false" ht="12.8" hidden="false" customHeight="false" outlineLevel="0" collapsed="false">
      <c r="A7840" s="0" t="s">
        <v>12</v>
      </c>
      <c r="B7840" s="0" t="n">
        <v>2482137</v>
      </c>
      <c r="C7840" s="0" t="n">
        <v>2482157</v>
      </c>
      <c r="D7840" s="0" t="s">
        <v>26090</v>
      </c>
      <c r="E7840" s="0" t="s">
        <v>26091</v>
      </c>
      <c r="F7840" s="0" t="s">
        <v>15</v>
      </c>
      <c r="G7840" s="0" t="s">
        <v>36</v>
      </c>
      <c r="H7840" s="0" t="n">
        <v>69</v>
      </c>
      <c r="I7840" s="0" t="s">
        <v>26098</v>
      </c>
      <c r="J7840" s="0" t="s">
        <v>26099</v>
      </c>
      <c r="K7840" s="0" t="s">
        <v>26100</v>
      </c>
      <c r="L7840" s="0" t="str">
        <f aca="false">HYPERLINK("https://www.ncbi.nlm.nih.gov/nuccore/CP000058.1?report=graph&amp;tracks=[key:gene_model_track,Options:GeneOnly]&amp;mk=2482081:2482100|offset_12|444444,2482109:2482128|offset_40|444444,2482138:2482157|offset_69|00cc00,2482165:2482184|offset_96|444444&amp;v=2481880:2482384&amp;c=444444", "offset 69")</f>
        <v>offset 69</v>
      </c>
    </row>
    <row r="7841" customFormat="false" ht="12.8" hidden="false" customHeight="false" outlineLevel="0" collapsed="false">
      <c r="A7841" s="0" t="s">
        <v>12</v>
      </c>
      <c r="B7841" s="0" t="n">
        <v>2482164</v>
      </c>
      <c r="C7841" s="0" t="n">
        <v>2482184</v>
      </c>
      <c r="D7841" s="0" t="s">
        <v>26090</v>
      </c>
      <c r="E7841" s="0" t="s">
        <v>26091</v>
      </c>
      <c r="F7841" s="0" t="s">
        <v>15</v>
      </c>
      <c r="G7841" s="0" t="s">
        <v>20</v>
      </c>
      <c r="H7841" s="0" t="n">
        <v>96</v>
      </c>
      <c r="I7841" s="0" t="s">
        <v>26101</v>
      </c>
      <c r="J7841" s="0" t="s">
        <v>26102</v>
      </c>
      <c r="K7841" s="0" t="s">
        <v>26103</v>
      </c>
      <c r="L7841" s="0" t="str">
        <f aca="false">HYPERLINK("https://www.ncbi.nlm.nih.gov/nuccore/CP000058.1?report=graph&amp;tracks=[key:gene_model_track,Options:GeneOnly]&amp;mk=2482081:2482100|offset_12|444444,2482109:2482128|offset_40|444444,2482138:2482157|offset_69|444444,2482165:2482184|offset_96|00cc00&amp;v=2481880:2482384&amp;c=444444", "offset 96")</f>
        <v>offset 96</v>
      </c>
    </row>
    <row r="7842" customFormat="false" ht="12.8" hidden="false" customHeight="false" outlineLevel="0" collapsed="false">
      <c r="A7842" s="0" t="s">
        <v>12</v>
      </c>
      <c r="B7842" s="0" t="n">
        <v>2483136</v>
      </c>
      <c r="C7842" s="0" t="n">
        <v>2483156</v>
      </c>
      <c r="D7842" s="0" t="s">
        <v>26104</v>
      </c>
      <c r="E7842" s="0" t="s">
        <v>26105</v>
      </c>
      <c r="F7842" s="0" t="s">
        <v>15</v>
      </c>
      <c r="G7842" s="0" t="s">
        <v>20</v>
      </c>
      <c r="H7842" s="0" t="n">
        <v>55</v>
      </c>
      <c r="I7842" s="0" t="s">
        <v>26106</v>
      </c>
      <c r="J7842" s="0" t="s">
        <v>26107</v>
      </c>
      <c r="K7842" s="0" t="s">
        <v>26108</v>
      </c>
      <c r="L7842" s="0" t="str">
        <f aca="false">HYPERLINK("https://www.ncbi.nlm.nih.gov/nuccore/CP000058.1?report=graph&amp;tracks=[key:gene_model_track,Options:GeneOnly]&amp;mk=2483137:2483156|offset_55|00cc00,2483197:2483216|offset_115|444444,2483218:2483237|offset_136|444444,2483252:2483271|offset_170|444444&amp;v=2482936:2483471&amp;c=444444", "offset 55")</f>
        <v>offset 55</v>
      </c>
    </row>
    <row r="7843" customFormat="false" ht="12.8" hidden="false" customHeight="false" outlineLevel="0" collapsed="false">
      <c r="A7843" s="0" t="s">
        <v>12</v>
      </c>
      <c r="B7843" s="0" t="n">
        <v>2483196</v>
      </c>
      <c r="C7843" s="0" t="n">
        <v>2483216</v>
      </c>
      <c r="D7843" s="0" t="s">
        <v>26104</v>
      </c>
      <c r="E7843" s="0" t="s">
        <v>26105</v>
      </c>
      <c r="F7843" s="0" t="s">
        <v>15</v>
      </c>
      <c r="G7843" s="0" t="s">
        <v>36</v>
      </c>
      <c r="H7843" s="0" t="n">
        <v>115</v>
      </c>
      <c r="I7843" s="0" t="s">
        <v>26109</v>
      </c>
      <c r="J7843" s="0" t="s">
        <v>26110</v>
      </c>
      <c r="K7843" s="0" t="s">
        <v>26111</v>
      </c>
      <c r="L7843" s="0" t="str">
        <f aca="false">HYPERLINK("https://www.ncbi.nlm.nih.gov/nuccore/CP000058.1?report=graph&amp;tracks=[key:gene_model_track,Options:GeneOnly]&amp;mk=2483137:2483156|offset_55|444444,2483197:2483216|offset_115|00cc00,2483218:2483237|offset_136|444444,2483252:2483271|offset_170|444444&amp;v=2482936:2483471&amp;c=444444", "offset 115")</f>
        <v>offset 115</v>
      </c>
    </row>
    <row r="7844" customFormat="false" ht="12.8" hidden="false" customHeight="false" outlineLevel="0" collapsed="false">
      <c r="A7844" s="0" t="s">
        <v>12</v>
      </c>
      <c r="B7844" s="0" t="n">
        <v>2483217</v>
      </c>
      <c r="C7844" s="0" t="n">
        <v>2483237</v>
      </c>
      <c r="D7844" s="0" t="s">
        <v>26104</v>
      </c>
      <c r="E7844" s="0" t="s">
        <v>26105</v>
      </c>
      <c r="F7844" s="0" t="s">
        <v>15</v>
      </c>
      <c r="G7844" s="0" t="s">
        <v>16</v>
      </c>
      <c r="H7844" s="0" t="n">
        <v>136</v>
      </c>
      <c r="I7844" s="0" t="s">
        <v>26112</v>
      </c>
      <c r="J7844" s="0" t="s">
        <v>26113</v>
      </c>
      <c r="K7844" s="0" t="s">
        <v>26114</v>
      </c>
      <c r="L7844" s="0" t="str">
        <f aca="false">HYPERLINK("https://www.ncbi.nlm.nih.gov/nuccore/CP000058.1?report=graph&amp;tracks=[key:gene_model_track,Options:GeneOnly]&amp;mk=2483137:2483156|offset_55|444444,2483197:2483216|offset_115|444444,2483218:2483237|offset_136|00cc00,2483252:2483271|offset_170|444444&amp;v=2482936:2483471&amp;c=444444", "offset 136")</f>
        <v>offset 136</v>
      </c>
    </row>
    <row r="7845" customFormat="false" ht="12.8" hidden="false" customHeight="false" outlineLevel="0" collapsed="false">
      <c r="A7845" s="0" t="s">
        <v>12</v>
      </c>
      <c r="B7845" s="0" t="n">
        <v>2483251</v>
      </c>
      <c r="C7845" s="0" t="n">
        <v>2483271</v>
      </c>
      <c r="D7845" s="0" t="s">
        <v>26104</v>
      </c>
      <c r="E7845" s="0" t="s">
        <v>26105</v>
      </c>
      <c r="F7845" s="0" t="s">
        <v>15</v>
      </c>
      <c r="G7845" s="0" t="s">
        <v>20</v>
      </c>
      <c r="H7845" s="0" t="n">
        <v>170</v>
      </c>
      <c r="I7845" s="0" t="s">
        <v>26115</v>
      </c>
      <c r="J7845" s="0" t="s">
        <v>26116</v>
      </c>
      <c r="K7845" s="0" t="s">
        <v>26117</v>
      </c>
      <c r="L7845" s="0" t="str">
        <f aca="false">HYPERLINK("https://www.ncbi.nlm.nih.gov/nuccore/CP000058.1?report=graph&amp;tracks=[key:gene_model_track,Options:GeneOnly]&amp;mk=2483137:2483156|offset_55|444444,2483197:2483216|offset_115|444444,2483218:2483237|offset_136|444444,2483252:2483271|offset_170|00cc00&amp;v=2482936:2483471&amp;c=444444", "offset 170")</f>
        <v>offset 170</v>
      </c>
    </row>
    <row r="7846" customFormat="false" ht="12.8" hidden="false" customHeight="false" outlineLevel="0" collapsed="false">
      <c r="A7846" s="0" t="s">
        <v>12</v>
      </c>
      <c r="B7846" s="0" t="n">
        <v>2484646</v>
      </c>
      <c r="C7846" s="0" t="n">
        <v>2484666</v>
      </c>
      <c r="D7846" s="0" t="s">
        <v>26118</v>
      </c>
      <c r="E7846" s="0" t="s">
        <v>26119</v>
      </c>
      <c r="F7846" s="0" t="s">
        <v>15</v>
      </c>
      <c r="G7846" s="0" t="s">
        <v>20</v>
      </c>
      <c r="H7846" s="0" t="n">
        <v>15</v>
      </c>
      <c r="I7846" s="0" t="s">
        <v>26120</v>
      </c>
      <c r="J7846" s="0" t="s">
        <v>26121</v>
      </c>
      <c r="K7846" s="0" t="s">
        <v>26122</v>
      </c>
      <c r="L7846" s="0" t="str">
        <f aca="false">HYPERLINK("https://www.ncbi.nlm.nih.gov/nuccore/CP000058.1?report=graph&amp;tracks=[key:gene_model_track,Options:GeneOnly]&amp;mk=2484647:2484666|offset_15|00cc00,2484668:2484687|offset_36|444444,2484705:2484724|offset_73|444444,2484753:2484772|offset_121|444444&amp;v=2484446:2484972&amp;c=444444", "offset 15")</f>
        <v>offset 15</v>
      </c>
    </row>
    <row r="7847" customFormat="false" ht="12.8" hidden="false" customHeight="false" outlineLevel="0" collapsed="false">
      <c r="A7847" s="0" t="s">
        <v>12</v>
      </c>
      <c r="B7847" s="0" t="n">
        <v>2484667</v>
      </c>
      <c r="C7847" s="0" t="n">
        <v>2484687</v>
      </c>
      <c r="D7847" s="0" t="s">
        <v>26118</v>
      </c>
      <c r="E7847" s="0" t="s">
        <v>26119</v>
      </c>
      <c r="F7847" s="0" t="s">
        <v>15</v>
      </c>
      <c r="G7847" s="0" t="s">
        <v>16</v>
      </c>
      <c r="H7847" s="0" t="n">
        <v>36</v>
      </c>
      <c r="I7847" s="0" t="s">
        <v>26123</v>
      </c>
      <c r="J7847" s="0" t="s">
        <v>26124</v>
      </c>
      <c r="K7847" s="0" t="s">
        <v>26125</v>
      </c>
      <c r="L7847" s="0" t="str">
        <f aca="false">HYPERLINK("https://www.ncbi.nlm.nih.gov/nuccore/CP000058.1?report=graph&amp;tracks=[key:gene_model_track,Options:GeneOnly]&amp;mk=2484647:2484666|offset_15|444444,2484668:2484687|offset_36|00cc00,2484705:2484724|offset_73|444444,2484753:2484772|offset_121|444444&amp;v=2484446:2484972&amp;c=444444", "offset 36")</f>
        <v>offset 36</v>
      </c>
    </row>
    <row r="7848" customFormat="false" ht="12.8" hidden="false" customHeight="false" outlineLevel="0" collapsed="false">
      <c r="A7848" s="0" t="s">
        <v>12</v>
      </c>
      <c r="B7848" s="0" t="n">
        <v>2484704</v>
      </c>
      <c r="C7848" s="0" t="n">
        <v>2484724</v>
      </c>
      <c r="D7848" s="0" t="s">
        <v>26118</v>
      </c>
      <c r="E7848" s="0" t="s">
        <v>26119</v>
      </c>
      <c r="F7848" s="0" t="s">
        <v>15</v>
      </c>
      <c r="G7848" s="0" t="s">
        <v>20</v>
      </c>
      <c r="H7848" s="0" t="n">
        <v>73</v>
      </c>
      <c r="I7848" s="0" t="s">
        <v>26126</v>
      </c>
      <c r="J7848" s="0" t="s">
        <v>26127</v>
      </c>
      <c r="K7848" s="0" t="s">
        <v>26128</v>
      </c>
      <c r="L7848" s="0" t="str">
        <f aca="false">HYPERLINK("https://www.ncbi.nlm.nih.gov/nuccore/CP000058.1?report=graph&amp;tracks=[key:gene_model_track,Options:GeneOnly]&amp;mk=2484647:2484666|offset_15|444444,2484668:2484687|offset_36|444444,2484705:2484724|offset_73|00cc00,2484753:2484772|offset_121|444444&amp;v=2484446:2484972&amp;c=444444", "offset 73")</f>
        <v>offset 73</v>
      </c>
    </row>
    <row r="7849" customFormat="false" ht="12.8" hidden="false" customHeight="false" outlineLevel="0" collapsed="false">
      <c r="A7849" s="0" t="s">
        <v>12</v>
      </c>
      <c r="B7849" s="0" t="n">
        <v>2484752</v>
      </c>
      <c r="C7849" s="0" t="n">
        <v>2484772</v>
      </c>
      <c r="D7849" s="0" t="s">
        <v>26118</v>
      </c>
      <c r="E7849" s="0" t="s">
        <v>26119</v>
      </c>
      <c r="F7849" s="0" t="s">
        <v>15</v>
      </c>
      <c r="G7849" s="0" t="s">
        <v>36</v>
      </c>
      <c r="H7849" s="0" t="n">
        <v>121</v>
      </c>
      <c r="I7849" s="0" t="s">
        <v>26129</v>
      </c>
      <c r="J7849" s="0" t="s">
        <v>26130</v>
      </c>
      <c r="K7849" s="0" t="s">
        <v>26131</v>
      </c>
      <c r="L7849" s="0" t="str">
        <f aca="false">HYPERLINK("https://www.ncbi.nlm.nih.gov/nuccore/CP000058.1?report=graph&amp;tracks=[key:gene_model_track,Options:GeneOnly]&amp;mk=2484647:2484666|offset_15|444444,2484668:2484687|offset_36|444444,2484705:2484724|offset_73|444444,2484753:2484772|offset_121|00cc00&amp;v=2484446:2484972&amp;c=444444", "offset 121")</f>
        <v>offset 121</v>
      </c>
    </row>
    <row r="7850" customFormat="false" ht="12.8" hidden="false" customHeight="false" outlineLevel="0" collapsed="false">
      <c r="A7850" s="0" t="s">
        <v>12</v>
      </c>
      <c r="B7850" s="0" t="n">
        <v>2485674</v>
      </c>
      <c r="C7850" s="0" t="n">
        <v>2485694</v>
      </c>
      <c r="D7850" s="0" t="s">
        <v>26132</v>
      </c>
      <c r="E7850" s="0" t="s">
        <v>26133</v>
      </c>
      <c r="F7850" s="0" t="s">
        <v>15</v>
      </c>
      <c r="G7850" s="0" t="s">
        <v>32</v>
      </c>
      <c r="H7850" s="0" t="n">
        <v>49</v>
      </c>
      <c r="I7850" s="0" t="s">
        <v>26134</v>
      </c>
      <c r="J7850" s="0" t="s">
        <v>26135</v>
      </c>
      <c r="K7850" s="0" t="s">
        <v>26136</v>
      </c>
      <c r="L7850" s="0" t="str">
        <f aca="false">HYPERLINK("https://www.ncbi.nlm.nih.gov/nuccore/CP000058.1?report=graph&amp;tracks=[key:gene_model_track,Options:GeneOnly]&amp;mk=2485675:2485694|offset_49|00cc00,2485702:2485721|offset_76|444444,2485744:2485763|offset_118|444444,2485767:2485786|offset_141|444444&amp;v=2485474:2485986&amp;c=444444", "offset 49")</f>
        <v>offset 49</v>
      </c>
    </row>
    <row r="7851" customFormat="false" ht="12.8" hidden="false" customHeight="false" outlineLevel="0" collapsed="false">
      <c r="A7851" s="0" t="s">
        <v>12</v>
      </c>
      <c r="B7851" s="0" t="n">
        <v>2485701</v>
      </c>
      <c r="C7851" s="0" t="n">
        <v>2485721</v>
      </c>
      <c r="D7851" s="0" t="s">
        <v>26132</v>
      </c>
      <c r="E7851" s="0" t="s">
        <v>26133</v>
      </c>
      <c r="F7851" s="0" t="s">
        <v>15</v>
      </c>
      <c r="G7851" s="0" t="s">
        <v>36</v>
      </c>
      <c r="H7851" s="0" t="n">
        <v>76</v>
      </c>
      <c r="I7851" s="0" t="s">
        <v>26137</v>
      </c>
      <c r="J7851" s="0" t="s">
        <v>26138</v>
      </c>
      <c r="K7851" s="0" t="s">
        <v>26139</v>
      </c>
      <c r="L7851" s="0" t="str">
        <f aca="false">HYPERLINK("https://www.ncbi.nlm.nih.gov/nuccore/CP000058.1?report=graph&amp;tracks=[key:gene_model_track,Options:GeneOnly]&amp;mk=2485675:2485694|offset_49|444444,2485702:2485721|offset_76|00cc00,2485744:2485763|offset_118|444444,2485767:2485786|offset_141|444444&amp;v=2485474:2485986&amp;c=444444", "offset 76")</f>
        <v>offset 76</v>
      </c>
    </row>
    <row r="7852" customFormat="false" ht="12.8" hidden="false" customHeight="false" outlineLevel="0" collapsed="false">
      <c r="A7852" s="0" t="s">
        <v>12</v>
      </c>
      <c r="B7852" s="0" t="n">
        <v>2485743</v>
      </c>
      <c r="C7852" s="0" t="n">
        <v>2485763</v>
      </c>
      <c r="D7852" s="0" t="s">
        <v>26132</v>
      </c>
      <c r="E7852" s="0" t="s">
        <v>26133</v>
      </c>
      <c r="F7852" s="0" t="s">
        <v>15</v>
      </c>
      <c r="G7852" s="0" t="s">
        <v>32</v>
      </c>
      <c r="H7852" s="0" t="n">
        <v>118</v>
      </c>
      <c r="I7852" s="0" t="s">
        <v>26140</v>
      </c>
      <c r="J7852" s="0" t="s">
        <v>26141</v>
      </c>
      <c r="K7852" s="0" t="s">
        <v>26142</v>
      </c>
      <c r="L7852" s="0" t="str">
        <f aca="false">HYPERLINK("https://www.ncbi.nlm.nih.gov/nuccore/CP000058.1?report=graph&amp;tracks=[key:gene_model_track,Options:GeneOnly]&amp;mk=2485675:2485694|offset_49|444444,2485702:2485721|offset_76|444444,2485744:2485763|offset_118|00cc00,2485767:2485786|offset_141|444444&amp;v=2485474:2485986&amp;c=444444", "offset 118")</f>
        <v>offset 118</v>
      </c>
    </row>
    <row r="7853" customFormat="false" ht="12.8" hidden="false" customHeight="false" outlineLevel="0" collapsed="false">
      <c r="A7853" s="0" t="s">
        <v>12</v>
      </c>
      <c r="B7853" s="0" t="n">
        <v>2485766</v>
      </c>
      <c r="C7853" s="0" t="n">
        <v>2485786</v>
      </c>
      <c r="D7853" s="0" t="s">
        <v>26132</v>
      </c>
      <c r="E7853" s="0" t="s">
        <v>26133</v>
      </c>
      <c r="F7853" s="0" t="s">
        <v>15</v>
      </c>
      <c r="G7853" s="0" t="s">
        <v>36</v>
      </c>
      <c r="H7853" s="0" t="n">
        <v>141</v>
      </c>
      <c r="I7853" s="0" t="s">
        <v>26143</v>
      </c>
      <c r="J7853" s="0" t="s">
        <v>26144</v>
      </c>
      <c r="K7853" s="0" t="s">
        <v>26145</v>
      </c>
      <c r="L7853" s="0" t="str">
        <f aca="false">HYPERLINK("https://www.ncbi.nlm.nih.gov/nuccore/CP000058.1?report=graph&amp;tracks=[key:gene_model_track,Options:GeneOnly]&amp;mk=2485675:2485694|offset_49|444444,2485702:2485721|offset_76|444444,2485744:2485763|offset_118|444444,2485767:2485786|offset_141|00cc00&amp;v=2485474:2485986&amp;c=444444", "offset 141")</f>
        <v>offset 141</v>
      </c>
    </row>
    <row r="7854" customFormat="false" ht="12.8" hidden="false" customHeight="false" outlineLevel="0" collapsed="false">
      <c r="A7854" s="0" t="s">
        <v>12</v>
      </c>
      <c r="B7854" s="0" t="n">
        <v>2486673</v>
      </c>
      <c r="C7854" s="0" t="n">
        <v>2486693</v>
      </c>
      <c r="D7854" s="0" t="s">
        <v>26146</v>
      </c>
      <c r="E7854" s="0" t="s">
        <v>26147</v>
      </c>
      <c r="F7854" s="0" t="s">
        <v>15</v>
      </c>
      <c r="G7854" s="0" t="s">
        <v>32</v>
      </c>
      <c r="H7854" s="0" t="n">
        <v>1</v>
      </c>
      <c r="I7854" s="0" t="s">
        <v>26148</v>
      </c>
      <c r="J7854" s="0" t="s">
        <v>26149</v>
      </c>
      <c r="K7854" s="0" t="s">
        <v>26150</v>
      </c>
      <c r="L7854" s="0" t="str">
        <f aca="false">HYPERLINK("https://www.ncbi.nlm.nih.gov/nuccore/CP000058.1?report=graph&amp;tracks=[key:gene_model_track,Options:GeneOnly]&amp;mk=2486674:2486693|offset_1|00cc00,2486726:2486745|offset_53|444444,2486747:2486766|offset_74|444444,2486782:2486801|offset_109|444444&amp;v=2486473:2487001&amp;c=444444", "offset 1")</f>
        <v>offset 1</v>
      </c>
    </row>
    <row r="7855" customFormat="false" ht="12.8" hidden="false" customHeight="false" outlineLevel="0" collapsed="false">
      <c r="A7855" s="0" t="s">
        <v>12</v>
      </c>
      <c r="B7855" s="0" t="n">
        <v>2486725</v>
      </c>
      <c r="C7855" s="0" t="n">
        <v>2486745</v>
      </c>
      <c r="D7855" s="0" t="s">
        <v>26146</v>
      </c>
      <c r="E7855" s="0" t="s">
        <v>26147</v>
      </c>
      <c r="F7855" s="0" t="s">
        <v>15</v>
      </c>
      <c r="G7855" s="0" t="s">
        <v>16</v>
      </c>
      <c r="H7855" s="0" t="n">
        <v>53</v>
      </c>
      <c r="I7855" s="0" t="s">
        <v>26151</v>
      </c>
      <c r="J7855" s="0" t="s">
        <v>26152</v>
      </c>
      <c r="K7855" s="0" t="s">
        <v>26153</v>
      </c>
      <c r="L7855" s="0" t="str">
        <f aca="false">HYPERLINK("https://www.ncbi.nlm.nih.gov/nuccore/CP000058.1?report=graph&amp;tracks=[key:gene_model_track,Options:GeneOnly]&amp;mk=2486674:2486693|offset_1|444444,2486726:2486745|offset_53|00cc00,2486747:2486766|offset_74|444444,2486782:2486801|offset_109|444444&amp;v=2486473:2487001&amp;c=444444", "offset 53")</f>
        <v>offset 53</v>
      </c>
    </row>
    <row r="7856" customFormat="false" ht="12.8" hidden="false" customHeight="false" outlineLevel="0" collapsed="false">
      <c r="A7856" s="0" t="s">
        <v>12</v>
      </c>
      <c r="B7856" s="0" t="n">
        <v>2486746</v>
      </c>
      <c r="C7856" s="0" t="n">
        <v>2486766</v>
      </c>
      <c r="D7856" s="0" t="s">
        <v>26146</v>
      </c>
      <c r="E7856" s="0" t="s">
        <v>26147</v>
      </c>
      <c r="F7856" s="0" t="s">
        <v>15</v>
      </c>
      <c r="G7856" s="0" t="s">
        <v>36</v>
      </c>
      <c r="H7856" s="0" t="n">
        <v>74</v>
      </c>
      <c r="I7856" s="0" t="s">
        <v>26154</v>
      </c>
      <c r="J7856" s="0" t="s">
        <v>26155</v>
      </c>
      <c r="K7856" s="0" t="s">
        <v>26156</v>
      </c>
      <c r="L7856" s="0" t="str">
        <f aca="false">HYPERLINK("https://www.ncbi.nlm.nih.gov/nuccore/CP000058.1?report=graph&amp;tracks=[key:gene_model_track,Options:GeneOnly]&amp;mk=2486674:2486693|offset_1|444444,2486726:2486745|offset_53|444444,2486747:2486766|offset_74|00cc00,2486782:2486801|offset_109|444444&amp;v=2486473:2487001&amp;c=444444", "offset 74")</f>
        <v>offset 74</v>
      </c>
    </row>
    <row r="7857" customFormat="false" ht="12.8" hidden="false" customHeight="false" outlineLevel="0" collapsed="false">
      <c r="A7857" s="0" t="s">
        <v>12</v>
      </c>
      <c r="B7857" s="0" t="n">
        <v>2486781</v>
      </c>
      <c r="C7857" s="0" t="n">
        <v>2486801</v>
      </c>
      <c r="D7857" s="0" t="s">
        <v>26146</v>
      </c>
      <c r="E7857" s="0" t="s">
        <v>26147</v>
      </c>
      <c r="F7857" s="0" t="s">
        <v>15</v>
      </c>
      <c r="G7857" s="0" t="s">
        <v>16</v>
      </c>
      <c r="H7857" s="0" t="n">
        <v>109</v>
      </c>
      <c r="I7857" s="0" t="s">
        <v>26157</v>
      </c>
      <c r="J7857" s="0" t="s">
        <v>26158</v>
      </c>
      <c r="K7857" s="0" t="s">
        <v>26159</v>
      </c>
      <c r="L7857" s="0" t="str">
        <f aca="false">HYPERLINK("https://www.ncbi.nlm.nih.gov/nuccore/CP000058.1?report=graph&amp;tracks=[key:gene_model_track,Options:GeneOnly]&amp;mk=2486674:2486693|offset_1|444444,2486726:2486745|offset_53|444444,2486747:2486766|offset_74|444444,2486782:2486801|offset_109|00cc00&amp;v=2486473:2487001&amp;c=444444", "offset 109")</f>
        <v>offset 109</v>
      </c>
    </row>
    <row r="7858" customFormat="false" ht="12.8" hidden="false" customHeight="false" outlineLevel="0" collapsed="false">
      <c r="A7858" s="0" t="s">
        <v>12</v>
      </c>
      <c r="B7858" s="0" t="n">
        <v>2487602</v>
      </c>
      <c r="C7858" s="0" t="n">
        <v>2487622</v>
      </c>
      <c r="D7858" s="0" t="s">
        <v>26160</v>
      </c>
      <c r="E7858" s="0" t="s">
        <v>75</v>
      </c>
      <c r="F7858" s="0" t="s">
        <v>15</v>
      </c>
      <c r="G7858" s="0" t="s">
        <v>36</v>
      </c>
      <c r="H7858" s="0" t="n">
        <v>13</v>
      </c>
      <c r="I7858" s="0" t="s">
        <v>26161</v>
      </c>
      <c r="J7858" s="0" t="s">
        <v>26162</v>
      </c>
      <c r="K7858" s="0" t="s">
        <v>26163</v>
      </c>
      <c r="L7858" s="0" t="str">
        <f aca="false">HYPERLINK("https://www.ncbi.nlm.nih.gov/nuccore/CP000058.1?report=graph&amp;tracks=[key:gene_model_track,Options:GeneOnly]&amp;mk=2487603:2487622|offset_13|00cc00,2487661:2487680|offset_71|444444,2487686:2487705|offset_96|444444,2487715:2487734|offset_125|444444&amp;v=2487402:2487934&amp;c=444444", "offset 13")</f>
        <v>offset 13</v>
      </c>
    </row>
    <row r="7859" customFormat="false" ht="12.8" hidden="false" customHeight="false" outlineLevel="0" collapsed="false">
      <c r="A7859" s="0" t="s">
        <v>12</v>
      </c>
      <c r="B7859" s="0" t="n">
        <v>2487660</v>
      </c>
      <c r="C7859" s="0" t="n">
        <v>2487680</v>
      </c>
      <c r="D7859" s="0" t="s">
        <v>26160</v>
      </c>
      <c r="E7859" s="0" t="s">
        <v>75</v>
      </c>
      <c r="F7859" s="0" t="s">
        <v>15</v>
      </c>
      <c r="G7859" s="0" t="s">
        <v>20</v>
      </c>
      <c r="H7859" s="0" t="n">
        <v>71</v>
      </c>
      <c r="I7859" s="0" t="s">
        <v>26164</v>
      </c>
      <c r="J7859" s="0" t="s">
        <v>26165</v>
      </c>
      <c r="K7859" s="0" t="s">
        <v>26166</v>
      </c>
      <c r="L7859" s="0" t="str">
        <f aca="false">HYPERLINK("https://www.ncbi.nlm.nih.gov/nuccore/CP000058.1?report=graph&amp;tracks=[key:gene_model_track,Options:GeneOnly]&amp;mk=2487603:2487622|offset_13|444444,2487661:2487680|offset_71|00cc00,2487686:2487705|offset_96|444444,2487715:2487734|offset_125|444444&amp;v=2487402:2487934&amp;c=444444", "offset 71")</f>
        <v>offset 71</v>
      </c>
    </row>
    <row r="7860" customFormat="false" ht="12.8" hidden="false" customHeight="false" outlineLevel="0" collapsed="false">
      <c r="A7860" s="0" t="s">
        <v>12</v>
      </c>
      <c r="B7860" s="0" t="n">
        <v>2487685</v>
      </c>
      <c r="C7860" s="0" t="n">
        <v>2487705</v>
      </c>
      <c r="D7860" s="0" t="s">
        <v>26160</v>
      </c>
      <c r="E7860" s="0" t="s">
        <v>75</v>
      </c>
      <c r="F7860" s="0" t="s">
        <v>15</v>
      </c>
      <c r="G7860" s="0" t="s">
        <v>32</v>
      </c>
      <c r="H7860" s="0" t="n">
        <v>96</v>
      </c>
      <c r="I7860" s="0" t="s">
        <v>26167</v>
      </c>
      <c r="J7860" s="0" t="s">
        <v>26168</v>
      </c>
      <c r="K7860" s="0" t="s">
        <v>26169</v>
      </c>
      <c r="L7860" s="0" t="str">
        <f aca="false">HYPERLINK("https://www.ncbi.nlm.nih.gov/nuccore/CP000058.1?report=graph&amp;tracks=[key:gene_model_track,Options:GeneOnly]&amp;mk=2487603:2487622|offset_13|444444,2487661:2487680|offset_71|444444,2487686:2487705|offset_96|00cc00,2487715:2487734|offset_125|444444&amp;v=2487402:2487934&amp;c=444444", "offset 96")</f>
        <v>offset 96</v>
      </c>
    </row>
    <row r="7861" customFormat="false" ht="12.8" hidden="false" customHeight="false" outlineLevel="0" collapsed="false">
      <c r="A7861" s="0" t="s">
        <v>12</v>
      </c>
      <c r="B7861" s="0" t="n">
        <v>2487714</v>
      </c>
      <c r="C7861" s="0" t="n">
        <v>2487734</v>
      </c>
      <c r="D7861" s="0" t="s">
        <v>26160</v>
      </c>
      <c r="E7861" s="0" t="s">
        <v>75</v>
      </c>
      <c r="F7861" s="0" t="s">
        <v>15</v>
      </c>
      <c r="G7861" s="0" t="s">
        <v>20</v>
      </c>
      <c r="H7861" s="0" t="n">
        <v>125</v>
      </c>
      <c r="I7861" s="0" t="s">
        <v>26170</v>
      </c>
      <c r="J7861" s="0" t="s">
        <v>26171</v>
      </c>
      <c r="K7861" s="0" t="s">
        <v>26172</v>
      </c>
      <c r="L7861" s="0" t="str">
        <f aca="false">HYPERLINK("https://www.ncbi.nlm.nih.gov/nuccore/CP000058.1?report=graph&amp;tracks=[key:gene_model_track,Options:GeneOnly]&amp;mk=2487603:2487622|offset_13|444444,2487661:2487680|offset_71|444444,2487686:2487705|offset_96|444444,2487715:2487734|offset_125|00cc00&amp;v=2487402:2487934&amp;c=444444", "offset 125")</f>
        <v>offset 125</v>
      </c>
    </row>
    <row r="7862" customFormat="false" ht="12.8" hidden="false" customHeight="false" outlineLevel="0" collapsed="false">
      <c r="A7862" s="0" t="s">
        <v>12</v>
      </c>
      <c r="B7862" s="0" t="n">
        <v>2488038</v>
      </c>
      <c r="C7862" s="0" t="n">
        <v>2488058</v>
      </c>
      <c r="D7862" s="0" t="s">
        <v>26173</v>
      </c>
      <c r="E7862" s="0" t="s">
        <v>75</v>
      </c>
      <c r="F7862" s="0" t="s">
        <v>15</v>
      </c>
      <c r="G7862" s="0" t="s">
        <v>32</v>
      </c>
      <c r="H7862" s="0" t="n">
        <v>22</v>
      </c>
      <c r="I7862" s="0" t="s">
        <v>26174</v>
      </c>
      <c r="J7862" s="0" t="s">
        <v>26175</v>
      </c>
      <c r="K7862" s="0" t="s">
        <v>26176</v>
      </c>
      <c r="L7862" s="0" t="str">
        <f aca="false">HYPERLINK("https://www.ncbi.nlm.nih.gov/nuccore/CP000058.1?report=graph&amp;tracks=[key:gene_model_track,Options:GeneOnly]&amp;mk=2488039:2488058|offset_22|00cc00,2488072:2488091|offset_55|444444,2488129:2488148|offset_112|444444,2488179:2488198|offset_162|444444&amp;v=2487838:2488398&amp;c=444444", "offset 22")</f>
        <v>offset 22</v>
      </c>
    </row>
    <row r="7863" customFormat="false" ht="12.8" hidden="false" customHeight="false" outlineLevel="0" collapsed="false">
      <c r="A7863" s="0" t="s">
        <v>12</v>
      </c>
      <c r="B7863" s="0" t="n">
        <v>2488071</v>
      </c>
      <c r="C7863" s="0" t="n">
        <v>2488091</v>
      </c>
      <c r="D7863" s="0" t="s">
        <v>26173</v>
      </c>
      <c r="E7863" s="0" t="s">
        <v>75</v>
      </c>
      <c r="F7863" s="0" t="s">
        <v>15</v>
      </c>
      <c r="G7863" s="0" t="s">
        <v>32</v>
      </c>
      <c r="H7863" s="0" t="n">
        <v>55</v>
      </c>
      <c r="I7863" s="0" t="s">
        <v>26177</v>
      </c>
      <c r="J7863" s="0" t="s">
        <v>26178</v>
      </c>
      <c r="K7863" s="0" t="s">
        <v>26179</v>
      </c>
      <c r="L7863" s="0" t="str">
        <f aca="false">HYPERLINK("https://www.ncbi.nlm.nih.gov/nuccore/CP000058.1?report=graph&amp;tracks=[key:gene_model_track,Options:GeneOnly]&amp;mk=2488039:2488058|offset_22|444444,2488072:2488091|offset_55|00cc00,2488129:2488148|offset_112|444444,2488179:2488198|offset_162|444444&amp;v=2487838:2488398&amp;c=444444", "offset 55")</f>
        <v>offset 55</v>
      </c>
    </row>
    <row r="7864" customFormat="false" ht="12.8" hidden="false" customHeight="false" outlineLevel="0" collapsed="false">
      <c r="A7864" s="0" t="s">
        <v>12</v>
      </c>
      <c r="B7864" s="0" t="n">
        <v>2488128</v>
      </c>
      <c r="C7864" s="0" t="n">
        <v>2488148</v>
      </c>
      <c r="D7864" s="0" t="s">
        <v>26173</v>
      </c>
      <c r="E7864" s="0" t="s">
        <v>75</v>
      </c>
      <c r="F7864" s="0" t="s">
        <v>15</v>
      </c>
      <c r="G7864" s="0" t="s">
        <v>16</v>
      </c>
      <c r="H7864" s="0" t="n">
        <v>112</v>
      </c>
      <c r="I7864" s="0" t="s">
        <v>26180</v>
      </c>
      <c r="J7864" s="0" t="s">
        <v>26181</v>
      </c>
      <c r="K7864" s="0" t="s">
        <v>26182</v>
      </c>
      <c r="L7864" s="0" t="str">
        <f aca="false">HYPERLINK("https://www.ncbi.nlm.nih.gov/nuccore/CP000058.1?report=graph&amp;tracks=[key:gene_model_track,Options:GeneOnly]&amp;mk=2488039:2488058|offset_22|444444,2488072:2488091|offset_55|444444,2488129:2488148|offset_112|00cc00,2488179:2488198|offset_162|444444&amp;v=2487838:2488398&amp;c=444444", "offset 112")</f>
        <v>offset 112</v>
      </c>
    </row>
    <row r="7865" customFormat="false" ht="12.8" hidden="false" customHeight="false" outlineLevel="0" collapsed="false">
      <c r="A7865" s="0" t="s">
        <v>12</v>
      </c>
      <c r="B7865" s="0" t="n">
        <v>2488178</v>
      </c>
      <c r="C7865" s="0" t="n">
        <v>2488198</v>
      </c>
      <c r="D7865" s="0" t="s">
        <v>26173</v>
      </c>
      <c r="E7865" s="0" t="s">
        <v>75</v>
      </c>
      <c r="F7865" s="0" t="s">
        <v>15</v>
      </c>
      <c r="G7865" s="0" t="s">
        <v>36</v>
      </c>
      <c r="H7865" s="0" t="n">
        <v>162</v>
      </c>
      <c r="I7865" s="0" t="s">
        <v>26183</v>
      </c>
      <c r="J7865" s="0" t="s">
        <v>26184</v>
      </c>
      <c r="K7865" s="0" t="s">
        <v>26185</v>
      </c>
      <c r="L7865" s="0" t="str">
        <f aca="false">HYPERLINK("https://www.ncbi.nlm.nih.gov/nuccore/CP000058.1?report=graph&amp;tracks=[key:gene_model_track,Options:GeneOnly]&amp;mk=2488039:2488058|offset_22|444444,2488072:2488091|offset_55|444444,2488129:2488148|offset_112|444444,2488179:2488198|offset_162|00cc00&amp;v=2487838:2488398&amp;c=444444", "offset 162")</f>
        <v>offset 162</v>
      </c>
    </row>
    <row r="7866" customFormat="false" ht="12.8" hidden="false" customHeight="false" outlineLevel="0" collapsed="false">
      <c r="A7866" s="0" t="s">
        <v>12</v>
      </c>
      <c r="B7866" s="0" t="n">
        <v>2489264</v>
      </c>
      <c r="C7866" s="0" t="n">
        <v>2489284</v>
      </c>
      <c r="D7866" s="0" t="s">
        <v>26186</v>
      </c>
      <c r="E7866" s="0" t="s">
        <v>75</v>
      </c>
      <c r="F7866" s="0" t="s">
        <v>90</v>
      </c>
      <c r="G7866" s="0" t="s">
        <v>36</v>
      </c>
      <c r="H7866" s="0" t="n">
        <v>7</v>
      </c>
      <c r="I7866" s="0" t="s">
        <v>26187</v>
      </c>
      <c r="J7866" s="0" t="s">
        <v>26188</v>
      </c>
      <c r="K7866" s="0" t="s">
        <v>26189</v>
      </c>
      <c r="L7866" s="0" t="str">
        <f aca="false">HYPERLINK("https://www.ncbi.nlm.nih.gov/nuccore/CP000058.1?report=graph&amp;tracks=[key:gene_model_track,Options:GeneOnly]&amp;mk=2489265:2489284|offset_7|00cc00,2489235:2489254|offset_37|444444,2489208:2489227|offset_64|444444,2489177:2489196|offset_95|444444&amp;v=2489064:2489396&amp;c=444444", "offset 7")</f>
        <v>offset 7</v>
      </c>
    </row>
    <row r="7867" customFormat="false" ht="12.8" hidden="false" customHeight="false" outlineLevel="0" collapsed="false">
      <c r="A7867" s="0" t="s">
        <v>12</v>
      </c>
      <c r="B7867" s="0" t="n">
        <v>2489234</v>
      </c>
      <c r="C7867" s="0" t="n">
        <v>2489254</v>
      </c>
      <c r="D7867" s="0" t="s">
        <v>26186</v>
      </c>
      <c r="E7867" s="0" t="s">
        <v>75</v>
      </c>
      <c r="F7867" s="0" t="s">
        <v>90</v>
      </c>
      <c r="G7867" s="0" t="s">
        <v>32</v>
      </c>
      <c r="H7867" s="0" t="n">
        <v>37</v>
      </c>
      <c r="I7867" s="0" t="s">
        <v>26190</v>
      </c>
      <c r="J7867" s="0" t="s">
        <v>26191</v>
      </c>
      <c r="K7867" s="0" t="s">
        <v>26192</v>
      </c>
      <c r="L7867" s="0" t="str">
        <f aca="false">HYPERLINK("https://www.ncbi.nlm.nih.gov/nuccore/CP000058.1?report=graph&amp;tracks=[key:gene_model_track,Options:GeneOnly]&amp;mk=2489265:2489284|offset_7|444444,2489235:2489254|offset_37|00cc00,2489208:2489227|offset_64|444444,2489177:2489196|offset_95|444444&amp;v=2489064:2489396&amp;c=444444", "offset 37")</f>
        <v>offset 37</v>
      </c>
    </row>
    <row r="7868" customFormat="false" ht="12.8" hidden="false" customHeight="false" outlineLevel="0" collapsed="false">
      <c r="A7868" s="0" t="s">
        <v>12</v>
      </c>
      <c r="B7868" s="0" t="n">
        <v>2489207</v>
      </c>
      <c r="C7868" s="0" t="n">
        <v>2489227</v>
      </c>
      <c r="D7868" s="0" t="s">
        <v>26186</v>
      </c>
      <c r="E7868" s="0" t="s">
        <v>75</v>
      </c>
      <c r="F7868" s="0" t="s">
        <v>90</v>
      </c>
      <c r="G7868" s="0" t="s">
        <v>32</v>
      </c>
      <c r="H7868" s="0" t="n">
        <v>64</v>
      </c>
      <c r="I7868" s="0" t="s">
        <v>26193</v>
      </c>
      <c r="J7868" s="0" t="s">
        <v>26194</v>
      </c>
      <c r="K7868" s="0" t="s">
        <v>26195</v>
      </c>
      <c r="L7868" s="0" t="str">
        <f aca="false">HYPERLINK("https://www.ncbi.nlm.nih.gov/nuccore/CP000058.1?report=graph&amp;tracks=[key:gene_model_track,Options:GeneOnly]&amp;mk=2489265:2489284|offset_7|444444,2489235:2489254|offset_37|444444,2489208:2489227|offset_64|00cc00,2489177:2489196|offset_95|444444&amp;v=2489064:2489396&amp;c=444444", "offset 64")</f>
        <v>offset 64</v>
      </c>
    </row>
    <row r="7869" customFormat="false" ht="12.8" hidden="false" customHeight="false" outlineLevel="0" collapsed="false">
      <c r="A7869" s="0" t="s">
        <v>12</v>
      </c>
      <c r="B7869" s="0" t="n">
        <v>2489176</v>
      </c>
      <c r="C7869" s="0" t="n">
        <v>2489196</v>
      </c>
      <c r="D7869" s="0" t="s">
        <v>26186</v>
      </c>
      <c r="E7869" s="0" t="s">
        <v>75</v>
      </c>
      <c r="F7869" s="0" t="s">
        <v>90</v>
      </c>
      <c r="G7869" s="0" t="s">
        <v>36</v>
      </c>
      <c r="H7869" s="0" t="n">
        <v>95</v>
      </c>
      <c r="I7869" s="0" t="s">
        <v>26196</v>
      </c>
      <c r="J7869" s="0" t="s">
        <v>26197</v>
      </c>
      <c r="K7869" s="0" t="s">
        <v>26198</v>
      </c>
      <c r="L7869" s="0" t="str">
        <f aca="false">HYPERLINK("https://www.ncbi.nlm.nih.gov/nuccore/CP000058.1?report=graph&amp;tracks=[key:gene_model_track,Options:GeneOnly]&amp;mk=2489265:2489284|offset_7|444444,2489235:2489254|offset_37|444444,2489208:2489227|offset_64|444444,2489177:2489196|offset_95|00cc00&amp;v=2489064:2489396&amp;c=444444", "offset 95")</f>
        <v>offset 95</v>
      </c>
    </row>
    <row r="7870" customFormat="false" ht="12.8" hidden="false" customHeight="false" outlineLevel="0" collapsed="false">
      <c r="A7870" s="0" t="s">
        <v>12</v>
      </c>
      <c r="B7870" s="0" t="n">
        <v>2490179</v>
      </c>
      <c r="C7870" s="0" t="n">
        <v>2490199</v>
      </c>
      <c r="D7870" s="0" t="s">
        <v>26199</v>
      </c>
      <c r="E7870" s="0" t="s">
        <v>26200</v>
      </c>
      <c r="F7870" s="0" t="s">
        <v>90</v>
      </c>
      <c r="G7870" s="0" t="s">
        <v>32</v>
      </c>
      <c r="H7870" s="0" t="n">
        <v>1</v>
      </c>
      <c r="I7870" s="0" t="s">
        <v>26201</v>
      </c>
      <c r="J7870" s="0" t="s">
        <v>26202</v>
      </c>
      <c r="K7870" s="0" t="s">
        <v>26203</v>
      </c>
      <c r="L7870" s="0" t="str">
        <f aca="false">HYPERLINK("https://www.ncbi.nlm.nih.gov/nuccore/CP000058.1?report=graph&amp;tracks=[key:gene_model_track,Options:GeneOnly]&amp;mk=2490180:2490199|offset_1|00cc00,2490156:2490175|offset_25|444444,2490112:2490131|offset_69|444444,2490035:2490054|offset_146|444444&amp;v=2489979:2490254&amp;c=444444", "offset 1")</f>
        <v>offset 1</v>
      </c>
    </row>
    <row r="7871" customFormat="false" ht="12.8" hidden="false" customHeight="false" outlineLevel="0" collapsed="false">
      <c r="A7871" s="0" t="s">
        <v>12</v>
      </c>
      <c r="B7871" s="0" t="n">
        <v>2490155</v>
      </c>
      <c r="C7871" s="0" t="n">
        <v>2490175</v>
      </c>
      <c r="D7871" s="0" t="s">
        <v>26199</v>
      </c>
      <c r="E7871" s="0" t="s">
        <v>26200</v>
      </c>
      <c r="F7871" s="0" t="s">
        <v>90</v>
      </c>
      <c r="G7871" s="0" t="s">
        <v>16</v>
      </c>
      <c r="H7871" s="0" t="n">
        <v>25</v>
      </c>
      <c r="I7871" s="0" t="s">
        <v>26204</v>
      </c>
      <c r="J7871" s="0" t="s">
        <v>26205</v>
      </c>
      <c r="K7871" s="0" t="s">
        <v>26206</v>
      </c>
      <c r="L7871" s="0" t="str">
        <f aca="false">HYPERLINK("https://www.ncbi.nlm.nih.gov/nuccore/CP000058.1?report=graph&amp;tracks=[key:gene_model_track,Options:GeneOnly]&amp;mk=2490180:2490199|offset_1|444444,2490156:2490175|offset_25|00cc00,2490112:2490131|offset_69|444444,2490035:2490054|offset_146|444444&amp;v=2489979:2490254&amp;c=444444", "offset 25")</f>
        <v>offset 25</v>
      </c>
    </row>
    <row r="7872" customFormat="false" ht="12.8" hidden="false" customHeight="false" outlineLevel="0" collapsed="false">
      <c r="A7872" s="0" t="s">
        <v>12</v>
      </c>
      <c r="B7872" s="0" t="n">
        <v>2490111</v>
      </c>
      <c r="C7872" s="0" t="n">
        <v>2490131</v>
      </c>
      <c r="D7872" s="0" t="s">
        <v>26199</v>
      </c>
      <c r="E7872" s="0" t="s">
        <v>26200</v>
      </c>
      <c r="F7872" s="0" t="s">
        <v>90</v>
      </c>
      <c r="G7872" s="0" t="s">
        <v>32</v>
      </c>
      <c r="H7872" s="0" t="n">
        <v>69</v>
      </c>
      <c r="I7872" s="0" t="s">
        <v>26207</v>
      </c>
      <c r="J7872" s="0" t="s">
        <v>26208</v>
      </c>
      <c r="K7872" s="0" t="s">
        <v>26209</v>
      </c>
      <c r="L7872" s="0" t="str">
        <f aca="false">HYPERLINK("https://www.ncbi.nlm.nih.gov/nuccore/CP000058.1?report=graph&amp;tracks=[key:gene_model_track,Options:GeneOnly]&amp;mk=2490180:2490199|offset_1|444444,2490156:2490175|offset_25|444444,2490112:2490131|offset_69|00cc00,2490035:2490054|offset_146|444444&amp;v=2489979:2490254&amp;c=444444", "offset 69")</f>
        <v>offset 69</v>
      </c>
    </row>
    <row r="7873" customFormat="false" ht="12.8" hidden="false" customHeight="false" outlineLevel="0" collapsed="false">
      <c r="A7873" s="0" t="s">
        <v>12</v>
      </c>
      <c r="B7873" s="0" t="n">
        <v>2490034</v>
      </c>
      <c r="C7873" s="0" t="n">
        <v>2490054</v>
      </c>
      <c r="D7873" s="0" t="s">
        <v>26199</v>
      </c>
      <c r="E7873" s="0" t="s">
        <v>26200</v>
      </c>
      <c r="F7873" s="0" t="s">
        <v>90</v>
      </c>
      <c r="G7873" s="0" t="s">
        <v>32</v>
      </c>
      <c r="H7873" s="0" t="n">
        <v>146</v>
      </c>
      <c r="I7873" s="0" t="s">
        <v>26210</v>
      </c>
      <c r="J7873" s="0" t="s">
        <v>26211</v>
      </c>
      <c r="K7873" s="0" t="s">
        <v>26212</v>
      </c>
      <c r="L7873" s="0" t="str">
        <f aca="false">HYPERLINK("https://www.ncbi.nlm.nih.gov/nuccore/CP000058.1?report=graph&amp;tracks=[key:gene_model_track,Options:GeneOnly]&amp;mk=2490180:2490199|offset_1|444444,2490156:2490175|offset_25|444444,2490112:2490131|offset_69|444444,2490035:2490054|offset_146|00cc00&amp;v=2489979:2490254&amp;c=444444", "offset 146")</f>
        <v>offset 146</v>
      </c>
    </row>
    <row r="7874" customFormat="false" ht="12.8" hidden="false" customHeight="false" outlineLevel="0" collapsed="false">
      <c r="A7874" s="0" t="s">
        <v>12</v>
      </c>
      <c r="B7874" s="0" t="n">
        <v>2490780</v>
      </c>
      <c r="C7874" s="0" t="n">
        <v>2490800</v>
      </c>
      <c r="D7874" s="0" t="s">
        <v>26213</v>
      </c>
      <c r="E7874" s="0" t="s">
        <v>75</v>
      </c>
      <c r="F7874" s="0" t="s">
        <v>90</v>
      </c>
      <c r="G7874" s="0" t="s">
        <v>32</v>
      </c>
      <c r="H7874" s="0" t="n">
        <v>1</v>
      </c>
      <c r="I7874" s="0" t="s">
        <v>26214</v>
      </c>
      <c r="J7874" s="0" t="s">
        <v>26215</v>
      </c>
      <c r="K7874" s="0" t="s">
        <v>26216</v>
      </c>
      <c r="L7874" s="0" t="str">
        <f aca="false">HYPERLINK("https://www.ncbi.nlm.nih.gov/nuccore/CP000058.1?report=graph&amp;tracks=[key:gene_model_track,Options:GeneOnly]&amp;mk=2490781:2490800|offset_1|00cc00,2490760:2490779|offset_22|444444,2490739:2490758|offset_43|444444,2490709:2490728|offset_73|444444&amp;v=2490580:2490928&amp;c=444444", "offset 1")</f>
        <v>offset 1</v>
      </c>
    </row>
    <row r="7875" customFormat="false" ht="12.8" hidden="false" customHeight="false" outlineLevel="0" collapsed="false">
      <c r="A7875" s="0" t="s">
        <v>12</v>
      </c>
      <c r="B7875" s="0" t="n">
        <v>2490759</v>
      </c>
      <c r="C7875" s="0" t="n">
        <v>2490779</v>
      </c>
      <c r="D7875" s="0" t="s">
        <v>26213</v>
      </c>
      <c r="E7875" s="0" t="s">
        <v>75</v>
      </c>
      <c r="F7875" s="0" t="s">
        <v>90</v>
      </c>
      <c r="G7875" s="0" t="s">
        <v>16</v>
      </c>
      <c r="H7875" s="0" t="n">
        <v>22</v>
      </c>
      <c r="I7875" s="0" t="s">
        <v>26217</v>
      </c>
      <c r="J7875" s="0" t="s">
        <v>26218</v>
      </c>
      <c r="K7875" s="0" t="s">
        <v>26219</v>
      </c>
      <c r="L7875" s="0" t="str">
        <f aca="false">HYPERLINK("https://www.ncbi.nlm.nih.gov/nuccore/CP000058.1?report=graph&amp;tracks=[key:gene_model_track,Options:GeneOnly]&amp;mk=2490781:2490800|offset_1|444444,2490760:2490779|offset_22|00cc00,2490739:2490758|offset_43|444444,2490709:2490728|offset_73|444444&amp;v=2490580:2490928&amp;c=444444", "offset 22")</f>
        <v>offset 22</v>
      </c>
    </row>
    <row r="7876" customFormat="false" ht="12.8" hidden="false" customHeight="false" outlineLevel="0" collapsed="false">
      <c r="A7876" s="0" t="s">
        <v>12</v>
      </c>
      <c r="B7876" s="0" t="n">
        <v>2490738</v>
      </c>
      <c r="C7876" s="0" t="n">
        <v>2490758</v>
      </c>
      <c r="D7876" s="0" t="s">
        <v>26213</v>
      </c>
      <c r="E7876" s="0" t="s">
        <v>75</v>
      </c>
      <c r="F7876" s="0" t="s">
        <v>90</v>
      </c>
      <c r="G7876" s="0" t="s">
        <v>16</v>
      </c>
      <c r="H7876" s="0" t="n">
        <v>43</v>
      </c>
      <c r="I7876" s="0" t="s">
        <v>26220</v>
      </c>
      <c r="J7876" s="0" t="s">
        <v>26221</v>
      </c>
      <c r="K7876" s="0" t="s">
        <v>26222</v>
      </c>
      <c r="L7876" s="0" t="str">
        <f aca="false">HYPERLINK("https://www.ncbi.nlm.nih.gov/nuccore/CP000058.1?report=graph&amp;tracks=[key:gene_model_track,Options:GeneOnly]&amp;mk=2490781:2490800|offset_1|444444,2490760:2490779|offset_22|444444,2490739:2490758|offset_43|00cc00,2490709:2490728|offset_73|444444&amp;v=2490580:2490928&amp;c=444444", "offset 43")</f>
        <v>offset 43</v>
      </c>
    </row>
    <row r="7877" customFormat="false" ht="12.8" hidden="false" customHeight="false" outlineLevel="0" collapsed="false">
      <c r="A7877" s="0" t="s">
        <v>12</v>
      </c>
      <c r="B7877" s="0" t="n">
        <v>2490708</v>
      </c>
      <c r="C7877" s="0" t="n">
        <v>2490728</v>
      </c>
      <c r="D7877" s="0" t="s">
        <v>26213</v>
      </c>
      <c r="E7877" s="0" t="s">
        <v>75</v>
      </c>
      <c r="F7877" s="0" t="s">
        <v>90</v>
      </c>
      <c r="G7877" s="0" t="s">
        <v>32</v>
      </c>
      <c r="H7877" s="0" t="n">
        <v>73</v>
      </c>
      <c r="I7877" s="0" t="s">
        <v>26223</v>
      </c>
      <c r="J7877" s="0" t="s">
        <v>26224</v>
      </c>
      <c r="K7877" s="0" t="s">
        <v>26225</v>
      </c>
      <c r="L7877" s="0" t="str">
        <f aca="false">HYPERLINK("https://www.ncbi.nlm.nih.gov/nuccore/CP000058.1?report=graph&amp;tracks=[key:gene_model_track,Options:GeneOnly]&amp;mk=2490781:2490800|offset_1|444444,2490760:2490779|offset_22|444444,2490739:2490758|offset_43|444444,2490709:2490728|offset_73|00cc00&amp;v=2490580:2490928&amp;c=444444", "offset 73")</f>
        <v>offset 73</v>
      </c>
    </row>
    <row r="7878" customFormat="false" ht="12.8" hidden="false" customHeight="false" outlineLevel="0" collapsed="false">
      <c r="A7878" s="0" t="s">
        <v>12</v>
      </c>
      <c r="B7878" s="0" t="n">
        <v>2491162</v>
      </c>
      <c r="C7878" s="0" t="n">
        <v>2491182</v>
      </c>
      <c r="D7878" s="0" t="s">
        <v>26226</v>
      </c>
      <c r="E7878" s="0" t="s">
        <v>26227</v>
      </c>
      <c r="F7878" s="0" t="s">
        <v>15</v>
      </c>
      <c r="G7878" s="0" t="s">
        <v>32</v>
      </c>
      <c r="H7878" s="0" t="n">
        <v>1</v>
      </c>
      <c r="I7878" s="0" t="s">
        <v>26228</v>
      </c>
      <c r="J7878" s="0" t="s">
        <v>26229</v>
      </c>
      <c r="K7878" s="0" t="s">
        <v>26230</v>
      </c>
      <c r="L7878" s="0" t="str">
        <f aca="false">HYPERLINK("https://www.ncbi.nlm.nih.gov/nuccore/CP000058.1?report=graph&amp;tracks=[key:gene_model_track,Options:GeneOnly]&amp;mk=2491163:2491182|offset_1|00cc00,2491183:2491202|offset_21|444444,2491220:2491239|offset_58|444444,2491250:2491269|offset_88|444444&amp;v=2490962:2491469&amp;c=444444", "offset 1")</f>
        <v>offset 1</v>
      </c>
    </row>
    <row r="7879" customFormat="false" ht="12.8" hidden="false" customHeight="false" outlineLevel="0" collapsed="false">
      <c r="A7879" s="0" t="s">
        <v>12</v>
      </c>
      <c r="B7879" s="0" t="n">
        <v>2491182</v>
      </c>
      <c r="C7879" s="0" t="n">
        <v>2491202</v>
      </c>
      <c r="D7879" s="0" t="s">
        <v>26226</v>
      </c>
      <c r="E7879" s="0" t="s">
        <v>26227</v>
      </c>
      <c r="F7879" s="0" t="s">
        <v>15</v>
      </c>
      <c r="G7879" s="0" t="s">
        <v>36</v>
      </c>
      <c r="H7879" s="0" t="n">
        <v>21</v>
      </c>
      <c r="I7879" s="0" t="s">
        <v>26231</v>
      </c>
      <c r="J7879" s="0" t="s">
        <v>26232</v>
      </c>
      <c r="K7879" s="0" t="s">
        <v>26233</v>
      </c>
      <c r="L7879" s="0" t="str">
        <f aca="false">HYPERLINK("https://www.ncbi.nlm.nih.gov/nuccore/CP000058.1?report=graph&amp;tracks=[key:gene_model_track,Options:GeneOnly]&amp;mk=2491163:2491182|offset_1|444444,2491183:2491202|offset_21|00cc00,2491220:2491239|offset_58|444444,2491250:2491269|offset_88|444444&amp;v=2490962:2491469&amp;c=444444", "offset 21")</f>
        <v>offset 21</v>
      </c>
    </row>
    <row r="7880" customFormat="false" ht="12.8" hidden="false" customHeight="false" outlineLevel="0" collapsed="false">
      <c r="A7880" s="0" t="s">
        <v>12</v>
      </c>
      <c r="B7880" s="0" t="n">
        <v>2491219</v>
      </c>
      <c r="C7880" s="0" t="n">
        <v>2491239</v>
      </c>
      <c r="D7880" s="0" t="s">
        <v>26226</v>
      </c>
      <c r="E7880" s="0" t="s">
        <v>26227</v>
      </c>
      <c r="F7880" s="0" t="s">
        <v>15</v>
      </c>
      <c r="G7880" s="0" t="s">
        <v>16</v>
      </c>
      <c r="H7880" s="0" t="n">
        <v>58</v>
      </c>
      <c r="I7880" s="0" t="s">
        <v>26234</v>
      </c>
      <c r="J7880" s="0" t="s">
        <v>26235</v>
      </c>
      <c r="K7880" s="0" t="s">
        <v>26236</v>
      </c>
      <c r="L7880" s="0" t="str">
        <f aca="false">HYPERLINK("https://www.ncbi.nlm.nih.gov/nuccore/CP000058.1?report=graph&amp;tracks=[key:gene_model_track,Options:GeneOnly]&amp;mk=2491163:2491182|offset_1|444444,2491183:2491202|offset_21|444444,2491220:2491239|offset_58|00cc00,2491250:2491269|offset_88|444444&amp;v=2490962:2491469&amp;c=444444", "offset 58")</f>
        <v>offset 58</v>
      </c>
    </row>
    <row r="7881" customFormat="false" ht="12.8" hidden="false" customHeight="false" outlineLevel="0" collapsed="false">
      <c r="A7881" s="0" t="s">
        <v>12</v>
      </c>
      <c r="B7881" s="0" t="n">
        <v>2491249</v>
      </c>
      <c r="C7881" s="0" t="n">
        <v>2491269</v>
      </c>
      <c r="D7881" s="0" t="s">
        <v>26226</v>
      </c>
      <c r="E7881" s="0" t="s">
        <v>26227</v>
      </c>
      <c r="F7881" s="0" t="s">
        <v>15</v>
      </c>
      <c r="G7881" s="0" t="s">
        <v>16</v>
      </c>
      <c r="H7881" s="0" t="n">
        <v>88</v>
      </c>
      <c r="I7881" s="0" t="s">
        <v>26237</v>
      </c>
      <c r="J7881" s="0" t="s">
        <v>26238</v>
      </c>
      <c r="K7881" s="0" t="s">
        <v>26239</v>
      </c>
      <c r="L7881" s="0" t="str">
        <f aca="false">HYPERLINK("https://www.ncbi.nlm.nih.gov/nuccore/CP000058.1?report=graph&amp;tracks=[key:gene_model_track,Options:GeneOnly]&amp;mk=2491163:2491182|offset_1|444444,2491183:2491202|offset_21|444444,2491220:2491239|offset_58|444444,2491250:2491269|offset_88|00cc00&amp;v=2490962:2491469&amp;c=444444", "offset 88")</f>
        <v>offset 88</v>
      </c>
    </row>
    <row r="7882" customFormat="false" ht="12.8" hidden="false" customHeight="false" outlineLevel="0" collapsed="false">
      <c r="A7882" s="0" t="s">
        <v>12</v>
      </c>
      <c r="B7882" s="0" t="n">
        <v>2493128</v>
      </c>
      <c r="C7882" s="0" t="n">
        <v>2493148</v>
      </c>
      <c r="D7882" s="0" t="s">
        <v>26240</v>
      </c>
      <c r="E7882" s="0" t="s">
        <v>26241</v>
      </c>
      <c r="F7882" s="0" t="s">
        <v>15</v>
      </c>
      <c r="G7882" s="0" t="s">
        <v>36</v>
      </c>
      <c r="H7882" s="0" t="n">
        <v>27</v>
      </c>
      <c r="I7882" s="0" t="s">
        <v>26242</v>
      </c>
      <c r="J7882" s="0" t="s">
        <v>26243</v>
      </c>
      <c r="K7882" s="0" t="s">
        <v>26244</v>
      </c>
      <c r="L7882" s="0" t="str">
        <f aca="false">HYPERLINK("https://www.ncbi.nlm.nih.gov/nuccore/CP000058.1?report=graph&amp;tracks=[key:gene_model_track,Options:GeneOnly]&amp;mk=2493129:2493148|offset_27|00cc00,2493160:2493179|offset_58|444444,2493235:2493254|offset_133|444444,2493271:2493290|offset_169|444444&amp;v=2492928:2493490&amp;c=444444", "offset 27")</f>
        <v>offset 27</v>
      </c>
    </row>
    <row r="7883" customFormat="false" ht="12.8" hidden="false" customHeight="false" outlineLevel="0" collapsed="false">
      <c r="A7883" s="0" t="s">
        <v>12</v>
      </c>
      <c r="B7883" s="0" t="n">
        <v>2493159</v>
      </c>
      <c r="C7883" s="0" t="n">
        <v>2493179</v>
      </c>
      <c r="D7883" s="0" t="s">
        <v>26240</v>
      </c>
      <c r="E7883" s="0" t="s">
        <v>26241</v>
      </c>
      <c r="F7883" s="0" t="s">
        <v>15</v>
      </c>
      <c r="G7883" s="0" t="s">
        <v>36</v>
      </c>
      <c r="H7883" s="0" t="n">
        <v>58</v>
      </c>
      <c r="I7883" s="0" t="s">
        <v>26245</v>
      </c>
      <c r="J7883" s="0" t="s">
        <v>26246</v>
      </c>
      <c r="K7883" s="0" t="s">
        <v>26247</v>
      </c>
      <c r="L7883" s="0" t="str">
        <f aca="false">HYPERLINK("https://www.ncbi.nlm.nih.gov/nuccore/CP000058.1?report=graph&amp;tracks=[key:gene_model_track,Options:GeneOnly]&amp;mk=2493129:2493148|offset_27|444444,2493160:2493179|offset_58|00cc00,2493235:2493254|offset_133|444444,2493271:2493290|offset_169|444444&amp;v=2492928:2493490&amp;c=444444", "offset 58")</f>
        <v>offset 58</v>
      </c>
    </row>
    <row r="7884" customFormat="false" ht="12.8" hidden="false" customHeight="false" outlineLevel="0" collapsed="false">
      <c r="A7884" s="0" t="s">
        <v>12</v>
      </c>
      <c r="B7884" s="0" t="n">
        <v>2493234</v>
      </c>
      <c r="C7884" s="0" t="n">
        <v>2493254</v>
      </c>
      <c r="D7884" s="0" t="s">
        <v>26240</v>
      </c>
      <c r="E7884" s="0" t="s">
        <v>26241</v>
      </c>
      <c r="F7884" s="0" t="s">
        <v>15</v>
      </c>
      <c r="G7884" s="0" t="s">
        <v>16</v>
      </c>
      <c r="H7884" s="0" t="n">
        <v>133</v>
      </c>
      <c r="I7884" s="0" t="s">
        <v>26248</v>
      </c>
      <c r="J7884" s="0" t="s">
        <v>26249</v>
      </c>
      <c r="K7884" s="0" t="s">
        <v>26250</v>
      </c>
      <c r="L7884" s="0" t="str">
        <f aca="false">HYPERLINK("https://www.ncbi.nlm.nih.gov/nuccore/CP000058.1?report=graph&amp;tracks=[key:gene_model_track,Options:GeneOnly]&amp;mk=2493129:2493148|offset_27|444444,2493160:2493179|offset_58|444444,2493235:2493254|offset_133|00cc00,2493271:2493290|offset_169|444444&amp;v=2492928:2493490&amp;c=444444", "offset 133")</f>
        <v>offset 133</v>
      </c>
    </row>
    <row r="7885" customFormat="false" ht="12.8" hidden="false" customHeight="false" outlineLevel="0" collapsed="false">
      <c r="A7885" s="0" t="s">
        <v>12</v>
      </c>
      <c r="B7885" s="0" t="n">
        <v>2493270</v>
      </c>
      <c r="C7885" s="0" t="n">
        <v>2493290</v>
      </c>
      <c r="D7885" s="0" t="s">
        <v>26240</v>
      </c>
      <c r="E7885" s="0" t="s">
        <v>26241</v>
      </c>
      <c r="F7885" s="0" t="s">
        <v>15</v>
      </c>
      <c r="G7885" s="0" t="s">
        <v>16</v>
      </c>
      <c r="H7885" s="0" t="n">
        <v>169</v>
      </c>
      <c r="I7885" s="0" t="s">
        <v>26251</v>
      </c>
      <c r="J7885" s="0" t="s">
        <v>26252</v>
      </c>
      <c r="K7885" s="0" t="s">
        <v>26253</v>
      </c>
      <c r="L7885" s="0" t="str">
        <f aca="false">HYPERLINK("https://www.ncbi.nlm.nih.gov/nuccore/CP000058.1?report=graph&amp;tracks=[key:gene_model_track,Options:GeneOnly]&amp;mk=2493129:2493148|offset_27|444444,2493160:2493179|offset_58|444444,2493235:2493254|offset_133|444444,2493271:2493290|offset_169|00cc00&amp;v=2492928:2493490&amp;c=444444", "offset 169")</f>
        <v>offset 169</v>
      </c>
    </row>
    <row r="7886" customFormat="false" ht="12.8" hidden="false" customHeight="false" outlineLevel="0" collapsed="false">
      <c r="A7886" s="0" t="s">
        <v>12</v>
      </c>
      <c r="B7886" s="0" t="n">
        <v>2493701</v>
      </c>
      <c r="C7886" s="0" t="n">
        <v>2493721</v>
      </c>
      <c r="D7886" s="0" t="s">
        <v>26254</v>
      </c>
      <c r="E7886" s="0" t="s">
        <v>26255</v>
      </c>
      <c r="F7886" s="0" t="s">
        <v>15</v>
      </c>
      <c r="G7886" s="0" t="s">
        <v>32</v>
      </c>
      <c r="H7886" s="0" t="n">
        <v>6</v>
      </c>
      <c r="I7886" s="0" t="s">
        <v>26256</v>
      </c>
      <c r="J7886" s="0" t="s">
        <v>26257</v>
      </c>
      <c r="K7886" s="0" t="s">
        <v>26258</v>
      </c>
      <c r="L7886" s="0" t="str">
        <f aca="false">HYPERLINK("https://www.ncbi.nlm.nih.gov/nuccore/CP000058.1?report=graph&amp;tracks=[key:gene_model_track,Options:GeneOnly]&amp;mk=2493702:2493721|offset_6|00cc00,2493748:2493767|offset_52|444444,2493785:2493804|offset_89|444444,2493849:2493868|offset_153|444444&amp;v=2493501:2494068&amp;c=444444", "offset 6")</f>
        <v>offset 6</v>
      </c>
    </row>
    <row r="7887" customFormat="false" ht="12.8" hidden="false" customHeight="false" outlineLevel="0" collapsed="false">
      <c r="A7887" s="0" t="s">
        <v>12</v>
      </c>
      <c r="B7887" s="0" t="n">
        <v>2493747</v>
      </c>
      <c r="C7887" s="0" t="n">
        <v>2493767</v>
      </c>
      <c r="D7887" s="0" t="s">
        <v>26254</v>
      </c>
      <c r="E7887" s="0" t="s">
        <v>26255</v>
      </c>
      <c r="F7887" s="0" t="s">
        <v>15</v>
      </c>
      <c r="G7887" s="0" t="s">
        <v>16</v>
      </c>
      <c r="H7887" s="0" t="n">
        <v>52</v>
      </c>
      <c r="I7887" s="0" t="s">
        <v>26259</v>
      </c>
      <c r="J7887" s="0" t="s">
        <v>26260</v>
      </c>
      <c r="K7887" s="0" t="s">
        <v>26261</v>
      </c>
      <c r="L7887" s="0" t="str">
        <f aca="false">HYPERLINK("https://www.ncbi.nlm.nih.gov/nuccore/CP000058.1?report=graph&amp;tracks=[key:gene_model_track,Options:GeneOnly]&amp;mk=2493702:2493721|offset_6|444444,2493748:2493767|offset_52|00cc00,2493785:2493804|offset_89|444444,2493849:2493868|offset_153|444444&amp;v=2493501:2494068&amp;c=444444", "offset 52")</f>
        <v>offset 52</v>
      </c>
    </row>
    <row r="7888" customFormat="false" ht="12.8" hidden="false" customHeight="false" outlineLevel="0" collapsed="false">
      <c r="A7888" s="0" t="s">
        <v>12</v>
      </c>
      <c r="B7888" s="0" t="n">
        <v>2493784</v>
      </c>
      <c r="C7888" s="0" t="n">
        <v>2493804</v>
      </c>
      <c r="D7888" s="0" t="s">
        <v>26254</v>
      </c>
      <c r="E7888" s="0" t="s">
        <v>26255</v>
      </c>
      <c r="F7888" s="0" t="s">
        <v>15</v>
      </c>
      <c r="G7888" s="0" t="s">
        <v>32</v>
      </c>
      <c r="H7888" s="0" t="n">
        <v>89</v>
      </c>
      <c r="I7888" s="0" t="s">
        <v>26262</v>
      </c>
      <c r="J7888" s="0" t="s">
        <v>26263</v>
      </c>
      <c r="K7888" s="0" t="s">
        <v>26264</v>
      </c>
      <c r="L7888" s="0" t="str">
        <f aca="false">HYPERLINK("https://www.ncbi.nlm.nih.gov/nuccore/CP000058.1?report=graph&amp;tracks=[key:gene_model_track,Options:GeneOnly]&amp;mk=2493702:2493721|offset_6|444444,2493748:2493767|offset_52|444444,2493785:2493804|offset_89|00cc00,2493849:2493868|offset_153|444444&amp;v=2493501:2494068&amp;c=444444", "offset 89")</f>
        <v>offset 89</v>
      </c>
    </row>
    <row r="7889" customFormat="false" ht="12.8" hidden="false" customHeight="false" outlineLevel="0" collapsed="false">
      <c r="A7889" s="0" t="s">
        <v>12</v>
      </c>
      <c r="B7889" s="0" t="n">
        <v>2493848</v>
      </c>
      <c r="C7889" s="0" t="n">
        <v>2493868</v>
      </c>
      <c r="D7889" s="0" t="s">
        <v>26254</v>
      </c>
      <c r="E7889" s="0" t="s">
        <v>26255</v>
      </c>
      <c r="F7889" s="0" t="s">
        <v>15</v>
      </c>
      <c r="G7889" s="0" t="s">
        <v>16</v>
      </c>
      <c r="H7889" s="0" t="n">
        <v>153</v>
      </c>
      <c r="I7889" s="0" t="s">
        <v>26265</v>
      </c>
      <c r="J7889" s="0" t="s">
        <v>26266</v>
      </c>
      <c r="K7889" s="0" t="s">
        <v>26267</v>
      </c>
      <c r="L7889" s="0" t="str">
        <f aca="false">HYPERLINK("https://www.ncbi.nlm.nih.gov/nuccore/CP000058.1?report=graph&amp;tracks=[key:gene_model_track,Options:GeneOnly]&amp;mk=2493702:2493721|offset_6|444444,2493748:2493767|offset_52|444444,2493785:2493804|offset_89|444444,2493849:2493868|offset_153|00cc00&amp;v=2493501:2494068&amp;c=444444", "offset 153")</f>
        <v>offset 153</v>
      </c>
    </row>
    <row r="7890" customFormat="false" ht="12.8" hidden="false" customHeight="false" outlineLevel="0" collapsed="false">
      <c r="A7890" s="0" t="s">
        <v>12</v>
      </c>
      <c r="B7890" s="0" t="n">
        <v>2493950</v>
      </c>
      <c r="C7890" s="0" t="n">
        <v>2493970</v>
      </c>
      <c r="D7890" s="0" t="s">
        <v>26268</v>
      </c>
      <c r="E7890" s="0" t="s">
        <v>26269</v>
      </c>
      <c r="F7890" s="0" t="s">
        <v>15</v>
      </c>
      <c r="G7890" s="0" t="s">
        <v>36</v>
      </c>
      <c r="H7890" s="0" t="n">
        <v>31</v>
      </c>
      <c r="I7890" s="0" t="s">
        <v>26270</v>
      </c>
      <c r="J7890" s="0" t="s">
        <v>26271</v>
      </c>
      <c r="K7890" s="0" t="s">
        <v>26272</v>
      </c>
      <c r="L7890" s="0" t="str">
        <f aca="false">HYPERLINK("https://www.ncbi.nlm.nih.gov/nuccore/CP000058.1?report=graph&amp;tracks=[key:gene_model_track,Options:GeneOnly]&amp;mk=2493951:2493970|offset_31|00cc00,2494018:2494037|offset_98|444444,2494051:2494070|offset_131|444444,2494093:2494112|offset_173|444444&amp;v=2493750:2494312&amp;c=444444", "offset 31")</f>
        <v>offset 31</v>
      </c>
    </row>
    <row r="7891" customFormat="false" ht="12.8" hidden="false" customHeight="false" outlineLevel="0" collapsed="false">
      <c r="A7891" s="0" t="s">
        <v>12</v>
      </c>
      <c r="B7891" s="0" t="n">
        <v>2494017</v>
      </c>
      <c r="C7891" s="0" t="n">
        <v>2494037</v>
      </c>
      <c r="D7891" s="0" t="s">
        <v>26268</v>
      </c>
      <c r="E7891" s="0" t="s">
        <v>26269</v>
      </c>
      <c r="F7891" s="0" t="s">
        <v>15</v>
      </c>
      <c r="G7891" s="0" t="s">
        <v>16</v>
      </c>
      <c r="H7891" s="0" t="n">
        <v>98</v>
      </c>
      <c r="I7891" s="0" t="s">
        <v>26273</v>
      </c>
      <c r="J7891" s="0" t="s">
        <v>26274</v>
      </c>
      <c r="K7891" s="0" t="s">
        <v>26275</v>
      </c>
      <c r="L7891" s="0" t="str">
        <f aca="false">HYPERLINK("https://www.ncbi.nlm.nih.gov/nuccore/CP000058.1?report=graph&amp;tracks=[key:gene_model_track,Options:GeneOnly]&amp;mk=2493951:2493970|offset_31|444444,2494018:2494037|offset_98|00cc00,2494051:2494070|offset_131|444444,2494093:2494112|offset_173|444444&amp;v=2493750:2494312&amp;c=444444", "offset 98")</f>
        <v>offset 98</v>
      </c>
    </row>
    <row r="7892" customFormat="false" ht="12.8" hidden="false" customHeight="false" outlineLevel="0" collapsed="false">
      <c r="A7892" s="0" t="s">
        <v>12</v>
      </c>
      <c r="B7892" s="0" t="n">
        <v>2494050</v>
      </c>
      <c r="C7892" s="0" t="n">
        <v>2494070</v>
      </c>
      <c r="D7892" s="0" t="s">
        <v>26268</v>
      </c>
      <c r="E7892" s="0" t="s">
        <v>26269</v>
      </c>
      <c r="F7892" s="0" t="s">
        <v>15</v>
      </c>
      <c r="G7892" s="0" t="s">
        <v>32</v>
      </c>
      <c r="H7892" s="0" t="n">
        <v>131</v>
      </c>
      <c r="I7892" s="0" t="s">
        <v>26276</v>
      </c>
      <c r="J7892" s="0" t="s">
        <v>26277</v>
      </c>
      <c r="K7892" s="0" t="s">
        <v>26278</v>
      </c>
      <c r="L7892" s="0" t="str">
        <f aca="false">HYPERLINK("https://www.ncbi.nlm.nih.gov/nuccore/CP000058.1?report=graph&amp;tracks=[key:gene_model_track,Options:GeneOnly]&amp;mk=2493951:2493970|offset_31|444444,2494018:2494037|offset_98|444444,2494051:2494070|offset_131|00cc00,2494093:2494112|offset_173|444444&amp;v=2493750:2494312&amp;c=444444", "offset 131")</f>
        <v>offset 131</v>
      </c>
    </row>
    <row r="7893" customFormat="false" ht="12.8" hidden="false" customHeight="false" outlineLevel="0" collapsed="false">
      <c r="A7893" s="0" t="s">
        <v>12</v>
      </c>
      <c r="B7893" s="0" t="n">
        <v>2494092</v>
      </c>
      <c r="C7893" s="0" t="n">
        <v>2494112</v>
      </c>
      <c r="D7893" s="0" t="s">
        <v>26268</v>
      </c>
      <c r="E7893" s="0" t="s">
        <v>26269</v>
      </c>
      <c r="F7893" s="0" t="s">
        <v>15</v>
      </c>
      <c r="G7893" s="0" t="s">
        <v>16</v>
      </c>
      <c r="H7893" s="0" t="n">
        <v>173</v>
      </c>
      <c r="I7893" s="0" t="s">
        <v>26279</v>
      </c>
      <c r="J7893" s="0" t="s">
        <v>26280</v>
      </c>
      <c r="K7893" s="0" t="s">
        <v>26281</v>
      </c>
      <c r="L7893" s="0" t="str">
        <f aca="false">HYPERLINK("https://www.ncbi.nlm.nih.gov/nuccore/CP000058.1?report=graph&amp;tracks=[key:gene_model_track,Options:GeneOnly]&amp;mk=2493951:2493970|offset_31|444444,2494018:2494037|offset_98|444444,2494051:2494070|offset_131|444444,2494093:2494112|offset_173|00cc00&amp;v=2493750:2494312&amp;c=444444", "offset 173")</f>
        <v>offset 173</v>
      </c>
    </row>
    <row r="7894" customFormat="false" ht="12.8" hidden="false" customHeight="false" outlineLevel="0" collapsed="false">
      <c r="A7894" s="0" t="s">
        <v>12</v>
      </c>
      <c r="B7894" s="0" t="n">
        <v>2494391</v>
      </c>
      <c r="C7894" s="0" t="n">
        <v>2494411</v>
      </c>
      <c r="D7894" s="0" t="s">
        <v>26282</v>
      </c>
      <c r="E7894" s="0" t="s">
        <v>26283</v>
      </c>
      <c r="F7894" s="0" t="s">
        <v>15</v>
      </c>
      <c r="G7894" s="0" t="s">
        <v>20</v>
      </c>
      <c r="H7894" s="0" t="n">
        <v>11</v>
      </c>
      <c r="I7894" s="0" t="s">
        <v>26284</v>
      </c>
      <c r="J7894" s="0" t="s">
        <v>26285</v>
      </c>
      <c r="K7894" s="0" t="s">
        <v>26286</v>
      </c>
      <c r="L7894" s="0" t="str">
        <f aca="false">HYPERLINK("https://www.ncbi.nlm.nih.gov/nuccore/CP000058.1?report=graph&amp;tracks=[key:gene_model_track,Options:GeneOnly]&amp;mk=2494392:2494411|offset_11|00cc00,2494436:2494455|offset_55|444444,2494464:2494483|offset_83|444444,2494514:2494533|offset_133|444444&amp;v=2494191:2494733&amp;c=444444", "offset 11")</f>
        <v>offset 11</v>
      </c>
    </row>
    <row r="7895" customFormat="false" ht="12.8" hidden="false" customHeight="false" outlineLevel="0" collapsed="false">
      <c r="A7895" s="0" t="s">
        <v>12</v>
      </c>
      <c r="B7895" s="0" t="n">
        <v>2494435</v>
      </c>
      <c r="C7895" s="0" t="n">
        <v>2494455</v>
      </c>
      <c r="D7895" s="0" t="s">
        <v>26282</v>
      </c>
      <c r="E7895" s="0" t="s">
        <v>26283</v>
      </c>
      <c r="F7895" s="0" t="s">
        <v>15</v>
      </c>
      <c r="G7895" s="0" t="s">
        <v>16</v>
      </c>
      <c r="H7895" s="0" t="n">
        <v>55</v>
      </c>
      <c r="I7895" s="0" t="s">
        <v>26287</v>
      </c>
      <c r="J7895" s="0" t="s">
        <v>26288</v>
      </c>
      <c r="K7895" s="0" t="s">
        <v>26289</v>
      </c>
      <c r="L7895" s="0" t="str">
        <f aca="false">HYPERLINK("https://www.ncbi.nlm.nih.gov/nuccore/CP000058.1?report=graph&amp;tracks=[key:gene_model_track,Options:GeneOnly]&amp;mk=2494392:2494411|offset_11|444444,2494436:2494455|offset_55|00cc00,2494464:2494483|offset_83|444444,2494514:2494533|offset_133|444444&amp;v=2494191:2494733&amp;c=444444", "offset 55")</f>
        <v>offset 55</v>
      </c>
    </row>
    <row r="7896" customFormat="false" ht="12.8" hidden="false" customHeight="false" outlineLevel="0" collapsed="false">
      <c r="A7896" s="0" t="s">
        <v>12</v>
      </c>
      <c r="B7896" s="0" t="n">
        <v>2494463</v>
      </c>
      <c r="C7896" s="0" t="n">
        <v>2494483</v>
      </c>
      <c r="D7896" s="0" t="s">
        <v>26282</v>
      </c>
      <c r="E7896" s="0" t="s">
        <v>26283</v>
      </c>
      <c r="F7896" s="0" t="s">
        <v>15</v>
      </c>
      <c r="G7896" s="0" t="s">
        <v>16</v>
      </c>
      <c r="H7896" s="0" t="n">
        <v>83</v>
      </c>
      <c r="I7896" s="0" t="s">
        <v>26290</v>
      </c>
      <c r="J7896" s="0" t="s">
        <v>26291</v>
      </c>
      <c r="K7896" s="0" t="s">
        <v>26292</v>
      </c>
      <c r="L7896" s="0" t="str">
        <f aca="false">HYPERLINK("https://www.ncbi.nlm.nih.gov/nuccore/CP000058.1?report=graph&amp;tracks=[key:gene_model_track,Options:GeneOnly]&amp;mk=2494392:2494411|offset_11|444444,2494436:2494455|offset_55|444444,2494464:2494483|offset_83|00cc00,2494514:2494533|offset_133|444444&amp;v=2494191:2494733&amp;c=444444", "offset 83")</f>
        <v>offset 83</v>
      </c>
    </row>
    <row r="7897" customFormat="false" ht="12.8" hidden="false" customHeight="false" outlineLevel="0" collapsed="false">
      <c r="A7897" s="0" t="s">
        <v>12</v>
      </c>
      <c r="B7897" s="0" t="n">
        <v>2494513</v>
      </c>
      <c r="C7897" s="0" t="n">
        <v>2494533</v>
      </c>
      <c r="D7897" s="0" t="s">
        <v>26282</v>
      </c>
      <c r="E7897" s="0" t="s">
        <v>26283</v>
      </c>
      <c r="F7897" s="0" t="s">
        <v>15</v>
      </c>
      <c r="G7897" s="0" t="s">
        <v>36</v>
      </c>
      <c r="H7897" s="0" t="n">
        <v>133</v>
      </c>
      <c r="I7897" s="0" t="s">
        <v>26293</v>
      </c>
      <c r="J7897" s="0" t="s">
        <v>26294</v>
      </c>
      <c r="K7897" s="0" t="s">
        <v>26295</v>
      </c>
      <c r="L7897" s="0" t="str">
        <f aca="false">HYPERLINK("https://www.ncbi.nlm.nih.gov/nuccore/CP000058.1?report=graph&amp;tracks=[key:gene_model_track,Options:GeneOnly]&amp;mk=2494392:2494411|offset_11|444444,2494436:2494455|offset_55|444444,2494464:2494483|offset_83|444444,2494514:2494533|offset_133|00cc00&amp;v=2494191:2494733&amp;c=444444", "offset 133")</f>
        <v>offset 133</v>
      </c>
    </row>
    <row r="7898" customFormat="false" ht="12.8" hidden="false" customHeight="false" outlineLevel="0" collapsed="false">
      <c r="A7898" s="0" t="s">
        <v>12</v>
      </c>
      <c r="B7898" s="0" t="n">
        <v>2495466</v>
      </c>
      <c r="C7898" s="0" t="n">
        <v>2495486</v>
      </c>
      <c r="D7898" s="0" t="s">
        <v>26296</v>
      </c>
      <c r="E7898" s="0" t="s">
        <v>26297</v>
      </c>
      <c r="F7898" s="0" t="s">
        <v>15</v>
      </c>
      <c r="G7898" s="0" t="s">
        <v>36</v>
      </c>
      <c r="H7898" s="0" t="n">
        <v>41</v>
      </c>
      <c r="I7898" s="0" t="s">
        <v>26298</v>
      </c>
      <c r="J7898" s="0" t="s">
        <v>26299</v>
      </c>
      <c r="K7898" s="0" t="s">
        <v>26300</v>
      </c>
      <c r="L7898" s="0" t="str">
        <f aca="false">HYPERLINK("https://www.ncbi.nlm.nih.gov/nuccore/CP000058.1?report=graph&amp;tracks=[key:gene_model_track,Options:GeneOnly]&amp;mk=2495467:2495486|offset_41|00cc00,2495511:2495530|offset_85|444444,2495541:2495560|offset_115|444444,2495597:2495616|offset_171|444444&amp;v=2495266:2495816&amp;c=444444", "offset 41")</f>
        <v>offset 41</v>
      </c>
    </row>
    <row r="7899" customFormat="false" ht="12.8" hidden="false" customHeight="false" outlineLevel="0" collapsed="false">
      <c r="A7899" s="0" t="s">
        <v>12</v>
      </c>
      <c r="B7899" s="0" t="n">
        <v>2495510</v>
      </c>
      <c r="C7899" s="0" t="n">
        <v>2495530</v>
      </c>
      <c r="D7899" s="0" t="s">
        <v>26296</v>
      </c>
      <c r="E7899" s="0" t="s">
        <v>26297</v>
      </c>
      <c r="F7899" s="0" t="s">
        <v>15</v>
      </c>
      <c r="G7899" s="0" t="s">
        <v>16</v>
      </c>
      <c r="H7899" s="0" t="n">
        <v>85</v>
      </c>
      <c r="I7899" s="0" t="s">
        <v>26301</v>
      </c>
      <c r="J7899" s="0" t="s">
        <v>26302</v>
      </c>
      <c r="K7899" s="0" t="s">
        <v>26303</v>
      </c>
      <c r="L7899" s="0" t="str">
        <f aca="false">HYPERLINK("https://www.ncbi.nlm.nih.gov/nuccore/CP000058.1?report=graph&amp;tracks=[key:gene_model_track,Options:GeneOnly]&amp;mk=2495467:2495486|offset_41|444444,2495511:2495530|offset_85|00cc00,2495541:2495560|offset_115|444444,2495597:2495616|offset_171|444444&amp;v=2495266:2495816&amp;c=444444", "offset 85")</f>
        <v>offset 85</v>
      </c>
    </row>
    <row r="7900" customFormat="false" ht="12.8" hidden="false" customHeight="false" outlineLevel="0" collapsed="false">
      <c r="A7900" s="0" t="s">
        <v>12</v>
      </c>
      <c r="B7900" s="0" t="n">
        <v>2495540</v>
      </c>
      <c r="C7900" s="0" t="n">
        <v>2495560</v>
      </c>
      <c r="D7900" s="0" t="s">
        <v>26296</v>
      </c>
      <c r="E7900" s="0" t="s">
        <v>26297</v>
      </c>
      <c r="F7900" s="0" t="s">
        <v>15</v>
      </c>
      <c r="G7900" s="0" t="s">
        <v>16</v>
      </c>
      <c r="H7900" s="0" t="n">
        <v>115</v>
      </c>
      <c r="I7900" s="0" t="s">
        <v>26304</v>
      </c>
      <c r="J7900" s="0" t="s">
        <v>26305</v>
      </c>
      <c r="K7900" s="0" t="s">
        <v>26306</v>
      </c>
      <c r="L7900" s="0" t="str">
        <f aca="false">HYPERLINK("https://www.ncbi.nlm.nih.gov/nuccore/CP000058.1?report=graph&amp;tracks=[key:gene_model_track,Options:GeneOnly]&amp;mk=2495467:2495486|offset_41|444444,2495511:2495530|offset_85|444444,2495541:2495560|offset_115|00cc00,2495597:2495616|offset_171|444444&amp;v=2495266:2495816&amp;c=444444", "offset 115")</f>
        <v>offset 115</v>
      </c>
    </row>
    <row r="7901" customFormat="false" ht="12.8" hidden="false" customHeight="false" outlineLevel="0" collapsed="false">
      <c r="A7901" s="0" t="s">
        <v>12</v>
      </c>
      <c r="B7901" s="0" t="n">
        <v>2495596</v>
      </c>
      <c r="C7901" s="0" t="n">
        <v>2495616</v>
      </c>
      <c r="D7901" s="0" t="s">
        <v>26296</v>
      </c>
      <c r="E7901" s="0" t="s">
        <v>26297</v>
      </c>
      <c r="F7901" s="0" t="s">
        <v>15</v>
      </c>
      <c r="G7901" s="0" t="s">
        <v>36</v>
      </c>
      <c r="H7901" s="0" t="n">
        <v>171</v>
      </c>
      <c r="I7901" s="0" t="s">
        <v>26307</v>
      </c>
      <c r="J7901" s="0" t="s">
        <v>26308</v>
      </c>
      <c r="K7901" s="0" t="s">
        <v>26309</v>
      </c>
      <c r="L7901" s="0" t="str">
        <f aca="false">HYPERLINK("https://www.ncbi.nlm.nih.gov/nuccore/CP000058.1?report=graph&amp;tracks=[key:gene_model_track,Options:GeneOnly]&amp;mk=2495467:2495486|offset_41|444444,2495511:2495530|offset_85|444444,2495541:2495560|offset_115|444444,2495597:2495616|offset_171|00cc00&amp;v=2495266:2495816&amp;c=444444", "offset 171")</f>
        <v>offset 171</v>
      </c>
    </row>
    <row r="7902" customFormat="false" ht="12.8" hidden="false" customHeight="false" outlineLevel="0" collapsed="false">
      <c r="A7902" s="0" t="s">
        <v>12</v>
      </c>
      <c r="B7902" s="0" t="n">
        <v>2497838</v>
      </c>
      <c r="C7902" s="0" t="n">
        <v>2497858</v>
      </c>
      <c r="D7902" s="0" t="s">
        <v>26310</v>
      </c>
      <c r="E7902" s="0" t="s">
        <v>26311</v>
      </c>
      <c r="F7902" s="0" t="s">
        <v>15</v>
      </c>
      <c r="G7902" s="0" t="s">
        <v>16</v>
      </c>
      <c r="H7902" s="0" t="n">
        <v>31</v>
      </c>
      <c r="I7902" s="0" t="s">
        <v>26312</v>
      </c>
      <c r="J7902" s="0" t="s">
        <v>26313</v>
      </c>
      <c r="K7902" s="0" t="s">
        <v>26314</v>
      </c>
      <c r="L7902" s="0" t="str">
        <f aca="false">HYPERLINK("https://www.ncbi.nlm.nih.gov/nuccore/CP000058.1?report=graph&amp;tracks=[key:gene_model_track,Options:GeneOnly]&amp;mk=2497839:2497858|offset_31|00cc00,2497864:2497883|offset_56|444444,2497972:2497991|offset_164|444444,2497994:2498013|offset_186|444444&amp;v=2497638:2498213&amp;c=444444", "offset 31")</f>
        <v>offset 31</v>
      </c>
    </row>
    <row r="7903" customFormat="false" ht="12.8" hidden="false" customHeight="false" outlineLevel="0" collapsed="false">
      <c r="A7903" s="0" t="s">
        <v>12</v>
      </c>
      <c r="B7903" s="0" t="n">
        <v>2497863</v>
      </c>
      <c r="C7903" s="0" t="n">
        <v>2497883</v>
      </c>
      <c r="D7903" s="0" t="s">
        <v>26310</v>
      </c>
      <c r="E7903" s="0" t="s">
        <v>26311</v>
      </c>
      <c r="F7903" s="0" t="s">
        <v>15</v>
      </c>
      <c r="G7903" s="0" t="s">
        <v>20</v>
      </c>
      <c r="H7903" s="0" t="n">
        <v>56</v>
      </c>
      <c r="I7903" s="0" t="s">
        <v>26315</v>
      </c>
      <c r="J7903" s="0" t="s">
        <v>26316</v>
      </c>
      <c r="K7903" s="0" t="s">
        <v>26317</v>
      </c>
      <c r="L7903" s="0" t="str">
        <f aca="false">HYPERLINK("https://www.ncbi.nlm.nih.gov/nuccore/CP000058.1?report=graph&amp;tracks=[key:gene_model_track,Options:GeneOnly]&amp;mk=2497839:2497858|offset_31|444444,2497864:2497883|offset_56|00cc00,2497972:2497991|offset_164|444444,2497994:2498013|offset_186|444444&amp;v=2497638:2498213&amp;c=444444", "offset 56")</f>
        <v>offset 56</v>
      </c>
    </row>
    <row r="7904" customFormat="false" ht="12.8" hidden="false" customHeight="false" outlineLevel="0" collapsed="false">
      <c r="A7904" s="0" t="s">
        <v>12</v>
      </c>
      <c r="B7904" s="0" t="n">
        <v>2497971</v>
      </c>
      <c r="C7904" s="0" t="n">
        <v>2497991</v>
      </c>
      <c r="D7904" s="0" t="s">
        <v>26310</v>
      </c>
      <c r="E7904" s="0" t="s">
        <v>26311</v>
      </c>
      <c r="F7904" s="0" t="s">
        <v>15</v>
      </c>
      <c r="G7904" s="0" t="s">
        <v>20</v>
      </c>
      <c r="H7904" s="0" t="n">
        <v>164</v>
      </c>
      <c r="I7904" s="0" t="s">
        <v>26318</v>
      </c>
      <c r="J7904" s="0" t="s">
        <v>26319</v>
      </c>
      <c r="K7904" s="0" t="s">
        <v>26320</v>
      </c>
      <c r="L7904" s="0" t="str">
        <f aca="false">HYPERLINK("https://www.ncbi.nlm.nih.gov/nuccore/CP000058.1?report=graph&amp;tracks=[key:gene_model_track,Options:GeneOnly]&amp;mk=2497839:2497858|offset_31|444444,2497864:2497883|offset_56|444444,2497972:2497991|offset_164|00cc00,2497994:2498013|offset_186|444444&amp;v=2497638:2498213&amp;c=444444", "offset 164")</f>
        <v>offset 164</v>
      </c>
    </row>
    <row r="7905" customFormat="false" ht="12.8" hidden="false" customHeight="false" outlineLevel="0" collapsed="false">
      <c r="A7905" s="0" t="s">
        <v>12</v>
      </c>
      <c r="B7905" s="0" t="n">
        <v>2497993</v>
      </c>
      <c r="C7905" s="0" t="n">
        <v>2498013</v>
      </c>
      <c r="D7905" s="0" t="s">
        <v>26310</v>
      </c>
      <c r="E7905" s="0" t="s">
        <v>26311</v>
      </c>
      <c r="F7905" s="0" t="s">
        <v>15</v>
      </c>
      <c r="G7905" s="0" t="s">
        <v>20</v>
      </c>
      <c r="H7905" s="0" t="n">
        <v>186</v>
      </c>
      <c r="I7905" s="0" t="s">
        <v>26321</v>
      </c>
      <c r="J7905" s="0" t="s">
        <v>26322</v>
      </c>
      <c r="K7905" s="0" t="s">
        <v>26323</v>
      </c>
      <c r="L7905" s="0" t="str">
        <f aca="false">HYPERLINK("https://www.ncbi.nlm.nih.gov/nuccore/CP000058.1?report=graph&amp;tracks=[key:gene_model_track,Options:GeneOnly]&amp;mk=2497839:2497858|offset_31|444444,2497864:2497883|offset_56|444444,2497972:2497991|offset_164|444444,2497994:2498013|offset_186|00cc00&amp;v=2497638:2498213&amp;c=444444", "offset 186")</f>
        <v>offset 186</v>
      </c>
    </row>
    <row r="7906" customFormat="false" ht="12.8" hidden="false" customHeight="false" outlineLevel="0" collapsed="false">
      <c r="A7906" s="0" t="s">
        <v>12</v>
      </c>
      <c r="B7906" s="0" t="n">
        <v>2498123</v>
      </c>
      <c r="C7906" s="0" t="n">
        <v>2498143</v>
      </c>
      <c r="D7906" s="0" t="s">
        <v>26324</v>
      </c>
      <c r="E7906" s="0" t="s">
        <v>75</v>
      </c>
      <c r="F7906" s="0" t="s">
        <v>15</v>
      </c>
      <c r="G7906" s="0" t="s">
        <v>16</v>
      </c>
      <c r="H7906" s="0" t="n">
        <v>33</v>
      </c>
      <c r="I7906" s="0" t="s">
        <v>26325</v>
      </c>
      <c r="J7906" s="0" t="s">
        <v>26326</v>
      </c>
      <c r="K7906" s="0" t="s">
        <v>26327</v>
      </c>
      <c r="L7906" s="0" t="str">
        <f aca="false">HYPERLINK("https://www.ncbi.nlm.nih.gov/nuccore/CP000058.1?report=graph&amp;tracks=[key:gene_model_track,Options:GeneOnly]&amp;mk=2498124:2498143|offset_33|00cc00,2498152:2498171|offset_61|444444,2498187:2498206|offset_96|444444,2498220:2498239|offset_129|444444&amp;v=2497923:2498439&amp;c=444444", "offset 33")</f>
        <v>offset 33</v>
      </c>
    </row>
    <row r="7907" customFormat="false" ht="12.8" hidden="false" customHeight="false" outlineLevel="0" collapsed="false">
      <c r="A7907" s="0" t="s">
        <v>12</v>
      </c>
      <c r="B7907" s="0" t="n">
        <v>2498151</v>
      </c>
      <c r="C7907" s="0" t="n">
        <v>2498171</v>
      </c>
      <c r="D7907" s="0" t="s">
        <v>26324</v>
      </c>
      <c r="E7907" s="0" t="s">
        <v>75</v>
      </c>
      <c r="F7907" s="0" t="s">
        <v>15</v>
      </c>
      <c r="G7907" s="0" t="s">
        <v>32</v>
      </c>
      <c r="H7907" s="0" t="n">
        <v>61</v>
      </c>
      <c r="I7907" s="0" t="s">
        <v>26328</v>
      </c>
      <c r="J7907" s="0" t="s">
        <v>26329</v>
      </c>
      <c r="K7907" s="0" t="s">
        <v>26330</v>
      </c>
      <c r="L7907" s="0" t="str">
        <f aca="false">HYPERLINK("https://www.ncbi.nlm.nih.gov/nuccore/CP000058.1?report=graph&amp;tracks=[key:gene_model_track,Options:GeneOnly]&amp;mk=2498124:2498143|offset_33|444444,2498152:2498171|offset_61|00cc00,2498187:2498206|offset_96|444444,2498220:2498239|offset_129|444444&amp;v=2497923:2498439&amp;c=444444", "offset 61")</f>
        <v>offset 61</v>
      </c>
    </row>
    <row r="7908" customFormat="false" ht="12.8" hidden="false" customHeight="false" outlineLevel="0" collapsed="false">
      <c r="A7908" s="0" t="s">
        <v>12</v>
      </c>
      <c r="B7908" s="0" t="n">
        <v>2498186</v>
      </c>
      <c r="C7908" s="0" t="n">
        <v>2498206</v>
      </c>
      <c r="D7908" s="0" t="s">
        <v>26324</v>
      </c>
      <c r="E7908" s="0" t="s">
        <v>75</v>
      </c>
      <c r="F7908" s="0" t="s">
        <v>15</v>
      </c>
      <c r="G7908" s="0" t="s">
        <v>16</v>
      </c>
      <c r="H7908" s="0" t="n">
        <v>96</v>
      </c>
      <c r="I7908" s="0" t="s">
        <v>26331</v>
      </c>
      <c r="J7908" s="0" t="s">
        <v>26332</v>
      </c>
      <c r="K7908" s="0" t="s">
        <v>26333</v>
      </c>
      <c r="L7908" s="0" t="str">
        <f aca="false">HYPERLINK("https://www.ncbi.nlm.nih.gov/nuccore/CP000058.1?report=graph&amp;tracks=[key:gene_model_track,Options:GeneOnly]&amp;mk=2498124:2498143|offset_33|444444,2498152:2498171|offset_61|444444,2498187:2498206|offset_96|00cc00,2498220:2498239|offset_129|444444&amp;v=2497923:2498439&amp;c=444444", "offset 96")</f>
        <v>offset 96</v>
      </c>
    </row>
    <row r="7909" customFormat="false" ht="12.8" hidden="false" customHeight="false" outlineLevel="0" collapsed="false">
      <c r="A7909" s="0" t="s">
        <v>12</v>
      </c>
      <c r="B7909" s="0" t="n">
        <v>2498219</v>
      </c>
      <c r="C7909" s="0" t="n">
        <v>2498239</v>
      </c>
      <c r="D7909" s="0" t="s">
        <v>26324</v>
      </c>
      <c r="E7909" s="0" t="s">
        <v>75</v>
      </c>
      <c r="F7909" s="0" t="s">
        <v>15</v>
      </c>
      <c r="G7909" s="0" t="s">
        <v>20</v>
      </c>
      <c r="H7909" s="0" t="n">
        <v>129</v>
      </c>
      <c r="I7909" s="0" t="s">
        <v>26334</v>
      </c>
      <c r="J7909" s="0" t="s">
        <v>26335</v>
      </c>
      <c r="K7909" s="0" t="s">
        <v>26336</v>
      </c>
      <c r="L7909" s="0" t="str">
        <f aca="false">HYPERLINK("https://www.ncbi.nlm.nih.gov/nuccore/CP000058.1?report=graph&amp;tracks=[key:gene_model_track,Options:GeneOnly]&amp;mk=2498124:2498143|offset_33|444444,2498152:2498171|offset_61|444444,2498187:2498206|offset_96|444444,2498220:2498239|offset_129|00cc00&amp;v=2497923:2498439&amp;c=444444", "offset 129")</f>
        <v>offset 129</v>
      </c>
    </row>
    <row r="7910" customFormat="false" ht="12.8" hidden="false" customHeight="false" outlineLevel="0" collapsed="false">
      <c r="A7910" s="0" t="s">
        <v>12</v>
      </c>
      <c r="B7910" s="0" t="n">
        <v>2499609</v>
      </c>
      <c r="C7910" s="0" t="n">
        <v>2499629</v>
      </c>
      <c r="D7910" s="0" t="s">
        <v>26337</v>
      </c>
      <c r="E7910" s="0" t="s">
        <v>75</v>
      </c>
      <c r="F7910" s="0" t="s">
        <v>90</v>
      </c>
      <c r="G7910" s="0" t="s">
        <v>16</v>
      </c>
      <c r="H7910" s="0" t="n">
        <v>7</v>
      </c>
      <c r="I7910" s="0" t="s">
        <v>26338</v>
      </c>
      <c r="J7910" s="0" t="s">
        <v>26339</v>
      </c>
      <c r="K7910" s="0" t="s">
        <v>26340</v>
      </c>
      <c r="L7910" s="0" t="str">
        <f aca="false">HYPERLINK("https://www.ncbi.nlm.nih.gov/nuccore/CP000058.1?report=graph&amp;tracks=[key:gene_model_track,Options:GeneOnly]&amp;mk=2499610:2499629|offset_7|00cc00,2499585:2499604|offset_32|444444,2499565:2499584|offset_52|444444,2499535:2499554|offset_82|444444&amp;v=2499409:2499754&amp;c=444444", "offset 7")</f>
        <v>offset 7</v>
      </c>
    </row>
    <row r="7911" customFormat="false" ht="12.8" hidden="false" customHeight="false" outlineLevel="0" collapsed="false">
      <c r="A7911" s="0" t="s">
        <v>12</v>
      </c>
      <c r="B7911" s="0" t="n">
        <v>2499584</v>
      </c>
      <c r="C7911" s="0" t="n">
        <v>2499604</v>
      </c>
      <c r="D7911" s="0" t="s">
        <v>26337</v>
      </c>
      <c r="E7911" s="0" t="s">
        <v>75</v>
      </c>
      <c r="F7911" s="0" t="s">
        <v>90</v>
      </c>
      <c r="G7911" s="0" t="s">
        <v>32</v>
      </c>
      <c r="H7911" s="0" t="n">
        <v>32</v>
      </c>
      <c r="I7911" s="0" t="s">
        <v>26341</v>
      </c>
      <c r="J7911" s="0" t="s">
        <v>26342</v>
      </c>
      <c r="K7911" s="0" t="s">
        <v>26343</v>
      </c>
      <c r="L7911" s="0" t="str">
        <f aca="false">HYPERLINK("https://www.ncbi.nlm.nih.gov/nuccore/CP000058.1?report=graph&amp;tracks=[key:gene_model_track,Options:GeneOnly]&amp;mk=2499610:2499629|offset_7|444444,2499585:2499604|offset_32|00cc00,2499565:2499584|offset_52|444444,2499535:2499554|offset_82|444444&amp;v=2499409:2499754&amp;c=444444", "offset 32")</f>
        <v>offset 32</v>
      </c>
    </row>
    <row r="7912" customFormat="false" ht="12.8" hidden="false" customHeight="false" outlineLevel="0" collapsed="false">
      <c r="A7912" s="0" t="s">
        <v>12</v>
      </c>
      <c r="B7912" s="0" t="n">
        <v>2499564</v>
      </c>
      <c r="C7912" s="0" t="n">
        <v>2499584</v>
      </c>
      <c r="D7912" s="0" t="s">
        <v>26337</v>
      </c>
      <c r="E7912" s="0" t="s">
        <v>75</v>
      </c>
      <c r="F7912" s="0" t="s">
        <v>90</v>
      </c>
      <c r="G7912" s="0" t="s">
        <v>20</v>
      </c>
      <c r="H7912" s="0" t="n">
        <v>52</v>
      </c>
      <c r="I7912" s="0" t="s">
        <v>26344</v>
      </c>
      <c r="J7912" s="0" t="s">
        <v>26345</v>
      </c>
      <c r="K7912" s="0" t="s">
        <v>26346</v>
      </c>
      <c r="L7912" s="0" t="str">
        <f aca="false">HYPERLINK("https://www.ncbi.nlm.nih.gov/nuccore/CP000058.1?report=graph&amp;tracks=[key:gene_model_track,Options:GeneOnly]&amp;mk=2499610:2499629|offset_7|444444,2499585:2499604|offset_32|444444,2499565:2499584|offset_52|00cc00,2499535:2499554|offset_82|444444&amp;v=2499409:2499754&amp;c=444444", "offset 52")</f>
        <v>offset 52</v>
      </c>
    </row>
    <row r="7913" customFormat="false" ht="12.8" hidden="false" customHeight="false" outlineLevel="0" collapsed="false">
      <c r="A7913" s="0" t="s">
        <v>12</v>
      </c>
      <c r="B7913" s="0" t="n">
        <v>2499534</v>
      </c>
      <c r="C7913" s="0" t="n">
        <v>2499554</v>
      </c>
      <c r="D7913" s="0" t="s">
        <v>26337</v>
      </c>
      <c r="E7913" s="0" t="s">
        <v>75</v>
      </c>
      <c r="F7913" s="0" t="s">
        <v>90</v>
      </c>
      <c r="G7913" s="0" t="s">
        <v>16</v>
      </c>
      <c r="H7913" s="0" t="n">
        <v>82</v>
      </c>
      <c r="I7913" s="0" t="s">
        <v>26347</v>
      </c>
      <c r="J7913" s="0" t="s">
        <v>26348</v>
      </c>
      <c r="K7913" s="0" t="s">
        <v>26349</v>
      </c>
      <c r="L7913" s="0" t="str">
        <f aca="false">HYPERLINK("https://www.ncbi.nlm.nih.gov/nuccore/CP000058.1?report=graph&amp;tracks=[key:gene_model_track,Options:GeneOnly]&amp;mk=2499610:2499629|offset_7|444444,2499585:2499604|offset_32|444444,2499565:2499584|offset_52|444444,2499535:2499554|offset_82|00cc00&amp;v=2499409:2499754&amp;c=444444", "offset 82")</f>
        <v>offset 82</v>
      </c>
    </row>
    <row r="7914" customFormat="false" ht="12.8" hidden="false" customHeight="false" outlineLevel="0" collapsed="false">
      <c r="A7914" s="0" t="s">
        <v>12</v>
      </c>
      <c r="B7914" s="0" t="n">
        <v>2500697</v>
      </c>
      <c r="C7914" s="0" t="n">
        <v>2500717</v>
      </c>
      <c r="D7914" s="0" t="s">
        <v>26350</v>
      </c>
      <c r="E7914" s="0" t="s">
        <v>75</v>
      </c>
      <c r="F7914" s="0" t="s">
        <v>90</v>
      </c>
      <c r="G7914" s="0" t="s">
        <v>32</v>
      </c>
      <c r="H7914" s="0" t="n">
        <v>1</v>
      </c>
      <c r="I7914" s="0" t="s">
        <v>26351</v>
      </c>
      <c r="J7914" s="0" t="s">
        <v>26352</v>
      </c>
      <c r="K7914" s="0" t="s">
        <v>26353</v>
      </c>
      <c r="L7914" s="0" t="str">
        <f aca="false">HYPERLINK("https://www.ncbi.nlm.nih.gov/nuccore/CP000058.1?report=graph&amp;tracks=[key:gene_model_track,Options:GeneOnly]&amp;mk=2500698:2500717|offset_1|00cc00,2500677:2500696|offset_22|444444,2500650:2500669|offset_49|444444,2500628:2500647|offset_71|444444&amp;v=2500497:2500847&amp;c=444444", "offset 1")</f>
        <v>offset 1</v>
      </c>
    </row>
    <row r="7915" customFormat="false" ht="12.8" hidden="false" customHeight="false" outlineLevel="0" collapsed="false">
      <c r="A7915" s="0" t="s">
        <v>12</v>
      </c>
      <c r="B7915" s="0" t="n">
        <v>2500676</v>
      </c>
      <c r="C7915" s="0" t="n">
        <v>2500696</v>
      </c>
      <c r="D7915" s="0" t="s">
        <v>26350</v>
      </c>
      <c r="E7915" s="0" t="s">
        <v>75</v>
      </c>
      <c r="F7915" s="0" t="s">
        <v>90</v>
      </c>
      <c r="G7915" s="0" t="s">
        <v>16</v>
      </c>
      <c r="H7915" s="0" t="n">
        <v>22</v>
      </c>
      <c r="I7915" s="0" t="s">
        <v>26354</v>
      </c>
      <c r="J7915" s="0" t="s">
        <v>26355</v>
      </c>
      <c r="K7915" s="0" t="s">
        <v>26356</v>
      </c>
      <c r="L7915" s="0" t="str">
        <f aca="false">HYPERLINK("https://www.ncbi.nlm.nih.gov/nuccore/CP000058.1?report=graph&amp;tracks=[key:gene_model_track,Options:GeneOnly]&amp;mk=2500698:2500717|offset_1|444444,2500677:2500696|offset_22|00cc00,2500650:2500669|offset_49|444444,2500628:2500647|offset_71|444444&amp;v=2500497:2500847&amp;c=444444", "offset 22")</f>
        <v>offset 22</v>
      </c>
    </row>
    <row r="7916" customFormat="false" ht="12.8" hidden="false" customHeight="false" outlineLevel="0" collapsed="false">
      <c r="A7916" s="0" t="s">
        <v>12</v>
      </c>
      <c r="B7916" s="0" t="n">
        <v>2500649</v>
      </c>
      <c r="C7916" s="0" t="n">
        <v>2500669</v>
      </c>
      <c r="D7916" s="0" t="s">
        <v>26350</v>
      </c>
      <c r="E7916" s="0" t="s">
        <v>75</v>
      </c>
      <c r="F7916" s="0" t="s">
        <v>90</v>
      </c>
      <c r="G7916" s="0" t="s">
        <v>20</v>
      </c>
      <c r="H7916" s="0" t="n">
        <v>49</v>
      </c>
      <c r="I7916" s="0" t="s">
        <v>26357</v>
      </c>
      <c r="J7916" s="0" t="s">
        <v>26358</v>
      </c>
      <c r="K7916" s="0" t="s">
        <v>26359</v>
      </c>
      <c r="L7916" s="0" t="str">
        <f aca="false">HYPERLINK("https://www.ncbi.nlm.nih.gov/nuccore/CP000058.1?report=graph&amp;tracks=[key:gene_model_track,Options:GeneOnly]&amp;mk=2500698:2500717|offset_1|444444,2500677:2500696|offset_22|444444,2500650:2500669|offset_49|00cc00,2500628:2500647|offset_71|444444&amp;v=2500497:2500847&amp;c=444444", "offset 49")</f>
        <v>offset 49</v>
      </c>
    </row>
    <row r="7917" customFormat="false" ht="12.8" hidden="false" customHeight="false" outlineLevel="0" collapsed="false">
      <c r="A7917" s="0" t="s">
        <v>12</v>
      </c>
      <c r="B7917" s="0" t="n">
        <v>2500627</v>
      </c>
      <c r="C7917" s="0" t="n">
        <v>2500647</v>
      </c>
      <c r="D7917" s="0" t="s">
        <v>26350</v>
      </c>
      <c r="E7917" s="0" t="s">
        <v>75</v>
      </c>
      <c r="F7917" s="0" t="s">
        <v>90</v>
      </c>
      <c r="G7917" s="0" t="s">
        <v>36</v>
      </c>
      <c r="H7917" s="0" t="n">
        <v>71</v>
      </c>
      <c r="I7917" s="0" t="s">
        <v>26360</v>
      </c>
      <c r="J7917" s="0" t="s">
        <v>26361</v>
      </c>
      <c r="K7917" s="0" t="s">
        <v>26362</v>
      </c>
      <c r="L7917" s="0" t="str">
        <f aca="false">HYPERLINK("https://www.ncbi.nlm.nih.gov/nuccore/CP000058.1?report=graph&amp;tracks=[key:gene_model_track,Options:GeneOnly]&amp;mk=2500698:2500717|offset_1|444444,2500677:2500696|offset_22|444444,2500650:2500669|offset_49|444444,2500628:2500647|offset_71|00cc00&amp;v=2500497:2500847&amp;c=444444", "offset 71")</f>
        <v>offset 71</v>
      </c>
    </row>
    <row r="7918" customFormat="false" ht="12.8" hidden="false" customHeight="false" outlineLevel="0" collapsed="false">
      <c r="A7918" s="0" t="s">
        <v>12</v>
      </c>
      <c r="B7918" s="0" t="n">
        <v>2501056</v>
      </c>
      <c r="C7918" s="0" t="n">
        <v>2501076</v>
      </c>
      <c r="D7918" s="0" t="s">
        <v>26363</v>
      </c>
      <c r="E7918" s="0" t="s">
        <v>75</v>
      </c>
      <c r="F7918" s="0" t="s">
        <v>90</v>
      </c>
      <c r="G7918" s="0" t="s">
        <v>36</v>
      </c>
      <c r="H7918" s="0" t="n">
        <v>13</v>
      </c>
      <c r="I7918" s="0" t="s">
        <v>26364</v>
      </c>
      <c r="J7918" s="0" t="s">
        <v>26365</v>
      </c>
      <c r="K7918" s="0" t="s">
        <v>26366</v>
      </c>
      <c r="L7918" s="0" t="str">
        <f aca="false">HYPERLINK("https://www.ncbi.nlm.nih.gov/nuccore/CP000058.1?report=graph&amp;tracks=[key:gene_model_track,Options:GeneOnly]&amp;mk=2501057:2501076|offset_13|00cc00,2501012:2501031|offset_58|444444,2500980:2500999|offset_90|444444,2500910:2500929|offset_160|444444&amp;v=2500856:2501129&amp;c=444444", "offset 13")</f>
        <v>offset 13</v>
      </c>
    </row>
    <row r="7919" customFormat="false" ht="12.8" hidden="false" customHeight="false" outlineLevel="0" collapsed="false">
      <c r="A7919" s="0" t="s">
        <v>12</v>
      </c>
      <c r="B7919" s="0" t="n">
        <v>2501011</v>
      </c>
      <c r="C7919" s="0" t="n">
        <v>2501031</v>
      </c>
      <c r="D7919" s="0" t="s">
        <v>26363</v>
      </c>
      <c r="E7919" s="0" t="s">
        <v>75</v>
      </c>
      <c r="F7919" s="0" t="s">
        <v>90</v>
      </c>
      <c r="G7919" s="0" t="s">
        <v>16</v>
      </c>
      <c r="H7919" s="0" t="n">
        <v>58</v>
      </c>
      <c r="I7919" s="0" t="s">
        <v>26367</v>
      </c>
      <c r="J7919" s="0" t="s">
        <v>26368</v>
      </c>
      <c r="K7919" s="0" t="s">
        <v>26369</v>
      </c>
      <c r="L7919" s="0" t="str">
        <f aca="false">HYPERLINK("https://www.ncbi.nlm.nih.gov/nuccore/CP000058.1?report=graph&amp;tracks=[key:gene_model_track,Options:GeneOnly]&amp;mk=2501057:2501076|offset_13|444444,2501012:2501031|offset_58|00cc00,2500980:2500999|offset_90|444444,2500910:2500929|offset_160|444444&amp;v=2500856:2501129&amp;c=444444", "offset 58")</f>
        <v>offset 58</v>
      </c>
    </row>
    <row r="7920" customFormat="false" ht="12.8" hidden="false" customHeight="false" outlineLevel="0" collapsed="false">
      <c r="A7920" s="0" t="s">
        <v>12</v>
      </c>
      <c r="B7920" s="0" t="n">
        <v>2500979</v>
      </c>
      <c r="C7920" s="0" t="n">
        <v>2500999</v>
      </c>
      <c r="D7920" s="0" t="s">
        <v>26363</v>
      </c>
      <c r="E7920" s="0" t="s">
        <v>75</v>
      </c>
      <c r="F7920" s="0" t="s">
        <v>90</v>
      </c>
      <c r="G7920" s="0" t="s">
        <v>32</v>
      </c>
      <c r="H7920" s="0" t="n">
        <v>90</v>
      </c>
      <c r="I7920" s="0" t="s">
        <v>26370</v>
      </c>
      <c r="J7920" s="0" t="s">
        <v>26371</v>
      </c>
      <c r="K7920" s="0" t="s">
        <v>26372</v>
      </c>
      <c r="L7920" s="0" t="str">
        <f aca="false">HYPERLINK("https://www.ncbi.nlm.nih.gov/nuccore/CP000058.1?report=graph&amp;tracks=[key:gene_model_track,Options:GeneOnly]&amp;mk=2501057:2501076|offset_13|444444,2501012:2501031|offset_58|444444,2500980:2500999|offset_90|00cc00,2500910:2500929|offset_160|444444&amp;v=2500856:2501129&amp;c=444444", "offset 90")</f>
        <v>offset 90</v>
      </c>
    </row>
    <row r="7921" customFormat="false" ht="12.8" hidden="false" customHeight="false" outlineLevel="0" collapsed="false">
      <c r="A7921" s="0" t="s">
        <v>12</v>
      </c>
      <c r="B7921" s="0" t="n">
        <v>2500909</v>
      </c>
      <c r="C7921" s="0" t="n">
        <v>2500929</v>
      </c>
      <c r="D7921" s="0" t="s">
        <v>26363</v>
      </c>
      <c r="E7921" s="0" t="s">
        <v>75</v>
      </c>
      <c r="F7921" s="0" t="s">
        <v>90</v>
      </c>
      <c r="G7921" s="0" t="s">
        <v>20</v>
      </c>
      <c r="H7921" s="0" t="n">
        <v>160</v>
      </c>
      <c r="I7921" s="0" t="s">
        <v>26373</v>
      </c>
      <c r="J7921" s="0" t="s">
        <v>26374</v>
      </c>
      <c r="K7921" s="0" t="s">
        <v>26375</v>
      </c>
      <c r="L7921" s="0" t="str">
        <f aca="false">HYPERLINK("https://www.ncbi.nlm.nih.gov/nuccore/CP000058.1?report=graph&amp;tracks=[key:gene_model_track,Options:GeneOnly]&amp;mk=2501057:2501076|offset_13|444444,2501012:2501031|offset_58|444444,2500980:2500999|offset_90|444444,2500910:2500929|offset_160|00cc00&amp;v=2500856:2501129&amp;c=444444", "offset 160")</f>
        <v>offset 160</v>
      </c>
    </row>
    <row r="7922" customFormat="false" ht="12.8" hidden="false" customHeight="false" outlineLevel="0" collapsed="false">
      <c r="A7922" s="0" t="s">
        <v>12</v>
      </c>
      <c r="B7922" s="0" t="n">
        <v>2501649</v>
      </c>
      <c r="C7922" s="0" t="n">
        <v>2501669</v>
      </c>
      <c r="D7922" s="0" t="s">
        <v>26376</v>
      </c>
      <c r="E7922" s="0" t="s">
        <v>75</v>
      </c>
      <c r="F7922" s="0" t="s">
        <v>90</v>
      </c>
      <c r="G7922" s="0" t="s">
        <v>32</v>
      </c>
      <c r="H7922" s="0" t="n">
        <v>12</v>
      </c>
      <c r="I7922" s="0" t="s">
        <v>26377</v>
      </c>
      <c r="J7922" s="0" t="s">
        <v>26378</v>
      </c>
      <c r="K7922" s="0" t="s">
        <v>26379</v>
      </c>
      <c r="L7922" s="0" t="str">
        <f aca="false">HYPERLINK("https://www.ncbi.nlm.nih.gov/nuccore/CP000058.1?report=graph&amp;tracks=[key:gene_model_track,Options:GeneOnly]&amp;mk=2501650:2501669|offset_12|00cc00,2501613:2501632|offset_49|444444,2501582:2501601|offset_80|444444,2501542:2501561|offset_120|444444&amp;v=2501449:2501761&amp;c=444444", "offset 12")</f>
        <v>offset 12</v>
      </c>
    </row>
    <row r="7923" customFormat="false" ht="12.8" hidden="false" customHeight="false" outlineLevel="0" collapsed="false">
      <c r="A7923" s="0" t="s">
        <v>12</v>
      </c>
      <c r="B7923" s="0" t="n">
        <v>2501612</v>
      </c>
      <c r="C7923" s="0" t="n">
        <v>2501632</v>
      </c>
      <c r="D7923" s="0" t="s">
        <v>26376</v>
      </c>
      <c r="E7923" s="0" t="s">
        <v>75</v>
      </c>
      <c r="F7923" s="0" t="s">
        <v>90</v>
      </c>
      <c r="G7923" s="0" t="s">
        <v>16</v>
      </c>
      <c r="H7923" s="0" t="n">
        <v>49</v>
      </c>
      <c r="I7923" s="0" t="s">
        <v>26380</v>
      </c>
      <c r="J7923" s="0" t="s">
        <v>26381</v>
      </c>
      <c r="K7923" s="0" t="s">
        <v>26382</v>
      </c>
      <c r="L7923" s="0" t="str">
        <f aca="false">HYPERLINK("https://www.ncbi.nlm.nih.gov/nuccore/CP000058.1?report=graph&amp;tracks=[key:gene_model_track,Options:GeneOnly]&amp;mk=2501650:2501669|offset_12|444444,2501613:2501632|offset_49|00cc00,2501582:2501601|offset_80|444444,2501542:2501561|offset_120|444444&amp;v=2501449:2501761&amp;c=444444", "offset 49")</f>
        <v>offset 49</v>
      </c>
    </row>
    <row r="7924" customFormat="false" ht="12.8" hidden="false" customHeight="false" outlineLevel="0" collapsed="false">
      <c r="A7924" s="0" t="s">
        <v>12</v>
      </c>
      <c r="B7924" s="0" t="n">
        <v>2501581</v>
      </c>
      <c r="C7924" s="0" t="n">
        <v>2501601</v>
      </c>
      <c r="D7924" s="0" t="s">
        <v>26376</v>
      </c>
      <c r="E7924" s="0" t="s">
        <v>75</v>
      </c>
      <c r="F7924" s="0" t="s">
        <v>90</v>
      </c>
      <c r="G7924" s="0" t="s">
        <v>20</v>
      </c>
      <c r="H7924" s="0" t="n">
        <v>80</v>
      </c>
      <c r="I7924" s="0" t="s">
        <v>26383</v>
      </c>
      <c r="J7924" s="0" t="s">
        <v>26384</v>
      </c>
      <c r="K7924" s="0" t="s">
        <v>26385</v>
      </c>
      <c r="L7924" s="0" t="str">
        <f aca="false">HYPERLINK("https://www.ncbi.nlm.nih.gov/nuccore/CP000058.1?report=graph&amp;tracks=[key:gene_model_track,Options:GeneOnly]&amp;mk=2501650:2501669|offset_12|444444,2501613:2501632|offset_49|444444,2501582:2501601|offset_80|00cc00,2501542:2501561|offset_120|444444&amp;v=2501449:2501761&amp;c=444444", "offset 80")</f>
        <v>offset 80</v>
      </c>
    </row>
    <row r="7925" customFormat="false" ht="12.8" hidden="false" customHeight="false" outlineLevel="0" collapsed="false">
      <c r="A7925" s="0" t="s">
        <v>12</v>
      </c>
      <c r="B7925" s="0" t="n">
        <v>2501541</v>
      </c>
      <c r="C7925" s="0" t="n">
        <v>2501561</v>
      </c>
      <c r="D7925" s="0" t="s">
        <v>26376</v>
      </c>
      <c r="E7925" s="0" t="s">
        <v>75</v>
      </c>
      <c r="F7925" s="0" t="s">
        <v>90</v>
      </c>
      <c r="G7925" s="0" t="s">
        <v>16</v>
      </c>
      <c r="H7925" s="0" t="n">
        <v>120</v>
      </c>
      <c r="I7925" s="0" t="s">
        <v>26386</v>
      </c>
      <c r="J7925" s="0" t="s">
        <v>26387</v>
      </c>
      <c r="K7925" s="0" t="s">
        <v>26388</v>
      </c>
      <c r="L7925" s="0" t="str">
        <f aca="false">HYPERLINK("https://www.ncbi.nlm.nih.gov/nuccore/CP000058.1?report=graph&amp;tracks=[key:gene_model_track,Options:GeneOnly]&amp;mk=2501650:2501669|offset_12|444444,2501613:2501632|offset_49|444444,2501582:2501601|offset_80|444444,2501542:2501561|offset_120|00cc00&amp;v=2501449:2501761&amp;c=444444", "offset 120")</f>
        <v>offset 120</v>
      </c>
    </row>
    <row r="7926" customFormat="false" ht="12.8" hidden="false" customHeight="false" outlineLevel="0" collapsed="false">
      <c r="A7926" s="0" t="s">
        <v>12</v>
      </c>
      <c r="B7926" s="0" t="n">
        <v>2502167</v>
      </c>
      <c r="C7926" s="0" t="n">
        <v>2502187</v>
      </c>
      <c r="D7926" s="0" t="s">
        <v>26389</v>
      </c>
      <c r="E7926" s="0" t="s">
        <v>75</v>
      </c>
      <c r="F7926" s="0" t="s">
        <v>90</v>
      </c>
      <c r="G7926" s="0" t="s">
        <v>36</v>
      </c>
      <c r="H7926" s="0" t="n">
        <v>12</v>
      </c>
      <c r="I7926" s="0" t="s">
        <v>26390</v>
      </c>
      <c r="J7926" s="0" t="s">
        <v>26391</v>
      </c>
      <c r="K7926" s="0" t="s">
        <v>26392</v>
      </c>
      <c r="L7926" s="0" t="str">
        <f aca="false">HYPERLINK("https://www.ncbi.nlm.nih.gov/nuccore/CP000058.1?report=graph&amp;tracks=[key:gene_model_track,Options:GeneOnly]&amp;mk=2502168:2502187|offset_12|00cc00,2502137:2502156|offset_43|444444,2502113:2502132|offset_67|444444,2502083:2502102|offset_97|444444&amp;v=2501967:2502302&amp;c=444444", "offset 12")</f>
        <v>offset 12</v>
      </c>
    </row>
    <row r="7927" customFormat="false" ht="12.8" hidden="false" customHeight="false" outlineLevel="0" collapsed="false">
      <c r="A7927" s="0" t="s">
        <v>12</v>
      </c>
      <c r="B7927" s="0" t="n">
        <v>2502136</v>
      </c>
      <c r="C7927" s="0" t="n">
        <v>2502156</v>
      </c>
      <c r="D7927" s="0" t="s">
        <v>26389</v>
      </c>
      <c r="E7927" s="0" t="s">
        <v>75</v>
      </c>
      <c r="F7927" s="0" t="s">
        <v>90</v>
      </c>
      <c r="G7927" s="0" t="s">
        <v>16</v>
      </c>
      <c r="H7927" s="0" t="n">
        <v>43</v>
      </c>
      <c r="I7927" s="0" t="s">
        <v>26393</v>
      </c>
      <c r="J7927" s="0" t="s">
        <v>26394</v>
      </c>
      <c r="K7927" s="0" t="s">
        <v>26395</v>
      </c>
      <c r="L7927" s="0" t="str">
        <f aca="false">HYPERLINK("https://www.ncbi.nlm.nih.gov/nuccore/CP000058.1?report=graph&amp;tracks=[key:gene_model_track,Options:GeneOnly]&amp;mk=2502168:2502187|offset_12|444444,2502137:2502156|offset_43|00cc00,2502113:2502132|offset_67|444444,2502083:2502102|offset_97|444444&amp;v=2501967:2502302&amp;c=444444", "offset 43")</f>
        <v>offset 43</v>
      </c>
    </row>
    <row r="7928" customFormat="false" ht="12.8" hidden="false" customHeight="false" outlineLevel="0" collapsed="false">
      <c r="A7928" s="0" t="s">
        <v>12</v>
      </c>
      <c r="B7928" s="0" t="n">
        <v>2502112</v>
      </c>
      <c r="C7928" s="0" t="n">
        <v>2502132</v>
      </c>
      <c r="D7928" s="0" t="s">
        <v>26389</v>
      </c>
      <c r="E7928" s="0" t="s">
        <v>75</v>
      </c>
      <c r="F7928" s="0" t="s">
        <v>90</v>
      </c>
      <c r="G7928" s="0" t="s">
        <v>20</v>
      </c>
      <c r="H7928" s="0" t="n">
        <v>67</v>
      </c>
      <c r="I7928" s="0" t="s">
        <v>26396</v>
      </c>
      <c r="J7928" s="0" t="s">
        <v>26397</v>
      </c>
      <c r="K7928" s="0" t="s">
        <v>26398</v>
      </c>
      <c r="L7928" s="0" t="str">
        <f aca="false">HYPERLINK("https://www.ncbi.nlm.nih.gov/nuccore/CP000058.1?report=graph&amp;tracks=[key:gene_model_track,Options:GeneOnly]&amp;mk=2502168:2502187|offset_12|444444,2502137:2502156|offset_43|444444,2502113:2502132|offset_67|00cc00,2502083:2502102|offset_97|444444&amp;v=2501967:2502302&amp;c=444444", "offset 67")</f>
        <v>offset 67</v>
      </c>
    </row>
    <row r="7929" customFormat="false" ht="12.8" hidden="false" customHeight="false" outlineLevel="0" collapsed="false">
      <c r="A7929" s="0" t="s">
        <v>12</v>
      </c>
      <c r="B7929" s="0" t="n">
        <v>2502082</v>
      </c>
      <c r="C7929" s="0" t="n">
        <v>2502102</v>
      </c>
      <c r="D7929" s="0" t="s">
        <v>26389</v>
      </c>
      <c r="E7929" s="0" t="s">
        <v>75</v>
      </c>
      <c r="F7929" s="0" t="s">
        <v>90</v>
      </c>
      <c r="G7929" s="0" t="s">
        <v>16</v>
      </c>
      <c r="H7929" s="0" t="n">
        <v>97</v>
      </c>
      <c r="I7929" s="0" t="s">
        <v>26399</v>
      </c>
      <c r="J7929" s="0" t="s">
        <v>26400</v>
      </c>
      <c r="K7929" s="0" t="s">
        <v>26401</v>
      </c>
      <c r="L7929" s="0" t="str">
        <f aca="false">HYPERLINK("https://www.ncbi.nlm.nih.gov/nuccore/CP000058.1?report=graph&amp;tracks=[key:gene_model_track,Options:GeneOnly]&amp;mk=2502168:2502187|offset_12|444444,2502137:2502156|offset_43|444444,2502113:2502132|offset_67|444444,2502083:2502102|offset_97|00cc00&amp;v=2501967:2502302&amp;c=444444", "offset 97")</f>
        <v>offset 97</v>
      </c>
    </row>
    <row r="7930" customFormat="false" ht="12.8" hidden="false" customHeight="false" outlineLevel="0" collapsed="false">
      <c r="A7930" s="0" t="s">
        <v>12</v>
      </c>
      <c r="B7930" s="0" t="n">
        <v>2502981</v>
      </c>
      <c r="C7930" s="0" t="n">
        <v>2503001</v>
      </c>
      <c r="D7930" s="0" t="s">
        <v>26402</v>
      </c>
      <c r="E7930" s="0" t="s">
        <v>75</v>
      </c>
      <c r="F7930" s="0" t="s">
        <v>90</v>
      </c>
      <c r="G7930" s="0" t="s">
        <v>32</v>
      </c>
      <c r="H7930" s="0" t="n">
        <v>10</v>
      </c>
      <c r="I7930" s="0" t="s">
        <v>26403</v>
      </c>
      <c r="J7930" s="0" t="s">
        <v>26404</v>
      </c>
      <c r="K7930" s="0" t="s">
        <v>26405</v>
      </c>
      <c r="L7930" s="0" t="str">
        <f aca="false">HYPERLINK("https://www.ncbi.nlm.nih.gov/nuccore/CP000058.1?report=graph&amp;tracks=[key:gene_model_track,Options:GeneOnly]&amp;mk=2502982:2503001|offset_10|00cc00,2502954:2502973|offset_38|444444,2502932:2502951|offset_60|444444,2502904:2502923|offset_88|444444&amp;v=2502781:2503123&amp;c=444444", "offset 10")</f>
        <v>offset 10</v>
      </c>
    </row>
    <row r="7931" customFormat="false" ht="12.8" hidden="false" customHeight="false" outlineLevel="0" collapsed="false">
      <c r="A7931" s="0" t="s">
        <v>12</v>
      </c>
      <c r="B7931" s="0" t="n">
        <v>2502953</v>
      </c>
      <c r="C7931" s="0" t="n">
        <v>2502973</v>
      </c>
      <c r="D7931" s="0" t="s">
        <v>26402</v>
      </c>
      <c r="E7931" s="0" t="s">
        <v>75</v>
      </c>
      <c r="F7931" s="0" t="s">
        <v>90</v>
      </c>
      <c r="G7931" s="0" t="s">
        <v>32</v>
      </c>
      <c r="H7931" s="0" t="n">
        <v>38</v>
      </c>
      <c r="I7931" s="0" t="s">
        <v>26406</v>
      </c>
      <c r="J7931" s="0" t="s">
        <v>26407</v>
      </c>
      <c r="K7931" s="0" t="s">
        <v>26408</v>
      </c>
      <c r="L7931" s="0" t="str">
        <f aca="false">HYPERLINK("https://www.ncbi.nlm.nih.gov/nuccore/CP000058.1?report=graph&amp;tracks=[key:gene_model_track,Options:GeneOnly]&amp;mk=2502982:2503001|offset_10|444444,2502954:2502973|offset_38|00cc00,2502932:2502951|offset_60|444444,2502904:2502923|offset_88|444444&amp;v=2502781:2503123&amp;c=444444", "offset 38")</f>
        <v>offset 38</v>
      </c>
    </row>
    <row r="7932" customFormat="false" ht="12.8" hidden="false" customHeight="false" outlineLevel="0" collapsed="false">
      <c r="A7932" s="0" t="s">
        <v>12</v>
      </c>
      <c r="B7932" s="0" t="n">
        <v>2502931</v>
      </c>
      <c r="C7932" s="0" t="n">
        <v>2502951</v>
      </c>
      <c r="D7932" s="0" t="s">
        <v>26402</v>
      </c>
      <c r="E7932" s="0" t="s">
        <v>75</v>
      </c>
      <c r="F7932" s="0" t="s">
        <v>90</v>
      </c>
      <c r="G7932" s="0" t="s">
        <v>16</v>
      </c>
      <c r="H7932" s="0" t="n">
        <v>60</v>
      </c>
      <c r="I7932" s="0" t="s">
        <v>26409</v>
      </c>
      <c r="J7932" s="0" t="s">
        <v>26410</v>
      </c>
      <c r="K7932" s="0" t="s">
        <v>26411</v>
      </c>
      <c r="L7932" s="0" t="str">
        <f aca="false">HYPERLINK("https://www.ncbi.nlm.nih.gov/nuccore/CP000058.1?report=graph&amp;tracks=[key:gene_model_track,Options:GeneOnly]&amp;mk=2502982:2503001|offset_10|444444,2502954:2502973|offset_38|444444,2502932:2502951|offset_60|00cc00,2502904:2502923|offset_88|444444&amp;v=2502781:2503123&amp;c=444444", "offset 60")</f>
        <v>offset 60</v>
      </c>
    </row>
    <row r="7933" customFormat="false" ht="12.8" hidden="false" customHeight="false" outlineLevel="0" collapsed="false">
      <c r="A7933" s="0" t="s">
        <v>12</v>
      </c>
      <c r="B7933" s="0" t="n">
        <v>2502903</v>
      </c>
      <c r="C7933" s="0" t="n">
        <v>2502923</v>
      </c>
      <c r="D7933" s="0" t="s">
        <v>26402</v>
      </c>
      <c r="E7933" s="0" t="s">
        <v>75</v>
      </c>
      <c r="F7933" s="0" t="s">
        <v>90</v>
      </c>
      <c r="G7933" s="0" t="s">
        <v>16</v>
      </c>
      <c r="H7933" s="0" t="n">
        <v>88</v>
      </c>
      <c r="I7933" s="0" t="s">
        <v>26412</v>
      </c>
      <c r="J7933" s="0" t="s">
        <v>26413</v>
      </c>
      <c r="K7933" s="0" t="s">
        <v>26414</v>
      </c>
      <c r="L7933" s="0" t="str">
        <f aca="false">HYPERLINK("https://www.ncbi.nlm.nih.gov/nuccore/CP000058.1?report=graph&amp;tracks=[key:gene_model_track,Options:GeneOnly]&amp;mk=2502982:2503001|offset_10|444444,2502954:2502973|offset_38|444444,2502932:2502951|offset_60|444444,2502904:2502923|offset_88|00cc00&amp;v=2502781:2503123&amp;c=444444", "offset 88")</f>
        <v>offset 88</v>
      </c>
    </row>
    <row r="7934" customFormat="false" ht="12.8" hidden="false" customHeight="false" outlineLevel="0" collapsed="false">
      <c r="A7934" s="0" t="s">
        <v>12</v>
      </c>
      <c r="B7934" s="0" t="n">
        <v>2503244</v>
      </c>
      <c r="C7934" s="0" t="n">
        <v>2503264</v>
      </c>
      <c r="D7934" s="0" t="s">
        <v>26415</v>
      </c>
      <c r="E7934" s="0" t="s">
        <v>75</v>
      </c>
      <c r="F7934" s="0" t="s">
        <v>15</v>
      </c>
      <c r="G7934" s="0" t="s">
        <v>32</v>
      </c>
      <c r="H7934" s="0" t="n">
        <v>13</v>
      </c>
      <c r="I7934" s="0" t="s">
        <v>26416</v>
      </c>
      <c r="J7934" s="0" t="s">
        <v>26417</v>
      </c>
      <c r="K7934" s="0" t="s">
        <v>26418</v>
      </c>
      <c r="L7934" s="0" t="str">
        <f aca="false">HYPERLINK("https://www.ncbi.nlm.nih.gov/nuccore/CP000058.1?report=graph&amp;tracks=[key:gene_model_track,Options:GeneOnly]&amp;mk=2503245:2503264|offset_13|00cc00,2503270:2503289|offset_38|444444,2503367:2503386|offset_135|444444,2503389:2503408|offset_157|444444&amp;v=2503044:2503608&amp;c=444444", "offset 13")</f>
        <v>offset 13</v>
      </c>
    </row>
    <row r="7935" customFormat="false" ht="12.8" hidden="false" customHeight="false" outlineLevel="0" collapsed="false">
      <c r="A7935" s="0" t="s">
        <v>12</v>
      </c>
      <c r="B7935" s="0" t="n">
        <v>2503269</v>
      </c>
      <c r="C7935" s="0" t="n">
        <v>2503289</v>
      </c>
      <c r="D7935" s="0" t="s">
        <v>26415</v>
      </c>
      <c r="E7935" s="0" t="s">
        <v>75</v>
      </c>
      <c r="F7935" s="0" t="s">
        <v>15</v>
      </c>
      <c r="G7935" s="0" t="s">
        <v>16</v>
      </c>
      <c r="H7935" s="0" t="n">
        <v>38</v>
      </c>
      <c r="I7935" s="0" t="s">
        <v>26419</v>
      </c>
      <c r="J7935" s="0" t="s">
        <v>26420</v>
      </c>
      <c r="K7935" s="0" t="s">
        <v>26421</v>
      </c>
      <c r="L7935" s="0" t="str">
        <f aca="false">HYPERLINK("https://www.ncbi.nlm.nih.gov/nuccore/CP000058.1?report=graph&amp;tracks=[key:gene_model_track,Options:GeneOnly]&amp;mk=2503245:2503264|offset_13|444444,2503270:2503289|offset_38|00cc00,2503367:2503386|offset_135|444444,2503389:2503408|offset_157|444444&amp;v=2503044:2503608&amp;c=444444", "offset 38")</f>
        <v>offset 38</v>
      </c>
    </row>
    <row r="7936" customFormat="false" ht="12.8" hidden="false" customHeight="false" outlineLevel="0" collapsed="false">
      <c r="A7936" s="0" t="s">
        <v>12</v>
      </c>
      <c r="B7936" s="0" t="n">
        <v>2503366</v>
      </c>
      <c r="C7936" s="0" t="n">
        <v>2503386</v>
      </c>
      <c r="D7936" s="0" t="s">
        <v>26415</v>
      </c>
      <c r="E7936" s="0" t="s">
        <v>75</v>
      </c>
      <c r="F7936" s="0" t="s">
        <v>15</v>
      </c>
      <c r="G7936" s="0" t="s">
        <v>32</v>
      </c>
      <c r="H7936" s="0" t="n">
        <v>135</v>
      </c>
      <c r="I7936" s="0" t="s">
        <v>26422</v>
      </c>
      <c r="J7936" s="0" t="s">
        <v>26423</v>
      </c>
      <c r="K7936" s="0" t="s">
        <v>26424</v>
      </c>
      <c r="L7936" s="0" t="str">
        <f aca="false">HYPERLINK("https://www.ncbi.nlm.nih.gov/nuccore/CP000058.1?report=graph&amp;tracks=[key:gene_model_track,Options:GeneOnly]&amp;mk=2503245:2503264|offset_13|444444,2503270:2503289|offset_38|444444,2503367:2503386|offset_135|00cc00,2503389:2503408|offset_157|444444&amp;v=2503044:2503608&amp;c=444444", "offset 135")</f>
        <v>offset 135</v>
      </c>
    </row>
    <row r="7937" customFormat="false" ht="12.8" hidden="false" customHeight="false" outlineLevel="0" collapsed="false">
      <c r="A7937" s="0" t="s">
        <v>12</v>
      </c>
      <c r="B7937" s="0" t="n">
        <v>2503388</v>
      </c>
      <c r="C7937" s="0" t="n">
        <v>2503408</v>
      </c>
      <c r="D7937" s="0" t="s">
        <v>26415</v>
      </c>
      <c r="E7937" s="0" t="s">
        <v>75</v>
      </c>
      <c r="F7937" s="0" t="s">
        <v>15</v>
      </c>
      <c r="G7937" s="0" t="s">
        <v>16</v>
      </c>
      <c r="H7937" s="0" t="n">
        <v>157</v>
      </c>
      <c r="I7937" s="0" t="s">
        <v>26425</v>
      </c>
      <c r="J7937" s="0" t="s">
        <v>26426</v>
      </c>
      <c r="K7937" s="0" t="s">
        <v>26427</v>
      </c>
      <c r="L7937" s="0" t="str">
        <f aca="false">HYPERLINK("https://www.ncbi.nlm.nih.gov/nuccore/CP000058.1?report=graph&amp;tracks=[key:gene_model_track,Options:GeneOnly]&amp;mk=2503245:2503264|offset_13|444444,2503270:2503289|offset_38|444444,2503367:2503386|offset_135|444444,2503389:2503408|offset_157|00cc00&amp;v=2503044:2503608&amp;c=444444", "offset 157")</f>
        <v>offset 157</v>
      </c>
    </row>
    <row r="7938" customFormat="false" ht="12.8" hidden="false" customHeight="false" outlineLevel="0" collapsed="false">
      <c r="A7938" s="0" t="s">
        <v>12</v>
      </c>
      <c r="B7938" s="0" t="n">
        <v>2506237</v>
      </c>
      <c r="C7938" s="0" t="n">
        <v>2506257</v>
      </c>
      <c r="D7938" s="0" t="s">
        <v>26428</v>
      </c>
      <c r="E7938" s="0" t="s">
        <v>75</v>
      </c>
      <c r="F7938" s="0" t="s">
        <v>90</v>
      </c>
      <c r="G7938" s="0" t="s">
        <v>20</v>
      </c>
      <c r="H7938" s="0" t="n">
        <v>20</v>
      </c>
      <c r="I7938" s="0" t="s">
        <v>26429</v>
      </c>
      <c r="J7938" s="0" t="s">
        <v>26430</v>
      </c>
      <c r="K7938" s="0" t="s">
        <v>26431</v>
      </c>
      <c r="L7938" s="0" t="str">
        <f aca="false">HYPERLINK("https://www.ncbi.nlm.nih.gov/nuccore/CP000058.1?report=graph&amp;tracks=[key:gene_model_track,Options:GeneOnly]&amp;mk=2506238:2506257|offset_20|00cc00,2506218:2506237|offset_40|444444,2506190:2506209|offset_68|444444,2506126:2506145|offset_132|444444&amp;v=2506037:2506345&amp;c=444444", "offset 20")</f>
        <v>offset 20</v>
      </c>
    </row>
    <row r="7939" customFormat="false" ht="12.8" hidden="false" customHeight="false" outlineLevel="0" collapsed="false">
      <c r="A7939" s="0" t="s">
        <v>12</v>
      </c>
      <c r="B7939" s="0" t="n">
        <v>2506217</v>
      </c>
      <c r="C7939" s="0" t="n">
        <v>2506237</v>
      </c>
      <c r="D7939" s="0" t="s">
        <v>26428</v>
      </c>
      <c r="E7939" s="0" t="s">
        <v>75</v>
      </c>
      <c r="F7939" s="0" t="s">
        <v>90</v>
      </c>
      <c r="G7939" s="0" t="s">
        <v>16</v>
      </c>
      <c r="H7939" s="0" t="n">
        <v>40</v>
      </c>
      <c r="I7939" s="0" t="s">
        <v>26432</v>
      </c>
      <c r="J7939" s="0" t="s">
        <v>26433</v>
      </c>
      <c r="K7939" s="0" t="s">
        <v>26434</v>
      </c>
      <c r="L7939" s="0" t="str">
        <f aca="false">HYPERLINK("https://www.ncbi.nlm.nih.gov/nuccore/CP000058.1?report=graph&amp;tracks=[key:gene_model_track,Options:GeneOnly]&amp;mk=2506238:2506257|offset_20|444444,2506218:2506237|offset_40|00cc00,2506190:2506209|offset_68|444444,2506126:2506145|offset_132|444444&amp;v=2506037:2506345&amp;c=444444", "offset 40")</f>
        <v>offset 40</v>
      </c>
    </row>
    <row r="7940" customFormat="false" ht="12.8" hidden="false" customHeight="false" outlineLevel="0" collapsed="false">
      <c r="A7940" s="0" t="s">
        <v>12</v>
      </c>
      <c r="B7940" s="0" t="n">
        <v>2506189</v>
      </c>
      <c r="C7940" s="0" t="n">
        <v>2506209</v>
      </c>
      <c r="D7940" s="0" t="s">
        <v>26428</v>
      </c>
      <c r="E7940" s="0" t="s">
        <v>75</v>
      </c>
      <c r="F7940" s="0" t="s">
        <v>90</v>
      </c>
      <c r="G7940" s="0" t="s">
        <v>20</v>
      </c>
      <c r="H7940" s="0" t="n">
        <v>68</v>
      </c>
      <c r="I7940" s="0" t="s">
        <v>26435</v>
      </c>
      <c r="J7940" s="0" t="s">
        <v>26436</v>
      </c>
      <c r="K7940" s="0" t="s">
        <v>26437</v>
      </c>
      <c r="L7940" s="0" t="str">
        <f aca="false">HYPERLINK("https://www.ncbi.nlm.nih.gov/nuccore/CP000058.1?report=graph&amp;tracks=[key:gene_model_track,Options:GeneOnly]&amp;mk=2506238:2506257|offset_20|444444,2506218:2506237|offset_40|444444,2506190:2506209|offset_68|00cc00,2506126:2506145|offset_132|444444&amp;v=2506037:2506345&amp;c=444444", "offset 68")</f>
        <v>offset 68</v>
      </c>
    </row>
    <row r="7941" customFormat="false" ht="12.8" hidden="false" customHeight="false" outlineLevel="0" collapsed="false">
      <c r="A7941" s="0" t="s">
        <v>12</v>
      </c>
      <c r="B7941" s="0" t="n">
        <v>2506125</v>
      </c>
      <c r="C7941" s="0" t="n">
        <v>2506145</v>
      </c>
      <c r="D7941" s="0" t="s">
        <v>26428</v>
      </c>
      <c r="E7941" s="0" t="s">
        <v>75</v>
      </c>
      <c r="F7941" s="0" t="s">
        <v>90</v>
      </c>
      <c r="G7941" s="0" t="s">
        <v>16</v>
      </c>
      <c r="H7941" s="0" t="n">
        <v>132</v>
      </c>
      <c r="I7941" s="0" t="s">
        <v>26438</v>
      </c>
      <c r="J7941" s="0" t="s">
        <v>26439</v>
      </c>
      <c r="K7941" s="0" t="s">
        <v>26440</v>
      </c>
      <c r="L7941" s="0" t="str">
        <f aca="false">HYPERLINK("https://www.ncbi.nlm.nih.gov/nuccore/CP000058.1?report=graph&amp;tracks=[key:gene_model_track,Options:GeneOnly]&amp;mk=2506238:2506257|offset_20|444444,2506218:2506237|offset_40|444444,2506190:2506209|offset_68|444444,2506126:2506145|offset_132|00cc00&amp;v=2506037:2506345&amp;c=444444", "offset 132")</f>
        <v>offset 132</v>
      </c>
    </row>
    <row r="7942" customFormat="false" ht="12.8" hidden="false" customHeight="false" outlineLevel="0" collapsed="false">
      <c r="A7942" s="0" t="s">
        <v>12</v>
      </c>
      <c r="B7942" s="0" t="n">
        <v>2506814</v>
      </c>
      <c r="C7942" s="0" t="n">
        <v>2506834</v>
      </c>
      <c r="D7942" s="0" t="s">
        <v>26441</v>
      </c>
      <c r="E7942" s="0" t="s">
        <v>75</v>
      </c>
      <c r="F7942" s="0" t="s">
        <v>15</v>
      </c>
      <c r="G7942" s="0" t="s">
        <v>36</v>
      </c>
      <c r="H7942" s="0" t="n">
        <v>39</v>
      </c>
      <c r="I7942" s="0" t="s">
        <v>26442</v>
      </c>
      <c r="J7942" s="0" t="s">
        <v>26443</v>
      </c>
      <c r="K7942" s="0" t="s">
        <v>26444</v>
      </c>
      <c r="L7942" s="0" t="str">
        <f aca="false">HYPERLINK("https://www.ncbi.nlm.nih.gov/nuccore/CP000058.1?report=graph&amp;tracks=[key:gene_model_track,Options:GeneOnly]&amp;mk=2506815:2506834|offset_39|00cc00,2506843:2506862|offset_67|444444,2506867:2506886|offset_91|444444,2506901:2506920|offset_125|444444&amp;v=2506614:2507120&amp;c=444444", "offset 39")</f>
        <v>offset 39</v>
      </c>
    </row>
    <row r="7943" customFormat="false" ht="12.8" hidden="false" customHeight="false" outlineLevel="0" collapsed="false">
      <c r="A7943" s="0" t="s">
        <v>12</v>
      </c>
      <c r="B7943" s="0" t="n">
        <v>2506842</v>
      </c>
      <c r="C7943" s="0" t="n">
        <v>2506862</v>
      </c>
      <c r="D7943" s="0" t="s">
        <v>26441</v>
      </c>
      <c r="E7943" s="0" t="s">
        <v>75</v>
      </c>
      <c r="F7943" s="0" t="s">
        <v>15</v>
      </c>
      <c r="G7943" s="0" t="s">
        <v>36</v>
      </c>
      <c r="H7943" s="0" t="n">
        <v>67</v>
      </c>
      <c r="I7943" s="0" t="s">
        <v>26445</v>
      </c>
      <c r="J7943" s="0" t="s">
        <v>26446</v>
      </c>
      <c r="K7943" s="0" t="s">
        <v>26447</v>
      </c>
      <c r="L7943" s="0" t="str">
        <f aca="false">HYPERLINK("https://www.ncbi.nlm.nih.gov/nuccore/CP000058.1?report=graph&amp;tracks=[key:gene_model_track,Options:GeneOnly]&amp;mk=2506815:2506834|offset_39|444444,2506843:2506862|offset_67|00cc00,2506867:2506886|offset_91|444444,2506901:2506920|offset_125|444444&amp;v=2506614:2507120&amp;c=444444", "offset 67")</f>
        <v>offset 67</v>
      </c>
    </row>
    <row r="7944" customFormat="false" ht="12.8" hidden="false" customHeight="false" outlineLevel="0" collapsed="false">
      <c r="A7944" s="0" t="s">
        <v>12</v>
      </c>
      <c r="B7944" s="0" t="n">
        <v>2506866</v>
      </c>
      <c r="C7944" s="0" t="n">
        <v>2506886</v>
      </c>
      <c r="D7944" s="0" t="s">
        <v>26441</v>
      </c>
      <c r="E7944" s="0" t="s">
        <v>75</v>
      </c>
      <c r="F7944" s="0" t="s">
        <v>15</v>
      </c>
      <c r="G7944" s="0" t="s">
        <v>32</v>
      </c>
      <c r="H7944" s="0" t="n">
        <v>91</v>
      </c>
      <c r="I7944" s="0" t="s">
        <v>26448</v>
      </c>
      <c r="J7944" s="0" t="s">
        <v>26449</v>
      </c>
      <c r="K7944" s="0" t="s">
        <v>26450</v>
      </c>
      <c r="L7944" s="0" t="str">
        <f aca="false">HYPERLINK("https://www.ncbi.nlm.nih.gov/nuccore/CP000058.1?report=graph&amp;tracks=[key:gene_model_track,Options:GeneOnly]&amp;mk=2506815:2506834|offset_39|444444,2506843:2506862|offset_67|444444,2506867:2506886|offset_91|00cc00,2506901:2506920|offset_125|444444&amp;v=2506614:2507120&amp;c=444444", "offset 91")</f>
        <v>offset 91</v>
      </c>
    </row>
    <row r="7945" customFormat="false" ht="12.8" hidden="false" customHeight="false" outlineLevel="0" collapsed="false">
      <c r="A7945" s="0" t="s">
        <v>12</v>
      </c>
      <c r="B7945" s="0" t="n">
        <v>2506900</v>
      </c>
      <c r="C7945" s="0" t="n">
        <v>2506920</v>
      </c>
      <c r="D7945" s="0" t="s">
        <v>26441</v>
      </c>
      <c r="E7945" s="0" t="s">
        <v>75</v>
      </c>
      <c r="F7945" s="0" t="s">
        <v>15</v>
      </c>
      <c r="G7945" s="0" t="s">
        <v>36</v>
      </c>
      <c r="H7945" s="0" t="n">
        <v>125</v>
      </c>
      <c r="I7945" s="0" t="s">
        <v>26451</v>
      </c>
      <c r="J7945" s="0" t="s">
        <v>26452</v>
      </c>
      <c r="K7945" s="0" t="s">
        <v>26453</v>
      </c>
      <c r="L7945" s="0" t="str">
        <f aca="false">HYPERLINK("https://www.ncbi.nlm.nih.gov/nuccore/CP000058.1?report=graph&amp;tracks=[key:gene_model_track,Options:GeneOnly]&amp;mk=2506815:2506834|offset_39|444444,2506843:2506862|offset_67|444444,2506867:2506886|offset_91|444444,2506901:2506920|offset_125|00cc00&amp;v=2506614:2507120&amp;c=444444", "offset 125")</f>
        <v>offset 125</v>
      </c>
    </row>
    <row r="7946" customFormat="false" ht="12.8" hidden="false" customHeight="false" outlineLevel="0" collapsed="false">
      <c r="A7946" s="0" t="s">
        <v>12</v>
      </c>
      <c r="B7946" s="0" t="n">
        <v>2508087</v>
      </c>
      <c r="C7946" s="0" t="n">
        <v>2508107</v>
      </c>
      <c r="D7946" s="0" t="s">
        <v>26454</v>
      </c>
      <c r="E7946" s="0" t="s">
        <v>75</v>
      </c>
      <c r="F7946" s="0" t="s">
        <v>15</v>
      </c>
      <c r="G7946" s="0" t="s">
        <v>20</v>
      </c>
      <c r="H7946" s="0" t="n">
        <v>16</v>
      </c>
      <c r="I7946" s="0" t="s">
        <v>26455</v>
      </c>
      <c r="J7946" s="0" t="s">
        <v>26456</v>
      </c>
      <c r="K7946" s="0" t="s">
        <v>26457</v>
      </c>
      <c r="L7946" s="0" t="str">
        <f aca="false">HYPERLINK("https://www.ncbi.nlm.nih.gov/nuccore/CP000058.1?report=graph&amp;tracks=[key:gene_model_track,Options:GeneOnly]&amp;mk=2508088:2508107|offset_16|00cc00,2508122:2508141|offset_50|444444,2508157:2508176|offset_85|444444,2508182:2508201|offset_110|444444&amp;v=2507887:2508401&amp;c=444444", "offset 16")</f>
        <v>offset 16</v>
      </c>
    </row>
    <row r="7947" customFormat="false" ht="12.8" hidden="false" customHeight="false" outlineLevel="0" collapsed="false">
      <c r="A7947" s="0" t="s">
        <v>12</v>
      </c>
      <c r="B7947" s="0" t="n">
        <v>2508121</v>
      </c>
      <c r="C7947" s="0" t="n">
        <v>2508141</v>
      </c>
      <c r="D7947" s="0" t="s">
        <v>26454</v>
      </c>
      <c r="E7947" s="0" t="s">
        <v>75</v>
      </c>
      <c r="F7947" s="0" t="s">
        <v>15</v>
      </c>
      <c r="G7947" s="0" t="s">
        <v>16</v>
      </c>
      <c r="H7947" s="0" t="n">
        <v>50</v>
      </c>
      <c r="I7947" s="0" t="s">
        <v>26458</v>
      </c>
      <c r="J7947" s="0" t="s">
        <v>26459</v>
      </c>
      <c r="K7947" s="0" t="s">
        <v>26460</v>
      </c>
      <c r="L7947" s="0" t="str">
        <f aca="false">HYPERLINK("https://www.ncbi.nlm.nih.gov/nuccore/CP000058.1?report=graph&amp;tracks=[key:gene_model_track,Options:GeneOnly]&amp;mk=2508088:2508107|offset_16|444444,2508122:2508141|offset_50|00cc00,2508157:2508176|offset_85|444444,2508182:2508201|offset_110|444444&amp;v=2507887:2508401&amp;c=444444", "offset 50")</f>
        <v>offset 50</v>
      </c>
    </row>
    <row r="7948" customFormat="false" ht="12.8" hidden="false" customHeight="false" outlineLevel="0" collapsed="false">
      <c r="A7948" s="0" t="s">
        <v>12</v>
      </c>
      <c r="B7948" s="0" t="n">
        <v>2508156</v>
      </c>
      <c r="C7948" s="0" t="n">
        <v>2508176</v>
      </c>
      <c r="D7948" s="0" t="s">
        <v>26454</v>
      </c>
      <c r="E7948" s="0" t="s">
        <v>75</v>
      </c>
      <c r="F7948" s="0" t="s">
        <v>15</v>
      </c>
      <c r="G7948" s="0" t="s">
        <v>36</v>
      </c>
      <c r="H7948" s="0" t="n">
        <v>85</v>
      </c>
      <c r="I7948" s="0" t="s">
        <v>26461</v>
      </c>
      <c r="J7948" s="0" t="s">
        <v>26462</v>
      </c>
      <c r="K7948" s="0" t="s">
        <v>26463</v>
      </c>
      <c r="L7948" s="0" t="str">
        <f aca="false">HYPERLINK("https://www.ncbi.nlm.nih.gov/nuccore/CP000058.1?report=graph&amp;tracks=[key:gene_model_track,Options:GeneOnly]&amp;mk=2508088:2508107|offset_16|444444,2508122:2508141|offset_50|444444,2508157:2508176|offset_85|00cc00,2508182:2508201|offset_110|444444&amp;v=2507887:2508401&amp;c=444444", "offset 85")</f>
        <v>offset 85</v>
      </c>
    </row>
    <row r="7949" customFormat="false" ht="12.8" hidden="false" customHeight="false" outlineLevel="0" collapsed="false">
      <c r="A7949" s="0" t="s">
        <v>12</v>
      </c>
      <c r="B7949" s="0" t="n">
        <v>2508181</v>
      </c>
      <c r="C7949" s="0" t="n">
        <v>2508201</v>
      </c>
      <c r="D7949" s="0" t="s">
        <v>26454</v>
      </c>
      <c r="E7949" s="0" t="s">
        <v>75</v>
      </c>
      <c r="F7949" s="0" t="s">
        <v>15</v>
      </c>
      <c r="G7949" s="0" t="s">
        <v>16</v>
      </c>
      <c r="H7949" s="0" t="n">
        <v>110</v>
      </c>
      <c r="I7949" s="0" t="s">
        <v>26464</v>
      </c>
      <c r="J7949" s="0" t="s">
        <v>26465</v>
      </c>
      <c r="K7949" s="0" t="s">
        <v>26466</v>
      </c>
      <c r="L7949" s="0" t="str">
        <f aca="false">HYPERLINK("https://www.ncbi.nlm.nih.gov/nuccore/CP000058.1?report=graph&amp;tracks=[key:gene_model_track,Options:GeneOnly]&amp;mk=2508088:2508107|offset_16|444444,2508122:2508141|offset_50|444444,2508157:2508176|offset_85|444444,2508182:2508201|offset_110|00cc00&amp;v=2507887:2508401&amp;c=444444", "offset 110")</f>
        <v>offset 110</v>
      </c>
    </row>
    <row r="7950" customFormat="false" ht="12.8" hidden="false" customHeight="false" outlineLevel="0" collapsed="false">
      <c r="A7950" s="0" t="s">
        <v>12</v>
      </c>
      <c r="B7950" s="0" t="n">
        <v>2508622</v>
      </c>
      <c r="C7950" s="0" t="n">
        <v>2508642</v>
      </c>
      <c r="D7950" s="0" t="s">
        <v>26467</v>
      </c>
      <c r="E7950" s="0" t="s">
        <v>75</v>
      </c>
      <c r="F7950" s="0" t="s">
        <v>15</v>
      </c>
      <c r="G7950" s="0" t="s">
        <v>32</v>
      </c>
      <c r="H7950" s="0" t="n">
        <v>37</v>
      </c>
      <c r="I7950" s="0" t="s">
        <v>26468</v>
      </c>
      <c r="J7950" s="0" t="s">
        <v>26469</v>
      </c>
      <c r="K7950" s="0" t="s">
        <v>26470</v>
      </c>
      <c r="L7950" s="0" t="str">
        <f aca="false">HYPERLINK("https://www.ncbi.nlm.nih.gov/nuccore/CP000058.1?report=graph&amp;tracks=[key:gene_model_track,Options:GeneOnly]&amp;mk=2508623:2508642|offset_37|00cc00,2508652:2508671|offset_66|444444,2508689:2508708|offset_103|444444,2508732:2508751|offset_146|444444&amp;v=2508422:2508951&amp;c=444444", "offset 37")</f>
        <v>offset 37</v>
      </c>
    </row>
    <row r="7951" customFormat="false" ht="12.8" hidden="false" customHeight="false" outlineLevel="0" collapsed="false">
      <c r="A7951" s="0" t="s">
        <v>12</v>
      </c>
      <c r="B7951" s="0" t="n">
        <v>2508651</v>
      </c>
      <c r="C7951" s="0" t="n">
        <v>2508671</v>
      </c>
      <c r="D7951" s="0" t="s">
        <v>26467</v>
      </c>
      <c r="E7951" s="0" t="s">
        <v>75</v>
      </c>
      <c r="F7951" s="0" t="s">
        <v>15</v>
      </c>
      <c r="G7951" s="0" t="s">
        <v>16</v>
      </c>
      <c r="H7951" s="0" t="n">
        <v>66</v>
      </c>
      <c r="I7951" s="0" t="s">
        <v>26471</v>
      </c>
      <c r="J7951" s="0" t="s">
        <v>26472</v>
      </c>
      <c r="K7951" s="0" t="s">
        <v>26473</v>
      </c>
      <c r="L7951" s="0" t="str">
        <f aca="false">HYPERLINK("https://www.ncbi.nlm.nih.gov/nuccore/CP000058.1?report=graph&amp;tracks=[key:gene_model_track,Options:GeneOnly]&amp;mk=2508623:2508642|offset_37|444444,2508652:2508671|offset_66|00cc00,2508689:2508708|offset_103|444444,2508732:2508751|offset_146|444444&amp;v=2508422:2508951&amp;c=444444", "offset 66")</f>
        <v>offset 66</v>
      </c>
    </row>
    <row r="7952" customFormat="false" ht="12.8" hidden="false" customHeight="false" outlineLevel="0" collapsed="false">
      <c r="A7952" s="0" t="s">
        <v>12</v>
      </c>
      <c r="B7952" s="0" t="n">
        <v>2508688</v>
      </c>
      <c r="C7952" s="0" t="n">
        <v>2508708</v>
      </c>
      <c r="D7952" s="0" t="s">
        <v>26467</v>
      </c>
      <c r="E7952" s="0" t="s">
        <v>75</v>
      </c>
      <c r="F7952" s="0" t="s">
        <v>15</v>
      </c>
      <c r="G7952" s="0" t="s">
        <v>16</v>
      </c>
      <c r="H7952" s="0" t="n">
        <v>103</v>
      </c>
      <c r="I7952" s="0" t="s">
        <v>26474</v>
      </c>
      <c r="J7952" s="0" t="s">
        <v>26475</v>
      </c>
      <c r="K7952" s="0" t="s">
        <v>26476</v>
      </c>
      <c r="L7952" s="0" t="str">
        <f aca="false">HYPERLINK("https://www.ncbi.nlm.nih.gov/nuccore/CP000058.1?report=graph&amp;tracks=[key:gene_model_track,Options:GeneOnly]&amp;mk=2508623:2508642|offset_37|444444,2508652:2508671|offset_66|444444,2508689:2508708|offset_103|00cc00,2508732:2508751|offset_146|444444&amp;v=2508422:2508951&amp;c=444444", "offset 103")</f>
        <v>offset 103</v>
      </c>
    </row>
    <row r="7953" customFormat="false" ht="12.8" hidden="false" customHeight="false" outlineLevel="0" collapsed="false">
      <c r="A7953" s="0" t="s">
        <v>12</v>
      </c>
      <c r="B7953" s="0" t="n">
        <v>2508731</v>
      </c>
      <c r="C7953" s="0" t="n">
        <v>2508751</v>
      </c>
      <c r="D7953" s="0" t="s">
        <v>26467</v>
      </c>
      <c r="E7953" s="0" t="s">
        <v>75</v>
      </c>
      <c r="F7953" s="0" t="s">
        <v>15</v>
      </c>
      <c r="G7953" s="0" t="s">
        <v>36</v>
      </c>
      <c r="H7953" s="0" t="n">
        <v>146</v>
      </c>
      <c r="I7953" s="0" t="s">
        <v>26477</v>
      </c>
      <c r="J7953" s="0" t="s">
        <v>26478</v>
      </c>
      <c r="K7953" s="0" t="s">
        <v>26479</v>
      </c>
      <c r="L7953" s="0" t="str">
        <f aca="false">HYPERLINK("https://www.ncbi.nlm.nih.gov/nuccore/CP000058.1?report=graph&amp;tracks=[key:gene_model_track,Options:GeneOnly]&amp;mk=2508623:2508642|offset_37|444444,2508652:2508671|offset_66|444444,2508689:2508708|offset_103|444444,2508732:2508751|offset_146|00cc00&amp;v=2508422:2508951&amp;c=444444", "offset 146")</f>
        <v>offset 146</v>
      </c>
    </row>
    <row r="7954" customFormat="false" ht="12.8" hidden="false" customHeight="false" outlineLevel="0" collapsed="false">
      <c r="A7954" s="0" t="s">
        <v>12</v>
      </c>
      <c r="B7954" s="0" t="n">
        <v>2510625</v>
      </c>
      <c r="C7954" s="0" t="n">
        <v>2510645</v>
      </c>
      <c r="D7954" s="0" t="s">
        <v>26480</v>
      </c>
      <c r="E7954" s="0" t="s">
        <v>75</v>
      </c>
      <c r="F7954" s="0" t="s">
        <v>15</v>
      </c>
      <c r="G7954" s="0" t="s">
        <v>20</v>
      </c>
      <c r="H7954" s="0" t="n">
        <v>49</v>
      </c>
      <c r="I7954" s="0" t="s">
        <v>26481</v>
      </c>
      <c r="J7954" s="0" t="s">
        <v>26482</v>
      </c>
      <c r="K7954" s="0" t="s">
        <v>26483</v>
      </c>
      <c r="L7954" s="0" t="str">
        <f aca="false">HYPERLINK("https://www.ncbi.nlm.nih.gov/nuccore/CP000058.1?report=graph&amp;tracks=[key:gene_model_track,Options:GeneOnly]&amp;mk=2510626:2510645|offset_49|00cc00&amp;v=2510425:2510845&amp;c=444444", "offset 49")</f>
        <v>offset 49</v>
      </c>
    </row>
    <row r="7955" customFormat="false" ht="12.8" hidden="false" customHeight="false" outlineLevel="0" collapsed="false">
      <c r="A7955" s="0" t="s">
        <v>12</v>
      </c>
      <c r="B7955" s="0" t="n">
        <v>2513948</v>
      </c>
      <c r="C7955" s="0" t="n">
        <v>2513968</v>
      </c>
      <c r="D7955" s="0" t="s">
        <v>26484</v>
      </c>
      <c r="E7955" s="0" t="s">
        <v>75</v>
      </c>
      <c r="F7955" s="0" t="s">
        <v>15</v>
      </c>
      <c r="G7955" s="0" t="s">
        <v>16</v>
      </c>
      <c r="H7955" s="0" t="n">
        <v>7</v>
      </c>
      <c r="I7955" s="0" t="s">
        <v>26485</v>
      </c>
      <c r="J7955" s="0" t="s">
        <v>26486</v>
      </c>
      <c r="K7955" s="0" t="s">
        <v>26487</v>
      </c>
      <c r="L7955" s="0" t="str">
        <f aca="false">HYPERLINK("https://www.ncbi.nlm.nih.gov/nuccore/CP000058.1?report=graph&amp;tracks=[key:gene_model_track,Options:GeneOnly]&amp;mk=2513949:2513968|offset_7|00cc00,2514019:2514038|offset_77|444444,2514043:2514062|offset_101|444444,2514064:2514083|offset_122|444444&amp;v=2513748:2514283&amp;c=444444", "offset 7")</f>
        <v>offset 7</v>
      </c>
    </row>
    <row r="7956" customFormat="false" ht="12.8" hidden="false" customHeight="false" outlineLevel="0" collapsed="false">
      <c r="A7956" s="0" t="s">
        <v>12</v>
      </c>
      <c r="B7956" s="0" t="n">
        <v>2514018</v>
      </c>
      <c r="C7956" s="0" t="n">
        <v>2514038</v>
      </c>
      <c r="D7956" s="0" t="s">
        <v>26484</v>
      </c>
      <c r="E7956" s="0" t="s">
        <v>75</v>
      </c>
      <c r="F7956" s="0" t="s">
        <v>15</v>
      </c>
      <c r="G7956" s="0" t="s">
        <v>32</v>
      </c>
      <c r="H7956" s="0" t="n">
        <v>77</v>
      </c>
      <c r="I7956" s="0" t="s">
        <v>26488</v>
      </c>
      <c r="J7956" s="0" t="s">
        <v>26489</v>
      </c>
      <c r="K7956" s="0" t="s">
        <v>26490</v>
      </c>
      <c r="L7956" s="0" t="str">
        <f aca="false">HYPERLINK("https://www.ncbi.nlm.nih.gov/nuccore/CP000058.1?report=graph&amp;tracks=[key:gene_model_track,Options:GeneOnly]&amp;mk=2513949:2513968|offset_7|444444,2514019:2514038|offset_77|00cc00,2514043:2514062|offset_101|444444,2514064:2514083|offset_122|444444&amp;v=2513748:2514283&amp;c=444444", "offset 77")</f>
        <v>offset 77</v>
      </c>
    </row>
    <row r="7957" customFormat="false" ht="12.8" hidden="false" customHeight="false" outlineLevel="0" collapsed="false">
      <c r="A7957" s="0" t="s">
        <v>12</v>
      </c>
      <c r="B7957" s="0" t="n">
        <v>2514042</v>
      </c>
      <c r="C7957" s="0" t="n">
        <v>2514062</v>
      </c>
      <c r="D7957" s="0" t="s">
        <v>26484</v>
      </c>
      <c r="E7957" s="0" t="s">
        <v>75</v>
      </c>
      <c r="F7957" s="0" t="s">
        <v>15</v>
      </c>
      <c r="G7957" s="0" t="s">
        <v>20</v>
      </c>
      <c r="H7957" s="0" t="n">
        <v>101</v>
      </c>
      <c r="I7957" s="0" t="s">
        <v>26491</v>
      </c>
      <c r="J7957" s="0" t="s">
        <v>26492</v>
      </c>
      <c r="K7957" s="0" t="s">
        <v>26493</v>
      </c>
      <c r="L7957" s="0" t="str">
        <f aca="false">HYPERLINK("https://www.ncbi.nlm.nih.gov/nuccore/CP000058.1?report=graph&amp;tracks=[key:gene_model_track,Options:GeneOnly]&amp;mk=2513949:2513968|offset_7|444444,2514019:2514038|offset_77|444444,2514043:2514062|offset_101|00cc00,2514064:2514083|offset_122|444444&amp;v=2513748:2514283&amp;c=444444", "offset 101")</f>
        <v>offset 101</v>
      </c>
    </row>
    <row r="7958" customFormat="false" ht="12.8" hidden="false" customHeight="false" outlineLevel="0" collapsed="false">
      <c r="A7958" s="0" t="s">
        <v>12</v>
      </c>
      <c r="B7958" s="0" t="n">
        <v>2514063</v>
      </c>
      <c r="C7958" s="0" t="n">
        <v>2514083</v>
      </c>
      <c r="D7958" s="0" t="s">
        <v>26484</v>
      </c>
      <c r="E7958" s="0" t="s">
        <v>75</v>
      </c>
      <c r="F7958" s="0" t="s">
        <v>15</v>
      </c>
      <c r="G7958" s="0" t="s">
        <v>20</v>
      </c>
      <c r="H7958" s="0" t="n">
        <v>122</v>
      </c>
      <c r="I7958" s="0" t="s">
        <v>26494</v>
      </c>
      <c r="J7958" s="0" t="s">
        <v>26495</v>
      </c>
      <c r="K7958" s="0" t="s">
        <v>26496</v>
      </c>
      <c r="L7958" s="0" t="str">
        <f aca="false">HYPERLINK("https://www.ncbi.nlm.nih.gov/nuccore/CP000058.1?report=graph&amp;tracks=[key:gene_model_track,Options:GeneOnly]&amp;mk=2513949:2513968|offset_7|444444,2514019:2514038|offset_77|444444,2514043:2514062|offset_101|444444,2514064:2514083|offset_122|00cc00&amp;v=2513748:2514283&amp;c=444444", "offset 122")</f>
        <v>offset 122</v>
      </c>
    </row>
    <row r="7959" customFormat="false" ht="12.8" hidden="false" customHeight="false" outlineLevel="0" collapsed="false">
      <c r="A7959" s="0" t="s">
        <v>12</v>
      </c>
      <c r="B7959" s="0" t="n">
        <v>2514973</v>
      </c>
      <c r="C7959" s="0" t="n">
        <v>2514993</v>
      </c>
      <c r="D7959" s="0" t="s">
        <v>26497</v>
      </c>
      <c r="E7959" s="0" t="s">
        <v>75</v>
      </c>
      <c r="F7959" s="0" t="s">
        <v>15</v>
      </c>
      <c r="G7959" s="0" t="s">
        <v>16</v>
      </c>
      <c r="H7959" s="0" t="n">
        <v>7</v>
      </c>
      <c r="I7959" s="0" t="s">
        <v>26498</v>
      </c>
      <c r="J7959" s="0" t="s">
        <v>26499</v>
      </c>
      <c r="K7959" s="0" t="s">
        <v>26500</v>
      </c>
      <c r="L7959" s="0" t="str">
        <f aca="false">HYPERLINK("https://www.ncbi.nlm.nih.gov/nuccore/CP000058.1?report=graph&amp;tracks=[key:gene_model_track,Options:GeneOnly]&amp;mk=2514974:2514993|offset_7|00cc00,2515009:2515028|offset_42|444444,2515051:2515070|offset_84|444444,2515071:2515090|offset_104|444444&amp;v=2514773:2515290&amp;c=444444", "offset 7")</f>
        <v>offset 7</v>
      </c>
    </row>
    <row r="7960" customFormat="false" ht="12.8" hidden="false" customHeight="false" outlineLevel="0" collapsed="false">
      <c r="A7960" s="0" t="s">
        <v>12</v>
      </c>
      <c r="B7960" s="0" t="n">
        <v>2515008</v>
      </c>
      <c r="C7960" s="0" t="n">
        <v>2515028</v>
      </c>
      <c r="D7960" s="0" t="s">
        <v>26497</v>
      </c>
      <c r="E7960" s="0" t="s">
        <v>75</v>
      </c>
      <c r="F7960" s="0" t="s">
        <v>15</v>
      </c>
      <c r="G7960" s="0" t="s">
        <v>36</v>
      </c>
      <c r="H7960" s="0" t="n">
        <v>42</v>
      </c>
      <c r="I7960" s="0" t="s">
        <v>26501</v>
      </c>
      <c r="J7960" s="0" t="s">
        <v>26502</v>
      </c>
      <c r="K7960" s="0" t="s">
        <v>26503</v>
      </c>
      <c r="L7960" s="0" t="str">
        <f aca="false">HYPERLINK("https://www.ncbi.nlm.nih.gov/nuccore/CP000058.1?report=graph&amp;tracks=[key:gene_model_track,Options:GeneOnly]&amp;mk=2514974:2514993|offset_7|444444,2515009:2515028|offset_42|00cc00,2515051:2515070|offset_84|444444,2515071:2515090|offset_104|444444&amp;v=2514773:2515290&amp;c=444444", "offset 42")</f>
        <v>offset 42</v>
      </c>
    </row>
    <row r="7961" customFormat="false" ht="12.8" hidden="false" customHeight="false" outlineLevel="0" collapsed="false">
      <c r="A7961" s="0" t="s">
        <v>12</v>
      </c>
      <c r="B7961" s="0" t="n">
        <v>2515050</v>
      </c>
      <c r="C7961" s="0" t="n">
        <v>2515070</v>
      </c>
      <c r="D7961" s="0" t="s">
        <v>26497</v>
      </c>
      <c r="E7961" s="0" t="s">
        <v>75</v>
      </c>
      <c r="F7961" s="0" t="s">
        <v>15</v>
      </c>
      <c r="G7961" s="0" t="s">
        <v>16</v>
      </c>
      <c r="H7961" s="0" t="n">
        <v>84</v>
      </c>
      <c r="I7961" s="0" t="s">
        <v>26504</v>
      </c>
      <c r="J7961" s="0" t="s">
        <v>26505</v>
      </c>
      <c r="K7961" s="0" t="s">
        <v>26506</v>
      </c>
      <c r="L7961" s="0" t="str">
        <f aca="false">HYPERLINK("https://www.ncbi.nlm.nih.gov/nuccore/CP000058.1?report=graph&amp;tracks=[key:gene_model_track,Options:GeneOnly]&amp;mk=2514974:2514993|offset_7|444444,2515009:2515028|offset_42|444444,2515051:2515070|offset_84|00cc00,2515071:2515090|offset_104|444444&amp;v=2514773:2515290&amp;c=444444", "offset 84")</f>
        <v>offset 84</v>
      </c>
    </row>
    <row r="7962" customFormat="false" ht="12.8" hidden="false" customHeight="false" outlineLevel="0" collapsed="false">
      <c r="A7962" s="0" t="s">
        <v>12</v>
      </c>
      <c r="B7962" s="0" t="n">
        <v>2515070</v>
      </c>
      <c r="C7962" s="0" t="n">
        <v>2515090</v>
      </c>
      <c r="D7962" s="0" t="s">
        <v>26497</v>
      </c>
      <c r="E7962" s="0" t="s">
        <v>75</v>
      </c>
      <c r="F7962" s="0" t="s">
        <v>15</v>
      </c>
      <c r="G7962" s="0" t="s">
        <v>20</v>
      </c>
      <c r="H7962" s="0" t="n">
        <v>104</v>
      </c>
      <c r="I7962" s="0" t="s">
        <v>26507</v>
      </c>
      <c r="J7962" s="0" t="s">
        <v>26508</v>
      </c>
      <c r="K7962" s="0" t="s">
        <v>26509</v>
      </c>
      <c r="L7962" s="0" t="str">
        <f aca="false">HYPERLINK("https://www.ncbi.nlm.nih.gov/nuccore/CP000058.1?report=graph&amp;tracks=[key:gene_model_track,Options:GeneOnly]&amp;mk=2514974:2514993|offset_7|444444,2515009:2515028|offset_42|444444,2515051:2515070|offset_84|444444,2515071:2515090|offset_104|00cc00&amp;v=2514773:2515290&amp;c=444444", "offset 104")</f>
        <v>offset 104</v>
      </c>
    </row>
    <row r="7963" customFormat="false" ht="12.8" hidden="false" customHeight="false" outlineLevel="0" collapsed="false">
      <c r="A7963" s="0" t="s">
        <v>12</v>
      </c>
      <c r="B7963" s="0" t="n">
        <v>2516180</v>
      </c>
      <c r="C7963" s="0" t="n">
        <v>2516200</v>
      </c>
      <c r="D7963" s="0" t="s">
        <v>26510</v>
      </c>
      <c r="E7963" s="0" t="s">
        <v>75</v>
      </c>
      <c r="F7963" s="0" t="s">
        <v>15</v>
      </c>
      <c r="G7963" s="0" t="s">
        <v>16</v>
      </c>
      <c r="H7963" s="0" t="n">
        <v>40</v>
      </c>
      <c r="I7963" s="0" t="s">
        <v>26511</v>
      </c>
      <c r="J7963" s="0" t="s">
        <v>26512</v>
      </c>
      <c r="K7963" s="0" t="s">
        <v>26513</v>
      </c>
      <c r="L7963" s="0" t="str">
        <f aca="false">HYPERLINK("https://www.ncbi.nlm.nih.gov/nuccore/CP000058.1?report=graph&amp;tracks=[key:gene_model_track,Options:GeneOnly]&amp;mk=2516181:2516200|offset_40|00cc00,2516211:2516230|offset_70|444444,2516261:2516280|offset_120|444444,2516282:2516301|offset_141|444444&amp;v=2515980:2516501&amp;c=444444", "offset 40")</f>
        <v>offset 40</v>
      </c>
    </row>
    <row r="7964" customFormat="false" ht="12.8" hidden="false" customHeight="false" outlineLevel="0" collapsed="false">
      <c r="A7964" s="0" t="s">
        <v>12</v>
      </c>
      <c r="B7964" s="0" t="n">
        <v>2516210</v>
      </c>
      <c r="C7964" s="0" t="n">
        <v>2516230</v>
      </c>
      <c r="D7964" s="0" t="s">
        <v>26510</v>
      </c>
      <c r="E7964" s="0" t="s">
        <v>75</v>
      </c>
      <c r="F7964" s="0" t="s">
        <v>15</v>
      </c>
      <c r="G7964" s="0" t="s">
        <v>16</v>
      </c>
      <c r="H7964" s="0" t="n">
        <v>70</v>
      </c>
      <c r="I7964" s="0" t="s">
        <v>26514</v>
      </c>
      <c r="J7964" s="0" t="s">
        <v>26515</v>
      </c>
      <c r="K7964" s="0" t="s">
        <v>26516</v>
      </c>
      <c r="L7964" s="0" t="str">
        <f aca="false">HYPERLINK("https://www.ncbi.nlm.nih.gov/nuccore/CP000058.1?report=graph&amp;tracks=[key:gene_model_track,Options:GeneOnly]&amp;mk=2516181:2516200|offset_40|444444,2516211:2516230|offset_70|00cc00,2516261:2516280|offset_120|444444,2516282:2516301|offset_141|444444&amp;v=2515980:2516501&amp;c=444444", "offset 70")</f>
        <v>offset 70</v>
      </c>
    </row>
    <row r="7965" customFormat="false" ht="12.8" hidden="false" customHeight="false" outlineLevel="0" collapsed="false">
      <c r="A7965" s="0" t="s">
        <v>12</v>
      </c>
      <c r="B7965" s="0" t="n">
        <v>2516260</v>
      </c>
      <c r="C7965" s="0" t="n">
        <v>2516280</v>
      </c>
      <c r="D7965" s="0" t="s">
        <v>26510</v>
      </c>
      <c r="E7965" s="0" t="s">
        <v>75</v>
      </c>
      <c r="F7965" s="0" t="s">
        <v>15</v>
      </c>
      <c r="G7965" s="0" t="s">
        <v>16</v>
      </c>
      <c r="H7965" s="0" t="n">
        <v>120</v>
      </c>
      <c r="I7965" s="0" t="s">
        <v>26517</v>
      </c>
      <c r="J7965" s="0" t="s">
        <v>26518</v>
      </c>
      <c r="K7965" s="0" t="s">
        <v>26519</v>
      </c>
      <c r="L7965" s="0" t="str">
        <f aca="false">HYPERLINK("https://www.ncbi.nlm.nih.gov/nuccore/CP000058.1?report=graph&amp;tracks=[key:gene_model_track,Options:GeneOnly]&amp;mk=2516181:2516200|offset_40|444444,2516211:2516230|offset_70|444444,2516261:2516280|offset_120|00cc00,2516282:2516301|offset_141|444444&amp;v=2515980:2516501&amp;c=444444", "offset 120")</f>
        <v>offset 120</v>
      </c>
    </row>
    <row r="7966" customFormat="false" ht="12.8" hidden="false" customHeight="false" outlineLevel="0" collapsed="false">
      <c r="A7966" s="0" t="s">
        <v>12</v>
      </c>
      <c r="B7966" s="0" t="n">
        <v>2516281</v>
      </c>
      <c r="C7966" s="0" t="n">
        <v>2516301</v>
      </c>
      <c r="D7966" s="0" t="s">
        <v>26510</v>
      </c>
      <c r="E7966" s="0" t="s">
        <v>75</v>
      </c>
      <c r="F7966" s="0" t="s">
        <v>15</v>
      </c>
      <c r="G7966" s="0" t="s">
        <v>16</v>
      </c>
      <c r="H7966" s="0" t="n">
        <v>141</v>
      </c>
      <c r="I7966" s="0" t="s">
        <v>26520</v>
      </c>
      <c r="J7966" s="0" t="s">
        <v>26521</v>
      </c>
      <c r="K7966" s="0" t="s">
        <v>26522</v>
      </c>
      <c r="L7966" s="0" t="str">
        <f aca="false">HYPERLINK("https://www.ncbi.nlm.nih.gov/nuccore/CP000058.1?report=graph&amp;tracks=[key:gene_model_track,Options:GeneOnly]&amp;mk=2516181:2516200|offset_40|444444,2516211:2516230|offset_70|444444,2516261:2516280|offset_120|444444,2516282:2516301|offset_141|00cc00&amp;v=2515980:2516501&amp;c=444444", "offset 141")</f>
        <v>offset 141</v>
      </c>
    </row>
    <row r="7967" customFormat="false" ht="12.8" hidden="false" customHeight="false" outlineLevel="0" collapsed="false">
      <c r="A7967" s="0" t="s">
        <v>12</v>
      </c>
      <c r="B7967" s="0" t="n">
        <v>2516866</v>
      </c>
      <c r="C7967" s="0" t="n">
        <v>2516886</v>
      </c>
      <c r="D7967" s="0" t="s">
        <v>26523</v>
      </c>
      <c r="E7967" s="0" t="s">
        <v>75</v>
      </c>
      <c r="F7967" s="0" t="s">
        <v>15</v>
      </c>
      <c r="G7967" s="0" t="s">
        <v>36</v>
      </c>
      <c r="H7967" s="0" t="n">
        <v>16</v>
      </c>
      <c r="I7967" s="0" t="s">
        <v>26524</v>
      </c>
      <c r="J7967" s="0" t="s">
        <v>26525</v>
      </c>
      <c r="K7967" s="0" t="s">
        <v>26526</v>
      </c>
      <c r="L7967" s="0" t="str">
        <f aca="false">HYPERLINK("https://www.ncbi.nlm.nih.gov/nuccore/CP000058.1?report=graph&amp;tracks=[key:gene_model_track,Options:GeneOnly]&amp;mk=2516867:2516886|offset_16|00cc00,2516893:2516912|offset_42|444444,2516929:2516948|offset_78|444444,2516967:2516986|offset_116|444444&amp;v=2516666:2517186&amp;c=444444", "offset 16")</f>
        <v>offset 16</v>
      </c>
    </row>
    <row r="7968" customFormat="false" ht="12.8" hidden="false" customHeight="false" outlineLevel="0" collapsed="false">
      <c r="A7968" s="0" t="s">
        <v>12</v>
      </c>
      <c r="B7968" s="0" t="n">
        <v>2516892</v>
      </c>
      <c r="C7968" s="0" t="n">
        <v>2516912</v>
      </c>
      <c r="D7968" s="0" t="s">
        <v>26523</v>
      </c>
      <c r="E7968" s="0" t="s">
        <v>75</v>
      </c>
      <c r="F7968" s="0" t="s">
        <v>15</v>
      </c>
      <c r="G7968" s="0" t="s">
        <v>32</v>
      </c>
      <c r="H7968" s="0" t="n">
        <v>42</v>
      </c>
      <c r="I7968" s="0" t="s">
        <v>26527</v>
      </c>
      <c r="J7968" s="0" t="s">
        <v>26528</v>
      </c>
      <c r="K7968" s="0" t="s">
        <v>26529</v>
      </c>
      <c r="L7968" s="0" t="str">
        <f aca="false">HYPERLINK("https://www.ncbi.nlm.nih.gov/nuccore/CP000058.1?report=graph&amp;tracks=[key:gene_model_track,Options:GeneOnly]&amp;mk=2516867:2516886|offset_16|444444,2516893:2516912|offset_42|00cc00,2516929:2516948|offset_78|444444,2516967:2516986|offset_116|444444&amp;v=2516666:2517186&amp;c=444444", "offset 42")</f>
        <v>offset 42</v>
      </c>
    </row>
    <row r="7969" customFormat="false" ht="12.8" hidden="false" customHeight="false" outlineLevel="0" collapsed="false">
      <c r="A7969" s="0" t="s">
        <v>12</v>
      </c>
      <c r="B7969" s="0" t="n">
        <v>2516928</v>
      </c>
      <c r="C7969" s="0" t="n">
        <v>2516948</v>
      </c>
      <c r="D7969" s="0" t="s">
        <v>26523</v>
      </c>
      <c r="E7969" s="0" t="s">
        <v>75</v>
      </c>
      <c r="F7969" s="0" t="s">
        <v>15</v>
      </c>
      <c r="G7969" s="0" t="s">
        <v>36</v>
      </c>
      <c r="H7969" s="0" t="n">
        <v>78</v>
      </c>
      <c r="I7969" s="0" t="s">
        <v>26530</v>
      </c>
      <c r="J7969" s="0" t="s">
        <v>26531</v>
      </c>
      <c r="K7969" s="0" t="s">
        <v>26532</v>
      </c>
      <c r="L7969" s="0" t="str">
        <f aca="false">HYPERLINK("https://www.ncbi.nlm.nih.gov/nuccore/CP000058.1?report=graph&amp;tracks=[key:gene_model_track,Options:GeneOnly]&amp;mk=2516867:2516886|offset_16|444444,2516893:2516912|offset_42|444444,2516929:2516948|offset_78|00cc00,2516967:2516986|offset_116|444444&amp;v=2516666:2517186&amp;c=444444", "offset 78")</f>
        <v>offset 78</v>
      </c>
    </row>
    <row r="7970" customFormat="false" ht="12.8" hidden="false" customHeight="false" outlineLevel="0" collapsed="false">
      <c r="A7970" s="0" t="s">
        <v>12</v>
      </c>
      <c r="B7970" s="0" t="n">
        <v>2516966</v>
      </c>
      <c r="C7970" s="0" t="n">
        <v>2516986</v>
      </c>
      <c r="D7970" s="0" t="s">
        <v>26523</v>
      </c>
      <c r="E7970" s="0" t="s">
        <v>75</v>
      </c>
      <c r="F7970" s="0" t="s">
        <v>15</v>
      </c>
      <c r="G7970" s="0" t="s">
        <v>16</v>
      </c>
      <c r="H7970" s="0" t="n">
        <v>116</v>
      </c>
      <c r="I7970" s="0" t="s">
        <v>26533</v>
      </c>
      <c r="J7970" s="0" t="s">
        <v>26534</v>
      </c>
      <c r="K7970" s="0" t="s">
        <v>26535</v>
      </c>
      <c r="L7970" s="0" t="str">
        <f aca="false">HYPERLINK("https://www.ncbi.nlm.nih.gov/nuccore/CP000058.1?report=graph&amp;tracks=[key:gene_model_track,Options:GeneOnly]&amp;mk=2516867:2516886|offset_16|444444,2516893:2516912|offset_42|444444,2516929:2516948|offset_78|444444,2516967:2516986|offset_116|00cc00&amp;v=2516666:2517186&amp;c=444444", "offset 116")</f>
        <v>offset 116</v>
      </c>
    </row>
    <row r="7971" customFormat="false" ht="12.8" hidden="false" customHeight="false" outlineLevel="0" collapsed="false">
      <c r="A7971" s="0" t="s">
        <v>12</v>
      </c>
      <c r="B7971" s="0" t="n">
        <v>2517485</v>
      </c>
      <c r="C7971" s="0" t="n">
        <v>2517505</v>
      </c>
      <c r="D7971" s="0" t="s">
        <v>26536</v>
      </c>
      <c r="E7971" s="0" t="s">
        <v>75</v>
      </c>
      <c r="F7971" s="0" t="s">
        <v>15</v>
      </c>
      <c r="G7971" s="0" t="s">
        <v>16</v>
      </c>
      <c r="H7971" s="0" t="n">
        <v>43</v>
      </c>
      <c r="I7971" s="0" t="s">
        <v>26537</v>
      </c>
      <c r="J7971" s="0" t="s">
        <v>26538</v>
      </c>
      <c r="K7971" s="0" t="s">
        <v>26539</v>
      </c>
      <c r="L7971" s="0" t="str">
        <f aca="false">HYPERLINK("https://www.ncbi.nlm.nih.gov/nuccore/CP000058.1?report=graph&amp;tracks=[key:gene_model_track,Options:GeneOnly]&amp;mk=2517486:2517505|offset_43|00cc00,2517550:2517569|offset_107|444444,2517619:2517638|offset_176|444444,2517648:2517667|offset_205|444444&amp;v=2517285:2517867&amp;c=444444", "offset 43")</f>
        <v>offset 43</v>
      </c>
    </row>
    <row r="7972" customFormat="false" ht="12.8" hidden="false" customHeight="false" outlineLevel="0" collapsed="false">
      <c r="A7972" s="0" t="s">
        <v>12</v>
      </c>
      <c r="B7972" s="0" t="n">
        <v>2517549</v>
      </c>
      <c r="C7972" s="0" t="n">
        <v>2517569</v>
      </c>
      <c r="D7972" s="0" t="s">
        <v>26536</v>
      </c>
      <c r="E7972" s="0" t="s">
        <v>75</v>
      </c>
      <c r="F7972" s="0" t="s">
        <v>15</v>
      </c>
      <c r="G7972" s="0" t="s">
        <v>20</v>
      </c>
      <c r="H7972" s="0" t="n">
        <v>107</v>
      </c>
      <c r="I7972" s="0" t="s">
        <v>26540</v>
      </c>
      <c r="J7972" s="0" t="s">
        <v>26541</v>
      </c>
      <c r="K7972" s="0" t="s">
        <v>26542</v>
      </c>
      <c r="L7972" s="0" t="str">
        <f aca="false">HYPERLINK("https://www.ncbi.nlm.nih.gov/nuccore/CP000058.1?report=graph&amp;tracks=[key:gene_model_track,Options:GeneOnly]&amp;mk=2517486:2517505|offset_43|444444,2517550:2517569|offset_107|00cc00,2517619:2517638|offset_176|444444,2517648:2517667|offset_205|444444&amp;v=2517285:2517867&amp;c=444444", "offset 107")</f>
        <v>offset 107</v>
      </c>
    </row>
    <row r="7973" customFormat="false" ht="12.8" hidden="false" customHeight="false" outlineLevel="0" collapsed="false">
      <c r="A7973" s="0" t="s">
        <v>12</v>
      </c>
      <c r="B7973" s="0" t="n">
        <v>2517618</v>
      </c>
      <c r="C7973" s="0" t="n">
        <v>2517638</v>
      </c>
      <c r="D7973" s="0" t="s">
        <v>26536</v>
      </c>
      <c r="E7973" s="0" t="s">
        <v>75</v>
      </c>
      <c r="F7973" s="0" t="s">
        <v>15</v>
      </c>
      <c r="G7973" s="0" t="s">
        <v>16</v>
      </c>
      <c r="H7973" s="0" t="n">
        <v>176</v>
      </c>
      <c r="I7973" s="0" t="s">
        <v>26543</v>
      </c>
      <c r="J7973" s="0" t="s">
        <v>26544</v>
      </c>
      <c r="K7973" s="0" t="s">
        <v>26545</v>
      </c>
      <c r="L7973" s="0" t="str">
        <f aca="false">HYPERLINK("https://www.ncbi.nlm.nih.gov/nuccore/CP000058.1?report=graph&amp;tracks=[key:gene_model_track,Options:GeneOnly]&amp;mk=2517486:2517505|offset_43|444444,2517550:2517569|offset_107|444444,2517619:2517638|offset_176|00cc00,2517648:2517667|offset_205|444444&amp;v=2517285:2517867&amp;c=444444", "offset 176")</f>
        <v>offset 176</v>
      </c>
    </row>
    <row r="7974" customFormat="false" ht="12.8" hidden="false" customHeight="false" outlineLevel="0" collapsed="false">
      <c r="A7974" s="0" t="s">
        <v>12</v>
      </c>
      <c r="B7974" s="0" t="n">
        <v>2517647</v>
      </c>
      <c r="C7974" s="0" t="n">
        <v>2517667</v>
      </c>
      <c r="D7974" s="0" t="s">
        <v>26536</v>
      </c>
      <c r="E7974" s="0" t="s">
        <v>75</v>
      </c>
      <c r="F7974" s="0" t="s">
        <v>15</v>
      </c>
      <c r="G7974" s="0" t="s">
        <v>16</v>
      </c>
      <c r="H7974" s="0" t="n">
        <v>205</v>
      </c>
      <c r="I7974" s="0" t="s">
        <v>26546</v>
      </c>
      <c r="J7974" s="0" t="s">
        <v>26547</v>
      </c>
      <c r="K7974" s="0" t="s">
        <v>26548</v>
      </c>
      <c r="L7974" s="0" t="str">
        <f aca="false">HYPERLINK("https://www.ncbi.nlm.nih.gov/nuccore/CP000058.1?report=graph&amp;tracks=[key:gene_model_track,Options:GeneOnly]&amp;mk=2517486:2517505|offset_43|444444,2517550:2517569|offset_107|444444,2517619:2517638|offset_176|444444,2517648:2517667|offset_205|00cc00&amp;v=2517285:2517867&amp;c=444444", "offset 205")</f>
        <v>offset 205</v>
      </c>
    </row>
    <row r="7975" customFormat="false" ht="12.8" hidden="false" customHeight="false" outlineLevel="0" collapsed="false">
      <c r="A7975" s="0" t="s">
        <v>12</v>
      </c>
      <c r="B7975" s="0" t="n">
        <v>2517901</v>
      </c>
      <c r="C7975" s="0" t="n">
        <v>2517921</v>
      </c>
      <c r="D7975" s="0" t="s">
        <v>26549</v>
      </c>
      <c r="E7975" s="0" t="s">
        <v>75</v>
      </c>
      <c r="F7975" s="0" t="s">
        <v>15</v>
      </c>
      <c r="G7975" s="0" t="s">
        <v>32</v>
      </c>
      <c r="H7975" s="0" t="n">
        <v>7</v>
      </c>
      <c r="I7975" s="0" t="s">
        <v>26550</v>
      </c>
      <c r="J7975" s="0" t="s">
        <v>26551</v>
      </c>
      <c r="K7975" s="0" t="s">
        <v>26552</v>
      </c>
      <c r="L7975" s="0" t="str">
        <f aca="false">HYPERLINK("https://www.ncbi.nlm.nih.gov/nuccore/CP000058.1?report=graph&amp;tracks=[key:gene_model_track,Options:GeneOnly]&amp;mk=2517902:2517921|offset_7|00cc00,2517946:2517965|offset_51|444444,2517977:2517996|offset_82|444444,2518004:2518023|offset_109|444444&amp;v=2517701:2518223&amp;c=444444", "offset 7")</f>
        <v>offset 7</v>
      </c>
    </row>
    <row r="7976" customFormat="false" ht="12.8" hidden="false" customHeight="false" outlineLevel="0" collapsed="false">
      <c r="A7976" s="0" t="s">
        <v>12</v>
      </c>
      <c r="B7976" s="0" t="n">
        <v>2517945</v>
      </c>
      <c r="C7976" s="0" t="n">
        <v>2517965</v>
      </c>
      <c r="D7976" s="0" t="s">
        <v>26549</v>
      </c>
      <c r="E7976" s="0" t="s">
        <v>75</v>
      </c>
      <c r="F7976" s="0" t="s">
        <v>15</v>
      </c>
      <c r="G7976" s="0" t="s">
        <v>20</v>
      </c>
      <c r="H7976" s="0" t="n">
        <v>51</v>
      </c>
      <c r="I7976" s="0" t="s">
        <v>26553</v>
      </c>
      <c r="J7976" s="0" t="s">
        <v>26554</v>
      </c>
      <c r="K7976" s="0" t="s">
        <v>26555</v>
      </c>
      <c r="L7976" s="0" t="str">
        <f aca="false">HYPERLINK("https://www.ncbi.nlm.nih.gov/nuccore/CP000058.1?report=graph&amp;tracks=[key:gene_model_track,Options:GeneOnly]&amp;mk=2517902:2517921|offset_7|444444,2517946:2517965|offset_51|00cc00,2517977:2517996|offset_82|444444,2518004:2518023|offset_109|444444&amp;v=2517701:2518223&amp;c=444444", "offset 51")</f>
        <v>offset 51</v>
      </c>
    </row>
    <row r="7977" customFormat="false" ht="12.8" hidden="false" customHeight="false" outlineLevel="0" collapsed="false">
      <c r="A7977" s="0" t="s">
        <v>12</v>
      </c>
      <c r="B7977" s="0" t="n">
        <v>2517976</v>
      </c>
      <c r="C7977" s="0" t="n">
        <v>2517996</v>
      </c>
      <c r="D7977" s="0" t="s">
        <v>26549</v>
      </c>
      <c r="E7977" s="0" t="s">
        <v>75</v>
      </c>
      <c r="F7977" s="0" t="s">
        <v>15</v>
      </c>
      <c r="G7977" s="0" t="s">
        <v>16</v>
      </c>
      <c r="H7977" s="0" t="n">
        <v>82</v>
      </c>
      <c r="I7977" s="0" t="s">
        <v>26556</v>
      </c>
      <c r="J7977" s="0" t="s">
        <v>26557</v>
      </c>
      <c r="K7977" s="0" t="s">
        <v>26558</v>
      </c>
      <c r="L7977" s="0" t="str">
        <f aca="false">HYPERLINK("https://www.ncbi.nlm.nih.gov/nuccore/CP000058.1?report=graph&amp;tracks=[key:gene_model_track,Options:GeneOnly]&amp;mk=2517902:2517921|offset_7|444444,2517946:2517965|offset_51|444444,2517977:2517996|offset_82|00cc00,2518004:2518023|offset_109|444444&amp;v=2517701:2518223&amp;c=444444", "offset 82")</f>
        <v>offset 82</v>
      </c>
    </row>
    <row r="7978" customFormat="false" ht="12.8" hidden="false" customHeight="false" outlineLevel="0" collapsed="false">
      <c r="A7978" s="0" t="s">
        <v>12</v>
      </c>
      <c r="B7978" s="0" t="n">
        <v>2518003</v>
      </c>
      <c r="C7978" s="0" t="n">
        <v>2518023</v>
      </c>
      <c r="D7978" s="0" t="s">
        <v>26549</v>
      </c>
      <c r="E7978" s="0" t="s">
        <v>75</v>
      </c>
      <c r="F7978" s="0" t="s">
        <v>15</v>
      </c>
      <c r="G7978" s="0" t="s">
        <v>36</v>
      </c>
      <c r="H7978" s="0" t="n">
        <v>109</v>
      </c>
      <c r="I7978" s="0" t="s">
        <v>26559</v>
      </c>
      <c r="J7978" s="0" t="s">
        <v>26560</v>
      </c>
      <c r="K7978" s="0" t="s">
        <v>26561</v>
      </c>
      <c r="L7978" s="0" t="str">
        <f aca="false">HYPERLINK("https://www.ncbi.nlm.nih.gov/nuccore/CP000058.1?report=graph&amp;tracks=[key:gene_model_track,Options:GeneOnly]&amp;mk=2517902:2517921|offset_7|444444,2517946:2517965|offset_51|444444,2517977:2517996|offset_82|444444,2518004:2518023|offset_109|00cc00&amp;v=2517701:2518223&amp;c=444444", "offset 109")</f>
        <v>offset 109</v>
      </c>
    </row>
    <row r="7979" customFormat="false" ht="12.8" hidden="false" customHeight="false" outlineLevel="0" collapsed="false">
      <c r="A7979" s="0" t="s">
        <v>12</v>
      </c>
      <c r="B7979" s="0" t="n">
        <v>2518939</v>
      </c>
      <c r="C7979" s="0" t="n">
        <v>2518959</v>
      </c>
      <c r="D7979" s="0" t="s">
        <v>26562</v>
      </c>
      <c r="E7979" s="0" t="s">
        <v>75</v>
      </c>
      <c r="F7979" s="0" t="s">
        <v>15</v>
      </c>
      <c r="G7979" s="0" t="s">
        <v>32</v>
      </c>
      <c r="H7979" s="0" t="n">
        <v>1</v>
      </c>
      <c r="I7979" s="0" t="s">
        <v>26563</v>
      </c>
      <c r="J7979" s="0" t="s">
        <v>26564</v>
      </c>
      <c r="K7979" s="0" t="s">
        <v>26565</v>
      </c>
      <c r="L7979" s="0" t="str">
        <f aca="false">HYPERLINK("https://www.ncbi.nlm.nih.gov/nuccore/CP000058.1?report=graph&amp;tracks=[key:gene_model_track,Options:GeneOnly]&amp;mk=2518940:2518959|offset_1|00cc00,2518962:2518981|offset_23|444444,2519005:2519024|offset_66|444444,2519039:2519058|offset_100|444444&amp;v=2518739:2519258&amp;c=444444", "offset 1")</f>
        <v>offset 1</v>
      </c>
    </row>
    <row r="7980" customFormat="false" ht="12.8" hidden="false" customHeight="false" outlineLevel="0" collapsed="false">
      <c r="A7980" s="0" t="s">
        <v>12</v>
      </c>
      <c r="B7980" s="0" t="n">
        <v>2518961</v>
      </c>
      <c r="C7980" s="0" t="n">
        <v>2518981</v>
      </c>
      <c r="D7980" s="0" t="s">
        <v>26562</v>
      </c>
      <c r="E7980" s="0" t="s">
        <v>75</v>
      </c>
      <c r="F7980" s="0" t="s">
        <v>15</v>
      </c>
      <c r="G7980" s="0" t="s">
        <v>32</v>
      </c>
      <c r="H7980" s="0" t="n">
        <v>23</v>
      </c>
      <c r="I7980" s="0" t="s">
        <v>26566</v>
      </c>
      <c r="J7980" s="0" t="s">
        <v>26567</v>
      </c>
      <c r="K7980" s="0" t="s">
        <v>26568</v>
      </c>
      <c r="L7980" s="0" t="str">
        <f aca="false">HYPERLINK("https://www.ncbi.nlm.nih.gov/nuccore/CP000058.1?report=graph&amp;tracks=[key:gene_model_track,Options:GeneOnly]&amp;mk=2518940:2518959|offset_1|444444,2518962:2518981|offset_23|00cc00,2519005:2519024|offset_66|444444,2519039:2519058|offset_100|444444&amp;v=2518739:2519258&amp;c=444444", "offset 23")</f>
        <v>offset 23</v>
      </c>
    </row>
    <row r="7981" customFormat="false" ht="12.8" hidden="false" customHeight="false" outlineLevel="0" collapsed="false">
      <c r="A7981" s="0" t="s">
        <v>12</v>
      </c>
      <c r="B7981" s="0" t="n">
        <v>2519004</v>
      </c>
      <c r="C7981" s="0" t="n">
        <v>2519024</v>
      </c>
      <c r="D7981" s="0" t="s">
        <v>26562</v>
      </c>
      <c r="E7981" s="0" t="s">
        <v>75</v>
      </c>
      <c r="F7981" s="0" t="s">
        <v>15</v>
      </c>
      <c r="G7981" s="0" t="s">
        <v>16</v>
      </c>
      <c r="H7981" s="0" t="n">
        <v>66</v>
      </c>
      <c r="I7981" s="0" t="s">
        <v>26569</v>
      </c>
      <c r="J7981" s="0" t="s">
        <v>26570</v>
      </c>
      <c r="K7981" s="0" t="s">
        <v>26571</v>
      </c>
      <c r="L7981" s="0" t="str">
        <f aca="false">HYPERLINK("https://www.ncbi.nlm.nih.gov/nuccore/CP000058.1?report=graph&amp;tracks=[key:gene_model_track,Options:GeneOnly]&amp;mk=2518940:2518959|offset_1|444444,2518962:2518981|offset_23|444444,2519005:2519024|offset_66|00cc00,2519039:2519058|offset_100|444444&amp;v=2518739:2519258&amp;c=444444", "offset 66")</f>
        <v>offset 66</v>
      </c>
    </row>
    <row r="7982" customFormat="false" ht="12.8" hidden="false" customHeight="false" outlineLevel="0" collapsed="false">
      <c r="A7982" s="0" t="s">
        <v>12</v>
      </c>
      <c r="B7982" s="0" t="n">
        <v>2519038</v>
      </c>
      <c r="C7982" s="0" t="n">
        <v>2519058</v>
      </c>
      <c r="D7982" s="0" t="s">
        <v>26562</v>
      </c>
      <c r="E7982" s="0" t="s">
        <v>75</v>
      </c>
      <c r="F7982" s="0" t="s">
        <v>15</v>
      </c>
      <c r="G7982" s="0" t="s">
        <v>32</v>
      </c>
      <c r="H7982" s="0" t="n">
        <v>100</v>
      </c>
      <c r="I7982" s="0" t="s">
        <v>26572</v>
      </c>
      <c r="J7982" s="0" t="s">
        <v>26573</v>
      </c>
      <c r="K7982" s="0" t="s">
        <v>26574</v>
      </c>
      <c r="L7982" s="0" t="str">
        <f aca="false">HYPERLINK("https://www.ncbi.nlm.nih.gov/nuccore/CP000058.1?report=graph&amp;tracks=[key:gene_model_track,Options:GeneOnly]&amp;mk=2518940:2518959|offset_1|444444,2518962:2518981|offset_23|444444,2519005:2519024|offset_66|444444,2519039:2519058|offset_100|00cc00&amp;v=2518739:2519258&amp;c=444444", "offset 100")</f>
        <v>offset 100</v>
      </c>
    </row>
    <row r="7983" customFormat="false" ht="12.8" hidden="false" customHeight="false" outlineLevel="0" collapsed="false">
      <c r="A7983" s="0" t="s">
        <v>12</v>
      </c>
      <c r="B7983" s="0" t="n">
        <v>2519729</v>
      </c>
      <c r="C7983" s="0" t="n">
        <v>2519749</v>
      </c>
      <c r="D7983" s="0" t="s">
        <v>26575</v>
      </c>
      <c r="E7983" s="0" t="s">
        <v>75</v>
      </c>
      <c r="F7983" s="0" t="s">
        <v>15</v>
      </c>
      <c r="G7983" s="0" t="s">
        <v>32</v>
      </c>
      <c r="H7983" s="0" t="n">
        <v>21</v>
      </c>
      <c r="I7983" s="0" t="s">
        <v>26576</v>
      </c>
      <c r="J7983" s="0" t="s">
        <v>26577</v>
      </c>
      <c r="K7983" s="0" t="s">
        <v>26578</v>
      </c>
      <c r="L7983" s="0" t="str">
        <f aca="false">HYPERLINK("https://www.ncbi.nlm.nih.gov/nuccore/CP000058.1?report=graph&amp;tracks=[key:gene_model_track,Options:GeneOnly]&amp;mk=2519730:2519749|offset_21|00cc00,2519758:2519777|offset_49|444444,2519780:2519799|offset_71|444444,2519804:2519823|offset_95|444444&amp;v=2519529:2520023&amp;c=444444", "offset 21")</f>
        <v>offset 21</v>
      </c>
    </row>
    <row r="7984" customFormat="false" ht="12.8" hidden="false" customHeight="false" outlineLevel="0" collapsed="false">
      <c r="A7984" s="0" t="s">
        <v>12</v>
      </c>
      <c r="B7984" s="0" t="n">
        <v>2519757</v>
      </c>
      <c r="C7984" s="0" t="n">
        <v>2519777</v>
      </c>
      <c r="D7984" s="0" t="s">
        <v>26575</v>
      </c>
      <c r="E7984" s="0" t="s">
        <v>75</v>
      </c>
      <c r="F7984" s="0" t="s">
        <v>15</v>
      </c>
      <c r="G7984" s="0" t="s">
        <v>32</v>
      </c>
      <c r="H7984" s="0" t="n">
        <v>49</v>
      </c>
      <c r="I7984" s="0" t="s">
        <v>26579</v>
      </c>
      <c r="J7984" s="0" t="s">
        <v>26580</v>
      </c>
      <c r="K7984" s="0" t="s">
        <v>26581</v>
      </c>
      <c r="L7984" s="0" t="str">
        <f aca="false">HYPERLINK("https://www.ncbi.nlm.nih.gov/nuccore/CP000058.1?report=graph&amp;tracks=[key:gene_model_track,Options:GeneOnly]&amp;mk=2519730:2519749|offset_21|444444,2519758:2519777|offset_49|00cc00,2519780:2519799|offset_71|444444,2519804:2519823|offset_95|444444&amp;v=2519529:2520023&amp;c=444444", "offset 49")</f>
        <v>offset 49</v>
      </c>
    </row>
    <row r="7985" customFormat="false" ht="12.8" hidden="false" customHeight="false" outlineLevel="0" collapsed="false">
      <c r="A7985" s="0" t="s">
        <v>12</v>
      </c>
      <c r="B7985" s="0" t="n">
        <v>2519779</v>
      </c>
      <c r="C7985" s="0" t="n">
        <v>2519799</v>
      </c>
      <c r="D7985" s="0" t="s">
        <v>26575</v>
      </c>
      <c r="E7985" s="0" t="s">
        <v>75</v>
      </c>
      <c r="F7985" s="0" t="s">
        <v>15</v>
      </c>
      <c r="G7985" s="0" t="s">
        <v>16</v>
      </c>
      <c r="H7985" s="0" t="n">
        <v>71</v>
      </c>
      <c r="I7985" s="0" t="s">
        <v>26582</v>
      </c>
      <c r="J7985" s="0" t="s">
        <v>26583</v>
      </c>
      <c r="K7985" s="0" t="s">
        <v>26584</v>
      </c>
      <c r="L7985" s="0" t="str">
        <f aca="false">HYPERLINK("https://www.ncbi.nlm.nih.gov/nuccore/CP000058.1?report=graph&amp;tracks=[key:gene_model_track,Options:GeneOnly]&amp;mk=2519730:2519749|offset_21|444444,2519758:2519777|offset_49|444444,2519780:2519799|offset_71|00cc00,2519804:2519823|offset_95|444444&amp;v=2519529:2520023&amp;c=444444", "offset 71")</f>
        <v>offset 71</v>
      </c>
    </row>
    <row r="7986" customFormat="false" ht="12.8" hidden="false" customHeight="false" outlineLevel="0" collapsed="false">
      <c r="A7986" s="0" t="s">
        <v>12</v>
      </c>
      <c r="B7986" s="0" t="n">
        <v>2519803</v>
      </c>
      <c r="C7986" s="0" t="n">
        <v>2519823</v>
      </c>
      <c r="D7986" s="0" t="s">
        <v>26575</v>
      </c>
      <c r="E7986" s="0" t="s">
        <v>75</v>
      </c>
      <c r="F7986" s="0" t="s">
        <v>15</v>
      </c>
      <c r="G7986" s="0" t="s">
        <v>16</v>
      </c>
      <c r="H7986" s="0" t="n">
        <v>95</v>
      </c>
      <c r="I7986" s="0" t="s">
        <v>26585</v>
      </c>
      <c r="J7986" s="0" t="s">
        <v>26586</v>
      </c>
      <c r="K7986" s="0" t="s">
        <v>26587</v>
      </c>
      <c r="L7986" s="0" t="str">
        <f aca="false">HYPERLINK("https://www.ncbi.nlm.nih.gov/nuccore/CP000058.1?report=graph&amp;tracks=[key:gene_model_track,Options:GeneOnly]&amp;mk=2519730:2519749|offset_21|444444,2519758:2519777|offset_49|444444,2519780:2519799|offset_71|444444,2519804:2519823|offset_95|00cc00&amp;v=2519529:2520023&amp;c=444444", "offset 95")</f>
        <v>offset 95</v>
      </c>
    </row>
    <row r="7987" customFormat="false" ht="12.8" hidden="false" customHeight="false" outlineLevel="0" collapsed="false">
      <c r="A7987" s="0" t="s">
        <v>12</v>
      </c>
      <c r="B7987" s="0" t="n">
        <v>2521750</v>
      </c>
      <c r="C7987" s="0" t="n">
        <v>2521770</v>
      </c>
      <c r="D7987" s="0" t="s">
        <v>26588</v>
      </c>
      <c r="E7987" s="0" t="s">
        <v>75</v>
      </c>
      <c r="F7987" s="0" t="s">
        <v>90</v>
      </c>
      <c r="G7987" s="0" t="s">
        <v>16</v>
      </c>
      <c r="H7987" s="0" t="n">
        <v>24</v>
      </c>
      <c r="I7987" s="0" t="s">
        <v>26589</v>
      </c>
      <c r="J7987" s="0" t="s">
        <v>26590</v>
      </c>
      <c r="K7987" s="0" t="s">
        <v>26591</v>
      </c>
      <c r="L7987" s="0" t="str">
        <f aca="false">HYPERLINK("https://www.ncbi.nlm.nih.gov/nuccore/CP000058.1?report=graph&amp;tracks=[key:gene_model_track,Options:GeneOnly]&amp;mk=2521751:2521770|offset_24|00cc00,2521722:2521741|offset_53|444444,2521693:2521712|offset_82|444444,2521669:2521688|offset_106|444444&amp;v=2521550:2521888&amp;c=444444", "offset 24")</f>
        <v>offset 24</v>
      </c>
    </row>
    <row r="7988" customFormat="false" ht="12.8" hidden="false" customHeight="false" outlineLevel="0" collapsed="false">
      <c r="A7988" s="0" t="s">
        <v>12</v>
      </c>
      <c r="B7988" s="0" t="n">
        <v>2521721</v>
      </c>
      <c r="C7988" s="0" t="n">
        <v>2521741</v>
      </c>
      <c r="D7988" s="0" t="s">
        <v>26588</v>
      </c>
      <c r="E7988" s="0" t="s">
        <v>75</v>
      </c>
      <c r="F7988" s="0" t="s">
        <v>90</v>
      </c>
      <c r="G7988" s="0" t="s">
        <v>16</v>
      </c>
      <c r="H7988" s="0" t="n">
        <v>53</v>
      </c>
      <c r="I7988" s="0" t="s">
        <v>26592</v>
      </c>
      <c r="J7988" s="0" t="s">
        <v>26593</v>
      </c>
      <c r="K7988" s="0" t="s">
        <v>26594</v>
      </c>
      <c r="L7988" s="0" t="str">
        <f aca="false">HYPERLINK("https://www.ncbi.nlm.nih.gov/nuccore/CP000058.1?report=graph&amp;tracks=[key:gene_model_track,Options:GeneOnly]&amp;mk=2521751:2521770|offset_24|444444,2521722:2521741|offset_53|00cc00,2521693:2521712|offset_82|444444,2521669:2521688|offset_106|444444&amp;v=2521550:2521888&amp;c=444444", "offset 53")</f>
        <v>offset 53</v>
      </c>
    </row>
    <row r="7989" customFormat="false" ht="12.8" hidden="false" customHeight="false" outlineLevel="0" collapsed="false">
      <c r="A7989" s="0" t="s">
        <v>12</v>
      </c>
      <c r="B7989" s="0" t="n">
        <v>2521692</v>
      </c>
      <c r="C7989" s="0" t="n">
        <v>2521712</v>
      </c>
      <c r="D7989" s="0" t="s">
        <v>26588</v>
      </c>
      <c r="E7989" s="0" t="s">
        <v>75</v>
      </c>
      <c r="F7989" s="0" t="s">
        <v>90</v>
      </c>
      <c r="G7989" s="0" t="s">
        <v>32</v>
      </c>
      <c r="H7989" s="0" t="n">
        <v>82</v>
      </c>
      <c r="I7989" s="0" t="s">
        <v>26595</v>
      </c>
      <c r="J7989" s="0" t="s">
        <v>26596</v>
      </c>
      <c r="K7989" s="0" t="s">
        <v>26597</v>
      </c>
      <c r="L7989" s="0" t="str">
        <f aca="false">HYPERLINK("https://www.ncbi.nlm.nih.gov/nuccore/CP000058.1?report=graph&amp;tracks=[key:gene_model_track,Options:GeneOnly]&amp;mk=2521751:2521770|offset_24|444444,2521722:2521741|offset_53|444444,2521693:2521712|offset_82|00cc00,2521669:2521688|offset_106|444444&amp;v=2521550:2521888&amp;c=444444", "offset 82")</f>
        <v>offset 82</v>
      </c>
    </row>
    <row r="7990" customFormat="false" ht="12.8" hidden="false" customHeight="false" outlineLevel="0" collapsed="false">
      <c r="A7990" s="0" t="s">
        <v>12</v>
      </c>
      <c r="B7990" s="0" t="n">
        <v>2521668</v>
      </c>
      <c r="C7990" s="0" t="n">
        <v>2521688</v>
      </c>
      <c r="D7990" s="0" t="s">
        <v>26588</v>
      </c>
      <c r="E7990" s="0" t="s">
        <v>75</v>
      </c>
      <c r="F7990" s="0" t="s">
        <v>90</v>
      </c>
      <c r="G7990" s="0" t="s">
        <v>16</v>
      </c>
      <c r="H7990" s="0" t="n">
        <v>106</v>
      </c>
      <c r="I7990" s="0" t="s">
        <v>26598</v>
      </c>
      <c r="J7990" s="0" t="s">
        <v>26599</v>
      </c>
      <c r="K7990" s="0" t="s">
        <v>26600</v>
      </c>
      <c r="L7990" s="0" t="str">
        <f aca="false">HYPERLINK("https://www.ncbi.nlm.nih.gov/nuccore/CP000058.1?report=graph&amp;tracks=[key:gene_model_track,Options:GeneOnly]&amp;mk=2521751:2521770|offset_24|444444,2521722:2521741|offset_53|444444,2521693:2521712|offset_82|444444,2521669:2521688|offset_106|00cc00&amp;v=2521550:2521888&amp;c=444444", "offset 106")</f>
        <v>offset 106</v>
      </c>
    </row>
    <row r="7991" customFormat="false" ht="12.8" hidden="false" customHeight="false" outlineLevel="0" collapsed="false">
      <c r="A7991" s="0" t="s">
        <v>12</v>
      </c>
      <c r="B7991" s="0" t="n">
        <v>2522811</v>
      </c>
      <c r="C7991" s="0" t="n">
        <v>2522831</v>
      </c>
      <c r="D7991" s="0" t="s">
        <v>26601</v>
      </c>
      <c r="E7991" s="0" t="s">
        <v>75</v>
      </c>
      <c r="F7991" s="0" t="s">
        <v>90</v>
      </c>
      <c r="G7991" s="0" t="s">
        <v>16</v>
      </c>
      <c r="H7991" s="0" t="n">
        <v>7</v>
      </c>
      <c r="I7991" s="0" t="s">
        <v>26602</v>
      </c>
      <c r="J7991" s="0" t="s">
        <v>26603</v>
      </c>
      <c r="K7991" s="0" t="s">
        <v>26604</v>
      </c>
      <c r="L7991" s="0" t="str">
        <f aca="false">HYPERLINK("https://www.ncbi.nlm.nih.gov/nuccore/CP000058.1?report=graph&amp;tracks=[key:gene_model_track,Options:GeneOnly]&amp;mk=2522812:2522831|offset_7|00cc00,2522791:2522810|offset_28|444444,2522771:2522790|offset_48|444444,2522751:2522770|offset_68|444444&amp;v=2522611:2522970&amp;c=444444", "offset 7")</f>
        <v>offset 7</v>
      </c>
    </row>
    <row r="7992" customFormat="false" ht="12.8" hidden="false" customHeight="false" outlineLevel="0" collapsed="false">
      <c r="A7992" s="0" t="s">
        <v>12</v>
      </c>
      <c r="B7992" s="0" t="n">
        <v>2522790</v>
      </c>
      <c r="C7992" s="0" t="n">
        <v>2522810</v>
      </c>
      <c r="D7992" s="0" t="s">
        <v>26601</v>
      </c>
      <c r="E7992" s="0" t="s">
        <v>75</v>
      </c>
      <c r="F7992" s="0" t="s">
        <v>90</v>
      </c>
      <c r="G7992" s="0" t="s">
        <v>20</v>
      </c>
      <c r="H7992" s="0" t="n">
        <v>28</v>
      </c>
      <c r="I7992" s="0" t="s">
        <v>26605</v>
      </c>
      <c r="J7992" s="0" t="s">
        <v>26606</v>
      </c>
      <c r="K7992" s="0" t="s">
        <v>26607</v>
      </c>
      <c r="L7992" s="0" t="str">
        <f aca="false">HYPERLINK("https://www.ncbi.nlm.nih.gov/nuccore/CP000058.1?report=graph&amp;tracks=[key:gene_model_track,Options:GeneOnly]&amp;mk=2522812:2522831|offset_7|444444,2522791:2522810|offset_28|00cc00,2522771:2522790|offset_48|444444,2522751:2522770|offset_68|444444&amp;v=2522611:2522970&amp;c=444444", "offset 28")</f>
        <v>offset 28</v>
      </c>
    </row>
    <row r="7993" customFormat="false" ht="12.8" hidden="false" customHeight="false" outlineLevel="0" collapsed="false">
      <c r="A7993" s="0" t="s">
        <v>12</v>
      </c>
      <c r="B7993" s="0" t="n">
        <v>2522770</v>
      </c>
      <c r="C7993" s="0" t="n">
        <v>2522790</v>
      </c>
      <c r="D7993" s="0" t="s">
        <v>26601</v>
      </c>
      <c r="E7993" s="0" t="s">
        <v>75</v>
      </c>
      <c r="F7993" s="0" t="s">
        <v>90</v>
      </c>
      <c r="G7993" s="0" t="s">
        <v>16</v>
      </c>
      <c r="H7993" s="0" t="n">
        <v>48</v>
      </c>
      <c r="I7993" s="0" t="s">
        <v>26608</v>
      </c>
      <c r="J7993" s="0" t="s">
        <v>26609</v>
      </c>
      <c r="K7993" s="0" t="s">
        <v>26610</v>
      </c>
      <c r="L7993" s="0" t="str">
        <f aca="false">HYPERLINK("https://www.ncbi.nlm.nih.gov/nuccore/CP000058.1?report=graph&amp;tracks=[key:gene_model_track,Options:GeneOnly]&amp;mk=2522812:2522831|offset_7|444444,2522791:2522810|offset_28|444444,2522771:2522790|offset_48|00cc00,2522751:2522770|offset_68|444444&amp;v=2522611:2522970&amp;c=444444", "offset 48")</f>
        <v>offset 48</v>
      </c>
    </row>
    <row r="7994" customFormat="false" ht="12.8" hidden="false" customHeight="false" outlineLevel="0" collapsed="false">
      <c r="A7994" s="0" t="s">
        <v>12</v>
      </c>
      <c r="B7994" s="0" t="n">
        <v>2522750</v>
      </c>
      <c r="C7994" s="0" t="n">
        <v>2522770</v>
      </c>
      <c r="D7994" s="0" t="s">
        <v>26601</v>
      </c>
      <c r="E7994" s="0" t="s">
        <v>75</v>
      </c>
      <c r="F7994" s="0" t="s">
        <v>90</v>
      </c>
      <c r="G7994" s="0" t="s">
        <v>20</v>
      </c>
      <c r="H7994" s="0" t="n">
        <v>68</v>
      </c>
      <c r="I7994" s="0" t="s">
        <v>26611</v>
      </c>
      <c r="J7994" s="0" t="s">
        <v>26612</v>
      </c>
      <c r="K7994" s="0" t="s">
        <v>26613</v>
      </c>
      <c r="L7994" s="0" t="str">
        <f aca="false">HYPERLINK("https://www.ncbi.nlm.nih.gov/nuccore/CP000058.1?report=graph&amp;tracks=[key:gene_model_track,Options:GeneOnly]&amp;mk=2522812:2522831|offset_7|444444,2522791:2522810|offset_28|444444,2522771:2522790|offset_48|444444,2522751:2522770|offset_68|00cc00&amp;v=2522611:2522970&amp;c=444444", "offset 68")</f>
        <v>offset 68</v>
      </c>
    </row>
    <row r="7995" customFormat="false" ht="12.8" hidden="false" customHeight="false" outlineLevel="0" collapsed="false">
      <c r="A7995" s="0" t="s">
        <v>12</v>
      </c>
      <c r="B7995" s="0" t="n">
        <v>2524378</v>
      </c>
      <c r="C7995" s="0" t="n">
        <v>2524398</v>
      </c>
      <c r="D7995" s="0" t="s">
        <v>26614</v>
      </c>
      <c r="E7995" s="0" t="s">
        <v>75</v>
      </c>
      <c r="F7995" s="0" t="s">
        <v>90</v>
      </c>
      <c r="G7995" s="0" t="s">
        <v>32</v>
      </c>
      <c r="H7995" s="0" t="n">
        <v>17</v>
      </c>
      <c r="I7995" s="0" t="s">
        <v>26615</v>
      </c>
      <c r="J7995" s="0" t="s">
        <v>26616</v>
      </c>
      <c r="K7995" s="0" t="s">
        <v>26617</v>
      </c>
      <c r="L7995" s="0" t="str">
        <f aca="false">HYPERLINK("https://www.ncbi.nlm.nih.gov/nuccore/CP000058.1?report=graph&amp;tracks=[key:gene_model_track,Options:GeneOnly]&amp;mk=2524379:2524398|offset_17|00cc00,2524356:2524375|offset_40|444444,2524332:2524351|offset_64|444444,2524306:2524325|offset_90|444444&amp;v=2524178:2524525&amp;c=444444", "offset 17")</f>
        <v>offset 17</v>
      </c>
    </row>
    <row r="7996" customFormat="false" ht="12.8" hidden="false" customHeight="false" outlineLevel="0" collapsed="false">
      <c r="A7996" s="0" t="s">
        <v>12</v>
      </c>
      <c r="B7996" s="0" t="n">
        <v>2524355</v>
      </c>
      <c r="C7996" s="0" t="n">
        <v>2524375</v>
      </c>
      <c r="D7996" s="0" t="s">
        <v>26614</v>
      </c>
      <c r="E7996" s="0" t="s">
        <v>75</v>
      </c>
      <c r="F7996" s="0" t="s">
        <v>90</v>
      </c>
      <c r="G7996" s="0" t="s">
        <v>32</v>
      </c>
      <c r="H7996" s="0" t="n">
        <v>40</v>
      </c>
      <c r="I7996" s="0" t="s">
        <v>26618</v>
      </c>
      <c r="J7996" s="0" t="s">
        <v>26619</v>
      </c>
      <c r="K7996" s="0" t="s">
        <v>26620</v>
      </c>
      <c r="L7996" s="0" t="str">
        <f aca="false">HYPERLINK("https://www.ncbi.nlm.nih.gov/nuccore/CP000058.1?report=graph&amp;tracks=[key:gene_model_track,Options:GeneOnly]&amp;mk=2524379:2524398|offset_17|444444,2524356:2524375|offset_40|00cc00,2524332:2524351|offset_64|444444,2524306:2524325|offset_90|444444&amp;v=2524178:2524525&amp;c=444444", "offset 40")</f>
        <v>offset 40</v>
      </c>
    </row>
    <row r="7997" customFormat="false" ht="12.8" hidden="false" customHeight="false" outlineLevel="0" collapsed="false">
      <c r="A7997" s="0" t="s">
        <v>12</v>
      </c>
      <c r="B7997" s="0" t="n">
        <v>2524331</v>
      </c>
      <c r="C7997" s="0" t="n">
        <v>2524351</v>
      </c>
      <c r="D7997" s="0" t="s">
        <v>26614</v>
      </c>
      <c r="E7997" s="0" t="s">
        <v>75</v>
      </c>
      <c r="F7997" s="0" t="s">
        <v>90</v>
      </c>
      <c r="G7997" s="0" t="s">
        <v>16</v>
      </c>
      <c r="H7997" s="0" t="n">
        <v>64</v>
      </c>
      <c r="I7997" s="0" t="s">
        <v>26621</v>
      </c>
      <c r="J7997" s="0" t="s">
        <v>26622</v>
      </c>
      <c r="K7997" s="0" t="s">
        <v>26623</v>
      </c>
      <c r="L7997" s="0" t="str">
        <f aca="false">HYPERLINK("https://www.ncbi.nlm.nih.gov/nuccore/CP000058.1?report=graph&amp;tracks=[key:gene_model_track,Options:GeneOnly]&amp;mk=2524379:2524398|offset_17|444444,2524356:2524375|offset_40|444444,2524332:2524351|offset_64|00cc00,2524306:2524325|offset_90|444444&amp;v=2524178:2524525&amp;c=444444", "offset 64")</f>
        <v>offset 64</v>
      </c>
    </row>
    <row r="7998" customFormat="false" ht="12.8" hidden="false" customHeight="false" outlineLevel="0" collapsed="false">
      <c r="A7998" s="0" t="s">
        <v>12</v>
      </c>
      <c r="B7998" s="0" t="n">
        <v>2524305</v>
      </c>
      <c r="C7998" s="0" t="n">
        <v>2524325</v>
      </c>
      <c r="D7998" s="0" t="s">
        <v>26614</v>
      </c>
      <c r="E7998" s="0" t="s">
        <v>75</v>
      </c>
      <c r="F7998" s="0" t="s">
        <v>90</v>
      </c>
      <c r="G7998" s="0" t="s">
        <v>16</v>
      </c>
      <c r="H7998" s="0" t="n">
        <v>90</v>
      </c>
      <c r="I7998" s="0" t="s">
        <v>26624</v>
      </c>
      <c r="J7998" s="0" t="s">
        <v>26625</v>
      </c>
      <c r="K7998" s="0" t="s">
        <v>26626</v>
      </c>
      <c r="L7998" s="0" t="str">
        <f aca="false">HYPERLINK("https://www.ncbi.nlm.nih.gov/nuccore/CP000058.1?report=graph&amp;tracks=[key:gene_model_track,Options:GeneOnly]&amp;mk=2524379:2524398|offset_17|444444,2524356:2524375|offset_40|444444,2524332:2524351|offset_64|444444,2524306:2524325|offset_90|00cc00&amp;v=2524178:2524525&amp;c=444444", "offset 90")</f>
        <v>offset 90</v>
      </c>
    </row>
    <row r="7999" customFormat="false" ht="12.8" hidden="false" customHeight="false" outlineLevel="0" collapsed="false">
      <c r="A7999" s="0" t="s">
        <v>12</v>
      </c>
      <c r="B7999" s="0" t="n">
        <v>2526931</v>
      </c>
      <c r="C7999" s="0" t="n">
        <v>2526951</v>
      </c>
      <c r="D7999" s="0" t="s">
        <v>26627</v>
      </c>
      <c r="E7999" s="0" t="s">
        <v>75</v>
      </c>
      <c r="F7999" s="0" t="s">
        <v>15</v>
      </c>
      <c r="G7999" s="0" t="s">
        <v>16</v>
      </c>
      <c r="H7999" s="0" t="n">
        <v>37</v>
      </c>
      <c r="I7999" s="0" t="s">
        <v>26628</v>
      </c>
      <c r="J7999" s="0" t="s">
        <v>26629</v>
      </c>
      <c r="K7999" s="0" t="s">
        <v>26630</v>
      </c>
      <c r="L7999" s="0" t="str">
        <f aca="false">HYPERLINK("https://www.ncbi.nlm.nih.gov/nuccore/CP000058.1?report=graph&amp;tracks=[key:gene_model_track,Options:GeneOnly]&amp;mk=2526932:2526951|offset_37|00cc00,2526970:2526989|offset_75|444444,2527009:2527028|offset_114|444444,2527039:2527058|offset_144|444444&amp;v=2526731:2527258&amp;c=444444", "offset 37")</f>
        <v>offset 37</v>
      </c>
    </row>
    <row r="8000" customFormat="false" ht="12.8" hidden="false" customHeight="false" outlineLevel="0" collapsed="false">
      <c r="A8000" s="0" t="s">
        <v>12</v>
      </c>
      <c r="B8000" s="0" t="n">
        <v>2526969</v>
      </c>
      <c r="C8000" s="0" t="n">
        <v>2526989</v>
      </c>
      <c r="D8000" s="0" t="s">
        <v>26627</v>
      </c>
      <c r="E8000" s="0" t="s">
        <v>75</v>
      </c>
      <c r="F8000" s="0" t="s">
        <v>15</v>
      </c>
      <c r="G8000" s="0" t="s">
        <v>20</v>
      </c>
      <c r="H8000" s="0" t="n">
        <v>75</v>
      </c>
      <c r="I8000" s="0" t="s">
        <v>26631</v>
      </c>
      <c r="J8000" s="0" t="s">
        <v>26632</v>
      </c>
      <c r="K8000" s="0" t="s">
        <v>26633</v>
      </c>
      <c r="L8000" s="0" t="str">
        <f aca="false">HYPERLINK("https://www.ncbi.nlm.nih.gov/nuccore/CP000058.1?report=graph&amp;tracks=[key:gene_model_track,Options:GeneOnly]&amp;mk=2526932:2526951|offset_37|444444,2526970:2526989|offset_75|00cc00,2527009:2527028|offset_114|444444,2527039:2527058|offset_144|444444&amp;v=2526731:2527258&amp;c=444444", "offset 75")</f>
        <v>offset 75</v>
      </c>
    </row>
    <row r="8001" customFormat="false" ht="12.8" hidden="false" customHeight="false" outlineLevel="0" collapsed="false">
      <c r="A8001" s="0" t="s">
        <v>12</v>
      </c>
      <c r="B8001" s="0" t="n">
        <v>2527008</v>
      </c>
      <c r="C8001" s="0" t="n">
        <v>2527028</v>
      </c>
      <c r="D8001" s="0" t="s">
        <v>26627</v>
      </c>
      <c r="E8001" s="0" t="s">
        <v>75</v>
      </c>
      <c r="F8001" s="0" t="s">
        <v>15</v>
      </c>
      <c r="G8001" s="0" t="s">
        <v>32</v>
      </c>
      <c r="H8001" s="0" t="n">
        <v>114</v>
      </c>
      <c r="I8001" s="0" t="s">
        <v>26634</v>
      </c>
      <c r="J8001" s="0" t="s">
        <v>26635</v>
      </c>
      <c r="K8001" s="0" t="s">
        <v>26636</v>
      </c>
      <c r="L8001" s="0" t="str">
        <f aca="false">HYPERLINK("https://www.ncbi.nlm.nih.gov/nuccore/CP000058.1?report=graph&amp;tracks=[key:gene_model_track,Options:GeneOnly]&amp;mk=2526932:2526951|offset_37|444444,2526970:2526989|offset_75|444444,2527009:2527028|offset_114|00cc00,2527039:2527058|offset_144|444444&amp;v=2526731:2527258&amp;c=444444", "offset 114")</f>
        <v>offset 114</v>
      </c>
    </row>
    <row r="8002" customFormat="false" ht="12.8" hidden="false" customHeight="false" outlineLevel="0" collapsed="false">
      <c r="A8002" s="0" t="s">
        <v>12</v>
      </c>
      <c r="B8002" s="0" t="n">
        <v>2527038</v>
      </c>
      <c r="C8002" s="0" t="n">
        <v>2527058</v>
      </c>
      <c r="D8002" s="0" t="s">
        <v>26627</v>
      </c>
      <c r="E8002" s="0" t="s">
        <v>75</v>
      </c>
      <c r="F8002" s="0" t="s">
        <v>15</v>
      </c>
      <c r="G8002" s="0" t="s">
        <v>32</v>
      </c>
      <c r="H8002" s="0" t="n">
        <v>144</v>
      </c>
      <c r="I8002" s="0" t="s">
        <v>26637</v>
      </c>
      <c r="J8002" s="0" t="s">
        <v>26638</v>
      </c>
      <c r="K8002" s="0" t="s">
        <v>26639</v>
      </c>
      <c r="L8002" s="0" t="str">
        <f aca="false">HYPERLINK("https://www.ncbi.nlm.nih.gov/nuccore/CP000058.1?report=graph&amp;tracks=[key:gene_model_track,Options:GeneOnly]&amp;mk=2526932:2526951|offset_37|444444,2526970:2526989|offset_75|444444,2527009:2527028|offset_114|444444,2527039:2527058|offset_144|00cc00&amp;v=2526731:2527258&amp;c=444444", "offset 144")</f>
        <v>offset 144</v>
      </c>
    </row>
    <row r="8003" customFormat="false" ht="12.8" hidden="false" customHeight="false" outlineLevel="0" collapsed="false">
      <c r="A8003" s="0" t="s">
        <v>12</v>
      </c>
      <c r="B8003" s="0" t="n">
        <v>2528154</v>
      </c>
      <c r="C8003" s="0" t="n">
        <v>2528174</v>
      </c>
      <c r="D8003" s="0" t="s">
        <v>26640</v>
      </c>
      <c r="E8003" s="0" t="s">
        <v>75</v>
      </c>
      <c r="F8003" s="0" t="s">
        <v>90</v>
      </c>
      <c r="G8003" s="0" t="s">
        <v>20</v>
      </c>
      <c r="H8003" s="0" t="n">
        <v>53</v>
      </c>
      <c r="I8003" s="0" t="s">
        <v>26641</v>
      </c>
      <c r="J8003" s="0" t="s">
        <v>26642</v>
      </c>
      <c r="K8003" s="0" t="s">
        <v>26643</v>
      </c>
      <c r="L8003" s="0" t="str">
        <f aca="false">HYPERLINK("https://www.ncbi.nlm.nih.gov/nuccore/CP000058.1?report=graph&amp;tracks=[key:gene_model_track,Options:GeneOnly]&amp;mk=2528155:2528174|offset_53|00cc00,2528134:2528153|offset_74|444444,2528096:2528115|offset_112|444444,2528072:2528091|offset_136|444444&amp;v=2527954:2528291&amp;c=444444", "offset 53")</f>
        <v>offset 53</v>
      </c>
    </row>
    <row r="8004" customFormat="false" ht="12.8" hidden="false" customHeight="false" outlineLevel="0" collapsed="false">
      <c r="A8004" s="0" t="s">
        <v>12</v>
      </c>
      <c r="B8004" s="0" t="n">
        <v>2528133</v>
      </c>
      <c r="C8004" s="0" t="n">
        <v>2528153</v>
      </c>
      <c r="D8004" s="0" t="s">
        <v>26640</v>
      </c>
      <c r="E8004" s="0" t="s">
        <v>75</v>
      </c>
      <c r="F8004" s="0" t="s">
        <v>90</v>
      </c>
      <c r="G8004" s="0" t="s">
        <v>20</v>
      </c>
      <c r="H8004" s="0" t="n">
        <v>74</v>
      </c>
      <c r="I8004" s="0" t="s">
        <v>26644</v>
      </c>
      <c r="J8004" s="0" t="s">
        <v>26645</v>
      </c>
      <c r="K8004" s="0" t="s">
        <v>26646</v>
      </c>
      <c r="L8004" s="0" t="str">
        <f aca="false">HYPERLINK("https://www.ncbi.nlm.nih.gov/nuccore/CP000058.1?report=graph&amp;tracks=[key:gene_model_track,Options:GeneOnly]&amp;mk=2528155:2528174|offset_53|444444,2528134:2528153|offset_74|00cc00,2528096:2528115|offset_112|444444,2528072:2528091|offset_136|444444&amp;v=2527954:2528291&amp;c=444444", "offset 74")</f>
        <v>offset 74</v>
      </c>
    </row>
    <row r="8005" customFormat="false" ht="12.8" hidden="false" customHeight="false" outlineLevel="0" collapsed="false">
      <c r="A8005" s="0" t="s">
        <v>12</v>
      </c>
      <c r="B8005" s="0" t="n">
        <v>2528095</v>
      </c>
      <c r="C8005" s="0" t="n">
        <v>2528115</v>
      </c>
      <c r="D8005" s="0" t="s">
        <v>26640</v>
      </c>
      <c r="E8005" s="0" t="s">
        <v>75</v>
      </c>
      <c r="F8005" s="0" t="s">
        <v>90</v>
      </c>
      <c r="G8005" s="0" t="s">
        <v>16</v>
      </c>
      <c r="H8005" s="0" t="n">
        <v>112</v>
      </c>
      <c r="I8005" s="0" t="s">
        <v>26647</v>
      </c>
      <c r="J8005" s="0" t="s">
        <v>26648</v>
      </c>
      <c r="K8005" s="0" t="s">
        <v>26649</v>
      </c>
      <c r="L8005" s="0" t="str">
        <f aca="false">HYPERLINK("https://www.ncbi.nlm.nih.gov/nuccore/CP000058.1?report=graph&amp;tracks=[key:gene_model_track,Options:GeneOnly]&amp;mk=2528155:2528174|offset_53|444444,2528134:2528153|offset_74|444444,2528096:2528115|offset_112|00cc00,2528072:2528091|offset_136|444444&amp;v=2527954:2528291&amp;c=444444", "offset 112")</f>
        <v>offset 112</v>
      </c>
    </row>
    <row r="8006" customFormat="false" ht="12.8" hidden="false" customHeight="false" outlineLevel="0" collapsed="false">
      <c r="A8006" s="0" t="s">
        <v>12</v>
      </c>
      <c r="B8006" s="0" t="n">
        <v>2528071</v>
      </c>
      <c r="C8006" s="0" t="n">
        <v>2528091</v>
      </c>
      <c r="D8006" s="0" t="s">
        <v>26640</v>
      </c>
      <c r="E8006" s="0" t="s">
        <v>75</v>
      </c>
      <c r="F8006" s="0" t="s">
        <v>90</v>
      </c>
      <c r="G8006" s="0" t="s">
        <v>16</v>
      </c>
      <c r="H8006" s="0" t="n">
        <v>136</v>
      </c>
      <c r="I8006" s="0" t="s">
        <v>26650</v>
      </c>
      <c r="J8006" s="0" t="s">
        <v>26651</v>
      </c>
      <c r="K8006" s="0" t="s">
        <v>26652</v>
      </c>
      <c r="L8006" s="0" t="str">
        <f aca="false">HYPERLINK("https://www.ncbi.nlm.nih.gov/nuccore/CP000058.1?report=graph&amp;tracks=[key:gene_model_track,Options:GeneOnly]&amp;mk=2528155:2528174|offset_53|444444,2528134:2528153|offset_74|444444,2528096:2528115|offset_112|444444,2528072:2528091|offset_136|00cc00&amp;v=2527954:2528291&amp;c=444444", "offset 136")</f>
        <v>offset 136</v>
      </c>
    </row>
    <row r="8007" customFormat="false" ht="12.8" hidden="false" customHeight="false" outlineLevel="0" collapsed="false">
      <c r="A8007" s="0" t="s">
        <v>12</v>
      </c>
      <c r="B8007" s="0" t="n">
        <v>2528563</v>
      </c>
      <c r="C8007" s="0" t="n">
        <v>2528583</v>
      </c>
      <c r="D8007" s="0" t="s">
        <v>26653</v>
      </c>
      <c r="E8007" s="0" t="s">
        <v>26654</v>
      </c>
      <c r="F8007" s="0" t="s">
        <v>90</v>
      </c>
      <c r="G8007" s="0" t="s">
        <v>36</v>
      </c>
      <c r="H8007" s="0" t="n">
        <v>63</v>
      </c>
      <c r="I8007" s="0" t="s">
        <v>26655</v>
      </c>
      <c r="J8007" s="0" t="s">
        <v>26656</v>
      </c>
      <c r="K8007" s="0" t="s">
        <v>26657</v>
      </c>
      <c r="L8007" s="0" t="str">
        <f aca="false">HYPERLINK("https://www.ncbi.nlm.nih.gov/nuccore/CP000058.1?report=graph&amp;tracks=[key:gene_model_track,Options:GeneOnly]&amp;mk=2528564:2528583|offset_63|00cc00,2528526:2528545|offset_101|444444,2528491:2528510|offset_136|444444,2528467:2528486|offset_160|444444&amp;v=2528363:2528686&amp;c=444444", "offset 63")</f>
        <v>offset 63</v>
      </c>
    </row>
    <row r="8008" customFormat="false" ht="12.8" hidden="false" customHeight="false" outlineLevel="0" collapsed="false">
      <c r="A8008" s="0" t="s">
        <v>12</v>
      </c>
      <c r="B8008" s="0" t="n">
        <v>2528525</v>
      </c>
      <c r="C8008" s="0" t="n">
        <v>2528545</v>
      </c>
      <c r="D8008" s="0" t="s">
        <v>26653</v>
      </c>
      <c r="E8008" s="0" t="s">
        <v>26654</v>
      </c>
      <c r="F8008" s="0" t="s">
        <v>90</v>
      </c>
      <c r="G8008" s="0" t="s">
        <v>20</v>
      </c>
      <c r="H8008" s="0" t="n">
        <v>101</v>
      </c>
      <c r="I8008" s="0" t="s">
        <v>26658</v>
      </c>
      <c r="J8008" s="0" t="s">
        <v>26659</v>
      </c>
      <c r="K8008" s="0" t="s">
        <v>26660</v>
      </c>
      <c r="L8008" s="0" t="str">
        <f aca="false">HYPERLINK("https://www.ncbi.nlm.nih.gov/nuccore/CP000058.1?report=graph&amp;tracks=[key:gene_model_track,Options:GeneOnly]&amp;mk=2528564:2528583|offset_63|444444,2528526:2528545|offset_101|00cc00,2528491:2528510|offset_136|444444,2528467:2528486|offset_160|444444&amp;v=2528363:2528686&amp;c=444444", "offset 101")</f>
        <v>offset 101</v>
      </c>
    </row>
    <row r="8009" customFormat="false" ht="12.8" hidden="false" customHeight="false" outlineLevel="0" collapsed="false">
      <c r="A8009" s="0" t="s">
        <v>12</v>
      </c>
      <c r="B8009" s="0" t="n">
        <v>2528490</v>
      </c>
      <c r="C8009" s="0" t="n">
        <v>2528510</v>
      </c>
      <c r="D8009" s="0" t="s">
        <v>26653</v>
      </c>
      <c r="E8009" s="0" t="s">
        <v>26654</v>
      </c>
      <c r="F8009" s="0" t="s">
        <v>90</v>
      </c>
      <c r="G8009" s="0" t="s">
        <v>32</v>
      </c>
      <c r="H8009" s="0" t="n">
        <v>136</v>
      </c>
      <c r="I8009" s="0" t="s">
        <v>26661</v>
      </c>
      <c r="J8009" s="0" t="s">
        <v>26662</v>
      </c>
      <c r="K8009" s="0" t="s">
        <v>26663</v>
      </c>
      <c r="L8009" s="0" t="str">
        <f aca="false">HYPERLINK("https://www.ncbi.nlm.nih.gov/nuccore/CP000058.1?report=graph&amp;tracks=[key:gene_model_track,Options:GeneOnly]&amp;mk=2528564:2528583|offset_63|444444,2528526:2528545|offset_101|444444,2528491:2528510|offset_136|00cc00,2528467:2528486|offset_160|444444&amp;v=2528363:2528686&amp;c=444444", "offset 136")</f>
        <v>offset 136</v>
      </c>
    </row>
    <row r="8010" customFormat="false" ht="12.8" hidden="false" customHeight="false" outlineLevel="0" collapsed="false">
      <c r="A8010" s="0" t="s">
        <v>12</v>
      </c>
      <c r="B8010" s="0" t="n">
        <v>2528466</v>
      </c>
      <c r="C8010" s="0" t="n">
        <v>2528486</v>
      </c>
      <c r="D8010" s="0" t="s">
        <v>26653</v>
      </c>
      <c r="E8010" s="0" t="s">
        <v>26654</v>
      </c>
      <c r="F8010" s="0" t="s">
        <v>90</v>
      </c>
      <c r="G8010" s="0" t="s">
        <v>20</v>
      </c>
      <c r="H8010" s="0" t="n">
        <v>160</v>
      </c>
      <c r="I8010" s="0" t="s">
        <v>26664</v>
      </c>
      <c r="J8010" s="0" t="s">
        <v>26665</v>
      </c>
      <c r="K8010" s="0" t="s">
        <v>26666</v>
      </c>
      <c r="L8010" s="0" t="str">
        <f aca="false">HYPERLINK("https://www.ncbi.nlm.nih.gov/nuccore/CP000058.1?report=graph&amp;tracks=[key:gene_model_track,Options:GeneOnly]&amp;mk=2528564:2528583|offset_63|444444,2528526:2528545|offset_101|444444,2528491:2528510|offset_136|444444,2528467:2528486|offset_160|00cc00&amp;v=2528363:2528686&amp;c=444444", "offset 160")</f>
        <v>offset 160</v>
      </c>
    </row>
    <row r="8011" customFormat="false" ht="12.8" hidden="false" customHeight="false" outlineLevel="0" collapsed="false">
      <c r="A8011" s="0" t="s">
        <v>12</v>
      </c>
      <c r="B8011" s="0" t="n">
        <v>2528811</v>
      </c>
      <c r="C8011" s="0" t="n">
        <v>2528831</v>
      </c>
      <c r="D8011" s="0" t="s">
        <v>26667</v>
      </c>
      <c r="E8011" s="0" t="s">
        <v>75</v>
      </c>
      <c r="F8011" s="0" t="s">
        <v>15</v>
      </c>
      <c r="G8011" s="0" t="s">
        <v>32</v>
      </c>
      <c r="H8011" s="0" t="n">
        <v>21</v>
      </c>
      <c r="I8011" s="0" t="s">
        <v>26668</v>
      </c>
      <c r="J8011" s="0" t="s">
        <v>26669</v>
      </c>
      <c r="K8011" s="0" t="s">
        <v>26670</v>
      </c>
      <c r="L8011" s="0" t="str">
        <f aca="false">HYPERLINK("https://www.ncbi.nlm.nih.gov/nuccore/CP000058.1?report=graph&amp;tracks=[key:gene_model_track,Options:GeneOnly]&amp;mk=2528812:2528831|offset_21|00cc00,2528846:2528865|offset_55|444444,2528899:2528918|offset_108|444444,2528923:2528942|offset_132|444444&amp;v=2528611:2529142&amp;c=444444", "offset 21")</f>
        <v>offset 21</v>
      </c>
    </row>
    <row r="8012" customFormat="false" ht="12.8" hidden="false" customHeight="false" outlineLevel="0" collapsed="false">
      <c r="A8012" s="0" t="s">
        <v>12</v>
      </c>
      <c r="B8012" s="0" t="n">
        <v>2528845</v>
      </c>
      <c r="C8012" s="0" t="n">
        <v>2528865</v>
      </c>
      <c r="D8012" s="0" t="s">
        <v>26667</v>
      </c>
      <c r="E8012" s="0" t="s">
        <v>75</v>
      </c>
      <c r="F8012" s="0" t="s">
        <v>15</v>
      </c>
      <c r="G8012" s="0" t="s">
        <v>20</v>
      </c>
      <c r="H8012" s="0" t="n">
        <v>55</v>
      </c>
      <c r="I8012" s="0" t="s">
        <v>26671</v>
      </c>
      <c r="J8012" s="0" t="s">
        <v>26672</v>
      </c>
      <c r="K8012" s="0" t="s">
        <v>26673</v>
      </c>
      <c r="L8012" s="0" t="str">
        <f aca="false">HYPERLINK("https://www.ncbi.nlm.nih.gov/nuccore/CP000058.1?report=graph&amp;tracks=[key:gene_model_track,Options:GeneOnly]&amp;mk=2528812:2528831|offset_21|444444,2528846:2528865|offset_55|00cc00,2528899:2528918|offset_108|444444,2528923:2528942|offset_132|444444&amp;v=2528611:2529142&amp;c=444444", "offset 55")</f>
        <v>offset 55</v>
      </c>
    </row>
    <row r="8013" customFormat="false" ht="12.8" hidden="false" customHeight="false" outlineLevel="0" collapsed="false">
      <c r="A8013" s="0" t="s">
        <v>12</v>
      </c>
      <c r="B8013" s="0" t="n">
        <v>2528898</v>
      </c>
      <c r="C8013" s="0" t="n">
        <v>2528918</v>
      </c>
      <c r="D8013" s="0" t="s">
        <v>26667</v>
      </c>
      <c r="E8013" s="0" t="s">
        <v>75</v>
      </c>
      <c r="F8013" s="0" t="s">
        <v>15</v>
      </c>
      <c r="G8013" s="0" t="s">
        <v>36</v>
      </c>
      <c r="H8013" s="0" t="n">
        <v>108</v>
      </c>
      <c r="I8013" s="0" t="s">
        <v>26674</v>
      </c>
      <c r="J8013" s="0" t="s">
        <v>26675</v>
      </c>
      <c r="K8013" s="0" t="s">
        <v>26676</v>
      </c>
      <c r="L8013" s="0" t="str">
        <f aca="false">HYPERLINK("https://www.ncbi.nlm.nih.gov/nuccore/CP000058.1?report=graph&amp;tracks=[key:gene_model_track,Options:GeneOnly]&amp;mk=2528812:2528831|offset_21|444444,2528846:2528865|offset_55|444444,2528899:2528918|offset_108|00cc00,2528923:2528942|offset_132|444444&amp;v=2528611:2529142&amp;c=444444", "offset 108")</f>
        <v>offset 108</v>
      </c>
    </row>
    <row r="8014" customFormat="false" ht="12.8" hidden="false" customHeight="false" outlineLevel="0" collapsed="false">
      <c r="A8014" s="0" t="s">
        <v>12</v>
      </c>
      <c r="B8014" s="0" t="n">
        <v>2528922</v>
      </c>
      <c r="C8014" s="0" t="n">
        <v>2528942</v>
      </c>
      <c r="D8014" s="0" t="s">
        <v>26667</v>
      </c>
      <c r="E8014" s="0" t="s">
        <v>75</v>
      </c>
      <c r="F8014" s="0" t="s">
        <v>15</v>
      </c>
      <c r="G8014" s="0" t="s">
        <v>16</v>
      </c>
      <c r="H8014" s="0" t="n">
        <v>132</v>
      </c>
      <c r="I8014" s="0" t="s">
        <v>26677</v>
      </c>
      <c r="J8014" s="0" t="s">
        <v>26678</v>
      </c>
      <c r="K8014" s="0" t="s">
        <v>26679</v>
      </c>
      <c r="L8014" s="0" t="str">
        <f aca="false">HYPERLINK("https://www.ncbi.nlm.nih.gov/nuccore/CP000058.1?report=graph&amp;tracks=[key:gene_model_track,Options:GeneOnly]&amp;mk=2528812:2528831|offset_21|444444,2528846:2528865|offset_55|444444,2528899:2528918|offset_108|444444,2528923:2528942|offset_132|00cc00&amp;v=2528611:2529142&amp;c=444444", "offset 132")</f>
        <v>offset 132</v>
      </c>
    </row>
    <row r="8015" customFormat="false" ht="12.8" hidden="false" customHeight="false" outlineLevel="0" collapsed="false">
      <c r="A8015" s="0" t="s">
        <v>12</v>
      </c>
      <c r="B8015" s="0" t="n">
        <v>2529603</v>
      </c>
      <c r="C8015" s="0" t="n">
        <v>2529623</v>
      </c>
      <c r="D8015" s="0" t="s">
        <v>26680</v>
      </c>
      <c r="E8015" s="0" t="s">
        <v>26681</v>
      </c>
      <c r="F8015" s="0" t="s">
        <v>90</v>
      </c>
      <c r="G8015" s="0" t="s">
        <v>36</v>
      </c>
      <c r="H8015" s="0" t="n">
        <v>0</v>
      </c>
      <c r="I8015" s="0" t="s">
        <v>26682</v>
      </c>
      <c r="J8015" s="0" t="s">
        <v>26683</v>
      </c>
      <c r="K8015" s="0" t="s">
        <v>26684</v>
      </c>
      <c r="L8015" s="0" t="str">
        <f aca="false">HYPERLINK("https://www.ncbi.nlm.nih.gov/nuccore/CP000058.1?report=graph&amp;tracks=[key:gene_model_track,Options:GeneOnly]&amp;mk=2529604:2529623|offset_0|00cc00,2529516:2529535|offset_88|444444,2529492:2529511|offset_112|444444,2529467:2529486|offset_137|444444&amp;v=2529403:2529686&amp;c=444444", "offset 0")</f>
        <v>offset 0</v>
      </c>
    </row>
    <row r="8016" customFormat="false" ht="12.8" hidden="false" customHeight="false" outlineLevel="0" collapsed="false">
      <c r="A8016" s="0" t="s">
        <v>12</v>
      </c>
      <c r="B8016" s="0" t="n">
        <v>2529515</v>
      </c>
      <c r="C8016" s="0" t="n">
        <v>2529535</v>
      </c>
      <c r="D8016" s="0" t="s">
        <v>26680</v>
      </c>
      <c r="E8016" s="0" t="s">
        <v>26681</v>
      </c>
      <c r="F8016" s="0" t="s">
        <v>90</v>
      </c>
      <c r="G8016" s="0" t="s">
        <v>16</v>
      </c>
      <c r="H8016" s="0" t="n">
        <v>88</v>
      </c>
      <c r="I8016" s="0" t="s">
        <v>26685</v>
      </c>
      <c r="J8016" s="0" t="s">
        <v>26686</v>
      </c>
      <c r="K8016" s="0" t="s">
        <v>26687</v>
      </c>
      <c r="L8016" s="0" t="str">
        <f aca="false">HYPERLINK("https://www.ncbi.nlm.nih.gov/nuccore/CP000058.1?report=graph&amp;tracks=[key:gene_model_track,Options:GeneOnly]&amp;mk=2529604:2529623|offset_0|444444,2529516:2529535|offset_88|00cc00,2529492:2529511|offset_112|444444,2529467:2529486|offset_137|444444&amp;v=2529403:2529686&amp;c=444444", "offset 88")</f>
        <v>offset 88</v>
      </c>
    </row>
    <row r="8017" customFormat="false" ht="12.8" hidden="false" customHeight="false" outlineLevel="0" collapsed="false">
      <c r="A8017" s="0" t="s">
        <v>12</v>
      </c>
      <c r="B8017" s="0" t="n">
        <v>2529491</v>
      </c>
      <c r="C8017" s="0" t="n">
        <v>2529511</v>
      </c>
      <c r="D8017" s="0" t="s">
        <v>26680</v>
      </c>
      <c r="E8017" s="0" t="s">
        <v>26681</v>
      </c>
      <c r="F8017" s="0" t="s">
        <v>90</v>
      </c>
      <c r="G8017" s="0" t="s">
        <v>20</v>
      </c>
      <c r="H8017" s="0" t="n">
        <v>112</v>
      </c>
      <c r="I8017" s="0" t="s">
        <v>26688</v>
      </c>
      <c r="J8017" s="0" t="s">
        <v>26689</v>
      </c>
      <c r="K8017" s="0" t="s">
        <v>26690</v>
      </c>
      <c r="L8017" s="0" t="str">
        <f aca="false">HYPERLINK("https://www.ncbi.nlm.nih.gov/nuccore/CP000058.1?report=graph&amp;tracks=[key:gene_model_track,Options:GeneOnly]&amp;mk=2529604:2529623|offset_0|444444,2529516:2529535|offset_88|444444,2529492:2529511|offset_112|00cc00,2529467:2529486|offset_137|444444&amp;v=2529403:2529686&amp;c=444444", "offset 112")</f>
        <v>offset 112</v>
      </c>
    </row>
    <row r="8018" customFormat="false" ht="12.8" hidden="false" customHeight="false" outlineLevel="0" collapsed="false">
      <c r="A8018" s="0" t="s">
        <v>12</v>
      </c>
      <c r="B8018" s="0" t="n">
        <v>2529466</v>
      </c>
      <c r="C8018" s="0" t="n">
        <v>2529486</v>
      </c>
      <c r="D8018" s="0" t="s">
        <v>26680</v>
      </c>
      <c r="E8018" s="0" t="s">
        <v>26681</v>
      </c>
      <c r="F8018" s="0" t="s">
        <v>90</v>
      </c>
      <c r="G8018" s="0" t="s">
        <v>16</v>
      </c>
      <c r="H8018" s="0" t="n">
        <v>137</v>
      </c>
      <c r="I8018" s="0" t="s">
        <v>26691</v>
      </c>
      <c r="J8018" s="0" t="s">
        <v>26692</v>
      </c>
      <c r="K8018" s="0" t="s">
        <v>26693</v>
      </c>
      <c r="L8018" s="0" t="str">
        <f aca="false">HYPERLINK("https://www.ncbi.nlm.nih.gov/nuccore/CP000058.1?report=graph&amp;tracks=[key:gene_model_track,Options:GeneOnly]&amp;mk=2529604:2529623|offset_0|444444,2529516:2529535|offset_88|444444,2529492:2529511|offset_112|444444,2529467:2529486|offset_137|00cc00&amp;v=2529403:2529686&amp;c=444444", "offset 137")</f>
        <v>offset 137</v>
      </c>
    </row>
    <row r="8019" customFormat="false" ht="12.8" hidden="false" customHeight="false" outlineLevel="0" collapsed="false">
      <c r="A8019" s="0" t="s">
        <v>12</v>
      </c>
      <c r="B8019" s="0" t="n">
        <v>2529815</v>
      </c>
      <c r="C8019" s="0" t="n">
        <v>2529835</v>
      </c>
      <c r="D8019" s="0" t="s">
        <v>26694</v>
      </c>
      <c r="E8019" s="0" t="s">
        <v>26695</v>
      </c>
      <c r="F8019" s="0" t="s">
        <v>15</v>
      </c>
      <c r="G8019" s="0" t="s">
        <v>20</v>
      </c>
      <c r="H8019" s="0" t="n">
        <v>24</v>
      </c>
      <c r="I8019" s="0" t="s">
        <v>26696</v>
      </c>
      <c r="J8019" s="0" t="s">
        <v>26697</v>
      </c>
      <c r="K8019" s="0" t="s">
        <v>26698</v>
      </c>
      <c r="L8019" s="0" t="str">
        <f aca="false">HYPERLINK("https://www.ncbi.nlm.nih.gov/nuccore/CP000058.1?report=graph&amp;tracks=[key:gene_model_track,Options:GeneOnly]&amp;mk=2529816:2529835|offset_24|00cc00,2529839:2529858|offset_47|444444,2529898:2529917|offset_106|444444,2529926:2529945|offset_134|444444&amp;v=2529615:2530145&amp;c=444444", "offset 24")</f>
        <v>offset 24</v>
      </c>
    </row>
    <row r="8020" customFormat="false" ht="12.8" hidden="false" customHeight="false" outlineLevel="0" collapsed="false">
      <c r="A8020" s="0" t="s">
        <v>12</v>
      </c>
      <c r="B8020" s="0" t="n">
        <v>2529838</v>
      </c>
      <c r="C8020" s="0" t="n">
        <v>2529858</v>
      </c>
      <c r="D8020" s="0" t="s">
        <v>26694</v>
      </c>
      <c r="E8020" s="0" t="s">
        <v>26695</v>
      </c>
      <c r="F8020" s="0" t="s">
        <v>15</v>
      </c>
      <c r="G8020" s="0" t="s">
        <v>32</v>
      </c>
      <c r="H8020" s="0" t="n">
        <v>47</v>
      </c>
      <c r="I8020" s="0" t="s">
        <v>26699</v>
      </c>
      <c r="J8020" s="0" t="s">
        <v>26700</v>
      </c>
      <c r="K8020" s="0" t="s">
        <v>26701</v>
      </c>
      <c r="L8020" s="0" t="str">
        <f aca="false">HYPERLINK("https://www.ncbi.nlm.nih.gov/nuccore/CP000058.1?report=graph&amp;tracks=[key:gene_model_track,Options:GeneOnly]&amp;mk=2529816:2529835|offset_24|444444,2529839:2529858|offset_47|00cc00,2529898:2529917|offset_106|444444,2529926:2529945|offset_134|444444&amp;v=2529615:2530145&amp;c=444444", "offset 47")</f>
        <v>offset 47</v>
      </c>
    </row>
    <row r="8021" customFormat="false" ht="12.8" hidden="false" customHeight="false" outlineLevel="0" collapsed="false">
      <c r="A8021" s="0" t="s">
        <v>12</v>
      </c>
      <c r="B8021" s="0" t="n">
        <v>2529897</v>
      </c>
      <c r="C8021" s="0" t="n">
        <v>2529917</v>
      </c>
      <c r="D8021" s="0" t="s">
        <v>26694</v>
      </c>
      <c r="E8021" s="0" t="s">
        <v>26695</v>
      </c>
      <c r="F8021" s="0" t="s">
        <v>15</v>
      </c>
      <c r="G8021" s="0" t="s">
        <v>16</v>
      </c>
      <c r="H8021" s="0" t="n">
        <v>106</v>
      </c>
      <c r="I8021" s="0" t="s">
        <v>26702</v>
      </c>
      <c r="J8021" s="0" t="s">
        <v>26703</v>
      </c>
      <c r="K8021" s="0" t="s">
        <v>26704</v>
      </c>
      <c r="L8021" s="0" t="str">
        <f aca="false">HYPERLINK("https://www.ncbi.nlm.nih.gov/nuccore/CP000058.1?report=graph&amp;tracks=[key:gene_model_track,Options:GeneOnly]&amp;mk=2529816:2529835|offset_24|444444,2529839:2529858|offset_47|444444,2529898:2529917|offset_106|00cc00,2529926:2529945|offset_134|444444&amp;v=2529615:2530145&amp;c=444444", "offset 106")</f>
        <v>offset 106</v>
      </c>
    </row>
    <row r="8022" customFormat="false" ht="12.8" hidden="false" customHeight="false" outlineLevel="0" collapsed="false">
      <c r="A8022" s="0" t="s">
        <v>12</v>
      </c>
      <c r="B8022" s="0" t="n">
        <v>2529925</v>
      </c>
      <c r="C8022" s="0" t="n">
        <v>2529945</v>
      </c>
      <c r="D8022" s="0" t="s">
        <v>26694</v>
      </c>
      <c r="E8022" s="0" t="s">
        <v>26695</v>
      </c>
      <c r="F8022" s="0" t="s">
        <v>15</v>
      </c>
      <c r="G8022" s="0" t="s">
        <v>16</v>
      </c>
      <c r="H8022" s="0" t="n">
        <v>134</v>
      </c>
      <c r="I8022" s="0" t="s">
        <v>26705</v>
      </c>
      <c r="J8022" s="0" t="s">
        <v>26706</v>
      </c>
      <c r="K8022" s="0" t="s">
        <v>26707</v>
      </c>
      <c r="L8022" s="0" t="str">
        <f aca="false">HYPERLINK("https://www.ncbi.nlm.nih.gov/nuccore/CP000058.1?report=graph&amp;tracks=[key:gene_model_track,Options:GeneOnly]&amp;mk=2529816:2529835|offset_24|444444,2529839:2529858|offset_47|444444,2529898:2529917|offset_106|444444,2529926:2529945|offset_134|00cc00&amp;v=2529615:2530145&amp;c=444444", "offset 134")</f>
        <v>offset 134</v>
      </c>
    </row>
    <row r="8023" customFormat="false" ht="12.8" hidden="false" customHeight="false" outlineLevel="0" collapsed="false">
      <c r="A8023" s="0" t="s">
        <v>12</v>
      </c>
      <c r="B8023" s="0" t="n">
        <v>2531242</v>
      </c>
      <c r="C8023" s="0" t="n">
        <v>2531262</v>
      </c>
      <c r="D8023" s="0" t="s">
        <v>26708</v>
      </c>
      <c r="E8023" s="0" t="s">
        <v>75</v>
      </c>
      <c r="F8023" s="0" t="s">
        <v>15</v>
      </c>
      <c r="G8023" s="0" t="s">
        <v>36</v>
      </c>
      <c r="H8023" s="0" t="n">
        <v>13</v>
      </c>
      <c r="I8023" s="0" t="s">
        <v>26709</v>
      </c>
      <c r="J8023" s="0" t="s">
        <v>26710</v>
      </c>
      <c r="K8023" s="0" t="s">
        <v>26711</v>
      </c>
      <c r="L8023" s="0" t="str">
        <f aca="false">HYPERLINK("https://www.ncbi.nlm.nih.gov/nuccore/CP000058.1?report=graph&amp;tracks=[key:gene_model_track,Options:GeneOnly]&amp;mk=2531243:2531262|offset_13|00cc00,2531269:2531288|offset_39|444444,2531292:2531311|offset_62|444444,2531328:2531347|offset_98|444444&amp;v=2531042:2531547&amp;c=444444", "offset 13")</f>
        <v>offset 13</v>
      </c>
    </row>
    <row r="8024" customFormat="false" ht="12.8" hidden="false" customHeight="false" outlineLevel="0" collapsed="false">
      <c r="A8024" s="0" t="s">
        <v>12</v>
      </c>
      <c r="B8024" s="0" t="n">
        <v>2531268</v>
      </c>
      <c r="C8024" s="0" t="n">
        <v>2531288</v>
      </c>
      <c r="D8024" s="0" t="s">
        <v>26708</v>
      </c>
      <c r="E8024" s="0" t="s">
        <v>75</v>
      </c>
      <c r="F8024" s="0" t="s">
        <v>15</v>
      </c>
      <c r="G8024" s="0" t="s">
        <v>16</v>
      </c>
      <c r="H8024" s="0" t="n">
        <v>39</v>
      </c>
      <c r="I8024" s="0" t="s">
        <v>26712</v>
      </c>
      <c r="J8024" s="0" t="s">
        <v>26713</v>
      </c>
      <c r="K8024" s="0" t="s">
        <v>26714</v>
      </c>
      <c r="L8024" s="0" t="str">
        <f aca="false">HYPERLINK("https://www.ncbi.nlm.nih.gov/nuccore/CP000058.1?report=graph&amp;tracks=[key:gene_model_track,Options:GeneOnly]&amp;mk=2531243:2531262|offset_13|444444,2531269:2531288|offset_39|00cc00,2531292:2531311|offset_62|444444,2531328:2531347|offset_98|444444&amp;v=2531042:2531547&amp;c=444444", "offset 39")</f>
        <v>offset 39</v>
      </c>
    </row>
    <row r="8025" customFormat="false" ht="12.8" hidden="false" customHeight="false" outlineLevel="0" collapsed="false">
      <c r="A8025" s="0" t="s">
        <v>12</v>
      </c>
      <c r="B8025" s="0" t="n">
        <v>2531291</v>
      </c>
      <c r="C8025" s="0" t="n">
        <v>2531311</v>
      </c>
      <c r="D8025" s="0" t="s">
        <v>26708</v>
      </c>
      <c r="E8025" s="0" t="s">
        <v>75</v>
      </c>
      <c r="F8025" s="0" t="s">
        <v>15</v>
      </c>
      <c r="G8025" s="0" t="s">
        <v>16</v>
      </c>
      <c r="H8025" s="0" t="n">
        <v>62</v>
      </c>
      <c r="I8025" s="0" t="s">
        <v>26715</v>
      </c>
      <c r="J8025" s="0" t="s">
        <v>26716</v>
      </c>
      <c r="K8025" s="0" t="s">
        <v>26717</v>
      </c>
      <c r="L8025" s="0" t="str">
        <f aca="false">HYPERLINK("https://www.ncbi.nlm.nih.gov/nuccore/CP000058.1?report=graph&amp;tracks=[key:gene_model_track,Options:GeneOnly]&amp;mk=2531243:2531262|offset_13|444444,2531269:2531288|offset_39|444444,2531292:2531311|offset_62|00cc00,2531328:2531347|offset_98|444444&amp;v=2531042:2531547&amp;c=444444", "offset 62")</f>
        <v>offset 62</v>
      </c>
    </row>
    <row r="8026" customFormat="false" ht="12.8" hidden="false" customHeight="false" outlineLevel="0" collapsed="false">
      <c r="A8026" s="0" t="s">
        <v>12</v>
      </c>
      <c r="B8026" s="0" t="n">
        <v>2531327</v>
      </c>
      <c r="C8026" s="0" t="n">
        <v>2531347</v>
      </c>
      <c r="D8026" s="0" t="s">
        <v>26708</v>
      </c>
      <c r="E8026" s="0" t="s">
        <v>75</v>
      </c>
      <c r="F8026" s="0" t="s">
        <v>15</v>
      </c>
      <c r="G8026" s="0" t="s">
        <v>20</v>
      </c>
      <c r="H8026" s="0" t="n">
        <v>98</v>
      </c>
      <c r="I8026" s="0" t="s">
        <v>26718</v>
      </c>
      <c r="J8026" s="0" t="s">
        <v>26719</v>
      </c>
      <c r="K8026" s="0" t="s">
        <v>26720</v>
      </c>
      <c r="L8026" s="0" t="str">
        <f aca="false">HYPERLINK("https://www.ncbi.nlm.nih.gov/nuccore/CP000058.1?report=graph&amp;tracks=[key:gene_model_track,Options:GeneOnly]&amp;mk=2531243:2531262|offset_13|444444,2531269:2531288|offset_39|444444,2531292:2531311|offset_62|444444,2531328:2531347|offset_98|00cc00&amp;v=2531042:2531547&amp;c=444444", "offset 98")</f>
        <v>offset 98</v>
      </c>
    </row>
    <row r="8027" customFormat="false" ht="12.8" hidden="false" customHeight="false" outlineLevel="0" collapsed="false">
      <c r="A8027" s="0" t="s">
        <v>12</v>
      </c>
      <c r="B8027" s="0" t="n">
        <v>2532409</v>
      </c>
      <c r="C8027" s="0" t="n">
        <v>2532429</v>
      </c>
      <c r="D8027" s="0" t="s">
        <v>26721</v>
      </c>
      <c r="E8027" s="0" t="s">
        <v>75</v>
      </c>
      <c r="F8027" s="0" t="s">
        <v>15</v>
      </c>
      <c r="G8027" s="0" t="s">
        <v>32</v>
      </c>
      <c r="H8027" s="0" t="n">
        <v>12</v>
      </c>
      <c r="I8027" s="0" t="s">
        <v>26722</v>
      </c>
      <c r="J8027" s="0" t="s">
        <v>26723</v>
      </c>
      <c r="K8027" s="0" t="s">
        <v>26724</v>
      </c>
      <c r="L8027" s="0" t="str">
        <f aca="false">HYPERLINK("https://www.ncbi.nlm.nih.gov/nuccore/CP000058.1?report=graph&amp;tracks=[key:gene_model_track,Options:GeneOnly]&amp;mk=2532410:2532429|offset_12|00cc00,2532456:2532475|offset_58|444444,2532520:2532539|offset_122|444444,2532548:2532567|offset_150|444444&amp;v=2532209:2532767&amp;c=444444", "offset 12")</f>
        <v>offset 12</v>
      </c>
    </row>
    <row r="8028" customFormat="false" ht="12.8" hidden="false" customHeight="false" outlineLevel="0" collapsed="false">
      <c r="A8028" s="0" t="s">
        <v>12</v>
      </c>
      <c r="B8028" s="0" t="n">
        <v>2532455</v>
      </c>
      <c r="C8028" s="0" t="n">
        <v>2532475</v>
      </c>
      <c r="D8028" s="0" t="s">
        <v>26721</v>
      </c>
      <c r="E8028" s="0" t="s">
        <v>75</v>
      </c>
      <c r="F8028" s="0" t="s">
        <v>15</v>
      </c>
      <c r="G8028" s="0" t="s">
        <v>32</v>
      </c>
      <c r="H8028" s="0" t="n">
        <v>58</v>
      </c>
      <c r="I8028" s="0" t="s">
        <v>26725</v>
      </c>
      <c r="J8028" s="0" t="s">
        <v>26726</v>
      </c>
      <c r="K8028" s="0" t="s">
        <v>26727</v>
      </c>
      <c r="L8028" s="0" t="str">
        <f aca="false">HYPERLINK("https://www.ncbi.nlm.nih.gov/nuccore/CP000058.1?report=graph&amp;tracks=[key:gene_model_track,Options:GeneOnly]&amp;mk=2532410:2532429|offset_12|444444,2532456:2532475|offset_58|00cc00,2532520:2532539|offset_122|444444,2532548:2532567|offset_150|444444&amp;v=2532209:2532767&amp;c=444444", "offset 58")</f>
        <v>offset 58</v>
      </c>
    </row>
    <row r="8029" customFormat="false" ht="12.8" hidden="false" customHeight="false" outlineLevel="0" collapsed="false">
      <c r="A8029" s="0" t="s">
        <v>12</v>
      </c>
      <c r="B8029" s="0" t="n">
        <v>2532519</v>
      </c>
      <c r="C8029" s="0" t="n">
        <v>2532539</v>
      </c>
      <c r="D8029" s="0" t="s">
        <v>26721</v>
      </c>
      <c r="E8029" s="0" t="s">
        <v>75</v>
      </c>
      <c r="F8029" s="0" t="s">
        <v>15</v>
      </c>
      <c r="G8029" s="0" t="s">
        <v>20</v>
      </c>
      <c r="H8029" s="0" t="n">
        <v>122</v>
      </c>
      <c r="I8029" s="0" t="s">
        <v>26728</v>
      </c>
      <c r="J8029" s="0" t="s">
        <v>26729</v>
      </c>
      <c r="K8029" s="0" t="s">
        <v>26730</v>
      </c>
      <c r="L8029" s="0" t="str">
        <f aca="false">HYPERLINK("https://www.ncbi.nlm.nih.gov/nuccore/CP000058.1?report=graph&amp;tracks=[key:gene_model_track,Options:GeneOnly]&amp;mk=2532410:2532429|offset_12|444444,2532456:2532475|offset_58|444444,2532520:2532539|offset_122|00cc00,2532548:2532567|offset_150|444444&amp;v=2532209:2532767&amp;c=444444", "offset 122")</f>
        <v>offset 122</v>
      </c>
    </row>
    <row r="8030" customFormat="false" ht="12.8" hidden="false" customHeight="false" outlineLevel="0" collapsed="false">
      <c r="A8030" s="0" t="s">
        <v>12</v>
      </c>
      <c r="B8030" s="0" t="n">
        <v>2532547</v>
      </c>
      <c r="C8030" s="0" t="n">
        <v>2532567</v>
      </c>
      <c r="D8030" s="0" t="s">
        <v>26721</v>
      </c>
      <c r="E8030" s="0" t="s">
        <v>75</v>
      </c>
      <c r="F8030" s="0" t="s">
        <v>15</v>
      </c>
      <c r="G8030" s="0" t="s">
        <v>20</v>
      </c>
      <c r="H8030" s="0" t="n">
        <v>150</v>
      </c>
      <c r="I8030" s="0" t="s">
        <v>26731</v>
      </c>
      <c r="J8030" s="0" t="s">
        <v>26732</v>
      </c>
      <c r="K8030" s="0" t="s">
        <v>26733</v>
      </c>
      <c r="L8030" s="0" t="str">
        <f aca="false">HYPERLINK("https://www.ncbi.nlm.nih.gov/nuccore/CP000058.1?report=graph&amp;tracks=[key:gene_model_track,Options:GeneOnly]&amp;mk=2532410:2532429|offset_12|444444,2532456:2532475|offset_58|444444,2532520:2532539|offset_122|444444,2532548:2532567|offset_150|00cc00&amp;v=2532209:2532767&amp;c=444444", "offset 150")</f>
        <v>offset 150</v>
      </c>
    </row>
    <row r="8031" customFormat="false" ht="12.8" hidden="false" customHeight="false" outlineLevel="0" collapsed="false">
      <c r="A8031" s="0" t="s">
        <v>12</v>
      </c>
      <c r="B8031" s="0" t="n">
        <v>2532961</v>
      </c>
      <c r="C8031" s="0" t="n">
        <v>2532981</v>
      </c>
      <c r="D8031" s="0" t="s">
        <v>26734</v>
      </c>
      <c r="E8031" s="0" t="s">
        <v>26735</v>
      </c>
      <c r="F8031" s="0" t="s">
        <v>15</v>
      </c>
      <c r="G8031" s="0" t="s">
        <v>20</v>
      </c>
      <c r="H8031" s="0" t="n">
        <v>16</v>
      </c>
      <c r="I8031" s="0" t="s">
        <v>26736</v>
      </c>
      <c r="J8031" s="0" t="s">
        <v>26737</v>
      </c>
      <c r="K8031" s="0" t="s">
        <v>26738</v>
      </c>
      <c r="L8031" s="0" t="str">
        <f aca="false">HYPERLINK("https://www.ncbi.nlm.nih.gov/nuccore/CP000058.1?report=graph&amp;tracks=[key:gene_model_track,Options:GeneOnly]&amp;mk=2532962:2532981|offset_16|00cc00,2532997:2533016|offset_51|444444,2533031:2533050|offset_85|444444,2533078:2533097|offset_132|444444&amp;v=2532761:2533297&amp;c=444444", "offset 16")</f>
        <v>offset 16</v>
      </c>
    </row>
    <row r="8032" customFormat="false" ht="12.8" hidden="false" customHeight="false" outlineLevel="0" collapsed="false">
      <c r="A8032" s="0" t="s">
        <v>12</v>
      </c>
      <c r="B8032" s="0" t="n">
        <v>2532996</v>
      </c>
      <c r="C8032" s="0" t="n">
        <v>2533016</v>
      </c>
      <c r="D8032" s="0" t="s">
        <v>26734</v>
      </c>
      <c r="E8032" s="0" t="s">
        <v>26735</v>
      </c>
      <c r="F8032" s="0" t="s">
        <v>15</v>
      </c>
      <c r="G8032" s="0" t="s">
        <v>16</v>
      </c>
      <c r="H8032" s="0" t="n">
        <v>51</v>
      </c>
      <c r="I8032" s="0" t="s">
        <v>26739</v>
      </c>
      <c r="J8032" s="0" t="s">
        <v>26740</v>
      </c>
      <c r="K8032" s="0" t="s">
        <v>26741</v>
      </c>
      <c r="L8032" s="0" t="str">
        <f aca="false">HYPERLINK("https://www.ncbi.nlm.nih.gov/nuccore/CP000058.1?report=graph&amp;tracks=[key:gene_model_track,Options:GeneOnly]&amp;mk=2532962:2532981|offset_16|444444,2532997:2533016|offset_51|00cc00,2533031:2533050|offset_85|444444,2533078:2533097|offset_132|444444&amp;v=2532761:2533297&amp;c=444444", "offset 51")</f>
        <v>offset 51</v>
      </c>
    </row>
    <row r="8033" customFormat="false" ht="12.8" hidden="false" customHeight="false" outlineLevel="0" collapsed="false">
      <c r="A8033" s="0" t="s">
        <v>12</v>
      </c>
      <c r="B8033" s="0" t="n">
        <v>2533030</v>
      </c>
      <c r="C8033" s="0" t="n">
        <v>2533050</v>
      </c>
      <c r="D8033" s="0" t="s">
        <v>26734</v>
      </c>
      <c r="E8033" s="0" t="s">
        <v>26735</v>
      </c>
      <c r="F8033" s="0" t="s">
        <v>15</v>
      </c>
      <c r="G8033" s="0" t="s">
        <v>32</v>
      </c>
      <c r="H8033" s="0" t="n">
        <v>85</v>
      </c>
      <c r="I8033" s="0" t="s">
        <v>26742</v>
      </c>
      <c r="J8033" s="0" t="s">
        <v>26743</v>
      </c>
      <c r="K8033" s="0" t="s">
        <v>26744</v>
      </c>
      <c r="L8033" s="0" t="str">
        <f aca="false">HYPERLINK("https://www.ncbi.nlm.nih.gov/nuccore/CP000058.1?report=graph&amp;tracks=[key:gene_model_track,Options:GeneOnly]&amp;mk=2532962:2532981|offset_16|444444,2532997:2533016|offset_51|444444,2533031:2533050|offset_85|00cc00,2533078:2533097|offset_132|444444&amp;v=2532761:2533297&amp;c=444444", "offset 85")</f>
        <v>offset 85</v>
      </c>
    </row>
    <row r="8034" customFormat="false" ht="12.8" hidden="false" customHeight="false" outlineLevel="0" collapsed="false">
      <c r="A8034" s="0" t="s">
        <v>12</v>
      </c>
      <c r="B8034" s="0" t="n">
        <v>2533077</v>
      </c>
      <c r="C8034" s="0" t="n">
        <v>2533097</v>
      </c>
      <c r="D8034" s="0" t="s">
        <v>26734</v>
      </c>
      <c r="E8034" s="0" t="s">
        <v>26735</v>
      </c>
      <c r="F8034" s="0" t="s">
        <v>15</v>
      </c>
      <c r="G8034" s="0" t="s">
        <v>16</v>
      </c>
      <c r="H8034" s="0" t="n">
        <v>132</v>
      </c>
      <c r="I8034" s="0" t="s">
        <v>26745</v>
      </c>
      <c r="J8034" s="0" t="s">
        <v>26746</v>
      </c>
      <c r="K8034" s="0" t="s">
        <v>26747</v>
      </c>
      <c r="L8034" s="0" t="str">
        <f aca="false">HYPERLINK("https://www.ncbi.nlm.nih.gov/nuccore/CP000058.1?report=graph&amp;tracks=[key:gene_model_track,Options:GeneOnly]&amp;mk=2532962:2532981|offset_16|444444,2532997:2533016|offset_51|444444,2533031:2533050|offset_85|444444,2533078:2533097|offset_132|00cc00&amp;v=2532761:2533297&amp;c=444444", "offset 132")</f>
        <v>offset 132</v>
      </c>
    </row>
    <row r="8035" customFormat="false" ht="12.8" hidden="false" customHeight="false" outlineLevel="0" collapsed="false">
      <c r="A8035" s="0" t="s">
        <v>12</v>
      </c>
      <c r="B8035" s="0" t="n">
        <v>2535293</v>
      </c>
      <c r="C8035" s="0" t="n">
        <v>2535313</v>
      </c>
      <c r="D8035" s="0" t="s">
        <v>26748</v>
      </c>
      <c r="E8035" s="0" t="s">
        <v>26749</v>
      </c>
      <c r="F8035" s="0" t="s">
        <v>15</v>
      </c>
      <c r="G8035" s="0" t="s">
        <v>20</v>
      </c>
      <c r="H8035" s="0" t="n">
        <v>15</v>
      </c>
      <c r="I8035" s="0" t="s">
        <v>26750</v>
      </c>
      <c r="J8035" s="0" t="s">
        <v>26751</v>
      </c>
      <c r="K8035" s="0" t="s">
        <v>26752</v>
      </c>
      <c r="L8035" s="0" t="str">
        <f aca="false">HYPERLINK("https://www.ncbi.nlm.nih.gov/nuccore/CP000058.1?report=graph&amp;tracks=[key:gene_model_track,Options:GeneOnly]&amp;mk=2535294:2535313|offset_15|00cc00,2535375:2535394|offset_96|444444,2535397:2535416|offset_118|444444,2535463:2535482|offset_184|444444&amp;v=2535093:2535682&amp;c=444444", "offset 15")</f>
        <v>offset 15</v>
      </c>
    </row>
    <row r="8036" customFormat="false" ht="12.8" hidden="false" customHeight="false" outlineLevel="0" collapsed="false">
      <c r="A8036" s="0" t="s">
        <v>12</v>
      </c>
      <c r="B8036" s="0" t="n">
        <v>2535374</v>
      </c>
      <c r="C8036" s="0" t="n">
        <v>2535394</v>
      </c>
      <c r="D8036" s="0" t="s">
        <v>26748</v>
      </c>
      <c r="E8036" s="0" t="s">
        <v>26749</v>
      </c>
      <c r="F8036" s="0" t="s">
        <v>15</v>
      </c>
      <c r="G8036" s="0" t="s">
        <v>36</v>
      </c>
      <c r="H8036" s="0" t="n">
        <v>96</v>
      </c>
      <c r="I8036" s="0" t="s">
        <v>26753</v>
      </c>
      <c r="J8036" s="0" t="s">
        <v>26754</v>
      </c>
      <c r="K8036" s="0" t="s">
        <v>26755</v>
      </c>
      <c r="L8036" s="0" t="str">
        <f aca="false">HYPERLINK("https://www.ncbi.nlm.nih.gov/nuccore/CP000058.1?report=graph&amp;tracks=[key:gene_model_track,Options:GeneOnly]&amp;mk=2535294:2535313|offset_15|444444,2535375:2535394|offset_96|00cc00,2535397:2535416|offset_118|444444,2535463:2535482|offset_184|444444&amp;v=2535093:2535682&amp;c=444444", "offset 96")</f>
        <v>offset 96</v>
      </c>
    </row>
    <row r="8037" customFormat="false" ht="12.8" hidden="false" customHeight="false" outlineLevel="0" collapsed="false">
      <c r="A8037" s="0" t="s">
        <v>12</v>
      </c>
      <c r="B8037" s="0" t="n">
        <v>2535396</v>
      </c>
      <c r="C8037" s="0" t="n">
        <v>2535416</v>
      </c>
      <c r="D8037" s="0" t="s">
        <v>26748</v>
      </c>
      <c r="E8037" s="0" t="s">
        <v>26749</v>
      </c>
      <c r="F8037" s="0" t="s">
        <v>15</v>
      </c>
      <c r="G8037" s="0" t="s">
        <v>36</v>
      </c>
      <c r="H8037" s="0" t="n">
        <v>118</v>
      </c>
      <c r="I8037" s="0" t="s">
        <v>26756</v>
      </c>
      <c r="J8037" s="0" t="s">
        <v>26757</v>
      </c>
      <c r="K8037" s="0" t="s">
        <v>26758</v>
      </c>
      <c r="L8037" s="0" t="str">
        <f aca="false">HYPERLINK("https://www.ncbi.nlm.nih.gov/nuccore/CP000058.1?report=graph&amp;tracks=[key:gene_model_track,Options:GeneOnly]&amp;mk=2535294:2535313|offset_15|444444,2535375:2535394|offset_96|444444,2535397:2535416|offset_118|00cc00,2535463:2535482|offset_184|444444&amp;v=2535093:2535682&amp;c=444444", "offset 118")</f>
        <v>offset 118</v>
      </c>
    </row>
    <row r="8038" customFormat="false" ht="12.8" hidden="false" customHeight="false" outlineLevel="0" collapsed="false">
      <c r="A8038" s="0" t="s">
        <v>12</v>
      </c>
      <c r="B8038" s="0" t="n">
        <v>2535462</v>
      </c>
      <c r="C8038" s="0" t="n">
        <v>2535482</v>
      </c>
      <c r="D8038" s="0" t="s">
        <v>26748</v>
      </c>
      <c r="E8038" s="0" t="s">
        <v>26749</v>
      </c>
      <c r="F8038" s="0" t="s">
        <v>15</v>
      </c>
      <c r="G8038" s="0" t="s">
        <v>16</v>
      </c>
      <c r="H8038" s="0" t="n">
        <v>184</v>
      </c>
      <c r="I8038" s="0" t="s">
        <v>26759</v>
      </c>
      <c r="J8038" s="0" t="s">
        <v>26760</v>
      </c>
      <c r="K8038" s="0" t="s">
        <v>26761</v>
      </c>
      <c r="L8038" s="0" t="str">
        <f aca="false">HYPERLINK("https://www.ncbi.nlm.nih.gov/nuccore/CP000058.1?report=graph&amp;tracks=[key:gene_model_track,Options:GeneOnly]&amp;mk=2535294:2535313|offset_15|444444,2535375:2535394|offset_96|444444,2535397:2535416|offset_118|444444,2535463:2535482|offset_184|00cc00&amp;v=2535093:2535682&amp;c=444444", "offset 184")</f>
        <v>offset 184</v>
      </c>
    </row>
    <row r="8039" customFormat="false" ht="12.8" hidden="false" customHeight="false" outlineLevel="0" collapsed="false">
      <c r="A8039" s="0" t="s">
        <v>12</v>
      </c>
      <c r="B8039" s="0" t="n">
        <v>2536704</v>
      </c>
      <c r="C8039" s="0" t="n">
        <v>2536724</v>
      </c>
      <c r="D8039" s="0" t="s">
        <v>26762</v>
      </c>
      <c r="E8039" s="0" t="s">
        <v>26763</v>
      </c>
      <c r="F8039" s="0" t="s">
        <v>15</v>
      </c>
      <c r="G8039" s="0" t="s">
        <v>16</v>
      </c>
      <c r="H8039" s="0" t="n">
        <v>8</v>
      </c>
      <c r="I8039" s="0" t="s">
        <v>26764</v>
      </c>
      <c r="J8039" s="0" t="s">
        <v>26765</v>
      </c>
      <c r="K8039" s="0" t="s">
        <v>26766</v>
      </c>
      <c r="L8039" s="0" t="str">
        <f aca="false">HYPERLINK("https://www.ncbi.nlm.nih.gov/nuccore/CP000058.1?report=graph&amp;tracks=[key:gene_model_track,Options:GeneOnly]&amp;mk=2536705:2536724|offset_8|00cc00,2536725:2536744|offset_28|444444,2536749:2536768|offset_52|444444,2536798:2536817|offset_101|444444&amp;v=2536504:2537017&amp;c=444444", "offset 8")</f>
        <v>offset 8</v>
      </c>
    </row>
    <row r="8040" customFormat="false" ht="12.8" hidden="false" customHeight="false" outlineLevel="0" collapsed="false">
      <c r="A8040" s="0" t="s">
        <v>12</v>
      </c>
      <c r="B8040" s="0" t="n">
        <v>2536724</v>
      </c>
      <c r="C8040" s="0" t="n">
        <v>2536744</v>
      </c>
      <c r="D8040" s="0" t="s">
        <v>26762</v>
      </c>
      <c r="E8040" s="0" t="s">
        <v>26763</v>
      </c>
      <c r="F8040" s="0" t="s">
        <v>15</v>
      </c>
      <c r="G8040" s="0" t="s">
        <v>16</v>
      </c>
      <c r="H8040" s="0" t="n">
        <v>28</v>
      </c>
      <c r="I8040" s="0" t="s">
        <v>26767</v>
      </c>
      <c r="J8040" s="0" t="s">
        <v>26768</v>
      </c>
      <c r="K8040" s="0" t="s">
        <v>26769</v>
      </c>
      <c r="L8040" s="0" t="str">
        <f aca="false">HYPERLINK("https://www.ncbi.nlm.nih.gov/nuccore/CP000058.1?report=graph&amp;tracks=[key:gene_model_track,Options:GeneOnly]&amp;mk=2536705:2536724|offset_8|444444,2536725:2536744|offset_28|00cc00,2536749:2536768|offset_52|444444,2536798:2536817|offset_101|444444&amp;v=2536504:2537017&amp;c=444444", "offset 28")</f>
        <v>offset 28</v>
      </c>
    </row>
    <row r="8041" customFormat="false" ht="12.8" hidden="false" customHeight="false" outlineLevel="0" collapsed="false">
      <c r="A8041" s="0" t="s">
        <v>12</v>
      </c>
      <c r="B8041" s="0" t="n">
        <v>2536748</v>
      </c>
      <c r="C8041" s="0" t="n">
        <v>2536768</v>
      </c>
      <c r="D8041" s="0" t="s">
        <v>26762</v>
      </c>
      <c r="E8041" s="0" t="s">
        <v>26763</v>
      </c>
      <c r="F8041" s="0" t="s">
        <v>15</v>
      </c>
      <c r="G8041" s="0" t="s">
        <v>16</v>
      </c>
      <c r="H8041" s="0" t="n">
        <v>52</v>
      </c>
      <c r="I8041" s="0" t="s">
        <v>26770</v>
      </c>
      <c r="J8041" s="0" t="s">
        <v>26771</v>
      </c>
      <c r="K8041" s="0" t="s">
        <v>26772</v>
      </c>
      <c r="L8041" s="0" t="str">
        <f aca="false">HYPERLINK("https://www.ncbi.nlm.nih.gov/nuccore/CP000058.1?report=graph&amp;tracks=[key:gene_model_track,Options:GeneOnly]&amp;mk=2536705:2536724|offset_8|444444,2536725:2536744|offset_28|444444,2536749:2536768|offset_52|00cc00,2536798:2536817|offset_101|444444&amp;v=2536504:2537017&amp;c=444444", "offset 52")</f>
        <v>offset 52</v>
      </c>
    </row>
    <row r="8042" customFormat="false" ht="12.8" hidden="false" customHeight="false" outlineLevel="0" collapsed="false">
      <c r="A8042" s="0" t="s">
        <v>12</v>
      </c>
      <c r="B8042" s="0" t="n">
        <v>2536797</v>
      </c>
      <c r="C8042" s="0" t="n">
        <v>2536817</v>
      </c>
      <c r="D8042" s="0" t="s">
        <v>26762</v>
      </c>
      <c r="E8042" s="0" t="s">
        <v>26763</v>
      </c>
      <c r="F8042" s="0" t="s">
        <v>15</v>
      </c>
      <c r="G8042" s="0" t="s">
        <v>32</v>
      </c>
      <c r="H8042" s="0" t="n">
        <v>101</v>
      </c>
      <c r="I8042" s="0" t="s">
        <v>26773</v>
      </c>
      <c r="J8042" s="0" t="s">
        <v>26774</v>
      </c>
      <c r="K8042" s="0" t="s">
        <v>26775</v>
      </c>
      <c r="L8042" s="0" t="str">
        <f aca="false">HYPERLINK("https://www.ncbi.nlm.nih.gov/nuccore/CP000058.1?report=graph&amp;tracks=[key:gene_model_track,Options:GeneOnly]&amp;mk=2536705:2536724|offset_8|444444,2536725:2536744|offset_28|444444,2536749:2536768|offset_52|444444,2536798:2536817|offset_101|00cc00&amp;v=2536504:2537017&amp;c=444444", "offset 101")</f>
        <v>offset 101</v>
      </c>
    </row>
    <row r="8043" customFormat="false" ht="12.8" hidden="false" customHeight="false" outlineLevel="0" collapsed="false">
      <c r="A8043" s="0" t="s">
        <v>12</v>
      </c>
      <c r="B8043" s="0" t="n">
        <v>2540756</v>
      </c>
      <c r="C8043" s="0" t="n">
        <v>2540776</v>
      </c>
      <c r="D8043" s="0" t="s">
        <v>26776</v>
      </c>
      <c r="E8043" s="0" t="s">
        <v>75</v>
      </c>
      <c r="F8043" s="0" t="s">
        <v>90</v>
      </c>
      <c r="G8043" s="0" t="s">
        <v>36</v>
      </c>
      <c r="H8043" s="0" t="n">
        <v>0</v>
      </c>
      <c r="I8043" s="0" t="s">
        <v>26777</v>
      </c>
      <c r="J8043" s="0" t="s">
        <v>26778</v>
      </c>
      <c r="K8043" s="0" t="s">
        <v>26779</v>
      </c>
      <c r="L8043" s="0" t="str">
        <f aca="false">HYPERLINK("https://www.ncbi.nlm.nih.gov/nuccore/CP000058.1?report=graph&amp;tracks=[key:gene_model_track,Options:GeneOnly]&amp;mk=2540757:2540776|offset_0|00cc00,2540736:2540755|offset_21|444444,2540707:2540726|offset_50|444444,2540670:2540689|offset_87|444444&amp;v=2540556:2540889&amp;c=444444", "offset 0")</f>
        <v>offset 0</v>
      </c>
    </row>
    <row r="8044" customFormat="false" ht="12.8" hidden="false" customHeight="false" outlineLevel="0" collapsed="false">
      <c r="A8044" s="0" t="s">
        <v>12</v>
      </c>
      <c r="B8044" s="0" t="n">
        <v>2540735</v>
      </c>
      <c r="C8044" s="0" t="n">
        <v>2540755</v>
      </c>
      <c r="D8044" s="0" t="s">
        <v>26776</v>
      </c>
      <c r="E8044" s="0" t="s">
        <v>75</v>
      </c>
      <c r="F8044" s="0" t="s">
        <v>90</v>
      </c>
      <c r="G8044" s="0" t="s">
        <v>32</v>
      </c>
      <c r="H8044" s="0" t="n">
        <v>21</v>
      </c>
      <c r="I8044" s="0" t="s">
        <v>26780</v>
      </c>
      <c r="J8044" s="0" t="s">
        <v>26781</v>
      </c>
      <c r="K8044" s="0" t="s">
        <v>26782</v>
      </c>
      <c r="L8044" s="0" t="str">
        <f aca="false">HYPERLINK("https://www.ncbi.nlm.nih.gov/nuccore/CP000058.1?report=graph&amp;tracks=[key:gene_model_track,Options:GeneOnly]&amp;mk=2540757:2540776|offset_0|444444,2540736:2540755|offset_21|00cc00,2540707:2540726|offset_50|444444,2540670:2540689|offset_87|444444&amp;v=2540556:2540889&amp;c=444444", "offset 21")</f>
        <v>offset 21</v>
      </c>
    </row>
    <row r="8045" customFormat="false" ht="12.8" hidden="false" customHeight="false" outlineLevel="0" collapsed="false">
      <c r="A8045" s="0" t="s">
        <v>12</v>
      </c>
      <c r="B8045" s="0" t="n">
        <v>2540706</v>
      </c>
      <c r="C8045" s="0" t="n">
        <v>2540726</v>
      </c>
      <c r="D8045" s="0" t="s">
        <v>26776</v>
      </c>
      <c r="E8045" s="0" t="s">
        <v>75</v>
      </c>
      <c r="F8045" s="0" t="s">
        <v>90</v>
      </c>
      <c r="G8045" s="0" t="s">
        <v>20</v>
      </c>
      <c r="H8045" s="0" t="n">
        <v>50</v>
      </c>
      <c r="I8045" s="0" t="s">
        <v>26783</v>
      </c>
      <c r="J8045" s="0" t="s">
        <v>26784</v>
      </c>
      <c r="K8045" s="0" t="s">
        <v>26785</v>
      </c>
      <c r="L8045" s="0" t="str">
        <f aca="false">HYPERLINK("https://www.ncbi.nlm.nih.gov/nuccore/CP000058.1?report=graph&amp;tracks=[key:gene_model_track,Options:GeneOnly]&amp;mk=2540757:2540776|offset_0|444444,2540736:2540755|offset_21|444444,2540707:2540726|offset_50|00cc00,2540670:2540689|offset_87|444444&amp;v=2540556:2540889&amp;c=444444", "offset 50")</f>
        <v>offset 50</v>
      </c>
    </row>
    <row r="8046" customFormat="false" ht="12.8" hidden="false" customHeight="false" outlineLevel="0" collapsed="false">
      <c r="A8046" s="0" t="s">
        <v>12</v>
      </c>
      <c r="B8046" s="0" t="n">
        <v>2540669</v>
      </c>
      <c r="C8046" s="0" t="n">
        <v>2540689</v>
      </c>
      <c r="D8046" s="0" t="s">
        <v>26776</v>
      </c>
      <c r="E8046" s="0" t="s">
        <v>75</v>
      </c>
      <c r="F8046" s="0" t="s">
        <v>90</v>
      </c>
      <c r="G8046" s="0" t="s">
        <v>36</v>
      </c>
      <c r="H8046" s="0" t="n">
        <v>87</v>
      </c>
      <c r="I8046" s="0" t="s">
        <v>26786</v>
      </c>
      <c r="J8046" s="0" t="s">
        <v>26787</v>
      </c>
      <c r="K8046" s="0" t="s">
        <v>26788</v>
      </c>
      <c r="L8046" s="0" t="str">
        <f aca="false">HYPERLINK("https://www.ncbi.nlm.nih.gov/nuccore/CP000058.1?report=graph&amp;tracks=[key:gene_model_track,Options:GeneOnly]&amp;mk=2540757:2540776|offset_0|444444,2540736:2540755|offset_21|444444,2540707:2540726|offset_50|444444,2540670:2540689|offset_87|00cc00&amp;v=2540556:2540889&amp;c=444444", "offset 87")</f>
        <v>offset 87</v>
      </c>
    </row>
    <row r="8047" customFormat="false" ht="12.8" hidden="false" customHeight="false" outlineLevel="0" collapsed="false">
      <c r="A8047" s="0" t="s">
        <v>12</v>
      </c>
      <c r="B8047" s="0" t="n">
        <v>2541295</v>
      </c>
      <c r="C8047" s="0" t="n">
        <v>2541315</v>
      </c>
      <c r="D8047" s="0" t="s">
        <v>26789</v>
      </c>
      <c r="E8047" s="0" t="s">
        <v>75</v>
      </c>
      <c r="F8047" s="0" t="s">
        <v>15</v>
      </c>
      <c r="G8047" s="0" t="s">
        <v>36</v>
      </c>
      <c r="H8047" s="0" t="n">
        <v>6</v>
      </c>
      <c r="I8047" s="0" t="s">
        <v>26790</v>
      </c>
      <c r="J8047" s="0" t="s">
        <v>26791</v>
      </c>
      <c r="K8047" s="0" t="s">
        <v>26792</v>
      </c>
      <c r="L8047" s="0" t="str">
        <f aca="false">HYPERLINK("https://www.ncbi.nlm.nih.gov/nuccore/CP000058.1?report=graph&amp;tracks=[key:gene_model_track,Options:GeneOnly]&amp;mk=2541296:2541315|offset_6|00cc00,2541321:2541340|offset_31|444444,2541344:2541363|offset_54|444444,2541364:2541383|offset_74|444444&amp;v=2541095:2541583&amp;c=444444", "offset 6")</f>
        <v>offset 6</v>
      </c>
    </row>
    <row r="8048" customFormat="false" ht="12.8" hidden="false" customHeight="false" outlineLevel="0" collapsed="false">
      <c r="A8048" s="0" t="s">
        <v>12</v>
      </c>
      <c r="B8048" s="0" t="n">
        <v>2541320</v>
      </c>
      <c r="C8048" s="0" t="n">
        <v>2541340</v>
      </c>
      <c r="D8048" s="0" t="s">
        <v>26789</v>
      </c>
      <c r="E8048" s="0" t="s">
        <v>75</v>
      </c>
      <c r="F8048" s="0" t="s">
        <v>15</v>
      </c>
      <c r="G8048" s="0" t="s">
        <v>16</v>
      </c>
      <c r="H8048" s="0" t="n">
        <v>31</v>
      </c>
      <c r="I8048" s="0" t="s">
        <v>26793</v>
      </c>
      <c r="J8048" s="0" t="s">
        <v>26794</v>
      </c>
      <c r="K8048" s="0" t="s">
        <v>26795</v>
      </c>
      <c r="L8048" s="0" t="str">
        <f aca="false">HYPERLINK("https://www.ncbi.nlm.nih.gov/nuccore/CP000058.1?report=graph&amp;tracks=[key:gene_model_track,Options:GeneOnly]&amp;mk=2541296:2541315|offset_6|444444,2541321:2541340|offset_31|00cc00,2541344:2541363|offset_54|444444,2541364:2541383|offset_74|444444&amp;v=2541095:2541583&amp;c=444444", "offset 31")</f>
        <v>offset 31</v>
      </c>
    </row>
    <row r="8049" customFormat="false" ht="12.8" hidden="false" customHeight="false" outlineLevel="0" collapsed="false">
      <c r="A8049" s="0" t="s">
        <v>12</v>
      </c>
      <c r="B8049" s="0" t="n">
        <v>2541343</v>
      </c>
      <c r="C8049" s="0" t="n">
        <v>2541363</v>
      </c>
      <c r="D8049" s="0" t="s">
        <v>26789</v>
      </c>
      <c r="E8049" s="0" t="s">
        <v>75</v>
      </c>
      <c r="F8049" s="0" t="s">
        <v>15</v>
      </c>
      <c r="G8049" s="0" t="s">
        <v>36</v>
      </c>
      <c r="H8049" s="0" t="n">
        <v>54</v>
      </c>
      <c r="I8049" s="0" t="s">
        <v>26796</v>
      </c>
      <c r="J8049" s="0" t="s">
        <v>26797</v>
      </c>
      <c r="K8049" s="0" t="s">
        <v>26798</v>
      </c>
      <c r="L8049" s="0" t="str">
        <f aca="false">HYPERLINK("https://www.ncbi.nlm.nih.gov/nuccore/CP000058.1?report=graph&amp;tracks=[key:gene_model_track,Options:GeneOnly]&amp;mk=2541296:2541315|offset_6|444444,2541321:2541340|offset_31|444444,2541344:2541363|offset_54|00cc00,2541364:2541383|offset_74|444444&amp;v=2541095:2541583&amp;c=444444", "offset 54")</f>
        <v>offset 54</v>
      </c>
    </row>
    <row r="8050" customFormat="false" ht="12.8" hidden="false" customHeight="false" outlineLevel="0" collapsed="false">
      <c r="A8050" s="0" t="s">
        <v>12</v>
      </c>
      <c r="B8050" s="0" t="n">
        <v>2541363</v>
      </c>
      <c r="C8050" s="0" t="n">
        <v>2541383</v>
      </c>
      <c r="D8050" s="0" t="s">
        <v>26789</v>
      </c>
      <c r="E8050" s="0" t="s">
        <v>75</v>
      </c>
      <c r="F8050" s="0" t="s">
        <v>15</v>
      </c>
      <c r="G8050" s="0" t="s">
        <v>20</v>
      </c>
      <c r="H8050" s="0" t="n">
        <v>74</v>
      </c>
      <c r="I8050" s="0" t="s">
        <v>26799</v>
      </c>
      <c r="J8050" s="0" t="s">
        <v>26800</v>
      </c>
      <c r="K8050" s="0" t="s">
        <v>26801</v>
      </c>
      <c r="L8050" s="0" t="str">
        <f aca="false">HYPERLINK("https://www.ncbi.nlm.nih.gov/nuccore/CP000058.1?report=graph&amp;tracks=[key:gene_model_track,Options:GeneOnly]&amp;mk=2541296:2541315|offset_6|444444,2541321:2541340|offset_31|444444,2541344:2541363|offset_54|444444,2541364:2541383|offset_74|00cc00&amp;v=2541095:2541583&amp;c=444444", "offset 74")</f>
        <v>offset 74</v>
      </c>
    </row>
    <row r="8051" customFormat="false" ht="12.8" hidden="false" customHeight="false" outlineLevel="0" collapsed="false">
      <c r="A8051" s="0" t="s">
        <v>12</v>
      </c>
      <c r="B8051" s="0" t="n">
        <v>2543246</v>
      </c>
      <c r="C8051" s="0" t="n">
        <v>2543266</v>
      </c>
      <c r="D8051" s="0" t="s">
        <v>26802</v>
      </c>
      <c r="E8051" s="0" t="s">
        <v>75</v>
      </c>
      <c r="F8051" s="0" t="s">
        <v>15</v>
      </c>
      <c r="G8051" s="0" t="s">
        <v>16</v>
      </c>
      <c r="H8051" s="0" t="n">
        <v>1</v>
      </c>
      <c r="I8051" s="0" t="s">
        <v>26803</v>
      </c>
      <c r="J8051" s="0" t="s">
        <v>26804</v>
      </c>
      <c r="K8051" s="0" t="s">
        <v>26805</v>
      </c>
      <c r="L8051" s="0" t="str">
        <f aca="false">HYPERLINK("https://www.ncbi.nlm.nih.gov/nuccore/CP000058.1?report=graph&amp;tracks=[key:gene_model_track,Options:GeneOnly]&amp;mk=2543247:2543266|offset_1|00cc00,2543291:2543310|offset_45|444444,2543331:2543350|offset_85|444444,2543370:2543389|offset_124|444444&amp;v=2543046:2543589&amp;c=444444", "offset 1")</f>
        <v>offset 1</v>
      </c>
    </row>
    <row r="8052" customFormat="false" ht="12.8" hidden="false" customHeight="false" outlineLevel="0" collapsed="false">
      <c r="A8052" s="0" t="s">
        <v>12</v>
      </c>
      <c r="B8052" s="0" t="n">
        <v>2543290</v>
      </c>
      <c r="C8052" s="0" t="n">
        <v>2543310</v>
      </c>
      <c r="D8052" s="0" t="s">
        <v>26802</v>
      </c>
      <c r="E8052" s="0" t="s">
        <v>75</v>
      </c>
      <c r="F8052" s="0" t="s">
        <v>15</v>
      </c>
      <c r="G8052" s="0" t="s">
        <v>16</v>
      </c>
      <c r="H8052" s="0" t="n">
        <v>45</v>
      </c>
      <c r="I8052" s="0" t="s">
        <v>26806</v>
      </c>
      <c r="J8052" s="0" t="s">
        <v>26807</v>
      </c>
      <c r="K8052" s="0" t="s">
        <v>26808</v>
      </c>
      <c r="L8052" s="0" t="str">
        <f aca="false">HYPERLINK("https://www.ncbi.nlm.nih.gov/nuccore/CP000058.1?report=graph&amp;tracks=[key:gene_model_track,Options:GeneOnly]&amp;mk=2543247:2543266|offset_1|444444,2543291:2543310|offset_45|00cc00,2543331:2543350|offset_85|444444,2543370:2543389|offset_124|444444&amp;v=2543046:2543589&amp;c=444444", "offset 45")</f>
        <v>offset 45</v>
      </c>
    </row>
    <row r="8053" customFormat="false" ht="12.8" hidden="false" customHeight="false" outlineLevel="0" collapsed="false">
      <c r="A8053" s="0" t="s">
        <v>12</v>
      </c>
      <c r="B8053" s="0" t="n">
        <v>2543330</v>
      </c>
      <c r="C8053" s="0" t="n">
        <v>2543350</v>
      </c>
      <c r="D8053" s="0" t="s">
        <v>26802</v>
      </c>
      <c r="E8053" s="0" t="s">
        <v>75</v>
      </c>
      <c r="F8053" s="0" t="s">
        <v>15</v>
      </c>
      <c r="G8053" s="0" t="s">
        <v>36</v>
      </c>
      <c r="H8053" s="0" t="n">
        <v>85</v>
      </c>
      <c r="I8053" s="0" t="s">
        <v>26809</v>
      </c>
      <c r="J8053" s="0" t="s">
        <v>26810</v>
      </c>
      <c r="K8053" s="0" t="s">
        <v>26811</v>
      </c>
      <c r="L8053" s="0" t="str">
        <f aca="false">HYPERLINK("https://www.ncbi.nlm.nih.gov/nuccore/CP000058.1?report=graph&amp;tracks=[key:gene_model_track,Options:GeneOnly]&amp;mk=2543247:2543266|offset_1|444444,2543291:2543310|offset_45|444444,2543331:2543350|offset_85|00cc00,2543370:2543389|offset_124|444444&amp;v=2543046:2543589&amp;c=444444", "offset 85")</f>
        <v>offset 85</v>
      </c>
    </row>
    <row r="8054" customFormat="false" ht="12.8" hidden="false" customHeight="false" outlineLevel="0" collapsed="false">
      <c r="A8054" s="0" t="s">
        <v>12</v>
      </c>
      <c r="B8054" s="0" t="n">
        <v>2543369</v>
      </c>
      <c r="C8054" s="0" t="n">
        <v>2543389</v>
      </c>
      <c r="D8054" s="0" t="s">
        <v>26802</v>
      </c>
      <c r="E8054" s="0" t="s">
        <v>75</v>
      </c>
      <c r="F8054" s="0" t="s">
        <v>15</v>
      </c>
      <c r="G8054" s="0" t="s">
        <v>16</v>
      </c>
      <c r="H8054" s="0" t="n">
        <v>124</v>
      </c>
      <c r="I8054" s="0" t="s">
        <v>26812</v>
      </c>
      <c r="J8054" s="0" t="s">
        <v>26813</v>
      </c>
      <c r="K8054" s="0" t="s">
        <v>26814</v>
      </c>
      <c r="L8054" s="0" t="str">
        <f aca="false">HYPERLINK("https://www.ncbi.nlm.nih.gov/nuccore/CP000058.1?report=graph&amp;tracks=[key:gene_model_track,Options:GeneOnly]&amp;mk=2543247:2543266|offset_1|444444,2543291:2543310|offset_45|444444,2543331:2543350|offset_85|444444,2543370:2543389|offset_124|00cc00&amp;v=2543046:2543589&amp;c=444444", "offset 124")</f>
        <v>offset 124</v>
      </c>
    </row>
    <row r="8055" customFormat="false" ht="12.8" hidden="false" customHeight="false" outlineLevel="0" collapsed="false">
      <c r="A8055" s="0" t="s">
        <v>12</v>
      </c>
      <c r="B8055" s="0" t="n">
        <v>2544643</v>
      </c>
      <c r="C8055" s="0" t="n">
        <v>2544663</v>
      </c>
      <c r="D8055" s="0" t="s">
        <v>26815</v>
      </c>
      <c r="E8055" s="0" t="s">
        <v>75</v>
      </c>
      <c r="F8055" s="0" t="s">
        <v>15</v>
      </c>
      <c r="G8055" s="0" t="s">
        <v>32</v>
      </c>
      <c r="H8055" s="0" t="n">
        <v>1</v>
      </c>
      <c r="I8055" s="0" t="s">
        <v>26816</v>
      </c>
      <c r="J8055" s="0" t="s">
        <v>26817</v>
      </c>
      <c r="K8055" s="0" t="s">
        <v>26818</v>
      </c>
      <c r="L8055" s="0" t="str">
        <f aca="false">HYPERLINK("https://www.ncbi.nlm.nih.gov/nuccore/CP000058.1?report=graph&amp;tracks=[key:gene_model_track,Options:GeneOnly]&amp;mk=2544644:2544663|offset_1|00cc00,2544673:2544692|offset_30|444444,2544716:2544735|offset_73|444444,2544736:2544755|offset_93|444444&amp;v=2544443:2544955&amp;c=444444", "offset 1")</f>
        <v>offset 1</v>
      </c>
    </row>
    <row r="8056" customFormat="false" ht="12.8" hidden="false" customHeight="false" outlineLevel="0" collapsed="false">
      <c r="A8056" s="0" t="s">
        <v>12</v>
      </c>
      <c r="B8056" s="0" t="n">
        <v>2544672</v>
      </c>
      <c r="C8056" s="0" t="n">
        <v>2544692</v>
      </c>
      <c r="D8056" s="0" t="s">
        <v>26815</v>
      </c>
      <c r="E8056" s="0" t="s">
        <v>75</v>
      </c>
      <c r="F8056" s="0" t="s">
        <v>15</v>
      </c>
      <c r="G8056" s="0" t="s">
        <v>32</v>
      </c>
      <c r="H8056" s="0" t="n">
        <v>30</v>
      </c>
      <c r="I8056" s="0" t="s">
        <v>26819</v>
      </c>
      <c r="J8056" s="0" t="s">
        <v>26820</v>
      </c>
      <c r="K8056" s="0" t="s">
        <v>26821</v>
      </c>
      <c r="L8056" s="0" t="str">
        <f aca="false">HYPERLINK("https://www.ncbi.nlm.nih.gov/nuccore/CP000058.1?report=graph&amp;tracks=[key:gene_model_track,Options:GeneOnly]&amp;mk=2544644:2544663|offset_1|444444,2544673:2544692|offset_30|00cc00,2544716:2544735|offset_73|444444,2544736:2544755|offset_93|444444&amp;v=2544443:2544955&amp;c=444444", "offset 30")</f>
        <v>offset 30</v>
      </c>
    </row>
    <row r="8057" customFormat="false" ht="12.8" hidden="false" customHeight="false" outlineLevel="0" collapsed="false">
      <c r="A8057" s="0" t="s">
        <v>12</v>
      </c>
      <c r="B8057" s="0" t="n">
        <v>2544715</v>
      </c>
      <c r="C8057" s="0" t="n">
        <v>2544735</v>
      </c>
      <c r="D8057" s="0" t="s">
        <v>26815</v>
      </c>
      <c r="E8057" s="0" t="s">
        <v>75</v>
      </c>
      <c r="F8057" s="0" t="s">
        <v>15</v>
      </c>
      <c r="G8057" s="0" t="s">
        <v>32</v>
      </c>
      <c r="H8057" s="0" t="n">
        <v>73</v>
      </c>
      <c r="I8057" s="0" t="s">
        <v>26822</v>
      </c>
      <c r="J8057" s="0" t="s">
        <v>26823</v>
      </c>
      <c r="K8057" s="0" t="s">
        <v>26824</v>
      </c>
      <c r="L8057" s="0" t="str">
        <f aca="false">HYPERLINK("https://www.ncbi.nlm.nih.gov/nuccore/CP000058.1?report=graph&amp;tracks=[key:gene_model_track,Options:GeneOnly]&amp;mk=2544644:2544663|offset_1|444444,2544673:2544692|offset_30|444444,2544716:2544735|offset_73|00cc00,2544736:2544755|offset_93|444444&amp;v=2544443:2544955&amp;c=444444", "offset 73")</f>
        <v>offset 73</v>
      </c>
    </row>
    <row r="8058" customFormat="false" ht="12.8" hidden="false" customHeight="false" outlineLevel="0" collapsed="false">
      <c r="A8058" s="0" t="s">
        <v>12</v>
      </c>
      <c r="B8058" s="0" t="n">
        <v>2544735</v>
      </c>
      <c r="C8058" s="0" t="n">
        <v>2544755</v>
      </c>
      <c r="D8058" s="0" t="s">
        <v>26815</v>
      </c>
      <c r="E8058" s="0" t="s">
        <v>75</v>
      </c>
      <c r="F8058" s="0" t="s">
        <v>15</v>
      </c>
      <c r="G8058" s="0" t="s">
        <v>16</v>
      </c>
      <c r="H8058" s="0" t="n">
        <v>93</v>
      </c>
      <c r="I8058" s="0" t="s">
        <v>26825</v>
      </c>
      <c r="J8058" s="0" t="s">
        <v>26826</v>
      </c>
      <c r="K8058" s="0" t="s">
        <v>26827</v>
      </c>
      <c r="L8058" s="0" t="str">
        <f aca="false">HYPERLINK("https://www.ncbi.nlm.nih.gov/nuccore/CP000058.1?report=graph&amp;tracks=[key:gene_model_track,Options:GeneOnly]&amp;mk=2544644:2544663|offset_1|444444,2544673:2544692|offset_30|444444,2544716:2544735|offset_73|444444,2544736:2544755|offset_93|00cc00&amp;v=2544443:2544955&amp;c=444444", "offset 93")</f>
        <v>offset 93</v>
      </c>
    </row>
    <row r="8059" customFormat="false" ht="12.8" hidden="false" customHeight="false" outlineLevel="0" collapsed="false">
      <c r="A8059" s="0" t="s">
        <v>12</v>
      </c>
      <c r="B8059" s="0" t="n">
        <v>2545533</v>
      </c>
      <c r="C8059" s="0" t="n">
        <v>2545553</v>
      </c>
      <c r="D8059" s="0" t="s">
        <v>26828</v>
      </c>
      <c r="E8059" s="0" t="s">
        <v>75</v>
      </c>
      <c r="F8059" s="0" t="s">
        <v>15</v>
      </c>
      <c r="G8059" s="0" t="s">
        <v>32</v>
      </c>
      <c r="H8059" s="0" t="n">
        <v>40</v>
      </c>
      <c r="I8059" s="0" t="s">
        <v>26829</v>
      </c>
      <c r="J8059" s="0" t="s">
        <v>26830</v>
      </c>
      <c r="K8059" s="0" t="s">
        <v>26831</v>
      </c>
      <c r="L8059" s="0" t="str">
        <f aca="false">HYPERLINK("https://www.ncbi.nlm.nih.gov/nuccore/CP000058.1?report=graph&amp;tracks=[key:gene_model_track,Options:GeneOnly]&amp;mk=2545534:2545553|offset_40|00cc00,2545558:2545577|offset_64|444444,2545579:2545598|offset_85|444444,2545599:2545618|offset_105|444444&amp;v=2545333:2545818&amp;c=444444", "offset 40")</f>
        <v>offset 40</v>
      </c>
    </row>
    <row r="8060" customFormat="false" ht="12.8" hidden="false" customHeight="false" outlineLevel="0" collapsed="false">
      <c r="A8060" s="0" t="s">
        <v>12</v>
      </c>
      <c r="B8060" s="0" t="n">
        <v>2545557</v>
      </c>
      <c r="C8060" s="0" t="n">
        <v>2545577</v>
      </c>
      <c r="D8060" s="0" t="s">
        <v>26828</v>
      </c>
      <c r="E8060" s="0" t="s">
        <v>75</v>
      </c>
      <c r="F8060" s="0" t="s">
        <v>15</v>
      </c>
      <c r="G8060" s="0" t="s">
        <v>16</v>
      </c>
      <c r="H8060" s="0" t="n">
        <v>64</v>
      </c>
      <c r="I8060" s="0" t="s">
        <v>26832</v>
      </c>
      <c r="J8060" s="0" t="s">
        <v>26833</v>
      </c>
      <c r="K8060" s="0" t="s">
        <v>26834</v>
      </c>
      <c r="L8060" s="0" t="str">
        <f aca="false">HYPERLINK("https://www.ncbi.nlm.nih.gov/nuccore/CP000058.1?report=graph&amp;tracks=[key:gene_model_track,Options:GeneOnly]&amp;mk=2545534:2545553|offset_40|444444,2545558:2545577|offset_64|00cc00,2545579:2545598|offset_85|444444,2545599:2545618|offset_105|444444&amp;v=2545333:2545818&amp;c=444444", "offset 64")</f>
        <v>offset 64</v>
      </c>
    </row>
    <row r="8061" customFormat="false" ht="12.8" hidden="false" customHeight="false" outlineLevel="0" collapsed="false">
      <c r="A8061" s="0" t="s">
        <v>12</v>
      </c>
      <c r="B8061" s="0" t="n">
        <v>2545578</v>
      </c>
      <c r="C8061" s="0" t="n">
        <v>2545598</v>
      </c>
      <c r="D8061" s="0" t="s">
        <v>26828</v>
      </c>
      <c r="E8061" s="0" t="s">
        <v>75</v>
      </c>
      <c r="F8061" s="0" t="s">
        <v>15</v>
      </c>
      <c r="G8061" s="0" t="s">
        <v>16</v>
      </c>
      <c r="H8061" s="0" t="n">
        <v>85</v>
      </c>
      <c r="I8061" s="0" t="s">
        <v>26835</v>
      </c>
      <c r="J8061" s="0" t="s">
        <v>26836</v>
      </c>
      <c r="K8061" s="0" t="s">
        <v>26837</v>
      </c>
      <c r="L8061" s="0" t="str">
        <f aca="false">HYPERLINK("https://www.ncbi.nlm.nih.gov/nuccore/CP000058.1?report=graph&amp;tracks=[key:gene_model_track,Options:GeneOnly]&amp;mk=2545534:2545553|offset_40|444444,2545558:2545577|offset_64|444444,2545579:2545598|offset_85|00cc00,2545599:2545618|offset_105|444444&amp;v=2545333:2545818&amp;c=444444", "offset 85")</f>
        <v>offset 85</v>
      </c>
    </row>
    <row r="8062" customFormat="false" ht="12.8" hidden="false" customHeight="false" outlineLevel="0" collapsed="false">
      <c r="A8062" s="0" t="s">
        <v>12</v>
      </c>
      <c r="B8062" s="0" t="n">
        <v>2545598</v>
      </c>
      <c r="C8062" s="0" t="n">
        <v>2545618</v>
      </c>
      <c r="D8062" s="0" t="s">
        <v>26828</v>
      </c>
      <c r="E8062" s="0" t="s">
        <v>75</v>
      </c>
      <c r="F8062" s="0" t="s">
        <v>15</v>
      </c>
      <c r="G8062" s="0" t="s">
        <v>36</v>
      </c>
      <c r="H8062" s="0" t="n">
        <v>105</v>
      </c>
      <c r="I8062" s="0" t="s">
        <v>26838</v>
      </c>
      <c r="J8062" s="0" t="s">
        <v>26839</v>
      </c>
      <c r="K8062" s="0" t="s">
        <v>26840</v>
      </c>
      <c r="L8062" s="0" t="str">
        <f aca="false">HYPERLINK("https://www.ncbi.nlm.nih.gov/nuccore/CP000058.1?report=graph&amp;tracks=[key:gene_model_track,Options:GeneOnly]&amp;mk=2545534:2545553|offset_40|444444,2545558:2545577|offset_64|444444,2545579:2545598|offset_85|444444,2545599:2545618|offset_105|00cc00&amp;v=2545333:2545818&amp;c=444444", "offset 105")</f>
        <v>offset 105</v>
      </c>
    </row>
    <row r="8063" customFormat="false" ht="12.8" hidden="false" customHeight="false" outlineLevel="0" collapsed="false">
      <c r="A8063" s="0" t="s">
        <v>12</v>
      </c>
      <c r="B8063" s="0" t="n">
        <v>2546185</v>
      </c>
      <c r="C8063" s="0" t="n">
        <v>2546205</v>
      </c>
      <c r="D8063" s="0" t="s">
        <v>26841</v>
      </c>
      <c r="E8063" s="0" t="s">
        <v>75</v>
      </c>
      <c r="F8063" s="0" t="s">
        <v>15</v>
      </c>
      <c r="G8063" s="0" t="s">
        <v>32</v>
      </c>
      <c r="H8063" s="0" t="n">
        <v>1</v>
      </c>
      <c r="I8063" s="0" t="s">
        <v>26842</v>
      </c>
      <c r="J8063" s="0" t="s">
        <v>26843</v>
      </c>
      <c r="K8063" s="0" t="s">
        <v>26844</v>
      </c>
      <c r="L8063" s="0" t="str">
        <f aca="false">HYPERLINK("https://www.ncbi.nlm.nih.gov/nuccore/CP000058.1?report=graph&amp;tracks=[key:gene_model_track,Options:GeneOnly]&amp;mk=2546186:2546205|offset_1|00cc00,2546215:2546234|offset_30|444444,2546244:2546263|offset_59|444444,2546281:2546300|offset_96|444444&amp;v=2545985:2546500&amp;c=444444", "offset 1")</f>
        <v>offset 1</v>
      </c>
    </row>
    <row r="8064" customFormat="false" ht="12.8" hidden="false" customHeight="false" outlineLevel="0" collapsed="false">
      <c r="A8064" s="0" t="s">
        <v>12</v>
      </c>
      <c r="B8064" s="0" t="n">
        <v>2546214</v>
      </c>
      <c r="C8064" s="0" t="n">
        <v>2546234</v>
      </c>
      <c r="D8064" s="0" t="s">
        <v>26841</v>
      </c>
      <c r="E8064" s="0" t="s">
        <v>75</v>
      </c>
      <c r="F8064" s="0" t="s">
        <v>15</v>
      </c>
      <c r="G8064" s="0" t="s">
        <v>36</v>
      </c>
      <c r="H8064" s="0" t="n">
        <v>30</v>
      </c>
      <c r="I8064" s="0" t="s">
        <v>26845</v>
      </c>
      <c r="J8064" s="0" t="s">
        <v>26846</v>
      </c>
      <c r="K8064" s="0" t="s">
        <v>26847</v>
      </c>
      <c r="L8064" s="0" t="str">
        <f aca="false">HYPERLINK("https://www.ncbi.nlm.nih.gov/nuccore/CP000058.1?report=graph&amp;tracks=[key:gene_model_track,Options:GeneOnly]&amp;mk=2546186:2546205|offset_1|444444,2546215:2546234|offset_30|00cc00,2546244:2546263|offset_59|444444,2546281:2546300|offset_96|444444&amp;v=2545985:2546500&amp;c=444444", "offset 30")</f>
        <v>offset 30</v>
      </c>
    </row>
    <row r="8065" customFormat="false" ht="12.8" hidden="false" customHeight="false" outlineLevel="0" collapsed="false">
      <c r="A8065" s="0" t="s">
        <v>12</v>
      </c>
      <c r="B8065" s="0" t="n">
        <v>2546243</v>
      </c>
      <c r="C8065" s="0" t="n">
        <v>2546263</v>
      </c>
      <c r="D8065" s="0" t="s">
        <v>26841</v>
      </c>
      <c r="E8065" s="0" t="s">
        <v>75</v>
      </c>
      <c r="F8065" s="0" t="s">
        <v>15</v>
      </c>
      <c r="G8065" s="0" t="s">
        <v>20</v>
      </c>
      <c r="H8065" s="0" t="n">
        <v>59</v>
      </c>
      <c r="I8065" s="0" t="s">
        <v>26848</v>
      </c>
      <c r="J8065" s="0" t="s">
        <v>26849</v>
      </c>
      <c r="K8065" s="0" t="s">
        <v>26850</v>
      </c>
      <c r="L8065" s="0" t="str">
        <f aca="false">HYPERLINK("https://www.ncbi.nlm.nih.gov/nuccore/CP000058.1?report=graph&amp;tracks=[key:gene_model_track,Options:GeneOnly]&amp;mk=2546186:2546205|offset_1|444444,2546215:2546234|offset_30|444444,2546244:2546263|offset_59|00cc00,2546281:2546300|offset_96|444444&amp;v=2545985:2546500&amp;c=444444", "offset 59")</f>
        <v>offset 59</v>
      </c>
    </row>
    <row r="8066" customFormat="false" ht="12.8" hidden="false" customHeight="false" outlineLevel="0" collapsed="false">
      <c r="A8066" s="0" t="s">
        <v>12</v>
      </c>
      <c r="B8066" s="0" t="n">
        <v>2546280</v>
      </c>
      <c r="C8066" s="0" t="n">
        <v>2546300</v>
      </c>
      <c r="D8066" s="0" t="s">
        <v>26841</v>
      </c>
      <c r="E8066" s="0" t="s">
        <v>75</v>
      </c>
      <c r="F8066" s="0" t="s">
        <v>15</v>
      </c>
      <c r="G8066" s="0" t="s">
        <v>16</v>
      </c>
      <c r="H8066" s="0" t="n">
        <v>96</v>
      </c>
      <c r="I8066" s="0" t="s">
        <v>26851</v>
      </c>
      <c r="J8066" s="0" t="s">
        <v>26852</v>
      </c>
      <c r="K8066" s="0" t="s">
        <v>26853</v>
      </c>
      <c r="L8066" s="0" t="str">
        <f aca="false">HYPERLINK("https://www.ncbi.nlm.nih.gov/nuccore/CP000058.1?report=graph&amp;tracks=[key:gene_model_track,Options:GeneOnly]&amp;mk=2546186:2546205|offset_1|444444,2546215:2546234|offset_30|444444,2546244:2546263|offset_59|444444,2546281:2546300|offset_96|00cc00&amp;v=2545985:2546500&amp;c=444444", "offset 96")</f>
        <v>offset 96</v>
      </c>
    </row>
    <row r="8067" customFormat="false" ht="12.8" hidden="false" customHeight="false" outlineLevel="0" collapsed="false">
      <c r="A8067" s="0" t="s">
        <v>12</v>
      </c>
      <c r="B8067" s="0" t="n">
        <v>2546470</v>
      </c>
      <c r="C8067" s="0" t="n">
        <v>2546490</v>
      </c>
      <c r="D8067" s="0" t="s">
        <v>26854</v>
      </c>
      <c r="E8067" s="0" t="s">
        <v>75</v>
      </c>
      <c r="F8067" s="0" t="s">
        <v>15</v>
      </c>
      <c r="G8067" s="0" t="s">
        <v>20</v>
      </c>
      <c r="H8067" s="0" t="n">
        <v>29</v>
      </c>
      <c r="I8067" s="0" t="s">
        <v>26855</v>
      </c>
      <c r="J8067" s="0" t="s">
        <v>26856</v>
      </c>
      <c r="K8067" s="0" t="s">
        <v>26857</v>
      </c>
      <c r="L8067" s="0" t="str">
        <f aca="false">HYPERLINK("https://www.ncbi.nlm.nih.gov/nuccore/CP000058.1?report=graph&amp;tracks=[key:gene_model_track,Options:GeneOnly]&amp;mk=2546471:2546490|offset_29|00cc00,2546504:2546523|offset_62|444444,2546536:2546555|offset_94|444444,2546560:2546579|offset_118|444444&amp;v=2546270:2546779&amp;c=444444", "offset 29")</f>
        <v>offset 29</v>
      </c>
    </row>
    <row r="8068" customFormat="false" ht="12.8" hidden="false" customHeight="false" outlineLevel="0" collapsed="false">
      <c r="A8068" s="0" t="s">
        <v>12</v>
      </c>
      <c r="B8068" s="0" t="n">
        <v>2546503</v>
      </c>
      <c r="C8068" s="0" t="n">
        <v>2546523</v>
      </c>
      <c r="D8068" s="0" t="s">
        <v>26854</v>
      </c>
      <c r="E8068" s="0" t="s">
        <v>75</v>
      </c>
      <c r="F8068" s="0" t="s">
        <v>15</v>
      </c>
      <c r="G8068" s="0" t="s">
        <v>20</v>
      </c>
      <c r="H8068" s="0" t="n">
        <v>62</v>
      </c>
      <c r="I8068" s="0" t="s">
        <v>26858</v>
      </c>
      <c r="J8068" s="0" t="s">
        <v>26859</v>
      </c>
      <c r="K8068" s="0" t="s">
        <v>26860</v>
      </c>
      <c r="L8068" s="0" t="str">
        <f aca="false">HYPERLINK("https://www.ncbi.nlm.nih.gov/nuccore/CP000058.1?report=graph&amp;tracks=[key:gene_model_track,Options:GeneOnly]&amp;mk=2546471:2546490|offset_29|444444,2546504:2546523|offset_62|00cc00,2546536:2546555|offset_94|444444,2546560:2546579|offset_118|444444&amp;v=2546270:2546779&amp;c=444444", "offset 62")</f>
        <v>offset 62</v>
      </c>
    </row>
    <row r="8069" customFormat="false" ht="12.8" hidden="false" customHeight="false" outlineLevel="0" collapsed="false">
      <c r="A8069" s="0" t="s">
        <v>12</v>
      </c>
      <c r="B8069" s="0" t="n">
        <v>2546535</v>
      </c>
      <c r="C8069" s="0" t="n">
        <v>2546555</v>
      </c>
      <c r="D8069" s="0" t="s">
        <v>26854</v>
      </c>
      <c r="E8069" s="0" t="s">
        <v>75</v>
      </c>
      <c r="F8069" s="0" t="s">
        <v>15</v>
      </c>
      <c r="G8069" s="0" t="s">
        <v>32</v>
      </c>
      <c r="H8069" s="0" t="n">
        <v>94</v>
      </c>
      <c r="I8069" s="0" t="s">
        <v>26861</v>
      </c>
      <c r="J8069" s="0" t="s">
        <v>26862</v>
      </c>
      <c r="K8069" s="0" t="s">
        <v>26863</v>
      </c>
      <c r="L8069" s="0" t="str">
        <f aca="false">HYPERLINK("https://www.ncbi.nlm.nih.gov/nuccore/CP000058.1?report=graph&amp;tracks=[key:gene_model_track,Options:GeneOnly]&amp;mk=2546471:2546490|offset_29|444444,2546504:2546523|offset_62|444444,2546536:2546555|offset_94|00cc00,2546560:2546579|offset_118|444444&amp;v=2546270:2546779&amp;c=444444", "offset 94")</f>
        <v>offset 94</v>
      </c>
    </row>
    <row r="8070" customFormat="false" ht="12.8" hidden="false" customHeight="false" outlineLevel="0" collapsed="false">
      <c r="A8070" s="0" t="s">
        <v>12</v>
      </c>
      <c r="B8070" s="0" t="n">
        <v>2546559</v>
      </c>
      <c r="C8070" s="0" t="n">
        <v>2546579</v>
      </c>
      <c r="D8070" s="0" t="s">
        <v>26854</v>
      </c>
      <c r="E8070" s="0" t="s">
        <v>75</v>
      </c>
      <c r="F8070" s="0" t="s">
        <v>15</v>
      </c>
      <c r="G8070" s="0" t="s">
        <v>16</v>
      </c>
      <c r="H8070" s="0" t="n">
        <v>118</v>
      </c>
      <c r="I8070" s="0" t="s">
        <v>26864</v>
      </c>
      <c r="J8070" s="0" t="s">
        <v>26865</v>
      </c>
      <c r="K8070" s="0" t="s">
        <v>26866</v>
      </c>
      <c r="L8070" s="0" t="str">
        <f aca="false">HYPERLINK("https://www.ncbi.nlm.nih.gov/nuccore/CP000058.1?report=graph&amp;tracks=[key:gene_model_track,Options:GeneOnly]&amp;mk=2546471:2546490|offset_29|444444,2546504:2546523|offset_62|444444,2546536:2546555|offset_94|444444,2546560:2546579|offset_118|00cc00&amp;v=2546270:2546779&amp;c=444444", "offset 118")</f>
        <v>offset 118</v>
      </c>
    </row>
    <row r="8071" customFormat="false" ht="12.8" hidden="false" customHeight="false" outlineLevel="0" collapsed="false">
      <c r="A8071" s="0" t="s">
        <v>12</v>
      </c>
      <c r="B8071" s="0" t="n">
        <v>2548918</v>
      </c>
      <c r="C8071" s="0" t="n">
        <v>2548938</v>
      </c>
      <c r="D8071" s="0" t="s">
        <v>26867</v>
      </c>
      <c r="E8071" s="0" t="s">
        <v>75</v>
      </c>
      <c r="F8071" s="0" t="s">
        <v>90</v>
      </c>
      <c r="G8071" s="0" t="s">
        <v>32</v>
      </c>
      <c r="H8071" s="0" t="n">
        <v>27</v>
      </c>
      <c r="I8071" s="0" t="s">
        <v>26868</v>
      </c>
      <c r="J8071" s="0" t="s">
        <v>26869</v>
      </c>
      <c r="K8071" s="0" t="s">
        <v>26870</v>
      </c>
      <c r="L8071" s="0" t="str">
        <f aca="false">HYPERLINK("https://www.ncbi.nlm.nih.gov/nuccore/CP000058.1?report=graph&amp;tracks=[key:gene_model_track,Options:GeneOnly]&amp;mk=2548919:2548938|offset_27|00cc00,2548897:2548916|offset_49|444444,2548877:2548896|offset_69|444444,2548857:2548876|offset_89|444444&amp;v=2548718:2549076&amp;c=444444", "offset 27")</f>
        <v>offset 27</v>
      </c>
    </row>
    <row r="8072" customFormat="false" ht="12.8" hidden="false" customHeight="false" outlineLevel="0" collapsed="false">
      <c r="A8072" s="0" t="s">
        <v>12</v>
      </c>
      <c r="B8072" s="0" t="n">
        <v>2548896</v>
      </c>
      <c r="C8072" s="0" t="n">
        <v>2548916</v>
      </c>
      <c r="D8072" s="0" t="s">
        <v>26867</v>
      </c>
      <c r="E8072" s="0" t="s">
        <v>75</v>
      </c>
      <c r="F8072" s="0" t="s">
        <v>90</v>
      </c>
      <c r="G8072" s="0" t="s">
        <v>32</v>
      </c>
      <c r="H8072" s="0" t="n">
        <v>49</v>
      </c>
      <c r="I8072" s="0" t="s">
        <v>26871</v>
      </c>
      <c r="J8072" s="0" t="s">
        <v>26872</v>
      </c>
      <c r="K8072" s="0" t="s">
        <v>26873</v>
      </c>
      <c r="L8072" s="0" t="str">
        <f aca="false">HYPERLINK("https://www.ncbi.nlm.nih.gov/nuccore/CP000058.1?report=graph&amp;tracks=[key:gene_model_track,Options:GeneOnly]&amp;mk=2548919:2548938|offset_27|444444,2548897:2548916|offset_49|00cc00,2548877:2548896|offset_69|444444,2548857:2548876|offset_89|444444&amp;v=2548718:2549076&amp;c=444444", "offset 49")</f>
        <v>offset 49</v>
      </c>
    </row>
    <row r="8073" customFormat="false" ht="12.8" hidden="false" customHeight="false" outlineLevel="0" collapsed="false">
      <c r="A8073" s="0" t="s">
        <v>12</v>
      </c>
      <c r="B8073" s="0" t="n">
        <v>2548876</v>
      </c>
      <c r="C8073" s="0" t="n">
        <v>2548896</v>
      </c>
      <c r="D8073" s="0" t="s">
        <v>26867</v>
      </c>
      <c r="E8073" s="0" t="s">
        <v>75</v>
      </c>
      <c r="F8073" s="0" t="s">
        <v>90</v>
      </c>
      <c r="G8073" s="0" t="s">
        <v>20</v>
      </c>
      <c r="H8073" s="0" t="n">
        <v>69</v>
      </c>
      <c r="I8073" s="0" t="s">
        <v>26874</v>
      </c>
      <c r="J8073" s="0" t="s">
        <v>26875</v>
      </c>
      <c r="K8073" s="0" t="s">
        <v>26876</v>
      </c>
      <c r="L8073" s="0" t="str">
        <f aca="false">HYPERLINK("https://www.ncbi.nlm.nih.gov/nuccore/CP000058.1?report=graph&amp;tracks=[key:gene_model_track,Options:GeneOnly]&amp;mk=2548919:2548938|offset_27|444444,2548897:2548916|offset_49|444444,2548877:2548896|offset_69|00cc00,2548857:2548876|offset_89|444444&amp;v=2548718:2549076&amp;c=444444", "offset 69")</f>
        <v>offset 69</v>
      </c>
    </row>
    <row r="8074" customFormat="false" ht="12.8" hidden="false" customHeight="false" outlineLevel="0" collapsed="false">
      <c r="A8074" s="0" t="s">
        <v>12</v>
      </c>
      <c r="B8074" s="0" t="n">
        <v>2548856</v>
      </c>
      <c r="C8074" s="0" t="n">
        <v>2548876</v>
      </c>
      <c r="D8074" s="0" t="s">
        <v>26867</v>
      </c>
      <c r="E8074" s="0" t="s">
        <v>75</v>
      </c>
      <c r="F8074" s="0" t="s">
        <v>90</v>
      </c>
      <c r="G8074" s="0" t="s">
        <v>36</v>
      </c>
      <c r="H8074" s="0" t="n">
        <v>89</v>
      </c>
      <c r="I8074" s="0" t="s">
        <v>26877</v>
      </c>
      <c r="J8074" s="0" t="s">
        <v>26878</v>
      </c>
      <c r="K8074" s="0" t="s">
        <v>26879</v>
      </c>
      <c r="L8074" s="0" t="str">
        <f aca="false">HYPERLINK("https://www.ncbi.nlm.nih.gov/nuccore/CP000058.1?report=graph&amp;tracks=[key:gene_model_track,Options:GeneOnly]&amp;mk=2548919:2548938|offset_27|444444,2548897:2548916|offset_49|444444,2548877:2548896|offset_69|444444,2548857:2548876|offset_89|00cc00&amp;v=2548718:2549076&amp;c=444444", "offset 89")</f>
        <v>offset 89</v>
      </c>
    </row>
    <row r="8075" customFormat="false" ht="12.8" hidden="false" customHeight="false" outlineLevel="0" collapsed="false">
      <c r="A8075" s="0" t="s">
        <v>12</v>
      </c>
      <c r="B8075" s="0" t="n">
        <v>2549078</v>
      </c>
      <c r="C8075" s="0" t="n">
        <v>2549098</v>
      </c>
      <c r="D8075" s="0" t="s">
        <v>26880</v>
      </c>
      <c r="E8075" s="0" t="s">
        <v>75</v>
      </c>
      <c r="F8075" s="0" t="s">
        <v>15</v>
      </c>
      <c r="G8075" s="0" t="s">
        <v>36</v>
      </c>
      <c r="H8075" s="0" t="n">
        <v>0</v>
      </c>
      <c r="I8075" s="0" t="s">
        <v>26881</v>
      </c>
      <c r="J8075" s="0" t="s">
        <v>26882</v>
      </c>
      <c r="K8075" s="0" t="s">
        <v>26883</v>
      </c>
      <c r="L8075" s="0" t="str">
        <f aca="false">HYPERLINK("https://www.ncbi.nlm.nih.gov/nuccore/CP000058.1?report=graph&amp;tracks=[key:gene_model_track,Options:GeneOnly]&amp;mk=2549079:2549098|offset_0|00cc00,2549107:2549126|offset_28|444444,2549169:2549188|offset_90|444444,2549255:2549274|offset_176|444444&amp;v=2548878:2549474&amp;c=444444", "offset 0")</f>
        <v>offset 0</v>
      </c>
    </row>
    <row r="8076" customFormat="false" ht="12.8" hidden="false" customHeight="false" outlineLevel="0" collapsed="false">
      <c r="A8076" s="0" t="s">
        <v>12</v>
      </c>
      <c r="B8076" s="0" t="n">
        <v>2549106</v>
      </c>
      <c r="C8076" s="0" t="n">
        <v>2549126</v>
      </c>
      <c r="D8076" s="0" t="s">
        <v>26880</v>
      </c>
      <c r="E8076" s="0" t="s">
        <v>75</v>
      </c>
      <c r="F8076" s="0" t="s">
        <v>15</v>
      </c>
      <c r="G8076" s="0" t="s">
        <v>36</v>
      </c>
      <c r="H8076" s="0" t="n">
        <v>28</v>
      </c>
      <c r="I8076" s="0" t="s">
        <v>26884</v>
      </c>
      <c r="J8076" s="0" t="s">
        <v>26885</v>
      </c>
      <c r="K8076" s="0" t="s">
        <v>26886</v>
      </c>
      <c r="L8076" s="0" t="str">
        <f aca="false">HYPERLINK("https://www.ncbi.nlm.nih.gov/nuccore/CP000058.1?report=graph&amp;tracks=[key:gene_model_track,Options:GeneOnly]&amp;mk=2549079:2549098|offset_0|444444,2549107:2549126|offset_28|00cc00,2549169:2549188|offset_90|444444,2549255:2549274|offset_176|444444&amp;v=2548878:2549474&amp;c=444444", "offset 28")</f>
        <v>offset 28</v>
      </c>
    </row>
    <row r="8077" customFormat="false" ht="12.8" hidden="false" customHeight="false" outlineLevel="0" collapsed="false">
      <c r="A8077" s="0" t="s">
        <v>12</v>
      </c>
      <c r="B8077" s="0" t="n">
        <v>2549168</v>
      </c>
      <c r="C8077" s="0" t="n">
        <v>2549188</v>
      </c>
      <c r="D8077" s="0" t="s">
        <v>26880</v>
      </c>
      <c r="E8077" s="0" t="s">
        <v>75</v>
      </c>
      <c r="F8077" s="0" t="s">
        <v>15</v>
      </c>
      <c r="G8077" s="0" t="s">
        <v>20</v>
      </c>
      <c r="H8077" s="0" t="n">
        <v>90</v>
      </c>
      <c r="I8077" s="0" t="s">
        <v>26887</v>
      </c>
      <c r="J8077" s="0" t="s">
        <v>26888</v>
      </c>
      <c r="K8077" s="0" t="s">
        <v>26889</v>
      </c>
      <c r="L8077" s="0" t="str">
        <f aca="false">HYPERLINK("https://www.ncbi.nlm.nih.gov/nuccore/CP000058.1?report=graph&amp;tracks=[key:gene_model_track,Options:GeneOnly]&amp;mk=2549079:2549098|offset_0|444444,2549107:2549126|offset_28|444444,2549169:2549188|offset_90|00cc00,2549255:2549274|offset_176|444444&amp;v=2548878:2549474&amp;c=444444", "offset 90")</f>
        <v>offset 90</v>
      </c>
    </row>
    <row r="8078" customFormat="false" ht="12.8" hidden="false" customHeight="false" outlineLevel="0" collapsed="false">
      <c r="A8078" s="0" t="s">
        <v>12</v>
      </c>
      <c r="B8078" s="0" t="n">
        <v>2549254</v>
      </c>
      <c r="C8078" s="0" t="n">
        <v>2549274</v>
      </c>
      <c r="D8078" s="0" t="s">
        <v>26880</v>
      </c>
      <c r="E8078" s="0" t="s">
        <v>75</v>
      </c>
      <c r="F8078" s="0" t="s">
        <v>15</v>
      </c>
      <c r="G8078" s="0" t="s">
        <v>20</v>
      </c>
      <c r="H8078" s="0" t="n">
        <v>176</v>
      </c>
      <c r="I8078" s="0" t="s">
        <v>26890</v>
      </c>
      <c r="J8078" s="0" t="s">
        <v>26891</v>
      </c>
      <c r="K8078" s="0" t="s">
        <v>26892</v>
      </c>
      <c r="L8078" s="0" t="str">
        <f aca="false">HYPERLINK("https://www.ncbi.nlm.nih.gov/nuccore/CP000058.1?report=graph&amp;tracks=[key:gene_model_track,Options:GeneOnly]&amp;mk=2549079:2549098|offset_0|444444,2549107:2549126|offset_28|444444,2549169:2549188|offset_90|444444,2549255:2549274|offset_176|00cc00&amp;v=2548878:2549474&amp;c=444444", "offset 176")</f>
        <v>offset 176</v>
      </c>
    </row>
    <row r="8079" customFormat="false" ht="12.8" hidden="false" customHeight="false" outlineLevel="0" collapsed="false">
      <c r="A8079" s="0" t="s">
        <v>12</v>
      </c>
      <c r="B8079" s="0" t="n">
        <v>2550475</v>
      </c>
      <c r="C8079" s="0" t="n">
        <v>2550495</v>
      </c>
      <c r="D8079" s="0" t="s">
        <v>26893</v>
      </c>
      <c r="E8079" s="0" t="s">
        <v>75</v>
      </c>
      <c r="F8079" s="0" t="s">
        <v>90</v>
      </c>
      <c r="G8079" s="0" t="s">
        <v>20</v>
      </c>
      <c r="H8079" s="0" t="n">
        <v>18</v>
      </c>
      <c r="I8079" s="0" t="s">
        <v>26894</v>
      </c>
      <c r="J8079" s="0" t="s">
        <v>26895</v>
      </c>
      <c r="K8079" s="0" t="s">
        <v>26896</v>
      </c>
      <c r="L8079" s="0" t="str">
        <f aca="false">HYPERLINK("https://www.ncbi.nlm.nih.gov/nuccore/CP000058.1?report=graph&amp;tracks=[key:gene_model_track,Options:GeneOnly]&amp;mk=2550476:2550495|offset_18|00cc00,2550396:2550415|offset_98|444444,2550349:2550368|offset_145|444444,2550311:2550330|offset_183|444444&amp;v=2550275:2550530&amp;c=444444", "offset 18")</f>
        <v>offset 18</v>
      </c>
    </row>
    <row r="8080" customFormat="false" ht="12.8" hidden="false" customHeight="false" outlineLevel="0" collapsed="false">
      <c r="A8080" s="0" t="s">
        <v>12</v>
      </c>
      <c r="B8080" s="0" t="n">
        <v>2550395</v>
      </c>
      <c r="C8080" s="0" t="n">
        <v>2550415</v>
      </c>
      <c r="D8080" s="0" t="s">
        <v>26893</v>
      </c>
      <c r="E8080" s="0" t="s">
        <v>75</v>
      </c>
      <c r="F8080" s="0" t="s">
        <v>90</v>
      </c>
      <c r="G8080" s="0" t="s">
        <v>20</v>
      </c>
      <c r="H8080" s="0" t="n">
        <v>98</v>
      </c>
      <c r="I8080" s="0" t="s">
        <v>26897</v>
      </c>
      <c r="J8080" s="0" t="s">
        <v>26898</v>
      </c>
      <c r="K8080" s="0" t="s">
        <v>26899</v>
      </c>
      <c r="L8080" s="0" t="str">
        <f aca="false">HYPERLINK("https://www.ncbi.nlm.nih.gov/nuccore/CP000058.1?report=graph&amp;tracks=[key:gene_model_track,Options:GeneOnly]&amp;mk=2550476:2550495|offset_18|444444,2550396:2550415|offset_98|00cc00,2550349:2550368|offset_145|444444,2550311:2550330|offset_183|444444&amp;v=2550275:2550530&amp;c=444444", "offset 98")</f>
        <v>offset 98</v>
      </c>
    </row>
    <row r="8081" customFormat="false" ht="12.8" hidden="false" customHeight="false" outlineLevel="0" collapsed="false">
      <c r="A8081" s="0" t="s">
        <v>12</v>
      </c>
      <c r="B8081" s="0" t="n">
        <v>2550348</v>
      </c>
      <c r="C8081" s="0" t="n">
        <v>2550368</v>
      </c>
      <c r="D8081" s="0" t="s">
        <v>26893</v>
      </c>
      <c r="E8081" s="0" t="s">
        <v>75</v>
      </c>
      <c r="F8081" s="0" t="s">
        <v>90</v>
      </c>
      <c r="G8081" s="0" t="s">
        <v>32</v>
      </c>
      <c r="H8081" s="0" t="n">
        <v>145</v>
      </c>
      <c r="I8081" s="0" t="s">
        <v>26900</v>
      </c>
      <c r="J8081" s="0" t="s">
        <v>26901</v>
      </c>
      <c r="K8081" s="0" t="s">
        <v>26902</v>
      </c>
      <c r="L8081" s="0" t="str">
        <f aca="false">HYPERLINK("https://www.ncbi.nlm.nih.gov/nuccore/CP000058.1?report=graph&amp;tracks=[key:gene_model_track,Options:GeneOnly]&amp;mk=2550476:2550495|offset_18|444444,2550396:2550415|offset_98|444444,2550349:2550368|offset_145|00cc00,2550311:2550330|offset_183|444444&amp;v=2550275:2550530&amp;c=444444", "offset 145")</f>
        <v>offset 145</v>
      </c>
    </row>
    <row r="8082" customFormat="false" ht="12.8" hidden="false" customHeight="false" outlineLevel="0" collapsed="false">
      <c r="A8082" s="0" t="s">
        <v>12</v>
      </c>
      <c r="B8082" s="0" t="n">
        <v>2550310</v>
      </c>
      <c r="C8082" s="0" t="n">
        <v>2550330</v>
      </c>
      <c r="D8082" s="0" t="s">
        <v>26893</v>
      </c>
      <c r="E8082" s="0" t="s">
        <v>75</v>
      </c>
      <c r="F8082" s="0" t="s">
        <v>90</v>
      </c>
      <c r="G8082" s="0" t="s">
        <v>20</v>
      </c>
      <c r="H8082" s="0" t="n">
        <v>183</v>
      </c>
      <c r="I8082" s="0" t="s">
        <v>26903</v>
      </c>
      <c r="J8082" s="0" t="s">
        <v>26904</v>
      </c>
      <c r="K8082" s="0" t="s">
        <v>26905</v>
      </c>
      <c r="L8082" s="0" t="str">
        <f aca="false">HYPERLINK("https://www.ncbi.nlm.nih.gov/nuccore/CP000058.1?report=graph&amp;tracks=[key:gene_model_track,Options:GeneOnly]&amp;mk=2550476:2550495|offset_18|444444,2550396:2550415|offset_98|444444,2550349:2550368|offset_145|444444,2550311:2550330|offset_183|00cc00&amp;v=2550275:2550530&amp;c=444444", "offset 183")</f>
        <v>offset 183</v>
      </c>
    </row>
    <row r="8083" customFormat="false" ht="12.8" hidden="false" customHeight="false" outlineLevel="0" collapsed="false">
      <c r="A8083" s="0" t="s">
        <v>12</v>
      </c>
      <c r="B8083" s="0" t="n">
        <v>2551348</v>
      </c>
      <c r="C8083" s="0" t="n">
        <v>2551368</v>
      </c>
      <c r="D8083" s="0" t="s">
        <v>26906</v>
      </c>
      <c r="E8083" s="0" t="s">
        <v>75</v>
      </c>
      <c r="F8083" s="0" t="s">
        <v>90</v>
      </c>
      <c r="G8083" s="0" t="s">
        <v>20</v>
      </c>
      <c r="H8083" s="0" t="n">
        <v>7</v>
      </c>
      <c r="I8083" s="0" t="s">
        <v>26907</v>
      </c>
      <c r="J8083" s="0" t="s">
        <v>26908</v>
      </c>
      <c r="K8083" s="0" t="s">
        <v>26909</v>
      </c>
      <c r="L8083" s="0" t="str">
        <f aca="false">HYPERLINK("https://www.ncbi.nlm.nih.gov/nuccore/CP000058.1?report=graph&amp;tracks=[key:gene_model_track,Options:GeneOnly]&amp;mk=2551349:2551368|offset_7|00cc00,2551322:2551341|offset_34|444444,2551301:2551320|offset_55|444444,2551271:2551290|offset_85|444444&amp;v=2551148:2551490&amp;c=444444", "offset 7")</f>
        <v>offset 7</v>
      </c>
    </row>
    <row r="8084" customFormat="false" ht="12.8" hidden="false" customHeight="false" outlineLevel="0" collapsed="false">
      <c r="A8084" s="0" t="s">
        <v>12</v>
      </c>
      <c r="B8084" s="0" t="n">
        <v>2551321</v>
      </c>
      <c r="C8084" s="0" t="n">
        <v>2551341</v>
      </c>
      <c r="D8084" s="0" t="s">
        <v>26906</v>
      </c>
      <c r="E8084" s="0" t="s">
        <v>75</v>
      </c>
      <c r="F8084" s="0" t="s">
        <v>90</v>
      </c>
      <c r="G8084" s="0" t="s">
        <v>16</v>
      </c>
      <c r="H8084" s="0" t="n">
        <v>34</v>
      </c>
      <c r="I8084" s="0" t="s">
        <v>26910</v>
      </c>
      <c r="J8084" s="0" t="s">
        <v>26911</v>
      </c>
      <c r="K8084" s="0" t="s">
        <v>26912</v>
      </c>
      <c r="L8084" s="0" t="str">
        <f aca="false">HYPERLINK("https://www.ncbi.nlm.nih.gov/nuccore/CP000058.1?report=graph&amp;tracks=[key:gene_model_track,Options:GeneOnly]&amp;mk=2551349:2551368|offset_7|444444,2551322:2551341|offset_34|00cc00,2551301:2551320|offset_55|444444,2551271:2551290|offset_85|444444&amp;v=2551148:2551490&amp;c=444444", "offset 34")</f>
        <v>offset 34</v>
      </c>
    </row>
    <row r="8085" customFormat="false" ht="12.8" hidden="false" customHeight="false" outlineLevel="0" collapsed="false">
      <c r="A8085" s="0" t="s">
        <v>12</v>
      </c>
      <c r="B8085" s="0" t="n">
        <v>2551300</v>
      </c>
      <c r="C8085" s="0" t="n">
        <v>2551320</v>
      </c>
      <c r="D8085" s="0" t="s">
        <v>26906</v>
      </c>
      <c r="E8085" s="0" t="s">
        <v>75</v>
      </c>
      <c r="F8085" s="0" t="s">
        <v>90</v>
      </c>
      <c r="G8085" s="0" t="s">
        <v>20</v>
      </c>
      <c r="H8085" s="0" t="n">
        <v>55</v>
      </c>
      <c r="I8085" s="0" t="s">
        <v>26913</v>
      </c>
      <c r="J8085" s="0" t="s">
        <v>26914</v>
      </c>
      <c r="K8085" s="0" t="s">
        <v>26915</v>
      </c>
      <c r="L8085" s="0" t="str">
        <f aca="false">HYPERLINK("https://www.ncbi.nlm.nih.gov/nuccore/CP000058.1?report=graph&amp;tracks=[key:gene_model_track,Options:GeneOnly]&amp;mk=2551349:2551368|offset_7|444444,2551322:2551341|offset_34|444444,2551301:2551320|offset_55|00cc00,2551271:2551290|offset_85|444444&amp;v=2551148:2551490&amp;c=444444", "offset 55")</f>
        <v>offset 55</v>
      </c>
    </row>
    <row r="8086" customFormat="false" ht="12.8" hidden="false" customHeight="false" outlineLevel="0" collapsed="false">
      <c r="A8086" s="0" t="s">
        <v>12</v>
      </c>
      <c r="B8086" s="0" t="n">
        <v>2551270</v>
      </c>
      <c r="C8086" s="0" t="n">
        <v>2551290</v>
      </c>
      <c r="D8086" s="0" t="s">
        <v>26906</v>
      </c>
      <c r="E8086" s="0" t="s">
        <v>75</v>
      </c>
      <c r="F8086" s="0" t="s">
        <v>90</v>
      </c>
      <c r="G8086" s="0" t="s">
        <v>36</v>
      </c>
      <c r="H8086" s="0" t="n">
        <v>85</v>
      </c>
      <c r="I8086" s="0" t="s">
        <v>26916</v>
      </c>
      <c r="J8086" s="0" t="s">
        <v>26917</v>
      </c>
      <c r="K8086" s="0" t="s">
        <v>26918</v>
      </c>
      <c r="L8086" s="0" t="str">
        <f aca="false">HYPERLINK("https://www.ncbi.nlm.nih.gov/nuccore/CP000058.1?report=graph&amp;tracks=[key:gene_model_track,Options:GeneOnly]&amp;mk=2551349:2551368|offset_7|444444,2551322:2551341|offset_34|444444,2551301:2551320|offset_55|444444,2551271:2551290|offset_85|00cc00&amp;v=2551148:2551490&amp;c=444444", "offset 85")</f>
        <v>offset 85</v>
      </c>
    </row>
    <row r="8087" customFormat="false" ht="12.8" hidden="false" customHeight="false" outlineLevel="0" collapsed="false">
      <c r="A8087" s="0" t="s">
        <v>12</v>
      </c>
      <c r="B8087" s="0" t="n">
        <v>2553015</v>
      </c>
      <c r="C8087" s="0" t="n">
        <v>2553035</v>
      </c>
      <c r="D8087" s="0" t="s">
        <v>26919</v>
      </c>
      <c r="E8087" s="0" t="s">
        <v>75</v>
      </c>
      <c r="F8087" s="0" t="s">
        <v>90</v>
      </c>
      <c r="G8087" s="0" t="s">
        <v>36</v>
      </c>
      <c r="H8087" s="0" t="n">
        <v>16</v>
      </c>
      <c r="I8087" s="0" t="s">
        <v>26920</v>
      </c>
      <c r="J8087" s="0" t="s">
        <v>26921</v>
      </c>
      <c r="K8087" s="0" t="s">
        <v>26922</v>
      </c>
      <c r="L8087" s="0" t="str">
        <f aca="false">HYPERLINK("https://www.ncbi.nlm.nih.gov/nuccore/CP000058.1?report=graph&amp;tracks=[key:gene_model_track,Options:GeneOnly]&amp;mk=2553016:2553035|offset_16|00cc00,2552993:2553012|offset_39|444444,2552967:2552986|offset_65|444444,2552939:2552958|offset_93|444444&amp;v=2552815:2553158&amp;c=444444", "offset 16")</f>
        <v>offset 16</v>
      </c>
    </row>
    <row r="8088" customFormat="false" ht="12.8" hidden="false" customHeight="false" outlineLevel="0" collapsed="false">
      <c r="A8088" s="0" t="s">
        <v>12</v>
      </c>
      <c r="B8088" s="0" t="n">
        <v>2552992</v>
      </c>
      <c r="C8088" s="0" t="n">
        <v>2553012</v>
      </c>
      <c r="D8088" s="0" t="s">
        <v>26919</v>
      </c>
      <c r="E8088" s="0" t="s">
        <v>75</v>
      </c>
      <c r="F8088" s="0" t="s">
        <v>90</v>
      </c>
      <c r="G8088" s="0" t="s">
        <v>32</v>
      </c>
      <c r="H8088" s="0" t="n">
        <v>39</v>
      </c>
      <c r="I8088" s="0" t="s">
        <v>26923</v>
      </c>
      <c r="J8088" s="0" t="s">
        <v>26924</v>
      </c>
      <c r="K8088" s="0" t="s">
        <v>26925</v>
      </c>
      <c r="L8088" s="0" t="str">
        <f aca="false">HYPERLINK("https://www.ncbi.nlm.nih.gov/nuccore/CP000058.1?report=graph&amp;tracks=[key:gene_model_track,Options:GeneOnly]&amp;mk=2553016:2553035|offset_16|444444,2552993:2553012|offset_39|00cc00,2552967:2552986|offset_65|444444,2552939:2552958|offset_93|444444&amp;v=2552815:2553158&amp;c=444444", "offset 39")</f>
        <v>offset 39</v>
      </c>
    </row>
    <row r="8089" customFormat="false" ht="12.8" hidden="false" customHeight="false" outlineLevel="0" collapsed="false">
      <c r="A8089" s="0" t="s">
        <v>12</v>
      </c>
      <c r="B8089" s="0" t="n">
        <v>2552966</v>
      </c>
      <c r="C8089" s="0" t="n">
        <v>2552986</v>
      </c>
      <c r="D8089" s="0" t="s">
        <v>26919</v>
      </c>
      <c r="E8089" s="0" t="s">
        <v>75</v>
      </c>
      <c r="F8089" s="0" t="s">
        <v>90</v>
      </c>
      <c r="G8089" s="0" t="s">
        <v>20</v>
      </c>
      <c r="H8089" s="0" t="n">
        <v>65</v>
      </c>
      <c r="I8089" s="0" t="s">
        <v>26926</v>
      </c>
      <c r="J8089" s="0" t="s">
        <v>26927</v>
      </c>
      <c r="K8089" s="0" t="s">
        <v>26928</v>
      </c>
      <c r="L8089" s="0" t="str">
        <f aca="false">HYPERLINK("https://www.ncbi.nlm.nih.gov/nuccore/CP000058.1?report=graph&amp;tracks=[key:gene_model_track,Options:GeneOnly]&amp;mk=2553016:2553035|offset_16|444444,2552993:2553012|offset_39|444444,2552967:2552986|offset_65|00cc00,2552939:2552958|offset_93|444444&amp;v=2552815:2553158&amp;c=444444", "offset 65")</f>
        <v>offset 65</v>
      </c>
    </row>
    <row r="8090" customFormat="false" ht="12.8" hidden="false" customHeight="false" outlineLevel="0" collapsed="false">
      <c r="A8090" s="0" t="s">
        <v>12</v>
      </c>
      <c r="B8090" s="0" t="n">
        <v>2552938</v>
      </c>
      <c r="C8090" s="0" t="n">
        <v>2552958</v>
      </c>
      <c r="D8090" s="0" t="s">
        <v>26919</v>
      </c>
      <c r="E8090" s="0" t="s">
        <v>75</v>
      </c>
      <c r="F8090" s="0" t="s">
        <v>90</v>
      </c>
      <c r="G8090" s="0" t="s">
        <v>16</v>
      </c>
      <c r="H8090" s="0" t="n">
        <v>93</v>
      </c>
      <c r="I8090" s="0" t="s">
        <v>26929</v>
      </c>
      <c r="J8090" s="0" t="s">
        <v>26930</v>
      </c>
      <c r="K8090" s="0" t="s">
        <v>26931</v>
      </c>
      <c r="L8090" s="0" t="str">
        <f aca="false">HYPERLINK("https://www.ncbi.nlm.nih.gov/nuccore/CP000058.1?report=graph&amp;tracks=[key:gene_model_track,Options:GeneOnly]&amp;mk=2553016:2553035|offset_16|444444,2552993:2553012|offset_39|444444,2552967:2552986|offset_65|444444,2552939:2552958|offset_93|00cc00&amp;v=2552815:2553158&amp;c=444444", "offset 93")</f>
        <v>offset 93</v>
      </c>
    </row>
    <row r="8091" customFormat="false" ht="12.8" hidden="false" customHeight="false" outlineLevel="0" collapsed="false">
      <c r="A8091" s="0" t="s">
        <v>12</v>
      </c>
      <c r="B8091" s="0" t="n">
        <v>2554814</v>
      </c>
      <c r="C8091" s="0" t="n">
        <v>2554834</v>
      </c>
      <c r="D8091" s="0" t="s">
        <v>26932</v>
      </c>
      <c r="E8091" s="0" t="s">
        <v>75</v>
      </c>
      <c r="F8091" s="0" t="s">
        <v>90</v>
      </c>
      <c r="G8091" s="0" t="s">
        <v>16</v>
      </c>
      <c r="H8091" s="0" t="n">
        <v>25</v>
      </c>
      <c r="I8091" s="0" t="s">
        <v>26933</v>
      </c>
      <c r="J8091" s="0" t="s">
        <v>26934</v>
      </c>
      <c r="K8091" s="0" t="s">
        <v>26935</v>
      </c>
      <c r="L8091" s="0" t="str">
        <f aca="false">HYPERLINK("https://www.ncbi.nlm.nih.gov/nuccore/CP000058.1?report=graph&amp;tracks=[key:gene_model_track,Options:GeneOnly]&amp;mk=2554815:2554834|offset_25|00cc00,2554770:2554789|offset_70|444444,2554749:2554768|offset_91|444444,2554715:2554734|offset_125|444444&amp;v=2554614:2554934&amp;c=444444", "offset 25")</f>
        <v>offset 25</v>
      </c>
    </row>
    <row r="8092" customFormat="false" ht="12.8" hidden="false" customHeight="false" outlineLevel="0" collapsed="false">
      <c r="A8092" s="0" t="s">
        <v>12</v>
      </c>
      <c r="B8092" s="0" t="n">
        <v>2554769</v>
      </c>
      <c r="C8092" s="0" t="n">
        <v>2554789</v>
      </c>
      <c r="D8092" s="0" t="s">
        <v>26932</v>
      </c>
      <c r="E8092" s="0" t="s">
        <v>75</v>
      </c>
      <c r="F8092" s="0" t="s">
        <v>90</v>
      </c>
      <c r="G8092" s="0" t="s">
        <v>32</v>
      </c>
      <c r="H8092" s="0" t="n">
        <v>70</v>
      </c>
      <c r="I8092" s="0" t="s">
        <v>26936</v>
      </c>
      <c r="J8092" s="0" t="s">
        <v>26937</v>
      </c>
      <c r="K8092" s="0" t="s">
        <v>26938</v>
      </c>
      <c r="L8092" s="0" t="str">
        <f aca="false">HYPERLINK("https://www.ncbi.nlm.nih.gov/nuccore/CP000058.1?report=graph&amp;tracks=[key:gene_model_track,Options:GeneOnly]&amp;mk=2554815:2554834|offset_25|444444,2554770:2554789|offset_70|00cc00,2554749:2554768|offset_91|444444,2554715:2554734|offset_125|444444&amp;v=2554614:2554934&amp;c=444444", "offset 70")</f>
        <v>offset 70</v>
      </c>
    </row>
    <row r="8093" customFormat="false" ht="12.8" hidden="false" customHeight="false" outlineLevel="0" collapsed="false">
      <c r="A8093" s="0" t="s">
        <v>12</v>
      </c>
      <c r="B8093" s="0" t="n">
        <v>2554748</v>
      </c>
      <c r="C8093" s="0" t="n">
        <v>2554768</v>
      </c>
      <c r="D8093" s="0" t="s">
        <v>26932</v>
      </c>
      <c r="E8093" s="0" t="s">
        <v>75</v>
      </c>
      <c r="F8093" s="0" t="s">
        <v>90</v>
      </c>
      <c r="G8093" s="0" t="s">
        <v>16</v>
      </c>
      <c r="H8093" s="0" t="n">
        <v>91</v>
      </c>
      <c r="I8093" s="0" t="s">
        <v>26939</v>
      </c>
      <c r="J8093" s="0" t="s">
        <v>26940</v>
      </c>
      <c r="K8093" s="0" t="s">
        <v>26941</v>
      </c>
      <c r="L8093" s="0" t="str">
        <f aca="false">HYPERLINK("https://www.ncbi.nlm.nih.gov/nuccore/CP000058.1?report=graph&amp;tracks=[key:gene_model_track,Options:GeneOnly]&amp;mk=2554815:2554834|offset_25|444444,2554770:2554789|offset_70|444444,2554749:2554768|offset_91|00cc00,2554715:2554734|offset_125|444444&amp;v=2554614:2554934&amp;c=444444", "offset 91")</f>
        <v>offset 91</v>
      </c>
    </row>
    <row r="8094" customFormat="false" ht="12.8" hidden="false" customHeight="false" outlineLevel="0" collapsed="false">
      <c r="A8094" s="0" t="s">
        <v>12</v>
      </c>
      <c r="B8094" s="0" t="n">
        <v>2554714</v>
      </c>
      <c r="C8094" s="0" t="n">
        <v>2554734</v>
      </c>
      <c r="D8094" s="0" t="s">
        <v>26932</v>
      </c>
      <c r="E8094" s="0" t="s">
        <v>75</v>
      </c>
      <c r="F8094" s="0" t="s">
        <v>90</v>
      </c>
      <c r="G8094" s="0" t="s">
        <v>20</v>
      </c>
      <c r="H8094" s="0" t="n">
        <v>125</v>
      </c>
      <c r="I8094" s="0" t="s">
        <v>26942</v>
      </c>
      <c r="J8094" s="0" t="s">
        <v>26943</v>
      </c>
      <c r="K8094" s="0" t="s">
        <v>26944</v>
      </c>
      <c r="L8094" s="0" t="str">
        <f aca="false">HYPERLINK("https://www.ncbi.nlm.nih.gov/nuccore/CP000058.1?report=graph&amp;tracks=[key:gene_model_track,Options:GeneOnly]&amp;mk=2554815:2554834|offset_25|444444,2554770:2554789|offset_70|444444,2554749:2554768|offset_91|444444,2554715:2554734|offset_125|00cc00&amp;v=2554614:2554934&amp;c=444444", "offset 125")</f>
        <v>offset 125</v>
      </c>
    </row>
    <row r="8095" customFormat="false" ht="12.8" hidden="false" customHeight="false" outlineLevel="0" collapsed="false">
      <c r="A8095" s="0" t="s">
        <v>12</v>
      </c>
      <c r="B8095" s="0" t="n">
        <v>2555917</v>
      </c>
      <c r="C8095" s="0" t="n">
        <v>2555937</v>
      </c>
      <c r="D8095" s="0" t="s">
        <v>26945</v>
      </c>
      <c r="E8095" s="0" t="s">
        <v>26946</v>
      </c>
      <c r="F8095" s="0" t="s">
        <v>90</v>
      </c>
      <c r="G8095" s="0" t="s">
        <v>16</v>
      </c>
      <c r="H8095" s="0" t="n">
        <v>14</v>
      </c>
      <c r="I8095" s="0" t="s">
        <v>26947</v>
      </c>
      <c r="J8095" s="0" t="s">
        <v>26948</v>
      </c>
      <c r="K8095" s="0" t="s">
        <v>26949</v>
      </c>
      <c r="L8095" s="0" t="str">
        <f aca="false">HYPERLINK("https://www.ncbi.nlm.nih.gov/nuccore/CP000058.1?report=graph&amp;tracks=[key:gene_model_track,Options:GeneOnly]&amp;mk=2555918:2555937|offset_14|00cc00,2555893:2555912|offset_39|444444,2555862:2555881|offset_70|444444,2555841:2555860|offset_91|444444&amp;v=2555717:2556060&amp;c=444444", "offset 14")</f>
        <v>offset 14</v>
      </c>
    </row>
    <row r="8096" customFormat="false" ht="12.8" hidden="false" customHeight="false" outlineLevel="0" collapsed="false">
      <c r="A8096" s="0" t="s">
        <v>12</v>
      </c>
      <c r="B8096" s="0" t="n">
        <v>2555892</v>
      </c>
      <c r="C8096" s="0" t="n">
        <v>2555912</v>
      </c>
      <c r="D8096" s="0" t="s">
        <v>26945</v>
      </c>
      <c r="E8096" s="0" t="s">
        <v>26946</v>
      </c>
      <c r="F8096" s="0" t="s">
        <v>90</v>
      </c>
      <c r="G8096" s="0" t="s">
        <v>16</v>
      </c>
      <c r="H8096" s="0" t="n">
        <v>39</v>
      </c>
      <c r="I8096" s="0" t="s">
        <v>26950</v>
      </c>
      <c r="J8096" s="0" t="s">
        <v>26951</v>
      </c>
      <c r="K8096" s="0" t="s">
        <v>26952</v>
      </c>
      <c r="L8096" s="0" t="str">
        <f aca="false">HYPERLINK("https://www.ncbi.nlm.nih.gov/nuccore/CP000058.1?report=graph&amp;tracks=[key:gene_model_track,Options:GeneOnly]&amp;mk=2555918:2555937|offset_14|444444,2555893:2555912|offset_39|00cc00,2555862:2555881|offset_70|444444,2555841:2555860|offset_91|444444&amp;v=2555717:2556060&amp;c=444444", "offset 39")</f>
        <v>offset 39</v>
      </c>
    </row>
    <row r="8097" customFormat="false" ht="12.8" hidden="false" customHeight="false" outlineLevel="0" collapsed="false">
      <c r="A8097" s="0" t="s">
        <v>12</v>
      </c>
      <c r="B8097" s="0" t="n">
        <v>2555861</v>
      </c>
      <c r="C8097" s="0" t="n">
        <v>2555881</v>
      </c>
      <c r="D8097" s="0" t="s">
        <v>26945</v>
      </c>
      <c r="E8097" s="0" t="s">
        <v>26946</v>
      </c>
      <c r="F8097" s="0" t="s">
        <v>90</v>
      </c>
      <c r="G8097" s="0" t="s">
        <v>36</v>
      </c>
      <c r="H8097" s="0" t="n">
        <v>70</v>
      </c>
      <c r="I8097" s="0" t="s">
        <v>26953</v>
      </c>
      <c r="J8097" s="0" t="s">
        <v>26954</v>
      </c>
      <c r="K8097" s="0" t="s">
        <v>26955</v>
      </c>
      <c r="L8097" s="0" t="str">
        <f aca="false">HYPERLINK("https://www.ncbi.nlm.nih.gov/nuccore/CP000058.1?report=graph&amp;tracks=[key:gene_model_track,Options:GeneOnly]&amp;mk=2555918:2555937|offset_14|444444,2555893:2555912|offset_39|444444,2555862:2555881|offset_70|00cc00,2555841:2555860|offset_91|444444&amp;v=2555717:2556060&amp;c=444444", "offset 70")</f>
        <v>offset 70</v>
      </c>
    </row>
    <row r="8098" customFormat="false" ht="12.8" hidden="false" customHeight="false" outlineLevel="0" collapsed="false">
      <c r="A8098" s="0" t="s">
        <v>12</v>
      </c>
      <c r="B8098" s="0" t="n">
        <v>2555840</v>
      </c>
      <c r="C8098" s="0" t="n">
        <v>2555860</v>
      </c>
      <c r="D8098" s="0" t="s">
        <v>26945</v>
      </c>
      <c r="E8098" s="0" t="s">
        <v>26946</v>
      </c>
      <c r="F8098" s="0" t="s">
        <v>90</v>
      </c>
      <c r="G8098" s="0" t="s">
        <v>36</v>
      </c>
      <c r="H8098" s="0" t="n">
        <v>91</v>
      </c>
      <c r="I8098" s="0" t="s">
        <v>26956</v>
      </c>
      <c r="J8098" s="0" t="s">
        <v>26957</v>
      </c>
      <c r="K8098" s="0" t="s">
        <v>26958</v>
      </c>
      <c r="L8098" s="0" t="str">
        <f aca="false">HYPERLINK("https://www.ncbi.nlm.nih.gov/nuccore/CP000058.1?report=graph&amp;tracks=[key:gene_model_track,Options:GeneOnly]&amp;mk=2555918:2555937|offset_14|444444,2555893:2555912|offset_39|444444,2555862:2555881|offset_70|444444,2555841:2555860|offset_91|00cc00&amp;v=2555717:2556060&amp;c=444444", "offset 91")</f>
        <v>offset 91</v>
      </c>
    </row>
    <row r="8099" customFormat="false" ht="12.8" hidden="false" customHeight="false" outlineLevel="0" collapsed="false">
      <c r="A8099" s="0" t="s">
        <v>12</v>
      </c>
      <c r="B8099" s="0" t="n">
        <v>2556261</v>
      </c>
      <c r="C8099" s="0" t="n">
        <v>2556281</v>
      </c>
      <c r="D8099" s="0" t="s">
        <v>26959</v>
      </c>
      <c r="E8099" s="0" t="s">
        <v>75</v>
      </c>
      <c r="F8099" s="0" t="s">
        <v>15</v>
      </c>
      <c r="G8099" s="0" t="s">
        <v>16</v>
      </c>
      <c r="H8099" s="0" t="n">
        <v>28</v>
      </c>
      <c r="I8099" s="0" t="s">
        <v>26960</v>
      </c>
      <c r="J8099" s="0" t="s">
        <v>26961</v>
      </c>
      <c r="K8099" s="0" t="s">
        <v>26962</v>
      </c>
      <c r="L8099" s="0" t="str">
        <f aca="false">HYPERLINK("https://www.ncbi.nlm.nih.gov/nuccore/CP000058.1?report=graph&amp;tracks=[key:gene_model_track,Options:GeneOnly]&amp;mk=2556262:2556281|offset_28|00cc00,2556291:2556310|offset_57|444444,2556330:2556349|offset_96|444444,2556388:2556407|offset_154|444444&amp;v=2556061:2556607&amp;c=444444", "offset 28")</f>
        <v>offset 28</v>
      </c>
    </row>
    <row r="8100" customFormat="false" ht="12.8" hidden="false" customHeight="false" outlineLevel="0" collapsed="false">
      <c r="A8100" s="0" t="s">
        <v>12</v>
      </c>
      <c r="B8100" s="0" t="n">
        <v>2556290</v>
      </c>
      <c r="C8100" s="0" t="n">
        <v>2556310</v>
      </c>
      <c r="D8100" s="0" t="s">
        <v>26959</v>
      </c>
      <c r="E8100" s="0" t="s">
        <v>75</v>
      </c>
      <c r="F8100" s="0" t="s">
        <v>15</v>
      </c>
      <c r="G8100" s="0" t="s">
        <v>36</v>
      </c>
      <c r="H8100" s="0" t="n">
        <v>57</v>
      </c>
      <c r="I8100" s="0" t="s">
        <v>26963</v>
      </c>
      <c r="J8100" s="0" t="s">
        <v>26964</v>
      </c>
      <c r="K8100" s="0" t="s">
        <v>26965</v>
      </c>
      <c r="L8100" s="0" t="str">
        <f aca="false">HYPERLINK("https://www.ncbi.nlm.nih.gov/nuccore/CP000058.1?report=graph&amp;tracks=[key:gene_model_track,Options:GeneOnly]&amp;mk=2556262:2556281|offset_28|444444,2556291:2556310|offset_57|00cc00,2556330:2556349|offset_96|444444,2556388:2556407|offset_154|444444&amp;v=2556061:2556607&amp;c=444444", "offset 57")</f>
        <v>offset 57</v>
      </c>
    </row>
    <row r="8101" customFormat="false" ht="12.8" hidden="false" customHeight="false" outlineLevel="0" collapsed="false">
      <c r="A8101" s="0" t="s">
        <v>12</v>
      </c>
      <c r="B8101" s="0" t="n">
        <v>2556329</v>
      </c>
      <c r="C8101" s="0" t="n">
        <v>2556349</v>
      </c>
      <c r="D8101" s="0" t="s">
        <v>26959</v>
      </c>
      <c r="E8101" s="0" t="s">
        <v>75</v>
      </c>
      <c r="F8101" s="0" t="s">
        <v>15</v>
      </c>
      <c r="G8101" s="0" t="s">
        <v>16</v>
      </c>
      <c r="H8101" s="0" t="n">
        <v>96</v>
      </c>
      <c r="I8101" s="0" t="s">
        <v>26966</v>
      </c>
      <c r="J8101" s="0" t="s">
        <v>26967</v>
      </c>
      <c r="K8101" s="0" t="s">
        <v>26968</v>
      </c>
      <c r="L8101" s="0" t="str">
        <f aca="false">HYPERLINK("https://www.ncbi.nlm.nih.gov/nuccore/CP000058.1?report=graph&amp;tracks=[key:gene_model_track,Options:GeneOnly]&amp;mk=2556262:2556281|offset_28|444444,2556291:2556310|offset_57|444444,2556330:2556349|offset_96|00cc00,2556388:2556407|offset_154|444444&amp;v=2556061:2556607&amp;c=444444", "offset 96")</f>
        <v>offset 96</v>
      </c>
    </row>
    <row r="8102" customFormat="false" ht="12.8" hidden="false" customHeight="false" outlineLevel="0" collapsed="false">
      <c r="A8102" s="0" t="s">
        <v>12</v>
      </c>
      <c r="B8102" s="0" t="n">
        <v>2556387</v>
      </c>
      <c r="C8102" s="0" t="n">
        <v>2556407</v>
      </c>
      <c r="D8102" s="0" t="s">
        <v>26959</v>
      </c>
      <c r="E8102" s="0" t="s">
        <v>75</v>
      </c>
      <c r="F8102" s="0" t="s">
        <v>15</v>
      </c>
      <c r="G8102" s="0" t="s">
        <v>32</v>
      </c>
      <c r="H8102" s="0" t="n">
        <v>154</v>
      </c>
      <c r="I8102" s="0" t="s">
        <v>26969</v>
      </c>
      <c r="J8102" s="0" t="s">
        <v>26970</v>
      </c>
      <c r="K8102" s="0" t="s">
        <v>26971</v>
      </c>
      <c r="L8102" s="0" t="str">
        <f aca="false">HYPERLINK("https://www.ncbi.nlm.nih.gov/nuccore/CP000058.1?report=graph&amp;tracks=[key:gene_model_track,Options:GeneOnly]&amp;mk=2556262:2556281|offset_28|444444,2556291:2556310|offset_57|444444,2556330:2556349|offset_96|444444,2556388:2556407|offset_154|00cc00&amp;v=2556061:2556607&amp;c=444444", "offset 154")</f>
        <v>offset 154</v>
      </c>
    </row>
    <row r="8103" customFormat="false" ht="12.8" hidden="false" customHeight="false" outlineLevel="0" collapsed="false">
      <c r="A8103" s="0" t="s">
        <v>12</v>
      </c>
      <c r="B8103" s="0" t="n">
        <v>2556961</v>
      </c>
      <c r="C8103" s="0" t="n">
        <v>2556981</v>
      </c>
      <c r="D8103" s="0" t="s">
        <v>26972</v>
      </c>
      <c r="E8103" s="0" t="s">
        <v>75</v>
      </c>
      <c r="F8103" s="0" t="s">
        <v>90</v>
      </c>
      <c r="G8103" s="0" t="s">
        <v>36</v>
      </c>
      <c r="H8103" s="0" t="n">
        <v>0</v>
      </c>
      <c r="I8103" s="0" t="s">
        <v>26973</v>
      </c>
      <c r="J8103" s="0" t="s">
        <v>26974</v>
      </c>
      <c r="K8103" s="0" t="s">
        <v>26975</v>
      </c>
      <c r="L8103" s="0" t="str">
        <f aca="false">HYPERLINK("https://www.ncbi.nlm.nih.gov/nuccore/CP000058.1?report=graph&amp;tracks=[key:gene_model_track,Options:GeneOnly]&amp;mk=2556962:2556981|offset_0|00cc00,2556928:2556947|offset_34|444444,2556874:2556893|offset_88|444444,2556772:2556791|offset_190|444444&amp;v=2556761:2556991&amp;c=444444", "offset 0")</f>
        <v>offset 0</v>
      </c>
    </row>
    <row r="8104" customFormat="false" ht="12.8" hidden="false" customHeight="false" outlineLevel="0" collapsed="false">
      <c r="A8104" s="0" t="s">
        <v>12</v>
      </c>
      <c r="B8104" s="0" t="n">
        <v>2556927</v>
      </c>
      <c r="C8104" s="0" t="n">
        <v>2556947</v>
      </c>
      <c r="D8104" s="0" t="s">
        <v>26972</v>
      </c>
      <c r="E8104" s="0" t="s">
        <v>75</v>
      </c>
      <c r="F8104" s="0" t="s">
        <v>90</v>
      </c>
      <c r="G8104" s="0" t="s">
        <v>16</v>
      </c>
      <c r="H8104" s="0" t="n">
        <v>34</v>
      </c>
      <c r="I8104" s="0" t="s">
        <v>26976</v>
      </c>
      <c r="J8104" s="0" t="s">
        <v>26977</v>
      </c>
      <c r="K8104" s="0" t="s">
        <v>26978</v>
      </c>
      <c r="L8104" s="0" t="str">
        <f aca="false">HYPERLINK("https://www.ncbi.nlm.nih.gov/nuccore/CP000058.1?report=graph&amp;tracks=[key:gene_model_track,Options:GeneOnly]&amp;mk=2556962:2556981|offset_0|444444,2556928:2556947|offset_34|00cc00,2556874:2556893|offset_88|444444,2556772:2556791|offset_190|444444&amp;v=2556761:2556991&amp;c=444444", "offset 34")</f>
        <v>offset 34</v>
      </c>
    </row>
    <row r="8105" customFormat="false" ht="12.8" hidden="false" customHeight="false" outlineLevel="0" collapsed="false">
      <c r="A8105" s="0" t="s">
        <v>12</v>
      </c>
      <c r="B8105" s="0" t="n">
        <v>2556873</v>
      </c>
      <c r="C8105" s="0" t="n">
        <v>2556893</v>
      </c>
      <c r="D8105" s="0" t="s">
        <v>26972</v>
      </c>
      <c r="E8105" s="0" t="s">
        <v>75</v>
      </c>
      <c r="F8105" s="0" t="s">
        <v>90</v>
      </c>
      <c r="G8105" s="0" t="s">
        <v>16</v>
      </c>
      <c r="H8105" s="0" t="n">
        <v>88</v>
      </c>
      <c r="I8105" s="0" t="s">
        <v>26979</v>
      </c>
      <c r="J8105" s="0" t="s">
        <v>26980</v>
      </c>
      <c r="K8105" s="0" t="s">
        <v>26981</v>
      </c>
      <c r="L8105" s="0" t="str">
        <f aca="false">HYPERLINK("https://www.ncbi.nlm.nih.gov/nuccore/CP000058.1?report=graph&amp;tracks=[key:gene_model_track,Options:GeneOnly]&amp;mk=2556962:2556981|offset_0|444444,2556928:2556947|offset_34|444444,2556874:2556893|offset_88|00cc00,2556772:2556791|offset_190|444444&amp;v=2556761:2556991&amp;c=444444", "offset 88")</f>
        <v>offset 88</v>
      </c>
    </row>
    <row r="8106" customFormat="false" ht="12.8" hidden="false" customHeight="false" outlineLevel="0" collapsed="false">
      <c r="A8106" s="0" t="s">
        <v>12</v>
      </c>
      <c r="B8106" s="0" t="n">
        <v>2556771</v>
      </c>
      <c r="C8106" s="0" t="n">
        <v>2556791</v>
      </c>
      <c r="D8106" s="0" t="s">
        <v>26972</v>
      </c>
      <c r="E8106" s="0" t="s">
        <v>75</v>
      </c>
      <c r="F8106" s="0" t="s">
        <v>90</v>
      </c>
      <c r="G8106" s="0" t="s">
        <v>32</v>
      </c>
      <c r="H8106" s="0" t="n">
        <v>190</v>
      </c>
      <c r="I8106" s="0" t="s">
        <v>26982</v>
      </c>
      <c r="J8106" s="0" t="s">
        <v>26983</v>
      </c>
      <c r="K8106" s="0" t="s">
        <v>26984</v>
      </c>
      <c r="L8106" s="0" t="str">
        <f aca="false">HYPERLINK("https://www.ncbi.nlm.nih.gov/nuccore/CP000058.1?report=graph&amp;tracks=[key:gene_model_track,Options:GeneOnly]&amp;mk=2556962:2556981|offset_0|444444,2556928:2556947|offset_34|444444,2556874:2556893|offset_88|444444,2556772:2556791|offset_190|00cc00&amp;v=2556761:2556991&amp;c=444444", "offset 190")</f>
        <v>offset 190</v>
      </c>
    </row>
    <row r="8107" customFormat="false" ht="12.8" hidden="false" customHeight="false" outlineLevel="0" collapsed="false">
      <c r="A8107" s="0" t="s">
        <v>12</v>
      </c>
      <c r="B8107" s="0" t="n">
        <v>2557153</v>
      </c>
      <c r="C8107" s="0" t="n">
        <v>2557173</v>
      </c>
      <c r="D8107" s="0" t="s">
        <v>26985</v>
      </c>
      <c r="E8107" s="0" t="s">
        <v>75</v>
      </c>
      <c r="F8107" s="0" t="s">
        <v>15</v>
      </c>
      <c r="G8107" s="0" t="s">
        <v>32</v>
      </c>
      <c r="H8107" s="0" t="n">
        <v>19</v>
      </c>
      <c r="I8107" s="0" t="s">
        <v>26986</v>
      </c>
      <c r="J8107" s="0" t="s">
        <v>26987</v>
      </c>
      <c r="K8107" s="0" t="s">
        <v>26988</v>
      </c>
      <c r="L8107" s="0" t="str">
        <f aca="false">HYPERLINK("https://www.ncbi.nlm.nih.gov/nuccore/CP000058.1?report=graph&amp;tracks=[key:gene_model_track,Options:GeneOnly]&amp;mk=2557154:2557173|offset_19|00cc00,2557178:2557197|offset_43|444444,2557199:2557218|offset_64|444444,2557238:2557257|offset_103|444444&amp;v=2556953:2557457&amp;c=444444", "offset 19")</f>
        <v>offset 19</v>
      </c>
    </row>
    <row r="8108" customFormat="false" ht="12.8" hidden="false" customHeight="false" outlineLevel="0" collapsed="false">
      <c r="A8108" s="0" t="s">
        <v>12</v>
      </c>
      <c r="B8108" s="0" t="n">
        <v>2557177</v>
      </c>
      <c r="C8108" s="0" t="n">
        <v>2557197</v>
      </c>
      <c r="D8108" s="0" t="s">
        <v>26985</v>
      </c>
      <c r="E8108" s="0" t="s">
        <v>75</v>
      </c>
      <c r="F8108" s="0" t="s">
        <v>15</v>
      </c>
      <c r="G8108" s="0" t="s">
        <v>16</v>
      </c>
      <c r="H8108" s="0" t="n">
        <v>43</v>
      </c>
      <c r="I8108" s="0" t="s">
        <v>26989</v>
      </c>
      <c r="J8108" s="0" t="s">
        <v>26990</v>
      </c>
      <c r="K8108" s="0" t="s">
        <v>26991</v>
      </c>
      <c r="L8108" s="0" t="str">
        <f aca="false">HYPERLINK("https://www.ncbi.nlm.nih.gov/nuccore/CP000058.1?report=graph&amp;tracks=[key:gene_model_track,Options:GeneOnly]&amp;mk=2557154:2557173|offset_19|444444,2557178:2557197|offset_43|00cc00,2557199:2557218|offset_64|444444,2557238:2557257|offset_103|444444&amp;v=2556953:2557457&amp;c=444444", "offset 43")</f>
        <v>offset 43</v>
      </c>
    </row>
    <row r="8109" customFormat="false" ht="12.8" hidden="false" customHeight="false" outlineLevel="0" collapsed="false">
      <c r="A8109" s="0" t="s">
        <v>12</v>
      </c>
      <c r="B8109" s="0" t="n">
        <v>2557198</v>
      </c>
      <c r="C8109" s="0" t="n">
        <v>2557218</v>
      </c>
      <c r="D8109" s="0" t="s">
        <v>26985</v>
      </c>
      <c r="E8109" s="0" t="s">
        <v>75</v>
      </c>
      <c r="F8109" s="0" t="s">
        <v>15</v>
      </c>
      <c r="G8109" s="0" t="s">
        <v>36</v>
      </c>
      <c r="H8109" s="0" t="n">
        <v>64</v>
      </c>
      <c r="I8109" s="0" t="s">
        <v>26992</v>
      </c>
      <c r="J8109" s="0" t="s">
        <v>26993</v>
      </c>
      <c r="K8109" s="0" t="s">
        <v>26994</v>
      </c>
      <c r="L8109" s="0" t="str">
        <f aca="false">HYPERLINK("https://www.ncbi.nlm.nih.gov/nuccore/CP000058.1?report=graph&amp;tracks=[key:gene_model_track,Options:GeneOnly]&amp;mk=2557154:2557173|offset_19|444444,2557178:2557197|offset_43|444444,2557199:2557218|offset_64|00cc00,2557238:2557257|offset_103|444444&amp;v=2556953:2557457&amp;c=444444", "offset 64")</f>
        <v>offset 64</v>
      </c>
    </row>
    <row r="8110" customFormat="false" ht="12.8" hidden="false" customHeight="false" outlineLevel="0" collapsed="false">
      <c r="A8110" s="0" t="s">
        <v>12</v>
      </c>
      <c r="B8110" s="0" t="n">
        <v>2557237</v>
      </c>
      <c r="C8110" s="0" t="n">
        <v>2557257</v>
      </c>
      <c r="D8110" s="0" t="s">
        <v>26985</v>
      </c>
      <c r="E8110" s="0" t="s">
        <v>75</v>
      </c>
      <c r="F8110" s="0" t="s">
        <v>15</v>
      </c>
      <c r="G8110" s="0" t="s">
        <v>32</v>
      </c>
      <c r="H8110" s="0" t="n">
        <v>103</v>
      </c>
      <c r="I8110" s="0" t="s">
        <v>26995</v>
      </c>
      <c r="J8110" s="0" t="s">
        <v>26996</v>
      </c>
      <c r="K8110" s="0" t="s">
        <v>26997</v>
      </c>
      <c r="L8110" s="0" t="str">
        <f aca="false">HYPERLINK("https://www.ncbi.nlm.nih.gov/nuccore/CP000058.1?report=graph&amp;tracks=[key:gene_model_track,Options:GeneOnly]&amp;mk=2557154:2557173|offset_19|444444,2557178:2557197|offset_43|444444,2557199:2557218|offset_64|444444,2557238:2557257|offset_103|00cc00&amp;v=2556953:2557457&amp;c=444444", "offset 103")</f>
        <v>offset 103</v>
      </c>
    </row>
    <row r="8111" customFormat="false" ht="12.8" hidden="false" customHeight="false" outlineLevel="0" collapsed="false">
      <c r="A8111" s="0" t="s">
        <v>12</v>
      </c>
      <c r="B8111" s="0" t="n">
        <v>2557536</v>
      </c>
      <c r="C8111" s="0" t="n">
        <v>2557556</v>
      </c>
      <c r="D8111" s="0" t="s">
        <v>26998</v>
      </c>
      <c r="E8111" s="0" t="s">
        <v>75</v>
      </c>
      <c r="F8111" s="0" t="s">
        <v>15</v>
      </c>
      <c r="G8111" s="0" t="s">
        <v>36</v>
      </c>
      <c r="H8111" s="0" t="n">
        <v>19</v>
      </c>
      <c r="I8111" s="0" t="s">
        <v>26999</v>
      </c>
      <c r="J8111" s="0" t="s">
        <v>27000</v>
      </c>
      <c r="K8111" s="0" t="s">
        <v>27001</v>
      </c>
      <c r="L8111" s="0" t="str">
        <f aca="false">HYPERLINK("https://www.ncbi.nlm.nih.gov/nuccore/CP000058.1?report=graph&amp;tracks=[key:gene_model_track,Options:GeneOnly]&amp;mk=2557537:2557556|offset_19|00cc00,2557558:2557577|offset_40|444444,2557591:2557610|offset_73|444444,2557613:2557632|offset_95|444444&amp;v=2557336:2557832&amp;c=444444", "offset 19")</f>
        <v>offset 19</v>
      </c>
    </row>
    <row r="8112" customFormat="false" ht="12.8" hidden="false" customHeight="false" outlineLevel="0" collapsed="false">
      <c r="A8112" s="0" t="s">
        <v>12</v>
      </c>
      <c r="B8112" s="0" t="n">
        <v>2557557</v>
      </c>
      <c r="C8112" s="0" t="n">
        <v>2557577</v>
      </c>
      <c r="D8112" s="0" t="s">
        <v>26998</v>
      </c>
      <c r="E8112" s="0" t="s">
        <v>75</v>
      </c>
      <c r="F8112" s="0" t="s">
        <v>15</v>
      </c>
      <c r="G8112" s="0" t="s">
        <v>36</v>
      </c>
      <c r="H8112" s="0" t="n">
        <v>40</v>
      </c>
      <c r="I8112" s="0" t="s">
        <v>27002</v>
      </c>
      <c r="J8112" s="0" t="s">
        <v>27003</v>
      </c>
      <c r="K8112" s="0" t="s">
        <v>27004</v>
      </c>
      <c r="L8112" s="0" t="str">
        <f aca="false">HYPERLINK("https://www.ncbi.nlm.nih.gov/nuccore/CP000058.1?report=graph&amp;tracks=[key:gene_model_track,Options:GeneOnly]&amp;mk=2557537:2557556|offset_19|444444,2557558:2557577|offset_40|00cc00,2557591:2557610|offset_73|444444,2557613:2557632|offset_95|444444&amp;v=2557336:2557832&amp;c=444444", "offset 40")</f>
        <v>offset 40</v>
      </c>
    </row>
    <row r="8113" customFormat="false" ht="12.8" hidden="false" customHeight="false" outlineLevel="0" collapsed="false">
      <c r="A8113" s="0" t="s">
        <v>12</v>
      </c>
      <c r="B8113" s="0" t="n">
        <v>2557590</v>
      </c>
      <c r="C8113" s="0" t="n">
        <v>2557610</v>
      </c>
      <c r="D8113" s="0" t="s">
        <v>26998</v>
      </c>
      <c r="E8113" s="0" t="s">
        <v>75</v>
      </c>
      <c r="F8113" s="0" t="s">
        <v>15</v>
      </c>
      <c r="G8113" s="0" t="s">
        <v>16</v>
      </c>
      <c r="H8113" s="0" t="n">
        <v>73</v>
      </c>
      <c r="I8113" s="0" t="s">
        <v>27005</v>
      </c>
      <c r="J8113" s="0" t="s">
        <v>27006</v>
      </c>
      <c r="K8113" s="0" t="s">
        <v>27007</v>
      </c>
      <c r="L8113" s="0" t="str">
        <f aca="false">HYPERLINK("https://www.ncbi.nlm.nih.gov/nuccore/CP000058.1?report=graph&amp;tracks=[key:gene_model_track,Options:GeneOnly]&amp;mk=2557537:2557556|offset_19|444444,2557558:2557577|offset_40|444444,2557591:2557610|offset_73|00cc00,2557613:2557632|offset_95|444444&amp;v=2557336:2557832&amp;c=444444", "offset 73")</f>
        <v>offset 73</v>
      </c>
    </row>
    <row r="8114" customFormat="false" ht="12.8" hidden="false" customHeight="false" outlineLevel="0" collapsed="false">
      <c r="A8114" s="0" t="s">
        <v>12</v>
      </c>
      <c r="B8114" s="0" t="n">
        <v>2557612</v>
      </c>
      <c r="C8114" s="0" t="n">
        <v>2557632</v>
      </c>
      <c r="D8114" s="0" t="s">
        <v>26998</v>
      </c>
      <c r="E8114" s="0" t="s">
        <v>75</v>
      </c>
      <c r="F8114" s="0" t="s">
        <v>15</v>
      </c>
      <c r="G8114" s="0" t="s">
        <v>20</v>
      </c>
      <c r="H8114" s="0" t="n">
        <v>95</v>
      </c>
      <c r="I8114" s="0" t="s">
        <v>27008</v>
      </c>
      <c r="J8114" s="0" t="s">
        <v>27009</v>
      </c>
      <c r="K8114" s="0" t="s">
        <v>27010</v>
      </c>
      <c r="L8114" s="0" t="str">
        <f aca="false">HYPERLINK("https://www.ncbi.nlm.nih.gov/nuccore/CP000058.1?report=graph&amp;tracks=[key:gene_model_track,Options:GeneOnly]&amp;mk=2557537:2557556|offset_19|444444,2557558:2557577|offset_40|444444,2557591:2557610|offset_73|444444,2557613:2557632|offset_95|00cc00&amp;v=2557336:2557832&amp;c=444444", "offset 95")</f>
        <v>offset 95</v>
      </c>
    </row>
    <row r="8115" customFormat="false" ht="12.8" hidden="false" customHeight="false" outlineLevel="0" collapsed="false">
      <c r="A8115" s="0" t="s">
        <v>12</v>
      </c>
      <c r="B8115" s="0" t="n">
        <v>2558944</v>
      </c>
      <c r="C8115" s="0" t="n">
        <v>2558964</v>
      </c>
      <c r="D8115" s="0" t="s">
        <v>27011</v>
      </c>
      <c r="E8115" s="0" t="s">
        <v>75</v>
      </c>
      <c r="F8115" s="0" t="s">
        <v>15</v>
      </c>
      <c r="G8115" s="0" t="s">
        <v>16</v>
      </c>
      <c r="H8115" s="0" t="n">
        <v>31</v>
      </c>
      <c r="I8115" s="0" t="s">
        <v>27012</v>
      </c>
      <c r="J8115" s="0" t="s">
        <v>27013</v>
      </c>
      <c r="K8115" s="0" t="s">
        <v>27014</v>
      </c>
      <c r="L8115" s="0" t="str">
        <f aca="false">HYPERLINK("https://www.ncbi.nlm.nih.gov/nuccore/CP000058.1?report=graph&amp;tracks=[key:gene_model_track,Options:GeneOnly]&amp;mk=2558945:2558964|offset_31|00cc00,2558970:2558989|offset_56|444444,2559017:2559036|offset_103|444444,2559083:2559102|offset_169|444444&amp;v=2558744:2559302&amp;c=444444", "offset 31")</f>
        <v>offset 31</v>
      </c>
    </row>
    <row r="8116" customFormat="false" ht="12.8" hidden="false" customHeight="false" outlineLevel="0" collapsed="false">
      <c r="A8116" s="0" t="s">
        <v>12</v>
      </c>
      <c r="B8116" s="0" t="n">
        <v>2558969</v>
      </c>
      <c r="C8116" s="0" t="n">
        <v>2558989</v>
      </c>
      <c r="D8116" s="0" t="s">
        <v>27011</v>
      </c>
      <c r="E8116" s="0" t="s">
        <v>75</v>
      </c>
      <c r="F8116" s="0" t="s">
        <v>15</v>
      </c>
      <c r="G8116" s="0" t="s">
        <v>16</v>
      </c>
      <c r="H8116" s="0" t="n">
        <v>56</v>
      </c>
      <c r="I8116" s="0" t="s">
        <v>27015</v>
      </c>
      <c r="J8116" s="0" t="s">
        <v>27016</v>
      </c>
      <c r="K8116" s="0" t="s">
        <v>27017</v>
      </c>
      <c r="L8116" s="0" t="str">
        <f aca="false">HYPERLINK("https://www.ncbi.nlm.nih.gov/nuccore/CP000058.1?report=graph&amp;tracks=[key:gene_model_track,Options:GeneOnly]&amp;mk=2558945:2558964|offset_31|444444,2558970:2558989|offset_56|00cc00,2559017:2559036|offset_103|444444,2559083:2559102|offset_169|444444&amp;v=2558744:2559302&amp;c=444444", "offset 56")</f>
        <v>offset 56</v>
      </c>
    </row>
    <row r="8117" customFormat="false" ht="12.8" hidden="false" customHeight="false" outlineLevel="0" collapsed="false">
      <c r="A8117" s="0" t="s">
        <v>12</v>
      </c>
      <c r="B8117" s="0" t="n">
        <v>2559016</v>
      </c>
      <c r="C8117" s="0" t="n">
        <v>2559036</v>
      </c>
      <c r="D8117" s="0" t="s">
        <v>27011</v>
      </c>
      <c r="E8117" s="0" t="s">
        <v>75</v>
      </c>
      <c r="F8117" s="0" t="s">
        <v>15</v>
      </c>
      <c r="G8117" s="0" t="s">
        <v>16</v>
      </c>
      <c r="H8117" s="0" t="n">
        <v>103</v>
      </c>
      <c r="I8117" s="0" t="s">
        <v>27018</v>
      </c>
      <c r="J8117" s="0" t="s">
        <v>27019</v>
      </c>
      <c r="K8117" s="0" t="s">
        <v>27020</v>
      </c>
      <c r="L8117" s="0" t="str">
        <f aca="false">HYPERLINK("https://www.ncbi.nlm.nih.gov/nuccore/CP000058.1?report=graph&amp;tracks=[key:gene_model_track,Options:GeneOnly]&amp;mk=2558945:2558964|offset_31|444444,2558970:2558989|offset_56|444444,2559017:2559036|offset_103|00cc00,2559083:2559102|offset_169|444444&amp;v=2558744:2559302&amp;c=444444", "offset 103")</f>
        <v>offset 103</v>
      </c>
    </row>
    <row r="8118" customFormat="false" ht="12.8" hidden="false" customHeight="false" outlineLevel="0" collapsed="false">
      <c r="A8118" s="0" t="s">
        <v>12</v>
      </c>
      <c r="B8118" s="0" t="n">
        <v>2559082</v>
      </c>
      <c r="C8118" s="0" t="n">
        <v>2559102</v>
      </c>
      <c r="D8118" s="0" t="s">
        <v>27011</v>
      </c>
      <c r="E8118" s="0" t="s">
        <v>75</v>
      </c>
      <c r="F8118" s="0" t="s">
        <v>15</v>
      </c>
      <c r="G8118" s="0" t="s">
        <v>16</v>
      </c>
      <c r="H8118" s="0" t="n">
        <v>169</v>
      </c>
      <c r="I8118" s="0" t="s">
        <v>27021</v>
      </c>
      <c r="J8118" s="0" t="s">
        <v>27022</v>
      </c>
      <c r="K8118" s="0" t="s">
        <v>27023</v>
      </c>
      <c r="L8118" s="0" t="str">
        <f aca="false">HYPERLINK("https://www.ncbi.nlm.nih.gov/nuccore/CP000058.1?report=graph&amp;tracks=[key:gene_model_track,Options:GeneOnly]&amp;mk=2558945:2558964|offset_31|444444,2558970:2558989|offset_56|444444,2559017:2559036|offset_103|444444,2559083:2559102|offset_169|00cc00&amp;v=2558744:2559302&amp;c=444444", "offset 169")</f>
        <v>offset 169</v>
      </c>
    </row>
    <row r="8119" customFormat="false" ht="12.8" hidden="false" customHeight="false" outlineLevel="0" collapsed="false">
      <c r="A8119" s="0" t="s">
        <v>12</v>
      </c>
      <c r="B8119" s="0" t="n">
        <v>2562111</v>
      </c>
      <c r="C8119" s="0" t="n">
        <v>2562131</v>
      </c>
      <c r="D8119" s="0" t="s">
        <v>27024</v>
      </c>
      <c r="E8119" s="0" t="s">
        <v>75</v>
      </c>
      <c r="F8119" s="0" t="s">
        <v>90</v>
      </c>
      <c r="G8119" s="0" t="s">
        <v>32</v>
      </c>
      <c r="H8119" s="0" t="n">
        <v>8</v>
      </c>
      <c r="I8119" s="0" t="s">
        <v>27025</v>
      </c>
      <c r="J8119" s="0" t="s">
        <v>27026</v>
      </c>
      <c r="K8119" s="0" t="s">
        <v>27027</v>
      </c>
      <c r="L8119" s="0" t="str">
        <f aca="false">HYPERLINK("https://www.ncbi.nlm.nih.gov/nuccore/CP000058.1?report=graph&amp;tracks=[key:gene_model_track,Options:GeneOnly]&amp;mk=2562112:2562131|offset_8|00cc00,2562073:2562092|offset_47|444444,2562032:2562051|offset_88|444444,2561990:2562009|offset_130|444444&amp;v=2561911:2562209&amp;c=444444", "offset 8")</f>
        <v>offset 8</v>
      </c>
    </row>
    <row r="8120" customFormat="false" ht="12.8" hidden="false" customHeight="false" outlineLevel="0" collapsed="false">
      <c r="A8120" s="0" t="s">
        <v>12</v>
      </c>
      <c r="B8120" s="0" t="n">
        <v>2562072</v>
      </c>
      <c r="C8120" s="0" t="n">
        <v>2562092</v>
      </c>
      <c r="D8120" s="0" t="s">
        <v>27024</v>
      </c>
      <c r="E8120" s="0" t="s">
        <v>75</v>
      </c>
      <c r="F8120" s="0" t="s">
        <v>90</v>
      </c>
      <c r="G8120" s="0" t="s">
        <v>32</v>
      </c>
      <c r="H8120" s="0" t="n">
        <v>47</v>
      </c>
      <c r="I8120" s="0" t="s">
        <v>27028</v>
      </c>
      <c r="J8120" s="0" t="s">
        <v>27029</v>
      </c>
      <c r="K8120" s="0" t="s">
        <v>27030</v>
      </c>
      <c r="L8120" s="0" t="str">
        <f aca="false">HYPERLINK("https://www.ncbi.nlm.nih.gov/nuccore/CP000058.1?report=graph&amp;tracks=[key:gene_model_track,Options:GeneOnly]&amp;mk=2562112:2562131|offset_8|444444,2562073:2562092|offset_47|00cc00,2562032:2562051|offset_88|444444,2561990:2562009|offset_130|444444&amp;v=2561911:2562209&amp;c=444444", "offset 47")</f>
        <v>offset 47</v>
      </c>
    </row>
    <row r="8121" customFormat="false" ht="12.8" hidden="false" customHeight="false" outlineLevel="0" collapsed="false">
      <c r="A8121" s="0" t="s">
        <v>12</v>
      </c>
      <c r="B8121" s="0" t="n">
        <v>2562031</v>
      </c>
      <c r="C8121" s="0" t="n">
        <v>2562051</v>
      </c>
      <c r="D8121" s="0" t="s">
        <v>27024</v>
      </c>
      <c r="E8121" s="0" t="s">
        <v>75</v>
      </c>
      <c r="F8121" s="0" t="s">
        <v>90</v>
      </c>
      <c r="G8121" s="0" t="s">
        <v>16</v>
      </c>
      <c r="H8121" s="0" t="n">
        <v>88</v>
      </c>
      <c r="I8121" s="0" t="s">
        <v>27031</v>
      </c>
      <c r="J8121" s="0" t="s">
        <v>27032</v>
      </c>
      <c r="K8121" s="0" t="s">
        <v>27033</v>
      </c>
      <c r="L8121" s="0" t="str">
        <f aca="false">HYPERLINK("https://www.ncbi.nlm.nih.gov/nuccore/CP000058.1?report=graph&amp;tracks=[key:gene_model_track,Options:GeneOnly]&amp;mk=2562112:2562131|offset_8|444444,2562073:2562092|offset_47|444444,2562032:2562051|offset_88|00cc00,2561990:2562009|offset_130|444444&amp;v=2561911:2562209&amp;c=444444", "offset 88")</f>
        <v>offset 88</v>
      </c>
    </row>
    <row r="8122" customFormat="false" ht="12.8" hidden="false" customHeight="false" outlineLevel="0" collapsed="false">
      <c r="A8122" s="0" t="s">
        <v>12</v>
      </c>
      <c r="B8122" s="0" t="n">
        <v>2561989</v>
      </c>
      <c r="C8122" s="0" t="n">
        <v>2562009</v>
      </c>
      <c r="D8122" s="0" t="s">
        <v>27024</v>
      </c>
      <c r="E8122" s="0" t="s">
        <v>75</v>
      </c>
      <c r="F8122" s="0" t="s">
        <v>90</v>
      </c>
      <c r="G8122" s="0" t="s">
        <v>32</v>
      </c>
      <c r="H8122" s="0" t="n">
        <v>130</v>
      </c>
      <c r="I8122" s="0" t="s">
        <v>27034</v>
      </c>
      <c r="J8122" s="0" t="s">
        <v>27035</v>
      </c>
      <c r="K8122" s="0" t="s">
        <v>27036</v>
      </c>
      <c r="L8122" s="0" t="str">
        <f aca="false">HYPERLINK("https://www.ncbi.nlm.nih.gov/nuccore/CP000058.1?report=graph&amp;tracks=[key:gene_model_track,Options:GeneOnly]&amp;mk=2562112:2562131|offset_8|444444,2562073:2562092|offset_47|444444,2562032:2562051|offset_88|444444,2561990:2562009|offset_130|00cc00&amp;v=2561911:2562209&amp;c=444444", "offset 130")</f>
        <v>offset 130</v>
      </c>
    </row>
    <row r="8123" customFormat="false" ht="12.8" hidden="false" customHeight="false" outlineLevel="0" collapsed="false">
      <c r="A8123" s="0" t="s">
        <v>12</v>
      </c>
      <c r="B8123" s="0" t="n">
        <v>2562617</v>
      </c>
      <c r="C8123" s="0" t="n">
        <v>2562637</v>
      </c>
      <c r="D8123" s="0" t="s">
        <v>27037</v>
      </c>
      <c r="E8123" s="0" t="s">
        <v>75</v>
      </c>
      <c r="F8123" s="0" t="s">
        <v>90</v>
      </c>
      <c r="G8123" s="0" t="s">
        <v>32</v>
      </c>
      <c r="H8123" s="0" t="n">
        <v>20</v>
      </c>
      <c r="I8123" s="0" t="s">
        <v>27038</v>
      </c>
      <c r="J8123" s="0" t="s">
        <v>27039</v>
      </c>
      <c r="K8123" s="0" t="s">
        <v>27040</v>
      </c>
      <c r="L8123" s="0" t="str">
        <f aca="false">HYPERLINK("https://www.ncbi.nlm.nih.gov/nuccore/CP000058.1?report=graph&amp;tracks=[key:gene_model_track,Options:GeneOnly]&amp;mk=2562618:2562637|offset_20|00cc00,2562594:2562613|offset_44|444444,2562572:2562591|offset_66|444444,2562541:2562560|offset_97|444444&amp;v=2562417:2562760&amp;c=444444", "offset 20")</f>
        <v>offset 20</v>
      </c>
    </row>
    <row r="8124" customFormat="false" ht="12.8" hidden="false" customHeight="false" outlineLevel="0" collapsed="false">
      <c r="A8124" s="0" t="s">
        <v>12</v>
      </c>
      <c r="B8124" s="0" t="n">
        <v>2562593</v>
      </c>
      <c r="C8124" s="0" t="n">
        <v>2562613</v>
      </c>
      <c r="D8124" s="0" t="s">
        <v>27037</v>
      </c>
      <c r="E8124" s="0" t="s">
        <v>75</v>
      </c>
      <c r="F8124" s="0" t="s">
        <v>90</v>
      </c>
      <c r="G8124" s="0" t="s">
        <v>16</v>
      </c>
      <c r="H8124" s="0" t="n">
        <v>44</v>
      </c>
      <c r="I8124" s="0" t="s">
        <v>27041</v>
      </c>
      <c r="J8124" s="0" t="s">
        <v>27042</v>
      </c>
      <c r="K8124" s="0" t="s">
        <v>27043</v>
      </c>
      <c r="L8124" s="0" t="str">
        <f aca="false">HYPERLINK("https://www.ncbi.nlm.nih.gov/nuccore/CP000058.1?report=graph&amp;tracks=[key:gene_model_track,Options:GeneOnly]&amp;mk=2562618:2562637|offset_20|444444,2562594:2562613|offset_44|00cc00,2562572:2562591|offset_66|444444,2562541:2562560|offset_97|444444&amp;v=2562417:2562760&amp;c=444444", "offset 44")</f>
        <v>offset 44</v>
      </c>
    </row>
    <row r="8125" customFormat="false" ht="12.8" hidden="false" customHeight="false" outlineLevel="0" collapsed="false">
      <c r="A8125" s="0" t="s">
        <v>12</v>
      </c>
      <c r="B8125" s="0" t="n">
        <v>2562571</v>
      </c>
      <c r="C8125" s="0" t="n">
        <v>2562591</v>
      </c>
      <c r="D8125" s="0" t="s">
        <v>27037</v>
      </c>
      <c r="E8125" s="0" t="s">
        <v>75</v>
      </c>
      <c r="F8125" s="0" t="s">
        <v>90</v>
      </c>
      <c r="G8125" s="0" t="s">
        <v>32</v>
      </c>
      <c r="H8125" s="0" t="n">
        <v>66</v>
      </c>
      <c r="I8125" s="0" t="s">
        <v>27044</v>
      </c>
      <c r="J8125" s="0" t="s">
        <v>27045</v>
      </c>
      <c r="K8125" s="0" t="s">
        <v>27046</v>
      </c>
      <c r="L8125" s="0" t="str">
        <f aca="false">HYPERLINK("https://www.ncbi.nlm.nih.gov/nuccore/CP000058.1?report=graph&amp;tracks=[key:gene_model_track,Options:GeneOnly]&amp;mk=2562618:2562637|offset_20|444444,2562594:2562613|offset_44|444444,2562572:2562591|offset_66|00cc00,2562541:2562560|offset_97|444444&amp;v=2562417:2562760&amp;c=444444", "offset 66")</f>
        <v>offset 66</v>
      </c>
    </row>
    <row r="8126" customFormat="false" ht="12.8" hidden="false" customHeight="false" outlineLevel="0" collapsed="false">
      <c r="A8126" s="0" t="s">
        <v>12</v>
      </c>
      <c r="B8126" s="0" t="n">
        <v>2562540</v>
      </c>
      <c r="C8126" s="0" t="n">
        <v>2562560</v>
      </c>
      <c r="D8126" s="0" t="s">
        <v>27037</v>
      </c>
      <c r="E8126" s="0" t="s">
        <v>75</v>
      </c>
      <c r="F8126" s="0" t="s">
        <v>90</v>
      </c>
      <c r="G8126" s="0" t="s">
        <v>32</v>
      </c>
      <c r="H8126" s="0" t="n">
        <v>97</v>
      </c>
      <c r="I8126" s="0" t="s">
        <v>27047</v>
      </c>
      <c r="J8126" s="0" t="s">
        <v>27048</v>
      </c>
      <c r="K8126" s="0" t="s">
        <v>27049</v>
      </c>
      <c r="L8126" s="0" t="str">
        <f aca="false">HYPERLINK("https://www.ncbi.nlm.nih.gov/nuccore/CP000058.1?report=graph&amp;tracks=[key:gene_model_track,Options:GeneOnly]&amp;mk=2562618:2562637|offset_20|444444,2562594:2562613|offset_44|444444,2562572:2562591|offset_66|444444,2562541:2562560|offset_97|00cc00&amp;v=2562417:2562760&amp;c=444444", "offset 97")</f>
        <v>offset 97</v>
      </c>
    </row>
    <row r="8127" customFormat="false" ht="12.8" hidden="false" customHeight="false" outlineLevel="0" collapsed="false">
      <c r="A8127" s="0" t="s">
        <v>12</v>
      </c>
      <c r="B8127" s="0" t="n">
        <v>2564327</v>
      </c>
      <c r="C8127" s="0" t="n">
        <v>2564347</v>
      </c>
      <c r="D8127" s="0" t="s">
        <v>27050</v>
      </c>
      <c r="E8127" s="0" t="s">
        <v>75</v>
      </c>
      <c r="F8127" s="0" t="s">
        <v>90</v>
      </c>
      <c r="G8127" s="0" t="s">
        <v>32</v>
      </c>
      <c r="H8127" s="0" t="n">
        <v>0</v>
      </c>
      <c r="I8127" s="0" t="s">
        <v>27051</v>
      </c>
      <c r="J8127" s="0" t="s">
        <v>27052</v>
      </c>
      <c r="K8127" s="0" t="s">
        <v>27053</v>
      </c>
      <c r="L8127" s="0" t="str">
        <f aca="false">HYPERLINK("https://www.ncbi.nlm.nih.gov/nuccore/CP000058.1?report=graph&amp;tracks=[key:gene_model_track,Options:GeneOnly]&amp;mk=2564328:2564347|offset_0|00cc00,2564293:2564312|offset_35|444444,2564257:2564276|offset_71|444444,2564219:2564238|offset_109|444444&amp;v=2564127:2564438&amp;c=444444", "offset 0")</f>
        <v>offset 0</v>
      </c>
    </row>
    <row r="8128" customFormat="false" ht="12.8" hidden="false" customHeight="false" outlineLevel="0" collapsed="false">
      <c r="A8128" s="0" t="s">
        <v>12</v>
      </c>
      <c r="B8128" s="0" t="n">
        <v>2564292</v>
      </c>
      <c r="C8128" s="0" t="n">
        <v>2564312</v>
      </c>
      <c r="D8128" s="0" t="s">
        <v>27050</v>
      </c>
      <c r="E8128" s="0" t="s">
        <v>75</v>
      </c>
      <c r="F8128" s="0" t="s">
        <v>90</v>
      </c>
      <c r="G8128" s="0" t="s">
        <v>36</v>
      </c>
      <c r="H8128" s="0" t="n">
        <v>35</v>
      </c>
      <c r="I8128" s="0" t="s">
        <v>27054</v>
      </c>
      <c r="J8128" s="0" t="s">
        <v>27055</v>
      </c>
      <c r="K8128" s="0" t="s">
        <v>27056</v>
      </c>
      <c r="L8128" s="0" t="str">
        <f aca="false">HYPERLINK("https://www.ncbi.nlm.nih.gov/nuccore/CP000058.1?report=graph&amp;tracks=[key:gene_model_track,Options:GeneOnly]&amp;mk=2564328:2564347|offset_0|444444,2564293:2564312|offset_35|00cc00,2564257:2564276|offset_71|444444,2564219:2564238|offset_109|444444&amp;v=2564127:2564438&amp;c=444444", "offset 35")</f>
        <v>offset 35</v>
      </c>
    </row>
    <row r="8129" customFormat="false" ht="12.8" hidden="false" customHeight="false" outlineLevel="0" collapsed="false">
      <c r="A8129" s="0" t="s">
        <v>12</v>
      </c>
      <c r="B8129" s="0" t="n">
        <v>2564256</v>
      </c>
      <c r="C8129" s="0" t="n">
        <v>2564276</v>
      </c>
      <c r="D8129" s="0" t="s">
        <v>27050</v>
      </c>
      <c r="E8129" s="0" t="s">
        <v>75</v>
      </c>
      <c r="F8129" s="0" t="s">
        <v>90</v>
      </c>
      <c r="G8129" s="0" t="s">
        <v>20</v>
      </c>
      <c r="H8129" s="0" t="n">
        <v>71</v>
      </c>
      <c r="I8129" s="0" t="s">
        <v>27057</v>
      </c>
      <c r="J8129" s="0" t="s">
        <v>27058</v>
      </c>
      <c r="K8129" s="0" t="s">
        <v>27059</v>
      </c>
      <c r="L8129" s="0" t="str">
        <f aca="false">HYPERLINK("https://www.ncbi.nlm.nih.gov/nuccore/CP000058.1?report=graph&amp;tracks=[key:gene_model_track,Options:GeneOnly]&amp;mk=2564328:2564347|offset_0|444444,2564293:2564312|offset_35|444444,2564257:2564276|offset_71|00cc00,2564219:2564238|offset_109|444444&amp;v=2564127:2564438&amp;c=444444", "offset 71")</f>
        <v>offset 71</v>
      </c>
    </row>
    <row r="8130" customFormat="false" ht="12.8" hidden="false" customHeight="false" outlineLevel="0" collapsed="false">
      <c r="A8130" s="0" t="s">
        <v>12</v>
      </c>
      <c r="B8130" s="0" t="n">
        <v>2564218</v>
      </c>
      <c r="C8130" s="0" t="n">
        <v>2564238</v>
      </c>
      <c r="D8130" s="0" t="s">
        <v>27050</v>
      </c>
      <c r="E8130" s="0" t="s">
        <v>75</v>
      </c>
      <c r="F8130" s="0" t="s">
        <v>90</v>
      </c>
      <c r="G8130" s="0" t="s">
        <v>32</v>
      </c>
      <c r="H8130" s="0" t="n">
        <v>109</v>
      </c>
      <c r="I8130" s="0" t="s">
        <v>27060</v>
      </c>
      <c r="J8130" s="0" t="s">
        <v>27061</v>
      </c>
      <c r="K8130" s="0" t="s">
        <v>27062</v>
      </c>
      <c r="L8130" s="0" t="str">
        <f aca="false">HYPERLINK("https://www.ncbi.nlm.nih.gov/nuccore/CP000058.1?report=graph&amp;tracks=[key:gene_model_track,Options:GeneOnly]&amp;mk=2564328:2564347|offset_0|444444,2564293:2564312|offset_35|444444,2564257:2564276|offset_71|444444,2564219:2564238|offset_109|00cc00&amp;v=2564127:2564438&amp;c=444444", "offset 109")</f>
        <v>offset 109</v>
      </c>
    </row>
    <row r="8131" customFormat="false" ht="12.8" hidden="false" customHeight="false" outlineLevel="0" collapsed="false">
      <c r="A8131" s="0" t="s">
        <v>12</v>
      </c>
      <c r="B8131" s="0" t="n">
        <v>2564922</v>
      </c>
      <c r="C8131" s="0" t="n">
        <v>2564942</v>
      </c>
      <c r="D8131" s="0" t="s">
        <v>27063</v>
      </c>
      <c r="E8131" s="0" t="s">
        <v>75</v>
      </c>
      <c r="F8131" s="0" t="s">
        <v>90</v>
      </c>
      <c r="G8131" s="0" t="s">
        <v>36</v>
      </c>
      <c r="H8131" s="0" t="n">
        <v>14</v>
      </c>
      <c r="I8131" s="0" t="s">
        <v>27064</v>
      </c>
      <c r="J8131" s="0" t="s">
        <v>27065</v>
      </c>
      <c r="K8131" s="0" t="s">
        <v>27066</v>
      </c>
      <c r="L8131" s="0" t="str">
        <f aca="false">HYPERLINK("https://www.ncbi.nlm.nih.gov/nuccore/CP000058.1?report=graph&amp;tracks=[key:gene_model_track,Options:GeneOnly]&amp;mk=2564923:2564942|offset_14|00cc00,2564899:2564918|offset_38|444444,2564863:2564882|offset_74|444444,2564820:2564839|offset_117|444444&amp;v=2564722:2565039&amp;c=444444", "offset 14")</f>
        <v>offset 14</v>
      </c>
    </row>
    <row r="8132" customFormat="false" ht="12.8" hidden="false" customHeight="false" outlineLevel="0" collapsed="false">
      <c r="A8132" s="0" t="s">
        <v>12</v>
      </c>
      <c r="B8132" s="0" t="n">
        <v>2564898</v>
      </c>
      <c r="C8132" s="0" t="n">
        <v>2564918</v>
      </c>
      <c r="D8132" s="0" t="s">
        <v>27063</v>
      </c>
      <c r="E8132" s="0" t="s">
        <v>75</v>
      </c>
      <c r="F8132" s="0" t="s">
        <v>90</v>
      </c>
      <c r="G8132" s="0" t="s">
        <v>20</v>
      </c>
      <c r="H8132" s="0" t="n">
        <v>38</v>
      </c>
      <c r="I8132" s="0" t="s">
        <v>27067</v>
      </c>
      <c r="J8132" s="0" t="s">
        <v>27068</v>
      </c>
      <c r="K8132" s="0" t="s">
        <v>27069</v>
      </c>
      <c r="L8132" s="0" t="str">
        <f aca="false">HYPERLINK("https://www.ncbi.nlm.nih.gov/nuccore/CP000058.1?report=graph&amp;tracks=[key:gene_model_track,Options:GeneOnly]&amp;mk=2564923:2564942|offset_14|444444,2564899:2564918|offset_38|00cc00,2564863:2564882|offset_74|444444,2564820:2564839|offset_117|444444&amp;v=2564722:2565039&amp;c=444444", "offset 38")</f>
        <v>offset 38</v>
      </c>
    </row>
    <row r="8133" customFormat="false" ht="12.8" hidden="false" customHeight="false" outlineLevel="0" collapsed="false">
      <c r="A8133" s="0" t="s">
        <v>12</v>
      </c>
      <c r="B8133" s="0" t="n">
        <v>2564862</v>
      </c>
      <c r="C8133" s="0" t="n">
        <v>2564882</v>
      </c>
      <c r="D8133" s="0" t="s">
        <v>27063</v>
      </c>
      <c r="E8133" s="0" t="s">
        <v>75</v>
      </c>
      <c r="F8133" s="0" t="s">
        <v>90</v>
      </c>
      <c r="G8133" s="0" t="s">
        <v>36</v>
      </c>
      <c r="H8133" s="0" t="n">
        <v>74</v>
      </c>
      <c r="I8133" s="0" t="s">
        <v>27070</v>
      </c>
      <c r="J8133" s="0" t="s">
        <v>27071</v>
      </c>
      <c r="K8133" s="0" t="s">
        <v>27072</v>
      </c>
      <c r="L8133" s="0" t="str">
        <f aca="false">HYPERLINK("https://www.ncbi.nlm.nih.gov/nuccore/CP000058.1?report=graph&amp;tracks=[key:gene_model_track,Options:GeneOnly]&amp;mk=2564923:2564942|offset_14|444444,2564899:2564918|offset_38|444444,2564863:2564882|offset_74|00cc00,2564820:2564839|offset_117|444444&amp;v=2564722:2565039&amp;c=444444", "offset 74")</f>
        <v>offset 74</v>
      </c>
    </row>
    <row r="8134" customFormat="false" ht="12.8" hidden="false" customHeight="false" outlineLevel="0" collapsed="false">
      <c r="A8134" s="0" t="s">
        <v>12</v>
      </c>
      <c r="B8134" s="0" t="n">
        <v>2564819</v>
      </c>
      <c r="C8134" s="0" t="n">
        <v>2564839</v>
      </c>
      <c r="D8134" s="0" t="s">
        <v>27063</v>
      </c>
      <c r="E8134" s="0" t="s">
        <v>75</v>
      </c>
      <c r="F8134" s="0" t="s">
        <v>90</v>
      </c>
      <c r="G8134" s="0" t="s">
        <v>36</v>
      </c>
      <c r="H8134" s="0" t="n">
        <v>117</v>
      </c>
      <c r="I8134" s="0" t="s">
        <v>27073</v>
      </c>
      <c r="J8134" s="0" t="s">
        <v>27074</v>
      </c>
      <c r="K8134" s="0" t="s">
        <v>27075</v>
      </c>
      <c r="L8134" s="0" t="str">
        <f aca="false">HYPERLINK("https://www.ncbi.nlm.nih.gov/nuccore/CP000058.1?report=graph&amp;tracks=[key:gene_model_track,Options:GeneOnly]&amp;mk=2564923:2564942|offset_14|444444,2564899:2564918|offset_38|444444,2564863:2564882|offset_74|444444,2564820:2564839|offset_117|00cc00&amp;v=2564722:2565039&amp;c=444444", "offset 117")</f>
        <v>offset 117</v>
      </c>
    </row>
    <row r="8135" customFormat="false" ht="12.8" hidden="false" customHeight="false" outlineLevel="0" collapsed="false">
      <c r="A8135" s="0" t="s">
        <v>12</v>
      </c>
      <c r="B8135" s="0" t="n">
        <v>2565137</v>
      </c>
      <c r="C8135" s="0" t="n">
        <v>2565157</v>
      </c>
      <c r="D8135" s="0" t="s">
        <v>27076</v>
      </c>
      <c r="E8135" s="0" t="s">
        <v>27077</v>
      </c>
      <c r="F8135" s="0" t="s">
        <v>15</v>
      </c>
      <c r="G8135" s="0" t="s">
        <v>32</v>
      </c>
      <c r="H8135" s="0" t="n">
        <v>7</v>
      </c>
      <c r="I8135" s="0" t="s">
        <v>27078</v>
      </c>
      <c r="J8135" s="0" t="s">
        <v>27079</v>
      </c>
      <c r="K8135" s="0" t="s">
        <v>27080</v>
      </c>
      <c r="L8135" s="0" t="str">
        <f aca="false">HYPERLINK("https://www.ncbi.nlm.nih.gov/nuccore/CP000058.1?report=graph&amp;tracks=[key:gene_model_track,Options:GeneOnly]&amp;mk=2565138:2565157|offset_7|00cc00,2565166:2565185|offset_35|444444,2565197:2565216|offset_66|444444,2565229:2565248|offset_98|444444&amp;v=2564937:2565448&amp;c=444444", "offset 7")</f>
        <v>offset 7</v>
      </c>
    </row>
    <row r="8136" customFormat="false" ht="12.8" hidden="false" customHeight="false" outlineLevel="0" collapsed="false">
      <c r="A8136" s="0" t="s">
        <v>12</v>
      </c>
      <c r="B8136" s="0" t="n">
        <v>2565165</v>
      </c>
      <c r="C8136" s="0" t="n">
        <v>2565185</v>
      </c>
      <c r="D8136" s="0" t="s">
        <v>27076</v>
      </c>
      <c r="E8136" s="0" t="s">
        <v>27077</v>
      </c>
      <c r="F8136" s="0" t="s">
        <v>15</v>
      </c>
      <c r="G8136" s="0" t="s">
        <v>36</v>
      </c>
      <c r="H8136" s="0" t="n">
        <v>35</v>
      </c>
      <c r="I8136" s="0" t="s">
        <v>27081</v>
      </c>
      <c r="J8136" s="0" t="s">
        <v>27082</v>
      </c>
      <c r="K8136" s="0" t="s">
        <v>27083</v>
      </c>
      <c r="L8136" s="0" t="str">
        <f aca="false">HYPERLINK("https://www.ncbi.nlm.nih.gov/nuccore/CP000058.1?report=graph&amp;tracks=[key:gene_model_track,Options:GeneOnly]&amp;mk=2565138:2565157|offset_7|444444,2565166:2565185|offset_35|00cc00,2565197:2565216|offset_66|444444,2565229:2565248|offset_98|444444&amp;v=2564937:2565448&amp;c=444444", "offset 35")</f>
        <v>offset 35</v>
      </c>
    </row>
    <row r="8137" customFormat="false" ht="12.8" hidden="false" customHeight="false" outlineLevel="0" collapsed="false">
      <c r="A8137" s="0" t="s">
        <v>12</v>
      </c>
      <c r="B8137" s="0" t="n">
        <v>2565196</v>
      </c>
      <c r="C8137" s="0" t="n">
        <v>2565216</v>
      </c>
      <c r="D8137" s="0" t="s">
        <v>27076</v>
      </c>
      <c r="E8137" s="0" t="s">
        <v>27077</v>
      </c>
      <c r="F8137" s="0" t="s">
        <v>15</v>
      </c>
      <c r="G8137" s="0" t="s">
        <v>20</v>
      </c>
      <c r="H8137" s="0" t="n">
        <v>66</v>
      </c>
      <c r="I8137" s="0" t="s">
        <v>27084</v>
      </c>
      <c r="J8137" s="0" t="s">
        <v>27085</v>
      </c>
      <c r="K8137" s="0" t="s">
        <v>27086</v>
      </c>
      <c r="L8137" s="0" t="str">
        <f aca="false">HYPERLINK("https://www.ncbi.nlm.nih.gov/nuccore/CP000058.1?report=graph&amp;tracks=[key:gene_model_track,Options:GeneOnly]&amp;mk=2565138:2565157|offset_7|444444,2565166:2565185|offset_35|444444,2565197:2565216|offset_66|00cc00,2565229:2565248|offset_98|444444&amp;v=2564937:2565448&amp;c=444444", "offset 66")</f>
        <v>offset 66</v>
      </c>
    </row>
    <row r="8138" customFormat="false" ht="12.8" hidden="false" customHeight="false" outlineLevel="0" collapsed="false">
      <c r="A8138" s="0" t="s">
        <v>12</v>
      </c>
      <c r="B8138" s="0" t="n">
        <v>2565228</v>
      </c>
      <c r="C8138" s="0" t="n">
        <v>2565248</v>
      </c>
      <c r="D8138" s="0" t="s">
        <v>27076</v>
      </c>
      <c r="E8138" s="0" t="s">
        <v>27077</v>
      </c>
      <c r="F8138" s="0" t="s">
        <v>15</v>
      </c>
      <c r="G8138" s="0" t="s">
        <v>20</v>
      </c>
      <c r="H8138" s="0" t="n">
        <v>98</v>
      </c>
      <c r="I8138" s="0" t="s">
        <v>27087</v>
      </c>
      <c r="J8138" s="0" t="s">
        <v>27088</v>
      </c>
      <c r="K8138" s="0" t="s">
        <v>27089</v>
      </c>
      <c r="L8138" s="0" t="str">
        <f aca="false">HYPERLINK("https://www.ncbi.nlm.nih.gov/nuccore/CP000058.1?report=graph&amp;tracks=[key:gene_model_track,Options:GeneOnly]&amp;mk=2565138:2565157|offset_7|444444,2565166:2565185|offset_35|444444,2565197:2565216|offset_66|444444,2565229:2565248|offset_98|00cc00&amp;v=2564937:2565448&amp;c=444444", "offset 98")</f>
        <v>offset 98</v>
      </c>
    </row>
    <row r="8139" customFormat="false" ht="12.8" hidden="false" customHeight="false" outlineLevel="0" collapsed="false">
      <c r="A8139" s="0" t="s">
        <v>12</v>
      </c>
      <c r="B8139" s="0" t="n">
        <v>2566493</v>
      </c>
      <c r="C8139" s="0" t="n">
        <v>2566513</v>
      </c>
      <c r="D8139" s="0" t="s">
        <v>27090</v>
      </c>
      <c r="E8139" s="0" t="s">
        <v>75</v>
      </c>
      <c r="F8139" s="0" t="s">
        <v>15</v>
      </c>
      <c r="G8139" s="0" t="s">
        <v>16</v>
      </c>
      <c r="H8139" s="0" t="n">
        <v>62</v>
      </c>
      <c r="I8139" s="0" t="s">
        <v>27091</v>
      </c>
      <c r="J8139" s="0" t="s">
        <v>27092</v>
      </c>
      <c r="K8139" s="0" t="s">
        <v>27093</v>
      </c>
      <c r="L8139" s="0" t="str">
        <f aca="false">HYPERLINK("https://www.ncbi.nlm.nih.gov/nuccore/CP000058.1?report=graph&amp;tracks=[key:gene_model_track,Options:GeneOnly]&amp;mk=2566494:2566513|offset_62|00cc00,2566545:2566564|offset_113|444444,2566577:2566596|offset_145|444444,2566598:2566617|offset_166|444444&amp;v=2566293:2566817&amp;c=444444", "offset 62")</f>
        <v>offset 62</v>
      </c>
    </row>
    <row r="8140" customFormat="false" ht="12.8" hidden="false" customHeight="false" outlineLevel="0" collapsed="false">
      <c r="A8140" s="0" t="s">
        <v>12</v>
      </c>
      <c r="B8140" s="0" t="n">
        <v>2566544</v>
      </c>
      <c r="C8140" s="0" t="n">
        <v>2566564</v>
      </c>
      <c r="D8140" s="0" t="s">
        <v>27090</v>
      </c>
      <c r="E8140" s="0" t="s">
        <v>75</v>
      </c>
      <c r="F8140" s="0" t="s">
        <v>15</v>
      </c>
      <c r="G8140" s="0" t="s">
        <v>32</v>
      </c>
      <c r="H8140" s="0" t="n">
        <v>113</v>
      </c>
      <c r="I8140" s="0" t="s">
        <v>27094</v>
      </c>
      <c r="J8140" s="0" t="s">
        <v>27095</v>
      </c>
      <c r="K8140" s="0" t="s">
        <v>27096</v>
      </c>
      <c r="L8140" s="0" t="str">
        <f aca="false">HYPERLINK("https://www.ncbi.nlm.nih.gov/nuccore/CP000058.1?report=graph&amp;tracks=[key:gene_model_track,Options:GeneOnly]&amp;mk=2566494:2566513|offset_62|444444,2566545:2566564|offset_113|00cc00,2566577:2566596|offset_145|444444,2566598:2566617|offset_166|444444&amp;v=2566293:2566817&amp;c=444444", "offset 113")</f>
        <v>offset 113</v>
      </c>
    </row>
    <row r="8141" customFormat="false" ht="12.8" hidden="false" customHeight="false" outlineLevel="0" collapsed="false">
      <c r="A8141" s="0" t="s">
        <v>12</v>
      </c>
      <c r="B8141" s="0" t="n">
        <v>2566576</v>
      </c>
      <c r="C8141" s="0" t="n">
        <v>2566596</v>
      </c>
      <c r="D8141" s="0" t="s">
        <v>27090</v>
      </c>
      <c r="E8141" s="0" t="s">
        <v>75</v>
      </c>
      <c r="F8141" s="0" t="s">
        <v>15</v>
      </c>
      <c r="G8141" s="0" t="s">
        <v>32</v>
      </c>
      <c r="H8141" s="0" t="n">
        <v>145</v>
      </c>
      <c r="I8141" s="0" t="s">
        <v>27097</v>
      </c>
      <c r="J8141" s="0" t="s">
        <v>27098</v>
      </c>
      <c r="K8141" s="0" t="s">
        <v>27099</v>
      </c>
      <c r="L8141" s="0" t="str">
        <f aca="false">HYPERLINK("https://www.ncbi.nlm.nih.gov/nuccore/CP000058.1?report=graph&amp;tracks=[key:gene_model_track,Options:GeneOnly]&amp;mk=2566494:2566513|offset_62|444444,2566545:2566564|offset_113|444444,2566577:2566596|offset_145|00cc00,2566598:2566617|offset_166|444444&amp;v=2566293:2566817&amp;c=444444", "offset 145")</f>
        <v>offset 145</v>
      </c>
    </row>
    <row r="8142" customFormat="false" ht="12.8" hidden="false" customHeight="false" outlineLevel="0" collapsed="false">
      <c r="A8142" s="0" t="s">
        <v>12</v>
      </c>
      <c r="B8142" s="0" t="n">
        <v>2566597</v>
      </c>
      <c r="C8142" s="0" t="n">
        <v>2566617</v>
      </c>
      <c r="D8142" s="0" t="s">
        <v>27090</v>
      </c>
      <c r="E8142" s="0" t="s">
        <v>75</v>
      </c>
      <c r="F8142" s="0" t="s">
        <v>15</v>
      </c>
      <c r="G8142" s="0" t="s">
        <v>16</v>
      </c>
      <c r="H8142" s="0" t="n">
        <v>166</v>
      </c>
      <c r="I8142" s="0" t="s">
        <v>27100</v>
      </c>
      <c r="J8142" s="0" t="s">
        <v>27101</v>
      </c>
      <c r="K8142" s="0" t="s">
        <v>27102</v>
      </c>
      <c r="L8142" s="0" t="str">
        <f aca="false">HYPERLINK("https://www.ncbi.nlm.nih.gov/nuccore/CP000058.1?report=graph&amp;tracks=[key:gene_model_track,Options:GeneOnly]&amp;mk=2566494:2566513|offset_62|444444,2566545:2566564|offset_113|444444,2566577:2566596|offset_145|444444,2566598:2566617|offset_166|00cc00&amp;v=2566293:2566817&amp;c=444444", "offset 166")</f>
        <v>offset 166</v>
      </c>
    </row>
    <row r="8143" customFormat="false" ht="12.8" hidden="false" customHeight="false" outlineLevel="0" collapsed="false">
      <c r="A8143" s="0" t="s">
        <v>12</v>
      </c>
      <c r="B8143" s="0" t="n">
        <v>2568686</v>
      </c>
      <c r="C8143" s="0" t="n">
        <v>2568706</v>
      </c>
      <c r="D8143" s="0" t="s">
        <v>27103</v>
      </c>
      <c r="E8143" s="0" t="s">
        <v>75</v>
      </c>
      <c r="F8143" s="0" t="s">
        <v>90</v>
      </c>
      <c r="G8143" s="0" t="s">
        <v>16</v>
      </c>
      <c r="H8143" s="0" t="n">
        <v>19</v>
      </c>
      <c r="I8143" s="0" t="s">
        <v>27104</v>
      </c>
      <c r="J8143" s="0" t="s">
        <v>27105</v>
      </c>
      <c r="K8143" s="0" t="s">
        <v>27106</v>
      </c>
      <c r="L8143" s="0" t="str">
        <f aca="false">HYPERLINK("https://www.ncbi.nlm.nih.gov/nuccore/CP000058.1?report=graph&amp;tracks=[key:gene_model_track,Options:GeneOnly]&amp;mk=2568687:2568706|offset_19|00cc00,2568632:2568651|offset_74|444444,2568611:2568630|offset_95|444444,2568554:2568573|offset_152|444444&amp;v=2568486:2568773&amp;c=444444", "offset 19")</f>
        <v>offset 19</v>
      </c>
    </row>
    <row r="8144" customFormat="false" ht="12.8" hidden="false" customHeight="false" outlineLevel="0" collapsed="false">
      <c r="A8144" s="0" t="s">
        <v>12</v>
      </c>
      <c r="B8144" s="0" t="n">
        <v>2568631</v>
      </c>
      <c r="C8144" s="0" t="n">
        <v>2568651</v>
      </c>
      <c r="D8144" s="0" t="s">
        <v>27103</v>
      </c>
      <c r="E8144" s="0" t="s">
        <v>75</v>
      </c>
      <c r="F8144" s="0" t="s">
        <v>90</v>
      </c>
      <c r="G8144" s="0" t="s">
        <v>36</v>
      </c>
      <c r="H8144" s="0" t="n">
        <v>74</v>
      </c>
      <c r="I8144" s="0" t="s">
        <v>27107</v>
      </c>
      <c r="J8144" s="0" t="s">
        <v>27108</v>
      </c>
      <c r="K8144" s="0" t="s">
        <v>27109</v>
      </c>
      <c r="L8144" s="0" t="str">
        <f aca="false">HYPERLINK("https://www.ncbi.nlm.nih.gov/nuccore/CP000058.1?report=graph&amp;tracks=[key:gene_model_track,Options:GeneOnly]&amp;mk=2568687:2568706|offset_19|444444,2568632:2568651|offset_74|00cc00,2568611:2568630|offset_95|444444,2568554:2568573|offset_152|444444&amp;v=2568486:2568773&amp;c=444444", "offset 74")</f>
        <v>offset 74</v>
      </c>
    </row>
    <row r="8145" customFormat="false" ht="12.8" hidden="false" customHeight="false" outlineLevel="0" collapsed="false">
      <c r="A8145" s="0" t="s">
        <v>12</v>
      </c>
      <c r="B8145" s="0" t="n">
        <v>2568610</v>
      </c>
      <c r="C8145" s="0" t="n">
        <v>2568630</v>
      </c>
      <c r="D8145" s="0" t="s">
        <v>27103</v>
      </c>
      <c r="E8145" s="0" t="s">
        <v>75</v>
      </c>
      <c r="F8145" s="0" t="s">
        <v>90</v>
      </c>
      <c r="G8145" s="0" t="s">
        <v>20</v>
      </c>
      <c r="H8145" s="0" t="n">
        <v>95</v>
      </c>
      <c r="I8145" s="0" t="s">
        <v>27110</v>
      </c>
      <c r="J8145" s="0" t="s">
        <v>27111</v>
      </c>
      <c r="K8145" s="0" t="s">
        <v>27112</v>
      </c>
      <c r="L8145" s="0" t="str">
        <f aca="false">HYPERLINK("https://www.ncbi.nlm.nih.gov/nuccore/CP000058.1?report=graph&amp;tracks=[key:gene_model_track,Options:GeneOnly]&amp;mk=2568687:2568706|offset_19|444444,2568632:2568651|offset_74|444444,2568611:2568630|offset_95|00cc00,2568554:2568573|offset_152|444444&amp;v=2568486:2568773&amp;c=444444", "offset 95")</f>
        <v>offset 95</v>
      </c>
    </row>
    <row r="8146" customFormat="false" ht="12.8" hidden="false" customHeight="false" outlineLevel="0" collapsed="false">
      <c r="A8146" s="0" t="s">
        <v>12</v>
      </c>
      <c r="B8146" s="0" t="n">
        <v>2568553</v>
      </c>
      <c r="C8146" s="0" t="n">
        <v>2568573</v>
      </c>
      <c r="D8146" s="0" t="s">
        <v>27103</v>
      </c>
      <c r="E8146" s="0" t="s">
        <v>75</v>
      </c>
      <c r="F8146" s="0" t="s">
        <v>90</v>
      </c>
      <c r="G8146" s="0" t="s">
        <v>32</v>
      </c>
      <c r="H8146" s="0" t="n">
        <v>152</v>
      </c>
      <c r="I8146" s="0" t="s">
        <v>27113</v>
      </c>
      <c r="J8146" s="0" t="s">
        <v>27114</v>
      </c>
      <c r="K8146" s="0" t="s">
        <v>27115</v>
      </c>
      <c r="L8146" s="0" t="str">
        <f aca="false">HYPERLINK("https://www.ncbi.nlm.nih.gov/nuccore/CP000058.1?report=graph&amp;tracks=[key:gene_model_track,Options:GeneOnly]&amp;mk=2568687:2568706|offset_19|444444,2568632:2568651|offset_74|444444,2568611:2568630|offset_95|444444,2568554:2568573|offset_152|00cc00&amp;v=2568486:2568773&amp;c=444444", "offset 152")</f>
        <v>offset 152</v>
      </c>
    </row>
    <row r="8147" customFormat="false" ht="12.8" hidden="false" customHeight="false" outlineLevel="0" collapsed="false">
      <c r="A8147" s="0" t="s">
        <v>12</v>
      </c>
      <c r="B8147" s="0" t="n">
        <v>2569154</v>
      </c>
      <c r="C8147" s="0" t="n">
        <v>2569174</v>
      </c>
      <c r="D8147" s="0" t="s">
        <v>27116</v>
      </c>
      <c r="E8147" s="0" t="s">
        <v>75</v>
      </c>
      <c r="F8147" s="0" t="s">
        <v>15</v>
      </c>
      <c r="G8147" s="0" t="s">
        <v>32</v>
      </c>
      <c r="H8147" s="0" t="n">
        <v>43</v>
      </c>
      <c r="I8147" s="0" t="s">
        <v>27117</v>
      </c>
      <c r="J8147" s="0" t="s">
        <v>27118</v>
      </c>
      <c r="K8147" s="0" t="s">
        <v>27119</v>
      </c>
      <c r="L8147" s="0" t="str">
        <f aca="false">HYPERLINK("https://www.ncbi.nlm.nih.gov/nuccore/CP000058.1?report=graph&amp;tracks=[key:gene_model_track,Options:GeneOnly]&amp;mk=2569155:2569174|offset_43|00cc00,2569188:2569207|offset_76|444444,2569225:2569244|offset_113|444444,2569266:2569285|offset_154|444444&amp;v=2568954:2569485&amp;c=444444", "offset 43")</f>
        <v>offset 43</v>
      </c>
    </row>
    <row r="8148" customFormat="false" ht="12.8" hidden="false" customHeight="false" outlineLevel="0" collapsed="false">
      <c r="A8148" s="0" t="s">
        <v>12</v>
      </c>
      <c r="B8148" s="0" t="n">
        <v>2569187</v>
      </c>
      <c r="C8148" s="0" t="n">
        <v>2569207</v>
      </c>
      <c r="D8148" s="0" t="s">
        <v>27116</v>
      </c>
      <c r="E8148" s="0" t="s">
        <v>75</v>
      </c>
      <c r="F8148" s="0" t="s">
        <v>15</v>
      </c>
      <c r="G8148" s="0" t="s">
        <v>32</v>
      </c>
      <c r="H8148" s="0" t="n">
        <v>76</v>
      </c>
      <c r="I8148" s="0" t="s">
        <v>27120</v>
      </c>
      <c r="J8148" s="0" t="s">
        <v>27121</v>
      </c>
      <c r="K8148" s="0" t="s">
        <v>27122</v>
      </c>
      <c r="L8148" s="0" t="str">
        <f aca="false">HYPERLINK("https://www.ncbi.nlm.nih.gov/nuccore/CP000058.1?report=graph&amp;tracks=[key:gene_model_track,Options:GeneOnly]&amp;mk=2569155:2569174|offset_43|444444,2569188:2569207|offset_76|00cc00,2569225:2569244|offset_113|444444,2569266:2569285|offset_154|444444&amp;v=2568954:2569485&amp;c=444444", "offset 76")</f>
        <v>offset 76</v>
      </c>
    </row>
    <row r="8149" customFormat="false" ht="12.8" hidden="false" customHeight="false" outlineLevel="0" collapsed="false">
      <c r="A8149" s="0" t="s">
        <v>12</v>
      </c>
      <c r="B8149" s="0" t="n">
        <v>2569224</v>
      </c>
      <c r="C8149" s="0" t="n">
        <v>2569244</v>
      </c>
      <c r="D8149" s="0" t="s">
        <v>27116</v>
      </c>
      <c r="E8149" s="0" t="s">
        <v>75</v>
      </c>
      <c r="F8149" s="0" t="s">
        <v>15</v>
      </c>
      <c r="G8149" s="0" t="s">
        <v>36</v>
      </c>
      <c r="H8149" s="0" t="n">
        <v>113</v>
      </c>
      <c r="I8149" s="0" t="s">
        <v>27123</v>
      </c>
      <c r="J8149" s="0" t="s">
        <v>27124</v>
      </c>
      <c r="K8149" s="0" t="s">
        <v>27125</v>
      </c>
      <c r="L8149" s="0" t="str">
        <f aca="false">HYPERLINK("https://www.ncbi.nlm.nih.gov/nuccore/CP000058.1?report=graph&amp;tracks=[key:gene_model_track,Options:GeneOnly]&amp;mk=2569155:2569174|offset_43|444444,2569188:2569207|offset_76|444444,2569225:2569244|offset_113|00cc00,2569266:2569285|offset_154|444444&amp;v=2568954:2569485&amp;c=444444", "offset 113")</f>
        <v>offset 113</v>
      </c>
    </row>
    <row r="8150" customFormat="false" ht="12.8" hidden="false" customHeight="false" outlineLevel="0" collapsed="false">
      <c r="A8150" s="0" t="s">
        <v>12</v>
      </c>
      <c r="B8150" s="0" t="n">
        <v>2569265</v>
      </c>
      <c r="C8150" s="0" t="n">
        <v>2569285</v>
      </c>
      <c r="D8150" s="0" t="s">
        <v>27116</v>
      </c>
      <c r="E8150" s="0" t="s">
        <v>75</v>
      </c>
      <c r="F8150" s="0" t="s">
        <v>15</v>
      </c>
      <c r="G8150" s="0" t="s">
        <v>32</v>
      </c>
      <c r="H8150" s="0" t="n">
        <v>154</v>
      </c>
      <c r="I8150" s="0" t="s">
        <v>27126</v>
      </c>
      <c r="J8150" s="0" t="s">
        <v>27127</v>
      </c>
      <c r="K8150" s="0" t="s">
        <v>27128</v>
      </c>
      <c r="L8150" s="0" t="str">
        <f aca="false">HYPERLINK("https://www.ncbi.nlm.nih.gov/nuccore/CP000058.1?report=graph&amp;tracks=[key:gene_model_track,Options:GeneOnly]&amp;mk=2569155:2569174|offset_43|444444,2569188:2569207|offset_76|444444,2569225:2569244|offset_113|444444,2569266:2569285|offset_154|00cc00&amp;v=2568954:2569485&amp;c=444444", "offset 154")</f>
        <v>offset 154</v>
      </c>
    </row>
    <row r="8151" customFormat="false" ht="12.8" hidden="false" customHeight="false" outlineLevel="0" collapsed="false">
      <c r="A8151" s="0" t="s">
        <v>12</v>
      </c>
      <c r="B8151" s="0" t="n">
        <v>2571111</v>
      </c>
      <c r="C8151" s="0" t="n">
        <v>2571131</v>
      </c>
      <c r="D8151" s="0" t="s">
        <v>27129</v>
      </c>
      <c r="E8151" s="0" t="s">
        <v>75</v>
      </c>
      <c r="F8151" s="0" t="s">
        <v>90</v>
      </c>
      <c r="G8151" s="0" t="s">
        <v>36</v>
      </c>
      <c r="H8151" s="0" t="n">
        <v>10</v>
      </c>
      <c r="I8151" s="0" t="s">
        <v>27130</v>
      </c>
      <c r="J8151" s="0" t="s">
        <v>27131</v>
      </c>
      <c r="K8151" s="0" t="s">
        <v>27132</v>
      </c>
      <c r="L8151" s="0" t="str">
        <f aca="false">HYPERLINK("https://www.ncbi.nlm.nih.gov/nuccore/CP000058.1?report=graph&amp;tracks=[key:gene_model_track,Options:GeneOnly]&amp;mk=2571112:2571131|offset_10|00cc00,2571063:2571082|offset_59|444444,2571039:2571058|offset_83|444444,2571010:2571029|offset_112|444444&amp;v=2570911:2571229&amp;c=444444", "offset 10")</f>
        <v>offset 10</v>
      </c>
    </row>
    <row r="8152" customFormat="false" ht="12.8" hidden="false" customHeight="false" outlineLevel="0" collapsed="false">
      <c r="A8152" s="0" t="s">
        <v>12</v>
      </c>
      <c r="B8152" s="0" t="n">
        <v>2571062</v>
      </c>
      <c r="C8152" s="0" t="n">
        <v>2571082</v>
      </c>
      <c r="D8152" s="0" t="s">
        <v>27129</v>
      </c>
      <c r="E8152" s="0" t="s">
        <v>75</v>
      </c>
      <c r="F8152" s="0" t="s">
        <v>90</v>
      </c>
      <c r="G8152" s="0" t="s">
        <v>20</v>
      </c>
      <c r="H8152" s="0" t="n">
        <v>59</v>
      </c>
      <c r="I8152" s="0" t="s">
        <v>27133</v>
      </c>
      <c r="J8152" s="0" t="s">
        <v>27134</v>
      </c>
      <c r="K8152" s="0" t="s">
        <v>27135</v>
      </c>
      <c r="L8152" s="0" t="str">
        <f aca="false">HYPERLINK("https://www.ncbi.nlm.nih.gov/nuccore/CP000058.1?report=graph&amp;tracks=[key:gene_model_track,Options:GeneOnly]&amp;mk=2571112:2571131|offset_10|444444,2571063:2571082|offset_59|00cc00,2571039:2571058|offset_83|444444,2571010:2571029|offset_112|444444&amp;v=2570911:2571229&amp;c=444444", "offset 59")</f>
        <v>offset 59</v>
      </c>
    </row>
    <row r="8153" customFormat="false" ht="12.8" hidden="false" customHeight="false" outlineLevel="0" collapsed="false">
      <c r="A8153" s="0" t="s">
        <v>12</v>
      </c>
      <c r="B8153" s="0" t="n">
        <v>2571038</v>
      </c>
      <c r="C8153" s="0" t="n">
        <v>2571058</v>
      </c>
      <c r="D8153" s="0" t="s">
        <v>27129</v>
      </c>
      <c r="E8153" s="0" t="s">
        <v>75</v>
      </c>
      <c r="F8153" s="0" t="s">
        <v>90</v>
      </c>
      <c r="G8153" s="0" t="s">
        <v>36</v>
      </c>
      <c r="H8153" s="0" t="n">
        <v>83</v>
      </c>
      <c r="I8153" s="0" t="s">
        <v>27136</v>
      </c>
      <c r="J8153" s="0" t="s">
        <v>27137</v>
      </c>
      <c r="K8153" s="0" t="s">
        <v>27138</v>
      </c>
      <c r="L8153" s="0" t="str">
        <f aca="false">HYPERLINK("https://www.ncbi.nlm.nih.gov/nuccore/CP000058.1?report=graph&amp;tracks=[key:gene_model_track,Options:GeneOnly]&amp;mk=2571112:2571131|offset_10|444444,2571063:2571082|offset_59|444444,2571039:2571058|offset_83|00cc00,2571010:2571029|offset_112|444444&amp;v=2570911:2571229&amp;c=444444", "offset 83")</f>
        <v>offset 83</v>
      </c>
    </row>
    <row r="8154" customFormat="false" ht="12.8" hidden="false" customHeight="false" outlineLevel="0" collapsed="false">
      <c r="A8154" s="0" t="s">
        <v>12</v>
      </c>
      <c r="B8154" s="0" t="n">
        <v>2571009</v>
      </c>
      <c r="C8154" s="0" t="n">
        <v>2571029</v>
      </c>
      <c r="D8154" s="0" t="s">
        <v>27129</v>
      </c>
      <c r="E8154" s="0" t="s">
        <v>75</v>
      </c>
      <c r="F8154" s="0" t="s">
        <v>90</v>
      </c>
      <c r="G8154" s="0" t="s">
        <v>36</v>
      </c>
      <c r="H8154" s="0" t="n">
        <v>112</v>
      </c>
      <c r="I8154" s="0" t="s">
        <v>27139</v>
      </c>
      <c r="J8154" s="0" t="s">
        <v>27140</v>
      </c>
      <c r="K8154" s="0" t="s">
        <v>27141</v>
      </c>
      <c r="L8154" s="0" t="str">
        <f aca="false">HYPERLINK("https://www.ncbi.nlm.nih.gov/nuccore/CP000058.1?report=graph&amp;tracks=[key:gene_model_track,Options:GeneOnly]&amp;mk=2571112:2571131|offset_10|444444,2571063:2571082|offset_59|444444,2571039:2571058|offset_83|444444,2571010:2571029|offset_112|00cc00&amp;v=2570911:2571229&amp;c=444444", "offset 112")</f>
        <v>offset 112</v>
      </c>
    </row>
    <row r="8155" customFormat="false" ht="12.8" hidden="false" customHeight="false" outlineLevel="0" collapsed="false">
      <c r="A8155" s="0" t="s">
        <v>12</v>
      </c>
      <c r="B8155" s="0" t="n">
        <v>2571718</v>
      </c>
      <c r="C8155" s="0" t="n">
        <v>2571738</v>
      </c>
      <c r="D8155" s="0" t="s">
        <v>27142</v>
      </c>
      <c r="E8155" s="0" t="s">
        <v>75</v>
      </c>
      <c r="F8155" s="0" t="s">
        <v>90</v>
      </c>
      <c r="G8155" s="0" t="s">
        <v>16</v>
      </c>
      <c r="H8155" s="0" t="n">
        <v>28</v>
      </c>
      <c r="I8155" s="0" t="s">
        <v>27143</v>
      </c>
      <c r="J8155" s="0" t="s">
        <v>27144</v>
      </c>
      <c r="K8155" s="0" t="s">
        <v>27145</v>
      </c>
      <c r="L8155" s="0" t="str">
        <f aca="false">HYPERLINK("https://www.ncbi.nlm.nih.gov/nuccore/CP000058.1?report=graph&amp;tracks=[key:gene_model_track,Options:GeneOnly]&amp;mk=2571719:2571738|offset_28|00cc00,2571689:2571708|offset_58|444444,2571630:2571649|offset_117|444444,2571600:2571619|offset_147|444444&amp;v=2571518:2571819&amp;c=444444", "offset 28")</f>
        <v>offset 28</v>
      </c>
    </row>
    <row r="8156" customFormat="false" ht="12.8" hidden="false" customHeight="false" outlineLevel="0" collapsed="false">
      <c r="A8156" s="0" t="s">
        <v>12</v>
      </c>
      <c r="B8156" s="0" t="n">
        <v>2571688</v>
      </c>
      <c r="C8156" s="0" t="n">
        <v>2571708</v>
      </c>
      <c r="D8156" s="0" t="s">
        <v>27142</v>
      </c>
      <c r="E8156" s="0" t="s">
        <v>75</v>
      </c>
      <c r="F8156" s="0" t="s">
        <v>90</v>
      </c>
      <c r="G8156" s="0" t="s">
        <v>32</v>
      </c>
      <c r="H8156" s="0" t="n">
        <v>58</v>
      </c>
      <c r="I8156" s="0" t="s">
        <v>27146</v>
      </c>
      <c r="J8156" s="0" t="s">
        <v>27147</v>
      </c>
      <c r="K8156" s="0" t="s">
        <v>27148</v>
      </c>
      <c r="L8156" s="0" t="str">
        <f aca="false">HYPERLINK("https://www.ncbi.nlm.nih.gov/nuccore/CP000058.1?report=graph&amp;tracks=[key:gene_model_track,Options:GeneOnly]&amp;mk=2571719:2571738|offset_28|444444,2571689:2571708|offset_58|00cc00,2571630:2571649|offset_117|444444,2571600:2571619|offset_147|444444&amp;v=2571518:2571819&amp;c=444444", "offset 58")</f>
        <v>offset 58</v>
      </c>
    </row>
    <row r="8157" customFormat="false" ht="12.8" hidden="false" customHeight="false" outlineLevel="0" collapsed="false">
      <c r="A8157" s="0" t="s">
        <v>12</v>
      </c>
      <c r="B8157" s="0" t="n">
        <v>2571629</v>
      </c>
      <c r="C8157" s="0" t="n">
        <v>2571649</v>
      </c>
      <c r="D8157" s="0" t="s">
        <v>27142</v>
      </c>
      <c r="E8157" s="0" t="s">
        <v>75</v>
      </c>
      <c r="F8157" s="0" t="s">
        <v>90</v>
      </c>
      <c r="G8157" s="0" t="s">
        <v>32</v>
      </c>
      <c r="H8157" s="0" t="n">
        <v>117</v>
      </c>
      <c r="I8157" s="0" t="s">
        <v>27149</v>
      </c>
      <c r="J8157" s="0" t="s">
        <v>27150</v>
      </c>
      <c r="K8157" s="0" t="s">
        <v>27151</v>
      </c>
      <c r="L8157" s="0" t="str">
        <f aca="false">HYPERLINK("https://www.ncbi.nlm.nih.gov/nuccore/CP000058.1?report=graph&amp;tracks=[key:gene_model_track,Options:GeneOnly]&amp;mk=2571719:2571738|offset_28|444444,2571689:2571708|offset_58|444444,2571630:2571649|offset_117|00cc00,2571600:2571619|offset_147|444444&amp;v=2571518:2571819&amp;c=444444", "offset 117")</f>
        <v>offset 117</v>
      </c>
    </row>
    <row r="8158" customFormat="false" ht="12.8" hidden="false" customHeight="false" outlineLevel="0" collapsed="false">
      <c r="A8158" s="0" t="s">
        <v>12</v>
      </c>
      <c r="B8158" s="0" t="n">
        <v>2571599</v>
      </c>
      <c r="C8158" s="0" t="n">
        <v>2571619</v>
      </c>
      <c r="D8158" s="0" t="s">
        <v>27142</v>
      </c>
      <c r="E8158" s="0" t="s">
        <v>75</v>
      </c>
      <c r="F8158" s="0" t="s">
        <v>90</v>
      </c>
      <c r="G8158" s="0" t="s">
        <v>16</v>
      </c>
      <c r="H8158" s="0" t="n">
        <v>147</v>
      </c>
      <c r="I8158" s="0" t="s">
        <v>27152</v>
      </c>
      <c r="J8158" s="0" t="s">
        <v>27153</v>
      </c>
      <c r="K8158" s="0" t="s">
        <v>27154</v>
      </c>
      <c r="L8158" s="0" t="str">
        <f aca="false">HYPERLINK("https://www.ncbi.nlm.nih.gov/nuccore/CP000058.1?report=graph&amp;tracks=[key:gene_model_track,Options:GeneOnly]&amp;mk=2571719:2571738|offset_28|444444,2571689:2571708|offset_58|444444,2571630:2571649|offset_117|444444,2571600:2571619|offset_147|00cc00&amp;v=2571518:2571819&amp;c=444444", "offset 147")</f>
        <v>offset 147</v>
      </c>
    </row>
    <row r="8159" customFormat="false" ht="12.8" hidden="false" customHeight="false" outlineLevel="0" collapsed="false">
      <c r="A8159" s="0" t="s">
        <v>12</v>
      </c>
      <c r="B8159" s="0" t="n">
        <v>2571879</v>
      </c>
      <c r="C8159" s="0" t="n">
        <v>2571899</v>
      </c>
      <c r="D8159" s="0" t="s">
        <v>27155</v>
      </c>
      <c r="E8159" s="0" t="s">
        <v>75</v>
      </c>
      <c r="F8159" s="0" t="s">
        <v>15</v>
      </c>
      <c r="G8159" s="0" t="s">
        <v>36</v>
      </c>
      <c r="H8159" s="0" t="n">
        <v>7</v>
      </c>
      <c r="I8159" s="0" t="s">
        <v>27156</v>
      </c>
      <c r="J8159" s="0" t="s">
        <v>27157</v>
      </c>
      <c r="K8159" s="0" t="s">
        <v>27158</v>
      </c>
      <c r="L8159" s="0" t="str">
        <f aca="false">HYPERLINK("https://www.ncbi.nlm.nih.gov/nuccore/CP000058.1?report=graph&amp;tracks=[key:gene_model_track,Options:GeneOnly]&amp;mk=2571880:2571899|offset_7|00cc00,2571911:2571930|offset_38|444444,2571938:2571957|offset_65|444444,2571961:2571980|offset_88|444444&amp;v=2571679:2572180&amp;c=444444", "offset 7")</f>
        <v>offset 7</v>
      </c>
    </row>
    <row r="8160" customFormat="false" ht="12.8" hidden="false" customHeight="false" outlineLevel="0" collapsed="false">
      <c r="A8160" s="0" t="s">
        <v>12</v>
      </c>
      <c r="B8160" s="0" t="n">
        <v>2571910</v>
      </c>
      <c r="C8160" s="0" t="n">
        <v>2571930</v>
      </c>
      <c r="D8160" s="0" t="s">
        <v>27155</v>
      </c>
      <c r="E8160" s="0" t="s">
        <v>75</v>
      </c>
      <c r="F8160" s="0" t="s">
        <v>15</v>
      </c>
      <c r="G8160" s="0" t="s">
        <v>20</v>
      </c>
      <c r="H8160" s="0" t="n">
        <v>38</v>
      </c>
      <c r="I8160" s="0" t="s">
        <v>27159</v>
      </c>
      <c r="J8160" s="0" t="s">
        <v>27160</v>
      </c>
      <c r="K8160" s="0" t="s">
        <v>27161</v>
      </c>
      <c r="L8160" s="0" t="str">
        <f aca="false">HYPERLINK("https://www.ncbi.nlm.nih.gov/nuccore/CP000058.1?report=graph&amp;tracks=[key:gene_model_track,Options:GeneOnly]&amp;mk=2571880:2571899|offset_7|444444,2571911:2571930|offset_38|00cc00,2571938:2571957|offset_65|444444,2571961:2571980|offset_88|444444&amp;v=2571679:2572180&amp;c=444444", "offset 38")</f>
        <v>offset 38</v>
      </c>
    </row>
    <row r="8161" customFormat="false" ht="12.8" hidden="false" customHeight="false" outlineLevel="0" collapsed="false">
      <c r="A8161" s="0" t="s">
        <v>12</v>
      </c>
      <c r="B8161" s="0" t="n">
        <v>2571937</v>
      </c>
      <c r="C8161" s="0" t="n">
        <v>2571957</v>
      </c>
      <c r="D8161" s="0" t="s">
        <v>27155</v>
      </c>
      <c r="E8161" s="0" t="s">
        <v>75</v>
      </c>
      <c r="F8161" s="0" t="s">
        <v>15</v>
      </c>
      <c r="G8161" s="0" t="s">
        <v>32</v>
      </c>
      <c r="H8161" s="0" t="n">
        <v>65</v>
      </c>
      <c r="I8161" s="0" t="s">
        <v>27162</v>
      </c>
      <c r="J8161" s="0" t="s">
        <v>27163</v>
      </c>
      <c r="K8161" s="0" t="s">
        <v>27164</v>
      </c>
      <c r="L8161" s="0" t="str">
        <f aca="false">HYPERLINK("https://www.ncbi.nlm.nih.gov/nuccore/CP000058.1?report=graph&amp;tracks=[key:gene_model_track,Options:GeneOnly]&amp;mk=2571880:2571899|offset_7|444444,2571911:2571930|offset_38|444444,2571938:2571957|offset_65|00cc00,2571961:2571980|offset_88|444444&amp;v=2571679:2572180&amp;c=444444", "offset 65")</f>
        <v>offset 65</v>
      </c>
    </row>
    <row r="8162" customFormat="false" ht="12.8" hidden="false" customHeight="false" outlineLevel="0" collapsed="false">
      <c r="A8162" s="0" t="s">
        <v>12</v>
      </c>
      <c r="B8162" s="0" t="n">
        <v>2571960</v>
      </c>
      <c r="C8162" s="0" t="n">
        <v>2571980</v>
      </c>
      <c r="D8162" s="0" t="s">
        <v>27155</v>
      </c>
      <c r="E8162" s="0" t="s">
        <v>75</v>
      </c>
      <c r="F8162" s="0" t="s">
        <v>15</v>
      </c>
      <c r="G8162" s="0" t="s">
        <v>32</v>
      </c>
      <c r="H8162" s="0" t="n">
        <v>88</v>
      </c>
      <c r="I8162" s="0" t="s">
        <v>27165</v>
      </c>
      <c r="J8162" s="0" t="s">
        <v>27166</v>
      </c>
      <c r="K8162" s="0" t="s">
        <v>27167</v>
      </c>
      <c r="L8162" s="0" t="str">
        <f aca="false">HYPERLINK("https://www.ncbi.nlm.nih.gov/nuccore/CP000058.1?report=graph&amp;tracks=[key:gene_model_track,Options:GeneOnly]&amp;mk=2571880:2571899|offset_7|444444,2571911:2571930|offset_38|444444,2571938:2571957|offset_65|444444,2571961:2571980|offset_88|00cc00&amp;v=2571679:2572180&amp;c=444444", "offset 88")</f>
        <v>offset 88</v>
      </c>
    </row>
    <row r="8163" customFormat="false" ht="12.8" hidden="false" customHeight="false" outlineLevel="0" collapsed="false">
      <c r="A8163" s="0" t="s">
        <v>12</v>
      </c>
      <c r="B8163" s="0" t="n">
        <v>2574284</v>
      </c>
      <c r="C8163" s="0" t="n">
        <v>2574304</v>
      </c>
      <c r="D8163" s="0" t="s">
        <v>27168</v>
      </c>
      <c r="E8163" s="0" t="s">
        <v>75</v>
      </c>
      <c r="F8163" s="0" t="s">
        <v>90</v>
      </c>
      <c r="G8163" s="0" t="s">
        <v>20</v>
      </c>
      <c r="H8163" s="0" t="n">
        <v>17</v>
      </c>
      <c r="I8163" s="0" t="s">
        <v>27169</v>
      </c>
      <c r="J8163" s="0" t="s">
        <v>27170</v>
      </c>
      <c r="K8163" s="0" t="s">
        <v>27171</v>
      </c>
      <c r="L8163" s="0" t="str">
        <f aca="false">HYPERLINK("https://www.ncbi.nlm.nih.gov/nuccore/CP000058.1?report=graph&amp;tracks=[key:gene_model_track,Options:GeneOnly]&amp;mk=2574285:2574304|offset_17|00cc00,2574257:2574276|offset_45|444444,2574189:2574208|offset_113|444444,2574165:2574184|offset_137|444444&amp;v=2574084:2574384&amp;c=444444", "offset 17")</f>
        <v>offset 17</v>
      </c>
    </row>
    <row r="8164" customFormat="false" ht="12.8" hidden="false" customHeight="false" outlineLevel="0" collapsed="false">
      <c r="A8164" s="0" t="s">
        <v>12</v>
      </c>
      <c r="B8164" s="0" t="n">
        <v>2574256</v>
      </c>
      <c r="C8164" s="0" t="n">
        <v>2574276</v>
      </c>
      <c r="D8164" s="0" t="s">
        <v>27168</v>
      </c>
      <c r="E8164" s="0" t="s">
        <v>75</v>
      </c>
      <c r="F8164" s="0" t="s">
        <v>90</v>
      </c>
      <c r="G8164" s="0" t="s">
        <v>20</v>
      </c>
      <c r="H8164" s="0" t="n">
        <v>45</v>
      </c>
      <c r="I8164" s="0" t="s">
        <v>27172</v>
      </c>
      <c r="J8164" s="0" t="s">
        <v>27173</v>
      </c>
      <c r="K8164" s="0" t="s">
        <v>27174</v>
      </c>
      <c r="L8164" s="0" t="str">
        <f aca="false">HYPERLINK("https://www.ncbi.nlm.nih.gov/nuccore/CP000058.1?report=graph&amp;tracks=[key:gene_model_track,Options:GeneOnly]&amp;mk=2574285:2574304|offset_17|444444,2574257:2574276|offset_45|00cc00,2574189:2574208|offset_113|444444,2574165:2574184|offset_137|444444&amp;v=2574084:2574384&amp;c=444444", "offset 45")</f>
        <v>offset 45</v>
      </c>
    </row>
    <row r="8165" customFormat="false" ht="12.8" hidden="false" customHeight="false" outlineLevel="0" collapsed="false">
      <c r="A8165" s="0" t="s">
        <v>12</v>
      </c>
      <c r="B8165" s="0" t="n">
        <v>2574188</v>
      </c>
      <c r="C8165" s="0" t="n">
        <v>2574208</v>
      </c>
      <c r="D8165" s="0" t="s">
        <v>27168</v>
      </c>
      <c r="E8165" s="0" t="s">
        <v>75</v>
      </c>
      <c r="F8165" s="0" t="s">
        <v>90</v>
      </c>
      <c r="G8165" s="0" t="s">
        <v>36</v>
      </c>
      <c r="H8165" s="0" t="n">
        <v>113</v>
      </c>
      <c r="I8165" s="0" t="s">
        <v>27175</v>
      </c>
      <c r="J8165" s="0" t="s">
        <v>27176</v>
      </c>
      <c r="K8165" s="0" t="s">
        <v>27177</v>
      </c>
      <c r="L8165" s="0" t="str">
        <f aca="false">HYPERLINK("https://www.ncbi.nlm.nih.gov/nuccore/CP000058.1?report=graph&amp;tracks=[key:gene_model_track,Options:GeneOnly]&amp;mk=2574285:2574304|offset_17|444444,2574257:2574276|offset_45|444444,2574189:2574208|offset_113|00cc00,2574165:2574184|offset_137|444444&amp;v=2574084:2574384&amp;c=444444", "offset 113")</f>
        <v>offset 113</v>
      </c>
    </row>
    <row r="8166" customFormat="false" ht="12.8" hidden="false" customHeight="false" outlineLevel="0" collapsed="false">
      <c r="A8166" s="0" t="s">
        <v>12</v>
      </c>
      <c r="B8166" s="0" t="n">
        <v>2574164</v>
      </c>
      <c r="C8166" s="0" t="n">
        <v>2574184</v>
      </c>
      <c r="D8166" s="0" t="s">
        <v>27168</v>
      </c>
      <c r="E8166" s="0" t="s">
        <v>75</v>
      </c>
      <c r="F8166" s="0" t="s">
        <v>90</v>
      </c>
      <c r="G8166" s="0" t="s">
        <v>16</v>
      </c>
      <c r="H8166" s="0" t="n">
        <v>137</v>
      </c>
      <c r="I8166" s="0" t="s">
        <v>27178</v>
      </c>
      <c r="J8166" s="0" t="s">
        <v>27179</v>
      </c>
      <c r="K8166" s="0" t="s">
        <v>27180</v>
      </c>
      <c r="L8166" s="0" t="str">
        <f aca="false">HYPERLINK("https://www.ncbi.nlm.nih.gov/nuccore/CP000058.1?report=graph&amp;tracks=[key:gene_model_track,Options:GeneOnly]&amp;mk=2574285:2574304|offset_17|444444,2574257:2574276|offset_45|444444,2574189:2574208|offset_113|444444,2574165:2574184|offset_137|00cc00&amp;v=2574084:2574384&amp;c=444444", "offset 137")</f>
        <v>offset 137</v>
      </c>
    </row>
    <row r="8167" customFormat="false" ht="12.8" hidden="false" customHeight="false" outlineLevel="0" collapsed="false">
      <c r="A8167" s="0" t="s">
        <v>12</v>
      </c>
      <c r="B8167" s="0" t="n">
        <v>2575105</v>
      </c>
      <c r="C8167" s="0" t="n">
        <v>2575125</v>
      </c>
      <c r="D8167" s="0" t="s">
        <v>27181</v>
      </c>
      <c r="E8167" s="0" t="s">
        <v>75</v>
      </c>
      <c r="F8167" s="0" t="s">
        <v>15</v>
      </c>
      <c r="G8167" s="0" t="s">
        <v>32</v>
      </c>
      <c r="H8167" s="0" t="n">
        <v>23</v>
      </c>
      <c r="I8167" s="0" t="s">
        <v>27182</v>
      </c>
      <c r="J8167" s="0" t="s">
        <v>27183</v>
      </c>
      <c r="K8167" s="0" t="s">
        <v>27184</v>
      </c>
      <c r="L8167" s="0" t="str">
        <f aca="false">HYPERLINK("https://www.ncbi.nlm.nih.gov/nuccore/CP000058.1?report=graph&amp;tracks=[key:gene_model_track,Options:GeneOnly]&amp;mk=2575106:2575125|offset_23|00cc00,2575130:2575149|offset_47|444444,2575160:2575179|offset_77|444444&amp;v=2574905:2575379&amp;c=444444", "offset 23")</f>
        <v>offset 23</v>
      </c>
    </row>
    <row r="8168" customFormat="false" ht="12.8" hidden="false" customHeight="false" outlineLevel="0" collapsed="false">
      <c r="A8168" s="0" t="s">
        <v>12</v>
      </c>
      <c r="B8168" s="0" t="n">
        <v>2575129</v>
      </c>
      <c r="C8168" s="0" t="n">
        <v>2575149</v>
      </c>
      <c r="D8168" s="0" t="s">
        <v>27181</v>
      </c>
      <c r="E8168" s="0" t="s">
        <v>75</v>
      </c>
      <c r="F8168" s="0" t="s">
        <v>15</v>
      </c>
      <c r="G8168" s="0" t="s">
        <v>36</v>
      </c>
      <c r="H8168" s="0" t="n">
        <v>47</v>
      </c>
      <c r="I8168" s="0" t="s">
        <v>27185</v>
      </c>
      <c r="J8168" s="0" t="s">
        <v>27186</v>
      </c>
      <c r="K8168" s="0" t="s">
        <v>27187</v>
      </c>
      <c r="L8168" s="0" t="str">
        <f aca="false">HYPERLINK("https://www.ncbi.nlm.nih.gov/nuccore/CP000058.1?report=graph&amp;tracks=[key:gene_model_track,Options:GeneOnly]&amp;mk=2575106:2575125|offset_23|444444,2575130:2575149|offset_47|00cc00,2575160:2575179|offset_77|444444&amp;v=2574905:2575379&amp;c=444444", "offset 47")</f>
        <v>offset 47</v>
      </c>
    </row>
    <row r="8169" customFormat="false" ht="12.8" hidden="false" customHeight="false" outlineLevel="0" collapsed="false">
      <c r="A8169" s="0" t="s">
        <v>12</v>
      </c>
      <c r="B8169" s="0" t="n">
        <v>2575159</v>
      </c>
      <c r="C8169" s="0" t="n">
        <v>2575179</v>
      </c>
      <c r="D8169" s="0" t="s">
        <v>27181</v>
      </c>
      <c r="E8169" s="0" t="s">
        <v>75</v>
      </c>
      <c r="F8169" s="0" t="s">
        <v>15</v>
      </c>
      <c r="G8169" s="0" t="s">
        <v>32</v>
      </c>
      <c r="H8169" s="0" t="n">
        <v>77</v>
      </c>
      <c r="I8169" s="0" t="s">
        <v>27188</v>
      </c>
      <c r="J8169" s="0" t="s">
        <v>27189</v>
      </c>
      <c r="K8169" s="0" t="s">
        <v>27190</v>
      </c>
      <c r="L8169" s="0" t="str">
        <f aca="false">HYPERLINK("https://www.ncbi.nlm.nih.gov/nuccore/CP000058.1?report=graph&amp;tracks=[key:gene_model_track,Options:GeneOnly]&amp;mk=2575106:2575125|offset_23|444444,2575130:2575149|offset_47|444444,2575160:2575179|offset_77|00cc00&amp;v=2574905:2575379&amp;c=444444", "offset 77")</f>
        <v>offset 77</v>
      </c>
    </row>
    <row r="8170" customFormat="false" ht="12.8" hidden="false" customHeight="false" outlineLevel="0" collapsed="false">
      <c r="A8170" s="0" t="s">
        <v>12</v>
      </c>
      <c r="B8170" s="0" t="n">
        <v>2575840</v>
      </c>
      <c r="C8170" s="0" t="n">
        <v>2575860</v>
      </c>
      <c r="D8170" s="0" t="s">
        <v>27191</v>
      </c>
      <c r="E8170" s="0" t="s">
        <v>75</v>
      </c>
      <c r="F8170" s="0" t="s">
        <v>90</v>
      </c>
      <c r="G8170" s="0" t="s">
        <v>20</v>
      </c>
      <c r="H8170" s="0" t="n">
        <v>9</v>
      </c>
      <c r="I8170" s="0" t="s">
        <v>27192</v>
      </c>
      <c r="J8170" s="0" t="s">
        <v>27193</v>
      </c>
      <c r="K8170" s="0" t="s">
        <v>27194</v>
      </c>
      <c r="L8170" s="0" t="str">
        <f aca="false">HYPERLINK("https://www.ncbi.nlm.nih.gov/nuccore/CP000058.1?report=graph&amp;tracks=[key:gene_model_track,Options:GeneOnly]&amp;mk=2575841:2575860|offset_9|00cc00,2575789:2575808|offset_61|444444,2575765:2575784|offset_85|444444,2575738:2575757|offset_112|444444&amp;v=2575640:2575957&amp;c=444444", "offset 9")</f>
        <v>offset 9</v>
      </c>
    </row>
    <row r="8171" customFormat="false" ht="12.8" hidden="false" customHeight="false" outlineLevel="0" collapsed="false">
      <c r="A8171" s="0" t="s">
        <v>12</v>
      </c>
      <c r="B8171" s="0" t="n">
        <v>2575788</v>
      </c>
      <c r="C8171" s="0" t="n">
        <v>2575808</v>
      </c>
      <c r="D8171" s="0" t="s">
        <v>27191</v>
      </c>
      <c r="E8171" s="0" t="s">
        <v>75</v>
      </c>
      <c r="F8171" s="0" t="s">
        <v>90</v>
      </c>
      <c r="G8171" s="0" t="s">
        <v>32</v>
      </c>
      <c r="H8171" s="0" t="n">
        <v>61</v>
      </c>
      <c r="I8171" s="0" t="s">
        <v>27195</v>
      </c>
      <c r="J8171" s="0" t="s">
        <v>27196</v>
      </c>
      <c r="K8171" s="0" t="s">
        <v>27197</v>
      </c>
      <c r="L8171" s="0" t="str">
        <f aca="false">HYPERLINK("https://www.ncbi.nlm.nih.gov/nuccore/CP000058.1?report=graph&amp;tracks=[key:gene_model_track,Options:GeneOnly]&amp;mk=2575841:2575860|offset_9|444444,2575789:2575808|offset_61|00cc00,2575765:2575784|offset_85|444444,2575738:2575757|offset_112|444444&amp;v=2575640:2575957&amp;c=444444", "offset 61")</f>
        <v>offset 61</v>
      </c>
    </row>
    <row r="8172" customFormat="false" ht="12.8" hidden="false" customHeight="false" outlineLevel="0" collapsed="false">
      <c r="A8172" s="0" t="s">
        <v>12</v>
      </c>
      <c r="B8172" s="0" t="n">
        <v>2575764</v>
      </c>
      <c r="C8172" s="0" t="n">
        <v>2575784</v>
      </c>
      <c r="D8172" s="0" t="s">
        <v>27191</v>
      </c>
      <c r="E8172" s="0" t="s">
        <v>75</v>
      </c>
      <c r="F8172" s="0" t="s">
        <v>90</v>
      </c>
      <c r="G8172" s="0" t="s">
        <v>16</v>
      </c>
      <c r="H8172" s="0" t="n">
        <v>85</v>
      </c>
      <c r="I8172" s="0" t="s">
        <v>27198</v>
      </c>
      <c r="J8172" s="0" t="s">
        <v>27199</v>
      </c>
      <c r="K8172" s="0" t="s">
        <v>27200</v>
      </c>
      <c r="L8172" s="0" t="str">
        <f aca="false">HYPERLINK("https://www.ncbi.nlm.nih.gov/nuccore/CP000058.1?report=graph&amp;tracks=[key:gene_model_track,Options:GeneOnly]&amp;mk=2575841:2575860|offset_9|444444,2575789:2575808|offset_61|444444,2575765:2575784|offset_85|00cc00,2575738:2575757|offset_112|444444&amp;v=2575640:2575957&amp;c=444444", "offset 85")</f>
        <v>offset 85</v>
      </c>
    </row>
    <row r="8173" customFormat="false" ht="12.8" hidden="false" customHeight="false" outlineLevel="0" collapsed="false">
      <c r="A8173" s="0" t="s">
        <v>12</v>
      </c>
      <c r="B8173" s="0" t="n">
        <v>2575737</v>
      </c>
      <c r="C8173" s="0" t="n">
        <v>2575757</v>
      </c>
      <c r="D8173" s="0" t="s">
        <v>27191</v>
      </c>
      <c r="E8173" s="0" t="s">
        <v>75</v>
      </c>
      <c r="F8173" s="0" t="s">
        <v>90</v>
      </c>
      <c r="G8173" s="0" t="s">
        <v>20</v>
      </c>
      <c r="H8173" s="0" t="n">
        <v>112</v>
      </c>
      <c r="I8173" s="0" t="s">
        <v>27201</v>
      </c>
      <c r="J8173" s="0" t="s">
        <v>27202</v>
      </c>
      <c r="K8173" s="0" t="s">
        <v>27203</v>
      </c>
      <c r="L8173" s="0" t="str">
        <f aca="false">HYPERLINK("https://www.ncbi.nlm.nih.gov/nuccore/CP000058.1?report=graph&amp;tracks=[key:gene_model_track,Options:GeneOnly]&amp;mk=2575841:2575860|offset_9|444444,2575789:2575808|offset_61|444444,2575765:2575784|offset_85|444444,2575738:2575757|offset_112|00cc00&amp;v=2575640:2575957&amp;c=444444", "offset 112")</f>
        <v>offset 112</v>
      </c>
    </row>
    <row r="8174" customFormat="false" ht="12.8" hidden="false" customHeight="false" outlineLevel="0" collapsed="false">
      <c r="A8174" s="0" t="s">
        <v>12</v>
      </c>
      <c r="B8174" s="0" t="n">
        <v>2576091</v>
      </c>
      <c r="C8174" s="0" t="n">
        <v>2576111</v>
      </c>
      <c r="D8174" s="0" t="s">
        <v>27204</v>
      </c>
      <c r="E8174" s="0" t="s">
        <v>75</v>
      </c>
      <c r="F8174" s="0" t="s">
        <v>15</v>
      </c>
      <c r="G8174" s="0" t="s">
        <v>16</v>
      </c>
      <c r="H8174" s="0" t="n">
        <v>38</v>
      </c>
      <c r="I8174" s="0" t="s">
        <v>27205</v>
      </c>
      <c r="J8174" s="0" t="s">
        <v>27206</v>
      </c>
      <c r="K8174" s="0" t="s">
        <v>27207</v>
      </c>
      <c r="L8174" s="0" t="str">
        <f aca="false">HYPERLINK("https://www.ncbi.nlm.nih.gov/nuccore/CP000058.1?report=graph&amp;tracks=[key:gene_model_track,Options:GeneOnly]&amp;mk=2576092:2576111|offset_38|00cc00,2576116:2576135|offset_62|444444,2576143:2576162|offset_89|444444,2576182:2576201|offset_128|444444&amp;v=2575891:2576401&amp;c=444444", "offset 38")</f>
        <v>offset 38</v>
      </c>
    </row>
    <row r="8175" customFormat="false" ht="12.8" hidden="false" customHeight="false" outlineLevel="0" collapsed="false">
      <c r="A8175" s="0" t="s">
        <v>12</v>
      </c>
      <c r="B8175" s="0" t="n">
        <v>2576115</v>
      </c>
      <c r="C8175" s="0" t="n">
        <v>2576135</v>
      </c>
      <c r="D8175" s="0" t="s">
        <v>27204</v>
      </c>
      <c r="E8175" s="0" t="s">
        <v>75</v>
      </c>
      <c r="F8175" s="0" t="s">
        <v>15</v>
      </c>
      <c r="G8175" s="0" t="s">
        <v>20</v>
      </c>
      <c r="H8175" s="0" t="n">
        <v>62</v>
      </c>
      <c r="I8175" s="0" t="s">
        <v>27208</v>
      </c>
      <c r="J8175" s="0" t="s">
        <v>27209</v>
      </c>
      <c r="K8175" s="0" t="s">
        <v>27210</v>
      </c>
      <c r="L8175" s="0" t="str">
        <f aca="false">HYPERLINK("https://www.ncbi.nlm.nih.gov/nuccore/CP000058.1?report=graph&amp;tracks=[key:gene_model_track,Options:GeneOnly]&amp;mk=2576092:2576111|offset_38|444444,2576116:2576135|offset_62|00cc00,2576143:2576162|offset_89|444444,2576182:2576201|offset_128|444444&amp;v=2575891:2576401&amp;c=444444", "offset 62")</f>
        <v>offset 62</v>
      </c>
    </row>
    <row r="8176" customFormat="false" ht="12.8" hidden="false" customHeight="false" outlineLevel="0" collapsed="false">
      <c r="A8176" s="0" t="s">
        <v>12</v>
      </c>
      <c r="B8176" s="0" t="n">
        <v>2576142</v>
      </c>
      <c r="C8176" s="0" t="n">
        <v>2576162</v>
      </c>
      <c r="D8176" s="0" t="s">
        <v>27204</v>
      </c>
      <c r="E8176" s="0" t="s">
        <v>75</v>
      </c>
      <c r="F8176" s="0" t="s">
        <v>15</v>
      </c>
      <c r="G8176" s="0" t="s">
        <v>20</v>
      </c>
      <c r="H8176" s="0" t="n">
        <v>89</v>
      </c>
      <c r="I8176" s="0" t="s">
        <v>27211</v>
      </c>
      <c r="J8176" s="0" t="s">
        <v>27212</v>
      </c>
      <c r="K8176" s="0" t="s">
        <v>27213</v>
      </c>
      <c r="L8176" s="0" t="str">
        <f aca="false">HYPERLINK("https://www.ncbi.nlm.nih.gov/nuccore/CP000058.1?report=graph&amp;tracks=[key:gene_model_track,Options:GeneOnly]&amp;mk=2576092:2576111|offset_38|444444,2576116:2576135|offset_62|444444,2576143:2576162|offset_89|00cc00,2576182:2576201|offset_128|444444&amp;v=2575891:2576401&amp;c=444444", "offset 89")</f>
        <v>offset 89</v>
      </c>
    </row>
    <row r="8177" customFormat="false" ht="12.8" hidden="false" customHeight="false" outlineLevel="0" collapsed="false">
      <c r="A8177" s="0" t="s">
        <v>12</v>
      </c>
      <c r="B8177" s="0" t="n">
        <v>2576181</v>
      </c>
      <c r="C8177" s="0" t="n">
        <v>2576201</v>
      </c>
      <c r="D8177" s="0" t="s">
        <v>27204</v>
      </c>
      <c r="E8177" s="0" t="s">
        <v>75</v>
      </c>
      <c r="F8177" s="0" t="s">
        <v>15</v>
      </c>
      <c r="G8177" s="0" t="s">
        <v>20</v>
      </c>
      <c r="H8177" s="0" t="n">
        <v>128</v>
      </c>
      <c r="I8177" s="0" t="s">
        <v>27214</v>
      </c>
      <c r="J8177" s="0" t="s">
        <v>27215</v>
      </c>
      <c r="K8177" s="0" t="s">
        <v>27216</v>
      </c>
      <c r="L8177" s="0" t="str">
        <f aca="false">HYPERLINK("https://www.ncbi.nlm.nih.gov/nuccore/CP000058.1?report=graph&amp;tracks=[key:gene_model_track,Options:GeneOnly]&amp;mk=2576092:2576111|offset_38|444444,2576116:2576135|offset_62|444444,2576143:2576162|offset_89|444444,2576182:2576201|offset_128|00cc00&amp;v=2575891:2576401&amp;c=444444", "offset 128")</f>
        <v>offset 128</v>
      </c>
    </row>
    <row r="8178" customFormat="false" ht="12.8" hidden="false" customHeight="false" outlineLevel="0" collapsed="false">
      <c r="A8178" s="0" t="s">
        <v>12</v>
      </c>
      <c r="B8178" s="0" t="n">
        <v>2580327</v>
      </c>
      <c r="C8178" s="0" t="n">
        <v>2580347</v>
      </c>
      <c r="D8178" s="0" t="s">
        <v>27217</v>
      </c>
      <c r="E8178" s="0" t="s">
        <v>27218</v>
      </c>
      <c r="F8178" s="0" t="s">
        <v>90</v>
      </c>
      <c r="G8178" s="0" t="s">
        <v>16</v>
      </c>
      <c r="H8178" s="0" t="n">
        <v>25</v>
      </c>
      <c r="I8178" s="0" t="s">
        <v>27219</v>
      </c>
      <c r="J8178" s="0" t="s">
        <v>27220</v>
      </c>
      <c r="K8178" s="0" t="s">
        <v>27221</v>
      </c>
      <c r="L8178" s="0" t="str">
        <f aca="false">HYPERLINK("https://www.ncbi.nlm.nih.gov/nuccore/CP000058.1?report=graph&amp;tracks=[key:gene_model_track,Options:GeneOnly]&amp;mk=2580328:2580347|offset_25|00cc00,2580301:2580320|offset_52|444444,2580270:2580289|offset_83|444444,2580239:2580258|offset_114|444444&amp;v=2580127:2580458&amp;c=444444", "offset 25")</f>
        <v>offset 25</v>
      </c>
    </row>
    <row r="8179" customFormat="false" ht="12.8" hidden="false" customHeight="false" outlineLevel="0" collapsed="false">
      <c r="A8179" s="0" t="s">
        <v>12</v>
      </c>
      <c r="B8179" s="0" t="n">
        <v>2580300</v>
      </c>
      <c r="C8179" s="0" t="n">
        <v>2580320</v>
      </c>
      <c r="D8179" s="0" t="s">
        <v>27217</v>
      </c>
      <c r="E8179" s="0" t="s">
        <v>27218</v>
      </c>
      <c r="F8179" s="0" t="s">
        <v>90</v>
      </c>
      <c r="G8179" s="0" t="s">
        <v>16</v>
      </c>
      <c r="H8179" s="0" t="n">
        <v>52</v>
      </c>
      <c r="I8179" s="0" t="s">
        <v>27222</v>
      </c>
      <c r="J8179" s="0" t="s">
        <v>27223</v>
      </c>
      <c r="K8179" s="0" t="s">
        <v>27224</v>
      </c>
      <c r="L8179" s="0" t="str">
        <f aca="false">HYPERLINK("https://www.ncbi.nlm.nih.gov/nuccore/CP000058.1?report=graph&amp;tracks=[key:gene_model_track,Options:GeneOnly]&amp;mk=2580328:2580347|offset_25|444444,2580301:2580320|offset_52|00cc00,2580270:2580289|offset_83|444444,2580239:2580258|offset_114|444444&amp;v=2580127:2580458&amp;c=444444", "offset 52")</f>
        <v>offset 52</v>
      </c>
    </row>
    <row r="8180" customFormat="false" ht="12.8" hidden="false" customHeight="false" outlineLevel="0" collapsed="false">
      <c r="A8180" s="0" t="s">
        <v>12</v>
      </c>
      <c r="B8180" s="0" t="n">
        <v>2580269</v>
      </c>
      <c r="C8180" s="0" t="n">
        <v>2580289</v>
      </c>
      <c r="D8180" s="0" t="s">
        <v>27217</v>
      </c>
      <c r="E8180" s="0" t="s">
        <v>27218</v>
      </c>
      <c r="F8180" s="0" t="s">
        <v>90</v>
      </c>
      <c r="G8180" s="0" t="s">
        <v>36</v>
      </c>
      <c r="H8180" s="0" t="n">
        <v>83</v>
      </c>
      <c r="I8180" s="0" t="s">
        <v>27225</v>
      </c>
      <c r="J8180" s="0" t="s">
        <v>27226</v>
      </c>
      <c r="K8180" s="0" t="s">
        <v>27227</v>
      </c>
      <c r="L8180" s="0" t="str">
        <f aca="false">HYPERLINK("https://www.ncbi.nlm.nih.gov/nuccore/CP000058.1?report=graph&amp;tracks=[key:gene_model_track,Options:GeneOnly]&amp;mk=2580328:2580347|offset_25|444444,2580301:2580320|offset_52|444444,2580270:2580289|offset_83|00cc00,2580239:2580258|offset_114|444444&amp;v=2580127:2580458&amp;c=444444", "offset 83")</f>
        <v>offset 83</v>
      </c>
    </row>
    <row r="8181" customFormat="false" ht="12.8" hidden="false" customHeight="false" outlineLevel="0" collapsed="false">
      <c r="A8181" s="0" t="s">
        <v>12</v>
      </c>
      <c r="B8181" s="0" t="n">
        <v>2580238</v>
      </c>
      <c r="C8181" s="0" t="n">
        <v>2580258</v>
      </c>
      <c r="D8181" s="0" t="s">
        <v>27217</v>
      </c>
      <c r="E8181" s="0" t="s">
        <v>27218</v>
      </c>
      <c r="F8181" s="0" t="s">
        <v>90</v>
      </c>
      <c r="G8181" s="0" t="s">
        <v>16</v>
      </c>
      <c r="H8181" s="0" t="n">
        <v>114</v>
      </c>
      <c r="I8181" s="0" t="s">
        <v>27228</v>
      </c>
      <c r="J8181" s="0" t="s">
        <v>27229</v>
      </c>
      <c r="K8181" s="0" t="s">
        <v>27230</v>
      </c>
      <c r="L8181" s="0" t="str">
        <f aca="false">HYPERLINK("https://www.ncbi.nlm.nih.gov/nuccore/CP000058.1?report=graph&amp;tracks=[key:gene_model_track,Options:GeneOnly]&amp;mk=2580328:2580347|offset_25|444444,2580301:2580320|offset_52|444444,2580270:2580289|offset_83|444444,2580239:2580258|offset_114|00cc00&amp;v=2580127:2580458&amp;c=444444", "offset 114")</f>
        <v>offset 114</v>
      </c>
    </row>
    <row r="8182" customFormat="false" ht="12.8" hidden="false" customHeight="false" outlineLevel="0" collapsed="false">
      <c r="A8182" s="0" t="s">
        <v>12</v>
      </c>
      <c r="B8182" s="0" t="n">
        <v>2580804</v>
      </c>
      <c r="C8182" s="0" t="n">
        <v>2580824</v>
      </c>
      <c r="D8182" s="0" t="s">
        <v>27231</v>
      </c>
      <c r="E8182" s="0" t="s">
        <v>75</v>
      </c>
      <c r="F8182" s="0" t="s">
        <v>90</v>
      </c>
      <c r="G8182" s="0" t="s">
        <v>16</v>
      </c>
      <c r="H8182" s="0" t="n">
        <v>54</v>
      </c>
      <c r="I8182" s="0" t="s">
        <v>27232</v>
      </c>
      <c r="J8182" s="0" t="s">
        <v>27233</v>
      </c>
      <c r="K8182" s="0" t="s">
        <v>27234</v>
      </c>
      <c r="L8182" s="0" t="str">
        <f aca="false">HYPERLINK("https://www.ncbi.nlm.nih.gov/nuccore/CP000058.1?report=graph&amp;tracks=[key:gene_model_track,Options:GeneOnly]&amp;mk=2580805:2580824|offset_54|00cc00,2580774:2580793|offset_85|444444,2580713:2580732|offset_146|444444,2580687:2580706|offset_172|444444&amp;v=2580604:2580906&amp;c=444444", "offset 54")</f>
        <v>offset 54</v>
      </c>
    </row>
    <row r="8183" customFormat="false" ht="12.8" hidden="false" customHeight="false" outlineLevel="0" collapsed="false">
      <c r="A8183" s="0" t="s">
        <v>12</v>
      </c>
      <c r="B8183" s="0" t="n">
        <v>2580773</v>
      </c>
      <c r="C8183" s="0" t="n">
        <v>2580793</v>
      </c>
      <c r="D8183" s="0" t="s">
        <v>27231</v>
      </c>
      <c r="E8183" s="0" t="s">
        <v>75</v>
      </c>
      <c r="F8183" s="0" t="s">
        <v>90</v>
      </c>
      <c r="G8183" s="0" t="s">
        <v>16</v>
      </c>
      <c r="H8183" s="0" t="n">
        <v>85</v>
      </c>
      <c r="I8183" s="0" t="s">
        <v>27235</v>
      </c>
      <c r="J8183" s="0" t="s">
        <v>27236</v>
      </c>
      <c r="K8183" s="0" t="s">
        <v>27237</v>
      </c>
      <c r="L8183" s="0" t="str">
        <f aca="false">HYPERLINK("https://www.ncbi.nlm.nih.gov/nuccore/CP000058.1?report=graph&amp;tracks=[key:gene_model_track,Options:GeneOnly]&amp;mk=2580805:2580824|offset_54|444444,2580774:2580793|offset_85|00cc00,2580713:2580732|offset_146|444444,2580687:2580706|offset_172|444444&amp;v=2580604:2580906&amp;c=444444", "offset 85")</f>
        <v>offset 85</v>
      </c>
    </row>
    <row r="8184" customFormat="false" ht="12.8" hidden="false" customHeight="false" outlineLevel="0" collapsed="false">
      <c r="A8184" s="0" t="s">
        <v>12</v>
      </c>
      <c r="B8184" s="0" t="n">
        <v>2580712</v>
      </c>
      <c r="C8184" s="0" t="n">
        <v>2580732</v>
      </c>
      <c r="D8184" s="0" t="s">
        <v>27231</v>
      </c>
      <c r="E8184" s="0" t="s">
        <v>75</v>
      </c>
      <c r="F8184" s="0" t="s">
        <v>90</v>
      </c>
      <c r="G8184" s="0" t="s">
        <v>20</v>
      </c>
      <c r="H8184" s="0" t="n">
        <v>146</v>
      </c>
      <c r="I8184" s="0" t="s">
        <v>27238</v>
      </c>
      <c r="J8184" s="0" t="s">
        <v>27239</v>
      </c>
      <c r="K8184" s="0" t="s">
        <v>27240</v>
      </c>
      <c r="L8184" s="0" t="str">
        <f aca="false">HYPERLINK("https://www.ncbi.nlm.nih.gov/nuccore/CP000058.1?report=graph&amp;tracks=[key:gene_model_track,Options:GeneOnly]&amp;mk=2580805:2580824|offset_54|444444,2580774:2580793|offset_85|444444,2580713:2580732|offset_146|00cc00,2580687:2580706|offset_172|444444&amp;v=2580604:2580906&amp;c=444444", "offset 146")</f>
        <v>offset 146</v>
      </c>
    </row>
    <row r="8185" customFormat="false" ht="12.8" hidden="false" customHeight="false" outlineLevel="0" collapsed="false">
      <c r="A8185" s="0" t="s">
        <v>12</v>
      </c>
      <c r="B8185" s="0" t="n">
        <v>2580686</v>
      </c>
      <c r="C8185" s="0" t="n">
        <v>2580706</v>
      </c>
      <c r="D8185" s="0" t="s">
        <v>27231</v>
      </c>
      <c r="E8185" s="0" t="s">
        <v>75</v>
      </c>
      <c r="F8185" s="0" t="s">
        <v>90</v>
      </c>
      <c r="G8185" s="0" t="s">
        <v>32</v>
      </c>
      <c r="H8185" s="0" t="n">
        <v>172</v>
      </c>
      <c r="I8185" s="0" t="s">
        <v>27241</v>
      </c>
      <c r="J8185" s="0" t="s">
        <v>27242</v>
      </c>
      <c r="K8185" s="0" t="s">
        <v>27243</v>
      </c>
      <c r="L8185" s="0" t="str">
        <f aca="false">HYPERLINK("https://www.ncbi.nlm.nih.gov/nuccore/CP000058.1?report=graph&amp;tracks=[key:gene_model_track,Options:GeneOnly]&amp;mk=2580805:2580824|offset_54|444444,2580774:2580793|offset_85|444444,2580713:2580732|offset_146|444444,2580687:2580706|offset_172|00cc00&amp;v=2580604:2580906&amp;c=444444", "offset 172")</f>
        <v>offset 172</v>
      </c>
    </row>
    <row r="8186" customFormat="false" ht="12.8" hidden="false" customHeight="false" outlineLevel="0" collapsed="false">
      <c r="A8186" s="0" t="s">
        <v>12</v>
      </c>
      <c r="B8186" s="0" t="n">
        <v>2581603</v>
      </c>
      <c r="C8186" s="0" t="n">
        <v>2581623</v>
      </c>
      <c r="D8186" s="0" t="s">
        <v>27244</v>
      </c>
      <c r="E8186" s="0" t="s">
        <v>75</v>
      </c>
      <c r="F8186" s="0" t="s">
        <v>90</v>
      </c>
      <c r="G8186" s="0" t="s">
        <v>16</v>
      </c>
      <c r="H8186" s="0" t="n">
        <v>24</v>
      </c>
      <c r="I8186" s="0" t="s">
        <v>27245</v>
      </c>
      <c r="J8186" s="0" t="s">
        <v>27246</v>
      </c>
      <c r="K8186" s="0" t="s">
        <v>27247</v>
      </c>
      <c r="L8186" s="0" t="str">
        <f aca="false">HYPERLINK("https://www.ncbi.nlm.nih.gov/nuccore/CP000058.1?report=graph&amp;tracks=[key:gene_model_track,Options:GeneOnly]&amp;mk=2581604:2581623|offset_24|00cc00,2581583:2581602|offset_45|444444,2581559:2581578|offset_69|444444,2581539:2581558|offset_89|444444&amp;v=2581403:2581758&amp;c=444444", "offset 24")</f>
        <v>offset 24</v>
      </c>
    </row>
    <row r="8187" customFormat="false" ht="12.8" hidden="false" customHeight="false" outlineLevel="0" collapsed="false">
      <c r="A8187" s="0" t="s">
        <v>12</v>
      </c>
      <c r="B8187" s="0" t="n">
        <v>2581582</v>
      </c>
      <c r="C8187" s="0" t="n">
        <v>2581602</v>
      </c>
      <c r="D8187" s="0" t="s">
        <v>27244</v>
      </c>
      <c r="E8187" s="0" t="s">
        <v>75</v>
      </c>
      <c r="F8187" s="0" t="s">
        <v>90</v>
      </c>
      <c r="G8187" s="0" t="s">
        <v>16</v>
      </c>
      <c r="H8187" s="0" t="n">
        <v>45</v>
      </c>
      <c r="I8187" s="0" t="s">
        <v>27248</v>
      </c>
      <c r="J8187" s="0" t="s">
        <v>27249</v>
      </c>
      <c r="K8187" s="0" t="s">
        <v>27250</v>
      </c>
      <c r="L8187" s="0" t="str">
        <f aca="false">HYPERLINK("https://www.ncbi.nlm.nih.gov/nuccore/CP000058.1?report=graph&amp;tracks=[key:gene_model_track,Options:GeneOnly]&amp;mk=2581604:2581623|offset_24|444444,2581583:2581602|offset_45|00cc00,2581559:2581578|offset_69|444444,2581539:2581558|offset_89|444444&amp;v=2581403:2581758&amp;c=444444", "offset 45")</f>
        <v>offset 45</v>
      </c>
    </row>
    <row r="8188" customFormat="false" ht="12.8" hidden="false" customHeight="false" outlineLevel="0" collapsed="false">
      <c r="A8188" s="0" t="s">
        <v>12</v>
      </c>
      <c r="B8188" s="0" t="n">
        <v>2581558</v>
      </c>
      <c r="C8188" s="0" t="n">
        <v>2581578</v>
      </c>
      <c r="D8188" s="0" t="s">
        <v>27244</v>
      </c>
      <c r="E8188" s="0" t="s">
        <v>75</v>
      </c>
      <c r="F8188" s="0" t="s">
        <v>90</v>
      </c>
      <c r="G8188" s="0" t="s">
        <v>36</v>
      </c>
      <c r="H8188" s="0" t="n">
        <v>69</v>
      </c>
      <c r="I8188" s="0" t="s">
        <v>27251</v>
      </c>
      <c r="J8188" s="0" t="s">
        <v>27252</v>
      </c>
      <c r="K8188" s="0" t="s">
        <v>27253</v>
      </c>
      <c r="L8188" s="0" t="str">
        <f aca="false">HYPERLINK("https://www.ncbi.nlm.nih.gov/nuccore/CP000058.1?report=graph&amp;tracks=[key:gene_model_track,Options:GeneOnly]&amp;mk=2581604:2581623|offset_24|444444,2581583:2581602|offset_45|444444,2581559:2581578|offset_69|00cc00,2581539:2581558|offset_89|444444&amp;v=2581403:2581758&amp;c=444444", "offset 69")</f>
        <v>offset 69</v>
      </c>
    </row>
    <row r="8189" customFormat="false" ht="12.8" hidden="false" customHeight="false" outlineLevel="0" collapsed="false">
      <c r="A8189" s="0" t="s">
        <v>12</v>
      </c>
      <c r="B8189" s="0" t="n">
        <v>2581538</v>
      </c>
      <c r="C8189" s="0" t="n">
        <v>2581558</v>
      </c>
      <c r="D8189" s="0" t="s">
        <v>27244</v>
      </c>
      <c r="E8189" s="0" t="s">
        <v>75</v>
      </c>
      <c r="F8189" s="0" t="s">
        <v>90</v>
      </c>
      <c r="G8189" s="0" t="s">
        <v>20</v>
      </c>
      <c r="H8189" s="0" t="n">
        <v>89</v>
      </c>
      <c r="I8189" s="0" t="s">
        <v>27254</v>
      </c>
      <c r="J8189" s="0" t="s">
        <v>27255</v>
      </c>
      <c r="K8189" s="0" t="s">
        <v>27256</v>
      </c>
      <c r="L8189" s="0" t="str">
        <f aca="false">HYPERLINK("https://www.ncbi.nlm.nih.gov/nuccore/CP000058.1?report=graph&amp;tracks=[key:gene_model_track,Options:GeneOnly]&amp;mk=2581604:2581623|offset_24|444444,2581583:2581602|offset_45|444444,2581559:2581578|offset_69|444444,2581539:2581558|offset_89|00cc00&amp;v=2581403:2581758&amp;c=444444", "offset 89")</f>
        <v>offset 89</v>
      </c>
    </row>
    <row r="8190" customFormat="false" ht="12.8" hidden="false" customHeight="false" outlineLevel="0" collapsed="false">
      <c r="A8190" s="0" t="s">
        <v>12</v>
      </c>
      <c r="B8190" s="0" t="n">
        <v>2582367</v>
      </c>
      <c r="C8190" s="0" t="n">
        <v>2582387</v>
      </c>
      <c r="D8190" s="0" t="s">
        <v>27257</v>
      </c>
      <c r="E8190" s="0" t="s">
        <v>75</v>
      </c>
      <c r="F8190" s="0" t="s">
        <v>15</v>
      </c>
      <c r="G8190" s="0" t="s">
        <v>16</v>
      </c>
      <c r="H8190" s="0" t="n">
        <v>8</v>
      </c>
      <c r="I8190" s="0" t="s">
        <v>27258</v>
      </c>
      <c r="J8190" s="0" t="s">
        <v>27259</v>
      </c>
      <c r="K8190" s="0" t="s">
        <v>27260</v>
      </c>
      <c r="L8190" s="0" t="str">
        <f aca="false">HYPERLINK("https://www.ncbi.nlm.nih.gov/nuccore/CP000058.1?report=graph&amp;tracks=[key:gene_model_track,Options:GeneOnly]&amp;mk=2582368:2582387|offset_8|00cc00,2582391:2582410|offset_31|444444,2582418:2582437|offset_58|444444,2582440:2582459|offset_80|444444&amp;v=2582167:2582659&amp;c=444444", "offset 8")</f>
        <v>offset 8</v>
      </c>
    </row>
    <row r="8191" customFormat="false" ht="12.8" hidden="false" customHeight="false" outlineLevel="0" collapsed="false">
      <c r="A8191" s="0" t="s">
        <v>12</v>
      </c>
      <c r="B8191" s="0" t="n">
        <v>2582390</v>
      </c>
      <c r="C8191" s="0" t="n">
        <v>2582410</v>
      </c>
      <c r="D8191" s="0" t="s">
        <v>27257</v>
      </c>
      <c r="E8191" s="0" t="s">
        <v>75</v>
      </c>
      <c r="F8191" s="0" t="s">
        <v>15</v>
      </c>
      <c r="G8191" s="0" t="s">
        <v>32</v>
      </c>
      <c r="H8191" s="0" t="n">
        <v>31</v>
      </c>
      <c r="I8191" s="0" t="s">
        <v>27261</v>
      </c>
      <c r="J8191" s="0" t="s">
        <v>27262</v>
      </c>
      <c r="K8191" s="0" t="s">
        <v>27263</v>
      </c>
      <c r="L8191" s="0" t="str">
        <f aca="false">HYPERLINK("https://www.ncbi.nlm.nih.gov/nuccore/CP000058.1?report=graph&amp;tracks=[key:gene_model_track,Options:GeneOnly]&amp;mk=2582368:2582387|offset_8|444444,2582391:2582410|offset_31|00cc00,2582418:2582437|offset_58|444444,2582440:2582459|offset_80|444444&amp;v=2582167:2582659&amp;c=444444", "offset 31")</f>
        <v>offset 31</v>
      </c>
    </row>
    <row r="8192" customFormat="false" ht="12.8" hidden="false" customHeight="false" outlineLevel="0" collapsed="false">
      <c r="A8192" s="0" t="s">
        <v>12</v>
      </c>
      <c r="B8192" s="0" t="n">
        <v>2582417</v>
      </c>
      <c r="C8192" s="0" t="n">
        <v>2582437</v>
      </c>
      <c r="D8192" s="0" t="s">
        <v>27257</v>
      </c>
      <c r="E8192" s="0" t="s">
        <v>75</v>
      </c>
      <c r="F8192" s="0" t="s">
        <v>15</v>
      </c>
      <c r="G8192" s="0" t="s">
        <v>36</v>
      </c>
      <c r="H8192" s="0" t="n">
        <v>58</v>
      </c>
      <c r="I8192" s="0" t="s">
        <v>27264</v>
      </c>
      <c r="J8192" s="0" t="s">
        <v>27265</v>
      </c>
      <c r="K8192" s="0" t="s">
        <v>27266</v>
      </c>
      <c r="L8192" s="0" t="str">
        <f aca="false">HYPERLINK("https://www.ncbi.nlm.nih.gov/nuccore/CP000058.1?report=graph&amp;tracks=[key:gene_model_track,Options:GeneOnly]&amp;mk=2582368:2582387|offset_8|444444,2582391:2582410|offset_31|444444,2582418:2582437|offset_58|00cc00,2582440:2582459|offset_80|444444&amp;v=2582167:2582659&amp;c=444444", "offset 58")</f>
        <v>offset 58</v>
      </c>
    </row>
    <row r="8193" customFormat="false" ht="12.8" hidden="false" customHeight="false" outlineLevel="0" collapsed="false">
      <c r="A8193" s="0" t="s">
        <v>12</v>
      </c>
      <c r="B8193" s="0" t="n">
        <v>2582439</v>
      </c>
      <c r="C8193" s="0" t="n">
        <v>2582459</v>
      </c>
      <c r="D8193" s="0" t="s">
        <v>27257</v>
      </c>
      <c r="E8193" s="0" t="s">
        <v>75</v>
      </c>
      <c r="F8193" s="0" t="s">
        <v>15</v>
      </c>
      <c r="G8193" s="0" t="s">
        <v>20</v>
      </c>
      <c r="H8193" s="0" t="n">
        <v>80</v>
      </c>
      <c r="I8193" s="0" t="s">
        <v>27267</v>
      </c>
      <c r="J8193" s="0" t="s">
        <v>27268</v>
      </c>
      <c r="K8193" s="0" t="s">
        <v>27269</v>
      </c>
      <c r="L8193" s="0" t="str">
        <f aca="false">HYPERLINK("https://www.ncbi.nlm.nih.gov/nuccore/CP000058.1?report=graph&amp;tracks=[key:gene_model_track,Options:GeneOnly]&amp;mk=2582368:2582387|offset_8|444444,2582391:2582410|offset_31|444444,2582418:2582437|offset_58|444444,2582440:2582459|offset_80|00cc00&amp;v=2582167:2582659&amp;c=444444", "offset 80")</f>
        <v>offset 80</v>
      </c>
    </row>
    <row r="8194" customFormat="false" ht="12.8" hidden="false" customHeight="false" outlineLevel="0" collapsed="false">
      <c r="A8194" s="0" t="s">
        <v>12</v>
      </c>
      <c r="B8194" s="0" t="n">
        <v>2583508</v>
      </c>
      <c r="C8194" s="0" t="n">
        <v>2583528</v>
      </c>
      <c r="D8194" s="0" t="s">
        <v>27270</v>
      </c>
      <c r="E8194" s="0" t="s">
        <v>27271</v>
      </c>
      <c r="F8194" s="0" t="s">
        <v>15</v>
      </c>
      <c r="G8194" s="0" t="s">
        <v>36</v>
      </c>
      <c r="H8194" s="0" t="n">
        <v>50</v>
      </c>
      <c r="I8194" s="0" t="s">
        <v>27272</v>
      </c>
      <c r="J8194" s="0" t="s">
        <v>27273</v>
      </c>
      <c r="K8194" s="0" t="s">
        <v>27274</v>
      </c>
      <c r="L8194" s="0" t="str">
        <f aca="false">HYPERLINK("https://www.ncbi.nlm.nih.gov/nuccore/CP000058.1?report=graph&amp;tracks=[key:gene_model_track,Options:GeneOnly]&amp;mk=2583509:2583528|offset_50|00cc00,2583529:2583548|offset_70|444444,2583565:2583584|offset_106|444444,2583586:2583605|offset_127|444444&amp;v=2583308:2583805&amp;c=444444", "offset 50")</f>
        <v>offset 50</v>
      </c>
    </row>
    <row r="8195" customFormat="false" ht="12.8" hidden="false" customHeight="false" outlineLevel="0" collapsed="false">
      <c r="A8195" s="0" t="s">
        <v>12</v>
      </c>
      <c r="B8195" s="0" t="n">
        <v>2583528</v>
      </c>
      <c r="C8195" s="0" t="n">
        <v>2583548</v>
      </c>
      <c r="D8195" s="0" t="s">
        <v>27270</v>
      </c>
      <c r="E8195" s="0" t="s">
        <v>27271</v>
      </c>
      <c r="F8195" s="0" t="s">
        <v>15</v>
      </c>
      <c r="G8195" s="0" t="s">
        <v>36</v>
      </c>
      <c r="H8195" s="0" t="n">
        <v>70</v>
      </c>
      <c r="I8195" s="0" t="s">
        <v>27275</v>
      </c>
      <c r="J8195" s="0" t="s">
        <v>27276</v>
      </c>
      <c r="K8195" s="0" t="s">
        <v>27277</v>
      </c>
      <c r="L8195" s="0" t="str">
        <f aca="false">HYPERLINK("https://www.ncbi.nlm.nih.gov/nuccore/CP000058.1?report=graph&amp;tracks=[key:gene_model_track,Options:GeneOnly]&amp;mk=2583509:2583528|offset_50|444444,2583529:2583548|offset_70|00cc00,2583565:2583584|offset_106|444444,2583586:2583605|offset_127|444444&amp;v=2583308:2583805&amp;c=444444", "offset 70")</f>
        <v>offset 70</v>
      </c>
    </row>
    <row r="8196" customFormat="false" ht="12.8" hidden="false" customHeight="false" outlineLevel="0" collapsed="false">
      <c r="A8196" s="0" t="s">
        <v>12</v>
      </c>
      <c r="B8196" s="0" t="n">
        <v>2583564</v>
      </c>
      <c r="C8196" s="0" t="n">
        <v>2583584</v>
      </c>
      <c r="D8196" s="0" t="s">
        <v>27270</v>
      </c>
      <c r="E8196" s="0" t="s">
        <v>27271</v>
      </c>
      <c r="F8196" s="0" t="s">
        <v>15</v>
      </c>
      <c r="G8196" s="0" t="s">
        <v>16</v>
      </c>
      <c r="H8196" s="0" t="n">
        <v>106</v>
      </c>
      <c r="I8196" s="0" t="s">
        <v>27278</v>
      </c>
      <c r="J8196" s="0" t="s">
        <v>27279</v>
      </c>
      <c r="K8196" s="0" t="s">
        <v>27280</v>
      </c>
      <c r="L8196" s="0" t="str">
        <f aca="false">HYPERLINK("https://www.ncbi.nlm.nih.gov/nuccore/CP000058.1?report=graph&amp;tracks=[key:gene_model_track,Options:GeneOnly]&amp;mk=2583509:2583528|offset_50|444444,2583529:2583548|offset_70|444444,2583565:2583584|offset_106|00cc00,2583586:2583605|offset_127|444444&amp;v=2583308:2583805&amp;c=444444", "offset 106")</f>
        <v>offset 106</v>
      </c>
    </row>
    <row r="8197" customFormat="false" ht="12.8" hidden="false" customHeight="false" outlineLevel="0" collapsed="false">
      <c r="A8197" s="0" t="s">
        <v>12</v>
      </c>
      <c r="B8197" s="0" t="n">
        <v>2583585</v>
      </c>
      <c r="C8197" s="0" t="n">
        <v>2583605</v>
      </c>
      <c r="D8197" s="0" t="s">
        <v>27270</v>
      </c>
      <c r="E8197" s="0" t="s">
        <v>27271</v>
      </c>
      <c r="F8197" s="0" t="s">
        <v>15</v>
      </c>
      <c r="G8197" s="0" t="s">
        <v>16</v>
      </c>
      <c r="H8197" s="0" t="n">
        <v>127</v>
      </c>
      <c r="I8197" s="0" t="s">
        <v>27281</v>
      </c>
      <c r="J8197" s="0" t="s">
        <v>27282</v>
      </c>
      <c r="K8197" s="0" t="s">
        <v>27283</v>
      </c>
      <c r="L8197" s="0" t="str">
        <f aca="false">HYPERLINK("https://www.ncbi.nlm.nih.gov/nuccore/CP000058.1?report=graph&amp;tracks=[key:gene_model_track,Options:GeneOnly]&amp;mk=2583509:2583528|offset_50|444444,2583529:2583548|offset_70|444444,2583565:2583584|offset_106|444444,2583586:2583605|offset_127|00cc00&amp;v=2583308:2583805&amp;c=444444", "offset 127")</f>
        <v>offset 127</v>
      </c>
    </row>
    <row r="8198" customFormat="false" ht="12.8" hidden="false" customHeight="false" outlineLevel="0" collapsed="false">
      <c r="A8198" s="0" t="s">
        <v>12</v>
      </c>
      <c r="B8198" s="0" t="n">
        <v>2587280</v>
      </c>
      <c r="C8198" s="0" t="n">
        <v>2587300</v>
      </c>
      <c r="D8198" s="0" t="s">
        <v>27284</v>
      </c>
      <c r="E8198" s="0" t="s">
        <v>27285</v>
      </c>
      <c r="F8198" s="0" t="s">
        <v>15</v>
      </c>
      <c r="G8198" s="0" t="s">
        <v>20</v>
      </c>
      <c r="H8198" s="0" t="n">
        <v>7</v>
      </c>
      <c r="I8198" s="0" t="s">
        <v>27286</v>
      </c>
      <c r="J8198" s="0" t="s">
        <v>27287</v>
      </c>
      <c r="K8198" s="0" t="s">
        <v>27288</v>
      </c>
      <c r="L8198" s="0" t="str">
        <f aca="false">HYPERLINK("https://www.ncbi.nlm.nih.gov/nuccore/CP000058.1?report=graph&amp;tracks=[key:gene_model_track,Options:GeneOnly]&amp;mk=2587281:2587300|offset_7|00cc00,2587302:2587321|offset_28|444444,2587326:2587345|offset_52|444444,2587348:2587367|offset_74|444444&amp;v=2587080:2587567&amp;c=444444", "offset 7")</f>
        <v>offset 7</v>
      </c>
    </row>
    <row r="8199" customFormat="false" ht="12.8" hidden="false" customHeight="false" outlineLevel="0" collapsed="false">
      <c r="A8199" s="0" t="s">
        <v>12</v>
      </c>
      <c r="B8199" s="0" t="n">
        <v>2587301</v>
      </c>
      <c r="C8199" s="0" t="n">
        <v>2587321</v>
      </c>
      <c r="D8199" s="0" t="s">
        <v>27284</v>
      </c>
      <c r="E8199" s="0" t="s">
        <v>27285</v>
      </c>
      <c r="F8199" s="0" t="s">
        <v>15</v>
      </c>
      <c r="G8199" s="0" t="s">
        <v>16</v>
      </c>
      <c r="H8199" s="0" t="n">
        <v>28</v>
      </c>
      <c r="I8199" s="0" t="s">
        <v>27289</v>
      </c>
      <c r="J8199" s="0" t="s">
        <v>27290</v>
      </c>
      <c r="K8199" s="0" t="s">
        <v>27291</v>
      </c>
      <c r="L8199" s="0" t="str">
        <f aca="false">HYPERLINK("https://www.ncbi.nlm.nih.gov/nuccore/CP000058.1?report=graph&amp;tracks=[key:gene_model_track,Options:GeneOnly]&amp;mk=2587281:2587300|offset_7|444444,2587302:2587321|offset_28|00cc00,2587326:2587345|offset_52|444444,2587348:2587367|offset_74|444444&amp;v=2587080:2587567&amp;c=444444", "offset 28")</f>
        <v>offset 28</v>
      </c>
    </row>
    <row r="8200" customFormat="false" ht="12.8" hidden="false" customHeight="false" outlineLevel="0" collapsed="false">
      <c r="A8200" s="0" t="s">
        <v>12</v>
      </c>
      <c r="B8200" s="0" t="n">
        <v>2587325</v>
      </c>
      <c r="C8200" s="0" t="n">
        <v>2587345</v>
      </c>
      <c r="D8200" s="0" t="s">
        <v>27284</v>
      </c>
      <c r="E8200" s="0" t="s">
        <v>27285</v>
      </c>
      <c r="F8200" s="0" t="s">
        <v>15</v>
      </c>
      <c r="G8200" s="0" t="s">
        <v>16</v>
      </c>
      <c r="H8200" s="0" t="n">
        <v>52</v>
      </c>
      <c r="I8200" s="0" t="s">
        <v>27292</v>
      </c>
      <c r="J8200" s="0" t="s">
        <v>27293</v>
      </c>
      <c r="K8200" s="0" t="s">
        <v>27294</v>
      </c>
      <c r="L8200" s="0" t="str">
        <f aca="false">HYPERLINK("https://www.ncbi.nlm.nih.gov/nuccore/CP000058.1?report=graph&amp;tracks=[key:gene_model_track,Options:GeneOnly]&amp;mk=2587281:2587300|offset_7|444444,2587302:2587321|offset_28|444444,2587326:2587345|offset_52|00cc00,2587348:2587367|offset_74|444444&amp;v=2587080:2587567&amp;c=444444", "offset 52")</f>
        <v>offset 52</v>
      </c>
    </row>
    <row r="8201" customFormat="false" ht="12.8" hidden="false" customHeight="false" outlineLevel="0" collapsed="false">
      <c r="A8201" s="0" t="s">
        <v>12</v>
      </c>
      <c r="B8201" s="0" t="n">
        <v>2587347</v>
      </c>
      <c r="C8201" s="0" t="n">
        <v>2587367</v>
      </c>
      <c r="D8201" s="0" t="s">
        <v>27284</v>
      </c>
      <c r="E8201" s="0" t="s">
        <v>27285</v>
      </c>
      <c r="F8201" s="0" t="s">
        <v>15</v>
      </c>
      <c r="G8201" s="0" t="s">
        <v>20</v>
      </c>
      <c r="H8201" s="0" t="n">
        <v>74</v>
      </c>
      <c r="I8201" s="0" t="s">
        <v>27295</v>
      </c>
      <c r="J8201" s="0" t="s">
        <v>27296</v>
      </c>
      <c r="K8201" s="0" t="s">
        <v>27297</v>
      </c>
      <c r="L8201" s="0" t="str">
        <f aca="false">HYPERLINK("https://www.ncbi.nlm.nih.gov/nuccore/CP000058.1?report=graph&amp;tracks=[key:gene_model_track,Options:GeneOnly]&amp;mk=2587281:2587300|offset_7|444444,2587302:2587321|offset_28|444444,2587326:2587345|offset_52|444444,2587348:2587367|offset_74|00cc00&amp;v=2587080:2587567&amp;c=444444", "offset 74")</f>
        <v>offset 74</v>
      </c>
    </row>
    <row r="8202" customFormat="false" ht="12.8" hidden="false" customHeight="false" outlineLevel="0" collapsed="false">
      <c r="A8202" s="0" t="s">
        <v>12</v>
      </c>
      <c r="B8202" s="0" t="n">
        <v>2588380</v>
      </c>
      <c r="C8202" s="0" t="n">
        <v>2588400</v>
      </c>
      <c r="D8202" s="0" t="s">
        <v>27298</v>
      </c>
      <c r="E8202" s="0" t="s">
        <v>75</v>
      </c>
      <c r="F8202" s="0" t="s">
        <v>15</v>
      </c>
      <c r="G8202" s="0" t="s">
        <v>32</v>
      </c>
      <c r="H8202" s="0" t="n">
        <v>1</v>
      </c>
      <c r="I8202" s="0" t="s">
        <v>27299</v>
      </c>
      <c r="J8202" s="0" t="s">
        <v>27300</v>
      </c>
      <c r="K8202" s="0" t="s">
        <v>27301</v>
      </c>
      <c r="L8202" s="0" t="str">
        <f aca="false">HYPERLINK("https://www.ncbi.nlm.nih.gov/nuccore/CP000058.1?report=graph&amp;tracks=[key:gene_model_track,Options:GeneOnly]&amp;mk=2588381:2588400|offset_1|00cc00,2588403:2588422|offset_23|444444,2588440:2588459|offset_60|444444,2588466:2588485|offset_86|444444&amp;v=2588180:2588685&amp;c=444444", "offset 1")</f>
        <v>offset 1</v>
      </c>
    </row>
    <row r="8203" customFormat="false" ht="12.8" hidden="false" customHeight="false" outlineLevel="0" collapsed="false">
      <c r="A8203" s="0" t="s">
        <v>12</v>
      </c>
      <c r="B8203" s="0" t="n">
        <v>2588402</v>
      </c>
      <c r="C8203" s="0" t="n">
        <v>2588422</v>
      </c>
      <c r="D8203" s="0" t="s">
        <v>27298</v>
      </c>
      <c r="E8203" s="0" t="s">
        <v>75</v>
      </c>
      <c r="F8203" s="0" t="s">
        <v>15</v>
      </c>
      <c r="G8203" s="0" t="s">
        <v>36</v>
      </c>
      <c r="H8203" s="0" t="n">
        <v>23</v>
      </c>
      <c r="I8203" s="0" t="s">
        <v>27302</v>
      </c>
      <c r="J8203" s="0" t="s">
        <v>27303</v>
      </c>
      <c r="K8203" s="0" t="s">
        <v>27304</v>
      </c>
      <c r="L8203" s="0" t="str">
        <f aca="false">HYPERLINK("https://www.ncbi.nlm.nih.gov/nuccore/CP000058.1?report=graph&amp;tracks=[key:gene_model_track,Options:GeneOnly]&amp;mk=2588381:2588400|offset_1|444444,2588403:2588422|offset_23|00cc00,2588440:2588459|offset_60|444444,2588466:2588485|offset_86|444444&amp;v=2588180:2588685&amp;c=444444", "offset 23")</f>
        <v>offset 23</v>
      </c>
    </row>
    <row r="8204" customFormat="false" ht="12.8" hidden="false" customHeight="false" outlineLevel="0" collapsed="false">
      <c r="A8204" s="0" t="s">
        <v>12</v>
      </c>
      <c r="B8204" s="0" t="n">
        <v>2588439</v>
      </c>
      <c r="C8204" s="0" t="n">
        <v>2588459</v>
      </c>
      <c r="D8204" s="0" t="s">
        <v>27298</v>
      </c>
      <c r="E8204" s="0" t="s">
        <v>75</v>
      </c>
      <c r="F8204" s="0" t="s">
        <v>15</v>
      </c>
      <c r="G8204" s="0" t="s">
        <v>16</v>
      </c>
      <c r="H8204" s="0" t="n">
        <v>60</v>
      </c>
      <c r="I8204" s="0" t="s">
        <v>27305</v>
      </c>
      <c r="J8204" s="0" t="s">
        <v>27306</v>
      </c>
      <c r="K8204" s="0" t="s">
        <v>27307</v>
      </c>
      <c r="L8204" s="0" t="str">
        <f aca="false">HYPERLINK("https://www.ncbi.nlm.nih.gov/nuccore/CP000058.1?report=graph&amp;tracks=[key:gene_model_track,Options:GeneOnly]&amp;mk=2588381:2588400|offset_1|444444,2588403:2588422|offset_23|444444,2588440:2588459|offset_60|00cc00,2588466:2588485|offset_86|444444&amp;v=2588180:2588685&amp;c=444444", "offset 60")</f>
        <v>offset 60</v>
      </c>
    </row>
    <row r="8205" customFormat="false" ht="12.8" hidden="false" customHeight="false" outlineLevel="0" collapsed="false">
      <c r="A8205" s="0" t="s">
        <v>12</v>
      </c>
      <c r="B8205" s="0" t="n">
        <v>2588465</v>
      </c>
      <c r="C8205" s="0" t="n">
        <v>2588485</v>
      </c>
      <c r="D8205" s="0" t="s">
        <v>27298</v>
      </c>
      <c r="E8205" s="0" t="s">
        <v>75</v>
      </c>
      <c r="F8205" s="0" t="s">
        <v>15</v>
      </c>
      <c r="G8205" s="0" t="s">
        <v>32</v>
      </c>
      <c r="H8205" s="0" t="n">
        <v>86</v>
      </c>
      <c r="I8205" s="0" t="s">
        <v>27308</v>
      </c>
      <c r="J8205" s="0" t="s">
        <v>27309</v>
      </c>
      <c r="K8205" s="0" t="s">
        <v>27310</v>
      </c>
      <c r="L8205" s="0" t="str">
        <f aca="false">HYPERLINK("https://www.ncbi.nlm.nih.gov/nuccore/CP000058.1?report=graph&amp;tracks=[key:gene_model_track,Options:GeneOnly]&amp;mk=2588381:2588400|offset_1|444444,2588403:2588422|offset_23|444444,2588440:2588459|offset_60|444444,2588466:2588485|offset_86|00cc00&amp;v=2588180:2588685&amp;c=444444", "offset 86")</f>
        <v>offset 86</v>
      </c>
    </row>
    <row r="8206" customFormat="false" ht="12.8" hidden="false" customHeight="false" outlineLevel="0" collapsed="false">
      <c r="A8206" s="0" t="s">
        <v>12</v>
      </c>
      <c r="B8206" s="0" t="n">
        <v>2589395</v>
      </c>
      <c r="C8206" s="0" t="n">
        <v>2589415</v>
      </c>
      <c r="D8206" s="0" t="s">
        <v>27311</v>
      </c>
      <c r="E8206" s="0" t="s">
        <v>75</v>
      </c>
      <c r="F8206" s="0" t="s">
        <v>90</v>
      </c>
      <c r="G8206" s="0" t="s">
        <v>36</v>
      </c>
      <c r="H8206" s="0" t="n">
        <v>13</v>
      </c>
      <c r="I8206" s="0" t="s">
        <v>27312</v>
      </c>
      <c r="J8206" s="0" t="s">
        <v>27313</v>
      </c>
      <c r="K8206" s="0" t="s">
        <v>27314</v>
      </c>
      <c r="L8206" s="0" t="str">
        <f aca="false">HYPERLINK("https://www.ncbi.nlm.nih.gov/nuccore/CP000058.1?report=graph&amp;tracks=[key:gene_model_track,Options:GeneOnly]&amp;mk=2589396:2589415|offset_13|00cc00,2589364:2589383|offset_45|444444,2589309:2589328|offset_100|444444,2589250:2589269|offset_159|444444&amp;v=2589195:2589469&amp;c=444444", "offset 13")</f>
        <v>offset 13</v>
      </c>
    </row>
    <row r="8207" customFormat="false" ht="12.8" hidden="false" customHeight="false" outlineLevel="0" collapsed="false">
      <c r="A8207" s="0" t="s">
        <v>12</v>
      </c>
      <c r="B8207" s="0" t="n">
        <v>2589363</v>
      </c>
      <c r="C8207" s="0" t="n">
        <v>2589383</v>
      </c>
      <c r="D8207" s="0" t="s">
        <v>27311</v>
      </c>
      <c r="E8207" s="0" t="s">
        <v>75</v>
      </c>
      <c r="F8207" s="0" t="s">
        <v>90</v>
      </c>
      <c r="G8207" s="0" t="s">
        <v>16</v>
      </c>
      <c r="H8207" s="0" t="n">
        <v>45</v>
      </c>
      <c r="I8207" s="0" t="s">
        <v>27315</v>
      </c>
      <c r="J8207" s="0" t="s">
        <v>27316</v>
      </c>
      <c r="K8207" s="0" t="s">
        <v>27317</v>
      </c>
      <c r="L8207" s="0" t="str">
        <f aca="false">HYPERLINK("https://www.ncbi.nlm.nih.gov/nuccore/CP000058.1?report=graph&amp;tracks=[key:gene_model_track,Options:GeneOnly]&amp;mk=2589396:2589415|offset_13|444444,2589364:2589383|offset_45|00cc00,2589309:2589328|offset_100|444444,2589250:2589269|offset_159|444444&amp;v=2589195:2589469&amp;c=444444", "offset 45")</f>
        <v>offset 45</v>
      </c>
    </row>
    <row r="8208" customFormat="false" ht="12.8" hidden="false" customHeight="false" outlineLevel="0" collapsed="false">
      <c r="A8208" s="0" t="s">
        <v>12</v>
      </c>
      <c r="B8208" s="0" t="n">
        <v>2589308</v>
      </c>
      <c r="C8208" s="0" t="n">
        <v>2589328</v>
      </c>
      <c r="D8208" s="0" t="s">
        <v>27311</v>
      </c>
      <c r="E8208" s="0" t="s">
        <v>75</v>
      </c>
      <c r="F8208" s="0" t="s">
        <v>90</v>
      </c>
      <c r="G8208" s="0" t="s">
        <v>32</v>
      </c>
      <c r="H8208" s="0" t="n">
        <v>100</v>
      </c>
      <c r="I8208" s="0" t="s">
        <v>27318</v>
      </c>
      <c r="J8208" s="0" t="s">
        <v>27319</v>
      </c>
      <c r="K8208" s="0" t="s">
        <v>27320</v>
      </c>
      <c r="L8208" s="0" t="str">
        <f aca="false">HYPERLINK("https://www.ncbi.nlm.nih.gov/nuccore/CP000058.1?report=graph&amp;tracks=[key:gene_model_track,Options:GeneOnly]&amp;mk=2589396:2589415|offset_13|444444,2589364:2589383|offset_45|444444,2589309:2589328|offset_100|00cc00,2589250:2589269|offset_159|444444&amp;v=2589195:2589469&amp;c=444444", "offset 100")</f>
        <v>offset 100</v>
      </c>
    </row>
    <row r="8209" customFormat="false" ht="12.8" hidden="false" customHeight="false" outlineLevel="0" collapsed="false">
      <c r="A8209" s="0" t="s">
        <v>12</v>
      </c>
      <c r="B8209" s="0" t="n">
        <v>2589249</v>
      </c>
      <c r="C8209" s="0" t="n">
        <v>2589269</v>
      </c>
      <c r="D8209" s="0" t="s">
        <v>27311</v>
      </c>
      <c r="E8209" s="0" t="s">
        <v>75</v>
      </c>
      <c r="F8209" s="0" t="s">
        <v>90</v>
      </c>
      <c r="G8209" s="0" t="s">
        <v>36</v>
      </c>
      <c r="H8209" s="0" t="n">
        <v>159</v>
      </c>
      <c r="I8209" s="0" t="s">
        <v>27321</v>
      </c>
      <c r="J8209" s="0" t="s">
        <v>27322</v>
      </c>
      <c r="K8209" s="0" t="s">
        <v>27323</v>
      </c>
      <c r="L8209" s="0" t="str">
        <f aca="false">HYPERLINK("https://www.ncbi.nlm.nih.gov/nuccore/CP000058.1?report=graph&amp;tracks=[key:gene_model_track,Options:GeneOnly]&amp;mk=2589396:2589415|offset_13|444444,2589364:2589383|offset_45|444444,2589309:2589328|offset_100|444444,2589250:2589269|offset_159|00cc00&amp;v=2589195:2589469&amp;c=444444", "offset 159")</f>
        <v>offset 159</v>
      </c>
    </row>
    <row r="8210" customFormat="false" ht="12.8" hidden="false" customHeight="false" outlineLevel="0" collapsed="false">
      <c r="A8210" s="0" t="s">
        <v>12</v>
      </c>
      <c r="B8210" s="0" t="n">
        <v>2589672</v>
      </c>
      <c r="C8210" s="0" t="n">
        <v>2589692</v>
      </c>
      <c r="D8210" s="0" t="s">
        <v>27324</v>
      </c>
      <c r="E8210" s="0" t="s">
        <v>75</v>
      </c>
      <c r="F8210" s="0" t="s">
        <v>15</v>
      </c>
      <c r="G8210" s="0" t="s">
        <v>36</v>
      </c>
      <c r="H8210" s="0" t="n">
        <v>16</v>
      </c>
      <c r="I8210" s="0" t="s">
        <v>27325</v>
      </c>
      <c r="J8210" s="0" t="s">
        <v>27326</v>
      </c>
      <c r="K8210" s="0" t="s">
        <v>27327</v>
      </c>
      <c r="L8210" s="0" t="str">
        <f aca="false">HYPERLINK("https://www.ncbi.nlm.nih.gov/nuccore/CP000058.1?report=graph&amp;tracks=[key:gene_model_track,Options:GeneOnly]&amp;mk=2589673:2589692|offset_16|00cc00,2589720:2589739|offset_63|444444,2589745:2589764|offset_88|444444,2589769:2589788|offset_112|444444&amp;v=2589472:2589988&amp;c=444444", "offset 16")</f>
        <v>offset 16</v>
      </c>
    </row>
    <row r="8211" customFormat="false" ht="12.8" hidden="false" customHeight="false" outlineLevel="0" collapsed="false">
      <c r="A8211" s="0" t="s">
        <v>12</v>
      </c>
      <c r="B8211" s="0" t="n">
        <v>2589719</v>
      </c>
      <c r="C8211" s="0" t="n">
        <v>2589739</v>
      </c>
      <c r="D8211" s="0" t="s">
        <v>27324</v>
      </c>
      <c r="E8211" s="0" t="s">
        <v>75</v>
      </c>
      <c r="F8211" s="0" t="s">
        <v>15</v>
      </c>
      <c r="G8211" s="0" t="s">
        <v>20</v>
      </c>
      <c r="H8211" s="0" t="n">
        <v>63</v>
      </c>
      <c r="I8211" s="0" t="s">
        <v>27328</v>
      </c>
      <c r="J8211" s="0" t="s">
        <v>27329</v>
      </c>
      <c r="K8211" s="0" t="s">
        <v>27330</v>
      </c>
      <c r="L8211" s="0" t="str">
        <f aca="false">HYPERLINK("https://www.ncbi.nlm.nih.gov/nuccore/CP000058.1?report=graph&amp;tracks=[key:gene_model_track,Options:GeneOnly]&amp;mk=2589673:2589692|offset_16|444444,2589720:2589739|offset_63|00cc00,2589745:2589764|offset_88|444444,2589769:2589788|offset_112|444444&amp;v=2589472:2589988&amp;c=444444", "offset 63")</f>
        <v>offset 63</v>
      </c>
    </row>
    <row r="8212" customFormat="false" ht="12.8" hidden="false" customHeight="false" outlineLevel="0" collapsed="false">
      <c r="A8212" s="0" t="s">
        <v>12</v>
      </c>
      <c r="B8212" s="0" t="n">
        <v>2589744</v>
      </c>
      <c r="C8212" s="0" t="n">
        <v>2589764</v>
      </c>
      <c r="D8212" s="0" t="s">
        <v>27324</v>
      </c>
      <c r="E8212" s="0" t="s">
        <v>75</v>
      </c>
      <c r="F8212" s="0" t="s">
        <v>15</v>
      </c>
      <c r="G8212" s="0" t="s">
        <v>16</v>
      </c>
      <c r="H8212" s="0" t="n">
        <v>88</v>
      </c>
      <c r="I8212" s="0" t="s">
        <v>27331</v>
      </c>
      <c r="J8212" s="0" t="s">
        <v>27332</v>
      </c>
      <c r="K8212" s="0" t="s">
        <v>27333</v>
      </c>
      <c r="L8212" s="0" t="str">
        <f aca="false">HYPERLINK("https://www.ncbi.nlm.nih.gov/nuccore/CP000058.1?report=graph&amp;tracks=[key:gene_model_track,Options:GeneOnly]&amp;mk=2589673:2589692|offset_16|444444,2589720:2589739|offset_63|444444,2589745:2589764|offset_88|00cc00,2589769:2589788|offset_112|444444&amp;v=2589472:2589988&amp;c=444444", "offset 88")</f>
        <v>offset 88</v>
      </c>
    </row>
    <row r="8213" customFormat="false" ht="12.8" hidden="false" customHeight="false" outlineLevel="0" collapsed="false">
      <c r="A8213" s="0" t="s">
        <v>12</v>
      </c>
      <c r="B8213" s="0" t="n">
        <v>2589768</v>
      </c>
      <c r="C8213" s="0" t="n">
        <v>2589788</v>
      </c>
      <c r="D8213" s="0" t="s">
        <v>27324</v>
      </c>
      <c r="E8213" s="0" t="s">
        <v>75</v>
      </c>
      <c r="F8213" s="0" t="s">
        <v>15</v>
      </c>
      <c r="G8213" s="0" t="s">
        <v>20</v>
      </c>
      <c r="H8213" s="0" t="n">
        <v>112</v>
      </c>
      <c r="I8213" s="0" t="s">
        <v>27334</v>
      </c>
      <c r="J8213" s="0" t="s">
        <v>27335</v>
      </c>
      <c r="K8213" s="0" t="s">
        <v>27336</v>
      </c>
      <c r="L8213" s="0" t="str">
        <f aca="false">HYPERLINK("https://www.ncbi.nlm.nih.gov/nuccore/CP000058.1?report=graph&amp;tracks=[key:gene_model_track,Options:GeneOnly]&amp;mk=2589673:2589692|offset_16|444444,2589720:2589739|offset_63|444444,2589745:2589764|offset_88|444444,2589769:2589788|offset_112|00cc00&amp;v=2589472:2589988&amp;c=444444", "offset 112")</f>
        <v>offset 112</v>
      </c>
    </row>
    <row r="8214" customFormat="false" ht="12.8" hidden="false" customHeight="false" outlineLevel="0" collapsed="false">
      <c r="A8214" s="0" t="s">
        <v>12</v>
      </c>
      <c r="B8214" s="0" t="n">
        <v>2591472</v>
      </c>
      <c r="C8214" s="0" t="n">
        <v>2591492</v>
      </c>
      <c r="D8214" s="0" t="s">
        <v>27337</v>
      </c>
      <c r="E8214" s="0" t="s">
        <v>75</v>
      </c>
      <c r="F8214" s="0" t="s">
        <v>90</v>
      </c>
      <c r="G8214" s="0" t="s">
        <v>20</v>
      </c>
      <c r="H8214" s="0" t="n">
        <v>11</v>
      </c>
      <c r="I8214" s="0" t="s">
        <v>27338</v>
      </c>
      <c r="J8214" s="0" t="s">
        <v>27339</v>
      </c>
      <c r="K8214" s="0" t="s">
        <v>27340</v>
      </c>
      <c r="L8214" s="0" t="str">
        <f aca="false">HYPERLINK("https://www.ncbi.nlm.nih.gov/nuccore/CP000058.1?report=graph&amp;tracks=[key:gene_model_track,Options:GeneOnly]&amp;mk=2591473:2591492|offset_11|00cc00,2591450:2591469|offset_34|444444,2591426:2591445|offset_58|444444,2591401:2591420|offset_83|444444&amp;v=2591272:2591620&amp;c=444444", "offset 11")</f>
        <v>offset 11</v>
      </c>
    </row>
    <row r="8215" customFormat="false" ht="12.8" hidden="false" customHeight="false" outlineLevel="0" collapsed="false">
      <c r="A8215" s="0" t="s">
        <v>12</v>
      </c>
      <c r="B8215" s="0" t="n">
        <v>2591449</v>
      </c>
      <c r="C8215" s="0" t="n">
        <v>2591469</v>
      </c>
      <c r="D8215" s="0" t="s">
        <v>27337</v>
      </c>
      <c r="E8215" s="0" t="s">
        <v>75</v>
      </c>
      <c r="F8215" s="0" t="s">
        <v>90</v>
      </c>
      <c r="G8215" s="0" t="s">
        <v>32</v>
      </c>
      <c r="H8215" s="0" t="n">
        <v>34</v>
      </c>
      <c r="I8215" s="0" t="s">
        <v>27341</v>
      </c>
      <c r="J8215" s="0" t="s">
        <v>27342</v>
      </c>
      <c r="K8215" s="0" t="s">
        <v>27343</v>
      </c>
      <c r="L8215" s="0" t="str">
        <f aca="false">HYPERLINK("https://www.ncbi.nlm.nih.gov/nuccore/CP000058.1?report=graph&amp;tracks=[key:gene_model_track,Options:GeneOnly]&amp;mk=2591473:2591492|offset_11|444444,2591450:2591469|offset_34|00cc00,2591426:2591445|offset_58|444444,2591401:2591420|offset_83|444444&amp;v=2591272:2591620&amp;c=444444", "offset 34")</f>
        <v>offset 34</v>
      </c>
    </row>
    <row r="8216" customFormat="false" ht="12.8" hidden="false" customHeight="false" outlineLevel="0" collapsed="false">
      <c r="A8216" s="0" t="s">
        <v>12</v>
      </c>
      <c r="B8216" s="0" t="n">
        <v>2591425</v>
      </c>
      <c r="C8216" s="0" t="n">
        <v>2591445</v>
      </c>
      <c r="D8216" s="0" t="s">
        <v>27337</v>
      </c>
      <c r="E8216" s="0" t="s">
        <v>75</v>
      </c>
      <c r="F8216" s="0" t="s">
        <v>90</v>
      </c>
      <c r="G8216" s="0" t="s">
        <v>16</v>
      </c>
      <c r="H8216" s="0" t="n">
        <v>58</v>
      </c>
      <c r="I8216" s="0" t="s">
        <v>27344</v>
      </c>
      <c r="J8216" s="0" t="s">
        <v>27345</v>
      </c>
      <c r="K8216" s="0" t="s">
        <v>27346</v>
      </c>
      <c r="L8216" s="0" t="str">
        <f aca="false">HYPERLINK("https://www.ncbi.nlm.nih.gov/nuccore/CP000058.1?report=graph&amp;tracks=[key:gene_model_track,Options:GeneOnly]&amp;mk=2591473:2591492|offset_11|444444,2591450:2591469|offset_34|444444,2591426:2591445|offset_58|00cc00,2591401:2591420|offset_83|444444&amp;v=2591272:2591620&amp;c=444444", "offset 58")</f>
        <v>offset 58</v>
      </c>
    </row>
    <row r="8217" customFormat="false" ht="12.8" hidden="false" customHeight="false" outlineLevel="0" collapsed="false">
      <c r="A8217" s="0" t="s">
        <v>12</v>
      </c>
      <c r="B8217" s="0" t="n">
        <v>2591400</v>
      </c>
      <c r="C8217" s="0" t="n">
        <v>2591420</v>
      </c>
      <c r="D8217" s="0" t="s">
        <v>27337</v>
      </c>
      <c r="E8217" s="0" t="s">
        <v>75</v>
      </c>
      <c r="F8217" s="0" t="s">
        <v>90</v>
      </c>
      <c r="G8217" s="0" t="s">
        <v>20</v>
      </c>
      <c r="H8217" s="0" t="n">
        <v>83</v>
      </c>
      <c r="I8217" s="0" t="s">
        <v>27347</v>
      </c>
      <c r="J8217" s="0" t="s">
        <v>27348</v>
      </c>
      <c r="K8217" s="0" t="s">
        <v>27349</v>
      </c>
      <c r="L8217" s="0" t="str">
        <f aca="false">HYPERLINK("https://www.ncbi.nlm.nih.gov/nuccore/CP000058.1?report=graph&amp;tracks=[key:gene_model_track,Options:GeneOnly]&amp;mk=2591473:2591492|offset_11|444444,2591450:2591469|offset_34|444444,2591426:2591445|offset_58|444444,2591401:2591420|offset_83|00cc00&amp;v=2591272:2591620&amp;c=444444", "offset 83")</f>
        <v>offset 83</v>
      </c>
    </row>
    <row r="8218" customFormat="false" ht="12.8" hidden="false" customHeight="false" outlineLevel="0" collapsed="false">
      <c r="A8218" s="0" t="s">
        <v>12</v>
      </c>
      <c r="B8218" s="0" t="n">
        <v>2592042</v>
      </c>
      <c r="C8218" s="0" t="n">
        <v>2592062</v>
      </c>
      <c r="D8218" s="0" t="s">
        <v>27350</v>
      </c>
      <c r="E8218" s="0" t="s">
        <v>75</v>
      </c>
      <c r="F8218" s="0" t="s">
        <v>90</v>
      </c>
      <c r="G8218" s="0" t="s">
        <v>32</v>
      </c>
      <c r="H8218" s="0" t="n">
        <v>1</v>
      </c>
      <c r="I8218" s="0" t="s">
        <v>27351</v>
      </c>
      <c r="J8218" s="0" t="s">
        <v>27352</v>
      </c>
      <c r="K8218" s="0" t="s">
        <v>27353</v>
      </c>
      <c r="L8218" s="0" t="str">
        <f aca="false">HYPERLINK("https://www.ncbi.nlm.nih.gov/nuccore/CP000058.1?report=graph&amp;tracks=[key:gene_model_track,Options:GeneOnly]&amp;mk=2592043:2592062|offset_1|00cc00,2592016:2592035|offset_28|444444,2591972:2591991|offset_72|444444,2591835:2591854|offset_209|444444&amp;v=2591842:2592054&amp;c=444444", "offset 1")</f>
        <v>offset 1</v>
      </c>
    </row>
    <row r="8219" customFormat="false" ht="12.8" hidden="false" customHeight="false" outlineLevel="0" collapsed="false">
      <c r="A8219" s="0" t="s">
        <v>12</v>
      </c>
      <c r="B8219" s="0" t="n">
        <v>2592015</v>
      </c>
      <c r="C8219" s="0" t="n">
        <v>2592035</v>
      </c>
      <c r="D8219" s="0" t="s">
        <v>27350</v>
      </c>
      <c r="E8219" s="0" t="s">
        <v>75</v>
      </c>
      <c r="F8219" s="0" t="s">
        <v>90</v>
      </c>
      <c r="G8219" s="0" t="s">
        <v>16</v>
      </c>
      <c r="H8219" s="0" t="n">
        <v>28</v>
      </c>
      <c r="I8219" s="0" t="s">
        <v>27354</v>
      </c>
      <c r="J8219" s="0" t="s">
        <v>27355</v>
      </c>
      <c r="K8219" s="0" t="s">
        <v>27356</v>
      </c>
      <c r="L8219" s="0" t="str">
        <f aca="false">HYPERLINK("https://www.ncbi.nlm.nih.gov/nuccore/CP000058.1?report=graph&amp;tracks=[key:gene_model_track,Options:GeneOnly]&amp;mk=2592043:2592062|offset_1|444444,2592016:2592035|offset_28|00cc00,2591972:2591991|offset_72|444444,2591835:2591854|offset_209|444444&amp;v=2591842:2592054&amp;c=444444", "offset 28")</f>
        <v>offset 28</v>
      </c>
    </row>
    <row r="8220" customFormat="false" ht="12.8" hidden="false" customHeight="false" outlineLevel="0" collapsed="false">
      <c r="A8220" s="0" t="s">
        <v>12</v>
      </c>
      <c r="B8220" s="0" t="n">
        <v>2591971</v>
      </c>
      <c r="C8220" s="0" t="n">
        <v>2591991</v>
      </c>
      <c r="D8220" s="0" t="s">
        <v>27350</v>
      </c>
      <c r="E8220" s="0" t="s">
        <v>75</v>
      </c>
      <c r="F8220" s="0" t="s">
        <v>90</v>
      </c>
      <c r="G8220" s="0" t="s">
        <v>36</v>
      </c>
      <c r="H8220" s="0" t="n">
        <v>72</v>
      </c>
      <c r="I8220" s="0" t="s">
        <v>27357</v>
      </c>
      <c r="J8220" s="0" t="s">
        <v>27358</v>
      </c>
      <c r="K8220" s="0" t="s">
        <v>27359</v>
      </c>
      <c r="L8220" s="0" t="str">
        <f aca="false">HYPERLINK("https://www.ncbi.nlm.nih.gov/nuccore/CP000058.1?report=graph&amp;tracks=[key:gene_model_track,Options:GeneOnly]&amp;mk=2592043:2592062|offset_1|444444,2592016:2592035|offset_28|444444,2591972:2591991|offset_72|00cc00,2591835:2591854|offset_209|444444&amp;v=2591842:2592054&amp;c=444444", "offset 72")</f>
        <v>offset 72</v>
      </c>
    </row>
    <row r="8221" customFormat="false" ht="12.8" hidden="false" customHeight="false" outlineLevel="0" collapsed="false">
      <c r="A8221" s="0" t="s">
        <v>12</v>
      </c>
      <c r="B8221" s="0" t="n">
        <v>2591834</v>
      </c>
      <c r="C8221" s="0" t="n">
        <v>2591854</v>
      </c>
      <c r="D8221" s="0" t="s">
        <v>27350</v>
      </c>
      <c r="E8221" s="0" t="s">
        <v>75</v>
      </c>
      <c r="F8221" s="0" t="s">
        <v>90</v>
      </c>
      <c r="G8221" s="0" t="s">
        <v>32</v>
      </c>
      <c r="H8221" s="0" t="n">
        <v>209</v>
      </c>
      <c r="I8221" s="0" t="s">
        <v>27360</v>
      </c>
      <c r="J8221" s="0" t="s">
        <v>27361</v>
      </c>
      <c r="K8221" s="0" t="s">
        <v>27362</v>
      </c>
      <c r="L8221" s="0" t="str">
        <f aca="false">HYPERLINK("https://www.ncbi.nlm.nih.gov/nuccore/CP000058.1?report=graph&amp;tracks=[key:gene_model_track,Options:GeneOnly]&amp;mk=2592043:2592062|offset_1|444444,2592016:2592035|offset_28|444444,2591972:2591991|offset_72|444444,2591835:2591854|offset_209|00cc00&amp;v=2591842:2592054&amp;c=444444", "offset 209")</f>
        <v>offset 209</v>
      </c>
    </row>
    <row r="8222" customFormat="false" ht="12.8" hidden="false" customHeight="false" outlineLevel="0" collapsed="false">
      <c r="A8222" s="0" t="s">
        <v>12</v>
      </c>
      <c r="B8222" s="0" t="n">
        <v>2592330</v>
      </c>
      <c r="C8222" s="0" t="n">
        <v>2592350</v>
      </c>
      <c r="D8222" s="0" t="s">
        <v>27363</v>
      </c>
      <c r="E8222" s="0" t="s">
        <v>75</v>
      </c>
      <c r="F8222" s="0" t="s">
        <v>15</v>
      </c>
      <c r="G8222" s="0" t="s">
        <v>16</v>
      </c>
      <c r="H8222" s="0" t="n">
        <v>19</v>
      </c>
      <c r="I8222" s="0" t="s">
        <v>27364</v>
      </c>
      <c r="J8222" s="0" t="s">
        <v>27365</v>
      </c>
      <c r="K8222" s="0" t="s">
        <v>27366</v>
      </c>
      <c r="L8222" s="0" t="str">
        <f aca="false">HYPERLINK("https://www.ncbi.nlm.nih.gov/nuccore/CP000058.1?report=graph&amp;tracks=[key:gene_model_track,Options:GeneOnly]&amp;mk=2592331:2592350|offset_19|00cc00,2592384:2592403|offset_72|444444,2592422:2592441|offset_110|444444,2592448:2592467|offset_136|444444&amp;v=2592130:2592667&amp;c=444444", "offset 19")</f>
        <v>offset 19</v>
      </c>
    </row>
    <row r="8223" customFormat="false" ht="12.8" hidden="false" customHeight="false" outlineLevel="0" collapsed="false">
      <c r="A8223" s="0" t="s">
        <v>12</v>
      </c>
      <c r="B8223" s="0" t="n">
        <v>2592383</v>
      </c>
      <c r="C8223" s="0" t="n">
        <v>2592403</v>
      </c>
      <c r="D8223" s="0" t="s">
        <v>27363</v>
      </c>
      <c r="E8223" s="0" t="s">
        <v>75</v>
      </c>
      <c r="F8223" s="0" t="s">
        <v>15</v>
      </c>
      <c r="G8223" s="0" t="s">
        <v>16</v>
      </c>
      <c r="H8223" s="0" t="n">
        <v>72</v>
      </c>
      <c r="I8223" s="0" t="s">
        <v>27367</v>
      </c>
      <c r="J8223" s="0" t="s">
        <v>27368</v>
      </c>
      <c r="K8223" s="0" t="s">
        <v>27369</v>
      </c>
      <c r="L8223" s="0" t="str">
        <f aca="false">HYPERLINK("https://www.ncbi.nlm.nih.gov/nuccore/CP000058.1?report=graph&amp;tracks=[key:gene_model_track,Options:GeneOnly]&amp;mk=2592331:2592350|offset_19|444444,2592384:2592403|offset_72|00cc00,2592422:2592441|offset_110|444444,2592448:2592467|offset_136|444444&amp;v=2592130:2592667&amp;c=444444", "offset 72")</f>
        <v>offset 72</v>
      </c>
    </row>
    <row r="8224" customFormat="false" ht="12.8" hidden="false" customHeight="false" outlineLevel="0" collapsed="false">
      <c r="A8224" s="0" t="s">
        <v>12</v>
      </c>
      <c r="B8224" s="0" t="n">
        <v>2592421</v>
      </c>
      <c r="C8224" s="0" t="n">
        <v>2592441</v>
      </c>
      <c r="D8224" s="0" t="s">
        <v>27363</v>
      </c>
      <c r="E8224" s="0" t="s">
        <v>75</v>
      </c>
      <c r="F8224" s="0" t="s">
        <v>15</v>
      </c>
      <c r="G8224" s="0" t="s">
        <v>20</v>
      </c>
      <c r="H8224" s="0" t="n">
        <v>110</v>
      </c>
      <c r="I8224" s="0" t="s">
        <v>27370</v>
      </c>
      <c r="J8224" s="0" t="s">
        <v>27371</v>
      </c>
      <c r="K8224" s="0" t="s">
        <v>27372</v>
      </c>
      <c r="L8224" s="0" t="str">
        <f aca="false">HYPERLINK("https://www.ncbi.nlm.nih.gov/nuccore/CP000058.1?report=graph&amp;tracks=[key:gene_model_track,Options:GeneOnly]&amp;mk=2592331:2592350|offset_19|444444,2592384:2592403|offset_72|444444,2592422:2592441|offset_110|00cc00,2592448:2592467|offset_136|444444&amp;v=2592130:2592667&amp;c=444444", "offset 110")</f>
        <v>offset 110</v>
      </c>
    </row>
    <row r="8225" customFormat="false" ht="12.8" hidden="false" customHeight="false" outlineLevel="0" collapsed="false">
      <c r="A8225" s="0" t="s">
        <v>12</v>
      </c>
      <c r="B8225" s="0" t="n">
        <v>2592447</v>
      </c>
      <c r="C8225" s="0" t="n">
        <v>2592467</v>
      </c>
      <c r="D8225" s="0" t="s">
        <v>27363</v>
      </c>
      <c r="E8225" s="0" t="s">
        <v>75</v>
      </c>
      <c r="F8225" s="0" t="s">
        <v>15</v>
      </c>
      <c r="G8225" s="0" t="s">
        <v>32</v>
      </c>
      <c r="H8225" s="0" t="n">
        <v>136</v>
      </c>
      <c r="I8225" s="0" t="s">
        <v>27373</v>
      </c>
      <c r="J8225" s="0" t="s">
        <v>27374</v>
      </c>
      <c r="K8225" s="0" t="s">
        <v>27375</v>
      </c>
      <c r="L8225" s="0" t="str">
        <f aca="false">HYPERLINK("https://www.ncbi.nlm.nih.gov/nuccore/CP000058.1?report=graph&amp;tracks=[key:gene_model_track,Options:GeneOnly]&amp;mk=2592331:2592350|offset_19|444444,2592384:2592403|offset_72|444444,2592422:2592441|offset_110|444444,2592448:2592467|offset_136|00cc00&amp;v=2592130:2592667&amp;c=444444", "offset 136")</f>
        <v>offset 136</v>
      </c>
    </row>
    <row r="8226" customFormat="false" ht="12.8" hidden="false" customHeight="false" outlineLevel="0" collapsed="false">
      <c r="A8226" s="0" t="s">
        <v>12</v>
      </c>
      <c r="B8226" s="0" t="n">
        <v>2593162</v>
      </c>
      <c r="C8226" s="0" t="n">
        <v>2593182</v>
      </c>
      <c r="D8226" s="0" t="s">
        <v>27376</v>
      </c>
      <c r="E8226" s="0" t="s">
        <v>75</v>
      </c>
      <c r="F8226" s="0" t="s">
        <v>15</v>
      </c>
      <c r="G8226" s="0" t="s">
        <v>16</v>
      </c>
      <c r="H8226" s="0" t="n">
        <v>21</v>
      </c>
      <c r="I8226" s="0" t="s">
        <v>27377</v>
      </c>
      <c r="J8226" s="0" t="s">
        <v>27378</v>
      </c>
      <c r="K8226" s="0" t="s">
        <v>27379</v>
      </c>
      <c r="L8226" s="0" t="str">
        <f aca="false">HYPERLINK("https://www.ncbi.nlm.nih.gov/nuccore/CP000058.1?report=graph&amp;tracks=[key:gene_model_track,Options:GeneOnly]&amp;mk=2593163:2593182|offset_21|00cc00,2593193:2593212|offset_51|444444,2593228:2593247|offset_86|444444,2593294:2593313|offset_152|444444&amp;v=2592962:2593513&amp;c=444444", "offset 21")</f>
        <v>offset 21</v>
      </c>
    </row>
    <row r="8227" customFormat="false" ht="12.8" hidden="false" customHeight="false" outlineLevel="0" collapsed="false">
      <c r="A8227" s="0" t="s">
        <v>12</v>
      </c>
      <c r="B8227" s="0" t="n">
        <v>2593192</v>
      </c>
      <c r="C8227" s="0" t="n">
        <v>2593212</v>
      </c>
      <c r="D8227" s="0" t="s">
        <v>27376</v>
      </c>
      <c r="E8227" s="0" t="s">
        <v>75</v>
      </c>
      <c r="F8227" s="0" t="s">
        <v>15</v>
      </c>
      <c r="G8227" s="0" t="s">
        <v>16</v>
      </c>
      <c r="H8227" s="0" t="n">
        <v>51</v>
      </c>
      <c r="I8227" s="0" t="s">
        <v>27380</v>
      </c>
      <c r="J8227" s="0" t="s">
        <v>27381</v>
      </c>
      <c r="K8227" s="0" t="s">
        <v>27382</v>
      </c>
      <c r="L8227" s="0" t="str">
        <f aca="false">HYPERLINK("https://www.ncbi.nlm.nih.gov/nuccore/CP000058.1?report=graph&amp;tracks=[key:gene_model_track,Options:GeneOnly]&amp;mk=2593163:2593182|offset_21|444444,2593193:2593212|offset_51|00cc00,2593228:2593247|offset_86|444444,2593294:2593313|offset_152|444444&amp;v=2592962:2593513&amp;c=444444", "offset 51")</f>
        <v>offset 51</v>
      </c>
    </row>
    <row r="8228" customFormat="false" ht="12.8" hidden="false" customHeight="false" outlineLevel="0" collapsed="false">
      <c r="A8228" s="0" t="s">
        <v>12</v>
      </c>
      <c r="B8228" s="0" t="n">
        <v>2593227</v>
      </c>
      <c r="C8228" s="0" t="n">
        <v>2593247</v>
      </c>
      <c r="D8228" s="0" t="s">
        <v>27376</v>
      </c>
      <c r="E8228" s="0" t="s">
        <v>75</v>
      </c>
      <c r="F8228" s="0" t="s">
        <v>15</v>
      </c>
      <c r="G8228" s="0" t="s">
        <v>20</v>
      </c>
      <c r="H8228" s="0" t="n">
        <v>86</v>
      </c>
      <c r="I8228" s="0" t="s">
        <v>27383</v>
      </c>
      <c r="J8228" s="0" t="s">
        <v>27384</v>
      </c>
      <c r="K8228" s="0" t="s">
        <v>27385</v>
      </c>
      <c r="L8228" s="0" t="str">
        <f aca="false">HYPERLINK("https://www.ncbi.nlm.nih.gov/nuccore/CP000058.1?report=graph&amp;tracks=[key:gene_model_track,Options:GeneOnly]&amp;mk=2593163:2593182|offset_21|444444,2593193:2593212|offset_51|444444,2593228:2593247|offset_86|00cc00,2593294:2593313|offset_152|444444&amp;v=2592962:2593513&amp;c=444444", "offset 86")</f>
        <v>offset 86</v>
      </c>
    </row>
    <row r="8229" customFormat="false" ht="12.8" hidden="false" customHeight="false" outlineLevel="0" collapsed="false">
      <c r="A8229" s="0" t="s">
        <v>12</v>
      </c>
      <c r="B8229" s="0" t="n">
        <v>2593293</v>
      </c>
      <c r="C8229" s="0" t="n">
        <v>2593313</v>
      </c>
      <c r="D8229" s="0" t="s">
        <v>27376</v>
      </c>
      <c r="E8229" s="0" t="s">
        <v>75</v>
      </c>
      <c r="F8229" s="0" t="s">
        <v>15</v>
      </c>
      <c r="G8229" s="0" t="s">
        <v>36</v>
      </c>
      <c r="H8229" s="0" t="n">
        <v>152</v>
      </c>
      <c r="I8229" s="0" t="s">
        <v>27386</v>
      </c>
      <c r="J8229" s="0" t="s">
        <v>27387</v>
      </c>
      <c r="K8229" s="0" t="s">
        <v>27388</v>
      </c>
      <c r="L8229" s="0" t="str">
        <f aca="false">HYPERLINK("https://www.ncbi.nlm.nih.gov/nuccore/CP000058.1?report=graph&amp;tracks=[key:gene_model_track,Options:GeneOnly]&amp;mk=2593163:2593182|offset_21|444444,2593193:2593212|offset_51|444444,2593228:2593247|offset_86|444444,2593294:2593313|offset_152|00cc00&amp;v=2592962:2593513&amp;c=444444", "offset 152")</f>
        <v>offset 152</v>
      </c>
    </row>
    <row r="8230" customFormat="false" ht="12.8" hidden="false" customHeight="false" outlineLevel="0" collapsed="false">
      <c r="A8230" s="0" t="s">
        <v>12</v>
      </c>
      <c r="B8230" s="0" t="n">
        <v>2593906</v>
      </c>
      <c r="C8230" s="0" t="n">
        <v>2593926</v>
      </c>
      <c r="D8230" s="0" t="s">
        <v>27389</v>
      </c>
      <c r="E8230" s="0" t="s">
        <v>75</v>
      </c>
      <c r="F8230" s="0" t="s">
        <v>90</v>
      </c>
      <c r="G8230" s="0" t="s">
        <v>16</v>
      </c>
      <c r="H8230" s="0" t="n">
        <v>1</v>
      </c>
      <c r="I8230" s="0" t="s">
        <v>27390</v>
      </c>
      <c r="J8230" s="0" t="s">
        <v>27391</v>
      </c>
      <c r="K8230" s="0" t="s">
        <v>27392</v>
      </c>
      <c r="L8230" s="0" t="str">
        <f aca="false">HYPERLINK("https://www.ncbi.nlm.nih.gov/nuccore/CP000058.1?report=graph&amp;tracks=[key:gene_model_track,Options:GeneOnly]&amp;mk=2593907:2593926|offset_1|00cc00,2593874:2593893|offset_34|444444,2593854:2593873|offset_54|444444,2593808:2593827|offset_100|444444&amp;v=2593706:2594027&amp;c=444444", "offset 1")</f>
        <v>offset 1</v>
      </c>
    </row>
    <row r="8231" customFormat="false" ht="12.8" hidden="false" customHeight="false" outlineLevel="0" collapsed="false">
      <c r="A8231" s="0" t="s">
        <v>12</v>
      </c>
      <c r="B8231" s="0" t="n">
        <v>2593873</v>
      </c>
      <c r="C8231" s="0" t="n">
        <v>2593893</v>
      </c>
      <c r="D8231" s="0" t="s">
        <v>27389</v>
      </c>
      <c r="E8231" s="0" t="s">
        <v>75</v>
      </c>
      <c r="F8231" s="0" t="s">
        <v>90</v>
      </c>
      <c r="G8231" s="0" t="s">
        <v>36</v>
      </c>
      <c r="H8231" s="0" t="n">
        <v>34</v>
      </c>
      <c r="I8231" s="0" t="s">
        <v>27393</v>
      </c>
      <c r="J8231" s="0" t="s">
        <v>27394</v>
      </c>
      <c r="K8231" s="0" t="s">
        <v>27395</v>
      </c>
      <c r="L8231" s="0" t="str">
        <f aca="false">HYPERLINK("https://www.ncbi.nlm.nih.gov/nuccore/CP000058.1?report=graph&amp;tracks=[key:gene_model_track,Options:GeneOnly]&amp;mk=2593907:2593926|offset_1|444444,2593874:2593893|offset_34|00cc00,2593854:2593873|offset_54|444444,2593808:2593827|offset_100|444444&amp;v=2593706:2594027&amp;c=444444", "offset 34")</f>
        <v>offset 34</v>
      </c>
    </row>
    <row r="8232" customFormat="false" ht="12.8" hidden="false" customHeight="false" outlineLevel="0" collapsed="false">
      <c r="A8232" s="0" t="s">
        <v>12</v>
      </c>
      <c r="B8232" s="0" t="n">
        <v>2593853</v>
      </c>
      <c r="C8232" s="0" t="n">
        <v>2593873</v>
      </c>
      <c r="D8232" s="0" t="s">
        <v>27389</v>
      </c>
      <c r="E8232" s="0" t="s">
        <v>75</v>
      </c>
      <c r="F8232" s="0" t="s">
        <v>90</v>
      </c>
      <c r="G8232" s="0" t="s">
        <v>32</v>
      </c>
      <c r="H8232" s="0" t="n">
        <v>54</v>
      </c>
      <c r="I8232" s="0" t="s">
        <v>27396</v>
      </c>
      <c r="J8232" s="0" t="s">
        <v>27397</v>
      </c>
      <c r="K8232" s="0" t="s">
        <v>27398</v>
      </c>
      <c r="L8232" s="0" t="str">
        <f aca="false">HYPERLINK("https://www.ncbi.nlm.nih.gov/nuccore/CP000058.1?report=graph&amp;tracks=[key:gene_model_track,Options:GeneOnly]&amp;mk=2593907:2593926|offset_1|444444,2593874:2593893|offset_34|444444,2593854:2593873|offset_54|00cc00,2593808:2593827|offset_100|444444&amp;v=2593706:2594027&amp;c=444444", "offset 54")</f>
        <v>offset 54</v>
      </c>
    </row>
    <row r="8233" customFormat="false" ht="12.8" hidden="false" customHeight="false" outlineLevel="0" collapsed="false">
      <c r="A8233" s="0" t="s">
        <v>12</v>
      </c>
      <c r="B8233" s="0" t="n">
        <v>2593807</v>
      </c>
      <c r="C8233" s="0" t="n">
        <v>2593827</v>
      </c>
      <c r="D8233" s="0" t="s">
        <v>27389</v>
      </c>
      <c r="E8233" s="0" t="s">
        <v>75</v>
      </c>
      <c r="F8233" s="0" t="s">
        <v>90</v>
      </c>
      <c r="G8233" s="0" t="s">
        <v>16</v>
      </c>
      <c r="H8233" s="0" t="n">
        <v>100</v>
      </c>
      <c r="I8233" s="0" t="s">
        <v>27399</v>
      </c>
      <c r="J8233" s="0" t="s">
        <v>27400</v>
      </c>
      <c r="K8233" s="0" t="s">
        <v>27401</v>
      </c>
      <c r="L8233" s="0" t="str">
        <f aca="false">HYPERLINK("https://www.ncbi.nlm.nih.gov/nuccore/CP000058.1?report=graph&amp;tracks=[key:gene_model_track,Options:GeneOnly]&amp;mk=2593907:2593926|offset_1|444444,2593874:2593893|offset_34|444444,2593854:2593873|offset_54|444444,2593808:2593827|offset_100|00cc00&amp;v=2593706:2594027&amp;c=444444", "offset 100")</f>
        <v>offset 100</v>
      </c>
    </row>
    <row r="8234" customFormat="false" ht="12.8" hidden="false" customHeight="false" outlineLevel="0" collapsed="false">
      <c r="A8234" s="0" t="s">
        <v>12</v>
      </c>
      <c r="B8234" s="0" t="n">
        <v>2594063</v>
      </c>
      <c r="C8234" s="0" t="n">
        <v>2594083</v>
      </c>
      <c r="D8234" s="0" t="s">
        <v>27402</v>
      </c>
      <c r="E8234" s="0" t="s">
        <v>27403</v>
      </c>
      <c r="F8234" s="0" t="s">
        <v>15</v>
      </c>
      <c r="G8234" s="0" t="s">
        <v>16</v>
      </c>
      <c r="H8234" s="0" t="n">
        <v>10</v>
      </c>
      <c r="I8234" s="0" t="s">
        <v>27404</v>
      </c>
      <c r="J8234" s="0" t="s">
        <v>27405</v>
      </c>
      <c r="K8234" s="0" t="s">
        <v>27406</v>
      </c>
      <c r="L8234" s="0" t="str">
        <f aca="false">HYPERLINK("https://www.ncbi.nlm.nih.gov/nuccore/CP000058.1?report=graph&amp;tracks=[key:gene_model_track,Options:GeneOnly]&amp;mk=2594064:2594083|offset_10|00cc00,2594095:2594114|offset_41|444444,2594120:2594139|offset_66|444444,2594173:2594192|offset_119|444444&amp;v=2593863:2594392&amp;c=444444", "offset 10")</f>
        <v>offset 10</v>
      </c>
    </row>
    <row r="8235" customFormat="false" ht="12.8" hidden="false" customHeight="false" outlineLevel="0" collapsed="false">
      <c r="A8235" s="0" t="s">
        <v>12</v>
      </c>
      <c r="B8235" s="0" t="n">
        <v>2594094</v>
      </c>
      <c r="C8235" s="0" t="n">
        <v>2594114</v>
      </c>
      <c r="D8235" s="0" t="s">
        <v>27402</v>
      </c>
      <c r="E8235" s="0" t="s">
        <v>27403</v>
      </c>
      <c r="F8235" s="0" t="s">
        <v>15</v>
      </c>
      <c r="G8235" s="0" t="s">
        <v>20</v>
      </c>
      <c r="H8235" s="0" t="n">
        <v>41</v>
      </c>
      <c r="I8235" s="0" t="s">
        <v>27407</v>
      </c>
      <c r="J8235" s="0" t="s">
        <v>27408</v>
      </c>
      <c r="K8235" s="0" t="s">
        <v>27409</v>
      </c>
      <c r="L8235" s="0" t="str">
        <f aca="false">HYPERLINK("https://www.ncbi.nlm.nih.gov/nuccore/CP000058.1?report=graph&amp;tracks=[key:gene_model_track,Options:GeneOnly]&amp;mk=2594064:2594083|offset_10|444444,2594095:2594114|offset_41|00cc00,2594120:2594139|offset_66|444444,2594173:2594192|offset_119|444444&amp;v=2593863:2594392&amp;c=444444", "offset 41")</f>
        <v>offset 41</v>
      </c>
    </row>
    <row r="8236" customFormat="false" ht="12.8" hidden="false" customHeight="false" outlineLevel="0" collapsed="false">
      <c r="A8236" s="0" t="s">
        <v>12</v>
      </c>
      <c r="B8236" s="0" t="n">
        <v>2594119</v>
      </c>
      <c r="C8236" s="0" t="n">
        <v>2594139</v>
      </c>
      <c r="D8236" s="0" t="s">
        <v>27402</v>
      </c>
      <c r="E8236" s="0" t="s">
        <v>27403</v>
      </c>
      <c r="F8236" s="0" t="s">
        <v>15</v>
      </c>
      <c r="G8236" s="0" t="s">
        <v>16</v>
      </c>
      <c r="H8236" s="0" t="n">
        <v>66</v>
      </c>
      <c r="I8236" s="0" t="s">
        <v>27410</v>
      </c>
      <c r="J8236" s="0" t="s">
        <v>27411</v>
      </c>
      <c r="K8236" s="0" t="s">
        <v>27412</v>
      </c>
      <c r="L8236" s="0" t="str">
        <f aca="false">HYPERLINK("https://www.ncbi.nlm.nih.gov/nuccore/CP000058.1?report=graph&amp;tracks=[key:gene_model_track,Options:GeneOnly]&amp;mk=2594064:2594083|offset_10|444444,2594095:2594114|offset_41|444444,2594120:2594139|offset_66|00cc00,2594173:2594192|offset_119|444444&amp;v=2593863:2594392&amp;c=444444", "offset 66")</f>
        <v>offset 66</v>
      </c>
    </row>
    <row r="8237" customFormat="false" ht="12.8" hidden="false" customHeight="false" outlineLevel="0" collapsed="false">
      <c r="A8237" s="0" t="s">
        <v>12</v>
      </c>
      <c r="B8237" s="0" t="n">
        <v>2594172</v>
      </c>
      <c r="C8237" s="0" t="n">
        <v>2594192</v>
      </c>
      <c r="D8237" s="0" t="s">
        <v>27402</v>
      </c>
      <c r="E8237" s="0" t="s">
        <v>27403</v>
      </c>
      <c r="F8237" s="0" t="s">
        <v>15</v>
      </c>
      <c r="G8237" s="0" t="s">
        <v>32</v>
      </c>
      <c r="H8237" s="0" t="n">
        <v>119</v>
      </c>
      <c r="I8237" s="0" t="s">
        <v>27413</v>
      </c>
      <c r="J8237" s="0" t="s">
        <v>27414</v>
      </c>
      <c r="K8237" s="0" t="s">
        <v>27415</v>
      </c>
      <c r="L8237" s="0" t="str">
        <f aca="false">HYPERLINK("https://www.ncbi.nlm.nih.gov/nuccore/CP000058.1?report=graph&amp;tracks=[key:gene_model_track,Options:GeneOnly]&amp;mk=2594064:2594083|offset_10|444444,2594095:2594114|offset_41|444444,2594120:2594139|offset_66|444444,2594173:2594192|offset_119|00cc00&amp;v=2593863:2594392&amp;c=444444", "offset 119")</f>
        <v>offset 119</v>
      </c>
    </row>
    <row r="8238" customFormat="false" ht="12.8" hidden="false" customHeight="false" outlineLevel="0" collapsed="false">
      <c r="A8238" s="0" t="s">
        <v>12</v>
      </c>
      <c r="B8238" s="0" t="n">
        <v>2594974</v>
      </c>
      <c r="C8238" s="0" t="n">
        <v>2594994</v>
      </c>
      <c r="D8238" s="0" t="s">
        <v>27416</v>
      </c>
      <c r="E8238" s="0" t="s">
        <v>75</v>
      </c>
      <c r="F8238" s="0" t="s">
        <v>15</v>
      </c>
      <c r="G8238" s="0" t="s">
        <v>20</v>
      </c>
      <c r="H8238" s="0" t="n">
        <v>50</v>
      </c>
      <c r="I8238" s="0" t="s">
        <v>27417</v>
      </c>
      <c r="J8238" s="0" t="s">
        <v>27418</v>
      </c>
      <c r="K8238" s="0" t="s">
        <v>27419</v>
      </c>
      <c r="L8238" s="0" t="str">
        <f aca="false">HYPERLINK("https://www.ncbi.nlm.nih.gov/nuccore/CP000058.1?report=graph&amp;tracks=[key:gene_model_track,Options:GeneOnly]&amp;mk=2594975:2594994|offset_50|00cc00,2594996:2595015|offset_71|444444,2595019:2595038|offset_94|444444,2595040:2595059|offset_115|444444&amp;v=2594774:2595259&amp;c=444444", "offset 50")</f>
        <v>offset 50</v>
      </c>
    </row>
    <row r="8239" customFormat="false" ht="12.8" hidden="false" customHeight="false" outlineLevel="0" collapsed="false">
      <c r="A8239" s="0" t="s">
        <v>12</v>
      </c>
      <c r="B8239" s="0" t="n">
        <v>2594995</v>
      </c>
      <c r="C8239" s="0" t="n">
        <v>2595015</v>
      </c>
      <c r="D8239" s="0" t="s">
        <v>27416</v>
      </c>
      <c r="E8239" s="0" t="s">
        <v>75</v>
      </c>
      <c r="F8239" s="0" t="s">
        <v>15</v>
      </c>
      <c r="G8239" s="0" t="s">
        <v>16</v>
      </c>
      <c r="H8239" s="0" t="n">
        <v>71</v>
      </c>
      <c r="I8239" s="0" t="s">
        <v>27420</v>
      </c>
      <c r="J8239" s="0" t="s">
        <v>27421</v>
      </c>
      <c r="K8239" s="0" t="s">
        <v>27422</v>
      </c>
      <c r="L8239" s="0" t="str">
        <f aca="false">HYPERLINK("https://www.ncbi.nlm.nih.gov/nuccore/CP000058.1?report=graph&amp;tracks=[key:gene_model_track,Options:GeneOnly]&amp;mk=2594975:2594994|offset_50|444444,2594996:2595015|offset_71|00cc00,2595019:2595038|offset_94|444444,2595040:2595059|offset_115|444444&amp;v=2594774:2595259&amp;c=444444", "offset 71")</f>
        <v>offset 71</v>
      </c>
    </row>
    <row r="8240" customFormat="false" ht="12.8" hidden="false" customHeight="false" outlineLevel="0" collapsed="false">
      <c r="A8240" s="0" t="s">
        <v>12</v>
      </c>
      <c r="B8240" s="0" t="n">
        <v>2595018</v>
      </c>
      <c r="C8240" s="0" t="n">
        <v>2595038</v>
      </c>
      <c r="D8240" s="0" t="s">
        <v>27416</v>
      </c>
      <c r="E8240" s="0" t="s">
        <v>75</v>
      </c>
      <c r="F8240" s="0" t="s">
        <v>15</v>
      </c>
      <c r="G8240" s="0" t="s">
        <v>32</v>
      </c>
      <c r="H8240" s="0" t="n">
        <v>94</v>
      </c>
      <c r="I8240" s="0" t="s">
        <v>27423</v>
      </c>
      <c r="J8240" s="0" t="s">
        <v>27424</v>
      </c>
      <c r="K8240" s="0" t="s">
        <v>27425</v>
      </c>
      <c r="L8240" s="0" t="str">
        <f aca="false">HYPERLINK("https://www.ncbi.nlm.nih.gov/nuccore/CP000058.1?report=graph&amp;tracks=[key:gene_model_track,Options:GeneOnly]&amp;mk=2594975:2594994|offset_50|444444,2594996:2595015|offset_71|444444,2595019:2595038|offset_94|00cc00,2595040:2595059|offset_115|444444&amp;v=2594774:2595259&amp;c=444444", "offset 94")</f>
        <v>offset 94</v>
      </c>
    </row>
    <row r="8241" customFormat="false" ht="12.8" hidden="false" customHeight="false" outlineLevel="0" collapsed="false">
      <c r="A8241" s="0" t="s">
        <v>12</v>
      </c>
      <c r="B8241" s="0" t="n">
        <v>2595039</v>
      </c>
      <c r="C8241" s="0" t="n">
        <v>2595059</v>
      </c>
      <c r="D8241" s="0" t="s">
        <v>27416</v>
      </c>
      <c r="E8241" s="0" t="s">
        <v>75</v>
      </c>
      <c r="F8241" s="0" t="s">
        <v>15</v>
      </c>
      <c r="G8241" s="0" t="s">
        <v>16</v>
      </c>
      <c r="H8241" s="0" t="n">
        <v>115</v>
      </c>
      <c r="I8241" s="0" t="s">
        <v>27426</v>
      </c>
      <c r="J8241" s="0" t="s">
        <v>27427</v>
      </c>
      <c r="K8241" s="0" t="s">
        <v>27428</v>
      </c>
      <c r="L8241" s="0" t="str">
        <f aca="false">HYPERLINK("https://www.ncbi.nlm.nih.gov/nuccore/CP000058.1?report=graph&amp;tracks=[key:gene_model_track,Options:GeneOnly]&amp;mk=2594975:2594994|offset_50|444444,2594996:2595015|offset_71|444444,2595019:2595038|offset_94|444444,2595040:2595059|offset_115|00cc00&amp;v=2594774:2595259&amp;c=444444", "offset 115")</f>
        <v>offset 115</v>
      </c>
    </row>
    <row r="8242" customFormat="false" ht="12.8" hidden="false" customHeight="false" outlineLevel="0" collapsed="false">
      <c r="A8242" s="0" t="s">
        <v>12</v>
      </c>
      <c r="B8242" s="0" t="n">
        <v>2595975</v>
      </c>
      <c r="C8242" s="0" t="n">
        <v>2595995</v>
      </c>
      <c r="D8242" s="0" t="s">
        <v>27429</v>
      </c>
      <c r="E8242" s="0" t="s">
        <v>75</v>
      </c>
      <c r="F8242" s="0" t="s">
        <v>15</v>
      </c>
      <c r="G8242" s="0" t="s">
        <v>20</v>
      </c>
      <c r="H8242" s="0" t="n">
        <v>17</v>
      </c>
      <c r="I8242" s="0" t="s">
        <v>27430</v>
      </c>
      <c r="J8242" s="0" t="s">
        <v>27431</v>
      </c>
      <c r="K8242" s="0" t="s">
        <v>27432</v>
      </c>
      <c r="L8242" s="0" t="str">
        <f aca="false">HYPERLINK("https://www.ncbi.nlm.nih.gov/nuccore/CP000058.1?report=graph&amp;tracks=[key:gene_model_track,Options:GeneOnly]&amp;mk=2595976:2595995|offset_17|00cc00,2596005:2596024|offset_46|444444,2596041:2596060|offset_82|444444,2596066:2596085|offset_107|444444&amp;v=2595775:2596285&amp;c=444444", "offset 17")</f>
        <v>offset 17</v>
      </c>
    </row>
    <row r="8243" customFormat="false" ht="12.8" hidden="false" customHeight="false" outlineLevel="0" collapsed="false">
      <c r="A8243" s="0" t="s">
        <v>12</v>
      </c>
      <c r="B8243" s="0" t="n">
        <v>2596004</v>
      </c>
      <c r="C8243" s="0" t="n">
        <v>2596024</v>
      </c>
      <c r="D8243" s="0" t="s">
        <v>27429</v>
      </c>
      <c r="E8243" s="0" t="s">
        <v>75</v>
      </c>
      <c r="F8243" s="0" t="s">
        <v>15</v>
      </c>
      <c r="G8243" s="0" t="s">
        <v>16</v>
      </c>
      <c r="H8243" s="0" t="n">
        <v>46</v>
      </c>
      <c r="I8243" s="0" t="s">
        <v>27433</v>
      </c>
      <c r="J8243" s="0" t="s">
        <v>27434</v>
      </c>
      <c r="K8243" s="0" t="s">
        <v>27435</v>
      </c>
      <c r="L8243" s="0" t="str">
        <f aca="false">HYPERLINK("https://www.ncbi.nlm.nih.gov/nuccore/CP000058.1?report=graph&amp;tracks=[key:gene_model_track,Options:GeneOnly]&amp;mk=2595976:2595995|offset_17|444444,2596005:2596024|offset_46|00cc00,2596041:2596060|offset_82|444444,2596066:2596085|offset_107|444444&amp;v=2595775:2596285&amp;c=444444", "offset 46")</f>
        <v>offset 46</v>
      </c>
    </row>
    <row r="8244" customFormat="false" ht="12.8" hidden="false" customHeight="false" outlineLevel="0" collapsed="false">
      <c r="A8244" s="0" t="s">
        <v>12</v>
      </c>
      <c r="B8244" s="0" t="n">
        <v>2596040</v>
      </c>
      <c r="C8244" s="0" t="n">
        <v>2596060</v>
      </c>
      <c r="D8244" s="0" t="s">
        <v>27429</v>
      </c>
      <c r="E8244" s="0" t="s">
        <v>75</v>
      </c>
      <c r="F8244" s="0" t="s">
        <v>15</v>
      </c>
      <c r="G8244" s="0" t="s">
        <v>20</v>
      </c>
      <c r="H8244" s="0" t="n">
        <v>82</v>
      </c>
      <c r="I8244" s="0" t="s">
        <v>27436</v>
      </c>
      <c r="J8244" s="0" t="s">
        <v>27437</v>
      </c>
      <c r="K8244" s="0" t="s">
        <v>27438</v>
      </c>
      <c r="L8244" s="0" t="str">
        <f aca="false">HYPERLINK("https://www.ncbi.nlm.nih.gov/nuccore/CP000058.1?report=graph&amp;tracks=[key:gene_model_track,Options:GeneOnly]&amp;mk=2595976:2595995|offset_17|444444,2596005:2596024|offset_46|444444,2596041:2596060|offset_82|00cc00,2596066:2596085|offset_107|444444&amp;v=2595775:2596285&amp;c=444444", "offset 82")</f>
        <v>offset 82</v>
      </c>
    </row>
    <row r="8245" customFormat="false" ht="12.8" hidden="false" customHeight="false" outlineLevel="0" collapsed="false">
      <c r="A8245" s="0" t="s">
        <v>12</v>
      </c>
      <c r="B8245" s="0" t="n">
        <v>2596065</v>
      </c>
      <c r="C8245" s="0" t="n">
        <v>2596085</v>
      </c>
      <c r="D8245" s="0" t="s">
        <v>27429</v>
      </c>
      <c r="E8245" s="0" t="s">
        <v>75</v>
      </c>
      <c r="F8245" s="0" t="s">
        <v>15</v>
      </c>
      <c r="G8245" s="0" t="s">
        <v>32</v>
      </c>
      <c r="H8245" s="0" t="n">
        <v>107</v>
      </c>
      <c r="I8245" s="0" t="s">
        <v>27439</v>
      </c>
      <c r="J8245" s="0" t="s">
        <v>27440</v>
      </c>
      <c r="K8245" s="0" t="s">
        <v>27441</v>
      </c>
      <c r="L8245" s="0" t="str">
        <f aca="false">HYPERLINK("https://www.ncbi.nlm.nih.gov/nuccore/CP000058.1?report=graph&amp;tracks=[key:gene_model_track,Options:GeneOnly]&amp;mk=2595976:2595995|offset_17|444444,2596005:2596024|offset_46|444444,2596041:2596060|offset_82|444444,2596066:2596085|offset_107|00cc00&amp;v=2595775:2596285&amp;c=444444", "offset 107")</f>
        <v>offset 107</v>
      </c>
    </row>
    <row r="8246" customFormat="false" ht="12.8" hidden="false" customHeight="false" outlineLevel="0" collapsed="false">
      <c r="A8246" s="0" t="s">
        <v>12</v>
      </c>
      <c r="B8246" s="0" t="n">
        <v>2596976</v>
      </c>
      <c r="C8246" s="0" t="n">
        <v>2596996</v>
      </c>
      <c r="D8246" s="0" t="s">
        <v>27442</v>
      </c>
      <c r="E8246" s="0" t="s">
        <v>75</v>
      </c>
      <c r="F8246" s="0" t="s">
        <v>15</v>
      </c>
      <c r="G8246" s="0" t="s">
        <v>20</v>
      </c>
      <c r="H8246" s="0" t="n">
        <v>14</v>
      </c>
      <c r="I8246" s="0" t="s">
        <v>27443</v>
      </c>
      <c r="J8246" s="0" t="s">
        <v>27444</v>
      </c>
      <c r="K8246" s="0" t="s">
        <v>27445</v>
      </c>
      <c r="L8246" s="0" t="str">
        <f aca="false">HYPERLINK("https://www.ncbi.nlm.nih.gov/nuccore/CP000058.1?report=graph&amp;tracks=[key:gene_model_track,Options:GeneOnly]&amp;mk=2596977:2596996|offset_14|00cc00,2597000:2597019|offset_37|444444,2597040:2597059|offset_77|444444,2597062:2597081|offset_99|444444&amp;v=2596776:2597281&amp;c=444444", "offset 14")</f>
        <v>offset 14</v>
      </c>
    </row>
    <row r="8247" customFormat="false" ht="12.8" hidden="false" customHeight="false" outlineLevel="0" collapsed="false">
      <c r="A8247" s="0" t="s">
        <v>12</v>
      </c>
      <c r="B8247" s="0" t="n">
        <v>2596999</v>
      </c>
      <c r="C8247" s="0" t="n">
        <v>2597019</v>
      </c>
      <c r="D8247" s="0" t="s">
        <v>27442</v>
      </c>
      <c r="E8247" s="0" t="s">
        <v>75</v>
      </c>
      <c r="F8247" s="0" t="s">
        <v>15</v>
      </c>
      <c r="G8247" s="0" t="s">
        <v>16</v>
      </c>
      <c r="H8247" s="0" t="n">
        <v>37</v>
      </c>
      <c r="I8247" s="0" t="s">
        <v>27446</v>
      </c>
      <c r="J8247" s="0" t="s">
        <v>27447</v>
      </c>
      <c r="K8247" s="0" t="s">
        <v>27448</v>
      </c>
      <c r="L8247" s="0" t="str">
        <f aca="false">HYPERLINK("https://www.ncbi.nlm.nih.gov/nuccore/CP000058.1?report=graph&amp;tracks=[key:gene_model_track,Options:GeneOnly]&amp;mk=2596977:2596996|offset_14|444444,2597000:2597019|offset_37|00cc00,2597040:2597059|offset_77|444444,2597062:2597081|offset_99|444444&amp;v=2596776:2597281&amp;c=444444", "offset 37")</f>
        <v>offset 37</v>
      </c>
    </row>
    <row r="8248" customFormat="false" ht="12.8" hidden="false" customHeight="false" outlineLevel="0" collapsed="false">
      <c r="A8248" s="0" t="s">
        <v>12</v>
      </c>
      <c r="B8248" s="0" t="n">
        <v>2597039</v>
      </c>
      <c r="C8248" s="0" t="n">
        <v>2597059</v>
      </c>
      <c r="D8248" s="0" t="s">
        <v>27442</v>
      </c>
      <c r="E8248" s="0" t="s">
        <v>75</v>
      </c>
      <c r="F8248" s="0" t="s">
        <v>15</v>
      </c>
      <c r="G8248" s="0" t="s">
        <v>36</v>
      </c>
      <c r="H8248" s="0" t="n">
        <v>77</v>
      </c>
      <c r="I8248" s="0" t="s">
        <v>27449</v>
      </c>
      <c r="J8248" s="0" t="s">
        <v>27450</v>
      </c>
      <c r="K8248" s="0" t="s">
        <v>27451</v>
      </c>
      <c r="L8248" s="0" t="str">
        <f aca="false">HYPERLINK("https://www.ncbi.nlm.nih.gov/nuccore/CP000058.1?report=graph&amp;tracks=[key:gene_model_track,Options:GeneOnly]&amp;mk=2596977:2596996|offset_14|444444,2597000:2597019|offset_37|444444,2597040:2597059|offset_77|00cc00,2597062:2597081|offset_99|444444&amp;v=2596776:2597281&amp;c=444444", "offset 77")</f>
        <v>offset 77</v>
      </c>
    </row>
    <row r="8249" customFormat="false" ht="12.8" hidden="false" customHeight="false" outlineLevel="0" collapsed="false">
      <c r="A8249" s="0" t="s">
        <v>12</v>
      </c>
      <c r="B8249" s="0" t="n">
        <v>2597061</v>
      </c>
      <c r="C8249" s="0" t="n">
        <v>2597081</v>
      </c>
      <c r="D8249" s="0" t="s">
        <v>27442</v>
      </c>
      <c r="E8249" s="0" t="s">
        <v>75</v>
      </c>
      <c r="F8249" s="0" t="s">
        <v>15</v>
      </c>
      <c r="G8249" s="0" t="s">
        <v>16</v>
      </c>
      <c r="H8249" s="0" t="n">
        <v>99</v>
      </c>
      <c r="I8249" s="0" t="s">
        <v>27452</v>
      </c>
      <c r="J8249" s="0" t="s">
        <v>27453</v>
      </c>
      <c r="K8249" s="0" t="s">
        <v>27454</v>
      </c>
      <c r="L8249" s="0" t="str">
        <f aca="false">HYPERLINK("https://www.ncbi.nlm.nih.gov/nuccore/CP000058.1?report=graph&amp;tracks=[key:gene_model_track,Options:GeneOnly]&amp;mk=2596977:2596996|offset_14|444444,2597000:2597019|offset_37|444444,2597040:2597059|offset_77|444444,2597062:2597081|offset_99|00cc00&amp;v=2596776:2597281&amp;c=444444", "offset 99")</f>
        <v>offset 99</v>
      </c>
    </row>
    <row r="8250" customFormat="false" ht="12.8" hidden="false" customHeight="false" outlineLevel="0" collapsed="false">
      <c r="A8250" s="0" t="s">
        <v>12</v>
      </c>
      <c r="B8250" s="0" t="n">
        <v>2598555</v>
      </c>
      <c r="C8250" s="0" t="n">
        <v>2598575</v>
      </c>
      <c r="D8250" s="0" t="s">
        <v>27455</v>
      </c>
      <c r="E8250" s="0" t="s">
        <v>75</v>
      </c>
      <c r="F8250" s="0" t="s">
        <v>90</v>
      </c>
      <c r="G8250" s="0" t="s">
        <v>20</v>
      </c>
      <c r="H8250" s="0" t="n">
        <v>56</v>
      </c>
      <c r="I8250" s="0" t="s">
        <v>27456</v>
      </c>
      <c r="J8250" s="0" t="s">
        <v>27457</v>
      </c>
      <c r="K8250" s="0" t="s">
        <v>27458</v>
      </c>
      <c r="L8250" s="0" t="str">
        <f aca="false">HYPERLINK("https://www.ncbi.nlm.nih.gov/nuccore/CP000058.1?report=graph&amp;tracks=[key:gene_model_track,Options:GeneOnly]&amp;mk=2598556:2598575|offset_56|00cc00,2598526:2598545|offset_86|444444,2598473:2598492|offset_139|444444,2598430:2598449|offset_182|444444&amp;v=2598355:2598649&amp;c=444444", "offset 56")</f>
        <v>offset 56</v>
      </c>
    </row>
    <row r="8251" customFormat="false" ht="12.8" hidden="false" customHeight="false" outlineLevel="0" collapsed="false">
      <c r="A8251" s="0" t="s">
        <v>12</v>
      </c>
      <c r="B8251" s="0" t="n">
        <v>2598525</v>
      </c>
      <c r="C8251" s="0" t="n">
        <v>2598545</v>
      </c>
      <c r="D8251" s="0" t="s">
        <v>27455</v>
      </c>
      <c r="E8251" s="0" t="s">
        <v>75</v>
      </c>
      <c r="F8251" s="0" t="s">
        <v>90</v>
      </c>
      <c r="G8251" s="0" t="s">
        <v>36</v>
      </c>
      <c r="H8251" s="0" t="n">
        <v>86</v>
      </c>
      <c r="I8251" s="0" t="s">
        <v>27459</v>
      </c>
      <c r="J8251" s="0" t="s">
        <v>27460</v>
      </c>
      <c r="K8251" s="0" t="s">
        <v>27461</v>
      </c>
      <c r="L8251" s="0" t="str">
        <f aca="false">HYPERLINK("https://www.ncbi.nlm.nih.gov/nuccore/CP000058.1?report=graph&amp;tracks=[key:gene_model_track,Options:GeneOnly]&amp;mk=2598556:2598575|offset_56|444444,2598526:2598545|offset_86|00cc00,2598473:2598492|offset_139|444444,2598430:2598449|offset_182|444444&amp;v=2598355:2598649&amp;c=444444", "offset 86")</f>
        <v>offset 86</v>
      </c>
    </row>
    <row r="8252" customFormat="false" ht="12.8" hidden="false" customHeight="false" outlineLevel="0" collapsed="false">
      <c r="A8252" s="0" t="s">
        <v>12</v>
      </c>
      <c r="B8252" s="0" t="n">
        <v>2598472</v>
      </c>
      <c r="C8252" s="0" t="n">
        <v>2598492</v>
      </c>
      <c r="D8252" s="0" t="s">
        <v>27455</v>
      </c>
      <c r="E8252" s="0" t="s">
        <v>75</v>
      </c>
      <c r="F8252" s="0" t="s">
        <v>90</v>
      </c>
      <c r="G8252" s="0" t="s">
        <v>16</v>
      </c>
      <c r="H8252" s="0" t="n">
        <v>139</v>
      </c>
      <c r="I8252" s="0" t="s">
        <v>27462</v>
      </c>
      <c r="J8252" s="0" t="s">
        <v>27463</v>
      </c>
      <c r="K8252" s="0" t="s">
        <v>27464</v>
      </c>
      <c r="L8252" s="0" t="str">
        <f aca="false">HYPERLINK("https://www.ncbi.nlm.nih.gov/nuccore/CP000058.1?report=graph&amp;tracks=[key:gene_model_track,Options:GeneOnly]&amp;mk=2598556:2598575|offset_56|444444,2598526:2598545|offset_86|444444,2598473:2598492|offset_139|00cc00,2598430:2598449|offset_182|444444&amp;v=2598355:2598649&amp;c=444444", "offset 139")</f>
        <v>offset 139</v>
      </c>
    </row>
    <row r="8253" customFormat="false" ht="12.8" hidden="false" customHeight="false" outlineLevel="0" collapsed="false">
      <c r="A8253" s="0" t="s">
        <v>12</v>
      </c>
      <c r="B8253" s="0" t="n">
        <v>2598429</v>
      </c>
      <c r="C8253" s="0" t="n">
        <v>2598449</v>
      </c>
      <c r="D8253" s="0" t="s">
        <v>27455</v>
      </c>
      <c r="E8253" s="0" t="s">
        <v>75</v>
      </c>
      <c r="F8253" s="0" t="s">
        <v>90</v>
      </c>
      <c r="G8253" s="0" t="s">
        <v>20</v>
      </c>
      <c r="H8253" s="0" t="n">
        <v>182</v>
      </c>
      <c r="I8253" s="0" t="s">
        <v>27465</v>
      </c>
      <c r="J8253" s="0" t="s">
        <v>27466</v>
      </c>
      <c r="K8253" s="0" t="s">
        <v>27467</v>
      </c>
      <c r="L8253" s="0" t="str">
        <f aca="false">HYPERLINK("https://www.ncbi.nlm.nih.gov/nuccore/CP000058.1?report=graph&amp;tracks=[key:gene_model_track,Options:GeneOnly]&amp;mk=2598556:2598575|offset_56|444444,2598526:2598545|offset_86|444444,2598473:2598492|offset_139|444444,2598430:2598449|offset_182|00cc00&amp;v=2598355:2598649&amp;c=444444", "offset 182")</f>
        <v>offset 182</v>
      </c>
    </row>
    <row r="8254" customFormat="false" ht="12.8" hidden="false" customHeight="false" outlineLevel="0" collapsed="false">
      <c r="A8254" s="0" t="s">
        <v>12</v>
      </c>
      <c r="B8254" s="0" t="n">
        <v>2599153</v>
      </c>
      <c r="C8254" s="0" t="n">
        <v>2599173</v>
      </c>
      <c r="D8254" s="0" t="s">
        <v>27468</v>
      </c>
      <c r="E8254" s="0" t="s">
        <v>75</v>
      </c>
      <c r="F8254" s="0" t="s">
        <v>90</v>
      </c>
      <c r="G8254" s="0" t="s">
        <v>36</v>
      </c>
      <c r="H8254" s="0" t="n">
        <v>53</v>
      </c>
      <c r="I8254" s="0" t="s">
        <v>27469</v>
      </c>
      <c r="J8254" s="0" t="s">
        <v>27470</v>
      </c>
      <c r="K8254" s="0" t="s">
        <v>27471</v>
      </c>
      <c r="L8254" s="0" t="str">
        <f aca="false">HYPERLINK("https://www.ncbi.nlm.nih.gov/nuccore/CP000058.1?report=graph&amp;tracks=[key:gene_model_track,Options:GeneOnly]&amp;mk=2599154:2599173|offset_53|00cc00,2599098:2599117|offset_109|444444,2599060:2599079|offset_147|444444,2599032:2599051|offset_175|444444&amp;v=2598953:2599251&amp;c=444444", "offset 53")</f>
        <v>offset 53</v>
      </c>
    </row>
    <row r="8255" customFormat="false" ht="12.8" hidden="false" customHeight="false" outlineLevel="0" collapsed="false">
      <c r="A8255" s="0" t="s">
        <v>12</v>
      </c>
      <c r="B8255" s="0" t="n">
        <v>2599097</v>
      </c>
      <c r="C8255" s="0" t="n">
        <v>2599117</v>
      </c>
      <c r="D8255" s="0" t="s">
        <v>27468</v>
      </c>
      <c r="E8255" s="0" t="s">
        <v>75</v>
      </c>
      <c r="F8255" s="0" t="s">
        <v>90</v>
      </c>
      <c r="G8255" s="0" t="s">
        <v>16</v>
      </c>
      <c r="H8255" s="0" t="n">
        <v>109</v>
      </c>
      <c r="I8255" s="0" t="s">
        <v>27472</v>
      </c>
      <c r="J8255" s="0" t="s">
        <v>27473</v>
      </c>
      <c r="K8255" s="0" t="s">
        <v>27474</v>
      </c>
      <c r="L8255" s="0" t="str">
        <f aca="false">HYPERLINK("https://www.ncbi.nlm.nih.gov/nuccore/CP000058.1?report=graph&amp;tracks=[key:gene_model_track,Options:GeneOnly]&amp;mk=2599154:2599173|offset_53|444444,2599098:2599117|offset_109|00cc00,2599060:2599079|offset_147|444444,2599032:2599051|offset_175|444444&amp;v=2598953:2599251&amp;c=444444", "offset 109")</f>
        <v>offset 109</v>
      </c>
    </row>
    <row r="8256" customFormat="false" ht="12.8" hidden="false" customHeight="false" outlineLevel="0" collapsed="false">
      <c r="A8256" s="0" t="s">
        <v>12</v>
      </c>
      <c r="B8256" s="0" t="n">
        <v>2599059</v>
      </c>
      <c r="C8256" s="0" t="n">
        <v>2599079</v>
      </c>
      <c r="D8256" s="0" t="s">
        <v>27468</v>
      </c>
      <c r="E8256" s="0" t="s">
        <v>75</v>
      </c>
      <c r="F8256" s="0" t="s">
        <v>90</v>
      </c>
      <c r="G8256" s="0" t="s">
        <v>20</v>
      </c>
      <c r="H8256" s="0" t="n">
        <v>147</v>
      </c>
      <c r="I8256" s="0" t="s">
        <v>27475</v>
      </c>
      <c r="J8256" s="0" t="s">
        <v>27476</v>
      </c>
      <c r="K8256" s="0" t="s">
        <v>27477</v>
      </c>
      <c r="L8256" s="0" t="str">
        <f aca="false">HYPERLINK("https://www.ncbi.nlm.nih.gov/nuccore/CP000058.1?report=graph&amp;tracks=[key:gene_model_track,Options:GeneOnly]&amp;mk=2599154:2599173|offset_53|444444,2599098:2599117|offset_109|444444,2599060:2599079|offset_147|00cc00,2599032:2599051|offset_175|444444&amp;v=2598953:2599251&amp;c=444444", "offset 147")</f>
        <v>offset 147</v>
      </c>
    </row>
    <row r="8257" customFormat="false" ht="12.8" hidden="false" customHeight="false" outlineLevel="0" collapsed="false">
      <c r="A8257" s="0" t="s">
        <v>12</v>
      </c>
      <c r="B8257" s="0" t="n">
        <v>2599031</v>
      </c>
      <c r="C8257" s="0" t="n">
        <v>2599051</v>
      </c>
      <c r="D8257" s="0" t="s">
        <v>27468</v>
      </c>
      <c r="E8257" s="0" t="s">
        <v>75</v>
      </c>
      <c r="F8257" s="0" t="s">
        <v>90</v>
      </c>
      <c r="G8257" s="0" t="s">
        <v>16</v>
      </c>
      <c r="H8257" s="0" t="n">
        <v>175</v>
      </c>
      <c r="I8257" s="0" t="s">
        <v>27478</v>
      </c>
      <c r="J8257" s="0" t="s">
        <v>27479</v>
      </c>
      <c r="K8257" s="0" t="s">
        <v>27480</v>
      </c>
      <c r="L8257" s="0" t="str">
        <f aca="false">HYPERLINK("https://www.ncbi.nlm.nih.gov/nuccore/CP000058.1?report=graph&amp;tracks=[key:gene_model_track,Options:GeneOnly]&amp;mk=2599154:2599173|offset_53|444444,2599098:2599117|offset_109|444444,2599060:2599079|offset_147|444444,2599032:2599051|offset_175|00cc00&amp;v=2598953:2599251&amp;c=444444", "offset 175")</f>
        <v>offset 175</v>
      </c>
    </row>
    <row r="8258" customFormat="false" ht="12.8" hidden="false" customHeight="false" outlineLevel="0" collapsed="false">
      <c r="A8258" s="0" t="s">
        <v>12</v>
      </c>
      <c r="B8258" s="0" t="n">
        <v>2599935</v>
      </c>
      <c r="C8258" s="0" t="n">
        <v>2599955</v>
      </c>
      <c r="D8258" s="0" t="s">
        <v>27481</v>
      </c>
      <c r="E8258" s="0" t="s">
        <v>75</v>
      </c>
      <c r="F8258" s="0" t="s">
        <v>90</v>
      </c>
      <c r="G8258" s="0" t="s">
        <v>32</v>
      </c>
      <c r="H8258" s="0" t="n">
        <v>41</v>
      </c>
      <c r="I8258" s="0" t="s">
        <v>27482</v>
      </c>
      <c r="J8258" s="0" t="s">
        <v>27483</v>
      </c>
      <c r="K8258" s="0" t="s">
        <v>27484</v>
      </c>
      <c r="L8258" s="0" t="str">
        <f aca="false">HYPERLINK("https://www.ncbi.nlm.nih.gov/nuccore/CP000058.1?report=graph&amp;tracks=[key:gene_model_track,Options:GeneOnly]&amp;mk=2599936:2599955|offset_41|00cc00,2599916:2599935|offset_61|444444,2599884:2599903|offset_93|444444,2599857:2599876|offset_120|444444&amp;v=2599735:2600076&amp;c=444444", "offset 41")</f>
        <v>offset 41</v>
      </c>
    </row>
    <row r="8259" customFormat="false" ht="12.8" hidden="false" customHeight="false" outlineLevel="0" collapsed="false">
      <c r="A8259" s="0" t="s">
        <v>12</v>
      </c>
      <c r="B8259" s="0" t="n">
        <v>2599915</v>
      </c>
      <c r="C8259" s="0" t="n">
        <v>2599935</v>
      </c>
      <c r="D8259" s="0" t="s">
        <v>27481</v>
      </c>
      <c r="E8259" s="0" t="s">
        <v>75</v>
      </c>
      <c r="F8259" s="0" t="s">
        <v>90</v>
      </c>
      <c r="G8259" s="0" t="s">
        <v>20</v>
      </c>
      <c r="H8259" s="0" t="n">
        <v>61</v>
      </c>
      <c r="I8259" s="0" t="s">
        <v>27485</v>
      </c>
      <c r="J8259" s="0" t="s">
        <v>27486</v>
      </c>
      <c r="K8259" s="0" t="s">
        <v>27487</v>
      </c>
      <c r="L8259" s="0" t="str">
        <f aca="false">HYPERLINK("https://www.ncbi.nlm.nih.gov/nuccore/CP000058.1?report=graph&amp;tracks=[key:gene_model_track,Options:GeneOnly]&amp;mk=2599936:2599955|offset_41|444444,2599916:2599935|offset_61|00cc00,2599884:2599903|offset_93|444444,2599857:2599876|offset_120|444444&amp;v=2599735:2600076&amp;c=444444", "offset 61")</f>
        <v>offset 61</v>
      </c>
    </row>
    <row r="8260" customFormat="false" ht="12.8" hidden="false" customHeight="false" outlineLevel="0" collapsed="false">
      <c r="A8260" s="0" t="s">
        <v>12</v>
      </c>
      <c r="B8260" s="0" t="n">
        <v>2599883</v>
      </c>
      <c r="C8260" s="0" t="n">
        <v>2599903</v>
      </c>
      <c r="D8260" s="0" t="s">
        <v>27481</v>
      </c>
      <c r="E8260" s="0" t="s">
        <v>75</v>
      </c>
      <c r="F8260" s="0" t="s">
        <v>90</v>
      </c>
      <c r="G8260" s="0" t="s">
        <v>20</v>
      </c>
      <c r="H8260" s="0" t="n">
        <v>93</v>
      </c>
      <c r="I8260" s="0" t="s">
        <v>27488</v>
      </c>
      <c r="J8260" s="0" t="s">
        <v>27489</v>
      </c>
      <c r="K8260" s="0" t="s">
        <v>27490</v>
      </c>
      <c r="L8260" s="0" t="str">
        <f aca="false">HYPERLINK("https://www.ncbi.nlm.nih.gov/nuccore/CP000058.1?report=graph&amp;tracks=[key:gene_model_track,Options:GeneOnly]&amp;mk=2599936:2599955|offset_41|444444,2599916:2599935|offset_61|444444,2599884:2599903|offset_93|00cc00,2599857:2599876|offset_120|444444&amp;v=2599735:2600076&amp;c=444444", "offset 93")</f>
        <v>offset 93</v>
      </c>
    </row>
    <row r="8261" customFormat="false" ht="12.8" hidden="false" customHeight="false" outlineLevel="0" collapsed="false">
      <c r="A8261" s="0" t="s">
        <v>12</v>
      </c>
      <c r="B8261" s="0" t="n">
        <v>2599856</v>
      </c>
      <c r="C8261" s="0" t="n">
        <v>2599876</v>
      </c>
      <c r="D8261" s="0" t="s">
        <v>27481</v>
      </c>
      <c r="E8261" s="0" t="s">
        <v>75</v>
      </c>
      <c r="F8261" s="0" t="s">
        <v>90</v>
      </c>
      <c r="G8261" s="0" t="s">
        <v>16</v>
      </c>
      <c r="H8261" s="0" t="n">
        <v>120</v>
      </c>
      <c r="I8261" s="0" t="s">
        <v>27491</v>
      </c>
      <c r="J8261" s="0" t="s">
        <v>27492</v>
      </c>
      <c r="K8261" s="0" t="s">
        <v>27493</v>
      </c>
      <c r="L8261" s="0" t="str">
        <f aca="false">HYPERLINK("https://www.ncbi.nlm.nih.gov/nuccore/CP000058.1?report=graph&amp;tracks=[key:gene_model_track,Options:GeneOnly]&amp;mk=2599936:2599955|offset_41|444444,2599916:2599935|offset_61|444444,2599884:2599903|offset_93|444444,2599857:2599876|offset_120|00cc00&amp;v=2599735:2600076&amp;c=444444", "offset 120")</f>
        <v>offset 120</v>
      </c>
    </row>
    <row r="8262" customFormat="false" ht="12.8" hidden="false" customHeight="false" outlineLevel="0" collapsed="false">
      <c r="A8262" s="0" t="s">
        <v>12</v>
      </c>
      <c r="B8262" s="0" t="n">
        <v>2600890</v>
      </c>
      <c r="C8262" s="0" t="n">
        <v>2600910</v>
      </c>
      <c r="D8262" s="0" t="s">
        <v>27494</v>
      </c>
      <c r="E8262" s="0" t="s">
        <v>75</v>
      </c>
      <c r="F8262" s="0" t="s">
        <v>90</v>
      </c>
      <c r="G8262" s="0" t="s">
        <v>36</v>
      </c>
      <c r="H8262" s="0" t="n">
        <v>38</v>
      </c>
      <c r="I8262" s="0" t="s">
        <v>27495</v>
      </c>
      <c r="J8262" s="0" t="s">
        <v>27496</v>
      </c>
      <c r="K8262" s="0" t="s">
        <v>27497</v>
      </c>
      <c r="L8262" s="0" t="str">
        <f aca="false">HYPERLINK("https://www.ncbi.nlm.nih.gov/nuccore/CP000058.1?report=graph&amp;tracks=[key:gene_model_track,Options:GeneOnly]&amp;mk=2600891:2600910|offset_38|00cc00,2600844:2600863|offset_85|444444,2600793:2600812|offset_136|444444,2600760:2600779|offset_169|444444&amp;v=2600690:2600979&amp;c=444444", "offset 38")</f>
        <v>offset 38</v>
      </c>
    </row>
    <row r="8263" customFormat="false" ht="12.8" hidden="false" customHeight="false" outlineLevel="0" collapsed="false">
      <c r="A8263" s="0" t="s">
        <v>12</v>
      </c>
      <c r="B8263" s="0" t="n">
        <v>2600843</v>
      </c>
      <c r="C8263" s="0" t="n">
        <v>2600863</v>
      </c>
      <c r="D8263" s="0" t="s">
        <v>27494</v>
      </c>
      <c r="E8263" s="0" t="s">
        <v>75</v>
      </c>
      <c r="F8263" s="0" t="s">
        <v>90</v>
      </c>
      <c r="G8263" s="0" t="s">
        <v>20</v>
      </c>
      <c r="H8263" s="0" t="n">
        <v>85</v>
      </c>
      <c r="I8263" s="0" t="s">
        <v>27498</v>
      </c>
      <c r="J8263" s="0" t="s">
        <v>27499</v>
      </c>
      <c r="K8263" s="0" t="s">
        <v>27500</v>
      </c>
      <c r="L8263" s="0" t="str">
        <f aca="false">HYPERLINK("https://www.ncbi.nlm.nih.gov/nuccore/CP000058.1?report=graph&amp;tracks=[key:gene_model_track,Options:GeneOnly]&amp;mk=2600891:2600910|offset_38|444444,2600844:2600863|offset_85|00cc00,2600793:2600812|offset_136|444444,2600760:2600779|offset_169|444444&amp;v=2600690:2600979&amp;c=444444", "offset 85")</f>
        <v>offset 85</v>
      </c>
    </row>
    <row r="8264" customFormat="false" ht="12.8" hidden="false" customHeight="false" outlineLevel="0" collapsed="false">
      <c r="A8264" s="0" t="s">
        <v>12</v>
      </c>
      <c r="B8264" s="0" t="n">
        <v>2600792</v>
      </c>
      <c r="C8264" s="0" t="n">
        <v>2600812</v>
      </c>
      <c r="D8264" s="0" t="s">
        <v>27494</v>
      </c>
      <c r="E8264" s="0" t="s">
        <v>75</v>
      </c>
      <c r="F8264" s="0" t="s">
        <v>90</v>
      </c>
      <c r="G8264" s="0" t="s">
        <v>16</v>
      </c>
      <c r="H8264" s="0" t="n">
        <v>136</v>
      </c>
      <c r="I8264" s="0" t="s">
        <v>27501</v>
      </c>
      <c r="J8264" s="0" t="s">
        <v>27502</v>
      </c>
      <c r="K8264" s="0" t="s">
        <v>27503</v>
      </c>
      <c r="L8264" s="0" t="str">
        <f aca="false">HYPERLINK("https://www.ncbi.nlm.nih.gov/nuccore/CP000058.1?report=graph&amp;tracks=[key:gene_model_track,Options:GeneOnly]&amp;mk=2600891:2600910|offset_38|444444,2600844:2600863|offset_85|444444,2600793:2600812|offset_136|00cc00,2600760:2600779|offset_169|444444&amp;v=2600690:2600979&amp;c=444444", "offset 136")</f>
        <v>offset 136</v>
      </c>
    </row>
    <row r="8265" customFormat="false" ht="12.8" hidden="false" customHeight="false" outlineLevel="0" collapsed="false">
      <c r="A8265" s="0" t="s">
        <v>12</v>
      </c>
      <c r="B8265" s="0" t="n">
        <v>2600759</v>
      </c>
      <c r="C8265" s="0" t="n">
        <v>2600779</v>
      </c>
      <c r="D8265" s="0" t="s">
        <v>27494</v>
      </c>
      <c r="E8265" s="0" t="s">
        <v>75</v>
      </c>
      <c r="F8265" s="0" t="s">
        <v>90</v>
      </c>
      <c r="G8265" s="0" t="s">
        <v>36</v>
      </c>
      <c r="H8265" s="0" t="n">
        <v>169</v>
      </c>
      <c r="I8265" s="0" t="s">
        <v>27504</v>
      </c>
      <c r="J8265" s="0" t="s">
        <v>27505</v>
      </c>
      <c r="K8265" s="0" t="s">
        <v>27506</v>
      </c>
      <c r="L8265" s="0" t="str">
        <f aca="false">HYPERLINK("https://www.ncbi.nlm.nih.gov/nuccore/CP000058.1?report=graph&amp;tracks=[key:gene_model_track,Options:GeneOnly]&amp;mk=2600891:2600910|offset_38|444444,2600844:2600863|offset_85|444444,2600793:2600812|offset_136|444444,2600760:2600779|offset_169|00cc00&amp;v=2600690:2600979&amp;c=444444", "offset 169")</f>
        <v>offset 169</v>
      </c>
    </row>
    <row r="8266" customFormat="false" ht="12.8" hidden="false" customHeight="false" outlineLevel="0" collapsed="false">
      <c r="A8266" s="0" t="s">
        <v>12</v>
      </c>
      <c r="B8266" s="0" t="n">
        <v>2603167</v>
      </c>
      <c r="C8266" s="0" t="n">
        <v>2603187</v>
      </c>
      <c r="D8266" s="0" t="s">
        <v>27507</v>
      </c>
      <c r="E8266" s="0" t="s">
        <v>27508</v>
      </c>
      <c r="F8266" s="0" t="s">
        <v>90</v>
      </c>
      <c r="G8266" s="0" t="s">
        <v>32</v>
      </c>
      <c r="H8266" s="0" t="n">
        <v>16</v>
      </c>
      <c r="I8266" s="0" t="s">
        <v>27509</v>
      </c>
      <c r="J8266" s="0" t="s">
        <v>27510</v>
      </c>
      <c r="K8266" s="0" t="s">
        <v>27511</v>
      </c>
      <c r="L8266" s="0" t="str">
        <f aca="false">HYPERLINK("https://www.ncbi.nlm.nih.gov/nuccore/CP000058.1?report=graph&amp;tracks=[key:gene_model_track,Options:GeneOnly]&amp;mk=2603168:2603187|offset_16|00cc00,2603141:2603160|offset_43|444444,2603117:2603136|offset_67|444444,2603091:2603110|offset_93|444444&amp;v=2602967:2603310&amp;c=444444", "offset 16")</f>
        <v>offset 16</v>
      </c>
    </row>
    <row r="8267" customFormat="false" ht="12.8" hidden="false" customHeight="false" outlineLevel="0" collapsed="false">
      <c r="A8267" s="0" t="s">
        <v>12</v>
      </c>
      <c r="B8267" s="0" t="n">
        <v>2603140</v>
      </c>
      <c r="C8267" s="0" t="n">
        <v>2603160</v>
      </c>
      <c r="D8267" s="0" t="s">
        <v>27507</v>
      </c>
      <c r="E8267" s="0" t="s">
        <v>27508</v>
      </c>
      <c r="F8267" s="0" t="s">
        <v>90</v>
      </c>
      <c r="G8267" s="0" t="s">
        <v>36</v>
      </c>
      <c r="H8267" s="0" t="n">
        <v>43</v>
      </c>
      <c r="I8267" s="0" t="s">
        <v>27512</v>
      </c>
      <c r="J8267" s="0" t="s">
        <v>27513</v>
      </c>
      <c r="K8267" s="0" t="s">
        <v>27514</v>
      </c>
      <c r="L8267" s="0" t="str">
        <f aca="false">HYPERLINK("https://www.ncbi.nlm.nih.gov/nuccore/CP000058.1?report=graph&amp;tracks=[key:gene_model_track,Options:GeneOnly]&amp;mk=2603168:2603187|offset_16|444444,2603141:2603160|offset_43|00cc00,2603117:2603136|offset_67|444444,2603091:2603110|offset_93|444444&amp;v=2602967:2603310&amp;c=444444", "offset 43")</f>
        <v>offset 43</v>
      </c>
    </row>
    <row r="8268" customFormat="false" ht="12.8" hidden="false" customHeight="false" outlineLevel="0" collapsed="false">
      <c r="A8268" s="0" t="s">
        <v>12</v>
      </c>
      <c r="B8268" s="0" t="n">
        <v>2603116</v>
      </c>
      <c r="C8268" s="0" t="n">
        <v>2603136</v>
      </c>
      <c r="D8268" s="0" t="s">
        <v>27507</v>
      </c>
      <c r="E8268" s="0" t="s">
        <v>27508</v>
      </c>
      <c r="F8268" s="0" t="s">
        <v>90</v>
      </c>
      <c r="G8268" s="0" t="s">
        <v>36</v>
      </c>
      <c r="H8268" s="0" t="n">
        <v>67</v>
      </c>
      <c r="I8268" s="0" t="s">
        <v>27515</v>
      </c>
      <c r="J8268" s="0" t="s">
        <v>27516</v>
      </c>
      <c r="K8268" s="0" t="s">
        <v>27517</v>
      </c>
      <c r="L8268" s="0" t="str">
        <f aca="false">HYPERLINK("https://www.ncbi.nlm.nih.gov/nuccore/CP000058.1?report=graph&amp;tracks=[key:gene_model_track,Options:GeneOnly]&amp;mk=2603168:2603187|offset_16|444444,2603141:2603160|offset_43|444444,2603117:2603136|offset_67|00cc00,2603091:2603110|offset_93|444444&amp;v=2602967:2603310&amp;c=444444", "offset 67")</f>
        <v>offset 67</v>
      </c>
    </row>
    <row r="8269" customFormat="false" ht="12.8" hidden="false" customHeight="false" outlineLevel="0" collapsed="false">
      <c r="A8269" s="0" t="s">
        <v>12</v>
      </c>
      <c r="B8269" s="0" t="n">
        <v>2603090</v>
      </c>
      <c r="C8269" s="0" t="n">
        <v>2603110</v>
      </c>
      <c r="D8269" s="0" t="s">
        <v>27507</v>
      </c>
      <c r="E8269" s="0" t="s">
        <v>27508</v>
      </c>
      <c r="F8269" s="0" t="s">
        <v>90</v>
      </c>
      <c r="G8269" s="0" t="s">
        <v>36</v>
      </c>
      <c r="H8269" s="0" t="n">
        <v>93</v>
      </c>
      <c r="I8269" s="0" t="s">
        <v>27518</v>
      </c>
      <c r="J8269" s="0" t="s">
        <v>27519</v>
      </c>
      <c r="K8269" s="0" t="s">
        <v>27520</v>
      </c>
      <c r="L8269" s="0" t="str">
        <f aca="false">HYPERLINK("https://www.ncbi.nlm.nih.gov/nuccore/CP000058.1?report=graph&amp;tracks=[key:gene_model_track,Options:GeneOnly]&amp;mk=2603168:2603187|offset_16|444444,2603141:2603160|offset_43|444444,2603117:2603136|offset_67|444444,2603091:2603110|offset_93|00cc00&amp;v=2602967:2603310&amp;c=444444", "offset 93")</f>
        <v>offset 93</v>
      </c>
    </row>
    <row r="8270" customFormat="false" ht="12.8" hidden="false" customHeight="false" outlineLevel="0" collapsed="false">
      <c r="A8270" s="0" t="s">
        <v>12</v>
      </c>
      <c r="B8270" s="0" t="n">
        <v>2603718</v>
      </c>
      <c r="C8270" s="0" t="n">
        <v>2603738</v>
      </c>
      <c r="D8270" s="0" t="s">
        <v>27521</v>
      </c>
      <c r="E8270" s="0" t="s">
        <v>75</v>
      </c>
      <c r="F8270" s="0" t="s">
        <v>90</v>
      </c>
      <c r="G8270" s="0" t="s">
        <v>16</v>
      </c>
      <c r="H8270" s="0" t="n">
        <v>10</v>
      </c>
      <c r="I8270" s="0" t="s">
        <v>27522</v>
      </c>
      <c r="J8270" s="0" t="s">
        <v>27523</v>
      </c>
      <c r="K8270" s="0" t="s">
        <v>27524</v>
      </c>
      <c r="L8270" s="0" t="str">
        <f aca="false">HYPERLINK("https://www.ncbi.nlm.nih.gov/nuccore/CP000058.1?report=graph&amp;tracks=[key:gene_model_track,Options:GeneOnly]&amp;mk=2603719:2603738|offset_10|00cc00,2603688:2603707|offset_41|444444,2603663:2603682|offset_66|444444,2603605:2603624|offset_124|444444&amp;v=2603518:2603824&amp;c=444444", "offset 10")</f>
        <v>offset 10</v>
      </c>
    </row>
    <row r="8271" customFormat="false" ht="12.8" hidden="false" customHeight="false" outlineLevel="0" collapsed="false">
      <c r="A8271" s="0" t="s">
        <v>12</v>
      </c>
      <c r="B8271" s="0" t="n">
        <v>2603687</v>
      </c>
      <c r="C8271" s="0" t="n">
        <v>2603707</v>
      </c>
      <c r="D8271" s="0" t="s">
        <v>27521</v>
      </c>
      <c r="E8271" s="0" t="s">
        <v>75</v>
      </c>
      <c r="F8271" s="0" t="s">
        <v>90</v>
      </c>
      <c r="G8271" s="0" t="s">
        <v>32</v>
      </c>
      <c r="H8271" s="0" t="n">
        <v>41</v>
      </c>
      <c r="I8271" s="0" t="s">
        <v>27525</v>
      </c>
      <c r="J8271" s="0" t="s">
        <v>27526</v>
      </c>
      <c r="K8271" s="0" t="s">
        <v>27527</v>
      </c>
      <c r="L8271" s="0" t="str">
        <f aca="false">HYPERLINK("https://www.ncbi.nlm.nih.gov/nuccore/CP000058.1?report=graph&amp;tracks=[key:gene_model_track,Options:GeneOnly]&amp;mk=2603719:2603738|offset_10|444444,2603688:2603707|offset_41|00cc00,2603663:2603682|offset_66|444444,2603605:2603624|offset_124|444444&amp;v=2603518:2603824&amp;c=444444", "offset 41")</f>
        <v>offset 41</v>
      </c>
    </row>
    <row r="8272" customFormat="false" ht="12.8" hidden="false" customHeight="false" outlineLevel="0" collapsed="false">
      <c r="A8272" s="0" t="s">
        <v>12</v>
      </c>
      <c r="B8272" s="0" t="n">
        <v>2603662</v>
      </c>
      <c r="C8272" s="0" t="n">
        <v>2603682</v>
      </c>
      <c r="D8272" s="0" t="s">
        <v>27521</v>
      </c>
      <c r="E8272" s="0" t="s">
        <v>75</v>
      </c>
      <c r="F8272" s="0" t="s">
        <v>90</v>
      </c>
      <c r="G8272" s="0" t="s">
        <v>36</v>
      </c>
      <c r="H8272" s="0" t="n">
        <v>66</v>
      </c>
      <c r="I8272" s="0" t="s">
        <v>27528</v>
      </c>
      <c r="J8272" s="0" t="s">
        <v>27529</v>
      </c>
      <c r="K8272" s="0" t="s">
        <v>27530</v>
      </c>
      <c r="L8272" s="0" t="str">
        <f aca="false">HYPERLINK("https://www.ncbi.nlm.nih.gov/nuccore/CP000058.1?report=graph&amp;tracks=[key:gene_model_track,Options:GeneOnly]&amp;mk=2603719:2603738|offset_10|444444,2603688:2603707|offset_41|444444,2603663:2603682|offset_66|00cc00,2603605:2603624|offset_124|444444&amp;v=2603518:2603824&amp;c=444444", "offset 66")</f>
        <v>offset 66</v>
      </c>
    </row>
    <row r="8273" customFormat="false" ht="12.8" hidden="false" customHeight="false" outlineLevel="0" collapsed="false">
      <c r="A8273" s="0" t="s">
        <v>12</v>
      </c>
      <c r="B8273" s="0" t="n">
        <v>2603604</v>
      </c>
      <c r="C8273" s="0" t="n">
        <v>2603624</v>
      </c>
      <c r="D8273" s="0" t="s">
        <v>27521</v>
      </c>
      <c r="E8273" s="0" t="s">
        <v>75</v>
      </c>
      <c r="F8273" s="0" t="s">
        <v>90</v>
      </c>
      <c r="G8273" s="0" t="s">
        <v>36</v>
      </c>
      <c r="H8273" s="0" t="n">
        <v>124</v>
      </c>
      <c r="I8273" s="0" t="s">
        <v>27531</v>
      </c>
      <c r="J8273" s="0" t="s">
        <v>27532</v>
      </c>
      <c r="K8273" s="0" t="s">
        <v>27533</v>
      </c>
      <c r="L8273" s="0" t="str">
        <f aca="false">HYPERLINK("https://www.ncbi.nlm.nih.gov/nuccore/CP000058.1?report=graph&amp;tracks=[key:gene_model_track,Options:GeneOnly]&amp;mk=2603719:2603738|offset_10|444444,2603688:2603707|offset_41|444444,2603663:2603682|offset_66|444444,2603605:2603624|offset_124|00cc00&amp;v=2603518:2603824&amp;c=444444", "offset 124")</f>
        <v>offset 124</v>
      </c>
    </row>
    <row r="8274" customFormat="false" ht="12.8" hidden="false" customHeight="false" outlineLevel="0" collapsed="false">
      <c r="A8274" s="0" t="s">
        <v>12</v>
      </c>
      <c r="B8274" s="0" t="n">
        <v>2606522</v>
      </c>
      <c r="C8274" s="0" t="n">
        <v>2606542</v>
      </c>
      <c r="D8274" s="0" t="s">
        <v>27534</v>
      </c>
      <c r="E8274" s="0" t="s">
        <v>27535</v>
      </c>
      <c r="F8274" s="0" t="s">
        <v>90</v>
      </c>
      <c r="G8274" s="0" t="s">
        <v>36</v>
      </c>
      <c r="H8274" s="0" t="n">
        <v>7</v>
      </c>
      <c r="I8274" s="0" t="s">
        <v>27536</v>
      </c>
      <c r="J8274" s="0" t="s">
        <v>27537</v>
      </c>
      <c r="K8274" s="0" t="s">
        <v>27538</v>
      </c>
      <c r="L8274" s="0" t="str">
        <f aca="false">HYPERLINK("https://www.ncbi.nlm.nih.gov/nuccore/CP000058.1?report=graph&amp;tracks=[key:gene_model_track,Options:GeneOnly]&amp;mk=2606523:2606542|offset_7|00cc00,2606496:2606515|offset_34|444444,2606449:2606468|offset_81|444444,2606426:2606445|offset_104|444444&amp;v=2606322:2606645&amp;c=444444", "offset 7")</f>
        <v>offset 7</v>
      </c>
    </row>
    <row r="8275" customFormat="false" ht="12.8" hidden="false" customHeight="false" outlineLevel="0" collapsed="false">
      <c r="A8275" s="0" t="s">
        <v>12</v>
      </c>
      <c r="B8275" s="0" t="n">
        <v>2606495</v>
      </c>
      <c r="C8275" s="0" t="n">
        <v>2606515</v>
      </c>
      <c r="D8275" s="0" t="s">
        <v>27534</v>
      </c>
      <c r="E8275" s="0" t="s">
        <v>27535</v>
      </c>
      <c r="F8275" s="0" t="s">
        <v>90</v>
      </c>
      <c r="G8275" s="0" t="s">
        <v>36</v>
      </c>
      <c r="H8275" s="0" t="n">
        <v>34</v>
      </c>
      <c r="I8275" s="0" t="s">
        <v>27539</v>
      </c>
      <c r="J8275" s="0" t="s">
        <v>27540</v>
      </c>
      <c r="K8275" s="0" t="s">
        <v>27541</v>
      </c>
      <c r="L8275" s="0" t="str">
        <f aca="false">HYPERLINK("https://www.ncbi.nlm.nih.gov/nuccore/CP000058.1?report=graph&amp;tracks=[key:gene_model_track,Options:GeneOnly]&amp;mk=2606523:2606542|offset_7|444444,2606496:2606515|offset_34|00cc00,2606449:2606468|offset_81|444444,2606426:2606445|offset_104|444444&amp;v=2606322:2606645&amp;c=444444", "offset 34")</f>
        <v>offset 34</v>
      </c>
    </row>
    <row r="8276" customFormat="false" ht="12.8" hidden="false" customHeight="false" outlineLevel="0" collapsed="false">
      <c r="A8276" s="0" t="s">
        <v>12</v>
      </c>
      <c r="B8276" s="0" t="n">
        <v>2606448</v>
      </c>
      <c r="C8276" s="0" t="n">
        <v>2606468</v>
      </c>
      <c r="D8276" s="0" t="s">
        <v>27534</v>
      </c>
      <c r="E8276" s="0" t="s">
        <v>27535</v>
      </c>
      <c r="F8276" s="0" t="s">
        <v>90</v>
      </c>
      <c r="G8276" s="0" t="s">
        <v>32</v>
      </c>
      <c r="H8276" s="0" t="n">
        <v>81</v>
      </c>
      <c r="I8276" s="0" t="s">
        <v>27542</v>
      </c>
      <c r="J8276" s="0" t="s">
        <v>27543</v>
      </c>
      <c r="K8276" s="0" t="s">
        <v>27544</v>
      </c>
      <c r="L8276" s="0" t="str">
        <f aca="false">HYPERLINK("https://www.ncbi.nlm.nih.gov/nuccore/CP000058.1?report=graph&amp;tracks=[key:gene_model_track,Options:GeneOnly]&amp;mk=2606523:2606542|offset_7|444444,2606496:2606515|offset_34|444444,2606449:2606468|offset_81|00cc00,2606426:2606445|offset_104|444444&amp;v=2606322:2606645&amp;c=444444", "offset 81")</f>
        <v>offset 81</v>
      </c>
    </row>
    <row r="8277" customFormat="false" ht="12.8" hidden="false" customHeight="false" outlineLevel="0" collapsed="false">
      <c r="A8277" s="0" t="s">
        <v>12</v>
      </c>
      <c r="B8277" s="0" t="n">
        <v>2606425</v>
      </c>
      <c r="C8277" s="0" t="n">
        <v>2606445</v>
      </c>
      <c r="D8277" s="0" t="s">
        <v>27534</v>
      </c>
      <c r="E8277" s="0" t="s">
        <v>27535</v>
      </c>
      <c r="F8277" s="0" t="s">
        <v>90</v>
      </c>
      <c r="G8277" s="0" t="s">
        <v>20</v>
      </c>
      <c r="H8277" s="0" t="n">
        <v>104</v>
      </c>
      <c r="I8277" s="0" t="s">
        <v>27545</v>
      </c>
      <c r="J8277" s="0" t="s">
        <v>27546</v>
      </c>
      <c r="K8277" s="0" t="s">
        <v>27547</v>
      </c>
      <c r="L8277" s="0" t="str">
        <f aca="false">HYPERLINK("https://www.ncbi.nlm.nih.gov/nuccore/CP000058.1?report=graph&amp;tracks=[key:gene_model_track,Options:GeneOnly]&amp;mk=2606523:2606542|offset_7|444444,2606496:2606515|offset_34|444444,2606449:2606468|offset_81|444444,2606426:2606445|offset_104|00cc00&amp;v=2606322:2606645&amp;c=444444", "offset 104")</f>
        <v>offset 104</v>
      </c>
    </row>
    <row r="8278" customFormat="false" ht="12.8" hidden="false" customHeight="false" outlineLevel="0" collapsed="false">
      <c r="A8278" s="0" t="s">
        <v>12</v>
      </c>
      <c r="B8278" s="0" t="n">
        <v>2608570</v>
      </c>
      <c r="C8278" s="0" t="n">
        <v>2608590</v>
      </c>
      <c r="D8278" s="0" t="s">
        <v>27548</v>
      </c>
      <c r="E8278" s="0" t="s">
        <v>27549</v>
      </c>
      <c r="F8278" s="0" t="s">
        <v>90</v>
      </c>
      <c r="G8278" s="0" t="s">
        <v>16</v>
      </c>
      <c r="H8278" s="0" t="n">
        <v>34</v>
      </c>
      <c r="I8278" s="0" t="s">
        <v>27550</v>
      </c>
      <c r="J8278" s="0" t="s">
        <v>27551</v>
      </c>
      <c r="K8278" s="0" t="s">
        <v>27552</v>
      </c>
      <c r="L8278" s="0" t="str">
        <f aca="false">HYPERLINK("https://www.ncbi.nlm.nih.gov/nuccore/CP000058.1?report=graph&amp;tracks=[key:gene_model_track,Options:GeneOnly]&amp;mk=2608571:2608590|offset_34|00cc00,2608538:2608557|offset_67|444444,2608513:2608532|offset_92|444444,2608473:2608492|offset_132|444444&amp;v=2608370:2608692&amp;c=444444", "offset 34")</f>
        <v>offset 34</v>
      </c>
    </row>
    <row r="8279" customFormat="false" ht="12.8" hidden="false" customHeight="false" outlineLevel="0" collapsed="false">
      <c r="A8279" s="0" t="s">
        <v>12</v>
      </c>
      <c r="B8279" s="0" t="n">
        <v>2608537</v>
      </c>
      <c r="C8279" s="0" t="n">
        <v>2608557</v>
      </c>
      <c r="D8279" s="0" t="s">
        <v>27548</v>
      </c>
      <c r="E8279" s="0" t="s">
        <v>27549</v>
      </c>
      <c r="F8279" s="0" t="s">
        <v>90</v>
      </c>
      <c r="G8279" s="0" t="s">
        <v>32</v>
      </c>
      <c r="H8279" s="0" t="n">
        <v>67</v>
      </c>
      <c r="I8279" s="0" t="s">
        <v>27553</v>
      </c>
      <c r="J8279" s="0" t="s">
        <v>27554</v>
      </c>
      <c r="K8279" s="0" t="s">
        <v>27555</v>
      </c>
      <c r="L8279" s="0" t="str">
        <f aca="false">HYPERLINK("https://www.ncbi.nlm.nih.gov/nuccore/CP000058.1?report=graph&amp;tracks=[key:gene_model_track,Options:GeneOnly]&amp;mk=2608571:2608590|offset_34|444444,2608538:2608557|offset_67|00cc00,2608513:2608532|offset_92|444444,2608473:2608492|offset_132|444444&amp;v=2608370:2608692&amp;c=444444", "offset 67")</f>
        <v>offset 67</v>
      </c>
    </row>
    <row r="8280" customFormat="false" ht="12.8" hidden="false" customHeight="false" outlineLevel="0" collapsed="false">
      <c r="A8280" s="0" t="s">
        <v>12</v>
      </c>
      <c r="B8280" s="0" t="n">
        <v>2608512</v>
      </c>
      <c r="C8280" s="0" t="n">
        <v>2608532</v>
      </c>
      <c r="D8280" s="0" t="s">
        <v>27548</v>
      </c>
      <c r="E8280" s="0" t="s">
        <v>27549</v>
      </c>
      <c r="F8280" s="0" t="s">
        <v>90</v>
      </c>
      <c r="G8280" s="0" t="s">
        <v>36</v>
      </c>
      <c r="H8280" s="0" t="n">
        <v>92</v>
      </c>
      <c r="I8280" s="0" t="s">
        <v>27556</v>
      </c>
      <c r="J8280" s="0" t="s">
        <v>27557</v>
      </c>
      <c r="K8280" s="0" t="s">
        <v>27558</v>
      </c>
      <c r="L8280" s="0" t="str">
        <f aca="false">HYPERLINK("https://www.ncbi.nlm.nih.gov/nuccore/CP000058.1?report=graph&amp;tracks=[key:gene_model_track,Options:GeneOnly]&amp;mk=2608571:2608590|offset_34|444444,2608538:2608557|offset_67|444444,2608513:2608532|offset_92|00cc00,2608473:2608492|offset_132|444444&amp;v=2608370:2608692&amp;c=444444", "offset 92")</f>
        <v>offset 92</v>
      </c>
    </row>
    <row r="8281" customFormat="false" ht="12.8" hidden="false" customHeight="false" outlineLevel="0" collapsed="false">
      <c r="A8281" s="0" t="s">
        <v>12</v>
      </c>
      <c r="B8281" s="0" t="n">
        <v>2608472</v>
      </c>
      <c r="C8281" s="0" t="n">
        <v>2608492</v>
      </c>
      <c r="D8281" s="0" t="s">
        <v>27548</v>
      </c>
      <c r="E8281" s="0" t="s">
        <v>27549</v>
      </c>
      <c r="F8281" s="0" t="s">
        <v>90</v>
      </c>
      <c r="G8281" s="0" t="s">
        <v>16</v>
      </c>
      <c r="H8281" s="0" t="n">
        <v>132</v>
      </c>
      <c r="I8281" s="0" t="s">
        <v>27559</v>
      </c>
      <c r="J8281" s="0" t="s">
        <v>27560</v>
      </c>
      <c r="K8281" s="0" t="s">
        <v>27561</v>
      </c>
      <c r="L8281" s="0" t="str">
        <f aca="false">HYPERLINK("https://www.ncbi.nlm.nih.gov/nuccore/CP000058.1?report=graph&amp;tracks=[key:gene_model_track,Options:GeneOnly]&amp;mk=2608571:2608590|offset_34|444444,2608538:2608557|offset_67|444444,2608513:2608532|offset_92|444444,2608473:2608492|offset_132|00cc00&amp;v=2608370:2608692&amp;c=444444", "offset 132")</f>
        <v>offset 132</v>
      </c>
    </row>
    <row r="8282" customFormat="false" ht="12.8" hidden="false" customHeight="false" outlineLevel="0" collapsed="false">
      <c r="A8282" s="0" t="s">
        <v>12</v>
      </c>
      <c r="B8282" s="0" t="n">
        <v>2610411</v>
      </c>
      <c r="C8282" s="0" t="n">
        <v>2610431</v>
      </c>
      <c r="D8282" s="0" t="s">
        <v>27562</v>
      </c>
      <c r="E8282" s="0" t="s">
        <v>27563</v>
      </c>
      <c r="F8282" s="0" t="s">
        <v>90</v>
      </c>
      <c r="G8282" s="0" t="s">
        <v>32</v>
      </c>
      <c r="H8282" s="0" t="n">
        <v>6</v>
      </c>
      <c r="I8282" s="0" t="s">
        <v>27564</v>
      </c>
      <c r="J8282" s="0" t="s">
        <v>27565</v>
      </c>
      <c r="K8282" s="0" t="s">
        <v>27566</v>
      </c>
      <c r="L8282" s="0" t="str">
        <f aca="false">HYPERLINK("https://www.ncbi.nlm.nih.gov/nuccore/CP000058.1?report=graph&amp;tracks=[key:gene_model_track,Options:GeneOnly]&amp;mk=2610412:2610431|offset_6|00cc00,2610386:2610405|offset_32|444444,2610365:2610384|offset_53|444444,2610345:2610364|offset_73|444444&amp;v=2610211:2610564&amp;c=444444", "offset 6")</f>
        <v>offset 6</v>
      </c>
    </row>
    <row r="8283" customFormat="false" ht="12.8" hidden="false" customHeight="false" outlineLevel="0" collapsed="false">
      <c r="A8283" s="0" t="s">
        <v>12</v>
      </c>
      <c r="B8283" s="0" t="n">
        <v>2610385</v>
      </c>
      <c r="C8283" s="0" t="n">
        <v>2610405</v>
      </c>
      <c r="D8283" s="0" t="s">
        <v>27562</v>
      </c>
      <c r="E8283" s="0" t="s">
        <v>27563</v>
      </c>
      <c r="F8283" s="0" t="s">
        <v>90</v>
      </c>
      <c r="G8283" s="0" t="s">
        <v>32</v>
      </c>
      <c r="H8283" s="0" t="n">
        <v>32</v>
      </c>
      <c r="I8283" s="0" t="s">
        <v>27567</v>
      </c>
      <c r="J8283" s="0" t="s">
        <v>27568</v>
      </c>
      <c r="K8283" s="0" t="s">
        <v>27569</v>
      </c>
      <c r="L8283" s="0" t="str">
        <f aca="false">HYPERLINK("https://www.ncbi.nlm.nih.gov/nuccore/CP000058.1?report=graph&amp;tracks=[key:gene_model_track,Options:GeneOnly]&amp;mk=2610412:2610431|offset_6|444444,2610386:2610405|offset_32|00cc00,2610365:2610384|offset_53|444444,2610345:2610364|offset_73|444444&amp;v=2610211:2610564&amp;c=444444", "offset 32")</f>
        <v>offset 32</v>
      </c>
    </row>
    <row r="8284" customFormat="false" ht="12.8" hidden="false" customHeight="false" outlineLevel="0" collapsed="false">
      <c r="A8284" s="0" t="s">
        <v>12</v>
      </c>
      <c r="B8284" s="0" t="n">
        <v>2610364</v>
      </c>
      <c r="C8284" s="0" t="n">
        <v>2610384</v>
      </c>
      <c r="D8284" s="0" t="s">
        <v>27562</v>
      </c>
      <c r="E8284" s="0" t="s">
        <v>27563</v>
      </c>
      <c r="F8284" s="0" t="s">
        <v>90</v>
      </c>
      <c r="G8284" s="0" t="s">
        <v>36</v>
      </c>
      <c r="H8284" s="0" t="n">
        <v>53</v>
      </c>
      <c r="I8284" s="0" t="s">
        <v>27570</v>
      </c>
      <c r="J8284" s="0" t="s">
        <v>27571</v>
      </c>
      <c r="K8284" s="0" t="s">
        <v>27572</v>
      </c>
      <c r="L8284" s="0" t="str">
        <f aca="false">HYPERLINK("https://www.ncbi.nlm.nih.gov/nuccore/CP000058.1?report=graph&amp;tracks=[key:gene_model_track,Options:GeneOnly]&amp;mk=2610412:2610431|offset_6|444444,2610386:2610405|offset_32|444444,2610365:2610384|offset_53|00cc00,2610345:2610364|offset_73|444444&amp;v=2610211:2610564&amp;c=444444", "offset 53")</f>
        <v>offset 53</v>
      </c>
    </row>
    <row r="8285" customFormat="false" ht="12.8" hidden="false" customHeight="false" outlineLevel="0" collapsed="false">
      <c r="A8285" s="0" t="s">
        <v>12</v>
      </c>
      <c r="B8285" s="0" t="n">
        <v>2610344</v>
      </c>
      <c r="C8285" s="0" t="n">
        <v>2610364</v>
      </c>
      <c r="D8285" s="0" t="s">
        <v>27562</v>
      </c>
      <c r="E8285" s="0" t="s">
        <v>27563</v>
      </c>
      <c r="F8285" s="0" t="s">
        <v>90</v>
      </c>
      <c r="G8285" s="0" t="s">
        <v>36</v>
      </c>
      <c r="H8285" s="0" t="n">
        <v>73</v>
      </c>
      <c r="I8285" s="0" t="s">
        <v>27573</v>
      </c>
      <c r="J8285" s="0" t="s">
        <v>27574</v>
      </c>
      <c r="K8285" s="0" t="s">
        <v>27575</v>
      </c>
      <c r="L8285" s="0" t="str">
        <f aca="false">HYPERLINK("https://www.ncbi.nlm.nih.gov/nuccore/CP000058.1?report=graph&amp;tracks=[key:gene_model_track,Options:GeneOnly]&amp;mk=2610412:2610431|offset_6|444444,2610386:2610405|offset_32|444444,2610365:2610384|offset_53|444444,2610345:2610364|offset_73|00cc00&amp;v=2610211:2610564&amp;c=444444", "offset 73")</f>
        <v>offset 73</v>
      </c>
    </row>
    <row r="8286" customFormat="false" ht="12.8" hidden="false" customHeight="false" outlineLevel="0" collapsed="false">
      <c r="A8286" s="0" t="s">
        <v>12</v>
      </c>
      <c r="B8286" s="0" t="n">
        <v>2611889</v>
      </c>
      <c r="C8286" s="0" t="n">
        <v>2611909</v>
      </c>
      <c r="D8286" s="0" t="s">
        <v>27576</v>
      </c>
      <c r="E8286" s="0" t="s">
        <v>27577</v>
      </c>
      <c r="F8286" s="0" t="s">
        <v>90</v>
      </c>
      <c r="G8286" s="0" t="s">
        <v>32</v>
      </c>
      <c r="H8286" s="0" t="n">
        <v>1</v>
      </c>
      <c r="I8286" s="0" t="s">
        <v>27578</v>
      </c>
      <c r="J8286" s="0" t="s">
        <v>27579</v>
      </c>
      <c r="K8286" s="0" t="s">
        <v>27580</v>
      </c>
      <c r="L8286" s="0" t="str">
        <f aca="false">HYPERLINK("https://www.ncbi.nlm.nih.gov/nuccore/CP000058.1?report=graph&amp;tracks=[key:gene_model_track,Options:GeneOnly]&amp;mk=2611890:2611909|offset_1|00cc00,2611851:2611870|offset_40|444444,2611824:2611843|offset_67|444444,2611803:2611822|offset_88|444444&amp;v=2611689:2612022&amp;c=444444", "offset 1")</f>
        <v>offset 1</v>
      </c>
    </row>
    <row r="8287" customFormat="false" ht="12.8" hidden="false" customHeight="false" outlineLevel="0" collapsed="false">
      <c r="A8287" s="0" t="s">
        <v>12</v>
      </c>
      <c r="B8287" s="0" t="n">
        <v>2611850</v>
      </c>
      <c r="C8287" s="0" t="n">
        <v>2611870</v>
      </c>
      <c r="D8287" s="0" t="s">
        <v>27576</v>
      </c>
      <c r="E8287" s="0" t="s">
        <v>27577</v>
      </c>
      <c r="F8287" s="0" t="s">
        <v>90</v>
      </c>
      <c r="G8287" s="0" t="s">
        <v>20</v>
      </c>
      <c r="H8287" s="0" t="n">
        <v>40</v>
      </c>
      <c r="I8287" s="0" t="s">
        <v>27581</v>
      </c>
      <c r="J8287" s="0" t="s">
        <v>27582</v>
      </c>
      <c r="K8287" s="0" t="s">
        <v>27583</v>
      </c>
      <c r="L8287" s="0" t="str">
        <f aca="false">HYPERLINK("https://www.ncbi.nlm.nih.gov/nuccore/CP000058.1?report=graph&amp;tracks=[key:gene_model_track,Options:GeneOnly]&amp;mk=2611890:2611909|offset_1|444444,2611851:2611870|offset_40|00cc00,2611824:2611843|offset_67|444444,2611803:2611822|offset_88|444444&amp;v=2611689:2612022&amp;c=444444", "offset 40")</f>
        <v>offset 40</v>
      </c>
    </row>
    <row r="8288" customFormat="false" ht="12.8" hidden="false" customHeight="false" outlineLevel="0" collapsed="false">
      <c r="A8288" s="0" t="s">
        <v>12</v>
      </c>
      <c r="B8288" s="0" t="n">
        <v>2611823</v>
      </c>
      <c r="C8288" s="0" t="n">
        <v>2611843</v>
      </c>
      <c r="D8288" s="0" t="s">
        <v>27576</v>
      </c>
      <c r="E8288" s="0" t="s">
        <v>27577</v>
      </c>
      <c r="F8288" s="0" t="s">
        <v>90</v>
      </c>
      <c r="G8288" s="0" t="s">
        <v>16</v>
      </c>
      <c r="H8288" s="0" t="n">
        <v>67</v>
      </c>
      <c r="I8288" s="0" t="s">
        <v>27584</v>
      </c>
      <c r="J8288" s="0" t="s">
        <v>27585</v>
      </c>
      <c r="K8288" s="0" t="s">
        <v>27586</v>
      </c>
      <c r="L8288" s="0" t="str">
        <f aca="false">HYPERLINK("https://www.ncbi.nlm.nih.gov/nuccore/CP000058.1?report=graph&amp;tracks=[key:gene_model_track,Options:GeneOnly]&amp;mk=2611890:2611909|offset_1|444444,2611851:2611870|offset_40|444444,2611824:2611843|offset_67|00cc00,2611803:2611822|offset_88|444444&amp;v=2611689:2612022&amp;c=444444", "offset 67")</f>
        <v>offset 67</v>
      </c>
    </row>
    <row r="8289" customFormat="false" ht="12.8" hidden="false" customHeight="false" outlineLevel="0" collapsed="false">
      <c r="A8289" s="0" t="s">
        <v>12</v>
      </c>
      <c r="B8289" s="0" t="n">
        <v>2611802</v>
      </c>
      <c r="C8289" s="0" t="n">
        <v>2611822</v>
      </c>
      <c r="D8289" s="0" t="s">
        <v>27576</v>
      </c>
      <c r="E8289" s="0" t="s">
        <v>27577</v>
      </c>
      <c r="F8289" s="0" t="s">
        <v>90</v>
      </c>
      <c r="G8289" s="0" t="s">
        <v>16</v>
      </c>
      <c r="H8289" s="0" t="n">
        <v>88</v>
      </c>
      <c r="I8289" s="0" t="s">
        <v>27587</v>
      </c>
      <c r="J8289" s="0" t="s">
        <v>27588</v>
      </c>
      <c r="K8289" s="0" t="s">
        <v>27589</v>
      </c>
      <c r="L8289" s="0" t="str">
        <f aca="false">HYPERLINK("https://www.ncbi.nlm.nih.gov/nuccore/CP000058.1?report=graph&amp;tracks=[key:gene_model_track,Options:GeneOnly]&amp;mk=2611890:2611909|offset_1|444444,2611851:2611870|offset_40|444444,2611824:2611843|offset_67|444444,2611803:2611822|offset_88|00cc00&amp;v=2611689:2612022&amp;c=444444", "offset 88")</f>
        <v>offset 88</v>
      </c>
    </row>
    <row r="8290" customFormat="false" ht="12.8" hidden="false" customHeight="false" outlineLevel="0" collapsed="false">
      <c r="A8290" s="0" t="s">
        <v>12</v>
      </c>
      <c r="B8290" s="0" t="n">
        <v>2612696</v>
      </c>
      <c r="C8290" s="0" t="n">
        <v>2612716</v>
      </c>
      <c r="D8290" s="0" t="s">
        <v>27590</v>
      </c>
      <c r="E8290" s="0" t="s">
        <v>75</v>
      </c>
      <c r="F8290" s="0" t="s">
        <v>15</v>
      </c>
      <c r="G8290" s="0" t="s">
        <v>36</v>
      </c>
      <c r="H8290" s="0" t="n">
        <v>10</v>
      </c>
      <c r="I8290" s="0" t="s">
        <v>27591</v>
      </c>
      <c r="J8290" s="0" t="s">
        <v>27592</v>
      </c>
      <c r="K8290" s="0" t="s">
        <v>27593</v>
      </c>
      <c r="L8290" s="0" t="str">
        <f aca="false">HYPERLINK("https://www.ncbi.nlm.nih.gov/nuccore/CP000058.1?report=graph&amp;tracks=[key:gene_model_track,Options:GeneOnly]&amp;mk=2612697:2612716|offset_10|00cc00,2612735:2612754|offset_48|444444,2612804:2612823|offset_117|444444,2612847:2612866|offset_160|444444&amp;v=2612496:2613066&amp;c=444444", "offset 10")</f>
        <v>offset 10</v>
      </c>
    </row>
    <row r="8291" customFormat="false" ht="12.8" hidden="false" customHeight="false" outlineLevel="0" collapsed="false">
      <c r="A8291" s="0" t="s">
        <v>12</v>
      </c>
      <c r="B8291" s="0" t="n">
        <v>2612734</v>
      </c>
      <c r="C8291" s="0" t="n">
        <v>2612754</v>
      </c>
      <c r="D8291" s="0" t="s">
        <v>27590</v>
      </c>
      <c r="E8291" s="0" t="s">
        <v>75</v>
      </c>
      <c r="F8291" s="0" t="s">
        <v>15</v>
      </c>
      <c r="G8291" s="0" t="s">
        <v>36</v>
      </c>
      <c r="H8291" s="0" t="n">
        <v>48</v>
      </c>
      <c r="I8291" s="0" t="s">
        <v>27594</v>
      </c>
      <c r="J8291" s="0" t="s">
        <v>27595</v>
      </c>
      <c r="K8291" s="0" t="s">
        <v>27596</v>
      </c>
      <c r="L8291" s="0" t="str">
        <f aca="false">HYPERLINK("https://www.ncbi.nlm.nih.gov/nuccore/CP000058.1?report=graph&amp;tracks=[key:gene_model_track,Options:GeneOnly]&amp;mk=2612697:2612716|offset_10|444444,2612735:2612754|offset_48|00cc00,2612804:2612823|offset_117|444444,2612847:2612866|offset_160|444444&amp;v=2612496:2613066&amp;c=444444", "offset 48")</f>
        <v>offset 48</v>
      </c>
    </row>
    <row r="8292" customFormat="false" ht="12.8" hidden="false" customHeight="false" outlineLevel="0" collapsed="false">
      <c r="A8292" s="0" t="s">
        <v>12</v>
      </c>
      <c r="B8292" s="0" t="n">
        <v>2612803</v>
      </c>
      <c r="C8292" s="0" t="n">
        <v>2612823</v>
      </c>
      <c r="D8292" s="0" t="s">
        <v>27590</v>
      </c>
      <c r="E8292" s="0" t="s">
        <v>75</v>
      </c>
      <c r="F8292" s="0" t="s">
        <v>15</v>
      </c>
      <c r="G8292" s="0" t="s">
        <v>16</v>
      </c>
      <c r="H8292" s="0" t="n">
        <v>117</v>
      </c>
      <c r="I8292" s="0" t="s">
        <v>27597</v>
      </c>
      <c r="J8292" s="0" t="s">
        <v>27598</v>
      </c>
      <c r="K8292" s="0" t="s">
        <v>27599</v>
      </c>
      <c r="L8292" s="0" t="str">
        <f aca="false">HYPERLINK("https://www.ncbi.nlm.nih.gov/nuccore/CP000058.1?report=graph&amp;tracks=[key:gene_model_track,Options:GeneOnly]&amp;mk=2612697:2612716|offset_10|444444,2612735:2612754|offset_48|444444,2612804:2612823|offset_117|00cc00,2612847:2612866|offset_160|444444&amp;v=2612496:2613066&amp;c=444444", "offset 117")</f>
        <v>offset 117</v>
      </c>
    </row>
    <row r="8293" customFormat="false" ht="12.8" hidden="false" customHeight="false" outlineLevel="0" collapsed="false">
      <c r="A8293" s="0" t="s">
        <v>12</v>
      </c>
      <c r="B8293" s="0" t="n">
        <v>2612846</v>
      </c>
      <c r="C8293" s="0" t="n">
        <v>2612866</v>
      </c>
      <c r="D8293" s="0" t="s">
        <v>27590</v>
      </c>
      <c r="E8293" s="0" t="s">
        <v>75</v>
      </c>
      <c r="F8293" s="0" t="s">
        <v>15</v>
      </c>
      <c r="G8293" s="0" t="s">
        <v>32</v>
      </c>
      <c r="H8293" s="0" t="n">
        <v>160</v>
      </c>
      <c r="I8293" s="0" t="s">
        <v>27600</v>
      </c>
      <c r="J8293" s="0" t="s">
        <v>27601</v>
      </c>
      <c r="K8293" s="0" t="s">
        <v>27602</v>
      </c>
      <c r="L8293" s="0" t="str">
        <f aca="false">HYPERLINK("https://www.ncbi.nlm.nih.gov/nuccore/CP000058.1?report=graph&amp;tracks=[key:gene_model_track,Options:GeneOnly]&amp;mk=2612697:2612716|offset_10|444444,2612735:2612754|offset_48|444444,2612804:2612823|offset_117|444444,2612847:2612866|offset_160|00cc00&amp;v=2612496:2613066&amp;c=444444", "offset 160")</f>
        <v>offset 160</v>
      </c>
    </row>
    <row r="8294" customFormat="false" ht="12.8" hidden="false" customHeight="false" outlineLevel="0" collapsed="false">
      <c r="A8294" s="0" t="s">
        <v>12</v>
      </c>
      <c r="B8294" s="0" t="n">
        <v>2613471</v>
      </c>
      <c r="C8294" s="0" t="n">
        <v>2613491</v>
      </c>
      <c r="D8294" s="0" t="s">
        <v>27603</v>
      </c>
      <c r="E8294" s="0" t="s">
        <v>75</v>
      </c>
      <c r="F8294" s="0" t="s">
        <v>90</v>
      </c>
      <c r="G8294" s="0" t="s">
        <v>32</v>
      </c>
      <c r="H8294" s="0" t="n">
        <v>18</v>
      </c>
      <c r="I8294" s="0" t="s">
        <v>27604</v>
      </c>
      <c r="J8294" s="0" t="s">
        <v>27605</v>
      </c>
      <c r="K8294" s="0" t="s">
        <v>27606</v>
      </c>
      <c r="L8294" s="0" t="str">
        <f aca="false">HYPERLINK("https://www.ncbi.nlm.nih.gov/nuccore/CP000058.1?report=graph&amp;tracks=[key:gene_model_track,Options:GeneOnly]&amp;mk=2613472:2613491|offset_18|00cc00,2613452:2613471|offset_38|444444,2613352:2613371|offset_138|444444&amp;v=2613271:2613571&amp;c=444444", "offset 18")</f>
        <v>offset 18</v>
      </c>
    </row>
    <row r="8295" customFormat="false" ht="12.8" hidden="false" customHeight="false" outlineLevel="0" collapsed="false">
      <c r="A8295" s="0" t="s">
        <v>12</v>
      </c>
      <c r="B8295" s="0" t="n">
        <v>2613451</v>
      </c>
      <c r="C8295" s="0" t="n">
        <v>2613471</v>
      </c>
      <c r="D8295" s="0" t="s">
        <v>27603</v>
      </c>
      <c r="E8295" s="0" t="s">
        <v>75</v>
      </c>
      <c r="F8295" s="0" t="s">
        <v>90</v>
      </c>
      <c r="G8295" s="0" t="s">
        <v>20</v>
      </c>
      <c r="H8295" s="0" t="n">
        <v>38</v>
      </c>
      <c r="I8295" s="0" t="s">
        <v>27607</v>
      </c>
      <c r="J8295" s="0" t="s">
        <v>27608</v>
      </c>
      <c r="K8295" s="0" t="s">
        <v>27609</v>
      </c>
      <c r="L8295" s="0" t="str">
        <f aca="false">HYPERLINK("https://www.ncbi.nlm.nih.gov/nuccore/CP000058.1?report=graph&amp;tracks=[key:gene_model_track,Options:GeneOnly]&amp;mk=2613472:2613491|offset_18|444444,2613452:2613471|offset_38|00cc00,2613352:2613371|offset_138|444444&amp;v=2613271:2613571&amp;c=444444", "offset 38")</f>
        <v>offset 38</v>
      </c>
    </row>
    <row r="8296" customFormat="false" ht="12.8" hidden="false" customHeight="false" outlineLevel="0" collapsed="false">
      <c r="A8296" s="0" t="s">
        <v>12</v>
      </c>
      <c r="B8296" s="0" t="n">
        <v>2613351</v>
      </c>
      <c r="C8296" s="0" t="n">
        <v>2613371</v>
      </c>
      <c r="D8296" s="0" t="s">
        <v>27603</v>
      </c>
      <c r="E8296" s="0" t="s">
        <v>75</v>
      </c>
      <c r="F8296" s="0" t="s">
        <v>90</v>
      </c>
      <c r="G8296" s="0" t="s">
        <v>36</v>
      </c>
      <c r="H8296" s="0" t="n">
        <v>138</v>
      </c>
      <c r="I8296" s="0" t="s">
        <v>27610</v>
      </c>
      <c r="J8296" s="0" t="s">
        <v>27611</v>
      </c>
      <c r="K8296" s="0" t="s">
        <v>27612</v>
      </c>
      <c r="L8296" s="0" t="str">
        <f aca="false">HYPERLINK("https://www.ncbi.nlm.nih.gov/nuccore/CP000058.1?report=graph&amp;tracks=[key:gene_model_track,Options:GeneOnly]&amp;mk=2613472:2613491|offset_18|444444,2613452:2613471|offset_38|444444,2613352:2613371|offset_138|00cc00&amp;v=2613271:2613571&amp;c=444444", "offset 138")</f>
        <v>offset 138</v>
      </c>
    </row>
    <row r="8297" customFormat="false" ht="12.8" hidden="false" customHeight="false" outlineLevel="0" collapsed="false">
      <c r="A8297" s="0" t="s">
        <v>12</v>
      </c>
      <c r="B8297" s="0" t="n">
        <v>2613877</v>
      </c>
      <c r="C8297" s="0" t="n">
        <v>2613897</v>
      </c>
      <c r="D8297" s="0" t="s">
        <v>27613</v>
      </c>
      <c r="E8297" s="0" t="s">
        <v>75</v>
      </c>
      <c r="F8297" s="0" t="s">
        <v>15</v>
      </c>
      <c r="G8297" s="0" t="s">
        <v>16</v>
      </c>
      <c r="H8297" s="0" t="n">
        <v>53</v>
      </c>
      <c r="I8297" s="0" t="s">
        <v>27614</v>
      </c>
      <c r="J8297" s="0" t="s">
        <v>27615</v>
      </c>
      <c r="K8297" s="0" t="s">
        <v>27616</v>
      </c>
      <c r="L8297" s="0" t="str">
        <f aca="false">HYPERLINK("https://www.ncbi.nlm.nih.gov/nuccore/CP000058.1?report=graph&amp;tracks=[key:gene_model_track,Options:GeneOnly]&amp;mk=2613878:2613897|offset_53|00cc00,2613917:2613936|offset_92|444444,2613940:2613959|offset_115|444444,2613974:2613993|offset_149|444444&amp;v=2613677:2614193&amp;c=444444", "offset 53")</f>
        <v>offset 53</v>
      </c>
    </row>
    <row r="8298" customFormat="false" ht="12.8" hidden="false" customHeight="false" outlineLevel="0" collapsed="false">
      <c r="A8298" s="0" t="s">
        <v>12</v>
      </c>
      <c r="B8298" s="0" t="n">
        <v>2613916</v>
      </c>
      <c r="C8298" s="0" t="n">
        <v>2613936</v>
      </c>
      <c r="D8298" s="0" t="s">
        <v>27613</v>
      </c>
      <c r="E8298" s="0" t="s">
        <v>75</v>
      </c>
      <c r="F8298" s="0" t="s">
        <v>15</v>
      </c>
      <c r="G8298" s="0" t="s">
        <v>16</v>
      </c>
      <c r="H8298" s="0" t="n">
        <v>92</v>
      </c>
      <c r="I8298" s="0" t="s">
        <v>27617</v>
      </c>
      <c r="J8298" s="0" t="s">
        <v>27618</v>
      </c>
      <c r="K8298" s="0" t="s">
        <v>27619</v>
      </c>
      <c r="L8298" s="0" t="str">
        <f aca="false">HYPERLINK("https://www.ncbi.nlm.nih.gov/nuccore/CP000058.1?report=graph&amp;tracks=[key:gene_model_track,Options:GeneOnly]&amp;mk=2613878:2613897|offset_53|444444,2613917:2613936|offset_92|00cc00,2613940:2613959|offset_115|444444,2613974:2613993|offset_149|444444&amp;v=2613677:2614193&amp;c=444444", "offset 92")</f>
        <v>offset 92</v>
      </c>
    </row>
    <row r="8299" customFormat="false" ht="12.8" hidden="false" customHeight="false" outlineLevel="0" collapsed="false">
      <c r="A8299" s="0" t="s">
        <v>12</v>
      </c>
      <c r="B8299" s="0" t="n">
        <v>2613939</v>
      </c>
      <c r="C8299" s="0" t="n">
        <v>2613959</v>
      </c>
      <c r="D8299" s="0" t="s">
        <v>27613</v>
      </c>
      <c r="E8299" s="0" t="s">
        <v>75</v>
      </c>
      <c r="F8299" s="0" t="s">
        <v>15</v>
      </c>
      <c r="G8299" s="0" t="s">
        <v>36</v>
      </c>
      <c r="H8299" s="0" t="n">
        <v>115</v>
      </c>
      <c r="I8299" s="0" t="s">
        <v>27620</v>
      </c>
      <c r="J8299" s="0" t="s">
        <v>27621</v>
      </c>
      <c r="K8299" s="0" t="s">
        <v>27622</v>
      </c>
      <c r="L8299" s="0" t="str">
        <f aca="false">HYPERLINK("https://www.ncbi.nlm.nih.gov/nuccore/CP000058.1?report=graph&amp;tracks=[key:gene_model_track,Options:GeneOnly]&amp;mk=2613878:2613897|offset_53|444444,2613917:2613936|offset_92|444444,2613940:2613959|offset_115|00cc00,2613974:2613993|offset_149|444444&amp;v=2613677:2614193&amp;c=444444", "offset 115")</f>
        <v>offset 115</v>
      </c>
    </row>
    <row r="8300" customFormat="false" ht="12.8" hidden="false" customHeight="false" outlineLevel="0" collapsed="false">
      <c r="A8300" s="0" t="s">
        <v>12</v>
      </c>
      <c r="B8300" s="0" t="n">
        <v>2613973</v>
      </c>
      <c r="C8300" s="0" t="n">
        <v>2613993</v>
      </c>
      <c r="D8300" s="0" t="s">
        <v>27613</v>
      </c>
      <c r="E8300" s="0" t="s">
        <v>75</v>
      </c>
      <c r="F8300" s="0" t="s">
        <v>15</v>
      </c>
      <c r="G8300" s="0" t="s">
        <v>20</v>
      </c>
      <c r="H8300" s="0" t="n">
        <v>149</v>
      </c>
      <c r="I8300" s="0" t="s">
        <v>27623</v>
      </c>
      <c r="J8300" s="0" t="s">
        <v>27624</v>
      </c>
      <c r="K8300" s="0" t="s">
        <v>27625</v>
      </c>
      <c r="L8300" s="0" t="str">
        <f aca="false">HYPERLINK("https://www.ncbi.nlm.nih.gov/nuccore/CP000058.1?report=graph&amp;tracks=[key:gene_model_track,Options:GeneOnly]&amp;mk=2613878:2613897|offset_53|444444,2613917:2613936|offset_92|444444,2613940:2613959|offset_115|444444,2613974:2613993|offset_149|00cc00&amp;v=2613677:2614193&amp;c=444444", "offset 149")</f>
        <v>offset 149</v>
      </c>
    </row>
    <row r="8301" customFormat="false" ht="12.8" hidden="false" customHeight="false" outlineLevel="0" collapsed="false">
      <c r="A8301" s="0" t="s">
        <v>12</v>
      </c>
      <c r="B8301" s="0" t="n">
        <v>2616339</v>
      </c>
      <c r="C8301" s="0" t="n">
        <v>2616359</v>
      </c>
      <c r="D8301" s="0" t="s">
        <v>27626</v>
      </c>
      <c r="E8301" s="0" t="s">
        <v>75</v>
      </c>
      <c r="F8301" s="0" t="s">
        <v>15</v>
      </c>
      <c r="G8301" s="0" t="s">
        <v>36</v>
      </c>
      <c r="H8301" s="0" t="n">
        <v>15</v>
      </c>
      <c r="I8301" s="0" t="s">
        <v>27627</v>
      </c>
      <c r="J8301" s="0" t="s">
        <v>27628</v>
      </c>
      <c r="K8301" s="0" t="s">
        <v>27629</v>
      </c>
      <c r="L8301" s="0" t="str">
        <f aca="false">HYPERLINK("https://www.ncbi.nlm.nih.gov/nuccore/CP000058.1?report=graph&amp;tracks=[key:gene_model_track,Options:GeneOnly]&amp;mk=2616340:2616359|offset_15|00cc00,2616384:2616403|offset_59|444444,2616407:2616426|offset_82|444444,2616461:2616480|offset_136|444444&amp;v=2616139:2616680&amp;c=444444", "offset 15")</f>
        <v>offset 15</v>
      </c>
    </row>
    <row r="8302" customFormat="false" ht="12.8" hidden="false" customHeight="false" outlineLevel="0" collapsed="false">
      <c r="A8302" s="0" t="s">
        <v>12</v>
      </c>
      <c r="B8302" s="0" t="n">
        <v>2616383</v>
      </c>
      <c r="C8302" s="0" t="n">
        <v>2616403</v>
      </c>
      <c r="D8302" s="0" t="s">
        <v>27626</v>
      </c>
      <c r="E8302" s="0" t="s">
        <v>75</v>
      </c>
      <c r="F8302" s="0" t="s">
        <v>15</v>
      </c>
      <c r="G8302" s="0" t="s">
        <v>16</v>
      </c>
      <c r="H8302" s="0" t="n">
        <v>59</v>
      </c>
      <c r="I8302" s="0" t="s">
        <v>27630</v>
      </c>
      <c r="J8302" s="0" t="s">
        <v>27631</v>
      </c>
      <c r="K8302" s="0" t="s">
        <v>27632</v>
      </c>
      <c r="L8302" s="0" t="str">
        <f aca="false">HYPERLINK("https://www.ncbi.nlm.nih.gov/nuccore/CP000058.1?report=graph&amp;tracks=[key:gene_model_track,Options:GeneOnly]&amp;mk=2616340:2616359|offset_15|444444,2616384:2616403|offset_59|00cc00,2616407:2616426|offset_82|444444,2616461:2616480|offset_136|444444&amp;v=2616139:2616680&amp;c=444444", "offset 59")</f>
        <v>offset 59</v>
      </c>
    </row>
    <row r="8303" customFormat="false" ht="12.8" hidden="false" customHeight="false" outlineLevel="0" collapsed="false">
      <c r="A8303" s="0" t="s">
        <v>12</v>
      </c>
      <c r="B8303" s="0" t="n">
        <v>2616406</v>
      </c>
      <c r="C8303" s="0" t="n">
        <v>2616426</v>
      </c>
      <c r="D8303" s="0" t="s">
        <v>27626</v>
      </c>
      <c r="E8303" s="0" t="s">
        <v>75</v>
      </c>
      <c r="F8303" s="0" t="s">
        <v>15</v>
      </c>
      <c r="G8303" s="0" t="s">
        <v>32</v>
      </c>
      <c r="H8303" s="0" t="n">
        <v>82</v>
      </c>
      <c r="I8303" s="0" t="s">
        <v>27633</v>
      </c>
      <c r="J8303" s="0" t="s">
        <v>27634</v>
      </c>
      <c r="K8303" s="0" t="s">
        <v>27635</v>
      </c>
      <c r="L8303" s="0" t="str">
        <f aca="false">HYPERLINK("https://www.ncbi.nlm.nih.gov/nuccore/CP000058.1?report=graph&amp;tracks=[key:gene_model_track,Options:GeneOnly]&amp;mk=2616340:2616359|offset_15|444444,2616384:2616403|offset_59|444444,2616407:2616426|offset_82|00cc00,2616461:2616480|offset_136|444444&amp;v=2616139:2616680&amp;c=444444", "offset 82")</f>
        <v>offset 82</v>
      </c>
    </row>
    <row r="8304" customFormat="false" ht="12.8" hidden="false" customHeight="false" outlineLevel="0" collapsed="false">
      <c r="A8304" s="0" t="s">
        <v>12</v>
      </c>
      <c r="B8304" s="0" t="n">
        <v>2616460</v>
      </c>
      <c r="C8304" s="0" t="n">
        <v>2616480</v>
      </c>
      <c r="D8304" s="0" t="s">
        <v>27626</v>
      </c>
      <c r="E8304" s="0" t="s">
        <v>75</v>
      </c>
      <c r="F8304" s="0" t="s">
        <v>15</v>
      </c>
      <c r="G8304" s="0" t="s">
        <v>32</v>
      </c>
      <c r="H8304" s="0" t="n">
        <v>136</v>
      </c>
      <c r="I8304" s="0" t="s">
        <v>27636</v>
      </c>
      <c r="J8304" s="0" t="s">
        <v>27637</v>
      </c>
      <c r="K8304" s="0" t="s">
        <v>27638</v>
      </c>
      <c r="L8304" s="0" t="str">
        <f aca="false">HYPERLINK("https://www.ncbi.nlm.nih.gov/nuccore/CP000058.1?report=graph&amp;tracks=[key:gene_model_track,Options:GeneOnly]&amp;mk=2616340:2616359|offset_15|444444,2616384:2616403|offset_59|444444,2616407:2616426|offset_82|444444,2616461:2616480|offset_136|00cc00&amp;v=2616139:2616680&amp;c=444444", "offset 136")</f>
        <v>offset 136</v>
      </c>
    </row>
    <row r="8305" customFormat="false" ht="12.8" hidden="false" customHeight="false" outlineLevel="0" collapsed="false">
      <c r="A8305" s="0" t="s">
        <v>12</v>
      </c>
      <c r="B8305" s="0" t="n">
        <v>2619669</v>
      </c>
      <c r="C8305" s="0" t="n">
        <v>2619689</v>
      </c>
      <c r="D8305" s="0" t="s">
        <v>27639</v>
      </c>
      <c r="E8305" s="0" t="s">
        <v>27640</v>
      </c>
      <c r="F8305" s="0" t="s">
        <v>90</v>
      </c>
      <c r="G8305" s="0" t="s">
        <v>32</v>
      </c>
      <c r="H8305" s="0" t="n">
        <v>1</v>
      </c>
      <c r="I8305" s="0" t="s">
        <v>27641</v>
      </c>
      <c r="J8305" s="0" t="s">
        <v>27642</v>
      </c>
      <c r="K8305" s="0" t="s">
        <v>27643</v>
      </c>
      <c r="L8305" s="0" t="str">
        <f aca="false">HYPERLINK("https://www.ncbi.nlm.nih.gov/nuccore/CP000058.1?report=graph&amp;tracks=[key:gene_model_track,Options:GeneOnly]&amp;mk=2619670:2619689|offset_1|00cc00,2619647:2619666|offset_24|444444,2619625:2619644|offset_46|444444,2619584:2619603|offset_87|444444&amp;v=2619469:2619803&amp;c=444444", "offset 1")</f>
        <v>offset 1</v>
      </c>
    </row>
    <row r="8306" customFormat="false" ht="12.8" hidden="false" customHeight="false" outlineLevel="0" collapsed="false">
      <c r="A8306" s="0" t="s">
        <v>12</v>
      </c>
      <c r="B8306" s="0" t="n">
        <v>2619646</v>
      </c>
      <c r="C8306" s="0" t="n">
        <v>2619666</v>
      </c>
      <c r="D8306" s="0" t="s">
        <v>27639</v>
      </c>
      <c r="E8306" s="0" t="s">
        <v>27640</v>
      </c>
      <c r="F8306" s="0" t="s">
        <v>90</v>
      </c>
      <c r="G8306" s="0" t="s">
        <v>36</v>
      </c>
      <c r="H8306" s="0" t="n">
        <v>24</v>
      </c>
      <c r="I8306" s="0" t="s">
        <v>27644</v>
      </c>
      <c r="J8306" s="0" t="s">
        <v>27645</v>
      </c>
      <c r="K8306" s="0" t="s">
        <v>27646</v>
      </c>
      <c r="L8306" s="0" t="str">
        <f aca="false">HYPERLINK("https://www.ncbi.nlm.nih.gov/nuccore/CP000058.1?report=graph&amp;tracks=[key:gene_model_track,Options:GeneOnly]&amp;mk=2619670:2619689|offset_1|444444,2619647:2619666|offset_24|00cc00,2619625:2619644|offset_46|444444,2619584:2619603|offset_87|444444&amp;v=2619469:2619803&amp;c=444444", "offset 24")</f>
        <v>offset 24</v>
      </c>
    </row>
    <row r="8307" customFormat="false" ht="12.8" hidden="false" customHeight="false" outlineLevel="0" collapsed="false">
      <c r="A8307" s="0" t="s">
        <v>12</v>
      </c>
      <c r="B8307" s="0" t="n">
        <v>2619624</v>
      </c>
      <c r="C8307" s="0" t="n">
        <v>2619644</v>
      </c>
      <c r="D8307" s="0" t="s">
        <v>27639</v>
      </c>
      <c r="E8307" s="0" t="s">
        <v>27640</v>
      </c>
      <c r="F8307" s="0" t="s">
        <v>90</v>
      </c>
      <c r="G8307" s="0" t="s">
        <v>16</v>
      </c>
      <c r="H8307" s="0" t="n">
        <v>46</v>
      </c>
      <c r="I8307" s="0" t="s">
        <v>27647</v>
      </c>
      <c r="J8307" s="0" t="s">
        <v>27648</v>
      </c>
      <c r="K8307" s="0" t="s">
        <v>27649</v>
      </c>
      <c r="L8307" s="0" t="str">
        <f aca="false">HYPERLINK("https://www.ncbi.nlm.nih.gov/nuccore/CP000058.1?report=graph&amp;tracks=[key:gene_model_track,Options:GeneOnly]&amp;mk=2619670:2619689|offset_1|444444,2619647:2619666|offset_24|444444,2619625:2619644|offset_46|00cc00,2619584:2619603|offset_87|444444&amp;v=2619469:2619803&amp;c=444444", "offset 46")</f>
        <v>offset 46</v>
      </c>
    </row>
    <row r="8308" customFormat="false" ht="12.8" hidden="false" customHeight="false" outlineLevel="0" collapsed="false">
      <c r="A8308" s="0" t="s">
        <v>12</v>
      </c>
      <c r="B8308" s="0" t="n">
        <v>2619583</v>
      </c>
      <c r="C8308" s="0" t="n">
        <v>2619603</v>
      </c>
      <c r="D8308" s="0" t="s">
        <v>27639</v>
      </c>
      <c r="E8308" s="0" t="s">
        <v>27640</v>
      </c>
      <c r="F8308" s="0" t="s">
        <v>90</v>
      </c>
      <c r="G8308" s="0" t="s">
        <v>20</v>
      </c>
      <c r="H8308" s="0" t="n">
        <v>87</v>
      </c>
      <c r="I8308" s="0" t="s">
        <v>27650</v>
      </c>
      <c r="J8308" s="0" t="s">
        <v>27651</v>
      </c>
      <c r="K8308" s="0" t="s">
        <v>27652</v>
      </c>
      <c r="L8308" s="0" t="str">
        <f aca="false">HYPERLINK("https://www.ncbi.nlm.nih.gov/nuccore/CP000058.1?report=graph&amp;tracks=[key:gene_model_track,Options:GeneOnly]&amp;mk=2619670:2619689|offset_1|444444,2619647:2619666|offset_24|444444,2619625:2619644|offset_46|444444,2619584:2619603|offset_87|00cc00&amp;v=2619469:2619803&amp;c=444444", "offset 87")</f>
        <v>offset 87</v>
      </c>
    </row>
    <row r="8309" customFormat="false" ht="12.8" hidden="false" customHeight="false" outlineLevel="0" collapsed="false">
      <c r="A8309" s="0" t="s">
        <v>12</v>
      </c>
      <c r="B8309" s="0" t="n">
        <v>2619876</v>
      </c>
      <c r="C8309" s="0" t="n">
        <v>2619896</v>
      </c>
      <c r="D8309" s="0" t="s">
        <v>27653</v>
      </c>
      <c r="E8309" s="0" t="s">
        <v>75</v>
      </c>
      <c r="F8309" s="0" t="s">
        <v>90</v>
      </c>
      <c r="G8309" s="0" t="s">
        <v>16</v>
      </c>
      <c r="H8309" s="0" t="n">
        <v>1</v>
      </c>
      <c r="I8309" s="0" t="s">
        <v>27654</v>
      </c>
      <c r="J8309" s="0" t="s">
        <v>27655</v>
      </c>
      <c r="K8309" s="0" t="s">
        <v>27656</v>
      </c>
      <c r="L8309" s="0" t="str">
        <f aca="false">HYPERLINK("https://www.ncbi.nlm.nih.gov/nuccore/CP000058.1?report=graph&amp;tracks=[key:gene_model_track,Options:GeneOnly]&amp;mk=2619877:2619896|offset_1|00cc00,2619853:2619872|offset_25|444444,2619813:2619832|offset_65|444444,2619784:2619803|offset_94|444444&amp;v=2619676:2620003&amp;c=444444", "offset 1")</f>
        <v>offset 1</v>
      </c>
    </row>
    <row r="8310" customFormat="false" ht="12.8" hidden="false" customHeight="false" outlineLevel="0" collapsed="false">
      <c r="A8310" s="0" t="s">
        <v>12</v>
      </c>
      <c r="B8310" s="0" t="n">
        <v>2619852</v>
      </c>
      <c r="C8310" s="0" t="n">
        <v>2619872</v>
      </c>
      <c r="D8310" s="0" t="s">
        <v>27653</v>
      </c>
      <c r="E8310" s="0" t="s">
        <v>75</v>
      </c>
      <c r="F8310" s="0" t="s">
        <v>90</v>
      </c>
      <c r="G8310" s="0" t="s">
        <v>32</v>
      </c>
      <c r="H8310" s="0" t="n">
        <v>25</v>
      </c>
      <c r="I8310" s="0" t="s">
        <v>27657</v>
      </c>
      <c r="J8310" s="0" t="s">
        <v>27658</v>
      </c>
      <c r="K8310" s="0" t="s">
        <v>27659</v>
      </c>
      <c r="L8310" s="0" t="str">
        <f aca="false">HYPERLINK("https://www.ncbi.nlm.nih.gov/nuccore/CP000058.1?report=graph&amp;tracks=[key:gene_model_track,Options:GeneOnly]&amp;mk=2619877:2619896|offset_1|444444,2619853:2619872|offset_25|00cc00,2619813:2619832|offset_65|444444,2619784:2619803|offset_94|444444&amp;v=2619676:2620003&amp;c=444444", "offset 25")</f>
        <v>offset 25</v>
      </c>
    </row>
    <row r="8311" customFormat="false" ht="12.8" hidden="false" customHeight="false" outlineLevel="0" collapsed="false">
      <c r="A8311" s="0" t="s">
        <v>12</v>
      </c>
      <c r="B8311" s="0" t="n">
        <v>2619812</v>
      </c>
      <c r="C8311" s="0" t="n">
        <v>2619832</v>
      </c>
      <c r="D8311" s="0" t="s">
        <v>27653</v>
      </c>
      <c r="E8311" s="0" t="s">
        <v>75</v>
      </c>
      <c r="F8311" s="0" t="s">
        <v>90</v>
      </c>
      <c r="G8311" s="0" t="s">
        <v>16</v>
      </c>
      <c r="H8311" s="0" t="n">
        <v>65</v>
      </c>
      <c r="I8311" s="0" t="s">
        <v>27660</v>
      </c>
      <c r="J8311" s="0" t="s">
        <v>27661</v>
      </c>
      <c r="K8311" s="0" t="s">
        <v>27662</v>
      </c>
      <c r="L8311" s="0" t="str">
        <f aca="false">HYPERLINK("https://www.ncbi.nlm.nih.gov/nuccore/CP000058.1?report=graph&amp;tracks=[key:gene_model_track,Options:GeneOnly]&amp;mk=2619877:2619896|offset_1|444444,2619853:2619872|offset_25|444444,2619813:2619832|offset_65|00cc00,2619784:2619803|offset_94|444444&amp;v=2619676:2620003&amp;c=444444", "offset 65")</f>
        <v>offset 65</v>
      </c>
    </row>
    <row r="8312" customFormat="false" ht="12.8" hidden="false" customHeight="false" outlineLevel="0" collapsed="false">
      <c r="A8312" s="0" t="s">
        <v>12</v>
      </c>
      <c r="B8312" s="0" t="n">
        <v>2619783</v>
      </c>
      <c r="C8312" s="0" t="n">
        <v>2619803</v>
      </c>
      <c r="D8312" s="0" t="s">
        <v>27653</v>
      </c>
      <c r="E8312" s="0" t="s">
        <v>75</v>
      </c>
      <c r="F8312" s="0" t="s">
        <v>90</v>
      </c>
      <c r="G8312" s="0" t="s">
        <v>20</v>
      </c>
      <c r="H8312" s="0" t="n">
        <v>94</v>
      </c>
      <c r="I8312" s="0" t="s">
        <v>27663</v>
      </c>
      <c r="J8312" s="0" t="s">
        <v>27664</v>
      </c>
      <c r="K8312" s="0" t="s">
        <v>27665</v>
      </c>
      <c r="L8312" s="0" t="str">
        <f aca="false">HYPERLINK("https://www.ncbi.nlm.nih.gov/nuccore/CP000058.1?report=graph&amp;tracks=[key:gene_model_track,Options:GeneOnly]&amp;mk=2619877:2619896|offset_1|444444,2619853:2619872|offset_25|444444,2619813:2619832|offset_65|444444,2619784:2619803|offset_94|00cc00&amp;v=2619676:2620003&amp;c=444444", "offset 94")</f>
        <v>offset 94</v>
      </c>
    </row>
    <row r="8313" customFormat="false" ht="12.8" hidden="false" customHeight="false" outlineLevel="0" collapsed="false">
      <c r="A8313" s="0" t="s">
        <v>12</v>
      </c>
      <c r="B8313" s="0" t="n">
        <v>2620268</v>
      </c>
      <c r="C8313" s="0" t="n">
        <v>2620288</v>
      </c>
      <c r="D8313" s="0" t="s">
        <v>27666</v>
      </c>
      <c r="E8313" s="0" t="s">
        <v>75</v>
      </c>
      <c r="F8313" s="0" t="s">
        <v>90</v>
      </c>
      <c r="G8313" s="0" t="s">
        <v>32</v>
      </c>
      <c r="H8313" s="0" t="n">
        <v>7</v>
      </c>
      <c r="I8313" s="0" t="s">
        <v>27667</v>
      </c>
      <c r="J8313" s="0" t="s">
        <v>27668</v>
      </c>
      <c r="K8313" s="0" t="s">
        <v>27669</v>
      </c>
      <c r="L8313" s="0" t="str">
        <f aca="false">HYPERLINK("https://www.ncbi.nlm.nih.gov/nuccore/CP000058.1?report=graph&amp;tracks=[key:gene_model_track,Options:GeneOnly]&amp;mk=2620269:2620288|offset_7|00cc00,2620214:2620233|offset_62|444444,2620181:2620200|offset_95|444444,2620154:2620173|offset_122|444444&amp;v=2620068:2620373&amp;c=444444", "offset 7")</f>
        <v>offset 7</v>
      </c>
    </row>
    <row r="8314" customFormat="false" ht="12.8" hidden="false" customHeight="false" outlineLevel="0" collapsed="false">
      <c r="A8314" s="0" t="s">
        <v>12</v>
      </c>
      <c r="B8314" s="0" t="n">
        <v>2620213</v>
      </c>
      <c r="C8314" s="0" t="n">
        <v>2620233</v>
      </c>
      <c r="D8314" s="0" t="s">
        <v>27666</v>
      </c>
      <c r="E8314" s="0" t="s">
        <v>75</v>
      </c>
      <c r="F8314" s="0" t="s">
        <v>90</v>
      </c>
      <c r="G8314" s="0" t="s">
        <v>36</v>
      </c>
      <c r="H8314" s="0" t="n">
        <v>62</v>
      </c>
      <c r="I8314" s="0" t="s">
        <v>27670</v>
      </c>
      <c r="J8314" s="0" t="s">
        <v>27671</v>
      </c>
      <c r="K8314" s="0" t="s">
        <v>27672</v>
      </c>
      <c r="L8314" s="0" t="str">
        <f aca="false">HYPERLINK("https://www.ncbi.nlm.nih.gov/nuccore/CP000058.1?report=graph&amp;tracks=[key:gene_model_track,Options:GeneOnly]&amp;mk=2620269:2620288|offset_7|444444,2620214:2620233|offset_62|00cc00,2620181:2620200|offset_95|444444,2620154:2620173|offset_122|444444&amp;v=2620068:2620373&amp;c=444444", "offset 62")</f>
        <v>offset 62</v>
      </c>
    </row>
    <row r="8315" customFormat="false" ht="12.8" hidden="false" customHeight="false" outlineLevel="0" collapsed="false">
      <c r="A8315" s="0" t="s">
        <v>12</v>
      </c>
      <c r="B8315" s="0" t="n">
        <v>2620180</v>
      </c>
      <c r="C8315" s="0" t="n">
        <v>2620200</v>
      </c>
      <c r="D8315" s="0" t="s">
        <v>27666</v>
      </c>
      <c r="E8315" s="0" t="s">
        <v>75</v>
      </c>
      <c r="F8315" s="0" t="s">
        <v>90</v>
      </c>
      <c r="G8315" s="0" t="s">
        <v>32</v>
      </c>
      <c r="H8315" s="0" t="n">
        <v>95</v>
      </c>
      <c r="I8315" s="0" t="s">
        <v>27673</v>
      </c>
      <c r="J8315" s="0" t="s">
        <v>27674</v>
      </c>
      <c r="K8315" s="0" t="s">
        <v>27675</v>
      </c>
      <c r="L8315" s="0" t="str">
        <f aca="false">HYPERLINK("https://www.ncbi.nlm.nih.gov/nuccore/CP000058.1?report=graph&amp;tracks=[key:gene_model_track,Options:GeneOnly]&amp;mk=2620269:2620288|offset_7|444444,2620214:2620233|offset_62|444444,2620181:2620200|offset_95|00cc00,2620154:2620173|offset_122|444444&amp;v=2620068:2620373&amp;c=444444", "offset 95")</f>
        <v>offset 95</v>
      </c>
    </row>
    <row r="8316" customFormat="false" ht="12.8" hidden="false" customHeight="false" outlineLevel="0" collapsed="false">
      <c r="A8316" s="0" t="s">
        <v>12</v>
      </c>
      <c r="B8316" s="0" t="n">
        <v>2620153</v>
      </c>
      <c r="C8316" s="0" t="n">
        <v>2620173</v>
      </c>
      <c r="D8316" s="0" t="s">
        <v>27666</v>
      </c>
      <c r="E8316" s="0" t="s">
        <v>75</v>
      </c>
      <c r="F8316" s="0" t="s">
        <v>90</v>
      </c>
      <c r="G8316" s="0" t="s">
        <v>20</v>
      </c>
      <c r="H8316" s="0" t="n">
        <v>122</v>
      </c>
      <c r="I8316" s="0" t="s">
        <v>27676</v>
      </c>
      <c r="J8316" s="0" t="s">
        <v>27677</v>
      </c>
      <c r="K8316" s="0" t="s">
        <v>27678</v>
      </c>
      <c r="L8316" s="0" t="str">
        <f aca="false">HYPERLINK("https://www.ncbi.nlm.nih.gov/nuccore/CP000058.1?report=graph&amp;tracks=[key:gene_model_track,Options:GeneOnly]&amp;mk=2620269:2620288|offset_7|444444,2620214:2620233|offset_62|444444,2620181:2620200|offset_95|444444,2620154:2620173|offset_122|00cc00&amp;v=2620068:2620373&amp;c=444444", "offset 122")</f>
        <v>offset 122</v>
      </c>
    </row>
    <row r="8317" customFormat="false" ht="12.8" hidden="false" customHeight="false" outlineLevel="0" collapsed="false">
      <c r="A8317" s="0" t="s">
        <v>12</v>
      </c>
      <c r="B8317" s="0" t="n">
        <v>2620406</v>
      </c>
      <c r="C8317" s="0" t="n">
        <v>2620426</v>
      </c>
      <c r="D8317" s="0" t="s">
        <v>27679</v>
      </c>
      <c r="E8317" s="0" t="s">
        <v>75</v>
      </c>
      <c r="F8317" s="0" t="s">
        <v>15</v>
      </c>
      <c r="G8317" s="0" t="s">
        <v>20</v>
      </c>
      <c r="H8317" s="0" t="n">
        <v>23</v>
      </c>
      <c r="I8317" s="0" t="s">
        <v>27680</v>
      </c>
      <c r="J8317" s="0" t="s">
        <v>27681</v>
      </c>
      <c r="K8317" s="0" t="s">
        <v>27682</v>
      </c>
      <c r="L8317" s="0" t="str">
        <f aca="false">HYPERLINK("https://www.ncbi.nlm.nih.gov/nuccore/CP000058.1?report=graph&amp;tracks=[key:gene_model_track,Options:GeneOnly]&amp;mk=2620407:2620426|offset_23|00cc00,2620433:2620452|offset_49|444444,2620459:2620478|offset_75|444444,2620491:2620510|offset_107|444444&amp;v=2620206:2620710&amp;c=444444", "offset 23")</f>
        <v>offset 23</v>
      </c>
    </row>
    <row r="8318" customFormat="false" ht="12.8" hidden="false" customHeight="false" outlineLevel="0" collapsed="false">
      <c r="A8318" s="0" t="s">
        <v>12</v>
      </c>
      <c r="B8318" s="0" t="n">
        <v>2620432</v>
      </c>
      <c r="C8318" s="0" t="n">
        <v>2620452</v>
      </c>
      <c r="D8318" s="0" t="s">
        <v>27679</v>
      </c>
      <c r="E8318" s="0" t="s">
        <v>75</v>
      </c>
      <c r="F8318" s="0" t="s">
        <v>15</v>
      </c>
      <c r="G8318" s="0" t="s">
        <v>32</v>
      </c>
      <c r="H8318" s="0" t="n">
        <v>49</v>
      </c>
      <c r="I8318" s="0" t="s">
        <v>27683</v>
      </c>
      <c r="J8318" s="0" t="s">
        <v>27684</v>
      </c>
      <c r="K8318" s="0" t="s">
        <v>27685</v>
      </c>
      <c r="L8318" s="0" t="str">
        <f aca="false">HYPERLINK("https://www.ncbi.nlm.nih.gov/nuccore/CP000058.1?report=graph&amp;tracks=[key:gene_model_track,Options:GeneOnly]&amp;mk=2620407:2620426|offset_23|444444,2620433:2620452|offset_49|00cc00,2620459:2620478|offset_75|444444,2620491:2620510|offset_107|444444&amp;v=2620206:2620710&amp;c=444444", "offset 49")</f>
        <v>offset 49</v>
      </c>
    </row>
    <row r="8319" customFormat="false" ht="12.8" hidden="false" customHeight="false" outlineLevel="0" collapsed="false">
      <c r="A8319" s="0" t="s">
        <v>12</v>
      </c>
      <c r="B8319" s="0" t="n">
        <v>2620458</v>
      </c>
      <c r="C8319" s="0" t="n">
        <v>2620478</v>
      </c>
      <c r="D8319" s="0" t="s">
        <v>27679</v>
      </c>
      <c r="E8319" s="0" t="s">
        <v>75</v>
      </c>
      <c r="F8319" s="0" t="s">
        <v>15</v>
      </c>
      <c r="G8319" s="0" t="s">
        <v>36</v>
      </c>
      <c r="H8319" s="0" t="n">
        <v>75</v>
      </c>
      <c r="I8319" s="0" t="s">
        <v>27686</v>
      </c>
      <c r="J8319" s="0" t="s">
        <v>27687</v>
      </c>
      <c r="K8319" s="0" t="s">
        <v>27688</v>
      </c>
      <c r="L8319" s="0" t="str">
        <f aca="false">HYPERLINK("https://www.ncbi.nlm.nih.gov/nuccore/CP000058.1?report=graph&amp;tracks=[key:gene_model_track,Options:GeneOnly]&amp;mk=2620407:2620426|offset_23|444444,2620433:2620452|offset_49|444444,2620459:2620478|offset_75|00cc00,2620491:2620510|offset_107|444444&amp;v=2620206:2620710&amp;c=444444", "offset 75")</f>
        <v>offset 75</v>
      </c>
    </row>
    <row r="8320" customFormat="false" ht="12.8" hidden="false" customHeight="false" outlineLevel="0" collapsed="false">
      <c r="A8320" s="0" t="s">
        <v>12</v>
      </c>
      <c r="B8320" s="0" t="n">
        <v>2620490</v>
      </c>
      <c r="C8320" s="0" t="n">
        <v>2620510</v>
      </c>
      <c r="D8320" s="0" t="s">
        <v>27679</v>
      </c>
      <c r="E8320" s="0" t="s">
        <v>75</v>
      </c>
      <c r="F8320" s="0" t="s">
        <v>15</v>
      </c>
      <c r="G8320" s="0" t="s">
        <v>36</v>
      </c>
      <c r="H8320" s="0" t="n">
        <v>107</v>
      </c>
      <c r="I8320" s="0" t="s">
        <v>27689</v>
      </c>
      <c r="J8320" s="0" t="s">
        <v>27690</v>
      </c>
      <c r="K8320" s="0" t="s">
        <v>27691</v>
      </c>
      <c r="L8320" s="0" t="str">
        <f aca="false">HYPERLINK("https://www.ncbi.nlm.nih.gov/nuccore/CP000058.1?report=graph&amp;tracks=[key:gene_model_track,Options:GeneOnly]&amp;mk=2620407:2620426|offset_23|444444,2620433:2620452|offset_49|444444,2620459:2620478|offset_75|444444,2620491:2620510|offset_107|00cc00&amp;v=2620206:2620710&amp;c=444444", "offset 107")</f>
        <v>offset 107</v>
      </c>
    </row>
    <row r="8321" customFormat="false" ht="12.8" hidden="false" customHeight="false" outlineLevel="0" collapsed="false">
      <c r="A8321" s="0" t="s">
        <v>12</v>
      </c>
      <c r="B8321" s="0" t="n">
        <v>2621046</v>
      </c>
      <c r="C8321" s="0" t="n">
        <v>2621066</v>
      </c>
      <c r="D8321" s="0" t="s">
        <v>27692</v>
      </c>
      <c r="E8321" s="0" t="s">
        <v>75</v>
      </c>
      <c r="F8321" s="0" t="s">
        <v>90</v>
      </c>
      <c r="G8321" s="0" t="s">
        <v>20</v>
      </c>
      <c r="H8321" s="0" t="n">
        <v>14</v>
      </c>
      <c r="I8321" s="0" t="s">
        <v>27693</v>
      </c>
      <c r="J8321" s="0" t="s">
        <v>27694</v>
      </c>
      <c r="K8321" s="0" t="s">
        <v>27695</v>
      </c>
      <c r="L8321" s="0" t="str">
        <f aca="false">HYPERLINK("https://www.ncbi.nlm.nih.gov/nuccore/CP000058.1?report=graph&amp;tracks=[key:gene_model_track,Options:GeneOnly]&amp;mk=2621047:2621066|offset_14|00cc00,2621014:2621033|offset_47|444444,2620994:2621013|offset_67|444444,2620928:2620947|offset_133|444444&amp;v=2620846:2621147&amp;c=444444", "offset 14")</f>
        <v>offset 14</v>
      </c>
    </row>
    <row r="8322" customFormat="false" ht="12.8" hidden="false" customHeight="false" outlineLevel="0" collapsed="false">
      <c r="A8322" s="0" t="s">
        <v>12</v>
      </c>
      <c r="B8322" s="0" t="n">
        <v>2621013</v>
      </c>
      <c r="C8322" s="0" t="n">
        <v>2621033</v>
      </c>
      <c r="D8322" s="0" t="s">
        <v>27692</v>
      </c>
      <c r="E8322" s="0" t="s">
        <v>75</v>
      </c>
      <c r="F8322" s="0" t="s">
        <v>90</v>
      </c>
      <c r="G8322" s="0" t="s">
        <v>20</v>
      </c>
      <c r="H8322" s="0" t="n">
        <v>47</v>
      </c>
      <c r="I8322" s="0" t="s">
        <v>27696</v>
      </c>
      <c r="J8322" s="0" t="s">
        <v>27697</v>
      </c>
      <c r="K8322" s="0" t="s">
        <v>27698</v>
      </c>
      <c r="L8322" s="0" t="str">
        <f aca="false">HYPERLINK("https://www.ncbi.nlm.nih.gov/nuccore/CP000058.1?report=graph&amp;tracks=[key:gene_model_track,Options:GeneOnly]&amp;mk=2621047:2621066|offset_14|444444,2621014:2621033|offset_47|00cc00,2620994:2621013|offset_67|444444,2620928:2620947|offset_133|444444&amp;v=2620846:2621147&amp;c=444444", "offset 47")</f>
        <v>offset 47</v>
      </c>
    </row>
    <row r="8323" customFormat="false" ht="12.8" hidden="false" customHeight="false" outlineLevel="0" collapsed="false">
      <c r="A8323" s="0" t="s">
        <v>12</v>
      </c>
      <c r="B8323" s="0" t="n">
        <v>2620993</v>
      </c>
      <c r="C8323" s="0" t="n">
        <v>2621013</v>
      </c>
      <c r="D8323" s="0" t="s">
        <v>27692</v>
      </c>
      <c r="E8323" s="0" t="s">
        <v>75</v>
      </c>
      <c r="F8323" s="0" t="s">
        <v>90</v>
      </c>
      <c r="G8323" s="0" t="s">
        <v>20</v>
      </c>
      <c r="H8323" s="0" t="n">
        <v>67</v>
      </c>
      <c r="I8323" s="0" t="s">
        <v>27699</v>
      </c>
      <c r="J8323" s="0" t="s">
        <v>27700</v>
      </c>
      <c r="K8323" s="0" t="s">
        <v>27701</v>
      </c>
      <c r="L8323" s="0" t="str">
        <f aca="false">HYPERLINK("https://www.ncbi.nlm.nih.gov/nuccore/CP000058.1?report=graph&amp;tracks=[key:gene_model_track,Options:GeneOnly]&amp;mk=2621047:2621066|offset_14|444444,2621014:2621033|offset_47|444444,2620994:2621013|offset_67|00cc00,2620928:2620947|offset_133|444444&amp;v=2620846:2621147&amp;c=444444", "offset 67")</f>
        <v>offset 67</v>
      </c>
    </row>
    <row r="8324" customFormat="false" ht="12.8" hidden="false" customHeight="false" outlineLevel="0" collapsed="false">
      <c r="A8324" s="0" t="s">
        <v>12</v>
      </c>
      <c r="B8324" s="0" t="n">
        <v>2620927</v>
      </c>
      <c r="C8324" s="0" t="n">
        <v>2620947</v>
      </c>
      <c r="D8324" s="0" t="s">
        <v>27692</v>
      </c>
      <c r="E8324" s="0" t="s">
        <v>75</v>
      </c>
      <c r="F8324" s="0" t="s">
        <v>90</v>
      </c>
      <c r="G8324" s="0" t="s">
        <v>20</v>
      </c>
      <c r="H8324" s="0" t="n">
        <v>133</v>
      </c>
      <c r="I8324" s="0" t="s">
        <v>27702</v>
      </c>
      <c r="J8324" s="0" t="s">
        <v>27703</v>
      </c>
      <c r="K8324" s="0" t="s">
        <v>27704</v>
      </c>
      <c r="L8324" s="0" t="str">
        <f aca="false">HYPERLINK("https://www.ncbi.nlm.nih.gov/nuccore/CP000058.1?report=graph&amp;tracks=[key:gene_model_track,Options:GeneOnly]&amp;mk=2621047:2621066|offset_14|444444,2621014:2621033|offset_47|444444,2620994:2621013|offset_67|444444,2620928:2620947|offset_133|00cc00&amp;v=2620846:2621147&amp;c=444444", "offset 133")</f>
        <v>offset 133</v>
      </c>
    </row>
    <row r="8325" customFormat="false" ht="12.8" hidden="false" customHeight="false" outlineLevel="0" collapsed="false">
      <c r="A8325" s="0" t="s">
        <v>12</v>
      </c>
      <c r="B8325" s="0" t="n">
        <v>2621490</v>
      </c>
      <c r="C8325" s="0" t="n">
        <v>2621510</v>
      </c>
      <c r="D8325" s="0" t="s">
        <v>27705</v>
      </c>
      <c r="E8325" s="0" t="s">
        <v>27706</v>
      </c>
      <c r="F8325" s="0" t="s">
        <v>15</v>
      </c>
      <c r="G8325" s="0" t="s">
        <v>36</v>
      </c>
      <c r="H8325" s="0" t="n">
        <v>23</v>
      </c>
      <c r="I8325" s="0" t="s">
        <v>27707</v>
      </c>
      <c r="J8325" s="0" t="s">
        <v>27708</v>
      </c>
      <c r="K8325" s="0" t="s">
        <v>27709</v>
      </c>
      <c r="L8325" s="0" t="str">
        <f aca="false">HYPERLINK("https://www.ncbi.nlm.nih.gov/nuccore/CP000058.1?report=graph&amp;tracks=[key:gene_model_track,Options:GeneOnly]&amp;mk=2621491:2621510|offset_23|00cc00,2621518:2621537|offset_50|444444,2621540:2621559|offset_72|444444,2621570:2621589|offset_102|444444&amp;v=2621290:2621789&amp;c=444444", "offset 23")</f>
        <v>offset 23</v>
      </c>
    </row>
    <row r="8326" customFormat="false" ht="12.8" hidden="false" customHeight="false" outlineLevel="0" collapsed="false">
      <c r="A8326" s="0" t="s">
        <v>12</v>
      </c>
      <c r="B8326" s="0" t="n">
        <v>2621517</v>
      </c>
      <c r="C8326" s="0" t="n">
        <v>2621537</v>
      </c>
      <c r="D8326" s="0" t="s">
        <v>27705</v>
      </c>
      <c r="E8326" s="0" t="s">
        <v>27706</v>
      </c>
      <c r="F8326" s="0" t="s">
        <v>15</v>
      </c>
      <c r="G8326" s="0" t="s">
        <v>20</v>
      </c>
      <c r="H8326" s="0" t="n">
        <v>50</v>
      </c>
      <c r="I8326" s="0" t="s">
        <v>27710</v>
      </c>
      <c r="J8326" s="0" t="s">
        <v>27711</v>
      </c>
      <c r="K8326" s="0" t="s">
        <v>27712</v>
      </c>
      <c r="L8326" s="0" t="str">
        <f aca="false">HYPERLINK("https://www.ncbi.nlm.nih.gov/nuccore/CP000058.1?report=graph&amp;tracks=[key:gene_model_track,Options:GeneOnly]&amp;mk=2621491:2621510|offset_23|444444,2621518:2621537|offset_50|00cc00,2621540:2621559|offset_72|444444,2621570:2621589|offset_102|444444&amp;v=2621290:2621789&amp;c=444444", "offset 50")</f>
        <v>offset 50</v>
      </c>
    </row>
    <row r="8327" customFormat="false" ht="12.8" hidden="false" customHeight="false" outlineLevel="0" collapsed="false">
      <c r="A8327" s="0" t="s">
        <v>12</v>
      </c>
      <c r="B8327" s="0" t="n">
        <v>2621539</v>
      </c>
      <c r="C8327" s="0" t="n">
        <v>2621559</v>
      </c>
      <c r="D8327" s="0" t="s">
        <v>27705</v>
      </c>
      <c r="E8327" s="0" t="s">
        <v>27706</v>
      </c>
      <c r="F8327" s="0" t="s">
        <v>15</v>
      </c>
      <c r="G8327" s="0" t="s">
        <v>36</v>
      </c>
      <c r="H8327" s="0" t="n">
        <v>72</v>
      </c>
      <c r="I8327" s="0" t="s">
        <v>27713</v>
      </c>
      <c r="J8327" s="0" t="s">
        <v>27714</v>
      </c>
      <c r="K8327" s="0" t="s">
        <v>27715</v>
      </c>
      <c r="L8327" s="0" t="str">
        <f aca="false">HYPERLINK("https://www.ncbi.nlm.nih.gov/nuccore/CP000058.1?report=graph&amp;tracks=[key:gene_model_track,Options:GeneOnly]&amp;mk=2621491:2621510|offset_23|444444,2621518:2621537|offset_50|444444,2621540:2621559|offset_72|00cc00,2621570:2621589|offset_102|444444&amp;v=2621290:2621789&amp;c=444444", "offset 72")</f>
        <v>offset 72</v>
      </c>
    </row>
    <row r="8328" customFormat="false" ht="12.8" hidden="false" customHeight="false" outlineLevel="0" collapsed="false">
      <c r="A8328" s="0" t="s">
        <v>12</v>
      </c>
      <c r="B8328" s="0" t="n">
        <v>2621569</v>
      </c>
      <c r="C8328" s="0" t="n">
        <v>2621589</v>
      </c>
      <c r="D8328" s="0" t="s">
        <v>27705</v>
      </c>
      <c r="E8328" s="0" t="s">
        <v>27706</v>
      </c>
      <c r="F8328" s="0" t="s">
        <v>15</v>
      </c>
      <c r="G8328" s="0" t="s">
        <v>32</v>
      </c>
      <c r="H8328" s="0" t="n">
        <v>102</v>
      </c>
      <c r="I8328" s="0" t="s">
        <v>27716</v>
      </c>
      <c r="J8328" s="0" t="s">
        <v>27717</v>
      </c>
      <c r="K8328" s="0" t="s">
        <v>27718</v>
      </c>
      <c r="L8328" s="0" t="str">
        <f aca="false">HYPERLINK("https://www.ncbi.nlm.nih.gov/nuccore/CP000058.1?report=graph&amp;tracks=[key:gene_model_track,Options:GeneOnly]&amp;mk=2621491:2621510|offset_23|444444,2621518:2621537|offset_50|444444,2621540:2621559|offset_72|444444,2621570:2621589|offset_102|00cc00&amp;v=2621290:2621789&amp;c=444444", "offset 102")</f>
        <v>offset 102</v>
      </c>
    </row>
    <row r="8329" customFormat="false" ht="12.8" hidden="false" customHeight="false" outlineLevel="0" collapsed="false">
      <c r="A8329" s="0" t="s">
        <v>12</v>
      </c>
      <c r="B8329" s="0" t="n">
        <v>2622416</v>
      </c>
      <c r="C8329" s="0" t="n">
        <v>2622436</v>
      </c>
      <c r="D8329" s="0" t="s">
        <v>27719</v>
      </c>
      <c r="E8329" s="0" t="s">
        <v>27720</v>
      </c>
      <c r="F8329" s="0" t="s">
        <v>15</v>
      </c>
      <c r="G8329" s="0" t="s">
        <v>20</v>
      </c>
      <c r="H8329" s="0" t="n">
        <v>7</v>
      </c>
      <c r="I8329" s="0" t="s">
        <v>27721</v>
      </c>
      <c r="J8329" s="0" t="s">
        <v>27722</v>
      </c>
      <c r="K8329" s="0" t="s">
        <v>27723</v>
      </c>
      <c r="L8329" s="0" t="str">
        <f aca="false">HYPERLINK("https://www.ncbi.nlm.nih.gov/nuccore/CP000058.1?report=graph&amp;tracks=[key:gene_model_track,Options:GeneOnly]&amp;mk=2622417:2622436|offset_7|00cc00,2622447:2622466|offset_37|444444,2622483:2622502|offset_73|444444,2622504:2622523|offset_94|444444&amp;v=2622216:2622723&amp;c=444444", "offset 7")</f>
        <v>offset 7</v>
      </c>
    </row>
    <row r="8330" customFormat="false" ht="12.8" hidden="false" customHeight="false" outlineLevel="0" collapsed="false">
      <c r="A8330" s="0" t="s">
        <v>12</v>
      </c>
      <c r="B8330" s="0" t="n">
        <v>2622446</v>
      </c>
      <c r="C8330" s="0" t="n">
        <v>2622466</v>
      </c>
      <c r="D8330" s="0" t="s">
        <v>27719</v>
      </c>
      <c r="E8330" s="0" t="s">
        <v>27720</v>
      </c>
      <c r="F8330" s="0" t="s">
        <v>15</v>
      </c>
      <c r="G8330" s="0" t="s">
        <v>16</v>
      </c>
      <c r="H8330" s="0" t="n">
        <v>37</v>
      </c>
      <c r="I8330" s="0" t="s">
        <v>27724</v>
      </c>
      <c r="J8330" s="0" t="s">
        <v>27725</v>
      </c>
      <c r="K8330" s="0" t="s">
        <v>27726</v>
      </c>
      <c r="L8330" s="0" t="str">
        <f aca="false">HYPERLINK("https://www.ncbi.nlm.nih.gov/nuccore/CP000058.1?report=graph&amp;tracks=[key:gene_model_track,Options:GeneOnly]&amp;mk=2622417:2622436|offset_7|444444,2622447:2622466|offset_37|00cc00,2622483:2622502|offset_73|444444,2622504:2622523|offset_94|444444&amp;v=2622216:2622723&amp;c=444444", "offset 37")</f>
        <v>offset 37</v>
      </c>
    </row>
    <row r="8331" customFormat="false" ht="12.8" hidden="false" customHeight="false" outlineLevel="0" collapsed="false">
      <c r="A8331" s="0" t="s">
        <v>12</v>
      </c>
      <c r="B8331" s="0" t="n">
        <v>2622482</v>
      </c>
      <c r="C8331" s="0" t="n">
        <v>2622502</v>
      </c>
      <c r="D8331" s="0" t="s">
        <v>27719</v>
      </c>
      <c r="E8331" s="0" t="s">
        <v>27720</v>
      </c>
      <c r="F8331" s="0" t="s">
        <v>15</v>
      </c>
      <c r="G8331" s="0" t="s">
        <v>16</v>
      </c>
      <c r="H8331" s="0" t="n">
        <v>73</v>
      </c>
      <c r="I8331" s="0" t="s">
        <v>27727</v>
      </c>
      <c r="J8331" s="0" t="s">
        <v>27728</v>
      </c>
      <c r="K8331" s="0" t="s">
        <v>27729</v>
      </c>
      <c r="L8331" s="0" t="str">
        <f aca="false">HYPERLINK("https://www.ncbi.nlm.nih.gov/nuccore/CP000058.1?report=graph&amp;tracks=[key:gene_model_track,Options:GeneOnly]&amp;mk=2622417:2622436|offset_7|444444,2622447:2622466|offset_37|444444,2622483:2622502|offset_73|00cc00,2622504:2622523|offset_94|444444&amp;v=2622216:2622723&amp;c=444444", "offset 73")</f>
        <v>offset 73</v>
      </c>
    </row>
    <row r="8332" customFormat="false" ht="12.8" hidden="false" customHeight="false" outlineLevel="0" collapsed="false">
      <c r="A8332" s="0" t="s">
        <v>12</v>
      </c>
      <c r="B8332" s="0" t="n">
        <v>2622503</v>
      </c>
      <c r="C8332" s="0" t="n">
        <v>2622523</v>
      </c>
      <c r="D8332" s="0" t="s">
        <v>27719</v>
      </c>
      <c r="E8332" s="0" t="s">
        <v>27720</v>
      </c>
      <c r="F8332" s="0" t="s">
        <v>15</v>
      </c>
      <c r="G8332" s="0" t="s">
        <v>16</v>
      </c>
      <c r="H8332" s="0" t="n">
        <v>94</v>
      </c>
      <c r="I8332" s="0" t="s">
        <v>27730</v>
      </c>
      <c r="J8332" s="0" t="s">
        <v>27731</v>
      </c>
      <c r="K8332" s="0" t="s">
        <v>27732</v>
      </c>
      <c r="L8332" s="0" t="str">
        <f aca="false">HYPERLINK("https://www.ncbi.nlm.nih.gov/nuccore/CP000058.1?report=graph&amp;tracks=[key:gene_model_track,Options:GeneOnly]&amp;mk=2622417:2622436|offset_7|444444,2622447:2622466|offset_37|444444,2622483:2622502|offset_73|444444,2622504:2622523|offset_94|00cc00&amp;v=2622216:2622723&amp;c=444444", "offset 94")</f>
        <v>offset 94</v>
      </c>
    </row>
    <row r="8333" customFormat="false" ht="12.8" hidden="false" customHeight="false" outlineLevel="0" collapsed="false">
      <c r="A8333" s="0" t="s">
        <v>12</v>
      </c>
      <c r="B8333" s="0" t="n">
        <v>2623856</v>
      </c>
      <c r="C8333" s="0" t="n">
        <v>2623876</v>
      </c>
      <c r="D8333" s="0" t="s">
        <v>27733</v>
      </c>
      <c r="E8333" s="0" t="s">
        <v>75</v>
      </c>
      <c r="F8333" s="0" t="s">
        <v>15</v>
      </c>
      <c r="G8333" s="0" t="s">
        <v>32</v>
      </c>
      <c r="H8333" s="0" t="n">
        <v>18</v>
      </c>
      <c r="I8333" s="0" t="s">
        <v>27734</v>
      </c>
      <c r="J8333" s="0" t="s">
        <v>27735</v>
      </c>
      <c r="K8333" s="0" t="s">
        <v>27736</v>
      </c>
      <c r="L8333" s="0" t="str">
        <f aca="false">HYPERLINK("https://www.ncbi.nlm.nih.gov/nuccore/CP000058.1?report=graph&amp;tracks=[key:gene_model_track,Options:GeneOnly]&amp;mk=2623857:2623876|offset_18|00cc00,2623885:2623904|offset_46|444444,2623951:2623970|offset_112|444444,2623978:2623997|offset_139|444444&amp;v=2623656:2624197&amp;c=444444", "offset 18")</f>
        <v>offset 18</v>
      </c>
    </row>
    <row r="8334" customFormat="false" ht="12.8" hidden="false" customHeight="false" outlineLevel="0" collapsed="false">
      <c r="A8334" s="0" t="s">
        <v>12</v>
      </c>
      <c r="B8334" s="0" t="n">
        <v>2623884</v>
      </c>
      <c r="C8334" s="0" t="n">
        <v>2623904</v>
      </c>
      <c r="D8334" s="0" t="s">
        <v>27733</v>
      </c>
      <c r="E8334" s="0" t="s">
        <v>75</v>
      </c>
      <c r="F8334" s="0" t="s">
        <v>15</v>
      </c>
      <c r="G8334" s="0" t="s">
        <v>16</v>
      </c>
      <c r="H8334" s="0" t="n">
        <v>46</v>
      </c>
      <c r="I8334" s="0" t="s">
        <v>27737</v>
      </c>
      <c r="J8334" s="0" t="s">
        <v>27738</v>
      </c>
      <c r="K8334" s="0" t="s">
        <v>27739</v>
      </c>
      <c r="L8334" s="0" t="str">
        <f aca="false">HYPERLINK("https://www.ncbi.nlm.nih.gov/nuccore/CP000058.1?report=graph&amp;tracks=[key:gene_model_track,Options:GeneOnly]&amp;mk=2623857:2623876|offset_18|444444,2623885:2623904|offset_46|00cc00,2623951:2623970|offset_112|444444,2623978:2623997|offset_139|444444&amp;v=2623656:2624197&amp;c=444444", "offset 46")</f>
        <v>offset 46</v>
      </c>
    </row>
    <row r="8335" customFormat="false" ht="12.8" hidden="false" customHeight="false" outlineLevel="0" collapsed="false">
      <c r="A8335" s="0" t="s">
        <v>12</v>
      </c>
      <c r="B8335" s="0" t="n">
        <v>2623950</v>
      </c>
      <c r="C8335" s="0" t="n">
        <v>2623970</v>
      </c>
      <c r="D8335" s="0" t="s">
        <v>27733</v>
      </c>
      <c r="E8335" s="0" t="s">
        <v>75</v>
      </c>
      <c r="F8335" s="0" t="s">
        <v>15</v>
      </c>
      <c r="G8335" s="0" t="s">
        <v>36</v>
      </c>
      <c r="H8335" s="0" t="n">
        <v>112</v>
      </c>
      <c r="I8335" s="0" t="s">
        <v>27740</v>
      </c>
      <c r="J8335" s="0" t="s">
        <v>27741</v>
      </c>
      <c r="K8335" s="0" t="s">
        <v>27742</v>
      </c>
      <c r="L8335" s="0" t="str">
        <f aca="false">HYPERLINK("https://www.ncbi.nlm.nih.gov/nuccore/CP000058.1?report=graph&amp;tracks=[key:gene_model_track,Options:GeneOnly]&amp;mk=2623857:2623876|offset_18|444444,2623885:2623904|offset_46|444444,2623951:2623970|offset_112|00cc00,2623978:2623997|offset_139|444444&amp;v=2623656:2624197&amp;c=444444", "offset 112")</f>
        <v>offset 112</v>
      </c>
    </row>
    <row r="8336" customFormat="false" ht="12.8" hidden="false" customHeight="false" outlineLevel="0" collapsed="false">
      <c r="A8336" s="0" t="s">
        <v>12</v>
      </c>
      <c r="B8336" s="0" t="n">
        <v>2623977</v>
      </c>
      <c r="C8336" s="0" t="n">
        <v>2623997</v>
      </c>
      <c r="D8336" s="0" t="s">
        <v>27733</v>
      </c>
      <c r="E8336" s="0" t="s">
        <v>75</v>
      </c>
      <c r="F8336" s="0" t="s">
        <v>15</v>
      </c>
      <c r="G8336" s="0" t="s">
        <v>20</v>
      </c>
      <c r="H8336" s="0" t="n">
        <v>139</v>
      </c>
      <c r="I8336" s="0" t="s">
        <v>27743</v>
      </c>
      <c r="J8336" s="0" t="s">
        <v>27744</v>
      </c>
      <c r="K8336" s="0" t="s">
        <v>27745</v>
      </c>
      <c r="L8336" s="0" t="str">
        <f aca="false">HYPERLINK("https://www.ncbi.nlm.nih.gov/nuccore/CP000058.1?report=graph&amp;tracks=[key:gene_model_track,Options:GeneOnly]&amp;mk=2623857:2623876|offset_18|444444,2623885:2623904|offset_46|444444,2623951:2623970|offset_112|444444,2623978:2623997|offset_139|00cc00&amp;v=2623656:2624197&amp;c=444444", "offset 139")</f>
        <v>offset 139</v>
      </c>
    </row>
    <row r="8337" customFormat="false" ht="12.8" hidden="false" customHeight="false" outlineLevel="0" collapsed="false">
      <c r="A8337" s="0" t="s">
        <v>12</v>
      </c>
      <c r="B8337" s="0" t="n">
        <v>2626086</v>
      </c>
      <c r="C8337" s="0" t="n">
        <v>2626106</v>
      </c>
      <c r="D8337" s="0" t="s">
        <v>27746</v>
      </c>
      <c r="E8337" s="0" t="s">
        <v>75</v>
      </c>
      <c r="F8337" s="0" t="s">
        <v>90</v>
      </c>
      <c r="G8337" s="0" t="s">
        <v>36</v>
      </c>
      <c r="H8337" s="0" t="n">
        <v>52</v>
      </c>
      <c r="I8337" s="0" t="s">
        <v>27747</v>
      </c>
      <c r="J8337" s="0" t="s">
        <v>27748</v>
      </c>
      <c r="K8337" s="0" t="s">
        <v>27749</v>
      </c>
      <c r="L8337" s="0" t="str">
        <f aca="false">HYPERLINK("https://www.ncbi.nlm.nih.gov/nuccore/CP000058.1?report=graph&amp;tracks=[key:gene_model_track,Options:GeneOnly]&amp;mk=2626087:2626106|offset_52|00cc00,2626064:2626083|offset_75|444444,2626015:2626034|offset_124|444444,2625982:2626001|offset_157|444444&amp;v=2625886:2626201&amp;c=444444", "offset 52")</f>
        <v>offset 52</v>
      </c>
    </row>
    <row r="8338" customFormat="false" ht="12.8" hidden="false" customHeight="false" outlineLevel="0" collapsed="false">
      <c r="A8338" s="0" t="s">
        <v>12</v>
      </c>
      <c r="B8338" s="0" t="n">
        <v>2626063</v>
      </c>
      <c r="C8338" s="0" t="n">
        <v>2626083</v>
      </c>
      <c r="D8338" s="0" t="s">
        <v>27746</v>
      </c>
      <c r="E8338" s="0" t="s">
        <v>75</v>
      </c>
      <c r="F8338" s="0" t="s">
        <v>90</v>
      </c>
      <c r="G8338" s="0" t="s">
        <v>36</v>
      </c>
      <c r="H8338" s="0" t="n">
        <v>75</v>
      </c>
      <c r="I8338" s="0" t="s">
        <v>27750</v>
      </c>
      <c r="J8338" s="0" t="s">
        <v>27751</v>
      </c>
      <c r="K8338" s="0" t="s">
        <v>27752</v>
      </c>
      <c r="L8338" s="0" t="str">
        <f aca="false">HYPERLINK("https://www.ncbi.nlm.nih.gov/nuccore/CP000058.1?report=graph&amp;tracks=[key:gene_model_track,Options:GeneOnly]&amp;mk=2626087:2626106|offset_52|444444,2626064:2626083|offset_75|00cc00,2626015:2626034|offset_124|444444,2625982:2626001|offset_157|444444&amp;v=2625886:2626201&amp;c=444444", "offset 75")</f>
        <v>offset 75</v>
      </c>
    </row>
    <row r="8339" customFormat="false" ht="12.8" hidden="false" customHeight="false" outlineLevel="0" collapsed="false">
      <c r="A8339" s="0" t="s">
        <v>12</v>
      </c>
      <c r="B8339" s="0" t="n">
        <v>2626014</v>
      </c>
      <c r="C8339" s="0" t="n">
        <v>2626034</v>
      </c>
      <c r="D8339" s="0" t="s">
        <v>27746</v>
      </c>
      <c r="E8339" s="0" t="s">
        <v>75</v>
      </c>
      <c r="F8339" s="0" t="s">
        <v>90</v>
      </c>
      <c r="G8339" s="0" t="s">
        <v>32</v>
      </c>
      <c r="H8339" s="0" t="n">
        <v>124</v>
      </c>
      <c r="I8339" s="0" t="s">
        <v>27753</v>
      </c>
      <c r="J8339" s="0" t="s">
        <v>27754</v>
      </c>
      <c r="K8339" s="0" t="s">
        <v>27755</v>
      </c>
      <c r="L8339" s="0" t="str">
        <f aca="false">HYPERLINK("https://www.ncbi.nlm.nih.gov/nuccore/CP000058.1?report=graph&amp;tracks=[key:gene_model_track,Options:GeneOnly]&amp;mk=2626087:2626106|offset_52|444444,2626064:2626083|offset_75|444444,2626015:2626034|offset_124|00cc00,2625982:2626001|offset_157|444444&amp;v=2625886:2626201&amp;c=444444", "offset 124")</f>
        <v>offset 124</v>
      </c>
    </row>
    <row r="8340" customFormat="false" ht="12.8" hidden="false" customHeight="false" outlineLevel="0" collapsed="false">
      <c r="A8340" s="0" t="s">
        <v>12</v>
      </c>
      <c r="B8340" s="0" t="n">
        <v>2625981</v>
      </c>
      <c r="C8340" s="0" t="n">
        <v>2626001</v>
      </c>
      <c r="D8340" s="0" t="s">
        <v>27746</v>
      </c>
      <c r="E8340" s="0" t="s">
        <v>75</v>
      </c>
      <c r="F8340" s="0" t="s">
        <v>90</v>
      </c>
      <c r="G8340" s="0" t="s">
        <v>32</v>
      </c>
      <c r="H8340" s="0" t="n">
        <v>157</v>
      </c>
      <c r="I8340" s="0" t="s">
        <v>27756</v>
      </c>
      <c r="J8340" s="0" t="s">
        <v>27757</v>
      </c>
      <c r="K8340" s="0" t="s">
        <v>27758</v>
      </c>
      <c r="L8340" s="0" t="str">
        <f aca="false">HYPERLINK("https://www.ncbi.nlm.nih.gov/nuccore/CP000058.1?report=graph&amp;tracks=[key:gene_model_track,Options:GeneOnly]&amp;mk=2626087:2626106|offset_52|444444,2626064:2626083|offset_75|444444,2626015:2626034|offset_124|444444,2625982:2626001|offset_157|00cc00&amp;v=2625886:2626201&amp;c=444444", "offset 157")</f>
        <v>offset 157</v>
      </c>
    </row>
    <row r="8341" customFormat="false" ht="12.8" hidden="false" customHeight="false" outlineLevel="0" collapsed="false">
      <c r="A8341" s="0" t="s">
        <v>12</v>
      </c>
      <c r="B8341" s="0" t="n">
        <v>2626335</v>
      </c>
      <c r="C8341" s="0" t="n">
        <v>2626355</v>
      </c>
      <c r="D8341" s="0" t="s">
        <v>27759</v>
      </c>
      <c r="E8341" s="0" t="s">
        <v>75</v>
      </c>
      <c r="F8341" s="0" t="s">
        <v>15</v>
      </c>
      <c r="G8341" s="0" t="s">
        <v>32</v>
      </c>
      <c r="H8341" s="0" t="n">
        <v>1</v>
      </c>
      <c r="I8341" s="0" t="s">
        <v>27760</v>
      </c>
      <c r="J8341" s="0" t="s">
        <v>27761</v>
      </c>
      <c r="K8341" s="0" t="s">
        <v>27762</v>
      </c>
      <c r="L8341" s="0" t="str">
        <f aca="false">HYPERLINK("https://www.ncbi.nlm.nih.gov/nuccore/CP000058.1?report=graph&amp;tracks=[key:gene_model_track,Options:GeneOnly]&amp;mk=2626336:2626355|offset_1|00cc00,2626366:2626385|offset_31|444444,2626388:2626407|offset_53|444444,2626450:2626469|offset_115|444444&amp;v=2626135:2626669&amp;c=444444", "offset 1")</f>
        <v>offset 1</v>
      </c>
    </row>
    <row r="8342" customFormat="false" ht="12.8" hidden="false" customHeight="false" outlineLevel="0" collapsed="false">
      <c r="A8342" s="0" t="s">
        <v>12</v>
      </c>
      <c r="B8342" s="0" t="n">
        <v>2626365</v>
      </c>
      <c r="C8342" s="0" t="n">
        <v>2626385</v>
      </c>
      <c r="D8342" s="0" t="s">
        <v>27759</v>
      </c>
      <c r="E8342" s="0" t="s">
        <v>75</v>
      </c>
      <c r="F8342" s="0" t="s">
        <v>15</v>
      </c>
      <c r="G8342" s="0" t="s">
        <v>16</v>
      </c>
      <c r="H8342" s="0" t="n">
        <v>31</v>
      </c>
      <c r="I8342" s="0" t="s">
        <v>27763</v>
      </c>
      <c r="J8342" s="0" t="s">
        <v>27764</v>
      </c>
      <c r="K8342" s="0" t="s">
        <v>27765</v>
      </c>
      <c r="L8342" s="0" t="str">
        <f aca="false">HYPERLINK("https://www.ncbi.nlm.nih.gov/nuccore/CP000058.1?report=graph&amp;tracks=[key:gene_model_track,Options:GeneOnly]&amp;mk=2626336:2626355|offset_1|444444,2626366:2626385|offset_31|00cc00,2626388:2626407|offset_53|444444,2626450:2626469|offset_115|444444&amp;v=2626135:2626669&amp;c=444444", "offset 31")</f>
        <v>offset 31</v>
      </c>
    </row>
    <row r="8343" customFormat="false" ht="12.8" hidden="false" customHeight="false" outlineLevel="0" collapsed="false">
      <c r="A8343" s="0" t="s">
        <v>12</v>
      </c>
      <c r="B8343" s="0" t="n">
        <v>2626387</v>
      </c>
      <c r="C8343" s="0" t="n">
        <v>2626407</v>
      </c>
      <c r="D8343" s="0" t="s">
        <v>27759</v>
      </c>
      <c r="E8343" s="0" t="s">
        <v>75</v>
      </c>
      <c r="F8343" s="0" t="s">
        <v>15</v>
      </c>
      <c r="G8343" s="0" t="s">
        <v>16</v>
      </c>
      <c r="H8343" s="0" t="n">
        <v>53</v>
      </c>
      <c r="I8343" s="0" t="s">
        <v>27766</v>
      </c>
      <c r="J8343" s="0" t="s">
        <v>27767</v>
      </c>
      <c r="K8343" s="0" t="s">
        <v>27768</v>
      </c>
      <c r="L8343" s="0" t="str">
        <f aca="false">HYPERLINK("https://www.ncbi.nlm.nih.gov/nuccore/CP000058.1?report=graph&amp;tracks=[key:gene_model_track,Options:GeneOnly]&amp;mk=2626336:2626355|offset_1|444444,2626366:2626385|offset_31|444444,2626388:2626407|offset_53|00cc00,2626450:2626469|offset_115|444444&amp;v=2626135:2626669&amp;c=444444", "offset 53")</f>
        <v>offset 53</v>
      </c>
    </row>
    <row r="8344" customFormat="false" ht="12.8" hidden="false" customHeight="false" outlineLevel="0" collapsed="false">
      <c r="A8344" s="0" t="s">
        <v>12</v>
      </c>
      <c r="B8344" s="0" t="n">
        <v>2626449</v>
      </c>
      <c r="C8344" s="0" t="n">
        <v>2626469</v>
      </c>
      <c r="D8344" s="0" t="s">
        <v>27759</v>
      </c>
      <c r="E8344" s="0" t="s">
        <v>75</v>
      </c>
      <c r="F8344" s="0" t="s">
        <v>15</v>
      </c>
      <c r="G8344" s="0" t="s">
        <v>32</v>
      </c>
      <c r="H8344" s="0" t="n">
        <v>115</v>
      </c>
      <c r="I8344" s="0" t="s">
        <v>27769</v>
      </c>
      <c r="J8344" s="0" t="s">
        <v>27770</v>
      </c>
      <c r="K8344" s="0" t="s">
        <v>27771</v>
      </c>
      <c r="L8344" s="0" t="str">
        <f aca="false">HYPERLINK("https://www.ncbi.nlm.nih.gov/nuccore/CP000058.1?report=graph&amp;tracks=[key:gene_model_track,Options:GeneOnly]&amp;mk=2626336:2626355|offset_1|444444,2626366:2626385|offset_31|444444,2626388:2626407|offset_53|444444,2626450:2626469|offset_115|00cc00&amp;v=2626135:2626669&amp;c=444444", "offset 115")</f>
        <v>offset 115</v>
      </c>
    </row>
    <row r="8345" customFormat="false" ht="12.8" hidden="false" customHeight="false" outlineLevel="0" collapsed="false">
      <c r="A8345" s="0" t="s">
        <v>12</v>
      </c>
      <c r="B8345" s="0" t="n">
        <v>2627404</v>
      </c>
      <c r="C8345" s="0" t="n">
        <v>2627424</v>
      </c>
      <c r="D8345" s="0" t="s">
        <v>27772</v>
      </c>
      <c r="E8345" s="0" t="s">
        <v>27773</v>
      </c>
      <c r="F8345" s="0" t="s">
        <v>15</v>
      </c>
      <c r="G8345" s="0" t="s">
        <v>16</v>
      </c>
      <c r="H8345" s="0" t="n">
        <v>0</v>
      </c>
      <c r="I8345" s="0" t="s">
        <v>27774</v>
      </c>
      <c r="J8345" s="0" t="s">
        <v>27775</v>
      </c>
      <c r="K8345" s="0" t="s">
        <v>27776</v>
      </c>
      <c r="L8345" s="0" t="str">
        <f aca="false">HYPERLINK("https://www.ncbi.nlm.nih.gov/nuccore/CP000058.1?report=graph&amp;tracks=[key:gene_model_track,Options:GeneOnly]&amp;mk=2627405:2627424|offset_0|00cc00,2627425:2627444|offset_20|444444,2627448:2627467|offset_43|444444,2627487:2627506|offset_82|444444&amp;v=2627204:2627706&amp;c=444444", "offset 0")</f>
        <v>offset 0</v>
      </c>
    </row>
    <row r="8346" customFormat="false" ht="12.8" hidden="false" customHeight="false" outlineLevel="0" collapsed="false">
      <c r="A8346" s="0" t="s">
        <v>12</v>
      </c>
      <c r="B8346" s="0" t="n">
        <v>2627424</v>
      </c>
      <c r="C8346" s="0" t="n">
        <v>2627444</v>
      </c>
      <c r="D8346" s="0" t="s">
        <v>27772</v>
      </c>
      <c r="E8346" s="0" t="s">
        <v>27773</v>
      </c>
      <c r="F8346" s="0" t="s">
        <v>15</v>
      </c>
      <c r="G8346" s="0" t="s">
        <v>32</v>
      </c>
      <c r="H8346" s="0" t="n">
        <v>20</v>
      </c>
      <c r="I8346" s="0" t="s">
        <v>27777</v>
      </c>
      <c r="J8346" s="0" t="s">
        <v>27778</v>
      </c>
      <c r="K8346" s="0" t="s">
        <v>27779</v>
      </c>
      <c r="L8346" s="0" t="str">
        <f aca="false">HYPERLINK("https://www.ncbi.nlm.nih.gov/nuccore/CP000058.1?report=graph&amp;tracks=[key:gene_model_track,Options:GeneOnly]&amp;mk=2627405:2627424|offset_0|444444,2627425:2627444|offset_20|00cc00,2627448:2627467|offset_43|444444,2627487:2627506|offset_82|444444&amp;v=2627204:2627706&amp;c=444444", "offset 20")</f>
        <v>offset 20</v>
      </c>
    </row>
    <row r="8347" customFormat="false" ht="12.8" hidden="false" customHeight="false" outlineLevel="0" collapsed="false">
      <c r="A8347" s="0" t="s">
        <v>12</v>
      </c>
      <c r="B8347" s="0" t="n">
        <v>2627447</v>
      </c>
      <c r="C8347" s="0" t="n">
        <v>2627467</v>
      </c>
      <c r="D8347" s="0" t="s">
        <v>27772</v>
      </c>
      <c r="E8347" s="0" t="s">
        <v>27773</v>
      </c>
      <c r="F8347" s="0" t="s">
        <v>15</v>
      </c>
      <c r="G8347" s="0" t="s">
        <v>16</v>
      </c>
      <c r="H8347" s="0" t="n">
        <v>43</v>
      </c>
      <c r="I8347" s="0" t="s">
        <v>27780</v>
      </c>
      <c r="J8347" s="0" t="s">
        <v>27781</v>
      </c>
      <c r="K8347" s="0" t="s">
        <v>27782</v>
      </c>
      <c r="L8347" s="0" t="str">
        <f aca="false">HYPERLINK("https://www.ncbi.nlm.nih.gov/nuccore/CP000058.1?report=graph&amp;tracks=[key:gene_model_track,Options:GeneOnly]&amp;mk=2627405:2627424|offset_0|444444,2627425:2627444|offset_20|444444,2627448:2627467|offset_43|00cc00,2627487:2627506|offset_82|444444&amp;v=2627204:2627706&amp;c=444444", "offset 43")</f>
        <v>offset 43</v>
      </c>
    </row>
    <row r="8348" customFormat="false" ht="12.8" hidden="false" customHeight="false" outlineLevel="0" collapsed="false">
      <c r="A8348" s="0" t="s">
        <v>12</v>
      </c>
      <c r="B8348" s="0" t="n">
        <v>2627486</v>
      </c>
      <c r="C8348" s="0" t="n">
        <v>2627506</v>
      </c>
      <c r="D8348" s="0" t="s">
        <v>27772</v>
      </c>
      <c r="E8348" s="0" t="s">
        <v>27773</v>
      </c>
      <c r="F8348" s="0" t="s">
        <v>15</v>
      </c>
      <c r="G8348" s="0" t="s">
        <v>16</v>
      </c>
      <c r="H8348" s="0" t="n">
        <v>82</v>
      </c>
      <c r="I8348" s="0" t="s">
        <v>27783</v>
      </c>
      <c r="J8348" s="0" t="s">
        <v>27784</v>
      </c>
      <c r="K8348" s="0" t="s">
        <v>27785</v>
      </c>
      <c r="L8348" s="0" t="str">
        <f aca="false">HYPERLINK("https://www.ncbi.nlm.nih.gov/nuccore/CP000058.1?report=graph&amp;tracks=[key:gene_model_track,Options:GeneOnly]&amp;mk=2627405:2627424|offset_0|444444,2627425:2627444|offset_20|444444,2627448:2627467|offset_43|444444,2627487:2627506|offset_82|00cc00&amp;v=2627204:2627706&amp;c=444444", "offset 82")</f>
        <v>offset 82</v>
      </c>
    </row>
    <row r="8349" customFormat="false" ht="12.8" hidden="false" customHeight="false" outlineLevel="0" collapsed="false">
      <c r="A8349" s="0" t="s">
        <v>12</v>
      </c>
      <c r="B8349" s="0" t="n">
        <v>2628105</v>
      </c>
      <c r="C8349" s="0" t="n">
        <v>2628125</v>
      </c>
      <c r="D8349" s="0" t="s">
        <v>27786</v>
      </c>
      <c r="E8349" s="0" t="s">
        <v>27787</v>
      </c>
      <c r="F8349" s="0" t="s">
        <v>15</v>
      </c>
      <c r="G8349" s="0" t="s">
        <v>32</v>
      </c>
      <c r="H8349" s="0" t="n">
        <v>13</v>
      </c>
      <c r="I8349" s="0" t="s">
        <v>27788</v>
      </c>
      <c r="J8349" s="0" t="s">
        <v>27789</v>
      </c>
      <c r="K8349" s="0" t="s">
        <v>27790</v>
      </c>
      <c r="L8349" s="0" t="str">
        <f aca="false">HYPERLINK("https://www.ncbi.nlm.nih.gov/nuccore/CP000058.1?report=graph&amp;tracks=[key:gene_model_track,Options:GeneOnly]&amp;mk=2628106:2628125|offset_13|00cc00,2628130:2628149|offset_37|444444,2628152:2628171|offset_59|444444,2628172:2628191|offset_79|444444&amp;v=2627905:2628391&amp;c=444444", "offset 13")</f>
        <v>offset 13</v>
      </c>
    </row>
    <row r="8350" customFormat="false" ht="12.8" hidden="false" customHeight="false" outlineLevel="0" collapsed="false">
      <c r="A8350" s="0" t="s">
        <v>12</v>
      </c>
      <c r="B8350" s="0" t="n">
        <v>2628129</v>
      </c>
      <c r="C8350" s="0" t="n">
        <v>2628149</v>
      </c>
      <c r="D8350" s="0" t="s">
        <v>27786</v>
      </c>
      <c r="E8350" s="0" t="s">
        <v>27787</v>
      </c>
      <c r="F8350" s="0" t="s">
        <v>15</v>
      </c>
      <c r="G8350" s="0" t="s">
        <v>20</v>
      </c>
      <c r="H8350" s="0" t="n">
        <v>37</v>
      </c>
      <c r="I8350" s="0" t="s">
        <v>27791</v>
      </c>
      <c r="J8350" s="0" t="s">
        <v>27792</v>
      </c>
      <c r="K8350" s="0" t="s">
        <v>27793</v>
      </c>
      <c r="L8350" s="0" t="str">
        <f aca="false">HYPERLINK("https://www.ncbi.nlm.nih.gov/nuccore/CP000058.1?report=graph&amp;tracks=[key:gene_model_track,Options:GeneOnly]&amp;mk=2628106:2628125|offset_13|444444,2628130:2628149|offset_37|00cc00,2628152:2628171|offset_59|444444,2628172:2628191|offset_79|444444&amp;v=2627905:2628391&amp;c=444444", "offset 37")</f>
        <v>offset 37</v>
      </c>
    </row>
    <row r="8351" customFormat="false" ht="12.8" hidden="false" customHeight="false" outlineLevel="0" collapsed="false">
      <c r="A8351" s="0" t="s">
        <v>12</v>
      </c>
      <c r="B8351" s="0" t="n">
        <v>2628151</v>
      </c>
      <c r="C8351" s="0" t="n">
        <v>2628171</v>
      </c>
      <c r="D8351" s="0" t="s">
        <v>27786</v>
      </c>
      <c r="E8351" s="0" t="s">
        <v>27787</v>
      </c>
      <c r="F8351" s="0" t="s">
        <v>15</v>
      </c>
      <c r="G8351" s="0" t="s">
        <v>36</v>
      </c>
      <c r="H8351" s="0" t="n">
        <v>59</v>
      </c>
      <c r="I8351" s="0" t="s">
        <v>27794</v>
      </c>
      <c r="J8351" s="0" t="s">
        <v>27795</v>
      </c>
      <c r="K8351" s="0" t="s">
        <v>27796</v>
      </c>
      <c r="L8351" s="0" t="str">
        <f aca="false">HYPERLINK("https://www.ncbi.nlm.nih.gov/nuccore/CP000058.1?report=graph&amp;tracks=[key:gene_model_track,Options:GeneOnly]&amp;mk=2628106:2628125|offset_13|444444,2628130:2628149|offset_37|444444,2628152:2628171|offset_59|00cc00,2628172:2628191|offset_79|444444&amp;v=2627905:2628391&amp;c=444444", "offset 59")</f>
        <v>offset 59</v>
      </c>
    </row>
    <row r="8352" customFormat="false" ht="12.8" hidden="false" customHeight="false" outlineLevel="0" collapsed="false">
      <c r="A8352" s="0" t="s">
        <v>12</v>
      </c>
      <c r="B8352" s="0" t="n">
        <v>2628171</v>
      </c>
      <c r="C8352" s="0" t="n">
        <v>2628191</v>
      </c>
      <c r="D8352" s="0" t="s">
        <v>27786</v>
      </c>
      <c r="E8352" s="0" t="s">
        <v>27787</v>
      </c>
      <c r="F8352" s="0" t="s">
        <v>15</v>
      </c>
      <c r="G8352" s="0" t="s">
        <v>36</v>
      </c>
      <c r="H8352" s="0" t="n">
        <v>79</v>
      </c>
      <c r="I8352" s="0" t="s">
        <v>27797</v>
      </c>
      <c r="J8352" s="0" t="s">
        <v>27798</v>
      </c>
      <c r="K8352" s="0" t="s">
        <v>27799</v>
      </c>
      <c r="L8352" s="0" t="str">
        <f aca="false">HYPERLINK("https://www.ncbi.nlm.nih.gov/nuccore/CP000058.1?report=graph&amp;tracks=[key:gene_model_track,Options:GeneOnly]&amp;mk=2628106:2628125|offset_13|444444,2628130:2628149|offset_37|444444,2628152:2628171|offset_59|444444,2628172:2628191|offset_79|00cc00&amp;v=2627905:2628391&amp;c=444444", "offset 79")</f>
        <v>offset 79</v>
      </c>
    </row>
    <row r="8353" customFormat="false" ht="12.8" hidden="false" customHeight="false" outlineLevel="0" collapsed="false">
      <c r="A8353" s="0" t="s">
        <v>12</v>
      </c>
      <c r="B8353" s="0" t="n">
        <v>2630229</v>
      </c>
      <c r="C8353" s="0" t="n">
        <v>2630249</v>
      </c>
      <c r="D8353" s="0" t="s">
        <v>27800</v>
      </c>
      <c r="E8353" s="0" t="s">
        <v>27801</v>
      </c>
      <c r="F8353" s="0" t="s">
        <v>90</v>
      </c>
      <c r="G8353" s="0" t="s">
        <v>16</v>
      </c>
      <c r="H8353" s="0" t="n">
        <v>30</v>
      </c>
      <c r="I8353" s="0" t="s">
        <v>27802</v>
      </c>
      <c r="J8353" s="0" t="s">
        <v>27803</v>
      </c>
      <c r="K8353" s="0" t="s">
        <v>27804</v>
      </c>
      <c r="L8353" s="0" t="str">
        <f aca="false">HYPERLINK("https://www.ncbi.nlm.nih.gov/nuccore/CP000058.1?report=graph&amp;tracks=[key:gene_model_track,Options:GeneOnly]&amp;mk=2630230:2630249|offset_30|00cc00,2630199:2630218|offset_61|444444,2630175:2630194|offset_85|444444,2630130:2630149|offset_130|444444&amp;v=2630029:2630349&amp;c=444444", "offset 30")</f>
        <v>offset 30</v>
      </c>
    </row>
    <row r="8354" customFormat="false" ht="12.8" hidden="false" customHeight="false" outlineLevel="0" collapsed="false">
      <c r="A8354" s="0" t="s">
        <v>12</v>
      </c>
      <c r="B8354" s="0" t="n">
        <v>2630198</v>
      </c>
      <c r="C8354" s="0" t="n">
        <v>2630218</v>
      </c>
      <c r="D8354" s="0" t="s">
        <v>27800</v>
      </c>
      <c r="E8354" s="0" t="s">
        <v>27801</v>
      </c>
      <c r="F8354" s="0" t="s">
        <v>90</v>
      </c>
      <c r="G8354" s="0" t="s">
        <v>36</v>
      </c>
      <c r="H8354" s="0" t="n">
        <v>61</v>
      </c>
      <c r="I8354" s="0" t="s">
        <v>27805</v>
      </c>
      <c r="J8354" s="0" t="s">
        <v>27806</v>
      </c>
      <c r="K8354" s="0" t="s">
        <v>27807</v>
      </c>
      <c r="L8354" s="0" t="str">
        <f aca="false">HYPERLINK("https://www.ncbi.nlm.nih.gov/nuccore/CP000058.1?report=graph&amp;tracks=[key:gene_model_track,Options:GeneOnly]&amp;mk=2630230:2630249|offset_30|444444,2630199:2630218|offset_61|00cc00,2630175:2630194|offset_85|444444,2630130:2630149|offset_130|444444&amp;v=2630029:2630349&amp;c=444444", "offset 61")</f>
        <v>offset 61</v>
      </c>
    </row>
    <row r="8355" customFormat="false" ht="12.8" hidden="false" customHeight="false" outlineLevel="0" collapsed="false">
      <c r="A8355" s="0" t="s">
        <v>12</v>
      </c>
      <c r="B8355" s="0" t="n">
        <v>2630174</v>
      </c>
      <c r="C8355" s="0" t="n">
        <v>2630194</v>
      </c>
      <c r="D8355" s="0" t="s">
        <v>27800</v>
      </c>
      <c r="E8355" s="0" t="s">
        <v>27801</v>
      </c>
      <c r="F8355" s="0" t="s">
        <v>90</v>
      </c>
      <c r="G8355" s="0" t="s">
        <v>32</v>
      </c>
      <c r="H8355" s="0" t="n">
        <v>85</v>
      </c>
      <c r="I8355" s="0" t="s">
        <v>27808</v>
      </c>
      <c r="J8355" s="0" t="s">
        <v>27809</v>
      </c>
      <c r="K8355" s="0" t="s">
        <v>27810</v>
      </c>
      <c r="L8355" s="0" t="str">
        <f aca="false">HYPERLINK("https://www.ncbi.nlm.nih.gov/nuccore/CP000058.1?report=graph&amp;tracks=[key:gene_model_track,Options:GeneOnly]&amp;mk=2630230:2630249|offset_30|444444,2630199:2630218|offset_61|444444,2630175:2630194|offset_85|00cc00,2630130:2630149|offset_130|444444&amp;v=2630029:2630349&amp;c=444444", "offset 85")</f>
        <v>offset 85</v>
      </c>
    </row>
    <row r="8356" customFormat="false" ht="12.8" hidden="false" customHeight="false" outlineLevel="0" collapsed="false">
      <c r="A8356" s="0" t="s">
        <v>12</v>
      </c>
      <c r="B8356" s="0" t="n">
        <v>2630129</v>
      </c>
      <c r="C8356" s="0" t="n">
        <v>2630149</v>
      </c>
      <c r="D8356" s="0" t="s">
        <v>27800</v>
      </c>
      <c r="E8356" s="0" t="s">
        <v>27801</v>
      </c>
      <c r="F8356" s="0" t="s">
        <v>90</v>
      </c>
      <c r="G8356" s="0" t="s">
        <v>36</v>
      </c>
      <c r="H8356" s="0" t="n">
        <v>130</v>
      </c>
      <c r="I8356" s="0" t="s">
        <v>27811</v>
      </c>
      <c r="J8356" s="0" t="s">
        <v>27812</v>
      </c>
      <c r="K8356" s="0" t="s">
        <v>27813</v>
      </c>
      <c r="L8356" s="0" t="str">
        <f aca="false">HYPERLINK("https://www.ncbi.nlm.nih.gov/nuccore/CP000058.1?report=graph&amp;tracks=[key:gene_model_track,Options:GeneOnly]&amp;mk=2630230:2630249|offset_30|444444,2630199:2630218|offset_61|444444,2630175:2630194|offset_85|444444,2630130:2630149|offset_130|00cc00&amp;v=2630029:2630349&amp;c=444444", "offset 130")</f>
        <v>offset 130</v>
      </c>
    </row>
    <row r="8357" customFormat="false" ht="12.8" hidden="false" customHeight="false" outlineLevel="0" collapsed="false">
      <c r="A8357" s="0" t="s">
        <v>12</v>
      </c>
      <c r="B8357" s="0" t="n">
        <v>2630292</v>
      </c>
      <c r="C8357" s="0" t="n">
        <v>2630312</v>
      </c>
      <c r="D8357" s="0" t="s">
        <v>27814</v>
      </c>
      <c r="E8357" s="0" t="s">
        <v>75</v>
      </c>
      <c r="F8357" s="0" t="s">
        <v>15</v>
      </c>
      <c r="G8357" s="0" t="s">
        <v>32</v>
      </c>
      <c r="H8357" s="0" t="n">
        <v>11</v>
      </c>
      <c r="I8357" s="0" t="s">
        <v>27815</v>
      </c>
      <c r="J8357" s="0" t="s">
        <v>27816</v>
      </c>
      <c r="K8357" s="0" t="s">
        <v>27817</v>
      </c>
      <c r="L8357" s="0" t="str">
        <f aca="false">HYPERLINK("https://www.ncbi.nlm.nih.gov/nuccore/CP000058.1?report=graph&amp;tracks=[key:gene_model_track,Options:GeneOnly]&amp;mk=2630293:2630312|offset_11|00cc00,2630315:2630334|offset_33|444444,2630344:2630363|offset_62|444444,2630387:2630406|offset_105|444444&amp;v=2630092:2630606&amp;c=444444", "offset 11")</f>
        <v>offset 11</v>
      </c>
    </row>
    <row r="8358" customFormat="false" ht="12.8" hidden="false" customHeight="false" outlineLevel="0" collapsed="false">
      <c r="A8358" s="0" t="s">
        <v>12</v>
      </c>
      <c r="B8358" s="0" t="n">
        <v>2630314</v>
      </c>
      <c r="C8358" s="0" t="n">
        <v>2630334</v>
      </c>
      <c r="D8358" s="0" t="s">
        <v>27814</v>
      </c>
      <c r="E8358" s="0" t="s">
        <v>75</v>
      </c>
      <c r="F8358" s="0" t="s">
        <v>15</v>
      </c>
      <c r="G8358" s="0" t="s">
        <v>32</v>
      </c>
      <c r="H8358" s="0" t="n">
        <v>33</v>
      </c>
      <c r="I8358" s="0" t="s">
        <v>27818</v>
      </c>
      <c r="J8358" s="0" t="s">
        <v>27819</v>
      </c>
      <c r="K8358" s="0" t="s">
        <v>27820</v>
      </c>
      <c r="L8358" s="0" t="str">
        <f aca="false">HYPERLINK("https://www.ncbi.nlm.nih.gov/nuccore/CP000058.1?report=graph&amp;tracks=[key:gene_model_track,Options:GeneOnly]&amp;mk=2630293:2630312|offset_11|444444,2630315:2630334|offset_33|00cc00,2630344:2630363|offset_62|444444,2630387:2630406|offset_105|444444&amp;v=2630092:2630606&amp;c=444444", "offset 33")</f>
        <v>offset 33</v>
      </c>
    </row>
    <row r="8359" customFormat="false" ht="12.8" hidden="false" customHeight="false" outlineLevel="0" collapsed="false">
      <c r="A8359" s="0" t="s">
        <v>12</v>
      </c>
      <c r="B8359" s="0" t="n">
        <v>2630343</v>
      </c>
      <c r="C8359" s="0" t="n">
        <v>2630363</v>
      </c>
      <c r="D8359" s="0" t="s">
        <v>27814</v>
      </c>
      <c r="E8359" s="0" t="s">
        <v>75</v>
      </c>
      <c r="F8359" s="0" t="s">
        <v>15</v>
      </c>
      <c r="G8359" s="0" t="s">
        <v>32</v>
      </c>
      <c r="H8359" s="0" t="n">
        <v>62</v>
      </c>
      <c r="I8359" s="0" t="s">
        <v>27821</v>
      </c>
      <c r="J8359" s="0" t="s">
        <v>27822</v>
      </c>
      <c r="K8359" s="0" t="s">
        <v>27823</v>
      </c>
      <c r="L8359" s="0" t="str">
        <f aca="false">HYPERLINK("https://www.ncbi.nlm.nih.gov/nuccore/CP000058.1?report=graph&amp;tracks=[key:gene_model_track,Options:GeneOnly]&amp;mk=2630293:2630312|offset_11|444444,2630315:2630334|offset_33|444444,2630344:2630363|offset_62|00cc00,2630387:2630406|offset_105|444444&amp;v=2630092:2630606&amp;c=444444", "offset 62")</f>
        <v>offset 62</v>
      </c>
    </row>
    <row r="8360" customFormat="false" ht="12.8" hidden="false" customHeight="false" outlineLevel="0" collapsed="false">
      <c r="A8360" s="0" t="s">
        <v>12</v>
      </c>
      <c r="B8360" s="0" t="n">
        <v>2630386</v>
      </c>
      <c r="C8360" s="0" t="n">
        <v>2630406</v>
      </c>
      <c r="D8360" s="0" t="s">
        <v>27814</v>
      </c>
      <c r="E8360" s="0" t="s">
        <v>75</v>
      </c>
      <c r="F8360" s="0" t="s">
        <v>15</v>
      </c>
      <c r="G8360" s="0" t="s">
        <v>16</v>
      </c>
      <c r="H8360" s="0" t="n">
        <v>105</v>
      </c>
      <c r="I8360" s="0" t="s">
        <v>27824</v>
      </c>
      <c r="J8360" s="0" t="s">
        <v>27825</v>
      </c>
      <c r="K8360" s="0" t="s">
        <v>27826</v>
      </c>
      <c r="L8360" s="0" t="str">
        <f aca="false">HYPERLINK("https://www.ncbi.nlm.nih.gov/nuccore/CP000058.1?report=graph&amp;tracks=[key:gene_model_track,Options:GeneOnly]&amp;mk=2630293:2630312|offset_11|444444,2630315:2630334|offset_33|444444,2630344:2630363|offset_62|444444,2630387:2630406|offset_105|00cc00&amp;v=2630092:2630606&amp;c=444444", "offset 105")</f>
        <v>offset 105</v>
      </c>
    </row>
    <row r="8361" customFormat="false" ht="12.8" hidden="false" customHeight="false" outlineLevel="0" collapsed="false">
      <c r="A8361" s="0" t="s">
        <v>12</v>
      </c>
      <c r="B8361" s="0" t="n">
        <v>2631810</v>
      </c>
      <c r="C8361" s="0" t="n">
        <v>2631830</v>
      </c>
      <c r="D8361" s="0" t="s">
        <v>27827</v>
      </c>
      <c r="E8361" s="0" t="s">
        <v>75</v>
      </c>
      <c r="F8361" s="0" t="s">
        <v>90</v>
      </c>
      <c r="G8361" s="0" t="s">
        <v>32</v>
      </c>
      <c r="H8361" s="0" t="n">
        <v>7</v>
      </c>
      <c r="I8361" s="0" t="s">
        <v>27828</v>
      </c>
      <c r="J8361" s="0" t="s">
        <v>27829</v>
      </c>
      <c r="K8361" s="0" t="s">
        <v>27830</v>
      </c>
      <c r="L8361" s="0" t="str">
        <f aca="false">HYPERLINK("https://www.ncbi.nlm.nih.gov/nuccore/CP000058.1?report=graph&amp;tracks=[key:gene_model_track,Options:GeneOnly]&amp;mk=2631811:2631830|offset_7|00cc00,2631778:2631797|offset_40|444444,2631748:2631767|offset_70|444444,2631696:2631715|offset_122|444444&amp;v=2631610:2631915&amp;c=444444", "offset 7")</f>
        <v>offset 7</v>
      </c>
    </row>
    <row r="8362" customFormat="false" ht="12.8" hidden="false" customHeight="false" outlineLevel="0" collapsed="false">
      <c r="A8362" s="0" t="s">
        <v>12</v>
      </c>
      <c r="B8362" s="0" t="n">
        <v>2631777</v>
      </c>
      <c r="C8362" s="0" t="n">
        <v>2631797</v>
      </c>
      <c r="D8362" s="0" t="s">
        <v>27827</v>
      </c>
      <c r="E8362" s="0" t="s">
        <v>75</v>
      </c>
      <c r="F8362" s="0" t="s">
        <v>90</v>
      </c>
      <c r="G8362" s="0" t="s">
        <v>36</v>
      </c>
      <c r="H8362" s="0" t="n">
        <v>40</v>
      </c>
      <c r="I8362" s="0" t="s">
        <v>27831</v>
      </c>
      <c r="J8362" s="0" t="s">
        <v>27832</v>
      </c>
      <c r="K8362" s="0" t="s">
        <v>27833</v>
      </c>
      <c r="L8362" s="0" t="str">
        <f aca="false">HYPERLINK("https://www.ncbi.nlm.nih.gov/nuccore/CP000058.1?report=graph&amp;tracks=[key:gene_model_track,Options:GeneOnly]&amp;mk=2631811:2631830|offset_7|444444,2631778:2631797|offset_40|00cc00,2631748:2631767|offset_70|444444,2631696:2631715|offset_122|444444&amp;v=2631610:2631915&amp;c=444444", "offset 40")</f>
        <v>offset 40</v>
      </c>
    </row>
    <row r="8363" customFormat="false" ht="12.8" hidden="false" customHeight="false" outlineLevel="0" collapsed="false">
      <c r="A8363" s="0" t="s">
        <v>12</v>
      </c>
      <c r="B8363" s="0" t="n">
        <v>2631747</v>
      </c>
      <c r="C8363" s="0" t="n">
        <v>2631767</v>
      </c>
      <c r="D8363" s="0" t="s">
        <v>27827</v>
      </c>
      <c r="E8363" s="0" t="s">
        <v>75</v>
      </c>
      <c r="F8363" s="0" t="s">
        <v>90</v>
      </c>
      <c r="G8363" s="0" t="s">
        <v>20</v>
      </c>
      <c r="H8363" s="0" t="n">
        <v>70</v>
      </c>
      <c r="I8363" s="0" t="s">
        <v>27834</v>
      </c>
      <c r="J8363" s="0" t="s">
        <v>27835</v>
      </c>
      <c r="K8363" s="0" t="s">
        <v>27836</v>
      </c>
      <c r="L8363" s="0" t="str">
        <f aca="false">HYPERLINK("https://www.ncbi.nlm.nih.gov/nuccore/CP000058.1?report=graph&amp;tracks=[key:gene_model_track,Options:GeneOnly]&amp;mk=2631811:2631830|offset_7|444444,2631778:2631797|offset_40|444444,2631748:2631767|offset_70|00cc00,2631696:2631715|offset_122|444444&amp;v=2631610:2631915&amp;c=444444", "offset 70")</f>
        <v>offset 70</v>
      </c>
    </row>
    <row r="8364" customFormat="false" ht="12.8" hidden="false" customHeight="false" outlineLevel="0" collapsed="false">
      <c r="A8364" s="0" t="s">
        <v>12</v>
      </c>
      <c r="B8364" s="0" t="n">
        <v>2631695</v>
      </c>
      <c r="C8364" s="0" t="n">
        <v>2631715</v>
      </c>
      <c r="D8364" s="0" t="s">
        <v>27827</v>
      </c>
      <c r="E8364" s="0" t="s">
        <v>75</v>
      </c>
      <c r="F8364" s="0" t="s">
        <v>90</v>
      </c>
      <c r="G8364" s="0" t="s">
        <v>32</v>
      </c>
      <c r="H8364" s="0" t="n">
        <v>122</v>
      </c>
      <c r="I8364" s="0" t="s">
        <v>27837</v>
      </c>
      <c r="J8364" s="0" t="s">
        <v>27838</v>
      </c>
      <c r="K8364" s="0" t="s">
        <v>27839</v>
      </c>
      <c r="L8364" s="0" t="str">
        <f aca="false">HYPERLINK("https://www.ncbi.nlm.nih.gov/nuccore/CP000058.1?report=graph&amp;tracks=[key:gene_model_track,Options:GeneOnly]&amp;mk=2631811:2631830|offset_7|444444,2631778:2631797|offset_40|444444,2631748:2631767|offset_70|444444,2631696:2631715|offset_122|00cc00&amp;v=2631610:2631915&amp;c=444444", "offset 122")</f>
        <v>offset 122</v>
      </c>
    </row>
    <row r="8365" customFormat="false" ht="12.8" hidden="false" customHeight="false" outlineLevel="0" collapsed="false">
      <c r="A8365" s="0" t="s">
        <v>12</v>
      </c>
      <c r="B8365" s="0" t="n">
        <v>2633454</v>
      </c>
      <c r="C8365" s="0" t="n">
        <v>2633474</v>
      </c>
      <c r="D8365" s="0" t="s">
        <v>27840</v>
      </c>
      <c r="E8365" s="0" t="s">
        <v>75</v>
      </c>
      <c r="F8365" s="0" t="s">
        <v>90</v>
      </c>
      <c r="G8365" s="0" t="s">
        <v>16</v>
      </c>
      <c r="H8365" s="0" t="n">
        <v>6</v>
      </c>
      <c r="I8365" s="0" t="s">
        <v>27841</v>
      </c>
      <c r="J8365" s="0" t="s">
        <v>27842</v>
      </c>
      <c r="K8365" s="0" t="s">
        <v>27843</v>
      </c>
      <c r="L8365" s="0" t="str">
        <f aca="false">HYPERLINK("https://www.ncbi.nlm.nih.gov/nuccore/CP000058.1?report=graph&amp;tracks=[key:gene_model_track,Options:GeneOnly]&amp;mk=2633455:2633474|offset_6|00cc00,2633432:2633451|offset_29|444444,2633392:2633411|offset_69|444444,2633365:2633384|offset_96|444444&amp;v=2633254:2633584&amp;c=444444", "offset 6")</f>
        <v>offset 6</v>
      </c>
    </row>
    <row r="8366" customFormat="false" ht="12.8" hidden="false" customHeight="false" outlineLevel="0" collapsed="false">
      <c r="A8366" s="0" t="s">
        <v>12</v>
      </c>
      <c r="B8366" s="0" t="n">
        <v>2633431</v>
      </c>
      <c r="C8366" s="0" t="n">
        <v>2633451</v>
      </c>
      <c r="D8366" s="0" t="s">
        <v>27840</v>
      </c>
      <c r="E8366" s="0" t="s">
        <v>75</v>
      </c>
      <c r="F8366" s="0" t="s">
        <v>90</v>
      </c>
      <c r="G8366" s="0" t="s">
        <v>36</v>
      </c>
      <c r="H8366" s="0" t="n">
        <v>29</v>
      </c>
      <c r="I8366" s="0" t="s">
        <v>27844</v>
      </c>
      <c r="J8366" s="0" t="s">
        <v>27845</v>
      </c>
      <c r="K8366" s="0" t="s">
        <v>27846</v>
      </c>
      <c r="L8366" s="0" t="str">
        <f aca="false">HYPERLINK("https://www.ncbi.nlm.nih.gov/nuccore/CP000058.1?report=graph&amp;tracks=[key:gene_model_track,Options:GeneOnly]&amp;mk=2633455:2633474|offset_6|444444,2633432:2633451|offset_29|00cc00,2633392:2633411|offset_69|444444,2633365:2633384|offset_96|444444&amp;v=2633254:2633584&amp;c=444444", "offset 29")</f>
        <v>offset 29</v>
      </c>
    </row>
    <row r="8367" customFormat="false" ht="12.8" hidden="false" customHeight="false" outlineLevel="0" collapsed="false">
      <c r="A8367" s="0" t="s">
        <v>12</v>
      </c>
      <c r="B8367" s="0" t="n">
        <v>2633391</v>
      </c>
      <c r="C8367" s="0" t="n">
        <v>2633411</v>
      </c>
      <c r="D8367" s="0" t="s">
        <v>27840</v>
      </c>
      <c r="E8367" s="0" t="s">
        <v>75</v>
      </c>
      <c r="F8367" s="0" t="s">
        <v>90</v>
      </c>
      <c r="G8367" s="0" t="s">
        <v>36</v>
      </c>
      <c r="H8367" s="0" t="n">
        <v>69</v>
      </c>
      <c r="I8367" s="0" t="s">
        <v>27847</v>
      </c>
      <c r="J8367" s="0" t="s">
        <v>27848</v>
      </c>
      <c r="K8367" s="0" t="s">
        <v>27849</v>
      </c>
      <c r="L8367" s="0" t="str">
        <f aca="false">HYPERLINK("https://www.ncbi.nlm.nih.gov/nuccore/CP000058.1?report=graph&amp;tracks=[key:gene_model_track,Options:GeneOnly]&amp;mk=2633455:2633474|offset_6|444444,2633432:2633451|offset_29|444444,2633392:2633411|offset_69|00cc00,2633365:2633384|offset_96|444444&amp;v=2633254:2633584&amp;c=444444", "offset 69")</f>
        <v>offset 69</v>
      </c>
    </row>
    <row r="8368" customFormat="false" ht="12.8" hidden="false" customHeight="false" outlineLevel="0" collapsed="false">
      <c r="A8368" s="0" t="s">
        <v>12</v>
      </c>
      <c r="B8368" s="0" t="n">
        <v>2633364</v>
      </c>
      <c r="C8368" s="0" t="n">
        <v>2633384</v>
      </c>
      <c r="D8368" s="0" t="s">
        <v>27840</v>
      </c>
      <c r="E8368" s="0" t="s">
        <v>75</v>
      </c>
      <c r="F8368" s="0" t="s">
        <v>90</v>
      </c>
      <c r="G8368" s="0" t="s">
        <v>20</v>
      </c>
      <c r="H8368" s="0" t="n">
        <v>96</v>
      </c>
      <c r="I8368" s="0" t="s">
        <v>27850</v>
      </c>
      <c r="J8368" s="0" t="s">
        <v>27851</v>
      </c>
      <c r="K8368" s="0" t="s">
        <v>27852</v>
      </c>
      <c r="L8368" s="0" t="str">
        <f aca="false">HYPERLINK("https://www.ncbi.nlm.nih.gov/nuccore/CP000058.1?report=graph&amp;tracks=[key:gene_model_track,Options:GeneOnly]&amp;mk=2633455:2633474|offset_6|444444,2633432:2633451|offset_29|444444,2633392:2633411|offset_69|444444,2633365:2633384|offset_96|00cc00&amp;v=2633254:2633584&amp;c=444444", "offset 96")</f>
        <v>offset 96</v>
      </c>
    </row>
    <row r="8369" customFormat="false" ht="12.8" hidden="false" customHeight="false" outlineLevel="0" collapsed="false">
      <c r="A8369" s="0" t="s">
        <v>12</v>
      </c>
      <c r="B8369" s="0" t="n">
        <v>2634912</v>
      </c>
      <c r="C8369" s="0" t="n">
        <v>2634932</v>
      </c>
      <c r="D8369" s="0" t="s">
        <v>27853</v>
      </c>
      <c r="E8369" s="0" t="s">
        <v>75</v>
      </c>
      <c r="F8369" s="0" t="s">
        <v>90</v>
      </c>
      <c r="G8369" s="0" t="s">
        <v>36</v>
      </c>
      <c r="H8369" s="0" t="n">
        <v>26</v>
      </c>
      <c r="I8369" s="0" t="s">
        <v>27854</v>
      </c>
      <c r="J8369" s="0" t="s">
        <v>27855</v>
      </c>
      <c r="K8369" s="0" t="s">
        <v>27856</v>
      </c>
      <c r="L8369" s="0" t="str">
        <f aca="false">HYPERLINK("https://www.ncbi.nlm.nih.gov/nuccore/CP000058.1?report=graph&amp;tracks=[key:gene_model_track,Options:GeneOnly]&amp;mk=2634913:2634932|offset_26|00cc00,2634884:2634903|offset_55|444444,2634855:2634874|offset_84|444444,2634827:2634846|offset_112|444444&amp;v=2634712:2635046&amp;c=444444", "offset 26")</f>
        <v>offset 26</v>
      </c>
    </row>
    <row r="8370" customFormat="false" ht="12.8" hidden="false" customHeight="false" outlineLevel="0" collapsed="false">
      <c r="A8370" s="0" t="s">
        <v>12</v>
      </c>
      <c r="B8370" s="0" t="n">
        <v>2634883</v>
      </c>
      <c r="C8370" s="0" t="n">
        <v>2634903</v>
      </c>
      <c r="D8370" s="0" t="s">
        <v>27853</v>
      </c>
      <c r="E8370" s="0" t="s">
        <v>75</v>
      </c>
      <c r="F8370" s="0" t="s">
        <v>90</v>
      </c>
      <c r="G8370" s="0" t="s">
        <v>20</v>
      </c>
      <c r="H8370" s="0" t="n">
        <v>55</v>
      </c>
      <c r="I8370" s="0" t="s">
        <v>27857</v>
      </c>
      <c r="J8370" s="0" t="s">
        <v>27858</v>
      </c>
      <c r="K8370" s="0" t="s">
        <v>27859</v>
      </c>
      <c r="L8370" s="0" t="str">
        <f aca="false">HYPERLINK("https://www.ncbi.nlm.nih.gov/nuccore/CP000058.1?report=graph&amp;tracks=[key:gene_model_track,Options:GeneOnly]&amp;mk=2634913:2634932|offset_26|444444,2634884:2634903|offset_55|00cc00,2634855:2634874|offset_84|444444,2634827:2634846|offset_112|444444&amp;v=2634712:2635046&amp;c=444444", "offset 55")</f>
        <v>offset 55</v>
      </c>
    </row>
    <row r="8371" customFormat="false" ht="12.8" hidden="false" customHeight="false" outlineLevel="0" collapsed="false">
      <c r="A8371" s="0" t="s">
        <v>12</v>
      </c>
      <c r="B8371" s="0" t="n">
        <v>2634854</v>
      </c>
      <c r="C8371" s="0" t="n">
        <v>2634874</v>
      </c>
      <c r="D8371" s="0" t="s">
        <v>27853</v>
      </c>
      <c r="E8371" s="0" t="s">
        <v>75</v>
      </c>
      <c r="F8371" s="0" t="s">
        <v>90</v>
      </c>
      <c r="G8371" s="0" t="s">
        <v>16</v>
      </c>
      <c r="H8371" s="0" t="n">
        <v>84</v>
      </c>
      <c r="I8371" s="0" t="s">
        <v>27860</v>
      </c>
      <c r="J8371" s="0" t="s">
        <v>27861</v>
      </c>
      <c r="K8371" s="0" t="s">
        <v>27862</v>
      </c>
      <c r="L8371" s="0" t="str">
        <f aca="false">HYPERLINK("https://www.ncbi.nlm.nih.gov/nuccore/CP000058.1?report=graph&amp;tracks=[key:gene_model_track,Options:GeneOnly]&amp;mk=2634913:2634932|offset_26|444444,2634884:2634903|offset_55|444444,2634855:2634874|offset_84|00cc00,2634827:2634846|offset_112|444444&amp;v=2634712:2635046&amp;c=444444", "offset 84")</f>
        <v>offset 84</v>
      </c>
    </row>
    <row r="8372" customFormat="false" ht="12.8" hidden="false" customHeight="false" outlineLevel="0" collapsed="false">
      <c r="A8372" s="0" t="s">
        <v>12</v>
      </c>
      <c r="B8372" s="0" t="n">
        <v>2634826</v>
      </c>
      <c r="C8372" s="0" t="n">
        <v>2634846</v>
      </c>
      <c r="D8372" s="0" t="s">
        <v>27853</v>
      </c>
      <c r="E8372" s="0" t="s">
        <v>75</v>
      </c>
      <c r="F8372" s="0" t="s">
        <v>90</v>
      </c>
      <c r="G8372" s="0" t="s">
        <v>16</v>
      </c>
      <c r="H8372" s="0" t="n">
        <v>112</v>
      </c>
      <c r="I8372" s="0" t="s">
        <v>27863</v>
      </c>
      <c r="J8372" s="0" t="s">
        <v>27864</v>
      </c>
      <c r="K8372" s="0" t="s">
        <v>27865</v>
      </c>
      <c r="L8372" s="0" t="str">
        <f aca="false">HYPERLINK("https://www.ncbi.nlm.nih.gov/nuccore/CP000058.1?report=graph&amp;tracks=[key:gene_model_track,Options:GeneOnly]&amp;mk=2634913:2634932|offset_26|444444,2634884:2634903|offset_55|444444,2634855:2634874|offset_84|444444,2634827:2634846|offset_112|00cc00&amp;v=2634712:2635046&amp;c=444444", "offset 112")</f>
        <v>offset 112</v>
      </c>
    </row>
    <row r="8373" customFormat="false" ht="12.8" hidden="false" customHeight="false" outlineLevel="0" collapsed="false">
      <c r="A8373" s="0" t="s">
        <v>12</v>
      </c>
      <c r="B8373" s="0" t="n">
        <v>2638129</v>
      </c>
      <c r="C8373" s="0" t="n">
        <v>2638149</v>
      </c>
      <c r="D8373" s="0" t="s">
        <v>27866</v>
      </c>
      <c r="E8373" s="0" t="s">
        <v>27867</v>
      </c>
      <c r="F8373" s="0" t="s">
        <v>90</v>
      </c>
      <c r="G8373" s="0" t="s">
        <v>16</v>
      </c>
      <c r="H8373" s="0" t="n">
        <v>0</v>
      </c>
      <c r="I8373" s="0" t="s">
        <v>27868</v>
      </c>
      <c r="J8373" s="0" t="s">
        <v>27869</v>
      </c>
      <c r="K8373" s="0" t="s">
        <v>27870</v>
      </c>
      <c r="L8373" s="0" t="str">
        <f aca="false">HYPERLINK("https://www.ncbi.nlm.nih.gov/nuccore/CP000058.1?report=graph&amp;tracks=[key:gene_model_track,Options:GeneOnly]&amp;mk=2638130:2638149|offset_0|00cc00,2638101:2638120|offset_29|444444,2638065:2638084|offset_65|444444,2638038:2638057|offset_92|444444&amp;v=2637929:2638257&amp;c=444444", "offset 0")</f>
        <v>offset 0</v>
      </c>
    </row>
    <row r="8374" customFormat="false" ht="12.8" hidden="false" customHeight="false" outlineLevel="0" collapsed="false">
      <c r="A8374" s="0" t="s">
        <v>12</v>
      </c>
      <c r="B8374" s="0" t="n">
        <v>2638100</v>
      </c>
      <c r="C8374" s="0" t="n">
        <v>2638120</v>
      </c>
      <c r="D8374" s="0" t="s">
        <v>27866</v>
      </c>
      <c r="E8374" s="0" t="s">
        <v>27867</v>
      </c>
      <c r="F8374" s="0" t="s">
        <v>90</v>
      </c>
      <c r="G8374" s="0" t="s">
        <v>16</v>
      </c>
      <c r="H8374" s="0" t="n">
        <v>29</v>
      </c>
      <c r="I8374" s="0" t="s">
        <v>27871</v>
      </c>
      <c r="J8374" s="0" t="s">
        <v>27872</v>
      </c>
      <c r="K8374" s="0" t="s">
        <v>27873</v>
      </c>
      <c r="L8374" s="0" t="str">
        <f aca="false">HYPERLINK("https://www.ncbi.nlm.nih.gov/nuccore/CP000058.1?report=graph&amp;tracks=[key:gene_model_track,Options:GeneOnly]&amp;mk=2638130:2638149|offset_0|444444,2638101:2638120|offset_29|00cc00,2638065:2638084|offset_65|444444,2638038:2638057|offset_92|444444&amp;v=2637929:2638257&amp;c=444444", "offset 29")</f>
        <v>offset 29</v>
      </c>
    </row>
    <row r="8375" customFormat="false" ht="12.8" hidden="false" customHeight="false" outlineLevel="0" collapsed="false">
      <c r="A8375" s="0" t="s">
        <v>12</v>
      </c>
      <c r="B8375" s="0" t="n">
        <v>2638064</v>
      </c>
      <c r="C8375" s="0" t="n">
        <v>2638084</v>
      </c>
      <c r="D8375" s="0" t="s">
        <v>27866</v>
      </c>
      <c r="E8375" s="0" t="s">
        <v>27867</v>
      </c>
      <c r="F8375" s="0" t="s">
        <v>90</v>
      </c>
      <c r="G8375" s="0" t="s">
        <v>20</v>
      </c>
      <c r="H8375" s="0" t="n">
        <v>65</v>
      </c>
      <c r="I8375" s="0" t="s">
        <v>27874</v>
      </c>
      <c r="J8375" s="0" t="s">
        <v>27875</v>
      </c>
      <c r="K8375" s="0" t="s">
        <v>27876</v>
      </c>
      <c r="L8375" s="0" t="str">
        <f aca="false">HYPERLINK("https://www.ncbi.nlm.nih.gov/nuccore/CP000058.1?report=graph&amp;tracks=[key:gene_model_track,Options:GeneOnly]&amp;mk=2638130:2638149|offset_0|444444,2638101:2638120|offset_29|444444,2638065:2638084|offset_65|00cc00,2638038:2638057|offset_92|444444&amp;v=2637929:2638257&amp;c=444444", "offset 65")</f>
        <v>offset 65</v>
      </c>
    </row>
    <row r="8376" customFormat="false" ht="12.8" hidden="false" customHeight="false" outlineLevel="0" collapsed="false">
      <c r="A8376" s="0" t="s">
        <v>12</v>
      </c>
      <c r="B8376" s="0" t="n">
        <v>2638037</v>
      </c>
      <c r="C8376" s="0" t="n">
        <v>2638057</v>
      </c>
      <c r="D8376" s="0" t="s">
        <v>27866</v>
      </c>
      <c r="E8376" s="0" t="s">
        <v>27867</v>
      </c>
      <c r="F8376" s="0" t="s">
        <v>90</v>
      </c>
      <c r="G8376" s="0" t="s">
        <v>32</v>
      </c>
      <c r="H8376" s="0" t="n">
        <v>92</v>
      </c>
      <c r="I8376" s="0" t="s">
        <v>27877</v>
      </c>
      <c r="J8376" s="0" t="s">
        <v>27878</v>
      </c>
      <c r="K8376" s="0" t="s">
        <v>27879</v>
      </c>
      <c r="L8376" s="0" t="str">
        <f aca="false">HYPERLINK("https://www.ncbi.nlm.nih.gov/nuccore/CP000058.1?report=graph&amp;tracks=[key:gene_model_track,Options:GeneOnly]&amp;mk=2638130:2638149|offset_0|444444,2638101:2638120|offset_29|444444,2638065:2638084|offset_65|444444,2638038:2638057|offset_92|00cc00&amp;v=2637929:2638257&amp;c=444444", "offset 92")</f>
        <v>offset 92</v>
      </c>
    </row>
    <row r="8377" customFormat="false" ht="12.8" hidden="false" customHeight="false" outlineLevel="0" collapsed="false">
      <c r="A8377" s="0" t="s">
        <v>12</v>
      </c>
      <c r="B8377" s="0" t="n">
        <v>2639382</v>
      </c>
      <c r="C8377" s="0" t="n">
        <v>2639402</v>
      </c>
      <c r="D8377" s="0" t="s">
        <v>27880</v>
      </c>
      <c r="E8377" s="0" t="s">
        <v>27881</v>
      </c>
      <c r="F8377" s="0" t="s">
        <v>90</v>
      </c>
      <c r="G8377" s="0" t="s">
        <v>32</v>
      </c>
      <c r="H8377" s="0" t="n">
        <v>1</v>
      </c>
      <c r="I8377" s="0" t="s">
        <v>27882</v>
      </c>
      <c r="J8377" s="0" t="s">
        <v>27883</v>
      </c>
      <c r="K8377" s="0" t="s">
        <v>27884</v>
      </c>
      <c r="L8377" s="0" t="str">
        <f aca="false">HYPERLINK("https://www.ncbi.nlm.nih.gov/nuccore/CP000058.1?report=graph&amp;tracks=[key:gene_model_track,Options:GeneOnly]&amp;mk=2639383:2639402|offset_1|00cc00,2639352:2639371|offset_32|444444,2639310:2639329|offset_74|444444,2639285:2639304|offset_99|444444&amp;v=2639182:2639504&amp;c=444444", "offset 1")</f>
        <v>offset 1</v>
      </c>
    </row>
    <row r="8378" customFormat="false" ht="12.8" hidden="false" customHeight="false" outlineLevel="0" collapsed="false">
      <c r="A8378" s="0" t="s">
        <v>12</v>
      </c>
      <c r="B8378" s="0" t="n">
        <v>2639351</v>
      </c>
      <c r="C8378" s="0" t="n">
        <v>2639371</v>
      </c>
      <c r="D8378" s="0" t="s">
        <v>27880</v>
      </c>
      <c r="E8378" s="0" t="s">
        <v>27881</v>
      </c>
      <c r="F8378" s="0" t="s">
        <v>90</v>
      </c>
      <c r="G8378" s="0" t="s">
        <v>36</v>
      </c>
      <c r="H8378" s="0" t="n">
        <v>32</v>
      </c>
      <c r="I8378" s="0" t="s">
        <v>27885</v>
      </c>
      <c r="J8378" s="0" t="s">
        <v>27886</v>
      </c>
      <c r="K8378" s="0" t="s">
        <v>27887</v>
      </c>
      <c r="L8378" s="0" t="str">
        <f aca="false">HYPERLINK("https://www.ncbi.nlm.nih.gov/nuccore/CP000058.1?report=graph&amp;tracks=[key:gene_model_track,Options:GeneOnly]&amp;mk=2639383:2639402|offset_1|444444,2639352:2639371|offset_32|00cc00,2639310:2639329|offset_74|444444,2639285:2639304|offset_99|444444&amp;v=2639182:2639504&amp;c=444444", "offset 32")</f>
        <v>offset 32</v>
      </c>
    </row>
    <row r="8379" customFormat="false" ht="12.8" hidden="false" customHeight="false" outlineLevel="0" collapsed="false">
      <c r="A8379" s="0" t="s">
        <v>12</v>
      </c>
      <c r="B8379" s="0" t="n">
        <v>2639309</v>
      </c>
      <c r="C8379" s="0" t="n">
        <v>2639329</v>
      </c>
      <c r="D8379" s="0" t="s">
        <v>27880</v>
      </c>
      <c r="E8379" s="0" t="s">
        <v>27881</v>
      </c>
      <c r="F8379" s="0" t="s">
        <v>90</v>
      </c>
      <c r="G8379" s="0" t="s">
        <v>16</v>
      </c>
      <c r="H8379" s="0" t="n">
        <v>74</v>
      </c>
      <c r="I8379" s="0" t="s">
        <v>27888</v>
      </c>
      <c r="J8379" s="0" t="s">
        <v>27889</v>
      </c>
      <c r="K8379" s="0" t="s">
        <v>27890</v>
      </c>
      <c r="L8379" s="0" t="str">
        <f aca="false">HYPERLINK("https://www.ncbi.nlm.nih.gov/nuccore/CP000058.1?report=graph&amp;tracks=[key:gene_model_track,Options:GeneOnly]&amp;mk=2639383:2639402|offset_1|444444,2639352:2639371|offset_32|444444,2639310:2639329|offset_74|00cc00,2639285:2639304|offset_99|444444&amp;v=2639182:2639504&amp;c=444444", "offset 74")</f>
        <v>offset 74</v>
      </c>
    </row>
    <row r="8380" customFormat="false" ht="12.8" hidden="false" customHeight="false" outlineLevel="0" collapsed="false">
      <c r="A8380" s="0" t="s">
        <v>12</v>
      </c>
      <c r="B8380" s="0" t="n">
        <v>2639284</v>
      </c>
      <c r="C8380" s="0" t="n">
        <v>2639304</v>
      </c>
      <c r="D8380" s="0" t="s">
        <v>27880</v>
      </c>
      <c r="E8380" s="0" t="s">
        <v>27881</v>
      </c>
      <c r="F8380" s="0" t="s">
        <v>90</v>
      </c>
      <c r="G8380" s="0" t="s">
        <v>20</v>
      </c>
      <c r="H8380" s="0" t="n">
        <v>99</v>
      </c>
      <c r="I8380" s="0" t="s">
        <v>27891</v>
      </c>
      <c r="J8380" s="0" t="s">
        <v>27892</v>
      </c>
      <c r="K8380" s="0" t="s">
        <v>27893</v>
      </c>
      <c r="L8380" s="0" t="str">
        <f aca="false">HYPERLINK("https://www.ncbi.nlm.nih.gov/nuccore/CP000058.1?report=graph&amp;tracks=[key:gene_model_track,Options:GeneOnly]&amp;mk=2639383:2639402|offset_1|444444,2639352:2639371|offset_32|444444,2639310:2639329|offset_74|444444,2639285:2639304|offset_99|00cc00&amp;v=2639182:2639504&amp;c=444444", "offset 99")</f>
        <v>offset 99</v>
      </c>
    </row>
    <row r="8381" customFormat="false" ht="12.8" hidden="false" customHeight="false" outlineLevel="0" collapsed="false">
      <c r="A8381" s="0" t="s">
        <v>12</v>
      </c>
      <c r="B8381" s="0" t="n">
        <v>2639809</v>
      </c>
      <c r="C8381" s="0" t="n">
        <v>2639829</v>
      </c>
      <c r="D8381" s="0" t="s">
        <v>27894</v>
      </c>
      <c r="E8381" s="0" t="s">
        <v>75</v>
      </c>
      <c r="F8381" s="0" t="s">
        <v>15</v>
      </c>
      <c r="G8381" s="0" t="s">
        <v>16</v>
      </c>
      <c r="H8381" s="0" t="n">
        <v>91</v>
      </c>
      <c r="I8381" s="0" t="s">
        <v>27895</v>
      </c>
      <c r="J8381" s="0" t="s">
        <v>27896</v>
      </c>
      <c r="K8381" s="0" t="s">
        <v>27897</v>
      </c>
      <c r="L8381" s="0" t="str">
        <f aca="false">HYPERLINK("https://www.ncbi.nlm.nih.gov/nuccore/CP000058.1?report=graph&amp;tracks=[key:gene_model_track,Options:GeneOnly]&amp;mk=2639810:2639829|offset_91|00cc00,2639864:2639883|offset_145|444444,2639898:2639917|offset_179|444444,2639918:2639937|offset_199|444444&amp;v=2639609:2640137&amp;c=444444", "offset 91")</f>
        <v>offset 91</v>
      </c>
    </row>
    <row r="8382" customFormat="false" ht="12.8" hidden="false" customHeight="false" outlineLevel="0" collapsed="false">
      <c r="A8382" s="0" t="s">
        <v>12</v>
      </c>
      <c r="B8382" s="0" t="n">
        <v>2639863</v>
      </c>
      <c r="C8382" s="0" t="n">
        <v>2639883</v>
      </c>
      <c r="D8382" s="0" t="s">
        <v>27894</v>
      </c>
      <c r="E8382" s="0" t="s">
        <v>75</v>
      </c>
      <c r="F8382" s="0" t="s">
        <v>15</v>
      </c>
      <c r="G8382" s="0" t="s">
        <v>32</v>
      </c>
      <c r="H8382" s="0" t="n">
        <v>145</v>
      </c>
      <c r="I8382" s="0" t="s">
        <v>27898</v>
      </c>
      <c r="J8382" s="0" t="s">
        <v>27899</v>
      </c>
      <c r="K8382" s="0" t="s">
        <v>27900</v>
      </c>
      <c r="L8382" s="0" t="str">
        <f aca="false">HYPERLINK("https://www.ncbi.nlm.nih.gov/nuccore/CP000058.1?report=graph&amp;tracks=[key:gene_model_track,Options:GeneOnly]&amp;mk=2639810:2639829|offset_91|444444,2639864:2639883|offset_145|00cc00,2639898:2639917|offset_179|444444,2639918:2639937|offset_199|444444&amp;v=2639609:2640137&amp;c=444444", "offset 145")</f>
        <v>offset 145</v>
      </c>
    </row>
    <row r="8383" customFormat="false" ht="12.8" hidden="false" customHeight="false" outlineLevel="0" collapsed="false">
      <c r="A8383" s="0" t="s">
        <v>12</v>
      </c>
      <c r="B8383" s="0" t="n">
        <v>2639897</v>
      </c>
      <c r="C8383" s="0" t="n">
        <v>2639917</v>
      </c>
      <c r="D8383" s="0" t="s">
        <v>27894</v>
      </c>
      <c r="E8383" s="0" t="s">
        <v>75</v>
      </c>
      <c r="F8383" s="0" t="s">
        <v>15</v>
      </c>
      <c r="G8383" s="0" t="s">
        <v>20</v>
      </c>
      <c r="H8383" s="0" t="n">
        <v>179</v>
      </c>
      <c r="I8383" s="0" t="s">
        <v>27901</v>
      </c>
      <c r="J8383" s="0" t="s">
        <v>27902</v>
      </c>
      <c r="K8383" s="0" t="s">
        <v>27903</v>
      </c>
      <c r="L8383" s="0" t="str">
        <f aca="false">HYPERLINK("https://www.ncbi.nlm.nih.gov/nuccore/CP000058.1?report=graph&amp;tracks=[key:gene_model_track,Options:GeneOnly]&amp;mk=2639810:2639829|offset_91|444444,2639864:2639883|offset_145|444444,2639898:2639917|offset_179|00cc00,2639918:2639937|offset_199|444444&amp;v=2639609:2640137&amp;c=444444", "offset 179")</f>
        <v>offset 179</v>
      </c>
    </row>
    <row r="8384" customFormat="false" ht="12.8" hidden="false" customHeight="false" outlineLevel="0" collapsed="false">
      <c r="A8384" s="0" t="s">
        <v>12</v>
      </c>
      <c r="B8384" s="0" t="n">
        <v>2639917</v>
      </c>
      <c r="C8384" s="0" t="n">
        <v>2639937</v>
      </c>
      <c r="D8384" s="0" t="s">
        <v>27894</v>
      </c>
      <c r="E8384" s="0" t="s">
        <v>75</v>
      </c>
      <c r="F8384" s="0" t="s">
        <v>15</v>
      </c>
      <c r="G8384" s="0" t="s">
        <v>20</v>
      </c>
      <c r="H8384" s="0" t="n">
        <v>199</v>
      </c>
      <c r="I8384" s="0" t="s">
        <v>27904</v>
      </c>
      <c r="J8384" s="0" t="s">
        <v>27905</v>
      </c>
      <c r="K8384" s="0" t="s">
        <v>27906</v>
      </c>
      <c r="L8384" s="0" t="str">
        <f aca="false">HYPERLINK("https://www.ncbi.nlm.nih.gov/nuccore/CP000058.1?report=graph&amp;tracks=[key:gene_model_track,Options:GeneOnly]&amp;mk=2639810:2639829|offset_91|444444,2639864:2639883|offset_145|444444,2639898:2639917|offset_179|444444,2639918:2639937|offset_199|00cc00&amp;v=2639609:2640137&amp;c=444444", "offset 199")</f>
        <v>offset 199</v>
      </c>
    </row>
    <row r="8385" customFormat="false" ht="12.8" hidden="false" customHeight="false" outlineLevel="0" collapsed="false">
      <c r="A8385" s="0" t="s">
        <v>12</v>
      </c>
      <c r="B8385" s="0" t="n">
        <v>2642470</v>
      </c>
      <c r="C8385" s="0" t="n">
        <v>2642490</v>
      </c>
      <c r="D8385" s="0" t="s">
        <v>27907</v>
      </c>
      <c r="E8385" s="0" t="s">
        <v>27908</v>
      </c>
      <c r="F8385" s="0" t="s">
        <v>90</v>
      </c>
      <c r="G8385" s="0" t="s">
        <v>16</v>
      </c>
      <c r="H8385" s="0" t="n">
        <v>22</v>
      </c>
      <c r="I8385" s="0" t="s">
        <v>27909</v>
      </c>
      <c r="J8385" s="0" t="s">
        <v>27910</v>
      </c>
      <c r="K8385" s="0" t="s">
        <v>27911</v>
      </c>
      <c r="L8385" s="0" t="str">
        <f aca="false">HYPERLINK("https://www.ncbi.nlm.nih.gov/nuccore/CP000058.1?report=graph&amp;tracks=[key:gene_model_track,Options:GeneOnly]&amp;mk=2642471:2642490|offset_22|00cc00,2642410:2642429|offset_83|444444,2642383:2642402|offset_110|444444,2642354:2642373|offset_139|444444&amp;v=2642270:2642573&amp;c=444444", "offset 22")</f>
        <v>offset 22</v>
      </c>
    </row>
    <row r="8386" customFormat="false" ht="12.8" hidden="false" customHeight="false" outlineLevel="0" collapsed="false">
      <c r="A8386" s="0" t="s">
        <v>12</v>
      </c>
      <c r="B8386" s="0" t="n">
        <v>2642409</v>
      </c>
      <c r="C8386" s="0" t="n">
        <v>2642429</v>
      </c>
      <c r="D8386" s="0" t="s">
        <v>27907</v>
      </c>
      <c r="E8386" s="0" t="s">
        <v>27908</v>
      </c>
      <c r="F8386" s="0" t="s">
        <v>90</v>
      </c>
      <c r="G8386" s="0" t="s">
        <v>16</v>
      </c>
      <c r="H8386" s="0" t="n">
        <v>83</v>
      </c>
      <c r="I8386" s="0" t="s">
        <v>27912</v>
      </c>
      <c r="J8386" s="0" t="s">
        <v>27913</v>
      </c>
      <c r="K8386" s="0" t="s">
        <v>27914</v>
      </c>
      <c r="L8386" s="0" t="str">
        <f aca="false">HYPERLINK("https://www.ncbi.nlm.nih.gov/nuccore/CP000058.1?report=graph&amp;tracks=[key:gene_model_track,Options:GeneOnly]&amp;mk=2642471:2642490|offset_22|444444,2642410:2642429|offset_83|00cc00,2642383:2642402|offset_110|444444,2642354:2642373|offset_139|444444&amp;v=2642270:2642573&amp;c=444444", "offset 83")</f>
        <v>offset 83</v>
      </c>
    </row>
    <row r="8387" customFormat="false" ht="12.8" hidden="false" customHeight="false" outlineLevel="0" collapsed="false">
      <c r="A8387" s="0" t="s">
        <v>12</v>
      </c>
      <c r="B8387" s="0" t="n">
        <v>2642382</v>
      </c>
      <c r="C8387" s="0" t="n">
        <v>2642402</v>
      </c>
      <c r="D8387" s="0" t="s">
        <v>27907</v>
      </c>
      <c r="E8387" s="0" t="s">
        <v>27908</v>
      </c>
      <c r="F8387" s="0" t="s">
        <v>90</v>
      </c>
      <c r="G8387" s="0" t="s">
        <v>20</v>
      </c>
      <c r="H8387" s="0" t="n">
        <v>110</v>
      </c>
      <c r="I8387" s="0" t="s">
        <v>27915</v>
      </c>
      <c r="J8387" s="0" t="s">
        <v>27916</v>
      </c>
      <c r="K8387" s="0" t="s">
        <v>27917</v>
      </c>
      <c r="L8387" s="0" t="str">
        <f aca="false">HYPERLINK("https://www.ncbi.nlm.nih.gov/nuccore/CP000058.1?report=graph&amp;tracks=[key:gene_model_track,Options:GeneOnly]&amp;mk=2642471:2642490|offset_22|444444,2642410:2642429|offset_83|444444,2642383:2642402|offset_110|00cc00,2642354:2642373|offset_139|444444&amp;v=2642270:2642573&amp;c=444444", "offset 110")</f>
        <v>offset 110</v>
      </c>
    </row>
    <row r="8388" customFormat="false" ht="12.8" hidden="false" customHeight="false" outlineLevel="0" collapsed="false">
      <c r="A8388" s="0" t="s">
        <v>12</v>
      </c>
      <c r="B8388" s="0" t="n">
        <v>2642353</v>
      </c>
      <c r="C8388" s="0" t="n">
        <v>2642373</v>
      </c>
      <c r="D8388" s="0" t="s">
        <v>27907</v>
      </c>
      <c r="E8388" s="0" t="s">
        <v>27908</v>
      </c>
      <c r="F8388" s="0" t="s">
        <v>90</v>
      </c>
      <c r="G8388" s="0" t="s">
        <v>20</v>
      </c>
      <c r="H8388" s="0" t="n">
        <v>139</v>
      </c>
      <c r="I8388" s="0" t="s">
        <v>27918</v>
      </c>
      <c r="J8388" s="0" t="s">
        <v>27919</v>
      </c>
      <c r="K8388" s="0" t="s">
        <v>27920</v>
      </c>
      <c r="L8388" s="0" t="str">
        <f aca="false">HYPERLINK("https://www.ncbi.nlm.nih.gov/nuccore/CP000058.1?report=graph&amp;tracks=[key:gene_model_track,Options:GeneOnly]&amp;mk=2642471:2642490|offset_22|444444,2642410:2642429|offset_83|444444,2642383:2642402|offset_110|444444,2642354:2642373|offset_139|00cc00&amp;v=2642270:2642573&amp;c=444444", "offset 139")</f>
        <v>offset 139</v>
      </c>
    </row>
    <row r="8389" customFormat="false" ht="12.8" hidden="false" customHeight="false" outlineLevel="0" collapsed="false">
      <c r="A8389" s="0" t="s">
        <v>12</v>
      </c>
      <c r="B8389" s="0" t="n">
        <v>2643110</v>
      </c>
      <c r="C8389" s="0" t="n">
        <v>2643130</v>
      </c>
      <c r="D8389" s="0" t="s">
        <v>27921</v>
      </c>
      <c r="E8389" s="0" t="s">
        <v>75</v>
      </c>
      <c r="F8389" s="0" t="s">
        <v>90</v>
      </c>
      <c r="G8389" s="0" t="s">
        <v>20</v>
      </c>
      <c r="H8389" s="0" t="n">
        <v>25</v>
      </c>
      <c r="I8389" s="0" t="s">
        <v>27922</v>
      </c>
      <c r="J8389" s="0" t="s">
        <v>27923</v>
      </c>
      <c r="K8389" s="0" t="s">
        <v>27924</v>
      </c>
      <c r="L8389" s="0" t="str">
        <f aca="false">HYPERLINK("https://www.ncbi.nlm.nih.gov/nuccore/CP000058.1?report=graph&amp;tracks=[key:gene_model_track,Options:GeneOnly]&amp;mk=2643111:2643130|offset_25|00cc00,2643069:2643088|offset_67|444444,2643044:2643063|offset_92|444444,2643017:2643036|offset_119|444444&amp;v=2642910:2643236&amp;c=444444", "offset 25")</f>
        <v>offset 25</v>
      </c>
    </row>
    <row r="8390" customFormat="false" ht="12.8" hidden="false" customHeight="false" outlineLevel="0" collapsed="false">
      <c r="A8390" s="0" t="s">
        <v>12</v>
      </c>
      <c r="B8390" s="0" t="n">
        <v>2643068</v>
      </c>
      <c r="C8390" s="0" t="n">
        <v>2643088</v>
      </c>
      <c r="D8390" s="0" t="s">
        <v>27921</v>
      </c>
      <c r="E8390" s="0" t="s">
        <v>75</v>
      </c>
      <c r="F8390" s="0" t="s">
        <v>90</v>
      </c>
      <c r="G8390" s="0" t="s">
        <v>16</v>
      </c>
      <c r="H8390" s="0" t="n">
        <v>67</v>
      </c>
      <c r="I8390" s="0" t="s">
        <v>27925</v>
      </c>
      <c r="J8390" s="0" t="s">
        <v>27926</v>
      </c>
      <c r="K8390" s="0" t="s">
        <v>27927</v>
      </c>
      <c r="L8390" s="0" t="str">
        <f aca="false">HYPERLINK("https://www.ncbi.nlm.nih.gov/nuccore/CP000058.1?report=graph&amp;tracks=[key:gene_model_track,Options:GeneOnly]&amp;mk=2643111:2643130|offset_25|444444,2643069:2643088|offset_67|00cc00,2643044:2643063|offset_92|444444,2643017:2643036|offset_119|444444&amp;v=2642910:2643236&amp;c=444444", "offset 67")</f>
        <v>offset 67</v>
      </c>
    </row>
    <row r="8391" customFormat="false" ht="12.8" hidden="false" customHeight="false" outlineLevel="0" collapsed="false">
      <c r="A8391" s="0" t="s">
        <v>12</v>
      </c>
      <c r="B8391" s="0" t="n">
        <v>2643043</v>
      </c>
      <c r="C8391" s="0" t="n">
        <v>2643063</v>
      </c>
      <c r="D8391" s="0" t="s">
        <v>27921</v>
      </c>
      <c r="E8391" s="0" t="s">
        <v>75</v>
      </c>
      <c r="F8391" s="0" t="s">
        <v>90</v>
      </c>
      <c r="G8391" s="0" t="s">
        <v>20</v>
      </c>
      <c r="H8391" s="0" t="n">
        <v>92</v>
      </c>
      <c r="I8391" s="0" t="s">
        <v>27928</v>
      </c>
      <c r="J8391" s="0" t="s">
        <v>27929</v>
      </c>
      <c r="K8391" s="0" t="s">
        <v>27930</v>
      </c>
      <c r="L8391" s="0" t="str">
        <f aca="false">HYPERLINK("https://www.ncbi.nlm.nih.gov/nuccore/CP000058.1?report=graph&amp;tracks=[key:gene_model_track,Options:GeneOnly]&amp;mk=2643111:2643130|offset_25|444444,2643069:2643088|offset_67|444444,2643044:2643063|offset_92|00cc00,2643017:2643036|offset_119|444444&amp;v=2642910:2643236&amp;c=444444", "offset 92")</f>
        <v>offset 92</v>
      </c>
    </row>
    <row r="8392" customFormat="false" ht="12.8" hidden="false" customHeight="false" outlineLevel="0" collapsed="false">
      <c r="A8392" s="0" t="s">
        <v>12</v>
      </c>
      <c r="B8392" s="0" t="n">
        <v>2643016</v>
      </c>
      <c r="C8392" s="0" t="n">
        <v>2643036</v>
      </c>
      <c r="D8392" s="0" t="s">
        <v>27921</v>
      </c>
      <c r="E8392" s="0" t="s">
        <v>75</v>
      </c>
      <c r="F8392" s="0" t="s">
        <v>90</v>
      </c>
      <c r="G8392" s="0" t="s">
        <v>20</v>
      </c>
      <c r="H8392" s="0" t="n">
        <v>119</v>
      </c>
      <c r="I8392" s="0" t="s">
        <v>27931</v>
      </c>
      <c r="J8392" s="0" t="s">
        <v>27932</v>
      </c>
      <c r="K8392" s="0" t="s">
        <v>27933</v>
      </c>
      <c r="L8392" s="0" t="str">
        <f aca="false">HYPERLINK("https://www.ncbi.nlm.nih.gov/nuccore/CP000058.1?report=graph&amp;tracks=[key:gene_model_track,Options:GeneOnly]&amp;mk=2643111:2643130|offset_25|444444,2643069:2643088|offset_67|444444,2643044:2643063|offset_92|444444,2643017:2643036|offset_119|00cc00&amp;v=2642910:2643236&amp;c=444444", "offset 119")</f>
        <v>offset 119</v>
      </c>
    </row>
    <row r="8393" customFormat="false" ht="12.8" hidden="false" customHeight="false" outlineLevel="0" collapsed="false">
      <c r="A8393" s="0" t="s">
        <v>12</v>
      </c>
      <c r="B8393" s="0" t="n">
        <v>2643815</v>
      </c>
      <c r="C8393" s="0" t="n">
        <v>2643835</v>
      </c>
      <c r="D8393" s="0" t="s">
        <v>27934</v>
      </c>
      <c r="E8393" s="0" t="s">
        <v>75</v>
      </c>
      <c r="F8393" s="0" t="s">
        <v>90</v>
      </c>
      <c r="G8393" s="0" t="s">
        <v>32</v>
      </c>
      <c r="H8393" s="0" t="n">
        <v>1</v>
      </c>
      <c r="I8393" s="0" t="s">
        <v>27935</v>
      </c>
      <c r="J8393" s="0" t="s">
        <v>27936</v>
      </c>
      <c r="K8393" s="0" t="s">
        <v>27937</v>
      </c>
      <c r="L8393" s="0" t="str">
        <f aca="false">HYPERLINK("https://www.ncbi.nlm.nih.gov/nuccore/CP000058.1?report=graph&amp;tracks=[key:gene_model_track,Options:GeneOnly]&amp;mk=2643816:2643835|offset_1|00cc00,2643786:2643805|offset_31|444444,2643759:2643778|offset_58|444444,2643684:2643703|offset_133|444444&amp;v=2643615:2643903&amp;c=444444", "offset 1")</f>
        <v>offset 1</v>
      </c>
    </row>
    <row r="8394" customFormat="false" ht="12.8" hidden="false" customHeight="false" outlineLevel="0" collapsed="false">
      <c r="A8394" s="0" t="s">
        <v>12</v>
      </c>
      <c r="B8394" s="0" t="n">
        <v>2643785</v>
      </c>
      <c r="C8394" s="0" t="n">
        <v>2643805</v>
      </c>
      <c r="D8394" s="0" t="s">
        <v>27934</v>
      </c>
      <c r="E8394" s="0" t="s">
        <v>75</v>
      </c>
      <c r="F8394" s="0" t="s">
        <v>90</v>
      </c>
      <c r="G8394" s="0" t="s">
        <v>16</v>
      </c>
      <c r="H8394" s="0" t="n">
        <v>31</v>
      </c>
      <c r="I8394" s="0" t="s">
        <v>27938</v>
      </c>
      <c r="J8394" s="0" t="s">
        <v>27939</v>
      </c>
      <c r="K8394" s="0" t="s">
        <v>27940</v>
      </c>
      <c r="L8394" s="0" t="str">
        <f aca="false">HYPERLINK("https://www.ncbi.nlm.nih.gov/nuccore/CP000058.1?report=graph&amp;tracks=[key:gene_model_track,Options:GeneOnly]&amp;mk=2643816:2643835|offset_1|444444,2643786:2643805|offset_31|00cc00,2643759:2643778|offset_58|444444,2643684:2643703|offset_133|444444&amp;v=2643615:2643903&amp;c=444444", "offset 31")</f>
        <v>offset 31</v>
      </c>
    </row>
    <row r="8395" customFormat="false" ht="12.8" hidden="false" customHeight="false" outlineLevel="0" collapsed="false">
      <c r="A8395" s="0" t="s">
        <v>12</v>
      </c>
      <c r="B8395" s="0" t="n">
        <v>2643758</v>
      </c>
      <c r="C8395" s="0" t="n">
        <v>2643778</v>
      </c>
      <c r="D8395" s="0" t="s">
        <v>27934</v>
      </c>
      <c r="E8395" s="0" t="s">
        <v>75</v>
      </c>
      <c r="F8395" s="0" t="s">
        <v>90</v>
      </c>
      <c r="G8395" s="0" t="s">
        <v>36</v>
      </c>
      <c r="H8395" s="0" t="n">
        <v>58</v>
      </c>
      <c r="I8395" s="0" t="s">
        <v>27941</v>
      </c>
      <c r="J8395" s="0" t="s">
        <v>27942</v>
      </c>
      <c r="K8395" s="0" t="s">
        <v>27943</v>
      </c>
      <c r="L8395" s="0" t="str">
        <f aca="false">HYPERLINK("https://www.ncbi.nlm.nih.gov/nuccore/CP000058.1?report=graph&amp;tracks=[key:gene_model_track,Options:GeneOnly]&amp;mk=2643816:2643835|offset_1|444444,2643786:2643805|offset_31|444444,2643759:2643778|offset_58|00cc00,2643684:2643703|offset_133|444444&amp;v=2643615:2643903&amp;c=444444", "offset 58")</f>
        <v>offset 58</v>
      </c>
    </row>
    <row r="8396" customFormat="false" ht="12.8" hidden="false" customHeight="false" outlineLevel="0" collapsed="false">
      <c r="A8396" s="0" t="s">
        <v>12</v>
      </c>
      <c r="B8396" s="0" t="n">
        <v>2643683</v>
      </c>
      <c r="C8396" s="0" t="n">
        <v>2643703</v>
      </c>
      <c r="D8396" s="0" t="s">
        <v>27934</v>
      </c>
      <c r="E8396" s="0" t="s">
        <v>75</v>
      </c>
      <c r="F8396" s="0" t="s">
        <v>90</v>
      </c>
      <c r="G8396" s="0" t="s">
        <v>36</v>
      </c>
      <c r="H8396" s="0" t="n">
        <v>133</v>
      </c>
      <c r="I8396" s="0" t="s">
        <v>27944</v>
      </c>
      <c r="J8396" s="0" t="s">
        <v>27945</v>
      </c>
      <c r="K8396" s="0" t="s">
        <v>27946</v>
      </c>
      <c r="L8396" s="0" t="str">
        <f aca="false">HYPERLINK("https://www.ncbi.nlm.nih.gov/nuccore/CP000058.1?report=graph&amp;tracks=[key:gene_model_track,Options:GeneOnly]&amp;mk=2643816:2643835|offset_1|444444,2643786:2643805|offset_31|444444,2643759:2643778|offset_58|444444,2643684:2643703|offset_133|00cc00&amp;v=2643615:2643903&amp;c=444444", "offset 133")</f>
        <v>offset 133</v>
      </c>
    </row>
    <row r="8397" customFormat="false" ht="12.8" hidden="false" customHeight="false" outlineLevel="0" collapsed="false">
      <c r="A8397" s="0" t="s">
        <v>12</v>
      </c>
      <c r="B8397" s="0" t="n">
        <v>2644729</v>
      </c>
      <c r="C8397" s="0" t="n">
        <v>2644749</v>
      </c>
      <c r="D8397" s="0" t="s">
        <v>27947</v>
      </c>
      <c r="E8397" s="0" t="s">
        <v>75</v>
      </c>
      <c r="F8397" s="0" t="s">
        <v>90</v>
      </c>
      <c r="G8397" s="0" t="s">
        <v>36</v>
      </c>
      <c r="H8397" s="0" t="n">
        <v>17</v>
      </c>
      <c r="I8397" s="0" t="s">
        <v>27948</v>
      </c>
      <c r="J8397" s="0" t="s">
        <v>27949</v>
      </c>
      <c r="K8397" s="0" t="s">
        <v>27950</v>
      </c>
      <c r="L8397" s="0" t="str">
        <f aca="false">HYPERLINK("https://www.ncbi.nlm.nih.gov/nuccore/CP000058.1?report=graph&amp;tracks=[key:gene_model_track,Options:GeneOnly]&amp;mk=2644730:2644749|offset_17|00cc00,2644683:2644702|offset_64|444444,2644659:2644678|offset_88|444444,2644623:2644642|offset_124|444444&amp;v=2644529:2644842&amp;c=444444", "offset 17")</f>
        <v>offset 17</v>
      </c>
    </row>
    <row r="8398" customFormat="false" ht="12.8" hidden="false" customHeight="false" outlineLevel="0" collapsed="false">
      <c r="A8398" s="0" t="s">
        <v>12</v>
      </c>
      <c r="B8398" s="0" t="n">
        <v>2644682</v>
      </c>
      <c r="C8398" s="0" t="n">
        <v>2644702</v>
      </c>
      <c r="D8398" s="0" t="s">
        <v>27947</v>
      </c>
      <c r="E8398" s="0" t="s">
        <v>75</v>
      </c>
      <c r="F8398" s="0" t="s">
        <v>90</v>
      </c>
      <c r="G8398" s="0" t="s">
        <v>16</v>
      </c>
      <c r="H8398" s="0" t="n">
        <v>64</v>
      </c>
      <c r="I8398" s="0" t="s">
        <v>27951</v>
      </c>
      <c r="J8398" s="0" t="s">
        <v>27952</v>
      </c>
      <c r="K8398" s="0" t="s">
        <v>27953</v>
      </c>
      <c r="L8398" s="0" t="str">
        <f aca="false">HYPERLINK("https://www.ncbi.nlm.nih.gov/nuccore/CP000058.1?report=graph&amp;tracks=[key:gene_model_track,Options:GeneOnly]&amp;mk=2644730:2644749|offset_17|444444,2644683:2644702|offset_64|00cc00,2644659:2644678|offset_88|444444,2644623:2644642|offset_124|444444&amp;v=2644529:2644842&amp;c=444444", "offset 64")</f>
        <v>offset 64</v>
      </c>
    </row>
    <row r="8399" customFormat="false" ht="12.8" hidden="false" customHeight="false" outlineLevel="0" collapsed="false">
      <c r="A8399" s="0" t="s">
        <v>12</v>
      </c>
      <c r="B8399" s="0" t="n">
        <v>2644658</v>
      </c>
      <c r="C8399" s="0" t="n">
        <v>2644678</v>
      </c>
      <c r="D8399" s="0" t="s">
        <v>27947</v>
      </c>
      <c r="E8399" s="0" t="s">
        <v>75</v>
      </c>
      <c r="F8399" s="0" t="s">
        <v>90</v>
      </c>
      <c r="G8399" s="0" t="s">
        <v>16</v>
      </c>
      <c r="H8399" s="0" t="n">
        <v>88</v>
      </c>
      <c r="I8399" s="0" t="s">
        <v>27954</v>
      </c>
      <c r="J8399" s="0" t="s">
        <v>27955</v>
      </c>
      <c r="K8399" s="0" t="s">
        <v>27956</v>
      </c>
      <c r="L8399" s="0" t="str">
        <f aca="false">HYPERLINK("https://www.ncbi.nlm.nih.gov/nuccore/CP000058.1?report=graph&amp;tracks=[key:gene_model_track,Options:GeneOnly]&amp;mk=2644730:2644749|offset_17|444444,2644683:2644702|offset_64|444444,2644659:2644678|offset_88|00cc00,2644623:2644642|offset_124|444444&amp;v=2644529:2644842&amp;c=444444", "offset 88")</f>
        <v>offset 88</v>
      </c>
    </row>
    <row r="8400" customFormat="false" ht="12.8" hidden="false" customHeight="false" outlineLevel="0" collapsed="false">
      <c r="A8400" s="0" t="s">
        <v>12</v>
      </c>
      <c r="B8400" s="0" t="n">
        <v>2644622</v>
      </c>
      <c r="C8400" s="0" t="n">
        <v>2644642</v>
      </c>
      <c r="D8400" s="0" t="s">
        <v>27947</v>
      </c>
      <c r="E8400" s="0" t="s">
        <v>75</v>
      </c>
      <c r="F8400" s="0" t="s">
        <v>90</v>
      </c>
      <c r="G8400" s="0" t="s">
        <v>16</v>
      </c>
      <c r="H8400" s="0" t="n">
        <v>124</v>
      </c>
      <c r="I8400" s="0" t="s">
        <v>27957</v>
      </c>
      <c r="J8400" s="0" t="s">
        <v>27958</v>
      </c>
      <c r="K8400" s="0" t="s">
        <v>27959</v>
      </c>
      <c r="L8400" s="0" t="str">
        <f aca="false">HYPERLINK("https://www.ncbi.nlm.nih.gov/nuccore/CP000058.1?report=graph&amp;tracks=[key:gene_model_track,Options:GeneOnly]&amp;mk=2644730:2644749|offset_17|444444,2644683:2644702|offset_64|444444,2644659:2644678|offset_88|444444,2644623:2644642|offset_124|00cc00&amp;v=2644529:2644842&amp;c=444444", "offset 124")</f>
        <v>offset 124</v>
      </c>
    </row>
    <row r="8401" customFormat="false" ht="12.8" hidden="false" customHeight="false" outlineLevel="0" collapsed="false">
      <c r="A8401" s="0" t="s">
        <v>12</v>
      </c>
      <c r="B8401" s="0" t="n">
        <v>2645115</v>
      </c>
      <c r="C8401" s="0" t="n">
        <v>2645135</v>
      </c>
      <c r="D8401" s="0" t="s">
        <v>27960</v>
      </c>
      <c r="E8401" s="0" t="s">
        <v>75</v>
      </c>
      <c r="F8401" s="0" t="s">
        <v>15</v>
      </c>
      <c r="G8401" s="0" t="s">
        <v>36</v>
      </c>
      <c r="H8401" s="0" t="n">
        <v>0</v>
      </c>
      <c r="I8401" s="0" t="s">
        <v>27961</v>
      </c>
      <c r="J8401" s="0" t="s">
        <v>27962</v>
      </c>
      <c r="K8401" s="0" t="s">
        <v>27963</v>
      </c>
      <c r="L8401" s="0" t="str">
        <f aca="false">HYPERLINK("https://www.ncbi.nlm.nih.gov/nuccore/CP000058.1?report=graph&amp;tracks=[key:gene_model_track,Options:GeneOnly]&amp;mk=2645116:2645135|offset_0|00cc00,2645169:2645188|offset_53|444444,2645193:2645212|offset_77|444444,2645227:2645246|offset_111|444444&amp;v=2644915:2645446&amp;c=444444", "offset 0")</f>
        <v>offset 0</v>
      </c>
    </row>
    <row r="8402" customFormat="false" ht="12.8" hidden="false" customHeight="false" outlineLevel="0" collapsed="false">
      <c r="A8402" s="0" t="s">
        <v>12</v>
      </c>
      <c r="B8402" s="0" t="n">
        <v>2645168</v>
      </c>
      <c r="C8402" s="0" t="n">
        <v>2645188</v>
      </c>
      <c r="D8402" s="0" t="s">
        <v>27960</v>
      </c>
      <c r="E8402" s="0" t="s">
        <v>75</v>
      </c>
      <c r="F8402" s="0" t="s">
        <v>15</v>
      </c>
      <c r="G8402" s="0" t="s">
        <v>20</v>
      </c>
      <c r="H8402" s="0" t="n">
        <v>53</v>
      </c>
      <c r="I8402" s="0" t="s">
        <v>27964</v>
      </c>
      <c r="J8402" s="0" t="s">
        <v>27965</v>
      </c>
      <c r="K8402" s="0" t="s">
        <v>27966</v>
      </c>
      <c r="L8402" s="0" t="str">
        <f aca="false">HYPERLINK("https://www.ncbi.nlm.nih.gov/nuccore/CP000058.1?report=graph&amp;tracks=[key:gene_model_track,Options:GeneOnly]&amp;mk=2645116:2645135|offset_0|444444,2645169:2645188|offset_53|00cc00,2645193:2645212|offset_77|444444,2645227:2645246|offset_111|444444&amp;v=2644915:2645446&amp;c=444444", "offset 53")</f>
        <v>offset 53</v>
      </c>
    </row>
    <row r="8403" customFormat="false" ht="12.8" hidden="false" customHeight="false" outlineLevel="0" collapsed="false">
      <c r="A8403" s="0" t="s">
        <v>12</v>
      </c>
      <c r="B8403" s="0" t="n">
        <v>2645192</v>
      </c>
      <c r="C8403" s="0" t="n">
        <v>2645212</v>
      </c>
      <c r="D8403" s="0" t="s">
        <v>27960</v>
      </c>
      <c r="E8403" s="0" t="s">
        <v>75</v>
      </c>
      <c r="F8403" s="0" t="s">
        <v>15</v>
      </c>
      <c r="G8403" s="0" t="s">
        <v>16</v>
      </c>
      <c r="H8403" s="0" t="n">
        <v>77</v>
      </c>
      <c r="I8403" s="0" t="s">
        <v>27967</v>
      </c>
      <c r="J8403" s="0" t="s">
        <v>27968</v>
      </c>
      <c r="K8403" s="0" t="s">
        <v>27969</v>
      </c>
      <c r="L8403" s="0" t="str">
        <f aca="false">HYPERLINK("https://www.ncbi.nlm.nih.gov/nuccore/CP000058.1?report=graph&amp;tracks=[key:gene_model_track,Options:GeneOnly]&amp;mk=2645116:2645135|offset_0|444444,2645169:2645188|offset_53|444444,2645193:2645212|offset_77|00cc00,2645227:2645246|offset_111|444444&amp;v=2644915:2645446&amp;c=444444", "offset 77")</f>
        <v>offset 77</v>
      </c>
    </row>
    <row r="8404" customFormat="false" ht="12.8" hidden="false" customHeight="false" outlineLevel="0" collapsed="false">
      <c r="A8404" s="0" t="s">
        <v>12</v>
      </c>
      <c r="B8404" s="0" t="n">
        <v>2645226</v>
      </c>
      <c r="C8404" s="0" t="n">
        <v>2645246</v>
      </c>
      <c r="D8404" s="0" t="s">
        <v>27960</v>
      </c>
      <c r="E8404" s="0" t="s">
        <v>75</v>
      </c>
      <c r="F8404" s="0" t="s">
        <v>15</v>
      </c>
      <c r="G8404" s="0" t="s">
        <v>16</v>
      </c>
      <c r="H8404" s="0" t="n">
        <v>111</v>
      </c>
      <c r="I8404" s="0" t="s">
        <v>27970</v>
      </c>
      <c r="J8404" s="0" t="s">
        <v>27971</v>
      </c>
      <c r="K8404" s="0" t="s">
        <v>27972</v>
      </c>
      <c r="L8404" s="0" t="str">
        <f aca="false">HYPERLINK("https://www.ncbi.nlm.nih.gov/nuccore/CP000058.1?report=graph&amp;tracks=[key:gene_model_track,Options:GeneOnly]&amp;mk=2645116:2645135|offset_0|444444,2645169:2645188|offset_53|444444,2645193:2645212|offset_77|444444,2645227:2645246|offset_111|00cc00&amp;v=2644915:2645446&amp;c=444444", "offset 111")</f>
        <v>offset 111</v>
      </c>
    </row>
    <row r="8405" customFormat="false" ht="12.8" hidden="false" customHeight="false" outlineLevel="0" collapsed="false">
      <c r="A8405" s="0" t="s">
        <v>12</v>
      </c>
      <c r="B8405" s="0" t="n">
        <v>2646680</v>
      </c>
      <c r="C8405" s="0" t="n">
        <v>2646700</v>
      </c>
      <c r="D8405" s="0" t="s">
        <v>27973</v>
      </c>
      <c r="E8405" s="0" t="s">
        <v>75</v>
      </c>
      <c r="F8405" s="0" t="s">
        <v>15</v>
      </c>
      <c r="G8405" s="0" t="s">
        <v>20</v>
      </c>
      <c r="H8405" s="0" t="n">
        <v>13</v>
      </c>
      <c r="I8405" s="0" t="s">
        <v>27974</v>
      </c>
      <c r="J8405" s="0" t="s">
        <v>27975</v>
      </c>
      <c r="K8405" s="0" t="s">
        <v>27976</v>
      </c>
      <c r="L8405" s="0" t="str">
        <f aca="false">HYPERLINK("https://www.ncbi.nlm.nih.gov/nuccore/CP000058.1?report=graph&amp;tracks=[key:gene_model_track,Options:GeneOnly]&amp;mk=2646681:2646700|offset_13|00cc00,2646704:2646723|offset_36|444444,2646739:2646758|offset_71|444444,2646786:2646805|offset_118|444444&amp;v=2646480:2647005&amp;c=444444", "offset 13")</f>
        <v>offset 13</v>
      </c>
    </row>
    <row r="8406" customFormat="false" ht="12.8" hidden="false" customHeight="false" outlineLevel="0" collapsed="false">
      <c r="A8406" s="0" t="s">
        <v>12</v>
      </c>
      <c r="B8406" s="0" t="n">
        <v>2646703</v>
      </c>
      <c r="C8406" s="0" t="n">
        <v>2646723</v>
      </c>
      <c r="D8406" s="0" t="s">
        <v>27973</v>
      </c>
      <c r="E8406" s="0" t="s">
        <v>75</v>
      </c>
      <c r="F8406" s="0" t="s">
        <v>15</v>
      </c>
      <c r="G8406" s="0" t="s">
        <v>16</v>
      </c>
      <c r="H8406" s="0" t="n">
        <v>36</v>
      </c>
      <c r="I8406" s="0" t="s">
        <v>27977</v>
      </c>
      <c r="J8406" s="0" t="s">
        <v>27978</v>
      </c>
      <c r="K8406" s="0" t="s">
        <v>27979</v>
      </c>
      <c r="L8406" s="0" t="str">
        <f aca="false">HYPERLINK("https://www.ncbi.nlm.nih.gov/nuccore/CP000058.1?report=graph&amp;tracks=[key:gene_model_track,Options:GeneOnly]&amp;mk=2646681:2646700|offset_13|444444,2646704:2646723|offset_36|00cc00,2646739:2646758|offset_71|444444,2646786:2646805|offset_118|444444&amp;v=2646480:2647005&amp;c=444444", "offset 36")</f>
        <v>offset 36</v>
      </c>
    </row>
    <row r="8407" customFormat="false" ht="12.8" hidden="false" customHeight="false" outlineLevel="0" collapsed="false">
      <c r="A8407" s="0" t="s">
        <v>12</v>
      </c>
      <c r="B8407" s="0" t="n">
        <v>2646738</v>
      </c>
      <c r="C8407" s="0" t="n">
        <v>2646758</v>
      </c>
      <c r="D8407" s="0" t="s">
        <v>27973</v>
      </c>
      <c r="E8407" s="0" t="s">
        <v>75</v>
      </c>
      <c r="F8407" s="0" t="s">
        <v>15</v>
      </c>
      <c r="G8407" s="0" t="s">
        <v>32</v>
      </c>
      <c r="H8407" s="0" t="n">
        <v>71</v>
      </c>
      <c r="I8407" s="0" t="s">
        <v>27980</v>
      </c>
      <c r="J8407" s="0" t="s">
        <v>27981</v>
      </c>
      <c r="K8407" s="0" t="s">
        <v>27982</v>
      </c>
      <c r="L8407" s="0" t="str">
        <f aca="false">HYPERLINK("https://www.ncbi.nlm.nih.gov/nuccore/CP000058.1?report=graph&amp;tracks=[key:gene_model_track,Options:GeneOnly]&amp;mk=2646681:2646700|offset_13|444444,2646704:2646723|offset_36|444444,2646739:2646758|offset_71|00cc00,2646786:2646805|offset_118|444444&amp;v=2646480:2647005&amp;c=444444", "offset 71")</f>
        <v>offset 71</v>
      </c>
    </row>
    <row r="8408" customFormat="false" ht="12.8" hidden="false" customHeight="false" outlineLevel="0" collapsed="false">
      <c r="A8408" s="0" t="s">
        <v>12</v>
      </c>
      <c r="B8408" s="0" t="n">
        <v>2646785</v>
      </c>
      <c r="C8408" s="0" t="n">
        <v>2646805</v>
      </c>
      <c r="D8408" s="0" t="s">
        <v>27973</v>
      </c>
      <c r="E8408" s="0" t="s">
        <v>75</v>
      </c>
      <c r="F8408" s="0" t="s">
        <v>15</v>
      </c>
      <c r="G8408" s="0" t="s">
        <v>32</v>
      </c>
      <c r="H8408" s="0" t="n">
        <v>118</v>
      </c>
      <c r="I8408" s="0" t="s">
        <v>27983</v>
      </c>
      <c r="J8408" s="0" t="s">
        <v>27984</v>
      </c>
      <c r="K8408" s="0" t="s">
        <v>27985</v>
      </c>
      <c r="L8408" s="0" t="str">
        <f aca="false">HYPERLINK("https://www.ncbi.nlm.nih.gov/nuccore/CP000058.1?report=graph&amp;tracks=[key:gene_model_track,Options:GeneOnly]&amp;mk=2646681:2646700|offset_13|444444,2646704:2646723|offset_36|444444,2646739:2646758|offset_71|444444,2646786:2646805|offset_118|00cc00&amp;v=2646480:2647005&amp;c=444444", "offset 118")</f>
        <v>offset 118</v>
      </c>
    </row>
    <row r="8409" customFormat="false" ht="12.8" hidden="false" customHeight="false" outlineLevel="0" collapsed="false">
      <c r="A8409" s="0" t="s">
        <v>12</v>
      </c>
      <c r="B8409" s="0" t="n">
        <v>2647760</v>
      </c>
      <c r="C8409" s="0" t="n">
        <v>2647780</v>
      </c>
      <c r="D8409" s="0" t="s">
        <v>27986</v>
      </c>
      <c r="E8409" s="0" t="s">
        <v>75</v>
      </c>
      <c r="F8409" s="0" t="s">
        <v>15</v>
      </c>
      <c r="G8409" s="0" t="s">
        <v>32</v>
      </c>
      <c r="H8409" s="0" t="n">
        <v>8</v>
      </c>
      <c r="I8409" s="0" t="s">
        <v>27987</v>
      </c>
      <c r="J8409" s="0" t="s">
        <v>27988</v>
      </c>
      <c r="K8409" s="0" t="s">
        <v>27989</v>
      </c>
      <c r="L8409" s="0" t="str">
        <f aca="false">HYPERLINK("https://www.ncbi.nlm.nih.gov/nuccore/CP000058.1?report=graph&amp;tracks=[key:gene_model_track,Options:GeneOnly]&amp;mk=2647761:2647780|offset_8|00cc00,2647797:2647816|offset_44|444444,2647859:2647878|offset_106|444444,2647879:2647898|offset_126|444444&amp;v=2647560:2648098&amp;c=444444", "offset 8")</f>
        <v>offset 8</v>
      </c>
    </row>
    <row r="8410" customFormat="false" ht="12.8" hidden="false" customHeight="false" outlineLevel="0" collapsed="false">
      <c r="A8410" s="0" t="s">
        <v>12</v>
      </c>
      <c r="B8410" s="0" t="n">
        <v>2647796</v>
      </c>
      <c r="C8410" s="0" t="n">
        <v>2647816</v>
      </c>
      <c r="D8410" s="0" t="s">
        <v>27986</v>
      </c>
      <c r="E8410" s="0" t="s">
        <v>75</v>
      </c>
      <c r="F8410" s="0" t="s">
        <v>15</v>
      </c>
      <c r="G8410" s="0" t="s">
        <v>20</v>
      </c>
      <c r="H8410" s="0" t="n">
        <v>44</v>
      </c>
      <c r="I8410" s="0" t="s">
        <v>27990</v>
      </c>
      <c r="J8410" s="0" t="s">
        <v>27991</v>
      </c>
      <c r="K8410" s="0" t="s">
        <v>27992</v>
      </c>
      <c r="L8410" s="0" t="str">
        <f aca="false">HYPERLINK("https://www.ncbi.nlm.nih.gov/nuccore/CP000058.1?report=graph&amp;tracks=[key:gene_model_track,Options:GeneOnly]&amp;mk=2647761:2647780|offset_8|444444,2647797:2647816|offset_44|00cc00,2647859:2647878|offset_106|444444,2647879:2647898|offset_126|444444&amp;v=2647560:2648098&amp;c=444444", "offset 44")</f>
        <v>offset 44</v>
      </c>
    </row>
    <row r="8411" customFormat="false" ht="12.8" hidden="false" customHeight="false" outlineLevel="0" collapsed="false">
      <c r="A8411" s="0" t="s">
        <v>12</v>
      </c>
      <c r="B8411" s="0" t="n">
        <v>2647858</v>
      </c>
      <c r="C8411" s="0" t="n">
        <v>2647878</v>
      </c>
      <c r="D8411" s="0" t="s">
        <v>27986</v>
      </c>
      <c r="E8411" s="0" t="s">
        <v>75</v>
      </c>
      <c r="F8411" s="0" t="s">
        <v>15</v>
      </c>
      <c r="G8411" s="0" t="s">
        <v>36</v>
      </c>
      <c r="H8411" s="0" t="n">
        <v>106</v>
      </c>
      <c r="I8411" s="0" t="s">
        <v>27993</v>
      </c>
      <c r="J8411" s="0" t="s">
        <v>27994</v>
      </c>
      <c r="K8411" s="0" t="s">
        <v>27995</v>
      </c>
      <c r="L8411" s="0" t="str">
        <f aca="false">HYPERLINK("https://www.ncbi.nlm.nih.gov/nuccore/CP000058.1?report=graph&amp;tracks=[key:gene_model_track,Options:GeneOnly]&amp;mk=2647761:2647780|offset_8|444444,2647797:2647816|offset_44|444444,2647859:2647878|offset_106|00cc00,2647879:2647898|offset_126|444444&amp;v=2647560:2648098&amp;c=444444", "offset 106")</f>
        <v>offset 106</v>
      </c>
    </row>
    <row r="8412" customFormat="false" ht="12.8" hidden="false" customHeight="false" outlineLevel="0" collapsed="false">
      <c r="A8412" s="0" t="s">
        <v>12</v>
      </c>
      <c r="B8412" s="0" t="n">
        <v>2647878</v>
      </c>
      <c r="C8412" s="0" t="n">
        <v>2647898</v>
      </c>
      <c r="D8412" s="0" t="s">
        <v>27986</v>
      </c>
      <c r="E8412" s="0" t="s">
        <v>75</v>
      </c>
      <c r="F8412" s="0" t="s">
        <v>15</v>
      </c>
      <c r="G8412" s="0" t="s">
        <v>20</v>
      </c>
      <c r="H8412" s="0" t="n">
        <v>126</v>
      </c>
      <c r="I8412" s="0" t="s">
        <v>27996</v>
      </c>
      <c r="J8412" s="0" t="s">
        <v>27997</v>
      </c>
      <c r="K8412" s="0" t="s">
        <v>27998</v>
      </c>
      <c r="L8412" s="0" t="str">
        <f aca="false">HYPERLINK("https://www.ncbi.nlm.nih.gov/nuccore/CP000058.1?report=graph&amp;tracks=[key:gene_model_track,Options:GeneOnly]&amp;mk=2647761:2647780|offset_8|444444,2647797:2647816|offset_44|444444,2647859:2647878|offset_106|444444,2647879:2647898|offset_126|00cc00&amp;v=2647560:2648098&amp;c=444444", "offset 126")</f>
        <v>offset 126</v>
      </c>
    </row>
    <row r="8413" customFormat="false" ht="12.8" hidden="false" customHeight="false" outlineLevel="0" collapsed="false">
      <c r="A8413" s="0" t="s">
        <v>12</v>
      </c>
      <c r="B8413" s="0" t="n">
        <v>2648361</v>
      </c>
      <c r="C8413" s="0" t="n">
        <v>2648381</v>
      </c>
      <c r="D8413" s="0" t="s">
        <v>27999</v>
      </c>
      <c r="E8413" s="0" t="s">
        <v>75</v>
      </c>
      <c r="F8413" s="0" t="s">
        <v>15</v>
      </c>
      <c r="G8413" s="0" t="s">
        <v>16</v>
      </c>
      <c r="H8413" s="0" t="n">
        <v>10</v>
      </c>
      <c r="I8413" s="0" t="s">
        <v>28000</v>
      </c>
      <c r="J8413" s="0" t="s">
        <v>28001</v>
      </c>
      <c r="K8413" s="0" t="s">
        <v>28002</v>
      </c>
      <c r="L8413" s="0" t="str">
        <f aca="false">HYPERLINK("https://www.ncbi.nlm.nih.gov/nuccore/CP000058.1?report=graph&amp;tracks=[key:gene_model_track,Options:GeneOnly]&amp;mk=2648362:2648381|offset_10|00cc00,2648382:2648401|offset_30|444444,2648555:2648574|offset_203|444444,2648584:2648603|offset_232|444444&amp;v=2648161:2648803&amp;c=444444", "offset 10")</f>
        <v>offset 10</v>
      </c>
    </row>
    <row r="8414" customFormat="false" ht="12.8" hidden="false" customHeight="false" outlineLevel="0" collapsed="false">
      <c r="A8414" s="0" t="s">
        <v>12</v>
      </c>
      <c r="B8414" s="0" t="n">
        <v>2648381</v>
      </c>
      <c r="C8414" s="0" t="n">
        <v>2648401</v>
      </c>
      <c r="D8414" s="0" t="s">
        <v>27999</v>
      </c>
      <c r="E8414" s="0" t="s">
        <v>75</v>
      </c>
      <c r="F8414" s="0" t="s">
        <v>15</v>
      </c>
      <c r="G8414" s="0" t="s">
        <v>32</v>
      </c>
      <c r="H8414" s="0" t="n">
        <v>30</v>
      </c>
      <c r="I8414" s="0" t="s">
        <v>28003</v>
      </c>
      <c r="J8414" s="0" t="s">
        <v>28004</v>
      </c>
      <c r="K8414" s="0" t="s">
        <v>28005</v>
      </c>
      <c r="L8414" s="0" t="str">
        <f aca="false">HYPERLINK("https://www.ncbi.nlm.nih.gov/nuccore/CP000058.1?report=graph&amp;tracks=[key:gene_model_track,Options:GeneOnly]&amp;mk=2648362:2648381|offset_10|444444,2648382:2648401|offset_30|00cc00,2648555:2648574|offset_203|444444,2648584:2648603|offset_232|444444&amp;v=2648161:2648803&amp;c=444444", "offset 30")</f>
        <v>offset 30</v>
      </c>
    </row>
    <row r="8415" customFormat="false" ht="12.8" hidden="false" customHeight="false" outlineLevel="0" collapsed="false">
      <c r="A8415" s="0" t="s">
        <v>12</v>
      </c>
      <c r="B8415" s="0" t="n">
        <v>2648554</v>
      </c>
      <c r="C8415" s="0" t="n">
        <v>2648574</v>
      </c>
      <c r="D8415" s="0" t="s">
        <v>27999</v>
      </c>
      <c r="E8415" s="0" t="s">
        <v>75</v>
      </c>
      <c r="F8415" s="0" t="s">
        <v>15</v>
      </c>
      <c r="G8415" s="0" t="s">
        <v>32</v>
      </c>
      <c r="H8415" s="0" t="n">
        <v>203</v>
      </c>
      <c r="I8415" s="0" t="s">
        <v>28006</v>
      </c>
      <c r="J8415" s="0" t="s">
        <v>28007</v>
      </c>
      <c r="K8415" s="0" t="s">
        <v>28008</v>
      </c>
      <c r="L8415" s="0" t="str">
        <f aca="false">HYPERLINK("https://www.ncbi.nlm.nih.gov/nuccore/CP000058.1?report=graph&amp;tracks=[key:gene_model_track,Options:GeneOnly]&amp;mk=2648362:2648381|offset_10|444444,2648382:2648401|offset_30|444444,2648555:2648574|offset_203|00cc00,2648584:2648603|offset_232|444444&amp;v=2648161:2648803&amp;c=444444", "offset 203")</f>
        <v>offset 203</v>
      </c>
    </row>
    <row r="8416" customFormat="false" ht="12.8" hidden="false" customHeight="false" outlineLevel="0" collapsed="false">
      <c r="A8416" s="0" t="s">
        <v>12</v>
      </c>
      <c r="B8416" s="0" t="n">
        <v>2648583</v>
      </c>
      <c r="C8416" s="0" t="n">
        <v>2648603</v>
      </c>
      <c r="D8416" s="0" t="s">
        <v>27999</v>
      </c>
      <c r="E8416" s="0" t="s">
        <v>75</v>
      </c>
      <c r="F8416" s="0" t="s">
        <v>15</v>
      </c>
      <c r="G8416" s="0" t="s">
        <v>32</v>
      </c>
      <c r="H8416" s="0" t="n">
        <v>232</v>
      </c>
      <c r="I8416" s="0" t="s">
        <v>28009</v>
      </c>
      <c r="J8416" s="0" t="s">
        <v>28010</v>
      </c>
      <c r="K8416" s="0" t="s">
        <v>28011</v>
      </c>
      <c r="L8416" s="0" t="str">
        <f aca="false">HYPERLINK("https://www.ncbi.nlm.nih.gov/nuccore/CP000058.1?report=graph&amp;tracks=[key:gene_model_track,Options:GeneOnly]&amp;mk=2648362:2648381|offset_10|444444,2648382:2648401|offset_30|444444,2648555:2648574|offset_203|444444,2648584:2648603|offset_232|00cc00&amp;v=2648161:2648803&amp;c=444444", "offset 232")</f>
        <v>offset 232</v>
      </c>
    </row>
    <row r="8417" customFormat="false" ht="12.8" hidden="false" customHeight="false" outlineLevel="0" collapsed="false">
      <c r="A8417" s="0" t="s">
        <v>12</v>
      </c>
      <c r="B8417" s="0" t="n">
        <v>2649503</v>
      </c>
      <c r="C8417" s="0" t="n">
        <v>2649523</v>
      </c>
      <c r="D8417" s="0" t="s">
        <v>28012</v>
      </c>
      <c r="E8417" s="0" t="s">
        <v>75</v>
      </c>
      <c r="F8417" s="0" t="s">
        <v>15</v>
      </c>
      <c r="G8417" s="0" t="s">
        <v>20</v>
      </c>
      <c r="H8417" s="0" t="n">
        <v>12</v>
      </c>
      <c r="I8417" s="0" t="s">
        <v>28013</v>
      </c>
      <c r="J8417" s="0" t="s">
        <v>28014</v>
      </c>
      <c r="K8417" s="0" t="s">
        <v>28015</v>
      </c>
      <c r="L8417" s="0" t="str">
        <f aca="false">HYPERLINK("https://www.ncbi.nlm.nih.gov/nuccore/CP000058.1?report=graph&amp;tracks=[key:gene_model_track,Options:GeneOnly]&amp;mk=2649504:2649523|offset_12|00cc00,2649542:2649561|offset_50|444444,2649564:2649583|offset_72|444444,2649639:2649658|offset_147|444444&amp;v=2649303:2649858&amp;c=444444", "offset 12")</f>
        <v>offset 12</v>
      </c>
    </row>
    <row r="8418" customFormat="false" ht="12.8" hidden="false" customHeight="false" outlineLevel="0" collapsed="false">
      <c r="A8418" s="0" t="s">
        <v>12</v>
      </c>
      <c r="B8418" s="0" t="n">
        <v>2649541</v>
      </c>
      <c r="C8418" s="0" t="n">
        <v>2649561</v>
      </c>
      <c r="D8418" s="0" t="s">
        <v>28012</v>
      </c>
      <c r="E8418" s="0" t="s">
        <v>75</v>
      </c>
      <c r="F8418" s="0" t="s">
        <v>15</v>
      </c>
      <c r="G8418" s="0" t="s">
        <v>20</v>
      </c>
      <c r="H8418" s="0" t="n">
        <v>50</v>
      </c>
      <c r="I8418" s="0" t="s">
        <v>28016</v>
      </c>
      <c r="J8418" s="0" t="s">
        <v>28017</v>
      </c>
      <c r="K8418" s="0" t="s">
        <v>28018</v>
      </c>
      <c r="L8418" s="0" t="str">
        <f aca="false">HYPERLINK("https://www.ncbi.nlm.nih.gov/nuccore/CP000058.1?report=graph&amp;tracks=[key:gene_model_track,Options:GeneOnly]&amp;mk=2649504:2649523|offset_12|444444,2649542:2649561|offset_50|00cc00,2649564:2649583|offset_72|444444,2649639:2649658|offset_147|444444&amp;v=2649303:2649858&amp;c=444444", "offset 50")</f>
        <v>offset 50</v>
      </c>
    </row>
    <row r="8419" customFormat="false" ht="12.8" hidden="false" customHeight="false" outlineLevel="0" collapsed="false">
      <c r="A8419" s="0" t="s">
        <v>12</v>
      </c>
      <c r="B8419" s="0" t="n">
        <v>2649563</v>
      </c>
      <c r="C8419" s="0" t="n">
        <v>2649583</v>
      </c>
      <c r="D8419" s="0" t="s">
        <v>28012</v>
      </c>
      <c r="E8419" s="0" t="s">
        <v>75</v>
      </c>
      <c r="F8419" s="0" t="s">
        <v>15</v>
      </c>
      <c r="G8419" s="0" t="s">
        <v>32</v>
      </c>
      <c r="H8419" s="0" t="n">
        <v>72</v>
      </c>
      <c r="I8419" s="0" t="s">
        <v>28019</v>
      </c>
      <c r="J8419" s="0" t="s">
        <v>28020</v>
      </c>
      <c r="K8419" s="0" t="s">
        <v>28021</v>
      </c>
      <c r="L8419" s="0" t="str">
        <f aca="false">HYPERLINK("https://www.ncbi.nlm.nih.gov/nuccore/CP000058.1?report=graph&amp;tracks=[key:gene_model_track,Options:GeneOnly]&amp;mk=2649504:2649523|offset_12|444444,2649542:2649561|offset_50|444444,2649564:2649583|offset_72|00cc00,2649639:2649658|offset_147|444444&amp;v=2649303:2649858&amp;c=444444", "offset 72")</f>
        <v>offset 72</v>
      </c>
    </row>
    <row r="8420" customFormat="false" ht="12.8" hidden="false" customHeight="false" outlineLevel="0" collapsed="false">
      <c r="A8420" s="0" t="s">
        <v>12</v>
      </c>
      <c r="B8420" s="0" t="n">
        <v>2649638</v>
      </c>
      <c r="C8420" s="0" t="n">
        <v>2649658</v>
      </c>
      <c r="D8420" s="0" t="s">
        <v>28012</v>
      </c>
      <c r="E8420" s="0" t="s">
        <v>75</v>
      </c>
      <c r="F8420" s="0" t="s">
        <v>15</v>
      </c>
      <c r="G8420" s="0" t="s">
        <v>32</v>
      </c>
      <c r="H8420" s="0" t="n">
        <v>147</v>
      </c>
      <c r="I8420" s="0" t="s">
        <v>28022</v>
      </c>
      <c r="J8420" s="0" t="s">
        <v>28023</v>
      </c>
      <c r="K8420" s="0" t="s">
        <v>28024</v>
      </c>
      <c r="L8420" s="0" t="str">
        <f aca="false">HYPERLINK("https://www.ncbi.nlm.nih.gov/nuccore/CP000058.1?report=graph&amp;tracks=[key:gene_model_track,Options:GeneOnly]&amp;mk=2649504:2649523|offset_12|444444,2649542:2649561|offset_50|444444,2649564:2649583|offset_72|444444,2649639:2649658|offset_147|00cc00&amp;v=2649303:2649858&amp;c=444444", "offset 147")</f>
        <v>offset 147</v>
      </c>
    </row>
    <row r="8421" customFormat="false" ht="12.8" hidden="false" customHeight="false" outlineLevel="0" collapsed="false">
      <c r="A8421" s="0" t="s">
        <v>12</v>
      </c>
      <c r="B8421" s="0" t="n">
        <v>2651168</v>
      </c>
      <c r="C8421" s="0" t="n">
        <v>2651188</v>
      </c>
      <c r="D8421" s="0" t="s">
        <v>28025</v>
      </c>
      <c r="E8421" s="0" t="s">
        <v>75</v>
      </c>
      <c r="F8421" s="0" t="s">
        <v>15</v>
      </c>
      <c r="G8421" s="0" t="s">
        <v>32</v>
      </c>
      <c r="H8421" s="0" t="n">
        <v>15</v>
      </c>
      <c r="I8421" s="0" t="s">
        <v>28026</v>
      </c>
      <c r="J8421" s="0" t="s">
        <v>28027</v>
      </c>
      <c r="K8421" s="0" t="s">
        <v>28028</v>
      </c>
      <c r="L8421" s="0" t="str">
        <f aca="false">HYPERLINK("https://www.ncbi.nlm.nih.gov/nuccore/CP000058.1?report=graph&amp;tracks=[key:gene_model_track,Options:GeneOnly]&amp;mk=2651169:2651188|offset_15|00cc00,2651270:2651289|offset_116|444444,2651302:2651321|offset_148|444444&amp;v=2650968:2651521&amp;c=444444", "offset 15")</f>
        <v>offset 15</v>
      </c>
    </row>
    <row r="8422" customFormat="false" ht="12.8" hidden="false" customHeight="false" outlineLevel="0" collapsed="false">
      <c r="A8422" s="0" t="s">
        <v>12</v>
      </c>
      <c r="B8422" s="0" t="n">
        <v>2651269</v>
      </c>
      <c r="C8422" s="0" t="n">
        <v>2651289</v>
      </c>
      <c r="D8422" s="0" t="s">
        <v>28025</v>
      </c>
      <c r="E8422" s="0" t="s">
        <v>75</v>
      </c>
      <c r="F8422" s="0" t="s">
        <v>15</v>
      </c>
      <c r="G8422" s="0" t="s">
        <v>32</v>
      </c>
      <c r="H8422" s="0" t="n">
        <v>116</v>
      </c>
      <c r="I8422" s="0" t="s">
        <v>28029</v>
      </c>
      <c r="J8422" s="0" t="s">
        <v>28030</v>
      </c>
      <c r="K8422" s="0" t="s">
        <v>28031</v>
      </c>
      <c r="L8422" s="0" t="str">
        <f aca="false">HYPERLINK("https://www.ncbi.nlm.nih.gov/nuccore/CP000058.1?report=graph&amp;tracks=[key:gene_model_track,Options:GeneOnly]&amp;mk=2651169:2651188|offset_15|444444,2651270:2651289|offset_116|00cc00,2651302:2651321|offset_148|444444&amp;v=2650968:2651521&amp;c=444444", "offset 116")</f>
        <v>offset 116</v>
      </c>
    </row>
    <row r="8423" customFormat="false" ht="12.8" hidden="false" customHeight="false" outlineLevel="0" collapsed="false">
      <c r="A8423" s="0" t="s">
        <v>12</v>
      </c>
      <c r="B8423" s="0" t="n">
        <v>2651301</v>
      </c>
      <c r="C8423" s="0" t="n">
        <v>2651321</v>
      </c>
      <c r="D8423" s="0" t="s">
        <v>28025</v>
      </c>
      <c r="E8423" s="0" t="s">
        <v>75</v>
      </c>
      <c r="F8423" s="0" t="s">
        <v>15</v>
      </c>
      <c r="G8423" s="0" t="s">
        <v>20</v>
      </c>
      <c r="H8423" s="0" t="n">
        <v>148</v>
      </c>
      <c r="I8423" s="0" t="s">
        <v>28032</v>
      </c>
      <c r="J8423" s="0" t="s">
        <v>28033</v>
      </c>
      <c r="K8423" s="0" t="s">
        <v>28034</v>
      </c>
      <c r="L8423" s="0" t="str">
        <f aca="false">HYPERLINK("https://www.ncbi.nlm.nih.gov/nuccore/CP000058.1?report=graph&amp;tracks=[key:gene_model_track,Options:GeneOnly]&amp;mk=2651169:2651188|offset_15|444444,2651270:2651289|offset_116|444444,2651302:2651321|offset_148|00cc00&amp;v=2650968:2651521&amp;c=444444", "offset 148")</f>
        <v>offset 148</v>
      </c>
    </row>
    <row r="8424" customFormat="false" ht="12.8" hidden="false" customHeight="false" outlineLevel="0" collapsed="false">
      <c r="A8424" s="0" t="s">
        <v>12</v>
      </c>
      <c r="B8424" s="0" t="n">
        <v>2657234</v>
      </c>
      <c r="C8424" s="0" t="n">
        <v>2657254</v>
      </c>
      <c r="D8424" s="0" t="s">
        <v>28035</v>
      </c>
      <c r="E8424" s="0" t="s">
        <v>75</v>
      </c>
      <c r="F8424" s="0" t="s">
        <v>90</v>
      </c>
      <c r="G8424" s="0" t="s">
        <v>16</v>
      </c>
      <c r="H8424" s="0" t="n">
        <v>7</v>
      </c>
      <c r="I8424" s="0" t="s">
        <v>28036</v>
      </c>
      <c r="J8424" s="0" t="s">
        <v>28037</v>
      </c>
      <c r="K8424" s="0" t="s">
        <v>28038</v>
      </c>
      <c r="L8424" s="0" t="str">
        <f aca="false">HYPERLINK("https://www.ncbi.nlm.nih.gov/nuccore/CP000058.1?report=graph&amp;tracks=[key:gene_model_track,Options:GeneOnly]&amp;mk=2657235:2657254|offset_7|00cc00,2657193:2657212|offset_49|444444,2657172:2657191|offset_70|444444,2657136:2657155|offset_106|444444&amp;v=2657034:2657355&amp;c=444444", "offset 7")</f>
        <v>offset 7</v>
      </c>
    </row>
    <row r="8425" customFormat="false" ht="12.8" hidden="false" customHeight="false" outlineLevel="0" collapsed="false">
      <c r="A8425" s="0" t="s">
        <v>12</v>
      </c>
      <c r="B8425" s="0" t="n">
        <v>2657192</v>
      </c>
      <c r="C8425" s="0" t="n">
        <v>2657212</v>
      </c>
      <c r="D8425" s="0" t="s">
        <v>28035</v>
      </c>
      <c r="E8425" s="0" t="s">
        <v>75</v>
      </c>
      <c r="F8425" s="0" t="s">
        <v>90</v>
      </c>
      <c r="G8425" s="0" t="s">
        <v>20</v>
      </c>
      <c r="H8425" s="0" t="n">
        <v>49</v>
      </c>
      <c r="I8425" s="0" t="s">
        <v>28039</v>
      </c>
      <c r="J8425" s="0" t="s">
        <v>28040</v>
      </c>
      <c r="K8425" s="0" t="s">
        <v>28041</v>
      </c>
      <c r="L8425" s="0" t="str">
        <f aca="false">HYPERLINK("https://www.ncbi.nlm.nih.gov/nuccore/CP000058.1?report=graph&amp;tracks=[key:gene_model_track,Options:GeneOnly]&amp;mk=2657235:2657254|offset_7|444444,2657193:2657212|offset_49|00cc00,2657172:2657191|offset_70|444444,2657136:2657155|offset_106|444444&amp;v=2657034:2657355&amp;c=444444", "offset 49")</f>
        <v>offset 49</v>
      </c>
    </row>
    <row r="8426" customFormat="false" ht="12.8" hidden="false" customHeight="false" outlineLevel="0" collapsed="false">
      <c r="A8426" s="0" t="s">
        <v>12</v>
      </c>
      <c r="B8426" s="0" t="n">
        <v>2657171</v>
      </c>
      <c r="C8426" s="0" t="n">
        <v>2657191</v>
      </c>
      <c r="D8426" s="0" t="s">
        <v>28035</v>
      </c>
      <c r="E8426" s="0" t="s">
        <v>75</v>
      </c>
      <c r="F8426" s="0" t="s">
        <v>90</v>
      </c>
      <c r="G8426" s="0" t="s">
        <v>32</v>
      </c>
      <c r="H8426" s="0" t="n">
        <v>70</v>
      </c>
      <c r="I8426" s="0" t="s">
        <v>28042</v>
      </c>
      <c r="J8426" s="0" t="s">
        <v>28043</v>
      </c>
      <c r="K8426" s="0" t="s">
        <v>28044</v>
      </c>
      <c r="L8426" s="0" t="str">
        <f aca="false">HYPERLINK("https://www.ncbi.nlm.nih.gov/nuccore/CP000058.1?report=graph&amp;tracks=[key:gene_model_track,Options:GeneOnly]&amp;mk=2657235:2657254|offset_7|444444,2657193:2657212|offset_49|444444,2657172:2657191|offset_70|00cc00,2657136:2657155|offset_106|444444&amp;v=2657034:2657355&amp;c=444444", "offset 70")</f>
        <v>offset 70</v>
      </c>
    </row>
    <row r="8427" customFormat="false" ht="12.8" hidden="false" customHeight="false" outlineLevel="0" collapsed="false">
      <c r="A8427" s="0" t="s">
        <v>12</v>
      </c>
      <c r="B8427" s="0" t="n">
        <v>2657135</v>
      </c>
      <c r="C8427" s="0" t="n">
        <v>2657155</v>
      </c>
      <c r="D8427" s="0" t="s">
        <v>28035</v>
      </c>
      <c r="E8427" s="0" t="s">
        <v>75</v>
      </c>
      <c r="F8427" s="0" t="s">
        <v>90</v>
      </c>
      <c r="G8427" s="0" t="s">
        <v>32</v>
      </c>
      <c r="H8427" s="0" t="n">
        <v>106</v>
      </c>
      <c r="I8427" s="0" t="s">
        <v>28045</v>
      </c>
      <c r="J8427" s="0" t="s">
        <v>28046</v>
      </c>
      <c r="K8427" s="0" t="s">
        <v>28047</v>
      </c>
      <c r="L8427" s="0" t="str">
        <f aca="false">HYPERLINK("https://www.ncbi.nlm.nih.gov/nuccore/CP000058.1?report=graph&amp;tracks=[key:gene_model_track,Options:GeneOnly]&amp;mk=2657235:2657254|offset_7|444444,2657193:2657212|offset_49|444444,2657172:2657191|offset_70|444444,2657136:2657155|offset_106|00cc00&amp;v=2657034:2657355&amp;c=444444", "offset 106")</f>
        <v>offset 106</v>
      </c>
    </row>
    <row r="8428" customFormat="false" ht="12.8" hidden="false" customHeight="false" outlineLevel="0" collapsed="false">
      <c r="A8428" s="0" t="s">
        <v>12</v>
      </c>
      <c r="B8428" s="0" t="n">
        <v>2658169</v>
      </c>
      <c r="C8428" s="0" t="n">
        <v>2658189</v>
      </c>
      <c r="D8428" s="0" t="s">
        <v>28048</v>
      </c>
      <c r="E8428" s="0" t="s">
        <v>75</v>
      </c>
      <c r="F8428" s="0" t="s">
        <v>90</v>
      </c>
      <c r="G8428" s="0" t="s">
        <v>32</v>
      </c>
      <c r="H8428" s="0" t="n">
        <v>1</v>
      </c>
      <c r="I8428" s="0" t="s">
        <v>28049</v>
      </c>
      <c r="J8428" s="0" t="s">
        <v>28050</v>
      </c>
      <c r="K8428" s="0" t="s">
        <v>28051</v>
      </c>
      <c r="L8428" s="0" t="str">
        <f aca="false">HYPERLINK("https://www.ncbi.nlm.nih.gov/nuccore/CP000058.1?report=graph&amp;tracks=[key:gene_model_track,Options:GeneOnly]&amp;mk=2658170:2658189|offset_1|00cc00,2658148:2658167|offset_23|444444,2658119:2658138|offset_52|444444,2658095:2658114|offset_76|444444&amp;v=2657969:2658314&amp;c=444444", "offset 1")</f>
        <v>offset 1</v>
      </c>
    </row>
    <row r="8429" customFormat="false" ht="12.8" hidden="false" customHeight="false" outlineLevel="0" collapsed="false">
      <c r="A8429" s="0" t="s">
        <v>12</v>
      </c>
      <c r="B8429" s="0" t="n">
        <v>2658147</v>
      </c>
      <c r="C8429" s="0" t="n">
        <v>2658167</v>
      </c>
      <c r="D8429" s="0" t="s">
        <v>28048</v>
      </c>
      <c r="E8429" s="0" t="s">
        <v>75</v>
      </c>
      <c r="F8429" s="0" t="s">
        <v>90</v>
      </c>
      <c r="G8429" s="0" t="s">
        <v>20</v>
      </c>
      <c r="H8429" s="0" t="n">
        <v>23</v>
      </c>
      <c r="I8429" s="0" t="s">
        <v>28052</v>
      </c>
      <c r="J8429" s="0" t="s">
        <v>28053</v>
      </c>
      <c r="K8429" s="0" t="s">
        <v>28054</v>
      </c>
      <c r="L8429" s="0" t="str">
        <f aca="false">HYPERLINK("https://www.ncbi.nlm.nih.gov/nuccore/CP000058.1?report=graph&amp;tracks=[key:gene_model_track,Options:GeneOnly]&amp;mk=2658170:2658189|offset_1|444444,2658148:2658167|offset_23|00cc00,2658119:2658138|offset_52|444444,2658095:2658114|offset_76|444444&amp;v=2657969:2658314&amp;c=444444", "offset 23")</f>
        <v>offset 23</v>
      </c>
    </row>
    <row r="8430" customFormat="false" ht="12.8" hidden="false" customHeight="false" outlineLevel="0" collapsed="false">
      <c r="A8430" s="0" t="s">
        <v>12</v>
      </c>
      <c r="B8430" s="0" t="n">
        <v>2658118</v>
      </c>
      <c r="C8430" s="0" t="n">
        <v>2658138</v>
      </c>
      <c r="D8430" s="0" t="s">
        <v>28048</v>
      </c>
      <c r="E8430" s="0" t="s">
        <v>75</v>
      </c>
      <c r="F8430" s="0" t="s">
        <v>90</v>
      </c>
      <c r="G8430" s="0" t="s">
        <v>32</v>
      </c>
      <c r="H8430" s="0" t="n">
        <v>52</v>
      </c>
      <c r="I8430" s="0" t="s">
        <v>28055</v>
      </c>
      <c r="J8430" s="0" t="s">
        <v>28056</v>
      </c>
      <c r="K8430" s="0" t="s">
        <v>28057</v>
      </c>
      <c r="L8430" s="0" t="str">
        <f aca="false">HYPERLINK("https://www.ncbi.nlm.nih.gov/nuccore/CP000058.1?report=graph&amp;tracks=[key:gene_model_track,Options:GeneOnly]&amp;mk=2658170:2658189|offset_1|444444,2658148:2658167|offset_23|444444,2658119:2658138|offset_52|00cc00,2658095:2658114|offset_76|444444&amp;v=2657969:2658314&amp;c=444444", "offset 52")</f>
        <v>offset 52</v>
      </c>
    </row>
    <row r="8431" customFormat="false" ht="12.8" hidden="false" customHeight="false" outlineLevel="0" collapsed="false">
      <c r="A8431" s="0" t="s">
        <v>12</v>
      </c>
      <c r="B8431" s="0" t="n">
        <v>2658094</v>
      </c>
      <c r="C8431" s="0" t="n">
        <v>2658114</v>
      </c>
      <c r="D8431" s="0" t="s">
        <v>28048</v>
      </c>
      <c r="E8431" s="0" t="s">
        <v>75</v>
      </c>
      <c r="F8431" s="0" t="s">
        <v>90</v>
      </c>
      <c r="G8431" s="0" t="s">
        <v>16</v>
      </c>
      <c r="H8431" s="0" t="n">
        <v>76</v>
      </c>
      <c r="I8431" s="0" t="s">
        <v>28058</v>
      </c>
      <c r="J8431" s="0" t="s">
        <v>28059</v>
      </c>
      <c r="K8431" s="0" t="s">
        <v>28060</v>
      </c>
      <c r="L8431" s="0" t="str">
        <f aca="false">HYPERLINK("https://www.ncbi.nlm.nih.gov/nuccore/CP000058.1?report=graph&amp;tracks=[key:gene_model_track,Options:GeneOnly]&amp;mk=2658170:2658189|offset_1|444444,2658148:2658167|offset_23|444444,2658119:2658138|offset_52|444444,2658095:2658114|offset_76|00cc00&amp;v=2657969:2658314&amp;c=444444", "offset 76")</f>
        <v>offset 76</v>
      </c>
    </row>
    <row r="8432" customFormat="false" ht="12.8" hidden="false" customHeight="false" outlineLevel="0" collapsed="false">
      <c r="A8432" s="0" t="s">
        <v>12</v>
      </c>
      <c r="B8432" s="0" t="n">
        <v>2659117</v>
      </c>
      <c r="C8432" s="0" t="n">
        <v>2659137</v>
      </c>
      <c r="D8432" s="0" t="s">
        <v>28061</v>
      </c>
      <c r="E8432" s="0" t="s">
        <v>28062</v>
      </c>
      <c r="F8432" s="0" t="s">
        <v>90</v>
      </c>
      <c r="G8432" s="0" t="s">
        <v>16</v>
      </c>
      <c r="H8432" s="0" t="n">
        <v>8</v>
      </c>
      <c r="I8432" s="0" t="s">
        <v>28063</v>
      </c>
      <c r="J8432" s="0" t="s">
        <v>28064</v>
      </c>
      <c r="K8432" s="0" t="s">
        <v>28065</v>
      </c>
      <c r="L8432" s="0" t="str">
        <f aca="false">HYPERLINK("https://www.ncbi.nlm.nih.gov/nuccore/CP000058.1?report=graph&amp;tracks=[key:gene_model_track,Options:GeneOnly]&amp;mk=2659118:2659137|offset_8|00cc00,2659095:2659114|offset_31|444444,2659056:2659075|offset_70|444444,2659033:2659052|offset_93|444444&amp;v=2658917:2659252&amp;c=444444", "offset 8")</f>
        <v>offset 8</v>
      </c>
    </row>
    <row r="8433" customFormat="false" ht="12.8" hidden="false" customHeight="false" outlineLevel="0" collapsed="false">
      <c r="A8433" s="0" t="s">
        <v>12</v>
      </c>
      <c r="B8433" s="0" t="n">
        <v>2659094</v>
      </c>
      <c r="C8433" s="0" t="n">
        <v>2659114</v>
      </c>
      <c r="D8433" s="0" t="s">
        <v>28061</v>
      </c>
      <c r="E8433" s="0" t="s">
        <v>28062</v>
      </c>
      <c r="F8433" s="0" t="s">
        <v>90</v>
      </c>
      <c r="G8433" s="0" t="s">
        <v>36</v>
      </c>
      <c r="H8433" s="0" t="n">
        <v>31</v>
      </c>
      <c r="I8433" s="0" t="s">
        <v>28066</v>
      </c>
      <c r="J8433" s="0" t="s">
        <v>28067</v>
      </c>
      <c r="K8433" s="0" t="s">
        <v>28068</v>
      </c>
      <c r="L8433" s="0" t="str">
        <f aca="false">HYPERLINK("https://www.ncbi.nlm.nih.gov/nuccore/CP000058.1?report=graph&amp;tracks=[key:gene_model_track,Options:GeneOnly]&amp;mk=2659118:2659137|offset_8|444444,2659095:2659114|offset_31|00cc00,2659056:2659075|offset_70|444444,2659033:2659052|offset_93|444444&amp;v=2658917:2659252&amp;c=444444", "offset 31")</f>
        <v>offset 31</v>
      </c>
    </row>
    <row r="8434" customFormat="false" ht="12.8" hidden="false" customHeight="false" outlineLevel="0" collapsed="false">
      <c r="A8434" s="0" t="s">
        <v>12</v>
      </c>
      <c r="B8434" s="0" t="n">
        <v>2659055</v>
      </c>
      <c r="C8434" s="0" t="n">
        <v>2659075</v>
      </c>
      <c r="D8434" s="0" t="s">
        <v>28061</v>
      </c>
      <c r="E8434" s="0" t="s">
        <v>28062</v>
      </c>
      <c r="F8434" s="0" t="s">
        <v>90</v>
      </c>
      <c r="G8434" s="0" t="s">
        <v>20</v>
      </c>
      <c r="H8434" s="0" t="n">
        <v>70</v>
      </c>
      <c r="I8434" s="0" t="s">
        <v>28069</v>
      </c>
      <c r="J8434" s="0" t="s">
        <v>28070</v>
      </c>
      <c r="K8434" s="0" t="s">
        <v>28071</v>
      </c>
      <c r="L8434" s="0" t="str">
        <f aca="false">HYPERLINK("https://www.ncbi.nlm.nih.gov/nuccore/CP000058.1?report=graph&amp;tracks=[key:gene_model_track,Options:GeneOnly]&amp;mk=2659118:2659137|offset_8|444444,2659095:2659114|offset_31|444444,2659056:2659075|offset_70|00cc00,2659033:2659052|offset_93|444444&amp;v=2658917:2659252&amp;c=444444", "offset 70")</f>
        <v>offset 70</v>
      </c>
    </row>
    <row r="8435" customFormat="false" ht="12.8" hidden="false" customHeight="false" outlineLevel="0" collapsed="false">
      <c r="A8435" s="0" t="s">
        <v>12</v>
      </c>
      <c r="B8435" s="0" t="n">
        <v>2659032</v>
      </c>
      <c r="C8435" s="0" t="n">
        <v>2659052</v>
      </c>
      <c r="D8435" s="0" t="s">
        <v>28061</v>
      </c>
      <c r="E8435" s="0" t="s">
        <v>28062</v>
      </c>
      <c r="F8435" s="0" t="s">
        <v>90</v>
      </c>
      <c r="G8435" s="0" t="s">
        <v>36</v>
      </c>
      <c r="H8435" s="0" t="n">
        <v>93</v>
      </c>
      <c r="I8435" s="0" t="s">
        <v>28072</v>
      </c>
      <c r="J8435" s="0" t="s">
        <v>28073</v>
      </c>
      <c r="K8435" s="0" t="s">
        <v>28074</v>
      </c>
      <c r="L8435" s="0" t="str">
        <f aca="false">HYPERLINK("https://www.ncbi.nlm.nih.gov/nuccore/CP000058.1?report=graph&amp;tracks=[key:gene_model_track,Options:GeneOnly]&amp;mk=2659118:2659137|offset_8|444444,2659095:2659114|offset_31|444444,2659056:2659075|offset_70|444444,2659033:2659052|offset_93|00cc00&amp;v=2658917:2659252&amp;c=444444", "offset 93")</f>
        <v>offset 93</v>
      </c>
    </row>
    <row r="8436" customFormat="false" ht="12.8" hidden="false" customHeight="false" outlineLevel="0" collapsed="false">
      <c r="A8436" s="0" t="s">
        <v>12</v>
      </c>
      <c r="B8436" s="0" t="n">
        <v>2660746</v>
      </c>
      <c r="C8436" s="0" t="n">
        <v>2660766</v>
      </c>
      <c r="D8436" s="0" t="s">
        <v>28075</v>
      </c>
      <c r="E8436" s="0" t="s">
        <v>75</v>
      </c>
      <c r="F8436" s="0" t="s">
        <v>90</v>
      </c>
      <c r="G8436" s="0" t="s">
        <v>16</v>
      </c>
      <c r="H8436" s="0" t="n">
        <v>7</v>
      </c>
      <c r="I8436" s="0" t="s">
        <v>28076</v>
      </c>
      <c r="J8436" s="0" t="s">
        <v>28077</v>
      </c>
      <c r="K8436" s="0" t="s">
        <v>28078</v>
      </c>
      <c r="L8436" s="0" t="str">
        <f aca="false">HYPERLINK("https://www.ncbi.nlm.nih.gov/nuccore/CP000058.1?report=graph&amp;tracks=[key:gene_model_track,Options:GeneOnly]&amp;mk=2660747:2660766|offset_7|00cc00,2660725:2660744|offset_29|444444,2660701:2660720|offset_53|444444,2660679:2660698|offset_75|444444&amp;v=2660546:2660898&amp;c=444444", "offset 7")</f>
        <v>offset 7</v>
      </c>
    </row>
    <row r="8437" customFormat="false" ht="12.8" hidden="false" customHeight="false" outlineLevel="0" collapsed="false">
      <c r="A8437" s="0" t="s">
        <v>12</v>
      </c>
      <c r="B8437" s="0" t="n">
        <v>2660724</v>
      </c>
      <c r="C8437" s="0" t="n">
        <v>2660744</v>
      </c>
      <c r="D8437" s="0" t="s">
        <v>28075</v>
      </c>
      <c r="E8437" s="0" t="s">
        <v>75</v>
      </c>
      <c r="F8437" s="0" t="s">
        <v>90</v>
      </c>
      <c r="G8437" s="0" t="s">
        <v>20</v>
      </c>
      <c r="H8437" s="0" t="n">
        <v>29</v>
      </c>
      <c r="I8437" s="0" t="s">
        <v>28079</v>
      </c>
      <c r="J8437" s="0" t="s">
        <v>28080</v>
      </c>
      <c r="K8437" s="0" t="s">
        <v>28081</v>
      </c>
      <c r="L8437" s="0" t="str">
        <f aca="false">HYPERLINK("https://www.ncbi.nlm.nih.gov/nuccore/CP000058.1?report=graph&amp;tracks=[key:gene_model_track,Options:GeneOnly]&amp;mk=2660747:2660766|offset_7|444444,2660725:2660744|offset_29|00cc00,2660701:2660720|offset_53|444444,2660679:2660698|offset_75|444444&amp;v=2660546:2660898&amp;c=444444", "offset 29")</f>
        <v>offset 29</v>
      </c>
    </row>
    <row r="8438" customFormat="false" ht="12.8" hidden="false" customHeight="false" outlineLevel="0" collapsed="false">
      <c r="A8438" s="0" t="s">
        <v>12</v>
      </c>
      <c r="B8438" s="0" t="n">
        <v>2660700</v>
      </c>
      <c r="C8438" s="0" t="n">
        <v>2660720</v>
      </c>
      <c r="D8438" s="0" t="s">
        <v>28075</v>
      </c>
      <c r="E8438" s="0" t="s">
        <v>75</v>
      </c>
      <c r="F8438" s="0" t="s">
        <v>90</v>
      </c>
      <c r="G8438" s="0" t="s">
        <v>20</v>
      </c>
      <c r="H8438" s="0" t="n">
        <v>53</v>
      </c>
      <c r="I8438" s="0" t="s">
        <v>28082</v>
      </c>
      <c r="J8438" s="0" t="s">
        <v>28083</v>
      </c>
      <c r="K8438" s="0" t="s">
        <v>28084</v>
      </c>
      <c r="L8438" s="0" t="str">
        <f aca="false">HYPERLINK("https://www.ncbi.nlm.nih.gov/nuccore/CP000058.1?report=graph&amp;tracks=[key:gene_model_track,Options:GeneOnly]&amp;mk=2660747:2660766|offset_7|444444,2660725:2660744|offset_29|444444,2660701:2660720|offset_53|00cc00,2660679:2660698|offset_75|444444&amp;v=2660546:2660898&amp;c=444444", "offset 53")</f>
        <v>offset 53</v>
      </c>
    </row>
    <row r="8439" customFormat="false" ht="12.8" hidden="false" customHeight="false" outlineLevel="0" collapsed="false">
      <c r="A8439" s="0" t="s">
        <v>12</v>
      </c>
      <c r="B8439" s="0" t="n">
        <v>2660678</v>
      </c>
      <c r="C8439" s="0" t="n">
        <v>2660698</v>
      </c>
      <c r="D8439" s="0" t="s">
        <v>28075</v>
      </c>
      <c r="E8439" s="0" t="s">
        <v>75</v>
      </c>
      <c r="F8439" s="0" t="s">
        <v>90</v>
      </c>
      <c r="G8439" s="0" t="s">
        <v>36</v>
      </c>
      <c r="H8439" s="0" t="n">
        <v>75</v>
      </c>
      <c r="I8439" s="0" t="s">
        <v>28085</v>
      </c>
      <c r="J8439" s="0" t="s">
        <v>28086</v>
      </c>
      <c r="K8439" s="0" t="s">
        <v>28087</v>
      </c>
      <c r="L8439" s="0" t="str">
        <f aca="false">HYPERLINK("https://www.ncbi.nlm.nih.gov/nuccore/CP000058.1?report=graph&amp;tracks=[key:gene_model_track,Options:GeneOnly]&amp;mk=2660747:2660766|offset_7|444444,2660725:2660744|offset_29|444444,2660701:2660720|offset_53|444444,2660679:2660698|offset_75|00cc00&amp;v=2660546:2660898&amp;c=444444", "offset 75")</f>
        <v>offset 75</v>
      </c>
    </row>
    <row r="8440" customFormat="false" ht="12.8" hidden="false" customHeight="false" outlineLevel="0" collapsed="false">
      <c r="A8440" s="0" t="s">
        <v>12</v>
      </c>
      <c r="B8440" s="0" t="n">
        <v>2663712</v>
      </c>
      <c r="C8440" s="0" t="n">
        <v>2663732</v>
      </c>
      <c r="D8440" s="0" t="s">
        <v>28088</v>
      </c>
      <c r="E8440" s="0" t="s">
        <v>75</v>
      </c>
      <c r="F8440" s="0" t="s">
        <v>90</v>
      </c>
      <c r="G8440" s="0" t="s">
        <v>16</v>
      </c>
      <c r="H8440" s="0" t="n">
        <v>1</v>
      </c>
      <c r="I8440" s="0" t="s">
        <v>28089</v>
      </c>
      <c r="J8440" s="0" t="s">
        <v>28090</v>
      </c>
      <c r="K8440" s="0" t="s">
        <v>28091</v>
      </c>
      <c r="L8440" s="0" t="str">
        <f aca="false">HYPERLINK("https://www.ncbi.nlm.nih.gov/nuccore/CP000058.1?report=graph&amp;tracks=[key:gene_model_track,Options:GeneOnly]&amp;mk=2663713:2663732|offset_1|00cc00,2663683:2663702|offset_31|444444,2663661:2663680|offset_53|444444,2663627:2663646|offset_87|444444&amp;v=2663512:2663846&amp;c=444444", "offset 1")</f>
        <v>offset 1</v>
      </c>
    </row>
    <row r="8441" customFormat="false" ht="12.8" hidden="false" customHeight="false" outlineLevel="0" collapsed="false">
      <c r="A8441" s="0" t="s">
        <v>12</v>
      </c>
      <c r="B8441" s="0" t="n">
        <v>2663682</v>
      </c>
      <c r="C8441" s="0" t="n">
        <v>2663702</v>
      </c>
      <c r="D8441" s="0" t="s">
        <v>28088</v>
      </c>
      <c r="E8441" s="0" t="s">
        <v>75</v>
      </c>
      <c r="F8441" s="0" t="s">
        <v>90</v>
      </c>
      <c r="G8441" s="0" t="s">
        <v>16</v>
      </c>
      <c r="H8441" s="0" t="n">
        <v>31</v>
      </c>
      <c r="I8441" s="0" t="s">
        <v>28092</v>
      </c>
      <c r="J8441" s="0" t="s">
        <v>28093</v>
      </c>
      <c r="K8441" s="0" t="s">
        <v>28094</v>
      </c>
      <c r="L8441" s="0" t="str">
        <f aca="false">HYPERLINK("https://www.ncbi.nlm.nih.gov/nuccore/CP000058.1?report=graph&amp;tracks=[key:gene_model_track,Options:GeneOnly]&amp;mk=2663713:2663732|offset_1|444444,2663683:2663702|offset_31|00cc00,2663661:2663680|offset_53|444444,2663627:2663646|offset_87|444444&amp;v=2663512:2663846&amp;c=444444", "offset 31")</f>
        <v>offset 31</v>
      </c>
    </row>
    <row r="8442" customFormat="false" ht="12.8" hidden="false" customHeight="false" outlineLevel="0" collapsed="false">
      <c r="A8442" s="0" t="s">
        <v>12</v>
      </c>
      <c r="B8442" s="0" t="n">
        <v>2663660</v>
      </c>
      <c r="C8442" s="0" t="n">
        <v>2663680</v>
      </c>
      <c r="D8442" s="0" t="s">
        <v>28088</v>
      </c>
      <c r="E8442" s="0" t="s">
        <v>75</v>
      </c>
      <c r="F8442" s="0" t="s">
        <v>90</v>
      </c>
      <c r="G8442" s="0" t="s">
        <v>20</v>
      </c>
      <c r="H8442" s="0" t="n">
        <v>53</v>
      </c>
      <c r="I8442" s="0" t="s">
        <v>28095</v>
      </c>
      <c r="J8442" s="0" t="s">
        <v>28096</v>
      </c>
      <c r="K8442" s="0" t="s">
        <v>28097</v>
      </c>
      <c r="L8442" s="0" t="str">
        <f aca="false">HYPERLINK("https://www.ncbi.nlm.nih.gov/nuccore/CP000058.1?report=graph&amp;tracks=[key:gene_model_track,Options:GeneOnly]&amp;mk=2663713:2663732|offset_1|444444,2663683:2663702|offset_31|444444,2663661:2663680|offset_53|00cc00,2663627:2663646|offset_87|444444&amp;v=2663512:2663846&amp;c=444444", "offset 53")</f>
        <v>offset 53</v>
      </c>
    </row>
    <row r="8443" customFormat="false" ht="12.8" hidden="false" customHeight="false" outlineLevel="0" collapsed="false">
      <c r="A8443" s="0" t="s">
        <v>12</v>
      </c>
      <c r="B8443" s="0" t="n">
        <v>2663626</v>
      </c>
      <c r="C8443" s="0" t="n">
        <v>2663646</v>
      </c>
      <c r="D8443" s="0" t="s">
        <v>28088</v>
      </c>
      <c r="E8443" s="0" t="s">
        <v>75</v>
      </c>
      <c r="F8443" s="0" t="s">
        <v>90</v>
      </c>
      <c r="G8443" s="0" t="s">
        <v>16</v>
      </c>
      <c r="H8443" s="0" t="n">
        <v>87</v>
      </c>
      <c r="I8443" s="0" t="s">
        <v>28098</v>
      </c>
      <c r="J8443" s="0" t="s">
        <v>28099</v>
      </c>
      <c r="K8443" s="0" t="s">
        <v>28100</v>
      </c>
      <c r="L8443" s="0" t="str">
        <f aca="false">HYPERLINK("https://www.ncbi.nlm.nih.gov/nuccore/CP000058.1?report=graph&amp;tracks=[key:gene_model_track,Options:GeneOnly]&amp;mk=2663713:2663732|offset_1|444444,2663683:2663702|offset_31|444444,2663661:2663680|offset_53|444444,2663627:2663646|offset_87|00cc00&amp;v=2663512:2663846&amp;c=444444", "offset 87")</f>
        <v>offset 87</v>
      </c>
    </row>
    <row r="8444" customFormat="false" ht="12.8" hidden="false" customHeight="false" outlineLevel="0" collapsed="false">
      <c r="A8444" s="0" t="s">
        <v>12</v>
      </c>
      <c r="B8444" s="0" t="n">
        <v>2663903</v>
      </c>
      <c r="C8444" s="0" t="n">
        <v>2663923</v>
      </c>
      <c r="D8444" s="0" t="s">
        <v>28101</v>
      </c>
      <c r="E8444" s="0" t="s">
        <v>75</v>
      </c>
      <c r="F8444" s="0" t="s">
        <v>15</v>
      </c>
      <c r="G8444" s="0" t="s">
        <v>36</v>
      </c>
      <c r="H8444" s="0" t="n">
        <v>31</v>
      </c>
      <c r="I8444" s="0" t="s">
        <v>28102</v>
      </c>
      <c r="J8444" s="0" t="s">
        <v>28103</v>
      </c>
      <c r="K8444" s="0" t="s">
        <v>28104</v>
      </c>
      <c r="L8444" s="0" t="str">
        <f aca="false">HYPERLINK("https://www.ncbi.nlm.nih.gov/nuccore/CP000058.1?report=graph&amp;tracks=[key:gene_model_track,Options:GeneOnly]&amp;mk=2663904:2663923|offset_31|00cc00,2663954:2663973|offset_81|444444,2664027:2664046|offset_154|444444,2664054:2664073|offset_181|444444&amp;v=2663703:2664273&amp;c=444444", "offset 31")</f>
        <v>offset 31</v>
      </c>
    </row>
    <row r="8445" customFormat="false" ht="12.8" hidden="false" customHeight="false" outlineLevel="0" collapsed="false">
      <c r="A8445" s="0" t="s">
        <v>12</v>
      </c>
      <c r="B8445" s="0" t="n">
        <v>2663953</v>
      </c>
      <c r="C8445" s="0" t="n">
        <v>2663973</v>
      </c>
      <c r="D8445" s="0" t="s">
        <v>28101</v>
      </c>
      <c r="E8445" s="0" t="s">
        <v>75</v>
      </c>
      <c r="F8445" s="0" t="s">
        <v>15</v>
      </c>
      <c r="G8445" s="0" t="s">
        <v>36</v>
      </c>
      <c r="H8445" s="0" t="n">
        <v>81</v>
      </c>
      <c r="I8445" s="0" t="s">
        <v>28105</v>
      </c>
      <c r="J8445" s="0" t="s">
        <v>28106</v>
      </c>
      <c r="K8445" s="0" t="s">
        <v>28107</v>
      </c>
      <c r="L8445" s="0" t="str">
        <f aca="false">HYPERLINK("https://www.ncbi.nlm.nih.gov/nuccore/CP000058.1?report=graph&amp;tracks=[key:gene_model_track,Options:GeneOnly]&amp;mk=2663904:2663923|offset_31|444444,2663954:2663973|offset_81|00cc00,2664027:2664046|offset_154|444444,2664054:2664073|offset_181|444444&amp;v=2663703:2664273&amp;c=444444", "offset 81")</f>
        <v>offset 81</v>
      </c>
    </row>
    <row r="8446" customFormat="false" ht="12.8" hidden="false" customHeight="false" outlineLevel="0" collapsed="false">
      <c r="A8446" s="0" t="s">
        <v>12</v>
      </c>
      <c r="B8446" s="0" t="n">
        <v>2664026</v>
      </c>
      <c r="C8446" s="0" t="n">
        <v>2664046</v>
      </c>
      <c r="D8446" s="0" t="s">
        <v>28101</v>
      </c>
      <c r="E8446" s="0" t="s">
        <v>75</v>
      </c>
      <c r="F8446" s="0" t="s">
        <v>15</v>
      </c>
      <c r="G8446" s="0" t="s">
        <v>32</v>
      </c>
      <c r="H8446" s="0" t="n">
        <v>154</v>
      </c>
      <c r="I8446" s="0" t="s">
        <v>28108</v>
      </c>
      <c r="J8446" s="0" t="s">
        <v>28109</v>
      </c>
      <c r="K8446" s="0" t="s">
        <v>28110</v>
      </c>
      <c r="L8446" s="0" t="str">
        <f aca="false">HYPERLINK("https://www.ncbi.nlm.nih.gov/nuccore/CP000058.1?report=graph&amp;tracks=[key:gene_model_track,Options:GeneOnly]&amp;mk=2663904:2663923|offset_31|444444,2663954:2663973|offset_81|444444,2664027:2664046|offset_154|00cc00,2664054:2664073|offset_181|444444&amp;v=2663703:2664273&amp;c=444444", "offset 154")</f>
        <v>offset 154</v>
      </c>
    </row>
    <row r="8447" customFormat="false" ht="12.8" hidden="false" customHeight="false" outlineLevel="0" collapsed="false">
      <c r="A8447" s="0" t="s">
        <v>12</v>
      </c>
      <c r="B8447" s="0" t="n">
        <v>2664053</v>
      </c>
      <c r="C8447" s="0" t="n">
        <v>2664073</v>
      </c>
      <c r="D8447" s="0" t="s">
        <v>28101</v>
      </c>
      <c r="E8447" s="0" t="s">
        <v>75</v>
      </c>
      <c r="F8447" s="0" t="s">
        <v>15</v>
      </c>
      <c r="G8447" s="0" t="s">
        <v>16</v>
      </c>
      <c r="H8447" s="0" t="n">
        <v>181</v>
      </c>
      <c r="I8447" s="0" t="s">
        <v>28111</v>
      </c>
      <c r="J8447" s="0" t="s">
        <v>28112</v>
      </c>
      <c r="K8447" s="0" t="s">
        <v>28113</v>
      </c>
      <c r="L8447" s="0" t="str">
        <f aca="false">HYPERLINK("https://www.ncbi.nlm.nih.gov/nuccore/CP000058.1?report=graph&amp;tracks=[key:gene_model_track,Options:GeneOnly]&amp;mk=2663904:2663923|offset_31|444444,2663954:2663973|offset_81|444444,2664027:2664046|offset_154|444444,2664054:2664073|offset_181|00cc00&amp;v=2663703:2664273&amp;c=444444", "offset 181")</f>
        <v>offset 181</v>
      </c>
    </row>
    <row r="8448" customFormat="false" ht="12.8" hidden="false" customHeight="false" outlineLevel="0" collapsed="false">
      <c r="A8448" s="0" t="s">
        <v>12</v>
      </c>
      <c r="B8448" s="0" t="n">
        <v>2665099</v>
      </c>
      <c r="C8448" s="0" t="n">
        <v>2665119</v>
      </c>
      <c r="D8448" s="0" t="s">
        <v>28114</v>
      </c>
      <c r="E8448" s="0" t="s">
        <v>75</v>
      </c>
      <c r="F8448" s="0" t="s">
        <v>15</v>
      </c>
      <c r="G8448" s="0" t="s">
        <v>32</v>
      </c>
      <c r="H8448" s="0" t="n">
        <v>1</v>
      </c>
      <c r="I8448" s="0" t="s">
        <v>28115</v>
      </c>
      <c r="J8448" s="0" t="s">
        <v>28116</v>
      </c>
      <c r="K8448" s="0" t="s">
        <v>28117</v>
      </c>
      <c r="L8448" s="0" t="str">
        <f aca="false">HYPERLINK("https://www.ncbi.nlm.nih.gov/nuccore/CP000058.1?report=graph&amp;tracks=[key:gene_model_track,Options:GeneOnly]&amp;mk=2665100:2665119|offset_1|00cc00,2665120:2665139|offset_21|444444,2665142:2665161|offset_43|444444,2665164:2665183|offset_65|444444&amp;v=2664899:2665383&amp;c=444444", "offset 1")</f>
        <v>offset 1</v>
      </c>
    </row>
    <row r="8449" customFormat="false" ht="12.8" hidden="false" customHeight="false" outlineLevel="0" collapsed="false">
      <c r="A8449" s="0" t="s">
        <v>12</v>
      </c>
      <c r="B8449" s="0" t="n">
        <v>2665119</v>
      </c>
      <c r="C8449" s="0" t="n">
        <v>2665139</v>
      </c>
      <c r="D8449" s="0" t="s">
        <v>28114</v>
      </c>
      <c r="E8449" s="0" t="s">
        <v>75</v>
      </c>
      <c r="F8449" s="0" t="s">
        <v>15</v>
      </c>
      <c r="G8449" s="0" t="s">
        <v>36</v>
      </c>
      <c r="H8449" s="0" t="n">
        <v>21</v>
      </c>
      <c r="I8449" s="0" t="s">
        <v>28118</v>
      </c>
      <c r="J8449" s="0" t="s">
        <v>28119</v>
      </c>
      <c r="K8449" s="0" t="s">
        <v>28120</v>
      </c>
      <c r="L8449" s="0" t="str">
        <f aca="false">HYPERLINK("https://www.ncbi.nlm.nih.gov/nuccore/CP000058.1?report=graph&amp;tracks=[key:gene_model_track,Options:GeneOnly]&amp;mk=2665100:2665119|offset_1|444444,2665120:2665139|offset_21|00cc00,2665142:2665161|offset_43|444444,2665164:2665183|offset_65|444444&amp;v=2664899:2665383&amp;c=444444", "offset 21")</f>
        <v>offset 21</v>
      </c>
    </row>
    <row r="8450" customFormat="false" ht="12.8" hidden="false" customHeight="false" outlineLevel="0" collapsed="false">
      <c r="A8450" s="0" t="s">
        <v>12</v>
      </c>
      <c r="B8450" s="0" t="n">
        <v>2665141</v>
      </c>
      <c r="C8450" s="0" t="n">
        <v>2665161</v>
      </c>
      <c r="D8450" s="0" t="s">
        <v>28114</v>
      </c>
      <c r="E8450" s="0" t="s">
        <v>75</v>
      </c>
      <c r="F8450" s="0" t="s">
        <v>15</v>
      </c>
      <c r="G8450" s="0" t="s">
        <v>36</v>
      </c>
      <c r="H8450" s="0" t="n">
        <v>43</v>
      </c>
      <c r="I8450" s="0" t="s">
        <v>28121</v>
      </c>
      <c r="J8450" s="0" t="s">
        <v>28122</v>
      </c>
      <c r="K8450" s="0" t="s">
        <v>28123</v>
      </c>
      <c r="L8450" s="0" t="str">
        <f aca="false">HYPERLINK("https://www.ncbi.nlm.nih.gov/nuccore/CP000058.1?report=graph&amp;tracks=[key:gene_model_track,Options:GeneOnly]&amp;mk=2665100:2665119|offset_1|444444,2665120:2665139|offset_21|444444,2665142:2665161|offset_43|00cc00,2665164:2665183|offset_65|444444&amp;v=2664899:2665383&amp;c=444444", "offset 43")</f>
        <v>offset 43</v>
      </c>
    </row>
    <row r="8451" customFormat="false" ht="12.8" hidden="false" customHeight="false" outlineLevel="0" collapsed="false">
      <c r="A8451" s="0" t="s">
        <v>12</v>
      </c>
      <c r="B8451" s="0" t="n">
        <v>2665163</v>
      </c>
      <c r="C8451" s="0" t="n">
        <v>2665183</v>
      </c>
      <c r="D8451" s="0" t="s">
        <v>28114</v>
      </c>
      <c r="E8451" s="0" t="s">
        <v>75</v>
      </c>
      <c r="F8451" s="0" t="s">
        <v>15</v>
      </c>
      <c r="G8451" s="0" t="s">
        <v>20</v>
      </c>
      <c r="H8451" s="0" t="n">
        <v>65</v>
      </c>
      <c r="I8451" s="0" t="s">
        <v>28124</v>
      </c>
      <c r="J8451" s="0" t="s">
        <v>28125</v>
      </c>
      <c r="K8451" s="0" t="s">
        <v>28126</v>
      </c>
      <c r="L8451" s="0" t="str">
        <f aca="false">HYPERLINK("https://www.ncbi.nlm.nih.gov/nuccore/CP000058.1?report=graph&amp;tracks=[key:gene_model_track,Options:GeneOnly]&amp;mk=2665100:2665119|offset_1|444444,2665120:2665139|offset_21|444444,2665142:2665161|offset_43|444444,2665164:2665183|offset_65|00cc00&amp;v=2664899:2665383&amp;c=444444", "offset 65")</f>
        <v>offset 65</v>
      </c>
    </row>
    <row r="8452" customFormat="false" ht="12.8" hidden="false" customHeight="false" outlineLevel="0" collapsed="false">
      <c r="A8452" s="0" t="s">
        <v>12</v>
      </c>
      <c r="B8452" s="0" t="n">
        <v>2665405</v>
      </c>
      <c r="C8452" s="0" t="n">
        <v>2665425</v>
      </c>
      <c r="D8452" s="0" t="s">
        <v>28127</v>
      </c>
      <c r="E8452" s="0" t="s">
        <v>75</v>
      </c>
      <c r="F8452" s="0" t="s">
        <v>15</v>
      </c>
      <c r="G8452" s="0" t="s">
        <v>36</v>
      </c>
      <c r="H8452" s="0" t="n">
        <v>6</v>
      </c>
      <c r="I8452" s="0" t="s">
        <v>28128</v>
      </c>
      <c r="J8452" s="0" t="s">
        <v>28129</v>
      </c>
      <c r="K8452" s="0" t="s">
        <v>28130</v>
      </c>
      <c r="L8452" s="0" t="str">
        <f aca="false">HYPERLINK("https://www.ncbi.nlm.nih.gov/nuccore/CP000058.1?report=graph&amp;tracks=[key:gene_model_track,Options:GeneOnly]&amp;mk=2665406:2665425|offset_6|00cc00,2665446:2665465|offset_46|444444,2665467:2665486|offset_67|444444,2665499:2665518|offset_99|444444&amp;v=2665205:2665718&amp;c=444444", "offset 6")</f>
        <v>offset 6</v>
      </c>
    </row>
    <row r="8453" customFormat="false" ht="12.8" hidden="false" customHeight="false" outlineLevel="0" collapsed="false">
      <c r="A8453" s="0" t="s">
        <v>12</v>
      </c>
      <c r="B8453" s="0" t="n">
        <v>2665445</v>
      </c>
      <c r="C8453" s="0" t="n">
        <v>2665465</v>
      </c>
      <c r="D8453" s="0" t="s">
        <v>28127</v>
      </c>
      <c r="E8453" s="0" t="s">
        <v>75</v>
      </c>
      <c r="F8453" s="0" t="s">
        <v>15</v>
      </c>
      <c r="G8453" s="0" t="s">
        <v>20</v>
      </c>
      <c r="H8453" s="0" t="n">
        <v>46</v>
      </c>
      <c r="I8453" s="0" t="s">
        <v>28131</v>
      </c>
      <c r="J8453" s="0" t="s">
        <v>28132</v>
      </c>
      <c r="K8453" s="0" t="s">
        <v>28133</v>
      </c>
      <c r="L8453" s="0" t="str">
        <f aca="false">HYPERLINK("https://www.ncbi.nlm.nih.gov/nuccore/CP000058.1?report=graph&amp;tracks=[key:gene_model_track,Options:GeneOnly]&amp;mk=2665406:2665425|offset_6|444444,2665446:2665465|offset_46|00cc00,2665467:2665486|offset_67|444444,2665499:2665518|offset_99|444444&amp;v=2665205:2665718&amp;c=444444", "offset 46")</f>
        <v>offset 46</v>
      </c>
    </row>
    <row r="8454" customFormat="false" ht="12.8" hidden="false" customHeight="false" outlineLevel="0" collapsed="false">
      <c r="A8454" s="0" t="s">
        <v>12</v>
      </c>
      <c r="B8454" s="0" t="n">
        <v>2665466</v>
      </c>
      <c r="C8454" s="0" t="n">
        <v>2665486</v>
      </c>
      <c r="D8454" s="0" t="s">
        <v>28127</v>
      </c>
      <c r="E8454" s="0" t="s">
        <v>75</v>
      </c>
      <c r="F8454" s="0" t="s">
        <v>15</v>
      </c>
      <c r="G8454" s="0" t="s">
        <v>32</v>
      </c>
      <c r="H8454" s="0" t="n">
        <v>67</v>
      </c>
      <c r="I8454" s="0" t="s">
        <v>28134</v>
      </c>
      <c r="J8454" s="0" t="s">
        <v>28135</v>
      </c>
      <c r="K8454" s="0" t="s">
        <v>28136</v>
      </c>
      <c r="L8454" s="0" t="str">
        <f aca="false">HYPERLINK("https://www.ncbi.nlm.nih.gov/nuccore/CP000058.1?report=graph&amp;tracks=[key:gene_model_track,Options:GeneOnly]&amp;mk=2665406:2665425|offset_6|444444,2665446:2665465|offset_46|444444,2665467:2665486|offset_67|00cc00,2665499:2665518|offset_99|444444&amp;v=2665205:2665718&amp;c=444444", "offset 67")</f>
        <v>offset 67</v>
      </c>
    </row>
    <row r="8455" customFormat="false" ht="12.8" hidden="false" customHeight="false" outlineLevel="0" collapsed="false">
      <c r="A8455" s="0" t="s">
        <v>12</v>
      </c>
      <c r="B8455" s="0" t="n">
        <v>2665498</v>
      </c>
      <c r="C8455" s="0" t="n">
        <v>2665518</v>
      </c>
      <c r="D8455" s="0" t="s">
        <v>28127</v>
      </c>
      <c r="E8455" s="0" t="s">
        <v>75</v>
      </c>
      <c r="F8455" s="0" t="s">
        <v>15</v>
      </c>
      <c r="G8455" s="0" t="s">
        <v>36</v>
      </c>
      <c r="H8455" s="0" t="n">
        <v>99</v>
      </c>
      <c r="I8455" s="0" t="s">
        <v>28137</v>
      </c>
      <c r="J8455" s="0" t="s">
        <v>28138</v>
      </c>
      <c r="K8455" s="0" t="s">
        <v>28139</v>
      </c>
      <c r="L8455" s="0" t="str">
        <f aca="false">HYPERLINK("https://www.ncbi.nlm.nih.gov/nuccore/CP000058.1?report=graph&amp;tracks=[key:gene_model_track,Options:GeneOnly]&amp;mk=2665406:2665425|offset_6|444444,2665446:2665465|offset_46|444444,2665467:2665486|offset_67|444444,2665499:2665518|offset_99|00cc00&amp;v=2665205:2665718&amp;c=444444", "offset 99")</f>
        <v>offset 99</v>
      </c>
    </row>
    <row r="8456" customFormat="false" ht="12.8" hidden="false" customHeight="false" outlineLevel="0" collapsed="false">
      <c r="A8456" s="0" t="s">
        <v>12</v>
      </c>
      <c r="B8456" s="0" t="n">
        <v>2666131</v>
      </c>
      <c r="C8456" s="0" t="n">
        <v>2666151</v>
      </c>
      <c r="D8456" s="0" t="s">
        <v>28140</v>
      </c>
      <c r="E8456" s="0" t="s">
        <v>75</v>
      </c>
      <c r="F8456" s="0" t="s">
        <v>15</v>
      </c>
      <c r="G8456" s="0" t="s">
        <v>20</v>
      </c>
      <c r="H8456" s="0" t="n">
        <v>15</v>
      </c>
      <c r="I8456" s="0" t="s">
        <v>28141</v>
      </c>
      <c r="J8456" s="0" t="s">
        <v>28142</v>
      </c>
      <c r="K8456" s="0" t="s">
        <v>28143</v>
      </c>
      <c r="L8456" s="0" t="str">
        <f aca="false">HYPERLINK("https://www.ncbi.nlm.nih.gov/nuccore/CP000058.1?report=graph&amp;tracks=[key:gene_model_track,Options:GeneOnly]&amp;mk=2666132:2666151|offset_15|00cc00,2666166:2666185|offset_49|444444,2666205:2666224|offset_88|444444,2666254:2666273|offset_137|444444&amp;v=2665931:2666473&amp;c=444444", "offset 15")</f>
        <v>offset 15</v>
      </c>
    </row>
    <row r="8457" customFormat="false" ht="12.8" hidden="false" customHeight="false" outlineLevel="0" collapsed="false">
      <c r="A8457" s="0" t="s">
        <v>12</v>
      </c>
      <c r="B8457" s="0" t="n">
        <v>2666165</v>
      </c>
      <c r="C8457" s="0" t="n">
        <v>2666185</v>
      </c>
      <c r="D8457" s="0" t="s">
        <v>28140</v>
      </c>
      <c r="E8457" s="0" t="s">
        <v>75</v>
      </c>
      <c r="F8457" s="0" t="s">
        <v>15</v>
      </c>
      <c r="G8457" s="0" t="s">
        <v>16</v>
      </c>
      <c r="H8457" s="0" t="n">
        <v>49</v>
      </c>
      <c r="I8457" s="0" t="s">
        <v>28144</v>
      </c>
      <c r="J8457" s="0" t="s">
        <v>28145</v>
      </c>
      <c r="K8457" s="0" t="s">
        <v>28146</v>
      </c>
      <c r="L8457" s="0" t="str">
        <f aca="false">HYPERLINK("https://www.ncbi.nlm.nih.gov/nuccore/CP000058.1?report=graph&amp;tracks=[key:gene_model_track,Options:GeneOnly]&amp;mk=2666132:2666151|offset_15|444444,2666166:2666185|offset_49|00cc00,2666205:2666224|offset_88|444444,2666254:2666273|offset_137|444444&amp;v=2665931:2666473&amp;c=444444", "offset 49")</f>
        <v>offset 49</v>
      </c>
    </row>
    <row r="8458" customFormat="false" ht="12.8" hidden="false" customHeight="false" outlineLevel="0" collapsed="false">
      <c r="A8458" s="0" t="s">
        <v>12</v>
      </c>
      <c r="B8458" s="0" t="n">
        <v>2666204</v>
      </c>
      <c r="C8458" s="0" t="n">
        <v>2666224</v>
      </c>
      <c r="D8458" s="0" t="s">
        <v>28140</v>
      </c>
      <c r="E8458" s="0" t="s">
        <v>75</v>
      </c>
      <c r="F8458" s="0" t="s">
        <v>15</v>
      </c>
      <c r="G8458" s="0" t="s">
        <v>16</v>
      </c>
      <c r="H8458" s="0" t="n">
        <v>88</v>
      </c>
      <c r="I8458" s="0" t="s">
        <v>28147</v>
      </c>
      <c r="J8458" s="0" t="s">
        <v>28148</v>
      </c>
      <c r="K8458" s="0" t="s">
        <v>28149</v>
      </c>
      <c r="L8458" s="0" t="str">
        <f aca="false">HYPERLINK("https://www.ncbi.nlm.nih.gov/nuccore/CP000058.1?report=graph&amp;tracks=[key:gene_model_track,Options:GeneOnly]&amp;mk=2666132:2666151|offset_15|444444,2666166:2666185|offset_49|444444,2666205:2666224|offset_88|00cc00,2666254:2666273|offset_137|444444&amp;v=2665931:2666473&amp;c=444444", "offset 88")</f>
        <v>offset 88</v>
      </c>
    </row>
    <row r="8459" customFormat="false" ht="12.8" hidden="false" customHeight="false" outlineLevel="0" collapsed="false">
      <c r="A8459" s="0" t="s">
        <v>12</v>
      </c>
      <c r="B8459" s="0" t="n">
        <v>2666253</v>
      </c>
      <c r="C8459" s="0" t="n">
        <v>2666273</v>
      </c>
      <c r="D8459" s="0" t="s">
        <v>28140</v>
      </c>
      <c r="E8459" s="0" t="s">
        <v>75</v>
      </c>
      <c r="F8459" s="0" t="s">
        <v>15</v>
      </c>
      <c r="G8459" s="0" t="s">
        <v>32</v>
      </c>
      <c r="H8459" s="0" t="n">
        <v>137</v>
      </c>
      <c r="I8459" s="0" t="s">
        <v>28150</v>
      </c>
      <c r="J8459" s="0" t="s">
        <v>28151</v>
      </c>
      <c r="K8459" s="0" t="s">
        <v>28152</v>
      </c>
      <c r="L8459" s="0" t="str">
        <f aca="false">HYPERLINK("https://www.ncbi.nlm.nih.gov/nuccore/CP000058.1?report=graph&amp;tracks=[key:gene_model_track,Options:GeneOnly]&amp;mk=2666132:2666151|offset_15|444444,2666166:2666185|offset_49|444444,2666205:2666224|offset_88|444444,2666254:2666273|offset_137|00cc00&amp;v=2665931:2666473&amp;c=444444", "offset 137")</f>
        <v>offset 137</v>
      </c>
    </row>
    <row r="8460" customFormat="false" ht="12.8" hidden="false" customHeight="false" outlineLevel="0" collapsed="false">
      <c r="A8460" s="0" t="s">
        <v>12</v>
      </c>
      <c r="B8460" s="0" t="n">
        <v>2667449</v>
      </c>
      <c r="C8460" s="0" t="n">
        <v>2667469</v>
      </c>
      <c r="D8460" s="0" t="s">
        <v>28153</v>
      </c>
      <c r="E8460" s="0" t="s">
        <v>75</v>
      </c>
      <c r="F8460" s="0" t="s">
        <v>90</v>
      </c>
      <c r="G8460" s="0" t="s">
        <v>36</v>
      </c>
      <c r="H8460" s="0" t="n">
        <v>6</v>
      </c>
      <c r="I8460" s="0" t="s">
        <v>28154</v>
      </c>
      <c r="J8460" s="0" t="s">
        <v>28155</v>
      </c>
      <c r="K8460" s="0" t="s">
        <v>28156</v>
      </c>
      <c r="L8460" s="0" t="str">
        <f aca="false">HYPERLINK("https://www.ncbi.nlm.nih.gov/nuccore/CP000058.1?report=graph&amp;tracks=[key:gene_model_track,Options:GeneOnly]&amp;mk=2667450:2667469|offset_6|00cc00,2667419:2667438|offset_37|444444,2667368:2667387|offset_88|444444,2667337:2667356|offset_119|444444&amp;v=2667249:2667556&amp;c=444444", "offset 6")</f>
        <v>offset 6</v>
      </c>
    </row>
    <row r="8461" customFormat="false" ht="12.8" hidden="false" customHeight="false" outlineLevel="0" collapsed="false">
      <c r="A8461" s="0" t="s">
        <v>12</v>
      </c>
      <c r="B8461" s="0" t="n">
        <v>2667418</v>
      </c>
      <c r="C8461" s="0" t="n">
        <v>2667438</v>
      </c>
      <c r="D8461" s="0" t="s">
        <v>28153</v>
      </c>
      <c r="E8461" s="0" t="s">
        <v>75</v>
      </c>
      <c r="F8461" s="0" t="s">
        <v>90</v>
      </c>
      <c r="G8461" s="0" t="s">
        <v>16</v>
      </c>
      <c r="H8461" s="0" t="n">
        <v>37</v>
      </c>
      <c r="I8461" s="0" t="s">
        <v>28157</v>
      </c>
      <c r="J8461" s="0" t="s">
        <v>28158</v>
      </c>
      <c r="K8461" s="0" t="s">
        <v>28159</v>
      </c>
      <c r="L8461" s="0" t="str">
        <f aca="false">HYPERLINK("https://www.ncbi.nlm.nih.gov/nuccore/CP000058.1?report=graph&amp;tracks=[key:gene_model_track,Options:GeneOnly]&amp;mk=2667450:2667469|offset_6|444444,2667419:2667438|offset_37|00cc00,2667368:2667387|offset_88|444444,2667337:2667356|offset_119|444444&amp;v=2667249:2667556&amp;c=444444", "offset 37")</f>
        <v>offset 37</v>
      </c>
    </row>
    <row r="8462" customFormat="false" ht="12.8" hidden="false" customHeight="false" outlineLevel="0" collapsed="false">
      <c r="A8462" s="0" t="s">
        <v>12</v>
      </c>
      <c r="B8462" s="0" t="n">
        <v>2667367</v>
      </c>
      <c r="C8462" s="0" t="n">
        <v>2667387</v>
      </c>
      <c r="D8462" s="0" t="s">
        <v>28153</v>
      </c>
      <c r="E8462" s="0" t="s">
        <v>75</v>
      </c>
      <c r="F8462" s="0" t="s">
        <v>90</v>
      </c>
      <c r="G8462" s="0" t="s">
        <v>36</v>
      </c>
      <c r="H8462" s="0" t="n">
        <v>88</v>
      </c>
      <c r="I8462" s="0" t="s">
        <v>28160</v>
      </c>
      <c r="J8462" s="0" t="s">
        <v>28161</v>
      </c>
      <c r="K8462" s="0" t="s">
        <v>28162</v>
      </c>
      <c r="L8462" s="0" t="str">
        <f aca="false">HYPERLINK("https://www.ncbi.nlm.nih.gov/nuccore/CP000058.1?report=graph&amp;tracks=[key:gene_model_track,Options:GeneOnly]&amp;mk=2667450:2667469|offset_6|444444,2667419:2667438|offset_37|444444,2667368:2667387|offset_88|00cc00,2667337:2667356|offset_119|444444&amp;v=2667249:2667556&amp;c=444444", "offset 88")</f>
        <v>offset 88</v>
      </c>
    </row>
    <row r="8463" customFormat="false" ht="12.8" hidden="false" customHeight="false" outlineLevel="0" collapsed="false">
      <c r="A8463" s="0" t="s">
        <v>12</v>
      </c>
      <c r="B8463" s="0" t="n">
        <v>2667336</v>
      </c>
      <c r="C8463" s="0" t="n">
        <v>2667356</v>
      </c>
      <c r="D8463" s="0" t="s">
        <v>28153</v>
      </c>
      <c r="E8463" s="0" t="s">
        <v>75</v>
      </c>
      <c r="F8463" s="0" t="s">
        <v>90</v>
      </c>
      <c r="G8463" s="0" t="s">
        <v>20</v>
      </c>
      <c r="H8463" s="0" t="n">
        <v>119</v>
      </c>
      <c r="I8463" s="0" t="s">
        <v>28163</v>
      </c>
      <c r="J8463" s="0" t="s">
        <v>28164</v>
      </c>
      <c r="K8463" s="0" t="s">
        <v>28165</v>
      </c>
      <c r="L8463" s="0" t="str">
        <f aca="false">HYPERLINK("https://www.ncbi.nlm.nih.gov/nuccore/CP000058.1?report=graph&amp;tracks=[key:gene_model_track,Options:GeneOnly]&amp;mk=2667450:2667469|offset_6|444444,2667419:2667438|offset_37|444444,2667368:2667387|offset_88|444444,2667337:2667356|offset_119|00cc00&amp;v=2667249:2667556&amp;c=444444", "offset 119")</f>
        <v>offset 119</v>
      </c>
    </row>
    <row r="8464" customFormat="false" ht="12.8" hidden="false" customHeight="false" outlineLevel="0" collapsed="false">
      <c r="A8464" s="0" t="s">
        <v>12</v>
      </c>
      <c r="B8464" s="0" t="n">
        <v>2668430</v>
      </c>
      <c r="C8464" s="0" t="n">
        <v>2668450</v>
      </c>
      <c r="D8464" s="0" t="s">
        <v>28166</v>
      </c>
      <c r="E8464" s="0" t="s">
        <v>75</v>
      </c>
      <c r="F8464" s="0" t="s">
        <v>90</v>
      </c>
      <c r="G8464" s="0" t="s">
        <v>16</v>
      </c>
      <c r="H8464" s="0" t="n">
        <v>26</v>
      </c>
      <c r="I8464" s="0" t="s">
        <v>28167</v>
      </c>
      <c r="J8464" s="0" t="s">
        <v>28168</v>
      </c>
      <c r="K8464" s="0" t="s">
        <v>28169</v>
      </c>
      <c r="L8464" s="0" t="str">
        <f aca="false">HYPERLINK("https://www.ncbi.nlm.nih.gov/nuccore/CP000058.1?report=graph&amp;tracks=[key:gene_model_track,Options:GeneOnly]&amp;mk=2668431:2668450|offset_26|00cc00,2668411:2668430|offset_46|444444,2668384:2668403|offset_73|444444,2668361:2668380|offset_96|444444&amp;v=2668230:2668580&amp;c=444444", "offset 26")</f>
        <v>offset 26</v>
      </c>
    </row>
    <row r="8465" customFormat="false" ht="12.8" hidden="false" customHeight="false" outlineLevel="0" collapsed="false">
      <c r="A8465" s="0" t="s">
        <v>12</v>
      </c>
      <c r="B8465" s="0" t="n">
        <v>2668410</v>
      </c>
      <c r="C8465" s="0" t="n">
        <v>2668430</v>
      </c>
      <c r="D8465" s="0" t="s">
        <v>28166</v>
      </c>
      <c r="E8465" s="0" t="s">
        <v>75</v>
      </c>
      <c r="F8465" s="0" t="s">
        <v>90</v>
      </c>
      <c r="G8465" s="0" t="s">
        <v>32</v>
      </c>
      <c r="H8465" s="0" t="n">
        <v>46</v>
      </c>
      <c r="I8465" s="0" t="s">
        <v>28170</v>
      </c>
      <c r="J8465" s="0" t="s">
        <v>28171</v>
      </c>
      <c r="K8465" s="0" t="s">
        <v>28172</v>
      </c>
      <c r="L8465" s="0" t="str">
        <f aca="false">HYPERLINK("https://www.ncbi.nlm.nih.gov/nuccore/CP000058.1?report=graph&amp;tracks=[key:gene_model_track,Options:GeneOnly]&amp;mk=2668431:2668450|offset_26|444444,2668411:2668430|offset_46|00cc00,2668384:2668403|offset_73|444444,2668361:2668380|offset_96|444444&amp;v=2668230:2668580&amp;c=444444", "offset 46")</f>
        <v>offset 46</v>
      </c>
    </row>
    <row r="8466" customFormat="false" ht="12.8" hidden="false" customHeight="false" outlineLevel="0" collapsed="false">
      <c r="A8466" s="0" t="s">
        <v>12</v>
      </c>
      <c r="B8466" s="0" t="n">
        <v>2668383</v>
      </c>
      <c r="C8466" s="0" t="n">
        <v>2668403</v>
      </c>
      <c r="D8466" s="0" t="s">
        <v>28166</v>
      </c>
      <c r="E8466" s="0" t="s">
        <v>75</v>
      </c>
      <c r="F8466" s="0" t="s">
        <v>90</v>
      </c>
      <c r="G8466" s="0" t="s">
        <v>16</v>
      </c>
      <c r="H8466" s="0" t="n">
        <v>73</v>
      </c>
      <c r="I8466" s="0" t="s">
        <v>28173</v>
      </c>
      <c r="J8466" s="0" t="s">
        <v>28174</v>
      </c>
      <c r="K8466" s="0" t="s">
        <v>28175</v>
      </c>
      <c r="L8466" s="0" t="str">
        <f aca="false">HYPERLINK("https://www.ncbi.nlm.nih.gov/nuccore/CP000058.1?report=graph&amp;tracks=[key:gene_model_track,Options:GeneOnly]&amp;mk=2668431:2668450|offset_26|444444,2668411:2668430|offset_46|444444,2668384:2668403|offset_73|00cc00,2668361:2668380|offset_96|444444&amp;v=2668230:2668580&amp;c=444444", "offset 73")</f>
        <v>offset 73</v>
      </c>
    </row>
    <row r="8467" customFormat="false" ht="12.8" hidden="false" customHeight="false" outlineLevel="0" collapsed="false">
      <c r="A8467" s="0" t="s">
        <v>12</v>
      </c>
      <c r="B8467" s="0" t="n">
        <v>2668360</v>
      </c>
      <c r="C8467" s="0" t="n">
        <v>2668380</v>
      </c>
      <c r="D8467" s="0" t="s">
        <v>28166</v>
      </c>
      <c r="E8467" s="0" t="s">
        <v>75</v>
      </c>
      <c r="F8467" s="0" t="s">
        <v>90</v>
      </c>
      <c r="G8467" s="0" t="s">
        <v>16</v>
      </c>
      <c r="H8467" s="0" t="n">
        <v>96</v>
      </c>
      <c r="I8467" s="0" t="s">
        <v>28176</v>
      </c>
      <c r="J8467" s="0" t="s">
        <v>28177</v>
      </c>
      <c r="K8467" s="0" t="s">
        <v>28178</v>
      </c>
      <c r="L8467" s="0" t="str">
        <f aca="false">HYPERLINK("https://www.ncbi.nlm.nih.gov/nuccore/CP000058.1?report=graph&amp;tracks=[key:gene_model_track,Options:GeneOnly]&amp;mk=2668431:2668450|offset_26|444444,2668411:2668430|offset_46|444444,2668384:2668403|offset_73|444444,2668361:2668380|offset_96|00cc00&amp;v=2668230:2668580&amp;c=444444", "offset 96")</f>
        <v>offset 96</v>
      </c>
    </row>
    <row r="8468" customFormat="false" ht="12.8" hidden="false" customHeight="false" outlineLevel="0" collapsed="false">
      <c r="A8468" s="0" t="s">
        <v>12</v>
      </c>
      <c r="B8468" s="0" t="n">
        <v>2668585</v>
      </c>
      <c r="C8468" s="0" t="n">
        <v>2668605</v>
      </c>
      <c r="D8468" s="0" t="s">
        <v>28179</v>
      </c>
      <c r="E8468" s="0" t="s">
        <v>75</v>
      </c>
      <c r="F8468" s="0" t="s">
        <v>15</v>
      </c>
      <c r="G8468" s="0" t="s">
        <v>32</v>
      </c>
      <c r="H8468" s="0" t="n">
        <v>1</v>
      </c>
      <c r="I8468" s="0" t="s">
        <v>28180</v>
      </c>
      <c r="J8468" s="0" t="s">
        <v>28181</v>
      </c>
      <c r="K8468" s="0" t="s">
        <v>28182</v>
      </c>
      <c r="L8468" s="0" t="str">
        <f aca="false">HYPERLINK("https://www.ncbi.nlm.nih.gov/nuccore/CP000058.1?report=graph&amp;tracks=[key:gene_model_track,Options:GeneOnly]&amp;mk=2668586:2668605|offset_1|00cc00,2668607:2668626|offset_22|444444,2668631:2668650|offset_46|444444,2668656:2668675|offset_71|444444&amp;v=2668385:2668875&amp;c=444444", "offset 1")</f>
        <v>offset 1</v>
      </c>
    </row>
    <row r="8469" customFormat="false" ht="12.8" hidden="false" customHeight="false" outlineLevel="0" collapsed="false">
      <c r="A8469" s="0" t="s">
        <v>12</v>
      </c>
      <c r="B8469" s="0" t="n">
        <v>2668606</v>
      </c>
      <c r="C8469" s="0" t="n">
        <v>2668626</v>
      </c>
      <c r="D8469" s="0" t="s">
        <v>28179</v>
      </c>
      <c r="E8469" s="0" t="s">
        <v>75</v>
      </c>
      <c r="F8469" s="0" t="s">
        <v>15</v>
      </c>
      <c r="G8469" s="0" t="s">
        <v>36</v>
      </c>
      <c r="H8469" s="0" t="n">
        <v>22</v>
      </c>
      <c r="I8469" s="0" t="s">
        <v>28183</v>
      </c>
      <c r="J8469" s="0" t="s">
        <v>28184</v>
      </c>
      <c r="K8469" s="0" t="s">
        <v>28185</v>
      </c>
      <c r="L8469" s="0" t="str">
        <f aca="false">HYPERLINK("https://www.ncbi.nlm.nih.gov/nuccore/CP000058.1?report=graph&amp;tracks=[key:gene_model_track,Options:GeneOnly]&amp;mk=2668586:2668605|offset_1|444444,2668607:2668626|offset_22|00cc00,2668631:2668650|offset_46|444444,2668656:2668675|offset_71|444444&amp;v=2668385:2668875&amp;c=444444", "offset 22")</f>
        <v>offset 22</v>
      </c>
    </row>
    <row r="8470" customFormat="false" ht="12.8" hidden="false" customHeight="false" outlineLevel="0" collapsed="false">
      <c r="A8470" s="0" t="s">
        <v>12</v>
      </c>
      <c r="B8470" s="0" t="n">
        <v>2668630</v>
      </c>
      <c r="C8470" s="0" t="n">
        <v>2668650</v>
      </c>
      <c r="D8470" s="0" t="s">
        <v>28179</v>
      </c>
      <c r="E8470" s="0" t="s">
        <v>75</v>
      </c>
      <c r="F8470" s="0" t="s">
        <v>15</v>
      </c>
      <c r="G8470" s="0" t="s">
        <v>20</v>
      </c>
      <c r="H8470" s="0" t="n">
        <v>46</v>
      </c>
      <c r="I8470" s="0" t="s">
        <v>28186</v>
      </c>
      <c r="J8470" s="0" t="s">
        <v>28187</v>
      </c>
      <c r="K8470" s="0" t="s">
        <v>28188</v>
      </c>
      <c r="L8470" s="0" t="str">
        <f aca="false">HYPERLINK("https://www.ncbi.nlm.nih.gov/nuccore/CP000058.1?report=graph&amp;tracks=[key:gene_model_track,Options:GeneOnly]&amp;mk=2668586:2668605|offset_1|444444,2668607:2668626|offset_22|444444,2668631:2668650|offset_46|00cc00,2668656:2668675|offset_71|444444&amp;v=2668385:2668875&amp;c=444444", "offset 46")</f>
        <v>offset 46</v>
      </c>
    </row>
    <row r="8471" customFormat="false" ht="12.8" hidden="false" customHeight="false" outlineLevel="0" collapsed="false">
      <c r="A8471" s="0" t="s">
        <v>12</v>
      </c>
      <c r="B8471" s="0" t="n">
        <v>2668655</v>
      </c>
      <c r="C8471" s="0" t="n">
        <v>2668675</v>
      </c>
      <c r="D8471" s="0" t="s">
        <v>28179</v>
      </c>
      <c r="E8471" s="0" t="s">
        <v>75</v>
      </c>
      <c r="F8471" s="0" t="s">
        <v>15</v>
      </c>
      <c r="G8471" s="0" t="s">
        <v>20</v>
      </c>
      <c r="H8471" s="0" t="n">
        <v>71</v>
      </c>
      <c r="I8471" s="0" t="s">
        <v>28189</v>
      </c>
      <c r="J8471" s="0" t="s">
        <v>28190</v>
      </c>
      <c r="K8471" s="0" t="s">
        <v>28191</v>
      </c>
      <c r="L8471" s="0" t="str">
        <f aca="false">HYPERLINK("https://www.ncbi.nlm.nih.gov/nuccore/CP000058.1?report=graph&amp;tracks=[key:gene_model_track,Options:GeneOnly]&amp;mk=2668586:2668605|offset_1|444444,2668607:2668626|offset_22|444444,2668631:2668650|offset_46|444444,2668656:2668675|offset_71|00cc00&amp;v=2668385:2668875&amp;c=444444", "offset 71")</f>
        <v>offset 71</v>
      </c>
    </row>
    <row r="8472" customFormat="false" ht="12.8" hidden="false" customHeight="false" outlineLevel="0" collapsed="false">
      <c r="A8472" s="0" t="s">
        <v>12</v>
      </c>
      <c r="B8472" s="0" t="n">
        <v>2669458</v>
      </c>
      <c r="C8472" s="0" t="n">
        <v>2669478</v>
      </c>
      <c r="D8472" s="0" t="s">
        <v>28192</v>
      </c>
      <c r="E8472" s="0" t="s">
        <v>75</v>
      </c>
      <c r="F8472" s="0" t="s">
        <v>15</v>
      </c>
      <c r="G8472" s="0" t="s">
        <v>32</v>
      </c>
      <c r="H8472" s="0" t="n">
        <v>22</v>
      </c>
      <c r="I8472" s="0" t="s">
        <v>28193</v>
      </c>
      <c r="J8472" s="0" t="s">
        <v>28194</v>
      </c>
      <c r="K8472" s="0" t="s">
        <v>28195</v>
      </c>
      <c r="L8472" s="0" t="str">
        <f aca="false">HYPERLINK("https://www.ncbi.nlm.nih.gov/nuccore/CP000058.1?report=graph&amp;tracks=[key:gene_model_track,Options:GeneOnly]&amp;mk=2669459:2669478|offset_22|00cc00,2669511:2669530|offset_74|444444,2669546:2669565|offset_109|444444,2669567:2669586|offset_130|444444&amp;v=2669258:2669786&amp;c=444444", "offset 22")</f>
        <v>offset 22</v>
      </c>
    </row>
    <row r="8473" customFormat="false" ht="12.8" hidden="false" customHeight="false" outlineLevel="0" collapsed="false">
      <c r="A8473" s="0" t="s">
        <v>12</v>
      </c>
      <c r="B8473" s="0" t="n">
        <v>2669510</v>
      </c>
      <c r="C8473" s="0" t="n">
        <v>2669530</v>
      </c>
      <c r="D8473" s="0" t="s">
        <v>28192</v>
      </c>
      <c r="E8473" s="0" t="s">
        <v>75</v>
      </c>
      <c r="F8473" s="0" t="s">
        <v>15</v>
      </c>
      <c r="G8473" s="0" t="s">
        <v>20</v>
      </c>
      <c r="H8473" s="0" t="n">
        <v>74</v>
      </c>
      <c r="I8473" s="0" t="s">
        <v>28196</v>
      </c>
      <c r="J8473" s="0" t="s">
        <v>28197</v>
      </c>
      <c r="K8473" s="0" t="s">
        <v>28198</v>
      </c>
      <c r="L8473" s="0" t="str">
        <f aca="false">HYPERLINK("https://www.ncbi.nlm.nih.gov/nuccore/CP000058.1?report=graph&amp;tracks=[key:gene_model_track,Options:GeneOnly]&amp;mk=2669459:2669478|offset_22|444444,2669511:2669530|offset_74|00cc00,2669546:2669565|offset_109|444444,2669567:2669586|offset_130|444444&amp;v=2669258:2669786&amp;c=444444", "offset 74")</f>
        <v>offset 74</v>
      </c>
    </row>
    <row r="8474" customFormat="false" ht="12.8" hidden="false" customHeight="false" outlineLevel="0" collapsed="false">
      <c r="A8474" s="0" t="s">
        <v>12</v>
      </c>
      <c r="B8474" s="0" t="n">
        <v>2669545</v>
      </c>
      <c r="C8474" s="0" t="n">
        <v>2669565</v>
      </c>
      <c r="D8474" s="0" t="s">
        <v>28192</v>
      </c>
      <c r="E8474" s="0" t="s">
        <v>75</v>
      </c>
      <c r="F8474" s="0" t="s">
        <v>15</v>
      </c>
      <c r="G8474" s="0" t="s">
        <v>16</v>
      </c>
      <c r="H8474" s="0" t="n">
        <v>109</v>
      </c>
      <c r="I8474" s="0" t="s">
        <v>28199</v>
      </c>
      <c r="J8474" s="0" t="s">
        <v>28200</v>
      </c>
      <c r="K8474" s="0" t="s">
        <v>28201</v>
      </c>
      <c r="L8474" s="0" t="str">
        <f aca="false">HYPERLINK("https://www.ncbi.nlm.nih.gov/nuccore/CP000058.1?report=graph&amp;tracks=[key:gene_model_track,Options:GeneOnly]&amp;mk=2669459:2669478|offset_22|444444,2669511:2669530|offset_74|444444,2669546:2669565|offset_109|00cc00,2669567:2669586|offset_130|444444&amp;v=2669258:2669786&amp;c=444444", "offset 109")</f>
        <v>offset 109</v>
      </c>
    </row>
    <row r="8475" customFormat="false" ht="12.8" hidden="false" customHeight="false" outlineLevel="0" collapsed="false">
      <c r="A8475" s="0" t="s">
        <v>12</v>
      </c>
      <c r="B8475" s="0" t="n">
        <v>2669566</v>
      </c>
      <c r="C8475" s="0" t="n">
        <v>2669586</v>
      </c>
      <c r="D8475" s="0" t="s">
        <v>28192</v>
      </c>
      <c r="E8475" s="0" t="s">
        <v>75</v>
      </c>
      <c r="F8475" s="0" t="s">
        <v>15</v>
      </c>
      <c r="G8475" s="0" t="s">
        <v>16</v>
      </c>
      <c r="H8475" s="0" t="n">
        <v>130</v>
      </c>
      <c r="I8475" s="0" t="s">
        <v>28202</v>
      </c>
      <c r="J8475" s="0" t="s">
        <v>28203</v>
      </c>
      <c r="K8475" s="0" t="s">
        <v>28204</v>
      </c>
      <c r="L8475" s="0" t="str">
        <f aca="false">HYPERLINK("https://www.ncbi.nlm.nih.gov/nuccore/CP000058.1?report=graph&amp;tracks=[key:gene_model_track,Options:GeneOnly]&amp;mk=2669459:2669478|offset_22|444444,2669511:2669530|offset_74|444444,2669546:2669565|offset_109|444444,2669567:2669586|offset_130|00cc00&amp;v=2669258:2669786&amp;c=444444", "offset 130")</f>
        <v>offset 130</v>
      </c>
    </row>
    <row r="8476" customFormat="false" ht="12.8" hidden="false" customHeight="false" outlineLevel="0" collapsed="false">
      <c r="A8476" s="0" t="s">
        <v>12</v>
      </c>
      <c r="B8476" s="0" t="n">
        <v>2673089</v>
      </c>
      <c r="C8476" s="0" t="n">
        <v>2673109</v>
      </c>
      <c r="D8476" s="0" t="s">
        <v>28205</v>
      </c>
      <c r="E8476" s="0" t="s">
        <v>75</v>
      </c>
      <c r="F8476" s="0" t="s">
        <v>90</v>
      </c>
      <c r="G8476" s="0" t="s">
        <v>16</v>
      </c>
      <c r="H8476" s="0" t="n">
        <v>21</v>
      </c>
      <c r="I8476" s="0" t="s">
        <v>28206</v>
      </c>
      <c r="J8476" s="0" t="s">
        <v>28207</v>
      </c>
      <c r="K8476" s="0" t="s">
        <v>28208</v>
      </c>
      <c r="L8476" s="0" t="str">
        <f aca="false">HYPERLINK("https://www.ncbi.nlm.nih.gov/nuccore/CP000058.1?report=graph&amp;tracks=[key:gene_model_track,Options:GeneOnly]&amp;mk=2673090:2673109|offset_21|00cc00,2673014:2673033|offset_97|444444,2672975:2672994|offset_136|444444,2672908:2672927|offset_203|444444&amp;v=2672889:2673127&amp;c=444444", "offset 21")</f>
        <v>offset 21</v>
      </c>
    </row>
    <row r="8477" customFormat="false" ht="12.8" hidden="false" customHeight="false" outlineLevel="0" collapsed="false">
      <c r="A8477" s="0" t="s">
        <v>12</v>
      </c>
      <c r="B8477" s="0" t="n">
        <v>2673013</v>
      </c>
      <c r="C8477" s="0" t="n">
        <v>2673033</v>
      </c>
      <c r="D8477" s="0" t="s">
        <v>28205</v>
      </c>
      <c r="E8477" s="0" t="s">
        <v>75</v>
      </c>
      <c r="F8477" s="0" t="s">
        <v>90</v>
      </c>
      <c r="G8477" s="0" t="s">
        <v>20</v>
      </c>
      <c r="H8477" s="0" t="n">
        <v>97</v>
      </c>
      <c r="I8477" s="0" t="s">
        <v>28209</v>
      </c>
      <c r="J8477" s="0" t="s">
        <v>28210</v>
      </c>
      <c r="K8477" s="0" t="s">
        <v>28211</v>
      </c>
      <c r="L8477" s="0" t="str">
        <f aca="false">HYPERLINK("https://www.ncbi.nlm.nih.gov/nuccore/CP000058.1?report=graph&amp;tracks=[key:gene_model_track,Options:GeneOnly]&amp;mk=2673090:2673109|offset_21|444444,2673014:2673033|offset_97|00cc00,2672975:2672994|offset_136|444444,2672908:2672927|offset_203|444444&amp;v=2672889:2673127&amp;c=444444", "offset 97")</f>
        <v>offset 97</v>
      </c>
    </row>
    <row r="8478" customFormat="false" ht="12.8" hidden="false" customHeight="false" outlineLevel="0" collapsed="false">
      <c r="A8478" s="0" t="s">
        <v>12</v>
      </c>
      <c r="B8478" s="0" t="n">
        <v>2672974</v>
      </c>
      <c r="C8478" s="0" t="n">
        <v>2672994</v>
      </c>
      <c r="D8478" s="0" t="s">
        <v>28205</v>
      </c>
      <c r="E8478" s="0" t="s">
        <v>75</v>
      </c>
      <c r="F8478" s="0" t="s">
        <v>90</v>
      </c>
      <c r="G8478" s="0" t="s">
        <v>16</v>
      </c>
      <c r="H8478" s="0" t="n">
        <v>136</v>
      </c>
      <c r="I8478" s="0" t="s">
        <v>28212</v>
      </c>
      <c r="J8478" s="0" t="s">
        <v>28213</v>
      </c>
      <c r="K8478" s="0" t="s">
        <v>28214</v>
      </c>
      <c r="L8478" s="0" t="str">
        <f aca="false">HYPERLINK("https://www.ncbi.nlm.nih.gov/nuccore/CP000058.1?report=graph&amp;tracks=[key:gene_model_track,Options:GeneOnly]&amp;mk=2673090:2673109|offset_21|444444,2673014:2673033|offset_97|444444,2672975:2672994|offset_136|00cc00,2672908:2672927|offset_203|444444&amp;v=2672889:2673127&amp;c=444444", "offset 136")</f>
        <v>offset 136</v>
      </c>
    </row>
    <row r="8479" customFormat="false" ht="12.8" hidden="false" customHeight="false" outlineLevel="0" collapsed="false">
      <c r="A8479" s="0" t="s">
        <v>12</v>
      </c>
      <c r="B8479" s="0" t="n">
        <v>2672907</v>
      </c>
      <c r="C8479" s="0" t="n">
        <v>2672927</v>
      </c>
      <c r="D8479" s="0" t="s">
        <v>28205</v>
      </c>
      <c r="E8479" s="0" t="s">
        <v>75</v>
      </c>
      <c r="F8479" s="0" t="s">
        <v>90</v>
      </c>
      <c r="G8479" s="0" t="s">
        <v>20</v>
      </c>
      <c r="H8479" s="0" t="n">
        <v>203</v>
      </c>
      <c r="I8479" s="0" t="s">
        <v>28215</v>
      </c>
      <c r="J8479" s="0" t="s">
        <v>28216</v>
      </c>
      <c r="K8479" s="0" t="s">
        <v>28217</v>
      </c>
      <c r="L8479" s="0" t="str">
        <f aca="false">HYPERLINK("https://www.ncbi.nlm.nih.gov/nuccore/CP000058.1?report=graph&amp;tracks=[key:gene_model_track,Options:GeneOnly]&amp;mk=2673090:2673109|offset_21|444444,2673014:2673033|offset_97|444444,2672975:2672994|offset_136|444444,2672908:2672927|offset_203|00cc00&amp;v=2672889:2673127&amp;c=444444", "offset 203")</f>
        <v>offset 203</v>
      </c>
    </row>
    <row r="8480" customFormat="false" ht="12.8" hidden="false" customHeight="false" outlineLevel="0" collapsed="false">
      <c r="A8480" s="0" t="s">
        <v>12</v>
      </c>
      <c r="B8480" s="0" t="n">
        <v>2673276</v>
      </c>
      <c r="C8480" s="0" t="n">
        <v>2673296</v>
      </c>
      <c r="D8480" s="0" t="s">
        <v>28218</v>
      </c>
      <c r="E8480" s="0" t="s">
        <v>75</v>
      </c>
      <c r="F8480" s="0" t="s">
        <v>15</v>
      </c>
      <c r="G8480" s="0" t="s">
        <v>16</v>
      </c>
      <c r="H8480" s="0" t="n">
        <v>36</v>
      </c>
      <c r="I8480" s="0" t="s">
        <v>28219</v>
      </c>
      <c r="J8480" s="0" t="s">
        <v>28220</v>
      </c>
      <c r="K8480" s="0" t="s">
        <v>28221</v>
      </c>
      <c r="L8480" s="0" t="str">
        <f aca="false">HYPERLINK("https://www.ncbi.nlm.nih.gov/nuccore/CP000058.1?report=graph&amp;tracks=[key:gene_model_track,Options:GeneOnly]&amp;mk=2673277:2673296|offset_36|00cc00,2673340:2673359|offset_99|444444,2673372:2673391|offset_131|444444,2673440:2673459|offset_199|444444&amp;v=2673076:2673659&amp;c=444444", "offset 36")</f>
        <v>offset 36</v>
      </c>
    </row>
    <row r="8481" customFormat="false" ht="12.8" hidden="false" customHeight="false" outlineLevel="0" collapsed="false">
      <c r="A8481" s="0" t="s">
        <v>12</v>
      </c>
      <c r="B8481" s="0" t="n">
        <v>2673339</v>
      </c>
      <c r="C8481" s="0" t="n">
        <v>2673359</v>
      </c>
      <c r="D8481" s="0" t="s">
        <v>28218</v>
      </c>
      <c r="E8481" s="0" t="s">
        <v>75</v>
      </c>
      <c r="F8481" s="0" t="s">
        <v>15</v>
      </c>
      <c r="G8481" s="0" t="s">
        <v>36</v>
      </c>
      <c r="H8481" s="0" t="n">
        <v>99</v>
      </c>
      <c r="I8481" s="0" t="s">
        <v>28222</v>
      </c>
      <c r="J8481" s="0" t="s">
        <v>28223</v>
      </c>
      <c r="K8481" s="0" t="s">
        <v>28224</v>
      </c>
      <c r="L8481" s="0" t="str">
        <f aca="false">HYPERLINK("https://www.ncbi.nlm.nih.gov/nuccore/CP000058.1?report=graph&amp;tracks=[key:gene_model_track,Options:GeneOnly]&amp;mk=2673277:2673296|offset_36|444444,2673340:2673359|offset_99|00cc00,2673372:2673391|offset_131|444444,2673440:2673459|offset_199|444444&amp;v=2673076:2673659&amp;c=444444", "offset 99")</f>
        <v>offset 99</v>
      </c>
    </row>
    <row r="8482" customFormat="false" ht="12.8" hidden="false" customHeight="false" outlineLevel="0" collapsed="false">
      <c r="A8482" s="0" t="s">
        <v>12</v>
      </c>
      <c r="B8482" s="0" t="n">
        <v>2673371</v>
      </c>
      <c r="C8482" s="0" t="n">
        <v>2673391</v>
      </c>
      <c r="D8482" s="0" t="s">
        <v>28218</v>
      </c>
      <c r="E8482" s="0" t="s">
        <v>75</v>
      </c>
      <c r="F8482" s="0" t="s">
        <v>15</v>
      </c>
      <c r="G8482" s="0" t="s">
        <v>20</v>
      </c>
      <c r="H8482" s="0" t="n">
        <v>131</v>
      </c>
      <c r="I8482" s="0" t="s">
        <v>28225</v>
      </c>
      <c r="J8482" s="0" t="s">
        <v>28226</v>
      </c>
      <c r="K8482" s="0" t="s">
        <v>28227</v>
      </c>
      <c r="L8482" s="0" t="str">
        <f aca="false">HYPERLINK("https://www.ncbi.nlm.nih.gov/nuccore/CP000058.1?report=graph&amp;tracks=[key:gene_model_track,Options:GeneOnly]&amp;mk=2673277:2673296|offset_36|444444,2673340:2673359|offset_99|444444,2673372:2673391|offset_131|00cc00,2673440:2673459|offset_199|444444&amp;v=2673076:2673659&amp;c=444444", "offset 131")</f>
        <v>offset 131</v>
      </c>
    </row>
    <row r="8483" customFormat="false" ht="12.8" hidden="false" customHeight="false" outlineLevel="0" collapsed="false">
      <c r="A8483" s="0" t="s">
        <v>12</v>
      </c>
      <c r="B8483" s="0" t="n">
        <v>2673439</v>
      </c>
      <c r="C8483" s="0" t="n">
        <v>2673459</v>
      </c>
      <c r="D8483" s="0" t="s">
        <v>28218</v>
      </c>
      <c r="E8483" s="0" t="s">
        <v>75</v>
      </c>
      <c r="F8483" s="0" t="s">
        <v>15</v>
      </c>
      <c r="G8483" s="0" t="s">
        <v>32</v>
      </c>
      <c r="H8483" s="0" t="n">
        <v>199</v>
      </c>
      <c r="I8483" s="0" t="s">
        <v>28228</v>
      </c>
      <c r="J8483" s="0" t="s">
        <v>28229</v>
      </c>
      <c r="K8483" s="0" t="s">
        <v>28230</v>
      </c>
      <c r="L8483" s="0" t="str">
        <f aca="false">HYPERLINK("https://www.ncbi.nlm.nih.gov/nuccore/CP000058.1?report=graph&amp;tracks=[key:gene_model_track,Options:GeneOnly]&amp;mk=2673277:2673296|offset_36|444444,2673340:2673359|offset_99|444444,2673372:2673391|offset_131|444444,2673440:2673459|offset_199|00cc00&amp;v=2673076:2673659&amp;c=444444", "offset 199")</f>
        <v>offset 199</v>
      </c>
    </row>
    <row r="8484" customFormat="false" ht="12.8" hidden="false" customHeight="false" outlineLevel="0" collapsed="false">
      <c r="A8484" s="0" t="s">
        <v>12</v>
      </c>
      <c r="B8484" s="0" t="n">
        <v>2675201</v>
      </c>
      <c r="C8484" s="0" t="n">
        <v>2675221</v>
      </c>
      <c r="D8484" s="0" t="s">
        <v>28231</v>
      </c>
      <c r="E8484" s="0" t="s">
        <v>75</v>
      </c>
      <c r="F8484" s="0" t="s">
        <v>90</v>
      </c>
      <c r="G8484" s="0" t="s">
        <v>20</v>
      </c>
      <c r="H8484" s="0" t="n">
        <v>6</v>
      </c>
      <c r="I8484" s="0" t="s">
        <v>28232</v>
      </c>
      <c r="J8484" s="0" t="s">
        <v>28233</v>
      </c>
      <c r="K8484" s="0" t="s">
        <v>28234</v>
      </c>
      <c r="L8484" s="0" t="str">
        <f aca="false">HYPERLINK("https://www.ncbi.nlm.nih.gov/nuccore/CP000058.1?report=graph&amp;tracks=[key:gene_model_track,Options:GeneOnly]&amp;mk=2675202:2675221|offset_6|00cc00,2675180:2675199|offset_28|444444,2675135:2675154|offset_73|444444,2675111:2675130|offset_97|444444&amp;v=2675001:2675330&amp;c=444444", "offset 6")</f>
        <v>offset 6</v>
      </c>
    </row>
    <row r="8485" customFormat="false" ht="12.8" hidden="false" customHeight="false" outlineLevel="0" collapsed="false">
      <c r="A8485" s="0" t="s">
        <v>12</v>
      </c>
      <c r="B8485" s="0" t="n">
        <v>2675179</v>
      </c>
      <c r="C8485" s="0" t="n">
        <v>2675199</v>
      </c>
      <c r="D8485" s="0" t="s">
        <v>28231</v>
      </c>
      <c r="E8485" s="0" t="s">
        <v>75</v>
      </c>
      <c r="F8485" s="0" t="s">
        <v>90</v>
      </c>
      <c r="G8485" s="0" t="s">
        <v>36</v>
      </c>
      <c r="H8485" s="0" t="n">
        <v>28</v>
      </c>
      <c r="I8485" s="0" t="s">
        <v>28235</v>
      </c>
      <c r="J8485" s="0" t="s">
        <v>28236</v>
      </c>
      <c r="K8485" s="0" t="s">
        <v>28237</v>
      </c>
      <c r="L8485" s="0" t="str">
        <f aca="false">HYPERLINK("https://www.ncbi.nlm.nih.gov/nuccore/CP000058.1?report=graph&amp;tracks=[key:gene_model_track,Options:GeneOnly]&amp;mk=2675202:2675221|offset_6|444444,2675180:2675199|offset_28|00cc00,2675135:2675154|offset_73|444444,2675111:2675130|offset_97|444444&amp;v=2675001:2675330&amp;c=444444", "offset 28")</f>
        <v>offset 28</v>
      </c>
    </row>
    <row r="8486" customFormat="false" ht="12.8" hidden="false" customHeight="false" outlineLevel="0" collapsed="false">
      <c r="A8486" s="0" t="s">
        <v>12</v>
      </c>
      <c r="B8486" s="0" t="n">
        <v>2675134</v>
      </c>
      <c r="C8486" s="0" t="n">
        <v>2675154</v>
      </c>
      <c r="D8486" s="0" t="s">
        <v>28231</v>
      </c>
      <c r="E8486" s="0" t="s">
        <v>75</v>
      </c>
      <c r="F8486" s="0" t="s">
        <v>90</v>
      </c>
      <c r="G8486" s="0" t="s">
        <v>36</v>
      </c>
      <c r="H8486" s="0" t="n">
        <v>73</v>
      </c>
      <c r="I8486" s="0" t="s">
        <v>28238</v>
      </c>
      <c r="J8486" s="0" t="s">
        <v>28239</v>
      </c>
      <c r="K8486" s="0" t="s">
        <v>28240</v>
      </c>
      <c r="L8486" s="0" t="str">
        <f aca="false">HYPERLINK("https://www.ncbi.nlm.nih.gov/nuccore/CP000058.1?report=graph&amp;tracks=[key:gene_model_track,Options:GeneOnly]&amp;mk=2675202:2675221|offset_6|444444,2675180:2675199|offset_28|444444,2675135:2675154|offset_73|00cc00,2675111:2675130|offset_97|444444&amp;v=2675001:2675330&amp;c=444444", "offset 73")</f>
        <v>offset 73</v>
      </c>
    </row>
    <row r="8487" customFormat="false" ht="12.8" hidden="false" customHeight="false" outlineLevel="0" collapsed="false">
      <c r="A8487" s="0" t="s">
        <v>12</v>
      </c>
      <c r="B8487" s="0" t="n">
        <v>2675110</v>
      </c>
      <c r="C8487" s="0" t="n">
        <v>2675130</v>
      </c>
      <c r="D8487" s="0" t="s">
        <v>28231</v>
      </c>
      <c r="E8487" s="0" t="s">
        <v>75</v>
      </c>
      <c r="F8487" s="0" t="s">
        <v>90</v>
      </c>
      <c r="G8487" s="0" t="s">
        <v>32</v>
      </c>
      <c r="H8487" s="0" t="n">
        <v>97</v>
      </c>
      <c r="I8487" s="0" t="s">
        <v>28241</v>
      </c>
      <c r="J8487" s="0" t="s">
        <v>28242</v>
      </c>
      <c r="K8487" s="0" t="s">
        <v>28243</v>
      </c>
      <c r="L8487" s="0" t="str">
        <f aca="false">HYPERLINK("https://www.ncbi.nlm.nih.gov/nuccore/CP000058.1?report=graph&amp;tracks=[key:gene_model_track,Options:GeneOnly]&amp;mk=2675202:2675221|offset_6|444444,2675180:2675199|offset_28|444444,2675135:2675154|offset_73|444444,2675111:2675130|offset_97|00cc00&amp;v=2675001:2675330&amp;c=444444", "offset 97")</f>
        <v>offset 97</v>
      </c>
    </row>
    <row r="8488" customFormat="false" ht="12.8" hidden="false" customHeight="false" outlineLevel="0" collapsed="false">
      <c r="A8488" s="0" t="s">
        <v>12</v>
      </c>
      <c r="B8488" s="0" t="n">
        <v>2678102</v>
      </c>
      <c r="C8488" s="0" t="n">
        <v>2678122</v>
      </c>
      <c r="D8488" s="0" t="s">
        <v>28244</v>
      </c>
      <c r="E8488" s="0" t="s">
        <v>28245</v>
      </c>
      <c r="F8488" s="0" t="s">
        <v>90</v>
      </c>
      <c r="G8488" s="0" t="s">
        <v>20</v>
      </c>
      <c r="H8488" s="0" t="n">
        <v>17</v>
      </c>
      <c r="I8488" s="0" t="s">
        <v>28246</v>
      </c>
      <c r="J8488" s="0" t="s">
        <v>28247</v>
      </c>
      <c r="K8488" s="0" t="s">
        <v>28248</v>
      </c>
      <c r="L8488" s="0" t="str">
        <f aca="false">HYPERLINK("https://www.ncbi.nlm.nih.gov/nuccore/CP000058.1?report=graph&amp;tracks=[key:gene_model_track,Options:GeneOnly]&amp;mk=2678103:2678122|offset_17|00cc00,2678062:2678081|offset_58|444444,2678010:2678029|offset_110|444444,2677971:2677990|offset_149|444444&amp;v=2677902:2678190&amp;c=444444", "offset 17")</f>
        <v>offset 17</v>
      </c>
    </row>
    <row r="8489" customFormat="false" ht="12.8" hidden="false" customHeight="false" outlineLevel="0" collapsed="false">
      <c r="A8489" s="0" t="s">
        <v>12</v>
      </c>
      <c r="B8489" s="0" t="n">
        <v>2678061</v>
      </c>
      <c r="C8489" s="0" t="n">
        <v>2678081</v>
      </c>
      <c r="D8489" s="0" t="s">
        <v>28244</v>
      </c>
      <c r="E8489" s="0" t="s">
        <v>28245</v>
      </c>
      <c r="F8489" s="0" t="s">
        <v>90</v>
      </c>
      <c r="G8489" s="0" t="s">
        <v>36</v>
      </c>
      <c r="H8489" s="0" t="n">
        <v>58</v>
      </c>
      <c r="I8489" s="0" t="s">
        <v>28249</v>
      </c>
      <c r="J8489" s="0" t="s">
        <v>28250</v>
      </c>
      <c r="K8489" s="0" t="s">
        <v>28251</v>
      </c>
      <c r="L8489" s="0" t="str">
        <f aca="false">HYPERLINK("https://www.ncbi.nlm.nih.gov/nuccore/CP000058.1?report=graph&amp;tracks=[key:gene_model_track,Options:GeneOnly]&amp;mk=2678103:2678122|offset_17|444444,2678062:2678081|offset_58|00cc00,2678010:2678029|offset_110|444444,2677971:2677990|offset_149|444444&amp;v=2677902:2678190&amp;c=444444", "offset 58")</f>
        <v>offset 58</v>
      </c>
    </row>
    <row r="8490" customFormat="false" ht="12.8" hidden="false" customHeight="false" outlineLevel="0" collapsed="false">
      <c r="A8490" s="0" t="s">
        <v>12</v>
      </c>
      <c r="B8490" s="0" t="n">
        <v>2678009</v>
      </c>
      <c r="C8490" s="0" t="n">
        <v>2678029</v>
      </c>
      <c r="D8490" s="0" t="s">
        <v>28244</v>
      </c>
      <c r="E8490" s="0" t="s">
        <v>28245</v>
      </c>
      <c r="F8490" s="0" t="s">
        <v>90</v>
      </c>
      <c r="G8490" s="0" t="s">
        <v>32</v>
      </c>
      <c r="H8490" s="0" t="n">
        <v>110</v>
      </c>
      <c r="I8490" s="0" t="s">
        <v>28252</v>
      </c>
      <c r="J8490" s="0" t="s">
        <v>28253</v>
      </c>
      <c r="K8490" s="0" t="s">
        <v>28254</v>
      </c>
      <c r="L8490" s="0" t="str">
        <f aca="false">HYPERLINK("https://www.ncbi.nlm.nih.gov/nuccore/CP000058.1?report=graph&amp;tracks=[key:gene_model_track,Options:GeneOnly]&amp;mk=2678103:2678122|offset_17|444444,2678062:2678081|offset_58|444444,2678010:2678029|offset_110|00cc00,2677971:2677990|offset_149|444444&amp;v=2677902:2678190&amp;c=444444", "offset 110")</f>
        <v>offset 110</v>
      </c>
    </row>
    <row r="8491" customFormat="false" ht="12.8" hidden="false" customHeight="false" outlineLevel="0" collapsed="false">
      <c r="A8491" s="0" t="s">
        <v>12</v>
      </c>
      <c r="B8491" s="0" t="n">
        <v>2677970</v>
      </c>
      <c r="C8491" s="0" t="n">
        <v>2677990</v>
      </c>
      <c r="D8491" s="0" t="s">
        <v>28244</v>
      </c>
      <c r="E8491" s="0" t="s">
        <v>28245</v>
      </c>
      <c r="F8491" s="0" t="s">
        <v>90</v>
      </c>
      <c r="G8491" s="0" t="s">
        <v>20</v>
      </c>
      <c r="H8491" s="0" t="n">
        <v>149</v>
      </c>
      <c r="I8491" s="0" t="s">
        <v>28255</v>
      </c>
      <c r="J8491" s="0" t="s">
        <v>28256</v>
      </c>
      <c r="K8491" s="0" t="s">
        <v>28257</v>
      </c>
      <c r="L8491" s="0" t="str">
        <f aca="false">HYPERLINK("https://www.ncbi.nlm.nih.gov/nuccore/CP000058.1?report=graph&amp;tracks=[key:gene_model_track,Options:GeneOnly]&amp;mk=2678103:2678122|offset_17|444444,2678062:2678081|offset_58|444444,2678010:2678029|offset_110|444444,2677971:2677990|offset_149|00cc00&amp;v=2677902:2678190&amp;c=444444", "offset 149")</f>
        <v>offset 149</v>
      </c>
    </row>
    <row r="8492" customFormat="false" ht="12.8" hidden="false" customHeight="false" outlineLevel="0" collapsed="false">
      <c r="A8492" s="0" t="s">
        <v>12</v>
      </c>
      <c r="B8492" s="0" t="n">
        <v>2678455</v>
      </c>
      <c r="C8492" s="0" t="n">
        <v>2678475</v>
      </c>
      <c r="D8492" s="0" t="s">
        <v>28258</v>
      </c>
      <c r="E8492" s="0" t="s">
        <v>75</v>
      </c>
      <c r="F8492" s="0" t="s">
        <v>15</v>
      </c>
      <c r="G8492" s="0" t="s">
        <v>36</v>
      </c>
      <c r="H8492" s="0" t="n">
        <v>7</v>
      </c>
      <c r="I8492" s="0" t="s">
        <v>28259</v>
      </c>
      <c r="J8492" s="0" t="s">
        <v>28260</v>
      </c>
      <c r="K8492" s="0" t="s">
        <v>28261</v>
      </c>
      <c r="L8492" s="0" t="str">
        <f aca="false">HYPERLINK("https://www.ncbi.nlm.nih.gov/nuccore/CP000058.1?report=graph&amp;tracks=[key:gene_model_track,Options:GeneOnly]&amp;mk=2678456:2678475|offset_7|00cc00,2678484:2678503|offset_35|444444,2678515:2678534|offset_66|444444,2678556:2678575|offset_107|444444&amp;v=2678255:2678775&amp;c=444444", "offset 7")</f>
        <v>offset 7</v>
      </c>
    </row>
    <row r="8493" customFormat="false" ht="12.8" hidden="false" customHeight="false" outlineLevel="0" collapsed="false">
      <c r="A8493" s="0" t="s">
        <v>12</v>
      </c>
      <c r="B8493" s="0" t="n">
        <v>2678483</v>
      </c>
      <c r="C8493" s="0" t="n">
        <v>2678503</v>
      </c>
      <c r="D8493" s="0" t="s">
        <v>28258</v>
      </c>
      <c r="E8493" s="0" t="s">
        <v>75</v>
      </c>
      <c r="F8493" s="0" t="s">
        <v>15</v>
      </c>
      <c r="G8493" s="0" t="s">
        <v>36</v>
      </c>
      <c r="H8493" s="0" t="n">
        <v>35</v>
      </c>
      <c r="I8493" s="0" t="s">
        <v>28262</v>
      </c>
      <c r="J8493" s="0" t="s">
        <v>28263</v>
      </c>
      <c r="K8493" s="0" t="s">
        <v>28264</v>
      </c>
      <c r="L8493" s="0" t="str">
        <f aca="false">HYPERLINK("https://www.ncbi.nlm.nih.gov/nuccore/CP000058.1?report=graph&amp;tracks=[key:gene_model_track,Options:GeneOnly]&amp;mk=2678456:2678475|offset_7|444444,2678484:2678503|offset_35|00cc00,2678515:2678534|offset_66|444444,2678556:2678575|offset_107|444444&amp;v=2678255:2678775&amp;c=444444", "offset 35")</f>
        <v>offset 35</v>
      </c>
    </row>
    <row r="8494" customFormat="false" ht="12.8" hidden="false" customHeight="false" outlineLevel="0" collapsed="false">
      <c r="A8494" s="0" t="s">
        <v>12</v>
      </c>
      <c r="B8494" s="0" t="n">
        <v>2678514</v>
      </c>
      <c r="C8494" s="0" t="n">
        <v>2678534</v>
      </c>
      <c r="D8494" s="0" t="s">
        <v>28258</v>
      </c>
      <c r="E8494" s="0" t="s">
        <v>75</v>
      </c>
      <c r="F8494" s="0" t="s">
        <v>15</v>
      </c>
      <c r="G8494" s="0" t="s">
        <v>20</v>
      </c>
      <c r="H8494" s="0" t="n">
        <v>66</v>
      </c>
      <c r="I8494" s="0" t="s">
        <v>28265</v>
      </c>
      <c r="J8494" s="0" t="s">
        <v>28266</v>
      </c>
      <c r="K8494" s="0" t="s">
        <v>28267</v>
      </c>
      <c r="L8494" s="0" t="str">
        <f aca="false">HYPERLINK("https://www.ncbi.nlm.nih.gov/nuccore/CP000058.1?report=graph&amp;tracks=[key:gene_model_track,Options:GeneOnly]&amp;mk=2678456:2678475|offset_7|444444,2678484:2678503|offset_35|444444,2678515:2678534|offset_66|00cc00,2678556:2678575|offset_107|444444&amp;v=2678255:2678775&amp;c=444444", "offset 66")</f>
        <v>offset 66</v>
      </c>
    </row>
    <row r="8495" customFormat="false" ht="12.8" hidden="false" customHeight="false" outlineLevel="0" collapsed="false">
      <c r="A8495" s="0" t="s">
        <v>12</v>
      </c>
      <c r="B8495" s="0" t="n">
        <v>2678555</v>
      </c>
      <c r="C8495" s="0" t="n">
        <v>2678575</v>
      </c>
      <c r="D8495" s="0" t="s">
        <v>28258</v>
      </c>
      <c r="E8495" s="0" t="s">
        <v>75</v>
      </c>
      <c r="F8495" s="0" t="s">
        <v>15</v>
      </c>
      <c r="G8495" s="0" t="s">
        <v>32</v>
      </c>
      <c r="H8495" s="0" t="n">
        <v>107</v>
      </c>
      <c r="I8495" s="0" t="s">
        <v>28268</v>
      </c>
      <c r="J8495" s="0" t="s">
        <v>28269</v>
      </c>
      <c r="K8495" s="0" t="s">
        <v>28270</v>
      </c>
      <c r="L8495" s="0" t="str">
        <f aca="false">HYPERLINK("https://www.ncbi.nlm.nih.gov/nuccore/CP000058.1?report=graph&amp;tracks=[key:gene_model_track,Options:GeneOnly]&amp;mk=2678456:2678475|offset_7|444444,2678484:2678503|offset_35|444444,2678515:2678534|offset_66|444444,2678556:2678575|offset_107|00cc00&amp;v=2678255:2678775&amp;c=444444", "offset 107")</f>
        <v>offset 107</v>
      </c>
    </row>
    <row r="8496" customFormat="false" ht="12.8" hidden="false" customHeight="false" outlineLevel="0" collapsed="false">
      <c r="A8496" s="0" t="s">
        <v>12</v>
      </c>
      <c r="B8496" s="0" t="n">
        <v>2682940</v>
      </c>
      <c r="C8496" s="0" t="n">
        <v>2682960</v>
      </c>
      <c r="D8496" s="0" t="s">
        <v>28271</v>
      </c>
      <c r="E8496" s="0" t="s">
        <v>75</v>
      </c>
      <c r="F8496" s="0" t="s">
        <v>90</v>
      </c>
      <c r="G8496" s="0" t="s">
        <v>16</v>
      </c>
      <c r="H8496" s="0" t="n">
        <v>37</v>
      </c>
      <c r="I8496" s="0" t="s">
        <v>28272</v>
      </c>
      <c r="J8496" s="0" t="s">
        <v>28273</v>
      </c>
      <c r="K8496" s="0" t="s">
        <v>28274</v>
      </c>
      <c r="L8496" s="0" t="str">
        <f aca="false">HYPERLINK("https://www.ncbi.nlm.nih.gov/nuccore/CP000058.1?report=graph&amp;tracks=[key:gene_model_track,Options:GeneOnly]&amp;mk=2682941:2682960|offset_37|00cc00,2682906:2682925|offset_72|444444,2682839:2682858|offset_139|444444,2682807:2682826|offset_171|444444&amp;v=2682740:2683026&amp;c=444444", "offset 37")</f>
        <v>offset 37</v>
      </c>
    </row>
    <row r="8497" customFormat="false" ht="12.8" hidden="false" customHeight="false" outlineLevel="0" collapsed="false">
      <c r="A8497" s="0" t="s">
        <v>12</v>
      </c>
      <c r="B8497" s="0" t="n">
        <v>2682905</v>
      </c>
      <c r="C8497" s="0" t="n">
        <v>2682925</v>
      </c>
      <c r="D8497" s="0" t="s">
        <v>28271</v>
      </c>
      <c r="E8497" s="0" t="s">
        <v>75</v>
      </c>
      <c r="F8497" s="0" t="s">
        <v>90</v>
      </c>
      <c r="G8497" s="0" t="s">
        <v>20</v>
      </c>
      <c r="H8497" s="0" t="n">
        <v>72</v>
      </c>
      <c r="I8497" s="0" t="s">
        <v>28275</v>
      </c>
      <c r="J8497" s="0" t="s">
        <v>28276</v>
      </c>
      <c r="K8497" s="0" t="s">
        <v>28277</v>
      </c>
      <c r="L8497" s="0" t="str">
        <f aca="false">HYPERLINK("https://www.ncbi.nlm.nih.gov/nuccore/CP000058.1?report=graph&amp;tracks=[key:gene_model_track,Options:GeneOnly]&amp;mk=2682941:2682960|offset_37|444444,2682906:2682925|offset_72|00cc00,2682839:2682858|offset_139|444444,2682807:2682826|offset_171|444444&amp;v=2682740:2683026&amp;c=444444", "offset 72")</f>
        <v>offset 72</v>
      </c>
    </row>
    <row r="8498" customFormat="false" ht="12.8" hidden="false" customHeight="false" outlineLevel="0" collapsed="false">
      <c r="A8498" s="0" t="s">
        <v>12</v>
      </c>
      <c r="B8498" s="0" t="n">
        <v>2682838</v>
      </c>
      <c r="C8498" s="0" t="n">
        <v>2682858</v>
      </c>
      <c r="D8498" s="0" t="s">
        <v>28271</v>
      </c>
      <c r="E8498" s="0" t="s">
        <v>75</v>
      </c>
      <c r="F8498" s="0" t="s">
        <v>90</v>
      </c>
      <c r="G8498" s="0" t="s">
        <v>32</v>
      </c>
      <c r="H8498" s="0" t="n">
        <v>139</v>
      </c>
      <c r="I8498" s="0" t="s">
        <v>28278</v>
      </c>
      <c r="J8498" s="0" t="s">
        <v>28279</v>
      </c>
      <c r="K8498" s="0" t="s">
        <v>28280</v>
      </c>
      <c r="L8498" s="0" t="str">
        <f aca="false">HYPERLINK("https://www.ncbi.nlm.nih.gov/nuccore/CP000058.1?report=graph&amp;tracks=[key:gene_model_track,Options:GeneOnly]&amp;mk=2682941:2682960|offset_37|444444,2682906:2682925|offset_72|444444,2682839:2682858|offset_139|00cc00,2682807:2682826|offset_171|444444&amp;v=2682740:2683026&amp;c=444444", "offset 139")</f>
        <v>offset 139</v>
      </c>
    </row>
    <row r="8499" customFormat="false" ht="12.8" hidden="false" customHeight="false" outlineLevel="0" collapsed="false">
      <c r="A8499" s="0" t="s">
        <v>12</v>
      </c>
      <c r="B8499" s="0" t="n">
        <v>2682806</v>
      </c>
      <c r="C8499" s="0" t="n">
        <v>2682826</v>
      </c>
      <c r="D8499" s="0" t="s">
        <v>28271</v>
      </c>
      <c r="E8499" s="0" t="s">
        <v>75</v>
      </c>
      <c r="F8499" s="0" t="s">
        <v>90</v>
      </c>
      <c r="G8499" s="0" t="s">
        <v>20</v>
      </c>
      <c r="H8499" s="0" t="n">
        <v>171</v>
      </c>
      <c r="I8499" s="0" t="s">
        <v>28281</v>
      </c>
      <c r="J8499" s="0" t="s">
        <v>28282</v>
      </c>
      <c r="K8499" s="0" t="s">
        <v>28283</v>
      </c>
      <c r="L8499" s="0" t="str">
        <f aca="false">HYPERLINK("https://www.ncbi.nlm.nih.gov/nuccore/CP000058.1?report=graph&amp;tracks=[key:gene_model_track,Options:GeneOnly]&amp;mk=2682941:2682960|offset_37|444444,2682906:2682925|offset_72|444444,2682839:2682858|offset_139|444444,2682807:2682826|offset_171|00cc00&amp;v=2682740:2683026&amp;c=444444", "offset 171")</f>
        <v>offset 171</v>
      </c>
    </row>
    <row r="8500" customFormat="false" ht="12.8" hidden="false" customHeight="false" outlineLevel="0" collapsed="false">
      <c r="A8500" s="0" t="s">
        <v>12</v>
      </c>
      <c r="B8500" s="0" t="n">
        <v>2685183</v>
      </c>
      <c r="C8500" s="0" t="n">
        <v>2685203</v>
      </c>
      <c r="D8500" s="0" t="s">
        <v>28284</v>
      </c>
      <c r="E8500" s="0" t="s">
        <v>75</v>
      </c>
      <c r="F8500" s="0" t="s">
        <v>90</v>
      </c>
      <c r="G8500" s="0" t="s">
        <v>32</v>
      </c>
      <c r="H8500" s="0" t="n">
        <v>1</v>
      </c>
      <c r="I8500" s="0" t="s">
        <v>28285</v>
      </c>
      <c r="J8500" s="0" t="s">
        <v>28286</v>
      </c>
      <c r="K8500" s="0" t="s">
        <v>28287</v>
      </c>
      <c r="L8500" s="0" t="str">
        <f aca="false">HYPERLINK("https://www.ncbi.nlm.nih.gov/nuccore/CP000058.1?report=graph&amp;tracks=[key:gene_model_track,Options:GeneOnly]&amp;mk=2685184:2685203|offset_1|00cc00,2685163:2685182|offset_22|444444,2685143:2685162|offset_42|444444,2685122:2685141|offset_63|444444&amp;v=2684983:2685341&amp;c=444444", "offset 1")</f>
        <v>offset 1</v>
      </c>
    </row>
    <row r="8501" customFormat="false" ht="12.8" hidden="false" customHeight="false" outlineLevel="0" collapsed="false">
      <c r="A8501" s="0" t="s">
        <v>12</v>
      </c>
      <c r="B8501" s="0" t="n">
        <v>2685162</v>
      </c>
      <c r="C8501" s="0" t="n">
        <v>2685182</v>
      </c>
      <c r="D8501" s="0" t="s">
        <v>28284</v>
      </c>
      <c r="E8501" s="0" t="s">
        <v>75</v>
      </c>
      <c r="F8501" s="0" t="s">
        <v>90</v>
      </c>
      <c r="G8501" s="0" t="s">
        <v>36</v>
      </c>
      <c r="H8501" s="0" t="n">
        <v>22</v>
      </c>
      <c r="I8501" s="0" t="s">
        <v>28288</v>
      </c>
      <c r="J8501" s="0" t="s">
        <v>28289</v>
      </c>
      <c r="K8501" s="0" t="s">
        <v>28290</v>
      </c>
      <c r="L8501" s="0" t="str">
        <f aca="false">HYPERLINK("https://www.ncbi.nlm.nih.gov/nuccore/CP000058.1?report=graph&amp;tracks=[key:gene_model_track,Options:GeneOnly]&amp;mk=2685184:2685203|offset_1|444444,2685163:2685182|offset_22|00cc00,2685143:2685162|offset_42|444444,2685122:2685141|offset_63|444444&amp;v=2684983:2685341&amp;c=444444", "offset 22")</f>
        <v>offset 22</v>
      </c>
    </row>
    <row r="8502" customFormat="false" ht="12.8" hidden="false" customHeight="false" outlineLevel="0" collapsed="false">
      <c r="A8502" s="0" t="s">
        <v>12</v>
      </c>
      <c r="B8502" s="0" t="n">
        <v>2685142</v>
      </c>
      <c r="C8502" s="0" t="n">
        <v>2685162</v>
      </c>
      <c r="D8502" s="0" t="s">
        <v>28284</v>
      </c>
      <c r="E8502" s="0" t="s">
        <v>75</v>
      </c>
      <c r="F8502" s="0" t="s">
        <v>90</v>
      </c>
      <c r="G8502" s="0" t="s">
        <v>16</v>
      </c>
      <c r="H8502" s="0" t="n">
        <v>42</v>
      </c>
      <c r="I8502" s="0" t="s">
        <v>28291</v>
      </c>
      <c r="J8502" s="0" t="s">
        <v>28292</v>
      </c>
      <c r="K8502" s="0" t="s">
        <v>28293</v>
      </c>
      <c r="L8502" s="0" t="str">
        <f aca="false">HYPERLINK("https://www.ncbi.nlm.nih.gov/nuccore/CP000058.1?report=graph&amp;tracks=[key:gene_model_track,Options:GeneOnly]&amp;mk=2685184:2685203|offset_1|444444,2685163:2685182|offset_22|444444,2685143:2685162|offset_42|00cc00,2685122:2685141|offset_63|444444&amp;v=2684983:2685341&amp;c=444444", "offset 42")</f>
        <v>offset 42</v>
      </c>
    </row>
    <row r="8503" customFormat="false" ht="12.8" hidden="false" customHeight="false" outlineLevel="0" collapsed="false">
      <c r="A8503" s="0" t="s">
        <v>12</v>
      </c>
      <c r="B8503" s="0" t="n">
        <v>2685121</v>
      </c>
      <c r="C8503" s="0" t="n">
        <v>2685141</v>
      </c>
      <c r="D8503" s="0" t="s">
        <v>28284</v>
      </c>
      <c r="E8503" s="0" t="s">
        <v>75</v>
      </c>
      <c r="F8503" s="0" t="s">
        <v>90</v>
      </c>
      <c r="G8503" s="0" t="s">
        <v>16</v>
      </c>
      <c r="H8503" s="0" t="n">
        <v>63</v>
      </c>
      <c r="I8503" s="0" t="s">
        <v>28294</v>
      </c>
      <c r="J8503" s="0" t="s">
        <v>28295</v>
      </c>
      <c r="K8503" s="0" t="s">
        <v>28296</v>
      </c>
      <c r="L8503" s="0" t="str">
        <f aca="false">HYPERLINK("https://www.ncbi.nlm.nih.gov/nuccore/CP000058.1?report=graph&amp;tracks=[key:gene_model_track,Options:GeneOnly]&amp;mk=2685184:2685203|offset_1|444444,2685163:2685182|offset_22|444444,2685143:2685162|offset_42|444444,2685122:2685141|offset_63|00cc00&amp;v=2684983:2685341&amp;c=444444", "offset 63")</f>
        <v>offset 63</v>
      </c>
    </row>
    <row r="8504" customFormat="false" ht="12.8" hidden="false" customHeight="false" outlineLevel="0" collapsed="false">
      <c r="A8504" s="0" t="s">
        <v>12</v>
      </c>
      <c r="B8504" s="0" t="n">
        <v>2685877</v>
      </c>
      <c r="C8504" s="0" t="n">
        <v>2685897</v>
      </c>
      <c r="D8504" s="0" t="s">
        <v>28297</v>
      </c>
      <c r="E8504" s="0" t="s">
        <v>75</v>
      </c>
      <c r="F8504" s="0" t="s">
        <v>15</v>
      </c>
      <c r="G8504" s="0" t="s">
        <v>32</v>
      </c>
      <c r="H8504" s="0" t="n">
        <v>14</v>
      </c>
      <c r="I8504" s="0" t="s">
        <v>28298</v>
      </c>
      <c r="J8504" s="0" t="s">
        <v>28299</v>
      </c>
      <c r="K8504" s="0" t="s">
        <v>28300</v>
      </c>
      <c r="L8504" s="0" t="str">
        <f aca="false">HYPERLINK("https://www.ncbi.nlm.nih.gov/nuccore/CP000058.1?report=graph&amp;tracks=[key:gene_model_track,Options:GeneOnly]&amp;mk=2685878:2685897|offset_14|00cc00,2685940:2685959|offset_76|444444,2686015:2686034|offset_151|444444,2686060:2686079|offset_196|444444&amp;v=2685677:2686279&amp;c=444444", "offset 14")</f>
        <v>offset 14</v>
      </c>
    </row>
    <row r="8505" customFormat="false" ht="12.8" hidden="false" customHeight="false" outlineLevel="0" collapsed="false">
      <c r="A8505" s="0" t="s">
        <v>12</v>
      </c>
      <c r="B8505" s="0" t="n">
        <v>2685939</v>
      </c>
      <c r="C8505" s="0" t="n">
        <v>2685959</v>
      </c>
      <c r="D8505" s="0" t="s">
        <v>28297</v>
      </c>
      <c r="E8505" s="0" t="s">
        <v>75</v>
      </c>
      <c r="F8505" s="0" t="s">
        <v>15</v>
      </c>
      <c r="G8505" s="0" t="s">
        <v>36</v>
      </c>
      <c r="H8505" s="0" t="n">
        <v>76</v>
      </c>
      <c r="I8505" s="0" t="s">
        <v>28301</v>
      </c>
      <c r="J8505" s="0" t="s">
        <v>28302</v>
      </c>
      <c r="K8505" s="0" t="s">
        <v>28303</v>
      </c>
      <c r="L8505" s="0" t="str">
        <f aca="false">HYPERLINK("https://www.ncbi.nlm.nih.gov/nuccore/CP000058.1?report=graph&amp;tracks=[key:gene_model_track,Options:GeneOnly]&amp;mk=2685878:2685897|offset_14|444444,2685940:2685959|offset_76|00cc00,2686015:2686034|offset_151|444444,2686060:2686079|offset_196|444444&amp;v=2685677:2686279&amp;c=444444", "offset 76")</f>
        <v>offset 76</v>
      </c>
    </row>
    <row r="8506" customFormat="false" ht="12.8" hidden="false" customHeight="false" outlineLevel="0" collapsed="false">
      <c r="A8506" s="0" t="s">
        <v>12</v>
      </c>
      <c r="B8506" s="0" t="n">
        <v>2686014</v>
      </c>
      <c r="C8506" s="0" t="n">
        <v>2686034</v>
      </c>
      <c r="D8506" s="0" t="s">
        <v>28297</v>
      </c>
      <c r="E8506" s="0" t="s">
        <v>75</v>
      </c>
      <c r="F8506" s="0" t="s">
        <v>15</v>
      </c>
      <c r="G8506" s="0" t="s">
        <v>16</v>
      </c>
      <c r="H8506" s="0" t="n">
        <v>151</v>
      </c>
      <c r="I8506" s="0" t="s">
        <v>28304</v>
      </c>
      <c r="J8506" s="0" t="s">
        <v>28305</v>
      </c>
      <c r="K8506" s="0" t="s">
        <v>28306</v>
      </c>
      <c r="L8506" s="0" t="str">
        <f aca="false">HYPERLINK("https://www.ncbi.nlm.nih.gov/nuccore/CP000058.1?report=graph&amp;tracks=[key:gene_model_track,Options:GeneOnly]&amp;mk=2685878:2685897|offset_14|444444,2685940:2685959|offset_76|444444,2686015:2686034|offset_151|00cc00,2686060:2686079|offset_196|444444&amp;v=2685677:2686279&amp;c=444444", "offset 151")</f>
        <v>offset 151</v>
      </c>
    </row>
    <row r="8507" customFormat="false" ht="12.8" hidden="false" customHeight="false" outlineLevel="0" collapsed="false">
      <c r="A8507" s="0" t="s">
        <v>12</v>
      </c>
      <c r="B8507" s="0" t="n">
        <v>2686059</v>
      </c>
      <c r="C8507" s="0" t="n">
        <v>2686079</v>
      </c>
      <c r="D8507" s="0" t="s">
        <v>28297</v>
      </c>
      <c r="E8507" s="0" t="s">
        <v>75</v>
      </c>
      <c r="F8507" s="0" t="s">
        <v>15</v>
      </c>
      <c r="G8507" s="0" t="s">
        <v>20</v>
      </c>
      <c r="H8507" s="0" t="n">
        <v>196</v>
      </c>
      <c r="I8507" s="0" t="s">
        <v>28307</v>
      </c>
      <c r="J8507" s="0" t="s">
        <v>28308</v>
      </c>
      <c r="K8507" s="0" t="s">
        <v>28309</v>
      </c>
      <c r="L8507" s="0" t="str">
        <f aca="false">HYPERLINK("https://www.ncbi.nlm.nih.gov/nuccore/CP000058.1?report=graph&amp;tracks=[key:gene_model_track,Options:GeneOnly]&amp;mk=2685878:2685897|offset_14|444444,2685940:2685959|offset_76|444444,2686015:2686034|offset_151|444444,2686060:2686079|offset_196|00cc00&amp;v=2685677:2686279&amp;c=444444", "offset 196")</f>
        <v>offset 196</v>
      </c>
    </row>
    <row r="8508" customFormat="false" ht="12.8" hidden="false" customHeight="false" outlineLevel="0" collapsed="false">
      <c r="A8508" s="0" t="s">
        <v>12</v>
      </c>
      <c r="B8508" s="0" t="n">
        <v>2687486</v>
      </c>
      <c r="C8508" s="0" t="n">
        <v>2687506</v>
      </c>
      <c r="D8508" s="0" t="s">
        <v>28310</v>
      </c>
      <c r="E8508" s="0" t="s">
        <v>75</v>
      </c>
      <c r="F8508" s="0" t="s">
        <v>15</v>
      </c>
      <c r="G8508" s="0" t="s">
        <v>32</v>
      </c>
      <c r="H8508" s="0" t="n">
        <v>29</v>
      </c>
      <c r="I8508" s="0" t="s">
        <v>28311</v>
      </c>
      <c r="J8508" s="0" t="s">
        <v>28312</v>
      </c>
      <c r="K8508" s="0" t="s">
        <v>28313</v>
      </c>
      <c r="L8508" s="0" t="str">
        <f aca="false">HYPERLINK("https://www.ncbi.nlm.nih.gov/nuccore/CP000058.1?report=graph&amp;tracks=[key:gene_model_track,Options:GeneOnly]&amp;mk=2687487:2687506|offset_29|00cc00,2687554:2687573|offset_96|444444,2687597:2687616|offset_139|444444,2687653:2687672|offset_195|444444&amp;v=2687286:2687872&amp;c=444444", "offset 29")</f>
        <v>offset 29</v>
      </c>
    </row>
    <row r="8509" customFormat="false" ht="12.8" hidden="false" customHeight="false" outlineLevel="0" collapsed="false">
      <c r="A8509" s="0" t="s">
        <v>12</v>
      </c>
      <c r="B8509" s="0" t="n">
        <v>2687553</v>
      </c>
      <c r="C8509" s="0" t="n">
        <v>2687573</v>
      </c>
      <c r="D8509" s="0" t="s">
        <v>28310</v>
      </c>
      <c r="E8509" s="0" t="s">
        <v>75</v>
      </c>
      <c r="F8509" s="0" t="s">
        <v>15</v>
      </c>
      <c r="G8509" s="0" t="s">
        <v>32</v>
      </c>
      <c r="H8509" s="0" t="n">
        <v>96</v>
      </c>
      <c r="I8509" s="0" t="s">
        <v>28314</v>
      </c>
      <c r="J8509" s="0" t="s">
        <v>28315</v>
      </c>
      <c r="K8509" s="0" t="s">
        <v>28316</v>
      </c>
      <c r="L8509" s="0" t="str">
        <f aca="false">HYPERLINK("https://www.ncbi.nlm.nih.gov/nuccore/CP000058.1?report=graph&amp;tracks=[key:gene_model_track,Options:GeneOnly]&amp;mk=2687487:2687506|offset_29|444444,2687554:2687573|offset_96|00cc00,2687597:2687616|offset_139|444444,2687653:2687672|offset_195|444444&amp;v=2687286:2687872&amp;c=444444", "offset 96")</f>
        <v>offset 96</v>
      </c>
    </row>
    <row r="8510" customFormat="false" ht="12.8" hidden="false" customHeight="false" outlineLevel="0" collapsed="false">
      <c r="A8510" s="0" t="s">
        <v>12</v>
      </c>
      <c r="B8510" s="0" t="n">
        <v>2687596</v>
      </c>
      <c r="C8510" s="0" t="n">
        <v>2687616</v>
      </c>
      <c r="D8510" s="0" t="s">
        <v>28310</v>
      </c>
      <c r="E8510" s="0" t="s">
        <v>75</v>
      </c>
      <c r="F8510" s="0" t="s">
        <v>15</v>
      </c>
      <c r="G8510" s="0" t="s">
        <v>32</v>
      </c>
      <c r="H8510" s="0" t="n">
        <v>139</v>
      </c>
      <c r="I8510" s="0" t="s">
        <v>28317</v>
      </c>
      <c r="J8510" s="0" t="s">
        <v>28318</v>
      </c>
      <c r="K8510" s="0" t="s">
        <v>28319</v>
      </c>
      <c r="L8510" s="0" t="str">
        <f aca="false">HYPERLINK("https://www.ncbi.nlm.nih.gov/nuccore/CP000058.1?report=graph&amp;tracks=[key:gene_model_track,Options:GeneOnly]&amp;mk=2687487:2687506|offset_29|444444,2687554:2687573|offset_96|444444,2687597:2687616|offset_139|00cc00,2687653:2687672|offset_195|444444&amp;v=2687286:2687872&amp;c=444444", "offset 139")</f>
        <v>offset 139</v>
      </c>
    </row>
    <row r="8511" customFormat="false" ht="12.8" hidden="false" customHeight="false" outlineLevel="0" collapsed="false">
      <c r="A8511" s="0" t="s">
        <v>12</v>
      </c>
      <c r="B8511" s="0" t="n">
        <v>2687652</v>
      </c>
      <c r="C8511" s="0" t="n">
        <v>2687672</v>
      </c>
      <c r="D8511" s="0" t="s">
        <v>28310</v>
      </c>
      <c r="E8511" s="0" t="s">
        <v>75</v>
      </c>
      <c r="F8511" s="0" t="s">
        <v>15</v>
      </c>
      <c r="G8511" s="0" t="s">
        <v>36</v>
      </c>
      <c r="H8511" s="0" t="n">
        <v>195</v>
      </c>
      <c r="I8511" s="0" t="s">
        <v>28320</v>
      </c>
      <c r="J8511" s="0" t="s">
        <v>28321</v>
      </c>
      <c r="K8511" s="0" t="s">
        <v>28322</v>
      </c>
      <c r="L8511" s="0" t="str">
        <f aca="false">HYPERLINK("https://www.ncbi.nlm.nih.gov/nuccore/CP000058.1?report=graph&amp;tracks=[key:gene_model_track,Options:GeneOnly]&amp;mk=2687487:2687506|offset_29|444444,2687554:2687573|offset_96|444444,2687597:2687616|offset_139|444444,2687653:2687672|offset_195|00cc00&amp;v=2687286:2687872&amp;c=444444", "offset 195")</f>
        <v>offset 195</v>
      </c>
    </row>
    <row r="8512" customFormat="false" ht="12.8" hidden="false" customHeight="false" outlineLevel="0" collapsed="false">
      <c r="A8512" s="0" t="s">
        <v>12</v>
      </c>
      <c r="B8512" s="0" t="n">
        <v>2688904</v>
      </c>
      <c r="C8512" s="0" t="n">
        <v>2688924</v>
      </c>
      <c r="D8512" s="0" t="s">
        <v>28323</v>
      </c>
      <c r="E8512" s="0" t="s">
        <v>75</v>
      </c>
      <c r="F8512" s="0" t="s">
        <v>15</v>
      </c>
      <c r="G8512" s="0" t="s">
        <v>32</v>
      </c>
      <c r="H8512" s="0" t="n">
        <v>10</v>
      </c>
      <c r="I8512" s="0" t="s">
        <v>28324</v>
      </c>
      <c r="J8512" s="0" t="s">
        <v>28325</v>
      </c>
      <c r="K8512" s="0" t="s">
        <v>28326</v>
      </c>
      <c r="L8512" s="0" t="str">
        <f aca="false">HYPERLINK("https://www.ncbi.nlm.nih.gov/nuccore/CP000058.1?report=graph&amp;tracks=[key:gene_model_track,Options:GeneOnly]&amp;mk=2688905:2688924|offset_10|00cc00,2688936:2688955|offset_41|444444,2688964:2688983|offset_69|444444,2688986:2689005|offset_91|444444&amp;v=2688704:2689205&amp;c=444444", "offset 10")</f>
        <v>offset 10</v>
      </c>
    </row>
    <row r="8513" customFormat="false" ht="12.8" hidden="false" customHeight="false" outlineLevel="0" collapsed="false">
      <c r="A8513" s="0" t="s">
        <v>12</v>
      </c>
      <c r="B8513" s="0" t="n">
        <v>2688935</v>
      </c>
      <c r="C8513" s="0" t="n">
        <v>2688955</v>
      </c>
      <c r="D8513" s="0" t="s">
        <v>28323</v>
      </c>
      <c r="E8513" s="0" t="s">
        <v>75</v>
      </c>
      <c r="F8513" s="0" t="s">
        <v>15</v>
      </c>
      <c r="G8513" s="0" t="s">
        <v>20</v>
      </c>
      <c r="H8513" s="0" t="n">
        <v>41</v>
      </c>
      <c r="I8513" s="0" t="s">
        <v>28327</v>
      </c>
      <c r="J8513" s="0" t="s">
        <v>28328</v>
      </c>
      <c r="K8513" s="0" t="s">
        <v>28329</v>
      </c>
      <c r="L8513" s="0" t="str">
        <f aca="false">HYPERLINK("https://www.ncbi.nlm.nih.gov/nuccore/CP000058.1?report=graph&amp;tracks=[key:gene_model_track,Options:GeneOnly]&amp;mk=2688905:2688924|offset_10|444444,2688936:2688955|offset_41|00cc00,2688964:2688983|offset_69|444444,2688986:2689005|offset_91|444444&amp;v=2688704:2689205&amp;c=444444", "offset 41")</f>
        <v>offset 41</v>
      </c>
    </row>
    <row r="8514" customFormat="false" ht="12.8" hidden="false" customHeight="false" outlineLevel="0" collapsed="false">
      <c r="A8514" s="0" t="s">
        <v>12</v>
      </c>
      <c r="B8514" s="0" t="n">
        <v>2688963</v>
      </c>
      <c r="C8514" s="0" t="n">
        <v>2688983</v>
      </c>
      <c r="D8514" s="0" t="s">
        <v>28323</v>
      </c>
      <c r="E8514" s="0" t="s">
        <v>75</v>
      </c>
      <c r="F8514" s="0" t="s">
        <v>15</v>
      </c>
      <c r="G8514" s="0" t="s">
        <v>36</v>
      </c>
      <c r="H8514" s="0" t="n">
        <v>69</v>
      </c>
      <c r="I8514" s="0" t="s">
        <v>28330</v>
      </c>
      <c r="J8514" s="0" t="s">
        <v>28331</v>
      </c>
      <c r="K8514" s="0" t="s">
        <v>28332</v>
      </c>
      <c r="L8514" s="0" t="str">
        <f aca="false">HYPERLINK("https://www.ncbi.nlm.nih.gov/nuccore/CP000058.1?report=graph&amp;tracks=[key:gene_model_track,Options:GeneOnly]&amp;mk=2688905:2688924|offset_10|444444,2688936:2688955|offset_41|444444,2688964:2688983|offset_69|00cc00,2688986:2689005|offset_91|444444&amp;v=2688704:2689205&amp;c=444444", "offset 69")</f>
        <v>offset 69</v>
      </c>
    </row>
    <row r="8515" customFormat="false" ht="12.8" hidden="false" customHeight="false" outlineLevel="0" collapsed="false">
      <c r="A8515" s="0" t="s">
        <v>12</v>
      </c>
      <c r="B8515" s="0" t="n">
        <v>2688985</v>
      </c>
      <c r="C8515" s="0" t="n">
        <v>2689005</v>
      </c>
      <c r="D8515" s="0" t="s">
        <v>28323</v>
      </c>
      <c r="E8515" s="0" t="s">
        <v>75</v>
      </c>
      <c r="F8515" s="0" t="s">
        <v>15</v>
      </c>
      <c r="G8515" s="0" t="s">
        <v>36</v>
      </c>
      <c r="H8515" s="0" t="n">
        <v>91</v>
      </c>
      <c r="I8515" s="0" t="s">
        <v>28333</v>
      </c>
      <c r="J8515" s="0" t="s">
        <v>28334</v>
      </c>
      <c r="K8515" s="0" t="s">
        <v>28335</v>
      </c>
      <c r="L8515" s="0" t="str">
        <f aca="false">HYPERLINK("https://www.ncbi.nlm.nih.gov/nuccore/CP000058.1?report=graph&amp;tracks=[key:gene_model_track,Options:GeneOnly]&amp;mk=2688905:2688924|offset_10|444444,2688936:2688955|offset_41|444444,2688964:2688983|offset_69|444444,2688986:2689005|offset_91|00cc00&amp;v=2688704:2689205&amp;c=444444", "offset 91")</f>
        <v>offset 91</v>
      </c>
    </row>
    <row r="8516" customFormat="false" ht="12.8" hidden="false" customHeight="false" outlineLevel="0" collapsed="false">
      <c r="A8516" s="0" t="s">
        <v>12</v>
      </c>
      <c r="B8516" s="0" t="n">
        <v>2691427</v>
      </c>
      <c r="C8516" s="0" t="n">
        <v>2691447</v>
      </c>
      <c r="D8516" s="0" t="s">
        <v>28336</v>
      </c>
      <c r="E8516" s="0" t="s">
        <v>28337</v>
      </c>
      <c r="F8516" s="0" t="s">
        <v>15</v>
      </c>
      <c r="G8516" s="0" t="s">
        <v>20</v>
      </c>
      <c r="H8516" s="0" t="n">
        <v>15</v>
      </c>
      <c r="I8516" s="0" t="s">
        <v>28338</v>
      </c>
      <c r="J8516" s="0" t="s">
        <v>28339</v>
      </c>
      <c r="K8516" s="0" t="s">
        <v>28340</v>
      </c>
      <c r="L8516" s="0" t="str">
        <f aca="false">HYPERLINK("https://www.ncbi.nlm.nih.gov/nuccore/CP000058.1?report=graph&amp;tracks=[key:gene_model_track,Options:GeneOnly]&amp;mk=2691428:2691447|offset_15|00cc00,2691449:2691468|offset_36|444444,2691473:2691492|offset_60|444444,2691498:2691517|offset_85|444444&amp;v=2691227:2691717&amp;c=444444", "offset 15")</f>
        <v>offset 15</v>
      </c>
    </row>
    <row r="8517" customFormat="false" ht="12.8" hidden="false" customHeight="false" outlineLevel="0" collapsed="false">
      <c r="A8517" s="0" t="s">
        <v>12</v>
      </c>
      <c r="B8517" s="0" t="n">
        <v>2691448</v>
      </c>
      <c r="C8517" s="0" t="n">
        <v>2691468</v>
      </c>
      <c r="D8517" s="0" t="s">
        <v>28336</v>
      </c>
      <c r="E8517" s="0" t="s">
        <v>28337</v>
      </c>
      <c r="F8517" s="0" t="s">
        <v>15</v>
      </c>
      <c r="G8517" s="0" t="s">
        <v>20</v>
      </c>
      <c r="H8517" s="0" t="n">
        <v>36</v>
      </c>
      <c r="I8517" s="0" t="s">
        <v>28341</v>
      </c>
      <c r="J8517" s="0" t="s">
        <v>28342</v>
      </c>
      <c r="K8517" s="0" t="s">
        <v>28343</v>
      </c>
      <c r="L8517" s="0" t="str">
        <f aca="false">HYPERLINK("https://www.ncbi.nlm.nih.gov/nuccore/CP000058.1?report=graph&amp;tracks=[key:gene_model_track,Options:GeneOnly]&amp;mk=2691428:2691447|offset_15|444444,2691449:2691468|offset_36|00cc00,2691473:2691492|offset_60|444444,2691498:2691517|offset_85|444444&amp;v=2691227:2691717&amp;c=444444", "offset 36")</f>
        <v>offset 36</v>
      </c>
    </row>
    <row r="8518" customFormat="false" ht="12.8" hidden="false" customHeight="false" outlineLevel="0" collapsed="false">
      <c r="A8518" s="0" t="s">
        <v>12</v>
      </c>
      <c r="B8518" s="0" t="n">
        <v>2691472</v>
      </c>
      <c r="C8518" s="0" t="n">
        <v>2691492</v>
      </c>
      <c r="D8518" s="0" t="s">
        <v>28336</v>
      </c>
      <c r="E8518" s="0" t="s">
        <v>28337</v>
      </c>
      <c r="F8518" s="0" t="s">
        <v>15</v>
      </c>
      <c r="G8518" s="0" t="s">
        <v>16</v>
      </c>
      <c r="H8518" s="0" t="n">
        <v>60</v>
      </c>
      <c r="I8518" s="0" t="s">
        <v>28344</v>
      </c>
      <c r="J8518" s="0" t="s">
        <v>28345</v>
      </c>
      <c r="K8518" s="0" t="s">
        <v>28346</v>
      </c>
      <c r="L8518" s="0" t="str">
        <f aca="false">HYPERLINK("https://www.ncbi.nlm.nih.gov/nuccore/CP000058.1?report=graph&amp;tracks=[key:gene_model_track,Options:GeneOnly]&amp;mk=2691428:2691447|offset_15|444444,2691449:2691468|offset_36|444444,2691473:2691492|offset_60|00cc00,2691498:2691517|offset_85|444444&amp;v=2691227:2691717&amp;c=444444", "offset 60")</f>
        <v>offset 60</v>
      </c>
    </row>
    <row r="8519" customFormat="false" ht="12.8" hidden="false" customHeight="false" outlineLevel="0" collapsed="false">
      <c r="A8519" s="0" t="s">
        <v>12</v>
      </c>
      <c r="B8519" s="0" t="n">
        <v>2691497</v>
      </c>
      <c r="C8519" s="0" t="n">
        <v>2691517</v>
      </c>
      <c r="D8519" s="0" t="s">
        <v>28336</v>
      </c>
      <c r="E8519" s="0" t="s">
        <v>28337</v>
      </c>
      <c r="F8519" s="0" t="s">
        <v>15</v>
      </c>
      <c r="G8519" s="0" t="s">
        <v>16</v>
      </c>
      <c r="H8519" s="0" t="n">
        <v>85</v>
      </c>
      <c r="I8519" s="0" t="s">
        <v>28347</v>
      </c>
      <c r="J8519" s="0" t="s">
        <v>28348</v>
      </c>
      <c r="K8519" s="0" t="s">
        <v>28349</v>
      </c>
      <c r="L8519" s="0" t="str">
        <f aca="false">HYPERLINK("https://www.ncbi.nlm.nih.gov/nuccore/CP000058.1?report=graph&amp;tracks=[key:gene_model_track,Options:GeneOnly]&amp;mk=2691428:2691447|offset_15|444444,2691449:2691468|offset_36|444444,2691473:2691492|offset_60|444444,2691498:2691517|offset_85|00cc00&amp;v=2691227:2691717&amp;c=444444", "offset 85")</f>
        <v>offset 85</v>
      </c>
    </row>
    <row r="8520" customFormat="false" ht="12.8" hidden="false" customHeight="false" outlineLevel="0" collapsed="false">
      <c r="A8520" s="0" t="s">
        <v>12</v>
      </c>
      <c r="B8520" s="0" t="n">
        <v>2693379</v>
      </c>
      <c r="C8520" s="0" t="n">
        <v>2693399</v>
      </c>
      <c r="D8520" s="0" t="s">
        <v>28350</v>
      </c>
      <c r="E8520" s="0" t="s">
        <v>28351</v>
      </c>
      <c r="F8520" s="0" t="s">
        <v>90</v>
      </c>
      <c r="G8520" s="0" t="s">
        <v>36</v>
      </c>
      <c r="H8520" s="0" t="n">
        <v>10</v>
      </c>
      <c r="I8520" s="0" t="s">
        <v>28352</v>
      </c>
      <c r="J8520" s="0" t="s">
        <v>28353</v>
      </c>
      <c r="K8520" s="0" t="s">
        <v>28354</v>
      </c>
      <c r="L8520" s="0" t="str">
        <f aca="false">HYPERLINK("https://www.ncbi.nlm.nih.gov/nuccore/CP000058.1?report=graph&amp;tracks=[key:gene_model_track,Options:GeneOnly]&amp;mk=2693380:2693399|offset_10|00cc00,2693353:2693372|offset_37|444444,2693317:2693336|offset_73|444444,2693271:2693290|offset_119|444444&amp;v=2693179:2693490&amp;c=444444", "offset 10")</f>
        <v>offset 10</v>
      </c>
    </row>
    <row r="8521" customFormat="false" ht="12.8" hidden="false" customHeight="false" outlineLevel="0" collapsed="false">
      <c r="A8521" s="0" t="s">
        <v>12</v>
      </c>
      <c r="B8521" s="0" t="n">
        <v>2693352</v>
      </c>
      <c r="C8521" s="0" t="n">
        <v>2693372</v>
      </c>
      <c r="D8521" s="0" t="s">
        <v>28350</v>
      </c>
      <c r="E8521" s="0" t="s">
        <v>28351</v>
      </c>
      <c r="F8521" s="0" t="s">
        <v>90</v>
      </c>
      <c r="G8521" s="0" t="s">
        <v>16</v>
      </c>
      <c r="H8521" s="0" t="n">
        <v>37</v>
      </c>
      <c r="I8521" s="0" t="s">
        <v>28355</v>
      </c>
      <c r="J8521" s="0" t="s">
        <v>28356</v>
      </c>
      <c r="K8521" s="0" t="s">
        <v>28357</v>
      </c>
      <c r="L8521" s="0" t="str">
        <f aca="false">HYPERLINK("https://www.ncbi.nlm.nih.gov/nuccore/CP000058.1?report=graph&amp;tracks=[key:gene_model_track,Options:GeneOnly]&amp;mk=2693380:2693399|offset_10|444444,2693353:2693372|offset_37|00cc00,2693317:2693336|offset_73|444444,2693271:2693290|offset_119|444444&amp;v=2693179:2693490&amp;c=444444", "offset 37")</f>
        <v>offset 37</v>
      </c>
    </row>
    <row r="8522" customFormat="false" ht="12.8" hidden="false" customHeight="false" outlineLevel="0" collapsed="false">
      <c r="A8522" s="0" t="s">
        <v>12</v>
      </c>
      <c r="B8522" s="0" t="n">
        <v>2693316</v>
      </c>
      <c r="C8522" s="0" t="n">
        <v>2693336</v>
      </c>
      <c r="D8522" s="0" t="s">
        <v>28350</v>
      </c>
      <c r="E8522" s="0" t="s">
        <v>28351</v>
      </c>
      <c r="F8522" s="0" t="s">
        <v>90</v>
      </c>
      <c r="G8522" s="0" t="s">
        <v>32</v>
      </c>
      <c r="H8522" s="0" t="n">
        <v>73</v>
      </c>
      <c r="I8522" s="0" t="s">
        <v>28358</v>
      </c>
      <c r="J8522" s="0" t="s">
        <v>28359</v>
      </c>
      <c r="K8522" s="0" t="s">
        <v>28360</v>
      </c>
      <c r="L8522" s="0" t="str">
        <f aca="false">HYPERLINK("https://www.ncbi.nlm.nih.gov/nuccore/CP000058.1?report=graph&amp;tracks=[key:gene_model_track,Options:GeneOnly]&amp;mk=2693380:2693399|offset_10|444444,2693353:2693372|offset_37|444444,2693317:2693336|offset_73|00cc00,2693271:2693290|offset_119|444444&amp;v=2693179:2693490&amp;c=444444", "offset 73")</f>
        <v>offset 73</v>
      </c>
    </row>
    <row r="8523" customFormat="false" ht="12.8" hidden="false" customHeight="false" outlineLevel="0" collapsed="false">
      <c r="A8523" s="0" t="s">
        <v>12</v>
      </c>
      <c r="B8523" s="0" t="n">
        <v>2693270</v>
      </c>
      <c r="C8523" s="0" t="n">
        <v>2693290</v>
      </c>
      <c r="D8523" s="0" t="s">
        <v>28350</v>
      </c>
      <c r="E8523" s="0" t="s">
        <v>28351</v>
      </c>
      <c r="F8523" s="0" t="s">
        <v>90</v>
      </c>
      <c r="G8523" s="0" t="s">
        <v>36</v>
      </c>
      <c r="H8523" s="0" t="n">
        <v>119</v>
      </c>
      <c r="I8523" s="0" t="s">
        <v>28361</v>
      </c>
      <c r="J8523" s="0" t="s">
        <v>28362</v>
      </c>
      <c r="K8523" s="0" t="s">
        <v>28363</v>
      </c>
      <c r="L8523" s="0" t="str">
        <f aca="false">HYPERLINK("https://www.ncbi.nlm.nih.gov/nuccore/CP000058.1?report=graph&amp;tracks=[key:gene_model_track,Options:GeneOnly]&amp;mk=2693380:2693399|offset_10|444444,2693353:2693372|offset_37|444444,2693317:2693336|offset_73|444444,2693271:2693290|offset_119|00cc00&amp;v=2693179:2693490&amp;c=444444", "offset 119")</f>
        <v>offset 119</v>
      </c>
    </row>
    <row r="8524" customFormat="false" ht="12.8" hidden="false" customHeight="false" outlineLevel="0" collapsed="false">
      <c r="A8524" s="0" t="s">
        <v>12</v>
      </c>
      <c r="B8524" s="0" t="n">
        <v>2693544</v>
      </c>
      <c r="C8524" s="0" t="n">
        <v>2693564</v>
      </c>
      <c r="D8524" s="0" t="s">
        <v>28364</v>
      </c>
      <c r="E8524" s="0" t="s">
        <v>75</v>
      </c>
      <c r="F8524" s="0" t="s">
        <v>15</v>
      </c>
      <c r="G8524" s="0" t="s">
        <v>16</v>
      </c>
      <c r="H8524" s="0" t="n">
        <v>12</v>
      </c>
      <c r="I8524" s="0" t="s">
        <v>28365</v>
      </c>
      <c r="J8524" s="0" t="s">
        <v>28366</v>
      </c>
      <c r="K8524" s="0" t="s">
        <v>28367</v>
      </c>
      <c r="L8524" s="0" t="str">
        <f aca="false">HYPERLINK("https://www.ncbi.nlm.nih.gov/nuccore/CP000058.1?report=graph&amp;tracks=[key:gene_model_track,Options:GeneOnly]&amp;mk=2693545:2693564|offset_12|00cc00,2693567:2693586|offset_34|444444,2693597:2693616|offset_64|444444,2693618:2693637|offset_85|444444&amp;v=2693344:2693837&amp;c=444444", "offset 12")</f>
        <v>offset 12</v>
      </c>
    </row>
    <row r="8525" customFormat="false" ht="12.8" hidden="false" customHeight="false" outlineLevel="0" collapsed="false">
      <c r="A8525" s="0" t="s">
        <v>12</v>
      </c>
      <c r="B8525" s="0" t="n">
        <v>2693566</v>
      </c>
      <c r="C8525" s="0" t="n">
        <v>2693586</v>
      </c>
      <c r="D8525" s="0" t="s">
        <v>28364</v>
      </c>
      <c r="E8525" s="0" t="s">
        <v>75</v>
      </c>
      <c r="F8525" s="0" t="s">
        <v>15</v>
      </c>
      <c r="G8525" s="0" t="s">
        <v>32</v>
      </c>
      <c r="H8525" s="0" t="n">
        <v>34</v>
      </c>
      <c r="I8525" s="0" t="s">
        <v>28368</v>
      </c>
      <c r="J8525" s="0" t="s">
        <v>28369</v>
      </c>
      <c r="K8525" s="0" t="s">
        <v>28370</v>
      </c>
      <c r="L8525" s="0" t="str">
        <f aca="false">HYPERLINK("https://www.ncbi.nlm.nih.gov/nuccore/CP000058.1?report=graph&amp;tracks=[key:gene_model_track,Options:GeneOnly]&amp;mk=2693545:2693564|offset_12|444444,2693567:2693586|offset_34|00cc00,2693597:2693616|offset_64|444444,2693618:2693637|offset_85|444444&amp;v=2693344:2693837&amp;c=444444", "offset 34")</f>
        <v>offset 34</v>
      </c>
    </row>
    <row r="8526" customFormat="false" ht="12.8" hidden="false" customHeight="false" outlineLevel="0" collapsed="false">
      <c r="A8526" s="0" t="s">
        <v>12</v>
      </c>
      <c r="B8526" s="0" t="n">
        <v>2693596</v>
      </c>
      <c r="C8526" s="0" t="n">
        <v>2693616</v>
      </c>
      <c r="D8526" s="0" t="s">
        <v>28364</v>
      </c>
      <c r="E8526" s="0" t="s">
        <v>75</v>
      </c>
      <c r="F8526" s="0" t="s">
        <v>15</v>
      </c>
      <c r="G8526" s="0" t="s">
        <v>32</v>
      </c>
      <c r="H8526" s="0" t="n">
        <v>64</v>
      </c>
      <c r="I8526" s="0" t="s">
        <v>28371</v>
      </c>
      <c r="J8526" s="0" t="s">
        <v>28372</v>
      </c>
      <c r="K8526" s="0" t="s">
        <v>28373</v>
      </c>
      <c r="L8526" s="0" t="str">
        <f aca="false">HYPERLINK("https://www.ncbi.nlm.nih.gov/nuccore/CP000058.1?report=graph&amp;tracks=[key:gene_model_track,Options:GeneOnly]&amp;mk=2693545:2693564|offset_12|444444,2693567:2693586|offset_34|444444,2693597:2693616|offset_64|00cc00,2693618:2693637|offset_85|444444&amp;v=2693344:2693837&amp;c=444444", "offset 64")</f>
        <v>offset 64</v>
      </c>
    </row>
    <row r="8527" customFormat="false" ht="12.8" hidden="false" customHeight="false" outlineLevel="0" collapsed="false">
      <c r="A8527" s="0" t="s">
        <v>12</v>
      </c>
      <c r="B8527" s="0" t="n">
        <v>2693617</v>
      </c>
      <c r="C8527" s="0" t="n">
        <v>2693637</v>
      </c>
      <c r="D8527" s="0" t="s">
        <v>28364</v>
      </c>
      <c r="E8527" s="0" t="s">
        <v>75</v>
      </c>
      <c r="F8527" s="0" t="s">
        <v>15</v>
      </c>
      <c r="G8527" s="0" t="s">
        <v>32</v>
      </c>
      <c r="H8527" s="0" t="n">
        <v>85</v>
      </c>
      <c r="I8527" s="0" t="s">
        <v>28374</v>
      </c>
      <c r="J8527" s="0" t="s">
        <v>28375</v>
      </c>
      <c r="K8527" s="0" t="s">
        <v>28376</v>
      </c>
      <c r="L8527" s="0" t="str">
        <f aca="false">HYPERLINK("https://www.ncbi.nlm.nih.gov/nuccore/CP000058.1?report=graph&amp;tracks=[key:gene_model_track,Options:GeneOnly]&amp;mk=2693545:2693564|offset_12|444444,2693567:2693586|offset_34|444444,2693597:2693616|offset_64|444444,2693618:2693637|offset_85|00cc00&amp;v=2693344:2693837&amp;c=444444", "offset 85")</f>
        <v>offset 85</v>
      </c>
    </row>
    <row r="8528" customFormat="false" ht="12.8" hidden="false" customHeight="false" outlineLevel="0" collapsed="false">
      <c r="A8528" s="0" t="s">
        <v>12</v>
      </c>
      <c r="B8528" s="0" t="n">
        <v>2696302</v>
      </c>
      <c r="C8528" s="0" t="n">
        <v>2696322</v>
      </c>
      <c r="D8528" s="0" t="s">
        <v>28377</v>
      </c>
      <c r="E8528" s="0" t="s">
        <v>75</v>
      </c>
      <c r="F8528" s="0" t="s">
        <v>90</v>
      </c>
      <c r="G8528" s="0" t="s">
        <v>16</v>
      </c>
      <c r="H8528" s="0" t="n">
        <v>6</v>
      </c>
      <c r="I8528" s="0" t="s">
        <v>28378</v>
      </c>
      <c r="J8528" s="0" t="s">
        <v>28379</v>
      </c>
      <c r="K8528" s="0" t="s">
        <v>28380</v>
      </c>
      <c r="L8528" s="0" t="str">
        <f aca="false">HYPERLINK("https://www.ncbi.nlm.nih.gov/nuccore/CP000058.1?report=graph&amp;tracks=[key:gene_model_track,Options:GeneOnly]&amp;mk=2696303:2696322|offset_6|00cc00,2696277:2696296|offset_32|444444,2696232:2696251|offset_77|444444,2696173:2696192|offset_136|444444&amp;v=2696102:2696392&amp;c=444444", "offset 6")</f>
        <v>offset 6</v>
      </c>
    </row>
    <row r="8529" customFormat="false" ht="12.8" hidden="false" customHeight="false" outlineLevel="0" collapsed="false">
      <c r="A8529" s="0" t="s">
        <v>12</v>
      </c>
      <c r="B8529" s="0" t="n">
        <v>2696276</v>
      </c>
      <c r="C8529" s="0" t="n">
        <v>2696296</v>
      </c>
      <c r="D8529" s="0" t="s">
        <v>28377</v>
      </c>
      <c r="E8529" s="0" t="s">
        <v>75</v>
      </c>
      <c r="F8529" s="0" t="s">
        <v>90</v>
      </c>
      <c r="G8529" s="0" t="s">
        <v>20</v>
      </c>
      <c r="H8529" s="0" t="n">
        <v>32</v>
      </c>
      <c r="I8529" s="0" t="s">
        <v>28381</v>
      </c>
      <c r="J8529" s="0" t="s">
        <v>28382</v>
      </c>
      <c r="K8529" s="0" t="s">
        <v>28383</v>
      </c>
      <c r="L8529" s="0" t="str">
        <f aca="false">HYPERLINK("https://www.ncbi.nlm.nih.gov/nuccore/CP000058.1?report=graph&amp;tracks=[key:gene_model_track,Options:GeneOnly]&amp;mk=2696303:2696322|offset_6|444444,2696277:2696296|offset_32|00cc00,2696232:2696251|offset_77|444444,2696173:2696192|offset_136|444444&amp;v=2696102:2696392&amp;c=444444", "offset 32")</f>
        <v>offset 32</v>
      </c>
    </row>
    <row r="8530" customFormat="false" ht="12.8" hidden="false" customHeight="false" outlineLevel="0" collapsed="false">
      <c r="A8530" s="0" t="s">
        <v>12</v>
      </c>
      <c r="B8530" s="0" t="n">
        <v>2696231</v>
      </c>
      <c r="C8530" s="0" t="n">
        <v>2696251</v>
      </c>
      <c r="D8530" s="0" t="s">
        <v>28377</v>
      </c>
      <c r="E8530" s="0" t="s">
        <v>75</v>
      </c>
      <c r="F8530" s="0" t="s">
        <v>90</v>
      </c>
      <c r="G8530" s="0" t="s">
        <v>20</v>
      </c>
      <c r="H8530" s="0" t="n">
        <v>77</v>
      </c>
      <c r="I8530" s="0" t="s">
        <v>28384</v>
      </c>
      <c r="J8530" s="0" t="s">
        <v>28385</v>
      </c>
      <c r="K8530" s="0" t="s">
        <v>28386</v>
      </c>
      <c r="L8530" s="0" t="str">
        <f aca="false">HYPERLINK("https://www.ncbi.nlm.nih.gov/nuccore/CP000058.1?report=graph&amp;tracks=[key:gene_model_track,Options:GeneOnly]&amp;mk=2696303:2696322|offset_6|444444,2696277:2696296|offset_32|444444,2696232:2696251|offset_77|00cc00,2696173:2696192|offset_136|444444&amp;v=2696102:2696392&amp;c=444444", "offset 77")</f>
        <v>offset 77</v>
      </c>
    </row>
    <row r="8531" customFormat="false" ht="12.8" hidden="false" customHeight="false" outlineLevel="0" collapsed="false">
      <c r="A8531" s="0" t="s">
        <v>12</v>
      </c>
      <c r="B8531" s="0" t="n">
        <v>2696172</v>
      </c>
      <c r="C8531" s="0" t="n">
        <v>2696192</v>
      </c>
      <c r="D8531" s="0" t="s">
        <v>28377</v>
      </c>
      <c r="E8531" s="0" t="s">
        <v>75</v>
      </c>
      <c r="F8531" s="0" t="s">
        <v>90</v>
      </c>
      <c r="G8531" s="0" t="s">
        <v>16</v>
      </c>
      <c r="H8531" s="0" t="n">
        <v>136</v>
      </c>
      <c r="I8531" s="0" t="s">
        <v>28387</v>
      </c>
      <c r="J8531" s="0" t="s">
        <v>28388</v>
      </c>
      <c r="K8531" s="0" t="s">
        <v>28389</v>
      </c>
      <c r="L8531" s="0" t="str">
        <f aca="false">HYPERLINK("https://www.ncbi.nlm.nih.gov/nuccore/CP000058.1?report=graph&amp;tracks=[key:gene_model_track,Options:GeneOnly]&amp;mk=2696303:2696322|offset_6|444444,2696277:2696296|offset_32|444444,2696232:2696251|offset_77|444444,2696173:2696192|offset_136|00cc00&amp;v=2696102:2696392&amp;c=444444", "offset 136")</f>
        <v>offset 136</v>
      </c>
    </row>
    <row r="8532" customFormat="false" ht="12.8" hidden="false" customHeight="false" outlineLevel="0" collapsed="false">
      <c r="A8532" s="0" t="s">
        <v>12</v>
      </c>
      <c r="B8532" s="0" t="n">
        <v>2697321</v>
      </c>
      <c r="C8532" s="0" t="n">
        <v>2697341</v>
      </c>
      <c r="D8532" s="0" t="s">
        <v>28390</v>
      </c>
      <c r="E8532" s="0" t="s">
        <v>75</v>
      </c>
      <c r="F8532" s="0" t="s">
        <v>90</v>
      </c>
      <c r="G8532" s="0" t="s">
        <v>20</v>
      </c>
      <c r="H8532" s="0" t="n">
        <v>11</v>
      </c>
      <c r="I8532" s="0" t="s">
        <v>28391</v>
      </c>
      <c r="J8532" s="0" t="s">
        <v>28392</v>
      </c>
      <c r="K8532" s="0" t="s">
        <v>28393</v>
      </c>
      <c r="L8532" s="0" t="str">
        <f aca="false">HYPERLINK("https://www.ncbi.nlm.nih.gov/nuccore/CP000058.1?report=graph&amp;tracks=[key:gene_model_track,Options:GeneOnly]&amp;mk=2697322:2697341|offset_11|00cc00,2697301:2697320|offset_32|444444,2697274:2697293|offset_59|444444,2697233:2697252|offset_100|444444&amp;v=2697121:2697452&amp;c=444444", "offset 11")</f>
        <v>offset 11</v>
      </c>
    </row>
    <row r="8533" customFormat="false" ht="12.8" hidden="false" customHeight="false" outlineLevel="0" collapsed="false">
      <c r="A8533" s="0" t="s">
        <v>12</v>
      </c>
      <c r="B8533" s="0" t="n">
        <v>2697300</v>
      </c>
      <c r="C8533" s="0" t="n">
        <v>2697320</v>
      </c>
      <c r="D8533" s="0" t="s">
        <v>28390</v>
      </c>
      <c r="E8533" s="0" t="s">
        <v>75</v>
      </c>
      <c r="F8533" s="0" t="s">
        <v>90</v>
      </c>
      <c r="G8533" s="0" t="s">
        <v>16</v>
      </c>
      <c r="H8533" s="0" t="n">
        <v>32</v>
      </c>
      <c r="I8533" s="0" t="s">
        <v>28394</v>
      </c>
      <c r="J8533" s="0" t="s">
        <v>28395</v>
      </c>
      <c r="K8533" s="0" t="s">
        <v>28396</v>
      </c>
      <c r="L8533" s="0" t="str">
        <f aca="false">HYPERLINK("https://www.ncbi.nlm.nih.gov/nuccore/CP000058.1?report=graph&amp;tracks=[key:gene_model_track,Options:GeneOnly]&amp;mk=2697322:2697341|offset_11|444444,2697301:2697320|offset_32|00cc00,2697274:2697293|offset_59|444444,2697233:2697252|offset_100|444444&amp;v=2697121:2697452&amp;c=444444", "offset 32")</f>
        <v>offset 32</v>
      </c>
    </row>
    <row r="8534" customFormat="false" ht="12.8" hidden="false" customHeight="false" outlineLevel="0" collapsed="false">
      <c r="A8534" s="0" t="s">
        <v>12</v>
      </c>
      <c r="B8534" s="0" t="n">
        <v>2697273</v>
      </c>
      <c r="C8534" s="0" t="n">
        <v>2697293</v>
      </c>
      <c r="D8534" s="0" t="s">
        <v>28390</v>
      </c>
      <c r="E8534" s="0" t="s">
        <v>75</v>
      </c>
      <c r="F8534" s="0" t="s">
        <v>90</v>
      </c>
      <c r="G8534" s="0" t="s">
        <v>16</v>
      </c>
      <c r="H8534" s="0" t="n">
        <v>59</v>
      </c>
      <c r="I8534" s="0" t="s">
        <v>28397</v>
      </c>
      <c r="J8534" s="0" t="s">
        <v>28398</v>
      </c>
      <c r="K8534" s="0" t="s">
        <v>28399</v>
      </c>
      <c r="L8534" s="0" t="str">
        <f aca="false">HYPERLINK("https://www.ncbi.nlm.nih.gov/nuccore/CP000058.1?report=graph&amp;tracks=[key:gene_model_track,Options:GeneOnly]&amp;mk=2697322:2697341|offset_11|444444,2697301:2697320|offset_32|444444,2697274:2697293|offset_59|00cc00,2697233:2697252|offset_100|444444&amp;v=2697121:2697452&amp;c=444444", "offset 59")</f>
        <v>offset 59</v>
      </c>
    </row>
    <row r="8535" customFormat="false" ht="12.8" hidden="false" customHeight="false" outlineLevel="0" collapsed="false">
      <c r="A8535" s="0" t="s">
        <v>12</v>
      </c>
      <c r="B8535" s="0" t="n">
        <v>2697232</v>
      </c>
      <c r="C8535" s="0" t="n">
        <v>2697252</v>
      </c>
      <c r="D8535" s="0" t="s">
        <v>28390</v>
      </c>
      <c r="E8535" s="0" t="s">
        <v>75</v>
      </c>
      <c r="F8535" s="0" t="s">
        <v>90</v>
      </c>
      <c r="G8535" s="0" t="s">
        <v>36</v>
      </c>
      <c r="H8535" s="0" t="n">
        <v>100</v>
      </c>
      <c r="I8535" s="0" t="s">
        <v>28400</v>
      </c>
      <c r="J8535" s="0" t="s">
        <v>28401</v>
      </c>
      <c r="K8535" s="0" t="s">
        <v>28402</v>
      </c>
      <c r="L8535" s="0" t="str">
        <f aca="false">HYPERLINK("https://www.ncbi.nlm.nih.gov/nuccore/CP000058.1?report=graph&amp;tracks=[key:gene_model_track,Options:GeneOnly]&amp;mk=2697322:2697341|offset_11|444444,2697301:2697320|offset_32|444444,2697274:2697293|offset_59|444444,2697233:2697252|offset_100|00cc00&amp;v=2697121:2697452&amp;c=444444", "offset 100")</f>
        <v>offset 100</v>
      </c>
    </row>
    <row r="8536" customFormat="false" ht="12.8" hidden="false" customHeight="false" outlineLevel="0" collapsed="false">
      <c r="A8536" s="0" t="s">
        <v>12</v>
      </c>
      <c r="B8536" s="0" t="n">
        <v>2698355</v>
      </c>
      <c r="C8536" s="0" t="n">
        <v>2698375</v>
      </c>
      <c r="D8536" s="0" t="s">
        <v>28403</v>
      </c>
      <c r="E8536" s="0" t="s">
        <v>75</v>
      </c>
      <c r="F8536" s="0" t="s">
        <v>90</v>
      </c>
      <c r="G8536" s="0" t="s">
        <v>36</v>
      </c>
      <c r="H8536" s="0" t="n">
        <v>41</v>
      </c>
      <c r="I8536" s="0" t="s">
        <v>28404</v>
      </c>
      <c r="J8536" s="0" t="s">
        <v>28405</v>
      </c>
      <c r="K8536" s="0" t="s">
        <v>28406</v>
      </c>
      <c r="L8536" s="0" t="str">
        <f aca="false">HYPERLINK("https://www.ncbi.nlm.nih.gov/nuccore/CP000058.1?report=graph&amp;tracks=[key:gene_model_track,Options:GeneOnly]&amp;mk=2698356:2698375|offset_41|00cc00,2698309:2698328|offset_88|444444,2698249:2698268|offset_148|444444,2698222:2698241|offset_175|444444&amp;v=2698155:2698441&amp;c=444444", "offset 41")</f>
        <v>offset 41</v>
      </c>
    </row>
    <row r="8537" customFormat="false" ht="12.8" hidden="false" customHeight="false" outlineLevel="0" collapsed="false">
      <c r="A8537" s="0" t="s">
        <v>12</v>
      </c>
      <c r="B8537" s="0" t="n">
        <v>2698308</v>
      </c>
      <c r="C8537" s="0" t="n">
        <v>2698328</v>
      </c>
      <c r="D8537" s="0" t="s">
        <v>28403</v>
      </c>
      <c r="E8537" s="0" t="s">
        <v>75</v>
      </c>
      <c r="F8537" s="0" t="s">
        <v>90</v>
      </c>
      <c r="G8537" s="0" t="s">
        <v>16</v>
      </c>
      <c r="H8537" s="0" t="n">
        <v>88</v>
      </c>
      <c r="I8537" s="0" t="s">
        <v>28407</v>
      </c>
      <c r="J8537" s="0" t="s">
        <v>28408</v>
      </c>
      <c r="K8537" s="0" t="s">
        <v>28409</v>
      </c>
      <c r="L8537" s="0" t="str">
        <f aca="false">HYPERLINK("https://www.ncbi.nlm.nih.gov/nuccore/CP000058.1?report=graph&amp;tracks=[key:gene_model_track,Options:GeneOnly]&amp;mk=2698356:2698375|offset_41|444444,2698309:2698328|offset_88|00cc00,2698249:2698268|offset_148|444444,2698222:2698241|offset_175|444444&amp;v=2698155:2698441&amp;c=444444", "offset 88")</f>
        <v>offset 88</v>
      </c>
    </row>
    <row r="8538" customFormat="false" ht="12.8" hidden="false" customHeight="false" outlineLevel="0" collapsed="false">
      <c r="A8538" s="0" t="s">
        <v>12</v>
      </c>
      <c r="B8538" s="0" t="n">
        <v>2698248</v>
      </c>
      <c r="C8538" s="0" t="n">
        <v>2698268</v>
      </c>
      <c r="D8538" s="0" t="s">
        <v>28403</v>
      </c>
      <c r="E8538" s="0" t="s">
        <v>75</v>
      </c>
      <c r="F8538" s="0" t="s">
        <v>90</v>
      </c>
      <c r="G8538" s="0" t="s">
        <v>32</v>
      </c>
      <c r="H8538" s="0" t="n">
        <v>148</v>
      </c>
      <c r="I8538" s="0" t="s">
        <v>28410</v>
      </c>
      <c r="J8538" s="0" t="s">
        <v>28411</v>
      </c>
      <c r="K8538" s="0" t="s">
        <v>28412</v>
      </c>
      <c r="L8538" s="0" t="str">
        <f aca="false">HYPERLINK("https://www.ncbi.nlm.nih.gov/nuccore/CP000058.1?report=graph&amp;tracks=[key:gene_model_track,Options:GeneOnly]&amp;mk=2698356:2698375|offset_41|444444,2698309:2698328|offset_88|444444,2698249:2698268|offset_148|00cc00,2698222:2698241|offset_175|444444&amp;v=2698155:2698441&amp;c=444444", "offset 148")</f>
        <v>offset 148</v>
      </c>
    </row>
    <row r="8539" customFormat="false" ht="12.8" hidden="false" customHeight="false" outlineLevel="0" collapsed="false">
      <c r="A8539" s="0" t="s">
        <v>12</v>
      </c>
      <c r="B8539" s="0" t="n">
        <v>2698221</v>
      </c>
      <c r="C8539" s="0" t="n">
        <v>2698241</v>
      </c>
      <c r="D8539" s="0" t="s">
        <v>28403</v>
      </c>
      <c r="E8539" s="0" t="s">
        <v>75</v>
      </c>
      <c r="F8539" s="0" t="s">
        <v>90</v>
      </c>
      <c r="G8539" s="0" t="s">
        <v>16</v>
      </c>
      <c r="H8539" s="0" t="n">
        <v>175</v>
      </c>
      <c r="I8539" s="0" t="s">
        <v>28413</v>
      </c>
      <c r="J8539" s="0" t="s">
        <v>28414</v>
      </c>
      <c r="K8539" s="0" t="s">
        <v>28415</v>
      </c>
      <c r="L8539" s="0" t="str">
        <f aca="false">HYPERLINK("https://www.ncbi.nlm.nih.gov/nuccore/CP000058.1?report=graph&amp;tracks=[key:gene_model_track,Options:GeneOnly]&amp;mk=2698356:2698375|offset_41|444444,2698309:2698328|offset_88|444444,2698249:2698268|offset_148|444444,2698222:2698241|offset_175|00cc00&amp;v=2698155:2698441&amp;c=444444", "offset 175")</f>
        <v>offset 175</v>
      </c>
    </row>
    <row r="8540" customFormat="false" ht="12.8" hidden="false" customHeight="false" outlineLevel="0" collapsed="false">
      <c r="A8540" s="0" t="s">
        <v>12</v>
      </c>
      <c r="B8540" s="0" t="n">
        <v>2700234</v>
      </c>
      <c r="C8540" s="0" t="n">
        <v>2700254</v>
      </c>
      <c r="D8540" s="0" t="s">
        <v>28416</v>
      </c>
      <c r="E8540" s="0" t="s">
        <v>75</v>
      </c>
      <c r="F8540" s="0" t="s">
        <v>90</v>
      </c>
      <c r="G8540" s="0" t="s">
        <v>20</v>
      </c>
      <c r="H8540" s="0" t="n">
        <v>31</v>
      </c>
      <c r="I8540" s="0" t="s">
        <v>28417</v>
      </c>
      <c r="J8540" s="0" t="s">
        <v>28418</v>
      </c>
      <c r="K8540" s="0" t="s">
        <v>28419</v>
      </c>
      <c r="L8540" s="0" t="str">
        <f aca="false">HYPERLINK("https://www.ncbi.nlm.nih.gov/nuccore/CP000058.1?report=graph&amp;tracks=[key:gene_model_track,Options:GeneOnly]&amp;mk=2700235:2700254|offset_31|00cc00,2700188:2700207|offset_78|444444,2700157:2700176|offset_109|444444,2700114:2700133|offset_152|444444&amp;v=2700034:2700333&amp;c=444444", "offset 31")</f>
        <v>offset 31</v>
      </c>
    </row>
    <row r="8541" customFormat="false" ht="12.8" hidden="false" customHeight="false" outlineLevel="0" collapsed="false">
      <c r="A8541" s="0" t="s">
        <v>12</v>
      </c>
      <c r="B8541" s="0" t="n">
        <v>2700187</v>
      </c>
      <c r="C8541" s="0" t="n">
        <v>2700207</v>
      </c>
      <c r="D8541" s="0" t="s">
        <v>28416</v>
      </c>
      <c r="E8541" s="0" t="s">
        <v>75</v>
      </c>
      <c r="F8541" s="0" t="s">
        <v>90</v>
      </c>
      <c r="G8541" s="0" t="s">
        <v>32</v>
      </c>
      <c r="H8541" s="0" t="n">
        <v>78</v>
      </c>
      <c r="I8541" s="0" t="s">
        <v>28420</v>
      </c>
      <c r="J8541" s="0" t="s">
        <v>28421</v>
      </c>
      <c r="K8541" s="0" t="s">
        <v>28422</v>
      </c>
      <c r="L8541" s="0" t="str">
        <f aca="false">HYPERLINK("https://www.ncbi.nlm.nih.gov/nuccore/CP000058.1?report=graph&amp;tracks=[key:gene_model_track,Options:GeneOnly]&amp;mk=2700235:2700254|offset_31|444444,2700188:2700207|offset_78|00cc00,2700157:2700176|offset_109|444444,2700114:2700133|offset_152|444444&amp;v=2700034:2700333&amp;c=444444", "offset 78")</f>
        <v>offset 78</v>
      </c>
    </row>
    <row r="8542" customFormat="false" ht="12.8" hidden="false" customHeight="false" outlineLevel="0" collapsed="false">
      <c r="A8542" s="0" t="s">
        <v>12</v>
      </c>
      <c r="B8542" s="0" t="n">
        <v>2700156</v>
      </c>
      <c r="C8542" s="0" t="n">
        <v>2700176</v>
      </c>
      <c r="D8542" s="0" t="s">
        <v>28416</v>
      </c>
      <c r="E8542" s="0" t="s">
        <v>75</v>
      </c>
      <c r="F8542" s="0" t="s">
        <v>90</v>
      </c>
      <c r="G8542" s="0" t="s">
        <v>36</v>
      </c>
      <c r="H8542" s="0" t="n">
        <v>109</v>
      </c>
      <c r="I8542" s="0" t="s">
        <v>28423</v>
      </c>
      <c r="J8542" s="0" t="s">
        <v>28424</v>
      </c>
      <c r="K8542" s="0" t="s">
        <v>28425</v>
      </c>
      <c r="L8542" s="0" t="str">
        <f aca="false">HYPERLINK("https://www.ncbi.nlm.nih.gov/nuccore/CP000058.1?report=graph&amp;tracks=[key:gene_model_track,Options:GeneOnly]&amp;mk=2700235:2700254|offset_31|444444,2700188:2700207|offset_78|444444,2700157:2700176|offset_109|00cc00,2700114:2700133|offset_152|444444&amp;v=2700034:2700333&amp;c=444444", "offset 109")</f>
        <v>offset 109</v>
      </c>
    </row>
    <row r="8543" customFormat="false" ht="12.8" hidden="false" customHeight="false" outlineLevel="0" collapsed="false">
      <c r="A8543" s="0" t="s">
        <v>12</v>
      </c>
      <c r="B8543" s="0" t="n">
        <v>2700113</v>
      </c>
      <c r="C8543" s="0" t="n">
        <v>2700133</v>
      </c>
      <c r="D8543" s="0" t="s">
        <v>28416</v>
      </c>
      <c r="E8543" s="0" t="s">
        <v>75</v>
      </c>
      <c r="F8543" s="0" t="s">
        <v>90</v>
      </c>
      <c r="G8543" s="0" t="s">
        <v>36</v>
      </c>
      <c r="H8543" s="0" t="n">
        <v>152</v>
      </c>
      <c r="I8543" s="0" t="s">
        <v>28426</v>
      </c>
      <c r="J8543" s="0" t="s">
        <v>28427</v>
      </c>
      <c r="K8543" s="0" t="s">
        <v>28428</v>
      </c>
      <c r="L8543" s="0" t="str">
        <f aca="false">HYPERLINK("https://www.ncbi.nlm.nih.gov/nuccore/CP000058.1?report=graph&amp;tracks=[key:gene_model_track,Options:GeneOnly]&amp;mk=2700235:2700254|offset_31|444444,2700188:2700207|offset_78|444444,2700157:2700176|offset_109|444444,2700114:2700133|offset_152|00cc00&amp;v=2700034:2700333&amp;c=444444", "offset 152")</f>
        <v>offset 152</v>
      </c>
    </row>
    <row r="8544" customFormat="false" ht="12.8" hidden="false" customHeight="false" outlineLevel="0" collapsed="false">
      <c r="A8544" s="0" t="s">
        <v>12</v>
      </c>
      <c r="B8544" s="0" t="n">
        <v>2700771</v>
      </c>
      <c r="C8544" s="0" t="n">
        <v>2700791</v>
      </c>
      <c r="D8544" s="0" t="s">
        <v>28429</v>
      </c>
      <c r="E8544" s="0" t="s">
        <v>28430</v>
      </c>
      <c r="F8544" s="0" t="s">
        <v>90</v>
      </c>
      <c r="G8544" s="0" t="s">
        <v>36</v>
      </c>
      <c r="H8544" s="0" t="n">
        <v>0</v>
      </c>
      <c r="I8544" s="0" t="s">
        <v>28431</v>
      </c>
      <c r="J8544" s="0" t="s">
        <v>28432</v>
      </c>
      <c r="K8544" s="0" t="s">
        <v>28433</v>
      </c>
      <c r="L8544" s="0" t="str">
        <f aca="false">HYPERLINK("https://www.ncbi.nlm.nih.gov/nuccore/CP000058.1?report=graph&amp;tracks=[key:gene_model_track,Options:GeneOnly]&amp;mk=2700772:2700791|offset_0|00cc00,2700752:2700771|offset_20|444444,2700669:2700688|offset_103|444444,2700649:2700668|offset_123|444444&amp;v=2700571:2700868&amp;c=444444", "offset 0")</f>
        <v>offset 0</v>
      </c>
    </row>
    <row r="8545" customFormat="false" ht="12.8" hidden="false" customHeight="false" outlineLevel="0" collapsed="false">
      <c r="A8545" s="0" t="s">
        <v>12</v>
      </c>
      <c r="B8545" s="0" t="n">
        <v>2700751</v>
      </c>
      <c r="C8545" s="0" t="n">
        <v>2700771</v>
      </c>
      <c r="D8545" s="0" t="s">
        <v>28429</v>
      </c>
      <c r="E8545" s="0" t="s">
        <v>28430</v>
      </c>
      <c r="F8545" s="0" t="s">
        <v>90</v>
      </c>
      <c r="G8545" s="0" t="s">
        <v>16</v>
      </c>
      <c r="H8545" s="0" t="n">
        <v>20</v>
      </c>
      <c r="I8545" s="0" t="s">
        <v>28434</v>
      </c>
      <c r="J8545" s="0" t="s">
        <v>28435</v>
      </c>
      <c r="K8545" s="0" t="s">
        <v>28436</v>
      </c>
      <c r="L8545" s="0" t="str">
        <f aca="false">HYPERLINK("https://www.ncbi.nlm.nih.gov/nuccore/CP000058.1?report=graph&amp;tracks=[key:gene_model_track,Options:GeneOnly]&amp;mk=2700772:2700791|offset_0|444444,2700752:2700771|offset_20|00cc00,2700669:2700688|offset_103|444444,2700649:2700668|offset_123|444444&amp;v=2700571:2700868&amp;c=444444", "offset 20")</f>
        <v>offset 20</v>
      </c>
    </row>
    <row r="8546" customFormat="false" ht="12.8" hidden="false" customHeight="false" outlineLevel="0" collapsed="false">
      <c r="A8546" s="0" t="s">
        <v>12</v>
      </c>
      <c r="B8546" s="0" t="n">
        <v>2700668</v>
      </c>
      <c r="C8546" s="0" t="n">
        <v>2700688</v>
      </c>
      <c r="D8546" s="0" t="s">
        <v>28429</v>
      </c>
      <c r="E8546" s="0" t="s">
        <v>28430</v>
      </c>
      <c r="F8546" s="0" t="s">
        <v>90</v>
      </c>
      <c r="G8546" s="0" t="s">
        <v>32</v>
      </c>
      <c r="H8546" s="0" t="n">
        <v>103</v>
      </c>
      <c r="I8546" s="0" t="s">
        <v>28437</v>
      </c>
      <c r="J8546" s="0" t="s">
        <v>28438</v>
      </c>
      <c r="K8546" s="0" t="s">
        <v>28439</v>
      </c>
      <c r="L8546" s="0" t="str">
        <f aca="false">HYPERLINK("https://www.ncbi.nlm.nih.gov/nuccore/CP000058.1?report=graph&amp;tracks=[key:gene_model_track,Options:GeneOnly]&amp;mk=2700772:2700791|offset_0|444444,2700752:2700771|offset_20|444444,2700669:2700688|offset_103|00cc00,2700649:2700668|offset_123|444444&amp;v=2700571:2700868&amp;c=444444", "offset 103")</f>
        <v>offset 103</v>
      </c>
    </row>
    <row r="8547" customFormat="false" ht="12.8" hidden="false" customHeight="false" outlineLevel="0" collapsed="false">
      <c r="A8547" s="0" t="s">
        <v>12</v>
      </c>
      <c r="B8547" s="0" t="n">
        <v>2700648</v>
      </c>
      <c r="C8547" s="0" t="n">
        <v>2700668</v>
      </c>
      <c r="D8547" s="0" t="s">
        <v>28429</v>
      </c>
      <c r="E8547" s="0" t="s">
        <v>28430</v>
      </c>
      <c r="F8547" s="0" t="s">
        <v>90</v>
      </c>
      <c r="G8547" s="0" t="s">
        <v>32</v>
      </c>
      <c r="H8547" s="0" t="n">
        <v>123</v>
      </c>
      <c r="I8547" s="0" t="s">
        <v>28440</v>
      </c>
      <c r="J8547" s="0" t="s">
        <v>28441</v>
      </c>
      <c r="K8547" s="0" t="s">
        <v>28442</v>
      </c>
      <c r="L8547" s="0" t="str">
        <f aca="false">HYPERLINK("https://www.ncbi.nlm.nih.gov/nuccore/CP000058.1?report=graph&amp;tracks=[key:gene_model_track,Options:GeneOnly]&amp;mk=2700772:2700791|offset_0|444444,2700752:2700771|offset_20|444444,2700669:2700688|offset_103|444444,2700649:2700668|offset_123|00cc00&amp;v=2700571:2700868&amp;c=444444", "offset 123")</f>
        <v>offset 123</v>
      </c>
    </row>
    <row r="8548" customFormat="false" ht="12.8" hidden="false" customHeight="false" outlineLevel="0" collapsed="false">
      <c r="A8548" s="0" t="s">
        <v>12</v>
      </c>
      <c r="B8548" s="0" t="n">
        <v>2701922</v>
      </c>
      <c r="C8548" s="0" t="n">
        <v>2701942</v>
      </c>
      <c r="D8548" s="0" t="s">
        <v>28443</v>
      </c>
      <c r="E8548" s="0" t="s">
        <v>75</v>
      </c>
      <c r="F8548" s="0" t="s">
        <v>90</v>
      </c>
      <c r="G8548" s="0" t="s">
        <v>16</v>
      </c>
      <c r="H8548" s="0" t="n">
        <v>13</v>
      </c>
      <c r="I8548" s="0" t="s">
        <v>28444</v>
      </c>
      <c r="J8548" s="0" t="s">
        <v>28445</v>
      </c>
      <c r="K8548" s="0" t="s">
        <v>28446</v>
      </c>
      <c r="L8548" s="0" t="str">
        <f aca="false">HYPERLINK("https://www.ncbi.nlm.nih.gov/nuccore/CP000058.1?report=graph&amp;tracks=[key:gene_model_track,Options:GeneOnly]&amp;mk=2701923:2701942|offset_13|00cc00,2701901:2701920|offset_35|444444,2701865:2701884|offset_71|444444,2701845:2701864|offset_91|444444&amp;v=2701722:2702064&amp;c=444444", "offset 13")</f>
        <v>offset 13</v>
      </c>
    </row>
    <row r="8549" customFormat="false" ht="12.8" hidden="false" customHeight="false" outlineLevel="0" collapsed="false">
      <c r="A8549" s="0" t="s">
        <v>12</v>
      </c>
      <c r="B8549" s="0" t="n">
        <v>2701900</v>
      </c>
      <c r="C8549" s="0" t="n">
        <v>2701920</v>
      </c>
      <c r="D8549" s="0" t="s">
        <v>28443</v>
      </c>
      <c r="E8549" s="0" t="s">
        <v>75</v>
      </c>
      <c r="F8549" s="0" t="s">
        <v>90</v>
      </c>
      <c r="G8549" s="0" t="s">
        <v>20</v>
      </c>
      <c r="H8549" s="0" t="n">
        <v>35</v>
      </c>
      <c r="I8549" s="0" t="s">
        <v>28447</v>
      </c>
      <c r="J8549" s="0" t="s">
        <v>28448</v>
      </c>
      <c r="K8549" s="0" t="s">
        <v>28449</v>
      </c>
      <c r="L8549" s="0" t="str">
        <f aca="false">HYPERLINK("https://www.ncbi.nlm.nih.gov/nuccore/CP000058.1?report=graph&amp;tracks=[key:gene_model_track,Options:GeneOnly]&amp;mk=2701923:2701942|offset_13|444444,2701901:2701920|offset_35|00cc00,2701865:2701884|offset_71|444444,2701845:2701864|offset_91|444444&amp;v=2701722:2702064&amp;c=444444", "offset 35")</f>
        <v>offset 35</v>
      </c>
    </row>
    <row r="8550" customFormat="false" ht="12.8" hidden="false" customHeight="false" outlineLevel="0" collapsed="false">
      <c r="A8550" s="0" t="s">
        <v>12</v>
      </c>
      <c r="B8550" s="0" t="n">
        <v>2701864</v>
      </c>
      <c r="C8550" s="0" t="n">
        <v>2701884</v>
      </c>
      <c r="D8550" s="0" t="s">
        <v>28443</v>
      </c>
      <c r="E8550" s="0" t="s">
        <v>75</v>
      </c>
      <c r="F8550" s="0" t="s">
        <v>90</v>
      </c>
      <c r="G8550" s="0" t="s">
        <v>36</v>
      </c>
      <c r="H8550" s="0" t="n">
        <v>71</v>
      </c>
      <c r="I8550" s="0" t="s">
        <v>28450</v>
      </c>
      <c r="J8550" s="0" t="s">
        <v>28451</v>
      </c>
      <c r="K8550" s="0" t="s">
        <v>28452</v>
      </c>
      <c r="L8550" s="0" t="str">
        <f aca="false">HYPERLINK("https://www.ncbi.nlm.nih.gov/nuccore/CP000058.1?report=graph&amp;tracks=[key:gene_model_track,Options:GeneOnly]&amp;mk=2701923:2701942|offset_13|444444,2701901:2701920|offset_35|444444,2701865:2701884|offset_71|00cc00,2701845:2701864|offset_91|444444&amp;v=2701722:2702064&amp;c=444444", "offset 71")</f>
        <v>offset 71</v>
      </c>
    </row>
    <row r="8551" customFormat="false" ht="12.8" hidden="false" customHeight="false" outlineLevel="0" collapsed="false">
      <c r="A8551" s="0" t="s">
        <v>12</v>
      </c>
      <c r="B8551" s="0" t="n">
        <v>2701844</v>
      </c>
      <c r="C8551" s="0" t="n">
        <v>2701864</v>
      </c>
      <c r="D8551" s="0" t="s">
        <v>28443</v>
      </c>
      <c r="E8551" s="0" t="s">
        <v>75</v>
      </c>
      <c r="F8551" s="0" t="s">
        <v>90</v>
      </c>
      <c r="G8551" s="0" t="s">
        <v>16</v>
      </c>
      <c r="H8551" s="0" t="n">
        <v>91</v>
      </c>
      <c r="I8551" s="0" t="s">
        <v>28453</v>
      </c>
      <c r="J8551" s="0" t="s">
        <v>28454</v>
      </c>
      <c r="K8551" s="0" t="s">
        <v>28455</v>
      </c>
      <c r="L8551" s="0" t="str">
        <f aca="false">HYPERLINK("https://www.ncbi.nlm.nih.gov/nuccore/CP000058.1?report=graph&amp;tracks=[key:gene_model_track,Options:GeneOnly]&amp;mk=2701923:2701942|offset_13|444444,2701901:2701920|offset_35|444444,2701865:2701884|offset_71|444444,2701845:2701864|offset_91|00cc00&amp;v=2701722:2702064&amp;c=444444", "offset 91")</f>
        <v>offset 91</v>
      </c>
    </row>
    <row r="8552" customFormat="false" ht="12.8" hidden="false" customHeight="false" outlineLevel="0" collapsed="false">
      <c r="A8552" s="0" t="s">
        <v>12</v>
      </c>
      <c r="B8552" s="0" t="n">
        <v>2702868</v>
      </c>
      <c r="C8552" s="0" t="n">
        <v>2702888</v>
      </c>
      <c r="D8552" s="0" t="s">
        <v>28456</v>
      </c>
      <c r="E8552" s="0" t="s">
        <v>75</v>
      </c>
      <c r="F8552" s="0" t="s">
        <v>90</v>
      </c>
      <c r="G8552" s="0" t="s">
        <v>36</v>
      </c>
      <c r="H8552" s="0" t="n">
        <v>6</v>
      </c>
      <c r="I8552" s="0" t="s">
        <v>28457</v>
      </c>
      <c r="J8552" s="0" t="s">
        <v>28458</v>
      </c>
      <c r="K8552" s="0" t="s">
        <v>28459</v>
      </c>
      <c r="L8552" s="0" t="str">
        <f aca="false">HYPERLINK("https://www.ncbi.nlm.nih.gov/nuccore/CP000058.1?report=graph&amp;tracks=[key:gene_model_track,Options:GeneOnly]&amp;mk=2702869:2702888|offset_6|00cc00,2702844:2702863|offset_31|444444,2702779:2702798|offset_96|444444,2702750:2702769|offset_125|444444&amp;v=2702668:2702969&amp;c=444444", "offset 6")</f>
        <v>offset 6</v>
      </c>
    </row>
    <row r="8553" customFormat="false" ht="12.8" hidden="false" customHeight="false" outlineLevel="0" collapsed="false">
      <c r="A8553" s="0" t="s">
        <v>12</v>
      </c>
      <c r="B8553" s="0" t="n">
        <v>2702843</v>
      </c>
      <c r="C8553" s="0" t="n">
        <v>2702863</v>
      </c>
      <c r="D8553" s="0" t="s">
        <v>28456</v>
      </c>
      <c r="E8553" s="0" t="s">
        <v>75</v>
      </c>
      <c r="F8553" s="0" t="s">
        <v>90</v>
      </c>
      <c r="G8553" s="0" t="s">
        <v>32</v>
      </c>
      <c r="H8553" s="0" t="n">
        <v>31</v>
      </c>
      <c r="I8553" s="0" t="s">
        <v>28460</v>
      </c>
      <c r="J8553" s="0" t="s">
        <v>28461</v>
      </c>
      <c r="K8553" s="0" t="s">
        <v>28462</v>
      </c>
      <c r="L8553" s="0" t="str">
        <f aca="false">HYPERLINK("https://www.ncbi.nlm.nih.gov/nuccore/CP000058.1?report=graph&amp;tracks=[key:gene_model_track,Options:GeneOnly]&amp;mk=2702869:2702888|offset_6|444444,2702844:2702863|offset_31|00cc00,2702779:2702798|offset_96|444444,2702750:2702769|offset_125|444444&amp;v=2702668:2702969&amp;c=444444", "offset 31")</f>
        <v>offset 31</v>
      </c>
    </row>
    <row r="8554" customFormat="false" ht="12.8" hidden="false" customHeight="false" outlineLevel="0" collapsed="false">
      <c r="A8554" s="0" t="s">
        <v>12</v>
      </c>
      <c r="B8554" s="0" t="n">
        <v>2702778</v>
      </c>
      <c r="C8554" s="0" t="n">
        <v>2702798</v>
      </c>
      <c r="D8554" s="0" t="s">
        <v>28456</v>
      </c>
      <c r="E8554" s="0" t="s">
        <v>75</v>
      </c>
      <c r="F8554" s="0" t="s">
        <v>90</v>
      </c>
      <c r="G8554" s="0" t="s">
        <v>16</v>
      </c>
      <c r="H8554" s="0" t="n">
        <v>96</v>
      </c>
      <c r="I8554" s="0" t="s">
        <v>28463</v>
      </c>
      <c r="J8554" s="0" t="s">
        <v>28464</v>
      </c>
      <c r="K8554" s="0" t="s">
        <v>28465</v>
      </c>
      <c r="L8554" s="0" t="str">
        <f aca="false">HYPERLINK("https://www.ncbi.nlm.nih.gov/nuccore/CP000058.1?report=graph&amp;tracks=[key:gene_model_track,Options:GeneOnly]&amp;mk=2702869:2702888|offset_6|444444,2702844:2702863|offset_31|444444,2702779:2702798|offset_96|00cc00,2702750:2702769|offset_125|444444&amp;v=2702668:2702969&amp;c=444444", "offset 96")</f>
        <v>offset 96</v>
      </c>
    </row>
    <row r="8555" customFormat="false" ht="12.8" hidden="false" customHeight="false" outlineLevel="0" collapsed="false">
      <c r="A8555" s="0" t="s">
        <v>12</v>
      </c>
      <c r="B8555" s="0" t="n">
        <v>2702749</v>
      </c>
      <c r="C8555" s="0" t="n">
        <v>2702769</v>
      </c>
      <c r="D8555" s="0" t="s">
        <v>28456</v>
      </c>
      <c r="E8555" s="0" t="s">
        <v>75</v>
      </c>
      <c r="F8555" s="0" t="s">
        <v>90</v>
      </c>
      <c r="G8555" s="0" t="s">
        <v>16</v>
      </c>
      <c r="H8555" s="0" t="n">
        <v>125</v>
      </c>
      <c r="I8555" s="0" t="s">
        <v>28466</v>
      </c>
      <c r="J8555" s="0" t="s">
        <v>28467</v>
      </c>
      <c r="K8555" s="0" t="s">
        <v>28468</v>
      </c>
      <c r="L8555" s="0" t="str">
        <f aca="false">HYPERLINK("https://www.ncbi.nlm.nih.gov/nuccore/CP000058.1?report=graph&amp;tracks=[key:gene_model_track,Options:GeneOnly]&amp;mk=2702869:2702888|offset_6|444444,2702844:2702863|offset_31|444444,2702779:2702798|offset_96|444444,2702750:2702769|offset_125|00cc00&amp;v=2702668:2702969&amp;c=444444", "offset 125")</f>
        <v>offset 125</v>
      </c>
    </row>
    <row r="8556" customFormat="false" ht="12.8" hidden="false" customHeight="false" outlineLevel="0" collapsed="false">
      <c r="A8556" s="0" t="s">
        <v>12</v>
      </c>
      <c r="B8556" s="0" t="n">
        <v>2703039</v>
      </c>
      <c r="C8556" s="0" t="n">
        <v>2703059</v>
      </c>
      <c r="D8556" s="0" t="s">
        <v>28469</v>
      </c>
      <c r="E8556" s="0" t="s">
        <v>75</v>
      </c>
      <c r="F8556" s="0" t="s">
        <v>15</v>
      </c>
      <c r="G8556" s="0" t="s">
        <v>20</v>
      </c>
      <c r="H8556" s="0" t="n">
        <v>64</v>
      </c>
      <c r="I8556" s="0" t="s">
        <v>28470</v>
      </c>
      <c r="J8556" s="0" t="s">
        <v>28471</v>
      </c>
      <c r="K8556" s="0" t="s">
        <v>28472</v>
      </c>
      <c r="L8556" s="0" t="str">
        <f aca="false">HYPERLINK("https://www.ncbi.nlm.nih.gov/nuccore/CP000058.1?report=graph&amp;tracks=[key:gene_model_track,Options:GeneOnly]&amp;mk=2703040:2703059|offset_64|00cc00,2703073:2703092|offset_97|444444,2703105:2703124|offset_129|444444,2703136:2703155|offset_160|444444&amp;v=2702839:2703355&amp;c=444444", "offset 64")</f>
        <v>offset 64</v>
      </c>
    </row>
    <row r="8557" customFormat="false" ht="12.8" hidden="false" customHeight="false" outlineLevel="0" collapsed="false">
      <c r="A8557" s="0" t="s">
        <v>12</v>
      </c>
      <c r="B8557" s="0" t="n">
        <v>2703072</v>
      </c>
      <c r="C8557" s="0" t="n">
        <v>2703092</v>
      </c>
      <c r="D8557" s="0" t="s">
        <v>28469</v>
      </c>
      <c r="E8557" s="0" t="s">
        <v>75</v>
      </c>
      <c r="F8557" s="0" t="s">
        <v>15</v>
      </c>
      <c r="G8557" s="0" t="s">
        <v>36</v>
      </c>
      <c r="H8557" s="0" t="n">
        <v>97</v>
      </c>
      <c r="I8557" s="0" t="s">
        <v>28473</v>
      </c>
      <c r="J8557" s="0" t="s">
        <v>28474</v>
      </c>
      <c r="K8557" s="0" t="s">
        <v>28475</v>
      </c>
      <c r="L8557" s="0" t="str">
        <f aca="false">HYPERLINK("https://www.ncbi.nlm.nih.gov/nuccore/CP000058.1?report=graph&amp;tracks=[key:gene_model_track,Options:GeneOnly]&amp;mk=2703040:2703059|offset_64|444444,2703073:2703092|offset_97|00cc00,2703105:2703124|offset_129|444444,2703136:2703155|offset_160|444444&amp;v=2702839:2703355&amp;c=444444", "offset 97")</f>
        <v>offset 97</v>
      </c>
    </row>
    <row r="8558" customFormat="false" ht="12.8" hidden="false" customHeight="false" outlineLevel="0" collapsed="false">
      <c r="A8558" s="0" t="s">
        <v>12</v>
      </c>
      <c r="B8558" s="0" t="n">
        <v>2703104</v>
      </c>
      <c r="C8558" s="0" t="n">
        <v>2703124</v>
      </c>
      <c r="D8558" s="0" t="s">
        <v>28469</v>
      </c>
      <c r="E8558" s="0" t="s">
        <v>75</v>
      </c>
      <c r="F8558" s="0" t="s">
        <v>15</v>
      </c>
      <c r="G8558" s="0" t="s">
        <v>36</v>
      </c>
      <c r="H8558" s="0" t="n">
        <v>129</v>
      </c>
      <c r="I8558" s="0" t="s">
        <v>28476</v>
      </c>
      <c r="J8558" s="0" t="s">
        <v>28477</v>
      </c>
      <c r="K8558" s="0" t="s">
        <v>28478</v>
      </c>
      <c r="L8558" s="0" t="str">
        <f aca="false">HYPERLINK("https://www.ncbi.nlm.nih.gov/nuccore/CP000058.1?report=graph&amp;tracks=[key:gene_model_track,Options:GeneOnly]&amp;mk=2703040:2703059|offset_64|444444,2703073:2703092|offset_97|444444,2703105:2703124|offset_129|00cc00,2703136:2703155|offset_160|444444&amp;v=2702839:2703355&amp;c=444444", "offset 129")</f>
        <v>offset 129</v>
      </c>
    </row>
    <row r="8559" customFormat="false" ht="12.8" hidden="false" customHeight="false" outlineLevel="0" collapsed="false">
      <c r="A8559" s="0" t="s">
        <v>12</v>
      </c>
      <c r="B8559" s="0" t="n">
        <v>2703135</v>
      </c>
      <c r="C8559" s="0" t="n">
        <v>2703155</v>
      </c>
      <c r="D8559" s="0" t="s">
        <v>28469</v>
      </c>
      <c r="E8559" s="0" t="s">
        <v>75</v>
      </c>
      <c r="F8559" s="0" t="s">
        <v>15</v>
      </c>
      <c r="G8559" s="0" t="s">
        <v>32</v>
      </c>
      <c r="H8559" s="0" t="n">
        <v>160</v>
      </c>
      <c r="I8559" s="0" t="s">
        <v>28479</v>
      </c>
      <c r="J8559" s="0" t="s">
        <v>28480</v>
      </c>
      <c r="K8559" s="0" t="s">
        <v>28481</v>
      </c>
      <c r="L8559" s="0" t="str">
        <f aca="false">HYPERLINK("https://www.ncbi.nlm.nih.gov/nuccore/CP000058.1?report=graph&amp;tracks=[key:gene_model_track,Options:GeneOnly]&amp;mk=2703040:2703059|offset_64|444444,2703073:2703092|offset_97|444444,2703105:2703124|offset_129|444444,2703136:2703155|offset_160|00cc00&amp;v=2702839:2703355&amp;c=444444", "offset 160")</f>
        <v>offset 160</v>
      </c>
    </row>
    <row r="8560" customFormat="false" ht="12.8" hidden="false" customHeight="false" outlineLevel="0" collapsed="false">
      <c r="A8560" s="0" t="s">
        <v>12</v>
      </c>
      <c r="B8560" s="0" t="n">
        <v>2703524</v>
      </c>
      <c r="C8560" s="0" t="n">
        <v>2703544</v>
      </c>
      <c r="D8560" s="0" t="s">
        <v>28482</v>
      </c>
      <c r="E8560" s="0" t="s">
        <v>28483</v>
      </c>
      <c r="F8560" s="0" t="s">
        <v>15</v>
      </c>
      <c r="G8560" s="0" t="s">
        <v>32</v>
      </c>
      <c r="H8560" s="0" t="n">
        <v>29</v>
      </c>
      <c r="I8560" s="0" t="s">
        <v>28484</v>
      </c>
      <c r="J8560" s="0" t="s">
        <v>28485</v>
      </c>
      <c r="K8560" s="0" t="s">
        <v>28486</v>
      </c>
      <c r="L8560" s="0" t="str">
        <f aca="false">HYPERLINK("https://www.ncbi.nlm.nih.gov/nuccore/CP000058.1?report=graph&amp;tracks=[key:gene_model_track,Options:GeneOnly]&amp;mk=2703525:2703544|offset_29|00cc00,2703563:2703582|offset_67|444444,2703602:2703621|offset_106|444444,2703640:2703659|offset_144|444444&amp;v=2703324:2703859&amp;c=444444", "offset 29")</f>
        <v>offset 29</v>
      </c>
    </row>
    <row r="8561" customFormat="false" ht="12.8" hidden="false" customHeight="false" outlineLevel="0" collapsed="false">
      <c r="A8561" s="0" t="s">
        <v>12</v>
      </c>
      <c r="B8561" s="0" t="n">
        <v>2703562</v>
      </c>
      <c r="C8561" s="0" t="n">
        <v>2703582</v>
      </c>
      <c r="D8561" s="0" t="s">
        <v>28482</v>
      </c>
      <c r="E8561" s="0" t="s">
        <v>28483</v>
      </c>
      <c r="F8561" s="0" t="s">
        <v>15</v>
      </c>
      <c r="G8561" s="0" t="s">
        <v>16</v>
      </c>
      <c r="H8561" s="0" t="n">
        <v>67</v>
      </c>
      <c r="I8561" s="0" t="s">
        <v>28487</v>
      </c>
      <c r="J8561" s="0" t="s">
        <v>28488</v>
      </c>
      <c r="K8561" s="0" t="s">
        <v>28489</v>
      </c>
      <c r="L8561" s="0" t="str">
        <f aca="false">HYPERLINK("https://www.ncbi.nlm.nih.gov/nuccore/CP000058.1?report=graph&amp;tracks=[key:gene_model_track,Options:GeneOnly]&amp;mk=2703525:2703544|offset_29|444444,2703563:2703582|offset_67|00cc00,2703602:2703621|offset_106|444444,2703640:2703659|offset_144|444444&amp;v=2703324:2703859&amp;c=444444", "offset 67")</f>
        <v>offset 67</v>
      </c>
    </row>
    <row r="8562" customFormat="false" ht="12.8" hidden="false" customHeight="false" outlineLevel="0" collapsed="false">
      <c r="A8562" s="0" t="s">
        <v>12</v>
      </c>
      <c r="B8562" s="0" t="n">
        <v>2703601</v>
      </c>
      <c r="C8562" s="0" t="n">
        <v>2703621</v>
      </c>
      <c r="D8562" s="0" t="s">
        <v>28482</v>
      </c>
      <c r="E8562" s="0" t="s">
        <v>28483</v>
      </c>
      <c r="F8562" s="0" t="s">
        <v>15</v>
      </c>
      <c r="G8562" s="0" t="s">
        <v>16</v>
      </c>
      <c r="H8562" s="0" t="n">
        <v>106</v>
      </c>
      <c r="I8562" s="0" t="s">
        <v>28490</v>
      </c>
      <c r="J8562" s="0" t="s">
        <v>28491</v>
      </c>
      <c r="K8562" s="0" t="s">
        <v>28492</v>
      </c>
      <c r="L8562" s="0" t="str">
        <f aca="false">HYPERLINK("https://www.ncbi.nlm.nih.gov/nuccore/CP000058.1?report=graph&amp;tracks=[key:gene_model_track,Options:GeneOnly]&amp;mk=2703525:2703544|offset_29|444444,2703563:2703582|offset_67|444444,2703602:2703621|offset_106|00cc00,2703640:2703659|offset_144|444444&amp;v=2703324:2703859&amp;c=444444", "offset 106")</f>
        <v>offset 106</v>
      </c>
    </row>
    <row r="8563" customFormat="false" ht="12.8" hidden="false" customHeight="false" outlineLevel="0" collapsed="false">
      <c r="A8563" s="0" t="s">
        <v>12</v>
      </c>
      <c r="B8563" s="0" t="n">
        <v>2703639</v>
      </c>
      <c r="C8563" s="0" t="n">
        <v>2703659</v>
      </c>
      <c r="D8563" s="0" t="s">
        <v>28482</v>
      </c>
      <c r="E8563" s="0" t="s">
        <v>28483</v>
      </c>
      <c r="F8563" s="0" t="s">
        <v>15</v>
      </c>
      <c r="G8563" s="0" t="s">
        <v>20</v>
      </c>
      <c r="H8563" s="0" t="n">
        <v>144</v>
      </c>
      <c r="I8563" s="0" t="s">
        <v>28493</v>
      </c>
      <c r="J8563" s="0" t="s">
        <v>28494</v>
      </c>
      <c r="K8563" s="0" t="s">
        <v>28495</v>
      </c>
      <c r="L8563" s="0" t="str">
        <f aca="false">HYPERLINK("https://www.ncbi.nlm.nih.gov/nuccore/CP000058.1?report=graph&amp;tracks=[key:gene_model_track,Options:GeneOnly]&amp;mk=2703525:2703544|offset_29|444444,2703563:2703582|offset_67|444444,2703602:2703621|offset_106|444444,2703640:2703659|offset_144|00cc00&amp;v=2703324:2703859&amp;c=444444", "offset 144")</f>
        <v>offset 144</v>
      </c>
    </row>
    <row r="8564" customFormat="false" ht="12.8" hidden="false" customHeight="false" outlineLevel="0" collapsed="false">
      <c r="A8564" s="0" t="s">
        <v>12</v>
      </c>
      <c r="B8564" s="0" t="n">
        <v>2704149</v>
      </c>
      <c r="C8564" s="0" t="n">
        <v>2704169</v>
      </c>
      <c r="D8564" s="0" t="s">
        <v>28496</v>
      </c>
      <c r="E8564" s="0" t="s">
        <v>28497</v>
      </c>
      <c r="F8564" s="0" t="s">
        <v>15</v>
      </c>
      <c r="G8564" s="0" t="s">
        <v>36</v>
      </c>
      <c r="H8564" s="0" t="n">
        <v>7</v>
      </c>
      <c r="I8564" s="0" t="s">
        <v>28498</v>
      </c>
      <c r="J8564" s="0" t="s">
        <v>28499</v>
      </c>
      <c r="K8564" s="0" t="s">
        <v>28500</v>
      </c>
      <c r="L8564" s="0" t="str">
        <f aca="false">HYPERLINK("https://www.ncbi.nlm.nih.gov/nuccore/CP000058.1?report=graph&amp;tracks=[key:gene_model_track,Options:GeneOnly]&amp;mk=2704150:2704169|offset_7|00cc00,2704183:2704202|offset_40|444444,2704208:2704227|offset_65|444444,2704228:2704247|offset_85|444444&amp;v=2703949:2704447&amp;c=444444", "offset 7")</f>
        <v>offset 7</v>
      </c>
    </row>
    <row r="8565" customFormat="false" ht="12.8" hidden="false" customHeight="false" outlineLevel="0" collapsed="false">
      <c r="A8565" s="0" t="s">
        <v>12</v>
      </c>
      <c r="B8565" s="0" t="n">
        <v>2704182</v>
      </c>
      <c r="C8565" s="0" t="n">
        <v>2704202</v>
      </c>
      <c r="D8565" s="0" t="s">
        <v>28496</v>
      </c>
      <c r="E8565" s="0" t="s">
        <v>28497</v>
      </c>
      <c r="F8565" s="0" t="s">
        <v>15</v>
      </c>
      <c r="G8565" s="0" t="s">
        <v>20</v>
      </c>
      <c r="H8565" s="0" t="n">
        <v>40</v>
      </c>
      <c r="I8565" s="0" t="s">
        <v>28501</v>
      </c>
      <c r="J8565" s="0" t="s">
        <v>28502</v>
      </c>
      <c r="K8565" s="0" t="s">
        <v>28503</v>
      </c>
      <c r="L8565" s="0" t="str">
        <f aca="false">HYPERLINK("https://www.ncbi.nlm.nih.gov/nuccore/CP000058.1?report=graph&amp;tracks=[key:gene_model_track,Options:GeneOnly]&amp;mk=2704150:2704169|offset_7|444444,2704183:2704202|offset_40|00cc00,2704208:2704227|offset_65|444444,2704228:2704247|offset_85|444444&amp;v=2703949:2704447&amp;c=444444", "offset 40")</f>
        <v>offset 40</v>
      </c>
    </row>
    <row r="8566" customFormat="false" ht="12.8" hidden="false" customHeight="false" outlineLevel="0" collapsed="false">
      <c r="A8566" s="0" t="s">
        <v>12</v>
      </c>
      <c r="B8566" s="0" t="n">
        <v>2704207</v>
      </c>
      <c r="C8566" s="0" t="n">
        <v>2704227</v>
      </c>
      <c r="D8566" s="0" t="s">
        <v>28496</v>
      </c>
      <c r="E8566" s="0" t="s">
        <v>28497</v>
      </c>
      <c r="F8566" s="0" t="s">
        <v>15</v>
      </c>
      <c r="G8566" s="0" t="s">
        <v>16</v>
      </c>
      <c r="H8566" s="0" t="n">
        <v>65</v>
      </c>
      <c r="I8566" s="0" t="s">
        <v>28504</v>
      </c>
      <c r="J8566" s="0" t="s">
        <v>28505</v>
      </c>
      <c r="K8566" s="0" t="s">
        <v>28506</v>
      </c>
      <c r="L8566" s="0" t="str">
        <f aca="false">HYPERLINK("https://www.ncbi.nlm.nih.gov/nuccore/CP000058.1?report=graph&amp;tracks=[key:gene_model_track,Options:GeneOnly]&amp;mk=2704150:2704169|offset_7|444444,2704183:2704202|offset_40|444444,2704208:2704227|offset_65|00cc00,2704228:2704247|offset_85|444444&amp;v=2703949:2704447&amp;c=444444", "offset 65")</f>
        <v>offset 65</v>
      </c>
    </row>
    <row r="8567" customFormat="false" ht="12.8" hidden="false" customHeight="false" outlineLevel="0" collapsed="false">
      <c r="A8567" s="0" t="s">
        <v>12</v>
      </c>
      <c r="B8567" s="0" t="n">
        <v>2704227</v>
      </c>
      <c r="C8567" s="0" t="n">
        <v>2704247</v>
      </c>
      <c r="D8567" s="0" t="s">
        <v>28496</v>
      </c>
      <c r="E8567" s="0" t="s">
        <v>28497</v>
      </c>
      <c r="F8567" s="0" t="s">
        <v>15</v>
      </c>
      <c r="G8567" s="0" t="s">
        <v>32</v>
      </c>
      <c r="H8567" s="0" t="n">
        <v>85</v>
      </c>
      <c r="I8567" s="0" t="s">
        <v>28507</v>
      </c>
      <c r="J8567" s="0" t="s">
        <v>28508</v>
      </c>
      <c r="K8567" s="0" t="s">
        <v>28509</v>
      </c>
      <c r="L8567" s="0" t="str">
        <f aca="false">HYPERLINK("https://www.ncbi.nlm.nih.gov/nuccore/CP000058.1?report=graph&amp;tracks=[key:gene_model_track,Options:GeneOnly]&amp;mk=2704150:2704169|offset_7|444444,2704183:2704202|offset_40|444444,2704208:2704227|offset_65|444444,2704228:2704247|offset_85|00cc00&amp;v=2703949:2704447&amp;c=444444", "offset 85")</f>
        <v>offset 85</v>
      </c>
    </row>
    <row r="8568" customFormat="false" ht="12.8" hidden="false" customHeight="false" outlineLevel="0" collapsed="false">
      <c r="A8568" s="0" t="s">
        <v>12</v>
      </c>
      <c r="B8568" s="0" t="n">
        <v>2705998</v>
      </c>
      <c r="C8568" s="0" t="n">
        <v>2706018</v>
      </c>
      <c r="D8568" s="0" t="s">
        <v>28510</v>
      </c>
      <c r="E8568" s="0" t="s">
        <v>28511</v>
      </c>
      <c r="F8568" s="0" t="s">
        <v>15</v>
      </c>
      <c r="G8568" s="0" t="s">
        <v>16</v>
      </c>
      <c r="H8568" s="0" t="n">
        <v>0</v>
      </c>
      <c r="I8568" s="0" t="s">
        <v>28512</v>
      </c>
      <c r="J8568" s="0" t="s">
        <v>28513</v>
      </c>
      <c r="K8568" s="0" t="s">
        <v>28514</v>
      </c>
      <c r="L8568" s="0" t="str">
        <f aca="false">HYPERLINK("https://www.ncbi.nlm.nih.gov/nuccore/CP000058.1?report=graph&amp;tracks=[key:gene_model_track,Options:GeneOnly]&amp;mk=2705999:2706018|offset_0|00cc00,2706024:2706043|offset_25|444444,2706047:2706066|offset_48|444444,2706074:2706093|offset_75|444444&amp;v=2705798:2706293&amp;c=444444", "offset 0")</f>
        <v>offset 0</v>
      </c>
    </row>
    <row r="8569" customFormat="false" ht="12.8" hidden="false" customHeight="false" outlineLevel="0" collapsed="false">
      <c r="A8569" s="0" t="s">
        <v>12</v>
      </c>
      <c r="B8569" s="0" t="n">
        <v>2706023</v>
      </c>
      <c r="C8569" s="0" t="n">
        <v>2706043</v>
      </c>
      <c r="D8569" s="0" t="s">
        <v>28510</v>
      </c>
      <c r="E8569" s="0" t="s">
        <v>28511</v>
      </c>
      <c r="F8569" s="0" t="s">
        <v>15</v>
      </c>
      <c r="G8569" s="0" t="s">
        <v>16</v>
      </c>
      <c r="H8569" s="0" t="n">
        <v>25</v>
      </c>
      <c r="I8569" s="0" t="s">
        <v>28515</v>
      </c>
      <c r="J8569" s="0" t="s">
        <v>28516</v>
      </c>
      <c r="K8569" s="0" t="s">
        <v>28517</v>
      </c>
      <c r="L8569" s="0" t="str">
        <f aca="false">HYPERLINK("https://www.ncbi.nlm.nih.gov/nuccore/CP000058.1?report=graph&amp;tracks=[key:gene_model_track,Options:GeneOnly]&amp;mk=2705999:2706018|offset_0|444444,2706024:2706043|offset_25|00cc00,2706047:2706066|offset_48|444444,2706074:2706093|offset_75|444444&amp;v=2705798:2706293&amp;c=444444", "offset 25")</f>
        <v>offset 25</v>
      </c>
    </row>
    <row r="8570" customFormat="false" ht="12.8" hidden="false" customHeight="false" outlineLevel="0" collapsed="false">
      <c r="A8570" s="0" t="s">
        <v>12</v>
      </c>
      <c r="B8570" s="0" t="n">
        <v>2706046</v>
      </c>
      <c r="C8570" s="0" t="n">
        <v>2706066</v>
      </c>
      <c r="D8570" s="0" t="s">
        <v>28510</v>
      </c>
      <c r="E8570" s="0" t="s">
        <v>28511</v>
      </c>
      <c r="F8570" s="0" t="s">
        <v>15</v>
      </c>
      <c r="G8570" s="0" t="s">
        <v>16</v>
      </c>
      <c r="H8570" s="0" t="n">
        <v>48</v>
      </c>
      <c r="I8570" s="0" t="s">
        <v>28518</v>
      </c>
      <c r="J8570" s="0" t="s">
        <v>28519</v>
      </c>
      <c r="K8570" s="0" t="s">
        <v>28520</v>
      </c>
      <c r="L8570" s="0" t="str">
        <f aca="false">HYPERLINK("https://www.ncbi.nlm.nih.gov/nuccore/CP000058.1?report=graph&amp;tracks=[key:gene_model_track,Options:GeneOnly]&amp;mk=2705999:2706018|offset_0|444444,2706024:2706043|offset_25|444444,2706047:2706066|offset_48|00cc00,2706074:2706093|offset_75|444444&amp;v=2705798:2706293&amp;c=444444", "offset 48")</f>
        <v>offset 48</v>
      </c>
    </row>
    <row r="8571" customFormat="false" ht="12.8" hidden="false" customHeight="false" outlineLevel="0" collapsed="false">
      <c r="A8571" s="0" t="s">
        <v>12</v>
      </c>
      <c r="B8571" s="0" t="n">
        <v>2706073</v>
      </c>
      <c r="C8571" s="0" t="n">
        <v>2706093</v>
      </c>
      <c r="D8571" s="0" t="s">
        <v>28510</v>
      </c>
      <c r="E8571" s="0" t="s">
        <v>28511</v>
      </c>
      <c r="F8571" s="0" t="s">
        <v>15</v>
      </c>
      <c r="G8571" s="0" t="s">
        <v>20</v>
      </c>
      <c r="H8571" s="0" t="n">
        <v>75</v>
      </c>
      <c r="I8571" s="0" t="s">
        <v>28521</v>
      </c>
      <c r="J8571" s="0" t="s">
        <v>28522</v>
      </c>
      <c r="K8571" s="0" t="s">
        <v>28523</v>
      </c>
      <c r="L8571" s="0" t="str">
        <f aca="false">HYPERLINK("https://www.ncbi.nlm.nih.gov/nuccore/CP000058.1?report=graph&amp;tracks=[key:gene_model_track,Options:GeneOnly]&amp;mk=2705999:2706018|offset_0|444444,2706024:2706043|offset_25|444444,2706047:2706066|offset_48|444444,2706074:2706093|offset_75|00cc00&amp;v=2705798:2706293&amp;c=444444", "offset 75")</f>
        <v>offset 75</v>
      </c>
    </row>
    <row r="8572" customFormat="false" ht="12.8" hidden="false" customHeight="false" outlineLevel="0" collapsed="false">
      <c r="A8572" s="0" t="s">
        <v>12</v>
      </c>
      <c r="B8572" s="0" t="n">
        <v>2707074</v>
      </c>
      <c r="C8572" s="0" t="n">
        <v>2707094</v>
      </c>
      <c r="D8572" s="0" t="s">
        <v>28524</v>
      </c>
      <c r="E8572" s="0" t="s">
        <v>75</v>
      </c>
      <c r="F8572" s="0" t="s">
        <v>90</v>
      </c>
      <c r="G8572" s="0" t="s">
        <v>32</v>
      </c>
      <c r="H8572" s="0" t="n">
        <v>43</v>
      </c>
      <c r="I8572" s="0" t="s">
        <v>28525</v>
      </c>
      <c r="J8572" s="0" t="s">
        <v>28526</v>
      </c>
      <c r="K8572" s="0" t="s">
        <v>28527</v>
      </c>
      <c r="L8572" s="0" t="str">
        <f aca="false">HYPERLINK("https://www.ncbi.nlm.nih.gov/nuccore/CP000058.1?report=graph&amp;tracks=[key:gene_model_track,Options:GeneOnly]&amp;mk=2707075:2707094|offset_43|00cc00,2707028:2707047|offset_90|444444&amp;v=2706874:2707247&amp;c=444444", "offset 43")</f>
        <v>offset 43</v>
      </c>
    </row>
    <row r="8573" customFormat="false" ht="12.8" hidden="false" customHeight="false" outlineLevel="0" collapsed="false">
      <c r="A8573" s="0" t="s">
        <v>12</v>
      </c>
      <c r="B8573" s="0" t="n">
        <v>2707027</v>
      </c>
      <c r="C8573" s="0" t="n">
        <v>2707047</v>
      </c>
      <c r="D8573" s="0" t="s">
        <v>28524</v>
      </c>
      <c r="E8573" s="0" t="s">
        <v>75</v>
      </c>
      <c r="F8573" s="0" t="s">
        <v>90</v>
      </c>
      <c r="G8573" s="0" t="s">
        <v>20</v>
      </c>
      <c r="H8573" s="0" t="n">
        <v>90</v>
      </c>
      <c r="I8573" s="0" t="s">
        <v>28528</v>
      </c>
      <c r="J8573" s="0" t="s">
        <v>28529</v>
      </c>
      <c r="K8573" s="0" t="s">
        <v>28530</v>
      </c>
      <c r="L8573" s="0" t="str">
        <f aca="false">HYPERLINK("https://www.ncbi.nlm.nih.gov/nuccore/CP000058.1?report=graph&amp;tracks=[key:gene_model_track,Options:GeneOnly]&amp;mk=2707075:2707094|offset_43|444444,2707028:2707047|offset_90|00cc00&amp;v=2706874:2707247&amp;c=444444", "offset 90")</f>
        <v>offset 90</v>
      </c>
    </row>
    <row r="8574" customFormat="false" ht="12.8" hidden="false" customHeight="false" outlineLevel="0" collapsed="false">
      <c r="A8574" s="0" t="s">
        <v>12</v>
      </c>
      <c r="B8574" s="0" t="n">
        <v>2708085</v>
      </c>
      <c r="C8574" s="0" t="n">
        <v>2708105</v>
      </c>
      <c r="D8574" s="0" t="s">
        <v>28531</v>
      </c>
      <c r="E8574" s="0" t="s">
        <v>75</v>
      </c>
      <c r="F8574" s="0" t="s">
        <v>90</v>
      </c>
      <c r="G8574" s="0" t="s">
        <v>36</v>
      </c>
      <c r="H8574" s="0" t="n">
        <v>6</v>
      </c>
      <c r="I8574" s="0" t="s">
        <v>28532</v>
      </c>
      <c r="J8574" s="0" t="s">
        <v>28533</v>
      </c>
      <c r="K8574" s="0" t="s">
        <v>28534</v>
      </c>
      <c r="L8574" s="0" t="str">
        <f aca="false">HYPERLINK("https://www.ncbi.nlm.nih.gov/nuccore/CP000058.1?report=graph&amp;tracks=[key:gene_model_track,Options:GeneOnly]&amp;mk=2708086:2708105|offset_6|00cc00,2708064:2708083|offset_28|444444,2708042:2708061|offset_50|444444,2708021:2708040|offset_71|444444&amp;v=2707885:2708240&amp;c=444444", "offset 6")</f>
        <v>offset 6</v>
      </c>
    </row>
    <row r="8575" customFormat="false" ht="12.8" hidden="false" customHeight="false" outlineLevel="0" collapsed="false">
      <c r="A8575" s="0" t="s">
        <v>12</v>
      </c>
      <c r="B8575" s="0" t="n">
        <v>2708063</v>
      </c>
      <c r="C8575" s="0" t="n">
        <v>2708083</v>
      </c>
      <c r="D8575" s="0" t="s">
        <v>28531</v>
      </c>
      <c r="E8575" s="0" t="s">
        <v>75</v>
      </c>
      <c r="F8575" s="0" t="s">
        <v>90</v>
      </c>
      <c r="G8575" s="0" t="s">
        <v>16</v>
      </c>
      <c r="H8575" s="0" t="n">
        <v>28</v>
      </c>
      <c r="I8575" s="0" t="s">
        <v>28535</v>
      </c>
      <c r="J8575" s="0" t="s">
        <v>28536</v>
      </c>
      <c r="K8575" s="0" t="s">
        <v>28537</v>
      </c>
      <c r="L8575" s="0" t="str">
        <f aca="false">HYPERLINK("https://www.ncbi.nlm.nih.gov/nuccore/CP000058.1?report=graph&amp;tracks=[key:gene_model_track,Options:GeneOnly]&amp;mk=2708086:2708105|offset_6|444444,2708064:2708083|offset_28|00cc00,2708042:2708061|offset_50|444444,2708021:2708040|offset_71|444444&amp;v=2707885:2708240&amp;c=444444", "offset 28")</f>
        <v>offset 28</v>
      </c>
    </row>
    <row r="8576" customFormat="false" ht="12.8" hidden="false" customHeight="false" outlineLevel="0" collapsed="false">
      <c r="A8576" s="0" t="s">
        <v>12</v>
      </c>
      <c r="B8576" s="0" t="n">
        <v>2708041</v>
      </c>
      <c r="C8576" s="0" t="n">
        <v>2708061</v>
      </c>
      <c r="D8576" s="0" t="s">
        <v>28531</v>
      </c>
      <c r="E8576" s="0" t="s">
        <v>75</v>
      </c>
      <c r="F8576" s="0" t="s">
        <v>90</v>
      </c>
      <c r="G8576" s="0" t="s">
        <v>32</v>
      </c>
      <c r="H8576" s="0" t="n">
        <v>50</v>
      </c>
      <c r="I8576" s="0" t="s">
        <v>28538</v>
      </c>
      <c r="J8576" s="0" t="s">
        <v>28539</v>
      </c>
      <c r="K8576" s="0" t="s">
        <v>28540</v>
      </c>
      <c r="L8576" s="0" t="str">
        <f aca="false">HYPERLINK("https://www.ncbi.nlm.nih.gov/nuccore/CP000058.1?report=graph&amp;tracks=[key:gene_model_track,Options:GeneOnly]&amp;mk=2708086:2708105|offset_6|444444,2708064:2708083|offset_28|444444,2708042:2708061|offset_50|00cc00,2708021:2708040|offset_71|444444&amp;v=2707885:2708240&amp;c=444444", "offset 50")</f>
        <v>offset 50</v>
      </c>
    </row>
    <row r="8577" customFormat="false" ht="12.8" hidden="false" customHeight="false" outlineLevel="0" collapsed="false">
      <c r="A8577" s="0" t="s">
        <v>12</v>
      </c>
      <c r="B8577" s="0" t="n">
        <v>2708020</v>
      </c>
      <c r="C8577" s="0" t="n">
        <v>2708040</v>
      </c>
      <c r="D8577" s="0" t="s">
        <v>28531</v>
      </c>
      <c r="E8577" s="0" t="s">
        <v>75</v>
      </c>
      <c r="F8577" s="0" t="s">
        <v>90</v>
      </c>
      <c r="G8577" s="0" t="s">
        <v>16</v>
      </c>
      <c r="H8577" s="0" t="n">
        <v>71</v>
      </c>
      <c r="I8577" s="0" t="s">
        <v>28541</v>
      </c>
      <c r="J8577" s="0" t="s">
        <v>28542</v>
      </c>
      <c r="K8577" s="0" t="s">
        <v>28543</v>
      </c>
      <c r="L8577" s="0" t="str">
        <f aca="false">HYPERLINK("https://www.ncbi.nlm.nih.gov/nuccore/CP000058.1?report=graph&amp;tracks=[key:gene_model_track,Options:GeneOnly]&amp;mk=2708086:2708105|offset_6|444444,2708064:2708083|offset_28|444444,2708042:2708061|offset_50|444444,2708021:2708040|offset_71|00cc00&amp;v=2707885:2708240&amp;c=444444", "offset 71")</f>
        <v>offset 71</v>
      </c>
    </row>
    <row r="8578" customFormat="false" ht="12.8" hidden="false" customHeight="false" outlineLevel="0" collapsed="false">
      <c r="A8578" s="0" t="s">
        <v>12</v>
      </c>
      <c r="B8578" s="0" t="n">
        <v>2708149</v>
      </c>
      <c r="C8578" s="0" t="n">
        <v>2708169</v>
      </c>
      <c r="D8578" s="0" t="s">
        <v>28544</v>
      </c>
      <c r="E8578" s="0" t="s">
        <v>75</v>
      </c>
      <c r="F8578" s="0" t="s">
        <v>15</v>
      </c>
      <c r="G8578" s="0" t="s">
        <v>32</v>
      </c>
      <c r="H8578" s="0" t="n">
        <v>25</v>
      </c>
      <c r="I8578" s="0" t="s">
        <v>28545</v>
      </c>
      <c r="J8578" s="0" t="s">
        <v>28546</v>
      </c>
      <c r="K8578" s="0" t="s">
        <v>28547</v>
      </c>
      <c r="L8578" s="0" t="str">
        <f aca="false">HYPERLINK("https://www.ncbi.nlm.nih.gov/nuccore/CP000058.1?report=graph&amp;tracks=[key:gene_model_track,Options:GeneOnly]&amp;mk=2708150:2708169|offset_25|00cc00,2708172:2708191|offset_47|444444&amp;v=2707949:2708391&amp;c=444444", "offset 25")</f>
        <v>offset 25</v>
      </c>
    </row>
    <row r="8579" customFormat="false" ht="12.8" hidden="false" customHeight="false" outlineLevel="0" collapsed="false">
      <c r="A8579" s="0" t="s">
        <v>12</v>
      </c>
      <c r="B8579" s="0" t="n">
        <v>2708171</v>
      </c>
      <c r="C8579" s="0" t="n">
        <v>2708191</v>
      </c>
      <c r="D8579" s="0" t="s">
        <v>28544</v>
      </c>
      <c r="E8579" s="0" t="s">
        <v>75</v>
      </c>
      <c r="F8579" s="0" t="s">
        <v>15</v>
      </c>
      <c r="G8579" s="0" t="s">
        <v>32</v>
      </c>
      <c r="H8579" s="0" t="n">
        <v>47</v>
      </c>
      <c r="I8579" s="0" t="s">
        <v>28548</v>
      </c>
      <c r="J8579" s="0" t="s">
        <v>28549</v>
      </c>
      <c r="K8579" s="0" t="s">
        <v>28550</v>
      </c>
      <c r="L8579" s="0" t="str">
        <f aca="false">HYPERLINK("https://www.ncbi.nlm.nih.gov/nuccore/CP000058.1?report=graph&amp;tracks=[key:gene_model_track,Options:GeneOnly]&amp;mk=2708150:2708169|offset_25|444444,2708172:2708191|offset_47|00cc00&amp;v=2707949:2708391&amp;c=444444", "offset 47")</f>
        <v>offset 47</v>
      </c>
    </row>
    <row r="8580" customFormat="false" ht="12.8" hidden="false" customHeight="false" outlineLevel="0" collapsed="false">
      <c r="A8580" s="0" t="s">
        <v>12</v>
      </c>
      <c r="B8580" s="0" t="n">
        <v>2708962</v>
      </c>
      <c r="C8580" s="0" t="n">
        <v>2708982</v>
      </c>
      <c r="D8580" s="0" t="s">
        <v>28551</v>
      </c>
      <c r="E8580" s="0" t="s">
        <v>75</v>
      </c>
      <c r="F8580" s="0" t="s">
        <v>90</v>
      </c>
      <c r="G8580" s="0" t="s">
        <v>32</v>
      </c>
      <c r="H8580" s="0" t="n">
        <v>10</v>
      </c>
      <c r="I8580" s="0" t="s">
        <v>28552</v>
      </c>
      <c r="J8580" s="0" t="s">
        <v>28553</v>
      </c>
      <c r="K8580" s="0" t="s">
        <v>28554</v>
      </c>
      <c r="L8580" s="0" t="str">
        <f aca="false">HYPERLINK("https://www.ncbi.nlm.nih.gov/nuccore/CP000058.1?report=graph&amp;tracks=[key:gene_model_track,Options:GeneOnly]&amp;mk=2708963:2708982|offset_10|00cc00,2708936:2708955|offset_37|444444,2708913:2708932|offset_60|444444,2708867:2708886|offset_106|444444&amp;v=2708762:2709086&amp;c=444444", "offset 10")</f>
        <v>offset 10</v>
      </c>
    </row>
    <row r="8581" customFormat="false" ht="12.8" hidden="false" customHeight="false" outlineLevel="0" collapsed="false">
      <c r="A8581" s="0" t="s">
        <v>12</v>
      </c>
      <c r="B8581" s="0" t="n">
        <v>2708935</v>
      </c>
      <c r="C8581" s="0" t="n">
        <v>2708955</v>
      </c>
      <c r="D8581" s="0" t="s">
        <v>28551</v>
      </c>
      <c r="E8581" s="0" t="s">
        <v>75</v>
      </c>
      <c r="F8581" s="0" t="s">
        <v>90</v>
      </c>
      <c r="G8581" s="0" t="s">
        <v>16</v>
      </c>
      <c r="H8581" s="0" t="n">
        <v>37</v>
      </c>
      <c r="I8581" s="0" t="s">
        <v>28555</v>
      </c>
      <c r="J8581" s="0" t="s">
        <v>28556</v>
      </c>
      <c r="K8581" s="0" t="s">
        <v>28557</v>
      </c>
      <c r="L8581" s="0" t="str">
        <f aca="false">HYPERLINK("https://www.ncbi.nlm.nih.gov/nuccore/CP000058.1?report=graph&amp;tracks=[key:gene_model_track,Options:GeneOnly]&amp;mk=2708963:2708982|offset_10|444444,2708936:2708955|offset_37|00cc00,2708913:2708932|offset_60|444444,2708867:2708886|offset_106|444444&amp;v=2708762:2709086&amp;c=444444", "offset 37")</f>
        <v>offset 37</v>
      </c>
    </row>
    <row r="8582" customFormat="false" ht="12.8" hidden="false" customHeight="false" outlineLevel="0" collapsed="false">
      <c r="A8582" s="0" t="s">
        <v>12</v>
      </c>
      <c r="B8582" s="0" t="n">
        <v>2708912</v>
      </c>
      <c r="C8582" s="0" t="n">
        <v>2708932</v>
      </c>
      <c r="D8582" s="0" t="s">
        <v>28551</v>
      </c>
      <c r="E8582" s="0" t="s">
        <v>75</v>
      </c>
      <c r="F8582" s="0" t="s">
        <v>90</v>
      </c>
      <c r="G8582" s="0" t="s">
        <v>36</v>
      </c>
      <c r="H8582" s="0" t="n">
        <v>60</v>
      </c>
      <c r="I8582" s="0" t="s">
        <v>28558</v>
      </c>
      <c r="J8582" s="0" t="s">
        <v>28559</v>
      </c>
      <c r="K8582" s="0" t="s">
        <v>28560</v>
      </c>
      <c r="L8582" s="0" t="str">
        <f aca="false">HYPERLINK("https://www.ncbi.nlm.nih.gov/nuccore/CP000058.1?report=graph&amp;tracks=[key:gene_model_track,Options:GeneOnly]&amp;mk=2708963:2708982|offset_10|444444,2708936:2708955|offset_37|444444,2708913:2708932|offset_60|00cc00,2708867:2708886|offset_106|444444&amp;v=2708762:2709086&amp;c=444444", "offset 60")</f>
        <v>offset 60</v>
      </c>
    </row>
    <row r="8583" customFormat="false" ht="12.8" hidden="false" customHeight="false" outlineLevel="0" collapsed="false">
      <c r="A8583" s="0" t="s">
        <v>12</v>
      </c>
      <c r="B8583" s="0" t="n">
        <v>2708866</v>
      </c>
      <c r="C8583" s="0" t="n">
        <v>2708886</v>
      </c>
      <c r="D8583" s="0" t="s">
        <v>28551</v>
      </c>
      <c r="E8583" s="0" t="s">
        <v>75</v>
      </c>
      <c r="F8583" s="0" t="s">
        <v>90</v>
      </c>
      <c r="G8583" s="0" t="s">
        <v>16</v>
      </c>
      <c r="H8583" s="0" t="n">
        <v>106</v>
      </c>
      <c r="I8583" s="0" t="s">
        <v>28561</v>
      </c>
      <c r="J8583" s="0" t="s">
        <v>28562</v>
      </c>
      <c r="K8583" s="0" t="s">
        <v>28563</v>
      </c>
      <c r="L8583" s="0" t="str">
        <f aca="false">HYPERLINK("https://www.ncbi.nlm.nih.gov/nuccore/CP000058.1?report=graph&amp;tracks=[key:gene_model_track,Options:GeneOnly]&amp;mk=2708963:2708982|offset_10|444444,2708936:2708955|offset_37|444444,2708913:2708932|offset_60|444444,2708867:2708886|offset_106|00cc00&amp;v=2708762:2709086&amp;c=444444", "offset 106")</f>
        <v>offset 106</v>
      </c>
    </row>
    <row r="8584" customFormat="false" ht="12.8" hidden="false" customHeight="false" outlineLevel="0" collapsed="false">
      <c r="A8584" s="0" t="s">
        <v>12</v>
      </c>
      <c r="B8584" s="0" t="n">
        <v>2709971</v>
      </c>
      <c r="C8584" s="0" t="n">
        <v>2709991</v>
      </c>
      <c r="D8584" s="0" t="s">
        <v>28564</v>
      </c>
      <c r="E8584" s="0" t="s">
        <v>75</v>
      </c>
      <c r="F8584" s="0" t="s">
        <v>90</v>
      </c>
      <c r="G8584" s="0" t="s">
        <v>16</v>
      </c>
      <c r="H8584" s="0" t="n">
        <v>20</v>
      </c>
      <c r="I8584" s="0" t="s">
        <v>28565</v>
      </c>
      <c r="J8584" s="0" t="s">
        <v>28566</v>
      </c>
      <c r="K8584" s="0" t="s">
        <v>28567</v>
      </c>
      <c r="L8584" s="0" t="str">
        <f aca="false">HYPERLINK("https://www.ncbi.nlm.nih.gov/nuccore/CP000058.1?report=graph&amp;tracks=[key:gene_model_track,Options:GeneOnly]&amp;mk=2709972:2709991|offset_20|00cc00,2709952:2709971|offset_40|444444,2709927:2709946|offset_65|444444,2709905:2709924|offset_87|444444&amp;v=2709771:2710124&amp;c=444444", "offset 20")</f>
        <v>offset 20</v>
      </c>
    </row>
    <row r="8585" customFormat="false" ht="12.8" hidden="false" customHeight="false" outlineLevel="0" collapsed="false">
      <c r="A8585" s="0" t="s">
        <v>12</v>
      </c>
      <c r="B8585" s="0" t="n">
        <v>2709951</v>
      </c>
      <c r="C8585" s="0" t="n">
        <v>2709971</v>
      </c>
      <c r="D8585" s="0" t="s">
        <v>28564</v>
      </c>
      <c r="E8585" s="0" t="s">
        <v>75</v>
      </c>
      <c r="F8585" s="0" t="s">
        <v>90</v>
      </c>
      <c r="G8585" s="0" t="s">
        <v>16</v>
      </c>
      <c r="H8585" s="0" t="n">
        <v>40</v>
      </c>
      <c r="I8585" s="0" t="s">
        <v>28568</v>
      </c>
      <c r="J8585" s="0" t="s">
        <v>28569</v>
      </c>
      <c r="K8585" s="0" t="s">
        <v>28570</v>
      </c>
      <c r="L8585" s="0" t="str">
        <f aca="false">HYPERLINK("https://www.ncbi.nlm.nih.gov/nuccore/CP000058.1?report=graph&amp;tracks=[key:gene_model_track,Options:GeneOnly]&amp;mk=2709972:2709991|offset_20|444444,2709952:2709971|offset_40|00cc00,2709927:2709946|offset_65|444444,2709905:2709924|offset_87|444444&amp;v=2709771:2710124&amp;c=444444", "offset 40")</f>
        <v>offset 40</v>
      </c>
    </row>
    <row r="8586" customFormat="false" ht="12.8" hidden="false" customHeight="false" outlineLevel="0" collapsed="false">
      <c r="A8586" s="0" t="s">
        <v>12</v>
      </c>
      <c r="B8586" s="0" t="n">
        <v>2709926</v>
      </c>
      <c r="C8586" s="0" t="n">
        <v>2709946</v>
      </c>
      <c r="D8586" s="0" t="s">
        <v>28564</v>
      </c>
      <c r="E8586" s="0" t="s">
        <v>75</v>
      </c>
      <c r="F8586" s="0" t="s">
        <v>90</v>
      </c>
      <c r="G8586" s="0" t="s">
        <v>32</v>
      </c>
      <c r="H8586" s="0" t="n">
        <v>65</v>
      </c>
      <c r="I8586" s="0" t="s">
        <v>28571</v>
      </c>
      <c r="J8586" s="0" t="s">
        <v>28572</v>
      </c>
      <c r="K8586" s="0" t="s">
        <v>28573</v>
      </c>
      <c r="L8586" s="0" t="str">
        <f aca="false">HYPERLINK("https://www.ncbi.nlm.nih.gov/nuccore/CP000058.1?report=graph&amp;tracks=[key:gene_model_track,Options:GeneOnly]&amp;mk=2709972:2709991|offset_20|444444,2709952:2709971|offset_40|444444,2709927:2709946|offset_65|00cc00,2709905:2709924|offset_87|444444&amp;v=2709771:2710124&amp;c=444444", "offset 65")</f>
        <v>offset 65</v>
      </c>
    </row>
    <row r="8587" customFormat="false" ht="12.8" hidden="false" customHeight="false" outlineLevel="0" collapsed="false">
      <c r="A8587" s="0" t="s">
        <v>12</v>
      </c>
      <c r="B8587" s="0" t="n">
        <v>2709904</v>
      </c>
      <c r="C8587" s="0" t="n">
        <v>2709924</v>
      </c>
      <c r="D8587" s="0" t="s">
        <v>28564</v>
      </c>
      <c r="E8587" s="0" t="s">
        <v>75</v>
      </c>
      <c r="F8587" s="0" t="s">
        <v>90</v>
      </c>
      <c r="G8587" s="0" t="s">
        <v>36</v>
      </c>
      <c r="H8587" s="0" t="n">
        <v>87</v>
      </c>
      <c r="I8587" s="0" t="s">
        <v>28574</v>
      </c>
      <c r="J8587" s="0" t="s">
        <v>28575</v>
      </c>
      <c r="K8587" s="0" t="s">
        <v>28576</v>
      </c>
      <c r="L8587" s="0" t="str">
        <f aca="false">HYPERLINK("https://www.ncbi.nlm.nih.gov/nuccore/CP000058.1?report=graph&amp;tracks=[key:gene_model_track,Options:GeneOnly]&amp;mk=2709972:2709991|offset_20|444444,2709952:2709971|offset_40|444444,2709927:2709946|offset_65|444444,2709905:2709924|offset_87|00cc00&amp;v=2709771:2710124&amp;c=444444", "offset 87")</f>
        <v>offset 87</v>
      </c>
    </row>
    <row r="8588" customFormat="false" ht="12.8" hidden="false" customHeight="false" outlineLevel="0" collapsed="false">
      <c r="A8588" s="0" t="s">
        <v>12</v>
      </c>
      <c r="B8588" s="0" t="n">
        <v>2710288</v>
      </c>
      <c r="C8588" s="0" t="n">
        <v>2710308</v>
      </c>
      <c r="D8588" s="0" t="s">
        <v>28577</v>
      </c>
      <c r="E8588" s="0" t="s">
        <v>75</v>
      </c>
      <c r="F8588" s="0" t="s">
        <v>15</v>
      </c>
      <c r="G8588" s="0" t="s">
        <v>36</v>
      </c>
      <c r="H8588" s="0" t="n">
        <v>21</v>
      </c>
      <c r="I8588" s="0" t="s">
        <v>28578</v>
      </c>
      <c r="J8588" s="0" t="s">
        <v>28579</v>
      </c>
      <c r="K8588" s="0" t="s">
        <v>28580</v>
      </c>
      <c r="L8588" s="0" t="str">
        <f aca="false">HYPERLINK("https://www.ncbi.nlm.nih.gov/nuccore/CP000058.1?report=graph&amp;tracks=[key:gene_model_track,Options:GeneOnly]&amp;mk=2710289:2710308|offset_21|00cc00,2710311:2710330|offset_43|444444,2710346:2710365|offset_78|444444,2710377:2710396|offset_109|444444&amp;v=2710088:2710596&amp;c=444444", "offset 21")</f>
        <v>offset 21</v>
      </c>
    </row>
    <row r="8589" customFormat="false" ht="12.8" hidden="false" customHeight="false" outlineLevel="0" collapsed="false">
      <c r="A8589" s="0" t="s">
        <v>12</v>
      </c>
      <c r="B8589" s="0" t="n">
        <v>2710310</v>
      </c>
      <c r="C8589" s="0" t="n">
        <v>2710330</v>
      </c>
      <c r="D8589" s="0" t="s">
        <v>28577</v>
      </c>
      <c r="E8589" s="0" t="s">
        <v>75</v>
      </c>
      <c r="F8589" s="0" t="s">
        <v>15</v>
      </c>
      <c r="G8589" s="0" t="s">
        <v>20</v>
      </c>
      <c r="H8589" s="0" t="n">
        <v>43</v>
      </c>
      <c r="I8589" s="0" t="s">
        <v>28581</v>
      </c>
      <c r="J8589" s="0" t="s">
        <v>28582</v>
      </c>
      <c r="K8589" s="0" t="s">
        <v>28583</v>
      </c>
      <c r="L8589" s="0" t="str">
        <f aca="false">HYPERLINK("https://www.ncbi.nlm.nih.gov/nuccore/CP000058.1?report=graph&amp;tracks=[key:gene_model_track,Options:GeneOnly]&amp;mk=2710289:2710308|offset_21|444444,2710311:2710330|offset_43|00cc00,2710346:2710365|offset_78|444444,2710377:2710396|offset_109|444444&amp;v=2710088:2710596&amp;c=444444", "offset 43")</f>
        <v>offset 43</v>
      </c>
    </row>
    <row r="8590" customFormat="false" ht="12.8" hidden="false" customHeight="false" outlineLevel="0" collapsed="false">
      <c r="A8590" s="0" t="s">
        <v>12</v>
      </c>
      <c r="B8590" s="0" t="n">
        <v>2710345</v>
      </c>
      <c r="C8590" s="0" t="n">
        <v>2710365</v>
      </c>
      <c r="D8590" s="0" t="s">
        <v>28577</v>
      </c>
      <c r="E8590" s="0" t="s">
        <v>75</v>
      </c>
      <c r="F8590" s="0" t="s">
        <v>15</v>
      </c>
      <c r="G8590" s="0" t="s">
        <v>16</v>
      </c>
      <c r="H8590" s="0" t="n">
        <v>78</v>
      </c>
      <c r="I8590" s="0" t="s">
        <v>28584</v>
      </c>
      <c r="J8590" s="0" t="s">
        <v>28585</v>
      </c>
      <c r="K8590" s="0" t="s">
        <v>28586</v>
      </c>
      <c r="L8590" s="0" t="str">
        <f aca="false">HYPERLINK("https://www.ncbi.nlm.nih.gov/nuccore/CP000058.1?report=graph&amp;tracks=[key:gene_model_track,Options:GeneOnly]&amp;mk=2710289:2710308|offset_21|444444,2710311:2710330|offset_43|444444,2710346:2710365|offset_78|00cc00,2710377:2710396|offset_109|444444&amp;v=2710088:2710596&amp;c=444444", "offset 78")</f>
        <v>offset 78</v>
      </c>
    </row>
    <row r="8591" customFormat="false" ht="12.8" hidden="false" customHeight="false" outlineLevel="0" collapsed="false">
      <c r="A8591" s="0" t="s">
        <v>12</v>
      </c>
      <c r="B8591" s="0" t="n">
        <v>2710376</v>
      </c>
      <c r="C8591" s="0" t="n">
        <v>2710396</v>
      </c>
      <c r="D8591" s="0" t="s">
        <v>28577</v>
      </c>
      <c r="E8591" s="0" t="s">
        <v>75</v>
      </c>
      <c r="F8591" s="0" t="s">
        <v>15</v>
      </c>
      <c r="G8591" s="0" t="s">
        <v>20</v>
      </c>
      <c r="H8591" s="0" t="n">
        <v>109</v>
      </c>
      <c r="I8591" s="0" t="s">
        <v>28587</v>
      </c>
      <c r="J8591" s="0" t="s">
        <v>28588</v>
      </c>
      <c r="K8591" s="0" t="s">
        <v>28589</v>
      </c>
      <c r="L8591" s="0" t="str">
        <f aca="false">HYPERLINK("https://www.ncbi.nlm.nih.gov/nuccore/CP000058.1?report=graph&amp;tracks=[key:gene_model_track,Options:GeneOnly]&amp;mk=2710289:2710308|offset_21|444444,2710311:2710330|offset_43|444444,2710346:2710365|offset_78|444444,2710377:2710396|offset_109|00cc00&amp;v=2710088:2710596&amp;c=444444", "offset 109")</f>
        <v>offset 109</v>
      </c>
    </row>
    <row r="8592" customFormat="false" ht="12.8" hidden="false" customHeight="false" outlineLevel="0" collapsed="false">
      <c r="A8592" s="0" t="s">
        <v>12</v>
      </c>
      <c r="B8592" s="0" t="n">
        <v>2713215</v>
      </c>
      <c r="C8592" s="0" t="n">
        <v>2713235</v>
      </c>
      <c r="D8592" s="0" t="s">
        <v>28590</v>
      </c>
      <c r="E8592" s="0" t="s">
        <v>75</v>
      </c>
      <c r="F8592" s="0" t="s">
        <v>90</v>
      </c>
      <c r="G8592" s="0" t="s">
        <v>36</v>
      </c>
      <c r="H8592" s="0" t="n">
        <v>20</v>
      </c>
      <c r="I8592" s="0" t="s">
        <v>28591</v>
      </c>
      <c r="J8592" s="0" t="s">
        <v>28592</v>
      </c>
      <c r="K8592" s="0" t="s">
        <v>28593</v>
      </c>
      <c r="L8592" s="0" t="str">
        <f aca="false">HYPERLINK("https://www.ncbi.nlm.nih.gov/nuccore/CP000058.1?report=graph&amp;tracks=[key:gene_model_track,Options:GeneOnly]&amp;mk=2713216:2713235|offset_20|00cc00,2713196:2713215|offset_40|444444,2713148:2713167|offset_88|444444,2713121:2713140|offset_115|444444&amp;v=2713015:2713340&amp;c=444444", "offset 20")</f>
        <v>offset 20</v>
      </c>
    </row>
    <row r="8593" customFormat="false" ht="12.8" hidden="false" customHeight="false" outlineLevel="0" collapsed="false">
      <c r="A8593" s="0" t="s">
        <v>12</v>
      </c>
      <c r="B8593" s="0" t="n">
        <v>2713195</v>
      </c>
      <c r="C8593" s="0" t="n">
        <v>2713215</v>
      </c>
      <c r="D8593" s="0" t="s">
        <v>28590</v>
      </c>
      <c r="E8593" s="0" t="s">
        <v>75</v>
      </c>
      <c r="F8593" s="0" t="s">
        <v>90</v>
      </c>
      <c r="G8593" s="0" t="s">
        <v>16</v>
      </c>
      <c r="H8593" s="0" t="n">
        <v>40</v>
      </c>
      <c r="I8593" s="0" t="s">
        <v>28594</v>
      </c>
      <c r="J8593" s="0" t="s">
        <v>28595</v>
      </c>
      <c r="K8593" s="0" t="s">
        <v>28596</v>
      </c>
      <c r="L8593" s="0" t="str">
        <f aca="false">HYPERLINK("https://www.ncbi.nlm.nih.gov/nuccore/CP000058.1?report=graph&amp;tracks=[key:gene_model_track,Options:GeneOnly]&amp;mk=2713216:2713235|offset_20|444444,2713196:2713215|offset_40|00cc00,2713148:2713167|offset_88|444444,2713121:2713140|offset_115|444444&amp;v=2713015:2713340&amp;c=444444", "offset 40")</f>
        <v>offset 40</v>
      </c>
    </row>
    <row r="8594" customFormat="false" ht="12.8" hidden="false" customHeight="false" outlineLevel="0" collapsed="false">
      <c r="A8594" s="0" t="s">
        <v>12</v>
      </c>
      <c r="B8594" s="0" t="n">
        <v>2713147</v>
      </c>
      <c r="C8594" s="0" t="n">
        <v>2713167</v>
      </c>
      <c r="D8594" s="0" t="s">
        <v>28590</v>
      </c>
      <c r="E8594" s="0" t="s">
        <v>75</v>
      </c>
      <c r="F8594" s="0" t="s">
        <v>90</v>
      </c>
      <c r="G8594" s="0" t="s">
        <v>36</v>
      </c>
      <c r="H8594" s="0" t="n">
        <v>88</v>
      </c>
      <c r="I8594" s="0" t="s">
        <v>28597</v>
      </c>
      <c r="J8594" s="0" t="s">
        <v>28598</v>
      </c>
      <c r="K8594" s="0" t="s">
        <v>28599</v>
      </c>
      <c r="L8594" s="0" t="str">
        <f aca="false">HYPERLINK("https://www.ncbi.nlm.nih.gov/nuccore/CP000058.1?report=graph&amp;tracks=[key:gene_model_track,Options:GeneOnly]&amp;mk=2713216:2713235|offset_20|444444,2713196:2713215|offset_40|444444,2713148:2713167|offset_88|00cc00,2713121:2713140|offset_115|444444&amp;v=2713015:2713340&amp;c=444444", "offset 88")</f>
        <v>offset 88</v>
      </c>
    </row>
    <row r="8595" customFormat="false" ht="12.8" hidden="false" customHeight="false" outlineLevel="0" collapsed="false">
      <c r="A8595" s="0" t="s">
        <v>12</v>
      </c>
      <c r="B8595" s="0" t="n">
        <v>2713120</v>
      </c>
      <c r="C8595" s="0" t="n">
        <v>2713140</v>
      </c>
      <c r="D8595" s="0" t="s">
        <v>28590</v>
      </c>
      <c r="E8595" s="0" t="s">
        <v>75</v>
      </c>
      <c r="F8595" s="0" t="s">
        <v>90</v>
      </c>
      <c r="G8595" s="0" t="s">
        <v>16</v>
      </c>
      <c r="H8595" s="0" t="n">
        <v>115</v>
      </c>
      <c r="I8595" s="0" t="s">
        <v>28600</v>
      </c>
      <c r="J8595" s="0" t="s">
        <v>28601</v>
      </c>
      <c r="K8595" s="0" t="s">
        <v>28602</v>
      </c>
      <c r="L8595" s="0" t="str">
        <f aca="false">HYPERLINK("https://www.ncbi.nlm.nih.gov/nuccore/CP000058.1?report=graph&amp;tracks=[key:gene_model_track,Options:GeneOnly]&amp;mk=2713216:2713235|offset_20|444444,2713196:2713215|offset_40|444444,2713148:2713167|offset_88|444444,2713121:2713140|offset_115|00cc00&amp;v=2713015:2713340&amp;c=444444", "offset 115")</f>
        <v>offset 115</v>
      </c>
    </row>
    <row r="8596" customFormat="false" ht="12.8" hidden="false" customHeight="false" outlineLevel="0" collapsed="false">
      <c r="A8596" s="0" t="s">
        <v>12</v>
      </c>
      <c r="B8596" s="0" t="n">
        <v>2713423</v>
      </c>
      <c r="C8596" s="0" t="n">
        <v>2713443</v>
      </c>
      <c r="D8596" s="0" t="s">
        <v>28603</v>
      </c>
      <c r="E8596" s="0" t="s">
        <v>75</v>
      </c>
      <c r="F8596" s="0" t="s">
        <v>15</v>
      </c>
      <c r="G8596" s="0" t="s">
        <v>20</v>
      </c>
      <c r="H8596" s="0" t="n">
        <v>6</v>
      </c>
      <c r="I8596" s="0" t="s">
        <v>28604</v>
      </c>
      <c r="J8596" s="0" t="s">
        <v>28605</v>
      </c>
      <c r="K8596" s="0" t="s">
        <v>28606</v>
      </c>
      <c r="L8596" s="0" t="str">
        <f aca="false">HYPERLINK("https://www.ncbi.nlm.nih.gov/nuccore/CP000058.1?report=graph&amp;tracks=[key:gene_model_track,Options:GeneOnly]&amp;mk=2713424:2713443|offset_6|00cc00,2713464:2713483|offset_46|444444,2713498:2713517|offset_80|444444,2713519:2713538|offset_101|444444&amp;v=2713223:2713738&amp;c=444444", "offset 6")</f>
        <v>offset 6</v>
      </c>
    </row>
    <row r="8597" customFormat="false" ht="12.8" hidden="false" customHeight="false" outlineLevel="0" collapsed="false">
      <c r="A8597" s="0" t="s">
        <v>12</v>
      </c>
      <c r="B8597" s="0" t="n">
        <v>2713463</v>
      </c>
      <c r="C8597" s="0" t="n">
        <v>2713483</v>
      </c>
      <c r="D8597" s="0" t="s">
        <v>28603</v>
      </c>
      <c r="E8597" s="0" t="s">
        <v>75</v>
      </c>
      <c r="F8597" s="0" t="s">
        <v>15</v>
      </c>
      <c r="G8597" s="0" t="s">
        <v>16</v>
      </c>
      <c r="H8597" s="0" t="n">
        <v>46</v>
      </c>
      <c r="I8597" s="0" t="s">
        <v>28607</v>
      </c>
      <c r="J8597" s="0" t="s">
        <v>28608</v>
      </c>
      <c r="K8597" s="0" t="s">
        <v>28609</v>
      </c>
      <c r="L8597" s="0" t="str">
        <f aca="false">HYPERLINK("https://www.ncbi.nlm.nih.gov/nuccore/CP000058.1?report=graph&amp;tracks=[key:gene_model_track,Options:GeneOnly]&amp;mk=2713424:2713443|offset_6|444444,2713464:2713483|offset_46|00cc00,2713498:2713517|offset_80|444444,2713519:2713538|offset_101|444444&amp;v=2713223:2713738&amp;c=444444", "offset 46")</f>
        <v>offset 46</v>
      </c>
    </row>
    <row r="8598" customFormat="false" ht="12.8" hidden="false" customHeight="false" outlineLevel="0" collapsed="false">
      <c r="A8598" s="0" t="s">
        <v>12</v>
      </c>
      <c r="B8598" s="0" t="n">
        <v>2713497</v>
      </c>
      <c r="C8598" s="0" t="n">
        <v>2713517</v>
      </c>
      <c r="D8598" s="0" t="s">
        <v>28603</v>
      </c>
      <c r="E8598" s="0" t="s">
        <v>75</v>
      </c>
      <c r="F8598" s="0" t="s">
        <v>15</v>
      </c>
      <c r="G8598" s="0" t="s">
        <v>20</v>
      </c>
      <c r="H8598" s="0" t="n">
        <v>80</v>
      </c>
      <c r="I8598" s="0" t="s">
        <v>28610</v>
      </c>
      <c r="J8598" s="0" t="s">
        <v>28611</v>
      </c>
      <c r="K8598" s="0" t="s">
        <v>28612</v>
      </c>
      <c r="L8598" s="0" t="str">
        <f aca="false">HYPERLINK("https://www.ncbi.nlm.nih.gov/nuccore/CP000058.1?report=graph&amp;tracks=[key:gene_model_track,Options:GeneOnly]&amp;mk=2713424:2713443|offset_6|444444,2713464:2713483|offset_46|444444,2713498:2713517|offset_80|00cc00,2713519:2713538|offset_101|444444&amp;v=2713223:2713738&amp;c=444444", "offset 80")</f>
        <v>offset 80</v>
      </c>
    </row>
    <row r="8599" customFormat="false" ht="12.8" hidden="false" customHeight="false" outlineLevel="0" collapsed="false">
      <c r="A8599" s="0" t="s">
        <v>12</v>
      </c>
      <c r="B8599" s="0" t="n">
        <v>2713518</v>
      </c>
      <c r="C8599" s="0" t="n">
        <v>2713538</v>
      </c>
      <c r="D8599" s="0" t="s">
        <v>28603</v>
      </c>
      <c r="E8599" s="0" t="s">
        <v>75</v>
      </c>
      <c r="F8599" s="0" t="s">
        <v>15</v>
      </c>
      <c r="G8599" s="0" t="s">
        <v>32</v>
      </c>
      <c r="H8599" s="0" t="n">
        <v>101</v>
      </c>
      <c r="I8599" s="0" t="s">
        <v>28613</v>
      </c>
      <c r="J8599" s="0" t="s">
        <v>28614</v>
      </c>
      <c r="K8599" s="0" t="s">
        <v>28615</v>
      </c>
      <c r="L8599" s="0" t="str">
        <f aca="false">HYPERLINK("https://www.ncbi.nlm.nih.gov/nuccore/CP000058.1?report=graph&amp;tracks=[key:gene_model_track,Options:GeneOnly]&amp;mk=2713424:2713443|offset_6|444444,2713464:2713483|offset_46|444444,2713498:2713517|offset_80|444444,2713519:2713538|offset_101|00cc00&amp;v=2713223:2713738&amp;c=444444", "offset 101")</f>
        <v>offset 101</v>
      </c>
    </row>
    <row r="8600" customFormat="false" ht="12.8" hidden="false" customHeight="false" outlineLevel="0" collapsed="false">
      <c r="A8600" s="0" t="s">
        <v>12</v>
      </c>
      <c r="B8600" s="0" t="n">
        <v>2714546</v>
      </c>
      <c r="C8600" s="0" t="n">
        <v>2714566</v>
      </c>
      <c r="D8600" s="0" t="s">
        <v>28616</v>
      </c>
      <c r="E8600" s="0" t="s">
        <v>75</v>
      </c>
      <c r="F8600" s="0" t="s">
        <v>15</v>
      </c>
      <c r="G8600" s="0" t="s">
        <v>32</v>
      </c>
      <c r="H8600" s="0" t="n">
        <v>1</v>
      </c>
      <c r="I8600" s="0" t="s">
        <v>28617</v>
      </c>
      <c r="J8600" s="0" t="s">
        <v>28618</v>
      </c>
      <c r="K8600" s="0" t="s">
        <v>28619</v>
      </c>
      <c r="L8600" s="0" t="str">
        <f aca="false">HYPERLINK("https://www.ncbi.nlm.nih.gov/nuccore/CP000058.1?report=graph&amp;tracks=[key:gene_model_track,Options:GeneOnly]&amp;mk=2714547:2714566|offset_1|00cc00,2714577:2714596|offset_31|444444,2714623:2714642|offset_77|444444,2714644:2714663|offset_98|444444&amp;v=2714346:2714863&amp;c=444444", "offset 1")</f>
        <v>offset 1</v>
      </c>
    </row>
    <row r="8601" customFormat="false" ht="12.8" hidden="false" customHeight="false" outlineLevel="0" collapsed="false">
      <c r="A8601" s="0" t="s">
        <v>12</v>
      </c>
      <c r="B8601" s="0" t="n">
        <v>2714576</v>
      </c>
      <c r="C8601" s="0" t="n">
        <v>2714596</v>
      </c>
      <c r="D8601" s="0" t="s">
        <v>28616</v>
      </c>
      <c r="E8601" s="0" t="s">
        <v>75</v>
      </c>
      <c r="F8601" s="0" t="s">
        <v>15</v>
      </c>
      <c r="G8601" s="0" t="s">
        <v>16</v>
      </c>
      <c r="H8601" s="0" t="n">
        <v>31</v>
      </c>
      <c r="I8601" s="0" t="s">
        <v>28620</v>
      </c>
      <c r="J8601" s="0" t="s">
        <v>28621</v>
      </c>
      <c r="K8601" s="0" t="s">
        <v>28622</v>
      </c>
      <c r="L8601" s="0" t="str">
        <f aca="false">HYPERLINK("https://www.ncbi.nlm.nih.gov/nuccore/CP000058.1?report=graph&amp;tracks=[key:gene_model_track,Options:GeneOnly]&amp;mk=2714547:2714566|offset_1|444444,2714577:2714596|offset_31|00cc00,2714623:2714642|offset_77|444444,2714644:2714663|offset_98|444444&amp;v=2714346:2714863&amp;c=444444", "offset 31")</f>
        <v>offset 31</v>
      </c>
    </row>
    <row r="8602" customFormat="false" ht="12.8" hidden="false" customHeight="false" outlineLevel="0" collapsed="false">
      <c r="A8602" s="0" t="s">
        <v>12</v>
      </c>
      <c r="B8602" s="0" t="n">
        <v>2714622</v>
      </c>
      <c r="C8602" s="0" t="n">
        <v>2714642</v>
      </c>
      <c r="D8602" s="0" t="s">
        <v>28616</v>
      </c>
      <c r="E8602" s="0" t="s">
        <v>75</v>
      </c>
      <c r="F8602" s="0" t="s">
        <v>15</v>
      </c>
      <c r="G8602" s="0" t="s">
        <v>36</v>
      </c>
      <c r="H8602" s="0" t="n">
        <v>77</v>
      </c>
      <c r="I8602" s="0" t="s">
        <v>28623</v>
      </c>
      <c r="J8602" s="0" t="s">
        <v>28624</v>
      </c>
      <c r="K8602" s="0" t="s">
        <v>28625</v>
      </c>
      <c r="L8602" s="0" t="str">
        <f aca="false">HYPERLINK("https://www.ncbi.nlm.nih.gov/nuccore/CP000058.1?report=graph&amp;tracks=[key:gene_model_track,Options:GeneOnly]&amp;mk=2714547:2714566|offset_1|444444,2714577:2714596|offset_31|444444,2714623:2714642|offset_77|00cc00,2714644:2714663|offset_98|444444&amp;v=2714346:2714863&amp;c=444444", "offset 77")</f>
        <v>offset 77</v>
      </c>
    </row>
    <row r="8603" customFormat="false" ht="12.8" hidden="false" customHeight="false" outlineLevel="0" collapsed="false">
      <c r="A8603" s="0" t="s">
        <v>12</v>
      </c>
      <c r="B8603" s="0" t="n">
        <v>2714643</v>
      </c>
      <c r="C8603" s="0" t="n">
        <v>2714663</v>
      </c>
      <c r="D8603" s="0" t="s">
        <v>28616</v>
      </c>
      <c r="E8603" s="0" t="s">
        <v>75</v>
      </c>
      <c r="F8603" s="0" t="s">
        <v>15</v>
      </c>
      <c r="G8603" s="0" t="s">
        <v>16</v>
      </c>
      <c r="H8603" s="0" t="n">
        <v>98</v>
      </c>
      <c r="I8603" s="0" t="s">
        <v>28626</v>
      </c>
      <c r="J8603" s="0" t="s">
        <v>28627</v>
      </c>
      <c r="K8603" s="0" t="s">
        <v>28628</v>
      </c>
      <c r="L8603" s="0" t="str">
        <f aca="false">HYPERLINK("https://www.ncbi.nlm.nih.gov/nuccore/CP000058.1?report=graph&amp;tracks=[key:gene_model_track,Options:GeneOnly]&amp;mk=2714547:2714566|offset_1|444444,2714577:2714596|offset_31|444444,2714623:2714642|offset_77|444444,2714644:2714663|offset_98|00cc00&amp;v=2714346:2714863&amp;c=444444", "offset 98")</f>
        <v>offset 98</v>
      </c>
    </row>
    <row r="8604" customFormat="false" ht="12.8" hidden="false" customHeight="false" outlineLevel="0" collapsed="false">
      <c r="A8604" s="0" t="s">
        <v>12</v>
      </c>
      <c r="B8604" s="0" t="n">
        <v>2714885</v>
      </c>
      <c r="C8604" s="0" t="n">
        <v>2714905</v>
      </c>
      <c r="D8604" s="0" t="s">
        <v>28629</v>
      </c>
      <c r="E8604" s="0" t="s">
        <v>75</v>
      </c>
      <c r="F8604" s="0" t="s">
        <v>15</v>
      </c>
      <c r="G8604" s="0" t="s">
        <v>32</v>
      </c>
      <c r="H8604" s="0" t="n">
        <v>1</v>
      </c>
      <c r="I8604" s="0" t="s">
        <v>28630</v>
      </c>
      <c r="J8604" s="0" t="s">
        <v>28631</v>
      </c>
      <c r="K8604" s="0" t="s">
        <v>28632</v>
      </c>
      <c r="L8604" s="0" t="str">
        <f aca="false">HYPERLINK("https://www.ncbi.nlm.nih.gov/nuccore/CP000058.1?report=graph&amp;tracks=[key:gene_model_track,Options:GeneOnly]&amp;mk=2714886:2714905|offset_1|00cc00,2714932:2714951|offset_47|444444,2714967:2714986|offset_82|444444,2714991:2715010|offset_106|444444&amp;v=2714685:2715210&amp;c=444444", "offset 1")</f>
        <v>offset 1</v>
      </c>
    </row>
    <row r="8605" customFormat="false" ht="12.8" hidden="false" customHeight="false" outlineLevel="0" collapsed="false">
      <c r="A8605" s="0" t="s">
        <v>12</v>
      </c>
      <c r="B8605" s="0" t="n">
        <v>2714931</v>
      </c>
      <c r="C8605" s="0" t="n">
        <v>2714951</v>
      </c>
      <c r="D8605" s="0" t="s">
        <v>28629</v>
      </c>
      <c r="E8605" s="0" t="s">
        <v>75</v>
      </c>
      <c r="F8605" s="0" t="s">
        <v>15</v>
      </c>
      <c r="G8605" s="0" t="s">
        <v>16</v>
      </c>
      <c r="H8605" s="0" t="n">
        <v>47</v>
      </c>
      <c r="I8605" s="0" t="s">
        <v>28633</v>
      </c>
      <c r="J8605" s="0" t="s">
        <v>28634</v>
      </c>
      <c r="K8605" s="0" t="s">
        <v>28635</v>
      </c>
      <c r="L8605" s="0" t="str">
        <f aca="false">HYPERLINK("https://www.ncbi.nlm.nih.gov/nuccore/CP000058.1?report=graph&amp;tracks=[key:gene_model_track,Options:GeneOnly]&amp;mk=2714886:2714905|offset_1|444444,2714932:2714951|offset_47|00cc00,2714967:2714986|offset_82|444444,2714991:2715010|offset_106|444444&amp;v=2714685:2715210&amp;c=444444", "offset 47")</f>
        <v>offset 47</v>
      </c>
    </row>
    <row r="8606" customFormat="false" ht="12.8" hidden="false" customHeight="false" outlineLevel="0" collapsed="false">
      <c r="A8606" s="0" t="s">
        <v>12</v>
      </c>
      <c r="B8606" s="0" t="n">
        <v>2714966</v>
      </c>
      <c r="C8606" s="0" t="n">
        <v>2714986</v>
      </c>
      <c r="D8606" s="0" t="s">
        <v>28629</v>
      </c>
      <c r="E8606" s="0" t="s">
        <v>75</v>
      </c>
      <c r="F8606" s="0" t="s">
        <v>15</v>
      </c>
      <c r="G8606" s="0" t="s">
        <v>16</v>
      </c>
      <c r="H8606" s="0" t="n">
        <v>82</v>
      </c>
      <c r="I8606" s="0" t="s">
        <v>28636</v>
      </c>
      <c r="J8606" s="0" t="s">
        <v>28637</v>
      </c>
      <c r="K8606" s="0" t="s">
        <v>28638</v>
      </c>
      <c r="L8606" s="0" t="str">
        <f aca="false">HYPERLINK("https://www.ncbi.nlm.nih.gov/nuccore/CP000058.1?report=graph&amp;tracks=[key:gene_model_track,Options:GeneOnly]&amp;mk=2714886:2714905|offset_1|444444,2714932:2714951|offset_47|444444,2714967:2714986|offset_82|00cc00,2714991:2715010|offset_106|444444&amp;v=2714685:2715210&amp;c=444444", "offset 82")</f>
        <v>offset 82</v>
      </c>
    </row>
    <row r="8607" customFormat="false" ht="12.8" hidden="false" customHeight="false" outlineLevel="0" collapsed="false">
      <c r="A8607" s="0" t="s">
        <v>12</v>
      </c>
      <c r="B8607" s="0" t="n">
        <v>2714990</v>
      </c>
      <c r="C8607" s="0" t="n">
        <v>2715010</v>
      </c>
      <c r="D8607" s="0" t="s">
        <v>28629</v>
      </c>
      <c r="E8607" s="0" t="s">
        <v>75</v>
      </c>
      <c r="F8607" s="0" t="s">
        <v>15</v>
      </c>
      <c r="G8607" s="0" t="s">
        <v>16</v>
      </c>
      <c r="H8607" s="0" t="n">
        <v>106</v>
      </c>
      <c r="I8607" s="0" t="s">
        <v>28639</v>
      </c>
      <c r="J8607" s="0" t="s">
        <v>28640</v>
      </c>
      <c r="K8607" s="0" t="s">
        <v>28641</v>
      </c>
      <c r="L8607" s="0" t="str">
        <f aca="false">HYPERLINK("https://www.ncbi.nlm.nih.gov/nuccore/CP000058.1?report=graph&amp;tracks=[key:gene_model_track,Options:GeneOnly]&amp;mk=2714886:2714905|offset_1|444444,2714932:2714951|offset_47|444444,2714967:2714986|offset_82|444444,2714991:2715010|offset_106|00cc00&amp;v=2714685:2715210&amp;c=444444", "offset 106")</f>
        <v>offset 106</v>
      </c>
    </row>
    <row r="8608" customFormat="false" ht="12.8" hidden="false" customHeight="false" outlineLevel="0" collapsed="false">
      <c r="A8608" s="0" t="s">
        <v>12</v>
      </c>
      <c r="B8608" s="0" t="n">
        <v>2716155</v>
      </c>
      <c r="C8608" s="0" t="n">
        <v>2716175</v>
      </c>
      <c r="D8608" s="0" t="s">
        <v>28642</v>
      </c>
      <c r="E8608" s="0" t="s">
        <v>75</v>
      </c>
      <c r="F8608" s="0" t="s">
        <v>15</v>
      </c>
      <c r="G8608" s="0" t="s">
        <v>32</v>
      </c>
      <c r="H8608" s="0" t="n">
        <v>37</v>
      </c>
      <c r="I8608" s="0" t="s">
        <v>28643</v>
      </c>
      <c r="J8608" s="0" t="s">
        <v>28644</v>
      </c>
      <c r="K8608" s="0" t="s">
        <v>28645</v>
      </c>
      <c r="L8608" s="0" t="str">
        <f aca="false">HYPERLINK("https://www.ncbi.nlm.nih.gov/nuccore/CP000058.1?report=graph&amp;tracks=[key:gene_model_track,Options:GeneOnly]&amp;mk=2716156:2716175|offset_37|00cc00,2716184:2716203|offset_65|444444,2716216:2716235|offset_97|444444,2716240:2716259|offset_121|444444&amp;v=2715955:2716459&amp;c=444444", "offset 37")</f>
        <v>offset 37</v>
      </c>
    </row>
    <row r="8609" customFormat="false" ht="12.8" hidden="false" customHeight="false" outlineLevel="0" collapsed="false">
      <c r="A8609" s="0" t="s">
        <v>12</v>
      </c>
      <c r="B8609" s="0" t="n">
        <v>2716183</v>
      </c>
      <c r="C8609" s="0" t="n">
        <v>2716203</v>
      </c>
      <c r="D8609" s="0" t="s">
        <v>28642</v>
      </c>
      <c r="E8609" s="0" t="s">
        <v>75</v>
      </c>
      <c r="F8609" s="0" t="s">
        <v>15</v>
      </c>
      <c r="G8609" s="0" t="s">
        <v>20</v>
      </c>
      <c r="H8609" s="0" t="n">
        <v>65</v>
      </c>
      <c r="I8609" s="0" t="s">
        <v>28646</v>
      </c>
      <c r="J8609" s="0" t="s">
        <v>28647</v>
      </c>
      <c r="K8609" s="0" t="s">
        <v>28648</v>
      </c>
      <c r="L8609" s="0" t="str">
        <f aca="false">HYPERLINK("https://www.ncbi.nlm.nih.gov/nuccore/CP000058.1?report=graph&amp;tracks=[key:gene_model_track,Options:GeneOnly]&amp;mk=2716156:2716175|offset_37|444444,2716184:2716203|offset_65|00cc00,2716216:2716235|offset_97|444444,2716240:2716259|offset_121|444444&amp;v=2715955:2716459&amp;c=444444", "offset 65")</f>
        <v>offset 65</v>
      </c>
    </row>
    <row r="8610" customFormat="false" ht="12.8" hidden="false" customHeight="false" outlineLevel="0" collapsed="false">
      <c r="A8610" s="0" t="s">
        <v>12</v>
      </c>
      <c r="B8610" s="0" t="n">
        <v>2716215</v>
      </c>
      <c r="C8610" s="0" t="n">
        <v>2716235</v>
      </c>
      <c r="D8610" s="0" t="s">
        <v>28642</v>
      </c>
      <c r="E8610" s="0" t="s">
        <v>75</v>
      </c>
      <c r="F8610" s="0" t="s">
        <v>15</v>
      </c>
      <c r="G8610" s="0" t="s">
        <v>16</v>
      </c>
      <c r="H8610" s="0" t="n">
        <v>97</v>
      </c>
      <c r="I8610" s="0" t="s">
        <v>28649</v>
      </c>
      <c r="J8610" s="0" t="s">
        <v>28650</v>
      </c>
      <c r="K8610" s="0" t="s">
        <v>28651</v>
      </c>
      <c r="L8610" s="0" t="str">
        <f aca="false">HYPERLINK("https://www.ncbi.nlm.nih.gov/nuccore/CP000058.1?report=graph&amp;tracks=[key:gene_model_track,Options:GeneOnly]&amp;mk=2716156:2716175|offset_37|444444,2716184:2716203|offset_65|444444,2716216:2716235|offset_97|00cc00,2716240:2716259|offset_121|444444&amp;v=2715955:2716459&amp;c=444444", "offset 97")</f>
        <v>offset 97</v>
      </c>
    </row>
    <row r="8611" customFormat="false" ht="12.8" hidden="false" customHeight="false" outlineLevel="0" collapsed="false">
      <c r="A8611" s="0" t="s">
        <v>12</v>
      </c>
      <c r="B8611" s="0" t="n">
        <v>2716239</v>
      </c>
      <c r="C8611" s="0" t="n">
        <v>2716259</v>
      </c>
      <c r="D8611" s="0" t="s">
        <v>28642</v>
      </c>
      <c r="E8611" s="0" t="s">
        <v>75</v>
      </c>
      <c r="F8611" s="0" t="s">
        <v>15</v>
      </c>
      <c r="G8611" s="0" t="s">
        <v>16</v>
      </c>
      <c r="H8611" s="0" t="n">
        <v>121</v>
      </c>
      <c r="I8611" s="0" t="s">
        <v>28652</v>
      </c>
      <c r="J8611" s="0" t="s">
        <v>28653</v>
      </c>
      <c r="K8611" s="0" t="s">
        <v>28654</v>
      </c>
      <c r="L8611" s="0" t="str">
        <f aca="false">HYPERLINK("https://www.ncbi.nlm.nih.gov/nuccore/CP000058.1?report=graph&amp;tracks=[key:gene_model_track,Options:GeneOnly]&amp;mk=2716156:2716175|offset_37|444444,2716184:2716203|offset_65|444444,2716216:2716235|offset_97|444444,2716240:2716259|offset_121|00cc00&amp;v=2715955:2716459&amp;c=444444", "offset 121")</f>
        <v>offset 121</v>
      </c>
    </row>
    <row r="8612" customFormat="false" ht="12.8" hidden="false" customHeight="false" outlineLevel="0" collapsed="false">
      <c r="A8612" s="0" t="s">
        <v>12</v>
      </c>
      <c r="B8612" s="0" t="n">
        <v>2717353</v>
      </c>
      <c r="C8612" s="0" t="n">
        <v>2717373</v>
      </c>
      <c r="D8612" s="0" t="s">
        <v>28655</v>
      </c>
      <c r="E8612" s="0" t="s">
        <v>75</v>
      </c>
      <c r="F8612" s="0" t="s">
        <v>90</v>
      </c>
      <c r="G8612" s="0" t="s">
        <v>32</v>
      </c>
      <c r="H8612" s="0" t="n">
        <v>19</v>
      </c>
      <c r="I8612" s="0" t="s">
        <v>28656</v>
      </c>
      <c r="J8612" s="0" t="s">
        <v>28657</v>
      </c>
      <c r="K8612" s="0" t="s">
        <v>28658</v>
      </c>
      <c r="L8612" s="0" t="str">
        <f aca="false">HYPERLINK("https://www.ncbi.nlm.nih.gov/nuccore/CP000058.1?report=graph&amp;tracks=[key:gene_model_track,Options:GeneOnly]&amp;mk=2717354:2717373|offset_19|00cc00,2717319:2717338|offset_54|444444,2717282:2717301|offset_91|444444&amp;v=2717153:2717501&amp;c=444444", "offset 19")</f>
        <v>offset 19</v>
      </c>
    </row>
    <row r="8613" customFormat="false" ht="12.8" hidden="false" customHeight="false" outlineLevel="0" collapsed="false">
      <c r="A8613" s="0" t="s">
        <v>12</v>
      </c>
      <c r="B8613" s="0" t="n">
        <v>2717318</v>
      </c>
      <c r="C8613" s="0" t="n">
        <v>2717338</v>
      </c>
      <c r="D8613" s="0" t="s">
        <v>28655</v>
      </c>
      <c r="E8613" s="0" t="s">
        <v>75</v>
      </c>
      <c r="F8613" s="0" t="s">
        <v>90</v>
      </c>
      <c r="G8613" s="0" t="s">
        <v>16</v>
      </c>
      <c r="H8613" s="0" t="n">
        <v>54</v>
      </c>
      <c r="I8613" s="0" t="s">
        <v>28659</v>
      </c>
      <c r="J8613" s="0" t="s">
        <v>28660</v>
      </c>
      <c r="K8613" s="0" t="s">
        <v>28661</v>
      </c>
      <c r="L8613" s="0" t="str">
        <f aca="false">HYPERLINK("https://www.ncbi.nlm.nih.gov/nuccore/CP000058.1?report=graph&amp;tracks=[key:gene_model_track,Options:GeneOnly]&amp;mk=2717354:2717373|offset_19|444444,2717319:2717338|offset_54|00cc00,2717282:2717301|offset_91|444444&amp;v=2717153:2717501&amp;c=444444", "offset 54")</f>
        <v>offset 54</v>
      </c>
    </row>
    <row r="8614" customFormat="false" ht="12.8" hidden="false" customHeight="false" outlineLevel="0" collapsed="false">
      <c r="A8614" s="0" t="s">
        <v>12</v>
      </c>
      <c r="B8614" s="0" t="n">
        <v>2717281</v>
      </c>
      <c r="C8614" s="0" t="n">
        <v>2717301</v>
      </c>
      <c r="D8614" s="0" t="s">
        <v>28655</v>
      </c>
      <c r="E8614" s="0" t="s">
        <v>75</v>
      </c>
      <c r="F8614" s="0" t="s">
        <v>90</v>
      </c>
      <c r="G8614" s="0" t="s">
        <v>16</v>
      </c>
      <c r="H8614" s="0" t="n">
        <v>91</v>
      </c>
      <c r="I8614" s="0" t="s">
        <v>28662</v>
      </c>
      <c r="J8614" s="0" t="s">
        <v>28663</v>
      </c>
      <c r="K8614" s="0" t="s">
        <v>28664</v>
      </c>
      <c r="L8614" s="0" t="str">
        <f aca="false">HYPERLINK("https://www.ncbi.nlm.nih.gov/nuccore/CP000058.1?report=graph&amp;tracks=[key:gene_model_track,Options:GeneOnly]&amp;mk=2717354:2717373|offset_19|444444,2717319:2717338|offset_54|444444,2717282:2717301|offset_91|00cc00&amp;v=2717153:2717501&amp;c=444444", "offset 91")</f>
        <v>offset 91</v>
      </c>
    </row>
    <row r="8615" customFormat="false" ht="12.8" hidden="false" customHeight="false" outlineLevel="0" collapsed="false">
      <c r="A8615" s="0" t="s">
        <v>12</v>
      </c>
      <c r="B8615" s="0" t="n">
        <v>2717417</v>
      </c>
      <c r="C8615" s="0" t="n">
        <v>2717437</v>
      </c>
      <c r="D8615" s="0" t="s">
        <v>28665</v>
      </c>
      <c r="E8615" s="0" t="s">
        <v>75</v>
      </c>
      <c r="F8615" s="0" t="s">
        <v>15</v>
      </c>
      <c r="G8615" s="0" t="s">
        <v>16</v>
      </c>
      <c r="H8615" s="0" t="n">
        <v>31</v>
      </c>
      <c r="I8615" s="0" t="s">
        <v>28666</v>
      </c>
      <c r="J8615" s="0" t="s">
        <v>28667</v>
      </c>
      <c r="K8615" s="0" t="s">
        <v>28668</v>
      </c>
      <c r="L8615" s="0" t="str">
        <f aca="false">HYPERLINK("https://www.ncbi.nlm.nih.gov/nuccore/CP000058.1?report=graph&amp;tracks=[key:gene_model_track,Options:GeneOnly]&amp;mk=2717418:2717437|offset_31|00cc00,2717457:2717476|offset_70|444444,2717510:2717529|offset_123|444444,2717540:2717559|offset_153|444444&amp;v=2717217:2717759&amp;c=444444", "offset 31")</f>
        <v>offset 31</v>
      </c>
    </row>
    <row r="8616" customFormat="false" ht="12.8" hidden="false" customHeight="false" outlineLevel="0" collapsed="false">
      <c r="A8616" s="0" t="s">
        <v>12</v>
      </c>
      <c r="B8616" s="0" t="n">
        <v>2717456</v>
      </c>
      <c r="C8616" s="0" t="n">
        <v>2717476</v>
      </c>
      <c r="D8616" s="0" t="s">
        <v>28665</v>
      </c>
      <c r="E8616" s="0" t="s">
        <v>75</v>
      </c>
      <c r="F8616" s="0" t="s">
        <v>15</v>
      </c>
      <c r="G8616" s="0" t="s">
        <v>32</v>
      </c>
      <c r="H8616" s="0" t="n">
        <v>70</v>
      </c>
      <c r="I8616" s="0" t="s">
        <v>28669</v>
      </c>
      <c r="J8616" s="0" t="s">
        <v>28670</v>
      </c>
      <c r="K8616" s="0" t="s">
        <v>28671</v>
      </c>
      <c r="L8616" s="0" t="str">
        <f aca="false">HYPERLINK("https://www.ncbi.nlm.nih.gov/nuccore/CP000058.1?report=graph&amp;tracks=[key:gene_model_track,Options:GeneOnly]&amp;mk=2717418:2717437|offset_31|444444,2717457:2717476|offset_70|00cc00,2717510:2717529|offset_123|444444,2717540:2717559|offset_153|444444&amp;v=2717217:2717759&amp;c=444444", "offset 70")</f>
        <v>offset 70</v>
      </c>
    </row>
    <row r="8617" customFormat="false" ht="12.8" hidden="false" customHeight="false" outlineLevel="0" collapsed="false">
      <c r="A8617" s="0" t="s">
        <v>12</v>
      </c>
      <c r="B8617" s="0" t="n">
        <v>2717509</v>
      </c>
      <c r="C8617" s="0" t="n">
        <v>2717529</v>
      </c>
      <c r="D8617" s="0" t="s">
        <v>28665</v>
      </c>
      <c r="E8617" s="0" t="s">
        <v>75</v>
      </c>
      <c r="F8617" s="0" t="s">
        <v>15</v>
      </c>
      <c r="G8617" s="0" t="s">
        <v>36</v>
      </c>
      <c r="H8617" s="0" t="n">
        <v>123</v>
      </c>
      <c r="I8617" s="0" t="s">
        <v>28672</v>
      </c>
      <c r="J8617" s="0" t="s">
        <v>28673</v>
      </c>
      <c r="K8617" s="0" t="s">
        <v>28674</v>
      </c>
      <c r="L8617" s="0" t="str">
        <f aca="false">HYPERLINK("https://www.ncbi.nlm.nih.gov/nuccore/CP000058.1?report=graph&amp;tracks=[key:gene_model_track,Options:GeneOnly]&amp;mk=2717418:2717437|offset_31|444444,2717457:2717476|offset_70|444444,2717510:2717529|offset_123|00cc00,2717540:2717559|offset_153|444444&amp;v=2717217:2717759&amp;c=444444", "offset 123")</f>
        <v>offset 123</v>
      </c>
    </row>
    <row r="8618" customFormat="false" ht="12.8" hidden="false" customHeight="false" outlineLevel="0" collapsed="false">
      <c r="A8618" s="0" t="s">
        <v>12</v>
      </c>
      <c r="B8618" s="0" t="n">
        <v>2717539</v>
      </c>
      <c r="C8618" s="0" t="n">
        <v>2717559</v>
      </c>
      <c r="D8618" s="0" t="s">
        <v>28665</v>
      </c>
      <c r="E8618" s="0" t="s">
        <v>75</v>
      </c>
      <c r="F8618" s="0" t="s">
        <v>15</v>
      </c>
      <c r="G8618" s="0" t="s">
        <v>36</v>
      </c>
      <c r="H8618" s="0" t="n">
        <v>153</v>
      </c>
      <c r="I8618" s="0" t="s">
        <v>28675</v>
      </c>
      <c r="J8618" s="0" t="s">
        <v>28676</v>
      </c>
      <c r="K8618" s="0" t="s">
        <v>28677</v>
      </c>
      <c r="L8618" s="0" t="str">
        <f aca="false">HYPERLINK("https://www.ncbi.nlm.nih.gov/nuccore/CP000058.1?report=graph&amp;tracks=[key:gene_model_track,Options:GeneOnly]&amp;mk=2717418:2717437|offset_31|444444,2717457:2717476|offset_70|444444,2717510:2717529|offset_123|444444,2717540:2717559|offset_153|00cc00&amp;v=2717217:2717759&amp;c=444444", "offset 153")</f>
        <v>offset 153</v>
      </c>
    </row>
    <row r="8619" customFormat="false" ht="12.8" hidden="false" customHeight="false" outlineLevel="0" collapsed="false">
      <c r="A8619" s="0" t="s">
        <v>12</v>
      </c>
      <c r="B8619" s="0" t="n">
        <v>2721091</v>
      </c>
      <c r="C8619" s="0" t="n">
        <v>2721111</v>
      </c>
      <c r="D8619" s="0" t="s">
        <v>28678</v>
      </c>
      <c r="E8619" s="0" t="s">
        <v>75</v>
      </c>
      <c r="F8619" s="0" t="s">
        <v>15</v>
      </c>
      <c r="G8619" s="0" t="s">
        <v>36</v>
      </c>
      <c r="H8619" s="0" t="n">
        <v>6</v>
      </c>
      <c r="I8619" s="0" t="s">
        <v>28679</v>
      </c>
      <c r="J8619" s="0" t="s">
        <v>28680</v>
      </c>
      <c r="K8619" s="0" t="s">
        <v>28681</v>
      </c>
      <c r="L8619" s="0" t="str">
        <f aca="false">HYPERLINK("https://www.ncbi.nlm.nih.gov/nuccore/CP000058.1?report=graph&amp;tracks=[key:gene_model_track,Options:GeneOnly]&amp;mk=2721092:2721111|offset_6|00cc00,2721129:2721148|offset_43|444444,2721154:2721173|offset_68|444444,2721194:2721213|offset_108|444444&amp;v=2720891:2721413&amp;c=444444", "offset 6")</f>
        <v>offset 6</v>
      </c>
    </row>
    <row r="8620" customFormat="false" ht="12.8" hidden="false" customHeight="false" outlineLevel="0" collapsed="false">
      <c r="A8620" s="0" t="s">
        <v>12</v>
      </c>
      <c r="B8620" s="0" t="n">
        <v>2721128</v>
      </c>
      <c r="C8620" s="0" t="n">
        <v>2721148</v>
      </c>
      <c r="D8620" s="0" t="s">
        <v>28678</v>
      </c>
      <c r="E8620" s="0" t="s">
        <v>75</v>
      </c>
      <c r="F8620" s="0" t="s">
        <v>15</v>
      </c>
      <c r="G8620" s="0" t="s">
        <v>32</v>
      </c>
      <c r="H8620" s="0" t="n">
        <v>43</v>
      </c>
      <c r="I8620" s="0" t="s">
        <v>28682</v>
      </c>
      <c r="J8620" s="0" t="s">
        <v>28683</v>
      </c>
      <c r="K8620" s="0" t="s">
        <v>28684</v>
      </c>
      <c r="L8620" s="0" t="str">
        <f aca="false">HYPERLINK("https://www.ncbi.nlm.nih.gov/nuccore/CP000058.1?report=graph&amp;tracks=[key:gene_model_track,Options:GeneOnly]&amp;mk=2721092:2721111|offset_6|444444,2721129:2721148|offset_43|00cc00,2721154:2721173|offset_68|444444,2721194:2721213|offset_108|444444&amp;v=2720891:2721413&amp;c=444444", "offset 43")</f>
        <v>offset 43</v>
      </c>
    </row>
    <row r="8621" customFormat="false" ht="12.8" hidden="false" customHeight="false" outlineLevel="0" collapsed="false">
      <c r="A8621" s="0" t="s">
        <v>12</v>
      </c>
      <c r="B8621" s="0" t="n">
        <v>2721153</v>
      </c>
      <c r="C8621" s="0" t="n">
        <v>2721173</v>
      </c>
      <c r="D8621" s="0" t="s">
        <v>28678</v>
      </c>
      <c r="E8621" s="0" t="s">
        <v>75</v>
      </c>
      <c r="F8621" s="0" t="s">
        <v>15</v>
      </c>
      <c r="G8621" s="0" t="s">
        <v>16</v>
      </c>
      <c r="H8621" s="0" t="n">
        <v>68</v>
      </c>
      <c r="I8621" s="0" t="s">
        <v>28685</v>
      </c>
      <c r="J8621" s="0" t="s">
        <v>28686</v>
      </c>
      <c r="K8621" s="0" t="s">
        <v>28687</v>
      </c>
      <c r="L8621" s="0" t="str">
        <f aca="false">HYPERLINK("https://www.ncbi.nlm.nih.gov/nuccore/CP000058.1?report=graph&amp;tracks=[key:gene_model_track,Options:GeneOnly]&amp;mk=2721092:2721111|offset_6|444444,2721129:2721148|offset_43|444444,2721154:2721173|offset_68|00cc00,2721194:2721213|offset_108|444444&amp;v=2720891:2721413&amp;c=444444", "offset 68")</f>
        <v>offset 68</v>
      </c>
    </row>
    <row r="8622" customFormat="false" ht="12.8" hidden="false" customHeight="false" outlineLevel="0" collapsed="false">
      <c r="A8622" s="0" t="s">
        <v>12</v>
      </c>
      <c r="B8622" s="0" t="n">
        <v>2721193</v>
      </c>
      <c r="C8622" s="0" t="n">
        <v>2721213</v>
      </c>
      <c r="D8622" s="0" t="s">
        <v>28678</v>
      </c>
      <c r="E8622" s="0" t="s">
        <v>75</v>
      </c>
      <c r="F8622" s="0" t="s">
        <v>15</v>
      </c>
      <c r="G8622" s="0" t="s">
        <v>36</v>
      </c>
      <c r="H8622" s="0" t="n">
        <v>108</v>
      </c>
      <c r="I8622" s="0" t="s">
        <v>28688</v>
      </c>
      <c r="J8622" s="0" t="s">
        <v>28689</v>
      </c>
      <c r="K8622" s="0" t="s">
        <v>28690</v>
      </c>
      <c r="L8622" s="0" t="str">
        <f aca="false">HYPERLINK("https://www.ncbi.nlm.nih.gov/nuccore/CP000058.1?report=graph&amp;tracks=[key:gene_model_track,Options:GeneOnly]&amp;mk=2721092:2721111|offset_6|444444,2721129:2721148|offset_43|444444,2721154:2721173|offset_68|444444,2721194:2721213|offset_108|00cc00&amp;v=2720891:2721413&amp;c=444444", "offset 108")</f>
        <v>offset 108</v>
      </c>
    </row>
    <row r="8623" customFormat="false" ht="12.8" hidden="false" customHeight="false" outlineLevel="0" collapsed="false">
      <c r="A8623" s="0" t="s">
        <v>12</v>
      </c>
      <c r="B8623" s="0" t="n">
        <v>2722065</v>
      </c>
      <c r="C8623" s="0" t="n">
        <v>2722085</v>
      </c>
      <c r="D8623" s="0" t="s">
        <v>28691</v>
      </c>
      <c r="E8623" s="0" t="s">
        <v>75</v>
      </c>
      <c r="F8623" s="0" t="s">
        <v>15</v>
      </c>
      <c r="G8623" s="0" t="s">
        <v>20</v>
      </c>
      <c r="H8623" s="0" t="n">
        <v>13</v>
      </c>
      <c r="I8623" s="0" t="s">
        <v>28692</v>
      </c>
      <c r="J8623" s="0" t="s">
        <v>28693</v>
      </c>
      <c r="K8623" s="0" t="s">
        <v>28694</v>
      </c>
      <c r="L8623" s="0" t="str">
        <f aca="false">HYPERLINK("https://www.ncbi.nlm.nih.gov/nuccore/CP000058.1?report=graph&amp;tracks=[key:gene_model_track,Options:GeneOnly]&amp;mk=2722066:2722085|offset_13|00cc00,2722100:2722119|offset_47|444444,2722127:2722146|offset_74|444444,2722151:2722170|offset_98|444444&amp;v=2721865:2722370&amp;c=444444", "offset 13")</f>
        <v>offset 13</v>
      </c>
    </row>
    <row r="8624" customFormat="false" ht="12.8" hidden="false" customHeight="false" outlineLevel="0" collapsed="false">
      <c r="A8624" s="0" t="s">
        <v>12</v>
      </c>
      <c r="B8624" s="0" t="n">
        <v>2722099</v>
      </c>
      <c r="C8624" s="0" t="n">
        <v>2722119</v>
      </c>
      <c r="D8624" s="0" t="s">
        <v>28691</v>
      </c>
      <c r="E8624" s="0" t="s">
        <v>75</v>
      </c>
      <c r="F8624" s="0" t="s">
        <v>15</v>
      </c>
      <c r="G8624" s="0" t="s">
        <v>32</v>
      </c>
      <c r="H8624" s="0" t="n">
        <v>47</v>
      </c>
      <c r="I8624" s="0" t="s">
        <v>28695</v>
      </c>
      <c r="J8624" s="0" t="s">
        <v>28696</v>
      </c>
      <c r="K8624" s="0" t="s">
        <v>28697</v>
      </c>
      <c r="L8624" s="0" t="str">
        <f aca="false">HYPERLINK("https://www.ncbi.nlm.nih.gov/nuccore/CP000058.1?report=graph&amp;tracks=[key:gene_model_track,Options:GeneOnly]&amp;mk=2722066:2722085|offset_13|444444,2722100:2722119|offset_47|00cc00,2722127:2722146|offset_74|444444,2722151:2722170|offset_98|444444&amp;v=2721865:2722370&amp;c=444444", "offset 47")</f>
        <v>offset 47</v>
      </c>
    </row>
    <row r="8625" customFormat="false" ht="12.8" hidden="false" customHeight="false" outlineLevel="0" collapsed="false">
      <c r="A8625" s="0" t="s">
        <v>12</v>
      </c>
      <c r="B8625" s="0" t="n">
        <v>2722126</v>
      </c>
      <c r="C8625" s="0" t="n">
        <v>2722146</v>
      </c>
      <c r="D8625" s="0" t="s">
        <v>28691</v>
      </c>
      <c r="E8625" s="0" t="s">
        <v>75</v>
      </c>
      <c r="F8625" s="0" t="s">
        <v>15</v>
      </c>
      <c r="G8625" s="0" t="s">
        <v>32</v>
      </c>
      <c r="H8625" s="0" t="n">
        <v>74</v>
      </c>
      <c r="I8625" s="0" t="s">
        <v>28698</v>
      </c>
      <c r="J8625" s="0" t="s">
        <v>28699</v>
      </c>
      <c r="K8625" s="0" t="s">
        <v>28700</v>
      </c>
      <c r="L8625" s="0" t="str">
        <f aca="false">HYPERLINK("https://www.ncbi.nlm.nih.gov/nuccore/CP000058.1?report=graph&amp;tracks=[key:gene_model_track,Options:GeneOnly]&amp;mk=2722066:2722085|offset_13|444444,2722100:2722119|offset_47|444444,2722127:2722146|offset_74|00cc00,2722151:2722170|offset_98|444444&amp;v=2721865:2722370&amp;c=444444", "offset 74")</f>
        <v>offset 74</v>
      </c>
    </row>
    <row r="8626" customFormat="false" ht="12.8" hidden="false" customHeight="false" outlineLevel="0" collapsed="false">
      <c r="A8626" s="0" t="s">
        <v>12</v>
      </c>
      <c r="B8626" s="0" t="n">
        <v>2722150</v>
      </c>
      <c r="C8626" s="0" t="n">
        <v>2722170</v>
      </c>
      <c r="D8626" s="0" t="s">
        <v>28691</v>
      </c>
      <c r="E8626" s="0" t="s">
        <v>75</v>
      </c>
      <c r="F8626" s="0" t="s">
        <v>15</v>
      </c>
      <c r="G8626" s="0" t="s">
        <v>20</v>
      </c>
      <c r="H8626" s="0" t="n">
        <v>98</v>
      </c>
      <c r="I8626" s="0" t="s">
        <v>28701</v>
      </c>
      <c r="J8626" s="0" t="s">
        <v>28702</v>
      </c>
      <c r="K8626" s="0" t="s">
        <v>28703</v>
      </c>
      <c r="L8626" s="0" t="str">
        <f aca="false">HYPERLINK("https://www.ncbi.nlm.nih.gov/nuccore/CP000058.1?report=graph&amp;tracks=[key:gene_model_track,Options:GeneOnly]&amp;mk=2722066:2722085|offset_13|444444,2722100:2722119|offset_47|444444,2722127:2722146|offset_74|444444,2722151:2722170|offset_98|00cc00&amp;v=2721865:2722370&amp;c=444444", "offset 98")</f>
        <v>offset 98</v>
      </c>
    </row>
    <row r="8627" customFormat="false" ht="12.8" hidden="false" customHeight="false" outlineLevel="0" collapsed="false">
      <c r="A8627" s="0" t="s">
        <v>12</v>
      </c>
      <c r="B8627" s="0" t="n">
        <v>2723838</v>
      </c>
      <c r="C8627" s="0" t="n">
        <v>2723858</v>
      </c>
      <c r="D8627" s="0" t="s">
        <v>28704</v>
      </c>
      <c r="E8627" s="0" t="s">
        <v>75</v>
      </c>
      <c r="F8627" s="0" t="s">
        <v>15</v>
      </c>
      <c r="G8627" s="0" t="s">
        <v>32</v>
      </c>
      <c r="H8627" s="0" t="n">
        <v>31</v>
      </c>
      <c r="I8627" s="0" t="s">
        <v>28705</v>
      </c>
      <c r="J8627" s="0" t="s">
        <v>28706</v>
      </c>
      <c r="K8627" s="0" t="s">
        <v>28707</v>
      </c>
      <c r="L8627" s="0" t="str">
        <f aca="false">HYPERLINK("https://www.ncbi.nlm.nih.gov/nuccore/CP000058.1?report=graph&amp;tracks=[key:gene_model_track,Options:GeneOnly]&amp;mk=2723839:2723858|offset_31|00cc00,2723904:2723923|offset_96|444444,2723928:2723947|offset_120|444444,2723983:2724002|offset_175|444444&amp;v=2723638:2724202&amp;c=444444", "offset 31")</f>
        <v>offset 31</v>
      </c>
    </row>
    <row r="8628" customFormat="false" ht="12.8" hidden="false" customHeight="false" outlineLevel="0" collapsed="false">
      <c r="A8628" s="0" t="s">
        <v>12</v>
      </c>
      <c r="B8628" s="0" t="n">
        <v>2723903</v>
      </c>
      <c r="C8628" s="0" t="n">
        <v>2723923</v>
      </c>
      <c r="D8628" s="0" t="s">
        <v>28704</v>
      </c>
      <c r="E8628" s="0" t="s">
        <v>75</v>
      </c>
      <c r="F8628" s="0" t="s">
        <v>15</v>
      </c>
      <c r="G8628" s="0" t="s">
        <v>20</v>
      </c>
      <c r="H8628" s="0" t="n">
        <v>96</v>
      </c>
      <c r="I8628" s="0" t="s">
        <v>28708</v>
      </c>
      <c r="J8628" s="0" t="s">
        <v>28709</v>
      </c>
      <c r="K8628" s="0" t="s">
        <v>28710</v>
      </c>
      <c r="L8628" s="0" t="str">
        <f aca="false">HYPERLINK("https://www.ncbi.nlm.nih.gov/nuccore/CP000058.1?report=graph&amp;tracks=[key:gene_model_track,Options:GeneOnly]&amp;mk=2723839:2723858|offset_31|444444,2723904:2723923|offset_96|00cc00,2723928:2723947|offset_120|444444,2723983:2724002|offset_175|444444&amp;v=2723638:2724202&amp;c=444444", "offset 96")</f>
        <v>offset 96</v>
      </c>
    </row>
    <row r="8629" customFormat="false" ht="12.8" hidden="false" customHeight="false" outlineLevel="0" collapsed="false">
      <c r="A8629" s="0" t="s">
        <v>12</v>
      </c>
      <c r="B8629" s="0" t="n">
        <v>2723927</v>
      </c>
      <c r="C8629" s="0" t="n">
        <v>2723947</v>
      </c>
      <c r="D8629" s="0" t="s">
        <v>28704</v>
      </c>
      <c r="E8629" s="0" t="s">
        <v>75</v>
      </c>
      <c r="F8629" s="0" t="s">
        <v>15</v>
      </c>
      <c r="G8629" s="0" t="s">
        <v>20</v>
      </c>
      <c r="H8629" s="0" t="n">
        <v>120</v>
      </c>
      <c r="I8629" s="0" t="s">
        <v>28711</v>
      </c>
      <c r="J8629" s="0" t="s">
        <v>28712</v>
      </c>
      <c r="K8629" s="0" t="s">
        <v>28713</v>
      </c>
      <c r="L8629" s="0" t="str">
        <f aca="false">HYPERLINK("https://www.ncbi.nlm.nih.gov/nuccore/CP000058.1?report=graph&amp;tracks=[key:gene_model_track,Options:GeneOnly]&amp;mk=2723839:2723858|offset_31|444444,2723904:2723923|offset_96|444444,2723928:2723947|offset_120|00cc00,2723983:2724002|offset_175|444444&amp;v=2723638:2724202&amp;c=444444", "offset 120")</f>
        <v>offset 120</v>
      </c>
    </row>
    <row r="8630" customFormat="false" ht="12.8" hidden="false" customHeight="false" outlineLevel="0" collapsed="false">
      <c r="A8630" s="0" t="s">
        <v>12</v>
      </c>
      <c r="B8630" s="0" t="n">
        <v>2723982</v>
      </c>
      <c r="C8630" s="0" t="n">
        <v>2724002</v>
      </c>
      <c r="D8630" s="0" t="s">
        <v>28704</v>
      </c>
      <c r="E8630" s="0" t="s">
        <v>75</v>
      </c>
      <c r="F8630" s="0" t="s">
        <v>15</v>
      </c>
      <c r="G8630" s="0" t="s">
        <v>16</v>
      </c>
      <c r="H8630" s="0" t="n">
        <v>175</v>
      </c>
      <c r="I8630" s="0" t="s">
        <v>28714</v>
      </c>
      <c r="J8630" s="0" t="s">
        <v>28715</v>
      </c>
      <c r="K8630" s="0" t="s">
        <v>28716</v>
      </c>
      <c r="L8630" s="0" t="str">
        <f aca="false">HYPERLINK("https://www.ncbi.nlm.nih.gov/nuccore/CP000058.1?report=graph&amp;tracks=[key:gene_model_track,Options:GeneOnly]&amp;mk=2723839:2723858|offset_31|444444,2723904:2723923|offset_96|444444,2723928:2723947|offset_120|444444,2723983:2724002|offset_175|00cc00&amp;v=2723638:2724202&amp;c=444444", "offset 175")</f>
        <v>offset 175</v>
      </c>
    </row>
    <row r="8631" customFormat="false" ht="12.8" hidden="false" customHeight="false" outlineLevel="0" collapsed="false">
      <c r="A8631" s="0" t="s">
        <v>12</v>
      </c>
      <c r="B8631" s="0" t="n">
        <v>2727073</v>
      </c>
      <c r="C8631" s="0" t="n">
        <v>2727093</v>
      </c>
      <c r="D8631" s="0" t="s">
        <v>28717</v>
      </c>
      <c r="E8631" s="0" t="s">
        <v>28718</v>
      </c>
      <c r="F8631" s="0" t="s">
        <v>90</v>
      </c>
      <c r="G8631" s="0" t="s">
        <v>32</v>
      </c>
      <c r="H8631" s="0" t="n">
        <v>0</v>
      </c>
      <c r="I8631" s="0" t="s">
        <v>28719</v>
      </c>
      <c r="J8631" s="0" t="s">
        <v>28720</v>
      </c>
      <c r="K8631" s="0" t="s">
        <v>28721</v>
      </c>
      <c r="L8631" s="0" t="str">
        <f aca="false">HYPERLINK("https://www.ncbi.nlm.nih.gov/nuccore/CP000058.1?report=graph&amp;tracks=[key:gene_model_track,Options:GeneOnly]&amp;mk=2727074:2727093|offset_0|00cc00,2727041:2727060|offset_33|444444,2727020:2727039|offset_54|444444,2726995:2727014|offset_79|444444&amp;v=2726873:2727214&amp;c=444444", "offset 0")</f>
        <v>offset 0</v>
      </c>
    </row>
    <row r="8632" customFormat="false" ht="12.8" hidden="false" customHeight="false" outlineLevel="0" collapsed="false">
      <c r="A8632" s="0" t="s">
        <v>12</v>
      </c>
      <c r="B8632" s="0" t="n">
        <v>2727040</v>
      </c>
      <c r="C8632" s="0" t="n">
        <v>2727060</v>
      </c>
      <c r="D8632" s="0" t="s">
        <v>28717</v>
      </c>
      <c r="E8632" s="0" t="s">
        <v>28718</v>
      </c>
      <c r="F8632" s="0" t="s">
        <v>90</v>
      </c>
      <c r="G8632" s="0" t="s">
        <v>32</v>
      </c>
      <c r="H8632" s="0" t="n">
        <v>33</v>
      </c>
      <c r="I8632" s="0" t="s">
        <v>28722</v>
      </c>
      <c r="J8632" s="0" t="s">
        <v>28723</v>
      </c>
      <c r="K8632" s="0" t="s">
        <v>28724</v>
      </c>
      <c r="L8632" s="0" t="str">
        <f aca="false">HYPERLINK("https://www.ncbi.nlm.nih.gov/nuccore/CP000058.1?report=graph&amp;tracks=[key:gene_model_track,Options:GeneOnly]&amp;mk=2727074:2727093|offset_0|444444,2727041:2727060|offset_33|00cc00,2727020:2727039|offset_54|444444,2726995:2727014|offset_79|444444&amp;v=2726873:2727214&amp;c=444444", "offset 33")</f>
        <v>offset 33</v>
      </c>
    </row>
    <row r="8633" customFormat="false" ht="12.8" hidden="false" customHeight="false" outlineLevel="0" collapsed="false">
      <c r="A8633" s="0" t="s">
        <v>12</v>
      </c>
      <c r="B8633" s="0" t="n">
        <v>2727019</v>
      </c>
      <c r="C8633" s="0" t="n">
        <v>2727039</v>
      </c>
      <c r="D8633" s="0" t="s">
        <v>28717</v>
      </c>
      <c r="E8633" s="0" t="s">
        <v>28718</v>
      </c>
      <c r="F8633" s="0" t="s">
        <v>90</v>
      </c>
      <c r="G8633" s="0" t="s">
        <v>32</v>
      </c>
      <c r="H8633" s="0" t="n">
        <v>54</v>
      </c>
      <c r="I8633" s="0" t="s">
        <v>28725</v>
      </c>
      <c r="J8633" s="0" t="s">
        <v>28726</v>
      </c>
      <c r="K8633" s="0" t="s">
        <v>28727</v>
      </c>
      <c r="L8633" s="0" t="str">
        <f aca="false">HYPERLINK("https://www.ncbi.nlm.nih.gov/nuccore/CP000058.1?report=graph&amp;tracks=[key:gene_model_track,Options:GeneOnly]&amp;mk=2727074:2727093|offset_0|444444,2727041:2727060|offset_33|444444,2727020:2727039|offset_54|00cc00,2726995:2727014|offset_79|444444&amp;v=2726873:2727214&amp;c=444444", "offset 54")</f>
        <v>offset 54</v>
      </c>
    </row>
    <row r="8634" customFormat="false" ht="12.8" hidden="false" customHeight="false" outlineLevel="0" collapsed="false">
      <c r="A8634" s="0" t="s">
        <v>12</v>
      </c>
      <c r="B8634" s="0" t="n">
        <v>2726994</v>
      </c>
      <c r="C8634" s="0" t="n">
        <v>2727014</v>
      </c>
      <c r="D8634" s="0" t="s">
        <v>28717</v>
      </c>
      <c r="E8634" s="0" t="s">
        <v>28718</v>
      </c>
      <c r="F8634" s="0" t="s">
        <v>90</v>
      </c>
      <c r="G8634" s="0" t="s">
        <v>16</v>
      </c>
      <c r="H8634" s="0" t="n">
        <v>79</v>
      </c>
      <c r="I8634" s="0" t="s">
        <v>28728</v>
      </c>
      <c r="J8634" s="0" t="s">
        <v>28729</v>
      </c>
      <c r="K8634" s="0" t="s">
        <v>28730</v>
      </c>
      <c r="L8634" s="0" t="str">
        <f aca="false">HYPERLINK("https://www.ncbi.nlm.nih.gov/nuccore/CP000058.1?report=graph&amp;tracks=[key:gene_model_track,Options:GeneOnly]&amp;mk=2727074:2727093|offset_0|444444,2727041:2727060|offset_33|444444,2727020:2727039|offset_54|444444,2726995:2727014|offset_79|00cc00&amp;v=2726873:2727214&amp;c=444444", "offset 79")</f>
        <v>offset 79</v>
      </c>
    </row>
    <row r="8635" customFormat="false" ht="12.8" hidden="false" customHeight="false" outlineLevel="0" collapsed="false">
      <c r="A8635" s="0" t="s">
        <v>12</v>
      </c>
      <c r="B8635" s="0" t="n">
        <v>2727554</v>
      </c>
      <c r="C8635" s="0" t="n">
        <v>2727574</v>
      </c>
      <c r="D8635" s="0" t="s">
        <v>28731</v>
      </c>
      <c r="E8635" s="0" t="s">
        <v>28732</v>
      </c>
      <c r="F8635" s="0" t="s">
        <v>90</v>
      </c>
      <c r="G8635" s="0" t="s">
        <v>20</v>
      </c>
      <c r="H8635" s="0" t="n">
        <v>13</v>
      </c>
      <c r="I8635" s="0" t="s">
        <v>28733</v>
      </c>
      <c r="J8635" s="0" t="s">
        <v>28734</v>
      </c>
      <c r="K8635" s="0" t="s">
        <v>28735</v>
      </c>
      <c r="L8635" s="0" t="str">
        <f aca="false">HYPERLINK("https://www.ncbi.nlm.nih.gov/nuccore/CP000058.1?report=graph&amp;tracks=[key:gene_model_track,Options:GeneOnly]&amp;mk=2727555:2727574|offset_13|00cc00,2727513:2727532|offset_55|444444,2727489:2727508|offset_79|444444,2727464:2727483|offset_104|444444&amp;v=2727354:2727683&amp;c=444444", "offset 13")</f>
        <v>offset 13</v>
      </c>
    </row>
    <row r="8636" customFormat="false" ht="12.8" hidden="false" customHeight="false" outlineLevel="0" collapsed="false">
      <c r="A8636" s="0" t="s">
        <v>12</v>
      </c>
      <c r="B8636" s="0" t="n">
        <v>2727512</v>
      </c>
      <c r="C8636" s="0" t="n">
        <v>2727532</v>
      </c>
      <c r="D8636" s="0" t="s">
        <v>28731</v>
      </c>
      <c r="E8636" s="0" t="s">
        <v>28732</v>
      </c>
      <c r="F8636" s="0" t="s">
        <v>90</v>
      </c>
      <c r="G8636" s="0" t="s">
        <v>32</v>
      </c>
      <c r="H8636" s="0" t="n">
        <v>55</v>
      </c>
      <c r="I8636" s="0" t="s">
        <v>28736</v>
      </c>
      <c r="J8636" s="0" t="s">
        <v>28737</v>
      </c>
      <c r="K8636" s="0" t="s">
        <v>28738</v>
      </c>
      <c r="L8636" s="0" t="str">
        <f aca="false">HYPERLINK("https://www.ncbi.nlm.nih.gov/nuccore/CP000058.1?report=graph&amp;tracks=[key:gene_model_track,Options:GeneOnly]&amp;mk=2727555:2727574|offset_13|444444,2727513:2727532|offset_55|00cc00,2727489:2727508|offset_79|444444,2727464:2727483|offset_104|444444&amp;v=2727354:2727683&amp;c=444444", "offset 55")</f>
        <v>offset 55</v>
      </c>
    </row>
    <row r="8637" customFormat="false" ht="12.8" hidden="false" customHeight="false" outlineLevel="0" collapsed="false">
      <c r="A8637" s="0" t="s">
        <v>12</v>
      </c>
      <c r="B8637" s="0" t="n">
        <v>2727488</v>
      </c>
      <c r="C8637" s="0" t="n">
        <v>2727508</v>
      </c>
      <c r="D8637" s="0" t="s">
        <v>28731</v>
      </c>
      <c r="E8637" s="0" t="s">
        <v>28732</v>
      </c>
      <c r="F8637" s="0" t="s">
        <v>90</v>
      </c>
      <c r="G8637" s="0" t="s">
        <v>16</v>
      </c>
      <c r="H8637" s="0" t="n">
        <v>79</v>
      </c>
      <c r="I8637" s="0" t="s">
        <v>28739</v>
      </c>
      <c r="J8637" s="0" t="s">
        <v>28740</v>
      </c>
      <c r="K8637" s="0" t="s">
        <v>28741</v>
      </c>
      <c r="L8637" s="0" t="str">
        <f aca="false">HYPERLINK("https://www.ncbi.nlm.nih.gov/nuccore/CP000058.1?report=graph&amp;tracks=[key:gene_model_track,Options:GeneOnly]&amp;mk=2727555:2727574|offset_13|444444,2727513:2727532|offset_55|444444,2727489:2727508|offset_79|00cc00,2727464:2727483|offset_104|444444&amp;v=2727354:2727683&amp;c=444444", "offset 79")</f>
        <v>offset 79</v>
      </c>
    </row>
    <row r="8638" customFormat="false" ht="12.8" hidden="false" customHeight="false" outlineLevel="0" collapsed="false">
      <c r="A8638" s="0" t="s">
        <v>12</v>
      </c>
      <c r="B8638" s="0" t="n">
        <v>2727463</v>
      </c>
      <c r="C8638" s="0" t="n">
        <v>2727483</v>
      </c>
      <c r="D8638" s="0" t="s">
        <v>28731</v>
      </c>
      <c r="E8638" s="0" t="s">
        <v>28732</v>
      </c>
      <c r="F8638" s="0" t="s">
        <v>90</v>
      </c>
      <c r="G8638" s="0" t="s">
        <v>20</v>
      </c>
      <c r="H8638" s="0" t="n">
        <v>104</v>
      </c>
      <c r="I8638" s="0" t="s">
        <v>28742</v>
      </c>
      <c r="J8638" s="0" t="s">
        <v>28743</v>
      </c>
      <c r="K8638" s="0" t="s">
        <v>28744</v>
      </c>
      <c r="L8638" s="0" t="str">
        <f aca="false">HYPERLINK("https://www.ncbi.nlm.nih.gov/nuccore/CP000058.1?report=graph&amp;tracks=[key:gene_model_track,Options:GeneOnly]&amp;mk=2727555:2727574|offset_13|444444,2727513:2727532|offset_55|444444,2727489:2727508|offset_79|444444,2727464:2727483|offset_104|00cc00&amp;v=2727354:2727683&amp;c=444444", "offset 104")</f>
        <v>offset 104</v>
      </c>
    </row>
    <row r="8639" customFormat="false" ht="12.8" hidden="false" customHeight="false" outlineLevel="0" collapsed="false">
      <c r="A8639" s="0" t="s">
        <v>12</v>
      </c>
      <c r="B8639" s="0" t="n">
        <v>2728839</v>
      </c>
      <c r="C8639" s="0" t="n">
        <v>2728859</v>
      </c>
      <c r="D8639" s="0" t="s">
        <v>28745</v>
      </c>
      <c r="E8639" s="0" t="s">
        <v>28746</v>
      </c>
      <c r="F8639" s="0" t="s">
        <v>90</v>
      </c>
      <c r="G8639" s="0" t="s">
        <v>32</v>
      </c>
      <c r="H8639" s="0" t="n">
        <v>8</v>
      </c>
      <c r="I8639" s="0" t="s">
        <v>28747</v>
      </c>
      <c r="J8639" s="0" t="s">
        <v>28748</v>
      </c>
      <c r="K8639" s="0" t="s">
        <v>28749</v>
      </c>
      <c r="L8639" s="0" t="str">
        <f aca="false">HYPERLINK("https://www.ncbi.nlm.nih.gov/nuccore/CP000058.1?report=graph&amp;tracks=[key:gene_model_track,Options:GeneOnly]&amp;mk=2728840:2728859|offset_8|00cc00,2728820:2728839|offset_28|444444,2728790:2728809|offset_58|444444,2728754:2728773|offset_94|444444&amp;v=2728639:2728973&amp;c=444444", "offset 8")</f>
        <v>offset 8</v>
      </c>
    </row>
    <row r="8640" customFormat="false" ht="12.8" hidden="false" customHeight="false" outlineLevel="0" collapsed="false">
      <c r="A8640" s="0" t="s">
        <v>12</v>
      </c>
      <c r="B8640" s="0" t="n">
        <v>2728819</v>
      </c>
      <c r="C8640" s="0" t="n">
        <v>2728839</v>
      </c>
      <c r="D8640" s="0" t="s">
        <v>28745</v>
      </c>
      <c r="E8640" s="0" t="s">
        <v>28746</v>
      </c>
      <c r="F8640" s="0" t="s">
        <v>90</v>
      </c>
      <c r="G8640" s="0" t="s">
        <v>36</v>
      </c>
      <c r="H8640" s="0" t="n">
        <v>28</v>
      </c>
      <c r="I8640" s="0" t="s">
        <v>28750</v>
      </c>
      <c r="J8640" s="0" t="s">
        <v>28751</v>
      </c>
      <c r="K8640" s="0" t="s">
        <v>28752</v>
      </c>
      <c r="L8640" s="0" t="str">
        <f aca="false">HYPERLINK("https://www.ncbi.nlm.nih.gov/nuccore/CP000058.1?report=graph&amp;tracks=[key:gene_model_track,Options:GeneOnly]&amp;mk=2728840:2728859|offset_8|444444,2728820:2728839|offset_28|00cc00,2728790:2728809|offset_58|444444,2728754:2728773|offset_94|444444&amp;v=2728639:2728973&amp;c=444444", "offset 28")</f>
        <v>offset 28</v>
      </c>
    </row>
    <row r="8641" customFormat="false" ht="12.8" hidden="false" customHeight="false" outlineLevel="0" collapsed="false">
      <c r="A8641" s="0" t="s">
        <v>12</v>
      </c>
      <c r="B8641" s="0" t="n">
        <v>2728789</v>
      </c>
      <c r="C8641" s="0" t="n">
        <v>2728809</v>
      </c>
      <c r="D8641" s="0" t="s">
        <v>28745</v>
      </c>
      <c r="E8641" s="0" t="s">
        <v>28746</v>
      </c>
      <c r="F8641" s="0" t="s">
        <v>90</v>
      </c>
      <c r="G8641" s="0" t="s">
        <v>32</v>
      </c>
      <c r="H8641" s="0" t="n">
        <v>58</v>
      </c>
      <c r="I8641" s="0" t="s">
        <v>28753</v>
      </c>
      <c r="J8641" s="0" t="s">
        <v>28754</v>
      </c>
      <c r="K8641" s="0" t="s">
        <v>28755</v>
      </c>
      <c r="L8641" s="0" t="str">
        <f aca="false">HYPERLINK("https://www.ncbi.nlm.nih.gov/nuccore/CP000058.1?report=graph&amp;tracks=[key:gene_model_track,Options:GeneOnly]&amp;mk=2728840:2728859|offset_8|444444,2728820:2728839|offset_28|444444,2728790:2728809|offset_58|00cc00,2728754:2728773|offset_94|444444&amp;v=2728639:2728973&amp;c=444444", "offset 58")</f>
        <v>offset 58</v>
      </c>
    </row>
    <row r="8642" customFormat="false" ht="12.8" hidden="false" customHeight="false" outlineLevel="0" collapsed="false">
      <c r="A8642" s="0" t="s">
        <v>12</v>
      </c>
      <c r="B8642" s="0" t="n">
        <v>2728753</v>
      </c>
      <c r="C8642" s="0" t="n">
        <v>2728773</v>
      </c>
      <c r="D8642" s="0" t="s">
        <v>28745</v>
      </c>
      <c r="E8642" s="0" t="s">
        <v>28746</v>
      </c>
      <c r="F8642" s="0" t="s">
        <v>90</v>
      </c>
      <c r="G8642" s="0" t="s">
        <v>16</v>
      </c>
      <c r="H8642" s="0" t="n">
        <v>94</v>
      </c>
      <c r="I8642" s="0" t="s">
        <v>28756</v>
      </c>
      <c r="J8642" s="0" t="s">
        <v>28757</v>
      </c>
      <c r="K8642" s="0" t="s">
        <v>28758</v>
      </c>
      <c r="L8642" s="0" t="str">
        <f aca="false">HYPERLINK("https://www.ncbi.nlm.nih.gov/nuccore/CP000058.1?report=graph&amp;tracks=[key:gene_model_track,Options:GeneOnly]&amp;mk=2728840:2728859|offset_8|444444,2728820:2728839|offset_28|444444,2728790:2728809|offset_58|444444,2728754:2728773|offset_94|00cc00&amp;v=2728639:2728973&amp;c=444444", "offset 94")</f>
        <v>offset 94</v>
      </c>
    </row>
    <row r="8643" customFormat="false" ht="12.8" hidden="false" customHeight="false" outlineLevel="0" collapsed="false">
      <c r="A8643" s="0" t="s">
        <v>12</v>
      </c>
      <c r="B8643" s="0" t="n">
        <v>2730403</v>
      </c>
      <c r="C8643" s="0" t="n">
        <v>2730423</v>
      </c>
      <c r="D8643" s="0" t="s">
        <v>28759</v>
      </c>
      <c r="E8643" s="0" t="s">
        <v>28760</v>
      </c>
      <c r="F8643" s="0" t="s">
        <v>90</v>
      </c>
      <c r="G8643" s="0" t="s">
        <v>32</v>
      </c>
      <c r="H8643" s="0" t="n">
        <v>1</v>
      </c>
      <c r="I8643" s="0" t="s">
        <v>28761</v>
      </c>
      <c r="J8643" s="0" t="s">
        <v>28762</v>
      </c>
      <c r="K8643" s="0" t="s">
        <v>28763</v>
      </c>
      <c r="L8643" s="0" t="str">
        <f aca="false">HYPERLINK("https://www.ncbi.nlm.nih.gov/nuccore/CP000058.1?report=graph&amp;tracks=[key:gene_model_track,Options:GeneOnly]&amp;mk=2730404:2730423|offset_1|00cc00,2730362:2730381|offset_43|444444,2730319:2730338|offset_86|444444,2730298:2730317|offset_107|444444&amp;v=2730203:2730517&amp;c=444444", "offset 1")</f>
        <v>offset 1</v>
      </c>
    </row>
    <row r="8644" customFormat="false" ht="12.8" hidden="false" customHeight="false" outlineLevel="0" collapsed="false">
      <c r="A8644" s="0" t="s">
        <v>12</v>
      </c>
      <c r="B8644" s="0" t="n">
        <v>2730361</v>
      </c>
      <c r="C8644" s="0" t="n">
        <v>2730381</v>
      </c>
      <c r="D8644" s="0" t="s">
        <v>28759</v>
      </c>
      <c r="E8644" s="0" t="s">
        <v>28760</v>
      </c>
      <c r="F8644" s="0" t="s">
        <v>90</v>
      </c>
      <c r="G8644" s="0" t="s">
        <v>20</v>
      </c>
      <c r="H8644" s="0" t="n">
        <v>43</v>
      </c>
      <c r="I8644" s="0" t="s">
        <v>28764</v>
      </c>
      <c r="J8644" s="0" t="s">
        <v>28765</v>
      </c>
      <c r="K8644" s="0" t="s">
        <v>28766</v>
      </c>
      <c r="L8644" s="0" t="str">
        <f aca="false">HYPERLINK("https://www.ncbi.nlm.nih.gov/nuccore/CP000058.1?report=graph&amp;tracks=[key:gene_model_track,Options:GeneOnly]&amp;mk=2730404:2730423|offset_1|444444,2730362:2730381|offset_43|00cc00,2730319:2730338|offset_86|444444,2730298:2730317|offset_107|444444&amp;v=2730203:2730517&amp;c=444444", "offset 43")</f>
        <v>offset 43</v>
      </c>
    </row>
    <row r="8645" customFormat="false" ht="12.8" hidden="false" customHeight="false" outlineLevel="0" collapsed="false">
      <c r="A8645" s="0" t="s">
        <v>12</v>
      </c>
      <c r="B8645" s="0" t="n">
        <v>2730318</v>
      </c>
      <c r="C8645" s="0" t="n">
        <v>2730338</v>
      </c>
      <c r="D8645" s="0" t="s">
        <v>28759</v>
      </c>
      <c r="E8645" s="0" t="s">
        <v>28760</v>
      </c>
      <c r="F8645" s="0" t="s">
        <v>90</v>
      </c>
      <c r="G8645" s="0" t="s">
        <v>16</v>
      </c>
      <c r="H8645" s="0" t="n">
        <v>86</v>
      </c>
      <c r="I8645" s="0" t="s">
        <v>28767</v>
      </c>
      <c r="J8645" s="0" t="s">
        <v>28768</v>
      </c>
      <c r="K8645" s="0" t="s">
        <v>28769</v>
      </c>
      <c r="L8645" s="0" t="str">
        <f aca="false">HYPERLINK("https://www.ncbi.nlm.nih.gov/nuccore/CP000058.1?report=graph&amp;tracks=[key:gene_model_track,Options:GeneOnly]&amp;mk=2730404:2730423|offset_1|444444,2730362:2730381|offset_43|444444,2730319:2730338|offset_86|00cc00,2730298:2730317|offset_107|444444&amp;v=2730203:2730517&amp;c=444444", "offset 86")</f>
        <v>offset 86</v>
      </c>
    </row>
    <row r="8646" customFormat="false" ht="12.8" hidden="false" customHeight="false" outlineLevel="0" collapsed="false">
      <c r="A8646" s="0" t="s">
        <v>12</v>
      </c>
      <c r="B8646" s="0" t="n">
        <v>2730297</v>
      </c>
      <c r="C8646" s="0" t="n">
        <v>2730317</v>
      </c>
      <c r="D8646" s="0" t="s">
        <v>28759</v>
      </c>
      <c r="E8646" s="0" t="s">
        <v>28760</v>
      </c>
      <c r="F8646" s="0" t="s">
        <v>90</v>
      </c>
      <c r="G8646" s="0" t="s">
        <v>20</v>
      </c>
      <c r="H8646" s="0" t="n">
        <v>107</v>
      </c>
      <c r="I8646" s="0" t="s">
        <v>28770</v>
      </c>
      <c r="J8646" s="0" t="s">
        <v>28771</v>
      </c>
      <c r="K8646" s="0" t="s">
        <v>28772</v>
      </c>
      <c r="L8646" s="0" t="str">
        <f aca="false">HYPERLINK("https://www.ncbi.nlm.nih.gov/nuccore/CP000058.1?report=graph&amp;tracks=[key:gene_model_track,Options:GeneOnly]&amp;mk=2730404:2730423|offset_1|444444,2730362:2730381|offset_43|444444,2730319:2730338|offset_86|444444,2730298:2730317|offset_107|00cc00&amp;v=2730203:2730517&amp;c=444444", "offset 107")</f>
        <v>offset 107</v>
      </c>
    </row>
    <row r="8647" customFormat="false" ht="12.8" hidden="false" customHeight="false" outlineLevel="0" collapsed="false">
      <c r="A8647" s="0" t="s">
        <v>12</v>
      </c>
      <c r="B8647" s="0" t="n">
        <v>2732951</v>
      </c>
      <c r="C8647" s="0" t="n">
        <v>2732971</v>
      </c>
      <c r="D8647" s="0" t="s">
        <v>28773</v>
      </c>
      <c r="E8647" s="0" t="s">
        <v>28774</v>
      </c>
      <c r="F8647" s="0" t="s">
        <v>90</v>
      </c>
      <c r="G8647" s="0" t="s">
        <v>16</v>
      </c>
      <c r="H8647" s="0" t="n">
        <v>6</v>
      </c>
      <c r="I8647" s="0" t="s">
        <v>28775</v>
      </c>
      <c r="J8647" s="0" t="s">
        <v>28776</v>
      </c>
      <c r="K8647" s="0" t="s">
        <v>28777</v>
      </c>
      <c r="L8647" s="0" t="str">
        <f aca="false">HYPERLINK("https://www.ncbi.nlm.nih.gov/nuccore/CP000058.1?report=graph&amp;tracks=[key:gene_model_track,Options:GeneOnly]&amp;mk=2732952:2732971|offset_6|00cc00,2732914:2732933|offset_44|444444,2732891:2732910|offset_67|444444,2732850:2732869|offset_108|444444&amp;v=2732751:2733069&amp;c=444444", "offset 6")</f>
        <v>offset 6</v>
      </c>
    </row>
    <row r="8648" customFormat="false" ht="12.8" hidden="false" customHeight="false" outlineLevel="0" collapsed="false">
      <c r="A8648" s="0" t="s">
        <v>12</v>
      </c>
      <c r="B8648" s="0" t="n">
        <v>2732913</v>
      </c>
      <c r="C8648" s="0" t="n">
        <v>2732933</v>
      </c>
      <c r="D8648" s="0" t="s">
        <v>28773</v>
      </c>
      <c r="E8648" s="0" t="s">
        <v>28774</v>
      </c>
      <c r="F8648" s="0" t="s">
        <v>90</v>
      </c>
      <c r="G8648" s="0" t="s">
        <v>36</v>
      </c>
      <c r="H8648" s="0" t="n">
        <v>44</v>
      </c>
      <c r="I8648" s="0" t="s">
        <v>28778</v>
      </c>
      <c r="J8648" s="0" t="s">
        <v>28779</v>
      </c>
      <c r="K8648" s="0" t="s">
        <v>28780</v>
      </c>
      <c r="L8648" s="0" t="str">
        <f aca="false">HYPERLINK("https://www.ncbi.nlm.nih.gov/nuccore/CP000058.1?report=graph&amp;tracks=[key:gene_model_track,Options:GeneOnly]&amp;mk=2732952:2732971|offset_6|444444,2732914:2732933|offset_44|00cc00,2732891:2732910|offset_67|444444,2732850:2732869|offset_108|444444&amp;v=2732751:2733069&amp;c=444444", "offset 44")</f>
        <v>offset 44</v>
      </c>
    </row>
    <row r="8649" customFormat="false" ht="12.8" hidden="false" customHeight="false" outlineLevel="0" collapsed="false">
      <c r="A8649" s="0" t="s">
        <v>12</v>
      </c>
      <c r="B8649" s="0" t="n">
        <v>2732890</v>
      </c>
      <c r="C8649" s="0" t="n">
        <v>2732910</v>
      </c>
      <c r="D8649" s="0" t="s">
        <v>28773</v>
      </c>
      <c r="E8649" s="0" t="s">
        <v>28774</v>
      </c>
      <c r="F8649" s="0" t="s">
        <v>90</v>
      </c>
      <c r="G8649" s="0" t="s">
        <v>20</v>
      </c>
      <c r="H8649" s="0" t="n">
        <v>67</v>
      </c>
      <c r="I8649" s="0" t="s">
        <v>28781</v>
      </c>
      <c r="J8649" s="0" t="s">
        <v>28782</v>
      </c>
      <c r="K8649" s="0" t="s">
        <v>28783</v>
      </c>
      <c r="L8649" s="0" t="str">
        <f aca="false">HYPERLINK("https://www.ncbi.nlm.nih.gov/nuccore/CP000058.1?report=graph&amp;tracks=[key:gene_model_track,Options:GeneOnly]&amp;mk=2732952:2732971|offset_6|444444,2732914:2732933|offset_44|444444,2732891:2732910|offset_67|00cc00,2732850:2732869|offset_108|444444&amp;v=2732751:2733069&amp;c=444444", "offset 67")</f>
        <v>offset 67</v>
      </c>
    </row>
    <row r="8650" customFormat="false" ht="12.8" hidden="false" customHeight="false" outlineLevel="0" collapsed="false">
      <c r="A8650" s="0" t="s">
        <v>12</v>
      </c>
      <c r="B8650" s="0" t="n">
        <v>2732849</v>
      </c>
      <c r="C8650" s="0" t="n">
        <v>2732869</v>
      </c>
      <c r="D8650" s="0" t="s">
        <v>28773</v>
      </c>
      <c r="E8650" s="0" t="s">
        <v>28774</v>
      </c>
      <c r="F8650" s="0" t="s">
        <v>90</v>
      </c>
      <c r="G8650" s="0" t="s">
        <v>36</v>
      </c>
      <c r="H8650" s="0" t="n">
        <v>108</v>
      </c>
      <c r="I8650" s="0" t="s">
        <v>28784</v>
      </c>
      <c r="J8650" s="0" t="s">
        <v>28785</v>
      </c>
      <c r="K8650" s="0" t="s">
        <v>28786</v>
      </c>
      <c r="L8650" s="0" t="str">
        <f aca="false">HYPERLINK("https://www.ncbi.nlm.nih.gov/nuccore/CP000058.1?report=graph&amp;tracks=[key:gene_model_track,Options:GeneOnly]&amp;mk=2732952:2732971|offset_6|444444,2732914:2732933|offset_44|444444,2732891:2732910|offset_67|444444,2732850:2732869|offset_108|00cc00&amp;v=2732751:2733069&amp;c=444444", "offset 108")</f>
        <v>offset 108</v>
      </c>
    </row>
    <row r="8651" customFormat="false" ht="12.8" hidden="false" customHeight="false" outlineLevel="0" collapsed="false">
      <c r="A8651" s="0" t="s">
        <v>12</v>
      </c>
      <c r="B8651" s="0" t="n">
        <v>2733274</v>
      </c>
      <c r="C8651" s="0" t="n">
        <v>2733294</v>
      </c>
      <c r="D8651" s="0" t="s">
        <v>28787</v>
      </c>
      <c r="E8651" s="0" t="s">
        <v>28788</v>
      </c>
      <c r="F8651" s="0" t="s">
        <v>15</v>
      </c>
      <c r="G8651" s="0" t="s">
        <v>20</v>
      </c>
      <c r="H8651" s="0" t="n">
        <v>7</v>
      </c>
      <c r="I8651" s="0" t="s">
        <v>28789</v>
      </c>
      <c r="J8651" s="0" t="s">
        <v>28790</v>
      </c>
      <c r="K8651" s="0" t="s">
        <v>28791</v>
      </c>
      <c r="L8651" s="0" t="str">
        <f aca="false">HYPERLINK("https://www.ncbi.nlm.nih.gov/nuccore/CP000058.1?report=graph&amp;tracks=[key:gene_model_track,Options:GeneOnly]&amp;mk=2733275:2733294|offset_7|00cc00,2733312:2733331|offset_44|444444,2733353:2733372|offset_85|444444,2733403:2733422|offset_135|444444&amp;v=2733074:2733622&amp;c=444444", "offset 7")</f>
        <v>offset 7</v>
      </c>
    </row>
    <row r="8652" customFormat="false" ht="12.8" hidden="false" customHeight="false" outlineLevel="0" collapsed="false">
      <c r="A8652" s="0" t="s">
        <v>12</v>
      </c>
      <c r="B8652" s="0" t="n">
        <v>2733311</v>
      </c>
      <c r="C8652" s="0" t="n">
        <v>2733331</v>
      </c>
      <c r="D8652" s="0" t="s">
        <v>28787</v>
      </c>
      <c r="E8652" s="0" t="s">
        <v>28788</v>
      </c>
      <c r="F8652" s="0" t="s">
        <v>15</v>
      </c>
      <c r="G8652" s="0" t="s">
        <v>20</v>
      </c>
      <c r="H8652" s="0" t="n">
        <v>44</v>
      </c>
      <c r="I8652" s="0" t="s">
        <v>28792</v>
      </c>
      <c r="J8652" s="0" t="s">
        <v>28793</v>
      </c>
      <c r="K8652" s="0" t="s">
        <v>28794</v>
      </c>
      <c r="L8652" s="0" t="str">
        <f aca="false">HYPERLINK("https://www.ncbi.nlm.nih.gov/nuccore/CP000058.1?report=graph&amp;tracks=[key:gene_model_track,Options:GeneOnly]&amp;mk=2733275:2733294|offset_7|444444,2733312:2733331|offset_44|00cc00,2733353:2733372|offset_85|444444,2733403:2733422|offset_135|444444&amp;v=2733074:2733622&amp;c=444444", "offset 44")</f>
        <v>offset 44</v>
      </c>
    </row>
    <row r="8653" customFormat="false" ht="12.8" hidden="false" customHeight="false" outlineLevel="0" collapsed="false">
      <c r="A8653" s="0" t="s">
        <v>12</v>
      </c>
      <c r="B8653" s="0" t="n">
        <v>2733352</v>
      </c>
      <c r="C8653" s="0" t="n">
        <v>2733372</v>
      </c>
      <c r="D8653" s="0" t="s">
        <v>28787</v>
      </c>
      <c r="E8653" s="0" t="s">
        <v>28788</v>
      </c>
      <c r="F8653" s="0" t="s">
        <v>15</v>
      </c>
      <c r="G8653" s="0" t="s">
        <v>16</v>
      </c>
      <c r="H8653" s="0" t="n">
        <v>85</v>
      </c>
      <c r="I8653" s="0" t="s">
        <v>28795</v>
      </c>
      <c r="J8653" s="0" t="s">
        <v>28796</v>
      </c>
      <c r="K8653" s="0" t="s">
        <v>28797</v>
      </c>
      <c r="L8653" s="0" t="str">
        <f aca="false">HYPERLINK("https://www.ncbi.nlm.nih.gov/nuccore/CP000058.1?report=graph&amp;tracks=[key:gene_model_track,Options:GeneOnly]&amp;mk=2733275:2733294|offset_7|444444,2733312:2733331|offset_44|444444,2733353:2733372|offset_85|00cc00,2733403:2733422|offset_135|444444&amp;v=2733074:2733622&amp;c=444444", "offset 85")</f>
        <v>offset 85</v>
      </c>
    </row>
    <row r="8654" customFormat="false" ht="12.8" hidden="false" customHeight="false" outlineLevel="0" collapsed="false">
      <c r="A8654" s="0" t="s">
        <v>12</v>
      </c>
      <c r="B8654" s="0" t="n">
        <v>2733402</v>
      </c>
      <c r="C8654" s="0" t="n">
        <v>2733422</v>
      </c>
      <c r="D8654" s="0" t="s">
        <v>28787</v>
      </c>
      <c r="E8654" s="0" t="s">
        <v>28788</v>
      </c>
      <c r="F8654" s="0" t="s">
        <v>15</v>
      </c>
      <c r="G8654" s="0" t="s">
        <v>16</v>
      </c>
      <c r="H8654" s="0" t="n">
        <v>135</v>
      </c>
      <c r="I8654" s="0" t="s">
        <v>28798</v>
      </c>
      <c r="J8654" s="0" t="s">
        <v>28799</v>
      </c>
      <c r="K8654" s="0" t="s">
        <v>28800</v>
      </c>
      <c r="L8654" s="0" t="str">
        <f aca="false">HYPERLINK("https://www.ncbi.nlm.nih.gov/nuccore/CP000058.1?report=graph&amp;tracks=[key:gene_model_track,Options:GeneOnly]&amp;mk=2733275:2733294|offset_7|444444,2733312:2733331|offset_44|444444,2733353:2733372|offset_85|444444,2733403:2733422|offset_135|00cc00&amp;v=2733074:2733622&amp;c=444444", "offset 135")</f>
        <v>offset 135</v>
      </c>
    </row>
    <row r="8655" customFormat="false" ht="12.8" hidden="false" customHeight="false" outlineLevel="0" collapsed="false">
      <c r="A8655" s="0" t="s">
        <v>12</v>
      </c>
      <c r="B8655" s="0" t="n">
        <v>2735105</v>
      </c>
      <c r="C8655" s="0" t="n">
        <v>2735125</v>
      </c>
      <c r="D8655" s="0" t="s">
        <v>28801</v>
      </c>
      <c r="E8655" s="0" t="s">
        <v>75</v>
      </c>
      <c r="F8655" s="0" t="s">
        <v>90</v>
      </c>
      <c r="G8655" s="0" t="s">
        <v>20</v>
      </c>
      <c r="H8655" s="0" t="n">
        <v>7</v>
      </c>
      <c r="I8655" s="0" t="s">
        <v>28802</v>
      </c>
      <c r="J8655" s="0" t="s">
        <v>28803</v>
      </c>
      <c r="K8655" s="0" t="s">
        <v>28804</v>
      </c>
      <c r="L8655" s="0" t="str">
        <f aca="false">HYPERLINK("https://www.ncbi.nlm.nih.gov/nuccore/CP000058.1?report=graph&amp;tracks=[key:gene_model_track,Options:GeneOnly]&amp;mk=2735106:2735125|offset_7|00cc00,2735068:2735087|offset_45|444444,2735040:2735059|offset_73|444444,2735015:2735034|offset_98|444444&amp;v=2734905:2735234&amp;c=444444", "offset 7")</f>
        <v>offset 7</v>
      </c>
    </row>
    <row r="8656" customFormat="false" ht="12.8" hidden="false" customHeight="false" outlineLevel="0" collapsed="false">
      <c r="A8656" s="0" t="s">
        <v>12</v>
      </c>
      <c r="B8656" s="0" t="n">
        <v>2735067</v>
      </c>
      <c r="C8656" s="0" t="n">
        <v>2735087</v>
      </c>
      <c r="D8656" s="0" t="s">
        <v>28801</v>
      </c>
      <c r="E8656" s="0" t="s">
        <v>75</v>
      </c>
      <c r="F8656" s="0" t="s">
        <v>90</v>
      </c>
      <c r="G8656" s="0" t="s">
        <v>20</v>
      </c>
      <c r="H8656" s="0" t="n">
        <v>45</v>
      </c>
      <c r="I8656" s="0" t="s">
        <v>28805</v>
      </c>
      <c r="J8656" s="0" t="s">
        <v>28806</v>
      </c>
      <c r="K8656" s="0" t="s">
        <v>28807</v>
      </c>
      <c r="L8656" s="0" t="str">
        <f aca="false">HYPERLINK("https://www.ncbi.nlm.nih.gov/nuccore/CP000058.1?report=graph&amp;tracks=[key:gene_model_track,Options:GeneOnly]&amp;mk=2735106:2735125|offset_7|444444,2735068:2735087|offset_45|00cc00,2735040:2735059|offset_73|444444,2735015:2735034|offset_98|444444&amp;v=2734905:2735234&amp;c=444444", "offset 45")</f>
        <v>offset 45</v>
      </c>
    </row>
    <row r="8657" customFormat="false" ht="12.8" hidden="false" customHeight="false" outlineLevel="0" collapsed="false">
      <c r="A8657" s="0" t="s">
        <v>12</v>
      </c>
      <c r="B8657" s="0" t="n">
        <v>2735039</v>
      </c>
      <c r="C8657" s="0" t="n">
        <v>2735059</v>
      </c>
      <c r="D8657" s="0" t="s">
        <v>28801</v>
      </c>
      <c r="E8657" s="0" t="s">
        <v>75</v>
      </c>
      <c r="F8657" s="0" t="s">
        <v>90</v>
      </c>
      <c r="G8657" s="0" t="s">
        <v>36</v>
      </c>
      <c r="H8657" s="0" t="n">
        <v>73</v>
      </c>
      <c r="I8657" s="0" t="s">
        <v>28808</v>
      </c>
      <c r="J8657" s="0" t="s">
        <v>28809</v>
      </c>
      <c r="K8657" s="0" t="s">
        <v>28810</v>
      </c>
      <c r="L8657" s="0" t="str">
        <f aca="false">HYPERLINK("https://www.ncbi.nlm.nih.gov/nuccore/CP000058.1?report=graph&amp;tracks=[key:gene_model_track,Options:GeneOnly]&amp;mk=2735106:2735125|offset_7|444444,2735068:2735087|offset_45|444444,2735040:2735059|offset_73|00cc00,2735015:2735034|offset_98|444444&amp;v=2734905:2735234&amp;c=444444", "offset 73")</f>
        <v>offset 73</v>
      </c>
    </row>
    <row r="8658" customFormat="false" ht="12.8" hidden="false" customHeight="false" outlineLevel="0" collapsed="false">
      <c r="A8658" s="0" t="s">
        <v>12</v>
      </c>
      <c r="B8658" s="0" t="n">
        <v>2735014</v>
      </c>
      <c r="C8658" s="0" t="n">
        <v>2735034</v>
      </c>
      <c r="D8658" s="0" t="s">
        <v>28801</v>
      </c>
      <c r="E8658" s="0" t="s">
        <v>75</v>
      </c>
      <c r="F8658" s="0" t="s">
        <v>90</v>
      </c>
      <c r="G8658" s="0" t="s">
        <v>36</v>
      </c>
      <c r="H8658" s="0" t="n">
        <v>98</v>
      </c>
      <c r="I8658" s="0" t="s">
        <v>28811</v>
      </c>
      <c r="J8658" s="0" t="s">
        <v>28812</v>
      </c>
      <c r="K8658" s="0" t="s">
        <v>28813</v>
      </c>
      <c r="L8658" s="0" t="str">
        <f aca="false">HYPERLINK("https://www.ncbi.nlm.nih.gov/nuccore/CP000058.1?report=graph&amp;tracks=[key:gene_model_track,Options:GeneOnly]&amp;mk=2735106:2735125|offset_7|444444,2735068:2735087|offset_45|444444,2735040:2735059|offset_73|444444,2735015:2735034|offset_98|00cc00&amp;v=2734905:2735234&amp;c=444444", "offset 98")</f>
        <v>offset 98</v>
      </c>
    </row>
    <row r="8659" customFormat="false" ht="12.8" hidden="false" customHeight="false" outlineLevel="0" collapsed="false">
      <c r="A8659" s="0" t="s">
        <v>12</v>
      </c>
      <c r="B8659" s="0" t="n">
        <v>2735860</v>
      </c>
      <c r="C8659" s="0" t="n">
        <v>2735880</v>
      </c>
      <c r="D8659" s="0" t="s">
        <v>28814</v>
      </c>
      <c r="E8659" s="0" t="s">
        <v>75</v>
      </c>
      <c r="F8659" s="0" t="s">
        <v>90</v>
      </c>
      <c r="G8659" s="0" t="s">
        <v>16</v>
      </c>
      <c r="H8659" s="0" t="n">
        <v>10</v>
      </c>
      <c r="I8659" s="0" t="s">
        <v>28815</v>
      </c>
      <c r="J8659" s="0" t="s">
        <v>28816</v>
      </c>
      <c r="K8659" s="0" t="s">
        <v>28817</v>
      </c>
      <c r="L8659" s="0" t="str">
        <f aca="false">HYPERLINK("https://www.ncbi.nlm.nih.gov/nuccore/CP000058.1?report=graph&amp;tracks=[key:gene_model_track,Options:GeneOnly]&amp;mk=2735861:2735880|offset_10|00cc00,2735826:2735845|offset_45|444444,2735794:2735813|offset_77|444444,2735772:2735791|offset_99|444444&amp;v=2735660:2735991&amp;c=444444", "offset 10")</f>
        <v>offset 10</v>
      </c>
    </row>
    <row r="8660" customFormat="false" ht="12.8" hidden="false" customHeight="false" outlineLevel="0" collapsed="false">
      <c r="A8660" s="0" t="s">
        <v>12</v>
      </c>
      <c r="B8660" s="0" t="n">
        <v>2735825</v>
      </c>
      <c r="C8660" s="0" t="n">
        <v>2735845</v>
      </c>
      <c r="D8660" s="0" t="s">
        <v>28814</v>
      </c>
      <c r="E8660" s="0" t="s">
        <v>75</v>
      </c>
      <c r="F8660" s="0" t="s">
        <v>90</v>
      </c>
      <c r="G8660" s="0" t="s">
        <v>16</v>
      </c>
      <c r="H8660" s="0" t="n">
        <v>45</v>
      </c>
      <c r="I8660" s="0" t="s">
        <v>28818</v>
      </c>
      <c r="J8660" s="0" t="s">
        <v>28819</v>
      </c>
      <c r="K8660" s="0" t="s">
        <v>28820</v>
      </c>
      <c r="L8660" s="0" t="str">
        <f aca="false">HYPERLINK("https://www.ncbi.nlm.nih.gov/nuccore/CP000058.1?report=graph&amp;tracks=[key:gene_model_track,Options:GeneOnly]&amp;mk=2735861:2735880|offset_10|444444,2735826:2735845|offset_45|00cc00,2735794:2735813|offset_77|444444,2735772:2735791|offset_99|444444&amp;v=2735660:2735991&amp;c=444444", "offset 45")</f>
        <v>offset 45</v>
      </c>
    </row>
    <row r="8661" customFormat="false" ht="12.8" hidden="false" customHeight="false" outlineLevel="0" collapsed="false">
      <c r="A8661" s="0" t="s">
        <v>12</v>
      </c>
      <c r="B8661" s="0" t="n">
        <v>2735793</v>
      </c>
      <c r="C8661" s="0" t="n">
        <v>2735813</v>
      </c>
      <c r="D8661" s="0" t="s">
        <v>28814</v>
      </c>
      <c r="E8661" s="0" t="s">
        <v>75</v>
      </c>
      <c r="F8661" s="0" t="s">
        <v>90</v>
      </c>
      <c r="G8661" s="0" t="s">
        <v>16</v>
      </c>
      <c r="H8661" s="0" t="n">
        <v>77</v>
      </c>
      <c r="I8661" s="0" t="s">
        <v>28821</v>
      </c>
      <c r="J8661" s="0" t="s">
        <v>28822</v>
      </c>
      <c r="K8661" s="0" t="s">
        <v>28823</v>
      </c>
      <c r="L8661" s="0" t="str">
        <f aca="false">HYPERLINK("https://www.ncbi.nlm.nih.gov/nuccore/CP000058.1?report=graph&amp;tracks=[key:gene_model_track,Options:GeneOnly]&amp;mk=2735861:2735880|offset_10|444444,2735826:2735845|offset_45|444444,2735794:2735813|offset_77|00cc00,2735772:2735791|offset_99|444444&amp;v=2735660:2735991&amp;c=444444", "offset 77")</f>
        <v>offset 77</v>
      </c>
    </row>
    <row r="8662" customFormat="false" ht="12.8" hidden="false" customHeight="false" outlineLevel="0" collapsed="false">
      <c r="A8662" s="0" t="s">
        <v>12</v>
      </c>
      <c r="B8662" s="0" t="n">
        <v>2735771</v>
      </c>
      <c r="C8662" s="0" t="n">
        <v>2735791</v>
      </c>
      <c r="D8662" s="0" t="s">
        <v>28814</v>
      </c>
      <c r="E8662" s="0" t="s">
        <v>75</v>
      </c>
      <c r="F8662" s="0" t="s">
        <v>90</v>
      </c>
      <c r="G8662" s="0" t="s">
        <v>36</v>
      </c>
      <c r="H8662" s="0" t="n">
        <v>99</v>
      </c>
      <c r="I8662" s="0" t="s">
        <v>28824</v>
      </c>
      <c r="J8662" s="0" t="s">
        <v>28825</v>
      </c>
      <c r="K8662" s="0" t="s">
        <v>28826</v>
      </c>
      <c r="L8662" s="0" t="str">
        <f aca="false">HYPERLINK("https://www.ncbi.nlm.nih.gov/nuccore/CP000058.1?report=graph&amp;tracks=[key:gene_model_track,Options:GeneOnly]&amp;mk=2735861:2735880|offset_10|444444,2735826:2735845|offset_45|444444,2735794:2735813|offset_77|444444,2735772:2735791|offset_99|00cc00&amp;v=2735660:2735991&amp;c=444444", "offset 99")</f>
        <v>offset 99</v>
      </c>
    </row>
    <row r="8663" customFormat="false" ht="12.8" hidden="false" customHeight="false" outlineLevel="0" collapsed="false">
      <c r="A8663" s="0" t="s">
        <v>12</v>
      </c>
      <c r="B8663" s="0" t="n">
        <v>2736718</v>
      </c>
      <c r="C8663" s="0" t="n">
        <v>2736738</v>
      </c>
      <c r="D8663" s="0" t="s">
        <v>28827</v>
      </c>
      <c r="E8663" s="0" t="s">
        <v>75</v>
      </c>
      <c r="F8663" s="0" t="s">
        <v>90</v>
      </c>
      <c r="G8663" s="0" t="s">
        <v>32</v>
      </c>
      <c r="H8663" s="0" t="n">
        <v>1</v>
      </c>
      <c r="I8663" s="0" t="s">
        <v>28828</v>
      </c>
      <c r="J8663" s="0" t="s">
        <v>28829</v>
      </c>
      <c r="K8663" s="0" t="s">
        <v>28830</v>
      </c>
      <c r="L8663" s="0" t="str">
        <f aca="false">HYPERLINK("https://www.ncbi.nlm.nih.gov/nuccore/CP000058.1?report=graph&amp;tracks=[key:gene_model_track,Options:GeneOnly]&amp;mk=2736719:2736738|offset_1|00cc00,2736698:2736717|offset_22|444444,2736675:2736694|offset_45|444444,2736637:2736656|offset_83|444444&amp;v=2736518:2736856&amp;c=444444", "offset 1")</f>
        <v>offset 1</v>
      </c>
    </row>
    <row r="8664" customFormat="false" ht="12.8" hidden="false" customHeight="false" outlineLevel="0" collapsed="false">
      <c r="A8664" s="0" t="s">
        <v>12</v>
      </c>
      <c r="B8664" s="0" t="n">
        <v>2736697</v>
      </c>
      <c r="C8664" s="0" t="n">
        <v>2736717</v>
      </c>
      <c r="D8664" s="0" t="s">
        <v>28827</v>
      </c>
      <c r="E8664" s="0" t="s">
        <v>75</v>
      </c>
      <c r="F8664" s="0" t="s">
        <v>90</v>
      </c>
      <c r="G8664" s="0" t="s">
        <v>16</v>
      </c>
      <c r="H8664" s="0" t="n">
        <v>22</v>
      </c>
      <c r="I8664" s="0" t="s">
        <v>28831</v>
      </c>
      <c r="J8664" s="0" t="s">
        <v>28832</v>
      </c>
      <c r="K8664" s="0" t="s">
        <v>28833</v>
      </c>
      <c r="L8664" s="0" t="str">
        <f aca="false">HYPERLINK("https://www.ncbi.nlm.nih.gov/nuccore/CP000058.1?report=graph&amp;tracks=[key:gene_model_track,Options:GeneOnly]&amp;mk=2736719:2736738|offset_1|444444,2736698:2736717|offset_22|00cc00,2736675:2736694|offset_45|444444,2736637:2736656|offset_83|444444&amp;v=2736518:2736856&amp;c=444444", "offset 22")</f>
        <v>offset 22</v>
      </c>
    </row>
    <row r="8665" customFormat="false" ht="12.8" hidden="false" customHeight="false" outlineLevel="0" collapsed="false">
      <c r="A8665" s="0" t="s">
        <v>12</v>
      </c>
      <c r="B8665" s="0" t="n">
        <v>2736674</v>
      </c>
      <c r="C8665" s="0" t="n">
        <v>2736694</v>
      </c>
      <c r="D8665" s="0" t="s">
        <v>28827</v>
      </c>
      <c r="E8665" s="0" t="s">
        <v>75</v>
      </c>
      <c r="F8665" s="0" t="s">
        <v>90</v>
      </c>
      <c r="G8665" s="0" t="s">
        <v>36</v>
      </c>
      <c r="H8665" s="0" t="n">
        <v>45</v>
      </c>
      <c r="I8665" s="0" t="s">
        <v>28834</v>
      </c>
      <c r="J8665" s="0" t="s">
        <v>28835</v>
      </c>
      <c r="K8665" s="0" t="s">
        <v>28836</v>
      </c>
      <c r="L8665" s="0" t="str">
        <f aca="false">HYPERLINK("https://www.ncbi.nlm.nih.gov/nuccore/CP000058.1?report=graph&amp;tracks=[key:gene_model_track,Options:GeneOnly]&amp;mk=2736719:2736738|offset_1|444444,2736698:2736717|offset_22|444444,2736675:2736694|offset_45|00cc00,2736637:2736656|offset_83|444444&amp;v=2736518:2736856&amp;c=444444", "offset 45")</f>
        <v>offset 45</v>
      </c>
    </row>
    <row r="8666" customFormat="false" ht="12.8" hidden="false" customHeight="false" outlineLevel="0" collapsed="false">
      <c r="A8666" s="0" t="s">
        <v>12</v>
      </c>
      <c r="B8666" s="0" t="n">
        <v>2736636</v>
      </c>
      <c r="C8666" s="0" t="n">
        <v>2736656</v>
      </c>
      <c r="D8666" s="0" t="s">
        <v>28827</v>
      </c>
      <c r="E8666" s="0" t="s">
        <v>75</v>
      </c>
      <c r="F8666" s="0" t="s">
        <v>90</v>
      </c>
      <c r="G8666" s="0" t="s">
        <v>36</v>
      </c>
      <c r="H8666" s="0" t="n">
        <v>83</v>
      </c>
      <c r="I8666" s="0" t="s">
        <v>28837</v>
      </c>
      <c r="J8666" s="0" t="s">
        <v>28838</v>
      </c>
      <c r="K8666" s="0" t="s">
        <v>28839</v>
      </c>
      <c r="L8666" s="0" t="str">
        <f aca="false">HYPERLINK("https://www.ncbi.nlm.nih.gov/nuccore/CP000058.1?report=graph&amp;tracks=[key:gene_model_track,Options:GeneOnly]&amp;mk=2736719:2736738|offset_1|444444,2736698:2736717|offset_22|444444,2736675:2736694|offset_45|444444,2736637:2736656|offset_83|00cc00&amp;v=2736518:2736856&amp;c=444444", "offset 83")</f>
        <v>offset 83</v>
      </c>
    </row>
    <row r="8667" customFormat="false" ht="12.8" hidden="false" customHeight="false" outlineLevel="0" collapsed="false">
      <c r="A8667" s="0" t="s">
        <v>12</v>
      </c>
      <c r="B8667" s="0" t="n">
        <v>2736971</v>
      </c>
      <c r="C8667" s="0" t="n">
        <v>2736991</v>
      </c>
      <c r="D8667" s="0" t="s">
        <v>28840</v>
      </c>
      <c r="E8667" s="0" t="s">
        <v>75</v>
      </c>
      <c r="F8667" s="0" t="s">
        <v>15</v>
      </c>
      <c r="G8667" s="0" t="s">
        <v>16</v>
      </c>
      <c r="H8667" s="0" t="n">
        <v>25</v>
      </c>
      <c r="I8667" s="0" t="s">
        <v>28841</v>
      </c>
      <c r="J8667" s="0" t="s">
        <v>28842</v>
      </c>
      <c r="K8667" s="0" t="s">
        <v>28843</v>
      </c>
      <c r="L8667" s="0" t="str">
        <f aca="false">HYPERLINK("https://www.ncbi.nlm.nih.gov/nuccore/CP000058.1?report=graph&amp;tracks=[key:gene_model_track,Options:GeneOnly]&amp;mk=2736972:2736991|offset_25|00cc00,2737094:2737113|offset_147|444444,2737122:2737141|offset_175|444444,2737146:2737165|offset_199|444444&amp;v=2736771:2737365&amp;c=444444", "offset 25")</f>
        <v>offset 25</v>
      </c>
    </row>
    <row r="8668" customFormat="false" ht="12.8" hidden="false" customHeight="false" outlineLevel="0" collapsed="false">
      <c r="A8668" s="0" t="s">
        <v>12</v>
      </c>
      <c r="B8668" s="0" t="n">
        <v>2737093</v>
      </c>
      <c r="C8668" s="0" t="n">
        <v>2737113</v>
      </c>
      <c r="D8668" s="0" t="s">
        <v>28840</v>
      </c>
      <c r="E8668" s="0" t="s">
        <v>75</v>
      </c>
      <c r="F8668" s="0" t="s">
        <v>15</v>
      </c>
      <c r="G8668" s="0" t="s">
        <v>32</v>
      </c>
      <c r="H8668" s="0" t="n">
        <v>147</v>
      </c>
      <c r="I8668" s="0" t="s">
        <v>28844</v>
      </c>
      <c r="J8668" s="0" t="s">
        <v>28845</v>
      </c>
      <c r="K8668" s="0" t="s">
        <v>28846</v>
      </c>
      <c r="L8668" s="0" t="str">
        <f aca="false">HYPERLINK("https://www.ncbi.nlm.nih.gov/nuccore/CP000058.1?report=graph&amp;tracks=[key:gene_model_track,Options:GeneOnly]&amp;mk=2736972:2736991|offset_25|444444,2737094:2737113|offset_147|00cc00,2737122:2737141|offset_175|444444,2737146:2737165|offset_199|444444&amp;v=2736771:2737365&amp;c=444444", "offset 147")</f>
        <v>offset 147</v>
      </c>
    </row>
    <row r="8669" customFormat="false" ht="12.8" hidden="false" customHeight="false" outlineLevel="0" collapsed="false">
      <c r="A8669" s="0" t="s">
        <v>12</v>
      </c>
      <c r="B8669" s="0" t="n">
        <v>2737121</v>
      </c>
      <c r="C8669" s="0" t="n">
        <v>2737141</v>
      </c>
      <c r="D8669" s="0" t="s">
        <v>28840</v>
      </c>
      <c r="E8669" s="0" t="s">
        <v>75</v>
      </c>
      <c r="F8669" s="0" t="s">
        <v>15</v>
      </c>
      <c r="G8669" s="0" t="s">
        <v>36</v>
      </c>
      <c r="H8669" s="0" t="n">
        <v>175</v>
      </c>
      <c r="I8669" s="0" t="s">
        <v>28847</v>
      </c>
      <c r="J8669" s="0" t="s">
        <v>28848</v>
      </c>
      <c r="K8669" s="0" t="s">
        <v>28849</v>
      </c>
      <c r="L8669" s="0" t="str">
        <f aca="false">HYPERLINK("https://www.ncbi.nlm.nih.gov/nuccore/CP000058.1?report=graph&amp;tracks=[key:gene_model_track,Options:GeneOnly]&amp;mk=2736972:2736991|offset_25|444444,2737094:2737113|offset_147|444444,2737122:2737141|offset_175|00cc00,2737146:2737165|offset_199|444444&amp;v=2736771:2737365&amp;c=444444", "offset 175")</f>
        <v>offset 175</v>
      </c>
    </row>
    <row r="8670" customFormat="false" ht="12.8" hidden="false" customHeight="false" outlineLevel="0" collapsed="false">
      <c r="A8670" s="0" t="s">
        <v>12</v>
      </c>
      <c r="B8670" s="0" t="n">
        <v>2737145</v>
      </c>
      <c r="C8670" s="0" t="n">
        <v>2737165</v>
      </c>
      <c r="D8670" s="0" t="s">
        <v>28840</v>
      </c>
      <c r="E8670" s="0" t="s">
        <v>75</v>
      </c>
      <c r="F8670" s="0" t="s">
        <v>15</v>
      </c>
      <c r="G8670" s="0" t="s">
        <v>32</v>
      </c>
      <c r="H8670" s="0" t="n">
        <v>199</v>
      </c>
      <c r="I8670" s="0" t="s">
        <v>28850</v>
      </c>
      <c r="J8670" s="0" t="s">
        <v>28851</v>
      </c>
      <c r="K8670" s="0" t="s">
        <v>28852</v>
      </c>
      <c r="L8670" s="0" t="str">
        <f aca="false">HYPERLINK("https://www.ncbi.nlm.nih.gov/nuccore/CP000058.1?report=graph&amp;tracks=[key:gene_model_track,Options:GeneOnly]&amp;mk=2736972:2736991|offset_25|444444,2737094:2737113|offset_147|444444,2737122:2737141|offset_175|444444,2737146:2737165|offset_199|00cc00&amp;v=2736771:2737365&amp;c=444444", "offset 199")</f>
        <v>offset 199</v>
      </c>
    </row>
    <row r="8671" customFormat="false" ht="12.8" hidden="false" customHeight="false" outlineLevel="0" collapsed="false">
      <c r="A8671" s="0" t="s">
        <v>12</v>
      </c>
      <c r="B8671" s="0" t="n">
        <v>2738797</v>
      </c>
      <c r="C8671" s="0" t="n">
        <v>2738817</v>
      </c>
      <c r="D8671" s="0" t="s">
        <v>28853</v>
      </c>
      <c r="E8671" s="0" t="s">
        <v>75</v>
      </c>
      <c r="F8671" s="0" t="s">
        <v>15</v>
      </c>
      <c r="G8671" s="0" t="s">
        <v>20</v>
      </c>
      <c r="H8671" s="0" t="n">
        <v>6</v>
      </c>
      <c r="I8671" s="0" t="s">
        <v>28854</v>
      </c>
      <c r="J8671" s="0" t="s">
        <v>28855</v>
      </c>
      <c r="K8671" s="0" t="s">
        <v>28856</v>
      </c>
      <c r="L8671" s="0" t="str">
        <f aca="false">HYPERLINK("https://www.ncbi.nlm.nih.gov/nuccore/CP000058.1?report=graph&amp;tracks=[key:gene_model_track,Options:GeneOnly]&amp;mk=2738798:2738817|offset_6|00cc00,2738822:2738841|offset_30|444444,2738871:2738890|offset_79|444444,2738898:2738917|offset_106|444444&amp;v=2738597:2739117&amp;c=444444", "offset 6")</f>
        <v>offset 6</v>
      </c>
    </row>
    <row r="8672" customFormat="false" ht="12.8" hidden="false" customHeight="false" outlineLevel="0" collapsed="false">
      <c r="A8672" s="0" t="s">
        <v>12</v>
      </c>
      <c r="B8672" s="0" t="n">
        <v>2738821</v>
      </c>
      <c r="C8672" s="0" t="n">
        <v>2738841</v>
      </c>
      <c r="D8672" s="0" t="s">
        <v>28853</v>
      </c>
      <c r="E8672" s="0" t="s">
        <v>75</v>
      </c>
      <c r="F8672" s="0" t="s">
        <v>15</v>
      </c>
      <c r="G8672" s="0" t="s">
        <v>32</v>
      </c>
      <c r="H8672" s="0" t="n">
        <v>30</v>
      </c>
      <c r="I8672" s="0" t="s">
        <v>28857</v>
      </c>
      <c r="J8672" s="0" t="s">
        <v>28858</v>
      </c>
      <c r="K8672" s="0" t="s">
        <v>28859</v>
      </c>
      <c r="L8672" s="0" t="str">
        <f aca="false">HYPERLINK("https://www.ncbi.nlm.nih.gov/nuccore/CP000058.1?report=graph&amp;tracks=[key:gene_model_track,Options:GeneOnly]&amp;mk=2738798:2738817|offset_6|444444,2738822:2738841|offset_30|00cc00,2738871:2738890|offset_79|444444,2738898:2738917|offset_106|444444&amp;v=2738597:2739117&amp;c=444444", "offset 30")</f>
        <v>offset 30</v>
      </c>
    </row>
    <row r="8673" customFormat="false" ht="12.8" hidden="false" customHeight="false" outlineLevel="0" collapsed="false">
      <c r="A8673" s="0" t="s">
        <v>12</v>
      </c>
      <c r="B8673" s="0" t="n">
        <v>2738870</v>
      </c>
      <c r="C8673" s="0" t="n">
        <v>2738890</v>
      </c>
      <c r="D8673" s="0" t="s">
        <v>28853</v>
      </c>
      <c r="E8673" s="0" t="s">
        <v>75</v>
      </c>
      <c r="F8673" s="0" t="s">
        <v>15</v>
      </c>
      <c r="G8673" s="0" t="s">
        <v>32</v>
      </c>
      <c r="H8673" s="0" t="n">
        <v>79</v>
      </c>
      <c r="I8673" s="0" t="s">
        <v>28860</v>
      </c>
      <c r="J8673" s="0" t="s">
        <v>28861</v>
      </c>
      <c r="K8673" s="0" t="s">
        <v>28862</v>
      </c>
      <c r="L8673" s="0" t="str">
        <f aca="false">HYPERLINK("https://www.ncbi.nlm.nih.gov/nuccore/CP000058.1?report=graph&amp;tracks=[key:gene_model_track,Options:GeneOnly]&amp;mk=2738798:2738817|offset_6|444444,2738822:2738841|offset_30|444444,2738871:2738890|offset_79|00cc00,2738898:2738917|offset_106|444444&amp;v=2738597:2739117&amp;c=444444", "offset 79")</f>
        <v>offset 79</v>
      </c>
    </row>
    <row r="8674" customFormat="false" ht="12.8" hidden="false" customHeight="false" outlineLevel="0" collapsed="false">
      <c r="A8674" s="0" t="s">
        <v>12</v>
      </c>
      <c r="B8674" s="0" t="n">
        <v>2738897</v>
      </c>
      <c r="C8674" s="0" t="n">
        <v>2738917</v>
      </c>
      <c r="D8674" s="0" t="s">
        <v>28853</v>
      </c>
      <c r="E8674" s="0" t="s">
        <v>75</v>
      </c>
      <c r="F8674" s="0" t="s">
        <v>15</v>
      </c>
      <c r="G8674" s="0" t="s">
        <v>16</v>
      </c>
      <c r="H8674" s="0" t="n">
        <v>106</v>
      </c>
      <c r="I8674" s="0" t="s">
        <v>28863</v>
      </c>
      <c r="J8674" s="0" t="s">
        <v>28864</v>
      </c>
      <c r="K8674" s="0" t="s">
        <v>28865</v>
      </c>
      <c r="L8674" s="0" t="str">
        <f aca="false">HYPERLINK("https://www.ncbi.nlm.nih.gov/nuccore/CP000058.1?report=graph&amp;tracks=[key:gene_model_track,Options:GeneOnly]&amp;mk=2738798:2738817|offset_6|444444,2738822:2738841|offset_30|444444,2738871:2738890|offset_79|444444,2738898:2738917|offset_106|00cc00&amp;v=2738597:2739117&amp;c=444444", "offset 106")</f>
        <v>offset 106</v>
      </c>
    </row>
    <row r="8675" customFormat="false" ht="12.8" hidden="false" customHeight="false" outlineLevel="0" collapsed="false">
      <c r="A8675" s="0" t="s">
        <v>12</v>
      </c>
      <c r="B8675" s="0" t="n">
        <v>2739812</v>
      </c>
      <c r="C8675" s="0" t="n">
        <v>2739832</v>
      </c>
      <c r="D8675" s="0" t="s">
        <v>28866</v>
      </c>
      <c r="E8675" s="0" t="s">
        <v>75</v>
      </c>
      <c r="F8675" s="0" t="s">
        <v>15</v>
      </c>
      <c r="G8675" s="0" t="s">
        <v>32</v>
      </c>
      <c r="H8675" s="0" t="n">
        <v>1</v>
      </c>
      <c r="I8675" s="0" t="s">
        <v>28867</v>
      </c>
      <c r="J8675" s="0" t="s">
        <v>28868</v>
      </c>
      <c r="K8675" s="0" t="s">
        <v>28869</v>
      </c>
      <c r="L8675" s="0" t="str">
        <f aca="false">HYPERLINK("https://www.ncbi.nlm.nih.gov/nuccore/CP000058.1?report=graph&amp;tracks=[key:gene_model_track,Options:GeneOnly]&amp;mk=2739813:2739832|offset_1|00cc00,2739855:2739874|offset_43|444444,2739891:2739910|offset_79|444444,2739916:2739935|offset_104|444444&amp;v=2739612:2740135&amp;c=444444", "offset 1")</f>
        <v>offset 1</v>
      </c>
    </row>
    <row r="8676" customFormat="false" ht="12.8" hidden="false" customHeight="false" outlineLevel="0" collapsed="false">
      <c r="A8676" s="0" t="s">
        <v>12</v>
      </c>
      <c r="B8676" s="0" t="n">
        <v>2739854</v>
      </c>
      <c r="C8676" s="0" t="n">
        <v>2739874</v>
      </c>
      <c r="D8676" s="0" t="s">
        <v>28866</v>
      </c>
      <c r="E8676" s="0" t="s">
        <v>75</v>
      </c>
      <c r="F8676" s="0" t="s">
        <v>15</v>
      </c>
      <c r="G8676" s="0" t="s">
        <v>20</v>
      </c>
      <c r="H8676" s="0" t="n">
        <v>43</v>
      </c>
      <c r="I8676" s="0" t="s">
        <v>28870</v>
      </c>
      <c r="J8676" s="0" t="s">
        <v>28871</v>
      </c>
      <c r="K8676" s="0" t="s">
        <v>28872</v>
      </c>
      <c r="L8676" s="0" t="str">
        <f aca="false">HYPERLINK("https://www.ncbi.nlm.nih.gov/nuccore/CP000058.1?report=graph&amp;tracks=[key:gene_model_track,Options:GeneOnly]&amp;mk=2739813:2739832|offset_1|444444,2739855:2739874|offset_43|00cc00,2739891:2739910|offset_79|444444,2739916:2739935|offset_104|444444&amp;v=2739612:2740135&amp;c=444444", "offset 43")</f>
        <v>offset 43</v>
      </c>
    </row>
    <row r="8677" customFormat="false" ht="12.8" hidden="false" customHeight="false" outlineLevel="0" collapsed="false">
      <c r="A8677" s="0" t="s">
        <v>12</v>
      </c>
      <c r="B8677" s="0" t="n">
        <v>2739890</v>
      </c>
      <c r="C8677" s="0" t="n">
        <v>2739910</v>
      </c>
      <c r="D8677" s="0" t="s">
        <v>28866</v>
      </c>
      <c r="E8677" s="0" t="s">
        <v>75</v>
      </c>
      <c r="F8677" s="0" t="s">
        <v>15</v>
      </c>
      <c r="G8677" s="0" t="s">
        <v>32</v>
      </c>
      <c r="H8677" s="0" t="n">
        <v>79</v>
      </c>
      <c r="I8677" s="0" t="s">
        <v>28873</v>
      </c>
      <c r="J8677" s="0" t="s">
        <v>28874</v>
      </c>
      <c r="K8677" s="0" t="s">
        <v>28875</v>
      </c>
      <c r="L8677" s="0" t="str">
        <f aca="false">HYPERLINK("https://www.ncbi.nlm.nih.gov/nuccore/CP000058.1?report=graph&amp;tracks=[key:gene_model_track,Options:GeneOnly]&amp;mk=2739813:2739832|offset_1|444444,2739855:2739874|offset_43|444444,2739891:2739910|offset_79|00cc00,2739916:2739935|offset_104|444444&amp;v=2739612:2740135&amp;c=444444", "offset 79")</f>
        <v>offset 79</v>
      </c>
    </row>
    <row r="8678" customFormat="false" ht="12.8" hidden="false" customHeight="false" outlineLevel="0" collapsed="false">
      <c r="A8678" s="0" t="s">
        <v>12</v>
      </c>
      <c r="B8678" s="0" t="n">
        <v>2739915</v>
      </c>
      <c r="C8678" s="0" t="n">
        <v>2739935</v>
      </c>
      <c r="D8678" s="0" t="s">
        <v>28866</v>
      </c>
      <c r="E8678" s="0" t="s">
        <v>75</v>
      </c>
      <c r="F8678" s="0" t="s">
        <v>15</v>
      </c>
      <c r="G8678" s="0" t="s">
        <v>20</v>
      </c>
      <c r="H8678" s="0" t="n">
        <v>104</v>
      </c>
      <c r="I8678" s="0" t="s">
        <v>28876</v>
      </c>
      <c r="J8678" s="0" t="s">
        <v>28877</v>
      </c>
      <c r="K8678" s="0" t="s">
        <v>28878</v>
      </c>
      <c r="L8678" s="0" t="str">
        <f aca="false">HYPERLINK("https://www.ncbi.nlm.nih.gov/nuccore/CP000058.1?report=graph&amp;tracks=[key:gene_model_track,Options:GeneOnly]&amp;mk=2739813:2739832|offset_1|444444,2739855:2739874|offset_43|444444,2739891:2739910|offset_79|444444,2739916:2739935|offset_104|00cc00&amp;v=2739612:2740135&amp;c=444444", "offset 104")</f>
        <v>offset 104</v>
      </c>
    </row>
    <row r="8679" customFormat="false" ht="12.8" hidden="false" customHeight="false" outlineLevel="0" collapsed="false">
      <c r="A8679" s="0" t="s">
        <v>12</v>
      </c>
      <c r="B8679" s="0" t="n">
        <v>2741411</v>
      </c>
      <c r="C8679" s="0" t="n">
        <v>2741431</v>
      </c>
      <c r="D8679" s="0" t="s">
        <v>28879</v>
      </c>
      <c r="E8679" s="0" t="s">
        <v>75</v>
      </c>
      <c r="F8679" s="0" t="s">
        <v>15</v>
      </c>
      <c r="G8679" s="0" t="s">
        <v>36</v>
      </c>
      <c r="H8679" s="0" t="n">
        <v>42</v>
      </c>
      <c r="I8679" s="0" t="s">
        <v>28880</v>
      </c>
      <c r="J8679" s="0" t="s">
        <v>28881</v>
      </c>
      <c r="K8679" s="0" t="s">
        <v>28882</v>
      </c>
      <c r="L8679" s="0" t="str">
        <f aca="false">HYPERLINK("https://www.ncbi.nlm.nih.gov/nuccore/CP000058.1?report=graph&amp;tracks=[key:gene_model_track,Options:GeneOnly]&amp;mk=2741412:2741431|offset_42|00cc00,2741499:2741518|offset_129|444444,2741539:2741558|offset_169|444444,2741573:2741592|offset_203|444444&amp;v=2741211:2741792&amp;c=444444", "offset 42")</f>
        <v>offset 42</v>
      </c>
    </row>
    <row r="8680" customFormat="false" ht="12.8" hidden="false" customHeight="false" outlineLevel="0" collapsed="false">
      <c r="A8680" s="0" t="s">
        <v>12</v>
      </c>
      <c r="B8680" s="0" t="n">
        <v>2741498</v>
      </c>
      <c r="C8680" s="0" t="n">
        <v>2741518</v>
      </c>
      <c r="D8680" s="0" t="s">
        <v>28879</v>
      </c>
      <c r="E8680" s="0" t="s">
        <v>75</v>
      </c>
      <c r="F8680" s="0" t="s">
        <v>15</v>
      </c>
      <c r="G8680" s="0" t="s">
        <v>36</v>
      </c>
      <c r="H8680" s="0" t="n">
        <v>129</v>
      </c>
      <c r="I8680" s="0" t="s">
        <v>28883</v>
      </c>
      <c r="J8680" s="0" t="s">
        <v>28884</v>
      </c>
      <c r="K8680" s="0" t="s">
        <v>28885</v>
      </c>
      <c r="L8680" s="0" t="str">
        <f aca="false">HYPERLINK("https://www.ncbi.nlm.nih.gov/nuccore/CP000058.1?report=graph&amp;tracks=[key:gene_model_track,Options:GeneOnly]&amp;mk=2741412:2741431|offset_42|444444,2741499:2741518|offset_129|00cc00,2741539:2741558|offset_169|444444,2741573:2741592|offset_203|444444&amp;v=2741211:2741792&amp;c=444444", "offset 129")</f>
        <v>offset 129</v>
      </c>
    </row>
    <row r="8681" customFormat="false" ht="12.8" hidden="false" customHeight="false" outlineLevel="0" collapsed="false">
      <c r="A8681" s="0" t="s">
        <v>12</v>
      </c>
      <c r="B8681" s="0" t="n">
        <v>2741538</v>
      </c>
      <c r="C8681" s="0" t="n">
        <v>2741558</v>
      </c>
      <c r="D8681" s="0" t="s">
        <v>28879</v>
      </c>
      <c r="E8681" s="0" t="s">
        <v>75</v>
      </c>
      <c r="F8681" s="0" t="s">
        <v>15</v>
      </c>
      <c r="G8681" s="0" t="s">
        <v>36</v>
      </c>
      <c r="H8681" s="0" t="n">
        <v>169</v>
      </c>
      <c r="I8681" s="0" t="s">
        <v>28886</v>
      </c>
      <c r="J8681" s="0" t="s">
        <v>28887</v>
      </c>
      <c r="K8681" s="0" t="s">
        <v>28888</v>
      </c>
      <c r="L8681" s="0" t="str">
        <f aca="false">HYPERLINK("https://www.ncbi.nlm.nih.gov/nuccore/CP000058.1?report=graph&amp;tracks=[key:gene_model_track,Options:GeneOnly]&amp;mk=2741412:2741431|offset_42|444444,2741499:2741518|offset_129|444444,2741539:2741558|offset_169|00cc00,2741573:2741592|offset_203|444444&amp;v=2741211:2741792&amp;c=444444", "offset 169")</f>
        <v>offset 169</v>
      </c>
    </row>
    <row r="8682" customFormat="false" ht="12.8" hidden="false" customHeight="false" outlineLevel="0" collapsed="false">
      <c r="A8682" s="0" t="s">
        <v>12</v>
      </c>
      <c r="B8682" s="0" t="n">
        <v>2741572</v>
      </c>
      <c r="C8682" s="0" t="n">
        <v>2741592</v>
      </c>
      <c r="D8682" s="0" t="s">
        <v>28879</v>
      </c>
      <c r="E8682" s="0" t="s">
        <v>75</v>
      </c>
      <c r="F8682" s="0" t="s">
        <v>15</v>
      </c>
      <c r="G8682" s="0" t="s">
        <v>20</v>
      </c>
      <c r="H8682" s="0" t="n">
        <v>203</v>
      </c>
      <c r="I8682" s="0" t="s">
        <v>28889</v>
      </c>
      <c r="J8682" s="0" t="s">
        <v>28890</v>
      </c>
      <c r="K8682" s="0" t="s">
        <v>28891</v>
      </c>
      <c r="L8682" s="0" t="str">
        <f aca="false">HYPERLINK("https://www.ncbi.nlm.nih.gov/nuccore/CP000058.1?report=graph&amp;tracks=[key:gene_model_track,Options:GeneOnly]&amp;mk=2741412:2741431|offset_42|444444,2741499:2741518|offset_129|444444,2741539:2741558|offset_169|444444,2741573:2741592|offset_203|00cc00&amp;v=2741211:2741792&amp;c=444444", "offset 203")</f>
        <v>offset 203</v>
      </c>
    </row>
    <row r="8683" customFormat="false" ht="12.8" hidden="false" customHeight="false" outlineLevel="0" collapsed="false">
      <c r="A8683" s="0" t="s">
        <v>12</v>
      </c>
      <c r="B8683" s="0" t="n">
        <v>2742386</v>
      </c>
      <c r="C8683" s="0" t="n">
        <v>2742406</v>
      </c>
      <c r="D8683" s="0" t="s">
        <v>28892</v>
      </c>
      <c r="E8683" s="0" t="s">
        <v>75</v>
      </c>
      <c r="F8683" s="0" t="s">
        <v>15</v>
      </c>
      <c r="G8683" s="0" t="s">
        <v>36</v>
      </c>
      <c r="H8683" s="0" t="n">
        <v>16</v>
      </c>
      <c r="I8683" s="0" t="s">
        <v>28893</v>
      </c>
      <c r="J8683" s="0" t="s">
        <v>28894</v>
      </c>
      <c r="K8683" s="0" t="s">
        <v>28895</v>
      </c>
      <c r="L8683" s="0" t="str">
        <f aca="false">HYPERLINK("https://www.ncbi.nlm.nih.gov/nuccore/CP000058.1?report=graph&amp;tracks=[key:gene_model_track,Options:GeneOnly]&amp;mk=2742387:2742406|offset_16|00cc00,2742418:2742437|offset_47|444444,2742446:2742465|offset_75|444444,2742466:2742485|offset_95|444444&amp;v=2742186:2742685&amp;c=444444", "offset 16")</f>
        <v>offset 16</v>
      </c>
    </row>
    <row r="8684" customFormat="false" ht="12.8" hidden="false" customHeight="false" outlineLevel="0" collapsed="false">
      <c r="A8684" s="0" t="s">
        <v>12</v>
      </c>
      <c r="B8684" s="0" t="n">
        <v>2742417</v>
      </c>
      <c r="C8684" s="0" t="n">
        <v>2742437</v>
      </c>
      <c r="D8684" s="0" t="s">
        <v>28892</v>
      </c>
      <c r="E8684" s="0" t="s">
        <v>75</v>
      </c>
      <c r="F8684" s="0" t="s">
        <v>15</v>
      </c>
      <c r="G8684" s="0" t="s">
        <v>20</v>
      </c>
      <c r="H8684" s="0" t="n">
        <v>47</v>
      </c>
      <c r="I8684" s="0" t="s">
        <v>28896</v>
      </c>
      <c r="J8684" s="0" t="s">
        <v>28897</v>
      </c>
      <c r="K8684" s="0" t="s">
        <v>28898</v>
      </c>
      <c r="L8684" s="0" t="str">
        <f aca="false">HYPERLINK("https://www.ncbi.nlm.nih.gov/nuccore/CP000058.1?report=graph&amp;tracks=[key:gene_model_track,Options:GeneOnly]&amp;mk=2742387:2742406|offset_16|444444,2742418:2742437|offset_47|00cc00,2742446:2742465|offset_75|444444,2742466:2742485|offset_95|444444&amp;v=2742186:2742685&amp;c=444444", "offset 47")</f>
        <v>offset 47</v>
      </c>
    </row>
    <row r="8685" customFormat="false" ht="12.8" hidden="false" customHeight="false" outlineLevel="0" collapsed="false">
      <c r="A8685" s="0" t="s">
        <v>12</v>
      </c>
      <c r="B8685" s="0" t="n">
        <v>2742445</v>
      </c>
      <c r="C8685" s="0" t="n">
        <v>2742465</v>
      </c>
      <c r="D8685" s="0" t="s">
        <v>28892</v>
      </c>
      <c r="E8685" s="0" t="s">
        <v>75</v>
      </c>
      <c r="F8685" s="0" t="s">
        <v>15</v>
      </c>
      <c r="G8685" s="0" t="s">
        <v>16</v>
      </c>
      <c r="H8685" s="0" t="n">
        <v>75</v>
      </c>
      <c r="I8685" s="0" t="s">
        <v>28899</v>
      </c>
      <c r="J8685" s="0" t="s">
        <v>28900</v>
      </c>
      <c r="K8685" s="0" t="s">
        <v>28901</v>
      </c>
      <c r="L8685" s="0" t="str">
        <f aca="false">HYPERLINK("https://www.ncbi.nlm.nih.gov/nuccore/CP000058.1?report=graph&amp;tracks=[key:gene_model_track,Options:GeneOnly]&amp;mk=2742387:2742406|offset_16|444444,2742418:2742437|offset_47|444444,2742446:2742465|offset_75|00cc00,2742466:2742485|offset_95|444444&amp;v=2742186:2742685&amp;c=444444", "offset 75")</f>
        <v>offset 75</v>
      </c>
    </row>
    <row r="8686" customFormat="false" ht="12.8" hidden="false" customHeight="false" outlineLevel="0" collapsed="false">
      <c r="A8686" s="0" t="s">
        <v>12</v>
      </c>
      <c r="B8686" s="0" t="n">
        <v>2742465</v>
      </c>
      <c r="C8686" s="0" t="n">
        <v>2742485</v>
      </c>
      <c r="D8686" s="0" t="s">
        <v>28892</v>
      </c>
      <c r="E8686" s="0" t="s">
        <v>75</v>
      </c>
      <c r="F8686" s="0" t="s">
        <v>15</v>
      </c>
      <c r="G8686" s="0" t="s">
        <v>20</v>
      </c>
      <c r="H8686" s="0" t="n">
        <v>95</v>
      </c>
      <c r="I8686" s="0" t="s">
        <v>28902</v>
      </c>
      <c r="J8686" s="0" t="s">
        <v>28903</v>
      </c>
      <c r="K8686" s="0" t="s">
        <v>28904</v>
      </c>
      <c r="L8686" s="0" t="str">
        <f aca="false">HYPERLINK("https://www.ncbi.nlm.nih.gov/nuccore/CP000058.1?report=graph&amp;tracks=[key:gene_model_track,Options:GeneOnly]&amp;mk=2742387:2742406|offset_16|444444,2742418:2742437|offset_47|444444,2742446:2742465|offset_75|444444,2742466:2742485|offset_95|00cc00&amp;v=2742186:2742685&amp;c=444444", "offset 95")</f>
        <v>offset 95</v>
      </c>
    </row>
    <row r="8687" customFormat="false" ht="12.8" hidden="false" customHeight="false" outlineLevel="0" collapsed="false">
      <c r="A8687" s="0" t="s">
        <v>12</v>
      </c>
      <c r="B8687" s="0" t="n">
        <v>2744569</v>
      </c>
      <c r="C8687" s="0" t="n">
        <v>2744589</v>
      </c>
      <c r="D8687" s="0" t="s">
        <v>28905</v>
      </c>
      <c r="E8687" s="0" t="s">
        <v>75</v>
      </c>
      <c r="F8687" s="0" t="s">
        <v>90</v>
      </c>
      <c r="G8687" s="0" t="s">
        <v>16</v>
      </c>
      <c r="H8687" s="0" t="n">
        <v>16</v>
      </c>
      <c r="I8687" s="0" t="s">
        <v>28906</v>
      </c>
      <c r="J8687" s="0" t="s">
        <v>28907</v>
      </c>
      <c r="K8687" s="0" t="s">
        <v>28908</v>
      </c>
      <c r="L8687" s="0" t="str">
        <f aca="false">HYPERLINK("https://www.ncbi.nlm.nih.gov/nuccore/CP000058.1?report=graph&amp;tracks=[key:gene_model_track,Options:GeneOnly]&amp;mk=2744570:2744589|offset_16|00cc00,2744543:2744562|offset_43|444444,2744521:2744540|offset_65|444444,2744465:2744484|offset_121|444444&amp;v=2744369:2744684&amp;c=444444", "offset 16")</f>
        <v>offset 16</v>
      </c>
    </row>
    <row r="8688" customFormat="false" ht="12.8" hidden="false" customHeight="false" outlineLevel="0" collapsed="false">
      <c r="A8688" s="0" t="s">
        <v>12</v>
      </c>
      <c r="B8688" s="0" t="n">
        <v>2744542</v>
      </c>
      <c r="C8688" s="0" t="n">
        <v>2744562</v>
      </c>
      <c r="D8688" s="0" t="s">
        <v>28905</v>
      </c>
      <c r="E8688" s="0" t="s">
        <v>75</v>
      </c>
      <c r="F8688" s="0" t="s">
        <v>90</v>
      </c>
      <c r="G8688" s="0" t="s">
        <v>16</v>
      </c>
      <c r="H8688" s="0" t="n">
        <v>43</v>
      </c>
      <c r="I8688" s="0" t="s">
        <v>28909</v>
      </c>
      <c r="J8688" s="0" t="s">
        <v>28910</v>
      </c>
      <c r="K8688" s="0" t="s">
        <v>28911</v>
      </c>
      <c r="L8688" s="0" t="str">
        <f aca="false">HYPERLINK("https://www.ncbi.nlm.nih.gov/nuccore/CP000058.1?report=graph&amp;tracks=[key:gene_model_track,Options:GeneOnly]&amp;mk=2744570:2744589|offset_16|444444,2744543:2744562|offset_43|00cc00,2744521:2744540|offset_65|444444,2744465:2744484|offset_121|444444&amp;v=2744369:2744684&amp;c=444444", "offset 43")</f>
        <v>offset 43</v>
      </c>
    </row>
    <row r="8689" customFormat="false" ht="12.8" hidden="false" customHeight="false" outlineLevel="0" collapsed="false">
      <c r="A8689" s="0" t="s">
        <v>12</v>
      </c>
      <c r="B8689" s="0" t="n">
        <v>2744520</v>
      </c>
      <c r="C8689" s="0" t="n">
        <v>2744540</v>
      </c>
      <c r="D8689" s="0" t="s">
        <v>28905</v>
      </c>
      <c r="E8689" s="0" t="s">
        <v>75</v>
      </c>
      <c r="F8689" s="0" t="s">
        <v>90</v>
      </c>
      <c r="G8689" s="0" t="s">
        <v>16</v>
      </c>
      <c r="H8689" s="0" t="n">
        <v>65</v>
      </c>
      <c r="I8689" s="0" t="s">
        <v>28912</v>
      </c>
      <c r="J8689" s="0" t="s">
        <v>28913</v>
      </c>
      <c r="K8689" s="0" t="s">
        <v>28914</v>
      </c>
      <c r="L8689" s="0" t="str">
        <f aca="false">HYPERLINK("https://www.ncbi.nlm.nih.gov/nuccore/CP000058.1?report=graph&amp;tracks=[key:gene_model_track,Options:GeneOnly]&amp;mk=2744570:2744589|offset_16|444444,2744543:2744562|offset_43|444444,2744521:2744540|offset_65|00cc00,2744465:2744484|offset_121|444444&amp;v=2744369:2744684&amp;c=444444", "offset 65")</f>
        <v>offset 65</v>
      </c>
    </row>
    <row r="8690" customFormat="false" ht="12.8" hidden="false" customHeight="false" outlineLevel="0" collapsed="false">
      <c r="A8690" s="0" t="s">
        <v>12</v>
      </c>
      <c r="B8690" s="0" t="n">
        <v>2744464</v>
      </c>
      <c r="C8690" s="0" t="n">
        <v>2744484</v>
      </c>
      <c r="D8690" s="0" t="s">
        <v>28905</v>
      </c>
      <c r="E8690" s="0" t="s">
        <v>75</v>
      </c>
      <c r="F8690" s="0" t="s">
        <v>90</v>
      </c>
      <c r="G8690" s="0" t="s">
        <v>36</v>
      </c>
      <c r="H8690" s="0" t="n">
        <v>121</v>
      </c>
      <c r="I8690" s="0" t="s">
        <v>28915</v>
      </c>
      <c r="J8690" s="0" t="s">
        <v>28916</v>
      </c>
      <c r="K8690" s="0" t="s">
        <v>28917</v>
      </c>
      <c r="L8690" s="0" t="str">
        <f aca="false">HYPERLINK("https://www.ncbi.nlm.nih.gov/nuccore/CP000058.1?report=graph&amp;tracks=[key:gene_model_track,Options:GeneOnly]&amp;mk=2744570:2744589|offset_16|444444,2744543:2744562|offset_43|444444,2744521:2744540|offset_65|444444,2744465:2744484|offset_121|00cc00&amp;v=2744369:2744684&amp;c=444444", "offset 121")</f>
        <v>offset 121</v>
      </c>
    </row>
    <row r="8691" customFormat="false" ht="12.8" hidden="false" customHeight="false" outlineLevel="0" collapsed="false">
      <c r="A8691" s="0" t="s">
        <v>12</v>
      </c>
      <c r="B8691" s="0" t="n">
        <v>2744903</v>
      </c>
      <c r="C8691" s="0" t="n">
        <v>2744923</v>
      </c>
      <c r="D8691" s="0" t="s">
        <v>28918</v>
      </c>
      <c r="E8691" s="0" t="s">
        <v>75</v>
      </c>
      <c r="F8691" s="0" t="s">
        <v>15</v>
      </c>
      <c r="G8691" s="0" t="s">
        <v>36</v>
      </c>
      <c r="H8691" s="0" t="n">
        <v>18</v>
      </c>
      <c r="I8691" s="0" t="s">
        <v>28919</v>
      </c>
      <c r="J8691" s="0" t="s">
        <v>28920</v>
      </c>
      <c r="K8691" s="0" t="s">
        <v>28921</v>
      </c>
      <c r="L8691" s="0" t="str">
        <f aca="false">HYPERLINK("https://www.ncbi.nlm.nih.gov/nuccore/CP000058.1?report=graph&amp;tracks=[key:gene_model_track,Options:GeneOnly]&amp;mk=2744904:2744923|offset_18|00cc00,2744933:2744952|offset_47|444444,2745004:2745023|offset_118|444444,2745031:2745050|offset_145|444444&amp;v=2744703:2745250&amp;c=444444", "offset 18")</f>
        <v>offset 18</v>
      </c>
    </row>
    <row r="8692" customFormat="false" ht="12.8" hidden="false" customHeight="false" outlineLevel="0" collapsed="false">
      <c r="A8692" s="0" t="s">
        <v>12</v>
      </c>
      <c r="B8692" s="0" t="n">
        <v>2744932</v>
      </c>
      <c r="C8692" s="0" t="n">
        <v>2744952</v>
      </c>
      <c r="D8692" s="0" t="s">
        <v>28918</v>
      </c>
      <c r="E8692" s="0" t="s">
        <v>75</v>
      </c>
      <c r="F8692" s="0" t="s">
        <v>15</v>
      </c>
      <c r="G8692" s="0" t="s">
        <v>16</v>
      </c>
      <c r="H8692" s="0" t="n">
        <v>47</v>
      </c>
      <c r="I8692" s="0" t="s">
        <v>28922</v>
      </c>
      <c r="J8692" s="0" t="s">
        <v>28923</v>
      </c>
      <c r="K8692" s="0" t="s">
        <v>28924</v>
      </c>
      <c r="L8692" s="0" t="str">
        <f aca="false">HYPERLINK("https://www.ncbi.nlm.nih.gov/nuccore/CP000058.1?report=graph&amp;tracks=[key:gene_model_track,Options:GeneOnly]&amp;mk=2744904:2744923|offset_18|444444,2744933:2744952|offset_47|00cc00,2745004:2745023|offset_118|444444,2745031:2745050|offset_145|444444&amp;v=2744703:2745250&amp;c=444444", "offset 47")</f>
        <v>offset 47</v>
      </c>
    </row>
    <row r="8693" customFormat="false" ht="12.8" hidden="false" customHeight="false" outlineLevel="0" collapsed="false">
      <c r="A8693" s="0" t="s">
        <v>12</v>
      </c>
      <c r="B8693" s="0" t="n">
        <v>2745003</v>
      </c>
      <c r="C8693" s="0" t="n">
        <v>2745023</v>
      </c>
      <c r="D8693" s="0" t="s">
        <v>28918</v>
      </c>
      <c r="E8693" s="0" t="s">
        <v>75</v>
      </c>
      <c r="F8693" s="0" t="s">
        <v>15</v>
      </c>
      <c r="G8693" s="0" t="s">
        <v>32</v>
      </c>
      <c r="H8693" s="0" t="n">
        <v>118</v>
      </c>
      <c r="I8693" s="0" t="s">
        <v>28925</v>
      </c>
      <c r="J8693" s="0" t="s">
        <v>28926</v>
      </c>
      <c r="K8693" s="0" t="s">
        <v>28927</v>
      </c>
      <c r="L8693" s="0" t="str">
        <f aca="false">HYPERLINK("https://www.ncbi.nlm.nih.gov/nuccore/CP000058.1?report=graph&amp;tracks=[key:gene_model_track,Options:GeneOnly]&amp;mk=2744904:2744923|offset_18|444444,2744933:2744952|offset_47|444444,2745004:2745023|offset_118|00cc00,2745031:2745050|offset_145|444444&amp;v=2744703:2745250&amp;c=444444", "offset 118")</f>
        <v>offset 118</v>
      </c>
    </row>
    <row r="8694" customFormat="false" ht="12.8" hidden="false" customHeight="false" outlineLevel="0" collapsed="false">
      <c r="A8694" s="0" t="s">
        <v>12</v>
      </c>
      <c r="B8694" s="0" t="n">
        <v>2745030</v>
      </c>
      <c r="C8694" s="0" t="n">
        <v>2745050</v>
      </c>
      <c r="D8694" s="0" t="s">
        <v>28918</v>
      </c>
      <c r="E8694" s="0" t="s">
        <v>75</v>
      </c>
      <c r="F8694" s="0" t="s">
        <v>15</v>
      </c>
      <c r="G8694" s="0" t="s">
        <v>20</v>
      </c>
      <c r="H8694" s="0" t="n">
        <v>145</v>
      </c>
      <c r="I8694" s="0" t="s">
        <v>28928</v>
      </c>
      <c r="J8694" s="0" t="s">
        <v>28929</v>
      </c>
      <c r="K8694" s="0" t="s">
        <v>28930</v>
      </c>
      <c r="L8694" s="0" t="str">
        <f aca="false">HYPERLINK("https://www.ncbi.nlm.nih.gov/nuccore/CP000058.1?report=graph&amp;tracks=[key:gene_model_track,Options:GeneOnly]&amp;mk=2744904:2744923|offset_18|444444,2744933:2744952|offset_47|444444,2745004:2745023|offset_118|444444,2745031:2745050|offset_145|00cc00&amp;v=2744703:2745250&amp;c=444444", "offset 145")</f>
        <v>offset 145</v>
      </c>
    </row>
    <row r="8695" customFormat="false" ht="12.8" hidden="false" customHeight="false" outlineLevel="0" collapsed="false">
      <c r="A8695" s="0" t="s">
        <v>12</v>
      </c>
      <c r="B8695" s="0" t="n">
        <v>2746002</v>
      </c>
      <c r="C8695" s="0" t="n">
        <v>2746022</v>
      </c>
      <c r="D8695" s="0" t="s">
        <v>28931</v>
      </c>
      <c r="E8695" s="0" t="s">
        <v>75</v>
      </c>
      <c r="F8695" s="0" t="s">
        <v>15</v>
      </c>
      <c r="G8695" s="0" t="s">
        <v>20</v>
      </c>
      <c r="H8695" s="0" t="n">
        <v>0</v>
      </c>
      <c r="I8695" s="0" t="s">
        <v>28932</v>
      </c>
      <c r="J8695" s="0" t="s">
        <v>28933</v>
      </c>
      <c r="K8695" s="0" t="s">
        <v>28934</v>
      </c>
      <c r="L8695" s="0" t="str">
        <f aca="false">HYPERLINK("https://www.ncbi.nlm.nih.gov/nuccore/CP000058.1?report=graph&amp;tracks=[key:gene_model_track,Options:GeneOnly]&amp;mk=2746003:2746022|offset_0|00cc00,2746034:2746053|offset_31|444444,2746064:2746083|offset_61|444444,2746113:2746132|offset_110|444444&amp;v=2745802:2746332&amp;c=444444", "offset 0")</f>
        <v>offset 0</v>
      </c>
    </row>
    <row r="8696" customFormat="false" ht="12.8" hidden="false" customHeight="false" outlineLevel="0" collapsed="false">
      <c r="A8696" s="0" t="s">
        <v>12</v>
      </c>
      <c r="B8696" s="0" t="n">
        <v>2746033</v>
      </c>
      <c r="C8696" s="0" t="n">
        <v>2746053</v>
      </c>
      <c r="D8696" s="0" t="s">
        <v>28931</v>
      </c>
      <c r="E8696" s="0" t="s">
        <v>75</v>
      </c>
      <c r="F8696" s="0" t="s">
        <v>15</v>
      </c>
      <c r="G8696" s="0" t="s">
        <v>20</v>
      </c>
      <c r="H8696" s="0" t="n">
        <v>31</v>
      </c>
      <c r="I8696" s="0" t="s">
        <v>28935</v>
      </c>
      <c r="J8696" s="0" t="s">
        <v>28936</v>
      </c>
      <c r="K8696" s="0" t="s">
        <v>28937</v>
      </c>
      <c r="L8696" s="0" t="str">
        <f aca="false">HYPERLINK("https://www.ncbi.nlm.nih.gov/nuccore/CP000058.1?report=graph&amp;tracks=[key:gene_model_track,Options:GeneOnly]&amp;mk=2746003:2746022|offset_0|444444,2746034:2746053|offset_31|00cc00,2746064:2746083|offset_61|444444,2746113:2746132|offset_110|444444&amp;v=2745802:2746332&amp;c=444444", "offset 31")</f>
        <v>offset 31</v>
      </c>
    </row>
    <row r="8697" customFormat="false" ht="12.8" hidden="false" customHeight="false" outlineLevel="0" collapsed="false">
      <c r="A8697" s="0" t="s">
        <v>12</v>
      </c>
      <c r="B8697" s="0" t="n">
        <v>2746063</v>
      </c>
      <c r="C8697" s="0" t="n">
        <v>2746083</v>
      </c>
      <c r="D8697" s="0" t="s">
        <v>28931</v>
      </c>
      <c r="E8697" s="0" t="s">
        <v>75</v>
      </c>
      <c r="F8697" s="0" t="s">
        <v>15</v>
      </c>
      <c r="G8697" s="0" t="s">
        <v>20</v>
      </c>
      <c r="H8697" s="0" t="n">
        <v>61</v>
      </c>
      <c r="I8697" s="0" t="s">
        <v>28938</v>
      </c>
      <c r="J8697" s="0" t="s">
        <v>28939</v>
      </c>
      <c r="K8697" s="0" t="s">
        <v>28940</v>
      </c>
      <c r="L8697" s="0" t="str">
        <f aca="false">HYPERLINK("https://www.ncbi.nlm.nih.gov/nuccore/CP000058.1?report=graph&amp;tracks=[key:gene_model_track,Options:GeneOnly]&amp;mk=2746003:2746022|offset_0|444444,2746034:2746053|offset_31|444444,2746064:2746083|offset_61|00cc00,2746113:2746132|offset_110|444444&amp;v=2745802:2746332&amp;c=444444", "offset 61")</f>
        <v>offset 61</v>
      </c>
    </row>
    <row r="8698" customFormat="false" ht="12.8" hidden="false" customHeight="false" outlineLevel="0" collapsed="false">
      <c r="A8698" s="0" t="s">
        <v>12</v>
      </c>
      <c r="B8698" s="0" t="n">
        <v>2746112</v>
      </c>
      <c r="C8698" s="0" t="n">
        <v>2746132</v>
      </c>
      <c r="D8698" s="0" t="s">
        <v>28931</v>
      </c>
      <c r="E8698" s="0" t="s">
        <v>75</v>
      </c>
      <c r="F8698" s="0" t="s">
        <v>15</v>
      </c>
      <c r="G8698" s="0" t="s">
        <v>36</v>
      </c>
      <c r="H8698" s="0" t="n">
        <v>110</v>
      </c>
      <c r="I8698" s="0" t="s">
        <v>28941</v>
      </c>
      <c r="J8698" s="0" t="s">
        <v>28942</v>
      </c>
      <c r="K8698" s="0" t="s">
        <v>28943</v>
      </c>
      <c r="L8698" s="0" t="str">
        <f aca="false">HYPERLINK("https://www.ncbi.nlm.nih.gov/nuccore/CP000058.1?report=graph&amp;tracks=[key:gene_model_track,Options:GeneOnly]&amp;mk=2746003:2746022|offset_0|444444,2746034:2746053|offset_31|444444,2746064:2746083|offset_61|444444,2746113:2746132|offset_110|00cc00&amp;v=2745802:2746332&amp;c=444444", "offset 110")</f>
        <v>offset 110</v>
      </c>
    </row>
    <row r="8699" customFormat="false" ht="12.8" hidden="false" customHeight="false" outlineLevel="0" collapsed="false">
      <c r="A8699" s="0" t="s">
        <v>12</v>
      </c>
      <c r="B8699" s="0" t="n">
        <v>2746792</v>
      </c>
      <c r="C8699" s="0" t="n">
        <v>2746812</v>
      </c>
      <c r="D8699" s="0" t="s">
        <v>28944</v>
      </c>
      <c r="E8699" s="0" t="s">
        <v>75</v>
      </c>
      <c r="F8699" s="0" t="s">
        <v>15</v>
      </c>
      <c r="G8699" s="0" t="s">
        <v>32</v>
      </c>
      <c r="H8699" s="0" t="n">
        <v>1</v>
      </c>
      <c r="I8699" s="0" t="s">
        <v>28945</v>
      </c>
      <c r="J8699" s="0" t="s">
        <v>28946</v>
      </c>
      <c r="K8699" s="0" t="s">
        <v>28947</v>
      </c>
      <c r="L8699" s="0" t="str">
        <f aca="false">HYPERLINK("https://www.ncbi.nlm.nih.gov/nuccore/CP000058.1?report=graph&amp;tracks=[key:gene_model_track,Options:GeneOnly]&amp;mk=2746793:2746812|offset_1|00cc00,2746950:2746969|offset_158|444444,2747046:2747065|offset_254|444444,2747084:2747103|offset_292|444444&amp;v=2746592:2747303&amp;c=444444", "offset 1")</f>
        <v>offset 1</v>
      </c>
    </row>
    <row r="8700" customFormat="false" ht="12.8" hidden="false" customHeight="false" outlineLevel="0" collapsed="false">
      <c r="A8700" s="0" t="s">
        <v>12</v>
      </c>
      <c r="B8700" s="0" t="n">
        <v>2746949</v>
      </c>
      <c r="C8700" s="0" t="n">
        <v>2746969</v>
      </c>
      <c r="D8700" s="0" t="s">
        <v>28944</v>
      </c>
      <c r="E8700" s="0" t="s">
        <v>75</v>
      </c>
      <c r="F8700" s="0" t="s">
        <v>15</v>
      </c>
      <c r="G8700" s="0" t="s">
        <v>20</v>
      </c>
      <c r="H8700" s="0" t="n">
        <v>158</v>
      </c>
      <c r="I8700" s="0" t="s">
        <v>28948</v>
      </c>
      <c r="J8700" s="0" t="s">
        <v>28949</v>
      </c>
      <c r="K8700" s="0" t="s">
        <v>28950</v>
      </c>
      <c r="L8700" s="0" t="str">
        <f aca="false">HYPERLINK("https://www.ncbi.nlm.nih.gov/nuccore/CP000058.1?report=graph&amp;tracks=[key:gene_model_track,Options:GeneOnly]&amp;mk=2746793:2746812|offset_1|444444,2746950:2746969|offset_158|00cc00,2747046:2747065|offset_254|444444,2747084:2747103|offset_292|444444&amp;v=2746592:2747303&amp;c=444444", "offset 158")</f>
        <v>offset 158</v>
      </c>
    </row>
    <row r="8701" customFormat="false" ht="12.8" hidden="false" customHeight="false" outlineLevel="0" collapsed="false">
      <c r="A8701" s="0" t="s">
        <v>12</v>
      </c>
      <c r="B8701" s="0" t="n">
        <v>2747045</v>
      </c>
      <c r="C8701" s="0" t="n">
        <v>2747065</v>
      </c>
      <c r="D8701" s="0" t="s">
        <v>28944</v>
      </c>
      <c r="E8701" s="0" t="s">
        <v>75</v>
      </c>
      <c r="F8701" s="0" t="s">
        <v>15</v>
      </c>
      <c r="G8701" s="0" t="s">
        <v>36</v>
      </c>
      <c r="H8701" s="0" t="n">
        <v>254</v>
      </c>
      <c r="I8701" s="0" t="s">
        <v>28951</v>
      </c>
      <c r="J8701" s="0" t="s">
        <v>28952</v>
      </c>
      <c r="K8701" s="0" t="s">
        <v>28953</v>
      </c>
      <c r="L8701" s="0" t="str">
        <f aca="false">HYPERLINK("https://www.ncbi.nlm.nih.gov/nuccore/CP000058.1?report=graph&amp;tracks=[key:gene_model_track,Options:GeneOnly]&amp;mk=2746793:2746812|offset_1|444444,2746950:2746969|offset_158|444444,2747046:2747065|offset_254|00cc00,2747084:2747103|offset_292|444444&amp;v=2746592:2747303&amp;c=444444", "offset 254")</f>
        <v>offset 254</v>
      </c>
    </row>
    <row r="8702" customFormat="false" ht="12.8" hidden="false" customHeight="false" outlineLevel="0" collapsed="false">
      <c r="A8702" s="0" t="s">
        <v>12</v>
      </c>
      <c r="B8702" s="0" t="n">
        <v>2747083</v>
      </c>
      <c r="C8702" s="0" t="n">
        <v>2747103</v>
      </c>
      <c r="D8702" s="0" t="s">
        <v>28944</v>
      </c>
      <c r="E8702" s="0" t="s">
        <v>75</v>
      </c>
      <c r="F8702" s="0" t="s">
        <v>15</v>
      </c>
      <c r="G8702" s="0" t="s">
        <v>32</v>
      </c>
      <c r="H8702" s="0" t="n">
        <v>292</v>
      </c>
      <c r="I8702" s="0" t="s">
        <v>28954</v>
      </c>
      <c r="J8702" s="0" t="s">
        <v>28955</v>
      </c>
      <c r="K8702" s="0" t="s">
        <v>28956</v>
      </c>
      <c r="L8702" s="0" t="str">
        <f aca="false">HYPERLINK("https://www.ncbi.nlm.nih.gov/nuccore/CP000058.1?report=graph&amp;tracks=[key:gene_model_track,Options:GeneOnly]&amp;mk=2746793:2746812|offset_1|444444,2746950:2746969|offset_158|444444,2747046:2747065|offset_254|444444,2747084:2747103|offset_292|00cc00&amp;v=2746592:2747303&amp;c=444444", "offset 292")</f>
        <v>offset 292</v>
      </c>
    </row>
    <row r="8703" customFormat="false" ht="12.8" hidden="false" customHeight="false" outlineLevel="0" collapsed="false">
      <c r="A8703" s="0" t="s">
        <v>12</v>
      </c>
      <c r="B8703" s="0" t="n">
        <v>2747695</v>
      </c>
      <c r="C8703" s="0" t="n">
        <v>2747715</v>
      </c>
      <c r="D8703" s="0" t="s">
        <v>28957</v>
      </c>
      <c r="E8703" s="0" t="s">
        <v>75</v>
      </c>
      <c r="F8703" s="0" t="s">
        <v>15</v>
      </c>
      <c r="G8703" s="0" t="s">
        <v>32</v>
      </c>
      <c r="H8703" s="0" t="n">
        <v>1</v>
      </c>
      <c r="I8703" s="0" t="s">
        <v>28958</v>
      </c>
      <c r="J8703" s="0" t="s">
        <v>28959</v>
      </c>
      <c r="K8703" s="0" t="s">
        <v>28960</v>
      </c>
      <c r="L8703" s="0" t="str">
        <f aca="false">HYPERLINK("https://www.ncbi.nlm.nih.gov/nuccore/CP000058.1?report=graph&amp;tracks=[key:gene_model_track,Options:GeneOnly]&amp;mk=2747696:2747715|offset_1|00cc00,2747748:2747767|offset_53|444444,2747772:2747791|offset_77|444444,2747818:2747837|offset_123|444444&amp;v=2747495:2748037&amp;c=444444", "offset 1")</f>
        <v>offset 1</v>
      </c>
    </row>
    <row r="8704" customFormat="false" ht="12.8" hidden="false" customHeight="false" outlineLevel="0" collapsed="false">
      <c r="A8704" s="0" t="s">
        <v>12</v>
      </c>
      <c r="B8704" s="0" t="n">
        <v>2747747</v>
      </c>
      <c r="C8704" s="0" t="n">
        <v>2747767</v>
      </c>
      <c r="D8704" s="0" t="s">
        <v>28957</v>
      </c>
      <c r="E8704" s="0" t="s">
        <v>75</v>
      </c>
      <c r="F8704" s="0" t="s">
        <v>15</v>
      </c>
      <c r="G8704" s="0" t="s">
        <v>16</v>
      </c>
      <c r="H8704" s="0" t="n">
        <v>53</v>
      </c>
      <c r="I8704" s="0" t="s">
        <v>28961</v>
      </c>
      <c r="J8704" s="0" t="s">
        <v>28962</v>
      </c>
      <c r="K8704" s="0" t="s">
        <v>28963</v>
      </c>
      <c r="L8704" s="0" t="str">
        <f aca="false">HYPERLINK("https://www.ncbi.nlm.nih.gov/nuccore/CP000058.1?report=graph&amp;tracks=[key:gene_model_track,Options:GeneOnly]&amp;mk=2747696:2747715|offset_1|444444,2747748:2747767|offset_53|00cc00,2747772:2747791|offset_77|444444,2747818:2747837|offset_123|444444&amp;v=2747495:2748037&amp;c=444444", "offset 53")</f>
        <v>offset 53</v>
      </c>
    </row>
    <row r="8705" customFormat="false" ht="12.8" hidden="false" customHeight="false" outlineLevel="0" collapsed="false">
      <c r="A8705" s="0" t="s">
        <v>12</v>
      </c>
      <c r="B8705" s="0" t="n">
        <v>2747771</v>
      </c>
      <c r="C8705" s="0" t="n">
        <v>2747791</v>
      </c>
      <c r="D8705" s="0" t="s">
        <v>28957</v>
      </c>
      <c r="E8705" s="0" t="s">
        <v>75</v>
      </c>
      <c r="F8705" s="0" t="s">
        <v>15</v>
      </c>
      <c r="G8705" s="0" t="s">
        <v>16</v>
      </c>
      <c r="H8705" s="0" t="n">
        <v>77</v>
      </c>
      <c r="I8705" s="0" t="s">
        <v>28964</v>
      </c>
      <c r="J8705" s="0" t="s">
        <v>28965</v>
      </c>
      <c r="K8705" s="0" t="s">
        <v>28966</v>
      </c>
      <c r="L8705" s="0" t="str">
        <f aca="false">HYPERLINK("https://www.ncbi.nlm.nih.gov/nuccore/CP000058.1?report=graph&amp;tracks=[key:gene_model_track,Options:GeneOnly]&amp;mk=2747696:2747715|offset_1|444444,2747748:2747767|offset_53|444444,2747772:2747791|offset_77|00cc00,2747818:2747837|offset_123|444444&amp;v=2747495:2748037&amp;c=444444", "offset 77")</f>
        <v>offset 77</v>
      </c>
    </row>
    <row r="8706" customFormat="false" ht="12.8" hidden="false" customHeight="false" outlineLevel="0" collapsed="false">
      <c r="A8706" s="0" t="s">
        <v>12</v>
      </c>
      <c r="B8706" s="0" t="n">
        <v>2747817</v>
      </c>
      <c r="C8706" s="0" t="n">
        <v>2747837</v>
      </c>
      <c r="D8706" s="0" t="s">
        <v>28957</v>
      </c>
      <c r="E8706" s="0" t="s">
        <v>75</v>
      </c>
      <c r="F8706" s="0" t="s">
        <v>15</v>
      </c>
      <c r="G8706" s="0" t="s">
        <v>16</v>
      </c>
      <c r="H8706" s="0" t="n">
        <v>123</v>
      </c>
      <c r="I8706" s="0" t="s">
        <v>28967</v>
      </c>
      <c r="J8706" s="0" t="s">
        <v>28968</v>
      </c>
      <c r="K8706" s="0" t="s">
        <v>28969</v>
      </c>
      <c r="L8706" s="0" t="str">
        <f aca="false">HYPERLINK("https://www.ncbi.nlm.nih.gov/nuccore/CP000058.1?report=graph&amp;tracks=[key:gene_model_track,Options:GeneOnly]&amp;mk=2747696:2747715|offset_1|444444,2747748:2747767|offset_53|444444,2747772:2747791|offset_77|444444,2747818:2747837|offset_123|00cc00&amp;v=2747495:2748037&amp;c=444444", "offset 123")</f>
        <v>offset 123</v>
      </c>
    </row>
    <row r="8707" customFormat="false" ht="12.8" hidden="false" customHeight="false" outlineLevel="0" collapsed="false">
      <c r="A8707" s="0" t="s">
        <v>12</v>
      </c>
      <c r="B8707" s="0" t="n">
        <v>2748809</v>
      </c>
      <c r="C8707" s="0" t="n">
        <v>2748829</v>
      </c>
      <c r="D8707" s="0" t="s">
        <v>28970</v>
      </c>
      <c r="E8707" s="0" t="s">
        <v>75</v>
      </c>
      <c r="F8707" s="0" t="s">
        <v>15</v>
      </c>
      <c r="G8707" s="0" t="s">
        <v>20</v>
      </c>
      <c r="H8707" s="0" t="n">
        <v>0</v>
      </c>
      <c r="I8707" s="0" t="s">
        <v>28971</v>
      </c>
      <c r="J8707" s="0" t="s">
        <v>28972</v>
      </c>
      <c r="K8707" s="0" t="s">
        <v>28973</v>
      </c>
      <c r="L8707" s="0" t="str">
        <f aca="false">HYPERLINK("https://www.ncbi.nlm.nih.gov/nuccore/CP000058.1?report=graph&amp;tracks=[key:gene_model_track,Options:GeneOnly]&amp;mk=2748810:2748829|offset_0|00cc00,2748830:2748849|offset_20|444444,2748856:2748875|offset_46|444444,2748880:2748899|offset_70|444444&amp;v=2748609:2749099&amp;c=444444", "offset 0")</f>
        <v>offset 0</v>
      </c>
    </row>
    <row r="8708" customFormat="false" ht="12.8" hidden="false" customHeight="false" outlineLevel="0" collapsed="false">
      <c r="A8708" s="0" t="s">
        <v>12</v>
      </c>
      <c r="B8708" s="0" t="n">
        <v>2748829</v>
      </c>
      <c r="C8708" s="0" t="n">
        <v>2748849</v>
      </c>
      <c r="D8708" s="0" t="s">
        <v>28970</v>
      </c>
      <c r="E8708" s="0" t="s">
        <v>75</v>
      </c>
      <c r="F8708" s="0" t="s">
        <v>15</v>
      </c>
      <c r="G8708" s="0" t="s">
        <v>20</v>
      </c>
      <c r="H8708" s="0" t="n">
        <v>20</v>
      </c>
      <c r="I8708" s="0" t="s">
        <v>28974</v>
      </c>
      <c r="J8708" s="0" t="s">
        <v>28975</v>
      </c>
      <c r="K8708" s="0" t="s">
        <v>28976</v>
      </c>
      <c r="L8708" s="0" t="str">
        <f aca="false">HYPERLINK("https://www.ncbi.nlm.nih.gov/nuccore/CP000058.1?report=graph&amp;tracks=[key:gene_model_track,Options:GeneOnly]&amp;mk=2748810:2748829|offset_0|444444,2748830:2748849|offset_20|00cc00,2748856:2748875|offset_46|444444,2748880:2748899|offset_70|444444&amp;v=2748609:2749099&amp;c=444444", "offset 20")</f>
        <v>offset 20</v>
      </c>
    </row>
    <row r="8709" customFormat="false" ht="12.8" hidden="false" customHeight="false" outlineLevel="0" collapsed="false">
      <c r="A8709" s="0" t="s">
        <v>12</v>
      </c>
      <c r="B8709" s="0" t="n">
        <v>2748855</v>
      </c>
      <c r="C8709" s="0" t="n">
        <v>2748875</v>
      </c>
      <c r="D8709" s="0" t="s">
        <v>28970</v>
      </c>
      <c r="E8709" s="0" t="s">
        <v>75</v>
      </c>
      <c r="F8709" s="0" t="s">
        <v>15</v>
      </c>
      <c r="G8709" s="0" t="s">
        <v>36</v>
      </c>
      <c r="H8709" s="0" t="n">
        <v>46</v>
      </c>
      <c r="I8709" s="0" t="s">
        <v>28977</v>
      </c>
      <c r="J8709" s="0" t="s">
        <v>28978</v>
      </c>
      <c r="K8709" s="0" t="s">
        <v>28979</v>
      </c>
      <c r="L8709" s="0" t="str">
        <f aca="false">HYPERLINK("https://www.ncbi.nlm.nih.gov/nuccore/CP000058.1?report=graph&amp;tracks=[key:gene_model_track,Options:GeneOnly]&amp;mk=2748810:2748829|offset_0|444444,2748830:2748849|offset_20|444444,2748856:2748875|offset_46|00cc00,2748880:2748899|offset_70|444444&amp;v=2748609:2749099&amp;c=444444", "offset 46")</f>
        <v>offset 46</v>
      </c>
    </row>
    <row r="8710" customFormat="false" ht="12.8" hidden="false" customHeight="false" outlineLevel="0" collapsed="false">
      <c r="A8710" s="0" t="s">
        <v>12</v>
      </c>
      <c r="B8710" s="0" t="n">
        <v>2748879</v>
      </c>
      <c r="C8710" s="0" t="n">
        <v>2748899</v>
      </c>
      <c r="D8710" s="0" t="s">
        <v>28970</v>
      </c>
      <c r="E8710" s="0" t="s">
        <v>75</v>
      </c>
      <c r="F8710" s="0" t="s">
        <v>15</v>
      </c>
      <c r="G8710" s="0" t="s">
        <v>32</v>
      </c>
      <c r="H8710" s="0" t="n">
        <v>70</v>
      </c>
      <c r="I8710" s="0" t="s">
        <v>28980</v>
      </c>
      <c r="J8710" s="0" t="s">
        <v>28981</v>
      </c>
      <c r="K8710" s="0" t="s">
        <v>28982</v>
      </c>
      <c r="L8710" s="0" t="str">
        <f aca="false">HYPERLINK("https://www.ncbi.nlm.nih.gov/nuccore/CP000058.1?report=graph&amp;tracks=[key:gene_model_track,Options:GeneOnly]&amp;mk=2748810:2748829|offset_0|444444,2748830:2748849|offset_20|444444,2748856:2748875|offset_46|444444,2748880:2748899|offset_70|00cc00&amp;v=2748609:2749099&amp;c=444444", "offset 70")</f>
        <v>offset 70</v>
      </c>
    </row>
    <row r="8711" customFormat="false" ht="12.8" hidden="false" customHeight="false" outlineLevel="0" collapsed="false">
      <c r="A8711" s="0" t="s">
        <v>12</v>
      </c>
      <c r="B8711" s="0" t="n">
        <v>2750146</v>
      </c>
      <c r="C8711" s="0" t="n">
        <v>2750166</v>
      </c>
      <c r="D8711" s="0" t="s">
        <v>28983</v>
      </c>
      <c r="E8711" s="0" t="s">
        <v>75</v>
      </c>
      <c r="F8711" s="0" t="s">
        <v>15</v>
      </c>
      <c r="G8711" s="0" t="s">
        <v>16</v>
      </c>
      <c r="H8711" s="0" t="n">
        <v>0</v>
      </c>
      <c r="I8711" s="0" t="s">
        <v>28984</v>
      </c>
      <c r="J8711" s="0" t="s">
        <v>28985</v>
      </c>
      <c r="K8711" s="0" t="s">
        <v>28986</v>
      </c>
      <c r="L8711" s="0" t="str">
        <f aca="false">HYPERLINK("https://www.ncbi.nlm.nih.gov/nuccore/CP000058.1?report=graph&amp;tracks=[key:gene_model_track,Options:GeneOnly]&amp;mk=2750147:2750166|offset_0|00cc00,2750174:2750193|offset_27|444444,2750229:2750248|offset_82|444444,2750283:2750302|offset_136|444444&amp;v=2749946:2750502&amp;c=444444", "offset 0")</f>
        <v>offset 0</v>
      </c>
    </row>
    <row r="8712" customFormat="false" ht="12.8" hidden="false" customHeight="false" outlineLevel="0" collapsed="false">
      <c r="A8712" s="0" t="s">
        <v>12</v>
      </c>
      <c r="B8712" s="0" t="n">
        <v>2750173</v>
      </c>
      <c r="C8712" s="0" t="n">
        <v>2750193</v>
      </c>
      <c r="D8712" s="0" t="s">
        <v>28983</v>
      </c>
      <c r="E8712" s="0" t="s">
        <v>75</v>
      </c>
      <c r="F8712" s="0" t="s">
        <v>15</v>
      </c>
      <c r="G8712" s="0" t="s">
        <v>36</v>
      </c>
      <c r="H8712" s="0" t="n">
        <v>27</v>
      </c>
      <c r="I8712" s="0" t="s">
        <v>28987</v>
      </c>
      <c r="J8712" s="0" t="s">
        <v>28988</v>
      </c>
      <c r="K8712" s="0" t="s">
        <v>28989</v>
      </c>
      <c r="L8712" s="0" t="str">
        <f aca="false">HYPERLINK("https://www.ncbi.nlm.nih.gov/nuccore/CP000058.1?report=graph&amp;tracks=[key:gene_model_track,Options:GeneOnly]&amp;mk=2750147:2750166|offset_0|444444,2750174:2750193|offset_27|00cc00,2750229:2750248|offset_82|444444,2750283:2750302|offset_136|444444&amp;v=2749946:2750502&amp;c=444444", "offset 27")</f>
        <v>offset 27</v>
      </c>
    </row>
    <row r="8713" customFormat="false" ht="12.8" hidden="false" customHeight="false" outlineLevel="0" collapsed="false">
      <c r="A8713" s="0" t="s">
        <v>12</v>
      </c>
      <c r="B8713" s="0" t="n">
        <v>2750228</v>
      </c>
      <c r="C8713" s="0" t="n">
        <v>2750248</v>
      </c>
      <c r="D8713" s="0" t="s">
        <v>28983</v>
      </c>
      <c r="E8713" s="0" t="s">
        <v>75</v>
      </c>
      <c r="F8713" s="0" t="s">
        <v>15</v>
      </c>
      <c r="G8713" s="0" t="s">
        <v>32</v>
      </c>
      <c r="H8713" s="0" t="n">
        <v>82</v>
      </c>
      <c r="I8713" s="0" t="s">
        <v>28990</v>
      </c>
      <c r="J8713" s="0" t="s">
        <v>28991</v>
      </c>
      <c r="K8713" s="0" t="s">
        <v>28992</v>
      </c>
      <c r="L8713" s="0" t="str">
        <f aca="false">HYPERLINK("https://www.ncbi.nlm.nih.gov/nuccore/CP000058.1?report=graph&amp;tracks=[key:gene_model_track,Options:GeneOnly]&amp;mk=2750147:2750166|offset_0|444444,2750174:2750193|offset_27|444444,2750229:2750248|offset_82|00cc00,2750283:2750302|offset_136|444444&amp;v=2749946:2750502&amp;c=444444", "offset 82")</f>
        <v>offset 82</v>
      </c>
    </row>
    <row r="8714" customFormat="false" ht="12.8" hidden="false" customHeight="false" outlineLevel="0" collapsed="false">
      <c r="A8714" s="0" t="s">
        <v>12</v>
      </c>
      <c r="B8714" s="0" t="n">
        <v>2750282</v>
      </c>
      <c r="C8714" s="0" t="n">
        <v>2750302</v>
      </c>
      <c r="D8714" s="0" t="s">
        <v>28983</v>
      </c>
      <c r="E8714" s="0" t="s">
        <v>75</v>
      </c>
      <c r="F8714" s="0" t="s">
        <v>15</v>
      </c>
      <c r="G8714" s="0" t="s">
        <v>20</v>
      </c>
      <c r="H8714" s="0" t="n">
        <v>136</v>
      </c>
      <c r="I8714" s="0" t="s">
        <v>28993</v>
      </c>
      <c r="J8714" s="0" t="s">
        <v>28994</v>
      </c>
      <c r="K8714" s="0" t="s">
        <v>28995</v>
      </c>
      <c r="L8714" s="0" t="str">
        <f aca="false">HYPERLINK("https://www.ncbi.nlm.nih.gov/nuccore/CP000058.1?report=graph&amp;tracks=[key:gene_model_track,Options:GeneOnly]&amp;mk=2750147:2750166|offset_0|444444,2750174:2750193|offset_27|444444,2750229:2750248|offset_82|444444,2750283:2750302|offset_136|00cc00&amp;v=2749946:2750502&amp;c=444444", "offset 136")</f>
        <v>offset 136</v>
      </c>
    </row>
    <row r="8715" customFormat="false" ht="12.8" hidden="false" customHeight="false" outlineLevel="0" collapsed="false">
      <c r="A8715" s="0" t="s">
        <v>12</v>
      </c>
      <c r="B8715" s="0" t="n">
        <v>2751110</v>
      </c>
      <c r="C8715" s="0" t="n">
        <v>2751130</v>
      </c>
      <c r="D8715" s="0" t="s">
        <v>28996</v>
      </c>
      <c r="E8715" s="0" t="s">
        <v>75</v>
      </c>
      <c r="F8715" s="0" t="s">
        <v>15</v>
      </c>
      <c r="G8715" s="0" t="s">
        <v>36</v>
      </c>
      <c r="H8715" s="0" t="n">
        <v>0</v>
      </c>
      <c r="I8715" s="0" t="s">
        <v>28997</v>
      </c>
      <c r="J8715" s="0" t="s">
        <v>28998</v>
      </c>
      <c r="K8715" s="0" t="s">
        <v>28999</v>
      </c>
      <c r="L8715" s="0" t="str">
        <f aca="false">HYPERLINK("https://www.ncbi.nlm.nih.gov/nuccore/CP000058.1?report=graph&amp;tracks=[key:gene_model_track,Options:GeneOnly]&amp;mk=2751111:2751130|offset_0|00cc00,2751135:2751154|offset_24|444444,2751172:2751191|offset_61|444444,2751208:2751227|offset_97|444444&amp;v=2750910:2751427&amp;c=444444", "offset 0")</f>
        <v>offset 0</v>
      </c>
    </row>
    <row r="8716" customFormat="false" ht="12.8" hidden="false" customHeight="false" outlineLevel="0" collapsed="false">
      <c r="A8716" s="0" t="s">
        <v>12</v>
      </c>
      <c r="B8716" s="0" t="n">
        <v>2751134</v>
      </c>
      <c r="C8716" s="0" t="n">
        <v>2751154</v>
      </c>
      <c r="D8716" s="0" t="s">
        <v>28996</v>
      </c>
      <c r="E8716" s="0" t="s">
        <v>75</v>
      </c>
      <c r="F8716" s="0" t="s">
        <v>15</v>
      </c>
      <c r="G8716" s="0" t="s">
        <v>32</v>
      </c>
      <c r="H8716" s="0" t="n">
        <v>24</v>
      </c>
      <c r="I8716" s="0" t="s">
        <v>29000</v>
      </c>
      <c r="J8716" s="0" t="s">
        <v>29001</v>
      </c>
      <c r="K8716" s="0" t="s">
        <v>29002</v>
      </c>
      <c r="L8716" s="0" t="str">
        <f aca="false">HYPERLINK("https://www.ncbi.nlm.nih.gov/nuccore/CP000058.1?report=graph&amp;tracks=[key:gene_model_track,Options:GeneOnly]&amp;mk=2751111:2751130|offset_0|444444,2751135:2751154|offset_24|00cc00,2751172:2751191|offset_61|444444,2751208:2751227|offset_97|444444&amp;v=2750910:2751427&amp;c=444444", "offset 24")</f>
        <v>offset 24</v>
      </c>
    </row>
    <row r="8717" customFormat="false" ht="12.8" hidden="false" customHeight="false" outlineLevel="0" collapsed="false">
      <c r="A8717" s="0" t="s">
        <v>12</v>
      </c>
      <c r="B8717" s="0" t="n">
        <v>2751171</v>
      </c>
      <c r="C8717" s="0" t="n">
        <v>2751191</v>
      </c>
      <c r="D8717" s="0" t="s">
        <v>28996</v>
      </c>
      <c r="E8717" s="0" t="s">
        <v>75</v>
      </c>
      <c r="F8717" s="0" t="s">
        <v>15</v>
      </c>
      <c r="G8717" s="0" t="s">
        <v>16</v>
      </c>
      <c r="H8717" s="0" t="n">
        <v>61</v>
      </c>
      <c r="I8717" s="0" t="s">
        <v>29003</v>
      </c>
      <c r="J8717" s="0" t="s">
        <v>29004</v>
      </c>
      <c r="K8717" s="0" t="s">
        <v>29005</v>
      </c>
      <c r="L8717" s="0" t="str">
        <f aca="false">HYPERLINK("https://www.ncbi.nlm.nih.gov/nuccore/CP000058.1?report=graph&amp;tracks=[key:gene_model_track,Options:GeneOnly]&amp;mk=2751111:2751130|offset_0|444444,2751135:2751154|offset_24|444444,2751172:2751191|offset_61|00cc00,2751208:2751227|offset_97|444444&amp;v=2750910:2751427&amp;c=444444", "offset 61")</f>
        <v>offset 61</v>
      </c>
    </row>
    <row r="8718" customFormat="false" ht="12.8" hidden="false" customHeight="false" outlineLevel="0" collapsed="false">
      <c r="A8718" s="0" t="s">
        <v>12</v>
      </c>
      <c r="B8718" s="0" t="n">
        <v>2751207</v>
      </c>
      <c r="C8718" s="0" t="n">
        <v>2751227</v>
      </c>
      <c r="D8718" s="0" t="s">
        <v>28996</v>
      </c>
      <c r="E8718" s="0" t="s">
        <v>75</v>
      </c>
      <c r="F8718" s="0" t="s">
        <v>15</v>
      </c>
      <c r="G8718" s="0" t="s">
        <v>32</v>
      </c>
      <c r="H8718" s="0" t="n">
        <v>97</v>
      </c>
      <c r="I8718" s="0" t="s">
        <v>29006</v>
      </c>
      <c r="J8718" s="0" t="s">
        <v>29007</v>
      </c>
      <c r="K8718" s="0" t="s">
        <v>29008</v>
      </c>
      <c r="L8718" s="0" t="str">
        <f aca="false">HYPERLINK("https://www.ncbi.nlm.nih.gov/nuccore/CP000058.1?report=graph&amp;tracks=[key:gene_model_track,Options:GeneOnly]&amp;mk=2751111:2751130|offset_0|444444,2751135:2751154|offset_24|444444,2751172:2751191|offset_61|444444,2751208:2751227|offset_97|00cc00&amp;v=2750910:2751427&amp;c=444444", "offset 97")</f>
        <v>offset 97</v>
      </c>
    </row>
    <row r="8719" customFormat="false" ht="12.8" hidden="false" customHeight="false" outlineLevel="0" collapsed="false">
      <c r="A8719" s="0" t="s">
        <v>12</v>
      </c>
      <c r="B8719" s="0" t="n">
        <v>2752340</v>
      </c>
      <c r="C8719" s="0" t="n">
        <v>2752360</v>
      </c>
      <c r="D8719" s="0" t="s">
        <v>29009</v>
      </c>
      <c r="E8719" s="0" t="s">
        <v>75</v>
      </c>
      <c r="F8719" s="0" t="s">
        <v>15</v>
      </c>
      <c r="G8719" s="0" t="s">
        <v>36</v>
      </c>
      <c r="H8719" s="0" t="n">
        <v>0</v>
      </c>
      <c r="I8719" s="0" t="s">
        <v>29010</v>
      </c>
      <c r="J8719" s="0" t="s">
        <v>29011</v>
      </c>
      <c r="K8719" s="0" t="s">
        <v>29012</v>
      </c>
      <c r="L8719" s="0" t="str">
        <f aca="false">HYPERLINK("https://www.ncbi.nlm.nih.gov/nuccore/CP000058.1?report=graph&amp;tracks=[key:gene_model_track,Options:GeneOnly]&amp;mk=2752341:2752360|offset_0|00cc00,2752363:2752382|offset_22|444444,2752384:2752403|offset_43|444444,2752423:2752442|offset_82|444444&amp;v=2752140:2752642&amp;c=444444", "offset 0")</f>
        <v>offset 0</v>
      </c>
    </row>
    <row r="8720" customFormat="false" ht="12.8" hidden="false" customHeight="false" outlineLevel="0" collapsed="false">
      <c r="A8720" s="0" t="s">
        <v>12</v>
      </c>
      <c r="B8720" s="0" t="n">
        <v>2752362</v>
      </c>
      <c r="C8720" s="0" t="n">
        <v>2752382</v>
      </c>
      <c r="D8720" s="0" t="s">
        <v>29009</v>
      </c>
      <c r="E8720" s="0" t="s">
        <v>75</v>
      </c>
      <c r="F8720" s="0" t="s">
        <v>15</v>
      </c>
      <c r="G8720" s="0" t="s">
        <v>16</v>
      </c>
      <c r="H8720" s="0" t="n">
        <v>22</v>
      </c>
      <c r="I8720" s="0" t="s">
        <v>29013</v>
      </c>
      <c r="J8720" s="0" t="s">
        <v>29014</v>
      </c>
      <c r="K8720" s="0" t="s">
        <v>29015</v>
      </c>
      <c r="L8720" s="0" t="str">
        <f aca="false">HYPERLINK("https://www.ncbi.nlm.nih.gov/nuccore/CP000058.1?report=graph&amp;tracks=[key:gene_model_track,Options:GeneOnly]&amp;mk=2752341:2752360|offset_0|444444,2752363:2752382|offset_22|00cc00,2752384:2752403|offset_43|444444,2752423:2752442|offset_82|444444&amp;v=2752140:2752642&amp;c=444444", "offset 22")</f>
        <v>offset 22</v>
      </c>
    </row>
    <row r="8721" customFormat="false" ht="12.8" hidden="false" customHeight="false" outlineLevel="0" collapsed="false">
      <c r="A8721" s="0" t="s">
        <v>12</v>
      </c>
      <c r="B8721" s="0" t="n">
        <v>2752383</v>
      </c>
      <c r="C8721" s="0" t="n">
        <v>2752403</v>
      </c>
      <c r="D8721" s="0" t="s">
        <v>29009</v>
      </c>
      <c r="E8721" s="0" t="s">
        <v>75</v>
      </c>
      <c r="F8721" s="0" t="s">
        <v>15</v>
      </c>
      <c r="G8721" s="0" t="s">
        <v>16</v>
      </c>
      <c r="H8721" s="0" t="n">
        <v>43</v>
      </c>
      <c r="I8721" s="0" t="s">
        <v>29016</v>
      </c>
      <c r="J8721" s="0" t="s">
        <v>29017</v>
      </c>
      <c r="K8721" s="0" t="s">
        <v>29018</v>
      </c>
      <c r="L8721" s="0" t="str">
        <f aca="false">HYPERLINK("https://www.ncbi.nlm.nih.gov/nuccore/CP000058.1?report=graph&amp;tracks=[key:gene_model_track,Options:GeneOnly]&amp;mk=2752341:2752360|offset_0|444444,2752363:2752382|offset_22|444444,2752384:2752403|offset_43|00cc00,2752423:2752442|offset_82|444444&amp;v=2752140:2752642&amp;c=444444", "offset 43")</f>
        <v>offset 43</v>
      </c>
    </row>
    <row r="8722" customFormat="false" ht="12.8" hidden="false" customHeight="false" outlineLevel="0" collapsed="false">
      <c r="A8722" s="0" t="s">
        <v>12</v>
      </c>
      <c r="B8722" s="0" t="n">
        <v>2752422</v>
      </c>
      <c r="C8722" s="0" t="n">
        <v>2752442</v>
      </c>
      <c r="D8722" s="0" t="s">
        <v>29009</v>
      </c>
      <c r="E8722" s="0" t="s">
        <v>75</v>
      </c>
      <c r="F8722" s="0" t="s">
        <v>15</v>
      </c>
      <c r="G8722" s="0" t="s">
        <v>36</v>
      </c>
      <c r="H8722" s="0" t="n">
        <v>82</v>
      </c>
      <c r="I8722" s="0" t="s">
        <v>29019</v>
      </c>
      <c r="J8722" s="0" t="s">
        <v>29020</v>
      </c>
      <c r="K8722" s="0" t="s">
        <v>29021</v>
      </c>
      <c r="L8722" s="0" t="str">
        <f aca="false">HYPERLINK("https://www.ncbi.nlm.nih.gov/nuccore/CP000058.1?report=graph&amp;tracks=[key:gene_model_track,Options:GeneOnly]&amp;mk=2752341:2752360|offset_0|444444,2752363:2752382|offset_22|444444,2752384:2752403|offset_43|444444,2752423:2752442|offset_82|00cc00&amp;v=2752140:2752642&amp;c=444444", "offset 82")</f>
        <v>offset 82</v>
      </c>
    </row>
    <row r="8723" customFormat="false" ht="12.8" hidden="false" customHeight="false" outlineLevel="0" collapsed="false">
      <c r="A8723" s="0" t="s">
        <v>12</v>
      </c>
      <c r="B8723" s="0" t="n">
        <v>2752813</v>
      </c>
      <c r="C8723" s="0" t="n">
        <v>2752833</v>
      </c>
      <c r="D8723" s="0" t="s">
        <v>29022</v>
      </c>
      <c r="E8723" s="0" t="s">
        <v>75</v>
      </c>
      <c r="F8723" s="0" t="s">
        <v>15</v>
      </c>
      <c r="G8723" s="0" t="s">
        <v>20</v>
      </c>
      <c r="H8723" s="0" t="n">
        <v>28</v>
      </c>
      <c r="I8723" s="0" t="s">
        <v>29023</v>
      </c>
      <c r="J8723" s="0" t="s">
        <v>29024</v>
      </c>
      <c r="K8723" s="0" t="s">
        <v>29025</v>
      </c>
      <c r="L8723" s="0" t="str">
        <f aca="false">HYPERLINK("https://www.ncbi.nlm.nih.gov/nuccore/CP000058.1?report=graph&amp;tracks=[key:gene_model_track,Options:GeneOnly]&amp;mk=2752814:2752833|offset_28|00cc00,2752836:2752855|offset_50|444444,2752864:2752883|offset_78|444444,2752893:2752912|offset_107|444444&amp;v=2752613:2753112&amp;c=444444", "offset 28")</f>
        <v>offset 28</v>
      </c>
    </row>
    <row r="8724" customFormat="false" ht="12.8" hidden="false" customHeight="false" outlineLevel="0" collapsed="false">
      <c r="A8724" s="0" t="s">
        <v>12</v>
      </c>
      <c r="B8724" s="0" t="n">
        <v>2752835</v>
      </c>
      <c r="C8724" s="0" t="n">
        <v>2752855</v>
      </c>
      <c r="D8724" s="0" t="s">
        <v>29022</v>
      </c>
      <c r="E8724" s="0" t="s">
        <v>75</v>
      </c>
      <c r="F8724" s="0" t="s">
        <v>15</v>
      </c>
      <c r="G8724" s="0" t="s">
        <v>32</v>
      </c>
      <c r="H8724" s="0" t="n">
        <v>50</v>
      </c>
      <c r="I8724" s="0" t="s">
        <v>29026</v>
      </c>
      <c r="J8724" s="0" t="s">
        <v>29027</v>
      </c>
      <c r="K8724" s="0" t="s">
        <v>29028</v>
      </c>
      <c r="L8724" s="0" t="str">
        <f aca="false">HYPERLINK("https://www.ncbi.nlm.nih.gov/nuccore/CP000058.1?report=graph&amp;tracks=[key:gene_model_track,Options:GeneOnly]&amp;mk=2752814:2752833|offset_28|444444,2752836:2752855|offset_50|00cc00,2752864:2752883|offset_78|444444,2752893:2752912|offset_107|444444&amp;v=2752613:2753112&amp;c=444444", "offset 50")</f>
        <v>offset 50</v>
      </c>
    </row>
    <row r="8725" customFormat="false" ht="12.8" hidden="false" customHeight="false" outlineLevel="0" collapsed="false">
      <c r="A8725" s="0" t="s">
        <v>12</v>
      </c>
      <c r="B8725" s="0" t="n">
        <v>2752863</v>
      </c>
      <c r="C8725" s="0" t="n">
        <v>2752883</v>
      </c>
      <c r="D8725" s="0" t="s">
        <v>29022</v>
      </c>
      <c r="E8725" s="0" t="s">
        <v>75</v>
      </c>
      <c r="F8725" s="0" t="s">
        <v>15</v>
      </c>
      <c r="G8725" s="0" t="s">
        <v>20</v>
      </c>
      <c r="H8725" s="0" t="n">
        <v>78</v>
      </c>
      <c r="I8725" s="0" t="s">
        <v>29029</v>
      </c>
      <c r="J8725" s="0" t="s">
        <v>29030</v>
      </c>
      <c r="K8725" s="0" t="s">
        <v>29031</v>
      </c>
      <c r="L8725" s="0" t="str">
        <f aca="false">HYPERLINK("https://www.ncbi.nlm.nih.gov/nuccore/CP000058.1?report=graph&amp;tracks=[key:gene_model_track,Options:GeneOnly]&amp;mk=2752814:2752833|offset_28|444444,2752836:2752855|offset_50|444444,2752864:2752883|offset_78|00cc00,2752893:2752912|offset_107|444444&amp;v=2752613:2753112&amp;c=444444", "offset 78")</f>
        <v>offset 78</v>
      </c>
    </row>
    <row r="8726" customFormat="false" ht="12.8" hidden="false" customHeight="false" outlineLevel="0" collapsed="false">
      <c r="A8726" s="0" t="s">
        <v>12</v>
      </c>
      <c r="B8726" s="0" t="n">
        <v>2752892</v>
      </c>
      <c r="C8726" s="0" t="n">
        <v>2752912</v>
      </c>
      <c r="D8726" s="0" t="s">
        <v>29022</v>
      </c>
      <c r="E8726" s="0" t="s">
        <v>75</v>
      </c>
      <c r="F8726" s="0" t="s">
        <v>15</v>
      </c>
      <c r="G8726" s="0" t="s">
        <v>20</v>
      </c>
      <c r="H8726" s="0" t="n">
        <v>107</v>
      </c>
      <c r="I8726" s="0" t="s">
        <v>29032</v>
      </c>
      <c r="J8726" s="0" t="s">
        <v>29033</v>
      </c>
      <c r="K8726" s="0" t="s">
        <v>29034</v>
      </c>
      <c r="L8726" s="0" t="str">
        <f aca="false">HYPERLINK("https://www.ncbi.nlm.nih.gov/nuccore/CP000058.1?report=graph&amp;tracks=[key:gene_model_track,Options:GeneOnly]&amp;mk=2752814:2752833|offset_28|444444,2752836:2752855|offset_50|444444,2752864:2752883|offset_78|444444,2752893:2752912|offset_107|00cc00&amp;v=2752613:2753112&amp;c=444444", "offset 107")</f>
        <v>offset 107</v>
      </c>
    </row>
    <row r="8727" customFormat="false" ht="12.8" hidden="false" customHeight="false" outlineLevel="0" collapsed="false">
      <c r="A8727" s="0" t="s">
        <v>12</v>
      </c>
      <c r="B8727" s="0" t="n">
        <v>2755328</v>
      </c>
      <c r="C8727" s="0" t="n">
        <v>2755348</v>
      </c>
      <c r="D8727" s="0" t="s">
        <v>29035</v>
      </c>
      <c r="E8727" s="0" t="s">
        <v>29036</v>
      </c>
      <c r="F8727" s="0" t="s">
        <v>90</v>
      </c>
      <c r="G8727" s="0" t="s">
        <v>20</v>
      </c>
      <c r="H8727" s="0" t="n">
        <v>7</v>
      </c>
      <c r="I8727" s="0" t="s">
        <v>29037</v>
      </c>
      <c r="J8727" s="0" t="s">
        <v>29038</v>
      </c>
      <c r="K8727" s="0" t="s">
        <v>29039</v>
      </c>
      <c r="L8727" s="0" t="str">
        <f aca="false">HYPERLINK("https://www.ncbi.nlm.nih.gov/nuccore/CP000058.1?report=graph&amp;tracks=[key:gene_model_track,Options:GeneOnly]&amp;mk=2755329:2755348|offset_7|00cc00,2755309:2755328|offset_27|444444,2755285:2755304|offset_51|444444,2755256:2755275|offset_80|444444&amp;v=2755128:2755475&amp;c=444444", "offset 7")</f>
        <v>offset 7</v>
      </c>
    </row>
    <row r="8728" customFormat="false" ht="12.8" hidden="false" customHeight="false" outlineLevel="0" collapsed="false">
      <c r="A8728" s="0" t="s">
        <v>12</v>
      </c>
      <c r="B8728" s="0" t="n">
        <v>2755308</v>
      </c>
      <c r="C8728" s="0" t="n">
        <v>2755328</v>
      </c>
      <c r="D8728" s="0" t="s">
        <v>29035</v>
      </c>
      <c r="E8728" s="0" t="s">
        <v>29036</v>
      </c>
      <c r="F8728" s="0" t="s">
        <v>90</v>
      </c>
      <c r="G8728" s="0" t="s">
        <v>16</v>
      </c>
      <c r="H8728" s="0" t="n">
        <v>27</v>
      </c>
      <c r="I8728" s="0" t="s">
        <v>29040</v>
      </c>
      <c r="J8728" s="0" t="s">
        <v>29041</v>
      </c>
      <c r="K8728" s="0" t="s">
        <v>29042</v>
      </c>
      <c r="L8728" s="0" t="str">
        <f aca="false">HYPERLINK("https://www.ncbi.nlm.nih.gov/nuccore/CP000058.1?report=graph&amp;tracks=[key:gene_model_track,Options:GeneOnly]&amp;mk=2755329:2755348|offset_7|444444,2755309:2755328|offset_27|00cc00,2755285:2755304|offset_51|444444,2755256:2755275|offset_80|444444&amp;v=2755128:2755475&amp;c=444444", "offset 27")</f>
        <v>offset 27</v>
      </c>
    </row>
    <row r="8729" customFormat="false" ht="12.8" hidden="false" customHeight="false" outlineLevel="0" collapsed="false">
      <c r="A8729" s="0" t="s">
        <v>12</v>
      </c>
      <c r="B8729" s="0" t="n">
        <v>2755284</v>
      </c>
      <c r="C8729" s="0" t="n">
        <v>2755304</v>
      </c>
      <c r="D8729" s="0" t="s">
        <v>29035</v>
      </c>
      <c r="E8729" s="0" t="s">
        <v>29036</v>
      </c>
      <c r="F8729" s="0" t="s">
        <v>90</v>
      </c>
      <c r="G8729" s="0" t="s">
        <v>36</v>
      </c>
      <c r="H8729" s="0" t="n">
        <v>51</v>
      </c>
      <c r="I8729" s="0" t="s">
        <v>29043</v>
      </c>
      <c r="J8729" s="0" t="s">
        <v>29044</v>
      </c>
      <c r="K8729" s="0" t="s">
        <v>29045</v>
      </c>
      <c r="L8729" s="0" t="str">
        <f aca="false">HYPERLINK("https://www.ncbi.nlm.nih.gov/nuccore/CP000058.1?report=graph&amp;tracks=[key:gene_model_track,Options:GeneOnly]&amp;mk=2755329:2755348|offset_7|444444,2755309:2755328|offset_27|444444,2755285:2755304|offset_51|00cc00,2755256:2755275|offset_80|444444&amp;v=2755128:2755475&amp;c=444444", "offset 51")</f>
        <v>offset 51</v>
      </c>
    </row>
    <row r="8730" customFormat="false" ht="12.8" hidden="false" customHeight="false" outlineLevel="0" collapsed="false">
      <c r="A8730" s="0" t="s">
        <v>12</v>
      </c>
      <c r="B8730" s="0" t="n">
        <v>2755255</v>
      </c>
      <c r="C8730" s="0" t="n">
        <v>2755275</v>
      </c>
      <c r="D8730" s="0" t="s">
        <v>29035</v>
      </c>
      <c r="E8730" s="0" t="s">
        <v>29036</v>
      </c>
      <c r="F8730" s="0" t="s">
        <v>90</v>
      </c>
      <c r="G8730" s="0" t="s">
        <v>20</v>
      </c>
      <c r="H8730" s="0" t="n">
        <v>80</v>
      </c>
      <c r="I8730" s="0" t="s">
        <v>29046</v>
      </c>
      <c r="J8730" s="0" t="s">
        <v>29047</v>
      </c>
      <c r="K8730" s="0" t="s">
        <v>29048</v>
      </c>
      <c r="L8730" s="0" t="str">
        <f aca="false">HYPERLINK("https://www.ncbi.nlm.nih.gov/nuccore/CP000058.1?report=graph&amp;tracks=[key:gene_model_track,Options:GeneOnly]&amp;mk=2755329:2755348|offset_7|444444,2755309:2755328|offset_27|444444,2755285:2755304|offset_51|444444,2755256:2755275|offset_80|00cc00&amp;v=2755128:2755475&amp;c=444444", "offset 80")</f>
        <v>offset 80</v>
      </c>
    </row>
    <row r="8731" customFormat="false" ht="12.8" hidden="false" customHeight="false" outlineLevel="0" collapsed="false">
      <c r="A8731" s="0" t="s">
        <v>12</v>
      </c>
      <c r="B8731" s="0" t="n">
        <v>2756704</v>
      </c>
      <c r="C8731" s="0" t="n">
        <v>2756724</v>
      </c>
      <c r="D8731" s="0" t="s">
        <v>29049</v>
      </c>
      <c r="E8731" s="0" t="s">
        <v>29050</v>
      </c>
      <c r="F8731" s="0" t="s">
        <v>90</v>
      </c>
      <c r="G8731" s="0" t="s">
        <v>32</v>
      </c>
      <c r="H8731" s="0" t="n">
        <v>19</v>
      </c>
      <c r="I8731" s="0" t="s">
        <v>29051</v>
      </c>
      <c r="J8731" s="0" t="s">
        <v>29052</v>
      </c>
      <c r="K8731" s="0" t="s">
        <v>29053</v>
      </c>
      <c r="L8731" s="0" t="str">
        <f aca="false">HYPERLINK("https://www.ncbi.nlm.nih.gov/nuccore/CP000058.1?report=graph&amp;tracks=[key:gene_model_track,Options:GeneOnly]&amp;mk=2756705:2756724|offset_19|00cc00,2756678:2756697|offset_46|444444,2756624:2756643|offset_100|444444,2756591:2756610|offset_133|444444&amp;v=2756504:2756810&amp;c=444444", "offset 19")</f>
        <v>offset 19</v>
      </c>
    </row>
    <row r="8732" customFormat="false" ht="12.8" hidden="false" customHeight="false" outlineLevel="0" collapsed="false">
      <c r="A8732" s="0" t="s">
        <v>12</v>
      </c>
      <c r="B8732" s="0" t="n">
        <v>2756677</v>
      </c>
      <c r="C8732" s="0" t="n">
        <v>2756697</v>
      </c>
      <c r="D8732" s="0" t="s">
        <v>29049</v>
      </c>
      <c r="E8732" s="0" t="s">
        <v>29050</v>
      </c>
      <c r="F8732" s="0" t="s">
        <v>90</v>
      </c>
      <c r="G8732" s="0" t="s">
        <v>32</v>
      </c>
      <c r="H8732" s="0" t="n">
        <v>46</v>
      </c>
      <c r="I8732" s="0" t="s">
        <v>29054</v>
      </c>
      <c r="J8732" s="0" t="s">
        <v>29055</v>
      </c>
      <c r="K8732" s="0" t="s">
        <v>29056</v>
      </c>
      <c r="L8732" s="0" t="str">
        <f aca="false">HYPERLINK("https://www.ncbi.nlm.nih.gov/nuccore/CP000058.1?report=graph&amp;tracks=[key:gene_model_track,Options:GeneOnly]&amp;mk=2756705:2756724|offset_19|444444,2756678:2756697|offset_46|00cc00,2756624:2756643|offset_100|444444,2756591:2756610|offset_133|444444&amp;v=2756504:2756810&amp;c=444444", "offset 46")</f>
        <v>offset 46</v>
      </c>
    </row>
    <row r="8733" customFormat="false" ht="12.8" hidden="false" customHeight="false" outlineLevel="0" collapsed="false">
      <c r="A8733" s="0" t="s">
        <v>12</v>
      </c>
      <c r="B8733" s="0" t="n">
        <v>2756623</v>
      </c>
      <c r="C8733" s="0" t="n">
        <v>2756643</v>
      </c>
      <c r="D8733" s="0" t="s">
        <v>29049</v>
      </c>
      <c r="E8733" s="0" t="s">
        <v>29050</v>
      </c>
      <c r="F8733" s="0" t="s">
        <v>90</v>
      </c>
      <c r="G8733" s="0" t="s">
        <v>36</v>
      </c>
      <c r="H8733" s="0" t="n">
        <v>100</v>
      </c>
      <c r="I8733" s="0" t="s">
        <v>29057</v>
      </c>
      <c r="J8733" s="0" t="s">
        <v>29058</v>
      </c>
      <c r="K8733" s="0" t="s">
        <v>29059</v>
      </c>
      <c r="L8733" s="0" t="str">
        <f aca="false">HYPERLINK("https://www.ncbi.nlm.nih.gov/nuccore/CP000058.1?report=graph&amp;tracks=[key:gene_model_track,Options:GeneOnly]&amp;mk=2756705:2756724|offset_19|444444,2756678:2756697|offset_46|444444,2756624:2756643|offset_100|00cc00,2756591:2756610|offset_133|444444&amp;v=2756504:2756810&amp;c=444444", "offset 100")</f>
        <v>offset 100</v>
      </c>
    </row>
    <row r="8734" customFormat="false" ht="12.8" hidden="false" customHeight="false" outlineLevel="0" collapsed="false">
      <c r="A8734" s="0" t="s">
        <v>12</v>
      </c>
      <c r="B8734" s="0" t="n">
        <v>2756590</v>
      </c>
      <c r="C8734" s="0" t="n">
        <v>2756610</v>
      </c>
      <c r="D8734" s="0" t="s">
        <v>29049</v>
      </c>
      <c r="E8734" s="0" t="s">
        <v>29050</v>
      </c>
      <c r="F8734" s="0" t="s">
        <v>90</v>
      </c>
      <c r="G8734" s="0" t="s">
        <v>32</v>
      </c>
      <c r="H8734" s="0" t="n">
        <v>133</v>
      </c>
      <c r="I8734" s="0" t="s">
        <v>29060</v>
      </c>
      <c r="J8734" s="0" t="s">
        <v>29061</v>
      </c>
      <c r="K8734" s="0" t="s">
        <v>29062</v>
      </c>
      <c r="L8734" s="0" t="str">
        <f aca="false">HYPERLINK("https://www.ncbi.nlm.nih.gov/nuccore/CP000058.1?report=graph&amp;tracks=[key:gene_model_track,Options:GeneOnly]&amp;mk=2756705:2756724|offset_19|444444,2756678:2756697|offset_46|444444,2756624:2756643|offset_100|444444,2756591:2756610|offset_133|00cc00&amp;v=2756504:2756810&amp;c=444444", "offset 133")</f>
        <v>offset 133</v>
      </c>
    </row>
    <row r="8735" customFormat="false" ht="12.8" hidden="false" customHeight="false" outlineLevel="0" collapsed="false">
      <c r="A8735" s="0" t="s">
        <v>12</v>
      </c>
      <c r="B8735" s="0" t="n">
        <v>2756909</v>
      </c>
      <c r="C8735" s="0" t="n">
        <v>2756929</v>
      </c>
      <c r="D8735" s="0" t="s">
        <v>29063</v>
      </c>
      <c r="E8735" s="0" t="s">
        <v>75</v>
      </c>
      <c r="F8735" s="0" t="s">
        <v>15</v>
      </c>
      <c r="G8735" s="0" t="s">
        <v>32</v>
      </c>
      <c r="H8735" s="0" t="n">
        <v>22</v>
      </c>
      <c r="I8735" s="0" t="s">
        <v>29064</v>
      </c>
      <c r="J8735" s="0" t="s">
        <v>29065</v>
      </c>
      <c r="K8735" s="0" t="s">
        <v>29066</v>
      </c>
      <c r="L8735" s="0" t="str">
        <f aca="false">HYPERLINK("https://www.ncbi.nlm.nih.gov/nuccore/CP000058.1?report=graph&amp;tracks=[key:gene_model_track,Options:GeneOnly]&amp;mk=2756910:2756929|offset_22|00cc00,2756931:2756950|offset_43|444444,2756987:2757006|offset_99|444444,2757008:2757027|offset_120|444444&amp;v=2756709:2757227&amp;c=444444", "offset 22")</f>
        <v>offset 22</v>
      </c>
    </row>
    <row r="8736" customFormat="false" ht="12.8" hidden="false" customHeight="false" outlineLevel="0" collapsed="false">
      <c r="A8736" s="0" t="s">
        <v>12</v>
      </c>
      <c r="B8736" s="0" t="n">
        <v>2756930</v>
      </c>
      <c r="C8736" s="0" t="n">
        <v>2756950</v>
      </c>
      <c r="D8736" s="0" t="s">
        <v>29063</v>
      </c>
      <c r="E8736" s="0" t="s">
        <v>75</v>
      </c>
      <c r="F8736" s="0" t="s">
        <v>15</v>
      </c>
      <c r="G8736" s="0" t="s">
        <v>20</v>
      </c>
      <c r="H8736" s="0" t="n">
        <v>43</v>
      </c>
      <c r="I8736" s="0" t="s">
        <v>29067</v>
      </c>
      <c r="J8736" s="0" t="s">
        <v>29068</v>
      </c>
      <c r="K8736" s="0" t="s">
        <v>29069</v>
      </c>
      <c r="L8736" s="0" t="str">
        <f aca="false">HYPERLINK("https://www.ncbi.nlm.nih.gov/nuccore/CP000058.1?report=graph&amp;tracks=[key:gene_model_track,Options:GeneOnly]&amp;mk=2756910:2756929|offset_22|444444,2756931:2756950|offset_43|00cc00,2756987:2757006|offset_99|444444,2757008:2757027|offset_120|444444&amp;v=2756709:2757227&amp;c=444444", "offset 43")</f>
        <v>offset 43</v>
      </c>
    </row>
    <row r="8737" customFormat="false" ht="12.8" hidden="false" customHeight="false" outlineLevel="0" collapsed="false">
      <c r="A8737" s="0" t="s">
        <v>12</v>
      </c>
      <c r="B8737" s="0" t="n">
        <v>2756986</v>
      </c>
      <c r="C8737" s="0" t="n">
        <v>2757006</v>
      </c>
      <c r="D8737" s="0" t="s">
        <v>29063</v>
      </c>
      <c r="E8737" s="0" t="s">
        <v>75</v>
      </c>
      <c r="F8737" s="0" t="s">
        <v>15</v>
      </c>
      <c r="G8737" s="0" t="s">
        <v>16</v>
      </c>
      <c r="H8737" s="0" t="n">
        <v>99</v>
      </c>
      <c r="I8737" s="0" t="s">
        <v>29070</v>
      </c>
      <c r="J8737" s="0" t="s">
        <v>29071</v>
      </c>
      <c r="K8737" s="0" t="s">
        <v>29072</v>
      </c>
      <c r="L8737" s="0" t="str">
        <f aca="false">HYPERLINK("https://www.ncbi.nlm.nih.gov/nuccore/CP000058.1?report=graph&amp;tracks=[key:gene_model_track,Options:GeneOnly]&amp;mk=2756910:2756929|offset_22|444444,2756931:2756950|offset_43|444444,2756987:2757006|offset_99|00cc00,2757008:2757027|offset_120|444444&amp;v=2756709:2757227&amp;c=444444", "offset 99")</f>
        <v>offset 99</v>
      </c>
    </row>
    <row r="8738" customFormat="false" ht="12.8" hidden="false" customHeight="false" outlineLevel="0" collapsed="false">
      <c r="A8738" s="0" t="s">
        <v>12</v>
      </c>
      <c r="B8738" s="0" t="n">
        <v>2757007</v>
      </c>
      <c r="C8738" s="0" t="n">
        <v>2757027</v>
      </c>
      <c r="D8738" s="0" t="s">
        <v>29063</v>
      </c>
      <c r="E8738" s="0" t="s">
        <v>75</v>
      </c>
      <c r="F8738" s="0" t="s">
        <v>15</v>
      </c>
      <c r="G8738" s="0" t="s">
        <v>32</v>
      </c>
      <c r="H8738" s="0" t="n">
        <v>120</v>
      </c>
      <c r="I8738" s="0" t="s">
        <v>29073</v>
      </c>
      <c r="J8738" s="0" t="s">
        <v>29074</v>
      </c>
      <c r="K8738" s="0" t="s">
        <v>29075</v>
      </c>
      <c r="L8738" s="0" t="str">
        <f aca="false">HYPERLINK("https://www.ncbi.nlm.nih.gov/nuccore/CP000058.1?report=graph&amp;tracks=[key:gene_model_track,Options:GeneOnly]&amp;mk=2756910:2756929|offset_22|444444,2756931:2756950|offset_43|444444,2756987:2757006|offset_99|444444,2757008:2757027|offset_120|00cc00&amp;v=2756709:2757227&amp;c=444444", "offset 120")</f>
        <v>offset 120</v>
      </c>
    </row>
    <row r="8739" customFormat="false" ht="12.8" hidden="false" customHeight="false" outlineLevel="0" collapsed="false">
      <c r="A8739" s="0" t="s">
        <v>12</v>
      </c>
      <c r="B8739" s="0" t="n">
        <v>2758124</v>
      </c>
      <c r="C8739" s="0" t="n">
        <v>2758144</v>
      </c>
      <c r="D8739" s="0" t="s">
        <v>29076</v>
      </c>
      <c r="E8739" s="0" t="s">
        <v>75</v>
      </c>
      <c r="F8739" s="0" t="s">
        <v>15</v>
      </c>
      <c r="G8739" s="0" t="s">
        <v>36</v>
      </c>
      <c r="H8739" s="0" t="n">
        <v>26</v>
      </c>
      <c r="I8739" s="0" t="s">
        <v>29077</v>
      </c>
      <c r="J8739" s="0" t="s">
        <v>29078</v>
      </c>
      <c r="K8739" s="0" t="s">
        <v>29079</v>
      </c>
      <c r="L8739" s="0" t="str">
        <f aca="false">HYPERLINK("https://www.ncbi.nlm.nih.gov/nuccore/CP000058.1?report=graph&amp;tracks=[key:gene_model_track,Options:GeneOnly]&amp;mk=2758125:2758144|offset_26|00cc00,2758148:2758167|offset_49|444444,2758178:2758197|offset_79|444444,2758206:2758225|offset_107|444444&amp;v=2757924:2758425&amp;c=444444", "offset 26")</f>
        <v>offset 26</v>
      </c>
    </row>
    <row r="8740" customFormat="false" ht="12.8" hidden="false" customHeight="false" outlineLevel="0" collapsed="false">
      <c r="A8740" s="0" t="s">
        <v>12</v>
      </c>
      <c r="B8740" s="0" t="n">
        <v>2758147</v>
      </c>
      <c r="C8740" s="0" t="n">
        <v>2758167</v>
      </c>
      <c r="D8740" s="0" t="s">
        <v>29076</v>
      </c>
      <c r="E8740" s="0" t="s">
        <v>75</v>
      </c>
      <c r="F8740" s="0" t="s">
        <v>15</v>
      </c>
      <c r="G8740" s="0" t="s">
        <v>32</v>
      </c>
      <c r="H8740" s="0" t="n">
        <v>49</v>
      </c>
      <c r="I8740" s="0" t="s">
        <v>29080</v>
      </c>
      <c r="J8740" s="0" t="s">
        <v>29081</v>
      </c>
      <c r="K8740" s="0" t="s">
        <v>29082</v>
      </c>
      <c r="L8740" s="0" t="str">
        <f aca="false">HYPERLINK("https://www.ncbi.nlm.nih.gov/nuccore/CP000058.1?report=graph&amp;tracks=[key:gene_model_track,Options:GeneOnly]&amp;mk=2758125:2758144|offset_26|444444,2758148:2758167|offset_49|00cc00,2758178:2758197|offset_79|444444,2758206:2758225|offset_107|444444&amp;v=2757924:2758425&amp;c=444444", "offset 49")</f>
        <v>offset 49</v>
      </c>
    </row>
    <row r="8741" customFormat="false" ht="12.8" hidden="false" customHeight="false" outlineLevel="0" collapsed="false">
      <c r="A8741" s="0" t="s">
        <v>12</v>
      </c>
      <c r="B8741" s="0" t="n">
        <v>2758177</v>
      </c>
      <c r="C8741" s="0" t="n">
        <v>2758197</v>
      </c>
      <c r="D8741" s="0" t="s">
        <v>29076</v>
      </c>
      <c r="E8741" s="0" t="s">
        <v>75</v>
      </c>
      <c r="F8741" s="0" t="s">
        <v>15</v>
      </c>
      <c r="G8741" s="0" t="s">
        <v>32</v>
      </c>
      <c r="H8741" s="0" t="n">
        <v>79</v>
      </c>
      <c r="I8741" s="0" t="s">
        <v>29083</v>
      </c>
      <c r="J8741" s="0" t="s">
        <v>29084</v>
      </c>
      <c r="K8741" s="0" t="s">
        <v>29085</v>
      </c>
      <c r="L8741" s="0" t="str">
        <f aca="false">HYPERLINK("https://www.ncbi.nlm.nih.gov/nuccore/CP000058.1?report=graph&amp;tracks=[key:gene_model_track,Options:GeneOnly]&amp;mk=2758125:2758144|offset_26|444444,2758148:2758167|offset_49|444444,2758178:2758197|offset_79|00cc00,2758206:2758225|offset_107|444444&amp;v=2757924:2758425&amp;c=444444", "offset 79")</f>
        <v>offset 79</v>
      </c>
    </row>
    <row r="8742" customFormat="false" ht="12.8" hidden="false" customHeight="false" outlineLevel="0" collapsed="false">
      <c r="A8742" s="0" t="s">
        <v>12</v>
      </c>
      <c r="B8742" s="0" t="n">
        <v>2758205</v>
      </c>
      <c r="C8742" s="0" t="n">
        <v>2758225</v>
      </c>
      <c r="D8742" s="0" t="s">
        <v>29076</v>
      </c>
      <c r="E8742" s="0" t="s">
        <v>75</v>
      </c>
      <c r="F8742" s="0" t="s">
        <v>15</v>
      </c>
      <c r="G8742" s="0" t="s">
        <v>36</v>
      </c>
      <c r="H8742" s="0" t="n">
        <v>107</v>
      </c>
      <c r="I8742" s="0" t="s">
        <v>29086</v>
      </c>
      <c r="J8742" s="0" t="s">
        <v>29087</v>
      </c>
      <c r="K8742" s="0" t="s">
        <v>29088</v>
      </c>
      <c r="L8742" s="0" t="str">
        <f aca="false">HYPERLINK("https://www.ncbi.nlm.nih.gov/nuccore/CP000058.1?report=graph&amp;tracks=[key:gene_model_track,Options:GeneOnly]&amp;mk=2758125:2758144|offset_26|444444,2758148:2758167|offset_49|444444,2758178:2758197|offset_79|444444,2758206:2758225|offset_107|00cc00&amp;v=2757924:2758425&amp;c=444444", "offset 107")</f>
        <v>offset 107</v>
      </c>
    </row>
    <row r="8743" customFormat="false" ht="12.8" hidden="false" customHeight="false" outlineLevel="0" collapsed="false">
      <c r="A8743" s="0" t="s">
        <v>12</v>
      </c>
      <c r="B8743" s="0" t="n">
        <v>2761262</v>
      </c>
      <c r="C8743" s="0" t="n">
        <v>2761282</v>
      </c>
      <c r="D8743" s="0" t="s">
        <v>29089</v>
      </c>
      <c r="E8743" s="0" t="s">
        <v>75</v>
      </c>
      <c r="F8743" s="0" t="s">
        <v>15</v>
      </c>
      <c r="G8743" s="0" t="s">
        <v>36</v>
      </c>
      <c r="H8743" s="0" t="n">
        <v>18</v>
      </c>
      <c r="I8743" s="0" t="s">
        <v>29090</v>
      </c>
      <c r="J8743" s="0" t="s">
        <v>29091</v>
      </c>
      <c r="K8743" s="0" t="s">
        <v>29092</v>
      </c>
      <c r="L8743" s="0" t="str">
        <f aca="false">HYPERLINK("https://www.ncbi.nlm.nih.gov/nuccore/CP000058.1?report=graph&amp;tracks=[key:gene_model_track,Options:GeneOnly]&amp;mk=2761263:2761282|offset_18|00cc00,2761304:2761323|offset_59|444444,2761325:2761344|offset_80|444444,2761346:2761365|offset_101|444444&amp;v=2761062:2761565&amp;c=444444", "offset 18")</f>
        <v>offset 18</v>
      </c>
    </row>
    <row r="8744" customFormat="false" ht="12.8" hidden="false" customHeight="false" outlineLevel="0" collapsed="false">
      <c r="A8744" s="0" t="s">
        <v>12</v>
      </c>
      <c r="B8744" s="0" t="n">
        <v>2761303</v>
      </c>
      <c r="C8744" s="0" t="n">
        <v>2761323</v>
      </c>
      <c r="D8744" s="0" t="s">
        <v>29089</v>
      </c>
      <c r="E8744" s="0" t="s">
        <v>75</v>
      </c>
      <c r="F8744" s="0" t="s">
        <v>15</v>
      </c>
      <c r="G8744" s="0" t="s">
        <v>20</v>
      </c>
      <c r="H8744" s="0" t="n">
        <v>59</v>
      </c>
      <c r="I8744" s="0" t="s">
        <v>29093</v>
      </c>
      <c r="J8744" s="0" t="s">
        <v>29094</v>
      </c>
      <c r="K8744" s="0" t="s">
        <v>29095</v>
      </c>
      <c r="L8744" s="0" t="str">
        <f aca="false">HYPERLINK("https://www.ncbi.nlm.nih.gov/nuccore/CP000058.1?report=graph&amp;tracks=[key:gene_model_track,Options:GeneOnly]&amp;mk=2761263:2761282|offset_18|444444,2761304:2761323|offset_59|00cc00,2761325:2761344|offset_80|444444,2761346:2761365|offset_101|444444&amp;v=2761062:2761565&amp;c=444444", "offset 59")</f>
        <v>offset 59</v>
      </c>
    </row>
    <row r="8745" customFormat="false" ht="12.8" hidden="false" customHeight="false" outlineLevel="0" collapsed="false">
      <c r="A8745" s="0" t="s">
        <v>12</v>
      </c>
      <c r="B8745" s="0" t="n">
        <v>2761324</v>
      </c>
      <c r="C8745" s="0" t="n">
        <v>2761344</v>
      </c>
      <c r="D8745" s="0" t="s">
        <v>29089</v>
      </c>
      <c r="E8745" s="0" t="s">
        <v>75</v>
      </c>
      <c r="F8745" s="0" t="s">
        <v>15</v>
      </c>
      <c r="G8745" s="0" t="s">
        <v>36</v>
      </c>
      <c r="H8745" s="0" t="n">
        <v>80</v>
      </c>
      <c r="I8745" s="0" t="s">
        <v>29096</v>
      </c>
      <c r="J8745" s="0" t="s">
        <v>29097</v>
      </c>
      <c r="K8745" s="0" t="s">
        <v>29098</v>
      </c>
      <c r="L8745" s="0" t="str">
        <f aca="false">HYPERLINK("https://www.ncbi.nlm.nih.gov/nuccore/CP000058.1?report=graph&amp;tracks=[key:gene_model_track,Options:GeneOnly]&amp;mk=2761263:2761282|offset_18|444444,2761304:2761323|offset_59|444444,2761325:2761344|offset_80|00cc00,2761346:2761365|offset_101|444444&amp;v=2761062:2761565&amp;c=444444", "offset 80")</f>
        <v>offset 80</v>
      </c>
    </row>
    <row r="8746" customFormat="false" ht="12.8" hidden="false" customHeight="false" outlineLevel="0" collapsed="false">
      <c r="A8746" s="0" t="s">
        <v>12</v>
      </c>
      <c r="B8746" s="0" t="n">
        <v>2761345</v>
      </c>
      <c r="C8746" s="0" t="n">
        <v>2761365</v>
      </c>
      <c r="D8746" s="0" t="s">
        <v>29089</v>
      </c>
      <c r="E8746" s="0" t="s">
        <v>75</v>
      </c>
      <c r="F8746" s="0" t="s">
        <v>15</v>
      </c>
      <c r="G8746" s="0" t="s">
        <v>32</v>
      </c>
      <c r="H8746" s="0" t="n">
        <v>101</v>
      </c>
      <c r="I8746" s="0" t="s">
        <v>29099</v>
      </c>
      <c r="J8746" s="0" t="s">
        <v>29100</v>
      </c>
      <c r="K8746" s="0" t="s">
        <v>29101</v>
      </c>
      <c r="L8746" s="0" t="str">
        <f aca="false">HYPERLINK("https://www.ncbi.nlm.nih.gov/nuccore/CP000058.1?report=graph&amp;tracks=[key:gene_model_track,Options:GeneOnly]&amp;mk=2761263:2761282|offset_18|444444,2761304:2761323|offset_59|444444,2761325:2761344|offset_80|444444,2761346:2761365|offset_101|00cc00&amp;v=2761062:2761565&amp;c=444444", "offset 101")</f>
        <v>offset 101</v>
      </c>
    </row>
    <row r="8747" customFormat="false" ht="12.8" hidden="false" customHeight="false" outlineLevel="0" collapsed="false">
      <c r="A8747" s="0" t="s">
        <v>12</v>
      </c>
      <c r="B8747" s="0" t="n">
        <v>2762777</v>
      </c>
      <c r="C8747" s="0" t="n">
        <v>2762797</v>
      </c>
      <c r="D8747" s="0" t="s">
        <v>29102</v>
      </c>
      <c r="E8747" s="0" t="s">
        <v>75</v>
      </c>
      <c r="F8747" s="0" t="s">
        <v>15</v>
      </c>
      <c r="G8747" s="0" t="s">
        <v>36</v>
      </c>
      <c r="H8747" s="0" t="n">
        <v>9</v>
      </c>
      <c r="I8747" s="0" t="s">
        <v>29103</v>
      </c>
      <c r="J8747" s="0" t="s">
        <v>29104</v>
      </c>
      <c r="K8747" s="0" t="s">
        <v>29105</v>
      </c>
      <c r="L8747" s="0" t="str">
        <f aca="false">HYPERLINK("https://www.ncbi.nlm.nih.gov/nuccore/CP000058.1?report=graph&amp;tracks=[key:gene_model_track,Options:GeneOnly]&amp;mk=2762778:2762797|offset_9|00cc00,2762798:2762817|offset_29|444444,2762841:2762860|offset_72|444444,2762863:2762882|offset_94|444444&amp;v=2762577:2763082&amp;c=444444", "offset 9")</f>
        <v>offset 9</v>
      </c>
    </row>
    <row r="8748" customFormat="false" ht="12.8" hidden="false" customHeight="false" outlineLevel="0" collapsed="false">
      <c r="A8748" s="0" t="s">
        <v>12</v>
      </c>
      <c r="B8748" s="0" t="n">
        <v>2762797</v>
      </c>
      <c r="C8748" s="0" t="n">
        <v>2762817</v>
      </c>
      <c r="D8748" s="0" t="s">
        <v>29102</v>
      </c>
      <c r="E8748" s="0" t="s">
        <v>75</v>
      </c>
      <c r="F8748" s="0" t="s">
        <v>15</v>
      </c>
      <c r="G8748" s="0" t="s">
        <v>16</v>
      </c>
      <c r="H8748" s="0" t="n">
        <v>29</v>
      </c>
      <c r="I8748" s="0" t="s">
        <v>29106</v>
      </c>
      <c r="J8748" s="0" t="s">
        <v>29107</v>
      </c>
      <c r="K8748" s="0" t="s">
        <v>29108</v>
      </c>
      <c r="L8748" s="0" t="str">
        <f aca="false">HYPERLINK("https://www.ncbi.nlm.nih.gov/nuccore/CP000058.1?report=graph&amp;tracks=[key:gene_model_track,Options:GeneOnly]&amp;mk=2762778:2762797|offset_9|444444,2762798:2762817|offset_29|00cc00,2762841:2762860|offset_72|444444,2762863:2762882|offset_94|444444&amp;v=2762577:2763082&amp;c=444444", "offset 29")</f>
        <v>offset 29</v>
      </c>
    </row>
    <row r="8749" customFormat="false" ht="12.8" hidden="false" customHeight="false" outlineLevel="0" collapsed="false">
      <c r="A8749" s="0" t="s">
        <v>12</v>
      </c>
      <c r="B8749" s="0" t="n">
        <v>2762840</v>
      </c>
      <c r="C8749" s="0" t="n">
        <v>2762860</v>
      </c>
      <c r="D8749" s="0" t="s">
        <v>29102</v>
      </c>
      <c r="E8749" s="0" t="s">
        <v>75</v>
      </c>
      <c r="F8749" s="0" t="s">
        <v>15</v>
      </c>
      <c r="G8749" s="0" t="s">
        <v>32</v>
      </c>
      <c r="H8749" s="0" t="n">
        <v>72</v>
      </c>
      <c r="I8749" s="0" t="s">
        <v>29109</v>
      </c>
      <c r="J8749" s="0" t="s">
        <v>29110</v>
      </c>
      <c r="K8749" s="0" t="s">
        <v>29111</v>
      </c>
      <c r="L8749" s="0" t="str">
        <f aca="false">HYPERLINK("https://www.ncbi.nlm.nih.gov/nuccore/CP000058.1?report=graph&amp;tracks=[key:gene_model_track,Options:GeneOnly]&amp;mk=2762778:2762797|offset_9|444444,2762798:2762817|offset_29|444444,2762841:2762860|offset_72|00cc00,2762863:2762882|offset_94|444444&amp;v=2762577:2763082&amp;c=444444", "offset 72")</f>
        <v>offset 72</v>
      </c>
    </row>
    <row r="8750" customFormat="false" ht="12.8" hidden="false" customHeight="false" outlineLevel="0" collapsed="false">
      <c r="A8750" s="0" t="s">
        <v>12</v>
      </c>
      <c r="B8750" s="0" t="n">
        <v>2762862</v>
      </c>
      <c r="C8750" s="0" t="n">
        <v>2762882</v>
      </c>
      <c r="D8750" s="0" t="s">
        <v>29102</v>
      </c>
      <c r="E8750" s="0" t="s">
        <v>75</v>
      </c>
      <c r="F8750" s="0" t="s">
        <v>15</v>
      </c>
      <c r="G8750" s="0" t="s">
        <v>20</v>
      </c>
      <c r="H8750" s="0" t="n">
        <v>94</v>
      </c>
      <c r="I8750" s="0" t="s">
        <v>29112</v>
      </c>
      <c r="J8750" s="0" t="s">
        <v>29113</v>
      </c>
      <c r="K8750" s="0" t="s">
        <v>29114</v>
      </c>
      <c r="L8750" s="0" t="str">
        <f aca="false">HYPERLINK("https://www.ncbi.nlm.nih.gov/nuccore/CP000058.1?report=graph&amp;tracks=[key:gene_model_track,Options:GeneOnly]&amp;mk=2762778:2762797|offset_9|444444,2762798:2762817|offset_29|444444,2762841:2762860|offset_72|444444,2762863:2762882|offset_94|00cc00&amp;v=2762577:2763082&amp;c=444444", "offset 94")</f>
        <v>offset 94</v>
      </c>
    </row>
    <row r="8751" customFormat="false" ht="12.8" hidden="false" customHeight="false" outlineLevel="0" collapsed="false">
      <c r="A8751" s="0" t="s">
        <v>12</v>
      </c>
      <c r="B8751" s="0" t="n">
        <v>2765217</v>
      </c>
      <c r="C8751" s="0" t="n">
        <v>2765237</v>
      </c>
      <c r="D8751" s="0" t="s">
        <v>29115</v>
      </c>
      <c r="E8751" s="0" t="s">
        <v>75</v>
      </c>
      <c r="F8751" s="0" t="s">
        <v>90</v>
      </c>
      <c r="G8751" s="0" t="s">
        <v>32</v>
      </c>
      <c r="H8751" s="0" t="n">
        <v>9</v>
      </c>
      <c r="I8751" s="0" t="s">
        <v>29116</v>
      </c>
      <c r="J8751" s="0" t="s">
        <v>29117</v>
      </c>
      <c r="K8751" s="0" t="s">
        <v>29118</v>
      </c>
      <c r="L8751" s="0" t="str">
        <f aca="false">HYPERLINK("https://www.ncbi.nlm.nih.gov/nuccore/CP000058.1?report=graph&amp;tracks=[key:gene_model_track,Options:GeneOnly]&amp;mk=2765218:2765237|offset_9|00cc00,2765185:2765204|offset_42|444444,2765165:2765184|offset_62|444444,2765107:2765126|offset_120|444444&amp;v=2765017:2765326&amp;c=444444", "offset 9")</f>
        <v>offset 9</v>
      </c>
    </row>
    <row r="8752" customFormat="false" ht="12.8" hidden="false" customHeight="false" outlineLevel="0" collapsed="false">
      <c r="A8752" s="0" t="s">
        <v>12</v>
      </c>
      <c r="B8752" s="0" t="n">
        <v>2765184</v>
      </c>
      <c r="C8752" s="0" t="n">
        <v>2765204</v>
      </c>
      <c r="D8752" s="0" t="s">
        <v>29115</v>
      </c>
      <c r="E8752" s="0" t="s">
        <v>75</v>
      </c>
      <c r="F8752" s="0" t="s">
        <v>90</v>
      </c>
      <c r="G8752" s="0" t="s">
        <v>20</v>
      </c>
      <c r="H8752" s="0" t="n">
        <v>42</v>
      </c>
      <c r="I8752" s="0" t="s">
        <v>29119</v>
      </c>
      <c r="J8752" s="0" t="s">
        <v>29120</v>
      </c>
      <c r="K8752" s="0" t="s">
        <v>29121</v>
      </c>
      <c r="L8752" s="0" t="str">
        <f aca="false">HYPERLINK("https://www.ncbi.nlm.nih.gov/nuccore/CP000058.1?report=graph&amp;tracks=[key:gene_model_track,Options:GeneOnly]&amp;mk=2765218:2765237|offset_9|444444,2765185:2765204|offset_42|00cc00,2765165:2765184|offset_62|444444,2765107:2765126|offset_120|444444&amp;v=2765017:2765326&amp;c=444444", "offset 42")</f>
        <v>offset 42</v>
      </c>
    </row>
    <row r="8753" customFormat="false" ht="12.8" hidden="false" customHeight="false" outlineLevel="0" collapsed="false">
      <c r="A8753" s="0" t="s">
        <v>12</v>
      </c>
      <c r="B8753" s="0" t="n">
        <v>2765164</v>
      </c>
      <c r="C8753" s="0" t="n">
        <v>2765184</v>
      </c>
      <c r="D8753" s="0" t="s">
        <v>29115</v>
      </c>
      <c r="E8753" s="0" t="s">
        <v>75</v>
      </c>
      <c r="F8753" s="0" t="s">
        <v>90</v>
      </c>
      <c r="G8753" s="0" t="s">
        <v>20</v>
      </c>
      <c r="H8753" s="0" t="n">
        <v>62</v>
      </c>
      <c r="I8753" s="0" t="s">
        <v>29122</v>
      </c>
      <c r="J8753" s="0" t="s">
        <v>29123</v>
      </c>
      <c r="K8753" s="0" t="s">
        <v>29124</v>
      </c>
      <c r="L8753" s="0" t="str">
        <f aca="false">HYPERLINK("https://www.ncbi.nlm.nih.gov/nuccore/CP000058.1?report=graph&amp;tracks=[key:gene_model_track,Options:GeneOnly]&amp;mk=2765218:2765237|offset_9|444444,2765185:2765204|offset_42|444444,2765165:2765184|offset_62|00cc00,2765107:2765126|offset_120|444444&amp;v=2765017:2765326&amp;c=444444", "offset 62")</f>
        <v>offset 62</v>
      </c>
    </row>
    <row r="8754" customFormat="false" ht="12.8" hidden="false" customHeight="false" outlineLevel="0" collapsed="false">
      <c r="A8754" s="0" t="s">
        <v>12</v>
      </c>
      <c r="B8754" s="0" t="n">
        <v>2765106</v>
      </c>
      <c r="C8754" s="0" t="n">
        <v>2765126</v>
      </c>
      <c r="D8754" s="0" t="s">
        <v>29115</v>
      </c>
      <c r="E8754" s="0" t="s">
        <v>75</v>
      </c>
      <c r="F8754" s="0" t="s">
        <v>90</v>
      </c>
      <c r="G8754" s="0" t="s">
        <v>36</v>
      </c>
      <c r="H8754" s="0" t="n">
        <v>120</v>
      </c>
      <c r="I8754" s="0" t="s">
        <v>29125</v>
      </c>
      <c r="J8754" s="0" t="s">
        <v>29126</v>
      </c>
      <c r="K8754" s="0" t="s">
        <v>29127</v>
      </c>
      <c r="L8754" s="0" t="str">
        <f aca="false">HYPERLINK("https://www.ncbi.nlm.nih.gov/nuccore/CP000058.1?report=graph&amp;tracks=[key:gene_model_track,Options:GeneOnly]&amp;mk=2765218:2765237|offset_9|444444,2765185:2765204|offset_42|444444,2765165:2765184|offset_62|444444,2765107:2765126|offset_120|00cc00&amp;v=2765017:2765326&amp;c=444444", "offset 120")</f>
        <v>offset 120</v>
      </c>
    </row>
    <row r="8755" customFormat="false" ht="12.8" hidden="false" customHeight="false" outlineLevel="0" collapsed="false">
      <c r="A8755" s="0" t="s">
        <v>12</v>
      </c>
      <c r="B8755" s="0" t="n">
        <v>2765360</v>
      </c>
      <c r="C8755" s="0" t="n">
        <v>2765380</v>
      </c>
      <c r="D8755" s="0" t="s">
        <v>29128</v>
      </c>
      <c r="E8755" s="0" t="s">
        <v>75</v>
      </c>
      <c r="F8755" s="0" t="s">
        <v>15</v>
      </c>
      <c r="G8755" s="0" t="s">
        <v>16</v>
      </c>
      <c r="H8755" s="0" t="n">
        <v>26</v>
      </c>
      <c r="I8755" s="0" t="s">
        <v>29129</v>
      </c>
      <c r="J8755" s="0" t="s">
        <v>29130</v>
      </c>
      <c r="K8755" s="0" t="s">
        <v>29131</v>
      </c>
      <c r="L8755" s="0" t="str">
        <f aca="false">HYPERLINK("https://www.ncbi.nlm.nih.gov/nuccore/CP000058.1?report=graph&amp;tracks=[key:gene_model_track,Options:GeneOnly]&amp;mk=2765361:2765380|offset_26|00cc00,2765401:2765420|offset_66|444444,2765429:2765448|offset_94|444444,2765452:2765471|offset_117|444444&amp;v=2765160:2765671&amp;c=444444", "offset 26")</f>
        <v>offset 26</v>
      </c>
    </row>
    <row r="8756" customFormat="false" ht="12.8" hidden="false" customHeight="false" outlineLevel="0" collapsed="false">
      <c r="A8756" s="0" t="s">
        <v>12</v>
      </c>
      <c r="B8756" s="0" t="n">
        <v>2765400</v>
      </c>
      <c r="C8756" s="0" t="n">
        <v>2765420</v>
      </c>
      <c r="D8756" s="0" t="s">
        <v>29128</v>
      </c>
      <c r="E8756" s="0" t="s">
        <v>75</v>
      </c>
      <c r="F8756" s="0" t="s">
        <v>15</v>
      </c>
      <c r="G8756" s="0" t="s">
        <v>32</v>
      </c>
      <c r="H8756" s="0" t="n">
        <v>66</v>
      </c>
      <c r="I8756" s="0" t="s">
        <v>29132</v>
      </c>
      <c r="J8756" s="0" t="s">
        <v>29133</v>
      </c>
      <c r="K8756" s="0" t="s">
        <v>29134</v>
      </c>
      <c r="L8756" s="0" t="str">
        <f aca="false">HYPERLINK("https://www.ncbi.nlm.nih.gov/nuccore/CP000058.1?report=graph&amp;tracks=[key:gene_model_track,Options:GeneOnly]&amp;mk=2765361:2765380|offset_26|444444,2765401:2765420|offset_66|00cc00,2765429:2765448|offset_94|444444,2765452:2765471|offset_117|444444&amp;v=2765160:2765671&amp;c=444444", "offset 66")</f>
        <v>offset 66</v>
      </c>
    </row>
    <row r="8757" customFormat="false" ht="12.8" hidden="false" customHeight="false" outlineLevel="0" collapsed="false">
      <c r="A8757" s="0" t="s">
        <v>12</v>
      </c>
      <c r="B8757" s="0" t="n">
        <v>2765428</v>
      </c>
      <c r="C8757" s="0" t="n">
        <v>2765448</v>
      </c>
      <c r="D8757" s="0" t="s">
        <v>29128</v>
      </c>
      <c r="E8757" s="0" t="s">
        <v>75</v>
      </c>
      <c r="F8757" s="0" t="s">
        <v>15</v>
      </c>
      <c r="G8757" s="0" t="s">
        <v>16</v>
      </c>
      <c r="H8757" s="0" t="n">
        <v>94</v>
      </c>
      <c r="I8757" s="0" t="s">
        <v>29135</v>
      </c>
      <c r="J8757" s="0" t="s">
        <v>29136</v>
      </c>
      <c r="K8757" s="0" t="s">
        <v>29137</v>
      </c>
      <c r="L8757" s="0" t="str">
        <f aca="false">HYPERLINK("https://www.ncbi.nlm.nih.gov/nuccore/CP000058.1?report=graph&amp;tracks=[key:gene_model_track,Options:GeneOnly]&amp;mk=2765361:2765380|offset_26|444444,2765401:2765420|offset_66|444444,2765429:2765448|offset_94|00cc00,2765452:2765471|offset_117|444444&amp;v=2765160:2765671&amp;c=444444", "offset 94")</f>
        <v>offset 94</v>
      </c>
    </row>
    <row r="8758" customFormat="false" ht="12.8" hidden="false" customHeight="false" outlineLevel="0" collapsed="false">
      <c r="A8758" s="0" t="s">
        <v>12</v>
      </c>
      <c r="B8758" s="0" t="n">
        <v>2765451</v>
      </c>
      <c r="C8758" s="0" t="n">
        <v>2765471</v>
      </c>
      <c r="D8758" s="0" t="s">
        <v>29128</v>
      </c>
      <c r="E8758" s="0" t="s">
        <v>75</v>
      </c>
      <c r="F8758" s="0" t="s">
        <v>15</v>
      </c>
      <c r="G8758" s="0" t="s">
        <v>36</v>
      </c>
      <c r="H8758" s="0" t="n">
        <v>117</v>
      </c>
      <c r="I8758" s="0" t="s">
        <v>29138</v>
      </c>
      <c r="J8758" s="0" t="s">
        <v>29139</v>
      </c>
      <c r="K8758" s="0" t="s">
        <v>29140</v>
      </c>
      <c r="L8758" s="0" t="str">
        <f aca="false">HYPERLINK("https://www.ncbi.nlm.nih.gov/nuccore/CP000058.1?report=graph&amp;tracks=[key:gene_model_track,Options:GeneOnly]&amp;mk=2765361:2765380|offset_26|444444,2765401:2765420|offset_66|444444,2765429:2765448|offset_94|444444,2765452:2765471|offset_117|00cc00&amp;v=2765160:2765671&amp;c=444444", "offset 117")</f>
        <v>offset 117</v>
      </c>
    </row>
    <row r="8759" customFormat="false" ht="12.8" hidden="false" customHeight="false" outlineLevel="0" collapsed="false">
      <c r="A8759" s="0" t="s">
        <v>12</v>
      </c>
      <c r="B8759" s="0" t="n">
        <v>2766326</v>
      </c>
      <c r="C8759" s="0" t="n">
        <v>2766346</v>
      </c>
      <c r="D8759" s="0" t="s">
        <v>29141</v>
      </c>
      <c r="E8759" s="0" t="s">
        <v>75</v>
      </c>
      <c r="F8759" s="0" t="s">
        <v>15</v>
      </c>
      <c r="G8759" s="0" t="s">
        <v>36</v>
      </c>
      <c r="H8759" s="0" t="n">
        <v>21</v>
      </c>
      <c r="I8759" s="0" t="s">
        <v>29142</v>
      </c>
      <c r="J8759" s="0" t="s">
        <v>29143</v>
      </c>
      <c r="K8759" s="0" t="s">
        <v>29144</v>
      </c>
      <c r="L8759" s="0" t="str">
        <f aca="false">HYPERLINK("https://www.ncbi.nlm.nih.gov/nuccore/CP000058.1?report=graph&amp;tracks=[key:gene_model_track,Options:GeneOnly]&amp;mk=2766327:2766346|offset_21|00cc00,2766363:2766382|offset_57|444444,2766433:2766452|offset_127|444444,2766472:2766491|offset_166|444444&amp;v=2766126:2766691&amp;c=444444", "offset 21")</f>
        <v>offset 21</v>
      </c>
    </row>
    <row r="8760" customFormat="false" ht="12.8" hidden="false" customHeight="false" outlineLevel="0" collapsed="false">
      <c r="A8760" s="0" t="s">
        <v>12</v>
      </c>
      <c r="B8760" s="0" t="n">
        <v>2766362</v>
      </c>
      <c r="C8760" s="0" t="n">
        <v>2766382</v>
      </c>
      <c r="D8760" s="0" t="s">
        <v>29141</v>
      </c>
      <c r="E8760" s="0" t="s">
        <v>75</v>
      </c>
      <c r="F8760" s="0" t="s">
        <v>15</v>
      </c>
      <c r="G8760" s="0" t="s">
        <v>16</v>
      </c>
      <c r="H8760" s="0" t="n">
        <v>57</v>
      </c>
      <c r="I8760" s="0" t="s">
        <v>29145</v>
      </c>
      <c r="J8760" s="0" t="s">
        <v>29146</v>
      </c>
      <c r="K8760" s="0" t="s">
        <v>29147</v>
      </c>
      <c r="L8760" s="0" t="str">
        <f aca="false">HYPERLINK("https://www.ncbi.nlm.nih.gov/nuccore/CP000058.1?report=graph&amp;tracks=[key:gene_model_track,Options:GeneOnly]&amp;mk=2766327:2766346|offset_21|444444,2766363:2766382|offset_57|00cc00,2766433:2766452|offset_127|444444,2766472:2766491|offset_166|444444&amp;v=2766126:2766691&amp;c=444444", "offset 57")</f>
        <v>offset 57</v>
      </c>
    </row>
    <row r="8761" customFormat="false" ht="12.8" hidden="false" customHeight="false" outlineLevel="0" collapsed="false">
      <c r="A8761" s="0" t="s">
        <v>12</v>
      </c>
      <c r="B8761" s="0" t="n">
        <v>2766432</v>
      </c>
      <c r="C8761" s="0" t="n">
        <v>2766452</v>
      </c>
      <c r="D8761" s="0" t="s">
        <v>29141</v>
      </c>
      <c r="E8761" s="0" t="s">
        <v>75</v>
      </c>
      <c r="F8761" s="0" t="s">
        <v>15</v>
      </c>
      <c r="G8761" s="0" t="s">
        <v>16</v>
      </c>
      <c r="H8761" s="0" t="n">
        <v>127</v>
      </c>
      <c r="I8761" s="0" t="s">
        <v>29148</v>
      </c>
      <c r="J8761" s="0" t="s">
        <v>29149</v>
      </c>
      <c r="K8761" s="0" t="s">
        <v>29150</v>
      </c>
      <c r="L8761" s="0" t="str">
        <f aca="false">HYPERLINK("https://www.ncbi.nlm.nih.gov/nuccore/CP000058.1?report=graph&amp;tracks=[key:gene_model_track,Options:GeneOnly]&amp;mk=2766327:2766346|offset_21|444444,2766363:2766382|offset_57|444444,2766433:2766452|offset_127|00cc00,2766472:2766491|offset_166|444444&amp;v=2766126:2766691&amp;c=444444", "offset 127")</f>
        <v>offset 127</v>
      </c>
    </row>
    <row r="8762" customFormat="false" ht="12.8" hidden="false" customHeight="false" outlineLevel="0" collapsed="false">
      <c r="A8762" s="0" t="s">
        <v>12</v>
      </c>
      <c r="B8762" s="0" t="n">
        <v>2766471</v>
      </c>
      <c r="C8762" s="0" t="n">
        <v>2766491</v>
      </c>
      <c r="D8762" s="0" t="s">
        <v>29141</v>
      </c>
      <c r="E8762" s="0" t="s">
        <v>75</v>
      </c>
      <c r="F8762" s="0" t="s">
        <v>15</v>
      </c>
      <c r="G8762" s="0" t="s">
        <v>16</v>
      </c>
      <c r="H8762" s="0" t="n">
        <v>166</v>
      </c>
      <c r="I8762" s="0" t="s">
        <v>29151</v>
      </c>
      <c r="J8762" s="0" t="s">
        <v>29152</v>
      </c>
      <c r="K8762" s="0" t="s">
        <v>29153</v>
      </c>
      <c r="L8762" s="0" t="str">
        <f aca="false">HYPERLINK("https://www.ncbi.nlm.nih.gov/nuccore/CP000058.1?report=graph&amp;tracks=[key:gene_model_track,Options:GeneOnly]&amp;mk=2766327:2766346|offset_21|444444,2766363:2766382|offset_57|444444,2766433:2766452|offset_127|444444,2766472:2766491|offset_166|00cc00&amp;v=2766126:2766691&amp;c=444444", "offset 166")</f>
        <v>offset 166</v>
      </c>
    </row>
    <row r="8763" customFormat="false" ht="12.8" hidden="false" customHeight="false" outlineLevel="0" collapsed="false">
      <c r="A8763" s="0" t="s">
        <v>12</v>
      </c>
      <c r="B8763" s="0" t="n">
        <v>2768133</v>
      </c>
      <c r="C8763" s="0" t="n">
        <v>2768153</v>
      </c>
      <c r="D8763" s="0" t="s">
        <v>29154</v>
      </c>
      <c r="E8763" s="0" t="s">
        <v>75</v>
      </c>
      <c r="F8763" s="0" t="s">
        <v>90</v>
      </c>
      <c r="G8763" s="0" t="s">
        <v>32</v>
      </c>
      <c r="H8763" s="0" t="n">
        <v>9</v>
      </c>
      <c r="I8763" s="0" t="s">
        <v>29155</v>
      </c>
      <c r="J8763" s="0" t="s">
        <v>29156</v>
      </c>
      <c r="K8763" s="0" t="s">
        <v>29157</v>
      </c>
      <c r="L8763" s="0" t="str">
        <f aca="false">HYPERLINK("https://www.ncbi.nlm.nih.gov/nuccore/CP000058.1?report=graph&amp;tracks=[key:gene_model_track,Options:GeneOnly]&amp;mk=2768134:2768153|offset_9|00cc00,2768109:2768128|offset_34|444444,2768081:2768100|offset_62|444444,2768052:2768071|offset_91|444444&amp;v=2767933:2768271&amp;c=444444", "offset 9")</f>
        <v>offset 9</v>
      </c>
    </row>
    <row r="8764" customFormat="false" ht="12.8" hidden="false" customHeight="false" outlineLevel="0" collapsed="false">
      <c r="A8764" s="0" t="s">
        <v>12</v>
      </c>
      <c r="B8764" s="0" t="n">
        <v>2768108</v>
      </c>
      <c r="C8764" s="0" t="n">
        <v>2768128</v>
      </c>
      <c r="D8764" s="0" t="s">
        <v>29154</v>
      </c>
      <c r="E8764" s="0" t="s">
        <v>75</v>
      </c>
      <c r="F8764" s="0" t="s">
        <v>90</v>
      </c>
      <c r="G8764" s="0" t="s">
        <v>32</v>
      </c>
      <c r="H8764" s="0" t="n">
        <v>34</v>
      </c>
      <c r="I8764" s="0" t="s">
        <v>29158</v>
      </c>
      <c r="J8764" s="0" t="s">
        <v>29159</v>
      </c>
      <c r="K8764" s="0" t="s">
        <v>29160</v>
      </c>
      <c r="L8764" s="0" t="str">
        <f aca="false">HYPERLINK("https://www.ncbi.nlm.nih.gov/nuccore/CP000058.1?report=graph&amp;tracks=[key:gene_model_track,Options:GeneOnly]&amp;mk=2768134:2768153|offset_9|444444,2768109:2768128|offset_34|00cc00,2768081:2768100|offset_62|444444,2768052:2768071|offset_91|444444&amp;v=2767933:2768271&amp;c=444444", "offset 34")</f>
        <v>offset 34</v>
      </c>
    </row>
    <row r="8765" customFormat="false" ht="12.8" hidden="false" customHeight="false" outlineLevel="0" collapsed="false">
      <c r="A8765" s="0" t="s">
        <v>12</v>
      </c>
      <c r="B8765" s="0" t="n">
        <v>2768080</v>
      </c>
      <c r="C8765" s="0" t="n">
        <v>2768100</v>
      </c>
      <c r="D8765" s="0" t="s">
        <v>29154</v>
      </c>
      <c r="E8765" s="0" t="s">
        <v>75</v>
      </c>
      <c r="F8765" s="0" t="s">
        <v>90</v>
      </c>
      <c r="G8765" s="0" t="s">
        <v>16</v>
      </c>
      <c r="H8765" s="0" t="n">
        <v>62</v>
      </c>
      <c r="I8765" s="0" t="s">
        <v>29161</v>
      </c>
      <c r="J8765" s="0" t="s">
        <v>29162</v>
      </c>
      <c r="K8765" s="0" t="s">
        <v>29163</v>
      </c>
      <c r="L8765" s="0" t="str">
        <f aca="false">HYPERLINK("https://www.ncbi.nlm.nih.gov/nuccore/CP000058.1?report=graph&amp;tracks=[key:gene_model_track,Options:GeneOnly]&amp;mk=2768134:2768153|offset_9|444444,2768109:2768128|offset_34|444444,2768081:2768100|offset_62|00cc00,2768052:2768071|offset_91|444444&amp;v=2767933:2768271&amp;c=444444", "offset 62")</f>
        <v>offset 62</v>
      </c>
    </row>
    <row r="8766" customFormat="false" ht="12.8" hidden="false" customHeight="false" outlineLevel="0" collapsed="false">
      <c r="A8766" s="0" t="s">
        <v>12</v>
      </c>
      <c r="B8766" s="0" t="n">
        <v>2768051</v>
      </c>
      <c r="C8766" s="0" t="n">
        <v>2768071</v>
      </c>
      <c r="D8766" s="0" t="s">
        <v>29154</v>
      </c>
      <c r="E8766" s="0" t="s">
        <v>75</v>
      </c>
      <c r="F8766" s="0" t="s">
        <v>90</v>
      </c>
      <c r="G8766" s="0" t="s">
        <v>16</v>
      </c>
      <c r="H8766" s="0" t="n">
        <v>91</v>
      </c>
      <c r="I8766" s="0" t="s">
        <v>29164</v>
      </c>
      <c r="J8766" s="0" t="s">
        <v>29165</v>
      </c>
      <c r="K8766" s="0" t="s">
        <v>29166</v>
      </c>
      <c r="L8766" s="0" t="str">
        <f aca="false">HYPERLINK("https://www.ncbi.nlm.nih.gov/nuccore/CP000058.1?report=graph&amp;tracks=[key:gene_model_track,Options:GeneOnly]&amp;mk=2768134:2768153|offset_9|444444,2768109:2768128|offset_34|444444,2768081:2768100|offset_62|444444,2768052:2768071|offset_91|00cc00&amp;v=2767933:2768271&amp;c=444444", "offset 91")</f>
        <v>offset 91</v>
      </c>
    </row>
    <row r="8767" customFormat="false" ht="12.8" hidden="false" customHeight="false" outlineLevel="0" collapsed="false">
      <c r="A8767" s="0" t="s">
        <v>12</v>
      </c>
      <c r="B8767" s="0" t="n">
        <v>2768405</v>
      </c>
      <c r="C8767" s="0" t="n">
        <v>2768425</v>
      </c>
      <c r="D8767" s="0" t="s">
        <v>29167</v>
      </c>
      <c r="E8767" s="0" t="s">
        <v>75</v>
      </c>
      <c r="F8767" s="0" t="s">
        <v>90</v>
      </c>
      <c r="G8767" s="0" t="s">
        <v>16</v>
      </c>
      <c r="H8767" s="0" t="n">
        <v>118</v>
      </c>
      <c r="I8767" s="0" t="s">
        <v>29168</v>
      </c>
      <c r="J8767" s="0" t="s">
        <v>29169</v>
      </c>
      <c r="K8767" s="0" t="s">
        <v>29170</v>
      </c>
      <c r="L8767" s="0" t="str">
        <f aca="false">HYPERLINK("https://www.ncbi.nlm.nih.gov/nuccore/CP000058.1?report=graph&amp;tracks=[key:gene_model_track,Options:GeneOnly]&amp;mk=2768406:2768425|offset_118|00cc00,2768358:2768377|offset_166|444444,2768336:2768355|offset_188|444444,2768316:2768335|offset_208|444444&amp;v=2768205:2768535&amp;c=444444", "offset 118")</f>
        <v>offset 118</v>
      </c>
    </row>
    <row r="8768" customFormat="false" ht="12.8" hidden="false" customHeight="false" outlineLevel="0" collapsed="false">
      <c r="A8768" s="0" t="s">
        <v>12</v>
      </c>
      <c r="B8768" s="0" t="n">
        <v>2768357</v>
      </c>
      <c r="C8768" s="0" t="n">
        <v>2768377</v>
      </c>
      <c r="D8768" s="0" t="s">
        <v>29167</v>
      </c>
      <c r="E8768" s="0" t="s">
        <v>75</v>
      </c>
      <c r="F8768" s="0" t="s">
        <v>90</v>
      </c>
      <c r="G8768" s="0" t="s">
        <v>16</v>
      </c>
      <c r="H8768" s="0" t="n">
        <v>166</v>
      </c>
      <c r="I8768" s="0" t="s">
        <v>29171</v>
      </c>
      <c r="J8768" s="0" t="s">
        <v>29172</v>
      </c>
      <c r="K8768" s="0" t="s">
        <v>29173</v>
      </c>
      <c r="L8768" s="0" t="str">
        <f aca="false">HYPERLINK("https://www.ncbi.nlm.nih.gov/nuccore/CP000058.1?report=graph&amp;tracks=[key:gene_model_track,Options:GeneOnly]&amp;mk=2768406:2768425|offset_118|444444,2768358:2768377|offset_166|00cc00,2768336:2768355|offset_188|444444,2768316:2768335|offset_208|444444&amp;v=2768205:2768535&amp;c=444444", "offset 166")</f>
        <v>offset 166</v>
      </c>
    </row>
    <row r="8769" customFormat="false" ht="12.8" hidden="false" customHeight="false" outlineLevel="0" collapsed="false">
      <c r="A8769" s="0" t="s">
        <v>12</v>
      </c>
      <c r="B8769" s="0" t="n">
        <v>2768335</v>
      </c>
      <c r="C8769" s="0" t="n">
        <v>2768355</v>
      </c>
      <c r="D8769" s="0" t="s">
        <v>29167</v>
      </c>
      <c r="E8769" s="0" t="s">
        <v>75</v>
      </c>
      <c r="F8769" s="0" t="s">
        <v>90</v>
      </c>
      <c r="G8769" s="0" t="s">
        <v>20</v>
      </c>
      <c r="H8769" s="0" t="n">
        <v>188</v>
      </c>
      <c r="I8769" s="0" t="s">
        <v>29174</v>
      </c>
      <c r="J8769" s="0" t="s">
        <v>29175</v>
      </c>
      <c r="K8769" s="0" t="s">
        <v>29176</v>
      </c>
      <c r="L8769" s="0" t="str">
        <f aca="false">HYPERLINK("https://www.ncbi.nlm.nih.gov/nuccore/CP000058.1?report=graph&amp;tracks=[key:gene_model_track,Options:GeneOnly]&amp;mk=2768406:2768425|offset_118|444444,2768358:2768377|offset_166|444444,2768336:2768355|offset_188|00cc00,2768316:2768335|offset_208|444444&amp;v=2768205:2768535&amp;c=444444", "offset 188")</f>
        <v>offset 188</v>
      </c>
    </row>
    <row r="8770" customFormat="false" ht="12.8" hidden="false" customHeight="false" outlineLevel="0" collapsed="false">
      <c r="A8770" s="0" t="s">
        <v>12</v>
      </c>
      <c r="B8770" s="0" t="n">
        <v>2768315</v>
      </c>
      <c r="C8770" s="0" t="n">
        <v>2768335</v>
      </c>
      <c r="D8770" s="0" t="s">
        <v>29167</v>
      </c>
      <c r="E8770" s="0" t="s">
        <v>75</v>
      </c>
      <c r="F8770" s="0" t="s">
        <v>90</v>
      </c>
      <c r="G8770" s="0" t="s">
        <v>16</v>
      </c>
      <c r="H8770" s="0" t="n">
        <v>208</v>
      </c>
      <c r="I8770" s="0" t="s">
        <v>29177</v>
      </c>
      <c r="J8770" s="0" t="s">
        <v>29178</v>
      </c>
      <c r="K8770" s="0" t="s">
        <v>29179</v>
      </c>
      <c r="L8770" s="0" t="str">
        <f aca="false">HYPERLINK("https://www.ncbi.nlm.nih.gov/nuccore/CP000058.1?report=graph&amp;tracks=[key:gene_model_track,Options:GeneOnly]&amp;mk=2768406:2768425|offset_118|444444,2768358:2768377|offset_166|444444,2768336:2768355|offset_188|444444,2768316:2768335|offset_208|00cc00&amp;v=2768205:2768535&amp;c=444444", "offset 208")</f>
        <v>offset 208</v>
      </c>
    </row>
    <row r="8771" customFormat="false" ht="12.8" hidden="false" customHeight="false" outlineLevel="0" collapsed="false">
      <c r="A8771" s="0" t="s">
        <v>12</v>
      </c>
      <c r="B8771" s="0" t="n">
        <v>2768999</v>
      </c>
      <c r="C8771" s="0" t="n">
        <v>2769019</v>
      </c>
      <c r="D8771" s="0" t="s">
        <v>29180</v>
      </c>
      <c r="E8771" s="0" t="s">
        <v>75</v>
      </c>
      <c r="F8771" s="0" t="s">
        <v>90</v>
      </c>
      <c r="G8771" s="0" t="s">
        <v>16</v>
      </c>
      <c r="H8771" s="0" t="n">
        <v>22</v>
      </c>
      <c r="I8771" s="0" t="s">
        <v>29181</v>
      </c>
      <c r="J8771" s="0" t="s">
        <v>29182</v>
      </c>
      <c r="K8771" s="0" t="s">
        <v>29183</v>
      </c>
      <c r="L8771" s="0" t="str">
        <f aca="false">HYPERLINK("https://www.ncbi.nlm.nih.gov/nuccore/CP000058.1?report=graph&amp;tracks=[key:gene_model_track,Options:GeneOnly]&amp;mk=2769000:2769019|offset_22|00cc00,2768918:2768937|offset_104|444444,2768840:2768859|offset_182|444444,2768809:2768828|offset_213|444444&amp;v=2768799:2769028&amp;c=444444", "offset 22")</f>
        <v>offset 22</v>
      </c>
    </row>
    <row r="8772" customFormat="false" ht="12.8" hidden="false" customHeight="false" outlineLevel="0" collapsed="false">
      <c r="A8772" s="0" t="s">
        <v>12</v>
      </c>
      <c r="B8772" s="0" t="n">
        <v>2768917</v>
      </c>
      <c r="C8772" s="0" t="n">
        <v>2768937</v>
      </c>
      <c r="D8772" s="0" t="s">
        <v>29180</v>
      </c>
      <c r="E8772" s="0" t="s">
        <v>75</v>
      </c>
      <c r="F8772" s="0" t="s">
        <v>90</v>
      </c>
      <c r="G8772" s="0" t="s">
        <v>20</v>
      </c>
      <c r="H8772" s="0" t="n">
        <v>104</v>
      </c>
      <c r="I8772" s="0" t="s">
        <v>29184</v>
      </c>
      <c r="J8772" s="0" t="s">
        <v>29185</v>
      </c>
      <c r="K8772" s="0" t="s">
        <v>29186</v>
      </c>
      <c r="L8772" s="0" t="str">
        <f aca="false">HYPERLINK("https://www.ncbi.nlm.nih.gov/nuccore/CP000058.1?report=graph&amp;tracks=[key:gene_model_track,Options:GeneOnly]&amp;mk=2769000:2769019|offset_22|444444,2768918:2768937|offset_104|00cc00,2768840:2768859|offset_182|444444,2768809:2768828|offset_213|444444&amp;v=2768799:2769028&amp;c=444444", "offset 104")</f>
        <v>offset 104</v>
      </c>
    </row>
    <row r="8773" customFormat="false" ht="12.8" hidden="false" customHeight="false" outlineLevel="0" collapsed="false">
      <c r="A8773" s="0" t="s">
        <v>12</v>
      </c>
      <c r="B8773" s="0" t="n">
        <v>2768839</v>
      </c>
      <c r="C8773" s="0" t="n">
        <v>2768859</v>
      </c>
      <c r="D8773" s="0" t="s">
        <v>29180</v>
      </c>
      <c r="E8773" s="0" t="s">
        <v>75</v>
      </c>
      <c r="F8773" s="0" t="s">
        <v>90</v>
      </c>
      <c r="G8773" s="0" t="s">
        <v>32</v>
      </c>
      <c r="H8773" s="0" t="n">
        <v>182</v>
      </c>
      <c r="I8773" s="0" t="s">
        <v>29187</v>
      </c>
      <c r="J8773" s="0" t="s">
        <v>29188</v>
      </c>
      <c r="K8773" s="0" t="s">
        <v>29189</v>
      </c>
      <c r="L8773" s="0" t="str">
        <f aca="false">HYPERLINK("https://www.ncbi.nlm.nih.gov/nuccore/CP000058.1?report=graph&amp;tracks=[key:gene_model_track,Options:GeneOnly]&amp;mk=2769000:2769019|offset_22|444444,2768918:2768937|offset_104|444444,2768840:2768859|offset_182|00cc00,2768809:2768828|offset_213|444444&amp;v=2768799:2769028&amp;c=444444", "offset 182")</f>
        <v>offset 182</v>
      </c>
    </row>
    <row r="8774" customFormat="false" ht="12.8" hidden="false" customHeight="false" outlineLevel="0" collapsed="false">
      <c r="A8774" s="0" t="s">
        <v>12</v>
      </c>
      <c r="B8774" s="0" t="n">
        <v>2768808</v>
      </c>
      <c r="C8774" s="0" t="n">
        <v>2768828</v>
      </c>
      <c r="D8774" s="0" t="s">
        <v>29180</v>
      </c>
      <c r="E8774" s="0" t="s">
        <v>75</v>
      </c>
      <c r="F8774" s="0" t="s">
        <v>90</v>
      </c>
      <c r="G8774" s="0" t="s">
        <v>32</v>
      </c>
      <c r="H8774" s="0" t="n">
        <v>213</v>
      </c>
      <c r="I8774" s="0" t="s">
        <v>29190</v>
      </c>
      <c r="J8774" s="0" t="s">
        <v>29191</v>
      </c>
      <c r="K8774" s="0" t="s">
        <v>29192</v>
      </c>
      <c r="L8774" s="0" t="str">
        <f aca="false">HYPERLINK("https://www.ncbi.nlm.nih.gov/nuccore/CP000058.1?report=graph&amp;tracks=[key:gene_model_track,Options:GeneOnly]&amp;mk=2769000:2769019|offset_22|444444,2768918:2768937|offset_104|444444,2768840:2768859|offset_182|444444,2768809:2768828|offset_213|00cc00&amp;v=2768799:2769028&amp;c=444444", "offset 213")</f>
        <v>offset 213</v>
      </c>
    </row>
    <row r="8775" customFormat="false" ht="12.8" hidden="false" customHeight="false" outlineLevel="0" collapsed="false">
      <c r="A8775" s="0" t="s">
        <v>12</v>
      </c>
      <c r="B8775" s="0" t="n">
        <v>2769455</v>
      </c>
      <c r="C8775" s="0" t="n">
        <v>2769475</v>
      </c>
      <c r="D8775" s="0" t="s">
        <v>29193</v>
      </c>
      <c r="E8775" s="0" t="s">
        <v>75</v>
      </c>
      <c r="F8775" s="0" t="s">
        <v>15</v>
      </c>
      <c r="G8775" s="0" t="s">
        <v>16</v>
      </c>
      <c r="H8775" s="0" t="n">
        <v>67</v>
      </c>
      <c r="I8775" s="0" t="s">
        <v>29194</v>
      </c>
      <c r="J8775" s="0" t="s">
        <v>29195</v>
      </c>
      <c r="K8775" s="0" t="s">
        <v>29196</v>
      </c>
      <c r="L8775" s="0" t="str">
        <f aca="false">HYPERLINK("https://www.ncbi.nlm.nih.gov/nuccore/CP000058.1?report=graph&amp;tracks=[key:gene_model_track,Options:GeneOnly]&amp;mk=2769456:2769475|offset_67|00cc00&amp;v=2769255:2769675&amp;c=444444", "offset 67")</f>
        <v>offset 67</v>
      </c>
    </row>
    <row r="8776" customFormat="false" ht="12.8" hidden="false" customHeight="false" outlineLevel="0" collapsed="false">
      <c r="A8776" s="0" t="s">
        <v>12</v>
      </c>
      <c r="B8776" s="0" t="n">
        <v>2769766</v>
      </c>
      <c r="C8776" s="0" t="n">
        <v>2769786</v>
      </c>
      <c r="D8776" s="0" t="s">
        <v>29197</v>
      </c>
      <c r="E8776" s="0" t="s">
        <v>75</v>
      </c>
      <c r="F8776" s="0" t="s">
        <v>15</v>
      </c>
      <c r="G8776" s="0" t="s">
        <v>36</v>
      </c>
      <c r="H8776" s="0" t="n">
        <v>0</v>
      </c>
      <c r="I8776" s="0" t="s">
        <v>29198</v>
      </c>
      <c r="J8776" s="0" t="s">
        <v>29199</v>
      </c>
      <c r="K8776" s="0" t="s">
        <v>29200</v>
      </c>
      <c r="L8776" s="0" t="str">
        <f aca="false">HYPERLINK("https://www.ncbi.nlm.nih.gov/nuccore/CP000058.1?report=graph&amp;tracks=[key:gene_model_track,Options:GeneOnly]&amp;mk=2769767:2769786|offset_0|00cc00,2769814:2769833|offset_47|444444,2769859:2769878|offset_92|444444&amp;v=2769566:2770078&amp;c=444444", "offset 0")</f>
        <v>offset 0</v>
      </c>
    </row>
    <row r="8777" customFormat="false" ht="12.8" hidden="false" customHeight="false" outlineLevel="0" collapsed="false">
      <c r="A8777" s="0" t="s">
        <v>12</v>
      </c>
      <c r="B8777" s="0" t="n">
        <v>2769813</v>
      </c>
      <c r="C8777" s="0" t="n">
        <v>2769833</v>
      </c>
      <c r="D8777" s="0" t="s">
        <v>29197</v>
      </c>
      <c r="E8777" s="0" t="s">
        <v>75</v>
      </c>
      <c r="F8777" s="0" t="s">
        <v>15</v>
      </c>
      <c r="G8777" s="0" t="s">
        <v>20</v>
      </c>
      <c r="H8777" s="0" t="n">
        <v>47</v>
      </c>
      <c r="I8777" s="0" t="s">
        <v>29201</v>
      </c>
      <c r="J8777" s="0" t="s">
        <v>29202</v>
      </c>
      <c r="K8777" s="0" t="s">
        <v>29203</v>
      </c>
      <c r="L8777" s="0" t="str">
        <f aca="false">HYPERLINK("https://www.ncbi.nlm.nih.gov/nuccore/CP000058.1?report=graph&amp;tracks=[key:gene_model_track,Options:GeneOnly]&amp;mk=2769767:2769786|offset_0|444444,2769814:2769833|offset_47|00cc00,2769859:2769878|offset_92|444444&amp;v=2769566:2770078&amp;c=444444", "offset 47")</f>
        <v>offset 47</v>
      </c>
    </row>
    <row r="8778" customFormat="false" ht="12.8" hidden="false" customHeight="false" outlineLevel="0" collapsed="false">
      <c r="A8778" s="0" t="s">
        <v>12</v>
      </c>
      <c r="B8778" s="0" t="n">
        <v>2769858</v>
      </c>
      <c r="C8778" s="0" t="n">
        <v>2769878</v>
      </c>
      <c r="D8778" s="0" t="s">
        <v>29197</v>
      </c>
      <c r="E8778" s="0" t="s">
        <v>75</v>
      </c>
      <c r="F8778" s="0" t="s">
        <v>15</v>
      </c>
      <c r="G8778" s="0" t="s">
        <v>20</v>
      </c>
      <c r="H8778" s="0" t="n">
        <v>92</v>
      </c>
      <c r="I8778" s="0" t="s">
        <v>29204</v>
      </c>
      <c r="J8778" s="0" t="s">
        <v>29205</v>
      </c>
      <c r="K8778" s="0" t="s">
        <v>29206</v>
      </c>
      <c r="L8778" s="0" t="str">
        <f aca="false">HYPERLINK("https://www.ncbi.nlm.nih.gov/nuccore/CP000058.1?report=graph&amp;tracks=[key:gene_model_track,Options:GeneOnly]&amp;mk=2769767:2769786|offset_0|444444,2769814:2769833|offset_47|444444,2769859:2769878|offset_92|00cc00&amp;v=2769566:2770078&amp;c=444444", "offset 92")</f>
        <v>offset 92</v>
      </c>
    </row>
    <row r="8779" customFormat="false" ht="12.8" hidden="false" customHeight="false" outlineLevel="0" collapsed="false">
      <c r="A8779" s="0" t="s">
        <v>12</v>
      </c>
      <c r="B8779" s="0" t="n">
        <v>2770965</v>
      </c>
      <c r="C8779" s="0" t="n">
        <v>2770985</v>
      </c>
      <c r="D8779" s="0" t="s">
        <v>29207</v>
      </c>
      <c r="E8779" s="0" t="s">
        <v>75</v>
      </c>
      <c r="F8779" s="0" t="s">
        <v>90</v>
      </c>
      <c r="G8779" s="0" t="s">
        <v>20</v>
      </c>
      <c r="H8779" s="0" t="n">
        <v>21</v>
      </c>
      <c r="I8779" s="0" t="s">
        <v>29208</v>
      </c>
      <c r="J8779" s="0" t="s">
        <v>29209</v>
      </c>
      <c r="K8779" s="0" t="s">
        <v>29210</v>
      </c>
      <c r="L8779" s="0" t="str">
        <f aca="false">HYPERLINK("https://www.ncbi.nlm.nih.gov/nuccore/CP000058.1?report=graph&amp;tracks=[key:gene_model_track,Options:GeneOnly]&amp;mk=2770966:2770985|offset_21|00cc00,2770905:2770924|offset_82|444444,2770847:2770866|offset_140|444444,2770821:2770840|offset_166|444444&amp;v=2770765:2771040&amp;c=444444", "offset 21")</f>
        <v>offset 21</v>
      </c>
    </row>
    <row r="8780" customFormat="false" ht="12.8" hidden="false" customHeight="false" outlineLevel="0" collapsed="false">
      <c r="A8780" s="0" t="s">
        <v>12</v>
      </c>
      <c r="B8780" s="0" t="n">
        <v>2770904</v>
      </c>
      <c r="C8780" s="0" t="n">
        <v>2770924</v>
      </c>
      <c r="D8780" s="0" t="s">
        <v>29207</v>
      </c>
      <c r="E8780" s="0" t="s">
        <v>75</v>
      </c>
      <c r="F8780" s="0" t="s">
        <v>90</v>
      </c>
      <c r="G8780" s="0" t="s">
        <v>32</v>
      </c>
      <c r="H8780" s="0" t="n">
        <v>82</v>
      </c>
      <c r="I8780" s="0" t="s">
        <v>29211</v>
      </c>
      <c r="J8780" s="0" t="s">
        <v>29212</v>
      </c>
      <c r="K8780" s="0" t="s">
        <v>29213</v>
      </c>
      <c r="L8780" s="0" t="str">
        <f aca="false">HYPERLINK("https://www.ncbi.nlm.nih.gov/nuccore/CP000058.1?report=graph&amp;tracks=[key:gene_model_track,Options:GeneOnly]&amp;mk=2770966:2770985|offset_21|444444,2770905:2770924|offset_82|00cc00,2770847:2770866|offset_140|444444,2770821:2770840|offset_166|444444&amp;v=2770765:2771040&amp;c=444444", "offset 82")</f>
        <v>offset 82</v>
      </c>
    </row>
    <row r="8781" customFormat="false" ht="12.8" hidden="false" customHeight="false" outlineLevel="0" collapsed="false">
      <c r="A8781" s="0" t="s">
        <v>12</v>
      </c>
      <c r="B8781" s="0" t="n">
        <v>2770846</v>
      </c>
      <c r="C8781" s="0" t="n">
        <v>2770866</v>
      </c>
      <c r="D8781" s="0" t="s">
        <v>29207</v>
      </c>
      <c r="E8781" s="0" t="s">
        <v>75</v>
      </c>
      <c r="F8781" s="0" t="s">
        <v>90</v>
      </c>
      <c r="G8781" s="0" t="s">
        <v>32</v>
      </c>
      <c r="H8781" s="0" t="n">
        <v>140</v>
      </c>
      <c r="I8781" s="0" t="s">
        <v>29214</v>
      </c>
      <c r="J8781" s="0" t="s">
        <v>29215</v>
      </c>
      <c r="K8781" s="0" t="s">
        <v>29216</v>
      </c>
      <c r="L8781" s="0" t="str">
        <f aca="false">HYPERLINK("https://www.ncbi.nlm.nih.gov/nuccore/CP000058.1?report=graph&amp;tracks=[key:gene_model_track,Options:GeneOnly]&amp;mk=2770966:2770985|offset_21|444444,2770905:2770924|offset_82|444444,2770847:2770866|offset_140|00cc00,2770821:2770840|offset_166|444444&amp;v=2770765:2771040&amp;c=444444", "offset 140")</f>
        <v>offset 140</v>
      </c>
    </row>
    <row r="8782" customFormat="false" ht="12.8" hidden="false" customHeight="false" outlineLevel="0" collapsed="false">
      <c r="A8782" s="0" t="s">
        <v>12</v>
      </c>
      <c r="B8782" s="0" t="n">
        <v>2770820</v>
      </c>
      <c r="C8782" s="0" t="n">
        <v>2770840</v>
      </c>
      <c r="D8782" s="0" t="s">
        <v>29207</v>
      </c>
      <c r="E8782" s="0" t="s">
        <v>75</v>
      </c>
      <c r="F8782" s="0" t="s">
        <v>90</v>
      </c>
      <c r="G8782" s="0" t="s">
        <v>32</v>
      </c>
      <c r="H8782" s="0" t="n">
        <v>166</v>
      </c>
      <c r="I8782" s="0" t="s">
        <v>29217</v>
      </c>
      <c r="J8782" s="0" t="s">
        <v>29218</v>
      </c>
      <c r="K8782" s="0" t="s">
        <v>29219</v>
      </c>
      <c r="L8782" s="0" t="str">
        <f aca="false">HYPERLINK("https://www.ncbi.nlm.nih.gov/nuccore/CP000058.1?report=graph&amp;tracks=[key:gene_model_track,Options:GeneOnly]&amp;mk=2770966:2770985|offset_21|444444,2770905:2770924|offset_82|444444,2770847:2770866|offset_140|444444,2770821:2770840|offset_166|00cc00&amp;v=2770765:2771040&amp;c=444444", "offset 166")</f>
        <v>offset 166</v>
      </c>
    </row>
    <row r="8783" customFormat="false" ht="12.8" hidden="false" customHeight="false" outlineLevel="0" collapsed="false">
      <c r="A8783" s="0" t="s">
        <v>12</v>
      </c>
      <c r="B8783" s="0" t="n">
        <v>2772067</v>
      </c>
      <c r="C8783" s="0" t="n">
        <v>2772087</v>
      </c>
      <c r="D8783" s="0" t="s">
        <v>29220</v>
      </c>
      <c r="E8783" s="0" t="s">
        <v>75</v>
      </c>
      <c r="F8783" s="0" t="s">
        <v>90</v>
      </c>
      <c r="G8783" s="0" t="s">
        <v>20</v>
      </c>
      <c r="H8783" s="0" t="n">
        <v>32</v>
      </c>
      <c r="I8783" s="0" t="s">
        <v>29221</v>
      </c>
      <c r="J8783" s="0" t="s">
        <v>29222</v>
      </c>
      <c r="K8783" s="0" t="s">
        <v>29223</v>
      </c>
      <c r="L8783" s="0" t="str">
        <f aca="false">HYPERLINK("https://www.ncbi.nlm.nih.gov/nuccore/CP000058.1?report=graph&amp;tracks=[key:gene_model_track,Options:GeneOnly]&amp;mk=2772068:2772087|offset_32|00cc00,2771961:2771980|offset_139|444444,2771921:2771940|offset_179|444444,2771900:2771919|offset_200|444444&amp;v=2771867:2772119&amp;c=444444", "offset 32")</f>
        <v>offset 32</v>
      </c>
    </row>
    <row r="8784" customFormat="false" ht="12.8" hidden="false" customHeight="false" outlineLevel="0" collapsed="false">
      <c r="A8784" s="0" t="s">
        <v>12</v>
      </c>
      <c r="B8784" s="0" t="n">
        <v>2771960</v>
      </c>
      <c r="C8784" s="0" t="n">
        <v>2771980</v>
      </c>
      <c r="D8784" s="0" t="s">
        <v>29220</v>
      </c>
      <c r="E8784" s="0" t="s">
        <v>75</v>
      </c>
      <c r="F8784" s="0" t="s">
        <v>90</v>
      </c>
      <c r="G8784" s="0" t="s">
        <v>36</v>
      </c>
      <c r="H8784" s="0" t="n">
        <v>139</v>
      </c>
      <c r="I8784" s="0" t="s">
        <v>29224</v>
      </c>
      <c r="J8784" s="0" t="s">
        <v>29225</v>
      </c>
      <c r="K8784" s="0" t="s">
        <v>29226</v>
      </c>
      <c r="L8784" s="0" t="str">
        <f aca="false">HYPERLINK("https://www.ncbi.nlm.nih.gov/nuccore/CP000058.1?report=graph&amp;tracks=[key:gene_model_track,Options:GeneOnly]&amp;mk=2772068:2772087|offset_32|444444,2771961:2771980|offset_139|00cc00,2771921:2771940|offset_179|444444,2771900:2771919|offset_200|444444&amp;v=2771867:2772119&amp;c=444444", "offset 139")</f>
        <v>offset 139</v>
      </c>
    </row>
    <row r="8785" customFormat="false" ht="12.8" hidden="false" customHeight="false" outlineLevel="0" collapsed="false">
      <c r="A8785" s="0" t="s">
        <v>12</v>
      </c>
      <c r="B8785" s="0" t="n">
        <v>2771920</v>
      </c>
      <c r="C8785" s="0" t="n">
        <v>2771940</v>
      </c>
      <c r="D8785" s="0" t="s">
        <v>29220</v>
      </c>
      <c r="E8785" s="0" t="s">
        <v>75</v>
      </c>
      <c r="F8785" s="0" t="s">
        <v>90</v>
      </c>
      <c r="G8785" s="0" t="s">
        <v>32</v>
      </c>
      <c r="H8785" s="0" t="n">
        <v>179</v>
      </c>
      <c r="I8785" s="0" t="s">
        <v>29227</v>
      </c>
      <c r="J8785" s="0" t="s">
        <v>29228</v>
      </c>
      <c r="K8785" s="0" t="s">
        <v>29229</v>
      </c>
      <c r="L8785" s="0" t="str">
        <f aca="false">HYPERLINK("https://www.ncbi.nlm.nih.gov/nuccore/CP000058.1?report=graph&amp;tracks=[key:gene_model_track,Options:GeneOnly]&amp;mk=2772068:2772087|offset_32|444444,2771961:2771980|offset_139|444444,2771921:2771940|offset_179|00cc00,2771900:2771919|offset_200|444444&amp;v=2771867:2772119&amp;c=444444", "offset 179")</f>
        <v>offset 179</v>
      </c>
    </row>
    <row r="8786" customFormat="false" ht="12.8" hidden="false" customHeight="false" outlineLevel="0" collapsed="false">
      <c r="A8786" s="0" t="s">
        <v>12</v>
      </c>
      <c r="B8786" s="0" t="n">
        <v>2771899</v>
      </c>
      <c r="C8786" s="0" t="n">
        <v>2771919</v>
      </c>
      <c r="D8786" s="0" t="s">
        <v>29220</v>
      </c>
      <c r="E8786" s="0" t="s">
        <v>75</v>
      </c>
      <c r="F8786" s="0" t="s">
        <v>90</v>
      </c>
      <c r="G8786" s="0" t="s">
        <v>20</v>
      </c>
      <c r="H8786" s="0" t="n">
        <v>200</v>
      </c>
      <c r="I8786" s="0" t="s">
        <v>29230</v>
      </c>
      <c r="J8786" s="0" t="s">
        <v>29231</v>
      </c>
      <c r="K8786" s="0" t="s">
        <v>29232</v>
      </c>
      <c r="L8786" s="0" t="str">
        <f aca="false">HYPERLINK("https://www.ncbi.nlm.nih.gov/nuccore/CP000058.1?report=graph&amp;tracks=[key:gene_model_track,Options:GeneOnly]&amp;mk=2772068:2772087|offset_32|444444,2771961:2771980|offset_139|444444,2771921:2771940|offset_179|444444,2771900:2771919|offset_200|00cc00&amp;v=2771867:2772119&amp;c=444444", "offset 200")</f>
        <v>offset 200</v>
      </c>
    </row>
    <row r="8787" customFormat="false" ht="12.8" hidden="false" customHeight="false" outlineLevel="0" collapsed="false">
      <c r="A8787" s="0" t="s">
        <v>12</v>
      </c>
      <c r="B8787" s="0" t="n">
        <v>2773011</v>
      </c>
      <c r="C8787" s="0" t="n">
        <v>2773031</v>
      </c>
      <c r="D8787" s="0" t="s">
        <v>29233</v>
      </c>
      <c r="E8787" s="0" t="s">
        <v>75</v>
      </c>
      <c r="F8787" s="0" t="s">
        <v>15</v>
      </c>
      <c r="G8787" s="0" t="s">
        <v>36</v>
      </c>
      <c r="H8787" s="0" t="n">
        <v>6</v>
      </c>
      <c r="I8787" s="0" t="s">
        <v>29234</v>
      </c>
      <c r="J8787" s="0" t="s">
        <v>29235</v>
      </c>
      <c r="K8787" s="0" t="s">
        <v>29236</v>
      </c>
      <c r="L8787" s="0" t="str">
        <f aca="false">HYPERLINK("https://www.ncbi.nlm.nih.gov/nuccore/CP000058.1?report=graph&amp;tracks=[key:gene_model_track,Options:GeneOnly]&amp;mk=2773012:2773031|offset_6|00cc00,2773041:2773060|offset_35|444444,2773063:2773082|offset_57|444444,2773106:2773125|offset_100|444444&amp;v=2772811:2773325&amp;c=444444", "offset 6")</f>
        <v>offset 6</v>
      </c>
    </row>
    <row r="8788" customFormat="false" ht="12.8" hidden="false" customHeight="false" outlineLevel="0" collapsed="false">
      <c r="A8788" s="0" t="s">
        <v>12</v>
      </c>
      <c r="B8788" s="0" t="n">
        <v>2773040</v>
      </c>
      <c r="C8788" s="0" t="n">
        <v>2773060</v>
      </c>
      <c r="D8788" s="0" t="s">
        <v>29233</v>
      </c>
      <c r="E8788" s="0" t="s">
        <v>75</v>
      </c>
      <c r="F8788" s="0" t="s">
        <v>15</v>
      </c>
      <c r="G8788" s="0" t="s">
        <v>16</v>
      </c>
      <c r="H8788" s="0" t="n">
        <v>35</v>
      </c>
      <c r="I8788" s="0" t="s">
        <v>29237</v>
      </c>
      <c r="J8788" s="0" t="s">
        <v>29238</v>
      </c>
      <c r="K8788" s="0" t="s">
        <v>29239</v>
      </c>
      <c r="L8788" s="0" t="str">
        <f aca="false">HYPERLINK("https://www.ncbi.nlm.nih.gov/nuccore/CP000058.1?report=graph&amp;tracks=[key:gene_model_track,Options:GeneOnly]&amp;mk=2773012:2773031|offset_6|444444,2773041:2773060|offset_35|00cc00,2773063:2773082|offset_57|444444,2773106:2773125|offset_100|444444&amp;v=2772811:2773325&amp;c=444444", "offset 35")</f>
        <v>offset 35</v>
      </c>
    </row>
    <row r="8789" customFormat="false" ht="12.8" hidden="false" customHeight="false" outlineLevel="0" collapsed="false">
      <c r="A8789" s="0" t="s">
        <v>12</v>
      </c>
      <c r="B8789" s="0" t="n">
        <v>2773062</v>
      </c>
      <c r="C8789" s="0" t="n">
        <v>2773082</v>
      </c>
      <c r="D8789" s="0" t="s">
        <v>29233</v>
      </c>
      <c r="E8789" s="0" t="s">
        <v>75</v>
      </c>
      <c r="F8789" s="0" t="s">
        <v>15</v>
      </c>
      <c r="G8789" s="0" t="s">
        <v>20</v>
      </c>
      <c r="H8789" s="0" t="n">
        <v>57</v>
      </c>
      <c r="I8789" s="0" t="s">
        <v>29240</v>
      </c>
      <c r="J8789" s="0" t="s">
        <v>29241</v>
      </c>
      <c r="K8789" s="0" t="s">
        <v>29242</v>
      </c>
      <c r="L8789" s="0" t="str">
        <f aca="false">HYPERLINK("https://www.ncbi.nlm.nih.gov/nuccore/CP000058.1?report=graph&amp;tracks=[key:gene_model_track,Options:GeneOnly]&amp;mk=2773012:2773031|offset_6|444444,2773041:2773060|offset_35|444444,2773063:2773082|offset_57|00cc00,2773106:2773125|offset_100|444444&amp;v=2772811:2773325&amp;c=444444", "offset 57")</f>
        <v>offset 57</v>
      </c>
    </row>
    <row r="8790" customFormat="false" ht="12.8" hidden="false" customHeight="false" outlineLevel="0" collapsed="false">
      <c r="A8790" s="0" t="s">
        <v>12</v>
      </c>
      <c r="B8790" s="0" t="n">
        <v>2773105</v>
      </c>
      <c r="C8790" s="0" t="n">
        <v>2773125</v>
      </c>
      <c r="D8790" s="0" t="s">
        <v>29233</v>
      </c>
      <c r="E8790" s="0" t="s">
        <v>75</v>
      </c>
      <c r="F8790" s="0" t="s">
        <v>15</v>
      </c>
      <c r="G8790" s="0" t="s">
        <v>16</v>
      </c>
      <c r="H8790" s="0" t="n">
        <v>100</v>
      </c>
      <c r="I8790" s="0" t="s">
        <v>29243</v>
      </c>
      <c r="J8790" s="0" t="s">
        <v>29244</v>
      </c>
      <c r="K8790" s="0" t="s">
        <v>29245</v>
      </c>
      <c r="L8790" s="0" t="str">
        <f aca="false">HYPERLINK("https://www.ncbi.nlm.nih.gov/nuccore/CP000058.1?report=graph&amp;tracks=[key:gene_model_track,Options:GeneOnly]&amp;mk=2773012:2773031|offset_6|444444,2773041:2773060|offset_35|444444,2773063:2773082|offset_57|444444,2773106:2773125|offset_100|00cc00&amp;v=2772811:2773325&amp;c=444444", "offset 100")</f>
        <v>offset 100</v>
      </c>
    </row>
    <row r="8791" customFormat="false" ht="12.8" hidden="false" customHeight="false" outlineLevel="0" collapsed="false">
      <c r="A8791" s="0" t="s">
        <v>12</v>
      </c>
      <c r="B8791" s="0" t="n">
        <v>2773370</v>
      </c>
      <c r="C8791" s="0" t="n">
        <v>2773390</v>
      </c>
      <c r="D8791" s="0" t="s">
        <v>29246</v>
      </c>
      <c r="E8791" s="0" t="s">
        <v>75</v>
      </c>
      <c r="F8791" s="0" t="s">
        <v>15</v>
      </c>
      <c r="G8791" s="0" t="s">
        <v>32</v>
      </c>
      <c r="H8791" s="0" t="n">
        <v>7</v>
      </c>
      <c r="I8791" s="0" t="s">
        <v>29247</v>
      </c>
      <c r="J8791" s="0" t="s">
        <v>29248</v>
      </c>
      <c r="K8791" s="0" t="s">
        <v>29249</v>
      </c>
      <c r="L8791" s="0" t="str">
        <f aca="false">HYPERLINK("https://www.ncbi.nlm.nih.gov/nuccore/CP000058.1?report=graph&amp;tracks=[key:gene_model_track,Options:GeneOnly]&amp;mk=2773371:2773390|offset_7|00cc00,2773406:2773425|offset_42|444444,2773452:2773471|offset_88|444444,2773527:2773546|offset_163|444444&amp;v=2773170:2773746&amp;c=444444", "offset 7")</f>
        <v>offset 7</v>
      </c>
    </row>
    <row r="8792" customFormat="false" ht="12.8" hidden="false" customHeight="false" outlineLevel="0" collapsed="false">
      <c r="A8792" s="0" t="s">
        <v>12</v>
      </c>
      <c r="B8792" s="0" t="n">
        <v>2773405</v>
      </c>
      <c r="C8792" s="0" t="n">
        <v>2773425</v>
      </c>
      <c r="D8792" s="0" t="s">
        <v>29246</v>
      </c>
      <c r="E8792" s="0" t="s">
        <v>75</v>
      </c>
      <c r="F8792" s="0" t="s">
        <v>15</v>
      </c>
      <c r="G8792" s="0" t="s">
        <v>32</v>
      </c>
      <c r="H8792" s="0" t="n">
        <v>42</v>
      </c>
      <c r="I8792" s="0" t="s">
        <v>29250</v>
      </c>
      <c r="J8792" s="0" t="s">
        <v>29251</v>
      </c>
      <c r="K8792" s="0" t="s">
        <v>29252</v>
      </c>
      <c r="L8792" s="0" t="str">
        <f aca="false">HYPERLINK("https://www.ncbi.nlm.nih.gov/nuccore/CP000058.1?report=graph&amp;tracks=[key:gene_model_track,Options:GeneOnly]&amp;mk=2773371:2773390|offset_7|444444,2773406:2773425|offset_42|00cc00,2773452:2773471|offset_88|444444,2773527:2773546|offset_163|444444&amp;v=2773170:2773746&amp;c=444444", "offset 42")</f>
        <v>offset 42</v>
      </c>
    </row>
    <row r="8793" customFormat="false" ht="12.8" hidden="false" customHeight="false" outlineLevel="0" collapsed="false">
      <c r="A8793" s="0" t="s">
        <v>12</v>
      </c>
      <c r="B8793" s="0" t="n">
        <v>2773451</v>
      </c>
      <c r="C8793" s="0" t="n">
        <v>2773471</v>
      </c>
      <c r="D8793" s="0" t="s">
        <v>29246</v>
      </c>
      <c r="E8793" s="0" t="s">
        <v>75</v>
      </c>
      <c r="F8793" s="0" t="s">
        <v>15</v>
      </c>
      <c r="G8793" s="0" t="s">
        <v>36</v>
      </c>
      <c r="H8793" s="0" t="n">
        <v>88</v>
      </c>
      <c r="I8793" s="0" t="s">
        <v>29253</v>
      </c>
      <c r="J8793" s="0" t="s">
        <v>29254</v>
      </c>
      <c r="K8793" s="0" t="s">
        <v>29255</v>
      </c>
      <c r="L8793" s="0" t="str">
        <f aca="false">HYPERLINK("https://www.ncbi.nlm.nih.gov/nuccore/CP000058.1?report=graph&amp;tracks=[key:gene_model_track,Options:GeneOnly]&amp;mk=2773371:2773390|offset_7|444444,2773406:2773425|offset_42|444444,2773452:2773471|offset_88|00cc00,2773527:2773546|offset_163|444444&amp;v=2773170:2773746&amp;c=444444", "offset 88")</f>
        <v>offset 88</v>
      </c>
    </row>
    <row r="8794" customFormat="false" ht="12.8" hidden="false" customHeight="false" outlineLevel="0" collapsed="false">
      <c r="A8794" s="0" t="s">
        <v>12</v>
      </c>
      <c r="B8794" s="0" t="n">
        <v>2773526</v>
      </c>
      <c r="C8794" s="0" t="n">
        <v>2773546</v>
      </c>
      <c r="D8794" s="0" t="s">
        <v>29246</v>
      </c>
      <c r="E8794" s="0" t="s">
        <v>75</v>
      </c>
      <c r="F8794" s="0" t="s">
        <v>15</v>
      </c>
      <c r="G8794" s="0" t="s">
        <v>20</v>
      </c>
      <c r="H8794" s="0" t="n">
        <v>163</v>
      </c>
      <c r="I8794" s="0" t="s">
        <v>29256</v>
      </c>
      <c r="J8794" s="0" t="s">
        <v>29257</v>
      </c>
      <c r="K8794" s="0" t="s">
        <v>29258</v>
      </c>
      <c r="L8794" s="0" t="str">
        <f aca="false">HYPERLINK("https://www.ncbi.nlm.nih.gov/nuccore/CP000058.1?report=graph&amp;tracks=[key:gene_model_track,Options:GeneOnly]&amp;mk=2773371:2773390|offset_7|444444,2773406:2773425|offset_42|444444,2773452:2773471|offset_88|444444,2773527:2773546|offset_163|00cc00&amp;v=2773170:2773746&amp;c=444444", "offset 163")</f>
        <v>offset 163</v>
      </c>
    </row>
    <row r="8795" customFormat="false" ht="12.8" hidden="false" customHeight="false" outlineLevel="0" collapsed="false">
      <c r="A8795" s="0" t="s">
        <v>12</v>
      </c>
      <c r="B8795" s="0" t="n">
        <v>2774443</v>
      </c>
      <c r="C8795" s="0" t="n">
        <v>2774463</v>
      </c>
      <c r="D8795" s="0" t="s">
        <v>29259</v>
      </c>
      <c r="E8795" s="0" t="s">
        <v>75</v>
      </c>
      <c r="F8795" s="0" t="s">
        <v>15</v>
      </c>
      <c r="G8795" s="0" t="s">
        <v>32</v>
      </c>
      <c r="H8795" s="0" t="n">
        <v>103</v>
      </c>
      <c r="I8795" s="0" t="s">
        <v>29260</v>
      </c>
      <c r="J8795" s="0" t="s">
        <v>29261</v>
      </c>
      <c r="K8795" s="0" t="s">
        <v>29262</v>
      </c>
      <c r="L8795" s="0" t="str">
        <f aca="false">HYPERLINK("https://www.ncbi.nlm.nih.gov/nuccore/CP000058.1?report=graph&amp;tracks=[key:gene_model_track,Options:GeneOnly]&amp;mk=2774444:2774463|offset_103|00cc00,2774465:2774484|offset_124|444444,2774551:2774570|offset_210|444444,2774571:2774590|offset_230|444444&amp;v=2774243:2774790&amp;c=444444", "offset 103")</f>
        <v>offset 103</v>
      </c>
    </row>
    <row r="8796" customFormat="false" ht="12.8" hidden="false" customHeight="false" outlineLevel="0" collapsed="false">
      <c r="A8796" s="0" t="s">
        <v>12</v>
      </c>
      <c r="B8796" s="0" t="n">
        <v>2774464</v>
      </c>
      <c r="C8796" s="0" t="n">
        <v>2774484</v>
      </c>
      <c r="D8796" s="0" t="s">
        <v>29259</v>
      </c>
      <c r="E8796" s="0" t="s">
        <v>75</v>
      </c>
      <c r="F8796" s="0" t="s">
        <v>15</v>
      </c>
      <c r="G8796" s="0" t="s">
        <v>36</v>
      </c>
      <c r="H8796" s="0" t="n">
        <v>124</v>
      </c>
      <c r="I8796" s="0" t="s">
        <v>29263</v>
      </c>
      <c r="J8796" s="0" t="s">
        <v>29264</v>
      </c>
      <c r="K8796" s="0" t="s">
        <v>29265</v>
      </c>
      <c r="L8796" s="0" t="str">
        <f aca="false">HYPERLINK("https://www.ncbi.nlm.nih.gov/nuccore/CP000058.1?report=graph&amp;tracks=[key:gene_model_track,Options:GeneOnly]&amp;mk=2774444:2774463|offset_103|444444,2774465:2774484|offset_124|00cc00,2774551:2774570|offset_210|444444,2774571:2774590|offset_230|444444&amp;v=2774243:2774790&amp;c=444444", "offset 124")</f>
        <v>offset 124</v>
      </c>
    </row>
    <row r="8797" customFormat="false" ht="12.8" hidden="false" customHeight="false" outlineLevel="0" collapsed="false">
      <c r="A8797" s="0" t="s">
        <v>12</v>
      </c>
      <c r="B8797" s="0" t="n">
        <v>2774550</v>
      </c>
      <c r="C8797" s="0" t="n">
        <v>2774570</v>
      </c>
      <c r="D8797" s="0" t="s">
        <v>29259</v>
      </c>
      <c r="E8797" s="0" t="s">
        <v>75</v>
      </c>
      <c r="F8797" s="0" t="s">
        <v>15</v>
      </c>
      <c r="G8797" s="0" t="s">
        <v>32</v>
      </c>
      <c r="H8797" s="0" t="n">
        <v>210</v>
      </c>
      <c r="I8797" s="0" t="s">
        <v>29266</v>
      </c>
      <c r="J8797" s="0" t="s">
        <v>29267</v>
      </c>
      <c r="K8797" s="0" t="s">
        <v>29268</v>
      </c>
      <c r="L8797" s="0" t="str">
        <f aca="false">HYPERLINK("https://www.ncbi.nlm.nih.gov/nuccore/CP000058.1?report=graph&amp;tracks=[key:gene_model_track,Options:GeneOnly]&amp;mk=2774444:2774463|offset_103|444444,2774465:2774484|offset_124|444444,2774551:2774570|offset_210|00cc00,2774571:2774590|offset_230|444444&amp;v=2774243:2774790&amp;c=444444", "offset 210")</f>
        <v>offset 210</v>
      </c>
    </row>
    <row r="8798" customFormat="false" ht="12.8" hidden="false" customHeight="false" outlineLevel="0" collapsed="false">
      <c r="A8798" s="0" t="s">
        <v>12</v>
      </c>
      <c r="B8798" s="0" t="n">
        <v>2774570</v>
      </c>
      <c r="C8798" s="0" t="n">
        <v>2774590</v>
      </c>
      <c r="D8798" s="0" t="s">
        <v>29259</v>
      </c>
      <c r="E8798" s="0" t="s">
        <v>75</v>
      </c>
      <c r="F8798" s="0" t="s">
        <v>15</v>
      </c>
      <c r="G8798" s="0" t="s">
        <v>32</v>
      </c>
      <c r="H8798" s="0" t="n">
        <v>230</v>
      </c>
      <c r="I8798" s="0" t="s">
        <v>29269</v>
      </c>
      <c r="J8798" s="0" t="s">
        <v>29270</v>
      </c>
      <c r="K8798" s="0" t="s">
        <v>29271</v>
      </c>
      <c r="L8798" s="0" t="str">
        <f aca="false">HYPERLINK("https://www.ncbi.nlm.nih.gov/nuccore/CP000058.1?report=graph&amp;tracks=[key:gene_model_track,Options:GeneOnly]&amp;mk=2774444:2774463|offset_103|444444,2774465:2774484|offset_124|444444,2774551:2774570|offset_210|444444,2774571:2774590|offset_230|00cc00&amp;v=2774243:2774790&amp;c=444444", "offset 230")</f>
        <v>offset 230</v>
      </c>
    </row>
    <row r="8799" customFormat="false" ht="12.8" hidden="false" customHeight="false" outlineLevel="0" collapsed="false">
      <c r="A8799" s="0" t="s">
        <v>12</v>
      </c>
      <c r="B8799" s="0" t="n">
        <v>2775269</v>
      </c>
      <c r="C8799" s="0" t="n">
        <v>2775289</v>
      </c>
      <c r="D8799" s="0" t="s">
        <v>29272</v>
      </c>
      <c r="E8799" s="0" t="s">
        <v>75</v>
      </c>
      <c r="F8799" s="0" t="s">
        <v>15</v>
      </c>
      <c r="G8799" s="0" t="s">
        <v>32</v>
      </c>
      <c r="H8799" s="0" t="n">
        <v>149</v>
      </c>
      <c r="I8799" s="0" t="s">
        <v>29273</v>
      </c>
      <c r="J8799" s="0" t="s">
        <v>29274</v>
      </c>
      <c r="K8799" s="0" t="s">
        <v>29275</v>
      </c>
      <c r="L8799" s="0" t="str">
        <f aca="false">HYPERLINK("https://www.ncbi.nlm.nih.gov/nuccore/CP000058.1?report=graph&amp;tracks=[key:gene_model_track,Options:GeneOnly]&amp;mk=2775270:2775289|offset_149|00cc00,2775312:2775331|offset_191|444444,2775351:2775370|offset_230|444444,2775380:2775399|offset_259|444444&amp;v=2775069:2775599&amp;c=444444", "offset 149")</f>
        <v>offset 149</v>
      </c>
    </row>
    <row r="8800" customFormat="false" ht="12.8" hidden="false" customHeight="false" outlineLevel="0" collapsed="false">
      <c r="A8800" s="0" t="s">
        <v>12</v>
      </c>
      <c r="B8800" s="0" t="n">
        <v>2775311</v>
      </c>
      <c r="C8800" s="0" t="n">
        <v>2775331</v>
      </c>
      <c r="D8800" s="0" t="s">
        <v>29272</v>
      </c>
      <c r="E8800" s="0" t="s">
        <v>75</v>
      </c>
      <c r="F8800" s="0" t="s">
        <v>15</v>
      </c>
      <c r="G8800" s="0" t="s">
        <v>36</v>
      </c>
      <c r="H8800" s="0" t="n">
        <v>191</v>
      </c>
      <c r="I8800" s="0" t="s">
        <v>29276</v>
      </c>
      <c r="J8800" s="0" t="s">
        <v>29277</v>
      </c>
      <c r="K8800" s="0" t="s">
        <v>29278</v>
      </c>
      <c r="L8800" s="0" t="str">
        <f aca="false">HYPERLINK("https://www.ncbi.nlm.nih.gov/nuccore/CP000058.1?report=graph&amp;tracks=[key:gene_model_track,Options:GeneOnly]&amp;mk=2775270:2775289|offset_149|444444,2775312:2775331|offset_191|00cc00,2775351:2775370|offset_230|444444,2775380:2775399|offset_259|444444&amp;v=2775069:2775599&amp;c=444444", "offset 191")</f>
        <v>offset 191</v>
      </c>
    </row>
    <row r="8801" customFormat="false" ht="12.8" hidden="false" customHeight="false" outlineLevel="0" collapsed="false">
      <c r="A8801" s="0" t="s">
        <v>12</v>
      </c>
      <c r="B8801" s="0" t="n">
        <v>2775350</v>
      </c>
      <c r="C8801" s="0" t="n">
        <v>2775370</v>
      </c>
      <c r="D8801" s="0" t="s">
        <v>29272</v>
      </c>
      <c r="E8801" s="0" t="s">
        <v>75</v>
      </c>
      <c r="F8801" s="0" t="s">
        <v>15</v>
      </c>
      <c r="G8801" s="0" t="s">
        <v>20</v>
      </c>
      <c r="H8801" s="0" t="n">
        <v>230</v>
      </c>
      <c r="I8801" s="0" t="s">
        <v>29279</v>
      </c>
      <c r="J8801" s="0" t="s">
        <v>29280</v>
      </c>
      <c r="K8801" s="0" t="s">
        <v>29281</v>
      </c>
      <c r="L8801" s="0" t="str">
        <f aca="false">HYPERLINK("https://www.ncbi.nlm.nih.gov/nuccore/CP000058.1?report=graph&amp;tracks=[key:gene_model_track,Options:GeneOnly]&amp;mk=2775270:2775289|offset_149|444444,2775312:2775331|offset_191|444444,2775351:2775370|offset_230|00cc00,2775380:2775399|offset_259|444444&amp;v=2775069:2775599&amp;c=444444", "offset 230")</f>
        <v>offset 230</v>
      </c>
    </row>
    <row r="8802" customFormat="false" ht="12.8" hidden="false" customHeight="false" outlineLevel="0" collapsed="false">
      <c r="A8802" s="0" t="s">
        <v>12</v>
      </c>
      <c r="B8802" s="0" t="n">
        <v>2775379</v>
      </c>
      <c r="C8802" s="0" t="n">
        <v>2775399</v>
      </c>
      <c r="D8802" s="0" t="s">
        <v>29272</v>
      </c>
      <c r="E8802" s="0" t="s">
        <v>75</v>
      </c>
      <c r="F8802" s="0" t="s">
        <v>15</v>
      </c>
      <c r="G8802" s="0" t="s">
        <v>32</v>
      </c>
      <c r="H8802" s="0" t="n">
        <v>259</v>
      </c>
      <c r="I8802" s="0" t="s">
        <v>29282</v>
      </c>
      <c r="J8802" s="0" t="s">
        <v>29283</v>
      </c>
      <c r="K8802" s="0" t="s">
        <v>29284</v>
      </c>
      <c r="L8802" s="0" t="str">
        <f aca="false">HYPERLINK("https://www.ncbi.nlm.nih.gov/nuccore/CP000058.1?report=graph&amp;tracks=[key:gene_model_track,Options:GeneOnly]&amp;mk=2775270:2775289|offset_149|444444,2775312:2775331|offset_191|444444,2775351:2775370|offset_230|444444,2775380:2775399|offset_259|00cc00&amp;v=2775069:2775599&amp;c=444444", "offset 259")</f>
        <v>offset 259</v>
      </c>
    </row>
    <row r="8803" customFormat="false" ht="12.8" hidden="false" customHeight="false" outlineLevel="0" collapsed="false">
      <c r="A8803" s="0" t="s">
        <v>12</v>
      </c>
      <c r="B8803" s="0" t="n">
        <v>2776107</v>
      </c>
      <c r="C8803" s="0" t="n">
        <v>2776127</v>
      </c>
      <c r="D8803" s="0" t="s">
        <v>29285</v>
      </c>
      <c r="E8803" s="0" t="s">
        <v>75</v>
      </c>
      <c r="F8803" s="0" t="s">
        <v>15</v>
      </c>
      <c r="G8803" s="0" t="s">
        <v>20</v>
      </c>
      <c r="H8803" s="0" t="n">
        <v>44</v>
      </c>
      <c r="I8803" s="0" t="s">
        <v>29286</v>
      </c>
      <c r="J8803" s="0" t="s">
        <v>29287</v>
      </c>
      <c r="K8803" s="0" t="s">
        <v>29288</v>
      </c>
      <c r="L8803" s="0" t="str">
        <f aca="false">HYPERLINK("https://www.ncbi.nlm.nih.gov/nuccore/CP000058.1?report=graph&amp;tracks=[key:gene_model_track,Options:GeneOnly]&amp;mk=2776108:2776127|offset_44|00cc00,2776144:2776163|offset_80|444444,2776164:2776183|offset_100|444444,2776191:2776210|offset_127|444444&amp;v=2775907:2776410&amp;c=444444", "offset 44")</f>
        <v>offset 44</v>
      </c>
    </row>
    <row r="8804" customFormat="false" ht="12.8" hidden="false" customHeight="false" outlineLevel="0" collapsed="false">
      <c r="A8804" s="0" t="s">
        <v>12</v>
      </c>
      <c r="B8804" s="0" t="n">
        <v>2776143</v>
      </c>
      <c r="C8804" s="0" t="n">
        <v>2776163</v>
      </c>
      <c r="D8804" s="0" t="s">
        <v>29285</v>
      </c>
      <c r="E8804" s="0" t="s">
        <v>75</v>
      </c>
      <c r="F8804" s="0" t="s">
        <v>15</v>
      </c>
      <c r="G8804" s="0" t="s">
        <v>16</v>
      </c>
      <c r="H8804" s="0" t="n">
        <v>80</v>
      </c>
      <c r="I8804" s="0" t="s">
        <v>29289</v>
      </c>
      <c r="J8804" s="0" t="s">
        <v>29290</v>
      </c>
      <c r="K8804" s="0" t="s">
        <v>29291</v>
      </c>
      <c r="L8804" s="0" t="str">
        <f aca="false">HYPERLINK("https://www.ncbi.nlm.nih.gov/nuccore/CP000058.1?report=graph&amp;tracks=[key:gene_model_track,Options:GeneOnly]&amp;mk=2776108:2776127|offset_44|444444,2776144:2776163|offset_80|00cc00,2776164:2776183|offset_100|444444,2776191:2776210|offset_127|444444&amp;v=2775907:2776410&amp;c=444444", "offset 80")</f>
        <v>offset 80</v>
      </c>
    </row>
    <row r="8805" customFormat="false" ht="12.8" hidden="false" customHeight="false" outlineLevel="0" collapsed="false">
      <c r="A8805" s="0" t="s">
        <v>12</v>
      </c>
      <c r="B8805" s="0" t="n">
        <v>2776163</v>
      </c>
      <c r="C8805" s="0" t="n">
        <v>2776183</v>
      </c>
      <c r="D8805" s="0" t="s">
        <v>29285</v>
      </c>
      <c r="E8805" s="0" t="s">
        <v>75</v>
      </c>
      <c r="F8805" s="0" t="s">
        <v>15</v>
      </c>
      <c r="G8805" s="0" t="s">
        <v>16</v>
      </c>
      <c r="H8805" s="0" t="n">
        <v>100</v>
      </c>
      <c r="I8805" s="0" t="s">
        <v>29292</v>
      </c>
      <c r="J8805" s="0" t="s">
        <v>29293</v>
      </c>
      <c r="K8805" s="0" t="s">
        <v>29294</v>
      </c>
      <c r="L8805" s="0" t="str">
        <f aca="false">HYPERLINK("https://www.ncbi.nlm.nih.gov/nuccore/CP000058.1?report=graph&amp;tracks=[key:gene_model_track,Options:GeneOnly]&amp;mk=2776108:2776127|offset_44|444444,2776144:2776163|offset_80|444444,2776164:2776183|offset_100|00cc00,2776191:2776210|offset_127|444444&amp;v=2775907:2776410&amp;c=444444", "offset 100")</f>
        <v>offset 100</v>
      </c>
    </row>
    <row r="8806" customFormat="false" ht="12.8" hidden="false" customHeight="false" outlineLevel="0" collapsed="false">
      <c r="A8806" s="0" t="s">
        <v>12</v>
      </c>
      <c r="B8806" s="0" t="n">
        <v>2776190</v>
      </c>
      <c r="C8806" s="0" t="n">
        <v>2776210</v>
      </c>
      <c r="D8806" s="0" t="s">
        <v>29285</v>
      </c>
      <c r="E8806" s="0" t="s">
        <v>75</v>
      </c>
      <c r="F8806" s="0" t="s">
        <v>15</v>
      </c>
      <c r="G8806" s="0" t="s">
        <v>16</v>
      </c>
      <c r="H8806" s="0" t="n">
        <v>127</v>
      </c>
      <c r="I8806" s="0" t="s">
        <v>29295</v>
      </c>
      <c r="J8806" s="0" t="s">
        <v>29296</v>
      </c>
      <c r="K8806" s="0" t="s">
        <v>29297</v>
      </c>
      <c r="L8806" s="0" t="str">
        <f aca="false">HYPERLINK("https://www.ncbi.nlm.nih.gov/nuccore/CP000058.1?report=graph&amp;tracks=[key:gene_model_track,Options:GeneOnly]&amp;mk=2776108:2776127|offset_44|444444,2776144:2776163|offset_80|444444,2776164:2776183|offset_100|444444,2776191:2776210|offset_127|00cc00&amp;v=2775907:2776410&amp;c=444444", "offset 127")</f>
        <v>offset 127</v>
      </c>
    </row>
    <row r="8807" customFormat="false" ht="12.8" hidden="false" customHeight="false" outlineLevel="0" collapsed="false">
      <c r="A8807" s="0" t="s">
        <v>12</v>
      </c>
      <c r="B8807" s="0" t="n">
        <v>2776598</v>
      </c>
      <c r="C8807" s="0" t="n">
        <v>2776618</v>
      </c>
      <c r="D8807" s="0" t="s">
        <v>29298</v>
      </c>
      <c r="E8807" s="0" t="s">
        <v>75</v>
      </c>
      <c r="F8807" s="0" t="s">
        <v>15</v>
      </c>
      <c r="G8807" s="0" t="s">
        <v>32</v>
      </c>
      <c r="H8807" s="0" t="n">
        <v>7</v>
      </c>
      <c r="I8807" s="0" t="s">
        <v>29299</v>
      </c>
      <c r="J8807" s="0" t="s">
        <v>29300</v>
      </c>
      <c r="K8807" s="0" t="s">
        <v>29301</v>
      </c>
      <c r="L8807" s="0" t="str">
        <f aca="false">HYPERLINK("https://www.ncbi.nlm.nih.gov/nuccore/CP000058.1?report=graph&amp;tracks=[key:gene_model_track,Options:GeneOnly]&amp;mk=2776599:2776618|offset_7|00cc00,2776665:2776684|offset_73|444444,2776686:2776705|offset_94|444444,2776707:2776726|offset_115|444444&amp;v=2776398:2776926&amp;c=444444", "offset 7")</f>
        <v>offset 7</v>
      </c>
    </row>
    <row r="8808" customFormat="false" ht="12.8" hidden="false" customHeight="false" outlineLevel="0" collapsed="false">
      <c r="A8808" s="0" t="s">
        <v>12</v>
      </c>
      <c r="B8808" s="0" t="n">
        <v>2776664</v>
      </c>
      <c r="C8808" s="0" t="n">
        <v>2776684</v>
      </c>
      <c r="D8808" s="0" t="s">
        <v>29298</v>
      </c>
      <c r="E8808" s="0" t="s">
        <v>75</v>
      </c>
      <c r="F8808" s="0" t="s">
        <v>15</v>
      </c>
      <c r="G8808" s="0" t="s">
        <v>16</v>
      </c>
      <c r="H8808" s="0" t="n">
        <v>73</v>
      </c>
      <c r="I8808" s="0" t="s">
        <v>29302</v>
      </c>
      <c r="J8808" s="0" t="s">
        <v>29303</v>
      </c>
      <c r="K8808" s="0" t="s">
        <v>29304</v>
      </c>
      <c r="L8808" s="0" t="str">
        <f aca="false">HYPERLINK("https://www.ncbi.nlm.nih.gov/nuccore/CP000058.1?report=graph&amp;tracks=[key:gene_model_track,Options:GeneOnly]&amp;mk=2776599:2776618|offset_7|444444,2776665:2776684|offset_73|00cc00,2776686:2776705|offset_94|444444,2776707:2776726|offset_115|444444&amp;v=2776398:2776926&amp;c=444444", "offset 73")</f>
        <v>offset 73</v>
      </c>
    </row>
    <row r="8809" customFormat="false" ht="12.8" hidden="false" customHeight="false" outlineLevel="0" collapsed="false">
      <c r="A8809" s="0" t="s">
        <v>12</v>
      </c>
      <c r="B8809" s="0" t="n">
        <v>2776685</v>
      </c>
      <c r="C8809" s="0" t="n">
        <v>2776705</v>
      </c>
      <c r="D8809" s="0" t="s">
        <v>29298</v>
      </c>
      <c r="E8809" s="0" t="s">
        <v>75</v>
      </c>
      <c r="F8809" s="0" t="s">
        <v>15</v>
      </c>
      <c r="G8809" s="0" t="s">
        <v>16</v>
      </c>
      <c r="H8809" s="0" t="n">
        <v>94</v>
      </c>
      <c r="I8809" s="0" t="s">
        <v>29305</v>
      </c>
      <c r="J8809" s="0" t="s">
        <v>29306</v>
      </c>
      <c r="K8809" s="0" t="s">
        <v>29307</v>
      </c>
      <c r="L8809" s="0" t="str">
        <f aca="false">HYPERLINK("https://www.ncbi.nlm.nih.gov/nuccore/CP000058.1?report=graph&amp;tracks=[key:gene_model_track,Options:GeneOnly]&amp;mk=2776599:2776618|offset_7|444444,2776665:2776684|offset_73|444444,2776686:2776705|offset_94|00cc00,2776707:2776726|offset_115|444444&amp;v=2776398:2776926&amp;c=444444", "offset 94")</f>
        <v>offset 94</v>
      </c>
    </row>
    <row r="8810" customFormat="false" ht="12.8" hidden="false" customHeight="false" outlineLevel="0" collapsed="false">
      <c r="A8810" s="0" t="s">
        <v>12</v>
      </c>
      <c r="B8810" s="0" t="n">
        <v>2776706</v>
      </c>
      <c r="C8810" s="0" t="n">
        <v>2776726</v>
      </c>
      <c r="D8810" s="0" t="s">
        <v>29298</v>
      </c>
      <c r="E8810" s="0" t="s">
        <v>75</v>
      </c>
      <c r="F8810" s="0" t="s">
        <v>15</v>
      </c>
      <c r="G8810" s="0" t="s">
        <v>16</v>
      </c>
      <c r="H8810" s="0" t="n">
        <v>115</v>
      </c>
      <c r="I8810" s="0" t="s">
        <v>29308</v>
      </c>
      <c r="J8810" s="0" t="s">
        <v>29309</v>
      </c>
      <c r="K8810" s="0" t="s">
        <v>29310</v>
      </c>
      <c r="L8810" s="0" t="str">
        <f aca="false">HYPERLINK("https://www.ncbi.nlm.nih.gov/nuccore/CP000058.1?report=graph&amp;tracks=[key:gene_model_track,Options:GeneOnly]&amp;mk=2776599:2776618|offset_7|444444,2776665:2776684|offset_73|444444,2776686:2776705|offset_94|444444,2776707:2776726|offset_115|00cc00&amp;v=2776398:2776926&amp;c=444444", "offset 115")</f>
        <v>offset 115</v>
      </c>
    </row>
    <row r="8811" customFormat="false" ht="12.8" hidden="false" customHeight="false" outlineLevel="0" collapsed="false">
      <c r="A8811" s="0" t="s">
        <v>12</v>
      </c>
      <c r="B8811" s="0" t="n">
        <v>2776808</v>
      </c>
      <c r="C8811" s="0" t="n">
        <v>2776828</v>
      </c>
      <c r="D8811" s="0" t="s">
        <v>29311</v>
      </c>
      <c r="E8811" s="0" t="s">
        <v>75</v>
      </c>
      <c r="F8811" s="0" t="s">
        <v>15</v>
      </c>
      <c r="G8811" s="0" t="s">
        <v>20</v>
      </c>
      <c r="H8811" s="0" t="n">
        <v>8</v>
      </c>
      <c r="I8811" s="0" t="s">
        <v>29312</v>
      </c>
      <c r="J8811" s="0" t="s">
        <v>29313</v>
      </c>
      <c r="K8811" s="0" t="s">
        <v>29314</v>
      </c>
      <c r="L8811" s="0" t="str">
        <f aca="false">HYPERLINK("https://www.ncbi.nlm.nih.gov/nuccore/CP000058.1?report=graph&amp;tracks=[key:gene_model_track,Options:GeneOnly]&amp;mk=2776809:2776828|offset_8|00cc00,2776833:2776852|offset_32|444444,2776854:2776873|offset_53|444444,2776895:2776914|offset_94|444444&amp;v=2776608:2777114&amp;c=444444", "offset 8")</f>
        <v>offset 8</v>
      </c>
    </row>
    <row r="8812" customFormat="false" ht="12.8" hidden="false" customHeight="false" outlineLevel="0" collapsed="false">
      <c r="A8812" s="0" t="s">
        <v>12</v>
      </c>
      <c r="B8812" s="0" t="n">
        <v>2776832</v>
      </c>
      <c r="C8812" s="0" t="n">
        <v>2776852</v>
      </c>
      <c r="D8812" s="0" t="s">
        <v>29311</v>
      </c>
      <c r="E8812" s="0" t="s">
        <v>75</v>
      </c>
      <c r="F8812" s="0" t="s">
        <v>15</v>
      </c>
      <c r="G8812" s="0" t="s">
        <v>16</v>
      </c>
      <c r="H8812" s="0" t="n">
        <v>32</v>
      </c>
      <c r="I8812" s="0" t="s">
        <v>29315</v>
      </c>
      <c r="J8812" s="0" t="s">
        <v>29316</v>
      </c>
      <c r="K8812" s="0" t="s">
        <v>29317</v>
      </c>
      <c r="L8812" s="0" t="str">
        <f aca="false">HYPERLINK("https://www.ncbi.nlm.nih.gov/nuccore/CP000058.1?report=graph&amp;tracks=[key:gene_model_track,Options:GeneOnly]&amp;mk=2776809:2776828|offset_8|444444,2776833:2776852|offset_32|00cc00,2776854:2776873|offset_53|444444,2776895:2776914|offset_94|444444&amp;v=2776608:2777114&amp;c=444444", "offset 32")</f>
        <v>offset 32</v>
      </c>
    </row>
    <row r="8813" customFormat="false" ht="12.8" hidden="false" customHeight="false" outlineLevel="0" collapsed="false">
      <c r="A8813" s="0" t="s">
        <v>12</v>
      </c>
      <c r="B8813" s="0" t="n">
        <v>2776853</v>
      </c>
      <c r="C8813" s="0" t="n">
        <v>2776873</v>
      </c>
      <c r="D8813" s="0" t="s">
        <v>29311</v>
      </c>
      <c r="E8813" s="0" t="s">
        <v>75</v>
      </c>
      <c r="F8813" s="0" t="s">
        <v>15</v>
      </c>
      <c r="G8813" s="0" t="s">
        <v>20</v>
      </c>
      <c r="H8813" s="0" t="n">
        <v>53</v>
      </c>
      <c r="I8813" s="0" t="s">
        <v>29318</v>
      </c>
      <c r="J8813" s="0" t="s">
        <v>29319</v>
      </c>
      <c r="K8813" s="0" t="s">
        <v>29320</v>
      </c>
      <c r="L8813" s="0" t="str">
        <f aca="false">HYPERLINK("https://www.ncbi.nlm.nih.gov/nuccore/CP000058.1?report=graph&amp;tracks=[key:gene_model_track,Options:GeneOnly]&amp;mk=2776809:2776828|offset_8|444444,2776833:2776852|offset_32|444444,2776854:2776873|offset_53|00cc00,2776895:2776914|offset_94|444444&amp;v=2776608:2777114&amp;c=444444", "offset 53")</f>
        <v>offset 53</v>
      </c>
    </row>
    <row r="8814" customFormat="false" ht="12.8" hidden="false" customHeight="false" outlineLevel="0" collapsed="false">
      <c r="A8814" s="0" t="s">
        <v>12</v>
      </c>
      <c r="B8814" s="0" t="n">
        <v>2776894</v>
      </c>
      <c r="C8814" s="0" t="n">
        <v>2776914</v>
      </c>
      <c r="D8814" s="0" t="s">
        <v>29311</v>
      </c>
      <c r="E8814" s="0" t="s">
        <v>75</v>
      </c>
      <c r="F8814" s="0" t="s">
        <v>15</v>
      </c>
      <c r="G8814" s="0" t="s">
        <v>32</v>
      </c>
      <c r="H8814" s="0" t="n">
        <v>94</v>
      </c>
      <c r="I8814" s="0" t="s">
        <v>29321</v>
      </c>
      <c r="J8814" s="0" t="s">
        <v>29322</v>
      </c>
      <c r="K8814" s="0" t="s">
        <v>29323</v>
      </c>
      <c r="L8814" s="0" t="str">
        <f aca="false">HYPERLINK("https://www.ncbi.nlm.nih.gov/nuccore/CP000058.1?report=graph&amp;tracks=[key:gene_model_track,Options:GeneOnly]&amp;mk=2776809:2776828|offset_8|444444,2776833:2776852|offset_32|444444,2776854:2776873|offset_53|444444,2776895:2776914|offset_94|00cc00&amp;v=2776608:2777114&amp;c=444444", "offset 94")</f>
        <v>offset 94</v>
      </c>
    </row>
    <row r="8815" customFormat="false" ht="12.8" hidden="false" customHeight="false" outlineLevel="0" collapsed="false">
      <c r="A8815" s="0" t="s">
        <v>12</v>
      </c>
      <c r="B8815" s="0" t="n">
        <v>2778453</v>
      </c>
      <c r="C8815" s="0" t="n">
        <v>2778473</v>
      </c>
      <c r="D8815" s="0" t="s">
        <v>29324</v>
      </c>
      <c r="E8815" s="0" t="s">
        <v>75</v>
      </c>
      <c r="F8815" s="0" t="s">
        <v>15</v>
      </c>
      <c r="G8815" s="0" t="s">
        <v>16</v>
      </c>
      <c r="H8815" s="0" t="n">
        <v>79</v>
      </c>
      <c r="I8815" s="0" t="s">
        <v>29325</v>
      </c>
      <c r="J8815" s="0" t="s">
        <v>29326</v>
      </c>
      <c r="K8815" s="0" t="s">
        <v>29327</v>
      </c>
      <c r="L8815" s="0" t="str">
        <f aca="false">HYPERLINK("https://www.ncbi.nlm.nih.gov/nuccore/CP000058.1?report=graph&amp;tracks=[key:gene_model_track,Options:GeneOnly]&amp;mk=2778454:2778473|offset_79|00cc00&amp;v=2778253:2778673&amp;c=444444", "offset 79")</f>
        <v>offset 79</v>
      </c>
    </row>
    <row r="8816" customFormat="false" ht="12.8" hidden="false" customHeight="false" outlineLevel="0" collapsed="false">
      <c r="A8816" s="0" t="s">
        <v>12</v>
      </c>
      <c r="B8816" s="0" t="n">
        <v>2779856</v>
      </c>
      <c r="C8816" s="0" t="n">
        <v>2779876</v>
      </c>
      <c r="D8816" s="0" t="s">
        <v>29328</v>
      </c>
      <c r="E8816" s="0" t="s">
        <v>75</v>
      </c>
      <c r="F8816" s="0" t="s">
        <v>90</v>
      </c>
      <c r="G8816" s="0" t="s">
        <v>32</v>
      </c>
      <c r="H8816" s="0" t="n">
        <v>1</v>
      </c>
      <c r="I8816" s="0" t="s">
        <v>29329</v>
      </c>
      <c r="J8816" s="0" t="s">
        <v>29330</v>
      </c>
      <c r="K8816" s="0" t="s">
        <v>29331</v>
      </c>
      <c r="L8816" s="0" t="str">
        <f aca="false">HYPERLINK("https://www.ncbi.nlm.nih.gov/nuccore/CP000058.1?report=graph&amp;tracks=[key:gene_model_track,Options:GeneOnly]&amp;mk=2779857:2779876|offset_1|00cc00,2779832:2779851|offset_26|444444,2779792:2779811|offset_66|444444,2779755:2779774|offset_103|444444&amp;v=2779656:2779974&amp;c=444444", "offset 1")</f>
        <v>offset 1</v>
      </c>
    </row>
    <row r="8817" customFormat="false" ht="12.8" hidden="false" customHeight="false" outlineLevel="0" collapsed="false">
      <c r="A8817" s="0" t="s">
        <v>12</v>
      </c>
      <c r="B8817" s="0" t="n">
        <v>2779831</v>
      </c>
      <c r="C8817" s="0" t="n">
        <v>2779851</v>
      </c>
      <c r="D8817" s="0" t="s">
        <v>29328</v>
      </c>
      <c r="E8817" s="0" t="s">
        <v>75</v>
      </c>
      <c r="F8817" s="0" t="s">
        <v>90</v>
      </c>
      <c r="G8817" s="0" t="s">
        <v>32</v>
      </c>
      <c r="H8817" s="0" t="n">
        <v>26</v>
      </c>
      <c r="I8817" s="0" t="s">
        <v>29332</v>
      </c>
      <c r="J8817" s="0" t="s">
        <v>29333</v>
      </c>
      <c r="K8817" s="0" t="s">
        <v>29334</v>
      </c>
      <c r="L8817" s="0" t="str">
        <f aca="false">HYPERLINK("https://www.ncbi.nlm.nih.gov/nuccore/CP000058.1?report=graph&amp;tracks=[key:gene_model_track,Options:GeneOnly]&amp;mk=2779857:2779876|offset_1|444444,2779832:2779851|offset_26|00cc00,2779792:2779811|offset_66|444444,2779755:2779774|offset_103|444444&amp;v=2779656:2779974&amp;c=444444", "offset 26")</f>
        <v>offset 26</v>
      </c>
    </row>
    <row r="8818" customFormat="false" ht="12.8" hidden="false" customHeight="false" outlineLevel="0" collapsed="false">
      <c r="A8818" s="0" t="s">
        <v>12</v>
      </c>
      <c r="B8818" s="0" t="n">
        <v>2779791</v>
      </c>
      <c r="C8818" s="0" t="n">
        <v>2779811</v>
      </c>
      <c r="D8818" s="0" t="s">
        <v>29328</v>
      </c>
      <c r="E8818" s="0" t="s">
        <v>75</v>
      </c>
      <c r="F8818" s="0" t="s">
        <v>90</v>
      </c>
      <c r="G8818" s="0" t="s">
        <v>16</v>
      </c>
      <c r="H8818" s="0" t="n">
        <v>66</v>
      </c>
      <c r="I8818" s="0" t="s">
        <v>29335</v>
      </c>
      <c r="J8818" s="0" t="s">
        <v>29336</v>
      </c>
      <c r="K8818" s="0" t="s">
        <v>29337</v>
      </c>
      <c r="L8818" s="0" t="str">
        <f aca="false">HYPERLINK("https://www.ncbi.nlm.nih.gov/nuccore/CP000058.1?report=graph&amp;tracks=[key:gene_model_track,Options:GeneOnly]&amp;mk=2779857:2779876|offset_1|444444,2779832:2779851|offset_26|444444,2779792:2779811|offset_66|00cc00,2779755:2779774|offset_103|444444&amp;v=2779656:2779974&amp;c=444444", "offset 66")</f>
        <v>offset 66</v>
      </c>
    </row>
    <row r="8819" customFormat="false" ht="12.8" hidden="false" customHeight="false" outlineLevel="0" collapsed="false">
      <c r="A8819" s="0" t="s">
        <v>12</v>
      </c>
      <c r="B8819" s="0" t="n">
        <v>2779754</v>
      </c>
      <c r="C8819" s="0" t="n">
        <v>2779774</v>
      </c>
      <c r="D8819" s="0" t="s">
        <v>29328</v>
      </c>
      <c r="E8819" s="0" t="s">
        <v>75</v>
      </c>
      <c r="F8819" s="0" t="s">
        <v>90</v>
      </c>
      <c r="G8819" s="0" t="s">
        <v>20</v>
      </c>
      <c r="H8819" s="0" t="n">
        <v>103</v>
      </c>
      <c r="I8819" s="0" t="s">
        <v>29338</v>
      </c>
      <c r="J8819" s="0" t="s">
        <v>29339</v>
      </c>
      <c r="K8819" s="0" t="s">
        <v>29340</v>
      </c>
      <c r="L8819" s="0" t="str">
        <f aca="false">HYPERLINK("https://www.ncbi.nlm.nih.gov/nuccore/CP000058.1?report=graph&amp;tracks=[key:gene_model_track,Options:GeneOnly]&amp;mk=2779857:2779876|offset_1|444444,2779832:2779851|offset_26|444444,2779792:2779811|offset_66|444444,2779755:2779774|offset_103|00cc00&amp;v=2779656:2779974&amp;c=444444", "offset 103")</f>
        <v>offset 103</v>
      </c>
    </row>
    <row r="8820" customFormat="false" ht="12.8" hidden="false" customHeight="false" outlineLevel="0" collapsed="false">
      <c r="A8820" s="0" t="s">
        <v>12</v>
      </c>
      <c r="B8820" s="0" t="n">
        <v>2781027</v>
      </c>
      <c r="C8820" s="0" t="n">
        <v>2781047</v>
      </c>
      <c r="D8820" s="0" t="s">
        <v>29341</v>
      </c>
      <c r="E8820" s="0" t="s">
        <v>29342</v>
      </c>
      <c r="F8820" s="0" t="s">
        <v>90</v>
      </c>
      <c r="G8820" s="0" t="s">
        <v>20</v>
      </c>
      <c r="H8820" s="0" t="n">
        <v>7</v>
      </c>
      <c r="I8820" s="0" t="s">
        <v>29343</v>
      </c>
      <c r="J8820" s="0" t="s">
        <v>29344</v>
      </c>
      <c r="K8820" s="0" t="s">
        <v>29345</v>
      </c>
      <c r="L8820" s="0" t="str">
        <f aca="false">HYPERLINK("https://www.ncbi.nlm.nih.gov/nuccore/CP000058.1?report=graph&amp;tracks=[key:gene_model_track,Options:GeneOnly]&amp;mk=2781028:2781047|offset_7|00cc00,2780998:2781017|offset_37|444444,2780974:2780993|offset_61|444444,2780911:2780930|offset_124|444444&amp;v=2780827:2781130&amp;c=444444", "offset 7")</f>
        <v>offset 7</v>
      </c>
    </row>
    <row r="8821" customFormat="false" ht="12.8" hidden="false" customHeight="false" outlineLevel="0" collapsed="false">
      <c r="A8821" s="0" t="s">
        <v>12</v>
      </c>
      <c r="B8821" s="0" t="n">
        <v>2780997</v>
      </c>
      <c r="C8821" s="0" t="n">
        <v>2781017</v>
      </c>
      <c r="D8821" s="0" t="s">
        <v>29341</v>
      </c>
      <c r="E8821" s="0" t="s">
        <v>29342</v>
      </c>
      <c r="F8821" s="0" t="s">
        <v>90</v>
      </c>
      <c r="G8821" s="0" t="s">
        <v>20</v>
      </c>
      <c r="H8821" s="0" t="n">
        <v>37</v>
      </c>
      <c r="I8821" s="0" t="s">
        <v>29346</v>
      </c>
      <c r="J8821" s="0" t="s">
        <v>29347</v>
      </c>
      <c r="K8821" s="0" t="s">
        <v>29348</v>
      </c>
      <c r="L8821" s="0" t="str">
        <f aca="false">HYPERLINK("https://www.ncbi.nlm.nih.gov/nuccore/CP000058.1?report=graph&amp;tracks=[key:gene_model_track,Options:GeneOnly]&amp;mk=2781028:2781047|offset_7|444444,2780998:2781017|offset_37|00cc00,2780974:2780993|offset_61|444444,2780911:2780930|offset_124|444444&amp;v=2780827:2781130&amp;c=444444", "offset 37")</f>
        <v>offset 37</v>
      </c>
    </row>
    <row r="8822" customFormat="false" ht="12.8" hidden="false" customHeight="false" outlineLevel="0" collapsed="false">
      <c r="A8822" s="0" t="s">
        <v>12</v>
      </c>
      <c r="B8822" s="0" t="n">
        <v>2780973</v>
      </c>
      <c r="C8822" s="0" t="n">
        <v>2780993</v>
      </c>
      <c r="D8822" s="0" t="s">
        <v>29341</v>
      </c>
      <c r="E8822" s="0" t="s">
        <v>29342</v>
      </c>
      <c r="F8822" s="0" t="s">
        <v>90</v>
      </c>
      <c r="G8822" s="0" t="s">
        <v>16</v>
      </c>
      <c r="H8822" s="0" t="n">
        <v>61</v>
      </c>
      <c r="I8822" s="0" t="s">
        <v>29349</v>
      </c>
      <c r="J8822" s="0" t="s">
        <v>29350</v>
      </c>
      <c r="K8822" s="0" t="s">
        <v>29351</v>
      </c>
      <c r="L8822" s="0" t="str">
        <f aca="false">HYPERLINK("https://www.ncbi.nlm.nih.gov/nuccore/CP000058.1?report=graph&amp;tracks=[key:gene_model_track,Options:GeneOnly]&amp;mk=2781028:2781047|offset_7|444444,2780998:2781017|offset_37|444444,2780974:2780993|offset_61|00cc00,2780911:2780930|offset_124|444444&amp;v=2780827:2781130&amp;c=444444", "offset 61")</f>
        <v>offset 61</v>
      </c>
    </row>
    <row r="8823" customFormat="false" ht="12.8" hidden="false" customHeight="false" outlineLevel="0" collapsed="false">
      <c r="A8823" s="0" t="s">
        <v>12</v>
      </c>
      <c r="B8823" s="0" t="n">
        <v>2780910</v>
      </c>
      <c r="C8823" s="0" t="n">
        <v>2780930</v>
      </c>
      <c r="D8823" s="0" t="s">
        <v>29341</v>
      </c>
      <c r="E8823" s="0" t="s">
        <v>29342</v>
      </c>
      <c r="F8823" s="0" t="s">
        <v>90</v>
      </c>
      <c r="G8823" s="0" t="s">
        <v>32</v>
      </c>
      <c r="H8823" s="0" t="n">
        <v>124</v>
      </c>
      <c r="I8823" s="0" t="s">
        <v>29352</v>
      </c>
      <c r="J8823" s="0" t="s">
        <v>29353</v>
      </c>
      <c r="K8823" s="0" t="s">
        <v>29354</v>
      </c>
      <c r="L8823" s="0" t="str">
        <f aca="false">HYPERLINK("https://www.ncbi.nlm.nih.gov/nuccore/CP000058.1?report=graph&amp;tracks=[key:gene_model_track,Options:GeneOnly]&amp;mk=2781028:2781047|offset_7|444444,2780998:2781017|offset_37|444444,2780974:2780993|offset_61|444444,2780911:2780930|offset_124|00cc00&amp;v=2780827:2781130&amp;c=444444", "offset 124")</f>
        <v>offset 124</v>
      </c>
    </row>
    <row r="8824" customFormat="false" ht="12.8" hidden="false" customHeight="false" outlineLevel="0" collapsed="false">
      <c r="A8824" s="0" t="s">
        <v>12</v>
      </c>
      <c r="B8824" s="0" t="n">
        <v>2781712</v>
      </c>
      <c r="C8824" s="0" t="n">
        <v>2781732</v>
      </c>
      <c r="D8824" s="0" t="s">
        <v>29355</v>
      </c>
      <c r="E8824" s="0" t="s">
        <v>29356</v>
      </c>
      <c r="F8824" s="0" t="s">
        <v>90</v>
      </c>
      <c r="G8824" s="0" t="s">
        <v>32</v>
      </c>
      <c r="H8824" s="0" t="n">
        <v>6</v>
      </c>
      <c r="I8824" s="0" t="s">
        <v>29357</v>
      </c>
      <c r="J8824" s="0" t="s">
        <v>29358</v>
      </c>
      <c r="K8824" s="0" t="s">
        <v>29359</v>
      </c>
      <c r="L8824" s="0" t="str">
        <f aca="false">HYPERLINK("https://www.ncbi.nlm.nih.gov/nuccore/CP000058.1?report=graph&amp;tracks=[key:gene_model_track,Options:GeneOnly]&amp;mk=2781713:2781732|offset_6|00cc00,2781655:2781674|offset_64|444444,2781626:2781645|offset_93|444444,2781581:2781600|offset_138|444444&amp;v=2781512:2781800&amp;c=444444", "offset 6")</f>
        <v>offset 6</v>
      </c>
    </row>
    <row r="8825" customFormat="false" ht="12.8" hidden="false" customHeight="false" outlineLevel="0" collapsed="false">
      <c r="A8825" s="0" t="s">
        <v>12</v>
      </c>
      <c r="B8825" s="0" t="n">
        <v>2781654</v>
      </c>
      <c r="C8825" s="0" t="n">
        <v>2781674</v>
      </c>
      <c r="D8825" s="0" t="s">
        <v>29355</v>
      </c>
      <c r="E8825" s="0" t="s">
        <v>29356</v>
      </c>
      <c r="F8825" s="0" t="s">
        <v>90</v>
      </c>
      <c r="G8825" s="0" t="s">
        <v>32</v>
      </c>
      <c r="H8825" s="0" t="n">
        <v>64</v>
      </c>
      <c r="I8825" s="0" t="s">
        <v>29360</v>
      </c>
      <c r="J8825" s="0" t="s">
        <v>29361</v>
      </c>
      <c r="K8825" s="0" t="s">
        <v>29362</v>
      </c>
      <c r="L8825" s="0" t="str">
        <f aca="false">HYPERLINK("https://www.ncbi.nlm.nih.gov/nuccore/CP000058.1?report=graph&amp;tracks=[key:gene_model_track,Options:GeneOnly]&amp;mk=2781713:2781732|offset_6|444444,2781655:2781674|offset_64|00cc00,2781626:2781645|offset_93|444444,2781581:2781600|offset_138|444444&amp;v=2781512:2781800&amp;c=444444", "offset 64")</f>
        <v>offset 64</v>
      </c>
    </row>
    <row r="8826" customFormat="false" ht="12.8" hidden="false" customHeight="false" outlineLevel="0" collapsed="false">
      <c r="A8826" s="0" t="s">
        <v>12</v>
      </c>
      <c r="B8826" s="0" t="n">
        <v>2781625</v>
      </c>
      <c r="C8826" s="0" t="n">
        <v>2781645</v>
      </c>
      <c r="D8826" s="0" t="s">
        <v>29355</v>
      </c>
      <c r="E8826" s="0" t="s">
        <v>29356</v>
      </c>
      <c r="F8826" s="0" t="s">
        <v>90</v>
      </c>
      <c r="G8826" s="0" t="s">
        <v>36</v>
      </c>
      <c r="H8826" s="0" t="n">
        <v>93</v>
      </c>
      <c r="I8826" s="0" t="s">
        <v>29363</v>
      </c>
      <c r="J8826" s="0" t="s">
        <v>29364</v>
      </c>
      <c r="K8826" s="0" t="s">
        <v>29365</v>
      </c>
      <c r="L8826" s="0" t="str">
        <f aca="false">HYPERLINK("https://www.ncbi.nlm.nih.gov/nuccore/CP000058.1?report=graph&amp;tracks=[key:gene_model_track,Options:GeneOnly]&amp;mk=2781713:2781732|offset_6|444444,2781655:2781674|offset_64|444444,2781626:2781645|offset_93|00cc00,2781581:2781600|offset_138|444444&amp;v=2781512:2781800&amp;c=444444", "offset 93")</f>
        <v>offset 93</v>
      </c>
    </row>
    <row r="8827" customFormat="false" ht="12.8" hidden="false" customHeight="false" outlineLevel="0" collapsed="false">
      <c r="A8827" s="0" t="s">
        <v>12</v>
      </c>
      <c r="B8827" s="0" t="n">
        <v>2781580</v>
      </c>
      <c r="C8827" s="0" t="n">
        <v>2781600</v>
      </c>
      <c r="D8827" s="0" t="s">
        <v>29355</v>
      </c>
      <c r="E8827" s="0" t="s">
        <v>29356</v>
      </c>
      <c r="F8827" s="0" t="s">
        <v>90</v>
      </c>
      <c r="G8827" s="0" t="s">
        <v>16</v>
      </c>
      <c r="H8827" s="0" t="n">
        <v>138</v>
      </c>
      <c r="I8827" s="0" t="s">
        <v>29366</v>
      </c>
      <c r="J8827" s="0" t="s">
        <v>29367</v>
      </c>
      <c r="K8827" s="0" t="s">
        <v>29368</v>
      </c>
      <c r="L8827" s="0" t="str">
        <f aca="false">HYPERLINK("https://www.ncbi.nlm.nih.gov/nuccore/CP000058.1?report=graph&amp;tracks=[key:gene_model_track,Options:GeneOnly]&amp;mk=2781713:2781732|offset_6|444444,2781655:2781674|offset_64|444444,2781626:2781645|offset_93|444444,2781581:2781600|offset_138|00cc00&amp;v=2781512:2781800&amp;c=444444", "offset 138")</f>
        <v>offset 138</v>
      </c>
    </row>
    <row r="8828" customFormat="false" ht="12.8" hidden="false" customHeight="false" outlineLevel="0" collapsed="false">
      <c r="A8828" s="0" t="s">
        <v>12</v>
      </c>
      <c r="B8828" s="0" t="n">
        <v>2782485</v>
      </c>
      <c r="C8828" s="0" t="n">
        <v>2782505</v>
      </c>
      <c r="D8828" s="0" t="s">
        <v>29369</v>
      </c>
      <c r="E8828" s="0" t="s">
        <v>29370</v>
      </c>
      <c r="F8828" s="0" t="s">
        <v>90</v>
      </c>
      <c r="G8828" s="0" t="s">
        <v>32</v>
      </c>
      <c r="H8828" s="0" t="n">
        <v>1</v>
      </c>
      <c r="I8828" s="0" t="s">
        <v>29371</v>
      </c>
      <c r="J8828" s="0" t="s">
        <v>29372</v>
      </c>
      <c r="K8828" s="0" t="s">
        <v>29373</v>
      </c>
      <c r="L8828" s="0" t="str">
        <f aca="false">HYPERLINK("https://www.ncbi.nlm.nih.gov/nuccore/CP000058.1?report=graph&amp;tracks=[key:gene_model_track,Options:GeneOnly]&amp;mk=2782486:2782505|offset_1|00cc00,2782462:2782481|offset_25|444444,2782438:2782457|offset_49|444444,2782405:2782424|offset_82|444444&amp;v=2782285:2782624&amp;c=444444", "offset 1")</f>
        <v>offset 1</v>
      </c>
    </row>
    <row r="8829" customFormat="false" ht="12.8" hidden="false" customHeight="false" outlineLevel="0" collapsed="false">
      <c r="A8829" s="0" t="s">
        <v>12</v>
      </c>
      <c r="B8829" s="0" t="n">
        <v>2782461</v>
      </c>
      <c r="C8829" s="0" t="n">
        <v>2782481</v>
      </c>
      <c r="D8829" s="0" t="s">
        <v>29369</v>
      </c>
      <c r="E8829" s="0" t="s">
        <v>29370</v>
      </c>
      <c r="F8829" s="0" t="s">
        <v>90</v>
      </c>
      <c r="G8829" s="0" t="s">
        <v>32</v>
      </c>
      <c r="H8829" s="0" t="n">
        <v>25</v>
      </c>
      <c r="I8829" s="0" t="s">
        <v>29374</v>
      </c>
      <c r="J8829" s="0" t="s">
        <v>29375</v>
      </c>
      <c r="K8829" s="0" t="s">
        <v>29376</v>
      </c>
      <c r="L8829" s="0" t="str">
        <f aca="false">HYPERLINK("https://www.ncbi.nlm.nih.gov/nuccore/CP000058.1?report=graph&amp;tracks=[key:gene_model_track,Options:GeneOnly]&amp;mk=2782486:2782505|offset_1|444444,2782462:2782481|offset_25|00cc00,2782438:2782457|offset_49|444444,2782405:2782424|offset_82|444444&amp;v=2782285:2782624&amp;c=444444", "offset 25")</f>
        <v>offset 25</v>
      </c>
    </row>
    <row r="8830" customFormat="false" ht="12.8" hidden="false" customHeight="false" outlineLevel="0" collapsed="false">
      <c r="A8830" s="0" t="s">
        <v>12</v>
      </c>
      <c r="B8830" s="0" t="n">
        <v>2782437</v>
      </c>
      <c r="C8830" s="0" t="n">
        <v>2782457</v>
      </c>
      <c r="D8830" s="0" t="s">
        <v>29369</v>
      </c>
      <c r="E8830" s="0" t="s">
        <v>29370</v>
      </c>
      <c r="F8830" s="0" t="s">
        <v>90</v>
      </c>
      <c r="G8830" s="0" t="s">
        <v>20</v>
      </c>
      <c r="H8830" s="0" t="n">
        <v>49</v>
      </c>
      <c r="I8830" s="0" t="s">
        <v>29377</v>
      </c>
      <c r="J8830" s="0" t="s">
        <v>29378</v>
      </c>
      <c r="K8830" s="0" t="s">
        <v>29379</v>
      </c>
      <c r="L8830" s="0" t="str">
        <f aca="false">HYPERLINK("https://www.ncbi.nlm.nih.gov/nuccore/CP000058.1?report=graph&amp;tracks=[key:gene_model_track,Options:GeneOnly]&amp;mk=2782486:2782505|offset_1|444444,2782462:2782481|offset_25|444444,2782438:2782457|offset_49|00cc00,2782405:2782424|offset_82|444444&amp;v=2782285:2782624&amp;c=444444", "offset 49")</f>
        <v>offset 49</v>
      </c>
    </row>
    <row r="8831" customFormat="false" ht="12.8" hidden="false" customHeight="false" outlineLevel="0" collapsed="false">
      <c r="A8831" s="0" t="s">
        <v>12</v>
      </c>
      <c r="B8831" s="0" t="n">
        <v>2782404</v>
      </c>
      <c r="C8831" s="0" t="n">
        <v>2782424</v>
      </c>
      <c r="D8831" s="0" t="s">
        <v>29369</v>
      </c>
      <c r="E8831" s="0" t="s">
        <v>29370</v>
      </c>
      <c r="F8831" s="0" t="s">
        <v>90</v>
      </c>
      <c r="G8831" s="0" t="s">
        <v>16</v>
      </c>
      <c r="H8831" s="0" t="n">
        <v>82</v>
      </c>
      <c r="I8831" s="0" t="s">
        <v>29380</v>
      </c>
      <c r="J8831" s="0" t="s">
        <v>29381</v>
      </c>
      <c r="K8831" s="0" t="s">
        <v>29382</v>
      </c>
      <c r="L8831" s="0" t="str">
        <f aca="false">HYPERLINK("https://www.ncbi.nlm.nih.gov/nuccore/CP000058.1?report=graph&amp;tracks=[key:gene_model_track,Options:GeneOnly]&amp;mk=2782486:2782505|offset_1|444444,2782462:2782481|offset_25|444444,2782438:2782457|offset_49|444444,2782405:2782424|offset_82|00cc00&amp;v=2782285:2782624&amp;c=444444", "offset 82")</f>
        <v>offset 82</v>
      </c>
    </row>
    <row r="8832" customFormat="false" ht="12.8" hidden="false" customHeight="false" outlineLevel="0" collapsed="false">
      <c r="A8832" s="0" t="s">
        <v>12</v>
      </c>
      <c r="B8832" s="0" t="n">
        <v>2783659</v>
      </c>
      <c r="C8832" s="0" t="n">
        <v>2783679</v>
      </c>
      <c r="D8832" s="0" t="s">
        <v>29383</v>
      </c>
      <c r="E8832" s="0" t="s">
        <v>75</v>
      </c>
      <c r="F8832" s="0" t="s">
        <v>90</v>
      </c>
      <c r="G8832" s="0" t="s">
        <v>32</v>
      </c>
      <c r="H8832" s="0" t="n">
        <v>8</v>
      </c>
      <c r="I8832" s="0" t="s">
        <v>29384</v>
      </c>
      <c r="J8832" s="0" t="s">
        <v>29385</v>
      </c>
      <c r="K8832" s="0" t="s">
        <v>29386</v>
      </c>
      <c r="L8832" s="0" t="str">
        <f aca="false">HYPERLINK("https://www.ncbi.nlm.nih.gov/nuccore/CP000058.1?report=graph&amp;tracks=[key:gene_model_track,Options:GeneOnly]&amp;mk=2783660:2783679|offset_8|00cc00,2783633:2783652|offset_35|444444,2783599:2783618|offset_69|444444,2783568:2783587|offset_100|444444&amp;v=2783459:2783787&amp;c=444444", "offset 8")</f>
        <v>offset 8</v>
      </c>
    </row>
    <row r="8833" customFormat="false" ht="12.8" hidden="false" customHeight="false" outlineLevel="0" collapsed="false">
      <c r="A8833" s="0" t="s">
        <v>12</v>
      </c>
      <c r="B8833" s="0" t="n">
        <v>2783632</v>
      </c>
      <c r="C8833" s="0" t="n">
        <v>2783652</v>
      </c>
      <c r="D8833" s="0" t="s">
        <v>29383</v>
      </c>
      <c r="E8833" s="0" t="s">
        <v>75</v>
      </c>
      <c r="F8833" s="0" t="s">
        <v>90</v>
      </c>
      <c r="G8833" s="0" t="s">
        <v>20</v>
      </c>
      <c r="H8833" s="0" t="n">
        <v>35</v>
      </c>
      <c r="I8833" s="0" t="s">
        <v>29387</v>
      </c>
      <c r="J8833" s="0" t="s">
        <v>29388</v>
      </c>
      <c r="K8833" s="0" t="s">
        <v>29389</v>
      </c>
      <c r="L8833" s="0" t="str">
        <f aca="false">HYPERLINK("https://www.ncbi.nlm.nih.gov/nuccore/CP000058.1?report=graph&amp;tracks=[key:gene_model_track,Options:GeneOnly]&amp;mk=2783660:2783679|offset_8|444444,2783633:2783652|offset_35|00cc00,2783599:2783618|offset_69|444444,2783568:2783587|offset_100|444444&amp;v=2783459:2783787&amp;c=444444", "offset 35")</f>
        <v>offset 35</v>
      </c>
    </row>
    <row r="8834" customFormat="false" ht="12.8" hidden="false" customHeight="false" outlineLevel="0" collapsed="false">
      <c r="A8834" s="0" t="s">
        <v>12</v>
      </c>
      <c r="B8834" s="0" t="n">
        <v>2783598</v>
      </c>
      <c r="C8834" s="0" t="n">
        <v>2783618</v>
      </c>
      <c r="D8834" s="0" t="s">
        <v>29383</v>
      </c>
      <c r="E8834" s="0" t="s">
        <v>75</v>
      </c>
      <c r="F8834" s="0" t="s">
        <v>90</v>
      </c>
      <c r="G8834" s="0" t="s">
        <v>20</v>
      </c>
      <c r="H8834" s="0" t="n">
        <v>69</v>
      </c>
      <c r="I8834" s="0" t="s">
        <v>29390</v>
      </c>
      <c r="J8834" s="0" t="s">
        <v>29391</v>
      </c>
      <c r="K8834" s="0" t="s">
        <v>29392</v>
      </c>
      <c r="L8834" s="0" t="str">
        <f aca="false">HYPERLINK("https://www.ncbi.nlm.nih.gov/nuccore/CP000058.1?report=graph&amp;tracks=[key:gene_model_track,Options:GeneOnly]&amp;mk=2783660:2783679|offset_8|444444,2783633:2783652|offset_35|444444,2783599:2783618|offset_69|00cc00,2783568:2783587|offset_100|444444&amp;v=2783459:2783787&amp;c=444444", "offset 69")</f>
        <v>offset 69</v>
      </c>
    </row>
    <row r="8835" customFormat="false" ht="12.8" hidden="false" customHeight="false" outlineLevel="0" collapsed="false">
      <c r="A8835" s="0" t="s">
        <v>12</v>
      </c>
      <c r="B8835" s="0" t="n">
        <v>2783567</v>
      </c>
      <c r="C8835" s="0" t="n">
        <v>2783587</v>
      </c>
      <c r="D8835" s="0" t="s">
        <v>29383</v>
      </c>
      <c r="E8835" s="0" t="s">
        <v>75</v>
      </c>
      <c r="F8835" s="0" t="s">
        <v>90</v>
      </c>
      <c r="G8835" s="0" t="s">
        <v>32</v>
      </c>
      <c r="H8835" s="0" t="n">
        <v>100</v>
      </c>
      <c r="I8835" s="0" t="s">
        <v>29393</v>
      </c>
      <c r="J8835" s="0" t="s">
        <v>29394</v>
      </c>
      <c r="K8835" s="0" t="s">
        <v>29395</v>
      </c>
      <c r="L8835" s="0" t="str">
        <f aca="false">HYPERLINK("https://www.ncbi.nlm.nih.gov/nuccore/CP000058.1?report=graph&amp;tracks=[key:gene_model_track,Options:GeneOnly]&amp;mk=2783660:2783679|offset_8|444444,2783633:2783652|offset_35|444444,2783599:2783618|offset_69|444444,2783568:2783587|offset_100|00cc00&amp;v=2783459:2783787&amp;c=444444", "offset 100")</f>
        <v>offset 100</v>
      </c>
    </row>
    <row r="8836" customFormat="false" ht="12.8" hidden="false" customHeight="false" outlineLevel="0" collapsed="false">
      <c r="A8836" s="0" t="s">
        <v>12</v>
      </c>
      <c r="B8836" s="0" t="n">
        <v>2783844</v>
      </c>
      <c r="C8836" s="0" t="n">
        <v>2783864</v>
      </c>
      <c r="D8836" s="0" t="s">
        <v>29396</v>
      </c>
      <c r="E8836" s="0" t="s">
        <v>75</v>
      </c>
      <c r="F8836" s="0" t="s">
        <v>15</v>
      </c>
      <c r="G8836" s="0" t="s">
        <v>16</v>
      </c>
      <c r="H8836" s="0" t="n">
        <v>15</v>
      </c>
      <c r="I8836" s="0" t="s">
        <v>29397</v>
      </c>
      <c r="J8836" s="0" t="s">
        <v>29398</v>
      </c>
      <c r="K8836" s="0" t="s">
        <v>29399</v>
      </c>
      <c r="L8836" s="0" t="str">
        <f aca="false">HYPERLINK("https://www.ncbi.nlm.nih.gov/nuccore/CP000058.1?report=graph&amp;tracks=[key:gene_model_track,Options:GeneOnly]&amp;mk=2783845:2783864|offset_15|00cc00,2783872:2783891|offset_42|444444,2783895:2783914|offset_65|444444,2783922:2783941|offset_92|444444&amp;v=2783644:2784141&amp;c=444444", "offset 15")</f>
        <v>offset 15</v>
      </c>
    </row>
    <row r="8837" customFormat="false" ht="12.8" hidden="false" customHeight="false" outlineLevel="0" collapsed="false">
      <c r="A8837" s="0" t="s">
        <v>12</v>
      </c>
      <c r="B8837" s="0" t="n">
        <v>2783871</v>
      </c>
      <c r="C8837" s="0" t="n">
        <v>2783891</v>
      </c>
      <c r="D8837" s="0" t="s">
        <v>29396</v>
      </c>
      <c r="E8837" s="0" t="s">
        <v>75</v>
      </c>
      <c r="F8837" s="0" t="s">
        <v>15</v>
      </c>
      <c r="G8837" s="0" t="s">
        <v>32</v>
      </c>
      <c r="H8837" s="0" t="n">
        <v>42</v>
      </c>
      <c r="I8837" s="0" t="s">
        <v>29400</v>
      </c>
      <c r="J8837" s="0" t="s">
        <v>29401</v>
      </c>
      <c r="K8837" s="0" t="s">
        <v>29402</v>
      </c>
      <c r="L8837" s="0" t="str">
        <f aca="false">HYPERLINK("https://www.ncbi.nlm.nih.gov/nuccore/CP000058.1?report=graph&amp;tracks=[key:gene_model_track,Options:GeneOnly]&amp;mk=2783845:2783864|offset_15|444444,2783872:2783891|offset_42|00cc00,2783895:2783914|offset_65|444444,2783922:2783941|offset_92|444444&amp;v=2783644:2784141&amp;c=444444", "offset 42")</f>
        <v>offset 42</v>
      </c>
    </row>
    <row r="8838" customFormat="false" ht="12.8" hidden="false" customHeight="false" outlineLevel="0" collapsed="false">
      <c r="A8838" s="0" t="s">
        <v>12</v>
      </c>
      <c r="B8838" s="0" t="n">
        <v>2783894</v>
      </c>
      <c r="C8838" s="0" t="n">
        <v>2783914</v>
      </c>
      <c r="D8838" s="0" t="s">
        <v>29396</v>
      </c>
      <c r="E8838" s="0" t="s">
        <v>75</v>
      </c>
      <c r="F8838" s="0" t="s">
        <v>15</v>
      </c>
      <c r="G8838" s="0" t="s">
        <v>20</v>
      </c>
      <c r="H8838" s="0" t="n">
        <v>65</v>
      </c>
      <c r="I8838" s="0" t="s">
        <v>29403</v>
      </c>
      <c r="J8838" s="0" t="s">
        <v>29404</v>
      </c>
      <c r="K8838" s="0" t="s">
        <v>29405</v>
      </c>
      <c r="L8838" s="0" t="str">
        <f aca="false">HYPERLINK("https://www.ncbi.nlm.nih.gov/nuccore/CP000058.1?report=graph&amp;tracks=[key:gene_model_track,Options:GeneOnly]&amp;mk=2783845:2783864|offset_15|444444,2783872:2783891|offset_42|444444,2783895:2783914|offset_65|00cc00,2783922:2783941|offset_92|444444&amp;v=2783644:2784141&amp;c=444444", "offset 65")</f>
        <v>offset 65</v>
      </c>
    </row>
    <row r="8839" customFormat="false" ht="12.8" hidden="false" customHeight="false" outlineLevel="0" collapsed="false">
      <c r="A8839" s="0" t="s">
        <v>12</v>
      </c>
      <c r="B8839" s="0" t="n">
        <v>2783921</v>
      </c>
      <c r="C8839" s="0" t="n">
        <v>2783941</v>
      </c>
      <c r="D8839" s="0" t="s">
        <v>29396</v>
      </c>
      <c r="E8839" s="0" t="s">
        <v>75</v>
      </c>
      <c r="F8839" s="0" t="s">
        <v>15</v>
      </c>
      <c r="G8839" s="0" t="s">
        <v>16</v>
      </c>
      <c r="H8839" s="0" t="n">
        <v>92</v>
      </c>
      <c r="I8839" s="0" t="s">
        <v>29406</v>
      </c>
      <c r="J8839" s="0" t="s">
        <v>29407</v>
      </c>
      <c r="K8839" s="0" t="s">
        <v>29408</v>
      </c>
      <c r="L8839" s="0" t="str">
        <f aca="false">HYPERLINK("https://www.ncbi.nlm.nih.gov/nuccore/CP000058.1?report=graph&amp;tracks=[key:gene_model_track,Options:GeneOnly]&amp;mk=2783845:2783864|offset_15|444444,2783872:2783891|offset_42|444444,2783895:2783914|offset_65|444444,2783922:2783941|offset_92|00cc00&amp;v=2783644:2784141&amp;c=444444", "offset 92")</f>
        <v>offset 92</v>
      </c>
    </row>
    <row r="8840" customFormat="false" ht="12.8" hidden="false" customHeight="false" outlineLevel="0" collapsed="false">
      <c r="A8840" s="0" t="s">
        <v>12</v>
      </c>
      <c r="B8840" s="0" t="n">
        <v>2784573</v>
      </c>
      <c r="C8840" s="0" t="n">
        <v>2784593</v>
      </c>
      <c r="D8840" s="0" t="s">
        <v>29409</v>
      </c>
      <c r="E8840" s="0" t="s">
        <v>75</v>
      </c>
      <c r="F8840" s="0" t="s">
        <v>15</v>
      </c>
      <c r="G8840" s="0" t="s">
        <v>16</v>
      </c>
      <c r="H8840" s="0" t="n">
        <v>58</v>
      </c>
      <c r="I8840" s="0" t="s">
        <v>29410</v>
      </c>
      <c r="J8840" s="0" t="s">
        <v>29411</v>
      </c>
      <c r="K8840" s="0" t="s">
        <v>29412</v>
      </c>
      <c r="L8840" s="0" t="str">
        <f aca="false">HYPERLINK("https://www.ncbi.nlm.nih.gov/nuccore/CP000058.1?report=graph&amp;tracks=[key:gene_model_track,Options:GeneOnly]&amp;mk=2784574:2784593|offset_58|00cc00,2784597:2784616|offset_81|444444,2784664:2784683|offset_148|444444,2784693:2784712|offset_177|444444&amp;v=2784373:2784912&amp;c=444444", "offset 58")</f>
        <v>offset 58</v>
      </c>
    </row>
    <row r="8841" customFormat="false" ht="12.8" hidden="false" customHeight="false" outlineLevel="0" collapsed="false">
      <c r="A8841" s="0" t="s">
        <v>12</v>
      </c>
      <c r="B8841" s="0" t="n">
        <v>2784596</v>
      </c>
      <c r="C8841" s="0" t="n">
        <v>2784616</v>
      </c>
      <c r="D8841" s="0" t="s">
        <v>29409</v>
      </c>
      <c r="E8841" s="0" t="s">
        <v>75</v>
      </c>
      <c r="F8841" s="0" t="s">
        <v>15</v>
      </c>
      <c r="G8841" s="0" t="s">
        <v>20</v>
      </c>
      <c r="H8841" s="0" t="n">
        <v>81</v>
      </c>
      <c r="I8841" s="0" t="s">
        <v>29413</v>
      </c>
      <c r="J8841" s="0" t="s">
        <v>29414</v>
      </c>
      <c r="K8841" s="0" t="s">
        <v>29415</v>
      </c>
      <c r="L8841" s="0" t="str">
        <f aca="false">HYPERLINK("https://www.ncbi.nlm.nih.gov/nuccore/CP000058.1?report=graph&amp;tracks=[key:gene_model_track,Options:GeneOnly]&amp;mk=2784574:2784593|offset_58|444444,2784597:2784616|offset_81|00cc00,2784664:2784683|offset_148|444444,2784693:2784712|offset_177|444444&amp;v=2784373:2784912&amp;c=444444", "offset 81")</f>
        <v>offset 81</v>
      </c>
    </row>
    <row r="8842" customFormat="false" ht="12.8" hidden="false" customHeight="false" outlineLevel="0" collapsed="false">
      <c r="A8842" s="0" t="s">
        <v>12</v>
      </c>
      <c r="B8842" s="0" t="n">
        <v>2784663</v>
      </c>
      <c r="C8842" s="0" t="n">
        <v>2784683</v>
      </c>
      <c r="D8842" s="0" t="s">
        <v>29409</v>
      </c>
      <c r="E8842" s="0" t="s">
        <v>75</v>
      </c>
      <c r="F8842" s="0" t="s">
        <v>15</v>
      </c>
      <c r="G8842" s="0" t="s">
        <v>16</v>
      </c>
      <c r="H8842" s="0" t="n">
        <v>148</v>
      </c>
      <c r="I8842" s="0" t="s">
        <v>29416</v>
      </c>
      <c r="J8842" s="0" t="s">
        <v>29417</v>
      </c>
      <c r="K8842" s="0" t="s">
        <v>29418</v>
      </c>
      <c r="L8842" s="0" t="str">
        <f aca="false">HYPERLINK("https://www.ncbi.nlm.nih.gov/nuccore/CP000058.1?report=graph&amp;tracks=[key:gene_model_track,Options:GeneOnly]&amp;mk=2784574:2784593|offset_58|444444,2784597:2784616|offset_81|444444,2784664:2784683|offset_148|00cc00,2784693:2784712|offset_177|444444&amp;v=2784373:2784912&amp;c=444444", "offset 148")</f>
        <v>offset 148</v>
      </c>
    </row>
    <row r="8843" customFormat="false" ht="12.8" hidden="false" customHeight="false" outlineLevel="0" collapsed="false">
      <c r="A8843" s="0" t="s">
        <v>12</v>
      </c>
      <c r="B8843" s="0" t="n">
        <v>2784692</v>
      </c>
      <c r="C8843" s="0" t="n">
        <v>2784712</v>
      </c>
      <c r="D8843" s="0" t="s">
        <v>29409</v>
      </c>
      <c r="E8843" s="0" t="s">
        <v>75</v>
      </c>
      <c r="F8843" s="0" t="s">
        <v>15</v>
      </c>
      <c r="G8843" s="0" t="s">
        <v>16</v>
      </c>
      <c r="H8843" s="0" t="n">
        <v>177</v>
      </c>
      <c r="I8843" s="0" t="s">
        <v>29419</v>
      </c>
      <c r="J8843" s="0" t="s">
        <v>29420</v>
      </c>
      <c r="K8843" s="0" t="s">
        <v>29421</v>
      </c>
      <c r="L8843" s="0" t="str">
        <f aca="false">HYPERLINK("https://www.ncbi.nlm.nih.gov/nuccore/CP000058.1?report=graph&amp;tracks=[key:gene_model_track,Options:GeneOnly]&amp;mk=2784574:2784593|offset_58|444444,2784597:2784616|offset_81|444444,2784664:2784683|offset_148|444444,2784693:2784712|offset_177|00cc00&amp;v=2784373:2784912&amp;c=444444", "offset 177")</f>
        <v>offset 177</v>
      </c>
    </row>
    <row r="8844" customFormat="false" ht="12.8" hidden="false" customHeight="false" outlineLevel="0" collapsed="false">
      <c r="A8844" s="0" t="s">
        <v>12</v>
      </c>
      <c r="B8844" s="0" t="n">
        <v>2785949</v>
      </c>
      <c r="C8844" s="0" t="n">
        <v>2785969</v>
      </c>
      <c r="D8844" s="0" t="s">
        <v>29422</v>
      </c>
      <c r="E8844" s="0" t="s">
        <v>75</v>
      </c>
      <c r="F8844" s="0" t="s">
        <v>90</v>
      </c>
      <c r="G8844" s="0" t="s">
        <v>16</v>
      </c>
      <c r="H8844" s="0" t="n">
        <v>9</v>
      </c>
      <c r="I8844" s="0" t="s">
        <v>29423</v>
      </c>
      <c r="J8844" s="0" t="s">
        <v>29424</v>
      </c>
      <c r="K8844" s="0" t="s">
        <v>29425</v>
      </c>
      <c r="L8844" s="0" t="str">
        <f aca="false">HYPERLINK("https://www.ncbi.nlm.nih.gov/nuccore/CP000058.1?report=graph&amp;tracks=[key:gene_model_track,Options:GeneOnly]&amp;mk=2785950:2785969|offset_9|00cc00,2785924:2785943|offset_35|444444,2785889:2785908|offset_70|444444,2785862:2785881|offset_97|444444&amp;v=2785749:2786081&amp;c=444444", "offset 9")</f>
        <v>offset 9</v>
      </c>
    </row>
    <row r="8845" customFormat="false" ht="12.8" hidden="false" customHeight="false" outlineLevel="0" collapsed="false">
      <c r="A8845" s="0" t="s">
        <v>12</v>
      </c>
      <c r="B8845" s="0" t="n">
        <v>2785923</v>
      </c>
      <c r="C8845" s="0" t="n">
        <v>2785943</v>
      </c>
      <c r="D8845" s="0" t="s">
        <v>29422</v>
      </c>
      <c r="E8845" s="0" t="s">
        <v>75</v>
      </c>
      <c r="F8845" s="0" t="s">
        <v>90</v>
      </c>
      <c r="G8845" s="0" t="s">
        <v>16</v>
      </c>
      <c r="H8845" s="0" t="n">
        <v>35</v>
      </c>
      <c r="I8845" s="0" t="s">
        <v>29426</v>
      </c>
      <c r="J8845" s="0" t="s">
        <v>29427</v>
      </c>
      <c r="K8845" s="0" t="s">
        <v>29428</v>
      </c>
      <c r="L8845" s="0" t="str">
        <f aca="false">HYPERLINK("https://www.ncbi.nlm.nih.gov/nuccore/CP000058.1?report=graph&amp;tracks=[key:gene_model_track,Options:GeneOnly]&amp;mk=2785950:2785969|offset_9|444444,2785924:2785943|offset_35|00cc00,2785889:2785908|offset_70|444444,2785862:2785881|offset_97|444444&amp;v=2785749:2786081&amp;c=444444", "offset 35")</f>
        <v>offset 35</v>
      </c>
    </row>
    <row r="8846" customFormat="false" ht="12.8" hidden="false" customHeight="false" outlineLevel="0" collapsed="false">
      <c r="A8846" s="0" t="s">
        <v>12</v>
      </c>
      <c r="B8846" s="0" t="n">
        <v>2785888</v>
      </c>
      <c r="C8846" s="0" t="n">
        <v>2785908</v>
      </c>
      <c r="D8846" s="0" t="s">
        <v>29422</v>
      </c>
      <c r="E8846" s="0" t="s">
        <v>75</v>
      </c>
      <c r="F8846" s="0" t="s">
        <v>90</v>
      </c>
      <c r="G8846" s="0" t="s">
        <v>36</v>
      </c>
      <c r="H8846" s="0" t="n">
        <v>70</v>
      </c>
      <c r="I8846" s="0" t="s">
        <v>29429</v>
      </c>
      <c r="J8846" s="0" t="s">
        <v>29430</v>
      </c>
      <c r="K8846" s="0" t="s">
        <v>29431</v>
      </c>
      <c r="L8846" s="0" t="str">
        <f aca="false">HYPERLINK("https://www.ncbi.nlm.nih.gov/nuccore/CP000058.1?report=graph&amp;tracks=[key:gene_model_track,Options:GeneOnly]&amp;mk=2785950:2785969|offset_9|444444,2785924:2785943|offset_35|444444,2785889:2785908|offset_70|00cc00,2785862:2785881|offset_97|444444&amp;v=2785749:2786081&amp;c=444444", "offset 70")</f>
        <v>offset 70</v>
      </c>
    </row>
    <row r="8847" customFormat="false" ht="12.8" hidden="false" customHeight="false" outlineLevel="0" collapsed="false">
      <c r="A8847" s="0" t="s">
        <v>12</v>
      </c>
      <c r="B8847" s="0" t="n">
        <v>2785861</v>
      </c>
      <c r="C8847" s="0" t="n">
        <v>2785881</v>
      </c>
      <c r="D8847" s="0" t="s">
        <v>29422</v>
      </c>
      <c r="E8847" s="0" t="s">
        <v>75</v>
      </c>
      <c r="F8847" s="0" t="s">
        <v>90</v>
      </c>
      <c r="G8847" s="0" t="s">
        <v>16</v>
      </c>
      <c r="H8847" s="0" t="n">
        <v>97</v>
      </c>
      <c r="I8847" s="0" t="s">
        <v>29432</v>
      </c>
      <c r="J8847" s="0" t="s">
        <v>29433</v>
      </c>
      <c r="K8847" s="0" t="s">
        <v>29434</v>
      </c>
      <c r="L8847" s="0" t="str">
        <f aca="false">HYPERLINK("https://www.ncbi.nlm.nih.gov/nuccore/CP000058.1?report=graph&amp;tracks=[key:gene_model_track,Options:GeneOnly]&amp;mk=2785950:2785969|offset_9|444444,2785924:2785943|offset_35|444444,2785889:2785908|offset_70|444444,2785862:2785881|offset_97|00cc00&amp;v=2785749:2786081&amp;c=444444", "offset 97")</f>
        <v>offset 97</v>
      </c>
    </row>
    <row r="8848" customFormat="false" ht="12.8" hidden="false" customHeight="false" outlineLevel="0" collapsed="false">
      <c r="A8848" s="0" t="s">
        <v>12</v>
      </c>
      <c r="B8848" s="0" t="n">
        <v>2786218</v>
      </c>
      <c r="C8848" s="0" t="n">
        <v>2786238</v>
      </c>
      <c r="D8848" s="0" t="s">
        <v>29435</v>
      </c>
      <c r="E8848" s="0" t="s">
        <v>75</v>
      </c>
      <c r="F8848" s="0" t="s">
        <v>15</v>
      </c>
      <c r="G8848" s="0" t="s">
        <v>16</v>
      </c>
      <c r="H8848" s="0" t="n">
        <v>6</v>
      </c>
      <c r="I8848" s="0" t="s">
        <v>29436</v>
      </c>
      <c r="J8848" s="0" t="s">
        <v>29437</v>
      </c>
      <c r="K8848" s="0" t="s">
        <v>29438</v>
      </c>
      <c r="L8848" s="0" t="str">
        <f aca="false">HYPERLINK("https://www.ncbi.nlm.nih.gov/nuccore/CP000058.1?report=graph&amp;tracks=[key:gene_model_track,Options:GeneOnly]&amp;mk=2786219:2786238|offset_6|00cc00,2786260:2786279|offset_47|444444,2786288:2786307|offset_75|444444,2786308:2786327|offset_95|444444&amp;v=2786018:2786527&amp;c=444444", "offset 6")</f>
        <v>offset 6</v>
      </c>
    </row>
    <row r="8849" customFormat="false" ht="12.8" hidden="false" customHeight="false" outlineLevel="0" collapsed="false">
      <c r="A8849" s="0" t="s">
        <v>12</v>
      </c>
      <c r="B8849" s="0" t="n">
        <v>2786259</v>
      </c>
      <c r="C8849" s="0" t="n">
        <v>2786279</v>
      </c>
      <c r="D8849" s="0" t="s">
        <v>29435</v>
      </c>
      <c r="E8849" s="0" t="s">
        <v>75</v>
      </c>
      <c r="F8849" s="0" t="s">
        <v>15</v>
      </c>
      <c r="G8849" s="0" t="s">
        <v>32</v>
      </c>
      <c r="H8849" s="0" t="n">
        <v>47</v>
      </c>
      <c r="I8849" s="0" t="s">
        <v>29439</v>
      </c>
      <c r="J8849" s="0" t="s">
        <v>29440</v>
      </c>
      <c r="K8849" s="0" t="s">
        <v>29441</v>
      </c>
      <c r="L8849" s="0" t="str">
        <f aca="false">HYPERLINK("https://www.ncbi.nlm.nih.gov/nuccore/CP000058.1?report=graph&amp;tracks=[key:gene_model_track,Options:GeneOnly]&amp;mk=2786219:2786238|offset_6|444444,2786260:2786279|offset_47|00cc00,2786288:2786307|offset_75|444444,2786308:2786327|offset_95|444444&amp;v=2786018:2786527&amp;c=444444", "offset 47")</f>
        <v>offset 47</v>
      </c>
    </row>
    <row r="8850" customFormat="false" ht="12.8" hidden="false" customHeight="false" outlineLevel="0" collapsed="false">
      <c r="A8850" s="0" t="s">
        <v>12</v>
      </c>
      <c r="B8850" s="0" t="n">
        <v>2786287</v>
      </c>
      <c r="C8850" s="0" t="n">
        <v>2786307</v>
      </c>
      <c r="D8850" s="0" t="s">
        <v>29435</v>
      </c>
      <c r="E8850" s="0" t="s">
        <v>75</v>
      </c>
      <c r="F8850" s="0" t="s">
        <v>15</v>
      </c>
      <c r="G8850" s="0" t="s">
        <v>32</v>
      </c>
      <c r="H8850" s="0" t="n">
        <v>75</v>
      </c>
      <c r="I8850" s="0" t="s">
        <v>29442</v>
      </c>
      <c r="J8850" s="0" t="s">
        <v>29443</v>
      </c>
      <c r="K8850" s="0" t="s">
        <v>29444</v>
      </c>
      <c r="L8850" s="0" t="str">
        <f aca="false">HYPERLINK("https://www.ncbi.nlm.nih.gov/nuccore/CP000058.1?report=graph&amp;tracks=[key:gene_model_track,Options:GeneOnly]&amp;mk=2786219:2786238|offset_6|444444,2786260:2786279|offset_47|444444,2786288:2786307|offset_75|00cc00,2786308:2786327|offset_95|444444&amp;v=2786018:2786527&amp;c=444444", "offset 75")</f>
        <v>offset 75</v>
      </c>
    </row>
    <row r="8851" customFormat="false" ht="12.8" hidden="false" customHeight="false" outlineLevel="0" collapsed="false">
      <c r="A8851" s="0" t="s">
        <v>12</v>
      </c>
      <c r="B8851" s="0" t="n">
        <v>2786307</v>
      </c>
      <c r="C8851" s="0" t="n">
        <v>2786327</v>
      </c>
      <c r="D8851" s="0" t="s">
        <v>29435</v>
      </c>
      <c r="E8851" s="0" t="s">
        <v>75</v>
      </c>
      <c r="F8851" s="0" t="s">
        <v>15</v>
      </c>
      <c r="G8851" s="0" t="s">
        <v>16</v>
      </c>
      <c r="H8851" s="0" t="n">
        <v>95</v>
      </c>
      <c r="I8851" s="0" t="s">
        <v>29445</v>
      </c>
      <c r="J8851" s="0" t="s">
        <v>29446</v>
      </c>
      <c r="K8851" s="0" t="s">
        <v>29447</v>
      </c>
      <c r="L8851" s="0" t="str">
        <f aca="false">HYPERLINK("https://www.ncbi.nlm.nih.gov/nuccore/CP000058.1?report=graph&amp;tracks=[key:gene_model_track,Options:GeneOnly]&amp;mk=2786219:2786238|offset_6|444444,2786260:2786279|offset_47|444444,2786288:2786307|offset_75|444444,2786308:2786327|offset_95|00cc00&amp;v=2786018:2786527&amp;c=444444", "offset 95")</f>
        <v>offset 95</v>
      </c>
    </row>
    <row r="8852" customFormat="false" ht="12.8" hidden="false" customHeight="false" outlineLevel="0" collapsed="false">
      <c r="A8852" s="0" t="s">
        <v>12</v>
      </c>
      <c r="B8852" s="0" t="n">
        <v>2787405</v>
      </c>
      <c r="C8852" s="0" t="n">
        <v>2787425</v>
      </c>
      <c r="D8852" s="0" t="s">
        <v>29448</v>
      </c>
      <c r="E8852" s="0" t="s">
        <v>75</v>
      </c>
      <c r="F8852" s="0" t="s">
        <v>15</v>
      </c>
      <c r="G8852" s="0" t="s">
        <v>32</v>
      </c>
      <c r="H8852" s="0" t="n">
        <v>7</v>
      </c>
      <c r="I8852" s="0" t="s">
        <v>29449</v>
      </c>
      <c r="J8852" s="0" t="s">
        <v>29450</v>
      </c>
      <c r="K8852" s="0" t="s">
        <v>29451</v>
      </c>
      <c r="L8852" s="0" t="str">
        <f aca="false">HYPERLINK("https://www.ncbi.nlm.nih.gov/nuccore/CP000058.1?report=graph&amp;tracks=[key:gene_model_track,Options:GeneOnly]&amp;mk=2787406:2787425|offset_7|00cc00,2787433:2787452|offset_34|444444,2787460:2787479|offset_61|444444,2787489:2787508|offset_90|444444&amp;v=2787205:2787708&amp;c=444444", "offset 7")</f>
        <v>offset 7</v>
      </c>
    </row>
    <row r="8853" customFormat="false" ht="12.8" hidden="false" customHeight="false" outlineLevel="0" collapsed="false">
      <c r="A8853" s="0" t="s">
        <v>12</v>
      </c>
      <c r="B8853" s="0" t="n">
        <v>2787432</v>
      </c>
      <c r="C8853" s="0" t="n">
        <v>2787452</v>
      </c>
      <c r="D8853" s="0" t="s">
        <v>29448</v>
      </c>
      <c r="E8853" s="0" t="s">
        <v>75</v>
      </c>
      <c r="F8853" s="0" t="s">
        <v>15</v>
      </c>
      <c r="G8853" s="0" t="s">
        <v>20</v>
      </c>
      <c r="H8853" s="0" t="n">
        <v>34</v>
      </c>
      <c r="I8853" s="0" t="s">
        <v>29452</v>
      </c>
      <c r="J8853" s="0" t="s">
        <v>29453</v>
      </c>
      <c r="K8853" s="0" t="s">
        <v>29454</v>
      </c>
      <c r="L8853" s="0" t="str">
        <f aca="false">HYPERLINK("https://www.ncbi.nlm.nih.gov/nuccore/CP000058.1?report=graph&amp;tracks=[key:gene_model_track,Options:GeneOnly]&amp;mk=2787406:2787425|offset_7|444444,2787433:2787452|offset_34|00cc00,2787460:2787479|offset_61|444444,2787489:2787508|offset_90|444444&amp;v=2787205:2787708&amp;c=444444", "offset 34")</f>
        <v>offset 34</v>
      </c>
    </row>
    <row r="8854" customFormat="false" ht="12.8" hidden="false" customHeight="false" outlineLevel="0" collapsed="false">
      <c r="A8854" s="0" t="s">
        <v>12</v>
      </c>
      <c r="B8854" s="0" t="n">
        <v>2787459</v>
      </c>
      <c r="C8854" s="0" t="n">
        <v>2787479</v>
      </c>
      <c r="D8854" s="0" t="s">
        <v>29448</v>
      </c>
      <c r="E8854" s="0" t="s">
        <v>75</v>
      </c>
      <c r="F8854" s="0" t="s">
        <v>15</v>
      </c>
      <c r="G8854" s="0" t="s">
        <v>32</v>
      </c>
      <c r="H8854" s="0" t="n">
        <v>61</v>
      </c>
      <c r="I8854" s="0" t="s">
        <v>29455</v>
      </c>
      <c r="J8854" s="0" t="s">
        <v>29456</v>
      </c>
      <c r="K8854" s="0" t="s">
        <v>29457</v>
      </c>
      <c r="L8854" s="0" t="str">
        <f aca="false">HYPERLINK("https://www.ncbi.nlm.nih.gov/nuccore/CP000058.1?report=graph&amp;tracks=[key:gene_model_track,Options:GeneOnly]&amp;mk=2787406:2787425|offset_7|444444,2787433:2787452|offset_34|444444,2787460:2787479|offset_61|00cc00,2787489:2787508|offset_90|444444&amp;v=2787205:2787708&amp;c=444444", "offset 61")</f>
        <v>offset 61</v>
      </c>
    </row>
    <row r="8855" customFormat="false" ht="12.8" hidden="false" customHeight="false" outlineLevel="0" collapsed="false">
      <c r="A8855" s="0" t="s">
        <v>12</v>
      </c>
      <c r="B8855" s="0" t="n">
        <v>2787488</v>
      </c>
      <c r="C8855" s="0" t="n">
        <v>2787508</v>
      </c>
      <c r="D8855" s="0" t="s">
        <v>29448</v>
      </c>
      <c r="E8855" s="0" t="s">
        <v>75</v>
      </c>
      <c r="F8855" s="0" t="s">
        <v>15</v>
      </c>
      <c r="G8855" s="0" t="s">
        <v>16</v>
      </c>
      <c r="H8855" s="0" t="n">
        <v>90</v>
      </c>
      <c r="I8855" s="0" t="s">
        <v>29458</v>
      </c>
      <c r="J8855" s="0" t="s">
        <v>29459</v>
      </c>
      <c r="K8855" s="0" t="s">
        <v>29460</v>
      </c>
      <c r="L8855" s="0" t="str">
        <f aca="false">HYPERLINK("https://www.ncbi.nlm.nih.gov/nuccore/CP000058.1?report=graph&amp;tracks=[key:gene_model_track,Options:GeneOnly]&amp;mk=2787406:2787425|offset_7|444444,2787433:2787452|offset_34|444444,2787460:2787479|offset_61|444444,2787489:2787508|offset_90|00cc00&amp;v=2787205:2787708&amp;c=444444", "offset 90")</f>
        <v>offset 90</v>
      </c>
    </row>
    <row r="8856" customFormat="false" ht="12.8" hidden="false" customHeight="false" outlineLevel="0" collapsed="false">
      <c r="A8856" s="0" t="s">
        <v>12</v>
      </c>
      <c r="B8856" s="0" t="n">
        <v>2787919</v>
      </c>
      <c r="C8856" s="0" t="n">
        <v>2787939</v>
      </c>
      <c r="D8856" s="0" t="s">
        <v>29461</v>
      </c>
      <c r="E8856" s="0" t="s">
        <v>29462</v>
      </c>
      <c r="F8856" s="0" t="s">
        <v>15</v>
      </c>
      <c r="G8856" s="0" t="s">
        <v>32</v>
      </c>
      <c r="H8856" s="0" t="n">
        <v>22</v>
      </c>
      <c r="I8856" s="0" t="s">
        <v>29463</v>
      </c>
      <c r="J8856" s="0" t="s">
        <v>29464</v>
      </c>
      <c r="K8856" s="0" t="s">
        <v>29465</v>
      </c>
      <c r="L8856" s="0" t="str">
        <f aca="false">HYPERLINK("https://www.ncbi.nlm.nih.gov/nuccore/CP000058.1?report=graph&amp;tracks=[key:gene_model_track,Options:GeneOnly]&amp;mk=2787920:2787939|offset_22|00cc00,2787968:2787987|offset_70|444444,2787998:2788017|offset_100|444444,2788040:2788059|offset_142|444444&amp;v=2787719:2788259&amp;c=444444", "offset 22")</f>
        <v>offset 22</v>
      </c>
    </row>
    <row r="8857" customFormat="false" ht="12.8" hidden="false" customHeight="false" outlineLevel="0" collapsed="false">
      <c r="A8857" s="0" t="s">
        <v>12</v>
      </c>
      <c r="B8857" s="0" t="n">
        <v>2787967</v>
      </c>
      <c r="C8857" s="0" t="n">
        <v>2787987</v>
      </c>
      <c r="D8857" s="0" t="s">
        <v>29461</v>
      </c>
      <c r="E8857" s="0" t="s">
        <v>29462</v>
      </c>
      <c r="F8857" s="0" t="s">
        <v>15</v>
      </c>
      <c r="G8857" s="0" t="s">
        <v>16</v>
      </c>
      <c r="H8857" s="0" t="n">
        <v>70</v>
      </c>
      <c r="I8857" s="0" t="s">
        <v>29466</v>
      </c>
      <c r="J8857" s="0" t="s">
        <v>29467</v>
      </c>
      <c r="K8857" s="0" t="s">
        <v>29468</v>
      </c>
      <c r="L8857" s="0" t="str">
        <f aca="false">HYPERLINK("https://www.ncbi.nlm.nih.gov/nuccore/CP000058.1?report=graph&amp;tracks=[key:gene_model_track,Options:GeneOnly]&amp;mk=2787920:2787939|offset_22|444444,2787968:2787987|offset_70|00cc00,2787998:2788017|offset_100|444444,2788040:2788059|offset_142|444444&amp;v=2787719:2788259&amp;c=444444", "offset 70")</f>
        <v>offset 70</v>
      </c>
    </row>
    <row r="8858" customFormat="false" ht="12.8" hidden="false" customHeight="false" outlineLevel="0" collapsed="false">
      <c r="A8858" s="0" t="s">
        <v>12</v>
      </c>
      <c r="B8858" s="0" t="n">
        <v>2787997</v>
      </c>
      <c r="C8858" s="0" t="n">
        <v>2788017</v>
      </c>
      <c r="D8858" s="0" t="s">
        <v>29461</v>
      </c>
      <c r="E8858" s="0" t="s">
        <v>29462</v>
      </c>
      <c r="F8858" s="0" t="s">
        <v>15</v>
      </c>
      <c r="G8858" s="0" t="s">
        <v>36</v>
      </c>
      <c r="H8858" s="0" t="n">
        <v>100</v>
      </c>
      <c r="I8858" s="0" t="s">
        <v>29469</v>
      </c>
      <c r="J8858" s="0" t="s">
        <v>29470</v>
      </c>
      <c r="K8858" s="0" t="s">
        <v>29471</v>
      </c>
      <c r="L8858" s="0" t="str">
        <f aca="false">HYPERLINK("https://www.ncbi.nlm.nih.gov/nuccore/CP000058.1?report=graph&amp;tracks=[key:gene_model_track,Options:GeneOnly]&amp;mk=2787920:2787939|offset_22|444444,2787968:2787987|offset_70|444444,2787998:2788017|offset_100|00cc00,2788040:2788059|offset_142|444444&amp;v=2787719:2788259&amp;c=444444", "offset 100")</f>
        <v>offset 100</v>
      </c>
    </row>
    <row r="8859" customFormat="false" ht="12.8" hidden="false" customHeight="false" outlineLevel="0" collapsed="false">
      <c r="A8859" s="0" t="s">
        <v>12</v>
      </c>
      <c r="B8859" s="0" t="n">
        <v>2788039</v>
      </c>
      <c r="C8859" s="0" t="n">
        <v>2788059</v>
      </c>
      <c r="D8859" s="0" t="s">
        <v>29461</v>
      </c>
      <c r="E8859" s="0" t="s">
        <v>29462</v>
      </c>
      <c r="F8859" s="0" t="s">
        <v>15</v>
      </c>
      <c r="G8859" s="0" t="s">
        <v>20</v>
      </c>
      <c r="H8859" s="0" t="n">
        <v>142</v>
      </c>
      <c r="I8859" s="0" t="s">
        <v>29472</v>
      </c>
      <c r="J8859" s="0" t="s">
        <v>29473</v>
      </c>
      <c r="K8859" s="0" t="s">
        <v>29474</v>
      </c>
      <c r="L8859" s="0" t="str">
        <f aca="false">HYPERLINK("https://www.ncbi.nlm.nih.gov/nuccore/CP000058.1?report=graph&amp;tracks=[key:gene_model_track,Options:GeneOnly]&amp;mk=2787920:2787939|offset_22|444444,2787968:2787987|offset_70|444444,2787998:2788017|offset_100|444444,2788040:2788059|offset_142|00cc00&amp;v=2787719:2788259&amp;c=444444", "offset 142")</f>
        <v>offset 142</v>
      </c>
    </row>
    <row r="8860" customFormat="false" ht="12.8" hidden="false" customHeight="false" outlineLevel="0" collapsed="false">
      <c r="A8860" s="0" t="s">
        <v>12</v>
      </c>
      <c r="B8860" s="0" t="n">
        <v>2789409</v>
      </c>
      <c r="C8860" s="0" t="n">
        <v>2789429</v>
      </c>
      <c r="D8860" s="0" t="s">
        <v>29475</v>
      </c>
      <c r="E8860" s="0" t="s">
        <v>75</v>
      </c>
      <c r="F8860" s="0" t="s">
        <v>15</v>
      </c>
      <c r="G8860" s="0" t="s">
        <v>32</v>
      </c>
      <c r="H8860" s="0" t="n">
        <v>8</v>
      </c>
      <c r="I8860" s="0" t="s">
        <v>29476</v>
      </c>
      <c r="J8860" s="0" t="s">
        <v>29477</v>
      </c>
      <c r="K8860" s="0" t="s">
        <v>29478</v>
      </c>
      <c r="L8860" s="0" t="str">
        <f aca="false">HYPERLINK("https://www.ncbi.nlm.nih.gov/nuccore/CP000058.1?report=graph&amp;tracks=[key:gene_model_track,Options:GeneOnly]&amp;mk=2789410:2789429|offset_8|00cc00,2789448:2789467|offset_46|444444,2789526:2789545|offset_124|444444,2789553:2789572|offset_151|444444&amp;v=2789209:2789772&amp;c=444444", "offset 8")</f>
        <v>offset 8</v>
      </c>
    </row>
    <row r="8861" customFormat="false" ht="12.8" hidden="false" customHeight="false" outlineLevel="0" collapsed="false">
      <c r="A8861" s="0" t="s">
        <v>12</v>
      </c>
      <c r="B8861" s="0" t="n">
        <v>2789447</v>
      </c>
      <c r="C8861" s="0" t="n">
        <v>2789467</v>
      </c>
      <c r="D8861" s="0" t="s">
        <v>29475</v>
      </c>
      <c r="E8861" s="0" t="s">
        <v>75</v>
      </c>
      <c r="F8861" s="0" t="s">
        <v>15</v>
      </c>
      <c r="G8861" s="0" t="s">
        <v>16</v>
      </c>
      <c r="H8861" s="0" t="n">
        <v>46</v>
      </c>
      <c r="I8861" s="0" t="s">
        <v>29479</v>
      </c>
      <c r="J8861" s="0" t="s">
        <v>29480</v>
      </c>
      <c r="K8861" s="0" t="s">
        <v>29481</v>
      </c>
      <c r="L8861" s="0" t="str">
        <f aca="false">HYPERLINK("https://www.ncbi.nlm.nih.gov/nuccore/CP000058.1?report=graph&amp;tracks=[key:gene_model_track,Options:GeneOnly]&amp;mk=2789410:2789429|offset_8|444444,2789448:2789467|offset_46|00cc00,2789526:2789545|offset_124|444444,2789553:2789572|offset_151|444444&amp;v=2789209:2789772&amp;c=444444", "offset 46")</f>
        <v>offset 46</v>
      </c>
    </row>
    <row r="8862" customFormat="false" ht="12.8" hidden="false" customHeight="false" outlineLevel="0" collapsed="false">
      <c r="A8862" s="0" t="s">
        <v>12</v>
      </c>
      <c r="B8862" s="0" t="n">
        <v>2789525</v>
      </c>
      <c r="C8862" s="0" t="n">
        <v>2789545</v>
      </c>
      <c r="D8862" s="0" t="s">
        <v>29475</v>
      </c>
      <c r="E8862" s="0" t="s">
        <v>75</v>
      </c>
      <c r="F8862" s="0" t="s">
        <v>15</v>
      </c>
      <c r="G8862" s="0" t="s">
        <v>16</v>
      </c>
      <c r="H8862" s="0" t="n">
        <v>124</v>
      </c>
      <c r="I8862" s="0" t="s">
        <v>29482</v>
      </c>
      <c r="J8862" s="0" t="s">
        <v>29483</v>
      </c>
      <c r="K8862" s="0" t="s">
        <v>29484</v>
      </c>
      <c r="L8862" s="0" t="str">
        <f aca="false">HYPERLINK("https://www.ncbi.nlm.nih.gov/nuccore/CP000058.1?report=graph&amp;tracks=[key:gene_model_track,Options:GeneOnly]&amp;mk=2789410:2789429|offset_8|444444,2789448:2789467|offset_46|444444,2789526:2789545|offset_124|00cc00,2789553:2789572|offset_151|444444&amp;v=2789209:2789772&amp;c=444444", "offset 124")</f>
        <v>offset 124</v>
      </c>
    </row>
    <row r="8863" customFormat="false" ht="12.8" hidden="false" customHeight="false" outlineLevel="0" collapsed="false">
      <c r="A8863" s="0" t="s">
        <v>12</v>
      </c>
      <c r="B8863" s="0" t="n">
        <v>2789552</v>
      </c>
      <c r="C8863" s="0" t="n">
        <v>2789572</v>
      </c>
      <c r="D8863" s="0" t="s">
        <v>29475</v>
      </c>
      <c r="E8863" s="0" t="s">
        <v>75</v>
      </c>
      <c r="F8863" s="0" t="s">
        <v>15</v>
      </c>
      <c r="G8863" s="0" t="s">
        <v>16</v>
      </c>
      <c r="H8863" s="0" t="n">
        <v>151</v>
      </c>
      <c r="I8863" s="0" t="s">
        <v>29485</v>
      </c>
      <c r="J8863" s="0" t="s">
        <v>29486</v>
      </c>
      <c r="K8863" s="0" t="s">
        <v>29487</v>
      </c>
      <c r="L8863" s="0" t="str">
        <f aca="false">HYPERLINK("https://www.ncbi.nlm.nih.gov/nuccore/CP000058.1?report=graph&amp;tracks=[key:gene_model_track,Options:GeneOnly]&amp;mk=2789410:2789429|offset_8|444444,2789448:2789467|offset_46|444444,2789526:2789545|offset_124|444444,2789553:2789572|offset_151|00cc00&amp;v=2789209:2789772&amp;c=444444", "offset 151")</f>
        <v>offset 151</v>
      </c>
    </row>
    <row r="8864" customFormat="false" ht="12.8" hidden="false" customHeight="false" outlineLevel="0" collapsed="false">
      <c r="A8864" s="0" t="s">
        <v>12</v>
      </c>
      <c r="B8864" s="0" t="n">
        <v>2790555</v>
      </c>
      <c r="C8864" s="0" t="n">
        <v>2790575</v>
      </c>
      <c r="D8864" s="0" t="s">
        <v>29488</v>
      </c>
      <c r="E8864" s="0" t="s">
        <v>75</v>
      </c>
      <c r="F8864" s="0" t="s">
        <v>15</v>
      </c>
      <c r="G8864" s="0" t="s">
        <v>16</v>
      </c>
      <c r="H8864" s="0" t="n">
        <v>9</v>
      </c>
      <c r="I8864" s="0" t="s">
        <v>29489</v>
      </c>
      <c r="J8864" s="0" t="s">
        <v>29490</v>
      </c>
      <c r="K8864" s="0" t="s">
        <v>29491</v>
      </c>
      <c r="L8864" s="0" t="str">
        <f aca="false">HYPERLINK("https://www.ncbi.nlm.nih.gov/nuccore/CP000058.1?report=graph&amp;tracks=[key:gene_model_track,Options:GeneOnly]&amp;mk=2790556:2790575|offset_9|00cc00,2790609:2790628|offset_62|444444,2790635:2790654|offset_88|444444,2790673:2790692|offset_126|444444&amp;v=2790355:2790892&amp;c=444444", "offset 9")</f>
        <v>offset 9</v>
      </c>
    </row>
    <row r="8865" customFormat="false" ht="12.8" hidden="false" customHeight="false" outlineLevel="0" collapsed="false">
      <c r="A8865" s="0" t="s">
        <v>12</v>
      </c>
      <c r="B8865" s="0" t="n">
        <v>2790608</v>
      </c>
      <c r="C8865" s="0" t="n">
        <v>2790628</v>
      </c>
      <c r="D8865" s="0" t="s">
        <v>29488</v>
      </c>
      <c r="E8865" s="0" t="s">
        <v>75</v>
      </c>
      <c r="F8865" s="0" t="s">
        <v>15</v>
      </c>
      <c r="G8865" s="0" t="s">
        <v>36</v>
      </c>
      <c r="H8865" s="0" t="n">
        <v>62</v>
      </c>
      <c r="I8865" s="0" t="s">
        <v>29492</v>
      </c>
      <c r="J8865" s="0" t="s">
        <v>29493</v>
      </c>
      <c r="K8865" s="0" t="s">
        <v>29494</v>
      </c>
      <c r="L8865" s="0" t="str">
        <f aca="false">HYPERLINK("https://www.ncbi.nlm.nih.gov/nuccore/CP000058.1?report=graph&amp;tracks=[key:gene_model_track,Options:GeneOnly]&amp;mk=2790556:2790575|offset_9|444444,2790609:2790628|offset_62|00cc00,2790635:2790654|offset_88|444444,2790673:2790692|offset_126|444444&amp;v=2790355:2790892&amp;c=444444", "offset 62")</f>
        <v>offset 62</v>
      </c>
    </row>
    <row r="8866" customFormat="false" ht="12.8" hidden="false" customHeight="false" outlineLevel="0" collapsed="false">
      <c r="A8866" s="0" t="s">
        <v>12</v>
      </c>
      <c r="B8866" s="0" t="n">
        <v>2790634</v>
      </c>
      <c r="C8866" s="0" t="n">
        <v>2790654</v>
      </c>
      <c r="D8866" s="0" t="s">
        <v>29488</v>
      </c>
      <c r="E8866" s="0" t="s">
        <v>75</v>
      </c>
      <c r="F8866" s="0" t="s">
        <v>15</v>
      </c>
      <c r="G8866" s="0" t="s">
        <v>20</v>
      </c>
      <c r="H8866" s="0" t="n">
        <v>88</v>
      </c>
      <c r="I8866" s="0" t="s">
        <v>29495</v>
      </c>
      <c r="J8866" s="0" t="s">
        <v>29496</v>
      </c>
      <c r="K8866" s="0" t="s">
        <v>29497</v>
      </c>
      <c r="L8866" s="0" t="str">
        <f aca="false">HYPERLINK("https://www.ncbi.nlm.nih.gov/nuccore/CP000058.1?report=graph&amp;tracks=[key:gene_model_track,Options:GeneOnly]&amp;mk=2790556:2790575|offset_9|444444,2790609:2790628|offset_62|444444,2790635:2790654|offset_88|00cc00,2790673:2790692|offset_126|444444&amp;v=2790355:2790892&amp;c=444444", "offset 88")</f>
        <v>offset 88</v>
      </c>
    </row>
    <row r="8867" customFormat="false" ht="12.8" hidden="false" customHeight="false" outlineLevel="0" collapsed="false">
      <c r="A8867" s="0" t="s">
        <v>12</v>
      </c>
      <c r="B8867" s="0" t="n">
        <v>2790672</v>
      </c>
      <c r="C8867" s="0" t="n">
        <v>2790692</v>
      </c>
      <c r="D8867" s="0" t="s">
        <v>29488</v>
      </c>
      <c r="E8867" s="0" t="s">
        <v>75</v>
      </c>
      <c r="F8867" s="0" t="s">
        <v>15</v>
      </c>
      <c r="G8867" s="0" t="s">
        <v>16</v>
      </c>
      <c r="H8867" s="0" t="n">
        <v>126</v>
      </c>
      <c r="I8867" s="0" t="s">
        <v>29498</v>
      </c>
      <c r="J8867" s="0" t="s">
        <v>29499</v>
      </c>
      <c r="K8867" s="0" t="s">
        <v>29500</v>
      </c>
      <c r="L8867" s="0" t="str">
        <f aca="false">HYPERLINK("https://www.ncbi.nlm.nih.gov/nuccore/CP000058.1?report=graph&amp;tracks=[key:gene_model_track,Options:GeneOnly]&amp;mk=2790556:2790575|offset_9|444444,2790609:2790628|offset_62|444444,2790635:2790654|offset_88|444444,2790673:2790692|offset_126|00cc00&amp;v=2790355:2790892&amp;c=444444", "offset 126")</f>
        <v>offset 126</v>
      </c>
    </row>
    <row r="8868" customFormat="false" ht="12.8" hidden="false" customHeight="false" outlineLevel="0" collapsed="false">
      <c r="A8868" s="0" t="s">
        <v>12</v>
      </c>
      <c r="B8868" s="0" t="n">
        <v>2791596</v>
      </c>
      <c r="C8868" s="0" t="n">
        <v>2791616</v>
      </c>
      <c r="D8868" s="0" t="s">
        <v>29501</v>
      </c>
      <c r="E8868" s="0" t="s">
        <v>75</v>
      </c>
      <c r="F8868" s="0" t="s">
        <v>15</v>
      </c>
      <c r="G8868" s="0" t="s">
        <v>32</v>
      </c>
      <c r="H8868" s="0" t="n">
        <v>18</v>
      </c>
      <c r="I8868" s="0" t="s">
        <v>29502</v>
      </c>
      <c r="J8868" s="0" t="s">
        <v>29503</v>
      </c>
      <c r="K8868" s="0" t="s">
        <v>29504</v>
      </c>
      <c r="L8868" s="0" t="str">
        <f aca="false">HYPERLINK("https://www.ncbi.nlm.nih.gov/nuccore/CP000058.1?report=graph&amp;tracks=[key:gene_model_track,Options:GeneOnly]&amp;mk=2791597:2791616|offset_18|00cc00,2791619:2791638|offset_40|444444,2791639:2791658|offset_60|444444,2791685:2791704|offset_106|444444&amp;v=2791396:2791904&amp;c=444444", "offset 18")</f>
        <v>offset 18</v>
      </c>
    </row>
    <row r="8869" customFormat="false" ht="12.8" hidden="false" customHeight="false" outlineLevel="0" collapsed="false">
      <c r="A8869" s="0" t="s">
        <v>12</v>
      </c>
      <c r="B8869" s="0" t="n">
        <v>2791618</v>
      </c>
      <c r="C8869" s="0" t="n">
        <v>2791638</v>
      </c>
      <c r="D8869" s="0" t="s">
        <v>29501</v>
      </c>
      <c r="E8869" s="0" t="s">
        <v>75</v>
      </c>
      <c r="F8869" s="0" t="s">
        <v>15</v>
      </c>
      <c r="G8869" s="0" t="s">
        <v>16</v>
      </c>
      <c r="H8869" s="0" t="n">
        <v>40</v>
      </c>
      <c r="I8869" s="0" t="s">
        <v>29505</v>
      </c>
      <c r="J8869" s="0" t="s">
        <v>29506</v>
      </c>
      <c r="K8869" s="0" t="s">
        <v>29507</v>
      </c>
      <c r="L8869" s="0" t="str">
        <f aca="false">HYPERLINK("https://www.ncbi.nlm.nih.gov/nuccore/CP000058.1?report=graph&amp;tracks=[key:gene_model_track,Options:GeneOnly]&amp;mk=2791597:2791616|offset_18|444444,2791619:2791638|offset_40|00cc00,2791639:2791658|offset_60|444444,2791685:2791704|offset_106|444444&amp;v=2791396:2791904&amp;c=444444", "offset 40")</f>
        <v>offset 40</v>
      </c>
    </row>
    <row r="8870" customFormat="false" ht="12.8" hidden="false" customHeight="false" outlineLevel="0" collapsed="false">
      <c r="A8870" s="0" t="s">
        <v>12</v>
      </c>
      <c r="B8870" s="0" t="n">
        <v>2791638</v>
      </c>
      <c r="C8870" s="0" t="n">
        <v>2791658</v>
      </c>
      <c r="D8870" s="0" t="s">
        <v>29501</v>
      </c>
      <c r="E8870" s="0" t="s">
        <v>75</v>
      </c>
      <c r="F8870" s="0" t="s">
        <v>15</v>
      </c>
      <c r="G8870" s="0" t="s">
        <v>32</v>
      </c>
      <c r="H8870" s="0" t="n">
        <v>60</v>
      </c>
      <c r="I8870" s="0" t="s">
        <v>29508</v>
      </c>
      <c r="J8870" s="0" t="s">
        <v>29509</v>
      </c>
      <c r="K8870" s="0" t="s">
        <v>29510</v>
      </c>
      <c r="L8870" s="0" t="str">
        <f aca="false">HYPERLINK("https://www.ncbi.nlm.nih.gov/nuccore/CP000058.1?report=graph&amp;tracks=[key:gene_model_track,Options:GeneOnly]&amp;mk=2791597:2791616|offset_18|444444,2791619:2791638|offset_40|444444,2791639:2791658|offset_60|00cc00,2791685:2791704|offset_106|444444&amp;v=2791396:2791904&amp;c=444444", "offset 60")</f>
        <v>offset 60</v>
      </c>
    </row>
    <row r="8871" customFormat="false" ht="12.8" hidden="false" customHeight="false" outlineLevel="0" collapsed="false">
      <c r="A8871" s="0" t="s">
        <v>12</v>
      </c>
      <c r="B8871" s="0" t="n">
        <v>2791684</v>
      </c>
      <c r="C8871" s="0" t="n">
        <v>2791704</v>
      </c>
      <c r="D8871" s="0" t="s">
        <v>29501</v>
      </c>
      <c r="E8871" s="0" t="s">
        <v>75</v>
      </c>
      <c r="F8871" s="0" t="s">
        <v>15</v>
      </c>
      <c r="G8871" s="0" t="s">
        <v>32</v>
      </c>
      <c r="H8871" s="0" t="n">
        <v>106</v>
      </c>
      <c r="I8871" s="0" t="s">
        <v>29511</v>
      </c>
      <c r="J8871" s="0" t="s">
        <v>29512</v>
      </c>
      <c r="K8871" s="0" t="s">
        <v>29513</v>
      </c>
      <c r="L8871" s="0" t="str">
        <f aca="false">HYPERLINK("https://www.ncbi.nlm.nih.gov/nuccore/CP000058.1?report=graph&amp;tracks=[key:gene_model_track,Options:GeneOnly]&amp;mk=2791597:2791616|offset_18|444444,2791619:2791638|offset_40|444444,2791639:2791658|offset_60|444444,2791685:2791704|offset_106|00cc00&amp;v=2791396:2791904&amp;c=444444", "offset 106")</f>
        <v>offset 106</v>
      </c>
    </row>
    <row r="8872" customFormat="false" ht="12.8" hidden="false" customHeight="false" outlineLevel="0" collapsed="false">
      <c r="A8872" s="0" t="s">
        <v>12</v>
      </c>
      <c r="B8872" s="0" t="n">
        <v>2792943</v>
      </c>
      <c r="C8872" s="0" t="n">
        <v>2792963</v>
      </c>
      <c r="D8872" s="0" t="s">
        <v>29514</v>
      </c>
      <c r="E8872" s="0" t="s">
        <v>75</v>
      </c>
      <c r="F8872" s="0" t="s">
        <v>15</v>
      </c>
      <c r="G8872" s="0" t="s">
        <v>20</v>
      </c>
      <c r="H8872" s="0" t="n">
        <v>40</v>
      </c>
      <c r="I8872" s="0" t="s">
        <v>29515</v>
      </c>
      <c r="J8872" s="0" t="s">
        <v>29516</v>
      </c>
      <c r="K8872" s="0" t="s">
        <v>29517</v>
      </c>
      <c r="L8872" s="0" t="str">
        <f aca="false">HYPERLINK("https://www.ncbi.nlm.nih.gov/nuccore/CP000058.1?report=graph&amp;tracks=[key:gene_model_track,Options:GeneOnly]&amp;mk=2792944:2792963|offset_40|00cc00,2792981:2793000|offset_77|444444,2793002:2793021|offset_98|444444,2793028:2793047|offset_124|444444&amp;v=2792743:2793247&amp;c=444444", "offset 40")</f>
        <v>offset 40</v>
      </c>
    </row>
    <row r="8873" customFormat="false" ht="12.8" hidden="false" customHeight="false" outlineLevel="0" collapsed="false">
      <c r="A8873" s="0" t="s">
        <v>12</v>
      </c>
      <c r="B8873" s="0" t="n">
        <v>2792980</v>
      </c>
      <c r="C8873" s="0" t="n">
        <v>2793000</v>
      </c>
      <c r="D8873" s="0" t="s">
        <v>29514</v>
      </c>
      <c r="E8873" s="0" t="s">
        <v>75</v>
      </c>
      <c r="F8873" s="0" t="s">
        <v>15</v>
      </c>
      <c r="G8873" s="0" t="s">
        <v>20</v>
      </c>
      <c r="H8873" s="0" t="n">
        <v>77</v>
      </c>
      <c r="I8873" s="0" t="s">
        <v>29518</v>
      </c>
      <c r="J8873" s="0" t="s">
        <v>29519</v>
      </c>
      <c r="K8873" s="0" t="s">
        <v>29520</v>
      </c>
      <c r="L8873" s="0" t="str">
        <f aca="false">HYPERLINK("https://www.ncbi.nlm.nih.gov/nuccore/CP000058.1?report=graph&amp;tracks=[key:gene_model_track,Options:GeneOnly]&amp;mk=2792944:2792963|offset_40|444444,2792981:2793000|offset_77|00cc00,2793002:2793021|offset_98|444444,2793028:2793047|offset_124|444444&amp;v=2792743:2793247&amp;c=444444", "offset 77")</f>
        <v>offset 77</v>
      </c>
    </row>
    <row r="8874" customFormat="false" ht="12.8" hidden="false" customHeight="false" outlineLevel="0" collapsed="false">
      <c r="A8874" s="0" t="s">
        <v>12</v>
      </c>
      <c r="B8874" s="0" t="n">
        <v>2793001</v>
      </c>
      <c r="C8874" s="0" t="n">
        <v>2793021</v>
      </c>
      <c r="D8874" s="0" t="s">
        <v>29514</v>
      </c>
      <c r="E8874" s="0" t="s">
        <v>75</v>
      </c>
      <c r="F8874" s="0" t="s">
        <v>15</v>
      </c>
      <c r="G8874" s="0" t="s">
        <v>36</v>
      </c>
      <c r="H8874" s="0" t="n">
        <v>98</v>
      </c>
      <c r="I8874" s="0" t="s">
        <v>29521</v>
      </c>
      <c r="J8874" s="0" t="s">
        <v>29522</v>
      </c>
      <c r="K8874" s="0" t="s">
        <v>29523</v>
      </c>
      <c r="L8874" s="0" t="str">
        <f aca="false">HYPERLINK("https://www.ncbi.nlm.nih.gov/nuccore/CP000058.1?report=graph&amp;tracks=[key:gene_model_track,Options:GeneOnly]&amp;mk=2792944:2792963|offset_40|444444,2792981:2793000|offset_77|444444,2793002:2793021|offset_98|00cc00,2793028:2793047|offset_124|444444&amp;v=2792743:2793247&amp;c=444444", "offset 98")</f>
        <v>offset 98</v>
      </c>
    </row>
    <row r="8875" customFormat="false" ht="12.8" hidden="false" customHeight="false" outlineLevel="0" collapsed="false">
      <c r="A8875" s="0" t="s">
        <v>12</v>
      </c>
      <c r="B8875" s="0" t="n">
        <v>2793027</v>
      </c>
      <c r="C8875" s="0" t="n">
        <v>2793047</v>
      </c>
      <c r="D8875" s="0" t="s">
        <v>29514</v>
      </c>
      <c r="E8875" s="0" t="s">
        <v>75</v>
      </c>
      <c r="F8875" s="0" t="s">
        <v>15</v>
      </c>
      <c r="G8875" s="0" t="s">
        <v>16</v>
      </c>
      <c r="H8875" s="0" t="n">
        <v>124</v>
      </c>
      <c r="I8875" s="0" t="s">
        <v>29524</v>
      </c>
      <c r="J8875" s="0" t="s">
        <v>29525</v>
      </c>
      <c r="K8875" s="0" t="s">
        <v>29526</v>
      </c>
      <c r="L8875" s="0" t="str">
        <f aca="false">HYPERLINK("https://www.ncbi.nlm.nih.gov/nuccore/CP000058.1?report=graph&amp;tracks=[key:gene_model_track,Options:GeneOnly]&amp;mk=2792944:2792963|offset_40|444444,2792981:2793000|offset_77|444444,2793002:2793021|offset_98|444444,2793028:2793047|offset_124|00cc00&amp;v=2792743:2793247&amp;c=444444", "offset 124")</f>
        <v>offset 124</v>
      </c>
    </row>
    <row r="8876" customFormat="false" ht="12.8" hidden="false" customHeight="false" outlineLevel="0" collapsed="false">
      <c r="A8876" s="0" t="s">
        <v>12</v>
      </c>
      <c r="B8876" s="0" t="n">
        <v>2795093</v>
      </c>
      <c r="C8876" s="0" t="n">
        <v>2795113</v>
      </c>
      <c r="D8876" s="0" t="s">
        <v>29527</v>
      </c>
      <c r="E8876" s="0" t="s">
        <v>75</v>
      </c>
      <c r="F8876" s="0" t="s">
        <v>15</v>
      </c>
      <c r="G8876" s="0" t="s">
        <v>32</v>
      </c>
      <c r="H8876" s="0" t="n">
        <v>7</v>
      </c>
      <c r="I8876" s="0" t="s">
        <v>29528</v>
      </c>
      <c r="J8876" s="0" t="s">
        <v>29529</v>
      </c>
      <c r="K8876" s="0" t="s">
        <v>29530</v>
      </c>
      <c r="L8876" s="0" t="str">
        <f aca="false">HYPERLINK("https://www.ncbi.nlm.nih.gov/nuccore/CP000058.1?report=graph&amp;tracks=[key:gene_model_track,Options:GeneOnly]&amp;mk=2795094:2795113|offset_7|00cc00,2795125:2795144|offset_38|444444,2795167:2795186|offset_80|444444,2795189:2795208|offset_102|444444&amp;v=2794893:2795408&amp;c=444444", "offset 7")</f>
        <v>offset 7</v>
      </c>
    </row>
    <row r="8877" customFormat="false" ht="12.8" hidden="false" customHeight="false" outlineLevel="0" collapsed="false">
      <c r="A8877" s="0" t="s">
        <v>12</v>
      </c>
      <c r="B8877" s="0" t="n">
        <v>2795124</v>
      </c>
      <c r="C8877" s="0" t="n">
        <v>2795144</v>
      </c>
      <c r="D8877" s="0" t="s">
        <v>29527</v>
      </c>
      <c r="E8877" s="0" t="s">
        <v>75</v>
      </c>
      <c r="F8877" s="0" t="s">
        <v>15</v>
      </c>
      <c r="G8877" s="0" t="s">
        <v>20</v>
      </c>
      <c r="H8877" s="0" t="n">
        <v>38</v>
      </c>
      <c r="I8877" s="0" t="s">
        <v>29531</v>
      </c>
      <c r="J8877" s="0" t="s">
        <v>29532</v>
      </c>
      <c r="K8877" s="0" t="s">
        <v>29533</v>
      </c>
      <c r="L8877" s="0" t="str">
        <f aca="false">HYPERLINK("https://www.ncbi.nlm.nih.gov/nuccore/CP000058.1?report=graph&amp;tracks=[key:gene_model_track,Options:GeneOnly]&amp;mk=2795094:2795113|offset_7|444444,2795125:2795144|offset_38|00cc00,2795167:2795186|offset_80|444444,2795189:2795208|offset_102|444444&amp;v=2794893:2795408&amp;c=444444", "offset 38")</f>
        <v>offset 38</v>
      </c>
    </row>
    <row r="8878" customFormat="false" ht="12.8" hidden="false" customHeight="false" outlineLevel="0" collapsed="false">
      <c r="A8878" s="0" t="s">
        <v>12</v>
      </c>
      <c r="B8878" s="0" t="n">
        <v>2795166</v>
      </c>
      <c r="C8878" s="0" t="n">
        <v>2795186</v>
      </c>
      <c r="D8878" s="0" t="s">
        <v>29527</v>
      </c>
      <c r="E8878" s="0" t="s">
        <v>75</v>
      </c>
      <c r="F8878" s="0" t="s">
        <v>15</v>
      </c>
      <c r="G8878" s="0" t="s">
        <v>20</v>
      </c>
      <c r="H8878" s="0" t="n">
        <v>80</v>
      </c>
      <c r="I8878" s="0" t="s">
        <v>29534</v>
      </c>
      <c r="J8878" s="0" t="s">
        <v>29535</v>
      </c>
      <c r="K8878" s="0" t="s">
        <v>29536</v>
      </c>
      <c r="L8878" s="0" t="str">
        <f aca="false">HYPERLINK("https://www.ncbi.nlm.nih.gov/nuccore/CP000058.1?report=graph&amp;tracks=[key:gene_model_track,Options:GeneOnly]&amp;mk=2795094:2795113|offset_7|444444,2795125:2795144|offset_38|444444,2795167:2795186|offset_80|00cc00,2795189:2795208|offset_102|444444&amp;v=2794893:2795408&amp;c=444444", "offset 80")</f>
        <v>offset 80</v>
      </c>
    </row>
    <row r="8879" customFormat="false" ht="12.8" hidden="false" customHeight="false" outlineLevel="0" collapsed="false">
      <c r="A8879" s="0" t="s">
        <v>12</v>
      </c>
      <c r="B8879" s="0" t="n">
        <v>2795188</v>
      </c>
      <c r="C8879" s="0" t="n">
        <v>2795208</v>
      </c>
      <c r="D8879" s="0" t="s">
        <v>29527</v>
      </c>
      <c r="E8879" s="0" t="s">
        <v>75</v>
      </c>
      <c r="F8879" s="0" t="s">
        <v>15</v>
      </c>
      <c r="G8879" s="0" t="s">
        <v>16</v>
      </c>
      <c r="H8879" s="0" t="n">
        <v>102</v>
      </c>
      <c r="I8879" s="0" t="s">
        <v>29537</v>
      </c>
      <c r="J8879" s="0" t="s">
        <v>29538</v>
      </c>
      <c r="K8879" s="0" t="s">
        <v>29539</v>
      </c>
      <c r="L8879" s="0" t="str">
        <f aca="false">HYPERLINK("https://www.ncbi.nlm.nih.gov/nuccore/CP000058.1?report=graph&amp;tracks=[key:gene_model_track,Options:GeneOnly]&amp;mk=2795094:2795113|offset_7|444444,2795125:2795144|offset_38|444444,2795167:2795186|offset_80|444444,2795189:2795208|offset_102|00cc00&amp;v=2794893:2795408&amp;c=444444", "offset 102")</f>
        <v>offset 102</v>
      </c>
    </row>
    <row r="8880" customFormat="false" ht="12.8" hidden="false" customHeight="false" outlineLevel="0" collapsed="false">
      <c r="A8880" s="0" t="s">
        <v>12</v>
      </c>
      <c r="B8880" s="0" t="n">
        <v>2796887</v>
      </c>
      <c r="C8880" s="0" t="n">
        <v>2796907</v>
      </c>
      <c r="D8880" s="0" t="s">
        <v>29540</v>
      </c>
      <c r="E8880" s="0" t="s">
        <v>29541</v>
      </c>
      <c r="F8880" s="0" t="s">
        <v>15</v>
      </c>
      <c r="G8880" s="0" t="s">
        <v>16</v>
      </c>
      <c r="H8880" s="0" t="n">
        <v>25</v>
      </c>
      <c r="I8880" s="0" t="s">
        <v>29542</v>
      </c>
      <c r="J8880" s="0" t="s">
        <v>29543</v>
      </c>
      <c r="K8880" s="0" t="s">
        <v>29544</v>
      </c>
      <c r="L8880" s="0" t="str">
        <f aca="false">HYPERLINK("https://www.ncbi.nlm.nih.gov/nuccore/CP000058.1?report=graph&amp;tracks=[key:gene_model_track,Options:GeneOnly]&amp;mk=2796888:2796907|offset_25|00cc00,2796926:2796945|offset_63|444444,2796951:2796970|offset_88|444444,2796993:2797012|offset_130|444444&amp;v=2796687:2797212&amp;c=444444", "offset 25")</f>
        <v>offset 25</v>
      </c>
    </row>
    <row r="8881" customFormat="false" ht="12.8" hidden="false" customHeight="false" outlineLevel="0" collapsed="false">
      <c r="A8881" s="0" t="s">
        <v>12</v>
      </c>
      <c r="B8881" s="0" t="n">
        <v>2796925</v>
      </c>
      <c r="C8881" s="0" t="n">
        <v>2796945</v>
      </c>
      <c r="D8881" s="0" t="s">
        <v>29540</v>
      </c>
      <c r="E8881" s="0" t="s">
        <v>29541</v>
      </c>
      <c r="F8881" s="0" t="s">
        <v>15</v>
      </c>
      <c r="G8881" s="0" t="s">
        <v>36</v>
      </c>
      <c r="H8881" s="0" t="n">
        <v>63</v>
      </c>
      <c r="I8881" s="0" t="s">
        <v>29545</v>
      </c>
      <c r="J8881" s="0" t="s">
        <v>29546</v>
      </c>
      <c r="K8881" s="0" t="s">
        <v>29547</v>
      </c>
      <c r="L8881" s="0" t="str">
        <f aca="false">HYPERLINK("https://www.ncbi.nlm.nih.gov/nuccore/CP000058.1?report=graph&amp;tracks=[key:gene_model_track,Options:GeneOnly]&amp;mk=2796888:2796907|offset_25|444444,2796926:2796945|offset_63|00cc00,2796951:2796970|offset_88|444444,2796993:2797012|offset_130|444444&amp;v=2796687:2797212&amp;c=444444", "offset 63")</f>
        <v>offset 63</v>
      </c>
    </row>
    <row r="8882" customFormat="false" ht="12.8" hidden="false" customHeight="false" outlineLevel="0" collapsed="false">
      <c r="A8882" s="0" t="s">
        <v>12</v>
      </c>
      <c r="B8882" s="0" t="n">
        <v>2796950</v>
      </c>
      <c r="C8882" s="0" t="n">
        <v>2796970</v>
      </c>
      <c r="D8882" s="0" t="s">
        <v>29540</v>
      </c>
      <c r="E8882" s="0" t="s">
        <v>29541</v>
      </c>
      <c r="F8882" s="0" t="s">
        <v>15</v>
      </c>
      <c r="G8882" s="0" t="s">
        <v>36</v>
      </c>
      <c r="H8882" s="0" t="n">
        <v>88</v>
      </c>
      <c r="I8882" s="0" t="s">
        <v>29548</v>
      </c>
      <c r="J8882" s="0" t="s">
        <v>29549</v>
      </c>
      <c r="K8882" s="0" t="s">
        <v>29550</v>
      </c>
      <c r="L8882" s="0" t="str">
        <f aca="false">HYPERLINK("https://www.ncbi.nlm.nih.gov/nuccore/CP000058.1?report=graph&amp;tracks=[key:gene_model_track,Options:GeneOnly]&amp;mk=2796888:2796907|offset_25|444444,2796926:2796945|offset_63|444444,2796951:2796970|offset_88|00cc00,2796993:2797012|offset_130|444444&amp;v=2796687:2797212&amp;c=444444", "offset 88")</f>
        <v>offset 88</v>
      </c>
    </row>
    <row r="8883" customFormat="false" ht="12.8" hidden="false" customHeight="false" outlineLevel="0" collapsed="false">
      <c r="A8883" s="0" t="s">
        <v>12</v>
      </c>
      <c r="B8883" s="0" t="n">
        <v>2796992</v>
      </c>
      <c r="C8883" s="0" t="n">
        <v>2797012</v>
      </c>
      <c r="D8883" s="0" t="s">
        <v>29540</v>
      </c>
      <c r="E8883" s="0" t="s">
        <v>29541</v>
      </c>
      <c r="F8883" s="0" t="s">
        <v>15</v>
      </c>
      <c r="G8883" s="0" t="s">
        <v>16</v>
      </c>
      <c r="H8883" s="0" t="n">
        <v>130</v>
      </c>
      <c r="I8883" s="0" t="s">
        <v>29551</v>
      </c>
      <c r="J8883" s="0" t="s">
        <v>29552</v>
      </c>
      <c r="K8883" s="0" t="s">
        <v>29553</v>
      </c>
      <c r="L8883" s="0" t="str">
        <f aca="false">HYPERLINK("https://www.ncbi.nlm.nih.gov/nuccore/CP000058.1?report=graph&amp;tracks=[key:gene_model_track,Options:GeneOnly]&amp;mk=2796888:2796907|offset_25|444444,2796926:2796945|offset_63|444444,2796951:2796970|offset_88|444444,2796993:2797012|offset_130|00cc00&amp;v=2796687:2797212&amp;c=444444", "offset 130")</f>
        <v>offset 130</v>
      </c>
    </row>
    <row r="8884" customFormat="false" ht="12.8" hidden="false" customHeight="false" outlineLevel="0" collapsed="false">
      <c r="A8884" s="0" t="s">
        <v>12</v>
      </c>
      <c r="B8884" s="0" t="n">
        <v>2797557</v>
      </c>
      <c r="C8884" s="0" t="n">
        <v>2797577</v>
      </c>
      <c r="D8884" s="0" t="s">
        <v>29554</v>
      </c>
      <c r="E8884" s="0" t="s">
        <v>75</v>
      </c>
      <c r="F8884" s="0" t="s">
        <v>15</v>
      </c>
      <c r="G8884" s="0" t="s">
        <v>36</v>
      </c>
      <c r="H8884" s="0" t="n">
        <v>26</v>
      </c>
      <c r="I8884" s="0" t="s">
        <v>29555</v>
      </c>
      <c r="J8884" s="0" t="s">
        <v>29556</v>
      </c>
      <c r="K8884" s="0" t="s">
        <v>29557</v>
      </c>
      <c r="L8884" s="0" t="str">
        <f aca="false">HYPERLINK("https://www.ncbi.nlm.nih.gov/nuccore/CP000058.1?report=graph&amp;tracks=[key:gene_model_track,Options:GeneOnly]&amp;mk=2797558:2797577|offset_26|00cc00,2797608:2797627|offset_76|444444,2797634:2797653|offset_102|444444,2797668:2797687|offset_136|444444&amp;v=2797357:2797887&amp;c=444444", "offset 26")</f>
        <v>offset 26</v>
      </c>
    </row>
    <row r="8885" customFormat="false" ht="12.8" hidden="false" customHeight="false" outlineLevel="0" collapsed="false">
      <c r="A8885" s="0" t="s">
        <v>12</v>
      </c>
      <c r="B8885" s="0" t="n">
        <v>2797607</v>
      </c>
      <c r="C8885" s="0" t="n">
        <v>2797627</v>
      </c>
      <c r="D8885" s="0" t="s">
        <v>29554</v>
      </c>
      <c r="E8885" s="0" t="s">
        <v>75</v>
      </c>
      <c r="F8885" s="0" t="s">
        <v>15</v>
      </c>
      <c r="G8885" s="0" t="s">
        <v>20</v>
      </c>
      <c r="H8885" s="0" t="n">
        <v>76</v>
      </c>
      <c r="I8885" s="0" t="s">
        <v>29558</v>
      </c>
      <c r="J8885" s="0" t="s">
        <v>29559</v>
      </c>
      <c r="K8885" s="0" t="s">
        <v>29560</v>
      </c>
      <c r="L8885" s="0" t="str">
        <f aca="false">HYPERLINK("https://www.ncbi.nlm.nih.gov/nuccore/CP000058.1?report=graph&amp;tracks=[key:gene_model_track,Options:GeneOnly]&amp;mk=2797558:2797577|offset_26|444444,2797608:2797627|offset_76|00cc00,2797634:2797653|offset_102|444444,2797668:2797687|offset_136|444444&amp;v=2797357:2797887&amp;c=444444", "offset 76")</f>
        <v>offset 76</v>
      </c>
    </row>
    <row r="8886" customFormat="false" ht="12.8" hidden="false" customHeight="false" outlineLevel="0" collapsed="false">
      <c r="A8886" s="0" t="s">
        <v>12</v>
      </c>
      <c r="B8886" s="0" t="n">
        <v>2797633</v>
      </c>
      <c r="C8886" s="0" t="n">
        <v>2797653</v>
      </c>
      <c r="D8886" s="0" t="s">
        <v>29554</v>
      </c>
      <c r="E8886" s="0" t="s">
        <v>75</v>
      </c>
      <c r="F8886" s="0" t="s">
        <v>15</v>
      </c>
      <c r="G8886" s="0" t="s">
        <v>16</v>
      </c>
      <c r="H8886" s="0" t="n">
        <v>102</v>
      </c>
      <c r="I8886" s="0" t="s">
        <v>29561</v>
      </c>
      <c r="J8886" s="0" t="s">
        <v>29562</v>
      </c>
      <c r="K8886" s="0" t="s">
        <v>29563</v>
      </c>
      <c r="L8886" s="0" t="str">
        <f aca="false">HYPERLINK("https://www.ncbi.nlm.nih.gov/nuccore/CP000058.1?report=graph&amp;tracks=[key:gene_model_track,Options:GeneOnly]&amp;mk=2797558:2797577|offset_26|444444,2797608:2797627|offset_76|444444,2797634:2797653|offset_102|00cc00,2797668:2797687|offset_136|444444&amp;v=2797357:2797887&amp;c=444444", "offset 102")</f>
        <v>offset 102</v>
      </c>
    </row>
    <row r="8887" customFormat="false" ht="12.8" hidden="false" customHeight="false" outlineLevel="0" collapsed="false">
      <c r="A8887" s="0" t="s">
        <v>12</v>
      </c>
      <c r="B8887" s="0" t="n">
        <v>2797667</v>
      </c>
      <c r="C8887" s="0" t="n">
        <v>2797687</v>
      </c>
      <c r="D8887" s="0" t="s">
        <v>29554</v>
      </c>
      <c r="E8887" s="0" t="s">
        <v>75</v>
      </c>
      <c r="F8887" s="0" t="s">
        <v>15</v>
      </c>
      <c r="G8887" s="0" t="s">
        <v>16</v>
      </c>
      <c r="H8887" s="0" t="n">
        <v>136</v>
      </c>
      <c r="I8887" s="0" t="s">
        <v>29564</v>
      </c>
      <c r="J8887" s="0" t="s">
        <v>29565</v>
      </c>
      <c r="K8887" s="0" t="s">
        <v>29566</v>
      </c>
      <c r="L8887" s="0" t="str">
        <f aca="false">HYPERLINK("https://www.ncbi.nlm.nih.gov/nuccore/CP000058.1?report=graph&amp;tracks=[key:gene_model_track,Options:GeneOnly]&amp;mk=2797558:2797577|offset_26|444444,2797608:2797627|offset_76|444444,2797634:2797653|offset_102|444444,2797668:2797687|offset_136|00cc00&amp;v=2797357:2797887&amp;c=444444", "offset 136")</f>
        <v>offset 136</v>
      </c>
    </row>
    <row r="8888" customFormat="false" ht="12.8" hidden="false" customHeight="false" outlineLevel="0" collapsed="false">
      <c r="A8888" s="0" t="s">
        <v>12</v>
      </c>
      <c r="B8888" s="0" t="n">
        <v>2798699</v>
      </c>
      <c r="C8888" s="0" t="n">
        <v>2798719</v>
      </c>
      <c r="D8888" s="0" t="s">
        <v>29567</v>
      </c>
      <c r="E8888" s="0" t="s">
        <v>75</v>
      </c>
      <c r="F8888" s="0" t="s">
        <v>15</v>
      </c>
      <c r="G8888" s="0" t="s">
        <v>20</v>
      </c>
      <c r="H8888" s="0" t="n">
        <v>10</v>
      </c>
      <c r="I8888" s="0" t="s">
        <v>29568</v>
      </c>
      <c r="J8888" s="0" t="s">
        <v>29569</v>
      </c>
      <c r="K8888" s="0" t="s">
        <v>29570</v>
      </c>
      <c r="L8888" s="0" t="str">
        <f aca="false">HYPERLINK("https://www.ncbi.nlm.nih.gov/nuccore/CP000058.1?report=graph&amp;tracks=[key:gene_model_track,Options:GeneOnly]&amp;mk=2798700:2798719|offset_10|00cc00,2798755:2798774|offset_65|444444,2798790:2798809|offset_100|444444,2798814:2798833|offset_124|444444&amp;v=2798499:2799033&amp;c=444444", "offset 10")</f>
        <v>offset 10</v>
      </c>
    </row>
    <row r="8889" customFormat="false" ht="12.8" hidden="false" customHeight="false" outlineLevel="0" collapsed="false">
      <c r="A8889" s="0" t="s">
        <v>12</v>
      </c>
      <c r="B8889" s="0" t="n">
        <v>2798754</v>
      </c>
      <c r="C8889" s="0" t="n">
        <v>2798774</v>
      </c>
      <c r="D8889" s="0" t="s">
        <v>29567</v>
      </c>
      <c r="E8889" s="0" t="s">
        <v>75</v>
      </c>
      <c r="F8889" s="0" t="s">
        <v>15</v>
      </c>
      <c r="G8889" s="0" t="s">
        <v>32</v>
      </c>
      <c r="H8889" s="0" t="n">
        <v>65</v>
      </c>
      <c r="I8889" s="0" t="s">
        <v>29571</v>
      </c>
      <c r="J8889" s="0" t="s">
        <v>29572</v>
      </c>
      <c r="K8889" s="0" t="s">
        <v>29573</v>
      </c>
      <c r="L8889" s="0" t="str">
        <f aca="false">HYPERLINK("https://www.ncbi.nlm.nih.gov/nuccore/CP000058.1?report=graph&amp;tracks=[key:gene_model_track,Options:GeneOnly]&amp;mk=2798700:2798719|offset_10|444444,2798755:2798774|offset_65|00cc00,2798790:2798809|offset_100|444444,2798814:2798833|offset_124|444444&amp;v=2798499:2799033&amp;c=444444", "offset 65")</f>
        <v>offset 65</v>
      </c>
    </row>
    <row r="8890" customFormat="false" ht="12.8" hidden="false" customHeight="false" outlineLevel="0" collapsed="false">
      <c r="A8890" s="0" t="s">
        <v>12</v>
      </c>
      <c r="B8890" s="0" t="n">
        <v>2798789</v>
      </c>
      <c r="C8890" s="0" t="n">
        <v>2798809</v>
      </c>
      <c r="D8890" s="0" t="s">
        <v>29567</v>
      </c>
      <c r="E8890" s="0" t="s">
        <v>75</v>
      </c>
      <c r="F8890" s="0" t="s">
        <v>15</v>
      </c>
      <c r="G8890" s="0" t="s">
        <v>36</v>
      </c>
      <c r="H8890" s="0" t="n">
        <v>100</v>
      </c>
      <c r="I8890" s="0" t="s">
        <v>29574</v>
      </c>
      <c r="J8890" s="0" t="s">
        <v>29575</v>
      </c>
      <c r="K8890" s="0" t="s">
        <v>29576</v>
      </c>
      <c r="L8890" s="0" t="str">
        <f aca="false">HYPERLINK("https://www.ncbi.nlm.nih.gov/nuccore/CP000058.1?report=graph&amp;tracks=[key:gene_model_track,Options:GeneOnly]&amp;mk=2798700:2798719|offset_10|444444,2798755:2798774|offset_65|444444,2798790:2798809|offset_100|00cc00,2798814:2798833|offset_124|444444&amp;v=2798499:2799033&amp;c=444444", "offset 100")</f>
        <v>offset 100</v>
      </c>
    </row>
    <row r="8891" customFormat="false" ht="12.8" hidden="false" customHeight="false" outlineLevel="0" collapsed="false">
      <c r="A8891" s="0" t="s">
        <v>12</v>
      </c>
      <c r="B8891" s="0" t="n">
        <v>2798813</v>
      </c>
      <c r="C8891" s="0" t="n">
        <v>2798833</v>
      </c>
      <c r="D8891" s="0" t="s">
        <v>29567</v>
      </c>
      <c r="E8891" s="0" t="s">
        <v>75</v>
      </c>
      <c r="F8891" s="0" t="s">
        <v>15</v>
      </c>
      <c r="G8891" s="0" t="s">
        <v>32</v>
      </c>
      <c r="H8891" s="0" t="n">
        <v>124</v>
      </c>
      <c r="I8891" s="0" t="s">
        <v>29577</v>
      </c>
      <c r="J8891" s="0" t="s">
        <v>29578</v>
      </c>
      <c r="K8891" s="0" t="s">
        <v>29579</v>
      </c>
      <c r="L8891" s="0" t="str">
        <f aca="false">HYPERLINK("https://www.ncbi.nlm.nih.gov/nuccore/CP000058.1?report=graph&amp;tracks=[key:gene_model_track,Options:GeneOnly]&amp;mk=2798700:2798719|offset_10|444444,2798755:2798774|offset_65|444444,2798790:2798809|offset_100|444444,2798814:2798833|offset_124|00cc00&amp;v=2798499:2799033&amp;c=444444", "offset 124")</f>
        <v>offset 124</v>
      </c>
    </row>
    <row r="8892" customFormat="false" ht="12.8" hidden="false" customHeight="false" outlineLevel="0" collapsed="false">
      <c r="A8892" s="0" t="s">
        <v>12</v>
      </c>
      <c r="B8892" s="0" t="n">
        <v>2800775</v>
      </c>
      <c r="C8892" s="0" t="n">
        <v>2800795</v>
      </c>
      <c r="D8892" s="0" t="s">
        <v>29580</v>
      </c>
      <c r="E8892" s="0" t="s">
        <v>75</v>
      </c>
      <c r="F8892" s="0" t="s">
        <v>90</v>
      </c>
      <c r="G8892" s="0" t="s">
        <v>32</v>
      </c>
      <c r="H8892" s="0" t="n">
        <v>1</v>
      </c>
      <c r="I8892" s="0" t="s">
        <v>29581</v>
      </c>
      <c r="J8892" s="0" t="s">
        <v>29582</v>
      </c>
      <c r="K8892" s="0" t="s">
        <v>29583</v>
      </c>
      <c r="L8892" s="0" t="str">
        <f aca="false">HYPERLINK("https://www.ncbi.nlm.nih.gov/nuccore/CP000058.1?report=graph&amp;tracks=[key:gene_model_track,Options:GeneOnly]&amp;mk=2800776:2800795|offset_1|00cc00,2800739:2800758|offset_38|444444,2800684:2800703|offset_93|444444,2800650:2800669|offset_127|444444&amp;v=2800575:2800869&amp;c=444444", "offset 1")</f>
        <v>offset 1</v>
      </c>
    </row>
    <row r="8893" customFormat="false" ht="12.8" hidden="false" customHeight="false" outlineLevel="0" collapsed="false">
      <c r="A8893" s="0" t="s">
        <v>12</v>
      </c>
      <c r="B8893" s="0" t="n">
        <v>2800738</v>
      </c>
      <c r="C8893" s="0" t="n">
        <v>2800758</v>
      </c>
      <c r="D8893" s="0" t="s">
        <v>29580</v>
      </c>
      <c r="E8893" s="0" t="s">
        <v>75</v>
      </c>
      <c r="F8893" s="0" t="s">
        <v>90</v>
      </c>
      <c r="G8893" s="0" t="s">
        <v>32</v>
      </c>
      <c r="H8893" s="0" t="n">
        <v>38</v>
      </c>
      <c r="I8893" s="0" t="s">
        <v>29584</v>
      </c>
      <c r="J8893" s="0" t="s">
        <v>29585</v>
      </c>
      <c r="K8893" s="0" t="s">
        <v>29586</v>
      </c>
      <c r="L8893" s="0" t="str">
        <f aca="false">HYPERLINK("https://www.ncbi.nlm.nih.gov/nuccore/CP000058.1?report=graph&amp;tracks=[key:gene_model_track,Options:GeneOnly]&amp;mk=2800776:2800795|offset_1|444444,2800739:2800758|offset_38|00cc00,2800684:2800703|offset_93|444444,2800650:2800669|offset_127|444444&amp;v=2800575:2800869&amp;c=444444", "offset 38")</f>
        <v>offset 38</v>
      </c>
    </row>
    <row r="8894" customFormat="false" ht="12.8" hidden="false" customHeight="false" outlineLevel="0" collapsed="false">
      <c r="A8894" s="0" t="s">
        <v>12</v>
      </c>
      <c r="B8894" s="0" t="n">
        <v>2800683</v>
      </c>
      <c r="C8894" s="0" t="n">
        <v>2800703</v>
      </c>
      <c r="D8894" s="0" t="s">
        <v>29580</v>
      </c>
      <c r="E8894" s="0" t="s">
        <v>75</v>
      </c>
      <c r="F8894" s="0" t="s">
        <v>90</v>
      </c>
      <c r="G8894" s="0" t="s">
        <v>20</v>
      </c>
      <c r="H8894" s="0" t="n">
        <v>93</v>
      </c>
      <c r="I8894" s="0" t="s">
        <v>29587</v>
      </c>
      <c r="J8894" s="0" t="s">
        <v>29588</v>
      </c>
      <c r="K8894" s="0" t="s">
        <v>29589</v>
      </c>
      <c r="L8894" s="0" t="str">
        <f aca="false">HYPERLINK("https://www.ncbi.nlm.nih.gov/nuccore/CP000058.1?report=graph&amp;tracks=[key:gene_model_track,Options:GeneOnly]&amp;mk=2800776:2800795|offset_1|444444,2800739:2800758|offset_38|444444,2800684:2800703|offset_93|00cc00,2800650:2800669|offset_127|444444&amp;v=2800575:2800869&amp;c=444444", "offset 93")</f>
        <v>offset 93</v>
      </c>
    </row>
    <row r="8895" customFormat="false" ht="12.8" hidden="false" customHeight="false" outlineLevel="0" collapsed="false">
      <c r="A8895" s="0" t="s">
        <v>12</v>
      </c>
      <c r="B8895" s="0" t="n">
        <v>2800649</v>
      </c>
      <c r="C8895" s="0" t="n">
        <v>2800669</v>
      </c>
      <c r="D8895" s="0" t="s">
        <v>29580</v>
      </c>
      <c r="E8895" s="0" t="s">
        <v>75</v>
      </c>
      <c r="F8895" s="0" t="s">
        <v>90</v>
      </c>
      <c r="G8895" s="0" t="s">
        <v>20</v>
      </c>
      <c r="H8895" s="0" t="n">
        <v>127</v>
      </c>
      <c r="I8895" s="0" t="s">
        <v>29590</v>
      </c>
      <c r="J8895" s="0" t="s">
        <v>29591</v>
      </c>
      <c r="K8895" s="0" t="s">
        <v>29592</v>
      </c>
      <c r="L8895" s="0" t="str">
        <f aca="false">HYPERLINK("https://www.ncbi.nlm.nih.gov/nuccore/CP000058.1?report=graph&amp;tracks=[key:gene_model_track,Options:GeneOnly]&amp;mk=2800776:2800795|offset_1|444444,2800739:2800758|offset_38|444444,2800684:2800703|offset_93|444444,2800650:2800669|offset_127|00cc00&amp;v=2800575:2800869&amp;c=444444", "offset 127")</f>
        <v>offset 127</v>
      </c>
    </row>
    <row r="8896" customFormat="false" ht="12.8" hidden="false" customHeight="false" outlineLevel="0" collapsed="false">
      <c r="A8896" s="0" t="s">
        <v>12</v>
      </c>
      <c r="B8896" s="0" t="n">
        <v>2800944</v>
      </c>
      <c r="C8896" s="0" t="n">
        <v>2800964</v>
      </c>
      <c r="D8896" s="0" t="s">
        <v>29593</v>
      </c>
      <c r="E8896" s="0" t="s">
        <v>75</v>
      </c>
      <c r="F8896" s="0" t="s">
        <v>15</v>
      </c>
      <c r="G8896" s="0" t="s">
        <v>32</v>
      </c>
      <c r="H8896" s="0" t="n">
        <v>6</v>
      </c>
      <c r="I8896" s="0" t="s">
        <v>29594</v>
      </c>
      <c r="J8896" s="0" t="s">
        <v>29595</v>
      </c>
      <c r="K8896" s="0" t="s">
        <v>29596</v>
      </c>
      <c r="L8896" s="0" t="str">
        <f aca="false">HYPERLINK("https://www.ncbi.nlm.nih.gov/nuccore/CP000058.1?report=graph&amp;tracks=[key:gene_model_track,Options:GeneOnly]&amp;mk=2800945:2800964|offset_6|00cc00,2801001:2801020|offset_62|444444,2801021:2801040|offset_82|444444,2801049:2801068|offset_110|444444&amp;v=2800744:2801268&amp;c=444444", "offset 6")</f>
        <v>offset 6</v>
      </c>
    </row>
    <row r="8897" customFormat="false" ht="12.8" hidden="false" customHeight="false" outlineLevel="0" collapsed="false">
      <c r="A8897" s="0" t="s">
        <v>12</v>
      </c>
      <c r="B8897" s="0" t="n">
        <v>2801000</v>
      </c>
      <c r="C8897" s="0" t="n">
        <v>2801020</v>
      </c>
      <c r="D8897" s="0" t="s">
        <v>29593</v>
      </c>
      <c r="E8897" s="0" t="s">
        <v>75</v>
      </c>
      <c r="F8897" s="0" t="s">
        <v>15</v>
      </c>
      <c r="G8897" s="0" t="s">
        <v>36</v>
      </c>
      <c r="H8897" s="0" t="n">
        <v>62</v>
      </c>
      <c r="I8897" s="0" t="s">
        <v>29597</v>
      </c>
      <c r="J8897" s="0" t="s">
        <v>29598</v>
      </c>
      <c r="K8897" s="0" t="s">
        <v>29599</v>
      </c>
      <c r="L8897" s="0" t="str">
        <f aca="false">HYPERLINK("https://www.ncbi.nlm.nih.gov/nuccore/CP000058.1?report=graph&amp;tracks=[key:gene_model_track,Options:GeneOnly]&amp;mk=2800945:2800964|offset_6|444444,2801001:2801020|offset_62|00cc00,2801021:2801040|offset_82|444444,2801049:2801068|offset_110|444444&amp;v=2800744:2801268&amp;c=444444", "offset 62")</f>
        <v>offset 62</v>
      </c>
    </row>
    <row r="8898" customFormat="false" ht="12.8" hidden="false" customHeight="false" outlineLevel="0" collapsed="false">
      <c r="A8898" s="0" t="s">
        <v>12</v>
      </c>
      <c r="B8898" s="0" t="n">
        <v>2801020</v>
      </c>
      <c r="C8898" s="0" t="n">
        <v>2801040</v>
      </c>
      <c r="D8898" s="0" t="s">
        <v>29593</v>
      </c>
      <c r="E8898" s="0" t="s">
        <v>75</v>
      </c>
      <c r="F8898" s="0" t="s">
        <v>15</v>
      </c>
      <c r="G8898" s="0" t="s">
        <v>16</v>
      </c>
      <c r="H8898" s="0" t="n">
        <v>82</v>
      </c>
      <c r="I8898" s="0" t="s">
        <v>29600</v>
      </c>
      <c r="J8898" s="0" t="s">
        <v>29601</v>
      </c>
      <c r="K8898" s="0" t="s">
        <v>29602</v>
      </c>
      <c r="L8898" s="0" t="str">
        <f aca="false">HYPERLINK("https://www.ncbi.nlm.nih.gov/nuccore/CP000058.1?report=graph&amp;tracks=[key:gene_model_track,Options:GeneOnly]&amp;mk=2800945:2800964|offset_6|444444,2801001:2801020|offset_62|444444,2801021:2801040|offset_82|00cc00,2801049:2801068|offset_110|444444&amp;v=2800744:2801268&amp;c=444444", "offset 82")</f>
        <v>offset 82</v>
      </c>
    </row>
    <row r="8899" customFormat="false" ht="12.8" hidden="false" customHeight="false" outlineLevel="0" collapsed="false">
      <c r="A8899" s="0" t="s">
        <v>12</v>
      </c>
      <c r="B8899" s="0" t="n">
        <v>2801048</v>
      </c>
      <c r="C8899" s="0" t="n">
        <v>2801068</v>
      </c>
      <c r="D8899" s="0" t="s">
        <v>29593</v>
      </c>
      <c r="E8899" s="0" t="s">
        <v>75</v>
      </c>
      <c r="F8899" s="0" t="s">
        <v>15</v>
      </c>
      <c r="G8899" s="0" t="s">
        <v>16</v>
      </c>
      <c r="H8899" s="0" t="n">
        <v>110</v>
      </c>
      <c r="I8899" s="0" t="s">
        <v>29603</v>
      </c>
      <c r="J8899" s="0" t="s">
        <v>29604</v>
      </c>
      <c r="K8899" s="0" t="s">
        <v>29605</v>
      </c>
      <c r="L8899" s="0" t="str">
        <f aca="false">HYPERLINK("https://www.ncbi.nlm.nih.gov/nuccore/CP000058.1?report=graph&amp;tracks=[key:gene_model_track,Options:GeneOnly]&amp;mk=2800945:2800964|offset_6|444444,2801001:2801020|offset_62|444444,2801021:2801040|offset_82|444444,2801049:2801068|offset_110|00cc00&amp;v=2800744:2801268&amp;c=444444", "offset 110")</f>
        <v>offset 110</v>
      </c>
    </row>
    <row r="8900" customFormat="false" ht="12.8" hidden="false" customHeight="false" outlineLevel="0" collapsed="false">
      <c r="A8900" s="0" t="s">
        <v>12</v>
      </c>
      <c r="B8900" s="0" t="n">
        <v>2801749</v>
      </c>
      <c r="C8900" s="0" t="n">
        <v>2801769</v>
      </c>
      <c r="D8900" s="0" t="s">
        <v>29606</v>
      </c>
      <c r="E8900" s="0" t="s">
        <v>75</v>
      </c>
      <c r="F8900" s="0" t="s">
        <v>15</v>
      </c>
      <c r="G8900" s="0" t="s">
        <v>20</v>
      </c>
      <c r="H8900" s="0" t="n">
        <v>0</v>
      </c>
      <c r="I8900" s="0" t="s">
        <v>29607</v>
      </c>
      <c r="J8900" s="0" t="s">
        <v>29608</v>
      </c>
      <c r="K8900" s="0" t="s">
        <v>29609</v>
      </c>
      <c r="L8900" s="0" t="str">
        <f aca="false">HYPERLINK("https://www.ncbi.nlm.nih.gov/nuccore/CP000058.1?report=graph&amp;tracks=[key:gene_model_track,Options:GeneOnly]&amp;mk=2801750:2801769|offset_0|00cc00,2801784:2801803|offset_34|444444,2801808:2801827|offset_58|444444,2801838:2801857|offset_88|444444&amp;v=2801549:2802057&amp;c=444444", "offset 0")</f>
        <v>offset 0</v>
      </c>
    </row>
    <row r="8901" customFormat="false" ht="12.8" hidden="false" customHeight="false" outlineLevel="0" collapsed="false">
      <c r="A8901" s="0" t="s">
        <v>12</v>
      </c>
      <c r="B8901" s="0" t="n">
        <v>2801783</v>
      </c>
      <c r="C8901" s="0" t="n">
        <v>2801803</v>
      </c>
      <c r="D8901" s="0" t="s">
        <v>29606</v>
      </c>
      <c r="E8901" s="0" t="s">
        <v>75</v>
      </c>
      <c r="F8901" s="0" t="s">
        <v>15</v>
      </c>
      <c r="G8901" s="0" t="s">
        <v>36</v>
      </c>
      <c r="H8901" s="0" t="n">
        <v>34</v>
      </c>
      <c r="I8901" s="0" t="s">
        <v>29610</v>
      </c>
      <c r="J8901" s="0" t="s">
        <v>29611</v>
      </c>
      <c r="K8901" s="0" t="s">
        <v>29612</v>
      </c>
      <c r="L8901" s="0" t="str">
        <f aca="false">HYPERLINK("https://www.ncbi.nlm.nih.gov/nuccore/CP000058.1?report=graph&amp;tracks=[key:gene_model_track,Options:GeneOnly]&amp;mk=2801750:2801769|offset_0|444444,2801784:2801803|offset_34|00cc00,2801808:2801827|offset_58|444444,2801838:2801857|offset_88|444444&amp;v=2801549:2802057&amp;c=444444", "offset 34")</f>
        <v>offset 34</v>
      </c>
    </row>
    <row r="8902" customFormat="false" ht="12.8" hidden="false" customHeight="false" outlineLevel="0" collapsed="false">
      <c r="A8902" s="0" t="s">
        <v>12</v>
      </c>
      <c r="B8902" s="0" t="n">
        <v>2801807</v>
      </c>
      <c r="C8902" s="0" t="n">
        <v>2801827</v>
      </c>
      <c r="D8902" s="0" t="s">
        <v>29606</v>
      </c>
      <c r="E8902" s="0" t="s">
        <v>75</v>
      </c>
      <c r="F8902" s="0" t="s">
        <v>15</v>
      </c>
      <c r="G8902" s="0" t="s">
        <v>16</v>
      </c>
      <c r="H8902" s="0" t="n">
        <v>58</v>
      </c>
      <c r="I8902" s="0" t="s">
        <v>29613</v>
      </c>
      <c r="J8902" s="0" t="s">
        <v>29614</v>
      </c>
      <c r="K8902" s="0" t="s">
        <v>29615</v>
      </c>
      <c r="L8902" s="0" t="str">
        <f aca="false">HYPERLINK("https://www.ncbi.nlm.nih.gov/nuccore/CP000058.1?report=graph&amp;tracks=[key:gene_model_track,Options:GeneOnly]&amp;mk=2801750:2801769|offset_0|444444,2801784:2801803|offset_34|444444,2801808:2801827|offset_58|00cc00,2801838:2801857|offset_88|444444&amp;v=2801549:2802057&amp;c=444444", "offset 58")</f>
        <v>offset 58</v>
      </c>
    </row>
    <row r="8903" customFormat="false" ht="12.8" hidden="false" customHeight="false" outlineLevel="0" collapsed="false">
      <c r="A8903" s="0" t="s">
        <v>12</v>
      </c>
      <c r="B8903" s="0" t="n">
        <v>2801837</v>
      </c>
      <c r="C8903" s="0" t="n">
        <v>2801857</v>
      </c>
      <c r="D8903" s="0" t="s">
        <v>29606</v>
      </c>
      <c r="E8903" s="0" t="s">
        <v>75</v>
      </c>
      <c r="F8903" s="0" t="s">
        <v>15</v>
      </c>
      <c r="G8903" s="0" t="s">
        <v>16</v>
      </c>
      <c r="H8903" s="0" t="n">
        <v>88</v>
      </c>
      <c r="I8903" s="0" t="s">
        <v>29616</v>
      </c>
      <c r="J8903" s="0" t="s">
        <v>29617</v>
      </c>
      <c r="K8903" s="0" t="s">
        <v>29618</v>
      </c>
      <c r="L8903" s="0" t="str">
        <f aca="false">HYPERLINK("https://www.ncbi.nlm.nih.gov/nuccore/CP000058.1?report=graph&amp;tracks=[key:gene_model_track,Options:GeneOnly]&amp;mk=2801750:2801769|offset_0|444444,2801784:2801803|offset_34|444444,2801808:2801827|offset_58|444444,2801838:2801857|offset_88|00cc00&amp;v=2801549:2802057&amp;c=444444", "offset 88")</f>
        <v>offset 88</v>
      </c>
    </row>
    <row r="8904" customFormat="false" ht="12.8" hidden="false" customHeight="false" outlineLevel="0" collapsed="false">
      <c r="A8904" s="0" t="s">
        <v>12</v>
      </c>
      <c r="B8904" s="0" t="n">
        <v>2802134</v>
      </c>
      <c r="C8904" s="0" t="n">
        <v>2802154</v>
      </c>
      <c r="D8904" s="0" t="s">
        <v>29619</v>
      </c>
      <c r="E8904" s="0" t="s">
        <v>75</v>
      </c>
      <c r="F8904" s="0" t="s">
        <v>15</v>
      </c>
      <c r="G8904" s="0" t="s">
        <v>16</v>
      </c>
      <c r="H8904" s="0" t="n">
        <v>17</v>
      </c>
      <c r="I8904" s="0" t="s">
        <v>29620</v>
      </c>
      <c r="J8904" s="0" t="s">
        <v>29621</v>
      </c>
      <c r="K8904" s="0" t="s">
        <v>29622</v>
      </c>
      <c r="L8904" s="0" t="str">
        <f aca="false">HYPERLINK("https://www.ncbi.nlm.nih.gov/nuccore/CP000058.1?report=graph&amp;tracks=[key:gene_model_track,Options:GeneOnly]&amp;mk=2802135:2802154|offset_17|00cc00,2802182:2802201|offset_64|444444,2802210:2802229|offset_92|444444,2802249:2802268|offset_131|444444&amp;v=2801934:2802468&amp;c=444444", "offset 17")</f>
        <v>offset 17</v>
      </c>
    </row>
    <row r="8905" customFormat="false" ht="12.8" hidden="false" customHeight="false" outlineLevel="0" collapsed="false">
      <c r="A8905" s="0" t="s">
        <v>12</v>
      </c>
      <c r="B8905" s="0" t="n">
        <v>2802181</v>
      </c>
      <c r="C8905" s="0" t="n">
        <v>2802201</v>
      </c>
      <c r="D8905" s="0" t="s">
        <v>29619</v>
      </c>
      <c r="E8905" s="0" t="s">
        <v>75</v>
      </c>
      <c r="F8905" s="0" t="s">
        <v>15</v>
      </c>
      <c r="G8905" s="0" t="s">
        <v>16</v>
      </c>
      <c r="H8905" s="0" t="n">
        <v>64</v>
      </c>
      <c r="I8905" s="0" t="s">
        <v>29623</v>
      </c>
      <c r="J8905" s="0" t="s">
        <v>29624</v>
      </c>
      <c r="K8905" s="0" t="s">
        <v>29625</v>
      </c>
      <c r="L8905" s="0" t="str">
        <f aca="false">HYPERLINK("https://www.ncbi.nlm.nih.gov/nuccore/CP000058.1?report=graph&amp;tracks=[key:gene_model_track,Options:GeneOnly]&amp;mk=2802135:2802154|offset_17|444444,2802182:2802201|offset_64|00cc00,2802210:2802229|offset_92|444444,2802249:2802268|offset_131|444444&amp;v=2801934:2802468&amp;c=444444", "offset 64")</f>
        <v>offset 64</v>
      </c>
    </row>
    <row r="8906" customFormat="false" ht="12.8" hidden="false" customHeight="false" outlineLevel="0" collapsed="false">
      <c r="A8906" s="0" t="s">
        <v>12</v>
      </c>
      <c r="B8906" s="0" t="n">
        <v>2802209</v>
      </c>
      <c r="C8906" s="0" t="n">
        <v>2802229</v>
      </c>
      <c r="D8906" s="0" t="s">
        <v>29619</v>
      </c>
      <c r="E8906" s="0" t="s">
        <v>75</v>
      </c>
      <c r="F8906" s="0" t="s">
        <v>15</v>
      </c>
      <c r="G8906" s="0" t="s">
        <v>20</v>
      </c>
      <c r="H8906" s="0" t="n">
        <v>92</v>
      </c>
      <c r="I8906" s="0" t="s">
        <v>29626</v>
      </c>
      <c r="J8906" s="0" t="s">
        <v>29627</v>
      </c>
      <c r="K8906" s="0" t="s">
        <v>29628</v>
      </c>
      <c r="L8906" s="0" t="str">
        <f aca="false">HYPERLINK("https://www.ncbi.nlm.nih.gov/nuccore/CP000058.1?report=graph&amp;tracks=[key:gene_model_track,Options:GeneOnly]&amp;mk=2802135:2802154|offset_17|444444,2802182:2802201|offset_64|444444,2802210:2802229|offset_92|00cc00,2802249:2802268|offset_131|444444&amp;v=2801934:2802468&amp;c=444444", "offset 92")</f>
        <v>offset 92</v>
      </c>
    </row>
    <row r="8907" customFormat="false" ht="12.8" hidden="false" customHeight="false" outlineLevel="0" collapsed="false">
      <c r="A8907" s="0" t="s">
        <v>12</v>
      </c>
      <c r="B8907" s="0" t="n">
        <v>2802248</v>
      </c>
      <c r="C8907" s="0" t="n">
        <v>2802268</v>
      </c>
      <c r="D8907" s="0" t="s">
        <v>29619</v>
      </c>
      <c r="E8907" s="0" t="s">
        <v>75</v>
      </c>
      <c r="F8907" s="0" t="s">
        <v>15</v>
      </c>
      <c r="G8907" s="0" t="s">
        <v>32</v>
      </c>
      <c r="H8907" s="0" t="n">
        <v>131</v>
      </c>
      <c r="I8907" s="0" t="s">
        <v>29629</v>
      </c>
      <c r="J8907" s="0" t="s">
        <v>29630</v>
      </c>
      <c r="K8907" s="0" t="s">
        <v>29631</v>
      </c>
      <c r="L8907" s="0" t="str">
        <f aca="false">HYPERLINK("https://www.ncbi.nlm.nih.gov/nuccore/CP000058.1?report=graph&amp;tracks=[key:gene_model_track,Options:GeneOnly]&amp;mk=2802135:2802154|offset_17|444444,2802182:2802201|offset_64|444444,2802210:2802229|offset_92|444444,2802249:2802268|offset_131|00cc00&amp;v=2801934:2802468&amp;c=444444", "offset 131")</f>
        <v>offset 131</v>
      </c>
    </row>
    <row r="8908" customFormat="false" ht="12.8" hidden="false" customHeight="false" outlineLevel="0" collapsed="false">
      <c r="A8908" s="0" t="s">
        <v>12</v>
      </c>
      <c r="B8908" s="0" t="n">
        <v>2802809</v>
      </c>
      <c r="C8908" s="0" t="n">
        <v>2802829</v>
      </c>
      <c r="D8908" s="0" t="s">
        <v>29632</v>
      </c>
      <c r="E8908" s="0" t="s">
        <v>29633</v>
      </c>
      <c r="F8908" s="0" t="s">
        <v>15</v>
      </c>
      <c r="G8908" s="0" t="s">
        <v>16</v>
      </c>
      <c r="H8908" s="0" t="n">
        <v>12</v>
      </c>
      <c r="I8908" s="0" t="s">
        <v>29634</v>
      </c>
      <c r="J8908" s="0" t="s">
        <v>29635</v>
      </c>
      <c r="K8908" s="0" t="s">
        <v>29636</v>
      </c>
      <c r="L8908" s="0" t="str">
        <f aca="false">HYPERLINK("https://www.ncbi.nlm.nih.gov/nuccore/CP000058.1?report=graph&amp;tracks=[key:gene_model_track,Options:GeneOnly]&amp;mk=2802810:2802829|offset_12|00cc00,2802859:2802878|offset_61|444444,2802880:2802899|offset_82|444444,2802912:2802931|offset_114|444444&amp;v=2802609:2803131&amp;c=444444", "offset 12")</f>
        <v>offset 12</v>
      </c>
    </row>
    <row r="8909" customFormat="false" ht="12.8" hidden="false" customHeight="false" outlineLevel="0" collapsed="false">
      <c r="A8909" s="0" t="s">
        <v>12</v>
      </c>
      <c r="B8909" s="0" t="n">
        <v>2802858</v>
      </c>
      <c r="C8909" s="0" t="n">
        <v>2802878</v>
      </c>
      <c r="D8909" s="0" t="s">
        <v>29632</v>
      </c>
      <c r="E8909" s="0" t="s">
        <v>29633</v>
      </c>
      <c r="F8909" s="0" t="s">
        <v>15</v>
      </c>
      <c r="G8909" s="0" t="s">
        <v>16</v>
      </c>
      <c r="H8909" s="0" t="n">
        <v>61</v>
      </c>
      <c r="I8909" s="0" t="s">
        <v>29637</v>
      </c>
      <c r="J8909" s="0" t="s">
        <v>29638</v>
      </c>
      <c r="K8909" s="0" t="s">
        <v>29639</v>
      </c>
      <c r="L8909" s="0" t="str">
        <f aca="false">HYPERLINK("https://www.ncbi.nlm.nih.gov/nuccore/CP000058.1?report=graph&amp;tracks=[key:gene_model_track,Options:GeneOnly]&amp;mk=2802810:2802829|offset_12|444444,2802859:2802878|offset_61|00cc00,2802880:2802899|offset_82|444444,2802912:2802931|offset_114|444444&amp;v=2802609:2803131&amp;c=444444", "offset 61")</f>
        <v>offset 61</v>
      </c>
    </row>
    <row r="8910" customFormat="false" ht="12.8" hidden="false" customHeight="false" outlineLevel="0" collapsed="false">
      <c r="A8910" s="0" t="s">
        <v>12</v>
      </c>
      <c r="B8910" s="0" t="n">
        <v>2802879</v>
      </c>
      <c r="C8910" s="0" t="n">
        <v>2802899</v>
      </c>
      <c r="D8910" s="0" t="s">
        <v>29632</v>
      </c>
      <c r="E8910" s="0" t="s">
        <v>29633</v>
      </c>
      <c r="F8910" s="0" t="s">
        <v>15</v>
      </c>
      <c r="G8910" s="0" t="s">
        <v>20</v>
      </c>
      <c r="H8910" s="0" t="n">
        <v>82</v>
      </c>
      <c r="I8910" s="0" t="s">
        <v>29640</v>
      </c>
      <c r="J8910" s="0" t="s">
        <v>29641</v>
      </c>
      <c r="K8910" s="0" t="s">
        <v>29642</v>
      </c>
      <c r="L8910" s="0" t="str">
        <f aca="false">HYPERLINK("https://www.ncbi.nlm.nih.gov/nuccore/CP000058.1?report=graph&amp;tracks=[key:gene_model_track,Options:GeneOnly]&amp;mk=2802810:2802829|offset_12|444444,2802859:2802878|offset_61|444444,2802880:2802899|offset_82|00cc00,2802912:2802931|offset_114|444444&amp;v=2802609:2803131&amp;c=444444", "offset 82")</f>
        <v>offset 82</v>
      </c>
    </row>
    <row r="8911" customFormat="false" ht="12.8" hidden="false" customHeight="false" outlineLevel="0" collapsed="false">
      <c r="A8911" s="0" t="s">
        <v>12</v>
      </c>
      <c r="B8911" s="0" t="n">
        <v>2802911</v>
      </c>
      <c r="C8911" s="0" t="n">
        <v>2802931</v>
      </c>
      <c r="D8911" s="0" t="s">
        <v>29632</v>
      </c>
      <c r="E8911" s="0" t="s">
        <v>29633</v>
      </c>
      <c r="F8911" s="0" t="s">
        <v>15</v>
      </c>
      <c r="G8911" s="0" t="s">
        <v>20</v>
      </c>
      <c r="H8911" s="0" t="n">
        <v>114</v>
      </c>
      <c r="I8911" s="0" t="s">
        <v>29643</v>
      </c>
      <c r="J8911" s="0" t="s">
        <v>29644</v>
      </c>
      <c r="K8911" s="0" t="s">
        <v>29645</v>
      </c>
      <c r="L8911" s="0" t="str">
        <f aca="false">HYPERLINK("https://www.ncbi.nlm.nih.gov/nuccore/CP000058.1?report=graph&amp;tracks=[key:gene_model_track,Options:GeneOnly]&amp;mk=2802810:2802829|offset_12|444444,2802859:2802878|offset_61|444444,2802880:2802899|offset_82|444444,2802912:2802931|offset_114|00cc00&amp;v=2802609:2803131&amp;c=444444", "offset 114")</f>
        <v>offset 114</v>
      </c>
    </row>
    <row r="8912" customFormat="false" ht="12.8" hidden="false" customHeight="false" outlineLevel="0" collapsed="false">
      <c r="A8912" s="0" t="s">
        <v>12</v>
      </c>
      <c r="B8912" s="0" t="n">
        <v>2806631</v>
      </c>
      <c r="C8912" s="0" t="n">
        <v>2806651</v>
      </c>
      <c r="D8912" s="0" t="s">
        <v>29646</v>
      </c>
      <c r="E8912" s="0" t="s">
        <v>75</v>
      </c>
      <c r="F8912" s="0" t="s">
        <v>90</v>
      </c>
      <c r="G8912" s="0" t="s">
        <v>32</v>
      </c>
      <c r="H8912" s="0" t="n">
        <v>0</v>
      </c>
      <c r="I8912" s="0" t="s">
        <v>29647</v>
      </c>
      <c r="J8912" s="0" t="s">
        <v>29648</v>
      </c>
      <c r="K8912" s="0" t="s">
        <v>29649</v>
      </c>
      <c r="L8912" s="0" t="str">
        <f aca="false">HYPERLINK("https://www.ncbi.nlm.nih.gov/nuccore/CP000058.1?report=graph&amp;tracks=[key:gene_model_track,Options:GeneOnly]&amp;mk=2806632:2806651|offset_0|00cc00,2806599:2806618|offset_33|444444,2806579:2806598|offset_53|444444,2806555:2806574|offset_77|444444&amp;v=2806431:2806774&amp;c=444444", "offset 0")</f>
        <v>offset 0</v>
      </c>
    </row>
    <row r="8913" customFormat="false" ht="12.8" hidden="false" customHeight="false" outlineLevel="0" collapsed="false">
      <c r="A8913" s="0" t="s">
        <v>12</v>
      </c>
      <c r="B8913" s="0" t="n">
        <v>2806598</v>
      </c>
      <c r="C8913" s="0" t="n">
        <v>2806618</v>
      </c>
      <c r="D8913" s="0" t="s">
        <v>29646</v>
      </c>
      <c r="E8913" s="0" t="s">
        <v>75</v>
      </c>
      <c r="F8913" s="0" t="s">
        <v>90</v>
      </c>
      <c r="G8913" s="0" t="s">
        <v>20</v>
      </c>
      <c r="H8913" s="0" t="n">
        <v>33</v>
      </c>
      <c r="I8913" s="0" t="s">
        <v>29650</v>
      </c>
      <c r="J8913" s="0" t="s">
        <v>29651</v>
      </c>
      <c r="K8913" s="0" t="s">
        <v>29652</v>
      </c>
      <c r="L8913" s="0" t="str">
        <f aca="false">HYPERLINK("https://www.ncbi.nlm.nih.gov/nuccore/CP000058.1?report=graph&amp;tracks=[key:gene_model_track,Options:GeneOnly]&amp;mk=2806632:2806651|offset_0|444444,2806599:2806618|offset_33|00cc00,2806579:2806598|offset_53|444444,2806555:2806574|offset_77|444444&amp;v=2806431:2806774&amp;c=444444", "offset 33")</f>
        <v>offset 33</v>
      </c>
    </row>
    <row r="8914" customFormat="false" ht="12.8" hidden="false" customHeight="false" outlineLevel="0" collapsed="false">
      <c r="A8914" s="0" t="s">
        <v>12</v>
      </c>
      <c r="B8914" s="0" t="n">
        <v>2806578</v>
      </c>
      <c r="C8914" s="0" t="n">
        <v>2806598</v>
      </c>
      <c r="D8914" s="0" t="s">
        <v>29646</v>
      </c>
      <c r="E8914" s="0" t="s">
        <v>75</v>
      </c>
      <c r="F8914" s="0" t="s">
        <v>90</v>
      </c>
      <c r="G8914" s="0" t="s">
        <v>32</v>
      </c>
      <c r="H8914" s="0" t="n">
        <v>53</v>
      </c>
      <c r="I8914" s="0" t="s">
        <v>29653</v>
      </c>
      <c r="J8914" s="0" t="s">
        <v>29654</v>
      </c>
      <c r="K8914" s="0" t="s">
        <v>29655</v>
      </c>
      <c r="L8914" s="0" t="str">
        <f aca="false">HYPERLINK("https://www.ncbi.nlm.nih.gov/nuccore/CP000058.1?report=graph&amp;tracks=[key:gene_model_track,Options:GeneOnly]&amp;mk=2806632:2806651|offset_0|444444,2806599:2806618|offset_33|444444,2806579:2806598|offset_53|00cc00,2806555:2806574|offset_77|444444&amp;v=2806431:2806774&amp;c=444444", "offset 53")</f>
        <v>offset 53</v>
      </c>
    </row>
    <row r="8915" customFormat="false" ht="12.8" hidden="false" customHeight="false" outlineLevel="0" collapsed="false">
      <c r="A8915" s="0" t="s">
        <v>12</v>
      </c>
      <c r="B8915" s="0" t="n">
        <v>2806554</v>
      </c>
      <c r="C8915" s="0" t="n">
        <v>2806574</v>
      </c>
      <c r="D8915" s="0" t="s">
        <v>29646</v>
      </c>
      <c r="E8915" s="0" t="s">
        <v>75</v>
      </c>
      <c r="F8915" s="0" t="s">
        <v>90</v>
      </c>
      <c r="G8915" s="0" t="s">
        <v>20</v>
      </c>
      <c r="H8915" s="0" t="n">
        <v>77</v>
      </c>
      <c r="I8915" s="0" t="s">
        <v>29656</v>
      </c>
      <c r="J8915" s="0" t="s">
        <v>29657</v>
      </c>
      <c r="K8915" s="0" t="s">
        <v>29658</v>
      </c>
      <c r="L8915" s="0" t="str">
        <f aca="false">HYPERLINK("https://www.ncbi.nlm.nih.gov/nuccore/CP000058.1?report=graph&amp;tracks=[key:gene_model_track,Options:GeneOnly]&amp;mk=2806632:2806651|offset_0|444444,2806599:2806618|offset_33|444444,2806579:2806598|offset_53|444444,2806555:2806574|offset_77|00cc00&amp;v=2806431:2806774&amp;c=444444", "offset 77")</f>
        <v>offset 77</v>
      </c>
    </row>
    <row r="8916" customFormat="false" ht="12.8" hidden="false" customHeight="false" outlineLevel="0" collapsed="false">
      <c r="A8916" s="0" t="s">
        <v>12</v>
      </c>
      <c r="B8916" s="0" t="n">
        <v>2806931</v>
      </c>
      <c r="C8916" s="0" t="n">
        <v>2806951</v>
      </c>
      <c r="D8916" s="0" t="s">
        <v>29659</v>
      </c>
      <c r="E8916" s="0" t="s">
        <v>29660</v>
      </c>
      <c r="F8916" s="0" t="s">
        <v>15</v>
      </c>
      <c r="G8916" s="0" t="s">
        <v>36</v>
      </c>
      <c r="H8916" s="0" t="n">
        <v>22</v>
      </c>
      <c r="I8916" s="0" t="s">
        <v>29661</v>
      </c>
      <c r="J8916" s="0" t="s">
        <v>29662</v>
      </c>
      <c r="K8916" s="0" t="s">
        <v>29663</v>
      </c>
      <c r="L8916" s="0" t="str">
        <f aca="false">HYPERLINK("https://www.ncbi.nlm.nih.gov/nuccore/CP000058.1?report=graph&amp;tracks=[key:gene_model_track,Options:GeneOnly]&amp;mk=2806932:2806951|offset_22|00cc00,2806959:2806978|offset_49|444444,2806988:2807007|offset_78|444444,2807009:2807028|offset_99|444444&amp;v=2806731:2807228&amp;c=444444", "offset 22")</f>
        <v>offset 22</v>
      </c>
    </row>
    <row r="8917" customFormat="false" ht="12.8" hidden="false" customHeight="false" outlineLevel="0" collapsed="false">
      <c r="A8917" s="0" t="s">
        <v>12</v>
      </c>
      <c r="B8917" s="0" t="n">
        <v>2806958</v>
      </c>
      <c r="C8917" s="0" t="n">
        <v>2806978</v>
      </c>
      <c r="D8917" s="0" t="s">
        <v>29659</v>
      </c>
      <c r="E8917" s="0" t="s">
        <v>29660</v>
      </c>
      <c r="F8917" s="0" t="s">
        <v>15</v>
      </c>
      <c r="G8917" s="0" t="s">
        <v>16</v>
      </c>
      <c r="H8917" s="0" t="n">
        <v>49</v>
      </c>
      <c r="I8917" s="0" t="s">
        <v>29664</v>
      </c>
      <c r="J8917" s="0" t="s">
        <v>29665</v>
      </c>
      <c r="K8917" s="0" t="s">
        <v>29666</v>
      </c>
      <c r="L8917" s="0" t="str">
        <f aca="false">HYPERLINK("https://www.ncbi.nlm.nih.gov/nuccore/CP000058.1?report=graph&amp;tracks=[key:gene_model_track,Options:GeneOnly]&amp;mk=2806932:2806951|offset_22|444444,2806959:2806978|offset_49|00cc00,2806988:2807007|offset_78|444444,2807009:2807028|offset_99|444444&amp;v=2806731:2807228&amp;c=444444", "offset 49")</f>
        <v>offset 49</v>
      </c>
    </row>
    <row r="8918" customFormat="false" ht="12.8" hidden="false" customHeight="false" outlineLevel="0" collapsed="false">
      <c r="A8918" s="0" t="s">
        <v>12</v>
      </c>
      <c r="B8918" s="0" t="n">
        <v>2806987</v>
      </c>
      <c r="C8918" s="0" t="n">
        <v>2807007</v>
      </c>
      <c r="D8918" s="0" t="s">
        <v>29659</v>
      </c>
      <c r="E8918" s="0" t="s">
        <v>29660</v>
      </c>
      <c r="F8918" s="0" t="s">
        <v>15</v>
      </c>
      <c r="G8918" s="0" t="s">
        <v>20</v>
      </c>
      <c r="H8918" s="0" t="n">
        <v>78</v>
      </c>
      <c r="I8918" s="0" t="s">
        <v>29667</v>
      </c>
      <c r="J8918" s="0" t="s">
        <v>29668</v>
      </c>
      <c r="K8918" s="0" t="s">
        <v>29669</v>
      </c>
      <c r="L8918" s="0" t="str">
        <f aca="false">HYPERLINK("https://www.ncbi.nlm.nih.gov/nuccore/CP000058.1?report=graph&amp;tracks=[key:gene_model_track,Options:GeneOnly]&amp;mk=2806932:2806951|offset_22|444444,2806959:2806978|offset_49|444444,2806988:2807007|offset_78|00cc00,2807009:2807028|offset_99|444444&amp;v=2806731:2807228&amp;c=444444", "offset 78")</f>
        <v>offset 78</v>
      </c>
    </row>
    <row r="8919" customFormat="false" ht="12.8" hidden="false" customHeight="false" outlineLevel="0" collapsed="false">
      <c r="A8919" s="0" t="s">
        <v>12</v>
      </c>
      <c r="B8919" s="0" t="n">
        <v>2807008</v>
      </c>
      <c r="C8919" s="0" t="n">
        <v>2807028</v>
      </c>
      <c r="D8919" s="0" t="s">
        <v>29659</v>
      </c>
      <c r="E8919" s="0" t="s">
        <v>29660</v>
      </c>
      <c r="F8919" s="0" t="s">
        <v>15</v>
      </c>
      <c r="G8919" s="0" t="s">
        <v>36</v>
      </c>
      <c r="H8919" s="0" t="n">
        <v>99</v>
      </c>
      <c r="I8919" s="0" t="s">
        <v>29670</v>
      </c>
      <c r="J8919" s="0" t="s">
        <v>29671</v>
      </c>
      <c r="K8919" s="0" t="s">
        <v>29672</v>
      </c>
      <c r="L8919" s="0" t="str">
        <f aca="false">HYPERLINK("https://www.ncbi.nlm.nih.gov/nuccore/CP000058.1?report=graph&amp;tracks=[key:gene_model_track,Options:GeneOnly]&amp;mk=2806932:2806951|offset_22|444444,2806959:2806978|offset_49|444444,2806988:2807007|offset_78|444444,2807009:2807028|offset_99|00cc00&amp;v=2806731:2807228&amp;c=444444", "offset 99")</f>
        <v>offset 99</v>
      </c>
    </row>
    <row r="8920" customFormat="false" ht="12.8" hidden="false" customHeight="false" outlineLevel="0" collapsed="false">
      <c r="A8920" s="0" t="s">
        <v>12</v>
      </c>
      <c r="B8920" s="0" t="n">
        <v>2808485</v>
      </c>
      <c r="C8920" s="0" t="n">
        <v>2808505</v>
      </c>
      <c r="D8920" s="0" t="s">
        <v>29673</v>
      </c>
      <c r="E8920" s="0" t="s">
        <v>75</v>
      </c>
      <c r="F8920" s="0" t="s">
        <v>15</v>
      </c>
      <c r="G8920" s="0" t="s">
        <v>20</v>
      </c>
      <c r="H8920" s="0" t="n">
        <v>8</v>
      </c>
      <c r="I8920" s="0" t="s">
        <v>29674</v>
      </c>
      <c r="J8920" s="0" t="s">
        <v>29675</v>
      </c>
      <c r="K8920" s="0" t="s">
        <v>29676</v>
      </c>
      <c r="L8920" s="0" t="str">
        <f aca="false">HYPERLINK("https://www.ncbi.nlm.nih.gov/nuccore/CP000058.1?report=graph&amp;tracks=[key:gene_model_track,Options:GeneOnly]&amp;mk=2808486:2808505|offset_8|00cc00,2808521:2808540|offset_43|444444,2808569:2808588|offset_91|444444,2808598:2808617|offset_120|444444&amp;v=2808285:2808817&amp;c=444444", "offset 8")</f>
        <v>offset 8</v>
      </c>
    </row>
    <row r="8921" customFormat="false" ht="12.8" hidden="false" customHeight="false" outlineLevel="0" collapsed="false">
      <c r="A8921" s="0" t="s">
        <v>12</v>
      </c>
      <c r="B8921" s="0" t="n">
        <v>2808520</v>
      </c>
      <c r="C8921" s="0" t="n">
        <v>2808540</v>
      </c>
      <c r="D8921" s="0" t="s">
        <v>29673</v>
      </c>
      <c r="E8921" s="0" t="s">
        <v>75</v>
      </c>
      <c r="F8921" s="0" t="s">
        <v>15</v>
      </c>
      <c r="G8921" s="0" t="s">
        <v>20</v>
      </c>
      <c r="H8921" s="0" t="n">
        <v>43</v>
      </c>
      <c r="I8921" s="0" t="s">
        <v>29677</v>
      </c>
      <c r="J8921" s="0" t="s">
        <v>29678</v>
      </c>
      <c r="K8921" s="0" t="s">
        <v>29679</v>
      </c>
      <c r="L8921" s="0" t="str">
        <f aca="false">HYPERLINK("https://www.ncbi.nlm.nih.gov/nuccore/CP000058.1?report=graph&amp;tracks=[key:gene_model_track,Options:GeneOnly]&amp;mk=2808486:2808505|offset_8|444444,2808521:2808540|offset_43|00cc00,2808569:2808588|offset_91|444444,2808598:2808617|offset_120|444444&amp;v=2808285:2808817&amp;c=444444", "offset 43")</f>
        <v>offset 43</v>
      </c>
    </row>
    <row r="8922" customFormat="false" ht="12.8" hidden="false" customHeight="false" outlineLevel="0" collapsed="false">
      <c r="A8922" s="0" t="s">
        <v>12</v>
      </c>
      <c r="B8922" s="0" t="n">
        <v>2808568</v>
      </c>
      <c r="C8922" s="0" t="n">
        <v>2808588</v>
      </c>
      <c r="D8922" s="0" t="s">
        <v>29673</v>
      </c>
      <c r="E8922" s="0" t="s">
        <v>75</v>
      </c>
      <c r="F8922" s="0" t="s">
        <v>15</v>
      </c>
      <c r="G8922" s="0" t="s">
        <v>32</v>
      </c>
      <c r="H8922" s="0" t="n">
        <v>91</v>
      </c>
      <c r="I8922" s="0" t="s">
        <v>29680</v>
      </c>
      <c r="J8922" s="0" t="s">
        <v>29681</v>
      </c>
      <c r="K8922" s="0" t="s">
        <v>29682</v>
      </c>
      <c r="L8922" s="0" t="str">
        <f aca="false">HYPERLINK("https://www.ncbi.nlm.nih.gov/nuccore/CP000058.1?report=graph&amp;tracks=[key:gene_model_track,Options:GeneOnly]&amp;mk=2808486:2808505|offset_8|444444,2808521:2808540|offset_43|444444,2808569:2808588|offset_91|00cc00,2808598:2808617|offset_120|444444&amp;v=2808285:2808817&amp;c=444444", "offset 91")</f>
        <v>offset 91</v>
      </c>
    </row>
    <row r="8923" customFormat="false" ht="12.8" hidden="false" customHeight="false" outlineLevel="0" collapsed="false">
      <c r="A8923" s="0" t="s">
        <v>12</v>
      </c>
      <c r="B8923" s="0" t="n">
        <v>2808597</v>
      </c>
      <c r="C8923" s="0" t="n">
        <v>2808617</v>
      </c>
      <c r="D8923" s="0" t="s">
        <v>29673</v>
      </c>
      <c r="E8923" s="0" t="s">
        <v>75</v>
      </c>
      <c r="F8923" s="0" t="s">
        <v>15</v>
      </c>
      <c r="G8923" s="0" t="s">
        <v>16</v>
      </c>
      <c r="H8923" s="0" t="n">
        <v>120</v>
      </c>
      <c r="I8923" s="0" t="s">
        <v>29683</v>
      </c>
      <c r="J8923" s="0" t="s">
        <v>29684</v>
      </c>
      <c r="K8923" s="0" t="s">
        <v>29685</v>
      </c>
      <c r="L8923" s="0" t="str">
        <f aca="false">HYPERLINK("https://www.ncbi.nlm.nih.gov/nuccore/CP000058.1?report=graph&amp;tracks=[key:gene_model_track,Options:GeneOnly]&amp;mk=2808486:2808505|offset_8|444444,2808521:2808540|offset_43|444444,2808569:2808588|offset_91|444444,2808598:2808617|offset_120|00cc00&amp;v=2808285:2808817&amp;c=444444", "offset 120")</f>
        <v>offset 120</v>
      </c>
    </row>
    <row r="8924" customFormat="false" ht="12.8" hidden="false" customHeight="false" outlineLevel="0" collapsed="false">
      <c r="A8924" s="0" t="s">
        <v>12</v>
      </c>
      <c r="B8924" s="0" t="n">
        <v>2809335</v>
      </c>
      <c r="C8924" s="0" t="n">
        <v>2809355</v>
      </c>
      <c r="D8924" s="0" t="s">
        <v>29686</v>
      </c>
      <c r="E8924" s="0" t="s">
        <v>75</v>
      </c>
      <c r="F8924" s="0" t="s">
        <v>15</v>
      </c>
      <c r="G8924" s="0" t="s">
        <v>36</v>
      </c>
      <c r="H8924" s="0" t="n">
        <v>6</v>
      </c>
      <c r="I8924" s="0" t="s">
        <v>29687</v>
      </c>
      <c r="J8924" s="0" t="s">
        <v>29688</v>
      </c>
      <c r="K8924" s="0" t="s">
        <v>29689</v>
      </c>
      <c r="L8924" s="0" t="str">
        <f aca="false">HYPERLINK("https://www.ncbi.nlm.nih.gov/nuccore/CP000058.1?report=graph&amp;tracks=[key:gene_model_track,Options:GeneOnly]&amp;mk=2809336:2809355|offset_6|00cc00,2809364:2809383|offset_34|444444,2809391:2809410|offset_61|444444,2809411:2809430|offset_81|444444&amp;v=2809135:2809630&amp;c=444444", "offset 6")</f>
        <v>offset 6</v>
      </c>
    </row>
    <row r="8925" customFormat="false" ht="12.8" hidden="false" customHeight="false" outlineLevel="0" collapsed="false">
      <c r="A8925" s="0" t="s">
        <v>12</v>
      </c>
      <c r="B8925" s="0" t="n">
        <v>2809363</v>
      </c>
      <c r="C8925" s="0" t="n">
        <v>2809383</v>
      </c>
      <c r="D8925" s="0" t="s">
        <v>29686</v>
      </c>
      <c r="E8925" s="0" t="s">
        <v>75</v>
      </c>
      <c r="F8925" s="0" t="s">
        <v>15</v>
      </c>
      <c r="G8925" s="0" t="s">
        <v>16</v>
      </c>
      <c r="H8925" s="0" t="n">
        <v>34</v>
      </c>
      <c r="I8925" s="0" t="s">
        <v>29690</v>
      </c>
      <c r="J8925" s="0" t="s">
        <v>29691</v>
      </c>
      <c r="K8925" s="0" t="s">
        <v>29692</v>
      </c>
      <c r="L8925" s="0" t="str">
        <f aca="false">HYPERLINK("https://www.ncbi.nlm.nih.gov/nuccore/CP000058.1?report=graph&amp;tracks=[key:gene_model_track,Options:GeneOnly]&amp;mk=2809336:2809355|offset_6|444444,2809364:2809383|offset_34|00cc00,2809391:2809410|offset_61|444444,2809411:2809430|offset_81|444444&amp;v=2809135:2809630&amp;c=444444", "offset 34")</f>
        <v>offset 34</v>
      </c>
    </row>
    <row r="8926" customFormat="false" ht="12.8" hidden="false" customHeight="false" outlineLevel="0" collapsed="false">
      <c r="A8926" s="0" t="s">
        <v>12</v>
      </c>
      <c r="B8926" s="0" t="n">
        <v>2809390</v>
      </c>
      <c r="C8926" s="0" t="n">
        <v>2809410</v>
      </c>
      <c r="D8926" s="0" t="s">
        <v>29686</v>
      </c>
      <c r="E8926" s="0" t="s">
        <v>75</v>
      </c>
      <c r="F8926" s="0" t="s">
        <v>15</v>
      </c>
      <c r="G8926" s="0" t="s">
        <v>32</v>
      </c>
      <c r="H8926" s="0" t="n">
        <v>61</v>
      </c>
      <c r="I8926" s="0" t="s">
        <v>29693</v>
      </c>
      <c r="J8926" s="0" t="s">
        <v>29694</v>
      </c>
      <c r="K8926" s="0" t="s">
        <v>29695</v>
      </c>
      <c r="L8926" s="0" t="str">
        <f aca="false">HYPERLINK("https://www.ncbi.nlm.nih.gov/nuccore/CP000058.1?report=graph&amp;tracks=[key:gene_model_track,Options:GeneOnly]&amp;mk=2809336:2809355|offset_6|444444,2809364:2809383|offset_34|444444,2809391:2809410|offset_61|00cc00,2809411:2809430|offset_81|444444&amp;v=2809135:2809630&amp;c=444444", "offset 61")</f>
        <v>offset 61</v>
      </c>
    </row>
    <row r="8927" customFormat="false" ht="12.8" hidden="false" customHeight="false" outlineLevel="0" collapsed="false">
      <c r="A8927" s="0" t="s">
        <v>12</v>
      </c>
      <c r="B8927" s="0" t="n">
        <v>2809410</v>
      </c>
      <c r="C8927" s="0" t="n">
        <v>2809430</v>
      </c>
      <c r="D8927" s="0" t="s">
        <v>29686</v>
      </c>
      <c r="E8927" s="0" t="s">
        <v>75</v>
      </c>
      <c r="F8927" s="0" t="s">
        <v>15</v>
      </c>
      <c r="G8927" s="0" t="s">
        <v>36</v>
      </c>
      <c r="H8927" s="0" t="n">
        <v>81</v>
      </c>
      <c r="I8927" s="0" t="s">
        <v>29696</v>
      </c>
      <c r="J8927" s="0" t="s">
        <v>29697</v>
      </c>
      <c r="K8927" s="0" t="s">
        <v>29698</v>
      </c>
      <c r="L8927" s="0" t="str">
        <f aca="false">HYPERLINK("https://www.ncbi.nlm.nih.gov/nuccore/CP000058.1?report=graph&amp;tracks=[key:gene_model_track,Options:GeneOnly]&amp;mk=2809336:2809355|offset_6|444444,2809364:2809383|offset_34|444444,2809391:2809410|offset_61|444444,2809411:2809430|offset_81|00cc00&amp;v=2809135:2809630&amp;c=444444", "offset 81")</f>
        <v>offset 81</v>
      </c>
    </row>
    <row r="8928" customFormat="false" ht="12.8" hidden="false" customHeight="false" outlineLevel="0" collapsed="false">
      <c r="A8928" s="0" t="s">
        <v>12</v>
      </c>
      <c r="B8928" s="0" t="n">
        <v>2811913</v>
      </c>
      <c r="C8928" s="0" t="n">
        <v>2811933</v>
      </c>
      <c r="D8928" s="0" t="s">
        <v>29699</v>
      </c>
      <c r="E8928" s="0" t="s">
        <v>75</v>
      </c>
      <c r="F8928" s="0" t="s">
        <v>90</v>
      </c>
      <c r="G8928" s="0" t="s">
        <v>32</v>
      </c>
      <c r="H8928" s="0" t="n">
        <v>1</v>
      </c>
      <c r="I8928" s="0" t="s">
        <v>29700</v>
      </c>
      <c r="J8928" s="0" t="s">
        <v>29701</v>
      </c>
      <c r="K8928" s="0" t="s">
        <v>29702</v>
      </c>
      <c r="L8928" s="0" t="str">
        <f aca="false">HYPERLINK("https://www.ncbi.nlm.nih.gov/nuccore/CP000058.1?report=graph&amp;tracks=[key:gene_model_track,Options:GeneOnly]&amp;mk=2811914:2811933|offset_1|00cc00,2811881:2811900|offset_34|444444,2811838:2811857|offset_77|444444,2811791:2811810|offset_124|444444&amp;v=2811713:2812010&amp;c=444444", "offset 1")</f>
        <v>offset 1</v>
      </c>
    </row>
    <row r="8929" customFormat="false" ht="12.8" hidden="false" customHeight="false" outlineLevel="0" collapsed="false">
      <c r="A8929" s="0" t="s">
        <v>12</v>
      </c>
      <c r="B8929" s="0" t="n">
        <v>2811880</v>
      </c>
      <c r="C8929" s="0" t="n">
        <v>2811900</v>
      </c>
      <c r="D8929" s="0" t="s">
        <v>29699</v>
      </c>
      <c r="E8929" s="0" t="s">
        <v>75</v>
      </c>
      <c r="F8929" s="0" t="s">
        <v>90</v>
      </c>
      <c r="G8929" s="0" t="s">
        <v>32</v>
      </c>
      <c r="H8929" s="0" t="n">
        <v>34</v>
      </c>
      <c r="I8929" s="0" t="s">
        <v>29703</v>
      </c>
      <c r="J8929" s="0" t="s">
        <v>29704</v>
      </c>
      <c r="K8929" s="0" t="s">
        <v>29705</v>
      </c>
      <c r="L8929" s="0" t="str">
        <f aca="false">HYPERLINK("https://www.ncbi.nlm.nih.gov/nuccore/CP000058.1?report=graph&amp;tracks=[key:gene_model_track,Options:GeneOnly]&amp;mk=2811914:2811933|offset_1|444444,2811881:2811900|offset_34|00cc00,2811838:2811857|offset_77|444444,2811791:2811810|offset_124|444444&amp;v=2811713:2812010&amp;c=444444", "offset 34")</f>
        <v>offset 34</v>
      </c>
    </row>
    <row r="8930" customFormat="false" ht="12.8" hidden="false" customHeight="false" outlineLevel="0" collapsed="false">
      <c r="A8930" s="0" t="s">
        <v>12</v>
      </c>
      <c r="B8930" s="0" t="n">
        <v>2811837</v>
      </c>
      <c r="C8930" s="0" t="n">
        <v>2811857</v>
      </c>
      <c r="D8930" s="0" t="s">
        <v>29699</v>
      </c>
      <c r="E8930" s="0" t="s">
        <v>75</v>
      </c>
      <c r="F8930" s="0" t="s">
        <v>90</v>
      </c>
      <c r="G8930" s="0" t="s">
        <v>20</v>
      </c>
      <c r="H8930" s="0" t="n">
        <v>77</v>
      </c>
      <c r="I8930" s="0" t="s">
        <v>29706</v>
      </c>
      <c r="J8930" s="0" t="s">
        <v>29707</v>
      </c>
      <c r="K8930" s="0" t="s">
        <v>29708</v>
      </c>
      <c r="L8930" s="0" t="str">
        <f aca="false">HYPERLINK("https://www.ncbi.nlm.nih.gov/nuccore/CP000058.1?report=graph&amp;tracks=[key:gene_model_track,Options:GeneOnly]&amp;mk=2811914:2811933|offset_1|444444,2811881:2811900|offset_34|444444,2811838:2811857|offset_77|00cc00,2811791:2811810|offset_124|444444&amp;v=2811713:2812010&amp;c=444444", "offset 77")</f>
        <v>offset 77</v>
      </c>
    </row>
    <row r="8931" customFormat="false" ht="12.8" hidden="false" customHeight="false" outlineLevel="0" collapsed="false">
      <c r="A8931" s="0" t="s">
        <v>12</v>
      </c>
      <c r="B8931" s="0" t="n">
        <v>2811790</v>
      </c>
      <c r="C8931" s="0" t="n">
        <v>2811810</v>
      </c>
      <c r="D8931" s="0" t="s">
        <v>29699</v>
      </c>
      <c r="E8931" s="0" t="s">
        <v>75</v>
      </c>
      <c r="F8931" s="0" t="s">
        <v>90</v>
      </c>
      <c r="G8931" s="0" t="s">
        <v>36</v>
      </c>
      <c r="H8931" s="0" t="n">
        <v>124</v>
      </c>
      <c r="I8931" s="0" t="s">
        <v>29709</v>
      </c>
      <c r="J8931" s="0" t="s">
        <v>29710</v>
      </c>
      <c r="K8931" s="0" t="s">
        <v>29711</v>
      </c>
      <c r="L8931" s="0" t="str">
        <f aca="false">HYPERLINK("https://www.ncbi.nlm.nih.gov/nuccore/CP000058.1?report=graph&amp;tracks=[key:gene_model_track,Options:GeneOnly]&amp;mk=2811914:2811933|offset_1|444444,2811881:2811900|offset_34|444444,2811838:2811857|offset_77|444444,2811791:2811810|offset_124|00cc00&amp;v=2811713:2812010&amp;c=444444", "offset 124")</f>
        <v>offset 124</v>
      </c>
    </row>
    <row r="8932" customFormat="false" ht="12.8" hidden="false" customHeight="false" outlineLevel="0" collapsed="false">
      <c r="A8932" s="0" t="s">
        <v>12</v>
      </c>
      <c r="B8932" s="0" t="n">
        <v>2814077</v>
      </c>
      <c r="C8932" s="0" t="n">
        <v>2814097</v>
      </c>
      <c r="D8932" s="0" t="s">
        <v>29712</v>
      </c>
      <c r="E8932" s="0" t="s">
        <v>75</v>
      </c>
      <c r="F8932" s="0" t="s">
        <v>90</v>
      </c>
      <c r="G8932" s="0" t="s">
        <v>32</v>
      </c>
      <c r="H8932" s="0" t="n">
        <v>7</v>
      </c>
      <c r="I8932" s="0" t="s">
        <v>29713</v>
      </c>
      <c r="J8932" s="0" t="s">
        <v>29714</v>
      </c>
      <c r="K8932" s="0" t="s">
        <v>29715</v>
      </c>
      <c r="L8932" s="0" t="str">
        <f aca="false">HYPERLINK("https://www.ncbi.nlm.nih.gov/nuccore/CP000058.1?report=graph&amp;tracks=[key:gene_model_track,Options:GeneOnly]&amp;mk=2814078:2814097|offset_7|00cc00,2814050:2814069|offset_35|444444,2814030:2814049|offset_55|444444,2813979:2813998|offset_106|444444&amp;v=2813877:2814198&amp;c=444444", "offset 7")</f>
        <v>offset 7</v>
      </c>
    </row>
    <row r="8933" customFormat="false" ht="12.8" hidden="false" customHeight="false" outlineLevel="0" collapsed="false">
      <c r="A8933" s="0" t="s">
        <v>12</v>
      </c>
      <c r="B8933" s="0" t="n">
        <v>2814049</v>
      </c>
      <c r="C8933" s="0" t="n">
        <v>2814069</v>
      </c>
      <c r="D8933" s="0" t="s">
        <v>29712</v>
      </c>
      <c r="E8933" s="0" t="s">
        <v>75</v>
      </c>
      <c r="F8933" s="0" t="s">
        <v>90</v>
      </c>
      <c r="G8933" s="0" t="s">
        <v>32</v>
      </c>
      <c r="H8933" s="0" t="n">
        <v>35</v>
      </c>
      <c r="I8933" s="0" t="s">
        <v>29716</v>
      </c>
      <c r="J8933" s="0" t="s">
        <v>29717</v>
      </c>
      <c r="K8933" s="0" t="s">
        <v>29718</v>
      </c>
      <c r="L8933" s="0" t="str">
        <f aca="false">HYPERLINK("https://www.ncbi.nlm.nih.gov/nuccore/CP000058.1?report=graph&amp;tracks=[key:gene_model_track,Options:GeneOnly]&amp;mk=2814078:2814097|offset_7|444444,2814050:2814069|offset_35|00cc00,2814030:2814049|offset_55|444444,2813979:2813998|offset_106|444444&amp;v=2813877:2814198&amp;c=444444", "offset 35")</f>
        <v>offset 35</v>
      </c>
    </row>
    <row r="8934" customFormat="false" ht="12.8" hidden="false" customHeight="false" outlineLevel="0" collapsed="false">
      <c r="A8934" s="0" t="s">
        <v>12</v>
      </c>
      <c r="B8934" s="0" t="n">
        <v>2814029</v>
      </c>
      <c r="C8934" s="0" t="n">
        <v>2814049</v>
      </c>
      <c r="D8934" s="0" t="s">
        <v>29712</v>
      </c>
      <c r="E8934" s="0" t="s">
        <v>75</v>
      </c>
      <c r="F8934" s="0" t="s">
        <v>90</v>
      </c>
      <c r="G8934" s="0" t="s">
        <v>16</v>
      </c>
      <c r="H8934" s="0" t="n">
        <v>55</v>
      </c>
      <c r="I8934" s="0" t="s">
        <v>29719</v>
      </c>
      <c r="J8934" s="0" t="s">
        <v>29720</v>
      </c>
      <c r="K8934" s="0" t="s">
        <v>29721</v>
      </c>
      <c r="L8934" s="0" t="str">
        <f aca="false">HYPERLINK("https://www.ncbi.nlm.nih.gov/nuccore/CP000058.1?report=graph&amp;tracks=[key:gene_model_track,Options:GeneOnly]&amp;mk=2814078:2814097|offset_7|444444,2814050:2814069|offset_35|444444,2814030:2814049|offset_55|00cc00,2813979:2813998|offset_106|444444&amp;v=2813877:2814198&amp;c=444444", "offset 55")</f>
        <v>offset 55</v>
      </c>
    </row>
    <row r="8935" customFormat="false" ht="12.8" hidden="false" customHeight="false" outlineLevel="0" collapsed="false">
      <c r="A8935" s="0" t="s">
        <v>12</v>
      </c>
      <c r="B8935" s="0" t="n">
        <v>2813978</v>
      </c>
      <c r="C8935" s="0" t="n">
        <v>2813998</v>
      </c>
      <c r="D8935" s="0" t="s">
        <v>29712</v>
      </c>
      <c r="E8935" s="0" t="s">
        <v>75</v>
      </c>
      <c r="F8935" s="0" t="s">
        <v>90</v>
      </c>
      <c r="G8935" s="0" t="s">
        <v>32</v>
      </c>
      <c r="H8935" s="0" t="n">
        <v>106</v>
      </c>
      <c r="I8935" s="0" t="s">
        <v>29722</v>
      </c>
      <c r="J8935" s="0" t="s">
        <v>29723</v>
      </c>
      <c r="K8935" s="0" t="s">
        <v>29724</v>
      </c>
      <c r="L8935" s="0" t="str">
        <f aca="false">HYPERLINK("https://www.ncbi.nlm.nih.gov/nuccore/CP000058.1?report=graph&amp;tracks=[key:gene_model_track,Options:GeneOnly]&amp;mk=2814078:2814097|offset_7|444444,2814050:2814069|offset_35|444444,2814030:2814049|offset_55|444444,2813979:2813998|offset_106|00cc00&amp;v=2813877:2814198&amp;c=444444", "offset 106")</f>
        <v>offset 106</v>
      </c>
    </row>
    <row r="8936" customFormat="false" ht="12.8" hidden="false" customHeight="false" outlineLevel="0" collapsed="false">
      <c r="A8936" s="0" t="s">
        <v>12</v>
      </c>
      <c r="B8936" s="0" t="n">
        <v>2814315</v>
      </c>
      <c r="C8936" s="0" t="n">
        <v>2814335</v>
      </c>
      <c r="D8936" s="0" t="s">
        <v>29725</v>
      </c>
      <c r="E8936" s="0" t="s">
        <v>75</v>
      </c>
      <c r="F8936" s="0" t="s">
        <v>15</v>
      </c>
      <c r="G8936" s="0" t="s">
        <v>32</v>
      </c>
      <c r="H8936" s="0" t="n">
        <v>1</v>
      </c>
      <c r="I8936" s="0" t="s">
        <v>29726</v>
      </c>
      <c r="J8936" s="0" t="s">
        <v>29727</v>
      </c>
      <c r="K8936" s="0" t="s">
        <v>29728</v>
      </c>
      <c r="L8936" s="0" t="str">
        <f aca="false">HYPERLINK("https://www.ncbi.nlm.nih.gov/nuccore/CP000058.1?report=graph&amp;tracks=[key:gene_model_track,Options:GeneOnly]&amp;mk=2814316:2814335|offset_1|00cc00,2814346:2814365|offset_31|444444,2814396:2814415|offset_81|444444,2814419:2814438|offset_104|444444&amp;v=2814115:2814638&amp;c=444444", "offset 1")</f>
        <v>offset 1</v>
      </c>
    </row>
    <row r="8937" customFormat="false" ht="12.8" hidden="false" customHeight="false" outlineLevel="0" collapsed="false">
      <c r="A8937" s="0" t="s">
        <v>12</v>
      </c>
      <c r="B8937" s="0" t="n">
        <v>2814345</v>
      </c>
      <c r="C8937" s="0" t="n">
        <v>2814365</v>
      </c>
      <c r="D8937" s="0" t="s">
        <v>29725</v>
      </c>
      <c r="E8937" s="0" t="s">
        <v>75</v>
      </c>
      <c r="F8937" s="0" t="s">
        <v>15</v>
      </c>
      <c r="G8937" s="0" t="s">
        <v>16</v>
      </c>
      <c r="H8937" s="0" t="n">
        <v>31</v>
      </c>
      <c r="I8937" s="0" t="s">
        <v>29729</v>
      </c>
      <c r="J8937" s="0" t="s">
        <v>29730</v>
      </c>
      <c r="K8937" s="0" t="s">
        <v>29731</v>
      </c>
      <c r="L8937" s="0" t="str">
        <f aca="false">HYPERLINK("https://www.ncbi.nlm.nih.gov/nuccore/CP000058.1?report=graph&amp;tracks=[key:gene_model_track,Options:GeneOnly]&amp;mk=2814316:2814335|offset_1|444444,2814346:2814365|offset_31|00cc00,2814396:2814415|offset_81|444444,2814419:2814438|offset_104|444444&amp;v=2814115:2814638&amp;c=444444", "offset 31")</f>
        <v>offset 31</v>
      </c>
    </row>
    <row r="8938" customFormat="false" ht="12.8" hidden="false" customHeight="false" outlineLevel="0" collapsed="false">
      <c r="A8938" s="0" t="s">
        <v>12</v>
      </c>
      <c r="B8938" s="0" t="n">
        <v>2814395</v>
      </c>
      <c r="C8938" s="0" t="n">
        <v>2814415</v>
      </c>
      <c r="D8938" s="0" t="s">
        <v>29725</v>
      </c>
      <c r="E8938" s="0" t="s">
        <v>75</v>
      </c>
      <c r="F8938" s="0" t="s">
        <v>15</v>
      </c>
      <c r="G8938" s="0" t="s">
        <v>20</v>
      </c>
      <c r="H8938" s="0" t="n">
        <v>81</v>
      </c>
      <c r="I8938" s="0" t="s">
        <v>29732</v>
      </c>
      <c r="J8938" s="0" t="s">
        <v>29733</v>
      </c>
      <c r="K8938" s="0" t="s">
        <v>29734</v>
      </c>
      <c r="L8938" s="0" t="str">
        <f aca="false">HYPERLINK("https://www.ncbi.nlm.nih.gov/nuccore/CP000058.1?report=graph&amp;tracks=[key:gene_model_track,Options:GeneOnly]&amp;mk=2814316:2814335|offset_1|444444,2814346:2814365|offset_31|444444,2814396:2814415|offset_81|00cc00,2814419:2814438|offset_104|444444&amp;v=2814115:2814638&amp;c=444444", "offset 81")</f>
        <v>offset 81</v>
      </c>
    </row>
    <row r="8939" customFormat="false" ht="12.8" hidden="false" customHeight="false" outlineLevel="0" collapsed="false">
      <c r="A8939" s="0" t="s">
        <v>12</v>
      </c>
      <c r="B8939" s="0" t="n">
        <v>2814418</v>
      </c>
      <c r="C8939" s="0" t="n">
        <v>2814438</v>
      </c>
      <c r="D8939" s="0" t="s">
        <v>29725</v>
      </c>
      <c r="E8939" s="0" t="s">
        <v>75</v>
      </c>
      <c r="F8939" s="0" t="s">
        <v>15</v>
      </c>
      <c r="G8939" s="0" t="s">
        <v>36</v>
      </c>
      <c r="H8939" s="0" t="n">
        <v>104</v>
      </c>
      <c r="I8939" s="0" t="s">
        <v>29735</v>
      </c>
      <c r="J8939" s="0" t="s">
        <v>29736</v>
      </c>
      <c r="K8939" s="0" t="s">
        <v>29737</v>
      </c>
      <c r="L8939" s="0" t="str">
        <f aca="false">HYPERLINK("https://www.ncbi.nlm.nih.gov/nuccore/CP000058.1?report=graph&amp;tracks=[key:gene_model_track,Options:GeneOnly]&amp;mk=2814316:2814335|offset_1|444444,2814346:2814365|offset_31|444444,2814396:2814415|offset_81|444444,2814419:2814438|offset_104|00cc00&amp;v=2814115:2814638&amp;c=444444", "offset 104")</f>
        <v>offset 104</v>
      </c>
    </row>
    <row r="8940" customFormat="false" ht="12.8" hidden="false" customHeight="false" outlineLevel="0" collapsed="false">
      <c r="A8940" s="0" t="s">
        <v>12</v>
      </c>
      <c r="B8940" s="0" t="n">
        <v>2815250</v>
      </c>
      <c r="C8940" s="0" t="n">
        <v>2815270</v>
      </c>
      <c r="D8940" s="0" t="s">
        <v>29738</v>
      </c>
      <c r="E8940" s="0" t="s">
        <v>29739</v>
      </c>
      <c r="F8940" s="0" t="s">
        <v>15</v>
      </c>
      <c r="G8940" s="0" t="s">
        <v>36</v>
      </c>
      <c r="H8940" s="0" t="n">
        <v>15</v>
      </c>
      <c r="I8940" s="0" t="s">
        <v>29740</v>
      </c>
      <c r="J8940" s="0" t="s">
        <v>29741</v>
      </c>
      <c r="K8940" s="0" t="s">
        <v>29742</v>
      </c>
      <c r="L8940" s="0" t="str">
        <f aca="false">HYPERLINK("https://www.ncbi.nlm.nih.gov/nuccore/CP000058.1?report=graph&amp;tracks=[key:gene_model_track,Options:GeneOnly]&amp;mk=2815251:2815270|offset_15|00cc00,2815277:2815296|offset_41|444444,2815313:2815332|offset_77|444444,2815345:2815364|offset_109|444444&amp;v=2815050:2815564&amp;c=444444", "offset 15")</f>
        <v>offset 15</v>
      </c>
    </row>
    <row r="8941" customFormat="false" ht="12.8" hidden="false" customHeight="false" outlineLevel="0" collapsed="false">
      <c r="A8941" s="0" t="s">
        <v>12</v>
      </c>
      <c r="B8941" s="0" t="n">
        <v>2815276</v>
      </c>
      <c r="C8941" s="0" t="n">
        <v>2815296</v>
      </c>
      <c r="D8941" s="0" t="s">
        <v>29738</v>
      </c>
      <c r="E8941" s="0" t="s">
        <v>29739</v>
      </c>
      <c r="F8941" s="0" t="s">
        <v>15</v>
      </c>
      <c r="G8941" s="0" t="s">
        <v>36</v>
      </c>
      <c r="H8941" s="0" t="n">
        <v>41</v>
      </c>
      <c r="I8941" s="0" t="s">
        <v>29743</v>
      </c>
      <c r="J8941" s="0" t="s">
        <v>29744</v>
      </c>
      <c r="K8941" s="0" t="s">
        <v>29745</v>
      </c>
      <c r="L8941" s="0" t="str">
        <f aca="false">HYPERLINK("https://www.ncbi.nlm.nih.gov/nuccore/CP000058.1?report=graph&amp;tracks=[key:gene_model_track,Options:GeneOnly]&amp;mk=2815251:2815270|offset_15|444444,2815277:2815296|offset_41|00cc00,2815313:2815332|offset_77|444444,2815345:2815364|offset_109|444444&amp;v=2815050:2815564&amp;c=444444", "offset 41")</f>
        <v>offset 41</v>
      </c>
    </row>
    <row r="8942" customFormat="false" ht="12.8" hidden="false" customHeight="false" outlineLevel="0" collapsed="false">
      <c r="A8942" s="0" t="s">
        <v>12</v>
      </c>
      <c r="B8942" s="0" t="n">
        <v>2815312</v>
      </c>
      <c r="C8942" s="0" t="n">
        <v>2815332</v>
      </c>
      <c r="D8942" s="0" t="s">
        <v>29738</v>
      </c>
      <c r="E8942" s="0" t="s">
        <v>29739</v>
      </c>
      <c r="F8942" s="0" t="s">
        <v>15</v>
      </c>
      <c r="G8942" s="0" t="s">
        <v>36</v>
      </c>
      <c r="H8942" s="0" t="n">
        <v>77</v>
      </c>
      <c r="I8942" s="0" t="s">
        <v>29746</v>
      </c>
      <c r="J8942" s="0" t="s">
        <v>29747</v>
      </c>
      <c r="K8942" s="0" t="s">
        <v>29748</v>
      </c>
      <c r="L8942" s="0" t="str">
        <f aca="false">HYPERLINK("https://www.ncbi.nlm.nih.gov/nuccore/CP000058.1?report=graph&amp;tracks=[key:gene_model_track,Options:GeneOnly]&amp;mk=2815251:2815270|offset_15|444444,2815277:2815296|offset_41|444444,2815313:2815332|offset_77|00cc00,2815345:2815364|offset_109|444444&amp;v=2815050:2815564&amp;c=444444", "offset 77")</f>
        <v>offset 77</v>
      </c>
    </row>
    <row r="8943" customFormat="false" ht="12.8" hidden="false" customHeight="false" outlineLevel="0" collapsed="false">
      <c r="A8943" s="0" t="s">
        <v>12</v>
      </c>
      <c r="B8943" s="0" t="n">
        <v>2815344</v>
      </c>
      <c r="C8943" s="0" t="n">
        <v>2815364</v>
      </c>
      <c r="D8943" s="0" t="s">
        <v>29738</v>
      </c>
      <c r="E8943" s="0" t="s">
        <v>29739</v>
      </c>
      <c r="F8943" s="0" t="s">
        <v>15</v>
      </c>
      <c r="G8943" s="0" t="s">
        <v>16</v>
      </c>
      <c r="H8943" s="0" t="n">
        <v>109</v>
      </c>
      <c r="I8943" s="0" t="s">
        <v>29749</v>
      </c>
      <c r="J8943" s="0" t="s">
        <v>29750</v>
      </c>
      <c r="K8943" s="0" t="s">
        <v>29751</v>
      </c>
      <c r="L8943" s="0" t="str">
        <f aca="false">HYPERLINK("https://www.ncbi.nlm.nih.gov/nuccore/CP000058.1?report=graph&amp;tracks=[key:gene_model_track,Options:GeneOnly]&amp;mk=2815251:2815270|offset_15|444444,2815277:2815296|offset_41|444444,2815313:2815332|offset_77|444444,2815345:2815364|offset_109|00cc00&amp;v=2815050:2815564&amp;c=444444", "offset 109")</f>
        <v>offset 109</v>
      </c>
    </row>
    <row r="8944" customFormat="false" ht="12.8" hidden="false" customHeight="false" outlineLevel="0" collapsed="false">
      <c r="A8944" s="0" t="s">
        <v>12</v>
      </c>
      <c r="B8944" s="0" t="n">
        <v>2816971</v>
      </c>
      <c r="C8944" s="0" t="n">
        <v>2816991</v>
      </c>
      <c r="D8944" s="0" t="s">
        <v>29752</v>
      </c>
      <c r="E8944" s="0" t="s">
        <v>29753</v>
      </c>
      <c r="F8944" s="0" t="s">
        <v>15</v>
      </c>
      <c r="G8944" s="0" t="s">
        <v>32</v>
      </c>
      <c r="H8944" s="0" t="n">
        <v>18</v>
      </c>
      <c r="I8944" s="0" t="s">
        <v>29754</v>
      </c>
      <c r="J8944" s="0" t="s">
        <v>29755</v>
      </c>
      <c r="K8944" s="0" t="s">
        <v>29756</v>
      </c>
      <c r="L8944" s="0" t="str">
        <f aca="false">HYPERLINK("https://www.ncbi.nlm.nih.gov/nuccore/CP000058.1?report=graph&amp;tracks=[key:gene_model_track,Options:GeneOnly]&amp;mk=2816972:2816991|offset_18|00cc00,2817004:2817023|offset_50|444444,2817028:2817047|offset_74|444444,2817051:2817070|offset_97|444444&amp;v=2816771:2817270&amp;c=444444", "offset 18")</f>
        <v>offset 18</v>
      </c>
    </row>
    <row r="8945" customFormat="false" ht="12.8" hidden="false" customHeight="false" outlineLevel="0" collapsed="false">
      <c r="A8945" s="0" t="s">
        <v>12</v>
      </c>
      <c r="B8945" s="0" t="n">
        <v>2817003</v>
      </c>
      <c r="C8945" s="0" t="n">
        <v>2817023</v>
      </c>
      <c r="D8945" s="0" t="s">
        <v>29752</v>
      </c>
      <c r="E8945" s="0" t="s">
        <v>29753</v>
      </c>
      <c r="F8945" s="0" t="s">
        <v>15</v>
      </c>
      <c r="G8945" s="0" t="s">
        <v>16</v>
      </c>
      <c r="H8945" s="0" t="n">
        <v>50</v>
      </c>
      <c r="I8945" s="0" t="s">
        <v>29757</v>
      </c>
      <c r="J8945" s="0" t="s">
        <v>29758</v>
      </c>
      <c r="K8945" s="0" t="s">
        <v>29759</v>
      </c>
      <c r="L8945" s="0" t="str">
        <f aca="false">HYPERLINK("https://www.ncbi.nlm.nih.gov/nuccore/CP000058.1?report=graph&amp;tracks=[key:gene_model_track,Options:GeneOnly]&amp;mk=2816972:2816991|offset_18|444444,2817004:2817023|offset_50|00cc00,2817028:2817047|offset_74|444444,2817051:2817070|offset_97|444444&amp;v=2816771:2817270&amp;c=444444", "offset 50")</f>
        <v>offset 50</v>
      </c>
    </row>
    <row r="8946" customFormat="false" ht="12.8" hidden="false" customHeight="false" outlineLevel="0" collapsed="false">
      <c r="A8946" s="0" t="s">
        <v>12</v>
      </c>
      <c r="B8946" s="0" t="n">
        <v>2817027</v>
      </c>
      <c r="C8946" s="0" t="n">
        <v>2817047</v>
      </c>
      <c r="D8946" s="0" t="s">
        <v>29752</v>
      </c>
      <c r="E8946" s="0" t="s">
        <v>29753</v>
      </c>
      <c r="F8946" s="0" t="s">
        <v>15</v>
      </c>
      <c r="G8946" s="0" t="s">
        <v>16</v>
      </c>
      <c r="H8946" s="0" t="n">
        <v>74</v>
      </c>
      <c r="I8946" s="0" t="s">
        <v>29760</v>
      </c>
      <c r="J8946" s="0" t="s">
        <v>29761</v>
      </c>
      <c r="K8946" s="0" t="s">
        <v>29762</v>
      </c>
      <c r="L8946" s="0" t="str">
        <f aca="false">HYPERLINK("https://www.ncbi.nlm.nih.gov/nuccore/CP000058.1?report=graph&amp;tracks=[key:gene_model_track,Options:GeneOnly]&amp;mk=2816972:2816991|offset_18|444444,2817004:2817023|offset_50|444444,2817028:2817047|offset_74|00cc00,2817051:2817070|offset_97|444444&amp;v=2816771:2817270&amp;c=444444", "offset 74")</f>
        <v>offset 74</v>
      </c>
    </row>
    <row r="8947" customFormat="false" ht="12.8" hidden="false" customHeight="false" outlineLevel="0" collapsed="false">
      <c r="A8947" s="0" t="s">
        <v>12</v>
      </c>
      <c r="B8947" s="0" t="n">
        <v>2817050</v>
      </c>
      <c r="C8947" s="0" t="n">
        <v>2817070</v>
      </c>
      <c r="D8947" s="0" t="s">
        <v>29752</v>
      </c>
      <c r="E8947" s="0" t="s">
        <v>29753</v>
      </c>
      <c r="F8947" s="0" t="s">
        <v>15</v>
      </c>
      <c r="G8947" s="0" t="s">
        <v>16</v>
      </c>
      <c r="H8947" s="0" t="n">
        <v>97</v>
      </c>
      <c r="I8947" s="0" t="s">
        <v>29763</v>
      </c>
      <c r="J8947" s="0" t="s">
        <v>29764</v>
      </c>
      <c r="K8947" s="0" t="s">
        <v>29765</v>
      </c>
      <c r="L8947" s="0" t="str">
        <f aca="false">HYPERLINK("https://www.ncbi.nlm.nih.gov/nuccore/CP000058.1?report=graph&amp;tracks=[key:gene_model_track,Options:GeneOnly]&amp;mk=2816972:2816991|offset_18|444444,2817004:2817023|offset_50|444444,2817028:2817047|offset_74|444444,2817051:2817070|offset_97|00cc00&amp;v=2816771:2817270&amp;c=444444", "offset 97")</f>
        <v>offset 97</v>
      </c>
    </row>
    <row r="8948" customFormat="false" ht="12.8" hidden="false" customHeight="false" outlineLevel="0" collapsed="false">
      <c r="A8948" s="0" t="s">
        <v>12</v>
      </c>
      <c r="B8948" s="0" t="n">
        <v>2818762</v>
      </c>
      <c r="C8948" s="0" t="n">
        <v>2818782</v>
      </c>
      <c r="D8948" s="0" t="s">
        <v>29766</v>
      </c>
      <c r="E8948" s="0" t="s">
        <v>75</v>
      </c>
      <c r="F8948" s="0" t="s">
        <v>15</v>
      </c>
      <c r="G8948" s="0" t="s">
        <v>32</v>
      </c>
      <c r="H8948" s="0" t="n">
        <v>43</v>
      </c>
      <c r="I8948" s="0" t="s">
        <v>29767</v>
      </c>
      <c r="J8948" s="0" t="s">
        <v>29768</v>
      </c>
      <c r="K8948" s="0" t="s">
        <v>29769</v>
      </c>
      <c r="L8948" s="0" t="str">
        <f aca="false">HYPERLINK("https://www.ncbi.nlm.nih.gov/nuccore/CP000058.1?report=graph&amp;tracks=[key:gene_model_track,Options:GeneOnly]&amp;mk=2818763:2818782|offset_43|00cc00,2818786:2818805|offset_66|444444,2818825:2818844|offset_105|444444,2818874:2818893|offset_154|444444&amp;v=2818562:2819093&amp;c=444444", "offset 43")</f>
        <v>offset 43</v>
      </c>
    </row>
    <row r="8949" customFormat="false" ht="12.8" hidden="false" customHeight="false" outlineLevel="0" collapsed="false">
      <c r="A8949" s="0" t="s">
        <v>12</v>
      </c>
      <c r="B8949" s="0" t="n">
        <v>2818785</v>
      </c>
      <c r="C8949" s="0" t="n">
        <v>2818805</v>
      </c>
      <c r="D8949" s="0" t="s">
        <v>29766</v>
      </c>
      <c r="E8949" s="0" t="s">
        <v>75</v>
      </c>
      <c r="F8949" s="0" t="s">
        <v>15</v>
      </c>
      <c r="G8949" s="0" t="s">
        <v>16</v>
      </c>
      <c r="H8949" s="0" t="n">
        <v>66</v>
      </c>
      <c r="I8949" s="0" t="s">
        <v>29770</v>
      </c>
      <c r="J8949" s="0" t="s">
        <v>29771</v>
      </c>
      <c r="K8949" s="0" t="s">
        <v>29772</v>
      </c>
      <c r="L8949" s="0" t="str">
        <f aca="false">HYPERLINK("https://www.ncbi.nlm.nih.gov/nuccore/CP000058.1?report=graph&amp;tracks=[key:gene_model_track,Options:GeneOnly]&amp;mk=2818763:2818782|offset_43|444444,2818786:2818805|offset_66|00cc00,2818825:2818844|offset_105|444444,2818874:2818893|offset_154|444444&amp;v=2818562:2819093&amp;c=444444", "offset 66")</f>
        <v>offset 66</v>
      </c>
    </row>
    <row r="8950" customFormat="false" ht="12.8" hidden="false" customHeight="false" outlineLevel="0" collapsed="false">
      <c r="A8950" s="0" t="s">
        <v>12</v>
      </c>
      <c r="B8950" s="0" t="n">
        <v>2818824</v>
      </c>
      <c r="C8950" s="0" t="n">
        <v>2818844</v>
      </c>
      <c r="D8950" s="0" t="s">
        <v>29766</v>
      </c>
      <c r="E8950" s="0" t="s">
        <v>75</v>
      </c>
      <c r="F8950" s="0" t="s">
        <v>15</v>
      </c>
      <c r="G8950" s="0" t="s">
        <v>36</v>
      </c>
      <c r="H8950" s="0" t="n">
        <v>105</v>
      </c>
      <c r="I8950" s="0" t="s">
        <v>29773</v>
      </c>
      <c r="J8950" s="0" t="s">
        <v>29774</v>
      </c>
      <c r="K8950" s="0" t="s">
        <v>29775</v>
      </c>
      <c r="L8950" s="0" t="str">
        <f aca="false">HYPERLINK("https://www.ncbi.nlm.nih.gov/nuccore/CP000058.1?report=graph&amp;tracks=[key:gene_model_track,Options:GeneOnly]&amp;mk=2818763:2818782|offset_43|444444,2818786:2818805|offset_66|444444,2818825:2818844|offset_105|00cc00,2818874:2818893|offset_154|444444&amp;v=2818562:2819093&amp;c=444444", "offset 105")</f>
        <v>offset 105</v>
      </c>
    </row>
    <row r="8951" customFormat="false" ht="12.8" hidden="false" customHeight="false" outlineLevel="0" collapsed="false">
      <c r="A8951" s="0" t="s">
        <v>12</v>
      </c>
      <c r="B8951" s="0" t="n">
        <v>2818873</v>
      </c>
      <c r="C8951" s="0" t="n">
        <v>2818893</v>
      </c>
      <c r="D8951" s="0" t="s">
        <v>29766</v>
      </c>
      <c r="E8951" s="0" t="s">
        <v>75</v>
      </c>
      <c r="F8951" s="0" t="s">
        <v>15</v>
      </c>
      <c r="G8951" s="0" t="s">
        <v>32</v>
      </c>
      <c r="H8951" s="0" t="n">
        <v>154</v>
      </c>
      <c r="I8951" s="0" t="s">
        <v>29776</v>
      </c>
      <c r="J8951" s="0" t="s">
        <v>29777</v>
      </c>
      <c r="K8951" s="0" t="s">
        <v>29778</v>
      </c>
      <c r="L8951" s="0" t="str">
        <f aca="false">HYPERLINK("https://www.ncbi.nlm.nih.gov/nuccore/CP000058.1?report=graph&amp;tracks=[key:gene_model_track,Options:GeneOnly]&amp;mk=2818763:2818782|offset_43|444444,2818786:2818805|offset_66|444444,2818825:2818844|offset_105|444444,2818874:2818893|offset_154|00cc00&amp;v=2818562:2819093&amp;c=444444", "offset 154")</f>
        <v>offset 154</v>
      </c>
    </row>
    <row r="8952" customFormat="false" ht="12.8" hidden="false" customHeight="false" outlineLevel="0" collapsed="false">
      <c r="A8952" s="0" t="s">
        <v>12</v>
      </c>
      <c r="B8952" s="0" t="n">
        <v>2820113</v>
      </c>
      <c r="C8952" s="0" t="n">
        <v>2820133</v>
      </c>
      <c r="D8952" s="0" t="s">
        <v>29779</v>
      </c>
      <c r="E8952" s="0" t="s">
        <v>75</v>
      </c>
      <c r="F8952" s="0" t="s">
        <v>15</v>
      </c>
      <c r="G8952" s="0" t="s">
        <v>36</v>
      </c>
      <c r="H8952" s="0" t="n">
        <v>10</v>
      </c>
      <c r="I8952" s="0" t="s">
        <v>29780</v>
      </c>
      <c r="J8952" s="0" t="s">
        <v>29781</v>
      </c>
      <c r="K8952" s="0" t="s">
        <v>29782</v>
      </c>
      <c r="L8952" s="0" t="str">
        <f aca="false">HYPERLINK("https://www.ncbi.nlm.nih.gov/nuccore/CP000058.1?report=graph&amp;tracks=[key:gene_model_track,Options:GeneOnly]&amp;mk=2820114:2820133|offset_10|00cc00,2820178:2820197|offset_74|444444,2820234:2820253|offset_130|444444,2820300:2820319|offset_196|444444&amp;v=2819913:2820519&amp;c=444444", "offset 10")</f>
        <v>offset 10</v>
      </c>
    </row>
    <row r="8953" customFormat="false" ht="12.8" hidden="false" customHeight="false" outlineLevel="0" collapsed="false">
      <c r="A8953" s="0" t="s">
        <v>12</v>
      </c>
      <c r="B8953" s="0" t="n">
        <v>2820177</v>
      </c>
      <c r="C8953" s="0" t="n">
        <v>2820197</v>
      </c>
      <c r="D8953" s="0" t="s">
        <v>29779</v>
      </c>
      <c r="E8953" s="0" t="s">
        <v>75</v>
      </c>
      <c r="F8953" s="0" t="s">
        <v>15</v>
      </c>
      <c r="G8953" s="0" t="s">
        <v>32</v>
      </c>
      <c r="H8953" s="0" t="n">
        <v>74</v>
      </c>
      <c r="I8953" s="0" t="s">
        <v>29783</v>
      </c>
      <c r="J8953" s="0" t="s">
        <v>29784</v>
      </c>
      <c r="K8953" s="0" t="s">
        <v>29785</v>
      </c>
      <c r="L8953" s="0" t="str">
        <f aca="false">HYPERLINK("https://www.ncbi.nlm.nih.gov/nuccore/CP000058.1?report=graph&amp;tracks=[key:gene_model_track,Options:GeneOnly]&amp;mk=2820114:2820133|offset_10|444444,2820178:2820197|offset_74|00cc00,2820234:2820253|offset_130|444444,2820300:2820319|offset_196|444444&amp;v=2819913:2820519&amp;c=444444", "offset 74")</f>
        <v>offset 74</v>
      </c>
    </row>
    <row r="8954" customFormat="false" ht="12.8" hidden="false" customHeight="false" outlineLevel="0" collapsed="false">
      <c r="A8954" s="0" t="s">
        <v>12</v>
      </c>
      <c r="B8954" s="0" t="n">
        <v>2820233</v>
      </c>
      <c r="C8954" s="0" t="n">
        <v>2820253</v>
      </c>
      <c r="D8954" s="0" t="s">
        <v>29779</v>
      </c>
      <c r="E8954" s="0" t="s">
        <v>75</v>
      </c>
      <c r="F8954" s="0" t="s">
        <v>15</v>
      </c>
      <c r="G8954" s="0" t="s">
        <v>16</v>
      </c>
      <c r="H8954" s="0" t="n">
        <v>130</v>
      </c>
      <c r="I8954" s="0" t="s">
        <v>29786</v>
      </c>
      <c r="J8954" s="0" t="s">
        <v>29787</v>
      </c>
      <c r="K8954" s="0" t="s">
        <v>29788</v>
      </c>
      <c r="L8954" s="0" t="str">
        <f aca="false">HYPERLINK("https://www.ncbi.nlm.nih.gov/nuccore/CP000058.1?report=graph&amp;tracks=[key:gene_model_track,Options:GeneOnly]&amp;mk=2820114:2820133|offset_10|444444,2820178:2820197|offset_74|444444,2820234:2820253|offset_130|00cc00,2820300:2820319|offset_196|444444&amp;v=2819913:2820519&amp;c=444444", "offset 130")</f>
        <v>offset 130</v>
      </c>
    </row>
    <row r="8955" customFormat="false" ht="12.8" hidden="false" customHeight="false" outlineLevel="0" collapsed="false">
      <c r="A8955" s="0" t="s">
        <v>12</v>
      </c>
      <c r="B8955" s="0" t="n">
        <v>2820299</v>
      </c>
      <c r="C8955" s="0" t="n">
        <v>2820319</v>
      </c>
      <c r="D8955" s="0" t="s">
        <v>29779</v>
      </c>
      <c r="E8955" s="0" t="s">
        <v>75</v>
      </c>
      <c r="F8955" s="0" t="s">
        <v>15</v>
      </c>
      <c r="G8955" s="0" t="s">
        <v>16</v>
      </c>
      <c r="H8955" s="0" t="n">
        <v>196</v>
      </c>
      <c r="I8955" s="0" t="s">
        <v>29789</v>
      </c>
      <c r="J8955" s="0" t="s">
        <v>29790</v>
      </c>
      <c r="K8955" s="0" t="s">
        <v>29791</v>
      </c>
      <c r="L8955" s="0" t="str">
        <f aca="false">HYPERLINK("https://www.ncbi.nlm.nih.gov/nuccore/CP000058.1?report=graph&amp;tracks=[key:gene_model_track,Options:GeneOnly]&amp;mk=2820114:2820133|offset_10|444444,2820178:2820197|offset_74|444444,2820234:2820253|offset_130|444444,2820300:2820319|offset_196|00cc00&amp;v=2819913:2820519&amp;c=444444", "offset 196")</f>
        <v>offset 196</v>
      </c>
    </row>
    <row r="8956" customFormat="false" ht="12.8" hidden="false" customHeight="false" outlineLevel="0" collapsed="false">
      <c r="A8956" s="0" t="s">
        <v>12</v>
      </c>
      <c r="B8956" s="0" t="n">
        <v>2820847</v>
      </c>
      <c r="C8956" s="0" t="n">
        <v>2820867</v>
      </c>
      <c r="D8956" s="0" t="s">
        <v>29792</v>
      </c>
      <c r="E8956" s="0" t="s">
        <v>75</v>
      </c>
      <c r="F8956" s="0" t="s">
        <v>90</v>
      </c>
      <c r="G8956" s="0" t="s">
        <v>36</v>
      </c>
      <c r="H8956" s="0" t="n">
        <v>0</v>
      </c>
      <c r="I8956" s="0" t="s">
        <v>29793</v>
      </c>
      <c r="J8956" s="0" t="s">
        <v>29794</v>
      </c>
      <c r="K8956" s="0" t="s">
        <v>29795</v>
      </c>
      <c r="L8956" s="0" t="str">
        <f aca="false">HYPERLINK("https://www.ncbi.nlm.nih.gov/nuccore/CP000058.1?report=graph&amp;tracks=[key:gene_model_track,Options:GeneOnly]&amp;mk=2820848:2820867|offset_0|00cc00,2820822:2820841|offset_26|444444,2820779:2820798|offset_69|444444,2820713:2820732|offset_135|444444&amp;v=2820647:2820932&amp;c=444444", "offset 0")</f>
        <v>offset 0</v>
      </c>
    </row>
    <row r="8957" customFormat="false" ht="12.8" hidden="false" customHeight="false" outlineLevel="0" collapsed="false">
      <c r="A8957" s="0" t="s">
        <v>12</v>
      </c>
      <c r="B8957" s="0" t="n">
        <v>2820821</v>
      </c>
      <c r="C8957" s="0" t="n">
        <v>2820841</v>
      </c>
      <c r="D8957" s="0" t="s">
        <v>29792</v>
      </c>
      <c r="E8957" s="0" t="s">
        <v>75</v>
      </c>
      <c r="F8957" s="0" t="s">
        <v>90</v>
      </c>
      <c r="G8957" s="0" t="s">
        <v>36</v>
      </c>
      <c r="H8957" s="0" t="n">
        <v>26</v>
      </c>
      <c r="I8957" s="0" t="s">
        <v>29796</v>
      </c>
      <c r="J8957" s="0" t="s">
        <v>29797</v>
      </c>
      <c r="K8957" s="0" t="s">
        <v>29798</v>
      </c>
      <c r="L8957" s="0" t="str">
        <f aca="false">HYPERLINK("https://www.ncbi.nlm.nih.gov/nuccore/CP000058.1?report=graph&amp;tracks=[key:gene_model_track,Options:GeneOnly]&amp;mk=2820848:2820867|offset_0|444444,2820822:2820841|offset_26|00cc00,2820779:2820798|offset_69|444444,2820713:2820732|offset_135|444444&amp;v=2820647:2820932&amp;c=444444", "offset 26")</f>
        <v>offset 26</v>
      </c>
    </row>
    <row r="8958" customFormat="false" ht="12.8" hidden="false" customHeight="false" outlineLevel="0" collapsed="false">
      <c r="A8958" s="0" t="s">
        <v>12</v>
      </c>
      <c r="B8958" s="0" t="n">
        <v>2820778</v>
      </c>
      <c r="C8958" s="0" t="n">
        <v>2820798</v>
      </c>
      <c r="D8958" s="0" t="s">
        <v>29792</v>
      </c>
      <c r="E8958" s="0" t="s">
        <v>75</v>
      </c>
      <c r="F8958" s="0" t="s">
        <v>90</v>
      </c>
      <c r="G8958" s="0" t="s">
        <v>36</v>
      </c>
      <c r="H8958" s="0" t="n">
        <v>69</v>
      </c>
      <c r="I8958" s="0" t="s">
        <v>29799</v>
      </c>
      <c r="J8958" s="0" t="s">
        <v>29800</v>
      </c>
      <c r="K8958" s="0" t="s">
        <v>29801</v>
      </c>
      <c r="L8958" s="0" t="str">
        <f aca="false">HYPERLINK("https://www.ncbi.nlm.nih.gov/nuccore/CP000058.1?report=graph&amp;tracks=[key:gene_model_track,Options:GeneOnly]&amp;mk=2820848:2820867|offset_0|444444,2820822:2820841|offset_26|444444,2820779:2820798|offset_69|00cc00,2820713:2820732|offset_135|444444&amp;v=2820647:2820932&amp;c=444444", "offset 69")</f>
        <v>offset 69</v>
      </c>
    </row>
    <row r="8959" customFormat="false" ht="12.8" hidden="false" customHeight="false" outlineLevel="0" collapsed="false">
      <c r="A8959" s="0" t="s">
        <v>12</v>
      </c>
      <c r="B8959" s="0" t="n">
        <v>2820712</v>
      </c>
      <c r="C8959" s="0" t="n">
        <v>2820732</v>
      </c>
      <c r="D8959" s="0" t="s">
        <v>29792</v>
      </c>
      <c r="E8959" s="0" t="s">
        <v>75</v>
      </c>
      <c r="F8959" s="0" t="s">
        <v>90</v>
      </c>
      <c r="G8959" s="0" t="s">
        <v>16</v>
      </c>
      <c r="H8959" s="0" t="n">
        <v>135</v>
      </c>
      <c r="I8959" s="0" t="s">
        <v>29802</v>
      </c>
      <c r="J8959" s="0" t="s">
        <v>29803</v>
      </c>
      <c r="K8959" s="0" t="s">
        <v>29804</v>
      </c>
      <c r="L8959" s="0" t="str">
        <f aca="false">HYPERLINK("https://www.ncbi.nlm.nih.gov/nuccore/CP000058.1?report=graph&amp;tracks=[key:gene_model_track,Options:GeneOnly]&amp;mk=2820848:2820867|offset_0|444444,2820822:2820841|offset_26|444444,2820779:2820798|offset_69|444444,2820713:2820732|offset_135|00cc00&amp;v=2820647:2820932&amp;c=444444", "offset 135")</f>
        <v>offset 135</v>
      </c>
    </row>
    <row r="8960" customFormat="false" ht="12.8" hidden="false" customHeight="false" outlineLevel="0" collapsed="false">
      <c r="A8960" s="0" t="s">
        <v>12</v>
      </c>
      <c r="B8960" s="0" t="n">
        <v>2821029</v>
      </c>
      <c r="C8960" s="0" t="n">
        <v>2821049</v>
      </c>
      <c r="D8960" s="0" t="s">
        <v>29805</v>
      </c>
      <c r="E8960" s="0" t="s">
        <v>75</v>
      </c>
      <c r="F8960" s="0" t="s">
        <v>15</v>
      </c>
      <c r="G8960" s="0" t="s">
        <v>16</v>
      </c>
      <c r="H8960" s="0" t="n">
        <v>8</v>
      </c>
      <c r="I8960" s="0" t="s">
        <v>29806</v>
      </c>
      <c r="J8960" s="0" t="s">
        <v>29807</v>
      </c>
      <c r="K8960" s="0" t="s">
        <v>29808</v>
      </c>
      <c r="L8960" s="0" t="str">
        <f aca="false">HYPERLINK("https://www.ncbi.nlm.nih.gov/nuccore/CP000058.1?report=graph&amp;tracks=[key:gene_model_track,Options:GeneOnly]&amp;mk=2821030:2821049|offset_8|00cc00,2821056:2821075|offset_34|444444,2821083:2821102|offset_61|444444,2821116:2821135|offset_94|444444&amp;v=2820829:2821335&amp;c=444444", "offset 8")</f>
        <v>offset 8</v>
      </c>
    </row>
    <row r="8961" customFormat="false" ht="12.8" hidden="false" customHeight="false" outlineLevel="0" collapsed="false">
      <c r="A8961" s="0" t="s">
        <v>12</v>
      </c>
      <c r="B8961" s="0" t="n">
        <v>2821055</v>
      </c>
      <c r="C8961" s="0" t="n">
        <v>2821075</v>
      </c>
      <c r="D8961" s="0" t="s">
        <v>29805</v>
      </c>
      <c r="E8961" s="0" t="s">
        <v>75</v>
      </c>
      <c r="F8961" s="0" t="s">
        <v>15</v>
      </c>
      <c r="G8961" s="0" t="s">
        <v>36</v>
      </c>
      <c r="H8961" s="0" t="n">
        <v>34</v>
      </c>
      <c r="I8961" s="0" t="s">
        <v>29809</v>
      </c>
      <c r="J8961" s="0" t="s">
        <v>29810</v>
      </c>
      <c r="K8961" s="0" t="s">
        <v>29811</v>
      </c>
      <c r="L8961" s="0" t="str">
        <f aca="false">HYPERLINK("https://www.ncbi.nlm.nih.gov/nuccore/CP000058.1?report=graph&amp;tracks=[key:gene_model_track,Options:GeneOnly]&amp;mk=2821030:2821049|offset_8|444444,2821056:2821075|offset_34|00cc00,2821083:2821102|offset_61|444444,2821116:2821135|offset_94|444444&amp;v=2820829:2821335&amp;c=444444", "offset 34")</f>
        <v>offset 34</v>
      </c>
    </row>
    <row r="8962" customFormat="false" ht="12.8" hidden="false" customHeight="false" outlineLevel="0" collapsed="false">
      <c r="A8962" s="0" t="s">
        <v>12</v>
      </c>
      <c r="B8962" s="0" t="n">
        <v>2821082</v>
      </c>
      <c r="C8962" s="0" t="n">
        <v>2821102</v>
      </c>
      <c r="D8962" s="0" t="s">
        <v>29805</v>
      </c>
      <c r="E8962" s="0" t="s">
        <v>75</v>
      </c>
      <c r="F8962" s="0" t="s">
        <v>15</v>
      </c>
      <c r="G8962" s="0" t="s">
        <v>32</v>
      </c>
      <c r="H8962" s="0" t="n">
        <v>61</v>
      </c>
      <c r="I8962" s="0" t="s">
        <v>29812</v>
      </c>
      <c r="J8962" s="0" t="s">
        <v>29813</v>
      </c>
      <c r="K8962" s="0" t="s">
        <v>29814</v>
      </c>
      <c r="L8962" s="0" t="str">
        <f aca="false">HYPERLINK("https://www.ncbi.nlm.nih.gov/nuccore/CP000058.1?report=graph&amp;tracks=[key:gene_model_track,Options:GeneOnly]&amp;mk=2821030:2821049|offset_8|444444,2821056:2821075|offset_34|444444,2821083:2821102|offset_61|00cc00,2821116:2821135|offset_94|444444&amp;v=2820829:2821335&amp;c=444444", "offset 61")</f>
        <v>offset 61</v>
      </c>
    </row>
    <row r="8963" customFormat="false" ht="12.8" hidden="false" customHeight="false" outlineLevel="0" collapsed="false">
      <c r="A8963" s="0" t="s">
        <v>12</v>
      </c>
      <c r="B8963" s="0" t="n">
        <v>2821115</v>
      </c>
      <c r="C8963" s="0" t="n">
        <v>2821135</v>
      </c>
      <c r="D8963" s="0" t="s">
        <v>29805</v>
      </c>
      <c r="E8963" s="0" t="s">
        <v>75</v>
      </c>
      <c r="F8963" s="0" t="s">
        <v>15</v>
      </c>
      <c r="G8963" s="0" t="s">
        <v>32</v>
      </c>
      <c r="H8963" s="0" t="n">
        <v>94</v>
      </c>
      <c r="I8963" s="0" t="s">
        <v>29815</v>
      </c>
      <c r="J8963" s="0" t="s">
        <v>29816</v>
      </c>
      <c r="K8963" s="0" t="s">
        <v>29817</v>
      </c>
      <c r="L8963" s="0" t="str">
        <f aca="false">HYPERLINK("https://www.ncbi.nlm.nih.gov/nuccore/CP000058.1?report=graph&amp;tracks=[key:gene_model_track,Options:GeneOnly]&amp;mk=2821030:2821049|offset_8|444444,2821056:2821075|offset_34|444444,2821083:2821102|offset_61|444444,2821116:2821135|offset_94|00cc00&amp;v=2820829:2821335&amp;c=444444", "offset 94")</f>
        <v>offset 94</v>
      </c>
    </row>
    <row r="8964" customFormat="false" ht="12.8" hidden="false" customHeight="false" outlineLevel="0" collapsed="false">
      <c r="A8964" s="0" t="s">
        <v>12</v>
      </c>
      <c r="B8964" s="0" t="n">
        <v>2822165</v>
      </c>
      <c r="C8964" s="0" t="n">
        <v>2822185</v>
      </c>
      <c r="D8964" s="0" t="s">
        <v>29818</v>
      </c>
      <c r="E8964" s="0" t="s">
        <v>75</v>
      </c>
      <c r="F8964" s="0" t="s">
        <v>15</v>
      </c>
      <c r="G8964" s="0" t="s">
        <v>16</v>
      </c>
      <c r="H8964" s="0" t="n">
        <v>57</v>
      </c>
      <c r="I8964" s="0" t="s">
        <v>29819</v>
      </c>
      <c r="J8964" s="0" t="s">
        <v>29820</v>
      </c>
      <c r="K8964" s="0" t="s">
        <v>29821</v>
      </c>
      <c r="L8964" s="0" t="str">
        <f aca="false">HYPERLINK("https://www.ncbi.nlm.nih.gov/nuccore/CP000058.1?report=graph&amp;tracks=[key:gene_model_track,Options:GeneOnly]&amp;mk=2822166:2822185|offset_57|00cc00,2822197:2822216|offset_88|444444,2822222:2822241|offset_113|444444,2822254:2822273|offset_145|444444&amp;v=2821965:2822473&amp;c=444444", "offset 57")</f>
        <v>offset 57</v>
      </c>
    </row>
    <row r="8965" customFormat="false" ht="12.8" hidden="false" customHeight="false" outlineLevel="0" collapsed="false">
      <c r="A8965" s="0" t="s">
        <v>12</v>
      </c>
      <c r="B8965" s="0" t="n">
        <v>2822196</v>
      </c>
      <c r="C8965" s="0" t="n">
        <v>2822216</v>
      </c>
      <c r="D8965" s="0" t="s">
        <v>29818</v>
      </c>
      <c r="E8965" s="0" t="s">
        <v>75</v>
      </c>
      <c r="F8965" s="0" t="s">
        <v>15</v>
      </c>
      <c r="G8965" s="0" t="s">
        <v>32</v>
      </c>
      <c r="H8965" s="0" t="n">
        <v>88</v>
      </c>
      <c r="I8965" s="0" t="s">
        <v>29822</v>
      </c>
      <c r="J8965" s="0" t="s">
        <v>29823</v>
      </c>
      <c r="K8965" s="0" t="s">
        <v>29824</v>
      </c>
      <c r="L8965" s="0" t="str">
        <f aca="false">HYPERLINK("https://www.ncbi.nlm.nih.gov/nuccore/CP000058.1?report=graph&amp;tracks=[key:gene_model_track,Options:GeneOnly]&amp;mk=2822166:2822185|offset_57|444444,2822197:2822216|offset_88|00cc00,2822222:2822241|offset_113|444444,2822254:2822273|offset_145|444444&amp;v=2821965:2822473&amp;c=444444", "offset 88")</f>
        <v>offset 88</v>
      </c>
    </row>
    <row r="8966" customFormat="false" ht="12.8" hidden="false" customHeight="false" outlineLevel="0" collapsed="false">
      <c r="A8966" s="0" t="s">
        <v>12</v>
      </c>
      <c r="B8966" s="0" t="n">
        <v>2822221</v>
      </c>
      <c r="C8966" s="0" t="n">
        <v>2822241</v>
      </c>
      <c r="D8966" s="0" t="s">
        <v>29818</v>
      </c>
      <c r="E8966" s="0" t="s">
        <v>75</v>
      </c>
      <c r="F8966" s="0" t="s">
        <v>15</v>
      </c>
      <c r="G8966" s="0" t="s">
        <v>20</v>
      </c>
      <c r="H8966" s="0" t="n">
        <v>113</v>
      </c>
      <c r="I8966" s="0" t="s">
        <v>29825</v>
      </c>
      <c r="J8966" s="0" t="s">
        <v>29826</v>
      </c>
      <c r="K8966" s="0" t="s">
        <v>29827</v>
      </c>
      <c r="L8966" s="0" t="str">
        <f aca="false">HYPERLINK("https://www.ncbi.nlm.nih.gov/nuccore/CP000058.1?report=graph&amp;tracks=[key:gene_model_track,Options:GeneOnly]&amp;mk=2822166:2822185|offset_57|444444,2822197:2822216|offset_88|444444,2822222:2822241|offset_113|00cc00,2822254:2822273|offset_145|444444&amp;v=2821965:2822473&amp;c=444444", "offset 113")</f>
        <v>offset 113</v>
      </c>
    </row>
    <row r="8967" customFormat="false" ht="12.8" hidden="false" customHeight="false" outlineLevel="0" collapsed="false">
      <c r="A8967" s="0" t="s">
        <v>12</v>
      </c>
      <c r="B8967" s="0" t="n">
        <v>2822253</v>
      </c>
      <c r="C8967" s="0" t="n">
        <v>2822273</v>
      </c>
      <c r="D8967" s="0" t="s">
        <v>29818</v>
      </c>
      <c r="E8967" s="0" t="s">
        <v>75</v>
      </c>
      <c r="F8967" s="0" t="s">
        <v>15</v>
      </c>
      <c r="G8967" s="0" t="s">
        <v>32</v>
      </c>
      <c r="H8967" s="0" t="n">
        <v>145</v>
      </c>
      <c r="I8967" s="0" t="s">
        <v>29828</v>
      </c>
      <c r="J8967" s="0" t="s">
        <v>29829</v>
      </c>
      <c r="K8967" s="0" t="s">
        <v>29830</v>
      </c>
      <c r="L8967" s="0" t="str">
        <f aca="false">HYPERLINK("https://www.ncbi.nlm.nih.gov/nuccore/CP000058.1?report=graph&amp;tracks=[key:gene_model_track,Options:GeneOnly]&amp;mk=2822166:2822185|offset_57|444444,2822197:2822216|offset_88|444444,2822222:2822241|offset_113|444444,2822254:2822273|offset_145|00cc00&amp;v=2821965:2822473&amp;c=444444", "offset 145")</f>
        <v>offset 145</v>
      </c>
    </row>
    <row r="8968" customFormat="false" ht="12.8" hidden="false" customHeight="false" outlineLevel="0" collapsed="false">
      <c r="A8968" s="0" t="s">
        <v>12</v>
      </c>
      <c r="B8968" s="0" t="n">
        <v>2824042</v>
      </c>
      <c r="C8968" s="0" t="n">
        <v>2824062</v>
      </c>
      <c r="D8968" s="0" t="s">
        <v>29831</v>
      </c>
      <c r="E8968" s="0" t="s">
        <v>75</v>
      </c>
      <c r="F8968" s="0" t="s">
        <v>15</v>
      </c>
      <c r="G8968" s="0" t="s">
        <v>20</v>
      </c>
      <c r="H8968" s="0" t="n">
        <v>1</v>
      </c>
      <c r="I8968" s="0" t="s">
        <v>29832</v>
      </c>
      <c r="J8968" s="0" t="s">
        <v>29833</v>
      </c>
      <c r="K8968" s="0" t="s">
        <v>29834</v>
      </c>
      <c r="L8968" s="0" t="str">
        <f aca="false">HYPERLINK("https://www.ncbi.nlm.nih.gov/nuccore/CP000058.1?report=graph&amp;tracks=[key:gene_model_track,Options:GeneOnly]&amp;mk=2824043:2824062|offset_1|00cc00,2824069:2824088|offset_27|444444,2824113:2824132|offset_71|444444,2824137:2824156|offset_95|444444&amp;v=2823842:2824356&amp;c=444444", "offset 1")</f>
        <v>offset 1</v>
      </c>
    </row>
    <row r="8969" customFormat="false" ht="12.8" hidden="false" customHeight="false" outlineLevel="0" collapsed="false">
      <c r="A8969" s="0" t="s">
        <v>12</v>
      </c>
      <c r="B8969" s="0" t="n">
        <v>2824068</v>
      </c>
      <c r="C8969" s="0" t="n">
        <v>2824088</v>
      </c>
      <c r="D8969" s="0" t="s">
        <v>29831</v>
      </c>
      <c r="E8969" s="0" t="s">
        <v>75</v>
      </c>
      <c r="F8969" s="0" t="s">
        <v>15</v>
      </c>
      <c r="G8969" s="0" t="s">
        <v>16</v>
      </c>
      <c r="H8969" s="0" t="n">
        <v>27</v>
      </c>
      <c r="I8969" s="0" t="s">
        <v>29835</v>
      </c>
      <c r="J8969" s="0" t="s">
        <v>29836</v>
      </c>
      <c r="K8969" s="0" t="s">
        <v>29837</v>
      </c>
      <c r="L8969" s="0" t="str">
        <f aca="false">HYPERLINK("https://www.ncbi.nlm.nih.gov/nuccore/CP000058.1?report=graph&amp;tracks=[key:gene_model_track,Options:GeneOnly]&amp;mk=2824043:2824062|offset_1|444444,2824069:2824088|offset_27|00cc00,2824113:2824132|offset_71|444444,2824137:2824156|offset_95|444444&amp;v=2823842:2824356&amp;c=444444", "offset 27")</f>
        <v>offset 27</v>
      </c>
    </row>
    <row r="8970" customFormat="false" ht="12.8" hidden="false" customHeight="false" outlineLevel="0" collapsed="false">
      <c r="A8970" s="0" t="s">
        <v>12</v>
      </c>
      <c r="B8970" s="0" t="n">
        <v>2824112</v>
      </c>
      <c r="C8970" s="0" t="n">
        <v>2824132</v>
      </c>
      <c r="D8970" s="0" t="s">
        <v>29831</v>
      </c>
      <c r="E8970" s="0" t="s">
        <v>75</v>
      </c>
      <c r="F8970" s="0" t="s">
        <v>15</v>
      </c>
      <c r="G8970" s="0" t="s">
        <v>20</v>
      </c>
      <c r="H8970" s="0" t="n">
        <v>71</v>
      </c>
      <c r="I8970" s="0" t="s">
        <v>29838</v>
      </c>
      <c r="J8970" s="0" t="s">
        <v>29839</v>
      </c>
      <c r="K8970" s="0" t="s">
        <v>29840</v>
      </c>
      <c r="L8970" s="0" t="str">
        <f aca="false">HYPERLINK("https://www.ncbi.nlm.nih.gov/nuccore/CP000058.1?report=graph&amp;tracks=[key:gene_model_track,Options:GeneOnly]&amp;mk=2824043:2824062|offset_1|444444,2824069:2824088|offset_27|444444,2824113:2824132|offset_71|00cc00,2824137:2824156|offset_95|444444&amp;v=2823842:2824356&amp;c=444444", "offset 71")</f>
        <v>offset 71</v>
      </c>
    </row>
    <row r="8971" customFormat="false" ht="12.8" hidden="false" customHeight="false" outlineLevel="0" collapsed="false">
      <c r="A8971" s="0" t="s">
        <v>12</v>
      </c>
      <c r="B8971" s="0" t="n">
        <v>2824136</v>
      </c>
      <c r="C8971" s="0" t="n">
        <v>2824156</v>
      </c>
      <c r="D8971" s="0" t="s">
        <v>29831</v>
      </c>
      <c r="E8971" s="0" t="s">
        <v>75</v>
      </c>
      <c r="F8971" s="0" t="s">
        <v>15</v>
      </c>
      <c r="G8971" s="0" t="s">
        <v>20</v>
      </c>
      <c r="H8971" s="0" t="n">
        <v>95</v>
      </c>
      <c r="I8971" s="0" t="s">
        <v>29841</v>
      </c>
      <c r="J8971" s="0" t="s">
        <v>29842</v>
      </c>
      <c r="K8971" s="0" t="s">
        <v>29843</v>
      </c>
      <c r="L8971" s="0" t="str">
        <f aca="false">HYPERLINK("https://www.ncbi.nlm.nih.gov/nuccore/CP000058.1?report=graph&amp;tracks=[key:gene_model_track,Options:GeneOnly]&amp;mk=2824043:2824062|offset_1|444444,2824069:2824088|offset_27|444444,2824113:2824132|offset_71|444444,2824137:2824156|offset_95|00cc00&amp;v=2823842:2824356&amp;c=444444", "offset 95")</f>
        <v>offset 95</v>
      </c>
    </row>
    <row r="8972" customFormat="false" ht="12.8" hidden="false" customHeight="false" outlineLevel="0" collapsed="false">
      <c r="A8972" s="0" t="s">
        <v>12</v>
      </c>
      <c r="B8972" s="0" t="n">
        <v>2824782</v>
      </c>
      <c r="C8972" s="0" t="n">
        <v>2824802</v>
      </c>
      <c r="D8972" s="0" t="s">
        <v>29844</v>
      </c>
      <c r="E8972" s="0" t="s">
        <v>75</v>
      </c>
      <c r="F8972" s="0" t="s">
        <v>15</v>
      </c>
      <c r="G8972" s="0" t="s">
        <v>16</v>
      </c>
      <c r="H8972" s="0" t="n">
        <v>10</v>
      </c>
      <c r="I8972" s="0" t="s">
        <v>29845</v>
      </c>
      <c r="J8972" s="0" t="s">
        <v>29846</v>
      </c>
      <c r="K8972" s="0" t="s">
        <v>29847</v>
      </c>
      <c r="L8972" s="0" t="str">
        <f aca="false">HYPERLINK("https://www.ncbi.nlm.nih.gov/nuccore/CP000058.1?report=graph&amp;tracks=[key:gene_model_track,Options:GeneOnly]&amp;mk=2824783:2824802|offset_10|00cc00,2824830:2824849|offset_57|444444,2824858:2824877|offset_85|444444,2824908:2824927|offset_135|444444&amp;v=2824582:2825127&amp;c=444444", "offset 10")</f>
        <v>offset 10</v>
      </c>
    </row>
    <row r="8973" customFormat="false" ht="12.8" hidden="false" customHeight="false" outlineLevel="0" collapsed="false">
      <c r="A8973" s="0" t="s">
        <v>12</v>
      </c>
      <c r="B8973" s="0" t="n">
        <v>2824829</v>
      </c>
      <c r="C8973" s="0" t="n">
        <v>2824849</v>
      </c>
      <c r="D8973" s="0" t="s">
        <v>29844</v>
      </c>
      <c r="E8973" s="0" t="s">
        <v>75</v>
      </c>
      <c r="F8973" s="0" t="s">
        <v>15</v>
      </c>
      <c r="G8973" s="0" t="s">
        <v>36</v>
      </c>
      <c r="H8973" s="0" t="n">
        <v>57</v>
      </c>
      <c r="I8973" s="0" t="s">
        <v>29848</v>
      </c>
      <c r="J8973" s="0" t="s">
        <v>29849</v>
      </c>
      <c r="K8973" s="0" t="s">
        <v>29850</v>
      </c>
      <c r="L8973" s="0" t="str">
        <f aca="false">HYPERLINK("https://www.ncbi.nlm.nih.gov/nuccore/CP000058.1?report=graph&amp;tracks=[key:gene_model_track,Options:GeneOnly]&amp;mk=2824783:2824802|offset_10|444444,2824830:2824849|offset_57|00cc00,2824858:2824877|offset_85|444444,2824908:2824927|offset_135|444444&amp;v=2824582:2825127&amp;c=444444", "offset 57")</f>
        <v>offset 57</v>
      </c>
    </row>
    <row r="8974" customFormat="false" ht="12.8" hidden="false" customHeight="false" outlineLevel="0" collapsed="false">
      <c r="A8974" s="0" t="s">
        <v>12</v>
      </c>
      <c r="B8974" s="0" t="n">
        <v>2824857</v>
      </c>
      <c r="C8974" s="0" t="n">
        <v>2824877</v>
      </c>
      <c r="D8974" s="0" t="s">
        <v>29844</v>
      </c>
      <c r="E8974" s="0" t="s">
        <v>75</v>
      </c>
      <c r="F8974" s="0" t="s">
        <v>15</v>
      </c>
      <c r="G8974" s="0" t="s">
        <v>36</v>
      </c>
      <c r="H8974" s="0" t="n">
        <v>85</v>
      </c>
      <c r="I8974" s="0" t="s">
        <v>29851</v>
      </c>
      <c r="J8974" s="0" t="s">
        <v>29852</v>
      </c>
      <c r="K8974" s="0" t="s">
        <v>29853</v>
      </c>
      <c r="L8974" s="0" t="str">
        <f aca="false">HYPERLINK("https://www.ncbi.nlm.nih.gov/nuccore/CP000058.1?report=graph&amp;tracks=[key:gene_model_track,Options:GeneOnly]&amp;mk=2824783:2824802|offset_10|444444,2824830:2824849|offset_57|444444,2824858:2824877|offset_85|00cc00,2824908:2824927|offset_135|444444&amp;v=2824582:2825127&amp;c=444444", "offset 85")</f>
        <v>offset 85</v>
      </c>
    </row>
    <row r="8975" customFormat="false" ht="12.8" hidden="false" customHeight="false" outlineLevel="0" collapsed="false">
      <c r="A8975" s="0" t="s">
        <v>12</v>
      </c>
      <c r="B8975" s="0" t="n">
        <v>2824907</v>
      </c>
      <c r="C8975" s="0" t="n">
        <v>2824927</v>
      </c>
      <c r="D8975" s="0" t="s">
        <v>29844</v>
      </c>
      <c r="E8975" s="0" t="s">
        <v>75</v>
      </c>
      <c r="F8975" s="0" t="s">
        <v>15</v>
      </c>
      <c r="G8975" s="0" t="s">
        <v>16</v>
      </c>
      <c r="H8975" s="0" t="n">
        <v>135</v>
      </c>
      <c r="I8975" s="0" t="s">
        <v>29854</v>
      </c>
      <c r="J8975" s="0" t="s">
        <v>29855</v>
      </c>
      <c r="K8975" s="0" t="s">
        <v>29856</v>
      </c>
      <c r="L8975" s="0" t="str">
        <f aca="false">HYPERLINK("https://www.ncbi.nlm.nih.gov/nuccore/CP000058.1?report=graph&amp;tracks=[key:gene_model_track,Options:GeneOnly]&amp;mk=2824783:2824802|offset_10|444444,2824830:2824849|offset_57|444444,2824858:2824877|offset_85|444444,2824908:2824927|offset_135|00cc00&amp;v=2824582:2825127&amp;c=444444", "offset 135")</f>
        <v>offset 135</v>
      </c>
    </row>
    <row r="8976" customFormat="false" ht="12.8" hidden="false" customHeight="false" outlineLevel="0" collapsed="false">
      <c r="A8976" s="0" t="s">
        <v>12</v>
      </c>
      <c r="B8976" s="0" t="n">
        <v>2826130</v>
      </c>
      <c r="C8976" s="0" t="n">
        <v>2826150</v>
      </c>
      <c r="D8976" s="0" t="s">
        <v>29857</v>
      </c>
      <c r="E8976" s="0" t="s">
        <v>75</v>
      </c>
      <c r="F8976" s="0" t="s">
        <v>90</v>
      </c>
      <c r="G8976" s="0" t="s">
        <v>36</v>
      </c>
      <c r="H8976" s="0" t="n">
        <v>7</v>
      </c>
      <c r="I8976" s="0" t="s">
        <v>29858</v>
      </c>
      <c r="J8976" s="0" t="s">
        <v>29859</v>
      </c>
      <c r="K8976" s="0" t="s">
        <v>29860</v>
      </c>
      <c r="L8976" s="0" t="str">
        <f aca="false">HYPERLINK("https://www.ncbi.nlm.nih.gov/nuccore/CP000058.1?report=graph&amp;tracks=[key:gene_model_track,Options:GeneOnly]&amp;mk=2826131:2826150|offset_7|00cc00,2826092:2826111|offset_46|444444,2826058:2826077|offset_80|444444,2826032:2826051|offset_106|444444&amp;v=2825930:2826251&amp;c=444444", "offset 7")</f>
        <v>offset 7</v>
      </c>
    </row>
    <row r="8977" customFormat="false" ht="12.8" hidden="false" customHeight="false" outlineLevel="0" collapsed="false">
      <c r="A8977" s="0" t="s">
        <v>12</v>
      </c>
      <c r="B8977" s="0" t="n">
        <v>2826091</v>
      </c>
      <c r="C8977" s="0" t="n">
        <v>2826111</v>
      </c>
      <c r="D8977" s="0" t="s">
        <v>29857</v>
      </c>
      <c r="E8977" s="0" t="s">
        <v>75</v>
      </c>
      <c r="F8977" s="0" t="s">
        <v>90</v>
      </c>
      <c r="G8977" s="0" t="s">
        <v>16</v>
      </c>
      <c r="H8977" s="0" t="n">
        <v>46</v>
      </c>
      <c r="I8977" s="0" t="s">
        <v>29861</v>
      </c>
      <c r="J8977" s="0" t="s">
        <v>29862</v>
      </c>
      <c r="K8977" s="0" t="s">
        <v>29863</v>
      </c>
      <c r="L8977" s="0" t="str">
        <f aca="false">HYPERLINK("https://www.ncbi.nlm.nih.gov/nuccore/CP000058.1?report=graph&amp;tracks=[key:gene_model_track,Options:GeneOnly]&amp;mk=2826131:2826150|offset_7|444444,2826092:2826111|offset_46|00cc00,2826058:2826077|offset_80|444444,2826032:2826051|offset_106|444444&amp;v=2825930:2826251&amp;c=444444", "offset 46")</f>
        <v>offset 46</v>
      </c>
    </row>
    <row r="8978" customFormat="false" ht="12.8" hidden="false" customHeight="false" outlineLevel="0" collapsed="false">
      <c r="A8978" s="0" t="s">
        <v>12</v>
      </c>
      <c r="B8978" s="0" t="n">
        <v>2826057</v>
      </c>
      <c r="C8978" s="0" t="n">
        <v>2826077</v>
      </c>
      <c r="D8978" s="0" t="s">
        <v>29857</v>
      </c>
      <c r="E8978" s="0" t="s">
        <v>75</v>
      </c>
      <c r="F8978" s="0" t="s">
        <v>90</v>
      </c>
      <c r="G8978" s="0" t="s">
        <v>20</v>
      </c>
      <c r="H8978" s="0" t="n">
        <v>80</v>
      </c>
      <c r="I8978" s="0" t="s">
        <v>29864</v>
      </c>
      <c r="J8978" s="0" t="s">
        <v>29865</v>
      </c>
      <c r="K8978" s="0" t="s">
        <v>29866</v>
      </c>
      <c r="L8978" s="0" t="str">
        <f aca="false">HYPERLINK("https://www.ncbi.nlm.nih.gov/nuccore/CP000058.1?report=graph&amp;tracks=[key:gene_model_track,Options:GeneOnly]&amp;mk=2826131:2826150|offset_7|444444,2826092:2826111|offset_46|444444,2826058:2826077|offset_80|00cc00,2826032:2826051|offset_106|444444&amp;v=2825930:2826251&amp;c=444444", "offset 80")</f>
        <v>offset 80</v>
      </c>
    </row>
    <row r="8979" customFormat="false" ht="12.8" hidden="false" customHeight="false" outlineLevel="0" collapsed="false">
      <c r="A8979" s="0" t="s">
        <v>12</v>
      </c>
      <c r="B8979" s="0" t="n">
        <v>2826031</v>
      </c>
      <c r="C8979" s="0" t="n">
        <v>2826051</v>
      </c>
      <c r="D8979" s="0" t="s">
        <v>29857</v>
      </c>
      <c r="E8979" s="0" t="s">
        <v>75</v>
      </c>
      <c r="F8979" s="0" t="s">
        <v>90</v>
      </c>
      <c r="G8979" s="0" t="s">
        <v>32</v>
      </c>
      <c r="H8979" s="0" t="n">
        <v>106</v>
      </c>
      <c r="I8979" s="0" t="s">
        <v>29867</v>
      </c>
      <c r="J8979" s="0" t="s">
        <v>29868</v>
      </c>
      <c r="K8979" s="0" t="s">
        <v>29869</v>
      </c>
      <c r="L8979" s="0" t="str">
        <f aca="false">HYPERLINK("https://www.ncbi.nlm.nih.gov/nuccore/CP000058.1?report=graph&amp;tracks=[key:gene_model_track,Options:GeneOnly]&amp;mk=2826131:2826150|offset_7|444444,2826092:2826111|offset_46|444444,2826058:2826077|offset_80|444444,2826032:2826051|offset_106|00cc00&amp;v=2825930:2826251&amp;c=444444", "offset 106")</f>
        <v>offset 106</v>
      </c>
    </row>
    <row r="8980" customFormat="false" ht="12.8" hidden="false" customHeight="false" outlineLevel="0" collapsed="false">
      <c r="A8980" s="0" t="s">
        <v>12</v>
      </c>
      <c r="B8980" s="0" t="n">
        <v>2826315</v>
      </c>
      <c r="C8980" s="0" t="n">
        <v>2826335</v>
      </c>
      <c r="D8980" s="0" t="s">
        <v>29870</v>
      </c>
      <c r="E8980" s="0" t="s">
        <v>75</v>
      </c>
      <c r="F8980" s="0" t="s">
        <v>15</v>
      </c>
      <c r="G8980" s="0" t="s">
        <v>32</v>
      </c>
      <c r="H8980" s="0" t="n">
        <v>1</v>
      </c>
      <c r="I8980" s="0" t="s">
        <v>29871</v>
      </c>
      <c r="J8980" s="0" t="s">
        <v>29872</v>
      </c>
      <c r="K8980" s="0" t="s">
        <v>29873</v>
      </c>
      <c r="L8980" s="0" t="str">
        <f aca="false">HYPERLINK("https://www.ncbi.nlm.nih.gov/nuccore/CP000058.1?report=graph&amp;tracks=[key:gene_model_track,Options:GeneOnly]&amp;mk=2826316:2826335|offset_1|00cc00,2826367:2826386|offset_52|444444,2826400:2826419|offset_85|444444,2826427:2826446|offset_112|444444&amp;v=2826115:2826646&amp;c=444444", "offset 1")</f>
        <v>offset 1</v>
      </c>
    </row>
    <row r="8981" customFormat="false" ht="12.8" hidden="false" customHeight="false" outlineLevel="0" collapsed="false">
      <c r="A8981" s="0" t="s">
        <v>12</v>
      </c>
      <c r="B8981" s="0" t="n">
        <v>2826366</v>
      </c>
      <c r="C8981" s="0" t="n">
        <v>2826386</v>
      </c>
      <c r="D8981" s="0" t="s">
        <v>29870</v>
      </c>
      <c r="E8981" s="0" t="s">
        <v>75</v>
      </c>
      <c r="F8981" s="0" t="s">
        <v>15</v>
      </c>
      <c r="G8981" s="0" t="s">
        <v>32</v>
      </c>
      <c r="H8981" s="0" t="n">
        <v>52</v>
      </c>
      <c r="I8981" s="0" t="s">
        <v>29874</v>
      </c>
      <c r="J8981" s="0" t="s">
        <v>29875</v>
      </c>
      <c r="K8981" s="0" t="s">
        <v>29876</v>
      </c>
      <c r="L8981" s="0" t="str">
        <f aca="false">HYPERLINK("https://www.ncbi.nlm.nih.gov/nuccore/CP000058.1?report=graph&amp;tracks=[key:gene_model_track,Options:GeneOnly]&amp;mk=2826316:2826335|offset_1|444444,2826367:2826386|offset_52|00cc00,2826400:2826419|offset_85|444444,2826427:2826446|offset_112|444444&amp;v=2826115:2826646&amp;c=444444", "offset 52")</f>
        <v>offset 52</v>
      </c>
    </row>
    <row r="8982" customFormat="false" ht="12.8" hidden="false" customHeight="false" outlineLevel="0" collapsed="false">
      <c r="A8982" s="0" t="s">
        <v>12</v>
      </c>
      <c r="B8982" s="0" t="n">
        <v>2826399</v>
      </c>
      <c r="C8982" s="0" t="n">
        <v>2826419</v>
      </c>
      <c r="D8982" s="0" t="s">
        <v>29870</v>
      </c>
      <c r="E8982" s="0" t="s">
        <v>75</v>
      </c>
      <c r="F8982" s="0" t="s">
        <v>15</v>
      </c>
      <c r="G8982" s="0" t="s">
        <v>20</v>
      </c>
      <c r="H8982" s="0" t="n">
        <v>85</v>
      </c>
      <c r="I8982" s="0" t="s">
        <v>29877</v>
      </c>
      <c r="J8982" s="0" t="s">
        <v>29878</v>
      </c>
      <c r="K8982" s="0" t="s">
        <v>29879</v>
      </c>
      <c r="L8982" s="0" t="str">
        <f aca="false">HYPERLINK("https://www.ncbi.nlm.nih.gov/nuccore/CP000058.1?report=graph&amp;tracks=[key:gene_model_track,Options:GeneOnly]&amp;mk=2826316:2826335|offset_1|444444,2826367:2826386|offset_52|444444,2826400:2826419|offset_85|00cc00,2826427:2826446|offset_112|444444&amp;v=2826115:2826646&amp;c=444444", "offset 85")</f>
        <v>offset 85</v>
      </c>
    </row>
    <row r="8983" customFormat="false" ht="12.8" hidden="false" customHeight="false" outlineLevel="0" collapsed="false">
      <c r="A8983" s="0" t="s">
        <v>12</v>
      </c>
      <c r="B8983" s="0" t="n">
        <v>2826426</v>
      </c>
      <c r="C8983" s="0" t="n">
        <v>2826446</v>
      </c>
      <c r="D8983" s="0" t="s">
        <v>29870</v>
      </c>
      <c r="E8983" s="0" t="s">
        <v>75</v>
      </c>
      <c r="F8983" s="0" t="s">
        <v>15</v>
      </c>
      <c r="G8983" s="0" t="s">
        <v>16</v>
      </c>
      <c r="H8983" s="0" t="n">
        <v>112</v>
      </c>
      <c r="I8983" s="0" t="s">
        <v>29880</v>
      </c>
      <c r="J8983" s="0" t="s">
        <v>29881</v>
      </c>
      <c r="K8983" s="0" t="s">
        <v>29882</v>
      </c>
      <c r="L8983" s="0" t="str">
        <f aca="false">HYPERLINK("https://www.ncbi.nlm.nih.gov/nuccore/CP000058.1?report=graph&amp;tracks=[key:gene_model_track,Options:GeneOnly]&amp;mk=2826316:2826335|offset_1|444444,2826367:2826386|offset_52|444444,2826400:2826419|offset_85|444444,2826427:2826446|offset_112|00cc00&amp;v=2826115:2826646&amp;c=444444", "offset 112")</f>
        <v>offset 112</v>
      </c>
    </row>
    <row r="8984" customFormat="false" ht="12.8" hidden="false" customHeight="false" outlineLevel="0" collapsed="false">
      <c r="A8984" s="0" t="s">
        <v>12</v>
      </c>
      <c r="B8984" s="0" t="n">
        <v>2827168</v>
      </c>
      <c r="C8984" s="0" t="n">
        <v>2827188</v>
      </c>
      <c r="D8984" s="0" t="s">
        <v>29883</v>
      </c>
      <c r="E8984" s="0" t="s">
        <v>75</v>
      </c>
      <c r="F8984" s="0" t="s">
        <v>15</v>
      </c>
      <c r="G8984" s="0" t="s">
        <v>16</v>
      </c>
      <c r="H8984" s="0" t="n">
        <v>12</v>
      </c>
      <c r="I8984" s="0" t="s">
        <v>29884</v>
      </c>
      <c r="J8984" s="0" t="s">
        <v>29885</v>
      </c>
      <c r="K8984" s="0" t="s">
        <v>29886</v>
      </c>
      <c r="L8984" s="0" t="str">
        <f aca="false">HYPERLINK("https://www.ncbi.nlm.nih.gov/nuccore/CP000058.1?report=graph&amp;tracks=[key:gene_model_track,Options:GeneOnly]&amp;mk=2827169:2827188|offset_12|00cc00,2827263:2827282|offset_106|444444,2827309:2827328|offset_152|444444,2827333:2827352|offset_176|444444&amp;v=2826968:2827552&amp;c=444444", "offset 12")</f>
        <v>offset 12</v>
      </c>
    </row>
    <row r="8985" customFormat="false" ht="12.8" hidden="false" customHeight="false" outlineLevel="0" collapsed="false">
      <c r="A8985" s="0" t="s">
        <v>12</v>
      </c>
      <c r="B8985" s="0" t="n">
        <v>2827262</v>
      </c>
      <c r="C8985" s="0" t="n">
        <v>2827282</v>
      </c>
      <c r="D8985" s="0" t="s">
        <v>29883</v>
      </c>
      <c r="E8985" s="0" t="s">
        <v>75</v>
      </c>
      <c r="F8985" s="0" t="s">
        <v>15</v>
      </c>
      <c r="G8985" s="0" t="s">
        <v>36</v>
      </c>
      <c r="H8985" s="0" t="n">
        <v>106</v>
      </c>
      <c r="I8985" s="0" t="s">
        <v>29887</v>
      </c>
      <c r="J8985" s="0" t="s">
        <v>29888</v>
      </c>
      <c r="K8985" s="0" t="s">
        <v>29889</v>
      </c>
      <c r="L8985" s="0" t="str">
        <f aca="false">HYPERLINK("https://www.ncbi.nlm.nih.gov/nuccore/CP000058.1?report=graph&amp;tracks=[key:gene_model_track,Options:GeneOnly]&amp;mk=2827169:2827188|offset_12|444444,2827263:2827282|offset_106|00cc00,2827309:2827328|offset_152|444444,2827333:2827352|offset_176|444444&amp;v=2826968:2827552&amp;c=444444", "offset 106")</f>
        <v>offset 106</v>
      </c>
    </row>
    <row r="8986" customFormat="false" ht="12.8" hidden="false" customHeight="false" outlineLevel="0" collapsed="false">
      <c r="A8986" s="0" t="s">
        <v>12</v>
      </c>
      <c r="B8986" s="0" t="n">
        <v>2827308</v>
      </c>
      <c r="C8986" s="0" t="n">
        <v>2827328</v>
      </c>
      <c r="D8986" s="0" t="s">
        <v>29883</v>
      </c>
      <c r="E8986" s="0" t="s">
        <v>75</v>
      </c>
      <c r="F8986" s="0" t="s">
        <v>15</v>
      </c>
      <c r="G8986" s="0" t="s">
        <v>20</v>
      </c>
      <c r="H8986" s="0" t="n">
        <v>152</v>
      </c>
      <c r="I8986" s="0" t="s">
        <v>29890</v>
      </c>
      <c r="J8986" s="0" t="s">
        <v>29891</v>
      </c>
      <c r="K8986" s="0" t="s">
        <v>29892</v>
      </c>
      <c r="L8986" s="0" t="str">
        <f aca="false">HYPERLINK("https://www.ncbi.nlm.nih.gov/nuccore/CP000058.1?report=graph&amp;tracks=[key:gene_model_track,Options:GeneOnly]&amp;mk=2827169:2827188|offset_12|444444,2827263:2827282|offset_106|444444,2827309:2827328|offset_152|00cc00,2827333:2827352|offset_176|444444&amp;v=2826968:2827552&amp;c=444444", "offset 152")</f>
        <v>offset 152</v>
      </c>
    </row>
    <row r="8987" customFormat="false" ht="12.8" hidden="false" customHeight="false" outlineLevel="0" collapsed="false">
      <c r="A8987" s="0" t="s">
        <v>12</v>
      </c>
      <c r="B8987" s="0" t="n">
        <v>2827332</v>
      </c>
      <c r="C8987" s="0" t="n">
        <v>2827352</v>
      </c>
      <c r="D8987" s="0" t="s">
        <v>29883</v>
      </c>
      <c r="E8987" s="0" t="s">
        <v>75</v>
      </c>
      <c r="F8987" s="0" t="s">
        <v>15</v>
      </c>
      <c r="G8987" s="0" t="s">
        <v>16</v>
      </c>
      <c r="H8987" s="0" t="n">
        <v>176</v>
      </c>
      <c r="I8987" s="0" t="s">
        <v>29893</v>
      </c>
      <c r="J8987" s="0" t="s">
        <v>29894</v>
      </c>
      <c r="K8987" s="0" t="s">
        <v>29895</v>
      </c>
      <c r="L8987" s="0" t="str">
        <f aca="false">HYPERLINK("https://www.ncbi.nlm.nih.gov/nuccore/CP000058.1?report=graph&amp;tracks=[key:gene_model_track,Options:GeneOnly]&amp;mk=2827169:2827188|offset_12|444444,2827263:2827282|offset_106|444444,2827309:2827328|offset_152|444444,2827333:2827352|offset_176|00cc00&amp;v=2826968:2827552&amp;c=444444", "offset 176")</f>
        <v>offset 176</v>
      </c>
    </row>
    <row r="8988" customFormat="false" ht="12.8" hidden="false" customHeight="false" outlineLevel="0" collapsed="false">
      <c r="A8988" s="0" t="s">
        <v>12</v>
      </c>
      <c r="B8988" s="0" t="n">
        <v>2828046</v>
      </c>
      <c r="C8988" s="0" t="n">
        <v>2828066</v>
      </c>
      <c r="D8988" s="0" t="s">
        <v>29896</v>
      </c>
      <c r="E8988" s="0" t="s">
        <v>75</v>
      </c>
      <c r="F8988" s="0" t="s">
        <v>15</v>
      </c>
      <c r="G8988" s="0" t="s">
        <v>36</v>
      </c>
      <c r="H8988" s="0" t="n">
        <v>21</v>
      </c>
      <c r="I8988" s="0" t="s">
        <v>29897</v>
      </c>
      <c r="J8988" s="0" t="s">
        <v>29898</v>
      </c>
      <c r="K8988" s="0" t="s">
        <v>29899</v>
      </c>
      <c r="L8988" s="0" t="str">
        <f aca="false">HYPERLINK("https://www.ncbi.nlm.nih.gov/nuccore/CP000058.1?report=graph&amp;tracks=[key:gene_model_track,Options:GeneOnly]&amp;mk=2828047:2828066|offset_21|00cc00,2828079:2828098|offset_53|444444,2828107:2828126|offset_81|444444,2828127:2828146|offset_101|444444&amp;v=2827846:2828346&amp;c=444444", "offset 21")</f>
        <v>offset 21</v>
      </c>
    </row>
    <row r="8989" customFormat="false" ht="12.8" hidden="false" customHeight="false" outlineLevel="0" collapsed="false">
      <c r="A8989" s="0" t="s">
        <v>12</v>
      </c>
      <c r="B8989" s="0" t="n">
        <v>2828078</v>
      </c>
      <c r="C8989" s="0" t="n">
        <v>2828098</v>
      </c>
      <c r="D8989" s="0" t="s">
        <v>29896</v>
      </c>
      <c r="E8989" s="0" t="s">
        <v>75</v>
      </c>
      <c r="F8989" s="0" t="s">
        <v>15</v>
      </c>
      <c r="G8989" s="0" t="s">
        <v>16</v>
      </c>
      <c r="H8989" s="0" t="n">
        <v>53</v>
      </c>
      <c r="I8989" s="0" t="s">
        <v>29900</v>
      </c>
      <c r="J8989" s="0" t="s">
        <v>29901</v>
      </c>
      <c r="K8989" s="0" t="s">
        <v>29902</v>
      </c>
      <c r="L8989" s="0" t="str">
        <f aca="false">HYPERLINK("https://www.ncbi.nlm.nih.gov/nuccore/CP000058.1?report=graph&amp;tracks=[key:gene_model_track,Options:GeneOnly]&amp;mk=2828047:2828066|offset_21|444444,2828079:2828098|offset_53|00cc00,2828107:2828126|offset_81|444444,2828127:2828146|offset_101|444444&amp;v=2827846:2828346&amp;c=444444", "offset 53")</f>
        <v>offset 53</v>
      </c>
    </row>
    <row r="8990" customFormat="false" ht="12.8" hidden="false" customHeight="false" outlineLevel="0" collapsed="false">
      <c r="A8990" s="0" t="s">
        <v>12</v>
      </c>
      <c r="B8990" s="0" t="n">
        <v>2828106</v>
      </c>
      <c r="C8990" s="0" t="n">
        <v>2828126</v>
      </c>
      <c r="D8990" s="0" t="s">
        <v>29896</v>
      </c>
      <c r="E8990" s="0" t="s">
        <v>75</v>
      </c>
      <c r="F8990" s="0" t="s">
        <v>15</v>
      </c>
      <c r="G8990" s="0" t="s">
        <v>16</v>
      </c>
      <c r="H8990" s="0" t="n">
        <v>81</v>
      </c>
      <c r="I8990" s="0" t="s">
        <v>29903</v>
      </c>
      <c r="J8990" s="0" t="s">
        <v>29904</v>
      </c>
      <c r="K8990" s="0" t="s">
        <v>29905</v>
      </c>
      <c r="L8990" s="0" t="str">
        <f aca="false">HYPERLINK("https://www.ncbi.nlm.nih.gov/nuccore/CP000058.1?report=graph&amp;tracks=[key:gene_model_track,Options:GeneOnly]&amp;mk=2828047:2828066|offset_21|444444,2828079:2828098|offset_53|444444,2828107:2828126|offset_81|00cc00,2828127:2828146|offset_101|444444&amp;v=2827846:2828346&amp;c=444444", "offset 81")</f>
        <v>offset 81</v>
      </c>
    </row>
    <row r="8991" customFormat="false" ht="12.8" hidden="false" customHeight="false" outlineLevel="0" collapsed="false">
      <c r="A8991" s="0" t="s">
        <v>12</v>
      </c>
      <c r="B8991" s="0" t="n">
        <v>2828126</v>
      </c>
      <c r="C8991" s="0" t="n">
        <v>2828146</v>
      </c>
      <c r="D8991" s="0" t="s">
        <v>29896</v>
      </c>
      <c r="E8991" s="0" t="s">
        <v>75</v>
      </c>
      <c r="F8991" s="0" t="s">
        <v>15</v>
      </c>
      <c r="G8991" s="0" t="s">
        <v>32</v>
      </c>
      <c r="H8991" s="0" t="n">
        <v>101</v>
      </c>
      <c r="I8991" s="0" t="s">
        <v>29906</v>
      </c>
      <c r="J8991" s="0" t="s">
        <v>29907</v>
      </c>
      <c r="K8991" s="0" t="s">
        <v>29908</v>
      </c>
      <c r="L8991" s="0" t="str">
        <f aca="false">HYPERLINK("https://www.ncbi.nlm.nih.gov/nuccore/CP000058.1?report=graph&amp;tracks=[key:gene_model_track,Options:GeneOnly]&amp;mk=2828047:2828066|offset_21|444444,2828079:2828098|offset_53|444444,2828107:2828126|offset_81|444444,2828127:2828146|offset_101|00cc00&amp;v=2827846:2828346&amp;c=444444", "offset 101")</f>
        <v>offset 101</v>
      </c>
    </row>
    <row r="8992" customFormat="false" ht="12.8" hidden="false" customHeight="false" outlineLevel="0" collapsed="false">
      <c r="A8992" s="0" t="s">
        <v>12</v>
      </c>
      <c r="B8992" s="0" t="n">
        <v>2829546</v>
      </c>
      <c r="C8992" s="0" t="n">
        <v>2829566</v>
      </c>
      <c r="D8992" s="0" t="s">
        <v>29909</v>
      </c>
      <c r="E8992" s="0" t="s">
        <v>75</v>
      </c>
      <c r="F8992" s="0" t="s">
        <v>90</v>
      </c>
      <c r="G8992" s="0" t="s">
        <v>32</v>
      </c>
      <c r="H8992" s="0" t="n">
        <v>13</v>
      </c>
      <c r="I8992" s="0" t="s">
        <v>29910</v>
      </c>
      <c r="J8992" s="0" t="s">
        <v>29911</v>
      </c>
      <c r="K8992" s="0" t="s">
        <v>29912</v>
      </c>
      <c r="L8992" s="0" t="str">
        <f aca="false">HYPERLINK("https://www.ncbi.nlm.nih.gov/nuccore/CP000058.1?report=graph&amp;tracks=[key:gene_model_track,Options:GeneOnly]&amp;mk=2829547:2829566|offset_13|00cc00,2829525:2829544|offset_35|444444,2829499:2829518|offset_61|444444,2829445:2829464|offset_115|444444&amp;v=2829346:2829664&amp;c=444444", "offset 13")</f>
        <v>offset 13</v>
      </c>
    </row>
    <row r="8993" customFormat="false" ht="12.8" hidden="false" customHeight="false" outlineLevel="0" collapsed="false">
      <c r="A8993" s="0" t="s">
        <v>12</v>
      </c>
      <c r="B8993" s="0" t="n">
        <v>2829524</v>
      </c>
      <c r="C8993" s="0" t="n">
        <v>2829544</v>
      </c>
      <c r="D8993" s="0" t="s">
        <v>29909</v>
      </c>
      <c r="E8993" s="0" t="s">
        <v>75</v>
      </c>
      <c r="F8993" s="0" t="s">
        <v>90</v>
      </c>
      <c r="G8993" s="0" t="s">
        <v>16</v>
      </c>
      <c r="H8993" s="0" t="n">
        <v>35</v>
      </c>
      <c r="I8993" s="0" t="s">
        <v>29913</v>
      </c>
      <c r="J8993" s="0" t="s">
        <v>29914</v>
      </c>
      <c r="K8993" s="0" t="s">
        <v>29915</v>
      </c>
      <c r="L8993" s="0" t="str">
        <f aca="false">HYPERLINK("https://www.ncbi.nlm.nih.gov/nuccore/CP000058.1?report=graph&amp;tracks=[key:gene_model_track,Options:GeneOnly]&amp;mk=2829547:2829566|offset_13|444444,2829525:2829544|offset_35|00cc00,2829499:2829518|offset_61|444444,2829445:2829464|offset_115|444444&amp;v=2829346:2829664&amp;c=444444", "offset 35")</f>
        <v>offset 35</v>
      </c>
    </row>
    <row r="8994" customFormat="false" ht="12.8" hidden="false" customHeight="false" outlineLevel="0" collapsed="false">
      <c r="A8994" s="0" t="s">
        <v>12</v>
      </c>
      <c r="B8994" s="0" t="n">
        <v>2829498</v>
      </c>
      <c r="C8994" s="0" t="n">
        <v>2829518</v>
      </c>
      <c r="D8994" s="0" t="s">
        <v>29909</v>
      </c>
      <c r="E8994" s="0" t="s">
        <v>75</v>
      </c>
      <c r="F8994" s="0" t="s">
        <v>90</v>
      </c>
      <c r="G8994" s="0" t="s">
        <v>16</v>
      </c>
      <c r="H8994" s="0" t="n">
        <v>61</v>
      </c>
      <c r="I8994" s="0" t="s">
        <v>29916</v>
      </c>
      <c r="J8994" s="0" t="s">
        <v>29917</v>
      </c>
      <c r="K8994" s="0" t="s">
        <v>29918</v>
      </c>
      <c r="L8994" s="0" t="str">
        <f aca="false">HYPERLINK("https://www.ncbi.nlm.nih.gov/nuccore/CP000058.1?report=graph&amp;tracks=[key:gene_model_track,Options:GeneOnly]&amp;mk=2829547:2829566|offset_13|444444,2829525:2829544|offset_35|444444,2829499:2829518|offset_61|00cc00,2829445:2829464|offset_115|444444&amp;v=2829346:2829664&amp;c=444444", "offset 61")</f>
        <v>offset 61</v>
      </c>
    </row>
    <row r="8995" customFormat="false" ht="12.8" hidden="false" customHeight="false" outlineLevel="0" collapsed="false">
      <c r="A8995" s="0" t="s">
        <v>12</v>
      </c>
      <c r="B8995" s="0" t="n">
        <v>2829444</v>
      </c>
      <c r="C8995" s="0" t="n">
        <v>2829464</v>
      </c>
      <c r="D8995" s="0" t="s">
        <v>29909</v>
      </c>
      <c r="E8995" s="0" t="s">
        <v>75</v>
      </c>
      <c r="F8995" s="0" t="s">
        <v>90</v>
      </c>
      <c r="G8995" s="0" t="s">
        <v>16</v>
      </c>
      <c r="H8995" s="0" t="n">
        <v>115</v>
      </c>
      <c r="I8995" s="0" t="s">
        <v>29919</v>
      </c>
      <c r="J8995" s="0" t="s">
        <v>29920</v>
      </c>
      <c r="K8995" s="0" t="s">
        <v>29921</v>
      </c>
      <c r="L8995" s="0" t="str">
        <f aca="false">HYPERLINK("https://www.ncbi.nlm.nih.gov/nuccore/CP000058.1?report=graph&amp;tracks=[key:gene_model_track,Options:GeneOnly]&amp;mk=2829547:2829566|offset_13|444444,2829525:2829544|offset_35|444444,2829499:2829518|offset_61|444444,2829445:2829464|offset_115|00cc00&amp;v=2829346:2829664&amp;c=444444", "offset 115")</f>
        <v>offset 115</v>
      </c>
    </row>
    <row r="8996" customFormat="false" ht="12.8" hidden="false" customHeight="false" outlineLevel="0" collapsed="false">
      <c r="A8996" s="0" t="s">
        <v>12</v>
      </c>
      <c r="B8996" s="0" t="n">
        <v>2833887</v>
      </c>
      <c r="C8996" s="0" t="n">
        <v>2833907</v>
      </c>
      <c r="D8996" s="0" t="s">
        <v>29922</v>
      </c>
      <c r="E8996" s="0" t="s">
        <v>29923</v>
      </c>
      <c r="F8996" s="0" t="s">
        <v>90</v>
      </c>
      <c r="G8996" s="0" t="s">
        <v>16</v>
      </c>
      <c r="H8996" s="0" t="n">
        <v>0</v>
      </c>
      <c r="I8996" s="0" t="s">
        <v>29924</v>
      </c>
      <c r="J8996" s="0" t="s">
        <v>29925</v>
      </c>
      <c r="K8996" s="0" t="s">
        <v>29926</v>
      </c>
      <c r="L8996" s="0" t="str">
        <f aca="false">HYPERLINK("https://www.ncbi.nlm.nih.gov/nuccore/CP000058.1?report=graph&amp;tracks=[key:gene_model_track,Options:GeneOnly]&amp;mk=2833888:2833907|offset_0|00cc00,2833866:2833885|offset_22|444444,2833838:2833857|offset_50|444444,2833785:2833804|offset_103|444444&amp;v=2833687:2834004&amp;c=444444", "offset 0")</f>
        <v>offset 0</v>
      </c>
    </row>
    <row r="8997" customFormat="false" ht="12.8" hidden="false" customHeight="false" outlineLevel="0" collapsed="false">
      <c r="A8997" s="0" t="s">
        <v>12</v>
      </c>
      <c r="B8997" s="0" t="n">
        <v>2833865</v>
      </c>
      <c r="C8997" s="0" t="n">
        <v>2833885</v>
      </c>
      <c r="D8997" s="0" t="s">
        <v>29922</v>
      </c>
      <c r="E8997" s="0" t="s">
        <v>29923</v>
      </c>
      <c r="F8997" s="0" t="s">
        <v>90</v>
      </c>
      <c r="G8997" s="0" t="s">
        <v>32</v>
      </c>
      <c r="H8997" s="0" t="n">
        <v>22</v>
      </c>
      <c r="I8997" s="0" t="s">
        <v>29927</v>
      </c>
      <c r="J8997" s="0" t="s">
        <v>29928</v>
      </c>
      <c r="K8997" s="0" t="s">
        <v>29929</v>
      </c>
      <c r="L8997" s="0" t="str">
        <f aca="false">HYPERLINK("https://www.ncbi.nlm.nih.gov/nuccore/CP000058.1?report=graph&amp;tracks=[key:gene_model_track,Options:GeneOnly]&amp;mk=2833888:2833907|offset_0|444444,2833866:2833885|offset_22|00cc00,2833838:2833857|offset_50|444444,2833785:2833804|offset_103|444444&amp;v=2833687:2834004&amp;c=444444", "offset 22")</f>
        <v>offset 22</v>
      </c>
    </row>
    <row r="8998" customFormat="false" ht="12.8" hidden="false" customHeight="false" outlineLevel="0" collapsed="false">
      <c r="A8998" s="0" t="s">
        <v>12</v>
      </c>
      <c r="B8998" s="0" t="n">
        <v>2833837</v>
      </c>
      <c r="C8998" s="0" t="n">
        <v>2833857</v>
      </c>
      <c r="D8998" s="0" t="s">
        <v>29922</v>
      </c>
      <c r="E8998" s="0" t="s">
        <v>29923</v>
      </c>
      <c r="F8998" s="0" t="s">
        <v>90</v>
      </c>
      <c r="G8998" s="0" t="s">
        <v>20</v>
      </c>
      <c r="H8998" s="0" t="n">
        <v>50</v>
      </c>
      <c r="I8998" s="0" t="s">
        <v>29930</v>
      </c>
      <c r="J8998" s="0" t="s">
        <v>29931</v>
      </c>
      <c r="K8998" s="0" t="s">
        <v>29932</v>
      </c>
      <c r="L8998" s="0" t="str">
        <f aca="false">HYPERLINK("https://www.ncbi.nlm.nih.gov/nuccore/CP000058.1?report=graph&amp;tracks=[key:gene_model_track,Options:GeneOnly]&amp;mk=2833888:2833907|offset_0|444444,2833866:2833885|offset_22|444444,2833838:2833857|offset_50|00cc00,2833785:2833804|offset_103|444444&amp;v=2833687:2834004&amp;c=444444", "offset 50")</f>
        <v>offset 50</v>
      </c>
    </row>
    <row r="8999" customFormat="false" ht="12.8" hidden="false" customHeight="false" outlineLevel="0" collapsed="false">
      <c r="A8999" s="0" t="s">
        <v>12</v>
      </c>
      <c r="B8999" s="0" t="n">
        <v>2833784</v>
      </c>
      <c r="C8999" s="0" t="n">
        <v>2833804</v>
      </c>
      <c r="D8999" s="0" t="s">
        <v>29922</v>
      </c>
      <c r="E8999" s="0" t="s">
        <v>29923</v>
      </c>
      <c r="F8999" s="0" t="s">
        <v>90</v>
      </c>
      <c r="G8999" s="0" t="s">
        <v>32</v>
      </c>
      <c r="H8999" s="0" t="n">
        <v>103</v>
      </c>
      <c r="I8999" s="0" t="s">
        <v>29933</v>
      </c>
      <c r="J8999" s="0" t="s">
        <v>29934</v>
      </c>
      <c r="K8999" s="0" t="s">
        <v>29935</v>
      </c>
      <c r="L8999" s="0" t="str">
        <f aca="false">HYPERLINK("https://www.ncbi.nlm.nih.gov/nuccore/CP000058.1?report=graph&amp;tracks=[key:gene_model_track,Options:GeneOnly]&amp;mk=2833888:2833907|offset_0|444444,2833866:2833885|offset_22|444444,2833838:2833857|offset_50|444444,2833785:2833804|offset_103|00cc00&amp;v=2833687:2834004&amp;c=444444", "offset 103")</f>
        <v>offset 103</v>
      </c>
    </row>
    <row r="9000" customFormat="false" ht="12.8" hidden="false" customHeight="false" outlineLevel="0" collapsed="false">
      <c r="A9000" s="0" t="s">
        <v>12</v>
      </c>
      <c r="B9000" s="0" t="n">
        <v>2835518</v>
      </c>
      <c r="C9000" s="0" t="n">
        <v>2835538</v>
      </c>
      <c r="D9000" s="0" t="s">
        <v>29936</v>
      </c>
      <c r="E9000" s="0" t="s">
        <v>75</v>
      </c>
      <c r="F9000" s="0" t="s">
        <v>90</v>
      </c>
      <c r="G9000" s="0" t="s">
        <v>32</v>
      </c>
      <c r="H9000" s="0" t="n">
        <v>1</v>
      </c>
      <c r="I9000" s="0" t="s">
        <v>29937</v>
      </c>
      <c r="J9000" s="0" t="s">
        <v>29938</v>
      </c>
      <c r="K9000" s="0" t="s">
        <v>29939</v>
      </c>
      <c r="L9000" s="0" t="str">
        <f aca="false">HYPERLINK("https://www.ncbi.nlm.nih.gov/nuccore/CP000058.1?report=graph&amp;tracks=[key:gene_model_track,Options:GeneOnly]&amp;mk=2835519:2835538|offset_1|00cc00,2835499:2835518|offset_21|444444,2835477:2835496|offset_43|444444,2835453:2835472|offset_67|444444&amp;v=2835318:2835672&amp;c=444444", "offset 1")</f>
        <v>offset 1</v>
      </c>
    </row>
    <row r="9001" customFormat="false" ht="12.8" hidden="false" customHeight="false" outlineLevel="0" collapsed="false">
      <c r="A9001" s="0" t="s">
        <v>12</v>
      </c>
      <c r="B9001" s="0" t="n">
        <v>2835498</v>
      </c>
      <c r="C9001" s="0" t="n">
        <v>2835518</v>
      </c>
      <c r="D9001" s="0" t="s">
        <v>29936</v>
      </c>
      <c r="E9001" s="0" t="s">
        <v>75</v>
      </c>
      <c r="F9001" s="0" t="s">
        <v>90</v>
      </c>
      <c r="G9001" s="0" t="s">
        <v>16</v>
      </c>
      <c r="H9001" s="0" t="n">
        <v>21</v>
      </c>
      <c r="I9001" s="0" t="s">
        <v>29940</v>
      </c>
      <c r="J9001" s="0" t="s">
        <v>29941</v>
      </c>
      <c r="K9001" s="0" t="s">
        <v>29942</v>
      </c>
      <c r="L9001" s="0" t="str">
        <f aca="false">HYPERLINK("https://www.ncbi.nlm.nih.gov/nuccore/CP000058.1?report=graph&amp;tracks=[key:gene_model_track,Options:GeneOnly]&amp;mk=2835519:2835538|offset_1|444444,2835499:2835518|offset_21|00cc00,2835477:2835496|offset_43|444444,2835453:2835472|offset_67|444444&amp;v=2835318:2835672&amp;c=444444", "offset 21")</f>
        <v>offset 21</v>
      </c>
    </row>
    <row r="9002" customFormat="false" ht="12.8" hidden="false" customHeight="false" outlineLevel="0" collapsed="false">
      <c r="A9002" s="0" t="s">
        <v>12</v>
      </c>
      <c r="B9002" s="0" t="n">
        <v>2835476</v>
      </c>
      <c r="C9002" s="0" t="n">
        <v>2835496</v>
      </c>
      <c r="D9002" s="0" t="s">
        <v>29936</v>
      </c>
      <c r="E9002" s="0" t="s">
        <v>75</v>
      </c>
      <c r="F9002" s="0" t="s">
        <v>90</v>
      </c>
      <c r="G9002" s="0" t="s">
        <v>36</v>
      </c>
      <c r="H9002" s="0" t="n">
        <v>43</v>
      </c>
      <c r="I9002" s="0" t="s">
        <v>29943</v>
      </c>
      <c r="J9002" s="0" t="s">
        <v>29944</v>
      </c>
      <c r="K9002" s="0" t="s">
        <v>29945</v>
      </c>
      <c r="L9002" s="0" t="str">
        <f aca="false">HYPERLINK("https://www.ncbi.nlm.nih.gov/nuccore/CP000058.1?report=graph&amp;tracks=[key:gene_model_track,Options:GeneOnly]&amp;mk=2835519:2835538|offset_1|444444,2835499:2835518|offset_21|444444,2835477:2835496|offset_43|00cc00,2835453:2835472|offset_67|444444&amp;v=2835318:2835672&amp;c=444444", "offset 43")</f>
        <v>offset 43</v>
      </c>
    </row>
    <row r="9003" customFormat="false" ht="12.8" hidden="false" customHeight="false" outlineLevel="0" collapsed="false">
      <c r="A9003" s="0" t="s">
        <v>12</v>
      </c>
      <c r="B9003" s="0" t="n">
        <v>2835452</v>
      </c>
      <c r="C9003" s="0" t="n">
        <v>2835472</v>
      </c>
      <c r="D9003" s="0" t="s">
        <v>29936</v>
      </c>
      <c r="E9003" s="0" t="s">
        <v>75</v>
      </c>
      <c r="F9003" s="0" t="s">
        <v>90</v>
      </c>
      <c r="G9003" s="0" t="s">
        <v>36</v>
      </c>
      <c r="H9003" s="0" t="n">
        <v>67</v>
      </c>
      <c r="I9003" s="0" t="s">
        <v>29946</v>
      </c>
      <c r="J9003" s="0" t="s">
        <v>29947</v>
      </c>
      <c r="K9003" s="0" t="s">
        <v>29948</v>
      </c>
      <c r="L9003" s="0" t="str">
        <f aca="false">HYPERLINK("https://www.ncbi.nlm.nih.gov/nuccore/CP000058.1?report=graph&amp;tracks=[key:gene_model_track,Options:GeneOnly]&amp;mk=2835519:2835538|offset_1|444444,2835499:2835518|offset_21|444444,2835477:2835496|offset_43|444444,2835453:2835472|offset_67|00cc00&amp;v=2835318:2835672&amp;c=444444", "offset 67")</f>
        <v>offset 67</v>
      </c>
    </row>
    <row r="9004" customFormat="false" ht="12.8" hidden="false" customHeight="false" outlineLevel="0" collapsed="false">
      <c r="A9004" s="0" t="s">
        <v>12</v>
      </c>
      <c r="B9004" s="0" t="n">
        <v>2836890</v>
      </c>
      <c r="C9004" s="0" t="n">
        <v>2836910</v>
      </c>
      <c r="D9004" s="0" t="s">
        <v>29949</v>
      </c>
      <c r="E9004" s="0" t="s">
        <v>29950</v>
      </c>
      <c r="F9004" s="0" t="s">
        <v>90</v>
      </c>
      <c r="G9004" s="0" t="s">
        <v>36</v>
      </c>
      <c r="H9004" s="0" t="n">
        <v>19</v>
      </c>
      <c r="I9004" s="0" t="s">
        <v>29951</v>
      </c>
      <c r="J9004" s="0" t="s">
        <v>29952</v>
      </c>
      <c r="K9004" s="0" t="s">
        <v>29953</v>
      </c>
      <c r="L9004" s="0" t="str">
        <f aca="false">HYPERLINK("https://www.ncbi.nlm.nih.gov/nuccore/CP000058.1?report=graph&amp;tracks=[key:gene_model_track,Options:GeneOnly]&amp;mk=2836891:2836910|offset_19|00cc00,2836871:2836890|offset_39|444444,2836827:2836846|offset_83|444444,2836796:2836815|offset_114|444444&amp;v=2836690:2837015&amp;c=444444", "offset 19")</f>
        <v>offset 19</v>
      </c>
    </row>
    <row r="9005" customFormat="false" ht="12.8" hidden="false" customHeight="false" outlineLevel="0" collapsed="false">
      <c r="A9005" s="0" t="s">
        <v>12</v>
      </c>
      <c r="B9005" s="0" t="n">
        <v>2836870</v>
      </c>
      <c r="C9005" s="0" t="n">
        <v>2836890</v>
      </c>
      <c r="D9005" s="0" t="s">
        <v>29949</v>
      </c>
      <c r="E9005" s="0" t="s">
        <v>29950</v>
      </c>
      <c r="F9005" s="0" t="s">
        <v>90</v>
      </c>
      <c r="G9005" s="0" t="s">
        <v>16</v>
      </c>
      <c r="H9005" s="0" t="n">
        <v>39</v>
      </c>
      <c r="I9005" s="0" t="s">
        <v>29954</v>
      </c>
      <c r="J9005" s="0" t="s">
        <v>29955</v>
      </c>
      <c r="K9005" s="0" t="s">
        <v>29956</v>
      </c>
      <c r="L9005" s="0" t="str">
        <f aca="false">HYPERLINK("https://www.ncbi.nlm.nih.gov/nuccore/CP000058.1?report=graph&amp;tracks=[key:gene_model_track,Options:GeneOnly]&amp;mk=2836891:2836910|offset_19|444444,2836871:2836890|offset_39|00cc00,2836827:2836846|offset_83|444444,2836796:2836815|offset_114|444444&amp;v=2836690:2837015&amp;c=444444", "offset 39")</f>
        <v>offset 39</v>
      </c>
    </row>
    <row r="9006" customFormat="false" ht="12.8" hidden="false" customHeight="false" outlineLevel="0" collapsed="false">
      <c r="A9006" s="0" t="s">
        <v>12</v>
      </c>
      <c r="B9006" s="0" t="n">
        <v>2836826</v>
      </c>
      <c r="C9006" s="0" t="n">
        <v>2836846</v>
      </c>
      <c r="D9006" s="0" t="s">
        <v>29949</v>
      </c>
      <c r="E9006" s="0" t="s">
        <v>29950</v>
      </c>
      <c r="F9006" s="0" t="s">
        <v>90</v>
      </c>
      <c r="G9006" s="0" t="s">
        <v>20</v>
      </c>
      <c r="H9006" s="0" t="n">
        <v>83</v>
      </c>
      <c r="I9006" s="0" t="s">
        <v>29957</v>
      </c>
      <c r="J9006" s="0" t="s">
        <v>29958</v>
      </c>
      <c r="K9006" s="0" t="s">
        <v>29959</v>
      </c>
      <c r="L9006" s="0" t="str">
        <f aca="false">HYPERLINK("https://www.ncbi.nlm.nih.gov/nuccore/CP000058.1?report=graph&amp;tracks=[key:gene_model_track,Options:GeneOnly]&amp;mk=2836891:2836910|offset_19|444444,2836871:2836890|offset_39|444444,2836827:2836846|offset_83|00cc00,2836796:2836815|offset_114|444444&amp;v=2836690:2837015&amp;c=444444", "offset 83")</f>
        <v>offset 83</v>
      </c>
    </row>
    <row r="9007" customFormat="false" ht="12.8" hidden="false" customHeight="false" outlineLevel="0" collapsed="false">
      <c r="A9007" s="0" t="s">
        <v>12</v>
      </c>
      <c r="B9007" s="0" t="n">
        <v>2836795</v>
      </c>
      <c r="C9007" s="0" t="n">
        <v>2836815</v>
      </c>
      <c r="D9007" s="0" t="s">
        <v>29949</v>
      </c>
      <c r="E9007" s="0" t="s">
        <v>29950</v>
      </c>
      <c r="F9007" s="0" t="s">
        <v>90</v>
      </c>
      <c r="G9007" s="0" t="s">
        <v>20</v>
      </c>
      <c r="H9007" s="0" t="n">
        <v>114</v>
      </c>
      <c r="I9007" s="0" t="s">
        <v>29960</v>
      </c>
      <c r="J9007" s="0" t="s">
        <v>29961</v>
      </c>
      <c r="K9007" s="0" t="s">
        <v>29962</v>
      </c>
      <c r="L9007" s="0" t="str">
        <f aca="false">HYPERLINK("https://www.ncbi.nlm.nih.gov/nuccore/CP000058.1?report=graph&amp;tracks=[key:gene_model_track,Options:GeneOnly]&amp;mk=2836891:2836910|offset_19|444444,2836871:2836890|offset_39|444444,2836827:2836846|offset_83|444444,2836796:2836815|offset_114|00cc00&amp;v=2836690:2837015&amp;c=444444", "offset 114")</f>
        <v>offset 114</v>
      </c>
    </row>
    <row r="9008" customFormat="false" ht="12.8" hidden="false" customHeight="false" outlineLevel="0" collapsed="false">
      <c r="A9008" s="0" t="s">
        <v>12</v>
      </c>
      <c r="B9008" s="0" t="n">
        <v>2837035</v>
      </c>
      <c r="C9008" s="0" t="n">
        <v>2837055</v>
      </c>
      <c r="D9008" s="0" t="s">
        <v>29963</v>
      </c>
      <c r="E9008" s="0" t="s">
        <v>75</v>
      </c>
      <c r="F9008" s="0" t="s">
        <v>15</v>
      </c>
      <c r="G9008" s="0" t="s">
        <v>20</v>
      </c>
      <c r="H9008" s="0" t="n">
        <v>1</v>
      </c>
      <c r="I9008" s="0" t="s">
        <v>29964</v>
      </c>
      <c r="J9008" s="0" t="s">
        <v>29965</v>
      </c>
      <c r="K9008" s="0" t="s">
        <v>29966</v>
      </c>
      <c r="L9008" s="0" t="str">
        <f aca="false">HYPERLINK("https://www.ncbi.nlm.nih.gov/nuccore/CP000058.1?report=graph&amp;tracks=[key:gene_model_track,Options:GeneOnly]&amp;mk=2837036:2837055|offset_1|00cc00,2837088:2837107|offset_53|444444,2837125:2837144|offset_90|444444,2837159:2837178|offset_124|444444&amp;v=2836835:2837378&amp;c=444444", "offset 1")</f>
        <v>offset 1</v>
      </c>
    </row>
    <row r="9009" customFormat="false" ht="12.8" hidden="false" customHeight="false" outlineLevel="0" collapsed="false">
      <c r="A9009" s="0" t="s">
        <v>12</v>
      </c>
      <c r="B9009" s="0" t="n">
        <v>2837087</v>
      </c>
      <c r="C9009" s="0" t="n">
        <v>2837107</v>
      </c>
      <c r="D9009" s="0" t="s">
        <v>29963</v>
      </c>
      <c r="E9009" s="0" t="s">
        <v>75</v>
      </c>
      <c r="F9009" s="0" t="s">
        <v>15</v>
      </c>
      <c r="G9009" s="0" t="s">
        <v>20</v>
      </c>
      <c r="H9009" s="0" t="n">
        <v>53</v>
      </c>
      <c r="I9009" s="0" t="s">
        <v>29967</v>
      </c>
      <c r="J9009" s="0" t="s">
        <v>29968</v>
      </c>
      <c r="K9009" s="0" t="s">
        <v>29969</v>
      </c>
      <c r="L9009" s="0" t="str">
        <f aca="false">HYPERLINK("https://www.ncbi.nlm.nih.gov/nuccore/CP000058.1?report=graph&amp;tracks=[key:gene_model_track,Options:GeneOnly]&amp;mk=2837036:2837055|offset_1|444444,2837088:2837107|offset_53|00cc00,2837125:2837144|offset_90|444444,2837159:2837178|offset_124|444444&amp;v=2836835:2837378&amp;c=444444", "offset 53")</f>
        <v>offset 53</v>
      </c>
    </row>
    <row r="9010" customFormat="false" ht="12.8" hidden="false" customHeight="false" outlineLevel="0" collapsed="false">
      <c r="A9010" s="0" t="s">
        <v>12</v>
      </c>
      <c r="B9010" s="0" t="n">
        <v>2837124</v>
      </c>
      <c r="C9010" s="0" t="n">
        <v>2837144</v>
      </c>
      <c r="D9010" s="0" t="s">
        <v>29963</v>
      </c>
      <c r="E9010" s="0" t="s">
        <v>75</v>
      </c>
      <c r="F9010" s="0" t="s">
        <v>15</v>
      </c>
      <c r="G9010" s="0" t="s">
        <v>20</v>
      </c>
      <c r="H9010" s="0" t="n">
        <v>90</v>
      </c>
      <c r="I9010" s="0" t="s">
        <v>29970</v>
      </c>
      <c r="J9010" s="0" t="s">
        <v>29971</v>
      </c>
      <c r="K9010" s="0" t="s">
        <v>29972</v>
      </c>
      <c r="L9010" s="0" t="str">
        <f aca="false">HYPERLINK("https://www.ncbi.nlm.nih.gov/nuccore/CP000058.1?report=graph&amp;tracks=[key:gene_model_track,Options:GeneOnly]&amp;mk=2837036:2837055|offset_1|444444,2837088:2837107|offset_53|444444,2837125:2837144|offset_90|00cc00,2837159:2837178|offset_124|444444&amp;v=2836835:2837378&amp;c=444444", "offset 90")</f>
        <v>offset 90</v>
      </c>
    </row>
    <row r="9011" customFormat="false" ht="12.8" hidden="false" customHeight="false" outlineLevel="0" collapsed="false">
      <c r="A9011" s="0" t="s">
        <v>12</v>
      </c>
      <c r="B9011" s="0" t="n">
        <v>2837158</v>
      </c>
      <c r="C9011" s="0" t="n">
        <v>2837178</v>
      </c>
      <c r="D9011" s="0" t="s">
        <v>29963</v>
      </c>
      <c r="E9011" s="0" t="s">
        <v>75</v>
      </c>
      <c r="F9011" s="0" t="s">
        <v>15</v>
      </c>
      <c r="G9011" s="0" t="s">
        <v>16</v>
      </c>
      <c r="H9011" s="0" t="n">
        <v>124</v>
      </c>
      <c r="I9011" s="0" t="s">
        <v>29973</v>
      </c>
      <c r="J9011" s="0" t="s">
        <v>29974</v>
      </c>
      <c r="K9011" s="0" t="s">
        <v>29975</v>
      </c>
      <c r="L9011" s="0" t="str">
        <f aca="false">HYPERLINK("https://www.ncbi.nlm.nih.gov/nuccore/CP000058.1?report=graph&amp;tracks=[key:gene_model_track,Options:GeneOnly]&amp;mk=2837036:2837055|offset_1|444444,2837088:2837107|offset_53|444444,2837125:2837144|offset_90|444444,2837159:2837178|offset_124|00cc00&amp;v=2836835:2837378&amp;c=444444", "offset 124")</f>
        <v>offset 124</v>
      </c>
    </row>
    <row r="9012" customFormat="false" ht="12.8" hidden="false" customHeight="false" outlineLevel="0" collapsed="false">
      <c r="A9012" s="0" t="s">
        <v>12</v>
      </c>
      <c r="B9012" s="0" t="n">
        <v>2838025</v>
      </c>
      <c r="C9012" s="0" t="n">
        <v>2838045</v>
      </c>
      <c r="D9012" s="0" t="s">
        <v>29976</v>
      </c>
      <c r="E9012" s="0" t="s">
        <v>29977</v>
      </c>
      <c r="F9012" s="0" t="s">
        <v>15</v>
      </c>
      <c r="G9012" s="0" t="s">
        <v>36</v>
      </c>
      <c r="H9012" s="0" t="n">
        <v>6</v>
      </c>
      <c r="I9012" s="0" t="s">
        <v>29978</v>
      </c>
      <c r="J9012" s="0" t="s">
        <v>29979</v>
      </c>
      <c r="K9012" s="0" t="s">
        <v>29980</v>
      </c>
      <c r="L9012" s="0" t="str">
        <f aca="false">HYPERLINK("https://www.ncbi.nlm.nih.gov/nuccore/CP000058.1?report=graph&amp;tracks=[key:gene_model_track,Options:GeneOnly]&amp;mk=2838026:2838045|offset_6|00cc00,2838047:2838066|offset_27|444444,2838071:2838090|offset_51|444444,2838097:2838116|offset_77|444444&amp;v=2837825:2838316&amp;c=444444", "offset 6")</f>
        <v>offset 6</v>
      </c>
    </row>
    <row r="9013" customFormat="false" ht="12.8" hidden="false" customHeight="false" outlineLevel="0" collapsed="false">
      <c r="A9013" s="0" t="s">
        <v>12</v>
      </c>
      <c r="B9013" s="0" t="n">
        <v>2838046</v>
      </c>
      <c r="C9013" s="0" t="n">
        <v>2838066</v>
      </c>
      <c r="D9013" s="0" t="s">
        <v>29976</v>
      </c>
      <c r="E9013" s="0" t="s">
        <v>29977</v>
      </c>
      <c r="F9013" s="0" t="s">
        <v>15</v>
      </c>
      <c r="G9013" s="0" t="s">
        <v>32</v>
      </c>
      <c r="H9013" s="0" t="n">
        <v>27</v>
      </c>
      <c r="I9013" s="0" t="s">
        <v>29981</v>
      </c>
      <c r="J9013" s="0" t="s">
        <v>29982</v>
      </c>
      <c r="K9013" s="0" t="s">
        <v>29983</v>
      </c>
      <c r="L9013" s="0" t="str">
        <f aca="false">HYPERLINK("https://www.ncbi.nlm.nih.gov/nuccore/CP000058.1?report=graph&amp;tracks=[key:gene_model_track,Options:GeneOnly]&amp;mk=2838026:2838045|offset_6|444444,2838047:2838066|offset_27|00cc00,2838071:2838090|offset_51|444444,2838097:2838116|offset_77|444444&amp;v=2837825:2838316&amp;c=444444", "offset 27")</f>
        <v>offset 27</v>
      </c>
    </row>
    <row r="9014" customFormat="false" ht="12.8" hidden="false" customHeight="false" outlineLevel="0" collapsed="false">
      <c r="A9014" s="0" t="s">
        <v>12</v>
      </c>
      <c r="B9014" s="0" t="n">
        <v>2838070</v>
      </c>
      <c r="C9014" s="0" t="n">
        <v>2838090</v>
      </c>
      <c r="D9014" s="0" t="s">
        <v>29976</v>
      </c>
      <c r="E9014" s="0" t="s">
        <v>29977</v>
      </c>
      <c r="F9014" s="0" t="s">
        <v>15</v>
      </c>
      <c r="G9014" s="0" t="s">
        <v>16</v>
      </c>
      <c r="H9014" s="0" t="n">
        <v>51</v>
      </c>
      <c r="I9014" s="0" t="s">
        <v>29984</v>
      </c>
      <c r="J9014" s="0" t="s">
        <v>29985</v>
      </c>
      <c r="K9014" s="0" t="s">
        <v>29986</v>
      </c>
      <c r="L9014" s="0" t="str">
        <f aca="false">HYPERLINK("https://www.ncbi.nlm.nih.gov/nuccore/CP000058.1?report=graph&amp;tracks=[key:gene_model_track,Options:GeneOnly]&amp;mk=2838026:2838045|offset_6|444444,2838047:2838066|offset_27|444444,2838071:2838090|offset_51|00cc00,2838097:2838116|offset_77|444444&amp;v=2837825:2838316&amp;c=444444", "offset 51")</f>
        <v>offset 51</v>
      </c>
    </row>
    <row r="9015" customFormat="false" ht="12.8" hidden="false" customHeight="false" outlineLevel="0" collapsed="false">
      <c r="A9015" s="0" t="s">
        <v>12</v>
      </c>
      <c r="B9015" s="0" t="n">
        <v>2838096</v>
      </c>
      <c r="C9015" s="0" t="n">
        <v>2838116</v>
      </c>
      <c r="D9015" s="0" t="s">
        <v>29976</v>
      </c>
      <c r="E9015" s="0" t="s">
        <v>29977</v>
      </c>
      <c r="F9015" s="0" t="s">
        <v>15</v>
      </c>
      <c r="G9015" s="0" t="s">
        <v>20</v>
      </c>
      <c r="H9015" s="0" t="n">
        <v>77</v>
      </c>
      <c r="I9015" s="0" t="s">
        <v>29987</v>
      </c>
      <c r="J9015" s="0" t="s">
        <v>29988</v>
      </c>
      <c r="K9015" s="0" t="s">
        <v>29989</v>
      </c>
      <c r="L9015" s="0" t="str">
        <f aca="false">HYPERLINK("https://www.ncbi.nlm.nih.gov/nuccore/CP000058.1?report=graph&amp;tracks=[key:gene_model_track,Options:GeneOnly]&amp;mk=2838026:2838045|offset_6|444444,2838047:2838066|offset_27|444444,2838071:2838090|offset_51|444444,2838097:2838116|offset_77|00cc00&amp;v=2837825:2838316&amp;c=444444", "offset 77")</f>
        <v>offset 77</v>
      </c>
    </row>
    <row r="9016" customFormat="false" ht="12.8" hidden="false" customHeight="false" outlineLevel="0" collapsed="false">
      <c r="A9016" s="0" t="s">
        <v>12</v>
      </c>
      <c r="B9016" s="0" t="n">
        <v>2838605</v>
      </c>
      <c r="C9016" s="0" t="n">
        <v>2838625</v>
      </c>
      <c r="D9016" s="0" t="s">
        <v>29990</v>
      </c>
      <c r="E9016" s="0" t="s">
        <v>29991</v>
      </c>
      <c r="F9016" s="0" t="s">
        <v>15</v>
      </c>
      <c r="G9016" s="0" t="s">
        <v>36</v>
      </c>
      <c r="H9016" s="0" t="n">
        <v>43</v>
      </c>
      <c r="I9016" s="0" t="s">
        <v>29992</v>
      </c>
      <c r="J9016" s="0" t="s">
        <v>29993</v>
      </c>
      <c r="K9016" s="0" t="s">
        <v>29994</v>
      </c>
      <c r="L9016" s="0" t="str">
        <f aca="false">HYPERLINK("https://www.ncbi.nlm.nih.gov/nuccore/CP000058.1?report=graph&amp;tracks=[key:gene_model_track,Options:GeneOnly]&amp;mk=2838606:2838625|offset_43|00cc00,2838634:2838653|offset_71|444444,2838663:2838682|offset_100|444444,2838699:2838718|offset_136|444444&amp;v=2838405:2838918&amp;c=444444", "offset 43")</f>
        <v>offset 43</v>
      </c>
    </row>
    <row r="9017" customFormat="false" ht="12.8" hidden="false" customHeight="false" outlineLevel="0" collapsed="false">
      <c r="A9017" s="0" t="s">
        <v>12</v>
      </c>
      <c r="B9017" s="0" t="n">
        <v>2838633</v>
      </c>
      <c r="C9017" s="0" t="n">
        <v>2838653</v>
      </c>
      <c r="D9017" s="0" t="s">
        <v>29990</v>
      </c>
      <c r="E9017" s="0" t="s">
        <v>29991</v>
      </c>
      <c r="F9017" s="0" t="s">
        <v>15</v>
      </c>
      <c r="G9017" s="0" t="s">
        <v>20</v>
      </c>
      <c r="H9017" s="0" t="n">
        <v>71</v>
      </c>
      <c r="I9017" s="0" t="s">
        <v>29995</v>
      </c>
      <c r="J9017" s="0" t="s">
        <v>29996</v>
      </c>
      <c r="K9017" s="0" t="s">
        <v>29997</v>
      </c>
      <c r="L9017" s="0" t="str">
        <f aca="false">HYPERLINK("https://www.ncbi.nlm.nih.gov/nuccore/CP000058.1?report=graph&amp;tracks=[key:gene_model_track,Options:GeneOnly]&amp;mk=2838606:2838625|offset_43|444444,2838634:2838653|offset_71|00cc00,2838663:2838682|offset_100|444444,2838699:2838718|offset_136|444444&amp;v=2838405:2838918&amp;c=444444", "offset 71")</f>
        <v>offset 71</v>
      </c>
    </row>
    <row r="9018" customFormat="false" ht="12.8" hidden="false" customHeight="false" outlineLevel="0" collapsed="false">
      <c r="A9018" s="0" t="s">
        <v>12</v>
      </c>
      <c r="B9018" s="0" t="n">
        <v>2838662</v>
      </c>
      <c r="C9018" s="0" t="n">
        <v>2838682</v>
      </c>
      <c r="D9018" s="0" t="s">
        <v>29990</v>
      </c>
      <c r="E9018" s="0" t="s">
        <v>29991</v>
      </c>
      <c r="F9018" s="0" t="s">
        <v>15</v>
      </c>
      <c r="G9018" s="0" t="s">
        <v>16</v>
      </c>
      <c r="H9018" s="0" t="n">
        <v>100</v>
      </c>
      <c r="I9018" s="0" t="s">
        <v>29998</v>
      </c>
      <c r="J9018" s="0" t="s">
        <v>29999</v>
      </c>
      <c r="K9018" s="0" t="s">
        <v>30000</v>
      </c>
      <c r="L9018" s="0" t="str">
        <f aca="false">HYPERLINK("https://www.ncbi.nlm.nih.gov/nuccore/CP000058.1?report=graph&amp;tracks=[key:gene_model_track,Options:GeneOnly]&amp;mk=2838606:2838625|offset_43|444444,2838634:2838653|offset_71|444444,2838663:2838682|offset_100|00cc00,2838699:2838718|offset_136|444444&amp;v=2838405:2838918&amp;c=444444", "offset 100")</f>
        <v>offset 100</v>
      </c>
    </row>
    <row r="9019" customFormat="false" ht="12.8" hidden="false" customHeight="false" outlineLevel="0" collapsed="false">
      <c r="A9019" s="0" t="s">
        <v>12</v>
      </c>
      <c r="B9019" s="0" t="n">
        <v>2838698</v>
      </c>
      <c r="C9019" s="0" t="n">
        <v>2838718</v>
      </c>
      <c r="D9019" s="0" t="s">
        <v>29990</v>
      </c>
      <c r="E9019" s="0" t="s">
        <v>29991</v>
      </c>
      <c r="F9019" s="0" t="s">
        <v>15</v>
      </c>
      <c r="G9019" s="0" t="s">
        <v>16</v>
      </c>
      <c r="H9019" s="0" t="n">
        <v>136</v>
      </c>
      <c r="I9019" s="0" t="s">
        <v>30001</v>
      </c>
      <c r="J9019" s="0" t="s">
        <v>30002</v>
      </c>
      <c r="K9019" s="0" t="s">
        <v>30003</v>
      </c>
      <c r="L9019" s="0" t="str">
        <f aca="false">HYPERLINK("https://www.ncbi.nlm.nih.gov/nuccore/CP000058.1?report=graph&amp;tracks=[key:gene_model_track,Options:GeneOnly]&amp;mk=2838606:2838625|offset_43|444444,2838634:2838653|offset_71|444444,2838663:2838682|offset_100|444444,2838699:2838718|offset_136|00cc00&amp;v=2838405:2838918&amp;c=444444", "offset 136")</f>
        <v>offset 136</v>
      </c>
    </row>
    <row r="9020" customFormat="false" ht="12.8" hidden="false" customHeight="false" outlineLevel="0" collapsed="false">
      <c r="A9020" s="0" t="s">
        <v>12</v>
      </c>
      <c r="B9020" s="0" t="n">
        <v>2839918</v>
      </c>
      <c r="C9020" s="0" t="n">
        <v>2839938</v>
      </c>
      <c r="D9020" s="0" t="s">
        <v>30004</v>
      </c>
      <c r="E9020" s="0" t="s">
        <v>75</v>
      </c>
      <c r="F9020" s="0" t="s">
        <v>15</v>
      </c>
      <c r="G9020" s="0" t="s">
        <v>36</v>
      </c>
      <c r="H9020" s="0" t="n">
        <v>7</v>
      </c>
      <c r="I9020" s="0" t="s">
        <v>30005</v>
      </c>
      <c r="J9020" s="0" t="s">
        <v>30006</v>
      </c>
      <c r="K9020" s="0" t="s">
        <v>30007</v>
      </c>
      <c r="L9020" s="0" t="str">
        <f aca="false">HYPERLINK("https://www.ncbi.nlm.nih.gov/nuccore/CP000058.1?report=graph&amp;tracks=[key:gene_model_track,Options:GeneOnly]&amp;mk=2839919:2839938|offset_7|00cc00,2839958:2839977|offset_46|444444,2839981:2840000|offset_69|444444,2840027:2840046|offset_115|444444&amp;v=2839718:2840246&amp;c=444444", "offset 7")</f>
        <v>offset 7</v>
      </c>
    </row>
    <row r="9021" customFormat="false" ht="12.8" hidden="false" customHeight="false" outlineLevel="0" collapsed="false">
      <c r="A9021" s="0" t="s">
        <v>12</v>
      </c>
      <c r="B9021" s="0" t="n">
        <v>2839957</v>
      </c>
      <c r="C9021" s="0" t="n">
        <v>2839977</v>
      </c>
      <c r="D9021" s="0" t="s">
        <v>30004</v>
      </c>
      <c r="E9021" s="0" t="s">
        <v>75</v>
      </c>
      <c r="F9021" s="0" t="s">
        <v>15</v>
      </c>
      <c r="G9021" s="0" t="s">
        <v>32</v>
      </c>
      <c r="H9021" s="0" t="n">
        <v>46</v>
      </c>
      <c r="I9021" s="0" t="s">
        <v>30008</v>
      </c>
      <c r="J9021" s="0" t="s">
        <v>30009</v>
      </c>
      <c r="K9021" s="0" t="s">
        <v>30010</v>
      </c>
      <c r="L9021" s="0" t="str">
        <f aca="false">HYPERLINK("https://www.ncbi.nlm.nih.gov/nuccore/CP000058.1?report=graph&amp;tracks=[key:gene_model_track,Options:GeneOnly]&amp;mk=2839919:2839938|offset_7|444444,2839958:2839977|offset_46|00cc00,2839981:2840000|offset_69|444444,2840027:2840046|offset_115|444444&amp;v=2839718:2840246&amp;c=444444", "offset 46")</f>
        <v>offset 46</v>
      </c>
    </row>
    <row r="9022" customFormat="false" ht="12.8" hidden="false" customHeight="false" outlineLevel="0" collapsed="false">
      <c r="A9022" s="0" t="s">
        <v>12</v>
      </c>
      <c r="B9022" s="0" t="n">
        <v>2839980</v>
      </c>
      <c r="C9022" s="0" t="n">
        <v>2840000</v>
      </c>
      <c r="D9022" s="0" t="s">
        <v>30004</v>
      </c>
      <c r="E9022" s="0" t="s">
        <v>75</v>
      </c>
      <c r="F9022" s="0" t="s">
        <v>15</v>
      </c>
      <c r="G9022" s="0" t="s">
        <v>36</v>
      </c>
      <c r="H9022" s="0" t="n">
        <v>69</v>
      </c>
      <c r="I9022" s="0" t="s">
        <v>30011</v>
      </c>
      <c r="J9022" s="0" t="s">
        <v>30012</v>
      </c>
      <c r="K9022" s="0" t="s">
        <v>30013</v>
      </c>
      <c r="L9022" s="0" t="str">
        <f aca="false">HYPERLINK("https://www.ncbi.nlm.nih.gov/nuccore/CP000058.1?report=graph&amp;tracks=[key:gene_model_track,Options:GeneOnly]&amp;mk=2839919:2839938|offset_7|444444,2839958:2839977|offset_46|444444,2839981:2840000|offset_69|00cc00,2840027:2840046|offset_115|444444&amp;v=2839718:2840246&amp;c=444444", "offset 69")</f>
        <v>offset 69</v>
      </c>
    </row>
    <row r="9023" customFormat="false" ht="12.8" hidden="false" customHeight="false" outlineLevel="0" collapsed="false">
      <c r="A9023" s="0" t="s">
        <v>12</v>
      </c>
      <c r="B9023" s="0" t="n">
        <v>2840026</v>
      </c>
      <c r="C9023" s="0" t="n">
        <v>2840046</v>
      </c>
      <c r="D9023" s="0" t="s">
        <v>30004</v>
      </c>
      <c r="E9023" s="0" t="s">
        <v>75</v>
      </c>
      <c r="F9023" s="0" t="s">
        <v>15</v>
      </c>
      <c r="G9023" s="0" t="s">
        <v>32</v>
      </c>
      <c r="H9023" s="0" t="n">
        <v>115</v>
      </c>
      <c r="I9023" s="0" t="s">
        <v>30014</v>
      </c>
      <c r="J9023" s="0" t="s">
        <v>30015</v>
      </c>
      <c r="K9023" s="0" t="s">
        <v>30016</v>
      </c>
      <c r="L9023" s="0" t="str">
        <f aca="false">HYPERLINK("https://www.ncbi.nlm.nih.gov/nuccore/CP000058.1?report=graph&amp;tracks=[key:gene_model_track,Options:GeneOnly]&amp;mk=2839919:2839938|offset_7|444444,2839958:2839977|offset_46|444444,2839981:2840000|offset_69|444444,2840027:2840046|offset_115|00cc00&amp;v=2839718:2840246&amp;c=444444", "offset 115")</f>
        <v>offset 115</v>
      </c>
    </row>
    <row r="9024" customFormat="false" ht="12.8" hidden="false" customHeight="false" outlineLevel="0" collapsed="false">
      <c r="A9024" s="0" t="s">
        <v>12</v>
      </c>
      <c r="B9024" s="0" t="n">
        <v>2840595</v>
      </c>
      <c r="C9024" s="0" t="n">
        <v>2840615</v>
      </c>
      <c r="D9024" s="0" t="s">
        <v>30017</v>
      </c>
      <c r="E9024" s="0" t="s">
        <v>75</v>
      </c>
      <c r="F9024" s="0" t="s">
        <v>15</v>
      </c>
      <c r="G9024" s="0" t="s">
        <v>32</v>
      </c>
      <c r="H9024" s="0" t="n">
        <v>22</v>
      </c>
      <c r="I9024" s="0" t="s">
        <v>30018</v>
      </c>
      <c r="J9024" s="0" t="s">
        <v>30019</v>
      </c>
      <c r="K9024" s="0" t="s">
        <v>30020</v>
      </c>
      <c r="L9024" s="0" t="str">
        <f aca="false">HYPERLINK("https://www.ncbi.nlm.nih.gov/nuccore/CP000058.1?report=graph&amp;tracks=[key:gene_model_track,Options:GeneOnly]&amp;mk=2840596:2840615|offset_22|00cc00,2840639:2840658|offset_65|444444,2840659:2840678|offset_85|444444,2840742:2840761|offset_168|444444&amp;v=2840395:2840961&amp;c=444444", "offset 22")</f>
        <v>offset 22</v>
      </c>
    </row>
    <row r="9025" customFormat="false" ht="12.8" hidden="false" customHeight="false" outlineLevel="0" collapsed="false">
      <c r="A9025" s="0" t="s">
        <v>12</v>
      </c>
      <c r="B9025" s="0" t="n">
        <v>2840638</v>
      </c>
      <c r="C9025" s="0" t="n">
        <v>2840658</v>
      </c>
      <c r="D9025" s="0" t="s">
        <v>30017</v>
      </c>
      <c r="E9025" s="0" t="s">
        <v>75</v>
      </c>
      <c r="F9025" s="0" t="s">
        <v>15</v>
      </c>
      <c r="G9025" s="0" t="s">
        <v>20</v>
      </c>
      <c r="H9025" s="0" t="n">
        <v>65</v>
      </c>
      <c r="I9025" s="0" t="s">
        <v>30021</v>
      </c>
      <c r="J9025" s="0" t="s">
        <v>30022</v>
      </c>
      <c r="K9025" s="0" t="s">
        <v>30023</v>
      </c>
      <c r="L9025" s="0" t="str">
        <f aca="false">HYPERLINK("https://www.ncbi.nlm.nih.gov/nuccore/CP000058.1?report=graph&amp;tracks=[key:gene_model_track,Options:GeneOnly]&amp;mk=2840596:2840615|offset_22|444444,2840639:2840658|offset_65|00cc00,2840659:2840678|offset_85|444444,2840742:2840761|offset_168|444444&amp;v=2840395:2840961&amp;c=444444", "offset 65")</f>
        <v>offset 65</v>
      </c>
    </row>
    <row r="9026" customFormat="false" ht="12.8" hidden="false" customHeight="false" outlineLevel="0" collapsed="false">
      <c r="A9026" s="0" t="s">
        <v>12</v>
      </c>
      <c r="B9026" s="0" t="n">
        <v>2840658</v>
      </c>
      <c r="C9026" s="0" t="n">
        <v>2840678</v>
      </c>
      <c r="D9026" s="0" t="s">
        <v>30017</v>
      </c>
      <c r="E9026" s="0" t="s">
        <v>75</v>
      </c>
      <c r="F9026" s="0" t="s">
        <v>15</v>
      </c>
      <c r="G9026" s="0" t="s">
        <v>20</v>
      </c>
      <c r="H9026" s="0" t="n">
        <v>85</v>
      </c>
      <c r="I9026" s="0" t="s">
        <v>30024</v>
      </c>
      <c r="J9026" s="0" t="s">
        <v>30025</v>
      </c>
      <c r="K9026" s="0" t="s">
        <v>30026</v>
      </c>
      <c r="L9026" s="0" t="str">
        <f aca="false">HYPERLINK("https://www.ncbi.nlm.nih.gov/nuccore/CP000058.1?report=graph&amp;tracks=[key:gene_model_track,Options:GeneOnly]&amp;mk=2840596:2840615|offset_22|444444,2840639:2840658|offset_65|444444,2840659:2840678|offset_85|00cc00,2840742:2840761|offset_168|444444&amp;v=2840395:2840961&amp;c=444444", "offset 85")</f>
        <v>offset 85</v>
      </c>
    </row>
    <row r="9027" customFormat="false" ht="12.8" hidden="false" customHeight="false" outlineLevel="0" collapsed="false">
      <c r="A9027" s="0" t="s">
        <v>12</v>
      </c>
      <c r="B9027" s="0" t="n">
        <v>2840741</v>
      </c>
      <c r="C9027" s="0" t="n">
        <v>2840761</v>
      </c>
      <c r="D9027" s="0" t="s">
        <v>30017</v>
      </c>
      <c r="E9027" s="0" t="s">
        <v>75</v>
      </c>
      <c r="F9027" s="0" t="s">
        <v>15</v>
      </c>
      <c r="G9027" s="0" t="s">
        <v>32</v>
      </c>
      <c r="H9027" s="0" t="n">
        <v>168</v>
      </c>
      <c r="I9027" s="0" t="s">
        <v>30027</v>
      </c>
      <c r="J9027" s="0" t="s">
        <v>30028</v>
      </c>
      <c r="K9027" s="0" t="s">
        <v>30029</v>
      </c>
      <c r="L9027" s="0" t="str">
        <f aca="false">HYPERLINK("https://www.ncbi.nlm.nih.gov/nuccore/CP000058.1?report=graph&amp;tracks=[key:gene_model_track,Options:GeneOnly]&amp;mk=2840596:2840615|offset_22|444444,2840639:2840658|offset_65|444444,2840659:2840678|offset_85|444444,2840742:2840761|offset_168|00cc00&amp;v=2840395:2840961&amp;c=444444", "offset 168")</f>
        <v>offset 168</v>
      </c>
    </row>
    <row r="9028" customFormat="false" ht="12.8" hidden="false" customHeight="false" outlineLevel="0" collapsed="false">
      <c r="A9028" s="0" t="s">
        <v>12</v>
      </c>
      <c r="B9028" s="0" t="n">
        <v>2841567</v>
      </c>
      <c r="C9028" s="0" t="n">
        <v>2841587</v>
      </c>
      <c r="D9028" s="0" t="s">
        <v>30030</v>
      </c>
      <c r="E9028" s="0" t="s">
        <v>75</v>
      </c>
      <c r="F9028" s="0" t="s">
        <v>15</v>
      </c>
      <c r="G9028" s="0" t="s">
        <v>32</v>
      </c>
      <c r="H9028" s="0" t="n">
        <v>23</v>
      </c>
      <c r="I9028" s="0" t="s">
        <v>30031</v>
      </c>
      <c r="J9028" s="0" t="s">
        <v>30032</v>
      </c>
      <c r="K9028" s="0" t="s">
        <v>30033</v>
      </c>
      <c r="L9028" s="0" t="str">
        <f aca="false">HYPERLINK("https://www.ncbi.nlm.nih.gov/nuccore/CP000058.1?report=graph&amp;tracks=[key:gene_model_track,Options:GeneOnly]&amp;mk=2841568:2841587|offset_23|00cc00,2841594:2841613|offset_49|444444,2841623:2841642|offset_78|444444,2841643:2841662|offset_98|444444&amp;v=2841367:2841862&amp;c=444444", "offset 23")</f>
        <v>offset 23</v>
      </c>
    </row>
    <row r="9029" customFormat="false" ht="12.8" hidden="false" customHeight="false" outlineLevel="0" collapsed="false">
      <c r="A9029" s="0" t="s">
        <v>12</v>
      </c>
      <c r="B9029" s="0" t="n">
        <v>2841593</v>
      </c>
      <c r="C9029" s="0" t="n">
        <v>2841613</v>
      </c>
      <c r="D9029" s="0" t="s">
        <v>30030</v>
      </c>
      <c r="E9029" s="0" t="s">
        <v>75</v>
      </c>
      <c r="F9029" s="0" t="s">
        <v>15</v>
      </c>
      <c r="G9029" s="0" t="s">
        <v>16</v>
      </c>
      <c r="H9029" s="0" t="n">
        <v>49</v>
      </c>
      <c r="I9029" s="0" t="s">
        <v>30034</v>
      </c>
      <c r="J9029" s="0" t="s">
        <v>30035</v>
      </c>
      <c r="K9029" s="0" t="s">
        <v>30036</v>
      </c>
      <c r="L9029" s="0" t="str">
        <f aca="false">HYPERLINK("https://www.ncbi.nlm.nih.gov/nuccore/CP000058.1?report=graph&amp;tracks=[key:gene_model_track,Options:GeneOnly]&amp;mk=2841568:2841587|offset_23|444444,2841594:2841613|offset_49|00cc00,2841623:2841642|offset_78|444444,2841643:2841662|offset_98|444444&amp;v=2841367:2841862&amp;c=444444", "offset 49")</f>
        <v>offset 49</v>
      </c>
    </row>
    <row r="9030" customFormat="false" ht="12.8" hidden="false" customHeight="false" outlineLevel="0" collapsed="false">
      <c r="A9030" s="0" t="s">
        <v>12</v>
      </c>
      <c r="B9030" s="0" t="n">
        <v>2841622</v>
      </c>
      <c r="C9030" s="0" t="n">
        <v>2841642</v>
      </c>
      <c r="D9030" s="0" t="s">
        <v>30030</v>
      </c>
      <c r="E9030" s="0" t="s">
        <v>75</v>
      </c>
      <c r="F9030" s="0" t="s">
        <v>15</v>
      </c>
      <c r="G9030" s="0" t="s">
        <v>32</v>
      </c>
      <c r="H9030" s="0" t="n">
        <v>78</v>
      </c>
      <c r="I9030" s="0" t="s">
        <v>30037</v>
      </c>
      <c r="J9030" s="0" t="s">
        <v>30038</v>
      </c>
      <c r="K9030" s="0" t="s">
        <v>30039</v>
      </c>
      <c r="L9030" s="0" t="str">
        <f aca="false">HYPERLINK("https://www.ncbi.nlm.nih.gov/nuccore/CP000058.1?report=graph&amp;tracks=[key:gene_model_track,Options:GeneOnly]&amp;mk=2841568:2841587|offset_23|444444,2841594:2841613|offset_49|444444,2841623:2841642|offset_78|00cc00,2841643:2841662|offset_98|444444&amp;v=2841367:2841862&amp;c=444444", "offset 78")</f>
        <v>offset 78</v>
      </c>
    </row>
    <row r="9031" customFormat="false" ht="12.8" hidden="false" customHeight="false" outlineLevel="0" collapsed="false">
      <c r="A9031" s="0" t="s">
        <v>12</v>
      </c>
      <c r="B9031" s="0" t="n">
        <v>2841642</v>
      </c>
      <c r="C9031" s="0" t="n">
        <v>2841662</v>
      </c>
      <c r="D9031" s="0" t="s">
        <v>30030</v>
      </c>
      <c r="E9031" s="0" t="s">
        <v>75</v>
      </c>
      <c r="F9031" s="0" t="s">
        <v>15</v>
      </c>
      <c r="G9031" s="0" t="s">
        <v>16</v>
      </c>
      <c r="H9031" s="0" t="n">
        <v>98</v>
      </c>
      <c r="I9031" s="0" t="s">
        <v>30040</v>
      </c>
      <c r="J9031" s="0" t="s">
        <v>30041</v>
      </c>
      <c r="K9031" s="0" t="s">
        <v>30042</v>
      </c>
      <c r="L9031" s="0" t="str">
        <f aca="false">HYPERLINK("https://www.ncbi.nlm.nih.gov/nuccore/CP000058.1?report=graph&amp;tracks=[key:gene_model_track,Options:GeneOnly]&amp;mk=2841568:2841587|offset_23|444444,2841594:2841613|offset_49|444444,2841623:2841642|offset_78|444444,2841643:2841662|offset_98|00cc00&amp;v=2841367:2841862&amp;c=444444", "offset 98")</f>
        <v>offset 98</v>
      </c>
    </row>
    <row r="9032" customFormat="false" ht="12.8" hidden="false" customHeight="false" outlineLevel="0" collapsed="false">
      <c r="A9032" s="0" t="s">
        <v>12</v>
      </c>
      <c r="B9032" s="0" t="n">
        <v>2842000</v>
      </c>
      <c r="C9032" s="0" t="n">
        <v>2842020</v>
      </c>
      <c r="D9032" s="0" t="s">
        <v>30043</v>
      </c>
      <c r="E9032" s="0" t="s">
        <v>75</v>
      </c>
      <c r="F9032" s="0" t="s">
        <v>15</v>
      </c>
      <c r="G9032" s="0" t="s">
        <v>36</v>
      </c>
      <c r="H9032" s="0" t="n">
        <v>44</v>
      </c>
      <c r="I9032" s="0" t="s">
        <v>30044</v>
      </c>
      <c r="J9032" s="0" t="s">
        <v>30045</v>
      </c>
      <c r="K9032" s="0" t="s">
        <v>30046</v>
      </c>
      <c r="L9032" s="0" t="str">
        <f aca="false">HYPERLINK("https://www.ncbi.nlm.nih.gov/nuccore/CP000058.1?report=graph&amp;tracks=[key:gene_model_track,Options:GeneOnly]&amp;mk=2842001:2842020|offset_44|00cc00,2842045:2842064|offset_88|444444,2842075:2842094|offset_118|444444,2842102:2842121|offset_145|444444&amp;v=2841800:2842321&amp;c=444444", "offset 44")</f>
        <v>offset 44</v>
      </c>
    </row>
    <row r="9033" customFormat="false" ht="12.8" hidden="false" customHeight="false" outlineLevel="0" collapsed="false">
      <c r="A9033" s="0" t="s">
        <v>12</v>
      </c>
      <c r="B9033" s="0" t="n">
        <v>2842044</v>
      </c>
      <c r="C9033" s="0" t="n">
        <v>2842064</v>
      </c>
      <c r="D9033" s="0" t="s">
        <v>30043</v>
      </c>
      <c r="E9033" s="0" t="s">
        <v>75</v>
      </c>
      <c r="F9033" s="0" t="s">
        <v>15</v>
      </c>
      <c r="G9033" s="0" t="s">
        <v>20</v>
      </c>
      <c r="H9033" s="0" t="n">
        <v>88</v>
      </c>
      <c r="I9033" s="0" t="s">
        <v>30047</v>
      </c>
      <c r="J9033" s="0" t="s">
        <v>30048</v>
      </c>
      <c r="K9033" s="0" t="s">
        <v>30049</v>
      </c>
      <c r="L9033" s="0" t="str">
        <f aca="false">HYPERLINK("https://www.ncbi.nlm.nih.gov/nuccore/CP000058.1?report=graph&amp;tracks=[key:gene_model_track,Options:GeneOnly]&amp;mk=2842001:2842020|offset_44|444444,2842045:2842064|offset_88|00cc00,2842075:2842094|offset_118|444444,2842102:2842121|offset_145|444444&amp;v=2841800:2842321&amp;c=444444", "offset 88")</f>
        <v>offset 88</v>
      </c>
    </row>
    <row r="9034" customFormat="false" ht="12.8" hidden="false" customHeight="false" outlineLevel="0" collapsed="false">
      <c r="A9034" s="0" t="s">
        <v>12</v>
      </c>
      <c r="B9034" s="0" t="n">
        <v>2842074</v>
      </c>
      <c r="C9034" s="0" t="n">
        <v>2842094</v>
      </c>
      <c r="D9034" s="0" t="s">
        <v>30043</v>
      </c>
      <c r="E9034" s="0" t="s">
        <v>75</v>
      </c>
      <c r="F9034" s="0" t="s">
        <v>15</v>
      </c>
      <c r="G9034" s="0" t="s">
        <v>16</v>
      </c>
      <c r="H9034" s="0" t="n">
        <v>118</v>
      </c>
      <c r="I9034" s="0" t="s">
        <v>30050</v>
      </c>
      <c r="J9034" s="0" t="s">
        <v>30051</v>
      </c>
      <c r="K9034" s="0" t="s">
        <v>30052</v>
      </c>
      <c r="L9034" s="0" t="str">
        <f aca="false">HYPERLINK("https://www.ncbi.nlm.nih.gov/nuccore/CP000058.1?report=graph&amp;tracks=[key:gene_model_track,Options:GeneOnly]&amp;mk=2842001:2842020|offset_44|444444,2842045:2842064|offset_88|444444,2842075:2842094|offset_118|00cc00,2842102:2842121|offset_145|444444&amp;v=2841800:2842321&amp;c=444444", "offset 118")</f>
        <v>offset 118</v>
      </c>
    </row>
    <row r="9035" customFormat="false" ht="12.8" hidden="false" customHeight="false" outlineLevel="0" collapsed="false">
      <c r="A9035" s="0" t="s">
        <v>12</v>
      </c>
      <c r="B9035" s="0" t="n">
        <v>2842101</v>
      </c>
      <c r="C9035" s="0" t="n">
        <v>2842121</v>
      </c>
      <c r="D9035" s="0" t="s">
        <v>30043</v>
      </c>
      <c r="E9035" s="0" t="s">
        <v>75</v>
      </c>
      <c r="F9035" s="0" t="s">
        <v>15</v>
      </c>
      <c r="G9035" s="0" t="s">
        <v>16</v>
      </c>
      <c r="H9035" s="0" t="n">
        <v>145</v>
      </c>
      <c r="I9035" s="0" t="s">
        <v>30053</v>
      </c>
      <c r="J9035" s="0" t="s">
        <v>30054</v>
      </c>
      <c r="K9035" s="0" t="s">
        <v>30055</v>
      </c>
      <c r="L9035" s="0" t="str">
        <f aca="false">HYPERLINK("https://www.ncbi.nlm.nih.gov/nuccore/CP000058.1?report=graph&amp;tracks=[key:gene_model_track,Options:GeneOnly]&amp;mk=2842001:2842020|offset_44|444444,2842045:2842064|offset_88|444444,2842075:2842094|offset_118|444444,2842102:2842121|offset_145|00cc00&amp;v=2841800:2842321&amp;c=444444", "offset 145")</f>
        <v>offset 145</v>
      </c>
    </row>
    <row r="9036" customFormat="false" ht="12.8" hidden="false" customHeight="false" outlineLevel="0" collapsed="false">
      <c r="A9036" s="0" t="s">
        <v>12</v>
      </c>
      <c r="B9036" s="0" t="n">
        <v>2842860</v>
      </c>
      <c r="C9036" s="0" t="n">
        <v>2842880</v>
      </c>
      <c r="D9036" s="0" t="s">
        <v>30056</v>
      </c>
      <c r="E9036" s="0" t="s">
        <v>75</v>
      </c>
      <c r="F9036" s="0" t="s">
        <v>15</v>
      </c>
      <c r="G9036" s="0" t="s">
        <v>20</v>
      </c>
      <c r="H9036" s="0" t="n">
        <v>6</v>
      </c>
      <c r="I9036" s="0" t="s">
        <v>30057</v>
      </c>
      <c r="J9036" s="0" t="s">
        <v>30058</v>
      </c>
      <c r="K9036" s="0" t="s">
        <v>30059</v>
      </c>
      <c r="L9036" s="0" t="str">
        <f aca="false">HYPERLINK("https://www.ncbi.nlm.nih.gov/nuccore/CP000058.1?report=graph&amp;tracks=[key:gene_model_track,Options:GeneOnly]&amp;mk=2842861:2842880|offset_6|00cc00,2842892:2842911|offset_37|444444,2842919:2842938|offset_64|444444,2843006:2843025|offset_151|444444&amp;v=2842660:2843225&amp;c=444444", "offset 6")</f>
        <v>offset 6</v>
      </c>
    </row>
    <row r="9037" customFormat="false" ht="12.8" hidden="false" customHeight="false" outlineLevel="0" collapsed="false">
      <c r="A9037" s="0" t="s">
        <v>12</v>
      </c>
      <c r="B9037" s="0" t="n">
        <v>2842891</v>
      </c>
      <c r="C9037" s="0" t="n">
        <v>2842911</v>
      </c>
      <c r="D9037" s="0" t="s">
        <v>30056</v>
      </c>
      <c r="E9037" s="0" t="s">
        <v>75</v>
      </c>
      <c r="F9037" s="0" t="s">
        <v>15</v>
      </c>
      <c r="G9037" s="0" t="s">
        <v>16</v>
      </c>
      <c r="H9037" s="0" t="n">
        <v>37</v>
      </c>
      <c r="I9037" s="0" t="s">
        <v>30060</v>
      </c>
      <c r="J9037" s="0" t="s">
        <v>30061</v>
      </c>
      <c r="K9037" s="0" t="s">
        <v>30062</v>
      </c>
      <c r="L9037" s="0" t="str">
        <f aca="false">HYPERLINK("https://www.ncbi.nlm.nih.gov/nuccore/CP000058.1?report=graph&amp;tracks=[key:gene_model_track,Options:GeneOnly]&amp;mk=2842861:2842880|offset_6|444444,2842892:2842911|offset_37|00cc00,2842919:2842938|offset_64|444444,2843006:2843025|offset_151|444444&amp;v=2842660:2843225&amp;c=444444", "offset 37")</f>
        <v>offset 37</v>
      </c>
    </row>
    <row r="9038" customFormat="false" ht="12.8" hidden="false" customHeight="false" outlineLevel="0" collapsed="false">
      <c r="A9038" s="0" t="s">
        <v>12</v>
      </c>
      <c r="B9038" s="0" t="n">
        <v>2842918</v>
      </c>
      <c r="C9038" s="0" t="n">
        <v>2842938</v>
      </c>
      <c r="D9038" s="0" t="s">
        <v>30056</v>
      </c>
      <c r="E9038" s="0" t="s">
        <v>75</v>
      </c>
      <c r="F9038" s="0" t="s">
        <v>15</v>
      </c>
      <c r="G9038" s="0" t="s">
        <v>16</v>
      </c>
      <c r="H9038" s="0" t="n">
        <v>64</v>
      </c>
      <c r="I9038" s="0" t="s">
        <v>30063</v>
      </c>
      <c r="J9038" s="0" t="s">
        <v>30064</v>
      </c>
      <c r="K9038" s="0" t="s">
        <v>30065</v>
      </c>
      <c r="L9038" s="0" t="str">
        <f aca="false">HYPERLINK("https://www.ncbi.nlm.nih.gov/nuccore/CP000058.1?report=graph&amp;tracks=[key:gene_model_track,Options:GeneOnly]&amp;mk=2842861:2842880|offset_6|444444,2842892:2842911|offset_37|444444,2842919:2842938|offset_64|00cc00,2843006:2843025|offset_151|444444&amp;v=2842660:2843225&amp;c=444444", "offset 64")</f>
        <v>offset 64</v>
      </c>
    </row>
    <row r="9039" customFormat="false" ht="12.8" hidden="false" customHeight="false" outlineLevel="0" collapsed="false">
      <c r="A9039" s="0" t="s">
        <v>12</v>
      </c>
      <c r="B9039" s="0" t="n">
        <v>2843005</v>
      </c>
      <c r="C9039" s="0" t="n">
        <v>2843025</v>
      </c>
      <c r="D9039" s="0" t="s">
        <v>30056</v>
      </c>
      <c r="E9039" s="0" t="s">
        <v>75</v>
      </c>
      <c r="F9039" s="0" t="s">
        <v>15</v>
      </c>
      <c r="G9039" s="0" t="s">
        <v>16</v>
      </c>
      <c r="H9039" s="0" t="n">
        <v>151</v>
      </c>
      <c r="I9039" s="0" t="s">
        <v>30066</v>
      </c>
      <c r="J9039" s="0" t="s">
        <v>30067</v>
      </c>
      <c r="K9039" s="0" t="s">
        <v>30068</v>
      </c>
      <c r="L9039" s="0" t="str">
        <f aca="false">HYPERLINK("https://www.ncbi.nlm.nih.gov/nuccore/CP000058.1?report=graph&amp;tracks=[key:gene_model_track,Options:GeneOnly]&amp;mk=2842861:2842880|offset_6|444444,2842892:2842911|offset_37|444444,2842919:2842938|offset_64|444444,2843006:2843025|offset_151|00cc00&amp;v=2842660:2843225&amp;c=444444", "offset 151")</f>
        <v>offset 151</v>
      </c>
    </row>
    <row r="9040" customFormat="false" ht="12.8" hidden="false" customHeight="false" outlineLevel="0" collapsed="false">
      <c r="A9040" s="0" t="s">
        <v>12</v>
      </c>
      <c r="B9040" s="0" t="n">
        <v>2843729</v>
      </c>
      <c r="C9040" s="0" t="n">
        <v>2843749</v>
      </c>
      <c r="D9040" s="0" t="s">
        <v>30069</v>
      </c>
      <c r="E9040" s="0" t="s">
        <v>75</v>
      </c>
      <c r="F9040" s="0" t="s">
        <v>15</v>
      </c>
      <c r="G9040" s="0" t="s">
        <v>32</v>
      </c>
      <c r="H9040" s="0" t="n">
        <v>1</v>
      </c>
      <c r="I9040" s="0" t="s">
        <v>30070</v>
      </c>
      <c r="J9040" s="0" t="s">
        <v>30071</v>
      </c>
      <c r="K9040" s="0" t="s">
        <v>30072</v>
      </c>
      <c r="L9040" s="0" t="str">
        <f aca="false">HYPERLINK("https://www.ncbi.nlm.nih.gov/nuccore/CP000058.1?report=graph&amp;tracks=[key:gene_model_track,Options:GeneOnly]&amp;mk=2843730:2843749|offset_1|00cc00,2843761:2843780|offset_32|444444,2843808:2843827|offset_79|444444,2843829:2843848|offset_100|444444&amp;v=2843529:2844048&amp;c=444444", "offset 1")</f>
        <v>offset 1</v>
      </c>
    </row>
    <row r="9041" customFormat="false" ht="12.8" hidden="false" customHeight="false" outlineLevel="0" collapsed="false">
      <c r="A9041" s="0" t="s">
        <v>12</v>
      </c>
      <c r="B9041" s="0" t="n">
        <v>2843760</v>
      </c>
      <c r="C9041" s="0" t="n">
        <v>2843780</v>
      </c>
      <c r="D9041" s="0" t="s">
        <v>30069</v>
      </c>
      <c r="E9041" s="0" t="s">
        <v>75</v>
      </c>
      <c r="F9041" s="0" t="s">
        <v>15</v>
      </c>
      <c r="G9041" s="0" t="s">
        <v>20</v>
      </c>
      <c r="H9041" s="0" t="n">
        <v>32</v>
      </c>
      <c r="I9041" s="0" t="s">
        <v>30073</v>
      </c>
      <c r="J9041" s="0" t="s">
        <v>30074</v>
      </c>
      <c r="K9041" s="0" t="s">
        <v>30075</v>
      </c>
      <c r="L9041" s="0" t="str">
        <f aca="false">HYPERLINK("https://www.ncbi.nlm.nih.gov/nuccore/CP000058.1?report=graph&amp;tracks=[key:gene_model_track,Options:GeneOnly]&amp;mk=2843730:2843749|offset_1|444444,2843761:2843780|offset_32|00cc00,2843808:2843827|offset_79|444444,2843829:2843848|offset_100|444444&amp;v=2843529:2844048&amp;c=444444", "offset 32")</f>
        <v>offset 32</v>
      </c>
    </row>
    <row r="9042" customFormat="false" ht="12.8" hidden="false" customHeight="false" outlineLevel="0" collapsed="false">
      <c r="A9042" s="0" t="s">
        <v>12</v>
      </c>
      <c r="B9042" s="0" t="n">
        <v>2843807</v>
      </c>
      <c r="C9042" s="0" t="n">
        <v>2843827</v>
      </c>
      <c r="D9042" s="0" t="s">
        <v>30069</v>
      </c>
      <c r="E9042" s="0" t="s">
        <v>75</v>
      </c>
      <c r="F9042" s="0" t="s">
        <v>15</v>
      </c>
      <c r="G9042" s="0" t="s">
        <v>36</v>
      </c>
      <c r="H9042" s="0" t="n">
        <v>79</v>
      </c>
      <c r="I9042" s="0" t="s">
        <v>30076</v>
      </c>
      <c r="J9042" s="0" t="s">
        <v>30077</v>
      </c>
      <c r="K9042" s="0" t="s">
        <v>30078</v>
      </c>
      <c r="L9042" s="0" t="str">
        <f aca="false">HYPERLINK("https://www.ncbi.nlm.nih.gov/nuccore/CP000058.1?report=graph&amp;tracks=[key:gene_model_track,Options:GeneOnly]&amp;mk=2843730:2843749|offset_1|444444,2843761:2843780|offset_32|444444,2843808:2843827|offset_79|00cc00,2843829:2843848|offset_100|444444&amp;v=2843529:2844048&amp;c=444444", "offset 79")</f>
        <v>offset 79</v>
      </c>
    </row>
    <row r="9043" customFormat="false" ht="12.8" hidden="false" customHeight="false" outlineLevel="0" collapsed="false">
      <c r="A9043" s="0" t="s">
        <v>12</v>
      </c>
      <c r="B9043" s="0" t="n">
        <v>2843828</v>
      </c>
      <c r="C9043" s="0" t="n">
        <v>2843848</v>
      </c>
      <c r="D9043" s="0" t="s">
        <v>30069</v>
      </c>
      <c r="E9043" s="0" t="s">
        <v>75</v>
      </c>
      <c r="F9043" s="0" t="s">
        <v>15</v>
      </c>
      <c r="G9043" s="0" t="s">
        <v>20</v>
      </c>
      <c r="H9043" s="0" t="n">
        <v>100</v>
      </c>
      <c r="I9043" s="0" t="s">
        <v>30079</v>
      </c>
      <c r="J9043" s="0" t="s">
        <v>30080</v>
      </c>
      <c r="K9043" s="0" t="s">
        <v>30081</v>
      </c>
      <c r="L9043" s="0" t="str">
        <f aca="false">HYPERLINK("https://www.ncbi.nlm.nih.gov/nuccore/CP000058.1?report=graph&amp;tracks=[key:gene_model_track,Options:GeneOnly]&amp;mk=2843730:2843749|offset_1|444444,2843761:2843780|offset_32|444444,2843808:2843827|offset_79|444444,2843829:2843848|offset_100|00cc00&amp;v=2843529:2844048&amp;c=444444", "offset 100")</f>
        <v>offset 100</v>
      </c>
    </row>
    <row r="9044" customFormat="false" ht="12.8" hidden="false" customHeight="false" outlineLevel="0" collapsed="false">
      <c r="A9044" s="0" t="s">
        <v>12</v>
      </c>
      <c r="B9044" s="0" t="n">
        <v>2844476</v>
      </c>
      <c r="C9044" s="0" t="n">
        <v>2844496</v>
      </c>
      <c r="D9044" s="0" t="s">
        <v>30082</v>
      </c>
      <c r="E9044" s="0" t="s">
        <v>75</v>
      </c>
      <c r="F9044" s="0" t="s">
        <v>15</v>
      </c>
      <c r="G9044" s="0" t="s">
        <v>20</v>
      </c>
      <c r="H9044" s="0" t="n">
        <v>40</v>
      </c>
      <c r="I9044" s="0" t="s">
        <v>30083</v>
      </c>
      <c r="J9044" s="0" t="s">
        <v>30084</v>
      </c>
      <c r="K9044" s="0" t="s">
        <v>30085</v>
      </c>
      <c r="L9044" s="0" t="str">
        <f aca="false">HYPERLINK("https://www.ncbi.nlm.nih.gov/nuccore/CP000058.1?report=graph&amp;tracks=[key:gene_model_track,Options:GeneOnly]&amp;mk=2844477:2844496|offset_40|00cc00,2844499:2844518|offset_62|444444,2844568:2844587|offset_131|444444,2844605:2844624|offset_168|444444&amp;v=2844276:2844824&amp;c=444444", "offset 40")</f>
        <v>offset 40</v>
      </c>
    </row>
    <row r="9045" customFormat="false" ht="12.8" hidden="false" customHeight="false" outlineLevel="0" collapsed="false">
      <c r="A9045" s="0" t="s">
        <v>12</v>
      </c>
      <c r="B9045" s="0" t="n">
        <v>2844498</v>
      </c>
      <c r="C9045" s="0" t="n">
        <v>2844518</v>
      </c>
      <c r="D9045" s="0" t="s">
        <v>30082</v>
      </c>
      <c r="E9045" s="0" t="s">
        <v>75</v>
      </c>
      <c r="F9045" s="0" t="s">
        <v>15</v>
      </c>
      <c r="G9045" s="0" t="s">
        <v>36</v>
      </c>
      <c r="H9045" s="0" t="n">
        <v>62</v>
      </c>
      <c r="I9045" s="0" t="s">
        <v>30086</v>
      </c>
      <c r="J9045" s="0" t="s">
        <v>30087</v>
      </c>
      <c r="K9045" s="0" t="s">
        <v>30088</v>
      </c>
      <c r="L9045" s="0" t="str">
        <f aca="false">HYPERLINK("https://www.ncbi.nlm.nih.gov/nuccore/CP000058.1?report=graph&amp;tracks=[key:gene_model_track,Options:GeneOnly]&amp;mk=2844477:2844496|offset_40|444444,2844499:2844518|offset_62|00cc00,2844568:2844587|offset_131|444444,2844605:2844624|offset_168|444444&amp;v=2844276:2844824&amp;c=444444", "offset 62")</f>
        <v>offset 62</v>
      </c>
    </row>
    <row r="9046" customFormat="false" ht="12.8" hidden="false" customHeight="false" outlineLevel="0" collapsed="false">
      <c r="A9046" s="0" t="s">
        <v>12</v>
      </c>
      <c r="B9046" s="0" t="n">
        <v>2844567</v>
      </c>
      <c r="C9046" s="0" t="n">
        <v>2844587</v>
      </c>
      <c r="D9046" s="0" t="s">
        <v>30082</v>
      </c>
      <c r="E9046" s="0" t="s">
        <v>75</v>
      </c>
      <c r="F9046" s="0" t="s">
        <v>15</v>
      </c>
      <c r="G9046" s="0" t="s">
        <v>36</v>
      </c>
      <c r="H9046" s="0" t="n">
        <v>131</v>
      </c>
      <c r="I9046" s="0" t="s">
        <v>30089</v>
      </c>
      <c r="J9046" s="0" t="s">
        <v>30090</v>
      </c>
      <c r="K9046" s="0" t="s">
        <v>30091</v>
      </c>
      <c r="L9046" s="0" t="str">
        <f aca="false">HYPERLINK("https://www.ncbi.nlm.nih.gov/nuccore/CP000058.1?report=graph&amp;tracks=[key:gene_model_track,Options:GeneOnly]&amp;mk=2844477:2844496|offset_40|444444,2844499:2844518|offset_62|444444,2844568:2844587|offset_131|00cc00,2844605:2844624|offset_168|444444&amp;v=2844276:2844824&amp;c=444444", "offset 131")</f>
        <v>offset 131</v>
      </c>
    </row>
    <row r="9047" customFormat="false" ht="12.8" hidden="false" customHeight="false" outlineLevel="0" collapsed="false">
      <c r="A9047" s="0" t="s">
        <v>12</v>
      </c>
      <c r="B9047" s="0" t="n">
        <v>2844604</v>
      </c>
      <c r="C9047" s="0" t="n">
        <v>2844624</v>
      </c>
      <c r="D9047" s="0" t="s">
        <v>30082</v>
      </c>
      <c r="E9047" s="0" t="s">
        <v>75</v>
      </c>
      <c r="F9047" s="0" t="s">
        <v>15</v>
      </c>
      <c r="G9047" s="0" t="s">
        <v>16</v>
      </c>
      <c r="H9047" s="0" t="n">
        <v>168</v>
      </c>
      <c r="I9047" s="0" t="s">
        <v>30092</v>
      </c>
      <c r="J9047" s="0" t="s">
        <v>30093</v>
      </c>
      <c r="K9047" s="0" t="s">
        <v>30094</v>
      </c>
      <c r="L9047" s="0" t="str">
        <f aca="false">HYPERLINK("https://www.ncbi.nlm.nih.gov/nuccore/CP000058.1?report=graph&amp;tracks=[key:gene_model_track,Options:GeneOnly]&amp;mk=2844477:2844496|offset_40|444444,2844499:2844518|offset_62|444444,2844568:2844587|offset_131|444444,2844605:2844624|offset_168|00cc00&amp;v=2844276:2844824&amp;c=444444", "offset 168")</f>
        <v>offset 168</v>
      </c>
    </row>
    <row r="9048" customFormat="false" ht="12.8" hidden="false" customHeight="false" outlineLevel="0" collapsed="false">
      <c r="A9048" s="0" t="s">
        <v>12</v>
      </c>
      <c r="B9048" s="0" t="n">
        <v>2845187</v>
      </c>
      <c r="C9048" s="0" t="n">
        <v>2845207</v>
      </c>
      <c r="D9048" s="0" t="s">
        <v>30095</v>
      </c>
      <c r="E9048" s="0" t="s">
        <v>75</v>
      </c>
      <c r="F9048" s="0" t="s">
        <v>15</v>
      </c>
      <c r="G9048" s="0" t="s">
        <v>32</v>
      </c>
      <c r="H9048" s="0" t="n">
        <v>0</v>
      </c>
      <c r="I9048" s="0" t="s">
        <v>30096</v>
      </c>
      <c r="J9048" s="0" t="s">
        <v>30097</v>
      </c>
      <c r="K9048" s="0" t="s">
        <v>30098</v>
      </c>
      <c r="L9048" s="0" t="str">
        <f aca="false">HYPERLINK("https://www.ncbi.nlm.nih.gov/nuccore/CP000058.1?report=graph&amp;tracks=[key:gene_model_track,Options:GeneOnly]&amp;mk=2845188:2845207|offset_0|00cc00,2845213:2845232|offset_25|444444,2845241:2845260|offset_53|444444,2845261:2845280|offset_73|444444&amp;v=2844987:2845480&amp;c=444444", "offset 0")</f>
        <v>offset 0</v>
      </c>
    </row>
    <row r="9049" customFormat="false" ht="12.8" hidden="false" customHeight="false" outlineLevel="0" collapsed="false">
      <c r="A9049" s="0" t="s">
        <v>12</v>
      </c>
      <c r="B9049" s="0" t="n">
        <v>2845212</v>
      </c>
      <c r="C9049" s="0" t="n">
        <v>2845232</v>
      </c>
      <c r="D9049" s="0" t="s">
        <v>30095</v>
      </c>
      <c r="E9049" s="0" t="s">
        <v>75</v>
      </c>
      <c r="F9049" s="0" t="s">
        <v>15</v>
      </c>
      <c r="G9049" s="0" t="s">
        <v>32</v>
      </c>
      <c r="H9049" s="0" t="n">
        <v>25</v>
      </c>
      <c r="I9049" s="0" t="s">
        <v>30099</v>
      </c>
      <c r="J9049" s="0" t="s">
        <v>30100</v>
      </c>
      <c r="K9049" s="0" t="s">
        <v>30101</v>
      </c>
      <c r="L9049" s="0" t="str">
        <f aca="false">HYPERLINK("https://www.ncbi.nlm.nih.gov/nuccore/CP000058.1?report=graph&amp;tracks=[key:gene_model_track,Options:GeneOnly]&amp;mk=2845188:2845207|offset_0|444444,2845213:2845232|offset_25|00cc00,2845241:2845260|offset_53|444444,2845261:2845280|offset_73|444444&amp;v=2844987:2845480&amp;c=444444", "offset 25")</f>
        <v>offset 25</v>
      </c>
    </row>
    <row r="9050" customFormat="false" ht="12.8" hidden="false" customHeight="false" outlineLevel="0" collapsed="false">
      <c r="A9050" s="0" t="s">
        <v>12</v>
      </c>
      <c r="B9050" s="0" t="n">
        <v>2845240</v>
      </c>
      <c r="C9050" s="0" t="n">
        <v>2845260</v>
      </c>
      <c r="D9050" s="0" t="s">
        <v>30095</v>
      </c>
      <c r="E9050" s="0" t="s">
        <v>75</v>
      </c>
      <c r="F9050" s="0" t="s">
        <v>15</v>
      </c>
      <c r="G9050" s="0" t="s">
        <v>32</v>
      </c>
      <c r="H9050" s="0" t="n">
        <v>53</v>
      </c>
      <c r="I9050" s="0" t="s">
        <v>30102</v>
      </c>
      <c r="J9050" s="0" t="s">
        <v>30103</v>
      </c>
      <c r="K9050" s="0" t="s">
        <v>30104</v>
      </c>
      <c r="L9050" s="0" t="str">
        <f aca="false">HYPERLINK("https://www.ncbi.nlm.nih.gov/nuccore/CP000058.1?report=graph&amp;tracks=[key:gene_model_track,Options:GeneOnly]&amp;mk=2845188:2845207|offset_0|444444,2845213:2845232|offset_25|444444,2845241:2845260|offset_53|00cc00,2845261:2845280|offset_73|444444&amp;v=2844987:2845480&amp;c=444444", "offset 53")</f>
        <v>offset 53</v>
      </c>
    </row>
    <row r="9051" customFormat="false" ht="12.8" hidden="false" customHeight="false" outlineLevel="0" collapsed="false">
      <c r="A9051" s="0" t="s">
        <v>12</v>
      </c>
      <c r="B9051" s="0" t="n">
        <v>2845260</v>
      </c>
      <c r="C9051" s="0" t="n">
        <v>2845280</v>
      </c>
      <c r="D9051" s="0" t="s">
        <v>30095</v>
      </c>
      <c r="E9051" s="0" t="s">
        <v>75</v>
      </c>
      <c r="F9051" s="0" t="s">
        <v>15</v>
      </c>
      <c r="G9051" s="0" t="s">
        <v>16</v>
      </c>
      <c r="H9051" s="0" t="n">
        <v>73</v>
      </c>
      <c r="I9051" s="0" t="s">
        <v>30105</v>
      </c>
      <c r="J9051" s="0" t="s">
        <v>30106</v>
      </c>
      <c r="K9051" s="0" t="s">
        <v>30107</v>
      </c>
      <c r="L9051" s="0" t="str">
        <f aca="false">HYPERLINK("https://www.ncbi.nlm.nih.gov/nuccore/CP000058.1?report=graph&amp;tracks=[key:gene_model_track,Options:GeneOnly]&amp;mk=2845188:2845207|offset_0|444444,2845213:2845232|offset_25|444444,2845241:2845260|offset_53|444444,2845261:2845280|offset_73|00cc00&amp;v=2844987:2845480&amp;c=444444", "offset 73")</f>
        <v>offset 73</v>
      </c>
    </row>
    <row r="9052" customFormat="false" ht="12.8" hidden="false" customHeight="false" outlineLevel="0" collapsed="false">
      <c r="A9052" s="0" t="s">
        <v>12</v>
      </c>
      <c r="B9052" s="0" t="n">
        <v>2845977</v>
      </c>
      <c r="C9052" s="0" t="n">
        <v>2845997</v>
      </c>
      <c r="D9052" s="0" t="s">
        <v>30108</v>
      </c>
      <c r="E9052" s="0" t="s">
        <v>75</v>
      </c>
      <c r="F9052" s="0" t="s">
        <v>15</v>
      </c>
      <c r="G9052" s="0" t="s">
        <v>32</v>
      </c>
      <c r="H9052" s="0" t="n">
        <v>1</v>
      </c>
      <c r="I9052" s="0" t="s">
        <v>30109</v>
      </c>
      <c r="J9052" s="0" t="s">
        <v>30110</v>
      </c>
      <c r="K9052" s="0" t="s">
        <v>30111</v>
      </c>
      <c r="L9052" s="0" t="str">
        <f aca="false">HYPERLINK("https://www.ncbi.nlm.nih.gov/nuccore/CP000058.1?report=graph&amp;tracks=[key:gene_model_track,Options:GeneOnly]&amp;mk=2845978:2845997|offset_1|00cc00,2846019:2846038|offset_42|444444,2846078:2846097|offset_101|444444,2846105:2846124|offset_128|444444&amp;v=2845777:2846324&amp;c=444444", "offset 1")</f>
        <v>offset 1</v>
      </c>
    </row>
    <row r="9053" customFormat="false" ht="12.8" hidden="false" customHeight="false" outlineLevel="0" collapsed="false">
      <c r="A9053" s="0" t="s">
        <v>12</v>
      </c>
      <c r="B9053" s="0" t="n">
        <v>2846018</v>
      </c>
      <c r="C9053" s="0" t="n">
        <v>2846038</v>
      </c>
      <c r="D9053" s="0" t="s">
        <v>30108</v>
      </c>
      <c r="E9053" s="0" t="s">
        <v>75</v>
      </c>
      <c r="F9053" s="0" t="s">
        <v>15</v>
      </c>
      <c r="G9053" s="0" t="s">
        <v>32</v>
      </c>
      <c r="H9053" s="0" t="n">
        <v>42</v>
      </c>
      <c r="I9053" s="0" t="s">
        <v>30112</v>
      </c>
      <c r="J9053" s="0" t="s">
        <v>30113</v>
      </c>
      <c r="K9053" s="0" t="s">
        <v>30114</v>
      </c>
      <c r="L9053" s="0" t="str">
        <f aca="false">HYPERLINK("https://www.ncbi.nlm.nih.gov/nuccore/CP000058.1?report=graph&amp;tracks=[key:gene_model_track,Options:GeneOnly]&amp;mk=2845978:2845997|offset_1|444444,2846019:2846038|offset_42|00cc00,2846078:2846097|offset_101|444444,2846105:2846124|offset_128|444444&amp;v=2845777:2846324&amp;c=444444", "offset 42")</f>
        <v>offset 42</v>
      </c>
    </row>
    <row r="9054" customFormat="false" ht="12.8" hidden="false" customHeight="false" outlineLevel="0" collapsed="false">
      <c r="A9054" s="0" t="s">
        <v>12</v>
      </c>
      <c r="B9054" s="0" t="n">
        <v>2846077</v>
      </c>
      <c r="C9054" s="0" t="n">
        <v>2846097</v>
      </c>
      <c r="D9054" s="0" t="s">
        <v>30108</v>
      </c>
      <c r="E9054" s="0" t="s">
        <v>75</v>
      </c>
      <c r="F9054" s="0" t="s">
        <v>15</v>
      </c>
      <c r="G9054" s="0" t="s">
        <v>20</v>
      </c>
      <c r="H9054" s="0" t="n">
        <v>101</v>
      </c>
      <c r="I9054" s="0" t="s">
        <v>30115</v>
      </c>
      <c r="J9054" s="0" t="s">
        <v>30116</v>
      </c>
      <c r="K9054" s="0" t="s">
        <v>30117</v>
      </c>
      <c r="L9054" s="0" t="str">
        <f aca="false">HYPERLINK("https://www.ncbi.nlm.nih.gov/nuccore/CP000058.1?report=graph&amp;tracks=[key:gene_model_track,Options:GeneOnly]&amp;mk=2845978:2845997|offset_1|444444,2846019:2846038|offset_42|444444,2846078:2846097|offset_101|00cc00,2846105:2846124|offset_128|444444&amp;v=2845777:2846324&amp;c=444444", "offset 101")</f>
        <v>offset 101</v>
      </c>
    </row>
    <row r="9055" customFormat="false" ht="12.8" hidden="false" customHeight="false" outlineLevel="0" collapsed="false">
      <c r="A9055" s="0" t="s">
        <v>12</v>
      </c>
      <c r="B9055" s="0" t="n">
        <v>2846104</v>
      </c>
      <c r="C9055" s="0" t="n">
        <v>2846124</v>
      </c>
      <c r="D9055" s="0" t="s">
        <v>30108</v>
      </c>
      <c r="E9055" s="0" t="s">
        <v>75</v>
      </c>
      <c r="F9055" s="0" t="s">
        <v>15</v>
      </c>
      <c r="G9055" s="0" t="s">
        <v>36</v>
      </c>
      <c r="H9055" s="0" t="n">
        <v>128</v>
      </c>
      <c r="I9055" s="0" t="s">
        <v>30118</v>
      </c>
      <c r="J9055" s="0" t="s">
        <v>30119</v>
      </c>
      <c r="K9055" s="0" t="s">
        <v>30120</v>
      </c>
      <c r="L9055" s="0" t="str">
        <f aca="false">HYPERLINK("https://www.ncbi.nlm.nih.gov/nuccore/CP000058.1?report=graph&amp;tracks=[key:gene_model_track,Options:GeneOnly]&amp;mk=2845978:2845997|offset_1|444444,2846019:2846038|offset_42|444444,2846078:2846097|offset_101|444444,2846105:2846124|offset_128|00cc00&amp;v=2845777:2846324&amp;c=444444", "offset 128")</f>
        <v>offset 128</v>
      </c>
    </row>
    <row r="9056" customFormat="false" ht="12.8" hidden="false" customHeight="false" outlineLevel="0" collapsed="false">
      <c r="A9056" s="0" t="s">
        <v>12</v>
      </c>
      <c r="B9056" s="0" t="n">
        <v>2846938</v>
      </c>
      <c r="C9056" s="0" t="n">
        <v>2846958</v>
      </c>
      <c r="D9056" s="0" t="s">
        <v>30121</v>
      </c>
      <c r="E9056" s="0" t="s">
        <v>75</v>
      </c>
      <c r="F9056" s="0" t="s">
        <v>15</v>
      </c>
      <c r="G9056" s="0" t="s">
        <v>16</v>
      </c>
      <c r="H9056" s="0" t="n">
        <v>22</v>
      </c>
      <c r="I9056" s="0" t="s">
        <v>30122</v>
      </c>
      <c r="J9056" s="0" t="s">
        <v>30123</v>
      </c>
      <c r="K9056" s="0" t="s">
        <v>30124</v>
      </c>
      <c r="L9056" s="0" t="str">
        <f aca="false">HYPERLINK("https://www.ncbi.nlm.nih.gov/nuccore/CP000058.1?report=graph&amp;tracks=[key:gene_model_track,Options:GeneOnly]&amp;mk=2846939:2846958|offset_22|00cc00,2846993:2847012|offset_76|444444,2847013:2847032|offset_96|444444,2847073:2847092|offset_156|444444&amp;v=2846738:2847292&amp;c=444444", "offset 22")</f>
        <v>offset 22</v>
      </c>
    </row>
    <row r="9057" customFormat="false" ht="12.8" hidden="false" customHeight="false" outlineLevel="0" collapsed="false">
      <c r="A9057" s="0" t="s">
        <v>12</v>
      </c>
      <c r="B9057" s="0" t="n">
        <v>2846992</v>
      </c>
      <c r="C9057" s="0" t="n">
        <v>2847012</v>
      </c>
      <c r="D9057" s="0" t="s">
        <v>30121</v>
      </c>
      <c r="E9057" s="0" t="s">
        <v>75</v>
      </c>
      <c r="F9057" s="0" t="s">
        <v>15</v>
      </c>
      <c r="G9057" s="0" t="s">
        <v>20</v>
      </c>
      <c r="H9057" s="0" t="n">
        <v>76</v>
      </c>
      <c r="I9057" s="0" t="s">
        <v>30125</v>
      </c>
      <c r="J9057" s="0" t="s">
        <v>30126</v>
      </c>
      <c r="K9057" s="0" t="s">
        <v>30127</v>
      </c>
      <c r="L9057" s="0" t="str">
        <f aca="false">HYPERLINK("https://www.ncbi.nlm.nih.gov/nuccore/CP000058.1?report=graph&amp;tracks=[key:gene_model_track,Options:GeneOnly]&amp;mk=2846939:2846958|offset_22|444444,2846993:2847012|offset_76|00cc00,2847013:2847032|offset_96|444444,2847073:2847092|offset_156|444444&amp;v=2846738:2847292&amp;c=444444", "offset 76")</f>
        <v>offset 76</v>
      </c>
    </row>
    <row r="9058" customFormat="false" ht="12.8" hidden="false" customHeight="false" outlineLevel="0" collapsed="false">
      <c r="A9058" s="0" t="s">
        <v>12</v>
      </c>
      <c r="B9058" s="0" t="n">
        <v>2847012</v>
      </c>
      <c r="C9058" s="0" t="n">
        <v>2847032</v>
      </c>
      <c r="D9058" s="0" t="s">
        <v>30121</v>
      </c>
      <c r="E9058" s="0" t="s">
        <v>75</v>
      </c>
      <c r="F9058" s="0" t="s">
        <v>15</v>
      </c>
      <c r="G9058" s="0" t="s">
        <v>16</v>
      </c>
      <c r="H9058" s="0" t="n">
        <v>96</v>
      </c>
      <c r="I9058" s="0" t="s">
        <v>30128</v>
      </c>
      <c r="J9058" s="0" t="s">
        <v>30129</v>
      </c>
      <c r="K9058" s="0" t="s">
        <v>30130</v>
      </c>
      <c r="L9058" s="0" t="str">
        <f aca="false">HYPERLINK("https://www.ncbi.nlm.nih.gov/nuccore/CP000058.1?report=graph&amp;tracks=[key:gene_model_track,Options:GeneOnly]&amp;mk=2846939:2846958|offset_22|444444,2846993:2847012|offset_76|444444,2847013:2847032|offset_96|00cc00,2847073:2847092|offset_156|444444&amp;v=2846738:2847292&amp;c=444444", "offset 96")</f>
        <v>offset 96</v>
      </c>
    </row>
    <row r="9059" customFormat="false" ht="12.8" hidden="false" customHeight="false" outlineLevel="0" collapsed="false">
      <c r="A9059" s="0" t="s">
        <v>12</v>
      </c>
      <c r="B9059" s="0" t="n">
        <v>2847072</v>
      </c>
      <c r="C9059" s="0" t="n">
        <v>2847092</v>
      </c>
      <c r="D9059" s="0" t="s">
        <v>30121</v>
      </c>
      <c r="E9059" s="0" t="s">
        <v>75</v>
      </c>
      <c r="F9059" s="0" t="s">
        <v>15</v>
      </c>
      <c r="G9059" s="0" t="s">
        <v>16</v>
      </c>
      <c r="H9059" s="0" t="n">
        <v>156</v>
      </c>
      <c r="I9059" s="0" t="s">
        <v>30131</v>
      </c>
      <c r="J9059" s="0" t="s">
        <v>30132</v>
      </c>
      <c r="K9059" s="0" t="s">
        <v>30133</v>
      </c>
      <c r="L9059" s="0" t="str">
        <f aca="false">HYPERLINK("https://www.ncbi.nlm.nih.gov/nuccore/CP000058.1?report=graph&amp;tracks=[key:gene_model_track,Options:GeneOnly]&amp;mk=2846939:2846958|offset_22|444444,2846993:2847012|offset_76|444444,2847013:2847032|offset_96|444444,2847073:2847092|offset_156|00cc00&amp;v=2846738:2847292&amp;c=444444", "offset 156")</f>
        <v>offset 156</v>
      </c>
    </row>
    <row r="9060" customFormat="false" ht="12.8" hidden="false" customHeight="false" outlineLevel="0" collapsed="false">
      <c r="A9060" s="0" t="s">
        <v>12</v>
      </c>
      <c r="B9060" s="0" t="n">
        <v>2849852</v>
      </c>
      <c r="C9060" s="0" t="n">
        <v>2849872</v>
      </c>
      <c r="D9060" s="0" t="s">
        <v>30134</v>
      </c>
      <c r="E9060" s="0" t="s">
        <v>75</v>
      </c>
      <c r="F9060" s="0" t="s">
        <v>90</v>
      </c>
      <c r="G9060" s="0" t="s">
        <v>20</v>
      </c>
      <c r="H9060" s="0" t="n">
        <v>0</v>
      </c>
      <c r="I9060" s="0" t="s">
        <v>30135</v>
      </c>
      <c r="J9060" s="0" t="s">
        <v>30136</v>
      </c>
      <c r="K9060" s="0" t="s">
        <v>30137</v>
      </c>
      <c r="L9060" s="0" t="str">
        <f aca="false">HYPERLINK("https://www.ncbi.nlm.nih.gov/nuccore/CP000058.1?report=graph&amp;tracks=[key:gene_model_track,Options:GeneOnly]&amp;mk=2849853:2849872|offset_0|00cc00,2849831:2849850|offset_22|444444,2849805:2849824|offset_48|444444,2849779:2849798|offset_74|444444&amp;v=2849652:2849998&amp;c=444444", "offset 0")</f>
        <v>offset 0</v>
      </c>
    </row>
    <row r="9061" customFormat="false" ht="12.8" hidden="false" customHeight="false" outlineLevel="0" collapsed="false">
      <c r="A9061" s="0" t="s">
        <v>12</v>
      </c>
      <c r="B9061" s="0" t="n">
        <v>2849830</v>
      </c>
      <c r="C9061" s="0" t="n">
        <v>2849850</v>
      </c>
      <c r="D9061" s="0" t="s">
        <v>30134</v>
      </c>
      <c r="E9061" s="0" t="s">
        <v>75</v>
      </c>
      <c r="F9061" s="0" t="s">
        <v>90</v>
      </c>
      <c r="G9061" s="0" t="s">
        <v>16</v>
      </c>
      <c r="H9061" s="0" t="n">
        <v>22</v>
      </c>
      <c r="I9061" s="0" t="s">
        <v>30138</v>
      </c>
      <c r="J9061" s="0" t="s">
        <v>30139</v>
      </c>
      <c r="K9061" s="0" t="s">
        <v>30140</v>
      </c>
      <c r="L9061" s="0" t="str">
        <f aca="false">HYPERLINK("https://www.ncbi.nlm.nih.gov/nuccore/CP000058.1?report=graph&amp;tracks=[key:gene_model_track,Options:GeneOnly]&amp;mk=2849853:2849872|offset_0|444444,2849831:2849850|offset_22|00cc00,2849805:2849824|offset_48|444444,2849779:2849798|offset_74|444444&amp;v=2849652:2849998&amp;c=444444", "offset 22")</f>
        <v>offset 22</v>
      </c>
    </row>
    <row r="9062" customFormat="false" ht="12.8" hidden="false" customHeight="false" outlineLevel="0" collapsed="false">
      <c r="A9062" s="0" t="s">
        <v>12</v>
      </c>
      <c r="B9062" s="0" t="n">
        <v>2849804</v>
      </c>
      <c r="C9062" s="0" t="n">
        <v>2849824</v>
      </c>
      <c r="D9062" s="0" t="s">
        <v>30134</v>
      </c>
      <c r="E9062" s="0" t="s">
        <v>75</v>
      </c>
      <c r="F9062" s="0" t="s">
        <v>90</v>
      </c>
      <c r="G9062" s="0" t="s">
        <v>16</v>
      </c>
      <c r="H9062" s="0" t="n">
        <v>48</v>
      </c>
      <c r="I9062" s="0" t="s">
        <v>30141</v>
      </c>
      <c r="J9062" s="0" t="s">
        <v>30142</v>
      </c>
      <c r="K9062" s="0" t="s">
        <v>30143</v>
      </c>
      <c r="L9062" s="0" t="str">
        <f aca="false">HYPERLINK("https://www.ncbi.nlm.nih.gov/nuccore/CP000058.1?report=graph&amp;tracks=[key:gene_model_track,Options:GeneOnly]&amp;mk=2849853:2849872|offset_0|444444,2849831:2849850|offset_22|444444,2849805:2849824|offset_48|00cc00,2849779:2849798|offset_74|444444&amp;v=2849652:2849998&amp;c=444444", "offset 48")</f>
        <v>offset 48</v>
      </c>
    </row>
    <row r="9063" customFormat="false" ht="12.8" hidden="false" customHeight="false" outlineLevel="0" collapsed="false">
      <c r="A9063" s="0" t="s">
        <v>12</v>
      </c>
      <c r="B9063" s="0" t="n">
        <v>2849778</v>
      </c>
      <c r="C9063" s="0" t="n">
        <v>2849798</v>
      </c>
      <c r="D9063" s="0" t="s">
        <v>30134</v>
      </c>
      <c r="E9063" s="0" t="s">
        <v>75</v>
      </c>
      <c r="F9063" s="0" t="s">
        <v>90</v>
      </c>
      <c r="G9063" s="0" t="s">
        <v>32</v>
      </c>
      <c r="H9063" s="0" t="n">
        <v>74</v>
      </c>
      <c r="I9063" s="0" t="s">
        <v>30144</v>
      </c>
      <c r="J9063" s="0" t="s">
        <v>30145</v>
      </c>
      <c r="K9063" s="0" t="s">
        <v>30146</v>
      </c>
      <c r="L9063" s="0" t="str">
        <f aca="false">HYPERLINK("https://www.ncbi.nlm.nih.gov/nuccore/CP000058.1?report=graph&amp;tracks=[key:gene_model_track,Options:GeneOnly]&amp;mk=2849853:2849872|offset_0|444444,2849831:2849850|offset_22|444444,2849805:2849824|offset_48|444444,2849779:2849798|offset_74|00cc00&amp;v=2849652:2849998&amp;c=444444", "offset 74")</f>
        <v>offset 74</v>
      </c>
    </row>
    <row r="9064" customFormat="false" ht="12.8" hidden="false" customHeight="false" outlineLevel="0" collapsed="false">
      <c r="A9064" s="0" t="s">
        <v>12</v>
      </c>
      <c r="B9064" s="0" t="n">
        <v>2851204</v>
      </c>
      <c r="C9064" s="0" t="n">
        <v>2851224</v>
      </c>
      <c r="D9064" s="0" t="s">
        <v>30147</v>
      </c>
      <c r="E9064" s="0" t="s">
        <v>75</v>
      </c>
      <c r="F9064" s="0" t="s">
        <v>90</v>
      </c>
      <c r="G9064" s="0" t="s">
        <v>36</v>
      </c>
      <c r="H9064" s="0" t="n">
        <v>10</v>
      </c>
      <c r="I9064" s="0" t="s">
        <v>30148</v>
      </c>
      <c r="J9064" s="0" t="s">
        <v>30149</v>
      </c>
      <c r="K9064" s="0" t="s">
        <v>30150</v>
      </c>
      <c r="L9064" s="0" t="str">
        <f aca="false">HYPERLINK("https://www.ncbi.nlm.nih.gov/nuccore/CP000058.1?report=graph&amp;tracks=[key:gene_model_track,Options:GeneOnly]&amp;mk=2851205:2851224|offset_10|00cc00,2851180:2851199|offset_35|444444,2851132:2851151|offset_83|444444,2851094:2851113|offset_121|444444&amp;v=2851004:2851313&amp;c=444444", "offset 10")</f>
        <v>offset 10</v>
      </c>
    </row>
    <row r="9065" customFormat="false" ht="12.8" hidden="false" customHeight="false" outlineLevel="0" collapsed="false">
      <c r="A9065" s="0" t="s">
        <v>12</v>
      </c>
      <c r="B9065" s="0" t="n">
        <v>2851179</v>
      </c>
      <c r="C9065" s="0" t="n">
        <v>2851199</v>
      </c>
      <c r="D9065" s="0" t="s">
        <v>30147</v>
      </c>
      <c r="E9065" s="0" t="s">
        <v>75</v>
      </c>
      <c r="F9065" s="0" t="s">
        <v>90</v>
      </c>
      <c r="G9065" s="0" t="s">
        <v>32</v>
      </c>
      <c r="H9065" s="0" t="n">
        <v>35</v>
      </c>
      <c r="I9065" s="0" t="s">
        <v>30151</v>
      </c>
      <c r="J9065" s="0" t="s">
        <v>30152</v>
      </c>
      <c r="K9065" s="0" t="s">
        <v>30153</v>
      </c>
      <c r="L9065" s="0" t="str">
        <f aca="false">HYPERLINK("https://www.ncbi.nlm.nih.gov/nuccore/CP000058.1?report=graph&amp;tracks=[key:gene_model_track,Options:GeneOnly]&amp;mk=2851205:2851224|offset_10|444444,2851180:2851199|offset_35|00cc00,2851132:2851151|offset_83|444444,2851094:2851113|offset_121|444444&amp;v=2851004:2851313&amp;c=444444", "offset 35")</f>
        <v>offset 35</v>
      </c>
    </row>
    <row r="9066" customFormat="false" ht="12.8" hidden="false" customHeight="false" outlineLevel="0" collapsed="false">
      <c r="A9066" s="0" t="s">
        <v>12</v>
      </c>
      <c r="B9066" s="0" t="n">
        <v>2851131</v>
      </c>
      <c r="C9066" s="0" t="n">
        <v>2851151</v>
      </c>
      <c r="D9066" s="0" t="s">
        <v>30147</v>
      </c>
      <c r="E9066" s="0" t="s">
        <v>75</v>
      </c>
      <c r="F9066" s="0" t="s">
        <v>90</v>
      </c>
      <c r="G9066" s="0" t="s">
        <v>16</v>
      </c>
      <c r="H9066" s="0" t="n">
        <v>83</v>
      </c>
      <c r="I9066" s="0" t="s">
        <v>30154</v>
      </c>
      <c r="J9066" s="0" t="s">
        <v>30155</v>
      </c>
      <c r="K9066" s="0" t="s">
        <v>30156</v>
      </c>
      <c r="L9066" s="0" t="str">
        <f aca="false">HYPERLINK("https://www.ncbi.nlm.nih.gov/nuccore/CP000058.1?report=graph&amp;tracks=[key:gene_model_track,Options:GeneOnly]&amp;mk=2851205:2851224|offset_10|444444,2851180:2851199|offset_35|444444,2851132:2851151|offset_83|00cc00,2851094:2851113|offset_121|444444&amp;v=2851004:2851313&amp;c=444444", "offset 83")</f>
        <v>offset 83</v>
      </c>
    </row>
    <row r="9067" customFormat="false" ht="12.8" hidden="false" customHeight="false" outlineLevel="0" collapsed="false">
      <c r="A9067" s="0" t="s">
        <v>12</v>
      </c>
      <c r="B9067" s="0" t="n">
        <v>2851093</v>
      </c>
      <c r="C9067" s="0" t="n">
        <v>2851113</v>
      </c>
      <c r="D9067" s="0" t="s">
        <v>30147</v>
      </c>
      <c r="E9067" s="0" t="s">
        <v>75</v>
      </c>
      <c r="F9067" s="0" t="s">
        <v>90</v>
      </c>
      <c r="G9067" s="0" t="s">
        <v>16</v>
      </c>
      <c r="H9067" s="0" t="n">
        <v>121</v>
      </c>
      <c r="I9067" s="0" t="s">
        <v>30157</v>
      </c>
      <c r="J9067" s="0" t="s">
        <v>30158</v>
      </c>
      <c r="K9067" s="0" t="s">
        <v>30159</v>
      </c>
      <c r="L9067" s="0" t="str">
        <f aca="false">HYPERLINK("https://www.ncbi.nlm.nih.gov/nuccore/CP000058.1?report=graph&amp;tracks=[key:gene_model_track,Options:GeneOnly]&amp;mk=2851205:2851224|offset_10|444444,2851180:2851199|offset_35|444444,2851132:2851151|offset_83|444444,2851094:2851113|offset_121|00cc00&amp;v=2851004:2851313&amp;c=444444", "offset 121")</f>
        <v>offset 121</v>
      </c>
    </row>
    <row r="9068" customFormat="false" ht="12.8" hidden="false" customHeight="false" outlineLevel="0" collapsed="false">
      <c r="A9068" s="0" t="s">
        <v>12</v>
      </c>
      <c r="B9068" s="0" t="n">
        <v>2851406</v>
      </c>
      <c r="C9068" s="0" t="n">
        <v>2851426</v>
      </c>
      <c r="D9068" s="0" t="s">
        <v>30160</v>
      </c>
      <c r="E9068" s="0" t="s">
        <v>75</v>
      </c>
      <c r="F9068" s="0" t="s">
        <v>15</v>
      </c>
      <c r="G9068" s="0" t="s">
        <v>32</v>
      </c>
      <c r="H9068" s="0" t="n">
        <v>34</v>
      </c>
      <c r="I9068" s="0" t="s">
        <v>30161</v>
      </c>
      <c r="J9068" s="0" t="s">
        <v>30162</v>
      </c>
      <c r="K9068" s="0" t="s">
        <v>30163</v>
      </c>
      <c r="L9068" s="0" t="str">
        <f aca="false">HYPERLINK("https://www.ncbi.nlm.nih.gov/nuccore/CP000058.1?report=graph&amp;tracks=[key:gene_model_track,Options:GeneOnly]&amp;mk=2851407:2851426|offset_34|00cc00,2851443:2851462|offset_70|444444,2851466:2851485|offset_93|444444,2851486:2851505|offset_113|444444&amp;v=2851206:2851705&amp;c=444444", "offset 34")</f>
        <v>offset 34</v>
      </c>
    </row>
    <row r="9069" customFormat="false" ht="12.8" hidden="false" customHeight="false" outlineLevel="0" collapsed="false">
      <c r="A9069" s="0" t="s">
        <v>12</v>
      </c>
      <c r="B9069" s="0" t="n">
        <v>2851442</v>
      </c>
      <c r="C9069" s="0" t="n">
        <v>2851462</v>
      </c>
      <c r="D9069" s="0" t="s">
        <v>30160</v>
      </c>
      <c r="E9069" s="0" t="s">
        <v>75</v>
      </c>
      <c r="F9069" s="0" t="s">
        <v>15</v>
      </c>
      <c r="G9069" s="0" t="s">
        <v>16</v>
      </c>
      <c r="H9069" s="0" t="n">
        <v>70</v>
      </c>
      <c r="I9069" s="0" t="s">
        <v>30164</v>
      </c>
      <c r="J9069" s="0" t="s">
        <v>30165</v>
      </c>
      <c r="K9069" s="0" t="s">
        <v>30166</v>
      </c>
      <c r="L9069" s="0" t="str">
        <f aca="false">HYPERLINK("https://www.ncbi.nlm.nih.gov/nuccore/CP000058.1?report=graph&amp;tracks=[key:gene_model_track,Options:GeneOnly]&amp;mk=2851407:2851426|offset_34|444444,2851443:2851462|offset_70|00cc00,2851466:2851485|offset_93|444444,2851486:2851505|offset_113|444444&amp;v=2851206:2851705&amp;c=444444", "offset 70")</f>
        <v>offset 70</v>
      </c>
    </row>
    <row r="9070" customFormat="false" ht="12.8" hidden="false" customHeight="false" outlineLevel="0" collapsed="false">
      <c r="A9070" s="0" t="s">
        <v>12</v>
      </c>
      <c r="B9070" s="0" t="n">
        <v>2851465</v>
      </c>
      <c r="C9070" s="0" t="n">
        <v>2851485</v>
      </c>
      <c r="D9070" s="0" t="s">
        <v>30160</v>
      </c>
      <c r="E9070" s="0" t="s">
        <v>75</v>
      </c>
      <c r="F9070" s="0" t="s">
        <v>15</v>
      </c>
      <c r="G9070" s="0" t="s">
        <v>20</v>
      </c>
      <c r="H9070" s="0" t="n">
        <v>93</v>
      </c>
      <c r="I9070" s="0" t="s">
        <v>30167</v>
      </c>
      <c r="J9070" s="0" t="s">
        <v>30168</v>
      </c>
      <c r="K9070" s="0" t="s">
        <v>30169</v>
      </c>
      <c r="L9070" s="0" t="str">
        <f aca="false">HYPERLINK("https://www.ncbi.nlm.nih.gov/nuccore/CP000058.1?report=graph&amp;tracks=[key:gene_model_track,Options:GeneOnly]&amp;mk=2851407:2851426|offset_34|444444,2851443:2851462|offset_70|444444,2851466:2851485|offset_93|00cc00,2851486:2851505|offset_113|444444&amp;v=2851206:2851705&amp;c=444444", "offset 93")</f>
        <v>offset 93</v>
      </c>
    </row>
    <row r="9071" customFormat="false" ht="12.8" hidden="false" customHeight="false" outlineLevel="0" collapsed="false">
      <c r="A9071" s="0" t="s">
        <v>12</v>
      </c>
      <c r="B9071" s="0" t="n">
        <v>2851485</v>
      </c>
      <c r="C9071" s="0" t="n">
        <v>2851505</v>
      </c>
      <c r="D9071" s="0" t="s">
        <v>30160</v>
      </c>
      <c r="E9071" s="0" t="s">
        <v>75</v>
      </c>
      <c r="F9071" s="0" t="s">
        <v>15</v>
      </c>
      <c r="G9071" s="0" t="s">
        <v>32</v>
      </c>
      <c r="H9071" s="0" t="n">
        <v>113</v>
      </c>
      <c r="I9071" s="0" t="s">
        <v>30170</v>
      </c>
      <c r="J9071" s="0" t="s">
        <v>30171</v>
      </c>
      <c r="K9071" s="0" t="s">
        <v>30172</v>
      </c>
      <c r="L9071" s="0" t="str">
        <f aca="false">HYPERLINK("https://www.ncbi.nlm.nih.gov/nuccore/CP000058.1?report=graph&amp;tracks=[key:gene_model_track,Options:GeneOnly]&amp;mk=2851407:2851426|offset_34|444444,2851443:2851462|offset_70|444444,2851466:2851485|offset_93|444444,2851486:2851505|offset_113|00cc00&amp;v=2851206:2851705&amp;c=444444", "offset 113")</f>
        <v>offset 113</v>
      </c>
    </row>
    <row r="9072" customFormat="false" ht="12.8" hidden="false" customHeight="false" outlineLevel="0" collapsed="false">
      <c r="A9072" s="0" t="s">
        <v>12</v>
      </c>
      <c r="B9072" s="0" t="n">
        <v>2852427</v>
      </c>
      <c r="C9072" s="0" t="n">
        <v>2852447</v>
      </c>
      <c r="D9072" s="0" t="s">
        <v>30173</v>
      </c>
      <c r="E9072" s="0" t="s">
        <v>75</v>
      </c>
      <c r="F9072" s="0" t="s">
        <v>15</v>
      </c>
      <c r="G9072" s="0" t="s">
        <v>20</v>
      </c>
      <c r="H9072" s="0" t="n">
        <v>17</v>
      </c>
      <c r="I9072" s="0" t="s">
        <v>30174</v>
      </c>
      <c r="J9072" s="0" t="s">
        <v>30175</v>
      </c>
      <c r="K9072" s="0" t="s">
        <v>30176</v>
      </c>
      <c r="L9072" s="0" t="str">
        <f aca="false">HYPERLINK("https://www.ncbi.nlm.nih.gov/nuccore/CP000058.1?report=graph&amp;tracks=[key:gene_model_track,Options:GeneOnly]&amp;mk=2852428:2852447|offset_17|00cc00,2852457:2852476|offset_46|444444,2852477:2852496|offset_66|444444,2852527:2852546|offset_116|444444&amp;v=2852227:2852746&amp;c=444444", "offset 17")</f>
        <v>offset 17</v>
      </c>
    </row>
    <row r="9073" customFormat="false" ht="12.8" hidden="false" customHeight="false" outlineLevel="0" collapsed="false">
      <c r="A9073" s="0" t="s">
        <v>12</v>
      </c>
      <c r="B9073" s="0" t="n">
        <v>2852456</v>
      </c>
      <c r="C9073" s="0" t="n">
        <v>2852476</v>
      </c>
      <c r="D9073" s="0" t="s">
        <v>30173</v>
      </c>
      <c r="E9073" s="0" t="s">
        <v>75</v>
      </c>
      <c r="F9073" s="0" t="s">
        <v>15</v>
      </c>
      <c r="G9073" s="0" t="s">
        <v>32</v>
      </c>
      <c r="H9073" s="0" t="n">
        <v>46</v>
      </c>
      <c r="I9073" s="0" t="s">
        <v>30177</v>
      </c>
      <c r="J9073" s="0" t="s">
        <v>30178</v>
      </c>
      <c r="K9073" s="0" t="s">
        <v>30179</v>
      </c>
      <c r="L9073" s="0" t="str">
        <f aca="false">HYPERLINK("https://www.ncbi.nlm.nih.gov/nuccore/CP000058.1?report=graph&amp;tracks=[key:gene_model_track,Options:GeneOnly]&amp;mk=2852428:2852447|offset_17|444444,2852457:2852476|offset_46|00cc00,2852477:2852496|offset_66|444444,2852527:2852546|offset_116|444444&amp;v=2852227:2852746&amp;c=444444", "offset 46")</f>
        <v>offset 46</v>
      </c>
    </row>
    <row r="9074" customFormat="false" ht="12.8" hidden="false" customHeight="false" outlineLevel="0" collapsed="false">
      <c r="A9074" s="0" t="s">
        <v>12</v>
      </c>
      <c r="B9074" s="0" t="n">
        <v>2852476</v>
      </c>
      <c r="C9074" s="0" t="n">
        <v>2852496</v>
      </c>
      <c r="D9074" s="0" t="s">
        <v>30173</v>
      </c>
      <c r="E9074" s="0" t="s">
        <v>75</v>
      </c>
      <c r="F9074" s="0" t="s">
        <v>15</v>
      </c>
      <c r="G9074" s="0" t="s">
        <v>32</v>
      </c>
      <c r="H9074" s="0" t="n">
        <v>66</v>
      </c>
      <c r="I9074" s="0" t="s">
        <v>30180</v>
      </c>
      <c r="J9074" s="0" t="s">
        <v>30181</v>
      </c>
      <c r="K9074" s="0" t="s">
        <v>30182</v>
      </c>
      <c r="L9074" s="0" t="str">
        <f aca="false">HYPERLINK("https://www.ncbi.nlm.nih.gov/nuccore/CP000058.1?report=graph&amp;tracks=[key:gene_model_track,Options:GeneOnly]&amp;mk=2852428:2852447|offset_17|444444,2852457:2852476|offset_46|444444,2852477:2852496|offset_66|00cc00,2852527:2852546|offset_116|444444&amp;v=2852227:2852746&amp;c=444444", "offset 66")</f>
        <v>offset 66</v>
      </c>
    </row>
    <row r="9075" customFormat="false" ht="12.8" hidden="false" customHeight="false" outlineLevel="0" collapsed="false">
      <c r="A9075" s="0" t="s">
        <v>12</v>
      </c>
      <c r="B9075" s="0" t="n">
        <v>2852526</v>
      </c>
      <c r="C9075" s="0" t="n">
        <v>2852546</v>
      </c>
      <c r="D9075" s="0" t="s">
        <v>30173</v>
      </c>
      <c r="E9075" s="0" t="s">
        <v>75</v>
      </c>
      <c r="F9075" s="0" t="s">
        <v>15</v>
      </c>
      <c r="G9075" s="0" t="s">
        <v>32</v>
      </c>
      <c r="H9075" s="0" t="n">
        <v>116</v>
      </c>
      <c r="I9075" s="0" t="s">
        <v>30183</v>
      </c>
      <c r="J9075" s="0" t="s">
        <v>30184</v>
      </c>
      <c r="K9075" s="0" t="s">
        <v>30185</v>
      </c>
      <c r="L9075" s="0" t="str">
        <f aca="false">HYPERLINK("https://www.ncbi.nlm.nih.gov/nuccore/CP000058.1?report=graph&amp;tracks=[key:gene_model_track,Options:GeneOnly]&amp;mk=2852428:2852447|offset_17|444444,2852457:2852476|offset_46|444444,2852477:2852496|offset_66|444444,2852527:2852546|offset_116|00cc00&amp;v=2852227:2852746&amp;c=444444", "offset 116")</f>
        <v>offset 116</v>
      </c>
    </row>
    <row r="9076" customFormat="false" ht="12.8" hidden="false" customHeight="false" outlineLevel="0" collapsed="false">
      <c r="A9076" s="0" t="s">
        <v>12</v>
      </c>
      <c r="B9076" s="0" t="n">
        <v>2854099</v>
      </c>
      <c r="C9076" s="0" t="n">
        <v>2854119</v>
      </c>
      <c r="D9076" s="0" t="s">
        <v>30186</v>
      </c>
      <c r="E9076" s="0" t="s">
        <v>75</v>
      </c>
      <c r="F9076" s="0" t="s">
        <v>90</v>
      </c>
      <c r="G9076" s="0" t="s">
        <v>32</v>
      </c>
      <c r="H9076" s="0" t="n">
        <v>1</v>
      </c>
      <c r="I9076" s="0" t="s">
        <v>30187</v>
      </c>
      <c r="J9076" s="0" t="s">
        <v>30188</v>
      </c>
      <c r="K9076" s="0" t="s">
        <v>30189</v>
      </c>
      <c r="L9076" s="0" t="str">
        <f aca="false">HYPERLINK("https://www.ncbi.nlm.nih.gov/nuccore/CP000058.1?report=graph&amp;tracks=[key:gene_model_track,Options:GeneOnly]&amp;mk=2854100:2854119|offset_1|00cc00,2854046:2854065|offset_55|444444,2854023:2854042|offset_78|444444,2853925:2853944|offset_176|444444&amp;v=2853899:2854144&amp;c=444444", "offset 1")</f>
        <v>offset 1</v>
      </c>
    </row>
    <row r="9077" customFormat="false" ht="12.8" hidden="false" customHeight="false" outlineLevel="0" collapsed="false">
      <c r="A9077" s="0" t="s">
        <v>12</v>
      </c>
      <c r="B9077" s="0" t="n">
        <v>2854045</v>
      </c>
      <c r="C9077" s="0" t="n">
        <v>2854065</v>
      </c>
      <c r="D9077" s="0" t="s">
        <v>30186</v>
      </c>
      <c r="E9077" s="0" t="s">
        <v>75</v>
      </c>
      <c r="F9077" s="0" t="s">
        <v>90</v>
      </c>
      <c r="G9077" s="0" t="s">
        <v>32</v>
      </c>
      <c r="H9077" s="0" t="n">
        <v>55</v>
      </c>
      <c r="I9077" s="0" t="s">
        <v>30190</v>
      </c>
      <c r="J9077" s="0" t="s">
        <v>30191</v>
      </c>
      <c r="K9077" s="0" t="s">
        <v>30192</v>
      </c>
      <c r="L9077" s="0" t="str">
        <f aca="false">HYPERLINK("https://www.ncbi.nlm.nih.gov/nuccore/CP000058.1?report=graph&amp;tracks=[key:gene_model_track,Options:GeneOnly]&amp;mk=2854100:2854119|offset_1|444444,2854046:2854065|offset_55|00cc00,2854023:2854042|offset_78|444444,2853925:2853944|offset_176|444444&amp;v=2853899:2854144&amp;c=444444", "offset 55")</f>
        <v>offset 55</v>
      </c>
    </row>
    <row r="9078" customFormat="false" ht="12.8" hidden="false" customHeight="false" outlineLevel="0" collapsed="false">
      <c r="A9078" s="0" t="s">
        <v>12</v>
      </c>
      <c r="B9078" s="0" t="n">
        <v>2854022</v>
      </c>
      <c r="C9078" s="0" t="n">
        <v>2854042</v>
      </c>
      <c r="D9078" s="0" t="s">
        <v>30186</v>
      </c>
      <c r="E9078" s="0" t="s">
        <v>75</v>
      </c>
      <c r="F9078" s="0" t="s">
        <v>90</v>
      </c>
      <c r="G9078" s="0" t="s">
        <v>16</v>
      </c>
      <c r="H9078" s="0" t="n">
        <v>78</v>
      </c>
      <c r="I9078" s="0" t="s">
        <v>30193</v>
      </c>
      <c r="J9078" s="0" t="s">
        <v>30194</v>
      </c>
      <c r="K9078" s="0" t="s">
        <v>30195</v>
      </c>
      <c r="L9078" s="0" t="str">
        <f aca="false">HYPERLINK("https://www.ncbi.nlm.nih.gov/nuccore/CP000058.1?report=graph&amp;tracks=[key:gene_model_track,Options:GeneOnly]&amp;mk=2854100:2854119|offset_1|444444,2854046:2854065|offset_55|444444,2854023:2854042|offset_78|00cc00,2853925:2853944|offset_176|444444&amp;v=2853899:2854144&amp;c=444444", "offset 78")</f>
        <v>offset 78</v>
      </c>
    </row>
    <row r="9079" customFormat="false" ht="12.8" hidden="false" customHeight="false" outlineLevel="0" collapsed="false">
      <c r="A9079" s="0" t="s">
        <v>12</v>
      </c>
      <c r="B9079" s="0" t="n">
        <v>2853924</v>
      </c>
      <c r="C9079" s="0" t="n">
        <v>2853944</v>
      </c>
      <c r="D9079" s="0" t="s">
        <v>30186</v>
      </c>
      <c r="E9079" s="0" t="s">
        <v>75</v>
      </c>
      <c r="F9079" s="0" t="s">
        <v>90</v>
      </c>
      <c r="G9079" s="0" t="s">
        <v>16</v>
      </c>
      <c r="H9079" s="0" t="n">
        <v>176</v>
      </c>
      <c r="I9079" s="0" t="s">
        <v>30196</v>
      </c>
      <c r="J9079" s="0" t="s">
        <v>30197</v>
      </c>
      <c r="K9079" s="0" t="s">
        <v>30198</v>
      </c>
      <c r="L9079" s="0" t="str">
        <f aca="false">HYPERLINK("https://www.ncbi.nlm.nih.gov/nuccore/CP000058.1?report=graph&amp;tracks=[key:gene_model_track,Options:GeneOnly]&amp;mk=2854100:2854119|offset_1|444444,2854046:2854065|offset_55|444444,2854023:2854042|offset_78|444444,2853925:2853944|offset_176|00cc00&amp;v=2853899:2854144&amp;c=444444", "offset 176")</f>
        <v>offset 176</v>
      </c>
    </row>
    <row r="9080" customFormat="false" ht="12.8" hidden="false" customHeight="false" outlineLevel="0" collapsed="false">
      <c r="A9080" s="0" t="s">
        <v>12</v>
      </c>
      <c r="B9080" s="0" t="n">
        <v>2854401</v>
      </c>
      <c r="C9080" s="0" t="n">
        <v>2854421</v>
      </c>
      <c r="D9080" s="0" t="s">
        <v>30199</v>
      </c>
      <c r="E9080" s="0" t="s">
        <v>75</v>
      </c>
      <c r="F9080" s="0" t="s">
        <v>15</v>
      </c>
      <c r="G9080" s="0" t="s">
        <v>16</v>
      </c>
      <c r="H9080" s="0" t="n">
        <v>34</v>
      </c>
      <c r="I9080" s="0" t="s">
        <v>30200</v>
      </c>
      <c r="J9080" s="0" t="s">
        <v>30201</v>
      </c>
      <c r="K9080" s="0" t="s">
        <v>30202</v>
      </c>
      <c r="L9080" s="0" t="str">
        <f aca="false">HYPERLINK("https://www.ncbi.nlm.nih.gov/nuccore/CP000058.1?report=graph&amp;tracks=[key:gene_model_track,Options:GeneOnly]&amp;mk=2854402:2854421|offset_34|00cc00,2854428:2854447|offset_60|444444,2854462:2854481|offset_94|444444,2854504:2854523|offset_136|444444&amp;v=2854201:2854723&amp;c=444444", "offset 34")</f>
        <v>offset 34</v>
      </c>
    </row>
    <row r="9081" customFormat="false" ht="12.8" hidden="false" customHeight="false" outlineLevel="0" collapsed="false">
      <c r="A9081" s="0" t="s">
        <v>12</v>
      </c>
      <c r="B9081" s="0" t="n">
        <v>2854427</v>
      </c>
      <c r="C9081" s="0" t="n">
        <v>2854447</v>
      </c>
      <c r="D9081" s="0" t="s">
        <v>30199</v>
      </c>
      <c r="E9081" s="0" t="s">
        <v>75</v>
      </c>
      <c r="F9081" s="0" t="s">
        <v>15</v>
      </c>
      <c r="G9081" s="0" t="s">
        <v>36</v>
      </c>
      <c r="H9081" s="0" t="n">
        <v>60</v>
      </c>
      <c r="I9081" s="0" t="s">
        <v>30203</v>
      </c>
      <c r="J9081" s="0" t="s">
        <v>30204</v>
      </c>
      <c r="K9081" s="0" t="s">
        <v>30205</v>
      </c>
      <c r="L9081" s="0" t="str">
        <f aca="false">HYPERLINK("https://www.ncbi.nlm.nih.gov/nuccore/CP000058.1?report=graph&amp;tracks=[key:gene_model_track,Options:GeneOnly]&amp;mk=2854402:2854421|offset_34|444444,2854428:2854447|offset_60|00cc00,2854462:2854481|offset_94|444444,2854504:2854523|offset_136|444444&amp;v=2854201:2854723&amp;c=444444", "offset 60")</f>
        <v>offset 60</v>
      </c>
    </row>
    <row r="9082" customFormat="false" ht="12.8" hidden="false" customHeight="false" outlineLevel="0" collapsed="false">
      <c r="A9082" s="0" t="s">
        <v>12</v>
      </c>
      <c r="B9082" s="0" t="n">
        <v>2854461</v>
      </c>
      <c r="C9082" s="0" t="n">
        <v>2854481</v>
      </c>
      <c r="D9082" s="0" t="s">
        <v>30199</v>
      </c>
      <c r="E9082" s="0" t="s">
        <v>75</v>
      </c>
      <c r="F9082" s="0" t="s">
        <v>15</v>
      </c>
      <c r="G9082" s="0" t="s">
        <v>36</v>
      </c>
      <c r="H9082" s="0" t="n">
        <v>94</v>
      </c>
      <c r="I9082" s="0" t="s">
        <v>30206</v>
      </c>
      <c r="J9082" s="0" t="s">
        <v>30207</v>
      </c>
      <c r="K9082" s="0" t="s">
        <v>30208</v>
      </c>
      <c r="L9082" s="0" t="str">
        <f aca="false">HYPERLINK("https://www.ncbi.nlm.nih.gov/nuccore/CP000058.1?report=graph&amp;tracks=[key:gene_model_track,Options:GeneOnly]&amp;mk=2854402:2854421|offset_34|444444,2854428:2854447|offset_60|444444,2854462:2854481|offset_94|00cc00,2854504:2854523|offset_136|444444&amp;v=2854201:2854723&amp;c=444444", "offset 94")</f>
        <v>offset 94</v>
      </c>
    </row>
    <row r="9083" customFormat="false" ht="12.8" hidden="false" customHeight="false" outlineLevel="0" collapsed="false">
      <c r="A9083" s="0" t="s">
        <v>12</v>
      </c>
      <c r="B9083" s="0" t="n">
        <v>2854503</v>
      </c>
      <c r="C9083" s="0" t="n">
        <v>2854523</v>
      </c>
      <c r="D9083" s="0" t="s">
        <v>30199</v>
      </c>
      <c r="E9083" s="0" t="s">
        <v>75</v>
      </c>
      <c r="F9083" s="0" t="s">
        <v>15</v>
      </c>
      <c r="G9083" s="0" t="s">
        <v>20</v>
      </c>
      <c r="H9083" s="0" t="n">
        <v>136</v>
      </c>
      <c r="I9083" s="0" t="s">
        <v>30209</v>
      </c>
      <c r="J9083" s="0" t="s">
        <v>30210</v>
      </c>
      <c r="K9083" s="0" t="s">
        <v>30211</v>
      </c>
      <c r="L9083" s="0" t="str">
        <f aca="false">HYPERLINK("https://www.ncbi.nlm.nih.gov/nuccore/CP000058.1?report=graph&amp;tracks=[key:gene_model_track,Options:GeneOnly]&amp;mk=2854402:2854421|offset_34|444444,2854428:2854447|offset_60|444444,2854462:2854481|offset_94|444444,2854504:2854523|offset_136|00cc00&amp;v=2854201:2854723&amp;c=444444", "offset 136")</f>
        <v>offset 136</v>
      </c>
    </row>
    <row r="9084" customFormat="false" ht="12.8" hidden="false" customHeight="false" outlineLevel="0" collapsed="false">
      <c r="A9084" s="0" t="s">
        <v>12</v>
      </c>
      <c r="B9084" s="0" t="n">
        <v>2856423</v>
      </c>
      <c r="C9084" s="0" t="n">
        <v>2856443</v>
      </c>
      <c r="D9084" s="0" t="s">
        <v>30212</v>
      </c>
      <c r="E9084" s="0" t="s">
        <v>75</v>
      </c>
      <c r="F9084" s="0" t="s">
        <v>15</v>
      </c>
      <c r="G9084" s="0" t="s">
        <v>36</v>
      </c>
      <c r="H9084" s="0" t="n">
        <v>12</v>
      </c>
      <c r="I9084" s="0" t="s">
        <v>30213</v>
      </c>
      <c r="J9084" s="0" t="s">
        <v>30214</v>
      </c>
      <c r="K9084" s="0" t="s">
        <v>30215</v>
      </c>
      <c r="L9084" s="0" t="str">
        <f aca="false">HYPERLINK("https://www.ncbi.nlm.nih.gov/nuccore/CP000058.1?report=graph&amp;tracks=[key:gene_model_track,Options:GeneOnly]&amp;mk=2856424:2856443|offset_12|00cc00,2856496:2856515|offset_84|444444,2856519:2856538|offset_107|444444,2856544:2856563|offset_132|444444&amp;v=2856223:2856763&amp;c=444444", "offset 12")</f>
        <v>offset 12</v>
      </c>
    </row>
    <row r="9085" customFormat="false" ht="12.8" hidden="false" customHeight="false" outlineLevel="0" collapsed="false">
      <c r="A9085" s="0" t="s">
        <v>12</v>
      </c>
      <c r="B9085" s="0" t="n">
        <v>2856495</v>
      </c>
      <c r="C9085" s="0" t="n">
        <v>2856515</v>
      </c>
      <c r="D9085" s="0" t="s">
        <v>30212</v>
      </c>
      <c r="E9085" s="0" t="s">
        <v>75</v>
      </c>
      <c r="F9085" s="0" t="s">
        <v>15</v>
      </c>
      <c r="G9085" s="0" t="s">
        <v>16</v>
      </c>
      <c r="H9085" s="0" t="n">
        <v>84</v>
      </c>
      <c r="I9085" s="0" t="s">
        <v>30216</v>
      </c>
      <c r="J9085" s="0" t="s">
        <v>30217</v>
      </c>
      <c r="K9085" s="0" t="s">
        <v>30218</v>
      </c>
      <c r="L9085" s="0" t="str">
        <f aca="false">HYPERLINK("https://www.ncbi.nlm.nih.gov/nuccore/CP000058.1?report=graph&amp;tracks=[key:gene_model_track,Options:GeneOnly]&amp;mk=2856424:2856443|offset_12|444444,2856496:2856515|offset_84|00cc00,2856519:2856538|offset_107|444444,2856544:2856563|offset_132|444444&amp;v=2856223:2856763&amp;c=444444", "offset 84")</f>
        <v>offset 84</v>
      </c>
    </row>
    <row r="9086" customFormat="false" ht="12.8" hidden="false" customHeight="false" outlineLevel="0" collapsed="false">
      <c r="A9086" s="0" t="s">
        <v>12</v>
      </c>
      <c r="B9086" s="0" t="n">
        <v>2856518</v>
      </c>
      <c r="C9086" s="0" t="n">
        <v>2856538</v>
      </c>
      <c r="D9086" s="0" t="s">
        <v>30212</v>
      </c>
      <c r="E9086" s="0" t="s">
        <v>75</v>
      </c>
      <c r="F9086" s="0" t="s">
        <v>15</v>
      </c>
      <c r="G9086" s="0" t="s">
        <v>20</v>
      </c>
      <c r="H9086" s="0" t="n">
        <v>107</v>
      </c>
      <c r="I9086" s="0" t="s">
        <v>30219</v>
      </c>
      <c r="J9086" s="0" t="s">
        <v>30220</v>
      </c>
      <c r="K9086" s="0" t="s">
        <v>30221</v>
      </c>
      <c r="L9086" s="0" t="str">
        <f aca="false">HYPERLINK("https://www.ncbi.nlm.nih.gov/nuccore/CP000058.1?report=graph&amp;tracks=[key:gene_model_track,Options:GeneOnly]&amp;mk=2856424:2856443|offset_12|444444,2856496:2856515|offset_84|444444,2856519:2856538|offset_107|00cc00,2856544:2856563|offset_132|444444&amp;v=2856223:2856763&amp;c=444444", "offset 107")</f>
        <v>offset 107</v>
      </c>
    </row>
    <row r="9087" customFormat="false" ht="12.8" hidden="false" customHeight="false" outlineLevel="0" collapsed="false">
      <c r="A9087" s="0" t="s">
        <v>12</v>
      </c>
      <c r="B9087" s="0" t="n">
        <v>2856543</v>
      </c>
      <c r="C9087" s="0" t="n">
        <v>2856563</v>
      </c>
      <c r="D9087" s="0" t="s">
        <v>30212</v>
      </c>
      <c r="E9087" s="0" t="s">
        <v>75</v>
      </c>
      <c r="F9087" s="0" t="s">
        <v>15</v>
      </c>
      <c r="G9087" s="0" t="s">
        <v>36</v>
      </c>
      <c r="H9087" s="0" t="n">
        <v>132</v>
      </c>
      <c r="I9087" s="0" t="s">
        <v>30222</v>
      </c>
      <c r="J9087" s="0" t="s">
        <v>30223</v>
      </c>
      <c r="K9087" s="0" t="s">
        <v>30224</v>
      </c>
      <c r="L9087" s="0" t="str">
        <f aca="false">HYPERLINK("https://www.ncbi.nlm.nih.gov/nuccore/CP000058.1?report=graph&amp;tracks=[key:gene_model_track,Options:GeneOnly]&amp;mk=2856424:2856443|offset_12|444444,2856496:2856515|offset_84|444444,2856519:2856538|offset_107|444444,2856544:2856563|offset_132|00cc00&amp;v=2856223:2856763&amp;c=444444", "offset 132")</f>
        <v>offset 132</v>
      </c>
    </row>
    <row r="9088" customFormat="false" ht="12.8" hidden="false" customHeight="false" outlineLevel="0" collapsed="false">
      <c r="A9088" s="0" t="s">
        <v>12</v>
      </c>
      <c r="B9088" s="0" t="n">
        <v>2858010</v>
      </c>
      <c r="C9088" s="0" t="n">
        <v>2858030</v>
      </c>
      <c r="D9088" s="0" t="s">
        <v>30225</v>
      </c>
      <c r="E9088" s="0" t="s">
        <v>30226</v>
      </c>
      <c r="F9088" s="0" t="s">
        <v>90</v>
      </c>
      <c r="G9088" s="0" t="s">
        <v>32</v>
      </c>
      <c r="H9088" s="0" t="n">
        <v>1</v>
      </c>
      <c r="I9088" s="0" t="s">
        <v>30227</v>
      </c>
      <c r="J9088" s="0" t="s">
        <v>30228</v>
      </c>
      <c r="K9088" s="0" t="s">
        <v>30229</v>
      </c>
      <c r="L9088" s="0" t="str">
        <f aca="false">HYPERLINK("https://www.ncbi.nlm.nih.gov/nuccore/CP000058.1?report=graph&amp;tracks=[key:gene_model_track,Options:GeneOnly]&amp;mk=2858011:2858030|offset_1|00cc00,2857939:2857958|offset_73|444444,2857919:2857938|offset_93|444444,2857883:2857902|offset_129|444444&amp;v=2857810:2858102&amp;c=444444", "offset 1")</f>
        <v>offset 1</v>
      </c>
    </row>
    <row r="9089" customFormat="false" ht="12.8" hidden="false" customHeight="false" outlineLevel="0" collapsed="false">
      <c r="A9089" s="0" t="s">
        <v>12</v>
      </c>
      <c r="B9089" s="0" t="n">
        <v>2857938</v>
      </c>
      <c r="C9089" s="0" t="n">
        <v>2857958</v>
      </c>
      <c r="D9089" s="0" t="s">
        <v>30225</v>
      </c>
      <c r="E9089" s="0" t="s">
        <v>30226</v>
      </c>
      <c r="F9089" s="0" t="s">
        <v>90</v>
      </c>
      <c r="G9089" s="0" t="s">
        <v>16</v>
      </c>
      <c r="H9089" s="0" t="n">
        <v>73</v>
      </c>
      <c r="I9089" s="0" t="s">
        <v>30230</v>
      </c>
      <c r="J9089" s="0" t="s">
        <v>30231</v>
      </c>
      <c r="K9089" s="0" t="s">
        <v>30232</v>
      </c>
      <c r="L9089" s="0" t="str">
        <f aca="false">HYPERLINK("https://www.ncbi.nlm.nih.gov/nuccore/CP000058.1?report=graph&amp;tracks=[key:gene_model_track,Options:GeneOnly]&amp;mk=2858011:2858030|offset_1|444444,2857939:2857958|offset_73|00cc00,2857919:2857938|offset_93|444444,2857883:2857902|offset_129|444444&amp;v=2857810:2858102&amp;c=444444", "offset 73")</f>
        <v>offset 73</v>
      </c>
    </row>
    <row r="9090" customFormat="false" ht="12.8" hidden="false" customHeight="false" outlineLevel="0" collapsed="false">
      <c r="A9090" s="0" t="s">
        <v>12</v>
      </c>
      <c r="B9090" s="0" t="n">
        <v>2857918</v>
      </c>
      <c r="C9090" s="0" t="n">
        <v>2857938</v>
      </c>
      <c r="D9090" s="0" t="s">
        <v>30225</v>
      </c>
      <c r="E9090" s="0" t="s">
        <v>30226</v>
      </c>
      <c r="F9090" s="0" t="s">
        <v>90</v>
      </c>
      <c r="G9090" s="0" t="s">
        <v>20</v>
      </c>
      <c r="H9090" s="0" t="n">
        <v>93</v>
      </c>
      <c r="I9090" s="0" t="s">
        <v>30233</v>
      </c>
      <c r="J9090" s="0" t="s">
        <v>30234</v>
      </c>
      <c r="K9090" s="0" t="s">
        <v>30235</v>
      </c>
      <c r="L9090" s="0" t="str">
        <f aca="false">HYPERLINK("https://www.ncbi.nlm.nih.gov/nuccore/CP000058.1?report=graph&amp;tracks=[key:gene_model_track,Options:GeneOnly]&amp;mk=2858011:2858030|offset_1|444444,2857939:2857958|offset_73|444444,2857919:2857938|offset_93|00cc00,2857883:2857902|offset_129|444444&amp;v=2857810:2858102&amp;c=444444", "offset 93")</f>
        <v>offset 93</v>
      </c>
    </row>
    <row r="9091" customFormat="false" ht="12.8" hidden="false" customHeight="false" outlineLevel="0" collapsed="false">
      <c r="A9091" s="0" t="s">
        <v>12</v>
      </c>
      <c r="B9091" s="0" t="n">
        <v>2857882</v>
      </c>
      <c r="C9091" s="0" t="n">
        <v>2857902</v>
      </c>
      <c r="D9091" s="0" t="s">
        <v>30225</v>
      </c>
      <c r="E9091" s="0" t="s">
        <v>30226</v>
      </c>
      <c r="F9091" s="0" t="s">
        <v>90</v>
      </c>
      <c r="G9091" s="0" t="s">
        <v>20</v>
      </c>
      <c r="H9091" s="0" t="n">
        <v>129</v>
      </c>
      <c r="I9091" s="0" t="s">
        <v>30236</v>
      </c>
      <c r="J9091" s="0" t="s">
        <v>30237</v>
      </c>
      <c r="K9091" s="0" t="s">
        <v>30238</v>
      </c>
      <c r="L9091" s="0" t="str">
        <f aca="false">HYPERLINK("https://www.ncbi.nlm.nih.gov/nuccore/CP000058.1?report=graph&amp;tracks=[key:gene_model_track,Options:GeneOnly]&amp;mk=2858011:2858030|offset_1|444444,2857939:2857958|offset_73|444444,2857919:2857938|offset_93|444444,2857883:2857902|offset_129|00cc00&amp;v=2857810:2858102&amp;c=444444", "offset 129")</f>
        <v>offset 129</v>
      </c>
    </row>
    <row r="9092" customFormat="false" ht="12.8" hidden="false" customHeight="false" outlineLevel="0" collapsed="false">
      <c r="A9092" s="0" t="s">
        <v>12</v>
      </c>
      <c r="B9092" s="0" t="n">
        <v>2859141</v>
      </c>
      <c r="C9092" s="0" t="n">
        <v>2859161</v>
      </c>
      <c r="D9092" s="0" t="s">
        <v>30239</v>
      </c>
      <c r="E9092" s="0" t="s">
        <v>30240</v>
      </c>
      <c r="F9092" s="0" t="s">
        <v>90</v>
      </c>
      <c r="G9092" s="0" t="s">
        <v>36</v>
      </c>
      <c r="H9092" s="0" t="n">
        <v>8</v>
      </c>
      <c r="I9092" s="0" t="s">
        <v>30241</v>
      </c>
      <c r="J9092" s="0" t="s">
        <v>30242</v>
      </c>
      <c r="K9092" s="0" t="s">
        <v>30243</v>
      </c>
      <c r="L9092" s="0" t="str">
        <f aca="false">HYPERLINK("https://www.ncbi.nlm.nih.gov/nuccore/CP000058.1?report=graph&amp;tracks=[key:gene_model_track,Options:GeneOnly]&amp;mk=2859142:2859161|offset_8|00cc00,2859119:2859138|offset_31|444444,2859098:2859117|offset_52|444444,2859043:2859062|offset_107|444444&amp;v=2858941:2859262&amp;c=444444", "offset 8")</f>
        <v>offset 8</v>
      </c>
    </row>
    <row r="9093" customFormat="false" ht="12.8" hidden="false" customHeight="false" outlineLevel="0" collapsed="false">
      <c r="A9093" s="0" t="s">
        <v>12</v>
      </c>
      <c r="B9093" s="0" t="n">
        <v>2859118</v>
      </c>
      <c r="C9093" s="0" t="n">
        <v>2859138</v>
      </c>
      <c r="D9093" s="0" t="s">
        <v>30239</v>
      </c>
      <c r="E9093" s="0" t="s">
        <v>30240</v>
      </c>
      <c r="F9093" s="0" t="s">
        <v>90</v>
      </c>
      <c r="G9093" s="0" t="s">
        <v>20</v>
      </c>
      <c r="H9093" s="0" t="n">
        <v>31</v>
      </c>
      <c r="I9093" s="0" t="s">
        <v>30244</v>
      </c>
      <c r="J9093" s="0" t="s">
        <v>30245</v>
      </c>
      <c r="K9093" s="0" t="s">
        <v>30246</v>
      </c>
      <c r="L9093" s="0" t="str">
        <f aca="false">HYPERLINK("https://www.ncbi.nlm.nih.gov/nuccore/CP000058.1?report=graph&amp;tracks=[key:gene_model_track,Options:GeneOnly]&amp;mk=2859142:2859161|offset_8|444444,2859119:2859138|offset_31|00cc00,2859098:2859117|offset_52|444444,2859043:2859062|offset_107|444444&amp;v=2858941:2859262&amp;c=444444", "offset 31")</f>
        <v>offset 31</v>
      </c>
    </row>
    <row r="9094" customFormat="false" ht="12.8" hidden="false" customHeight="false" outlineLevel="0" collapsed="false">
      <c r="A9094" s="0" t="s">
        <v>12</v>
      </c>
      <c r="B9094" s="0" t="n">
        <v>2859097</v>
      </c>
      <c r="C9094" s="0" t="n">
        <v>2859117</v>
      </c>
      <c r="D9094" s="0" t="s">
        <v>30239</v>
      </c>
      <c r="E9094" s="0" t="s">
        <v>30240</v>
      </c>
      <c r="F9094" s="0" t="s">
        <v>90</v>
      </c>
      <c r="G9094" s="0" t="s">
        <v>16</v>
      </c>
      <c r="H9094" s="0" t="n">
        <v>52</v>
      </c>
      <c r="I9094" s="0" t="s">
        <v>30247</v>
      </c>
      <c r="J9094" s="0" t="s">
        <v>30248</v>
      </c>
      <c r="K9094" s="0" t="s">
        <v>30249</v>
      </c>
      <c r="L9094" s="0" t="str">
        <f aca="false">HYPERLINK("https://www.ncbi.nlm.nih.gov/nuccore/CP000058.1?report=graph&amp;tracks=[key:gene_model_track,Options:GeneOnly]&amp;mk=2859142:2859161|offset_8|444444,2859119:2859138|offset_31|444444,2859098:2859117|offset_52|00cc00,2859043:2859062|offset_107|444444&amp;v=2858941:2859262&amp;c=444444", "offset 52")</f>
        <v>offset 52</v>
      </c>
    </row>
    <row r="9095" customFormat="false" ht="12.8" hidden="false" customHeight="false" outlineLevel="0" collapsed="false">
      <c r="A9095" s="0" t="s">
        <v>12</v>
      </c>
      <c r="B9095" s="0" t="n">
        <v>2859042</v>
      </c>
      <c r="C9095" s="0" t="n">
        <v>2859062</v>
      </c>
      <c r="D9095" s="0" t="s">
        <v>30239</v>
      </c>
      <c r="E9095" s="0" t="s">
        <v>30240</v>
      </c>
      <c r="F9095" s="0" t="s">
        <v>90</v>
      </c>
      <c r="G9095" s="0" t="s">
        <v>32</v>
      </c>
      <c r="H9095" s="0" t="n">
        <v>107</v>
      </c>
      <c r="I9095" s="0" t="s">
        <v>30250</v>
      </c>
      <c r="J9095" s="0" t="s">
        <v>30251</v>
      </c>
      <c r="K9095" s="0" t="s">
        <v>30252</v>
      </c>
      <c r="L9095" s="0" t="str">
        <f aca="false">HYPERLINK("https://www.ncbi.nlm.nih.gov/nuccore/CP000058.1?report=graph&amp;tracks=[key:gene_model_track,Options:GeneOnly]&amp;mk=2859142:2859161|offset_8|444444,2859119:2859138|offset_31|444444,2859098:2859117|offset_52|444444,2859043:2859062|offset_107|00cc00&amp;v=2858941:2859262&amp;c=444444", "offset 107")</f>
        <v>offset 107</v>
      </c>
    </row>
    <row r="9096" customFormat="false" ht="12.8" hidden="false" customHeight="false" outlineLevel="0" collapsed="false">
      <c r="A9096" s="0" t="s">
        <v>12</v>
      </c>
      <c r="B9096" s="0" t="n">
        <v>2860165</v>
      </c>
      <c r="C9096" s="0" t="n">
        <v>2860185</v>
      </c>
      <c r="D9096" s="0" t="s">
        <v>30253</v>
      </c>
      <c r="E9096" s="0" t="s">
        <v>75</v>
      </c>
      <c r="F9096" s="0" t="s">
        <v>90</v>
      </c>
      <c r="G9096" s="0" t="s">
        <v>36</v>
      </c>
      <c r="H9096" s="0" t="n">
        <v>19</v>
      </c>
      <c r="I9096" s="0" t="s">
        <v>30254</v>
      </c>
      <c r="J9096" s="0" t="s">
        <v>30255</v>
      </c>
      <c r="K9096" s="0" t="s">
        <v>30256</v>
      </c>
      <c r="L9096" s="0" t="str">
        <f aca="false">HYPERLINK("https://www.ncbi.nlm.nih.gov/nuccore/CP000058.1?report=graph&amp;tracks=[key:gene_model_track,Options:GeneOnly]&amp;mk=2860166:2860185|offset_19|00cc00,2860126:2860145|offset_59|444444,2860072:2860091|offset_113|444444,2860046:2860065|offset_139|444444&amp;v=2859965:2860265&amp;c=444444", "offset 19")</f>
        <v>offset 19</v>
      </c>
    </row>
    <row r="9097" customFormat="false" ht="12.8" hidden="false" customHeight="false" outlineLevel="0" collapsed="false">
      <c r="A9097" s="0" t="s">
        <v>12</v>
      </c>
      <c r="B9097" s="0" t="n">
        <v>2860125</v>
      </c>
      <c r="C9097" s="0" t="n">
        <v>2860145</v>
      </c>
      <c r="D9097" s="0" t="s">
        <v>30253</v>
      </c>
      <c r="E9097" s="0" t="s">
        <v>75</v>
      </c>
      <c r="F9097" s="0" t="s">
        <v>90</v>
      </c>
      <c r="G9097" s="0" t="s">
        <v>16</v>
      </c>
      <c r="H9097" s="0" t="n">
        <v>59</v>
      </c>
      <c r="I9097" s="0" t="s">
        <v>30257</v>
      </c>
      <c r="J9097" s="0" t="s">
        <v>30258</v>
      </c>
      <c r="K9097" s="0" t="s">
        <v>30259</v>
      </c>
      <c r="L9097" s="0" t="str">
        <f aca="false">HYPERLINK("https://www.ncbi.nlm.nih.gov/nuccore/CP000058.1?report=graph&amp;tracks=[key:gene_model_track,Options:GeneOnly]&amp;mk=2860166:2860185|offset_19|444444,2860126:2860145|offset_59|00cc00,2860072:2860091|offset_113|444444,2860046:2860065|offset_139|444444&amp;v=2859965:2860265&amp;c=444444", "offset 59")</f>
        <v>offset 59</v>
      </c>
    </row>
    <row r="9098" customFormat="false" ht="12.8" hidden="false" customHeight="false" outlineLevel="0" collapsed="false">
      <c r="A9098" s="0" t="s">
        <v>12</v>
      </c>
      <c r="B9098" s="0" t="n">
        <v>2860071</v>
      </c>
      <c r="C9098" s="0" t="n">
        <v>2860091</v>
      </c>
      <c r="D9098" s="0" t="s">
        <v>30253</v>
      </c>
      <c r="E9098" s="0" t="s">
        <v>75</v>
      </c>
      <c r="F9098" s="0" t="s">
        <v>90</v>
      </c>
      <c r="G9098" s="0" t="s">
        <v>16</v>
      </c>
      <c r="H9098" s="0" t="n">
        <v>113</v>
      </c>
      <c r="I9098" s="0" t="s">
        <v>30260</v>
      </c>
      <c r="J9098" s="0" t="s">
        <v>30261</v>
      </c>
      <c r="K9098" s="0" t="s">
        <v>30262</v>
      </c>
      <c r="L9098" s="0" t="str">
        <f aca="false">HYPERLINK("https://www.ncbi.nlm.nih.gov/nuccore/CP000058.1?report=graph&amp;tracks=[key:gene_model_track,Options:GeneOnly]&amp;mk=2860166:2860185|offset_19|444444,2860126:2860145|offset_59|444444,2860072:2860091|offset_113|00cc00,2860046:2860065|offset_139|444444&amp;v=2859965:2860265&amp;c=444444", "offset 113")</f>
        <v>offset 113</v>
      </c>
    </row>
    <row r="9099" customFormat="false" ht="12.8" hidden="false" customHeight="false" outlineLevel="0" collapsed="false">
      <c r="A9099" s="0" t="s">
        <v>12</v>
      </c>
      <c r="B9099" s="0" t="n">
        <v>2860045</v>
      </c>
      <c r="C9099" s="0" t="n">
        <v>2860065</v>
      </c>
      <c r="D9099" s="0" t="s">
        <v>30253</v>
      </c>
      <c r="E9099" s="0" t="s">
        <v>75</v>
      </c>
      <c r="F9099" s="0" t="s">
        <v>90</v>
      </c>
      <c r="G9099" s="0" t="s">
        <v>36</v>
      </c>
      <c r="H9099" s="0" t="n">
        <v>139</v>
      </c>
      <c r="I9099" s="0" t="s">
        <v>30263</v>
      </c>
      <c r="J9099" s="0" t="s">
        <v>30264</v>
      </c>
      <c r="K9099" s="0" t="s">
        <v>30265</v>
      </c>
      <c r="L9099" s="0" t="str">
        <f aca="false">HYPERLINK("https://www.ncbi.nlm.nih.gov/nuccore/CP000058.1?report=graph&amp;tracks=[key:gene_model_track,Options:GeneOnly]&amp;mk=2860166:2860185|offset_19|444444,2860126:2860145|offset_59|444444,2860072:2860091|offset_113|444444,2860046:2860065|offset_139|00cc00&amp;v=2859965:2860265&amp;c=444444", "offset 139")</f>
        <v>offset 139</v>
      </c>
    </row>
    <row r="9100" customFormat="false" ht="12.8" hidden="false" customHeight="false" outlineLevel="0" collapsed="false">
      <c r="A9100" s="0" t="s">
        <v>12</v>
      </c>
      <c r="B9100" s="0" t="n">
        <v>2860343</v>
      </c>
      <c r="C9100" s="0" t="n">
        <v>2860363</v>
      </c>
      <c r="D9100" s="0" t="s">
        <v>30266</v>
      </c>
      <c r="E9100" s="0" t="s">
        <v>75</v>
      </c>
      <c r="F9100" s="0" t="s">
        <v>15</v>
      </c>
      <c r="G9100" s="0" t="s">
        <v>20</v>
      </c>
      <c r="H9100" s="0" t="n">
        <v>12</v>
      </c>
      <c r="I9100" s="0" t="s">
        <v>30267</v>
      </c>
      <c r="J9100" s="0" t="s">
        <v>30268</v>
      </c>
      <c r="K9100" s="0" t="s">
        <v>30269</v>
      </c>
      <c r="L9100" s="0" t="str">
        <f aca="false">HYPERLINK("https://www.ncbi.nlm.nih.gov/nuccore/CP000058.1?report=graph&amp;tracks=[key:gene_model_track,Options:GeneOnly]&amp;mk=2860344:2860363|offset_12|00cc00,2860366:2860385|offset_34|444444,2860393:2860412|offset_61|444444,2860445:2860464|offset_113|444444&amp;v=2860143:2860664&amp;c=444444", "offset 12")</f>
        <v>offset 12</v>
      </c>
    </row>
    <row r="9101" customFormat="false" ht="12.8" hidden="false" customHeight="false" outlineLevel="0" collapsed="false">
      <c r="A9101" s="0" t="s">
        <v>12</v>
      </c>
      <c r="B9101" s="0" t="n">
        <v>2860365</v>
      </c>
      <c r="C9101" s="0" t="n">
        <v>2860385</v>
      </c>
      <c r="D9101" s="0" t="s">
        <v>30266</v>
      </c>
      <c r="E9101" s="0" t="s">
        <v>75</v>
      </c>
      <c r="F9101" s="0" t="s">
        <v>15</v>
      </c>
      <c r="G9101" s="0" t="s">
        <v>20</v>
      </c>
      <c r="H9101" s="0" t="n">
        <v>34</v>
      </c>
      <c r="I9101" s="0" t="s">
        <v>30270</v>
      </c>
      <c r="J9101" s="0" t="s">
        <v>30271</v>
      </c>
      <c r="K9101" s="0" t="s">
        <v>30272</v>
      </c>
      <c r="L9101" s="0" t="str">
        <f aca="false">HYPERLINK("https://www.ncbi.nlm.nih.gov/nuccore/CP000058.1?report=graph&amp;tracks=[key:gene_model_track,Options:GeneOnly]&amp;mk=2860344:2860363|offset_12|444444,2860366:2860385|offset_34|00cc00,2860393:2860412|offset_61|444444,2860445:2860464|offset_113|444444&amp;v=2860143:2860664&amp;c=444444", "offset 34")</f>
        <v>offset 34</v>
      </c>
    </row>
    <row r="9102" customFormat="false" ht="12.8" hidden="false" customHeight="false" outlineLevel="0" collapsed="false">
      <c r="A9102" s="0" t="s">
        <v>12</v>
      </c>
      <c r="B9102" s="0" t="n">
        <v>2860392</v>
      </c>
      <c r="C9102" s="0" t="n">
        <v>2860412</v>
      </c>
      <c r="D9102" s="0" t="s">
        <v>30266</v>
      </c>
      <c r="E9102" s="0" t="s">
        <v>75</v>
      </c>
      <c r="F9102" s="0" t="s">
        <v>15</v>
      </c>
      <c r="G9102" s="0" t="s">
        <v>20</v>
      </c>
      <c r="H9102" s="0" t="n">
        <v>61</v>
      </c>
      <c r="I9102" s="0" t="s">
        <v>30273</v>
      </c>
      <c r="J9102" s="0" t="s">
        <v>30274</v>
      </c>
      <c r="K9102" s="0" t="s">
        <v>30275</v>
      </c>
      <c r="L9102" s="0" t="str">
        <f aca="false">HYPERLINK("https://www.ncbi.nlm.nih.gov/nuccore/CP000058.1?report=graph&amp;tracks=[key:gene_model_track,Options:GeneOnly]&amp;mk=2860344:2860363|offset_12|444444,2860366:2860385|offset_34|444444,2860393:2860412|offset_61|00cc00,2860445:2860464|offset_113|444444&amp;v=2860143:2860664&amp;c=444444", "offset 61")</f>
        <v>offset 61</v>
      </c>
    </row>
    <row r="9103" customFormat="false" ht="12.8" hidden="false" customHeight="false" outlineLevel="0" collapsed="false">
      <c r="A9103" s="0" t="s">
        <v>12</v>
      </c>
      <c r="B9103" s="0" t="n">
        <v>2860444</v>
      </c>
      <c r="C9103" s="0" t="n">
        <v>2860464</v>
      </c>
      <c r="D9103" s="0" t="s">
        <v>30266</v>
      </c>
      <c r="E9103" s="0" t="s">
        <v>75</v>
      </c>
      <c r="F9103" s="0" t="s">
        <v>15</v>
      </c>
      <c r="G9103" s="0" t="s">
        <v>36</v>
      </c>
      <c r="H9103" s="0" t="n">
        <v>113</v>
      </c>
      <c r="I9103" s="0" t="s">
        <v>30276</v>
      </c>
      <c r="J9103" s="0" t="s">
        <v>30277</v>
      </c>
      <c r="K9103" s="0" t="s">
        <v>30278</v>
      </c>
      <c r="L9103" s="0" t="str">
        <f aca="false">HYPERLINK("https://www.ncbi.nlm.nih.gov/nuccore/CP000058.1?report=graph&amp;tracks=[key:gene_model_track,Options:GeneOnly]&amp;mk=2860344:2860363|offset_12|444444,2860366:2860385|offset_34|444444,2860393:2860412|offset_61|444444,2860445:2860464|offset_113|00cc00&amp;v=2860143:2860664&amp;c=444444", "offset 113")</f>
        <v>offset 113</v>
      </c>
    </row>
    <row r="9104" customFormat="false" ht="12.8" hidden="false" customHeight="false" outlineLevel="0" collapsed="false">
      <c r="A9104" s="0" t="s">
        <v>12</v>
      </c>
      <c r="B9104" s="0" t="n">
        <v>2861163</v>
      </c>
      <c r="C9104" s="0" t="n">
        <v>2861183</v>
      </c>
      <c r="D9104" s="0" t="s">
        <v>30279</v>
      </c>
      <c r="E9104" s="0" t="s">
        <v>75</v>
      </c>
      <c r="F9104" s="0" t="s">
        <v>15</v>
      </c>
      <c r="G9104" s="0" t="s">
        <v>32</v>
      </c>
      <c r="H9104" s="0" t="n">
        <v>12</v>
      </c>
      <c r="I9104" s="0" t="s">
        <v>30280</v>
      </c>
      <c r="J9104" s="0" t="s">
        <v>30281</v>
      </c>
      <c r="K9104" s="0" t="s">
        <v>30282</v>
      </c>
      <c r="L9104" s="0" t="str">
        <f aca="false">HYPERLINK("https://www.ncbi.nlm.nih.gov/nuccore/CP000058.1?report=graph&amp;tracks=[key:gene_model_track,Options:GeneOnly]&amp;mk=2861164:2861183|offset_12|00cc00,2861213:2861232|offset_61|444444,2861282:2861301|offset_130|444444,2861306:2861325|offset_154|444444&amp;v=2860963:2861525&amp;c=444444", "offset 12")</f>
        <v>offset 12</v>
      </c>
    </row>
    <row r="9105" customFormat="false" ht="12.8" hidden="false" customHeight="false" outlineLevel="0" collapsed="false">
      <c r="A9105" s="0" t="s">
        <v>12</v>
      </c>
      <c r="B9105" s="0" t="n">
        <v>2861212</v>
      </c>
      <c r="C9105" s="0" t="n">
        <v>2861232</v>
      </c>
      <c r="D9105" s="0" t="s">
        <v>30279</v>
      </c>
      <c r="E9105" s="0" t="s">
        <v>75</v>
      </c>
      <c r="F9105" s="0" t="s">
        <v>15</v>
      </c>
      <c r="G9105" s="0" t="s">
        <v>32</v>
      </c>
      <c r="H9105" s="0" t="n">
        <v>61</v>
      </c>
      <c r="I9105" s="0" t="s">
        <v>30283</v>
      </c>
      <c r="J9105" s="0" t="s">
        <v>30284</v>
      </c>
      <c r="K9105" s="0" t="s">
        <v>30285</v>
      </c>
      <c r="L9105" s="0" t="str">
        <f aca="false">HYPERLINK("https://www.ncbi.nlm.nih.gov/nuccore/CP000058.1?report=graph&amp;tracks=[key:gene_model_track,Options:GeneOnly]&amp;mk=2861164:2861183|offset_12|444444,2861213:2861232|offset_61|00cc00,2861282:2861301|offset_130|444444,2861306:2861325|offset_154|444444&amp;v=2860963:2861525&amp;c=444444", "offset 61")</f>
        <v>offset 61</v>
      </c>
    </row>
    <row r="9106" customFormat="false" ht="12.8" hidden="false" customHeight="false" outlineLevel="0" collapsed="false">
      <c r="A9106" s="0" t="s">
        <v>12</v>
      </c>
      <c r="B9106" s="0" t="n">
        <v>2861281</v>
      </c>
      <c r="C9106" s="0" t="n">
        <v>2861301</v>
      </c>
      <c r="D9106" s="0" t="s">
        <v>30279</v>
      </c>
      <c r="E9106" s="0" t="s">
        <v>75</v>
      </c>
      <c r="F9106" s="0" t="s">
        <v>15</v>
      </c>
      <c r="G9106" s="0" t="s">
        <v>32</v>
      </c>
      <c r="H9106" s="0" t="n">
        <v>130</v>
      </c>
      <c r="I9106" s="0" t="s">
        <v>30286</v>
      </c>
      <c r="J9106" s="0" t="s">
        <v>30287</v>
      </c>
      <c r="K9106" s="0" t="s">
        <v>30288</v>
      </c>
      <c r="L9106" s="0" t="str">
        <f aca="false">HYPERLINK("https://www.ncbi.nlm.nih.gov/nuccore/CP000058.1?report=graph&amp;tracks=[key:gene_model_track,Options:GeneOnly]&amp;mk=2861164:2861183|offset_12|444444,2861213:2861232|offset_61|444444,2861282:2861301|offset_130|00cc00,2861306:2861325|offset_154|444444&amp;v=2860963:2861525&amp;c=444444", "offset 130")</f>
        <v>offset 130</v>
      </c>
    </row>
    <row r="9107" customFormat="false" ht="12.8" hidden="false" customHeight="false" outlineLevel="0" collapsed="false">
      <c r="A9107" s="0" t="s">
        <v>12</v>
      </c>
      <c r="B9107" s="0" t="n">
        <v>2861305</v>
      </c>
      <c r="C9107" s="0" t="n">
        <v>2861325</v>
      </c>
      <c r="D9107" s="0" t="s">
        <v>30279</v>
      </c>
      <c r="E9107" s="0" t="s">
        <v>75</v>
      </c>
      <c r="F9107" s="0" t="s">
        <v>15</v>
      </c>
      <c r="G9107" s="0" t="s">
        <v>32</v>
      </c>
      <c r="H9107" s="0" t="n">
        <v>154</v>
      </c>
      <c r="I9107" s="0" t="s">
        <v>30289</v>
      </c>
      <c r="J9107" s="0" t="s">
        <v>30290</v>
      </c>
      <c r="K9107" s="0" t="s">
        <v>30291</v>
      </c>
      <c r="L9107" s="0" t="str">
        <f aca="false">HYPERLINK("https://www.ncbi.nlm.nih.gov/nuccore/CP000058.1?report=graph&amp;tracks=[key:gene_model_track,Options:GeneOnly]&amp;mk=2861164:2861183|offset_12|444444,2861213:2861232|offset_61|444444,2861282:2861301|offset_130|444444,2861306:2861325|offset_154|00cc00&amp;v=2860963:2861525&amp;c=444444", "offset 154")</f>
        <v>offset 154</v>
      </c>
    </row>
    <row r="9108" customFormat="false" ht="12.8" hidden="false" customHeight="false" outlineLevel="0" collapsed="false">
      <c r="A9108" s="0" t="s">
        <v>12</v>
      </c>
      <c r="B9108" s="0" t="n">
        <v>2862813</v>
      </c>
      <c r="C9108" s="0" t="n">
        <v>2862833</v>
      </c>
      <c r="D9108" s="0" t="s">
        <v>30292</v>
      </c>
      <c r="E9108" s="0" t="s">
        <v>30293</v>
      </c>
      <c r="F9108" s="0" t="s">
        <v>90</v>
      </c>
      <c r="G9108" s="0" t="s">
        <v>16</v>
      </c>
      <c r="H9108" s="0" t="n">
        <v>16</v>
      </c>
      <c r="I9108" s="0" t="s">
        <v>30294</v>
      </c>
      <c r="J9108" s="0" t="s">
        <v>30295</v>
      </c>
      <c r="K9108" s="0" t="s">
        <v>30296</v>
      </c>
      <c r="L9108" s="0" t="str">
        <f aca="false">HYPERLINK("https://www.ncbi.nlm.nih.gov/nuccore/CP000058.1?report=graph&amp;tracks=[key:gene_model_track,Options:GeneOnly]&amp;mk=2862814:2862833|offset_16|00cc00,2862759:2862778|offset_71|444444,2862705:2862724|offset_125|444444,2862666:2862685|offset_164|444444&amp;v=2862613:2862885&amp;c=444444", "offset 16")</f>
        <v>offset 16</v>
      </c>
    </row>
    <row r="9109" customFormat="false" ht="12.8" hidden="false" customHeight="false" outlineLevel="0" collapsed="false">
      <c r="A9109" s="0" t="s">
        <v>12</v>
      </c>
      <c r="B9109" s="0" t="n">
        <v>2862758</v>
      </c>
      <c r="C9109" s="0" t="n">
        <v>2862778</v>
      </c>
      <c r="D9109" s="0" t="s">
        <v>30292</v>
      </c>
      <c r="E9109" s="0" t="s">
        <v>30293</v>
      </c>
      <c r="F9109" s="0" t="s">
        <v>90</v>
      </c>
      <c r="G9109" s="0" t="s">
        <v>32</v>
      </c>
      <c r="H9109" s="0" t="n">
        <v>71</v>
      </c>
      <c r="I9109" s="0" t="s">
        <v>30297</v>
      </c>
      <c r="J9109" s="0" t="s">
        <v>30298</v>
      </c>
      <c r="K9109" s="0" t="s">
        <v>30299</v>
      </c>
      <c r="L9109" s="0" t="str">
        <f aca="false">HYPERLINK("https://www.ncbi.nlm.nih.gov/nuccore/CP000058.1?report=graph&amp;tracks=[key:gene_model_track,Options:GeneOnly]&amp;mk=2862814:2862833|offset_16|444444,2862759:2862778|offset_71|00cc00,2862705:2862724|offset_125|444444,2862666:2862685|offset_164|444444&amp;v=2862613:2862885&amp;c=444444", "offset 71")</f>
        <v>offset 71</v>
      </c>
    </row>
    <row r="9110" customFormat="false" ht="12.8" hidden="false" customHeight="false" outlineLevel="0" collapsed="false">
      <c r="A9110" s="0" t="s">
        <v>12</v>
      </c>
      <c r="B9110" s="0" t="n">
        <v>2862704</v>
      </c>
      <c r="C9110" s="0" t="n">
        <v>2862724</v>
      </c>
      <c r="D9110" s="0" t="s">
        <v>30292</v>
      </c>
      <c r="E9110" s="0" t="s">
        <v>30293</v>
      </c>
      <c r="F9110" s="0" t="s">
        <v>90</v>
      </c>
      <c r="G9110" s="0" t="s">
        <v>16</v>
      </c>
      <c r="H9110" s="0" t="n">
        <v>125</v>
      </c>
      <c r="I9110" s="0" t="s">
        <v>30300</v>
      </c>
      <c r="J9110" s="0" t="s">
        <v>30301</v>
      </c>
      <c r="K9110" s="0" t="s">
        <v>30302</v>
      </c>
      <c r="L9110" s="0" t="str">
        <f aca="false">HYPERLINK("https://www.ncbi.nlm.nih.gov/nuccore/CP000058.1?report=graph&amp;tracks=[key:gene_model_track,Options:GeneOnly]&amp;mk=2862814:2862833|offset_16|444444,2862759:2862778|offset_71|444444,2862705:2862724|offset_125|00cc00,2862666:2862685|offset_164|444444&amp;v=2862613:2862885&amp;c=444444", "offset 125")</f>
        <v>offset 125</v>
      </c>
    </row>
    <row r="9111" customFormat="false" ht="12.8" hidden="false" customHeight="false" outlineLevel="0" collapsed="false">
      <c r="A9111" s="0" t="s">
        <v>12</v>
      </c>
      <c r="B9111" s="0" t="n">
        <v>2862665</v>
      </c>
      <c r="C9111" s="0" t="n">
        <v>2862685</v>
      </c>
      <c r="D9111" s="0" t="s">
        <v>30292</v>
      </c>
      <c r="E9111" s="0" t="s">
        <v>30293</v>
      </c>
      <c r="F9111" s="0" t="s">
        <v>90</v>
      </c>
      <c r="G9111" s="0" t="s">
        <v>32</v>
      </c>
      <c r="H9111" s="0" t="n">
        <v>164</v>
      </c>
      <c r="I9111" s="0" t="s">
        <v>30303</v>
      </c>
      <c r="J9111" s="0" t="s">
        <v>30304</v>
      </c>
      <c r="K9111" s="0" t="s">
        <v>30305</v>
      </c>
      <c r="L9111" s="0" t="str">
        <f aca="false">HYPERLINK("https://www.ncbi.nlm.nih.gov/nuccore/CP000058.1?report=graph&amp;tracks=[key:gene_model_track,Options:GeneOnly]&amp;mk=2862814:2862833|offset_16|444444,2862759:2862778|offset_71|444444,2862705:2862724|offset_125|444444,2862666:2862685|offset_164|00cc00&amp;v=2862613:2862885&amp;c=444444", "offset 164")</f>
        <v>offset 164</v>
      </c>
    </row>
    <row r="9112" customFormat="false" ht="12.8" hidden="false" customHeight="false" outlineLevel="0" collapsed="false">
      <c r="A9112" s="0" t="s">
        <v>12</v>
      </c>
      <c r="B9112" s="0" t="n">
        <v>2863277</v>
      </c>
      <c r="C9112" s="0" t="n">
        <v>2863297</v>
      </c>
      <c r="D9112" s="0" t="s">
        <v>30306</v>
      </c>
      <c r="E9112" s="0" t="s">
        <v>75</v>
      </c>
      <c r="F9112" s="0" t="s">
        <v>15</v>
      </c>
      <c r="G9112" s="0" t="s">
        <v>32</v>
      </c>
      <c r="H9112" s="0" t="n">
        <v>14</v>
      </c>
      <c r="I9112" s="0" t="s">
        <v>30307</v>
      </c>
      <c r="J9112" s="0" t="s">
        <v>30308</v>
      </c>
      <c r="K9112" s="0" t="s">
        <v>30309</v>
      </c>
      <c r="L9112" s="0" t="str">
        <f aca="false">HYPERLINK("https://www.ncbi.nlm.nih.gov/nuccore/CP000058.1?report=graph&amp;tracks=[key:gene_model_track,Options:GeneOnly]&amp;mk=2863278:2863297|offset_14|00cc00,2863310:2863329|offset_46|444444,2863333:2863352|offset_69|444444,2863353:2863372|offset_89|444444&amp;v=2863077:2863572&amp;c=444444", "offset 14")</f>
        <v>offset 14</v>
      </c>
    </row>
    <row r="9113" customFormat="false" ht="12.8" hidden="false" customHeight="false" outlineLevel="0" collapsed="false">
      <c r="A9113" s="0" t="s">
        <v>12</v>
      </c>
      <c r="B9113" s="0" t="n">
        <v>2863309</v>
      </c>
      <c r="C9113" s="0" t="n">
        <v>2863329</v>
      </c>
      <c r="D9113" s="0" t="s">
        <v>30306</v>
      </c>
      <c r="E9113" s="0" t="s">
        <v>75</v>
      </c>
      <c r="F9113" s="0" t="s">
        <v>15</v>
      </c>
      <c r="G9113" s="0" t="s">
        <v>32</v>
      </c>
      <c r="H9113" s="0" t="n">
        <v>46</v>
      </c>
      <c r="I9113" s="0" t="s">
        <v>30310</v>
      </c>
      <c r="J9113" s="0" t="s">
        <v>30311</v>
      </c>
      <c r="K9113" s="0" t="s">
        <v>30312</v>
      </c>
      <c r="L9113" s="0" t="str">
        <f aca="false">HYPERLINK("https://www.ncbi.nlm.nih.gov/nuccore/CP000058.1?report=graph&amp;tracks=[key:gene_model_track,Options:GeneOnly]&amp;mk=2863278:2863297|offset_14|444444,2863310:2863329|offset_46|00cc00,2863333:2863352|offset_69|444444,2863353:2863372|offset_89|444444&amp;v=2863077:2863572&amp;c=444444", "offset 46")</f>
        <v>offset 46</v>
      </c>
    </row>
    <row r="9114" customFormat="false" ht="12.8" hidden="false" customHeight="false" outlineLevel="0" collapsed="false">
      <c r="A9114" s="0" t="s">
        <v>12</v>
      </c>
      <c r="B9114" s="0" t="n">
        <v>2863332</v>
      </c>
      <c r="C9114" s="0" t="n">
        <v>2863352</v>
      </c>
      <c r="D9114" s="0" t="s">
        <v>30306</v>
      </c>
      <c r="E9114" s="0" t="s">
        <v>75</v>
      </c>
      <c r="F9114" s="0" t="s">
        <v>15</v>
      </c>
      <c r="G9114" s="0" t="s">
        <v>16</v>
      </c>
      <c r="H9114" s="0" t="n">
        <v>69</v>
      </c>
      <c r="I9114" s="0" t="s">
        <v>30313</v>
      </c>
      <c r="J9114" s="0" t="s">
        <v>30314</v>
      </c>
      <c r="K9114" s="0" t="s">
        <v>30315</v>
      </c>
      <c r="L9114" s="0" t="str">
        <f aca="false">HYPERLINK("https://www.ncbi.nlm.nih.gov/nuccore/CP000058.1?report=graph&amp;tracks=[key:gene_model_track,Options:GeneOnly]&amp;mk=2863278:2863297|offset_14|444444,2863310:2863329|offset_46|444444,2863333:2863352|offset_69|00cc00,2863353:2863372|offset_89|444444&amp;v=2863077:2863572&amp;c=444444", "offset 69")</f>
        <v>offset 69</v>
      </c>
    </row>
    <row r="9115" customFormat="false" ht="12.8" hidden="false" customHeight="false" outlineLevel="0" collapsed="false">
      <c r="A9115" s="0" t="s">
        <v>12</v>
      </c>
      <c r="B9115" s="0" t="n">
        <v>2863352</v>
      </c>
      <c r="C9115" s="0" t="n">
        <v>2863372</v>
      </c>
      <c r="D9115" s="0" t="s">
        <v>30306</v>
      </c>
      <c r="E9115" s="0" t="s">
        <v>75</v>
      </c>
      <c r="F9115" s="0" t="s">
        <v>15</v>
      </c>
      <c r="G9115" s="0" t="s">
        <v>32</v>
      </c>
      <c r="H9115" s="0" t="n">
        <v>89</v>
      </c>
      <c r="I9115" s="0" t="s">
        <v>30316</v>
      </c>
      <c r="J9115" s="0" t="s">
        <v>30317</v>
      </c>
      <c r="K9115" s="0" t="s">
        <v>30318</v>
      </c>
      <c r="L9115" s="0" t="str">
        <f aca="false">HYPERLINK("https://www.ncbi.nlm.nih.gov/nuccore/CP000058.1?report=graph&amp;tracks=[key:gene_model_track,Options:GeneOnly]&amp;mk=2863278:2863297|offset_14|444444,2863310:2863329|offset_46|444444,2863333:2863352|offset_69|444444,2863353:2863372|offset_89|00cc00&amp;v=2863077:2863572&amp;c=444444", "offset 89")</f>
        <v>offset 89</v>
      </c>
    </row>
    <row r="9116" customFormat="false" ht="12.8" hidden="false" customHeight="false" outlineLevel="0" collapsed="false">
      <c r="A9116" s="0" t="s">
        <v>12</v>
      </c>
      <c r="B9116" s="0" t="n">
        <v>2864453</v>
      </c>
      <c r="C9116" s="0" t="n">
        <v>2864473</v>
      </c>
      <c r="D9116" s="0" t="s">
        <v>30319</v>
      </c>
      <c r="E9116" s="0" t="s">
        <v>30320</v>
      </c>
      <c r="F9116" s="0" t="s">
        <v>15</v>
      </c>
      <c r="G9116" s="0" t="s">
        <v>20</v>
      </c>
      <c r="H9116" s="0" t="n">
        <v>18</v>
      </c>
      <c r="I9116" s="0" t="s">
        <v>30321</v>
      </c>
      <c r="J9116" s="0" t="s">
        <v>30322</v>
      </c>
      <c r="K9116" s="0" t="s">
        <v>30323</v>
      </c>
      <c r="L9116" s="0" t="str">
        <f aca="false">HYPERLINK("https://www.ncbi.nlm.nih.gov/nuccore/CP000058.1?report=graph&amp;tracks=[key:gene_model_track,Options:GeneOnly]&amp;mk=2864454:2864473|offset_18|00cc00,2864545:2864564|offset_109|444444,2864576:2864595|offset_140|444444,2864612:2864631|offset_176|444444&amp;v=2864253:2864831&amp;c=444444", "offset 18")</f>
        <v>offset 18</v>
      </c>
    </row>
    <row r="9117" customFormat="false" ht="12.8" hidden="false" customHeight="false" outlineLevel="0" collapsed="false">
      <c r="A9117" s="0" t="s">
        <v>12</v>
      </c>
      <c r="B9117" s="0" t="n">
        <v>2864544</v>
      </c>
      <c r="C9117" s="0" t="n">
        <v>2864564</v>
      </c>
      <c r="D9117" s="0" t="s">
        <v>30319</v>
      </c>
      <c r="E9117" s="0" t="s">
        <v>30320</v>
      </c>
      <c r="F9117" s="0" t="s">
        <v>15</v>
      </c>
      <c r="G9117" s="0" t="s">
        <v>16</v>
      </c>
      <c r="H9117" s="0" t="n">
        <v>109</v>
      </c>
      <c r="I9117" s="0" t="s">
        <v>30324</v>
      </c>
      <c r="J9117" s="0" t="s">
        <v>30325</v>
      </c>
      <c r="K9117" s="0" t="s">
        <v>30326</v>
      </c>
      <c r="L9117" s="0" t="str">
        <f aca="false">HYPERLINK("https://www.ncbi.nlm.nih.gov/nuccore/CP000058.1?report=graph&amp;tracks=[key:gene_model_track,Options:GeneOnly]&amp;mk=2864454:2864473|offset_18|444444,2864545:2864564|offset_109|00cc00,2864576:2864595|offset_140|444444,2864612:2864631|offset_176|444444&amp;v=2864253:2864831&amp;c=444444", "offset 109")</f>
        <v>offset 109</v>
      </c>
    </row>
    <row r="9118" customFormat="false" ht="12.8" hidden="false" customHeight="false" outlineLevel="0" collapsed="false">
      <c r="A9118" s="0" t="s">
        <v>12</v>
      </c>
      <c r="B9118" s="0" t="n">
        <v>2864575</v>
      </c>
      <c r="C9118" s="0" t="n">
        <v>2864595</v>
      </c>
      <c r="D9118" s="0" t="s">
        <v>30319</v>
      </c>
      <c r="E9118" s="0" t="s">
        <v>30320</v>
      </c>
      <c r="F9118" s="0" t="s">
        <v>15</v>
      </c>
      <c r="G9118" s="0" t="s">
        <v>16</v>
      </c>
      <c r="H9118" s="0" t="n">
        <v>140</v>
      </c>
      <c r="I9118" s="0" t="s">
        <v>30327</v>
      </c>
      <c r="J9118" s="0" t="s">
        <v>30328</v>
      </c>
      <c r="K9118" s="0" t="s">
        <v>30329</v>
      </c>
      <c r="L9118" s="0" t="str">
        <f aca="false">HYPERLINK("https://www.ncbi.nlm.nih.gov/nuccore/CP000058.1?report=graph&amp;tracks=[key:gene_model_track,Options:GeneOnly]&amp;mk=2864454:2864473|offset_18|444444,2864545:2864564|offset_109|444444,2864576:2864595|offset_140|00cc00,2864612:2864631|offset_176|444444&amp;v=2864253:2864831&amp;c=444444", "offset 140")</f>
        <v>offset 140</v>
      </c>
    </row>
    <row r="9119" customFormat="false" ht="12.8" hidden="false" customHeight="false" outlineLevel="0" collapsed="false">
      <c r="A9119" s="0" t="s">
        <v>12</v>
      </c>
      <c r="B9119" s="0" t="n">
        <v>2864611</v>
      </c>
      <c r="C9119" s="0" t="n">
        <v>2864631</v>
      </c>
      <c r="D9119" s="0" t="s">
        <v>30319</v>
      </c>
      <c r="E9119" s="0" t="s">
        <v>30320</v>
      </c>
      <c r="F9119" s="0" t="s">
        <v>15</v>
      </c>
      <c r="G9119" s="0" t="s">
        <v>20</v>
      </c>
      <c r="H9119" s="0" t="n">
        <v>176</v>
      </c>
      <c r="I9119" s="0" t="s">
        <v>30330</v>
      </c>
      <c r="J9119" s="0" t="s">
        <v>30331</v>
      </c>
      <c r="K9119" s="0" t="s">
        <v>30332</v>
      </c>
      <c r="L9119" s="0" t="str">
        <f aca="false">HYPERLINK("https://www.ncbi.nlm.nih.gov/nuccore/CP000058.1?report=graph&amp;tracks=[key:gene_model_track,Options:GeneOnly]&amp;mk=2864454:2864473|offset_18|444444,2864545:2864564|offset_109|444444,2864576:2864595|offset_140|444444,2864612:2864631|offset_176|00cc00&amp;v=2864253:2864831&amp;c=444444", "offset 176")</f>
        <v>offset 176</v>
      </c>
    </row>
    <row r="9120" customFormat="false" ht="12.8" hidden="false" customHeight="false" outlineLevel="0" collapsed="false">
      <c r="A9120" s="0" t="s">
        <v>12</v>
      </c>
      <c r="B9120" s="0" t="n">
        <v>2865668</v>
      </c>
      <c r="C9120" s="0" t="n">
        <v>2865688</v>
      </c>
      <c r="D9120" s="0" t="s">
        <v>30333</v>
      </c>
      <c r="E9120" s="0" t="s">
        <v>75</v>
      </c>
      <c r="F9120" s="0" t="s">
        <v>15</v>
      </c>
      <c r="G9120" s="0" t="s">
        <v>32</v>
      </c>
      <c r="H9120" s="0" t="n">
        <v>49</v>
      </c>
      <c r="I9120" s="0" t="s">
        <v>30334</v>
      </c>
      <c r="J9120" s="0" t="s">
        <v>30335</v>
      </c>
      <c r="K9120" s="0" t="s">
        <v>30336</v>
      </c>
      <c r="L9120" s="0" t="str">
        <f aca="false">HYPERLINK("https://www.ncbi.nlm.nih.gov/nuccore/CP000058.1?report=graph&amp;tracks=[key:gene_model_track,Options:GeneOnly]&amp;mk=2865669:2865688|offset_49|00cc00,2865714:2865733|offset_94|444444,2865737:2865756|offset_117|444444,2865777:2865796|offset_157|444444&amp;v=2865468:2865996&amp;c=444444", "offset 49")</f>
        <v>offset 49</v>
      </c>
    </row>
    <row r="9121" customFormat="false" ht="12.8" hidden="false" customHeight="false" outlineLevel="0" collapsed="false">
      <c r="A9121" s="0" t="s">
        <v>12</v>
      </c>
      <c r="B9121" s="0" t="n">
        <v>2865713</v>
      </c>
      <c r="C9121" s="0" t="n">
        <v>2865733</v>
      </c>
      <c r="D9121" s="0" t="s">
        <v>30333</v>
      </c>
      <c r="E9121" s="0" t="s">
        <v>75</v>
      </c>
      <c r="F9121" s="0" t="s">
        <v>15</v>
      </c>
      <c r="G9121" s="0" t="s">
        <v>32</v>
      </c>
      <c r="H9121" s="0" t="n">
        <v>94</v>
      </c>
      <c r="I9121" s="0" t="s">
        <v>30337</v>
      </c>
      <c r="J9121" s="0" t="s">
        <v>30338</v>
      </c>
      <c r="K9121" s="0" t="s">
        <v>30339</v>
      </c>
      <c r="L9121" s="0" t="str">
        <f aca="false">HYPERLINK("https://www.ncbi.nlm.nih.gov/nuccore/CP000058.1?report=graph&amp;tracks=[key:gene_model_track,Options:GeneOnly]&amp;mk=2865669:2865688|offset_49|444444,2865714:2865733|offset_94|00cc00,2865737:2865756|offset_117|444444,2865777:2865796|offset_157|444444&amp;v=2865468:2865996&amp;c=444444", "offset 94")</f>
        <v>offset 94</v>
      </c>
    </row>
    <row r="9122" customFormat="false" ht="12.8" hidden="false" customHeight="false" outlineLevel="0" collapsed="false">
      <c r="A9122" s="0" t="s">
        <v>12</v>
      </c>
      <c r="B9122" s="0" t="n">
        <v>2865736</v>
      </c>
      <c r="C9122" s="0" t="n">
        <v>2865756</v>
      </c>
      <c r="D9122" s="0" t="s">
        <v>30333</v>
      </c>
      <c r="E9122" s="0" t="s">
        <v>75</v>
      </c>
      <c r="F9122" s="0" t="s">
        <v>15</v>
      </c>
      <c r="G9122" s="0" t="s">
        <v>16</v>
      </c>
      <c r="H9122" s="0" t="n">
        <v>117</v>
      </c>
      <c r="I9122" s="0" t="s">
        <v>30340</v>
      </c>
      <c r="J9122" s="0" t="s">
        <v>30341</v>
      </c>
      <c r="K9122" s="0" t="s">
        <v>30342</v>
      </c>
      <c r="L9122" s="0" t="str">
        <f aca="false">HYPERLINK("https://www.ncbi.nlm.nih.gov/nuccore/CP000058.1?report=graph&amp;tracks=[key:gene_model_track,Options:GeneOnly]&amp;mk=2865669:2865688|offset_49|444444,2865714:2865733|offset_94|444444,2865737:2865756|offset_117|00cc00,2865777:2865796|offset_157|444444&amp;v=2865468:2865996&amp;c=444444", "offset 117")</f>
        <v>offset 117</v>
      </c>
    </row>
    <row r="9123" customFormat="false" ht="12.8" hidden="false" customHeight="false" outlineLevel="0" collapsed="false">
      <c r="A9123" s="0" t="s">
        <v>12</v>
      </c>
      <c r="B9123" s="0" t="n">
        <v>2865776</v>
      </c>
      <c r="C9123" s="0" t="n">
        <v>2865796</v>
      </c>
      <c r="D9123" s="0" t="s">
        <v>30333</v>
      </c>
      <c r="E9123" s="0" t="s">
        <v>75</v>
      </c>
      <c r="F9123" s="0" t="s">
        <v>15</v>
      </c>
      <c r="G9123" s="0" t="s">
        <v>16</v>
      </c>
      <c r="H9123" s="0" t="n">
        <v>157</v>
      </c>
      <c r="I9123" s="0" t="s">
        <v>30343</v>
      </c>
      <c r="J9123" s="0" t="s">
        <v>30344</v>
      </c>
      <c r="K9123" s="0" t="s">
        <v>30345</v>
      </c>
      <c r="L9123" s="0" t="str">
        <f aca="false">HYPERLINK("https://www.ncbi.nlm.nih.gov/nuccore/CP000058.1?report=graph&amp;tracks=[key:gene_model_track,Options:GeneOnly]&amp;mk=2865669:2865688|offset_49|444444,2865714:2865733|offset_94|444444,2865737:2865756|offset_117|444444,2865777:2865796|offset_157|00cc00&amp;v=2865468:2865996&amp;c=444444", "offset 157")</f>
        <v>offset 157</v>
      </c>
    </row>
    <row r="9124" customFormat="false" ht="12.8" hidden="false" customHeight="false" outlineLevel="0" collapsed="false">
      <c r="A9124" s="0" t="s">
        <v>12</v>
      </c>
      <c r="B9124" s="0" t="n">
        <v>2867005</v>
      </c>
      <c r="C9124" s="0" t="n">
        <v>2867025</v>
      </c>
      <c r="D9124" s="0" t="s">
        <v>30346</v>
      </c>
      <c r="E9124" s="0" t="s">
        <v>75</v>
      </c>
      <c r="F9124" s="0" t="s">
        <v>15</v>
      </c>
      <c r="G9124" s="0" t="s">
        <v>32</v>
      </c>
      <c r="H9124" s="0" t="n">
        <v>21</v>
      </c>
      <c r="I9124" s="0" t="s">
        <v>30347</v>
      </c>
      <c r="J9124" s="0" t="s">
        <v>30348</v>
      </c>
      <c r="K9124" s="0" t="s">
        <v>30349</v>
      </c>
      <c r="L9124" s="0" t="str">
        <f aca="false">HYPERLINK("https://www.ncbi.nlm.nih.gov/nuccore/CP000058.1?report=graph&amp;tracks=[key:gene_model_track,Options:GeneOnly]&amp;mk=2867006:2867025|offset_21|00cc00,2867029:2867048|offset_44|444444,2867055:2867074|offset_70|444444,2867116:2867135|offset_131|444444&amp;v=2866805:2867335&amp;c=444444", "offset 21")</f>
        <v>offset 21</v>
      </c>
    </row>
    <row r="9125" customFormat="false" ht="12.8" hidden="false" customHeight="false" outlineLevel="0" collapsed="false">
      <c r="A9125" s="0" t="s">
        <v>12</v>
      </c>
      <c r="B9125" s="0" t="n">
        <v>2867028</v>
      </c>
      <c r="C9125" s="0" t="n">
        <v>2867048</v>
      </c>
      <c r="D9125" s="0" t="s">
        <v>30346</v>
      </c>
      <c r="E9125" s="0" t="s">
        <v>75</v>
      </c>
      <c r="F9125" s="0" t="s">
        <v>15</v>
      </c>
      <c r="G9125" s="0" t="s">
        <v>16</v>
      </c>
      <c r="H9125" s="0" t="n">
        <v>44</v>
      </c>
      <c r="I9125" s="0" t="s">
        <v>30350</v>
      </c>
      <c r="J9125" s="0" t="s">
        <v>30351</v>
      </c>
      <c r="K9125" s="0" t="s">
        <v>30352</v>
      </c>
      <c r="L9125" s="0" t="str">
        <f aca="false">HYPERLINK("https://www.ncbi.nlm.nih.gov/nuccore/CP000058.1?report=graph&amp;tracks=[key:gene_model_track,Options:GeneOnly]&amp;mk=2867006:2867025|offset_21|444444,2867029:2867048|offset_44|00cc00,2867055:2867074|offset_70|444444,2867116:2867135|offset_131|444444&amp;v=2866805:2867335&amp;c=444444", "offset 44")</f>
        <v>offset 44</v>
      </c>
    </row>
    <row r="9126" customFormat="false" ht="12.8" hidden="false" customHeight="false" outlineLevel="0" collapsed="false">
      <c r="A9126" s="0" t="s">
        <v>12</v>
      </c>
      <c r="B9126" s="0" t="n">
        <v>2867054</v>
      </c>
      <c r="C9126" s="0" t="n">
        <v>2867074</v>
      </c>
      <c r="D9126" s="0" t="s">
        <v>30346</v>
      </c>
      <c r="E9126" s="0" t="s">
        <v>75</v>
      </c>
      <c r="F9126" s="0" t="s">
        <v>15</v>
      </c>
      <c r="G9126" s="0" t="s">
        <v>32</v>
      </c>
      <c r="H9126" s="0" t="n">
        <v>70</v>
      </c>
      <c r="I9126" s="0" t="s">
        <v>30353</v>
      </c>
      <c r="J9126" s="0" t="s">
        <v>30354</v>
      </c>
      <c r="K9126" s="0" t="s">
        <v>30355</v>
      </c>
      <c r="L9126" s="0" t="str">
        <f aca="false">HYPERLINK("https://www.ncbi.nlm.nih.gov/nuccore/CP000058.1?report=graph&amp;tracks=[key:gene_model_track,Options:GeneOnly]&amp;mk=2867006:2867025|offset_21|444444,2867029:2867048|offset_44|444444,2867055:2867074|offset_70|00cc00,2867116:2867135|offset_131|444444&amp;v=2866805:2867335&amp;c=444444", "offset 70")</f>
        <v>offset 70</v>
      </c>
    </row>
    <row r="9127" customFormat="false" ht="12.8" hidden="false" customHeight="false" outlineLevel="0" collapsed="false">
      <c r="A9127" s="0" t="s">
        <v>12</v>
      </c>
      <c r="B9127" s="0" t="n">
        <v>2867115</v>
      </c>
      <c r="C9127" s="0" t="n">
        <v>2867135</v>
      </c>
      <c r="D9127" s="0" t="s">
        <v>30346</v>
      </c>
      <c r="E9127" s="0" t="s">
        <v>75</v>
      </c>
      <c r="F9127" s="0" t="s">
        <v>15</v>
      </c>
      <c r="G9127" s="0" t="s">
        <v>16</v>
      </c>
      <c r="H9127" s="0" t="n">
        <v>131</v>
      </c>
      <c r="I9127" s="0" t="s">
        <v>30356</v>
      </c>
      <c r="J9127" s="0" t="s">
        <v>30357</v>
      </c>
      <c r="K9127" s="0" t="s">
        <v>30358</v>
      </c>
      <c r="L9127" s="0" t="str">
        <f aca="false">HYPERLINK("https://www.ncbi.nlm.nih.gov/nuccore/CP000058.1?report=graph&amp;tracks=[key:gene_model_track,Options:GeneOnly]&amp;mk=2867006:2867025|offset_21|444444,2867029:2867048|offset_44|444444,2867055:2867074|offset_70|444444,2867116:2867135|offset_131|00cc00&amp;v=2866805:2867335&amp;c=444444", "offset 131")</f>
        <v>offset 131</v>
      </c>
    </row>
    <row r="9128" customFormat="false" ht="12.8" hidden="false" customHeight="false" outlineLevel="0" collapsed="false">
      <c r="A9128" s="0" t="s">
        <v>12</v>
      </c>
      <c r="B9128" s="0" t="n">
        <v>2869919</v>
      </c>
      <c r="C9128" s="0" t="n">
        <v>2869939</v>
      </c>
      <c r="D9128" s="0" t="s">
        <v>30359</v>
      </c>
      <c r="E9128" s="0" t="s">
        <v>75</v>
      </c>
      <c r="F9128" s="0" t="s">
        <v>15</v>
      </c>
      <c r="G9128" s="0" t="s">
        <v>16</v>
      </c>
      <c r="H9128" s="0" t="n">
        <v>14</v>
      </c>
      <c r="I9128" s="0" t="s">
        <v>30360</v>
      </c>
      <c r="J9128" s="0" t="s">
        <v>30361</v>
      </c>
      <c r="K9128" s="0" t="s">
        <v>30362</v>
      </c>
      <c r="L9128" s="0" t="str">
        <f aca="false">HYPERLINK("https://www.ncbi.nlm.nih.gov/nuccore/CP000058.1?report=graph&amp;tracks=[key:gene_model_track,Options:GeneOnly]&amp;mk=2869920:2869939|offset_14|00cc00,2869993:2870012|offset_87|444444,2870046:2870065|offset_140|444444,2870114:2870133|offset_208|444444&amp;v=2869719:2870333&amp;c=444444", "offset 14")</f>
        <v>offset 14</v>
      </c>
    </row>
    <row r="9129" customFormat="false" ht="12.8" hidden="false" customHeight="false" outlineLevel="0" collapsed="false">
      <c r="A9129" s="0" t="s">
        <v>12</v>
      </c>
      <c r="B9129" s="0" t="n">
        <v>2869992</v>
      </c>
      <c r="C9129" s="0" t="n">
        <v>2870012</v>
      </c>
      <c r="D9129" s="0" t="s">
        <v>30359</v>
      </c>
      <c r="E9129" s="0" t="s">
        <v>75</v>
      </c>
      <c r="F9129" s="0" t="s">
        <v>15</v>
      </c>
      <c r="G9129" s="0" t="s">
        <v>36</v>
      </c>
      <c r="H9129" s="0" t="n">
        <v>87</v>
      </c>
      <c r="I9129" s="0" t="s">
        <v>30363</v>
      </c>
      <c r="J9129" s="0" t="s">
        <v>30364</v>
      </c>
      <c r="K9129" s="0" t="s">
        <v>30365</v>
      </c>
      <c r="L9129" s="0" t="str">
        <f aca="false">HYPERLINK("https://www.ncbi.nlm.nih.gov/nuccore/CP000058.1?report=graph&amp;tracks=[key:gene_model_track,Options:GeneOnly]&amp;mk=2869920:2869939|offset_14|444444,2869993:2870012|offset_87|00cc00,2870046:2870065|offset_140|444444,2870114:2870133|offset_208|444444&amp;v=2869719:2870333&amp;c=444444", "offset 87")</f>
        <v>offset 87</v>
      </c>
    </row>
    <row r="9130" customFormat="false" ht="12.8" hidden="false" customHeight="false" outlineLevel="0" collapsed="false">
      <c r="A9130" s="0" t="s">
        <v>12</v>
      </c>
      <c r="B9130" s="0" t="n">
        <v>2870045</v>
      </c>
      <c r="C9130" s="0" t="n">
        <v>2870065</v>
      </c>
      <c r="D9130" s="0" t="s">
        <v>30359</v>
      </c>
      <c r="E9130" s="0" t="s">
        <v>75</v>
      </c>
      <c r="F9130" s="0" t="s">
        <v>15</v>
      </c>
      <c r="G9130" s="0" t="s">
        <v>36</v>
      </c>
      <c r="H9130" s="0" t="n">
        <v>140</v>
      </c>
      <c r="I9130" s="0" t="s">
        <v>30366</v>
      </c>
      <c r="J9130" s="0" t="s">
        <v>30367</v>
      </c>
      <c r="K9130" s="0" t="s">
        <v>30368</v>
      </c>
      <c r="L9130" s="0" t="str">
        <f aca="false">HYPERLINK("https://www.ncbi.nlm.nih.gov/nuccore/CP000058.1?report=graph&amp;tracks=[key:gene_model_track,Options:GeneOnly]&amp;mk=2869920:2869939|offset_14|444444,2869993:2870012|offset_87|444444,2870046:2870065|offset_140|00cc00,2870114:2870133|offset_208|444444&amp;v=2869719:2870333&amp;c=444444", "offset 140")</f>
        <v>offset 140</v>
      </c>
    </row>
    <row r="9131" customFormat="false" ht="12.8" hidden="false" customHeight="false" outlineLevel="0" collapsed="false">
      <c r="A9131" s="0" t="s">
        <v>12</v>
      </c>
      <c r="B9131" s="0" t="n">
        <v>2870113</v>
      </c>
      <c r="C9131" s="0" t="n">
        <v>2870133</v>
      </c>
      <c r="D9131" s="0" t="s">
        <v>30359</v>
      </c>
      <c r="E9131" s="0" t="s">
        <v>75</v>
      </c>
      <c r="F9131" s="0" t="s">
        <v>15</v>
      </c>
      <c r="G9131" s="0" t="s">
        <v>16</v>
      </c>
      <c r="H9131" s="0" t="n">
        <v>208</v>
      </c>
      <c r="I9131" s="0" t="s">
        <v>30369</v>
      </c>
      <c r="J9131" s="0" t="s">
        <v>30370</v>
      </c>
      <c r="K9131" s="0" t="s">
        <v>30371</v>
      </c>
      <c r="L9131" s="0" t="str">
        <f aca="false">HYPERLINK("https://www.ncbi.nlm.nih.gov/nuccore/CP000058.1?report=graph&amp;tracks=[key:gene_model_track,Options:GeneOnly]&amp;mk=2869920:2869939|offset_14|444444,2869993:2870012|offset_87|444444,2870046:2870065|offset_140|444444,2870114:2870133|offset_208|00cc00&amp;v=2869719:2870333&amp;c=444444", "offset 208")</f>
        <v>offset 208</v>
      </c>
    </row>
    <row r="9132" customFormat="false" ht="12.8" hidden="false" customHeight="false" outlineLevel="0" collapsed="false">
      <c r="A9132" s="0" t="s">
        <v>12</v>
      </c>
      <c r="B9132" s="0" t="n">
        <v>2872469</v>
      </c>
      <c r="C9132" s="0" t="n">
        <v>2872489</v>
      </c>
      <c r="D9132" s="0" t="s">
        <v>30372</v>
      </c>
      <c r="E9132" s="0" t="s">
        <v>75</v>
      </c>
      <c r="F9132" s="0" t="s">
        <v>90</v>
      </c>
      <c r="G9132" s="0" t="s">
        <v>36</v>
      </c>
      <c r="H9132" s="0" t="n">
        <v>10</v>
      </c>
      <c r="I9132" s="0" t="s">
        <v>30373</v>
      </c>
      <c r="J9132" s="0" t="s">
        <v>30374</v>
      </c>
      <c r="K9132" s="0" t="s">
        <v>30375</v>
      </c>
      <c r="L9132" s="0" t="str">
        <f aca="false">HYPERLINK("https://www.ncbi.nlm.nih.gov/nuccore/CP000058.1?report=graph&amp;tracks=[key:gene_model_track,Options:GeneOnly]&amp;mk=2872470:2872489|offset_10|00cc00,2872437:2872456|offset_43|444444,2872396:2872415|offset_84|444444,2872366:2872385|offset_114|444444&amp;v=2872269:2872585&amp;c=444444", "offset 10")</f>
        <v>offset 10</v>
      </c>
    </row>
    <row r="9133" customFormat="false" ht="12.8" hidden="false" customHeight="false" outlineLevel="0" collapsed="false">
      <c r="A9133" s="0" t="s">
        <v>12</v>
      </c>
      <c r="B9133" s="0" t="n">
        <v>2872436</v>
      </c>
      <c r="C9133" s="0" t="n">
        <v>2872456</v>
      </c>
      <c r="D9133" s="0" t="s">
        <v>30372</v>
      </c>
      <c r="E9133" s="0" t="s">
        <v>75</v>
      </c>
      <c r="F9133" s="0" t="s">
        <v>90</v>
      </c>
      <c r="G9133" s="0" t="s">
        <v>16</v>
      </c>
      <c r="H9133" s="0" t="n">
        <v>43</v>
      </c>
      <c r="I9133" s="0" t="s">
        <v>30376</v>
      </c>
      <c r="J9133" s="0" t="s">
        <v>30377</v>
      </c>
      <c r="K9133" s="0" t="s">
        <v>30378</v>
      </c>
      <c r="L9133" s="0" t="str">
        <f aca="false">HYPERLINK("https://www.ncbi.nlm.nih.gov/nuccore/CP000058.1?report=graph&amp;tracks=[key:gene_model_track,Options:GeneOnly]&amp;mk=2872470:2872489|offset_10|444444,2872437:2872456|offset_43|00cc00,2872396:2872415|offset_84|444444,2872366:2872385|offset_114|444444&amp;v=2872269:2872585&amp;c=444444", "offset 43")</f>
        <v>offset 43</v>
      </c>
    </row>
    <row r="9134" customFormat="false" ht="12.8" hidden="false" customHeight="false" outlineLevel="0" collapsed="false">
      <c r="A9134" s="0" t="s">
        <v>12</v>
      </c>
      <c r="B9134" s="0" t="n">
        <v>2872395</v>
      </c>
      <c r="C9134" s="0" t="n">
        <v>2872415</v>
      </c>
      <c r="D9134" s="0" t="s">
        <v>30372</v>
      </c>
      <c r="E9134" s="0" t="s">
        <v>75</v>
      </c>
      <c r="F9134" s="0" t="s">
        <v>90</v>
      </c>
      <c r="G9134" s="0" t="s">
        <v>20</v>
      </c>
      <c r="H9134" s="0" t="n">
        <v>84</v>
      </c>
      <c r="I9134" s="0" t="s">
        <v>30379</v>
      </c>
      <c r="J9134" s="0" t="s">
        <v>30380</v>
      </c>
      <c r="K9134" s="0" t="s">
        <v>30381</v>
      </c>
      <c r="L9134" s="0" t="str">
        <f aca="false">HYPERLINK("https://www.ncbi.nlm.nih.gov/nuccore/CP000058.1?report=graph&amp;tracks=[key:gene_model_track,Options:GeneOnly]&amp;mk=2872470:2872489|offset_10|444444,2872437:2872456|offset_43|444444,2872396:2872415|offset_84|00cc00,2872366:2872385|offset_114|444444&amp;v=2872269:2872585&amp;c=444444", "offset 84")</f>
        <v>offset 84</v>
      </c>
    </row>
    <row r="9135" customFormat="false" ht="12.8" hidden="false" customHeight="false" outlineLevel="0" collapsed="false">
      <c r="A9135" s="0" t="s">
        <v>12</v>
      </c>
      <c r="B9135" s="0" t="n">
        <v>2872365</v>
      </c>
      <c r="C9135" s="0" t="n">
        <v>2872385</v>
      </c>
      <c r="D9135" s="0" t="s">
        <v>30372</v>
      </c>
      <c r="E9135" s="0" t="s">
        <v>75</v>
      </c>
      <c r="F9135" s="0" t="s">
        <v>90</v>
      </c>
      <c r="G9135" s="0" t="s">
        <v>16</v>
      </c>
      <c r="H9135" s="0" t="n">
        <v>114</v>
      </c>
      <c r="I9135" s="0" t="s">
        <v>30382</v>
      </c>
      <c r="J9135" s="0" t="s">
        <v>30383</v>
      </c>
      <c r="K9135" s="0" t="s">
        <v>30384</v>
      </c>
      <c r="L9135" s="0" t="str">
        <f aca="false">HYPERLINK("https://www.ncbi.nlm.nih.gov/nuccore/CP000058.1?report=graph&amp;tracks=[key:gene_model_track,Options:GeneOnly]&amp;mk=2872470:2872489|offset_10|444444,2872437:2872456|offset_43|444444,2872396:2872415|offset_84|444444,2872366:2872385|offset_114|00cc00&amp;v=2872269:2872585&amp;c=444444", "offset 114")</f>
        <v>offset 114</v>
      </c>
    </row>
    <row r="9136" customFormat="false" ht="12.8" hidden="false" customHeight="false" outlineLevel="0" collapsed="false">
      <c r="A9136" s="0" t="s">
        <v>12</v>
      </c>
      <c r="B9136" s="0" t="n">
        <v>2872647</v>
      </c>
      <c r="C9136" s="0" t="n">
        <v>2872667</v>
      </c>
      <c r="D9136" s="0" t="s">
        <v>30385</v>
      </c>
      <c r="E9136" s="0" t="s">
        <v>75</v>
      </c>
      <c r="F9136" s="0" t="s">
        <v>15</v>
      </c>
      <c r="G9136" s="0" t="s">
        <v>32</v>
      </c>
      <c r="H9136" s="0" t="n">
        <v>10</v>
      </c>
      <c r="I9136" s="0" t="s">
        <v>30386</v>
      </c>
      <c r="J9136" s="0" t="s">
        <v>30387</v>
      </c>
      <c r="K9136" s="0" t="s">
        <v>30388</v>
      </c>
      <c r="L9136" s="0" t="str">
        <f aca="false">HYPERLINK("https://www.ncbi.nlm.nih.gov/nuccore/CP000058.1?report=graph&amp;tracks=[key:gene_model_track,Options:GeneOnly]&amp;mk=2872648:2872667|offset_10|00cc00,2872677:2872696|offset_39|444444,2872744:2872763|offset_106|444444,2872791:2872810|offset_153|444444&amp;v=2872447:2873010&amp;c=444444", "offset 10")</f>
        <v>offset 10</v>
      </c>
    </row>
    <row r="9137" customFormat="false" ht="12.8" hidden="false" customHeight="false" outlineLevel="0" collapsed="false">
      <c r="A9137" s="0" t="s">
        <v>12</v>
      </c>
      <c r="B9137" s="0" t="n">
        <v>2872676</v>
      </c>
      <c r="C9137" s="0" t="n">
        <v>2872696</v>
      </c>
      <c r="D9137" s="0" t="s">
        <v>30385</v>
      </c>
      <c r="E9137" s="0" t="s">
        <v>75</v>
      </c>
      <c r="F9137" s="0" t="s">
        <v>15</v>
      </c>
      <c r="G9137" s="0" t="s">
        <v>36</v>
      </c>
      <c r="H9137" s="0" t="n">
        <v>39</v>
      </c>
      <c r="I9137" s="0" t="s">
        <v>30389</v>
      </c>
      <c r="J9137" s="0" t="s">
        <v>30390</v>
      </c>
      <c r="K9137" s="0" t="s">
        <v>30391</v>
      </c>
      <c r="L9137" s="0" t="str">
        <f aca="false">HYPERLINK("https://www.ncbi.nlm.nih.gov/nuccore/CP000058.1?report=graph&amp;tracks=[key:gene_model_track,Options:GeneOnly]&amp;mk=2872648:2872667|offset_10|444444,2872677:2872696|offset_39|00cc00,2872744:2872763|offset_106|444444,2872791:2872810|offset_153|444444&amp;v=2872447:2873010&amp;c=444444", "offset 39")</f>
        <v>offset 39</v>
      </c>
    </row>
    <row r="9138" customFormat="false" ht="12.8" hidden="false" customHeight="false" outlineLevel="0" collapsed="false">
      <c r="A9138" s="0" t="s">
        <v>12</v>
      </c>
      <c r="B9138" s="0" t="n">
        <v>2872743</v>
      </c>
      <c r="C9138" s="0" t="n">
        <v>2872763</v>
      </c>
      <c r="D9138" s="0" t="s">
        <v>30385</v>
      </c>
      <c r="E9138" s="0" t="s">
        <v>75</v>
      </c>
      <c r="F9138" s="0" t="s">
        <v>15</v>
      </c>
      <c r="G9138" s="0" t="s">
        <v>16</v>
      </c>
      <c r="H9138" s="0" t="n">
        <v>106</v>
      </c>
      <c r="I9138" s="0" t="s">
        <v>30392</v>
      </c>
      <c r="J9138" s="0" t="s">
        <v>30393</v>
      </c>
      <c r="K9138" s="0" t="s">
        <v>30394</v>
      </c>
      <c r="L9138" s="0" t="str">
        <f aca="false">HYPERLINK("https://www.ncbi.nlm.nih.gov/nuccore/CP000058.1?report=graph&amp;tracks=[key:gene_model_track,Options:GeneOnly]&amp;mk=2872648:2872667|offset_10|444444,2872677:2872696|offset_39|444444,2872744:2872763|offset_106|00cc00,2872791:2872810|offset_153|444444&amp;v=2872447:2873010&amp;c=444444", "offset 106")</f>
        <v>offset 106</v>
      </c>
    </row>
    <row r="9139" customFormat="false" ht="12.8" hidden="false" customHeight="false" outlineLevel="0" collapsed="false">
      <c r="A9139" s="0" t="s">
        <v>12</v>
      </c>
      <c r="B9139" s="0" t="n">
        <v>2872790</v>
      </c>
      <c r="C9139" s="0" t="n">
        <v>2872810</v>
      </c>
      <c r="D9139" s="0" t="s">
        <v>30385</v>
      </c>
      <c r="E9139" s="0" t="s">
        <v>75</v>
      </c>
      <c r="F9139" s="0" t="s">
        <v>15</v>
      </c>
      <c r="G9139" s="0" t="s">
        <v>16</v>
      </c>
      <c r="H9139" s="0" t="n">
        <v>153</v>
      </c>
      <c r="I9139" s="0" t="s">
        <v>30395</v>
      </c>
      <c r="J9139" s="0" t="s">
        <v>30396</v>
      </c>
      <c r="K9139" s="0" t="s">
        <v>30397</v>
      </c>
      <c r="L9139" s="0" t="str">
        <f aca="false">HYPERLINK("https://www.ncbi.nlm.nih.gov/nuccore/CP000058.1?report=graph&amp;tracks=[key:gene_model_track,Options:GeneOnly]&amp;mk=2872648:2872667|offset_10|444444,2872677:2872696|offset_39|444444,2872744:2872763|offset_106|444444,2872791:2872810|offset_153|00cc00&amp;v=2872447:2873010&amp;c=444444", "offset 153")</f>
        <v>offset 153</v>
      </c>
    </row>
    <row r="9140" customFormat="false" ht="12.8" hidden="false" customHeight="false" outlineLevel="0" collapsed="false">
      <c r="A9140" s="0" t="s">
        <v>12</v>
      </c>
      <c r="B9140" s="0" t="n">
        <v>2874381</v>
      </c>
      <c r="C9140" s="0" t="n">
        <v>2874401</v>
      </c>
      <c r="D9140" s="0" t="s">
        <v>30398</v>
      </c>
      <c r="E9140" s="0" t="s">
        <v>75</v>
      </c>
      <c r="F9140" s="0" t="s">
        <v>90</v>
      </c>
      <c r="G9140" s="0" t="s">
        <v>36</v>
      </c>
      <c r="H9140" s="0" t="n">
        <v>11</v>
      </c>
      <c r="I9140" s="0" t="s">
        <v>30399</v>
      </c>
      <c r="J9140" s="0" t="s">
        <v>30400</v>
      </c>
      <c r="K9140" s="0" t="s">
        <v>30401</v>
      </c>
      <c r="L9140" s="0" t="str">
        <f aca="false">HYPERLINK("https://www.ncbi.nlm.nih.gov/nuccore/CP000058.1?report=graph&amp;tracks=[key:gene_model_track,Options:GeneOnly]&amp;mk=2874382:2874401|offset_11|00cc00,2874359:2874378|offset_34|444444,2874334:2874353|offset_59|444444,2874287:2874306|offset_106|444444&amp;v=2874181:2874506&amp;c=444444", "offset 11")</f>
        <v>offset 11</v>
      </c>
    </row>
    <row r="9141" customFormat="false" ht="12.8" hidden="false" customHeight="false" outlineLevel="0" collapsed="false">
      <c r="A9141" s="0" t="s">
        <v>12</v>
      </c>
      <c r="B9141" s="0" t="n">
        <v>2874358</v>
      </c>
      <c r="C9141" s="0" t="n">
        <v>2874378</v>
      </c>
      <c r="D9141" s="0" t="s">
        <v>30398</v>
      </c>
      <c r="E9141" s="0" t="s">
        <v>75</v>
      </c>
      <c r="F9141" s="0" t="s">
        <v>90</v>
      </c>
      <c r="G9141" s="0" t="s">
        <v>16</v>
      </c>
      <c r="H9141" s="0" t="n">
        <v>34</v>
      </c>
      <c r="I9141" s="0" t="s">
        <v>30402</v>
      </c>
      <c r="J9141" s="0" t="s">
        <v>30403</v>
      </c>
      <c r="K9141" s="0" t="s">
        <v>30404</v>
      </c>
      <c r="L9141" s="0" t="str">
        <f aca="false">HYPERLINK("https://www.ncbi.nlm.nih.gov/nuccore/CP000058.1?report=graph&amp;tracks=[key:gene_model_track,Options:GeneOnly]&amp;mk=2874382:2874401|offset_11|444444,2874359:2874378|offset_34|00cc00,2874334:2874353|offset_59|444444,2874287:2874306|offset_106|444444&amp;v=2874181:2874506&amp;c=444444", "offset 34")</f>
        <v>offset 34</v>
      </c>
    </row>
    <row r="9142" customFormat="false" ht="12.8" hidden="false" customHeight="false" outlineLevel="0" collapsed="false">
      <c r="A9142" s="0" t="s">
        <v>12</v>
      </c>
      <c r="B9142" s="0" t="n">
        <v>2874333</v>
      </c>
      <c r="C9142" s="0" t="n">
        <v>2874353</v>
      </c>
      <c r="D9142" s="0" t="s">
        <v>30398</v>
      </c>
      <c r="E9142" s="0" t="s">
        <v>75</v>
      </c>
      <c r="F9142" s="0" t="s">
        <v>90</v>
      </c>
      <c r="G9142" s="0" t="s">
        <v>20</v>
      </c>
      <c r="H9142" s="0" t="n">
        <v>59</v>
      </c>
      <c r="I9142" s="0" t="s">
        <v>30405</v>
      </c>
      <c r="J9142" s="0" t="s">
        <v>30406</v>
      </c>
      <c r="K9142" s="0" t="s">
        <v>30407</v>
      </c>
      <c r="L9142" s="0" t="str">
        <f aca="false">HYPERLINK("https://www.ncbi.nlm.nih.gov/nuccore/CP000058.1?report=graph&amp;tracks=[key:gene_model_track,Options:GeneOnly]&amp;mk=2874382:2874401|offset_11|444444,2874359:2874378|offset_34|444444,2874334:2874353|offset_59|00cc00,2874287:2874306|offset_106|444444&amp;v=2874181:2874506&amp;c=444444", "offset 59")</f>
        <v>offset 59</v>
      </c>
    </row>
    <row r="9143" customFormat="false" ht="12.8" hidden="false" customHeight="false" outlineLevel="0" collapsed="false">
      <c r="A9143" s="0" t="s">
        <v>12</v>
      </c>
      <c r="B9143" s="0" t="n">
        <v>2874286</v>
      </c>
      <c r="C9143" s="0" t="n">
        <v>2874306</v>
      </c>
      <c r="D9143" s="0" t="s">
        <v>30398</v>
      </c>
      <c r="E9143" s="0" t="s">
        <v>75</v>
      </c>
      <c r="F9143" s="0" t="s">
        <v>90</v>
      </c>
      <c r="G9143" s="0" t="s">
        <v>20</v>
      </c>
      <c r="H9143" s="0" t="n">
        <v>106</v>
      </c>
      <c r="I9143" s="0" t="s">
        <v>30408</v>
      </c>
      <c r="J9143" s="0" t="s">
        <v>30409</v>
      </c>
      <c r="K9143" s="0" t="s">
        <v>30410</v>
      </c>
      <c r="L9143" s="0" t="str">
        <f aca="false">HYPERLINK("https://www.ncbi.nlm.nih.gov/nuccore/CP000058.1?report=graph&amp;tracks=[key:gene_model_track,Options:GeneOnly]&amp;mk=2874382:2874401|offset_11|444444,2874359:2874378|offset_34|444444,2874334:2874353|offset_59|444444,2874287:2874306|offset_106|00cc00&amp;v=2874181:2874506&amp;c=444444", "offset 106")</f>
        <v>offset 106</v>
      </c>
    </row>
    <row r="9144" customFormat="false" ht="12.8" hidden="false" customHeight="false" outlineLevel="0" collapsed="false">
      <c r="A9144" s="0" t="s">
        <v>12</v>
      </c>
      <c r="B9144" s="0" t="n">
        <v>2875257</v>
      </c>
      <c r="C9144" s="0" t="n">
        <v>2875277</v>
      </c>
      <c r="D9144" s="0" t="s">
        <v>30411</v>
      </c>
      <c r="E9144" s="0" t="s">
        <v>75</v>
      </c>
      <c r="F9144" s="0" t="s">
        <v>90</v>
      </c>
      <c r="G9144" s="0" t="s">
        <v>20</v>
      </c>
      <c r="H9144" s="0" t="n">
        <v>35</v>
      </c>
      <c r="I9144" s="0" t="s">
        <v>30412</v>
      </c>
      <c r="J9144" s="0" t="s">
        <v>30413</v>
      </c>
      <c r="K9144" s="0" t="s">
        <v>30414</v>
      </c>
      <c r="L9144" s="0" t="str">
        <f aca="false">HYPERLINK("https://www.ncbi.nlm.nih.gov/nuccore/CP000058.1?report=graph&amp;tracks=[key:gene_model_track,Options:GeneOnly]&amp;mk=2875258:2875277|offset_35|00cc00,2875229:2875248|offset_64|444444,2875190:2875209|offset_103|444444,2875148:2875167|offset_145|444444&amp;v=2875057:2875367&amp;c=444444", "offset 35")</f>
        <v>offset 35</v>
      </c>
    </row>
    <row r="9145" customFormat="false" ht="12.8" hidden="false" customHeight="false" outlineLevel="0" collapsed="false">
      <c r="A9145" s="0" t="s">
        <v>12</v>
      </c>
      <c r="B9145" s="0" t="n">
        <v>2875228</v>
      </c>
      <c r="C9145" s="0" t="n">
        <v>2875248</v>
      </c>
      <c r="D9145" s="0" t="s">
        <v>30411</v>
      </c>
      <c r="E9145" s="0" t="s">
        <v>75</v>
      </c>
      <c r="F9145" s="0" t="s">
        <v>90</v>
      </c>
      <c r="G9145" s="0" t="s">
        <v>16</v>
      </c>
      <c r="H9145" s="0" t="n">
        <v>64</v>
      </c>
      <c r="I9145" s="0" t="s">
        <v>30415</v>
      </c>
      <c r="J9145" s="0" t="s">
        <v>30416</v>
      </c>
      <c r="K9145" s="0" t="s">
        <v>30417</v>
      </c>
      <c r="L9145" s="0" t="str">
        <f aca="false">HYPERLINK("https://www.ncbi.nlm.nih.gov/nuccore/CP000058.1?report=graph&amp;tracks=[key:gene_model_track,Options:GeneOnly]&amp;mk=2875258:2875277|offset_35|444444,2875229:2875248|offset_64|00cc00,2875190:2875209|offset_103|444444,2875148:2875167|offset_145|444444&amp;v=2875057:2875367&amp;c=444444", "offset 64")</f>
        <v>offset 64</v>
      </c>
    </row>
    <row r="9146" customFormat="false" ht="12.8" hidden="false" customHeight="false" outlineLevel="0" collapsed="false">
      <c r="A9146" s="0" t="s">
        <v>12</v>
      </c>
      <c r="B9146" s="0" t="n">
        <v>2875189</v>
      </c>
      <c r="C9146" s="0" t="n">
        <v>2875209</v>
      </c>
      <c r="D9146" s="0" t="s">
        <v>30411</v>
      </c>
      <c r="E9146" s="0" t="s">
        <v>75</v>
      </c>
      <c r="F9146" s="0" t="s">
        <v>90</v>
      </c>
      <c r="G9146" s="0" t="s">
        <v>36</v>
      </c>
      <c r="H9146" s="0" t="n">
        <v>103</v>
      </c>
      <c r="I9146" s="0" t="s">
        <v>30418</v>
      </c>
      <c r="J9146" s="0" t="s">
        <v>30419</v>
      </c>
      <c r="K9146" s="0" t="s">
        <v>30420</v>
      </c>
      <c r="L9146" s="0" t="str">
        <f aca="false">HYPERLINK("https://www.ncbi.nlm.nih.gov/nuccore/CP000058.1?report=graph&amp;tracks=[key:gene_model_track,Options:GeneOnly]&amp;mk=2875258:2875277|offset_35|444444,2875229:2875248|offset_64|444444,2875190:2875209|offset_103|00cc00,2875148:2875167|offset_145|444444&amp;v=2875057:2875367&amp;c=444444", "offset 103")</f>
        <v>offset 103</v>
      </c>
    </row>
    <row r="9147" customFormat="false" ht="12.8" hidden="false" customHeight="false" outlineLevel="0" collapsed="false">
      <c r="A9147" s="0" t="s">
        <v>12</v>
      </c>
      <c r="B9147" s="0" t="n">
        <v>2875147</v>
      </c>
      <c r="C9147" s="0" t="n">
        <v>2875167</v>
      </c>
      <c r="D9147" s="0" t="s">
        <v>30411</v>
      </c>
      <c r="E9147" s="0" t="s">
        <v>75</v>
      </c>
      <c r="F9147" s="0" t="s">
        <v>90</v>
      </c>
      <c r="G9147" s="0" t="s">
        <v>16</v>
      </c>
      <c r="H9147" s="0" t="n">
        <v>145</v>
      </c>
      <c r="I9147" s="0" t="s">
        <v>30421</v>
      </c>
      <c r="J9147" s="0" t="s">
        <v>30422</v>
      </c>
      <c r="K9147" s="0" t="s">
        <v>30423</v>
      </c>
      <c r="L9147" s="0" t="str">
        <f aca="false">HYPERLINK("https://www.ncbi.nlm.nih.gov/nuccore/CP000058.1?report=graph&amp;tracks=[key:gene_model_track,Options:GeneOnly]&amp;mk=2875258:2875277|offset_35|444444,2875229:2875248|offset_64|444444,2875190:2875209|offset_103|444444,2875148:2875167|offset_145|00cc00&amp;v=2875057:2875367&amp;c=444444", "offset 145")</f>
        <v>offset 145</v>
      </c>
    </row>
    <row r="9148" customFormat="false" ht="12.8" hidden="false" customHeight="false" outlineLevel="0" collapsed="false">
      <c r="A9148" s="0" t="s">
        <v>12</v>
      </c>
      <c r="B9148" s="0" t="n">
        <v>2875572</v>
      </c>
      <c r="C9148" s="0" t="n">
        <v>2875592</v>
      </c>
      <c r="D9148" s="0" t="s">
        <v>30424</v>
      </c>
      <c r="E9148" s="0" t="s">
        <v>75</v>
      </c>
      <c r="F9148" s="0" t="s">
        <v>15</v>
      </c>
      <c r="G9148" s="0" t="s">
        <v>32</v>
      </c>
      <c r="H9148" s="0" t="n">
        <v>37</v>
      </c>
      <c r="I9148" s="0" t="s">
        <v>30425</v>
      </c>
      <c r="J9148" s="0" t="s">
        <v>30426</v>
      </c>
      <c r="K9148" s="0" t="s">
        <v>30427</v>
      </c>
      <c r="L9148" s="0" t="str">
        <f aca="false">HYPERLINK("https://www.ncbi.nlm.nih.gov/nuccore/CP000058.1?report=graph&amp;tracks=[key:gene_model_track,Options:GeneOnly]&amp;mk=2875573:2875592|offset_37|00cc00,2875594:2875613|offset_58|444444,2875678:2875697|offset_142|444444,2875705:2875724|offset_169|444444&amp;v=2875372:2875924&amp;c=444444", "offset 37")</f>
        <v>offset 37</v>
      </c>
    </row>
    <row r="9149" customFormat="false" ht="12.8" hidden="false" customHeight="false" outlineLevel="0" collapsed="false">
      <c r="A9149" s="0" t="s">
        <v>12</v>
      </c>
      <c r="B9149" s="0" t="n">
        <v>2875593</v>
      </c>
      <c r="C9149" s="0" t="n">
        <v>2875613</v>
      </c>
      <c r="D9149" s="0" t="s">
        <v>30424</v>
      </c>
      <c r="E9149" s="0" t="s">
        <v>75</v>
      </c>
      <c r="F9149" s="0" t="s">
        <v>15</v>
      </c>
      <c r="G9149" s="0" t="s">
        <v>20</v>
      </c>
      <c r="H9149" s="0" t="n">
        <v>58</v>
      </c>
      <c r="I9149" s="0" t="s">
        <v>30428</v>
      </c>
      <c r="J9149" s="0" t="s">
        <v>30429</v>
      </c>
      <c r="K9149" s="0" t="s">
        <v>30430</v>
      </c>
      <c r="L9149" s="0" t="str">
        <f aca="false">HYPERLINK("https://www.ncbi.nlm.nih.gov/nuccore/CP000058.1?report=graph&amp;tracks=[key:gene_model_track,Options:GeneOnly]&amp;mk=2875573:2875592|offset_37|444444,2875594:2875613|offset_58|00cc00,2875678:2875697|offset_142|444444,2875705:2875724|offset_169|444444&amp;v=2875372:2875924&amp;c=444444", "offset 58")</f>
        <v>offset 58</v>
      </c>
    </row>
    <row r="9150" customFormat="false" ht="12.8" hidden="false" customHeight="false" outlineLevel="0" collapsed="false">
      <c r="A9150" s="0" t="s">
        <v>12</v>
      </c>
      <c r="B9150" s="0" t="n">
        <v>2875677</v>
      </c>
      <c r="C9150" s="0" t="n">
        <v>2875697</v>
      </c>
      <c r="D9150" s="0" t="s">
        <v>30424</v>
      </c>
      <c r="E9150" s="0" t="s">
        <v>75</v>
      </c>
      <c r="F9150" s="0" t="s">
        <v>15</v>
      </c>
      <c r="G9150" s="0" t="s">
        <v>16</v>
      </c>
      <c r="H9150" s="0" t="n">
        <v>142</v>
      </c>
      <c r="I9150" s="0" t="s">
        <v>30431</v>
      </c>
      <c r="J9150" s="0" t="s">
        <v>30432</v>
      </c>
      <c r="K9150" s="0" t="s">
        <v>30433</v>
      </c>
      <c r="L9150" s="0" t="str">
        <f aca="false">HYPERLINK("https://www.ncbi.nlm.nih.gov/nuccore/CP000058.1?report=graph&amp;tracks=[key:gene_model_track,Options:GeneOnly]&amp;mk=2875573:2875592|offset_37|444444,2875594:2875613|offset_58|444444,2875678:2875697|offset_142|00cc00,2875705:2875724|offset_169|444444&amp;v=2875372:2875924&amp;c=444444", "offset 142")</f>
        <v>offset 142</v>
      </c>
    </row>
    <row r="9151" customFormat="false" ht="12.8" hidden="false" customHeight="false" outlineLevel="0" collapsed="false">
      <c r="A9151" s="0" t="s">
        <v>12</v>
      </c>
      <c r="B9151" s="0" t="n">
        <v>2875704</v>
      </c>
      <c r="C9151" s="0" t="n">
        <v>2875724</v>
      </c>
      <c r="D9151" s="0" t="s">
        <v>30424</v>
      </c>
      <c r="E9151" s="0" t="s">
        <v>75</v>
      </c>
      <c r="F9151" s="0" t="s">
        <v>15</v>
      </c>
      <c r="G9151" s="0" t="s">
        <v>36</v>
      </c>
      <c r="H9151" s="0" t="n">
        <v>169</v>
      </c>
      <c r="I9151" s="0" t="s">
        <v>30434</v>
      </c>
      <c r="J9151" s="0" t="s">
        <v>30435</v>
      </c>
      <c r="K9151" s="0" t="s">
        <v>30436</v>
      </c>
      <c r="L9151" s="0" t="str">
        <f aca="false">HYPERLINK("https://www.ncbi.nlm.nih.gov/nuccore/CP000058.1?report=graph&amp;tracks=[key:gene_model_track,Options:GeneOnly]&amp;mk=2875573:2875592|offset_37|444444,2875594:2875613|offset_58|444444,2875678:2875697|offset_142|444444,2875705:2875724|offset_169|00cc00&amp;v=2875372:2875924&amp;c=444444", "offset 169")</f>
        <v>offset 169</v>
      </c>
    </row>
    <row r="9152" customFormat="false" ht="12.8" hidden="false" customHeight="false" outlineLevel="0" collapsed="false">
      <c r="A9152" s="0" t="s">
        <v>12</v>
      </c>
      <c r="B9152" s="0" t="n">
        <v>2878337</v>
      </c>
      <c r="C9152" s="0" t="n">
        <v>2878357</v>
      </c>
      <c r="D9152" s="0" t="s">
        <v>30437</v>
      </c>
      <c r="E9152" s="0" t="s">
        <v>75</v>
      </c>
      <c r="F9152" s="0" t="s">
        <v>90</v>
      </c>
      <c r="G9152" s="0" t="s">
        <v>20</v>
      </c>
      <c r="H9152" s="0" t="n">
        <v>56</v>
      </c>
      <c r="I9152" s="0" t="s">
        <v>30438</v>
      </c>
      <c r="J9152" s="0" t="s">
        <v>30439</v>
      </c>
      <c r="K9152" s="0" t="s">
        <v>30440</v>
      </c>
      <c r="L9152" s="0" t="str">
        <f aca="false">HYPERLINK("https://www.ncbi.nlm.nih.gov/nuccore/CP000058.1?report=graph&amp;tracks=[key:gene_model_track,Options:GeneOnly]&amp;mk=2878338:2878357|offset_56|00cc00,2878303:2878322|offset_91|444444,2878251:2878270|offset_143|444444,2878230:2878249|offset_164|444444&amp;v=2878137:2878449&amp;c=444444", "offset 56")</f>
        <v>offset 56</v>
      </c>
    </row>
    <row r="9153" customFormat="false" ht="12.8" hidden="false" customHeight="false" outlineLevel="0" collapsed="false">
      <c r="A9153" s="0" t="s">
        <v>12</v>
      </c>
      <c r="B9153" s="0" t="n">
        <v>2878302</v>
      </c>
      <c r="C9153" s="0" t="n">
        <v>2878322</v>
      </c>
      <c r="D9153" s="0" t="s">
        <v>30437</v>
      </c>
      <c r="E9153" s="0" t="s">
        <v>75</v>
      </c>
      <c r="F9153" s="0" t="s">
        <v>90</v>
      </c>
      <c r="G9153" s="0" t="s">
        <v>32</v>
      </c>
      <c r="H9153" s="0" t="n">
        <v>91</v>
      </c>
      <c r="I9153" s="0" t="s">
        <v>30441</v>
      </c>
      <c r="J9153" s="0" t="s">
        <v>30442</v>
      </c>
      <c r="K9153" s="0" t="s">
        <v>30443</v>
      </c>
      <c r="L9153" s="0" t="str">
        <f aca="false">HYPERLINK("https://www.ncbi.nlm.nih.gov/nuccore/CP000058.1?report=graph&amp;tracks=[key:gene_model_track,Options:GeneOnly]&amp;mk=2878338:2878357|offset_56|444444,2878303:2878322|offset_91|00cc00,2878251:2878270|offset_143|444444,2878230:2878249|offset_164|444444&amp;v=2878137:2878449&amp;c=444444", "offset 91")</f>
        <v>offset 91</v>
      </c>
    </row>
    <row r="9154" customFormat="false" ht="12.8" hidden="false" customHeight="false" outlineLevel="0" collapsed="false">
      <c r="A9154" s="0" t="s">
        <v>12</v>
      </c>
      <c r="B9154" s="0" t="n">
        <v>2878250</v>
      </c>
      <c r="C9154" s="0" t="n">
        <v>2878270</v>
      </c>
      <c r="D9154" s="0" t="s">
        <v>30437</v>
      </c>
      <c r="E9154" s="0" t="s">
        <v>75</v>
      </c>
      <c r="F9154" s="0" t="s">
        <v>90</v>
      </c>
      <c r="G9154" s="0" t="s">
        <v>20</v>
      </c>
      <c r="H9154" s="0" t="n">
        <v>143</v>
      </c>
      <c r="I9154" s="0" t="s">
        <v>30444</v>
      </c>
      <c r="J9154" s="0" t="s">
        <v>30445</v>
      </c>
      <c r="K9154" s="0" t="s">
        <v>30446</v>
      </c>
      <c r="L9154" s="0" t="str">
        <f aca="false">HYPERLINK("https://www.ncbi.nlm.nih.gov/nuccore/CP000058.1?report=graph&amp;tracks=[key:gene_model_track,Options:GeneOnly]&amp;mk=2878338:2878357|offset_56|444444,2878303:2878322|offset_91|444444,2878251:2878270|offset_143|00cc00,2878230:2878249|offset_164|444444&amp;v=2878137:2878449&amp;c=444444", "offset 143")</f>
        <v>offset 143</v>
      </c>
    </row>
    <row r="9155" customFormat="false" ht="12.8" hidden="false" customHeight="false" outlineLevel="0" collapsed="false">
      <c r="A9155" s="0" t="s">
        <v>12</v>
      </c>
      <c r="B9155" s="0" t="n">
        <v>2878229</v>
      </c>
      <c r="C9155" s="0" t="n">
        <v>2878249</v>
      </c>
      <c r="D9155" s="0" t="s">
        <v>30437</v>
      </c>
      <c r="E9155" s="0" t="s">
        <v>75</v>
      </c>
      <c r="F9155" s="0" t="s">
        <v>90</v>
      </c>
      <c r="G9155" s="0" t="s">
        <v>16</v>
      </c>
      <c r="H9155" s="0" t="n">
        <v>164</v>
      </c>
      <c r="I9155" s="0" t="s">
        <v>30447</v>
      </c>
      <c r="J9155" s="0" t="s">
        <v>30448</v>
      </c>
      <c r="K9155" s="0" t="s">
        <v>30449</v>
      </c>
      <c r="L9155" s="0" t="str">
        <f aca="false">HYPERLINK("https://www.ncbi.nlm.nih.gov/nuccore/CP000058.1?report=graph&amp;tracks=[key:gene_model_track,Options:GeneOnly]&amp;mk=2878338:2878357|offset_56|444444,2878303:2878322|offset_91|444444,2878251:2878270|offset_143|444444,2878230:2878249|offset_164|00cc00&amp;v=2878137:2878449&amp;c=444444", "offset 164")</f>
        <v>offset 164</v>
      </c>
    </row>
    <row r="9156" customFormat="false" ht="12.8" hidden="false" customHeight="false" outlineLevel="0" collapsed="false">
      <c r="A9156" s="0" t="s">
        <v>12</v>
      </c>
      <c r="B9156" s="0" t="n">
        <v>2878523</v>
      </c>
      <c r="C9156" s="0" t="n">
        <v>2878543</v>
      </c>
      <c r="D9156" s="0" t="s">
        <v>30450</v>
      </c>
      <c r="E9156" s="0" t="s">
        <v>30451</v>
      </c>
      <c r="F9156" s="0" t="s">
        <v>15</v>
      </c>
      <c r="G9156" s="0" t="s">
        <v>32</v>
      </c>
      <c r="H9156" s="0" t="n">
        <v>7</v>
      </c>
      <c r="I9156" s="0" t="s">
        <v>30452</v>
      </c>
      <c r="J9156" s="0" t="s">
        <v>30453</v>
      </c>
      <c r="K9156" s="0" t="s">
        <v>30454</v>
      </c>
      <c r="L9156" s="0" t="str">
        <f aca="false">HYPERLINK("https://www.ncbi.nlm.nih.gov/nuccore/CP000058.1?report=graph&amp;tracks=[key:gene_model_track,Options:GeneOnly]&amp;mk=2878524:2878543|offset_7|00cc00,2878549:2878568|offset_32|444444,2878572:2878591|offset_55|444444,2878600:2878619|offset_83|444444&amp;v=2878323:2878819&amp;c=444444", "offset 7")</f>
        <v>offset 7</v>
      </c>
    </row>
    <row r="9157" customFormat="false" ht="12.8" hidden="false" customHeight="false" outlineLevel="0" collapsed="false">
      <c r="A9157" s="0" t="s">
        <v>12</v>
      </c>
      <c r="B9157" s="0" t="n">
        <v>2878548</v>
      </c>
      <c r="C9157" s="0" t="n">
        <v>2878568</v>
      </c>
      <c r="D9157" s="0" t="s">
        <v>30450</v>
      </c>
      <c r="E9157" s="0" t="s">
        <v>30451</v>
      </c>
      <c r="F9157" s="0" t="s">
        <v>15</v>
      </c>
      <c r="G9157" s="0" t="s">
        <v>32</v>
      </c>
      <c r="H9157" s="0" t="n">
        <v>32</v>
      </c>
      <c r="I9157" s="0" t="s">
        <v>30455</v>
      </c>
      <c r="J9157" s="0" t="s">
        <v>30456</v>
      </c>
      <c r="K9157" s="0" t="s">
        <v>30457</v>
      </c>
      <c r="L9157" s="0" t="str">
        <f aca="false">HYPERLINK("https://www.ncbi.nlm.nih.gov/nuccore/CP000058.1?report=graph&amp;tracks=[key:gene_model_track,Options:GeneOnly]&amp;mk=2878524:2878543|offset_7|444444,2878549:2878568|offset_32|00cc00,2878572:2878591|offset_55|444444,2878600:2878619|offset_83|444444&amp;v=2878323:2878819&amp;c=444444", "offset 32")</f>
        <v>offset 32</v>
      </c>
    </row>
    <row r="9158" customFormat="false" ht="12.8" hidden="false" customHeight="false" outlineLevel="0" collapsed="false">
      <c r="A9158" s="0" t="s">
        <v>12</v>
      </c>
      <c r="B9158" s="0" t="n">
        <v>2878571</v>
      </c>
      <c r="C9158" s="0" t="n">
        <v>2878591</v>
      </c>
      <c r="D9158" s="0" t="s">
        <v>30450</v>
      </c>
      <c r="E9158" s="0" t="s">
        <v>30451</v>
      </c>
      <c r="F9158" s="0" t="s">
        <v>15</v>
      </c>
      <c r="G9158" s="0" t="s">
        <v>36</v>
      </c>
      <c r="H9158" s="0" t="n">
        <v>55</v>
      </c>
      <c r="I9158" s="0" t="s">
        <v>30458</v>
      </c>
      <c r="J9158" s="0" t="s">
        <v>30459</v>
      </c>
      <c r="K9158" s="0" t="s">
        <v>30460</v>
      </c>
      <c r="L9158" s="0" t="str">
        <f aca="false">HYPERLINK("https://www.ncbi.nlm.nih.gov/nuccore/CP000058.1?report=graph&amp;tracks=[key:gene_model_track,Options:GeneOnly]&amp;mk=2878524:2878543|offset_7|444444,2878549:2878568|offset_32|444444,2878572:2878591|offset_55|00cc00,2878600:2878619|offset_83|444444&amp;v=2878323:2878819&amp;c=444444", "offset 55")</f>
        <v>offset 55</v>
      </c>
    </row>
    <row r="9159" customFormat="false" ht="12.8" hidden="false" customHeight="false" outlineLevel="0" collapsed="false">
      <c r="A9159" s="0" t="s">
        <v>12</v>
      </c>
      <c r="B9159" s="0" t="n">
        <v>2878599</v>
      </c>
      <c r="C9159" s="0" t="n">
        <v>2878619</v>
      </c>
      <c r="D9159" s="0" t="s">
        <v>30450</v>
      </c>
      <c r="E9159" s="0" t="s">
        <v>30451</v>
      </c>
      <c r="F9159" s="0" t="s">
        <v>15</v>
      </c>
      <c r="G9159" s="0" t="s">
        <v>32</v>
      </c>
      <c r="H9159" s="0" t="n">
        <v>83</v>
      </c>
      <c r="I9159" s="0" t="s">
        <v>30461</v>
      </c>
      <c r="J9159" s="0" t="s">
        <v>30462</v>
      </c>
      <c r="K9159" s="0" t="s">
        <v>30463</v>
      </c>
      <c r="L9159" s="0" t="str">
        <f aca="false">HYPERLINK("https://www.ncbi.nlm.nih.gov/nuccore/CP000058.1?report=graph&amp;tracks=[key:gene_model_track,Options:GeneOnly]&amp;mk=2878524:2878543|offset_7|444444,2878549:2878568|offset_32|444444,2878572:2878591|offset_55|444444,2878600:2878619|offset_83|00cc00&amp;v=2878323:2878819&amp;c=444444", "offset 83")</f>
        <v>offset 83</v>
      </c>
    </row>
    <row r="9160" customFormat="false" ht="12.8" hidden="false" customHeight="false" outlineLevel="0" collapsed="false">
      <c r="A9160" s="0" t="s">
        <v>12</v>
      </c>
      <c r="B9160" s="0" t="n">
        <v>2879844</v>
      </c>
      <c r="C9160" s="0" t="n">
        <v>2879864</v>
      </c>
      <c r="D9160" s="0" t="s">
        <v>30464</v>
      </c>
      <c r="E9160" s="0" t="s">
        <v>75</v>
      </c>
      <c r="F9160" s="0" t="s">
        <v>15</v>
      </c>
      <c r="G9160" s="0" t="s">
        <v>32</v>
      </c>
      <c r="H9160" s="0" t="n">
        <v>1</v>
      </c>
      <c r="I9160" s="0" t="s">
        <v>30465</v>
      </c>
      <c r="J9160" s="0" t="s">
        <v>30466</v>
      </c>
      <c r="K9160" s="0" t="s">
        <v>30467</v>
      </c>
      <c r="L9160" s="0" t="str">
        <f aca="false">HYPERLINK("https://www.ncbi.nlm.nih.gov/nuccore/CP000058.1?report=graph&amp;tracks=[key:gene_model_track,Options:GeneOnly]&amp;mk=2879845:2879864|offset_1|00cc00,2879866:2879885|offset_22|444444,2879890:2879909|offset_46|444444,2879921:2879940|offset_77|444444&amp;v=2879644:2880140&amp;c=444444", "offset 1")</f>
        <v>offset 1</v>
      </c>
    </row>
    <row r="9161" customFormat="false" ht="12.8" hidden="false" customHeight="false" outlineLevel="0" collapsed="false">
      <c r="A9161" s="0" t="s">
        <v>12</v>
      </c>
      <c r="B9161" s="0" t="n">
        <v>2879865</v>
      </c>
      <c r="C9161" s="0" t="n">
        <v>2879885</v>
      </c>
      <c r="D9161" s="0" t="s">
        <v>30464</v>
      </c>
      <c r="E9161" s="0" t="s">
        <v>75</v>
      </c>
      <c r="F9161" s="0" t="s">
        <v>15</v>
      </c>
      <c r="G9161" s="0" t="s">
        <v>36</v>
      </c>
      <c r="H9161" s="0" t="n">
        <v>22</v>
      </c>
      <c r="I9161" s="0" t="s">
        <v>30468</v>
      </c>
      <c r="J9161" s="0" t="s">
        <v>30469</v>
      </c>
      <c r="K9161" s="0" t="s">
        <v>30470</v>
      </c>
      <c r="L9161" s="0" t="str">
        <f aca="false">HYPERLINK("https://www.ncbi.nlm.nih.gov/nuccore/CP000058.1?report=graph&amp;tracks=[key:gene_model_track,Options:GeneOnly]&amp;mk=2879845:2879864|offset_1|444444,2879866:2879885|offset_22|00cc00,2879890:2879909|offset_46|444444,2879921:2879940|offset_77|444444&amp;v=2879644:2880140&amp;c=444444", "offset 22")</f>
        <v>offset 22</v>
      </c>
    </row>
    <row r="9162" customFormat="false" ht="12.8" hidden="false" customHeight="false" outlineLevel="0" collapsed="false">
      <c r="A9162" s="0" t="s">
        <v>12</v>
      </c>
      <c r="B9162" s="0" t="n">
        <v>2879889</v>
      </c>
      <c r="C9162" s="0" t="n">
        <v>2879909</v>
      </c>
      <c r="D9162" s="0" t="s">
        <v>30464</v>
      </c>
      <c r="E9162" s="0" t="s">
        <v>75</v>
      </c>
      <c r="F9162" s="0" t="s">
        <v>15</v>
      </c>
      <c r="G9162" s="0" t="s">
        <v>16</v>
      </c>
      <c r="H9162" s="0" t="n">
        <v>46</v>
      </c>
      <c r="I9162" s="0" t="s">
        <v>30471</v>
      </c>
      <c r="J9162" s="0" t="s">
        <v>30472</v>
      </c>
      <c r="K9162" s="0" t="s">
        <v>30473</v>
      </c>
      <c r="L9162" s="0" t="str">
        <f aca="false">HYPERLINK("https://www.ncbi.nlm.nih.gov/nuccore/CP000058.1?report=graph&amp;tracks=[key:gene_model_track,Options:GeneOnly]&amp;mk=2879845:2879864|offset_1|444444,2879866:2879885|offset_22|444444,2879890:2879909|offset_46|00cc00,2879921:2879940|offset_77|444444&amp;v=2879644:2880140&amp;c=444444", "offset 46")</f>
        <v>offset 46</v>
      </c>
    </row>
    <row r="9163" customFormat="false" ht="12.8" hidden="false" customHeight="false" outlineLevel="0" collapsed="false">
      <c r="A9163" s="0" t="s">
        <v>12</v>
      </c>
      <c r="B9163" s="0" t="n">
        <v>2879920</v>
      </c>
      <c r="C9163" s="0" t="n">
        <v>2879940</v>
      </c>
      <c r="D9163" s="0" t="s">
        <v>30464</v>
      </c>
      <c r="E9163" s="0" t="s">
        <v>75</v>
      </c>
      <c r="F9163" s="0" t="s">
        <v>15</v>
      </c>
      <c r="G9163" s="0" t="s">
        <v>36</v>
      </c>
      <c r="H9163" s="0" t="n">
        <v>77</v>
      </c>
      <c r="I9163" s="0" t="s">
        <v>30474</v>
      </c>
      <c r="J9163" s="0" t="s">
        <v>30475</v>
      </c>
      <c r="K9163" s="0" t="s">
        <v>30476</v>
      </c>
      <c r="L9163" s="0" t="str">
        <f aca="false">HYPERLINK("https://www.ncbi.nlm.nih.gov/nuccore/CP000058.1?report=graph&amp;tracks=[key:gene_model_track,Options:GeneOnly]&amp;mk=2879845:2879864|offset_1|444444,2879866:2879885|offset_22|444444,2879890:2879909|offset_46|444444,2879921:2879940|offset_77|00cc00&amp;v=2879644:2880140&amp;c=444444", "offset 77")</f>
        <v>offset 77</v>
      </c>
    </row>
    <row r="9164" customFormat="false" ht="12.8" hidden="false" customHeight="false" outlineLevel="0" collapsed="false">
      <c r="A9164" s="0" t="s">
        <v>12</v>
      </c>
      <c r="B9164" s="0" t="n">
        <v>2880862</v>
      </c>
      <c r="C9164" s="0" t="n">
        <v>2880882</v>
      </c>
      <c r="D9164" s="0" t="s">
        <v>30477</v>
      </c>
      <c r="E9164" s="0" t="s">
        <v>75</v>
      </c>
      <c r="F9164" s="0" t="s">
        <v>90</v>
      </c>
      <c r="G9164" s="0" t="s">
        <v>32</v>
      </c>
      <c r="H9164" s="0" t="n">
        <v>1</v>
      </c>
      <c r="I9164" s="0" t="s">
        <v>30478</v>
      </c>
      <c r="J9164" s="0" t="s">
        <v>30479</v>
      </c>
      <c r="K9164" s="0" t="s">
        <v>30480</v>
      </c>
      <c r="L9164" s="0" t="str">
        <f aca="false">HYPERLINK("https://www.ncbi.nlm.nih.gov/nuccore/CP000058.1?report=graph&amp;tracks=[key:gene_model_track,Options:GeneOnly]&amp;mk=2880863:2880882|offset_1|00cc00,2880826:2880845|offset_38|444444,2880803:2880822|offset_61|444444,2880735:2880754|offset_129|444444&amp;v=2880662:2880954&amp;c=444444", "offset 1")</f>
        <v>offset 1</v>
      </c>
    </row>
    <row r="9165" customFormat="false" ht="12.8" hidden="false" customHeight="false" outlineLevel="0" collapsed="false">
      <c r="A9165" s="0" t="s">
        <v>12</v>
      </c>
      <c r="B9165" s="0" t="n">
        <v>2880825</v>
      </c>
      <c r="C9165" s="0" t="n">
        <v>2880845</v>
      </c>
      <c r="D9165" s="0" t="s">
        <v>30477</v>
      </c>
      <c r="E9165" s="0" t="s">
        <v>75</v>
      </c>
      <c r="F9165" s="0" t="s">
        <v>90</v>
      </c>
      <c r="G9165" s="0" t="s">
        <v>20</v>
      </c>
      <c r="H9165" s="0" t="n">
        <v>38</v>
      </c>
      <c r="I9165" s="0" t="s">
        <v>30481</v>
      </c>
      <c r="J9165" s="0" t="s">
        <v>30482</v>
      </c>
      <c r="K9165" s="0" t="s">
        <v>30483</v>
      </c>
      <c r="L9165" s="0" t="str">
        <f aca="false">HYPERLINK("https://www.ncbi.nlm.nih.gov/nuccore/CP000058.1?report=graph&amp;tracks=[key:gene_model_track,Options:GeneOnly]&amp;mk=2880863:2880882|offset_1|444444,2880826:2880845|offset_38|00cc00,2880803:2880822|offset_61|444444,2880735:2880754|offset_129|444444&amp;v=2880662:2880954&amp;c=444444", "offset 38")</f>
        <v>offset 38</v>
      </c>
    </row>
    <row r="9166" customFormat="false" ht="12.8" hidden="false" customHeight="false" outlineLevel="0" collapsed="false">
      <c r="A9166" s="0" t="s">
        <v>12</v>
      </c>
      <c r="B9166" s="0" t="n">
        <v>2880802</v>
      </c>
      <c r="C9166" s="0" t="n">
        <v>2880822</v>
      </c>
      <c r="D9166" s="0" t="s">
        <v>30477</v>
      </c>
      <c r="E9166" s="0" t="s">
        <v>75</v>
      </c>
      <c r="F9166" s="0" t="s">
        <v>90</v>
      </c>
      <c r="G9166" s="0" t="s">
        <v>32</v>
      </c>
      <c r="H9166" s="0" t="n">
        <v>61</v>
      </c>
      <c r="I9166" s="0" t="s">
        <v>30484</v>
      </c>
      <c r="J9166" s="0" t="s">
        <v>30485</v>
      </c>
      <c r="K9166" s="0" t="s">
        <v>30486</v>
      </c>
      <c r="L9166" s="0" t="str">
        <f aca="false">HYPERLINK("https://www.ncbi.nlm.nih.gov/nuccore/CP000058.1?report=graph&amp;tracks=[key:gene_model_track,Options:GeneOnly]&amp;mk=2880863:2880882|offset_1|444444,2880826:2880845|offset_38|444444,2880803:2880822|offset_61|00cc00,2880735:2880754|offset_129|444444&amp;v=2880662:2880954&amp;c=444444", "offset 61")</f>
        <v>offset 61</v>
      </c>
    </row>
    <row r="9167" customFormat="false" ht="12.8" hidden="false" customHeight="false" outlineLevel="0" collapsed="false">
      <c r="A9167" s="0" t="s">
        <v>12</v>
      </c>
      <c r="B9167" s="0" t="n">
        <v>2880734</v>
      </c>
      <c r="C9167" s="0" t="n">
        <v>2880754</v>
      </c>
      <c r="D9167" s="0" t="s">
        <v>30477</v>
      </c>
      <c r="E9167" s="0" t="s">
        <v>75</v>
      </c>
      <c r="F9167" s="0" t="s">
        <v>90</v>
      </c>
      <c r="G9167" s="0" t="s">
        <v>16</v>
      </c>
      <c r="H9167" s="0" t="n">
        <v>129</v>
      </c>
      <c r="I9167" s="0" t="s">
        <v>30487</v>
      </c>
      <c r="J9167" s="0" t="s">
        <v>30488</v>
      </c>
      <c r="K9167" s="0" t="s">
        <v>30489</v>
      </c>
      <c r="L9167" s="0" t="str">
        <f aca="false">HYPERLINK("https://www.ncbi.nlm.nih.gov/nuccore/CP000058.1?report=graph&amp;tracks=[key:gene_model_track,Options:GeneOnly]&amp;mk=2880863:2880882|offset_1|444444,2880826:2880845|offset_38|444444,2880803:2880822|offset_61|444444,2880735:2880754|offset_129|00cc00&amp;v=2880662:2880954&amp;c=444444", "offset 129")</f>
        <v>offset 129</v>
      </c>
    </row>
    <row r="9168" customFormat="false" ht="12.8" hidden="false" customHeight="false" outlineLevel="0" collapsed="false">
      <c r="A9168" s="0" t="s">
        <v>12</v>
      </c>
      <c r="B9168" s="0" t="n">
        <v>2881131</v>
      </c>
      <c r="C9168" s="0" t="n">
        <v>2881151</v>
      </c>
      <c r="D9168" s="0" t="s">
        <v>30490</v>
      </c>
      <c r="E9168" s="0" t="s">
        <v>30491</v>
      </c>
      <c r="F9168" s="0" t="s">
        <v>15</v>
      </c>
      <c r="G9168" s="0" t="s">
        <v>20</v>
      </c>
      <c r="H9168" s="0" t="n">
        <v>26</v>
      </c>
      <c r="I9168" s="0" t="s">
        <v>30492</v>
      </c>
      <c r="J9168" s="0" t="s">
        <v>30493</v>
      </c>
      <c r="K9168" s="0" t="s">
        <v>30494</v>
      </c>
      <c r="L9168" s="0" t="str">
        <f aca="false">HYPERLINK("https://www.ncbi.nlm.nih.gov/nuccore/CP000058.1?report=graph&amp;tracks=[key:gene_model_track,Options:GeneOnly]&amp;mk=2881132:2881151|offset_26|00cc00,2881157:2881176|offset_51|444444,2881188:2881207|offset_82|444444,2881216:2881235|offset_110|444444&amp;v=2880931:2881435&amp;c=444444", "offset 26")</f>
        <v>offset 26</v>
      </c>
    </row>
    <row r="9169" customFormat="false" ht="12.8" hidden="false" customHeight="false" outlineLevel="0" collapsed="false">
      <c r="A9169" s="0" t="s">
        <v>12</v>
      </c>
      <c r="B9169" s="0" t="n">
        <v>2881156</v>
      </c>
      <c r="C9169" s="0" t="n">
        <v>2881176</v>
      </c>
      <c r="D9169" s="0" t="s">
        <v>30490</v>
      </c>
      <c r="E9169" s="0" t="s">
        <v>30491</v>
      </c>
      <c r="F9169" s="0" t="s">
        <v>15</v>
      </c>
      <c r="G9169" s="0" t="s">
        <v>36</v>
      </c>
      <c r="H9169" s="0" t="n">
        <v>51</v>
      </c>
      <c r="I9169" s="0" t="s">
        <v>30495</v>
      </c>
      <c r="J9169" s="0" t="s">
        <v>30496</v>
      </c>
      <c r="K9169" s="0" t="s">
        <v>30497</v>
      </c>
      <c r="L9169" s="0" t="str">
        <f aca="false">HYPERLINK("https://www.ncbi.nlm.nih.gov/nuccore/CP000058.1?report=graph&amp;tracks=[key:gene_model_track,Options:GeneOnly]&amp;mk=2881132:2881151|offset_26|444444,2881157:2881176|offset_51|00cc00,2881188:2881207|offset_82|444444,2881216:2881235|offset_110|444444&amp;v=2880931:2881435&amp;c=444444", "offset 51")</f>
        <v>offset 51</v>
      </c>
    </row>
    <row r="9170" customFormat="false" ht="12.8" hidden="false" customHeight="false" outlineLevel="0" collapsed="false">
      <c r="A9170" s="0" t="s">
        <v>12</v>
      </c>
      <c r="B9170" s="0" t="n">
        <v>2881187</v>
      </c>
      <c r="C9170" s="0" t="n">
        <v>2881207</v>
      </c>
      <c r="D9170" s="0" t="s">
        <v>30490</v>
      </c>
      <c r="E9170" s="0" t="s">
        <v>30491</v>
      </c>
      <c r="F9170" s="0" t="s">
        <v>15</v>
      </c>
      <c r="G9170" s="0" t="s">
        <v>32</v>
      </c>
      <c r="H9170" s="0" t="n">
        <v>82</v>
      </c>
      <c r="I9170" s="0" t="s">
        <v>30498</v>
      </c>
      <c r="J9170" s="0" t="s">
        <v>30499</v>
      </c>
      <c r="K9170" s="0" t="s">
        <v>30500</v>
      </c>
      <c r="L9170" s="0" t="str">
        <f aca="false">HYPERLINK("https://www.ncbi.nlm.nih.gov/nuccore/CP000058.1?report=graph&amp;tracks=[key:gene_model_track,Options:GeneOnly]&amp;mk=2881132:2881151|offset_26|444444,2881157:2881176|offset_51|444444,2881188:2881207|offset_82|00cc00,2881216:2881235|offset_110|444444&amp;v=2880931:2881435&amp;c=444444", "offset 82")</f>
        <v>offset 82</v>
      </c>
    </row>
    <row r="9171" customFormat="false" ht="12.8" hidden="false" customHeight="false" outlineLevel="0" collapsed="false">
      <c r="A9171" s="0" t="s">
        <v>12</v>
      </c>
      <c r="B9171" s="0" t="n">
        <v>2881215</v>
      </c>
      <c r="C9171" s="0" t="n">
        <v>2881235</v>
      </c>
      <c r="D9171" s="0" t="s">
        <v>30490</v>
      </c>
      <c r="E9171" s="0" t="s">
        <v>30491</v>
      </c>
      <c r="F9171" s="0" t="s">
        <v>15</v>
      </c>
      <c r="G9171" s="0" t="s">
        <v>20</v>
      </c>
      <c r="H9171" s="0" t="n">
        <v>110</v>
      </c>
      <c r="I9171" s="0" t="s">
        <v>30501</v>
      </c>
      <c r="J9171" s="0" t="s">
        <v>30502</v>
      </c>
      <c r="K9171" s="0" t="s">
        <v>30503</v>
      </c>
      <c r="L9171" s="0" t="str">
        <f aca="false">HYPERLINK("https://www.ncbi.nlm.nih.gov/nuccore/CP000058.1?report=graph&amp;tracks=[key:gene_model_track,Options:GeneOnly]&amp;mk=2881132:2881151|offset_26|444444,2881157:2881176|offset_51|444444,2881188:2881207|offset_82|444444,2881216:2881235|offset_110|00cc00&amp;v=2880931:2881435&amp;c=444444", "offset 110")</f>
        <v>offset 110</v>
      </c>
    </row>
    <row r="9172" customFormat="false" ht="12.8" hidden="false" customHeight="false" outlineLevel="0" collapsed="false">
      <c r="A9172" s="0" t="s">
        <v>12</v>
      </c>
      <c r="B9172" s="0" t="n">
        <v>2884272</v>
      </c>
      <c r="C9172" s="0" t="n">
        <v>2884292</v>
      </c>
      <c r="D9172" s="0" t="s">
        <v>30504</v>
      </c>
      <c r="E9172" s="0" t="s">
        <v>75</v>
      </c>
      <c r="F9172" s="0" t="s">
        <v>90</v>
      </c>
      <c r="G9172" s="0" t="s">
        <v>20</v>
      </c>
      <c r="H9172" s="0" t="n">
        <v>19</v>
      </c>
      <c r="I9172" s="0" t="s">
        <v>30505</v>
      </c>
      <c r="J9172" s="0" t="s">
        <v>30506</v>
      </c>
      <c r="K9172" s="0" t="s">
        <v>30507</v>
      </c>
      <c r="L9172" s="0" t="str">
        <f aca="false">HYPERLINK("https://www.ncbi.nlm.nih.gov/nuccore/CP000058.1?report=graph&amp;tracks=[key:gene_model_track,Options:GeneOnly]&amp;mk=2884273:2884292|offset_19|00cc00,2884237:2884256|offset_55|444444,2884213:2884232|offset_79|444444,2884189:2884208|offset_103|444444&amp;v=2884072:2884408&amp;c=444444", "offset 19")</f>
        <v>offset 19</v>
      </c>
    </row>
    <row r="9173" customFormat="false" ht="12.8" hidden="false" customHeight="false" outlineLevel="0" collapsed="false">
      <c r="A9173" s="0" t="s">
        <v>12</v>
      </c>
      <c r="B9173" s="0" t="n">
        <v>2884236</v>
      </c>
      <c r="C9173" s="0" t="n">
        <v>2884256</v>
      </c>
      <c r="D9173" s="0" t="s">
        <v>30504</v>
      </c>
      <c r="E9173" s="0" t="s">
        <v>75</v>
      </c>
      <c r="F9173" s="0" t="s">
        <v>90</v>
      </c>
      <c r="G9173" s="0" t="s">
        <v>16</v>
      </c>
      <c r="H9173" s="0" t="n">
        <v>55</v>
      </c>
      <c r="I9173" s="0" t="s">
        <v>30508</v>
      </c>
      <c r="J9173" s="0" t="s">
        <v>30509</v>
      </c>
      <c r="K9173" s="0" t="s">
        <v>30510</v>
      </c>
      <c r="L9173" s="0" t="str">
        <f aca="false">HYPERLINK("https://www.ncbi.nlm.nih.gov/nuccore/CP000058.1?report=graph&amp;tracks=[key:gene_model_track,Options:GeneOnly]&amp;mk=2884273:2884292|offset_19|444444,2884237:2884256|offset_55|00cc00,2884213:2884232|offset_79|444444,2884189:2884208|offset_103|444444&amp;v=2884072:2884408&amp;c=444444", "offset 55")</f>
        <v>offset 55</v>
      </c>
    </row>
    <row r="9174" customFormat="false" ht="12.8" hidden="false" customHeight="false" outlineLevel="0" collapsed="false">
      <c r="A9174" s="0" t="s">
        <v>12</v>
      </c>
      <c r="B9174" s="0" t="n">
        <v>2884212</v>
      </c>
      <c r="C9174" s="0" t="n">
        <v>2884232</v>
      </c>
      <c r="D9174" s="0" t="s">
        <v>30504</v>
      </c>
      <c r="E9174" s="0" t="s">
        <v>75</v>
      </c>
      <c r="F9174" s="0" t="s">
        <v>90</v>
      </c>
      <c r="G9174" s="0" t="s">
        <v>16</v>
      </c>
      <c r="H9174" s="0" t="n">
        <v>79</v>
      </c>
      <c r="I9174" s="0" t="s">
        <v>30511</v>
      </c>
      <c r="J9174" s="0" t="s">
        <v>30512</v>
      </c>
      <c r="K9174" s="0" t="s">
        <v>30513</v>
      </c>
      <c r="L9174" s="0" t="str">
        <f aca="false">HYPERLINK("https://www.ncbi.nlm.nih.gov/nuccore/CP000058.1?report=graph&amp;tracks=[key:gene_model_track,Options:GeneOnly]&amp;mk=2884273:2884292|offset_19|444444,2884237:2884256|offset_55|444444,2884213:2884232|offset_79|00cc00,2884189:2884208|offset_103|444444&amp;v=2884072:2884408&amp;c=444444", "offset 79")</f>
        <v>offset 79</v>
      </c>
    </row>
    <row r="9175" customFormat="false" ht="12.8" hidden="false" customHeight="false" outlineLevel="0" collapsed="false">
      <c r="A9175" s="0" t="s">
        <v>12</v>
      </c>
      <c r="B9175" s="0" t="n">
        <v>2884188</v>
      </c>
      <c r="C9175" s="0" t="n">
        <v>2884208</v>
      </c>
      <c r="D9175" s="0" t="s">
        <v>30504</v>
      </c>
      <c r="E9175" s="0" t="s">
        <v>75</v>
      </c>
      <c r="F9175" s="0" t="s">
        <v>90</v>
      </c>
      <c r="G9175" s="0" t="s">
        <v>16</v>
      </c>
      <c r="H9175" s="0" t="n">
        <v>103</v>
      </c>
      <c r="I9175" s="0" t="s">
        <v>30514</v>
      </c>
      <c r="J9175" s="0" t="s">
        <v>30515</v>
      </c>
      <c r="K9175" s="0" t="s">
        <v>30516</v>
      </c>
      <c r="L9175" s="0" t="str">
        <f aca="false">HYPERLINK("https://www.ncbi.nlm.nih.gov/nuccore/CP000058.1?report=graph&amp;tracks=[key:gene_model_track,Options:GeneOnly]&amp;mk=2884273:2884292|offset_19|444444,2884237:2884256|offset_55|444444,2884213:2884232|offset_79|444444,2884189:2884208|offset_103|00cc00&amp;v=2884072:2884408&amp;c=444444", "offset 103")</f>
        <v>offset 103</v>
      </c>
    </row>
    <row r="9176" customFormat="false" ht="12.8" hidden="false" customHeight="false" outlineLevel="0" collapsed="false">
      <c r="A9176" s="0" t="s">
        <v>12</v>
      </c>
      <c r="B9176" s="0" t="n">
        <v>2884524</v>
      </c>
      <c r="C9176" s="0" t="n">
        <v>2884544</v>
      </c>
      <c r="D9176" s="0" t="s">
        <v>30517</v>
      </c>
      <c r="E9176" s="0" t="s">
        <v>75</v>
      </c>
      <c r="F9176" s="0" t="s">
        <v>15</v>
      </c>
      <c r="G9176" s="0" t="s">
        <v>20</v>
      </c>
      <c r="H9176" s="0" t="n">
        <v>48</v>
      </c>
      <c r="I9176" s="0" t="s">
        <v>30518</v>
      </c>
      <c r="J9176" s="0" t="s">
        <v>30519</v>
      </c>
      <c r="K9176" s="0" t="s">
        <v>30520</v>
      </c>
      <c r="L9176" s="0" t="str">
        <f aca="false">HYPERLINK("https://www.ncbi.nlm.nih.gov/nuccore/CP000058.1?report=graph&amp;tracks=[key:gene_model_track,Options:GeneOnly]&amp;mk=2884525:2884544|offset_48|00cc00,2884589:2884608|offset_112|444444,2884611:2884630|offset_134|444444,2884639:2884658|offset_162|444444&amp;v=2884324:2884858&amp;c=444444", "offset 48")</f>
        <v>offset 48</v>
      </c>
    </row>
    <row r="9177" customFormat="false" ht="12.8" hidden="false" customHeight="false" outlineLevel="0" collapsed="false">
      <c r="A9177" s="0" t="s">
        <v>12</v>
      </c>
      <c r="B9177" s="0" t="n">
        <v>2884588</v>
      </c>
      <c r="C9177" s="0" t="n">
        <v>2884608</v>
      </c>
      <c r="D9177" s="0" t="s">
        <v>30517</v>
      </c>
      <c r="E9177" s="0" t="s">
        <v>75</v>
      </c>
      <c r="F9177" s="0" t="s">
        <v>15</v>
      </c>
      <c r="G9177" s="0" t="s">
        <v>16</v>
      </c>
      <c r="H9177" s="0" t="n">
        <v>112</v>
      </c>
      <c r="I9177" s="0" t="s">
        <v>30521</v>
      </c>
      <c r="J9177" s="0" t="s">
        <v>30522</v>
      </c>
      <c r="K9177" s="0" t="s">
        <v>30523</v>
      </c>
      <c r="L9177" s="0" t="str">
        <f aca="false">HYPERLINK("https://www.ncbi.nlm.nih.gov/nuccore/CP000058.1?report=graph&amp;tracks=[key:gene_model_track,Options:GeneOnly]&amp;mk=2884525:2884544|offset_48|444444,2884589:2884608|offset_112|00cc00,2884611:2884630|offset_134|444444,2884639:2884658|offset_162|444444&amp;v=2884324:2884858&amp;c=444444", "offset 112")</f>
        <v>offset 112</v>
      </c>
    </row>
    <row r="9178" customFormat="false" ht="12.8" hidden="false" customHeight="false" outlineLevel="0" collapsed="false">
      <c r="A9178" s="0" t="s">
        <v>12</v>
      </c>
      <c r="B9178" s="0" t="n">
        <v>2884610</v>
      </c>
      <c r="C9178" s="0" t="n">
        <v>2884630</v>
      </c>
      <c r="D9178" s="0" t="s">
        <v>30517</v>
      </c>
      <c r="E9178" s="0" t="s">
        <v>75</v>
      </c>
      <c r="F9178" s="0" t="s">
        <v>15</v>
      </c>
      <c r="G9178" s="0" t="s">
        <v>20</v>
      </c>
      <c r="H9178" s="0" t="n">
        <v>134</v>
      </c>
      <c r="I9178" s="0" t="s">
        <v>30524</v>
      </c>
      <c r="J9178" s="0" t="s">
        <v>30525</v>
      </c>
      <c r="K9178" s="0" t="s">
        <v>30526</v>
      </c>
      <c r="L9178" s="0" t="str">
        <f aca="false">HYPERLINK("https://www.ncbi.nlm.nih.gov/nuccore/CP000058.1?report=graph&amp;tracks=[key:gene_model_track,Options:GeneOnly]&amp;mk=2884525:2884544|offset_48|444444,2884589:2884608|offset_112|444444,2884611:2884630|offset_134|00cc00,2884639:2884658|offset_162|444444&amp;v=2884324:2884858&amp;c=444444", "offset 134")</f>
        <v>offset 134</v>
      </c>
    </row>
    <row r="9179" customFormat="false" ht="12.8" hidden="false" customHeight="false" outlineLevel="0" collapsed="false">
      <c r="A9179" s="0" t="s">
        <v>12</v>
      </c>
      <c r="B9179" s="0" t="n">
        <v>2884638</v>
      </c>
      <c r="C9179" s="0" t="n">
        <v>2884658</v>
      </c>
      <c r="D9179" s="0" t="s">
        <v>30517</v>
      </c>
      <c r="E9179" s="0" t="s">
        <v>75</v>
      </c>
      <c r="F9179" s="0" t="s">
        <v>15</v>
      </c>
      <c r="G9179" s="0" t="s">
        <v>16</v>
      </c>
      <c r="H9179" s="0" t="n">
        <v>162</v>
      </c>
      <c r="I9179" s="0" t="s">
        <v>30527</v>
      </c>
      <c r="J9179" s="0" t="s">
        <v>30528</v>
      </c>
      <c r="K9179" s="0" t="s">
        <v>30529</v>
      </c>
      <c r="L9179" s="0" t="str">
        <f aca="false">HYPERLINK("https://www.ncbi.nlm.nih.gov/nuccore/CP000058.1?report=graph&amp;tracks=[key:gene_model_track,Options:GeneOnly]&amp;mk=2884525:2884544|offset_48|444444,2884589:2884608|offset_112|444444,2884611:2884630|offset_134|444444,2884639:2884658|offset_162|00cc00&amp;v=2884324:2884858&amp;c=444444", "offset 162")</f>
        <v>offset 162</v>
      </c>
    </row>
    <row r="9180" customFormat="false" ht="12.8" hidden="false" customHeight="false" outlineLevel="0" collapsed="false">
      <c r="A9180" s="0" t="s">
        <v>12</v>
      </c>
      <c r="B9180" s="0" t="n">
        <v>2886183</v>
      </c>
      <c r="C9180" s="0" t="n">
        <v>2886203</v>
      </c>
      <c r="D9180" s="0" t="s">
        <v>30530</v>
      </c>
      <c r="E9180" s="0" t="s">
        <v>75</v>
      </c>
      <c r="F9180" s="0" t="s">
        <v>90</v>
      </c>
      <c r="G9180" s="0" t="s">
        <v>20</v>
      </c>
      <c r="H9180" s="0" t="n">
        <v>26</v>
      </c>
      <c r="I9180" s="0" t="s">
        <v>30531</v>
      </c>
      <c r="J9180" s="0" t="s">
        <v>30532</v>
      </c>
      <c r="K9180" s="0" t="s">
        <v>30533</v>
      </c>
      <c r="L9180" s="0" t="str">
        <f aca="false">HYPERLINK("https://www.ncbi.nlm.nih.gov/nuccore/CP000058.1?report=graph&amp;tracks=[key:gene_model_track,Options:GeneOnly]&amp;mk=2886184:2886203|offset_26|00cc00,2886142:2886161|offset_68|444444,2886105:2886124|offset_105|444444,2886067:2886086|offset_143|444444&amp;v=2885983:2886286&amp;c=444444", "offset 26")</f>
        <v>offset 26</v>
      </c>
    </row>
    <row r="9181" customFormat="false" ht="12.8" hidden="false" customHeight="false" outlineLevel="0" collapsed="false">
      <c r="A9181" s="0" t="s">
        <v>12</v>
      </c>
      <c r="B9181" s="0" t="n">
        <v>2886141</v>
      </c>
      <c r="C9181" s="0" t="n">
        <v>2886161</v>
      </c>
      <c r="D9181" s="0" t="s">
        <v>30530</v>
      </c>
      <c r="E9181" s="0" t="s">
        <v>75</v>
      </c>
      <c r="F9181" s="0" t="s">
        <v>90</v>
      </c>
      <c r="G9181" s="0" t="s">
        <v>32</v>
      </c>
      <c r="H9181" s="0" t="n">
        <v>68</v>
      </c>
      <c r="I9181" s="0" t="s">
        <v>30534</v>
      </c>
      <c r="J9181" s="0" t="s">
        <v>30535</v>
      </c>
      <c r="K9181" s="0" t="s">
        <v>30536</v>
      </c>
      <c r="L9181" s="0" t="str">
        <f aca="false">HYPERLINK("https://www.ncbi.nlm.nih.gov/nuccore/CP000058.1?report=graph&amp;tracks=[key:gene_model_track,Options:GeneOnly]&amp;mk=2886184:2886203|offset_26|444444,2886142:2886161|offset_68|00cc00,2886105:2886124|offset_105|444444,2886067:2886086|offset_143|444444&amp;v=2885983:2886286&amp;c=444444", "offset 68")</f>
        <v>offset 68</v>
      </c>
    </row>
    <row r="9182" customFormat="false" ht="12.8" hidden="false" customHeight="false" outlineLevel="0" collapsed="false">
      <c r="A9182" s="0" t="s">
        <v>12</v>
      </c>
      <c r="B9182" s="0" t="n">
        <v>2886104</v>
      </c>
      <c r="C9182" s="0" t="n">
        <v>2886124</v>
      </c>
      <c r="D9182" s="0" t="s">
        <v>30530</v>
      </c>
      <c r="E9182" s="0" t="s">
        <v>75</v>
      </c>
      <c r="F9182" s="0" t="s">
        <v>90</v>
      </c>
      <c r="G9182" s="0" t="s">
        <v>16</v>
      </c>
      <c r="H9182" s="0" t="n">
        <v>105</v>
      </c>
      <c r="I9182" s="0" t="s">
        <v>30537</v>
      </c>
      <c r="J9182" s="0" t="s">
        <v>30538</v>
      </c>
      <c r="K9182" s="0" t="s">
        <v>30539</v>
      </c>
      <c r="L9182" s="0" t="str">
        <f aca="false">HYPERLINK("https://www.ncbi.nlm.nih.gov/nuccore/CP000058.1?report=graph&amp;tracks=[key:gene_model_track,Options:GeneOnly]&amp;mk=2886184:2886203|offset_26|444444,2886142:2886161|offset_68|444444,2886105:2886124|offset_105|00cc00,2886067:2886086|offset_143|444444&amp;v=2885983:2886286&amp;c=444444", "offset 105")</f>
        <v>offset 105</v>
      </c>
    </row>
    <row r="9183" customFormat="false" ht="12.8" hidden="false" customHeight="false" outlineLevel="0" collapsed="false">
      <c r="A9183" s="0" t="s">
        <v>12</v>
      </c>
      <c r="B9183" s="0" t="n">
        <v>2886066</v>
      </c>
      <c r="C9183" s="0" t="n">
        <v>2886086</v>
      </c>
      <c r="D9183" s="0" t="s">
        <v>30530</v>
      </c>
      <c r="E9183" s="0" t="s">
        <v>75</v>
      </c>
      <c r="F9183" s="0" t="s">
        <v>90</v>
      </c>
      <c r="G9183" s="0" t="s">
        <v>36</v>
      </c>
      <c r="H9183" s="0" t="n">
        <v>143</v>
      </c>
      <c r="I9183" s="0" t="s">
        <v>30540</v>
      </c>
      <c r="J9183" s="0" t="s">
        <v>30541</v>
      </c>
      <c r="K9183" s="0" t="s">
        <v>30542</v>
      </c>
      <c r="L9183" s="0" t="str">
        <f aca="false">HYPERLINK("https://www.ncbi.nlm.nih.gov/nuccore/CP000058.1?report=graph&amp;tracks=[key:gene_model_track,Options:GeneOnly]&amp;mk=2886184:2886203|offset_26|444444,2886142:2886161|offset_68|444444,2886105:2886124|offset_105|444444,2886067:2886086|offset_143|00cc00&amp;v=2885983:2886286&amp;c=444444", "offset 143")</f>
        <v>offset 143</v>
      </c>
    </row>
    <row r="9184" customFormat="false" ht="12.8" hidden="false" customHeight="false" outlineLevel="0" collapsed="false">
      <c r="A9184" s="0" t="s">
        <v>12</v>
      </c>
      <c r="B9184" s="0" t="n">
        <v>2887386</v>
      </c>
      <c r="C9184" s="0" t="n">
        <v>2887406</v>
      </c>
      <c r="D9184" s="0" t="s">
        <v>30543</v>
      </c>
      <c r="E9184" s="0" t="s">
        <v>75</v>
      </c>
      <c r="F9184" s="0" t="s">
        <v>90</v>
      </c>
      <c r="G9184" s="0" t="s">
        <v>16</v>
      </c>
      <c r="H9184" s="0" t="n">
        <v>40</v>
      </c>
      <c r="I9184" s="0" t="s">
        <v>30544</v>
      </c>
      <c r="J9184" s="0" t="s">
        <v>30545</v>
      </c>
      <c r="K9184" s="0" t="s">
        <v>30546</v>
      </c>
      <c r="L9184" s="0" t="str">
        <f aca="false">HYPERLINK("https://www.ncbi.nlm.nih.gov/nuccore/CP000058.1?report=graph&amp;tracks=[key:gene_model_track,Options:GeneOnly]&amp;mk=2887387:2887406|offset_40|00cc00,2887363:2887382|offset_64|444444,2887324:2887343|offset_103|444444,2887290:2887309|offset_137|444444&amp;v=2887186:2887509&amp;c=444444", "offset 40")</f>
        <v>offset 40</v>
      </c>
    </row>
    <row r="9185" customFormat="false" ht="12.8" hidden="false" customHeight="false" outlineLevel="0" collapsed="false">
      <c r="A9185" s="0" t="s">
        <v>12</v>
      </c>
      <c r="B9185" s="0" t="n">
        <v>2887362</v>
      </c>
      <c r="C9185" s="0" t="n">
        <v>2887382</v>
      </c>
      <c r="D9185" s="0" t="s">
        <v>30543</v>
      </c>
      <c r="E9185" s="0" t="s">
        <v>75</v>
      </c>
      <c r="F9185" s="0" t="s">
        <v>90</v>
      </c>
      <c r="G9185" s="0" t="s">
        <v>32</v>
      </c>
      <c r="H9185" s="0" t="n">
        <v>64</v>
      </c>
      <c r="I9185" s="0" t="s">
        <v>30547</v>
      </c>
      <c r="J9185" s="0" t="s">
        <v>30548</v>
      </c>
      <c r="K9185" s="0" t="s">
        <v>30549</v>
      </c>
      <c r="L9185" s="0" t="str">
        <f aca="false">HYPERLINK("https://www.ncbi.nlm.nih.gov/nuccore/CP000058.1?report=graph&amp;tracks=[key:gene_model_track,Options:GeneOnly]&amp;mk=2887387:2887406|offset_40|444444,2887363:2887382|offset_64|00cc00,2887324:2887343|offset_103|444444,2887290:2887309|offset_137|444444&amp;v=2887186:2887509&amp;c=444444", "offset 64")</f>
        <v>offset 64</v>
      </c>
    </row>
    <row r="9186" customFormat="false" ht="12.8" hidden="false" customHeight="false" outlineLevel="0" collapsed="false">
      <c r="A9186" s="0" t="s">
        <v>12</v>
      </c>
      <c r="B9186" s="0" t="n">
        <v>2887323</v>
      </c>
      <c r="C9186" s="0" t="n">
        <v>2887343</v>
      </c>
      <c r="D9186" s="0" t="s">
        <v>30543</v>
      </c>
      <c r="E9186" s="0" t="s">
        <v>75</v>
      </c>
      <c r="F9186" s="0" t="s">
        <v>90</v>
      </c>
      <c r="G9186" s="0" t="s">
        <v>16</v>
      </c>
      <c r="H9186" s="0" t="n">
        <v>103</v>
      </c>
      <c r="I9186" s="0" t="s">
        <v>30550</v>
      </c>
      <c r="J9186" s="0" t="s">
        <v>30551</v>
      </c>
      <c r="K9186" s="0" t="s">
        <v>30552</v>
      </c>
      <c r="L9186" s="0" t="str">
        <f aca="false">HYPERLINK("https://www.ncbi.nlm.nih.gov/nuccore/CP000058.1?report=graph&amp;tracks=[key:gene_model_track,Options:GeneOnly]&amp;mk=2887387:2887406|offset_40|444444,2887363:2887382|offset_64|444444,2887324:2887343|offset_103|00cc00,2887290:2887309|offset_137|444444&amp;v=2887186:2887509&amp;c=444444", "offset 103")</f>
        <v>offset 103</v>
      </c>
    </row>
    <row r="9187" customFormat="false" ht="12.8" hidden="false" customHeight="false" outlineLevel="0" collapsed="false">
      <c r="A9187" s="0" t="s">
        <v>12</v>
      </c>
      <c r="B9187" s="0" t="n">
        <v>2887289</v>
      </c>
      <c r="C9187" s="0" t="n">
        <v>2887309</v>
      </c>
      <c r="D9187" s="0" t="s">
        <v>30543</v>
      </c>
      <c r="E9187" s="0" t="s">
        <v>75</v>
      </c>
      <c r="F9187" s="0" t="s">
        <v>90</v>
      </c>
      <c r="G9187" s="0" t="s">
        <v>32</v>
      </c>
      <c r="H9187" s="0" t="n">
        <v>137</v>
      </c>
      <c r="I9187" s="0" t="s">
        <v>30553</v>
      </c>
      <c r="J9187" s="0" t="s">
        <v>30554</v>
      </c>
      <c r="K9187" s="0" t="s">
        <v>30555</v>
      </c>
      <c r="L9187" s="0" t="str">
        <f aca="false">HYPERLINK("https://www.ncbi.nlm.nih.gov/nuccore/CP000058.1?report=graph&amp;tracks=[key:gene_model_track,Options:GeneOnly]&amp;mk=2887387:2887406|offset_40|444444,2887363:2887382|offset_64|444444,2887324:2887343|offset_103|444444,2887290:2887309|offset_137|00cc00&amp;v=2887186:2887509&amp;c=444444", "offset 137")</f>
        <v>offset 137</v>
      </c>
    </row>
    <row r="9188" customFormat="false" ht="12.8" hidden="false" customHeight="false" outlineLevel="0" collapsed="false">
      <c r="A9188" s="0" t="s">
        <v>12</v>
      </c>
      <c r="B9188" s="0" t="n">
        <v>2887678</v>
      </c>
      <c r="C9188" s="0" t="n">
        <v>2887698</v>
      </c>
      <c r="D9188" s="0" t="s">
        <v>30556</v>
      </c>
      <c r="E9188" s="0" t="s">
        <v>75</v>
      </c>
      <c r="F9188" s="0" t="s">
        <v>15</v>
      </c>
      <c r="G9188" s="0" t="s">
        <v>20</v>
      </c>
      <c r="H9188" s="0" t="n">
        <v>19</v>
      </c>
      <c r="I9188" s="0" t="s">
        <v>30557</v>
      </c>
      <c r="J9188" s="0" t="s">
        <v>30558</v>
      </c>
      <c r="K9188" s="0" t="s">
        <v>30559</v>
      </c>
      <c r="L9188" s="0" t="str">
        <f aca="false">HYPERLINK("https://www.ncbi.nlm.nih.gov/nuccore/CP000058.1?report=graph&amp;tracks=[key:gene_model_track,Options:GeneOnly]&amp;mk=2887679:2887698|offset_19|00cc00,2887703:2887722|offset_43|444444,2887725:2887744|offset_65|444444,2887763:2887782|offset_103|444444&amp;v=2887478:2887982&amp;c=444444", "offset 19")</f>
        <v>offset 19</v>
      </c>
    </row>
    <row r="9189" customFormat="false" ht="12.8" hidden="false" customHeight="false" outlineLevel="0" collapsed="false">
      <c r="A9189" s="0" t="s">
        <v>12</v>
      </c>
      <c r="B9189" s="0" t="n">
        <v>2887702</v>
      </c>
      <c r="C9189" s="0" t="n">
        <v>2887722</v>
      </c>
      <c r="D9189" s="0" t="s">
        <v>30556</v>
      </c>
      <c r="E9189" s="0" t="s">
        <v>75</v>
      </c>
      <c r="F9189" s="0" t="s">
        <v>15</v>
      </c>
      <c r="G9189" s="0" t="s">
        <v>36</v>
      </c>
      <c r="H9189" s="0" t="n">
        <v>43</v>
      </c>
      <c r="I9189" s="0" t="s">
        <v>30560</v>
      </c>
      <c r="J9189" s="0" t="s">
        <v>30561</v>
      </c>
      <c r="K9189" s="0" t="s">
        <v>30562</v>
      </c>
      <c r="L9189" s="0" t="str">
        <f aca="false">HYPERLINK("https://www.ncbi.nlm.nih.gov/nuccore/CP000058.1?report=graph&amp;tracks=[key:gene_model_track,Options:GeneOnly]&amp;mk=2887679:2887698|offset_19|444444,2887703:2887722|offset_43|00cc00,2887725:2887744|offset_65|444444,2887763:2887782|offset_103|444444&amp;v=2887478:2887982&amp;c=444444", "offset 43")</f>
        <v>offset 43</v>
      </c>
    </row>
    <row r="9190" customFormat="false" ht="12.8" hidden="false" customHeight="false" outlineLevel="0" collapsed="false">
      <c r="A9190" s="0" t="s">
        <v>12</v>
      </c>
      <c r="B9190" s="0" t="n">
        <v>2887724</v>
      </c>
      <c r="C9190" s="0" t="n">
        <v>2887744</v>
      </c>
      <c r="D9190" s="0" t="s">
        <v>30556</v>
      </c>
      <c r="E9190" s="0" t="s">
        <v>75</v>
      </c>
      <c r="F9190" s="0" t="s">
        <v>15</v>
      </c>
      <c r="G9190" s="0" t="s">
        <v>20</v>
      </c>
      <c r="H9190" s="0" t="n">
        <v>65</v>
      </c>
      <c r="I9190" s="0" t="s">
        <v>30563</v>
      </c>
      <c r="J9190" s="0" t="s">
        <v>30564</v>
      </c>
      <c r="K9190" s="0" t="s">
        <v>30565</v>
      </c>
      <c r="L9190" s="0" t="str">
        <f aca="false">HYPERLINK("https://www.ncbi.nlm.nih.gov/nuccore/CP000058.1?report=graph&amp;tracks=[key:gene_model_track,Options:GeneOnly]&amp;mk=2887679:2887698|offset_19|444444,2887703:2887722|offset_43|444444,2887725:2887744|offset_65|00cc00,2887763:2887782|offset_103|444444&amp;v=2887478:2887982&amp;c=444444", "offset 65")</f>
        <v>offset 65</v>
      </c>
    </row>
    <row r="9191" customFormat="false" ht="12.8" hidden="false" customHeight="false" outlineLevel="0" collapsed="false">
      <c r="A9191" s="0" t="s">
        <v>12</v>
      </c>
      <c r="B9191" s="0" t="n">
        <v>2887762</v>
      </c>
      <c r="C9191" s="0" t="n">
        <v>2887782</v>
      </c>
      <c r="D9191" s="0" t="s">
        <v>30556</v>
      </c>
      <c r="E9191" s="0" t="s">
        <v>75</v>
      </c>
      <c r="F9191" s="0" t="s">
        <v>15</v>
      </c>
      <c r="G9191" s="0" t="s">
        <v>32</v>
      </c>
      <c r="H9191" s="0" t="n">
        <v>103</v>
      </c>
      <c r="I9191" s="0" t="s">
        <v>30566</v>
      </c>
      <c r="J9191" s="0" t="s">
        <v>30567</v>
      </c>
      <c r="K9191" s="0" t="s">
        <v>30568</v>
      </c>
      <c r="L9191" s="0" t="str">
        <f aca="false">HYPERLINK("https://www.ncbi.nlm.nih.gov/nuccore/CP000058.1?report=graph&amp;tracks=[key:gene_model_track,Options:GeneOnly]&amp;mk=2887679:2887698|offset_19|444444,2887703:2887722|offset_43|444444,2887725:2887744|offset_65|444444,2887763:2887782|offset_103|00cc00&amp;v=2887478:2887982&amp;c=444444", "offset 103")</f>
        <v>offset 103</v>
      </c>
    </row>
    <row r="9192" customFormat="false" ht="12.8" hidden="false" customHeight="false" outlineLevel="0" collapsed="false">
      <c r="A9192" s="0" t="s">
        <v>12</v>
      </c>
      <c r="B9192" s="0" t="n">
        <v>2887797</v>
      </c>
      <c r="C9192" s="0" t="n">
        <v>2887817</v>
      </c>
      <c r="D9192" s="0" t="s">
        <v>30569</v>
      </c>
      <c r="E9192" s="0" t="s">
        <v>75</v>
      </c>
      <c r="F9192" s="0" t="s">
        <v>15</v>
      </c>
      <c r="G9192" s="0" t="s">
        <v>32</v>
      </c>
      <c r="H9192" s="0" t="n">
        <v>13</v>
      </c>
      <c r="I9192" s="0" t="s">
        <v>30570</v>
      </c>
      <c r="J9192" s="0" t="s">
        <v>30571</v>
      </c>
      <c r="K9192" s="0" t="s">
        <v>30572</v>
      </c>
      <c r="L9192" s="0" t="str">
        <f aca="false">HYPERLINK("https://www.ncbi.nlm.nih.gov/nuccore/CP000058.1?report=graph&amp;tracks=[key:gene_model_track,Options:GeneOnly]&amp;mk=2887798:2887817|offset_13|00cc00,2887825:2887844|offset_40|444444,2887850:2887869|offset_65|444444,2887880:2887899|offset_95|444444&amp;v=2887597:2888099&amp;c=444444", "offset 13")</f>
        <v>offset 13</v>
      </c>
    </row>
    <row r="9193" customFormat="false" ht="12.8" hidden="false" customHeight="false" outlineLevel="0" collapsed="false">
      <c r="A9193" s="0" t="s">
        <v>12</v>
      </c>
      <c r="B9193" s="0" t="n">
        <v>2887824</v>
      </c>
      <c r="C9193" s="0" t="n">
        <v>2887844</v>
      </c>
      <c r="D9193" s="0" t="s">
        <v>30569</v>
      </c>
      <c r="E9193" s="0" t="s">
        <v>75</v>
      </c>
      <c r="F9193" s="0" t="s">
        <v>15</v>
      </c>
      <c r="G9193" s="0" t="s">
        <v>20</v>
      </c>
      <c r="H9193" s="0" t="n">
        <v>40</v>
      </c>
      <c r="I9193" s="0" t="s">
        <v>30573</v>
      </c>
      <c r="J9193" s="0" t="s">
        <v>30574</v>
      </c>
      <c r="K9193" s="0" t="s">
        <v>30575</v>
      </c>
      <c r="L9193" s="0" t="str">
        <f aca="false">HYPERLINK("https://www.ncbi.nlm.nih.gov/nuccore/CP000058.1?report=graph&amp;tracks=[key:gene_model_track,Options:GeneOnly]&amp;mk=2887798:2887817|offset_13|444444,2887825:2887844|offset_40|00cc00,2887850:2887869|offset_65|444444,2887880:2887899|offset_95|444444&amp;v=2887597:2888099&amp;c=444444", "offset 40")</f>
        <v>offset 40</v>
      </c>
    </row>
    <row r="9194" customFormat="false" ht="12.8" hidden="false" customHeight="false" outlineLevel="0" collapsed="false">
      <c r="A9194" s="0" t="s">
        <v>12</v>
      </c>
      <c r="B9194" s="0" t="n">
        <v>2887849</v>
      </c>
      <c r="C9194" s="0" t="n">
        <v>2887869</v>
      </c>
      <c r="D9194" s="0" t="s">
        <v>30569</v>
      </c>
      <c r="E9194" s="0" t="s">
        <v>75</v>
      </c>
      <c r="F9194" s="0" t="s">
        <v>15</v>
      </c>
      <c r="G9194" s="0" t="s">
        <v>32</v>
      </c>
      <c r="H9194" s="0" t="n">
        <v>65</v>
      </c>
      <c r="I9194" s="0" t="s">
        <v>30576</v>
      </c>
      <c r="J9194" s="0" t="s">
        <v>30577</v>
      </c>
      <c r="K9194" s="0" t="s">
        <v>30578</v>
      </c>
      <c r="L9194" s="0" t="str">
        <f aca="false">HYPERLINK("https://www.ncbi.nlm.nih.gov/nuccore/CP000058.1?report=graph&amp;tracks=[key:gene_model_track,Options:GeneOnly]&amp;mk=2887798:2887817|offset_13|444444,2887825:2887844|offset_40|444444,2887850:2887869|offset_65|00cc00,2887880:2887899|offset_95|444444&amp;v=2887597:2888099&amp;c=444444", "offset 65")</f>
        <v>offset 65</v>
      </c>
    </row>
    <row r="9195" customFormat="false" ht="12.8" hidden="false" customHeight="false" outlineLevel="0" collapsed="false">
      <c r="A9195" s="0" t="s">
        <v>12</v>
      </c>
      <c r="B9195" s="0" t="n">
        <v>2887879</v>
      </c>
      <c r="C9195" s="0" t="n">
        <v>2887899</v>
      </c>
      <c r="D9195" s="0" t="s">
        <v>30569</v>
      </c>
      <c r="E9195" s="0" t="s">
        <v>75</v>
      </c>
      <c r="F9195" s="0" t="s">
        <v>15</v>
      </c>
      <c r="G9195" s="0" t="s">
        <v>20</v>
      </c>
      <c r="H9195" s="0" t="n">
        <v>95</v>
      </c>
      <c r="I9195" s="0" t="s">
        <v>30579</v>
      </c>
      <c r="J9195" s="0" t="s">
        <v>30580</v>
      </c>
      <c r="K9195" s="0" t="s">
        <v>30581</v>
      </c>
      <c r="L9195" s="0" t="str">
        <f aca="false">HYPERLINK("https://www.ncbi.nlm.nih.gov/nuccore/CP000058.1?report=graph&amp;tracks=[key:gene_model_track,Options:GeneOnly]&amp;mk=2887798:2887817|offset_13|444444,2887825:2887844|offset_40|444444,2887850:2887869|offset_65|444444,2887880:2887899|offset_95|00cc00&amp;v=2887597:2888099&amp;c=444444", "offset 95")</f>
        <v>offset 95</v>
      </c>
    </row>
    <row r="9196" customFormat="false" ht="12.8" hidden="false" customHeight="false" outlineLevel="0" collapsed="false">
      <c r="A9196" s="0" t="s">
        <v>12</v>
      </c>
      <c r="B9196" s="0" t="n">
        <v>2888547</v>
      </c>
      <c r="C9196" s="0" t="n">
        <v>2888567</v>
      </c>
      <c r="D9196" s="0" t="s">
        <v>30582</v>
      </c>
      <c r="E9196" s="0" t="s">
        <v>75</v>
      </c>
      <c r="F9196" s="0" t="s">
        <v>15</v>
      </c>
      <c r="G9196" s="0" t="s">
        <v>20</v>
      </c>
      <c r="H9196" s="0" t="n">
        <v>14</v>
      </c>
      <c r="I9196" s="0" t="s">
        <v>30583</v>
      </c>
      <c r="J9196" s="0" t="s">
        <v>30584</v>
      </c>
      <c r="K9196" s="0" t="s">
        <v>30585</v>
      </c>
      <c r="L9196" s="0" t="str">
        <f aca="false">HYPERLINK("https://www.ncbi.nlm.nih.gov/nuccore/CP000058.1?report=graph&amp;tracks=[key:gene_model_track,Options:GeneOnly]&amp;mk=2888548:2888567|offset_14|00cc00,2888587:2888606|offset_53|444444,2888625:2888644|offset_91|444444,2888656:2888675|offset_122|444444&amp;v=2888347:2888875&amp;c=444444", "offset 14")</f>
        <v>offset 14</v>
      </c>
    </row>
    <row r="9197" customFormat="false" ht="12.8" hidden="false" customHeight="false" outlineLevel="0" collapsed="false">
      <c r="A9197" s="0" t="s">
        <v>12</v>
      </c>
      <c r="B9197" s="0" t="n">
        <v>2888586</v>
      </c>
      <c r="C9197" s="0" t="n">
        <v>2888606</v>
      </c>
      <c r="D9197" s="0" t="s">
        <v>30582</v>
      </c>
      <c r="E9197" s="0" t="s">
        <v>75</v>
      </c>
      <c r="F9197" s="0" t="s">
        <v>15</v>
      </c>
      <c r="G9197" s="0" t="s">
        <v>16</v>
      </c>
      <c r="H9197" s="0" t="n">
        <v>53</v>
      </c>
      <c r="I9197" s="0" t="s">
        <v>30586</v>
      </c>
      <c r="J9197" s="0" t="s">
        <v>30587</v>
      </c>
      <c r="K9197" s="0" t="s">
        <v>30588</v>
      </c>
      <c r="L9197" s="0" t="str">
        <f aca="false">HYPERLINK("https://www.ncbi.nlm.nih.gov/nuccore/CP000058.1?report=graph&amp;tracks=[key:gene_model_track,Options:GeneOnly]&amp;mk=2888548:2888567|offset_14|444444,2888587:2888606|offset_53|00cc00,2888625:2888644|offset_91|444444,2888656:2888675|offset_122|444444&amp;v=2888347:2888875&amp;c=444444", "offset 53")</f>
        <v>offset 53</v>
      </c>
    </row>
    <row r="9198" customFormat="false" ht="12.8" hidden="false" customHeight="false" outlineLevel="0" collapsed="false">
      <c r="A9198" s="0" t="s">
        <v>12</v>
      </c>
      <c r="B9198" s="0" t="n">
        <v>2888624</v>
      </c>
      <c r="C9198" s="0" t="n">
        <v>2888644</v>
      </c>
      <c r="D9198" s="0" t="s">
        <v>30582</v>
      </c>
      <c r="E9198" s="0" t="s">
        <v>75</v>
      </c>
      <c r="F9198" s="0" t="s">
        <v>15</v>
      </c>
      <c r="G9198" s="0" t="s">
        <v>16</v>
      </c>
      <c r="H9198" s="0" t="n">
        <v>91</v>
      </c>
      <c r="I9198" s="0" t="s">
        <v>30589</v>
      </c>
      <c r="J9198" s="0" t="s">
        <v>30590</v>
      </c>
      <c r="K9198" s="0" t="s">
        <v>30591</v>
      </c>
      <c r="L9198" s="0" t="str">
        <f aca="false">HYPERLINK("https://www.ncbi.nlm.nih.gov/nuccore/CP000058.1?report=graph&amp;tracks=[key:gene_model_track,Options:GeneOnly]&amp;mk=2888548:2888567|offset_14|444444,2888587:2888606|offset_53|444444,2888625:2888644|offset_91|00cc00,2888656:2888675|offset_122|444444&amp;v=2888347:2888875&amp;c=444444", "offset 91")</f>
        <v>offset 91</v>
      </c>
    </row>
    <row r="9199" customFormat="false" ht="12.8" hidden="false" customHeight="false" outlineLevel="0" collapsed="false">
      <c r="A9199" s="0" t="s">
        <v>12</v>
      </c>
      <c r="B9199" s="0" t="n">
        <v>2888655</v>
      </c>
      <c r="C9199" s="0" t="n">
        <v>2888675</v>
      </c>
      <c r="D9199" s="0" t="s">
        <v>30582</v>
      </c>
      <c r="E9199" s="0" t="s">
        <v>75</v>
      </c>
      <c r="F9199" s="0" t="s">
        <v>15</v>
      </c>
      <c r="G9199" s="0" t="s">
        <v>16</v>
      </c>
      <c r="H9199" s="0" t="n">
        <v>122</v>
      </c>
      <c r="I9199" s="0" t="s">
        <v>30592</v>
      </c>
      <c r="J9199" s="0" t="s">
        <v>30593</v>
      </c>
      <c r="K9199" s="0" t="s">
        <v>30594</v>
      </c>
      <c r="L9199" s="0" t="str">
        <f aca="false">HYPERLINK("https://www.ncbi.nlm.nih.gov/nuccore/CP000058.1?report=graph&amp;tracks=[key:gene_model_track,Options:GeneOnly]&amp;mk=2888548:2888567|offset_14|444444,2888587:2888606|offset_53|444444,2888625:2888644|offset_91|444444,2888656:2888675|offset_122|00cc00&amp;v=2888347:2888875&amp;c=444444", "offset 122")</f>
        <v>offset 122</v>
      </c>
    </row>
    <row r="9200" customFormat="false" ht="12.8" hidden="false" customHeight="false" outlineLevel="0" collapsed="false">
      <c r="A9200" s="0" t="s">
        <v>12</v>
      </c>
      <c r="B9200" s="0" t="n">
        <v>2889439</v>
      </c>
      <c r="C9200" s="0" t="n">
        <v>2889459</v>
      </c>
      <c r="D9200" s="0" t="s">
        <v>30595</v>
      </c>
      <c r="E9200" s="0" t="s">
        <v>75</v>
      </c>
      <c r="F9200" s="0" t="s">
        <v>15</v>
      </c>
      <c r="G9200" s="0" t="s">
        <v>32</v>
      </c>
      <c r="H9200" s="0" t="n">
        <v>28</v>
      </c>
      <c r="I9200" s="0" t="s">
        <v>30596</v>
      </c>
      <c r="J9200" s="0" t="s">
        <v>30597</v>
      </c>
      <c r="K9200" s="0" t="s">
        <v>30598</v>
      </c>
      <c r="L9200" s="0" t="str">
        <f aca="false">HYPERLINK("https://www.ncbi.nlm.nih.gov/nuccore/CP000058.1?report=graph&amp;tracks=[key:gene_model_track,Options:GeneOnly]&amp;mk=2889440:2889459|offset_28|00cc00,2889470:2889489|offset_58|444444,2889490:2889509|offset_78|444444,2889552:2889571|offset_140|444444&amp;v=2889239:2889771&amp;c=444444", "offset 28")</f>
        <v>offset 28</v>
      </c>
    </row>
    <row r="9201" customFormat="false" ht="12.8" hidden="false" customHeight="false" outlineLevel="0" collapsed="false">
      <c r="A9201" s="0" t="s">
        <v>12</v>
      </c>
      <c r="B9201" s="0" t="n">
        <v>2889469</v>
      </c>
      <c r="C9201" s="0" t="n">
        <v>2889489</v>
      </c>
      <c r="D9201" s="0" t="s">
        <v>30595</v>
      </c>
      <c r="E9201" s="0" t="s">
        <v>75</v>
      </c>
      <c r="F9201" s="0" t="s">
        <v>15</v>
      </c>
      <c r="G9201" s="0" t="s">
        <v>32</v>
      </c>
      <c r="H9201" s="0" t="n">
        <v>58</v>
      </c>
      <c r="I9201" s="0" t="s">
        <v>30599</v>
      </c>
      <c r="J9201" s="0" t="s">
        <v>30600</v>
      </c>
      <c r="K9201" s="0" t="s">
        <v>30601</v>
      </c>
      <c r="L9201" s="0" t="str">
        <f aca="false">HYPERLINK("https://www.ncbi.nlm.nih.gov/nuccore/CP000058.1?report=graph&amp;tracks=[key:gene_model_track,Options:GeneOnly]&amp;mk=2889440:2889459|offset_28|444444,2889470:2889489|offset_58|00cc00,2889490:2889509|offset_78|444444,2889552:2889571|offset_140|444444&amp;v=2889239:2889771&amp;c=444444", "offset 58")</f>
        <v>offset 58</v>
      </c>
    </row>
    <row r="9202" customFormat="false" ht="12.8" hidden="false" customHeight="false" outlineLevel="0" collapsed="false">
      <c r="A9202" s="0" t="s">
        <v>12</v>
      </c>
      <c r="B9202" s="0" t="n">
        <v>2889489</v>
      </c>
      <c r="C9202" s="0" t="n">
        <v>2889509</v>
      </c>
      <c r="D9202" s="0" t="s">
        <v>30595</v>
      </c>
      <c r="E9202" s="0" t="s">
        <v>75</v>
      </c>
      <c r="F9202" s="0" t="s">
        <v>15</v>
      </c>
      <c r="G9202" s="0" t="s">
        <v>16</v>
      </c>
      <c r="H9202" s="0" t="n">
        <v>78</v>
      </c>
      <c r="I9202" s="0" t="s">
        <v>30602</v>
      </c>
      <c r="J9202" s="0" t="s">
        <v>30603</v>
      </c>
      <c r="K9202" s="0" t="s">
        <v>30604</v>
      </c>
      <c r="L9202" s="0" t="str">
        <f aca="false">HYPERLINK("https://www.ncbi.nlm.nih.gov/nuccore/CP000058.1?report=graph&amp;tracks=[key:gene_model_track,Options:GeneOnly]&amp;mk=2889440:2889459|offset_28|444444,2889470:2889489|offset_58|444444,2889490:2889509|offset_78|00cc00,2889552:2889571|offset_140|444444&amp;v=2889239:2889771&amp;c=444444", "offset 78")</f>
        <v>offset 78</v>
      </c>
    </row>
    <row r="9203" customFormat="false" ht="12.8" hidden="false" customHeight="false" outlineLevel="0" collapsed="false">
      <c r="A9203" s="0" t="s">
        <v>12</v>
      </c>
      <c r="B9203" s="0" t="n">
        <v>2889551</v>
      </c>
      <c r="C9203" s="0" t="n">
        <v>2889571</v>
      </c>
      <c r="D9203" s="0" t="s">
        <v>30595</v>
      </c>
      <c r="E9203" s="0" t="s">
        <v>75</v>
      </c>
      <c r="F9203" s="0" t="s">
        <v>15</v>
      </c>
      <c r="G9203" s="0" t="s">
        <v>16</v>
      </c>
      <c r="H9203" s="0" t="n">
        <v>140</v>
      </c>
      <c r="I9203" s="0" t="s">
        <v>30605</v>
      </c>
      <c r="J9203" s="0" t="s">
        <v>30606</v>
      </c>
      <c r="K9203" s="0" t="s">
        <v>30607</v>
      </c>
      <c r="L9203" s="0" t="str">
        <f aca="false">HYPERLINK("https://www.ncbi.nlm.nih.gov/nuccore/CP000058.1?report=graph&amp;tracks=[key:gene_model_track,Options:GeneOnly]&amp;mk=2889440:2889459|offset_28|444444,2889470:2889489|offset_58|444444,2889490:2889509|offset_78|444444,2889552:2889571|offset_140|00cc00&amp;v=2889239:2889771&amp;c=444444", "offset 140")</f>
        <v>offset 140</v>
      </c>
    </row>
    <row r="9204" customFormat="false" ht="12.8" hidden="false" customHeight="false" outlineLevel="0" collapsed="false">
      <c r="A9204" s="0" t="s">
        <v>12</v>
      </c>
      <c r="B9204" s="0" t="n">
        <v>2891469</v>
      </c>
      <c r="C9204" s="0" t="n">
        <v>2891489</v>
      </c>
      <c r="D9204" s="0" t="s">
        <v>30608</v>
      </c>
      <c r="E9204" s="0" t="s">
        <v>30609</v>
      </c>
      <c r="F9204" s="0" t="s">
        <v>90</v>
      </c>
      <c r="G9204" s="0" t="s">
        <v>20</v>
      </c>
      <c r="H9204" s="0" t="n">
        <v>20</v>
      </c>
      <c r="I9204" s="0" t="s">
        <v>30610</v>
      </c>
      <c r="J9204" s="0" t="s">
        <v>30611</v>
      </c>
      <c r="K9204" s="0" t="s">
        <v>30612</v>
      </c>
      <c r="L9204" s="0" t="str">
        <f aca="false">HYPERLINK("https://www.ncbi.nlm.nih.gov/nuccore/CP000058.1?report=graph&amp;tracks=[key:gene_model_track,Options:GeneOnly]&amp;mk=2891470:2891489|offset_20|00cc00,2891435:2891454|offset_55|444444,2891408:2891427|offset_82|444444,2891386:2891405|offset_104|444444&amp;v=2891269:2891605&amp;c=444444", "offset 20")</f>
        <v>offset 20</v>
      </c>
    </row>
    <row r="9205" customFormat="false" ht="12.8" hidden="false" customHeight="false" outlineLevel="0" collapsed="false">
      <c r="A9205" s="0" t="s">
        <v>12</v>
      </c>
      <c r="B9205" s="0" t="n">
        <v>2891434</v>
      </c>
      <c r="C9205" s="0" t="n">
        <v>2891454</v>
      </c>
      <c r="D9205" s="0" t="s">
        <v>30608</v>
      </c>
      <c r="E9205" s="0" t="s">
        <v>30609</v>
      </c>
      <c r="F9205" s="0" t="s">
        <v>90</v>
      </c>
      <c r="G9205" s="0" t="s">
        <v>20</v>
      </c>
      <c r="H9205" s="0" t="n">
        <v>55</v>
      </c>
      <c r="I9205" s="0" t="s">
        <v>30613</v>
      </c>
      <c r="J9205" s="0" t="s">
        <v>30614</v>
      </c>
      <c r="K9205" s="0" t="s">
        <v>30615</v>
      </c>
      <c r="L9205" s="0" t="str">
        <f aca="false">HYPERLINK("https://www.ncbi.nlm.nih.gov/nuccore/CP000058.1?report=graph&amp;tracks=[key:gene_model_track,Options:GeneOnly]&amp;mk=2891470:2891489|offset_20|444444,2891435:2891454|offset_55|00cc00,2891408:2891427|offset_82|444444,2891386:2891405|offset_104|444444&amp;v=2891269:2891605&amp;c=444444", "offset 55")</f>
        <v>offset 55</v>
      </c>
    </row>
    <row r="9206" customFormat="false" ht="12.8" hidden="false" customHeight="false" outlineLevel="0" collapsed="false">
      <c r="A9206" s="0" t="s">
        <v>12</v>
      </c>
      <c r="B9206" s="0" t="n">
        <v>2891407</v>
      </c>
      <c r="C9206" s="0" t="n">
        <v>2891427</v>
      </c>
      <c r="D9206" s="0" t="s">
        <v>30608</v>
      </c>
      <c r="E9206" s="0" t="s">
        <v>30609</v>
      </c>
      <c r="F9206" s="0" t="s">
        <v>90</v>
      </c>
      <c r="G9206" s="0" t="s">
        <v>32</v>
      </c>
      <c r="H9206" s="0" t="n">
        <v>82</v>
      </c>
      <c r="I9206" s="0" t="s">
        <v>30616</v>
      </c>
      <c r="J9206" s="0" t="s">
        <v>30617</v>
      </c>
      <c r="K9206" s="0" t="s">
        <v>30618</v>
      </c>
      <c r="L9206" s="0" t="str">
        <f aca="false">HYPERLINK("https://www.ncbi.nlm.nih.gov/nuccore/CP000058.1?report=graph&amp;tracks=[key:gene_model_track,Options:GeneOnly]&amp;mk=2891470:2891489|offset_20|444444,2891435:2891454|offset_55|444444,2891408:2891427|offset_82|00cc00,2891386:2891405|offset_104|444444&amp;v=2891269:2891605&amp;c=444444", "offset 82")</f>
        <v>offset 82</v>
      </c>
    </row>
    <row r="9207" customFormat="false" ht="12.8" hidden="false" customHeight="false" outlineLevel="0" collapsed="false">
      <c r="A9207" s="0" t="s">
        <v>12</v>
      </c>
      <c r="B9207" s="0" t="n">
        <v>2891385</v>
      </c>
      <c r="C9207" s="0" t="n">
        <v>2891405</v>
      </c>
      <c r="D9207" s="0" t="s">
        <v>30608</v>
      </c>
      <c r="E9207" s="0" t="s">
        <v>30609</v>
      </c>
      <c r="F9207" s="0" t="s">
        <v>90</v>
      </c>
      <c r="G9207" s="0" t="s">
        <v>32</v>
      </c>
      <c r="H9207" s="0" t="n">
        <v>104</v>
      </c>
      <c r="I9207" s="0" t="s">
        <v>30619</v>
      </c>
      <c r="J9207" s="0" t="s">
        <v>30620</v>
      </c>
      <c r="K9207" s="0" t="s">
        <v>30621</v>
      </c>
      <c r="L9207" s="0" t="str">
        <f aca="false">HYPERLINK("https://www.ncbi.nlm.nih.gov/nuccore/CP000058.1?report=graph&amp;tracks=[key:gene_model_track,Options:GeneOnly]&amp;mk=2891470:2891489|offset_20|444444,2891435:2891454|offset_55|444444,2891408:2891427|offset_82|444444,2891386:2891405|offset_104|00cc00&amp;v=2891269:2891605&amp;c=444444", "offset 104")</f>
        <v>offset 104</v>
      </c>
    </row>
    <row r="9208" customFormat="false" ht="12.8" hidden="false" customHeight="false" outlineLevel="0" collapsed="false">
      <c r="A9208" s="0" t="s">
        <v>12</v>
      </c>
      <c r="B9208" s="0" t="n">
        <v>2891772</v>
      </c>
      <c r="C9208" s="0" t="n">
        <v>2891792</v>
      </c>
      <c r="D9208" s="0" t="s">
        <v>30622</v>
      </c>
      <c r="E9208" s="0" t="s">
        <v>75</v>
      </c>
      <c r="F9208" s="0" t="s">
        <v>15</v>
      </c>
      <c r="G9208" s="0" t="s">
        <v>36</v>
      </c>
      <c r="H9208" s="0" t="n">
        <v>15</v>
      </c>
      <c r="I9208" s="0" t="s">
        <v>30623</v>
      </c>
      <c r="J9208" s="0" t="s">
        <v>30624</v>
      </c>
      <c r="K9208" s="0" t="s">
        <v>30625</v>
      </c>
      <c r="L9208" s="0" t="str">
        <f aca="false">HYPERLINK("https://www.ncbi.nlm.nih.gov/nuccore/CP000058.1?report=graph&amp;tracks=[key:gene_model_track,Options:GeneOnly]&amp;mk=2891773:2891792|offset_15|00cc00,2891801:2891820|offset_43|444444,2891822:2891841|offset_64|444444,2891855:2891874|offset_97|444444&amp;v=2891572:2892074&amp;c=444444", "offset 15")</f>
        <v>offset 15</v>
      </c>
    </row>
    <row r="9209" customFormat="false" ht="12.8" hidden="false" customHeight="false" outlineLevel="0" collapsed="false">
      <c r="A9209" s="0" t="s">
        <v>12</v>
      </c>
      <c r="B9209" s="0" t="n">
        <v>2891800</v>
      </c>
      <c r="C9209" s="0" t="n">
        <v>2891820</v>
      </c>
      <c r="D9209" s="0" t="s">
        <v>30622</v>
      </c>
      <c r="E9209" s="0" t="s">
        <v>75</v>
      </c>
      <c r="F9209" s="0" t="s">
        <v>15</v>
      </c>
      <c r="G9209" s="0" t="s">
        <v>16</v>
      </c>
      <c r="H9209" s="0" t="n">
        <v>43</v>
      </c>
      <c r="I9209" s="0" t="s">
        <v>30626</v>
      </c>
      <c r="J9209" s="0" t="s">
        <v>30627</v>
      </c>
      <c r="K9209" s="0" t="s">
        <v>30628</v>
      </c>
      <c r="L9209" s="0" t="str">
        <f aca="false">HYPERLINK("https://www.ncbi.nlm.nih.gov/nuccore/CP000058.1?report=graph&amp;tracks=[key:gene_model_track,Options:GeneOnly]&amp;mk=2891773:2891792|offset_15|444444,2891801:2891820|offset_43|00cc00,2891822:2891841|offset_64|444444,2891855:2891874|offset_97|444444&amp;v=2891572:2892074&amp;c=444444", "offset 43")</f>
        <v>offset 43</v>
      </c>
    </row>
    <row r="9210" customFormat="false" ht="12.8" hidden="false" customHeight="false" outlineLevel="0" collapsed="false">
      <c r="A9210" s="0" t="s">
        <v>12</v>
      </c>
      <c r="B9210" s="0" t="n">
        <v>2891821</v>
      </c>
      <c r="C9210" s="0" t="n">
        <v>2891841</v>
      </c>
      <c r="D9210" s="0" t="s">
        <v>30622</v>
      </c>
      <c r="E9210" s="0" t="s">
        <v>75</v>
      </c>
      <c r="F9210" s="0" t="s">
        <v>15</v>
      </c>
      <c r="G9210" s="0" t="s">
        <v>16</v>
      </c>
      <c r="H9210" s="0" t="n">
        <v>64</v>
      </c>
      <c r="I9210" s="0" t="s">
        <v>30629</v>
      </c>
      <c r="J9210" s="0" t="s">
        <v>30630</v>
      </c>
      <c r="K9210" s="0" t="s">
        <v>30631</v>
      </c>
      <c r="L9210" s="0" t="str">
        <f aca="false">HYPERLINK("https://www.ncbi.nlm.nih.gov/nuccore/CP000058.1?report=graph&amp;tracks=[key:gene_model_track,Options:GeneOnly]&amp;mk=2891773:2891792|offset_15|444444,2891801:2891820|offset_43|444444,2891822:2891841|offset_64|00cc00,2891855:2891874|offset_97|444444&amp;v=2891572:2892074&amp;c=444444", "offset 64")</f>
        <v>offset 64</v>
      </c>
    </row>
    <row r="9211" customFormat="false" ht="12.8" hidden="false" customHeight="false" outlineLevel="0" collapsed="false">
      <c r="A9211" s="0" t="s">
        <v>12</v>
      </c>
      <c r="B9211" s="0" t="n">
        <v>2891854</v>
      </c>
      <c r="C9211" s="0" t="n">
        <v>2891874</v>
      </c>
      <c r="D9211" s="0" t="s">
        <v>30622</v>
      </c>
      <c r="E9211" s="0" t="s">
        <v>75</v>
      </c>
      <c r="F9211" s="0" t="s">
        <v>15</v>
      </c>
      <c r="G9211" s="0" t="s">
        <v>16</v>
      </c>
      <c r="H9211" s="0" t="n">
        <v>97</v>
      </c>
      <c r="I9211" s="0" t="s">
        <v>30632</v>
      </c>
      <c r="J9211" s="0" t="s">
        <v>30633</v>
      </c>
      <c r="K9211" s="0" t="s">
        <v>30634</v>
      </c>
      <c r="L9211" s="0" t="str">
        <f aca="false">HYPERLINK("https://www.ncbi.nlm.nih.gov/nuccore/CP000058.1?report=graph&amp;tracks=[key:gene_model_track,Options:GeneOnly]&amp;mk=2891773:2891792|offset_15|444444,2891801:2891820|offset_43|444444,2891822:2891841|offset_64|444444,2891855:2891874|offset_97|00cc00&amp;v=2891572:2892074&amp;c=444444", "offset 97")</f>
        <v>offset 97</v>
      </c>
    </row>
    <row r="9212" customFormat="false" ht="12.8" hidden="false" customHeight="false" outlineLevel="0" collapsed="false">
      <c r="A9212" s="0" t="s">
        <v>12</v>
      </c>
      <c r="B9212" s="0" t="n">
        <v>2892844</v>
      </c>
      <c r="C9212" s="0" t="n">
        <v>2892864</v>
      </c>
      <c r="D9212" s="0" t="s">
        <v>30635</v>
      </c>
      <c r="E9212" s="0" t="s">
        <v>30636</v>
      </c>
      <c r="F9212" s="0" t="s">
        <v>15</v>
      </c>
      <c r="G9212" s="0" t="s">
        <v>36</v>
      </c>
      <c r="H9212" s="0" t="n">
        <v>28</v>
      </c>
      <c r="I9212" s="0" t="s">
        <v>30637</v>
      </c>
      <c r="J9212" s="0" t="s">
        <v>30638</v>
      </c>
      <c r="K9212" s="0" t="s">
        <v>30639</v>
      </c>
      <c r="L9212" s="0" t="str">
        <f aca="false">HYPERLINK("https://www.ncbi.nlm.nih.gov/nuccore/CP000058.1?report=graph&amp;tracks=[key:gene_model_track,Options:GeneOnly]&amp;mk=2892845:2892864|offset_28|00cc00,2892866:2892885|offset_49|444444,2892896:2892915|offset_79|444444,2892949:2892968|offset_132|444444&amp;v=2892644:2893168&amp;c=444444", "offset 28")</f>
        <v>offset 28</v>
      </c>
    </row>
    <row r="9213" customFormat="false" ht="12.8" hidden="false" customHeight="false" outlineLevel="0" collapsed="false">
      <c r="A9213" s="0" t="s">
        <v>12</v>
      </c>
      <c r="B9213" s="0" t="n">
        <v>2892865</v>
      </c>
      <c r="C9213" s="0" t="n">
        <v>2892885</v>
      </c>
      <c r="D9213" s="0" t="s">
        <v>30635</v>
      </c>
      <c r="E9213" s="0" t="s">
        <v>30636</v>
      </c>
      <c r="F9213" s="0" t="s">
        <v>15</v>
      </c>
      <c r="G9213" s="0" t="s">
        <v>32</v>
      </c>
      <c r="H9213" s="0" t="n">
        <v>49</v>
      </c>
      <c r="I9213" s="0" t="s">
        <v>30640</v>
      </c>
      <c r="J9213" s="0" t="s">
        <v>30641</v>
      </c>
      <c r="K9213" s="0" t="s">
        <v>30642</v>
      </c>
      <c r="L9213" s="0" t="str">
        <f aca="false">HYPERLINK("https://www.ncbi.nlm.nih.gov/nuccore/CP000058.1?report=graph&amp;tracks=[key:gene_model_track,Options:GeneOnly]&amp;mk=2892845:2892864|offset_28|444444,2892866:2892885|offset_49|00cc00,2892896:2892915|offset_79|444444,2892949:2892968|offset_132|444444&amp;v=2892644:2893168&amp;c=444444", "offset 49")</f>
        <v>offset 49</v>
      </c>
    </row>
    <row r="9214" customFormat="false" ht="12.8" hidden="false" customHeight="false" outlineLevel="0" collapsed="false">
      <c r="A9214" s="0" t="s">
        <v>12</v>
      </c>
      <c r="B9214" s="0" t="n">
        <v>2892895</v>
      </c>
      <c r="C9214" s="0" t="n">
        <v>2892915</v>
      </c>
      <c r="D9214" s="0" t="s">
        <v>30635</v>
      </c>
      <c r="E9214" s="0" t="s">
        <v>30636</v>
      </c>
      <c r="F9214" s="0" t="s">
        <v>15</v>
      </c>
      <c r="G9214" s="0" t="s">
        <v>20</v>
      </c>
      <c r="H9214" s="0" t="n">
        <v>79</v>
      </c>
      <c r="I9214" s="0" t="s">
        <v>30643</v>
      </c>
      <c r="J9214" s="0" t="s">
        <v>30644</v>
      </c>
      <c r="K9214" s="0" t="s">
        <v>30645</v>
      </c>
      <c r="L9214" s="0" t="str">
        <f aca="false">HYPERLINK("https://www.ncbi.nlm.nih.gov/nuccore/CP000058.1?report=graph&amp;tracks=[key:gene_model_track,Options:GeneOnly]&amp;mk=2892845:2892864|offset_28|444444,2892866:2892885|offset_49|444444,2892896:2892915|offset_79|00cc00,2892949:2892968|offset_132|444444&amp;v=2892644:2893168&amp;c=444444", "offset 79")</f>
        <v>offset 79</v>
      </c>
    </row>
    <row r="9215" customFormat="false" ht="12.8" hidden="false" customHeight="false" outlineLevel="0" collapsed="false">
      <c r="A9215" s="0" t="s">
        <v>12</v>
      </c>
      <c r="B9215" s="0" t="n">
        <v>2892948</v>
      </c>
      <c r="C9215" s="0" t="n">
        <v>2892968</v>
      </c>
      <c r="D9215" s="0" t="s">
        <v>30635</v>
      </c>
      <c r="E9215" s="0" t="s">
        <v>30636</v>
      </c>
      <c r="F9215" s="0" t="s">
        <v>15</v>
      </c>
      <c r="G9215" s="0" t="s">
        <v>32</v>
      </c>
      <c r="H9215" s="0" t="n">
        <v>132</v>
      </c>
      <c r="I9215" s="0" t="s">
        <v>30646</v>
      </c>
      <c r="J9215" s="0" t="s">
        <v>30647</v>
      </c>
      <c r="K9215" s="0" t="s">
        <v>30648</v>
      </c>
      <c r="L9215" s="0" t="str">
        <f aca="false">HYPERLINK("https://www.ncbi.nlm.nih.gov/nuccore/CP000058.1?report=graph&amp;tracks=[key:gene_model_track,Options:GeneOnly]&amp;mk=2892845:2892864|offset_28|444444,2892866:2892885|offset_49|444444,2892896:2892915|offset_79|444444,2892949:2892968|offset_132|00cc00&amp;v=2892644:2893168&amp;c=444444", "offset 132")</f>
        <v>offset 132</v>
      </c>
    </row>
    <row r="9216" customFormat="false" ht="12.8" hidden="false" customHeight="false" outlineLevel="0" collapsed="false">
      <c r="A9216" s="0" t="s">
        <v>12</v>
      </c>
      <c r="B9216" s="0" t="n">
        <v>2893913</v>
      </c>
      <c r="C9216" s="0" t="n">
        <v>2893933</v>
      </c>
      <c r="D9216" s="0" t="s">
        <v>30649</v>
      </c>
      <c r="E9216" s="0" t="s">
        <v>75</v>
      </c>
      <c r="F9216" s="0" t="s">
        <v>15</v>
      </c>
      <c r="G9216" s="0" t="s">
        <v>32</v>
      </c>
      <c r="H9216" s="0" t="n">
        <v>28</v>
      </c>
      <c r="I9216" s="0" t="s">
        <v>30650</v>
      </c>
      <c r="J9216" s="0" t="s">
        <v>30651</v>
      </c>
      <c r="K9216" s="0" t="s">
        <v>30652</v>
      </c>
      <c r="L9216" s="0" t="str">
        <f aca="false">HYPERLINK("https://www.ncbi.nlm.nih.gov/nuccore/CP000058.1?report=graph&amp;tracks=[key:gene_model_track,Options:GeneOnly]&amp;mk=2893914:2893933|offset_28|00cc00,2893957:2893976|offset_71|444444,2893999:2894018|offset_113|444444,2894037:2894056|offset_151|444444&amp;v=2893713:2894256&amp;c=444444", "offset 28")</f>
        <v>offset 28</v>
      </c>
    </row>
    <row r="9217" customFormat="false" ht="12.8" hidden="false" customHeight="false" outlineLevel="0" collapsed="false">
      <c r="A9217" s="0" t="s">
        <v>12</v>
      </c>
      <c r="B9217" s="0" t="n">
        <v>2893956</v>
      </c>
      <c r="C9217" s="0" t="n">
        <v>2893976</v>
      </c>
      <c r="D9217" s="0" t="s">
        <v>30649</v>
      </c>
      <c r="E9217" s="0" t="s">
        <v>75</v>
      </c>
      <c r="F9217" s="0" t="s">
        <v>15</v>
      </c>
      <c r="G9217" s="0" t="s">
        <v>36</v>
      </c>
      <c r="H9217" s="0" t="n">
        <v>71</v>
      </c>
      <c r="I9217" s="0" t="s">
        <v>30653</v>
      </c>
      <c r="J9217" s="0" t="s">
        <v>30654</v>
      </c>
      <c r="K9217" s="0" t="s">
        <v>30655</v>
      </c>
      <c r="L9217" s="0" t="str">
        <f aca="false">HYPERLINK("https://www.ncbi.nlm.nih.gov/nuccore/CP000058.1?report=graph&amp;tracks=[key:gene_model_track,Options:GeneOnly]&amp;mk=2893914:2893933|offset_28|444444,2893957:2893976|offset_71|00cc00,2893999:2894018|offset_113|444444,2894037:2894056|offset_151|444444&amp;v=2893713:2894256&amp;c=444444", "offset 71")</f>
        <v>offset 71</v>
      </c>
    </row>
    <row r="9218" customFormat="false" ht="12.8" hidden="false" customHeight="false" outlineLevel="0" collapsed="false">
      <c r="A9218" s="0" t="s">
        <v>12</v>
      </c>
      <c r="B9218" s="0" t="n">
        <v>2893998</v>
      </c>
      <c r="C9218" s="0" t="n">
        <v>2894018</v>
      </c>
      <c r="D9218" s="0" t="s">
        <v>30649</v>
      </c>
      <c r="E9218" s="0" t="s">
        <v>75</v>
      </c>
      <c r="F9218" s="0" t="s">
        <v>15</v>
      </c>
      <c r="G9218" s="0" t="s">
        <v>36</v>
      </c>
      <c r="H9218" s="0" t="n">
        <v>113</v>
      </c>
      <c r="I9218" s="0" t="s">
        <v>30656</v>
      </c>
      <c r="J9218" s="0" t="s">
        <v>30657</v>
      </c>
      <c r="K9218" s="0" t="s">
        <v>30658</v>
      </c>
      <c r="L9218" s="0" t="str">
        <f aca="false">HYPERLINK("https://www.ncbi.nlm.nih.gov/nuccore/CP000058.1?report=graph&amp;tracks=[key:gene_model_track,Options:GeneOnly]&amp;mk=2893914:2893933|offset_28|444444,2893957:2893976|offset_71|444444,2893999:2894018|offset_113|00cc00,2894037:2894056|offset_151|444444&amp;v=2893713:2894256&amp;c=444444", "offset 113")</f>
        <v>offset 113</v>
      </c>
    </row>
    <row r="9219" customFormat="false" ht="12.8" hidden="false" customHeight="false" outlineLevel="0" collapsed="false">
      <c r="A9219" s="0" t="s">
        <v>12</v>
      </c>
      <c r="B9219" s="0" t="n">
        <v>2894036</v>
      </c>
      <c r="C9219" s="0" t="n">
        <v>2894056</v>
      </c>
      <c r="D9219" s="0" t="s">
        <v>30649</v>
      </c>
      <c r="E9219" s="0" t="s">
        <v>75</v>
      </c>
      <c r="F9219" s="0" t="s">
        <v>15</v>
      </c>
      <c r="G9219" s="0" t="s">
        <v>16</v>
      </c>
      <c r="H9219" s="0" t="n">
        <v>151</v>
      </c>
      <c r="I9219" s="0" t="s">
        <v>30659</v>
      </c>
      <c r="J9219" s="0" t="s">
        <v>30660</v>
      </c>
      <c r="K9219" s="0" t="s">
        <v>30661</v>
      </c>
      <c r="L9219" s="0" t="str">
        <f aca="false">HYPERLINK("https://www.ncbi.nlm.nih.gov/nuccore/CP000058.1?report=graph&amp;tracks=[key:gene_model_track,Options:GeneOnly]&amp;mk=2893914:2893933|offset_28|444444,2893957:2893976|offset_71|444444,2893999:2894018|offset_113|444444,2894037:2894056|offset_151|00cc00&amp;v=2893713:2894256&amp;c=444444", "offset 151")</f>
        <v>offset 151</v>
      </c>
    </row>
    <row r="9220" customFormat="false" ht="12.8" hidden="false" customHeight="false" outlineLevel="0" collapsed="false">
      <c r="A9220" s="0" t="s">
        <v>12</v>
      </c>
      <c r="B9220" s="0" t="n">
        <v>2895460</v>
      </c>
      <c r="C9220" s="0" t="n">
        <v>2895480</v>
      </c>
      <c r="D9220" s="0" t="s">
        <v>30662</v>
      </c>
      <c r="E9220" s="0" t="s">
        <v>30663</v>
      </c>
      <c r="F9220" s="0" t="s">
        <v>15</v>
      </c>
      <c r="G9220" s="0" t="s">
        <v>16</v>
      </c>
      <c r="H9220" s="0" t="n">
        <v>10</v>
      </c>
      <c r="I9220" s="0" t="s">
        <v>30664</v>
      </c>
      <c r="J9220" s="0" t="s">
        <v>30665</v>
      </c>
      <c r="K9220" s="0" t="s">
        <v>30666</v>
      </c>
      <c r="L9220" s="0" t="str">
        <f aca="false">HYPERLINK("https://www.ncbi.nlm.nih.gov/nuccore/CP000058.1?report=graph&amp;tracks=[key:gene_model_track,Options:GeneOnly]&amp;mk=2895461:2895480|offset_10|00cc00,2895481:2895500|offset_30|444444,2895512:2895531|offset_61|444444,2895539:2895558|offset_88|444444&amp;v=2895260:2895758&amp;c=444444", "offset 10")</f>
        <v>offset 10</v>
      </c>
    </row>
    <row r="9221" customFormat="false" ht="12.8" hidden="false" customHeight="false" outlineLevel="0" collapsed="false">
      <c r="A9221" s="0" t="s">
        <v>12</v>
      </c>
      <c r="B9221" s="0" t="n">
        <v>2895480</v>
      </c>
      <c r="C9221" s="0" t="n">
        <v>2895500</v>
      </c>
      <c r="D9221" s="0" t="s">
        <v>30662</v>
      </c>
      <c r="E9221" s="0" t="s">
        <v>30663</v>
      </c>
      <c r="F9221" s="0" t="s">
        <v>15</v>
      </c>
      <c r="G9221" s="0" t="s">
        <v>36</v>
      </c>
      <c r="H9221" s="0" t="n">
        <v>30</v>
      </c>
      <c r="I9221" s="0" t="s">
        <v>30667</v>
      </c>
      <c r="J9221" s="0" t="s">
        <v>30668</v>
      </c>
      <c r="K9221" s="0" t="s">
        <v>30669</v>
      </c>
      <c r="L9221" s="0" t="str">
        <f aca="false">HYPERLINK("https://www.ncbi.nlm.nih.gov/nuccore/CP000058.1?report=graph&amp;tracks=[key:gene_model_track,Options:GeneOnly]&amp;mk=2895461:2895480|offset_10|444444,2895481:2895500|offset_30|00cc00,2895512:2895531|offset_61|444444,2895539:2895558|offset_88|444444&amp;v=2895260:2895758&amp;c=444444", "offset 30")</f>
        <v>offset 30</v>
      </c>
    </row>
    <row r="9222" customFormat="false" ht="12.8" hidden="false" customHeight="false" outlineLevel="0" collapsed="false">
      <c r="A9222" s="0" t="s">
        <v>12</v>
      </c>
      <c r="B9222" s="0" t="n">
        <v>2895511</v>
      </c>
      <c r="C9222" s="0" t="n">
        <v>2895531</v>
      </c>
      <c r="D9222" s="0" t="s">
        <v>30662</v>
      </c>
      <c r="E9222" s="0" t="s">
        <v>30663</v>
      </c>
      <c r="F9222" s="0" t="s">
        <v>15</v>
      </c>
      <c r="G9222" s="0" t="s">
        <v>16</v>
      </c>
      <c r="H9222" s="0" t="n">
        <v>61</v>
      </c>
      <c r="I9222" s="0" t="s">
        <v>30670</v>
      </c>
      <c r="J9222" s="0" t="s">
        <v>30671</v>
      </c>
      <c r="K9222" s="0" t="s">
        <v>30672</v>
      </c>
      <c r="L9222" s="0" t="str">
        <f aca="false">HYPERLINK("https://www.ncbi.nlm.nih.gov/nuccore/CP000058.1?report=graph&amp;tracks=[key:gene_model_track,Options:GeneOnly]&amp;mk=2895461:2895480|offset_10|444444,2895481:2895500|offset_30|444444,2895512:2895531|offset_61|00cc00,2895539:2895558|offset_88|444444&amp;v=2895260:2895758&amp;c=444444", "offset 61")</f>
        <v>offset 61</v>
      </c>
    </row>
    <row r="9223" customFormat="false" ht="12.8" hidden="false" customHeight="false" outlineLevel="0" collapsed="false">
      <c r="A9223" s="0" t="s">
        <v>12</v>
      </c>
      <c r="B9223" s="0" t="n">
        <v>2895538</v>
      </c>
      <c r="C9223" s="0" t="n">
        <v>2895558</v>
      </c>
      <c r="D9223" s="0" t="s">
        <v>30662</v>
      </c>
      <c r="E9223" s="0" t="s">
        <v>30663</v>
      </c>
      <c r="F9223" s="0" t="s">
        <v>15</v>
      </c>
      <c r="G9223" s="0" t="s">
        <v>16</v>
      </c>
      <c r="H9223" s="0" t="n">
        <v>88</v>
      </c>
      <c r="I9223" s="0" t="s">
        <v>30673</v>
      </c>
      <c r="J9223" s="0" t="s">
        <v>30674</v>
      </c>
      <c r="K9223" s="0" t="s">
        <v>30675</v>
      </c>
      <c r="L9223" s="0" t="str">
        <f aca="false">HYPERLINK("https://www.ncbi.nlm.nih.gov/nuccore/CP000058.1?report=graph&amp;tracks=[key:gene_model_track,Options:GeneOnly]&amp;mk=2895461:2895480|offset_10|444444,2895481:2895500|offset_30|444444,2895512:2895531|offset_61|444444,2895539:2895558|offset_88|00cc00&amp;v=2895260:2895758&amp;c=444444", "offset 88")</f>
        <v>offset 88</v>
      </c>
    </row>
    <row r="9224" customFormat="false" ht="12.8" hidden="false" customHeight="false" outlineLevel="0" collapsed="false">
      <c r="A9224" s="0" t="s">
        <v>12</v>
      </c>
      <c r="B9224" s="0" t="n">
        <v>2896922</v>
      </c>
      <c r="C9224" s="0" t="n">
        <v>2896942</v>
      </c>
      <c r="D9224" s="0" t="s">
        <v>30676</v>
      </c>
      <c r="E9224" s="0" t="s">
        <v>75</v>
      </c>
      <c r="F9224" s="0" t="s">
        <v>90</v>
      </c>
      <c r="G9224" s="0" t="s">
        <v>32</v>
      </c>
      <c r="H9224" s="0" t="n">
        <v>7</v>
      </c>
      <c r="I9224" s="0" t="s">
        <v>30677</v>
      </c>
      <c r="J9224" s="0" t="s">
        <v>30678</v>
      </c>
      <c r="K9224" s="0" t="s">
        <v>30679</v>
      </c>
      <c r="L9224" s="0" t="str">
        <f aca="false">HYPERLINK("https://www.ncbi.nlm.nih.gov/nuccore/CP000058.1?report=graph&amp;tracks=[key:gene_model_track,Options:GeneOnly]&amp;mk=2896923:2896942|offset_7|00cc00,2896880:2896899|offset_50|444444,2896841:2896860|offset_89|444444,2896781:2896800|offset_149|444444&amp;v=2896722:2897000&amp;c=444444", "offset 7")</f>
        <v>offset 7</v>
      </c>
    </row>
    <row r="9225" customFormat="false" ht="12.8" hidden="false" customHeight="false" outlineLevel="0" collapsed="false">
      <c r="A9225" s="0" t="s">
        <v>12</v>
      </c>
      <c r="B9225" s="0" t="n">
        <v>2896879</v>
      </c>
      <c r="C9225" s="0" t="n">
        <v>2896899</v>
      </c>
      <c r="D9225" s="0" t="s">
        <v>30676</v>
      </c>
      <c r="E9225" s="0" t="s">
        <v>75</v>
      </c>
      <c r="F9225" s="0" t="s">
        <v>90</v>
      </c>
      <c r="G9225" s="0" t="s">
        <v>32</v>
      </c>
      <c r="H9225" s="0" t="n">
        <v>50</v>
      </c>
      <c r="I9225" s="0" t="s">
        <v>30680</v>
      </c>
      <c r="J9225" s="0" t="s">
        <v>30681</v>
      </c>
      <c r="K9225" s="0" t="s">
        <v>30682</v>
      </c>
      <c r="L9225" s="0" t="str">
        <f aca="false">HYPERLINK("https://www.ncbi.nlm.nih.gov/nuccore/CP000058.1?report=graph&amp;tracks=[key:gene_model_track,Options:GeneOnly]&amp;mk=2896923:2896942|offset_7|444444,2896880:2896899|offset_50|00cc00,2896841:2896860|offset_89|444444,2896781:2896800|offset_149|444444&amp;v=2896722:2897000&amp;c=444444", "offset 50")</f>
        <v>offset 50</v>
      </c>
    </row>
    <row r="9226" customFormat="false" ht="12.8" hidden="false" customHeight="false" outlineLevel="0" collapsed="false">
      <c r="A9226" s="0" t="s">
        <v>12</v>
      </c>
      <c r="B9226" s="0" t="n">
        <v>2896840</v>
      </c>
      <c r="C9226" s="0" t="n">
        <v>2896860</v>
      </c>
      <c r="D9226" s="0" t="s">
        <v>30676</v>
      </c>
      <c r="E9226" s="0" t="s">
        <v>75</v>
      </c>
      <c r="F9226" s="0" t="s">
        <v>90</v>
      </c>
      <c r="G9226" s="0" t="s">
        <v>16</v>
      </c>
      <c r="H9226" s="0" t="n">
        <v>89</v>
      </c>
      <c r="I9226" s="0" t="s">
        <v>30683</v>
      </c>
      <c r="J9226" s="0" t="s">
        <v>30684</v>
      </c>
      <c r="K9226" s="0" t="s">
        <v>30685</v>
      </c>
      <c r="L9226" s="0" t="str">
        <f aca="false">HYPERLINK("https://www.ncbi.nlm.nih.gov/nuccore/CP000058.1?report=graph&amp;tracks=[key:gene_model_track,Options:GeneOnly]&amp;mk=2896923:2896942|offset_7|444444,2896880:2896899|offset_50|444444,2896841:2896860|offset_89|00cc00,2896781:2896800|offset_149|444444&amp;v=2896722:2897000&amp;c=444444", "offset 89")</f>
        <v>offset 89</v>
      </c>
    </row>
    <row r="9227" customFormat="false" ht="12.8" hidden="false" customHeight="false" outlineLevel="0" collapsed="false">
      <c r="A9227" s="0" t="s">
        <v>12</v>
      </c>
      <c r="B9227" s="0" t="n">
        <v>2896780</v>
      </c>
      <c r="C9227" s="0" t="n">
        <v>2896800</v>
      </c>
      <c r="D9227" s="0" t="s">
        <v>30676</v>
      </c>
      <c r="E9227" s="0" t="s">
        <v>75</v>
      </c>
      <c r="F9227" s="0" t="s">
        <v>90</v>
      </c>
      <c r="G9227" s="0" t="s">
        <v>20</v>
      </c>
      <c r="H9227" s="0" t="n">
        <v>149</v>
      </c>
      <c r="I9227" s="0" t="s">
        <v>30686</v>
      </c>
      <c r="J9227" s="0" t="s">
        <v>30687</v>
      </c>
      <c r="K9227" s="0" t="s">
        <v>30688</v>
      </c>
      <c r="L9227" s="0" t="str">
        <f aca="false">HYPERLINK("https://www.ncbi.nlm.nih.gov/nuccore/CP000058.1?report=graph&amp;tracks=[key:gene_model_track,Options:GeneOnly]&amp;mk=2896923:2896942|offset_7|444444,2896880:2896899|offset_50|444444,2896841:2896860|offset_89|444444,2896781:2896800|offset_149|00cc00&amp;v=2896722:2897000&amp;c=444444", "offset 149")</f>
        <v>offset 149</v>
      </c>
    </row>
    <row r="9228" customFormat="false" ht="12.8" hidden="false" customHeight="false" outlineLevel="0" collapsed="false">
      <c r="A9228" s="0" t="s">
        <v>12</v>
      </c>
      <c r="B9228" s="0" t="n">
        <v>2897738</v>
      </c>
      <c r="C9228" s="0" t="n">
        <v>2897758</v>
      </c>
      <c r="D9228" s="0" t="s">
        <v>30689</v>
      </c>
      <c r="E9228" s="0" t="s">
        <v>75</v>
      </c>
      <c r="F9228" s="0" t="s">
        <v>90</v>
      </c>
      <c r="G9228" s="0" t="s">
        <v>36</v>
      </c>
      <c r="H9228" s="0" t="n">
        <v>7</v>
      </c>
      <c r="I9228" s="0" t="s">
        <v>30690</v>
      </c>
      <c r="J9228" s="0" t="s">
        <v>30691</v>
      </c>
      <c r="K9228" s="0" t="s">
        <v>30692</v>
      </c>
      <c r="L9228" s="0" t="str">
        <f aca="false">HYPERLINK("https://www.ncbi.nlm.nih.gov/nuccore/CP000058.1?report=graph&amp;tracks=[key:gene_model_track,Options:GeneOnly]&amp;mk=2897739:2897758|offset_7|00cc00,2897712:2897731|offset_34|444444,2897692:2897711|offset_54|444444,2897668:2897687|offset_78|444444&amp;v=2897538:2897887&amp;c=444444", "offset 7")</f>
        <v>offset 7</v>
      </c>
    </row>
    <row r="9229" customFormat="false" ht="12.8" hidden="false" customHeight="false" outlineLevel="0" collapsed="false">
      <c r="A9229" s="0" t="s">
        <v>12</v>
      </c>
      <c r="B9229" s="0" t="n">
        <v>2897711</v>
      </c>
      <c r="C9229" s="0" t="n">
        <v>2897731</v>
      </c>
      <c r="D9229" s="0" t="s">
        <v>30689</v>
      </c>
      <c r="E9229" s="0" t="s">
        <v>75</v>
      </c>
      <c r="F9229" s="0" t="s">
        <v>90</v>
      </c>
      <c r="G9229" s="0" t="s">
        <v>32</v>
      </c>
      <c r="H9229" s="0" t="n">
        <v>34</v>
      </c>
      <c r="I9229" s="0" t="s">
        <v>30693</v>
      </c>
      <c r="J9229" s="0" t="s">
        <v>30694</v>
      </c>
      <c r="K9229" s="0" t="s">
        <v>30695</v>
      </c>
      <c r="L9229" s="0" t="str">
        <f aca="false">HYPERLINK("https://www.ncbi.nlm.nih.gov/nuccore/CP000058.1?report=graph&amp;tracks=[key:gene_model_track,Options:GeneOnly]&amp;mk=2897739:2897758|offset_7|444444,2897712:2897731|offset_34|00cc00,2897692:2897711|offset_54|444444,2897668:2897687|offset_78|444444&amp;v=2897538:2897887&amp;c=444444", "offset 34")</f>
        <v>offset 34</v>
      </c>
    </row>
    <row r="9230" customFormat="false" ht="12.8" hidden="false" customHeight="false" outlineLevel="0" collapsed="false">
      <c r="A9230" s="0" t="s">
        <v>12</v>
      </c>
      <c r="B9230" s="0" t="n">
        <v>2897691</v>
      </c>
      <c r="C9230" s="0" t="n">
        <v>2897711</v>
      </c>
      <c r="D9230" s="0" t="s">
        <v>30689</v>
      </c>
      <c r="E9230" s="0" t="s">
        <v>75</v>
      </c>
      <c r="F9230" s="0" t="s">
        <v>90</v>
      </c>
      <c r="G9230" s="0" t="s">
        <v>16</v>
      </c>
      <c r="H9230" s="0" t="n">
        <v>54</v>
      </c>
      <c r="I9230" s="0" t="s">
        <v>30696</v>
      </c>
      <c r="J9230" s="0" t="s">
        <v>30697</v>
      </c>
      <c r="K9230" s="0" t="s">
        <v>30698</v>
      </c>
      <c r="L9230" s="0" t="str">
        <f aca="false">HYPERLINK("https://www.ncbi.nlm.nih.gov/nuccore/CP000058.1?report=graph&amp;tracks=[key:gene_model_track,Options:GeneOnly]&amp;mk=2897739:2897758|offset_7|444444,2897712:2897731|offset_34|444444,2897692:2897711|offset_54|00cc00,2897668:2897687|offset_78|444444&amp;v=2897538:2897887&amp;c=444444", "offset 54")</f>
        <v>offset 54</v>
      </c>
    </row>
    <row r="9231" customFormat="false" ht="12.8" hidden="false" customHeight="false" outlineLevel="0" collapsed="false">
      <c r="A9231" s="0" t="s">
        <v>12</v>
      </c>
      <c r="B9231" s="0" t="n">
        <v>2897667</v>
      </c>
      <c r="C9231" s="0" t="n">
        <v>2897687</v>
      </c>
      <c r="D9231" s="0" t="s">
        <v>30689</v>
      </c>
      <c r="E9231" s="0" t="s">
        <v>75</v>
      </c>
      <c r="F9231" s="0" t="s">
        <v>90</v>
      </c>
      <c r="G9231" s="0" t="s">
        <v>16</v>
      </c>
      <c r="H9231" s="0" t="n">
        <v>78</v>
      </c>
      <c r="I9231" s="0" t="s">
        <v>30699</v>
      </c>
      <c r="J9231" s="0" t="s">
        <v>30700</v>
      </c>
      <c r="K9231" s="0" t="s">
        <v>30701</v>
      </c>
      <c r="L9231" s="0" t="str">
        <f aca="false">HYPERLINK("https://www.ncbi.nlm.nih.gov/nuccore/CP000058.1?report=graph&amp;tracks=[key:gene_model_track,Options:GeneOnly]&amp;mk=2897739:2897758|offset_7|444444,2897712:2897731|offset_34|444444,2897692:2897711|offset_54|444444,2897668:2897687|offset_78|00cc00&amp;v=2897538:2897887&amp;c=444444", "offset 78")</f>
        <v>offset 78</v>
      </c>
    </row>
    <row r="9232" customFormat="false" ht="12.8" hidden="false" customHeight="false" outlineLevel="0" collapsed="false">
      <c r="A9232" s="0" t="s">
        <v>12</v>
      </c>
      <c r="B9232" s="0" t="n">
        <v>2899862</v>
      </c>
      <c r="C9232" s="0" t="n">
        <v>2899882</v>
      </c>
      <c r="D9232" s="0" t="s">
        <v>30702</v>
      </c>
      <c r="E9232" s="0" t="s">
        <v>75</v>
      </c>
      <c r="F9232" s="0" t="s">
        <v>90</v>
      </c>
      <c r="G9232" s="0" t="s">
        <v>32</v>
      </c>
      <c r="H9232" s="0" t="n">
        <v>1</v>
      </c>
      <c r="I9232" s="0" t="s">
        <v>30703</v>
      </c>
      <c r="J9232" s="0" t="s">
        <v>30704</v>
      </c>
      <c r="K9232" s="0" t="s">
        <v>30705</v>
      </c>
      <c r="L9232" s="0" t="str">
        <f aca="false">HYPERLINK("https://www.ncbi.nlm.nih.gov/nuccore/CP000058.1?report=graph&amp;tracks=[key:gene_model_track,Options:GeneOnly]&amp;mk=2899863:2899882|offset_1|00cc00,2899840:2899859|offset_24|444444,2899813:2899832|offset_51|444444,2899793:2899812|offset_71|444444&amp;v=2899662:2900012&amp;c=444444", "offset 1")</f>
        <v>offset 1</v>
      </c>
    </row>
    <row r="9233" customFormat="false" ht="12.8" hidden="false" customHeight="false" outlineLevel="0" collapsed="false">
      <c r="A9233" s="0" t="s">
        <v>12</v>
      </c>
      <c r="B9233" s="0" t="n">
        <v>2899839</v>
      </c>
      <c r="C9233" s="0" t="n">
        <v>2899859</v>
      </c>
      <c r="D9233" s="0" t="s">
        <v>30702</v>
      </c>
      <c r="E9233" s="0" t="s">
        <v>75</v>
      </c>
      <c r="F9233" s="0" t="s">
        <v>90</v>
      </c>
      <c r="G9233" s="0" t="s">
        <v>16</v>
      </c>
      <c r="H9233" s="0" t="n">
        <v>24</v>
      </c>
      <c r="I9233" s="0" t="s">
        <v>30706</v>
      </c>
      <c r="J9233" s="0" t="s">
        <v>30707</v>
      </c>
      <c r="K9233" s="0" t="s">
        <v>30708</v>
      </c>
      <c r="L9233" s="0" t="str">
        <f aca="false">HYPERLINK("https://www.ncbi.nlm.nih.gov/nuccore/CP000058.1?report=graph&amp;tracks=[key:gene_model_track,Options:GeneOnly]&amp;mk=2899863:2899882|offset_1|444444,2899840:2899859|offset_24|00cc00,2899813:2899832|offset_51|444444,2899793:2899812|offset_71|444444&amp;v=2899662:2900012&amp;c=444444", "offset 24")</f>
        <v>offset 24</v>
      </c>
    </row>
    <row r="9234" customFormat="false" ht="12.8" hidden="false" customHeight="false" outlineLevel="0" collapsed="false">
      <c r="A9234" s="0" t="s">
        <v>12</v>
      </c>
      <c r="B9234" s="0" t="n">
        <v>2899812</v>
      </c>
      <c r="C9234" s="0" t="n">
        <v>2899832</v>
      </c>
      <c r="D9234" s="0" t="s">
        <v>30702</v>
      </c>
      <c r="E9234" s="0" t="s">
        <v>75</v>
      </c>
      <c r="F9234" s="0" t="s">
        <v>90</v>
      </c>
      <c r="G9234" s="0" t="s">
        <v>32</v>
      </c>
      <c r="H9234" s="0" t="n">
        <v>51</v>
      </c>
      <c r="I9234" s="0" t="s">
        <v>30709</v>
      </c>
      <c r="J9234" s="0" t="s">
        <v>30710</v>
      </c>
      <c r="K9234" s="0" t="s">
        <v>30711</v>
      </c>
      <c r="L9234" s="0" t="str">
        <f aca="false">HYPERLINK("https://www.ncbi.nlm.nih.gov/nuccore/CP000058.1?report=graph&amp;tracks=[key:gene_model_track,Options:GeneOnly]&amp;mk=2899863:2899882|offset_1|444444,2899840:2899859|offset_24|444444,2899813:2899832|offset_51|00cc00,2899793:2899812|offset_71|444444&amp;v=2899662:2900012&amp;c=444444", "offset 51")</f>
        <v>offset 51</v>
      </c>
    </row>
    <row r="9235" customFormat="false" ht="12.8" hidden="false" customHeight="false" outlineLevel="0" collapsed="false">
      <c r="A9235" s="0" t="s">
        <v>12</v>
      </c>
      <c r="B9235" s="0" t="n">
        <v>2899792</v>
      </c>
      <c r="C9235" s="0" t="n">
        <v>2899812</v>
      </c>
      <c r="D9235" s="0" t="s">
        <v>30702</v>
      </c>
      <c r="E9235" s="0" t="s">
        <v>75</v>
      </c>
      <c r="F9235" s="0" t="s">
        <v>90</v>
      </c>
      <c r="G9235" s="0" t="s">
        <v>20</v>
      </c>
      <c r="H9235" s="0" t="n">
        <v>71</v>
      </c>
      <c r="I9235" s="0" t="s">
        <v>30712</v>
      </c>
      <c r="J9235" s="0" t="s">
        <v>30713</v>
      </c>
      <c r="K9235" s="0" t="s">
        <v>30714</v>
      </c>
      <c r="L9235" s="0" t="str">
        <f aca="false">HYPERLINK("https://www.ncbi.nlm.nih.gov/nuccore/CP000058.1?report=graph&amp;tracks=[key:gene_model_track,Options:GeneOnly]&amp;mk=2899863:2899882|offset_1|444444,2899840:2899859|offset_24|444444,2899813:2899832|offset_51|444444,2899793:2899812|offset_71|00cc00&amp;v=2899662:2900012&amp;c=444444", "offset 71")</f>
        <v>offset 71</v>
      </c>
    </row>
    <row r="9236" customFormat="false" ht="12.8" hidden="false" customHeight="false" outlineLevel="0" collapsed="false">
      <c r="A9236" s="0" t="s">
        <v>12</v>
      </c>
      <c r="B9236" s="0" t="n">
        <v>2899978</v>
      </c>
      <c r="C9236" s="0" t="n">
        <v>2899998</v>
      </c>
      <c r="D9236" s="0" t="s">
        <v>30715</v>
      </c>
      <c r="E9236" s="0" t="s">
        <v>75</v>
      </c>
      <c r="F9236" s="0" t="s">
        <v>90</v>
      </c>
      <c r="G9236" s="0" t="s">
        <v>20</v>
      </c>
      <c r="H9236" s="0" t="n">
        <v>38</v>
      </c>
      <c r="I9236" s="0" t="s">
        <v>30716</v>
      </c>
      <c r="J9236" s="0" t="s">
        <v>30717</v>
      </c>
      <c r="K9236" s="0" t="s">
        <v>30718</v>
      </c>
      <c r="L9236" s="0" t="str">
        <f aca="false">HYPERLINK("https://www.ncbi.nlm.nih.gov/nuccore/CP000058.1?report=graph&amp;tracks=[key:gene_model_track,Options:GeneOnly]&amp;mk=2899979:2899998|offset_38|00cc00,2899952:2899971|offset_65|444444,2899923:2899942|offset_94|444444&amp;v=2899778:2900142&amp;c=444444", "offset 38")</f>
        <v>offset 38</v>
      </c>
    </row>
    <row r="9237" customFormat="false" ht="12.8" hidden="false" customHeight="false" outlineLevel="0" collapsed="false">
      <c r="A9237" s="0" t="s">
        <v>12</v>
      </c>
      <c r="B9237" s="0" t="n">
        <v>2899951</v>
      </c>
      <c r="C9237" s="0" t="n">
        <v>2899971</v>
      </c>
      <c r="D9237" s="0" t="s">
        <v>30715</v>
      </c>
      <c r="E9237" s="0" t="s">
        <v>75</v>
      </c>
      <c r="F9237" s="0" t="s">
        <v>90</v>
      </c>
      <c r="G9237" s="0" t="s">
        <v>16</v>
      </c>
      <c r="H9237" s="0" t="n">
        <v>65</v>
      </c>
      <c r="I9237" s="0" t="s">
        <v>30719</v>
      </c>
      <c r="J9237" s="0" t="s">
        <v>30720</v>
      </c>
      <c r="K9237" s="0" t="s">
        <v>30721</v>
      </c>
      <c r="L9237" s="0" t="str">
        <f aca="false">HYPERLINK("https://www.ncbi.nlm.nih.gov/nuccore/CP000058.1?report=graph&amp;tracks=[key:gene_model_track,Options:GeneOnly]&amp;mk=2899979:2899998|offset_38|444444,2899952:2899971|offset_65|00cc00,2899923:2899942|offset_94|444444&amp;v=2899778:2900142&amp;c=444444", "offset 65")</f>
        <v>offset 65</v>
      </c>
    </row>
    <row r="9238" customFormat="false" ht="12.8" hidden="false" customHeight="false" outlineLevel="0" collapsed="false">
      <c r="A9238" s="0" t="s">
        <v>12</v>
      </c>
      <c r="B9238" s="0" t="n">
        <v>2899922</v>
      </c>
      <c r="C9238" s="0" t="n">
        <v>2899942</v>
      </c>
      <c r="D9238" s="0" t="s">
        <v>30715</v>
      </c>
      <c r="E9238" s="0" t="s">
        <v>75</v>
      </c>
      <c r="F9238" s="0" t="s">
        <v>90</v>
      </c>
      <c r="G9238" s="0" t="s">
        <v>36</v>
      </c>
      <c r="H9238" s="0" t="n">
        <v>94</v>
      </c>
      <c r="I9238" s="0" t="s">
        <v>30722</v>
      </c>
      <c r="J9238" s="0" t="s">
        <v>30723</v>
      </c>
      <c r="K9238" s="0" t="s">
        <v>30724</v>
      </c>
      <c r="L9238" s="0" t="str">
        <f aca="false">HYPERLINK("https://www.ncbi.nlm.nih.gov/nuccore/CP000058.1?report=graph&amp;tracks=[key:gene_model_track,Options:GeneOnly]&amp;mk=2899979:2899998|offset_38|444444,2899952:2899971|offset_65|444444,2899923:2899942|offset_94|00cc00&amp;v=2899778:2900142&amp;c=444444", "offset 94")</f>
        <v>offset 94</v>
      </c>
    </row>
    <row r="9239" customFormat="false" ht="12.8" hidden="false" customHeight="false" outlineLevel="0" collapsed="false">
      <c r="A9239" s="0" t="s">
        <v>12</v>
      </c>
      <c r="B9239" s="0" t="n">
        <v>2900091</v>
      </c>
      <c r="C9239" s="0" t="n">
        <v>2900111</v>
      </c>
      <c r="D9239" s="0" t="s">
        <v>30725</v>
      </c>
      <c r="E9239" s="0" t="s">
        <v>75</v>
      </c>
      <c r="F9239" s="0" t="s">
        <v>15</v>
      </c>
      <c r="G9239" s="0" t="s">
        <v>20</v>
      </c>
      <c r="H9239" s="0" t="n">
        <v>11</v>
      </c>
      <c r="I9239" s="0" t="s">
        <v>30726</v>
      </c>
      <c r="J9239" s="0" t="s">
        <v>30727</v>
      </c>
      <c r="K9239" s="0" t="s">
        <v>30728</v>
      </c>
      <c r="L9239" s="0" t="str">
        <f aca="false">HYPERLINK("https://www.ncbi.nlm.nih.gov/nuccore/CP000058.1?report=graph&amp;tracks=[key:gene_model_track,Options:GeneOnly]&amp;mk=2900092:2900111|offset_11|00cc00,2900120:2900139|offset_39|444444,2900158:2900177|offset_77|444444,2900184:2900203|offset_103|444444&amp;v=2899891:2900403&amp;c=444444", "offset 11")</f>
        <v>offset 11</v>
      </c>
    </row>
    <row r="9240" customFormat="false" ht="12.8" hidden="false" customHeight="false" outlineLevel="0" collapsed="false">
      <c r="A9240" s="0" t="s">
        <v>12</v>
      </c>
      <c r="B9240" s="0" t="n">
        <v>2900119</v>
      </c>
      <c r="C9240" s="0" t="n">
        <v>2900139</v>
      </c>
      <c r="D9240" s="0" t="s">
        <v>30725</v>
      </c>
      <c r="E9240" s="0" t="s">
        <v>75</v>
      </c>
      <c r="F9240" s="0" t="s">
        <v>15</v>
      </c>
      <c r="G9240" s="0" t="s">
        <v>20</v>
      </c>
      <c r="H9240" s="0" t="n">
        <v>39</v>
      </c>
      <c r="I9240" s="0" t="s">
        <v>30729</v>
      </c>
      <c r="J9240" s="0" t="s">
        <v>30730</v>
      </c>
      <c r="K9240" s="0" t="s">
        <v>30731</v>
      </c>
      <c r="L9240" s="0" t="str">
        <f aca="false">HYPERLINK("https://www.ncbi.nlm.nih.gov/nuccore/CP000058.1?report=graph&amp;tracks=[key:gene_model_track,Options:GeneOnly]&amp;mk=2900092:2900111|offset_11|444444,2900120:2900139|offset_39|00cc00,2900158:2900177|offset_77|444444,2900184:2900203|offset_103|444444&amp;v=2899891:2900403&amp;c=444444", "offset 39")</f>
        <v>offset 39</v>
      </c>
    </row>
    <row r="9241" customFormat="false" ht="12.8" hidden="false" customHeight="false" outlineLevel="0" collapsed="false">
      <c r="A9241" s="0" t="s">
        <v>12</v>
      </c>
      <c r="B9241" s="0" t="n">
        <v>2900157</v>
      </c>
      <c r="C9241" s="0" t="n">
        <v>2900177</v>
      </c>
      <c r="D9241" s="0" t="s">
        <v>30725</v>
      </c>
      <c r="E9241" s="0" t="s">
        <v>75</v>
      </c>
      <c r="F9241" s="0" t="s">
        <v>15</v>
      </c>
      <c r="G9241" s="0" t="s">
        <v>20</v>
      </c>
      <c r="H9241" s="0" t="n">
        <v>77</v>
      </c>
      <c r="I9241" s="0" t="s">
        <v>30732</v>
      </c>
      <c r="J9241" s="0" t="s">
        <v>30733</v>
      </c>
      <c r="K9241" s="0" t="s">
        <v>30734</v>
      </c>
      <c r="L9241" s="0" t="str">
        <f aca="false">HYPERLINK("https://www.ncbi.nlm.nih.gov/nuccore/CP000058.1?report=graph&amp;tracks=[key:gene_model_track,Options:GeneOnly]&amp;mk=2900092:2900111|offset_11|444444,2900120:2900139|offset_39|444444,2900158:2900177|offset_77|00cc00,2900184:2900203|offset_103|444444&amp;v=2899891:2900403&amp;c=444444", "offset 77")</f>
        <v>offset 77</v>
      </c>
    </row>
    <row r="9242" customFormat="false" ht="12.8" hidden="false" customHeight="false" outlineLevel="0" collapsed="false">
      <c r="A9242" s="0" t="s">
        <v>12</v>
      </c>
      <c r="B9242" s="0" t="n">
        <v>2900183</v>
      </c>
      <c r="C9242" s="0" t="n">
        <v>2900203</v>
      </c>
      <c r="D9242" s="0" t="s">
        <v>30725</v>
      </c>
      <c r="E9242" s="0" t="s">
        <v>75</v>
      </c>
      <c r="F9242" s="0" t="s">
        <v>15</v>
      </c>
      <c r="G9242" s="0" t="s">
        <v>32</v>
      </c>
      <c r="H9242" s="0" t="n">
        <v>103</v>
      </c>
      <c r="I9242" s="0" t="s">
        <v>30735</v>
      </c>
      <c r="J9242" s="0" t="s">
        <v>30736</v>
      </c>
      <c r="K9242" s="0" t="s">
        <v>30737</v>
      </c>
      <c r="L9242" s="0" t="str">
        <f aca="false">HYPERLINK("https://www.ncbi.nlm.nih.gov/nuccore/CP000058.1?report=graph&amp;tracks=[key:gene_model_track,Options:GeneOnly]&amp;mk=2900092:2900111|offset_11|444444,2900120:2900139|offset_39|444444,2900158:2900177|offset_77|444444,2900184:2900203|offset_103|00cc00&amp;v=2899891:2900403&amp;c=444444", "offset 103")</f>
        <v>offset 103</v>
      </c>
    </row>
    <row r="9243" customFormat="false" ht="12.8" hidden="false" customHeight="false" outlineLevel="0" collapsed="false">
      <c r="A9243" s="0" t="s">
        <v>12</v>
      </c>
      <c r="B9243" s="0" t="n">
        <v>2904486</v>
      </c>
      <c r="C9243" s="0" t="n">
        <v>2904506</v>
      </c>
      <c r="D9243" s="0" t="s">
        <v>30738</v>
      </c>
      <c r="E9243" s="0" t="s">
        <v>75</v>
      </c>
      <c r="F9243" s="0" t="s">
        <v>90</v>
      </c>
      <c r="G9243" s="0" t="s">
        <v>32</v>
      </c>
      <c r="H9243" s="0" t="n">
        <v>13</v>
      </c>
      <c r="I9243" s="0" t="s">
        <v>30739</v>
      </c>
      <c r="J9243" s="0" t="s">
        <v>30740</v>
      </c>
      <c r="K9243" s="0" t="s">
        <v>30741</v>
      </c>
      <c r="L9243" s="0" t="str">
        <f aca="false">HYPERLINK("https://www.ncbi.nlm.nih.gov/nuccore/CP000058.1?report=graph&amp;tracks=[key:gene_model_track,Options:GeneOnly]&amp;mk=2904487:2904506|offset_13|00cc00,2904465:2904484|offset_35|444444,2904433:2904452|offset_67|444444,2904403:2904422|offset_97|444444&amp;v=2904286:2904622&amp;c=444444", "offset 13")</f>
        <v>offset 13</v>
      </c>
    </row>
    <row r="9244" customFormat="false" ht="12.8" hidden="false" customHeight="false" outlineLevel="0" collapsed="false">
      <c r="A9244" s="0" t="s">
        <v>12</v>
      </c>
      <c r="B9244" s="0" t="n">
        <v>2904464</v>
      </c>
      <c r="C9244" s="0" t="n">
        <v>2904484</v>
      </c>
      <c r="D9244" s="0" t="s">
        <v>30738</v>
      </c>
      <c r="E9244" s="0" t="s">
        <v>75</v>
      </c>
      <c r="F9244" s="0" t="s">
        <v>90</v>
      </c>
      <c r="G9244" s="0" t="s">
        <v>36</v>
      </c>
      <c r="H9244" s="0" t="n">
        <v>35</v>
      </c>
      <c r="I9244" s="0" t="s">
        <v>30742</v>
      </c>
      <c r="J9244" s="0" t="s">
        <v>30743</v>
      </c>
      <c r="K9244" s="0" t="s">
        <v>30744</v>
      </c>
      <c r="L9244" s="0" t="str">
        <f aca="false">HYPERLINK("https://www.ncbi.nlm.nih.gov/nuccore/CP000058.1?report=graph&amp;tracks=[key:gene_model_track,Options:GeneOnly]&amp;mk=2904487:2904506|offset_13|444444,2904465:2904484|offset_35|00cc00,2904433:2904452|offset_67|444444,2904403:2904422|offset_97|444444&amp;v=2904286:2904622&amp;c=444444", "offset 35")</f>
        <v>offset 35</v>
      </c>
    </row>
    <row r="9245" customFormat="false" ht="12.8" hidden="false" customHeight="false" outlineLevel="0" collapsed="false">
      <c r="A9245" s="0" t="s">
        <v>12</v>
      </c>
      <c r="B9245" s="0" t="n">
        <v>2904432</v>
      </c>
      <c r="C9245" s="0" t="n">
        <v>2904452</v>
      </c>
      <c r="D9245" s="0" t="s">
        <v>30738</v>
      </c>
      <c r="E9245" s="0" t="s">
        <v>75</v>
      </c>
      <c r="F9245" s="0" t="s">
        <v>90</v>
      </c>
      <c r="G9245" s="0" t="s">
        <v>36</v>
      </c>
      <c r="H9245" s="0" t="n">
        <v>67</v>
      </c>
      <c r="I9245" s="0" t="s">
        <v>30745</v>
      </c>
      <c r="J9245" s="0" t="s">
        <v>30746</v>
      </c>
      <c r="K9245" s="0" t="s">
        <v>30747</v>
      </c>
      <c r="L9245" s="0" t="str">
        <f aca="false">HYPERLINK("https://www.ncbi.nlm.nih.gov/nuccore/CP000058.1?report=graph&amp;tracks=[key:gene_model_track,Options:GeneOnly]&amp;mk=2904487:2904506|offset_13|444444,2904465:2904484|offset_35|444444,2904433:2904452|offset_67|00cc00,2904403:2904422|offset_97|444444&amp;v=2904286:2904622&amp;c=444444", "offset 67")</f>
        <v>offset 67</v>
      </c>
    </row>
    <row r="9246" customFormat="false" ht="12.8" hidden="false" customHeight="false" outlineLevel="0" collapsed="false">
      <c r="A9246" s="0" t="s">
        <v>12</v>
      </c>
      <c r="B9246" s="0" t="n">
        <v>2904402</v>
      </c>
      <c r="C9246" s="0" t="n">
        <v>2904422</v>
      </c>
      <c r="D9246" s="0" t="s">
        <v>30738</v>
      </c>
      <c r="E9246" s="0" t="s">
        <v>75</v>
      </c>
      <c r="F9246" s="0" t="s">
        <v>90</v>
      </c>
      <c r="G9246" s="0" t="s">
        <v>32</v>
      </c>
      <c r="H9246" s="0" t="n">
        <v>97</v>
      </c>
      <c r="I9246" s="0" t="s">
        <v>30748</v>
      </c>
      <c r="J9246" s="0" t="s">
        <v>30749</v>
      </c>
      <c r="K9246" s="0" t="s">
        <v>30750</v>
      </c>
      <c r="L9246" s="0" t="str">
        <f aca="false">HYPERLINK("https://www.ncbi.nlm.nih.gov/nuccore/CP000058.1?report=graph&amp;tracks=[key:gene_model_track,Options:GeneOnly]&amp;mk=2904487:2904506|offset_13|444444,2904465:2904484|offset_35|444444,2904433:2904452|offset_67|444444,2904403:2904422|offset_97|00cc00&amp;v=2904286:2904622&amp;c=444444", "offset 97")</f>
        <v>offset 97</v>
      </c>
    </row>
    <row r="9247" customFormat="false" ht="12.8" hidden="false" customHeight="false" outlineLevel="0" collapsed="false">
      <c r="A9247" s="0" t="s">
        <v>12</v>
      </c>
      <c r="B9247" s="0" t="n">
        <v>2905083</v>
      </c>
      <c r="C9247" s="0" t="n">
        <v>2905103</v>
      </c>
      <c r="D9247" s="0" t="s">
        <v>30751</v>
      </c>
      <c r="E9247" s="0" t="s">
        <v>75</v>
      </c>
      <c r="F9247" s="0" t="s">
        <v>15</v>
      </c>
      <c r="G9247" s="0" t="s">
        <v>32</v>
      </c>
      <c r="H9247" s="0" t="n">
        <v>15</v>
      </c>
      <c r="I9247" s="0" t="s">
        <v>30752</v>
      </c>
      <c r="J9247" s="0" t="s">
        <v>30753</v>
      </c>
      <c r="K9247" s="0" t="s">
        <v>30754</v>
      </c>
      <c r="L9247" s="0" t="str">
        <f aca="false">HYPERLINK("https://www.ncbi.nlm.nih.gov/nuccore/CP000058.1?report=graph&amp;tracks=[key:gene_model_track,Options:GeneOnly]&amp;mk=2905084:2905103|offset_15|00cc00,2905136:2905155|offset_67|444444,2905163:2905182|offset_94|444444,2905187:2905206|offset_118|444444&amp;v=2904883:2905406&amp;c=444444", "offset 15")</f>
        <v>offset 15</v>
      </c>
    </row>
    <row r="9248" customFormat="false" ht="12.8" hidden="false" customHeight="false" outlineLevel="0" collapsed="false">
      <c r="A9248" s="0" t="s">
        <v>12</v>
      </c>
      <c r="B9248" s="0" t="n">
        <v>2905135</v>
      </c>
      <c r="C9248" s="0" t="n">
        <v>2905155</v>
      </c>
      <c r="D9248" s="0" t="s">
        <v>30751</v>
      </c>
      <c r="E9248" s="0" t="s">
        <v>75</v>
      </c>
      <c r="F9248" s="0" t="s">
        <v>15</v>
      </c>
      <c r="G9248" s="0" t="s">
        <v>20</v>
      </c>
      <c r="H9248" s="0" t="n">
        <v>67</v>
      </c>
      <c r="I9248" s="0" t="s">
        <v>30755</v>
      </c>
      <c r="J9248" s="0" t="s">
        <v>30756</v>
      </c>
      <c r="K9248" s="0" t="s">
        <v>30757</v>
      </c>
      <c r="L9248" s="0" t="str">
        <f aca="false">HYPERLINK("https://www.ncbi.nlm.nih.gov/nuccore/CP000058.1?report=graph&amp;tracks=[key:gene_model_track,Options:GeneOnly]&amp;mk=2905084:2905103|offset_15|444444,2905136:2905155|offset_67|00cc00,2905163:2905182|offset_94|444444,2905187:2905206|offset_118|444444&amp;v=2904883:2905406&amp;c=444444", "offset 67")</f>
        <v>offset 67</v>
      </c>
    </row>
    <row r="9249" customFormat="false" ht="12.8" hidden="false" customHeight="false" outlineLevel="0" collapsed="false">
      <c r="A9249" s="0" t="s">
        <v>12</v>
      </c>
      <c r="B9249" s="0" t="n">
        <v>2905162</v>
      </c>
      <c r="C9249" s="0" t="n">
        <v>2905182</v>
      </c>
      <c r="D9249" s="0" t="s">
        <v>30751</v>
      </c>
      <c r="E9249" s="0" t="s">
        <v>75</v>
      </c>
      <c r="F9249" s="0" t="s">
        <v>15</v>
      </c>
      <c r="G9249" s="0" t="s">
        <v>32</v>
      </c>
      <c r="H9249" s="0" t="n">
        <v>94</v>
      </c>
      <c r="I9249" s="0" t="s">
        <v>30758</v>
      </c>
      <c r="J9249" s="0" t="s">
        <v>30759</v>
      </c>
      <c r="K9249" s="0" t="s">
        <v>30760</v>
      </c>
      <c r="L9249" s="0" t="str">
        <f aca="false">HYPERLINK("https://www.ncbi.nlm.nih.gov/nuccore/CP000058.1?report=graph&amp;tracks=[key:gene_model_track,Options:GeneOnly]&amp;mk=2905084:2905103|offset_15|444444,2905136:2905155|offset_67|444444,2905163:2905182|offset_94|00cc00,2905187:2905206|offset_118|444444&amp;v=2904883:2905406&amp;c=444444", "offset 94")</f>
        <v>offset 94</v>
      </c>
    </row>
    <row r="9250" customFormat="false" ht="12.8" hidden="false" customHeight="false" outlineLevel="0" collapsed="false">
      <c r="A9250" s="0" t="s">
        <v>12</v>
      </c>
      <c r="B9250" s="0" t="n">
        <v>2905186</v>
      </c>
      <c r="C9250" s="0" t="n">
        <v>2905206</v>
      </c>
      <c r="D9250" s="0" t="s">
        <v>30751</v>
      </c>
      <c r="E9250" s="0" t="s">
        <v>75</v>
      </c>
      <c r="F9250" s="0" t="s">
        <v>15</v>
      </c>
      <c r="G9250" s="0" t="s">
        <v>32</v>
      </c>
      <c r="H9250" s="0" t="n">
        <v>118</v>
      </c>
      <c r="I9250" s="0" t="s">
        <v>30761</v>
      </c>
      <c r="J9250" s="0" t="s">
        <v>30762</v>
      </c>
      <c r="K9250" s="0" t="s">
        <v>30763</v>
      </c>
      <c r="L9250" s="0" t="str">
        <f aca="false">HYPERLINK("https://www.ncbi.nlm.nih.gov/nuccore/CP000058.1?report=graph&amp;tracks=[key:gene_model_track,Options:GeneOnly]&amp;mk=2905084:2905103|offset_15|444444,2905136:2905155|offset_67|444444,2905163:2905182|offset_94|444444,2905187:2905206|offset_118|00cc00&amp;v=2904883:2905406&amp;c=444444", "offset 118")</f>
        <v>offset 118</v>
      </c>
    </row>
    <row r="9251" customFormat="false" ht="12.8" hidden="false" customHeight="false" outlineLevel="0" collapsed="false">
      <c r="A9251" s="0" t="s">
        <v>12</v>
      </c>
      <c r="B9251" s="0" t="n">
        <v>2905362</v>
      </c>
      <c r="C9251" s="0" t="n">
        <v>2905382</v>
      </c>
      <c r="D9251" s="0" t="s">
        <v>30764</v>
      </c>
      <c r="E9251" s="0" t="s">
        <v>75</v>
      </c>
      <c r="F9251" s="0" t="s">
        <v>15</v>
      </c>
      <c r="G9251" s="0" t="s">
        <v>20</v>
      </c>
      <c r="H9251" s="0" t="n">
        <v>10</v>
      </c>
      <c r="I9251" s="0" t="s">
        <v>30765</v>
      </c>
      <c r="J9251" s="0" t="s">
        <v>30766</v>
      </c>
      <c r="K9251" s="0" t="s">
        <v>30767</v>
      </c>
      <c r="L9251" s="0" t="str">
        <f aca="false">HYPERLINK("https://www.ncbi.nlm.nih.gov/nuccore/CP000058.1?report=graph&amp;tracks=[key:gene_model_track,Options:GeneOnly]&amp;mk=2905363:2905382|offset_10|00cc00,2905386:2905405|offset_33|444444,2905417:2905436|offset_64|444444,2905463:2905482|offset_110|444444&amp;v=2905162:2905682&amp;c=444444", "offset 10")</f>
        <v>offset 10</v>
      </c>
    </row>
    <row r="9252" customFormat="false" ht="12.8" hidden="false" customHeight="false" outlineLevel="0" collapsed="false">
      <c r="A9252" s="0" t="s">
        <v>12</v>
      </c>
      <c r="B9252" s="0" t="n">
        <v>2905385</v>
      </c>
      <c r="C9252" s="0" t="n">
        <v>2905405</v>
      </c>
      <c r="D9252" s="0" t="s">
        <v>30764</v>
      </c>
      <c r="E9252" s="0" t="s">
        <v>75</v>
      </c>
      <c r="F9252" s="0" t="s">
        <v>15</v>
      </c>
      <c r="G9252" s="0" t="s">
        <v>36</v>
      </c>
      <c r="H9252" s="0" t="n">
        <v>33</v>
      </c>
      <c r="I9252" s="0" t="s">
        <v>30768</v>
      </c>
      <c r="J9252" s="0" t="s">
        <v>30769</v>
      </c>
      <c r="K9252" s="0" t="s">
        <v>30770</v>
      </c>
      <c r="L9252" s="0" t="str">
        <f aca="false">HYPERLINK("https://www.ncbi.nlm.nih.gov/nuccore/CP000058.1?report=graph&amp;tracks=[key:gene_model_track,Options:GeneOnly]&amp;mk=2905363:2905382|offset_10|444444,2905386:2905405|offset_33|00cc00,2905417:2905436|offset_64|444444,2905463:2905482|offset_110|444444&amp;v=2905162:2905682&amp;c=444444", "offset 33")</f>
        <v>offset 33</v>
      </c>
    </row>
    <row r="9253" customFormat="false" ht="12.8" hidden="false" customHeight="false" outlineLevel="0" collapsed="false">
      <c r="A9253" s="0" t="s">
        <v>12</v>
      </c>
      <c r="B9253" s="0" t="n">
        <v>2905416</v>
      </c>
      <c r="C9253" s="0" t="n">
        <v>2905436</v>
      </c>
      <c r="D9253" s="0" t="s">
        <v>30764</v>
      </c>
      <c r="E9253" s="0" t="s">
        <v>75</v>
      </c>
      <c r="F9253" s="0" t="s">
        <v>15</v>
      </c>
      <c r="G9253" s="0" t="s">
        <v>36</v>
      </c>
      <c r="H9253" s="0" t="n">
        <v>64</v>
      </c>
      <c r="I9253" s="0" t="s">
        <v>30771</v>
      </c>
      <c r="J9253" s="0" t="s">
        <v>30772</v>
      </c>
      <c r="K9253" s="0" t="s">
        <v>30773</v>
      </c>
      <c r="L9253" s="0" t="str">
        <f aca="false">HYPERLINK("https://www.ncbi.nlm.nih.gov/nuccore/CP000058.1?report=graph&amp;tracks=[key:gene_model_track,Options:GeneOnly]&amp;mk=2905363:2905382|offset_10|444444,2905386:2905405|offset_33|444444,2905417:2905436|offset_64|00cc00,2905463:2905482|offset_110|444444&amp;v=2905162:2905682&amp;c=444444", "offset 64")</f>
        <v>offset 64</v>
      </c>
    </row>
    <row r="9254" customFormat="false" ht="12.8" hidden="false" customHeight="false" outlineLevel="0" collapsed="false">
      <c r="A9254" s="0" t="s">
        <v>12</v>
      </c>
      <c r="B9254" s="0" t="n">
        <v>2905462</v>
      </c>
      <c r="C9254" s="0" t="n">
        <v>2905482</v>
      </c>
      <c r="D9254" s="0" t="s">
        <v>30764</v>
      </c>
      <c r="E9254" s="0" t="s">
        <v>75</v>
      </c>
      <c r="F9254" s="0" t="s">
        <v>15</v>
      </c>
      <c r="G9254" s="0" t="s">
        <v>20</v>
      </c>
      <c r="H9254" s="0" t="n">
        <v>110</v>
      </c>
      <c r="I9254" s="0" t="s">
        <v>30774</v>
      </c>
      <c r="J9254" s="0" t="s">
        <v>30775</v>
      </c>
      <c r="K9254" s="0" t="s">
        <v>30776</v>
      </c>
      <c r="L9254" s="0" t="str">
        <f aca="false">HYPERLINK("https://www.ncbi.nlm.nih.gov/nuccore/CP000058.1?report=graph&amp;tracks=[key:gene_model_track,Options:GeneOnly]&amp;mk=2905363:2905382|offset_10|444444,2905386:2905405|offset_33|444444,2905417:2905436|offset_64|444444,2905463:2905482|offset_110|00cc00&amp;v=2905162:2905682&amp;c=444444", "offset 110")</f>
        <v>offset 110</v>
      </c>
    </row>
    <row r="9255" customFormat="false" ht="12.8" hidden="false" customHeight="false" outlineLevel="0" collapsed="false">
      <c r="A9255" s="0" t="s">
        <v>12</v>
      </c>
      <c r="B9255" s="0" t="n">
        <v>2906308</v>
      </c>
      <c r="C9255" s="0" t="n">
        <v>2906328</v>
      </c>
      <c r="D9255" s="0" t="s">
        <v>30777</v>
      </c>
      <c r="E9255" s="0" t="s">
        <v>75</v>
      </c>
      <c r="F9255" s="0" t="s">
        <v>15</v>
      </c>
      <c r="G9255" s="0" t="s">
        <v>36</v>
      </c>
      <c r="H9255" s="0" t="n">
        <v>21</v>
      </c>
      <c r="I9255" s="0" t="s">
        <v>30778</v>
      </c>
      <c r="J9255" s="0" t="s">
        <v>30779</v>
      </c>
      <c r="K9255" s="0" t="s">
        <v>30780</v>
      </c>
      <c r="L9255" s="0" t="str">
        <f aca="false">HYPERLINK("https://www.ncbi.nlm.nih.gov/nuccore/CP000058.1?report=graph&amp;tracks=[key:gene_model_track,Options:GeneOnly]&amp;mk=2906309:2906328|offset_21|00cc00,2906339:2906358|offset_51|444444,2906360:2906379|offset_72|444444,2906382:2906401|offset_94|444444&amp;v=2906108:2906601&amp;c=444444", "offset 21")</f>
        <v>offset 21</v>
      </c>
    </row>
    <row r="9256" customFormat="false" ht="12.8" hidden="false" customHeight="false" outlineLevel="0" collapsed="false">
      <c r="A9256" s="0" t="s">
        <v>12</v>
      </c>
      <c r="B9256" s="0" t="n">
        <v>2906338</v>
      </c>
      <c r="C9256" s="0" t="n">
        <v>2906358</v>
      </c>
      <c r="D9256" s="0" t="s">
        <v>30777</v>
      </c>
      <c r="E9256" s="0" t="s">
        <v>75</v>
      </c>
      <c r="F9256" s="0" t="s">
        <v>15</v>
      </c>
      <c r="G9256" s="0" t="s">
        <v>36</v>
      </c>
      <c r="H9256" s="0" t="n">
        <v>51</v>
      </c>
      <c r="I9256" s="0" t="s">
        <v>30781</v>
      </c>
      <c r="J9256" s="0" t="s">
        <v>30782</v>
      </c>
      <c r="K9256" s="0" t="s">
        <v>30783</v>
      </c>
      <c r="L9256" s="0" t="str">
        <f aca="false">HYPERLINK("https://www.ncbi.nlm.nih.gov/nuccore/CP000058.1?report=graph&amp;tracks=[key:gene_model_track,Options:GeneOnly]&amp;mk=2906309:2906328|offset_21|444444,2906339:2906358|offset_51|00cc00,2906360:2906379|offset_72|444444,2906382:2906401|offset_94|444444&amp;v=2906108:2906601&amp;c=444444", "offset 51")</f>
        <v>offset 51</v>
      </c>
    </row>
    <row r="9257" customFormat="false" ht="12.8" hidden="false" customHeight="false" outlineLevel="0" collapsed="false">
      <c r="A9257" s="0" t="s">
        <v>12</v>
      </c>
      <c r="B9257" s="0" t="n">
        <v>2906359</v>
      </c>
      <c r="C9257" s="0" t="n">
        <v>2906379</v>
      </c>
      <c r="D9257" s="0" t="s">
        <v>30777</v>
      </c>
      <c r="E9257" s="0" t="s">
        <v>75</v>
      </c>
      <c r="F9257" s="0" t="s">
        <v>15</v>
      </c>
      <c r="G9257" s="0" t="s">
        <v>16</v>
      </c>
      <c r="H9257" s="0" t="n">
        <v>72</v>
      </c>
      <c r="I9257" s="0" t="s">
        <v>30784</v>
      </c>
      <c r="J9257" s="0" t="s">
        <v>30785</v>
      </c>
      <c r="K9257" s="0" t="s">
        <v>30786</v>
      </c>
      <c r="L9257" s="0" t="str">
        <f aca="false">HYPERLINK("https://www.ncbi.nlm.nih.gov/nuccore/CP000058.1?report=graph&amp;tracks=[key:gene_model_track,Options:GeneOnly]&amp;mk=2906309:2906328|offset_21|444444,2906339:2906358|offset_51|444444,2906360:2906379|offset_72|00cc00,2906382:2906401|offset_94|444444&amp;v=2906108:2906601&amp;c=444444", "offset 72")</f>
        <v>offset 72</v>
      </c>
    </row>
    <row r="9258" customFormat="false" ht="12.8" hidden="false" customHeight="false" outlineLevel="0" collapsed="false">
      <c r="A9258" s="0" t="s">
        <v>12</v>
      </c>
      <c r="B9258" s="0" t="n">
        <v>2906381</v>
      </c>
      <c r="C9258" s="0" t="n">
        <v>2906401</v>
      </c>
      <c r="D9258" s="0" t="s">
        <v>30777</v>
      </c>
      <c r="E9258" s="0" t="s">
        <v>75</v>
      </c>
      <c r="F9258" s="0" t="s">
        <v>15</v>
      </c>
      <c r="G9258" s="0" t="s">
        <v>36</v>
      </c>
      <c r="H9258" s="0" t="n">
        <v>94</v>
      </c>
      <c r="I9258" s="0" t="s">
        <v>30787</v>
      </c>
      <c r="J9258" s="0" t="s">
        <v>30788</v>
      </c>
      <c r="K9258" s="0" t="s">
        <v>30789</v>
      </c>
      <c r="L9258" s="0" t="str">
        <f aca="false">HYPERLINK("https://www.ncbi.nlm.nih.gov/nuccore/CP000058.1?report=graph&amp;tracks=[key:gene_model_track,Options:GeneOnly]&amp;mk=2906309:2906328|offset_21|444444,2906339:2906358|offset_51|444444,2906360:2906379|offset_72|444444,2906382:2906401|offset_94|00cc00&amp;v=2906108:2906601&amp;c=444444", "offset 94")</f>
        <v>offset 94</v>
      </c>
    </row>
    <row r="9259" customFormat="false" ht="12.8" hidden="false" customHeight="false" outlineLevel="0" collapsed="false">
      <c r="A9259" s="0" t="s">
        <v>12</v>
      </c>
      <c r="B9259" s="0" t="n">
        <v>2906684</v>
      </c>
      <c r="C9259" s="0" t="n">
        <v>2906704</v>
      </c>
      <c r="D9259" s="0" t="s">
        <v>30790</v>
      </c>
      <c r="E9259" s="0" t="s">
        <v>75</v>
      </c>
      <c r="F9259" s="0" t="s">
        <v>15</v>
      </c>
      <c r="G9259" s="0" t="s">
        <v>32</v>
      </c>
      <c r="H9259" s="0" t="n">
        <v>41</v>
      </c>
      <c r="I9259" s="0" t="s">
        <v>30791</v>
      </c>
      <c r="J9259" s="0" t="s">
        <v>30792</v>
      </c>
      <c r="K9259" s="0" t="s">
        <v>30793</v>
      </c>
      <c r="L9259" s="0" t="str">
        <f aca="false">HYPERLINK("https://www.ncbi.nlm.nih.gov/nuccore/CP000058.1?report=graph&amp;tracks=[key:gene_model_track,Options:GeneOnly]&amp;mk=2906685:2906704|offset_41|00cc00,2906706:2906725|offset_62|444444,2906767:2906786|offset_123|444444,2906793:2906812|offset_149|444444&amp;v=2906484:2907012&amp;c=444444", "offset 41")</f>
        <v>offset 41</v>
      </c>
    </row>
    <row r="9260" customFormat="false" ht="12.8" hidden="false" customHeight="false" outlineLevel="0" collapsed="false">
      <c r="A9260" s="0" t="s">
        <v>12</v>
      </c>
      <c r="B9260" s="0" t="n">
        <v>2906705</v>
      </c>
      <c r="C9260" s="0" t="n">
        <v>2906725</v>
      </c>
      <c r="D9260" s="0" t="s">
        <v>30790</v>
      </c>
      <c r="E9260" s="0" t="s">
        <v>75</v>
      </c>
      <c r="F9260" s="0" t="s">
        <v>15</v>
      </c>
      <c r="G9260" s="0" t="s">
        <v>16</v>
      </c>
      <c r="H9260" s="0" t="n">
        <v>62</v>
      </c>
      <c r="I9260" s="0" t="s">
        <v>30794</v>
      </c>
      <c r="J9260" s="0" t="s">
        <v>30795</v>
      </c>
      <c r="K9260" s="0" t="s">
        <v>30796</v>
      </c>
      <c r="L9260" s="0" t="str">
        <f aca="false">HYPERLINK("https://www.ncbi.nlm.nih.gov/nuccore/CP000058.1?report=graph&amp;tracks=[key:gene_model_track,Options:GeneOnly]&amp;mk=2906685:2906704|offset_41|444444,2906706:2906725|offset_62|00cc00,2906767:2906786|offset_123|444444,2906793:2906812|offset_149|444444&amp;v=2906484:2907012&amp;c=444444", "offset 62")</f>
        <v>offset 62</v>
      </c>
    </row>
    <row r="9261" customFormat="false" ht="12.8" hidden="false" customHeight="false" outlineLevel="0" collapsed="false">
      <c r="A9261" s="0" t="s">
        <v>12</v>
      </c>
      <c r="B9261" s="0" t="n">
        <v>2906766</v>
      </c>
      <c r="C9261" s="0" t="n">
        <v>2906786</v>
      </c>
      <c r="D9261" s="0" t="s">
        <v>30790</v>
      </c>
      <c r="E9261" s="0" t="s">
        <v>75</v>
      </c>
      <c r="F9261" s="0" t="s">
        <v>15</v>
      </c>
      <c r="G9261" s="0" t="s">
        <v>16</v>
      </c>
      <c r="H9261" s="0" t="n">
        <v>123</v>
      </c>
      <c r="I9261" s="0" t="s">
        <v>30797</v>
      </c>
      <c r="J9261" s="0" t="s">
        <v>30798</v>
      </c>
      <c r="K9261" s="0" t="s">
        <v>30799</v>
      </c>
      <c r="L9261" s="0" t="str">
        <f aca="false">HYPERLINK("https://www.ncbi.nlm.nih.gov/nuccore/CP000058.1?report=graph&amp;tracks=[key:gene_model_track,Options:GeneOnly]&amp;mk=2906685:2906704|offset_41|444444,2906706:2906725|offset_62|444444,2906767:2906786|offset_123|00cc00,2906793:2906812|offset_149|444444&amp;v=2906484:2907012&amp;c=444444", "offset 123")</f>
        <v>offset 123</v>
      </c>
    </row>
    <row r="9262" customFormat="false" ht="12.8" hidden="false" customHeight="false" outlineLevel="0" collapsed="false">
      <c r="A9262" s="0" t="s">
        <v>12</v>
      </c>
      <c r="B9262" s="0" t="n">
        <v>2906792</v>
      </c>
      <c r="C9262" s="0" t="n">
        <v>2906812</v>
      </c>
      <c r="D9262" s="0" t="s">
        <v>30790</v>
      </c>
      <c r="E9262" s="0" t="s">
        <v>75</v>
      </c>
      <c r="F9262" s="0" t="s">
        <v>15</v>
      </c>
      <c r="G9262" s="0" t="s">
        <v>20</v>
      </c>
      <c r="H9262" s="0" t="n">
        <v>149</v>
      </c>
      <c r="I9262" s="0" t="s">
        <v>30800</v>
      </c>
      <c r="J9262" s="0" t="s">
        <v>30801</v>
      </c>
      <c r="K9262" s="0" t="s">
        <v>30802</v>
      </c>
      <c r="L9262" s="0" t="str">
        <f aca="false">HYPERLINK("https://www.ncbi.nlm.nih.gov/nuccore/CP000058.1?report=graph&amp;tracks=[key:gene_model_track,Options:GeneOnly]&amp;mk=2906685:2906704|offset_41|444444,2906706:2906725|offset_62|444444,2906767:2906786|offset_123|444444,2906793:2906812|offset_149|00cc00&amp;v=2906484:2907012&amp;c=444444", "offset 149")</f>
        <v>offset 149</v>
      </c>
    </row>
    <row r="9263" customFormat="false" ht="12.8" hidden="false" customHeight="false" outlineLevel="0" collapsed="false">
      <c r="A9263" s="0" t="s">
        <v>12</v>
      </c>
      <c r="B9263" s="0" t="n">
        <v>2906985</v>
      </c>
      <c r="C9263" s="0" t="n">
        <v>2907005</v>
      </c>
      <c r="D9263" s="0" t="s">
        <v>30803</v>
      </c>
      <c r="E9263" s="0" t="s">
        <v>75</v>
      </c>
      <c r="F9263" s="0" t="s">
        <v>15</v>
      </c>
      <c r="G9263" s="0" t="s">
        <v>36</v>
      </c>
      <c r="H9263" s="0" t="n">
        <v>7</v>
      </c>
      <c r="I9263" s="0" t="s">
        <v>30804</v>
      </c>
      <c r="J9263" s="0" t="s">
        <v>30805</v>
      </c>
      <c r="K9263" s="0" t="s">
        <v>30806</v>
      </c>
      <c r="L9263" s="0" t="str">
        <f aca="false">HYPERLINK("https://www.ncbi.nlm.nih.gov/nuccore/CP000058.1?report=graph&amp;tracks=[key:gene_model_track,Options:GeneOnly]&amp;mk=2906986:2907005|offset_7|00cc00,2907008:2907027|offset_29|444444,2907087:2907106|offset_108|444444,2907133:2907152|offset_154|444444&amp;v=2906785:2907352&amp;c=444444", "offset 7")</f>
        <v>offset 7</v>
      </c>
    </row>
    <row r="9264" customFormat="false" ht="12.8" hidden="false" customHeight="false" outlineLevel="0" collapsed="false">
      <c r="A9264" s="0" t="s">
        <v>12</v>
      </c>
      <c r="B9264" s="0" t="n">
        <v>2907007</v>
      </c>
      <c r="C9264" s="0" t="n">
        <v>2907027</v>
      </c>
      <c r="D9264" s="0" t="s">
        <v>30803</v>
      </c>
      <c r="E9264" s="0" t="s">
        <v>75</v>
      </c>
      <c r="F9264" s="0" t="s">
        <v>15</v>
      </c>
      <c r="G9264" s="0" t="s">
        <v>20</v>
      </c>
      <c r="H9264" s="0" t="n">
        <v>29</v>
      </c>
      <c r="I9264" s="0" t="s">
        <v>30807</v>
      </c>
      <c r="J9264" s="0" t="s">
        <v>30808</v>
      </c>
      <c r="K9264" s="0" t="s">
        <v>30809</v>
      </c>
      <c r="L9264" s="0" t="str">
        <f aca="false">HYPERLINK("https://www.ncbi.nlm.nih.gov/nuccore/CP000058.1?report=graph&amp;tracks=[key:gene_model_track,Options:GeneOnly]&amp;mk=2906986:2907005|offset_7|444444,2907008:2907027|offset_29|00cc00,2907087:2907106|offset_108|444444,2907133:2907152|offset_154|444444&amp;v=2906785:2907352&amp;c=444444", "offset 29")</f>
        <v>offset 29</v>
      </c>
    </row>
    <row r="9265" customFormat="false" ht="12.8" hidden="false" customHeight="false" outlineLevel="0" collapsed="false">
      <c r="A9265" s="0" t="s">
        <v>12</v>
      </c>
      <c r="B9265" s="0" t="n">
        <v>2907086</v>
      </c>
      <c r="C9265" s="0" t="n">
        <v>2907106</v>
      </c>
      <c r="D9265" s="0" t="s">
        <v>30803</v>
      </c>
      <c r="E9265" s="0" t="s">
        <v>75</v>
      </c>
      <c r="F9265" s="0" t="s">
        <v>15</v>
      </c>
      <c r="G9265" s="0" t="s">
        <v>16</v>
      </c>
      <c r="H9265" s="0" t="n">
        <v>108</v>
      </c>
      <c r="I9265" s="0" t="s">
        <v>30810</v>
      </c>
      <c r="J9265" s="0" t="s">
        <v>30811</v>
      </c>
      <c r="K9265" s="0" t="s">
        <v>30812</v>
      </c>
      <c r="L9265" s="0" t="str">
        <f aca="false">HYPERLINK("https://www.ncbi.nlm.nih.gov/nuccore/CP000058.1?report=graph&amp;tracks=[key:gene_model_track,Options:GeneOnly]&amp;mk=2906986:2907005|offset_7|444444,2907008:2907027|offset_29|444444,2907087:2907106|offset_108|00cc00,2907133:2907152|offset_154|444444&amp;v=2906785:2907352&amp;c=444444", "offset 108")</f>
        <v>offset 108</v>
      </c>
    </row>
    <row r="9266" customFormat="false" ht="12.8" hidden="false" customHeight="false" outlineLevel="0" collapsed="false">
      <c r="A9266" s="0" t="s">
        <v>12</v>
      </c>
      <c r="B9266" s="0" t="n">
        <v>2907132</v>
      </c>
      <c r="C9266" s="0" t="n">
        <v>2907152</v>
      </c>
      <c r="D9266" s="0" t="s">
        <v>30803</v>
      </c>
      <c r="E9266" s="0" t="s">
        <v>75</v>
      </c>
      <c r="F9266" s="0" t="s">
        <v>15</v>
      </c>
      <c r="G9266" s="0" t="s">
        <v>36</v>
      </c>
      <c r="H9266" s="0" t="n">
        <v>154</v>
      </c>
      <c r="I9266" s="0" t="s">
        <v>30813</v>
      </c>
      <c r="J9266" s="0" t="s">
        <v>30814</v>
      </c>
      <c r="K9266" s="0" t="s">
        <v>30815</v>
      </c>
      <c r="L9266" s="0" t="str">
        <f aca="false">HYPERLINK("https://www.ncbi.nlm.nih.gov/nuccore/CP000058.1?report=graph&amp;tracks=[key:gene_model_track,Options:GeneOnly]&amp;mk=2906986:2907005|offset_7|444444,2907008:2907027|offset_29|444444,2907087:2907106|offset_108|444444,2907133:2907152|offset_154|00cc00&amp;v=2906785:2907352&amp;c=444444", "offset 154")</f>
        <v>offset 154</v>
      </c>
    </row>
    <row r="9267" customFormat="false" ht="12.8" hidden="false" customHeight="false" outlineLevel="0" collapsed="false">
      <c r="A9267" s="0" t="s">
        <v>12</v>
      </c>
      <c r="B9267" s="0" t="n">
        <v>2909165</v>
      </c>
      <c r="C9267" s="0" t="n">
        <v>2909185</v>
      </c>
      <c r="D9267" s="0" t="s">
        <v>30816</v>
      </c>
      <c r="E9267" s="0" t="s">
        <v>75</v>
      </c>
      <c r="F9267" s="0" t="s">
        <v>15</v>
      </c>
      <c r="G9267" s="0" t="s">
        <v>20</v>
      </c>
      <c r="H9267" s="0" t="n">
        <v>7</v>
      </c>
      <c r="I9267" s="0" t="s">
        <v>30817</v>
      </c>
      <c r="J9267" s="0" t="s">
        <v>30818</v>
      </c>
      <c r="K9267" s="0" t="s">
        <v>30819</v>
      </c>
      <c r="L9267" s="0" t="str">
        <f aca="false">HYPERLINK("https://www.ncbi.nlm.nih.gov/nuccore/CP000058.1?report=graph&amp;tracks=[key:gene_model_track,Options:GeneOnly]&amp;mk=2909166:2909185|offset_7|00cc00,2909235:2909254|offset_76|444444,2909256:2909275|offset_97|444444,2909277:2909296|offset_118|444444&amp;v=2908965:2909496&amp;c=444444", "offset 7")</f>
        <v>offset 7</v>
      </c>
    </row>
    <row r="9268" customFormat="false" ht="12.8" hidden="false" customHeight="false" outlineLevel="0" collapsed="false">
      <c r="A9268" s="0" t="s">
        <v>12</v>
      </c>
      <c r="B9268" s="0" t="n">
        <v>2909234</v>
      </c>
      <c r="C9268" s="0" t="n">
        <v>2909254</v>
      </c>
      <c r="D9268" s="0" t="s">
        <v>30816</v>
      </c>
      <c r="E9268" s="0" t="s">
        <v>75</v>
      </c>
      <c r="F9268" s="0" t="s">
        <v>15</v>
      </c>
      <c r="G9268" s="0" t="s">
        <v>16</v>
      </c>
      <c r="H9268" s="0" t="n">
        <v>76</v>
      </c>
      <c r="I9268" s="0" t="s">
        <v>30820</v>
      </c>
      <c r="J9268" s="0" t="s">
        <v>30821</v>
      </c>
      <c r="K9268" s="0" t="s">
        <v>30822</v>
      </c>
      <c r="L9268" s="0" t="str">
        <f aca="false">HYPERLINK("https://www.ncbi.nlm.nih.gov/nuccore/CP000058.1?report=graph&amp;tracks=[key:gene_model_track,Options:GeneOnly]&amp;mk=2909166:2909185|offset_7|444444,2909235:2909254|offset_76|00cc00,2909256:2909275|offset_97|444444,2909277:2909296|offset_118|444444&amp;v=2908965:2909496&amp;c=444444", "offset 76")</f>
        <v>offset 76</v>
      </c>
    </row>
    <row r="9269" customFormat="false" ht="12.8" hidden="false" customHeight="false" outlineLevel="0" collapsed="false">
      <c r="A9269" s="0" t="s">
        <v>12</v>
      </c>
      <c r="B9269" s="0" t="n">
        <v>2909255</v>
      </c>
      <c r="C9269" s="0" t="n">
        <v>2909275</v>
      </c>
      <c r="D9269" s="0" t="s">
        <v>30816</v>
      </c>
      <c r="E9269" s="0" t="s">
        <v>75</v>
      </c>
      <c r="F9269" s="0" t="s">
        <v>15</v>
      </c>
      <c r="G9269" s="0" t="s">
        <v>32</v>
      </c>
      <c r="H9269" s="0" t="n">
        <v>97</v>
      </c>
      <c r="I9269" s="0" t="s">
        <v>30823</v>
      </c>
      <c r="J9269" s="0" t="s">
        <v>30824</v>
      </c>
      <c r="K9269" s="0" t="s">
        <v>30825</v>
      </c>
      <c r="L9269" s="0" t="str">
        <f aca="false">HYPERLINK("https://www.ncbi.nlm.nih.gov/nuccore/CP000058.1?report=graph&amp;tracks=[key:gene_model_track,Options:GeneOnly]&amp;mk=2909166:2909185|offset_7|444444,2909235:2909254|offset_76|444444,2909256:2909275|offset_97|00cc00,2909277:2909296|offset_118|444444&amp;v=2908965:2909496&amp;c=444444", "offset 97")</f>
        <v>offset 97</v>
      </c>
    </row>
    <row r="9270" customFormat="false" ht="12.8" hidden="false" customHeight="false" outlineLevel="0" collapsed="false">
      <c r="A9270" s="0" t="s">
        <v>12</v>
      </c>
      <c r="B9270" s="0" t="n">
        <v>2909276</v>
      </c>
      <c r="C9270" s="0" t="n">
        <v>2909296</v>
      </c>
      <c r="D9270" s="0" t="s">
        <v>30816</v>
      </c>
      <c r="E9270" s="0" t="s">
        <v>75</v>
      </c>
      <c r="F9270" s="0" t="s">
        <v>15</v>
      </c>
      <c r="G9270" s="0" t="s">
        <v>32</v>
      </c>
      <c r="H9270" s="0" t="n">
        <v>118</v>
      </c>
      <c r="I9270" s="0" t="s">
        <v>30826</v>
      </c>
      <c r="J9270" s="0" t="s">
        <v>30827</v>
      </c>
      <c r="K9270" s="0" t="s">
        <v>30828</v>
      </c>
      <c r="L9270" s="0" t="str">
        <f aca="false">HYPERLINK("https://www.ncbi.nlm.nih.gov/nuccore/CP000058.1?report=graph&amp;tracks=[key:gene_model_track,Options:GeneOnly]&amp;mk=2909166:2909185|offset_7|444444,2909235:2909254|offset_76|444444,2909256:2909275|offset_97|444444,2909277:2909296|offset_118|00cc00&amp;v=2908965:2909496&amp;c=444444", "offset 118")</f>
        <v>offset 118</v>
      </c>
    </row>
    <row r="9271" customFormat="false" ht="12.8" hidden="false" customHeight="false" outlineLevel="0" collapsed="false">
      <c r="A9271" s="0" t="s">
        <v>12</v>
      </c>
      <c r="B9271" s="0" t="n">
        <v>2910485</v>
      </c>
      <c r="C9271" s="0" t="n">
        <v>2910505</v>
      </c>
      <c r="D9271" s="0" t="s">
        <v>30829</v>
      </c>
      <c r="E9271" s="0" t="s">
        <v>75</v>
      </c>
      <c r="F9271" s="0" t="s">
        <v>15</v>
      </c>
      <c r="G9271" s="0" t="s">
        <v>32</v>
      </c>
      <c r="H9271" s="0" t="n">
        <v>1</v>
      </c>
      <c r="I9271" s="0" t="s">
        <v>30830</v>
      </c>
      <c r="J9271" s="0" t="s">
        <v>30831</v>
      </c>
      <c r="K9271" s="0" t="s">
        <v>30832</v>
      </c>
      <c r="L9271" s="0" t="str">
        <f aca="false">HYPERLINK("https://www.ncbi.nlm.nih.gov/nuccore/CP000058.1?report=graph&amp;tracks=[key:gene_model_track,Options:GeneOnly]&amp;mk=2910486:2910505|offset_1|00cc00,2910514:2910533|offset_29|444444,2910558:2910577|offset_73|444444,2910584:2910603|offset_99|444444&amp;v=2910285:2910803&amp;c=444444", "offset 1")</f>
        <v>offset 1</v>
      </c>
    </row>
    <row r="9272" customFormat="false" ht="12.8" hidden="false" customHeight="false" outlineLevel="0" collapsed="false">
      <c r="A9272" s="0" t="s">
        <v>12</v>
      </c>
      <c r="B9272" s="0" t="n">
        <v>2910513</v>
      </c>
      <c r="C9272" s="0" t="n">
        <v>2910533</v>
      </c>
      <c r="D9272" s="0" t="s">
        <v>30829</v>
      </c>
      <c r="E9272" s="0" t="s">
        <v>75</v>
      </c>
      <c r="F9272" s="0" t="s">
        <v>15</v>
      </c>
      <c r="G9272" s="0" t="s">
        <v>36</v>
      </c>
      <c r="H9272" s="0" t="n">
        <v>29</v>
      </c>
      <c r="I9272" s="0" t="s">
        <v>30833</v>
      </c>
      <c r="J9272" s="0" t="s">
        <v>30834</v>
      </c>
      <c r="K9272" s="0" t="s">
        <v>30835</v>
      </c>
      <c r="L9272" s="0" t="str">
        <f aca="false">HYPERLINK("https://www.ncbi.nlm.nih.gov/nuccore/CP000058.1?report=graph&amp;tracks=[key:gene_model_track,Options:GeneOnly]&amp;mk=2910486:2910505|offset_1|444444,2910514:2910533|offset_29|00cc00,2910558:2910577|offset_73|444444,2910584:2910603|offset_99|444444&amp;v=2910285:2910803&amp;c=444444", "offset 29")</f>
        <v>offset 29</v>
      </c>
    </row>
    <row r="9273" customFormat="false" ht="12.8" hidden="false" customHeight="false" outlineLevel="0" collapsed="false">
      <c r="A9273" s="0" t="s">
        <v>12</v>
      </c>
      <c r="B9273" s="0" t="n">
        <v>2910557</v>
      </c>
      <c r="C9273" s="0" t="n">
        <v>2910577</v>
      </c>
      <c r="D9273" s="0" t="s">
        <v>30829</v>
      </c>
      <c r="E9273" s="0" t="s">
        <v>75</v>
      </c>
      <c r="F9273" s="0" t="s">
        <v>15</v>
      </c>
      <c r="G9273" s="0" t="s">
        <v>36</v>
      </c>
      <c r="H9273" s="0" t="n">
        <v>73</v>
      </c>
      <c r="I9273" s="0" t="s">
        <v>30836</v>
      </c>
      <c r="J9273" s="0" t="s">
        <v>30837</v>
      </c>
      <c r="K9273" s="0" t="s">
        <v>30838</v>
      </c>
      <c r="L9273" s="0" t="str">
        <f aca="false">HYPERLINK("https://www.ncbi.nlm.nih.gov/nuccore/CP000058.1?report=graph&amp;tracks=[key:gene_model_track,Options:GeneOnly]&amp;mk=2910486:2910505|offset_1|444444,2910514:2910533|offset_29|444444,2910558:2910577|offset_73|00cc00,2910584:2910603|offset_99|444444&amp;v=2910285:2910803&amp;c=444444", "offset 73")</f>
        <v>offset 73</v>
      </c>
    </row>
    <row r="9274" customFormat="false" ht="12.8" hidden="false" customHeight="false" outlineLevel="0" collapsed="false">
      <c r="A9274" s="0" t="s">
        <v>12</v>
      </c>
      <c r="B9274" s="0" t="n">
        <v>2910583</v>
      </c>
      <c r="C9274" s="0" t="n">
        <v>2910603</v>
      </c>
      <c r="D9274" s="0" t="s">
        <v>30829</v>
      </c>
      <c r="E9274" s="0" t="s">
        <v>75</v>
      </c>
      <c r="F9274" s="0" t="s">
        <v>15</v>
      </c>
      <c r="G9274" s="0" t="s">
        <v>16</v>
      </c>
      <c r="H9274" s="0" t="n">
        <v>99</v>
      </c>
      <c r="I9274" s="0" t="s">
        <v>30839</v>
      </c>
      <c r="J9274" s="0" t="s">
        <v>30840</v>
      </c>
      <c r="K9274" s="0" t="s">
        <v>30841</v>
      </c>
      <c r="L9274" s="0" t="str">
        <f aca="false">HYPERLINK("https://www.ncbi.nlm.nih.gov/nuccore/CP000058.1?report=graph&amp;tracks=[key:gene_model_track,Options:GeneOnly]&amp;mk=2910486:2910505|offset_1|444444,2910514:2910533|offset_29|444444,2910558:2910577|offset_73|444444,2910584:2910603|offset_99|00cc00&amp;v=2910285:2910803&amp;c=444444", "offset 99")</f>
        <v>offset 99</v>
      </c>
    </row>
    <row r="9275" customFormat="false" ht="12.8" hidden="false" customHeight="false" outlineLevel="0" collapsed="false">
      <c r="A9275" s="0" t="s">
        <v>12</v>
      </c>
      <c r="B9275" s="0" t="n">
        <v>2911725</v>
      </c>
      <c r="C9275" s="0" t="n">
        <v>2911745</v>
      </c>
      <c r="D9275" s="0" t="s">
        <v>30842</v>
      </c>
      <c r="E9275" s="0" t="s">
        <v>75</v>
      </c>
      <c r="F9275" s="0" t="s">
        <v>90</v>
      </c>
      <c r="G9275" s="0" t="s">
        <v>36</v>
      </c>
      <c r="H9275" s="0" t="n">
        <v>13</v>
      </c>
      <c r="I9275" s="0" t="s">
        <v>30843</v>
      </c>
      <c r="J9275" s="0" t="s">
        <v>30844</v>
      </c>
      <c r="K9275" s="0" t="s">
        <v>30845</v>
      </c>
      <c r="L9275" s="0" t="str">
        <f aca="false">HYPERLINK("https://www.ncbi.nlm.nih.gov/nuccore/CP000058.1?report=graph&amp;tracks=[key:gene_model_track,Options:GeneOnly]&amp;mk=2911726:2911745|offset_13|00cc00,2911698:2911717|offset_41|444444,2911672:2911691|offset_67|444444,2911651:2911670|offset_88|444444&amp;v=2911525:2911870&amp;c=444444", "offset 13")</f>
        <v>offset 13</v>
      </c>
    </row>
    <row r="9276" customFormat="false" ht="12.8" hidden="false" customHeight="false" outlineLevel="0" collapsed="false">
      <c r="A9276" s="0" t="s">
        <v>12</v>
      </c>
      <c r="B9276" s="0" t="n">
        <v>2911697</v>
      </c>
      <c r="C9276" s="0" t="n">
        <v>2911717</v>
      </c>
      <c r="D9276" s="0" t="s">
        <v>30842</v>
      </c>
      <c r="E9276" s="0" t="s">
        <v>75</v>
      </c>
      <c r="F9276" s="0" t="s">
        <v>90</v>
      </c>
      <c r="G9276" s="0" t="s">
        <v>20</v>
      </c>
      <c r="H9276" s="0" t="n">
        <v>41</v>
      </c>
      <c r="I9276" s="0" t="s">
        <v>30846</v>
      </c>
      <c r="J9276" s="0" t="s">
        <v>30847</v>
      </c>
      <c r="K9276" s="0" t="s">
        <v>30848</v>
      </c>
      <c r="L9276" s="0" t="str">
        <f aca="false">HYPERLINK("https://www.ncbi.nlm.nih.gov/nuccore/CP000058.1?report=graph&amp;tracks=[key:gene_model_track,Options:GeneOnly]&amp;mk=2911726:2911745|offset_13|444444,2911698:2911717|offset_41|00cc00,2911672:2911691|offset_67|444444,2911651:2911670|offset_88|444444&amp;v=2911525:2911870&amp;c=444444", "offset 41")</f>
        <v>offset 41</v>
      </c>
    </row>
    <row r="9277" customFormat="false" ht="12.8" hidden="false" customHeight="false" outlineLevel="0" collapsed="false">
      <c r="A9277" s="0" t="s">
        <v>12</v>
      </c>
      <c r="B9277" s="0" t="n">
        <v>2911671</v>
      </c>
      <c r="C9277" s="0" t="n">
        <v>2911691</v>
      </c>
      <c r="D9277" s="0" t="s">
        <v>30842</v>
      </c>
      <c r="E9277" s="0" t="s">
        <v>75</v>
      </c>
      <c r="F9277" s="0" t="s">
        <v>90</v>
      </c>
      <c r="G9277" s="0" t="s">
        <v>20</v>
      </c>
      <c r="H9277" s="0" t="n">
        <v>67</v>
      </c>
      <c r="I9277" s="0" t="s">
        <v>30849</v>
      </c>
      <c r="J9277" s="0" t="s">
        <v>30850</v>
      </c>
      <c r="K9277" s="0" t="s">
        <v>30851</v>
      </c>
      <c r="L9277" s="0" t="str">
        <f aca="false">HYPERLINK("https://www.ncbi.nlm.nih.gov/nuccore/CP000058.1?report=graph&amp;tracks=[key:gene_model_track,Options:GeneOnly]&amp;mk=2911726:2911745|offset_13|444444,2911698:2911717|offset_41|444444,2911672:2911691|offset_67|00cc00,2911651:2911670|offset_88|444444&amp;v=2911525:2911870&amp;c=444444", "offset 67")</f>
        <v>offset 67</v>
      </c>
    </row>
    <row r="9278" customFormat="false" ht="12.8" hidden="false" customHeight="false" outlineLevel="0" collapsed="false">
      <c r="A9278" s="0" t="s">
        <v>12</v>
      </c>
      <c r="B9278" s="0" t="n">
        <v>2911650</v>
      </c>
      <c r="C9278" s="0" t="n">
        <v>2911670</v>
      </c>
      <c r="D9278" s="0" t="s">
        <v>30842</v>
      </c>
      <c r="E9278" s="0" t="s">
        <v>75</v>
      </c>
      <c r="F9278" s="0" t="s">
        <v>90</v>
      </c>
      <c r="G9278" s="0" t="s">
        <v>16</v>
      </c>
      <c r="H9278" s="0" t="n">
        <v>88</v>
      </c>
      <c r="I9278" s="0" t="s">
        <v>30852</v>
      </c>
      <c r="J9278" s="0" t="s">
        <v>30853</v>
      </c>
      <c r="K9278" s="0" t="s">
        <v>30854</v>
      </c>
      <c r="L9278" s="0" t="str">
        <f aca="false">HYPERLINK("https://www.ncbi.nlm.nih.gov/nuccore/CP000058.1?report=graph&amp;tracks=[key:gene_model_track,Options:GeneOnly]&amp;mk=2911726:2911745|offset_13|444444,2911698:2911717|offset_41|444444,2911672:2911691|offset_67|444444,2911651:2911670|offset_88|00cc00&amp;v=2911525:2911870&amp;c=444444", "offset 88")</f>
        <v>offset 88</v>
      </c>
    </row>
    <row r="9279" customFormat="false" ht="12.8" hidden="false" customHeight="false" outlineLevel="0" collapsed="false">
      <c r="A9279" s="0" t="s">
        <v>12</v>
      </c>
      <c r="B9279" s="0" t="n">
        <v>2911838</v>
      </c>
      <c r="C9279" s="0" t="n">
        <v>2911858</v>
      </c>
      <c r="D9279" s="0" t="s">
        <v>30855</v>
      </c>
      <c r="E9279" s="0" t="s">
        <v>75</v>
      </c>
      <c r="F9279" s="0" t="s">
        <v>15</v>
      </c>
      <c r="G9279" s="0" t="s">
        <v>32</v>
      </c>
      <c r="H9279" s="0" t="n">
        <v>1</v>
      </c>
      <c r="I9279" s="0" t="s">
        <v>30856</v>
      </c>
      <c r="J9279" s="0" t="s">
        <v>30857</v>
      </c>
      <c r="K9279" s="0" t="s">
        <v>30858</v>
      </c>
      <c r="L9279" s="0" t="str">
        <f aca="false">HYPERLINK("https://www.ncbi.nlm.nih.gov/nuccore/CP000058.1?report=graph&amp;tracks=[key:gene_model_track,Options:GeneOnly]&amp;mk=2911839:2911858|offset_1|00cc00,2911861:2911880|offset_23|444444,2911891:2911910|offset_53|444444,2911923:2911942|offset_85|444444&amp;v=2911638:2912142&amp;c=444444", "offset 1")</f>
        <v>offset 1</v>
      </c>
    </row>
    <row r="9280" customFormat="false" ht="12.8" hidden="false" customHeight="false" outlineLevel="0" collapsed="false">
      <c r="A9280" s="0" t="s">
        <v>12</v>
      </c>
      <c r="B9280" s="0" t="n">
        <v>2911860</v>
      </c>
      <c r="C9280" s="0" t="n">
        <v>2911880</v>
      </c>
      <c r="D9280" s="0" t="s">
        <v>30855</v>
      </c>
      <c r="E9280" s="0" t="s">
        <v>75</v>
      </c>
      <c r="F9280" s="0" t="s">
        <v>15</v>
      </c>
      <c r="G9280" s="0" t="s">
        <v>36</v>
      </c>
      <c r="H9280" s="0" t="n">
        <v>23</v>
      </c>
      <c r="I9280" s="0" t="s">
        <v>30859</v>
      </c>
      <c r="J9280" s="0" t="s">
        <v>30860</v>
      </c>
      <c r="K9280" s="0" t="s">
        <v>30861</v>
      </c>
      <c r="L9280" s="0" t="str">
        <f aca="false">HYPERLINK("https://www.ncbi.nlm.nih.gov/nuccore/CP000058.1?report=graph&amp;tracks=[key:gene_model_track,Options:GeneOnly]&amp;mk=2911839:2911858|offset_1|444444,2911861:2911880|offset_23|00cc00,2911891:2911910|offset_53|444444,2911923:2911942|offset_85|444444&amp;v=2911638:2912142&amp;c=444444", "offset 23")</f>
        <v>offset 23</v>
      </c>
    </row>
    <row r="9281" customFormat="false" ht="12.8" hidden="false" customHeight="false" outlineLevel="0" collapsed="false">
      <c r="A9281" s="0" t="s">
        <v>12</v>
      </c>
      <c r="B9281" s="0" t="n">
        <v>2911890</v>
      </c>
      <c r="C9281" s="0" t="n">
        <v>2911910</v>
      </c>
      <c r="D9281" s="0" t="s">
        <v>30855</v>
      </c>
      <c r="E9281" s="0" t="s">
        <v>75</v>
      </c>
      <c r="F9281" s="0" t="s">
        <v>15</v>
      </c>
      <c r="G9281" s="0" t="s">
        <v>20</v>
      </c>
      <c r="H9281" s="0" t="n">
        <v>53</v>
      </c>
      <c r="I9281" s="0" t="s">
        <v>30862</v>
      </c>
      <c r="J9281" s="0" t="s">
        <v>30863</v>
      </c>
      <c r="K9281" s="0" t="s">
        <v>30864</v>
      </c>
      <c r="L9281" s="0" t="str">
        <f aca="false">HYPERLINK("https://www.ncbi.nlm.nih.gov/nuccore/CP000058.1?report=graph&amp;tracks=[key:gene_model_track,Options:GeneOnly]&amp;mk=2911839:2911858|offset_1|444444,2911861:2911880|offset_23|444444,2911891:2911910|offset_53|00cc00,2911923:2911942|offset_85|444444&amp;v=2911638:2912142&amp;c=444444", "offset 53")</f>
        <v>offset 53</v>
      </c>
    </row>
    <row r="9282" customFormat="false" ht="12.8" hidden="false" customHeight="false" outlineLevel="0" collapsed="false">
      <c r="A9282" s="0" t="s">
        <v>12</v>
      </c>
      <c r="B9282" s="0" t="n">
        <v>2911922</v>
      </c>
      <c r="C9282" s="0" t="n">
        <v>2911942</v>
      </c>
      <c r="D9282" s="0" t="s">
        <v>30855</v>
      </c>
      <c r="E9282" s="0" t="s">
        <v>75</v>
      </c>
      <c r="F9282" s="0" t="s">
        <v>15</v>
      </c>
      <c r="G9282" s="0" t="s">
        <v>16</v>
      </c>
      <c r="H9282" s="0" t="n">
        <v>85</v>
      </c>
      <c r="I9282" s="0" t="s">
        <v>30865</v>
      </c>
      <c r="J9282" s="0" t="s">
        <v>30866</v>
      </c>
      <c r="K9282" s="0" t="s">
        <v>30867</v>
      </c>
      <c r="L9282" s="0" t="str">
        <f aca="false">HYPERLINK("https://www.ncbi.nlm.nih.gov/nuccore/CP000058.1?report=graph&amp;tracks=[key:gene_model_track,Options:GeneOnly]&amp;mk=2911839:2911858|offset_1|444444,2911861:2911880|offset_23|444444,2911891:2911910|offset_53|444444,2911923:2911942|offset_85|00cc00&amp;v=2911638:2912142&amp;c=444444", "offset 85")</f>
        <v>offset 85</v>
      </c>
    </row>
    <row r="9283" customFormat="false" ht="12.8" hidden="false" customHeight="false" outlineLevel="0" collapsed="false">
      <c r="A9283" s="0" t="s">
        <v>12</v>
      </c>
      <c r="B9283" s="0" t="n">
        <v>2912470</v>
      </c>
      <c r="C9283" s="0" t="n">
        <v>2912490</v>
      </c>
      <c r="D9283" s="0" t="s">
        <v>30868</v>
      </c>
      <c r="E9283" s="0" t="s">
        <v>75</v>
      </c>
      <c r="F9283" s="0" t="s">
        <v>15</v>
      </c>
      <c r="G9283" s="0" t="s">
        <v>36</v>
      </c>
      <c r="H9283" s="0" t="n">
        <v>0</v>
      </c>
      <c r="I9283" s="0" t="s">
        <v>30869</v>
      </c>
      <c r="J9283" s="0" t="s">
        <v>30870</v>
      </c>
      <c r="K9283" s="0" t="s">
        <v>30871</v>
      </c>
      <c r="L9283" s="0" t="str">
        <f aca="false">HYPERLINK("https://www.ncbi.nlm.nih.gov/nuccore/CP000058.1?report=graph&amp;tracks=[key:gene_model_track,Options:GeneOnly]&amp;mk=2912471:2912490|offset_0|00cc00,2912517:2912536|offset_46|444444,2912541:2912560|offset_70|444444,2912568:2912587|offset_97|444444&amp;v=2912270:2912787&amp;c=444444", "offset 0")</f>
        <v>offset 0</v>
      </c>
    </row>
    <row r="9284" customFormat="false" ht="12.8" hidden="false" customHeight="false" outlineLevel="0" collapsed="false">
      <c r="A9284" s="0" t="s">
        <v>12</v>
      </c>
      <c r="B9284" s="0" t="n">
        <v>2912516</v>
      </c>
      <c r="C9284" s="0" t="n">
        <v>2912536</v>
      </c>
      <c r="D9284" s="0" t="s">
        <v>30868</v>
      </c>
      <c r="E9284" s="0" t="s">
        <v>75</v>
      </c>
      <c r="F9284" s="0" t="s">
        <v>15</v>
      </c>
      <c r="G9284" s="0" t="s">
        <v>32</v>
      </c>
      <c r="H9284" s="0" t="n">
        <v>46</v>
      </c>
      <c r="I9284" s="0" t="s">
        <v>30872</v>
      </c>
      <c r="J9284" s="0" t="s">
        <v>30873</v>
      </c>
      <c r="K9284" s="0" t="s">
        <v>30874</v>
      </c>
      <c r="L9284" s="0" t="str">
        <f aca="false">HYPERLINK("https://www.ncbi.nlm.nih.gov/nuccore/CP000058.1?report=graph&amp;tracks=[key:gene_model_track,Options:GeneOnly]&amp;mk=2912471:2912490|offset_0|444444,2912517:2912536|offset_46|00cc00,2912541:2912560|offset_70|444444,2912568:2912587|offset_97|444444&amp;v=2912270:2912787&amp;c=444444", "offset 46")</f>
        <v>offset 46</v>
      </c>
    </row>
    <row r="9285" customFormat="false" ht="12.8" hidden="false" customHeight="false" outlineLevel="0" collapsed="false">
      <c r="A9285" s="0" t="s">
        <v>12</v>
      </c>
      <c r="B9285" s="0" t="n">
        <v>2912540</v>
      </c>
      <c r="C9285" s="0" t="n">
        <v>2912560</v>
      </c>
      <c r="D9285" s="0" t="s">
        <v>30868</v>
      </c>
      <c r="E9285" s="0" t="s">
        <v>75</v>
      </c>
      <c r="F9285" s="0" t="s">
        <v>15</v>
      </c>
      <c r="G9285" s="0" t="s">
        <v>16</v>
      </c>
      <c r="H9285" s="0" t="n">
        <v>70</v>
      </c>
      <c r="I9285" s="0" t="s">
        <v>30875</v>
      </c>
      <c r="J9285" s="0" t="s">
        <v>30876</v>
      </c>
      <c r="K9285" s="0" t="s">
        <v>30877</v>
      </c>
      <c r="L9285" s="0" t="str">
        <f aca="false">HYPERLINK("https://www.ncbi.nlm.nih.gov/nuccore/CP000058.1?report=graph&amp;tracks=[key:gene_model_track,Options:GeneOnly]&amp;mk=2912471:2912490|offset_0|444444,2912517:2912536|offset_46|444444,2912541:2912560|offset_70|00cc00,2912568:2912587|offset_97|444444&amp;v=2912270:2912787&amp;c=444444", "offset 70")</f>
        <v>offset 70</v>
      </c>
    </row>
    <row r="9286" customFormat="false" ht="12.8" hidden="false" customHeight="false" outlineLevel="0" collapsed="false">
      <c r="A9286" s="0" t="s">
        <v>12</v>
      </c>
      <c r="B9286" s="0" t="n">
        <v>2912567</v>
      </c>
      <c r="C9286" s="0" t="n">
        <v>2912587</v>
      </c>
      <c r="D9286" s="0" t="s">
        <v>30868</v>
      </c>
      <c r="E9286" s="0" t="s">
        <v>75</v>
      </c>
      <c r="F9286" s="0" t="s">
        <v>15</v>
      </c>
      <c r="G9286" s="0" t="s">
        <v>32</v>
      </c>
      <c r="H9286" s="0" t="n">
        <v>97</v>
      </c>
      <c r="I9286" s="0" t="s">
        <v>30878</v>
      </c>
      <c r="J9286" s="0" t="s">
        <v>30879</v>
      </c>
      <c r="K9286" s="0" t="s">
        <v>30880</v>
      </c>
      <c r="L9286" s="0" t="str">
        <f aca="false">HYPERLINK("https://www.ncbi.nlm.nih.gov/nuccore/CP000058.1?report=graph&amp;tracks=[key:gene_model_track,Options:GeneOnly]&amp;mk=2912471:2912490|offset_0|444444,2912517:2912536|offset_46|444444,2912541:2912560|offset_70|444444,2912568:2912587|offset_97|00cc00&amp;v=2912270:2912787&amp;c=444444", "offset 97")</f>
        <v>offset 97</v>
      </c>
    </row>
    <row r="9287" customFormat="false" ht="12.8" hidden="false" customHeight="false" outlineLevel="0" collapsed="false">
      <c r="A9287" s="0" t="s">
        <v>12</v>
      </c>
      <c r="B9287" s="0" t="n">
        <v>2912789</v>
      </c>
      <c r="C9287" s="0" t="n">
        <v>2912809</v>
      </c>
      <c r="D9287" s="0" t="s">
        <v>30881</v>
      </c>
      <c r="E9287" s="0" t="s">
        <v>75</v>
      </c>
      <c r="F9287" s="0" t="s">
        <v>15</v>
      </c>
      <c r="G9287" s="0" t="s">
        <v>16</v>
      </c>
      <c r="H9287" s="0" t="n">
        <v>7</v>
      </c>
      <c r="I9287" s="0" t="s">
        <v>30882</v>
      </c>
      <c r="J9287" s="0" t="s">
        <v>30883</v>
      </c>
      <c r="K9287" s="0" t="s">
        <v>30884</v>
      </c>
      <c r="L9287" s="0" t="str">
        <f aca="false">HYPERLINK("https://www.ncbi.nlm.nih.gov/nuccore/CP000058.1?report=graph&amp;tracks=[key:gene_model_track,Options:GeneOnly]&amp;mk=2912790:2912809|offset_7|00cc00,2912810:2912829|offset_27|444444,2912845:2912864|offset_62|444444,2912875:2912894|offset_92|444444&amp;v=2912589:2913094&amp;c=444444", "offset 7")</f>
        <v>offset 7</v>
      </c>
    </row>
    <row r="9288" customFormat="false" ht="12.8" hidden="false" customHeight="false" outlineLevel="0" collapsed="false">
      <c r="A9288" s="0" t="s">
        <v>12</v>
      </c>
      <c r="B9288" s="0" t="n">
        <v>2912809</v>
      </c>
      <c r="C9288" s="0" t="n">
        <v>2912829</v>
      </c>
      <c r="D9288" s="0" t="s">
        <v>30881</v>
      </c>
      <c r="E9288" s="0" t="s">
        <v>75</v>
      </c>
      <c r="F9288" s="0" t="s">
        <v>15</v>
      </c>
      <c r="G9288" s="0" t="s">
        <v>16</v>
      </c>
      <c r="H9288" s="0" t="n">
        <v>27</v>
      </c>
      <c r="I9288" s="0" t="s">
        <v>30885</v>
      </c>
      <c r="J9288" s="0" t="s">
        <v>30886</v>
      </c>
      <c r="K9288" s="0" t="s">
        <v>30887</v>
      </c>
      <c r="L9288" s="0" t="str">
        <f aca="false">HYPERLINK("https://www.ncbi.nlm.nih.gov/nuccore/CP000058.1?report=graph&amp;tracks=[key:gene_model_track,Options:GeneOnly]&amp;mk=2912790:2912809|offset_7|444444,2912810:2912829|offset_27|00cc00,2912845:2912864|offset_62|444444,2912875:2912894|offset_92|444444&amp;v=2912589:2913094&amp;c=444444", "offset 27")</f>
        <v>offset 27</v>
      </c>
    </row>
    <row r="9289" customFormat="false" ht="12.8" hidden="false" customHeight="false" outlineLevel="0" collapsed="false">
      <c r="A9289" s="0" t="s">
        <v>12</v>
      </c>
      <c r="B9289" s="0" t="n">
        <v>2912844</v>
      </c>
      <c r="C9289" s="0" t="n">
        <v>2912864</v>
      </c>
      <c r="D9289" s="0" t="s">
        <v>30881</v>
      </c>
      <c r="E9289" s="0" t="s">
        <v>75</v>
      </c>
      <c r="F9289" s="0" t="s">
        <v>15</v>
      </c>
      <c r="G9289" s="0" t="s">
        <v>20</v>
      </c>
      <c r="H9289" s="0" t="n">
        <v>62</v>
      </c>
      <c r="I9289" s="0" t="s">
        <v>30888</v>
      </c>
      <c r="J9289" s="0" t="s">
        <v>30889</v>
      </c>
      <c r="K9289" s="0" t="s">
        <v>30890</v>
      </c>
      <c r="L9289" s="0" t="str">
        <f aca="false">HYPERLINK("https://www.ncbi.nlm.nih.gov/nuccore/CP000058.1?report=graph&amp;tracks=[key:gene_model_track,Options:GeneOnly]&amp;mk=2912790:2912809|offset_7|444444,2912810:2912829|offset_27|444444,2912845:2912864|offset_62|00cc00,2912875:2912894|offset_92|444444&amp;v=2912589:2913094&amp;c=444444", "offset 62")</f>
        <v>offset 62</v>
      </c>
    </row>
    <row r="9290" customFormat="false" ht="12.8" hidden="false" customHeight="false" outlineLevel="0" collapsed="false">
      <c r="A9290" s="0" t="s">
        <v>12</v>
      </c>
      <c r="B9290" s="0" t="n">
        <v>2912874</v>
      </c>
      <c r="C9290" s="0" t="n">
        <v>2912894</v>
      </c>
      <c r="D9290" s="0" t="s">
        <v>30881</v>
      </c>
      <c r="E9290" s="0" t="s">
        <v>75</v>
      </c>
      <c r="F9290" s="0" t="s">
        <v>15</v>
      </c>
      <c r="G9290" s="0" t="s">
        <v>16</v>
      </c>
      <c r="H9290" s="0" t="n">
        <v>92</v>
      </c>
      <c r="I9290" s="0" t="s">
        <v>30891</v>
      </c>
      <c r="J9290" s="0" t="s">
        <v>30892</v>
      </c>
      <c r="K9290" s="0" t="s">
        <v>30893</v>
      </c>
      <c r="L9290" s="0" t="str">
        <f aca="false">HYPERLINK("https://www.ncbi.nlm.nih.gov/nuccore/CP000058.1?report=graph&amp;tracks=[key:gene_model_track,Options:GeneOnly]&amp;mk=2912790:2912809|offset_7|444444,2912810:2912829|offset_27|444444,2912845:2912864|offset_62|444444,2912875:2912894|offset_92|00cc00&amp;v=2912589:2913094&amp;c=444444", "offset 92")</f>
        <v>offset 92</v>
      </c>
    </row>
    <row r="9291" customFormat="false" ht="12.8" hidden="false" customHeight="false" outlineLevel="0" collapsed="false">
      <c r="A9291" s="0" t="s">
        <v>12</v>
      </c>
      <c r="B9291" s="0" t="n">
        <v>2913122</v>
      </c>
      <c r="C9291" s="0" t="n">
        <v>2913142</v>
      </c>
      <c r="D9291" s="0" t="s">
        <v>30894</v>
      </c>
      <c r="E9291" s="0" t="s">
        <v>75</v>
      </c>
      <c r="F9291" s="0" t="s">
        <v>15</v>
      </c>
      <c r="G9291" s="0" t="s">
        <v>32</v>
      </c>
      <c r="H9291" s="0" t="n">
        <v>1</v>
      </c>
      <c r="I9291" s="0" t="s">
        <v>30895</v>
      </c>
      <c r="J9291" s="0" t="s">
        <v>30896</v>
      </c>
      <c r="K9291" s="0" t="s">
        <v>30897</v>
      </c>
      <c r="L9291" s="0" t="str">
        <f aca="false">HYPERLINK("https://www.ncbi.nlm.nih.gov/nuccore/CP000058.1?report=graph&amp;tracks=[key:gene_model_track,Options:GeneOnly]&amp;mk=2913123:2913142|offset_1|00cc00,2913151:2913170|offset_29|444444,2913174:2913193|offset_52|444444,2913210:2913229|offset_88|444444&amp;v=2912922:2913429&amp;c=444444", "offset 1")</f>
        <v>offset 1</v>
      </c>
    </row>
    <row r="9292" customFormat="false" ht="12.8" hidden="false" customHeight="false" outlineLevel="0" collapsed="false">
      <c r="A9292" s="0" t="s">
        <v>12</v>
      </c>
      <c r="B9292" s="0" t="n">
        <v>2913150</v>
      </c>
      <c r="C9292" s="0" t="n">
        <v>2913170</v>
      </c>
      <c r="D9292" s="0" t="s">
        <v>30894</v>
      </c>
      <c r="E9292" s="0" t="s">
        <v>75</v>
      </c>
      <c r="F9292" s="0" t="s">
        <v>15</v>
      </c>
      <c r="G9292" s="0" t="s">
        <v>20</v>
      </c>
      <c r="H9292" s="0" t="n">
        <v>29</v>
      </c>
      <c r="I9292" s="0" t="s">
        <v>30898</v>
      </c>
      <c r="J9292" s="0" t="s">
        <v>30899</v>
      </c>
      <c r="K9292" s="0" t="s">
        <v>30900</v>
      </c>
      <c r="L9292" s="0" t="str">
        <f aca="false">HYPERLINK("https://www.ncbi.nlm.nih.gov/nuccore/CP000058.1?report=graph&amp;tracks=[key:gene_model_track,Options:GeneOnly]&amp;mk=2913123:2913142|offset_1|444444,2913151:2913170|offset_29|00cc00,2913174:2913193|offset_52|444444,2913210:2913229|offset_88|444444&amp;v=2912922:2913429&amp;c=444444", "offset 29")</f>
        <v>offset 29</v>
      </c>
    </row>
    <row r="9293" customFormat="false" ht="12.8" hidden="false" customHeight="false" outlineLevel="0" collapsed="false">
      <c r="A9293" s="0" t="s">
        <v>12</v>
      </c>
      <c r="B9293" s="0" t="n">
        <v>2913173</v>
      </c>
      <c r="C9293" s="0" t="n">
        <v>2913193</v>
      </c>
      <c r="D9293" s="0" t="s">
        <v>30894</v>
      </c>
      <c r="E9293" s="0" t="s">
        <v>75</v>
      </c>
      <c r="F9293" s="0" t="s">
        <v>15</v>
      </c>
      <c r="G9293" s="0" t="s">
        <v>32</v>
      </c>
      <c r="H9293" s="0" t="n">
        <v>52</v>
      </c>
      <c r="I9293" s="0" t="s">
        <v>30901</v>
      </c>
      <c r="J9293" s="0" t="s">
        <v>30902</v>
      </c>
      <c r="K9293" s="0" t="s">
        <v>30903</v>
      </c>
      <c r="L9293" s="0" t="str">
        <f aca="false">HYPERLINK("https://www.ncbi.nlm.nih.gov/nuccore/CP000058.1?report=graph&amp;tracks=[key:gene_model_track,Options:GeneOnly]&amp;mk=2913123:2913142|offset_1|444444,2913151:2913170|offset_29|444444,2913174:2913193|offset_52|00cc00,2913210:2913229|offset_88|444444&amp;v=2912922:2913429&amp;c=444444", "offset 52")</f>
        <v>offset 52</v>
      </c>
    </row>
    <row r="9294" customFormat="false" ht="12.8" hidden="false" customHeight="false" outlineLevel="0" collapsed="false">
      <c r="A9294" s="0" t="s">
        <v>12</v>
      </c>
      <c r="B9294" s="0" t="n">
        <v>2913209</v>
      </c>
      <c r="C9294" s="0" t="n">
        <v>2913229</v>
      </c>
      <c r="D9294" s="0" t="s">
        <v>30894</v>
      </c>
      <c r="E9294" s="0" t="s">
        <v>75</v>
      </c>
      <c r="F9294" s="0" t="s">
        <v>15</v>
      </c>
      <c r="G9294" s="0" t="s">
        <v>32</v>
      </c>
      <c r="H9294" s="0" t="n">
        <v>88</v>
      </c>
      <c r="I9294" s="0" t="s">
        <v>30904</v>
      </c>
      <c r="J9294" s="0" t="s">
        <v>30905</v>
      </c>
      <c r="K9294" s="0" t="s">
        <v>30906</v>
      </c>
      <c r="L9294" s="0" t="str">
        <f aca="false">HYPERLINK("https://www.ncbi.nlm.nih.gov/nuccore/CP000058.1?report=graph&amp;tracks=[key:gene_model_track,Options:GeneOnly]&amp;mk=2913123:2913142|offset_1|444444,2913151:2913170|offset_29|444444,2913174:2913193|offset_52|444444,2913210:2913229|offset_88|00cc00&amp;v=2912922:2913429&amp;c=444444", "offset 88")</f>
        <v>offset 88</v>
      </c>
    </row>
    <row r="9295" customFormat="false" ht="12.8" hidden="false" customHeight="false" outlineLevel="0" collapsed="false">
      <c r="A9295" s="0" t="s">
        <v>12</v>
      </c>
      <c r="B9295" s="0" t="n">
        <v>2913916</v>
      </c>
      <c r="C9295" s="0" t="n">
        <v>2913936</v>
      </c>
      <c r="D9295" s="0" t="s">
        <v>30907</v>
      </c>
      <c r="E9295" s="0" t="s">
        <v>75</v>
      </c>
      <c r="F9295" s="0" t="s">
        <v>15</v>
      </c>
      <c r="G9295" s="0" t="s">
        <v>32</v>
      </c>
      <c r="H9295" s="0" t="n">
        <v>19</v>
      </c>
      <c r="I9295" s="0" t="s">
        <v>30908</v>
      </c>
      <c r="J9295" s="0" t="s">
        <v>30909</v>
      </c>
      <c r="K9295" s="0" t="s">
        <v>30910</v>
      </c>
      <c r="L9295" s="0" t="str">
        <f aca="false">HYPERLINK("https://www.ncbi.nlm.nih.gov/nuccore/CP000058.1?report=graph&amp;tracks=[key:gene_model_track,Options:GeneOnly]&amp;mk=2913917:2913936|offset_19|00cc00,2913938:2913957|offset_40|444444,2913960:2913979|offset_62|444444,2914007:2914026|offset_109|444444&amp;v=2913716:2914226&amp;c=444444", "offset 19")</f>
        <v>offset 19</v>
      </c>
    </row>
    <row r="9296" customFormat="false" ht="12.8" hidden="false" customHeight="false" outlineLevel="0" collapsed="false">
      <c r="A9296" s="0" t="s">
        <v>12</v>
      </c>
      <c r="B9296" s="0" t="n">
        <v>2913937</v>
      </c>
      <c r="C9296" s="0" t="n">
        <v>2913957</v>
      </c>
      <c r="D9296" s="0" t="s">
        <v>30907</v>
      </c>
      <c r="E9296" s="0" t="s">
        <v>75</v>
      </c>
      <c r="F9296" s="0" t="s">
        <v>15</v>
      </c>
      <c r="G9296" s="0" t="s">
        <v>16</v>
      </c>
      <c r="H9296" s="0" t="n">
        <v>40</v>
      </c>
      <c r="I9296" s="0" t="s">
        <v>30911</v>
      </c>
      <c r="J9296" s="0" t="s">
        <v>30912</v>
      </c>
      <c r="K9296" s="0" t="s">
        <v>30913</v>
      </c>
      <c r="L9296" s="0" t="str">
        <f aca="false">HYPERLINK("https://www.ncbi.nlm.nih.gov/nuccore/CP000058.1?report=graph&amp;tracks=[key:gene_model_track,Options:GeneOnly]&amp;mk=2913917:2913936|offset_19|444444,2913938:2913957|offset_40|00cc00,2913960:2913979|offset_62|444444,2914007:2914026|offset_109|444444&amp;v=2913716:2914226&amp;c=444444", "offset 40")</f>
        <v>offset 40</v>
      </c>
    </row>
    <row r="9297" customFormat="false" ht="12.8" hidden="false" customHeight="false" outlineLevel="0" collapsed="false">
      <c r="A9297" s="0" t="s">
        <v>12</v>
      </c>
      <c r="B9297" s="0" t="n">
        <v>2913959</v>
      </c>
      <c r="C9297" s="0" t="n">
        <v>2913979</v>
      </c>
      <c r="D9297" s="0" t="s">
        <v>30907</v>
      </c>
      <c r="E9297" s="0" t="s">
        <v>75</v>
      </c>
      <c r="F9297" s="0" t="s">
        <v>15</v>
      </c>
      <c r="G9297" s="0" t="s">
        <v>16</v>
      </c>
      <c r="H9297" s="0" t="n">
        <v>62</v>
      </c>
      <c r="I9297" s="0" t="s">
        <v>30914</v>
      </c>
      <c r="J9297" s="0" t="s">
        <v>30915</v>
      </c>
      <c r="K9297" s="0" t="s">
        <v>30916</v>
      </c>
      <c r="L9297" s="0" t="str">
        <f aca="false">HYPERLINK("https://www.ncbi.nlm.nih.gov/nuccore/CP000058.1?report=graph&amp;tracks=[key:gene_model_track,Options:GeneOnly]&amp;mk=2913917:2913936|offset_19|444444,2913938:2913957|offset_40|444444,2913960:2913979|offset_62|00cc00,2914007:2914026|offset_109|444444&amp;v=2913716:2914226&amp;c=444444", "offset 62")</f>
        <v>offset 62</v>
      </c>
    </row>
    <row r="9298" customFormat="false" ht="12.8" hidden="false" customHeight="false" outlineLevel="0" collapsed="false">
      <c r="A9298" s="0" t="s">
        <v>12</v>
      </c>
      <c r="B9298" s="0" t="n">
        <v>2914006</v>
      </c>
      <c r="C9298" s="0" t="n">
        <v>2914026</v>
      </c>
      <c r="D9298" s="0" t="s">
        <v>30907</v>
      </c>
      <c r="E9298" s="0" t="s">
        <v>75</v>
      </c>
      <c r="F9298" s="0" t="s">
        <v>15</v>
      </c>
      <c r="G9298" s="0" t="s">
        <v>36</v>
      </c>
      <c r="H9298" s="0" t="n">
        <v>109</v>
      </c>
      <c r="I9298" s="0" t="s">
        <v>30917</v>
      </c>
      <c r="J9298" s="0" t="s">
        <v>30918</v>
      </c>
      <c r="K9298" s="0" t="s">
        <v>30919</v>
      </c>
      <c r="L9298" s="0" t="str">
        <f aca="false">HYPERLINK("https://www.ncbi.nlm.nih.gov/nuccore/CP000058.1?report=graph&amp;tracks=[key:gene_model_track,Options:GeneOnly]&amp;mk=2913917:2913936|offset_19|444444,2913938:2913957|offset_40|444444,2913960:2913979|offset_62|444444,2914007:2914026|offset_109|00cc00&amp;v=2913716:2914226&amp;c=444444", "offset 109")</f>
        <v>offset 109</v>
      </c>
    </row>
    <row r="9299" customFormat="false" ht="12.8" hidden="false" customHeight="false" outlineLevel="0" collapsed="false">
      <c r="A9299" s="0" t="s">
        <v>12</v>
      </c>
      <c r="B9299" s="0" t="n">
        <v>2914525</v>
      </c>
      <c r="C9299" s="0" t="n">
        <v>2914545</v>
      </c>
      <c r="D9299" s="0" t="s">
        <v>30920</v>
      </c>
      <c r="E9299" s="0" t="s">
        <v>75</v>
      </c>
      <c r="F9299" s="0" t="s">
        <v>15</v>
      </c>
      <c r="G9299" s="0" t="s">
        <v>32</v>
      </c>
      <c r="H9299" s="0" t="n">
        <v>15</v>
      </c>
      <c r="I9299" s="0" t="s">
        <v>30921</v>
      </c>
      <c r="J9299" s="0" t="s">
        <v>30922</v>
      </c>
      <c r="K9299" s="0" t="s">
        <v>30923</v>
      </c>
      <c r="L9299" s="0" t="str">
        <f aca="false">HYPERLINK("https://www.ncbi.nlm.nih.gov/nuccore/CP000058.1?report=graph&amp;tracks=[key:gene_model_track,Options:GeneOnly]&amp;mk=2914526:2914545|offset_15|00cc00,2914560:2914579|offset_49|444444,2914590:2914609|offset_79|444444,2914665:2914684|offset_154|444444&amp;v=2914325:2914884&amp;c=444444", "offset 15")</f>
        <v>offset 15</v>
      </c>
    </row>
    <row r="9300" customFormat="false" ht="12.8" hidden="false" customHeight="false" outlineLevel="0" collapsed="false">
      <c r="A9300" s="0" t="s">
        <v>12</v>
      </c>
      <c r="B9300" s="0" t="n">
        <v>2914559</v>
      </c>
      <c r="C9300" s="0" t="n">
        <v>2914579</v>
      </c>
      <c r="D9300" s="0" t="s">
        <v>30920</v>
      </c>
      <c r="E9300" s="0" t="s">
        <v>75</v>
      </c>
      <c r="F9300" s="0" t="s">
        <v>15</v>
      </c>
      <c r="G9300" s="0" t="s">
        <v>16</v>
      </c>
      <c r="H9300" s="0" t="n">
        <v>49</v>
      </c>
      <c r="I9300" s="0" t="s">
        <v>30924</v>
      </c>
      <c r="J9300" s="0" t="s">
        <v>30925</v>
      </c>
      <c r="K9300" s="0" t="s">
        <v>30926</v>
      </c>
      <c r="L9300" s="0" t="str">
        <f aca="false">HYPERLINK("https://www.ncbi.nlm.nih.gov/nuccore/CP000058.1?report=graph&amp;tracks=[key:gene_model_track,Options:GeneOnly]&amp;mk=2914526:2914545|offset_15|444444,2914560:2914579|offset_49|00cc00,2914590:2914609|offset_79|444444,2914665:2914684|offset_154|444444&amp;v=2914325:2914884&amp;c=444444", "offset 49")</f>
        <v>offset 49</v>
      </c>
    </row>
    <row r="9301" customFormat="false" ht="12.8" hidden="false" customHeight="false" outlineLevel="0" collapsed="false">
      <c r="A9301" s="0" t="s">
        <v>12</v>
      </c>
      <c r="B9301" s="0" t="n">
        <v>2914589</v>
      </c>
      <c r="C9301" s="0" t="n">
        <v>2914609</v>
      </c>
      <c r="D9301" s="0" t="s">
        <v>30920</v>
      </c>
      <c r="E9301" s="0" t="s">
        <v>75</v>
      </c>
      <c r="F9301" s="0" t="s">
        <v>15</v>
      </c>
      <c r="G9301" s="0" t="s">
        <v>20</v>
      </c>
      <c r="H9301" s="0" t="n">
        <v>79</v>
      </c>
      <c r="I9301" s="0" t="s">
        <v>30927</v>
      </c>
      <c r="J9301" s="0" t="s">
        <v>30928</v>
      </c>
      <c r="K9301" s="0" t="s">
        <v>30929</v>
      </c>
      <c r="L9301" s="0" t="str">
        <f aca="false">HYPERLINK("https://www.ncbi.nlm.nih.gov/nuccore/CP000058.1?report=graph&amp;tracks=[key:gene_model_track,Options:GeneOnly]&amp;mk=2914526:2914545|offset_15|444444,2914560:2914579|offset_49|444444,2914590:2914609|offset_79|00cc00,2914665:2914684|offset_154|444444&amp;v=2914325:2914884&amp;c=444444", "offset 79")</f>
        <v>offset 79</v>
      </c>
    </row>
    <row r="9302" customFormat="false" ht="12.8" hidden="false" customHeight="false" outlineLevel="0" collapsed="false">
      <c r="A9302" s="0" t="s">
        <v>12</v>
      </c>
      <c r="B9302" s="0" t="n">
        <v>2914664</v>
      </c>
      <c r="C9302" s="0" t="n">
        <v>2914684</v>
      </c>
      <c r="D9302" s="0" t="s">
        <v>30920</v>
      </c>
      <c r="E9302" s="0" t="s">
        <v>75</v>
      </c>
      <c r="F9302" s="0" t="s">
        <v>15</v>
      </c>
      <c r="G9302" s="0" t="s">
        <v>16</v>
      </c>
      <c r="H9302" s="0" t="n">
        <v>154</v>
      </c>
      <c r="I9302" s="0" t="s">
        <v>30930</v>
      </c>
      <c r="J9302" s="0" t="s">
        <v>30931</v>
      </c>
      <c r="K9302" s="0" t="s">
        <v>30932</v>
      </c>
      <c r="L9302" s="0" t="str">
        <f aca="false">HYPERLINK("https://www.ncbi.nlm.nih.gov/nuccore/CP000058.1?report=graph&amp;tracks=[key:gene_model_track,Options:GeneOnly]&amp;mk=2914526:2914545|offset_15|444444,2914560:2914579|offset_49|444444,2914590:2914609|offset_79|444444,2914665:2914684|offset_154|00cc00&amp;v=2914325:2914884&amp;c=444444", "offset 154")</f>
        <v>offset 154</v>
      </c>
    </row>
    <row r="9303" customFormat="false" ht="12.8" hidden="false" customHeight="false" outlineLevel="0" collapsed="false">
      <c r="A9303" s="0" t="s">
        <v>12</v>
      </c>
      <c r="B9303" s="0" t="n">
        <v>2915112</v>
      </c>
      <c r="C9303" s="0" t="n">
        <v>2915132</v>
      </c>
      <c r="D9303" s="0" t="s">
        <v>30933</v>
      </c>
      <c r="E9303" s="0" t="s">
        <v>75</v>
      </c>
      <c r="F9303" s="0" t="s">
        <v>15</v>
      </c>
      <c r="G9303" s="0" t="s">
        <v>36</v>
      </c>
      <c r="H9303" s="0" t="n">
        <v>13</v>
      </c>
      <c r="I9303" s="0" t="s">
        <v>30934</v>
      </c>
      <c r="J9303" s="0" t="s">
        <v>30935</v>
      </c>
      <c r="K9303" s="0" t="s">
        <v>30936</v>
      </c>
      <c r="L9303" s="0" t="str">
        <f aca="false">HYPERLINK("https://www.ncbi.nlm.nih.gov/nuccore/CP000058.1?report=graph&amp;tracks=[key:gene_model_track,Options:GeneOnly]&amp;mk=2915113:2915132|offset_13|00cc00,2915135:2915154|offset_35|444444,2915158:2915177|offset_58|444444,2915215:2915234|offset_115|444444&amp;v=2914912:2915434&amp;c=444444", "offset 13")</f>
        <v>offset 13</v>
      </c>
    </row>
    <row r="9304" customFormat="false" ht="12.8" hidden="false" customHeight="false" outlineLevel="0" collapsed="false">
      <c r="A9304" s="0" t="s">
        <v>12</v>
      </c>
      <c r="B9304" s="0" t="n">
        <v>2915134</v>
      </c>
      <c r="C9304" s="0" t="n">
        <v>2915154</v>
      </c>
      <c r="D9304" s="0" t="s">
        <v>30933</v>
      </c>
      <c r="E9304" s="0" t="s">
        <v>75</v>
      </c>
      <c r="F9304" s="0" t="s">
        <v>15</v>
      </c>
      <c r="G9304" s="0" t="s">
        <v>20</v>
      </c>
      <c r="H9304" s="0" t="n">
        <v>35</v>
      </c>
      <c r="I9304" s="0" t="s">
        <v>30937</v>
      </c>
      <c r="J9304" s="0" t="s">
        <v>30938</v>
      </c>
      <c r="K9304" s="0" t="s">
        <v>30939</v>
      </c>
      <c r="L9304" s="0" t="str">
        <f aca="false">HYPERLINK("https://www.ncbi.nlm.nih.gov/nuccore/CP000058.1?report=graph&amp;tracks=[key:gene_model_track,Options:GeneOnly]&amp;mk=2915113:2915132|offset_13|444444,2915135:2915154|offset_35|00cc00,2915158:2915177|offset_58|444444,2915215:2915234|offset_115|444444&amp;v=2914912:2915434&amp;c=444444", "offset 35")</f>
        <v>offset 35</v>
      </c>
    </row>
    <row r="9305" customFormat="false" ht="12.8" hidden="false" customHeight="false" outlineLevel="0" collapsed="false">
      <c r="A9305" s="0" t="s">
        <v>12</v>
      </c>
      <c r="B9305" s="0" t="n">
        <v>2915157</v>
      </c>
      <c r="C9305" s="0" t="n">
        <v>2915177</v>
      </c>
      <c r="D9305" s="0" t="s">
        <v>30933</v>
      </c>
      <c r="E9305" s="0" t="s">
        <v>75</v>
      </c>
      <c r="F9305" s="0" t="s">
        <v>15</v>
      </c>
      <c r="G9305" s="0" t="s">
        <v>36</v>
      </c>
      <c r="H9305" s="0" t="n">
        <v>58</v>
      </c>
      <c r="I9305" s="0" t="s">
        <v>30940</v>
      </c>
      <c r="J9305" s="0" t="s">
        <v>30941</v>
      </c>
      <c r="K9305" s="0" t="s">
        <v>30942</v>
      </c>
      <c r="L9305" s="0" t="str">
        <f aca="false">HYPERLINK("https://www.ncbi.nlm.nih.gov/nuccore/CP000058.1?report=graph&amp;tracks=[key:gene_model_track,Options:GeneOnly]&amp;mk=2915113:2915132|offset_13|444444,2915135:2915154|offset_35|444444,2915158:2915177|offset_58|00cc00,2915215:2915234|offset_115|444444&amp;v=2914912:2915434&amp;c=444444", "offset 58")</f>
        <v>offset 58</v>
      </c>
    </row>
    <row r="9306" customFormat="false" ht="12.8" hidden="false" customHeight="false" outlineLevel="0" collapsed="false">
      <c r="A9306" s="0" t="s">
        <v>12</v>
      </c>
      <c r="B9306" s="0" t="n">
        <v>2915214</v>
      </c>
      <c r="C9306" s="0" t="n">
        <v>2915234</v>
      </c>
      <c r="D9306" s="0" t="s">
        <v>30933</v>
      </c>
      <c r="E9306" s="0" t="s">
        <v>75</v>
      </c>
      <c r="F9306" s="0" t="s">
        <v>15</v>
      </c>
      <c r="G9306" s="0" t="s">
        <v>32</v>
      </c>
      <c r="H9306" s="0" t="n">
        <v>115</v>
      </c>
      <c r="I9306" s="0" t="s">
        <v>30943</v>
      </c>
      <c r="J9306" s="0" t="s">
        <v>30944</v>
      </c>
      <c r="K9306" s="0" t="s">
        <v>30945</v>
      </c>
      <c r="L9306" s="0" t="str">
        <f aca="false">HYPERLINK("https://www.ncbi.nlm.nih.gov/nuccore/CP000058.1?report=graph&amp;tracks=[key:gene_model_track,Options:GeneOnly]&amp;mk=2915113:2915132|offset_13|444444,2915135:2915154|offset_35|444444,2915158:2915177|offset_58|444444,2915215:2915234|offset_115|00cc00&amp;v=2914912:2915434&amp;c=444444", "offset 115")</f>
        <v>offset 115</v>
      </c>
    </row>
    <row r="9307" customFormat="false" ht="12.8" hidden="false" customHeight="false" outlineLevel="0" collapsed="false">
      <c r="A9307" s="0" t="s">
        <v>12</v>
      </c>
      <c r="B9307" s="0" t="n">
        <v>2917694</v>
      </c>
      <c r="C9307" s="0" t="n">
        <v>2917714</v>
      </c>
      <c r="D9307" s="0" t="s">
        <v>30946</v>
      </c>
      <c r="E9307" s="0" t="s">
        <v>75</v>
      </c>
      <c r="F9307" s="0" t="s">
        <v>15</v>
      </c>
      <c r="G9307" s="0" t="s">
        <v>16</v>
      </c>
      <c r="H9307" s="0" t="n">
        <v>13</v>
      </c>
      <c r="I9307" s="0" t="s">
        <v>30947</v>
      </c>
      <c r="J9307" s="0" t="s">
        <v>30948</v>
      </c>
      <c r="K9307" s="0" t="s">
        <v>30949</v>
      </c>
      <c r="L9307" s="0" t="str">
        <f aca="false">HYPERLINK("https://www.ncbi.nlm.nih.gov/nuccore/CP000058.1?report=graph&amp;tracks=[key:gene_model_track,Options:GeneOnly]&amp;mk=2917695:2917714|offset_13|00cc00,2917716:2917735|offset_34|444444,2917746:2917765|offset_64|444444,2917777:2917796|offset_95|444444&amp;v=2917494:2917996&amp;c=444444", "offset 13")</f>
        <v>offset 13</v>
      </c>
    </row>
    <row r="9308" customFormat="false" ht="12.8" hidden="false" customHeight="false" outlineLevel="0" collapsed="false">
      <c r="A9308" s="0" t="s">
        <v>12</v>
      </c>
      <c r="B9308" s="0" t="n">
        <v>2917715</v>
      </c>
      <c r="C9308" s="0" t="n">
        <v>2917735</v>
      </c>
      <c r="D9308" s="0" t="s">
        <v>30946</v>
      </c>
      <c r="E9308" s="0" t="s">
        <v>75</v>
      </c>
      <c r="F9308" s="0" t="s">
        <v>15</v>
      </c>
      <c r="G9308" s="0" t="s">
        <v>20</v>
      </c>
      <c r="H9308" s="0" t="n">
        <v>34</v>
      </c>
      <c r="I9308" s="0" t="s">
        <v>30950</v>
      </c>
      <c r="J9308" s="0" t="s">
        <v>30951</v>
      </c>
      <c r="K9308" s="0" t="s">
        <v>30952</v>
      </c>
      <c r="L9308" s="0" t="str">
        <f aca="false">HYPERLINK("https://www.ncbi.nlm.nih.gov/nuccore/CP000058.1?report=graph&amp;tracks=[key:gene_model_track,Options:GeneOnly]&amp;mk=2917695:2917714|offset_13|444444,2917716:2917735|offset_34|00cc00,2917746:2917765|offset_64|444444,2917777:2917796|offset_95|444444&amp;v=2917494:2917996&amp;c=444444", "offset 34")</f>
        <v>offset 34</v>
      </c>
    </row>
    <row r="9309" customFormat="false" ht="12.8" hidden="false" customHeight="false" outlineLevel="0" collapsed="false">
      <c r="A9309" s="0" t="s">
        <v>12</v>
      </c>
      <c r="B9309" s="0" t="n">
        <v>2917745</v>
      </c>
      <c r="C9309" s="0" t="n">
        <v>2917765</v>
      </c>
      <c r="D9309" s="0" t="s">
        <v>30946</v>
      </c>
      <c r="E9309" s="0" t="s">
        <v>75</v>
      </c>
      <c r="F9309" s="0" t="s">
        <v>15</v>
      </c>
      <c r="G9309" s="0" t="s">
        <v>16</v>
      </c>
      <c r="H9309" s="0" t="n">
        <v>64</v>
      </c>
      <c r="I9309" s="0" t="s">
        <v>30953</v>
      </c>
      <c r="J9309" s="0" t="s">
        <v>30954</v>
      </c>
      <c r="K9309" s="0" t="s">
        <v>30955</v>
      </c>
      <c r="L9309" s="0" t="str">
        <f aca="false">HYPERLINK("https://www.ncbi.nlm.nih.gov/nuccore/CP000058.1?report=graph&amp;tracks=[key:gene_model_track,Options:GeneOnly]&amp;mk=2917695:2917714|offset_13|444444,2917716:2917735|offset_34|444444,2917746:2917765|offset_64|00cc00,2917777:2917796|offset_95|444444&amp;v=2917494:2917996&amp;c=444444", "offset 64")</f>
        <v>offset 64</v>
      </c>
    </row>
    <row r="9310" customFormat="false" ht="12.8" hidden="false" customHeight="false" outlineLevel="0" collapsed="false">
      <c r="A9310" s="0" t="s">
        <v>12</v>
      </c>
      <c r="B9310" s="0" t="n">
        <v>2917776</v>
      </c>
      <c r="C9310" s="0" t="n">
        <v>2917796</v>
      </c>
      <c r="D9310" s="0" t="s">
        <v>30946</v>
      </c>
      <c r="E9310" s="0" t="s">
        <v>75</v>
      </c>
      <c r="F9310" s="0" t="s">
        <v>15</v>
      </c>
      <c r="G9310" s="0" t="s">
        <v>16</v>
      </c>
      <c r="H9310" s="0" t="n">
        <v>95</v>
      </c>
      <c r="I9310" s="0" t="s">
        <v>30956</v>
      </c>
      <c r="J9310" s="0" t="s">
        <v>30957</v>
      </c>
      <c r="K9310" s="0" t="s">
        <v>30958</v>
      </c>
      <c r="L9310" s="0" t="str">
        <f aca="false">HYPERLINK("https://www.ncbi.nlm.nih.gov/nuccore/CP000058.1?report=graph&amp;tracks=[key:gene_model_track,Options:GeneOnly]&amp;mk=2917695:2917714|offset_13|444444,2917716:2917735|offset_34|444444,2917746:2917765|offset_64|444444,2917777:2917796|offset_95|00cc00&amp;v=2917494:2917996&amp;c=444444", "offset 95")</f>
        <v>offset 95</v>
      </c>
    </row>
    <row r="9311" customFormat="false" ht="12.8" hidden="false" customHeight="false" outlineLevel="0" collapsed="false">
      <c r="A9311" s="0" t="s">
        <v>12</v>
      </c>
      <c r="B9311" s="0" t="n">
        <v>2918281</v>
      </c>
      <c r="C9311" s="0" t="n">
        <v>2918301</v>
      </c>
      <c r="D9311" s="0" t="s">
        <v>30959</v>
      </c>
      <c r="E9311" s="0" t="s">
        <v>75</v>
      </c>
      <c r="F9311" s="0" t="s">
        <v>90</v>
      </c>
      <c r="G9311" s="0" t="s">
        <v>36</v>
      </c>
      <c r="H9311" s="0" t="n">
        <v>18</v>
      </c>
      <c r="I9311" s="0" t="s">
        <v>30960</v>
      </c>
      <c r="J9311" s="0" t="s">
        <v>30961</v>
      </c>
      <c r="K9311" s="0" t="s">
        <v>30962</v>
      </c>
      <c r="L9311" s="0" t="str">
        <f aca="false">HYPERLINK("https://www.ncbi.nlm.nih.gov/nuccore/CP000058.1?report=graph&amp;tracks=[key:gene_model_track,Options:GeneOnly]&amp;mk=2918282:2918301|offset_18|00cc00,2918210:2918229|offset_90|444444&amp;v=2918081:2918429&amp;c=444444", "offset 18")</f>
        <v>offset 18</v>
      </c>
    </row>
    <row r="9312" customFormat="false" ht="12.8" hidden="false" customHeight="false" outlineLevel="0" collapsed="false">
      <c r="A9312" s="0" t="s">
        <v>12</v>
      </c>
      <c r="B9312" s="0" t="n">
        <v>2918209</v>
      </c>
      <c r="C9312" s="0" t="n">
        <v>2918229</v>
      </c>
      <c r="D9312" s="0" t="s">
        <v>30959</v>
      </c>
      <c r="E9312" s="0" t="s">
        <v>75</v>
      </c>
      <c r="F9312" s="0" t="s">
        <v>90</v>
      </c>
      <c r="G9312" s="0" t="s">
        <v>16</v>
      </c>
      <c r="H9312" s="0" t="n">
        <v>90</v>
      </c>
      <c r="I9312" s="0" t="s">
        <v>30963</v>
      </c>
      <c r="J9312" s="0" t="s">
        <v>30964</v>
      </c>
      <c r="K9312" s="0" t="s">
        <v>30965</v>
      </c>
      <c r="L9312" s="0" t="str">
        <f aca="false">HYPERLINK("https://www.ncbi.nlm.nih.gov/nuccore/CP000058.1?report=graph&amp;tracks=[key:gene_model_track,Options:GeneOnly]&amp;mk=2918282:2918301|offset_18|444444,2918210:2918229|offset_90|00cc00&amp;v=2918081:2918429&amp;c=444444", "offset 90")</f>
        <v>offset 90</v>
      </c>
    </row>
    <row r="9313" customFormat="false" ht="12.8" hidden="false" customHeight="false" outlineLevel="0" collapsed="false">
      <c r="A9313" s="0" t="s">
        <v>12</v>
      </c>
      <c r="B9313" s="0" t="n">
        <v>2918332</v>
      </c>
      <c r="C9313" s="0" t="n">
        <v>2918352</v>
      </c>
      <c r="D9313" s="0" t="s">
        <v>30966</v>
      </c>
      <c r="E9313" s="0" t="s">
        <v>75</v>
      </c>
      <c r="F9313" s="0" t="s">
        <v>15</v>
      </c>
      <c r="G9313" s="0" t="s">
        <v>32</v>
      </c>
      <c r="H9313" s="0" t="n">
        <v>19</v>
      </c>
      <c r="I9313" s="0" t="s">
        <v>30967</v>
      </c>
      <c r="J9313" s="0" t="s">
        <v>30968</v>
      </c>
      <c r="K9313" s="0" t="s">
        <v>30969</v>
      </c>
      <c r="L9313" s="0" t="str">
        <f aca="false">HYPERLINK("https://www.ncbi.nlm.nih.gov/nuccore/CP000058.1?report=graph&amp;tracks=[key:gene_model_track,Options:GeneOnly]&amp;mk=2918333:2918352|offset_19|00cc00,2918355:2918374|offset_41|444444,2918390:2918409|offset_76|444444,2918410:2918429|offset_96|444444&amp;v=2918132:2918629&amp;c=444444", "offset 19")</f>
        <v>offset 19</v>
      </c>
    </row>
    <row r="9314" customFormat="false" ht="12.8" hidden="false" customHeight="false" outlineLevel="0" collapsed="false">
      <c r="A9314" s="0" t="s">
        <v>12</v>
      </c>
      <c r="B9314" s="0" t="n">
        <v>2918354</v>
      </c>
      <c r="C9314" s="0" t="n">
        <v>2918374</v>
      </c>
      <c r="D9314" s="0" t="s">
        <v>30966</v>
      </c>
      <c r="E9314" s="0" t="s">
        <v>75</v>
      </c>
      <c r="F9314" s="0" t="s">
        <v>15</v>
      </c>
      <c r="G9314" s="0" t="s">
        <v>16</v>
      </c>
      <c r="H9314" s="0" t="n">
        <v>41</v>
      </c>
      <c r="I9314" s="0" t="s">
        <v>30970</v>
      </c>
      <c r="J9314" s="0" t="s">
        <v>30971</v>
      </c>
      <c r="K9314" s="0" t="s">
        <v>30972</v>
      </c>
      <c r="L9314" s="0" t="str">
        <f aca="false">HYPERLINK("https://www.ncbi.nlm.nih.gov/nuccore/CP000058.1?report=graph&amp;tracks=[key:gene_model_track,Options:GeneOnly]&amp;mk=2918333:2918352|offset_19|444444,2918355:2918374|offset_41|00cc00,2918390:2918409|offset_76|444444,2918410:2918429|offset_96|444444&amp;v=2918132:2918629&amp;c=444444", "offset 41")</f>
        <v>offset 41</v>
      </c>
    </row>
    <row r="9315" customFormat="false" ht="12.8" hidden="false" customHeight="false" outlineLevel="0" collapsed="false">
      <c r="A9315" s="0" t="s">
        <v>12</v>
      </c>
      <c r="B9315" s="0" t="n">
        <v>2918389</v>
      </c>
      <c r="C9315" s="0" t="n">
        <v>2918409</v>
      </c>
      <c r="D9315" s="0" t="s">
        <v>30966</v>
      </c>
      <c r="E9315" s="0" t="s">
        <v>75</v>
      </c>
      <c r="F9315" s="0" t="s">
        <v>15</v>
      </c>
      <c r="G9315" s="0" t="s">
        <v>20</v>
      </c>
      <c r="H9315" s="0" t="n">
        <v>76</v>
      </c>
      <c r="I9315" s="0" t="s">
        <v>30973</v>
      </c>
      <c r="J9315" s="0" t="s">
        <v>30974</v>
      </c>
      <c r="K9315" s="0" t="s">
        <v>30975</v>
      </c>
      <c r="L9315" s="0" t="str">
        <f aca="false">HYPERLINK("https://www.ncbi.nlm.nih.gov/nuccore/CP000058.1?report=graph&amp;tracks=[key:gene_model_track,Options:GeneOnly]&amp;mk=2918333:2918352|offset_19|444444,2918355:2918374|offset_41|444444,2918390:2918409|offset_76|00cc00,2918410:2918429|offset_96|444444&amp;v=2918132:2918629&amp;c=444444", "offset 76")</f>
        <v>offset 76</v>
      </c>
    </row>
    <row r="9316" customFormat="false" ht="12.8" hidden="false" customHeight="false" outlineLevel="0" collapsed="false">
      <c r="A9316" s="0" t="s">
        <v>12</v>
      </c>
      <c r="B9316" s="0" t="n">
        <v>2918409</v>
      </c>
      <c r="C9316" s="0" t="n">
        <v>2918429</v>
      </c>
      <c r="D9316" s="0" t="s">
        <v>30966</v>
      </c>
      <c r="E9316" s="0" t="s">
        <v>75</v>
      </c>
      <c r="F9316" s="0" t="s">
        <v>15</v>
      </c>
      <c r="G9316" s="0" t="s">
        <v>16</v>
      </c>
      <c r="H9316" s="0" t="n">
        <v>96</v>
      </c>
      <c r="I9316" s="0" t="s">
        <v>30976</v>
      </c>
      <c r="J9316" s="0" t="s">
        <v>30977</v>
      </c>
      <c r="K9316" s="0" t="s">
        <v>30978</v>
      </c>
      <c r="L9316" s="0" t="str">
        <f aca="false">HYPERLINK("https://www.ncbi.nlm.nih.gov/nuccore/CP000058.1?report=graph&amp;tracks=[key:gene_model_track,Options:GeneOnly]&amp;mk=2918333:2918352|offset_19|444444,2918355:2918374|offset_41|444444,2918390:2918409|offset_76|444444,2918410:2918429|offset_96|00cc00&amp;v=2918132:2918629&amp;c=444444", "offset 96")</f>
        <v>offset 96</v>
      </c>
    </row>
    <row r="9317" customFormat="false" ht="12.8" hidden="false" customHeight="false" outlineLevel="0" collapsed="false">
      <c r="A9317" s="0" t="s">
        <v>12</v>
      </c>
      <c r="B9317" s="0" t="n">
        <v>2919229</v>
      </c>
      <c r="C9317" s="0" t="n">
        <v>2919249</v>
      </c>
      <c r="D9317" s="0" t="s">
        <v>30979</v>
      </c>
      <c r="E9317" s="0" t="s">
        <v>75</v>
      </c>
      <c r="F9317" s="0" t="s">
        <v>15</v>
      </c>
      <c r="G9317" s="0" t="s">
        <v>32</v>
      </c>
      <c r="H9317" s="0" t="n">
        <v>14</v>
      </c>
      <c r="I9317" s="0" t="s">
        <v>30980</v>
      </c>
      <c r="J9317" s="0" t="s">
        <v>30981</v>
      </c>
      <c r="K9317" s="0" t="s">
        <v>30982</v>
      </c>
      <c r="L9317" s="0" t="str">
        <f aca="false">HYPERLINK("https://www.ncbi.nlm.nih.gov/nuccore/CP000058.1?report=graph&amp;tracks=[key:gene_model_track,Options:GeneOnly]&amp;mk=2919230:2919249|offset_14|00cc00,2919282:2919301|offset_66|444444,2919322:2919341|offset_106|444444,2919369:2919388|offset_153|444444&amp;v=2919029:2919588&amp;c=444444", "offset 14")</f>
        <v>offset 14</v>
      </c>
    </row>
    <row r="9318" customFormat="false" ht="12.8" hidden="false" customHeight="false" outlineLevel="0" collapsed="false">
      <c r="A9318" s="0" t="s">
        <v>12</v>
      </c>
      <c r="B9318" s="0" t="n">
        <v>2919281</v>
      </c>
      <c r="C9318" s="0" t="n">
        <v>2919301</v>
      </c>
      <c r="D9318" s="0" t="s">
        <v>30979</v>
      </c>
      <c r="E9318" s="0" t="s">
        <v>75</v>
      </c>
      <c r="F9318" s="0" t="s">
        <v>15</v>
      </c>
      <c r="G9318" s="0" t="s">
        <v>20</v>
      </c>
      <c r="H9318" s="0" t="n">
        <v>66</v>
      </c>
      <c r="I9318" s="0" t="s">
        <v>30983</v>
      </c>
      <c r="J9318" s="0" t="s">
        <v>30984</v>
      </c>
      <c r="K9318" s="0" t="s">
        <v>30985</v>
      </c>
      <c r="L9318" s="0" t="str">
        <f aca="false">HYPERLINK("https://www.ncbi.nlm.nih.gov/nuccore/CP000058.1?report=graph&amp;tracks=[key:gene_model_track,Options:GeneOnly]&amp;mk=2919230:2919249|offset_14|444444,2919282:2919301|offset_66|00cc00,2919322:2919341|offset_106|444444,2919369:2919388|offset_153|444444&amp;v=2919029:2919588&amp;c=444444", "offset 66")</f>
        <v>offset 66</v>
      </c>
    </row>
    <row r="9319" customFormat="false" ht="12.8" hidden="false" customHeight="false" outlineLevel="0" collapsed="false">
      <c r="A9319" s="0" t="s">
        <v>12</v>
      </c>
      <c r="B9319" s="0" t="n">
        <v>2919321</v>
      </c>
      <c r="C9319" s="0" t="n">
        <v>2919341</v>
      </c>
      <c r="D9319" s="0" t="s">
        <v>30979</v>
      </c>
      <c r="E9319" s="0" t="s">
        <v>75</v>
      </c>
      <c r="F9319" s="0" t="s">
        <v>15</v>
      </c>
      <c r="G9319" s="0" t="s">
        <v>16</v>
      </c>
      <c r="H9319" s="0" t="n">
        <v>106</v>
      </c>
      <c r="I9319" s="0" t="s">
        <v>30986</v>
      </c>
      <c r="J9319" s="0" t="s">
        <v>30987</v>
      </c>
      <c r="K9319" s="0" t="s">
        <v>30988</v>
      </c>
      <c r="L9319" s="0" t="str">
        <f aca="false">HYPERLINK("https://www.ncbi.nlm.nih.gov/nuccore/CP000058.1?report=graph&amp;tracks=[key:gene_model_track,Options:GeneOnly]&amp;mk=2919230:2919249|offset_14|444444,2919282:2919301|offset_66|444444,2919322:2919341|offset_106|00cc00,2919369:2919388|offset_153|444444&amp;v=2919029:2919588&amp;c=444444", "offset 106")</f>
        <v>offset 106</v>
      </c>
    </row>
    <row r="9320" customFormat="false" ht="12.8" hidden="false" customHeight="false" outlineLevel="0" collapsed="false">
      <c r="A9320" s="0" t="s">
        <v>12</v>
      </c>
      <c r="B9320" s="0" t="n">
        <v>2919368</v>
      </c>
      <c r="C9320" s="0" t="n">
        <v>2919388</v>
      </c>
      <c r="D9320" s="0" t="s">
        <v>30979</v>
      </c>
      <c r="E9320" s="0" t="s">
        <v>75</v>
      </c>
      <c r="F9320" s="0" t="s">
        <v>15</v>
      </c>
      <c r="G9320" s="0" t="s">
        <v>16</v>
      </c>
      <c r="H9320" s="0" t="n">
        <v>153</v>
      </c>
      <c r="I9320" s="0" t="s">
        <v>30989</v>
      </c>
      <c r="J9320" s="0" t="s">
        <v>30990</v>
      </c>
      <c r="K9320" s="0" t="s">
        <v>30991</v>
      </c>
      <c r="L9320" s="0" t="str">
        <f aca="false">HYPERLINK("https://www.ncbi.nlm.nih.gov/nuccore/CP000058.1?report=graph&amp;tracks=[key:gene_model_track,Options:GeneOnly]&amp;mk=2919230:2919249|offset_14|444444,2919282:2919301|offset_66|444444,2919322:2919341|offset_106|444444,2919369:2919388|offset_153|00cc00&amp;v=2919029:2919588&amp;c=444444", "offset 153")</f>
        <v>offset 153</v>
      </c>
    </row>
    <row r="9321" customFormat="false" ht="12.8" hidden="false" customHeight="false" outlineLevel="0" collapsed="false">
      <c r="A9321" s="0" t="s">
        <v>12</v>
      </c>
      <c r="B9321" s="0" t="n">
        <v>2919884</v>
      </c>
      <c r="C9321" s="0" t="n">
        <v>2919904</v>
      </c>
      <c r="D9321" s="0" t="s">
        <v>30992</v>
      </c>
      <c r="E9321" s="0" t="s">
        <v>75</v>
      </c>
      <c r="F9321" s="0" t="s">
        <v>15</v>
      </c>
      <c r="G9321" s="0" t="s">
        <v>32</v>
      </c>
      <c r="H9321" s="0" t="n">
        <v>8</v>
      </c>
      <c r="I9321" s="0" t="s">
        <v>30993</v>
      </c>
      <c r="J9321" s="0" t="s">
        <v>30994</v>
      </c>
      <c r="K9321" s="0" t="s">
        <v>30995</v>
      </c>
      <c r="L9321" s="0" t="str">
        <f aca="false">HYPERLINK("https://www.ncbi.nlm.nih.gov/nuccore/CP000058.1?report=graph&amp;tracks=[key:gene_model_track,Options:GeneOnly]&amp;mk=2919885:2919904|offset_8|00cc00,2919941:2919960|offset_64|444444,2919962:2919981|offset_85|444444,2920003:2920022|offset_126|444444&amp;v=2919684:2920222&amp;c=444444", "offset 8")</f>
        <v>offset 8</v>
      </c>
    </row>
    <row r="9322" customFormat="false" ht="12.8" hidden="false" customHeight="false" outlineLevel="0" collapsed="false">
      <c r="A9322" s="0" t="s">
        <v>12</v>
      </c>
      <c r="B9322" s="0" t="n">
        <v>2919940</v>
      </c>
      <c r="C9322" s="0" t="n">
        <v>2919960</v>
      </c>
      <c r="D9322" s="0" t="s">
        <v>30992</v>
      </c>
      <c r="E9322" s="0" t="s">
        <v>75</v>
      </c>
      <c r="F9322" s="0" t="s">
        <v>15</v>
      </c>
      <c r="G9322" s="0" t="s">
        <v>16</v>
      </c>
      <c r="H9322" s="0" t="n">
        <v>64</v>
      </c>
      <c r="I9322" s="0" t="s">
        <v>30996</v>
      </c>
      <c r="J9322" s="0" t="s">
        <v>30997</v>
      </c>
      <c r="K9322" s="0" t="s">
        <v>30998</v>
      </c>
      <c r="L9322" s="0" t="str">
        <f aca="false">HYPERLINK("https://www.ncbi.nlm.nih.gov/nuccore/CP000058.1?report=graph&amp;tracks=[key:gene_model_track,Options:GeneOnly]&amp;mk=2919885:2919904|offset_8|444444,2919941:2919960|offset_64|00cc00,2919962:2919981|offset_85|444444,2920003:2920022|offset_126|444444&amp;v=2919684:2920222&amp;c=444444", "offset 64")</f>
        <v>offset 64</v>
      </c>
    </row>
    <row r="9323" customFormat="false" ht="12.8" hidden="false" customHeight="false" outlineLevel="0" collapsed="false">
      <c r="A9323" s="0" t="s">
        <v>12</v>
      </c>
      <c r="B9323" s="0" t="n">
        <v>2919961</v>
      </c>
      <c r="C9323" s="0" t="n">
        <v>2919981</v>
      </c>
      <c r="D9323" s="0" t="s">
        <v>30992</v>
      </c>
      <c r="E9323" s="0" t="s">
        <v>75</v>
      </c>
      <c r="F9323" s="0" t="s">
        <v>15</v>
      </c>
      <c r="G9323" s="0" t="s">
        <v>32</v>
      </c>
      <c r="H9323" s="0" t="n">
        <v>85</v>
      </c>
      <c r="I9323" s="0" t="s">
        <v>30999</v>
      </c>
      <c r="J9323" s="0" t="s">
        <v>31000</v>
      </c>
      <c r="K9323" s="0" t="s">
        <v>31001</v>
      </c>
      <c r="L9323" s="0" t="str">
        <f aca="false">HYPERLINK("https://www.ncbi.nlm.nih.gov/nuccore/CP000058.1?report=graph&amp;tracks=[key:gene_model_track,Options:GeneOnly]&amp;mk=2919885:2919904|offset_8|444444,2919941:2919960|offset_64|444444,2919962:2919981|offset_85|00cc00,2920003:2920022|offset_126|444444&amp;v=2919684:2920222&amp;c=444444", "offset 85")</f>
        <v>offset 85</v>
      </c>
    </row>
    <row r="9324" customFormat="false" ht="12.8" hidden="false" customHeight="false" outlineLevel="0" collapsed="false">
      <c r="A9324" s="0" t="s">
        <v>12</v>
      </c>
      <c r="B9324" s="0" t="n">
        <v>2920002</v>
      </c>
      <c r="C9324" s="0" t="n">
        <v>2920022</v>
      </c>
      <c r="D9324" s="0" t="s">
        <v>30992</v>
      </c>
      <c r="E9324" s="0" t="s">
        <v>75</v>
      </c>
      <c r="F9324" s="0" t="s">
        <v>15</v>
      </c>
      <c r="G9324" s="0" t="s">
        <v>36</v>
      </c>
      <c r="H9324" s="0" t="n">
        <v>126</v>
      </c>
      <c r="I9324" s="0" t="s">
        <v>31002</v>
      </c>
      <c r="J9324" s="0" t="s">
        <v>31003</v>
      </c>
      <c r="K9324" s="0" t="s">
        <v>31004</v>
      </c>
      <c r="L9324" s="0" t="str">
        <f aca="false">HYPERLINK("https://www.ncbi.nlm.nih.gov/nuccore/CP000058.1?report=graph&amp;tracks=[key:gene_model_track,Options:GeneOnly]&amp;mk=2919885:2919904|offset_8|444444,2919941:2919960|offset_64|444444,2919962:2919981|offset_85|444444,2920003:2920022|offset_126|00cc00&amp;v=2919684:2920222&amp;c=444444", "offset 126")</f>
        <v>offset 126</v>
      </c>
    </row>
    <row r="9325" customFormat="false" ht="12.8" hidden="false" customHeight="false" outlineLevel="0" collapsed="false">
      <c r="A9325" s="0" t="s">
        <v>12</v>
      </c>
      <c r="B9325" s="0" t="n">
        <v>2920171</v>
      </c>
      <c r="C9325" s="0" t="n">
        <v>2920191</v>
      </c>
      <c r="D9325" s="0" t="s">
        <v>31005</v>
      </c>
      <c r="E9325" s="0" t="s">
        <v>75</v>
      </c>
      <c r="F9325" s="0" t="s">
        <v>15</v>
      </c>
      <c r="G9325" s="0" t="s">
        <v>32</v>
      </c>
      <c r="H9325" s="0" t="n">
        <v>19</v>
      </c>
      <c r="I9325" s="0" t="s">
        <v>31006</v>
      </c>
      <c r="J9325" s="0" t="s">
        <v>31007</v>
      </c>
      <c r="K9325" s="0" t="s">
        <v>31008</v>
      </c>
      <c r="L9325" s="0" t="str">
        <f aca="false">HYPERLINK("https://www.ncbi.nlm.nih.gov/nuccore/CP000058.1?report=graph&amp;tracks=[key:gene_model_track,Options:GeneOnly]&amp;mk=2920172:2920191|offset_19|00cc00,2920198:2920217|offset_45|444444,2920256:2920275|offset_103|444444,2920278:2920297|offset_125|444444&amp;v=2919971:2920497&amp;c=444444", "offset 19")</f>
        <v>offset 19</v>
      </c>
    </row>
    <row r="9326" customFormat="false" ht="12.8" hidden="false" customHeight="false" outlineLevel="0" collapsed="false">
      <c r="A9326" s="0" t="s">
        <v>12</v>
      </c>
      <c r="B9326" s="0" t="n">
        <v>2920197</v>
      </c>
      <c r="C9326" s="0" t="n">
        <v>2920217</v>
      </c>
      <c r="D9326" s="0" t="s">
        <v>31005</v>
      </c>
      <c r="E9326" s="0" t="s">
        <v>75</v>
      </c>
      <c r="F9326" s="0" t="s">
        <v>15</v>
      </c>
      <c r="G9326" s="0" t="s">
        <v>16</v>
      </c>
      <c r="H9326" s="0" t="n">
        <v>45</v>
      </c>
      <c r="I9326" s="0" t="s">
        <v>31009</v>
      </c>
      <c r="J9326" s="0" t="s">
        <v>31010</v>
      </c>
      <c r="K9326" s="0" t="s">
        <v>31011</v>
      </c>
      <c r="L9326" s="0" t="str">
        <f aca="false">HYPERLINK("https://www.ncbi.nlm.nih.gov/nuccore/CP000058.1?report=graph&amp;tracks=[key:gene_model_track,Options:GeneOnly]&amp;mk=2920172:2920191|offset_19|444444,2920198:2920217|offset_45|00cc00,2920256:2920275|offset_103|444444,2920278:2920297|offset_125|444444&amp;v=2919971:2920497&amp;c=444444", "offset 45")</f>
        <v>offset 45</v>
      </c>
    </row>
    <row r="9327" customFormat="false" ht="12.8" hidden="false" customHeight="false" outlineLevel="0" collapsed="false">
      <c r="A9327" s="0" t="s">
        <v>12</v>
      </c>
      <c r="B9327" s="0" t="n">
        <v>2920255</v>
      </c>
      <c r="C9327" s="0" t="n">
        <v>2920275</v>
      </c>
      <c r="D9327" s="0" t="s">
        <v>31005</v>
      </c>
      <c r="E9327" s="0" t="s">
        <v>75</v>
      </c>
      <c r="F9327" s="0" t="s">
        <v>15</v>
      </c>
      <c r="G9327" s="0" t="s">
        <v>36</v>
      </c>
      <c r="H9327" s="0" t="n">
        <v>103</v>
      </c>
      <c r="I9327" s="0" t="s">
        <v>31012</v>
      </c>
      <c r="J9327" s="0" t="s">
        <v>31013</v>
      </c>
      <c r="K9327" s="0" t="s">
        <v>31014</v>
      </c>
      <c r="L9327" s="0" t="str">
        <f aca="false">HYPERLINK("https://www.ncbi.nlm.nih.gov/nuccore/CP000058.1?report=graph&amp;tracks=[key:gene_model_track,Options:GeneOnly]&amp;mk=2920172:2920191|offset_19|444444,2920198:2920217|offset_45|444444,2920256:2920275|offset_103|00cc00,2920278:2920297|offset_125|444444&amp;v=2919971:2920497&amp;c=444444", "offset 103")</f>
        <v>offset 103</v>
      </c>
    </row>
    <row r="9328" customFormat="false" ht="12.8" hidden="false" customHeight="false" outlineLevel="0" collapsed="false">
      <c r="A9328" s="0" t="s">
        <v>12</v>
      </c>
      <c r="B9328" s="0" t="n">
        <v>2920277</v>
      </c>
      <c r="C9328" s="0" t="n">
        <v>2920297</v>
      </c>
      <c r="D9328" s="0" t="s">
        <v>31005</v>
      </c>
      <c r="E9328" s="0" t="s">
        <v>75</v>
      </c>
      <c r="F9328" s="0" t="s">
        <v>15</v>
      </c>
      <c r="G9328" s="0" t="s">
        <v>20</v>
      </c>
      <c r="H9328" s="0" t="n">
        <v>125</v>
      </c>
      <c r="I9328" s="0" t="s">
        <v>31015</v>
      </c>
      <c r="J9328" s="0" t="s">
        <v>31016</v>
      </c>
      <c r="K9328" s="0" t="s">
        <v>31017</v>
      </c>
      <c r="L9328" s="0" t="str">
        <f aca="false">HYPERLINK("https://www.ncbi.nlm.nih.gov/nuccore/CP000058.1?report=graph&amp;tracks=[key:gene_model_track,Options:GeneOnly]&amp;mk=2920172:2920191|offset_19|444444,2920198:2920217|offset_45|444444,2920256:2920275|offset_103|444444,2920278:2920297|offset_125|00cc00&amp;v=2919971:2920497&amp;c=444444", "offset 125")</f>
        <v>offset 125</v>
      </c>
    </row>
    <row r="9329" customFormat="false" ht="12.8" hidden="false" customHeight="false" outlineLevel="0" collapsed="false">
      <c r="A9329" s="0" t="s">
        <v>12</v>
      </c>
      <c r="B9329" s="0" t="n">
        <v>2920996</v>
      </c>
      <c r="C9329" s="0" t="n">
        <v>2921016</v>
      </c>
      <c r="D9329" s="0" t="s">
        <v>31018</v>
      </c>
      <c r="E9329" s="0" t="s">
        <v>75</v>
      </c>
      <c r="F9329" s="0" t="s">
        <v>15</v>
      </c>
      <c r="G9329" s="0" t="s">
        <v>32</v>
      </c>
      <c r="H9329" s="0" t="n">
        <v>29</v>
      </c>
      <c r="I9329" s="0" t="s">
        <v>31019</v>
      </c>
      <c r="J9329" s="0" t="s">
        <v>31020</v>
      </c>
      <c r="K9329" s="0" t="s">
        <v>31021</v>
      </c>
      <c r="L9329" s="0" t="str">
        <f aca="false">HYPERLINK("https://www.ncbi.nlm.nih.gov/nuccore/CP000058.1?report=graph&amp;tracks=[key:gene_model_track,Options:GeneOnly]&amp;mk=2920997:2921016|offset_29|00cc00,2921050:2921069|offset_82|444444,2921084:2921103|offset_116|444444,2921118:2921137|offset_150|444444&amp;v=2920796:2921337&amp;c=444444", "offset 29")</f>
        <v>offset 29</v>
      </c>
    </row>
    <row r="9330" customFormat="false" ht="12.8" hidden="false" customHeight="false" outlineLevel="0" collapsed="false">
      <c r="A9330" s="0" t="s">
        <v>12</v>
      </c>
      <c r="B9330" s="0" t="n">
        <v>2921049</v>
      </c>
      <c r="C9330" s="0" t="n">
        <v>2921069</v>
      </c>
      <c r="D9330" s="0" t="s">
        <v>31018</v>
      </c>
      <c r="E9330" s="0" t="s">
        <v>75</v>
      </c>
      <c r="F9330" s="0" t="s">
        <v>15</v>
      </c>
      <c r="G9330" s="0" t="s">
        <v>32</v>
      </c>
      <c r="H9330" s="0" t="n">
        <v>82</v>
      </c>
      <c r="I9330" s="0" t="s">
        <v>31022</v>
      </c>
      <c r="J9330" s="0" t="s">
        <v>31023</v>
      </c>
      <c r="K9330" s="0" t="s">
        <v>31024</v>
      </c>
      <c r="L9330" s="0" t="str">
        <f aca="false">HYPERLINK("https://www.ncbi.nlm.nih.gov/nuccore/CP000058.1?report=graph&amp;tracks=[key:gene_model_track,Options:GeneOnly]&amp;mk=2920997:2921016|offset_29|444444,2921050:2921069|offset_82|00cc00,2921084:2921103|offset_116|444444,2921118:2921137|offset_150|444444&amp;v=2920796:2921337&amp;c=444444", "offset 82")</f>
        <v>offset 82</v>
      </c>
    </row>
    <row r="9331" customFormat="false" ht="12.8" hidden="false" customHeight="false" outlineLevel="0" collapsed="false">
      <c r="A9331" s="0" t="s">
        <v>12</v>
      </c>
      <c r="B9331" s="0" t="n">
        <v>2921083</v>
      </c>
      <c r="C9331" s="0" t="n">
        <v>2921103</v>
      </c>
      <c r="D9331" s="0" t="s">
        <v>31018</v>
      </c>
      <c r="E9331" s="0" t="s">
        <v>75</v>
      </c>
      <c r="F9331" s="0" t="s">
        <v>15</v>
      </c>
      <c r="G9331" s="0" t="s">
        <v>20</v>
      </c>
      <c r="H9331" s="0" t="n">
        <v>116</v>
      </c>
      <c r="I9331" s="0" t="s">
        <v>31025</v>
      </c>
      <c r="J9331" s="0" t="s">
        <v>31026</v>
      </c>
      <c r="K9331" s="0" t="s">
        <v>31027</v>
      </c>
      <c r="L9331" s="0" t="str">
        <f aca="false">HYPERLINK("https://www.ncbi.nlm.nih.gov/nuccore/CP000058.1?report=graph&amp;tracks=[key:gene_model_track,Options:GeneOnly]&amp;mk=2920997:2921016|offset_29|444444,2921050:2921069|offset_82|444444,2921084:2921103|offset_116|00cc00,2921118:2921137|offset_150|444444&amp;v=2920796:2921337&amp;c=444444", "offset 116")</f>
        <v>offset 116</v>
      </c>
    </row>
    <row r="9332" customFormat="false" ht="12.8" hidden="false" customHeight="false" outlineLevel="0" collapsed="false">
      <c r="A9332" s="0" t="s">
        <v>12</v>
      </c>
      <c r="B9332" s="0" t="n">
        <v>2921117</v>
      </c>
      <c r="C9332" s="0" t="n">
        <v>2921137</v>
      </c>
      <c r="D9332" s="0" t="s">
        <v>31018</v>
      </c>
      <c r="E9332" s="0" t="s">
        <v>75</v>
      </c>
      <c r="F9332" s="0" t="s">
        <v>15</v>
      </c>
      <c r="G9332" s="0" t="s">
        <v>36</v>
      </c>
      <c r="H9332" s="0" t="n">
        <v>150</v>
      </c>
      <c r="I9332" s="0" t="s">
        <v>31028</v>
      </c>
      <c r="J9332" s="0" t="s">
        <v>31029</v>
      </c>
      <c r="K9332" s="0" t="s">
        <v>31030</v>
      </c>
      <c r="L9332" s="0" t="str">
        <f aca="false">HYPERLINK("https://www.ncbi.nlm.nih.gov/nuccore/CP000058.1?report=graph&amp;tracks=[key:gene_model_track,Options:GeneOnly]&amp;mk=2920997:2921016|offset_29|444444,2921050:2921069|offset_82|444444,2921084:2921103|offset_116|444444,2921118:2921137|offset_150|00cc00&amp;v=2920796:2921337&amp;c=444444", "offset 150")</f>
        <v>offset 150</v>
      </c>
    </row>
    <row r="9333" customFormat="false" ht="12.8" hidden="false" customHeight="false" outlineLevel="0" collapsed="false">
      <c r="A9333" s="0" t="s">
        <v>12</v>
      </c>
      <c r="B9333" s="0" t="n">
        <v>2924789</v>
      </c>
      <c r="C9333" s="0" t="n">
        <v>2924809</v>
      </c>
      <c r="D9333" s="0" t="s">
        <v>31031</v>
      </c>
      <c r="E9333" s="0" t="s">
        <v>75</v>
      </c>
      <c r="F9333" s="0" t="s">
        <v>90</v>
      </c>
      <c r="G9333" s="0" t="s">
        <v>32</v>
      </c>
      <c r="H9333" s="0" t="n">
        <v>32</v>
      </c>
      <c r="I9333" s="0" t="s">
        <v>31032</v>
      </c>
      <c r="J9333" s="0" t="s">
        <v>31033</v>
      </c>
      <c r="K9333" s="0" t="s">
        <v>31034</v>
      </c>
      <c r="L9333" s="0" t="str">
        <f aca="false">HYPERLINK("https://www.ncbi.nlm.nih.gov/nuccore/CP000058.1?report=graph&amp;tracks=[key:gene_model_track,Options:GeneOnly]&amp;mk=2924790:2924809|offset_32|00cc00,2924748:2924767|offset_74|444444,2924714:2924733|offset_108|444444,2924692:2924711|offset_130|444444&amp;v=2924589:2924911&amp;c=444444", "offset 32")</f>
        <v>offset 32</v>
      </c>
    </row>
    <row r="9334" customFormat="false" ht="12.8" hidden="false" customHeight="false" outlineLevel="0" collapsed="false">
      <c r="A9334" s="0" t="s">
        <v>12</v>
      </c>
      <c r="B9334" s="0" t="n">
        <v>2924747</v>
      </c>
      <c r="C9334" s="0" t="n">
        <v>2924767</v>
      </c>
      <c r="D9334" s="0" t="s">
        <v>31031</v>
      </c>
      <c r="E9334" s="0" t="s">
        <v>75</v>
      </c>
      <c r="F9334" s="0" t="s">
        <v>90</v>
      </c>
      <c r="G9334" s="0" t="s">
        <v>36</v>
      </c>
      <c r="H9334" s="0" t="n">
        <v>74</v>
      </c>
      <c r="I9334" s="0" t="s">
        <v>31035</v>
      </c>
      <c r="J9334" s="0" t="s">
        <v>31036</v>
      </c>
      <c r="K9334" s="0" t="s">
        <v>31037</v>
      </c>
      <c r="L9334" s="0" t="str">
        <f aca="false">HYPERLINK("https://www.ncbi.nlm.nih.gov/nuccore/CP000058.1?report=graph&amp;tracks=[key:gene_model_track,Options:GeneOnly]&amp;mk=2924790:2924809|offset_32|444444,2924748:2924767|offset_74|00cc00,2924714:2924733|offset_108|444444,2924692:2924711|offset_130|444444&amp;v=2924589:2924911&amp;c=444444", "offset 74")</f>
        <v>offset 74</v>
      </c>
    </row>
    <row r="9335" customFormat="false" ht="12.8" hidden="false" customHeight="false" outlineLevel="0" collapsed="false">
      <c r="A9335" s="0" t="s">
        <v>12</v>
      </c>
      <c r="B9335" s="0" t="n">
        <v>2924713</v>
      </c>
      <c r="C9335" s="0" t="n">
        <v>2924733</v>
      </c>
      <c r="D9335" s="0" t="s">
        <v>31031</v>
      </c>
      <c r="E9335" s="0" t="s">
        <v>75</v>
      </c>
      <c r="F9335" s="0" t="s">
        <v>90</v>
      </c>
      <c r="G9335" s="0" t="s">
        <v>16</v>
      </c>
      <c r="H9335" s="0" t="n">
        <v>108</v>
      </c>
      <c r="I9335" s="0" t="s">
        <v>31038</v>
      </c>
      <c r="J9335" s="0" t="s">
        <v>31039</v>
      </c>
      <c r="K9335" s="0" t="s">
        <v>31040</v>
      </c>
      <c r="L9335" s="0" t="str">
        <f aca="false">HYPERLINK("https://www.ncbi.nlm.nih.gov/nuccore/CP000058.1?report=graph&amp;tracks=[key:gene_model_track,Options:GeneOnly]&amp;mk=2924790:2924809|offset_32|444444,2924748:2924767|offset_74|444444,2924714:2924733|offset_108|00cc00,2924692:2924711|offset_130|444444&amp;v=2924589:2924911&amp;c=444444", "offset 108")</f>
        <v>offset 108</v>
      </c>
    </row>
    <row r="9336" customFormat="false" ht="12.8" hidden="false" customHeight="false" outlineLevel="0" collapsed="false">
      <c r="A9336" s="0" t="s">
        <v>12</v>
      </c>
      <c r="B9336" s="0" t="n">
        <v>2924691</v>
      </c>
      <c r="C9336" s="0" t="n">
        <v>2924711</v>
      </c>
      <c r="D9336" s="0" t="s">
        <v>31031</v>
      </c>
      <c r="E9336" s="0" t="s">
        <v>75</v>
      </c>
      <c r="F9336" s="0" t="s">
        <v>90</v>
      </c>
      <c r="G9336" s="0" t="s">
        <v>32</v>
      </c>
      <c r="H9336" s="0" t="n">
        <v>130</v>
      </c>
      <c r="I9336" s="0" t="s">
        <v>31041</v>
      </c>
      <c r="J9336" s="0" t="s">
        <v>31042</v>
      </c>
      <c r="K9336" s="0" t="s">
        <v>31043</v>
      </c>
      <c r="L9336" s="0" t="str">
        <f aca="false">HYPERLINK("https://www.ncbi.nlm.nih.gov/nuccore/CP000058.1?report=graph&amp;tracks=[key:gene_model_track,Options:GeneOnly]&amp;mk=2924790:2924809|offset_32|444444,2924748:2924767|offset_74|444444,2924714:2924733|offset_108|444444,2924692:2924711|offset_130|00cc00&amp;v=2924589:2924911&amp;c=444444", "offset 130")</f>
        <v>offset 130</v>
      </c>
    </row>
    <row r="9337" customFormat="false" ht="12.8" hidden="false" customHeight="false" outlineLevel="0" collapsed="false">
      <c r="A9337" s="0" t="s">
        <v>12</v>
      </c>
      <c r="B9337" s="0" t="n">
        <v>2925546</v>
      </c>
      <c r="C9337" s="0" t="n">
        <v>2925566</v>
      </c>
      <c r="D9337" s="0" t="s">
        <v>31044</v>
      </c>
      <c r="E9337" s="0" t="s">
        <v>75</v>
      </c>
      <c r="F9337" s="0" t="s">
        <v>15</v>
      </c>
      <c r="G9337" s="0" t="s">
        <v>20</v>
      </c>
      <c r="H9337" s="0" t="n">
        <v>7</v>
      </c>
      <c r="I9337" s="0" t="s">
        <v>31045</v>
      </c>
      <c r="J9337" s="0" t="s">
        <v>31046</v>
      </c>
      <c r="K9337" s="0" t="s">
        <v>31047</v>
      </c>
      <c r="L9337" s="0" t="str">
        <f aca="false">HYPERLINK("https://www.ncbi.nlm.nih.gov/nuccore/CP000058.1?report=graph&amp;tracks=[key:gene_model_track,Options:GeneOnly]&amp;mk=2925547:2925566|offset_7|00cc00,2925576:2925595|offset_36|444444,2925601:2925620|offset_61|444444,2925625:2925644|offset_85|444444&amp;v=2925346:2925844&amp;c=444444", "offset 7")</f>
        <v>offset 7</v>
      </c>
    </row>
    <row r="9338" customFormat="false" ht="12.8" hidden="false" customHeight="false" outlineLevel="0" collapsed="false">
      <c r="A9338" s="0" t="s">
        <v>12</v>
      </c>
      <c r="B9338" s="0" t="n">
        <v>2925575</v>
      </c>
      <c r="C9338" s="0" t="n">
        <v>2925595</v>
      </c>
      <c r="D9338" s="0" t="s">
        <v>31044</v>
      </c>
      <c r="E9338" s="0" t="s">
        <v>75</v>
      </c>
      <c r="F9338" s="0" t="s">
        <v>15</v>
      </c>
      <c r="G9338" s="0" t="s">
        <v>32</v>
      </c>
      <c r="H9338" s="0" t="n">
        <v>36</v>
      </c>
      <c r="I9338" s="0" t="s">
        <v>31048</v>
      </c>
      <c r="J9338" s="0" t="s">
        <v>31049</v>
      </c>
      <c r="K9338" s="0" t="s">
        <v>31050</v>
      </c>
      <c r="L9338" s="0" t="str">
        <f aca="false">HYPERLINK("https://www.ncbi.nlm.nih.gov/nuccore/CP000058.1?report=graph&amp;tracks=[key:gene_model_track,Options:GeneOnly]&amp;mk=2925547:2925566|offset_7|444444,2925576:2925595|offset_36|00cc00,2925601:2925620|offset_61|444444,2925625:2925644|offset_85|444444&amp;v=2925346:2925844&amp;c=444444", "offset 36")</f>
        <v>offset 36</v>
      </c>
    </row>
    <row r="9339" customFormat="false" ht="12.8" hidden="false" customHeight="false" outlineLevel="0" collapsed="false">
      <c r="A9339" s="0" t="s">
        <v>12</v>
      </c>
      <c r="B9339" s="0" t="n">
        <v>2925600</v>
      </c>
      <c r="C9339" s="0" t="n">
        <v>2925620</v>
      </c>
      <c r="D9339" s="0" t="s">
        <v>31044</v>
      </c>
      <c r="E9339" s="0" t="s">
        <v>75</v>
      </c>
      <c r="F9339" s="0" t="s">
        <v>15</v>
      </c>
      <c r="G9339" s="0" t="s">
        <v>20</v>
      </c>
      <c r="H9339" s="0" t="n">
        <v>61</v>
      </c>
      <c r="I9339" s="0" t="s">
        <v>31051</v>
      </c>
      <c r="J9339" s="0" t="s">
        <v>31052</v>
      </c>
      <c r="K9339" s="0" t="s">
        <v>31053</v>
      </c>
      <c r="L9339" s="0" t="str">
        <f aca="false">HYPERLINK("https://www.ncbi.nlm.nih.gov/nuccore/CP000058.1?report=graph&amp;tracks=[key:gene_model_track,Options:GeneOnly]&amp;mk=2925547:2925566|offset_7|444444,2925576:2925595|offset_36|444444,2925601:2925620|offset_61|00cc00,2925625:2925644|offset_85|444444&amp;v=2925346:2925844&amp;c=444444", "offset 61")</f>
        <v>offset 61</v>
      </c>
    </row>
    <row r="9340" customFormat="false" ht="12.8" hidden="false" customHeight="false" outlineLevel="0" collapsed="false">
      <c r="A9340" s="0" t="s">
        <v>12</v>
      </c>
      <c r="B9340" s="0" t="n">
        <v>2925624</v>
      </c>
      <c r="C9340" s="0" t="n">
        <v>2925644</v>
      </c>
      <c r="D9340" s="0" t="s">
        <v>31044</v>
      </c>
      <c r="E9340" s="0" t="s">
        <v>75</v>
      </c>
      <c r="F9340" s="0" t="s">
        <v>15</v>
      </c>
      <c r="G9340" s="0" t="s">
        <v>32</v>
      </c>
      <c r="H9340" s="0" t="n">
        <v>85</v>
      </c>
      <c r="I9340" s="0" t="s">
        <v>31054</v>
      </c>
      <c r="J9340" s="0" t="s">
        <v>31055</v>
      </c>
      <c r="K9340" s="0" t="s">
        <v>31056</v>
      </c>
      <c r="L9340" s="0" t="str">
        <f aca="false">HYPERLINK("https://www.ncbi.nlm.nih.gov/nuccore/CP000058.1?report=graph&amp;tracks=[key:gene_model_track,Options:GeneOnly]&amp;mk=2925547:2925566|offset_7|444444,2925576:2925595|offset_36|444444,2925601:2925620|offset_61|444444,2925625:2925644|offset_85|00cc00&amp;v=2925346:2925844&amp;c=444444", "offset 85")</f>
        <v>offset 85</v>
      </c>
    </row>
    <row r="9341" customFormat="false" ht="12.8" hidden="false" customHeight="false" outlineLevel="0" collapsed="false">
      <c r="A9341" s="0" t="s">
        <v>12</v>
      </c>
      <c r="B9341" s="0" t="n">
        <v>2930418</v>
      </c>
      <c r="C9341" s="0" t="n">
        <v>2930438</v>
      </c>
      <c r="D9341" s="0" t="s">
        <v>31057</v>
      </c>
      <c r="E9341" s="0" t="s">
        <v>75</v>
      </c>
      <c r="F9341" s="0" t="s">
        <v>15</v>
      </c>
      <c r="G9341" s="0" t="s">
        <v>36</v>
      </c>
      <c r="H9341" s="0" t="n">
        <v>15</v>
      </c>
      <c r="I9341" s="0" t="s">
        <v>31058</v>
      </c>
      <c r="J9341" s="0" t="s">
        <v>31059</v>
      </c>
      <c r="K9341" s="0" t="s">
        <v>31060</v>
      </c>
      <c r="L9341" s="0" t="str">
        <f aca="false">HYPERLINK("https://www.ncbi.nlm.nih.gov/nuccore/CP000058.1?report=graph&amp;tracks=[key:gene_model_track,Options:GeneOnly]&amp;mk=2930419:2930438|offset_15|00cc00,2930462:2930481|offset_58|444444,2930544:2930563|offset_140|444444,2930576:2930595|offset_172|444444&amp;v=2930218:2930795&amp;c=444444", "offset 15")</f>
        <v>offset 15</v>
      </c>
    </row>
    <row r="9342" customFormat="false" ht="12.8" hidden="false" customHeight="false" outlineLevel="0" collapsed="false">
      <c r="A9342" s="0" t="s">
        <v>12</v>
      </c>
      <c r="B9342" s="0" t="n">
        <v>2930461</v>
      </c>
      <c r="C9342" s="0" t="n">
        <v>2930481</v>
      </c>
      <c r="D9342" s="0" t="s">
        <v>31057</v>
      </c>
      <c r="E9342" s="0" t="s">
        <v>75</v>
      </c>
      <c r="F9342" s="0" t="s">
        <v>15</v>
      </c>
      <c r="G9342" s="0" t="s">
        <v>32</v>
      </c>
      <c r="H9342" s="0" t="n">
        <v>58</v>
      </c>
      <c r="I9342" s="0" t="s">
        <v>31061</v>
      </c>
      <c r="J9342" s="0" t="s">
        <v>31062</v>
      </c>
      <c r="K9342" s="0" t="s">
        <v>31063</v>
      </c>
      <c r="L9342" s="0" t="str">
        <f aca="false">HYPERLINK("https://www.ncbi.nlm.nih.gov/nuccore/CP000058.1?report=graph&amp;tracks=[key:gene_model_track,Options:GeneOnly]&amp;mk=2930419:2930438|offset_15|444444,2930462:2930481|offset_58|00cc00,2930544:2930563|offset_140|444444,2930576:2930595|offset_172|444444&amp;v=2930218:2930795&amp;c=444444", "offset 58")</f>
        <v>offset 58</v>
      </c>
    </row>
    <row r="9343" customFormat="false" ht="12.8" hidden="false" customHeight="false" outlineLevel="0" collapsed="false">
      <c r="A9343" s="0" t="s">
        <v>12</v>
      </c>
      <c r="B9343" s="0" t="n">
        <v>2930543</v>
      </c>
      <c r="C9343" s="0" t="n">
        <v>2930563</v>
      </c>
      <c r="D9343" s="0" t="s">
        <v>31057</v>
      </c>
      <c r="E9343" s="0" t="s">
        <v>75</v>
      </c>
      <c r="F9343" s="0" t="s">
        <v>15</v>
      </c>
      <c r="G9343" s="0" t="s">
        <v>20</v>
      </c>
      <c r="H9343" s="0" t="n">
        <v>140</v>
      </c>
      <c r="I9343" s="0" t="s">
        <v>31064</v>
      </c>
      <c r="J9343" s="0" t="s">
        <v>31065</v>
      </c>
      <c r="K9343" s="0" t="s">
        <v>31066</v>
      </c>
      <c r="L9343" s="0" t="str">
        <f aca="false">HYPERLINK("https://www.ncbi.nlm.nih.gov/nuccore/CP000058.1?report=graph&amp;tracks=[key:gene_model_track,Options:GeneOnly]&amp;mk=2930419:2930438|offset_15|444444,2930462:2930481|offset_58|444444,2930544:2930563|offset_140|00cc00,2930576:2930595|offset_172|444444&amp;v=2930218:2930795&amp;c=444444", "offset 140")</f>
        <v>offset 140</v>
      </c>
    </row>
    <row r="9344" customFormat="false" ht="12.8" hidden="false" customHeight="false" outlineLevel="0" collapsed="false">
      <c r="A9344" s="0" t="s">
        <v>12</v>
      </c>
      <c r="B9344" s="0" t="n">
        <v>2930575</v>
      </c>
      <c r="C9344" s="0" t="n">
        <v>2930595</v>
      </c>
      <c r="D9344" s="0" t="s">
        <v>31057</v>
      </c>
      <c r="E9344" s="0" t="s">
        <v>75</v>
      </c>
      <c r="F9344" s="0" t="s">
        <v>15</v>
      </c>
      <c r="G9344" s="0" t="s">
        <v>16</v>
      </c>
      <c r="H9344" s="0" t="n">
        <v>172</v>
      </c>
      <c r="I9344" s="0" t="s">
        <v>31067</v>
      </c>
      <c r="J9344" s="0" t="s">
        <v>31068</v>
      </c>
      <c r="K9344" s="0" t="s">
        <v>31069</v>
      </c>
      <c r="L9344" s="0" t="str">
        <f aca="false">HYPERLINK("https://www.ncbi.nlm.nih.gov/nuccore/CP000058.1?report=graph&amp;tracks=[key:gene_model_track,Options:GeneOnly]&amp;mk=2930419:2930438|offset_15|444444,2930462:2930481|offset_58|444444,2930544:2930563|offset_140|444444,2930576:2930595|offset_172|00cc00&amp;v=2930218:2930795&amp;c=444444", "offset 172")</f>
        <v>offset 172</v>
      </c>
    </row>
    <row r="9345" customFormat="false" ht="12.8" hidden="false" customHeight="false" outlineLevel="0" collapsed="false">
      <c r="A9345" s="0" t="s">
        <v>12</v>
      </c>
      <c r="B9345" s="0" t="n">
        <v>2931552</v>
      </c>
      <c r="C9345" s="0" t="n">
        <v>2931572</v>
      </c>
      <c r="D9345" s="0" t="s">
        <v>31070</v>
      </c>
      <c r="E9345" s="0" t="s">
        <v>75</v>
      </c>
      <c r="F9345" s="0" t="s">
        <v>90</v>
      </c>
      <c r="G9345" s="0" t="s">
        <v>36</v>
      </c>
      <c r="H9345" s="0" t="n">
        <v>0</v>
      </c>
      <c r="I9345" s="0" t="s">
        <v>31071</v>
      </c>
      <c r="J9345" s="0" t="s">
        <v>31072</v>
      </c>
      <c r="K9345" s="0" t="s">
        <v>31073</v>
      </c>
      <c r="L9345" s="0" t="str">
        <f aca="false">HYPERLINK("https://www.ncbi.nlm.nih.gov/nuccore/CP000058.1?report=graph&amp;tracks=[key:gene_model_track,Options:GeneOnly]&amp;mk=2931553:2931572|offset_0|00cc00,2931503:2931522|offset_50|444444,2931425:2931444|offset_128|444444,2931404:2931423|offset_149|444444&amp;v=2931352:2931623&amp;c=444444", "offset 0")</f>
        <v>offset 0</v>
      </c>
    </row>
    <row r="9346" customFormat="false" ht="12.8" hidden="false" customHeight="false" outlineLevel="0" collapsed="false">
      <c r="A9346" s="0" t="s">
        <v>12</v>
      </c>
      <c r="B9346" s="0" t="n">
        <v>2931502</v>
      </c>
      <c r="C9346" s="0" t="n">
        <v>2931522</v>
      </c>
      <c r="D9346" s="0" t="s">
        <v>31070</v>
      </c>
      <c r="E9346" s="0" t="s">
        <v>75</v>
      </c>
      <c r="F9346" s="0" t="s">
        <v>90</v>
      </c>
      <c r="G9346" s="0" t="s">
        <v>32</v>
      </c>
      <c r="H9346" s="0" t="n">
        <v>50</v>
      </c>
      <c r="I9346" s="0" t="s">
        <v>31074</v>
      </c>
      <c r="J9346" s="0" t="s">
        <v>31075</v>
      </c>
      <c r="K9346" s="0" t="s">
        <v>31076</v>
      </c>
      <c r="L9346" s="0" t="str">
        <f aca="false">HYPERLINK("https://www.ncbi.nlm.nih.gov/nuccore/CP000058.1?report=graph&amp;tracks=[key:gene_model_track,Options:GeneOnly]&amp;mk=2931553:2931572|offset_0|444444,2931503:2931522|offset_50|00cc00,2931425:2931444|offset_128|444444,2931404:2931423|offset_149|444444&amp;v=2931352:2931623&amp;c=444444", "offset 50")</f>
        <v>offset 50</v>
      </c>
    </row>
    <row r="9347" customFormat="false" ht="12.8" hidden="false" customHeight="false" outlineLevel="0" collapsed="false">
      <c r="A9347" s="0" t="s">
        <v>12</v>
      </c>
      <c r="B9347" s="0" t="n">
        <v>2931424</v>
      </c>
      <c r="C9347" s="0" t="n">
        <v>2931444</v>
      </c>
      <c r="D9347" s="0" t="s">
        <v>31070</v>
      </c>
      <c r="E9347" s="0" t="s">
        <v>75</v>
      </c>
      <c r="F9347" s="0" t="s">
        <v>90</v>
      </c>
      <c r="G9347" s="0" t="s">
        <v>20</v>
      </c>
      <c r="H9347" s="0" t="n">
        <v>128</v>
      </c>
      <c r="I9347" s="0" t="s">
        <v>31077</v>
      </c>
      <c r="J9347" s="0" t="s">
        <v>31078</v>
      </c>
      <c r="K9347" s="0" t="s">
        <v>31079</v>
      </c>
      <c r="L9347" s="0" t="str">
        <f aca="false">HYPERLINK("https://www.ncbi.nlm.nih.gov/nuccore/CP000058.1?report=graph&amp;tracks=[key:gene_model_track,Options:GeneOnly]&amp;mk=2931553:2931572|offset_0|444444,2931503:2931522|offset_50|444444,2931425:2931444|offset_128|00cc00,2931404:2931423|offset_149|444444&amp;v=2931352:2931623&amp;c=444444", "offset 128")</f>
        <v>offset 128</v>
      </c>
    </row>
    <row r="9348" customFormat="false" ht="12.8" hidden="false" customHeight="false" outlineLevel="0" collapsed="false">
      <c r="A9348" s="0" t="s">
        <v>12</v>
      </c>
      <c r="B9348" s="0" t="n">
        <v>2931403</v>
      </c>
      <c r="C9348" s="0" t="n">
        <v>2931423</v>
      </c>
      <c r="D9348" s="0" t="s">
        <v>31070</v>
      </c>
      <c r="E9348" s="0" t="s">
        <v>75</v>
      </c>
      <c r="F9348" s="0" t="s">
        <v>90</v>
      </c>
      <c r="G9348" s="0" t="s">
        <v>32</v>
      </c>
      <c r="H9348" s="0" t="n">
        <v>149</v>
      </c>
      <c r="I9348" s="0" t="s">
        <v>31080</v>
      </c>
      <c r="J9348" s="0" t="s">
        <v>31081</v>
      </c>
      <c r="K9348" s="0" t="s">
        <v>31082</v>
      </c>
      <c r="L9348" s="0" t="str">
        <f aca="false">HYPERLINK("https://www.ncbi.nlm.nih.gov/nuccore/CP000058.1?report=graph&amp;tracks=[key:gene_model_track,Options:GeneOnly]&amp;mk=2931553:2931572|offset_0|444444,2931503:2931522|offset_50|444444,2931425:2931444|offset_128|444444,2931404:2931423|offset_149|00cc00&amp;v=2931352:2931623&amp;c=444444", "offset 149")</f>
        <v>offset 149</v>
      </c>
    </row>
    <row r="9349" customFormat="false" ht="12.8" hidden="false" customHeight="false" outlineLevel="0" collapsed="false">
      <c r="A9349" s="0" t="s">
        <v>12</v>
      </c>
      <c r="B9349" s="0" t="n">
        <v>2936483</v>
      </c>
      <c r="C9349" s="0" t="n">
        <v>2936503</v>
      </c>
      <c r="D9349" s="0" t="s">
        <v>31083</v>
      </c>
      <c r="E9349" s="0" t="s">
        <v>31084</v>
      </c>
      <c r="F9349" s="0" t="s">
        <v>90</v>
      </c>
      <c r="G9349" s="0" t="s">
        <v>32</v>
      </c>
      <c r="H9349" s="0" t="n">
        <v>40</v>
      </c>
      <c r="I9349" s="0" t="s">
        <v>31085</v>
      </c>
      <c r="J9349" s="0" t="s">
        <v>31086</v>
      </c>
      <c r="K9349" s="0" t="s">
        <v>31087</v>
      </c>
      <c r="L9349" s="0" t="str">
        <f aca="false">HYPERLINK("https://www.ncbi.nlm.nih.gov/nuccore/CP000058.1?report=graph&amp;tracks=[key:gene_model_track,Options:GeneOnly]&amp;mk=2936484:2936503|offset_40|00cc00,2936464:2936483|offset_60|444444,2936368:2936387|offset_156|444444,2936339:2936358|offset_185|444444&amp;v=2936283:2936558&amp;c=444444", "offset 40")</f>
        <v>offset 40</v>
      </c>
    </row>
    <row r="9350" customFormat="false" ht="12.8" hidden="false" customHeight="false" outlineLevel="0" collapsed="false">
      <c r="A9350" s="0" t="s">
        <v>12</v>
      </c>
      <c r="B9350" s="0" t="n">
        <v>2936463</v>
      </c>
      <c r="C9350" s="0" t="n">
        <v>2936483</v>
      </c>
      <c r="D9350" s="0" t="s">
        <v>31083</v>
      </c>
      <c r="E9350" s="0" t="s">
        <v>31084</v>
      </c>
      <c r="F9350" s="0" t="s">
        <v>90</v>
      </c>
      <c r="G9350" s="0" t="s">
        <v>36</v>
      </c>
      <c r="H9350" s="0" t="n">
        <v>60</v>
      </c>
      <c r="I9350" s="0" t="s">
        <v>31088</v>
      </c>
      <c r="J9350" s="0" t="s">
        <v>31089</v>
      </c>
      <c r="K9350" s="0" t="s">
        <v>31090</v>
      </c>
      <c r="L9350" s="0" t="str">
        <f aca="false">HYPERLINK("https://www.ncbi.nlm.nih.gov/nuccore/CP000058.1?report=graph&amp;tracks=[key:gene_model_track,Options:GeneOnly]&amp;mk=2936484:2936503|offset_40|444444,2936464:2936483|offset_60|00cc00,2936368:2936387|offset_156|444444,2936339:2936358|offset_185|444444&amp;v=2936283:2936558&amp;c=444444", "offset 60")</f>
        <v>offset 60</v>
      </c>
    </row>
    <row r="9351" customFormat="false" ht="12.8" hidden="false" customHeight="false" outlineLevel="0" collapsed="false">
      <c r="A9351" s="0" t="s">
        <v>12</v>
      </c>
      <c r="B9351" s="0" t="n">
        <v>2936367</v>
      </c>
      <c r="C9351" s="0" t="n">
        <v>2936387</v>
      </c>
      <c r="D9351" s="0" t="s">
        <v>31083</v>
      </c>
      <c r="E9351" s="0" t="s">
        <v>31084</v>
      </c>
      <c r="F9351" s="0" t="s">
        <v>90</v>
      </c>
      <c r="G9351" s="0" t="s">
        <v>16</v>
      </c>
      <c r="H9351" s="0" t="n">
        <v>156</v>
      </c>
      <c r="I9351" s="0" t="s">
        <v>31091</v>
      </c>
      <c r="J9351" s="0" t="s">
        <v>31092</v>
      </c>
      <c r="K9351" s="0" t="s">
        <v>31093</v>
      </c>
      <c r="L9351" s="0" t="str">
        <f aca="false">HYPERLINK("https://www.ncbi.nlm.nih.gov/nuccore/CP000058.1?report=graph&amp;tracks=[key:gene_model_track,Options:GeneOnly]&amp;mk=2936484:2936503|offset_40|444444,2936464:2936483|offset_60|444444,2936368:2936387|offset_156|00cc00,2936339:2936358|offset_185|444444&amp;v=2936283:2936558&amp;c=444444", "offset 156")</f>
        <v>offset 156</v>
      </c>
    </row>
    <row r="9352" customFormat="false" ht="12.8" hidden="false" customHeight="false" outlineLevel="0" collapsed="false">
      <c r="A9352" s="0" t="s">
        <v>12</v>
      </c>
      <c r="B9352" s="0" t="n">
        <v>2936338</v>
      </c>
      <c r="C9352" s="0" t="n">
        <v>2936358</v>
      </c>
      <c r="D9352" s="0" t="s">
        <v>31083</v>
      </c>
      <c r="E9352" s="0" t="s">
        <v>31084</v>
      </c>
      <c r="F9352" s="0" t="s">
        <v>90</v>
      </c>
      <c r="G9352" s="0" t="s">
        <v>20</v>
      </c>
      <c r="H9352" s="0" t="n">
        <v>185</v>
      </c>
      <c r="I9352" s="0" t="s">
        <v>31094</v>
      </c>
      <c r="J9352" s="0" t="s">
        <v>31095</v>
      </c>
      <c r="K9352" s="0" t="s">
        <v>31096</v>
      </c>
      <c r="L9352" s="0" t="str">
        <f aca="false">HYPERLINK("https://www.ncbi.nlm.nih.gov/nuccore/CP000058.1?report=graph&amp;tracks=[key:gene_model_track,Options:GeneOnly]&amp;mk=2936484:2936503|offset_40|444444,2936464:2936483|offset_60|444444,2936368:2936387|offset_156|444444,2936339:2936358|offset_185|00cc00&amp;v=2936283:2936558&amp;c=444444", "offset 185")</f>
        <v>offset 185</v>
      </c>
    </row>
    <row r="9353" customFormat="false" ht="12.8" hidden="false" customHeight="false" outlineLevel="0" collapsed="false">
      <c r="A9353" s="0" t="s">
        <v>12</v>
      </c>
      <c r="B9353" s="0" t="n">
        <v>2937449</v>
      </c>
      <c r="C9353" s="0" t="n">
        <v>2937469</v>
      </c>
      <c r="D9353" s="0" t="s">
        <v>31097</v>
      </c>
      <c r="E9353" s="0" t="s">
        <v>75</v>
      </c>
      <c r="F9353" s="0" t="s">
        <v>15</v>
      </c>
      <c r="G9353" s="0" t="s">
        <v>36</v>
      </c>
      <c r="H9353" s="0" t="n">
        <v>12</v>
      </c>
      <c r="I9353" s="0" t="s">
        <v>31098</v>
      </c>
      <c r="J9353" s="0" t="s">
        <v>31099</v>
      </c>
      <c r="K9353" s="0" t="s">
        <v>31100</v>
      </c>
      <c r="L9353" s="0" t="str">
        <f aca="false">HYPERLINK("https://www.ncbi.nlm.nih.gov/nuccore/CP000058.1?report=graph&amp;tracks=[key:gene_model_track,Options:GeneOnly]&amp;mk=2937450:2937469|offset_12|00cc00,2937487:2937506|offset_49|444444,2937529:2937548|offset_91|444444,2937556:2937575|offset_118|444444&amp;v=2937249:2937775&amp;c=444444", "offset 12")</f>
        <v>offset 12</v>
      </c>
    </row>
    <row r="9354" customFormat="false" ht="12.8" hidden="false" customHeight="false" outlineLevel="0" collapsed="false">
      <c r="A9354" s="0" t="s">
        <v>12</v>
      </c>
      <c r="B9354" s="0" t="n">
        <v>2937486</v>
      </c>
      <c r="C9354" s="0" t="n">
        <v>2937506</v>
      </c>
      <c r="D9354" s="0" t="s">
        <v>31097</v>
      </c>
      <c r="E9354" s="0" t="s">
        <v>75</v>
      </c>
      <c r="F9354" s="0" t="s">
        <v>15</v>
      </c>
      <c r="G9354" s="0" t="s">
        <v>16</v>
      </c>
      <c r="H9354" s="0" t="n">
        <v>49</v>
      </c>
      <c r="I9354" s="0" t="s">
        <v>31101</v>
      </c>
      <c r="J9354" s="0" t="s">
        <v>31102</v>
      </c>
      <c r="K9354" s="0" t="s">
        <v>31103</v>
      </c>
      <c r="L9354" s="0" t="str">
        <f aca="false">HYPERLINK("https://www.ncbi.nlm.nih.gov/nuccore/CP000058.1?report=graph&amp;tracks=[key:gene_model_track,Options:GeneOnly]&amp;mk=2937450:2937469|offset_12|444444,2937487:2937506|offset_49|00cc00,2937529:2937548|offset_91|444444,2937556:2937575|offset_118|444444&amp;v=2937249:2937775&amp;c=444444", "offset 49")</f>
        <v>offset 49</v>
      </c>
    </row>
    <row r="9355" customFormat="false" ht="12.8" hidden="false" customHeight="false" outlineLevel="0" collapsed="false">
      <c r="A9355" s="0" t="s">
        <v>12</v>
      </c>
      <c r="B9355" s="0" t="n">
        <v>2937528</v>
      </c>
      <c r="C9355" s="0" t="n">
        <v>2937548</v>
      </c>
      <c r="D9355" s="0" t="s">
        <v>31097</v>
      </c>
      <c r="E9355" s="0" t="s">
        <v>75</v>
      </c>
      <c r="F9355" s="0" t="s">
        <v>15</v>
      </c>
      <c r="G9355" s="0" t="s">
        <v>16</v>
      </c>
      <c r="H9355" s="0" t="n">
        <v>91</v>
      </c>
      <c r="I9355" s="0" t="s">
        <v>31104</v>
      </c>
      <c r="J9355" s="0" t="s">
        <v>31105</v>
      </c>
      <c r="K9355" s="0" t="s">
        <v>31106</v>
      </c>
      <c r="L9355" s="0" t="str">
        <f aca="false">HYPERLINK("https://www.ncbi.nlm.nih.gov/nuccore/CP000058.1?report=graph&amp;tracks=[key:gene_model_track,Options:GeneOnly]&amp;mk=2937450:2937469|offset_12|444444,2937487:2937506|offset_49|444444,2937529:2937548|offset_91|00cc00,2937556:2937575|offset_118|444444&amp;v=2937249:2937775&amp;c=444444", "offset 91")</f>
        <v>offset 91</v>
      </c>
    </row>
    <row r="9356" customFormat="false" ht="12.8" hidden="false" customHeight="false" outlineLevel="0" collapsed="false">
      <c r="A9356" s="0" t="s">
        <v>12</v>
      </c>
      <c r="B9356" s="0" t="n">
        <v>2937555</v>
      </c>
      <c r="C9356" s="0" t="n">
        <v>2937575</v>
      </c>
      <c r="D9356" s="0" t="s">
        <v>31097</v>
      </c>
      <c r="E9356" s="0" t="s">
        <v>75</v>
      </c>
      <c r="F9356" s="0" t="s">
        <v>15</v>
      </c>
      <c r="G9356" s="0" t="s">
        <v>20</v>
      </c>
      <c r="H9356" s="0" t="n">
        <v>118</v>
      </c>
      <c r="I9356" s="0" t="s">
        <v>31107</v>
      </c>
      <c r="J9356" s="0" t="s">
        <v>31108</v>
      </c>
      <c r="K9356" s="0" t="s">
        <v>31109</v>
      </c>
      <c r="L9356" s="0" t="str">
        <f aca="false">HYPERLINK("https://www.ncbi.nlm.nih.gov/nuccore/CP000058.1?report=graph&amp;tracks=[key:gene_model_track,Options:GeneOnly]&amp;mk=2937450:2937469|offset_12|444444,2937487:2937506|offset_49|444444,2937529:2937548|offset_91|444444,2937556:2937575|offset_118|00cc00&amp;v=2937249:2937775&amp;c=444444", "offset 118")</f>
        <v>offset 118</v>
      </c>
    </row>
    <row r="9357" customFormat="false" ht="12.8" hidden="false" customHeight="false" outlineLevel="0" collapsed="false">
      <c r="A9357" s="0" t="s">
        <v>12</v>
      </c>
      <c r="B9357" s="0" t="n">
        <v>2938144</v>
      </c>
      <c r="C9357" s="0" t="n">
        <v>2938164</v>
      </c>
      <c r="D9357" s="0" t="s">
        <v>31110</v>
      </c>
      <c r="E9357" s="0" t="s">
        <v>75</v>
      </c>
      <c r="F9357" s="0" t="s">
        <v>15</v>
      </c>
      <c r="G9357" s="0" t="s">
        <v>36</v>
      </c>
      <c r="H9357" s="0" t="n">
        <v>36</v>
      </c>
      <c r="I9357" s="0" t="s">
        <v>31111</v>
      </c>
      <c r="J9357" s="0" t="s">
        <v>31112</v>
      </c>
      <c r="K9357" s="0" t="s">
        <v>31113</v>
      </c>
      <c r="L9357" s="0" t="str">
        <f aca="false">HYPERLINK("https://www.ncbi.nlm.nih.gov/nuccore/CP000058.1?report=graph&amp;tracks=[key:gene_model_track,Options:GeneOnly]&amp;mk=2938145:2938164|offset_36|00cc00,2938206:2938225|offset_97|444444,2938244:2938263|offset_135|444444,2938298:2938317|offset_189|444444&amp;v=2937944:2938517&amp;c=444444", "offset 36")</f>
        <v>offset 36</v>
      </c>
    </row>
    <row r="9358" customFormat="false" ht="12.8" hidden="false" customHeight="false" outlineLevel="0" collapsed="false">
      <c r="A9358" s="0" t="s">
        <v>12</v>
      </c>
      <c r="B9358" s="0" t="n">
        <v>2938205</v>
      </c>
      <c r="C9358" s="0" t="n">
        <v>2938225</v>
      </c>
      <c r="D9358" s="0" t="s">
        <v>31110</v>
      </c>
      <c r="E9358" s="0" t="s">
        <v>75</v>
      </c>
      <c r="F9358" s="0" t="s">
        <v>15</v>
      </c>
      <c r="G9358" s="0" t="s">
        <v>32</v>
      </c>
      <c r="H9358" s="0" t="n">
        <v>97</v>
      </c>
      <c r="I9358" s="0" t="s">
        <v>31114</v>
      </c>
      <c r="J9358" s="0" t="s">
        <v>31115</v>
      </c>
      <c r="K9358" s="0" t="s">
        <v>31116</v>
      </c>
      <c r="L9358" s="0" t="str">
        <f aca="false">HYPERLINK("https://www.ncbi.nlm.nih.gov/nuccore/CP000058.1?report=graph&amp;tracks=[key:gene_model_track,Options:GeneOnly]&amp;mk=2938145:2938164|offset_36|444444,2938206:2938225|offset_97|00cc00,2938244:2938263|offset_135|444444,2938298:2938317|offset_189|444444&amp;v=2937944:2938517&amp;c=444444", "offset 97")</f>
        <v>offset 97</v>
      </c>
    </row>
    <row r="9359" customFormat="false" ht="12.8" hidden="false" customHeight="false" outlineLevel="0" collapsed="false">
      <c r="A9359" s="0" t="s">
        <v>12</v>
      </c>
      <c r="B9359" s="0" t="n">
        <v>2938243</v>
      </c>
      <c r="C9359" s="0" t="n">
        <v>2938263</v>
      </c>
      <c r="D9359" s="0" t="s">
        <v>31110</v>
      </c>
      <c r="E9359" s="0" t="s">
        <v>75</v>
      </c>
      <c r="F9359" s="0" t="s">
        <v>15</v>
      </c>
      <c r="G9359" s="0" t="s">
        <v>16</v>
      </c>
      <c r="H9359" s="0" t="n">
        <v>135</v>
      </c>
      <c r="I9359" s="0" t="s">
        <v>31117</v>
      </c>
      <c r="J9359" s="0" t="s">
        <v>31118</v>
      </c>
      <c r="K9359" s="0" t="s">
        <v>31119</v>
      </c>
      <c r="L9359" s="0" t="str">
        <f aca="false">HYPERLINK("https://www.ncbi.nlm.nih.gov/nuccore/CP000058.1?report=graph&amp;tracks=[key:gene_model_track,Options:GeneOnly]&amp;mk=2938145:2938164|offset_36|444444,2938206:2938225|offset_97|444444,2938244:2938263|offset_135|00cc00,2938298:2938317|offset_189|444444&amp;v=2937944:2938517&amp;c=444444", "offset 135")</f>
        <v>offset 135</v>
      </c>
    </row>
    <row r="9360" customFormat="false" ht="12.8" hidden="false" customHeight="false" outlineLevel="0" collapsed="false">
      <c r="A9360" s="0" t="s">
        <v>12</v>
      </c>
      <c r="B9360" s="0" t="n">
        <v>2938297</v>
      </c>
      <c r="C9360" s="0" t="n">
        <v>2938317</v>
      </c>
      <c r="D9360" s="0" t="s">
        <v>31110</v>
      </c>
      <c r="E9360" s="0" t="s">
        <v>75</v>
      </c>
      <c r="F9360" s="0" t="s">
        <v>15</v>
      </c>
      <c r="G9360" s="0" t="s">
        <v>36</v>
      </c>
      <c r="H9360" s="0" t="n">
        <v>189</v>
      </c>
      <c r="I9360" s="0" t="s">
        <v>31120</v>
      </c>
      <c r="J9360" s="0" t="s">
        <v>31121</v>
      </c>
      <c r="K9360" s="0" t="s">
        <v>31122</v>
      </c>
      <c r="L9360" s="0" t="str">
        <f aca="false">HYPERLINK("https://www.ncbi.nlm.nih.gov/nuccore/CP000058.1?report=graph&amp;tracks=[key:gene_model_track,Options:GeneOnly]&amp;mk=2938145:2938164|offset_36|444444,2938206:2938225|offset_97|444444,2938244:2938263|offset_135|444444,2938298:2938317|offset_189|00cc00&amp;v=2937944:2938517&amp;c=444444", "offset 189")</f>
        <v>offset 189</v>
      </c>
    </row>
    <row r="9361" customFormat="false" ht="12.8" hidden="false" customHeight="false" outlineLevel="0" collapsed="false">
      <c r="A9361" s="0" t="s">
        <v>12</v>
      </c>
      <c r="B9361" s="0" t="n">
        <v>2939128</v>
      </c>
      <c r="C9361" s="0" t="n">
        <v>2939148</v>
      </c>
      <c r="D9361" s="0" t="s">
        <v>31123</v>
      </c>
      <c r="E9361" s="0" t="s">
        <v>75</v>
      </c>
      <c r="F9361" s="0" t="s">
        <v>15</v>
      </c>
      <c r="G9361" s="0" t="s">
        <v>16</v>
      </c>
      <c r="H9361" s="0" t="n">
        <v>27</v>
      </c>
      <c r="I9361" s="0" t="s">
        <v>31124</v>
      </c>
      <c r="J9361" s="0" t="s">
        <v>31125</v>
      </c>
      <c r="K9361" s="0" t="s">
        <v>31126</v>
      </c>
      <c r="L9361" s="0" t="str">
        <f aca="false">HYPERLINK("https://www.ncbi.nlm.nih.gov/nuccore/CP000058.1?report=graph&amp;tracks=[key:gene_model_track,Options:GeneOnly]&amp;mk=2939129:2939148|offset_27|00cc00,2939181:2939200|offset_79|444444,2939214:2939233|offset_112|444444,2939238:2939257|offset_136|444444&amp;v=2938928:2939457&amp;c=444444", "offset 27")</f>
        <v>offset 27</v>
      </c>
    </row>
    <row r="9362" customFormat="false" ht="12.8" hidden="false" customHeight="false" outlineLevel="0" collapsed="false">
      <c r="A9362" s="0" t="s">
        <v>12</v>
      </c>
      <c r="B9362" s="0" t="n">
        <v>2939180</v>
      </c>
      <c r="C9362" s="0" t="n">
        <v>2939200</v>
      </c>
      <c r="D9362" s="0" t="s">
        <v>31123</v>
      </c>
      <c r="E9362" s="0" t="s">
        <v>75</v>
      </c>
      <c r="F9362" s="0" t="s">
        <v>15</v>
      </c>
      <c r="G9362" s="0" t="s">
        <v>16</v>
      </c>
      <c r="H9362" s="0" t="n">
        <v>79</v>
      </c>
      <c r="I9362" s="0" t="s">
        <v>31127</v>
      </c>
      <c r="J9362" s="0" t="s">
        <v>31128</v>
      </c>
      <c r="K9362" s="0" t="s">
        <v>31129</v>
      </c>
      <c r="L9362" s="0" t="str">
        <f aca="false">HYPERLINK("https://www.ncbi.nlm.nih.gov/nuccore/CP000058.1?report=graph&amp;tracks=[key:gene_model_track,Options:GeneOnly]&amp;mk=2939129:2939148|offset_27|444444,2939181:2939200|offset_79|00cc00,2939214:2939233|offset_112|444444,2939238:2939257|offset_136|444444&amp;v=2938928:2939457&amp;c=444444", "offset 79")</f>
        <v>offset 79</v>
      </c>
    </row>
    <row r="9363" customFormat="false" ht="12.8" hidden="false" customHeight="false" outlineLevel="0" collapsed="false">
      <c r="A9363" s="0" t="s">
        <v>12</v>
      </c>
      <c r="B9363" s="0" t="n">
        <v>2939213</v>
      </c>
      <c r="C9363" s="0" t="n">
        <v>2939233</v>
      </c>
      <c r="D9363" s="0" t="s">
        <v>31123</v>
      </c>
      <c r="E9363" s="0" t="s">
        <v>75</v>
      </c>
      <c r="F9363" s="0" t="s">
        <v>15</v>
      </c>
      <c r="G9363" s="0" t="s">
        <v>20</v>
      </c>
      <c r="H9363" s="0" t="n">
        <v>112</v>
      </c>
      <c r="I9363" s="0" t="s">
        <v>31130</v>
      </c>
      <c r="J9363" s="0" t="s">
        <v>31131</v>
      </c>
      <c r="K9363" s="0" t="s">
        <v>31132</v>
      </c>
      <c r="L9363" s="0" t="str">
        <f aca="false">HYPERLINK("https://www.ncbi.nlm.nih.gov/nuccore/CP000058.1?report=graph&amp;tracks=[key:gene_model_track,Options:GeneOnly]&amp;mk=2939129:2939148|offset_27|444444,2939181:2939200|offset_79|444444,2939214:2939233|offset_112|00cc00,2939238:2939257|offset_136|444444&amp;v=2938928:2939457&amp;c=444444", "offset 112")</f>
        <v>offset 112</v>
      </c>
    </row>
    <row r="9364" customFormat="false" ht="12.8" hidden="false" customHeight="false" outlineLevel="0" collapsed="false">
      <c r="A9364" s="0" t="s">
        <v>12</v>
      </c>
      <c r="B9364" s="0" t="n">
        <v>2939237</v>
      </c>
      <c r="C9364" s="0" t="n">
        <v>2939257</v>
      </c>
      <c r="D9364" s="0" t="s">
        <v>31123</v>
      </c>
      <c r="E9364" s="0" t="s">
        <v>75</v>
      </c>
      <c r="F9364" s="0" t="s">
        <v>15</v>
      </c>
      <c r="G9364" s="0" t="s">
        <v>32</v>
      </c>
      <c r="H9364" s="0" t="n">
        <v>136</v>
      </c>
      <c r="I9364" s="0" t="s">
        <v>31133</v>
      </c>
      <c r="J9364" s="0" t="s">
        <v>31134</v>
      </c>
      <c r="K9364" s="0" t="s">
        <v>31135</v>
      </c>
      <c r="L9364" s="0" t="str">
        <f aca="false">HYPERLINK("https://www.ncbi.nlm.nih.gov/nuccore/CP000058.1?report=graph&amp;tracks=[key:gene_model_track,Options:GeneOnly]&amp;mk=2939129:2939148|offset_27|444444,2939181:2939200|offset_79|444444,2939214:2939233|offset_112|444444,2939238:2939257|offset_136|00cc00&amp;v=2938928:2939457&amp;c=444444", "offset 136")</f>
        <v>offset 136</v>
      </c>
    </row>
    <row r="9365" customFormat="false" ht="12.8" hidden="false" customHeight="false" outlineLevel="0" collapsed="false">
      <c r="A9365" s="0" t="s">
        <v>12</v>
      </c>
      <c r="B9365" s="0" t="n">
        <v>2941384</v>
      </c>
      <c r="C9365" s="0" t="n">
        <v>2941404</v>
      </c>
      <c r="D9365" s="0" t="s">
        <v>31136</v>
      </c>
      <c r="E9365" s="0" t="s">
        <v>75</v>
      </c>
      <c r="F9365" s="0" t="s">
        <v>15</v>
      </c>
      <c r="G9365" s="0" t="s">
        <v>16</v>
      </c>
      <c r="H9365" s="0" t="n">
        <v>64</v>
      </c>
      <c r="I9365" s="0" t="s">
        <v>31137</v>
      </c>
      <c r="J9365" s="0" t="s">
        <v>31138</v>
      </c>
      <c r="K9365" s="0" t="s">
        <v>31139</v>
      </c>
      <c r="L9365" s="0" t="str">
        <f aca="false">HYPERLINK("https://www.ncbi.nlm.nih.gov/nuccore/CP000058.1?report=graph&amp;tracks=[key:gene_model_track,Options:GeneOnly]&amp;mk=2941385:2941404|offset_64|00cc00,2941424:2941443|offset_103|444444,2941481:2941500|offset_160|444444,2941543:2941562|offset_222|444444&amp;v=2941184:2941762&amp;c=444444", "offset 64")</f>
        <v>offset 64</v>
      </c>
    </row>
    <row r="9366" customFormat="false" ht="12.8" hidden="false" customHeight="false" outlineLevel="0" collapsed="false">
      <c r="A9366" s="0" t="s">
        <v>12</v>
      </c>
      <c r="B9366" s="0" t="n">
        <v>2941423</v>
      </c>
      <c r="C9366" s="0" t="n">
        <v>2941443</v>
      </c>
      <c r="D9366" s="0" t="s">
        <v>31136</v>
      </c>
      <c r="E9366" s="0" t="s">
        <v>75</v>
      </c>
      <c r="F9366" s="0" t="s">
        <v>15</v>
      </c>
      <c r="G9366" s="0" t="s">
        <v>36</v>
      </c>
      <c r="H9366" s="0" t="n">
        <v>103</v>
      </c>
      <c r="I9366" s="0" t="s">
        <v>31140</v>
      </c>
      <c r="J9366" s="0" t="s">
        <v>31141</v>
      </c>
      <c r="K9366" s="0" t="s">
        <v>31142</v>
      </c>
      <c r="L9366" s="0" t="str">
        <f aca="false">HYPERLINK("https://www.ncbi.nlm.nih.gov/nuccore/CP000058.1?report=graph&amp;tracks=[key:gene_model_track,Options:GeneOnly]&amp;mk=2941385:2941404|offset_64|444444,2941424:2941443|offset_103|00cc00,2941481:2941500|offset_160|444444,2941543:2941562|offset_222|444444&amp;v=2941184:2941762&amp;c=444444", "offset 103")</f>
        <v>offset 103</v>
      </c>
    </row>
    <row r="9367" customFormat="false" ht="12.8" hidden="false" customHeight="false" outlineLevel="0" collapsed="false">
      <c r="A9367" s="0" t="s">
        <v>12</v>
      </c>
      <c r="B9367" s="0" t="n">
        <v>2941480</v>
      </c>
      <c r="C9367" s="0" t="n">
        <v>2941500</v>
      </c>
      <c r="D9367" s="0" t="s">
        <v>31136</v>
      </c>
      <c r="E9367" s="0" t="s">
        <v>75</v>
      </c>
      <c r="F9367" s="0" t="s">
        <v>15</v>
      </c>
      <c r="G9367" s="0" t="s">
        <v>36</v>
      </c>
      <c r="H9367" s="0" t="n">
        <v>160</v>
      </c>
      <c r="I9367" s="0" t="s">
        <v>31143</v>
      </c>
      <c r="J9367" s="0" t="s">
        <v>31144</v>
      </c>
      <c r="K9367" s="0" t="s">
        <v>31145</v>
      </c>
      <c r="L9367" s="0" t="str">
        <f aca="false">HYPERLINK("https://www.ncbi.nlm.nih.gov/nuccore/CP000058.1?report=graph&amp;tracks=[key:gene_model_track,Options:GeneOnly]&amp;mk=2941385:2941404|offset_64|444444,2941424:2941443|offset_103|444444,2941481:2941500|offset_160|00cc00,2941543:2941562|offset_222|444444&amp;v=2941184:2941762&amp;c=444444", "offset 160")</f>
        <v>offset 160</v>
      </c>
    </row>
    <row r="9368" customFormat="false" ht="12.8" hidden="false" customHeight="false" outlineLevel="0" collapsed="false">
      <c r="A9368" s="0" t="s">
        <v>12</v>
      </c>
      <c r="B9368" s="0" t="n">
        <v>2941542</v>
      </c>
      <c r="C9368" s="0" t="n">
        <v>2941562</v>
      </c>
      <c r="D9368" s="0" t="s">
        <v>31136</v>
      </c>
      <c r="E9368" s="0" t="s">
        <v>75</v>
      </c>
      <c r="F9368" s="0" t="s">
        <v>15</v>
      </c>
      <c r="G9368" s="0" t="s">
        <v>16</v>
      </c>
      <c r="H9368" s="0" t="n">
        <v>222</v>
      </c>
      <c r="I9368" s="0" t="s">
        <v>31146</v>
      </c>
      <c r="J9368" s="0" t="s">
        <v>31147</v>
      </c>
      <c r="K9368" s="0" t="s">
        <v>31148</v>
      </c>
      <c r="L9368" s="0" t="str">
        <f aca="false">HYPERLINK("https://www.ncbi.nlm.nih.gov/nuccore/CP000058.1?report=graph&amp;tracks=[key:gene_model_track,Options:GeneOnly]&amp;mk=2941385:2941404|offset_64|444444,2941424:2941443|offset_103|444444,2941481:2941500|offset_160|444444,2941543:2941562|offset_222|00cc00&amp;v=2941184:2941762&amp;c=444444", "offset 222")</f>
        <v>offset 222</v>
      </c>
    </row>
    <row r="9369" customFormat="false" ht="12.8" hidden="false" customHeight="false" outlineLevel="0" collapsed="false">
      <c r="A9369" s="0" t="s">
        <v>12</v>
      </c>
      <c r="B9369" s="0" t="n">
        <v>2942833</v>
      </c>
      <c r="C9369" s="0" t="n">
        <v>2942853</v>
      </c>
      <c r="D9369" s="0" t="s">
        <v>31149</v>
      </c>
      <c r="E9369" s="0" t="s">
        <v>75</v>
      </c>
      <c r="F9369" s="0" t="s">
        <v>90</v>
      </c>
      <c r="G9369" s="0" t="s">
        <v>36</v>
      </c>
      <c r="H9369" s="0" t="n">
        <v>10</v>
      </c>
      <c r="I9369" s="0" t="s">
        <v>31150</v>
      </c>
      <c r="J9369" s="0" t="s">
        <v>31151</v>
      </c>
      <c r="K9369" s="0" t="s">
        <v>31152</v>
      </c>
      <c r="L9369" s="0" t="str">
        <f aca="false">HYPERLINK("https://www.ncbi.nlm.nih.gov/nuccore/CP000058.1?report=graph&amp;tracks=[key:gene_model_track,Options:GeneOnly]&amp;mk=2942834:2942853|offset_10|00cc00,2942772:2942791|offset_72|444444,2942750:2942769|offset_94|444444,2942693:2942712|offset_151|444444&amp;v=2942633:2942912&amp;c=444444", "offset 10")</f>
        <v>offset 10</v>
      </c>
    </row>
    <row r="9370" customFormat="false" ht="12.8" hidden="false" customHeight="false" outlineLevel="0" collapsed="false">
      <c r="A9370" s="0" t="s">
        <v>12</v>
      </c>
      <c r="B9370" s="0" t="n">
        <v>2942771</v>
      </c>
      <c r="C9370" s="0" t="n">
        <v>2942791</v>
      </c>
      <c r="D9370" s="0" t="s">
        <v>31149</v>
      </c>
      <c r="E9370" s="0" t="s">
        <v>75</v>
      </c>
      <c r="F9370" s="0" t="s">
        <v>90</v>
      </c>
      <c r="G9370" s="0" t="s">
        <v>36</v>
      </c>
      <c r="H9370" s="0" t="n">
        <v>72</v>
      </c>
      <c r="I9370" s="0" t="s">
        <v>31153</v>
      </c>
      <c r="J9370" s="0" t="s">
        <v>31154</v>
      </c>
      <c r="K9370" s="0" t="s">
        <v>31155</v>
      </c>
      <c r="L9370" s="0" t="str">
        <f aca="false">HYPERLINK("https://www.ncbi.nlm.nih.gov/nuccore/CP000058.1?report=graph&amp;tracks=[key:gene_model_track,Options:GeneOnly]&amp;mk=2942834:2942853|offset_10|444444,2942772:2942791|offset_72|00cc00,2942750:2942769|offset_94|444444,2942693:2942712|offset_151|444444&amp;v=2942633:2942912&amp;c=444444", "offset 72")</f>
        <v>offset 72</v>
      </c>
    </row>
    <row r="9371" customFormat="false" ht="12.8" hidden="false" customHeight="false" outlineLevel="0" collapsed="false">
      <c r="A9371" s="0" t="s">
        <v>12</v>
      </c>
      <c r="B9371" s="0" t="n">
        <v>2942749</v>
      </c>
      <c r="C9371" s="0" t="n">
        <v>2942769</v>
      </c>
      <c r="D9371" s="0" t="s">
        <v>31149</v>
      </c>
      <c r="E9371" s="0" t="s">
        <v>75</v>
      </c>
      <c r="F9371" s="0" t="s">
        <v>90</v>
      </c>
      <c r="G9371" s="0" t="s">
        <v>16</v>
      </c>
      <c r="H9371" s="0" t="n">
        <v>94</v>
      </c>
      <c r="I9371" s="0" t="s">
        <v>31156</v>
      </c>
      <c r="J9371" s="0" t="s">
        <v>31157</v>
      </c>
      <c r="K9371" s="0" t="s">
        <v>31158</v>
      </c>
      <c r="L9371" s="0" t="str">
        <f aca="false">HYPERLINK("https://www.ncbi.nlm.nih.gov/nuccore/CP000058.1?report=graph&amp;tracks=[key:gene_model_track,Options:GeneOnly]&amp;mk=2942834:2942853|offset_10|444444,2942772:2942791|offset_72|444444,2942750:2942769|offset_94|00cc00,2942693:2942712|offset_151|444444&amp;v=2942633:2942912&amp;c=444444", "offset 94")</f>
        <v>offset 94</v>
      </c>
    </row>
    <row r="9372" customFormat="false" ht="12.8" hidden="false" customHeight="false" outlineLevel="0" collapsed="false">
      <c r="A9372" s="0" t="s">
        <v>12</v>
      </c>
      <c r="B9372" s="0" t="n">
        <v>2942692</v>
      </c>
      <c r="C9372" s="0" t="n">
        <v>2942712</v>
      </c>
      <c r="D9372" s="0" t="s">
        <v>31149</v>
      </c>
      <c r="E9372" s="0" t="s">
        <v>75</v>
      </c>
      <c r="F9372" s="0" t="s">
        <v>90</v>
      </c>
      <c r="G9372" s="0" t="s">
        <v>16</v>
      </c>
      <c r="H9372" s="0" t="n">
        <v>151</v>
      </c>
      <c r="I9372" s="0" t="s">
        <v>31159</v>
      </c>
      <c r="J9372" s="0" t="s">
        <v>31160</v>
      </c>
      <c r="K9372" s="0" t="s">
        <v>31161</v>
      </c>
      <c r="L9372" s="0" t="str">
        <f aca="false">HYPERLINK("https://www.ncbi.nlm.nih.gov/nuccore/CP000058.1?report=graph&amp;tracks=[key:gene_model_track,Options:GeneOnly]&amp;mk=2942834:2942853|offset_10|444444,2942772:2942791|offset_72|444444,2942750:2942769|offset_94|444444,2942693:2942712|offset_151|00cc00&amp;v=2942633:2942912&amp;c=444444", "offset 151")</f>
        <v>offset 151</v>
      </c>
    </row>
    <row r="9373" customFormat="false" ht="12.8" hidden="false" customHeight="false" outlineLevel="0" collapsed="false">
      <c r="A9373" s="0" t="s">
        <v>12</v>
      </c>
      <c r="B9373" s="0" t="n">
        <v>2943042</v>
      </c>
      <c r="C9373" s="0" t="n">
        <v>2943062</v>
      </c>
      <c r="D9373" s="0" t="s">
        <v>31162</v>
      </c>
      <c r="E9373" s="0" t="s">
        <v>75</v>
      </c>
      <c r="F9373" s="0" t="s">
        <v>15</v>
      </c>
      <c r="G9373" s="0" t="s">
        <v>20</v>
      </c>
      <c r="H9373" s="0" t="n">
        <v>21</v>
      </c>
      <c r="I9373" s="0" t="s">
        <v>31163</v>
      </c>
      <c r="J9373" s="0" t="s">
        <v>31164</v>
      </c>
      <c r="K9373" s="0" t="s">
        <v>31165</v>
      </c>
      <c r="L9373" s="0" t="str">
        <f aca="false">HYPERLINK("https://www.ncbi.nlm.nih.gov/nuccore/CP000058.1?report=graph&amp;tracks=[key:gene_model_track,Options:GeneOnly]&amp;mk=2943043:2943062|offset_21|00cc00,2943066:2943085|offset_44|444444,2943101:2943120|offset_79|444444,2943146:2943165|offset_124|444444&amp;v=2942842:2943365&amp;c=444444", "offset 21")</f>
        <v>offset 21</v>
      </c>
    </row>
    <row r="9374" customFormat="false" ht="12.8" hidden="false" customHeight="false" outlineLevel="0" collapsed="false">
      <c r="A9374" s="0" t="s">
        <v>12</v>
      </c>
      <c r="B9374" s="0" t="n">
        <v>2943065</v>
      </c>
      <c r="C9374" s="0" t="n">
        <v>2943085</v>
      </c>
      <c r="D9374" s="0" t="s">
        <v>31162</v>
      </c>
      <c r="E9374" s="0" t="s">
        <v>75</v>
      </c>
      <c r="F9374" s="0" t="s">
        <v>15</v>
      </c>
      <c r="G9374" s="0" t="s">
        <v>16</v>
      </c>
      <c r="H9374" s="0" t="n">
        <v>44</v>
      </c>
      <c r="I9374" s="0" t="s">
        <v>31166</v>
      </c>
      <c r="J9374" s="0" t="s">
        <v>31167</v>
      </c>
      <c r="K9374" s="0" t="s">
        <v>31168</v>
      </c>
      <c r="L9374" s="0" t="str">
        <f aca="false">HYPERLINK("https://www.ncbi.nlm.nih.gov/nuccore/CP000058.1?report=graph&amp;tracks=[key:gene_model_track,Options:GeneOnly]&amp;mk=2943043:2943062|offset_21|444444,2943066:2943085|offset_44|00cc00,2943101:2943120|offset_79|444444,2943146:2943165|offset_124|444444&amp;v=2942842:2943365&amp;c=444444", "offset 44")</f>
        <v>offset 44</v>
      </c>
    </row>
    <row r="9375" customFormat="false" ht="12.8" hidden="false" customHeight="false" outlineLevel="0" collapsed="false">
      <c r="A9375" s="0" t="s">
        <v>12</v>
      </c>
      <c r="B9375" s="0" t="n">
        <v>2943100</v>
      </c>
      <c r="C9375" s="0" t="n">
        <v>2943120</v>
      </c>
      <c r="D9375" s="0" t="s">
        <v>31162</v>
      </c>
      <c r="E9375" s="0" t="s">
        <v>75</v>
      </c>
      <c r="F9375" s="0" t="s">
        <v>15</v>
      </c>
      <c r="G9375" s="0" t="s">
        <v>20</v>
      </c>
      <c r="H9375" s="0" t="n">
        <v>79</v>
      </c>
      <c r="I9375" s="0" t="s">
        <v>31169</v>
      </c>
      <c r="J9375" s="0" t="s">
        <v>31170</v>
      </c>
      <c r="K9375" s="0" t="s">
        <v>31171</v>
      </c>
      <c r="L9375" s="0" t="str">
        <f aca="false">HYPERLINK("https://www.ncbi.nlm.nih.gov/nuccore/CP000058.1?report=graph&amp;tracks=[key:gene_model_track,Options:GeneOnly]&amp;mk=2943043:2943062|offset_21|444444,2943066:2943085|offset_44|444444,2943101:2943120|offset_79|00cc00,2943146:2943165|offset_124|444444&amp;v=2942842:2943365&amp;c=444444", "offset 79")</f>
        <v>offset 79</v>
      </c>
    </row>
    <row r="9376" customFormat="false" ht="12.8" hidden="false" customHeight="false" outlineLevel="0" collapsed="false">
      <c r="A9376" s="0" t="s">
        <v>12</v>
      </c>
      <c r="B9376" s="0" t="n">
        <v>2943145</v>
      </c>
      <c r="C9376" s="0" t="n">
        <v>2943165</v>
      </c>
      <c r="D9376" s="0" t="s">
        <v>31162</v>
      </c>
      <c r="E9376" s="0" t="s">
        <v>75</v>
      </c>
      <c r="F9376" s="0" t="s">
        <v>15</v>
      </c>
      <c r="G9376" s="0" t="s">
        <v>20</v>
      </c>
      <c r="H9376" s="0" t="n">
        <v>124</v>
      </c>
      <c r="I9376" s="0" t="s">
        <v>31172</v>
      </c>
      <c r="J9376" s="0" t="s">
        <v>31173</v>
      </c>
      <c r="K9376" s="0" t="s">
        <v>31174</v>
      </c>
      <c r="L9376" s="0" t="str">
        <f aca="false">HYPERLINK("https://www.ncbi.nlm.nih.gov/nuccore/CP000058.1?report=graph&amp;tracks=[key:gene_model_track,Options:GeneOnly]&amp;mk=2943043:2943062|offset_21|444444,2943066:2943085|offset_44|444444,2943101:2943120|offset_79|444444,2943146:2943165|offset_124|00cc00&amp;v=2942842:2943365&amp;c=444444", "offset 124")</f>
        <v>offset 124</v>
      </c>
    </row>
    <row r="9377" customFormat="false" ht="12.8" hidden="false" customHeight="false" outlineLevel="0" collapsed="false">
      <c r="A9377" s="0" t="s">
        <v>12</v>
      </c>
      <c r="B9377" s="0" t="n">
        <v>2945183</v>
      </c>
      <c r="C9377" s="0" t="n">
        <v>2945203</v>
      </c>
      <c r="D9377" s="0" t="s">
        <v>31175</v>
      </c>
      <c r="E9377" s="0" t="s">
        <v>75</v>
      </c>
      <c r="F9377" s="0" t="s">
        <v>90</v>
      </c>
      <c r="G9377" s="0" t="s">
        <v>32</v>
      </c>
      <c r="H9377" s="0" t="n">
        <v>16</v>
      </c>
      <c r="I9377" s="0" t="s">
        <v>31176</v>
      </c>
      <c r="J9377" s="0" t="s">
        <v>31177</v>
      </c>
      <c r="K9377" s="0" t="s">
        <v>31178</v>
      </c>
      <c r="L9377" s="0" t="str">
        <f aca="false">HYPERLINK("https://www.ncbi.nlm.nih.gov/nuccore/CP000058.1?report=graph&amp;tracks=[key:gene_model_track,Options:GeneOnly]&amp;mk=2945184:2945203|offset_16|00cc00,2945156:2945175|offset_44|444444,2945132:2945151|offset_68|444444,2945109:2945128|offset_91|444444&amp;v=2944983:2945328&amp;c=444444", "offset 16")</f>
        <v>offset 16</v>
      </c>
    </row>
    <row r="9378" customFormat="false" ht="12.8" hidden="false" customHeight="false" outlineLevel="0" collapsed="false">
      <c r="A9378" s="0" t="s">
        <v>12</v>
      </c>
      <c r="B9378" s="0" t="n">
        <v>2945155</v>
      </c>
      <c r="C9378" s="0" t="n">
        <v>2945175</v>
      </c>
      <c r="D9378" s="0" t="s">
        <v>31175</v>
      </c>
      <c r="E9378" s="0" t="s">
        <v>75</v>
      </c>
      <c r="F9378" s="0" t="s">
        <v>90</v>
      </c>
      <c r="G9378" s="0" t="s">
        <v>36</v>
      </c>
      <c r="H9378" s="0" t="n">
        <v>44</v>
      </c>
      <c r="I9378" s="0" t="s">
        <v>31179</v>
      </c>
      <c r="J9378" s="0" t="s">
        <v>31180</v>
      </c>
      <c r="K9378" s="0" t="s">
        <v>31181</v>
      </c>
      <c r="L9378" s="0" t="str">
        <f aca="false">HYPERLINK("https://www.ncbi.nlm.nih.gov/nuccore/CP000058.1?report=graph&amp;tracks=[key:gene_model_track,Options:GeneOnly]&amp;mk=2945184:2945203|offset_16|444444,2945156:2945175|offset_44|00cc00,2945132:2945151|offset_68|444444,2945109:2945128|offset_91|444444&amp;v=2944983:2945328&amp;c=444444", "offset 44")</f>
        <v>offset 44</v>
      </c>
    </row>
    <row r="9379" customFormat="false" ht="12.8" hidden="false" customHeight="false" outlineLevel="0" collapsed="false">
      <c r="A9379" s="0" t="s">
        <v>12</v>
      </c>
      <c r="B9379" s="0" t="n">
        <v>2945131</v>
      </c>
      <c r="C9379" s="0" t="n">
        <v>2945151</v>
      </c>
      <c r="D9379" s="0" t="s">
        <v>31175</v>
      </c>
      <c r="E9379" s="0" t="s">
        <v>75</v>
      </c>
      <c r="F9379" s="0" t="s">
        <v>90</v>
      </c>
      <c r="G9379" s="0" t="s">
        <v>32</v>
      </c>
      <c r="H9379" s="0" t="n">
        <v>68</v>
      </c>
      <c r="I9379" s="0" t="s">
        <v>31182</v>
      </c>
      <c r="J9379" s="0" t="s">
        <v>31183</v>
      </c>
      <c r="K9379" s="0" t="s">
        <v>31184</v>
      </c>
      <c r="L9379" s="0" t="str">
        <f aca="false">HYPERLINK("https://www.ncbi.nlm.nih.gov/nuccore/CP000058.1?report=graph&amp;tracks=[key:gene_model_track,Options:GeneOnly]&amp;mk=2945184:2945203|offset_16|444444,2945156:2945175|offset_44|444444,2945132:2945151|offset_68|00cc00,2945109:2945128|offset_91|444444&amp;v=2944983:2945328&amp;c=444444", "offset 68")</f>
        <v>offset 68</v>
      </c>
    </row>
    <row r="9380" customFormat="false" ht="12.8" hidden="false" customHeight="false" outlineLevel="0" collapsed="false">
      <c r="A9380" s="0" t="s">
        <v>12</v>
      </c>
      <c r="B9380" s="0" t="n">
        <v>2945108</v>
      </c>
      <c r="C9380" s="0" t="n">
        <v>2945128</v>
      </c>
      <c r="D9380" s="0" t="s">
        <v>31175</v>
      </c>
      <c r="E9380" s="0" t="s">
        <v>75</v>
      </c>
      <c r="F9380" s="0" t="s">
        <v>90</v>
      </c>
      <c r="G9380" s="0" t="s">
        <v>32</v>
      </c>
      <c r="H9380" s="0" t="n">
        <v>91</v>
      </c>
      <c r="I9380" s="0" t="s">
        <v>31185</v>
      </c>
      <c r="J9380" s="0" t="s">
        <v>31186</v>
      </c>
      <c r="K9380" s="0" t="s">
        <v>31187</v>
      </c>
      <c r="L9380" s="0" t="str">
        <f aca="false">HYPERLINK("https://www.ncbi.nlm.nih.gov/nuccore/CP000058.1?report=graph&amp;tracks=[key:gene_model_track,Options:GeneOnly]&amp;mk=2945184:2945203|offset_16|444444,2945156:2945175|offset_44|444444,2945132:2945151|offset_68|444444,2945109:2945128|offset_91|00cc00&amp;v=2944983:2945328&amp;c=444444", "offset 91")</f>
        <v>offset 91</v>
      </c>
    </row>
    <row r="9381" customFormat="false" ht="12.8" hidden="false" customHeight="false" outlineLevel="0" collapsed="false">
      <c r="A9381" s="0" t="s">
        <v>12</v>
      </c>
      <c r="B9381" s="0" t="n">
        <v>2945382</v>
      </c>
      <c r="C9381" s="0" t="n">
        <v>2945402</v>
      </c>
      <c r="D9381" s="0" t="s">
        <v>31188</v>
      </c>
      <c r="E9381" s="0" t="s">
        <v>75</v>
      </c>
      <c r="F9381" s="0" t="s">
        <v>15</v>
      </c>
      <c r="G9381" s="0" t="s">
        <v>16</v>
      </c>
      <c r="H9381" s="0" t="n">
        <v>61</v>
      </c>
      <c r="I9381" s="0" t="s">
        <v>31189</v>
      </c>
      <c r="J9381" s="0" t="s">
        <v>31190</v>
      </c>
      <c r="K9381" s="0" t="s">
        <v>31191</v>
      </c>
      <c r="L9381" s="0" t="str">
        <f aca="false">HYPERLINK("https://www.ncbi.nlm.nih.gov/nuccore/CP000058.1?report=graph&amp;tracks=[key:gene_model_track,Options:GeneOnly]&amp;mk=2945383:2945402|offset_61|00cc00,2945409:2945428|offset_87|444444,2945462:2945481|offset_140|444444,2945483:2945502|offset_161|444444&amp;v=2945182:2945702&amp;c=444444", "offset 61")</f>
        <v>offset 61</v>
      </c>
    </row>
    <row r="9382" customFormat="false" ht="12.8" hidden="false" customHeight="false" outlineLevel="0" collapsed="false">
      <c r="A9382" s="0" t="s">
        <v>12</v>
      </c>
      <c r="B9382" s="0" t="n">
        <v>2945408</v>
      </c>
      <c r="C9382" s="0" t="n">
        <v>2945428</v>
      </c>
      <c r="D9382" s="0" t="s">
        <v>31188</v>
      </c>
      <c r="E9382" s="0" t="s">
        <v>75</v>
      </c>
      <c r="F9382" s="0" t="s">
        <v>15</v>
      </c>
      <c r="G9382" s="0" t="s">
        <v>36</v>
      </c>
      <c r="H9382" s="0" t="n">
        <v>87</v>
      </c>
      <c r="I9382" s="0" t="s">
        <v>31192</v>
      </c>
      <c r="J9382" s="0" t="s">
        <v>31193</v>
      </c>
      <c r="K9382" s="0" t="s">
        <v>31194</v>
      </c>
      <c r="L9382" s="0" t="str">
        <f aca="false">HYPERLINK("https://www.ncbi.nlm.nih.gov/nuccore/CP000058.1?report=graph&amp;tracks=[key:gene_model_track,Options:GeneOnly]&amp;mk=2945383:2945402|offset_61|444444,2945409:2945428|offset_87|00cc00,2945462:2945481|offset_140|444444,2945483:2945502|offset_161|444444&amp;v=2945182:2945702&amp;c=444444", "offset 87")</f>
        <v>offset 87</v>
      </c>
    </row>
    <row r="9383" customFormat="false" ht="12.8" hidden="false" customHeight="false" outlineLevel="0" collapsed="false">
      <c r="A9383" s="0" t="s">
        <v>12</v>
      </c>
      <c r="B9383" s="0" t="n">
        <v>2945461</v>
      </c>
      <c r="C9383" s="0" t="n">
        <v>2945481</v>
      </c>
      <c r="D9383" s="0" t="s">
        <v>31188</v>
      </c>
      <c r="E9383" s="0" t="s">
        <v>75</v>
      </c>
      <c r="F9383" s="0" t="s">
        <v>15</v>
      </c>
      <c r="G9383" s="0" t="s">
        <v>20</v>
      </c>
      <c r="H9383" s="0" t="n">
        <v>140</v>
      </c>
      <c r="I9383" s="0" t="s">
        <v>31195</v>
      </c>
      <c r="J9383" s="0" t="s">
        <v>31196</v>
      </c>
      <c r="K9383" s="0" t="s">
        <v>31197</v>
      </c>
      <c r="L9383" s="0" t="str">
        <f aca="false">HYPERLINK("https://www.ncbi.nlm.nih.gov/nuccore/CP000058.1?report=graph&amp;tracks=[key:gene_model_track,Options:GeneOnly]&amp;mk=2945383:2945402|offset_61|444444,2945409:2945428|offset_87|444444,2945462:2945481|offset_140|00cc00,2945483:2945502|offset_161|444444&amp;v=2945182:2945702&amp;c=444444", "offset 140")</f>
        <v>offset 140</v>
      </c>
    </row>
    <row r="9384" customFormat="false" ht="12.8" hidden="false" customHeight="false" outlineLevel="0" collapsed="false">
      <c r="A9384" s="0" t="s">
        <v>12</v>
      </c>
      <c r="B9384" s="0" t="n">
        <v>2945482</v>
      </c>
      <c r="C9384" s="0" t="n">
        <v>2945502</v>
      </c>
      <c r="D9384" s="0" t="s">
        <v>31188</v>
      </c>
      <c r="E9384" s="0" t="s">
        <v>75</v>
      </c>
      <c r="F9384" s="0" t="s">
        <v>15</v>
      </c>
      <c r="G9384" s="0" t="s">
        <v>16</v>
      </c>
      <c r="H9384" s="0" t="n">
        <v>161</v>
      </c>
      <c r="I9384" s="0" t="s">
        <v>31198</v>
      </c>
      <c r="J9384" s="0" t="s">
        <v>31199</v>
      </c>
      <c r="K9384" s="0" t="s">
        <v>31200</v>
      </c>
      <c r="L9384" s="0" t="str">
        <f aca="false">HYPERLINK("https://www.ncbi.nlm.nih.gov/nuccore/CP000058.1?report=graph&amp;tracks=[key:gene_model_track,Options:GeneOnly]&amp;mk=2945383:2945402|offset_61|444444,2945409:2945428|offset_87|444444,2945462:2945481|offset_140|444444,2945483:2945502|offset_161|00cc00&amp;v=2945182:2945702&amp;c=444444", "offset 161")</f>
        <v>offset 161</v>
      </c>
    </row>
    <row r="9385" customFormat="false" ht="12.8" hidden="false" customHeight="false" outlineLevel="0" collapsed="false">
      <c r="A9385" s="0" t="s">
        <v>12</v>
      </c>
      <c r="B9385" s="0" t="n">
        <v>2947258</v>
      </c>
      <c r="C9385" s="0" t="n">
        <v>2947278</v>
      </c>
      <c r="D9385" s="0" t="s">
        <v>31201</v>
      </c>
      <c r="E9385" s="0" t="s">
        <v>75</v>
      </c>
      <c r="F9385" s="0" t="s">
        <v>90</v>
      </c>
      <c r="G9385" s="0" t="s">
        <v>32</v>
      </c>
      <c r="H9385" s="0" t="n">
        <v>31</v>
      </c>
      <c r="I9385" s="0" t="s">
        <v>31202</v>
      </c>
      <c r="J9385" s="0" t="s">
        <v>31203</v>
      </c>
      <c r="K9385" s="0" t="s">
        <v>31204</v>
      </c>
      <c r="L9385" s="0" t="str">
        <f aca="false">HYPERLINK("https://www.ncbi.nlm.nih.gov/nuccore/CP000058.1?report=graph&amp;tracks=[key:gene_model_track,Options:GeneOnly]&amp;mk=2947259:2947278|offset_31|00cc00,2947237:2947256|offset_53|444444,2947196:2947215|offset_94|444444,2947148:2947167|offset_142|444444&amp;v=2947058:2947367&amp;c=444444", "offset 31")</f>
        <v>offset 31</v>
      </c>
    </row>
    <row r="9386" customFormat="false" ht="12.8" hidden="false" customHeight="false" outlineLevel="0" collapsed="false">
      <c r="A9386" s="0" t="s">
        <v>12</v>
      </c>
      <c r="B9386" s="0" t="n">
        <v>2947236</v>
      </c>
      <c r="C9386" s="0" t="n">
        <v>2947256</v>
      </c>
      <c r="D9386" s="0" t="s">
        <v>31201</v>
      </c>
      <c r="E9386" s="0" t="s">
        <v>75</v>
      </c>
      <c r="F9386" s="0" t="s">
        <v>90</v>
      </c>
      <c r="G9386" s="0" t="s">
        <v>20</v>
      </c>
      <c r="H9386" s="0" t="n">
        <v>53</v>
      </c>
      <c r="I9386" s="0" t="s">
        <v>31205</v>
      </c>
      <c r="J9386" s="0" t="s">
        <v>31206</v>
      </c>
      <c r="K9386" s="0" t="s">
        <v>31207</v>
      </c>
      <c r="L9386" s="0" t="str">
        <f aca="false">HYPERLINK("https://www.ncbi.nlm.nih.gov/nuccore/CP000058.1?report=graph&amp;tracks=[key:gene_model_track,Options:GeneOnly]&amp;mk=2947259:2947278|offset_31|444444,2947237:2947256|offset_53|00cc00,2947196:2947215|offset_94|444444,2947148:2947167|offset_142|444444&amp;v=2947058:2947367&amp;c=444444", "offset 53")</f>
        <v>offset 53</v>
      </c>
    </row>
    <row r="9387" customFormat="false" ht="12.8" hidden="false" customHeight="false" outlineLevel="0" collapsed="false">
      <c r="A9387" s="0" t="s">
        <v>12</v>
      </c>
      <c r="B9387" s="0" t="n">
        <v>2947195</v>
      </c>
      <c r="C9387" s="0" t="n">
        <v>2947215</v>
      </c>
      <c r="D9387" s="0" t="s">
        <v>31201</v>
      </c>
      <c r="E9387" s="0" t="s">
        <v>75</v>
      </c>
      <c r="F9387" s="0" t="s">
        <v>90</v>
      </c>
      <c r="G9387" s="0" t="s">
        <v>16</v>
      </c>
      <c r="H9387" s="0" t="n">
        <v>94</v>
      </c>
      <c r="I9387" s="0" t="s">
        <v>31208</v>
      </c>
      <c r="J9387" s="0" t="s">
        <v>31209</v>
      </c>
      <c r="K9387" s="0" t="s">
        <v>31210</v>
      </c>
      <c r="L9387" s="0" t="str">
        <f aca="false">HYPERLINK("https://www.ncbi.nlm.nih.gov/nuccore/CP000058.1?report=graph&amp;tracks=[key:gene_model_track,Options:GeneOnly]&amp;mk=2947259:2947278|offset_31|444444,2947237:2947256|offset_53|444444,2947196:2947215|offset_94|00cc00,2947148:2947167|offset_142|444444&amp;v=2947058:2947367&amp;c=444444", "offset 94")</f>
        <v>offset 94</v>
      </c>
    </row>
    <row r="9388" customFormat="false" ht="12.8" hidden="false" customHeight="false" outlineLevel="0" collapsed="false">
      <c r="A9388" s="0" t="s">
        <v>12</v>
      </c>
      <c r="B9388" s="0" t="n">
        <v>2947147</v>
      </c>
      <c r="C9388" s="0" t="n">
        <v>2947167</v>
      </c>
      <c r="D9388" s="0" t="s">
        <v>31201</v>
      </c>
      <c r="E9388" s="0" t="s">
        <v>75</v>
      </c>
      <c r="F9388" s="0" t="s">
        <v>90</v>
      </c>
      <c r="G9388" s="0" t="s">
        <v>32</v>
      </c>
      <c r="H9388" s="0" t="n">
        <v>142</v>
      </c>
      <c r="I9388" s="0" t="s">
        <v>31211</v>
      </c>
      <c r="J9388" s="0" t="s">
        <v>31212</v>
      </c>
      <c r="K9388" s="0" t="s">
        <v>31213</v>
      </c>
      <c r="L9388" s="0" t="str">
        <f aca="false">HYPERLINK("https://www.ncbi.nlm.nih.gov/nuccore/CP000058.1?report=graph&amp;tracks=[key:gene_model_track,Options:GeneOnly]&amp;mk=2947259:2947278|offset_31|444444,2947237:2947256|offset_53|444444,2947196:2947215|offset_94|444444,2947148:2947167|offset_142|00cc00&amp;v=2947058:2947367&amp;c=444444", "offset 142")</f>
        <v>offset 142</v>
      </c>
    </row>
    <row r="9389" customFormat="false" ht="12.8" hidden="false" customHeight="false" outlineLevel="0" collapsed="false">
      <c r="A9389" s="0" t="s">
        <v>12</v>
      </c>
      <c r="B9389" s="0" t="n">
        <v>2947434</v>
      </c>
      <c r="C9389" s="0" t="n">
        <v>2947454</v>
      </c>
      <c r="D9389" s="0" t="s">
        <v>31214</v>
      </c>
      <c r="E9389" s="0" t="s">
        <v>75</v>
      </c>
      <c r="F9389" s="0" t="s">
        <v>15</v>
      </c>
      <c r="G9389" s="0" t="s">
        <v>32</v>
      </c>
      <c r="H9389" s="0" t="n">
        <v>12</v>
      </c>
      <c r="I9389" s="0" t="s">
        <v>31215</v>
      </c>
      <c r="J9389" s="0" t="s">
        <v>31216</v>
      </c>
      <c r="K9389" s="0" t="s">
        <v>31217</v>
      </c>
      <c r="L9389" s="0" t="str">
        <f aca="false">HYPERLINK("https://www.ncbi.nlm.nih.gov/nuccore/CP000058.1?report=graph&amp;tracks=[key:gene_model_track,Options:GeneOnly]&amp;mk=2947435:2947454|offset_12|00cc00,2947464:2947483|offset_41|444444,2947499:2947518|offset_76|444444,2947581:2947600|offset_158|444444&amp;v=2947234:2947800&amp;c=444444", "offset 12")</f>
        <v>offset 12</v>
      </c>
    </row>
    <row r="9390" customFormat="false" ht="12.8" hidden="false" customHeight="false" outlineLevel="0" collapsed="false">
      <c r="A9390" s="0" t="s">
        <v>12</v>
      </c>
      <c r="B9390" s="0" t="n">
        <v>2947463</v>
      </c>
      <c r="C9390" s="0" t="n">
        <v>2947483</v>
      </c>
      <c r="D9390" s="0" t="s">
        <v>31214</v>
      </c>
      <c r="E9390" s="0" t="s">
        <v>75</v>
      </c>
      <c r="F9390" s="0" t="s">
        <v>15</v>
      </c>
      <c r="G9390" s="0" t="s">
        <v>32</v>
      </c>
      <c r="H9390" s="0" t="n">
        <v>41</v>
      </c>
      <c r="I9390" s="0" t="s">
        <v>31218</v>
      </c>
      <c r="J9390" s="0" t="s">
        <v>31219</v>
      </c>
      <c r="K9390" s="0" t="s">
        <v>31220</v>
      </c>
      <c r="L9390" s="0" t="str">
        <f aca="false">HYPERLINK("https://www.ncbi.nlm.nih.gov/nuccore/CP000058.1?report=graph&amp;tracks=[key:gene_model_track,Options:GeneOnly]&amp;mk=2947435:2947454|offset_12|444444,2947464:2947483|offset_41|00cc00,2947499:2947518|offset_76|444444,2947581:2947600|offset_158|444444&amp;v=2947234:2947800&amp;c=444444", "offset 41")</f>
        <v>offset 41</v>
      </c>
    </row>
    <row r="9391" customFormat="false" ht="12.8" hidden="false" customHeight="false" outlineLevel="0" collapsed="false">
      <c r="A9391" s="0" t="s">
        <v>12</v>
      </c>
      <c r="B9391" s="0" t="n">
        <v>2947498</v>
      </c>
      <c r="C9391" s="0" t="n">
        <v>2947518</v>
      </c>
      <c r="D9391" s="0" t="s">
        <v>31214</v>
      </c>
      <c r="E9391" s="0" t="s">
        <v>75</v>
      </c>
      <c r="F9391" s="0" t="s">
        <v>15</v>
      </c>
      <c r="G9391" s="0" t="s">
        <v>32</v>
      </c>
      <c r="H9391" s="0" t="n">
        <v>76</v>
      </c>
      <c r="I9391" s="0" t="s">
        <v>31221</v>
      </c>
      <c r="J9391" s="0" t="s">
        <v>31222</v>
      </c>
      <c r="K9391" s="0" t="s">
        <v>31223</v>
      </c>
      <c r="L9391" s="0" t="str">
        <f aca="false">HYPERLINK("https://www.ncbi.nlm.nih.gov/nuccore/CP000058.1?report=graph&amp;tracks=[key:gene_model_track,Options:GeneOnly]&amp;mk=2947435:2947454|offset_12|444444,2947464:2947483|offset_41|444444,2947499:2947518|offset_76|00cc00,2947581:2947600|offset_158|444444&amp;v=2947234:2947800&amp;c=444444", "offset 76")</f>
        <v>offset 76</v>
      </c>
    </row>
    <row r="9392" customFormat="false" ht="12.8" hidden="false" customHeight="false" outlineLevel="0" collapsed="false">
      <c r="A9392" s="0" t="s">
        <v>12</v>
      </c>
      <c r="B9392" s="0" t="n">
        <v>2947580</v>
      </c>
      <c r="C9392" s="0" t="n">
        <v>2947600</v>
      </c>
      <c r="D9392" s="0" t="s">
        <v>31214</v>
      </c>
      <c r="E9392" s="0" t="s">
        <v>75</v>
      </c>
      <c r="F9392" s="0" t="s">
        <v>15</v>
      </c>
      <c r="G9392" s="0" t="s">
        <v>16</v>
      </c>
      <c r="H9392" s="0" t="n">
        <v>158</v>
      </c>
      <c r="I9392" s="0" t="s">
        <v>31224</v>
      </c>
      <c r="J9392" s="0" t="s">
        <v>31225</v>
      </c>
      <c r="K9392" s="0" t="s">
        <v>31226</v>
      </c>
      <c r="L9392" s="0" t="str">
        <f aca="false">HYPERLINK("https://www.ncbi.nlm.nih.gov/nuccore/CP000058.1?report=graph&amp;tracks=[key:gene_model_track,Options:GeneOnly]&amp;mk=2947435:2947454|offset_12|444444,2947464:2947483|offset_41|444444,2947499:2947518|offset_76|444444,2947581:2947600|offset_158|00cc00&amp;v=2947234:2947800&amp;c=444444", "offset 158")</f>
        <v>offset 158</v>
      </c>
    </row>
    <row r="9393" customFormat="false" ht="12.8" hidden="false" customHeight="false" outlineLevel="0" collapsed="false">
      <c r="A9393" s="0" t="s">
        <v>12</v>
      </c>
      <c r="B9393" s="0" t="n">
        <v>2949475</v>
      </c>
      <c r="C9393" s="0" t="n">
        <v>2949495</v>
      </c>
      <c r="D9393" s="0" t="s">
        <v>31227</v>
      </c>
      <c r="E9393" s="0" t="s">
        <v>75</v>
      </c>
      <c r="F9393" s="0" t="s">
        <v>90</v>
      </c>
      <c r="G9393" s="0" t="s">
        <v>16</v>
      </c>
      <c r="H9393" s="0" t="n">
        <v>10</v>
      </c>
      <c r="I9393" s="0" t="s">
        <v>31228</v>
      </c>
      <c r="J9393" s="0" t="s">
        <v>31229</v>
      </c>
      <c r="K9393" s="0" t="s">
        <v>31230</v>
      </c>
      <c r="L9393" s="0" t="str">
        <f aca="false">HYPERLINK("https://www.ncbi.nlm.nih.gov/nuccore/CP000058.1?report=graph&amp;tracks=[key:gene_model_track,Options:GeneOnly]&amp;mk=2949476:2949495|offset_10|00cc00,2949430:2949449|offset_56|444444,2949395:2949414|offset_91|444444,2949352:2949371|offset_134|444444&amp;v=2949275:2949571&amp;c=444444", "offset 10")</f>
        <v>offset 10</v>
      </c>
    </row>
    <row r="9394" customFormat="false" ht="12.8" hidden="false" customHeight="false" outlineLevel="0" collapsed="false">
      <c r="A9394" s="0" t="s">
        <v>12</v>
      </c>
      <c r="B9394" s="0" t="n">
        <v>2949429</v>
      </c>
      <c r="C9394" s="0" t="n">
        <v>2949449</v>
      </c>
      <c r="D9394" s="0" t="s">
        <v>31227</v>
      </c>
      <c r="E9394" s="0" t="s">
        <v>75</v>
      </c>
      <c r="F9394" s="0" t="s">
        <v>90</v>
      </c>
      <c r="G9394" s="0" t="s">
        <v>20</v>
      </c>
      <c r="H9394" s="0" t="n">
        <v>56</v>
      </c>
      <c r="I9394" s="0" t="s">
        <v>31231</v>
      </c>
      <c r="J9394" s="0" t="s">
        <v>31232</v>
      </c>
      <c r="K9394" s="0" t="s">
        <v>31233</v>
      </c>
      <c r="L9394" s="0" t="str">
        <f aca="false">HYPERLINK("https://www.ncbi.nlm.nih.gov/nuccore/CP000058.1?report=graph&amp;tracks=[key:gene_model_track,Options:GeneOnly]&amp;mk=2949476:2949495|offset_10|444444,2949430:2949449|offset_56|00cc00,2949395:2949414|offset_91|444444,2949352:2949371|offset_134|444444&amp;v=2949275:2949571&amp;c=444444", "offset 56")</f>
        <v>offset 56</v>
      </c>
    </row>
    <row r="9395" customFormat="false" ht="12.8" hidden="false" customHeight="false" outlineLevel="0" collapsed="false">
      <c r="A9395" s="0" t="s">
        <v>12</v>
      </c>
      <c r="B9395" s="0" t="n">
        <v>2949394</v>
      </c>
      <c r="C9395" s="0" t="n">
        <v>2949414</v>
      </c>
      <c r="D9395" s="0" t="s">
        <v>31227</v>
      </c>
      <c r="E9395" s="0" t="s">
        <v>75</v>
      </c>
      <c r="F9395" s="0" t="s">
        <v>90</v>
      </c>
      <c r="G9395" s="0" t="s">
        <v>16</v>
      </c>
      <c r="H9395" s="0" t="n">
        <v>91</v>
      </c>
      <c r="I9395" s="0" t="s">
        <v>31234</v>
      </c>
      <c r="J9395" s="0" t="s">
        <v>31235</v>
      </c>
      <c r="K9395" s="0" t="s">
        <v>31236</v>
      </c>
      <c r="L9395" s="0" t="str">
        <f aca="false">HYPERLINK("https://www.ncbi.nlm.nih.gov/nuccore/CP000058.1?report=graph&amp;tracks=[key:gene_model_track,Options:GeneOnly]&amp;mk=2949476:2949495|offset_10|444444,2949430:2949449|offset_56|444444,2949395:2949414|offset_91|00cc00,2949352:2949371|offset_134|444444&amp;v=2949275:2949571&amp;c=444444", "offset 91")</f>
        <v>offset 91</v>
      </c>
    </row>
    <row r="9396" customFormat="false" ht="12.8" hidden="false" customHeight="false" outlineLevel="0" collapsed="false">
      <c r="A9396" s="0" t="s">
        <v>12</v>
      </c>
      <c r="B9396" s="0" t="n">
        <v>2949351</v>
      </c>
      <c r="C9396" s="0" t="n">
        <v>2949371</v>
      </c>
      <c r="D9396" s="0" t="s">
        <v>31227</v>
      </c>
      <c r="E9396" s="0" t="s">
        <v>75</v>
      </c>
      <c r="F9396" s="0" t="s">
        <v>90</v>
      </c>
      <c r="G9396" s="0" t="s">
        <v>20</v>
      </c>
      <c r="H9396" s="0" t="n">
        <v>134</v>
      </c>
      <c r="I9396" s="0" t="s">
        <v>31237</v>
      </c>
      <c r="J9396" s="0" t="s">
        <v>31238</v>
      </c>
      <c r="K9396" s="0" t="s">
        <v>31239</v>
      </c>
      <c r="L9396" s="0" t="str">
        <f aca="false">HYPERLINK("https://www.ncbi.nlm.nih.gov/nuccore/CP000058.1?report=graph&amp;tracks=[key:gene_model_track,Options:GeneOnly]&amp;mk=2949476:2949495|offset_10|444444,2949430:2949449|offset_56|444444,2949395:2949414|offset_91|444444,2949352:2949371|offset_134|00cc00&amp;v=2949275:2949571&amp;c=444444", "offset 134")</f>
        <v>offset 134</v>
      </c>
    </row>
    <row r="9397" customFormat="false" ht="12.8" hidden="false" customHeight="false" outlineLevel="0" collapsed="false">
      <c r="A9397" s="0" t="s">
        <v>12</v>
      </c>
      <c r="B9397" s="0" t="n">
        <v>2950296</v>
      </c>
      <c r="C9397" s="0" t="n">
        <v>2950316</v>
      </c>
      <c r="D9397" s="0" t="s">
        <v>31240</v>
      </c>
      <c r="E9397" s="0" t="s">
        <v>75</v>
      </c>
      <c r="F9397" s="0" t="s">
        <v>90</v>
      </c>
      <c r="G9397" s="0" t="s">
        <v>32</v>
      </c>
      <c r="H9397" s="0" t="n">
        <v>1</v>
      </c>
      <c r="I9397" s="0" t="s">
        <v>31241</v>
      </c>
      <c r="J9397" s="0" t="s">
        <v>31242</v>
      </c>
      <c r="K9397" s="0" t="s">
        <v>31243</v>
      </c>
      <c r="L9397" s="0" t="str">
        <f aca="false">HYPERLINK("https://www.ncbi.nlm.nih.gov/nuccore/CP000058.1?report=graph&amp;tracks=[key:gene_model_track,Options:GeneOnly]&amp;mk=2950297:2950316|offset_1|00cc00,2950276:2950295|offset_22|444444,2950245:2950264|offset_53|444444,2950208:2950227|offset_90|444444&amp;v=2950096:2950427&amp;c=444444", "offset 1")</f>
        <v>offset 1</v>
      </c>
    </row>
    <row r="9398" customFormat="false" ht="12.8" hidden="false" customHeight="false" outlineLevel="0" collapsed="false">
      <c r="A9398" s="0" t="s">
        <v>12</v>
      </c>
      <c r="B9398" s="0" t="n">
        <v>2950275</v>
      </c>
      <c r="C9398" s="0" t="n">
        <v>2950295</v>
      </c>
      <c r="D9398" s="0" t="s">
        <v>31240</v>
      </c>
      <c r="E9398" s="0" t="s">
        <v>75</v>
      </c>
      <c r="F9398" s="0" t="s">
        <v>90</v>
      </c>
      <c r="G9398" s="0" t="s">
        <v>32</v>
      </c>
      <c r="H9398" s="0" t="n">
        <v>22</v>
      </c>
      <c r="I9398" s="0" t="s">
        <v>31244</v>
      </c>
      <c r="J9398" s="0" t="s">
        <v>31245</v>
      </c>
      <c r="K9398" s="0" t="s">
        <v>31246</v>
      </c>
      <c r="L9398" s="0" t="str">
        <f aca="false">HYPERLINK("https://www.ncbi.nlm.nih.gov/nuccore/CP000058.1?report=graph&amp;tracks=[key:gene_model_track,Options:GeneOnly]&amp;mk=2950297:2950316|offset_1|444444,2950276:2950295|offset_22|00cc00,2950245:2950264|offset_53|444444,2950208:2950227|offset_90|444444&amp;v=2950096:2950427&amp;c=444444", "offset 22")</f>
        <v>offset 22</v>
      </c>
    </row>
    <row r="9399" customFormat="false" ht="12.8" hidden="false" customHeight="false" outlineLevel="0" collapsed="false">
      <c r="A9399" s="0" t="s">
        <v>12</v>
      </c>
      <c r="B9399" s="0" t="n">
        <v>2950244</v>
      </c>
      <c r="C9399" s="0" t="n">
        <v>2950264</v>
      </c>
      <c r="D9399" s="0" t="s">
        <v>31240</v>
      </c>
      <c r="E9399" s="0" t="s">
        <v>75</v>
      </c>
      <c r="F9399" s="0" t="s">
        <v>90</v>
      </c>
      <c r="G9399" s="0" t="s">
        <v>20</v>
      </c>
      <c r="H9399" s="0" t="n">
        <v>53</v>
      </c>
      <c r="I9399" s="0" t="s">
        <v>31247</v>
      </c>
      <c r="J9399" s="0" t="s">
        <v>31248</v>
      </c>
      <c r="K9399" s="0" t="s">
        <v>31249</v>
      </c>
      <c r="L9399" s="0" t="str">
        <f aca="false">HYPERLINK("https://www.ncbi.nlm.nih.gov/nuccore/CP000058.1?report=graph&amp;tracks=[key:gene_model_track,Options:GeneOnly]&amp;mk=2950297:2950316|offset_1|444444,2950276:2950295|offset_22|444444,2950245:2950264|offset_53|00cc00,2950208:2950227|offset_90|444444&amp;v=2950096:2950427&amp;c=444444", "offset 53")</f>
        <v>offset 53</v>
      </c>
    </row>
    <row r="9400" customFormat="false" ht="12.8" hidden="false" customHeight="false" outlineLevel="0" collapsed="false">
      <c r="A9400" s="0" t="s">
        <v>12</v>
      </c>
      <c r="B9400" s="0" t="n">
        <v>2950207</v>
      </c>
      <c r="C9400" s="0" t="n">
        <v>2950227</v>
      </c>
      <c r="D9400" s="0" t="s">
        <v>31240</v>
      </c>
      <c r="E9400" s="0" t="s">
        <v>75</v>
      </c>
      <c r="F9400" s="0" t="s">
        <v>90</v>
      </c>
      <c r="G9400" s="0" t="s">
        <v>16</v>
      </c>
      <c r="H9400" s="0" t="n">
        <v>90</v>
      </c>
      <c r="I9400" s="0" t="s">
        <v>31250</v>
      </c>
      <c r="J9400" s="0" t="s">
        <v>31251</v>
      </c>
      <c r="K9400" s="0" t="s">
        <v>31252</v>
      </c>
      <c r="L9400" s="0" t="str">
        <f aca="false">HYPERLINK("https://www.ncbi.nlm.nih.gov/nuccore/CP000058.1?report=graph&amp;tracks=[key:gene_model_track,Options:GeneOnly]&amp;mk=2950297:2950316|offset_1|444444,2950276:2950295|offset_22|444444,2950245:2950264|offset_53|444444,2950208:2950227|offset_90|00cc00&amp;v=2950096:2950427&amp;c=444444", "offset 90")</f>
        <v>offset 90</v>
      </c>
    </row>
    <row r="9401" customFormat="false" ht="12.8" hidden="false" customHeight="false" outlineLevel="0" collapsed="false">
      <c r="A9401" s="0" t="s">
        <v>12</v>
      </c>
      <c r="B9401" s="0" t="n">
        <v>2951145</v>
      </c>
      <c r="C9401" s="0" t="n">
        <v>2951165</v>
      </c>
      <c r="D9401" s="0" t="s">
        <v>31253</v>
      </c>
      <c r="E9401" s="0" t="s">
        <v>75</v>
      </c>
      <c r="F9401" s="0" t="s">
        <v>90</v>
      </c>
      <c r="G9401" s="0" t="s">
        <v>36</v>
      </c>
      <c r="H9401" s="0" t="n">
        <v>13</v>
      </c>
      <c r="I9401" s="0" t="s">
        <v>31254</v>
      </c>
      <c r="J9401" s="0" t="s">
        <v>31255</v>
      </c>
      <c r="K9401" s="0" t="s">
        <v>31256</v>
      </c>
      <c r="L9401" s="0" t="str">
        <f aca="false">HYPERLINK("https://www.ncbi.nlm.nih.gov/nuccore/CP000058.1?report=graph&amp;tracks=[key:gene_model_track,Options:GeneOnly]&amp;mk=2951146:2951165|offset_13|00cc00,2951115:2951134|offset_44|444444,2951068:2951087|offset_91|444444,2951030:2951049|offset_129|444444&amp;v=2950945:2951249&amp;c=444444", "offset 13")</f>
        <v>offset 13</v>
      </c>
    </row>
    <row r="9402" customFormat="false" ht="12.8" hidden="false" customHeight="false" outlineLevel="0" collapsed="false">
      <c r="A9402" s="0" t="s">
        <v>12</v>
      </c>
      <c r="B9402" s="0" t="n">
        <v>2951114</v>
      </c>
      <c r="C9402" s="0" t="n">
        <v>2951134</v>
      </c>
      <c r="D9402" s="0" t="s">
        <v>31253</v>
      </c>
      <c r="E9402" s="0" t="s">
        <v>75</v>
      </c>
      <c r="F9402" s="0" t="s">
        <v>90</v>
      </c>
      <c r="G9402" s="0" t="s">
        <v>16</v>
      </c>
      <c r="H9402" s="0" t="n">
        <v>44</v>
      </c>
      <c r="I9402" s="0" t="s">
        <v>31257</v>
      </c>
      <c r="J9402" s="0" t="s">
        <v>31258</v>
      </c>
      <c r="K9402" s="0" t="s">
        <v>31259</v>
      </c>
      <c r="L9402" s="0" t="str">
        <f aca="false">HYPERLINK("https://www.ncbi.nlm.nih.gov/nuccore/CP000058.1?report=graph&amp;tracks=[key:gene_model_track,Options:GeneOnly]&amp;mk=2951146:2951165|offset_13|444444,2951115:2951134|offset_44|00cc00,2951068:2951087|offset_91|444444,2951030:2951049|offset_129|444444&amp;v=2950945:2951249&amp;c=444444", "offset 44")</f>
        <v>offset 44</v>
      </c>
    </row>
    <row r="9403" customFormat="false" ht="12.8" hidden="false" customHeight="false" outlineLevel="0" collapsed="false">
      <c r="A9403" s="0" t="s">
        <v>12</v>
      </c>
      <c r="B9403" s="0" t="n">
        <v>2951067</v>
      </c>
      <c r="C9403" s="0" t="n">
        <v>2951087</v>
      </c>
      <c r="D9403" s="0" t="s">
        <v>31253</v>
      </c>
      <c r="E9403" s="0" t="s">
        <v>75</v>
      </c>
      <c r="F9403" s="0" t="s">
        <v>90</v>
      </c>
      <c r="G9403" s="0" t="s">
        <v>36</v>
      </c>
      <c r="H9403" s="0" t="n">
        <v>91</v>
      </c>
      <c r="I9403" s="0" t="s">
        <v>31260</v>
      </c>
      <c r="J9403" s="0" t="s">
        <v>31261</v>
      </c>
      <c r="K9403" s="0" t="s">
        <v>31262</v>
      </c>
      <c r="L9403" s="0" t="str">
        <f aca="false">HYPERLINK("https://www.ncbi.nlm.nih.gov/nuccore/CP000058.1?report=graph&amp;tracks=[key:gene_model_track,Options:GeneOnly]&amp;mk=2951146:2951165|offset_13|444444,2951115:2951134|offset_44|444444,2951068:2951087|offset_91|00cc00,2951030:2951049|offset_129|444444&amp;v=2950945:2951249&amp;c=444444", "offset 91")</f>
        <v>offset 91</v>
      </c>
    </row>
    <row r="9404" customFormat="false" ht="12.8" hidden="false" customHeight="false" outlineLevel="0" collapsed="false">
      <c r="A9404" s="0" t="s">
        <v>12</v>
      </c>
      <c r="B9404" s="0" t="n">
        <v>2951029</v>
      </c>
      <c r="C9404" s="0" t="n">
        <v>2951049</v>
      </c>
      <c r="D9404" s="0" t="s">
        <v>31253</v>
      </c>
      <c r="E9404" s="0" t="s">
        <v>75</v>
      </c>
      <c r="F9404" s="0" t="s">
        <v>90</v>
      </c>
      <c r="G9404" s="0" t="s">
        <v>20</v>
      </c>
      <c r="H9404" s="0" t="n">
        <v>129</v>
      </c>
      <c r="I9404" s="0" t="s">
        <v>31263</v>
      </c>
      <c r="J9404" s="0" t="s">
        <v>31264</v>
      </c>
      <c r="K9404" s="0" t="s">
        <v>31265</v>
      </c>
      <c r="L9404" s="0" t="str">
        <f aca="false">HYPERLINK("https://www.ncbi.nlm.nih.gov/nuccore/CP000058.1?report=graph&amp;tracks=[key:gene_model_track,Options:GeneOnly]&amp;mk=2951146:2951165|offset_13|444444,2951115:2951134|offset_44|444444,2951068:2951087|offset_91|444444,2951030:2951049|offset_129|00cc00&amp;v=2950945:2951249&amp;c=444444", "offset 129")</f>
        <v>offset 129</v>
      </c>
    </row>
    <row r="9405" customFormat="false" ht="12.8" hidden="false" customHeight="false" outlineLevel="0" collapsed="false">
      <c r="A9405" s="0" t="s">
        <v>12</v>
      </c>
      <c r="B9405" s="0" t="n">
        <v>2952230</v>
      </c>
      <c r="C9405" s="0" t="n">
        <v>2952250</v>
      </c>
      <c r="D9405" s="0" t="s">
        <v>31266</v>
      </c>
      <c r="E9405" s="0" t="s">
        <v>75</v>
      </c>
      <c r="F9405" s="0" t="s">
        <v>90</v>
      </c>
      <c r="G9405" s="0" t="s">
        <v>16</v>
      </c>
      <c r="H9405" s="0" t="n">
        <v>40</v>
      </c>
      <c r="I9405" s="0" t="s">
        <v>31267</v>
      </c>
      <c r="J9405" s="0" t="s">
        <v>31268</v>
      </c>
      <c r="K9405" s="0" t="s">
        <v>31269</v>
      </c>
      <c r="L9405" s="0" t="str">
        <f aca="false">HYPERLINK("https://www.ncbi.nlm.nih.gov/nuccore/CP000058.1?report=graph&amp;tracks=[key:gene_model_track,Options:GeneOnly]&amp;mk=2952231:2952250|offset_40|00cc00,2952204:2952223|offset_67|444444,2952159:2952178|offset_112|444444,2952135:2952154|offset_136|444444&amp;v=2952030:2952354&amp;c=444444", "offset 40")</f>
        <v>offset 40</v>
      </c>
    </row>
    <row r="9406" customFormat="false" ht="12.8" hidden="false" customHeight="false" outlineLevel="0" collapsed="false">
      <c r="A9406" s="0" t="s">
        <v>12</v>
      </c>
      <c r="B9406" s="0" t="n">
        <v>2952203</v>
      </c>
      <c r="C9406" s="0" t="n">
        <v>2952223</v>
      </c>
      <c r="D9406" s="0" t="s">
        <v>31266</v>
      </c>
      <c r="E9406" s="0" t="s">
        <v>75</v>
      </c>
      <c r="F9406" s="0" t="s">
        <v>90</v>
      </c>
      <c r="G9406" s="0" t="s">
        <v>16</v>
      </c>
      <c r="H9406" s="0" t="n">
        <v>67</v>
      </c>
      <c r="I9406" s="0" t="s">
        <v>31270</v>
      </c>
      <c r="J9406" s="0" t="s">
        <v>31271</v>
      </c>
      <c r="K9406" s="0" t="s">
        <v>31272</v>
      </c>
      <c r="L9406" s="0" t="str">
        <f aca="false">HYPERLINK("https://www.ncbi.nlm.nih.gov/nuccore/CP000058.1?report=graph&amp;tracks=[key:gene_model_track,Options:GeneOnly]&amp;mk=2952231:2952250|offset_40|444444,2952204:2952223|offset_67|00cc00,2952159:2952178|offset_112|444444,2952135:2952154|offset_136|444444&amp;v=2952030:2952354&amp;c=444444", "offset 67")</f>
        <v>offset 67</v>
      </c>
    </row>
    <row r="9407" customFormat="false" ht="12.8" hidden="false" customHeight="false" outlineLevel="0" collapsed="false">
      <c r="A9407" s="0" t="s">
        <v>12</v>
      </c>
      <c r="B9407" s="0" t="n">
        <v>2952158</v>
      </c>
      <c r="C9407" s="0" t="n">
        <v>2952178</v>
      </c>
      <c r="D9407" s="0" t="s">
        <v>31266</v>
      </c>
      <c r="E9407" s="0" t="s">
        <v>75</v>
      </c>
      <c r="F9407" s="0" t="s">
        <v>90</v>
      </c>
      <c r="G9407" s="0" t="s">
        <v>32</v>
      </c>
      <c r="H9407" s="0" t="n">
        <v>112</v>
      </c>
      <c r="I9407" s="0" t="s">
        <v>31273</v>
      </c>
      <c r="J9407" s="0" t="s">
        <v>31274</v>
      </c>
      <c r="K9407" s="0" t="s">
        <v>31275</v>
      </c>
      <c r="L9407" s="0" t="str">
        <f aca="false">HYPERLINK("https://www.ncbi.nlm.nih.gov/nuccore/CP000058.1?report=graph&amp;tracks=[key:gene_model_track,Options:GeneOnly]&amp;mk=2952231:2952250|offset_40|444444,2952204:2952223|offset_67|444444,2952159:2952178|offset_112|00cc00,2952135:2952154|offset_136|444444&amp;v=2952030:2952354&amp;c=444444", "offset 112")</f>
        <v>offset 112</v>
      </c>
    </row>
    <row r="9408" customFormat="false" ht="12.8" hidden="false" customHeight="false" outlineLevel="0" collapsed="false">
      <c r="A9408" s="0" t="s">
        <v>12</v>
      </c>
      <c r="B9408" s="0" t="n">
        <v>2952134</v>
      </c>
      <c r="C9408" s="0" t="n">
        <v>2952154</v>
      </c>
      <c r="D9408" s="0" t="s">
        <v>31266</v>
      </c>
      <c r="E9408" s="0" t="s">
        <v>75</v>
      </c>
      <c r="F9408" s="0" t="s">
        <v>90</v>
      </c>
      <c r="G9408" s="0" t="s">
        <v>20</v>
      </c>
      <c r="H9408" s="0" t="n">
        <v>136</v>
      </c>
      <c r="I9408" s="0" t="s">
        <v>31276</v>
      </c>
      <c r="J9408" s="0" t="s">
        <v>31277</v>
      </c>
      <c r="K9408" s="0" t="s">
        <v>31278</v>
      </c>
      <c r="L9408" s="0" t="str">
        <f aca="false">HYPERLINK("https://www.ncbi.nlm.nih.gov/nuccore/CP000058.1?report=graph&amp;tracks=[key:gene_model_track,Options:GeneOnly]&amp;mk=2952231:2952250|offset_40|444444,2952204:2952223|offset_67|444444,2952159:2952178|offset_112|444444,2952135:2952154|offset_136|00cc00&amp;v=2952030:2952354&amp;c=444444", "offset 136")</f>
        <v>offset 136</v>
      </c>
    </row>
    <row r="9409" customFormat="false" ht="12.8" hidden="false" customHeight="false" outlineLevel="0" collapsed="false">
      <c r="A9409" s="0" t="s">
        <v>12</v>
      </c>
      <c r="B9409" s="0" t="n">
        <v>2953656</v>
      </c>
      <c r="C9409" s="0" t="n">
        <v>2953676</v>
      </c>
      <c r="D9409" s="0" t="s">
        <v>31279</v>
      </c>
      <c r="E9409" s="0" t="s">
        <v>31280</v>
      </c>
      <c r="F9409" s="0" t="s">
        <v>90</v>
      </c>
      <c r="G9409" s="0" t="s">
        <v>16</v>
      </c>
      <c r="H9409" s="0" t="n">
        <v>14</v>
      </c>
      <c r="I9409" s="0" t="s">
        <v>31281</v>
      </c>
      <c r="J9409" s="0" t="s">
        <v>31282</v>
      </c>
      <c r="K9409" s="0" t="s">
        <v>31283</v>
      </c>
      <c r="L9409" s="0" t="str">
        <f aca="false">HYPERLINK("https://www.ncbi.nlm.nih.gov/nuccore/CP000058.1?report=graph&amp;tracks=[key:gene_model_track,Options:GeneOnly]&amp;mk=2953657:2953676|offset_14|00cc00,2953630:2953649|offset_41|444444,2953591:2953610|offset_80|444444,2953562:2953581|offset_109|444444&amp;v=2953456:2953781&amp;c=444444", "offset 14")</f>
        <v>offset 14</v>
      </c>
    </row>
    <row r="9410" customFormat="false" ht="12.8" hidden="false" customHeight="false" outlineLevel="0" collapsed="false">
      <c r="A9410" s="0" t="s">
        <v>12</v>
      </c>
      <c r="B9410" s="0" t="n">
        <v>2953629</v>
      </c>
      <c r="C9410" s="0" t="n">
        <v>2953649</v>
      </c>
      <c r="D9410" s="0" t="s">
        <v>31279</v>
      </c>
      <c r="E9410" s="0" t="s">
        <v>31280</v>
      </c>
      <c r="F9410" s="0" t="s">
        <v>90</v>
      </c>
      <c r="G9410" s="0" t="s">
        <v>16</v>
      </c>
      <c r="H9410" s="0" t="n">
        <v>41</v>
      </c>
      <c r="I9410" s="0" t="s">
        <v>31284</v>
      </c>
      <c r="J9410" s="0" t="s">
        <v>31285</v>
      </c>
      <c r="K9410" s="0" t="s">
        <v>31286</v>
      </c>
      <c r="L9410" s="0" t="str">
        <f aca="false">HYPERLINK("https://www.ncbi.nlm.nih.gov/nuccore/CP000058.1?report=graph&amp;tracks=[key:gene_model_track,Options:GeneOnly]&amp;mk=2953657:2953676|offset_14|444444,2953630:2953649|offset_41|00cc00,2953591:2953610|offset_80|444444,2953562:2953581|offset_109|444444&amp;v=2953456:2953781&amp;c=444444", "offset 41")</f>
        <v>offset 41</v>
      </c>
    </row>
    <row r="9411" customFormat="false" ht="12.8" hidden="false" customHeight="false" outlineLevel="0" collapsed="false">
      <c r="A9411" s="0" t="s">
        <v>12</v>
      </c>
      <c r="B9411" s="0" t="n">
        <v>2953590</v>
      </c>
      <c r="C9411" s="0" t="n">
        <v>2953610</v>
      </c>
      <c r="D9411" s="0" t="s">
        <v>31279</v>
      </c>
      <c r="E9411" s="0" t="s">
        <v>31280</v>
      </c>
      <c r="F9411" s="0" t="s">
        <v>90</v>
      </c>
      <c r="G9411" s="0" t="s">
        <v>16</v>
      </c>
      <c r="H9411" s="0" t="n">
        <v>80</v>
      </c>
      <c r="I9411" s="0" t="s">
        <v>31287</v>
      </c>
      <c r="J9411" s="0" t="s">
        <v>31288</v>
      </c>
      <c r="K9411" s="0" t="s">
        <v>31289</v>
      </c>
      <c r="L9411" s="0" t="str">
        <f aca="false">HYPERLINK("https://www.ncbi.nlm.nih.gov/nuccore/CP000058.1?report=graph&amp;tracks=[key:gene_model_track,Options:GeneOnly]&amp;mk=2953657:2953676|offset_14|444444,2953630:2953649|offset_41|444444,2953591:2953610|offset_80|00cc00,2953562:2953581|offset_109|444444&amp;v=2953456:2953781&amp;c=444444", "offset 80")</f>
        <v>offset 80</v>
      </c>
    </row>
    <row r="9412" customFormat="false" ht="12.8" hidden="false" customHeight="false" outlineLevel="0" collapsed="false">
      <c r="A9412" s="0" t="s">
        <v>12</v>
      </c>
      <c r="B9412" s="0" t="n">
        <v>2953561</v>
      </c>
      <c r="C9412" s="0" t="n">
        <v>2953581</v>
      </c>
      <c r="D9412" s="0" t="s">
        <v>31279</v>
      </c>
      <c r="E9412" s="0" t="s">
        <v>31280</v>
      </c>
      <c r="F9412" s="0" t="s">
        <v>90</v>
      </c>
      <c r="G9412" s="0" t="s">
        <v>16</v>
      </c>
      <c r="H9412" s="0" t="n">
        <v>109</v>
      </c>
      <c r="I9412" s="0" t="s">
        <v>31290</v>
      </c>
      <c r="J9412" s="0" t="s">
        <v>31291</v>
      </c>
      <c r="K9412" s="0" t="s">
        <v>31292</v>
      </c>
      <c r="L9412" s="0" t="str">
        <f aca="false">HYPERLINK("https://www.ncbi.nlm.nih.gov/nuccore/CP000058.1?report=graph&amp;tracks=[key:gene_model_track,Options:GeneOnly]&amp;mk=2953657:2953676|offset_14|444444,2953630:2953649|offset_41|444444,2953591:2953610|offset_80|444444,2953562:2953581|offset_109|00cc00&amp;v=2953456:2953781&amp;c=444444", "offset 109")</f>
        <v>offset 109</v>
      </c>
    </row>
    <row r="9413" customFormat="false" ht="12.8" hidden="false" customHeight="false" outlineLevel="0" collapsed="false">
      <c r="A9413" s="0" t="s">
        <v>12</v>
      </c>
      <c r="B9413" s="0" t="n">
        <v>2953825</v>
      </c>
      <c r="C9413" s="0" t="n">
        <v>2953845</v>
      </c>
      <c r="D9413" s="0" t="s">
        <v>31293</v>
      </c>
      <c r="E9413" s="0" t="s">
        <v>75</v>
      </c>
      <c r="F9413" s="0" t="s">
        <v>15</v>
      </c>
      <c r="G9413" s="0" t="s">
        <v>36</v>
      </c>
      <c r="H9413" s="0" t="n">
        <v>41</v>
      </c>
      <c r="I9413" s="0" t="s">
        <v>31294</v>
      </c>
      <c r="J9413" s="0" t="s">
        <v>31295</v>
      </c>
      <c r="K9413" s="0" t="s">
        <v>31296</v>
      </c>
      <c r="L9413" s="0" t="str">
        <f aca="false">HYPERLINK("https://www.ncbi.nlm.nih.gov/nuccore/CP000058.1?report=graph&amp;tracks=[key:gene_model_track,Options:GeneOnly]&amp;mk=2953826:2953845|offset_41|00cc00,2953849:2953868|offset_64|444444,2953912:2953931|offset_127|444444,2953938:2953957|offset_153|444444&amp;v=2953625:2954157&amp;c=444444", "offset 41")</f>
        <v>offset 41</v>
      </c>
    </row>
    <row r="9414" customFormat="false" ht="12.8" hidden="false" customHeight="false" outlineLevel="0" collapsed="false">
      <c r="A9414" s="0" t="s">
        <v>12</v>
      </c>
      <c r="B9414" s="0" t="n">
        <v>2953848</v>
      </c>
      <c r="C9414" s="0" t="n">
        <v>2953868</v>
      </c>
      <c r="D9414" s="0" t="s">
        <v>31293</v>
      </c>
      <c r="E9414" s="0" t="s">
        <v>75</v>
      </c>
      <c r="F9414" s="0" t="s">
        <v>15</v>
      </c>
      <c r="G9414" s="0" t="s">
        <v>36</v>
      </c>
      <c r="H9414" s="0" t="n">
        <v>64</v>
      </c>
      <c r="I9414" s="0" t="s">
        <v>31297</v>
      </c>
      <c r="J9414" s="0" t="s">
        <v>31298</v>
      </c>
      <c r="K9414" s="0" t="s">
        <v>31299</v>
      </c>
      <c r="L9414" s="0" t="str">
        <f aca="false">HYPERLINK("https://www.ncbi.nlm.nih.gov/nuccore/CP000058.1?report=graph&amp;tracks=[key:gene_model_track,Options:GeneOnly]&amp;mk=2953826:2953845|offset_41|444444,2953849:2953868|offset_64|00cc00,2953912:2953931|offset_127|444444,2953938:2953957|offset_153|444444&amp;v=2953625:2954157&amp;c=444444", "offset 64")</f>
        <v>offset 64</v>
      </c>
    </row>
    <row r="9415" customFormat="false" ht="12.8" hidden="false" customHeight="false" outlineLevel="0" collapsed="false">
      <c r="A9415" s="0" t="s">
        <v>12</v>
      </c>
      <c r="B9415" s="0" t="n">
        <v>2953911</v>
      </c>
      <c r="C9415" s="0" t="n">
        <v>2953931</v>
      </c>
      <c r="D9415" s="0" t="s">
        <v>31293</v>
      </c>
      <c r="E9415" s="0" t="s">
        <v>75</v>
      </c>
      <c r="F9415" s="0" t="s">
        <v>15</v>
      </c>
      <c r="G9415" s="0" t="s">
        <v>16</v>
      </c>
      <c r="H9415" s="0" t="n">
        <v>127</v>
      </c>
      <c r="I9415" s="0" t="s">
        <v>31300</v>
      </c>
      <c r="J9415" s="0" t="s">
        <v>31301</v>
      </c>
      <c r="K9415" s="0" t="s">
        <v>31302</v>
      </c>
      <c r="L9415" s="0" t="str">
        <f aca="false">HYPERLINK("https://www.ncbi.nlm.nih.gov/nuccore/CP000058.1?report=graph&amp;tracks=[key:gene_model_track,Options:GeneOnly]&amp;mk=2953826:2953845|offset_41|444444,2953849:2953868|offset_64|444444,2953912:2953931|offset_127|00cc00,2953938:2953957|offset_153|444444&amp;v=2953625:2954157&amp;c=444444", "offset 127")</f>
        <v>offset 127</v>
      </c>
    </row>
    <row r="9416" customFormat="false" ht="12.8" hidden="false" customHeight="false" outlineLevel="0" collapsed="false">
      <c r="A9416" s="0" t="s">
        <v>12</v>
      </c>
      <c r="B9416" s="0" t="n">
        <v>2953937</v>
      </c>
      <c r="C9416" s="0" t="n">
        <v>2953957</v>
      </c>
      <c r="D9416" s="0" t="s">
        <v>31293</v>
      </c>
      <c r="E9416" s="0" t="s">
        <v>75</v>
      </c>
      <c r="F9416" s="0" t="s">
        <v>15</v>
      </c>
      <c r="G9416" s="0" t="s">
        <v>32</v>
      </c>
      <c r="H9416" s="0" t="n">
        <v>153</v>
      </c>
      <c r="I9416" s="0" t="s">
        <v>31303</v>
      </c>
      <c r="J9416" s="0" t="s">
        <v>31304</v>
      </c>
      <c r="K9416" s="0" t="s">
        <v>31305</v>
      </c>
      <c r="L9416" s="0" t="str">
        <f aca="false">HYPERLINK("https://www.ncbi.nlm.nih.gov/nuccore/CP000058.1?report=graph&amp;tracks=[key:gene_model_track,Options:GeneOnly]&amp;mk=2953826:2953845|offset_41|444444,2953849:2953868|offset_64|444444,2953912:2953931|offset_127|444444,2953938:2953957|offset_153|00cc00&amp;v=2953625:2954157&amp;c=444444", "offset 153")</f>
        <v>offset 153</v>
      </c>
    </row>
    <row r="9417" customFormat="false" ht="12.8" hidden="false" customHeight="false" outlineLevel="0" collapsed="false">
      <c r="A9417" s="0" t="s">
        <v>12</v>
      </c>
      <c r="B9417" s="0" t="n">
        <v>2954658</v>
      </c>
      <c r="C9417" s="0" t="n">
        <v>2954678</v>
      </c>
      <c r="D9417" s="0" t="s">
        <v>31306</v>
      </c>
      <c r="E9417" s="0" t="s">
        <v>31307</v>
      </c>
      <c r="F9417" s="0" t="s">
        <v>90</v>
      </c>
      <c r="G9417" s="0" t="s">
        <v>16</v>
      </c>
      <c r="H9417" s="0" t="n">
        <v>12</v>
      </c>
      <c r="I9417" s="0" t="s">
        <v>31308</v>
      </c>
      <c r="J9417" s="0" t="s">
        <v>31309</v>
      </c>
      <c r="K9417" s="0" t="s">
        <v>31310</v>
      </c>
      <c r="L9417" s="0" t="str">
        <f aca="false">HYPERLINK("https://www.ncbi.nlm.nih.gov/nuccore/CP000058.1?report=graph&amp;tracks=[key:gene_model_track,Options:GeneOnly]&amp;mk=2954659:2954678|offset_12|00cc00,2954627:2954646|offset_44|444444,2954598:2954617|offset_73|444444,2954570:2954589|offset_101|444444&amp;v=2954458:2954789&amp;c=444444", "offset 12")</f>
        <v>offset 12</v>
      </c>
    </row>
    <row r="9418" customFormat="false" ht="12.8" hidden="false" customHeight="false" outlineLevel="0" collapsed="false">
      <c r="A9418" s="0" t="s">
        <v>12</v>
      </c>
      <c r="B9418" s="0" t="n">
        <v>2954626</v>
      </c>
      <c r="C9418" s="0" t="n">
        <v>2954646</v>
      </c>
      <c r="D9418" s="0" t="s">
        <v>31306</v>
      </c>
      <c r="E9418" s="0" t="s">
        <v>31307</v>
      </c>
      <c r="F9418" s="0" t="s">
        <v>90</v>
      </c>
      <c r="G9418" s="0" t="s">
        <v>20</v>
      </c>
      <c r="H9418" s="0" t="n">
        <v>44</v>
      </c>
      <c r="I9418" s="0" t="s">
        <v>31311</v>
      </c>
      <c r="J9418" s="0" t="s">
        <v>31312</v>
      </c>
      <c r="K9418" s="0" t="s">
        <v>31313</v>
      </c>
      <c r="L9418" s="0" t="str">
        <f aca="false">HYPERLINK("https://www.ncbi.nlm.nih.gov/nuccore/CP000058.1?report=graph&amp;tracks=[key:gene_model_track,Options:GeneOnly]&amp;mk=2954659:2954678|offset_12|444444,2954627:2954646|offset_44|00cc00,2954598:2954617|offset_73|444444,2954570:2954589|offset_101|444444&amp;v=2954458:2954789&amp;c=444444", "offset 44")</f>
        <v>offset 44</v>
      </c>
    </row>
    <row r="9419" customFormat="false" ht="12.8" hidden="false" customHeight="false" outlineLevel="0" collapsed="false">
      <c r="A9419" s="0" t="s">
        <v>12</v>
      </c>
      <c r="B9419" s="0" t="n">
        <v>2954597</v>
      </c>
      <c r="C9419" s="0" t="n">
        <v>2954617</v>
      </c>
      <c r="D9419" s="0" t="s">
        <v>31306</v>
      </c>
      <c r="E9419" s="0" t="s">
        <v>31307</v>
      </c>
      <c r="F9419" s="0" t="s">
        <v>90</v>
      </c>
      <c r="G9419" s="0" t="s">
        <v>36</v>
      </c>
      <c r="H9419" s="0" t="n">
        <v>73</v>
      </c>
      <c r="I9419" s="0" t="s">
        <v>31314</v>
      </c>
      <c r="J9419" s="0" t="s">
        <v>31315</v>
      </c>
      <c r="K9419" s="0" t="s">
        <v>31316</v>
      </c>
      <c r="L9419" s="0" t="str">
        <f aca="false">HYPERLINK("https://www.ncbi.nlm.nih.gov/nuccore/CP000058.1?report=graph&amp;tracks=[key:gene_model_track,Options:GeneOnly]&amp;mk=2954659:2954678|offset_12|444444,2954627:2954646|offset_44|444444,2954598:2954617|offset_73|00cc00,2954570:2954589|offset_101|444444&amp;v=2954458:2954789&amp;c=444444", "offset 73")</f>
        <v>offset 73</v>
      </c>
    </row>
    <row r="9420" customFormat="false" ht="12.8" hidden="false" customHeight="false" outlineLevel="0" collapsed="false">
      <c r="A9420" s="0" t="s">
        <v>12</v>
      </c>
      <c r="B9420" s="0" t="n">
        <v>2954569</v>
      </c>
      <c r="C9420" s="0" t="n">
        <v>2954589</v>
      </c>
      <c r="D9420" s="0" t="s">
        <v>31306</v>
      </c>
      <c r="E9420" s="0" t="s">
        <v>31307</v>
      </c>
      <c r="F9420" s="0" t="s">
        <v>90</v>
      </c>
      <c r="G9420" s="0" t="s">
        <v>32</v>
      </c>
      <c r="H9420" s="0" t="n">
        <v>101</v>
      </c>
      <c r="I9420" s="0" t="s">
        <v>31317</v>
      </c>
      <c r="J9420" s="0" t="s">
        <v>31318</v>
      </c>
      <c r="K9420" s="0" t="s">
        <v>31319</v>
      </c>
      <c r="L9420" s="0" t="str">
        <f aca="false">HYPERLINK("https://www.ncbi.nlm.nih.gov/nuccore/CP000058.1?report=graph&amp;tracks=[key:gene_model_track,Options:GeneOnly]&amp;mk=2954659:2954678|offset_12|444444,2954627:2954646|offset_44|444444,2954598:2954617|offset_73|444444,2954570:2954589|offset_101|00cc00&amp;v=2954458:2954789&amp;c=444444", "offset 101")</f>
        <v>offset 101</v>
      </c>
    </row>
    <row r="9421" customFormat="false" ht="12.8" hidden="false" customHeight="false" outlineLevel="0" collapsed="false">
      <c r="A9421" s="0" t="s">
        <v>12</v>
      </c>
      <c r="B9421" s="0" t="n">
        <v>2955576</v>
      </c>
      <c r="C9421" s="0" t="n">
        <v>2955596</v>
      </c>
      <c r="D9421" s="0" t="s">
        <v>31320</v>
      </c>
      <c r="E9421" s="0" t="s">
        <v>75</v>
      </c>
      <c r="F9421" s="0" t="s">
        <v>90</v>
      </c>
      <c r="G9421" s="0" t="s">
        <v>16</v>
      </c>
      <c r="H9421" s="0" t="n">
        <v>16</v>
      </c>
      <c r="I9421" s="0" t="s">
        <v>31321</v>
      </c>
      <c r="J9421" s="0" t="s">
        <v>31322</v>
      </c>
      <c r="K9421" s="0" t="s">
        <v>31323</v>
      </c>
      <c r="L9421" s="0" t="str">
        <f aca="false">HYPERLINK("https://www.ncbi.nlm.nih.gov/nuccore/CP000058.1?report=graph&amp;tracks=[key:gene_model_track,Options:GeneOnly]&amp;mk=2955577:2955596|offset_16|00cc00,2955553:2955572|offset_40|444444,2955533:2955552|offset_60|444444,2955502:2955521|offset_91|444444&amp;v=2955376:2955721&amp;c=444444", "offset 16")</f>
        <v>offset 16</v>
      </c>
    </row>
    <row r="9422" customFormat="false" ht="12.8" hidden="false" customHeight="false" outlineLevel="0" collapsed="false">
      <c r="A9422" s="0" t="s">
        <v>12</v>
      </c>
      <c r="B9422" s="0" t="n">
        <v>2955552</v>
      </c>
      <c r="C9422" s="0" t="n">
        <v>2955572</v>
      </c>
      <c r="D9422" s="0" t="s">
        <v>31320</v>
      </c>
      <c r="E9422" s="0" t="s">
        <v>75</v>
      </c>
      <c r="F9422" s="0" t="s">
        <v>90</v>
      </c>
      <c r="G9422" s="0" t="s">
        <v>36</v>
      </c>
      <c r="H9422" s="0" t="n">
        <v>40</v>
      </c>
      <c r="I9422" s="0" t="s">
        <v>31324</v>
      </c>
      <c r="J9422" s="0" t="s">
        <v>31325</v>
      </c>
      <c r="K9422" s="0" t="s">
        <v>31326</v>
      </c>
      <c r="L9422" s="0" t="str">
        <f aca="false">HYPERLINK("https://www.ncbi.nlm.nih.gov/nuccore/CP000058.1?report=graph&amp;tracks=[key:gene_model_track,Options:GeneOnly]&amp;mk=2955577:2955596|offset_16|444444,2955553:2955572|offset_40|00cc00,2955533:2955552|offset_60|444444,2955502:2955521|offset_91|444444&amp;v=2955376:2955721&amp;c=444444", "offset 40")</f>
        <v>offset 40</v>
      </c>
    </row>
    <row r="9423" customFormat="false" ht="12.8" hidden="false" customHeight="false" outlineLevel="0" collapsed="false">
      <c r="A9423" s="0" t="s">
        <v>12</v>
      </c>
      <c r="B9423" s="0" t="n">
        <v>2955532</v>
      </c>
      <c r="C9423" s="0" t="n">
        <v>2955552</v>
      </c>
      <c r="D9423" s="0" t="s">
        <v>31320</v>
      </c>
      <c r="E9423" s="0" t="s">
        <v>75</v>
      </c>
      <c r="F9423" s="0" t="s">
        <v>90</v>
      </c>
      <c r="G9423" s="0" t="s">
        <v>32</v>
      </c>
      <c r="H9423" s="0" t="n">
        <v>60</v>
      </c>
      <c r="I9423" s="0" t="s">
        <v>31327</v>
      </c>
      <c r="J9423" s="0" t="s">
        <v>31328</v>
      </c>
      <c r="K9423" s="0" t="s">
        <v>31329</v>
      </c>
      <c r="L9423" s="0" t="str">
        <f aca="false">HYPERLINK("https://www.ncbi.nlm.nih.gov/nuccore/CP000058.1?report=graph&amp;tracks=[key:gene_model_track,Options:GeneOnly]&amp;mk=2955577:2955596|offset_16|444444,2955553:2955572|offset_40|444444,2955533:2955552|offset_60|00cc00,2955502:2955521|offset_91|444444&amp;v=2955376:2955721&amp;c=444444", "offset 60")</f>
        <v>offset 60</v>
      </c>
    </row>
    <row r="9424" customFormat="false" ht="12.8" hidden="false" customHeight="false" outlineLevel="0" collapsed="false">
      <c r="A9424" s="0" t="s">
        <v>12</v>
      </c>
      <c r="B9424" s="0" t="n">
        <v>2955501</v>
      </c>
      <c r="C9424" s="0" t="n">
        <v>2955521</v>
      </c>
      <c r="D9424" s="0" t="s">
        <v>31320</v>
      </c>
      <c r="E9424" s="0" t="s">
        <v>75</v>
      </c>
      <c r="F9424" s="0" t="s">
        <v>90</v>
      </c>
      <c r="G9424" s="0" t="s">
        <v>16</v>
      </c>
      <c r="H9424" s="0" t="n">
        <v>91</v>
      </c>
      <c r="I9424" s="0" t="s">
        <v>31330</v>
      </c>
      <c r="J9424" s="0" t="s">
        <v>31331</v>
      </c>
      <c r="K9424" s="0" t="s">
        <v>31332</v>
      </c>
      <c r="L9424" s="0" t="str">
        <f aca="false">HYPERLINK("https://www.ncbi.nlm.nih.gov/nuccore/CP000058.1?report=graph&amp;tracks=[key:gene_model_track,Options:GeneOnly]&amp;mk=2955577:2955596|offset_16|444444,2955553:2955572|offset_40|444444,2955533:2955552|offset_60|444444,2955502:2955521|offset_91|00cc00&amp;v=2955376:2955721&amp;c=444444", "offset 91")</f>
        <v>offset 91</v>
      </c>
    </row>
    <row r="9425" customFormat="false" ht="12.8" hidden="false" customHeight="false" outlineLevel="0" collapsed="false">
      <c r="A9425" s="0" t="s">
        <v>12</v>
      </c>
      <c r="B9425" s="0" t="n">
        <v>2956086</v>
      </c>
      <c r="C9425" s="0" t="n">
        <v>2956106</v>
      </c>
      <c r="D9425" s="0" t="s">
        <v>31333</v>
      </c>
      <c r="E9425" s="0" t="s">
        <v>75</v>
      </c>
      <c r="F9425" s="0" t="s">
        <v>90</v>
      </c>
      <c r="G9425" s="0" t="s">
        <v>16</v>
      </c>
      <c r="H9425" s="0" t="n">
        <v>12</v>
      </c>
      <c r="I9425" s="0" t="s">
        <v>31334</v>
      </c>
      <c r="J9425" s="0" t="s">
        <v>31335</v>
      </c>
      <c r="K9425" s="0" t="s">
        <v>31336</v>
      </c>
      <c r="L9425" s="0" t="str">
        <f aca="false">HYPERLINK("https://www.ncbi.nlm.nih.gov/nuccore/CP000058.1?report=graph&amp;tracks=[key:gene_model_track,Options:GeneOnly]&amp;mk=2956087:2956106|offset_12|00cc00,2956054:2956073|offset_45|444444,2956032:2956051|offset_67|444444,2955996:2956015|offset_103|444444&amp;v=2955886:2956215&amp;c=444444", "offset 12")</f>
        <v>offset 12</v>
      </c>
    </row>
    <row r="9426" customFormat="false" ht="12.8" hidden="false" customHeight="false" outlineLevel="0" collapsed="false">
      <c r="A9426" s="0" t="s">
        <v>12</v>
      </c>
      <c r="B9426" s="0" t="n">
        <v>2956053</v>
      </c>
      <c r="C9426" s="0" t="n">
        <v>2956073</v>
      </c>
      <c r="D9426" s="0" t="s">
        <v>31333</v>
      </c>
      <c r="E9426" s="0" t="s">
        <v>75</v>
      </c>
      <c r="F9426" s="0" t="s">
        <v>90</v>
      </c>
      <c r="G9426" s="0" t="s">
        <v>20</v>
      </c>
      <c r="H9426" s="0" t="n">
        <v>45</v>
      </c>
      <c r="I9426" s="0" t="s">
        <v>31337</v>
      </c>
      <c r="J9426" s="0" t="s">
        <v>31338</v>
      </c>
      <c r="K9426" s="0" t="s">
        <v>31339</v>
      </c>
      <c r="L9426" s="0" t="str">
        <f aca="false">HYPERLINK("https://www.ncbi.nlm.nih.gov/nuccore/CP000058.1?report=graph&amp;tracks=[key:gene_model_track,Options:GeneOnly]&amp;mk=2956087:2956106|offset_12|444444,2956054:2956073|offset_45|00cc00,2956032:2956051|offset_67|444444,2955996:2956015|offset_103|444444&amp;v=2955886:2956215&amp;c=444444", "offset 45")</f>
        <v>offset 45</v>
      </c>
    </row>
    <row r="9427" customFormat="false" ht="12.8" hidden="false" customHeight="false" outlineLevel="0" collapsed="false">
      <c r="A9427" s="0" t="s">
        <v>12</v>
      </c>
      <c r="B9427" s="0" t="n">
        <v>2956031</v>
      </c>
      <c r="C9427" s="0" t="n">
        <v>2956051</v>
      </c>
      <c r="D9427" s="0" t="s">
        <v>31333</v>
      </c>
      <c r="E9427" s="0" t="s">
        <v>75</v>
      </c>
      <c r="F9427" s="0" t="s">
        <v>90</v>
      </c>
      <c r="G9427" s="0" t="s">
        <v>32</v>
      </c>
      <c r="H9427" s="0" t="n">
        <v>67</v>
      </c>
      <c r="I9427" s="0" t="s">
        <v>31340</v>
      </c>
      <c r="J9427" s="0" t="s">
        <v>31341</v>
      </c>
      <c r="K9427" s="0" t="s">
        <v>31342</v>
      </c>
      <c r="L9427" s="0" t="str">
        <f aca="false">HYPERLINK("https://www.ncbi.nlm.nih.gov/nuccore/CP000058.1?report=graph&amp;tracks=[key:gene_model_track,Options:GeneOnly]&amp;mk=2956087:2956106|offset_12|444444,2956054:2956073|offset_45|444444,2956032:2956051|offset_67|00cc00,2955996:2956015|offset_103|444444&amp;v=2955886:2956215&amp;c=444444", "offset 67")</f>
        <v>offset 67</v>
      </c>
    </row>
    <row r="9428" customFormat="false" ht="12.8" hidden="false" customHeight="false" outlineLevel="0" collapsed="false">
      <c r="A9428" s="0" t="s">
        <v>12</v>
      </c>
      <c r="B9428" s="0" t="n">
        <v>2955995</v>
      </c>
      <c r="C9428" s="0" t="n">
        <v>2956015</v>
      </c>
      <c r="D9428" s="0" t="s">
        <v>31333</v>
      </c>
      <c r="E9428" s="0" t="s">
        <v>75</v>
      </c>
      <c r="F9428" s="0" t="s">
        <v>90</v>
      </c>
      <c r="G9428" s="0" t="s">
        <v>16</v>
      </c>
      <c r="H9428" s="0" t="n">
        <v>103</v>
      </c>
      <c r="I9428" s="0" t="s">
        <v>31343</v>
      </c>
      <c r="J9428" s="0" t="s">
        <v>31344</v>
      </c>
      <c r="K9428" s="0" t="s">
        <v>31345</v>
      </c>
      <c r="L9428" s="0" t="str">
        <f aca="false">HYPERLINK("https://www.ncbi.nlm.nih.gov/nuccore/CP000058.1?report=graph&amp;tracks=[key:gene_model_track,Options:GeneOnly]&amp;mk=2956087:2956106|offset_12|444444,2956054:2956073|offset_45|444444,2956032:2956051|offset_67|444444,2955996:2956015|offset_103|00cc00&amp;v=2955886:2956215&amp;c=444444", "offset 103")</f>
        <v>offset 103</v>
      </c>
    </row>
    <row r="9429" customFormat="false" ht="12.8" hidden="false" customHeight="false" outlineLevel="0" collapsed="false">
      <c r="A9429" s="0" t="s">
        <v>12</v>
      </c>
      <c r="B9429" s="0" t="n">
        <v>2957585</v>
      </c>
      <c r="C9429" s="0" t="n">
        <v>2957605</v>
      </c>
      <c r="D9429" s="0" t="s">
        <v>31346</v>
      </c>
      <c r="E9429" s="0" t="s">
        <v>75</v>
      </c>
      <c r="F9429" s="0" t="s">
        <v>90</v>
      </c>
      <c r="G9429" s="0" t="s">
        <v>20</v>
      </c>
      <c r="H9429" s="0" t="n">
        <v>8</v>
      </c>
      <c r="I9429" s="0" t="s">
        <v>31347</v>
      </c>
      <c r="J9429" s="0" t="s">
        <v>31348</v>
      </c>
      <c r="K9429" s="0" t="s">
        <v>31349</v>
      </c>
      <c r="L9429" s="0" t="str">
        <f aca="false">HYPERLINK("https://www.ncbi.nlm.nih.gov/nuccore/CP000058.1?report=graph&amp;tracks=[key:gene_model_track,Options:GeneOnly]&amp;mk=2957586:2957605|offset_8|00cc00,2957556:2957575|offset_38|444444,2957536:2957555|offset_58|444444,2957511:2957530|offset_83|444444&amp;v=2957385:2957730&amp;c=444444", "offset 8")</f>
        <v>offset 8</v>
      </c>
    </row>
    <row r="9430" customFormat="false" ht="12.8" hidden="false" customHeight="false" outlineLevel="0" collapsed="false">
      <c r="A9430" s="0" t="s">
        <v>12</v>
      </c>
      <c r="B9430" s="0" t="n">
        <v>2957555</v>
      </c>
      <c r="C9430" s="0" t="n">
        <v>2957575</v>
      </c>
      <c r="D9430" s="0" t="s">
        <v>31346</v>
      </c>
      <c r="E9430" s="0" t="s">
        <v>75</v>
      </c>
      <c r="F9430" s="0" t="s">
        <v>90</v>
      </c>
      <c r="G9430" s="0" t="s">
        <v>32</v>
      </c>
      <c r="H9430" s="0" t="n">
        <v>38</v>
      </c>
      <c r="I9430" s="0" t="s">
        <v>31350</v>
      </c>
      <c r="J9430" s="0" t="s">
        <v>31351</v>
      </c>
      <c r="K9430" s="0" t="s">
        <v>31352</v>
      </c>
      <c r="L9430" s="0" t="str">
        <f aca="false">HYPERLINK("https://www.ncbi.nlm.nih.gov/nuccore/CP000058.1?report=graph&amp;tracks=[key:gene_model_track,Options:GeneOnly]&amp;mk=2957586:2957605|offset_8|444444,2957556:2957575|offset_38|00cc00,2957536:2957555|offset_58|444444,2957511:2957530|offset_83|444444&amp;v=2957385:2957730&amp;c=444444", "offset 38")</f>
        <v>offset 38</v>
      </c>
    </row>
    <row r="9431" customFormat="false" ht="12.8" hidden="false" customHeight="false" outlineLevel="0" collapsed="false">
      <c r="A9431" s="0" t="s">
        <v>12</v>
      </c>
      <c r="B9431" s="0" t="n">
        <v>2957535</v>
      </c>
      <c r="C9431" s="0" t="n">
        <v>2957555</v>
      </c>
      <c r="D9431" s="0" t="s">
        <v>31346</v>
      </c>
      <c r="E9431" s="0" t="s">
        <v>75</v>
      </c>
      <c r="F9431" s="0" t="s">
        <v>90</v>
      </c>
      <c r="G9431" s="0" t="s">
        <v>16</v>
      </c>
      <c r="H9431" s="0" t="n">
        <v>58</v>
      </c>
      <c r="I9431" s="0" t="s">
        <v>31353</v>
      </c>
      <c r="J9431" s="0" t="s">
        <v>31354</v>
      </c>
      <c r="K9431" s="0" t="s">
        <v>31355</v>
      </c>
      <c r="L9431" s="0" t="str">
        <f aca="false">HYPERLINK("https://www.ncbi.nlm.nih.gov/nuccore/CP000058.1?report=graph&amp;tracks=[key:gene_model_track,Options:GeneOnly]&amp;mk=2957586:2957605|offset_8|444444,2957556:2957575|offset_38|444444,2957536:2957555|offset_58|00cc00,2957511:2957530|offset_83|444444&amp;v=2957385:2957730&amp;c=444444", "offset 58")</f>
        <v>offset 58</v>
      </c>
    </row>
    <row r="9432" customFormat="false" ht="12.8" hidden="false" customHeight="false" outlineLevel="0" collapsed="false">
      <c r="A9432" s="0" t="s">
        <v>12</v>
      </c>
      <c r="B9432" s="0" t="n">
        <v>2957510</v>
      </c>
      <c r="C9432" s="0" t="n">
        <v>2957530</v>
      </c>
      <c r="D9432" s="0" t="s">
        <v>31346</v>
      </c>
      <c r="E9432" s="0" t="s">
        <v>75</v>
      </c>
      <c r="F9432" s="0" t="s">
        <v>90</v>
      </c>
      <c r="G9432" s="0" t="s">
        <v>36</v>
      </c>
      <c r="H9432" s="0" t="n">
        <v>83</v>
      </c>
      <c r="I9432" s="0" t="s">
        <v>31356</v>
      </c>
      <c r="J9432" s="0" t="s">
        <v>31357</v>
      </c>
      <c r="K9432" s="0" t="s">
        <v>31358</v>
      </c>
      <c r="L9432" s="0" t="str">
        <f aca="false">HYPERLINK("https://www.ncbi.nlm.nih.gov/nuccore/CP000058.1?report=graph&amp;tracks=[key:gene_model_track,Options:GeneOnly]&amp;mk=2957586:2957605|offset_8|444444,2957556:2957575|offset_38|444444,2957536:2957555|offset_58|444444,2957511:2957530|offset_83|00cc00&amp;v=2957385:2957730&amp;c=444444", "offset 83")</f>
        <v>offset 83</v>
      </c>
    </row>
    <row r="9433" customFormat="false" ht="12.8" hidden="false" customHeight="false" outlineLevel="0" collapsed="false">
      <c r="A9433" s="0" t="s">
        <v>12</v>
      </c>
      <c r="B9433" s="0" t="n">
        <v>2958437</v>
      </c>
      <c r="C9433" s="0" t="n">
        <v>2958457</v>
      </c>
      <c r="D9433" s="0" t="s">
        <v>31359</v>
      </c>
      <c r="E9433" s="0" t="s">
        <v>31360</v>
      </c>
      <c r="F9433" s="0" t="s">
        <v>90</v>
      </c>
      <c r="G9433" s="0" t="s">
        <v>32</v>
      </c>
      <c r="H9433" s="0" t="n">
        <v>1</v>
      </c>
      <c r="I9433" s="0" t="s">
        <v>31361</v>
      </c>
      <c r="J9433" s="0" t="s">
        <v>31362</v>
      </c>
      <c r="K9433" s="0" t="s">
        <v>31363</v>
      </c>
      <c r="L9433" s="0" t="str">
        <f aca="false">HYPERLINK("https://www.ncbi.nlm.nih.gov/nuccore/CP000058.1?report=graph&amp;tracks=[key:gene_model_track,Options:GeneOnly]&amp;mk=2958438:2958457|offset_1|00cc00,2958411:2958430|offset_28|444444,2958384:2958403|offset_55|444444,2958344:2958363|offset_95|444444&amp;v=2958237:2958563&amp;c=444444", "offset 1")</f>
        <v>offset 1</v>
      </c>
    </row>
    <row r="9434" customFormat="false" ht="12.8" hidden="false" customHeight="false" outlineLevel="0" collapsed="false">
      <c r="A9434" s="0" t="s">
        <v>12</v>
      </c>
      <c r="B9434" s="0" t="n">
        <v>2958410</v>
      </c>
      <c r="C9434" s="0" t="n">
        <v>2958430</v>
      </c>
      <c r="D9434" s="0" t="s">
        <v>31359</v>
      </c>
      <c r="E9434" s="0" t="s">
        <v>31360</v>
      </c>
      <c r="F9434" s="0" t="s">
        <v>90</v>
      </c>
      <c r="G9434" s="0" t="s">
        <v>36</v>
      </c>
      <c r="H9434" s="0" t="n">
        <v>28</v>
      </c>
      <c r="I9434" s="0" t="s">
        <v>31364</v>
      </c>
      <c r="J9434" s="0" t="s">
        <v>31365</v>
      </c>
      <c r="K9434" s="0" t="s">
        <v>31366</v>
      </c>
      <c r="L9434" s="0" t="str">
        <f aca="false">HYPERLINK("https://www.ncbi.nlm.nih.gov/nuccore/CP000058.1?report=graph&amp;tracks=[key:gene_model_track,Options:GeneOnly]&amp;mk=2958438:2958457|offset_1|444444,2958411:2958430|offset_28|00cc00,2958384:2958403|offset_55|444444,2958344:2958363|offset_95|444444&amp;v=2958237:2958563&amp;c=444444", "offset 28")</f>
        <v>offset 28</v>
      </c>
    </row>
    <row r="9435" customFormat="false" ht="12.8" hidden="false" customHeight="false" outlineLevel="0" collapsed="false">
      <c r="A9435" s="0" t="s">
        <v>12</v>
      </c>
      <c r="B9435" s="0" t="n">
        <v>2958383</v>
      </c>
      <c r="C9435" s="0" t="n">
        <v>2958403</v>
      </c>
      <c r="D9435" s="0" t="s">
        <v>31359</v>
      </c>
      <c r="E9435" s="0" t="s">
        <v>31360</v>
      </c>
      <c r="F9435" s="0" t="s">
        <v>90</v>
      </c>
      <c r="G9435" s="0" t="s">
        <v>16</v>
      </c>
      <c r="H9435" s="0" t="n">
        <v>55</v>
      </c>
      <c r="I9435" s="0" t="s">
        <v>31367</v>
      </c>
      <c r="J9435" s="0" t="s">
        <v>31368</v>
      </c>
      <c r="K9435" s="0" t="s">
        <v>31369</v>
      </c>
      <c r="L9435" s="0" t="str">
        <f aca="false">HYPERLINK("https://www.ncbi.nlm.nih.gov/nuccore/CP000058.1?report=graph&amp;tracks=[key:gene_model_track,Options:GeneOnly]&amp;mk=2958438:2958457|offset_1|444444,2958411:2958430|offset_28|444444,2958384:2958403|offset_55|00cc00,2958344:2958363|offset_95|444444&amp;v=2958237:2958563&amp;c=444444", "offset 55")</f>
        <v>offset 55</v>
      </c>
    </row>
    <row r="9436" customFormat="false" ht="12.8" hidden="false" customHeight="false" outlineLevel="0" collapsed="false">
      <c r="A9436" s="0" t="s">
        <v>12</v>
      </c>
      <c r="B9436" s="0" t="n">
        <v>2958343</v>
      </c>
      <c r="C9436" s="0" t="n">
        <v>2958363</v>
      </c>
      <c r="D9436" s="0" t="s">
        <v>31359</v>
      </c>
      <c r="E9436" s="0" t="s">
        <v>31360</v>
      </c>
      <c r="F9436" s="0" t="s">
        <v>90</v>
      </c>
      <c r="G9436" s="0" t="s">
        <v>20</v>
      </c>
      <c r="H9436" s="0" t="n">
        <v>95</v>
      </c>
      <c r="I9436" s="0" t="s">
        <v>31370</v>
      </c>
      <c r="J9436" s="0" t="s">
        <v>31371</v>
      </c>
      <c r="K9436" s="0" t="s">
        <v>31372</v>
      </c>
      <c r="L9436" s="0" t="str">
        <f aca="false">HYPERLINK("https://www.ncbi.nlm.nih.gov/nuccore/CP000058.1?report=graph&amp;tracks=[key:gene_model_track,Options:GeneOnly]&amp;mk=2958438:2958457|offset_1|444444,2958411:2958430|offset_28|444444,2958384:2958403|offset_55|444444,2958344:2958363|offset_95|00cc00&amp;v=2958237:2958563&amp;c=444444", "offset 95")</f>
        <v>offset 95</v>
      </c>
    </row>
    <row r="9437" customFormat="false" ht="12.8" hidden="false" customHeight="false" outlineLevel="0" collapsed="false">
      <c r="A9437" s="0" t="s">
        <v>12</v>
      </c>
      <c r="B9437" s="0" t="n">
        <v>2959040</v>
      </c>
      <c r="C9437" s="0" t="n">
        <v>2959060</v>
      </c>
      <c r="D9437" s="0" t="s">
        <v>31373</v>
      </c>
      <c r="E9437" s="0" t="s">
        <v>75</v>
      </c>
      <c r="F9437" s="0" t="s">
        <v>90</v>
      </c>
      <c r="G9437" s="0" t="s">
        <v>16</v>
      </c>
      <c r="H9437" s="0" t="n">
        <v>37</v>
      </c>
      <c r="I9437" s="0" t="s">
        <v>31374</v>
      </c>
      <c r="J9437" s="0" t="s">
        <v>31375</v>
      </c>
      <c r="K9437" s="0" t="s">
        <v>31376</v>
      </c>
      <c r="L9437" s="0" t="str">
        <f aca="false">HYPERLINK("https://www.ncbi.nlm.nih.gov/nuccore/CP000058.1?report=graph&amp;tracks=[key:gene_model_track,Options:GeneOnly]&amp;mk=2959041:2959060|offset_37|00cc00,2959011:2959030|offset_67|444444,2958975:2958994|offset_103|444444,2958950:2958969|offset_128|444444&amp;v=2958840:2959169&amp;c=444444", "offset 37")</f>
        <v>offset 37</v>
      </c>
    </row>
    <row r="9438" customFormat="false" ht="12.8" hidden="false" customHeight="false" outlineLevel="0" collapsed="false">
      <c r="A9438" s="0" t="s">
        <v>12</v>
      </c>
      <c r="B9438" s="0" t="n">
        <v>2959010</v>
      </c>
      <c r="C9438" s="0" t="n">
        <v>2959030</v>
      </c>
      <c r="D9438" s="0" t="s">
        <v>31373</v>
      </c>
      <c r="E9438" s="0" t="s">
        <v>75</v>
      </c>
      <c r="F9438" s="0" t="s">
        <v>90</v>
      </c>
      <c r="G9438" s="0" t="s">
        <v>16</v>
      </c>
      <c r="H9438" s="0" t="n">
        <v>67</v>
      </c>
      <c r="I9438" s="0" t="s">
        <v>31377</v>
      </c>
      <c r="J9438" s="0" t="s">
        <v>31378</v>
      </c>
      <c r="K9438" s="0" t="s">
        <v>31379</v>
      </c>
      <c r="L9438" s="0" t="str">
        <f aca="false">HYPERLINK("https://www.ncbi.nlm.nih.gov/nuccore/CP000058.1?report=graph&amp;tracks=[key:gene_model_track,Options:GeneOnly]&amp;mk=2959041:2959060|offset_37|444444,2959011:2959030|offset_67|00cc00,2958975:2958994|offset_103|444444,2958950:2958969|offset_128|444444&amp;v=2958840:2959169&amp;c=444444", "offset 67")</f>
        <v>offset 67</v>
      </c>
    </row>
    <row r="9439" customFormat="false" ht="12.8" hidden="false" customHeight="false" outlineLevel="0" collapsed="false">
      <c r="A9439" s="0" t="s">
        <v>12</v>
      </c>
      <c r="B9439" s="0" t="n">
        <v>2958974</v>
      </c>
      <c r="C9439" s="0" t="n">
        <v>2958994</v>
      </c>
      <c r="D9439" s="0" t="s">
        <v>31373</v>
      </c>
      <c r="E9439" s="0" t="s">
        <v>75</v>
      </c>
      <c r="F9439" s="0" t="s">
        <v>90</v>
      </c>
      <c r="G9439" s="0" t="s">
        <v>16</v>
      </c>
      <c r="H9439" s="0" t="n">
        <v>103</v>
      </c>
      <c r="I9439" s="0" t="s">
        <v>31380</v>
      </c>
      <c r="J9439" s="0" t="s">
        <v>31381</v>
      </c>
      <c r="K9439" s="0" t="s">
        <v>31382</v>
      </c>
      <c r="L9439" s="0" t="str">
        <f aca="false">HYPERLINK("https://www.ncbi.nlm.nih.gov/nuccore/CP000058.1?report=graph&amp;tracks=[key:gene_model_track,Options:GeneOnly]&amp;mk=2959041:2959060|offset_37|444444,2959011:2959030|offset_67|444444,2958975:2958994|offset_103|00cc00,2958950:2958969|offset_128|444444&amp;v=2958840:2959169&amp;c=444444", "offset 103")</f>
        <v>offset 103</v>
      </c>
    </row>
    <row r="9440" customFormat="false" ht="12.8" hidden="false" customHeight="false" outlineLevel="0" collapsed="false">
      <c r="A9440" s="0" t="s">
        <v>12</v>
      </c>
      <c r="B9440" s="0" t="n">
        <v>2958949</v>
      </c>
      <c r="C9440" s="0" t="n">
        <v>2958969</v>
      </c>
      <c r="D9440" s="0" t="s">
        <v>31373</v>
      </c>
      <c r="E9440" s="0" t="s">
        <v>75</v>
      </c>
      <c r="F9440" s="0" t="s">
        <v>90</v>
      </c>
      <c r="G9440" s="0" t="s">
        <v>16</v>
      </c>
      <c r="H9440" s="0" t="n">
        <v>128</v>
      </c>
      <c r="I9440" s="0" t="s">
        <v>31383</v>
      </c>
      <c r="J9440" s="0" t="s">
        <v>31384</v>
      </c>
      <c r="K9440" s="0" t="s">
        <v>31385</v>
      </c>
      <c r="L9440" s="0" t="str">
        <f aca="false">HYPERLINK("https://www.ncbi.nlm.nih.gov/nuccore/CP000058.1?report=graph&amp;tracks=[key:gene_model_track,Options:GeneOnly]&amp;mk=2959041:2959060|offset_37|444444,2959011:2959030|offset_67|444444,2958975:2958994|offset_103|444444,2958950:2958969|offset_128|00cc00&amp;v=2958840:2959169&amp;c=444444", "offset 128")</f>
        <v>offset 128</v>
      </c>
    </row>
    <row r="9441" customFormat="false" ht="12.8" hidden="false" customHeight="false" outlineLevel="0" collapsed="false">
      <c r="A9441" s="0" t="s">
        <v>12</v>
      </c>
      <c r="B9441" s="0" t="n">
        <v>2960559</v>
      </c>
      <c r="C9441" s="0" t="n">
        <v>2960579</v>
      </c>
      <c r="D9441" s="0" t="s">
        <v>31386</v>
      </c>
      <c r="E9441" s="0" t="s">
        <v>31387</v>
      </c>
      <c r="F9441" s="0" t="s">
        <v>15</v>
      </c>
      <c r="G9441" s="0" t="s">
        <v>32</v>
      </c>
      <c r="H9441" s="0" t="n">
        <v>10</v>
      </c>
      <c r="I9441" s="0" t="s">
        <v>31388</v>
      </c>
      <c r="J9441" s="0" t="s">
        <v>31389</v>
      </c>
      <c r="K9441" s="0" t="s">
        <v>31390</v>
      </c>
      <c r="L9441" s="0" t="str">
        <f aca="false">HYPERLINK("https://www.ncbi.nlm.nih.gov/nuccore/CP000058.1?report=graph&amp;tracks=[key:gene_model_track,Options:GeneOnly]&amp;mk=2960560:2960579|offset_10|00cc00,2960604:2960623|offset_54|444444,2960625:2960644|offset_75|444444,2960650:2960669|offset_100|444444&amp;v=2960359:2960869&amp;c=444444", "offset 10")</f>
        <v>offset 10</v>
      </c>
    </row>
    <row r="9442" customFormat="false" ht="12.8" hidden="false" customHeight="false" outlineLevel="0" collapsed="false">
      <c r="A9442" s="0" t="s">
        <v>12</v>
      </c>
      <c r="B9442" s="0" t="n">
        <v>2960603</v>
      </c>
      <c r="C9442" s="0" t="n">
        <v>2960623</v>
      </c>
      <c r="D9442" s="0" t="s">
        <v>31386</v>
      </c>
      <c r="E9442" s="0" t="s">
        <v>31387</v>
      </c>
      <c r="F9442" s="0" t="s">
        <v>15</v>
      </c>
      <c r="G9442" s="0" t="s">
        <v>16</v>
      </c>
      <c r="H9442" s="0" t="n">
        <v>54</v>
      </c>
      <c r="I9442" s="0" t="s">
        <v>31391</v>
      </c>
      <c r="J9442" s="0" t="s">
        <v>31392</v>
      </c>
      <c r="K9442" s="0" t="s">
        <v>31393</v>
      </c>
      <c r="L9442" s="0" t="str">
        <f aca="false">HYPERLINK("https://www.ncbi.nlm.nih.gov/nuccore/CP000058.1?report=graph&amp;tracks=[key:gene_model_track,Options:GeneOnly]&amp;mk=2960560:2960579|offset_10|444444,2960604:2960623|offset_54|00cc00,2960625:2960644|offset_75|444444,2960650:2960669|offset_100|444444&amp;v=2960359:2960869&amp;c=444444", "offset 54")</f>
        <v>offset 54</v>
      </c>
    </row>
    <row r="9443" customFormat="false" ht="12.8" hidden="false" customHeight="false" outlineLevel="0" collapsed="false">
      <c r="A9443" s="0" t="s">
        <v>12</v>
      </c>
      <c r="B9443" s="0" t="n">
        <v>2960624</v>
      </c>
      <c r="C9443" s="0" t="n">
        <v>2960644</v>
      </c>
      <c r="D9443" s="0" t="s">
        <v>31386</v>
      </c>
      <c r="E9443" s="0" t="s">
        <v>31387</v>
      </c>
      <c r="F9443" s="0" t="s">
        <v>15</v>
      </c>
      <c r="G9443" s="0" t="s">
        <v>32</v>
      </c>
      <c r="H9443" s="0" t="n">
        <v>75</v>
      </c>
      <c r="I9443" s="0" t="s">
        <v>31394</v>
      </c>
      <c r="J9443" s="0" t="s">
        <v>31395</v>
      </c>
      <c r="K9443" s="0" t="s">
        <v>31396</v>
      </c>
      <c r="L9443" s="0" t="str">
        <f aca="false">HYPERLINK("https://www.ncbi.nlm.nih.gov/nuccore/CP000058.1?report=graph&amp;tracks=[key:gene_model_track,Options:GeneOnly]&amp;mk=2960560:2960579|offset_10|444444,2960604:2960623|offset_54|444444,2960625:2960644|offset_75|00cc00,2960650:2960669|offset_100|444444&amp;v=2960359:2960869&amp;c=444444", "offset 75")</f>
        <v>offset 75</v>
      </c>
    </row>
    <row r="9444" customFormat="false" ht="12.8" hidden="false" customHeight="false" outlineLevel="0" collapsed="false">
      <c r="A9444" s="0" t="s">
        <v>12</v>
      </c>
      <c r="B9444" s="0" t="n">
        <v>2960649</v>
      </c>
      <c r="C9444" s="0" t="n">
        <v>2960669</v>
      </c>
      <c r="D9444" s="0" t="s">
        <v>31386</v>
      </c>
      <c r="E9444" s="0" t="s">
        <v>31387</v>
      </c>
      <c r="F9444" s="0" t="s">
        <v>15</v>
      </c>
      <c r="G9444" s="0" t="s">
        <v>20</v>
      </c>
      <c r="H9444" s="0" t="n">
        <v>100</v>
      </c>
      <c r="I9444" s="0" t="s">
        <v>31397</v>
      </c>
      <c r="J9444" s="0" t="s">
        <v>31398</v>
      </c>
      <c r="K9444" s="0" t="s">
        <v>31399</v>
      </c>
      <c r="L9444" s="0" t="str">
        <f aca="false">HYPERLINK("https://www.ncbi.nlm.nih.gov/nuccore/CP000058.1?report=graph&amp;tracks=[key:gene_model_track,Options:GeneOnly]&amp;mk=2960560:2960579|offset_10|444444,2960604:2960623|offset_54|444444,2960625:2960644|offset_75|444444,2960650:2960669|offset_100|00cc00&amp;v=2960359:2960869&amp;c=444444", "offset 100")</f>
        <v>offset 100</v>
      </c>
    </row>
    <row r="9445" customFormat="false" ht="12.8" hidden="false" customHeight="false" outlineLevel="0" collapsed="false">
      <c r="A9445" s="0" t="s">
        <v>12</v>
      </c>
      <c r="B9445" s="0" t="n">
        <v>2961810</v>
      </c>
      <c r="C9445" s="0" t="n">
        <v>2961830</v>
      </c>
      <c r="D9445" s="0" t="s">
        <v>31400</v>
      </c>
      <c r="E9445" s="0" t="s">
        <v>75</v>
      </c>
      <c r="F9445" s="0" t="s">
        <v>15</v>
      </c>
      <c r="G9445" s="0" t="s">
        <v>36</v>
      </c>
      <c r="H9445" s="0" t="n">
        <v>17</v>
      </c>
      <c r="I9445" s="0" t="s">
        <v>31401</v>
      </c>
      <c r="J9445" s="0" t="s">
        <v>31402</v>
      </c>
      <c r="K9445" s="0" t="s">
        <v>31403</v>
      </c>
      <c r="L9445" s="0" t="str">
        <f aca="false">HYPERLINK("https://www.ncbi.nlm.nih.gov/nuccore/CP000058.1?report=graph&amp;tracks=[key:gene_model_track,Options:GeneOnly]&amp;mk=2961811:2961830|offset_17|00cc00,2961836:2961855|offset_42|444444,2961871:2961890|offset_77|444444,2961909:2961928|offset_115|444444&amp;v=2961610:2962128&amp;c=444444", "offset 17")</f>
        <v>offset 17</v>
      </c>
    </row>
    <row r="9446" customFormat="false" ht="12.8" hidden="false" customHeight="false" outlineLevel="0" collapsed="false">
      <c r="A9446" s="0" t="s">
        <v>12</v>
      </c>
      <c r="B9446" s="0" t="n">
        <v>2961835</v>
      </c>
      <c r="C9446" s="0" t="n">
        <v>2961855</v>
      </c>
      <c r="D9446" s="0" t="s">
        <v>31400</v>
      </c>
      <c r="E9446" s="0" t="s">
        <v>75</v>
      </c>
      <c r="F9446" s="0" t="s">
        <v>15</v>
      </c>
      <c r="G9446" s="0" t="s">
        <v>16</v>
      </c>
      <c r="H9446" s="0" t="n">
        <v>42</v>
      </c>
      <c r="I9446" s="0" t="s">
        <v>31404</v>
      </c>
      <c r="J9446" s="0" t="s">
        <v>31405</v>
      </c>
      <c r="K9446" s="0" t="s">
        <v>31406</v>
      </c>
      <c r="L9446" s="0" t="str">
        <f aca="false">HYPERLINK("https://www.ncbi.nlm.nih.gov/nuccore/CP000058.1?report=graph&amp;tracks=[key:gene_model_track,Options:GeneOnly]&amp;mk=2961811:2961830|offset_17|444444,2961836:2961855|offset_42|00cc00,2961871:2961890|offset_77|444444,2961909:2961928|offset_115|444444&amp;v=2961610:2962128&amp;c=444444", "offset 42")</f>
        <v>offset 42</v>
      </c>
    </row>
    <row r="9447" customFormat="false" ht="12.8" hidden="false" customHeight="false" outlineLevel="0" collapsed="false">
      <c r="A9447" s="0" t="s">
        <v>12</v>
      </c>
      <c r="B9447" s="0" t="n">
        <v>2961870</v>
      </c>
      <c r="C9447" s="0" t="n">
        <v>2961890</v>
      </c>
      <c r="D9447" s="0" t="s">
        <v>31400</v>
      </c>
      <c r="E9447" s="0" t="s">
        <v>75</v>
      </c>
      <c r="F9447" s="0" t="s">
        <v>15</v>
      </c>
      <c r="G9447" s="0" t="s">
        <v>36</v>
      </c>
      <c r="H9447" s="0" t="n">
        <v>77</v>
      </c>
      <c r="I9447" s="0" t="s">
        <v>31407</v>
      </c>
      <c r="J9447" s="0" t="s">
        <v>31408</v>
      </c>
      <c r="K9447" s="0" t="s">
        <v>31409</v>
      </c>
      <c r="L9447" s="0" t="str">
        <f aca="false">HYPERLINK("https://www.ncbi.nlm.nih.gov/nuccore/CP000058.1?report=graph&amp;tracks=[key:gene_model_track,Options:GeneOnly]&amp;mk=2961811:2961830|offset_17|444444,2961836:2961855|offset_42|444444,2961871:2961890|offset_77|00cc00,2961909:2961928|offset_115|444444&amp;v=2961610:2962128&amp;c=444444", "offset 77")</f>
        <v>offset 77</v>
      </c>
    </row>
    <row r="9448" customFormat="false" ht="12.8" hidden="false" customHeight="false" outlineLevel="0" collapsed="false">
      <c r="A9448" s="0" t="s">
        <v>12</v>
      </c>
      <c r="B9448" s="0" t="n">
        <v>2961908</v>
      </c>
      <c r="C9448" s="0" t="n">
        <v>2961928</v>
      </c>
      <c r="D9448" s="0" t="s">
        <v>31400</v>
      </c>
      <c r="E9448" s="0" t="s">
        <v>75</v>
      </c>
      <c r="F9448" s="0" t="s">
        <v>15</v>
      </c>
      <c r="G9448" s="0" t="s">
        <v>16</v>
      </c>
      <c r="H9448" s="0" t="n">
        <v>115</v>
      </c>
      <c r="I9448" s="0" t="s">
        <v>31410</v>
      </c>
      <c r="J9448" s="0" t="s">
        <v>31411</v>
      </c>
      <c r="K9448" s="0" t="s">
        <v>31412</v>
      </c>
      <c r="L9448" s="0" t="str">
        <f aca="false">HYPERLINK("https://www.ncbi.nlm.nih.gov/nuccore/CP000058.1?report=graph&amp;tracks=[key:gene_model_track,Options:GeneOnly]&amp;mk=2961811:2961830|offset_17|444444,2961836:2961855|offset_42|444444,2961871:2961890|offset_77|444444,2961909:2961928|offset_115|00cc00&amp;v=2961610:2962128&amp;c=444444", "offset 115")</f>
        <v>offset 115</v>
      </c>
    </row>
    <row r="9449" customFormat="false" ht="12.8" hidden="false" customHeight="false" outlineLevel="0" collapsed="false">
      <c r="A9449" s="0" t="s">
        <v>12</v>
      </c>
      <c r="B9449" s="0" t="n">
        <v>2965494</v>
      </c>
      <c r="C9449" s="0" t="n">
        <v>2965514</v>
      </c>
      <c r="D9449" s="0" t="s">
        <v>31413</v>
      </c>
      <c r="E9449" s="0" t="s">
        <v>75</v>
      </c>
      <c r="F9449" s="0" t="s">
        <v>90</v>
      </c>
      <c r="G9449" s="0" t="s">
        <v>16</v>
      </c>
      <c r="H9449" s="0" t="n">
        <v>19</v>
      </c>
      <c r="I9449" s="0" t="s">
        <v>31414</v>
      </c>
      <c r="J9449" s="0" t="s">
        <v>31415</v>
      </c>
      <c r="K9449" s="0" t="s">
        <v>31416</v>
      </c>
      <c r="L9449" s="0" t="str">
        <f aca="false">HYPERLINK("https://www.ncbi.nlm.nih.gov/nuccore/CP000058.1?report=graph&amp;tracks=[key:gene_model_track,Options:GeneOnly]&amp;mk=2965495:2965514|offset_19|00cc00,2965475:2965494|offset_39|444444,2965454:2965473|offset_60|444444,2965408:2965427|offset_106|444444&amp;v=2965294:2965627&amp;c=444444", "offset 19")</f>
        <v>offset 19</v>
      </c>
    </row>
    <row r="9450" customFormat="false" ht="12.8" hidden="false" customHeight="false" outlineLevel="0" collapsed="false">
      <c r="A9450" s="0" t="s">
        <v>12</v>
      </c>
      <c r="B9450" s="0" t="n">
        <v>2965474</v>
      </c>
      <c r="C9450" s="0" t="n">
        <v>2965494</v>
      </c>
      <c r="D9450" s="0" t="s">
        <v>31413</v>
      </c>
      <c r="E9450" s="0" t="s">
        <v>75</v>
      </c>
      <c r="F9450" s="0" t="s">
        <v>90</v>
      </c>
      <c r="G9450" s="0" t="s">
        <v>36</v>
      </c>
      <c r="H9450" s="0" t="n">
        <v>39</v>
      </c>
      <c r="I9450" s="0" t="s">
        <v>31417</v>
      </c>
      <c r="J9450" s="0" t="s">
        <v>31418</v>
      </c>
      <c r="K9450" s="0" t="s">
        <v>31419</v>
      </c>
      <c r="L9450" s="0" t="str">
        <f aca="false">HYPERLINK("https://www.ncbi.nlm.nih.gov/nuccore/CP000058.1?report=graph&amp;tracks=[key:gene_model_track,Options:GeneOnly]&amp;mk=2965495:2965514|offset_19|444444,2965475:2965494|offset_39|00cc00,2965454:2965473|offset_60|444444,2965408:2965427|offset_106|444444&amp;v=2965294:2965627&amp;c=444444", "offset 39")</f>
        <v>offset 39</v>
      </c>
    </row>
    <row r="9451" customFormat="false" ht="12.8" hidden="false" customHeight="false" outlineLevel="0" collapsed="false">
      <c r="A9451" s="0" t="s">
        <v>12</v>
      </c>
      <c r="B9451" s="0" t="n">
        <v>2965453</v>
      </c>
      <c r="C9451" s="0" t="n">
        <v>2965473</v>
      </c>
      <c r="D9451" s="0" t="s">
        <v>31413</v>
      </c>
      <c r="E9451" s="0" t="s">
        <v>75</v>
      </c>
      <c r="F9451" s="0" t="s">
        <v>90</v>
      </c>
      <c r="G9451" s="0" t="s">
        <v>32</v>
      </c>
      <c r="H9451" s="0" t="n">
        <v>60</v>
      </c>
      <c r="I9451" s="0" t="s">
        <v>31420</v>
      </c>
      <c r="J9451" s="0" t="s">
        <v>31421</v>
      </c>
      <c r="K9451" s="0" t="s">
        <v>31422</v>
      </c>
      <c r="L9451" s="0" t="str">
        <f aca="false">HYPERLINK("https://www.ncbi.nlm.nih.gov/nuccore/CP000058.1?report=graph&amp;tracks=[key:gene_model_track,Options:GeneOnly]&amp;mk=2965495:2965514|offset_19|444444,2965475:2965494|offset_39|444444,2965454:2965473|offset_60|00cc00,2965408:2965427|offset_106|444444&amp;v=2965294:2965627&amp;c=444444", "offset 60")</f>
        <v>offset 60</v>
      </c>
    </row>
    <row r="9452" customFormat="false" ht="12.8" hidden="false" customHeight="false" outlineLevel="0" collapsed="false">
      <c r="A9452" s="0" t="s">
        <v>12</v>
      </c>
      <c r="B9452" s="0" t="n">
        <v>2965407</v>
      </c>
      <c r="C9452" s="0" t="n">
        <v>2965427</v>
      </c>
      <c r="D9452" s="0" t="s">
        <v>31413</v>
      </c>
      <c r="E9452" s="0" t="s">
        <v>75</v>
      </c>
      <c r="F9452" s="0" t="s">
        <v>90</v>
      </c>
      <c r="G9452" s="0" t="s">
        <v>16</v>
      </c>
      <c r="H9452" s="0" t="n">
        <v>106</v>
      </c>
      <c r="I9452" s="0" t="s">
        <v>31423</v>
      </c>
      <c r="J9452" s="0" t="s">
        <v>31424</v>
      </c>
      <c r="K9452" s="0" t="s">
        <v>31425</v>
      </c>
      <c r="L9452" s="0" t="str">
        <f aca="false">HYPERLINK("https://www.ncbi.nlm.nih.gov/nuccore/CP000058.1?report=graph&amp;tracks=[key:gene_model_track,Options:GeneOnly]&amp;mk=2965495:2965514|offset_19|444444,2965475:2965494|offset_39|444444,2965454:2965473|offset_60|444444,2965408:2965427|offset_106|00cc00&amp;v=2965294:2965627&amp;c=444444", "offset 106")</f>
        <v>offset 106</v>
      </c>
    </row>
    <row r="9453" customFormat="false" ht="12.8" hidden="false" customHeight="false" outlineLevel="0" collapsed="false">
      <c r="A9453" s="0" t="s">
        <v>12</v>
      </c>
      <c r="B9453" s="0" t="n">
        <v>2965864</v>
      </c>
      <c r="C9453" s="0" t="n">
        <v>2965884</v>
      </c>
      <c r="D9453" s="0" t="s">
        <v>31426</v>
      </c>
      <c r="E9453" s="0" t="s">
        <v>31427</v>
      </c>
      <c r="F9453" s="0" t="s">
        <v>15</v>
      </c>
      <c r="G9453" s="0" t="s">
        <v>32</v>
      </c>
      <c r="H9453" s="0" t="n">
        <v>9</v>
      </c>
      <c r="I9453" s="0" t="s">
        <v>31428</v>
      </c>
      <c r="J9453" s="0" t="s">
        <v>31429</v>
      </c>
      <c r="K9453" s="0" t="s">
        <v>31430</v>
      </c>
      <c r="L9453" s="0" t="str">
        <f aca="false">HYPERLINK("https://www.ncbi.nlm.nih.gov/nuccore/CP000058.1?report=graph&amp;tracks=[key:gene_model_track,Options:GeneOnly]&amp;mk=2965865:2965884|offset_9|00cc00,2965891:2965910|offset_35|444444,2965915:2965934|offset_59|444444,2965936:2965955|offset_80|444444&amp;v=2965664:2966155&amp;c=444444", "offset 9")</f>
        <v>offset 9</v>
      </c>
    </row>
    <row r="9454" customFormat="false" ht="12.8" hidden="false" customHeight="false" outlineLevel="0" collapsed="false">
      <c r="A9454" s="0" t="s">
        <v>12</v>
      </c>
      <c r="B9454" s="0" t="n">
        <v>2965890</v>
      </c>
      <c r="C9454" s="0" t="n">
        <v>2965910</v>
      </c>
      <c r="D9454" s="0" t="s">
        <v>31426</v>
      </c>
      <c r="E9454" s="0" t="s">
        <v>31427</v>
      </c>
      <c r="F9454" s="0" t="s">
        <v>15</v>
      </c>
      <c r="G9454" s="0" t="s">
        <v>32</v>
      </c>
      <c r="H9454" s="0" t="n">
        <v>35</v>
      </c>
      <c r="I9454" s="0" t="s">
        <v>31431</v>
      </c>
      <c r="J9454" s="0" t="s">
        <v>31432</v>
      </c>
      <c r="K9454" s="0" t="s">
        <v>31433</v>
      </c>
      <c r="L9454" s="0" t="str">
        <f aca="false">HYPERLINK("https://www.ncbi.nlm.nih.gov/nuccore/CP000058.1?report=graph&amp;tracks=[key:gene_model_track,Options:GeneOnly]&amp;mk=2965865:2965884|offset_9|444444,2965891:2965910|offset_35|00cc00,2965915:2965934|offset_59|444444,2965936:2965955|offset_80|444444&amp;v=2965664:2966155&amp;c=444444", "offset 35")</f>
        <v>offset 35</v>
      </c>
    </row>
    <row r="9455" customFormat="false" ht="12.8" hidden="false" customHeight="false" outlineLevel="0" collapsed="false">
      <c r="A9455" s="0" t="s">
        <v>12</v>
      </c>
      <c r="B9455" s="0" t="n">
        <v>2965914</v>
      </c>
      <c r="C9455" s="0" t="n">
        <v>2965934</v>
      </c>
      <c r="D9455" s="0" t="s">
        <v>31426</v>
      </c>
      <c r="E9455" s="0" t="s">
        <v>31427</v>
      </c>
      <c r="F9455" s="0" t="s">
        <v>15</v>
      </c>
      <c r="G9455" s="0" t="s">
        <v>16</v>
      </c>
      <c r="H9455" s="0" t="n">
        <v>59</v>
      </c>
      <c r="I9455" s="0" t="s">
        <v>31434</v>
      </c>
      <c r="J9455" s="0" t="s">
        <v>31435</v>
      </c>
      <c r="K9455" s="0" t="s">
        <v>31436</v>
      </c>
      <c r="L9455" s="0" t="str">
        <f aca="false">HYPERLINK("https://www.ncbi.nlm.nih.gov/nuccore/CP000058.1?report=graph&amp;tracks=[key:gene_model_track,Options:GeneOnly]&amp;mk=2965865:2965884|offset_9|444444,2965891:2965910|offset_35|444444,2965915:2965934|offset_59|00cc00,2965936:2965955|offset_80|444444&amp;v=2965664:2966155&amp;c=444444", "offset 59")</f>
        <v>offset 59</v>
      </c>
    </row>
    <row r="9456" customFormat="false" ht="12.8" hidden="false" customHeight="false" outlineLevel="0" collapsed="false">
      <c r="A9456" s="0" t="s">
        <v>12</v>
      </c>
      <c r="B9456" s="0" t="n">
        <v>2965935</v>
      </c>
      <c r="C9456" s="0" t="n">
        <v>2965955</v>
      </c>
      <c r="D9456" s="0" t="s">
        <v>31426</v>
      </c>
      <c r="E9456" s="0" t="s">
        <v>31427</v>
      </c>
      <c r="F9456" s="0" t="s">
        <v>15</v>
      </c>
      <c r="G9456" s="0" t="s">
        <v>36</v>
      </c>
      <c r="H9456" s="0" t="n">
        <v>80</v>
      </c>
      <c r="I9456" s="0" t="s">
        <v>31437</v>
      </c>
      <c r="J9456" s="0" t="s">
        <v>31438</v>
      </c>
      <c r="K9456" s="0" t="s">
        <v>31439</v>
      </c>
      <c r="L9456" s="0" t="str">
        <f aca="false">HYPERLINK("https://www.ncbi.nlm.nih.gov/nuccore/CP000058.1?report=graph&amp;tracks=[key:gene_model_track,Options:GeneOnly]&amp;mk=2965865:2965884|offset_9|444444,2965891:2965910|offset_35|444444,2965915:2965934|offset_59|444444,2965936:2965955|offset_80|00cc00&amp;v=2965664:2966155&amp;c=444444", "offset 80")</f>
        <v>offset 80</v>
      </c>
    </row>
    <row r="9457" customFormat="false" ht="12.8" hidden="false" customHeight="false" outlineLevel="0" collapsed="false">
      <c r="A9457" s="0" t="s">
        <v>12</v>
      </c>
      <c r="B9457" s="0" t="n">
        <v>2968244</v>
      </c>
      <c r="C9457" s="0" t="n">
        <v>2968264</v>
      </c>
      <c r="D9457" s="0" t="s">
        <v>31440</v>
      </c>
      <c r="E9457" s="0" t="s">
        <v>31441</v>
      </c>
      <c r="F9457" s="0" t="s">
        <v>90</v>
      </c>
      <c r="G9457" s="0" t="s">
        <v>20</v>
      </c>
      <c r="H9457" s="0" t="n">
        <v>29</v>
      </c>
      <c r="I9457" s="0" t="s">
        <v>31442</v>
      </c>
      <c r="J9457" s="0" t="s">
        <v>31443</v>
      </c>
      <c r="K9457" s="0" t="s">
        <v>31444</v>
      </c>
      <c r="L9457" s="0" t="str">
        <f aca="false">HYPERLINK("https://www.ncbi.nlm.nih.gov/nuccore/CP000058.1?report=graph&amp;tracks=[key:gene_model_track,Options:GeneOnly]&amp;mk=2968245:2968264|offset_29|00cc00,2968224:2968243|offset_50|444444,2968189:2968208|offset_85|444444,2968169:2968188|offset_105|444444&amp;v=2968044:2968388&amp;c=444444", "offset 29")</f>
        <v>offset 29</v>
      </c>
    </row>
    <row r="9458" customFormat="false" ht="12.8" hidden="false" customHeight="false" outlineLevel="0" collapsed="false">
      <c r="A9458" s="0" t="s">
        <v>12</v>
      </c>
      <c r="B9458" s="0" t="n">
        <v>2968223</v>
      </c>
      <c r="C9458" s="0" t="n">
        <v>2968243</v>
      </c>
      <c r="D9458" s="0" t="s">
        <v>31440</v>
      </c>
      <c r="E9458" s="0" t="s">
        <v>31441</v>
      </c>
      <c r="F9458" s="0" t="s">
        <v>90</v>
      </c>
      <c r="G9458" s="0" t="s">
        <v>36</v>
      </c>
      <c r="H9458" s="0" t="n">
        <v>50</v>
      </c>
      <c r="I9458" s="0" t="s">
        <v>31445</v>
      </c>
      <c r="J9458" s="0" t="s">
        <v>31446</v>
      </c>
      <c r="K9458" s="0" t="s">
        <v>31447</v>
      </c>
      <c r="L9458" s="0" t="str">
        <f aca="false">HYPERLINK("https://www.ncbi.nlm.nih.gov/nuccore/CP000058.1?report=graph&amp;tracks=[key:gene_model_track,Options:GeneOnly]&amp;mk=2968245:2968264|offset_29|444444,2968224:2968243|offset_50|00cc00,2968189:2968208|offset_85|444444,2968169:2968188|offset_105|444444&amp;v=2968044:2968388&amp;c=444444", "offset 50")</f>
        <v>offset 50</v>
      </c>
    </row>
    <row r="9459" customFormat="false" ht="12.8" hidden="false" customHeight="false" outlineLevel="0" collapsed="false">
      <c r="A9459" s="0" t="s">
        <v>12</v>
      </c>
      <c r="B9459" s="0" t="n">
        <v>2968188</v>
      </c>
      <c r="C9459" s="0" t="n">
        <v>2968208</v>
      </c>
      <c r="D9459" s="0" t="s">
        <v>31440</v>
      </c>
      <c r="E9459" s="0" t="s">
        <v>31441</v>
      </c>
      <c r="F9459" s="0" t="s">
        <v>90</v>
      </c>
      <c r="G9459" s="0" t="s">
        <v>16</v>
      </c>
      <c r="H9459" s="0" t="n">
        <v>85</v>
      </c>
      <c r="I9459" s="0" t="s">
        <v>31448</v>
      </c>
      <c r="J9459" s="0" t="s">
        <v>31449</v>
      </c>
      <c r="K9459" s="0" t="s">
        <v>31450</v>
      </c>
      <c r="L9459" s="0" t="str">
        <f aca="false">HYPERLINK("https://www.ncbi.nlm.nih.gov/nuccore/CP000058.1?report=graph&amp;tracks=[key:gene_model_track,Options:GeneOnly]&amp;mk=2968245:2968264|offset_29|444444,2968224:2968243|offset_50|444444,2968189:2968208|offset_85|00cc00,2968169:2968188|offset_105|444444&amp;v=2968044:2968388&amp;c=444444", "offset 85")</f>
        <v>offset 85</v>
      </c>
    </row>
    <row r="9460" customFormat="false" ht="12.8" hidden="false" customHeight="false" outlineLevel="0" collapsed="false">
      <c r="A9460" s="0" t="s">
        <v>12</v>
      </c>
      <c r="B9460" s="0" t="n">
        <v>2968168</v>
      </c>
      <c r="C9460" s="0" t="n">
        <v>2968188</v>
      </c>
      <c r="D9460" s="0" t="s">
        <v>31440</v>
      </c>
      <c r="E9460" s="0" t="s">
        <v>31441</v>
      </c>
      <c r="F9460" s="0" t="s">
        <v>90</v>
      </c>
      <c r="G9460" s="0" t="s">
        <v>20</v>
      </c>
      <c r="H9460" s="0" t="n">
        <v>105</v>
      </c>
      <c r="I9460" s="0" t="s">
        <v>31451</v>
      </c>
      <c r="J9460" s="0" t="s">
        <v>31452</v>
      </c>
      <c r="K9460" s="0" t="s">
        <v>31453</v>
      </c>
      <c r="L9460" s="0" t="str">
        <f aca="false">HYPERLINK("https://www.ncbi.nlm.nih.gov/nuccore/CP000058.1?report=graph&amp;tracks=[key:gene_model_track,Options:GeneOnly]&amp;mk=2968245:2968264|offset_29|444444,2968224:2968243|offset_50|444444,2968189:2968208|offset_85|444444,2968169:2968188|offset_105|00cc00&amp;v=2968044:2968388&amp;c=444444", "offset 105")</f>
        <v>offset 105</v>
      </c>
    </row>
    <row r="9461" customFormat="false" ht="12.8" hidden="false" customHeight="false" outlineLevel="0" collapsed="false">
      <c r="A9461" s="0" t="s">
        <v>12</v>
      </c>
      <c r="B9461" s="0" t="n">
        <v>2968628</v>
      </c>
      <c r="C9461" s="0" t="n">
        <v>2968648</v>
      </c>
      <c r="D9461" s="0" t="s">
        <v>31454</v>
      </c>
      <c r="E9461" s="0" t="s">
        <v>75</v>
      </c>
      <c r="F9461" s="0" t="s">
        <v>15</v>
      </c>
      <c r="G9461" s="0" t="s">
        <v>20</v>
      </c>
      <c r="H9461" s="0" t="n">
        <v>68</v>
      </c>
      <c r="I9461" s="0" t="s">
        <v>31455</v>
      </c>
      <c r="J9461" s="0" t="s">
        <v>31456</v>
      </c>
      <c r="K9461" s="0" t="s">
        <v>31457</v>
      </c>
      <c r="L9461" s="0" t="str">
        <f aca="false">HYPERLINK("https://www.ncbi.nlm.nih.gov/nuccore/CP000058.1?report=graph&amp;tracks=[key:gene_model_track,Options:GeneOnly]&amp;mk=2968629:2968648|offset_68|00cc00,2968659:2968678|offset_98|444444,2968688:2968707|offset_127|444444,2968718:2968737|offset_157|444444&amp;v=2968428:2968937&amp;c=444444", "offset 68")</f>
        <v>offset 68</v>
      </c>
    </row>
    <row r="9462" customFormat="false" ht="12.8" hidden="false" customHeight="false" outlineLevel="0" collapsed="false">
      <c r="A9462" s="0" t="s">
        <v>12</v>
      </c>
      <c r="B9462" s="0" t="n">
        <v>2968658</v>
      </c>
      <c r="C9462" s="0" t="n">
        <v>2968678</v>
      </c>
      <c r="D9462" s="0" t="s">
        <v>31454</v>
      </c>
      <c r="E9462" s="0" t="s">
        <v>75</v>
      </c>
      <c r="F9462" s="0" t="s">
        <v>15</v>
      </c>
      <c r="G9462" s="0" t="s">
        <v>36</v>
      </c>
      <c r="H9462" s="0" t="n">
        <v>98</v>
      </c>
      <c r="I9462" s="0" t="s">
        <v>31458</v>
      </c>
      <c r="J9462" s="0" t="s">
        <v>31459</v>
      </c>
      <c r="K9462" s="0" t="s">
        <v>31460</v>
      </c>
      <c r="L9462" s="0" t="str">
        <f aca="false">HYPERLINK("https://www.ncbi.nlm.nih.gov/nuccore/CP000058.1?report=graph&amp;tracks=[key:gene_model_track,Options:GeneOnly]&amp;mk=2968629:2968648|offset_68|444444,2968659:2968678|offset_98|00cc00,2968688:2968707|offset_127|444444,2968718:2968737|offset_157|444444&amp;v=2968428:2968937&amp;c=444444", "offset 98")</f>
        <v>offset 98</v>
      </c>
    </row>
    <row r="9463" customFormat="false" ht="12.8" hidden="false" customHeight="false" outlineLevel="0" collapsed="false">
      <c r="A9463" s="0" t="s">
        <v>12</v>
      </c>
      <c r="B9463" s="0" t="n">
        <v>2968687</v>
      </c>
      <c r="C9463" s="0" t="n">
        <v>2968707</v>
      </c>
      <c r="D9463" s="0" t="s">
        <v>31454</v>
      </c>
      <c r="E9463" s="0" t="s">
        <v>75</v>
      </c>
      <c r="F9463" s="0" t="s">
        <v>15</v>
      </c>
      <c r="G9463" s="0" t="s">
        <v>32</v>
      </c>
      <c r="H9463" s="0" t="n">
        <v>127</v>
      </c>
      <c r="I9463" s="0" t="s">
        <v>31461</v>
      </c>
      <c r="J9463" s="0" t="s">
        <v>31462</v>
      </c>
      <c r="K9463" s="0" t="s">
        <v>31463</v>
      </c>
      <c r="L9463" s="0" t="str">
        <f aca="false">HYPERLINK("https://www.ncbi.nlm.nih.gov/nuccore/CP000058.1?report=graph&amp;tracks=[key:gene_model_track,Options:GeneOnly]&amp;mk=2968629:2968648|offset_68|444444,2968659:2968678|offset_98|444444,2968688:2968707|offset_127|00cc00,2968718:2968737|offset_157|444444&amp;v=2968428:2968937&amp;c=444444", "offset 127")</f>
        <v>offset 127</v>
      </c>
    </row>
    <row r="9464" customFormat="false" ht="12.8" hidden="false" customHeight="false" outlineLevel="0" collapsed="false">
      <c r="A9464" s="0" t="s">
        <v>12</v>
      </c>
      <c r="B9464" s="0" t="n">
        <v>2968717</v>
      </c>
      <c r="C9464" s="0" t="n">
        <v>2968737</v>
      </c>
      <c r="D9464" s="0" t="s">
        <v>31454</v>
      </c>
      <c r="E9464" s="0" t="s">
        <v>75</v>
      </c>
      <c r="F9464" s="0" t="s">
        <v>15</v>
      </c>
      <c r="G9464" s="0" t="s">
        <v>16</v>
      </c>
      <c r="H9464" s="0" t="n">
        <v>157</v>
      </c>
      <c r="I9464" s="0" t="s">
        <v>31464</v>
      </c>
      <c r="J9464" s="0" t="s">
        <v>31465</v>
      </c>
      <c r="K9464" s="0" t="s">
        <v>31466</v>
      </c>
      <c r="L9464" s="0" t="str">
        <f aca="false">HYPERLINK("https://www.ncbi.nlm.nih.gov/nuccore/CP000058.1?report=graph&amp;tracks=[key:gene_model_track,Options:GeneOnly]&amp;mk=2968629:2968648|offset_68|444444,2968659:2968678|offset_98|444444,2968688:2968707|offset_127|444444,2968718:2968737|offset_157|00cc00&amp;v=2968428:2968937&amp;c=444444", "offset 157")</f>
        <v>offset 157</v>
      </c>
    </row>
    <row r="9465" customFormat="false" ht="12.8" hidden="false" customHeight="false" outlineLevel="0" collapsed="false">
      <c r="A9465" s="0" t="s">
        <v>12</v>
      </c>
      <c r="B9465" s="0" t="n">
        <v>2969633</v>
      </c>
      <c r="C9465" s="0" t="n">
        <v>2969653</v>
      </c>
      <c r="D9465" s="0" t="s">
        <v>31467</v>
      </c>
      <c r="E9465" s="0" t="s">
        <v>75</v>
      </c>
      <c r="F9465" s="0" t="s">
        <v>90</v>
      </c>
      <c r="G9465" s="0" t="s">
        <v>16</v>
      </c>
      <c r="H9465" s="0" t="n">
        <v>17</v>
      </c>
      <c r="I9465" s="0" t="s">
        <v>31468</v>
      </c>
      <c r="J9465" s="0" t="s">
        <v>31469</v>
      </c>
      <c r="K9465" s="0" t="s">
        <v>31470</v>
      </c>
      <c r="L9465" s="0" t="str">
        <f aca="false">HYPERLINK("https://www.ncbi.nlm.nih.gov/nuccore/CP000058.1?report=graph&amp;tracks=[key:gene_model_track,Options:GeneOnly]&amp;mk=2969634:2969653|offset_17|00cc00,2969613:2969632|offset_38|444444,2969593:2969612|offset_58|444444,2969566:2969585|offset_85|444444&amp;v=2969433:2969785&amp;c=444444", "offset 17")</f>
        <v>offset 17</v>
      </c>
    </row>
    <row r="9466" customFormat="false" ht="12.8" hidden="false" customHeight="false" outlineLevel="0" collapsed="false">
      <c r="A9466" s="0" t="s">
        <v>12</v>
      </c>
      <c r="B9466" s="0" t="n">
        <v>2969612</v>
      </c>
      <c r="C9466" s="0" t="n">
        <v>2969632</v>
      </c>
      <c r="D9466" s="0" t="s">
        <v>31467</v>
      </c>
      <c r="E9466" s="0" t="s">
        <v>75</v>
      </c>
      <c r="F9466" s="0" t="s">
        <v>90</v>
      </c>
      <c r="G9466" s="0" t="s">
        <v>16</v>
      </c>
      <c r="H9466" s="0" t="n">
        <v>38</v>
      </c>
      <c r="I9466" s="0" t="s">
        <v>31471</v>
      </c>
      <c r="J9466" s="0" t="s">
        <v>31472</v>
      </c>
      <c r="K9466" s="0" t="s">
        <v>31473</v>
      </c>
      <c r="L9466" s="0" t="str">
        <f aca="false">HYPERLINK("https://www.ncbi.nlm.nih.gov/nuccore/CP000058.1?report=graph&amp;tracks=[key:gene_model_track,Options:GeneOnly]&amp;mk=2969634:2969653|offset_17|444444,2969613:2969632|offset_38|00cc00,2969593:2969612|offset_58|444444,2969566:2969585|offset_85|444444&amp;v=2969433:2969785&amp;c=444444", "offset 38")</f>
        <v>offset 38</v>
      </c>
    </row>
    <row r="9467" customFormat="false" ht="12.8" hidden="false" customHeight="false" outlineLevel="0" collapsed="false">
      <c r="A9467" s="0" t="s">
        <v>12</v>
      </c>
      <c r="B9467" s="0" t="n">
        <v>2969592</v>
      </c>
      <c r="C9467" s="0" t="n">
        <v>2969612</v>
      </c>
      <c r="D9467" s="0" t="s">
        <v>31467</v>
      </c>
      <c r="E9467" s="0" t="s">
        <v>75</v>
      </c>
      <c r="F9467" s="0" t="s">
        <v>90</v>
      </c>
      <c r="G9467" s="0" t="s">
        <v>36</v>
      </c>
      <c r="H9467" s="0" t="n">
        <v>58</v>
      </c>
      <c r="I9467" s="0" t="s">
        <v>31474</v>
      </c>
      <c r="J9467" s="0" t="s">
        <v>31475</v>
      </c>
      <c r="K9467" s="0" t="s">
        <v>31476</v>
      </c>
      <c r="L9467" s="0" t="str">
        <f aca="false">HYPERLINK("https://www.ncbi.nlm.nih.gov/nuccore/CP000058.1?report=graph&amp;tracks=[key:gene_model_track,Options:GeneOnly]&amp;mk=2969634:2969653|offset_17|444444,2969613:2969632|offset_38|444444,2969593:2969612|offset_58|00cc00,2969566:2969585|offset_85|444444&amp;v=2969433:2969785&amp;c=444444", "offset 58")</f>
        <v>offset 58</v>
      </c>
    </row>
    <row r="9468" customFormat="false" ht="12.8" hidden="false" customHeight="false" outlineLevel="0" collapsed="false">
      <c r="A9468" s="0" t="s">
        <v>12</v>
      </c>
      <c r="B9468" s="0" t="n">
        <v>2969565</v>
      </c>
      <c r="C9468" s="0" t="n">
        <v>2969585</v>
      </c>
      <c r="D9468" s="0" t="s">
        <v>31467</v>
      </c>
      <c r="E9468" s="0" t="s">
        <v>75</v>
      </c>
      <c r="F9468" s="0" t="s">
        <v>90</v>
      </c>
      <c r="G9468" s="0" t="s">
        <v>36</v>
      </c>
      <c r="H9468" s="0" t="n">
        <v>85</v>
      </c>
      <c r="I9468" s="0" t="s">
        <v>31477</v>
      </c>
      <c r="J9468" s="0" t="s">
        <v>31478</v>
      </c>
      <c r="K9468" s="0" t="s">
        <v>31479</v>
      </c>
      <c r="L9468" s="0" t="str">
        <f aca="false">HYPERLINK("https://www.ncbi.nlm.nih.gov/nuccore/CP000058.1?report=graph&amp;tracks=[key:gene_model_track,Options:GeneOnly]&amp;mk=2969634:2969653|offset_17|444444,2969613:2969632|offset_38|444444,2969593:2969612|offset_58|444444,2969566:2969585|offset_85|00cc00&amp;v=2969433:2969785&amp;c=444444", "offset 85")</f>
        <v>offset 85</v>
      </c>
    </row>
    <row r="9469" customFormat="false" ht="12.8" hidden="false" customHeight="false" outlineLevel="0" collapsed="false">
      <c r="A9469" s="0" t="s">
        <v>12</v>
      </c>
      <c r="B9469" s="0" t="n">
        <v>2970070</v>
      </c>
      <c r="C9469" s="0" t="n">
        <v>2970090</v>
      </c>
      <c r="D9469" s="0" t="s">
        <v>31480</v>
      </c>
      <c r="E9469" s="0" t="s">
        <v>75</v>
      </c>
      <c r="F9469" s="0" t="s">
        <v>15</v>
      </c>
      <c r="G9469" s="0" t="s">
        <v>36</v>
      </c>
      <c r="H9469" s="0" t="n">
        <v>6</v>
      </c>
      <c r="I9469" s="0" t="s">
        <v>31481</v>
      </c>
      <c r="J9469" s="0" t="s">
        <v>31482</v>
      </c>
      <c r="K9469" s="0" t="s">
        <v>31483</v>
      </c>
      <c r="L9469" s="0" t="str">
        <f aca="false">HYPERLINK("https://www.ncbi.nlm.nih.gov/nuccore/CP000058.1?report=graph&amp;tracks=[key:gene_model_track,Options:GeneOnly]&amp;mk=2970071:2970090|offset_6|00cc00,2970108:2970127|offset_43|444444,2970145:2970164|offset_80|444444,2970172:2970191|offset_107|444444&amp;v=2969870:2970391&amp;c=444444", "offset 6")</f>
        <v>offset 6</v>
      </c>
    </row>
    <row r="9470" customFormat="false" ht="12.8" hidden="false" customHeight="false" outlineLevel="0" collapsed="false">
      <c r="A9470" s="0" t="s">
        <v>12</v>
      </c>
      <c r="B9470" s="0" t="n">
        <v>2970107</v>
      </c>
      <c r="C9470" s="0" t="n">
        <v>2970127</v>
      </c>
      <c r="D9470" s="0" t="s">
        <v>31480</v>
      </c>
      <c r="E9470" s="0" t="s">
        <v>75</v>
      </c>
      <c r="F9470" s="0" t="s">
        <v>15</v>
      </c>
      <c r="G9470" s="0" t="s">
        <v>32</v>
      </c>
      <c r="H9470" s="0" t="n">
        <v>43</v>
      </c>
      <c r="I9470" s="0" t="s">
        <v>31484</v>
      </c>
      <c r="J9470" s="0" t="s">
        <v>31485</v>
      </c>
      <c r="K9470" s="0" t="s">
        <v>31486</v>
      </c>
      <c r="L9470" s="0" t="str">
        <f aca="false">HYPERLINK("https://www.ncbi.nlm.nih.gov/nuccore/CP000058.1?report=graph&amp;tracks=[key:gene_model_track,Options:GeneOnly]&amp;mk=2970071:2970090|offset_6|444444,2970108:2970127|offset_43|00cc00,2970145:2970164|offset_80|444444,2970172:2970191|offset_107|444444&amp;v=2969870:2970391&amp;c=444444", "offset 43")</f>
        <v>offset 43</v>
      </c>
    </row>
    <row r="9471" customFormat="false" ht="12.8" hidden="false" customHeight="false" outlineLevel="0" collapsed="false">
      <c r="A9471" s="0" t="s">
        <v>12</v>
      </c>
      <c r="B9471" s="0" t="n">
        <v>2970144</v>
      </c>
      <c r="C9471" s="0" t="n">
        <v>2970164</v>
      </c>
      <c r="D9471" s="0" t="s">
        <v>31480</v>
      </c>
      <c r="E9471" s="0" t="s">
        <v>75</v>
      </c>
      <c r="F9471" s="0" t="s">
        <v>15</v>
      </c>
      <c r="G9471" s="0" t="s">
        <v>32</v>
      </c>
      <c r="H9471" s="0" t="n">
        <v>80</v>
      </c>
      <c r="I9471" s="0" t="s">
        <v>31487</v>
      </c>
      <c r="J9471" s="0" t="s">
        <v>31488</v>
      </c>
      <c r="K9471" s="0" t="s">
        <v>31489</v>
      </c>
      <c r="L9471" s="0" t="str">
        <f aca="false">HYPERLINK("https://www.ncbi.nlm.nih.gov/nuccore/CP000058.1?report=graph&amp;tracks=[key:gene_model_track,Options:GeneOnly]&amp;mk=2970071:2970090|offset_6|444444,2970108:2970127|offset_43|444444,2970145:2970164|offset_80|00cc00,2970172:2970191|offset_107|444444&amp;v=2969870:2970391&amp;c=444444", "offset 80")</f>
        <v>offset 80</v>
      </c>
    </row>
    <row r="9472" customFormat="false" ht="12.8" hidden="false" customHeight="false" outlineLevel="0" collapsed="false">
      <c r="A9472" s="0" t="s">
        <v>12</v>
      </c>
      <c r="B9472" s="0" t="n">
        <v>2970171</v>
      </c>
      <c r="C9472" s="0" t="n">
        <v>2970191</v>
      </c>
      <c r="D9472" s="0" t="s">
        <v>31480</v>
      </c>
      <c r="E9472" s="0" t="s">
        <v>75</v>
      </c>
      <c r="F9472" s="0" t="s">
        <v>15</v>
      </c>
      <c r="G9472" s="0" t="s">
        <v>20</v>
      </c>
      <c r="H9472" s="0" t="n">
        <v>107</v>
      </c>
      <c r="I9472" s="0" t="s">
        <v>31490</v>
      </c>
      <c r="J9472" s="0" t="s">
        <v>31491</v>
      </c>
      <c r="K9472" s="0" t="s">
        <v>31492</v>
      </c>
      <c r="L9472" s="0" t="str">
        <f aca="false">HYPERLINK("https://www.ncbi.nlm.nih.gov/nuccore/CP000058.1?report=graph&amp;tracks=[key:gene_model_track,Options:GeneOnly]&amp;mk=2970071:2970090|offset_6|444444,2970108:2970127|offset_43|444444,2970145:2970164|offset_80|444444,2970172:2970191|offset_107|00cc00&amp;v=2969870:2970391&amp;c=444444", "offset 107")</f>
        <v>offset 107</v>
      </c>
    </row>
    <row r="9473" customFormat="false" ht="12.8" hidden="false" customHeight="false" outlineLevel="0" collapsed="false">
      <c r="A9473" s="0" t="s">
        <v>12</v>
      </c>
      <c r="B9473" s="0" t="n">
        <v>2971555</v>
      </c>
      <c r="C9473" s="0" t="n">
        <v>2971575</v>
      </c>
      <c r="D9473" s="0" t="s">
        <v>31493</v>
      </c>
      <c r="E9473" s="0" t="s">
        <v>75</v>
      </c>
      <c r="F9473" s="0" t="s">
        <v>90</v>
      </c>
      <c r="G9473" s="0" t="s">
        <v>32</v>
      </c>
      <c r="H9473" s="0" t="n">
        <v>7</v>
      </c>
      <c r="I9473" s="0" t="s">
        <v>31494</v>
      </c>
      <c r="J9473" s="0" t="s">
        <v>31495</v>
      </c>
      <c r="K9473" s="0" t="s">
        <v>31496</v>
      </c>
      <c r="L9473" s="0" t="str">
        <f aca="false">HYPERLINK("https://www.ncbi.nlm.nih.gov/nuccore/CP000058.1?report=graph&amp;tracks=[key:gene_model_track,Options:GeneOnly]&amp;mk=2971556:2971575|offset_7|00cc00,2971532:2971551|offset_31|444444,2971507:2971526|offset_56|444444,2971474:2971493|offset_89|444444&amp;v=2971355:2971693&amp;c=444444", "offset 7")</f>
        <v>offset 7</v>
      </c>
    </row>
    <row r="9474" customFormat="false" ht="12.8" hidden="false" customHeight="false" outlineLevel="0" collapsed="false">
      <c r="A9474" s="0" t="s">
        <v>12</v>
      </c>
      <c r="B9474" s="0" t="n">
        <v>2971531</v>
      </c>
      <c r="C9474" s="0" t="n">
        <v>2971551</v>
      </c>
      <c r="D9474" s="0" t="s">
        <v>31493</v>
      </c>
      <c r="E9474" s="0" t="s">
        <v>75</v>
      </c>
      <c r="F9474" s="0" t="s">
        <v>90</v>
      </c>
      <c r="G9474" s="0" t="s">
        <v>20</v>
      </c>
      <c r="H9474" s="0" t="n">
        <v>31</v>
      </c>
      <c r="I9474" s="0" t="s">
        <v>31497</v>
      </c>
      <c r="J9474" s="0" t="s">
        <v>31498</v>
      </c>
      <c r="K9474" s="0" t="s">
        <v>31499</v>
      </c>
      <c r="L9474" s="0" t="str">
        <f aca="false">HYPERLINK("https://www.ncbi.nlm.nih.gov/nuccore/CP000058.1?report=graph&amp;tracks=[key:gene_model_track,Options:GeneOnly]&amp;mk=2971556:2971575|offset_7|444444,2971532:2971551|offset_31|00cc00,2971507:2971526|offset_56|444444,2971474:2971493|offset_89|444444&amp;v=2971355:2971693&amp;c=444444", "offset 31")</f>
        <v>offset 31</v>
      </c>
    </row>
    <row r="9475" customFormat="false" ht="12.8" hidden="false" customHeight="false" outlineLevel="0" collapsed="false">
      <c r="A9475" s="0" t="s">
        <v>12</v>
      </c>
      <c r="B9475" s="0" t="n">
        <v>2971506</v>
      </c>
      <c r="C9475" s="0" t="n">
        <v>2971526</v>
      </c>
      <c r="D9475" s="0" t="s">
        <v>31493</v>
      </c>
      <c r="E9475" s="0" t="s">
        <v>75</v>
      </c>
      <c r="F9475" s="0" t="s">
        <v>90</v>
      </c>
      <c r="G9475" s="0" t="s">
        <v>20</v>
      </c>
      <c r="H9475" s="0" t="n">
        <v>56</v>
      </c>
      <c r="I9475" s="0" t="s">
        <v>31500</v>
      </c>
      <c r="J9475" s="0" t="s">
        <v>31501</v>
      </c>
      <c r="K9475" s="0" t="s">
        <v>31502</v>
      </c>
      <c r="L9475" s="0" t="str">
        <f aca="false">HYPERLINK("https://www.ncbi.nlm.nih.gov/nuccore/CP000058.1?report=graph&amp;tracks=[key:gene_model_track,Options:GeneOnly]&amp;mk=2971556:2971575|offset_7|444444,2971532:2971551|offset_31|444444,2971507:2971526|offset_56|00cc00,2971474:2971493|offset_89|444444&amp;v=2971355:2971693&amp;c=444444", "offset 56")</f>
        <v>offset 56</v>
      </c>
    </row>
    <row r="9476" customFormat="false" ht="12.8" hidden="false" customHeight="false" outlineLevel="0" collapsed="false">
      <c r="A9476" s="0" t="s">
        <v>12</v>
      </c>
      <c r="B9476" s="0" t="n">
        <v>2971473</v>
      </c>
      <c r="C9476" s="0" t="n">
        <v>2971493</v>
      </c>
      <c r="D9476" s="0" t="s">
        <v>31493</v>
      </c>
      <c r="E9476" s="0" t="s">
        <v>75</v>
      </c>
      <c r="F9476" s="0" t="s">
        <v>90</v>
      </c>
      <c r="G9476" s="0" t="s">
        <v>20</v>
      </c>
      <c r="H9476" s="0" t="n">
        <v>89</v>
      </c>
      <c r="I9476" s="0" t="s">
        <v>31503</v>
      </c>
      <c r="J9476" s="0" t="s">
        <v>31504</v>
      </c>
      <c r="K9476" s="0" t="s">
        <v>31505</v>
      </c>
      <c r="L9476" s="0" t="str">
        <f aca="false">HYPERLINK("https://www.ncbi.nlm.nih.gov/nuccore/CP000058.1?report=graph&amp;tracks=[key:gene_model_track,Options:GeneOnly]&amp;mk=2971556:2971575|offset_7|444444,2971532:2971551|offset_31|444444,2971507:2971526|offset_56|444444,2971474:2971493|offset_89|00cc00&amp;v=2971355:2971693&amp;c=444444", "offset 89")</f>
        <v>offset 89</v>
      </c>
    </row>
    <row r="9477" customFormat="false" ht="12.8" hidden="false" customHeight="false" outlineLevel="0" collapsed="false">
      <c r="A9477" s="0" t="s">
        <v>12</v>
      </c>
      <c r="B9477" s="0" t="n">
        <v>2971749</v>
      </c>
      <c r="C9477" s="0" t="n">
        <v>2971769</v>
      </c>
      <c r="D9477" s="0" t="s">
        <v>31506</v>
      </c>
      <c r="E9477" s="0" t="s">
        <v>75</v>
      </c>
      <c r="F9477" s="0" t="s">
        <v>15</v>
      </c>
      <c r="G9477" s="0" t="s">
        <v>20</v>
      </c>
      <c r="H9477" s="0" t="n">
        <v>13</v>
      </c>
      <c r="I9477" s="0" t="s">
        <v>31507</v>
      </c>
      <c r="J9477" s="0" t="s">
        <v>31508</v>
      </c>
      <c r="K9477" s="0" t="s">
        <v>31509</v>
      </c>
      <c r="L9477" s="0" t="str">
        <f aca="false">HYPERLINK("https://www.ncbi.nlm.nih.gov/nuccore/CP000058.1?report=graph&amp;tracks=[key:gene_model_track,Options:GeneOnly]&amp;mk=2971750:2971769|offset_13|00cc00,2971770:2971789|offset_33|444444,2971813:2971832|offset_76|444444,2971834:2971853|offset_97|444444&amp;v=2971549:2972053&amp;c=444444", "offset 13")</f>
        <v>offset 13</v>
      </c>
    </row>
    <row r="9478" customFormat="false" ht="12.8" hidden="false" customHeight="false" outlineLevel="0" collapsed="false">
      <c r="A9478" s="0" t="s">
        <v>12</v>
      </c>
      <c r="B9478" s="0" t="n">
        <v>2971769</v>
      </c>
      <c r="C9478" s="0" t="n">
        <v>2971789</v>
      </c>
      <c r="D9478" s="0" t="s">
        <v>31506</v>
      </c>
      <c r="E9478" s="0" t="s">
        <v>75</v>
      </c>
      <c r="F9478" s="0" t="s">
        <v>15</v>
      </c>
      <c r="G9478" s="0" t="s">
        <v>20</v>
      </c>
      <c r="H9478" s="0" t="n">
        <v>33</v>
      </c>
      <c r="I9478" s="0" t="s">
        <v>31510</v>
      </c>
      <c r="J9478" s="0" t="s">
        <v>31511</v>
      </c>
      <c r="K9478" s="0" t="s">
        <v>31512</v>
      </c>
      <c r="L9478" s="0" t="str">
        <f aca="false">HYPERLINK("https://www.ncbi.nlm.nih.gov/nuccore/CP000058.1?report=graph&amp;tracks=[key:gene_model_track,Options:GeneOnly]&amp;mk=2971750:2971769|offset_13|444444,2971770:2971789|offset_33|00cc00,2971813:2971832|offset_76|444444,2971834:2971853|offset_97|444444&amp;v=2971549:2972053&amp;c=444444", "offset 33")</f>
        <v>offset 33</v>
      </c>
    </row>
    <row r="9479" customFormat="false" ht="12.8" hidden="false" customHeight="false" outlineLevel="0" collapsed="false">
      <c r="A9479" s="0" t="s">
        <v>12</v>
      </c>
      <c r="B9479" s="0" t="n">
        <v>2971812</v>
      </c>
      <c r="C9479" s="0" t="n">
        <v>2971832</v>
      </c>
      <c r="D9479" s="0" t="s">
        <v>31506</v>
      </c>
      <c r="E9479" s="0" t="s">
        <v>75</v>
      </c>
      <c r="F9479" s="0" t="s">
        <v>15</v>
      </c>
      <c r="G9479" s="0" t="s">
        <v>32</v>
      </c>
      <c r="H9479" s="0" t="n">
        <v>76</v>
      </c>
      <c r="I9479" s="0" t="s">
        <v>31513</v>
      </c>
      <c r="J9479" s="0" t="s">
        <v>31514</v>
      </c>
      <c r="K9479" s="0" t="s">
        <v>31515</v>
      </c>
      <c r="L9479" s="0" t="str">
        <f aca="false">HYPERLINK("https://www.ncbi.nlm.nih.gov/nuccore/CP000058.1?report=graph&amp;tracks=[key:gene_model_track,Options:GeneOnly]&amp;mk=2971750:2971769|offset_13|444444,2971770:2971789|offset_33|444444,2971813:2971832|offset_76|00cc00,2971834:2971853|offset_97|444444&amp;v=2971549:2972053&amp;c=444444", "offset 76")</f>
        <v>offset 76</v>
      </c>
    </row>
    <row r="9480" customFormat="false" ht="12.8" hidden="false" customHeight="false" outlineLevel="0" collapsed="false">
      <c r="A9480" s="0" t="s">
        <v>12</v>
      </c>
      <c r="B9480" s="0" t="n">
        <v>2971833</v>
      </c>
      <c r="C9480" s="0" t="n">
        <v>2971853</v>
      </c>
      <c r="D9480" s="0" t="s">
        <v>31506</v>
      </c>
      <c r="E9480" s="0" t="s">
        <v>75</v>
      </c>
      <c r="F9480" s="0" t="s">
        <v>15</v>
      </c>
      <c r="G9480" s="0" t="s">
        <v>16</v>
      </c>
      <c r="H9480" s="0" t="n">
        <v>97</v>
      </c>
      <c r="I9480" s="0" t="s">
        <v>31516</v>
      </c>
      <c r="J9480" s="0" t="s">
        <v>31517</v>
      </c>
      <c r="K9480" s="0" t="s">
        <v>31518</v>
      </c>
      <c r="L9480" s="0" t="str">
        <f aca="false">HYPERLINK("https://www.ncbi.nlm.nih.gov/nuccore/CP000058.1?report=graph&amp;tracks=[key:gene_model_track,Options:GeneOnly]&amp;mk=2971750:2971769|offset_13|444444,2971770:2971789|offset_33|444444,2971813:2971832|offset_76|444444,2971834:2971853|offset_97|00cc00&amp;v=2971549:2972053&amp;c=444444", "offset 97")</f>
        <v>offset 97</v>
      </c>
    </row>
    <row r="9481" customFormat="false" ht="12.8" hidden="false" customHeight="false" outlineLevel="0" collapsed="false">
      <c r="A9481" s="0" t="s">
        <v>12</v>
      </c>
      <c r="B9481" s="0" t="n">
        <v>2972468</v>
      </c>
      <c r="C9481" s="0" t="n">
        <v>2972488</v>
      </c>
      <c r="D9481" s="0" t="s">
        <v>31519</v>
      </c>
      <c r="E9481" s="0" t="s">
        <v>75</v>
      </c>
      <c r="F9481" s="0" t="s">
        <v>15</v>
      </c>
      <c r="G9481" s="0" t="s">
        <v>36</v>
      </c>
      <c r="H9481" s="0" t="n">
        <v>12</v>
      </c>
      <c r="I9481" s="0" t="s">
        <v>31520</v>
      </c>
      <c r="J9481" s="0" t="s">
        <v>31521</v>
      </c>
      <c r="K9481" s="0" t="s">
        <v>31522</v>
      </c>
      <c r="L9481" s="0" t="str">
        <f aca="false">HYPERLINK("https://www.ncbi.nlm.nih.gov/nuccore/CP000058.1?report=graph&amp;tracks=[key:gene_model_track,Options:GeneOnly]&amp;mk=2972469:2972488|offset_12|00cc00,2972491:2972510|offset_34|444444,2972538:2972557|offset_81|444444,2972593:2972612|offset_136|444444&amp;v=2972268:2972812&amp;c=444444", "offset 12")</f>
        <v>offset 12</v>
      </c>
    </row>
    <row r="9482" customFormat="false" ht="12.8" hidden="false" customHeight="false" outlineLevel="0" collapsed="false">
      <c r="A9482" s="0" t="s">
        <v>12</v>
      </c>
      <c r="B9482" s="0" t="n">
        <v>2972490</v>
      </c>
      <c r="C9482" s="0" t="n">
        <v>2972510</v>
      </c>
      <c r="D9482" s="0" t="s">
        <v>31519</v>
      </c>
      <c r="E9482" s="0" t="s">
        <v>75</v>
      </c>
      <c r="F9482" s="0" t="s">
        <v>15</v>
      </c>
      <c r="G9482" s="0" t="s">
        <v>16</v>
      </c>
      <c r="H9482" s="0" t="n">
        <v>34</v>
      </c>
      <c r="I9482" s="0" t="s">
        <v>31523</v>
      </c>
      <c r="J9482" s="0" t="s">
        <v>31524</v>
      </c>
      <c r="K9482" s="0" t="s">
        <v>31525</v>
      </c>
      <c r="L9482" s="0" t="str">
        <f aca="false">HYPERLINK("https://www.ncbi.nlm.nih.gov/nuccore/CP000058.1?report=graph&amp;tracks=[key:gene_model_track,Options:GeneOnly]&amp;mk=2972469:2972488|offset_12|444444,2972491:2972510|offset_34|00cc00,2972538:2972557|offset_81|444444,2972593:2972612|offset_136|444444&amp;v=2972268:2972812&amp;c=444444", "offset 34")</f>
        <v>offset 34</v>
      </c>
    </row>
    <row r="9483" customFormat="false" ht="12.8" hidden="false" customHeight="false" outlineLevel="0" collapsed="false">
      <c r="A9483" s="0" t="s">
        <v>12</v>
      </c>
      <c r="B9483" s="0" t="n">
        <v>2972537</v>
      </c>
      <c r="C9483" s="0" t="n">
        <v>2972557</v>
      </c>
      <c r="D9483" s="0" t="s">
        <v>31519</v>
      </c>
      <c r="E9483" s="0" t="s">
        <v>75</v>
      </c>
      <c r="F9483" s="0" t="s">
        <v>15</v>
      </c>
      <c r="G9483" s="0" t="s">
        <v>20</v>
      </c>
      <c r="H9483" s="0" t="n">
        <v>81</v>
      </c>
      <c r="I9483" s="0" t="s">
        <v>31526</v>
      </c>
      <c r="J9483" s="0" t="s">
        <v>31527</v>
      </c>
      <c r="K9483" s="0" t="s">
        <v>31528</v>
      </c>
      <c r="L9483" s="0" t="str">
        <f aca="false">HYPERLINK("https://www.ncbi.nlm.nih.gov/nuccore/CP000058.1?report=graph&amp;tracks=[key:gene_model_track,Options:GeneOnly]&amp;mk=2972469:2972488|offset_12|444444,2972491:2972510|offset_34|444444,2972538:2972557|offset_81|00cc00,2972593:2972612|offset_136|444444&amp;v=2972268:2972812&amp;c=444444", "offset 81")</f>
        <v>offset 81</v>
      </c>
    </row>
    <row r="9484" customFormat="false" ht="12.8" hidden="false" customHeight="false" outlineLevel="0" collapsed="false">
      <c r="A9484" s="0" t="s">
        <v>12</v>
      </c>
      <c r="B9484" s="0" t="n">
        <v>2972592</v>
      </c>
      <c r="C9484" s="0" t="n">
        <v>2972612</v>
      </c>
      <c r="D9484" s="0" t="s">
        <v>31519</v>
      </c>
      <c r="E9484" s="0" t="s">
        <v>75</v>
      </c>
      <c r="F9484" s="0" t="s">
        <v>15</v>
      </c>
      <c r="G9484" s="0" t="s">
        <v>36</v>
      </c>
      <c r="H9484" s="0" t="n">
        <v>136</v>
      </c>
      <c r="I9484" s="0" t="s">
        <v>31529</v>
      </c>
      <c r="J9484" s="0" t="s">
        <v>31530</v>
      </c>
      <c r="K9484" s="0" t="s">
        <v>31531</v>
      </c>
      <c r="L9484" s="0" t="str">
        <f aca="false">HYPERLINK("https://www.ncbi.nlm.nih.gov/nuccore/CP000058.1?report=graph&amp;tracks=[key:gene_model_track,Options:GeneOnly]&amp;mk=2972469:2972488|offset_12|444444,2972491:2972510|offset_34|444444,2972538:2972557|offset_81|444444,2972593:2972612|offset_136|00cc00&amp;v=2972268:2972812&amp;c=444444", "offset 136")</f>
        <v>offset 136</v>
      </c>
    </row>
    <row r="9485" customFormat="false" ht="12.8" hidden="false" customHeight="false" outlineLevel="0" collapsed="false">
      <c r="A9485" s="0" t="s">
        <v>12</v>
      </c>
      <c r="B9485" s="0" t="n">
        <v>2974476</v>
      </c>
      <c r="C9485" s="0" t="n">
        <v>2974496</v>
      </c>
      <c r="D9485" s="0" t="s">
        <v>31532</v>
      </c>
      <c r="E9485" s="0" t="s">
        <v>75</v>
      </c>
      <c r="F9485" s="0" t="s">
        <v>90</v>
      </c>
      <c r="G9485" s="0" t="s">
        <v>16</v>
      </c>
      <c r="H9485" s="0" t="n">
        <v>14</v>
      </c>
      <c r="I9485" s="0" t="s">
        <v>31533</v>
      </c>
      <c r="J9485" s="0" t="s">
        <v>31534</v>
      </c>
      <c r="K9485" s="0" t="s">
        <v>31535</v>
      </c>
      <c r="L9485" s="0" t="str">
        <f aca="false">HYPERLINK("https://www.ncbi.nlm.nih.gov/nuccore/CP000058.1?report=graph&amp;tracks=[key:gene_model_track,Options:GeneOnly]&amp;mk=2974477:2974496|offset_14|00cc00,2974448:2974467|offset_43|444444,2974424:2974443|offset_67|444444,2974403:2974422|offset_88|444444&amp;v=2974276:2974622&amp;c=444444", "offset 14")</f>
        <v>offset 14</v>
      </c>
    </row>
    <row r="9486" customFormat="false" ht="12.8" hidden="false" customHeight="false" outlineLevel="0" collapsed="false">
      <c r="A9486" s="0" t="s">
        <v>12</v>
      </c>
      <c r="B9486" s="0" t="n">
        <v>2974447</v>
      </c>
      <c r="C9486" s="0" t="n">
        <v>2974467</v>
      </c>
      <c r="D9486" s="0" t="s">
        <v>31532</v>
      </c>
      <c r="E9486" s="0" t="s">
        <v>75</v>
      </c>
      <c r="F9486" s="0" t="s">
        <v>90</v>
      </c>
      <c r="G9486" s="0" t="s">
        <v>32</v>
      </c>
      <c r="H9486" s="0" t="n">
        <v>43</v>
      </c>
      <c r="I9486" s="0" t="s">
        <v>31536</v>
      </c>
      <c r="J9486" s="0" t="s">
        <v>31537</v>
      </c>
      <c r="K9486" s="0" t="s">
        <v>31538</v>
      </c>
      <c r="L9486" s="0" t="str">
        <f aca="false">HYPERLINK("https://www.ncbi.nlm.nih.gov/nuccore/CP000058.1?report=graph&amp;tracks=[key:gene_model_track,Options:GeneOnly]&amp;mk=2974477:2974496|offset_14|444444,2974448:2974467|offset_43|00cc00,2974424:2974443|offset_67|444444,2974403:2974422|offset_88|444444&amp;v=2974276:2974622&amp;c=444444", "offset 43")</f>
        <v>offset 43</v>
      </c>
    </row>
    <row r="9487" customFormat="false" ht="12.8" hidden="false" customHeight="false" outlineLevel="0" collapsed="false">
      <c r="A9487" s="0" t="s">
        <v>12</v>
      </c>
      <c r="B9487" s="0" t="n">
        <v>2974423</v>
      </c>
      <c r="C9487" s="0" t="n">
        <v>2974443</v>
      </c>
      <c r="D9487" s="0" t="s">
        <v>31532</v>
      </c>
      <c r="E9487" s="0" t="s">
        <v>75</v>
      </c>
      <c r="F9487" s="0" t="s">
        <v>90</v>
      </c>
      <c r="G9487" s="0" t="s">
        <v>20</v>
      </c>
      <c r="H9487" s="0" t="n">
        <v>67</v>
      </c>
      <c r="I9487" s="0" t="s">
        <v>31539</v>
      </c>
      <c r="J9487" s="0" t="s">
        <v>31540</v>
      </c>
      <c r="K9487" s="0" t="s">
        <v>31541</v>
      </c>
      <c r="L9487" s="0" t="str">
        <f aca="false">HYPERLINK("https://www.ncbi.nlm.nih.gov/nuccore/CP000058.1?report=graph&amp;tracks=[key:gene_model_track,Options:GeneOnly]&amp;mk=2974477:2974496|offset_14|444444,2974448:2974467|offset_43|444444,2974424:2974443|offset_67|00cc00,2974403:2974422|offset_88|444444&amp;v=2974276:2974622&amp;c=444444", "offset 67")</f>
        <v>offset 67</v>
      </c>
    </row>
    <row r="9488" customFormat="false" ht="12.8" hidden="false" customHeight="false" outlineLevel="0" collapsed="false">
      <c r="A9488" s="0" t="s">
        <v>12</v>
      </c>
      <c r="B9488" s="0" t="n">
        <v>2974402</v>
      </c>
      <c r="C9488" s="0" t="n">
        <v>2974422</v>
      </c>
      <c r="D9488" s="0" t="s">
        <v>31532</v>
      </c>
      <c r="E9488" s="0" t="s">
        <v>75</v>
      </c>
      <c r="F9488" s="0" t="s">
        <v>90</v>
      </c>
      <c r="G9488" s="0" t="s">
        <v>16</v>
      </c>
      <c r="H9488" s="0" t="n">
        <v>88</v>
      </c>
      <c r="I9488" s="0" t="s">
        <v>31542</v>
      </c>
      <c r="J9488" s="0" t="s">
        <v>31543</v>
      </c>
      <c r="K9488" s="0" t="s">
        <v>31544</v>
      </c>
      <c r="L9488" s="0" t="str">
        <f aca="false">HYPERLINK("https://www.ncbi.nlm.nih.gov/nuccore/CP000058.1?report=graph&amp;tracks=[key:gene_model_track,Options:GeneOnly]&amp;mk=2974477:2974496|offset_14|444444,2974448:2974467|offset_43|444444,2974424:2974443|offset_67|444444,2974403:2974422|offset_88|00cc00&amp;v=2974276:2974622&amp;c=444444", "offset 88")</f>
        <v>offset 88</v>
      </c>
    </row>
    <row r="9489" customFormat="false" ht="12.8" hidden="false" customHeight="false" outlineLevel="0" collapsed="false">
      <c r="A9489" s="0" t="s">
        <v>12</v>
      </c>
      <c r="B9489" s="0" t="n">
        <v>2974643</v>
      </c>
      <c r="C9489" s="0" t="n">
        <v>2974663</v>
      </c>
      <c r="D9489" s="0" t="s">
        <v>31545</v>
      </c>
      <c r="E9489" s="0" t="s">
        <v>75</v>
      </c>
      <c r="F9489" s="0" t="s">
        <v>15</v>
      </c>
      <c r="G9489" s="0" t="s">
        <v>32</v>
      </c>
      <c r="H9489" s="0" t="n">
        <v>1</v>
      </c>
      <c r="I9489" s="0" t="s">
        <v>31546</v>
      </c>
      <c r="J9489" s="0" t="s">
        <v>31547</v>
      </c>
      <c r="K9489" s="0" t="s">
        <v>31548</v>
      </c>
      <c r="L9489" s="0" t="str">
        <f aca="false">HYPERLINK("https://www.ncbi.nlm.nih.gov/nuccore/CP000058.1?report=graph&amp;tracks=[key:gene_model_track,Options:GeneOnly]&amp;mk=2974644:2974663|offset_1|00cc00,2974722:2974741|offset_79|444444,2974749:2974768|offset_106|444444,2974788:2974807|offset_145|444444&amp;v=2974443:2975007&amp;c=444444", "offset 1")</f>
        <v>offset 1</v>
      </c>
    </row>
    <row r="9490" customFormat="false" ht="12.8" hidden="false" customHeight="false" outlineLevel="0" collapsed="false">
      <c r="A9490" s="0" t="s">
        <v>12</v>
      </c>
      <c r="B9490" s="0" t="n">
        <v>2974721</v>
      </c>
      <c r="C9490" s="0" t="n">
        <v>2974741</v>
      </c>
      <c r="D9490" s="0" t="s">
        <v>31545</v>
      </c>
      <c r="E9490" s="0" t="s">
        <v>75</v>
      </c>
      <c r="F9490" s="0" t="s">
        <v>15</v>
      </c>
      <c r="G9490" s="0" t="s">
        <v>32</v>
      </c>
      <c r="H9490" s="0" t="n">
        <v>79</v>
      </c>
      <c r="I9490" s="0" t="s">
        <v>31549</v>
      </c>
      <c r="J9490" s="0" t="s">
        <v>31550</v>
      </c>
      <c r="K9490" s="0" t="s">
        <v>31551</v>
      </c>
      <c r="L9490" s="0" t="str">
        <f aca="false">HYPERLINK("https://www.ncbi.nlm.nih.gov/nuccore/CP000058.1?report=graph&amp;tracks=[key:gene_model_track,Options:GeneOnly]&amp;mk=2974644:2974663|offset_1|444444,2974722:2974741|offset_79|00cc00,2974749:2974768|offset_106|444444,2974788:2974807|offset_145|444444&amp;v=2974443:2975007&amp;c=444444", "offset 79")</f>
        <v>offset 79</v>
      </c>
    </row>
    <row r="9491" customFormat="false" ht="12.8" hidden="false" customHeight="false" outlineLevel="0" collapsed="false">
      <c r="A9491" s="0" t="s">
        <v>12</v>
      </c>
      <c r="B9491" s="0" t="n">
        <v>2974748</v>
      </c>
      <c r="C9491" s="0" t="n">
        <v>2974768</v>
      </c>
      <c r="D9491" s="0" t="s">
        <v>31545</v>
      </c>
      <c r="E9491" s="0" t="s">
        <v>75</v>
      </c>
      <c r="F9491" s="0" t="s">
        <v>15</v>
      </c>
      <c r="G9491" s="0" t="s">
        <v>16</v>
      </c>
      <c r="H9491" s="0" t="n">
        <v>106</v>
      </c>
      <c r="I9491" s="0" t="s">
        <v>31552</v>
      </c>
      <c r="J9491" s="0" t="s">
        <v>31553</v>
      </c>
      <c r="K9491" s="0" t="s">
        <v>31554</v>
      </c>
      <c r="L9491" s="0" t="str">
        <f aca="false">HYPERLINK("https://www.ncbi.nlm.nih.gov/nuccore/CP000058.1?report=graph&amp;tracks=[key:gene_model_track,Options:GeneOnly]&amp;mk=2974644:2974663|offset_1|444444,2974722:2974741|offset_79|444444,2974749:2974768|offset_106|00cc00,2974788:2974807|offset_145|444444&amp;v=2974443:2975007&amp;c=444444", "offset 106")</f>
        <v>offset 106</v>
      </c>
    </row>
    <row r="9492" customFormat="false" ht="12.8" hidden="false" customHeight="false" outlineLevel="0" collapsed="false">
      <c r="A9492" s="0" t="s">
        <v>12</v>
      </c>
      <c r="B9492" s="0" t="n">
        <v>2974787</v>
      </c>
      <c r="C9492" s="0" t="n">
        <v>2974807</v>
      </c>
      <c r="D9492" s="0" t="s">
        <v>31545</v>
      </c>
      <c r="E9492" s="0" t="s">
        <v>75</v>
      </c>
      <c r="F9492" s="0" t="s">
        <v>15</v>
      </c>
      <c r="G9492" s="0" t="s">
        <v>16</v>
      </c>
      <c r="H9492" s="0" t="n">
        <v>145</v>
      </c>
      <c r="I9492" s="0" t="s">
        <v>31555</v>
      </c>
      <c r="J9492" s="0" t="s">
        <v>31556</v>
      </c>
      <c r="K9492" s="0" t="s">
        <v>31557</v>
      </c>
      <c r="L9492" s="0" t="str">
        <f aca="false">HYPERLINK("https://www.ncbi.nlm.nih.gov/nuccore/CP000058.1?report=graph&amp;tracks=[key:gene_model_track,Options:GeneOnly]&amp;mk=2974644:2974663|offset_1|444444,2974722:2974741|offset_79|444444,2974749:2974768|offset_106|444444,2974788:2974807|offset_145|00cc00&amp;v=2974443:2975007&amp;c=444444", "offset 145")</f>
        <v>offset 145</v>
      </c>
    </row>
    <row r="9493" customFormat="false" ht="12.8" hidden="false" customHeight="false" outlineLevel="0" collapsed="false">
      <c r="A9493" s="0" t="s">
        <v>12</v>
      </c>
      <c r="B9493" s="0" t="n">
        <v>2974933</v>
      </c>
      <c r="C9493" s="0" t="n">
        <v>2974953</v>
      </c>
      <c r="D9493" s="0" t="s">
        <v>31558</v>
      </c>
      <c r="E9493" s="0" t="s">
        <v>75</v>
      </c>
      <c r="F9493" s="0" t="s">
        <v>15</v>
      </c>
      <c r="G9493" s="0" t="s">
        <v>20</v>
      </c>
      <c r="H9493" s="0" t="n">
        <v>11</v>
      </c>
      <c r="I9493" s="0" t="s">
        <v>31559</v>
      </c>
      <c r="J9493" s="0" t="s">
        <v>31560</v>
      </c>
      <c r="K9493" s="0" t="s">
        <v>31561</v>
      </c>
      <c r="L9493" s="0" t="str">
        <f aca="false">HYPERLINK("https://www.ncbi.nlm.nih.gov/nuccore/CP000058.1?report=graph&amp;tracks=[key:gene_model_track,Options:GeneOnly]&amp;mk=2974934:2974953|offset_11|00cc00,2974956:2974975|offset_33|444444,2975018:2975037|offset_95|444444,2975041:2975060|offset_118|444444&amp;v=2974733:2975260&amp;c=444444", "offset 11")</f>
        <v>offset 11</v>
      </c>
    </row>
    <row r="9494" customFormat="false" ht="12.8" hidden="false" customHeight="false" outlineLevel="0" collapsed="false">
      <c r="A9494" s="0" t="s">
        <v>12</v>
      </c>
      <c r="B9494" s="0" t="n">
        <v>2974955</v>
      </c>
      <c r="C9494" s="0" t="n">
        <v>2974975</v>
      </c>
      <c r="D9494" s="0" t="s">
        <v>31558</v>
      </c>
      <c r="E9494" s="0" t="s">
        <v>75</v>
      </c>
      <c r="F9494" s="0" t="s">
        <v>15</v>
      </c>
      <c r="G9494" s="0" t="s">
        <v>16</v>
      </c>
      <c r="H9494" s="0" t="n">
        <v>33</v>
      </c>
      <c r="I9494" s="0" t="s">
        <v>31562</v>
      </c>
      <c r="J9494" s="0" t="s">
        <v>31563</v>
      </c>
      <c r="K9494" s="0" t="s">
        <v>31564</v>
      </c>
      <c r="L9494" s="0" t="str">
        <f aca="false">HYPERLINK("https://www.ncbi.nlm.nih.gov/nuccore/CP000058.1?report=graph&amp;tracks=[key:gene_model_track,Options:GeneOnly]&amp;mk=2974934:2974953|offset_11|444444,2974956:2974975|offset_33|00cc00,2975018:2975037|offset_95|444444,2975041:2975060|offset_118|444444&amp;v=2974733:2975260&amp;c=444444", "offset 33")</f>
        <v>offset 33</v>
      </c>
    </row>
    <row r="9495" customFormat="false" ht="12.8" hidden="false" customHeight="false" outlineLevel="0" collapsed="false">
      <c r="A9495" s="0" t="s">
        <v>12</v>
      </c>
      <c r="B9495" s="0" t="n">
        <v>2975017</v>
      </c>
      <c r="C9495" s="0" t="n">
        <v>2975037</v>
      </c>
      <c r="D9495" s="0" t="s">
        <v>31558</v>
      </c>
      <c r="E9495" s="0" t="s">
        <v>75</v>
      </c>
      <c r="F9495" s="0" t="s">
        <v>15</v>
      </c>
      <c r="G9495" s="0" t="s">
        <v>20</v>
      </c>
      <c r="H9495" s="0" t="n">
        <v>95</v>
      </c>
      <c r="I9495" s="0" t="s">
        <v>31565</v>
      </c>
      <c r="J9495" s="0" t="s">
        <v>31566</v>
      </c>
      <c r="K9495" s="0" t="s">
        <v>31567</v>
      </c>
      <c r="L9495" s="0" t="str">
        <f aca="false">HYPERLINK("https://www.ncbi.nlm.nih.gov/nuccore/CP000058.1?report=graph&amp;tracks=[key:gene_model_track,Options:GeneOnly]&amp;mk=2974934:2974953|offset_11|444444,2974956:2974975|offset_33|444444,2975018:2975037|offset_95|00cc00,2975041:2975060|offset_118|444444&amp;v=2974733:2975260&amp;c=444444", "offset 95")</f>
        <v>offset 95</v>
      </c>
    </row>
    <row r="9496" customFormat="false" ht="12.8" hidden="false" customHeight="false" outlineLevel="0" collapsed="false">
      <c r="A9496" s="0" t="s">
        <v>12</v>
      </c>
      <c r="B9496" s="0" t="n">
        <v>2975040</v>
      </c>
      <c r="C9496" s="0" t="n">
        <v>2975060</v>
      </c>
      <c r="D9496" s="0" t="s">
        <v>31558</v>
      </c>
      <c r="E9496" s="0" t="s">
        <v>75</v>
      </c>
      <c r="F9496" s="0" t="s">
        <v>15</v>
      </c>
      <c r="G9496" s="0" t="s">
        <v>32</v>
      </c>
      <c r="H9496" s="0" t="n">
        <v>118</v>
      </c>
      <c r="I9496" s="0" t="s">
        <v>31568</v>
      </c>
      <c r="J9496" s="0" t="s">
        <v>31569</v>
      </c>
      <c r="K9496" s="0" t="s">
        <v>31570</v>
      </c>
      <c r="L9496" s="0" t="str">
        <f aca="false">HYPERLINK("https://www.ncbi.nlm.nih.gov/nuccore/CP000058.1?report=graph&amp;tracks=[key:gene_model_track,Options:GeneOnly]&amp;mk=2974934:2974953|offset_11|444444,2974956:2974975|offset_33|444444,2975018:2975037|offset_95|444444,2975041:2975060|offset_118|00cc00&amp;v=2974733:2975260&amp;c=444444", "offset 118")</f>
        <v>offset 118</v>
      </c>
    </row>
    <row r="9497" customFormat="false" ht="12.8" hidden="false" customHeight="false" outlineLevel="0" collapsed="false">
      <c r="A9497" s="0" t="s">
        <v>12</v>
      </c>
      <c r="B9497" s="0" t="n">
        <v>2975933</v>
      </c>
      <c r="C9497" s="0" t="n">
        <v>2975953</v>
      </c>
      <c r="D9497" s="0" t="s">
        <v>31571</v>
      </c>
      <c r="E9497" s="0" t="s">
        <v>75</v>
      </c>
      <c r="F9497" s="0" t="s">
        <v>90</v>
      </c>
      <c r="G9497" s="0" t="s">
        <v>20</v>
      </c>
      <c r="H9497" s="0" t="n">
        <v>8</v>
      </c>
      <c r="I9497" s="0" t="s">
        <v>31572</v>
      </c>
      <c r="J9497" s="0" t="s">
        <v>31573</v>
      </c>
      <c r="K9497" s="0" t="s">
        <v>31574</v>
      </c>
      <c r="L9497" s="0" t="str">
        <f aca="false">HYPERLINK("https://www.ncbi.nlm.nih.gov/nuccore/CP000058.1?report=graph&amp;tracks=[key:gene_model_track,Options:GeneOnly]&amp;mk=2975934:2975953|offset_8|00cc00,2975887:2975906|offset_55|444444,2975854:2975873|offset_88|444444,2975819:2975838|offset_123|444444&amp;v=2975733:2976038&amp;c=444444", "offset 8")</f>
        <v>offset 8</v>
      </c>
    </row>
    <row r="9498" customFormat="false" ht="12.8" hidden="false" customHeight="false" outlineLevel="0" collapsed="false">
      <c r="A9498" s="0" t="s">
        <v>12</v>
      </c>
      <c r="B9498" s="0" t="n">
        <v>2975886</v>
      </c>
      <c r="C9498" s="0" t="n">
        <v>2975906</v>
      </c>
      <c r="D9498" s="0" t="s">
        <v>31571</v>
      </c>
      <c r="E9498" s="0" t="s">
        <v>75</v>
      </c>
      <c r="F9498" s="0" t="s">
        <v>90</v>
      </c>
      <c r="G9498" s="0" t="s">
        <v>32</v>
      </c>
      <c r="H9498" s="0" t="n">
        <v>55</v>
      </c>
      <c r="I9498" s="0" t="s">
        <v>31575</v>
      </c>
      <c r="J9498" s="0" t="s">
        <v>31576</v>
      </c>
      <c r="K9498" s="0" t="s">
        <v>31577</v>
      </c>
      <c r="L9498" s="0" t="str">
        <f aca="false">HYPERLINK("https://www.ncbi.nlm.nih.gov/nuccore/CP000058.1?report=graph&amp;tracks=[key:gene_model_track,Options:GeneOnly]&amp;mk=2975934:2975953|offset_8|444444,2975887:2975906|offset_55|00cc00,2975854:2975873|offset_88|444444,2975819:2975838|offset_123|444444&amp;v=2975733:2976038&amp;c=444444", "offset 55")</f>
        <v>offset 55</v>
      </c>
    </row>
    <row r="9499" customFormat="false" ht="12.8" hidden="false" customHeight="false" outlineLevel="0" collapsed="false">
      <c r="A9499" s="0" t="s">
        <v>12</v>
      </c>
      <c r="B9499" s="0" t="n">
        <v>2975853</v>
      </c>
      <c r="C9499" s="0" t="n">
        <v>2975873</v>
      </c>
      <c r="D9499" s="0" t="s">
        <v>31571</v>
      </c>
      <c r="E9499" s="0" t="s">
        <v>75</v>
      </c>
      <c r="F9499" s="0" t="s">
        <v>90</v>
      </c>
      <c r="G9499" s="0" t="s">
        <v>36</v>
      </c>
      <c r="H9499" s="0" t="n">
        <v>88</v>
      </c>
      <c r="I9499" s="0" t="s">
        <v>31578</v>
      </c>
      <c r="J9499" s="0" t="s">
        <v>31579</v>
      </c>
      <c r="K9499" s="0" t="s">
        <v>31580</v>
      </c>
      <c r="L9499" s="0" t="str">
        <f aca="false">HYPERLINK("https://www.ncbi.nlm.nih.gov/nuccore/CP000058.1?report=graph&amp;tracks=[key:gene_model_track,Options:GeneOnly]&amp;mk=2975934:2975953|offset_8|444444,2975887:2975906|offset_55|444444,2975854:2975873|offset_88|00cc00,2975819:2975838|offset_123|444444&amp;v=2975733:2976038&amp;c=444444", "offset 88")</f>
        <v>offset 88</v>
      </c>
    </row>
    <row r="9500" customFormat="false" ht="12.8" hidden="false" customHeight="false" outlineLevel="0" collapsed="false">
      <c r="A9500" s="0" t="s">
        <v>12</v>
      </c>
      <c r="B9500" s="0" t="n">
        <v>2975818</v>
      </c>
      <c r="C9500" s="0" t="n">
        <v>2975838</v>
      </c>
      <c r="D9500" s="0" t="s">
        <v>31571</v>
      </c>
      <c r="E9500" s="0" t="s">
        <v>75</v>
      </c>
      <c r="F9500" s="0" t="s">
        <v>90</v>
      </c>
      <c r="G9500" s="0" t="s">
        <v>20</v>
      </c>
      <c r="H9500" s="0" t="n">
        <v>123</v>
      </c>
      <c r="I9500" s="0" t="s">
        <v>31581</v>
      </c>
      <c r="J9500" s="0" t="s">
        <v>31582</v>
      </c>
      <c r="K9500" s="0" t="s">
        <v>31583</v>
      </c>
      <c r="L9500" s="0" t="str">
        <f aca="false">HYPERLINK("https://www.ncbi.nlm.nih.gov/nuccore/CP000058.1?report=graph&amp;tracks=[key:gene_model_track,Options:GeneOnly]&amp;mk=2975934:2975953|offset_8|444444,2975887:2975906|offset_55|444444,2975854:2975873|offset_88|444444,2975819:2975838|offset_123|00cc00&amp;v=2975733:2976038&amp;c=444444", "offset 123")</f>
        <v>offset 123</v>
      </c>
    </row>
    <row r="9501" customFormat="false" ht="12.8" hidden="false" customHeight="false" outlineLevel="0" collapsed="false">
      <c r="A9501" s="0" t="s">
        <v>12</v>
      </c>
      <c r="B9501" s="0" t="n">
        <v>2976096</v>
      </c>
      <c r="C9501" s="0" t="n">
        <v>2976116</v>
      </c>
      <c r="D9501" s="0" t="s">
        <v>31584</v>
      </c>
      <c r="E9501" s="0" t="s">
        <v>75</v>
      </c>
      <c r="F9501" s="0" t="s">
        <v>15</v>
      </c>
      <c r="G9501" s="0" t="s">
        <v>20</v>
      </c>
      <c r="H9501" s="0" t="n">
        <v>6</v>
      </c>
      <c r="I9501" s="0" t="s">
        <v>31585</v>
      </c>
      <c r="J9501" s="0" t="s">
        <v>31586</v>
      </c>
      <c r="K9501" s="0" t="s">
        <v>31587</v>
      </c>
      <c r="L9501" s="0" t="str">
        <f aca="false">HYPERLINK("https://www.ncbi.nlm.nih.gov/nuccore/CP000058.1?report=graph&amp;tracks=[key:gene_model_track,Options:GeneOnly]&amp;mk=2976097:2976116|offset_6|00cc00,2976117:2976136|offset_26|444444,2976138:2976157|offset_47|444444,2976158:2976177|offset_67|444444&amp;v=2975896:2976377&amp;c=444444", "offset 6")</f>
        <v>offset 6</v>
      </c>
    </row>
    <row r="9502" customFormat="false" ht="12.8" hidden="false" customHeight="false" outlineLevel="0" collapsed="false">
      <c r="A9502" s="0" t="s">
        <v>12</v>
      </c>
      <c r="B9502" s="0" t="n">
        <v>2976116</v>
      </c>
      <c r="C9502" s="0" t="n">
        <v>2976136</v>
      </c>
      <c r="D9502" s="0" t="s">
        <v>31584</v>
      </c>
      <c r="E9502" s="0" t="s">
        <v>75</v>
      </c>
      <c r="F9502" s="0" t="s">
        <v>15</v>
      </c>
      <c r="G9502" s="0" t="s">
        <v>32</v>
      </c>
      <c r="H9502" s="0" t="n">
        <v>26</v>
      </c>
      <c r="I9502" s="0" t="s">
        <v>31588</v>
      </c>
      <c r="J9502" s="0" t="s">
        <v>31589</v>
      </c>
      <c r="K9502" s="0" t="s">
        <v>31590</v>
      </c>
      <c r="L9502" s="0" t="str">
        <f aca="false">HYPERLINK("https://www.ncbi.nlm.nih.gov/nuccore/CP000058.1?report=graph&amp;tracks=[key:gene_model_track,Options:GeneOnly]&amp;mk=2976097:2976116|offset_6|444444,2976117:2976136|offset_26|00cc00,2976138:2976157|offset_47|444444,2976158:2976177|offset_67|444444&amp;v=2975896:2976377&amp;c=444444", "offset 26")</f>
        <v>offset 26</v>
      </c>
    </row>
    <row r="9503" customFormat="false" ht="12.8" hidden="false" customHeight="false" outlineLevel="0" collapsed="false">
      <c r="A9503" s="0" t="s">
        <v>12</v>
      </c>
      <c r="B9503" s="0" t="n">
        <v>2976137</v>
      </c>
      <c r="C9503" s="0" t="n">
        <v>2976157</v>
      </c>
      <c r="D9503" s="0" t="s">
        <v>31584</v>
      </c>
      <c r="E9503" s="0" t="s">
        <v>75</v>
      </c>
      <c r="F9503" s="0" t="s">
        <v>15</v>
      </c>
      <c r="G9503" s="0" t="s">
        <v>32</v>
      </c>
      <c r="H9503" s="0" t="n">
        <v>47</v>
      </c>
      <c r="I9503" s="0" t="s">
        <v>31591</v>
      </c>
      <c r="J9503" s="0" t="s">
        <v>31592</v>
      </c>
      <c r="K9503" s="0" t="s">
        <v>31593</v>
      </c>
      <c r="L9503" s="0" t="str">
        <f aca="false">HYPERLINK("https://www.ncbi.nlm.nih.gov/nuccore/CP000058.1?report=graph&amp;tracks=[key:gene_model_track,Options:GeneOnly]&amp;mk=2976097:2976116|offset_6|444444,2976117:2976136|offset_26|444444,2976138:2976157|offset_47|00cc00,2976158:2976177|offset_67|444444&amp;v=2975896:2976377&amp;c=444444", "offset 47")</f>
        <v>offset 47</v>
      </c>
    </row>
    <row r="9504" customFormat="false" ht="12.8" hidden="false" customHeight="false" outlineLevel="0" collapsed="false">
      <c r="A9504" s="0" t="s">
        <v>12</v>
      </c>
      <c r="B9504" s="0" t="n">
        <v>2976157</v>
      </c>
      <c r="C9504" s="0" t="n">
        <v>2976177</v>
      </c>
      <c r="D9504" s="0" t="s">
        <v>31584</v>
      </c>
      <c r="E9504" s="0" t="s">
        <v>75</v>
      </c>
      <c r="F9504" s="0" t="s">
        <v>15</v>
      </c>
      <c r="G9504" s="0" t="s">
        <v>36</v>
      </c>
      <c r="H9504" s="0" t="n">
        <v>67</v>
      </c>
      <c r="I9504" s="0" t="s">
        <v>31594</v>
      </c>
      <c r="J9504" s="0" t="s">
        <v>31595</v>
      </c>
      <c r="K9504" s="0" t="s">
        <v>31596</v>
      </c>
      <c r="L9504" s="0" t="str">
        <f aca="false">HYPERLINK("https://www.ncbi.nlm.nih.gov/nuccore/CP000058.1?report=graph&amp;tracks=[key:gene_model_track,Options:GeneOnly]&amp;mk=2976097:2976116|offset_6|444444,2976117:2976136|offset_26|444444,2976138:2976157|offset_47|444444,2976158:2976177|offset_67|00cc00&amp;v=2975896:2976377&amp;c=444444", "offset 67")</f>
        <v>offset 67</v>
      </c>
    </row>
    <row r="9505" customFormat="false" ht="12.8" hidden="false" customHeight="false" outlineLevel="0" collapsed="false">
      <c r="A9505" s="0" t="s">
        <v>12</v>
      </c>
      <c r="B9505" s="0" t="n">
        <v>2978184</v>
      </c>
      <c r="C9505" s="0" t="n">
        <v>2978204</v>
      </c>
      <c r="D9505" s="0" t="s">
        <v>31597</v>
      </c>
      <c r="E9505" s="0" t="s">
        <v>75</v>
      </c>
      <c r="F9505" s="0" t="s">
        <v>90</v>
      </c>
      <c r="G9505" s="0" t="s">
        <v>36</v>
      </c>
      <c r="H9505" s="0" t="n">
        <v>15</v>
      </c>
      <c r="I9505" s="0" t="s">
        <v>31598</v>
      </c>
      <c r="J9505" s="0" t="s">
        <v>31599</v>
      </c>
      <c r="K9505" s="0" t="s">
        <v>31600</v>
      </c>
      <c r="L9505" s="0" t="str">
        <f aca="false">HYPERLINK("https://www.ncbi.nlm.nih.gov/nuccore/CP000058.1?report=graph&amp;tracks=[key:gene_model_track,Options:GeneOnly]&amp;mk=2978185:2978204|offset_15|00cc00,2978163:2978182|offset_37|444444,2978143:2978162|offset_57|444444,2978075:2978094|offset_125|444444&amp;v=2977984:2978294&amp;c=444444", "offset 15")</f>
        <v>offset 15</v>
      </c>
    </row>
    <row r="9506" customFormat="false" ht="12.8" hidden="false" customHeight="false" outlineLevel="0" collapsed="false">
      <c r="A9506" s="0" t="s">
        <v>12</v>
      </c>
      <c r="B9506" s="0" t="n">
        <v>2978162</v>
      </c>
      <c r="C9506" s="0" t="n">
        <v>2978182</v>
      </c>
      <c r="D9506" s="0" t="s">
        <v>31597</v>
      </c>
      <c r="E9506" s="0" t="s">
        <v>75</v>
      </c>
      <c r="F9506" s="0" t="s">
        <v>90</v>
      </c>
      <c r="G9506" s="0" t="s">
        <v>16</v>
      </c>
      <c r="H9506" s="0" t="n">
        <v>37</v>
      </c>
      <c r="I9506" s="0" t="s">
        <v>31601</v>
      </c>
      <c r="J9506" s="0" t="s">
        <v>31602</v>
      </c>
      <c r="K9506" s="0" t="s">
        <v>31603</v>
      </c>
      <c r="L9506" s="0" t="str">
        <f aca="false">HYPERLINK("https://www.ncbi.nlm.nih.gov/nuccore/CP000058.1?report=graph&amp;tracks=[key:gene_model_track,Options:GeneOnly]&amp;mk=2978185:2978204|offset_15|444444,2978163:2978182|offset_37|00cc00,2978143:2978162|offset_57|444444,2978075:2978094|offset_125|444444&amp;v=2977984:2978294&amp;c=444444", "offset 37")</f>
        <v>offset 37</v>
      </c>
    </row>
    <row r="9507" customFormat="false" ht="12.8" hidden="false" customHeight="false" outlineLevel="0" collapsed="false">
      <c r="A9507" s="0" t="s">
        <v>12</v>
      </c>
      <c r="B9507" s="0" t="n">
        <v>2978142</v>
      </c>
      <c r="C9507" s="0" t="n">
        <v>2978162</v>
      </c>
      <c r="D9507" s="0" t="s">
        <v>31597</v>
      </c>
      <c r="E9507" s="0" t="s">
        <v>75</v>
      </c>
      <c r="F9507" s="0" t="s">
        <v>90</v>
      </c>
      <c r="G9507" s="0" t="s">
        <v>16</v>
      </c>
      <c r="H9507" s="0" t="n">
        <v>57</v>
      </c>
      <c r="I9507" s="0" t="s">
        <v>31604</v>
      </c>
      <c r="J9507" s="0" t="s">
        <v>31605</v>
      </c>
      <c r="K9507" s="0" t="s">
        <v>31606</v>
      </c>
      <c r="L9507" s="0" t="str">
        <f aca="false">HYPERLINK("https://www.ncbi.nlm.nih.gov/nuccore/CP000058.1?report=graph&amp;tracks=[key:gene_model_track,Options:GeneOnly]&amp;mk=2978185:2978204|offset_15|444444,2978163:2978182|offset_37|444444,2978143:2978162|offset_57|00cc00,2978075:2978094|offset_125|444444&amp;v=2977984:2978294&amp;c=444444", "offset 57")</f>
        <v>offset 57</v>
      </c>
    </row>
    <row r="9508" customFormat="false" ht="12.8" hidden="false" customHeight="false" outlineLevel="0" collapsed="false">
      <c r="A9508" s="0" t="s">
        <v>12</v>
      </c>
      <c r="B9508" s="0" t="n">
        <v>2978074</v>
      </c>
      <c r="C9508" s="0" t="n">
        <v>2978094</v>
      </c>
      <c r="D9508" s="0" t="s">
        <v>31597</v>
      </c>
      <c r="E9508" s="0" t="s">
        <v>75</v>
      </c>
      <c r="F9508" s="0" t="s">
        <v>90</v>
      </c>
      <c r="G9508" s="0" t="s">
        <v>20</v>
      </c>
      <c r="H9508" s="0" t="n">
        <v>125</v>
      </c>
      <c r="I9508" s="0" t="s">
        <v>31607</v>
      </c>
      <c r="J9508" s="0" t="s">
        <v>31608</v>
      </c>
      <c r="K9508" s="0" t="s">
        <v>31609</v>
      </c>
      <c r="L9508" s="0" t="str">
        <f aca="false">HYPERLINK("https://www.ncbi.nlm.nih.gov/nuccore/CP000058.1?report=graph&amp;tracks=[key:gene_model_track,Options:GeneOnly]&amp;mk=2978185:2978204|offset_15|444444,2978163:2978182|offset_37|444444,2978143:2978162|offset_57|444444,2978075:2978094|offset_125|00cc00&amp;v=2977984:2978294&amp;c=444444", "offset 125")</f>
        <v>offset 125</v>
      </c>
    </row>
    <row r="9509" customFormat="false" ht="12.8" hidden="false" customHeight="false" outlineLevel="0" collapsed="false">
      <c r="A9509" s="0" t="s">
        <v>12</v>
      </c>
      <c r="B9509" s="0" t="n">
        <v>2979656</v>
      </c>
      <c r="C9509" s="0" t="n">
        <v>2979676</v>
      </c>
      <c r="D9509" s="0" t="s">
        <v>31610</v>
      </c>
      <c r="E9509" s="0" t="s">
        <v>75</v>
      </c>
      <c r="F9509" s="0" t="s">
        <v>90</v>
      </c>
      <c r="G9509" s="0" t="s">
        <v>20</v>
      </c>
      <c r="H9509" s="0" t="n">
        <v>0</v>
      </c>
      <c r="I9509" s="0" t="s">
        <v>31611</v>
      </c>
      <c r="J9509" s="0" t="s">
        <v>31612</v>
      </c>
      <c r="K9509" s="0" t="s">
        <v>31613</v>
      </c>
      <c r="L9509" s="0" t="str">
        <f aca="false">HYPERLINK("https://www.ncbi.nlm.nih.gov/nuccore/CP000058.1?report=graph&amp;tracks=[key:gene_model_track,Options:GeneOnly]&amp;mk=2979657:2979676|offset_0|00cc00,2979566:2979585|offset_91|444444,2979537:2979556|offset_120|444444,2979511:2979530|offset_146|444444&amp;v=2979456:2979730&amp;c=444444", "offset 0")</f>
        <v>offset 0</v>
      </c>
    </row>
    <row r="9510" customFormat="false" ht="12.8" hidden="false" customHeight="false" outlineLevel="0" collapsed="false">
      <c r="A9510" s="0" t="s">
        <v>12</v>
      </c>
      <c r="B9510" s="0" t="n">
        <v>2979565</v>
      </c>
      <c r="C9510" s="0" t="n">
        <v>2979585</v>
      </c>
      <c r="D9510" s="0" t="s">
        <v>31610</v>
      </c>
      <c r="E9510" s="0" t="s">
        <v>75</v>
      </c>
      <c r="F9510" s="0" t="s">
        <v>90</v>
      </c>
      <c r="G9510" s="0" t="s">
        <v>16</v>
      </c>
      <c r="H9510" s="0" t="n">
        <v>91</v>
      </c>
      <c r="I9510" s="0" t="s">
        <v>31614</v>
      </c>
      <c r="J9510" s="0" t="s">
        <v>31615</v>
      </c>
      <c r="K9510" s="0" t="s">
        <v>31616</v>
      </c>
      <c r="L9510" s="0" t="str">
        <f aca="false">HYPERLINK("https://www.ncbi.nlm.nih.gov/nuccore/CP000058.1?report=graph&amp;tracks=[key:gene_model_track,Options:GeneOnly]&amp;mk=2979657:2979676|offset_0|444444,2979566:2979585|offset_91|00cc00,2979537:2979556|offset_120|444444,2979511:2979530|offset_146|444444&amp;v=2979456:2979730&amp;c=444444", "offset 91")</f>
        <v>offset 91</v>
      </c>
    </row>
    <row r="9511" customFormat="false" ht="12.8" hidden="false" customHeight="false" outlineLevel="0" collapsed="false">
      <c r="A9511" s="0" t="s">
        <v>12</v>
      </c>
      <c r="B9511" s="0" t="n">
        <v>2979536</v>
      </c>
      <c r="C9511" s="0" t="n">
        <v>2979556</v>
      </c>
      <c r="D9511" s="0" t="s">
        <v>31610</v>
      </c>
      <c r="E9511" s="0" t="s">
        <v>75</v>
      </c>
      <c r="F9511" s="0" t="s">
        <v>90</v>
      </c>
      <c r="G9511" s="0" t="s">
        <v>36</v>
      </c>
      <c r="H9511" s="0" t="n">
        <v>120</v>
      </c>
      <c r="I9511" s="0" t="s">
        <v>31617</v>
      </c>
      <c r="J9511" s="0" t="s">
        <v>31618</v>
      </c>
      <c r="K9511" s="0" t="s">
        <v>31619</v>
      </c>
      <c r="L9511" s="0" t="str">
        <f aca="false">HYPERLINK("https://www.ncbi.nlm.nih.gov/nuccore/CP000058.1?report=graph&amp;tracks=[key:gene_model_track,Options:GeneOnly]&amp;mk=2979657:2979676|offset_0|444444,2979566:2979585|offset_91|444444,2979537:2979556|offset_120|00cc00,2979511:2979530|offset_146|444444&amp;v=2979456:2979730&amp;c=444444", "offset 120")</f>
        <v>offset 120</v>
      </c>
    </row>
    <row r="9512" customFormat="false" ht="12.8" hidden="false" customHeight="false" outlineLevel="0" collapsed="false">
      <c r="A9512" s="0" t="s">
        <v>12</v>
      </c>
      <c r="B9512" s="0" t="n">
        <v>2979510</v>
      </c>
      <c r="C9512" s="0" t="n">
        <v>2979530</v>
      </c>
      <c r="D9512" s="0" t="s">
        <v>31610</v>
      </c>
      <c r="E9512" s="0" t="s">
        <v>75</v>
      </c>
      <c r="F9512" s="0" t="s">
        <v>90</v>
      </c>
      <c r="G9512" s="0" t="s">
        <v>20</v>
      </c>
      <c r="H9512" s="0" t="n">
        <v>146</v>
      </c>
      <c r="I9512" s="0" t="s">
        <v>31620</v>
      </c>
      <c r="J9512" s="0" t="s">
        <v>31621</v>
      </c>
      <c r="K9512" s="0" t="s">
        <v>31622</v>
      </c>
      <c r="L9512" s="0" t="str">
        <f aca="false">HYPERLINK("https://www.ncbi.nlm.nih.gov/nuccore/CP000058.1?report=graph&amp;tracks=[key:gene_model_track,Options:GeneOnly]&amp;mk=2979657:2979676|offset_0|444444,2979566:2979585|offset_91|444444,2979537:2979556|offset_120|444444,2979511:2979530|offset_146|00cc00&amp;v=2979456:2979730&amp;c=444444", "offset 146")</f>
        <v>offset 146</v>
      </c>
    </row>
    <row r="9513" customFormat="false" ht="12.8" hidden="false" customHeight="false" outlineLevel="0" collapsed="false">
      <c r="A9513" s="0" t="s">
        <v>12</v>
      </c>
      <c r="B9513" s="0" t="n">
        <v>2980105</v>
      </c>
      <c r="C9513" s="0" t="n">
        <v>2980125</v>
      </c>
      <c r="D9513" s="0" t="s">
        <v>31623</v>
      </c>
      <c r="E9513" s="0" t="s">
        <v>75</v>
      </c>
      <c r="F9513" s="0" t="s">
        <v>90</v>
      </c>
      <c r="G9513" s="0" t="s">
        <v>32</v>
      </c>
      <c r="H9513" s="0" t="n">
        <v>41</v>
      </c>
      <c r="I9513" s="0" t="s">
        <v>31624</v>
      </c>
      <c r="J9513" s="0" t="s">
        <v>31625</v>
      </c>
      <c r="K9513" s="0" t="s">
        <v>31626</v>
      </c>
      <c r="L9513" s="0" t="str">
        <f aca="false">HYPERLINK("https://www.ncbi.nlm.nih.gov/nuccore/CP000058.1?report=graph&amp;tracks=[key:gene_model_track,Options:GeneOnly]&amp;mk=2980106:2980125|offset_41|00cc00,2980084:2980103|offset_63|444444,2980063:2980082|offset_84|444444,2980033:2980052|offset_114|444444&amp;v=2979905:2980252&amp;c=444444", "offset 41")</f>
        <v>offset 41</v>
      </c>
    </row>
    <row r="9514" customFormat="false" ht="12.8" hidden="false" customHeight="false" outlineLevel="0" collapsed="false">
      <c r="A9514" s="0" t="s">
        <v>12</v>
      </c>
      <c r="B9514" s="0" t="n">
        <v>2980083</v>
      </c>
      <c r="C9514" s="0" t="n">
        <v>2980103</v>
      </c>
      <c r="D9514" s="0" t="s">
        <v>31623</v>
      </c>
      <c r="E9514" s="0" t="s">
        <v>75</v>
      </c>
      <c r="F9514" s="0" t="s">
        <v>90</v>
      </c>
      <c r="G9514" s="0" t="s">
        <v>32</v>
      </c>
      <c r="H9514" s="0" t="n">
        <v>63</v>
      </c>
      <c r="I9514" s="0" t="s">
        <v>31627</v>
      </c>
      <c r="J9514" s="0" t="s">
        <v>31628</v>
      </c>
      <c r="K9514" s="0" t="s">
        <v>31629</v>
      </c>
      <c r="L9514" s="0" t="str">
        <f aca="false">HYPERLINK("https://www.ncbi.nlm.nih.gov/nuccore/CP000058.1?report=graph&amp;tracks=[key:gene_model_track,Options:GeneOnly]&amp;mk=2980106:2980125|offset_41|444444,2980084:2980103|offset_63|00cc00,2980063:2980082|offset_84|444444,2980033:2980052|offset_114|444444&amp;v=2979905:2980252&amp;c=444444", "offset 63")</f>
        <v>offset 63</v>
      </c>
    </row>
    <row r="9515" customFormat="false" ht="12.8" hidden="false" customHeight="false" outlineLevel="0" collapsed="false">
      <c r="A9515" s="0" t="s">
        <v>12</v>
      </c>
      <c r="B9515" s="0" t="n">
        <v>2980062</v>
      </c>
      <c r="C9515" s="0" t="n">
        <v>2980082</v>
      </c>
      <c r="D9515" s="0" t="s">
        <v>31623</v>
      </c>
      <c r="E9515" s="0" t="s">
        <v>75</v>
      </c>
      <c r="F9515" s="0" t="s">
        <v>90</v>
      </c>
      <c r="G9515" s="0" t="s">
        <v>20</v>
      </c>
      <c r="H9515" s="0" t="n">
        <v>84</v>
      </c>
      <c r="I9515" s="0" t="s">
        <v>31630</v>
      </c>
      <c r="J9515" s="0" t="s">
        <v>31631</v>
      </c>
      <c r="K9515" s="0" t="s">
        <v>31632</v>
      </c>
      <c r="L9515" s="0" t="str">
        <f aca="false">HYPERLINK("https://www.ncbi.nlm.nih.gov/nuccore/CP000058.1?report=graph&amp;tracks=[key:gene_model_track,Options:GeneOnly]&amp;mk=2980106:2980125|offset_41|444444,2980084:2980103|offset_63|444444,2980063:2980082|offset_84|00cc00,2980033:2980052|offset_114|444444&amp;v=2979905:2980252&amp;c=444444", "offset 84")</f>
        <v>offset 84</v>
      </c>
    </row>
    <row r="9516" customFormat="false" ht="12.8" hidden="false" customHeight="false" outlineLevel="0" collapsed="false">
      <c r="A9516" s="0" t="s">
        <v>12</v>
      </c>
      <c r="B9516" s="0" t="n">
        <v>2980032</v>
      </c>
      <c r="C9516" s="0" t="n">
        <v>2980052</v>
      </c>
      <c r="D9516" s="0" t="s">
        <v>31623</v>
      </c>
      <c r="E9516" s="0" t="s">
        <v>75</v>
      </c>
      <c r="F9516" s="0" t="s">
        <v>90</v>
      </c>
      <c r="G9516" s="0" t="s">
        <v>20</v>
      </c>
      <c r="H9516" s="0" t="n">
        <v>114</v>
      </c>
      <c r="I9516" s="0" t="s">
        <v>31633</v>
      </c>
      <c r="J9516" s="0" t="s">
        <v>31634</v>
      </c>
      <c r="K9516" s="0" t="s">
        <v>31635</v>
      </c>
      <c r="L9516" s="0" t="str">
        <f aca="false">HYPERLINK("https://www.ncbi.nlm.nih.gov/nuccore/CP000058.1?report=graph&amp;tracks=[key:gene_model_track,Options:GeneOnly]&amp;mk=2980106:2980125|offset_41|444444,2980084:2980103|offset_63|444444,2980063:2980082|offset_84|444444,2980033:2980052|offset_114|00cc00&amp;v=2979905:2980252&amp;c=444444", "offset 114")</f>
        <v>offset 114</v>
      </c>
    </row>
    <row r="9517" customFormat="false" ht="12.8" hidden="false" customHeight="false" outlineLevel="0" collapsed="false">
      <c r="A9517" s="0" t="s">
        <v>12</v>
      </c>
      <c r="B9517" s="0" t="n">
        <v>2981477</v>
      </c>
      <c r="C9517" s="0" t="n">
        <v>2981497</v>
      </c>
      <c r="D9517" s="0" t="s">
        <v>31636</v>
      </c>
      <c r="E9517" s="0" t="s">
        <v>75</v>
      </c>
      <c r="F9517" s="0" t="s">
        <v>90</v>
      </c>
      <c r="G9517" s="0" t="s">
        <v>16</v>
      </c>
      <c r="H9517" s="0" t="n">
        <v>54</v>
      </c>
      <c r="I9517" s="0" t="s">
        <v>31637</v>
      </c>
      <c r="J9517" s="0" t="s">
        <v>31638</v>
      </c>
      <c r="K9517" s="0" t="s">
        <v>31639</v>
      </c>
      <c r="L9517" s="0" t="str">
        <f aca="false">HYPERLINK("https://www.ncbi.nlm.nih.gov/nuccore/CP000058.1?report=graph&amp;tracks=[key:gene_model_track,Options:GeneOnly]&amp;mk=2981478:2981497|offset_54|00cc00,2981454:2981473|offset_78|444444,2981398:2981417|offset_134|444444,2981358:2981377|offset_174|444444&amp;v=2981277:2981577&amp;c=444444", "offset 54")</f>
        <v>offset 54</v>
      </c>
    </row>
    <row r="9518" customFormat="false" ht="12.8" hidden="false" customHeight="false" outlineLevel="0" collapsed="false">
      <c r="A9518" s="0" t="s">
        <v>12</v>
      </c>
      <c r="B9518" s="0" t="n">
        <v>2981453</v>
      </c>
      <c r="C9518" s="0" t="n">
        <v>2981473</v>
      </c>
      <c r="D9518" s="0" t="s">
        <v>31636</v>
      </c>
      <c r="E9518" s="0" t="s">
        <v>75</v>
      </c>
      <c r="F9518" s="0" t="s">
        <v>90</v>
      </c>
      <c r="G9518" s="0" t="s">
        <v>36</v>
      </c>
      <c r="H9518" s="0" t="n">
        <v>78</v>
      </c>
      <c r="I9518" s="0" t="s">
        <v>31640</v>
      </c>
      <c r="J9518" s="0" t="s">
        <v>31641</v>
      </c>
      <c r="K9518" s="0" t="s">
        <v>31642</v>
      </c>
      <c r="L9518" s="0" t="str">
        <f aca="false">HYPERLINK("https://www.ncbi.nlm.nih.gov/nuccore/CP000058.1?report=graph&amp;tracks=[key:gene_model_track,Options:GeneOnly]&amp;mk=2981478:2981497|offset_54|444444,2981454:2981473|offset_78|00cc00,2981398:2981417|offset_134|444444,2981358:2981377|offset_174|444444&amp;v=2981277:2981577&amp;c=444444", "offset 78")</f>
        <v>offset 78</v>
      </c>
    </row>
    <row r="9519" customFormat="false" ht="12.8" hidden="false" customHeight="false" outlineLevel="0" collapsed="false">
      <c r="A9519" s="0" t="s">
        <v>12</v>
      </c>
      <c r="B9519" s="0" t="n">
        <v>2981397</v>
      </c>
      <c r="C9519" s="0" t="n">
        <v>2981417</v>
      </c>
      <c r="D9519" s="0" t="s">
        <v>31636</v>
      </c>
      <c r="E9519" s="0" t="s">
        <v>75</v>
      </c>
      <c r="F9519" s="0" t="s">
        <v>90</v>
      </c>
      <c r="G9519" s="0" t="s">
        <v>20</v>
      </c>
      <c r="H9519" s="0" t="n">
        <v>134</v>
      </c>
      <c r="I9519" s="0" t="s">
        <v>31643</v>
      </c>
      <c r="J9519" s="0" t="s">
        <v>31644</v>
      </c>
      <c r="K9519" s="0" t="s">
        <v>31645</v>
      </c>
      <c r="L9519" s="0" t="str">
        <f aca="false">HYPERLINK("https://www.ncbi.nlm.nih.gov/nuccore/CP000058.1?report=graph&amp;tracks=[key:gene_model_track,Options:GeneOnly]&amp;mk=2981478:2981497|offset_54|444444,2981454:2981473|offset_78|444444,2981398:2981417|offset_134|00cc00,2981358:2981377|offset_174|444444&amp;v=2981277:2981577&amp;c=444444", "offset 134")</f>
        <v>offset 134</v>
      </c>
    </row>
    <row r="9520" customFormat="false" ht="12.8" hidden="false" customHeight="false" outlineLevel="0" collapsed="false">
      <c r="A9520" s="0" t="s">
        <v>12</v>
      </c>
      <c r="B9520" s="0" t="n">
        <v>2981357</v>
      </c>
      <c r="C9520" s="0" t="n">
        <v>2981377</v>
      </c>
      <c r="D9520" s="0" t="s">
        <v>31636</v>
      </c>
      <c r="E9520" s="0" t="s">
        <v>75</v>
      </c>
      <c r="F9520" s="0" t="s">
        <v>90</v>
      </c>
      <c r="G9520" s="0" t="s">
        <v>20</v>
      </c>
      <c r="H9520" s="0" t="n">
        <v>174</v>
      </c>
      <c r="I9520" s="0" t="s">
        <v>31646</v>
      </c>
      <c r="J9520" s="0" t="s">
        <v>31647</v>
      </c>
      <c r="K9520" s="0" t="s">
        <v>31648</v>
      </c>
      <c r="L9520" s="0" t="str">
        <f aca="false">HYPERLINK("https://www.ncbi.nlm.nih.gov/nuccore/CP000058.1?report=graph&amp;tracks=[key:gene_model_track,Options:GeneOnly]&amp;mk=2981478:2981497|offset_54|444444,2981454:2981473|offset_78|444444,2981398:2981417|offset_134|444444,2981358:2981377|offset_174|00cc00&amp;v=2981277:2981577&amp;c=444444", "offset 174")</f>
        <v>offset 174</v>
      </c>
    </row>
    <row r="9521" customFormat="false" ht="12.8" hidden="false" customHeight="false" outlineLevel="0" collapsed="false">
      <c r="A9521" s="0" t="s">
        <v>12</v>
      </c>
      <c r="B9521" s="0" t="n">
        <v>2981819</v>
      </c>
      <c r="C9521" s="0" t="n">
        <v>2981839</v>
      </c>
      <c r="D9521" s="0" t="s">
        <v>31649</v>
      </c>
      <c r="E9521" s="0" t="s">
        <v>75</v>
      </c>
      <c r="F9521" s="0" t="s">
        <v>15</v>
      </c>
      <c r="G9521" s="0" t="s">
        <v>32</v>
      </c>
      <c r="H9521" s="0" t="n">
        <v>1</v>
      </c>
      <c r="I9521" s="0" t="s">
        <v>31650</v>
      </c>
      <c r="J9521" s="0" t="s">
        <v>31651</v>
      </c>
      <c r="K9521" s="0" t="s">
        <v>31652</v>
      </c>
      <c r="L9521" s="0" t="str">
        <f aca="false">HYPERLINK("https://www.ncbi.nlm.nih.gov/nuccore/CP000058.1?report=graph&amp;tracks=[key:gene_model_track,Options:GeneOnly]&amp;mk=2981820:2981839|offset_1|00cc00,2981841:2981860|offset_22|444444,2981873:2981892|offset_54|444444,2981896:2981915|offset_77|444444&amp;v=2981619:2982115&amp;c=444444", "offset 1")</f>
        <v>offset 1</v>
      </c>
    </row>
    <row r="9522" customFormat="false" ht="12.8" hidden="false" customHeight="false" outlineLevel="0" collapsed="false">
      <c r="A9522" s="0" t="s">
        <v>12</v>
      </c>
      <c r="B9522" s="0" t="n">
        <v>2981840</v>
      </c>
      <c r="C9522" s="0" t="n">
        <v>2981860</v>
      </c>
      <c r="D9522" s="0" t="s">
        <v>31649</v>
      </c>
      <c r="E9522" s="0" t="s">
        <v>75</v>
      </c>
      <c r="F9522" s="0" t="s">
        <v>15</v>
      </c>
      <c r="G9522" s="0" t="s">
        <v>32</v>
      </c>
      <c r="H9522" s="0" t="n">
        <v>22</v>
      </c>
      <c r="I9522" s="0" t="s">
        <v>31653</v>
      </c>
      <c r="J9522" s="0" t="s">
        <v>31654</v>
      </c>
      <c r="K9522" s="0" t="s">
        <v>31655</v>
      </c>
      <c r="L9522" s="0" t="str">
        <f aca="false">HYPERLINK("https://www.ncbi.nlm.nih.gov/nuccore/CP000058.1?report=graph&amp;tracks=[key:gene_model_track,Options:GeneOnly]&amp;mk=2981820:2981839|offset_1|444444,2981841:2981860|offset_22|00cc00,2981873:2981892|offset_54|444444,2981896:2981915|offset_77|444444&amp;v=2981619:2982115&amp;c=444444", "offset 22")</f>
        <v>offset 22</v>
      </c>
    </row>
    <row r="9523" customFormat="false" ht="12.8" hidden="false" customHeight="false" outlineLevel="0" collapsed="false">
      <c r="A9523" s="0" t="s">
        <v>12</v>
      </c>
      <c r="B9523" s="0" t="n">
        <v>2981872</v>
      </c>
      <c r="C9523" s="0" t="n">
        <v>2981892</v>
      </c>
      <c r="D9523" s="0" t="s">
        <v>31649</v>
      </c>
      <c r="E9523" s="0" t="s">
        <v>75</v>
      </c>
      <c r="F9523" s="0" t="s">
        <v>15</v>
      </c>
      <c r="G9523" s="0" t="s">
        <v>32</v>
      </c>
      <c r="H9523" s="0" t="n">
        <v>54</v>
      </c>
      <c r="I9523" s="0" t="s">
        <v>31656</v>
      </c>
      <c r="J9523" s="0" t="s">
        <v>31657</v>
      </c>
      <c r="K9523" s="0" t="s">
        <v>31658</v>
      </c>
      <c r="L9523" s="0" t="str">
        <f aca="false">HYPERLINK("https://www.ncbi.nlm.nih.gov/nuccore/CP000058.1?report=graph&amp;tracks=[key:gene_model_track,Options:GeneOnly]&amp;mk=2981820:2981839|offset_1|444444,2981841:2981860|offset_22|444444,2981873:2981892|offset_54|00cc00,2981896:2981915|offset_77|444444&amp;v=2981619:2982115&amp;c=444444", "offset 54")</f>
        <v>offset 54</v>
      </c>
    </row>
    <row r="9524" customFormat="false" ht="12.8" hidden="false" customHeight="false" outlineLevel="0" collapsed="false">
      <c r="A9524" s="0" t="s">
        <v>12</v>
      </c>
      <c r="B9524" s="0" t="n">
        <v>2981895</v>
      </c>
      <c r="C9524" s="0" t="n">
        <v>2981915</v>
      </c>
      <c r="D9524" s="0" t="s">
        <v>31649</v>
      </c>
      <c r="E9524" s="0" t="s">
        <v>75</v>
      </c>
      <c r="F9524" s="0" t="s">
        <v>15</v>
      </c>
      <c r="G9524" s="0" t="s">
        <v>32</v>
      </c>
      <c r="H9524" s="0" t="n">
        <v>77</v>
      </c>
      <c r="I9524" s="0" t="s">
        <v>31659</v>
      </c>
      <c r="J9524" s="0" t="s">
        <v>31660</v>
      </c>
      <c r="K9524" s="0" t="s">
        <v>31661</v>
      </c>
      <c r="L9524" s="0" t="str">
        <f aca="false">HYPERLINK("https://www.ncbi.nlm.nih.gov/nuccore/CP000058.1?report=graph&amp;tracks=[key:gene_model_track,Options:GeneOnly]&amp;mk=2981820:2981839|offset_1|444444,2981841:2981860|offset_22|444444,2981873:2981892|offset_54|444444,2981896:2981915|offset_77|00cc00&amp;v=2981619:2982115&amp;c=444444", "offset 77")</f>
        <v>offset 77</v>
      </c>
    </row>
    <row r="9525" customFormat="false" ht="12.8" hidden="false" customHeight="false" outlineLevel="0" collapsed="false">
      <c r="A9525" s="0" t="s">
        <v>12</v>
      </c>
      <c r="B9525" s="0" t="n">
        <v>2984919</v>
      </c>
      <c r="C9525" s="0" t="n">
        <v>2984939</v>
      </c>
      <c r="D9525" s="0" t="s">
        <v>31662</v>
      </c>
      <c r="E9525" s="0" t="s">
        <v>75</v>
      </c>
      <c r="F9525" s="0" t="s">
        <v>15</v>
      </c>
      <c r="G9525" s="0" t="s">
        <v>36</v>
      </c>
      <c r="H9525" s="0" t="n">
        <v>40</v>
      </c>
      <c r="I9525" s="0" t="s">
        <v>31663</v>
      </c>
      <c r="J9525" s="0" t="s">
        <v>31664</v>
      </c>
      <c r="K9525" s="0" t="s">
        <v>31665</v>
      </c>
      <c r="L9525" s="0" t="str">
        <f aca="false">HYPERLINK("https://www.ncbi.nlm.nih.gov/nuccore/CP000058.1?report=graph&amp;tracks=[key:gene_model_track,Options:GeneOnly]&amp;mk=2984920:2984939|offset_40|00cc00,2984944:2984963|offset_64|444444,2984983:2985002|offset_103|444444,2985012:2985031|offset_132|444444&amp;v=2984719:2985231&amp;c=444444", "offset 40")</f>
        <v>offset 40</v>
      </c>
    </row>
    <row r="9526" customFormat="false" ht="12.8" hidden="false" customHeight="false" outlineLevel="0" collapsed="false">
      <c r="A9526" s="0" t="s">
        <v>12</v>
      </c>
      <c r="B9526" s="0" t="n">
        <v>2984943</v>
      </c>
      <c r="C9526" s="0" t="n">
        <v>2984963</v>
      </c>
      <c r="D9526" s="0" t="s">
        <v>31662</v>
      </c>
      <c r="E9526" s="0" t="s">
        <v>75</v>
      </c>
      <c r="F9526" s="0" t="s">
        <v>15</v>
      </c>
      <c r="G9526" s="0" t="s">
        <v>16</v>
      </c>
      <c r="H9526" s="0" t="n">
        <v>64</v>
      </c>
      <c r="I9526" s="0" t="s">
        <v>31666</v>
      </c>
      <c r="J9526" s="0" t="s">
        <v>31667</v>
      </c>
      <c r="K9526" s="0" t="s">
        <v>31668</v>
      </c>
      <c r="L9526" s="0" t="str">
        <f aca="false">HYPERLINK("https://www.ncbi.nlm.nih.gov/nuccore/CP000058.1?report=graph&amp;tracks=[key:gene_model_track,Options:GeneOnly]&amp;mk=2984920:2984939|offset_40|444444,2984944:2984963|offset_64|00cc00,2984983:2985002|offset_103|444444,2985012:2985031|offset_132|444444&amp;v=2984719:2985231&amp;c=444444", "offset 64")</f>
        <v>offset 64</v>
      </c>
    </row>
    <row r="9527" customFormat="false" ht="12.8" hidden="false" customHeight="false" outlineLevel="0" collapsed="false">
      <c r="A9527" s="0" t="s">
        <v>12</v>
      </c>
      <c r="B9527" s="0" t="n">
        <v>2984982</v>
      </c>
      <c r="C9527" s="0" t="n">
        <v>2985002</v>
      </c>
      <c r="D9527" s="0" t="s">
        <v>31662</v>
      </c>
      <c r="E9527" s="0" t="s">
        <v>75</v>
      </c>
      <c r="F9527" s="0" t="s">
        <v>15</v>
      </c>
      <c r="G9527" s="0" t="s">
        <v>16</v>
      </c>
      <c r="H9527" s="0" t="n">
        <v>103</v>
      </c>
      <c r="I9527" s="0" t="s">
        <v>31669</v>
      </c>
      <c r="J9527" s="0" t="s">
        <v>31670</v>
      </c>
      <c r="K9527" s="0" t="s">
        <v>31671</v>
      </c>
      <c r="L9527" s="0" t="str">
        <f aca="false">HYPERLINK("https://www.ncbi.nlm.nih.gov/nuccore/CP000058.1?report=graph&amp;tracks=[key:gene_model_track,Options:GeneOnly]&amp;mk=2984920:2984939|offset_40|444444,2984944:2984963|offset_64|444444,2984983:2985002|offset_103|00cc00,2985012:2985031|offset_132|444444&amp;v=2984719:2985231&amp;c=444444", "offset 103")</f>
        <v>offset 103</v>
      </c>
    </row>
    <row r="9528" customFormat="false" ht="12.8" hidden="false" customHeight="false" outlineLevel="0" collapsed="false">
      <c r="A9528" s="0" t="s">
        <v>12</v>
      </c>
      <c r="B9528" s="0" t="n">
        <v>2985011</v>
      </c>
      <c r="C9528" s="0" t="n">
        <v>2985031</v>
      </c>
      <c r="D9528" s="0" t="s">
        <v>31662</v>
      </c>
      <c r="E9528" s="0" t="s">
        <v>75</v>
      </c>
      <c r="F9528" s="0" t="s">
        <v>15</v>
      </c>
      <c r="G9528" s="0" t="s">
        <v>16</v>
      </c>
      <c r="H9528" s="0" t="n">
        <v>132</v>
      </c>
      <c r="I9528" s="0" t="s">
        <v>31672</v>
      </c>
      <c r="J9528" s="0" t="s">
        <v>31673</v>
      </c>
      <c r="K9528" s="0" t="s">
        <v>31674</v>
      </c>
      <c r="L9528" s="0" t="str">
        <f aca="false">HYPERLINK("https://www.ncbi.nlm.nih.gov/nuccore/CP000058.1?report=graph&amp;tracks=[key:gene_model_track,Options:GeneOnly]&amp;mk=2984920:2984939|offset_40|444444,2984944:2984963|offset_64|444444,2984983:2985002|offset_103|444444,2985012:2985031|offset_132|00cc00&amp;v=2984719:2985231&amp;c=444444", "offset 132")</f>
        <v>offset 132</v>
      </c>
    </row>
    <row r="9529" customFormat="false" ht="12.8" hidden="false" customHeight="false" outlineLevel="0" collapsed="false">
      <c r="A9529" s="0" t="s">
        <v>12</v>
      </c>
      <c r="B9529" s="0" t="n">
        <v>2986531</v>
      </c>
      <c r="C9529" s="0" t="n">
        <v>2986551</v>
      </c>
      <c r="D9529" s="0" t="s">
        <v>31675</v>
      </c>
      <c r="E9529" s="0" t="s">
        <v>31676</v>
      </c>
      <c r="F9529" s="0" t="s">
        <v>90</v>
      </c>
      <c r="G9529" s="0" t="s">
        <v>36</v>
      </c>
      <c r="H9529" s="0" t="n">
        <v>43</v>
      </c>
      <c r="I9529" s="0" t="s">
        <v>31677</v>
      </c>
      <c r="J9529" s="0" t="s">
        <v>31678</v>
      </c>
      <c r="K9529" s="0" t="s">
        <v>31679</v>
      </c>
      <c r="L9529" s="0" t="str">
        <f aca="false">HYPERLINK("https://www.ncbi.nlm.nih.gov/nuccore/CP000058.1?report=graph&amp;tracks=[key:gene_model_track,Options:GeneOnly]&amp;mk=2986532:2986551|offset_43|00cc00,2986511:2986530|offset_64|444444,2986481:2986500|offset_94|444444,2986444:2986463|offset_131|444444&amp;v=2986331:2986663&amp;c=444444", "offset 43")</f>
        <v>offset 43</v>
      </c>
    </row>
    <row r="9530" customFormat="false" ht="12.8" hidden="false" customHeight="false" outlineLevel="0" collapsed="false">
      <c r="A9530" s="0" t="s">
        <v>12</v>
      </c>
      <c r="B9530" s="0" t="n">
        <v>2986510</v>
      </c>
      <c r="C9530" s="0" t="n">
        <v>2986530</v>
      </c>
      <c r="D9530" s="0" t="s">
        <v>31675</v>
      </c>
      <c r="E9530" s="0" t="s">
        <v>31676</v>
      </c>
      <c r="F9530" s="0" t="s">
        <v>90</v>
      </c>
      <c r="G9530" s="0" t="s">
        <v>36</v>
      </c>
      <c r="H9530" s="0" t="n">
        <v>64</v>
      </c>
      <c r="I9530" s="0" t="s">
        <v>31680</v>
      </c>
      <c r="J9530" s="0" t="s">
        <v>31681</v>
      </c>
      <c r="K9530" s="0" t="s">
        <v>31682</v>
      </c>
      <c r="L9530" s="0" t="str">
        <f aca="false">HYPERLINK("https://www.ncbi.nlm.nih.gov/nuccore/CP000058.1?report=graph&amp;tracks=[key:gene_model_track,Options:GeneOnly]&amp;mk=2986532:2986551|offset_43|444444,2986511:2986530|offset_64|00cc00,2986481:2986500|offset_94|444444,2986444:2986463|offset_131|444444&amp;v=2986331:2986663&amp;c=444444", "offset 64")</f>
        <v>offset 64</v>
      </c>
    </row>
    <row r="9531" customFormat="false" ht="12.8" hidden="false" customHeight="false" outlineLevel="0" collapsed="false">
      <c r="A9531" s="0" t="s">
        <v>12</v>
      </c>
      <c r="B9531" s="0" t="n">
        <v>2986480</v>
      </c>
      <c r="C9531" s="0" t="n">
        <v>2986500</v>
      </c>
      <c r="D9531" s="0" t="s">
        <v>31675</v>
      </c>
      <c r="E9531" s="0" t="s">
        <v>31676</v>
      </c>
      <c r="F9531" s="0" t="s">
        <v>90</v>
      </c>
      <c r="G9531" s="0" t="s">
        <v>16</v>
      </c>
      <c r="H9531" s="0" t="n">
        <v>94</v>
      </c>
      <c r="I9531" s="0" t="s">
        <v>31683</v>
      </c>
      <c r="J9531" s="0" t="s">
        <v>31684</v>
      </c>
      <c r="K9531" s="0" t="s">
        <v>31685</v>
      </c>
      <c r="L9531" s="0" t="str">
        <f aca="false">HYPERLINK("https://www.ncbi.nlm.nih.gov/nuccore/CP000058.1?report=graph&amp;tracks=[key:gene_model_track,Options:GeneOnly]&amp;mk=2986532:2986551|offset_43|444444,2986511:2986530|offset_64|444444,2986481:2986500|offset_94|00cc00,2986444:2986463|offset_131|444444&amp;v=2986331:2986663&amp;c=444444", "offset 94")</f>
        <v>offset 94</v>
      </c>
    </row>
    <row r="9532" customFormat="false" ht="12.8" hidden="false" customHeight="false" outlineLevel="0" collapsed="false">
      <c r="A9532" s="0" t="s">
        <v>12</v>
      </c>
      <c r="B9532" s="0" t="n">
        <v>2986443</v>
      </c>
      <c r="C9532" s="0" t="n">
        <v>2986463</v>
      </c>
      <c r="D9532" s="0" t="s">
        <v>31675</v>
      </c>
      <c r="E9532" s="0" t="s">
        <v>31676</v>
      </c>
      <c r="F9532" s="0" t="s">
        <v>90</v>
      </c>
      <c r="G9532" s="0" t="s">
        <v>16</v>
      </c>
      <c r="H9532" s="0" t="n">
        <v>131</v>
      </c>
      <c r="I9532" s="0" t="s">
        <v>31686</v>
      </c>
      <c r="J9532" s="0" t="s">
        <v>31687</v>
      </c>
      <c r="K9532" s="0" t="s">
        <v>31688</v>
      </c>
      <c r="L9532" s="0" t="str">
        <f aca="false">HYPERLINK("https://www.ncbi.nlm.nih.gov/nuccore/CP000058.1?report=graph&amp;tracks=[key:gene_model_track,Options:GeneOnly]&amp;mk=2986532:2986551|offset_43|444444,2986511:2986530|offset_64|444444,2986481:2986500|offset_94|444444,2986444:2986463|offset_131|00cc00&amp;v=2986331:2986663&amp;c=444444", "offset 131")</f>
        <v>offset 131</v>
      </c>
    </row>
    <row r="9533" customFormat="false" ht="12.8" hidden="false" customHeight="false" outlineLevel="0" collapsed="false">
      <c r="A9533" s="0" t="s">
        <v>12</v>
      </c>
      <c r="B9533" s="0" t="n">
        <v>2989505</v>
      </c>
      <c r="C9533" s="0" t="n">
        <v>2989525</v>
      </c>
      <c r="D9533" s="0" t="s">
        <v>31689</v>
      </c>
      <c r="E9533" s="0" t="s">
        <v>31690</v>
      </c>
      <c r="F9533" s="0" t="s">
        <v>90</v>
      </c>
      <c r="G9533" s="0" t="s">
        <v>32</v>
      </c>
      <c r="H9533" s="0" t="n">
        <v>13</v>
      </c>
      <c r="I9533" s="0" t="s">
        <v>31691</v>
      </c>
      <c r="J9533" s="0" t="s">
        <v>31692</v>
      </c>
      <c r="K9533" s="0" t="s">
        <v>31693</v>
      </c>
      <c r="L9533" s="0" t="str">
        <f aca="false">HYPERLINK("https://www.ncbi.nlm.nih.gov/nuccore/CP000058.1?report=graph&amp;tracks=[key:gene_model_track,Options:GeneOnly]&amp;mk=2989506:2989525|offset_13|00cc00,2989479:2989498|offset_40|444444,2989455:2989474|offset_64|444444,2989428:2989447|offset_91|444444&amp;v=2989305:2989647&amp;c=444444", "offset 13")</f>
        <v>offset 13</v>
      </c>
    </row>
    <row r="9534" customFormat="false" ht="12.8" hidden="false" customHeight="false" outlineLevel="0" collapsed="false">
      <c r="A9534" s="0" t="s">
        <v>12</v>
      </c>
      <c r="B9534" s="0" t="n">
        <v>2989478</v>
      </c>
      <c r="C9534" s="0" t="n">
        <v>2989498</v>
      </c>
      <c r="D9534" s="0" t="s">
        <v>31689</v>
      </c>
      <c r="E9534" s="0" t="s">
        <v>31690</v>
      </c>
      <c r="F9534" s="0" t="s">
        <v>90</v>
      </c>
      <c r="G9534" s="0" t="s">
        <v>16</v>
      </c>
      <c r="H9534" s="0" t="n">
        <v>40</v>
      </c>
      <c r="I9534" s="0" t="s">
        <v>31694</v>
      </c>
      <c r="J9534" s="0" t="s">
        <v>31695</v>
      </c>
      <c r="K9534" s="0" t="s">
        <v>31696</v>
      </c>
      <c r="L9534" s="0" t="str">
        <f aca="false">HYPERLINK("https://www.ncbi.nlm.nih.gov/nuccore/CP000058.1?report=graph&amp;tracks=[key:gene_model_track,Options:GeneOnly]&amp;mk=2989506:2989525|offset_13|444444,2989479:2989498|offset_40|00cc00,2989455:2989474|offset_64|444444,2989428:2989447|offset_91|444444&amp;v=2989305:2989647&amp;c=444444", "offset 40")</f>
        <v>offset 40</v>
      </c>
    </row>
    <row r="9535" customFormat="false" ht="12.8" hidden="false" customHeight="false" outlineLevel="0" collapsed="false">
      <c r="A9535" s="0" t="s">
        <v>12</v>
      </c>
      <c r="B9535" s="0" t="n">
        <v>2989454</v>
      </c>
      <c r="C9535" s="0" t="n">
        <v>2989474</v>
      </c>
      <c r="D9535" s="0" t="s">
        <v>31689</v>
      </c>
      <c r="E9535" s="0" t="s">
        <v>31690</v>
      </c>
      <c r="F9535" s="0" t="s">
        <v>90</v>
      </c>
      <c r="G9535" s="0" t="s">
        <v>16</v>
      </c>
      <c r="H9535" s="0" t="n">
        <v>64</v>
      </c>
      <c r="I9535" s="0" t="s">
        <v>31697</v>
      </c>
      <c r="J9535" s="0" t="s">
        <v>31698</v>
      </c>
      <c r="K9535" s="0" t="s">
        <v>31699</v>
      </c>
      <c r="L9535" s="0" t="str">
        <f aca="false">HYPERLINK("https://www.ncbi.nlm.nih.gov/nuccore/CP000058.1?report=graph&amp;tracks=[key:gene_model_track,Options:GeneOnly]&amp;mk=2989506:2989525|offset_13|444444,2989479:2989498|offset_40|444444,2989455:2989474|offset_64|00cc00,2989428:2989447|offset_91|444444&amp;v=2989305:2989647&amp;c=444444", "offset 64")</f>
        <v>offset 64</v>
      </c>
    </row>
    <row r="9536" customFormat="false" ht="12.8" hidden="false" customHeight="false" outlineLevel="0" collapsed="false">
      <c r="A9536" s="0" t="s">
        <v>12</v>
      </c>
      <c r="B9536" s="0" t="n">
        <v>2989427</v>
      </c>
      <c r="C9536" s="0" t="n">
        <v>2989447</v>
      </c>
      <c r="D9536" s="0" t="s">
        <v>31689</v>
      </c>
      <c r="E9536" s="0" t="s">
        <v>31690</v>
      </c>
      <c r="F9536" s="0" t="s">
        <v>90</v>
      </c>
      <c r="G9536" s="0" t="s">
        <v>36</v>
      </c>
      <c r="H9536" s="0" t="n">
        <v>91</v>
      </c>
      <c r="I9536" s="0" t="s">
        <v>31700</v>
      </c>
      <c r="J9536" s="0" t="s">
        <v>31701</v>
      </c>
      <c r="K9536" s="0" t="s">
        <v>31702</v>
      </c>
      <c r="L9536" s="0" t="str">
        <f aca="false">HYPERLINK("https://www.ncbi.nlm.nih.gov/nuccore/CP000058.1?report=graph&amp;tracks=[key:gene_model_track,Options:GeneOnly]&amp;mk=2989506:2989525|offset_13|444444,2989479:2989498|offset_40|444444,2989455:2989474|offset_64|444444,2989428:2989447|offset_91|00cc00&amp;v=2989305:2989647&amp;c=444444", "offset 91")</f>
        <v>offset 91</v>
      </c>
    </row>
    <row r="9537" customFormat="false" ht="12.8" hidden="false" customHeight="false" outlineLevel="0" collapsed="false">
      <c r="A9537" s="0" t="s">
        <v>12</v>
      </c>
      <c r="B9537" s="0" t="n">
        <v>2990631</v>
      </c>
      <c r="C9537" s="0" t="n">
        <v>2990651</v>
      </c>
      <c r="D9537" s="0" t="s">
        <v>31703</v>
      </c>
      <c r="E9537" s="0" t="s">
        <v>75</v>
      </c>
      <c r="F9537" s="0" t="s">
        <v>90</v>
      </c>
      <c r="G9537" s="0" t="s">
        <v>20</v>
      </c>
      <c r="H9537" s="0" t="n">
        <v>11</v>
      </c>
      <c r="I9537" s="0" t="s">
        <v>31704</v>
      </c>
      <c r="J9537" s="0" t="s">
        <v>31705</v>
      </c>
      <c r="K9537" s="0" t="s">
        <v>31706</v>
      </c>
      <c r="L9537" s="0" t="str">
        <f aca="false">HYPERLINK("https://www.ncbi.nlm.nih.gov/nuccore/CP000058.1?report=graph&amp;tracks=[key:gene_model_track,Options:GeneOnly]&amp;mk=2990632:2990651|offset_11|00cc00,2990557:2990576|offset_86|444444,2990513:2990532|offset_130|444444,2990492:2990511|offset_151|444444&amp;v=2990431:2990711&amp;c=444444", "offset 11")</f>
        <v>offset 11</v>
      </c>
    </row>
    <row r="9538" customFormat="false" ht="12.8" hidden="false" customHeight="false" outlineLevel="0" collapsed="false">
      <c r="A9538" s="0" t="s">
        <v>12</v>
      </c>
      <c r="B9538" s="0" t="n">
        <v>2990556</v>
      </c>
      <c r="C9538" s="0" t="n">
        <v>2990576</v>
      </c>
      <c r="D9538" s="0" t="s">
        <v>31703</v>
      </c>
      <c r="E9538" s="0" t="s">
        <v>75</v>
      </c>
      <c r="F9538" s="0" t="s">
        <v>90</v>
      </c>
      <c r="G9538" s="0" t="s">
        <v>16</v>
      </c>
      <c r="H9538" s="0" t="n">
        <v>86</v>
      </c>
      <c r="I9538" s="0" t="s">
        <v>31707</v>
      </c>
      <c r="J9538" s="0" t="s">
        <v>31708</v>
      </c>
      <c r="K9538" s="0" t="s">
        <v>31709</v>
      </c>
      <c r="L9538" s="0" t="str">
        <f aca="false">HYPERLINK("https://www.ncbi.nlm.nih.gov/nuccore/CP000058.1?report=graph&amp;tracks=[key:gene_model_track,Options:GeneOnly]&amp;mk=2990632:2990651|offset_11|444444,2990557:2990576|offset_86|00cc00,2990513:2990532|offset_130|444444,2990492:2990511|offset_151|444444&amp;v=2990431:2990711&amp;c=444444", "offset 86")</f>
        <v>offset 86</v>
      </c>
    </row>
    <row r="9539" customFormat="false" ht="12.8" hidden="false" customHeight="false" outlineLevel="0" collapsed="false">
      <c r="A9539" s="0" t="s">
        <v>12</v>
      </c>
      <c r="B9539" s="0" t="n">
        <v>2990512</v>
      </c>
      <c r="C9539" s="0" t="n">
        <v>2990532</v>
      </c>
      <c r="D9539" s="0" t="s">
        <v>31703</v>
      </c>
      <c r="E9539" s="0" t="s">
        <v>75</v>
      </c>
      <c r="F9539" s="0" t="s">
        <v>90</v>
      </c>
      <c r="G9539" s="0" t="s">
        <v>32</v>
      </c>
      <c r="H9539" s="0" t="n">
        <v>130</v>
      </c>
      <c r="I9539" s="0" t="s">
        <v>31710</v>
      </c>
      <c r="J9539" s="0" t="s">
        <v>31711</v>
      </c>
      <c r="K9539" s="0" t="s">
        <v>31712</v>
      </c>
      <c r="L9539" s="0" t="str">
        <f aca="false">HYPERLINK("https://www.ncbi.nlm.nih.gov/nuccore/CP000058.1?report=graph&amp;tracks=[key:gene_model_track,Options:GeneOnly]&amp;mk=2990632:2990651|offset_11|444444,2990557:2990576|offset_86|444444,2990513:2990532|offset_130|00cc00,2990492:2990511|offset_151|444444&amp;v=2990431:2990711&amp;c=444444", "offset 130")</f>
        <v>offset 130</v>
      </c>
    </row>
    <row r="9540" customFormat="false" ht="12.8" hidden="false" customHeight="false" outlineLevel="0" collapsed="false">
      <c r="A9540" s="0" t="s">
        <v>12</v>
      </c>
      <c r="B9540" s="0" t="n">
        <v>2990491</v>
      </c>
      <c r="C9540" s="0" t="n">
        <v>2990511</v>
      </c>
      <c r="D9540" s="0" t="s">
        <v>31703</v>
      </c>
      <c r="E9540" s="0" t="s">
        <v>75</v>
      </c>
      <c r="F9540" s="0" t="s">
        <v>90</v>
      </c>
      <c r="G9540" s="0" t="s">
        <v>16</v>
      </c>
      <c r="H9540" s="0" t="n">
        <v>151</v>
      </c>
      <c r="I9540" s="0" t="s">
        <v>31713</v>
      </c>
      <c r="J9540" s="0" t="s">
        <v>31714</v>
      </c>
      <c r="K9540" s="0" t="s">
        <v>31715</v>
      </c>
      <c r="L9540" s="0" t="str">
        <f aca="false">HYPERLINK("https://www.ncbi.nlm.nih.gov/nuccore/CP000058.1?report=graph&amp;tracks=[key:gene_model_track,Options:GeneOnly]&amp;mk=2990632:2990651|offset_11|444444,2990557:2990576|offset_86|444444,2990513:2990532|offset_130|444444,2990492:2990511|offset_151|00cc00&amp;v=2990431:2990711&amp;c=444444", "offset 151")</f>
        <v>offset 151</v>
      </c>
    </row>
    <row r="9541" customFormat="false" ht="12.8" hidden="false" customHeight="false" outlineLevel="0" collapsed="false">
      <c r="A9541" s="0" t="s">
        <v>12</v>
      </c>
      <c r="B9541" s="0" t="n">
        <v>2991397</v>
      </c>
      <c r="C9541" s="0" t="n">
        <v>2991417</v>
      </c>
      <c r="D9541" s="0" t="s">
        <v>31716</v>
      </c>
      <c r="E9541" s="0" t="s">
        <v>75</v>
      </c>
      <c r="F9541" s="0" t="s">
        <v>90</v>
      </c>
      <c r="G9541" s="0" t="s">
        <v>32</v>
      </c>
      <c r="H9541" s="0" t="n">
        <v>1</v>
      </c>
      <c r="I9541" s="0" t="s">
        <v>31717</v>
      </c>
      <c r="J9541" s="0" t="s">
        <v>31718</v>
      </c>
      <c r="K9541" s="0" t="s">
        <v>31719</v>
      </c>
      <c r="L9541" s="0" t="str">
        <f aca="false">HYPERLINK("https://www.ncbi.nlm.nih.gov/nuccore/CP000058.1?report=graph&amp;tracks=[key:gene_model_track,Options:GeneOnly]&amp;mk=2991398:2991417|offset_1|00cc00,2991378:2991397|offset_21|444444,2991345:2991364|offset_54|444444,2991321:2991340|offset_78|444444&amp;v=2991197:2991540&amp;c=444444", "offset 1")</f>
        <v>offset 1</v>
      </c>
    </row>
    <row r="9542" customFormat="false" ht="12.8" hidden="false" customHeight="false" outlineLevel="0" collapsed="false">
      <c r="A9542" s="0" t="s">
        <v>12</v>
      </c>
      <c r="B9542" s="0" t="n">
        <v>2991377</v>
      </c>
      <c r="C9542" s="0" t="n">
        <v>2991397</v>
      </c>
      <c r="D9542" s="0" t="s">
        <v>31716</v>
      </c>
      <c r="E9542" s="0" t="s">
        <v>75</v>
      </c>
      <c r="F9542" s="0" t="s">
        <v>90</v>
      </c>
      <c r="G9542" s="0" t="s">
        <v>20</v>
      </c>
      <c r="H9542" s="0" t="n">
        <v>21</v>
      </c>
      <c r="I9542" s="0" t="s">
        <v>31720</v>
      </c>
      <c r="J9542" s="0" t="s">
        <v>31721</v>
      </c>
      <c r="K9542" s="0" t="s">
        <v>31722</v>
      </c>
      <c r="L9542" s="0" t="str">
        <f aca="false">HYPERLINK("https://www.ncbi.nlm.nih.gov/nuccore/CP000058.1?report=graph&amp;tracks=[key:gene_model_track,Options:GeneOnly]&amp;mk=2991398:2991417|offset_1|444444,2991378:2991397|offset_21|00cc00,2991345:2991364|offset_54|444444,2991321:2991340|offset_78|444444&amp;v=2991197:2991540&amp;c=444444", "offset 21")</f>
        <v>offset 21</v>
      </c>
    </row>
    <row r="9543" customFormat="false" ht="12.8" hidden="false" customHeight="false" outlineLevel="0" collapsed="false">
      <c r="A9543" s="0" t="s">
        <v>12</v>
      </c>
      <c r="B9543" s="0" t="n">
        <v>2991344</v>
      </c>
      <c r="C9543" s="0" t="n">
        <v>2991364</v>
      </c>
      <c r="D9543" s="0" t="s">
        <v>31716</v>
      </c>
      <c r="E9543" s="0" t="s">
        <v>75</v>
      </c>
      <c r="F9543" s="0" t="s">
        <v>90</v>
      </c>
      <c r="G9543" s="0" t="s">
        <v>16</v>
      </c>
      <c r="H9543" s="0" t="n">
        <v>54</v>
      </c>
      <c r="I9543" s="0" t="s">
        <v>31723</v>
      </c>
      <c r="J9543" s="0" t="s">
        <v>31724</v>
      </c>
      <c r="K9543" s="0" t="s">
        <v>31725</v>
      </c>
      <c r="L9543" s="0" t="str">
        <f aca="false">HYPERLINK("https://www.ncbi.nlm.nih.gov/nuccore/CP000058.1?report=graph&amp;tracks=[key:gene_model_track,Options:GeneOnly]&amp;mk=2991398:2991417|offset_1|444444,2991378:2991397|offset_21|444444,2991345:2991364|offset_54|00cc00,2991321:2991340|offset_78|444444&amp;v=2991197:2991540&amp;c=444444", "offset 54")</f>
        <v>offset 54</v>
      </c>
    </row>
    <row r="9544" customFormat="false" ht="12.8" hidden="false" customHeight="false" outlineLevel="0" collapsed="false">
      <c r="A9544" s="0" t="s">
        <v>12</v>
      </c>
      <c r="B9544" s="0" t="n">
        <v>2991320</v>
      </c>
      <c r="C9544" s="0" t="n">
        <v>2991340</v>
      </c>
      <c r="D9544" s="0" t="s">
        <v>31716</v>
      </c>
      <c r="E9544" s="0" t="s">
        <v>75</v>
      </c>
      <c r="F9544" s="0" t="s">
        <v>90</v>
      </c>
      <c r="G9544" s="0" t="s">
        <v>16</v>
      </c>
      <c r="H9544" s="0" t="n">
        <v>78</v>
      </c>
      <c r="I9544" s="0" t="s">
        <v>31726</v>
      </c>
      <c r="J9544" s="0" t="s">
        <v>31727</v>
      </c>
      <c r="K9544" s="0" t="s">
        <v>31728</v>
      </c>
      <c r="L9544" s="0" t="str">
        <f aca="false">HYPERLINK("https://www.ncbi.nlm.nih.gov/nuccore/CP000058.1?report=graph&amp;tracks=[key:gene_model_track,Options:GeneOnly]&amp;mk=2991398:2991417|offset_1|444444,2991378:2991397|offset_21|444444,2991345:2991364|offset_54|444444,2991321:2991340|offset_78|00cc00&amp;v=2991197:2991540&amp;c=444444", "offset 78")</f>
        <v>offset 78</v>
      </c>
    </row>
    <row r="9545" customFormat="false" ht="12.8" hidden="false" customHeight="false" outlineLevel="0" collapsed="false">
      <c r="A9545" s="0" t="s">
        <v>12</v>
      </c>
      <c r="B9545" s="0" t="n">
        <v>2992786</v>
      </c>
      <c r="C9545" s="0" t="n">
        <v>2992806</v>
      </c>
      <c r="D9545" s="0" t="s">
        <v>31729</v>
      </c>
      <c r="E9545" s="0" t="s">
        <v>75</v>
      </c>
      <c r="F9545" s="0" t="s">
        <v>90</v>
      </c>
      <c r="G9545" s="0" t="s">
        <v>32</v>
      </c>
      <c r="H9545" s="0" t="n">
        <v>31</v>
      </c>
      <c r="I9545" s="0" t="s">
        <v>31730</v>
      </c>
      <c r="J9545" s="0" t="s">
        <v>31731</v>
      </c>
      <c r="K9545" s="0" t="s">
        <v>31732</v>
      </c>
      <c r="L9545" s="0" t="str">
        <f aca="false">HYPERLINK("https://www.ncbi.nlm.nih.gov/nuccore/CP000058.1?report=graph&amp;tracks=[key:gene_model_track,Options:GeneOnly]&amp;mk=2992787:2992806|offset_31|00cc00,2992745:2992764|offset_73|444444,2992721:2992740|offset_97|444444,2992684:2992703|offset_134|444444&amp;v=2992586:2992903&amp;c=444444", "offset 31")</f>
        <v>offset 31</v>
      </c>
    </row>
    <row r="9546" customFormat="false" ht="12.8" hidden="false" customHeight="false" outlineLevel="0" collapsed="false">
      <c r="A9546" s="0" t="s">
        <v>12</v>
      </c>
      <c r="B9546" s="0" t="n">
        <v>2992744</v>
      </c>
      <c r="C9546" s="0" t="n">
        <v>2992764</v>
      </c>
      <c r="D9546" s="0" t="s">
        <v>31729</v>
      </c>
      <c r="E9546" s="0" t="s">
        <v>75</v>
      </c>
      <c r="F9546" s="0" t="s">
        <v>90</v>
      </c>
      <c r="G9546" s="0" t="s">
        <v>32</v>
      </c>
      <c r="H9546" s="0" t="n">
        <v>73</v>
      </c>
      <c r="I9546" s="0" t="s">
        <v>31733</v>
      </c>
      <c r="J9546" s="0" t="s">
        <v>31734</v>
      </c>
      <c r="K9546" s="0" t="s">
        <v>31735</v>
      </c>
      <c r="L9546" s="0" t="str">
        <f aca="false">HYPERLINK("https://www.ncbi.nlm.nih.gov/nuccore/CP000058.1?report=graph&amp;tracks=[key:gene_model_track,Options:GeneOnly]&amp;mk=2992787:2992806|offset_31|444444,2992745:2992764|offset_73|00cc00,2992721:2992740|offset_97|444444,2992684:2992703|offset_134|444444&amp;v=2992586:2992903&amp;c=444444", "offset 73")</f>
        <v>offset 73</v>
      </c>
    </row>
    <row r="9547" customFormat="false" ht="12.8" hidden="false" customHeight="false" outlineLevel="0" collapsed="false">
      <c r="A9547" s="0" t="s">
        <v>12</v>
      </c>
      <c r="B9547" s="0" t="n">
        <v>2992720</v>
      </c>
      <c r="C9547" s="0" t="n">
        <v>2992740</v>
      </c>
      <c r="D9547" s="0" t="s">
        <v>31729</v>
      </c>
      <c r="E9547" s="0" t="s">
        <v>75</v>
      </c>
      <c r="F9547" s="0" t="s">
        <v>90</v>
      </c>
      <c r="G9547" s="0" t="s">
        <v>32</v>
      </c>
      <c r="H9547" s="0" t="n">
        <v>97</v>
      </c>
      <c r="I9547" s="0" t="s">
        <v>31736</v>
      </c>
      <c r="J9547" s="0" t="s">
        <v>31737</v>
      </c>
      <c r="K9547" s="0" t="s">
        <v>31738</v>
      </c>
      <c r="L9547" s="0" t="str">
        <f aca="false">HYPERLINK("https://www.ncbi.nlm.nih.gov/nuccore/CP000058.1?report=graph&amp;tracks=[key:gene_model_track,Options:GeneOnly]&amp;mk=2992787:2992806|offset_31|444444,2992745:2992764|offset_73|444444,2992721:2992740|offset_97|00cc00,2992684:2992703|offset_134|444444&amp;v=2992586:2992903&amp;c=444444", "offset 97")</f>
        <v>offset 97</v>
      </c>
    </row>
    <row r="9548" customFormat="false" ht="12.8" hidden="false" customHeight="false" outlineLevel="0" collapsed="false">
      <c r="A9548" s="0" t="s">
        <v>12</v>
      </c>
      <c r="B9548" s="0" t="n">
        <v>2992683</v>
      </c>
      <c r="C9548" s="0" t="n">
        <v>2992703</v>
      </c>
      <c r="D9548" s="0" t="s">
        <v>31729</v>
      </c>
      <c r="E9548" s="0" t="s">
        <v>75</v>
      </c>
      <c r="F9548" s="0" t="s">
        <v>90</v>
      </c>
      <c r="G9548" s="0" t="s">
        <v>20</v>
      </c>
      <c r="H9548" s="0" t="n">
        <v>134</v>
      </c>
      <c r="I9548" s="0" t="s">
        <v>31739</v>
      </c>
      <c r="J9548" s="0" t="s">
        <v>31740</v>
      </c>
      <c r="K9548" s="0" t="s">
        <v>31741</v>
      </c>
      <c r="L9548" s="0" t="str">
        <f aca="false">HYPERLINK("https://www.ncbi.nlm.nih.gov/nuccore/CP000058.1?report=graph&amp;tracks=[key:gene_model_track,Options:GeneOnly]&amp;mk=2992787:2992806|offset_31|444444,2992745:2992764|offset_73|444444,2992721:2992740|offset_97|444444,2992684:2992703|offset_134|00cc00&amp;v=2992586:2992903&amp;c=444444", "offset 134")</f>
        <v>offset 134</v>
      </c>
    </row>
    <row r="9549" customFormat="false" ht="12.8" hidden="false" customHeight="false" outlineLevel="0" collapsed="false">
      <c r="A9549" s="0" t="s">
        <v>12</v>
      </c>
      <c r="B9549" s="0" t="n">
        <v>2993962</v>
      </c>
      <c r="C9549" s="0" t="n">
        <v>2993982</v>
      </c>
      <c r="D9549" s="0" t="s">
        <v>31742</v>
      </c>
      <c r="E9549" s="0" t="s">
        <v>31743</v>
      </c>
      <c r="F9549" s="0" t="s">
        <v>90</v>
      </c>
      <c r="G9549" s="0" t="s">
        <v>32</v>
      </c>
      <c r="H9549" s="0" t="n">
        <v>1</v>
      </c>
      <c r="I9549" s="0" t="s">
        <v>31744</v>
      </c>
      <c r="J9549" s="0" t="s">
        <v>31745</v>
      </c>
      <c r="K9549" s="0" t="s">
        <v>31746</v>
      </c>
      <c r="L9549" s="0" t="str">
        <f aca="false">HYPERLINK("https://www.ncbi.nlm.nih.gov/nuccore/CP000058.1?report=graph&amp;tracks=[key:gene_model_track,Options:GeneOnly]&amp;mk=2993963:2993982|offset_1|00cc00,2993939:2993958|offset_25|444444,2993911:2993930|offset_53|444444,2993872:2993891|offset_92|444444&amp;v=2993762:2994091&amp;c=444444", "offset 1")</f>
        <v>offset 1</v>
      </c>
    </row>
    <row r="9550" customFormat="false" ht="12.8" hidden="false" customHeight="false" outlineLevel="0" collapsed="false">
      <c r="A9550" s="0" t="s">
        <v>12</v>
      </c>
      <c r="B9550" s="0" t="n">
        <v>2993938</v>
      </c>
      <c r="C9550" s="0" t="n">
        <v>2993958</v>
      </c>
      <c r="D9550" s="0" t="s">
        <v>31742</v>
      </c>
      <c r="E9550" s="0" t="s">
        <v>31743</v>
      </c>
      <c r="F9550" s="0" t="s">
        <v>90</v>
      </c>
      <c r="G9550" s="0" t="s">
        <v>16</v>
      </c>
      <c r="H9550" s="0" t="n">
        <v>25</v>
      </c>
      <c r="I9550" s="0" t="s">
        <v>31747</v>
      </c>
      <c r="J9550" s="0" t="s">
        <v>31748</v>
      </c>
      <c r="K9550" s="0" t="s">
        <v>31749</v>
      </c>
      <c r="L9550" s="0" t="str">
        <f aca="false">HYPERLINK("https://www.ncbi.nlm.nih.gov/nuccore/CP000058.1?report=graph&amp;tracks=[key:gene_model_track,Options:GeneOnly]&amp;mk=2993963:2993982|offset_1|444444,2993939:2993958|offset_25|00cc00,2993911:2993930|offset_53|444444,2993872:2993891|offset_92|444444&amp;v=2993762:2994091&amp;c=444444", "offset 25")</f>
        <v>offset 25</v>
      </c>
    </row>
    <row r="9551" customFormat="false" ht="12.8" hidden="false" customHeight="false" outlineLevel="0" collapsed="false">
      <c r="A9551" s="0" t="s">
        <v>12</v>
      </c>
      <c r="B9551" s="0" t="n">
        <v>2993910</v>
      </c>
      <c r="C9551" s="0" t="n">
        <v>2993930</v>
      </c>
      <c r="D9551" s="0" t="s">
        <v>31742</v>
      </c>
      <c r="E9551" s="0" t="s">
        <v>31743</v>
      </c>
      <c r="F9551" s="0" t="s">
        <v>90</v>
      </c>
      <c r="G9551" s="0" t="s">
        <v>32</v>
      </c>
      <c r="H9551" s="0" t="n">
        <v>53</v>
      </c>
      <c r="I9551" s="0" t="s">
        <v>31750</v>
      </c>
      <c r="J9551" s="0" t="s">
        <v>31751</v>
      </c>
      <c r="K9551" s="0" t="s">
        <v>31752</v>
      </c>
      <c r="L9551" s="0" t="str">
        <f aca="false">HYPERLINK("https://www.ncbi.nlm.nih.gov/nuccore/CP000058.1?report=graph&amp;tracks=[key:gene_model_track,Options:GeneOnly]&amp;mk=2993963:2993982|offset_1|444444,2993939:2993958|offset_25|444444,2993911:2993930|offset_53|00cc00,2993872:2993891|offset_92|444444&amp;v=2993762:2994091&amp;c=444444", "offset 53")</f>
        <v>offset 53</v>
      </c>
    </row>
    <row r="9552" customFormat="false" ht="12.8" hidden="false" customHeight="false" outlineLevel="0" collapsed="false">
      <c r="A9552" s="0" t="s">
        <v>12</v>
      </c>
      <c r="B9552" s="0" t="n">
        <v>2993871</v>
      </c>
      <c r="C9552" s="0" t="n">
        <v>2993891</v>
      </c>
      <c r="D9552" s="0" t="s">
        <v>31742</v>
      </c>
      <c r="E9552" s="0" t="s">
        <v>31743</v>
      </c>
      <c r="F9552" s="0" t="s">
        <v>90</v>
      </c>
      <c r="G9552" s="0" t="s">
        <v>36</v>
      </c>
      <c r="H9552" s="0" t="n">
        <v>92</v>
      </c>
      <c r="I9552" s="0" t="s">
        <v>31753</v>
      </c>
      <c r="J9552" s="0" t="s">
        <v>31754</v>
      </c>
      <c r="K9552" s="0" t="s">
        <v>31755</v>
      </c>
      <c r="L9552" s="0" t="str">
        <f aca="false">HYPERLINK("https://www.ncbi.nlm.nih.gov/nuccore/CP000058.1?report=graph&amp;tracks=[key:gene_model_track,Options:GeneOnly]&amp;mk=2993963:2993982|offset_1|444444,2993939:2993958|offset_25|444444,2993911:2993930|offset_53|444444,2993872:2993891|offset_92|00cc00&amp;v=2993762:2994091&amp;c=444444", "offset 92")</f>
        <v>offset 92</v>
      </c>
    </row>
    <row r="9553" customFormat="false" ht="12.8" hidden="false" customHeight="false" outlineLevel="0" collapsed="false">
      <c r="A9553" s="0" t="s">
        <v>12</v>
      </c>
      <c r="B9553" s="0" t="n">
        <v>2994112</v>
      </c>
      <c r="C9553" s="0" t="n">
        <v>2994132</v>
      </c>
      <c r="D9553" s="0" t="s">
        <v>31756</v>
      </c>
      <c r="E9553" s="0" t="s">
        <v>75</v>
      </c>
      <c r="F9553" s="0" t="s">
        <v>15</v>
      </c>
      <c r="G9553" s="0" t="s">
        <v>16</v>
      </c>
      <c r="H9553" s="0" t="n">
        <v>0</v>
      </c>
      <c r="I9553" s="0" t="s">
        <v>31757</v>
      </c>
      <c r="J9553" s="0" t="s">
        <v>31758</v>
      </c>
      <c r="K9553" s="0" t="s">
        <v>31759</v>
      </c>
      <c r="L9553" s="0" t="str">
        <f aca="false">HYPERLINK("https://www.ncbi.nlm.nih.gov/nuccore/CP000058.1?report=graph&amp;tracks=[key:gene_model_track,Options:GeneOnly]&amp;mk=2994113:2994132|offset_0|00cc00,2994147:2994166|offset_34|444444,2994168:2994187|offset_55|444444,2994198:2994217|offset_85|444444&amp;v=2993912:2994417&amp;c=444444", "offset 0")</f>
        <v>offset 0</v>
      </c>
    </row>
    <row r="9554" customFormat="false" ht="12.8" hidden="false" customHeight="false" outlineLevel="0" collapsed="false">
      <c r="A9554" s="0" t="s">
        <v>12</v>
      </c>
      <c r="B9554" s="0" t="n">
        <v>2994146</v>
      </c>
      <c r="C9554" s="0" t="n">
        <v>2994166</v>
      </c>
      <c r="D9554" s="0" t="s">
        <v>31756</v>
      </c>
      <c r="E9554" s="0" t="s">
        <v>75</v>
      </c>
      <c r="F9554" s="0" t="s">
        <v>15</v>
      </c>
      <c r="G9554" s="0" t="s">
        <v>16</v>
      </c>
      <c r="H9554" s="0" t="n">
        <v>34</v>
      </c>
      <c r="I9554" s="0" t="s">
        <v>31760</v>
      </c>
      <c r="J9554" s="0" t="s">
        <v>31761</v>
      </c>
      <c r="K9554" s="0" t="s">
        <v>31762</v>
      </c>
      <c r="L9554" s="0" t="str">
        <f aca="false">HYPERLINK("https://www.ncbi.nlm.nih.gov/nuccore/CP000058.1?report=graph&amp;tracks=[key:gene_model_track,Options:GeneOnly]&amp;mk=2994113:2994132|offset_0|444444,2994147:2994166|offset_34|00cc00,2994168:2994187|offset_55|444444,2994198:2994217|offset_85|444444&amp;v=2993912:2994417&amp;c=444444", "offset 34")</f>
        <v>offset 34</v>
      </c>
    </row>
    <row r="9555" customFormat="false" ht="12.8" hidden="false" customHeight="false" outlineLevel="0" collapsed="false">
      <c r="A9555" s="0" t="s">
        <v>12</v>
      </c>
      <c r="B9555" s="0" t="n">
        <v>2994167</v>
      </c>
      <c r="C9555" s="0" t="n">
        <v>2994187</v>
      </c>
      <c r="D9555" s="0" t="s">
        <v>31756</v>
      </c>
      <c r="E9555" s="0" t="s">
        <v>75</v>
      </c>
      <c r="F9555" s="0" t="s">
        <v>15</v>
      </c>
      <c r="G9555" s="0" t="s">
        <v>20</v>
      </c>
      <c r="H9555" s="0" t="n">
        <v>55</v>
      </c>
      <c r="I9555" s="0" t="s">
        <v>31763</v>
      </c>
      <c r="J9555" s="0" t="s">
        <v>31764</v>
      </c>
      <c r="K9555" s="0" t="s">
        <v>31765</v>
      </c>
      <c r="L9555" s="0" t="str">
        <f aca="false">HYPERLINK("https://www.ncbi.nlm.nih.gov/nuccore/CP000058.1?report=graph&amp;tracks=[key:gene_model_track,Options:GeneOnly]&amp;mk=2994113:2994132|offset_0|444444,2994147:2994166|offset_34|444444,2994168:2994187|offset_55|00cc00,2994198:2994217|offset_85|444444&amp;v=2993912:2994417&amp;c=444444", "offset 55")</f>
        <v>offset 55</v>
      </c>
    </row>
    <row r="9556" customFormat="false" ht="12.8" hidden="false" customHeight="false" outlineLevel="0" collapsed="false">
      <c r="A9556" s="0" t="s">
        <v>12</v>
      </c>
      <c r="B9556" s="0" t="n">
        <v>2994197</v>
      </c>
      <c r="C9556" s="0" t="n">
        <v>2994217</v>
      </c>
      <c r="D9556" s="0" t="s">
        <v>31756</v>
      </c>
      <c r="E9556" s="0" t="s">
        <v>75</v>
      </c>
      <c r="F9556" s="0" t="s">
        <v>15</v>
      </c>
      <c r="G9556" s="0" t="s">
        <v>16</v>
      </c>
      <c r="H9556" s="0" t="n">
        <v>85</v>
      </c>
      <c r="I9556" s="0" t="s">
        <v>31766</v>
      </c>
      <c r="J9556" s="0" t="s">
        <v>31767</v>
      </c>
      <c r="K9556" s="0" t="s">
        <v>31768</v>
      </c>
      <c r="L9556" s="0" t="str">
        <f aca="false">HYPERLINK("https://www.ncbi.nlm.nih.gov/nuccore/CP000058.1?report=graph&amp;tracks=[key:gene_model_track,Options:GeneOnly]&amp;mk=2994113:2994132|offset_0|444444,2994147:2994166|offset_34|444444,2994168:2994187|offset_55|444444,2994198:2994217|offset_85|00cc00&amp;v=2993912:2994417&amp;c=444444", "offset 85")</f>
        <v>offset 85</v>
      </c>
    </row>
    <row r="9557" customFormat="false" ht="12.8" hidden="false" customHeight="false" outlineLevel="0" collapsed="false">
      <c r="A9557" s="0" t="s">
        <v>12</v>
      </c>
      <c r="B9557" s="0" t="n">
        <v>2996054</v>
      </c>
      <c r="C9557" s="0" t="n">
        <v>2996074</v>
      </c>
      <c r="D9557" s="0" t="s">
        <v>31769</v>
      </c>
      <c r="E9557" s="0" t="s">
        <v>75</v>
      </c>
      <c r="F9557" s="0" t="s">
        <v>90</v>
      </c>
      <c r="G9557" s="0" t="s">
        <v>32</v>
      </c>
      <c r="H9557" s="0" t="n">
        <v>14</v>
      </c>
      <c r="I9557" s="0" t="s">
        <v>31770</v>
      </c>
      <c r="J9557" s="0" t="s">
        <v>31771</v>
      </c>
      <c r="K9557" s="0" t="s">
        <v>31772</v>
      </c>
      <c r="L9557" s="0" t="str">
        <f aca="false">HYPERLINK("https://www.ncbi.nlm.nih.gov/nuccore/CP000058.1?report=graph&amp;tracks=[key:gene_model_track,Options:GeneOnly]&amp;mk=2996055:2996074|offset_14|00cc00,2996023:2996042|offset_46|444444,2995987:2996006|offset_82|444444,2995926:2995945|offset_143|444444&amp;v=2995854:2996145&amp;c=444444", "offset 14")</f>
        <v>offset 14</v>
      </c>
    </row>
    <row r="9558" customFormat="false" ht="12.8" hidden="false" customHeight="false" outlineLevel="0" collapsed="false">
      <c r="A9558" s="0" t="s">
        <v>12</v>
      </c>
      <c r="B9558" s="0" t="n">
        <v>2996022</v>
      </c>
      <c r="C9558" s="0" t="n">
        <v>2996042</v>
      </c>
      <c r="D9558" s="0" t="s">
        <v>31769</v>
      </c>
      <c r="E9558" s="0" t="s">
        <v>75</v>
      </c>
      <c r="F9558" s="0" t="s">
        <v>90</v>
      </c>
      <c r="G9558" s="0" t="s">
        <v>20</v>
      </c>
      <c r="H9558" s="0" t="n">
        <v>46</v>
      </c>
      <c r="I9558" s="0" t="s">
        <v>31773</v>
      </c>
      <c r="J9558" s="0" t="s">
        <v>31774</v>
      </c>
      <c r="K9558" s="0" t="s">
        <v>31775</v>
      </c>
      <c r="L9558" s="0" t="str">
        <f aca="false">HYPERLINK("https://www.ncbi.nlm.nih.gov/nuccore/CP000058.1?report=graph&amp;tracks=[key:gene_model_track,Options:GeneOnly]&amp;mk=2996055:2996074|offset_14|444444,2996023:2996042|offset_46|00cc00,2995987:2996006|offset_82|444444,2995926:2995945|offset_143|444444&amp;v=2995854:2996145&amp;c=444444", "offset 46")</f>
        <v>offset 46</v>
      </c>
    </row>
    <row r="9559" customFormat="false" ht="12.8" hidden="false" customHeight="false" outlineLevel="0" collapsed="false">
      <c r="A9559" s="0" t="s">
        <v>12</v>
      </c>
      <c r="B9559" s="0" t="n">
        <v>2995986</v>
      </c>
      <c r="C9559" s="0" t="n">
        <v>2996006</v>
      </c>
      <c r="D9559" s="0" t="s">
        <v>31769</v>
      </c>
      <c r="E9559" s="0" t="s">
        <v>75</v>
      </c>
      <c r="F9559" s="0" t="s">
        <v>90</v>
      </c>
      <c r="G9559" s="0" t="s">
        <v>16</v>
      </c>
      <c r="H9559" s="0" t="n">
        <v>82</v>
      </c>
      <c r="I9559" s="0" t="s">
        <v>31776</v>
      </c>
      <c r="J9559" s="0" t="s">
        <v>31777</v>
      </c>
      <c r="K9559" s="0" t="s">
        <v>31778</v>
      </c>
      <c r="L9559" s="0" t="str">
        <f aca="false">HYPERLINK("https://www.ncbi.nlm.nih.gov/nuccore/CP000058.1?report=graph&amp;tracks=[key:gene_model_track,Options:GeneOnly]&amp;mk=2996055:2996074|offset_14|444444,2996023:2996042|offset_46|444444,2995987:2996006|offset_82|00cc00,2995926:2995945|offset_143|444444&amp;v=2995854:2996145&amp;c=444444", "offset 82")</f>
        <v>offset 82</v>
      </c>
    </row>
    <row r="9560" customFormat="false" ht="12.8" hidden="false" customHeight="false" outlineLevel="0" collapsed="false">
      <c r="A9560" s="0" t="s">
        <v>12</v>
      </c>
      <c r="B9560" s="0" t="n">
        <v>2995925</v>
      </c>
      <c r="C9560" s="0" t="n">
        <v>2995945</v>
      </c>
      <c r="D9560" s="0" t="s">
        <v>31769</v>
      </c>
      <c r="E9560" s="0" t="s">
        <v>75</v>
      </c>
      <c r="F9560" s="0" t="s">
        <v>90</v>
      </c>
      <c r="G9560" s="0" t="s">
        <v>20</v>
      </c>
      <c r="H9560" s="0" t="n">
        <v>143</v>
      </c>
      <c r="I9560" s="0" t="s">
        <v>31779</v>
      </c>
      <c r="J9560" s="0" t="s">
        <v>31780</v>
      </c>
      <c r="K9560" s="0" t="s">
        <v>31781</v>
      </c>
      <c r="L9560" s="0" t="str">
        <f aca="false">HYPERLINK("https://www.ncbi.nlm.nih.gov/nuccore/CP000058.1?report=graph&amp;tracks=[key:gene_model_track,Options:GeneOnly]&amp;mk=2996055:2996074|offset_14|444444,2996023:2996042|offset_46|444444,2995987:2996006|offset_82|444444,2995926:2995945|offset_143|00cc00&amp;v=2995854:2996145&amp;c=444444", "offset 143")</f>
        <v>offset 143</v>
      </c>
    </row>
    <row r="9561" customFormat="false" ht="12.8" hidden="false" customHeight="false" outlineLevel="0" collapsed="false">
      <c r="A9561" s="0" t="s">
        <v>12</v>
      </c>
      <c r="B9561" s="0" t="n">
        <v>2996528</v>
      </c>
      <c r="C9561" s="0" t="n">
        <v>2996548</v>
      </c>
      <c r="D9561" s="0" t="s">
        <v>31782</v>
      </c>
      <c r="E9561" s="0" t="s">
        <v>75</v>
      </c>
      <c r="F9561" s="0" t="s">
        <v>90</v>
      </c>
      <c r="G9561" s="0" t="s">
        <v>16</v>
      </c>
      <c r="H9561" s="0" t="n">
        <v>6</v>
      </c>
      <c r="I9561" s="0" t="s">
        <v>31783</v>
      </c>
      <c r="J9561" s="0" t="s">
        <v>31784</v>
      </c>
      <c r="K9561" s="0" t="s">
        <v>31785</v>
      </c>
      <c r="L9561" s="0" t="str">
        <f aca="false">HYPERLINK("https://www.ncbi.nlm.nih.gov/nuccore/CP000058.1?report=graph&amp;tracks=[key:gene_model_track,Options:GeneOnly]&amp;mk=2996529:2996548|offset_6|00cc00,2996489:2996508|offset_46|444444,2996429:2996448|offset_106|444444,2996387:2996406|offset_148|444444&amp;v=2996328:2996606&amp;c=444444", "offset 6")</f>
        <v>offset 6</v>
      </c>
    </row>
    <row r="9562" customFormat="false" ht="12.8" hidden="false" customHeight="false" outlineLevel="0" collapsed="false">
      <c r="A9562" s="0" t="s">
        <v>12</v>
      </c>
      <c r="B9562" s="0" t="n">
        <v>2996488</v>
      </c>
      <c r="C9562" s="0" t="n">
        <v>2996508</v>
      </c>
      <c r="D9562" s="0" t="s">
        <v>31782</v>
      </c>
      <c r="E9562" s="0" t="s">
        <v>75</v>
      </c>
      <c r="F9562" s="0" t="s">
        <v>90</v>
      </c>
      <c r="G9562" s="0" t="s">
        <v>32</v>
      </c>
      <c r="H9562" s="0" t="n">
        <v>46</v>
      </c>
      <c r="I9562" s="0" t="s">
        <v>31786</v>
      </c>
      <c r="J9562" s="0" t="s">
        <v>31787</v>
      </c>
      <c r="K9562" s="0" t="s">
        <v>31788</v>
      </c>
      <c r="L9562" s="0" t="str">
        <f aca="false">HYPERLINK("https://www.ncbi.nlm.nih.gov/nuccore/CP000058.1?report=graph&amp;tracks=[key:gene_model_track,Options:GeneOnly]&amp;mk=2996529:2996548|offset_6|444444,2996489:2996508|offset_46|00cc00,2996429:2996448|offset_106|444444,2996387:2996406|offset_148|444444&amp;v=2996328:2996606&amp;c=444444", "offset 46")</f>
        <v>offset 46</v>
      </c>
    </row>
    <row r="9563" customFormat="false" ht="12.8" hidden="false" customHeight="false" outlineLevel="0" collapsed="false">
      <c r="A9563" s="0" t="s">
        <v>12</v>
      </c>
      <c r="B9563" s="0" t="n">
        <v>2996428</v>
      </c>
      <c r="C9563" s="0" t="n">
        <v>2996448</v>
      </c>
      <c r="D9563" s="0" t="s">
        <v>31782</v>
      </c>
      <c r="E9563" s="0" t="s">
        <v>75</v>
      </c>
      <c r="F9563" s="0" t="s">
        <v>90</v>
      </c>
      <c r="G9563" s="0" t="s">
        <v>16</v>
      </c>
      <c r="H9563" s="0" t="n">
        <v>106</v>
      </c>
      <c r="I9563" s="0" t="s">
        <v>31789</v>
      </c>
      <c r="J9563" s="0" t="s">
        <v>31790</v>
      </c>
      <c r="K9563" s="0" t="s">
        <v>31791</v>
      </c>
      <c r="L9563" s="0" t="str">
        <f aca="false">HYPERLINK("https://www.ncbi.nlm.nih.gov/nuccore/CP000058.1?report=graph&amp;tracks=[key:gene_model_track,Options:GeneOnly]&amp;mk=2996529:2996548|offset_6|444444,2996489:2996508|offset_46|444444,2996429:2996448|offset_106|00cc00,2996387:2996406|offset_148|444444&amp;v=2996328:2996606&amp;c=444444", "offset 106")</f>
        <v>offset 106</v>
      </c>
    </row>
    <row r="9564" customFormat="false" ht="12.8" hidden="false" customHeight="false" outlineLevel="0" collapsed="false">
      <c r="A9564" s="0" t="s">
        <v>12</v>
      </c>
      <c r="B9564" s="0" t="n">
        <v>2996386</v>
      </c>
      <c r="C9564" s="0" t="n">
        <v>2996406</v>
      </c>
      <c r="D9564" s="0" t="s">
        <v>31782</v>
      </c>
      <c r="E9564" s="0" t="s">
        <v>75</v>
      </c>
      <c r="F9564" s="0" t="s">
        <v>90</v>
      </c>
      <c r="G9564" s="0" t="s">
        <v>32</v>
      </c>
      <c r="H9564" s="0" t="n">
        <v>148</v>
      </c>
      <c r="I9564" s="0" t="s">
        <v>31792</v>
      </c>
      <c r="J9564" s="0" t="s">
        <v>31793</v>
      </c>
      <c r="K9564" s="0" t="s">
        <v>31794</v>
      </c>
      <c r="L9564" s="0" t="str">
        <f aca="false">HYPERLINK("https://www.ncbi.nlm.nih.gov/nuccore/CP000058.1?report=graph&amp;tracks=[key:gene_model_track,Options:GeneOnly]&amp;mk=2996529:2996548|offset_6|444444,2996489:2996508|offset_46|444444,2996429:2996448|offset_106|444444,2996387:2996406|offset_148|00cc00&amp;v=2996328:2996606&amp;c=444444", "offset 148")</f>
        <v>offset 148</v>
      </c>
    </row>
    <row r="9565" customFormat="false" ht="12.8" hidden="false" customHeight="false" outlineLevel="0" collapsed="false">
      <c r="A9565" s="0" t="s">
        <v>12</v>
      </c>
      <c r="B9565" s="0" t="n">
        <v>2996956</v>
      </c>
      <c r="C9565" s="0" t="n">
        <v>2996976</v>
      </c>
      <c r="D9565" s="0" t="s">
        <v>31795</v>
      </c>
      <c r="E9565" s="0" t="s">
        <v>75</v>
      </c>
      <c r="F9565" s="0" t="s">
        <v>15</v>
      </c>
      <c r="G9565" s="0" t="s">
        <v>32</v>
      </c>
      <c r="H9565" s="0" t="n">
        <v>69</v>
      </c>
      <c r="I9565" s="0" t="s">
        <v>31796</v>
      </c>
      <c r="J9565" s="0" t="s">
        <v>31797</v>
      </c>
      <c r="K9565" s="0" t="s">
        <v>31798</v>
      </c>
      <c r="L9565" s="0" t="str">
        <f aca="false">HYPERLINK("https://www.ncbi.nlm.nih.gov/nuccore/CP000058.1?report=graph&amp;tracks=[key:gene_model_track,Options:GeneOnly]&amp;mk=2996957:2996976|offset_69|00cc00,2996982:2997001|offset_94|444444,2997021:2997040|offset_133|444444,2997046:2997065|offset_158|444444&amp;v=2996756:2997265&amp;c=444444", "offset 69")</f>
        <v>offset 69</v>
      </c>
    </row>
    <row r="9566" customFormat="false" ht="12.8" hidden="false" customHeight="false" outlineLevel="0" collapsed="false">
      <c r="A9566" s="0" t="s">
        <v>12</v>
      </c>
      <c r="B9566" s="0" t="n">
        <v>2996981</v>
      </c>
      <c r="C9566" s="0" t="n">
        <v>2997001</v>
      </c>
      <c r="D9566" s="0" t="s">
        <v>31795</v>
      </c>
      <c r="E9566" s="0" t="s">
        <v>75</v>
      </c>
      <c r="F9566" s="0" t="s">
        <v>15</v>
      </c>
      <c r="G9566" s="0" t="s">
        <v>16</v>
      </c>
      <c r="H9566" s="0" t="n">
        <v>94</v>
      </c>
      <c r="I9566" s="0" t="s">
        <v>31799</v>
      </c>
      <c r="J9566" s="0" t="s">
        <v>31800</v>
      </c>
      <c r="K9566" s="0" t="s">
        <v>31801</v>
      </c>
      <c r="L9566" s="0" t="str">
        <f aca="false">HYPERLINK("https://www.ncbi.nlm.nih.gov/nuccore/CP000058.1?report=graph&amp;tracks=[key:gene_model_track,Options:GeneOnly]&amp;mk=2996957:2996976|offset_69|444444,2996982:2997001|offset_94|00cc00,2997021:2997040|offset_133|444444,2997046:2997065|offset_158|444444&amp;v=2996756:2997265&amp;c=444444", "offset 94")</f>
        <v>offset 94</v>
      </c>
    </row>
    <row r="9567" customFormat="false" ht="12.8" hidden="false" customHeight="false" outlineLevel="0" collapsed="false">
      <c r="A9567" s="0" t="s">
        <v>12</v>
      </c>
      <c r="B9567" s="0" t="n">
        <v>2997020</v>
      </c>
      <c r="C9567" s="0" t="n">
        <v>2997040</v>
      </c>
      <c r="D9567" s="0" t="s">
        <v>31795</v>
      </c>
      <c r="E9567" s="0" t="s">
        <v>75</v>
      </c>
      <c r="F9567" s="0" t="s">
        <v>15</v>
      </c>
      <c r="G9567" s="0" t="s">
        <v>32</v>
      </c>
      <c r="H9567" s="0" t="n">
        <v>133</v>
      </c>
      <c r="I9567" s="0" t="s">
        <v>31802</v>
      </c>
      <c r="J9567" s="0" t="s">
        <v>31803</v>
      </c>
      <c r="K9567" s="0" t="s">
        <v>31804</v>
      </c>
      <c r="L9567" s="0" t="str">
        <f aca="false">HYPERLINK("https://www.ncbi.nlm.nih.gov/nuccore/CP000058.1?report=graph&amp;tracks=[key:gene_model_track,Options:GeneOnly]&amp;mk=2996957:2996976|offset_69|444444,2996982:2997001|offset_94|444444,2997021:2997040|offset_133|00cc00,2997046:2997065|offset_158|444444&amp;v=2996756:2997265&amp;c=444444", "offset 133")</f>
        <v>offset 133</v>
      </c>
    </row>
    <row r="9568" customFormat="false" ht="12.8" hidden="false" customHeight="false" outlineLevel="0" collapsed="false">
      <c r="A9568" s="0" t="s">
        <v>12</v>
      </c>
      <c r="B9568" s="0" t="n">
        <v>2997045</v>
      </c>
      <c r="C9568" s="0" t="n">
        <v>2997065</v>
      </c>
      <c r="D9568" s="0" t="s">
        <v>31795</v>
      </c>
      <c r="E9568" s="0" t="s">
        <v>75</v>
      </c>
      <c r="F9568" s="0" t="s">
        <v>15</v>
      </c>
      <c r="G9568" s="0" t="s">
        <v>16</v>
      </c>
      <c r="H9568" s="0" t="n">
        <v>158</v>
      </c>
      <c r="I9568" s="0" t="s">
        <v>31805</v>
      </c>
      <c r="J9568" s="0" t="s">
        <v>31806</v>
      </c>
      <c r="K9568" s="0" t="s">
        <v>31807</v>
      </c>
      <c r="L9568" s="0" t="str">
        <f aca="false">HYPERLINK("https://www.ncbi.nlm.nih.gov/nuccore/CP000058.1?report=graph&amp;tracks=[key:gene_model_track,Options:GeneOnly]&amp;mk=2996957:2996976|offset_69|444444,2996982:2997001|offset_94|444444,2997021:2997040|offset_133|444444,2997046:2997065|offset_158|00cc00&amp;v=2996756:2997265&amp;c=444444", "offset 158")</f>
        <v>offset 158</v>
      </c>
    </row>
    <row r="9569" customFormat="false" ht="12.8" hidden="false" customHeight="false" outlineLevel="0" collapsed="false">
      <c r="A9569" s="0" t="s">
        <v>12</v>
      </c>
      <c r="B9569" s="0" t="n">
        <v>3000457</v>
      </c>
      <c r="C9569" s="0" t="n">
        <v>3000477</v>
      </c>
      <c r="D9569" s="0" t="s">
        <v>31808</v>
      </c>
      <c r="E9569" s="0" t="s">
        <v>31809</v>
      </c>
      <c r="F9569" s="0" t="s">
        <v>15</v>
      </c>
      <c r="G9569" s="0" t="s">
        <v>20</v>
      </c>
      <c r="H9569" s="0" t="n">
        <v>8</v>
      </c>
      <c r="I9569" s="0" t="s">
        <v>31810</v>
      </c>
      <c r="J9569" s="0" t="s">
        <v>31811</v>
      </c>
      <c r="K9569" s="0" t="s">
        <v>31812</v>
      </c>
      <c r="L9569" s="0" t="str">
        <f aca="false">HYPERLINK("https://www.ncbi.nlm.nih.gov/nuccore/CP000058.1?report=graph&amp;tracks=[key:gene_model_track,Options:GeneOnly]&amp;mk=3000458:3000477|offset_8|00cc00,3000488:3000507|offset_38|444444,3000509:3000528|offset_59|444444,3000530:3000549|offset_80|444444&amp;v=3000257:3000749&amp;c=444444", "offset 8")</f>
        <v>offset 8</v>
      </c>
    </row>
    <row r="9570" customFormat="false" ht="12.8" hidden="false" customHeight="false" outlineLevel="0" collapsed="false">
      <c r="A9570" s="0" t="s">
        <v>12</v>
      </c>
      <c r="B9570" s="0" t="n">
        <v>3000487</v>
      </c>
      <c r="C9570" s="0" t="n">
        <v>3000507</v>
      </c>
      <c r="D9570" s="0" t="s">
        <v>31808</v>
      </c>
      <c r="E9570" s="0" t="s">
        <v>31809</v>
      </c>
      <c r="F9570" s="0" t="s">
        <v>15</v>
      </c>
      <c r="G9570" s="0" t="s">
        <v>20</v>
      </c>
      <c r="H9570" s="0" t="n">
        <v>38</v>
      </c>
      <c r="I9570" s="0" t="s">
        <v>31813</v>
      </c>
      <c r="J9570" s="0" t="s">
        <v>31814</v>
      </c>
      <c r="K9570" s="0" t="s">
        <v>31815</v>
      </c>
      <c r="L9570" s="0" t="str">
        <f aca="false">HYPERLINK("https://www.ncbi.nlm.nih.gov/nuccore/CP000058.1?report=graph&amp;tracks=[key:gene_model_track,Options:GeneOnly]&amp;mk=3000458:3000477|offset_8|444444,3000488:3000507|offset_38|00cc00,3000509:3000528|offset_59|444444,3000530:3000549|offset_80|444444&amp;v=3000257:3000749&amp;c=444444", "offset 38")</f>
        <v>offset 38</v>
      </c>
    </row>
    <row r="9571" customFormat="false" ht="12.8" hidden="false" customHeight="false" outlineLevel="0" collapsed="false">
      <c r="A9571" s="0" t="s">
        <v>12</v>
      </c>
      <c r="B9571" s="0" t="n">
        <v>3000508</v>
      </c>
      <c r="C9571" s="0" t="n">
        <v>3000528</v>
      </c>
      <c r="D9571" s="0" t="s">
        <v>31808</v>
      </c>
      <c r="E9571" s="0" t="s">
        <v>31809</v>
      </c>
      <c r="F9571" s="0" t="s">
        <v>15</v>
      </c>
      <c r="G9571" s="0" t="s">
        <v>20</v>
      </c>
      <c r="H9571" s="0" t="n">
        <v>59</v>
      </c>
      <c r="I9571" s="0" t="s">
        <v>31816</v>
      </c>
      <c r="J9571" s="0" t="s">
        <v>31817</v>
      </c>
      <c r="K9571" s="0" t="s">
        <v>31818</v>
      </c>
      <c r="L9571" s="0" t="str">
        <f aca="false">HYPERLINK("https://www.ncbi.nlm.nih.gov/nuccore/CP000058.1?report=graph&amp;tracks=[key:gene_model_track,Options:GeneOnly]&amp;mk=3000458:3000477|offset_8|444444,3000488:3000507|offset_38|444444,3000509:3000528|offset_59|00cc00,3000530:3000549|offset_80|444444&amp;v=3000257:3000749&amp;c=444444", "offset 59")</f>
        <v>offset 59</v>
      </c>
    </row>
    <row r="9572" customFormat="false" ht="12.8" hidden="false" customHeight="false" outlineLevel="0" collapsed="false">
      <c r="A9572" s="0" t="s">
        <v>12</v>
      </c>
      <c r="B9572" s="0" t="n">
        <v>3000529</v>
      </c>
      <c r="C9572" s="0" t="n">
        <v>3000549</v>
      </c>
      <c r="D9572" s="0" t="s">
        <v>31808</v>
      </c>
      <c r="E9572" s="0" t="s">
        <v>31809</v>
      </c>
      <c r="F9572" s="0" t="s">
        <v>15</v>
      </c>
      <c r="G9572" s="0" t="s">
        <v>16</v>
      </c>
      <c r="H9572" s="0" t="n">
        <v>80</v>
      </c>
      <c r="I9572" s="0" t="s">
        <v>31819</v>
      </c>
      <c r="J9572" s="0" t="s">
        <v>31820</v>
      </c>
      <c r="K9572" s="0" t="s">
        <v>31821</v>
      </c>
      <c r="L9572" s="0" t="str">
        <f aca="false">HYPERLINK("https://www.ncbi.nlm.nih.gov/nuccore/CP000058.1?report=graph&amp;tracks=[key:gene_model_track,Options:GeneOnly]&amp;mk=3000458:3000477|offset_8|444444,3000488:3000507|offset_38|444444,3000509:3000528|offset_59|444444,3000530:3000549|offset_80|00cc00&amp;v=3000257:3000749&amp;c=444444", "offset 80")</f>
        <v>offset 80</v>
      </c>
    </row>
    <row r="9573" customFormat="false" ht="12.8" hidden="false" customHeight="false" outlineLevel="0" collapsed="false">
      <c r="A9573" s="0" t="s">
        <v>12</v>
      </c>
      <c r="B9573" s="0" t="n">
        <v>3001277</v>
      </c>
      <c r="C9573" s="0" t="n">
        <v>3001297</v>
      </c>
      <c r="D9573" s="0" t="s">
        <v>31822</v>
      </c>
      <c r="E9573" s="0" t="s">
        <v>31823</v>
      </c>
      <c r="F9573" s="0" t="s">
        <v>15</v>
      </c>
      <c r="G9573" s="0" t="s">
        <v>32</v>
      </c>
      <c r="H9573" s="0" t="n">
        <v>10</v>
      </c>
      <c r="I9573" s="0" t="s">
        <v>31824</v>
      </c>
      <c r="J9573" s="0" t="s">
        <v>31825</v>
      </c>
      <c r="K9573" s="0" t="s">
        <v>31826</v>
      </c>
      <c r="L9573" s="0" t="str">
        <f aca="false">HYPERLINK("https://www.ncbi.nlm.nih.gov/nuccore/CP000058.1?report=graph&amp;tracks=[key:gene_model_track,Options:GeneOnly]&amp;mk=3001278:3001297|offset_10|00cc00,3001299:3001318|offset_31|444444,3001362:3001381|offset_94|444444,3001391:3001410|offset_123|444444&amp;v=3001077:3001610&amp;c=444444", "offset 10")</f>
        <v>offset 10</v>
      </c>
    </row>
    <row r="9574" customFormat="false" ht="12.8" hidden="false" customHeight="false" outlineLevel="0" collapsed="false">
      <c r="A9574" s="0" t="s">
        <v>12</v>
      </c>
      <c r="B9574" s="0" t="n">
        <v>3001298</v>
      </c>
      <c r="C9574" s="0" t="n">
        <v>3001318</v>
      </c>
      <c r="D9574" s="0" t="s">
        <v>31822</v>
      </c>
      <c r="E9574" s="0" t="s">
        <v>31823</v>
      </c>
      <c r="F9574" s="0" t="s">
        <v>15</v>
      </c>
      <c r="G9574" s="0" t="s">
        <v>20</v>
      </c>
      <c r="H9574" s="0" t="n">
        <v>31</v>
      </c>
      <c r="I9574" s="0" t="s">
        <v>31827</v>
      </c>
      <c r="J9574" s="0" t="s">
        <v>31828</v>
      </c>
      <c r="K9574" s="0" t="s">
        <v>31829</v>
      </c>
      <c r="L9574" s="0" t="str">
        <f aca="false">HYPERLINK("https://www.ncbi.nlm.nih.gov/nuccore/CP000058.1?report=graph&amp;tracks=[key:gene_model_track,Options:GeneOnly]&amp;mk=3001278:3001297|offset_10|444444,3001299:3001318|offset_31|00cc00,3001362:3001381|offset_94|444444,3001391:3001410|offset_123|444444&amp;v=3001077:3001610&amp;c=444444", "offset 31")</f>
        <v>offset 31</v>
      </c>
    </row>
    <row r="9575" customFormat="false" ht="12.8" hidden="false" customHeight="false" outlineLevel="0" collapsed="false">
      <c r="A9575" s="0" t="s">
        <v>12</v>
      </c>
      <c r="B9575" s="0" t="n">
        <v>3001361</v>
      </c>
      <c r="C9575" s="0" t="n">
        <v>3001381</v>
      </c>
      <c r="D9575" s="0" t="s">
        <v>31822</v>
      </c>
      <c r="E9575" s="0" t="s">
        <v>31823</v>
      </c>
      <c r="F9575" s="0" t="s">
        <v>15</v>
      </c>
      <c r="G9575" s="0" t="s">
        <v>36</v>
      </c>
      <c r="H9575" s="0" t="n">
        <v>94</v>
      </c>
      <c r="I9575" s="0" t="s">
        <v>31830</v>
      </c>
      <c r="J9575" s="0" t="s">
        <v>31831</v>
      </c>
      <c r="K9575" s="0" t="s">
        <v>31832</v>
      </c>
      <c r="L9575" s="0" t="str">
        <f aca="false">HYPERLINK("https://www.ncbi.nlm.nih.gov/nuccore/CP000058.1?report=graph&amp;tracks=[key:gene_model_track,Options:GeneOnly]&amp;mk=3001278:3001297|offset_10|444444,3001299:3001318|offset_31|444444,3001362:3001381|offset_94|00cc00,3001391:3001410|offset_123|444444&amp;v=3001077:3001610&amp;c=444444", "offset 94")</f>
        <v>offset 94</v>
      </c>
    </row>
    <row r="9576" customFormat="false" ht="12.8" hidden="false" customHeight="false" outlineLevel="0" collapsed="false">
      <c r="A9576" s="0" t="s">
        <v>12</v>
      </c>
      <c r="B9576" s="0" t="n">
        <v>3001390</v>
      </c>
      <c r="C9576" s="0" t="n">
        <v>3001410</v>
      </c>
      <c r="D9576" s="0" t="s">
        <v>31822</v>
      </c>
      <c r="E9576" s="0" t="s">
        <v>31823</v>
      </c>
      <c r="F9576" s="0" t="s">
        <v>15</v>
      </c>
      <c r="G9576" s="0" t="s">
        <v>16</v>
      </c>
      <c r="H9576" s="0" t="n">
        <v>123</v>
      </c>
      <c r="I9576" s="0" t="s">
        <v>31833</v>
      </c>
      <c r="J9576" s="0" t="s">
        <v>31834</v>
      </c>
      <c r="K9576" s="0" t="s">
        <v>31835</v>
      </c>
      <c r="L9576" s="0" t="str">
        <f aca="false">HYPERLINK("https://www.ncbi.nlm.nih.gov/nuccore/CP000058.1?report=graph&amp;tracks=[key:gene_model_track,Options:GeneOnly]&amp;mk=3001278:3001297|offset_10|444444,3001299:3001318|offset_31|444444,3001362:3001381|offset_94|444444,3001391:3001410|offset_123|00cc00&amp;v=3001077:3001610&amp;c=444444", "offset 123")</f>
        <v>offset 123</v>
      </c>
    </row>
    <row r="9577" customFormat="false" ht="12.8" hidden="false" customHeight="false" outlineLevel="0" collapsed="false">
      <c r="A9577" s="0" t="s">
        <v>12</v>
      </c>
      <c r="B9577" s="0" t="n">
        <v>3001923</v>
      </c>
      <c r="C9577" s="0" t="n">
        <v>3001943</v>
      </c>
      <c r="D9577" s="0" t="s">
        <v>31836</v>
      </c>
      <c r="E9577" s="0" t="s">
        <v>75</v>
      </c>
      <c r="F9577" s="0" t="s">
        <v>15</v>
      </c>
      <c r="G9577" s="0" t="s">
        <v>16</v>
      </c>
      <c r="H9577" s="0" t="n">
        <v>48</v>
      </c>
      <c r="I9577" s="0" t="s">
        <v>31837</v>
      </c>
      <c r="J9577" s="0" t="s">
        <v>31838</v>
      </c>
      <c r="K9577" s="0" t="s">
        <v>31839</v>
      </c>
      <c r="L9577" s="0" t="str">
        <f aca="false">HYPERLINK("https://www.ncbi.nlm.nih.gov/nuccore/CP000058.1?report=graph&amp;tracks=[key:gene_model_track,Options:GeneOnly]&amp;mk=3001924:3001943|offset_48|00cc00,3002039:3002058|offset_163|444444,3002059:3002078|offset_183|444444,3002084:3002103|offset_208|444444&amp;v=3001723:3002303&amp;c=444444", "offset 48")</f>
        <v>offset 48</v>
      </c>
    </row>
    <row r="9578" customFormat="false" ht="12.8" hidden="false" customHeight="false" outlineLevel="0" collapsed="false">
      <c r="A9578" s="0" t="s">
        <v>12</v>
      </c>
      <c r="B9578" s="0" t="n">
        <v>3002038</v>
      </c>
      <c r="C9578" s="0" t="n">
        <v>3002058</v>
      </c>
      <c r="D9578" s="0" t="s">
        <v>31836</v>
      </c>
      <c r="E9578" s="0" t="s">
        <v>75</v>
      </c>
      <c r="F9578" s="0" t="s">
        <v>15</v>
      </c>
      <c r="G9578" s="0" t="s">
        <v>32</v>
      </c>
      <c r="H9578" s="0" t="n">
        <v>163</v>
      </c>
      <c r="I9578" s="0" t="s">
        <v>31840</v>
      </c>
      <c r="J9578" s="0" t="s">
        <v>31841</v>
      </c>
      <c r="K9578" s="0" t="s">
        <v>31842</v>
      </c>
      <c r="L9578" s="0" t="str">
        <f aca="false">HYPERLINK("https://www.ncbi.nlm.nih.gov/nuccore/CP000058.1?report=graph&amp;tracks=[key:gene_model_track,Options:GeneOnly]&amp;mk=3001924:3001943|offset_48|444444,3002039:3002058|offset_163|00cc00,3002059:3002078|offset_183|444444,3002084:3002103|offset_208|444444&amp;v=3001723:3002303&amp;c=444444", "offset 163")</f>
        <v>offset 163</v>
      </c>
    </row>
    <row r="9579" customFormat="false" ht="12.8" hidden="false" customHeight="false" outlineLevel="0" collapsed="false">
      <c r="A9579" s="0" t="s">
        <v>12</v>
      </c>
      <c r="B9579" s="0" t="n">
        <v>3002058</v>
      </c>
      <c r="C9579" s="0" t="n">
        <v>3002078</v>
      </c>
      <c r="D9579" s="0" t="s">
        <v>31836</v>
      </c>
      <c r="E9579" s="0" t="s">
        <v>75</v>
      </c>
      <c r="F9579" s="0" t="s">
        <v>15</v>
      </c>
      <c r="G9579" s="0" t="s">
        <v>20</v>
      </c>
      <c r="H9579" s="0" t="n">
        <v>183</v>
      </c>
      <c r="I9579" s="0" t="s">
        <v>31843</v>
      </c>
      <c r="J9579" s="0" t="s">
        <v>31844</v>
      </c>
      <c r="K9579" s="0" t="s">
        <v>31845</v>
      </c>
      <c r="L9579" s="0" t="str">
        <f aca="false">HYPERLINK("https://www.ncbi.nlm.nih.gov/nuccore/CP000058.1?report=graph&amp;tracks=[key:gene_model_track,Options:GeneOnly]&amp;mk=3001924:3001943|offset_48|444444,3002039:3002058|offset_163|444444,3002059:3002078|offset_183|00cc00,3002084:3002103|offset_208|444444&amp;v=3001723:3002303&amp;c=444444", "offset 183")</f>
        <v>offset 183</v>
      </c>
    </row>
    <row r="9580" customFormat="false" ht="12.8" hidden="false" customHeight="false" outlineLevel="0" collapsed="false">
      <c r="A9580" s="0" t="s">
        <v>12</v>
      </c>
      <c r="B9580" s="0" t="n">
        <v>3002083</v>
      </c>
      <c r="C9580" s="0" t="n">
        <v>3002103</v>
      </c>
      <c r="D9580" s="0" t="s">
        <v>31836</v>
      </c>
      <c r="E9580" s="0" t="s">
        <v>75</v>
      </c>
      <c r="F9580" s="0" t="s">
        <v>15</v>
      </c>
      <c r="G9580" s="0" t="s">
        <v>16</v>
      </c>
      <c r="H9580" s="0" t="n">
        <v>208</v>
      </c>
      <c r="I9580" s="0" t="s">
        <v>31846</v>
      </c>
      <c r="J9580" s="0" t="s">
        <v>31847</v>
      </c>
      <c r="K9580" s="0" t="s">
        <v>31848</v>
      </c>
      <c r="L9580" s="0" t="str">
        <f aca="false">HYPERLINK("https://www.ncbi.nlm.nih.gov/nuccore/CP000058.1?report=graph&amp;tracks=[key:gene_model_track,Options:GeneOnly]&amp;mk=3001924:3001943|offset_48|444444,3002039:3002058|offset_163|444444,3002059:3002078|offset_183|444444,3002084:3002103|offset_208|00cc00&amp;v=3001723:3002303&amp;c=444444", "offset 208")</f>
        <v>offset 208</v>
      </c>
    </row>
    <row r="9581" customFormat="false" ht="12.8" hidden="false" customHeight="false" outlineLevel="0" collapsed="false">
      <c r="A9581" s="0" t="s">
        <v>12</v>
      </c>
      <c r="B9581" s="0" t="n">
        <v>3003150</v>
      </c>
      <c r="C9581" s="0" t="n">
        <v>3003170</v>
      </c>
      <c r="D9581" s="0" t="s">
        <v>31849</v>
      </c>
      <c r="E9581" s="0" t="s">
        <v>75</v>
      </c>
      <c r="F9581" s="0" t="s">
        <v>15</v>
      </c>
      <c r="G9581" s="0" t="s">
        <v>36</v>
      </c>
      <c r="H9581" s="0" t="n">
        <v>0</v>
      </c>
      <c r="I9581" s="0" t="s">
        <v>31850</v>
      </c>
      <c r="J9581" s="0" t="s">
        <v>31851</v>
      </c>
      <c r="K9581" s="0" t="s">
        <v>31852</v>
      </c>
      <c r="L9581" s="0" t="str">
        <f aca="false">HYPERLINK("https://www.ncbi.nlm.nih.gov/nuccore/CP000058.1?report=graph&amp;tracks=[key:gene_model_track,Options:GeneOnly]&amp;mk=3003151:3003170|offset_0|00cc00,3003250:3003269|offset_99|444444,3003272:3003291|offset_121|444444,3003303:3003322|offset_152|444444&amp;v=3002950:3003522&amp;c=444444", "offset 0")</f>
        <v>offset 0</v>
      </c>
    </row>
    <row r="9582" customFormat="false" ht="12.8" hidden="false" customHeight="false" outlineLevel="0" collapsed="false">
      <c r="A9582" s="0" t="s">
        <v>12</v>
      </c>
      <c r="B9582" s="0" t="n">
        <v>3003249</v>
      </c>
      <c r="C9582" s="0" t="n">
        <v>3003269</v>
      </c>
      <c r="D9582" s="0" t="s">
        <v>31849</v>
      </c>
      <c r="E9582" s="0" t="s">
        <v>75</v>
      </c>
      <c r="F9582" s="0" t="s">
        <v>15</v>
      </c>
      <c r="G9582" s="0" t="s">
        <v>36</v>
      </c>
      <c r="H9582" s="0" t="n">
        <v>99</v>
      </c>
      <c r="I9582" s="0" t="s">
        <v>31853</v>
      </c>
      <c r="J9582" s="0" t="s">
        <v>31854</v>
      </c>
      <c r="K9582" s="0" t="s">
        <v>31855</v>
      </c>
      <c r="L9582" s="0" t="str">
        <f aca="false">HYPERLINK("https://www.ncbi.nlm.nih.gov/nuccore/CP000058.1?report=graph&amp;tracks=[key:gene_model_track,Options:GeneOnly]&amp;mk=3003151:3003170|offset_0|444444,3003250:3003269|offset_99|00cc00,3003272:3003291|offset_121|444444,3003303:3003322|offset_152|444444&amp;v=3002950:3003522&amp;c=444444", "offset 99")</f>
        <v>offset 99</v>
      </c>
    </row>
    <row r="9583" customFormat="false" ht="12.8" hidden="false" customHeight="false" outlineLevel="0" collapsed="false">
      <c r="A9583" s="0" t="s">
        <v>12</v>
      </c>
      <c r="B9583" s="0" t="n">
        <v>3003271</v>
      </c>
      <c r="C9583" s="0" t="n">
        <v>3003291</v>
      </c>
      <c r="D9583" s="0" t="s">
        <v>31849</v>
      </c>
      <c r="E9583" s="0" t="s">
        <v>75</v>
      </c>
      <c r="F9583" s="0" t="s">
        <v>15</v>
      </c>
      <c r="G9583" s="0" t="s">
        <v>16</v>
      </c>
      <c r="H9583" s="0" t="n">
        <v>121</v>
      </c>
      <c r="I9583" s="0" t="s">
        <v>31856</v>
      </c>
      <c r="J9583" s="0" t="s">
        <v>31857</v>
      </c>
      <c r="K9583" s="0" t="s">
        <v>31858</v>
      </c>
      <c r="L9583" s="0" t="str">
        <f aca="false">HYPERLINK("https://www.ncbi.nlm.nih.gov/nuccore/CP000058.1?report=graph&amp;tracks=[key:gene_model_track,Options:GeneOnly]&amp;mk=3003151:3003170|offset_0|444444,3003250:3003269|offset_99|444444,3003272:3003291|offset_121|00cc00,3003303:3003322|offset_152|444444&amp;v=3002950:3003522&amp;c=444444", "offset 121")</f>
        <v>offset 121</v>
      </c>
    </row>
    <row r="9584" customFormat="false" ht="12.8" hidden="false" customHeight="false" outlineLevel="0" collapsed="false">
      <c r="A9584" s="0" t="s">
        <v>12</v>
      </c>
      <c r="B9584" s="0" t="n">
        <v>3003302</v>
      </c>
      <c r="C9584" s="0" t="n">
        <v>3003322</v>
      </c>
      <c r="D9584" s="0" t="s">
        <v>31849</v>
      </c>
      <c r="E9584" s="0" t="s">
        <v>75</v>
      </c>
      <c r="F9584" s="0" t="s">
        <v>15</v>
      </c>
      <c r="G9584" s="0" t="s">
        <v>20</v>
      </c>
      <c r="H9584" s="0" t="n">
        <v>152</v>
      </c>
      <c r="I9584" s="0" t="s">
        <v>31859</v>
      </c>
      <c r="J9584" s="0" t="s">
        <v>31860</v>
      </c>
      <c r="K9584" s="0" t="s">
        <v>31861</v>
      </c>
      <c r="L9584" s="0" t="str">
        <f aca="false">HYPERLINK("https://www.ncbi.nlm.nih.gov/nuccore/CP000058.1?report=graph&amp;tracks=[key:gene_model_track,Options:GeneOnly]&amp;mk=3003151:3003170|offset_0|444444,3003250:3003269|offset_99|444444,3003272:3003291|offset_121|444444,3003303:3003322|offset_152|00cc00&amp;v=3002950:3003522&amp;c=444444", "offset 152")</f>
        <v>offset 152</v>
      </c>
    </row>
    <row r="9585" customFormat="false" ht="12.8" hidden="false" customHeight="false" outlineLevel="0" collapsed="false">
      <c r="A9585" s="0" t="s">
        <v>12</v>
      </c>
      <c r="B9585" s="0" t="n">
        <v>3005576</v>
      </c>
      <c r="C9585" s="0" t="n">
        <v>3005596</v>
      </c>
      <c r="D9585" s="0" t="s">
        <v>31862</v>
      </c>
      <c r="E9585" s="0" t="s">
        <v>75</v>
      </c>
      <c r="F9585" s="0" t="s">
        <v>90</v>
      </c>
      <c r="G9585" s="0" t="s">
        <v>20</v>
      </c>
      <c r="H9585" s="0" t="n">
        <v>11</v>
      </c>
      <c r="I9585" s="0" t="s">
        <v>31863</v>
      </c>
      <c r="J9585" s="0" t="s">
        <v>31864</v>
      </c>
      <c r="K9585" s="0" t="s">
        <v>31865</v>
      </c>
      <c r="L9585" s="0" t="str">
        <f aca="false">HYPERLINK("https://www.ncbi.nlm.nih.gov/nuccore/CP000058.1?report=graph&amp;tracks=[key:gene_model_track,Options:GeneOnly]&amp;mk=3005577:3005596|offset_11|00cc00,3005545:3005564|offset_43|444444,3005499:3005518|offset_89|444444,3005453:3005472|offset_135|444444&amp;v=3005376:3005672&amp;c=444444", "offset 11")</f>
        <v>offset 11</v>
      </c>
    </row>
    <row r="9586" customFormat="false" ht="12.8" hidden="false" customHeight="false" outlineLevel="0" collapsed="false">
      <c r="A9586" s="0" t="s">
        <v>12</v>
      </c>
      <c r="B9586" s="0" t="n">
        <v>3005544</v>
      </c>
      <c r="C9586" s="0" t="n">
        <v>3005564</v>
      </c>
      <c r="D9586" s="0" t="s">
        <v>31862</v>
      </c>
      <c r="E9586" s="0" t="s">
        <v>75</v>
      </c>
      <c r="F9586" s="0" t="s">
        <v>90</v>
      </c>
      <c r="G9586" s="0" t="s">
        <v>36</v>
      </c>
      <c r="H9586" s="0" t="n">
        <v>43</v>
      </c>
      <c r="I9586" s="0" t="s">
        <v>31866</v>
      </c>
      <c r="J9586" s="0" t="s">
        <v>31867</v>
      </c>
      <c r="K9586" s="0" t="s">
        <v>31868</v>
      </c>
      <c r="L9586" s="0" t="str">
        <f aca="false">HYPERLINK("https://www.ncbi.nlm.nih.gov/nuccore/CP000058.1?report=graph&amp;tracks=[key:gene_model_track,Options:GeneOnly]&amp;mk=3005577:3005596|offset_11|444444,3005545:3005564|offset_43|00cc00,3005499:3005518|offset_89|444444,3005453:3005472|offset_135|444444&amp;v=3005376:3005672&amp;c=444444", "offset 43")</f>
        <v>offset 43</v>
      </c>
    </row>
    <row r="9587" customFormat="false" ht="12.8" hidden="false" customHeight="false" outlineLevel="0" collapsed="false">
      <c r="A9587" s="0" t="s">
        <v>12</v>
      </c>
      <c r="B9587" s="0" t="n">
        <v>3005498</v>
      </c>
      <c r="C9587" s="0" t="n">
        <v>3005518</v>
      </c>
      <c r="D9587" s="0" t="s">
        <v>31862</v>
      </c>
      <c r="E9587" s="0" t="s">
        <v>75</v>
      </c>
      <c r="F9587" s="0" t="s">
        <v>90</v>
      </c>
      <c r="G9587" s="0" t="s">
        <v>20</v>
      </c>
      <c r="H9587" s="0" t="n">
        <v>89</v>
      </c>
      <c r="I9587" s="0" t="s">
        <v>31869</v>
      </c>
      <c r="J9587" s="0" t="s">
        <v>31870</v>
      </c>
      <c r="K9587" s="0" t="s">
        <v>31871</v>
      </c>
      <c r="L9587" s="0" t="str">
        <f aca="false">HYPERLINK("https://www.ncbi.nlm.nih.gov/nuccore/CP000058.1?report=graph&amp;tracks=[key:gene_model_track,Options:GeneOnly]&amp;mk=3005577:3005596|offset_11|444444,3005545:3005564|offset_43|444444,3005499:3005518|offset_89|00cc00,3005453:3005472|offset_135|444444&amp;v=3005376:3005672&amp;c=444444", "offset 89")</f>
        <v>offset 89</v>
      </c>
    </row>
    <row r="9588" customFormat="false" ht="12.8" hidden="false" customHeight="false" outlineLevel="0" collapsed="false">
      <c r="A9588" s="0" t="s">
        <v>12</v>
      </c>
      <c r="B9588" s="0" t="n">
        <v>3005452</v>
      </c>
      <c r="C9588" s="0" t="n">
        <v>3005472</v>
      </c>
      <c r="D9588" s="0" t="s">
        <v>31862</v>
      </c>
      <c r="E9588" s="0" t="s">
        <v>75</v>
      </c>
      <c r="F9588" s="0" t="s">
        <v>90</v>
      </c>
      <c r="G9588" s="0" t="s">
        <v>16</v>
      </c>
      <c r="H9588" s="0" t="n">
        <v>135</v>
      </c>
      <c r="I9588" s="0" t="s">
        <v>31872</v>
      </c>
      <c r="J9588" s="0" t="s">
        <v>31873</v>
      </c>
      <c r="K9588" s="0" t="s">
        <v>31874</v>
      </c>
      <c r="L9588" s="0" t="str">
        <f aca="false">HYPERLINK("https://www.ncbi.nlm.nih.gov/nuccore/CP000058.1?report=graph&amp;tracks=[key:gene_model_track,Options:GeneOnly]&amp;mk=3005577:3005596|offset_11|444444,3005545:3005564|offset_43|444444,3005499:3005518|offset_89|444444,3005453:3005472|offset_135|00cc00&amp;v=3005376:3005672&amp;c=444444", "offset 135")</f>
        <v>offset 135</v>
      </c>
    </row>
    <row r="9589" customFormat="false" ht="12.8" hidden="false" customHeight="false" outlineLevel="0" collapsed="false">
      <c r="A9589" s="0" t="s">
        <v>12</v>
      </c>
      <c r="B9589" s="0" t="n">
        <v>3007115</v>
      </c>
      <c r="C9589" s="0" t="n">
        <v>3007135</v>
      </c>
      <c r="D9589" s="0" t="s">
        <v>31875</v>
      </c>
      <c r="E9589" s="0" t="s">
        <v>75</v>
      </c>
      <c r="F9589" s="0" t="s">
        <v>90</v>
      </c>
      <c r="G9589" s="0" t="s">
        <v>16</v>
      </c>
      <c r="H9589" s="0" t="n">
        <v>25</v>
      </c>
      <c r="I9589" s="0" t="s">
        <v>31876</v>
      </c>
      <c r="J9589" s="0" t="s">
        <v>31877</v>
      </c>
      <c r="K9589" s="0" t="s">
        <v>31878</v>
      </c>
      <c r="L9589" s="0" t="str">
        <f aca="false">HYPERLINK("https://www.ncbi.nlm.nih.gov/nuccore/CP000058.1?report=graph&amp;tracks=[key:gene_model_track,Options:GeneOnly]&amp;mk=3007116:3007135|offset_25|00cc00,3007091:3007110|offset_50|444444,3007055:3007074|offset_86|444444,3007035:3007054|offset_106|444444&amp;v=3006915:3007254&amp;c=444444", "offset 25")</f>
        <v>offset 25</v>
      </c>
    </row>
    <row r="9590" customFormat="false" ht="12.8" hidden="false" customHeight="false" outlineLevel="0" collapsed="false">
      <c r="A9590" s="0" t="s">
        <v>12</v>
      </c>
      <c r="B9590" s="0" t="n">
        <v>3007090</v>
      </c>
      <c r="C9590" s="0" t="n">
        <v>3007110</v>
      </c>
      <c r="D9590" s="0" t="s">
        <v>31875</v>
      </c>
      <c r="E9590" s="0" t="s">
        <v>75</v>
      </c>
      <c r="F9590" s="0" t="s">
        <v>90</v>
      </c>
      <c r="G9590" s="0" t="s">
        <v>20</v>
      </c>
      <c r="H9590" s="0" t="n">
        <v>50</v>
      </c>
      <c r="I9590" s="0" t="s">
        <v>31879</v>
      </c>
      <c r="J9590" s="0" t="s">
        <v>31880</v>
      </c>
      <c r="K9590" s="0" t="s">
        <v>31881</v>
      </c>
      <c r="L9590" s="0" t="str">
        <f aca="false">HYPERLINK("https://www.ncbi.nlm.nih.gov/nuccore/CP000058.1?report=graph&amp;tracks=[key:gene_model_track,Options:GeneOnly]&amp;mk=3007116:3007135|offset_25|444444,3007091:3007110|offset_50|00cc00,3007055:3007074|offset_86|444444,3007035:3007054|offset_106|444444&amp;v=3006915:3007254&amp;c=444444", "offset 50")</f>
        <v>offset 50</v>
      </c>
    </row>
    <row r="9591" customFormat="false" ht="12.8" hidden="false" customHeight="false" outlineLevel="0" collapsed="false">
      <c r="A9591" s="0" t="s">
        <v>12</v>
      </c>
      <c r="B9591" s="0" t="n">
        <v>3007054</v>
      </c>
      <c r="C9591" s="0" t="n">
        <v>3007074</v>
      </c>
      <c r="D9591" s="0" t="s">
        <v>31875</v>
      </c>
      <c r="E9591" s="0" t="s">
        <v>75</v>
      </c>
      <c r="F9591" s="0" t="s">
        <v>90</v>
      </c>
      <c r="G9591" s="0" t="s">
        <v>20</v>
      </c>
      <c r="H9591" s="0" t="n">
        <v>86</v>
      </c>
      <c r="I9591" s="0" t="s">
        <v>31882</v>
      </c>
      <c r="J9591" s="0" t="s">
        <v>31883</v>
      </c>
      <c r="K9591" s="0" t="s">
        <v>31884</v>
      </c>
      <c r="L9591" s="0" t="str">
        <f aca="false">HYPERLINK("https://www.ncbi.nlm.nih.gov/nuccore/CP000058.1?report=graph&amp;tracks=[key:gene_model_track,Options:GeneOnly]&amp;mk=3007116:3007135|offset_25|444444,3007091:3007110|offset_50|444444,3007055:3007074|offset_86|00cc00,3007035:3007054|offset_106|444444&amp;v=3006915:3007254&amp;c=444444", "offset 86")</f>
        <v>offset 86</v>
      </c>
    </row>
    <row r="9592" customFormat="false" ht="12.8" hidden="false" customHeight="false" outlineLevel="0" collapsed="false">
      <c r="A9592" s="0" t="s">
        <v>12</v>
      </c>
      <c r="B9592" s="0" t="n">
        <v>3007034</v>
      </c>
      <c r="C9592" s="0" t="n">
        <v>3007054</v>
      </c>
      <c r="D9592" s="0" t="s">
        <v>31875</v>
      </c>
      <c r="E9592" s="0" t="s">
        <v>75</v>
      </c>
      <c r="F9592" s="0" t="s">
        <v>90</v>
      </c>
      <c r="G9592" s="0" t="s">
        <v>16</v>
      </c>
      <c r="H9592" s="0" t="n">
        <v>106</v>
      </c>
      <c r="I9592" s="0" t="s">
        <v>31885</v>
      </c>
      <c r="J9592" s="0" t="s">
        <v>31886</v>
      </c>
      <c r="K9592" s="0" t="s">
        <v>31887</v>
      </c>
      <c r="L9592" s="0" t="str">
        <f aca="false">HYPERLINK("https://www.ncbi.nlm.nih.gov/nuccore/CP000058.1?report=graph&amp;tracks=[key:gene_model_track,Options:GeneOnly]&amp;mk=3007116:3007135|offset_25|444444,3007091:3007110|offset_50|444444,3007055:3007074|offset_86|444444,3007035:3007054|offset_106|00cc00&amp;v=3006915:3007254&amp;c=444444", "offset 106")</f>
        <v>offset 106</v>
      </c>
    </row>
    <row r="9593" customFormat="false" ht="12.8" hidden="false" customHeight="false" outlineLevel="0" collapsed="false">
      <c r="A9593" s="0" t="s">
        <v>12</v>
      </c>
      <c r="B9593" s="0" t="n">
        <v>3007387</v>
      </c>
      <c r="C9593" s="0" t="n">
        <v>3007407</v>
      </c>
      <c r="D9593" s="0" t="s">
        <v>31888</v>
      </c>
      <c r="E9593" s="0" t="s">
        <v>75</v>
      </c>
      <c r="F9593" s="0" t="s">
        <v>15</v>
      </c>
      <c r="G9593" s="0" t="s">
        <v>16</v>
      </c>
      <c r="H9593" s="0" t="n">
        <v>7</v>
      </c>
      <c r="I9593" s="0" t="s">
        <v>31889</v>
      </c>
      <c r="J9593" s="0" t="s">
        <v>31890</v>
      </c>
      <c r="K9593" s="0" t="s">
        <v>31891</v>
      </c>
      <c r="L9593" s="0" t="str">
        <f aca="false">HYPERLINK("https://www.ncbi.nlm.nih.gov/nuccore/CP000058.1?report=graph&amp;tracks=[key:gene_model_track,Options:GeneOnly]&amp;mk=3007388:3007407|offset_7|00cc00,3007450:3007469|offset_69|444444,3007611:3007630|offset_230|444444,3007632:3007651|offset_251|444444&amp;v=3007187:3007851&amp;c=444444", "offset 7")</f>
        <v>offset 7</v>
      </c>
    </row>
    <row r="9594" customFormat="false" ht="12.8" hidden="false" customHeight="false" outlineLevel="0" collapsed="false">
      <c r="A9594" s="0" t="s">
        <v>12</v>
      </c>
      <c r="B9594" s="0" t="n">
        <v>3007449</v>
      </c>
      <c r="C9594" s="0" t="n">
        <v>3007469</v>
      </c>
      <c r="D9594" s="0" t="s">
        <v>31888</v>
      </c>
      <c r="E9594" s="0" t="s">
        <v>75</v>
      </c>
      <c r="F9594" s="0" t="s">
        <v>15</v>
      </c>
      <c r="G9594" s="0" t="s">
        <v>20</v>
      </c>
      <c r="H9594" s="0" t="n">
        <v>69</v>
      </c>
      <c r="I9594" s="0" t="s">
        <v>31892</v>
      </c>
      <c r="J9594" s="0" t="s">
        <v>31893</v>
      </c>
      <c r="K9594" s="0" t="s">
        <v>31894</v>
      </c>
      <c r="L9594" s="0" t="str">
        <f aca="false">HYPERLINK("https://www.ncbi.nlm.nih.gov/nuccore/CP000058.1?report=graph&amp;tracks=[key:gene_model_track,Options:GeneOnly]&amp;mk=3007388:3007407|offset_7|444444,3007450:3007469|offset_69|00cc00,3007611:3007630|offset_230|444444,3007632:3007651|offset_251|444444&amp;v=3007187:3007851&amp;c=444444", "offset 69")</f>
        <v>offset 69</v>
      </c>
    </row>
    <row r="9595" customFormat="false" ht="12.8" hidden="false" customHeight="false" outlineLevel="0" collapsed="false">
      <c r="A9595" s="0" t="s">
        <v>12</v>
      </c>
      <c r="B9595" s="0" t="n">
        <v>3007610</v>
      </c>
      <c r="C9595" s="0" t="n">
        <v>3007630</v>
      </c>
      <c r="D9595" s="0" t="s">
        <v>31888</v>
      </c>
      <c r="E9595" s="0" t="s">
        <v>75</v>
      </c>
      <c r="F9595" s="0" t="s">
        <v>15</v>
      </c>
      <c r="G9595" s="0" t="s">
        <v>32</v>
      </c>
      <c r="H9595" s="0" t="n">
        <v>230</v>
      </c>
      <c r="I9595" s="0" t="s">
        <v>31895</v>
      </c>
      <c r="J9595" s="0" t="s">
        <v>31896</v>
      </c>
      <c r="K9595" s="0" t="s">
        <v>31897</v>
      </c>
      <c r="L9595" s="0" t="str">
        <f aca="false">HYPERLINK("https://www.ncbi.nlm.nih.gov/nuccore/CP000058.1?report=graph&amp;tracks=[key:gene_model_track,Options:GeneOnly]&amp;mk=3007388:3007407|offset_7|444444,3007450:3007469|offset_69|444444,3007611:3007630|offset_230|00cc00,3007632:3007651|offset_251|444444&amp;v=3007187:3007851&amp;c=444444", "offset 230")</f>
        <v>offset 230</v>
      </c>
    </row>
    <row r="9596" customFormat="false" ht="12.8" hidden="false" customHeight="false" outlineLevel="0" collapsed="false">
      <c r="A9596" s="0" t="s">
        <v>12</v>
      </c>
      <c r="B9596" s="0" t="n">
        <v>3007631</v>
      </c>
      <c r="C9596" s="0" t="n">
        <v>3007651</v>
      </c>
      <c r="D9596" s="0" t="s">
        <v>31888</v>
      </c>
      <c r="E9596" s="0" t="s">
        <v>75</v>
      </c>
      <c r="F9596" s="0" t="s">
        <v>15</v>
      </c>
      <c r="G9596" s="0" t="s">
        <v>16</v>
      </c>
      <c r="H9596" s="0" t="n">
        <v>251</v>
      </c>
      <c r="I9596" s="0" t="s">
        <v>31898</v>
      </c>
      <c r="J9596" s="0" t="s">
        <v>31899</v>
      </c>
      <c r="K9596" s="0" t="s">
        <v>31900</v>
      </c>
      <c r="L9596" s="0" t="str">
        <f aca="false">HYPERLINK("https://www.ncbi.nlm.nih.gov/nuccore/CP000058.1?report=graph&amp;tracks=[key:gene_model_track,Options:GeneOnly]&amp;mk=3007388:3007407|offset_7|444444,3007450:3007469|offset_69|444444,3007611:3007630|offset_230|444444,3007632:3007651|offset_251|00cc00&amp;v=3007187:3007851&amp;c=444444", "offset 251")</f>
        <v>offset 251</v>
      </c>
    </row>
    <row r="9597" customFormat="false" ht="12.8" hidden="false" customHeight="false" outlineLevel="0" collapsed="false">
      <c r="A9597" s="0" t="s">
        <v>12</v>
      </c>
      <c r="B9597" s="0" t="n">
        <v>3008233</v>
      </c>
      <c r="C9597" s="0" t="n">
        <v>3008253</v>
      </c>
      <c r="D9597" s="0" t="s">
        <v>31901</v>
      </c>
      <c r="E9597" s="0" t="s">
        <v>75</v>
      </c>
      <c r="F9597" s="0" t="s">
        <v>15</v>
      </c>
      <c r="G9597" s="0" t="s">
        <v>32</v>
      </c>
      <c r="H9597" s="0" t="n">
        <v>1</v>
      </c>
      <c r="I9597" s="0" t="s">
        <v>31902</v>
      </c>
      <c r="J9597" s="0" t="s">
        <v>31903</v>
      </c>
      <c r="K9597" s="0" t="s">
        <v>31904</v>
      </c>
      <c r="L9597" s="0" t="str">
        <f aca="false">HYPERLINK("https://www.ncbi.nlm.nih.gov/nuccore/CP000058.1?report=graph&amp;tracks=[key:gene_model_track,Options:GeneOnly]&amp;mk=3008234:3008253|offset_1|00cc00,3008282:3008301|offset_49|444444,3008304:3008323|offset_71|444444,3008333:3008352|offset_100|444444&amp;v=3008033:3008552&amp;c=444444", "offset 1")</f>
        <v>offset 1</v>
      </c>
    </row>
    <row r="9598" customFormat="false" ht="12.8" hidden="false" customHeight="false" outlineLevel="0" collapsed="false">
      <c r="A9598" s="0" t="s">
        <v>12</v>
      </c>
      <c r="B9598" s="0" t="n">
        <v>3008281</v>
      </c>
      <c r="C9598" s="0" t="n">
        <v>3008301</v>
      </c>
      <c r="D9598" s="0" t="s">
        <v>31901</v>
      </c>
      <c r="E9598" s="0" t="s">
        <v>75</v>
      </c>
      <c r="F9598" s="0" t="s">
        <v>15</v>
      </c>
      <c r="G9598" s="0" t="s">
        <v>16</v>
      </c>
      <c r="H9598" s="0" t="n">
        <v>49</v>
      </c>
      <c r="I9598" s="0" t="s">
        <v>31905</v>
      </c>
      <c r="J9598" s="0" t="s">
        <v>31906</v>
      </c>
      <c r="K9598" s="0" t="s">
        <v>31907</v>
      </c>
      <c r="L9598" s="0" t="str">
        <f aca="false">HYPERLINK("https://www.ncbi.nlm.nih.gov/nuccore/CP000058.1?report=graph&amp;tracks=[key:gene_model_track,Options:GeneOnly]&amp;mk=3008234:3008253|offset_1|444444,3008282:3008301|offset_49|00cc00,3008304:3008323|offset_71|444444,3008333:3008352|offset_100|444444&amp;v=3008033:3008552&amp;c=444444", "offset 49")</f>
        <v>offset 49</v>
      </c>
    </row>
    <row r="9599" customFormat="false" ht="12.8" hidden="false" customHeight="false" outlineLevel="0" collapsed="false">
      <c r="A9599" s="0" t="s">
        <v>12</v>
      </c>
      <c r="B9599" s="0" t="n">
        <v>3008303</v>
      </c>
      <c r="C9599" s="0" t="n">
        <v>3008323</v>
      </c>
      <c r="D9599" s="0" t="s">
        <v>31901</v>
      </c>
      <c r="E9599" s="0" t="s">
        <v>75</v>
      </c>
      <c r="F9599" s="0" t="s">
        <v>15</v>
      </c>
      <c r="G9599" s="0" t="s">
        <v>32</v>
      </c>
      <c r="H9599" s="0" t="n">
        <v>71</v>
      </c>
      <c r="I9599" s="0" t="s">
        <v>31908</v>
      </c>
      <c r="J9599" s="0" t="s">
        <v>31909</v>
      </c>
      <c r="K9599" s="0" t="s">
        <v>31910</v>
      </c>
      <c r="L9599" s="0" t="str">
        <f aca="false">HYPERLINK("https://www.ncbi.nlm.nih.gov/nuccore/CP000058.1?report=graph&amp;tracks=[key:gene_model_track,Options:GeneOnly]&amp;mk=3008234:3008253|offset_1|444444,3008282:3008301|offset_49|444444,3008304:3008323|offset_71|00cc00,3008333:3008352|offset_100|444444&amp;v=3008033:3008552&amp;c=444444", "offset 71")</f>
        <v>offset 71</v>
      </c>
    </row>
    <row r="9600" customFormat="false" ht="12.8" hidden="false" customHeight="false" outlineLevel="0" collapsed="false">
      <c r="A9600" s="0" t="s">
        <v>12</v>
      </c>
      <c r="B9600" s="0" t="n">
        <v>3008332</v>
      </c>
      <c r="C9600" s="0" t="n">
        <v>3008352</v>
      </c>
      <c r="D9600" s="0" t="s">
        <v>31901</v>
      </c>
      <c r="E9600" s="0" t="s">
        <v>75</v>
      </c>
      <c r="F9600" s="0" t="s">
        <v>15</v>
      </c>
      <c r="G9600" s="0" t="s">
        <v>32</v>
      </c>
      <c r="H9600" s="0" t="n">
        <v>100</v>
      </c>
      <c r="I9600" s="0" t="s">
        <v>31911</v>
      </c>
      <c r="J9600" s="0" t="s">
        <v>31912</v>
      </c>
      <c r="K9600" s="0" t="s">
        <v>31913</v>
      </c>
      <c r="L9600" s="0" t="str">
        <f aca="false">HYPERLINK("https://www.ncbi.nlm.nih.gov/nuccore/CP000058.1?report=graph&amp;tracks=[key:gene_model_track,Options:GeneOnly]&amp;mk=3008234:3008253|offset_1|444444,3008282:3008301|offset_49|444444,3008304:3008323|offset_71|444444,3008333:3008352|offset_100|00cc00&amp;v=3008033:3008552&amp;c=444444", "offset 100")</f>
        <v>offset 100</v>
      </c>
    </row>
    <row r="9601" customFormat="false" ht="12.8" hidden="false" customHeight="false" outlineLevel="0" collapsed="false">
      <c r="A9601" s="0" t="s">
        <v>12</v>
      </c>
      <c r="B9601" s="0" t="n">
        <v>3009795</v>
      </c>
      <c r="C9601" s="0" t="n">
        <v>3009815</v>
      </c>
      <c r="D9601" s="0" t="s">
        <v>31914</v>
      </c>
      <c r="E9601" s="0" t="s">
        <v>75</v>
      </c>
      <c r="F9601" s="0" t="s">
        <v>90</v>
      </c>
      <c r="G9601" s="0" t="s">
        <v>32</v>
      </c>
      <c r="H9601" s="0" t="n">
        <v>1</v>
      </c>
      <c r="I9601" s="0" t="s">
        <v>31915</v>
      </c>
      <c r="J9601" s="0" t="s">
        <v>31916</v>
      </c>
      <c r="K9601" s="0" t="s">
        <v>31917</v>
      </c>
      <c r="L9601" s="0" t="str">
        <f aca="false">HYPERLINK("https://www.ncbi.nlm.nih.gov/nuccore/CP000058.1?report=graph&amp;tracks=[key:gene_model_track,Options:GeneOnly]&amp;mk=3009796:3009815|offset_1|00cc00,3009771:3009790|offset_26|444444,3009715:3009734|offset_82|444444,3009683:3009702|offset_114|444444&amp;v=3009595:3009902&amp;c=444444", "offset 1")</f>
        <v>offset 1</v>
      </c>
    </row>
    <row r="9602" customFormat="false" ht="12.8" hidden="false" customHeight="false" outlineLevel="0" collapsed="false">
      <c r="A9602" s="0" t="s">
        <v>12</v>
      </c>
      <c r="B9602" s="0" t="n">
        <v>3009770</v>
      </c>
      <c r="C9602" s="0" t="n">
        <v>3009790</v>
      </c>
      <c r="D9602" s="0" t="s">
        <v>31914</v>
      </c>
      <c r="E9602" s="0" t="s">
        <v>75</v>
      </c>
      <c r="F9602" s="0" t="s">
        <v>90</v>
      </c>
      <c r="G9602" s="0" t="s">
        <v>20</v>
      </c>
      <c r="H9602" s="0" t="n">
        <v>26</v>
      </c>
      <c r="I9602" s="0" t="s">
        <v>31918</v>
      </c>
      <c r="J9602" s="0" t="s">
        <v>31919</v>
      </c>
      <c r="K9602" s="0" t="s">
        <v>31920</v>
      </c>
      <c r="L9602" s="0" t="str">
        <f aca="false">HYPERLINK("https://www.ncbi.nlm.nih.gov/nuccore/CP000058.1?report=graph&amp;tracks=[key:gene_model_track,Options:GeneOnly]&amp;mk=3009796:3009815|offset_1|444444,3009771:3009790|offset_26|00cc00,3009715:3009734|offset_82|444444,3009683:3009702|offset_114|444444&amp;v=3009595:3009902&amp;c=444444", "offset 26")</f>
        <v>offset 26</v>
      </c>
    </row>
    <row r="9603" customFormat="false" ht="12.8" hidden="false" customHeight="false" outlineLevel="0" collapsed="false">
      <c r="A9603" s="0" t="s">
        <v>12</v>
      </c>
      <c r="B9603" s="0" t="n">
        <v>3009714</v>
      </c>
      <c r="C9603" s="0" t="n">
        <v>3009734</v>
      </c>
      <c r="D9603" s="0" t="s">
        <v>31914</v>
      </c>
      <c r="E9603" s="0" t="s">
        <v>75</v>
      </c>
      <c r="F9603" s="0" t="s">
        <v>90</v>
      </c>
      <c r="G9603" s="0" t="s">
        <v>32</v>
      </c>
      <c r="H9603" s="0" t="n">
        <v>82</v>
      </c>
      <c r="I9603" s="0" t="s">
        <v>31921</v>
      </c>
      <c r="J9603" s="0" t="s">
        <v>31922</v>
      </c>
      <c r="K9603" s="0" t="s">
        <v>31923</v>
      </c>
      <c r="L9603" s="0" t="str">
        <f aca="false">HYPERLINK("https://www.ncbi.nlm.nih.gov/nuccore/CP000058.1?report=graph&amp;tracks=[key:gene_model_track,Options:GeneOnly]&amp;mk=3009796:3009815|offset_1|444444,3009771:3009790|offset_26|444444,3009715:3009734|offset_82|00cc00,3009683:3009702|offset_114|444444&amp;v=3009595:3009902&amp;c=444444", "offset 82")</f>
        <v>offset 82</v>
      </c>
    </row>
    <row r="9604" customFormat="false" ht="12.8" hidden="false" customHeight="false" outlineLevel="0" collapsed="false">
      <c r="A9604" s="0" t="s">
        <v>12</v>
      </c>
      <c r="B9604" s="0" t="n">
        <v>3009682</v>
      </c>
      <c r="C9604" s="0" t="n">
        <v>3009702</v>
      </c>
      <c r="D9604" s="0" t="s">
        <v>31914</v>
      </c>
      <c r="E9604" s="0" t="s">
        <v>75</v>
      </c>
      <c r="F9604" s="0" t="s">
        <v>90</v>
      </c>
      <c r="G9604" s="0" t="s">
        <v>36</v>
      </c>
      <c r="H9604" s="0" t="n">
        <v>114</v>
      </c>
      <c r="I9604" s="0" t="s">
        <v>31924</v>
      </c>
      <c r="J9604" s="0" t="s">
        <v>31925</v>
      </c>
      <c r="K9604" s="0" t="s">
        <v>31926</v>
      </c>
      <c r="L9604" s="0" t="str">
        <f aca="false">HYPERLINK("https://www.ncbi.nlm.nih.gov/nuccore/CP000058.1?report=graph&amp;tracks=[key:gene_model_track,Options:GeneOnly]&amp;mk=3009796:3009815|offset_1|444444,3009771:3009790|offset_26|444444,3009715:3009734|offset_82|444444,3009683:3009702|offset_114|00cc00&amp;v=3009595:3009902&amp;c=444444", "offset 114")</f>
        <v>offset 114</v>
      </c>
    </row>
    <row r="9605" customFormat="false" ht="12.8" hidden="false" customHeight="false" outlineLevel="0" collapsed="false">
      <c r="A9605" s="0" t="s">
        <v>12</v>
      </c>
      <c r="B9605" s="0" t="n">
        <v>3011889</v>
      </c>
      <c r="C9605" s="0" t="n">
        <v>3011909</v>
      </c>
      <c r="D9605" s="0" t="s">
        <v>31927</v>
      </c>
      <c r="E9605" s="0" t="s">
        <v>75</v>
      </c>
      <c r="F9605" s="0" t="s">
        <v>90</v>
      </c>
      <c r="G9605" s="0" t="s">
        <v>32</v>
      </c>
      <c r="H9605" s="0" t="n">
        <v>7</v>
      </c>
      <c r="I9605" s="0" t="s">
        <v>31928</v>
      </c>
      <c r="J9605" s="0" t="s">
        <v>31929</v>
      </c>
      <c r="K9605" s="0" t="s">
        <v>31930</v>
      </c>
      <c r="L9605" s="0" t="str">
        <f aca="false">HYPERLINK("https://www.ncbi.nlm.nih.gov/nuccore/CP000058.1?report=graph&amp;tracks=[key:gene_model_track,Options:GeneOnly]&amp;mk=3011890:3011909|offset_7|00cc00,3011835:3011854|offset_62|444444,3011812:3011831|offset_85|444444,3011769:3011788|offset_128|444444&amp;v=3011689:3011988&amp;c=444444", "offset 7")</f>
        <v>offset 7</v>
      </c>
    </row>
    <row r="9606" customFormat="false" ht="12.8" hidden="false" customHeight="false" outlineLevel="0" collapsed="false">
      <c r="A9606" s="0" t="s">
        <v>12</v>
      </c>
      <c r="B9606" s="0" t="n">
        <v>3011834</v>
      </c>
      <c r="C9606" s="0" t="n">
        <v>3011854</v>
      </c>
      <c r="D9606" s="0" t="s">
        <v>31927</v>
      </c>
      <c r="E9606" s="0" t="s">
        <v>75</v>
      </c>
      <c r="F9606" s="0" t="s">
        <v>90</v>
      </c>
      <c r="G9606" s="0" t="s">
        <v>16</v>
      </c>
      <c r="H9606" s="0" t="n">
        <v>62</v>
      </c>
      <c r="I9606" s="0" t="s">
        <v>31931</v>
      </c>
      <c r="J9606" s="0" t="s">
        <v>31932</v>
      </c>
      <c r="K9606" s="0" t="s">
        <v>31933</v>
      </c>
      <c r="L9606" s="0" t="str">
        <f aca="false">HYPERLINK("https://www.ncbi.nlm.nih.gov/nuccore/CP000058.1?report=graph&amp;tracks=[key:gene_model_track,Options:GeneOnly]&amp;mk=3011890:3011909|offset_7|444444,3011835:3011854|offset_62|00cc00,3011812:3011831|offset_85|444444,3011769:3011788|offset_128|444444&amp;v=3011689:3011988&amp;c=444444", "offset 62")</f>
        <v>offset 62</v>
      </c>
    </row>
    <row r="9607" customFormat="false" ht="12.8" hidden="false" customHeight="false" outlineLevel="0" collapsed="false">
      <c r="A9607" s="0" t="s">
        <v>12</v>
      </c>
      <c r="B9607" s="0" t="n">
        <v>3011811</v>
      </c>
      <c r="C9607" s="0" t="n">
        <v>3011831</v>
      </c>
      <c r="D9607" s="0" t="s">
        <v>31927</v>
      </c>
      <c r="E9607" s="0" t="s">
        <v>75</v>
      </c>
      <c r="F9607" s="0" t="s">
        <v>90</v>
      </c>
      <c r="G9607" s="0" t="s">
        <v>32</v>
      </c>
      <c r="H9607" s="0" t="n">
        <v>85</v>
      </c>
      <c r="I9607" s="0" t="s">
        <v>31934</v>
      </c>
      <c r="J9607" s="0" t="s">
        <v>31935</v>
      </c>
      <c r="K9607" s="0" t="s">
        <v>31936</v>
      </c>
      <c r="L9607" s="0" t="str">
        <f aca="false">HYPERLINK("https://www.ncbi.nlm.nih.gov/nuccore/CP000058.1?report=graph&amp;tracks=[key:gene_model_track,Options:GeneOnly]&amp;mk=3011890:3011909|offset_7|444444,3011835:3011854|offset_62|444444,3011812:3011831|offset_85|00cc00,3011769:3011788|offset_128|444444&amp;v=3011689:3011988&amp;c=444444", "offset 85")</f>
        <v>offset 85</v>
      </c>
    </row>
    <row r="9608" customFormat="false" ht="12.8" hidden="false" customHeight="false" outlineLevel="0" collapsed="false">
      <c r="A9608" s="0" t="s">
        <v>12</v>
      </c>
      <c r="B9608" s="0" t="n">
        <v>3011768</v>
      </c>
      <c r="C9608" s="0" t="n">
        <v>3011788</v>
      </c>
      <c r="D9608" s="0" t="s">
        <v>31927</v>
      </c>
      <c r="E9608" s="0" t="s">
        <v>75</v>
      </c>
      <c r="F9608" s="0" t="s">
        <v>90</v>
      </c>
      <c r="G9608" s="0" t="s">
        <v>16</v>
      </c>
      <c r="H9608" s="0" t="n">
        <v>128</v>
      </c>
      <c r="I9608" s="0" t="s">
        <v>31937</v>
      </c>
      <c r="J9608" s="0" t="s">
        <v>31938</v>
      </c>
      <c r="K9608" s="0" t="s">
        <v>31939</v>
      </c>
      <c r="L9608" s="0" t="str">
        <f aca="false">HYPERLINK("https://www.ncbi.nlm.nih.gov/nuccore/CP000058.1?report=graph&amp;tracks=[key:gene_model_track,Options:GeneOnly]&amp;mk=3011890:3011909|offset_7|444444,3011835:3011854|offset_62|444444,3011812:3011831|offset_85|444444,3011769:3011788|offset_128|00cc00&amp;v=3011689:3011988&amp;c=444444", "offset 128")</f>
        <v>offset 128</v>
      </c>
    </row>
    <row r="9609" customFormat="false" ht="12.8" hidden="false" customHeight="false" outlineLevel="0" collapsed="false">
      <c r="A9609" s="0" t="s">
        <v>12</v>
      </c>
      <c r="B9609" s="0" t="n">
        <v>3012969</v>
      </c>
      <c r="C9609" s="0" t="n">
        <v>3012989</v>
      </c>
      <c r="D9609" s="0" t="s">
        <v>31940</v>
      </c>
      <c r="E9609" s="0" t="s">
        <v>75</v>
      </c>
      <c r="F9609" s="0" t="s">
        <v>90</v>
      </c>
      <c r="G9609" s="0" t="s">
        <v>32</v>
      </c>
      <c r="H9609" s="0" t="n">
        <v>22</v>
      </c>
      <c r="I9609" s="0" t="s">
        <v>31941</v>
      </c>
      <c r="J9609" s="0" t="s">
        <v>31942</v>
      </c>
      <c r="K9609" s="0" t="s">
        <v>31943</v>
      </c>
      <c r="L9609" s="0" t="str">
        <f aca="false">HYPERLINK("https://www.ncbi.nlm.nih.gov/nuccore/CP000058.1?report=graph&amp;tracks=[key:gene_model_track,Options:GeneOnly]&amp;mk=3012970:3012989|offset_22|00cc00,3012937:3012956|offset_55|444444,3012886:3012905|offset_106|444444,3012866:3012885|offset_126|444444&amp;v=3012769:3013085&amp;c=444444", "offset 22")</f>
        <v>offset 22</v>
      </c>
    </row>
    <row r="9610" customFormat="false" ht="12.8" hidden="false" customHeight="false" outlineLevel="0" collapsed="false">
      <c r="A9610" s="0" t="s">
        <v>12</v>
      </c>
      <c r="B9610" s="0" t="n">
        <v>3012936</v>
      </c>
      <c r="C9610" s="0" t="n">
        <v>3012956</v>
      </c>
      <c r="D9610" s="0" t="s">
        <v>31940</v>
      </c>
      <c r="E9610" s="0" t="s">
        <v>75</v>
      </c>
      <c r="F9610" s="0" t="s">
        <v>90</v>
      </c>
      <c r="G9610" s="0" t="s">
        <v>20</v>
      </c>
      <c r="H9610" s="0" t="n">
        <v>55</v>
      </c>
      <c r="I9610" s="0" t="s">
        <v>31944</v>
      </c>
      <c r="J9610" s="0" t="s">
        <v>31945</v>
      </c>
      <c r="K9610" s="0" t="s">
        <v>31946</v>
      </c>
      <c r="L9610" s="0" t="str">
        <f aca="false">HYPERLINK("https://www.ncbi.nlm.nih.gov/nuccore/CP000058.1?report=graph&amp;tracks=[key:gene_model_track,Options:GeneOnly]&amp;mk=3012970:3012989|offset_22|444444,3012937:3012956|offset_55|00cc00,3012886:3012905|offset_106|444444,3012866:3012885|offset_126|444444&amp;v=3012769:3013085&amp;c=444444", "offset 55")</f>
        <v>offset 55</v>
      </c>
    </row>
    <row r="9611" customFormat="false" ht="12.8" hidden="false" customHeight="false" outlineLevel="0" collapsed="false">
      <c r="A9611" s="0" t="s">
        <v>12</v>
      </c>
      <c r="B9611" s="0" t="n">
        <v>3012885</v>
      </c>
      <c r="C9611" s="0" t="n">
        <v>3012905</v>
      </c>
      <c r="D9611" s="0" t="s">
        <v>31940</v>
      </c>
      <c r="E9611" s="0" t="s">
        <v>75</v>
      </c>
      <c r="F9611" s="0" t="s">
        <v>90</v>
      </c>
      <c r="G9611" s="0" t="s">
        <v>36</v>
      </c>
      <c r="H9611" s="0" t="n">
        <v>106</v>
      </c>
      <c r="I9611" s="0" t="s">
        <v>31947</v>
      </c>
      <c r="J9611" s="0" t="s">
        <v>31948</v>
      </c>
      <c r="K9611" s="0" t="s">
        <v>31949</v>
      </c>
      <c r="L9611" s="0" t="str">
        <f aca="false">HYPERLINK("https://www.ncbi.nlm.nih.gov/nuccore/CP000058.1?report=graph&amp;tracks=[key:gene_model_track,Options:GeneOnly]&amp;mk=3012970:3012989|offset_22|444444,3012937:3012956|offset_55|444444,3012886:3012905|offset_106|00cc00,3012866:3012885|offset_126|444444&amp;v=3012769:3013085&amp;c=444444", "offset 106")</f>
        <v>offset 106</v>
      </c>
    </row>
    <row r="9612" customFormat="false" ht="12.8" hidden="false" customHeight="false" outlineLevel="0" collapsed="false">
      <c r="A9612" s="0" t="s">
        <v>12</v>
      </c>
      <c r="B9612" s="0" t="n">
        <v>3012865</v>
      </c>
      <c r="C9612" s="0" t="n">
        <v>3012885</v>
      </c>
      <c r="D9612" s="0" t="s">
        <v>31940</v>
      </c>
      <c r="E9612" s="0" t="s">
        <v>75</v>
      </c>
      <c r="F9612" s="0" t="s">
        <v>90</v>
      </c>
      <c r="G9612" s="0" t="s">
        <v>36</v>
      </c>
      <c r="H9612" s="0" t="n">
        <v>126</v>
      </c>
      <c r="I9612" s="0" t="s">
        <v>31950</v>
      </c>
      <c r="J9612" s="0" t="s">
        <v>31951</v>
      </c>
      <c r="K9612" s="0" t="s">
        <v>31952</v>
      </c>
      <c r="L9612" s="0" t="str">
        <f aca="false">HYPERLINK("https://www.ncbi.nlm.nih.gov/nuccore/CP000058.1?report=graph&amp;tracks=[key:gene_model_track,Options:GeneOnly]&amp;mk=3012970:3012989|offset_22|444444,3012937:3012956|offset_55|444444,3012886:3012905|offset_106|444444,3012866:3012885|offset_126|00cc00&amp;v=3012769:3013085&amp;c=444444", "offset 126")</f>
        <v>offset 126</v>
      </c>
    </row>
    <row r="9613" customFormat="false" ht="12.8" hidden="false" customHeight="false" outlineLevel="0" collapsed="false">
      <c r="A9613" s="0" t="s">
        <v>12</v>
      </c>
      <c r="B9613" s="0" t="n">
        <v>3013515</v>
      </c>
      <c r="C9613" s="0" t="n">
        <v>3013535</v>
      </c>
      <c r="D9613" s="0" t="s">
        <v>31953</v>
      </c>
      <c r="E9613" s="0" t="s">
        <v>75</v>
      </c>
      <c r="F9613" s="0" t="s">
        <v>90</v>
      </c>
      <c r="G9613" s="0" t="s">
        <v>20</v>
      </c>
      <c r="H9613" s="0" t="n">
        <v>7</v>
      </c>
      <c r="I9613" s="0" t="s">
        <v>31954</v>
      </c>
      <c r="J9613" s="0" t="s">
        <v>31955</v>
      </c>
      <c r="K9613" s="0" t="s">
        <v>31956</v>
      </c>
      <c r="L9613" s="0" t="str">
        <f aca="false">HYPERLINK("https://www.ncbi.nlm.nih.gov/nuccore/CP000058.1?report=graph&amp;tracks=[key:gene_model_track,Options:GeneOnly]&amp;mk=3013516:3013535|offset_7|00cc00,3013492:3013511|offset_31|444444,3013472:3013491|offset_51|444444,3013449:3013468|offset_74|444444&amp;v=3013315:3013668&amp;c=444444", "offset 7")</f>
        <v>offset 7</v>
      </c>
    </row>
    <row r="9614" customFormat="false" ht="12.8" hidden="false" customHeight="false" outlineLevel="0" collapsed="false">
      <c r="A9614" s="0" t="s">
        <v>12</v>
      </c>
      <c r="B9614" s="0" t="n">
        <v>3013491</v>
      </c>
      <c r="C9614" s="0" t="n">
        <v>3013511</v>
      </c>
      <c r="D9614" s="0" t="s">
        <v>31953</v>
      </c>
      <c r="E9614" s="0" t="s">
        <v>75</v>
      </c>
      <c r="F9614" s="0" t="s">
        <v>90</v>
      </c>
      <c r="G9614" s="0" t="s">
        <v>32</v>
      </c>
      <c r="H9614" s="0" t="n">
        <v>31</v>
      </c>
      <c r="I9614" s="0" t="s">
        <v>31957</v>
      </c>
      <c r="J9614" s="0" t="s">
        <v>31958</v>
      </c>
      <c r="K9614" s="0" t="s">
        <v>31959</v>
      </c>
      <c r="L9614" s="0" t="str">
        <f aca="false">HYPERLINK("https://www.ncbi.nlm.nih.gov/nuccore/CP000058.1?report=graph&amp;tracks=[key:gene_model_track,Options:GeneOnly]&amp;mk=3013516:3013535|offset_7|444444,3013492:3013511|offset_31|00cc00,3013472:3013491|offset_51|444444,3013449:3013468|offset_74|444444&amp;v=3013315:3013668&amp;c=444444", "offset 31")</f>
        <v>offset 31</v>
      </c>
    </row>
    <row r="9615" customFormat="false" ht="12.8" hidden="false" customHeight="false" outlineLevel="0" collapsed="false">
      <c r="A9615" s="0" t="s">
        <v>12</v>
      </c>
      <c r="B9615" s="0" t="n">
        <v>3013471</v>
      </c>
      <c r="C9615" s="0" t="n">
        <v>3013491</v>
      </c>
      <c r="D9615" s="0" t="s">
        <v>31953</v>
      </c>
      <c r="E9615" s="0" t="s">
        <v>75</v>
      </c>
      <c r="F9615" s="0" t="s">
        <v>90</v>
      </c>
      <c r="G9615" s="0" t="s">
        <v>16</v>
      </c>
      <c r="H9615" s="0" t="n">
        <v>51</v>
      </c>
      <c r="I9615" s="0" t="s">
        <v>31960</v>
      </c>
      <c r="J9615" s="0" t="s">
        <v>31961</v>
      </c>
      <c r="K9615" s="0" t="s">
        <v>31962</v>
      </c>
      <c r="L9615" s="0" t="str">
        <f aca="false">HYPERLINK("https://www.ncbi.nlm.nih.gov/nuccore/CP000058.1?report=graph&amp;tracks=[key:gene_model_track,Options:GeneOnly]&amp;mk=3013516:3013535|offset_7|444444,3013492:3013511|offset_31|444444,3013472:3013491|offset_51|00cc00,3013449:3013468|offset_74|444444&amp;v=3013315:3013668&amp;c=444444", "offset 51")</f>
        <v>offset 51</v>
      </c>
    </row>
    <row r="9616" customFormat="false" ht="12.8" hidden="false" customHeight="false" outlineLevel="0" collapsed="false">
      <c r="A9616" s="0" t="s">
        <v>12</v>
      </c>
      <c r="B9616" s="0" t="n">
        <v>3013448</v>
      </c>
      <c r="C9616" s="0" t="n">
        <v>3013468</v>
      </c>
      <c r="D9616" s="0" t="s">
        <v>31953</v>
      </c>
      <c r="E9616" s="0" t="s">
        <v>75</v>
      </c>
      <c r="F9616" s="0" t="s">
        <v>90</v>
      </c>
      <c r="G9616" s="0" t="s">
        <v>20</v>
      </c>
      <c r="H9616" s="0" t="n">
        <v>74</v>
      </c>
      <c r="I9616" s="0" t="s">
        <v>31963</v>
      </c>
      <c r="J9616" s="0" t="s">
        <v>31964</v>
      </c>
      <c r="K9616" s="0" t="s">
        <v>31965</v>
      </c>
      <c r="L9616" s="0" t="str">
        <f aca="false">HYPERLINK("https://www.ncbi.nlm.nih.gov/nuccore/CP000058.1?report=graph&amp;tracks=[key:gene_model_track,Options:GeneOnly]&amp;mk=3013516:3013535|offset_7|444444,3013492:3013511|offset_31|444444,3013472:3013491|offset_51|444444,3013449:3013468|offset_74|00cc00&amp;v=3013315:3013668&amp;c=444444", "offset 74")</f>
        <v>offset 74</v>
      </c>
    </row>
    <row r="9617" customFormat="false" ht="12.8" hidden="false" customHeight="false" outlineLevel="0" collapsed="false">
      <c r="A9617" s="0" t="s">
        <v>12</v>
      </c>
      <c r="B9617" s="0" t="n">
        <v>3014256</v>
      </c>
      <c r="C9617" s="0" t="n">
        <v>3014276</v>
      </c>
      <c r="D9617" s="0" t="s">
        <v>31966</v>
      </c>
      <c r="E9617" s="0" t="s">
        <v>75</v>
      </c>
      <c r="F9617" s="0" t="s">
        <v>90</v>
      </c>
      <c r="G9617" s="0" t="s">
        <v>32</v>
      </c>
      <c r="H9617" s="0" t="n">
        <v>32</v>
      </c>
      <c r="I9617" s="0" t="s">
        <v>31967</v>
      </c>
      <c r="J9617" s="0" t="s">
        <v>31968</v>
      </c>
      <c r="K9617" s="0" t="s">
        <v>31969</v>
      </c>
      <c r="L9617" s="0" t="str">
        <f aca="false">HYPERLINK("https://www.ncbi.nlm.nih.gov/nuccore/CP000058.1?report=graph&amp;tracks=[key:gene_model_track,Options:GeneOnly]&amp;mk=3014257:3014276|offset_32|00cc00,3014224:3014243|offset_65|444444,3014179:3014198|offset_110|444444,3014159:3014178|offset_130|444444&amp;v=3014056:3014378&amp;c=444444", "offset 32")</f>
        <v>offset 32</v>
      </c>
    </row>
    <row r="9618" customFormat="false" ht="12.8" hidden="false" customHeight="false" outlineLevel="0" collapsed="false">
      <c r="A9618" s="0" t="s">
        <v>12</v>
      </c>
      <c r="B9618" s="0" t="n">
        <v>3014223</v>
      </c>
      <c r="C9618" s="0" t="n">
        <v>3014243</v>
      </c>
      <c r="D9618" s="0" t="s">
        <v>31966</v>
      </c>
      <c r="E9618" s="0" t="s">
        <v>75</v>
      </c>
      <c r="F9618" s="0" t="s">
        <v>90</v>
      </c>
      <c r="G9618" s="0" t="s">
        <v>20</v>
      </c>
      <c r="H9618" s="0" t="n">
        <v>65</v>
      </c>
      <c r="I9618" s="0" t="s">
        <v>31970</v>
      </c>
      <c r="J9618" s="0" t="s">
        <v>31971</v>
      </c>
      <c r="K9618" s="0" t="s">
        <v>31972</v>
      </c>
      <c r="L9618" s="0" t="str">
        <f aca="false">HYPERLINK("https://www.ncbi.nlm.nih.gov/nuccore/CP000058.1?report=graph&amp;tracks=[key:gene_model_track,Options:GeneOnly]&amp;mk=3014257:3014276|offset_32|444444,3014224:3014243|offset_65|00cc00,3014179:3014198|offset_110|444444,3014159:3014178|offset_130|444444&amp;v=3014056:3014378&amp;c=444444", "offset 65")</f>
        <v>offset 65</v>
      </c>
    </row>
    <row r="9619" customFormat="false" ht="12.8" hidden="false" customHeight="false" outlineLevel="0" collapsed="false">
      <c r="A9619" s="0" t="s">
        <v>12</v>
      </c>
      <c r="B9619" s="0" t="n">
        <v>3014178</v>
      </c>
      <c r="C9619" s="0" t="n">
        <v>3014198</v>
      </c>
      <c r="D9619" s="0" t="s">
        <v>31966</v>
      </c>
      <c r="E9619" s="0" t="s">
        <v>75</v>
      </c>
      <c r="F9619" s="0" t="s">
        <v>90</v>
      </c>
      <c r="G9619" s="0" t="s">
        <v>20</v>
      </c>
      <c r="H9619" s="0" t="n">
        <v>110</v>
      </c>
      <c r="I9619" s="0" t="s">
        <v>31973</v>
      </c>
      <c r="J9619" s="0" t="s">
        <v>31974</v>
      </c>
      <c r="K9619" s="0" t="s">
        <v>31975</v>
      </c>
      <c r="L9619" s="0" t="str">
        <f aca="false">HYPERLINK("https://www.ncbi.nlm.nih.gov/nuccore/CP000058.1?report=graph&amp;tracks=[key:gene_model_track,Options:GeneOnly]&amp;mk=3014257:3014276|offset_32|444444,3014224:3014243|offset_65|444444,3014179:3014198|offset_110|00cc00,3014159:3014178|offset_130|444444&amp;v=3014056:3014378&amp;c=444444", "offset 110")</f>
        <v>offset 110</v>
      </c>
    </row>
    <row r="9620" customFormat="false" ht="12.8" hidden="false" customHeight="false" outlineLevel="0" collapsed="false">
      <c r="A9620" s="0" t="s">
        <v>12</v>
      </c>
      <c r="B9620" s="0" t="n">
        <v>3014158</v>
      </c>
      <c r="C9620" s="0" t="n">
        <v>3014178</v>
      </c>
      <c r="D9620" s="0" t="s">
        <v>31966</v>
      </c>
      <c r="E9620" s="0" t="s">
        <v>75</v>
      </c>
      <c r="F9620" s="0" t="s">
        <v>90</v>
      </c>
      <c r="G9620" s="0" t="s">
        <v>20</v>
      </c>
      <c r="H9620" s="0" t="n">
        <v>130</v>
      </c>
      <c r="I9620" s="0" t="s">
        <v>31976</v>
      </c>
      <c r="J9620" s="0" t="s">
        <v>31977</v>
      </c>
      <c r="K9620" s="0" t="s">
        <v>31978</v>
      </c>
      <c r="L9620" s="0" t="str">
        <f aca="false">HYPERLINK("https://www.ncbi.nlm.nih.gov/nuccore/CP000058.1?report=graph&amp;tracks=[key:gene_model_track,Options:GeneOnly]&amp;mk=3014257:3014276|offset_32|444444,3014224:3014243|offset_65|444444,3014179:3014198|offset_110|444444,3014159:3014178|offset_130|00cc00&amp;v=3014056:3014378&amp;c=444444", "offset 130")</f>
        <v>offset 130</v>
      </c>
    </row>
    <row r="9621" customFormat="false" ht="12.8" hidden="false" customHeight="false" outlineLevel="0" collapsed="false">
      <c r="A9621" s="0" t="s">
        <v>12</v>
      </c>
      <c r="B9621" s="0" t="n">
        <v>3014550</v>
      </c>
      <c r="C9621" s="0" t="n">
        <v>3014570</v>
      </c>
      <c r="D9621" s="0" t="s">
        <v>31979</v>
      </c>
      <c r="E9621" s="0" t="s">
        <v>75</v>
      </c>
      <c r="F9621" s="0" t="s">
        <v>15</v>
      </c>
      <c r="G9621" s="0" t="s">
        <v>32</v>
      </c>
      <c r="H9621" s="0" t="n">
        <v>37</v>
      </c>
      <c r="I9621" s="0" t="s">
        <v>31980</v>
      </c>
      <c r="J9621" s="0" t="s">
        <v>31981</v>
      </c>
      <c r="K9621" s="0" t="s">
        <v>31982</v>
      </c>
      <c r="L9621" s="0" t="str">
        <f aca="false">HYPERLINK("https://www.ncbi.nlm.nih.gov/nuccore/CP000058.1?report=graph&amp;tracks=[key:gene_model_track,Options:GeneOnly]&amp;mk=3014551:3014570|offset_37|00cc00,3014575:3014594|offset_61|444444,3014596:3014615|offset_82|444444,3014653:3014672|offset_139|444444&amp;v=3014350:3014872&amp;c=444444", "offset 37")</f>
        <v>offset 37</v>
      </c>
    </row>
    <row r="9622" customFormat="false" ht="12.8" hidden="false" customHeight="false" outlineLevel="0" collapsed="false">
      <c r="A9622" s="0" t="s">
        <v>12</v>
      </c>
      <c r="B9622" s="0" t="n">
        <v>3014574</v>
      </c>
      <c r="C9622" s="0" t="n">
        <v>3014594</v>
      </c>
      <c r="D9622" s="0" t="s">
        <v>31979</v>
      </c>
      <c r="E9622" s="0" t="s">
        <v>75</v>
      </c>
      <c r="F9622" s="0" t="s">
        <v>15</v>
      </c>
      <c r="G9622" s="0" t="s">
        <v>32</v>
      </c>
      <c r="H9622" s="0" t="n">
        <v>61</v>
      </c>
      <c r="I9622" s="0" t="s">
        <v>31983</v>
      </c>
      <c r="J9622" s="0" t="s">
        <v>31984</v>
      </c>
      <c r="K9622" s="0" t="s">
        <v>31985</v>
      </c>
      <c r="L9622" s="0" t="str">
        <f aca="false">HYPERLINK("https://www.ncbi.nlm.nih.gov/nuccore/CP000058.1?report=graph&amp;tracks=[key:gene_model_track,Options:GeneOnly]&amp;mk=3014551:3014570|offset_37|444444,3014575:3014594|offset_61|00cc00,3014596:3014615|offset_82|444444,3014653:3014672|offset_139|444444&amp;v=3014350:3014872&amp;c=444444", "offset 61")</f>
        <v>offset 61</v>
      </c>
    </row>
    <row r="9623" customFormat="false" ht="12.8" hidden="false" customHeight="false" outlineLevel="0" collapsed="false">
      <c r="A9623" s="0" t="s">
        <v>12</v>
      </c>
      <c r="B9623" s="0" t="n">
        <v>3014595</v>
      </c>
      <c r="C9623" s="0" t="n">
        <v>3014615</v>
      </c>
      <c r="D9623" s="0" t="s">
        <v>31979</v>
      </c>
      <c r="E9623" s="0" t="s">
        <v>75</v>
      </c>
      <c r="F9623" s="0" t="s">
        <v>15</v>
      </c>
      <c r="G9623" s="0" t="s">
        <v>32</v>
      </c>
      <c r="H9623" s="0" t="n">
        <v>82</v>
      </c>
      <c r="I9623" s="0" t="s">
        <v>31986</v>
      </c>
      <c r="J9623" s="0" t="s">
        <v>31987</v>
      </c>
      <c r="K9623" s="0" t="s">
        <v>31988</v>
      </c>
      <c r="L9623" s="0" t="str">
        <f aca="false">HYPERLINK("https://www.ncbi.nlm.nih.gov/nuccore/CP000058.1?report=graph&amp;tracks=[key:gene_model_track,Options:GeneOnly]&amp;mk=3014551:3014570|offset_37|444444,3014575:3014594|offset_61|444444,3014596:3014615|offset_82|00cc00,3014653:3014672|offset_139|444444&amp;v=3014350:3014872&amp;c=444444", "offset 82")</f>
        <v>offset 82</v>
      </c>
    </row>
    <row r="9624" customFormat="false" ht="12.8" hidden="false" customHeight="false" outlineLevel="0" collapsed="false">
      <c r="A9624" s="0" t="s">
        <v>12</v>
      </c>
      <c r="B9624" s="0" t="n">
        <v>3014652</v>
      </c>
      <c r="C9624" s="0" t="n">
        <v>3014672</v>
      </c>
      <c r="D9624" s="0" t="s">
        <v>31979</v>
      </c>
      <c r="E9624" s="0" t="s">
        <v>75</v>
      </c>
      <c r="F9624" s="0" t="s">
        <v>15</v>
      </c>
      <c r="G9624" s="0" t="s">
        <v>36</v>
      </c>
      <c r="H9624" s="0" t="n">
        <v>139</v>
      </c>
      <c r="I9624" s="0" t="s">
        <v>31989</v>
      </c>
      <c r="J9624" s="0" t="s">
        <v>31990</v>
      </c>
      <c r="K9624" s="0" t="s">
        <v>31991</v>
      </c>
      <c r="L9624" s="0" t="str">
        <f aca="false">HYPERLINK("https://www.ncbi.nlm.nih.gov/nuccore/CP000058.1?report=graph&amp;tracks=[key:gene_model_track,Options:GeneOnly]&amp;mk=3014551:3014570|offset_37|444444,3014575:3014594|offset_61|444444,3014596:3014615|offset_82|444444,3014653:3014672|offset_139|00cc00&amp;v=3014350:3014872&amp;c=444444", "offset 139")</f>
        <v>offset 139</v>
      </c>
    </row>
    <row r="9625" customFormat="false" ht="12.8" hidden="false" customHeight="false" outlineLevel="0" collapsed="false">
      <c r="A9625" s="0" t="s">
        <v>12</v>
      </c>
      <c r="B9625" s="0" t="n">
        <v>3016587</v>
      </c>
      <c r="C9625" s="0" t="n">
        <v>3016607</v>
      </c>
      <c r="D9625" s="0" t="s">
        <v>31992</v>
      </c>
      <c r="E9625" s="0" t="s">
        <v>75</v>
      </c>
      <c r="F9625" s="0" t="s">
        <v>90</v>
      </c>
      <c r="G9625" s="0" t="s">
        <v>20</v>
      </c>
      <c r="H9625" s="0" t="n">
        <v>43</v>
      </c>
      <c r="I9625" s="0" t="s">
        <v>31993</v>
      </c>
      <c r="J9625" s="0" t="s">
        <v>31994</v>
      </c>
      <c r="K9625" s="0" t="s">
        <v>31995</v>
      </c>
      <c r="L9625" s="0" t="str">
        <f aca="false">HYPERLINK("https://www.ncbi.nlm.nih.gov/nuccore/CP000058.1?report=graph&amp;tracks=[key:gene_model_track,Options:GeneOnly]&amp;mk=3016588:3016607|offset_43|00cc00,3016564:3016583|offset_67|444444,3016533:3016552|offset_98|444444,3016438:3016457|offset_193|444444&amp;v=3016387:3016657&amp;c=444444", "offset 43")</f>
        <v>offset 43</v>
      </c>
    </row>
    <row r="9626" customFormat="false" ht="12.8" hidden="false" customHeight="false" outlineLevel="0" collapsed="false">
      <c r="A9626" s="0" t="s">
        <v>12</v>
      </c>
      <c r="B9626" s="0" t="n">
        <v>3016563</v>
      </c>
      <c r="C9626" s="0" t="n">
        <v>3016583</v>
      </c>
      <c r="D9626" s="0" t="s">
        <v>31992</v>
      </c>
      <c r="E9626" s="0" t="s">
        <v>75</v>
      </c>
      <c r="F9626" s="0" t="s">
        <v>90</v>
      </c>
      <c r="G9626" s="0" t="s">
        <v>32</v>
      </c>
      <c r="H9626" s="0" t="n">
        <v>67</v>
      </c>
      <c r="I9626" s="0" t="s">
        <v>31996</v>
      </c>
      <c r="J9626" s="0" t="s">
        <v>31997</v>
      </c>
      <c r="K9626" s="0" t="s">
        <v>31998</v>
      </c>
      <c r="L9626" s="0" t="str">
        <f aca="false">HYPERLINK("https://www.ncbi.nlm.nih.gov/nuccore/CP000058.1?report=graph&amp;tracks=[key:gene_model_track,Options:GeneOnly]&amp;mk=3016588:3016607|offset_43|444444,3016564:3016583|offset_67|00cc00,3016533:3016552|offset_98|444444,3016438:3016457|offset_193|444444&amp;v=3016387:3016657&amp;c=444444", "offset 67")</f>
        <v>offset 67</v>
      </c>
    </row>
    <row r="9627" customFormat="false" ht="12.8" hidden="false" customHeight="false" outlineLevel="0" collapsed="false">
      <c r="A9627" s="0" t="s">
        <v>12</v>
      </c>
      <c r="B9627" s="0" t="n">
        <v>3016532</v>
      </c>
      <c r="C9627" s="0" t="n">
        <v>3016552</v>
      </c>
      <c r="D9627" s="0" t="s">
        <v>31992</v>
      </c>
      <c r="E9627" s="0" t="s">
        <v>75</v>
      </c>
      <c r="F9627" s="0" t="s">
        <v>90</v>
      </c>
      <c r="G9627" s="0" t="s">
        <v>20</v>
      </c>
      <c r="H9627" s="0" t="n">
        <v>98</v>
      </c>
      <c r="I9627" s="0" t="s">
        <v>31999</v>
      </c>
      <c r="J9627" s="0" t="s">
        <v>32000</v>
      </c>
      <c r="K9627" s="0" t="s">
        <v>32001</v>
      </c>
      <c r="L9627" s="0" t="str">
        <f aca="false">HYPERLINK("https://www.ncbi.nlm.nih.gov/nuccore/CP000058.1?report=graph&amp;tracks=[key:gene_model_track,Options:GeneOnly]&amp;mk=3016588:3016607|offset_43|444444,3016564:3016583|offset_67|444444,3016533:3016552|offset_98|00cc00,3016438:3016457|offset_193|444444&amp;v=3016387:3016657&amp;c=444444", "offset 98")</f>
        <v>offset 98</v>
      </c>
    </row>
    <row r="9628" customFormat="false" ht="12.8" hidden="false" customHeight="false" outlineLevel="0" collapsed="false">
      <c r="A9628" s="0" t="s">
        <v>12</v>
      </c>
      <c r="B9628" s="0" t="n">
        <v>3016437</v>
      </c>
      <c r="C9628" s="0" t="n">
        <v>3016457</v>
      </c>
      <c r="D9628" s="0" t="s">
        <v>31992</v>
      </c>
      <c r="E9628" s="0" t="s">
        <v>75</v>
      </c>
      <c r="F9628" s="0" t="s">
        <v>90</v>
      </c>
      <c r="G9628" s="0" t="s">
        <v>16</v>
      </c>
      <c r="H9628" s="0" t="n">
        <v>193</v>
      </c>
      <c r="I9628" s="0" t="s">
        <v>32002</v>
      </c>
      <c r="J9628" s="0" t="s">
        <v>32003</v>
      </c>
      <c r="K9628" s="0" t="s">
        <v>32004</v>
      </c>
      <c r="L9628" s="0" t="str">
        <f aca="false">HYPERLINK("https://www.ncbi.nlm.nih.gov/nuccore/CP000058.1?report=graph&amp;tracks=[key:gene_model_track,Options:GeneOnly]&amp;mk=3016588:3016607|offset_43|444444,3016564:3016583|offset_67|444444,3016533:3016552|offset_98|444444,3016438:3016457|offset_193|00cc00&amp;v=3016387:3016657&amp;c=444444", "offset 193")</f>
        <v>offset 193</v>
      </c>
    </row>
    <row r="9629" customFormat="false" ht="12.8" hidden="false" customHeight="false" outlineLevel="0" collapsed="false">
      <c r="A9629" s="0" t="s">
        <v>12</v>
      </c>
      <c r="B9629" s="0" t="n">
        <v>3018228</v>
      </c>
      <c r="C9629" s="0" t="n">
        <v>3018248</v>
      </c>
      <c r="D9629" s="0" t="s">
        <v>32005</v>
      </c>
      <c r="E9629" s="0" t="s">
        <v>32006</v>
      </c>
      <c r="F9629" s="0" t="s">
        <v>90</v>
      </c>
      <c r="G9629" s="0" t="s">
        <v>16</v>
      </c>
      <c r="H9629" s="0" t="n">
        <v>44</v>
      </c>
      <c r="I9629" s="0" t="s">
        <v>32007</v>
      </c>
      <c r="J9629" s="0" t="s">
        <v>32008</v>
      </c>
      <c r="K9629" s="0" t="s">
        <v>32009</v>
      </c>
      <c r="L9629" s="0" t="str">
        <f aca="false">HYPERLINK("https://www.ncbi.nlm.nih.gov/nuccore/CP000058.1?report=graph&amp;tracks=[key:gene_model_track,Options:GeneOnly]&amp;mk=3018229:3018248|offset_44|00cc00,3018203:3018222|offset_70|444444,3018159:3018178|offset_114|444444,3018117:3018136|offset_156|444444&amp;v=3018028:3018336&amp;c=444444", "offset 44")</f>
        <v>offset 44</v>
      </c>
    </row>
    <row r="9630" customFormat="false" ht="12.8" hidden="false" customHeight="false" outlineLevel="0" collapsed="false">
      <c r="A9630" s="0" t="s">
        <v>12</v>
      </c>
      <c r="B9630" s="0" t="n">
        <v>3018202</v>
      </c>
      <c r="C9630" s="0" t="n">
        <v>3018222</v>
      </c>
      <c r="D9630" s="0" t="s">
        <v>32005</v>
      </c>
      <c r="E9630" s="0" t="s">
        <v>32006</v>
      </c>
      <c r="F9630" s="0" t="s">
        <v>90</v>
      </c>
      <c r="G9630" s="0" t="s">
        <v>36</v>
      </c>
      <c r="H9630" s="0" t="n">
        <v>70</v>
      </c>
      <c r="I9630" s="0" t="s">
        <v>32010</v>
      </c>
      <c r="J9630" s="0" t="s">
        <v>32011</v>
      </c>
      <c r="K9630" s="0" t="s">
        <v>32012</v>
      </c>
      <c r="L9630" s="0" t="str">
        <f aca="false">HYPERLINK("https://www.ncbi.nlm.nih.gov/nuccore/CP000058.1?report=graph&amp;tracks=[key:gene_model_track,Options:GeneOnly]&amp;mk=3018229:3018248|offset_44|444444,3018203:3018222|offset_70|00cc00,3018159:3018178|offset_114|444444,3018117:3018136|offset_156|444444&amp;v=3018028:3018336&amp;c=444444", "offset 70")</f>
        <v>offset 70</v>
      </c>
    </row>
    <row r="9631" customFormat="false" ht="12.8" hidden="false" customHeight="false" outlineLevel="0" collapsed="false">
      <c r="A9631" s="0" t="s">
        <v>12</v>
      </c>
      <c r="B9631" s="0" t="n">
        <v>3018158</v>
      </c>
      <c r="C9631" s="0" t="n">
        <v>3018178</v>
      </c>
      <c r="D9631" s="0" t="s">
        <v>32005</v>
      </c>
      <c r="E9631" s="0" t="s">
        <v>32006</v>
      </c>
      <c r="F9631" s="0" t="s">
        <v>90</v>
      </c>
      <c r="G9631" s="0" t="s">
        <v>16</v>
      </c>
      <c r="H9631" s="0" t="n">
        <v>114</v>
      </c>
      <c r="I9631" s="0" t="s">
        <v>32013</v>
      </c>
      <c r="J9631" s="0" t="s">
        <v>32014</v>
      </c>
      <c r="K9631" s="0" t="s">
        <v>32015</v>
      </c>
      <c r="L9631" s="0" t="str">
        <f aca="false">HYPERLINK("https://www.ncbi.nlm.nih.gov/nuccore/CP000058.1?report=graph&amp;tracks=[key:gene_model_track,Options:GeneOnly]&amp;mk=3018229:3018248|offset_44|444444,3018203:3018222|offset_70|444444,3018159:3018178|offset_114|00cc00,3018117:3018136|offset_156|444444&amp;v=3018028:3018336&amp;c=444444", "offset 114")</f>
        <v>offset 114</v>
      </c>
    </row>
    <row r="9632" customFormat="false" ht="12.8" hidden="false" customHeight="false" outlineLevel="0" collapsed="false">
      <c r="A9632" s="0" t="s">
        <v>12</v>
      </c>
      <c r="B9632" s="0" t="n">
        <v>3018116</v>
      </c>
      <c r="C9632" s="0" t="n">
        <v>3018136</v>
      </c>
      <c r="D9632" s="0" t="s">
        <v>32005</v>
      </c>
      <c r="E9632" s="0" t="s">
        <v>32006</v>
      </c>
      <c r="F9632" s="0" t="s">
        <v>90</v>
      </c>
      <c r="G9632" s="0" t="s">
        <v>16</v>
      </c>
      <c r="H9632" s="0" t="n">
        <v>156</v>
      </c>
      <c r="I9632" s="0" t="s">
        <v>32016</v>
      </c>
      <c r="J9632" s="0" t="s">
        <v>32017</v>
      </c>
      <c r="K9632" s="0" t="s">
        <v>32018</v>
      </c>
      <c r="L9632" s="0" t="str">
        <f aca="false">HYPERLINK("https://www.ncbi.nlm.nih.gov/nuccore/CP000058.1?report=graph&amp;tracks=[key:gene_model_track,Options:GeneOnly]&amp;mk=3018229:3018248|offset_44|444444,3018203:3018222|offset_70|444444,3018159:3018178|offset_114|444444,3018117:3018136|offset_156|00cc00&amp;v=3018028:3018336&amp;c=444444", "offset 156")</f>
        <v>offset 156</v>
      </c>
    </row>
    <row r="9633" customFormat="false" ht="12.8" hidden="false" customHeight="false" outlineLevel="0" collapsed="false">
      <c r="A9633" s="0" t="s">
        <v>12</v>
      </c>
      <c r="B9633" s="0" t="n">
        <v>3018899</v>
      </c>
      <c r="C9633" s="0" t="n">
        <v>3018919</v>
      </c>
      <c r="D9633" s="0" t="s">
        <v>32019</v>
      </c>
      <c r="E9633" s="0" t="s">
        <v>75</v>
      </c>
      <c r="F9633" s="0" t="s">
        <v>15</v>
      </c>
      <c r="G9633" s="0" t="s">
        <v>16</v>
      </c>
      <c r="H9633" s="0" t="n">
        <v>25</v>
      </c>
      <c r="I9633" s="0" t="s">
        <v>32020</v>
      </c>
      <c r="J9633" s="0" t="s">
        <v>32021</v>
      </c>
      <c r="K9633" s="0" t="s">
        <v>32022</v>
      </c>
      <c r="L9633" s="0" t="str">
        <f aca="false">HYPERLINK("https://www.ncbi.nlm.nih.gov/nuccore/CP000058.1?report=graph&amp;tracks=[key:gene_model_track,Options:GeneOnly]&amp;mk=3018900:3018919|offset_25|00cc00,3018938:3018957|offset_63|444444,3018970:3018989|offset_95|444444,3018993:3019012|offset_118|444444&amp;v=3018699:3019212&amp;c=444444", "offset 25")</f>
        <v>offset 25</v>
      </c>
    </row>
    <row r="9634" customFormat="false" ht="12.8" hidden="false" customHeight="false" outlineLevel="0" collapsed="false">
      <c r="A9634" s="0" t="s">
        <v>12</v>
      </c>
      <c r="B9634" s="0" t="n">
        <v>3018937</v>
      </c>
      <c r="C9634" s="0" t="n">
        <v>3018957</v>
      </c>
      <c r="D9634" s="0" t="s">
        <v>32019</v>
      </c>
      <c r="E9634" s="0" t="s">
        <v>75</v>
      </c>
      <c r="F9634" s="0" t="s">
        <v>15</v>
      </c>
      <c r="G9634" s="0" t="s">
        <v>36</v>
      </c>
      <c r="H9634" s="0" t="n">
        <v>63</v>
      </c>
      <c r="I9634" s="0" t="s">
        <v>32023</v>
      </c>
      <c r="J9634" s="0" t="s">
        <v>32024</v>
      </c>
      <c r="K9634" s="0" t="s">
        <v>32025</v>
      </c>
      <c r="L9634" s="0" t="str">
        <f aca="false">HYPERLINK("https://www.ncbi.nlm.nih.gov/nuccore/CP000058.1?report=graph&amp;tracks=[key:gene_model_track,Options:GeneOnly]&amp;mk=3018900:3018919|offset_25|444444,3018938:3018957|offset_63|00cc00,3018970:3018989|offset_95|444444,3018993:3019012|offset_118|444444&amp;v=3018699:3019212&amp;c=444444", "offset 63")</f>
        <v>offset 63</v>
      </c>
    </row>
    <row r="9635" customFormat="false" ht="12.8" hidden="false" customHeight="false" outlineLevel="0" collapsed="false">
      <c r="A9635" s="0" t="s">
        <v>12</v>
      </c>
      <c r="B9635" s="0" t="n">
        <v>3018969</v>
      </c>
      <c r="C9635" s="0" t="n">
        <v>3018989</v>
      </c>
      <c r="D9635" s="0" t="s">
        <v>32019</v>
      </c>
      <c r="E9635" s="0" t="s">
        <v>75</v>
      </c>
      <c r="F9635" s="0" t="s">
        <v>15</v>
      </c>
      <c r="G9635" s="0" t="s">
        <v>32</v>
      </c>
      <c r="H9635" s="0" t="n">
        <v>95</v>
      </c>
      <c r="I9635" s="0" t="s">
        <v>32026</v>
      </c>
      <c r="J9635" s="0" t="s">
        <v>32027</v>
      </c>
      <c r="K9635" s="0" t="s">
        <v>32028</v>
      </c>
      <c r="L9635" s="0" t="str">
        <f aca="false">HYPERLINK("https://www.ncbi.nlm.nih.gov/nuccore/CP000058.1?report=graph&amp;tracks=[key:gene_model_track,Options:GeneOnly]&amp;mk=3018900:3018919|offset_25|444444,3018938:3018957|offset_63|444444,3018970:3018989|offset_95|00cc00,3018993:3019012|offset_118|444444&amp;v=3018699:3019212&amp;c=444444", "offset 95")</f>
        <v>offset 95</v>
      </c>
    </row>
    <row r="9636" customFormat="false" ht="12.8" hidden="false" customHeight="false" outlineLevel="0" collapsed="false">
      <c r="A9636" s="0" t="s">
        <v>12</v>
      </c>
      <c r="B9636" s="0" t="n">
        <v>3018992</v>
      </c>
      <c r="C9636" s="0" t="n">
        <v>3019012</v>
      </c>
      <c r="D9636" s="0" t="s">
        <v>32019</v>
      </c>
      <c r="E9636" s="0" t="s">
        <v>75</v>
      </c>
      <c r="F9636" s="0" t="s">
        <v>15</v>
      </c>
      <c r="G9636" s="0" t="s">
        <v>16</v>
      </c>
      <c r="H9636" s="0" t="n">
        <v>118</v>
      </c>
      <c r="I9636" s="0" t="s">
        <v>32029</v>
      </c>
      <c r="J9636" s="0" t="s">
        <v>32030</v>
      </c>
      <c r="K9636" s="0" t="s">
        <v>32031</v>
      </c>
      <c r="L9636" s="0" t="str">
        <f aca="false">HYPERLINK("https://www.ncbi.nlm.nih.gov/nuccore/CP000058.1?report=graph&amp;tracks=[key:gene_model_track,Options:GeneOnly]&amp;mk=3018900:3018919|offset_25|444444,3018938:3018957|offset_63|444444,3018970:3018989|offset_95|444444,3018993:3019012|offset_118|00cc00&amp;v=3018699:3019212&amp;c=444444", "offset 118")</f>
        <v>offset 118</v>
      </c>
    </row>
    <row r="9637" customFormat="false" ht="12.8" hidden="false" customHeight="false" outlineLevel="0" collapsed="false">
      <c r="A9637" s="0" t="s">
        <v>12</v>
      </c>
      <c r="B9637" s="0" t="n">
        <v>3023660</v>
      </c>
      <c r="C9637" s="0" t="n">
        <v>3023680</v>
      </c>
      <c r="D9637" s="0" t="s">
        <v>32032</v>
      </c>
      <c r="E9637" s="0" t="s">
        <v>32033</v>
      </c>
      <c r="F9637" s="0" t="s">
        <v>90</v>
      </c>
      <c r="G9637" s="0" t="s">
        <v>36</v>
      </c>
      <c r="H9637" s="0" t="n">
        <v>0</v>
      </c>
      <c r="I9637" s="0" t="s">
        <v>32034</v>
      </c>
      <c r="J9637" s="0" t="s">
        <v>32035</v>
      </c>
      <c r="K9637" s="0" t="s">
        <v>32036</v>
      </c>
      <c r="L9637" s="0" t="str">
        <f aca="false">HYPERLINK("https://www.ncbi.nlm.nih.gov/nuccore/CP000058.1?report=graph&amp;tracks=[key:gene_model_track,Options:GeneOnly]&amp;mk=3023661:3023680|offset_0|00cc00,3023641:3023660|offset_20|444444,3023596:3023615|offset_65|444444,3023576:3023595|offset_85|444444&amp;v=3023460:3023795&amp;c=444444", "offset 0")</f>
        <v>offset 0</v>
      </c>
    </row>
    <row r="9638" customFormat="false" ht="12.8" hidden="false" customHeight="false" outlineLevel="0" collapsed="false">
      <c r="A9638" s="0" t="s">
        <v>12</v>
      </c>
      <c r="B9638" s="0" t="n">
        <v>3023640</v>
      </c>
      <c r="C9638" s="0" t="n">
        <v>3023660</v>
      </c>
      <c r="D9638" s="0" t="s">
        <v>32032</v>
      </c>
      <c r="E9638" s="0" t="s">
        <v>32033</v>
      </c>
      <c r="F9638" s="0" t="s">
        <v>90</v>
      </c>
      <c r="G9638" s="0" t="s">
        <v>16</v>
      </c>
      <c r="H9638" s="0" t="n">
        <v>20</v>
      </c>
      <c r="I9638" s="0" t="s">
        <v>32037</v>
      </c>
      <c r="J9638" s="0" t="s">
        <v>32038</v>
      </c>
      <c r="K9638" s="0" t="s">
        <v>32039</v>
      </c>
      <c r="L9638" s="0" t="str">
        <f aca="false">HYPERLINK("https://www.ncbi.nlm.nih.gov/nuccore/CP000058.1?report=graph&amp;tracks=[key:gene_model_track,Options:GeneOnly]&amp;mk=3023661:3023680|offset_0|444444,3023641:3023660|offset_20|00cc00,3023596:3023615|offset_65|444444,3023576:3023595|offset_85|444444&amp;v=3023460:3023795&amp;c=444444", "offset 20")</f>
        <v>offset 20</v>
      </c>
    </row>
    <row r="9639" customFormat="false" ht="12.8" hidden="false" customHeight="false" outlineLevel="0" collapsed="false">
      <c r="A9639" s="0" t="s">
        <v>12</v>
      </c>
      <c r="B9639" s="0" t="n">
        <v>3023595</v>
      </c>
      <c r="C9639" s="0" t="n">
        <v>3023615</v>
      </c>
      <c r="D9639" s="0" t="s">
        <v>32032</v>
      </c>
      <c r="E9639" s="0" t="s">
        <v>32033</v>
      </c>
      <c r="F9639" s="0" t="s">
        <v>90</v>
      </c>
      <c r="G9639" s="0" t="s">
        <v>20</v>
      </c>
      <c r="H9639" s="0" t="n">
        <v>65</v>
      </c>
      <c r="I9639" s="0" t="s">
        <v>32040</v>
      </c>
      <c r="J9639" s="0" t="s">
        <v>32041</v>
      </c>
      <c r="K9639" s="0" t="s">
        <v>32042</v>
      </c>
      <c r="L9639" s="0" t="str">
        <f aca="false">HYPERLINK("https://www.ncbi.nlm.nih.gov/nuccore/CP000058.1?report=graph&amp;tracks=[key:gene_model_track,Options:GeneOnly]&amp;mk=3023661:3023680|offset_0|444444,3023641:3023660|offset_20|444444,3023596:3023615|offset_65|00cc00,3023576:3023595|offset_85|444444&amp;v=3023460:3023795&amp;c=444444", "offset 65")</f>
        <v>offset 65</v>
      </c>
    </row>
    <row r="9640" customFormat="false" ht="12.8" hidden="false" customHeight="false" outlineLevel="0" collapsed="false">
      <c r="A9640" s="0" t="s">
        <v>12</v>
      </c>
      <c r="B9640" s="0" t="n">
        <v>3023575</v>
      </c>
      <c r="C9640" s="0" t="n">
        <v>3023595</v>
      </c>
      <c r="D9640" s="0" t="s">
        <v>32032</v>
      </c>
      <c r="E9640" s="0" t="s">
        <v>32033</v>
      </c>
      <c r="F9640" s="0" t="s">
        <v>90</v>
      </c>
      <c r="G9640" s="0" t="s">
        <v>32</v>
      </c>
      <c r="H9640" s="0" t="n">
        <v>85</v>
      </c>
      <c r="I9640" s="0" t="s">
        <v>32043</v>
      </c>
      <c r="J9640" s="0" t="s">
        <v>32044</v>
      </c>
      <c r="K9640" s="0" t="s">
        <v>32045</v>
      </c>
      <c r="L9640" s="0" t="str">
        <f aca="false">HYPERLINK("https://www.ncbi.nlm.nih.gov/nuccore/CP000058.1?report=graph&amp;tracks=[key:gene_model_track,Options:GeneOnly]&amp;mk=3023661:3023680|offset_0|444444,3023641:3023660|offset_20|444444,3023596:3023615|offset_65|444444,3023576:3023595|offset_85|00cc00&amp;v=3023460:3023795&amp;c=444444", "offset 85")</f>
        <v>offset 85</v>
      </c>
    </row>
    <row r="9641" customFormat="false" ht="12.8" hidden="false" customHeight="false" outlineLevel="0" collapsed="false">
      <c r="A9641" s="0" t="s">
        <v>12</v>
      </c>
      <c r="B9641" s="0" t="n">
        <v>3023844</v>
      </c>
      <c r="C9641" s="0" t="n">
        <v>3023864</v>
      </c>
      <c r="D9641" s="0" t="s">
        <v>32046</v>
      </c>
      <c r="E9641" s="0" t="s">
        <v>75</v>
      </c>
      <c r="F9641" s="0" t="s">
        <v>15</v>
      </c>
      <c r="G9641" s="0" t="s">
        <v>16</v>
      </c>
      <c r="H9641" s="0" t="n">
        <v>6</v>
      </c>
      <c r="I9641" s="0" t="s">
        <v>32047</v>
      </c>
      <c r="J9641" s="0" t="s">
        <v>32048</v>
      </c>
      <c r="K9641" s="0" t="s">
        <v>32049</v>
      </c>
      <c r="L9641" s="0" t="str">
        <f aca="false">HYPERLINK("https://www.ncbi.nlm.nih.gov/nuccore/CP000058.1?report=graph&amp;tracks=[key:gene_model_track,Options:GeneOnly]&amp;mk=3023845:3023864|offset_6|00cc00,3023870:3023889|offset_31|444444,3023900:3023919|offset_61|444444,3023920:3023939|offset_81|444444&amp;v=3023644:3024139&amp;c=444444", "offset 6")</f>
        <v>offset 6</v>
      </c>
    </row>
    <row r="9642" customFormat="false" ht="12.8" hidden="false" customHeight="false" outlineLevel="0" collapsed="false">
      <c r="A9642" s="0" t="s">
        <v>12</v>
      </c>
      <c r="B9642" s="0" t="n">
        <v>3023869</v>
      </c>
      <c r="C9642" s="0" t="n">
        <v>3023889</v>
      </c>
      <c r="D9642" s="0" t="s">
        <v>32046</v>
      </c>
      <c r="E9642" s="0" t="s">
        <v>75</v>
      </c>
      <c r="F9642" s="0" t="s">
        <v>15</v>
      </c>
      <c r="G9642" s="0" t="s">
        <v>20</v>
      </c>
      <c r="H9642" s="0" t="n">
        <v>31</v>
      </c>
      <c r="I9642" s="0" t="s">
        <v>32050</v>
      </c>
      <c r="J9642" s="0" t="s">
        <v>32051</v>
      </c>
      <c r="K9642" s="0" t="s">
        <v>32052</v>
      </c>
      <c r="L9642" s="0" t="str">
        <f aca="false">HYPERLINK("https://www.ncbi.nlm.nih.gov/nuccore/CP000058.1?report=graph&amp;tracks=[key:gene_model_track,Options:GeneOnly]&amp;mk=3023845:3023864|offset_6|444444,3023870:3023889|offset_31|00cc00,3023900:3023919|offset_61|444444,3023920:3023939|offset_81|444444&amp;v=3023644:3024139&amp;c=444444", "offset 31")</f>
        <v>offset 31</v>
      </c>
    </row>
    <row r="9643" customFormat="false" ht="12.8" hidden="false" customHeight="false" outlineLevel="0" collapsed="false">
      <c r="A9643" s="0" t="s">
        <v>12</v>
      </c>
      <c r="B9643" s="0" t="n">
        <v>3023899</v>
      </c>
      <c r="C9643" s="0" t="n">
        <v>3023919</v>
      </c>
      <c r="D9643" s="0" t="s">
        <v>32046</v>
      </c>
      <c r="E9643" s="0" t="s">
        <v>75</v>
      </c>
      <c r="F9643" s="0" t="s">
        <v>15</v>
      </c>
      <c r="G9643" s="0" t="s">
        <v>36</v>
      </c>
      <c r="H9643" s="0" t="n">
        <v>61</v>
      </c>
      <c r="I9643" s="0" t="s">
        <v>32053</v>
      </c>
      <c r="J9643" s="0" t="s">
        <v>32054</v>
      </c>
      <c r="K9643" s="0" t="s">
        <v>32055</v>
      </c>
      <c r="L9643" s="0" t="str">
        <f aca="false">HYPERLINK("https://www.ncbi.nlm.nih.gov/nuccore/CP000058.1?report=graph&amp;tracks=[key:gene_model_track,Options:GeneOnly]&amp;mk=3023845:3023864|offset_6|444444,3023870:3023889|offset_31|444444,3023900:3023919|offset_61|00cc00,3023920:3023939|offset_81|444444&amp;v=3023644:3024139&amp;c=444444", "offset 61")</f>
        <v>offset 61</v>
      </c>
    </row>
    <row r="9644" customFormat="false" ht="12.8" hidden="false" customHeight="false" outlineLevel="0" collapsed="false">
      <c r="A9644" s="0" t="s">
        <v>12</v>
      </c>
      <c r="B9644" s="0" t="n">
        <v>3023919</v>
      </c>
      <c r="C9644" s="0" t="n">
        <v>3023939</v>
      </c>
      <c r="D9644" s="0" t="s">
        <v>32046</v>
      </c>
      <c r="E9644" s="0" t="s">
        <v>75</v>
      </c>
      <c r="F9644" s="0" t="s">
        <v>15</v>
      </c>
      <c r="G9644" s="0" t="s">
        <v>36</v>
      </c>
      <c r="H9644" s="0" t="n">
        <v>81</v>
      </c>
      <c r="I9644" s="0" t="s">
        <v>32056</v>
      </c>
      <c r="J9644" s="0" t="s">
        <v>32057</v>
      </c>
      <c r="K9644" s="0" t="s">
        <v>32058</v>
      </c>
      <c r="L9644" s="0" t="str">
        <f aca="false">HYPERLINK("https://www.ncbi.nlm.nih.gov/nuccore/CP000058.1?report=graph&amp;tracks=[key:gene_model_track,Options:GeneOnly]&amp;mk=3023845:3023864|offset_6|444444,3023870:3023889|offset_31|444444,3023900:3023919|offset_61|444444,3023920:3023939|offset_81|00cc00&amp;v=3023644:3024139&amp;c=444444", "offset 81")</f>
        <v>offset 81</v>
      </c>
    </row>
    <row r="9645" customFormat="false" ht="12.8" hidden="false" customHeight="false" outlineLevel="0" collapsed="false">
      <c r="A9645" s="0" t="s">
        <v>12</v>
      </c>
      <c r="B9645" s="0" t="n">
        <v>3026416</v>
      </c>
      <c r="C9645" s="0" t="n">
        <v>3026436</v>
      </c>
      <c r="D9645" s="0" t="s">
        <v>32059</v>
      </c>
      <c r="E9645" s="0" t="s">
        <v>75</v>
      </c>
      <c r="F9645" s="0" t="s">
        <v>15</v>
      </c>
      <c r="G9645" s="0" t="s">
        <v>32</v>
      </c>
      <c r="H9645" s="0" t="n">
        <v>88</v>
      </c>
      <c r="I9645" s="0" t="s">
        <v>32060</v>
      </c>
      <c r="J9645" s="0" t="s">
        <v>32061</v>
      </c>
      <c r="K9645" s="0" t="s">
        <v>32062</v>
      </c>
      <c r="L9645" s="0" t="str">
        <f aca="false">HYPERLINK("https://www.ncbi.nlm.nih.gov/nuccore/CP000058.1?report=graph&amp;tracks=[key:gene_model_track,Options:GeneOnly]&amp;mk=3026417:3026436|offset_88|00cc00,3026527:3026546|offset_198|444444,3026569:3026588|offset_240|444444,3026591:3026610|offset_262|444444&amp;v=3026216:3026810&amp;c=444444", "offset 88")</f>
        <v>offset 88</v>
      </c>
    </row>
    <row r="9646" customFormat="false" ht="12.8" hidden="false" customHeight="false" outlineLevel="0" collapsed="false">
      <c r="A9646" s="0" t="s">
        <v>12</v>
      </c>
      <c r="B9646" s="0" t="n">
        <v>3026526</v>
      </c>
      <c r="C9646" s="0" t="n">
        <v>3026546</v>
      </c>
      <c r="D9646" s="0" t="s">
        <v>32059</v>
      </c>
      <c r="E9646" s="0" t="s">
        <v>75</v>
      </c>
      <c r="F9646" s="0" t="s">
        <v>15</v>
      </c>
      <c r="G9646" s="0" t="s">
        <v>20</v>
      </c>
      <c r="H9646" s="0" t="n">
        <v>198</v>
      </c>
      <c r="I9646" s="0" t="s">
        <v>32063</v>
      </c>
      <c r="J9646" s="0" t="s">
        <v>32064</v>
      </c>
      <c r="K9646" s="0" t="s">
        <v>32065</v>
      </c>
      <c r="L9646" s="0" t="str">
        <f aca="false">HYPERLINK("https://www.ncbi.nlm.nih.gov/nuccore/CP000058.1?report=graph&amp;tracks=[key:gene_model_track,Options:GeneOnly]&amp;mk=3026417:3026436|offset_88|444444,3026527:3026546|offset_198|00cc00,3026569:3026588|offset_240|444444,3026591:3026610|offset_262|444444&amp;v=3026216:3026810&amp;c=444444", "offset 198")</f>
        <v>offset 198</v>
      </c>
    </row>
    <row r="9647" customFormat="false" ht="12.8" hidden="false" customHeight="false" outlineLevel="0" collapsed="false">
      <c r="A9647" s="0" t="s">
        <v>12</v>
      </c>
      <c r="B9647" s="0" t="n">
        <v>3026568</v>
      </c>
      <c r="C9647" s="0" t="n">
        <v>3026588</v>
      </c>
      <c r="D9647" s="0" t="s">
        <v>32059</v>
      </c>
      <c r="E9647" s="0" t="s">
        <v>75</v>
      </c>
      <c r="F9647" s="0" t="s">
        <v>15</v>
      </c>
      <c r="G9647" s="0" t="s">
        <v>16</v>
      </c>
      <c r="H9647" s="0" t="n">
        <v>240</v>
      </c>
      <c r="I9647" s="0" t="s">
        <v>32066</v>
      </c>
      <c r="J9647" s="0" t="s">
        <v>32067</v>
      </c>
      <c r="K9647" s="0" t="s">
        <v>32068</v>
      </c>
      <c r="L9647" s="0" t="str">
        <f aca="false">HYPERLINK("https://www.ncbi.nlm.nih.gov/nuccore/CP000058.1?report=graph&amp;tracks=[key:gene_model_track,Options:GeneOnly]&amp;mk=3026417:3026436|offset_88|444444,3026527:3026546|offset_198|444444,3026569:3026588|offset_240|00cc00,3026591:3026610|offset_262|444444&amp;v=3026216:3026810&amp;c=444444", "offset 240")</f>
        <v>offset 240</v>
      </c>
    </row>
    <row r="9648" customFormat="false" ht="12.8" hidden="false" customHeight="false" outlineLevel="0" collapsed="false">
      <c r="A9648" s="0" t="s">
        <v>12</v>
      </c>
      <c r="B9648" s="0" t="n">
        <v>3026590</v>
      </c>
      <c r="C9648" s="0" t="n">
        <v>3026610</v>
      </c>
      <c r="D9648" s="0" t="s">
        <v>32059</v>
      </c>
      <c r="E9648" s="0" t="s">
        <v>75</v>
      </c>
      <c r="F9648" s="0" t="s">
        <v>15</v>
      </c>
      <c r="G9648" s="0" t="s">
        <v>16</v>
      </c>
      <c r="H9648" s="0" t="n">
        <v>262</v>
      </c>
      <c r="I9648" s="0" t="s">
        <v>32069</v>
      </c>
      <c r="J9648" s="0" t="s">
        <v>32070</v>
      </c>
      <c r="K9648" s="0" t="s">
        <v>32071</v>
      </c>
      <c r="L9648" s="0" t="str">
        <f aca="false">HYPERLINK("https://www.ncbi.nlm.nih.gov/nuccore/CP000058.1?report=graph&amp;tracks=[key:gene_model_track,Options:GeneOnly]&amp;mk=3026417:3026436|offset_88|444444,3026527:3026546|offset_198|444444,3026569:3026588|offset_240|444444,3026591:3026610|offset_262|00cc00&amp;v=3026216:3026810&amp;c=444444", "offset 262")</f>
        <v>offset 262</v>
      </c>
    </row>
    <row r="9649" customFormat="false" ht="12.8" hidden="false" customHeight="false" outlineLevel="0" collapsed="false">
      <c r="A9649" s="0" t="s">
        <v>12</v>
      </c>
      <c r="B9649" s="0" t="n">
        <v>3027425</v>
      </c>
      <c r="C9649" s="0" t="n">
        <v>3027445</v>
      </c>
      <c r="D9649" s="0" t="s">
        <v>32072</v>
      </c>
      <c r="E9649" s="0" t="s">
        <v>75</v>
      </c>
      <c r="F9649" s="0" t="s">
        <v>15</v>
      </c>
      <c r="G9649" s="0" t="s">
        <v>16</v>
      </c>
      <c r="H9649" s="0" t="n">
        <v>7</v>
      </c>
      <c r="I9649" s="0" t="s">
        <v>32073</v>
      </c>
      <c r="J9649" s="0" t="s">
        <v>32074</v>
      </c>
      <c r="K9649" s="0" t="s">
        <v>32075</v>
      </c>
      <c r="L9649" s="0" t="str">
        <f aca="false">HYPERLINK("https://www.ncbi.nlm.nih.gov/nuccore/CP000058.1?report=graph&amp;tracks=[key:gene_model_track,Options:GeneOnly]&amp;mk=3027426:3027445|offset_7|00cc00,3027447:3027466|offset_28|444444,3027489:3027508|offset_70|444444,3027524:3027543|offset_105|444444&amp;v=3027225:3027743&amp;c=444444", "offset 7")</f>
        <v>offset 7</v>
      </c>
    </row>
    <row r="9650" customFormat="false" ht="12.8" hidden="false" customHeight="false" outlineLevel="0" collapsed="false">
      <c r="A9650" s="0" t="s">
        <v>12</v>
      </c>
      <c r="B9650" s="0" t="n">
        <v>3027446</v>
      </c>
      <c r="C9650" s="0" t="n">
        <v>3027466</v>
      </c>
      <c r="D9650" s="0" t="s">
        <v>32072</v>
      </c>
      <c r="E9650" s="0" t="s">
        <v>75</v>
      </c>
      <c r="F9650" s="0" t="s">
        <v>15</v>
      </c>
      <c r="G9650" s="0" t="s">
        <v>16</v>
      </c>
      <c r="H9650" s="0" t="n">
        <v>28</v>
      </c>
      <c r="I9650" s="0" t="s">
        <v>32076</v>
      </c>
      <c r="J9650" s="0" t="s">
        <v>32077</v>
      </c>
      <c r="K9650" s="0" t="s">
        <v>32078</v>
      </c>
      <c r="L9650" s="0" t="str">
        <f aca="false">HYPERLINK("https://www.ncbi.nlm.nih.gov/nuccore/CP000058.1?report=graph&amp;tracks=[key:gene_model_track,Options:GeneOnly]&amp;mk=3027426:3027445|offset_7|444444,3027447:3027466|offset_28|00cc00,3027489:3027508|offset_70|444444,3027524:3027543|offset_105|444444&amp;v=3027225:3027743&amp;c=444444", "offset 28")</f>
        <v>offset 28</v>
      </c>
    </row>
    <row r="9651" customFormat="false" ht="12.8" hidden="false" customHeight="false" outlineLevel="0" collapsed="false">
      <c r="A9651" s="0" t="s">
        <v>12</v>
      </c>
      <c r="B9651" s="0" t="n">
        <v>3027488</v>
      </c>
      <c r="C9651" s="0" t="n">
        <v>3027508</v>
      </c>
      <c r="D9651" s="0" t="s">
        <v>32072</v>
      </c>
      <c r="E9651" s="0" t="s">
        <v>75</v>
      </c>
      <c r="F9651" s="0" t="s">
        <v>15</v>
      </c>
      <c r="G9651" s="0" t="s">
        <v>36</v>
      </c>
      <c r="H9651" s="0" t="n">
        <v>70</v>
      </c>
      <c r="I9651" s="0" t="s">
        <v>32079</v>
      </c>
      <c r="J9651" s="0" t="s">
        <v>32080</v>
      </c>
      <c r="K9651" s="0" t="s">
        <v>32081</v>
      </c>
      <c r="L9651" s="0" t="str">
        <f aca="false">HYPERLINK("https://www.ncbi.nlm.nih.gov/nuccore/CP000058.1?report=graph&amp;tracks=[key:gene_model_track,Options:GeneOnly]&amp;mk=3027426:3027445|offset_7|444444,3027447:3027466|offset_28|444444,3027489:3027508|offset_70|00cc00,3027524:3027543|offset_105|444444&amp;v=3027225:3027743&amp;c=444444", "offset 70")</f>
        <v>offset 70</v>
      </c>
    </row>
    <row r="9652" customFormat="false" ht="12.8" hidden="false" customHeight="false" outlineLevel="0" collapsed="false">
      <c r="A9652" s="0" t="s">
        <v>12</v>
      </c>
      <c r="B9652" s="0" t="n">
        <v>3027523</v>
      </c>
      <c r="C9652" s="0" t="n">
        <v>3027543</v>
      </c>
      <c r="D9652" s="0" t="s">
        <v>32072</v>
      </c>
      <c r="E9652" s="0" t="s">
        <v>75</v>
      </c>
      <c r="F9652" s="0" t="s">
        <v>15</v>
      </c>
      <c r="G9652" s="0" t="s">
        <v>36</v>
      </c>
      <c r="H9652" s="0" t="n">
        <v>105</v>
      </c>
      <c r="I9652" s="0" t="s">
        <v>32082</v>
      </c>
      <c r="J9652" s="0" t="s">
        <v>32083</v>
      </c>
      <c r="K9652" s="0" t="s">
        <v>32084</v>
      </c>
      <c r="L9652" s="0" t="str">
        <f aca="false">HYPERLINK("https://www.ncbi.nlm.nih.gov/nuccore/CP000058.1?report=graph&amp;tracks=[key:gene_model_track,Options:GeneOnly]&amp;mk=3027426:3027445|offset_7|444444,3027447:3027466|offset_28|444444,3027489:3027508|offset_70|444444,3027524:3027543|offset_105|00cc00&amp;v=3027225:3027743&amp;c=444444", "offset 105")</f>
        <v>offset 105</v>
      </c>
    </row>
    <row r="9653" customFormat="false" ht="12.8" hidden="false" customHeight="false" outlineLevel="0" collapsed="false">
      <c r="A9653" s="0" t="s">
        <v>12</v>
      </c>
      <c r="B9653" s="0" t="n">
        <v>3028145</v>
      </c>
      <c r="C9653" s="0" t="n">
        <v>3028165</v>
      </c>
      <c r="D9653" s="0" t="s">
        <v>32085</v>
      </c>
      <c r="E9653" s="0" t="s">
        <v>75</v>
      </c>
      <c r="F9653" s="0" t="s">
        <v>15</v>
      </c>
      <c r="G9653" s="0" t="s">
        <v>20</v>
      </c>
      <c r="H9653" s="0" t="n">
        <v>1</v>
      </c>
      <c r="I9653" s="0" t="s">
        <v>32086</v>
      </c>
      <c r="J9653" s="0" t="s">
        <v>32087</v>
      </c>
      <c r="K9653" s="0" t="s">
        <v>32088</v>
      </c>
      <c r="L9653" s="0" t="str">
        <f aca="false">HYPERLINK("https://www.ncbi.nlm.nih.gov/nuccore/CP000058.1?report=graph&amp;tracks=[key:gene_model_track,Options:GeneOnly]&amp;mk=3028146:3028165|offset_1|00cc00,3028184:3028203|offset_39|444444,3028212:3028231|offset_67|444444&amp;v=3027945:3028431&amp;c=444444", "offset 1")</f>
        <v>offset 1</v>
      </c>
    </row>
    <row r="9654" customFormat="false" ht="12.8" hidden="false" customHeight="false" outlineLevel="0" collapsed="false">
      <c r="A9654" s="0" t="s">
        <v>12</v>
      </c>
      <c r="B9654" s="0" t="n">
        <v>3028183</v>
      </c>
      <c r="C9654" s="0" t="n">
        <v>3028203</v>
      </c>
      <c r="D9654" s="0" t="s">
        <v>32085</v>
      </c>
      <c r="E9654" s="0" t="s">
        <v>75</v>
      </c>
      <c r="F9654" s="0" t="s">
        <v>15</v>
      </c>
      <c r="G9654" s="0" t="s">
        <v>20</v>
      </c>
      <c r="H9654" s="0" t="n">
        <v>39</v>
      </c>
      <c r="I9654" s="0" t="s">
        <v>32089</v>
      </c>
      <c r="J9654" s="0" t="s">
        <v>32090</v>
      </c>
      <c r="K9654" s="0" t="s">
        <v>32091</v>
      </c>
      <c r="L9654" s="0" t="str">
        <f aca="false">HYPERLINK("https://www.ncbi.nlm.nih.gov/nuccore/CP000058.1?report=graph&amp;tracks=[key:gene_model_track,Options:GeneOnly]&amp;mk=3028146:3028165|offset_1|444444,3028184:3028203|offset_39|00cc00,3028212:3028231|offset_67|444444&amp;v=3027945:3028431&amp;c=444444", "offset 39")</f>
        <v>offset 39</v>
      </c>
    </row>
    <row r="9655" customFormat="false" ht="12.8" hidden="false" customHeight="false" outlineLevel="0" collapsed="false">
      <c r="A9655" s="0" t="s">
        <v>12</v>
      </c>
      <c r="B9655" s="0" t="n">
        <v>3028211</v>
      </c>
      <c r="C9655" s="0" t="n">
        <v>3028231</v>
      </c>
      <c r="D9655" s="0" t="s">
        <v>32085</v>
      </c>
      <c r="E9655" s="0" t="s">
        <v>75</v>
      </c>
      <c r="F9655" s="0" t="s">
        <v>15</v>
      </c>
      <c r="G9655" s="0" t="s">
        <v>36</v>
      </c>
      <c r="H9655" s="0" t="n">
        <v>67</v>
      </c>
      <c r="I9655" s="0" t="s">
        <v>32092</v>
      </c>
      <c r="J9655" s="0" t="s">
        <v>32093</v>
      </c>
      <c r="K9655" s="0" t="s">
        <v>32094</v>
      </c>
      <c r="L9655" s="0" t="str">
        <f aca="false">HYPERLINK("https://www.ncbi.nlm.nih.gov/nuccore/CP000058.1?report=graph&amp;tracks=[key:gene_model_track,Options:GeneOnly]&amp;mk=3028146:3028165|offset_1|444444,3028184:3028203|offset_39|444444,3028212:3028231|offset_67|00cc00&amp;v=3027945:3028431&amp;c=444444", "offset 67")</f>
        <v>offset 67</v>
      </c>
    </row>
    <row r="9656" customFormat="false" ht="12.8" hidden="false" customHeight="false" outlineLevel="0" collapsed="false">
      <c r="A9656" s="0" t="s">
        <v>12</v>
      </c>
      <c r="B9656" s="0" t="n">
        <v>3031038</v>
      </c>
      <c r="C9656" s="0" t="n">
        <v>3031058</v>
      </c>
      <c r="D9656" s="0" t="s">
        <v>32095</v>
      </c>
      <c r="E9656" s="0" t="s">
        <v>75</v>
      </c>
      <c r="F9656" s="0" t="s">
        <v>90</v>
      </c>
      <c r="G9656" s="0" t="s">
        <v>32</v>
      </c>
      <c r="H9656" s="0" t="n">
        <v>1</v>
      </c>
      <c r="I9656" s="0" t="s">
        <v>32096</v>
      </c>
      <c r="J9656" s="0" t="s">
        <v>32097</v>
      </c>
      <c r="K9656" s="0" t="s">
        <v>32098</v>
      </c>
      <c r="L9656" s="0" t="str">
        <f aca="false">HYPERLINK("https://www.ncbi.nlm.nih.gov/nuccore/CP000058.1?report=graph&amp;tracks=[key:gene_model_track,Options:GeneOnly]&amp;mk=3031039:3031058|offset_1|00cc00,3031015:3031034|offset_25|444444,3030995:3031014|offset_45|444444,3030962:3030981|offset_78|444444&amp;v=3030838:3031181&amp;c=444444", "offset 1")</f>
        <v>offset 1</v>
      </c>
    </row>
    <row r="9657" customFormat="false" ht="12.8" hidden="false" customHeight="false" outlineLevel="0" collapsed="false">
      <c r="A9657" s="0" t="s">
        <v>12</v>
      </c>
      <c r="B9657" s="0" t="n">
        <v>3031014</v>
      </c>
      <c r="C9657" s="0" t="n">
        <v>3031034</v>
      </c>
      <c r="D9657" s="0" t="s">
        <v>32095</v>
      </c>
      <c r="E9657" s="0" t="s">
        <v>75</v>
      </c>
      <c r="F9657" s="0" t="s">
        <v>90</v>
      </c>
      <c r="G9657" s="0" t="s">
        <v>32</v>
      </c>
      <c r="H9657" s="0" t="n">
        <v>25</v>
      </c>
      <c r="I9657" s="0" t="s">
        <v>32099</v>
      </c>
      <c r="J9657" s="0" t="s">
        <v>32100</v>
      </c>
      <c r="K9657" s="0" t="s">
        <v>32101</v>
      </c>
      <c r="L9657" s="0" t="str">
        <f aca="false">HYPERLINK("https://www.ncbi.nlm.nih.gov/nuccore/CP000058.1?report=graph&amp;tracks=[key:gene_model_track,Options:GeneOnly]&amp;mk=3031039:3031058|offset_1|444444,3031015:3031034|offset_25|00cc00,3030995:3031014|offset_45|444444,3030962:3030981|offset_78|444444&amp;v=3030838:3031181&amp;c=444444", "offset 25")</f>
        <v>offset 25</v>
      </c>
    </row>
    <row r="9658" customFormat="false" ht="12.8" hidden="false" customHeight="false" outlineLevel="0" collapsed="false">
      <c r="A9658" s="0" t="s">
        <v>12</v>
      </c>
      <c r="B9658" s="0" t="n">
        <v>3030994</v>
      </c>
      <c r="C9658" s="0" t="n">
        <v>3031014</v>
      </c>
      <c r="D9658" s="0" t="s">
        <v>32095</v>
      </c>
      <c r="E9658" s="0" t="s">
        <v>75</v>
      </c>
      <c r="F9658" s="0" t="s">
        <v>90</v>
      </c>
      <c r="G9658" s="0" t="s">
        <v>32</v>
      </c>
      <c r="H9658" s="0" t="n">
        <v>45</v>
      </c>
      <c r="I9658" s="0" t="s">
        <v>32102</v>
      </c>
      <c r="J9658" s="0" t="s">
        <v>32103</v>
      </c>
      <c r="K9658" s="0" t="s">
        <v>32104</v>
      </c>
      <c r="L9658" s="0" t="str">
        <f aca="false">HYPERLINK("https://www.ncbi.nlm.nih.gov/nuccore/CP000058.1?report=graph&amp;tracks=[key:gene_model_track,Options:GeneOnly]&amp;mk=3031039:3031058|offset_1|444444,3031015:3031034|offset_25|444444,3030995:3031014|offset_45|00cc00,3030962:3030981|offset_78|444444&amp;v=3030838:3031181&amp;c=444444", "offset 45")</f>
        <v>offset 45</v>
      </c>
    </row>
    <row r="9659" customFormat="false" ht="12.8" hidden="false" customHeight="false" outlineLevel="0" collapsed="false">
      <c r="A9659" s="0" t="s">
        <v>12</v>
      </c>
      <c r="B9659" s="0" t="n">
        <v>3030961</v>
      </c>
      <c r="C9659" s="0" t="n">
        <v>3030981</v>
      </c>
      <c r="D9659" s="0" t="s">
        <v>32095</v>
      </c>
      <c r="E9659" s="0" t="s">
        <v>75</v>
      </c>
      <c r="F9659" s="0" t="s">
        <v>90</v>
      </c>
      <c r="G9659" s="0" t="s">
        <v>16</v>
      </c>
      <c r="H9659" s="0" t="n">
        <v>78</v>
      </c>
      <c r="I9659" s="0" t="s">
        <v>32105</v>
      </c>
      <c r="J9659" s="0" t="s">
        <v>32106</v>
      </c>
      <c r="K9659" s="0" t="s">
        <v>32107</v>
      </c>
      <c r="L9659" s="0" t="str">
        <f aca="false">HYPERLINK("https://www.ncbi.nlm.nih.gov/nuccore/CP000058.1?report=graph&amp;tracks=[key:gene_model_track,Options:GeneOnly]&amp;mk=3031039:3031058|offset_1|444444,3031015:3031034|offset_25|444444,3030995:3031014|offset_45|444444,3030962:3030981|offset_78|00cc00&amp;v=3030838:3031181&amp;c=444444", "offset 78")</f>
        <v>offset 78</v>
      </c>
    </row>
    <row r="9660" customFormat="false" ht="12.8" hidden="false" customHeight="false" outlineLevel="0" collapsed="false">
      <c r="A9660" s="0" t="s">
        <v>12</v>
      </c>
      <c r="B9660" s="0" t="n">
        <v>3032660</v>
      </c>
      <c r="C9660" s="0" t="n">
        <v>3032680</v>
      </c>
      <c r="D9660" s="0" t="s">
        <v>32108</v>
      </c>
      <c r="E9660" s="0" t="s">
        <v>75</v>
      </c>
      <c r="F9660" s="0" t="s">
        <v>90</v>
      </c>
      <c r="G9660" s="0" t="s">
        <v>32</v>
      </c>
      <c r="H9660" s="0" t="n">
        <v>1</v>
      </c>
      <c r="I9660" s="0" t="s">
        <v>32109</v>
      </c>
      <c r="J9660" s="0" t="s">
        <v>32110</v>
      </c>
      <c r="K9660" s="0" t="s">
        <v>32111</v>
      </c>
      <c r="L9660" s="0" t="str">
        <f aca="false">HYPERLINK("https://www.ncbi.nlm.nih.gov/nuccore/CP000058.1?report=graph&amp;tracks=[key:gene_model_track,Options:GeneOnly]&amp;mk=3032661:3032680|offset_1|00cc00,3032631:3032650|offset_31|444444,3032601:3032620|offset_61|444444,3032573:3032592|offset_89|444444&amp;v=3032460:3032792&amp;c=444444", "offset 1")</f>
        <v>offset 1</v>
      </c>
    </row>
    <row r="9661" customFormat="false" ht="12.8" hidden="false" customHeight="false" outlineLevel="0" collapsed="false">
      <c r="A9661" s="0" t="s">
        <v>12</v>
      </c>
      <c r="B9661" s="0" t="n">
        <v>3032630</v>
      </c>
      <c r="C9661" s="0" t="n">
        <v>3032650</v>
      </c>
      <c r="D9661" s="0" t="s">
        <v>32108</v>
      </c>
      <c r="E9661" s="0" t="s">
        <v>75</v>
      </c>
      <c r="F9661" s="0" t="s">
        <v>90</v>
      </c>
      <c r="G9661" s="0" t="s">
        <v>36</v>
      </c>
      <c r="H9661" s="0" t="n">
        <v>31</v>
      </c>
      <c r="I9661" s="0" t="s">
        <v>32112</v>
      </c>
      <c r="J9661" s="0" t="s">
        <v>32113</v>
      </c>
      <c r="K9661" s="0" t="s">
        <v>32114</v>
      </c>
      <c r="L9661" s="0" t="str">
        <f aca="false">HYPERLINK("https://www.ncbi.nlm.nih.gov/nuccore/CP000058.1?report=graph&amp;tracks=[key:gene_model_track,Options:GeneOnly]&amp;mk=3032661:3032680|offset_1|444444,3032631:3032650|offset_31|00cc00,3032601:3032620|offset_61|444444,3032573:3032592|offset_89|444444&amp;v=3032460:3032792&amp;c=444444", "offset 31")</f>
        <v>offset 31</v>
      </c>
    </row>
    <row r="9662" customFormat="false" ht="12.8" hidden="false" customHeight="false" outlineLevel="0" collapsed="false">
      <c r="A9662" s="0" t="s">
        <v>12</v>
      </c>
      <c r="B9662" s="0" t="n">
        <v>3032600</v>
      </c>
      <c r="C9662" s="0" t="n">
        <v>3032620</v>
      </c>
      <c r="D9662" s="0" t="s">
        <v>32108</v>
      </c>
      <c r="E9662" s="0" t="s">
        <v>75</v>
      </c>
      <c r="F9662" s="0" t="s">
        <v>90</v>
      </c>
      <c r="G9662" s="0" t="s">
        <v>32</v>
      </c>
      <c r="H9662" s="0" t="n">
        <v>61</v>
      </c>
      <c r="I9662" s="0" t="s">
        <v>32115</v>
      </c>
      <c r="J9662" s="0" t="s">
        <v>32116</v>
      </c>
      <c r="K9662" s="0" t="s">
        <v>32117</v>
      </c>
      <c r="L9662" s="0" t="str">
        <f aca="false">HYPERLINK("https://www.ncbi.nlm.nih.gov/nuccore/CP000058.1?report=graph&amp;tracks=[key:gene_model_track,Options:GeneOnly]&amp;mk=3032661:3032680|offset_1|444444,3032631:3032650|offset_31|444444,3032601:3032620|offset_61|00cc00,3032573:3032592|offset_89|444444&amp;v=3032460:3032792&amp;c=444444", "offset 61")</f>
        <v>offset 61</v>
      </c>
    </row>
    <row r="9663" customFormat="false" ht="12.8" hidden="false" customHeight="false" outlineLevel="0" collapsed="false">
      <c r="A9663" s="0" t="s">
        <v>12</v>
      </c>
      <c r="B9663" s="0" t="n">
        <v>3032572</v>
      </c>
      <c r="C9663" s="0" t="n">
        <v>3032592</v>
      </c>
      <c r="D9663" s="0" t="s">
        <v>32108</v>
      </c>
      <c r="E9663" s="0" t="s">
        <v>75</v>
      </c>
      <c r="F9663" s="0" t="s">
        <v>90</v>
      </c>
      <c r="G9663" s="0" t="s">
        <v>16</v>
      </c>
      <c r="H9663" s="0" t="n">
        <v>89</v>
      </c>
      <c r="I9663" s="0" t="s">
        <v>32118</v>
      </c>
      <c r="J9663" s="0" t="s">
        <v>32119</v>
      </c>
      <c r="K9663" s="0" t="s">
        <v>32120</v>
      </c>
      <c r="L9663" s="0" t="str">
        <f aca="false">HYPERLINK("https://www.ncbi.nlm.nih.gov/nuccore/CP000058.1?report=graph&amp;tracks=[key:gene_model_track,Options:GeneOnly]&amp;mk=3032661:3032680|offset_1|444444,3032631:3032650|offset_31|444444,3032601:3032620|offset_61|444444,3032573:3032592|offset_89|00cc00&amp;v=3032460:3032792&amp;c=444444", "offset 89")</f>
        <v>offset 89</v>
      </c>
    </row>
    <row r="9664" customFormat="false" ht="12.8" hidden="false" customHeight="false" outlineLevel="0" collapsed="false">
      <c r="A9664" s="0" t="s">
        <v>12</v>
      </c>
      <c r="B9664" s="0" t="n">
        <v>3035460</v>
      </c>
      <c r="C9664" s="0" t="n">
        <v>3035480</v>
      </c>
      <c r="D9664" s="0" t="s">
        <v>32121</v>
      </c>
      <c r="E9664" s="0" t="s">
        <v>32122</v>
      </c>
      <c r="F9664" s="0" t="s">
        <v>90</v>
      </c>
      <c r="G9664" s="0" t="s">
        <v>32</v>
      </c>
      <c r="H9664" s="0" t="n">
        <v>1</v>
      </c>
      <c r="I9664" s="0" t="s">
        <v>32123</v>
      </c>
      <c r="J9664" s="0" t="s">
        <v>32124</v>
      </c>
      <c r="K9664" s="0" t="s">
        <v>32125</v>
      </c>
      <c r="L9664" s="0" t="str">
        <f aca="false">HYPERLINK("https://www.ncbi.nlm.nih.gov/nuccore/CP000058.1?report=graph&amp;tracks=[key:gene_model_track,Options:GeneOnly]&amp;mk=3035461:3035480|offset_1|00cc00,3035421:3035440|offset_41|444444,3035390:3035409|offset_72|444444,3035352:3035371|offset_110|444444&amp;v=3035260:3035571&amp;c=444444", "offset 1")</f>
        <v>offset 1</v>
      </c>
    </row>
    <row r="9665" customFormat="false" ht="12.8" hidden="false" customHeight="false" outlineLevel="0" collapsed="false">
      <c r="A9665" s="0" t="s">
        <v>12</v>
      </c>
      <c r="B9665" s="0" t="n">
        <v>3035420</v>
      </c>
      <c r="C9665" s="0" t="n">
        <v>3035440</v>
      </c>
      <c r="D9665" s="0" t="s">
        <v>32121</v>
      </c>
      <c r="E9665" s="0" t="s">
        <v>32122</v>
      </c>
      <c r="F9665" s="0" t="s">
        <v>90</v>
      </c>
      <c r="G9665" s="0" t="s">
        <v>36</v>
      </c>
      <c r="H9665" s="0" t="n">
        <v>41</v>
      </c>
      <c r="I9665" s="0" t="s">
        <v>32126</v>
      </c>
      <c r="J9665" s="0" t="s">
        <v>32127</v>
      </c>
      <c r="K9665" s="0" t="s">
        <v>32128</v>
      </c>
      <c r="L9665" s="0" t="str">
        <f aca="false">HYPERLINK("https://www.ncbi.nlm.nih.gov/nuccore/CP000058.1?report=graph&amp;tracks=[key:gene_model_track,Options:GeneOnly]&amp;mk=3035461:3035480|offset_1|444444,3035421:3035440|offset_41|00cc00,3035390:3035409|offset_72|444444,3035352:3035371|offset_110|444444&amp;v=3035260:3035571&amp;c=444444", "offset 41")</f>
        <v>offset 41</v>
      </c>
    </row>
    <row r="9666" customFormat="false" ht="12.8" hidden="false" customHeight="false" outlineLevel="0" collapsed="false">
      <c r="A9666" s="0" t="s">
        <v>12</v>
      </c>
      <c r="B9666" s="0" t="n">
        <v>3035389</v>
      </c>
      <c r="C9666" s="0" t="n">
        <v>3035409</v>
      </c>
      <c r="D9666" s="0" t="s">
        <v>32121</v>
      </c>
      <c r="E9666" s="0" t="s">
        <v>32122</v>
      </c>
      <c r="F9666" s="0" t="s">
        <v>90</v>
      </c>
      <c r="G9666" s="0" t="s">
        <v>16</v>
      </c>
      <c r="H9666" s="0" t="n">
        <v>72</v>
      </c>
      <c r="I9666" s="0" t="s">
        <v>32129</v>
      </c>
      <c r="J9666" s="0" t="s">
        <v>32130</v>
      </c>
      <c r="K9666" s="0" t="s">
        <v>32131</v>
      </c>
      <c r="L9666" s="0" t="str">
        <f aca="false">HYPERLINK("https://www.ncbi.nlm.nih.gov/nuccore/CP000058.1?report=graph&amp;tracks=[key:gene_model_track,Options:GeneOnly]&amp;mk=3035461:3035480|offset_1|444444,3035421:3035440|offset_41|444444,3035390:3035409|offset_72|00cc00,3035352:3035371|offset_110|444444&amp;v=3035260:3035571&amp;c=444444", "offset 72")</f>
        <v>offset 72</v>
      </c>
    </row>
    <row r="9667" customFormat="false" ht="12.8" hidden="false" customHeight="false" outlineLevel="0" collapsed="false">
      <c r="A9667" s="0" t="s">
        <v>12</v>
      </c>
      <c r="B9667" s="0" t="n">
        <v>3035351</v>
      </c>
      <c r="C9667" s="0" t="n">
        <v>3035371</v>
      </c>
      <c r="D9667" s="0" t="s">
        <v>32121</v>
      </c>
      <c r="E9667" s="0" t="s">
        <v>32122</v>
      </c>
      <c r="F9667" s="0" t="s">
        <v>90</v>
      </c>
      <c r="G9667" s="0" t="s">
        <v>20</v>
      </c>
      <c r="H9667" s="0" t="n">
        <v>110</v>
      </c>
      <c r="I9667" s="0" t="s">
        <v>32132</v>
      </c>
      <c r="J9667" s="0" t="s">
        <v>32133</v>
      </c>
      <c r="K9667" s="0" t="s">
        <v>32134</v>
      </c>
      <c r="L9667" s="0" t="str">
        <f aca="false">HYPERLINK("https://www.ncbi.nlm.nih.gov/nuccore/CP000058.1?report=graph&amp;tracks=[key:gene_model_track,Options:GeneOnly]&amp;mk=3035461:3035480|offset_1|444444,3035421:3035440|offset_41|444444,3035390:3035409|offset_72|444444,3035352:3035371|offset_110|00cc00&amp;v=3035260:3035571&amp;c=444444", "offset 110")</f>
        <v>offset 110</v>
      </c>
    </row>
    <row r="9668" customFormat="false" ht="12.8" hidden="false" customHeight="false" outlineLevel="0" collapsed="false">
      <c r="A9668" s="0" t="s">
        <v>12</v>
      </c>
      <c r="B9668" s="0" t="n">
        <v>3035871</v>
      </c>
      <c r="C9668" s="0" t="n">
        <v>3035891</v>
      </c>
      <c r="D9668" s="0" t="s">
        <v>32135</v>
      </c>
      <c r="E9668" s="0" t="s">
        <v>75</v>
      </c>
      <c r="F9668" s="0" t="s">
        <v>90</v>
      </c>
      <c r="G9668" s="0" t="s">
        <v>32</v>
      </c>
      <c r="H9668" s="0" t="n">
        <v>1</v>
      </c>
      <c r="I9668" s="0" t="s">
        <v>32136</v>
      </c>
      <c r="J9668" s="0" t="s">
        <v>32137</v>
      </c>
      <c r="K9668" s="0" t="s">
        <v>32138</v>
      </c>
      <c r="L9668" s="0" t="str">
        <f aca="false">HYPERLINK("https://www.ncbi.nlm.nih.gov/nuccore/CP000058.1?report=graph&amp;tracks=[key:gene_model_track,Options:GeneOnly]&amp;mk=3035872:3035891|offset_1|00cc00,3035845:3035864|offset_28|444444,3035818:3035837|offset_55|444444,3035775:3035794|offset_98|444444&amp;v=3035671:3035994&amp;c=444444", "offset 1")</f>
        <v>offset 1</v>
      </c>
    </row>
    <row r="9669" customFormat="false" ht="12.8" hidden="false" customHeight="false" outlineLevel="0" collapsed="false">
      <c r="A9669" s="0" t="s">
        <v>12</v>
      </c>
      <c r="B9669" s="0" t="n">
        <v>3035844</v>
      </c>
      <c r="C9669" s="0" t="n">
        <v>3035864</v>
      </c>
      <c r="D9669" s="0" t="s">
        <v>32135</v>
      </c>
      <c r="E9669" s="0" t="s">
        <v>75</v>
      </c>
      <c r="F9669" s="0" t="s">
        <v>90</v>
      </c>
      <c r="G9669" s="0" t="s">
        <v>16</v>
      </c>
      <c r="H9669" s="0" t="n">
        <v>28</v>
      </c>
      <c r="I9669" s="0" t="s">
        <v>32139</v>
      </c>
      <c r="J9669" s="0" t="s">
        <v>32140</v>
      </c>
      <c r="K9669" s="0" t="s">
        <v>32141</v>
      </c>
      <c r="L9669" s="0" t="str">
        <f aca="false">HYPERLINK("https://www.ncbi.nlm.nih.gov/nuccore/CP000058.1?report=graph&amp;tracks=[key:gene_model_track,Options:GeneOnly]&amp;mk=3035872:3035891|offset_1|444444,3035845:3035864|offset_28|00cc00,3035818:3035837|offset_55|444444,3035775:3035794|offset_98|444444&amp;v=3035671:3035994&amp;c=444444", "offset 28")</f>
        <v>offset 28</v>
      </c>
    </row>
    <row r="9670" customFormat="false" ht="12.8" hidden="false" customHeight="false" outlineLevel="0" collapsed="false">
      <c r="A9670" s="0" t="s">
        <v>12</v>
      </c>
      <c r="B9670" s="0" t="n">
        <v>3035817</v>
      </c>
      <c r="C9670" s="0" t="n">
        <v>3035837</v>
      </c>
      <c r="D9670" s="0" t="s">
        <v>32135</v>
      </c>
      <c r="E9670" s="0" t="s">
        <v>75</v>
      </c>
      <c r="F9670" s="0" t="s">
        <v>90</v>
      </c>
      <c r="G9670" s="0" t="s">
        <v>32</v>
      </c>
      <c r="H9670" s="0" t="n">
        <v>55</v>
      </c>
      <c r="I9670" s="0" t="s">
        <v>32142</v>
      </c>
      <c r="J9670" s="0" t="s">
        <v>32143</v>
      </c>
      <c r="K9670" s="0" t="s">
        <v>32144</v>
      </c>
      <c r="L9670" s="0" t="str">
        <f aca="false">HYPERLINK("https://www.ncbi.nlm.nih.gov/nuccore/CP000058.1?report=graph&amp;tracks=[key:gene_model_track,Options:GeneOnly]&amp;mk=3035872:3035891|offset_1|444444,3035845:3035864|offset_28|444444,3035818:3035837|offset_55|00cc00,3035775:3035794|offset_98|444444&amp;v=3035671:3035994&amp;c=444444", "offset 55")</f>
        <v>offset 55</v>
      </c>
    </row>
    <row r="9671" customFormat="false" ht="12.8" hidden="false" customHeight="false" outlineLevel="0" collapsed="false">
      <c r="A9671" s="0" t="s">
        <v>12</v>
      </c>
      <c r="B9671" s="0" t="n">
        <v>3035774</v>
      </c>
      <c r="C9671" s="0" t="n">
        <v>3035794</v>
      </c>
      <c r="D9671" s="0" t="s">
        <v>32135</v>
      </c>
      <c r="E9671" s="0" t="s">
        <v>75</v>
      </c>
      <c r="F9671" s="0" t="s">
        <v>90</v>
      </c>
      <c r="G9671" s="0" t="s">
        <v>36</v>
      </c>
      <c r="H9671" s="0" t="n">
        <v>98</v>
      </c>
      <c r="I9671" s="0" t="s">
        <v>32145</v>
      </c>
      <c r="J9671" s="0" t="s">
        <v>32146</v>
      </c>
      <c r="K9671" s="0" t="s">
        <v>32147</v>
      </c>
      <c r="L9671" s="0" t="str">
        <f aca="false">HYPERLINK("https://www.ncbi.nlm.nih.gov/nuccore/CP000058.1?report=graph&amp;tracks=[key:gene_model_track,Options:GeneOnly]&amp;mk=3035872:3035891|offset_1|444444,3035845:3035864|offset_28|444444,3035818:3035837|offset_55|444444,3035775:3035794|offset_98|00cc00&amp;v=3035671:3035994&amp;c=444444", "offset 98")</f>
        <v>offset 98</v>
      </c>
    </row>
    <row r="9672" customFormat="false" ht="12.8" hidden="false" customHeight="false" outlineLevel="0" collapsed="false">
      <c r="A9672" s="0" t="s">
        <v>12</v>
      </c>
      <c r="B9672" s="0" t="n">
        <v>3036959</v>
      </c>
      <c r="C9672" s="0" t="n">
        <v>3036979</v>
      </c>
      <c r="D9672" s="0" t="s">
        <v>32148</v>
      </c>
      <c r="E9672" s="0" t="s">
        <v>75</v>
      </c>
      <c r="F9672" s="0" t="s">
        <v>90</v>
      </c>
      <c r="G9672" s="0" t="s">
        <v>20</v>
      </c>
      <c r="H9672" s="0" t="n">
        <v>8</v>
      </c>
      <c r="I9672" s="0" t="s">
        <v>32149</v>
      </c>
      <c r="J9672" s="0" t="s">
        <v>32150</v>
      </c>
      <c r="K9672" s="0" t="s">
        <v>32151</v>
      </c>
      <c r="L9672" s="0" t="str">
        <f aca="false">HYPERLINK("https://www.ncbi.nlm.nih.gov/nuccore/CP000058.1?report=graph&amp;tracks=[key:gene_model_track,Options:GeneOnly]&amp;mk=3036960:3036979|offset_8|00cc00,3036919:3036938|offset_49|444444,3036895:3036914|offset_73|444444,3036868:3036887|offset_100|444444&amp;v=3036759:3037087&amp;c=444444", "offset 8")</f>
        <v>offset 8</v>
      </c>
    </row>
    <row r="9673" customFormat="false" ht="12.8" hidden="false" customHeight="false" outlineLevel="0" collapsed="false">
      <c r="A9673" s="0" t="s">
        <v>12</v>
      </c>
      <c r="B9673" s="0" t="n">
        <v>3036918</v>
      </c>
      <c r="C9673" s="0" t="n">
        <v>3036938</v>
      </c>
      <c r="D9673" s="0" t="s">
        <v>32148</v>
      </c>
      <c r="E9673" s="0" t="s">
        <v>75</v>
      </c>
      <c r="F9673" s="0" t="s">
        <v>90</v>
      </c>
      <c r="G9673" s="0" t="s">
        <v>32</v>
      </c>
      <c r="H9673" s="0" t="n">
        <v>49</v>
      </c>
      <c r="I9673" s="0" t="s">
        <v>32152</v>
      </c>
      <c r="J9673" s="0" t="s">
        <v>32153</v>
      </c>
      <c r="K9673" s="0" t="s">
        <v>32154</v>
      </c>
      <c r="L9673" s="0" t="str">
        <f aca="false">HYPERLINK("https://www.ncbi.nlm.nih.gov/nuccore/CP000058.1?report=graph&amp;tracks=[key:gene_model_track,Options:GeneOnly]&amp;mk=3036960:3036979|offset_8|444444,3036919:3036938|offset_49|00cc00,3036895:3036914|offset_73|444444,3036868:3036887|offset_100|444444&amp;v=3036759:3037087&amp;c=444444", "offset 49")</f>
        <v>offset 49</v>
      </c>
    </row>
    <row r="9674" customFormat="false" ht="12.8" hidden="false" customHeight="false" outlineLevel="0" collapsed="false">
      <c r="A9674" s="0" t="s">
        <v>12</v>
      </c>
      <c r="B9674" s="0" t="n">
        <v>3036894</v>
      </c>
      <c r="C9674" s="0" t="n">
        <v>3036914</v>
      </c>
      <c r="D9674" s="0" t="s">
        <v>32148</v>
      </c>
      <c r="E9674" s="0" t="s">
        <v>75</v>
      </c>
      <c r="F9674" s="0" t="s">
        <v>90</v>
      </c>
      <c r="G9674" s="0" t="s">
        <v>36</v>
      </c>
      <c r="H9674" s="0" t="n">
        <v>73</v>
      </c>
      <c r="I9674" s="0" t="s">
        <v>32155</v>
      </c>
      <c r="J9674" s="0" t="s">
        <v>32156</v>
      </c>
      <c r="K9674" s="0" t="s">
        <v>32157</v>
      </c>
      <c r="L9674" s="0" t="str">
        <f aca="false">HYPERLINK("https://www.ncbi.nlm.nih.gov/nuccore/CP000058.1?report=graph&amp;tracks=[key:gene_model_track,Options:GeneOnly]&amp;mk=3036960:3036979|offset_8|444444,3036919:3036938|offset_49|444444,3036895:3036914|offset_73|00cc00,3036868:3036887|offset_100|444444&amp;v=3036759:3037087&amp;c=444444", "offset 73")</f>
        <v>offset 73</v>
      </c>
    </row>
    <row r="9675" customFormat="false" ht="12.8" hidden="false" customHeight="false" outlineLevel="0" collapsed="false">
      <c r="A9675" s="0" t="s">
        <v>12</v>
      </c>
      <c r="B9675" s="0" t="n">
        <v>3036867</v>
      </c>
      <c r="C9675" s="0" t="n">
        <v>3036887</v>
      </c>
      <c r="D9675" s="0" t="s">
        <v>32148</v>
      </c>
      <c r="E9675" s="0" t="s">
        <v>75</v>
      </c>
      <c r="F9675" s="0" t="s">
        <v>90</v>
      </c>
      <c r="G9675" s="0" t="s">
        <v>36</v>
      </c>
      <c r="H9675" s="0" t="n">
        <v>100</v>
      </c>
      <c r="I9675" s="0" t="s">
        <v>32158</v>
      </c>
      <c r="J9675" s="0" t="s">
        <v>32159</v>
      </c>
      <c r="K9675" s="0" t="s">
        <v>32160</v>
      </c>
      <c r="L9675" s="0" t="str">
        <f aca="false">HYPERLINK("https://www.ncbi.nlm.nih.gov/nuccore/CP000058.1?report=graph&amp;tracks=[key:gene_model_track,Options:GeneOnly]&amp;mk=3036960:3036979|offset_8|444444,3036919:3036938|offset_49|444444,3036895:3036914|offset_73|444444,3036868:3036887|offset_100|00cc00&amp;v=3036759:3037087&amp;c=444444", "offset 100")</f>
        <v>offset 100</v>
      </c>
    </row>
    <row r="9676" customFormat="false" ht="12.8" hidden="false" customHeight="false" outlineLevel="0" collapsed="false">
      <c r="A9676" s="0" t="s">
        <v>12</v>
      </c>
      <c r="B9676" s="0" t="n">
        <v>3037170</v>
      </c>
      <c r="C9676" s="0" t="n">
        <v>3037190</v>
      </c>
      <c r="D9676" s="0" t="s">
        <v>32161</v>
      </c>
      <c r="E9676" s="0" t="s">
        <v>75</v>
      </c>
      <c r="F9676" s="0" t="s">
        <v>15</v>
      </c>
      <c r="G9676" s="0" t="s">
        <v>36</v>
      </c>
      <c r="H9676" s="0" t="n">
        <v>0</v>
      </c>
      <c r="I9676" s="0" t="s">
        <v>32162</v>
      </c>
      <c r="J9676" s="0" t="s">
        <v>32163</v>
      </c>
      <c r="K9676" s="0" t="s">
        <v>32164</v>
      </c>
      <c r="L9676" s="0" t="str">
        <f aca="false">HYPERLINK("https://www.ncbi.nlm.nih.gov/nuccore/CP000058.1?report=graph&amp;tracks=[key:gene_model_track,Options:GeneOnly]&amp;mk=3037171:3037190|offset_0|00cc00,3037191:3037210|offset_20|444444,3037223:3037242|offset_52|444444,3037249:3037268|offset_78|444444&amp;v=3036970:3037468&amp;c=444444", "offset 0")</f>
        <v>offset 0</v>
      </c>
    </row>
    <row r="9677" customFormat="false" ht="12.8" hidden="false" customHeight="false" outlineLevel="0" collapsed="false">
      <c r="A9677" s="0" t="s">
        <v>12</v>
      </c>
      <c r="B9677" s="0" t="n">
        <v>3037190</v>
      </c>
      <c r="C9677" s="0" t="n">
        <v>3037210</v>
      </c>
      <c r="D9677" s="0" t="s">
        <v>32161</v>
      </c>
      <c r="E9677" s="0" t="s">
        <v>75</v>
      </c>
      <c r="F9677" s="0" t="s">
        <v>15</v>
      </c>
      <c r="G9677" s="0" t="s">
        <v>36</v>
      </c>
      <c r="H9677" s="0" t="n">
        <v>20</v>
      </c>
      <c r="I9677" s="0" t="s">
        <v>32165</v>
      </c>
      <c r="J9677" s="0" t="s">
        <v>32166</v>
      </c>
      <c r="K9677" s="0" t="s">
        <v>32167</v>
      </c>
      <c r="L9677" s="0" t="str">
        <f aca="false">HYPERLINK("https://www.ncbi.nlm.nih.gov/nuccore/CP000058.1?report=graph&amp;tracks=[key:gene_model_track,Options:GeneOnly]&amp;mk=3037171:3037190|offset_0|444444,3037191:3037210|offset_20|00cc00,3037223:3037242|offset_52|444444,3037249:3037268|offset_78|444444&amp;v=3036970:3037468&amp;c=444444", "offset 20")</f>
        <v>offset 20</v>
      </c>
    </row>
    <row r="9678" customFormat="false" ht="12.8" hidden="false" customHeight="false" outlineLevel="0" collapsed="false">
      <c r="A9678" s="0" t="s">
        <v>12</v>
      </c>
      <c r="B9678" s="0" t="n">
        <v>3037222</v>
      </c>
      <c r="C9678" s="0" t="n">
        <v>3037242</v>
      </c>
      <c r="D9678" s="0" t="s">
        <v>32161</v>
      </c>
      <c r="E9678" s="0" t="s">
        <v>75</v>
      </c>
      <c r="F9678" s="0" t="s">
        <v>15</v>
      </c>
      <c r="G9678" s="0" t="s">
        <v>16</v>
      </c>
      <c r="H9678" s="0" t="n">
        <v>52</v>
      </c>
      <c r="I9678" s="0" t="s">
        <v>32168</v>
      </c>
      <c r="J9678" s="0" t="s">
        <v>32169</v>
      </c>
      <c r="K9678" s="0" t="s">
        <v>32170</v>
      </c>
      <c r="L9678" s="0" t="str">
        <f aca="false">HYPERLINK("https://www.ncbi.nlm.nih.gov/nuccore/CP000058.1?report=graph&amp;tracks=[key:gene_model_track,Options:GeneOnly]&amp;mk=3037171:3037190|offset_0|444444,3037191:3037210|offset_20|444444,3037223:3037242|offset_52|00cc00,3037249:3037268|offset_78|444444&amp;v=3036970:3037468&amp;c=444444", "offset 52")</f>
        <v>offset 52</v>
      </c>
    </row>
    <row r="9679" customFormat="false" ht="12.8" hidden="false" customHeight="false" outlineLevel="0" collapsed="false">
      <c r="A9679" s="0" t="s">
        <v>12</v>
      </c>
      <c r="B9679" s="0" t="n">
        <v>3037248</v>
      </c>
      <c r="C9679" s="0" t="n">
        <v>3037268</v>
      </c>
      <c r="D9679" s="0" t="s">
        <v>32161</v>
      </c>
      <c r="E9679" s="0" t="s">
        <v>75</v>
      </c>
      <c r="F9679" s="0" t="s">
        <v>15</v>
      </c>
      <c r="G9679" s="0" t="s">
        <v>16</v>
      </c>
      <c r="H9679" s="0" t="n">
        <v>78</v>
      </c>
      <c r="I9679" s="0" t="s">
        <v>32171</v>
      </c>
      <c r="J9679" s="0" t="s">
        <v>32172</v>
      </c>
      <c r="K9679" s="0" t="s">
        <v>32173</v>
      </c>
      <c r="L9679" s="0" t="str">
        <f aca="false">HYPERLINK("https://www.ncbi.nlm.nih.gov/nuccore/CP000058.1?report=graph&amp;tracks=[key:gene_model_track,Options:GeneOnly]&amp;mk=3037171:3037190|offset_0|444444,3037191:3037210|offset_20|444444,3037223:3037242|offset_52|444444,3037249:3037268|offset_78|00cc00&amp;v=3036970:3037468&amp;c=444444", "offset 78")</f>
        <v>offset 78</v>
      </c>
    </row>
    <row r="9680" customFormat="false" ht="12.8" hidden="false" customHeight="false" outlineLevel="0" collapsed="false">
      <c r="A9680" s="0" t="s">
        <v>12</v>
      </c>
      <c r="B9680" s="0" t="n">
        <v>3039750</v>
      </c>
      <c r="C9680" s="0" t="n">
        <v>3039770</v>
      </c>
      <c r="D9680" s="0" t="s">
        <v>32174</v>
      </c>
      <c r="E9680" s="0" t="s">
        <v>75</v>
      </c>
      <c r="F9680" s="0" t="s">
        <v>90</v>
      </c>
      <c r="G9680" s="0" t="s">
        <v>16</v>
      </c>
      <c r="H9680" s="0" t="n">
        <v>0</v>
      </c>
      <c r="I9680" s="0" t="s">
        <v>32175</v>
      </c>
      <c r="J9680" s="0" t="s">
        <v>32176</v>
      </c>
      <c r="K9680" s="0" t="s">
        <v>32177</v>
      </c>
      <c r="L9680" s="0" t="str">
        <f aca="false">HYPERLINK("https://www.ncbi.nlm.nih.gov/nuccore/CP000058.1?report=graph&amp;tracks=[key:gene_model_track,Options:GeneOnly]&amp;mk=3039751:3039770|offset_0|00cc00,3039708:3039727|offset_43|444444,3039676:3039695|offset_75|444444,3039655:3039674|offset_96|444444&amp;v=3039550:3039874&amp;c=444444", "offset 0")</f>
        <v>offset 0</v>
      </c>
    </row>
    <row r="9681" customFormat="false" ht="12.8" hidden="false" customHeight="false" outlineLevel="0" collapsed="false">
      <c r="A9681" s="0" t="s">
        <v>12</v>
      </c>
      <c r="B9681" s="0" t="n">
        <v>3039707</v>
      </c>
      <c r="C9681" s="0" t="n">
        <v>3039727</v>
      </c>
      <c r="D9681" s="0" t="s">
        <v>32174</v>
      </c>
      <c r="E9681" s="0" t="s">
        <v>75</v>
      </c>
      <c r="F9681" s="0" t="s">
        <v>90</v>
      </c>
      <c r="G9681" s="0" t="s">
        <v>32</v>
      </c>
      <c r="H9681" s="0" t="n">
        <v>43</v>
      </c>
      <c r="I9681" s="0" t="s">
        <v>32178</v>
      </c>
      <c r="J9681" s="0" t="s">
        <v>32179</v>
      </c>
      <c r="K9681" s="0" t="s">
        <v>32180</v>
      </c>
      <c r="L9681" s="0" t="str">
        <f aca="false">HYPERLINK("https://www.ncbi.nlm.nih.gov/nuccore/CP000058.1?report=graph&amp;tracks=[key:gene_model_track,Options:GeneOnly]&amp;mk=3039751:3039770|offset_0|444444,3039708:3039727|offset_43|00cc00,3039676:3039695|offset_75|444444,3039655:3039674|offset_96|444444&amp;v=3039550:3039874&amp;c=444444", "offset 43")</f>
        <v>offset 43</v>
      </c>
    </row>
    <row r="9682" customFormat="false" ht="12.8" hidden="false" customHeight="false" outlineLevel="0" collapsed="false">
      <c r="A9682" s="0" t="s">
        <v>12</v>
      </c>
      <c r="B9682" s="0" t="n">
        <v>3039675</v>
      </c>
      <c r="C9682" s="0" t="n">
        <v>3039695</v>
      </c>
      <c r="D9682" s="0" t="s">
        <v>32174</v>
      </c>
      <c r="E9682" s="0" t="s">
        <v>75</v>
      </c>
      <c r="F9682" s="0" t="s">
        <v>90</v>
      </c>
      <c r="G9682" s="0" t="s">
        <v>16</v>
      </c>
      <c r="H9682" s="0" t="n">
        <v>75</v>
      </c>
      <c r="I9682" s="0" t="s">
        <v>32181</v>
      </c>
      <c r="J9682" s="0" t="s">
        <v>32182</v>
      </c>
      <c r="K9682" s="0" t="s">
        <v>32183</v>
      </c>
      <c r="L9682" s="0" t="str">
        <f aca="false">HYPERLINK("https://www.ncbi.nlm.nih.gov/nuccore/CP000058.1?report=graph&amp;tracks=[key:gene_model_track,Options:GeneOnly]&amp;mk=3039751:3039770|offset_0|444444,3039708:3039727|offset_43|444444,3039676:3039695|offset_75|00cc00,3039655:3039674|offset_96|444444&amp;v=3039550:3039874&amp;c=444444", "offset 75")</f>
        <v>offset 75</v>
      </c>
    </row>
    <row r="9683" customFormat="false" ht="12.8" hidden="false" customHeight="false" outlineLevel="0" collapsed="false">
      <c r="A9683" s="0" t="s">
        <v>12</v>
      </c>
      <c r="B9683" s="0" t="n">
        <v>3039654</v>
      </c>
      <c r="C9683" s="0" t="n">
        <v>3039674</v>
      </c>
      <c r="D9683" s="0" t="s">
        <v>32174</v>
      </c>
      <c r="E9683" s="0" t="s">
        <v>75</v>
      </c>
      <c r="F9683" s="0" t="s">
        <v>90</v>
      </c>
      <c r="G9683" s="0" t="s">
        <v>16</v>
      </c>
      <c r="H9683" s="0" t="n">
        <v>96</v>
      </c>
      <c r="I9683" s="0" t="s">
        <v>32184</v>
      </c>
      <c r="J9683" s="0" t="s">
        <v>32185</v>
      </c>
      <c r="K9683" s="0" t="s">
        <v>32186</v>
      </c>
      <c r="L9683" s="0" t="str">
        <f aca="false">HYPERLINK("https://www.ncbi.nlm.nih.gov/nuccore/CP000058.1?report=graph&amp;tracks=[key:gene_model_track,Options:GeneOnly]&amp;mk=3039751:3039770|offset_0|444444,3039708:3039727|offset_43|444444,3039676:3039695|offset_75|444444,3039655:3039674|offset_96|00cc00&amp;v=3039550:3039874&amp;c=444444", "offset 96")</f>
        <v>offset 96</v>
      </c>
    </row>
    <row r="9684" customFormat="false" ht="12.8" hidden="false" customHeight="false" outlineLevel="0" collapsed="false">
      <c r="A9684" s="0" t="s">
        <v>12</v>
      </c>
      <c r="B9684" s="0" t="n">
        <v>3040650</v>
      </c>
      <c r="C9684" s="0" t="n">
        <v>3040670</v>
      </c>
      <c r="D9684" s="0" t="s">
        <v>32187</v>
      </c>
      <c r="E9684" s="0" t="s">
        <v>32188</v>
      </c>
      <c r="F9684" s="0" t="s">
        <v>90</v>
      </c>
      <c r="G9684" s="0" t="s">
        <v>20</v>
      </c>
      <c r="H9684" s="0" t="n">
        <v>45</v>
      </c>
      <c r="I9684" s="0" t="s">
        <v>32189</v>
      </c>
      <c r="J9684" s="0" t="s">
        <v>32190</v>
      </c>
      <c r="K9684" s="0" t="s">
        <v>32191</v>
      </c>
      <c r="L9684" s="0" t="str">
        <f aca="false">HYPERLINK("https://www.ncbi.nlm.nih.gov/nuccore/CP000058.1?report=graph&amp;tracks=[key:gene_model_track,Options:GeneOnly]&amp;mk=3040651:3040670|offset_45|00cc00,3040615:3040634|offset_81|444444,3040590:3040609|offset_106|444444,3040568:3040587|offset_128|444444&amp;v=3040450:3040787&amp;c=444444", "offset 45")</f>
        <v>offset 45</v>
      </c>
    </row>
    <row r="9685" customFormat="false" ht="12.8" hidden="false" customHeight="false" outlineLevel="0" collapsed="false">
      <c r="A9685" s="0" t="s">
        <v>12</v>
      </c>
      <c r="B9685" s="0" t="n">
        <v>3040614</v>
      </c>
      <c r="C9685" s="0" t="n">
        <v>3040634</v>
      </c>
      <c r="D9685" s="0" t="s">
        <v>32187</v>
      </c>
      <c r="E9685" s="0" t="s">
        <v>32188</v>
      </c>
      <c r="F9685" s="0" t="s">
        <v>90</v>
      </c>
      <c r="G9685" s="0" t="s">
        <v>20</v>
      </c>
      <c r="H9685" s="0" t="n">
        <v>81</v>
      </c>
      <c r="I9685" s="0" t="s">
        <v>32192</v>
      </c>
      <c r="J9685" s="0" t="s">
        <v>32193</v>
      </c>
      <c r="K9685" s="0" t="s">
        <v>32194</v>
      </c>
      <c r="L9685" s="0" t="str">
        <f aca="false">HYPERLINK("https://www.ncbi.nlm.nih.gov/nuccore/CP000058.1?report=graph&amp;tracks=[key:gene_model_track,Options:GeneOnly]&amp;mk=3040651:3040670|offset_45|444444,3040615:3040634|offset_81|00cc00,3040590:3040609|offset_106|444444,3040568:3040587|offset_128|444444&amp;v=3040450:3040787&amp;c=444444", "offset 81")</f>
        <v>offset 81</v>
      </c>
    </row>
    <row r="9686" customFormat="false" ht="12.8" hidden="false" customHeight="false" outlineLevel="0" collapsed="false">
      <c r="A9686" s="0" t="s">
        <v>12</v>
      </c>
      <c r="B9686" s="0" t="n">
        <v>3040589</v>
      </c>
      <c r="C9686" s="0" t="n">
        <v>3040609</v>
      </c>
      <c r="D9686" s="0" t="s">
        <v>32187</v>
      </c>
      <c r="E9686" s="0" t="s">
        <v>32188</v>
      </c>
      <c r="F9686" s="0" t="s">
        <v>90</v>
      </c>
      <c r="G9686" s="0" t="s">
        <v>32</v>
      </c>
      <c r="H9686" s="0" t="n">
        <v>106</v>
      </c>
      <c r="I9686" s="0" t="s">
        <v>32195</v>
      </c>
      <c r="J9686" s="0" t="s">
        <v>32196</v>
      </c>
      <c r="K9686" s="0" t="s">
        <v>32197</v>
      </c>
      <c r="L9686" s="0" t="str">
        <f aca="false">HYPERLINK("https://www.ncbi.nlm.nih.gov/nuccore/CP000058.1?report=graph&amp;tracks=[key:gene_model_track,Options:GeneOnly]&amp;mk=3040651:3040670|offset_45|444444,3040615:3040634|offset_81|444444,3040590:3040609|offset_106|00cc00,3040568:3040587|offset_128|444444&amp;v=3040450:3040787&amp;c=444444", "offset 106")</f>
        <v>offset 106</v>
      </c>
    </row>
    <row r="9687" customFormat="false" ht="12.8" hidden="false" customHeight="false" outlineLevel="0" collapsed="false">
      <c r="A9687" s="0" t="s">
        <v>12</v>
      </c>
      <c r="B9687" s="0" t="n">
        <v>3040567</v>
      </c>
      <c r="C9687" s="0" t="n">
        <v>3040587</v>
      </c>
      <c r="D9687" s="0" t="s">
        <v>32187</v>
      </c>
      <c r="E9687" s="0" t="s">
        <v>32188</v>
      </c>
      <c r="F9687" s="0" t="s">
        <v>90</v>
      </c>
      <c r="G9687" s="0" t="s">
        <v>36</v>
      </c>
      <c r="H9687" s="0" t="n">
        <v>128</v>
      </c>
      <c r="I9687" s="0" t="s">
        <v>32198</v>
      </c>
      <c r="J9687" s="0" t="s">
        <v>32199</v>
      </c>
      <c r="K9687" s="0" t="s">
        <v>32200</v>
      </c>
      <c r="L9687" s="0" t="str">
        <f aca="false">HYPERLINK("https://www.ncbi.nlm.nih.gov/nuccore/CP000058.1?report=graph&amp;tracks=[key:gene_model_track,Options:GeneOnly]&amp;mk=3040651:3040670|offset_45|444444,3040615:3040634|offset_81|444444,3040590:3040609|offset_106|444444,3040568:3040587|offset_128|00cc00&amp;v=3040450:3040787&amp;c=444444", "offset 128")</f>
        <v>offset 128</v>
      </c>
    </row>
    <row r="9688" customFormat="false" ht="12.8" hidden="false" customHeight="false" outlineLevel="0" collapsed="false">
      <c r="A9688" s="0" t="s">
        <v>12</v>
      </c>
      <c r="B9688" s="0" t="n">
        <v>3040913</v>
      </c>
      <c r="C9688" s="0" t="n">
        <v>3040933</v>
      </c>
      <c r="D9688" s="0" t="s">
        <v>32201</v>
      </c>
      <c r="E9688" s="0" t="s">
        <v>75</v>
      </c>
      <c r="F9688" s="0" t="s">
        <v>15</v>
      </c>
      <c r="G9688" s="0" t="s">
        <v>36</v>
      </c>
      <c r="H9688" s="0" t="n">
        <v>7</v>
      </c>
      <c r="I9688" s="0" t="s">
        <v>32202</v>
      </c>
      <c r="J9688" s="0" t="s">
        <v>32203</v>
      </c>
      <c r="K9688" s="0" t="s">
        <v>32204</v>
      </c>
      <c r="L9688" s="0" t="str">
        <f aca="false">HYPERLINK("https://www.ncbi.nlm.nih.gov/nuccore/CP000058.1?report=graph&amp;tracks=[key:gene_model_track,Options:GeneOnly]&amp;mk=3040914:3040933|offset_7|00cc00,3040965:3040984|offset_58|444444,3040995:3041014|offset_88|444444,3041019:3041038|offset_112|444444&amp;v=3040713:3041238&amp;c=444444", "offset 7")</f>
        <v>offset 7</v>
      </c>
    </row>
    <row r="9689" customFormat="false" ht="12.8" hidden="false" customHeight="false" outlineLevel="0" collapsed="false">
      <c r="A9689" s="0" t="s">
        <v>12</v>
      </c>
      <c r="B9689" s="0" t="n">
        <v>3040964</v>
      </c>
      <c r="C9689" s="0" t="n">
        <v>3040984</v>
      </c>
      <c r="D9689" s="0" t="s">
        <v>32201</v>
      </c>
      <c r="E9689" s="0" t="s">
        <v>75</v>
      </c>
      <c r="F9689" s="0" t="s">
        <v>15</v>
      </c>
      <c r="G9689" s="0" t="s">
        <v>36</v>
      </c>
      <c r="H9689" s="0" t="n">
        <v>58</v>
      </c>
      <c r="I9689" s="0" t="s">
        <v>32205</v>
      </c>
      <c r="J9689" s="0" t="s">
        <v>32206</v>
      </c>
      <c r="K9689" s="0" t="s">
        <v>32207</v>
      </c>
      <c r="L9689" s="0" t="str">
        <f aca="false">HYPERLINK("https://www.ncbi.nlm.nih.gov/nuccore/CP000058.1?report=graph&amp;tracks=[key:gene_model_track,Options:GeneOnly]&amp;mk=3040914:3040933|offset_7|444444,3040965:3040984|offset_58|00cc00,3040995:3041014|offset_88|444444,3041019:3041038|offset_112|444444&amp;v=3040713:3041238&amp;c=444444", "offset 58")</f>
        <v>offset 58</v>
      </c>
    </row>
    <row r="9690" customFormat="false" ht="12.8" hidden="false" customHeight="false" outlineLevel="0" collapsed="false">
      <c r="A9690" s="0" t="s">
        <v>12</v>
      </c>
      <c r="B9690" s="0" t="n">
        <v>3040994</v>
      </c>
      <c r="C9690" s="0" t="n">
        <v>3041014</v>
      </c>
      <c r="D9690" s="0" t="s">
        <v>32201</v>
      </c>
      <c r="E9690" s="0" t="s">
        <v>75</v>
      </c>
      <c r="F9690" s="0" t="s">
        <v>15</v>
      </c>
      <c r="G9690" s="0" t="s">
        <v>20</v>
      </c>
      <c r="H9690" s="0" t="n">
        <v>88</v>
      </c>
      <c r="I9690" s="0" t="s">
        <v>32208</v>
      </c>
      <c r="J9690" s="0" t="s">
        <v>32209</v>
      </c>
      <c r="K9690" s="0" t="s">
        <v>32210</v>
      </c>
      <c r="L9690" s="0" t="str">
        <f aca="false">HYPERLINK("https://www.ncbi.nlm.nih.gov/nuccore/CP000058.1?report=graph&amp;tracks=[key:gene_model_track,Options:GeneOnly]&amp;mk=3040914:3040933|offset_7|444444,3040965:3040984|offset_58|444444,3040995:3041014|offset_88|00cc00,3041019:3041038|offset_112|444444&amp;v=3040713:3041238&amp;c=444444", "offset 88")</f>
        <v>offset 88</v>
      </c>
    </row>
    <row r="9691" customFormat="false" ht="12.8" hidden="false" customHeight="false" outlineLevel="0" collapsed="false">
      <c r="A9691" s="0" t="s">
        <v>12</v>
      </c>
      <c r="B9691" s="0" t="n">
        <v>3041018</v>
      </c>
      <c r="C9691" s="0" t="n">
        <v>3041038</v>
      </c>
      <c r="D9691" s="0" t="s">
        <v>32201</v>
      </c>
      <c r="E9691" s="0" t="s">
        <v>75</v>
      </c>
      <c r="F9691" s="0" t="s">
        <v>15</v>
      </c>
      <c r="G9691" s="0" t="s">
        <v>20</v>
      </c>
      <c r="H9691" s="0" t="n">
        <v>112</v>
      </c>
      <c r="I9691" s="0" t="s">
        <v>32211</v>
      </c>
      <c r="J9691" s="0" t="s">
        <v>32212</v>
      </c>
      <c r="K9691" s="0" t="s">
        <v>32213</v>
      </c>
      <c r="L9691" s="0" t="str">
        <f aca="false">HYPERLINK("https://www.ncbi.nlm.nih.gov/nuccore/CP000058.1?report=graph&amp;tracks=[key:gene_model_track,Options:GeneOnly]&amp;mk=3040914:3040933|offset_7|444444,3040965:3040984|offset_58|444444,3040995:3041014|offset_88|444444,3041019:3041038|offset_112|00cc00&amp;v=3040713:3041238&amp;c=444444", "offset 112")</f>
        <v>offset 112</v>
      </c>
    </row>
    <row r="9692" customFormat="false" ht="12.8" hidden="false" customHeight="false" outlineLevel="0" collapsed="false">
      <c r="A9692" s="0" t="s">
        <v>12</v>
      </c>
      <c r="B9692" s="0" t="n">
        <v>3041637</v>
      </c>
      <c r="C9692" s="0" t="n">
        <v>3041657</v>
      </c>
      <c r="D9692" s="0" t="s">
        <v>32214</v>
      </c>
      <c r="E9692" s="0" t="s">
        <v>75</v>
      </c>
      <c r="F9692" s="0" t="s">
        <v>15</v>
      </c>
      <c r="G9692" s="0" t="s">
        <v>36</v>
      </c>
      <c r="H9692" s="0" t="n">
        <v>0</v>
      </c>
      <c r="I9692" s="0" t="s">
        <v>32215</v>
      </c>
      <c r="J9692" s="0" t="s">
        <v>32216</v>
      </c>
      <c r="K9692" s="0" t="s">
        <v>32217</v>
      </c>
      <c r="L9692" s="0" t="str">
        <f aca="false">HYPERLINK("https://www.ncbi.nlm.nih.gov/nuccore/CP000058.1?report=graph&amp;tracks=[key:gene_model_track,Options:GeneOnly]&amp;mk=3041638:3041657|offset_0|00cc00,3041667:3041686|offset_29|444444,3041708:3041727|offset_70|444444,3041732:3041751|offset_94|444444&amp;v=3041437:3041951&amp;c=444444", "offset 0")</f>
        <v>offset 0</v>
      </c>
    </row>
    <row r="9693" customFormat="false" ht="12.8" hidden="false" customHeight="false" outlineLevel="0" collapsed="false">
      <c r="A9693" s="0" t="s">
        <v>12</v>
      </c>
      <c r="B9693" s="0" t="n">
        <v>3041666</v>
      </c>
      <c r="C9693" s="0" t="n">
        <v>3041686</v>
      </c>
      <c r="D9693" s="0" t="s">
        <v>32214</v>
      </c>
      <c r="E9693" s="0" t="s">
        <v>75</v>
      </c>
      <c r="F9693" s="0" t="s">
        <v>15</v>
      </c>
      <c r="G9693" s="0" t="s">
        <v>20</v>
      </c>
      <c r="H9693" s="0" t="n">
        <v>29</v>
      </c>
      <c r="I9693" s="0" t="s">
        <v>32218</v>
      </c>
      <c r="J9693" s="0" t="s">
        <v>32219</v>
      </c>
      <c r="K9693" s="0" t="s">
        <v>32220</v>
      </c>
      <c r="L9693" s="0" t="str">
        <f aca="false">HYPERLINK("https://www.ncbi.nlm.nih.gov/nuccore/CP000058.1?report=graph&amp;tracks=[key:gene_model_track,Options:GeneOnly]&amp;mk=3041638:3041657|offset_0|444444,3041667:3041686|offset_29|00cc00,3041708:3041727|offset_70|444444,3041732:3041751|offset_94|444444&amp;v=3041437:3041951&amp;c=444444", "offset 29")</f>
        <v>offset 29</v>
      </c>
    </row>
    <row r="9694" customFormat="false" ht="12.8" hidden="false" customHeight="false" outlineLevel="0" collapsed="false">
      <c r="A9694" s="0" t="s">
        <v>12</v>
      </c>
      <c r="B9694" s="0" t="n">
        <v>3041707</v>
      </c>
      <c r="C9694" s="0" t="n">
        <v>3041727</v>
      </c>
      <c r="D9694" s="0" t="s">
        <v>32214</v>
      </c>
      <c r="E9694" s="0" t="s">
        <v>75</v>
      </c>
      <c r="F9694" s="0" t="s">
        <v>15</v>
      </c>
      <c r="G9694" s="0" t="s">
        <v>36</v>
      </c>
      <c r="H9694" s="0" t="n">
        <v>70</v>
      </c>
      <c r="I9694" s="0" t="s">
        <v>32221</v>
      </c>
      <c r="J9694" s="0" t="s">
        <v>32222</v>
      </c>
      <c r="K9694" s="0" t="s">
        <v>32223</v>
      </c>
      <c r="L9694" s="0" t="str">
        <f aca="false">HYPERLINK("https://www.ncbi.nlm.nih.gov/nuccore/CP000058.1?report=graph&amp;tracks=[key:gene_model_track,Options:GeneOnly]&amp;mk=3041638:3041657|offset_0|444444,3041667:3041686|offset_29|444444,3041708:3041727|offset_70|00cc00,3041732:3041751|offset_94|444444&amp;v=3041437:3041951&amp;c=444444", "offset 70")</f>
        <v>offset 70</v>
      </c>
    </row>
    <row r="9695" customFormat="false" ht="12.8" hidden="false" customHeight="false" outlineLevel="0" collapsed="false">
      <c r="A9695" s="0" t="s">
        <v>12</v>
      </c>
      <c r="B9695" s="0" t="n">
        <v>3041731</v>
      </c>
      <c r="C9695" s="0" t="n">
        <v>3041751</v>
      </c>
      <c r="D9695" s="0" t="s">
        <v>32214</v>
      </c>
      <c r="E9695" s="0" t="s">
        <v>75</v>
      </c>
      <c r="F9695" s="0" t="s">
        <v>15</v>
      </c>
      <c r="G9695" s="0" t="s">
        <v>16</v>
      </c>
      <c r="H9695" s="0" t="n">
        <v>94</v>
      </c>
      <c r="I9695" s="0" t="s">
        <v>32224</v>
      </c>
      <c r="J9695" s="0" t="s">
        <v>32225</v>
      </c>
      <c r="K9695" s="0" t="s">
        <v>32226</v>
      </c>
      <c r="L9695" s="0" t="str">
        <f aca="false">HYPERLINK("https://www.ncbi.nlm.nih.gov/nuccore/CP000058.1?report=graph&amp;tracks=[key:gene_model_track,Options:GeneOnly]&amp;mk=3041638:3041657|offset_0|444444,3041667:3041686|offset_29|444444,3041708:3041727|offset_70|444444,3041732:3041751|offset_94|00cc00&amp;v=3041437:3041951&amp;c=444444", "offset 94")</f>
        <v>offset 94</v>
      </c>
    </row>
    <row r="9696" customFormat="false" ht="12.8" hidden="false" customHeight="false" outlineLevel="0" collapsed="false">
      <c r="A9696" s="0" t="s">
        <v>12</v>
      </c>
      <c r="B9696" s="0" t="n">
        <v>3043398</v>
      </c>
      <c r="C9696" s="0" t="n">
        <v>3043418</v>
      </c>
      <c r="D9696" s="0" t="s">
        <v>32227</v>
      </c>
      <c r="E9696" s="0" t="s">
        <v>75</v>
      </c>
      <c r="F9696" s="0" t="s">
        <v>15</v>
      </c>
      <c r="G9696" s="0" t="s">
        <v>16</v>
      </c>
      <c r="H9696" s="0" t="n">
        <v>31</v>
      </c>
      <c r="I9696" s="0" t="s">
        <v>32228</v>
      </c>
      <c r="J9696" s="0" t="s">
        <v>32229</v>
      </c>
      <c r="K9696" s="0" t="s">
        <v>32230</v>
      </c>
      <c r="L9696" s="0" t="str">
        <f aca="false">HYPERLINK("https://www.ncbi.nlm.nih.gov/nuccore/CP000058.1?report=graph&amp;tracks=[key:gene_model_track,Options:GeneOnly]&amp;mk=3043399:3043418|offset_31|00cc00,3043462:3043481|offset_94|444444,3043497:3043516|offset_129|444444,3043526:3043545|offset_158|444444&amp;v=3043198:3043745&amp;c=444444", "offset 31")</f>
        <v>offset 31</v>
      </c>
    </row>
    <row r="9697" customFormat="false" ht="12.8" hidden="false" customHeight="false" outlineLevel="0" collapsed="false">
      <c r="A9697" s="0" t="s">
        <v>12</v>
      </c>
      <c r="B9697" s="0" t="n">
        <v>3043461</v>
      </c>
      <c r="C9697" s="0" t="n">
        <v>3043481</v>
      </c>
      <c r="D9697" s="0" t="s">
        <v>32227</v>
      </c>
      <c r="E9697" s="0" t="s">
        <v>75</v>
      </c>
      <c r="F9697" s="0" t="s">
        <v>15</v>
      </c>
      <c r="G9697" s="0" t="s">
        <v>36</v>
      </c>
      <c r="H9697" s="0" t="n">
        <v>94</v>
      </c>
      <c r="I9697" s="0" t="s">
        <v>32231</v>
      </c>
      <c r="J9697" s="0" t="s">
        <v>32232</v>
      </c>
      <c r="K9697" s="0" t="s">
        <v>32233</v>
      </c>
      <c r="L9697" s="0" t="str">
        <f aca="false">HYPERLINK("https://www.ncbi.nlm.nih.gov/nuccore/CP000058.1?report=graph&amp;tracks=[key:gene_model_track,Options:GeneOnly]&amp;mk=3043399:3043418|offset_31|444444,3043462:3043481|offset_94|00cc00,3043497:3043516|offset_129|444444,3043526:3043545|offset_158|444444&amp;v=3043198:3043745&amp;c=444444", "offset 94")</f>
        <v>offset 94</v>
      </c>
    </row>
    <row r="9698" customFormat="false" ht="12.8" hidden="false" customHeight="false" outlineLevel="0" collapsed="false">
      <c r="A9698" s="0" t="s">
        <v>12</v>
      </c>
      <c r="B9698" s="0" t="n">
        <v>3043496</v>
      </c>
      <c r="C9698" s="0" t="n">
        <v>3043516</v>
      </c>
      <c r="D9698" s="0" t="s">
        <v>32227</v>
      </c>
      <c r="E9698" s="0" t="s">
        <v>75</v>
      </c>
      <c r="F9698" s="0" t="s">
        <v>15</v>
      </c>
      <c r="G9698" s="0" t="s">
        <v>36</v>
      </c>
      <c r="H9698" s="0" t="n">
        <v>129</v>
      </c>
      <c r="I9698" s="0" t="s">
        <v>32234</v>
      </c>
      <c r="J9698" s="0" t="s">
        <v>32235</v>
      </c>
      <c r="K9698" s="0" t="s">
        <v>32236</v>
      </c>
      <c r="L9698" s="0" t="str">
        <f aca="false">HYPERLINK("https://www.ncbi.nlm.nih.gov/nuccore/CP000058.1?report=graph&amp;tracks=[key:gene_model_track,Options:GeneOnly]&amp;mk=3043399:3043418|offset_31|444444,3043462:3043481|offset_94|444444,3043497:3043516|offset_129|00cc00,3043526:3043545|offset_158|444444&amp;v=3043198:3043745&amp;c=444444", "offset 129")</f>
        <v>offset 129</v>
      </c>
    </row>
    <row r="9699" customFormat="false" ht="12.8" hidden="false" customHeight="false" outlineLevel="0" collapsed="false">
      <c r="A9699" s="0" t="s">
        <v>12</v>
      </c>
      <c r="B9699" s="0" t="n">
        <v>3043525</v>
      </c>
      <c r="C9699" s="0" t="n">
        <v>3043545</v>
      </c>
      <c r="D9699" s="0" t="s">
        <v>32227</v>
      </c>
      <c r="E9699" s="0" t="s">
        <v>75</v>
      </c>
      <c r="F9699" s="0" t="s">
        <v>15</v>
      </c>
      <c r="G9699" s="0" t="s">
        <v>16</v>
      </c>
      <c r="H9699" s="0" t="n">
        <v>158</v>
      </c>
      <c r="I9699" s="0" t="s">
        <v>32237</v>
      </c>
      <c r="J9699" s="0" t="s">
        <v>32238</v>
      </c>
      <c r="K9699" s="0" t="s">
        <v>32239</v>
      </c>
      <c r="L9699" s="0" t="str">
        <f aca="false">HYPERLINK("https://www.ncbi.nlm.nih.gov/nuccore/CP000058.1?report=graph&amp;tracks=[key:gene_model_track,Options:GeneOnly]&amp;mk=3043399:3043418|offset_31|444444,3043462:3043481|offset_94|444444,3043497:3043516|offset_129|444444,3043526:3043545|offset_158|00cc00&amp;v=3043198:3043745&amp;c=444444", "offset 158")</f>
        <v>offset 158</v>
      </c>
    </row>
    <row r="9700" customFormat="false" ht="12.8" hidden="false" customHeight="false" outlineLevel="0" collapsed="false">
      <c r="A9700" s="0" t="s">
        <v>12</v>
      </c>
      <c r="B9700" s="0" t="n">
        <v>3047172</v>
      </c>
      <c r="C9700" s="0" t="n">
        <v>3047192</v>
      </c>
      <c r="D9700" s="0" t="s">
        <v>32240</v>
      </c>
      <c r="E9700" s="0" t="s">
        <v>75</v>
      </c>
      <c r="F9700" s="0" t="s">
        <v>15</v>
      </c>
      <c r="G9700" s="0" t="s">
        <v>32</v>
      </c>
      <c r="H9700" s="0" t="n">
        <v>19</v>
      </c>
      <c r="I9700" s="0" t="s">
        <v>32241</v>
      </c>
      <c r="J9700" s="0" t="s">
        <v>32242</v>
      </c>
      <c r="K9700" s="0" t="s">
        <v>32243</v>
      </c>
      <c r="L9700" s="0" t="str">
        <f aca="false">HYPERLINK("https://www.ncbi.nlm.nih.gov/nuccore/CP000058.1?report=graph&amp;tracks=[key:gene_model_track,Options:GeneOnly]&amp;mk=3047173:3047192|offset_19|00cc00,3047215:3047234|offset_61|444444,3047241:3047260|offset_87|444444,3047285:3047304|offset_131|444444&amp;v=3046972:3047504&amp;c=444444", "offset 19")</f>
        <v>offset 19</v>
      </c>
    </row>
    <row r="9701" customFormat="false" ht="12.8" hidden="false" customHeight="false" outlineLevel="0" collapsed="false">
      <c r="A9701" s="0" t="s">
        <v>12</v>
      </c>
      <c r="B9701" s="0" t="n">
        <v>3047214</v>
      </c>
      <c r="C9701" s="0" t="n">
        <v>3047234</v>
      </c>
      <c r="D9701" s="0" t="s">
        <v>32240</v>
      </c>
      <c r="E9701" s="0" t="s">
        <v>75</v>
      </c>
      <c r="F9701" s="0" t="s">
        <v>15</v>
      </c>
      <c r="G9701" s="0" t="s">
        <v>32</v>
      </c>
      <c r="H9701" s="0" t="n">
        <v>61</v>
      </c>
      <c r="I9701" s="0" t="s">
        <v>32244</v>
      </c>
      <c r="J9701" s="0" t="s">
        <v>32245</v>
      </c>
      <c r="K9701" s="0" t="s">
        <v>32246</v>
      </c>
      <c r="L9701" s="0" t="str">
        <f aca="false">HYPERLINK("https://www.ncbi.nlm.nih.gov/nuccore/CP000058.1?report=graph&amp;tracks=[key:gene_model_track,Options:GeneOnly]&amp;mk=3047173:3047192|offset_19|444444,3047215:3047234|offset_61|00cc00,3047241:3047260|offset_87|444444,3047285:3047304|offset_131|444444&amp;v=3046972:3047504&amp;c=444444", "offset 61")</f>
        <v>offset 61</v>
      </c>
    </row>
    <row r="9702" customFormat="false" ht="12.8" hidden="false" customHeight="false" outlineLevel="0" collapsed="false">
      <c r="A9702" s="0" t="s">
        <v>12</v>
      </c>
      <c r="B9702" s="0" t="n">
        <v>3047240</v>
      </c>
      <c r="C9702" s="0" t="n">
        <v>3047260</v>
      </c>
      <c r="D9702" s="0" t="s">
        <v>32240</v>
      </c>
      <c r="E9702" s="0" t="s">
        <v>75</v>
      </c>
      <c r="F9702" s="0" t="s">
        <v>15</v>
      </c>
      <c r="G9702" s="0" t="s">
        <v>36</v>
      </c>
      <c r="H9702" s="0" t="n">
        <v>87</v>
      </c>
      <c r="I9702" s="0" t="s">
        <v>32247</v>
      </c>
      <c r="J9702" s="0" t="s">
        <v>32248</v>
      </c>
      <c r="K9702" s="0" t="s">
        <v>32249</v>
      </c>
      <c r="L9702" s="0" t="str">
        <f aca="false">HYPERLINK("https://www.ncbi.nlm.nih.gov/nuccore/CP000058.1?report=graph&amp;tracks=[key:gene_model_track,Options:GeneOnly]&amp;mk=3047173:3047192|offset_19|444444,3047215:3047234|offset_61|444444,3047241:3047260|offset_87|00cc00,3047285:3047304|offset_131|444444&amp;v=3046972:3047504&amp;c=444444", "offset 87")</f>
        <v>offset 87</v>
      </c>
    </row>
    <row r="9703" customFormat="false" ht="12.8" hidden="false" customHeight="false" outlineLevel="0" collapsed="false">
      <c r="A9703" s="0" t="s">
        <v>12</v>
      </c>
      <c r="B9703" s="0" t="n">
        <v>3047284</v>
      </c>
      <c r="C9703" s="0" t="n">
        <v>3047304</v>
      </c>
      <c r="D9703" s="0" t="s">
        <v>32240</v>
      </c>
      <c r="E9703" s="0" t="s">
        <v>75</v>
      </c>
      <c r="F9703" s="0" t="s">
        <v>15</v>
      </c>
      <c r="G9703" s="0" t="s">
        <v>20</v>
      </c>
      <c r="H9703" s="0" t="n">
        <v>131</v>
      </c>
      <c r="I9703" s="0" t="s">
        <v>32250</v>
      </c>
      <c r="J9703" s="0" t="s">
        <v>32251</v>
      </c>
      <c r="K9703" s="0" t="s">
        <v>32252</v>
      </c>
      <c r="L9703" s="0" t="str">
        <f aca="false">HYPERLINK("https://www.ncbi.nlm.nih.gov/nuccore/CP000058.1?report=graph&amp;tracks=[key:gene_model_track,Options:GeneOnly]&amp;mk=3047173:3047192|offset_19|444444,3047215:3047234|offset_61|444444,3047241:3047260|offset_87|444444,3047285:3047304|offset_131|00cc00&amp;v=3046972:3047504&amp;c=444444", "offset 131")</f>
        <v>offset 131</v>
      </c>
    </row>
    <row r="9704" customFormat="false" ht="12.8" hidden="false" customHeight="false" outlineLevel="0" collapsed="false">
      <c r="A9704" s="0" t="s">
        <v>12</v>
      </c>
      <c r="B9704" s="0" t="n">
        <v>3048177</v>
      </c>
      <c r="C9704" s="0" t="n">
        <v>3048197</v>
      </c>
      <c r="D9704" s="0" t="s">
        <v>32253</v>
      </c>
      <c r="E9704" s="0" t="s">
        <v>32254</v>
      </c>
      <c r="F9704" s="0" t="s">
        <v>15</v>
      </c>
      <c r="G9704" s="0" t="s">
        <v>36</v>
      </c>
      <c r="H9704" s="0" t="n">
        <v>16</v>
      </c>
      <c r="I9704" s="0" t="s">
        <v>32255</v>
      </c>
      <c r="J9704" s="0" t="s">
        <v>32256</v>
      </c>
      <c r="K9704" s="0" t="s">
        <v>32257</v>
      </c>
      <c r="L9704" s="0" t="str">
        <f aca="false">HYPERLINK("https://www.ncbi.nlm.nih.gov/nuccore/CP000058.1?report=graph&amp;tracks=[key:gene_model_track,Options:GeneOnly]&amp;mk=3048178:3048197|offset_16|00cc00,3048216:3048235|offset_54|444444,3048237:3048256|offset_75|444444,3048277:3048296|offset_115|444444&amp;v=3047977:3048496&amp;c=444444", "offset 16")</f>
        <v>offset 16</v>
      </c>
    </row>
    <row r="9705" customFormat="false" ht="12.8" hidden="false" customHeight="false" outlineLevel="0" collapsed="false">
      <c r="A9705" s="0" t="s">
        <v>12</v>
      </c>
      <c r="B9705" s="0" t="n">
        <v>3048215</v>
      </c>
      <c r="C9705" s="0" t="n">
        <v>3048235</v>
      </c>
      <c r="D9705" s="0" t="s">
        <v>32253</v>
      </c>
      <c r="E9705" s="0" t="s">
        <v>32254</v>
      </c>
      <c r="F9705" s="0" t="s">
        <v>15</v>
      </c>
      <c r="G9705" s="0" t="s">
        <v>20</v>
      </c>
      <c r="H9705" s="0" t="n">
        <v>54</v>
      </c>
      <c r="I9705" s="0" t="s">
        <v>32258</v>
      </c>
      <c r="J9705" s="0" t="s">
        <v>32259</v>
      </c>
      <c r="K9705" s="0" t="s">
        <v>32260</v>
      </c>
      <c r="L9705" s="0" t="str">
        <f aca="false">HYPERLINK("https://www.ncbi.nlm.nih.gov/nuccore/CP000058.1?report=graph&amp;tracks=[key:gene_model_track,Options:GeneOnly]&amp;mk=3048178:3048197|offset_16|444444,3048216:3048235|offset_54|00cc00,3048237:3048256|offset_75|444444,3048277:3048296|offset_115|444444&amp;v=3047977:3048496&amp;c=444444", "offset 54")</f>
        <v>offset 54</v>
      </c>
    </row>
    <row r="9706" customFormat="false" ht="12.8" hidden="false" customHeight="false" outlineLevel="0" collapsed="false">
      <c r="A9706" s="0" t="s">
        <v>12</v>
      </c>
      <c r="B9706" s="0" t="n">
        <v>3048236</v>
      </c>
      <c r="C9706" s="0" t="n">
        <v>3048256</v>
      </c>
      <c r="D9706" s="0" t="s">
        <v>32253</v>
      </c>
      <c r="E9706" s="0" t="s">
        <v>32254</v>
      </c>
      <c r="F9706" s="0" t="s">
        <v>15</v>
      </c>
      <c r="G9706" s="0" t="s">
        <v>20</v>
      </c>
      <c r="H9706" s="0" t="n">
        <v>75</v>
      </c>
      <c r="I9706" s="0" t="s">
        <v>32261</v>
      </c>
      <c r="J9706" s="0" t="s">
        <v>32262</v>
      </c>
      <c r="K9706" s="0" t="s">
        <v>32263</v>
      </c>
      <c r="L9706" s="0" t="str">
        <f aca="false">HYPERLINK("https://www.ncbi.nlm.nih.gov/nuccore/CP000058.1?report=graph&amp;tracks=[key:gene_model_track,Options:GeneOnly]&amp;mk=3048178:3048197|offset_16|444444,3048216:3048235|offset_54|444444,3048237:3048256|offset_75|00cc00,3048277:3048296|offset_115|444444&amp;v=3047977:3048496&amp;c=444444", "offset 75")</f>
        <v>offset 75</v>
      </c>
    </row>
    <row r="9707" customFormat="false" ht="12.8" hidden="false" customHeight="false" outlineLevel="0" collapsed="false">
      <c r="A9707" s="0" t="s">
        <v>12</v>
      </c>
      <c r="B9707" s="0" t="n">
        <v>3048276</v>
      </c>
      <c r="C9707" s="0" t="n">
        <v>3048296</v>
      </c>
      <c r="D9707" s="0" t="s">
        <v>32253</v>
      </c>
      <c r="E9707" s="0" t="s">
        <v>32254</v>
      </c>
      <c r="F9707" s="0" t="s">
        <v>15</v>
      </c>
      <c r="G9707" s="0" t="s">
        <v>36</v>
      </c>
      <c r="H9707" s="0" t="n">
        <v>115</v>
      </c>
      <c r="I9707" s="0" t="s">
        <v>32264</v>
      </c>
      <c r="J9707" s="0" t="s">
        <v>32265</v>
      </c>
      <c r="K9707" s="0" t="s">
        <v>32266</v>
      </c>
      <c r="L9707" s="0" t="str">
        <f aca="false">HYPERLINK("https://www.ncbi.nlm.nih.gov/nuccore/CP000058.1?report=graph&amp;tracks=[key:gene_model_track,Options:GeneOnly]&amp;mk=3048178:3048197|offset_16|444444,3048216:3048235|offset_54|444444,3048237:3048256|offset_75|444444,3048277:3048296|offset_115|00cc00&amp;v=3047977:3048496&amp;c=444444", "offset 115")</f>
        <v>offset 115</v>
      </c>
    </row>
    <row r="9708" customFormat="false" ht="12.8" hidden="false" customHeight="false" outlineLevel="0" collapsed="false">
      <c r="A9708" s="0" t="s">
        <v>12</v>
      </c>
      <c r="B9708" s="0" t="n">
        <v>3048792</v>
      </c>
      <c r="C9708" s="0" t="n">
        <v>3048812</v>
      </c>
      <c r="D9708" s="0" t="s">
        <v>32267</v>
      </c>
      <c r="E9708" s="0" t="s">
        <v>32268</v>
      </c>
      <c r="F9708" s="0" t="s">
        <v>15</v>
      </c>
      <c r="G9708" s="0" t="s">
        <v>20</v>
      </c>
      <c r="H9708" s="0" t="n">
        <v>35</v>
      </c>
      <c r="I9708" s="0" t="s">
        <v>32269</v>
      </c>
      <c r="J9708" s="0" t="s">
        <v>32270</v>
      </c>
      <c r="K9708" s="0" t="s">
        <v>32271</v>
      </c>
      <c r="L9708" s="0" t="str">
        <f aca="false">HYPERLINK("https://www.ncbi.nlm.nih.gov/nuccore/CP000058.1?report=graph&amp;tracks=[key:gene_model_track,Options:GeneOnly]&amp;mk=3048793:3048812|offset_35|00cc00,3048858:3048877|offset_100|444444,3048886:3048905|offset_128|444444,3048923:3048942|offset_165|444444&amp;v=3048592:3049142&amp;c=444444", "offset 35")</f>
        <v>offset 35</v>
      </c>
    </row>
    <row r="9709" customFormat="false" ht="12.8" hidden="false" customHeight="false" outlineLevel="0" collapsed="false">
      <c r="A9709" s="0" t="s">
        <v>12</v>
      </c>
      <c r="B9709" s="0" t="n">
        <v>3048857</v>
      </c>
      <c r="C9709" s="0" t="n">
        <v>3048877</v>
      </c>
      <c r="D9709" s="0" t="s">
        <v>32267</v>
      </c>
      <c r="E9709" s="0" t="s">
        <v>32268</v>
      </c>
      <c r="F9709" s="0" t="s">
        <v>15</v>
      </c>
      <c r="G9709" s="0" t="s">
        <v>36</v>
      </c>
      <c r="H9709" s="0" t="n">
        <v>100</v>
      </c>
      <c r="I9709" s="0" t="s">
        <v>32272</v>
      </c>
      <c r="J9709" s="0" t="s">
        <v>32273</v>
      </c>
      <c r="K9709" s="0" t="s">
        <v>32274</v>
      </c>
      <c r="L9709" s="0" t="str">
        <f aca="false">HYPERLINK("https://www.ncbi.nlm.nih.gov/nuccore/CP000058.1?report=graph&amp;tracks=[key:gene_model_track,Options:GeneOnly]&amp;mk=3048793:3048812|offset_35|444444,3048858:3048877|offset_100|00cc00,3048886:3048905|offset_128|444444,3048923:3048942|offset_165|444444&amp;v=3048592:3049142&amp;c=444444", "offset 100")</f>
        <v>offset 100</v>
      </c>
    </row>
    <row r="9710" customFormat="false" ht="12.8" hidden="false" customHeight="false" outlineLevel="0" collapsed="false">
      <c r="A9710" s="0" t="s">
        <v>12</v>
      </c>
      <c r="B9710" s="0" t="n">
        <v>3048885</v>
      </c>
      <c r="C9710" s="0" t="n">
        <v>3048905</v>
      </c>
      <c r="D9710" s="0" t="s">
        <v>32267</v>
      </c>
      <c r="E9710" s="0" t="s">
        <v>32268</v>
      </c>
      <c r="F9710" s="0" t="s">
        <v>15</v>
      </c>
      <c r="G9710" s="0" t="s">
        <v>20</v>
      </c>
      <c r="H9710" s="0" t="n">
        <v>128</v>
      </c>
      <c r="I9710" s="0" t="s">
        <v>32275</v>
      </c>
      <c r="J9710" s="0" t="s">
        <v>32276</v>
      </c>
      <c r="K9710" s="0" t="s">
        <v>32277</v>
      </c>
      <c r="L9710" s="0" t="str">
        <f aca="false">HYPERLINK("https://www.ncbi.nlm.nih.gov/nuccore/CP000058.1?report=graph&amp;tracks=[key:gene_model_track,Options:GeneOnly]&amp;mk=3048793:3048812|offset_35|444444,3048858:3048877|offset_100|444444,3048886:3048905|offset_128|00cc00,3048923:3048942|offset_165|444444&amp;v=3048592:3049142&amp;c=444444", "offset 128")</f>
        <v>offset 128</v>
      </c>
    </row>
    <row r="9711" customFormat="false" ht="12.8" hidden="false" customHeight="false" outlineLevel="0" collapsed="false">
      <c r="A9711" s="0" t="s">
        <v>12</v>
      </c>
      <c r="B9711" s="0" t="n">
        <v>3048922</v>
      </c>
      <c r="C9711" s="0" t="n">
        <v>3048942</v>
      </c>
      <c r="D9711" s="0" t="s">
        <v>32267</v>
      </c>
      <c r="E9711" s="0" t="s">
        <v>32268</v>
      </c>
      <c r="F9711" s="0" t="s">
        <v>15</v>
      </c>
      <c r="G9711" s="0" t="s">
        <v>20</v>
      </c>
      <c r="H9711" s="0" t="n">
        <v>165</v>
      </c>
      <c r="I9711" s="0" t="s">
        <v>32278</v>
      </c>
      <c r="J9711" s="0" t="s">
        <v>32279</v>
      </c>
      <c r="K9711" s="0" t="s">
        <v>32280</v>
      </c>
      <c r="L9711" s="0" t="str">
        <f aca="false">HYPERLINK("https://www.ncbi.nlm.nih.gov/nuccore/CP000058.1?report=graph&amp;tracks=[key:gene_model_track,Options:GeneOnly]&amp;mk=3048793:3048812|offset_35|444444,3048858:3048877|offset_100|444444,3048886:3048905|offset_128|444444,3048923:3048942|offset_165|00cc00&amp;v=3048592:3049142&amp;c=444444", "offset 165")</f>
        <v>offset 165</v>
      </c>
    </row>
    <row r="9712" customFormat="false" ht="12.8" hidden="false" customHeight="false" outlineLevel="0" collapsed="false">
      <c r="A9712" s="0" t="s">
        <v>12</v>
      </c>
      <c r="B9712" s="0" t="n">
        <v>3050129</v>
      </c>
      <c r="C9712" s="0" t="n">
        <v>3050149</v>
      </c>
      <c r="D9712" s="0" t="s">
        <v>32281</v>
      </c>
      <c r="E9712" s="0" t="s">
        <v>32282</v>
      </c>
      <c r="F9712" s="0" t="s">
        <v>15</v>
      </c>
      <c r="G9712" s="0" t="s">
        <v>20</v>
      </c>
      <c r="H9712" s="0" t="n">
        <v>17</v>
      </c>
      <c r="I9712" s="0" t="s">
        <v>32283</v>
      </c>
      <c r="J9712" s="0" t="s">
        <v>32284</v>
      </c>
      <c r="K9712" s="0" t="s">
        <v>32285</v>
      </c>
      <c r="L9712" s="0" t="str">
        <f aca="false">HYPERLINK("https://www.ncbi.nlm.nih.gov/nuccore/CP000058.1?report=graph&amp;tracks=[key:gene_model_track,Options:GeneOnly]&amp;mk=3050130:3050149|offset_17|00cc00,3050153:3050172|offset_40|444444,3050181:3050200|offset_68|444444,3050204:3050223|offset_91|444444&amp;v=3049929:3050423&amp;c=444444", "offset 17")</f>
        <v>offset 17</v>
      </c>
    </row>
    <row r="9713" customFormat="false" ht="12.8" hidden="false" customHeight="false" outlineLevel="0" collapsed="false">
      <c r="A9713" s="0" t="s">
        <v>12</v>
      </c>
      <c r="B9713" s="0" t="n">
        <v>3050152</v>
      </c>
      <c r="C9713" s="0" t="n">
        <v>3050172</v>
      </c>
      <c r="D9713" s="0" t="s">
        <v>32281</v>
      </c>
      <c r="E9713" s="0" t="s">
        <v>32282</v>
      </c>
      <c r="F9713" s="0" t="s">
        <v>15</v>
      </c>
      <c r="G9713" s="0" t="s">
        <v>32</v>
      </c>
      <c r="H9713" s="0" t="n">
        <v>40</v>
      </c>
      <c r="I9713" s="0" t="s">
        <v>32286</v>
      </c>
      <c r="J9713" s="0" t="s">
        <v>32287</v>
      </c>
      <c r="K9713" s="0" t="s">
        <v>32288</v>
      </c>
      <c r="L9713" s="0" t="str">
        <f aca="false">HYPERLINK("https://www.ncbi.nlm.nih.gov/nuccore/CP000058.1?report=graph&amp;tracks=[key:gene_model_track,Options:GeneOnly]&amp;mk=3050130:3050149|offset_17|444444,3050153:3050172|offset_40|00cc00,3050181:3050200|offset_68|444444,3050204:3050223|offset_91|444444&amp;v=3049929:3050423&amp;c=444444", "offset 40")</f>
        <v>offset 40</v>
      </c>
    </row>
    <row r="9714" customFormat="false" ht="12.8" hidden="false" customHeight="false" outlineLevel="0" collapsed="false">
      <c r="A9714" s="0" t="s">
        <v>12</v>
      </c>
      <c r="B9714" s="0" t="n">
        <v>3050180</v>
      </c>
      <c r="C9714" s="0" t="n">
        <v>3050200</v>
      </c>
      <c r="D9714" s="0" t="s">
        <v>32281</v>
      </c>
      <c r="E9714" s="0" t="s">
        <v>32282</v>
      </c>
      <c r="F9714" s="0" t="s">
        <v>15</v>
      </c>
      <c r="G9714" s="0" t="s">
        <v>20</v>
      </c>
      <c r="H9714" s="0" t="n">
        <v>68</v>
      </c>
      <c r="I9714" s="0" t="s">
        <v>32289</v>
      </c>
      <c r="J9714" s="0" t="s">
        <v>32290</v>
      </c>
      <c r="K9714" s="0" t="s">
        <v>32291</v>
      </c>
      <c r="L9714" s="0" t="str">
        <f aca="false">HYPERLINK("https://www.ncbi.nlm.nih.gov/nuccore/CP000058.1?report=graph&amp;tracks=[key:gene_model_track,Options:GeneOnly]&amp;mk=3050130:3050149|offset_17|444444,3050153:3050172|offset_40|444444,3050181:3050200|offset_68|00cc00,3050204:3050223|offset_91|444444&amp;v=3049929:3050423&amp;c=444444", "offset 68")</f>
        <v>offset 68</v>
      </c>
    </row>
    <row r="9715" customFormat="false" ht="12.8" hidden="false" customHeight="false" outlineLevel="0" collapsed="false">
      <c r="A9715" s="0" t="s">
        <v>12</v>
      </c>
      <c r="B9715" s="0" t="n">
        <v>3050203</v>
      </c>
      <c r="C9715" s="0" t="n">
        <v>3050223</v>
      </c>
      <c r="D9715" s="0" t="s">
        <v>32281</v>
      </c>
      <c r="E9715" s="0" t="s">
        <v>32282</v>
      </c>
      <c r="F9715" s="0" t="s">
        <v>15</v>
      </c>
      <c r="G9715" s="0" t="s">
        <v>20</v>
      </c>
      <c r="H9715" s="0" t="n">
        <v>91</v>
      </c>
      <c r="I9715" s="0" t="s">
        <v>32292</v>
      </c>
      <c r="J9715" s="0" t="s">
        <v>32293</v>
      </c>
      <c r="K9715" s="0" t="s">
        <v>32294</v>
      </c>
      <c r="L9715" s="0" t="str">
        <f aca="false">HYPERLINK("https://www.ncbi.nlm.nih.gov/nuccore/CP000058.1?report=graph&amp;tracks=[key:gene_model_track,Options:GeneOnly]&amp;mk=3050130:3050149|offset_17|444444,3050153:3050172|offset_40|444444,3050181:3050200|offset_68|444444,3050204:3050223|offset_91|00cc00&amp;v=3049929:3050423&amp;c=444444", "offset 91")</f>
        <v>offset 91</v>
      </c>
    </row>
    <row r="9716" customFormat="false" ht="12.8" hidden="false" customHeight="false" outlineLevel="0" collapsed="false">
      <c r="A9716" s="0" t="s">
        <v>12</v>
      </c>
      <c r="B9716" s="0" t="n">
        <v>3053227</v>
      </c>
      <c r="C9716" s="0" t="n">
        <v>3053247</v>
      </c>
      <c r="D9716" s="0" t="s">
        <v>32295</v>
      </c>
      <c r="E9716" s="0" t="s">
        <v>32296</v>
      </c>
      <c r="F9716" s="0" t="s">
        <v>15</v>
      </c>
      <c r="G9716" s="0" t="s">
        <v>20</v>
      </c>
      <c r="H9716" s="0" t="n">
        <v>8</v>
      </c>
      <c r="I9716" s="0" t="s">
        <v>32297</v>
      </c>
      <c r="J9716" s="0" t="s">
        <v>32298</v>
      </c>
      <c r="K9716" s="0" t="s">
        <v>32299</v>
      </c>
      <c r="L9716" s="0" t="str">
        <f aca="false">HYPERLINK("https://www.ncbi.nlm.nih.gov/nuccore/CP000058.1?report=graph&amp;tracks=[key:gene_model_track,Options:GeneOnly]&amp;mk=3053228:3053247|offset_8|00cc00,3053252:3053271|offset_32|444444,3053309:3053328|offset_89|444444,3053334:3053353|offset_114|444444&amp;v=3053027:3053553&amp;c=444444", "offset 8")</f>
        <v>offset 8</v>
      </c>
    </row>
    <row r="9717" customFormat="false" ht="12.8" hidden="false" customHeight="false" outlineLevel="0" collapsed="false">
      <c r="A9717" s="0" t="s">
        <v>12</v>
      </c>
      <c r="B9717" s="0" t="n">
        <v>3053251</v>
      </c>
      <c r="C9717" s="0" t="n">
        <v>3053271</v>
      </c>
      <c r="D9717" s="0" t="s">
        <v>32295</v>
      </c>
      <c r="E9717" s="0" t="s">
        <v>32296</v>
      </c>
      <c r="F9717" s="0" t="s">
        <v>15</v>
      </c>
      <c r="G9717" s="0" t="s">
        <v>36</v>
      </c>
      <c r="H9717" s="0" t="n">
        <v>32</v>
      </c>
      <c r="I9717" s="0" t="s">
        <v>32300</v>
      </c>
      <c r="J9717" s="0" t="s">
        <v>32301</v>
      </c>
      <c r="K9717" s="0" t="s">
        <v>32302</v>
      </c>
      <c r="L9717" s="0" t="str">
        <f aca="false">HYPERLINK("https://www.ncbi.nlm.nih.gov/nuccore/CP000058.1?report=graph&amp;tracks=[key:gene_model_track,Options:GeneOnly]&amp;mk=3053228:3053247|offset_8|444444,3053252:3053271|offset_32|00cc00,3053309:3053328|offset_89|444444,3053334:3053353|offset_114|444444&amp;v=3053027:3053553&amp;c=444444", "offset 32")</f>
        <v>offset 32</v>
      </c>
    </row>
    <row r="9718" customFormat="false" ht="12.8" hidden="false" customHeight="false" outlineLevel="0" collapsed="false">
      <c r="A9718" s="0" t="s">
        <v>12</v>
      </c>
      <c r="B9718" s="0" t="n">
        <v>3053308</v>
      </c>
      <c r="C9718" s="0" t="n">
        <v>3053328</v>
      </c>
      <c r="D9718" s="0" t="s">
        <v>32295</v>
      </c>
      <c r="E9718" s="0" t="s">
        <v>32296</v>
      </c>
      <c r="F9718" s="0" t="s">
        <v>15</v>
      </c>
      <c r="G9718" s="0" t="s">
        <v>16</v>
      </c>
      <c r="H9718" s="0" t="n">
        <v>89</v>
      </c>
      <c r="I9718" s="0" t="s">
        <v>32303</v>
      </c>
      <c r="J9718" s="0" t="s">
        <v>32304</v>
      </c>
      <c r="K9718" s="0" t="s">
        <v>32305</v>
      </c>
      <c r="L9718" s="0" t="str">
        <f aca="false">HYPERLINK("https://www.ncbi.nlm.nih.gov/nuccore/CP000058.1?report=graph&amp;tracks=[key:gene_model_track,Options:GeneOnly]&amp;mk=3053228:3053247|offset_8|444444,3053252:3053271|offset_32|444444,3053309:3053328|offset_89|00cc00,3053334:3053353|offset_114|444444&amp;v=3053027:3053553&amp;c=444444", "offset 89")</f>
        <v>offset 89</v>
      </c>
    </row>
    <row r="9719" customFormat="false" ht="12.8" hidden="false" customHeight="false" outlineLevel="0" collapsed="false">
      <c r="A9719" s="0" t="s">
        <v>12</v>
      </c>
      <c r="B9719" s="0" t="n">
        <v>3053333</v>
      </c>
      <c r="C9719" s="0" t="n">
        <v>3053353</v>
      </c>
      <c r="D9719" s="0" t="s">
        <v>32295</v>
      </c>
      <c r="E9719" s="0" t="s">
        <v>32296</v>
      </c>
      <c r="F9719" s="0" t="s">
        <v>15</v>
      </c>
      <c r="G9719" s="0" t="s">
        <v>16</v>
      </c>
      <c r="H9719" s="0" t="n">
        <v>114</v>
      </c>
      <c r="I9719" s="0" t="s">
        <v>32306</v>
      </c>
      <c r="J9719" s="0" t="s">
        <v>32307</v>
      </c>
      <c r="K9719" s="0" t="s">
        <v>32308</v>
      </c>
      <c r="L9719" s="0" t="str">
        <f aca="false">HYPERLINK("https://www.ncbi.nlm.nih.gov/nuccore/CP000058.1?report=graph&amp;tracks=[key:gene_model_track,Options:GeneOnly]&amp;mk=3053228:3053247|offset_8|444444,3053252:3053271|offset_32|444444,3053309:3053328|offset_89|444444,3053334:3053353|offset_114|00cc00&amp;v=3053027:3053553&amp;c=444444", "offset 114")</f>
        <v>offset 114</v>
      </c>
    </row>
    <row r="9720" customFormat="false" ht="12.8" hidden="false" customHeight="false" outlineLevel="0" collapsed="false">
      <c r="A9720" s="0" t="s">
        <v>12</v>
      </c>
      <c r="B9720" s="0" t="n">
        <v>3056330</v>
      </c>
      <c r="C9720" s="0" t="n">
        <v>3056350</v>
      </c>
      <c r="D9720" s="0" t="s">
        <v>32309</v>
      </c>
      <c r="E9720" s="0" t="s">
        <v>75</v>
      </c>
      <c r="F9720" s="0" t="s">
        <v>15</v>
      </c>
      <c r="G9720" s="0" t="s">
        <v>16</v>
      </c>
      <c r="H9720" s="0" t="n">
        <v>7</v>
      </c>
      <c r="I9720" s="0" t="s">
        <v>32310</v>
      </c>
      <c r="J9720" s="0" t="s">
        <v>32311</v>
      </c>
      <c r="K9720" s="0" t="s">
        <v>32312</v>
      </c>
      <c r="L9720" s="0" t="str">
        <f aca="false">HYPERLINK("https://www.ncbi.nlm.nih.gov/nuccore/CP000058.1?report=graph&amp;tracks=[key:gene_model_track,Options:GeneOnly]&amp;mk=3056331:3056350|offset_7|00cc00,3056352:3056371|offset_28|444444,3056375:3056394|offset_51|444444,3056426:3056445|offset_102|444444&amp;v=3056130:3056645&amp;c=444444", "offset 7")</f>
        <v>offset 7</v>
      </c>
    </row>
    <row r="9721" customFormat="false" ht="12.8" hidden="false" customHeight="false" outlineLevel="0" collapsed="false">
      <c r="A9721" s="0" t="s">
        <v>12</v>
      </c>
      <c r="B9721" s="0" t="n">
        <v>3056351</v>
      </c>
      <c r="C9721" s="0" t="n">
        <v>3056371</v>
      </c>
      <c r="D9721" s="0" t="s">
        <v>32309</v>
      </c>
      <c r="E9721" s="0" t="s">
        <v>75</v>
      </c>
      <c r="F9721" s="0" t="s">
        <v>15</v>
      </c>
      <c r="G9721" s="0" t="s">
        <v>36</v>
      </c>
      <c r="H9721" s="0" t="n">
        <v>28</v>
      </c>
      <c r="I9721" s="0" t="s">
        <v>32313</v>
      </c>
      <c r="J9721" s="0" t="s">
        <v>32314</v>
      </c>
      <c r="K9721" s="0" t="s">
        <v>32315</v>
      </c>
      <c r="L9721" s="0" t="str">
        <f aca="false">HYPERLINK("https://www.ncbi.nlm.nih.gov/nuccore/CP000058.1?report=graph&amp;tracks=[key:gene_model_track,Options:GeneOnly]&amp;mk=3056331:3056350|offset_7|444444,3056352:3056371|offset_28|00cc00,3056375:3056394|offset_51|444444,3056426:3056445|offset_102|444444&amp;v=3056130:3056645&amp;c=444444", "offset 28")</f>
        <v>offset 28</v>
      </c>
    </row>
    <row r="9722" customFormat="false" ht="12.8" hidden="false" customHeight="false" outlineLevel="0" collapsed="false">
      <c r="A9722" s="0" t="s">
        <v>12</v>
      </c>
      <c r="B9722" s="0" t="n">
        <v>3056374</v>
      </c>
      <c r="C9722" s="0" t="n">
        <v>3056394</v>
      </c>
      <c r="D9722" s="0" t="s">
        <v>32309</v>
      </c>
      <c r="E9722" s="0" t="s">
        <v>75</v>
      </c>
      <c r="F9722" s="0" t="s">
        <v>15</v>
      </c>
      <c r="G9722" s="0" t="s">
        <v>32</v>
      </c>
      <c r="H9722" s="0" t="n">
        <v>51</v>
      </c>
      <c r="I9722" s="0" t="s">
        <v>32316</v>
      </c>
      <c r="J9722" s="0" t="s">
        <v>32317</v>
      </c>
      <c r="K9722" s="0" t="s">
        <v>32318</v>
      </c>
      <c r="L9722" s="0" t="str">
        <f aca="false">HYPERLINK("https://www.ncbi.nlm.nih.gov/nuccore/CP000058.1?report=graph&amp;tracks=[key:gene_model_track,Options:GeneOnly]&amp;mk=3056331:3056350|offset_7|444444,3056352:3056371|offset_28|444444,3056375:3056394|offset_51|00cc00,3056426:3056445|offset_102|444444&amp;v=3056130:3056645&amp;c=444444", "offset 51")</f>
        <v>offset 51</v>
      </c>
    </row>
    <row r="9723" customFormat="false" ht="12.8" hidden="false" customHeight="false" outlineLevel="0" collapsed="false">
      <c r="A9723" s="0" t="s">
        <v>12</v>
      </c>
      <c r="B9723" s="0" t="n">
        <v>3056425</v>
      </c>
      <c r="C9723" s="0" t="n">
        <v>3056445</v>
      </c>
      <c r="D9723" s="0" t="s">
        <v>32309</v>
      </c>
      <c r="E9723" s="0" t="s">
        <v>75</v>
      </c>
      <c r="F9723" s="0" t="s">
        <v>15</v>
      </c>
      <c r="G9723" s="0" t="s">
        <v>20</v>
      </c>
      <c r="H9723" s="0" t="n">
        <v>102</v>
      </c>
      <c r="I9723" s="0" t="s">
        <v>32319</v>
      </c>
      <c r="J9723" s="0" t="s">
        <v>32320</v>
      </c>
      <c r="K9723" s="0" t="s">
        <v>32321</v>
      </c>
      <c r="L9723" s="0" t="str">
        <f aca="false">HYPERLINK("https://www.ncbi.nlm.nih.gov/nuccore/CP000058.1?report=graph&amp;tracks=[key:gene_model_track,Options:GeneOnly]&amp;mk=3056331:3056350|offset_7|444444,3056352:3056371|offset_28|444444,3056375:3056394|offset_51|444444,3056426:3056445|offset_102|00cc00&amp;v=3056130:3056645&amp;c=444444", "offset 102")</f>
        <v>offset 102</v>
      </c>
    </row>
    <row r="9724" customFormat="false" ht="12.8" hidden="false" customHeight="false" outlineLevel="0" collapsed="false">
      <c r="A9724" s="0" t="s">
        <v>12</v>
      </c>
      <c r="B9724" s="0" t="n">
        <v>3058004</v>
      </c>
      <c r="C9724" s="0" t="n">
        <v>3058024</v>
      </c>
      <c r="D9724" s="0" t="s">
        <v>32322</v>
      </c>
      <c r="E9724" s="0" t="s">
        <v>75</v>
      </c>
      <c r="F9724" s="0" t="s">
        <v>15</v>
      </c>
      <c r="G9724" s="0" t="s">
        <v>16</v>
      </c>
      <c r="H9724" s="0" t="n">
        <v>10</v>
      </c>
      <c r="I9724" s="0" t="s">
        <v>32323</v>
      </c>
      <c r="J9724" s="0" t="s">
        <v>32324</v>
      </c>
      <c r="K9724" s="0" t="s">
        <v>32325</v>
      </c>
      <c r="L9724" s="0" t="str">
        <f aca="false">HYPERLINK("https://www.ncbi.nlm.nih.gov/nuccore/CP000058.1?report=graph&amp;tracks=[key:gene_model_track,Options:GeneOnly]&amp;mk=3058005:3058024|offset_10|00cc00,3058054:3058073|offset_59|444444,3058075:3058094|offset_80|444444,3058165:3058184|offset_170|444444&amp;v=3057804:3058384&amp;c=444444", "offset 10")</f>
        <v>offset 10</v>
      </c>
    </row>
    <row r="9725" customFormat="false" ht="12.8" hidden="false" customHeight="false" outlineLevel="0" collapsed="false">
      <c r="A9725" s="0" t="s">
        <v>12</v>
      </c>
      <c r="B9725" s="0" t="n">
        <v>3058053</v>
      </c>
      <c r="C9725" s="0" t="n">
        <v>3058073</v>
      </c>
      <c r="D9725" s="0" t="s">
        <v>32322</v>
      </c>
      <c r="E9725" s="0" t="s">
        <v>75</v>
      </c>
      <c r="F9725" s="0" t="s">
        <v>15</v>
      </c>
      <c r="G9725" s="0" t="s">
        <v>16</v>
      </c>
      <c r="H9725" s="0" t="n">
        <v>59</v>
      </c>
      <c r="I9725" s="0" t="s">
        <v>32326</v>
      </c>
      <c r="J9725" s="0" t="s">
        <v>32327</v>
      </c>
      <c r="K9725" s="0" t="s">
        <v>32328</v>
      </c>
      <c r="L9725" s="0" t="str">
        <f aca="false">HYPERLINK("https://www.ncbi.nlm.nih.gov/nuccore/CP000058.1?report=graph&amp;tracks=[key:gene_model_track,Options:GeneOnly]&amp;mk=3058005:3058024|offset_10|444444,3058054:3058073|offset_59|00cc00,3058075:3058094|offset_80|444444,3058165:3058184|offset_170|444444&amp;v=3057804:3058384&amp;c=444444", "offset 59")</f>
        <v>offset 59</v>
      </c>
    </row>
    <row r="9726" customFormat="false" ht="12.8" hidden="false" customHeight="false" outlineLevel="0" collapsed="false">
      <c r="A9726" s="0" t="s">
        <v>12</v>
      </c>
      <c r="B9726" s="0" t="n">
        <v>3058074</v>
      </c>
      <c r="C9726" s="0" t="n">
        <v>3058094</v>
      </c>
      <c r="D9726" s="0" t="s">
        <v>32322</v>
      </c>
      <c r="E9726" s="0" t="s">
        <v>75</v>
      </c>
      <c r="F9726" s="0" t="s">
        <v>15</v>
      </c>
      <c r="G9726" s="0" t="s">
        <v>16</v>
      </c>
      <c r="H9726" s="0" t="n">
        <v>80</v>
      </c>
      <c r="I9726" s="0" t="s">
        <v>32329</v>
      </c>
      <c r="J9726" s="0" t="s">
        <v>32330</v>
      </c>
      <c r="K9726" s="0" t="s">
        <v>32331</v>
      </c>
      <c r="L9726" s="0" t="str">
        <f aca="false">HYPERLINK("https://www.ncbi.nlm.nih.gov/nuccore/CP000058.1?report=graph&amp;tracks=[key:gene_model_track,Options:GeneOnly]&amp;mk=3058005:3058024|offset_10|444444,3058054:3058073|offset_59|444444,3058075:3058094|offset_80|00cc00,3058165:3058184|offset_170|444444&amp;v=3057804:3058384&amp;c=444444", "offset 80")</f>
        <v>offset 80</v>
      </c>
    </row>
    <row r="9727" customFormat="false" ht="12.8" hidden="false" customHeight="false" outlineLevel="0" collapsed="false">
      <c r="A9727" s="0" t="s">
        <v>12</v>
      </c>
      <c r="B9727" s="0" t="n">
        <v>3058164</v>
      </c>
      <c r="C9727" s="0" t="n">
        <v>3058184</v>
      </c>
      <c r="D9727" s="0" t="s">
        <v>32322</v>
      </c>
      <c r="E9727" s="0" t="s">
        <v>75</v>
      </c>
      <c r="F9727" s="0" t="s">
        <v>15</v>
      </c>
      <c r="G9727" s="0" t="s">
        <v>20</v>
      </c>
      <c r="H9727" s="0" t="n">
        <v>170</v>
      </c>
      <c r="I9727" s="0" t="s">
        <v>32332</v>
      </c>
      <c r="J9727" s="0" t="s">
        <v>32333</v>
      </c>
      <c r="K9727" s="0" t="s">
        <v>32334</v>
      </c>
      <c r="L9727" s="0" t="str">
        <f aca="false">HYPERLINK("https://www.ncbi.nlm.nih.gov/nuccore/CP000058.1?report=graph&amp;tracks=[key:gene_model_track,Options:GeneOnly]&amp;mk=3058005:3058024|offset_10|444444,3058054:3058073|offset_59|444444,3058075:3058094|offset_80|444444,3058165:3058184|offset_170|00cc00&amp;v=3057804:3058384&amp;c=444444", "offset 170")</f>
        <v>offset 170</v>
      </c>
    </row>
    <row r="9728" customFormat="false" ht="12.8" hidden="false" customHeight="false" outlineLevel="0" collapsed="false">
      <c r="A9728" s="0" t="s">
        <v>12</v>
      </c>
      <c r="B9728" s="0" t="n">
        <v>3060190</v>
      </c>
      <c r="C9728" s="0" t="n">
        <v>3060210</v>
      </c>
      <c r="D9728" s="0" t="s">
        <v>32335</v>
      </c>
      <c r="E9728" s="0" t="s">
        <v>75</v>
      </c>
      <c r="F9728" s="0" t="s">
        <v>15</v>
      </c>
      <c r="G9728" s="0" t="s">
        <v>20</v>
      </c>
      <c r="H9728" s="0" t="n">
        <v>14</v>
      </c>
      <c r="I9728" s="0" t="s">
        <v>32336</v>
      </c>
      <c r="J9728" s="0" t="s">
        <v>32337</v>
      </c>
      <c r="K9728" s="0" t="s">
        <v>32338</v>
      </c>
      <c r="L9728" s="0" t="str">
        <f aca="false">HYPERLINK("https://www.ncbi.nlm.nih.gov/nuccore/CP000058.1?report=graph&amp;tracks=[key:gene_model_track,Options:GeneOnly]&amp;mk=3060191:3060210|offset_14|00cc00,3060229:3060248|offset_52|444444,3060287:3060306|offset_110|444444,3060325:3060344|offset_148|444444&amp;v=3059990:3060544&amp;c=444444", "offset 14")</f>
        <v>offset 14</v>
      </c>
    </row>
    <row r="9729" customFormat="false" ht="12.8" hidden="false" customHeight="false" outlineLevel="0" collapsed="false">
      <c r="A9729" s="0" t="s">
        <v>12</v>
      </c>
      <c r="B9729" s="0" t="n">
        <v>3060228</v>
      </c>
      <c r="C9729" s="0" t="n">
        <v>3060248</v>
      </c>
      <c r="D9729" s="0" t="s">
        <v>32335</v>
      </c>
      <c r="E9729" s="0" t="s">
        <v>75</v>
      </c>
      <c r="F9729" s="0" t="s">
        <v>15</v>
      </c>
      <c r="G9729" s="0" t="s">
        <v>32</v>
      </c>
      <c r="H9729" s="0" t="n">
        <v>52</v>
      </c>
      <c r="I9729" s="0" t="s">
        <v>32339</v>
      </c>
      <c r="J9729" s="0" t="s">
        <v>32340</v>
      </c>
      <c r="K9729" s="0" t="s">
        <v>32341</v>
      </c>
      <c r="L9729" s="0" t="str">
        <f aca="false">HYPERLINK("https://www.ncbi.nlm.nih.gov/nuccore/CP000058.1?report=graph&amp;tracks=[key:gene_model_track,Options:GeneOnly]&amp;mk=3060191:3060210|offset_14|444444,3060229:3060248|offset_52|00cc00,3060287:3060306|offset_110|444444,3060325:3060344|offset_148|444444&amp;v=3059990:3060544&amp;c=444444", "offset 52")</f>
        <v>offset 52</v>
      </c>
    </row>
    <row r="9730" customFormat="false" ht="12.8" hidden="false" customHeight="false" outlineLevel="0" collapsed="false">
      <c r="A9730" s="0" t="s">
        <v>12</v>
      </c>
      <c r="B9730" s="0" t="n">
        <v>3060286</v>
      </c>
      <c r="C9730" s="0" t="n">
        <v>3060306</v>
      </c>
      <c r="D9730" s="0" t="s">
        <v>32335</v>
      </c>
      <c r="E9730" s="0" t="s">
        <v>75</v>
      </c>
      <c r="F9730" s="0" t="s">
        <v>15</v>
      </c>
      <c r="G9730" s="0" t="s">
        <v>32</v>
      </c>
      <c r="H9730" s="0" t="n">
        <v>110</v>
      </c>
      <c r="I9730" s="0" t="s">
        <v>32342</v>
      </c>
      <c r="J9730" s="0" t="s">
        <v>32343</v>
      </c>
      <c r="K9730" s="0" t="s">
        <v>32344</v>
      </c>
      <c r="L9730" s="0" t="str">
        <f aca="false">HYPERLINK("https://www.ncbi.nlm.nih.gov/nuccore/CP000058.1?report=graph&amp;tracks=[key:gene_model_track,Options:GeneOnly]&amp;mk=3060191:3060210|offset_14|444444,3060229:3060248|offset_52|444444,3060287:3060306|offset_110|00cc00,3060325:3060344|offset_148|444444&amp;v=3059990:3060544&amp;c=444444", "offset 110")</f>
        <v>offset 110</v>
      </c>
    </row>
    <row r="9731" customFormat="false" ht="12.8" hidden="false" customHeight="false" outlineLevel="0" collapsed="false">
      <c r="A9731" s="0" t="s">
        <v>12</v>
      </c>
      <c r="B9731" s="0" t="n">
        <v>3060324</v>
      </c>
      <c r="C9731" s="0" t="n">
        <v>3060344</v>
      </c>
      <c r="D9731" s="0" t="s">
        <v>32335</v>
      </c>
      <c r="E9731" s="0" t="s">
        <v>75</v>
      </c>
      <c r="F9731" s="0" t="s">
        <v>15</v>
      </c>
      <c r="G9731" s="0" t="s">
        <v>36</v>
      </c>
      <c r="H9731" s="0" t="n">
        <v>148</v>
      </c>
      <c r="I9731" s="0" t="s">
        <v>32345</v>
      </c>
      <c r="J9731" s="0" t="s">
        <v>32346</v>
      </c>
      <c r="K9731" s="0" t="s">
        <v>32347</v>
      </c>
      <c r="L9731" s="0" t="str">
        <f aca="false">HYPERLINK("https://www.ncbi.nlm.nih.gov/nuccore/CP000058.1?report=graph&amp;tracks=[key:gene_model_track,Options:GeneOnly]&amp;mk=3060191:3060210|offset_14|444444,3060229:3060248|offset_52|444444,3060287:3060306|offset_110|444444,3060325:3060344|offset_148|00cc00&amp;v=3059990:3060544&amp;c=444444", "offset 148")</f>
        <v>offset 148</v>
      </c>
    </row>
    <row r="9732" customFormat="false" ht="12.8" hidden="false" customHeight="false" outlineLevel="0" collapsed="false">
      <c r="A9732" s="0" t="s">
        <v>12</v>
      </c>
      <c r="B9732" s="0" t="n">
        <v>3061438</v>
      </c>
      <c r="C9732" s="0" t="n">
        <v>3061458</v>
      </c>
      <c r="D9732" s="0" t="s">
        <v>32348</v>
      </c>
      <c r="E9732" s="0" t="s">
        <v>75</v>
      </c>
      <c r="F9732" s="0" t="s">
        <v>15</v>
      </c>
      <c r="G9732" s="0" t="s">
        <v>32</v>
      </c>
      <c r="H9732" s="0" t="n">
        <v>15</v>
      </c>
      <c r="I9732" s="0" t="s">
        <v>32349</v>
      </c>
      <c r="J9732" s="0" t="s">
        <v>32350</v>
      </c>
      <c r="K9732" s="0" t="s">
        <v>32351</v>
      </c>
      <c r="L9732" s="0" t="str">
        <f aca="false">HYPERLINK("https://www.ncbi.nlm.nih.gov/nuccore/CP000058.1?report=graph&amp;tracks=[key:gene_model_track,Options:GeneOnly]&amp;mk=3061439:3061458|offset_15|00cc00,3061461:3061480|offset_37|444444,3061482:3061501|offset_58|444444,3061517:3061536|offset_93|444444&amp;v=3061238:3061736&amp;c=444444", "offset 15")</f>
        <v>offset 15</v>
      </c>
    </row>
    <row r="9733" customFormat="false" ht="12.8" hidden="false" customHeight="false" outlineLevel="0" collapsed="false">
      <c r="A9733" s="0" t="s">
        <v>12</v>
      </c>
      <c r="B9733" s="0" t="n">
        <v>3061460</v>
      </c>
      <c r="C9733" s="0" t="n">
        <v>3061480</v>
      </c>
      <c r="D9733" s="0" t="s">
        <v>32348</v>
      </c>
      <c r="E9733" s="0" t="s">
        <v>75</v>
      </c>
      <c r="F9733" s="0" t="s">
        <v>15</v>
      </c>
      <c r="G9733" s="0" t="s">
        <v>32</v>
      </c>
      <c r="H9733" s="0" t="n">
        <v>37</v>
      </c>
      <c r="I9733" s="0" t="s">
        <v>32352</v>
      </c>
      <c r="J9733" s="0" t="s">
        <v>32353</v>
      </c>
      <c r="K9733" s="0" t="s">
        <v>32354</v>
      </c>
      <c r="L9733" s="0" t="str">
        <f aca="false">HYPERLINK("https://www.ncbi.nlm.nih.gov/nuccore/CP000058.1?report=graph&amp;tracks=[key:gene_model_track,Options:GeneOnly]&amp;mk=3061439:3061458|offset_15|444444,3061461:3061480|offset_37|00cc00,3061482:3061501|offset_58|444444,3061517:3061536|offset_93|444444&amp;v=3061238:3061736&amp;c=444444", "offset 37")</f>
        <v>offset 37</v>
      </c>
    </row>
    <row r="9734" customFormat="false" ht="12.8" hidden="false" customHeight="false" outlineLevel="0" collapsed="false">
      <c r="A9734" s="0" t="s">
        <v>12</v>
      </c>
      <c r="B9734" s="0" t="n">
        <v>3061481</v>
      </c>
      <c r="C9734" s="0" t="n">
        <v>3061501</v>
      </c>
      <c r="D9734" s="0" t="s">
        <v>32348</v>
      </c>
      <c r="E9734" s="0" t="s">
        <v>75</v>
      </c>
      <c r="F9734" s="0" t="s">
        <v>15</v>
      </c>
      <c r="G9734" s="0" t="s">
        <v>36</v>
      </c>
      <c r="H9734" s="0" t="n">
        <v>58</v>
      </c>
      <c r="I9734" s="0" t="s">
        <v>32355</v>
      </c>
      <c r="J9734" s="0" t="s">
        <v>32356</v>
      </c>
      <c r="K9734" s="0" t="s">
        <v>32357</v>
      </c>
      <c r="L9734" s="0" t="str">
        <f aca="false">HYPERLINK("https://www.ncbi.nlm.nih.gov/nuccore/CP000058.1?report=graph&amp;tracks=[key:gene_model_track,Options:GeneOnly]&amp;mk=3061439:3061458|offset_15|444444,3061461:3061480|offset_37|444444,3061482:3061501|offset_58|00cc00,3061517:3061536|offset_93|444444&amp;v=3061238:3061736&amp;c=444444", "offset 58")</f>
        <v>offset 58</v>
      </c>
    </row>
    <row r="9735" customFormat="false" ht="12.8" hidden="false" customHeight="false" outlineLevel="0" collapsed="false">
      <c r="A9735" s="0" t="s">
        <v>12</v>
      </c>
      <c r="B9735" s="0" t="n">
        <v>3061516</v>
      </c>
      <c r="C9735" s="0" t="n">
        <v>3061536</v>
      </c>
      <c r="D9735" s="0" t="s">
        <v>32348</v>
      </c>
      <c r="E9735" s="0" t="s">
        <v>75</v>
      </c>
      <c r="F9735" s="0" t="s">
        <v>15</v>
      </c>
      <c r="G9735" s="0" t="s">
        <v>36</v>
      </c>
      <c r="H9735" s="0" t="n">
        <v>93</v>
      </c>
      <c r="I9735" s="0" t="s">
        <v>32358</v>
      </c>
      <c r="J9735" s="0" t="s">
        <v>32359</v>
      </c>
      <c r="K9735" s="0" t="s">
        <v>32360</v>
      </c>
      <c r="L9735" s="0" t="str">
        <f aca="false">HYPERLINK("https://www.ncbi.nlm.nih.gov/nuccore/CP000058.1?report=graph&amp;tracks=[key:gene_model_track,Options:GeneOnly]&amp;mk=3061439:3061458|offset_15|444444,3061461:3061480|offset_37|444444,3061482:3061501|offset_58|444444,3061517:3061536|offset_93|00cc00&amp;v=3061238:3061736&amp;c=444444", "offset 93")</f>
        <v>offset 93</v>
      </c>
    </row>
    <row r="9736" customFormat="false" ht="12.8" hidden="false" customHeight="false" outlineLevel="0" collapsed="false">
      <c r="A9736" s="0" t="s">
        <v>12</v>
      </c>
      <c r="B9736" s="0" t="n">
        <v>3063468</v>
      </c>
      <c r="C9736" s="0" t="n">
        <v>3063488</v>
      </c>
      <c r="D9736" s="0" t="s">
        <v>32361</v>
      </c>
      <c r="E9736" s="0" t="s">
        <v>75</v>
      </c>
      <c r="F9736" s="0" t="s">
        <v>15</v>
      </c>
      <c r="G9736" s="0" t="s">
        <v>32</v>
      </c>
      <c r="H9736" s="0" t="n">
        <v>7</v>
      </c>
      <c r="I9736" s="0" t="s">
        <v>32362</v>
      </c>
      <c r="J9736" s="0" t="s">
        <v>32363</v>
      </c>
      <c r="K9736" s="0" t="s">
        <v>32364</v>
      </c>
      <c r="L9736" s="0" t="str">
        <f aca="false">HYPERLINK("https://www.ncbi.nlm.nih.gov/nuccore/CP000058.1?report=graph&amp;tracks=[key:gene_model_track,Options:GeneOnly]&amp;mk=3063469:3063488|offset_7|00cc00,3063503:3063522|offset_41|444444,3063533:3063552|offset_71|444444,3063562:3063581|offset_100|444444&amp;v=3063268:3063781&amp;c=444444", "offset 7")</f>
        <v>offset 7</v>
      </c>
    </row>
    <row r="9737" customFormat="false" ht="12.8" hidden="false" customHeight="false" outlineLevel="0" collapsed="false">
      <c r="A9737" s="0" t="s">
        <v>12</v>
      </c>
      <c r="B9737" s="0" t="n">
        <v>3063502</v>
      </c>
      <c r="C9737" s="0" t="n">
        <v>3063522</v>
      </c>
      <c r="D9737" s="0" t="s">
        <v>32361</v>
      </c>
      <c r="E9737" s="0" t="s">
        <v>75</v>
      </c>
      <c r="F9737" s="0" t="s">
        <v>15</v>
      </c>
      <c r="G9737" s="0" t="s">
        <v>36</v>
      </c>
      <c r="H9737" s="0" t="n">
        <v>41</v>
      </c>
      <c r="I9737" s="0" t="s">
        <v>32365</v>
      </c>
      <c r="J9737" s="0" t="s">
        <v>32366</v>
      </c>
      <c r="K9737" s="0" t="s">
        <v>32367</v>
      </c>
      <c r="L9737" s="0" t="str">
        <f aca="false">HYPERLINK("https://www.ncbi.nlm.nih.gov/nuccore/CP000058.1?report=graph&amp;tracks=[key:gene_model_track,Options:GeneOnly]&amp;mk=3063469:3063488|offset_7|444444,3063503:3063522|offset_41|00cc00,3063533:3063552|offset_71|444444,3063562:3063581|offset_100|444444&amp;v=3063268:3063781&amp;c=444444", "offset 41")</f>
        <v>offset 41</v>
      </c>
    </row>
    <row r="9738" customFormat="false" ht="12.8" hidden="false" customHeight="false" outlineLevel="0" collapsed="false">
      <c r="A9738" s="0" t="s">
        <v>12</v>
      </c>
      <c r="B9738" s="0" t="n">
        <v>3063532</v>
      </c>
      <c r="C9738" s="0" t="n">
        <v>3063552</v>
      </c>
      <c r="D9738" s="0" t="s">
        <v>32361</v>
      </c>
      <c r="E9738" s="0" t="s">
        <v>75</v>
      </c>
      <c r="F9738" s="0" t="s">
        <v>15</v>
      </c>
      <c r="G9738" s="0" t="s">
        <v>32</v>
      </c>
      <c r="H9738" s="0" t="n">
        <v>71</v>
      </c>
      <c r="I9738" s="0" t="s">
        <v>32368</v>
      </c>
      <c r="J9738" s="0" t="s">
        <v>32369</v>
      </c>
      <c r="K9738" s="0" t="s">
        <v>32370</v>
      </c>
      <c r="L9738" s="0" t="str">
        <f aca="false">HYPERLINK("https://www.ncbi.nlm.nih.gov/nuccore/CP000058.1?report=graph&amp;tracks=[key:gene_model_track,Options:GeneOnly]&amp;mk=3063469:3063488|offset_7|444444,3063503:3063522|offset_41|444444,3063533:3063552|offset_71|00cc00,3063562:3063581|offset_100|444444&amp;v=3063268:3063781&amp;c=444444", "offset 71")</f>
        <v>offset 71</v>
      </c>
    </row>
    <row r="9739" customFormat="false" ht="12.8" hidden="false" customHeight="false" outlineLevel="0" collapsed="false">
      <c r="A9739" s="0" t="s">
        <v>12</v>
      </c>
      <c r="B9739" s="0" t="n">
        <v>3063561</v>
      </c>
      <c r="C9739" s="0" t="n">
        <v>3063581</v>
      </c>
      <c r="D9739" s="0" t="s">
        <v>32361</v>
      </c>
      <c r="E9739" s="0" t="s">
        <v>75</v>
      </c>
      <c r="F9739" s="0" t="s">
        <v>15</v>
      </c>
      <c r="G9739" s="0" t="s">
        <v>32</v>
      </c>
      <c r="H9739" s="0" t="n">
        <v>100</v>
      </c>
      <c r="I9739" s="0" t="s">
        <v>32371</v>
      </c>
      <c r="J9739" s="0" t="s">
        <v>32372</v>
      </c>
      <c r="K9739" s="0" t="s">
        <v>32373</v>
      </c>
      <c r="L9739" s="0" t="str">
        <f aca="false">HYPERLINK("https://www.ncbi.nlm.nih.gov/nuccore/CP000058.1?report=graph&amp;tracks=[key:gene_model_track,Options:GeneOnly]&amp;mk=3063469:3063488|offset_7|444444,3063503:3063522|offset_41|444444,3063533:3063552|offset_71|444444,3063562:3063581|offset_100|00cc00&amp;v=3063268:3063781&amp;c=444444", "offset 100")</f>
        <v>offset 100</v>
      </c>
    </row>
    <row r="9740" customFormat="false" ht="12.8" hidden="false" customHeight="false" outlineLevel="0" collapsed="false">
      <c r="A9740" s="0" t="s">
        <v>12</v>
      </c>
      <c r="B9740" s="0" t="n">
        <v>3066796</v>
      </c>
      <c r="C9740" s="0" t="n">
        <v>3066816</v>
      </c>
      <c r="D9740" s="0" t="s">
        <v>32374</v>
      </c>
      <c r="E9740" s="0" t="s">
        <v>32375</v>
      </c>
      <c r="F9740" s="0" t="s">
        <v>15</v>
      </c>
      <c r="G9740" s="0" t="s">
        <v>20</v>
      </c>
      <c r="H9740" s="0" t="n">
        <v>12</v>
      </c>
      <c r="I9740" s="0" t="s">
        <v>32376</v>
      </c>
      <c r="J9740" s="0" t="s">
        <v>32377</v>
      </c>
      <c r="K9740" s="0" t="s">
        <v>32378</v>
      </c>
      <c r="L9740" s="0" t="str">
        <f aca="false">HYPERLINK("https://www.ncbi.nlm.nih.gov/nuccore/CP000058.1?report=graph&amp;tracks=[key:gene_model_track,Options:GeneOnly]&amp;mk=3066797:3066816|offset_12|00cc00,3066817:3066836|offset_32|444444,3066859:3066878|offset_74|444444,3066889:3066908|offset_104|444444&amp;v=3066596:3067108&amp;c=444444", "offset 12")</f>
        <v>offset 12</v>
      </c>
    </row>
    <row r="9741" customFormat="false" ht="12.8" hidden="false" customHeight="false" outlineLevel="0" collapsed="false">
      <c r="A9741" s="0" t="s">
        <v>12</v>
      </c>
      <c r="B9741" s="0" t="n">
        <v>3066816</v>
      </c>
      <c r="C9741" s="0" t="n">
        <v>3066836</v>
      </c>
      <c r="D9741" s="0" t="s">
        <v>32374</v>
      </c>
      <c r="E9741" s="0" t="s">
        <v>32375</v>
      </c>
      <c r="F9741" s="0" t="s">
        <v>15</v>
      </c>
      <c r="G9741" s="0" t="s">
        <v>16</v>
      </c>
      <c r="H9741" s="0" t="n">
        <v>32</v>
      </c>
      <c r="I9741" s="0" t="s">
        <v>32379</v>
      </c>
      <c r="J9741" s="0" t="s">
        <v>32380</v>
      </c>
      <c r="K9741" s="0" t="s">
        <v>32381</v>
      </c>
      <c r="L9741" s="0" t="str">
        <f aca="false">HYPERLINK("https://www.ncbi.nlm.nih.gov/nuccore/CP000058.1?report=graph&amp;tracks=[key:gene_model_track,Options:GeneOnly]&amp;mk=3066797:3066816|offset_12|444444,3066817:3066836|offset_32|00cc00,3066859:3066878|offset_74|444444,3066889:3066908|offset_104|444444&amp;v=3066596:3067108&amp;c=444444", "offset 32")</f>
        <v>offset 32</v>
      </c>
    </row>
    <row r="9742" customFormat="false" ht="12.8" hidden="false" customHeight="false" outlineLevel="0" collapsed="false">
      <c r="A9742" s="0" t="s">
        <v>12</v>
      </c>
      <c r="B9742" s="0" t="n">
        <v>3066858</v>
      </c>
      <c r="C9742" s="0" t="n">
        <v>3066878</v>
      </c>
      <c r="D9742" s="0" t="s">
        <v>32374</v>
      </c>
      <c r="E9742" s="0" t="s">
        <v>32375</v>
      </c>
      <c r="F9742" s="0" t="s">
        <v>15</v>
      </c>
      <c r="G9742" s="0" t="s">
        <v>16</v>
      </c>
      <c r="H9742" s="0" t="n">
        <v>74</v>
      </c>
      <c r="I9742" s="0" t="s">
        <v>32382</v>
      </c>
      <c r="J9742" s="0" t="s">
        <v>32383</v>
      </c>
      <c r="K9742" s="0" t="s">
        <v>32384</v>
      </c>
      <c r="L9742" s="0" t="str">
        <f aca="false">HYPERLINK("https://www.ncbi.nlm.nih.gov/nuccore/CP000058.1?report=graph&amp;tracks=[key:gene_model_track,Options:GeneOnly]&amp;mk=3066797:3066816|offset_12|444444,3066817:3066836|offset_32|444444,3066859:3066878|offset_74|00cc00,3066889:3066908|offset_104|444444&amp;v=3066596:3067108&amp;c=444444", "offset 74")</f>
        <v>offset 74</v>
      </c>
    </row>
    <row r="9743" customFormat="false" ht="12.8" hidden="false" customHeight="false" outlineLevel="0" collapsed="false">
      <c r="A9743" s="0" t="s">
        <v>12</v>
      </c>
      <c r="B9743" s="0" t="n">
        <v>3066888</v>
      </c>
      <c r="C9743" s="0" t="n">
        <v>3066908</v>
      </c>
      <c r="D9743" s="0" t="s">
        <v>32374</v>
      </c>
      <c r="E9743" s="0" t="s">
        <v>32375</v>
      </c>
      <c r="F9743" s="0" t="s">
        <v>15</v>
      </c>
      <c r="G9743" s="0" t="s">
        <v>20</v>
      </c>
      <c r="H9743" s="0" t="n">
        <v>104</v>
      </c>
      <c r="I9743" s="0" t="s">
        <v>32385</v>
      </c>
      <c r="J9743" s="0" t="s">
        <v>32386</v>
      </c>
      <c r="K9743" s="0" t="s">
        <v>32387</v>
      </c>
      <c r="L9743" s="0" t="str">
        <f aca="false">HYPERLINK("https://www.ncbi.nlm.nih.gov/nuccore/CP000058.1?report=graph&amp;tracks=[key:gene_model_track,Options:GeneOnly]&amp;mk=3066797:3066816|offset_12|444444,3066817:3066836|offset_32|444444,3066859:3066878|offset_74|444444,3066889:3066908|offset_104|00cc00&amp;v=3066596:3067108&amp;c=444444", "offset 104")</f>
        <v>offset 104</v>
      </c>
    </row>
    <row r="9744" customFormat="false" ht="12.8" hidden="false" customHeight="false" outlineLevel="0" collapsed="false">
      <c r="A9744" s="0" t="s">
        <v>12</v>
      </c>
      <c r="B9744" s="0" t="n">
        <v>3073176</v>
      </c>
      <c r="C9744" s="0" t="n">
        <v>3073196</v>
      </c>
      <c r="D9744" s="0" t="s">
        <v>32388</v>
      </c>
      <c r="E9744" s="0" t="s">
        <v>75</v>
      </c>
      <c r="F9744" s="0" t="s">
        <v>90</v>
      </c>
      <c r="G9744" s="0" t="s">
        <v>32</v>
      </c>
      <c r="H9744" s="0" t="n">
        <v>1</v>
      </c>
      <c r="I9744" s="0" t="s">
        <v>32389</v>
      </c>
      <c r="J9744" s="0" t="s">
        <v>32390</v>
      </c>
      <c r="K9744" s="0" t="s">
        <v>32391</v>
      </c>
      <c r="L9744" s="0" t="str">
        <f aca="false">HYPERLINK("https://www.ncbi.nlm.nih.gov/nuccore/CP000058.1?report=graph&amp;tracks=[key:gene_model_track,Options:GeneOnly]&amp;mk=3073177:3073196|offset_1|00cc00,3073155:3073174|offset_23|444444,3073133:3073152|offset_45|444444,3073102:3073121|offset_76|444444&amp;v=3072976:3073321&amp;c=444444", "offset 1")</f>
        <v>offset 1</v>
      </c>
    </row>
    <row r="9745" customFormat="false" ht="12.8" hidden="false" customHeight="false" outlineLevel="0" collapsed="false">
      <c r="A9745" s="0" t="s">
        <v>12</v>
      </c>
      <c r="B9745" s="0" t="n">
        <v>3073154</v>
      </c>
      <c r="C9745" s="0" t="n">
        <v>3073174</v>
      </c>
      <c r="D9745" s="0" t="s">
        <v>32388</v>
      </c>
      <c r="E9745" s="0" t="s">
        <v>75</v>
      </c>
      <c r="F9745" s="0" t="s">
        <v>90</v>
      </c>
      <c r="G9745" s="0" t="s">
        <v>20</v>
      </c>
      <c r="H9745" s="0" t="n">
        <v>23</v>
      </c>
      <c r="I9745" s="0" t="s">
        <v>32392</v>
      </c>
      <c r="J9745" s="0" t="s">
        <v>32393</v>
      </c>
      <c r="K9745" s="0" t="s">
        <v>32394</v>
      </c>
      <c r="L9745" s="0" t="str">
        <f aca="false">HYPERLINK("https://www.ncbi.nlm.nih.gov/nuccore/CP000058.1?report=graph&amp;tracks=[key:gene_model_track,Options:GeneOnly]&amp;mk=3073177:3073196|offset_1|444444,3073155:3073174|offset_23|00cc00,3073133:3073152|offset_45|444444,3073102:3073121|offset_76|444444&amp;v=3072976:3073321&amp;c=444444", "offset 23")</f>
        <v>offset 23</v>
      </c>
    </row>
    <row r="9746" customFormat="false" ht="12.8" hidden="false" customHeight="false" outlineLevel="0" collapsed="false">
      <c r="A9746" s="0" t="s">
        <v>12</v>
      </c>
      <c r="B9746" s="0" t="n">
        <v>3073132</v>
      </c>
      <c r="C9746" s="0" t="n">
        <v>3073152</v>
      </c>
      <c r="D9746" s="0" t="s">
        <v>32388</v>
      </c>
      <c r="E9746" s="0" t="s">
        <v>75</v>
      </c>
      <c r="F9746" s="0" t="s">
        <v>90</v>
      </c>
      <c r="G9746" s="0" t="s">
        <v>20</v>
      </c>
      <c r="H9746" s="0" t="n">
        <v>45</v>
      </c>
      <c r="I9746" s="0" t="s">
        <v>32395</v>
      </c>
      <c r="J9746" s="0" t="s">
        <v>32396</v>
      </c>
      <c r="K9746" s="0" t="s">
        <v>32397</v>
      </c>
      <c r="L9746" s="0" t="str">
        <f aca="false">HYPERLINK("https://www.ncbi.nlm.nih.gov/nuccore/CP000058.1?report=graph&amp;tracks=[key:gene_model_track,Options:GeneOnly]&amp;mk=3073177:3073196|offset_1|444444,3073155:3073174|offset_23|444444,3073133:3073152|offset_45|00cc00,3073102:3073121|offset_76|444444&amp;v=3072976:3073321&amp;c=444444", "offset 45")</f>
        <v>offset 45</v>
      </c>
    </row>
    <row r="9747" customFormat="false" ht="12.8" hidden="false" customHeight="false" outlineLevel="0" collapsed="false">
      <c r="A9747" s="0" t="s">
        <v>12</v>
      </c>
      <c r="B9747" s="0" t="n">
        <v>3073101</v>
      </c>
      <c r="C9747" s="0" t="n">
        <v>3073121</v>
      </c>
      <c r="D9747" s="0" t="s">
        <v>32388</v>
      </c>
      <c r="E9747" s="0" t="s">
        <v>75</v>
      </c>
      <c r="F9747" s="0" t="s">
        <v>90</v>
      </c>
      <c r="G9747" s="0" t="s">
        <v>36</v>
      </c>
      <c r="H9747" s="0" t="n">
        <v>76</v>
      </c>
      <c r="I9747" s="0" t="s">
        <v>32398</v>
      </c>
      <c r="J9747" s="0" t="s">
        <v>32399</v>
      </c>
      <c r="K9747" s="0" t="s">
        <v>32400</v>
      </c>
      <c r="L9747" s="0" t="str">
        <f aca="false">HYPERLINK("https://www.ncbi.nlm.nih.gov/nuccore/CP000058.1?report=graph&amp;tracks=[key:gene_model_track,Options:GeneOnly]&amp;mk=3073177:3073196|offset_1|444444,3073155:3073174|offset_23|444444,3073133:3073152|offset_45|444444,3073102:3073121|offset_76|00cc00&amp;v=3072976:3073321&amp;c=444444", "offset 76")</f>
        <v>offset 76</v>
      </c>
    </row>
    <row r="9748" customFormat="false" ht="12.8" hidden="false" customHeight="false" outlineLevel="0" collapsed="false">
      <c r="A9748" s="0" t="s">
        <v>12</v>
      </c>
      <c r="B9748" s="0" t="n">
        <v>3073302</v>
      </c>
      <c r="C9748" s="0" t="n">
        <v>3073322</v>
      </c>
      <c r="D9748" s="0" t="s">
        <v>32401</v>
      </c>
      <c r="E9748" s="0" t="s">
        <v>75</v>
      </c>
      <c r="F9748" s="0" t="s">
        <v>15</v>
      </c>
      <c r="G9748" s="0" t="s">
        <v>32</v>
      </c>
      <c r="H9748" s="0" t="n">
        <v>16</v>
      </c>
      <c r="I9748" s="0" t="s">
        <v>32402</v>
      </c>
      <c r="J9748" s="0" t="s">
        <v>32403</v>
      </c>
      <c r="K9748" s="0" t="s">
        <v>32404</v>
      </c>
      <c r="L9748" s="0" t="str">
        <f aca="false">HYPERLINK("https://www.ncbi.nlm.nih.gov/nuccore/CP000058.1?report=graph&amp;tracks=[key:gene_model_track,Options:GeneOnly]&amp;mk=3073303:3073322|offset_16|00cc00,3073324:3073343|offset_37|444444,3073348:3073367|offset_61|444444,3073373:3073392|offset_86|444444&amp;v=3073102:3073592&amp;c=444444", "offset 16")</f>
        <v>offset 16</v>
      </c>
    </row>
    <row r="9749" customFormat="false" ht="12.8" hidden="false" customHeight="false" outlineLevel="0" collapsed="false">
      <c r="A9749" s="0" t="s">
        <v>12</v>
      </c>
      <c r="B9749" s="0" t="n">
        <v>3073323</v>
      </c>
      <c r="C9749" s="0" t="n">
        <v>3073343</v>
      </c>
      <c r="D9749" s="0" t="s">
        <v>32401</v>
      </c>
      <c r="E9749" s="0" t="s">
        <v>75</v>
      </c>
      <c r="F9749" s="0" t="s">
        <v>15</v>
      </c>
      <c r="G9749" s="0" t="s">
        <v>32</v>
      </c>
      <c r="H9749" s="0" t="n">
        <v>37</v>
      </c>
      <c r="I9749" s="0" t="s">
        <v>32405</v>
      </c>
      <c r="J9749" s="0" t="s">
        <v>32406</v>
      </c>
      <c r="K9749" s="0" t="s">
        <v>32407</v>
      </c>
      <c r="L9749" s="0" t="str">
        <f aca="false">HYPERLINK("https://www.ncbi.nlm.nih.gov/nuccore/CP000058.1?report=graph&amp;tracks=[key:gene_model_track,Options:GeneOnly]&amp;mk=3073303:3073322|offset_16|444444,3073324:3073343|offset_37|00cc00,3073348:3073367|offset_61|444444,3073373:3073392|offset_86|444444&amp;v=3073102:3073592&amp;c=444444", "offset 37")</f>
        <v>offset 37</v>
      </c>
    </row>
    <row r="9750" customFormat="false" ht="12.8" hidden="false" customHeight="false" outlineLevel="0" collapsed="false">
      <c r="A9750" s="0" t="s">
        <v>12</v>
      </c>
      <c r="B9750" s="0" t="n">
        <v>3073347</v>
      </c>
      <c r="C9750" s="0" t="n">
        <v>3073367</v>
      </c>
      <c r="D9750" s="0" t="s">
        <v>32401</v>
      </c>
      <c r="E9750" s="0" t="s">
        <v>75</v>
      </c>
      <c r="F9750" s="0" t="s">
        <v>15</v>
      </c>
      <c r="G9750" s="0" t="s">
        <v>16</v>
      </c>
      <c r="H9750" s="0" t="n">
        <v>61</v>
      </c>
      <c r="I9750" s="0" t="s">
        <v>32408</v>
      </c>
      <c r="J9750" s="0" t="s">
        <v>32409</v>
      </c>
      <c r="K9750" s="0" t="s">
        <v>32410</v>
      </c>
      <c r="L9750" s="0" t="str">
        <f aca="false">HYPERLINK("https://www.ncbi.nlm.nih.gov/nuccore/CP000058.1?report=graph&amp;tracks=[key:gene_model_track,Options:GeneOnly]&amp;mk=3073303:3073322|offset_16|444444,3073324:3073343|offset_37|444444,3073348:3073367|offset_61|00cc00,3073373:3073392|offset_86|444444&amp;v=3073102:3073592&amp;c=444444", "offset 61")</f>
        <v>offset 61</v>
      </c>
    </row>
    <row r="9751" customFormat="false" ht="12.8" hidden="false" customHeight="false" outlineLevel="0" collapsed="false">
      <c r="A9751" s="0" t="s">
        <v>12</v>
      </c>
      <c r="B9751" s="0" t="n">
        <v>3073372</v>
      </c>
      <c r="C9751" s="0" t="n">
        <v>3073392</v>
      </c>
      <c r="D9751" s="0" t="s">
        <v>32401</v>
      </c>
      <c r="E9751" s="0" t="s">
        <v>75</v>
      </c>
      <c r="F9751" s="0" t="s">
        <v>15</v>
      </c>
      <c r="G9751" s="0" t="s">
        <v>20</v>
      </c>
      <c r="H9751" s="0" t="n">
        <v>86</v>
      </c>
      <c r="I9751" s="0" t="s">
        <v>32411</v>
      </c>
      <c r="J9751" s="0" t="s">
        <v>32412</v>
      </c>
      <c r="K9751" s="0" t="s">
        <v>32413</v>
      </c>
      <c r="L9751" s="0" t="str">
        <f aca="false">HYPERLINK("https://www.ncbi.nlm.nih.gov/nuccore/CP000058.1?report=graph&amp;tracks=[key:gene_model_track,Options:GeneOnly]&amp;mk=3073303:3073322|offset_16|444444,3073324:3073343|offset_37|444444,3073348:3073367|offset_61|444444,3073373:3073392|offset_86|00cc00&amp;v=3073102:3073592&amp;c=444444", "offset 86")</f>
        <v>offset 86</v>
      </c>
    </row>
    <row r="9752" customFormat="false" ht="12.8" hidden="false" customHeight="false" outlineLevel="0" collapsed="false">
      <c r="A9752" s="0" t="s">
        <v>12</v>
      </c>
      <c r="B9752" s="0" t="n">
        <v>3076078</v>
      </c>
      <c r="C9752" s="0" t="n">
        <v>3076098</v>
      </c>
      <c r="D9752" s="0" t="s">
        <v>32414</v>
      </c>
      <c r="E9752" s="0" t="s">
        <v>75</v>
      </c>
      <c r="F9752" s="0" t="s">
        <v>90</v>
      </c>
      <c r="G9752" s="0" t="s">
        <v>32</v>
      </c>
      <c r="H9752" s="0" t="n">
        <v>10</v>
      </c>
      <c r="I9752" s="0" t="s">
        <v>32415</v>
      </c>
      <c r="J9752" s="0" t="s">
        <v>32416</v>
      </c>
      <c r="K9752" s="0" t="s">
        <v>32417</v>
      </c>
      <c r="L9752" s="0" t="str">
        <f aca="false">HYPERLINK("https://www.ncbi.nlm.nih.gov/nuccore/CP000058.1?report=graph&amp;tracks=[key:gene_model_track,Options:GeneOnly]&amp;mk=3076079:3076098|offset_10|00cc00,3076051:3076070|offset_38|444444,3076010:3076029|offset_79|444444,3075965:3075984|offset_124|444444&amp;v=3075878:3076184&amp;c=444444", "offset 10")</f>
        <v>offset 10</v>
      </c>
    </row>
    <row r="9753" customFormat="false" ht="12.8" hidden="false" customHeight="false" outlineLevel="0" collapsed="false">
      <c r="A9753" s="0" t="s">
        <v>12</v>
      </c>
      <c r="B9753" s="0" t="n">
        <v>3076050</v>
      </c>
      <c r="C9753" s="0" t="n">
        <v>3076070</v>
      </c>
      <c r="D9753" s="0" t="s">
        <v>32414</v>
      </c>
      <c r="E9753" s="0" t="s">
        <v>75</v>
      </c>
      <c r="F9753" s="0" t="s">
        <v>90</v>
      </c>
      <c r="G9753" s="0" t="s">
        <v>36</v>
      </c>
      <c r="H9753" s="0" t="n">
        <v>38</v>
      </c>
      <c r="I9753" s="0" t="s">
        <v>32418</v>
      </c>
      <c r="J9753" s="0" t="s">
        <v>32419</v>
      </c>
      <c r="K9753" s="0" t="s">
        <v>32420</v>
      </c>
      <c r="L9753" s="0" t="str">
        <f aca="false">HYPERLINK("https://www.ncbi.nlm.nih.gov/nuccore/CP000058.1?report=graph&amp;tracks=[key:gene_model_track,Options:GeneOnly]&amp;mk=3076079:3076098|offset_10|444444,3076051:3076070|offset_38|00cc00,3076010:3076029|offset_79|444444,3075965:3075984|offset_124|444444&amp;v=3075878:3076184&amp;c=444444", "offset 38")</f>
        <v>offset 38</v>
      </c>
    </row>
    <row r="9754" customFormat="false" ht="12.8" hidden="false" customHeight="false" outlineLevel="0" collapsed="false">
      <c r="A9754" s="0" t="s">
        <v>12</v>
      </c>
      <c r="B9754" s="0" t="n">
        <v>3076009</v>
      </c>
      <c r="C9754" s="0" t="n">
        <v>3076029</v>
      </c>
      <c r="D9754" s="0" t="s">
        <v>32414</v>
      </c>
      <c r="E9754" s="0" t="s">
        <v>75</v>
      </c>
      <c r="F9754" s="0" t="s">
        <v>90</v>
      </c>
      <c r="G9754" s="0" t="s">
        <v>16</v>
      </c>
      <c r="H9754" s="0" t="n">
        <v>79</v>
      </c>
      <c r="I9754" s="0" t="s">
        <v>32421</v>
      </c>
      <c r="J9754" s="0" t="s">
        <v>32422</v>
      </c>
      <c r="K9754" s="0" t="s">
        <v>32423</v>
      </c>
      <c r="L9754" s="0" t="str">
        <f aca="false">HYPERLINK("https://www.ncbi.nlm.nih.gov/nuccore/CP000058.1?report=graph&amp;tracks=[key:gene_model_track,Options:GeneOnly]&amp;mk=3076079:3076098|offset_10|444444,3076051:3076070|offset_38|444444,3076010:3076029|offset_79|00cc00,3075965:3075984|offset_124|444444&amp;v=3075878:3076184&amp;c=444444", "offset 79")</f>
        <v>offset 79</v>
      </c>
    </row>
    <row r="9755" customFormat="false" ht="12.8" hidden="false" customHeight="false" outlineLevel="0" collapsed="false">
      <c r="A9755" s="0" t="s">
        <v>12</v>
      </c>
      <c r="B9755" s="0" t="n">
        <v>3075964</v>
      </c>
      <c r="C9755" s="0" t="n">
        <v>3075984</v>
      </c>
      <c r="D9755" s="0" t="s">
        <v>32414</v>
      </c>
      <c r="E9755" s="0" t="s">
        <v>75</v>
      </c>
      <c r="F9755" s="0" t="s">
        <v>90</v>
      </c>
      <c r="G9755" s="0" t="s">
        <v>32</v>
      </c>
      <c r="H9755" s="0" t="n">
        <v>124</v>
      </c>
      <c r="I9755" s="0" t="s">
        <v>32424</v>
      </c>
      <c r="J9755" s="0" t="s">
        <v>32425</v>
      </c>
      <c r="K9755" s="0" t="s">
        <v>32426</v>
      </c>
      <c r="L9755" s="0" t="str">
        <f aca="false">HYPERLINK("https://www.ncbi.nlm.nih.gov/nuccore/CP000058.1?report=graph&amp;tracks=[key:gene_model_track,Options:GeneOnly]&amp;mk=3076079:3076098|offset_10|444444,3076051:3076070|offset_38|444444,3076010:3076029|offset_79|444444,3075965:3075984|offset_124|00cc00&amp;v=3075878:3076184&amp;c=444444", "offset 124")</f>
        <v>offset 124</v>
      </c>
    </row>
    <row r="9756" customFormat="false" ht="12.8" hidden="false" customHeight="false" outlineLevel="0" collapsed="false">
      <c r="A9756" s="0" t="s">
        <v>12</v>
      </c>
      <c r="B9756" s="0" t="n">
        <v>3077318</v>
      </c>
      <c r="C9756" s="0" t="n">
        <v>3077338</v>
      </c>
      <c r="D9756" s="0" t="s">
        <v>32427</v>
      </c>
      <c r="E9756" s="0" t="s">
        <v>75</v>
      </c>
      <c r="F9756" s="0" t="s">
        <v>90</v>
      </c>
      <c r="G9756" s="0" t="s">
        <v>32</v>
      </c>
      <c r="H9756" s="0" t="n">
        <v>16</v>
      </c>
      <c r="I9756" s="0" t="s">
        <v>32428</v>
      </c>
      <c r="J9756" s="0" t="s">
        <v>32429</v>
      </c>
      <c r="K9756" s="0" t="s">
        <v>32430</v>
      </c>
      <c r="L9756" s="0" t="str">
        <f aca="false">HYPERLINK("https://www.ncbi.nlm.nih.gov/nuccore/CP000058.1?report=graph&amp;tracks=[key:gene_model_track,Options:GeneOnly]&amp;mk=3077319:3077338|offset_16|00cc00,3077279:3077298|offset_56|444444,3077229:3077248|offset_106|444444,3077187:3077206|offset_148|444444&amp;v=3077118:3077406&amp;c=444444", "offset 16")</f>
        <v>offset 16</v>
      </c>
    </row>
    <row r="9757" customFormat="false" ht="12.8" hidden="false" customHeight="false" outlineLevel="0" collapsed="false">
      <c r="A9757" s="0" t="s">
        <v>12</v>
      </c>
      <c r="B9757" s="0" t="n">
        <v>3077278</v>
      </c>
      <c r="C9757" s="0" t="n">
        <v>3077298</v>
      </c>
      <c r="D9757" s="0" t="s">
        <v>32427</v>
      </c>
      <c r="E9757" s="0" t="s">
        <v>75</v>
      </c>
      <c r="F9757" s="0" t="s">
        <v>90</v>
      </c>
      <c r="G9757" s="0" t="s">
        <v>32</v>
      </c>
      <c r="H9757" s="0" t="n">
        <v>56</v>
      </c>
      <c r="I9757" s="0" t="s">
        <v>32431</v>
      </c>
      <c r="J9757" s="0" t="s">
        <v>32432</v>
      </c>
      <c r="K9757" s="0" t="s">
        <v>32433</v>
      </c>
      <c r="L9757" s="0" t="str">
        <f aca="false">HYPERLINK("https://www.ncbi.nlm.nih.gov/nuccore/CP000058.1?report=graph&amp;tracks=[key:gene_model_track,Options:GeneOnly]&amp;mk=3077319:3077338|offset_16|444444,3077279:3077298|offset_56|00cc00,3077229:3077248|offset_106|444444,3077187:3077206|offset_148|444444&amp;v=3077118:3077406&amp;c=444444", "offset 56")</f>
        <v>offset 56</v>
      </c>
    </row>
    <row r="9758" customFormat="false" ht="12.8" hidden="false" customHeight="false" outlineLevel="0" collapsed="false">
      <c r="A9758" s="0" t="s">
        <v>12</v>
      </c>
      <c r="B9758" s="0" t="n">
        <v>3077228</v>
      </c>
      <c r="C9758" s="0" t="n">
        <v>3077248</v>
      </c>
      <c r="D9758" s="0" t="s">
        <v>32427</v>
      </c>
      <c r="E9758" s="0" t="s">
        <v>75</v>
      </c>
      <c r="F9758" s="0" t="s">
        <v>90</v>
      </c>
      <c r="G9758" s="0" t="s">
        <v>32</v>
      </c>
      <c r="H9758" s="0" t="n">
        <v>106</v>
      </c>
      <c r="I9758" s="0" t="s">
        <v>32434</v>
      </c>
      <c r="J9758" s="0" t="s">
        <v>32435</v>
      </c>
      <c r="K9758" s="0" t="s">
        <v>32436</v>
      </c>
      <c r="L9758" s="0" t="str">
        <f aca="false">HYPERLINK("https://www.ncbi.nlm.nih.gov/nuccore/CP000058.1?report=graph&amp;tracks=[key:gene_model_track,Options:GeneOnly]&amp;mk=3077319:3077338|offset_16|444444,3077279:3077298|offset_56|444444,3077229:3077248|offset_106|00cc00,3077187:3077206|offset_148|444444&amp;v=3077118:3077406&amp;c=444444", "offset 106")</f>
        <v>offset 106</v>
      </c>
    </row>
    <row r="9759" customFormat="false" ht="12.8" hidden="false" customHeight="false" outlineLevel="0" collapsed="false">
      <c r="A9759" s="0" t="s">
        <v>12</v>
      </c>
      <c r="B9759" s="0" t="n">
        <v>3077186</v>
      </c>
      <c r="C9759" s="0" t="n">
        <v>3077206</v>
      </c>
      <c r="D9759" s="0" t="s">
        <v>32427</v>
      </c>
      <c r="E9759" s="0" t="s">
        <v>75</v>
      </c>
      <c r="F9759" s="0" t="s">
        <v>90</v>
      </c>
      <c r="G9759" s="0" t="s">
        <v>36</v>
      </c>
      <c r="H9759" s="0" t="n">
        <v>148</v>
      </c>
      <c r="I9759" s="0" t="s">
        <v>32437</v>
      </c>
      <c r="J9759" s="0" t="s">
        <v>32438</v>
      </c>
      <c r="K9759" s="0" t="s">
        <v>32439</v>
      </c>
      <c r="L9759" s="0" t="str">
        <f aca="false">HYPERLINK("https://www.ncbi.nlm.nih.gov/nuccore/CP000058.1?report=graph&amp;tracks=[key:gene_model_track,Options:GeneOnly]&amp;mk=3077319:3077338|offset_16|444444,3077279:3077298|offset_56|444444,3077229:3077248|offset_106|444444,3077187:3077206|offset_148|00cc00&amp;v=3077118:3077406&amp;c=444444", "offset 148")</f>
        <v>offset 148</v>
      </c>
    </row>
    <row r="9760" customFormat="false" ht="12.8" hidden="false" customHeight="false" outlineLevel="0" collapsed="false">
      <c r="A9760" s="0" t="s">
        <v>12</v>
      </c>
      <c r="B9760" s="0" t="n">
        <v>3078222</v>
      </c>
      <c r="C9760" s="0" t="n">
        <v>3078242</v>
      </c>
      <c r="D9760" s="0" t="s">
        <v>32440</v>
      </c>
      <c r="E9760" s="0" t="s">
        <v>75</v>
      </c>
      <c r="F9760" s="0" t="s">
        <v>15</v>
      </c>
      <c r="G9760" s="0" t="s">
        <v>36</v>
      </c>
      <c r="H9760" s="0" t="n">
        <v>10</v>
      </c>
      <c r="I9760" s="0" t="s">
        <v>32441</v>
      </c>
      <c r="J9760" s="0" t="s">
        <v>32442</v>
      </c>
      <c r="K9760" s="0" t="s">
        <v>32443</v>
      </c>
      <c r="L9760" s="0" t="str">
        <f aca="false">HYPERLINK("https://www.ncbi.nlm.nih.gov/nuccore/CP000058.1?report=graph&amp;tracks=[key:gene_model_track,Options:GeneOnly]&amp;mk=3078223:3078242|offset_10|00cc00,3078261:3078280|offset_48|444444,3078294:3078313|offset_81|444444,3078323:3078342|offset_110|444444&amp;v=3078022:3078542&amp;c=444444", "offset 10")</f>
        <v>offset 10</v>
      </c>
    </row>
    <row r="9761" customFormat="false" ht="12.8" hidden="false" customHeight="false" outlineLevel="0" collapsed="false">
      <c r="A9761" s="0" t="s">
        <v>12</v>
      </c>
      <c r="B9761" s="0" t="n">
        <v>3078260</v>
      </c>
      <c r="C9761" s="0" t="n">
        <v>3078280</v>
      </c>
      <c r="D9761" s="0" t="s">
        <v>32440</v>
      </c>
      <c r="E9761" s="0" t="s">
        <v>75</v>
      </c>
      <c r="F9761" s="0" t="s">
        <v>15</v>
      </c>
      <c r="G9761" s="0" t="s">
        <v>36</v>
      </c>
      <c r="H9761" s="0" t="n">
        <v>48</v>
      </c>
      <c r="I9761" s="0" t="s">
        <v>32444</v>
      </c>
      <c r="J9761" s="0" t="s">
        <v>32445</v>
      </c>
      <c r="K9761" s="0" t="s">
        <v>32446</v>
      </c>
      <c r="L9761" s="0" t="str">
        <f aca="false">HYPERLINK("https://www.ncbi.nlm.nih.gov/nuccore/CP000058.1?report=graph&amp;tracks=[key:gene_model_track,Options:GeneOnly]&amp;mk=3078223:3078242|offset_10|444444,3078261:3078280|offset_48|00cc00,3078294:3078313|offset_81|444444,3078323:3078342|offset_110|444444&amp;v=3078022:3078542&amp;c=444444", "offset 48")</f>
        <v>offset 48</v>
      </c>
    </row>
    <row r="9762" customFormat="false" ht="12.8" hidden="false" customHeight="false" outlineLevel="0" collapsed="false">
      <c r="A9762" s="0" t="s">
        <v>12</v>
      </c>
      <c r="B9762" s="0" t="n">
        <v>3078293</v>
      </c>
      <c r="C9762" s="0" t="n">
        <v>3078313</v>
      </c>
      <c r="D9762" s="0" t="s">
        <v>32440</v>
      </c>
      <c r="E9762" s="0" t="s">
        <v>75</v>
      </c>
      <c r="F9762" s="0" t="s">
        <v>15</v>
      </c>
      <c r="G9762" s="0" t="s">
        <v>36</v>
      </c>
      <c r="H9762" s="0" t="n">
        <v>81</v>
      </c>
      <c r="I9762" s="0" t="s">
        <v>32447</v>
      </c>
      <c r="J9762" s="0" t="s">
        <v>32448</v>
      </c>
      <c r="K9762" s="0" t="s">
        <v>32449</v>
      </c>
      <c r="L9762" s="0" t="str">
        <f aca="false">HYPERLINK("https://www.ncbi.nlm.nih.gov/nuccore/CP000058.1?report=graph&amp;tracks=[key:gene_model_track,Options:GeneOnly]&amp;mk=3078223:3078242|offset_10|444444,3078261:3078280|offset_48|444444,3078294:3078313|offset_81|00cc00,3078323:3078342|offset_110|444444&amp;v=3078022:3078542&amp;c=444444", "offset 81")</f>
        <v>offset 81</v>
      </c>
    </row>
    <row r="9763" customFormat="false" ht="12.8" hidden="false" customHeight="false" outlineLevel="0" collapsed="false">
      <c r="A9763" s="0" t="s">
        <v>12</v>
      </c>
      <c r="B9763" s="0" t="n">
        <v>3078322</v>
      </c>
      <c r="C9763" s="0" t="n">
        <v>3078342</v>
      </c>
      <c r="D9763" s="0" t="s">
        <v>32440</v>
      </c>
      <c r="E9763" s="0" t="s">
        <v>75</v>
      </c>
      <c r="F9763" s="0" t="s">
        <v>15</v>
      </c>
      <c r="G9763" s="0" t="s">
        <v>20</v>
      </c>
      <c r="H9763" s="0" t="n">
        <v>110</v>
      </c>
      <c r="I9763" s="0" t="s">
        <v>32450</v>
      </c>
      <c r="J9763" s="0" t="s">
        <v>32451</v>
      </c>
      <c r="K9763" s="0" t="s">
        <v>32452</v>
      </c>
      <c r="L9763" s="0" t="str">
        <f aca="false">HYPERLINK("https://www.ncbi.nlm.nih.gov/nuccore/CP000058.1?report=graph&amp;tracks=[key:gene_model_track,Options:GeneOnly]&amp;mk=3078223:3078242|offset_10|444444,3078261:3078280|offset_48|444444,3078294:3078313|offset_81|444444,3078323:3078342|offset_110|00cc00&amp;v=3078022:3078542&amp;c=444444", "offset 110")</f>
        <v>offset 110</v>
      </c>
    </row>
    <row r="9764" customFormat="false" ht="12.8" hidden="false" customHeight="false" outlineLevel="0" collapsed="false">
      <c r="A9764" s="0" t="s">
        <v>12</v>
      </c>
      <c r="B9764" s="0" t="n">
        <v>3079025</v>
      </c>
      <c r="C9764" s="0" t="n">
        <v>3079045</v>
      </c>
      <c r="D9764" s="0" t="s">
        <v>32453</v>
      </c>
      <c r="E9764" s="0" t="s">
        <v>75</v>
      </c>
      <c r="F9764" s="0" t="s">
        <v>15</v>
      </c>
      <c r="G9764" s="0" t="s">
        <v>20</v>
      </c>
      <c r="H9764" s="0" t="n">
        <v>15</v>
      </c>
      <c r="I9764" s="0" t="s">
        <v>32454</v>
      </c>
      <c r="J9764" s="0" t="s">
        <v>32455</v>
      </c>
      <c r="K9764" s="0" t="s">
        <v>32456</v>
      </c>
      <c r="L9764" s="0" t="str">
        <f aca="false">HYPERLINK("https://www.ncbi.nlm.nih.gov/nuccore/CP000058.1?report=graph&amp;tracks=[key:gene_model_track,Options:GeneOnly]&amp;mk=3079026:3079045|offset_15|00cc00,3079046:3079065|offset_35|444444,3079114:3079133|offset_103|444444,3079141:3079160|offset_130|444444&amp;v=3078825:3079360&amp;c=444444", "offset 15")</f>
        <v>offset 15</v>
      </c>
    </row>
    <row r="9765" customFormat="false" ht="12.8" hidden="false" customHeight="false" outlineLevel="0" collapsed="false">
      <c r="A9765" s="0" t="s">
        <v>12</v>
      </c>
      <c r="B9765" s="0" t="n">
        <v>3079045</v>
      </c>
      <c r="C9765" s="0" t="n">
        <v>3079065</v>
      </c>
      <c r="D9765" s="0" t="s">
        <v>32453</v>
      </c>
      <c r="E9765" s="0" t="s">
        <v>75</v>
      </c>
      <c r="F9765" s="0" t="s">
        <v>15</v>
      </c>
      <c r="G9765" s="0" t="s">
        <v>20</v>
      </c>
      <c r="H9765" s="0" t="n">
        <v>35</v>
      </c>
      <c r="I9765" s="0" t="s">
        <v>32457</v>
      </c>
      <c r="J9765" s="0" t="s">
        <v>32458</v>
      </c>
      <c r="K9765" s="0" t="s">
        <v>32459</v>
      </c>
      <c r="L9765" s="0" t="str">
        <f aca="false">HYPERLINK("https://www.ncbi.nlm.nih.gov/nuccore/CP000058.1?report=graph&amp;tracks=[key:gene_model_track,Options:GeneOnly]&amp;mk=3079026:3079045|offset_15|444444,3079046:3079065|offset_35|00cc00,3079114:3079133|offset_103|444444,3079141:3079160|offset_130|444444&amp;v=3078825:3079360&amp;c=444444", "offset 35")</f>
        <v>offset 35</v>
      </c>
    </row>
    <row r="9766" customFormat="false" ht="12.8" hidden="false" customHeight="false" outlineLevel="0" collapsed="false">
      <c r="A9766" s="0" t="s">
        <v>12</v>
      </c>
      <c r="B9766" s="0" t="n">
        <v>3079113</v>
      </c>
      <c r="C9766" s="0" t="n">
        <v>3079133</v>
      </c>
      <c r="D9766" s="0" t="s">
        <v>32453</v>
      </c>
      <c r="E9766" s="0" t="s">
        <v>75</v>
      </c>
      <c r="F9766" s="0" t="s">
        <v>15</v>
      </c>
      <c r="G9766" s="0" t="s">
        <v>20</v>
      </c>
      <c r="H9766" s="0" t="n">
        <v>103</v>
      </c>
      <c r="I9766" s="0" t="s">
        <v>32460</v>
      </c>
      <c r="J9766" s="0" t="s">
        <v>32461</v>
      </c>
      <c r="K9766" s="0" t="s">
        <v>32462</v>
      </c>
      <c r="L9766" s="0" t="str">
        <f aca="false">HYPERLINK("https://www.ncbi.nlm.nih.gov/nuccore/CP000058.1?report=graph&amp;tracks=[key:gene_model_track,Options:GeneOnly]&amp;mk=3079026:3079045|offset_15|444444,3079046:3079065|offset_35|444444,3079114:3079133|offset_103|00cc00,3079141:3079160|offset_130|444444&amp;v=3078825:3079360&amp;c=444444", "offset 103")</f>
        <v>offset 103</v>
      </c>
    </row>
    <row r="9767" customFormat="false" ht="12.8" hidden="false" customHeight="false" outlineLevel="0" collapsed="false">
      <c r="A9767" s="0" t="s">
        <v>12</v>
      </c>
      <c r="B9767" s="0" t="n">
        <v>3079140</v>
      </c>
      <c r="C9767" s="0" t="n">
        <v>3079160</v>
      </c>
      <c r="D9767" s="0" t="s">
        <v>32453</v>
      </c>
      <c r="E9767" s="0" t="s">
        <v>75</v>
      </c>
      <c r="F9767" s="0" t="s">
        <v>15</v>
      </c>
      <c r="G9767" s="0" t="s">
        <v>32</v>
      </c>
      <c r="H9767" s="0" t="n">
        <v>130</v>
      </c>
      <c r="I9767" s="0" t="s">
        <v>32463</v>
      </c>
      <c r="J9767" s="0" t="s">
        <v>32464</v>
      </c>
      <c r="K9767" s="0" t="s">
        <v>32465</v>
      </c>
      <c r="L9767" s="0" t="str">
        <f aca="false">HYPERLINK("https://www.ncbi.nlm.nih.gov/nuccore/CP000058.1?report=graph&amp;tracks=[key:gene_model_track,Options:GeneOnly]&amp;mk=3079026:3079045|offset_15|444444,3079046:3079065|offset_35|444444,3079114:3079133|offset_103|444444,3079141:3079160|offset_130|00cc00&amp;v=3078825:3079360&amp;c=444444", "offset 130")</f>
        <v>offset 130</v>
      </c>
    </row>
    <row r="9768" customFormat="false" ht="12.8" hidden="false" customHeight="false" outlineLevel="0" collapsed="false">
      <c r="A9768" s="0" t="s">
        <v>12</v>
      </c>
      <c r="B9768" s="0" t="n">
        <v>3079701</v>
      </c>
      <c r="C9768" s="0" t="n">
        <v>3079721</v>
      </c>
      <c r="D9768" s="0" t="s">
        <v>32466</v>
      </c>
      <c r="E9768" s="0" t="s">
        <v>75</v>
      </c>
      <c r="F9768" s="0" t="s">
        <v>15</v>
      </c>
      <c r="G9768" s="0" t="s">
        <v>32</v>
      </c>
      <c r="H9768" s="0" t="n">
        <v>7</v>
      </c>
      <c r="I9768" s="0" t="s">
        <v>32467</v>
      </c>
      <c r="J9768" s="0" t="s">
        <v>32468</v>
      </c>
      <c r="K9768" s="0" t="s">
        <v>32469</v>
      </c>
      <c r="L9768" s="0" t="str">
        <f aca="false">HYPERLINK("https://www.ncbi.nlm.nih.gov/nuccore/CP000058.1?report=graph&amp;tracks=[key:gene_model_track,Options:GeneOnly]&amp;mk=3079702:3079721|offset_7|00cc00,3079741:3079760|offset_46|444444,3079761:3079780|offset_66|444444,3079794:3079813|offset_99|444444&amp;v=3079501:3080013&amp;c=444444", "offset 7")</f>
        <v>offset 7</v>
      </c>
    </row>
    <row r="9769" customFormat="false" ht="12.8" hidden="false" customHeight="false" outlineLevel="0" collapsed="false">
      <c r="A9769" s="0" t="s">
        <v>12</v>
      </c>
      <c r="B9769" s="0" t="n">
        <v>3079740</v>
      </c>
      <c r="C9769" s="0" t="n">
        <v>3079760</v>
      </c>
      <c r="D9769" s="0" t="s">
        <v>32466</v>
      </c>
      <c r="E9769" s="0" t="s">
        <v>75</v>
      </c>
      <c r="F9769" s="0" t="s">
        <v>15</v>
      </c>
      <c r="G9769" s="0" t="s">
        <v>16</v>
      </c>
      <c r="H9769" s="0" t="n">
        <v>46</v>
      </c>
      <c r="I9769" s="0" t="s">
        <v>32470</v>
      </c>
      <c r="J9769" s="0" t="s">
        <v>32471</v>
      </c>
      <c r="K9769" s="0" t="s">
        <v>32472</v>
      </c>
      <c r="L9769" s="0" t="str">
        <f aca="false">HYPERLINK("https://www.ncbi.nlm.nih.gov/nuccore/CP000058.1?report=graph&amp;tracks=[key:gene_model_track,Options:GeneOnly]&amp;mk=3079702:3079721|offset_7|444444,3079741:3079760|offset_46|00cc00,3079761:3079780|offset_66|444444,3079794:3079813|offset_99|444444&amp;v=3079501:3080013&amp;c=444444", "offset 46")</f>
        <v>offset 46</v>
      </c>
    </row>
    <row r="9770" customFormat="false" ht="12.8" hidden="false" customHeight="false" outlineLevel="0" collapsed="false">
      <c r="A9770" s="0" t="s">
        <v>12</v>
      </c>
      <c r="B9770" s="0" t="n">
        <v>3079760</v>
      </c>
      <c r="C9770" s="0" t="n">
        <v>3079780</v>
      </c>
      <c r="D9770" s="0" t="s">
        <v>32466</v>
      </c>
      <c r="E9770" s="0" t="s">
        <v>75</v>
      </c>
      <c r="F9770" s="0" t="s">
        <v>15</v>
      </c>
      <c r="G9770" s="0" t="s">
        <v>16</v>
      </c>
      <c r="H9770" s="0" t="n">
        <v>66</v>
      </c>
      <c r="I9770" s="0" t="s">
        <v>32473</v>
      </c>
      <c r="J9770" s="0" t="s">
        <v>32474</v>
      </c>
      <c r="K9770" s="0" t="s">
        <v>32475</v>
      </c>
      <c r="L9770" s="0" t="str">
        <f aca="false">HYPERLINK("https://www.ncbi.nlm.nih.gov/nuccore/CP000058.1?report=graph&amp;tracks=[key:gene_model_track,Options:GeneOnly]&amp;mk=3079702:3079721|offset_7|444444,3079741:3079760|offset_46|444444,3079761:3079780|offset_66|00cc00,3079794:3079813|offset_99|444444&amp;v=3079501:3080013&amp;c=444444", "offset 66")</f>
        <v>offset 66</v>
      </c>
    </row>
    <row r="9771" customFormat="false" ht="12.8" hidden="false" customHeight="false" outlineLevel="0" collapsed="false">
      <c r="A9771" s="0" t="s">
        <v>12</v>
      </c>
      <c r="B9771" s="0" t="n">
        <v>3079793</v>
      </c>
      <c r="C9771" s="0" t="n">
        <v>3079813</v>
      </c>
      <c r="D9771" s="0" t="s">
        <v>32466</v>
      </c>
      <c r="E9771" s="0" t="s">
        <v>75</v>
      </c>
      <c r="F9771" s="0" t="s">
        <v>15</v>
      </c>
      <c r="G9771" s="0" t="s">
        <v>20</v>
      </c>
      <c r="H9771" s="0" t="n">
        <v>99</v>
      </c>
      <c r="I9771" s="0" t="s">
        <v>32476</v>
      </c>
      <c r="J9771" s="0" t="s">
        <v>32477</v>
      </c>
      <c r="K9771" s="0" t="s">
        <v>32478</v>
      </c>
      <c r="L9771" s="0" t="str">
        <f aca="false">HYPERLINK("https://www.ncbi.nlm.nih.gov/nuccore/CP000058.1?report=graph&amp;tracks=[key:gene_model_track,Options:GeneOnly]&amp;mk=3079702:3079721|offset_7|444444,3079741:3079760|offset_46|444444,3079761:3079780|offset_66|444444,3079794:3079813|offset_99|00cc00&amp;v=3079501:3080013&amp;c=444444", "offset 99")</f>
        <v>offset 99</v>
      </c>
    </row>
    <row r="9772" customFormat="false" ht="12.8" hidden="false" customHeight="false" outlineLevel="0" collapsed="false">
      <c r="A9772" s="0" t="s">
        <v>12</v>
      </c>
      <c r="B9772" s="0" t="n">
        <v>3080205</v>
      </c>
      <c r="C9772" s="0" t="n">
        <v>3080225</v>
      </c>
      <c r="D9772" s="0" t="s">
        <v>32479</v>
      </c>
      <c r="E9772" s="0" t="s">
        <v>75</v>
      </c>
      <c r="F9772" s="0" t="s">
        <v>15</v>
      </c>
      <c r="G9772" s="0" t="s">
        <v>32</v>
      </c>
      <c r="H9772" s="0" t="n">
        <v>9</v>
      </c>
      <c r="I9772" s="0" t="s">
        <v>32480</v>
      </c>
      <c r="J9772" s="0" t="s">
        <v>32481</v>
      </c>
      <c r="K9772" s="0" t="s">
        <v>32482</v>
      </c>
      <c r="L9772" s="0" t="str">
        <f aca="false">HYPERLINK("https://www.ncbi.nlm.nih.gov/nuccore/CP000058.1?report=graph&amp;tracks=[key:gene_model_track,Options:GeneOnly]&amp;mk=3080206:3080225|offset_9|00cc00,3080237:3080256|offset_40|444444,3080268:3080287|offset_71|444444,3080304:3080323|offset_107|444444&amp;v=3080005:3080523&amp;c=444444", "offset 9")</f>
        <v>offset 9</v>
      </c>
    </row>
    <row r="9773" customFormat="false" ht="12.8" hidden="false" customHeight="false" outlineLevel="0" collapsed="false">
      <c r="A9773" s="0" t="s">
        <v>12</v>
      </c>
      <c r="B9773" s="0" t="n">
        <v>3080236</v>
      </c>
      <c r="C9773" s="0" t="n">
        <v>3080256</v>
      </c>
      <c r="D9773" s="0" t="s">
        <v>32479</v>
      </c>
      <c r="E9773" s="0" t="s">
        <v>75</v>
      </c>
      <c r="F9773" s="0" t="s">
        <v>15</v>
      </c>
      <c r="G9773" s="0" t="s">
        <v>20</v>
      </c>
      <c r="H9773" s="0" t="n">
        <v>40</v>
      </c>
      <c r="I9773" s="0" t="s">
        <v>32483</v>
      </c>
      <c r="J9773" s="0" t="s">
        <v>32484</v>
      </c>
      <c r="K9773" s="0" t="s">
        <v>32485</v>
      </c>
      <c r="L9773" s="0" t="str">
        <f aca="false">HYPERLINK("https://www.ncbi.nlm.nih.gov/nuccore/CP000058.1?report=graph&amp;tracks=[key:gene_model_track,Options:GeneOnly]&amp;mk=3080206:3080225|offset_9|444444,3080237:3080256|offset_40|00cc00,3080268:3080287|offset_71|444444,3080304:3080323|offset_107|444444&amp;v=3080005:3080523&amp;c=444444", "offset 40")</f>
        <v>offset 40</v>
      </c>
    </row>
    <row r="9774" customFormat="false" ht="12.8" hidden="false" customHeight="false" outlineLevel="0" collapsed="false">
      <c r="A9774" s="0" t="s">
        <v>12</v>
      </c>
      <c r="B9774" s="0" t="n">
        <v>3080267</v>
      </c>
      <c r="C9774" s="0" t="n">
        <v>3080287</v>
      </c>
      <c r="D9774" s="0" t="s">
        <v>32479</v>
      </c>
      <c r="E9774" s="0" t="s">
        <v>75</v>
      </c>
      <c r="F9774" s="0" t="s">
        <v>15</v>
      </c>
      <c r="G9774" s="0" t="s">
        <v>32</v>
      </c>
      <c r="H9774" s="0" t="n">
        <v>71</v>
      </c>
      <c r="I9774" s="0" t="s">
        <v>32486</v>
      </c>
      <c r="J9774" s="0" t="s">
        <v>32487</v>
      </c>
      <c r="K9774" s="0" t="s">
        <v>32488</v>
      </c>
      <c r="L9774" s="0" t="str">
        <f aca="false">HYPERLINK("https://www.ncbi.nlm.nih.gov/nuccore/CP000058.1?report=graph&amp;tracks=[key:gene_model_track,Options:GeneOnly]&amp;mk=3080206:3080225|offset_9|444444,3080237:3080256|offset_40|444444,3080268:3080287|offset_71|00cc00,3080304:3080323|offset_107|444444&amp;v=3080005:3080523&amp;c=444444", "offset 71")</f>
        <v>offset 71</v>
      </c>
    </row>
    <row r="9775" customFormat="false" ht="12.8" hidden="false" customHeight="false" outlineLevel="0" collapsed="false">
      <c r="A9775" s="0" t="s">
        <v>12</v>
      </c>
      <c r="B9775" s="0" t="n">
        <v>3080303</v>
      </c>
      <c r="C9775" s="0" t="n">
        <v>3080323</v>
      </c>
      <c r="D9775" s="0" t="s">
        <v>32479</v>
      </c>
      <c r="E9775" s="0" t="s">
        <v>75</v>
      </c>
      <c r="F9775" s="0" t="s">
        <v>15</v>
      </c>
      <c r="G9775" s="0" t="s">
        <v>32</v>
      </c>
      <c r="H9775" s="0" t="n">
        <v>107</v>
      </c>
      <c r="I9775" s="0" t="s">
        <v>32489</v>
      </c>
      <c r="J9775" s="0" t="s">
        <v>32490</v>
      </c>
      <c r="K9775" s="0" t="s">
        <v>32491</v>
      </c>
      <c r="L9775" s="0" t="str">
        <f aca="false">HYPERLINK("https://www.ncbi.nlm.nih.gov/nuccore/CP000058.1?report=graph&amp;tracks=[key:gene_model_track,Options:GeneOnly]&amp;mk=3080206:3080225|offset_9|444444,3080237:3080256|offset_40|444444,3080268:3080287|offset_71|444444,3080304:3080323|offset_107|00cc00&amp;v=3080005:3080523&amp;c=444444", "offset 107")</f>
        <v>offset 107</v>
      </c>
    </row>
    <row r="9776" customFormat="false" ht="12.8" hidden="false" customHeight="false" outlineLevel="0" collapsed="false">
      <c r="A9776" s="0" t="s">
        <v>12</v>
      </c>
      <c r="B9776" s="0" t="n">
        <v>3080783</v>
      </c>
      <c r="C9776" s="0" t="n">
        <v>3080803</v>
      </c>
      <c r="D9776" s="0" t="s">
        <v>32492</v>
      </c>
      <c r="E9776" s="0" t="s">
        <v>75</v>
      </c>
      <c r="F9776" s="0" t="s">
        <v>15</v>
      </c>
      <c r="G9776" s="0" t="s">
        <v>16</v>
      </c>
      <c r="H9776" s="0" t="n">
        <v>25</v>
      </c>
      <c r="I9776" s="0" t="s">
        <v>32493</v>
      </c>
      <c r="J9776" s="0" t="s">
        <v>32494</v>
      </c>
      <c r="K9776" s="0" t="s">
        <v>32495</v>
      </c>
      <c r="L9776" s="0" t="str">
        <f aca="false">HYPERLINK("https://www.ncbi.nlm.nih.gov/nuccore/CP000058.1?report=graph&amp;tracks=[key:gene_model_track,Options:GeneOnly]&amp;mk=3080784:3080803|offset_25|00cc00,3080825:3080844|offset_66|444444,3080847:3080866|offset_88|444444,3080868:3080887|offset_109|444444&amp;v=3080583:3081087&amp;c=444444", "offset 25")</f>
        <v>offset 25</v>
      </c>
    </row>
    <row r="9777" customFormat="false" ht="12.8" hidden="false" customHeight="false" outlineLevel="0" collapsed="false">
      <c r="A9777" s="0" t="s">
        <v>12</v>
      </c>
      <c r="B9777" s="0" t="n">
        <v>3080824</v>
      </c>
      <c r="C9777" s="0" t="n">
        <v>3080844</v>
      </c>
      <c r="D9777" s="0" t="s">
        <v>32492</v>
      </c>
      <c r="E9777" s="0" t="s">
        <v>75</v>
      </c>
      <c r="F9777" s="0" t="s">
        <v>15</v>
      </c>
      <c r="G9777" s="0" t="s">
        <v>32</v>
      </c>
      <c r="H9777" s="0" t="n">
        <v>66</v>
      </c>
      <c r="I9777" s="0" t="s">
        <v>32496</v>
      </c>
      <c r="J9777" s="0" t="s">
        <v>32497</v>
      </c>
      <c r="K9777" s="0" t="s">
        <v>32498</v>
      </c>
      <c r="L9777" s="0" t="str">
        <f aca="false">HYPERLINK("https://www.ncbi.nlm.nih.gov/nuccore/CP000058.1?report=graph&amp;tracks=[key:gene_model_track,Options:GeneOnly]&amp;mk=3080784:3080803|offset_25|444444,3080825:3080844|offset_66|00cc00,3080847:3080866|offset_88|444444,3080868:3080887|offset_109|444444&amp;v=3080583:3081087&amp;c=444444", "offset 66")</f>
        <v>offset 66</v>
      </c>
    </row>
    <row r="9778" customFormat="false" ht="12.8" hidden="false" customHeight="false" outlineLevel="0" collapsed="false">
      <c r="A9778" s="0" t="s">
        <v>12</v>
      </c>
      <c r="B9778" s="0" t="n">
        <v>3080846</v>
      </c>
      <c r="C9778" s="0" t="n">
        <v>3080866</v>
      </c>
      <c r="D9778" s="0" t="s">
        <v>32492</v>
      </c>
      <c r="E9778" s="0" t="s">
        <v>75</v>
      </c>
      <c r="F9778" s="0" t="s">
        <v>15</v>
      </c>
      <c r="G9778" s="0" t="s">
        <v>32</v>
      </c>
      <c r="H9778" s="0" t="n">
        <v>88</v>
      </c>
      <c r="I9778" s="0" t="s">
        <v>32499</v>
      </c>
      <c r="J9778" s="0" t="s">
        <v>32500</v>
      </c>
      <c r="K9778" s="0" t="s">
        <v>32501</v>
      </c>
      <c r="L9778" s="0" t="str">
        <f aca="false">HYPERLINK("https://www.ncbi.nlm.nih.gov/nuccore/CP000058.1?report=graph&amp;tracks=[key:gene_model_track,Options:GeneOnly]&amp;mk=3080784:3080803|offset_25|444444,3080825:3080844|offset_66|444444,3080847:3080866|offset_88|00cc00,3080868:3080887|offset_109|444444&amp;v=3080583:3081087&amp;c=444444", "offset 88")</f>
        <v>offset 88</v>
      </c>
    </row>
    <row r="9779" customFormat="false" ht="12.8" hidden="false" customHeight="false" outlineLevel="0" collapsed="false">
      <c r="A9779" s="0" t="s">
        <v>12</v>
      </c>
      <c r="B9779" s="0" t="n">
        <v>3080867</v>
      </c>
      <c r="C9779" s="0" t="n">
        <v>3080887</v>
      </c>
      <c r="D9779" s="0" t="s">
        <v>32492</v>
      </c>
      <c r="E9779" s="0" t="s">
        <v>75</v>
      </c>
      <c r="F9779" s="0" t="s">
        <v>15</v>
      </c>
      <c r="G9779" s="0" t="s">
        <v>36</v>
      </c>
      <c r="H9779" s="0" t="n">
        <v>109</v>
      </c>
      <c r="I9779" s="0" t="s">
        <v>32502</v>
      </c>
      <c r="J9779" s="0" t="s">
        <v>32503</v>
      </c>
      <c r="K9779" s="0" t="s">
        <v>32504</v>
      </c>
      <c r="L9779" s="0" t="str">
        <f aca="false">HYPERLINK("https://www.ncbi.nlm.nih.gov/nuccore/CP000058.1?report=graph&amp;tracks=[key:gene_model_track,Options:GeneOnly]&amp;mk=3080784:3080803|offset_25|444444,3080825:3080844|offset_66|444444,3080847:3080866|offset_88|444444,3080868:3080887|offset_109|00cc00&amp;v=3080583:3081087&amp;c=444444", "offset 109")</f>
        <v>offset 109</v>
      </c>
    </row>
    <row r="9780" customFormat="false" ht="12.8" hidden="false" customHeight="false" outlineLevel="0" collapsed="false">
      <c r="A9780" s="0" t="s">
        <v>12</v>
      </c>
      <c r="B9780" s="0" t="n">
        <v>3082628</v>
      </c>
      <c r="C9780" s="0" t="n">
        <v>3082648</v>
      </c>
      <c r="D9780" s="0" t="s">
        <v>32505</v>
      </c>
      <c r="E9780" s="0" t="s">
        <v>75</v>
      </c>
      <c r="F9780" s="0" t="s">
        <v>15</v>
      </c>
      <c r="G9780" s="0" t="s">
        <v>20</v>
      </c>
      <c r="H9780" s="0" t="n">
        <v>15</v>
      </c>
      <c r="I9780" s="0" t="s">
        <v>32506</v>
      </c>
      <c r="J9780" s="0" t="s">
        <v>32507</v>
      </c>
      <c r="K9780" s="0" t="s">
        <v>32508</v>
      </c>
      <c r="L9780" s="0" t="str">
        <f aca="false">HYPERLINK("https://www.ncbi.nlm.nih.gov/nuccore/CP000058.1?report=graph&amp;tracks=[key:gene_model_track,Options:GeneOnly]&amp;mk=3082629:3082648|offset_15|00cc00,3082658:3082677|offset_44|444444,3082681:3082700|offset_67|444444,3082762:3082781|offset_148|444444&amp;v=3082428:3082981&amp;c=444444", "offset 15")</f>
        <v>offset 15</v>
      </c>
    </row>
    <row r="9781" customFormat="false" ht="12.8" hidden="false" customHeight="false" outlineLevel="0" collapsed="false">
      <c r="A9781" s="0" t="s">
        <v>12</v>
      </c>
      <c r="B9781" s="0" t="n">
        <v>3082657</v>
      </c>
      <c r="C9781" s="0" t="n">
        <v>3082677</v>
      </c>
      <c r="D9781" s="0" t="s">
        <v>32505</v>
      </c>
      <c r="E9781" s="0" t="s">
        <v>75</v>
      </c>
      <c r="F9781" s="0" t="s">
        <v>15</v>
      </c>
      <c r="G9781" s="0" t="s">
        <v>20</v>
      </c>
      <c r="H9781" s="0" t="n">
        <v>44</v>
      </c>
      <c r="I9781" s="0" t="s">
        <v>32509</v>
      </c>
      <c r="J9781" s="0" t="s">
        <v>32510</v>
      </c>
      <c r="K9781" s="0" t="s">
        <v>32511</v>
      </c>
      <c r="L9781" s="0" t="str">
        <f aca="false">HYPERLINK("https://www.ncbi.nlm.nih.gov/nuccore/CP000058.1?report=graph&amp;tracks=[key:gene_model_track,Options:GeneOnly]&amp;mk=3082629:3082648|offset_15|444444,3082658:3082677|offset_44|00cc00,3082681:3082700|offset_67|444444,3082762:3082781|offset_148|444444&amp;v=3082428:3082981&amp;c=444444", "offset 44")</f>
        <v>offset 44</v>
      </c>
    </row>
    <row r="9782" customFormat="false" ht="12.8" hidden="false" customHeight="false" outlineLevel="0" collapsed="false">
      <c r="A9782" s="0" t="s">
        <v>12</v>
      </c>
      <c r="B9782" s="0" t="n">
        <v>3082680</v>
      </c>
      <c r="C9782" s="0" t="n">
        <v>3082700</v>
      </c>
      <c r="D9782" s="0" t="s">
        <v>32505</v>
      </c>
      <c r="E9782" s="0" t="s">
        <v>75</v>
      </c>
      <c r="F9782" s="0" t="s">
        <v>15</v>
      </c>
      <c r="G9782" s="0" t="s">
        <v>32</v>
      </c>
      <c r="H9782" s="0" t="n">
        <v>67</v>
      </c>
      <c r="I9782" s="0" t="s">
        <v>32512</v>
      </c>
      <c r="J9782" s="0" t="s">
        <v>32513</v>
      </c>
      <c r="K9782" s="0" t="s">
        <v>32514</v>
      </c>
      <c r="L9782" s="0" t="str">
        <f aca="false">HYPERLINK("https://www.ncbi.nlm.nih.gov/nuccore/CP000058.1?report=graph&amp;tracks=[key:gene_model_track,Options:GeneOnly]&amp;mk=3082629:3082648|offset_15|444444,3082658:3082677|offset_44|444444,3082681:3082700|offset_67|00cc00,3082762:3082781|offset_148|444444&amp;v=3082428:3082981&amp;c=444444", "offset 67")</f>
        <v>offset 67</v>
      </c>
    </row>
    <row r="9783" customFormat="false" ht="12.8" hidden="false" customHeight="false" outlineLevel="0" collapsed="false">
      <c r="A9783" s="0" t="s">
        <v>12</v>
      </c>
      <c r="B9783" s="0" t="n">
        <v>3082761</v>
      </c>
      <c r="C9783" s="0" t="n">
        <v>3082781</v>
      </c>
      <c r="D9783" s="0" t="s">
        <v>32505</v>
      </c>
      <c r="E9783" s="0" t="s">
        <v>75</v>
      </c>
      <c r="F9783" s="0" t="s">
        <v>15</v>
      </c>
      <c r="G9783" s="0" t="s">
        <v>32</v>
      </c>
      <c r="H9783" s="0" t="n">
        <v>148</v>
      </c>
      <c r="I9783" s="0" t="s">
        <v>32515</v>
      </c>
      <c r="J9783" s="0" t="s">
        <v>32516</v>
      </c>
      <c r="K9783" s="0" t="s">
        <v>32517</v>
      </c>
      <c r="L9783" s="0" t="str">
        <f aca="false">HYPERLINK("https://www.ncbi.nlm.nih.gov/nuccore/CP000058.1?report=graph&amp;tracks=[key:gene_model_track,Options:GeneOnly]&amp;mk=3082629:3082648|offset_15|444444,3082658:3082677|offset_44|444444,3082681:3082700|offset_67|444444,3082762:3082781|offset_148|00cc00&amp;v=3082428:3082981&amp;c=444444", "offset 148")</f>
        <v>offset 148</v>
      </c>
    </row>
    <row r="9784" customFormat="false" ht="12.8" hidden="false" customHeight="false" outlineLevel="0" collapsed="false">
      <c r="A9784" s="0" t="s">
        <v>12</v>
      </c>
      <c r="B9784" s="0" t="n">
        <v>3083556</v>
      </c>
      <c r="C9784" s="0" t="n">
        <v>3083576</v>
      </c>
      <c r="D9784" s="0" t="s">
        <v>32518</v>
      </c>
      <c r="E9784" s="0" t="s">
        <v>75</v>
      </c>
      <c r="F9784" s="0" t="s">
        <v>15</v>
      </c>
      <c r="G9784" s="0" t="s">
        <v>16</v>
      </c>
      <c r="H9784" s="0" t="n">
        <v>28</v>
      </c>
      <c r="I9784" s="0" t="s">
        <v>32519</v>
      </c>
      <c r="J9784" s="0" t="s">
        <v>32520</v>
      </c>
      <c r="K9784" s="0" t="s">
        <v>32521</v>
      </c>
      <c r="L9784" s="0" t="str">
        <f aca="false">HYPERLINK("https://www.ncbi.nlm.nih.gov/nuccore/CP000058.1?report=graph&amp;tracks=[key:gene_model_track,Options:GeneOnly]&amp;mk=3083557:3083576|offset_28|00cc00,3083597:3083616|offset_68|444444,3083716:3083735|offset_187|444444,3083750:3083769|offset_221|444444&amp;v=3083356:3083969&amp;c=444444", "offset 28")</f>
        <v>offset 28</v>
      </c>
    </row>
    <row r="9785" customFormat="false" ht="12.8" hidden="false" customHeight="false" outlineLevel="0" collapsed="false">
      <c r="A9785" s="0" t="s">
        <v>12</v>
      </c>
      <c r="B9785" s="0" t="n">
        <v>3083596</v>
      </c>
      <c r="C9785" s="0" t="n">
        <v>3083616</v>
      </c>
      <c r="D9785" s="0" t="s">
        <v>32518</v>
      </c>
      <c r="E9785" s="0" t="s">
        <v>75</v>
      </c>
      <c r="F9785" s="0" t="s">
        <v>15</v>
      </c>
      <c r="G9785" s="0" t="s">
        <v>20</v>
      </c>
      <c r="H9785" s="0" t="n">
        <v>68</v>
      </c>
      <c r="I9785" s="0" t="s">
        <v>32522</v>
      </c>
      <c r="J9785" s="0" t="s">
        <v>32523</v>
      </c>
      <c r="K9785" s="0" t="s">
        <v>32524</v>
      </c>
      <c r="L9785" s="0" t="str">
        <f aca="false">HYPERLINK("https://www.ncbi.nlm.nih.gov/nuccore/CP000058.1?report=graph&amp;tracks=[key:gene_model_track,Options:GeneOnly]&amp;mk=3083557:3083576|offset_28|444444,3083597:3083616|offset_68|00cc00,3083716:3083735|offset_187|444444,3083750:3083769|offset_221|444444&amp;v=3083356:3083969&amp;c=444444", "offset 68")</f>
        <v>offset 68</v>
      </c>
    </row>
    <row r="9786" customFormat="false" ht="12.8" hidden="false" customHeight="false" outlineLevel="0" collapsed="false">
      <c r="A9786" s="0" t="s">
        <v>12</v>
      </c>
      <c r="B9786" s="0" t="n">
        <v>3083715</v>
      </c>
      <c r="C9786" s="0" t="n">
        <v>3083735</v>
      </c>
      <c r="D9786" s="0" t="s">
        <v>32518</v>
      </c>
      <c r="E9786" s="0" t="s">
        <v>75</v>
      </c>
      <c r="F9786" s="0" t="s">
        <v>15</v>
      </c>
      <c r="G9786" s="0" t="s">
        <v>16</v>
      </c>
      <c r="H9786" s="0" t="n">
        <v>187</v>
      </c>
      <c r="I9786" s="0" t="s">
        <v>32525</v>
      </c>
      <c r="J9786" s="0" t="s">
        <v>32526</v>
      </c>
      <c r="K9786" s="0" t="s">
        <v>32527</v>
      </c>
      <c r="L9786" s="0" t="str">
        <f aca="false">HYPERLINK("https://www.ncbi.nlm.nih.gov/nuccore/CP000058.1?report=graph&amp;tracks=[key:gene_model_track,Options:GeneOnly]&amp;mk=3083557:3083576|offset_28|444444,3083597:3083616|offset_68|444444,3083716:3083735|offset_187|00cc00,3083750:3083769|offset_221|444444&amp;v=3083356:3083969&amp;c=444444", "offset 187")</f>
        <v>offset 187</v>
      </c>
    </row>
    <row r="9787" customFormat="false" ht="12.8" hidden="false" customHeight="false" outlineLevel="0" collapsed="false">
      <c r="A9787" s="0" t="s">
        <v>12</v>
      </c>
      <c r="B9787" s="0" t="n">
        <v>3083749</v>
      </c>
      <c r="C9787" s="0" t="n">
        <v>3083769</v>
      </c>
      <c r="D9787" s="0" t="s">
        <v>32518</v>
      </c>
      <c r="E9787" s="0" t="s">
        <v>75</v>
      </c>
      <c r="F9787" s="0" t="s">
        <v>15</v>
      </c>
      <c r="G9787" s="0" t="s">
        <v>20</v>
      </c>
      <c r="H9787" s="0" t="n">
        <v>221</v>
      </c>
      <c r="I9787" s="0" t="s">
        <v>32528</v>
      </c>
      <c r="J9787" s="0" t="s">
        <v>32529</v>
      </c>
      <c r="K9787" s="0" t="s">
        <v>32530</v>
      </c>
      <c r="L9787" s="0" t="str">
        <f aca="false">HYPERLINK("https://www.ncbi.nlm.nih.gov/nuccore/CP000058.1?report=graph&amp;tracks=[key:gene_model_track,Options:GeneOnly]&amp;mk=3083557:3083576|offset_28|444444,3083597:3083616|offset_68|444444,3083716:3083735|offset_187|444444,3083750:3083769|offset_221|00cc00&amp;v=3083356:3083969&amp;c=444444", "offset 221")</f>
        <v>offset 221</v>
      </c>
    </row>
    <row r="9788" customFormat="false" ht="12.8" hidden="false" customHeight="false" outlineLevel="0" collapsed="false">
      <c r="A9788" s="0" t="s">
        <v>12</v>
      </c>
      <c r="B9788" s="0" t="n">
        <v>3084212</v>
      </c>
      <c r="C9788" s="0" t="n">
        <v>3084232</v>
      </c>
      <c r="D9788" s="0" t="s">
        <v>32531</v>
      </c>
      <c r="E9788" s="0" t="s">
        <v>75</v>
      </c>
      <c r="F9788" s="0" t="s">
        <v>15</v>
      </c>
      <c r="G9788" s="0" t="s">
        <v>36</v>
      </c>
      <c r="H9788" s="0" t="n">
        <v>12</v>
      </c>
      <c r="I9788" s="0" t="s">
        <v>32532</v>
      </c>
      <c r="J9788" s="0" t="s">
        <v>32533</v>
      </c>
      <c r="K9788" s="0" t="s">
        <v>32534</v>
      </c>
      <c r="L9788" s="0" t="str">
        <f aca="false">HYPERLINK("https://www.ncbi.nlm.nih.gov/nuccore/CP000058.1?report=graph&amp;tracks=[key:gene_model_track,Options:GeneOnly]&amp;mk=3084213:3084232|offset_12|00cc00,3084241:3084260|offset_40|444444,3084262:3084281|offset_61|444444,3084346:3084365|offset_145|444444&amp;v=3084012:3084565&amp;c=444444", "offset 12")</f>
        <v>offset 12</v>
      </c>
    </row>
    <row r="9789" customFormat="false" ht="12.8" hidden="false" customHeight="false" outlineLevel="0" collapsed="false">
      <c r="A9789" s="0" t="s">
        <v>12</v>
      </c>
      <c r="B9789" s="0" t="n">
        <v>3084240</v>
      </c>
      <c r="C9789" s="0" t="n">
        <v>3084260</v>
      </c>
      <c r="D9789" s="0" t="s">
        <v>32531</v>
      </c>
      <c r="E9789" s="0" t="s">
        <v>75</v>
      </c>
      <c r="F9789" s="0" t="s">
        <v>15</v>
      </c>
      <c r="G9789" s="0" t="s">
        <v>16</v>
      </c>
      <c r="H9789" s="0" t="n">
        <v>40</v>
      </c>
      <c r="I9789" s="0" t="s">
        <v>32535</v>
      </c>
      <c r="J9789" s="0" t="s">
        <v>32536</v>
      </c>
      <c r="K9789" s="0" t="s">
        <v>32537</v>
      </c>
      <c r="L9789" s="0" t="str">
        <f aca="false">HYPERLINK("https://www.ncbi.nlm.nih.gov/nuccore/CP000058.1?report=graph&amp;tracks=[key:gene_model_track,Options:GeneOnly]&amp;mk=3084213:3084232|offset_12|444444,3084241:3084260|offset_40|00cc00,3084262:3084281|offset_61|444444,3084346:3084365|offset_145|444444&amp;v=3084012:3084565&amp;c=444444", "offset 40")</f>
        <v>offset 40</v>
      </c>
    </row>
    <row r="9790" customFormat="false" ht="12.8" hidden="false" customHeight="false" outlineLevel="0" collapsed="false">
      <c r="A9790" s="0" t="s">
        <v>12</v>
      </c>
      <c r="B9790" s="0" t="n">
        <v>3084261</v>
      </c>
      <c r="C9790" s="0" t="n">
        <v>3084281</v>
      </c>
      <c r="D9790" s="0" t="s">
        <v>32531</v>
      </c>
      <c r="E9790" s="0" t="s">
        <v>75</v>
      </c>
      <c r="F9790" s="0" t="s">
        <v>15</v>
      </c>
      <c r="G9790" s="0" t="s">
        <v>16</v>
      </c>
      <c r="H9790" s="0" t="n">
        <v>61</v>
      </c>
      <c r="I9790" s="0" t="s">
        <v>32538</v>
      </c>
      <c r="J9790" s="0" t="s">
        <v>32539</v>
      </c>
      <c r="K9790" s="0" t="s">
        <v>32540</v>
      </c>
      <c r="L9790" s="0" t="str">
        <f aca="false">HYPERLINK("https://www.ncbi.nlm.nih.gov/nuccore/CP000058.1?report=graph&amp;tracks=[key:gene_model_track,Options:GeneOnly]&amp;mk=3084213:3084232|offset_12|444444,3084241:3084260|offset_40|444444,3084262:3084281|offset_61|00cc00,3084346:3084365|offset_145|444444&amp;v=3084012:3084565&amp;c=444444", "offset 61")</f>
        <v>offset 61</v>
      </c>
    </row>
    <row r="9791" customFormat="false" ht="12.8" hidden="false" customHeight="false" outlineLevel="0" collapsed="false">
      <c r="A9791" s="0" t="s">
        <v>12</v>
      </c>
      <c r="B9791" s="0" t="n">
        <v>3084345</v>
      </c>
      <c r="C9791" s="0" t="n">
        <v>3084365</v>
      </c>
      <c r="D9791" s="0" t="s">
        <v>32531</v>
      </c>
      <c r="E9791" s="0" t="s">
        <v>75</v>
      </c>
      <c r="F9791" s="0" t="s">
        <v>15</v>
      </c>
      <c r="G9791" s="0" t="s">
        <v>20</v>
      </c>
      <c r="H9791" s="0" t="n">
        <v>145</v>
      </c>
      <c r="I9791" s="0" t="s">
        <v>32541</v>
      </c>
      <c r="J9791" s="0" t="s">
        <v>32542</v>
      </c>
      <c r="K9791" s="0" t="s">
        <v>32543</v>
      </c>
      <c r="L9791" s="0" t="str">
        <f aca="false">HYPERLINK("https://www.ncbi.nlm.nih.gov/nuccore/CP000058.1?report=graph&amp;tracks=[key:gene_model_track,Options:GeneOnly]&amp;mk=3084213:3084232|offset_12|444444,3084241:3084260|offset_40|444444,3084262:3084281|offset_61|444444,3084346:3084365|offset_145|00cc00&amp;v=3084012:3084565&amp;c=444444", "offset 145")</f>
        <v>offset 145</v>
      </c>
    </row>
    <row r="9792" customFormat="false" ht="12.8" hidden="false" customHeight="false" outlineLevel="0" collapsed="false">
      <c r="A9792" s="0" t="s">
        <v>12</v>
      </c>
      <c r="B9792" s="0" t="n">
        <v>3084878</v>
      </c>
      <c r="C9792" s="0" t="n">
        <v>3084898</v>
      </c>
      <c r="D9792" s="0" t="s">
        <v>32544</v>
      </c>
      <c r="E9792" s="0" t="s">
        <v>75</v>
      </c>
      <c r="F9792" s="0" t="s">
        <v>15</v>
      </c>
      <c r="G9792" s="0" t="s">
        <v>16</v>
      </c>
      <c r="H9792" s="0" t="n">
        <v>19</v>
      </c>
      <c r="I9792" s="0" t="s">
        <v>32545</v>
      </c>
      <c r="J9792" s="0" t="s">
        <v>32546</v>
      </c>
      <c r="K9792" s="0" t="s">
        <v>32547</v>
      </c>
      <c r="L9792" s="0" t="str">
        <f aca="false">HYPERLINK("https://www.ncbi.nlm.nih.gov/nuccore/CP000058.1?report=graph&amp;tracks=[key:gene_model_track,Options:GeneOnly]&amp;mk=3084879:3084898|offset_19|00cc00,3084916:3084935|offset_56|444444,3084990:3085009|offset_130|444444,3085020:3085039|offset_160|444444&amp;v=3084678:3085239&amp;c=444444", "offset 19")</f>
        <v>offset 19</v>
      </c>
    </row>
    <row r="9793" customFormat="false" ht="12.8" hidden="false" customHeight="false" outlineLevel="0" collapsed="false">
      <c r="A9793" s="0" t="s">
        <v>12</v>
      </c>
      <c r="B9793" s="0" t="n">
        <v>3084915</v>
      </c>
      <c r="C9793" s="0" t="n">
        <v>3084935</v>
      </c>
      <c r="D9793" s="0" t="s">
        <v>32544</v>
      </c>
      <c r="E9793" s="0" t="s">
        <v>75</v>
      </c>
      <c r="F9793" s="0" t="s">
        <v>15</v>
      </c>
      <c r="G9793" s="0" t="s">
        <v>20</v>
      </c>
      <c r="H9793" s="0" t="n">
        <v>56</v>
      </c>
      <c r="I9793" s="0" t="s">
        <v>32548</v>
      </c>
      <c r="J9793" s="0" t="s">
        <v>32549</v>
      </c>
      <c r="K9793" s="0" t="s">
        <v>32550</v>
      </c>
      <c r="L9793" s="0" t="str">
        <f aca="false">HYPERLINK("https://www.ncbi.nlm.nih.gov/nuccore/CP000058.1?report=graph&amp;tracks=[key:gene_model_track,Options:GeneOnly]&amp;mk=3084879:3084898|offset_19|444444,3084916:3084935|offset_56|00cc00,3084990:3085009|offset_130|444444,3085020:3085039|offset_160|444444&amp;v=3084678:3085239&amp;c=444444", "offset 56")</f>
        <v>offset 56</v>
      </c>
    </row>
    <row r="9794" customFormat="false" ht="12.8" hidden="false" customHeight="false" outlineLevel="0" collapsed="false">
      <c r="A9794" s="0" t="s">
        <v>12</v>
      </c>
      <c r="B9794" s="0" t="n">
        <v>3084989</v>
      </c>
      <c r="C9794" s="0" t="n">
        <v>3085009</v>
      </c>
      <c r="D9794" s="0" t="s">
        <v>32544</v>
      </c>
      <c r="E9794" s="0" t="s">
        <v>75</v>
      </c>
      <c r="F9794" s="0" t="s">
        <v>15</v>
      </c>
      <c r="G9794" s="0" t="s">
        <v>36</v>
      </c>
      <c r="H9794" s="0" t="n">
        <v>130</v>
      </c>
      <c r="I9794" s="0" t="s">
        <v>32551</v>
      </c>
      <c r="J9794" s="0" t="s">
        <v>32552</v>
      </c>
      <c r="K9794" s="0" t="s">
        <v>32553</v>
      </c>
      <c r="L9794" s="0" t="str">
        <f aca="false">HYPERLINK("https://www.ncbi.nlm.nih.gov/nuccore/CP000058.1?report=graph&amp;tracks=[key:gene_model_track,Options:GeneOnly]&amp;mk=3084879:3084898|offset_19|444444,3084916:3084935|offset_56|444444,3084990:3085009|offset_130|00cc00,3085020:3085039|offset_160|444444&amp;v=3084678:3085239&amp;c=444444", "offset 130")</f>
        <v>offset 130</v>
      </c>
    </row>
    <row r="9795" customFormat="false" ht="12.8" hidden="false" customHeight="false" outlineLevel="0" collapsed="false">
      <c r="A9795" s="0" t="s">
        <v>12</v>
      </c>
      <c r="B9795" s="0" t="n">
        <v>3085019</v>
      </c>
      <c r="C9795" s="0" t="n">
        <v>3085039</v>
      </c>
      <c r="D9795" s="0" t="s">
        <v>32544</v>
      </c>
      <c r="E9795" s="0" t="s">
        <v>75</v>
      </c>
      <c r="F9795" s="0" t="s">
        <v>15</v>
      </c>
      <c r="G9795" s="0" t="s">
        <v>32</v>
      </c>
      <c r="H9795" s="0" t="n">
        <v>160</v>
      </c>
      <c r="I9795" s="0" t="s">
        <v>32554</v>
      </c>
      <c r="J9795" s="0" t="s">
        <v>32555</v>
      </c>
      <c r="K9795" s="0" t="s">
        <v>32556</v>
      </c>
      <c r="L9795" s="0" t="str">
        <f aca="false">HYPERLINK("https://www.ncbi.nlm.nih.gov/nuccore/CP000058.1?report=graph&amp;tracks=[key:gene_model_track,Options:GeneOnly]&amp;mk=3084879:3084898|offset_19|444444,3084916:3084935|offset_56|444444,3084990:3085009|offset_130|444444,3085020:3085039|offset_160|00cc00&amp;v=3084678:3085239&amp;c=444444", "offset 160")</f>
        <v>offset 160</v>
      </c>
    </row>
    <row r="9796" customFormat="false" ht="12.8" hidden="false" customHeight="false" outlineLevel="0" collapsed="false">
      <c r="A9796" s="0" t="s">
        <v>12</v>
      </c>
      <c r="B9796" s="0" t="n">
        <v>3085705</v>
      </c>
      <c r="C9796" s="0" t="n">
        <v>3085725</v>
      </c>
      <c r="D9796" s="0" t="s">
        <v>32557</v>
      </c>
      <c r="E9796" s="0" t="s">
        <v>75</v>
      </c>
      <c r="F9796" s="0" t="s">
        <v>15</v>
      </c>
      <c r="G9796" s="0" t="s">
        <v>16</v>
      </c>
      <c r="H9796" s="0" t="n">
        <v>14</v>
      </c>
      <c r="I9796" s="0" t="s">
        <v>32558</v>
      </c>
      <c r="J9796" s="0" t="s">
        <v>32559</v>
      </c>
      <c r="K9796" s="0" t="s">
        <v>32560</v>
      </c>
      <c r="L9796" s="0" t="str">
        <f aca="false">HYPERLINK("https://www.ncbi.nlm.nih.gov/nuccore/CP000058.1?report=graph&amp;tracks=[key:gene_model_track,Options:GeneOnly]&amp;mk=3085706:3085725|offset_14|00cc00,3085726:3085745|offset_34|444444,3085749:3085768|offset_57|444444,3085771:3085790|offset_79|444444&amp;v=3085505:3085990&amp;c=444444", "offset 14")</f>
        <v>offset 14</v>
      </c>
    </row>
    <row r="9797" customFormat="false" ht="12.8" hidden="false" customHeight="false" outlineLevel="0" collapsed="false">
      <c r="A9797" s="0" t="s">
        <v>12</v>
      </c>
      <c r="B9797" s="0" t="n">
        <v>3085725</v>
      </c>
      <c r="C9797" s="0" t="n">
        <v>3085745</v>
      </c>
      <c r="D9797" s="0" t="s">
        <v>32557</v>
      </c>
      <c r="E9797" s="0" t="s">
        <v>75</v>
      </c>
      <c r="F9797" s="0" t="s">
        <v>15</v>
      </c>
      <c r="G9797" s="0" t="s">
        <v>16</v>
      </c>
      <c r="H9797" s="0" t="n">
        <v>34</v>
      </c>
      <c r="I9797" s="0" t="s">
        <v>32561</v>
      </c>
      <c r="J9797" s="0" t="s">
        <v>32562</v>
      </c>
      <c r="K9797" s="0" t="s">
        <v>32563</v>
      </c>
      <c r="L9797" s="0" t="str">
        <f aca="false">HYPERLINK("https://www.ncbi.nlm.nih.gov/nuccore/CP000058.1?report=graph&amp;tracks=[key:gene_model_track,Options:GeneOnly]&amp;mk=3085706:3085725|offset_14|444444,3085726:3085745|offset_34|00cc00,3085749:3085768|offset_57|444444,3085771:3085790|offset_79|444444&amp;v=3085505:3085990&amp;c=444444", "offset 34")</f>
        <v>offset 34</v>
      </c>
    </row>
    <row r="9798" customFormat="false" ht="12.8" hidden="false" customHeight="false" outlineLevel="0" collapsed="false">
      <c r="A9798" s="0" t="s">
        <v>12</v>
      </c>
      <c r="B9798" s="0" t="n">
        <v>3085748</v>
      </c>
      <c r="C9798" s="0" t="n">
        <v>3085768</v>
      </c>
      <c r="D9798" s="0" t="s">
        <v>32557</v>
      </c>
      <c r="E9798" s="0" t="s">
        <v>75</v>
      </c>
      <c r="F9798" s="0" t="s">
        <v>15</v>
      </c>
      <c r="G9798" s="0" t="s">
        <v>32</v>
      </c>
      <c r="H9798" s="0" t="n">
        <v>57</v>
      </c>
      <c r="I9798" s="0" t="s">
        <v>32564</v>
      </c>
      <c r="J9798" s="0" t="s">
        <v>32565</v>
      </c>
      <c r="K9798" s="0" t="s">
        <v>32566</v>
      </c>
      <c r="L9798" s="0" t="str">
        <f aca="false">HYPERLINK("https://www.ncbi.nlm.nih.gov/nuccore/CP000058.1?report=graph&amp;tracks=[key:gene_model_track,Options:GeneOnly]&amp;mk=3085706:3085725|offset_14|444444,3085726:3085745|offset_34|444444,3085749:3085768|offset_57|00cc00,3085771:3085790|offset_79|444444&amp;v=3085505:3085990&amp;c=444444", "offset 57")</f>
        <v>offset 57</v>
      </c>
    </row>
    <row r="9799" customFormat="false" ht="12.8" hidden="false" customHeight="false" outlineLevel="0" collapsed="false">
      <c r="A9799" s="0" t="s">
        <v>12</v>
      </c>
      <c r="B9799" s="0" t="n">
        <v>3085770</v>
      </c>
      <c r="C9799" s="0" t="n">
        <v>3085790</v>
      </c>
      <c r="D9799" s="0" t="s">
        <v>32557</v>
      </c>
      <c r="E9799" s="0" t="s">
        <v>75</v>
      </c>
      <c r="F9799" s="0" t="s">
        <v>15</v>
      </c>
      <c r="G9799" s="0" t="s">
        <v>16</v>
      </c>
      <c r="H9799" s="0" t="n">
        <v>79</v>
      </c>
      <c r="I9799" s="0" t="s">
        <v>32567</v>
      </c>
      <c r="J9799" s="0" t="s">
        <v>32568</v>
      </c>
      <c r="K9799" s="0" t="s">
        <v>32569</v>
      </c>
      <c r="L9799" s="0" t="str">
        <f aca="false">HYPERLINK("https://www.ncbi.nlm.nih.gov/nuccore/CP000058.1?report=graph&amp;tracks=[key:gene_model_track,Options:GeneOnly]&amp;mk=3085706:3085725|offset_14|444444,3085726:3085745|offset_34|444444,3085749:3085768|offset_57|444444,3085771:3085790|offset_79|00cc00&amp;v=3085505:3085990&amp;c=444444", "offset 79")</f>
        <v>offset 79</v>
      </c>
    </row>
    <row r="9800" customFormat="false" ht="12.8" hidden="false" customHeight="false" outlineLevel="0" collapsed="false">
      <c r="A9800" s="0" t="s">
        <v>12</v>
      </c>
      <c r="B9800" s="0" t="n">
        <v>3086138</v>
      </c>
      <c r="C9800" s="0" t="n">
        <v>3086158</v>
      </c>
      <c r="D9800" s="0" t="s">
        <v>32570</v>
      </c>
      <c r="E9800" s="0" t="s">
        <v>75</v>
      </c>
      <c r="F9800" s="0" t="s">
        <v>15</v>
      </c>
      <c r="G9800" s="0" t="s">
        <v>32</v>
      </c>
      <c r="H9800" s="0" t="n">
        <v>1</v>
      </c>
      <c r="I9800" s="0" t="s">
        <v>32571</v>
      </c>
      <c r="J9800" s="0" t="s">
        <v>32572</v>
      </c>
      <c r="K9800" s="0" t="s">
        <v>32573</v>
      </c>
      <c r="L9800" s="0" t="str">
        <f aca="false">HYPERLINK("https://www.ncbi.nlm.nih.gov/nuccore/CP000058.1?report=graph&amp;tracks=[key:gene_model_track,Options:GeneOnly]&amp;mk=3086139:3086158|offset_1|00cc00,3086164:3086183|offset_26|444444,3086206:3086225|offset_68|444444,3086226:3086245|offset_88|444444&amp;v=3085938:3086445&amp;c=444444", "offset 1")</f>
        <v>offset 1</v>
      </c>
    </row>
    <row r="9801" customFormat="false" ht="12.8" hidden="false" customHeight="false" outlineLevel="0" collapsed="false">
      <c r="A9801" s="0" t="s">
        <v>12</v>
      </c>
      <c r="B9801" s="0" t="n">
        <v>3086163</v>
      </c>
      <c r="C9801" s="0" t="n">
        <v>3086183</v>
      </c>
      <c r="D9801" s="0" t="s">
        <v>32570</v>
      </c>
      <c r="E9801" s="0" t="s">
        <v>75</v>
      </c>
      <c r="F9801" s="0" t="s">
        <v>15</v>
      </c>
      <c r="G9801" s="0" t="s">
        <v>16</v>
      </c>
      <c r="H9801" s="0" t="n">
        <v>26</v>
      </c>
      <c r="I9801" s="0" t="s">
        <v>32574</v>
      </c>
      <c r="J9801" s="0" t="s">
        <v>32575</v>
      </c>
      <c r="K9801" s="0" t="s">
        <v>32576</v>
      </c>
      <c r="L9801" s="0" t="str">
        <f aca="false">HYPERLINK("https://www.ncbi.nlm.nih.gov/nuccore/CP000058.1?report=graph&amp;tracks=[key:gene_model_track,Options:GeneOnly]&amp;mk=3086139:3086158|offset_1|444444,3086164:3086183|offset_26|00cc00,3086206:3086225|offset_68|444444,3086226:3086245|offset_88|444444&amp;v=3085938:3086445&amp;c=444444", "offset 26")</f>
        <v>offset 26</v>
      </c>
    </row>
    <row r="9802" customFormat="false" ht="12.8" hidden="false" customHeight="false" outlineLevel="0" collapsed="false">
      <c r="A9802" s="0" t="s">
        <v>12</v>
      </c>
      <c r="B9802" s="0" t="n">
        <v>3086205</v>
      </c>
      <c r="C9802" s="0" t="n">
        <v>3086225</v>
      </c>
      <c r="D9802" s="0" t="s">
        <v>32570</v>
      </c>
      <c r="E9802" s="0" t="s">
        <v>75</v>
      </c>
      <c r="F9802" s="0" t="s">
        <v>15</v>
      </c>
      <c r="G9802" s="0" t="s">
        <v>20</v>
      </c>
      <c r="H9802" s="0" t="n">
        <v>68</v>
      </c>
      <c r="I9802" s="0" t="s">
        <v>32577</v>
      </c>
      <c r="J9802" s="0" t="s">
        <v>32578</v>
      </c>
      <c r="K9802" s="0" t="s">
        <v>32579</v>
      </c>
      <c r="L9802" s="0" t="str">
        <f aca="false">HYPERLINK("https://www.ncbi.nlm.nih.gov/nuccore/CP000058.1?report=graph&amp;tracks=[key:gene_model_track,Options:GeneOnly]&amp;mk=3086139:3086158|offset_1|444444,3086164:3086183|offset_26|444444,3086206:3086225|offset_68|00cc00,3086226:3086245|offset_88|444444&amp;v=3085938:3086445&amp;c=444444", "offset 68")</f>
        <v>offset 68</v>
      </c>
    </row>
    <row r="9803" customFormat="false" ht="12.8" hidden="false" customHeight="false" outlineLevel="0" collapsed="false">
      <c r="A9803" s="0" t="s">
        <v>12</v>
      </c>
      <c r="B9803" s="0" t="n">
        <v>3086225</v>
      </c>
      <c r="C9803" s="0" t="n">
        <v>3086245</v>
      </c>
      <c r="D9803" s="0" t="s">
        <v>32570</v>
      </c>
      <c r="E9803" s="0" t="s">
        <v>75</v>
      </c>
      <c r="F9803" s="0" t="s">
        <v>15</v>
      </c>
      <c r="G9803" s="0" t="s">
        <v>32</v>
      </c>
      <c r="H9803" s="0" t="n">
        <v>88</v>
      </c>
      <c r="I9803" s="0" t="s">
        <v>32580</v>
      </c>
      <c r="J9803" s="0" t="s">
        <v>32581</v>
      </c>
      <c r="K9803" s="0" t="s">
        <v>32582</v>
      </c>
      <c r="L9803" s="0" t="str">
        <f aca="false">HYPERLINK("https://www.ncbi.nlm.nih.gov/nuccore/CP000058.1?report=graph&amp;tracks=[key:gene_model_track,Options:GeneOnly]&amp;mk=3086139:3086158|offset_1|444444,3086164:3086183|offset_26|444444,3086206:3086225|offset_68|444444,3086226:3086245|offset_88|00cc00&amp;v=3085938:3086445&amp;c=444444", "offset 88")</f>
        <v>offset 88</v>
      </c>
    </row>
    <row r="9804" customFormat="false" ht="12.8" hidden="false" customHeight="false" outlineLevel="0" collapsed="false">
      <c r="A9804" s="0" t="s">
        <v>12</v>
      </c>
      <c r="B9804" s="0" t="n">
        <v>3086928</v>
      </c>
      <c r="C9804" s="0" t="n">
        <v>3086948</v>
      </c>
      <c r="D9804" s="0" t="s">
        <v>32583</v>
      </c>
      <c r="E9804" s="0" t="s">
        <v>75</v>
      </c>
      <c r="F9804" s="0" t="s">
        <v>15</v>
      </c>
      <c r="G9804" s="0" t="s">
        <v>16</v>
      </c>
      <c r="H9804" s="0" t="n">
        <v>10</v>
      </c>
      <c r="I9804" s="0" t="s">
        <v>32584</v>
      </c>
      <c r="J9804" s="0" t="s">
        <v>32585</v>
      </c>
      <c r="K9804" s="0" t="s">
        <v>32586</v>
      </c>
      <c r="L9804" s="0" t="str">
        <f aca="false">HYPERLINK("https://www.ncbi.nlm.nih.gov/nuccore/CP000058.1?report=graph&amp;tracks=[key:gene_model_track,Options:GeneOnly]&amp;mk=3086929:3086948|offset_10|00cc00,3086958:3086977|offset_39|444444,3086987:3087006|offset_68|444444,3087078:3087097|offset_159|444444&amp;v=3086728:3087297&amp;c=444444", "offset 10")</f>
        <v>offset 10</v>
      </c>
    </row>
    <row r="9805" customFormat="false" ht="12.8" hidden="false" customHeight="false" outlineLevel="0" collapsed="false">
      <c r="A9805" s="0" t="s">
        <v>12</v>
      </c>
      <c r="B9805" s="0" t="n">
        <v>3086957</v>
      </c>
      <c r="C9805" s="0" t="n">
        <v>3086977</v>
      </c>
      <c r="D9805" s="0" t="s">
        <v>32583</v>
      </c>
      <c r="E9805" s="0" t="s">
        <v>75</v>
      </c>
      <c r="F9805" s="0" t="s">
        <v>15</v>
      </c>
      <c r="G9805" s="0" t="s">
        <v>16</v>
      </c>
      <c r="H9805" s="0" t="n">
        <v>39</v>
      </c>
      <c r="I9805" s="0" t="s">
        <v>32587</v>
      </c>
      <c r="J9805" s="0" t="s">
        <v>32588</v>
      </c>
      <c r="K9805" s="0" t="s">
        <v>32589</v>
      </c>
      <c r="L9805" s="0" t="str">
        <f aca="false">HYPERLINK("https://www.ncbi.nlm.nih.gov/nuccore/CP000058.1?report=graph&amp;tracks=[key:gene_model_track,Options:GeneOnly]&amp;mk=3086929:3086948|offset_10|444444,3086958:3086977|offset_39|00cc00,3086987:3087006|offset_68|444444,3087078:3087097|offset_159|444444&amp;v=3086728:3087297&amp;c=444444", "offset 39")</f>
        <v>offset 39</v>
      </c>
    </row>
    <row r="9806" customFormat="false" ht="12.8" hidden="false" customHeight="false" outlineLevel="0" collapsed="false">
      <c r="A9806" s="0" t="s">
        <v>12</v>
      </c>
      <c r="B9806" s="0" t="n">
        <v>3086986</v>
      </c>
      <c r="C9806" s="0" t="n">
        <v>3087006</v>
      </c>
      <c r="D9806" s="0" t="s">
        <v>32583</v>
      </c>
      <c r="E9806" s="0" t="s">
        <v>75</v>
      </c>
      <c r="F9806" s="0" t="s">
        <v>15</v>
      </c>
      <c r="G9806" s="0" t="s">
        <v>20</v>
      </c>
      <c r="H9806" s="0" t="n">
        <v>68</v>
      </c>
      <c r="I9806" s="0" t="s">
        <v>32590</v>
      </c>
      <c r="J9806" s="0" t="s">
        <v>32591</v>
      </c>
      <c r="K9806" s="0" t="s">
        <v>32592</v>
      </c>
      <c r="L9806" s="0" t="str">
        <f aca="false">HYPERLINK("https://www.ncbi.nlm.nih.gov/nuccore/CP000058.1?report=graph&amp;tracks=[key:gene_model_track,Options:GeneOnly]&amp;mk=3086929:3086948|offset_10|444444,3086958:3086977|offset_39|444444,3086987:3087006|offset_68|00cc00,3087078:3087097|offset_159|444444&amp;v=3086728:3087297&amp;c=444444", "offset 68")</f>
        <v>offset 68</v>
      </c>
    </row>
    <row r="9807" customFormat="false" ht="12.8" hidden="false" customHeight="false" outlineLevel="0" collapsed="false">
      <c r="A9807" s="0" t="s">
        <v>12</v>
      </c>
      <c r="B9807" s="0" t="n">
        <v>3087077</v>
      </c>
      <c r="C9807" s="0" t="n">
        <v>3087097</v>
      </c>
      <c r="D9807" s="0" t="s">
        <v>32583</v>
      </c>
      <c r="E9807" s="0" t="s">
        <v>75</v>
      </c>
      <c r="F9807" s="0" t="s">
        <v>15</v>
      </c>
      <c r="G9807" s="0" t="s">
        <v>16</v>
      </c>
      <c r="H9807" s="0" t="n">
        <v>159</v>
      </c>
      <c r="I9807" s="0" t="s">
        <v>32593</v>
      </c>
      <c r="J9807" s="0" t="s">
        <v>32594</v>
      </c>
      <c r="K9807" s="0" t="s">
        <v>32595</v>
      </c>
      <c r="L9807" s="0" t="str">
        <f aca="false">HYPERLINK("https://www.ncbi.nlm.nih.gov/nuccore/CP000058.1?report=graph&amp;tracks=[key:gene_model_track,Options:GeneOnly]&amp;mk=3086929:3086948|offset_10|444444,3086958:3086977|offset_39|444444,3086987:3087006|offset_68|444444,3087078:3087097|offset_159|00cc00&amp;v=3086728:3087297&amp;c=444444", "offset 159")</f>
        <v>offset 159</v>
      </c>
    </row>
    <row r="9808" customFormat="false" ht="12.8" hidden="false" customHeight="false" outlineLevel="0" collapsed="false">
      <c r="A9808" s="0" t="s">
        <v>12</v>
      </c>
      <c r="B9808" s="0" t="n">
        <v>3088164</v>
      </c>
      <c r="C9808" s="0" t="n">
        <v>3088184</v>
      </c>
      <c r="D9808" s="0" t="s">
        <v>32596</v>
      </c>
      <c r="E9808" s="0" t="s">
        <v>32597</v>
      </c>
      <c r="F9808" s="0" t="s">
        <v>15</v>
      </c>
      <c r="G9808" s="0" t="s">
        <v>32</v>
      </c>
      <c r="H9808" s="0" t="n">
        <v>12</v>
      </c>
      <c r="I9808" s="0" t="s">
        <v>32598</v>
      </c>
      <c r="J9808" s="0" t="s">
        <v>32599</v>
      </c>
      <c r="K9808" s="0" t="s">
        <v>32600</v>
      </c>
      <c r="L9808" s="0" t="str">
        <f aca="false">HYPERLINK("https://www.ncbi.nlm.nih.gov/nuccore/CP000058.1?report=graph&amp;tracks=[key:gene_model_track,Options:GeneOnly]&amp;mk=3088165:3088184|offset_12|00cc00,3088214:3088233|offset_61|444444,3088269:3088288|offset_116|444444,3088295:3088314|offset_142|444444&amp;v=3087964:3088514&amp;c=444444", "offset 12")</f>
        <v>offset 12</v>
      </c>
    </row>
    <row r="9809" customFormat="false" ht="12.8" hidden="false" customHeight="false" outlineLevel="0" collapsed="false">
      <c r="A9809" s="0" t="s">
        <v>12</v>
      </c>
      <c r="B9809" s="0" t="n">
        <v>3088213</v>
      </c>
      <c r="C9809" s="0" t="n">
        <v>3088233</v>
      </c>
      <c r="D9809" s="0" t="s">
        <v>32596</v>
      </c>
      <c r="E9809" s="0" t="s">
        <v>32597</v>
      </c>
      <c r="F9809" s="0" t="s">
        <v>15</v>
      </c>
      <c r="G9809" s="0" t="s">
        <v>16</v>
      </c>
      <c r="H9809" s="0" t="n">
        <v>61</v>
      </c>
      <c r="I9809" s="0" t="s">
        <v>32601</v>
      </c>
      <c r="J9809" s="0" t="s">
        <v>32602</v>
      </c>
      <c r="K9809" s="0" t="s">
        <v>32603</v>
      </c>
      <c r="L9809" s="0" t="str">
        <f aca="false">HYPERLINK("https://www.ncbi.nlm.nih.gov/nuccore/CP000058.1?report=graph&amp;tracks=[key:gene_model_track,Options:GeneOnly]&amp;mk=3088165:3088184|offset_12|444444,3088214:3088233|offset_61|00cc00,3088269:3088288|offset_116|444444,3088295:3088314|offset_142|444444&amp;v=3087964:3088514&amp;c=444444", "offset 61")</f>
        <v>offset 61</v>
      </c>
    </row>
    <row r="9810" customFormat="false" ht="12.8" hidden="false" customHeight="false" outlineLevel="0" collapsed="false">
      <c r="A9810" s="0" t="s">
        <v>12</v>
      </c>
      <c r="B9810" s="0" t="n">
        <v>3088268</v>
      </c>
      <c r="C9810" s="0" t="n">
        <v>3088288</v>
      </c>
      <c r="D9810" s="0" t="s">
        <v>32596</v>
      </c>
      <c r="E9810" s="0" t="s">
        <v>32597</v>
      </c>
      <c r="F9810" s="0" t="s">
        <v>15</v>
      </c>
      <c r="G9810" s="0" t="s">
        <v>20</v>
      </c>
      <c r="H9810" s="0" t="n">
        <v>116</v>
      </c>
      <c r="I9810" s="0" t="s">
        <v>32604</v>
      </c>
      <c r="J9810" s="0" t="s">
        <v>32605</v>
      </c>
      <c r="K9810" s="0" t="s">
        <v>32606</v>
      </c>
      <c r="L9810" s="0" t="str">
        <f aca="false">HYPERLINK("https://www.ncbi.nlm.nih.gov/nuccore/CP000058.1?report=graph&amp;tracks=[key:gene_model_track,Options:GeneOnly]&amp;mk=3088165:3088184|offset_12|444444,3088214:3088233|offset_61|444444,3088269:3088288|offset_116|00cc00,3088295:3088314|offset_142|444444&amp;v=3087964:3088514&amp;c=444444", "offset 116")</f>
        <v>offset 116</v>
      </c>
    </row>
    <row r="9811" customFormat="false" ht="12.8" hidden="false" customHeight="false" outlineLevel="0" collapsed="false">
      <c r="A9811" s="0" t="s">
        <v>12</v>
      </c>
      <c r="B9811" s="0" t="n">
        <v>3088294</v>
      </c>
      <c r="C9811" s="0" t="n">
        <v>3088314</v>
      </c>
      <c r="D9811" s="0" t="s">
        <v>32596</v>
      </c>
      <c r="E9811" s="0" t="s">
        <v>32597</v>
      </c>
      <c r="F9811" s="0" t="s">
        <v>15</v>
      </c>
      <c r="G9811" s="0" t="s">
        <v>32</v>
      </c>
      <c r="H9811" s="0" t="n">
        <v>142</v>
      </c>
      <c r="I9811" s="0" t="s">
        <v>32607</v>
      </c>
      <c r="J9811" s="0" t="s">
        <v>32608</v>
      </c>
      <c r="K9811" s="0" t="s">
        <v>32609</v>
      </c>
      <c r="L9811" s="0" t="str">
        <f aca="false">HYPERLINK("https://www.ncbi.nlm.nih.gov/nuccore/CP000058.1?report=graph&amp;tracks=[key:gene_model_track,Options:GeneOnly]&amp;mk=3088165:3088184|offset_12|444444,3088214:3088233|offset_61|444444,3088269:3088288|offset_116|444444,3088295:3088314|offset_142|00cc00&amp;v=3087964:3088514&amp;c=444444", "offset 142")</f>
        <v>offset 142</v>
      </c>
    </row>
    <row r="9812" customFormat="false" ht="12.8" hidden="false" customHeight="false" outlineLevel="0" collapsed="false">
      <c r="A9812" s="0" t="s">
        <v>12</v>
      </c>
      <c r="B9812" s="0" t="n">
        <v>3089211</v>
      </c>
      <c r="C9812" s="0" t="n">
        <v>3089231</v>
      </c>
      <c r="D9812" s="0" t="s">
        <v>32610</v>
      </c>
      <c r="E9812" s="0" t="s">
        <v>75</v>
      </c>
      <c r="F9812" s="0" t="s">
        <v>15</v>
      </c>
      <c r="G9812" s="0" t="s">
        <v>20</v>
      </c>
      <c r="H9812" s="0" t="n">
        <v>6</v>
      </c>
      <c r="I9812" s="0" t="s">
        <v>32611</v>
      </c>
      <c r="J9812" s="0" t="s">
        <v>32612</v>
      </c>
      <c r="K9812" s="0" t="s">
        <v>32613</v>
      </c>
      <c r="L9812" s="0" t="str">
        <f aca="false">HYPERLINK("https://www.ncbi.nlm.nih.gov/nuccore/CP000058.1?report=graph&amp;tracks=[key:gene_model_track,Options:GeneOnly]&amp;mk=3089212:3089231|offset_6|00cc00,3089236:3089255|offset_30|444444,3089266:3089285|offset_60|444444,3089304:3089323|offset_98|444444&amp;v=3089011:3089523&amp;c=444444", "offset 6")</f>
        <v>offset 6</v>
      </c>
    </row>
    <row r="9813" customFormat="false" ht="12.8" hidden="false" customHeight="false" outlineLevel="0" collapsed="false">
      <c r="A9813" s="0" t="s">
        <v>12</v>
      </c>
      <c r="B9813" s="0" t="n">
        <v>3089235</v>
      </c>
      <c r="C9813" s="0" t="n">
        <v>3089255</v>
      </c>
      <c r="D9813" s="0" t="s">
        <v>32610</v>
      </c>
      <c r="E9813" s="0" t="s">
        <v>75</v>
      </c>
      <c r="F9813" s="0" t="s">
        <v>15</v>
      </c>
      <c r="G9813" s="0" t="s">
        <v>20</v>
      </c>
      <c r="H9813" s="0" t="n">
        <v>30</v>
      </c>
      <c r="I9813" s="0" t="s">
        <v>32614</v>
      </c>
      <c r="J9813" s="0" t="s">
        <v>32615</v>
      </c>
      <c r="K9813" s="0" t="s">
        <v>32616</v>
      </c>
      <c r="L9813" s="0" t="str">
        <f aca="false">HYPERLINK("https://www.ncbi.nlm.nih.gov/nuccore/CP000058.1?report=graph&amp;tracks=[key:gene_model_track,Options:GeneOnly]&amp;mk=3089212:3089231|offset_6|444444,3089236:3089255|offset_30|00cc00,3089266:3089285|offset_60|444444,3089304:3089323|offset_98|444444&amp;v=3089011:3089523&amp;c=444444", "offset 30")</f>
        <v>offset 30</v>
      </c>
    </row>
    <row r="9814" customFormat="false" ht="12.8" hidden="false" customHeight="false" outlineLevel="0" collapsed="false">
      <c r="A9814" s="0" t="s">
        <v>12</v>
      </c>
      <c r="B9814" s="0" t="n">
        <v>3089265</v>
      </c>
      <c r="C9814" s="0" t="n">
        <v>3089285</v>
      </c>
      <c r="D9814" s="0" t="s">
        <v>32610</v>
      </c>
      <c r="E9814" s="0" t="s">
        <v>75</v>
      </c>
      <c r="F9814" s="0" t="s">
        <v>15</v>
      </c>
      <c r="G9814" s="0" t="s">
        <v>20</v>
      </c>
      <c r="H9814" s="0" t="n">
        <v>60</v>
      </c>
      <c r="I9814" s="0" t="s">
        <v>32617</v>
      </c>
      <c r="J9814" s="0" t="s">
        <v>32618</v>
      </c>
      <c r="K9814" s="0" t="s">
        <v>32619</v>
      </c>
      <c r="L9814" s="0" t="str">
        <f aca="false">HYPERLINK("https://www.ncbi.nlm.nih.gov/nuccore/CP000058.1?report=graph&amp;tracks=[key:gene_model_track,Options:GeneOnly]&amp;mk=3089212:3089231|offset_6|444444,3089236:3089255|offset_30|444444,3089266:3089285|offset_60|00cc00,3089304:3089323|offset_98|444444&amp;v=3089011:3089523&amp;c=444444", "offset 60")</f>
        <v>offset 60</v>
      </c>
    </row>
    <row r="9815" customFormat="false" ht="12.8" hidden="false" customHeight="false" outlineLevel="0" collapsed="false">
      <c r="A9815" s="0" t="s">
        <v>12</v>
      </c>
      <c r="B9815" s="0" t="n">
        <v>3089303</v>
      </c>
      <c r="C9815" s="0" t="n">
        <v>3089323</v>
      </c>
      <c r="D9815" s="0" t="s">
        <v>32610</v>
      </c>
      <c r="E9815" s="0" t="s">
        <v>75</v>
      </c>
      <c r="F9815" s="0" t="s">
        <v>15</v>
      </c>
      <c r="G9815" s="0" t="s">
        <v>20</v>
      </c>
      <c r="H9815" s="0" t="n">
        <v>98</v>
      </c>
      <c r="I9815" s="0" t="s">
        <v>32620</v>
      </c>
      <c r="J9815" s="0" t="s">
        <v>32621</v>
      </c>
      <c r="K9815" s="0" t="s">
        <v>32622</v>
      </c>
      <c r="L9815" s="0" t="str">
        <f aca="false">HYPERLINK("https://www.ncbi.nlm.nih.gov/nuccore/CP000058.1?report=graph&amp;tracks=[key:gene_model_track,Options:GeneOnly]&amp;mk=3089212:3089231|offset_6|444444,3089236:3089255|offset_30|444444,3089266:3089285|offset_60|444444,3089304:3089323|offset_98|00cc00&amp;v=3089011:3089523&amp;c=444444", "offset 98")</f>
        <v>offset 98</v>
      </c>
    </row>
    <row r="9816" customFormat="false" ht="12.8" hidden="false" customHeight="false" outlineLevel="0" collapsed="false">
      <c r="A9816" s="0" t="s">
        <v>12</v>
      </c>
      <c r="B9816" s="0" t="n">
        <v>3091935</v>
      </c>
      <c r="C9816" s="0" t="n">
        <v>3091955</v>
      </c>
      <c r="D9816" s="0" t="s">
        <v>32623</v>
      </c>
      <c r="E9816" s="0" t="s">
        <v>75</v>
      </c>
      <c r="F9816" s="0" t="s">
        <v>90</v>
      </c>
      <c r="G9816" s="0" t="s">
        <v>36</v>
      </c>
      <c r="H9816" s="0" t="n">
        <v>20</v>
      </c>
      <c r="I9816" s="0" t="s">
        <v>32624</v>
      </c>
      <c r="J9816" s="0" t="s">
        <v>32625</v>
      </c>
      <c r="K9816" s="0" t="s">
        <v>32626</v>
      </c>
      <c r="L9816" s="0" t="str">
        <f aca="false">HYPERLINK("https://www.ncbi.nlm.nih.gov/nuccore/CP000058.1?report=graph&amp;tracks=[key:gene_model_track,Options:GeneOnly]&amp;mk=3091936:3091955|offset_20|00cc00,3091903:3091922|offset_53|444444,3091883:3091902|offset_73|444444,3091840:3091859|offset_116|444444&amp;v=3091735:3092059&amp;c=444444", "offset 20")</f>
        <v>offset 20</v>
      </c>
    </row>
    <row r="9817" customFormat="false" ht="12.8" hidden="false" customHeight="false" outlineLevel="0" collapsed="false">
      <c r="A9817" s="0" t="s">
        <v>12</v>
      </c>
      <c r="B9817" s="0" t="n">
        <v>3091902</v>
      </c>
      <c r="C9817" s="0" t="n">
        <v>3091922</v>
      </c>
      <c r="D9817" s="0" t="s">
        <v>32623</v>
      </c>
      <c r="E9817" s="0" t="s">
        <v>75</v>
      </c>
      <c r="F9817" s="0" t="s">
        <v>90</v>
      </c>
      <c r="G9817" s="0" t="s">
        <v>32</v>
      </c>
      <c r="H9817" s="0" t="n">
        <v>53</v>
      </c>
      <c r="I9817" s="0" t="s">
        <v>32627</v>
      </c>
      <c r="J9817" s="0" t="s">
        <v>32628</v>
      </c>
      <c r="K9817" s="0" t="s">
        <v>32629</v>
      </c>
      <c r="L9817" s="0" t="str">
        <f aca="false">HYPERLINK("https://www.ncbi.nlm.nih.gov/nuccore/CP000058.1?report=graph&amp;tracks=[key:gene_model_track,Options:GeneOnly]&amp;mk=3091936:3091955|offset_20|444444,3091903:3091922|offset_53|00cc00,3091883:3091902|offset_73|444444,3091840:3091859|offset_116|444444&amp;v=3091735:3092059&amp;c=444444", "offset 53")</f>
        <v>offset 53</v>
      </c>
    </row>
    <row r="9818" customFormat="false" ht="12.8" hidden="false" customHeight="false" outlineLevel="0" collapsed="false">
      <c r="A9818" s="0" t="s">
        <v>12</v>
      </c>
      <c r="B9818" s="0" t="n">
        <v>3091882</v>
      </c>
      <c r="C9818" s="0" t="n">
        <v>3091902</v>
      </c>
      <c r="D9818" s="0" t="s">
        <v>32623</v>
      </c>
      <c r="E9818" s="0" t="s">
        <v>75</v>
      </c>
      <c r="F9818" s="0" t="s">
        <v>90</v>
      </c>
      <c r="G9818" s="0" t="s">
        <v>20</v>
      </c>
      <c r="H9818" s="0" t="n">
        <v>73</v>
      </c>
      <c r="I9818" s="0" t="s">
        <v>32630</v>
      </c>
      <c r="J9818" s="0" t="s">
        <v>32631</v>
      </c>
      <c r="K9818" s="0" t="s">
        <v>32632</v>
      </c>
      <c r="L9818" s="0" t="str">
        <f aca="false">HYPERLINK("https://www.ncbi.nlm.nih.gov/nuccore/CP000058.1?report=graph&amp;tracks=[key:gene_model_track,Options:GeneOnly]&amp;mk=3091936:3091955|offset_20|444444,3091903:3091922|offset_53|444444,3091883:3091902|offset_73|00cc00,3091840:3091859|offset_116|444444&amp;v=3091735:3092059&amp;c=444444", "offset 73")</f>
        <v>offset 73</v>
      </c>
    </row>
    <row r="9819" customFormat="false" ht="12.8" hidden="false" customHeight="false" outlineLevel="0" collapsed="false">
      <c r="A9819" s="0" t="s">
        <v>12</v>
      </c>
      <c r="B9819" s="0" t="n">
        <v>3091839</v>
      </c>
      <c r="C9819" s="0" t="n">
        <v>3091859</v>
      </c>
      <c r="D9819" s="0" t="s">
        <v>32623</v>
      </c>
      <c r="E9819" s="0" t="s">
        <v>75</v>
      </c>
      <c r="F9819" s="0" t="s">
        <v>90</v>
      </c>
      <c r="G9819" s="0" t="s">
        <v>16</v>
      </c>
      <c r="H9819" s="0" t="n">
        <v>116</v>
      </c>
      <c r="I9819" s="0" t="s">
        <v>32633</v>
      </c>
      <c r="J9819" s="0" t="s">
        <v>32634</v>
      </c>
      <c r="K9819" s="0" t="s">
        <v>32635</v>
      </c>
      <c r="L9819" s="0" t="str">
        <f aca="false">HYPERLINK("https://www.ncbi.nlm.nih.gov/nuccore/CP000058.1?report=graph&amp;tracks=[key:gene_model_track,Options:GeneOnly]&amp;mk=3091936:3091955|offset_20|444444,3091903:3091922|offset_53|444444,3091883:3091902|offset_73|444444,3091840:3091859|offset_116|00cc00&amp;v=3091735:3092059&amp;c=444444", "offset 116")</f>
        <v>offset 116</v>
      </c>
    </row>
    <row r="9820" customFormat="false" ht="12.8" hidden="false" customHeight="false" outlineLevel="0" collapsed="false">
      <c r="A9820" s="0" t="s">
        <v>12</v>
      </c>
      <c r="B9820" s="0" t="n">
        <v>3092217</v>
      </c>
      <c r="C9820" s="0" t="n">
        <v>3092237</v>
      </c>
      <c r="D9820" s="0" t="s">
        <v>32636</v>
      </c>
      <c r="E9820" s="0" t="s">
        <v>75</v>
      </c>
      <c r="F9820" s="0" t="s">
        <v>90</v>
      </c>
      <c r="G9820" s="0" t="s">
        <v>36</v>
      </c>
      <c r="H9820" s="0" t="n">
        <v>17</v>
      </c>
      <c r="I9820" s="0" t="s">
        <v>32637</v>
      </c>
      <c r="J9820" s="0" t="s">
        <v>32638</v>
      </c>
      <c r="K9820" s="0" t="s">
        <v>32639</v>
      </c>
      <c r="L9820" s="0" t="str">
        <f aca="false">HYPERLINK("https://www.ncbi.nlm.nih.gov/nuccore/CP000058.1?report=graph&amp;tracks=[key:gene_model_track,Options:GeneOnly]&amp;mk=3092218:3092237|offset_17|00cc00,3092191:3092210|offset_44|444444,3092149:3092168|offset_86|444444,3092107:3092126|offset_128|444444&amp;v=3092017:3092326&amp;c=444444", "offset 17")</f>
        <v>offset 17</v>
      </c>
    </row>
    <row r="9821" customFormat="false" ht="12.8" hidden="false" customHeight="false" outlineLevel="0" collapsed="false">
      <c r="A9821" s="0" t="s">
        <v>12</v>
      </c>
      <c r="B9821" s="0" t="n">
        <v>3092190</v>
      </c>
      <c r="C9821" s="0" t="n">
        <v>3092210</v>
      </c>
      <c r="D9821" s="0" t="s">
        <v>32636</v>
      </c>
      <c r="E9821" s="0" t="s">
        <v>75</v>
      </c>
      <c r="F9821" s="0" t="s">
        <v>90</v>
      </c>
      <c r="G9821" s="0" t="s">
        <v>32</v>
      </c>
      <c r="H9821" s="0" t="n">
        <v>44</v>
      </c>
      <c r="I9821" s="0" t="s">
        <v>32640</v>
      </c>
      <c r="J9821" s="0" t="s">
        <v>32641</v>
      </c>
      <c r="K9821" s="0" t="s">
        <v>32642</v>
      </c>
      <c r="L9821" s="0" t="str">
        <f aca="false">HYPERLINK("https://www.ncbi.nlm.nih.gov/nuccore/CP000058.1?report=graph&amp;tracks=[key:gene_model_track,Options:GeneOnly]&amp;mk=3092218:3092237|offset_17|444444,3092191:3092210|offset_44|00cc00,3092149:3092168|offset_86|444444,3092107:3092126|offset_128|444444&amp;v=3092017:3092326&amp;c=444444", "offset 44")</f>
        <v>offset 44</v>
      </c>
    </row>
    <row r="9822" customFormat="false" ht="12.8" hidden="false" customHeight="false" outlineLevel="0" collapsed="false">
      <c r="A9822" s="0" t="s">
        <v>12</v>
      </c>
      <c r="B9822" s="0" t="n">
        <v>3092148</v>
      </c>
      <c r="C9822" s="0" t="n">
        <v>3092168</v>
      </c>
      <c r="D9822" s="0" t="s">
        <v>32636</v>
      </c>
      <c r="E9822" s="0" t="s">
        <v>75</v>
      </c>
      <c r="F9822" s="0" t="s">
        <v>90</v>
      </c>
      <c r="G9822" s="0" t="s">
        <v>32</v>
      </c>
      <c r="H9822" s="0" t="n">
        <v>86</v>
      </c>
      <c r="I9822" s="0" t="s">
        <v>32643</v>
      </c>
      <c r="J9822" s="0" t="s">
        <v>32644</v>
      </c>
      <c r="K9822" s="0" t="s">
        <v>32645</v>
      </c>
      <c r="L9822" s="0" t="str">
        <f aca="false">HYPERLINK("https://www.ncbi.nlm.nih.gov/nuccore/CP000058.1?report=graph&amp;tracks=[key:gene_model_track,Options:GeneOnly]&amp;mk=3092218:3092237|offset_17|444444,3092191:3092210|offset_44|444444,3092149:3092168|offset_86|00cc00,3092107:3092126|offset_128|444444&amp;v=3092017:3092326&amp;c=444444", "offset 86")</f>
        <v>offset 86</v>
      </c>
    </row>
    <row r="9823" customFormat="false" ht="12.8" hidden="false" customHeight="false" outlineLevel="0" collapsed="false">
      <c r="A9823" s="0" t="s">
        <v>12</v>
      </c>
      <c r="B9823" s="0" t="n">
        <v>3092106</v>
      </c>
      <c r="C9823" s="0" t="n">
        <v>3092126</v>
      </c>
      <c r="D9823" s="0" t="s">
        <v>32636</v>
      </c>
      <c r="E9823" s="0" t="s">
        <v>75</v>
      </c>
      <c r="F9823" s="0" t="s">
        <v>90</v>
      </c>
      <c r="G9823" s="0" t="s">
        <v>16</v>
      </c>
      <c r="H9823" s="0" t="n">
        <v>128</v>
      </c>
      <c r="I9823" s="0" t="s">
        <v>32646</v>
      </c>
      <c r="J9823" s="0" t="s">
        <v>32647</v>
      </c>
      <c r="K9823" s="0" t="s">
        <v>32648</v>
      </c>
      <c r="L9823" s="0" t="str">
        <f aca="false">HYPERLINK("https://www.ncbi.nlm.nih.gov/nuccore/CP000058.1?report=graph&amp;tracks=[key:gene_model_track,Options:GeneOnly]&amp;mk=3092218:3092237|offset_17|444444,3092191:3092210|offset_44|444444,3092149:3092168|offset_86|444444,3092107:3092126|offset_128|00cc00&amp;v=3092017:3092326&amp;c=444444", "offset 128")</f>
        <v>offset 128</v>
      </c>
    </row>
    <row r="9824" customFormat="false" ht="12.8" hidden="false" customHeight="false" outlineLevel="0" collapsed="false">
      <c r="A9824" s="0" t="s">
        <v>12</v>
      </c>
      <c r="B9824" s="0" t="n">
        <v>3092379</v>
      </c>
      <c r="C9824" s="0" t="n">
        <v>3092399</v>
      </c>
      <c r="D9824" s="0" t="s">
        <v>32649</v>
      </c>
      <c r="E9824" s="0" t="s">
        <v>75</v>
      </c>
      <c r="F9824" s="0" t="s">
        <v>15</v>
      </c>
      <c r="G9824" s="0" t="s">
        <v>36</v>
      </c>
      <c r="H9824" s="0" t="n">
        <v>16</v>
      </c>
      <c r="I9824" s="0" t="s">
        <v>32650</v>
      </c>
      <c r="J9824" s="0" t="s">
        <v>32651</v>
      </c>
      <c r="K9824" s="0" t="s">
        <v>32652</v>
      </c>
      <c r="L9824" s="0" t="str">
        <f aca="false">HYPERLINK("https://www.ncbi.nlm.nih.gov/nuccore/CP000058.1?report=graph&amp;tracks=[key:gene_model_track,Options:GeneOnly]&amp;mk=3092380:3092399|offset_16|00cc00,3092410:3092429|offset_46|444444,3092461:3092480|offset_97|444444,3092491:3092510|offset_127|444444&amp;v=3092179:3092710&amp;c=444444", "offset 16")</f>
        <v>offset 16</v>
      </c>
    </row>
    <row r="9825" customFormat="false" ht="12.8" hidden="false" customHeight="false" outlineLevel="0" collapsed="false">
      <c r="A9825" s="0" t="s">
        <v>12</v>
      </c>
      <c r="B9825" s="0" t="n">
        <v>3092409</v>
      </c>
      <c r="C9825" s="0" t="n">
        <v>3092429</v>
      </c>
      <c r="D9825" s="0" t="s">
        <v>32649</v>
      </c>
      <c r="E9825" s="0" t="s">
        <v>75</v>
      </c>
      <c r="F9825" s="0" t="s">
        <v>15</v>
      </c>
      <c r="G9825" s="0" t="s">
        <v>32</v>
      </c>
      <c r="H9825" s="0" t="n">
        <v>46</v>
      </c>
      <c r="I9825" s="0" t="s">
        <v>32653</v>
      </c>
      <c r="J9825" s="0" t="s">
        <v>32654</v>
      </c>
      <c r="K9825" s="0" t="s">
        <v>32655</v>
      </c>
      <c r="L9825" s="0" t="str">
        <f aca="false">HYPERLINK("https://www.ncbi.nlm.nih.gov/nuccore/CP000058.1?report=graph&amp;tracks=[key:gene_model_track,Options:GeneOnly]&amp;mk=3092380:3092399|offset_16|444444,3092410:3092429|offset_46|00cc00,3092461:3092480|offset_97|444444,3092491:3092510|offset_127|444444&amp;v=3092179:3092710&amp;c=444444", "offset 46")</f>
        <v>offset 46</v>
      </c>
    </row>
    <row r="9826" customFormat="false" ht="12.8" hidden="false" customHeight="false" outlineLevel="0" collapsed="false">
      <c r="A9826" s="0" t="s">
        <v>12</v>
      </c>
      <c r="B9826" s="0" t="n">
        <v>3092460</v>
      </c>
      <c r="C9826" s="0" t="n">
        <v>3092480</v>
      </c>
      <c r="D9826" s="0" t="s">
        <v>32649</v>
      </c>
      <c r="E9826" s="0" t="s">
        <v>75</v>
      </c>
      <c r="F9826" s="0" t="s">
        <v>15</v>
      </c>
      <c r="G9826" s="0" t="s">
        <v>36</v>
      </c>
      <c r="H9826" s="0" t="n">
        <v>97</v>
      </c>
      <c r="I9826" s="0" t="s">
        <v>32656</v>
      </c>
      <c r="J9826" s="0" t="s">
        <v>32657</v>
      </c>
      <c r="K9826" s="0" t="s">
        <v>32658</v>
      </c>
      <c r="L9826" s="0" t="str">
        <f aca="false">HYPERLINK("https://www.ncbi.nlm.nih.gov/nuccore/CP000058.1?report=graph&amp;tracks=[key:gene_model_track,Options:GeneOnly]&amp;mk=3092380:3092399|offset_16|444444,3092410:3092429|offset_46|444444,3092461:3092480|offset_97|00cc00,3092491:3092510|offset_127|444444&amp;v=3092179:3092710&amp;c=444444", "offset 97")</f>
        <v>offset 97</v>
      </c>
    </row>
    <row r="9827" customFormat="false" ht="12.8" hidden="false" customHeight="false" outlineLevel="0" collapsed="false">
      <c r="A9827" s="0" t="s">
        <v>12</v>
      </c>
      <c r="B9827" s="0" t="n">
        <v>3092490</v>
      </c>
      <c r="C9827" s="0" t="n">
        <v>3092510</v>
      </c>
      <c r="D9827" s="0" t="s">
        <v>32649</v>
      </c>
      <c r="E9827" s="0" t="s">
        <v>75</v>
      </c>
      <c r="F9827" s="0" t="s">
        <v>15</v>
      </c>
      <c r="G9827" s="0" t="s">
        <v>32</v>
      </c>
      <c r="H9827" s="0" t="n">
        <v>127</v>
      </c>
      <c r="I9827" s="0" t="s">
        <v>32659</v>
      </c>
      <c r="J9827" s="0" t="s">
        <v>32660</v>
      </c>
      <c r="K9827" s="0" t="s">
        <v>32661</v>
      </c>
      <c r="L9827" s="0" t="str">
        <f aca="false">HYPERLINK("https://www.ncbi.nlm.nih.gov/nuccore/CP000058.1?report=graph&amp;tracks=[key:gene_model_track,Options:GeneOnly]&amp;mk=3092380:3092399|offset_16|444444,3092410:3092429|offset_46|444444,3092461:3092480|offset_97|444444,3092491:3092510|offset_127|00cc00&amp;v=3092179:3092710&amp;c=444444", "offset 127")</f>
        <v>offset 127</v>
      </c>
    </row>
    <row r="9828" customFormat="false" ht="12.8" hidden="false" customHeight="false" outlineLevel="0" collapsed="false">
      <c r="A9828" s="0" t="s">
        <v>12</v>
      </c>
      <c r="B9828" s="0" t="n">
        <v>3094150</v>
      </c>
      <c r="C9828" s="0" t="n">
        <v>3094170</v>
      </c>
      <c r="D9828" s="0" t="s">
        <v>32662</v>
      </c>
      <c r="E9828" s="0" t="s">
        <v>32663</v>
      </c>
      <c r="F9828" s="0" t="s">
        <v>90</v>
      </c>
      <c r="G9828" s="0" t="s">
        <v>16</v>
      </c>
      <c r="H9828" s="0" t="n">
        <v>6</v>
      </c>
      <c r="I9828" s="0" t="s">
        <v>32664</v>
      </c>
      <c r="J9828" s="0" t="s">
        <v>32665</v>
      </c>
      <c r="K9828" s="0" t="s">
        <v>32666</v>
      </c>
      <c r="L9828" s="0" t="str">
        <f aca="false">HYPERLINK("https://www.ncbi.nlm.nih.gov/nuccore/CP000058.1?report=graph&amp;tracks=[key:gene_model_track,Options:GeneOnly]&amp;mk=3094151:3094170|offset_6|00cc00,3094122:3094141|offset_35|444444,3094099:3094118|offset_58|444444,3094050:3094069|offset_107|444444&amp;v=3093950:3094269&amp;c=444444", "offset 6")</f>
        <v>offset 6</v>
      </c>
    </row>
    <row r="9829" customFormat="false" ht="12.8" hidden="false" customHeight="false" outlineLevel="0" collapsed="false">
      <c r="A9829" s="0" t="s">
        <v>12</v>
      </c>
      <c r="B9829" s="0" t="n">
        <v>3094121</v>
      </c>
      <c r="C9829" s="0" t="n">
        <v>3094141</v>
      </c>
      <c r="D9829" s="0" t="s">
        <v>32662</v>
      </c>
      <c r="E9829" s="0" t="s">
        <v>32663</v>
      </c>
      <c r="F9829" s="0" t="s">
        <v>90</v>
      </c>
      <c r="G9829" s="0" t="s">
        <v>16</v>
      </c>
      <c r="H9829" s="0" t="n">
        <v>35</v>
      </c>
      <c r="I9829" s="0" t="s">
        <v>32667</v>
      </c>
      <c r="J9829" s="0" t="s">
        <v>32668</v>
      </c>
      <c r="K9829" s="0" t="s">
        <v>32669</v>
      </c>
      <c r="L9829" s="0" t="str">
        <f aca="false">HYPERLINK("https://www.ncbi.nlm.nih.gov/nuccore/CP000058.1?report=graph&amp;tracks=[key:gene_model_track,Options:GeneOnly]&amp;mk=3094151:3094170|offset_6|444444,3094122:3094141|offset_35|00cc00,3094099:3094118|offset_58|444444,3094050:3094069|offset_107|444444&amp;v=3093950:3094269&amp;c=444444", "offset 35")</f>
        <v>offset 35</v>
      </c>
    </row>
    <row r="9830" customFormat="false" ht="12.8" hidden="false" customHeight="false" outlineLevel="0" collapsed="false">
      <c r="A9830" s="0" t="s">
        <v>12</v>
      </c>
      <c r="B9830" s="0" t="n">
        <v>3094098</v>
      </c>
      <c r="C9830" s="0" t="n">
        <v>3094118</v>
      </c>
      <c r="D9830" s="0" t="s">
        <v>32662</v>
      </c>
      <c r="E9830" s="0" t="s">
        <v>32663</v>
      </c>
      <c r="F9830" s="0" t="s">
        <v>90</v>
      </c>
      <c r="G9830" s="0" t="s">
        <v>16</v>
      </c>
      <c r="H9830" s="0" t="n">
        <v>58</v>
      </c>
      <c r="I9830" s="0" t="s">
        <v>32670</v>
      </c>
      <c r="J9830" s="0" t="s">
        <v>32671</v>
      </c>
      <c r="K9830" s="0" t="s">
        <v>32672</v>
      </c>
      <c r="L9830" s="0" t="str">
        <f aca="false">HYPERLINK("https://www.ncbi.nlm.nih.gov/nuccore/CP000058.1?report=graph&amp;tracks=[key:gene_model_track,Options:GeneOnly]&amp;mk=3094151:3094170|offset_6|444444,3094122:3094141|offset_35|444444,3094099:3094118|offset_58|00cc00,3094050:3094069|offset_107|444444&amp;v=3093950:3094269&amp;c=444444", "offset 58")</f>
        <v>offset 58</v>
      </c>
    </row>
    <row r="9831" customFormat="false" ht="12.8" hidden="false" customHeight="false" outlineLevel="0" collapsed="false">
      <c r="A9831" s="0" t="s">
        <v>12</v>
      </c>
      <c r="B9831" s="0" t="n">
        <v>3094049</v>
      </c>
      <c r="C9831" s="0" t="n">
        <v>3094069</v>
      </c>
      <c r="D9831" s="0" t="s">
        <v>32662</v>
      </c>
      <c r="E9831" s="0" t="s">
        <v>32663</v>
      </c>
      <c r="F9831" s="0" t="s">
        <v>90</v>
      </c>
      <c r="G9831" s="0" t="s">
        <v>20</v>
      </c>
      <c r="H9831" s="0" t="n">
        <v>107</v>
      </c>
      <c r="I9831" s="0" t="s">
        <v>32673</v>
      </c>
      <c r="J9831" s="0" t="s">
        <v>32674</v>
      </c>
      <c r="K9831" s="0" t="s">
        <v>32675</v>
      </c>
      <c r="L9831" s="0" t="str">
        <f aca="false">HYPERLINK("https://www.ncbi.nlm.nih.gov/nuccore/CP000058.1?report=graph&amp;tracks=[key:gene_model_track,Options:GeneOnly]&amp;mk=3094151:3094170|offset_6|444444,3094122:3094141|offset_35|444444,3094099:3094118|offset_58|444444,3094050:3094069|offset_107|00cc00&amp;v=3093950:3094269&amp;c=444444", "offset 107")</f>
        <v>offset 107</v>
      </c>
    </row>
    <row r="9832" customFormat="false" ht="12.8" hidden="false" customHeight="false" outlineLevel="0" collapsed="false">
      <c r="A9832" s="0" t="s">
        <v>12</v>
      </c>
      <c r="B9832" s="0" t="n">
        <v>3094962</v>
      </c>
      <c r="C9832" s="0" t="n">
        <v>3094982</v>
      </c>
      <c r="D9832" s="0" t="s">
        <v>32676</v>
      </c>
      <c r="E9832" s="0" t="s">
        <v>75</v>
      </c>
      <c r="F9832" s="0" t="s">
        <v>90</v>
      </c>
      <c r="G9832" s="0" t="s">
        <v>20</v>
      </c>
      <c r="H9832" s="0" t="n">
        <v>1</v>
      </c>
      <c r="I9832" s="0" t="s">
        <v>32677</v>
      </c>
      <c r="J9832" s="0" t="s">
        <v>32678</v>
      </c>
      <c r="K9832" s="0" t="s">
        <v>32679</v>
      </c>
      <c r="L9832" s="0" t="str">
        <f aca="false">HYPERLINK("https://www.ncbi.nlm.nih.gov/nuccore/CP000058.1?report=graph&amp;tracks=[key:gene_model_track,Options:GeneOnly]&amp;mk=3094963:3094982|offset_1|00cc00,3094916:3094935|offset_48|444444,3094896:3094915|offset_68|444444,3094844:3094863|offset_120|444444&amp;v=3094762:3095063&amp;c=444444", "offset 1")</f>
        <v>offset 1</v>
      </c>
    </row>
    <row r="9833" customFormat="false" ht="12.8" hidden="false" customHeight="false" outlineLevel="0" collapsed="false">
      <c r="A9833" s="0" t="s">
        <v>12</v>
      </c>
      <c r="B9833" s="0" t="n">
        <v>3094915</v>
      </c>
      <c r="C9833" s="0" t="n">
        <v>3094935</v>
      </c>
      <c r="D9833" s="0" t="s">
        <v>32676</v>
      </c>
      <c r="E9833" s="0" t="s">
        <v>75</v>
      </c>
      <c r="F9833" s="0" t="s">
        <v>90</v>
      </c>
      <c r="G9833" s="0" t="s">
        <v>16</v>
      </c>
      <c r="H9833" s="0" t="n">
        <v>48</v>
      </c>
      <c r="I9833" s="0" t="s">
        <v>32680</v>
      </c>
      <c r="J9833" s="0" t="s">
        <v>32681</v>
      </c>
      <c r="K9833" s="0" t="s">
        <v>32682</v>
      </c>
      <c r="L9833" s="0" t="str">
        <f aca="false">HYPERLINK("https://www.ncbi.nlm.nih.gov/nuccore/CP000058.1?report=graph&amp;tracks=[key:gene_model_track,Options:GeneOnly]&amp;mk=3094963:3094982|offset_1|444444,3094916:3094935|offset_48|00cc00,3094896:3094915|offset_68|444444,3094844:3094863|offset_120|444444&amp;v=3094762:3095063&amp;c=444444", "offset 48")</f>
        <v>offset 48</v>
      </c>
    </row>
    <row r="9834" customFormat="false" ht="12.8" hidden="false" customHeight="false" outlineLevel="0" collapsed="false">
      <c r="A9834" s="0" t="s">
        <v>12</v>
      </c>
      <c r="B9834" s="0" t="n">
        <v>3094895</v>
      </c>
      <c r="C9834" s="0" t="n">
        <v>3094915</v>
      </c>
      <c r="D9834" s="0" t="s">
        <v>32676</v>
      </c>
      <c r="E9834" s="0" t="s">
        <v>75</v>
      </c>
      <c r="F9834" s="0" t="s">
        <v>90</v>
      </c>
      <c r="G9834" s="0" t="s">
        <v>36</v>
      </c>
      <c r="H9834" s="0" t="n">
        <v>68</v>
      </c>
      <c r="I9834" s="0" t="s">
        <v>32683</v>
      </c>
      <c r="J9834" s="0" t="s">
        <v>32684</v>
      </c>
      <c r="K9834" s="0" t="s">
        <v>32685</v>
      </c>
      <c r="L9834" s="0" t="str">
        <f aca="false">HYPERLINK("https://www.ncbi.nlm.nih.gov/nuccore/CP000058.1?report=graph&amp;tracks=[key:gene_model_track,Options:GeneOnly]&amp;mk=3094963:3094982|offset_1|444444,3094916:3094935|offset_48|444444,3094896:3094915|offset_68|00cc00,3094844:3094863|offset_120|444444&amp;v=3094762:3095063&amp;c=444444", "offset 68")</f>
        <v>offset 68</v>
      </c>
    </row>
    <row r="9835" customFormat="false" ht="12.8" hidden="false" customHeight="false" outlineLevel="0" collapsed="false">
      <c r="A9835" s="0" t="s">
        <v>12</v>
      </c>
      <c r="B9835" s="0" t="n">
        <v>3094843</v>
      </c>
      <c r="C9835" s="0" t="n">
        <v>3094863</v>
      </c>
      <c r="D9835" s="0" t="s">
        <v>32676</v>
      </c>
      <c r="E9835" s="0" t="s">
        <v>75</v>
      </c>
      <c r="F9835" s="0" t="s">
        <v>90</v>
      </c>
      <c r="G9835" s="0" t="s">
        <v>36</v>
      </c>
      <c r="H9835" s="0" t="n">
        <v>120</v>
      </c>
      <c r="I9835" s="0" t="s">
        <v>32686</v>
      </c>
      <c r="J9835" s="0" t="s">
        <v>32687</v>
      </c>
      <c r="K9835" s="0" t="s">
        <v>32688</v>
      </c>
      <c r="L9835" s="0" t="str">
        <f aca="false">HYPERLINK("https://www.ncbi.nlm.nih.gov/nuccore/CP000058.1?report=graph&amp;tracks=[key:gene_model_track,Options:GeneOnly]&amp;mk=3094963:3094982|offset_1|444444,3094916:3094935|offset_48|444444,3094896:3094915|offset_68|444444,3094844:3094863|offset_120|00cc00&amp;v=3094762:3095063&amp;c=444444", "offset 120")</f>
        <v>offset 120</v>
      </c>
    </row>
    <row r="9836" customFormat="false" ht="12.8" hidden="false" customHeight="false" outlineLevel="0" collapsed="false">
      <c r="A9836" s="0" t="s">
        <v>12</v>
      </c>
      <c r="B9836" s="0" t="n">
        <v>3096053</v>
      </c>
      <c r="C9836" s="0" t="n">
        <v>3096073</v>
      </c>
      <c r="D9836" s="0" t="s">
        <v>32689</v>
      </c>
      <c r="E9836" s="0" t="s">
        <v>75</v>
      </c>
      <c r="F9836" s="0" t="s">
        <v>90</v>
      </c>
      <c r="G9836" s="0" t="s">
        <v>32</v>
      </c>
      <c r="H9836" s="0" t="n">
        <v>10</v>
      </c>
      <c r="I9836" s="0" t="s">
        <v>32690</v>
      </c>
      <c r="J9836" s="0" t="s">
        <v>32691</v>
      </c>
      <c r="K9836" s="0" t="s">
        <v>32692</v>
      </c>
      <c r="L9836" s="0" t="str">
        <f aca="false">HYPERLINK("https://www.ncbi.nlm.nih.gov/nuccore/CP000058.1?report=graph&amp;tracks=[key:gene_model_track,Options:GeneOnly]&amp;mk=3096054:3096073|offset_10|00cc00,3096032:3096051|offset_32|444444,3096010:3096029|offset_54|444444,3095977:3095996|offset_87|444444&amp;v=3095853:3096196&amp;c=444444", "offset 10")</f>
        <v>offset 10</v>
      </c>
    </row>
    <row r="9837" customFormat="false" ht="12.8" hidden="false" customHeight="false" outlineLevel="0" collapsed="false">
      <c r="A9837" s="0" t="s">
        <v>12</v>
      </c>
      <c r="B9837" s="0" t="n">
        <v>3096031</v>
      </c>
      <c r="C9837" s="0" t="n">
        <v>3096051</v>
      </c>
      <c r="D9837" s="0" t="s">
        <v>32689</v>
      </c>
      <c r="E9837" s="0" t="s">
        <v>75</v>
      </c>
      <c r="F9837" s="0" t="s">
        <v>90</v>
      </c>
      <c r="G9837" s="0" t="s">
        <v>36</v>
      </c>
      <c r="H9837" s="0" t="n">
        <v>32</v>
      </c>
      <c r="I9837" s="0" t="s">
        <v>32693</v>
      </c>
      <c r="J9837" s="0" t="s">
        <v>32694</v>
      </c>
      <c r="K9837" s="0" t="s">
        <v>32695</v>
      </c>
      <c r="L9837" s="0" t="str">
        <f aca="false">HYPERLINK("https://www.ncbi.nlm.nih.gov/nuccore/CP000058.1?report=graph&amp;tracks=[key:gene_model_track,Options:GeneOnly]&amp;mk=3096054:3096073|offset_10|444444,3096032:3096051|offset_32|00cc00,3096010:3096029|offset_54|444444,3095977:3095996|offset_87|444444&amp;v=3095853:3096196&amp;c=444444", "offset 32")</f>
        <v>offset 32</v>
      </c>
    </row>
    <row r="9838" customFormat="false" ht="12.8" hidden="false" customHeight="false" outlineLevel="0" collapsed="false">
      <c r="A9838" s="0" t="s">
        <v>12</v>
      </c>
      <c r="B9838" s="0" t="n">
        <v>3096009</v>
      </c>
      <c r="C9838" s="0" t="n">
        <v>3096029</v>
      </c>
      <c r="D9838" s="0" t="s">
        <v>32689</v>
      </c>
      <c r="E9838" s="0" t="s">
        <v>75</v>
      </c>
      <c r="F9838" s="0" t="s">
        <v>90</v>
      </c>
      <c r="G9838" s="0" t="s">
        <v>32</v>
      </c>
      <c r="H9838" s="0" t="n">
        <v>54</v>
      </c>
      <c r="I9838" s="0" t="s">
        <v>32696</v>
      </c>
      <c r="J9838" s="0" t="s">
        <v>32697</v>
      </c>
      <c r="K9838" s="0" t="s">
        <v>32698</v>
      </c>
      <c r="L9838" s="0" t="str">
        <f aca="false">HYPERLINK("https://www.ncbi.nlm.nih.gov/nuccore/CP000058.1?report=graph&amp;tracks=[key:gene_model_track,Options:GeneOnly]&amp;mk=3096054:3096073|offset_10|444444,3096032:3096051|offset_32|444444,3096010:3096029|offset_54|00cc00,3095977:3095996|offset_87|444444&amp;v=3095853:3096196&amp;c=444444", "offset 54")</f>
        <v>offset 54</v>
      </c>
    </row>
    <row r="9839" customFormat="false" ht="12.8" hidden="false" customHeight="false" outlineLevel="0" collapsed="false">
      <c r="A9839" s="0" t="s">
        <v>12</v>
      </c>
      <c r="B9839" s="0" t="n">
        <v>3095976</v>
      </c>
      <c r="C9839" s="0" t="n">
        <v>3095996</v>
      </c>
      <c r="D9839" s="0" t="s">
        <v>32689</v>
      </c>
      <c r="E9839" s="0" t="s">
        <v>75</v>
      </c>
      <c r="F9839" s="0" t="s">
        <v>90</v>
      </c>
      <c r="G9839" s="0" t="s">
        <v>16</v>
      </c>
      <c r="H9839" s="0" t="n">
        <v>87</v>
      </c>
      <c r="I9839" s="0" t="s">
        <v>32699</v>
      </c>
      <c r="J9839" s="0" t="s">
        <v>32700</v>
      </c>
      <c r="K9839" s="0" t="s">
        <v>32701</v>
      </c>
      <c r="L9839" s="0" t="str">
        <f aca="false">HYPERLINK("https://www.ncbi.nlm.nih.gov/nuccore/CP000058.1?report=graph&amp;tracks=[key:gene_model_track,Options:GeneOnly]&amp;mk=3096054:3096073|offset_10|444444,3096032:3096051|offset_32|444444,3096010:3096029|offset_54|444444,3095977:3095996|offset_87|00cc00&amp;v=3095853:3096196&amp;c=444444", "offset 87")</f>
        <v>offset 87</v>
      </c>
    </row>
    <row r="9840" customFormat="false" ht="12.8" hidden="false" customHeight="false" outlineLevel="0" collapsed="false">
      <c r="A9840" s="0" t="s">
        <v>12</v>
      </c>
      <c r="B9840" s="0" t="n">
        <v>3096549</v>
      </c>
      <c r="C9840" s="0" t="n">
        <v>3096569</v>
      </c>
      <c r="D9840" s="0" t="s">
        <v>32702</v>
      </c>
      <c r="E9840" s="0" t="s">
        <v>75</v>
      </c>
      <c r="F9840" s="0" t="s">
        <v>15</v>
      </c>
      <c r="G9840" s="0" t="s">
        <v>16</v>
      </c>
      <c r="H9840" s="0" t="n">
        <v>12</v>
      </c>
      <c r="I9840" s="0" t="s">
        <v>32703</v>
      </c>
      <c r="J9840" s="0" t="s">
        <v>32704</v>
      </c>
      <c r="K9840" s="0" t="s">
        <v>32705</v>
      </c>
      <c r="L9840" s="0" t="str">
        <f aca="false">HYPERLINK("https://www.ncbi.nlm.nih.gov/nuccore/CP000058.1?report=graph&amp;tracks=[key:gene_model_track,Options:GeneOnly]&amp;mk=3096550:3096569|offset_12|00cc00,3096570:3096589|offset_32|444444,3096603:3096622|offset_65|444444,3096626:3096645|offset_88|444444&amp;v=3096349:3096845&amp;c=444444", "offset 12")</f>
        <v>offset 12</v>
      </c>
    </row>
    <row r="9841" customFormat="false" ht="12.8" hidden="false" customHeight="false" outlineLevel="0" collapsed="false">
      <c r="A9841" s="0" t="s">
        <v>12</v>
      </c>
      <c r="B9841" s="0" t="n">
        <v>3096569</v>
      </c>
      <c r="C9841" s="0" t="n">
        <v>3096589</v>
      </c>
      <c r="D9841" s="0" t="s">
        <v>32702</v>
      </c>
      <c r="E9841" s="0" t="s">
        <v>75</v>
      </c>
      <c r="F9841" s="0" t="s">
        <v>15</v>
      </c>
      <c r="G9841" s="0" t="s">
        <v>16</v>
      </c>
      <c r="H9841" s="0" t="n">
        <v>32</v>
      </c>
      <c r="I9841" s="0" t="s">
        <v>32706</v>
      </c>
      <c r="J9841" s="0" t="s">
        <v>32707</v>
      </c>
      <c r="K9841" s="0" t="s">
        <v>32708</v>
      </c>
      <c r="L9841" s="0" t="str">
        <f aca="false">HYPERLINK("https://www.ncbi.nlm.nih.gov/nuccore/CP000058.1?report=graph&amp;tracks=[key:gene_model_track,Options:GeneOnly]&amp;mk=3096550:3096569|offset_12|444444,3096570:3096589|offset_32|00cc00,3096603:3096622|offset_65|444444,3096626:3096645|offset_88|444444&amp;v=3096349:3096845&amp;c=444444", "offset 32")</f>
        <v>offset 32</v>
      </c>
    </row>
    <row r="9842" customFormat="false" ht="12.8" hidden="false" customHeight="false" outlineLevel="0" collapsed="false">
      <c r="A9842" s="0" t="s">
        <v>12</v>
      </c>
      <c r="B9842" s="0" t="n">
        <v>3096602</v>
      </c>
      <c r="C9842" s="0" t="n">
        <v>3096622</v>
      </c>
      <c r="D9842" s="0" t="s">
        <v>32702</v>
      </c>
      <c r="E9842" s="0" t="s">
        <v>75</v>
      </c>
      <c r="F9842" s="0" t="s">
        <v>15</v>
      </c>
      <c r="G9842" s="0" t="s">
        <v>36</v>
      </c>
      <c r="H9842" s="0" t="n">
        <v>65</v>
      </c>
      <c r="I9842" s="0" t="s">
        <v>32709</v>
      </c>
      <c r="J9842" s="0" t="s">
        <v>32710</v>
      </c>
      <c r="K9842" s="0" t="s">
        <v>32711</v>
      </c>
      <c r="L9842" s="0" t="str">
        <f aca="false">HYPERLINK("https://www.ncbi.nlm.nih.gov/nuccore/CP000058.1?report=graph&amp;tracks=[key:gene_model_track,Options:GeneOnly]&amp;mk=3096550:3096569|offset_12|444444,3096570:3096589|offset_32|444444,3096603:3096622|offset_65|00cc00,3096626:3096645|offset_88|444444&amp;v=3096349:3096845&amp;c=444444", "offset 65")</f>
        <v>offset 65</v>
      </c>
    </row>
    <row r="9843" customFormat="false" ht="12.8" hidden="false" customHeight="false" outlineLevel="0" collapsed="false">
      <c r="A9843" s="0" t="s">
        <v>12</v>
      </c>
      <c r="B9843" s="0" t="n">
        <v>3096625</v>
      </c>
      <c r="C9843" s="0" t="n">
        <v>3096645</v>
      </c>
      <c r="D9843" s="0" t="s">
        <v>32702</v>
      </c>
      <c r="E9843" s="0" t="s">
        <v>75</v>
      </c>
      <c r="F9843" s="0" t="s">
        <v>15</v>
      </c>
      <c r="G9843" s="0" t="s">
        <v>36</v>
      </c>
      <c r="H9843" s="0" t="n">
        <v>88</v>
      </c>
      <c r="I9843" s="0" t="s">
        <v>32712</v>
      </c>
      <c r="J9843" s="0" t="s">
        <v>32713</v>
      </c>
      <c r="K9843" s="0" t="s">
        <v>32714</v>
      </c>
      <c r="L9843" s="0" t="str">
        <f aca="false">HYPERLINK("https://www.ncbi.nlm.nih.gov/nuccore/CP000058.1?report=graph&amp;tracks=[key:gene_model_track,Options:GeneOnly]&amp;mk=3096550:3096569|offset_12|444444,3096570:3096589|offset_32|444444,3096603:3096622|offset_65|444444,3096626:3096645|offset_88|00cc00&amp;v=3096349:3096845&amp;c=444444", "offset 88")</f>
        <v>offset 88</v>
      </c>
    </row>
    <row r="9844" customFormat="false" ht="12.8" hidden="false" customHeight="false" outlineLevel="0" collapsed="false">
      <c r="A9844" s="0" t="s">
        <v>12</v>
      </c>
      <c r="B9844" s="0" t="n">
        <v>3098205</v>
      </c>
      <c r="C9844" s="0" t="n">
        <v>3098225</v>
      </c>
      <c r="D9844" s="0" t="s">
        <v>32715</v>
      </c>
      <c r="E9844" s="0" t="s">
        <v>75</v>
      </c>
      <c r="F9844" s="0" t="s">
        <v>90</v>
      </c>
      <c r="G9844" s="0" t="s">
        <v>32</v>
      </c>
      <c r="H9844" s="0" t="n">
        <v>14</v>
      </c>
      <c r="I9844" s="0" t="s">
        <v>32716</v>
      </c>
      <c r="J9844" s="0" t="s">
        <v>32717</v>
      </c>
      <c r="K9844" s="0" t="s">
        <v>32718</v>
      </c>
      <c r="L9844" s="0" t="str">
        <f aca="false">HYPERLINK("https://www.ncbi.nlm.nih.gov/nuccore/CP000058.1?report=graph&amp;tracks=[key:gene_model_track,Options:GeneOnly]&amp;mk=3098206:3098225|offset_14|00cc00,3098174:3098193|offset_46|444444,3098135:3098154|offset_85|444444,3098111:3098130|offset_109|444444&amp;v=3098005:3098330&amp;c=444444", "offset 14")</f>
        <v>offset 14</v>
      </c>
    </row>
    <row r="9845" customFormat="false" ht="12.8" hidden="false" customHeight="false" outlineLevel="0" collapsed="false">
      <c r="A9845" s="0" t="s">
        <v>12</v>
      </c>
      <c r="B9845" s="0" t="n">
        <v>3098173</v>
      </c>
      <c r="C9845" s="0" t="n">
        <v>3098193</v>
      </c>
      <c r="D9845" s="0" t="s">
        <v>32715</v>
      </c>
      <c r="E9845" s="0" t="s">
        <v>75</v>
      </c>
      <c r="F9845" s="0" t="s">
        <v>90</v>
      </c>
      <c r="G9845" s="0" t="s">
        <v>32</v>
      </c>
      <c r="H9845" s="0" t="n">
        <v>46</v>
      </c>
      <c r="I9845" s="0" t="s">
        <v>32719</v>
      </c>
      <c r="J9845" s="0" t="s">
        <v>32720</v>
      </c>
      <c r="K9845" s="0" t="s">
        <v>32721</v>
      </c>
      <c r="L9845" s="0" t="str">
        <f aca="false">HYPERLINK("https://www.ncbi.nlm.nih.gov/nuccore/CP000058.1?report=graph&amp;tracks=[key:gene_model_track,Options:GeneOnly]&amp;mk=3098206:3098225|offset_14|444444,3098174:3098193|offset_46|00cc00,3098135:3098154|offset_85|444444,3098111:3098130|offset_109|444444&amp;v=3098005:3098330&amp;c=444444", "offset 46")</f>
        <v>offset 46</v>
      </c>
    </row>
    <row r="9846" customFormat="false" ht="12.8" hidden="false" customHeight="false" outlineLevel="0" collapsed="false">
      <c r="A9846" s="0" t="s">
        <v>12</v>
      </c>
      <c r="B9846" s="0" t="n">
        <v>3098134</v>
      </c>
      <c r="C9846" s="0" t="n">
        <v>3098154</v>
      </c>
      <c r="D9846" s="0" t="s">
        <v>32715</v>
      </c>
      <c r="E9846" s="0" t="s">
        <v>75</v>
      </c>
      <c r="F9846" s="0" t="s">
        <v>90</v>
      </c>
      <c r="G9846" s="0" t="s">
        <v>32</v>
      </c>
      <c r="H9846" s="0" t="n">
        <v>85</v>
      </c>
      <c r="I9846" s="0" t="s">
        <v>32722</v>
      </c>
      <c r="J9846" s="0" t="s">
        <v>32723</v>
      </c>
      <c r="K9846" s="0" t="s">
        <v>32724</v>
      </c>
      <c r="L9846" s="0" t="str">
        <f aca="false">HYPERLINK("https://www.ncbi.nlm.nih.gov/nuccore/CP000058.1?report=graph&amp;tracks=[key:gene_model_track,Options:GeneOnly]&amp;mk=3098206:3098225|offset_14|444444,3098174:3098193|offset_46|444444,3098135:3098154|offset_85|00cc00,3098111:3098130|offset_109|444444&amp;v=3098005:3098330&amp;c=444444", "offset 85")</f>
        <v>offset 85</v>
      </c>
    </row>
    <row r="9847" customFormat="false" ht="12.8" hidden="false" customHeight="false" outlineLevel="0" collapsed="false">
      <c r="A9847" s="0" t="s">
        <v>12</v>
      </c>
      <c r="B9847" s="0" t="n">
        <v>3098110</v>
      </c>
      <c r="C9847" s="0" t="n">
        <v>3098130</v>
      </c>
      <c r="D9847" s="0" t="s">
        <v>32715</v>
      </c>
      <c r="E9847" s="0" t="s">
        <v>75</v>
      </c>
      <c r="F9847" s="0" t="s">
        <v>90</v>
      </c>
      <c r="G9847" s="0" t="s">
        <v>32</v>
      </c>
      <c r="H9847" s="0" t="n">
        <v>109</v>
      </c>
      <c r="I9847" s="0" t="s">
        <v>32725</v>
      </c>
      <c r="J9847" s="0" t="s">
        <v>32726</v>
      </c>
      <c r="K9847" s="0" t="s">
        <v>32727</v>
      </c>
      <c r="L9847" s="0" t="str">
        <f aca="false">HYPERLINK("https://www.ncbi.nlm.nih.gov/nuccore/CP000058.1?report=graph&amp;tracks=[key:gene_model_track,Options:GeneOnly]&amp;mk=3098206:3098225|offset_14|444444,3098174:3098193|offset_46|444444,3098135:3098154|offset_85|444444,3098111:3098130|offset_109|00cc00&amp;v=3098005:3098330&amp;c=444444", "offset 109")</f>
        <v>offset 109</v>
      </c>
    </row>
    <row r="9848" customFormat="false" ht="12.8" hidden="false" customHeight="false" outlineLevel="0" collapsed="false">
      <c r="A9848" s="0" t="s">
        <v>12</v>
      </c>
      <c r="B9848" s="0" t="n">
        <v>3098430</v>
      </c>
      <c r="C9848" s="0" t="n">
        <v>3098450</v>
      </c>
      <c r="D9848" s="0" t="s">
        <v>32728</v>
      </c>
      <c r="E9848" s="0" t="s">
        <v>32729</v>
      </c>
      <c r="F9848" s="0" t="s">
        <v>15</v>
      </c>
      <c r="G9848" s="0" t="s">
        <v>32</v>
      </c>
      <c r="H9848" s="0" t="n">
        <v>10</v>
      </c>
      <c r="I9848" s="0" t="s">
        <v>32730</v>
      </c>
      <c r="J9848" s="0" t="s">
        <v>32731</v>
      </c>
      <c r="K9848" s="0" t="s">
        <v>32732</v>
      </c>
      <c r="L9848" s="0" t="str">
        <f aca="false">HYPERLINK("https://www.ncbi.nlm.nih.gov/nuccore/CP000058.1?report=graph&amp;tracks=[key:gene_model_track,Options:GeneOnly]&amp;mk=3098431:3098450|offset_10|00cc00,3098465:3098484|offset_44|444444,3098508:3098527|offset_87|444444,3098578:3098597|offset_157|444444&amp;v=3098230:3098797&amp;c=444444", "offset 10")</f>
        <v>offset 10</v>
      </c>
    </row>
    <row r="9849" customFormat="false" ht="12.8" hidden="false" customHeight="false" outlineLevel="0" collapsed="false">
      <c r="A9849" s="0" t="s">
        <v>12</v>
      </c>
      <c r="B9849" s="0" t="n">
        <v>3098464</v>
      </c>
      <c r="C9849" s="0" t="n">
        <v>3098484</v>
      </c>
      <c r="D9849" s="0" t="s">
        <v>32728</v>
      </c>
      <c r="E9849" s="0" t="s">
        <v>32729</v>
      </c>
      <c r="F9849" s="0" t="s">
        <v>15</v>
      </c>
      <c r="G9849" s="0" t="s">
        <v>20</v>
      </c>
      <c r="H9849" s="0" t="n">
        <v>44</v>
      </c>
      <c r="I9849" s="0" t="s">
        <v>32733</v>
      </c>
      <c r="J9849" s="0" t="s">
        <v>32734</v>
      </c>
      <c r="K9849" s="0" t="s">
        <v>32735</v>
      </c>
      <c r="L9849" s="0" t="str">
        <f aca="false">HYPERLINK("https://www.ncbi.nlm.nih.gov/nuccore/CP000058.1?report=graph&amp;tracks=[key:gene_model_track,Options:GeneOnly]&amp;mk=3098431:3098450|offset_10|444444,3098465:3098484|offset_44|00cc00,3098508:3098527|offset_87|444444,3098578:3098597|offset_157|444444&amp;v=3098230:3098797&amp;c=444444", "offset 44")</f>
        <v>offset 44</v>
      </c>
    </row>
    <row r="9850" customFormat="false" ht="12.8" hidden="false" customHeight="false" outlineLevel="0" collapsed="false">
      <c r="A9850" s="0" t="s">
        <v>12</v>
      </c>
      <c r="B9850" s="0" t="n">
        <v>3098507</v>
      </c>
      <c r="C9850" s="0" t="n">
        <v>3098527</v>
      </c>
      <c r="D9850" s="0" t="s">
        <v>32728</v>
      </c>
      <c r="E9850" s="0" t="s">
        <v>32729</v>
      </c>
      <c r="F9850" s="0" t="s">
        <v>15</v>
      </c>
      <c r="G9850" s="0" t="s">
        <v>16</v>
      </c>
      <c r="H9850" s="0" t="n">
        <v>87</v>
      </c>
      <c r="I9850" s="0" t="s">
        <v>32736</v>
      </c>
      <c r="J9850" s="0" t="s">
        <v>32737</v>
      </c>
      <c r="K9850" s="0" t="s">
        <v>32738</v>
      </c>
      <c r="L9850" s="0" t="str">
        <f aca="false">HYPERLINK("https://www.ncbi.nlm.nih.gov/nuccore/CP000058.1?report=graph&amp;tracks=[key:gene_model_track,Options:GeneOnly]&amp;mk=3098431:3098450|offset_10|444444,3098465:3098484|offset_44|444444,3098508:3098527|offset_87|00cc00,3098578:3098597|offset_157|444444&amp;v=3098230:3098797&amp;c=444444", "offset 87")</f>
        <v>offset 87</v>
      </c>
    </row>
    <row r="9851" customFormat="false" ht="12.8" hidden="false" customHeight="false" outlineLevel="0" collapsed="false">
      <c r="A9851" s="0" t="s">
        <v>12</v>
      </c>
      <c r="B9851" s="0" t="n">
        <v>3098577</v>
      </c>
      <c r="C9851" s="0" t="n">
        <v>3098597</v>
      </c>
      <c r="D9851" s="0" t="s">
        <v>32728</v>
      </c>
      <c r="E9851" s="0" t="s">
        <v>32729</v>
      </c>
      <c r="F9851" s="0" t="s">
        <v>15</v>
      </c>
      <c r="G9851" s="0" t="s">
        <v>36</v>
      </c>
      <c r="H9851" s="0" t="n">
        <v>157</v>
      </c>
      <c r="I9851" s="0" t="s">
        <v>32739</v>
      </c>
      <c r="J9851" s="0" t="s">
        <v>32740</v>
      </c>
      <c r="K9851" s="0" t="s">
        <v>32741</v>
      </c>
      <c r="L9851" s="0" t="str">
        <f aca="false">HYPERLINK("https://www.ncbi.nlm.nih.gov/nuccore/CP000058.1?report=graph&amp;tracks=[key:gene_model_track,Options:GeneOnly]&amp;mk=3098431:3098450|offset_10|444444,3098465:3098484|offset_44|444444,3098508:3098527|offset_87|444444,3098578:3098597|offset_157|00cc00&amp;v=3098230:3098797&amp;c=444444", "offset 157")</f>
        <v>offset 157</v>
      </c>
    </row>
    <row r="9852" customFormat="false" ht="12.8" hidden="false" customHeight="false" outlineLevel="0" collapsed="false">
      <c r="A9852" s="0" t="s">
        <v>12</v>
      </c>
      <c r="B9852" s="0" t="n">
        <v>3099057</v>
      </c>
      <c r="C9852" s="0" t="n">
        <v>3099077</v>
      </c>
      <c r="D9852" s="0" t="s">
        <v>32742</v>
      </c>
      <c r="E9852" s="0" t="s">
        <v>75</v>
      </c>
      <c r="F9852" s="0" t="s">
        <v>15</v>
      </c>
      <c r="G9852" s="0" t="s">
        <v>20</v>
      </c>
      <c r="H9852" s="0" t="n">
        <v>23</v>
      </c>
      <c r="I9852" s="0" t="s">
        <v>32743</v>
      </c>
      <c r="J9852" s="0" t="s">
        <v>32744</v>
      </c>
      <c r="K9852" s="0" t="s">
        <v>32745</v>
      </c>
      <c r="L9852" s="0" t="str">
        <f aca="false">HYPERLINK("https://www.ncbi.nlm.nih.gov/nuccore/CP000058.1?report=graph&amp;tracks=[key:gene_model_track,Options:GeneOnly]&amp;mk=3099058:3099077|offset_23|00cc00,3099097:3099116|offset_62|444444,3099124:3099143|offset_89|444444,3099159:3099178|offset_124|444444&amp;v=3098857:3099378&amp;c=444444", "offset 23")</f>
        <v>offset 23</v>
      </c>
    </row>
    <row r="9853" customFormat="false" ht="12.8" hidden="false" customHeight="false" outlineLevel="0" collapsed="false">
      <c r="A9853" s="0" t="s">
        <v>12</v>
      </c>
      <c r="B9853" s="0" t="n">
        <v>3099096</v>
      </c>
      <c r="C9853" s="0" t="n">
        <v>3099116</v>
      </c>
      <c r="D9853" s="0" t="s">
        <v>32742</v>
      </c>
      <c r="E9853" s="0" t="s">
        <v>75</v>
      </c>
      <c r="F9853" s="0" t="s">
        <v>15</v>
      </c>
      <c r="G9853" s="0" t="s">
        <v>16</v>
      </c>
      <c r="H9853" s="0" t="n">
        <v>62</v>
      </c>
      <c r="I9853" s="0" t="s">
        <v>32746</v>
      </c>
      <c r="J9853" s="0" t="s">
        <v>32747</v>
      </c>
      <c r="K9853" s="0" t="s">
        <v>32748</v>
      </c>
      <c r="L9853" s="0" t="str">
        <f aca="false">HYPERLINK("https://www.ncbi.nlm.nih.gov/nuccore/CP000058.1?report=graph&amp;tracks=[key:gene_model_track,Options:GeneOnly]&amp;mk=3099058:3099077|offset_23|444444,3099097:3099116|offset_62|00cc00,3099124:3099143|offset_89|444444,3099159:3099178|offset_124|444444&amp;v=3098857:3099378&amp;c=444444", "offset 62")</f>
        <v>offset 62</v>
      </c>
    </row>
    <row r="9854" customFormat="false" ht="12.8" hidden="false" customHeight="false" outlineLevel="0" collapsed="false">
      <c r="A9854" s="0" t="s">
        <v>12</v>
      </c>
      <c r="B9854" s="0" t="n">
        <v>3099123</v>
      </c>
      <c r="C9854" s="0" t="n">
        <v>3099143</v>
      </c>
      <c r="D9854" s="0" t="s">
        <v>32742</v>
      </c>
      <c r="E9854" s="0" t="s">
        <v>75</v>
      </c>
      <c r="F9854" s="0" t="s">
        <v>15</v>
      </c>
      <c r="G9854" s="0" t="s">
        <v>36</v>
      </c>
      <c r="H9854" s="0" t="n">
        <v>89</v>
      </c>
      <c r="I9854" s="0" t="s">
        <v>32749</v>
      </c>
      <c r="J9854" s="0" t="s">
        <v>32750</v>
      </c>
      <c r="K9854" s="0" t="s">
        <v>32751</v>
      </c>
      <c r="L9854" s="0" t="str">
        <f aca="false">HYPERLINK("https://www.ncbi.nlm.nih.gov/nuccore/CP000058.1?report=graph&amp;tracks=[key:gene_model_track,Options:GeneOnly]&amp;mk=3099058:3099077|offset_23|444444,3099097:3099116|offset_62|444444,3099124:3099143|offset_89|00cc00,3099159:3099178|offset_124|444444&amp;v=3098857:3099378&amp;c=444444", "offset 89")</f>
        <v>offset 89</v>
      </c>
    </row>
    <row r="9855" customFormat="false" ht="12.8" hidden="false" customHeight="false" outlineLevel="0" collapsed="false">
      <c r="A9855" s="0" t="s">
        <v>12</v>
      </c>
      <c r="B9855" s="0" t="n">
        <v>3099158</v>
      </c>
      <c r="C9855" s="0" t="n">
        <v>3099178</v>
      </c>
      <c r="D9855" s="0" t="s">
        <v>32742</v>
      </c>
      <c r="E9855" s="0" t="s">
        <v>75</v>
      </c>
      <c r="F9855" s="0" t="s">
        <v>15</v>
      </c>
      <c r="G9855" s="0" t="s">
        <v>20</v>
      </c>
      <c r="H9855" s="0" t="n">
        <v>124</v>
      </c>
      <c r="I9855" s="0" t="s">
        <v>32752</v>
      </c>
      <c r="J9855" s="0" t="s">
        <v>32753</v>
      </c>
      <c r="K9855" s="0" t="s">
        <v>32754</v>
      </c>
      <c r="L9855" s="0" t="str">
        <f aca="false">HYPERLINK("https://www.ncbi.nlm.nih.gov/nuccore/CP000058.1?report=graph&amp;tracks=[key:gene_model_track,Options:GeneOnly]&amp;mk=3099058:3099077|offset_23|444444,3099097:3099116|offset_62|444444,3099124:3099143|offset_89|444444,3099159:3099178|offset_124|00cc00&amp;v=3098857:3099378&amp;c=444444", "offset 124")</f>
        <v>offset 124</v>
      </c>
    </row>
    <row r="9856" customFormat="false" ht="12.8" hidden="false" customHeight="false" outlineLevel="0" collapsed="false">
      <c r="A9856" s="0" t="s">
        <v>12</v>
      </c>
      <c r="B9856" s="0" t="n">
        <v>3099678</v>
      </c>
      <c r="C9856" s="0" t="n">
        <v>3099698</v>
      </c>
      <c r="D9856" s="0" t="s">
        <v>32755</v>
      </c>
      <c r="E9856" s="0" t="s">
        <v>75</v>
      </c>
      <c r="F9856" s="0" t="s">
        <v>15</v>
      </c>
      <c r="G9856" s="0" t="s">
        <v>20</v>
      </c>
      <c r="H9856" s="0" t="n">
        <v>70</v>
      </c>
      <c r="I9856" s="0" t="s">
        <v>32756</v>
      </c>
      <c r="J9856" s="0" t="s">
        <v>32757</v>
      </c>
      <c r="K9856" s="0" t="s">
        <v>32758</v>
      </c>
      <c r="L9856" s="0" t="str">
        <f aca="false">HYPERLINK("https://www.ncbi.nlm.nih.gov/nuccore/CP000058.1?report=graph&amp;tracks=[key:gene_model_track,Options:GeneOnly]&amp;mk=3099679:3099698|offset_70|00cc00,3099735:3099754|offset_126|444444,3099790:3099809|offset_181|444444,3099826:3099845|offset_217|444444&amp;v=3099478:3100045&amp;c=444444", "offset 70")</f>
        <v>offset 70</v>
      </c>
    </row>
    <row r="9857" customFormat="false" ht="12.8" hidden="false" customHeight="false" outlineLevel="0" collapsed="false">
      <c r="A9857" s="0" t="s">
        <v>12</v>
      </c>
      <c r="B9857" s="0" t="n">
        <v>3099734</v>
      </c>
      <c r="C9857" s="0" t="n">
        <v>3099754</v>
      </c>
      <c r="D9857" s="0" t="s">
        <v>32755</v>
      </c>
      <c r="E9857" s="0" t="s">
        <v>75</v>
      </c>
      <c r="F9857" s="0" t="s">
        <v>15</v>
      </c>
      <c r="G9857" s="0" t="s">
        <v>36</v>
      </c>
      <c r="H9857" s="0" t="n">
        <v>126</v>
      </c>
      <c r="I9857" s="0" t="s">
        <v>32759</v>
      </c>
      <c r="J9857" s="0" t="s">
        <v>32760</v>
      </c>
      <c r="K9857" s="0" t="s">
        <v>32761</v>
      </c>
      <c r="L9857" s="0" t="str">
        <f aca="false">HYPERLINK("https://www.ncbi.nlm.nih.gov/nuccore/CP000058.1?report=graph&amp;tracks=[key:gene_model_track,Options:GeneOnly]&amp;mk=3099679:3099698|offset_70|444444,3099735:3099754|offset_126|00cc00,3099790:3099809|offset_181|444444,3099826:3099845|offset_217|444444&amp;v=3099478:3100045&amp;c=444444", "offset 126")</f>
        <v>offset 126</v>
      </c>
    </row>
    <row r="9858" customFormat="false" ht="12.8" hidden="false" customHeight="false" outlineLevel="0" collapsed="false">
      <c r="A9858" s="0" t="s">
        <v>12</v>
      </c>
      <c r="B9858" s="0" t="n">
        <v>3099789</v>
      </c>
      <c r="C9858" s="0" t="n">
        <v>3099809</v>
      </c>
      <c r="D9858" s="0" t="s">
        <v>32755</v>
      </c>
      <c r="E9858" s="0" t="s">
        <v>75</v>
      </c>
      <c r="F9858" s="0" t="s">
        <v>15</v>
      </c>
      <c r="G9858" s="0" t="s">
        <v>16</v>
      </c>
      <c r="H9858" s="0" t="n">
        <v>181</v>
      </c>
      <c r="I9858" s="0" t="s">
        <v>32762</v>
      </c>
      <c r="J9858" s="0" t="s">
        <v>32763</v>
      </c>
      <c r="K9858" s="0" t="s">
        <v>32764</v>
      </c>
      <c r="L9858" s="0" t="str">
        <f aca="false">HYPERLINK("https://www.ncbi.nlm.nih.gov/nuccore/CP000058.1?report=graph&amp;tracks=[key:gene_model_track,Options:GeneOnly]&amp;mk=3099679:3099698|offset_70|444444,3099735:3099754|offset_126|444444,3099790:3099809|offset_181|00cc00,3099826:3099845|offset_217|444444&amp;v=3099478:3100045&amp;c=444444", "offset 181")</f>
        <v>offset 181</v>
      </c>
    </row>
    <row r="9859" customFormat="false" ht="12.8" hidden="false" customHeight="false" outlineLevel="0" collapsed="false">
      <c r="A9859" s="0" t="s">
        <v>12</v>
      </c>
      <c r="B9859" s="0" t="n">
        <v>3099825</v>
      </c>
      <c r="C9859" s="0" t="n">
        <v>3099845</v>
      </c>
      <c r="D9859" s="0" t="s">
        <v>32755</v>
      </c>
      <c r="E9859" s="0" t="s">
        <v>75</v>
      </c>
      <c r="F9859" s="0" t="s">
        <v>15</v>
      </c>
      <c r="G9859" s="0" t="s">
        <v>16</v>
      </c>
      <c r="H9859" s="0" t="n">
        <v>217</v>
      </c>
      <c r="I9859" s="0" t="s">
        <v>32765</v>
      </c>
      <c r="J9859" s="0" t="s">
        <v>32766</v>
      </c>
      <c r="K9859" s="0" t="s">
        <v>32767</v>
      </c>
      <c r="L9859" s="0" t="str">
        <f aca="false">HYPERLINK("https://www.ncbi.nlm.nih.gov/nuccore/CP000058.1?report=graph&amp;tracks=[key:gene_model_track,Options:GeneOnly]&amp;mk=3099679:3099698|offset_70|444444,3099735:3099754|offset_126|444444,3099790:3099809|offset_181|444444,3099826:3099845|offset_217|00cc00&amp;v=3099478:3100045&amp;c=444444", "offset 217")</f>
        <v>offset 217</v>
      </c>
    </row>
    <row r="9860" customFormat="false" ht="12.8" hidden="false" customHeight="false" outlineLevel="0" collapsed="false">
      <c r="A9860" s="0" t="s">
        <v>12</v>
      </c>
      <c r="B9860" s="0" t="n">
        <v>3101084</v>
      </c>
      <c r="C9860" s="0" t="n">
        <v>3101104</v>
      </c>
      <c r="D9860" s="0" t="s">
        <v>32768</v>
      </c>
      <c r="E9860" s="0" t="s">
        <v>75</v>
      </c>
      <c r="F9860" s="0" t="s">
        <v>15</v>
      </c>
      <c r="G9860" s="0" t="s">
        <v>32</v>
      </c>
      <c r="H9860" s="0" t="n">
        <v>7</v>
      </c>
      <c r="I9860" s="0" t="s">
        <v>32769</v>
      </c>
      <c r="J9860" s="0" t="s">
        <v>32770</v>
      </c>
      <c r="K9860" s="0" t="s">
        <v>32771</v>
      </c>
      <c r="L9860" s="0" t="str">
        <f aca="false">HYPERLINK("https://www.ncbi.nlm.nih.gov/nuccore/CP000058.1?report=graph&amp;tracks=[key:gene_model_track,Options:GeneOnly]&amp;mk=3101085:3101104|offset_7|00cc00,3101110:3101129|offset_32|444444,3101139:3101158|offset_61|444444,3101169:3101188|offset_91|444444&amp;v=3100884:3101388&amp;c=444444", "offset 7")</f>
        <v>offset 7</v>
      </c>
    </row>
    <row r="9861" customFormat="false" ht="12.8" hidden="false" customHeight="false" outlineLevel="0" collapsed="false">
      <c r="A9861" s="0" t="s">
        <v>12</v>
      </c>
      <c r="B9861" s="0" t="n">
        <v>3101109</v>
      </c>
      <c r="C9861" s="0" t="n">
        <v>3101129</v>
      </c>
      <c r="D9861" s="0" t="s">
        <v>32768</v>
      </c>
      <c r="E9861" s="0" t="s">
        <v>75</v>
      </c>
      <c r="F9861" s="0" t="s">
        <v>15</v>
      </c>
      <c r="G9861" s="0" t="s">
        <v>20</v>
      </c>
      <c r="H9861" s="0" t="n">
        <v>32</v>
      </c>
      <c r="I9861" s="0" t="s">
        <v>32772</v>
      </c>
      <c r="J9861" s="0" t="s">
        <v>32773</v>
      </c>
      <c r="K9861" s="0" t="s">
        <v>32774</v>
      </c>
      <c r="L9861" s="0" t="str">
        <f aca="false">HYPERLINK("https://www.ncbi.nlm.nih.gov/nuccore/CP000058.1?report=graph&amp;tracks=[key:gene_model_track,Options:GeneOnly]&amp;mk=3101085:3101104|offset_7|444444,3101110:3101129|offset_32|00cc00,3101139:3101158|offset_61|444444,3101169:3101188|offset_91|444444&amp;v=3100884:3101388&amp;c=444444", "offset 32")</f>
        <v>offset 32</v>
      </c>
    </row>
    <row r="9862" customFormat="false" ht="12.8" hidden="false" customHeight="false" outlineLevel="0" collapsed="false">
      <c r="A9862" s="0" t="s">
        <v>12</v>
      </c>
      <c r="B9862" s="0" t="n">
        <v>3101138</v>
      </c>
      <c r="C9862" s="0" t="n">
        <v>3101158</v>
      </c>
      <c r="D9862" s="0" t="s">
        <v>32768</v>
      </c>
      <c r="E9862" s="0" t="s">
        <v>75</v>
      </c>
      <c r="F9862" s="0" t="s">
        <v>15</v>
      </c>
      <c r="G9862" s="0" t="s">
        <v>20</v>
      </c>
      <c r="H9862" s="0" t="n">
        <v>61</v>
      </c>
      <c r="I9862" s="0" t="s">
        <v>32775</v>
      </c>
      <c r="J9862" s="0" t="s">
        <v>32776</v>
      </c>
      <c r="K9862" s="0" t="s">
        <v>32777</v>
      </c>
      <c r="L9862" s="0" t="str">
        <f aca="false">HYPERLINK("https://www.ncbi.nlm.nih.gov/nuccore/CP000058.1?report=graph&amp;tracks=[key:gene_model_track,Options:GeneOnly]&amp;mk=3101085:3101104|offset_7|444444,3101110:3101129|offset_32|444444,3101139:3101158|offset_61|00cc00,3101169:3101188|offset_91|444444&amp;v=3100884:3101388&amp;c=444444", "offset 61")</f>
        <v>offset 61</v>
      </c>
    </row>
    <row r="9863" customFormat="false" ht="12.8" hidden="false" customHeight="false" outlineLevel="0" collapsed="false">
      <c r="A9863" s="0" t="s">
        <v>12</v>
      </c>
      <c r="B9863" s="0" t="n">
        <v>3101168</v>
      </c>
      <c r="C9863" s="0" t="n">
        <v>3101188</v>
      </c>
      <c r="D9863" s="0" t="s">
        <v>32768</v>
      </c>
      <c r="E9863" s="0" t="s">
        <v>75</v>
      </c>
      <c r="F9863" s="0" t="s">
        <v>15</v>
      </c>
      <c r="G9863" s="0" t="s">
        <v>20</v>
      </c>
      <c r="H9863" s="0" t="n">
        <v>91</v>
      </c>
      <c r="I9863" s="0" t="s">
        <v>32778</v>
      </c>
      <c r="J9863" s="0" t="s">
        <v>32779</v>
      </c>
      <c r="K9863" s="0" t="s">
        <v>32780</v>
      </c>
      <c r="L9863" s="0" t="str">
        <f aca="false">HYPERLINK("https://www.ncbi.nlm.nih.gov/nuccore/CP000058.1?report=graph&amp;tracks=[key:gene_model_track,Options:GeneOnly]&amp;mk=3101085:3101104|offset_7|444444,3101110:3101129|offset_32|444444,3101139:3101158|offset_61|444444,3101169:3101188|offset_91|00cc00&amp;v=3100884:3101388&amp;c=444444", "offset 91")</f>
        <v>offset 91</v>
      </c>
    </row>
    <row r="9864" customFormat="false" ht="12.8" hidden="false" customHeight="false" outlineLevel="0" collapsed="false">
      <c r="A9864" s="0" t="s">
        <v>12</v>
      </c>
      <c r="B9864" s="0" t="n">
        <v>3104245</v>
      </c>
      <c r="C9864" s="0" t="n">
        <v>3104265</v>
      </c>
      <c r="D9864" s="0" t="s">
        <v>32781</v>
      </c>
      <c r="E9864" s="0" t="s">
        <v>75</v>
      </c>
      <c r="F9864" s="0" t="s">
        <v>15</v>
      </c>
      <c r="G9864" s="0" t="s">
        <v>36</v>
      </c>
      <c r="H9864" s="0" t="n">
        <v>17</v>
      </c>
      <c r="I9864" s="0" t="s">
        <v>32782</v>
      </c>
      <c r="J9864" s="0" t="s">
        <v>32783</v>
      </c>
      <c r="K9864" s="0" t="s">
        <v>32784</v>
      </c>
      <c r="L9864" s="0" t="str">
        <f aca="false">HYPERLINK("https://www.ncbi.nlm.nih.gov/nuccore/CP000058.1?report=graph&amp;tracks=[key:gene_model_track,Options:GeneOnly]&amp;mk=3104246:3104265|offset_17|00cc00,3104296:3104315|offset_67|444444,3104335:3104354|offset_106|444444,3104358:3104377|offset_129|444444&amp;v=3104045:3104577&amp;c=444444", "offset 17")</f>
        <v>offset 17</v>
      </c>
    </row>
    <row r="9865" customFormat="false" ht="12.8" hidden="false" customHeight="false" outlineLevel="0" collapsed="false">
      <c r="A9865" s="0" t="s">
        <v>12</v>
      </c>
      <c r="B9865" s="0" t="n">
        <v>3104295</v>
      </c>
      <c r="C9865" s="0" t="n">
        <v>3104315</v>
      </c>
      <c r="D9865" s="0" t="s">
        <v>32781</v>
      </c>
      <c r="E9865" s="0" t="s">
        <v>75</v>
      </c>
      <c r="F9865" s="0" t="s">
        <v>15</v>
      </c>
      <c r="G9865" s="0" t="s">
        <v>20</v>
      </c>
      <c r="H9865" s="0" t="n">
        <v>67</v>
      </c>
      <c r="I9865" s="0" t="s">
        <v>32785</v>
      </c>
      <c r="J9865" s="0" t="s">
        <v>32786</v>
      </c>
      <c r="K9865" s="0" t="s">
        <v>32787</v>
      </c>
      <c r="L9865" s="0" t="str">
        <f aca="false">HYPERLINK("https://www.ncbi.nlm.nih.gov/nuccore/CP000058.1?report=graph&amp;tracks=[key:gene_model_track,Options:GeneOnly]&amp;mk=3104246:3104265|offset_17|444444,3104296:3104315|offset_67|00cc00,3104335:3104354|offset_106|444444,3104358:3104377|offset_129|444444&amp;v=3104045:3104577&amp;c=444444", "offset 67")</f>
        <v>offset 67</v>
      </c>
    </row>
    <row r="9866" customFormat="false" ht="12.8" hidden="false" customHeight="false" outlineLevel="0" collapsed="false">
      <c r="A9866" s="0" t="s">
        <v>12</v>
      </c>
      <c r="B9866" s="0" t="n">
        <v>3104334</v>
      </c>
      <c r="C9866" s="0" t="n">
        <v>3104354</v>
      </c>
      <c r="D9866" s="0" t="s">
        <v>32781</v>
      </c>
      <c r="E9866" s="0" t="s">
        <v>75</v>
      </c>
      <c r="F9866" s="0" t="s">
        <v>15</v>
      </c>
      <c r="G9866" s="0" t="s">
        <v>36</v>
      </c>
      <c r="H9866" s="0" t="n">
        <v>106</v>
      </c>
      <c r="I9866" s="0" t="s">
        <v>32788</v>
      </c>
      <c r="J9866" s="0" t="s">
        <v>32789</v>
      </c>
      <c r="K9866" s="0" t="s">
        <v>32790</v>
      </c>
      <c r="L9866" s="0" t="str">
        <f aca="false">HYPERLINK("https://www.ncbi.nlm.nih.gov/nuccore/CP000058.1?report=graph&amp;tracks=[key:gene_model_track,Options:GeneOnly]&amp;mk=3104246:3104265|offset_17|444444,3104296:3104315|offset_67|444444,3104335:3104354|offset_106|00cc00,3104358:3104377|offset_129|444444&amp;v=3104045:3104577&amp;c=444444", "offset 106")</f>
        <v>offset 106</v>
      </c>
    </row>
    <row r="9867" customFormat="false" ht="12.8" hidden="false" customHeight="false" outlineLevel="0" collapsed="false">
      <c r="A9867" s="0" t="s">
        <v>12</v>
      </c>
      <c r="B9867" s="0" t="n">
        <v>3104357</v>
      </c>
      <c r="C9867" s="0" t="n">
        <v>3104377</v>
      </c>
      <c r="D9867" s="0" t="s">
        <v>32781</v>
      </c>
      <c r="E9867" s="0" t="s">
        <v>75</v>
      </c>
      <c r="F9867" s="0" t="s">
        <v>15</v>
      </c>
      <c r="G9867" s="0" t="s">
        <v>16</v>
      </c>
      <c r="H9867" s="0" t="n">
        <v>129</v>
      </c>
      <c r="I9867" s="0" t="s">
        <v>32791</v>
      </c>
      <c r="J9867" s="0" t="s">
        <v>32792</v>
      </c>
      <c r="K9867" s="0" t="s">
        <v>32793</v>
      </c>
      <c r="L9867" s="0" t="str">
        <f aca="false">HYPERLINK("https://www.ncbi.nlm.nih.gov/nuccore/CP000058.1?report=graph&amp;tracks=[key:gene_model_track,Options:GeneOnly]&amp;mk=3104246:3104265|offset_17|444444,3104296:3104315|offset_67|444444,3104335:3104354|offset_106|444444,3104358:3104377|offset_129|00cc00&amp;v=3104045:3104577&amp;c=444444", "offset 129")</f>
        <v>offset 129</v>
      </c>
    </row>
    <row r="9868" customFormat="false" ht="12.8" hidden="false" customHeight="false" outlineLevel="0" collapsed="false">
      <c r="A9868" s="0" t="s">
        <v>12</v>
      </c>
      <c r="B9868" s="0" t="n">
        <v>3105980</v>
      </c>
      <c r="C9868" s="0" t="n">
        <v>3106000</v>
      </c>
      <c r="D9868" s="0" t="s">
        <v>32794</v>
      </c>
      <c r="E9868" s="0" t="s">
        <v>75</v>
      </c>
      <c r="F9868" s="0" t="s">
        <v>90</v>
      </c>
      <c r="G9868" s="0" t="s">
        <v>20</v>
      </c>
      <c r="H9868" s="0" t="n">
        <v>14</v>
      </c>
      <c r="I9868" s="0" t="s">
        <v>32795</v>
      </c>
      <c r="J9868" s="0" t="s">
        <v>32796</v>
      </c>
      <c r="K9868" s="0" t="s">
        <v>32797</v>
      </c>
      <c r="L9868" s="0" t="str">
        <f aca="false">HYPERLINK("https://www.ncbi.nlm.nih.gov/nuccore/CP000058.1?report=graph&amp;tracks=[key:gene_model_track,Options:GeneOnly]&amp;mk=3105981:3106000|offset_14|00cc00,3105945:3105964|offset_50|444444,3105911:3105930|offset_84|444444,3105870:3105889|offset_125|444444&amp;v=3105780:3106089&amp;c=444444", "offset 14")</f>
        <v>offset 14</v>
      </c>
    </row>
    <row r="9869" customFormat="false" ht="12.8" hidden="false" customHeight="false" outlineLevel="0" collapsed="false">
      <c r="A9869" s="0" t="s">
        <v>12</v>
      </c>
      <c r="B9869" s="0" t="n">
        <v>3105944</v>
      </c>
      <c r="C9869" s="0" t="n">
        <v>3105964</v>
      </c>
      <c r="D9869" s="0" t="s">
        <v>32794</v>
      </c>
      <c r="E9869" s="0" t="s">
        <v>75</v>
      </c>
      <c r="F9869" s="0" t="s">
        <v>90</v>
      </c>
      <c r="G9869" s="0" t="s">
        <v>36</v>
      </c>
      <c r="H9869" s="0" t="n">
        <v>50</v>
      </c>
      <c r="I9869" s="0" t="s">
        <v>32798</v>
      </c>
      <c r="J9869" s="0" t="s">
        <v>32799</v>
      </c>
      <c r="K9869" s="0" t="s">
        <v>32800</v>
      </c>
      <c r="L9869" s="0" t="str">
        <f aca="false">HYPERLINK("https://www.ncbi.nlm.nih.gov/nuccore/CP000058.1?report=graph&amp;tracks=[key:gene_model_track,Options:GeneOnly]&amp;mk=3105981:3106000|offset_14|444444,3105945:3105964|offset_50|00cc00,3105911:3105930|offset_84|444444,3105870:3105889|offset_125|444444&amp;v=3105780:3106089&amp;c=444444", "offset 50")</f>
        <v>offset 50</v>
      </c>
    </row>
    <row r="9870" customFormat="false" ht="12.8" hidden="false" customHeight="false" outlineLevel="0" collapsed="false">
      <c r="A9870" s="0" t="s">
        <v>12</v>
      </c>
      <c r="B9870" s="0" t="n">
        <v>3105910</v>
      </c>
      <c r="C9870" s="0" t="n">
        <v>3105930</v>
      </c>
      <c r="D9870" s="0" t="s">
        <v>32794</v>
      </c>
      <c r="E9870" s="0" t="s">
        <v>75</v>
      </c>
      <c r="F9870" s="0" t="s">
        <v>90</v>
      </c>
      <c r="G9870" s="0" t="s">
        <v>36</v>
      </c>
      <c r="H9870" s="0" t="n">
        <v>84</v>
      </c>
      <c r="I9870" s="0" t="s">
        <v>32801</v>
      </c>
      <c r="J9870" s="0" t="s">
        <v>32802</v>
      </c>
      <c r="K9870" s="0" t="s">
        <v>32803</v>
      </c>
      <c r="L9870" s="0" t="str">
        <f aca="false">HYPERLINK("https://www.ncbi.nlm.nih.gov/nuccore/CP000058.1?report=graph&amp;tracks=[key:gene_model_track,Options:GeneOnly]&amp;mk=3105981:3106000|offset_14|444444,3105945:3105964|offset_50|444444,3105911:3105930|offset_84|00cc00,3105870:3105889|offset_125|444444&amp;v=3105780:3106089&amp;c=444444", "offset 84")</f>
        <v>offset 84</v>
      </c>
    </row>
    <row r="9871" customFormat="false" ht="12.8" hidden="false" customHeight="false" outlineLevel="0" collapsed="false">
      <c r="A9871" s="0" t="s">
        <v>12</v>
      </c>
      <c r="B9871" s="0" t="n">
        <v>3105869</v>
      </c>
      <c r="C9871" s="0" t="n">
        <v>3105889</v>
      </c>
      <c r="D9871" s="0" t="s">
        <v>32794</v>
      </c>
      <c r="E9871" s="0" t="s">
        <v>75</v>
      </c>
      <c r="F9871" s="0" t="s">
        <v>90</v>
      </c>
      <c r="G9871" s="0" t="s">
        <v>20</v>
      </c>
      <c r="H9871" s="0" t="n">
        <v>125</v>
      </c>
      <c r="I9871" s="0" t="s">
        <v>32804</v>
      </c>
      <c r="J9871" s="0" t="s">
        <v>32805</v>
      </c>
      <c r="K9871" s="0" t="s">
        <v>32806</v>
      </c>
      <c r="L9871" s="0" t="str">
        <f aca="false">HYPERLINK("https://www.ncbi.nlm.nih.gov/nuccore/CP000058.1?report=graph&amp;tracks=[key:gene_model_track,Options:GeneOnly]&amp;mk=3105981:3106000|offset_14|444444,3105945:3105964|offset_50|444444,3105911:3105930|offset_84|444444,3105870:3105889|offset_125|00cc00&amp;v=3105780:3106089&amp;c=444444", "offset 125")</f>
        <v>offset 125</v>
      </c>
    </row>
    <row r="9872" customFormat="false" ht="12.8" hidden="false" customHeight="false" outlineLevel="0" collapsed="false">
      <c r="A9872" s="0" t="s">
        <v>12</v>
      </c>
      <c r="B9872" s="0" t="n">
        <v>3107508</v>
      </c>
      <c r="C9872" s="0" t="n">
        <v>3107528</v>
      </c>
      <c r="D9872" s="0" t="s">
        <v>32807</v>
      </c>
      <c r="E9872" s="0" t="s">
        <v>75</v>
      </c>
      <c r="F9872" s="0" t="s">
        <v>90</v>
      </c>
      <c r="G9872" s="0" t="s">
        <v>36</v>
      </c>
      <c r="H9872" s="0" t="n">
        <v>77</v>
      </c>
      <c r="I9872" s="0" t="s">
        <v>32808</v>
      </c>
      <c r="J9872" s="0" t="s">
        <v>32809</v>
      </c>
      <c r="K9872" s="0" t="s">
        <v>32810</v>
      </c>
      <c r="L9872" s="0" t="str">
        <f aca="false">HYPERLINK("https://www.ncbi.nlm.nih.gov/nuccore/CP000058.1?report=graph&amp;tracks=[key:gene_model_track,Options:GeneOnly]&amp;mk=3107509:3107528|offset_77|00cc00,3107434:3107453|offset_152|444444,3107411:3107430|offset_175|444444,3107391:3107410|offset_195|444444&amp;v=3107308:3107610&amp;c=444444", "offset 77")</f>
        <v>offset 77</v>
      </c>
    </row>
    <row r="9873" customFormat="false" ht="12.8" hidden="false" customHeight="false" outlineLevel="0" collapsed="false">
      <c r="A9873" s="0" t="s">
        <v>12</v>
      </c>
      <c r="B9873" s="0" t="n">
        <v>3107433</v>
      </c>
      <c r="C9873" s="0" t="n">
        <v>3107453</v>
      </c>
      <c r="D9873" s="0" t="s">
        <v>32807</v>
      </c>
      <c r="E9873" s="0" t="s">
        <v>75</v>
      </c>
      <c r="F9873" s="0" t="s">
        <v>90</v>
      </c>
      <c r="G9873" s="0" t="s">
        <v>36</v>
      </c>
      <c r="H9873" s="0" t="n">
        <v>152</v>
      </c>
      <c r="I9873" s="0" t="s">
        <v>32811</v>
      </c>
      <c r="J9873" s="0" t="s">
        <v>32812</v>
      </c>
      <c r="K9873" s="0" t="s">
        <v>32813</v>
      </c>
      <c r="L9873" s="0" t="str">
        <f aca="false">HYPERLINK("https://www.ncbi.nlm.nih.gov/nuccore/CP000058.1?report=graph&amp;tracks=[key:gene_model_track,Options:GeneOnly]&amp;mk=3107509:3107528|offset_77|444444,3107434:3107453|offset_152|00cc00,3107411:3107430|offset_175|444444,3107391:3107410|offset_195|444444&amp;v=3107308:3107610&amp;c=444444", "offset 152")</f>
        <v>offset 152</v>
      </c>
    </row>
    <row r="9874" customFormat="false" ht="12.8" hidden="false" customHeight="false" outlineLevel="0" collapsed="false">
      <c r="A9874" s="0" t="s">
        <v>12</v>
      </c>
      <c r="B9874" s="0" t="n">
        <v>3107410</v>
      </c>
      <c r="C9874" s="0" t="n">
        <v>3107430</v>
      </c>
      <c r="D9874" s="0" t="s">
        <v>32807</v>
      </c>
      <c r="E9874" s="0" t="s">
        <v>75</v>
      </c>
      <c r="F9874" s="0" t="s">
        <v>90</v>
      </c>
      <c r="G9874" s="0" t="s">
        <v>36</v>
      </c>
      <c r="H9874" s="0" t="n">
        <v>175</v>
      </c>
      <c r="I9874" s="0" t="s">
        <v>32814</v>
      </c>
      <c r="J9874" s="0" t="s">
        <v>32815</v>
      </c>
      <c r="K9874" s="0" t="s">
        <v>32816</v>
      </c>
      <c r="L9874" s="0" t="str">
        <f aca="false">HYPERLINK("https://www.ncbi.nlm.nih.gov/nuccore/CP000058.1?report=graph&amp;tracks=[key:gene_model_track,Options:GeneOnly]&amp;mk=3107509:3107528|offset_77|444444,3107434:3107453|offset_152|444444,3107411:3107430|offset_175|00cc00,3107391:3107410|offset_195|444444&amp;v=3107308:3107610&amp;c=444444", "offset 175")</f>
        <v>offset 175</v>
      </c>
    </row>
    <row r="9875" customFormat="false" ht="12.8" hidden="false" customHeight="false" outlineLevel="0" collapsed="false">
      <c r="A9875" s="0" t="s">
        <v>12</v>
      </c>
      <c r="B9875" s="0" t="n">
        <v>3107390</v>
      </c>
      <c r="C9875" s="0" t="n">
        <v>3107410</v>
      </c>
      <c r="D9875" s="0" t="s">
        <v>32807</v>
      </c>
      <c r="E9875" s="0" t="s">
        <v>75</v>
      </c>
      <c r="F9875" s="0" t="s">
        <v>90</v>
      </c>
      <c r="G9875" s="0" t="s">
        <v>16</v>
      </c>
      <c r="H9875" s="0" t="n">
        <v>195</v>
      </c>
      <c r="I9875" s="0" t="s">
        <v>32817</v>
      </c>
      <c r="J9875" s="0" t="s">
        <v>32818</v>
      </c>
      <c r="K9875" s="0" t="s">
        <v>32819</v>
      </c>
      <c r="L9875" s="0" t="str">
        <f aca="false">HYPERLINK("https://www.ncbi.nlm.nih.gov/nuccore/CP000058.1?report=graph&amp;tracks=[key:gene_model_track,Options:GeneOnly]&amp;mk=3107509:3107528|offset_77|444444,3107434:3107453|offset_152|444444,3107411:3107430|offset_175|444444,3107391:3107410|offset_195|00cc00&amp;v=3107308:3107610&amp;c=444444", "offset 195")</f>
        <v>offset 195</v>
      </c>
    </row>
    <row r="9876" customFormat="false" ht="12.8" hidden="false" customHeight="false" outlineLevel="0" collapsed="false">
      <c r="A9876" s="0" t="s">
        <v>12</v>
      </c>
      <c r="B9876" s="0" t="n">
        <v>3107732</v>
      </c>
      <c r="C9876" s="0" t="n">
        <v>3107752</v>
      </c>
      <c r="D9876" s="0" t="s">
        <v>32820</v>
      </c>
      <c r="E9876" s="0" t="s">
        <v>75</v>
      </c>
      <c r="F9876" s="0" t="s">
        <v>15</v>
      </c>
      <c r="G9876" s="0" t="s">
        <v>16</v>
      </c>
      <c r="H9876" s="0" t="n">
        <v>34</v>
      </c>
      <c r="I9876" s="0" t="s">
        <v>32821</v>
      </c>
      <c r="J9876" s="0" t="s">
        <v>32822</v>
      </c>
      <c r="K9876" s="0" t="s">
        <v>32823</v>
      </c>
      <c r="L9876" s="0" t="str">
        <f aca="false">HYPERLINK("https://www.ncbi.nlm.nih.gov/nuccore/CP000058.1?report=graph&amp;tracks=[key:gene_model_track,Options:GeneOnly]&amp;mk=3107733:3107752|offset_34|00cc00,3107764:3107783|offset_65|444444,3107790:3107809|offset_91|444444,3107818:3107837|offset_119|444444&amp;v=3107532:3108037&amp;c=444444", "offset 34")</f>
        <v>offset 34</v>
      </c>
    </row>
    <row r="9877" customFormat="false" ht="12.8" hidden="false" customHeight="false" outlineLevel="0" collapsed="false">
      <c r="A9877" s="0" t="s">
        <v>12</v>
      </c>
      <c r="B9877" s="0" t="n">
        <v>3107763</v>
      </c>
      <c r="C9877" s="0" t="n">
        <v>3107783</v>
      </c>
      <c r="D9877" s="0" t="s">
        <v>32820</v>
      </c>
      <c r="E9877" s="0" t="s">
        <v>75</v>
      </c>
      <c r="F9877" s="0" t="s">
        <v>15</v>
      </c>
      <c r="G9877" s="0" t="s">
        <v>32</v>
      </c>
      <c r="H9877" s="0" t="n">
        <v>65</v>
      </c>
      <c r="I9877" s="0" t="s">
        <v>32824</v>
      </c>
      <c r="J9877" s="0" t="s">
        <v>32825</v>
      </c>
      <c r="K9877" s="0" t="s">
        <v>32826</v>
      </c>
      <c r="L9877" s="0" t="str">
        <f aca="false">HYPERLINK("https://www.ncbi.nlm.nih.gov/nuccore/CP000058.1?report=graph&amp;tracks=[key:gene_model_track,Options:GeneOnly]&amp;mk=3107733:3107752|offset_34|444444,3107764:3107783|offset_65|00cc00,3107790:3107809|offset_91|444444,3107818:3107837|offset_119|444444&amp;v=3107532:3108037&amp;c=444444", "offset 65")</f>
        <v>offset 65</v>
      </c>
    </row>
    <row r="9878" customFormat="false" ht="12.8" hidden="false" customHeight="false" outlineLevel="0" collapsed="false">
      <c r="A9878" s="0" t="s">
        <v>12</v>
      </c>
      <c r="B9878" s="0" t="n">
        <v>3107789</v>
      </c>
      <c r="C9878" s="0" t="n">
        <v>3107809</v>
      </c>
      <c r="D9878" s="0" t="s">
        <v>32820</v>
      </c>
      <c r="E9878" s="0" t="s">
        <v>75</v>
      </c>
      <c r="F9878" s="0" t="s">
        <v>15</v>
      </c>
      <c r="G9878" s="0" t="s">
        <v>16</v>
      </c>
      <c r="H9878" s="0" t="n">
        <v>91</v>
      </c>
      <c r="I9878" s="0" t="s">
        <v>32827</v>
      </c>
      <c r="J9878" s="0" t="s">
        <v>32828</v>
      </c>
      <c r="K9878" s="0" t="s">
        <v>32829</v>
      </c>
      <c r="L9878" s="0" t="str">
        <f aca="false">HYPERLINK("https://www.ncbi.nlm.nih.gov/nuccore/CP000058.1?report=graph&amp;tracks=[key:gene_model_track,Options:GeneOnly]&amp;mk=3107733:3107752|offset_34|444444,3107764:3107783|offset_65|444444,3107790:3107809|offset_91|00cc00,3107818:3107837|offset_119|444444&amp;v=3107532:3108037&amp;c=444444", "offset 91")</f>
        <v>offset 91</v>
      </c>
    </row>
    <row r="9879" customFormat="false" ht="12.8" hidden="false" customHeight="false" outlineLevel="0" collapsed="false">
      <c r="A9879" s="0" t="s">
        <v>12</v>
      </c>
      <c r="B9879" s="0" t="n">
        <v>3107817</v>
      </c>
      <c r="C9879" s="0" t="n">
        <v>3107837</v>
      </c>
      <c r="D9879" s="0" t="s">
        <v>32820</v>
      </c>
      <c r="E9879" s="0" t="s">
        <v>75</v>
      </c>
      <c r="F9879" s="0" t="s">
        <v>15</v>
      </c>
      <c r="G9879" s="0" t="s">
        <v>16</v>
      </c>
      <c r="H9879" s="0" t="n">
        <v>119</v>
      </c>
      <c r="I9879" s="0" t="s">
        <v>32830</v>
      </c>
      <c r="J9879" s="0" t="s">
        <v>32831</v>
      </c>
      <c r="K9879" s="0" t="s">
        <v>32832</v>
      </c>
      <c r="L9879" s="0" t="str">
        <f aca="false">HYPERLINK("https://www.ncbi.nlm.nih.gov/nuccore/CP000058.1?report=graph&amp;tracks=[key:gene_model_track,Options:GeneOnly]&amp;mk=3107733:3107752|offset_34|444444,3107764:3107783|offset_65|444444,3107790:3107809|offset_91|444444,3107818:3107837|offset_119|00cc00&amp;v=3107532:3108037&amp;c=444444", "offset 119")</f>
        <v>offset 119</v>
      </c>
    </row>
    <row r="9880" customFormat="false" ht="12.8" hidden="false" customHeight="false" outlineLevel="0" collapsed="false">
      <c r="A9880" s="0" t="s">
        <v>12</v>
      </c>
      <c r="B9880" s="0" t="n">
        <v>3108978</v>
      </c>
      <c r="C9880" s="0" t="n">
        <v>3108998</v>
      </c>
      <c r="D9880" s="0" t="s">
        <v>32833</v>
      </c>
      <c r="E9880" s="0" t="s">
        <v>75</v>
      </c>
      <c r="F9880" s="0" t="s">
        <v>15</v>
      </c>
      <c r="G9880" s="0" t="s">
        <v>16</v>
      </c>
      <c r="H9880" s="0" t="n">
        <v>0</v>
      </c>
      <c r="I9880" s="0" t="s">
        <v>32834</v>
      </c>
      <c r="J9880" s="0" t="s">
        <v>32835</v>
      </c>
      <c r="K9880" s="0" t="s">
        <v>32836</v>
      </c>
      <c r="L9880" s="0" t="str">
        <f aca="false">HYPERLINK("https://www.ncbi.nlm.nih.gov/nuccore/CP000058.1?report=graph&amp;tracks=[key:gene_model_track,Options:GeneOnly]&amp;mk=3108979:3108998|offset_0|00cc00,3109011:3109030|offset_32|444444,3109035:3109054|offset_56|444444,3109059:3109078|offset_80|444444&amp;v=3108778:3109278&amp;c=444444", "offset 0")</f>
        <v>offset 0</v>
      </c>
    </row>
    <row r="9881" customFormat="false" ht="12.8" hidden="false" customHeight="false" outlineLevel="0" collapsed="false">
      <c r="A9881" s="0" t="s">
        <v>12</v>
      </c>
      <c r="B9881" s="0" t="n">
        <v>3109010</v>
      </c>
      <c r="C9881" s="0" t="n">
        <v>3109030</v>
      </c>
      <c r="D9881" s="0" t="s">
        <v>32833</v>
      </c>
      <c r="E9881" s="0" t="s">
        <v>75</v>
      </c>
      <c r="F9881" s="0" t="s">
        <v>15</v>
      </c>
      <c r="G9881" s="0" t="s">
        <v>36</v>
      </c>
      <c r="H9881" s="0" t="n">
        <v>32</v>
      </c>
      <c r="I9881" s="0" t="s">
        <v>32837</v>
      </c>
      <c r="J9881" s="0" t="s">
        <v>32838</v>
      </c>
      <c r="K9881" s="0" t="s">
        <v>32839</v>
      </c>
      <c r="L9881" s="0" t="str">
        <f aca="false">HYPERLINK("https://www.ncbi.nlm.nih.gov/nuccore/CP000058.1?report=graph&amp;tracks=[key:gene_model_track,Options:GeneOnly]&amp;mk=3108979:3108998|offset_0|444444,3109011:3109030|offset_32|00cc00,3109035:3109054|offset_56|444444,3109059:3109078|offset_80|444444&amp;v=3108778:3109278&amp;c=444444", "offset 32")</f>
        <v>offset 32</v>
      </c>
    </row>
    <row r="9882" customFormat="false" ht="12.8" hidden="false" customHeight="false" outlineLevel="0" collapsed="false">
      <c r="A9882" s="0" t="s">
        <v>12</v>
      </c>
      <c r="B9882" s="0" t="n">
        <v>3109034</v>
      </c>
      <c r="C9882" s="0" t="n">
        <v>3109054</v>
      </c>
      <c r="D9882" s="0" t="s">
        <v>32833</v>
      </c>
      <c r="E9882" s="0" t="s">
        <v>75</v>
      </c>
      <c r="F9882" s="0" t="s">
        <v>15</v>
      </c>
      <c r="G9882" s="0" t="s">
        <v>36</v>
      </c>
      <c r="H9882" s="0" t="n">
        <v>56</v>
      </c>
      <c r="I9882" s="0" t="s">
        <v>32840</v>
      </c>
      <c r="J9882" s="0" t="s">
        <v>32841</v>
      </c>
      <c r="K9882" s="0" t="s">
        <v>32842</v>
      </c>
      <c r="L9882" s="0" t="str">
        <f aca="false">HYPERLINK("https://www.ncbi.nlm.nih.gov/nuccore/CP000058.1?report=graph&amp;tracks=[key:gene_model_track,Options:GeneOnly]&amp;mk=3108979:3108998|offset_0|444444,3109011:3109030|offset_32|444444,3109035:3109054|offset_56|00cc00,3109059:3109078|offset_80|444444&amp;v=3108778:3109278&amp;c=444444", "offset 56")</f>
        <v>offset 56</v>
      </c>
    </row>
    <row r="9883" customFormat="false" ht="12.8" hidden="false" customHeight="false" outlineLevel="0" collapsed="false">
      <c r="A9883" s="0" t="s">
        <v>12</v>
      </c>
      <c r="B9883" s="0" t="n">
        <v>3109058</v>
      </c>
      <c r="C9883" s="0" t="n">
        <v>3109078</v>
      </c>
      <c r="D9883" s="0" t="s">
        <v>32833</v>
      </c>
      <c r="E9883" s="0" t="s">
        <v>75</v>
      </c>
      <c r="F9883" s="0" t="s">
        <v>15</v>
      </c>
      <c r="G9883" s="0" t="s">
        <v>20</v>
      </c>
      <c r="H9883" s="0" t="n">
        <v>80</v>
      </c>
      <c r="I9883" s="0" t="s">
        <v>32843</v>
      </c>
      <c r="J9883" s="0" t="s">
        <v>32844</v>
      </c>
      <c r="K9883" s="0" t="s">
        <v>32845</v>
      </c>
      <c r="L9883" s="0" t="str">
        <f aca="false">HYPERLINK("https://www.ncbi.nlm.nih.gov/nuccore/CP000058.1?report=graph&amp;tracks=[key:gene_model_track,Options:GeneOnly]&amp;mk=3108979:3108998|offset_0|444444,3109011:3109030|offset_32|444444,3109035:3109054|offset_56|444444,3109059:3109078|offset_80|00cc00&amp;v=3108778:3109278&amp;c=444444", "offset 80")</f>
        <v>offset 80</v>
      </c>
    </row>
    <row r="9884" customFormat="false" ht="12.8" hidden="false" customHeight="false" outlineLevel="0" collapsed="false">
      <c r="A9884" s="0" t="s">
        <v>12</v>
      </c>
      <c r="B9884" s="0" t="n">
        <v>3110987</v>
      </c>
      <c r="C9884" s="0" t="n">
        <v>3111007</v>
      </c>
      <c r="D9884" s="0" t="s">
        <v>32846</v>
      </c>
      <c r="E9884" s="0" t="s">
        <v>75</v>
      </c>
      <c r="F9884" s="0" t="s">
        <v>90</v>
      </c>
      <c r="G9884" s="0" t="s">
        <v>20</v>
      </c>
      <c r="H9884" s="0" t="n">
        <v>18</v>
      </c>
      <c r="I9884" s="0" t="s">
        <v>32847</v>
      </c>
      <c r="J9884" s="0" t="s">
        <v>32848</v>
      </c>
      <c r="K9884" s="0" t="s">
        <v>32849</v>
      </c>
      <c r="L9884" s="0" t="str">
        <f aca="false">HYPERLINK("https://www.ncbi.nlm.nih.gov/nuccore/CP000058.1?report=graph&amp;tracks=[key:gene_model_track,Options:GeneOnly]&amp;mk=3110988:3111007|offset_18|00cc00,3110962:3110981|offset_44|444444,3110923:3110942|offset_83|444444,3110879:3110898|offset_127|444444&amp;v=3110787:3111098&amp;c=444444", "offset 18")</f>
        <v>offset 18</v>
      </c>
    </row>
    <row r="9885" customFormat="false" ht="12.8" hidden="false" customHeight="false" outlineLevel="0" collapsed="false">
      <c r="A9885" s="0" t="s">
        <v>12</v>
      </c>
      <c r="B9885" s="0" t="n">
        <v>3110961</v>
      </c>
      <c r="C9885" s="0" t="n">
        <v>3110981</v>
      </c>
      <c r="D9885" s="0" t="s">
        <v>32846</v>
      </c>
      <c r="E9885" s="0" t="s">
        <v>75</v>
      </c>
      <c r="F9885" s="0" t="s">
        <v>90</v>
      </c>
      <c r="G9885" s="0" t="s">
        <v>16</v>
      </c>
      <c r="H9885" s="0" t="n">
        <v>44</v>
      </c>
      <c r="I9885" s="0" t="s">
        <v>32850</v>
      </c>
      <c r="J9885" s="0" t="s">
        <v>32851</v>
      </c>
      <c r="K9885" s="0" t="s">
        <v>32852</v>
      </c>
      <c r="L9885" s="0" t="str">
        <f aca="false">HYPERLINK("https://www.ncbi.nlm.nih.gov/nuccore/CP000058.1?report=graph&amp;tracks=[key:gene_model_track,Options:GeneOnly]&amp;mk=3110988:3111007|offset_18|444444,3110962:3110981|offset_44|00cc00,3110923:3110942|offset_83|444444,3110879:3110898|offset_127|444444&amp;v=3110787:3111098&amp;c=444444", "offset 44")</f>
        <v>offset 44</v>
      </c>
    </row>
    <row r="9886" customFormat="false" ht="12.8" hidden="false" customHeight="false" outlineLevel="0" collapsed="false">
      <c r="A9886" s="0" t="s">
        <v>12</v>
      </c>
      <c r="B9886" s="0" t="n">
        <v>3110922</v>
      </c>
      <c r="C9886" s="0" t="n">
        <v>3110942</v>
      </c>
      <c r="D9886" s="0" t="s">
        <v>32846</v>
      </c>
      <c r="E9886" s="0" t="s">
        <v>75</v>
      </c>
      <c r="F9886" s="0" t="s">
        <v>90</v>
      </c>
      <c r="G9886" s="0" t="s">
        <v>32</v>
      </c>
      <c r="H9886" s="0" t="n">
        <v>83</v>
      </c>
      <c r="I9886" s="0" t="s">
        <v>32853</v>
      </c>
      <c r="J9886" s="0" t="s">
        <v>32854</v>
      </c>
      <c r="K9886" s="0" t="s">
        <v>32855</v>
      </c>
      <c r="L9886" s="0" t="str">
        <f aca="false">HYPERLINK("https://www.ncbi.nlm.nih.gov/nuccore/CP000058.1?report=graph&amp;tracks=[key:gene_model_track,Options:GeneOnly]&amp;mk=3110988:3111007|offset_18|444444,3110962:3110981|offset_44|444444,3110923:3110942|offset_83|00cc00,3110879:3110898|offset_127|444444&amp;v=3110787:3111098&amp;c=444444", "offset 83")</f>
        <v>offset 83</v>
      </c>
    </row>
    <row r="9887" customFormat="false" ht="12.8" hidden="false" customHeight="false" outlineLevel="0" collapsed="false">
      <c r="A9887" s="0" t="s">
        <v>12</v>
      </c>
      <c r="B9887" s="0" t="n">
        <v>3110878</v>
      </c>
      <c r="C9887" s="0" t="n">
        <v>3110898</v>
      </c>
      <c r="D9887" s="0" t="s">
        <v>32846</v>
      </c>
      <c r="E9887" s="0" t="s">
        <v>75</v>
      </c>
      <c r="F9887" s="0" t="s">
        <v>90</v>
      </c>
      <c r="G9887" s="0" t="s">
        <v>16</v>
      </c>
      <c r="H9887" s="0" t="n">
        <v>127</v>
      </c>
      <c r="I9887" s="0" t="s">
        <v>32856</v>
      </c>
      <c r="J9887" s="0" t="s">
        <v>32857</v>
      </c>
      <c r="K9887" s="0" t="s">
        <v>32858</v>
      </c>
      <c r="L9887" s="0" t="str">
        <f aca="false">HYPERLINK("https://www.ncbi.nlm.nih.gov/nuccore/CP000058.1?report=graph&amp;tracks=[key:gene_model_track,Options:GeneOnly]&amp;mk=3110988:3111007|offset_18|444444,3110962:3110981|offset_44|444444,3110923:3110942|offset_83|444444,3110879:3110898|offset_127|00cc00&amp;v=3110787:3111098&amp;c=444444", "offset 127")</f>
        <v>offset 127</v>
      </c>
    </row>
    <row r="9888" customFormat="false" ht="12.8" hidden="false" customHeight="false" outlineLevel="0" collapsed="false">
      <c r="A9888" s="0" t="s">
        <v>12</v>
      </c>
      <c r="B9888" s="0" t="n">
        <v>3112312</v>
      </c>
      <c r="C9888" s="0" t="n">
        <v>3112332</v>
      </c>
      <c r="D9888" s="0" t="s">
        <v>32859</v>
      </c>
      <c r="E9888" s="0" t="s">
        <v>32860</v>
      </c>
      <c r="F9888" s="0" t="s">
        <v>90</v>
      </c>
      <c r="G9888" s="0" t="s">
        <v>32</v>
      </c>
      <c r="H9888" s="0" t="n">
        <v>0</v>
      </c>
      <c r="I9888" s="0" t="s">
        <v>32861</v>
      </c>
      <c r="J9888" s="0" t="s">
        <v>32862</v>
      </c>
      <c r="K9888" s="0" t="s">
        <v>32863</v>
      </c>
      <c r="L9888" s="0" t="str">
        <f aca="false">HYPERLINK("https://www.ncbi.nlm.nih.gov/nuccore/CP000058.1?report=graph&amp;tracks=[key:gene_model_track,Options:GeneOnly]&amp;mk=3112313:3112332|offset_0|00cc00,3112279:3112298|offset_34|444444,3112249:3112268|offset_64|444444,3112227:3112246|offset_86|444444&amp;v=3112112:3112446&amp;c=444444", "offset 0")</f>
        <v>offset 0</v>
      </c>
    </row>
    <row r="9889" customFormat="false" ht="12.8" hidden="false" customHeight="false" outlineLevel="0" collapsed="false">
      <c r="A9889" s="0" t="s">
        <v>12</v>
      </c>
      <c r="B9889" s="0" t="n">
        <v>3112278</v>
      </c>
      <c r="C9889" s="0" t="n">
        <v>3112298</v>
      </c>
      <c r="D9889" s="0" t="s">
        <v>32859</v>
      </c>
      <c r="E9889" s="0" t="s">
        <v>32860</v>
      </c>
      <c r="F9889" s="0" t="s">
        <v>90</v>
      </c>
      <c r="G9889" s="0" t="s">
        <v>36</v>
      </c>
      <c r="H9889" s="0" t="n">
        <v>34</v>
      </c>
      <c r="I9889" s="0" t="s">
        <v>32864</v>
      </c>
      <c r="J9889" s="0" t="s">
        <v>32865</v>
      </c>
      <c r="K9889" s="0" t="s">
        <v>32866</v>
      </c>
      <c r="L9889" s="0" t="str">
        <f aca="false">HYPERLINK("https://www.ncbi.nlm.nih.gov/nuccore/CP000058.1?report=graph&amp;tracks=[key:gene_model_track,Options:GeneOnly]&amp;mk=3112313:3112332|offset_0|444444,3112279:3112298|offset_34|00cc00,3112249:3112268|offset_64|444444,3112227:3112246|offset_86|444444&amp;v=3112112:3112446&amp;c=444444", "offset 34")</f>
        <v>offset 34</v>
      </c>
    </row>
    <row r="9890" customFormat="false" ht="12.8" hidden="false" customHeight="false" outlineLevel="0" collapsed="false">
      <c r="A9890" s="0" t="s">
        <v>12</v>
      </c>
      <c r="B9890" s="0" t="n">
        <v>3112248</v>
      </c>
      <c r="C9890" s="0" t="n">
        <v>3112268</v>
      </c>
      <c r="D9890" s="0" t="s">
        <v>32859</v>
      </c>
      <c r="E9890" s="0" t="s">
        <v>32860</v>
      </c>
      <c r="F9890" s="0" t="s">
        <v>90</v>
      </c>
      <c r="G9890" s="0" t="s">
        <v>16</v>
      </c>
      <c r="H9890" s="0" t="n">
        <v>64</v>
      </c>
      <c r="I9890" s="0" t="s">
        <v>32867</v>
      </c>
      <c r="J9890" s="0" t="s">
        <v>32868</v>
      </c>
      <c r="K9890" s="0" t="s">
        <v>32869</v>
      </c>
      <c r="L9890" s="0" t="str">
        <f aca="false">HYPERLINK("https://www.ncbi.nlm.nih.gov/nuccore/CP000058.1?report=graph&amp;tracks=[key:gene_model_track,Options:GeneOnly]&amp;mk=3112313:3112332|offset_0|444444,3112279:3112298|offset_34|444444,3112249:3112268|offset_64|00cc00,3112227:3112246|offset_86|444444&amp;v=3112112:3112446&amp;c=444444", "offset 64")</f>
        <v>offset 64</v>
      </c>
    </row>
    <row r="9891" customFormat="false" ht="12.8" hidden="false" customHeight="false" outlineLevel="0" collapsed="false">
      <c r="A9891" s="0" t="s">
        <v>12</v>
      </c>
      <c r="B9891" s="0" t="n">
        <v>3112226</v>
      </c>
      <c r="C9891" s="0" t="n">
        <v>3112246</v>
      </c>
      <c r="D9891" s="0" t="s">
        <v>32859</v>
      </c>
      <c r="E9891" s="0" t="s">
        <v>32860</v>
      </c>
      <c r="F9891" s="0" t="s">
        <v>90</v>
      </c>
      <c r="G9891" s="0" t="s">
        <v>20</v>
      </c>
      <c r="H9891" s="0" t="n">
        <v>86</v>
      </c>
      <c r="I9891" s="0" t="s">
        <v>32870</v>
      </c>
      <c r="J9891" s="0" t="s">
        <v>32871</v>
      </c>
      <c r="K9891" s="0" t="s">
        <v>32872</v>
      </c>
      <c r="L9891" s="0" t="str">
        <f aca="false">HYPERLINK("https://www.ncbi.nlm.nih.gov/nuccore/CP000058.1?report=graph&amp;tracks=[key:gene_model_track,Options:GeneOnly]&amp;mk=3112313:3112332|offset_0|444444,3112279:3112298|offset_34|444444,3112249:3112268|offset_64|444444,3112227:3112246|offset_86|00cc00&amp;v=3112112:3112446&amp;c=444444", "offset 86")</f>
        <v>offset 86</v>
      </c>
    </row>
    <row r="9892" customFormat="false" ht="12.8" hidden="false" customHeight="false" outlineLevel="0" collapsed="false">
      <c r="A9892" s="0" t="s">
        <v>12</v>
      </c>
      <c r="B9892" s="0" t="n">
        <v>3113396</v>
      </c>
      <c r="C9892" s="0" t="n">
        <v>3113416</v>
      </c>
      <c r="D9892" s="0" t="s">
        <v>32873</v>
      </c>
      <c r="E9892" s="0" t="s">
        <v>75</v>
      </c>
      <c r="F9892" s="0" t="s">
        <v>90</v>
      </c>
      <c r="G9892" s="0" t="s">
        <v>36</v>
      </c>
      <c r="H9892" s="0" t="n">
        <v>15</v>
      </c>
      <c r="I9892" s="0" t="s">
        <v>32874</v>
      </c>
      <c r="J9892" s="0" t="s">
        <v>32875</v>
      </c>
      <c r="K9892" s="0" t="s">
        <v>32876</v>
      </c>
      <c r="L9892" s="0" t="str">
        <f aca="false">HYPERLINK("https://www.ncbi.nlm.nih.gov/nuccore/CP000058.1?report=graph&amp;tracks=[key:gene_model_track,Options:GeneOnly]&amp;mk=3113397:3113416|offset_15|00cc00,3113377:3113396|offset_35|444444,3113357:3113376|offset_55|444444,3113336:3113355|offset_76|444444&amp;v=3113196:3113555&amp;c=444444", "offset 15")</f>
        <v>offset 15</v>
      </c>
    </row>
    <row r="9893" customFormat="false" ht="12.8" hidden="false" customHeight="false" outlineLevel="0" collapsed="false">
      <c r="A9893" s="0" t="s">
        <v>12</v>
      </c>
      <c r="B9893" s="0" t="n">
        <v>3113376</v>
      </c>
      <c r="C9893" s="0" t="n">
        <v>3113396</v>
      </c>
      <c r="D9893" s="0" t="s">
        <v>32873</v>
      </c>
      <c r="E9893" s="0" t="s">
        <v>75</v>
      </c>
      <c r="F9893" s="0" t="s">
        <v>90</v>
      </c>
      <c r="G9893" s="0" t="s">
        <v>20</v>
      </c>
      <c r="H9893" s="0" t="n">
        <v>35</v>
      </c>
      <c r="I9893" s="0" t="s">
        <v>32877</v>
      </c>
      <c r="J9893" s="0" t="s">
        <v>32878</v>
      </c>
      <c r="K9893" s="0" t="s">
        <v>32879</v>
      </c>
      <c r="L9893" s="0" t="str">
        <f aca="false">HYPERLINK("https://www.ncbi.nlm.nih.gov/nuccore/CP000058.1?report=graph&amp;tracks=[key:gene_model_track,Options:GeneOnly]&amp;mk=3113397:3113416|offset_15|444444,3113377:3113396|offset_35|00cc00,3113357:3113376|offset_55|444444,3113336:3113355|offset_76|444444&amp;v=3113196:3113555&amp;c=444444", "offset 35")</f>
        <v>offset 35</v>
      </c>
    </row>
    <row r="9894" customFormat="false" ht="12.8" hidden="false" customHeight="false" outlineLevel="0" collapsed="false">
      <c r="A9894" s="0" t="s">
        <v>12</v>
      </c>
      <c r="B9894" s="0" t="n">
        <v>3113356</v>
      </c>
      <c r="C9894" s="0" t="n">
        <v>3113376</v>
      </c>
      <c r="D9894" s="0" t="s">
        <v>32873</v>
      </c>
      <c r="E9894" s="0" t="s">
        <v>75</v>
      </c>
      <c r="F9894" s="0" t="s">
        <v>90</v>
      </c>
      <c r="G9894" s="0" t="s">
        <v>16</v>
      </c>
      <c r="H9894" s="0" t="n">
        <v>55</v>
      </c>
      <c r="I9894" s="0" t="s">
        <v>32880</v>
      </c>
      <c r="J9894" s="0" t="s">
        <v>32881</v>
      </c>
      <c r="K9894" s="0" t="s">
        <v>32882</v>
      </c>
      <c r="L9894" s="0" t="str">
        <f aca="false">HYPERLINK("https://www.ncbi.nlm.nih.gov/nuccore/CP000058.1?report=graph&amp;tracks=[key:gene_model_track,Options:GeneOnly]&amp;mk=3113397:3113416|offset_15|444444,3113377:3113396|offset_35|444444,3113357:3113376|offset_55|00cc00,3113336:3113355|offset_76|444444&amp;v=3113196:3113555&amp;c=444444", "offset 55")</f>
        <v>offset 55</v>
      </c>
    </row>
    <row r="9895" customFormat="false" ht="12.8" hidden="false" customHeight="false" outlineLevel="0" collapsed="false">
      <c r="A9895" s="0" t="s">
        <v>12</v>
      </c>
      <c r="B9895" s="0" t="n">
        <v>3113335</v>
      </c>
      <c r="C9895" s="0" t="n">
        <v>3113355</v>
      </c>
      <c r="D9895" s="0" t="s">
        <v>32873</v>
      </c>
      <c r="E9895" s="0" t="s">
        <v>75</v>
      </c>
      <c r="F9895" s="0" t="s">
        <v>90</v>
      </c>
      <c r="G9895" s="0" t="s">
        <v>36</v>
      </c>
      <c r="H9895" s="0" t="n">
        <v>76</v>
      </c>
      <c r="I9895" s="0" t="s">
        <v>32883</v>
      </c>
      <c r="J9895" s="0" t="s">
        <v>32884</v>
      </c>
      <c r="K9895" s="0" t="s">
        <v>32885</v>
      </c>
      <c r="L9895" s="0" t="str">
        <f aca="false">HYPERLINK("https://www.ncbi.nlm.nih.gov/nuccore/CP000058.1?report=graph&amp;tracks=[key:gene_model_track,Options:GeneOnly]&amp;mk=3113397:3113416|offset_15|444444,3113377:3113396|offset_35|444444,3113357:3113376|offset_55|444444,3113336:3113355|offset_76|00cc00&amp;v=3113196:3113555&amp;c=444444", "offset 76")</f>
        <v>offset 76</v>
      </c>
    </row>
    <row r="9896" customFormat="false" ht="12.8" hidden="false" customHeight="false" outlineLevel="0" collapsed="false">
      <c r="A9896" s="0" t="s">
        <v>12</v>
      </c>
      <c r="B9896" s="0" t="n">
        <v>3114330</v>
      </c>
      <c r="C9896" s="0" t="n">
        <v>3114350</v>
      </c>
      <c r="D9896" s="0" t="s">
        <v>32886</v>
      </c>
      <c r="E9896" s="0" t="s">
        <v>75</v>
      </c>
      <c r="F9896" s="0" t="s">
        <v>90</v>
      </c>
      <c r="G9896" s="0" t="s">
        <v>32</v>
      </c>
      <c r="H9896" s="0" t="n">
        <v>10</v>
      </c>
      <c r="I9896" s="0" t="s">
        <v>32887</v>
      </c>
      <c r="J9896" s="0" t="s">
        <v>32888</v>
      </c>
      <c r="K9896" s="0" t="s">
        <v>32889</v>
      </c>
      <c r="L9896" s="0" t="str">
        <f aca="false">HYPERLINK("https://www.ncbi.nlm.nih.gov/nuccore/CP000058.1?report=graph&amp;tracks=[key:gene_model_track,Options:GeneOnly]&amp;mk=3114331:3114350|offset_10|00cc00,3114283:3114302|offset_58|444444,3114262:3114281|offset_79|444444,3114241:3114260|offset_100|444444&amp;v=3114130:3114460&amp;c=444444", "offset 10")</f>
        <v>offset 10</v>
      </c>
    </row>
    <row r="9897" customFormat="false" ht="12.8" hidden="false" customHeight="false" outlineLevel="0" collapsed="false">
      <c r="A9897" s="0" t="s">
        <v>12</v>
      </c>
      <c r="B9897" s="0" t="n">
        <v>3114282</v>
      </c>
      <c r="C9897" s="0" t="n">
        <v>3114302</v>
      </c>
      <c r="D9897" s="0" t="s">
        <v>32886</v>
      </c>
      <c r="E9897" s="0" t="s">
        <v>75</v>
      </c>
      <c r="F9897" s="0" t="s">
        <v>90</v>
      </c>
      <c r="G9897" s="0" t="s">
        <v>16</v>
      </c>
      <c r="H9897" s="0" t="n">
        <v>58</v>
      </c>
      <c r="I9897" s="0" t="s">
        <v>32890</v>
      </c>
      <c r="J9897" s="0" t="s">
        <v>32891</v>
      </c>
      <c r="K9897" s="0" t="s">
        <v>32892</v>
      </c>
      <c r="L9897" s="0" t="str">
        <f aca="false">HYPERLINK("https://www.ncbi.nlm.nih.gov/nuccore/CP000058.1?report=graph&amp;tracks=[key:gene_model_track,Options:GeneOnly]&amp;mk=3114331:3114350|offset_10|444444,3114283:3114302|offset_58|00cc00,3114262:3114281|offset_79|444444,3114241:3114260|offset_100|444444&amp;v=3114130:3114460&amp;c=444444", "offset 58")</f>
        <v>offset 58</v>
      </c>
    </row>
    <row r="9898" customFormat="false" ht="12.8" hidden="false" customHeight="false" outlineLevel="0" collapsed="false">
      <c r="A9898" s="0" t="s">
        <v>12</v>
      </c>
      <c r="B9898" s="0" t="n">
        <v>3114261</v>
      </c>
      <c r="C9898" s="0" t="n">
        <v>3114281</v>
      </c>
      <c r="D9898" s="0" t="s">
        <v>32886</v>
      </c>
      <c r="E9898" s="0" t="s">
        <v>75</v>
      </c>
      <c r="F9898" s="0" t="s">
        <v>90</v>
      </c>
      <c r="G9898" s="0" t="s">
        <v>32</v>
      </c>
      <c r="H9898" s="0" t="n">
        <v>79</v>
      </c>
      <c r="I9898" s="0" t="s">
        <v>32893</v>
      </c>
      <c r="J9898" s="0" t="s">
        <v>32894</v>
      </c>
      <c r="K9898" s="0" t="s">
        <v>32895</v>
      </c>
      <c r="L9898" s="0" t="str">
        <f aca="false">HYPERLINK("https://www.ncbi.nlm.nih.gov/nuccore/CP000058.1?report=graph&amp;tracks=[key:gene_model_track,Options:GeneOnly]&amp;mk=3114331:3114350|offset_10|444444,3114283:3114302|offset_58|444444,3114262:3114281|offset_79|00cc00,3114241:3114260|offset_100|444444&amp;v=3114130:3114460&amp;c=444444", "offset 79")</f>
        <v>offset 79</v>
      </c>
    </row>
    <row r="9899" customFormat="false" ht="12.8" hidden="false" customHeight="false" outlineLevel="0" collapsed="false">
      <c r="A9899" s="0" t="s">
        <v>12</v>
      </c>
      <c r="B9899" s="0" t="n">
        <v>3114240</v>
      </c>
      <c r="C9899" s="0" t="n">
        <v>3114260</v>
      </c>
      <c r="D9899" s="0" t="s">
        <v>32886</v>
      </c>
      <c r="E9899" s="0" t="s">
        <v>75</v>
      </c>
      <c r="F9899" s="0" t="s">
        <v>90</v>
      </c>
      <c r="G9899" s="0" t="s">
        <v>20</v>
      </c>
      <c r="H9899" s="0" t="n">
        <v>100</v>
      </c>
      <c r="I9899" s="0" t="s">
        <v>32896</v>
      </c>
      <c r="J9899" s="0" t="s">
        <v>32897</v>
      </c>
      <c r="K9899" s="0" t="s">
        <v>32898</v>
      </c>
      <c r="L9899" s="0" t="str">
        <f aca="false">HYPERLINK("https://www.ncbi.nlm.nih.gov/nuccore/CP000058.1?report=graph&amp;tracks=[key:gene_model_track,Options:GeneOnly]&amp;mk=3114331:3114350|offset_10|444444,3114283:3114302|offset_58|444444,3114262:3114281|offset_79|444444,3114241:3114260|offset_100|00cc00&amp;v=3114130:3114460&amp;c=444444", "offset 100")</f>
        <v>offset 100</v>
      </c>
    </row>
    <row r="9900" customFormat="false" ht="12.8" hidden="false" customHeight="false" outlineLevel="0" collapsed="false">
      <c r="A9900" s="0" t="s">
        <v>12</v>
      </c>
      <c r="B9900" s="0" t="n">
        <v>3114515</v>
      </c>
      <c r="C9900" s="0" t="n">
        <v>3114535</v>
      </c>
      <c r="D9900" s="0" t="s">
        <v>32899</v>
      </c>
      <c r="E9900" s="0" t="s">
        <v>75</v>
      </c>
      <c r="F9900" s="0" t="s">
        <v>15</v>
      </c>
      <c r="G9900" s="0" t="s">
        <v>32</v>
      </c>
      <c r="H9900" s="0" t="n">
        <v>1</v>
      </c>
      <c r="I9900" s="0" t="s">
        <v>32900</v>
      </c>
      <c r="J9900" s="0" t="s">
        <v>32901</v>
      </c>
      <c r="K9900" s="0" t="s">
        <v>32902</v>
      </c>
      <c r="L9900" s="0" t="str">
        <f aca="false">HYPERLINK("https://www.ncbi.nlm.nih.gov/nuccore/CP000058.1?report=graph&amp;tracks=[key:gene_model_track,Options:GeneOnly]&amp;mk=3114516:3114535|offset_1|00cc00,3114536:3114555|offset_21|444444,3114565:3114584|offset_50|444444,3114612:3114631|offset_97|444444&amp;v=3114315:3114831&amp;c=444444", "offset 1")</f>
        <v>offset 1</v>
      </c>
    </row>
    <row r="9901" customFormat="false" ht="12.8" hidden="false" customHeight="false" outlineLevel="0" collapsed="false">
      <c r="A9901" s="0" t="s">
        <v>12</v>
      </c>
      <c r="B9901" s="0" t="n">
        <v>3114535</v>
      </c>
      <c r="C9901" s="0" t="n">
        <v>3114555</v>
      </c>
      <c r="D9901" s="0" t="s">
        <v>32899</v>
      </c>
      <c r="E9901" s="0" t="s">
        <v>75</v>
      </c>
      <c r="F9901" s="0" t="s">
        <v>15</v>
      </c>
      <c r="G9901" s="0" t="s">
        <v>16</v>
      </c>
      <c r="H9901" s="0" t="n">
        <v>21</v>
      </c>
      <c r="I9901" s="0" t="s">
        <v>32903</v>
      </c>
      <c r="J9901" s="0" t="s">
        <v>32904</v>
      </c>
      <c r="K9901" s="0" t="s">
        <v>32905</v>
      </c>
      <c r="L9901" s="0" t="str">
        <f aca="false">HYPERLINK("https://www.ncbi.nlm.nih.gov/nuccore/CP000058.1?report=graph&amp;tracks=[key:gene_model_track,Options:GeneOnly]&amp;mk=3114516:3114535|offset_1|444444,3114536:3114555|offset_21|00cc00,3114565:3114584|offset_50|444444,3114612:3114631|offset_97|444444&amp;v=3114315:3114831&amp;c=444444", "offset 21")</f>
        <v>offset 21</v>
      </c>
    </row>
    <row r="9902" customFormat="false" ht="12.8" hidden="false" customHeight="false" outlineLevel="0" collapsed="false">
      <c r="A9902" s="0" t="s">
        <v>12</v>
      </c>
      <c r="B9902" s="0" t="n">
        <v>3114564</v>
      </c>
      <c r="C9902" s="0" t="n">
        <v>3114584</v>
      </c>
      <c r="D9902" s="0" t="s">
        <v>32899</v>
      </c>
      <c r="E9902" s="0" t="s">
        <v>75</v>
      </c>
      <c r="F9902" s="0" t="s">
        <v>15</v>
      </c>
      <c r="G9902" s="0" t="s">
        <v>16</v>
      </c>
      <c r="H9902" s="0" t="n">
        <v>50</v>
      </c>
      <c r="I9902" s="0" t="s">
        <v>32906</v>
      </c>
      <c r="J9902" s="0" t="s">
        <v>32907</v>
      </c>
      <c r="K9902" s="0" t="s">
        <v>32908</v>
      </c>
      <c r="L9902" s="0" t="str">
        <f aca="false">HYPERLINK("https://www.ncbi.nlm.nih.gov/nuccore/CP000058.1?report=graph&amp;tracks=[key:gene_model_track,Options:GeneOnly]&amp;mk=3114516:3114535|offset_1|444444,3114536:3114555|offset_21|444444,3114565:3114584|offset_50|00cc00,3114612:3114631|offset_97|444444&amp;v=3114315:3114831&amp;c=444444", "offset 50")</f>
        <v>offset 50</v>
      </c>
    </row>
    <row r="9903" customFormat="false" ht="12.8" hidden="false" customHeight="false" outlineLevel="0" collapsed="false">
      <c r="A9903" s="0" t="s">
        <v>12</v>
      </c>
      <c r="B9903" s="0" t="n">
        <v>3114611</v>
      </c>
      <c r="C9903" s="0" t="n">
        <v>3114631</v>
      </c>
      <c r="D9903" s="0" t="s">
        <v>32899</v>
      </c>
      <c r="E9903" s="0" t="s">
        <v>75</v>
      </c>
      <c r="F9903" s="0" t="s">
        <v>15</v>
      </c>
      <c r="G9903" s="0" t="s">
        <v>32</v>
      </c>
      <c r="H9903" s="0" t="n">
        <v>97</v>
      </c>
      <c r="I9903" s="0" t="s">
        <v>32909</v>
      </c>
      <c r="J9903" s="0" t="s">
        <v>32910</v>
      </c>
      <c r="K9903" s="0" t="s">
        <v>32911</v>
      </c>
      <c r="L9903" s="0" t="str">
        <f aca="false">HYPERLINK("https://www.ncbi.nlm.nih.gov/nuccore/CP000058.1?report=graph&amp;tracks=[key:gene_model_track,Options:GeneOnly]&amp;mk=3114516:3114535|offset_1|444444,3114536:3114555|offset_21|444444,3114565:3114584|offset_50|444444,3114612:3114631|offset_97|00cc00&amp;v=3114315:3114831&amp;c=444444", "offset 97")</f>
        <v>offset 97</v>
      </c>
    </row>
    <row r="9904" customFormat="false" ht="12.8" hidden="false" customHeight="false" outlineLevel="0" collapsed="false">
      <c r="A9904" s="0" t="s">
        <v>12</v>
      </c>
      <c r="B9904" s="0" t="n">
        <v>3118544</v>
      </c>
      <c r="C9904" s="0" t="n">
        <v>3118564</v>
      </c>
      <c r="D9904" s="0" t="s">
        <v>32912</v>
      </c>
      <c r="E9904" s="0" t="s">
        <v>75</v>
      </c>
      <c r="F9904" s="0" t="s">
        <v>90</v>
      </c>
      <c r="G9904" s="0" t="s">
        <v>36</v>
      </c>
      <c r="H9904" s="0" t="n">
        <v>31</v>
      </c>
      <c r="I9904" s="0" t="s">
        <v>32913</v>
      </c>
      <c r="J9904" s="0" t="s">
        <v>32914</v>
      </c>
      <c r="K9904" s="0" t="s">
        <v>32915</v>
      </c>
      <c r="L9904" s="0" t="str">
        <f aca="false">HYPERLINK("https://www.ncbi.nlm.nih.gov/nuccore/CP000058.1?report=graph&amp;tracks=[key:gene_model_track,Options:GeneOnly]&amp;mk=3118545:3118564|offset_31|00cc00,3118505:3118524|offset_71|444444,3118461:3118480|offset_115|444444,3118428:3118447|offset_148|444444&amp;v=3118344:3118647&amp;c=444444", "offset 31")</f>
        <v>offset 31</v>
      </c>
    </row>
    <row r="9905" customFormat="false" ht="12.8" hidden="false" customHeight="false" outlineLevel="0" collapsed="false">
      <c r="A9905" s="0" t="s">
        <v>12</v>
      </c>
      <c r="B9905" s="0" t="n">
        <v>3118504</v>
      </c>
      <c r="C9905" s="0" t="n">
        <v>3118524</v>
      </c>
      <c r="D9905" s="0" t="s">
        <v>32912</v>
      </c>
      <c r="E9905" s="0" t="s">
        <v>75</v>
      </c>
      <c r="F9905" s="0" t="s">
        <v>90</v>
      </c>
      <c r="G9905" s="0" t="s">
        <v>16</v>
      </c>
      <c r="H9905" s="0" t="n">
        <v>71</v>
      </c>
      <c r="I9905" s="0" t="s">
        <v>32916</v>
      </c>
      <c r="J9905" s="0" t="s">
        <v>32917</v>
      </c>
      <c r="K9905" s="0" t="s">
        <v>32918</v>
      </c>
      <c r="L9905" s="0" t="str">
        <f aca="false">HYPERLINK("https://www.ncbi.nlm.nih.gov/nuccore/CP000058.1?report=graph&amp;tracks=[key:gene_model_track,Options:GeneOnly]&amp;mk=3118545:3118564|offset_31|444444,3118505:3118524|offset_71|00cc00,3118461:3118480|offset_115|444444,3118428:3118447|offset_148|444444&amp;v=3118344:3118647&amp;c=444444", "offset 71")</f>
        <v>offset 71</v>
      </c>
    </row>
    <row r="9906" customFormat="false" ht="12.8" hidden="false" customHeight="false" outlineLevel="0" collapsed="false">
      <c r="A9906" s="0" t="s">
        <v>12</v>
      </c>
      <c r="B9906" s="0" t="n">
        <v>3118460</v>
      </c>
      <c r="C9906" s="0" t="n">
        <v>3118480</v>
      </c>
      <c r="D9906" s="0" t="s">
        <v>32912</v>
      </c>
      <c r="E9906" s="0" t="s">
        <v>75</v>
      </c>
      <c r="F9906" s="0" t="s">
        <v>90</v>
      </c>
      <c r="G9906" s="0" t="s">
        <v>20</v>
      </c>
      <c r="H9906" s="0" t="n">
        <v>115</v>
      </c>
      <c r="I9906" s="0" t="s">
        <v>32919</v>
      </c>
      <c r="J9906" s="0" t="s">
        <v>32920</v>
      </c>
      <c r="K9906" s="0" t="s">
        <v>32921</v>
      </c>
      <c r="L9906" s="0" t="str">
        <f aca="false">HYPERLINK("https://www.ncbi.nlm.nih.gov/nuccore/CP000058.1?report=graph&amp;tracks=[key:gene_model_track,Options:GeneOnly]&amp;mk=3118545:3118564|offset_31|444444,3118505:3118524|offset_71|444444,3118461:3118480|offset_115|00cc00,3118428:3118447|offset_148|444444&amp;v=3118344:3118647&amp;c=444444", "offset 115")</f>
        <v>offset 115</v>
      </c>
    </row>
    <row r="9907" customFormat="false" ht="12.8" hidden="false" customHeight="false" outlineLevel="0" collapsed="false">
      <c r="A9907" s="0" t="s">
        <v>12</v>
      </c>
      <c r="B9907" s="0" t="n">
        <v>3118427</v>
      </c>
      <c r="C9907" s="0" t="n">
        <v>3118447</v>
      </c>
      <c r="D9907" s="0" t="s">
        <v>32912</v>
      </c>
      <c r="E9907" s="0" t="s">
        <v>75</v>
      </c>
      <c r="F9907" s="0" t="s">
        <v>90</v>
      </c>
      <c r="G9907" s="0" t="s">
        <v>20</v>
      </c>
      <c r="H9907" s="0" t="n">
        <v>148</v>
      </c>
      <c r="I9907" s="0" t="s">
        <v>32922</v>
      </c>
      <c r="J9907" s="0" t="s">
        <v>32923</v>
      </c>
      <c r="K9907" s="0" t="s">
        <v>32924</v>
      </c>
      <c r="L9907" s="0" t="str">
        <f aca="false">HYPERLINK("https://www.ncbi.nlm.nih.gov/nuccore/CP000058.1?report=graph&amp;tracks=[key:gene_model_track,Options:GeneOnly]&amp;mk=3118545:3118564|offset_31|444444,3118505:3118524|offset_71|444444,3118461:3118480|offset_115|444444,3118428:3118447|offset_148|00cc00&amp;v=3118344:3118647&amp;c=444444", "offset 148")</f>
        <v>offset 148</v>
      </c>
    </row>
    <row r="9908" customFormat="false" ht="12.8" hidden="false" customHeight="false" outlineLevel="0" collapsed="false">
      <c r="A9908" s="0" t="s">
        <v>12</v>
      </c>
      <c r="B9908" s="0" t="n">
        <v>3119007</v>
      </c>
      <c r="C9908" s="0" t="n">
        <v>3119027</v>
      </c>
      <c r="D9908" s="0" t="s">
        <v>32925</v>
      </c>
      <c r="E9908" s="0" t="s">
        <v>75</v>
      </c>
      <c r="F9908" s="0" t="s">
        <v>15</v>
      </c>
      <c r="G9908" s="0" t="s">
        <v>36</v>
      </c>
      <c r="H9908" s="0" t="n">
        <v>10</v>
      </c>
      <c r="I9908" s="0" t="s">
        <v>32926</v>
      </c>
      <c r="J9908" s="0" t="s">
        <v>32927</v>
      </c>
      <c r="K9908" s="0" t="s">
        <v>32928</v>
      </c>
      <c r="L9908" s="0" t="str">
        <f aca="false">HYPERLINK("https://www.ncbi.nlm.nih.gov/nuccore/CP000058.1?report=graph&amp;tracks=[key:gene_model_track,Options:GeneOnly]&amp;mk=3119008:3119027|offset_10|00cc00,3119029:3119048|offset_31|444444,3119054:3119073|offset_56|444444,3119076:3119095|offset_78|444444&amp;v=3118807:3119295&amp;c=444444", "offset 10")</f>
        <v>offset 10</v>
      </c>
    </row>
    <row r="9909" customFormat="false" ht="12.8" hidden="false" customHeight="false" outlineLevel="0" collapsed="false">
      <c r="A9909" s="0" t="s">
        <v>12</v>
      </c>
      <c r="B9909" s="0" t="n">
        <v>3119028</v>
      </c>
      <c r="C9909" s="0" t="n">
        <v>3119048</v>
      </c>
      <c r="D9909" s="0" t="s">
        <v>32925</v>
      </c>
      <c r="E9909" s="0" t="s">
        <v>75</v>
      </c>
      <c r="F9909" s="0" t="s">
        <v>15</v>
      </c>
      <c r="G9909" s="0" t="s">
        <v>36</v>
      </c>
      <c r="H9909" s="0" t="n">
        <v>31</v>
      </c>
      <c r="I9909" s="0" t="s">
        <v>32929</v>
      </c>
      <c r="J9909" s="0" t="s">
        <v>32930</v>
      </c>
      <c r="K9909" s="0" t="s">
        <v>32931</v>
      </c>
      <c r="L9909" s="0" t="str">
        <f aca="false">HYPERLINK("https://www.ncbi.nlm.nih.gov/nuccore/CP000058.1?report=graph&amp;tracks=[key:gene_model_track,Options:GeneOnly]&amp;mk=3119008:3119027|offset_10|444444,3119029:3119048|offset_31|00cc00,3119054:3119073|offset_56|444444,3119076:3119095|offset_78|444444&amp;v=3118807:3119295&amp;c=444444", "offset 31")</f>
        <v>offset 31</v>
      </c>
    </row>
    <row r="9910" customFormat="false" ht="12.8" hidden="false" customHeight="false" outlineLevel="0" collapsed="false">
      <c r="A9910" s="0" t="s">
        <v>12</v>
      </c>
      <c r="B9910" s="0" t="n">
        <v>3119053</v>
      </c>
      <c r="C9910" s="0" t="n">
        <v>3119073</v>
      </c>
      <c r="D9910" s="0" t="s">
        <v>32925</v>
      </c>
      <c r="E9910" s="0" t="s">
        <v>75</v>
      </c>
      <c r="F9910" s="0" t="s">
        <v>15</v>
      </c>
      <c r="G9910" s="0" t="s">
        <v>32</v>
      </c>
      <c r="H9910" s="0" t="n">
        <v>56</v>
      </c>
      <c r="I9910" s="0" t="s">
        <v>32932</v>
      </c>
      <c r="J9910" s="0" t="s">
        <v>32933</v>
      </c>
      <c r="K9910" s="0" t="s">
        <v>32934</v>
      </c>
      <c r="L9910" s="0" t="str">
        <f aca="false">HYPERLINK("https://www.ncbi.nlm.nih.gov/nuccore/CP000058.1?report=graph&amp;tracks=[key:gene_model_track,Options:GeneOnly]&amp;mk=3119008:3119027|offset_10|444444,3119029:3119048|offset_31|444444,3119054:3119073|offset_56|00cc00,3119076:3119095|offset_78|444444&amp;v=3118807:3119295&amp;c=444444", "offset 56")</f>
        <v>offset 56</v>
      </c>
    </row>
    <row r="9911" customFormat="false" ht="12.8" hidden="false" customHeight="false" outlineLevel="0" collapsed="false">
      <c r="A9911" s="0" t="s">
        <v>12</v>
      </c>
      <c r="B9911" s="0" t="n">
        <v>3119075</v>
      </c>
      <c r="C9911" s="0" t="n">
        <v>3119095</v>
      </c>
      <c r="D9911" s="0" t="s">
        <v>32925</v>
      </c>
      <c r="E9911" s="0" t="s">
        <v>75</v>
      </c>
      <c r="F9911" s="0" t="s">
        <v>15</v>
      </c>
      <c r="G9911" s="0" t="s">
        <v>16</v>
      </c>
      <c r="H9911" s="0" t="n">
        <v>78</v>
      </c>
      <c r="I9911" s="0" t="s">
        <v>32935</v>
      </c>
      <c r="J9911" s="0" t="s">
        <v>32936</v>
      </c>
      <c r="K9911" s="0" t="s">
        <v>32937</v>
      </c>
      <c r="L9911" s="0" t="str">
        <f aca="false">HYPERLINK("https://www.ncbi.nlm.nih.gov/nuccore/CP000058.1?report=graph&amp;tracks=[key:gene_model_track,Options:GeneOnly]&amp;mk=3119008:3119027|offset_10|444444,3119029:3119048|offset_31|444444,3119054:3119073|offset_56|444444,3119076:3119095|offset_78|00cc00&amp;v=3118807:3119295&amp;c=444444", "offset 78")</f>
        <v>offset 78</v>
      </c>
    </row>
    <row r="9912" customFormat="false" ht="12.8" hidden="false" customHeight="false" outlineLevel="0" collapsed="false">
      <c r="A9912" s="0" t="s">
        <v>12</v>
      </c>
      <c r="B9912" s="0" t="n">
        <v>3120186</v>
      </c>
      <c r="C9912" s="0" t="n">
        <v>3120206</v>
      </c>
      <c r="D9912" s="0" t="s">
        <v>32938</v>
      </c>
      <c r="E9912" s="0" t="s">
        <v>75</v>
      </c>
      <c r="F9912" s="0" t="s">
        <v>15</v>
      </c>
      <c r="G9912" s="0" t="s">
        <v>20</v>
      </c>
      <c r="H9912" s="0" t="n">
        <v>31</v>
      </c>
      <c r="I9912" s="0" t="s">
        <v>32939</v>
      </c>
      <c r="J9912" s="0" t="s">
        <v>32940</v>
      </c>
      <c r="K9912" s="0" t="s">
        <v>32941</v>
      </c>
      <c r="L9912" s="0" t="str">
        <f aca="false">HYPERLINK("https://www.ncbi.nlm.nih.gov/nuccore/CP000058.1?report=graph&amp;tracks=[key:gene_model_track,Options:GeneOnly]&amp;mk=3120187:3120206|offset_31|00cc00,3120226:3120245|offset_70|444444,3120252:3120271|offset_96|444444,3120301:3120320|offset_145|444444&amp;v=3119986:3120520&amp;c=444444", "offset 31")</f>
        <v>offset 31</v>
      </c>
    </row>
    <row r="9913" customFormat="false" ht="12.8" hidden="false" customHeight="false" outlineLevel="0" collapsed="false">
      <c r="A9913" s="0" t="s">
        <v>12</v>
      </c>
      <c r="B9913" s="0" t="n">
        <v>3120225</v>
      </c>
      <c r="C9913" s="0" t="n">
        <v>3120245</v>
      </c>
      <c r="D9913" s="0" t="s">
        <v>32938</v>
      </c>
      <c r="E9913" s="0" t="s">
        <v>75</v>
      </c>
      <c r="F9913" s="0" t="s">
        <v>15</v>
      </c>
      <c r="G9913" s="0" t="s">
        <v>16</v>
      </c>
      <c r="H9913" s="0" t="n">
        <v>70</v>
      </c>
      <c r="I9913" s="0" t="s">
        <v>32942</v>
      </c>
      <c r="J9913" s="0" t="s">
        <v>32943</v>
      </c>
      <c r="K9913" s="0" t="s">
        <v>32944</v>
      </c>
      <c r="L9913" s="0" t="str">
        <f aca="false">HYPERLINK("https://www.ncbi.nlm.nih.gov/nuccore/CP000058.1?report=graph&amp;tracks=[key:gene_model_track,Options:GeneOnly]&amp;mk=3120187:3120206|offset_31|444444,3120226:3120245|offset_70|00cc00,3120252:3120271|offset_96|444444,3120301:3120320|offset_145|444444&amp;v=3119986:3120520&amp;c=444444", "offset 70")</f>
        <v>offset 70</v>
      </c>
    </row>
    <row r="9914" customFormat="false" ht="12.8" hidden="false" customHeight="false" outlineLevel="0" collapsed="false">
      <c r="A9914" s="0" t="s">
        <v>12</v>
      </c>
      <c r="B9914" s="0" t="n">
        <v>3120251</v>
      </c>
      <c r="C9914" s="0" t="n">
        <v>3120271</v>
      </c>
      <c r="D9914" s="0" t="s">
        <v>32938</v>
      </c>
      <c r="E9914" s="0" t="s">
        <v>75</v>
      </c>
      <c r="F9914" s="0" t="s">
        <v>15</v>
      </c>
      <c r="G9914" s="0" t="s">
        <v>32</v>
      </c>
      <c r="H9914" s="0" t="n">
        <v>96</v>
      </c>
      <c r="I9914" s="0" t="s">
        <v>32945</v>
      </c>
      <c r="J9914" s="0" t="s">
        <v>32946</v>
      </c>
      <c r="K9914" s="0" t="s">
        <v>32947</v>
      </c>
      <c r="L9914" s="0" t="str">
        <f aca="false">HYPERLINK("https://www.ncbi.nlm.nih.gov/nuccore/CP000058.1?report=graph&amp;tracks=[key:gene_model_track,Options:GeneOnly]&amp;mk=3120187:3120206|offset_31|444444,3120226:3120245|offset_70|444444,3120252:3120271|offset_96|00cc00,3120301:3120320|offset_145|444444&amp;v=3119986:3120520&amp;c=444444", "offset 96")</f>
        <v>offset 96</v>
      </c>
    </row>
    <row r="9915" customFormat="false" ht="12.8" hidden="false" customHeight="false" outlineLevel="0" collapsed="false">
      <c r="A9915" s="0" t="s">
        <v>12</v>
      </c>
      <c r="B9915" s="0" t="n">
        <v>3120300</v>
      </c>
      <c r="C9915" s="0" t="n">
        <v>3120320</v>
      </c>
      <c r="D9915" s="0" t="s">
        <v>32938</v>
      </c>
      <c r="E9915" s="0" t="s">
        <v>75</v>
      </c>
      <c r="F9915" s="0" t="s">
        <v>15</v>
      </c>
      <c r="G9915" s="0" t="s">
        <v>20</v>
      </c>
      <c r="H9915" s="0" t="n">
        <v>145</v>
      </c>
      <c r="I9915" s="0" t="s">
        <v>32948</v>
      </c>
      <c r="J9915" s="0" t="s">
        <v>32949</v>
      </c>
      <c r="K9915" s="0" t="s">
        <v>32950</v>
      </c>
      <c r="L9915" s="0" t="str">
        <f aca="false">HYPERLINK("https://www.ncbi.nlm.nih.gov/nuccore/CP000058.1?report=graph&amp;tracks=[key:gene_model_track,Options:GeneOnly]&amp;mk=3120187:3120206|offset_31|444444,3120226:3120245|offset_70|444444,3120252:3120271|offset_96|444444,3120301:3120320|offset_145|00cc00&amp;v=3119986:3120520&amp;c=444444", "offset 145")</f>
        <v>offset 145</v>
      </c>
    </row>
    <row r="9916" customFormat="false" ht="12.8" hidden="false" customHeight="false" outlineLevel="0" collapsed="false">
      <c r="A9916" s="0" t="s">
        <v>12</v>
      </c>
      <c r="B9916" s="0" t="n">
        <v>3121359</v>
      </c>
      <c r="C9916" s="0" t="n">
        <v>3121379</v>
      </c>
      <c r="D9916" s="0" t="s">
        <v>32951</v>
      </c>
      <c r="E9916" s="0" t="s">
        <v>75</v>
      </c>
      <c r="F9916" s="0" t="s">
        <v>15</v>
      </c>
      <c r="G9916" s="0" t="s">
        <v>16</v>
      </c>
      <c r="H9916" s="0" t="n">
        <v>7</v>
      </c>
      <c r="I9916" s="0" t="s">
        <v>32952</v>
      </c>
      <c r="J9916" s="0" t="s">
        <v>32953</v>
      </c>
      <c r="K9916" s="0" t="s">
        <v>32954</v>
      </c>
      <c r="L9916" s="0" t="str">
        <f aca="false">HYPERLINK("https://www.ncbi.nlm.nih.gov/nuccore/CP000058.1?report=graph&amp;tracks=[key:gene_model_track,Options:GeneOnly]&amp;mk=3121360:3121379|offset_7|00cc00,3121390:3121409|offset_37|444444,3121420:3121439|offset_67|444444,3121443:3121462|offset_90|444444&amp;v=3121159:3121662&amp;c=444444", "offset 7")</f>
        <v>offset 7</v>
      </c>
    </row>
    <row r="9917" customFormat="false" ht="12.8" hidden="false" customHeight="false" outlineLevel="0" collapsed="false">
      <c r="A9917" s="0" t="s">
        <v>12</v>
      </c>
      <c r="B9917" s="0" t="n">
        <v>3121389</v>
      </c>
      <c r="C9917" s="0" t="n">
        <v>3121409</v>
      </c>
      <c r="D9917" s="0" t="s">
        <v>32951</v>
      </c>
      <c r="E9917" s="0" t="s">
        <v>75</v>
      </c>
      <c r="F9917" s="0" t="s">
        <v>15</v>
      </c>
      <c r="G9917" s="0" t="s">
        <v>36</v>
      </c>
      <c r="H9917" s="0" t="n">
        <v>37</v>
      </c>
      <c r="I9917" s="0" t="s">
        <v>32955</v>
      </c>
      <c r="J9917" s="0" t="s">
        <v>32956</v>
      </c>
      <c r="K9917" s="0" t="s">
        <v>32957</v>
      </c>
      <c r="L9917" s="0" t="str">
        <f aca="false">HYPERLINK("https://www.ncbi.nlm.nih.gov/nuccore/CP000058.1?report=graph&amp;tracks=[key:gene_model_track,Options:GeneOnly]&amp;mk=3121360:3121379|offset_7|444444,3121390:3121409|offset_37|00cc00,3121420:3121439|offset_67|444444,3121443:3121462|offset_90|444444&amp;v=3121159:3121662&amp;c=444444", "offset 37")</f>
        <v>offset 37</v>
      </c>
    </row>
    <row r="9918" customFormat="false" ht="12.8" hidden="false" customHeight="false" outlineLevel="0" collapsed="false">
      <c r="A9918" s="0" t="s">
        <v>12</v>
      </c>
      <c r="B9918" s="0" t="n">
        <v>3121419</v>
      </c>
      <c r="C9918" s="0" t="n">
        <v>3121439</v>
      </c>
      <c r="D9918" s="0" t="s">
        <v>32951</v>
      </c>
      <c r="E9918" s="0" t="s">
        <v>75</v>
      </c>
      <c r="F9918" s="0" t="s">
        <v>15</v>
      </c>
      <c r="G9918" s="0" t="s">
        <v>20</v>
      </c>
      <c r="H9918" s="0" t="n">
        <v>67</v>
      </c>
      <c r="I9918" s="0" t="s">
        <v>32958</v>
      </c>
      <c r="J9918" s="0" t="s">
        <v>32959</v>
      </c>
      <c r="K9918" s="0" t="s">
        <v>32960</v>
      </c>
      <c r="L9918" s="0" t="str">
        <f aca="false">HYPERLINK("https://www.ncbi.nlm.nih.gov/nuccore/CP000058.1?report=graph&amp;tracks=[key:gene_model_track,Options:GeneOnly]&amp;mk=3121360:3121379|offset_7|444444,3121390:3121409|offset_37|444444,3121420:3121439|offset_67|00cc00,3121443:3121462|offset_90|444444&amp;v=3121159:3121662&amp;c=444444", "offset 67")</f>
        <v>offset 67</v>
      </c>
    </row>
    <row r="9919" customFormat="false" ht="12.8" hidden="false" customHeight="false" outlineLevel="0" collapsed="false">
      <c r="A9919" s="0" t="s">
        <v>12</v>
      </c>
      <c r="B9919" s="0" t="n">
        <v>3121442</v>
      </c>
      <c r="C9919" s="0" t="n">
        <v>3121462</v>
      </c>
      <c r="D9919" s="0" t="s">
        <v>32951</v>
      </c>
      <c r="E9919" s="0" t="s">
        <v>75</v>
      </c>
      <c r="F9919" s="0" t="s">
        <v>15</v>
      </c>
      <c r="G9919" s="0" t="s">
        <v>36</v>
      </c>
      <c r="H9919" s="0" t="n">
        <v>90</v>
      </c>
      <c r="I9919" s="0" t="s">
        <v>32961</v>
      </c>
      <c r="J9919" s="0" t="s">
        <v>32962</v>
      </c>
      <c r="K9919" s="0" t="s">
        <v>32963</v>
      </c>
      <c r="L9919" s="0" t="str">
        <f aca="false">HYPERLINK("https://www.ncbi.nlm.nih.gov/nuccore/CP000058.1?report=graph&amp;tracks=[key:gene_model_track,Options:GeneOnly]&amp;mk=3121360:3121379|offset_7|444444,3121390:3121409|offset_37|444444,3121420:3121439|offset_67|444444,3121443:3121462|offset_90|00cc00&amp;v=3121159:3121662&amp;c=444444", "offset 90")</f>
        <v>offset 90</v>
      </c>
    </row>
    <row r="9920" customFormat="false" ht="12.8" hidden="false" customHeight="false" outlineLevel="0" collapsed="false">
      <c r="A9920" s="0" t="s">
        <v>12</v>
      </c>
      <c r="B9920" s="0" t="n">
        <v>3122832</v>
      </c>
      <c r="C9920" s="0" t="n">
        <v>3122852</v>
      </c>
      <c r="D9920" s="0" t="s">
        <v>32964</v>
      </c>
      <c r="E9920" s="0" t="s">
        <v>75</v>
      </c>
      <c r="F9920" s="0" t="s">
        <v>15</v>
      </c>
      <c r="G9920" s="0" t="s">
        <v>16</v>
      </c>
      <c r="H9920" s="0" t="n">
        <v>23</v>
      </c>
      <c r="I9920" s="0" t="s">
        <v>32965</v>
      </c>
      <c r="J9920" s="0" t="s">
        <v>32966</v>
      </c>
      <c r="K9920" s="0" t="s">
        <v>32967</v>
      </c>
      <c r="L9920" s="0" t="str">
        <f aca="false">HYPERLINK("https://www.ncbi.nlm.nih.gov/nuccore/CP000058.1?report=graph&amp;tracks=[key:gene_model_track,Options:GeneOnly]&amp;mk=3122833:3122852|offset_23|00cc00,3122871:3122890|offset_61|444444,3122898:3122917|offset_88|444444,3122935:3122954|offset_125|444444&amp;v=3122632:3123154&amp;c=444444", "offset 23")</f>
        <v>offset 23</v>
      </c>
    </row>
    <row r="9921" customFormat="false" ht="12.8" hidden="false" customHeight="false" outlineLevel="0" collapsed="false">
      <c r="A9921" s="0" t="s">
        <v>12</v>
      </c>
      <c r="B9921" s="0" t="n">
        <v>3122870</v>
      </c>
      <c r="C9921" s="0" t="n">
        <v>3122890</v>
      </c>
      <c r="D9921" s="0" t="s">
        <v>32964</v>
      </c>
      <c r="E9921" s="0" t="s">
        <v>75</v>
      </c>
      <c r="F9921" s="0" t="s">
        <v>15</v>
      </c>
      <c r="G9921" s="0" t="s">
        <v>16</v>
      </c>
      <c r="H9921" s="0" t="n">
        <v>61</v>
      </c>
      <c r="I9921" s="0" t="s">
        <v>32968</v>
      </c>
      <c r="J9921" s="0" t="s">
        <v>32969</v>
      </c>
      <c r="K9921" s="0" t="s">
        <v>32970</v>
      </c>
      <c r="L9921" s="0" t="str">
        <f aca="false">HYPERLINK("https://www.ncbi.nlm.nih.gov/nuccore/CP000058.1?report=graph&amp;tracks=[key:gene_model_track,Options:GeneOnly]&amp;mk=3122833:3122852|offset_23|444444,3122871:3122890|offset_61|00cc00,3122898:3122917|offset_88|444444,3122935:3122954|offset_125|444444&amp;v=3122632:3123154&amp;c=444444", "offset 61")</f>
        <v>offset 61</v>
      </c>
    </row>
    <row r="9922" customFormat="false" ht="12.8" hidden="false" customHeight="false" outlineLevel="0" collapsed="false">
      <c r="A9922" s="0" t="s">
        <v>12</v>
      </c>
      <c r="B9922" s="0" t="n">
        <v>3122897</v>
      </c>
      <c r="C9922" s="0" t="n">
        <v>3122917</v>
      </c>
      <c r="D9922" s="0" t="s">
        <v>32964</v>
      </c>
      <c r="E9922" s="0" t="s">
        <v>75</v>
      </c>
      <c r="F9922" s="0" t="s">
        <v>15</v>
      </c>
      <c r="G9922" s="0" t="s">
        <v>32</v>
      </c>
      <c r="H9922" s="0" t="n">
        <v>88</v>
      </c>
      <c r="I9922" s="0" t="s">
        <v>32971</v>
      </c>
      <c r="J9922" s="0" t="s">
        <v>32972</v>
      </c>
      <c r="K9922" s="0" t="s">
        <v>32973</v>
      </c>
      <c r="L9922" s="0" t="str">
        <f aca="false">HYPERLINK("https://www.ncbi.nlm.nih.gov/nuccore/CP000058.1?report=graph&amp;tracks=[key:gene_model_track,Options:GeneOnly]&amp;mk=3122833:3122852|offset_23|444444,3122871:3122890|offset_61|444444,3122898:3122917|offset_88|00cc00,3122935:3122954|offset_125|444444&amp;v=3122632:3123154&amp;c=444444", "offset 88")</f>
        <v>offset 88</v>
      </c>
    </row>
    <row r="9923" customFormat="false" ht="12.8" hidden="false" customHeight="false" outlineLevel="0" collapsed="false">
      <c r="A9923" s="0" t="s">
        <v>12</v>
      </c>
      <c r="B9923" s="0" t="n">
        <v>3122934</v>
      </c>
      <c r="C9923" s="0" t="n">
        <v>3122954</v>
      </c>
      <c r="D9923" s="0" t="s">
        <v>32964</v>
      </c>
      <c r="E9923" s="0" t="s">
        <v>75</v>
      </c>
      <c r="F9923" s="0" t="s">
        <v>15</v>
      </c>
      <c r="G9923" s="0" t="s">
        <v>20</v>
      </c>
      <c r="H9923" s="0" t="n">
        <v>125</v>
      </c>
      <c r="I9923" s="0" t="s">
        <v>32974</v>
      </c>
      <c r="J9923" s="0" t="s">
        <v>32975</v>
      </c>
      <c r="K9923" s="0" t="s">
        <v>32976</v>
      </c>
      <c r="L9923" s="0" t="str">
        <f aca="false">HYPERLINK("https://www.ncbi.nlm.nih.gov/nuccore/CP000058.1?report=graph&amp;tracks=[key:gene_model_track,Options:GeneOnly]&amp;mk=3122833:3122852|offset_23|444444,3122871:3122890|offset_61|444444,3122898:3122917|offset_88|444444,3122935:3122954|offset_125|00cc00&amp;v=3122632:3123154&amp;c=444444", "offset 125")</f>
        <v>offset 125</v>
      </c>
    </row>
    <row r="9924" customFormat="false" ht="12.8" hidden="false" customHeight="false" outlineLevel="0" collapsed="false">
      <c r="A9924" s="0" t="s">
        <v>12</v>
      </c>
      <c r="B9924" s="0" t="n">
        <v>3123802</v>
      </c>
      <c r="C9924" s="0" t="n">
        <v>3123822</v>
      </c>
      <c r="D9924" s="0" t="s">
        <v>32977</v>
      </c>
      <c r="E9924" s="0" t="s">
        <v>75</v>
      </c>
      <c r="F9924" s="0" t="s">
        <v>15</v>
      </c>
      <c r="G9924" s="0" t="s">
        <v>36</v>
      </c>
      <c r="H9924" s="0" t="n">
        <v>22</v>
      </c>
      <c r="I9924" s="0" t="s">
        <v>32978</v>
      </c>
      <c r="J9924" s="0" t="s">
        <v>32979</v>
      </c>
      <c r="K9924" s="0" t="s">
        <v>32980</v>
      </c>
      <c r="L9924" s="0" t="str">
        <f aca="false">HYPERLINK("https://www.ncbi.nlm.nih.gov/nuccore/CP000058.1?report=graph&amp;tracks=[key:gene_model_track,Options:GeneOnly]&amp;mk=3123803:3123822|offset_22|00cc00,3123838:3123857|offset_57|444444,3123874:3123893|offset_93|444444,3123900:3123919|offset_119|444444&amp;v=3123602:3124119&amp;c=444444", "offset 22")</f>
        <v>offset 22</v>
      </c>
    </row>
    <row r="9925" customFormat="false" ht="12.8" hidden="false" customHeight="false" outlineLevel="0" collapsed="false">
      <c r="A9925" s="0" t="s">
        <v>12</v>
      </c>
      <c r="B9925" s="0" t="n">
        <v>3123837</v>
      </c>
      <c r="C9925" s="0" t="n">
        <v>3123857</v>
      </c>
      <c r="D9925" s="0" t="s">
        <v>32977</v>
      </c>
      <c r="E9925" s="0" t="s">
        <v>75</v>
      </c>
      <c r="F9925" s="0" t="s">
        <v>15</v>
      </c>
      <c r="G9925" s="0" t="s">
        <v>32</v>
      </c>
      <c r="H9925" s="0" t="n">
        <v>57</v>
      </c>
      <c r="I9925" s="0" t="s">
        <v>32981</v>
      </c>
      <c r="J9925" s="0" t="s">
        <v>32982</v>
      </c>
      <c r="K9925" s="0" t="s">
        <v>32983</v>
      </c>
      <c r="L9925" s="0" t="str">
        <f aca="false">HYPERLINK("https://www.ncbi.nlm.nih.gov/nuccore/CP000058.1?report=graph&amp;tracks=[key:gene_model_track,Options:GeneOnly]&amp;mk=3123803:3123822|offset_22|444444,3123838:3123857|offset_57|00cc00,3123874:3123893|offset_93|444444,3123900:3123919|offset_119|444444&amp;v=3123602:3124119&amp;c=444444", "offset 57")</f>
        <v>offset 57</v>
      </c>
    </row>
    <row r="9926" customFormat="false" ht="12.8" hidden="false" customHeight="false" outlineLevel="0" collapsed="false">
      <c r="A9926" s="0" t="s">
        <v>12</v>
      </c>
      <c r="B9926" s="0" t="n">
        <v>3123873</v>
      </c>
      <c r="C9926" s="0" t="n">
        <v>3123893</v>
      </c>
      <c r="D9926" s="0" t="s">
        <v>32977</v>
      </c>
      <c r="E9926" s="0" t="s">
        <v>75</v>
      </c>
      <c r="F9926" s="0" t="s">
        <v>15</v>
      </c>
      <c r="G9926" s="0" t="s">
        <v>16</v>
      </c>
      <c r="H9926" s="0" t="n">
        <v>93</v>
      </c>
      <c r="I9926" s="0" t="s">
        <v>32984</v>
      </c>
      <c r="J9926" s="0" t="s">
        <v>32985</v>
      </c>
      <c r="K9926" s="0" t="s">
        <v>32986</v>
      </c>
      <c r="L9926" s="0" t="str">
        <f aca="false">HYPERLINK("https://www.ncbi.nlm.nih.gov/nuccore/CP000058.1?report=graph&amp;tracks=[key:gene_model_track,Options:GeneOnly]&amp;mk=3123803:3123822|offset_22|444444,3123838:3123857|offset_57|444444,3123874:3123893|offset_93|00cc00,3123900:3123919|offset_119|444444&amp;v=3123602:3124119&amp;c=444444", "offset 93")</f>
        <v>offset 93</v>
      </c>
    </row>
    <row r="9927" customFormat="false" ht="12.8" hidden="false" customHeight="false" outlineLevel="0" collapsed="false">
      <c r="A9927" s="0" t="s">
        <v>12</v>
      </c>
      <c r="B9927" s="0" t="n">
        <v>3123899</v>
      </c>
      <c r="C9927" s="0" t="n">
        <v>3123919</v>
      </c>
      <c r="D9927" s="0" t="s">
        <v>32977</v>
      </c>
      <c r="E9927" s="0" t="s">
        <v>75</v>
      </c>
      <c r="F9927" s="0" t="s">
        <v>15</v>
      </c>
      <c r="G9927" s="0" t="s">
        <v>20</v>
      </c>
      <c r="H9927" s="0" t="n">
        <v>119</v>
      </c>
      <c r="I9927" s="0" t="s">
        <v>32987</v>
      </c>
      <c r="J9927" s="0" t="s">
        <v>32988</v>
      </c>
      <c r="K9927" s="0" t="s">
        <v>32989</v>
      </c>
      <c r="L9927" s="0" t="str">
        <f aca="false">HYPERLINK("https://www.ncbi.nlm.nih.gov/nuccore/CP000058.1?report=graph&amp;tracks=[key:gene_model_track,Options:GeneOnly]&amp;mk=3123803:3123822|offset_22|444444,3123838:3123857|offset_57|444444,3123874:3123893|offset_93|444444,3123900:3123919|offset_119|00cc00&amp;v=3123602:3124119&amp;c=444444", "offset 119")</f>
        <v>offset 119</v>
      </c>
    </row>
    <row r="9928" customFormat="false" ht="12.8" hidden="false" customHeight="false" outlineLevel="0" collapsed="false">
      <c r="A9928" s="0" t="s">
        <v>12</v>
      </c>
      <c r="B9928" s="0" t="n">
        <v>3124727</v>
      </c>
      <c r="C9928" s="0" t="n">
        <v>3124747</v>
      </c>
      <c r="D9928" s="0" t="s">
        <v>32990</v>
      </c>
      <c r="E9928" s="0" t="s">
        <v>75</v>
      </c>
      <c r="F9928" s="0" t="s">
        <v>15</v>
      </c>
      <c r="G9928" s="0" t="s">
        <v>32</v>
      </c>
      <c r="H9928" s="0" t="n">
        <v>15</v>
      </c>
      <c r="I9928" s="0" t="s">
        <v>32991</v>
      </c>
      <c r="J9928" s="0" t="s">
        <v>32992</v>
      </c>
      <c r="K9928" s="0" t="s">
        <v>32993</v>
      </c>
      <c r="L9928" s="0" t="str">
        <f aca="false">HYPERLINK("https://www.ncbi.nlm.nih.gov/nuccore/CP000058.1?report=graph&amp;tracks=[key:gene_model_track,Options:GeneOnly]&amp;mk=3124728:3124747|offset_15|00cc00,3124748:3124767|offset_35|444444,3124768:3124787|offset_55|444444,3124804:3124823|offset_91|444444&amp;v=3124527:3125023&amp;c=444444", "offset 15")</f>
        <v>offset 15</v>
      </c>
    </row>
    <row r="9929" customFormat="false" ht="12.8" hidden="false" customHeight="false" outlineLevel="0" collapsed="false">
      <c r="A9929" s="0" t="s">
        <v>12</v>
      </c>
      <c r="B9929" s="0" t="n">
        <v>3124747</v>
      </c>
      <c r="C9929" s="0" t="n">
        <v>3124767</v>
      </c>
      <c r="D9929" s="0" t="s">
        <v>32990</v>
      </c>
      <c r="E9929" s="0" t="s">
        <v>75</v>
      </c>
      <c r="F9929" s="0" t="s">
        <v>15</v>
      </c>
      <c r="G9929" s="0" t="s">
        <v>20</v>
      </c>
      <c r="H9929" s="0" t="n">
        <v>35</v>
      </c>
      <c r="I9929" s="0" t="s">
        <v>32994</v>
      </c>
      <c r="J9929" s="0" t="s">
        <v>32995</v>
      </c>
      <c r="K9929" s="0" t="s">
        <v>32996</v>
      </c>
      <c r="L9929" s="0" t="str">
        <f aca="false">HYPERLINK("https://www.ncbi.nlm.nih.gov/nuccore/CP000058.1?report=graph&amp;tracks=[key:gene_model_track,Options:GeneOnly]&amp;mk=3124728:3124747|offset_15|444444,3124748:3124767|offset_35|00cc00,3124768:3124787|offset_55|444444,3124804:3124823|offset_91|444444&amp;v=3124527:3125023&amp;c=444444", "offset 35")</f>
        <v>offset 35</v>
      </c>
    </row>
    <row r="9930" customFormat="false" ht="12.8" hidden="false" customHeight="false" outlineLevel="0" collapsed="false">
      <c r="A9930" s="0" t="s">
        <v>12</v>
      </c>
      <c r="B9930" s="0" t="n">
        <v>3124767</v>
      </c>
      <c r="C9930" s="0" t="n">
        <v>3124787</v>
      </c>
      <c r="D9930" s="0" t="s">
        <v>32990</v>
      </c>
      <c r="E9930" s="0" t="s">
        <v>75</v>
      </c>
      <c r="F9930" s="0" t="s">
        <v>15</v>
      </c>
      <c r="G9930" s="0" t="s">
        <v>36</v>
      </c>
      <c r="H9930" s="0" t="n">
        <v>55</v>
      </c>
      <c r="I9930" s="0" t="s">
        <v>32997</v>
      </c>
      <c r="J9930" s="0" t="s">
        <v>32998</v>
      </c>
      <c r="K9930" s="0" t="s">
        <v>32999</v>
      </c>
      <c r="L9930" s="0" t="str">
        <f aca="false">HYPERLINK("https://www.ncbi.nlm.nih.gov/nuccore/CP000058.1?report=graph&amp;tracks=[key:gene_model_track,Options:GeneOnly]&amp;mk=3124728:3124747|offset_15|444444,3124748:3124767|offset_35|444444,3124768:3124787|offset_55|00cc00,3124804:3124823|offset_91|444444&amp;v=3124527:3125023&amp;c=444444", "offset 55")</f>
        <v>offset 55</v>
      </c>
    </row>
    <row r="9931" customFormat="false" ht="12.8" hidden="false" customHeight="false" outlineLevel="0" collapsed="false">
      <c r="A9931" s="0" t="s">
        <v>12</v>
      </c>
      <c r="B9931" s="0" t="n">
        <v>3124803</v>
      </c>
      <c r="C9931" s="0" t="n">
        <v>3124823</v>
      </c>
      <c r="D9931" s="0" t="s">
        <v>32990</v>
      </c>
      <c r="E9931" s="0" t="s">
        <v>75</v>
      </c>
      <c r="F9931" s="0" t="s">
        <v>15</v>
      </c>
      <c r="G9931" s="0" t="s">
        <v>20</v>
      </c>
      <c r="H9931" s="0" t="n">
        <v>91</v>
      </c>
      <c r="I9931" s="0" t="s">
        <v>33000</v>
      </c>
      <c r="J9931" s="0" t="s">
        <v>33001</v>
      </c>
      <c r="K9931" s="0" t="s">
        <v>33002</v>
      </c>
      <c r="L9931" s="0" t="str">
        <f aca="false">HYPERLINK("https://www.ncbi.nlm.nih.gov/nuccore/CP000058.1?report=graph&amp;tracks=[key:gene_model_track,Options:GeneOnly]&amp;mk=3124728:3124747|offset_15|444444,3124748:3124767|offset_35|444444,3124768:3124787|offset_55|444444,3124804:3124823|offset_91|00cc00&amp;v=3124527:3125023&amp;c=444444", "offset 91")</f>
        <v>offset 91</v>
      </c>
    </row>
    <row r="9932" customFormat="false" ht="12.8" hidden="false" customHeight="false" outlineLevel="0" collapsed="false">
      <c r="A9932" s="0" t="s">
        <v>12</v>
      </c>
      <c r="B9932" s="0" t="n">
        <v>3125706</v>
      </c>
      <c r="C9932" s="0" t="n">
        <v>3125726</v>
      </c>
      <c r="D9932" s="0" t="s">
        <v>33003</v>
      </c>
      <c r="E9932" s="0" t="s">
        <v>75</v>
      </c>
      <c r="F9932" s="0" t="s">
        <v>15</v>
      </c>
      <c r="G9932" s="0" t="s">
        <v>36</v>
      </c>
      <c r="H9932" s="0" t="n">
        <v>21</v>
      </c>
      <c r="I9932" s="0" t="s">
        <v>33004</v>
      </c>
      <c r="J9932" s="0" t="s">
        <v>33005</v>
      </c>
      <c r="K9932" s="0" t="s">
        <v>33006</v>
      </c>
      <c r="L9932" s="0" t="str">
        <f aca="false">HYPERLINK("https://www.ncbi.nlm.nih.gov/nuccore/CP000058.1?report=graph&amp;tracks=[key:gene_model_track,Options:GeneOnly]&amp;mk=3125707:3125726|offset_21|00cc00,3125738:3125757|offset_52|444444,3125793:3125812|offset_107|444444,3125816:3125835|offset_130|444444&amp;v=3125506:3126035&amp;c=444444", "offset 21")</f>
        <v>offset 21</v>
      </c>
    </row>
    <row r="9933" customFormat="false" ht="12.8" hidden="false" customHeight="false" outlineLevel="0" collapsed="false">
      <c r="A9933" s="0" t="s">
        <v>12</v>
      </c>
      <c r="B9933" s="0" t="n">
        <v>3125737</v>
      </c>
      <c r="C9933" s="0" t="n">
        <v>3125757</v>
      </c>
      <c r="D9933" s="0" t="s">
        <v>33003</v>
      </c>
      <c r="E9933" s="0" t="s">
        <v>75</v>
      </c>
      <c r="F9933" s="0" t="s">
        <v>15</v>
      </c>
      <c r="G9933" s="0" t="s">
        <v>20</v>
      </c>
      <c r="H9933" s="0" t="n">
        <v>52</v>
      </c>
      <c r="I9933" s="0" t="s">
        <v>33007</v>
      </c>
      <c r="J9933" s="0" t="s">
        <v>33008</v>
      </c>
      <c r="K9933" s="0" t="s">
        <v>33009</v>
      </c>
      <c r="L9933" s="0" t="str">
        <f aca="false">HYPERLINK("https://www.ncbi.nlm.nih.gov/nuccore/CP000058.1?report=graph&amp;tracks=[key:gene_model_track,Options:GeneOnly]&amp;mk=3125707:3125726|offset_21|444444,3125738:3125757|offset_52|00cc00,3125793:3125812|offset_107|444444,3125816:3125835|offset_130|444444&amp;v=3125506:3126035&amp;c=444444", "offset 52")</f>
        <v>offset 52</v>
      </c>
    </row>
    <row r="9934" customFormat="false" ht="12.8" hidden="false" customHeight="false" outlineLevel="0" collapsed="false">
      <c r="A9934" s="0" t="s">
        <v>12</v>
      </c>
      <c r="B9934" s="0" t="n">
        <v>3125792</v>
      </c>
      <c r="C9934" s="0" t="n">
        <v>3125812</v>
      </c>
      <c r="D9934" s="0" t="s">
        <v>33003</v>
      </c>
      <c r="E9934" s="0" t="s">
        <v>75</v>
      </c>
      <c r="F9934" s="0" t="s">
        <v>15</v>
      </c>
      <c r="G9934" s="0" t="s">
        <v>20</v>
      </c>
      <c r="H9934" s="0" t="n">
        <v>107</v>
      </c>
      <c r="I9934" s="0" t="s">
        <v>33010</v>
      </c>
      <c r="J9934" s="0" t="s">
        <v>33011</v>
      </c>
      <c r="K9934" s="0" t="s">
        <v>33012</v>
      </c>
      <c r="L9934" s="0" t="str">
        <f aca="false">HYPERLINK("https://www.ncbi.nlm.nih.gov/nuccore/CP000058.1?report=graph&amp;tracks=[key:gene_model_track,Options:GeneOnly]&amp;mk=3125707:3125726|offset_21|444444,3125738:3125757|offset_52|444444,3125793:3125812|offset_107|00cc00,3125816:3125835|offset_130|444444&amp;v=3125506:3126035&amp;c=444444", "offset 107")</f>
        <v>offset 107</v>
      </c>
    </row>
    <row r="9935" customFormat="false" ht="12.8" hidden="false" customHeight="false" outlineLevel="0" collapsed="false">
      <c r="A9935" s="0" t="s">
        <v>12</v>
      </c>
      <c r="B9935" s="0" t="n">
        <v>3125815</v>
      </c>
      <c r="C9935" s="0" t="n">
        <v>3125835</v>
      </c>
      <c r="D9935" s="0" t="s">
        <v>33003</v>
      </c>
      <c r="E9935" s="0" t="s">
        <v>75</v>
      </c>
      <c r="F9935" s="0" t="s">
        <v>15</v>
      </c>
      <c r="G9935" s="0" t="s">
        <v>36</v>
      </c>
      <c r="H9935" s="0" t="n">
        <v>130</v>
      </c>
      <c r="I9935" s="0" t="s">
        <v>33013</v>
      </c>
      <c r="J9935" s="0" t="s">
        <v>33014</v>
      </c>
      <c r="K9935" s="0" t="s">
        <v>33015</v>
      </c>
      <c r="L9935" s="0" t="str">
        <f aca="false">HYPERLINK("https://www.ncbi.nlm.nih.gov/nuccore/CP000058.1?report=graph&amp;tracks=[key:gene_model_track,Options:GeneOnly]&amp;mk=3125707:3125726|offset_21|444444,3125738:3125757|offset_52|444444,3125793:3125812|offset_107|444444,3125816:3125835|offset_130|00cc00&amp;v=3125506:3126035&amp;c=444444", "offset 130")</f>
        <v>offset 130</v>
      </c>
    </row>
    <row r="9936" customFormat="false" ht="12.8" hidden="false" customHeight="false" outlineLevel="0" collapsed="false">
      <c r="A9936" s="0" t="s">
        <v>12</v>
      </c>
      <c r="B9936" s="0" t="n">
        <v>3126750</v>
      </c>
      <c r="C9936" s="0" t="n">
        <v>3126770</v>
      </c>
      <c r="D9936" s="0" t="s">
        <v>33016</v>
      </c>
      <c r="E9936" s="0" t="s">
        <v>75</v>
      </c>
      <c r="F9936" s="0" t="s">
        <v>15</v>
      </c>
      <c r="G9936" s="0" t="s">
        <v>36</v>
      </c>
      <c r="H9936" s="0" t="n">
        <v>0</v>
      </c>
      <c r="I9936" s="0" t="s">
        <v>33017</v>
      </c>
      <c r="J9936" s="0" t="s">
        <v>33018</v>
      </c>
      <c r="K9936" s="0" t="s">
        <v>33019</v>
      </c>
      <c r="L9936" s="0" t="str">
        <f aca="false">HYPERLINK("https://www.ncbi.nlm.nih.gov/nuccore/CP000058.1?report=graph&amp;tracks=[key:gene_model_track,Options:GeneOnly]&amp;mk=3126751:3126770|offset_0|00cc00,3126788:3126807|offset_37|444444,3126842:3126861|offset_91|444444,3126865:3126884|offset_114|444444&amp;v=3126550:3127084&amp;c=444444", "offset 0")</f>
        <v>offset 0</v>
      </c>
    </row>
    <row r="9937" customFormat="false" ht="12.8" hidden="false" customHeight="false" outlineLevel="0" collapsed="false">
      <c r="A9937" s="0" t="s">
        <v>12</v>
      </c>
      <c r="B9937" s="0" t="n">
        <v>3126787</v>
      </c>
      <c r="C9937" s="0" t="n">
        <v>3126807</v>
      </c>
      <c r="D9937" s="0" t="s">
        <v>33016</v>
      </c>
      <c r="E9937" s="0" t="s">
        <v>75</v>
      </c>
      <c r="F9937" s="0" t="s">
        <v>15</v>
      </c>
      <c r="G9937" s="0" t="s">
        <v>36</v>
      </c>
      <c r="H9937" s="0" t="n">
        <v>37</v>
      </c>
      <c r="I9937" s="0" t="s">
        <v>33020</v>
      </c>
      <c r="J9937" s="0" t="s">
        <v>33021</v>
      </c>
      <c r="K9937" s="0" t="s">
        <v>33022</v>
      </c>
      <c r="L9937" s="0" t="str">
        <f aca="false">HYPERLINK("https://www.ncbi.nlm.nih.gov/nuccore/CP000058.1?report=graph&amp;tracks=[key:gene_model_track,Options:GeneOnly]&amp;mk=3126751:3126770|offset_0|444444,3126788:3126807|offset_37|00cc00,3126842:3126861|offset_91|444444,3126865:3126884|offset_114|444444&amp;v=3126550:3127084&amp;c=444444", "offset 37")</f>
        <v>offset 37</v>
      </c>
    </row>
    <row r="9938" customFormat="false" ht="12.8" hidden="false" customHeight="false" outlineLevel="0" collapsed="false">
      <c r="A9938" s="0" t="s">
        <v>12</v>
      </c>
      <c r="B9938" s="0" t="n">
        <v>3126841</v>
      </c>
      <c r="C9938" s="0" t="n">
        <v>3126861</v>
      </c>
      <c r="D9938" s="0" t="s">
        <v>33016</v>
      </c>
      <c r="E9938" s="0" t="s">
        <v>75</v>
      </c>
      <c r="F9938" s="0" t="s">
        <v>15</v>
      </c>
      <c r="G9938" s="0" t="s">
        <v>16</v>
      </c>
      <c r="H9938" s="0" t="n">
        <v>91</v>
      </c>
      <c r="I9938" s="0" t="s">
        <v>33023</v>
      </c>
      <c r="J9938" s="0" t="s">
        <v>33024</v>
      </c>
      <c r="K9938" s="0" t="s">
        <v>33025</v>
      </c>
      <c r="L9938" s="0" t="str">
        <f aca="false">HYPERLINK("https://www.ncbi.nlm.nih.gov/nuccore/CP000058.1?report=graph&amp;tracks=[key:gene_model_track,Options:GeneOnly]&amp;mk=3126751:3126770|offset_0|444444,3126788:3126807|offset_37|444444,3126842:3126861|offset_91|00cc00,3126865:3126884|offset_114|444444&amp;v=3126550:3127084&amp;c=444444", "offset 91")</f>
        <v>offset 91</v>
      </c>
    </row>
    <row r="9939" customFormat="false" ht="12.8" hidden="false" customHeight="false" outlineLevel="0" collapsed="false">
      <c r="A9939" s="0" t="s">
        <v>12</v>
      </c>
      <c r="B9939" s="0" t="n">
        <v>3126864</v>
      </c>
      <c r="C9939" s="0" t="n">
        <v>3126884</v>
      </c>
      <c r="D9939" s="0" t="s">
        <v>33016</v>
      </c>
      <c r="E9939" s="0" t="s">
        <v>75</v>
      </c>
      <c r="F9939" s="0" t="s">
        <v>15</v>
      </c>
      <c r="G9939" s="0" t="s">
        <v>16</v>
      </c>
      <c r="H9939" s="0" t="n">
        <v>114</v>
      </c>
      <c r="I9939" s="0" t="s">
        <v>33026</v>
      </c>
      <c r="J9939" s="0" t="s">
        <v>33027</v>
      </c>
      <c r="K9939" s="0" t="s">
        <v>33028</v>
      </c>
      <c r="L9939" s="0" t="str">
        <f aca="false">HYPERLINK("https://www.ncbi.nlm.nih.gov/nuccore/CP000058.1?report=graph&amp;tracks=[key:gene_model_track,Options:GeneOnly]&amp;mk=3126751:3126770|offset_0|444444,3126788:3126807|offset_37|444444,3126842:3126861|offset_91|444444,3126865:3126884|offset_114|00cc00&amp;v=3126550:3127084&amp;c=444444", "offset 114")</f>
        <v>offset 114</v>
      </c>
    </row>
    <row r="9940" customFormat="false" ht="12.8" hidden="false" customHeight="false" outlineLevel="0" collapsed="false">
      <c r="A9940" s="0" t="s">
        <v>12</v>
      </c>
      <c r="B9940" s="0" t="n">
        <v>3128322</v>
      </c>
      <c r="C9940" s="0" t="n">
        <v>3128342</v>
      </c>
      <c r="D9940" s="0" t="s">
        <v>33029</v>
      </c>
      <c r="E9940" s="0" t="s">
        <v>75</v>
      </c>
      <c r="F9940" s="0" t="s">
        <v>15</v>
      </c>
      <c r="G9940" s="0" t="s">
        <v>20</v>
      </c>
      <c r="H9940" s="0" t="n">
        <v>47</v>
      </c>
      <c r="I9940" s="0" t="s">
        <v>33030</v>
      </c>
      <c r="J9940" s="0" t="s">
        <v>33031</v>
      </c>
      <c r="K9940" s="0" t="s">
        <v>33032</v>
      </c>
      <c r="L9940" s="0" t="str">
        <f aca="false">HYPERLINK("https://www.ncbi.nlm.nih.gov/nuccore/CP000058.1?report=graph&amp;tracks=[key:gene_model_track,Options:GeneOnly]&amp;mk=3128323:3128342|offset_47|00cc00,3128368:3128387|offset_92|444444,3128400:3128419|offset_124|444444,3128420:3128439|offset_144|444444&amp;v=3128122:3128639&amp;c=444444", "offset 47")</f>
        <v>offset 47</v>
      </c>
    </row>
    <row r="9941" customFormat="false" ht="12.8" hidden="false" customHeight="false" outlineLevel="0" collapsed="false">
      <c r="A9941" s="0" t="s">
        <v>12</v>
      </c>
      <c r="B9941" s="0" t="n">
        <v>3128367</v>
      </c>
      <c r="C9941" s="0" t="n">
        <v>3128387</v>
      </c>
      <c r="D9941" s="0" t="s">
        <v>33029</v>
      </c>
      <c r="E9941" s="0" t="s">
        <v>75</v>
      </c>
      <c r="F9941" s="0" t="s">
        <v>15</v>
      </c>
      <c r="G9941" s="0" t="s">
        <v>32</v>
      </c>
      <c r="H9941" s="0" t="n">
        <v>92</v>
      </c>
      <c r="I9941" s="0" t="s">
        <v>33033</v>
      </c>
      <c r="J9941" s="0" t="s">
        <v>33034</v>
      </c>
      <c r="K9941" s="0" t="s">
        <v>33035</v>
      </c>
      <c r="L9941" s="0" t="str">
        <f aca="false">HYPERLINK("https://www.ncbi.nlm.nih.gov/nuccore/CP000058.1?report=graph&amp;tracks=[key:gene_model_track,Options:GeneOnly]&amp;mk=3128323:3128342|offset_47|444444,3128368:3128387|offset_92|00cc00,3128400:3128419|offset_124|444444,3128420:3128439|offset_144|444444&amp;v=3128122:3128639&amp;c=444444", "offset 92")</f>
        <v>offset 92</v>
      </c>
    </row>
    <row r="9942" customFormat="false" ht="12.8" hidden="false" customHeight="false" outlineLevel="0" collapsed="false">
      <c r="A9942" s="0" t="s">
        <v>12</v>
      </c>
      <c r="B9942" s="0" t="n">
        <v>3128399</v>
      </c>
      <c r="C9942" s="0" t="n">
        <v>3128419</v>
      </c>
      <c r="D9942" s="0" t="s">
        <v>33029</v>
      </c>
      <c r="E9942" s="0" t="s">
        <v>75</v>
      </c>
      <c r="F9942" s="0" t="s">
        <v>15</v>
      </c>
      <c r="G9942" s="0" t="s">
        <v>32</v>
      </c>
      <c r="H9942" s="0" t="n">
        <v>124</v>
      </c>
      <c r="I9942" s="0" t="s">
        <v>33036</v>
      </c>
      <c r="J9942" s="0" t="s">
        <v>33037</v>
      </c>
      <c r="K9942" s="0" t="s">
        <v>33038</v>
      </c>
      <c r="L9942" s="0" t="str">
        <f aca="false">HYPERLINK("https://www.ncbi.nlm.nih.gov/nuccore/CP000058.1?report=graph&amp;tracks=[key:gene_model_track,Options:GeneOnly]&amp;mk=3128323:3128342|offset_47|444444,3128368:3128387|offset_92|444444,3128400:3128419|offset_124|00cc00,3128420:3128439|offset_144|444444&amp;v=3128122:3128639&amp;c=444444", "offset 124")</f>
        <v>offset 124</v>
      </c>
    </row>
    <row r="9943" customFormat="false" ht="12.8" hidden="false" customHeight="false" outlineLevel="0" collapsed="false">
      <c r="A9943" s="0" t="s">
        <v>12</v>
      </c>
      <c r="B9943" s="0" t="n">
        <v>3128419</v>
      </c>
      <c r="C9943" s="0" t="n">
        <v>3128439</v>
      </c>
      <c r="D9943" s="0" t="s">
        <v>33029</v>
      </c>
      <c r="E9943" s="0" t="s">
        <v>75</v>
      </c>
      <c r="F9943" s="0" t="s">
        <v>15</v>
      </c>
      <c r="G9943" s="0" t="s">
        <v>16</v>
      </c>
      <c r="H9943" s="0" t="n">
        <v>144</v>
      </c>
      <c r="I9943" s="0" t="s">
        <v>33039</v>
      </c>
      <c r="J9943" s="0" t="s">
        <v>33040</v>
      </c>
      <c r="K9943" s="0" t="s">
        <v>33041</v>
      </c>
      <c r="L9943" s="0" t="str">
        <f aca="false">HYPERLINK("https://www.ncbi.nlm.nih.gov/nuccore/CP000058.1?report=graph&amp;tracks=[key:gene_model_track,Options:GeneOnly]&amp;mk=3128323:3128342|offset_47|444444,3128368:3128387|offset_92|444444,3128400:3128419|offset_124|444444,3128420:3128439|offset_144|00cc00&amp;v=3128122:3128639&amp;c=444444", "offset 144")</f>
        <v>offset 144</v>
      </c>
    </row>
    <row r="9944" customFormat="false" ht="12.8" hidden="false" customHeight="false" outlineLevel="0" collapsed="false">
      <c r="A9944" s="0" t="s">
        <v>12</v>
      </c>
      <c r="B9944" s="0" t="n">
        <v>3128947</v>
      </c>
      <c r="C9944" s="0" t="n">
        <v>3128967</v>
      </c>
      <c r="D9944" s="0" t="s">
        <v>33042</v>
      </c>
      <c r="E9944" s="0" t="s">
        <v>75</v>
      </c>
      <c r="F9944" s="0" t="s">
        <v>15</v>
      </c>
      <c r="G9944" s="0" t="s">
        <v>32</v>
      </c>
      <c r="H9944" s="0" t="n">
        <v>34</v>
      </c>
      <c r="I9944" s="0" t="s">
        <v>33043</v>
      </c>
      <c r="J9944" s="0" t="s">
        <v>33044</v>
      </c>
      <c r="K9944" s="0" t="s">
        <v>33045</v>
      </c>
      <c r="L9944" s="0" t="str">
        <f aca="false">HYPERLINK("https://www.ncbi.nlm.nih.gov/nuccore/CP000058.1?report=graph&amp;tracks=[key:gene_model_track,Options:GeneOnly]&amp;mk=3128948:3128967|offset_34|00cc00,3128972:3128991|offset_58|444444,3129005:3129024|offset_91|444444,3129036:3129055|offset_122|444444&amp;v=3128747:3129255&amp;c=444444", "offset 34")</f>
        <v>offset 34</v>
      </c>
    </row>
    <row r="9945" customFormat="false" ht="12.8" hidden="false" customHeight="false" outlineLevel="0" collapsed="false">
      <c r="A9945" s="0" t="s">
        <v>12</v>
      </c>
      <c r="B9945" s="0" t="n">
        <v>3128971</v>
      </c>
      <c r="C9945" s="0" t="n">
        <v>3128991</v>
      </c>
      <c r="D9945" s="0" t="s">
        <v>33042</v>
      </c>
      <c r="E9945" s="0" t="s">
        <v>75</v>
      </c>
      <c r="F9945" s="0" t="s">
        <v>15</v>
      </c>
      <c r="G9945" s="0" t="s">
        <v>20</v>
      </c>
      <c r="H9945" s="0" t="n">
        <v>58</v>
      </c>
      <c r="I9945" s="0" t="s">
        <v>33046</v>
      </c>
      <c r="J9945" s="0" t="s">
        <v>33047</v>
      </c>
      <c r="K9945" s="0" t="s">
        <v>33048</v>
      </c>
      <c r="L9945" s="0" t="str">
        <f aca="false">HYPERLINK("https://www.ncbi.nlm.nih.gov/nuccore/CP000058.1?report=graph&amp;tracks=[key:gene_model_track,Options:GeneOnly]&amp;mk=3128948:3128967|offset_34|444444,3128972:3128991|offset_58|00cc00,3129005:3129024|offset_91|444444,3129036:3129055|offset_122|444444&amp;v=3128747:3129255&amp;c=444444", "offset 58")</f>
        <v>offset 58</v>
      </c>
    </row>
    <row r="9946" customFormat="false" ht="12.8" hidden="false" customHeight="false" outlineLevel="0" collapsed="false">
      <c r="A9946" s="0" t="s">
        <v>12</v>
      </c>
      <c r="B9946" s="0" t="n">
        <v>3129004</v>
      </c>
      <c r="C9946" s="0" t="n">
        <v>3129024</v>
      </c>
      <c r="D9946" s="0" t="s">
        <v>33042</v>
      </c>
      <c r="E9946" s="0" t="s">
        <v>75</v>
      </c>
      <c r="F9946" s="0" t="s">
        <v>15</v>
      </c>
      <c r="G9946" s="0" t="s">
        <v>16</v>
      </c>
      <c r="H9946" s="0" t="n">
        <v>91</v>
      </c>
      <c r="I9946" s="0" t="s">
        <v>33049</v>
      </c>
      <c r="J9946" s="0" t="s">
        <v>33050</v>
      </c>
      <c r="K9946" s="0" t="s">
        <v>33051</v>
      </c>
      <c r="L9946" s="0" t="str">
        <f aca="false">HYPERLINK("https://www.ncbi.nlm.nih.gov/nuccore/CP000058.1?report=graph&amp;tracks=[key:gene_model_track,Options:GeneOnly]&amp;mk=3128948:3128967|offset_34|444444,3128972:3128991|offset_58|444444,3129005:3129024|offset_91|00cc00,3129036:3129055|offset_122|444444&amp;v=3128747:3129255&amp;c=444444", "offset 91")</f>
        <v>offset 91</v>
      </c>
    </row>
    <row r="9947" customFormat="false" ht="12.8" hidden="false" customHeight="false" outlineLevel="0" collapsed="false">
      <c r="A9947" s="0" t="s">
        <v>12</v>
      </c>
      <c r="B9947" s="0" t="n">
        <v>3129035</v>
      </c>
      <c r="C9947" s="0" t="n">
        <v>3129055</v>
      </c>
      <c r="D9947" s="0" t="s">
        <v>33042</v>
      </c>
      <c r="E9947" s="0" t="s">
        <v>75</v>
      </c>
      <c r="F9947" s="0" t="s">
        <v>15</v>
      </c>
      <c r="G9947" s="0" t="s">
        <v>32</v>
      </c>
      <c r="H9947" s="0" t="n">
        <v>122</v>
      </c>
      <c r="I9947" s="0" t="s">
        <v>33052</v>
      </c>
      <c r="J9947" s="0" t="s">
        <v>33053</v>
      </c>
      <c r="K9947" s="0" t="s">
        <v>33054</v>
      </c>
      <c r="L9947" s="0" t="str">
        <f aca="false">HYPERLINK("https://www.ncbi.nlm.nih.gov/nuccore/CP000058.1?report=graph&amp;tracks=[key:gene_model_track,Options:GeneOnly]&amp;mk=3128948:3128967|offset_34|444444,3128972:3128991|offset_58|444444,3129005:3129024|offset_91|444444,3129036:3129055|offset_122|00cc00&amp;v=3128747:3129255&amp;c=444444", "offset 122")</f>
        <v>offset 122</v>
      </c>
    </row>
    <row r="9948" customFormat="false" ht="12.8" hidden="false" customHeight="false" outlineLevel="0" collapsed="false">
      <c r="A9948" s="0" t="s">
        <v>12</v>
      </c>
      <c r="B9948" s="0" t="n">
        <v>3129660</v>
      </c>
      <c r="C9948" s="0" t="n">
        <v>3129680</v>
      </c>
      <c r="D9948" s="0" t="s">
        <v>33055</v>
      </c>
      <c r="E9948" s="0" t="s">
        <v>75</v>
      </c>
      <c r="F9948" s="0" t="s">
        <v>15</v>
      </c>
      <c r="G9948" s="0" t="s">
        <v>36</v>
      </c>
      <c r="H9948" s="0" t="n">
        <v>39</v>
      </c>
      <c r="I9948" s="0" t="s">
        <v>33056</v>
      </c>
      <c r="J9948" s="0" t="s">
        <v>33057</v>
      </c>
      <c r="K9948" s="0" t="s">
        <v>33058</v>
      </c>
      <c r="L9948" s="0" t="str">
        <f aca="false">HYPERLINK("https://www.ncbi.nlm.nih.gov/nuccore/CP000058.1?report=graph&amp;tracks=[key:gene_model_track,Options:GeneOnly]&amp;mk=3129661:3129680|offset_39|00cc00,3129716:3129735|offset_94|444444,3129742:3129761|offset_120|444444,3129793:3129812|offset_171|444444&amp;v=3129460:3130012&amp;c=444444", "offset 39")</f>
        <v>offset 39</v>
      </c>
    </row>
    <row r="9949" customFormat="false" ht="12.8" hidden="false" customHeight="false" outlineLevel="0" collapsed="false">
      <c r="A9949" s="0" t="s">
        <v>12</v>
      </c>
      <c r="B9949" s="0" t="n">
        <v>3129715</v>
      </c>
      <c r="C9949" s="0" t="n">
        <v>3129735</v>
      </c>
      <c r="D9949" s="0" t="s">
        <v>33055</v>
      </c>
      <c r="E9949" s="0" t="s">
        <v>75</v>
      </c>
      <c r="F9949" s="0" t="s">
        <v>15</v>
      </c>
      <c r="G9949" s="0" t="s">
        <v>16</v>
      </c>
      <c r="H9949" s="0" t="n">
        <v>94</v>
      </c>
      <c r="I9949" s="0" t="s">
        <v>33059</v>
      </c>
      <c r="J9949" s="0" t="s">
        <v>33060</v>
      </c>
      <c r="K9949" s="0" t="s">
        <v>33061</v>
      </c>
      <c r="L9949" s="0" t="str">
        <f aca="false">HYPERLINK("https://www.ncbi.nlm.nih.gov/nuccore/CP000058.1?report=graph&amp;tracks=[key:gene_model_track,Options:GeneOnly]&amp;mk=3129661:3129680|offset_39|444444,3129716:3129735|offset_94|00cc00,3129742:3129761|offset_120|444444,3129793:3129812|offset_171|444444&amp;v=3129460:3130012&amp;c=444444", "offset 94")</f>
        <v>offset 94</v>
      </c>
    </row>
    <row r="9950" customFormat="false" ht="12.8" hidden="false" customHeight="false" outlineLevel="0" collapsed="false">
      <c r="A9950" s="0" t="s">
        <v>12</v>
      </c>
      <c r="B9950" s="0" t="n">
        <v>3129741</v>
      </c>
      <c r="C9950" s="0" t="n">
        <v>3129761</v>
      </c>
      <c r="D9950" s="0" t="s">
        <v>33055</v>
      </c>
      <c r="E9950" s="0" t="s">
        <v>75</v>
      </c>
      <c r="F9950" s="0" t="s">
        <v>15</v>
      </c>
      <c r="G9950" s="0" t="s">
        <v>16</v>
      </c>
      <c r="H9950" s="0" t="n">
        <v>120</v>
      </c>
      <c r="I9950" s="0" t="s">
        <v>33062</v>
      </c>
      <c r="J9950" s="0" t="s">
        <v>33063</v>
      </c>
      <c r="K9950" s="0" t="s">
        <v>33064</v>
      </c>
      <c r="L9950" s="0" t="str">
        <f aca="false">HYPERLINK("https://www.ncbi.nlm.nih.gov/nuccore/CP000058.1?report=graph&amp;tracks=[key:gene_model_track,Options:GeneOnly]&amp;mk=3129661:3129680|offset_39|444444,3129716:3129735|offset_94|444444,3129742:3129761|offset_120|00cc00,3129793:3129812|offset_171|444444&amp;v=3129460:3130012&amp;c=444444", "offset 120")</f>
        <v>offset 120</v>
      </c>
    </row>
    <row r="9951" customFormat="false" ht="12.8" hidden="false" customHeight="false" outlineLevel="0" collapsed="false">
      <c r="A9951" s="0" t="s">
        <v>12</v>
      </c>
      <c r="B9951" s="0" t="n">
        <v>3129792</v>
      </c>
      <c r="C9951" s="0" t="n">
        <v>3129812</v>
      </c>
      <c r="D9951" s="0" t="s">
        <v>33055</v>
      </c>
      <c r="E9951" s="0" t="s">
        <v>75</v>
      </c>
      <c r="F9951" s="0" t="s">
        <v>15</v>
      </c>
      <c r="G9951" s="0" t="s">
        <v>36</v>
      </c>
      <c r="H9951" s="0" t="n">
        <v>171</v>
      </c>
      <c r="I9951" s="0" t="s">
        <v>33065</v>
      </c>
      <c r="J9951" s="0" t="s">
        <v>33066</v>
      </c>
      <c r="K9951" s="0" t="s">
        <v>33067</v>
      </c>
      <c r="L9951" s="0" t="str">
        <f aca="false">HYPERLINK("https://www.ncbi.nlm.nih.gov/nuccore/CP000058.1?report=graph&amp;tracks=[key:gene_model_track,Options:GeneOnly]&amp;mk=3129661:3129680|offset_39|444444,3129716:3129735|offset_94|444444,3129742:3129761|offset_120|444444,3129793:3129812|offset_171|00cc00&amp;v=3129460:3130012&amp;c=444444", "offset 171")</f>
        <v>offset 171</v>
      </c>
    </row>
    <row r="9952" customFormat="false" ht="12.8" hidden="false" customHeight="false" outlineLevel="0" collapsed="false">
      <c r="A9952" s="0" t="s">
        <v>12</v>
      </c>
      <c r="B9952" s="0" t="n">
        <v>3130765</v>
      </c>
      <c r="C9952" s="0" t="n">
        <v>3130785</v>
      </c>
      <c r="D9952" s="0" t="s">
        <v>33068</v>
      </c>
      <c r="E9952" s="0" t="s">
        <v>75</v>
      </c>
      <c r="F9952" s="0" t="s">
        <v>90</v>
      </c>
      <c r="G9952" s="0" t="s">
        <v>32</v>
      </c>
      <c r="H9952" s="0" t="n">
        <v>1</v>
      </c>
      <c r="I9952" s="0" t="s">
        <v>33069</v>
      </c>
      <c r="J9952" s="0" t="s">
        <v>33070</v>
      </c>
      <c r="K9952" s="0" t="s">
        <v>33071</v>
      </c>
      <c r="L9952" s="0" t="str">
        <f aca="false">HYPERLINK("https://www.ncbi.nlm.nih.gov/nuccore/CP000058.1?report=graph&amp;tracks=[key:gene_model_track,Options:GeneOnly]&amp;mk=3130766:3130785|offset_1|00cc00,3130741:3130760|offset_26|444444,3130706:3130725|offset_61|444444,3130676:3130695|offset_91|444444&amp;v=3130565:3130895&amp;c=444444", "offset 1")</f>
        <v>offset 1</v>
      </c>
    </row>
    <row r="9953" customFormat="false" ht="12.8" hidden="false" customHeight="false" outlineLevel="0" collapsed="false">
      <c r="A9953" s="0" t="s">
        <v>12</v>
      </c>
      <c r="B9953" s="0" t="n">
        <v>3130740</v>
      </c>
      <c r="C9953" s="0" t="n">
        <v>3130760</v>
      </c>
      <c r="D9953" s="0" t="s">
        <v>33068</v>
      </c>
      <c r="E9953" s="0" t="s">
        <v>75</v>
      </c>
      <c r="F9953" s="0" t="s">
        <v>90</v>
      </c>
      <c r="G9953" s="0" t="s">
        <v>20</v>
      </c>
      <c r="H9953" s="0" t="n">
        <v>26</v>
      </c>
      <c r="I9953" s="0" t="s">
        <v>33072</v>
      </c>
      <c r="J9953" s="0" t="s">
        <v>33073</v>
      </c>
      <c r="K9953" s="0" t="s">
        <v>33074</v>
      </c>
      <c r="L9953" s="0" t="str">
        <f aca="false">HYPERLINK("https://www.ncbi.nlm.nih.gov/nuccore/CP000058.1?report=graph&amp;tracks=[key:gene_model_track,Options:GeneOnly]&amp;mk=3130766:3130785|offset_1|444444,3130741:3130760|offset_26|00cc00,3130706:3130725|offset_61|444444,3130676:3130695|offset_91|444444&amp;v=3130565:3130895&amp;c=444444", "offset 26")</f>
        <v>offset 26</v>
      </c>
    </row>
    <row r="9954" customFormat="false" ht="12.8" hidden="false" customHeight="false" outlineLevel="0" collapsed="false">
      <c r="A9954" s="0" t="s">
        <v>12</v>
      </c>
      <c r="B9954" s="0" t="n">
        <v>3130705</v>
      </c>
      <c r="C9954" s="0" t="n">
        <v>3130725</v>
      </c>
      <c r="D9954" s="0" t="s">
        <v>33068</v>
      </c>
      <c r="E9954" s="0" t="s">
        <v>75</v>
      </c>
      <c r="F9954" s="0" t="s">
        <v>90</v>
      </c>
      <c r="G9954" s="0" t="s">
        <v>32</v>
      </c>
      <c r="H9954" s="0" t="n">
        <v>61</v>
      </c>
      <c r="I9954" s="0" t="s">
        <v>33075</v>
      </c>
      <c r="J9954" s="0" t="s">
        <v>33076</v>
      </c>
      <c r="K9954" s="0" t="s">
        <v>33077</v>
      </c>
      <c r="L9954" s="0" t="str">
        <f aca="false">HYPERLINK("https://www.ncbi.nlm.nih.gov/nuccore/CP000058.1?report=graph&amp;tracks=[key:gene_model_track,Options:GeneOnly]&amp;mk=3130766:3130785|offset_1|444444,3130741:3130760|offset_26|444444,3130706:3130725|offset_61|00cc00,3130676:3130695|offset_91|444444&amp;v=3130565:3130895&amp;c=444444", "offset 61")</f>
        <v>offset 61</v>
      </c>
    </row>
    <row r="9955" customFormat="false" ht="12.8" hidden="false" customHeight="false" outlineLevel="0" collapsed="false">
      <c r="A9955" s="0" t="s">
        <v>12</v>
      </c>
      <c r="B9955" s="0" t="n">
        <v>3130675</v>
      </c>
      <c r="C9955" s="0" t="n">
        <v>3130695</v>
      </c>
      <c r="D9955" s="0" t="s">
        <v>33068</v>
      </c>
      <c r="E9955" s="0" t="s">
        <v>75</v>
      </c>
      <c r="F9955" s="0" t="s">
        <v>90</v>
      </c>
      <c r="G9955" s="0" t="s">
        <v>36</v>
      </c>
      <c r="H9955" s="0" t="n">
        <v>91</v>
      </c>
      <c r="I9955" s="0" t="s">
        <v>33078</v>
      </c>
      <c r="J9955" s="0" t="s">
        <v>33079</v>
      </c>
      <c r="K9955" s="0" t="s">
        <v>33080</v>
      </c>
      <c r="L9955" s="0" t="str">
        <f aca="false">HYPERLINK("https://www.ncbi.nlm.nih.gov/nuccore/CP000058.1?report=graph&amp;tracks=[key:gene_model_track,Options:GeneOnly]&amp;mk=3130766:3130785|offset_1|444444,3130741:3130760|offset_26|444444,3130706:3130725|offset_61|444444,3130676:3130695|offset_91|00cc00&amp;v=3130565:3130895&amp;c=444444", "offset 91")</f>
        <v>offset 91</v>
      </c>
    </row>
    <row r="9956" customFormat="false" ht="12.8" hidden="false" customHeight="false" outlineLevel="0" collapsed="false">
      <c r="A9956" s="0" t="s">
        <v>12</v>
      </c>
      <c r="B9956" s="0" t="n">
        <v>3131879</v>
      </c>
      <c r="C9956" s="0" t="n">
        <v>3131899</v>
      </c>
      <c r="D9956" s="0" t="s">
        <v>33081</v>
      </c>
      <c r="E9956" s="0" t="s">
        <v>75</v>
      </c>
      <c r="F9956" s="0" t="s">
        <v>90</v>
      </c>
      <c r="G9956" s="0" t="s">
        <v>16</v>
      </c>
      <c r="H9956" s="0" t="n">
        <v>28</v>
      </c>
      <c r="I9956" s="0" t="s">
        <v>33082</v>
      </c>
      <c r="J9956" s="0" t="s">
        <v>33083</v>
      </c>
      <c r="K9956" s="0" t="s">
        <v>33084</v>
      </c>
      <c r="L9956" s="0" t="str">
        <f aca="false">HYPERLINK("https://www.ncbi.nlm.nih.gov/nuccore/CP000058.1?report=graph&amp;tracks=[key:gene_model_track,Options:GeneOnly]&amp;mk=3131880:3131899|offset_28|00cc00,3131853:3131872|offset_55|444444,3131832:3131851|offset_76|444444,3131800:3131819|offset_108|444444&amp;v=3131679:3132019&amp;c=444444", "offset 28")</f>
        <v>offset 28</v>
      </c>
    </row>
    <row r="9957" customFormat="false" ht="12.8" hidden="false" customHeight="false" outlineLevel="0" collapsed="false">
      <c r="A9957" s="0" t="s">
        <v>12</v>
      </c>
      <c r="B9957" s="0" t="n">
        <v>3131852</v>
      </c>
      <c r="C9957" s="0" t="n">
        <v>3131872</v>
      </c>
      <c r="D9957" s="0" t="s">
        <v>33081</v>
      </c>
      <c r="E9957" s="0" t="s">
        <v>75</v>
      </c>
      <c r="F9957" s="0" t="s">
        <v>90</v>
      </c>
      <c r="G9957" s="0" t="s">
        <v>16</v>
      </c>
      <c r="H9957" s="0" t="n">
        <v>55</v>
      </c>
      <c r="I9957" s="0" t="s">
        <v>33085</v>
      </c>
      <c r="J9957" s="0" t="s">
        <v>33086</v>
      </c>
      <c r="K9957" s="0" t="s">
        <v>33087</v>
      </c>
      <c r="L9957" s="0" t="str">
        <f aca="false">HYPERLINK("https://www.ncbi.nlm.nih.gov/nuccore/CP000058.1?report=graph&amp;tracks=[key:gene_model_track,Options:GeneOnly]&amp;mk=3131880:3131899|offset_28|444444,3131853:3131872|offset_55|00cc00,3131832:3131851|offset_76|444444,3131800:3131819|offset_108|444444&amp;v=3131679:3132019&amp;c=444444", "offset 55")</f>
        <v>offset 55</v>
      </c>
    </row>
    <row r="9958" customFormat="false" ht="12.8" hidden="false" customHeight="false" outlineLevel="0" collapsed="false">
      <c r="A9958" s="0" t="s">
        <v>12</v>
      </c>
      <c r="B9958" s="0" t="n">
        <v>3131831</v>
      </c>
      <c r="C9958" s="0" t="n">
        <v>3131851</v>
      </c>
      <c r="D9958" s="0" t="s">
        <v>33081</v>
      </c>
      <c r="E9958" s="0" t="s">
        <v>75</v>
      </c>
      <c r="F9958" s="0" t="s">
        <v>90</v>
      </c>
      <c r="G9958" s="0" t="s">
        <v>36</v>
      </c>
      <c r="H9958" s="0" t="n">
        <v>76</v>
      </c>
      <c r="I9958" s="0" t="s">
        <v>33088</v>
      </c>
      <c r="J9958" s="0" t="s">
        <v>33089</v>
      </c>
      <c r="K9958" s="0" t="s">
        <v>33090</v>
      </c>
      <c r="L9958" s="0" t="str">
        <f aca="false">HYPERLINK("https://www.ncbi.nlm.nih.gov/nuccore/CP000058.1?report=graph&amp;tracks=[key:gene_model_track,Options:GeneOnly]&amp;mk=3131880:3131899|offset_28|444444,3131853:3131872|offset_55|444444,3131832:3131851|offset_76|00cc00,3131800:3131819|offset_108|444444&amp;v=3131679:3132019&amp;c=444444", "offset 76")</f>
        <v>offset 76</v>
      </c>
    </row>
    <row r="9959" customFormat="false" ht="12.8" hidden="false" customHeight="false" outlineLevel="0" collapsed="false">
      <c r="A9959" s="0" t="s">
        <v>12</v>
      </c>
      <c r="B9959" s="0" t="n">
        <v>3131799</v>
      </c>
      <c r="C9959" s="0" t="n">
        <v>3131819</v>
      </c>
      <c r="D9959" s="0" t="s">
        <v>33081</v>
      </c>
      <c r="E9959" s="0" t="s">
        <v>75</v>
      </c>
      <c r="F9959" s="0" t="s">
        <v>90</v>
      </c>
      <c r="G9959" s="0" t="s">
        <v>32</v>
      </c>
      <c r="H9959" s="0" t="n">
        <v>108</v>
      </c>
      <c r="I9959" s="0" t="s">
        <v>33091</v>
      </c>
      <c r="J9959" s="0" t="s">
        <v>33092</v>
      </c>
      <c r="K9959" s="0" t="s">
        <v>33093</v>
      </c>
      <c r="L9959" s="0" t="str">
        <f aca="false">HYPERLINK("https://www.ncbi.nlm.nih.gov/nuccore/CP000058.1?report=graph&amp;tracks=[key:gene_model_track,Options:GeneOnly]&amp;mk=3131880:3131899|offset_28|444444,3131853:3131872|offset_55|444444,3131832:3131851|offset_76|444444,3131800:3131819|offset_108|00cc00&amp;v=3131679:3132019&amp;c=444444", "offset 108")</f>
        <v>offset 108</v>
      </c>
    </row>
    <row r="9960" customFormat="false" ht="12.8" hidden="false" customHeight="false" outlineLevel="0" collapsed="false">
      <c r="A9960" s="0" t="s">
        <v>12</v>
      </c>
      <c r="B9960" s="0" t="n">
        <v>3132437</v>
      </c>
      <c r="C9960" s="0" t="n">
        <v>3132457</v>
      </c>
      <c r="D9960" s="0" t="s">
        <v>33094</v>
      </c>
      <c r="E9960" s="0" t="s">
        <v>75</v>
      </c>
      <c r="F9960" s="0" t="s">
        <v>15</v>
      </c>
      <c r="G9960" s="0" t="s">
        <v>16</v>
      </c>
      <c r="H9960" s="0" t="n">
        <v>15</v>
      </c>
      <c r="I9960" s="0" t="s">
        <v>33095</v>
      </c>
      <c r="J9960" s="0" t="s">
        <v>33096</v>
      </c>
      <c r="K9960" s="0" t="s">
        <v>33097</v>
      </c>
      <c r="L9960" s="0" t="str">
        <f aca="false">HYPERLINK("https://www.ncbi.nlm.nih.gov/nuccore/CP000058.1?report=graph&amp;tracks=[key:gene_model_track,Options:GeneOnly]&amp;mk=3132438:3132457|offset_15|00cc00,3132463:3132482|offset_40|444444,3132517:3132536|offset_94|444444,3132539:3132558|offset_116|444444&amp;v=3132237:3132758&amp;c=444444", "offset 15")</f>
        <v>offset 15</v>
      </c>
    </row>
    <row r="9961" customFormat="false" ht="12.8" hidden="false" customHeight="false" outlineLevel="0" collapsed="false">
      <c r="A9961" s="0" t="s">
        <v>12</v>
      </c>
      <c r="B9961" s="0" t="n">
        <v>3132462</v>
      </c>
      <c r="C9961" s="0" t="n">
        <v>3132482</v>
      </c>
      <c r="D9961" s="0" t="s">
        <v>33094</v>
      </c>
      <c r="E9961" s="0" t="s">
        <v>75</v>
      </c>
      <c r="F9961" s="0" t="s">
        <v>15</v>
      </c>
      <c r="G9961" s="0" t="s">
        <v>16</v>
      </c>
      <c r="H9961" s="0" t="n">
        <v>40</v>
      </c>
      <c r="I9961" s="0" t="s">
        <v>33098</v>
      </c>
      <c r="J9961" s="0" t="s">
        <v>33099</v>
      </c>
      <c r="K9961" s="0" t="s">
        <v>33100</v>
      </c>
      <c r="L9961" s="0" t="str">
        <f aca="false">HYPERLINK("https://www.ncbi.nlm.nih.gov/nuccore/CP000058.1?report=graph&amp;tracks=[key:gene_model_track,Options:GeneOnly]&amp;mk=3132438:3132457|offset_15|444444,3132463:3132482|offset_40|00cc00,3132517:3132536|offset_94|444444,3132539:3132558|offset_116|444444&amp;v=3132237:3132758&amp;c=444444", "offset 40")</f>
        <v>offset 40</v>
      </c>
    </row>
    <row r="9962" customFormat="false" ht="12.8" hidden="false" customHeight="false" outlineLevel="0" collapsed="false">
      <c r="A9962" s="0" t="s">
        <v>12</v>
      </c>
      <c r="B9962" s="0" t="n">
        <v>3132516</v>
      </c>
      <c r="C9962" s="0" t="n">
        <v>3132536</v>
      </c>
      <c r="D9962" s="0" t="s">
        <v>33094</v>
      </c>
      <c r="E9962" s="0" t="s">
        <v>75</v>
      </c>
      <c r="F9962" s="0" t="s">
        <v>15</v>
      </c>
      <c r="G9962" s="0" t="s">
        <v>36</v>
      </c>
      <c r="H9962" s="0" t="n">
        <v>94</v>
      </c>
      <c r="I9962" s="0" t="s">
        <v>33101</v>
      </c>
      <c r="J9962" s="0" t="s">
        <v>33102</v>
      </c>
      <c r="K9962" s="0" t="s">
        <v>33103</v>
      </c>
      <c r="L9962" s="0" t="str">
        <f aca="false">HYPERLINK("https://www.ncbi.nlm.nih.gov/nuccore/CP000058.1?report=graph&amp;tracks=[key:gene_model_track,Options:GeneOnly]&amp;mk=3132438:3132457|offset_15|444444,3132463:3132482|offset_40|444444,3132517:3132536|offset_94|00cc00,3132539:3132558|offset_116|444444&amp;v=3132237:3132758&amp;c=444444", "offset 94")</f>
        <v>offset 94</v>
      </c>
    </row>
    <row r="9963" customFormat="false" ht="12.8" hidden="false" customHeight="false" outlineLevel="0" collapsed="false">
      <c r="A9963" s="0" t="s">
        <v>12</v>
      </c>
      <c r="B9963" s="0" t="n">
        <v>3132538</v>
      </c>
      <c r="C9963" s="0" t="n">
        <v>3132558</v>
      </c>
      <c r="D9963" s="0" t="s">
        <v>33094</v>
      </c>
      <c r="E9963" s="0" t="s">
        <v>75</v>
      </c>
      <c r="F9963" s="0" t="s">
        <v>15</v>
      </c>
      <c r="G9963" s="0" t="s">
        <v>32</v>
      </c>
      <c r="H9963" s="0" t="n">
        <v>116</v>
      </c>
      <c r="I9963" s="0" t="s">
        <v>33104</v>
      </c>
      <c r="J9963" s="0" t="s">
        <v>33105</v>
      </c>
      <c r="K9963" s="0" t="s">
        <v>33106</v>
      </c>
      <c r="L9963" s="0" t="str">
        <f aca="false">HYPERLINK("https://www.ncbi.nlm.nih.gov/nuccore/CP000058.1?report=graph&amp;tracks=[key:gene_model_track,Options:GeneOnly]&amp;mk=3132438:3132457|offset_15|444444,3132463:3132482|offset_40|444444,3132517:3132536|offset_94|444444,3132539:3132558|offset_116|00cc00&amp;v=3132237:3132758&amp;c=444444", "offset 116")</f>
        <v>offset 116</v>
      </c>
    </row>
    <row r="9964" customFormat="false" ht="12.8" hidden="false" customHeight="false" outlineLevel="0" collapsed="false">
      <c r="A9964" s="0" t="s">
        <v>12</v>
      </c>
      <c r="B9964" s="0" t="n">
        <v>3133577</v>
      </c>
      <c r="C9964" s="0" t="n">
        <v>3133597</v>
      </c>
      <c r="D9964" s="0" t="s">
        <v>33107</v>
      </c>
      <c r="E9964" s="0" t="s">
        <v>75</v>
      </c>
      <c r="F9964" s="0" t="s">
        <v>15</v>
      </c>
      <c r="G9964" s="0" t="s">
        <v>16</v>
      </c>
      <c r="H9964" s="0" t="n">
        <v>28</v>
      </c>
      <c r="I9964" s="0" t="s">
        <v>33108</v>
      </c>
      <c r="J9964" s="0" t="s">
        <v>33109</v>
      </c>
      <c r="K9964" s="0" t="s">
        <v>33110</v>
      </c>
      <c r="L9964" s="0" t="str">
        <f aca="false">HYPERLINK("https://www.ncbi.nlm.nih.gov/nuccore/CP000058.1?report=graph&amp;tracks=[key:gene_model_track,Options:GeneOnly]&amp;mk=3133578:3133597|offset_28|00cc00,3133621:3133640|offset_71|444444,3133659:3133678|offset_109|444444,3133686:3133705|offset_136|444444&amp;v=3133377:3133905&amp;c=444444", "offset 28")</f>
        <v>offset 28</v>
      </c>
    </row>
    <row r="9965" customFormat="false" ht="12.8" hidden="false" customHeight="false" outlineLevel="0" collapsed="false">
      <c r="A9965" s="0" t="s">
        <v>12</v>
      </c>
      <c r="B9965" s="0" t="n">
        <v>3133620</v>
      </c>
      <c r="C9965" s="0" t="n">
        <v>3133640</v>
      </c>
      <c r="D9965" s="0" t="s">
        <v>33107</v>
      </c>
      <c r="E9965" s="0" t="s">
        <v>75</v>
      </c>
      <c r="F9965" s="0" t="s">
        <v>15</v>
      </c>
      <c r="G9965" s="0" t="s">
        <v>36</v>
      </c>
      <c r="H9965" s="0" t="n">
        <v>71</v>
      </c>
      <c r="I9965" s="0" t="s">
        <v>33111</v>
      </c>
      <c r="J9965" s="0" t="s">
        <v>33112</v>
      </c>
      <c r="K9965" s="0" t="s">
        <v>33113</v>
      </c>
      <c r="L9965" s="0" t="str">
        <f aca="false">HYPERLINK("https://www.ncbi.nlm.nih.gov/nuccore/CP000058.1?report=graph&amp;tracks=[key:gene_model_track,Options:GeneOnly]&amp;mk=3133578:3133597|offset_28|444444,3133621:3133640|offset_71|00cc00,3133659:3133678|offset_109|444444,3133686:3133705|offset_136|444444&amp;v=3133377:3133905&amp;c=444444", "offset 71")</f>
        <v>offset 71</v>
      </c>
    </row>
    <row r="9966" customFormat="false" ht="12.8" hidden="false" customHeight="false" outlineLevel="0" collapsed="false">
      <c r="A9966" s="0" t="s">
        <v>12</v>
      </c>
      <c r="B9966" s="0" t="n">
        <v>3133658</v>
      </c>
      <c r="C9966" s="0" t="n">
        <v>3133678</v>
      </c>
      <c r="D9966" s="0" t="s">
        <v>33107</v>
      </c>
      <c r="E9966" s="0" t="s">
        <v>75</v>
      </c>
      <c r="F9966" s="0" t="s">
        <v>15</v>
      </c>
      <c r="G9966" s="0" t="s">
        <v>20</v>
      </c>
      <c r="H9966" s="0" t="n">
        <v>109</v>
      </c>
      <c r="I9966" s="0" t="s">
        <v>33114</v>
      </c>
      <c r="J9966" s="0" t="s">
        <v>33115</v>
      </c>
      <c r="K9966" s="0" t="s">
        <v>33116</v>
      </c>
      <c r="L9966" s="0" t="str">
        <f aca="false">HYPERLINK("https://www.ncbi.nlm.nih.gov/nuccore/CP000058.1?report=graph&amp;tracks=[key:gene_model_track,Options:GeneOnly]&amp;mk=3133578:3133597|offset_28|444444,3133621:3133640|offset_71|444444,3133659:3133678|offset_109|00cc00,3133686:3133705|offset_136|444444&amp;v=3133377:3133905&amp;c=444444", "offset 109")</f>
        <v>offset 109</v>
      </c>
    </row>
    <row r="9967" customFormat="false" ht="12.8" hidden="false" customHeight="false" outlineLevel="0" collapsed="false">
      <c r="A9967" s="0" t="s">
        <v>12</v>
      </c>
      <c r="B9967" s="0" t="n">
        <v>3133685</v>
      </c>
      <c r="C9967" s="0" t="n">
        <v>3133705</v>
      </c>
      <c r="D9967" s="0" t="s">
        <v>33107</v>
      </c>
      <c r="E9967" s="0" t="s">
        <v>75</v>
      </c>
      <c r="F9967" s="0" t="s">
        <v>15</v>
      </c>
      <c r="G9967" s="0" t="s">
        <v>20</v>
      </c>
      <c r="H9967" s="0" t="n">
        <v>136</v>
      </c>
      <c r="I9967" s="0" t="s">
        <v>33117</v>
      </c>
      <c r="J9967" s="0" t="s">
        <v>33118</v>
      </c>
      <c r="K9967" s="0" t="s">
        <v>33119</v>
      </c>
      <c r="L9967" s="0" t="str">
        <f aca="false">HYPERLINK("https://www.ncbi.nlm.nih.gov/nuccore/CP000058.1?report=graph&amp;tracks=[key:gene_model_track,Options:GeneOnly]&amp;mk=3133578:3133597|offset_28|444444,3133621:3133640|offset_71|444444,3133659:3133678|offset_109|444444,3133686:3133705|offset_136|00cc00&amp;v=3133377:3133905&amp;c=444444", "offset 136")</f>
        <v>offset 136</v>
      </c>
    </row>
    <row r="9968" customFormat="false" ht="12.8" hidden="false" customHeight="false" outlineLevel="0" collapsed="false">
      <c r="A9968" s="0" t="s">
        <v>12</v>
      </c>
      <c r="B9968" s="0" t="n">
        <v>3134125</v>
      </c>
      <c r="C9968" s="0" t="n">
        <v>3134145</v>
      </c>
      <c r="D9968" s="0" t="s">
        <v>33120</v>
      </c>
      <c r="E9968" s="0" t="s">
        <v>75</v>
      </c>
      <c r="F9968" s="0" t="s">
        <v>15</v>
      </c>
      <c r="G9968" s="0" t="s">
        <v>16</v>
      </c>
      <c r="H9968" s="0" t="n">
        <v>22</v>
      </c>
      <c r="I9968" s="0" t="s">
        <v>33121</v>
      </c>
      <c r="J9968" s="0" t="s">
        <v>33122</v>
      </c>
      <c r="K9968" s="0" t="s">
        <v>33123</v>
      </c>
      <c r="L9968" s="0" t="str">
        <f aca="false">HYPERLINK("https://www.ncbi.nlm.nih.gov/nuccore/CP000058.1?report=graph&amp;tracks=[key:gene_model_track,Options:GeneOnly]&amp;mk=3134126:3134145|offset_22|00cc00,3134190:3134209|offset_86|444444,3134228:3134247|offset_124|444444,3134264:3134283|offset_160|444444&amp;v=3133925:3134483&amp;c=444444", "offset 22")</f>
        <v>offset 22</v>
      </c>
    </row>
    <row r="9969" customFormat="false" ht="12.8" hidden="false" customHeight="false" outlineLevel="0" collapsed="false">
      <c r="A9969" s="0" t="s">
        <v>12</v>
      </c>
      <c r="B9969" s="0" t="n">
        <v>3134189</v>
      </c>
      <c r="C9969" s="0" t="n">
        <v>3134209</v>
      </c>
      <c r="D9969" s="0" t="s">
        <v>33120</v>
      </c>
      <c r="E9969" s="0" t="s">
        <v>75</v>
      </c>
      <c r="F9969" s="0" t="s">
        <v>15</v>
      </c>
      <c r="G9969" s="0" t="s">
        <v>16</v>
      </c>
      <c r="H9969" s="0" t="n">
        <v>86</v>
      </c>
      <c r="I9969" s="0" t="s">
        <v>33124</v>
      </c>
      <c r="J9969" s="0" t="s">
        <v>33125</v>
      </c>
      <c r="K9969" s="0" t="s">
        <v>33126</v>
      </c>
      <c r="L9969" s="0" t="str">
        <f aca="false">HYPERLINK("https://www.ncbi.nlm.nih.gov/nuccore/CP000058.1?report=graph&amp;tracks=[key:gene_model_track,Options:GeneOnly]&amp;mk=3134126:3134145|offset_22|444444,3134190:3134209|offset_86|00cc00,3134228:3134247|offset_124|444444,3134264:3134283|offset_160|444444&amp;v=3133925:3134483&amp;c=444444", "offset 86")</f>
        <v>offset 86</v>
      </c>
    </row>
    <row r="9970" customFormat="false" ht="12.8" hidden="false" customHeight="false" outlineLevel="0" collapsed="false">
      <c r="A9970" s="0" t="s">
        <v>12</v>
      </c>
      <c r="B9970" s="0" t="n">
        <v>3134227</v>
      </c>
      <c r="C9970" s="0" t="n">
        <v>3134247</v>
      </c>
      <c r="D9970" s="0" t="s">
        <v>33120</v>
      </c>
      <c r="E9970" s="0" t="s">
        <v>75</v>
      </c>
      <c r="F9970" s="0" t="s">
        <v>15</v>
      </c>
      <c r="G9970" s="0" t="s">
        <v>16</v>
      </c>
      <c r="H9970" s="0" t="n">
        <v>124</v>
      </c>
      <c r="I9970" s="0" t="s">
        <v>33127</v>
      </c>
      <c r="J9970" s="0" t="s">
        <v>33128</v>
      </c>
      <c r="K9970" s="0" t="s">
        <v>33129</v>
      </c>
      <c r="L9970" s="0" t="str">
        <f aca="false">HYPERLINK("https://www.ncbi.nlm.nih.gov/nuccore/CP000058.1?report=graph&amp;tracks=[key:gene_model_track,Options:GeneOnly]&amp;mk=3134126:3134145|offset_22|444444,3134190:3134209|offset_86|444444,3134228:3134247|offset_124|00cc00,3134264:3134283|offset_160|444444&amp;v=3133925:3134483&amp;c=444444", "offset 124")</f>
        <v>offset 124</v>
      </c>
    </row>
    <row r="9971" customFormat="false" ht="12.8" hidden="false" customHeight="false" outlineLevel="0" collapsed="false">
      <c r="A9971" s="0" t="s">
        <v>12</v>
      </c>
      <c r="B9971" s="0" t="n">
        <v>3134263</v>
      </c>
      <c r="C9971" s="0" t="n">
        <v>3134283</v>
      </c>
      <c r="D9971" s="0" t="s">
        <v>33120</v>
      </c>
      <c r="E9971" s="0" t="s">
        <v>75</v>
      </c>
      <c r="F9971" s="0" t="s">
        <v>15</v>
      </c>
      <c r="G9971" s="0" t="s">
        <v>16</v>
      </c>
      <c r="H9971" s="0" t="n">
        <v>160</v>
      </c>
      <c r="I9971" s="0" t="s">
        <v>33130</v>
      </c>
      <c r="J9971" s="0" t="s">
        <v>33131</v>
      </c>
      <c r="K9971" s="0" t="s">
        <v>33132</v>
      </c>
      <c r="L9971" s="0" t="str">
        <f aca="false">HYPERLINK("https://www.ncbi.nlm.nih.gov/nuccore/CP000058.1?report=graph&amp;tracks=[key:gene_model_track,Options:GeneOnly]&amp;mk=3134126:3134145|offset_22|444444,3134190:3134209|offset_86|444444,3134228:3134247|offset_124|444444,3134264:3134283|offset_160|00cc00&amp;v=3133925:3134483&amp;c=444444", "offset 160")</f>
        <v>offset 160</v>
      </c>
    </row>
    <row r="9972" customFormat="false" ht="12.8" hidden="false" customHeight="false" outlineLevel="0" collapsed="false">
      <c r="A9972" s="0" t="s">
        <v>12</v>
      </c>
      <c r="B9972" s="0" t="n">
        <v>3135372</v>
      </c>
      <c r="C9972" s="0" t="n">
        <v>3135392</v>
      </c>
      <c r="D9972" s="0" t="s">
        <v>33133</v>
      </c>
      <c r="E9972" s="0" t="s">
        <v>75</v>
      </c>
      <c r="F9972" s="0" t="s">
        <v>15</v>
      </c>
      <c r="G9972" s="0" t="s">
        <v>20</v>
      </c>
      <c r="H9972" s="0" t="n">
        <v>0</v>
      </c>
      <c r="I9972" s="0" t="s">
        <v>33134</v>
      </c>
      <c r="J9972" s="0" t="s">
        <v>33135</v>
      </c>
      <c r="K9972" s="0" t="s">
        <v>33136</v>
      </c>
      <c r="L9972" s="0" t="str">
        <f aca="false">HYPERLINK("https://www.ncbi.nlm.nih.gov/nuccore/CP000058.1?report=graph&amp;tracks=[key:gene_model_track,Options:GeneOnly]&amp;mk=3135373:3135392|offset_0|00cc00,3135418:3135437|offset_45|444444,3135438:3135457|offset_65|444444,3135460:3135479|offset_87|444444&amp;v=3135172:3135679&amp;c=444444", "offset 0")</f>
        <v>offset 0</v>
      </c>
    </row>
    <row r="9973" customFormat="false" ht="12.8" hidden="false" customHeight="false" outlineLevel="0" collapsed="false">
      <c r="A9973" s="0" t="s">
        <v>12</v>
      </c>
      <c r="B9973" s="0" t="n">
        <v>3135417</v>
      </c>
      <c r="C9973" s="0" t="n">
        <v>3135437</v>
      </c>
      <c r="D9973" s="0" t="s">
        <v>33133</v>
      </c>
      <c r="E9973" s="0" t="s">
        <v>75</v>
      </c>
      <c r="F9973" s="0" t="s">
        <v>15</v>
      </c>
      <c r="G9973" s="0" t="s">
        <v>20</v>
      </c>
      <c r="H9973" s="0" t="n">
        <v>45</v>
      </c>
      <c r="I9973" s="0" t="s">
        <v>33137</v>
      </c>
      <c r="J9973" s="0" t="s">
        <v>33138</v>
      </c>
      <c r="K9973" s="0" t="s">
        <v>33139</v>
      </c>
      <c r="L9973" s="0" t="str">
        <f aca="false">HYPERLINK("https://www.ncbi.nlm.nih.gov/nuccore/CP000058.1?report=graph&amp;tracks=[key:gene_model_track,Options:GeneOnly]&amp;mk=3135373:3135392|offset_0|444444,3135418:3135437|offset_45|00cc00,3135438:3135457|offset_65|444444,3135460:3135479|offset_87|444444&amp;v=3135172:3135679&amp;c=444444", "offset 45")</f>
        <v>offset 45</v>
      </c>
    </row>
    <row r="9974" customFormat="false" ht="12.8" hidden="false" customHeight="false" outlineLevel="0" collapsed="false">
      <c r="A9974" s="0" t="s">
        <v>12</v>
      </c>
      <c r="B9974" s="0" t="n">
        <v>3135437</v>
      </c>
      <c r="C9974" s="0" t="n">
        <v>3135457</v>
      </c>
      <c r="D9974" s="0" t="s">
        <v>33133</v>
      </c>
      <c r="E9974" s="0" t="s">
        <v>75</v>
      </c>
      <c r="F9974" s="0" t="s">
        <v>15</v>
      </c>
      <c r="G9974" s="0" t="s">
        <v>20</v>
      </c>
      <c r="H9974" s="0" t="n">
        <v>65</v>
      </c>
      <c r="I9974" s="0" t="s">
        <v>33140</v>
      </c>
      <c r="J9974" s="0" t="s">
        <v>33141</v>
      </c>
      <c r="K9974" s="0" t="s">
        <v>33142</v>
      </c>
      <c r="L9974" s="0" t="str">
        <f aca="false">HYPERLINK("https://www.ncbi.nlm.nih.gov/nuccore/CP000058.1?report=graph&amp;tracks=[key:gene_model_track,Options:GeneOnly]&amp;mk=3135373:3135392|offset_0|444444,3135418:3135437|offset_45|444444,3135438:3135457|offset_65|00cc00,3135460:3135479|offset_87|444444&amp;v=3135172:3135679&amp;c=444444", "offset 65")</f>
        <v>offset 65</v>
      </c>
    </row>
    <row r="9975" customFormat="false" ht="12.8" hidden="false" customHeight="false" outlineLevel="0" collapsed="false">
      <c r="A9975" s="0" t="s">
        <v>12</v>
      </c>
      <c r="B9975" s="0" t="n">
        <v>3135459</v>
      </c>
      <c r="C9975" s="0" t="n">
        <v>3135479</v>
      </c>
      <c r="D9975" s="0" t="s">
        <v>33133</v>
      </c>
      <c r="E9975" s="0" t="s">
        <v>75</v>
      </c>
      <c r="F9975" s="0" t="s">
        <v>15</v>
      </c>
      <c r="G9975" s="0" t="s">
        <v>36</v>
      </c>
      <c r="H9975" s="0" t="n">
        <v>87</v>
      </c>
      <c r="I9975" s="0" t="s">
        <v>33143</v>
      </c>
      <c r="J9975" s="0" t="s">
        <v>33144</v>
      </c>
      <c r="K9975" s="0" t="s">
        <v>33145</v>
      </c>
      <c r="L9975" s="0" t="str">
        <f aca="false">HYPERLINK("https://www.ncbi.nlm.nih.gov/nuccore/CP000058.1?report=graph&amp;tracks=[key:gene_model_track,Options:GeneOnly]&amp;mk=3135373:3135392|offset_0|444444,3135418:3135437|offset_45|444444,3135438:3135457|offset_65|444444,3135460:3135479|offset_87|00cc00&amp;v=3135172:3135679&amp;c=444444", "offset 87")</f>
        <v>offset 87</v>
      </c>
    </row>
    <row r="9976" customFormat="false" ht="12.8" hidden="false" customHeight="false" outlineLevel="0" collapsed="false">
      <c r="A9976" s="0" t="s">
        <v>12</v>
      </c>
      <c r="B9976" s="0" t="n">
        <v>3135866</v>
      </c>
      <c r="C9976" s="0" t="n">
        <v>3135886</v>
      </c>
      <c r="D9976" s="0" t="s">
        <v>33146</v>
      </c>
      <c r="E9976" s="0" t="s">
        <v>75</v>
      </c>
      <c r="F9976" s="0" t="s">
        <v>15</v>
      </c>
      <c r="G9976" s="0" t="s">
        <v>16</v>
      </c>
      <c r="H9976" s="0" t="n">
        <v>25</v>
      </c>
      <c r="I9976" s="0" t="s">
        <v>33147</v>
      </c>
      <c r="J9976" s="0" t="s">
        <v>33148</v>
      </c>
      <c r="K9976" s="0" t="s">
        <v>33149</v>
      </c>
      <c r="L9976" s="0" t="str">
        <f aca="false">HYPERLINK("https://www.ncbi.nlm.nih.gov/nuccore/CP000058.1?report=graph&amp;tracks=[key:gene_model_track,Options:GeneOnly]&amp;mk=3135867:3135886|offset_25|00cc00,3135891:3135910|offset_49|444444,3135923:3135942|offset_81|444444,3135954:3135973|offset_112|444444&amp;v=3135666:3136173&amp;c=444444", "offset 25")</f>
        <v>offset 25</v>
      </c>
    </row>
    <row r="9977" customFormat="false" ht="12.8" hidden="false" customHeight="false" outlineLevel="0" collapsed="false">
      <c r="A9977" s="0" t="s">
        <v>12</v>
      </c>
      <c r="B9977" s="0" t="n">
        <v>3135890</v>
      </c>
      <c r="C9977" s="0" t="n">
        <v>3135910</v>
      </c>
      <c r="D9977" s="0" t="s">
        <v>33146</v>
      </c>
      <c r="E9977" s="0" t="s">
        <v>75</v>
      </c>
      <c r="F9977" s="0" t="s">
        <v>15</v>
      </c>
      <c r="G9977" s="0" t="s">
        <v>20</v>
      </c>
      <c r="H9977" s="0" t="n">
        <v>49</v>
      </c>
      <c r="I9977" s="0" t="s">
        <v>33150</v>
      </c>
      <c r="J9977" s="0" t="s">
        <v>33151</v>
      </c>
      <c r="K9977" s="0" t="s">
        <v>33152</v>
      </c>
      <c r="L9977" s="0" t="str">
        <f aca="false">HYPERLINK("https://www.ncbi.nlm.nih.gov/nuccore/CP000058.1?report=graph&amp;tracks=[key:gene_model_track,Options:GeneOnly]&amp;mk=3135867:3135886|offset_25|444444,3135891:3135910|offset_49|00cc00,3135923:3135942|offset_81|444444,3135954:3135973|offset_112|444444&amp;v=3135666:3136173&amp;c=444444", "offset 49")</f>
        <v>offset 49</v>
      </c>
    </row>
    <row r="9978" customFormat="false" ht="12.8" hidden="false" customHeight="false" outlineLevel="0" collapsed="false">
      <c r="A9978" s="0" t="s">
        <v>12</v>
      </c>
      <c r="B9978" s="0" t="n">
        <v>3135922</v>
      </c>
      <c r="C9978" s="0" t="n">
        <v>3135942</v>
      </c>
      <c r="D9978" s="0" t="s">
        <v>33146</v>
      </c>
      <c r="E9978" s="0" t="s">
        <v>75</v>
      </c>
      <c r="F9978" s="0" t="s">
        <v>15</v>
      </c>
      <c r="G9978" s="0" t="s">
        <v>16</v>
      </c>
      <c r="H9978" s="0" t="n">
        <v>81</v>
      </c>
      <c r="I9978" s="0" t="s">
        <v>33153</v>
      </c>
      <c r="J9978" s="0" t="s">
        <v>33154</v>
      </c>
      <c r="K9978" s="0" t="s">
        <v>33155</v>
      </c>
      <c r="L9978" s="0" t="str">
        <f aca="false">HYPERLINK("https://www.ncbi.nlm.nih.gov/nuccore/CP000058.1?report=graph&amp;tracks=[key:gene_model_track,Options:GeneOnly]&amp;mk=3135867:3135886|offset_25|444444,3135891:3135910|offset_49|444444,3135923:3135942|offset_81|00cc00,3135954:3135973|offset_112|444444&amp;v=3135666:3136173&amp;c=444444", "offset 81")</f>
        <v>offset 81</v>
      </c>
    </row>
    <row r="9979" customFormat="false" ht="12.8" hidden="false" customHeight="false" outlineLevel="0" collapsed="false">
      <c r="A9979" s="0" t="s">
        <v>12</v>
      </c>
      <c r="B9979" s="0" t="n">
        <v>3135953</v>
      </c>
      <c r="C9979" s="0" t="n">
        <v>3135973</v>
      </c>
      <c r="D9979" s="0" t="s">
        <v>33146</v>
      </c>
      <c r="E9979" s="0" t="s">
        <v>75</v>
      </c>
      <c r="F9979" s="0" t="s">
        <v>15</v>
      </c>
      <c r="G9979" s="0" t="s">
        <v>16</v>
      </c>
      <c r="H9979" s="0" t="n">
        <v>112</v>
      </c>
      <c r="I9979" s="0" t="s">
        <v>33156</v>
      </c>
      <c r="J9979" s="0" t="s">
        <v>33157</v>
      </c>
      <c r="K9979" s="0" t="s">
        <v>33158</v>
      </c>
      <c r="L9979" s="0" t="str">
        <f aca="false">HYPERLINK("https://www.ncbi.nlm.nih.gov/nuccore/CP000058.1?report=graph&amp;tracks=[key:gene_model_track,Options:GeneOnly]&amp;mk=3135867:3135886|offset_25|444444,3135891:3135910|offset_49|444444,3135923:3135942|offset_81|444444,3135954:3135973|offset_112|00cc00&amp;v=3135666:3136173&amp;c=444444", "offset 112")</f>
        <v>offset 112</v>
      </c>
    </row>
    <row r="9980" customFormat="false" ht="12.8" hidden="false" customHeight="false" outlineLevel="0" collapsed="false">
      <c r="A9980" s="0" t="s">
        <v>12</v>
      </c>
      <c r="B9980" s="0" t="n">
        <v>3137035</v>
      </c>
      <c r="C9980" s="0" t="n">
        <v>3137055</v>
      </c>
      <c r="D9980" s="0" t="s">
        <v>33159</v>
      </c>
      <c r="E9980" s="0" t="s">
        <v>75</v>
      </c>
      <c r="F9980" s="0" t="s">
        <v>15</v>
      </c>
      <c r="G9980" s="0" t="s">
        <v>16</v>
      </c>
      <c r="H9980" s="0" t="n">
        <v>50</v>
      </c>
      <c r="I9980" s="0" t="s">
        <v>33160</v>
      </c>
      <c r="J9980" s="0" t="s">
        <v>33161</v>
      </c>
      <c r="K9980" s="0" t="s">
        <v>33162</v>
      </c>
      <c r="L9980" s="0" t="str">
        <f aca="false">HYPERLINK("https://www.ncbi.nlm.nih.gov/nuccore/CP000058.1?report=graph&amp;tracks=[key:gene_model_track,Options:GeneOnly]&amp;mk=3137036:3137055|offset_50|00cc00,3137072:3137091|offset_86|444444,3137155:3137174|offset_169|444444,3137206:3137225|offset_220|444444&amp;v=3136835:3137425&amp;c=444444", "offset 50")</f>
        <v>offset 50</v>
      </c>
    </row>
    <row r="9981" customFormat="false" ht="12.8" hidden="false" customHeight="false" outlineLevel="0" collapsed="false">
      <c r="A9981" s="0" t="s">
        <v>12</v>
      </c>
      <c r="B9981" s="0" t="n">
        <v>3137071</v>
      </c>
      <c r="C9981" s="0" t="n">
        <v>3137091</v>
      </c>
      <c r="D9981" s="0" t="s">
        <v>33159</v>
      </c>
      <c r="E9981" s="0" t="s">
        <v>75</v>
      </c>
      <c r="F9981" s="0" t="s">
        <v>15</v>
      </c>
      <c r="G9981" s="0" t="s">
        <v>20</v>
      </c>
      <c r="H9981" s="0" t="n">
        <v>86</v>
      </c>
      <c r="I9981" s="0" t="s">
        <v>33163</v>
      </c>
      <c r="J9981" s="0" t="s">
        <v>33164</v>
      </c>
      <c r="K9981" s="0" t="s">
        <v>33165</v>
      </c>
      <c r="L9981" s="0" t="str">
        <f aca="false">HYPERLINK("https://www.ncbi.nlm.nih.gov/nuccore/CP000058.1?report=graph&amp;tracks=[key:gene_model_track,Options:GeneOnly]&amp;mk=3137036:3137055|offset_50|444444,3137072:3137091|offset_86|00cc00,3137155:3137174|offset_169|444444,3137206:3137225|offset_220|444444&amp;v=3136835:3137425&amp;c=444444", "offset 86")</f>
        <v>offset 86</v>
      </c>
    </row>
    <row r="9982" customFormat="false" ht="12.8" hidden="false" customHeight="false" outlineLevel="0" collapsed="false">
      <c r="A9982" s="0" t="s">
        <v>12</v>
      </c>
      <c r="B9982" s="0" t="n">
        <v>3137154</v>
      </c>
      <c r="C9982" s="0" t="n">
        <v>3137174</v>
      </c>
      <c r="D9982" s="0" t="s">
        <v>33159</v>
      </c>
      <c r="E9982" s="0" t="s">
        <v>75</v>
      </c>
      <c r="F9982" s="0" t="s">
        <v>15</v>
      </c>
      <c r="G9982" s="0" t="s">
        <v>16</v>
      </c>
      <c r="H9982" s="0" t="n">
        <v>169</v>
      </c>
      <c r="I9982" s="0" t="s">
        <v>33166</v>
      </c>
      <c r="J9982" s="0" t="s">
        <v>33167</v>
      </c>
      <c r="K9982" s="0" t="s">
        <v>33168</v>
      </c>
      <c r="L9982" s="0" t="str">
        <f aca="false">HYPERLINK("https://www.ncbi.nlm.nih.gov/nuccore/CP000058.1?report=graph&amp;tracks=[key:gene_model_track,Options:GeneOnly]&amp;mk=3137036:3137055|offset_50|444444,3137072:3137091|offset_86|444444,3137155:3137174|offset_169|00cc00,3137206:3137225|offset_220|444444&amp;v=3136835:3137425&amp;c=444444", "offset 169")</f>
        <v>offset 169</v>
      </c>
    </row>
    <row r="9983" customFormat="false" ht="12.8" hidden="false" customHeight="false" outlineLevel="0" collapsed="false">
      <c r="A9983" s="0" t="s">
        <v>12</v>
      </c>
      <c r="B9983" s="0" t="n">
        <v>3137205</v>
      </c>
      <c r="C9983" s="0" t="n">
        <v>3137225</v>
      </c>
      <c r="D9983" s="0" t="s">
        <v>33159</v>
      </c>
      <c r="E9983" s="0" t="s">
        <v>75</v>
      </c>
      <c r="F9983" s="0" t="s">
        <v>15</v>
      </c>
      <c r="G9983" s="0" t="s">
        <v>16</v>
      </c>
      <c r="H9983" s="0" t="n">
        <v>220</v>
      </c>
      <c r="I9983" s="0" t="s">
        <v>33169</v>
      </c>
      <c r="J9983" s="0" t="s">
        <v>33170</v>
      </c>
      <c r="K9983" s="0" t="s">
        <v>33171</v>
      </c>
      <c r="L9983" s="0" t="str">
        <f aca="false">HYPERLINK("https://www.ncbi.nlm.nih.gov/nuccore/CP000058.1?report=graph&amp;tracks=[key:gene_model_track,Options:GeneOnly]&amp;mk=3137036:3137055|offset_50|444444,3137072:3137091|offset_86|444444,3137155:3137174|offset_169|444444,3137206:3137225|offset_220|00cc00&amp;v=3136835:3137425&amp;c=444444", "offset 220")</f>
        <v>offset 220</v>
      </c>
    </row>
    <row r="9984" customFormat="false" ht="12.8" hidden="false" customHeight="false" outlineLevel="0" collapsed="false">
      <c r="A9984" s="0" t="s">
        <v>12</v>
      </c>
      <c r="B9984" s="0" t="n">
        <v>3138006</v>
      </c>
      <c r="C9984" s="0" t="n">
        <v>3138026</v>
      </c>
      <c r="D9984" s="0" t="s">
        <v>33172</v>
      </c>
      <c r="E9984" s="0" t="s">
        <v>75</v>
      </c>
      <c r="F9984" s="0" t="s">
        <v>15</v>
      </c>
      <c r="G9984" s="0" t="s">
        <v>36</v>
      </c>
      <c r="H9984" s="0" t="n">
        <v>0</v>
      </c>
      <c r="I9984" s="0" t="s">
        <v>33173</v>
      </c>
      <c r="J9984" s="0" t="s">
        <v>33174</v>
      </c>
      <c r="K9984" s="0" t="s">
        <v>33175</v>
      </c>
      <c r="L9984" s="0" t="str">
        <f aca="false">HYPERLINK("https://www.ncbi.nlm.nih.gov/nuccore/CP000058.1?report=graph&amp;tracks=[key:gene_model_track,Options:GeneOnly]&amp;mk=3138007:3138026|offset_0|00cc00,3138070:3138089|offset_63|444444,3138101:3138120|offset_94|444444,3138138:3138157|offset_131|444444&amp;v=3137806:3138357&amp;c=444444", "offset 0")</f>
        <v>offset 0</v>
      </c>
    </row>
    <row r="9985" customFormat="false" ht="12.8" hidden="false" customHeight="false" outlineLevel="0" collapsed="false">
      <c r="A9985" s="0" t="s">
        <v>12</v>
      </c>
      <c r="B9985" s="0" t="n">
        <v>3138069</v>
      </c>
      <c r="C9985" s="0" t="n">
        <v>3138089</v>
      </c>
      <c r="D9985" s="0" t="s">
        <v>33172</v>
      </c>
      <c r="E9985" s="0" t="s">
        <v>75</v>
      </c>
      <c r="F9985" s="0" t="s">
        <v>15</v>
      </c>
      <c r="G9985" s="0" t="s">
        <v>20</v>
      </c>
      <c r="H9985" s="0" t="n">
        <v>63</v>
      </c>
      <c r="I9985" s="0" t="s">
        <v>33176</v>
      </c>
      <c r="J9985" s="0" t="s">
        <v>33177</v>
      </c>
      <c r="K9985" s="0" t="s">
        <v>33178</v>
      </c>
      <c r="L9985" s="0" t="str">
        <f aca="false">HYPERLINK("https://www.ncbi.nlm.nih.gov/nuccore/CP000058.1?report=graph&amp;tracks=[key:gene_model_track,Options:GeneOnly]&amp;mk=3138007:3138026|offset_0|444444,3138070:3138089|offset_63|00cc00,3138101:3138120|offset_94|444444,3138138:3138157|offset_131|444444&amp;v=3137806:3138357&amp;c=444444", "offset 63")</f>
        <v>offset 63</v>
      </c>
    </row>
    <row r="9986" customFormat="false" ht="12.8" hidden="false" customHeight="false" outlineLevel="0" collapsed="false">
      <c r="A9986" s="0" t="s">
        <v>12</v>
      </c>
      <c r="B9986" s="0" t="n">
        <v>3138100</v>
      </c>
      <c r="C9986" s="0" t="n">
        <v>3138120</v>
      </c>
      <c r="D9986" s="0" t="s">
        <v>33172</v>
      </c>
      <c r="E9986" s="0" t="s">
        <v>75</v>
      </c>
      <c r="F9986" s="0" t="s">
        <v>15</v>
      </c>
      <c r="G9986" s="0" t="s">
        <v>20</v>
      </c>
      <c r="H9986" s="0" t="n">
        <v>94</v>
      </c>
      <c r="I9986" s="0" t="s">
        <v>33179</v>
      </c>
      <c r="J9986" s="0" t="s">
        <v>33180</v>
      </c>
      <c r="K9986" s="0" t="s">
        <v>33181</v>
      </c>
      <c r="L9986" s="0" t="str">
        <f aca="false">HYPERLINK("https://www.ncbi.nlm.nih.gov/nuccore/CP000058.1?report=graph&amp;tracks=[key:gene_model_track,Options:GeneOnly]&amp;mk=3138007:3138026|offset_0|444444,3138070:3138089|offset_63|444444,3138101:3138120|offset_94|00cc00,3138138:3138157|offset_131|444444&amp;v=3137806:3138357&amp;c=444444", "offset 94")</f>
        <v>offset 94</v>
      </c>
    </row>
    <row r="9987" customFormat="false" ht="12.8" hidden="false" customHeight="false" outlineLevel="0" collapsed="false">
      <c r="A9987" s="0" t="s">
        <v>12</v>
      </c>
      <c r="B9987" s="0" t="n">
        <v>3138137</v>
      </c>
      <c r="C9987" s="0" t="n">
        <v>3138157</v>
      </c>
      <c r="D9987" s="0" t="s">
        <v>33172</v>
      </c>
      <c r="E9987" s="0" t="s">
        <v>75</v>
      </c>
      <c r="F9987" s="0" t="s">
        <v>15</v>
      </c>
      <c r="G9987" s="0" t="s">
        <v>16</v>
      </c>
      <c r="H9987" s="0" t="n">
        <v>131</v>
      </c>
      <c r="I9987" s="0" t="s">
        <v>33182</v>
      </c>
      <c r="J9987" s="0" t="s">
        <v>33183</v>
      </c>
      <c r="K9987" s="0" t="s">
        <v>33184</v>
      </c>
      <c r="L9987" s="0" t="str">
        <f aca="false">HYPERLINK("https://www.ncbi.nlm.nih.gov/nuccore/CP000058.1?report=graph&amp;tracks=[key:gene_model_track,Options:GeneOnly]&amp;mk=3138007:3138026|offset_0|444444,3138070:3138089|offset_63|444444,3138101:3138120|offset_94|444444,3138138:3138157|offset_131|00cc00&amp;v=3137806:3138357&amp;c=444444", "offset 131")</f>
        <v>offset 131</v>
      </c>
    </row>
    <row r="9988" customFormat="false" ht="12.8" hidden="false" customHeight="false" outlineLevel="0" collapsed="false">
      <c r="A9988" s="0" t="s">
        <v>12</v>
      </c>
      <c r="B9988" s="0" t="n">
        <v>3138522</v>
      </c>
      <c r="C9988" s="0" t="n">
        <v>3138542</v>
      </c>
      <c r="D9988" s="0" t="s">
        <v>33185</v>
      </c>
      <c r="E9988" s="0" t="s">
        <v>33186</v>
      </c>
      <c r="F9988" s="0" t="s">
        <v>15</v>
      </c>
      <c r="G9988" s="0" t="s">
        <v>32</v>
      </c>
      <c r="H9988" s="0" t="n">
        <v>1</v>
      </c>
      <c r="I9988" s="0" t="s">
        <v>33187</v>
      </c>
      <c r="J9988" s="0" t="s">
        <v>33188</v>
      </c>
      <c r="K9988" s="0" t="s">
        <v>33189</v>
      </c>
      <c r="L9988" s="0" t="str">
        <f aca="false">HYPERLINK("https://www.ncbi.nlm.nih.gov/nuccore/CP000058.1?report=graph&amp;tracks=[key:gene_model_track,Options:GeneOnly]&amp;mk=3138523:3138542|offset_1|00cc00,3138585:3138604|offset_63|444444,3138609:3138628|offset_87|444444,3138629:3138648|offset_107|444444&amp;v=3138322:3138848&amp;c=444444", "offset 1")</f>
        <v>offset 1</v>
      </c>
    </row>
    <row r="9989" customFormat="false" ht="12.8" hidden="false" customHeight="false" outlineLevel="0" collapsed="false">
      <c r="A9989" s="0" t="s">
        <v>12</v>
      </c>
      <c r="B9989" s="0" t="n">
        <v>3138584</v>
      </c>
      <c r="C9989" s="0" t="n">
        <v>3138604</v>
      </c>
      <c r="D9989" s="0" t="s">
        <v>33185</v>
      </c>
      <c r="E9989" s="0" t="s">
        <v>33186</v>
      </c>
      <c r="F9989" s="0" t="s">
        <v>15</v>
      </c>
      <c r="G9989" s="0" t="s">
        <v>20</v>
      </c>
      <c r="H9989" s="0" t="n">
        <v>63</v>
      </c>
      <c r="I9989" s="0" t="s">
        <v>33190</v>
      </c>
      <c r="J9989" s="0" t="s">
        <v>33191</v>
      </c>
      <c r="K9989" s="0" t="s">
        <v>33192</v>
      </c>
      <c r="L9989" s="0" t="str">
        <f aca="false">HYPERLINK("https://www.ncbi.nlm.nih.gov/nuccore/CP000058.1?report=graph&amp;tracks=[key:gene_model_track,Options:GeneOnly]&amp;mk=3138523:3138542|offset_1|444444,3138585:3138604|offset_63|00cc00,3138609:3138628|offset_87|444444,3138629:3138648|offset_107|444444&amp;v=3138322:3138848&amp;c=444444", "offset 63")</f>
        <v>offset 63</v>
      </c>
    </row>
    <row r="9990" customFormat="false" ht="12.8" hidden="false" customHeight="false" outlineLevel="0" collapsed="false">
      <c r="A9990" s="0" t="s">
        <v>12</v>
      </c>
      <c r="B9990" s="0" t="n">
        <v>3138608</v>
      </c>
      <c r="C9990" s="0" t="n">
        <v>3138628</v>
      </c>
      <c r="D9990" s="0" t="s">
        <v>33185</v>
      </c>
      <c r="E9990" s="0" t="s">
        <v>33186</v>
      </c>
      <c r="F9990" s="0" t="s">
        <v>15</v>
      </c>
      <c r="G9990" s="0" t="s">
        <v>36</v>
      </c>
      <c r="H9990" s="0" t="n">
        <v>87</v>
      </c>
      <c r="I9990" s="0" t="s">
        <v>33193</v>
      </c>
      <c r="J9990" s="0" t="s">
        <v>33194</v>
      </c>
      <c r="K9990" s="0" t="s">
        <v>33195</v>
      </c>
      <c r="L9990" s="0" t="str">
        <f aca="false">HYPERLINK("https://www.ncbi.nlm.nih.gov/nuccore/CP000058.1?report=graph&amp;tracks=[key:gene_model_track,Options:GeneOnly]&amp;mk=3138523:3138542|offset_1|444444,3138585:3138604|offset_63|444444,3138609:3138628|offset_87|00cc00,3138629:3138648|offset_107|444444&amp;v=3138322:3138848&amp;c=444444", "offset 87")</f>
        <v>offset 87</v>
      </c>
    </row>
    <row r="9991" customFormat="false" ht="12.8" hidden="false" customHeight="false" outlineLevel="0" collapsed="false">
      <c r="A9991" s="0" t="s">
        <v>12</v>
      </c>
      <c r="B9991" s="0" t="n">
        <v>3138628</v>
      </c>
      <c r="C9991" s="0" t="n">
        <v>3138648</v>
      </c>
      <c r="D9991" s="0" t="s">
        <v>33185</v>
      </c>
      <c r="E9991" s="0" t="s">
        <v>33186</v>
      </c>
      <c r="F9991" s="0" t="s">
        <v>15</v>
      </c>
      <c r="G9991" s="0" t="s">
        <v>20</v>
      </c>
      <c r="H9991" s="0" t="n">
        <v>107</v>
      </c>
      <c r="I9991" s="0" t="s">
        <v>33196</v>
      </c>
      <c r="J9991" s="0" t="s">
        <v>33197</v>
      </c>
      <c r="K9991" s="0" t="s">
        <v>33198</v>
      </c>
      <c r="L9991" s="0" t="str">
        <f aca="false">HYPERLINK("https://www.ncbi.nlm.nih.gov/nuccore/CP000058.1?report=graph&amp;tracks=[key:gene_model_track,Options:GeneOnly]&amp;mk=3138523:3138542|offset_1|444444,3138585:3138604|offset_63|444444,3138609:3138628|offset_87|444444,3138629:3138648|offset_107|00cc00&amp;v=3138322:3138848&amp;c=444444", "offset 107")</f>
        <v>offset 107</v>
      </c>
    </row>
    <row r="9992" customFormat="false" ht="12.8" hidden="false" customHeight="false" outlineLevel="0" collapsed="false">
      <c r="A9992" s="0" t="s">
        <v>12</v>
      </c>
      <c r="B9992" s="0" t="n">
        <v>3139210</v>
      </c>
      <c r="C9992" s="0" t="n">
        <v>3139230</v>
      </c>
      <c r="D9992" s="0" t="s">
        <v>33199</v>
      </c>
      <c r="E9992" s="0" t="s">
        <v>75</v>
      </c>
      <c r="F9992" s="0" t="s">
        <v>15</v>
      </c>
      <c r="G9992" s="0" t="s">
        <v>36</v>
      </c>
      <c r="H9992" s="0" t="n">
        <v>22</v>
      </c>
      <c r="I9992" s="0" t="s">
        <v>33200</v>
      </c>
      <c r="J9992" s="0" t="s">
        <v>33201</v>
      </c>
      <c r="K9992" s="0" t="s">
        <v>33202</v>
      </c>
      <c r="L9992" s="0" t="str">
        <f aca="false">HYPERLINK("https://www.ncbi.nlm.nih.gov/nuccore/CP000058.1?report=graph&amp;tracks=[key:gene_model_track,Options:GeneOnly]&amp;mk=3139211:3139230|offset_22|00cc00,3139237:3139256|offset_48|444444,3139275:3139294|offset_86|444444,3139302:3139321|offset_113|444444&amp;v=3139010:3139521&amp;c=444444", "offset 22")</f>
        <v>offset 22</v>
      </c>
    </row>
    <row r="9993" customFormat="false" ht="12.8" hidden="false" customHeight="false" outlineLevel="0" collapsed="false">
      <c r="A9993" s="0" t="s">
        <v>12</v>
      </c>
      <c r="B9993" s="0" t="n">
        <v>3139236</v>
      </c>
      <c r="C9993" s="0" t="n">
        <v>3139256</v>
      </c>
      <c r="D9993" s="0" t="s">
        <v>33199</v>
      </c>
      <c r="E9993" s="0" t="s">
        <v>75</v>
      </c>
      <c r="F9993" s="0" t="s">
        <v>15</v>
      </c>
      <c r="G9993" s="0" t="s">
        <v>16</v>
      </c>
      <c r="H9993" s="0" t="n">
        <v>48</v>
      </c>
      <c r="I9993" s="0" t="s">
        <v>33203</v>
      </c>
      <c r="J9993" s="0" t="s">
        <v>33204</v>
      </c>
      <c r="K9993" s="0" t="s">
        <v>33205</v>
      </c>
      <c r="L9993" s="0" t="str">
        <f aca="false">HYPERLINK("https://www.ncbi.nlm.nih.gov/nuccore/CP000058.1?report=graph&amp;tracks=[key:gene_model_track,Options:GeneOnly]&amp;mk=3139211:3139230|offset_22|444444,3139237:3139256|offset_48|00cc00,3139275:3139294|offset_86|444444,3139302:3139321|offset_113|444444&amp;v=3139010:3139521&amp;c=444444", "offset 48")</f>
        <v>offset 48</v>
      </c>
    </row>
    <row r="9994" customFormat="false" ht="12.8" hidden="false" customHeight="false" outlineLevel="0" collapsed="false">
      <c r="A9994" s="0" t="s">
        <v>12</v>
      </c>
      <c r="B9994" s="0" t="n">
        <v>3139274</v>
      </c>
      <c r="C9994" s="0" t="n">
        <v>3139294</v>
      </c>
      <c r="D9994" s="0" t="s">
        <v>33199</v>
      </c>
      <c r="E9994" s="0" t="s">
        <v>75</v>
      </c>
      <c r="F9994" s="0" t="s">
        <v>15</v>
      </c>
      <c r="G9994" s="0" t="s">
        <v>16</v>
      </c>
      <c r="H9994" s="0" t="n">
        <v>86</v>
      </c>
      <c r="I9994" s="0" t="s">
        <v>33206</v>
      </c>
      <c r="J9994" s="0" t="s">
        <v>33207</v>
      </c>
      <c r="K9994" s="0" t="s">
        <v>33208</v>
      </c>
      <c r="L9994" s="0" t="str">
        <f aca="false">HYPERLINK("https://www.ncbi.nlm.nih.gov/nuccore/CP000058.1?report=graph&amp;tracks=[key:gene_model_track,Options:GeneOnly]&amp;mk=3139211:3139230|offset_22|444444,3139237:3139256|offset_48|444444,3139275:3139294|offset_86|00cc00,3139302:3139321|offset_113|444444&amp;v=3139010:3139521&amp;c=444444", "offset 86")</f>
        <v>offset 86</v>
      </c>
    </row>
    <row r="9995" customFormat="false" ht="12.8" hidden="false" customHeight="false" outlineLevel="0" collapsed="false">
      <c r="A9995" s="0" t="s">
        <v>12</v>
      </c>
      <c r="B9995" s="0" t="n">
        <v>3139301</v>
      </c>
      <c r="C9995" s="0" t="n">
        <v>3139321</v>
      </c>
      <c r="D9995" s="0" t="s">
        <v>33199</v>
      </c>
      <c r="E9995" s="0" t="s">
        <v>75</v>
      </c>
      <c r="F9995" s="0" t="s">
        <v>15</v>
      </c>
      <c r="G9995" s="0" t="s">
        <v>16</v>
      </c>
      <c r="H9995" s="0" t="n">
        <v>113</v>
      </c>
      <c r="I9995" s="0" t="s">
        <v>33209</v>
      </c>
      <c r="J9995" s="0" t="s">
        <v>33210</v>
      </c>
      <c r="K9995" s="0" t="s">
        <v>33211</v>
      </c>
      <c r="L9995" s="0" t="str">
        <f aca="false">HYPERLINK("https://www.ncbi.nlm.nih.gov/nuccore/CP000058.1?report=graph&amp;tracks=[key:gene_model_track,Options:GeneOnly]&amp;mk=3139211:3139230|offset_22|444444,3139237:3139256|offset_48|444444,3139275:3139294|offset_86|444444,3139302:3139321|offset_113|00cc00&amp;v=3139010:3139521&amp;c=444444", "offset 113")</f>
        <v>offset 113</v>
      </c>
    </row>
    <row r="9996" customFormat="false" ht="12.8" hidden="false" customHeight="false" outlineLevel="0" collapsed="false">
      <c r="A9996" s="0" t="s">
        <v>12</v>
      </c>
      <c r="B9996" s="0" t="n">
        <v>3141116</v>
      </c>
      <c r="C9996" s="0" t="n">
        <v>3141136</v>
      </c>
      <c r="D9996" s="0" t="s">
        <v>33212</v>
      </c>
      <c r="E9996" s="0" t="s">
        <v>75</v>
      </c>
      <c r="F9996" s="0" t="s">
        <v>15</v>
      </c>
      <c r="G9996" s="0" t="s">
        <v>16</v>
      </c>
      <c r="H9996" s="0" t="n">
        <v>36</v>
      </c>
      <c r="I9996" s="0" t="s">
        <v>33213</v>
      </c>
      <c r="J9996" s="0" t="s">
        <v>33214</v>
      </c>
      <c r="K9996" s="0" t="s">
        <v>33215</v>
      </c>
      <c r="L9996" s="0" t="str">
        <f aca="false">HYPERLINK("https://www.ncbi.nlm.nih.gov/nuccore/CP000058.1?report=graph&amp;tracks=[key:gene_model_track,Options:GeneOnly]&amp;mk=3141117:3141136|offset_36|00cc00,3141137:3141156|offset_56|444444,3141157:3141176|offset_76|444444,3141184:3141203|offset_103|444444&amp;v=3140916:3141403&amp;c=444444", "offset 36")</f>
        <v>offset 36</v>
      </c>
    </row>
    <row r="9997" customFormat="false" ht="12.8" hidden="false" customHeight="false" outlineLevel="0" collapsed="false">
      <c r="A9997" s="0" t="s">
        <v>12</v>
      </c>
      <c r="B9997" s="0" t="n">
        <v>3141136</v>
      </c>
      <c r="C9997" s="0" t="n">
        <v>3141156</v>
      </c>
      <c r="D9997" s="0" t="s">
        <v>33212</v>
      </c>
      <c r="E9997" s="0" t="s">
        <v>75</v>
      </c>
      <c r="F9997" s="0" t="s">
        <v>15</v>
      </c>
      <c r="G9997" s="0" t="s">
        <v>20</v>
      </c>
      <c r="H9997" s="0" t="n">
        <v>56</v>
      </c>
      <c r="I9997" s="0" t="s">
        <v>33216</v>
      </c>
      <c r="J9997" s="0" t="s">
        <v>33217</v>
      </c>
      <c r="K9997" s="0" t="s">
        <v>33218</v>
      </c>
      <c r="L9997" s="0" t="str">
        <f aca="false">HYPERLINK("https://www.ncbi.nlm.nih.gov/nuccore/CP000058.1?report=graph&amp;tracks=[key:gene_model_track,Options:GeneOnly]&amp;mk=3141117:3141136|offset_36|444444,3141137:3141156|offset_56|00cc00,3141157:3141176|offset_76|444444,3141184:3141203|offset_103|444444&amp;v=3140916:3141403&amp;c=444444", "offset 56")</f>
        <v>offset 56</v>
      </c>
    </row>
    <row r="9998" customFormat="false" ht="12.8" hidden="false" customHeight="false" outlineLevel="0" collapsed="false">
      <c r="A9998" s="0" t="s">
        <v>12</v>
      </c>
      <c r="B9998" s="0" t="n">
        <v>3141156</v>
      </c>
      <c r="C9998" s="0" t="n">
        <v>3141176</v>
      </c>
      <c r="D9998" s="0" t="s">
        <v>33212</v>
      </c>
      <c r="E9998" s="0" t="s">
        <v>75</v>
      </c>
      <c r="F9998" s="0" t="s">
        <v>15</v>
      </c>
      <c r="G9998" s="0" t="s">
        <v>32</v>
      </c>
      <c r="H9998" s="0" t="n">
        <v>76</v>
      </c>
      <c r="I9998" s="0" t="s">
        <v>33219</v>
      </c>
      <c r="J9998" s="0" t="s">
        <v>33220</v>
      </c>
      <c r="K9998" s="0" t="s">
        <v>33221</v>
      </c>
      <c r="L9998" s="0" t="str">
        <f aca="false">HYPERLINK("https://www.ncbi.nlm.nih.gov/nuccore/CP000058.1?report=graph&amp;tracks=[key:gene_model_track,Options:GeneOnly]&amp;mk=3141117:3141136|offset_36|444444,3141137:3141156|offset_56|444444,3141157:3141176|offset_76|00cc00,3141184:3141203|offset_103|444444&amp;v=3140916:3141403&amp;c=444444", "offset 76")</f>
        <v>offset 76</v>
      </c>
    </row>
    <row r="9999" customFormat="false" ht="12.8" hidden="false" customHeight="false" outlineLevel="0" collapsed="false">
      <c r="A9999" s="0" t="s">
        <v>12</v>
      </c>
      <c r="B9999" s="0" t="n">
        <v>3141183</v>
      </c>
      <c r="C9999" s="0" t="n">
        <v>3141203</v>
      </c>
      <c r="D9999" s="0" t="s">
        <v>33212</v>
      </c>
      <c r="E9999" s="0" t="s">
        <v>75</v>
      </c>
      <c r="F9999" s="0" t="s">
        <v>15</v>
      </c>
      <c r="G9999" s="0" t="s">
        <v>36</v>
      </c>
      <c r="H9999" s="0" t="n">
        <v>103</v>
      </c>
      <c r="I9999" s="0" t="s">
        <v>33222</v>
      </c>
      <c r="J9999" s="0" t="s">
        <v>33223</v>
      </c>
      <c r="K9999" s="0" t="s">
        <v>33224</v>
      </c>
      <c r="L9999" s="0" t="str">
        <f aca="false">HYPERLINK("https://www.ncbi.nlm.nih.gov/nuccore/CP000058.1?report=graph&amp;tracks=[key:gene_model_track,Options:GeneOnly]&amp;mk=3141117:3141136|offset_36|444444,3141137:3141156|offset_56|444444,3141157:3141176|offset_76|444444,3141184:3141203|offset_103|00cc00&amp;v=3140916:3141403&amp;c=444444", "offset 103")</f>
        <v>offset 103</v>
      </c>
    </row>
    <row r="10000" customFormat="false" ht="12.8" hidden="false" customHeight="false" outlineLevel="0" collapsed="false">
      <c r="A10000" s="0" t="s">
        <v>12</v>
      </c>
      <c r="B10000" s="0" t="n">
        <v>3142296</v>
      </c>
      <c r="C10000" s="0" t="n">
        <v>3142316</v>
      </c>
      <c r="D10000" s="0" t="s">
        <v>33225</v>
      </c>
      <c r="E10000" s="0" t="s">
        <v>75</v>
      </c>
      <c r="F10000" s="0" t="s">
        <v>15</v>
      </c>
      <c r="G10000" s="0" t="s">
        <v>32</v>
      </c>
      <c r="H10000" s="0" t="n">
        <v>13</v>
      </c>
      <c r="I10000" s="0" t="s">
        <v>33226</v>
      </c>
      <c r="J10000" s="0" t="s">
        <v>33227</v>
      </c>
      <c r="K10000" s="0" t="s">
        <v>33228</v>
      </c>
      <c r="L10000" s="0" t="str">
        <f aca="false">HYPERLINK("https://www.ncbi.nlm.nih.gov/nuccore/CP000058.1?report=graph&amp;tracks=[key:gene_model_track,Options:GeneOnly]&amp;mk=3142297:3142316|offset_13|00cc00,3142340:3142359|offset_56|444444,3142370:3142389|offset_86|444444,3142420:3142439|offset_136|444444&amp;v=3142096:3142639&amp;c=444444", "offset 13")</f>
        <v>offset 13</v>
      </c>
    </row>
    <row r="10001" customFormat="false" ht="12.8" hidden="false" customHeight="false" outlineLevel="0" collapsed="false">
      <c r="A10001" s="0" t="s">
        <v>12</v>
      </c>
      <c r="B10001" s="0" t="n">
        <v>3142339</v>
      </c>
      <c r="C10001" s="0" t="n">
        <v>3142359</v>
      </c>
      <c r="D10001" s="0" t="s">
        <v>33225</v>
      </c>
      <c r="E10001" s="0" t="s">
        <v>75</v>
      </c>
      <c r="F10001" s="0" t="s">
        <v>15</v>
      </c>
      <c r="G10001" s="0" t="s">
        <v>16</v>
      </c>
      <c r="H10001" s="0" t="n">
        <v>56</v>
      </c>
      <c r="I10001" s="0" t="s">
        <v>33229</v>
      </c>
      <c r="J10001" s="0" t="s">
        <v>33230</v>
      </c>
      <c r="K10001" s="0" t="s">
        <v>33231</v>
      </c>
      <c r="L10001" s="0" t="str">
        <f aca="false">HYPERLINK("https://www.ncbi.nlm.nih.gov/nuccore/CP000058.1?report=graph&amp;tracks=[key:gene_model_track,Options:GeneOnly]&amp;mk=3142297:3142316|offset_13|444444,3142340:3142359|offset_56|00cc00,3142370:3142389|offset_86|444444,3142420:3142439|offset_136|444444&amp;v=3142096:3142639&amp;c=444444", "offset 56")</f>
        <v>offset 56</v>
      </c>
    </row>
    <row r="10002" customFormat="false" ht="12.8" hidden="false" customHeight="false" outlineLevel="0" collapsed="false">
      <c r="A10002" s="0" t="s">
        <v>12</v>
      </c>
      <c r="B10002" s="0" t="n">
        <v>3142369</v>
      </c>
      <c r="C10002" s="0" t="n">
        <v>3142389</v>
      </c>
      <c r="D10002" s="0" t="s">
        <v>33225</v>
      </c>
      <c r="E10002" s="0" t="s">
        <v>75</v>
      </c>
      <c r="F10002" s="0" t="s">
        <v>15</v>
      </c>
      <c r="G10002" s="0" t="s">
        <v>32</v>
      </c>
      <c r="H10002" s="0" t="n">
        <v>86</v>
      </c>
      <c r="I10002" s="0" t="s">
        <v>33232</v>
      </c>
      <c r="J10002" s="0" t="s">
        <v>33233</v>
      </c>
      <c r="K10002" s="0" t="s">
        <v>33234</v>
      </c>
      <c r="L10002" s="0" t="str">
        <f aca="false">HYPERLINK("https://www.ncbi.nlm.nih.gov/nuccore/CP000058.1?report=graph&amp;tracks=[key:gene_model_track,Options:GeneOnly]&amp;mk=3142297:3142316|offset_13|444444,3142340:3142359|offset_56|444444,3142370:3142389|offset_86|00cc00,3142420:3142439|offset_136|444444&amp;v=3142096:3142639&amp;c=444444", "offset 86")</f>
        <v>offset 86</v>
      </c>
    </row>
    <row r="10003" customFormat="false" ht="12.8" hidden="false" customHeight="false" outlineLevel="0" collapsed="false">
      <c r="A10003" s="0" t="s">
        <v>12</v>
      </c>
      <c r="B10003" s="0" t="n">
        <v>3142419</v>
      </c>
      <c r="C10003" s="0" t="n">
        <v>3142439</v>
      </c>
      <c r="D10003" s="0" t="s">
        <v>33225</v>
      </c>
      <c r="E10003" s="0" t="s">
        <v>75</v>
      </c>
      <c r="F10003" s="0" t="s">
        <v>15</v>
      </c>
      <c r="G10003" s="0" t="s">
        <v>16</v>
      </c>
      <c r="H10003" s="0" t="n">
        <v>136</v>
      </c>
      <c r="I10003" s="0" t="s">
        <v>33235</v>
      </c>
      <c r="J10003" s="0" t="s">
        <v>33236</v>
      </c>
      <c r="K10003" s="0" t="s">
        <v>33237</v>
      </c>
      <c r="L10003" s="0" t="str">
        <f aca="false">HYPERLINK("https://www.ncbi.nlm.nih.gov/nuccore/CP000058.1?report=graph&amp;tracks=[key:gene_model_track,Options:GeneOnly]&amp;mk=3142297:3142316|offset_13|444444,3142340:3142359|offset_56|444444,3142370:3142389|offset_86|444444,3142420:3142439|offset_136|00cc00&amp;v=3142096:3142639&amp;c=444444", "offset 136")</f>
        <v>offset 136</v>
      </c>
    </row>
    <row r="10004" customFormat="false" ht="12.8" hidden="false" customHeight="false" outlineLevel="0" collapsed="false">
      <c r="A10004" s="0" t="s">
        <v>12</v>
      </c>
      <c r="B10004" s="0" t="n">
        <v>3143424</v>
      </c>
      <c r="C10004" s="0" t="n">
        <v>3143444</v>
      </c>
      <c r="D10004" s="0" t="s">
        <v>33238</v>
      </c>
      <c r="E10004" s="0" t="s">
        <v>75</v>
      </c>
      <c r="F10004" s="0" t="s">
        <v>15</v>
      </c>
      <c r="G10004" s="0" t="s">
        <v>16</v>
      </c>
      <c r="H10004" s="0" t="n">
        <v>8</v>
      </c>
      <c r="I10004" s="0" t="s">
        <v>33239</v>
      </c>
      <c r="J10004" s="0" t="s">
        <v>33240</v>
      </c>
      <c r="K10004" s="0" t="s">
        <v>33241</v>
      </c>
      <c r="L10004" s="0" t="str">
        <f aca="false">HYPERLINK("https://www.ncbi.nlm.nih.gov/nuccore/CP000058.1?report=graph&amp;tracks=[key:gene_model_track,Options:GeneOnly]&amp;mk=3143425:3143444|offset_8|00cc00,3143472:3143491|offset_55|444444,3143509:3143528|offset_92|444444,3143545:3143564|offset_128|444444&amp;v=3143224:3143764&amp;c=444444", "offset 8")</f>
        <v>offset 8</v>
      </c>
    </row>
    <row r="10005" customFormat="false" ht="12.8" hidden="false" customHeight="false" outlineLevel="0" collapsed="false">
      <c r="A10005" s="0" t="s">
        <v>12</v>
      </c>
      <c r="B10005" s="0" t="n">
        <v>3143471</v>
      </c>
      <c r="C10005" s="0" t="n">
        <v>3143491</v>
      </c>
      <c r="D10005" s="0" t="s">
        <v>33238</v>
      </c>
      <c r="E10005" s="0" t="s">
        <v>75</v>
      </c>
      <c r="F10005" s="0" t="s">
        <v>15</v>
      </c>
      <c r="G10005" s="0" t="s">
        <v>20</v>
      </c>
      <c r="H10005" s="0" t="n">
        <v>55</v>
      </c>
      <c r="I10005" s="0" t="s">
        <v>33242</v>
      </c>
      <c r="J10005" s="0" t="s">
        <v>33243</v>
      </c>
      <c r="K10005" s="0" t="s">
        <v>33244</v>
      </c>
      <c r="L10005" s="0" t="str">
        <f aca="false">HYPERLINK("https://www.ncbi.nlm.nih.gov/nuccore/CP000058.1?report=graph&amp;tracks=[key:gene_model_track,Options:GeneOnly]&amp;mk=3143425:3143444|offset_8|444444,3143472:3143491|offset_55|00cc00,3143509:3143528|offset_92|444444,3143545:3143564|offset_128|444444&amp;v=3143224:3143764&amp;c=444444", "offset 55")</f>
        <v>offset 55</v>
      </c>
    </row>
    <row r="10006" customFormat="false" ht="12.8" hidden="false" customHeight="false" outlineLevel="0" collapsed="false">
      <c r="A10006" s="0" t="s">
        <v>12</v>
      </c>
      <c r="B10006" s="0" t="n">
        <v>3143508</v>
      </c>
      <c r="C10006" s="0" t="n">
        <v>3143528</v>
      </c>
      <c r="D10006" s="0" t="s">
        <v>33238</v>
      </c>
      <c r="E10006" s="0" t="s">
        <v>75</v>
      </c>
      <c r="F10006" s="0" t="s">
        <v>15</v>
      </c>
      <c r="G10006" s="0" t="s">
        <v>20</v>
      </c>
      <c r="H10006" s="0" t="n">
        <v>92</v>
      </c>
      <c r="I10006" s="0" t="s">
        <v>33245</v>
      </c>
      <c r="J10006" s="0" t="s">
        <v>33246</v>
      </c>
      <c r="K10006" s="0" t="s">
        <v>33247</v>
      </c>
      <c r="L10006" s="0" t="str">
        <f aca="false">HYPERLINK("https://www.ncbi.nlm.nih.gov/nuccore/CP000058.1?report=graph&amp;tracks=[key:gene_model_track,Options:GeneOnly]&amp;mk=3143425:3143444|offset_8|444444,3143472:3143491|offset_55|444444,3143509:3143528|offset_92|00cc00,3143545:3143564|offset_128|444444&amp;v=3143224:3143764&amp;c=444444", "offset 92")</f>
        <v>offset 92</v>
      </c>
    </row>
    <row r="10007" customFormat="false" ht="12.8" hidden="false" customHeight="false" outlineLevel="0" collapsed="false">
      <c r="A10007" s="0" t="s">
        <v>12</v>
      </c>
      <c r="B10007" s="0" t="n">
        <v>3143544</v>
      </c>
      <c r="C10007" s="0" t="n">
        <v>3143564</v>
      </c>
      <c r="D10007" s="0" t="s">
        <v>33238</v>
      </c>
      <c r="E10007" s="0" t="s">
        <v>75</v>
      </c>
      <c r="F10007" s="0" t="s">
        <v>15</v>
      </c>
      <c r="G10007" s="0" t="s">
        <v>32</v>
      </c>
      <c r="H10007" s="0" t="n">
        <v>128</v>
      </c>
      <c r="I10007" s="0" t="s">
        <v>33248</v>
      </c>
      <c r="J10007" s="0" t="s">
        <v>33249</v>
      </c>
      <c r="K10007" s="0" t="s">
        <v>33250</v>
      </c>
      <c r="L10007" s="0" t="str">
        <f aca="false">HYPERLINK("https://www.ncbi.nlm.nih.gov/nuccore/CP000058.1?report=graph&amp;tracks=[key:gene_model_track,Options:GeneOnly]&amp;mk=3143425:3143444|offset_8|444444,3143472:3143491|offset_55|444444,3143509:3143528|offset_92|444444,3143545:3143564|offset_128|00cc00&amp;v=3143224:3143764&amp;c=444444", "offset 128")</f>
        <v>offset 128</v>
      </c>
    </row>
    <row r="10008" customFormat="false" ht="12.8" hidden="false" customHeight="false" outlineLevel="0" collapsed="false">
      <c r="A10008" s="0" t="s">
        <v>12</v>
      </c>
      <c r="B10008" s="0" t="n">
        <v>3144477</v>
      </c>
      <c r="C10008" s="0" t="n">
        <v>3144497</v>
      </c>
      <c r="D10008" s="0" t="s">
        <v>33251</v>
      </c>
      <c r="E10008" s="0" t="s">
        <v>75</v>
      </c>
      <c r="F10008" s="0" t="s">
        <v>15</v>
      </c>
      <c r="G10008" s="0" t="s">
        <v>36</v>
      </c>
      <c r="H10008" s="0" t="n">
        <v>0</v>
      </c>
      <c r="I10008" s="0" t="s">
        <v>33252</v>
      </c>
      <c r="J10008" s="0" t="s">
        <v>33253</v>
      </c>
      <c r="K10008" s="0" t="s">
        <v>33254</v>
      </c>
      <c r="L10008" s="0" t="str">
        <f aca="false">HYPERLINK("https://www.ncbi.nlm.nih.gov/nuccore/CP000058.1?report=graph&amp;tracks=[key:gene_model_track,Options:GeneOnly]&amp;mk=3144478:3144497|offset_0|00cc00,3144509:3144528|offset_31|444444,3144530:3144549|offset_52|444444,3144578:3144597|offset_100|444444&amp;v=3144277:3144797&amp;c=444444", "offset 0")</f>
        <v>offset 0</v>
      </c>
    </row>
    <row r="10009" customFormat="false" ht="12.8" hidden="false" customHeight="false" outlineLevel="0" collapsed="false">
      <c r="A10009" s="0" t="s">
        <v>12</v>
      </c>
      <c r="B10009" s="0" t="n">
        <v>3144508</v>
      </c>
      <c r="C10009" s="0" t="n">
        <v>3144528</v>
      </c>
      <c r="D10009" s="0" t="s">
        <v>33251</v>
      </c>
      <c r="E10009" s="0" t="s">
        <v>75</v>
      </c>
      <c r="F10009" s="0" t="s">
        <v>15</v>
      </c>
      <c r="G10009" s="0" t="s">
        <v>36</v>
      </c>
      <c r="H10009" s="0" t="n">
        <v>31</v>
      </c>
      <c r="I10009" s="0" t="s">
        <v>33255</v>
      </c>
      <c r="J10009" s="0" t="s">
        <v>33256</v>
      </c>
      <c r="K10009" s="0" t="s">
        <v>33257</v>
      </c>
      <c r="L10009" s="0" t="str">
        <f aca="false">HYPERLINK("https://www.ncbi.nlm.nih.gov/nuccore/CP000058.1?report=graph&amp;tracks=[key:gene_model_track,Options:GeneOnly]&amp;mk=3144478:3144497|offset_0|444444,3144509:3144528|offset_31|00cc00,3144530:3144549|offset_52|444444,3144578:3144597|offset_100|444444&amp;v=3144277:3144797&amp;c=444444", "offset 31")</f>
        <v>offset 31</v>
      </c>
    </row>
    <row r="10010" customFormat="false" ht="12.8" hidden="false" customHeight="false" outlineLevel="0" collapsed="false">
      <c r="A10010" s="0" t="s">
        <v>12</v>
      </c>
      <c r="B10010" s="0" t="n">
        <v>3144529</v>
      </c>
      <c r="C10010" s="0" t="n">
        <v>3144549</v>
      </c>
      <c r="D10010" s="0" t="s">
        <v>33251</v>
      </c>
      <c r="E10010" s="0" t="s">
        <v>75</v>
      </c>
      <c r="F10010" s="0" t="s">
        <v>15</v>
      </c>
      <c r="G10010" s="0" t="s">
        <v>16</v>
      </c>
      <c r="H10010" s="0" t="n">
        <v>52</v>
      </c>
      <c r="I10010" s="0" t="s">
        <v>33258</v>
      </c>
      <c r="J10010" s="0" t="s">
        <v>33259</v>
      </c>
      <c r="K10010" s="0" t="s">
        <v>33260</v>
      </c>
      <c r="L10010" s="0" t="str">
        <f aca="false">HYPERLINK("https://www.ncbi.nlm.nih.gov/nuccore/CP000058.1?report=graph&amp;tracks=[key:gene_model_track,Options:GeneOnly]&amp;mk=3144478:3144497|offset_0|444444,3144509:3144528|offset_31|444444,3144530:3144549|offset_52|00cc00,3144578:3144597|offset_100|444444&amp;v=3144277:3144797&amp;c=444444", "offset 52")</f>
        <v>offset 52</v>
      </c>
    </row>
    <row r="10011" customFormat="false" ht="12.8" hidden="false" customHeight="false" outlineLevel="0" collapsed="false">
      <c r="A10011" s="0" t="s">
        <v>12</v>
      </c>
      <c r="B10011" s="0" t="n">
        <v>3144577</v>
      </c>
      <c r="C10011" s="0" t="n">
        <v>3144597</v>
      </c>
      <c r="D10011" s="0" t="s">
        <v>33251</v>
      </c>
      <c r="E10011" s="0" t="s">
        <v>75</v>
      </c>
      <c r="F10011" s="0" t="s">
        <v>15</v>
      </c>
      <c r="G10011" s="0" t="s">
        <v>16</v>
      </c>
      <c r="H10011" s="0" t="n">
        <v>100</v>
      </c>
      <c r="I10011" s="0" t="s">
        <v>33261</v>
      </c>
      <c r="J10011" s="0" t="s">
        <v>33262</v>
      </c>
      <c r="K10011" s="0" t="s">
        <v>33263</v>
      </c>
      <c r="L10011" s="0" t="str">
        <f aca="false">HYPERLINK("https://www.ncbi.nlm.nih.gov/nuccore/CP000058.1?report=graph&amp;tracks=[key:gene_model_track,Options:GeneOnly]&amp;mk=3144478:3144497|offset_0|444444,3144509:3144528|offset_31|444444,3144530:3144549|offset_52|444444,3144578:3144597|offset_100|00cc00&amp;v=3144277:3144797&amp;c=444444", "offset 100")</f>
        <v>offset 100</v>
      </c>
    </row>
    <row r="10012" customFormat="false" ht="12.8" hidden="false" customHeight="false" outlineLevel="0" collapsed="false">
      <c r="A10012" s="0" t="s">
        <v>12</v>
      </c>
      <c r="B10012" s="0" t="n">
        <v>3145079</v>
      </c>
      <c r="C10012" s="0" t="n">
        <v>3145099</v>
      </c>
      <c r="D10012" s="0" t="s">
        <v>33264</v>
      </c>
      <c r="E10012" s="0" t="s">
        <v>75</v>
      </c>
      <c r="F10012" s="0" t="s">
        <v>15</v>
      </c>
      <c r="G10012" s="0" t="s">
        <v>16</v>
      </c>
      <c r="H10012" s="0" t="n">
        <v>18</v>
      </c>
      <c r="I10012" s="0" t="s">
        <v>33265</v>
      </c>
      <c r="J10012" s="0" t="s">
        <v>33266</v>
      </c>
      <c r="K10012" s="0" t="s">
        <v>33267</v>
      </c>
      <c r="L10012" s="0" t="str">
        <f aca="false">HYPERLINK("https://www.ncbi.nlm.nih.gov/nuccore/CP000058.1?report=graph&amp;tracks=[key:gene_model_track,Options:GeneOnly]&amp;mk=3145080:3145099|offset_18|00cc00,3145127:3145146|offset_65|444444,3145155:3145174|offset_93|444444,3145178:3145197|offset_116|444444&amp;v=3144879:3145397&amp;c=444444", "offset 18")</f>
        <v>offset 18</v>
      </c>
    </row>
    <row r="10013" customFormat="false" ht="12.8" hidden="false" customHeight="false" outlineLevel="0" collapsed="false">
      <c r="A10013" s="0" t="s">
        <v>12</v>
      </c>
      <c r="B10013" s="0" t="n">
        <v>3145126</v>
      </c>
      <c r="C10013" s="0" t="n">
        <v>3145146</v>
      </c>
      <c r="D10013" s="0" t="s">
        <v>33264</v>
      </c>
      <c r="E10013" s="0" t="s">
        <v>75</v>
      </c>
      <c r="F10013" s="0" t="s">
        <v>15</v>
      </c>
      <c r="G10013" s="0" t="s">
        <v>16</v>
      </c>
      <c r="H10013" s="0" t="n">
        <v>65</v>
      </c>
      <c r="I10013" s="0" t="s">
        <v>33268</v>
      </c>
      <c r="J10013" s="0" t="s">
        <v>33269</v>
      </c>
      <c r="K10013" s="0" t="s">
        <v>33270</v>
      </c>
      <c r="L10013" s="0" t="str">
        <f aca="false">HYPERLINK("https://www.ncbi.nlm.nih.gov/nuccore/CP000058.1?report=graph&amp;tracks=[key:gene_model_track,Options:GeneOnly]&amp;mk=3145080:3145099|offset_18|444444,3145127:3145146|offset_65|00cc00,3145155:3145174|offset_93|444444,3145178:3145197|offset_116|444444&amp;v=3144879:3145397&amp;c=444444", "offset 65")</f>
        <v>offset 65</v>
      </c>
    </row>
    <row r="10014" customFormat="false" ht="12.8" hidden="false" customHeight="false" outlineLevel="0" collapsed="false">
      <c r="A10014" s="0" t="s">
        <v>12</v>
      </c>
      <c r="B10014" s="0" t="n">
        <v>3145154</v>
      </c>
      <c r="C10014" s="0" t="n">
        <v>3145174</v>
      </c>
      <c r="D10014" s="0" t="s">
        <v>33264</v>
      </c>
      <c r="E10014" s="0" t="s">
        <v>75</v>
      </c>
      <c r="F10014" s="0" t="s">
        <v>15</v>
      </c>
      <c r="G10014" s="0" t="s">
        <v>36</v>
      </c>
      <c r="H10014" s="0" t="n">
        <v>93</v>
      </c>
      <c r="I10014" s="0" t="s">
        <v>33271</v>
      </c>
      <c r="J10014" s="0" t="s">
        <v>33272</v>
      </c>
      <c r="K10014" s="0" t="s">
        <v>33273</v>
      </c>
      <c r="L10014" s="0" t="str">
        <f aca="false">HYPERLINK("https://www.ncbi.nlm.nih.gov/nuccore/CP000058.1?report=graph&amp;tracks=[key:gene_model_track,Options:GeneOnly]&amp;mk=3145080:3145099|offset_18|444444,3145127:3145146|offset_65|444444,3145155:3145174|offset_93|00cc00,3145178:3145197|offset_116|444444&amp;v=3144879:3145397&amp;c=444444", "offset 93")</f>
        <v>offset 93</v>
      </c>
    </row>
    <row r="10015" customFormat="false" ht="12.8" hidden="false" customHeight="false" outlineLevel="0" collapsed="false">
      <c r="A10015" s="0" t="s">
        <v>12</v>
      </c>
      <c r="B10015" s="0" t="n">
        <v>3145177</v>
      </c>
      <c r="C10015" s="0" t="n">
        <v>3145197</v>
      </c>
      <c r="D10015" s="0" t="s">
        <v>33264</v>
      </c>
      <c r="E10015" s="0" t="s">
        <v>75</v>
      </c>
      <c r="F10015" s="0" t="s">
        <v>15</v>
      </c>
      <c r="G10015" s="0" t="s">
        <v>36</v>
      </c>
      <c r="H10015" s="0" t="n">
        <v>116</v>
      </c>
      <c r="I10015" s="0" t="s">
        <v>33274</v>
      </c>
      <c r="J10015" s="0" t="s">
        <v>33275</v>
      </c>
      <c r="K10015" s="0" t="s">
        <v>33276</v>
      </c>
      <c r="L10015" s="0" t="str">
        <f aca="false">HYPERLINK("https://www.ncbi.nlm.nih.gov/nuccore/CP000058.1?report=graph&amp;tracks=[key:gene_model_track,Options:GeneOnly]&amp;mk=3145080:3145099|offset_18|444444,3145127:3145146|offset_65|444444,3145155:3145174|offset_93|444444,3145178:3145197|offset_116|00cc00&amp;v=3144879:3145397&amp;c=444444", "offset 116")</f>
        <v>offset 116</v>
      </c>
    </row>
    <row r="10016" customFormat="false" ht="12.8" hidden="false" customHeight="false" outlineLevel="0" collapsed="false">
      <c r="A10016" s="0" t="s">
        <v>12</v>
      </c>
      <c r="B10016" s="0" t="n">
        <v>3146684</v>
      </c>
      <c r="C10016" s="0" t="n">
        <v>3146704</v>
      </c>
      <c r="D10016" s="0" t="s">
        <v>33277</v>
      </c>
      <c r="E10016" s="0" t="s">
        <v>75</v>
      </c>
      <c r="F10016" s="0" t="s">
        <v>15</v>
      </c>
      <c r="G10016" s="0" t="s">
        <v>32</v>
      </c>
      <c r="H10016" s="0" t="n">
        <v>1</v>
      </c>
      <c r="I10016" s="0" t="s">
        <v>33278</v>
      </c>
      <c r="J10016" s="0" t="s">
        <v>33279</v>
      </c>
      <c r="K10016" s="0" t="s">
        <v>33280</v>
      </c>
      <c r="L10016" s="0" t="str">
        <f aca="false">HYPERLINK("https://www.ncbi.nlm.nih.gov/nuccore/CP000058.1?report=graph&amp;tracks=[key:gene_model_track,Options:GeneOnly]&amp;mk=3146685:3146704|offset_1|00cc00,3146731:3146750|offset_47|444444,3146751:3146770|offset_67|444444,3146778:3146797|offset_94|444444&amp;v=3146484:3146997&amp;c=444444", "offset 1")</f>
        <v>offset 1</v>
      </c>
    </row>
    <row r="10017" customFormat="false" ht="12.8" hidden="false" customHeight="false" outlineLevel="0" collapsed="false">
      <c r="A10017" s="0" t="s">
        <v>12</v>
      </c>
      <c r="B10017" s="0" t="n">
        <v>3146730</v>
      </c>
      <c r="C10017" s="0" t="n">
        <v>3146750</v>
      </c>
      <c r="D10017" s="0" t="s">
        <v>33277</v>
      </c>
      <c r="E10017" s="0" t="s">
        <v>75</v>
      </c>
      <c r="F10017" s="0" t="s">
        <v>15</v>
      </c>
      <c r="G10017" s="0" t="s">
        <v>20</v>
      </c>
      <c r="H10017" s="0" t="n">
        <v>47</v>
      </c>
      <c r="I10017" s="0" t="s">
        <v>33281</v>
      </c>
      <c r="J10017" s="0" t="s">
        <v>33282</v>
      </c>
      <c r="K10017" s="0" t="s">
        <v>33283</v>
      </c>
      <c r="L10017" s="0" t="str">
        <f aca="false">HYPERLINK("https://www.ncbi.nlm.nih.gov/nuccore/CP000058.1?report=graph&amp;tracks=[key:gene_model_track,Options:GeneOnly]&amp;mk=3146685:3146704|offset_1|444444,3146731:3146750|offset_47|00cc00,3146751:3146770|offset_67|444444,3146778:3146797|offset_94|444444&amp;v=3146484:3146997&amp;c=444444", "offset 47")</f>
        <v>offset 47</v>
      </c>
    </row>
    <row r="10018" customFormat="false" ht="12.8" hidden="false" customHeight="false" outlineLevel="0" collapsed="false">
      <c r="A10018" s="0" t="s">
        <v>12</v>
      </c>
      <c r="B10018" s="0" t="n">
        <v>3146750</v>
      </c>
      <c r="C10018" s="0" t="n">
        <v>3146770</v>
      </c>
      <c r="D10018" s="0" t="s">
        <v>33277</v>
      </c>
      <c r="E10018" s="0" t="s">
        <v>75</v>
      </c>
      <c r="F10018" s="0" t="s">
        <v>15</v>
      </c>
      <c r="G10018" s="0" t="s">
        <v>16</v>
      </c>
      <c r="H10018" s="0" t="n">
        <v>67</v>
      </c>
      <c r="I10018" s="0" t="s">
        <v>33284</v>
      </c>
      <c r="J10018" s="0" t="s">
        <v>33285</v>
      </c>
      <c r="K10018" s="0" t="s">
        <v>33286</v>
      </c>
      <c r="L10018" s="0" t="str">
        <f aca="false">HYPERLINK("https://www.ncbi.nlm.nih.gov/nuccore/CP000058.1?report=graph&amp;tracks=[key:gene_model_track,Options:GeneOnly]&amp;mk=3146685:3146704|offset_1|444444,3146731:3146750|offset_47|444444,3146751:3146770|offset_67|00cc00,3146778:3146797|offset_94|444444&amp;v=3146484:3146997&amp;c=444444", "offset 67")</f>
        <v>offset 67</v>
      </c>
    </row>
    <row r="10019" customFormat="false" ht="12.8" hidden="false" customHeight="false" outlineLevel="0" collapsed="false">
      <c r="A10019" s="0" t="s">
        <v>12</v>
      </c>
      <c r="B10019" s="0" t="n">
        <v>3146777</v>
      </c>
      <c r="C10019" s="0" t="n">
        <v>3146797</v>
      </c>
      <c r="D10019" s="0" t="s">
        <v>33277</v>
      </c>
      <c r="E10019" s="0" t="s">
        <v>75</v>
      </c>
      <c r="F10019" s="0" t="s">
        <v>15</v>
      </c>
      <c r="G10019" s="0" t="s">
        <v>32</v>
      </c>
      <c r="H10019" s="0" t="n">
        <v>94</v>
      </c>
      <c r="I10019" s="0" t="s">
        <v>33287</v>
      </c>
      <c r="J10019" s="0" t="s">
        <v>33288</v>
      </c>
      <c r="K10019" s="0" t="s">
        <v>33289</v>
      </c>
      <c r="L10019" s="0" t="str">
        <f aca="false">HYPERLINK("https://www.ncbi.nlm.nih.gov/nuccore/CP000058.1?report=graph&amp;tracks=[key:gene_model_track,Options:GeneOnly]&amp;mk=3146685:3146704|offset_1|444444,3146731:3146750|offset_47|444444,3146751:3146770|offset_67|444444,3146778:3146797|offset_94|00cc00&amp;v=3146484:3146997&amp;c=444444", "offset 94")</f>
        <v>offset 94</v>
      </c>
    </row>
    <row r="10020" customFormat="false" ht="12.8" hidden="false" customHeight="false" outlineLevel="0" collapsed="false">
      <c r="A10020" s="0" t="s">
        <v>12</v>
      </c>
      <c r="B10020" s="0" t="n">
        <v>3147528</v>
      </c>
      <c r="C10020" s="0" t="n">
        <v>3147548</v>
      </c>
      <c r="D10020" s="0" t="s">
        <v>33290</v>
      </c>
      <c r="E10020" s="0" t="s">
        <v>75</v>
      </c>
      <c r="F10020" s="0" t="s">
        <v>15</v>
      </c>
      <c r="G10020" s="0" t="s">
        <v>32</v>
      </c>
      <c r="H10020" s="0" t="n">
        <v>19</v>
      </c>
      <c r="I10020" s="0" t="s">
        <v>33291</v>
      </c>
      <c r="J10020" s="0" t="s">
        <v>33292</v>
      </c>
      <c r="K10020" s="0" t="s">
        <v>33293</v>
      </c>
      <c r="L10020" s="0" t="str">
        <f aca="false">HYPERLINK("https://www.ncbi.nlm.nih.gov/nuccore/CP000058.1?report=graph&amp;tracks=[key:gene_model_track,Options:GeneOnly]&amp;mk=3147529:3147548|offset_19|00cc00,3147549:3147568|offset_39|444444,3147598:3147617|offset_88|444444,3147646:3147665|offset_136|444444&amp;v=3147328:3147865&amp;c=444444", "offset 19")</f>
        <v>offset 19</v>
      </c>
    </row>
    <row r="10021" customFormat="false" ht="12.8" hidden="false" customHeight="false" outlineLevel="0" collapsed="false">
      <c r="A10021" s="0" t="s">
        <v>12</v>
      </c>
      <c r="B10021" s="0" t="n">
        <v>3147548</v>
      </c>
      <c r="C10021" s="0" t="n">
        <v>3147568</v>
      </c>
      <c r="D10021" s="0" t="s">
        <v>33290</v>
      </c>
      <c r="E10021" s="0" t="s">
        <v>75</v>
      </c>
      <c r="F10021" s="0" t="s">
        <v>15</v>
      </c>
      <c r="G10021" s="0" t="s">
        <v>16</v>
      </c>
      <c r="H10021" s="0" t="n">
        <v>39</v>
      </c>
      <c r="I10021" s="0" t="s">
        <v>33294</v>
      </c>
      <c r="J10021" s="0" t="s">
        <v>33295</v>
      </c>
      <c r="K10021" s="0" t="s">
        <v>33296</v>
      </c>
      <c r="L10021" s="0" t="str">
        <f aca="false">HYPERLINK("https://www.ncbi.nlm.nih.gov/nuccore/CP000058.1?report=graph&amp;tracks=[key:gene_model_track,Options:GeneOnly]&amp;mk=3147529:3147548|offset_19|444444,3147549:3147568|offset_39|00cc00,3147598:3147617|offset_88|444444,3147646:3147665|offset_136|444444&amp;v=3147328:3147865&amp;c=444444", "offset 39")</f>
        <v>offset 39</v>
      </c>
    </row>
    <row r="10022" customFormat="false" ht="12.8" hidden="false" customHeight="false" outlineLevel="0" collapsed="false">
      <c r="A10022" s="0" t="s">
        <v>12</v>
      </c>
      <c r="B10022" s="0" t="n">
        <v>3147597</v>
      </c>
      <c r="C10022" s="0" t="n">
        <v>3147617</v>
      </c>
      <c r="D10022" s="0" t="s">
        <v>33290</v>
      </c>
      <c r="E10022" s="0" t="s">
        <v>75</v>
      </c>
      <c r="F10022" s="0" t="s">
        <v>15</v>
      </c>
      <c r="G10022" s="0" t="s">
        <v>16</v>
      </c>
      <c r="H10022" s="0" t="n">
        <v>88</v>
      </c>
      <c r="I10022" s="0" t="s">
        <v>33297</v>
      </c>
      <c r="J10022" s="0" t="s">
        <v>33298</v>
      </c>
      <c r="K10022" s="0" t="s">
        <v>33299</v>
      </c>
      <c r="L10022" s="0" t="str">
        <f aca="false">HYPERLINK("https://www.ncbi.nlm.nih.gov/nuccore/CP000058.1?report=graph&amp;tracks=[key:gene_model_track,Options:GeneOnly]&amp;mk=3147529:3147548|offset_19|444444,3147549:3147568|offset_39|444444,3147598:3147617|offset_88|00cc00,3147646:3147665|offset_136|444444&amp;v=3147328:3147865&amp;c=444444", "offset 88")</f>
        <v>offset 88</v>
      </c>
    </row>
    <row r="10023" customFormat="false" ht="12.8" hidden="false" customHeight="false" outlineLevel="0" collapsed="false">
      <c r="A10023" s="0" t="s">
        <v>12</v>
      </c>
      <c r="B10023" s="0" t="n">
        <v>3147645</v>
      </c>
      <c r="C10023" s="0" t="n">
        <v>3147665</v>
      </c>
      <c r="D10023" s="0" t="s">
        <v>33290</v>
      </c>
      <c r="E10023" s="0" t="s">
        <v>75</v>
      </c>
      <c r="F10023" s="0" t="s">
        <v>15</v>
      </c>
      <c r="G10023" s="0" t="s">
        <v>16</v>
      </c>
      <c r="H10023" s="0" t="n">
        <v>136</v>
      </c>
      <c r="I10023" s="0" t="s">
        <v>33300</v>
      </c>
      <c r="J10023" s="0" t="s">
        <v>33301</v>
      </c>
      <c r="K10023" s="0" t="s">
        <v>33302</v>
      </c>
      <c r="L10023" s="0" t="str">
        <f aca="false">HYPERLINK("https://www.ncbi.nlm.nih.gov/nuccore/CP000058.1?report=graph&amp;tracks=[key:gene_model_track,Options:GeneOnly]&amp;mk=3147529:3147548|offset_19|444444,3147549:3147568|offset_39|444444,3147598:3147617|offset_88|444444,3147646:3147665|offset_136|00cc00&amp;v=3147328:3147865&amp;c=444444", "offset 136")</f>
        <v>offset 136</v>
      </c>
    </row>
    <row r="10024" customFormat="false" ht="12.8" hidden="false" customHeight="false" outlineLevel="0" collapsed="false">
      <c r="A10024" s="0" t="s">
        <v>12</v>
      </c>
      <c r="B10024" s="0" t="n">
        <v>3148468</v>
      </c>
      <c r="C10024" s="0" t="n">
        <v>3148488</v>
      </c>
      <c r="D10024" s="0" t="s">
        <v>33303</v>
      </c>
      <c r="E10024" s="0" t="s">
        <v>75</v>
      </c>
      <c r="F10024" s="0" t="s">
        <v>90</v>
      </c>
      <c r="G10024" s="0" t="s">
        <v>36</v>
      </c>
      <c r="H10024" s="0" t="n">
        <v>12</v>
      </c>
      <c r="I10024" s="0" t="s">
        <v>33304</v>
      </c>
      <c r="J10024" s="0" t="s">
        <v>33305</v>
      </c>
      <c r="K10024" s="0" t="s">
        <v>33306</v>
      </c>
      <c r="L10024" s="0" t="str">
        <f aca="false">HYPERLINK("https://www.ncbi.nlm.nih.gov/nuccore/CP000058.1?report=graph&amp;tracks=[key:gene_model_track,Options:GeneOnly]&amp;mk=3148469:3148488|offset_12|00cc00,3148417:3148436|offset_64|444444,3148388:3148407|offset_93|444444,3148356:3148375|offset_125|444444&amp;v=3148268:3148575&amp;c=444444", "offset 12")</f>
        <v>offset 12</v>
      </c>
    </row>
    <row r="10025" customFormat="false" ht="12.8" hidden="false" customHeight="false" outlineLevel="0" collapsed="false">
      <c r="A10025" s="0" t="s">
        <v>12</v>
      </c>
      <c r="B10025" s="0" t="n">
        <v>3148416</v>
      </c>
      <c r="C10025" s="0" t="n">
        <v>3148436</v>
      </c>
      <c r="D10025" s="0" t="s">
        <v>33303</v>
      </c>
      <c r="E10025" s="0" t="s">
        <v>75</v>
      </c>
      <c r="F10025" s="0" t="s">
        <v>90</v>
      </c>
      <c r="G10025" s="0" t="s">
        <v>16</v>
      </c>
      <c r="H10025" s="0" t="n">
        <v>64</v>
      </c>
      <c r="I10025" s="0" t="s">
        <v>33307</v>
      </c>
      <c r="J10025" s="0" t="s">
        <v>33308</v>
      </c>
      <c r="K10025" s="0" t="s">
        <v>33309</v>
      </c>
      <c r="L10025" s="0" t="str">
        <f aca="false">HYPERLINK("https://www.ncbi.nlm.nih.gov/nuccore/CP000058.1?report=graph&amp;tracks=[key:gene_model_track,Options:GeneOnly]&amp;mk=3148469:3148488|offset_12|444444,3148417:3148436|offset_64|00cc00,3148388:3148407|offset_93|444444,3148356:3148375|offset_125|444444&amp;v=3148268:3148575&amp;c=444444", "offset 64")</f>
        <v>offset 64</v>
      </c>
    </row>
    <row r="10026" customFormat="false" ht="12.8" hidden="false" customHeight="false" outlineLevel="0" collapsed="false">
      <c r="A10026" s="0" t="s">
        <v>12</v>
      </c>
      <c r="B10026" s="0" t="n">
        <v>3148387</v>
      </c>
      <c r="C10026" s="0" t="n">
        <v>3148407</v>
      </c>
      <c r="D10026" s="0" t="s">
        <v>33303</v>
      </c>
      <c r="E10026" s="0" t="s">
        <v>75</v>
      </c>
      <c r="F10026" s="0" t="s">
        <v>90</v>
      </c>
      <c r="G10026" s="0" t="s">
        <v>32</v>
      </c>
      <c r="H10026" s="0" t="n">
        <v>93</v>
      </c>
      <c r="I10026" s="0" t="s">
        <v>33310</v>
      </c>
      <c r="J10026" s="0" t="s">
        <v>33311</v>
      </c>
      <c r="K10026" s="0" t="s">
        <v>33312</v>
      </c>
      <c r="L10026" s="0" t="str">
        <f aca="false">HYPERLINK("https://www.ncbi.nlm.nih.gov/nuccore/CP000058.1?report=graph&amp;tracks=[key:gene_model_track,Options:GeneOnly]&amp;mk=3148469:3148488|offset_12|444444,3148417:3148436|offset_64|444444,3148388:3148407|offset_93|00cc00,3148356:3148375|offset_125|444444&amp;v=3148268:3148575&amp;c=444444", "offset 93")</f>
        <v>offset 93</v>
      </c>
    </row>
    <row r="10027" customFormat="false" ht="12.8" hidden="false" customHeight="false" outlineLevel="0" collapsed="false">
      <c r="A10027" s="0" t="s">
        <v>12</v>
      </c>
      <c r="B10027" s="0" t="n">
        <v>3148355</v>
      </c>
      <c r="C10027" s="0" t="n">
        <v>3148375</v>
      </c>
      <c r="D10027" s="0" t="s">
        <v>33303</v>
      </c>
      <c r="E10027" s="0" t="s">
        <v>75</v>
      </c>
      <c r="F10027" s="0" t="s">
        <v>90</v>
      </c>
      <c r="G10027" s="0" t="s">
        <v>20</v>
      </c>
      <c r="H10027" s="0" t="n">
        <v>125</v>
      </c>
      <c r="I10027" s="0" t="s">
        <v>33313</v>
      </c>
      <c r="J10027" s="0" t="s">
        <v>33314</v>
      </c>
      <c r="K10027" s="0" t="s">
        <v>33315</v>
      </c>
      <c r="L10027" s="0" t="str">
        <f aca="false">HYPERLINK("https://www.ncbi.nlm.nih.gov/nuccore/CP000058.1?report=graph&amp;tracks=[key:gene_model_track,Options:GeneOnly]&amp;mk=3148469:3148488|offset_12|444444,3148417:3148436|offset_64|444444,3148388:3148407|offset_93|444444,3148356:3148375|offset_125|00cc00&amp;v=3148268:3148575&amp;c=444444", "offset 125")</f>
        <v>offset 125</v>
      </c>
    </row>
    <row r="10028" customFormat="false" ht="12.8" hidden="false" customHeight="false" outlineLevel="0" collapsed="false">
      <c r="A10028" s="0" t="s">
        <v>12</v>
      </c>
      <c r="B10028" s="0" t="n">
        <v>3148664</v>
      </c>
      <c r="C10028" s="0" t="n">
        <v>3148684</v>
      </c>
      <c r="D10028" s="0" t="s">
        <v>33316</v>
      </c>
      <c r="E10028" s="0" t="s">
        <v>75</v>
      </c>
      <c r="F10028" s="0" t="s">
        <v>90</v>
      </c>
      <c r="G10028" s="0" t="s">
        <v>32</v>
      </c>
      <c r="H10028" s="0" t="n">
        <v>11</v>
      </c>
      <c r="I10028" s="0" t="s">
        <v>33317</v>
      </c>
      <c r="J10028" s="0" t="s">
        <v>33318</v>
      </c>
      <c r="K10028" s="0" t="s">
        <v>33319</v>
      </c>
      <c r="L10028" s="0" t="str">
        <f aca="false">HYPERLINK("https://www.ncbi.nlm.nih.gov/nuccore/CP000058.1?report=graph&amp;tracks=[key:gene_model_track,Options:GeneOnly]&amp;mk=3148665:3148684|offset_11|00cc00,3148630:3148649|offset_46|444444,3148576:3148595|offset_100|444444,3148555:3148574|offset_121|444444&amp;v=3148464:3148774&amp;c=444444", "offset 11")</f>
        <v>offset 11</v>
      </c>
    </row>
    <row r="10029" customFormat="false" ht="12.8" hidden="false" customHeight="false" outlineLevel="0" collapsed="false">
      <c r="A10029" s="0" t="s">
        <v>12</v>
      </c>
      <c r="B10029" s="0" t="n">
        <v>3148629</v>
      </c>
      <c r="C10029" s="0" t="n">
        <v>3148649</v>
      </c>
      <c r="D10029" s="0" t="s">
        <v>33316</v>
      </c>
      <c r="E10029" s="0" t="s">
        <v>75</v>
      </c>
      <c r="F10029" s="0" t="s">
        <v>90</v>
      </c>
      <c r="G10029" s="0" t="s">
        <v>32</v>
      </c>
      <c r="H10029" s="0" t="n">
        <v>46</v>
      </c>
      <c r="I10029" s="0" t="s">
        <v>33320</v>
      </c>
      <c r="J10029" s="0" t="s">
        <v>33321</v>
      </c>
      <c r="K10029" s="0" t="s">
        <v>33322</v>
      </c>
      <c r="L10029" s="0" t="str">
        <f aca="false">HYPERLINK("https://www.ncbi.nlm.nih.gov/nuccore/CP000058.1?report=graph&amp;tracks=[key:gene_model_track,Options:GeneOnly]&amp;mk=3148665:3148684|offset_11|444444,3148630:3148649|offset_46|00cc00,3148576:3148595|offset_100|444444,3148555:3148574|offset_121|444444&amp;v=3148464:3148774&amp;c=444444", "offset 46")</f>
        <v>offset 46</v>
      </c>
    </row>
    <row r="10030" customFormat="false" ht="12.8" hidden="false" customHeight="false" outlineLevel="0" collapsed="false">
      <c r="A10030" s="0" t="s">
        <v>12</v>
      </c>
      <c r="B10030" s="0" t="n">
        <v>3148575</v>
      </c>
      <c r="C10030" s="0" t="n">
        <v>3148595</v>
      </c>
      <c r="D10030" s="0" t="s">
        <v>33316</v>
      </c>
      <c r="E10030" s="0" t="s">
        <v>75</v>
      </c>
      <c r="F10030" s="0" t="s">
        <v>90</v>
      </c>
      <c r="G10030" s="0" t="s">
        <v>16</v>
      </c>
      <c r="H10030" s="0" t="n">
        <v>100</v>
      </c>
      <c r="I10030" s="0" t="s">
        <v>33323</v>
      </c>
      <c r="J10030" s="0" t="s">
        <v>33324</v>
      </c>
      <c r="K10030" s="0" t="s">
        <v>33325</v>
      </c>
      <c r="L10030" s="0" t="str">
        <f aca="false">HYPERLINK("https://www.ncbi.nlm.nih.gov/nuccore/CP000058.1?report=graph&amp;tracks=[key:gene_model_track,Options:GeneOnly]&amp;mk=3148665:3148684|offset_11|444444,3148630:3148649|offset_46|444444,3148576:3148595|offset_100|00cc00,3148555:3148574|offset_121|444444&amp;v=3148464:3148774&amp;c=444444", "offset 100")</f>
        <v>offset 100</v>
      </c>
    </row>
    <row r="10031" customFormat="false" ht="12.8" hidden="false" customHeight="false" outlineLevel="0" collapsed="false">
      <c r="A10031" s="0" t="s">
        <v>12</v>
      </c>
      <c r="B10031" s="0" t="n">
        <v>3148554</v>
      </c>
      <c r="C10031" s="0" t="n">
        <v>3148574</v>
      </c>
      <c r="D10031" s="0" t="s">
        <v>33316</v>
      </c>
      <c r="E10031" s="0" t="s">
        <v>75</v>
      </c>
      <c r="F10031" s="0" t="s">
        <v>90</v>
      </c>
      <c r="G10031" s="0" t="s">
        <v>16</v>
      </c>
      <c r="H10031" s="0" t="n">
        <v>121</v>
      </c>
      <c r="I10031" s="0" t="s">
        <v>33326</v>
      </c>
      <c r="J10031" s="0" t="s">
        <v>33327</v>
      </c>
      <c r="K10031" s="0" t="s">
        <v>33328</v>
      </c>
      <c r="L10031" s="0" t="str">
        <f aca="false">HYPERLINK("https://www.ncbi.nlm.nih.gov/nuccore/CP000058.1?report=graph&amp;tracks=[key:gene_model_track,Options:GeneOnly]&amp;mk=3148665:3148684|offset_11|444444,3148630:3148649|offset_46|444444,3148576:3148595|offset_100|444444,3148555:3148574|offset_121|00cc00&amp;v=3148464:3148774&amp;c=444444", "offset 121")</f>
        <v>offset 121</v>
      </c>
    </row>
    <row r="10032" customFormat="false" ht="12.8" hidden="false" customHeight="false" outlineLevel="0" collapsed="false">
      <c r="A10032" s="0" t="s">
        <v>12</v>
      </c>
      <c r="B10032" s="0" t="n">
        <v>3149492</v>
      </c>
      <c r="C10032" s="0" t="n">
        <v>3149512</v>
      </c>
      <c r="D10032" s="0" t="s">
        <v>33329</v>
      </c>
      <c r="E10032" s="0" t="s">
        <v>75</v>
      </c>
      <c r="F10032" s="0" t="s">
        <v>90</v>
      </c>
      <c r="G10032" s="0" t="s">
        <v>32</v>
      </c>
      <c r="H10032" s="0" t="n">
        <v>1</v>
      </c>
      <c r="I10032" s="0" t="s">
        <v>33330</v>
      </c>
      <c r="J10032" s="0" t="s">
        <v>33331</v>
      </c>
      <c r="K10032" s="0" t="s">
        <v>33332</v>
      </c>
      <c r="L10032" s="0" t="str">
        <f aca="false">HYPERLINK("https://www.ncbi.nlm.nih.gov/nuccore/CP000058.1?report=graph&amp;tracks=[key:gene_model_track,Options:GeneOnly]&amp;mk=3149493:3149512|offset_1|00cc00,3149472:3149491|offset_22|444444,3149448:3149467|offset_46|444444,3149424:3149443|offset_70|444444&amp;v=3149292:3149643&amp;c=444444", "offset 1")</f>
        <v>offset 1</v>
      </c>
    </row>
    <row r="10033" customFormat="false" ht="12.8" hidden="false" customHeight="false" outlineLevel="0" collapsed="false">
      <c r="A10033" s="0" t="s">
        <v>12</v>
      </c>
      <c r="B10033" s="0" t="n">
        <v>3149471</v>
      </c>
      <c r="C10033" s="0" t="n">
        <v>3149491</v>
      </c>
      <c r="D10033" s="0" t="s">
        <v>33329</v>
      </c>
      <c r="E10033" s="0" t="s">
        <v>75</v>
      </c>
      <c r="F10033" s="0" t="s">
        <v>90</v>
      </c>
      <c r="G10033" s="0" t="s">
        <v>36</v>
      </c>
      <c r="H10033" s="0" t="n">
        <v>22</v>
      </c>
      <c r="I10033" s="0" t="s">
        <v>33333</v>
      </c>
      <c r="J10033" s="0" t="s">
        <v>33334</v>
      </c>
      <c r="K10033" s="0" t="s">
        <v>33335</v>
      </c>
      <c r="L10033" s="0" t="str">
        <f aca="false">HYPERLINK("https://www.ncbi.nlm.nih.gov/nuccore/CP000058.1?report=graph&amp;tracks=[key:gene_model_track,Options:GeneOnly]&amp;mk=3149493:3149512|offset_1|444444,3149472:3149491|offset_22|00cc00,3149448:3149467|offset_46|444444,3149424:3149443|offset_70|444444&amp;v=3149292:3149643&amp;c=444444", "offset 22")</f>
        <v>offset 22</v>
      </c>
    </row>
    <row r="10034" customFormat="false" ht="12.8" hidden="false" customHeight="false" outlineLevel="0" collapsed="false">
      <c r="A10034" s="0" t="s">
        <v>12</v>
      </c>
      <c r="B10034" s="0" t="n">
        <v>3149447</v>
      </c>
      <c r="C10034" s="0" t="n">
        <v>3149467</v>
      </c>
      <c r="D10034" s="0" t="s">
        <v>33329</v>
      </c>
      <c r="E10034" s="0" t="s">
        <v>75</v>
      </c>
      <c r="F10034" s="0" t="s">
        <v>90</v>
      </c>
      <c r="G10034" s="0" t="s">
        <v>16</v>
      </c>
      <c r="H10034" s="0" t="n">
        <v>46</v>
      </c>
      <c r="I10034" s="0" t="s">
        <v>33336</v>
      </c>
      <c r="J10034" s="0" t="s">
        <v>33337</v>
      </c>
      <c r="K10034" s="0" t="s">
        <v>33338</v>
      </c>
      <c r="L10034" s="0" t="str">
        <f aca="false">HYPERLINK("https://www.ncbi.nlm.nih.gov/nuccore/CP000058.1?report=graph&amp;tracks=[key:gene_model_track,Options:GeneOnly]&amp;mk=3149493:3149512|offset_1|444444,3149472:3149491|offset_22|444444,3149448:3149467|offset_46|00cc00,3149424:3149443|offset_70|444444&amp;v=3149292:3149643&amp;c=444444", "offset 46")</f>
        <v>offset 46</v>
      </c>
    </row>
    <row r="10035" customFormat="false" ht="12.8" hidden="false" customHeight="false" outlineLevel="0" collapsed="false">
      <c r="A10035" s="0" t="s">
        <v>12</v>
      </c>
      <c r="B10035" s="0" t="n">
        <v>3149423</v>
      </c>
      <c r="C10035" s="0" t="n">
        <v>3149443</v>
      </c>
      <c r="D10035" s="0" t="s">
        <v>33329</v>
      </c>
      <c r="E10035" s="0" t="s">
        <v>75</v>
      </c>
      <c r="F10035" s="0" t="s">
        <v>90</v>
      </c>
      <c r="G10035" s="0" t="s">
        <v>32</v>
      </c>
      <c r="H10035" s="0" t="n">
        <v>70</v>
      </c>
      <c r="I10035" s="0" t="s">
        <v>33339</v>
      </c>
      <c r="J10035" s="0" t="s">
        <v>33340</v>
      </c>
      <c r="K10035" s="0" t="s">
        <v>33341</v>
      </c>
      <c r="L10035" s="0" t="str">
        <f aca="false">HYPERLINK("https://www.ncbi.nlm.nih.gov/nuccore/CP000058.1?report=graph&amp;tracks=[key:gene_model_track,Options:GeneOnly]&amp;mk=3149493:3149512|offset_1|444444,3149472:3149491|offset_22|444444,3149448:3149467|offset_46|444444,3149424:3149443|offset_70|00cc00&amp;v=3149292:3149643&amp;c=444444", "offset 70")</f>
        <v>offset 70</v>
      </c>
    </row>
    <row r="10036" customFormat="false" ht="12.8" hidden="false" customHeight="false" outlineLevel="0" collapsed="false">
      <c r="A10036" s="0" t="s">
        <v>12</v>
      </c>
      <c r="B10036" s="0" t="n">
        <v>3150490</v>
      </c>
      <c r="C10036" s="0" t="n">
        <v>3150510</v>
      </c>
      <c r="D10036" s="0" t="s">
        <v>33342</v>
      </c>
      <c r="E10036" s="0" t="s">
        <v>75</v>
      </c>
      <c r="F10036" s="0" t="s">
        <v>90</v>
      </c>
      <c r="G10036" s="0" t="s">
        <v>16</v>
      </c>
      <c r="H10036" s="0" t="n">
        <v>8</v>
      </c>
      <c r="I10036" s="0" t="s">
        <v>33343</v>
      </c>
      <c r="J10036" s="0" t="s">
        <v>33344</v>
      </c>
      <c r="K10036" s="0" t="s">
        <v>33345</v>
      </c>
      <c r="L10036" s="0" t="str">
        <f aca="false">HYPERLINK("https://www.ncbi.nlm.nih.gov/nuccore/CP000058.1?report=graph&amp;tracks=[key:gene_model_track,Options:GeneOnly]&amp;mk=3150491:3150510|offset_8|00cc00,3150470:3150489|offset_29|444444,3150428:3150447|offset_71|444444,3150400:3150419|offset_99|444444&amp;v=3150290:3150619&amp;c=444444", "offset 8")</f>
        <v>offset 8</v>
      </c>
    </row>
    <row r="10037" customFormat="false" ht="12.8" hidden="false" customHeight="false" outlineLevel="0" collapsed="false">
      <c r="A10037" s="0" t="s">
        <v>12</v>
      </c>
      <c r="B10037" s="0" t="n">
        <v>3150469</v>
      </c>
      <c r="C10037" s="0" t="n">
        <v>3150489</v>
      </c>
      <c r="D10037" s="0" t="s">
        <v>33342</v>
      </c>
      <c r="E10037" s="0" t="s">
        <v>75</v>
      </c>
      <c r="F10037" s="0" t="s">
        <v>90</v>
      </c>
      <c r="G10037" s="0" t="s">
        <v>32</v>
      </c>
      <c r="H10037" s="0" t="n">
        <v>29</v>
      </c>
      <c r="I10037" s="0" t="s">
        <v>33346</v>
      </c>
      <c r="J10037" s="0" t="s">
        <v>33347</v>
      </c>
      <c r="K10037" s="0" t="s">
        <v>33348</v>
      </c>
      <c r="L10037" s="0" t="str">
        <f aca="false">HYPERLINK("https://www.ncbi.nlm.nih.gov/nuccore/CP000058.1?report=graph&amp;tracks=[key:gene_model_track,Options:GeneOnly]&amp;mk=3150491:3150510|offset_8|444444,3150470:3150489|offset_29|00cc00,3150428:3150447|offset_71|444444,3150400:3150419|offset_99|444444&amp;v=3150290:3150619&amp;c=444444", "offset 29")</f>
        <v>offset 29</v>
      </c>
    </row>
    <row r="10038" customFormat="false" ht="12.8" hidden="false" customHeight="false" outlineLevel="0" collapsed="false">
      <c r="A10038" s="0" t="s">
        <v>12</v>
      </c>
      <c r="B10038" s="0" t="n">
        <v>3150427</v>
      </c>
      <c r="C10038" s="0" t="n">
        <v>3150447</v>
      </c>
      <c r="D10038" s="0" t="s">
        <v>33342</v>
      </c>
      <c r="E10038" s="0" t="s">
        <v>75</v>
      </c>
      <c r="F10038" s="0" t="s">
        <v>90</v>
      </c>
      <c r="G10038" s="0" t="s">
        <v>36</v>
      </c>
      <c r="H10038" s="0" t="n">
        <v>71</v>
      </c>
      <c r="I10038" s="0" t="s">
        <v>33349</v>
      </c>
      <c r="J10038" s="0" t="s">
        <v>33350</v>
      </c>
      <c r="K10038" s="0" t="s">
        <v>33351</v>
      </c>
      <c r="L10038" s="0" t="str">
        <f aca="false">HYPERLINK("https://www.ncbi.nlm.nih.gov/nuccore/CP000058.1?report=graph&amp;tracks=[key:gene_model_track,Options:GeneOnly]&amp;mk=3150491:3150510|offset_8|444444,3150470:3150489|offset_29|444444,3150428:3150447|offset_71|00cc00,3150400:3150419|offset_99|444444&amp;v=3150290:3150619&amp;c=444444", "offset 71")</f>
        <v>offset 71</v>
      </c>
    </row>
    <row r="10039" customFormat="false" ht="12.8" hidden="false" customHeight="false" outlineLevel="0" collapsed="false">
      <c r="A10039" s="0" t="s">
        <v>12</v>
      </c>
      <c r="B10039" s="0" t="n">
        <v>3150399</v>
      </c>
      <c r="C10039" s="0" t="n">
        <v>3150419</v>
      </c>
      <c r="D10039" s="0" t="s">
        <v>33342</v>
      </c>
      <c r="E10039" s="0" t="s">
        <v>75</v>
      </c>
      <c r="F10039" s="0" t="s">
        <v>90</v>
      </c>
      <c r="G10039" s="0" t="s">
        <v>32</v>
      </c>
      <c r="H10039" s="0" t="n">
        <v>99</v>
      </c>
      <c r="I10039" s="0" t="s">
        <v>33352</v>
      </c>
      <c r="J10039" s="0" t="s">
        <v>33353</v>
      </c>
      <c r="K10039" s="0" t="s">
        <v>33354</v>
      </c>
      <c r="L10039" s="0" t="str">
        <f aca="false">HYPERLINK("https://www.ncbi.nlm.nih.gov/nuccore/CP000058.1?report=graph&amp;tracks=[key:gene_model_track,Options:GeneOnly]&amp;mk=3150491:3150510|offset_8|444444,3150470:3150489|offset_29|444444,3150428:3150447|offset_71|444444,3150400:3150419|offset_99|00cc00&amp;v=3150290:3150619&amp;c=444444", "offset 99")</f>
        <v>offset 99</v>
      </c>
    </row>
    <row r="10040" customFormat="false" ht="12.8" hidden="false" customHeight="false" outlineLevel="0" collapsed="false">
      <c r="A10040" s="0" t="s">
        <v>12</v>
      </c>
      <c r="B10040" s="0" t="n">
        <v>3151596</v>
      </c>
      <c r="C10040" s="0" t="n">
        <v>3151616</v>
      </c>
      <c r="D10040" s="0" t="s">
        <v>33355</v>
      </c>
      <c r="E10040" s="0" t="s">
        <v>75</v>
      </c>
      <c r="F10040" s="0" t="s">
        <v>90</v>
      </c>
      <c r="G10040" s="0" t="s">
        <v>32</v>
      </c>
      <c r="H10040" s="0" t="n">
        <v>1</v>
      </c>
      <c r="I10040" s="0" t="s">
        <v>33356</v>
      </c>
      <c r="J10040" s="0" t="s">
        <v>33357</v>
      </c>
      <c r="K10040" s="0" t="s">
        <v>33358</v>
      </c>
      <c r="L10040" s="0" t="str">
        <f aca="false">HYPERLINK("https://www.ncbi.nlm.nih.gov/nuccore/CP000058.1?report=graph&amp;tracks=[key:gene_model_track,Options:GeneOnly]&amp;mk=3151597:3151616|offset_1|00cc00,3151572:3151591|offset_26|444444,3151549:3151568|offset_49|444444,3151526:3151545|offset_72|444444&amp;v=3151396:3151745&amp;c=444444", "offset 1")</f>
        <v>offset 1</v>
      </c>
    </row>
    <row r="10041" customFormat="false" ht="12.8" hidden="false" customHeight="false" outlineLevel="0" collapsed="false">
      <c r="A10041" s="0" t="s">
        <v>12</v>
      </c>
      <c r="B10041" s="0" t="n">
        <v>3151571</v>
      </c>
      <c r="C10041" s="0" t="n">
        <v>3151591</v>
      </c>
      <c r="D10041" s="0" t="s">
        <v>33355</v>
      </c>
      <c r="E10041" s="0" t="s">
        <v>75</v>
      </c>
      <c r="F10041" s="0" t="s">
        <v>90</v>
      </c>
      <c r="G10041" s="0" t="s">
        <v>36</v>
      </c>
      <c r="H10041" s="0" t="n">
        <v>26</v>
      </c>
      <c r="I10041" s="0" t="s">
        <v>33359</v>
      </c>
      <c r="J10041" s="0" t="s">
        <v>33360</v>
      </c>
      <c r="K10041" s="0" t="s">
        <v>33361</v>
      </c>
      <c r="L10041" s="0" t="str">
        <f aca="false">HYPERLINK("https://www.ncbi.nlm.nih.gov/nuccore/CP000058.1?report=graph&amp;tracks=[key:gene_model_track,Options:GeneOnly]&amp;mk=3151597:3151616|offset_1|444444,3151572:3151591|offset_26|00cc00,3151549:3151568|offset_49|444444,3151526:3151545|offset_72|444444&amp;v=3151396:3151745&amp;c=444444", "offset 26")</f>
        <v>offset 26</v>
      </c>
    </row>
    <row r="10042" customFormat="false" ht="12.8" hidden="false" customHeight="false" outlineLevel="0" collapsed="false">
      <c r="A10042" s="0" t="s">
        <v>12</v>
      </c>
      <c r="B10042" s="0" t="n">
        <v>3151548</v>
      </c>
      <c r="C10042" s="0" t="n">
        <v>3151568</v>
      </c>
      <c r="D10042" s="0" t="s">
        <v>33355</v>
      </c>
      <c r="E10042" s="0" t="s">
        <v>75</v>
      </c>
      <c r="F10042" s="0" t="s">
        <v>90</v>
      </c>
      <c r="G10042" s="0" t="s">
        <v>16</v>
      </c>
      <c r="H10042" s="0" t="n">
        <v>49</v>
      </c>
      <c r="I10042" s="0" t="s">
        <v>33362</v>
      </c>
      <c r="J10042" s="0" t="s">
        <v>33363</v>
      </c>
      <c r="K10042" s="0" t="s">
        <v>33364</v>
      </c>
      <c r="L10042" s="0" t="str">
        <f aca="false">HYPERLINK("https://www.ncbi.nlm.nih.gov/nuccore/CP000058.1?report=graph&amp;tracks=[key:gene_model_track,Options:GeneOnly]&amp;mk=3151597:3151616|offset_1|444444,3151572:3151591|offset_26|444444,3151549:3151568|offset_49|00cc00,3151526:3151545|offset_72|444444&amp;v=3151396:3151745&amp;c=444444", "offset 49")</f>
        <v>offset 49</v>
      </c>
    </row>
    <row r="10043" customFormat="false" ht="12.8" hidden="false" customHeight="false" outlineLevel="0" collapsed="false">
      <c r="A10043" s="0" t="s">
        <v>12</v>
      </c>
      <c r="B10043" s="0" t="n">
        <v>3151525</v>
      </c>
      <c r="C10043" s="0" t="n">
        <v>3151545</v>
      </c>
      <c r="D10043" s="0" t="s">
        <v>33355</v>
      </c>
      <c r="E10043" s="0" t="s">
        <v>75</v>
      </c>
      <c r="F10043" s="0" t="s">
        <v>90</v>
      </c>
      <c r="G10043" s="0" t="s">
        <v>36</v>
      </c>
      <c r="H10043" s="0" t="n">
        <v>72</v>
      </c>
      <c r="I10043" s="0" t="s">
        <v>33365</v>
      </c>
      <c r="J10043" s="0" t="s">
        <v>33366</v>
      </c>
      <c r="K10043" s="0" t="s">
        <v>33367</v>
      </c>
      <c r="L10043" s="0" t="str">
        <f aca="false">HYPERLINK("https://www.ncbi.nlm.nih.gov/nuccore/CP000058.1?report=graph&amp;tracks=[key:gene_model_track,Options:GeneOnly]&amp;mk=3151597:3151616|offset_1|444444,3151572:3151591|offset_26|444444,3151549:3151568|offset_49|444444,3151526:3151545|offset_72|00cc00&amp;v=3151396:3151745&amp;c=444444", "offset 72")</f>
        <v>offset 72</v>
      </c>
    </row>
    <row r="10044" customFormat="false" ht="12.8" hidden="false" customHeight="false" outlineLevel="0" collapsed="false">
      <c r="A10044" s="0" t="s">
        <v>12</v>
      </c>
      <c r="B10044" s="0" t="n">
        <v>3152414</v>
      </c>
      <c r="C10044" s="0" t="n">
        <v>3152434</v>
      </c>
      <c r="D10044" s="0" t="s">
        <v>33368</v>
      </c>
      <c r="E10044" s="0" t="s">
        <v>75</v>
      </c>
      <c r="F10044" s="0" t="s">
        <v>90</v>
      </c>
      <c r="G10044" s="0" t="s">
        <v>20</v>
      </c>
      <c r="H10044" s="0" t="n">
        <v>25</v>
      </c>
      <c r="I10044" s="0" t="s">
        <v>33369</v>
      </c>
      <c r="J10044" s="0" t="s">
        <v>33370</v>
      </c>
      <c r="K10044" s="0" t="s">
        <v>33371</v>
      </c>
      <c r="L10044" s="0" t="str">
        <f aca="false">HYPERLINK("https://www.ncbi.nlm.nih.gov/nuccore/CP000058.1?report=graph&amp;tracks=[key:gene_model_track,Options:GeneOnly]&amp;mk=3152415:3152434|offset_25|00cc00,3152382:3152401|offset_58|444444,3152355:3152374|offset_85|444444,3152306:3152325|offset_134|444444&amp;v=3152214:3152525&amp;c=444444", "offset 25")</f>
        <v>offset 25</v>
      </c>
    </row>
    <row r="10045" customFormat="false" ht="12.8" hidden="false" customHeight="false" outlineLevel="0" collapsed="false">
      <c r="A10045" s="0" t="s">
        <v>12</v>
      </c>
      <c r="B10045" s="0" t="n">
        <v>3152381</v>
      </c>
      <c r="C10045" s="0" t="n">
        <v>3152401</v>
      </c>
      <c r="D10045" s="0" t="s">
        <v>33368</v>
      </c>
      <c r="E10045" s="0" t="s">
        <v>75</v>
      </c>
      <c r="F10045" s="0" t="s">
        <v>90</v>
      </c>
      <c r="G10045" s="0" t="s">
        <v>16</v>
      </c>
      <c r="H10045" s="0" t="n">
        <v>58</v>
      </c>
      <c r="I10045" s="0" t="s">
        <v>33372</v>
      </c>
      <c r="J10045" s="0" t="s">
        <v>33373</v>
      </c>
      <c r="K10045" s="0" t="s">
        <v>33374</v>
      </c>
      <c r="L10045" s="0" t="str">
        <f aca="false">HYPERLINK("https://www.ncbi.nlm.nih.gov/nuccore/CP000058.1?report=graph&amp;tracks=[key:gene_model_track,Options:GeneOnly]&amp;mk=3152415:3152434|offset_25|444444,3152382:3152401|offset_58|00cc00,3152355:3152374|offset_85|444444,3152306:3152325|offset_134|444444&amp;v=3152214:3152525&amp;c=444444", "offset 58")</f>
        <v>offset 58</v>
      </c>
    </row>
    <row r="10046" customFormat="false" ht="12.8" hidden="false" customHeight="false" outlineLevel="0" collapsed="false">
      <c r="A10046" s="0" t="s">
        <v>12</v>
      </c>
      <c r="B10046" s="0" t="n">
        <v>3152354</v>
      </c>
      <c r="C10046" s="0" t="n">
        <v>3152374</v>
      </c>
      <c r="D10046" s="0" t="s">
        <v>33368</v>
      </c>
      <c r="E10046" s="0" t="s">
        <v>75</v>
      </c>
      <c r="F10046" s="0" t="s">
        <v>90</v>
      </c>
      <c r="G10046" s="0" t="s">
        <v>20</v>
      </c>
      <c r="H10046" s="0" t="n">
        <v>85</v>
      </c>
      <c r="I10046" s="0" t="s">
        <v>33375</v>
      </c>
      <c r="J10046" s="0" t="s">
        <v>33376</v>
      </c>
      <c r="K10046" s="0" t="s">
        <v>33377</v>
      </c>
      <c r="L10046" s="0" t="str">
        <f aca="false">HYPERLINK("https://www.ncbi.nlm.nih.gov/nuccore/CP000058.1?report=graph&amp;tracks=[key:gene_model_track,Options:GeneOnly]&amp;mk=3152415:3152434|offset_25|444444,3152382:3152401|offset_58|444444,3152355:3152374|offset_85|00cc00,3152306:3152325|offset_134|444444&amp;v=3152214:3152525&amp;c=444444", "offset 85")</f>
        <v>offset 85</v>
      </c>
    </row>
    <row r="10047" customFormat="false" ht="12.8" hidden="false" customHeight="false" outlineLevel="0" collapsed="false">
      <c r="A10047" s="0" t="s">
        <v>12</v>
      </c>
      <c r="B10047" s="0" t="n">
        <v>3152305</v>
      </c>
      <c r="C10047" s="0" t="n">
        <v>3152325</v>
      </c>
      <c r="D10047" s="0" t="s">
        <v>33368</v>
      </c>
      <c r="E10047" s="0" t="s">
        <v>75</v>
      </c>
      <c r="F10047" s="0" t="s">
        <v>90</v>
      </c>
      <c r="G10047" s="0" t="s">
        <v>16</v>
      </c>
      <c r="H10047" s="0" t="n">
        <v>134</v>
      </c>
      <c r="I10047" s="0" t="s">
        <v>33378</v>
      </c>
      <c r="J10047" s="0" t="s">
        <v>33379</v>
      </c>
      <c r="K10047" s="0" t="s">
        <v>33380</v>
      </c>
      <c r="L10047" s="0" t="str">
        <f aca="false">HYPERLINK("https://www.ncbi.nlm.nih.gov/nuccore/CP000058.1?report=graph&amp;tracks=[key:gene_model_track,Options:GeneOnly]&amp;mk=3152415:3152434|offset_25|444444,3152382:3152401|offset_58|444444,3152355:3152374|offset_85|444444,3152306:3152325|offset_134|00cc00&amp;v=3152214:3152525&amp;c=444444", "offset 134")</f>
        <v>offset 134</v>
      </c>
    </row>
    <row r="10048" customFormat="false" ht="12.8" hidden="false" customHeight="false" outlineLevel="0" collapsed="false">
      <c r="A10048" s="0" t="s">
        <v>12</v>
      </c>
      <c r="B10048" s="0" t="n">
        <v>3153655</v>
      </c>
      <c r="C10048" s="0" t="n">
        <v>3153675</v>
      </c>
      <c r="D10048" s="0" t="s">
        <v>33381</v>
      </c>
      <c r="E10048" s="0" t="s">
        <v>75</v>
      </c>
      <c r="F10048" s="0" t="s">
        <v>90</v>
      </c>
      <c r="G10048" s="0" t="s">
        <v>36</v>
      </c>
      <c r="H10048" s="0" t="n">
        <v>19</v>
      </c>
      <c r="I10048" s="0" t="s">
        <v>33382</v>
      </c>
      <c r="J10048" s="0" t="s">
        <v>33383</v>
      </c>
      <c r="K10048" s="0" t="s">
        <v>33384</v>
      </c>
      <c r="L10048" s="0" t="str">
        <f aca="false">HYPERLINK("https://www.ncbi.nlm.nih.gov/nuccore/CP000058.1?report=graph&amp;tracks=[key:gene_model_track,Options:GeneOnly]&amp;mk=3153656:3153675|offset_19|00cc00,3153632:3153651|offset_43|444444,3153611:3153630|offset_64|444444,3153590:3153609|offset_85|444444&amp;v=3153455:3153809&amp;c=444444", "offset 19")</f>
        <v>offset 19</v>
      </c>
    </row>
    <row r="10049" customFormat="false" ht="12.8" hidden="false" customHeight="false" outlineLevel="0" collapsed="false">
      <c r="A10049" s="0" t="s">
        <v>12</v>
      </c>
      <c r="B10049" s="0" t="n">
        <v>3153631</v>
      </c>
      <c r="C10049" s="0" t="n">
        <v>3153651</v>
      </c>
      <c r="D10049" s="0" t="s">
        <v>33381</v>
      </c>
      <c r="E10049" s="0" t="s">
        <v>75</v>
      </c>
      <c r="F10049" s="0" t="s">
        <v>90</v>
      </c>
      <c r="G10049" s="0" t="s">
        <v>36</v>
      </c>
      <c r="H10049" s="0" t="n">
        <v>43</v>
      </c>
      <c r="I10049" s="0" t="s">
        <v>33385</v>
      </c>
      <c r="J10049" s="0" t="s">
        <v>33386</v>
      </c>
      <c r="K10049" s="0" t="s">
        <v>33387</v>
      </c>
      <c r="L10049" s="0" t="str">
        <f aca="false">HYPERLINK("https://www.ncbi.nlm.nih.gov/nuccore/CP000058.1?report=graph&amp;tracks=[key:gene_model_track,Options:GeneOnly]&amp;mk=3153656:3153675|offset_19|444444,3153632:3153651|offset_43|00cc00,3153611:3153630|offset_64|444444,3153590:3153609|offset_85|444444&amp;v=3153455:3153809&amp;c=444444", "offset 43")</f>
        <v>offset 43</v>
      </c>
    </row>
    <row r="10050" customFormat="false" ht="12.8" hidden="false" customHeight="false" outlineLevel="0" collapsed="false">
      <c r="A10050" s="0" t="s">
        <v>12</v>
      </c>
      <c r="B10050" s="0" t="n">
        <v>3153610</v>
      </c>
      <c r="C10050" s="0" t="n">
        <v>3153630</v>
      </c>
      <c r="D10050" s="0" t="s">
        <v>33381</v>
      </c>
      <c r="E10050" s="0" t="s">
        <v>75</v>
      </c>
      <c r="F10050" s="0" t="s">
        <v>90</v>
      </c>
      <c r="G10050" s="0" t="s">
        <v>36</v>
      </c>
      <c r="H10050" s="0" t="n">
        <v>64</v>
      </c>
      <c r="I10050" s="0" t="s">
        <v>33388</v>
      </c>
      <c r="J10050" s="0" t="s">
        <v>33389</v>
      </c>
      <c r="K10050" s="0" t="s">
        <v>33390</v>
      </c>
      <c r="L10050" s="0" t="str">
        <f aca="false">HYPERLINK("https://www.ncbi.nlm.nih.gov/nuccore/CP000058.1?report=graph&amp;tracks=[key:gene_model_track,Options:GeneOnly]&amp;mk=3153656:3153675|offset_19|444444,3153632:3153651|offset_43|444444,3153611:3153630|offset_64|00cc00,3153590:3153609|offset_85|444444&amp;v=3153455:3153809&amp;c=444444", "offset 64")</f>
        <v>offset 64</v>
      </c>
    </row>
    <row r="10051" customFormat="false" ht="12.8" hidden="false" customHeight="false" outlineLevel="0" collapsed="false">
      <c r="A10051" s="0" t="s">
        <v>12</v>
      </c>
      <c r="B10051" s="0" t="n">
        <v>3153589</v>
      </c>
      <c r="C10051" s="0" t="n">
        <v>3153609</v>
      </c>
      <c r="D10051" s="0" t="s">
        <v>33381</v>
      </c>
      <c r="E10051" s="0" t="s">
        <v>75</v>
      </c>
      <c r="F10051" s="0" t="s">
        <v>90</v>
      </c>
      <c r="G10051" s="0" t="s">
        <v>20</v>
      </c>
      <c r="H10051" s="0" t="n">
        <v>85</v>
      </c>
      <c r="I10051" s="0" t="s">
        <v>33391</v>
      </c>
      <c r="J10051" s="0" t="s">
        <v>33392</v>
      </c>
      <c r="K10051" s="0" t="s">
        <v>33393</v>
      </c>
      <c r="L10051" s="0" t="str">
        <f aca="false">HYPERLINK("https://www.ncbi.nlm.nih.gov/nuccore/CP000058.1?report=graph&amp;tracks=[key:gene_model_track,Options:GeneOnly]&amp;mk=3153656:3153675|offset_19|444444,3153632:3153651|offset_43|444444,3153611:3153630|offset_64|444444,3153590:3153609|offset_85|00cc00&amp;v=3153455:3153809&amp;c=444444", "offset 85")</f>
        <v>offset 85</v>
      </c>
    </row>
    <row r="10052" customFormat="false" ht="12.8" hidden="false" customHeight="false" outlineLevel="0" collapsed="false">
      <c r="A10052" s="0" t="s">
        <v>12</v>
      </c>
      <c r="B10052" s="0" t="n">
        <v>3155583</v>
      </c>
      <c r="C10052" s="0" t="n">
        <v>3155603</v>
      </c>
      <c r="D10052" s="0" t="s">
        <v>33394</v>
      </c>
      <c r="E10052" s="0" t="s">
        <v>75</v>
      </c>
      <c r="F10052" s="0" t="s">
        <v>90</v>
      </c>
      <c r="G10052" s="0" t="s">
        <v>36</v>
      </c>
      <c r="H10052" s="0" t="n">
        <v>18</v>
      </c>
      <c r="I10052" s="0" t="s">
        <v>33395</v>
      </c>
      <c r="J10052" s="0" t="s">
        <v>33396</v>
      </c>
      <c r="K10052" s="0" t="s">
        <v>33397</v>
      </c>
      <c r="L10052" s="0" t="str">
        <f aca="false">HYPERLINK("https://www.ncbi.nlm.nih.gov/nuccore/CP000058.1?report=graph&amp;tracks=[key:gene_model_track,Options:GeneOnly]&amp;mk=3155584:3155603|offset_18|00cc00,3155550:3155569|offset_52|444444,3155489:3155508|offset_113|444444,3155463:3155482|offset_139|444444&amp;v=3155383:3155682&amp;c=444444", "offset 18")</f>
        <v>offset 18</v>
      </c>
    </row>
    <row r="10053" customFormat="false" ht="12.8" hidden="false" customHeight="false" outlineLevel="0" collapsed="false">
      <c r="A10053" s="0" t="s">
        <v>12</v>
      </c>
      <c r="B10053" s="0" t="n">
        <v>3155549</v>
      </c>
      <c r="C10053" s="0" t="n">
        <v>3155569</v>
      </c>
      <c r="D10053" s="0" t="s">
        <v>33394</v>
      </c>
      <c r="E10053" s="0" t="s">
        <v>75</v>
      </c>
      <c r="F10053" s="0" t="s">
        <v>90</v>
      </c>
      <c r="G10053" s="0" t="s">
        <v>36</v>
      </c>
      <c r="H10053" s="0" t="n">
        <v>52</v>
      </c>
      <c r="I10053" s="0" t="s">
        <v>33398</v>
      </c>
      <c r="J10053" s="0" t="s">
        <v>33399</v>
      </c>
      <c r="K10053" s="0" t="s">
        <v>33400</v>
      </c>
      <c r="L10053" s="0" t="str">
        <f aca="false">HYPERLINK("https://www.ncbi.nlm.nih.gov/nuccore/CP000058.1?report=graph&amp;tracks=[key:gene_model_track,Options:GeneOnly]&amp;mk=3155584:3155603|offset_18|444444,3155550:3155569|offset_52|00cc00,3155489:3155508|offset_113|444444,3155463:3155482|offset_139|444444&amp;v=3155383:3155682&amp;c=444444", "offset 52")</f>
        <v>offset 52</v>
      </c>
    </row>
    <row r="10054" customFormat="false" ht="12.8" hidden="false" customHeight="false" outlineLevel="0" collapsed="false">
      <c r="A10054" s="0" t="s">
        <v>12</v>
      </c>
      <c r="B10054" s="0" t="n">
        <v>3155488</v>
      </c>
      <c r="C10054" s="0" t="n">
        <v>3155508</v>
      </c>
      <c r="D10054" s="0" t="s">
        <v>33394</v>
      </c>
      <c r="E10054" s="0" t="s">
        <v>75</v>
      </c>
      <c r="F10054" s="0" t="s">
        <v>90</v>
      </c>
      <c r="G10054" s="0" t="s">
        <v>16</v>
      </c>
      <c r="H10054" s="0" t="n">
        <v>113</v>
      </c>
      <c r="I10054" s="0" t="s">
        <v>33401</v>
      </c>
      <c r="J10054" s="0" t="s">
        <v>33402</v>
      </c>
      <c r="K10054" s="0" t="s">
        <v>33403</v>
      </c>
      <c r="L10054" s="0" t="str">
        <f aca="false">HYPERLINK("https://www.ncbi.nlm.nih.gov/nuccore/CP000058.1?report=graph&amp;tracks=[key:gene_model_track,Options:GeneOnly]&amp;mk=3155584:3155603|offset_18|444444,3155550:3155569|offset_52|444444,3155489:3155508|offset_113|00cc00,3155463:3155482|offset_139|444444&amp;v=3155383:3155682&amp;c=444444", "offset 113")</f>
        <v>offset 113</v>
      </c>
    </row>
    <row r="10055" customFormat="false" ht="12.8" hidden="false" customHeight="false" outlineLevel="0" collapsed="false">
      <c r="A10055" s="0" t="s">
        <v>12</v>
      </c>
      <c r="B10055" s="0" t="n">
        <v>3155462</v>
      </c>
      <c r="C10055" s="0" t="n">
        <v>3155482</v>
      </c>
      <c r="D10055" s="0" t="s">
        <v>33394</v>
      </c>
      <c r="E10055" s="0" t="s">
        <v>75</v>
      </c>
      <c r="F10055" s="0" t="s">
        <v>90</v>
      </c>
      <c r="G10055" s="0" t="s">
        <v>16</v>
      </c>
      <c r="H10055" s="0" t="n">
        <v>139</v>
      </c>
      <c r="I10055" s="0" t="s">
        <v>33404</v>
      </c>
      <c r="J10055" s="0" t="s">
        <v>33405</v>
      </c>
      <c r="K10055" s="0" t="s">
        <v>33406</v>
      </c>
      <c r="L10055" s="0" t="str">
        <f aca="false">HYPERLINK("https://www.ncbi.nlm.nih.gov/nuccore/CP000058.1?report=graph&amp;tracks=[key:gene_model_track,Options:GeneOnly]&amp;mk=3155584:3155603|offset_18|444444,3155550:3155569|offset_52|444444,3155489:3155508|offset_113|444444,3155463:3155482|offset_139|00cc00&amp;v=3155383:3155682&amp;c=444444", "offset 139")</f>
        <v>offset 139</v>
      </c>
    </row>
    <row r="10056" customFormat="false" ht="12.8" hidden="false" customHeight="false" outlineLevel="0" collapsed="false">
      <c r="A10056" s="0" t="s">
        <v>12</v>
      </c>
      <c r="B10056" s="0" t="n">
        <v>3163034</v>
      </c>
      <c r="C10056" s="0" t="n">
        <v>3163054</v>
      </c>
      <c r="D10056" s="0" t="s">
        <v>33407</v>
      </c>
      <c r="E10056" s="0" t="s">
        <v>75</v>
      </c>
      <c r="F10056" s="0" t="s">
        <v>90</v>
      </c>
      <c r="G10056" s="0" t="s">
        <v>32</v>
      </c>
      <c r="H10056" s="0" t="n">
        <v>6</v>
      </c>
      <c r="I10056" s="0" t="s">
        <v>33408</v>
      </c>
      <c r="J10056" s="0" t="s">
        <v>33409</v>
      </c>
      <c r="K10056" s="0" t="s">
        <v>33410</v>
      </c>
      <c r="L10056" s="0" t="str">
        <f aca="false">HYPERLINK("https://www.ncbi.nlm.nih.gov/nuccore/CP000058.1?report=graph&amp;tracks=[key:gene_model_track,Options:GeneOnly]&amp;mk=3163035:3163054|offset_6|00cc00,3162998:3163017|offset_43|444444,3162974:3162993|offset_67|444444,3162938:3162957|offset_103|444444&amp;v=3162834:3163157&amp;c=444444", "offset 6")</f>
        <v>offset 6</v>
      </c>
    </row>
    <row r="10057" customFormat="false" ht="12.8" hidden="false" customHeight="false" outlineLevel="0" collapsed="false">
      <c r="A10057" s="0" t="s">
        <v>12</v>
      </c>
      <c r="B10057" s="0" t="n">
        <v>3162997</v>
      </c>
      <c r="C10057" s="0" t="n">
        <v>3163017</v>
      </c>
      <c r="D10057" s="0" t="s">
        <v>33407</v>
      </c>
      <c r="E10057" s="0" t="s">
        <v>75</v>
      </c>
      <c r="F10057" s="0" t="s">
        <v>90</v>
      </c>
      <c r="G10057" s="0" t="s">
        <v>32</v>
      </c>
      <c r="H10057" s="0" t="n">
        <v>43</v>
      </c>
      <c r="I10057" s="0" t="s">
        <v>33411</v>
      </c>
      <c r="J10057" s="0" t="s">
        <v>33412</v>
      </c>
      <c r="K10057" s="0" t="s">
        <v>33413</v>
      </c>
      <c r="L10057" s="0" t="str">
        <f aca="false">HYPERLINK("https://www.ncbi.nlm.nih.gov/nuccore/CP000058.1?report=graph&amp;tracks=[key:gene_model_track,Options:GeneOnly]&amp;mk=3163035:3163054|offset_6|444444,3162998:3163017|offset_43|00cc00,3162974:3162993|offset_67|444444,3162938:3162957|offset_103|444444&amp;v=3162834:3163157&amp;c=444444", "offset 43")</f>
        <v>offset 43</v>
      </c>
    </row>
    <row r="10058" customFormat="false" ht="12.8" hidden="false" customHeight="false" outlineLevel="0" collapsed="false">
      <c r="A10058" s="0" t="s">
        <v>12</v>
      </c>
      <c r="B10058" s="0" t="n">
        <v>3162973</v>
      </c>
      <c r="C10058" s="0" t="n">
        <v>3162993</v>
      </c>
      <c r="D10058" s="0" t="s">
        <v>33407</v>
      </c>
      <c r="E10058" s="0" t="s">
        <v>75</v>
      </c>
      <c r="F10058" s="0" t="s">
        <v>90</v>
      </c>
      <c r="G10058" s="0" t="s">
        <v>32</v>
      </c>
      <c r="H10058" s="0" t="n">
        <v>67</v>
      </c>
      <c r="I10058" s="0" t="s">
        <v>33414</v>
      </c>
      <c r="J10058" s="0" t="s">
        <v>33415</v>
      </c>
      <c r="K10058" s="0" t="s">
        <v>33416</v>
      </c>
      <c r="L10058" s="0" t="str">
        <f aca="false">HYPERLINK("https://www.ncbi.nlm.nih.gov/nuccore/CP000058.1?report=graph&amp;tracks=[key:gene_model_track,Options:GeneOnly]&amp;mk=3163035:3163054|offset_6|444444,3162998:3163017|offset_43|444444,3162974:3162993|offset_67|00cc00,3162938:3162957|offset_103|444444&amp;v=3162834:3163157&amp;c=444444", "offset 67")</f>
        <v>offset 67</v>
      </c>
    </row>
    <row r="10059" customFormat="false" ht="12.8" hidden="false" customHeight="false" outlineLevel="0" collapsed="false">
      <c r="A10059" s="0" t="s">
        <v>12</v>
      </c>
      <c r="B10059" s="0" t="n">
        <v>3162937</v>
      </c>
      <c r="C10059" s="0" t="n">
        <v>3162957</v>
      </c>
      <c r="D10059" s="0" t="s">
        <v>33407</v>
      </c>
      <c r="E10059" s="0" t="s">
        <v>75</v>
      </c>
      <c r="F10059" s="0" t="s">
        <v>90</v>
      </c>
      <c r="G10059" s="0" t="s">
        <v>16</v>
      </c>
      <c r="H10059" s="0" t="n">
        <v>103</v>
      </c>
      <c r="I10059" s="0" t="s">
        <v>33417</v>
      </c>
      <c r="J10059" s="0" t="s">
        <v>33418</v>
      </c>
      <c r="K10059" s="0" t="s">
        <v>33419</v>
      </c>
      <c r="L10059" s="0" t="str">
        <f aca="false">HYPERLINK("https://www.ncbi.nlm.nih.gov/nuccore/CP000058.1?report=graph&amp;tracks=[key:gene_model_track,Options:GeneOnly]&amp;mk=3163035:3163054|offset_6|444444,3162998:3163017|offset_43|444444,3162974:3162993|offset_67|444444,3162938:3162957|offset_103|00cc00&amp;v=3162834:3163157&amp;c=444444", "offset 103")</f>
        <v>offset 103</v>
      </c>
    </row>
    <row r="10060" customFormat="false" ht="12.8" hidden="false" customHeight="false" outlineLevel="0" collapsed="false">
      <c r="A10060" s="0" t="s">
        <v>12</v>
      </c>
      <c r="B10060" s="0" t="n">
        <v>3164747</v>
      </c>
      <c r="C10060" s="0" t="n">
        <v>3164767</v>
      </c>
      <c r="D10060" s="0" t="s">
        <v>33420</v>
      </c>
      <c r="E10060" s="0" t="s">
        <v>33421</v>
      </c>
      <c r="F10060" s="0" t="s">
        <v>90</v>
      </c>
      <c r="G10060" s="0" t="s">
        <v>36</v>
      </c>
      <c r="H10060" s="0" t="n">
        <v>12</v>
      </c>
      <c r="I10060" s="0" t="s">
        <v>33422</v>
      </c>
      <c r="J10060" s="0" t="s">
        <v>33423</v>
      </c>
      <c r="K10060" s="0" t="s">
        <v>33424</v>
      </c>
      <c r="L10060" s="0" t="str">
        <f aca="false">HYPERLINK("https://www.ncbi.nlm.nih.gov/nuccore/CP000058.1?report=graph&amp;tracks=[key:gene_model_track,Options:GeneOnly]&amp;mk=3164748:3164767|offset_12|00cc00,3164724:3164743|offset_36|444444,3164702:3164721|offset_58|444444,3164655:3164674|offset_105|444444&amp;v=3164547:3164874&amp;c=444444", "offset 12")</f>
        <v>offset 12</v>
      </c>
    </row>
    <row r="10061" customFormat="false" ht="12.8" hidden="false" customHeight="false" outlineLevel="0" collapsed="false">
      <c r="A10061" s="0" t="s">
        <v>12</v>
      </c>
      <c r="B10061" s="0" t="n">
        <v>3164723</v>
      </c>
      <c r="C10061" s="0" t="n">
        <v>3164743</v>
      </c>
      <c r="D10061" s="0" t="s">
        <v>33420</v>
      </c>
      <c r="E10061" s="0" t="s">
        <v>33421</v>
      </c>
      <c r="F10061" s="0" t="s">
        <v>90</v>
      </c>
      <c r="G10061" s="0" t="s">
        <v>16</v>
      </c>
      <c r="H10061" s="0" t="n">
        <v>36</v>
      </c>
      <c r="I10061" s="0" t="s">
        <v>33425</v>
      </c>
      <c r="J10061" s="0" t="s">
        <v>33426</v>
      </c>
      <c r="K10061" s="0" t="s">
        <v>33427</v>
      </c>
      <c r="L10061" s="0" t="str">
        <f aca="false">HYPERLINK("https://www.ncbi.nlm.nih.gov/nuccore/CP000058.1?report=graph&amp;tracks=[key:gene_model_track,Options:GeneOnly]&amp;mk=3164748:3164767|offset_12|444444,3164724:3164743|offset_36|00cc00,3164702:3164721|offset_58|444444,3164655:3164674|offset_105|444444&amp;v=3164547:3164874&amp;c=444444", "offset 36")</f>
        <v>offset 36</v>
      </c>
    </row>
    <row r="10062" customFormat="false" ht="12.8" hidden="false" customHeight="false" outlineLevel="0" collapsed="false">
      <c r="A10062" s="0" t="s">
        <v>12</v>
      </c>
      <c r="B10062" s="0" t="n">
        <v>3164701</v>
      </c>
      <c r="C10062" s="0" t="n">
        <v>3164721</v>
      </c>
      <c r="D10062" s="0" t="s">
        <v>33420</v>
      </c>
      <c r="E10062" s="0" t="s">
        <v>33421</v>
      </c>
      <c r="F10062" s="0" t="s">
        <v>90</v>
      </c>
      <c r="G10062" s="0" t="s">
        <v>16</v>
      </c>
      <c r="H10062" s="0" t="n">
        <v>58</v>
      </c>
      <c r="I10062" s="0" t="s">
        <v>33428</v>
      </c>
      <c r="J10062" s="0" t="s">
        <v>33429</v>
      </c>
      <c r="K10062" s="0" t="s">
        <v>33430</v>
      </c>
      <c r="L10062" s="0" t="str">
        <f aca="false">HYPERLINK("https://www.ncbi.nlm.nih.gov/nuccore/CP000058.1?report=graph&amp;tracks=[key:gene_model_track,Options:GeneOnly]&amp;mk=3164748:3164767|offset_12|444444,3164724:3164743|offset_36|444444,3164702:3164721|offset_58|00cc00,3164655:3164674|offset_105|444444&amp;v=3164547:3164874&amp;c=444444", "offset 58")</f>
        <v>offset 58</v>
      </c>
    </row>
    <row r="10063" customFormat="false" ht="12.8" hidden="false" customHeight="false" outlineLevel="0" collapsed="false">
      <c r="A10063" s="0" t="s">
        <v>12</v>
      </c>
      <c r="B10063" s="0" t="n">
        <v>3164654</v>
      </c>
      <c r="C10063" s="0" t="n">
        <v>3164674</v>
      </c>
      <c r="D10063" s="0" t="s">
        <v>33420</v>
      </c>
      <c r="E10063" s="0" t="s">
        <v>33421</v>
      </c>
      <c r="F10063" s="0" t="s">
        <v>90</v>
      </c>
      <c r="G10063" s="0" t="s">
        <v>36</v>
      </c>
      <c r="H10063" s="0" t="n">
        <v>105</v>
      </c>
      <c r="I10063" s="0" t="s">
        <v>33431</v>
      </c>
      <c r="J10063" s="0" t="s">
        <v>33432</v>
      </c>
      <c r="K10063" s="0" t="s">
        <v>33433</v>
      </c>
      <c r="L10063" s="0" t="str">
        <f aca="false">HYPERLINK("https://www.ncbi.nlm.nih.gov/nuccore/CP000058.1?report=graph&amp;tracks=[key:gene_model_track,Options:GeneOnly]&amp;mk=3164748:3164767|offset_12|444444,3164724:3164743|offset_36|444444,3164702:3164721|offset_58|444444,3164655:3164674|offset_105|00cc00&amp;v=3164547:3164874&amp;c=444444", "offset 105")</f>
        <v>offset 105</v>
      </c>
    </row>
    <row r="10064" customFormat="false" ht="12.8" hidden="false" customHeight="false" outlineLevel="0" collapsed="false">
      <c r="A10064" s="0" t="s">
        <v>12</v>
      </c>
      <c r="B10064" s="0" t="n">
        <v>3165585</v>
      </c>
      <c r="C10064" s="0" t="n">
        <v>3165605</v>
      </c>
      <c r="D10064" s="0" t="s">
        <v>33434</v>
      </c>
      <c r="E10064" s="0" t="s">
        <v>75</v>
      </c>
      <c r="F10064" s="0" t="s">
        <v>90</v>
      </c>
      <c r="G10064" s="0" t="s">
        <v>32</v>
      </c>
      <c r="H10064" s="0" t="n">
        <v>7</v>
      </c>
      <c r="I10064" s="0" t="s">
        <v>33435</v>
      </c>
      <c r="J10064" s="0" t="s">
        <v>33436</v>
      </c>
      <c r="K10064" s="0" t="s">
        <v>33437</v>
      </c>
      <c r="L10064" s="0" t="str">
        <f aca="false">HYPERLINK("https://www.ncbi.nlm.nih.gov/nuccore/CP000058.1?report=graph&amp;tracks=[key:gene_model_track,Options:GeneOnly]&amp;mk=3165586:3165605|offset_7|00cc00,3165563:3165582|offset_30|444444,3165538:3165557|offset_55|444444,3165496:3165515|offset_97|444444&amp;v=3165385:3165715&amp;c=444444", "offset 7")</f>
        <v>offset 7</v>
      </c>
    </row>
    <row r="10065" customFormat="false" ht="12.8" hidden="false" customHeight="false" outlineLevel="0" collapsed="false">
      <c r="A10065" s="0" t="s">
        <v>12</v>
      </c>
      <c r="B10065" s="0" t="n">
        <v>3165562</v>
      </c>
      <c r="C10065" s="0" t="n">
        <v>3165582</v>
      </c>
      <c r="D10065" s="0" t="s">
        <v>33434</v>
      </c>
      <c r="E10065" s="0" t="s">
        <v>75</v>
      </c>
      <c r="F10065" s="0" t="s">
        <v>90</v>
      </c>
      <c r="G10065" s="0" t="s">
        <v>20</v>
      </c>
      <c r="H10065" s="0" t="n">
        <v>30</v>
      </c>
      <c r="I10065" s="0" t="s">
        <v>33438</v>
      </c>
      <c r="J10065" s="0" t="s">
        <v>33439</v>
      </c>
      <c r="K10065" s="0" t="s">
        <v>33440</v>
      </c>
      <c r="L10065" s="0" t="str">
        <f aca="false">HYPERLINK("https://www.ncbi.nlm.nih.gov/nuccore/CP000058.1?report=graph&amp;tracks=[key:gene_model_track,Options:GeneOnly]&amp;mk=3165586:3165605|offset_7|444444,3165563:3165582|offset_30|00cc00,3165538:3165557|offset_55|444444,3165496:3165515|offset_97|444444&amp;v=3165385:3165715&amp;c=444444", "offset 30")</f>
        <v>offset 30</v>
      </c>
    </row>
    <row r="10066" customFormat="false" ht="12.8" hidden="false" customHeight="false" outlineLevel="0" collapsed="false">
      <c r="A10066" s="0" t="s">
        <v>12</v>
      </c>
      <c r="B10066" s="0" t="n">
        <v>3165537</v>
      </c>
      <c r="C10066" s="0" t="n">
        <v>3165557</v>
      </c>
      <c r="D10066" s="0" t="s">
        <v>33434</v>
      </c>
      <c r="E10066" s="0" t="s">
        <v>75</v>
      </c>
      <c r="F10066" s="0" t="s">
        <v>90</v>
      </c>
      <c r="G10066" s="0" t="s">
        <v>16</v>
      </c>
      <c r="H10066" s="0" t="n">
        <v>55</v>
      </c>
      <c r="I10066" s="0" t="s">
        <v>33441</v>
      </c>
      <c r="J10066" s="0" t="s">
        <v>33442</v>
      </c>
      <c r="K10066" s="0" t="s">
        <v>33443</v>
      </c>
      <c r="L10066" s="0" t="str">
        <f aca="false">HYPERLINK("https://www.ncbi.nlm.nih.gov/nuccore/CP000058.1?report=graph&amp;tracks=[key:gene_model_track,Options:GeneOnly]&amp;mk=3165586:3165605|offset_7|444444,3165563:3165582|offset_30|444444,3165538:3165557|offset_55|00cc00,3165496:3165515|offset_97|444444&amp;v=3165385:3165715&amp;c=444444", "offset 55")</f>
        <v>offset 55</v>
      </c>
    </row>
    <row r="10067" customFormat="false" ht="12.8" hidden="false" customHeight="false" outlineLevel="0" collapsed="false">
      <c r="A10067" s="0" t="s">
        <v>12</v>
      </c>
      <c r="B10067" s="0" t="n">
        <v>3165495</v>
      </c>
      <c r="C10067" s="0" t="n">
        <v>3165515</v>
      </c>
      <c r="D10067" s="0" t="s">
        <v>33434</v>
      </c>
      <c r="E10067" s="0" t="s">
        <v>75</v>
      </c>
      <c r="F10067" s="0" t="s">
        <v>90</v>
      </c>
      <c r="G10067" s="0" t="s">
        <v>20</v>
      </c>
      <c r="H10067" s="0" t="n">
        <v>97</v>
      </c>
      <c r="I10067" s="0" t="s">
        <v>33444</v>
      </c>
      <c r="J10067" s="0" t="s">
        <v>33445</v>
      </c>
      <c r="K10067" s="0" t="s">
        <v>33446</v>
      </c>
      <c r="L10067" s="0" t="str">
        <f aca="false">HYPERLINK("https://www.ncbi.nlm.nih.gov/nuccore/CP000058.1?report=graph&amp;tracks=[key:gene_model_track,Options:GeneOnly]&amp;mk=3165586:3165605|offset_7|444444,3165563:3165582|offset_30|444444,3165538:3165557|offset_55|444444,3165496:3165515|offset_97|00cc00&amp;v=3165385:3165715&amp;c=444444", "offset 97")</f>
        <v>offset 97</v>
      </c>
    </row>
    <row r="10068" customFormat="false" ht="12.8" hidden="false" customHeight="false" outlineLevel="0" collapsed="false">
      <c r="A10068" s="0" t="s">
        <v>12</v>
      </c>
      <c r="B10068" s="0" t="n">
        <v>3165801</v>
      </c>
      <c r="C10068" s="0" t="n">
        <v>3165821</v>
      </c>
      <c r="D10068" s="0" t="s">
        <v>33447</v>
      </c>
      <c r="E10068" s="0" t="s">
        <v>75</v>
      </c>
      <c r="F10068" s="0" t="s">
        <v>15</v>
      </c>
      <c r="G10068" s="0" t="s">
        <v>20</v>
      </c>
      <c r="H10068" s="0" t="n">
        <v>26</v>
      </c>
      <c r="I10068" s="0" t="s">
        <v>33448</v>
      </c>
      <c r="J10068" s="0" t="s">
        <v>33449</v>
      </c>
      <c r="K10068" s="0" t="s">
        <v>33450</v>
      </c>
      <c r="L10068" s="0" t="str">
        <f aca="false">HYPERLINK("https://www.ncbi.nlm.nih.gov/nuccore/CP000058.1?report=graph&amp;tracks=[key:gene_model_track,Options:GeneOnly]&amp;mk=3165802:3165821|offset_26|00cc00,3165825:3165844|offset_49|444444,3165851:3165870|offset_75|444444,3165894:3165913|offset_118|444444&amp;v=3165601:3166113&amp;c=444444", "offset 26")</f>
        <v>offset 26</v>
      </c>
    </row>
    <row r="10069" customFormat="false" ht="12.8" hidden="false" customHeight="false" outlineLevel="0" collapsed="false">
      <c r="A10069" s="0" t="s">
        <v>12</v>
      </c>
      <c r="B10069" s="0" t="n">
        <v>3165824</v>
      </c>
      <c r="C10069" s="0" t="n">
        <v>3165844</v>
      </c>
      <c r="D10069" s="0" t="s">
        <v>33447</v>
      </c>
      <c r="E10069" s="0" t="s">
        <v>75</v>
      </c>
      <c r="F10069" s="0" t="s">
        <v>15</v>
      </c>
      <c r="G10069" s="0" t="s">
        <v>32</v>
      </c>
      <c r="H10069" s="0" t="n">
        <v>49</v>
      </c>
      <c r="I10069" s="0" t="s">
        <v>33451</v>
      </c>
      <c r="J10069" s="0" t="s">
        <v>33452</v>
      </c>
      <c r="K10069" s="0" t="s">
        <v>33453</v>
      </c>
      <c r="L10069" s="0" t="str">
        <f aca="false">HYPERLINK("https://www.ncbi.nlm.nih.gov/nuccore/CP000058.1?report=graph&amp;tracks=[key:gene_model_track,Options:GeneOnly]&amp;mk=3165802:3165821|offset_26|444444,3165825:3165844|offset_49|00cc00,3165851:3165870|offset_75|444444,3165894:3165913|offset_118|444444&amp;v=3165601:3166113&amp;c=444444", "offset 49")</f>
        <v>offset 49</v>
      </c>
    </row>
    <row r="10070" customFormat="false" ht="12.8" hidden="false" customHeight="false" outlineLevel="0" collapsed="false">
      <c r="A10070" s="0" t="s">
        <v>12</v>
      </c>
      <c r="B10070" s="0" t="n">
        <v>3165850</v>
      </c>
      <c r="C10070" s="0" t="n">
        <v>3165870</v>
      </c>
      <c r="D10070" s="0" t="s">
        <v>33447</v>
      </c>
      <c r="E10070" s="0" t="s">
        <v>75</v>
      </c>
      <c r="F10070" s="0" t="s">
        <v>15</v>
      </c>
      <c r="G10070" s="0" t="s">
        <v>16</v>
      </c>
      <c r="H10070" s="0" t="n">
        <v>75</v>
      </c>
      <c r="I10070" s="0" t="s">
        <v>33454</v>
      </c>
      <c r="J10070" s="0" t="s">
        <v>33455</v>
      </c>
      <c r="K10070" s="0" t="s">
        <v>33456</v>
      </c>
      <c r="L10070" s="0" t="str">
        <f aca="false">HYPERLINK("https://www.ncbi.nlm.nih.gov/nuccore/CP000058.1?report=graph&amp;tracks=[key:gene_model_track,Options:GeneOnly]&amp;mk=3165802:3165821|offset_26|444444,3165825:3165844|offset_49|444444,3165851:3165870|offset_75|00cc00,3165894:3165913|offset_118|444444&amp;v=3165601:3166113&amp;c=444444", "offset 75")</f>
        <v>offset 75</v>
      </c>
    </row>
    <row r="10071" customFormat="false" ht="12.8" hidden="false" customHeight="false" outlineLevel="0" collapsed="false">
      <c r="A10071" s="0" t="s">
        <v>12</v>
      </c>
      <c r="B10071" s="0" t="n">
        <v>3165893</v>
      </c>
      <c r="C10071" s="0" t="n">
        <v>3165913</v>
      </c>
      <c r="D10071" s="0" t="s">
        <v>33447</v>
      </c>
      <c r="E10071" s="0" t="s">
        <v>75</v>
      </c>
      <c r="F10071" s="0" t="s">
        <v>15</v>
      </c>
      <c r="G10071" s="0" t="s">
        <v>16</v>
      </c>
      <c r="H10071" s="0" t="n">
        <v>118</v>
      </c>
      <c r="I10071" s="0" t="s">
        <v>33457</v>
      </c>
      <c r="J10071" s="0" t="s">
        <v>33458</v>
      </c>
      <c r="K10071" s="0" t="s">
        <v>33459</v>
      </c>
      <c r="L10071" s="0" t="str">
        <f aca="false">HYPERLINK("https://www.ncbi.nlm.nih.gov/nuccore/CP000058.1?report=graph&amp;tracks=[key:gene_model_track,Options:GeneOnly]&amp;mk=3165802:3165821|offset_26|444444,3165825:3165844|offset_49|444444,3165851:3165870|offset_75|444444,3165894:3165913|offset_118|00cc00&amp;v=3165601:3166113&amp;c=444444", "offset 118")</f>
        <v>offset 118</v>
      </c>
    </row>
    <row r="10072" customFormat="false" ht="12.8" hidden="false" customHeight="false" outlineLevel="0" collapsed="false">
      <c r="A10072" s="0" t="s">
        <v>12</v>
      </c>
      <c r="B10072" s="0" t="n">
        <v>3166278</v>
      </c>
      <c r="C10072" s="0" t="n">
        <v>3166298</v>
      </c>
      <c r="D10072" s="0" t="s">
        <v>33460</v>
      </c>
      <c r="E10072" s="0" t="s">
        <v>75</v>
      </c>
      <c r="F10072" s="0" t="s">
        <v>15</v>
      </c>
      <c r="G10072" s="0" t="s">
        <v>16</v>
      </c>
      <c r="H10072" s="0" t="n">
        <v>49</v>
      </c>
      <c r="I10072" s="0" t="s">
        <v>33461</v>
      </c>
      <c r="J10072" s="0" t="s">
        <v>33462</v>
      </c>
      <c r="K10072" s="0" t="s">
        <v>33463</v>
      </c>
      <c r="L10072" s="0" t="str">
        <f aca="false">HYPERLINK("https://www.ncbi.nlm.nih.gov/nuccore/CP000058.1?report=graph&amp;tracks=[key:gene_model_track,Options:GeneOnly]&amp;mk=3166279:3166298|offset_49|00cc00,3166306:3166325|offset_76|444444,3166339:3166358|offset_109|444444,3166366:3166385|offset_136|444444&amp;v=3166078:3166585&amp;c=444444", "offset 49")</f>
        <v>offset 49</v>
      </c>
    </row>
    <row r="10073" customFormat="false" ht="12.8" hidden="false" customHeight="false" outlineLevel="0" collapsed="false">
      <c r="A10073" s="0" t="s">
        <v>12</v>
      </c>
      <c r="B10073" s="0" t="n">
        <v>3166305</v>
      </c>
      <c r="C10073" s="0" t="n">
        <v>3166325</v>
      </c>
      <c r="D10073" s="0" t="s">
        <v>33460</v>
      </c>
      <c r="E10073" s="0" t="s">
        <v>75</v>
      </c>
      <c r="F10073" s="0" t="s">
        <v>15</v>
      </c>
      <c r="G10073" s="0" t="s">
        <v>16</v>
      </c>
      <c r="H10073" s="0" t="n">
        <v>76</v>
      </c>
      <c r="I10073" s="0" t="s">
        <v>33464</v>
      </c>
      <c r="J10073" s="0" t="s">
        <v>33465</v>
      </c>
      <c r="K10073" s="0" t="s">
        <v>33466</v>
      </c>
      <c r="L10073" s="0" t="str">
        <f aca="false">HYPERLINK("https://www.ncbi.nlm.nih.gov/nuccore/CP000058.1?report=graph&amp;tracks=[key:gene_model_track,Options:GeneOnly]&amp;mk=3166279:3166298|offset_49|444444,3166306:3166325|offset_76|00cc00,3166339:3166358|offset_109|444444,3166366:3166385|offset_136|444444&amp;v=3166078:3166585&amp;c=444444", "offset 76")</f>
        <v>offset 76</v>
      </c>
    </row>
    <row r="10074" customFormat="false" ht="12.8" hidden="false" customHeight="false" outlineLevel="0" collapsed="false">
      <c r="A10074" s="0" t="s">
        <v>12</v>
      </c>
      <c r="B10074" s="0" t="n">
        <v>3166338</v>
      </c>
      <c r="C10074" s="0" t="n">
        <v>3166358</v>
      </c>
      <c r="D10074" s="0" t="s">
        <v>33460</v>
      </c>
      <c r="E10074" s="0" t="s">
        <v>75</v>
      </c>
      <c r="F10074" s="0" t="s">
        <v>15</v>
      </c>
      <c r="G10074" s="0" t="s">
        <v>16</v>
      </c>
      <c r="H10074" s="0" t="n">
        <v>109</v>
      </c>
      <c r="I10074" s="0" t="s">
        <v>33467</v>
      </c>
      <c r="J10074" s="0" t="s">
        <v>33468</v>
      </c>
      <c r="K10074" s="0" t="s">
        <v>33469</v>
      </c>
      <c r="L10074" s="0" t="str">
        <f aca="false">HYPERLINK("https://www.ncbi.nlm.nih.gov/nuccore/CP000058.1?report=graph&amp;tracks=[key:gene_model_track,Options:GeneOnly]&amp;mk=3166279:3166298|offset_49|444444,3166306:3166325|offset_76|444444,3166339:3166358|offset_109|00cc00,3166366:3166385|offset_136|444444&amp;v=3166078:3166585&amp;c=444444", "offset 109")</f>
        <v>offset 109</v>
      </c>
    </row>
    <row r="10075" customFormat="false" ht="12.8" hidden="false" customHeight="false" outlineLevel="0" collapsed="false">
      <c r="A10075" s="0" t="s">
        <v>12</v>
      </c>
      <c r="B10075" s="0" t="n">
        <v>3166365</v>
      </c>
      <c r="C10075" s="0" t="n">
        <v>3166385</v>
      </c>
      <c r="D10075" s="0" t="s">
        <v>33460</v>
      </c>
      <c r="E10075" s="0" t="s">
        <v>75</v>
      </c>
      <c r="F10075" s="0" t="s">
        <v>15</v>
      </c>
      <c r="G10075" s="0" t="s">
        <v>36</v>
      </c>
      <c r="H10075" s="0" t="n">
        <v>136</v>
      </c>
      <c r="I10075" s="0" t="s">
        <v>33470</v>
      </c>
      <c r="J10075" s="0" t="s">
        <v>33471</v>
      </c>
      <c r="K10075" s="0" t="s">
        <v>33472</v>
      </c>
      <c r="L10075" s="0" t="str">
        <f aca="false">HYPERLINK("https://www.ncbi.nlm.nih.gov/nuccore/CP000058.1?report=graph&amp;tracks=[key:gene_model_track,Options:GeneOnly]&amp;mk=3166279:3166298|offset_49|444444,3166306:3166325|offset_76|444444,3166339:3166358|offset_109|444444,3166366:3166385|offset_136|00cc00&amp;v=3166078:3166585&amp;c=444444", "offset 136")</f>
        <v>offset 136</v>
      </c>
    </row>
    <row r="10076" customFormat="false" ht="12.8" hidden="false" customHeight="false" outlineLevel="0" collapsed="false">
      <c r="A10076" s="0" t="s">
        <v>12</v>
      </c>
      <c r="B10076" s="0" t="n">
        <v>3167143</v>
      </c>
      <c r="C10076" s="0" t="n">
        <v>3167163</v>
      </c>
      <c r="D10076" s="0" t="s">
        <v>33473</v>
      </c>
      <c r="E10076" s="0" t="s">
        <v>75</v>
      </c>
      <c r="F10076" s="0" t="s">
        <v>15</v>
      </c>
      <c r="G10076" s="0" t="s">
        <v>36</v>
      </c>
      <c r="H10076" s="0" t="n">
        <v>22</v>
      </c>
      <c r="I10076" s="0" t="s">
        <v>33474</v>
      </c>
      <c r="J10076" s="0" t="s">
        <v>33475</v>
      </c>
      <c r="K10076" s="0" t="s">
        <v>33476</v>
      </c>
      <c r="L10076" s="0" t="str">
        <f aca="false">HYPERLINK("https://www.ncbi.nlm.nih.gov/nuccore/CP000058.1?report=graph&amp;tracks=[key:gene_model_track,Options:GeneOnly]&amp;mk=3167144:3167163|offset_22|00cc00,3167165:3167184|offset_43|444444,3167196:3167215|offset_74|444444,3167231:3167250|offset_109|444444&amp;v=3166943:3167450&amp;c=444444", "offset 22")</f>
        <v>offset 22</v>
      </c>
    </row>
    <row r="10077" customFormat="false" ht="12.8" hidden="false" customHeight="false" outlineLevel="0" collapsed="false">
      <c r="A10077" s="0" t="s">
        <v>12</v>
      </c>
      <c r="B10077" s="0" t="n">
        <v>3167164</v>
      </c>
      <c r="C10077" s="0" t="n">
        <v>3167184</v>
      </c>
      <c r="D10077" s="0" t="s">
        <v>33473</v>
      </c>
      <c r="E10077" s="0" t="s">
        <v>75</v>
      </c>
      <c r="F10077" s="0" t="s">
        <v>15</v>
      </c>
      <c r="G10077" s="0" t="s">
        <v>16</v>
      </c>
      <c r="H10077" s="0" t="n">
        <v>43</v>
      </c>
      <c r="I10077" s="0" t="s">
        <v>33477</v>
      </c>
      <c r="J10077" s="0" t="s">
        <v>33478</v>
      </c>
      <c r="K10077" s="0" t="s">
        <v>33479</v>
      </c>
      <c r="L10077" s="0" t="str">
        <f aca="false">HYPERLINK("https://www.ncbi.nlm.nih.gov/nuccore/CP000058.1?report=graph&amp;tracks=[key:gene_model_track,Options:GeneOnly]&amp;mk=3167144:3167163|offset_22|444444,3167165:3167184|offset_43|00cc00,3167196:3167215|offset_74|444444,3167231:3167250|offset_109|444444&amp;v=3166943:3167450&amp;c=444444", "offset 43")</f>
        <v>offset 43</v>
      </c>
    </row>
    <row r="10078" customFormat="false" ht="12.8" hidden="false" customHeight="false" outlineLevel="0" collapsed="false">
      <c r="A10078" s="0" t="s">
        <v>12</v>
      </c>
      <c r="B10078" s="0" t="n">
        <v>3167195</v>
      </c>
      <c r="C10078" s="0" t="n">
        <v>3167215</v>
      </c>
      <c r="D10078" s="0" t="s">
        <v>33473</v>
      </c>
      <c r="E10078" s="0" t="s">
        <v>75</v>
      </c>
      <c r="F10078" s="0" t="s">
        <v>15</v>
      </c>
      <c r="G10078" s="0" t="s">
        <v>20</v>
      </c>
      <c r="H10078" s="0" t="n">
        <v>74</v>
      </c>
      <c r="I10078" s="0" t="s">
        <v>33480</v>
      </c>
      <c r="J10078" s="0" t="s">
        <v>33481</v>
      </c>
      <c r="K10078" s="0" t="s">
        <v>33482</v>
      </c>
      <c r="L10078" s="0" t="str">
        <f aca="false">HYPERLINK("https://www.ncbi.nlm.nih.gov/nuccore/CP000058.1?report=graph&amp;tracks=[key:gene_model_track,Options:GeneOnly]&amp;mk=3167144:3167163|offset_22|444444,3167165:3167184|offset_43|444444,3167196:3167215|offset_74|00cc00,3167231:3167250|offset_109|444444&amp;v=3166943:3167450&amp;c=444444", "offset 74")</f>
        <v>offset 74</v>
      </c>
    </row>
    <row r="10079" customFormat="false" ht="12.8" hidden="false" customHeight="false" outlineLevel="0" collapsed="false">
      <c r="A10079" s="0" t="s">
        <v>12</v>
      </c>
      <c r="B10079" s="0" t="n">
        <v>3167230</v>
      </c>
      <c r="C10079" s="0" t="n">
        <v>3167250</v>
      </c>
      <c r="D10079" s="0" t="s">
        <v>33473</v>
      </c>
      <c r="E10079" s="0" t="s">
        <v>75</v>
      </c>
      <c r="F10079" s="0" t="s">
        <v>15</v>
      </c>
      <c r="G10079" s="0" t="s">
        <v>32</v>
      </c>
      <c r="H10079" s="0" t="n">
        <v>109</v>
      </c>
      <c r="I10079" s="0" t="s">
        <v>33483</v>
      </c>
      <c r="J10079" s="0" t="s">
        <v>33484</v>
      </c>
      <c r="K10079" s="0" t="s">
        <v>33485</v>
      </c>
      <c r="L10079" s="0" t="str">
        <f aca="false">HYPERLINK("https://www.ncbi.nlm.nih.gov/nuccore/CP000058.1?report=graph&amp;tracks=[key:gene_model_track,Options:GeneOnly]&amp;mk=3167144:3167163|offset_22|444444,3167165:3167184|offset_43|444444,3167196:3167215|offset_74|444444,3167231:3167250|offset_109|00cc00&amp;v=3166943:3167450&amp;c=444444", "offset 109")</f>
        <v>offset 109</v>
      </c>
    </row>
    <row r="10080" customFormat="false" ht="12.8" hidden="false" customHeight="false" outlineLevel="0" collapsed="false">
      <c r="A10080" s="0" t="s">
        <v>12</v>
      </c>
      <c r="B10080" s="0" t="n">
        <v>3168778</v>
      </c>
      <c r="C10080" s="0" t="n">
        <v>3168798</v>
      </c>
      <c r="D10080" s="0" t="s">
        <v>33486</v>
      </c>
      <c r="E10080" s="0" t="s">
        <v>75</v>
      </c>
      <c r="F10080" s="0" t="s">
        <v>15</v>
      </c>
      <c r="G10080" s="0" t="s">
        <v>20</v>
      </c>
      <c r="H10080" s="0" t="n">
        <v>32</v>
      </c>
      <c r="I10080" s="0" t="s">
        <v>33487</v>
      </c>
      <c r="J10080" s="0" t="s">
        <v>33488</v>
      </c>
      <c r="K10080" s="0" t="s">
        <v>33489</v>
      </c>
      <c r="L10080" s="0" t="str">
        <f aca="false">HYPERLINK("https://www.ncbi.nlm.nih.gov/nuccore/CP000058.1?report=graph&amp;tracks=[key:gene_model_track,Options:GeneOnly]&amp;mk=3168779:3168798|offset_32|00cc00,3168800:3168819|offset_53|444444,3168820:3168839|offset_73|444444,3168870:3168889|offset_123|444444&amp;v=3168578:3169089&amp;c=444444", "offset 32")</f>
        <v>offset 32</v>
      </c>
    </row>
    <row r="10081" customFormat="false" ht="12.8" hidden="false" customHeight="false" outlineLevel="0" collapsed="false">
      <c r="A10081" s="0" t="s">
        <v>12</v>
      </c>
      <c r="B10081" s="0" t="n">
        <v>3168799</v>
      </c>
      <c r="C10081" s="0" t="n">
        <v>3168819</v>
      </c>
      <c r="D10081" s="0" t="s">
        <v>33486</v>
      </c>
      <c r="E10081" s="0" t="s">
        <v>75</v>
      </c>
      <c r="F10081" s="0" t="s">
        <v>15</v>
      </c>
      <c r="G10081" s="0" t="s">
        <v>16</v>
      </c>
      <c r="H10081" s="0" t="n">
        <v>53</v>
      </c>
      <c r="I10081" s="0" t="s">
        <v>33490</v>
      </c>
      <c r="J10081" s="0" t="s">
        <v>33491</v>
      </c>
      <c r="K10081" s="0" t="s">
        <v>33492</v>
      </c>
      <c r="L10081" s="0" t="str">
        <f aca="false">HYPERLINK("https://www.ncbi.nlm.nih.gov/nuccore/CP000058.1?report=graph&amp;tracks=[key:gene_model_track,Options:GeneOnly]&amp;mk=3168779:3168798|offset_32|444444,3168800:3168819|offset_53|00cc00,3168820:3168839|offset_73|444444,3168870:3168889|offset_123|444444&amp;v=3168578:3169089&amp;c=444444", "offset 53")</f>
        <v>offset 53</v>
      </c>
    </row>
    <row r="10082" customFormat="false" ht="12.8" hidden="false" customHeight="false" outlineLevel="0" collapsed="false">
      <c r="A10082" s="0" t="s">
        <v>12</v>
      </c>
      <c r="B10082" s="0" t="n">
        <v>3168819</v>
      </c>
      <c r="C10082" s="0" t="n">
        <v>3168839</v>
      </c>
      <c r="D10082" s="0" t="s">
        <v>33486</v>
      </c>
      <c r="E10082" s="0" t="s">
        <v>75</v>
      </c>
      <c r="F10082" s="0" t="s">
        <v>15</v>
      </c>
      <c r="G10082" s="0" t="s">
        <v>16</v>
      </c>
      <c r="H10082" s="0" t="n">
        <v>73</v>
      </c>
      <c r="I10082" s="0" t="s">
        <v>33493</v>
      </c>
      <c r="J10082" s="0" t="s">
        <v>33494</v>
      </c>
      <c r="K10082" s="0" t="s">
        <v>33495</v>
      </c>
      <c r="L10082" s="0" t="str">
        <f aca="false">HYPERLINK("https://www.ncbi.nlm.nih.gov/nuccore/CP000058.1?report=graph&amp;tracks=[key:gene_model_track,Options:GeneOnly]&amp;mk=3168779:3168798|offset_32|444444,3168800:3168819|offset_53|444444,3168820:3168839|offset_73|00cc00,3168870:3168889|offset_123|444444&amp;v=3168578:3169089&amp;c=444444", "offset 73")</f>
        <v>offset 73</v>
      </c>
    </row>
    <row r="10083" customFormat="false" ht="12.8" hidden="false" customHeight="false" outlineLevel="0" collapsed="false">
      <c r="A10083" s="0" t="s">
        <v>12</v>
      </c>
      <c r="B10083" s="0" t="n">
        <v>3168869</v>
      </c>
      <c r="C10083" s="0" t="n">
        <v>3168889</v>
      </c>
      <c r="D10083" s="0" t="s">
        <v>33486</v>
      </c>
      <c r="E10083" s="0" t="s">
        <v>75</v>
      </c>
      <c r="F10083" s="0" t="s">
        <v>15</v>
      </c>
      <c r="G10083" s="0" t="s">
        <v>16</v>
      </c>
      <c r="H10083" s="0" t="n">
        <v>123</v>
      </c>
      <c r="I10083" s="0" t="s">
        <v>33496</v>
      </c>
      <c r="J10083" s="0" t="s">
        <v>33497</v>
      </c>
      <c r="K10083" s="0" t="s">
        <v>33498</v>
      </c>
      <c r="L10083" s="0" t="str">
        <f aca="false">HYPERLINK("https://www.ncbi.nlm.nih.gov/nuccore/CP000058.1?report=graph&amp;tracks=[key:gene_model_track,Options:GeneOnly]&amp;mk=3168779:3168798|offset_32|444444,3168800:3168819|offset_53|444444,3168820:3168839|offset_73|444444,3168870:3168889|offset_123|00cc00&amp;v=3168578:3169089&amp;c=444444", "offset 123")</f>
        <v>offset 123</v>
      </c>
    </row>
    <row r="10084" customFormat="false" ht="12.8" hidden="false" customHeight="false" outlineLevel="0" collapsed="false">
      <c r="A10084" s="0" t="s">
        <v>12</v>
      </c>
      <c r="B10084" s="0" t="n">
        <v>3169438</v>
      </c>
      <c r="C10084" s="0" t="n">
        <v>3169458</v>
      </c>
      <c r="D10084" s="0" t="s">
        <v>33499</v>
      </c>
      <c r="E10084" s="0" t="s">
        <v>75</v>
      </c>
      <c r="F10084" s="0" t="s">
        <v>15</v>
      </c>
      <c r="G10084" s="0" t="s">
        <v>20</v>
      </c>
      <c r="H10084" s="0" t="n">
        <v>12</v>
      </c>
      <c r="I10084" s="0" t="s">
        <v>33500</v>
      </c>
      <c r="J10084" s="0" t="s">
        <v>33501</v>
      </c>
      <c r="K10084" s="0" t="s">
        <v>33502</v>
      </c>
      <c r="L10084" s="0" t="str">
        <f aca="false">HYPERLINK("https://www.ncbi.nlm.nih.gov/nuccore/CP000058.1?report=graph&amp;tracks=[key:gene_model_track,Options:GeneOnly]&amp;mk=3169439:3169458|offset_12|00cc00,3169460:3169479|offset_33|444444,3169493:3169512|offset_66|444444,3169513:3169532|offset_86|444444&amp;v=3169238:3169732&amp;c=444444", "offset 12")</f>
        <v>offset 12</v>
      </c>
    </row>
    <row r="10085" customFormat="false" ht="12.8" hidden="false" customHeight="false" outlineLevel="0" collapsed="false">
      <c r="A10085" s="0" t="s">
        <v>12</v>
      </c>
      <c r="B10085" s="0" t="n">
        <v>3169459</v>
      </c>
      <c r="C10085" s="0" t="n">
        <v>3169479</v>
      </c>
      <c r="D10085" s="0" t="s">
        <v>33499</v>
      </c>
      <c r="E10085" s="0" t="s">
        <v>75</v>
      </c>
      <c r="F10085" s="0" t="s">
        <v>15</v>
      </c>
      <c r="G10085" s="0" t="s">
        <v>20</v>
      </c>
      <c r="H10085" s="0" t="n">
        <v>33</v>
      </c>
      <c r="I10085" s="0" t="s">
        <v>33503</v>
      </c>
      <c r="J10085" s="0" t="s">
        <v>33504</v>
      </c>
      <c r="K10085" s="0" t="s">
        <v>33505</v>
      </c>
      <c r="L10085" s="0" t="str">
        <f aca="false">HYPERLINK("https://www.ncbi.nlm.nih.gov/nuccore/CP000058.1?report=graph&amp;tracks=[key:gene_model_track,Options:GeneOnly]&amp;mk=3169439:3169458|offset_12|444444,3169460:3169479|offset_33|00cc00,3169493:3169512|offset_66|444444,3169513:3169532|offset_86|444444&amp;v=3169238:3169732&amp;c=444444", "offset 33")</f>
        <v>offset 33</v>
      </c>
    </row>
    <row r="10086" customFormat="false" ht="12.8" hidden="false" customHeight="false" outlineLevel="0" collapsed="false">
      <c r="A10086" s="0" t="s">
        <v>12</v>
      </c>
      <c r="B10086" s="0" t="n">
        <v>3169492</v>
      </c>
      <c r="C10086" s="0" t="n">
        <v>3169512</v>
      </c>
      <c r="D10086" s="0" t="s">
        <v>33499</v>
      </c>
      <c r="E10086" s="0" t="s">
        <v>75</v>
      </c>
      <c r="F10086" s="0" t="s">
        <v>15</v>
      </c>
      <c r="G10086" s="0" t="s">
        <v>16</v>
      </c>
      <c r="H10086" s="0" t="n">
        <v>66</v>
      </c>
      <c r="I10086" s="0" t="s">
        <v>33506</v>
      </c>
      <c r="J10086" s="0" t="s">
        <v>33507</v>
      </c>
      <c r="K10086" s="0" t="s">
        <v>33508</v>
      </c>
      <c r="L10086" s="0" t="str">
        <f aca="false">HYPERLINK("https://www.ncbi.nlm.nih.gov/nuccore/CP000058.1?report=graph&amp;tracks=[key:gene_model_track,Options:GeneOnly]&amp;mk=3169439:3169458|offset_12|444444,3169460:3169479|offset_33|444444,3169493:3169512|offset_66|00cc00,3169513:3169532|offset_86|444444&amp;v=3169238:3169732&amp;c=444444", "offset 66")</f>
        <v>offset 66</v>
      </c>
    </row>
    <row r="10087" customFormat="false" ht="12.8" hidden="false" customHeight="false" outlineLevel="0" collapsed="false">
      <c r="A10087" s="0" t="s">
        <v>12</v>
      </c>
      <c r="B10087" s="0" t="n">
        <v>3169512</v>
      </c>
      <c r="C10087" s="0" t="n">
        <v>3169532</v>
      </c>
      <c r="D10087" s="0" t="s">
        <v>33499</v>
      </c>
      <c r="E10087" s="0" t="s">
        <v>75</v>
      </c>
      <c r="F10087" s="0" t="s">
        <v>15</v>
      </c>
      <c r="G10087" s="0" t="s">
        <v>16</v>
      </c>
      <c r="H10087" s="0" t="n">
        <v>86</v>
      </c>
      <c r="I10087" s="0" t="s">
        <v>33509</v>
      </c>
      <c r="J10087" s="0" t="s">
        <v>33510</v>
      </c>
      <c r="K10087" s="0" t="s">
        <v>33511</v>
      </c>
      <c r="L10087" s="0" t="str">
        <f aca="false">HYPERLINK("https://www.ncbi.nlm.nih.gov/nuccore/CP000058.1?report=graph&amp;tracks=[key:gene_model_track,Options:GeneOnly]&amp;mk=3169439:3169458|offset_12|444444,3169460:3169479|offset_33|444444,3169493:3169512|offset_66|444444,3169513:3169532|offset_86|00cc00&amp;v=3169238:3169732&amp;c=444444", "offset 86")</f>
        <v>offset 86</v>
      </c>
    </row>
    <row r="10088" customFormat="false" ht="12.8" hidden="false" customHeight="false" outlineLevel="0" collapsed="false">
      <c r="A10088" s="0" t="s">
        <v>12</v>
      </c>
      <c r="B10088" s="0" t="n">
        <v>3170919</v>
      </c>
      <c r="C10088" s="0" t="n">
        <v>3170939</v>
      </c>
      <c r="D10088" s="0" t="s">
        <v>33512</v>
      </c>
      <c r="E10088" s="0" t="s">
        <v>75</v>
      </c>
      <c r="F10088" s="0" t="s">
        <v>15</v>
      </c>
      <c r="G10088" s="0" t="s">
        <v>32</v>
      </c>
      <c r="H10088" s="0" t="n">
        <v>1</v>
      </c>
      <c r="I10088" s="0" t="s">
        <v>33513</v>
      </c>
      <c r="J10088" s="0" t="s">
        <v>33514</v>
      </c>
      <c r="K10088" s="0" t="s">
        <v>33515</v>
      </c>
      <c r="L10088" s="0" t="str">
        <f aca="false">HYPERLINK("https://www.ncbi.nlm.nih.gov/nuccore/CP000058.1?report=graph&amp;tracks=[key:gene_model_track,Options:GeneOnly]&amp;mk=3170920:3170939|offset_1|00cc00,3171012:3171031|offset_93|444444,3171050:3171069|offset_131|444444,3171076:3171095|offset_157|444444&amp;v=3170719:3171295&amp;c=444444", "offset 1")</f>
        <v>offset 1</v>
      </c>
    </row>
    <row r="10089" customFormat="false" ht="12.8" hidden="false" customHeight="false" outlineLevel="0" collapsed="false">
      <c r="A10089" s="0" t="s">
        <v>12</v>
      </c>
      <c r="B10089" s="0" t="n">
        <v>3171011</v>
      </c>
      <c r="C10089" s="0" t="n">
        <v>3171031</v>
      </c>
      <c r="D10089" s="0" t="s">
        <v>33512</v>
      </c>
      <c r="E10089" s="0" t="s">
        <v>75</v>
      </c>
      <c r="F10089" s="0" t="s">
        <v>15</v>
      </c>
      <c r="G10089" s="0" t="s">
        <v>32</v>
      </c>
      <c r="H10089" s="0" t="n">
        <v>93</v>
      </c>
      <c r="I10089" s="0" t="s">
        <v>33516</v>
      </c>
      <c r="J10089" s="0" t="s">
        <v>33517</v>
      </c>
      <c r="K10089" s="0" t="s">
        <v>33518</v>
      </c>
      <c r="L10089" s="0" t="str">
        <f aca="false">HYPERLINK("https://www.ncbi.nlm.nih.gov/nuccore/CP000058.1?report=graph&amp;tracks=[key:gene_model_track,Options:GeneOnly]&amp;mk=3170920:3170939|offset_1|444444,3171012:3171031|offset_93|00cc00,3171050:3171069|offset_131|444444,3171076:3171095|offset_157|444444&amp;v=3170719:3171295&amp;c=444444", "offset 93")</f>
        <v>offset 93</v>
      </c>
    </row>
    <row r="10090" customFormat="false" ht="12.8" hidden="false" customHeight="false" outlineLevel="0" collapsed="false">
      <c r="A10090" s="0" t="s">
        <v>12</v>
      </c>
      <c r="B10090" s="0" t="n">
        <v>3171049</v>
      </c>
      <c r="C10090" s="0" t="n">
        <v>3171069</v>
      </c>
      <c r="D10090" s="0" t="s">
        <v>33512</v>
      </c>
      <c r="E10090" s="0" t="s">
        <v>75</v>
      </c>
      <c r="F10090" s="0" t="s">
        <v>15</v>
      </c>
      <c r="G10090" s="0" t="s">
        <v>20</v>
      </c>
      <c r="H10090" s="0" t="n">
        <v>131</v>
      </c>
      <c r="I10090" s="0" t="s">
        <v>33519</v>
      </c>
      <c r="J10090" s="0" t="s">
        <v>33520</v>
      </c>
      <c r="K10090" s="0" t="s">
        <v>33521</v>
      </c>
      <c r="L10090" s="0" t="str">
        <f aca="false">HYPERLINK("https://www.ncbi.nlm.nih.gov/nuccore/CP000058.1?report=graph&amp;tracks=[key:gene_model_track,Options:GeneOnly]&amp;mk=3170920:3170939|offset_1|444444,3171012:3171031|offset_93|444444,3171050:3171069|offset_131|00cc00,3171076:3171095|offset_157|444444&amp;v=3170719:3171295&amp;c=444444", "offset 131")</f>
        <v>offset 131</v>
      </c>
    </row>
    <row r="10091" customFormat="false" ht="12.8" hidden="false" customHeight="false" outlineLevel="0" collapsed="false">
      <c r="A10091" s="0" t="s">
        <v>12</v>
      </c>
      <c r="B10091" s="0" t="n">
        <v>3171075</v>
      </c>
      <c r="C10091" s="0" t="n">
        <v>3171095</v>
      </c>
      <c r="D10091" s="0" t="s">
        <v>33512</v>
      </c>
      <c r="E10091" s="0" t="s">
        <v>75</v>
      </c>
      <c r="F10091" s="0" t="s">
        <v>15</v>
      </c>
      <c r="G10091" s="0" t="s">
        <v>16</v>
      </c>
      <c r="H10091" s="0" t="n">
        <v>157</v>
      </c>
      <c r="I10091" s="0" t="s">
        <v>33522</v>
      </c>
      <c r="J10091" s="0" t="s">
        <v>33523</v>
      </c>
      <c r="K10091" s="0" t="s">
        <v>33524</v>
      </c>
      <c r="L10091" s="0" t="str">
        <f aca="false">HYPERLINK("https://www.ncbi.nlm.nih.gov/nuccore/CP000058.1?report=graph&amp;tracks=[key:gene_model_track,Options:GeneOnly]&amp;mk=3170920:3170939|offset_1|444444,3171012:3171031|offset_93|444444,3171050:3171069|offset_131|444444,3171076:3171095|offset_157|00cc00&amp;v=3170719:3171295&amp;c=444444", "offset 157")</f>
        <v>offset 157</v>
      </c>
    </row>
    <row r="10092" customFormat="false" ht="12.8" hidden="false" customHeight="false" outlineLevel="0" collapsed="false">
      <c r="A10092" s="0" t="s">
        <v>12</v>
      </c>
      <c r="B10092" s="0" t="n">
        <v>3171562</v>
      </c>
      <c r="C10092" s="0" t="n">
        <v>3171582</v>
      </c>
      <c r="D10092" s="0" t="s">
        <v>33525</v>
      </c>
      <c r="E10092" s="0" t="s">
        <v>75</v>
      </c>
      <c r="F10092" s="0" t="s">
        <v>15</v>
      </c>
      <c r="G10092" s="0" t="s">
        <v>32</v>
      </c>
      <c r="H10092" s="0" t="n">
        <v>1</v>
      </c>
      <c r="I10092" s="0" t="s">
        <v>33526</v>
      </c>
      <c r="J10092" s="0" t="s">
        <v>33527</v>
      </c>
      <c r="K10092" s="0" t="s">
        <v>33528</v>
      </c>
      <c r="L10092" s="0" t="str">
        <f aca="false">HYPERLINK("https://www.ncbi.nlm.nih.gov/nuccore/CP000058.1?report=graph&amp;tracks=[key:gene_model_track,Options:GeneOnly]&amp;mk=3171563:3171582|offset_1|00cc00,3171605:3171624|offset_43|444444,3171684:3171703|offset_122|444444,3171716:3171735|offset_154|444444&amp;v=3171362:3171935&amp;c=444444", "offset 1")</f>
        <v>offset 1</v>
      </c>
    </row>
    <row r="10093" customFormat="false" ht="12.8" hidden="false" customHeight="false" outlineLevel="0" collapsed="false">
      <c r="A10093" s="0" t="s">
        <v>12</v>
      </c>
      <c r="B10093" s="0" t="n">
        <v>3171604</v>
      </c>
      <c r="C10093" s="0" t="n">
        <v>3171624</v>
      </c>
      <c r="D10093" s="0" t="s">
        <v>33525</v>
      </c>
      <c r="E10093" s="0" t="s">
        <v>75</v>
      </c>
      <c r="F10093" s="0" t="s">
        <v>15</v>
      </c>
      <c r="G10093" s="0" t="s">
        <v>16</v>
      </c>
      <c r="H10093" s="0" t="n">
        <v>43</v>
      </c>
      <c r="I10093" s="0" t="s">
        <v>33529</v>
      </c>
      <c r="J10093" s="0" t="s">
        <v>33530</v>
      </c>
      <c r="K10093" s="0" t="s">
        <v>33531</v>
      </c>
      <c r="L10093" s="0" t="str">
        <f aca="false">HYPERLINK("https://www.ncbi.nlm.nih.gov/nuccore/CP000058.1?report=graph&amp;tracks=[key:gene_model_track,Options:GeneOnly]&amp;mk=3171563:3171582|offset_1|444444,3171605:3171624|offset_43|00cc00,3171684:3171703|offset_122|444444,3171716:3171735|offset_154|444444&amp;v=3171362:3171935&amp;c=444444", "offset 43")</f>
        <v>offset 43</v>
      </c>
    </row>
    <row r="10094" customFormat="false" ht="12.8" hidden="false" customHeight="false" outlineLevel="0" collapsed="false">
      <c r="A10094" s="0" t="s">
        <v>12</v>
      </c>
      <c r="B10094" s="0" t="n">
        <v>3171683</v>
      </c>
      <c r="C10094" s="0" t="n">
        <v>3171703</v>
      </c>
      <c r="D10094" s="0" t="s">
        <v>33525</v>
      </c>
      <c r="E10094" s="0" t="s">
        <v>75</v>
      </c>
      <c r="F10094" s="0" t="s">
        <v>15</v>
      </c>
      <c r="G10094" s="0" t="s">
        <v>32</v>
      </c>
      <c r="H10094" s="0" t="n">
        <v>122</v>
      </c>
      <c r="I10094" s="0" t="s">
        <v>33532</v>
      </c>
      <c r="J10094" s="0" t="s">
        <v>33533</v>
      </c>
      <c r="K10094" s="0" t="s">
        <v>33534</v>
      </c>
      <c r="L10094" s="0" t="str">
        <f aca="false">HYPERLINK("https://www.ncbi.nlm.nih.gov/nuccore/CP000058.1?report=graph&amp;tracks=[key:gene_model_track,Options:GeneOnly]&amp;mk=3171563:3171582|offset_1|444444,3171605:3171624|offset_43|444444,3171684:3171703|offset_122|00cc00,3171716:3171735|offset_154|444444&amp;v=3171362:3171935&amp;c=444444", "offset 122")</f>
        <v>offset 122</v>
      </c>
    </row>
    <row r="10095" customFormat="false" ht="12.8" hidden="false" customHeight="false" outlineLevel="0" collapsed="false">
      <c r="A10095" s="0" t="s">
        <v>12</v>
      </c>
      <c r="B10095" s="0" t="n">
        <v>3171715</v>
      </c>
      <c r="C10095" s="0" t="n">
        <v>3171735</v>
      </c>
      <c r="D10095" s="0" t="s">
        <v>33525</v>
      </c>
      <c r="E10095" s="0" t="s">
        <v>75</v>
      </c>
      <c r="F10095" s="0" t="s">
        <v>15</v>
      </c>
      <c r="G10095" s="0" t="s">
        <v>32</v>
      </c>
      <c r="H10095" s="0" t="n">
        <v>154</v>
      </c>
      <c r="I10095" s="0" t="s">
        <v>33535</v>
      </c>
      <c r="J10095" s="0" t="s">
        <v>33536</v>
      </c>
      <c r="K10095" s="0" t="s">
        <v>33537</v>
      </c>
      <c r="L10095" s="0" t="str">
        <f aca="false">HYPERLINK("https://www.ncbi.nlm.nih.gov/nuccore/CP000058.1?report=graph&amp;tracks=[key:gene_model_track,Options:GeneOnly]&amp;mk=3171563:3171582|offset_1|444444,3171605:3171624|offset_43|444444,3171684:3171703|offset_122|444444,3171716:3171735|offset_154|00cc00&amp;v=3171362:3171935&amp;c=444444", "offset 154")</f>
        <v>offset 154</v>
      </c>
    </row>
    <row r="10096" customFormat="false" ht="12.8" hidden="false" customHeight="false" outlineLevel="0" collapsed="false">
      <c r="A10096" s="0" t="s">
        <v>12</v>
      </c>
      <c r="B10096" s="0" t="n">
        <v>3173208</v>
      </c>
      <c r="C10096" s="0" t="n">
        <v>3173228</v>
      </c>
      <c r="D10096" s="0" t="s">
        <v>33538</v>
      </c>
      <c r="E10096" s="0" t="s">
        <v>75</v>
      </c>
      <c r="F10096" s="0" t="s">
        <v>90</v>
      </c>
      <c r="G10096" s="0" t="s">
        <v>16</v>
      </c>
      <c r="H10096" s="0" t="n">
        <v>16</v>
      </c>
      <c r="I10096" s="0" t="s">
        <v>33539</v>
      </c>
      <c r="J10096" s="0" t="s">
        <v>33540</v>
      </c>
      <c r="K10096" s="0" t="s">
        <v>33541</v>
      </c>
      <c r="L10096" s="0" t="str">
        <f aca="false">HYPERLINK("https://www.ncbi.nlm.nih.gov/nuccore/CP000058.1?report=graph&amp;tracks=[key:gene_model_track,Options:GeneOnly]&amp;mk=3173209:3173228|offset_16|00cc00,3173189:3173208|offset_36|444444,3173169:3173188|offset_56|444444,3173149:3173168|offset_76|444444&amp;v=3173008:3173368&amp;c=444444", "offset 16")</f>
        <v>offset 16</v>
      </c>
    </row>
    <row r="10097" customFormat="false" ht="12.8" hidden="false" customHeight="false" outlineLevel="0" collapsed="false">
      <c r="A10097" s="0" t="s">
        <v>12</v>
      </c>
      <c r="B10097" s="0" t="n">
        <v>3173188</v>
      </c>
      <c r="C10097" s="0" t="n">
        <v>3173208</v>
      </c>
      <c r="D10097" s="0" t="s">
        <v>33538</v>
      </c>
      <c r="E10097" s="0" t="s">
        <v>75</v>
      </c>
      <c r="F10097" s="0" t="s">
        <v>90</v>
      </c>
      <c r="G10097" s="0" t="s">
        <v>36</v>
      </c>
      <c r="H10097" s="0" t="n">
        <v>36</v>
      </c>
      <c r="I10097" s="0" t="s">
        <v>33542</v>
      </c>
      <c r="J10097" s="0" t="s">
        <v>33543</v>
      </c>
      <c r="K10097" s="0" t="s">
        <v>33544</v>
      </c>
      <c r="L10097" s="0" t="str">
        <f aca="false">HYPERLINK("https://www.ncbi.nlm.nih.gov/nuccore/CP000058.1?report=graph&amp;tracks=[key:gene_model_track,Options:GeneOnly]&amp;mk=3173209:3173228|offset_16|444444,3173189:3173208|offset_36|00cc00,3173169:3173188|offset_56|444444,3173149:3173168|offset_76|444444&amp;v=3173008:3173368&amp;c=444444", "offset 36")</f>
        <v>offset 36</v>
      </c>
    </row>
    <row r="10098" customFormat="false" ht="12.8" hidden="false" customHeight="false" outlineLevel="0" collapsed="false">
      <c r="A10098" s="0" t="s">
        <v>12</v>
      </c>
      <c r="B10098" s="0" t="n">
        <v>3173168</v>
      </c>
      <c r="C10098" s="0" t="n">
        <v>3173188</v>
      </c>
      <c r="D10098" s="0" t="s">
        <v>33538</v>
      </c>
      <c r="E10098" s="0" t="s">
        <v>75</v>
      </c>
      <c r="F10098" s="0" t="s">
        <v>90</v>
      </c>
      <c r="G10098" s="0" t="s">
        <v>20</v>
      </c>
      <c r="H10098" s="0" t="n">
        <v>56</v>
      </c>
      <c r="I10098" s="0" t="s">
        <v>33545</v>
      </c>
      <c r="J10098" s="0" t="s">
        <v>33546</v>
      </c>
      <c r="K10098" s="0" t="s">
        <v>33547</v>
      </c>
      <c r="L10098" s="0" t="str">
        <f aca="false">HYPERLINK("https://www.ncbi.nlm.nih.gov/nuccore/CP000058.1?report=graph&amp;tracks=[key:gene_model_track,Options:GeneOnly]&amp;mk=3173209:3173228|offset_16|444444,3173189:3173208|offset_36|444444,3173169:3173188|offset_56|00cc00,3173149:3173168|offset_76|444444&amp;v=3173008:3173368&amp;c=444444", "offset 56")</f>
        <v>offset 56</v>
      </c>
    </row>
    <row r="10099" customFormat="false" ht="12.8" hidden="false" customHeight="false" outlineLevel="0" collapsed="false">
      <c r="A10099" s="0" t="s">
        <v>12</v>
      </c>
      <c r="B10099" s="0" t="n">
        <v>3173148</v>
      </c>
      <c r="C10099" s="0" t="n">
        <v>3173168</v>
      </c>
      <c r="D10099" s="0" t="s">
        <v>33538</v>
      </c>
      <c r="E10099" s="0" t="s">
        <v>75</v>
      </c>
      <c r="F10099" s="0" t="s">
        <v>90</v>
      </c>
      <c r="G10099" s="0" t="s">
        <v>32</v>
      </c>
      <c r="H10099" s="0" t="n">
        <v>76</v>
      </c>
      <c r="I10099" s="0" t="s">
        <v>33548</v>
      </c>
      <c r="J10099" s="0" t="s">
        <v>33549</v>
      </c>
      <c r="K10099" s="0" t="s">
        <v>33550</v>
      </c>
      <c r="L10099" s="0" t="str">
        <f aca="false">HYPERLINK("https://www.ncbi.nlm.nih.gov/nuccore/CP000058.1?report=graph&amp;tracks=[key:gene_model_track,Options:GeneOnly]&amp;mk=3173209:3173228|offset_16|444444,3173189:3173208|offset_36|444444,3173169:3173188|offset_56|444444,3173149:3173168|offset_76|00cc00&amp;v=3173008:3173368&amp;c=444444", "offset 76")</f>
        <v>offset 76</v>
      </c>
    </row>
    <row r="10100" customFormat="false" ht="12.8" hidden="false" customHeight="false" outlineLevel="0" collapsed="false">
      <c r="A10100" s="0" t="s">
        <v>12</v>
      </c>
      <c r="B10100" s="0" t="n">
        <v>3173908</v>
      </c>
      <c r="C10100" s="0" t="n">
        <v>3173928</v>
      </c>
      <c r="D10100" s="0" t="s">
        <v>33551</v>
      </c>
      <c r="E10100" s="0" t="s">
        <v>75</v>
      </c>
      <c r="F10100" s="0" t="s">
        <v>15</v>
      </c>
      <c r="G10100" s="0" t="s">
        <v>20</v>
      </c>
      <c r="H10100" s="0" t="n">
        <v>52</v>
      </c>
      <c r="I10100" s="0" t="s">
        <v>33552</v>
      </c>
      <c r="J10100" s="0" t="s">
        <v>33553</v>
      </c>
      <c r="K10100" s="0" t="s">
        <v>33554</v>
      </c>
      <c r="L10100" s="0" t="str">
        <f aca="false">HYPERLINK("https://www.ncbi.nlm.nih.gov/nuccore/CP000058.1?report=graph&amp;tracks=[key:gene_model_track,Options:GeneOnly]&amp;mk=3173909:3173928|offset_52|00cc00,3173966:3173985|offset_109|444444,3173999:3174018|offset_142|444444,3174043:3174062|offset_186|444444&amp;v=3173708:3174262&amp;c=444444", "offset 52")</f>
        <v>offset 52</v>
      </c>
    </row>
    <row r="10101" customFormat="false" ht="12.8" hidden="false" customHeight="false" outlineLevel="0" collapsed="false">
      <c r="A10101" s="0" t="s">
        <v>12</v>
      </c>
      <c r="B10101" s="0" t="n">
        <v>3173965</v>
      </c>
      <c r="C10101" s="0" t="n">
        <v>3173985</v>
      </c>
      <c r="D10101" s="0" t="s">
        <v>33551</v>
      </c>
      <c r="E10101" s="0" t="s">
        <v>75</v>
      </c>
      <c r="F10101" s="0" t="s">
        <v>15</v>
      </c>
      <c r="G10101" s="0" t="s">
        <v>32</v>
      </c>
      <c r="H10101" s="0" t="n">
        <v>109</v>
      </c>
      <c r="I10101" s="0" t="s">
        <v>33555</v>
      </c>
      <c r="J10101" s="0" t="s">
        <v>33556</v>
      </c>
      <c r="K10101" s="0" t="s">
        <v>33557</v>
      </c>
      <c r="L10101" s="0" t="str">
        <f aca="false">HYPERLINK("https://www.ncbi.nlm.nih.gov/nuccore/CP000058.1?report=graph&amp;tracks=[key:gene_model_track,Options:GeneOnly]&amp;mk=3173909:3173928|offset_52|444444,3173966:3173985|offset_109|00cc00,3173999:3174018|offset_142|444444,3174043:3174062|offset_186|444444&amp;v=3173708:3174262&amp;c=444444", "offset 109")</f>
        <v>offset 109</v>
      </c>
    </row>
    <row r="10102" customFormat="false" ht="12.8" hidden="false" customHeight="false" outlineLevel="0" collapsed="false">
      <c r="A10102" s="0" t="s">
        <v>12</v>
      </c>
      <c r="B10102" s="0" t="n">
        <v>3173998</v>
      </c>
      <c r="C10102" s="0" t="n">
        <v>3174018</v>
      </c>
      <c r="D10102" s="0" t="s">
        <v>33551</v>
      </c>
      <c r="E10102" s="0" t="s">
        <v>75</v>
      </c>
      <c r="F10102" s="0" t="s">
        <v>15</v>
      </c>
      <c r="G10102" s="0" t="s">
        <v>16</v>
      </c>
      <c r="H10102" s="0" t="n">
        <v>142</v>
      </c>
      <c r="I10102" s="0" t="s">
        <v>33558</v>
      </c>
      <c r="J10102" s="0" t="s">
        <v>33559</v>
      </c>
      <c r="K10102" s="0" t="s">
        <v>33560</v>
      </c>
      <c r="L10102" s="0" t="str">
        <f aca="false">HYPERLINK("https://www.ncbi.nlm.nih.gov/nuccore/CP000058.1?report=graph&amp;tracks=[key:gene_model_track,Options:GeneOnly]&amp;mk=3173909:3173928|offset_52|444444,3173966:3173985|offset_109|444444,3173999:3174018|offset_142|00cc00,3174043:3174062|offset_186|444444&amp;v=3173708:3174262&amp;c=444444", "offset 142")</f>
        <v>offset 142</v>
      </c>
    </row>
    <row r="10103" customFormat="false" ht="12.8" hidden="false" customHeight="false" outlineLevel="0" collapsed="false">
      <c r="A10103" s="0" t="s">
        <v>12</v>
      </c>
      <c r="B10103" s="0" t="n">
        <v>3174042</v>
      </c>
      <c r="C10103" s="0" t="n">
        <v>3174062</v>
      </c>
      <c r="D10103" s="0" t="s">
        <v>33551</v>
      </c>
      <c r="E10103" s="0" t="s">
        <v>75</v>
      </c>
      <c r="F10103" s="0" t="s">
        <v>15</v>
      </c>
      <c r="G10103" s="0" t="s">
        <v>32</v>
      </c>
      <c r="H10103" s="0" t="n">
        <v>186</v>
      </c>
      <c r="I10103" s="0" t="s">
        <v>33561</v>
      </c>
      <c r="J10103" s="0" t="s">
        <v>33562</v>
      </c>
      <c r="K10103" s="0" t="s">
        <v>33563</v>
      </c>
      <c r="L10103" s="0" t="str">
        <f aca="false">HYPERLINK("https://www.ncbi.nlm.nih.gov/nuccore/CP000058.1?report=graph&amp;tracks=[key:gene_model_track,Options:GeneOnly]&amp;mk=3173909:3173928|offset_52|444444,3173966:3173985|offset_109|444444,3173999:3174018|offset_142|444444,3174043:3174062|offset_186|00cc00&amp;v=3173708:3174262&amp;c=444444", "offset 186")</f>
        <v>offset 186</v>
      </c>
    </row>
    <row r="10104" customFormat="false" ht="12.8" hidden="false" customHeight="false" outlineLevel="0" collapsed="false">
      <c r="A10104" s="0" t="s">
        <v>12</v>
      </c>
      <c r="B10104" s="0" t="n">
        <v>3175470</v>
      </c>
      <c r="C10104" s="0" t="n">
        <v>3175490</v>
      </c>
      <c r="D10104" s="0" t="s">
        <v>33564</v>
      </c>
      <c r="E10104" s="0" t="s">
        <v>33565</v>
      </c>
      <c r="F10104" s="0" t="s">
        <v>15</v>
      </c>
      <c r="G10104" s="0" t="s">
        <v>32</v>
      </c>
      <c r="H10104" s="0" t="n">
        <v>16</v>
      </c>
      <c r="I10104" s="0" t="s">
        <v>33566</v>
      </c>
      <c r="J10104" s="0" t="s">
        <v>33567</v>
      </c>
      <c r="K10104" s="0" t="s">
        <v>33568</v>
      </c>
      <c r="L10104" s="0" t="str">
        <f aca="false">HYPERLINK("https://www.ncbi.nlm.nih.gov/nuccore/CP000058.1?report=graph&amp;tracks=[key:gene_model_track,Options:GeneOnly]&amp;mk=3175471:3175490|offset_16|00cc00,3175508:3175527|offset_53|444444,3175534:3175553|offset_79|444444,3175554:3175573|offset_99|444444&amp;v=3175270:3175773&amp;c=444444", "offset 16")</f>
        <v>offset 16</v>
      </c>
    </row>
    <row r="10105" customFormat="false" ht="12.8" hidden="false" customHeight="false" outlineLevel="0" collapsed="false">
      <c r="A10105" s="0" t="s">
        <v>12</v>
      </c>
      <c r="B10105" s="0" t="n">
        <v>3175507</v>
      </c>
      <c r="C10105" s="0" t="n">
        <v>3175527</v>
      </c>
      <c r="D10105" s="0" t="s">
        <v>33564</v>
      </c>
      <c r="E10105" s="0" t="s">
        <v>33565</v>
      </c>
      <c r="F10105" s="0" t="s">
        <v>15</v>
      </c>
      <c r="G10105" s="0" t="s">
        <v>20</v>
      </c>
      <c r="H10105" s="0" t="n">
        <v>53</v>
      </c>
      <c r="I10105" s="0" t="s">
        <v>33569</v>
      </c>
      <c r="J10105" s="0" t="s">
        <v>33570</v>
      </c>
      <c r="K10105" s="0" t="s">
        <v>33571</v>
      </c>
      <c r="L10105" s="0" t="str">
        <f aca="false">HYPERLINK("https://www.ncbi.nlm.nih.gov/nuccore/CP000058.1?report=graph&amp;tracks=[key:gene_model_track,Options:GeneOnly]&amp;mk=3175471:3175490|offset_16|444444,3175508:3175527|offset_53|00cc00,3175534:3175553|offset_79|444444,3175554:3175573|offset_99|444444&amp;v=3175270:3175773&amp;c=444444", "offset 53")</f>
        <v>offset 53</v>
      </c>
    </row>
    <row r="10106" customFormat="false" ht="12.8" hidden="false" customHeight="false" outlineLevel="0" collapsed="false">
      <c r="A10106" s="0" t="s">
        <v>12</v>
      </c>
      <c r="B10106" s="0" t="n">
        <v>3175533</v>
      </c>
      <c r="C10106" s="0" t="n">
        <v>3175553</v>
      </c>
      <c r="D10106" s="0" t="s">
        <v>33564</v>
      </c>
      <c r="E10106" s="0" t="s">
        <v>33565</v>
      </c>
      <c r="F10106" s="0" t="s">
        <v>15</v>
      </c>
      <c r="G10106" s="0" t="s">
        <v>32</v>
      </c>
      <c r="H10106" s="0" t="n">
        <v>79</v>
      </c>
      <c r="I10106" s="0" t="s">
        <v>33572</v>
      </c>
      <c r="J10106" s="0" t="s">
        <v>33573</v>
      </c>
      <c r="K10106" s="0" t="s">
        <v>33574</v>
      </c>
      <c r="L10106" s="0" t="str">
        <f aca="false">HYPERLINK("https://www.ncbi.nlm.nih.gov/nuccore/CP000058.1?report=graph&amp;tracks=[key:gene_model_track,Options:GeneOnly]&amp;mk=3175471:3175490|offset_16|444444,3175508:3175527|offset_53|444444,3175534:3175553|offset_79|00cc00,3175554:3175573|offset_99|444444&amp;v=3175270:3175773&amp;c=444444", "offset 79")</f>
        <v>offset 79</v>
      </c>
    </row>
    <row r="10107" customFormat="false" ht="12.8" hidden="false" customHeight="false" outlineLevel="0" collapsed="false">
      <c r="A10107" s="0" t="s">
        <v>12</v>
      </c>
      <c r="B10107" s="0" t="n">
        <v>3175553</v>
      </c>
      <c r="C10107" s="0" t="n">
        <v>3175573</v>
      </c>
      <c r="D10107" s="0" t="s">
        <v>33564</v>
      </c>
      <c r="E10107" s="0" t="s">
        <v>33565</v>
      </c>
      <c r="F10107" s="0" t="s">
        <v>15</v>
      </c>
      <c r="G10107" s="0" t="s">
        <v>16</v>
      </c>
      <c r="H10107" s="0" t="n">
        <v>99</v>
      </c>
      <c r="I10107" s="0" t="s">
        <v>33575</v>
      </c>
      <c r="J10107" s="0" t="s">
        <v>33576</v>
      </c>
      <c r="K10107" s="0" t="s">
        <v>33577</v>
      </c>
      <c r="L10107" s="0" t="str">
        <f aca="false">HYPERLINK("https://www.ncbi.nlm.nih.gov/nuccore/CP000058.1?report=graph&amp;tracks=[key:gene_model_track,Options:GeneOnly]&amp;mk=3175471:3175490|offset_16|444444,3175508:3175527|offset_53|444444,3175534:3175553|offset_79|444444,3175554:3175573|offset_99|00cc00&amp;v=3175270:3175773&amp;c=444444", "offset 99")</f>
        <v>offset 99</v>
      </c>
    </row>
    <row r="10108" customFormat="false" ht="12.8" hidden="false" customHeight="false" outlineLevel="0" collapsed="false">
      <c r="A10108" s="0" t="s">
        <v>12</v>
      </c>
      <c r="B10108" s="0" t="n">
        <v>3176474</v>
      </c>
      <c r="C10108" s="0" t="n">
        <v>3176494</v>
      </c>
      <c r="D10108" s="0" t="s">
        <v>33578</v>
      </c>
      <c r="E10108" s="0" t="s">
        <v>75</v>
      </c>
      <c r="F10108" s="0" t="s">
        <v>15</v>
      </c>
      <c r="G10108" s="0" t="s">
        <v>16</v>
      </c>
      <c r="H10108" s="0" t="n">
        <v>13</v>
      </c>
      <c r="I10108" s="0" t="s">
        <v>33579</v>
      </c>
      <c r="J10108" s="0" t="s">
        <v>33580</v>
      </c>
      <c r="K10108" s="0" t="s">
        <v>33581</v>
      </c>
      <c r="L10108" s="0" t="str">
        <f aca="false">HYPERLINK("https://www.ncbi.nlm.nih.gov/nuccore/CP000058.1?report=graph&amp;tracks=[key:gene_model_track,Options:GeneOnly]&amp;mk=3176475:3176494|offset_13|00cc00,3176522:3176541|offset_60|444444,3176582:3176601|offset_120|444444,3176603:3176622|offset_141|444444&amp;v=3176274:3176822&amp;c=444444", "offset 13")</f>
        <v>offset 13</v>
      </c>
    </row>
    <row r="10109" customFormat="false" ht="12.8" hidden="false" customHeight="false" outlineLevel="0" collapsed="false">
      <c r="A10109" s="0" t="s">
        <v>12</v>
      </c>
      <c r="B10109" s="0" t="n">
        <v>3176521</v>
      </c>
      <c r="C10109" s="0" t="n">
        <v>3176541</v>
      </c>
      <c r="D10109" s="0" t="s">
        <v>33578</v>
      </c>
      <c r="E10109" s="0" t="s">
        <v>75</v>
      </c>
      <c r="F10109" s="0" t="s">
        <v>15</v>
      </c>
      <c r="G10109" s="0" t="s">
        <v>36</v>
      </c>
      <c r="H10109" s="0" t="n">
        <v>60</v>
      </c>
      <c r="I10109" s="0" t="s">
        <v>33582</v>
      </c>
      <c r="J10109" s="0" t="s">
        <v>33583</v>
      </c>
      <c r="K10109" s="0" t="s">
        <v>33584</v>
      </c>
      <c r="L10109" s="0" t="str">
        <f aca="false">HYPERLINK("https://www.ncbi.nlm.nih.gov/nuccore/CP000058.1?report=graph&amp;tracks=[key:gene_model_track,Options:GeneOnly]&amp;mk=3176475:3176494|offset_13|444444,3176522:3176541|offset_60|00cc00,3176582:3176601|offset_120|444444,3176603:3176622|offset_141|444444&amp;v=3176274:3176822&amp;c=444444", "offset 60")</f>
        <v>offset 60</v>
      </c>
    </row>
    <row r="10110" customFormat="false" ht="12.8" hidden="false" customHeight="false" outlineLevel="0" collapsed="false">
      <c r="A10110" s="0" t="s">
        <v>12</v>
      </c>
      <c r="B10110" s="0" t="n">
        <v>3176581</v>
      </c>
      <c r="C10110" s="0" t="n">
        <v>3176601</v>
      </c>
      <c r="D10110" s="0" t="s">
        <v>33578</v>
      </c>
      <c r="E10110" s="0" t="s">
        <v>75</v>
      </c>
      <c r="F10110" s="0" t="s">
        <v>15</v>
      </c>
      <c r="G10110" s="0" t="s">
        <v>16</v>
      </c>
      <c r="H10110" s="0" t="n">
        <v>120</v>
      </c>
      <c r="I10110" s="0" t="s">
        <v>33585</v>
      </c>
      <c r="J10110" s="0" t="s">
        <v>33586</v>
      </c>
      <c r="K10110" s="0" t="s">
        <v>33587</v>
      </c>
      <c r="L10110" s="0" t="str">
        <f aca="false">HYPERLINK("https://www.ncbi.nlm.nih.gov/nuccore/CP000058.1?report=graph&amp;tracks=[key:gene_model_track,Options:GeneOnly]&amp;mk=3176475:3176494|offset_13|444444,3176522:3176541|offset_60|444444,3176582:3176601|offset_120|00cc00,3176603:3176622|offset_141|444444&amp;v=3176274:3176822&amp;c=444444", "offset 120")</f>
        <v>offset 120</v>
      </c>
    </row>
    <row r="10111" customFormat="false" ht="12.8" hidden="false" customHeight="false" outlineLevel="0" collapsed="false">
      <c r="A10111" s="0" t="s">
        <v>12</v>
      </c>
      <c r="B10111" s="0" t="n">
        <v>3176602</v>
      </c>
      <c r="C10111" s="0" t="n">
        <v>3176622</v>
      </c>
      <c r="D10111" s="0" t="s">
        <v>33578</v>
      </c>
      <c r="E10111" s="0" t="s">
        <v>75</v>
      </c>
      <c r="F10111" s="0" t="s">
        <v>15</v>
      </c>
      <c r="G10111" s="0" t="s">
        <v>36</v>
      </c>
      <c r="H10111" s="0" t="n">
        <v>141</v>
      </c>
      <c r="I10111" s="0" t="s">
        <v>33588</v>
      </c>
      <c r="J10111" s="0" t="s">
        <v>33589</v>
      </c>
      <c r="K10111" s="0" t="s">
        <v>33590</v>
      </c>
      <c r="L10111" s="0" t="str">
        <f aca="false">HYPERLINK("https://www.ncbi.nlm.nih.gov/nuccore/CP000058.1?report=graph&amp;tracks=[key:gene_model_track,Options:GeneOnly]&amp;mk=3176475:3176494|offset_13|444444,3176522:3176541|offset_60|444444,3176582:3176601|offset_120|444444,3176603:3176622|offset_141|00cc00&amp;v=3176274:3176822&amp;c=444444", "offset 141")</f>
        <v>offset 141</v>
      </c>
    </row>
    <row r="10112" customFormat="false" ht="12.8" hidden="false" customHeight="false" outlineLevel="0" collapsed="false">
      <c r="A10112" s="0" t="s">
        <v>12</v>
      </c>
      <c r="B10112" s="0" t="n">
        <v>3177359</v>
      </c>
      <c r="C10112" s="0" t="n">
        <v>3177379</v>
      </c>
      <c r="D10112" s="0" t="s">
        <v>33591</v>
      </c>
      <c r="E10112" s="0" t="s">
        <v>75</v>
      </c>
      <c r="F10112" s="0" t="s">
        <v>15</v>
      </c>
      <c r="G10112" s="0" t="s">
        <v>32</v>
      </c>
      <c r="H10112" s="0" t="n">
        <v>54</v>
      </c>
      <c r="I10112" s="0" t="s">
        <v>33592</v>
      </c>
      <c r="J10112" s="0" t="s">
        <v>33593</v>
      </c>
      <c r="K10112" s="0" t="s">
        <v>33594</v>
      </c>
      <c r="L10112" s="0" t="str">
        <f aca="false">HYPERLINK("https://www.ncbi.nlm.nih.gov/nuccore/CP000058.1?report=graph&amp;tracks=[key:gene_model_track,Options:GeneOnly]&amp;mk=3177360:3177379|offset_54|00cc00,3177445:3177464|offset_139|444444,3177466:3177485|offset_160|444444,3177497:3177516|offset_191|444444&amp;v=3177159:3177716&amp;c=444444", "offset 54")</f>
        <v>offset 54</v>
      </c>
    </row>
    <row r="10113" customFormat="false" ht="12.8" hidden="false" customHeight="false" outlineLevel="0" collapsed="false">
      <c r="A10113" s="0" t="s">
        <v>12</v>
      </c>
      <c r="B10113" s="0" t="n">
        <v>3177444</v>
      </c>
      <c r="C10113" s="0" t="n">
        <v>3177464</v>
      </c>
      <c r="D10113" s="0" t="s">
        <v>33591</v>
      </c>
      <c r="E10113" s="0" t="s">
        <v>75</v>
      </c>
      <c r="F10113" s="0" t="s">
        <v>15</v>
      </c>
      <c r="G10113" s="0" t="s">
        <v>16</v>
      </c>
      <c r="H10113" s="0" t="n">
        <v>139</v>
      </c>
      <c r="I10113" s="0" t="s">
        <v>33595</v>
      </c>
      <c r="J10113" s="0" t="s">
        <v>33596</v>
      </c>
      <c r="K10113" s="0" t="s">
        <v>33597</v>
      </c>
      <c r="L10113" s="0" t="str">
        <f aca="false">HYPERLINK("https://www.ncbi.nlm.nih.gov/nuccore/CP000058.1?report=graph&amp;tracks=[key:gene_model_track,Options:GeneOnly]&amp;mk=3177360:3177379|offset_54|444444,3177445:3177464|offset_139|00cc00,3177466:3177485|offset_160|444444,3177497:3177516|offset_191|444444&amp;v=3177159:3177716&amp;c=444444", "offset 139")</f>
        <v>offset 139</v>
      </c>
    </row>
    <row r="10114" customFormat="false" ht="12.8" hidden="false" customHeight="false" outlineLevel="0" collapsed="false">
      <c r="A10114" s="0" t="s">
        <v>12</v>
      </c>
      <c r="B10114" s="0" t="n">
        <v>3177465</v>
      </c>
      <c r="C10114" s="0" t="n">
        <v>3177485</v>
      </c>
      <c r="D10114" s="0" t="s">
        <v>33591</v>
      </c>
      <c r="E10114" s="0" t="s">
        <v>75</v>
      </c>
      <c r="F10114" s="0" t="s">
        <v>15</v>
      </c>
      <c r="G10114" s="0" t="s">
        <v>16</v>
      </c>
      <c r="H10114" s="0" t="n">
        <v>160</v>
      </c>
      <c r="I10114" s="0" t="s">
        <v>33598</v>
      </c>
      <c r="J10114" s="0" t="s">
        <v>33599</v>
      </c>
      <c r="K10114" s="0" t="s">
        <v>33600</v>
      </c>
      <c r="L10114" s="0" t="str">
        <f aca="false">HYPERLINK("https://www.ncbi.nlm.nih.gov/nuccore/CP000058.1?report=graph&amp;tracks=[key:gene_model_track,Options:GeneOnly]&amp;mk=3177360:3177379|offset_54|444444,3177445:3177464|offset_139|444444,3177466:3177485|offset_160|00cc00,3177497:3177516|offset_191|444444&amp;v=3177159:3177716&amp;c=444444", "offset 160")</f>
        <v>offset 160</v>
      </c>
    </row>
    <row r="10115" customFormat="false" ht="12.8" hidden="false" customHeight="false" outlineLevel="0" collapsed="false">
      <c r="A10115" s="0" t="s">
        <v>12</v>
      </c>
      <c r="B10115" s="0" t="n">
        <v>3177496</v>
      </c>
      <c r="C10115" s="0" t="n">
        <v>3177516</v>
      </c>
      <c r="D10115" s="0" t="s">
        <v>33591</v>
      </c>
      <c r="E10115" s="0" t="s">
        <v>75</v>
      </c>
      <c r="F10115" s="0" t="s">
        <v>15</v>
      </c>
      <c r="G10115" s="0" t="s">
        <v>36</v>
      </c>
      <c r="H10115" s="0" t="n">
        <v>191</v>
      </c>
      <c r="I10115" s="0" t="s">
        <v>33601</v>
      </c>
      <c r="J10115" s="0" t="s">
        <v>33602</v>
      </c>
      <c r="K10115" s="0" t="s">
        <v>33603</v>
      </c>
      <c r="L10115" s="0" t="str">
        <f aca="false">HYPERLINK("https://www.ncbi.nlm.nih.gov/nuccore/CP000058.1?report=graph&amp;tracks=[key:gene_model_track,Options:GeneOnly]&amp;mk=3177360:3177379|offset_54|444444,3177445:3177464|offset_139|444444,3177466:3177485|offset_160|444444,3177497:3177516|offset_191|00cc00&amp;v=3177159:3177716&amp;c=444444", "offset 191")</f>
        <v>offset 191</v>
      </c>
    </row>
    <row r="10116" customFormat="false" ht="12.8" hidden="false" customHeight="false" outlineLevel="0" collapsed="false">
      <c r="A10116" s="0" t="s">
        <v>12</v>
      </c>
      <c r="B10116" s="0" t="n">
        <v>3178200</v>
      </c>
      <c r="C10116" s="0" t="n">
        <v>3178220</v>
      </c>
      <c r="D10116" s="0" t="s">
        <v>33604</v>
      </c>
      <c r="E10116" s="0" t="s">
        <v>75</v>
      </c>
      <c r="F10116" s="0" t="s">
        <v>15</v>
      </c>
      <c r="G10116" s="0" t="s">
        <v>20</v>
      </c>
      <c r="H10116" s="0" t="n">
        <v>50</v>
      </c>
      <c r="I10116" s="0" t="s">
        <v>33605</v>
      </c>
      <c r="J10116" s="0" t="s">
        <v>33606</v>
      </c>
      <c r="K10116" s="0" t="s">
        <v>33607</v>
      </c>
      <c r="L10116" s="0" t="str">
        <f aca="false">HYPERLINK("https://www.ncbi.nlm.nih.gov/nuccore/CP000058.1?report=graph&amp;tracks=[key:gene_model_track,Options:GeneOnly]&amp;mk=3178201:3178220|offset_50|00cc00,3178247:3178266|offset_96|444444,3178314:3178333|offset_163|444444,3178348:3178367|offset_197|444444&amp;v=3178000:3178567&amp;c=444444", "offset 50")</f>
        <v>offset 50</v>
      </c>
    </row>
    <row r="10117" customFormat="false" ht="12.8" hidden="false" customHeight="false" outlineLevel="0" collapsed="false">
      <c r="A10117" s="0" t="s">
        <v>12</v>
      </c>
      <c r="B10117" s="0" t="n">
        <v>3178246</v>
      </c>
      <c r="C10117" s="0" t="n">
        <v>3178266</v>
      </c>
      <c r="D10117" s="0" t="s">
        <v>33604</v>
      </c>
      <c r="E10117" s="0" t="s">
        <v>75</v>
      </c>
      <c r="F10117" s="0" t="s">
        <v>15</v>
      </c>
      <c r="G10117" s="0" t="s">
        <v>16</v>
      </c>
      <c r="H10117" s="0" t="n">
        <v>96</v>
      </c>
      <c r="I10117" s="0" t="s">
        <v>33608</v>
      </c>
      <c r="J10117" s="0" t="s">
        <v>33609</v>
      </c>
      <c r="K10117" s="0" t="s">
        <v>33610</v>
      </c>
      <c r="L10117" s="0" t="str">
        <f aca="false">HYPERLINK("https://www.ncbi.nlm.nih.gov/nuccore/CP000058.1?report=graph&amp;tracks=[key:gene_model_track,Options:GeneOnly]&amp;mk=3178201:3178220|offset_50|444444,3178247:3178266|offset_96|00cc00,3178314:3178333|offset_163|444444,3178348:3178367|offset_197|444444&amp;v=3178000:3178567&amp;c=444444", "offset 96")</f>
        <v>offset 96</v>
      </c>
    </row>
    <row r="10118" customFormat="false" ht="12.8" hidden="false" customHeight="false" outlineLevel="0" collapsed="false">
      <c r="A10118" s="0" t="s">
        <v>12</v>
      </c>
      <c r="B10118" s="0" t="n">
        <v>3178313</v>
      </c>
      <c r="C10118" s="0" t="n">
        <v>3178333</v>
      </c>
      <c r="D10118" s="0" t="s">
        <v>33604</v>
      </c>
      <c r="E10118" s="0" t="s">
        <v>75</v>
      </c>
      <c r="F10118" s="0" t="s">
        <v>15</v>
      </c>
      <c r="G10118" s="0" t="s">
        <v>16</v>
      </c>
      <c r="H10118" s="0" t="n">
        <v>163</v>
      </c>
      <c r="I10118" s="0" t="s">
        <v>33611</v>
      </c>
      <c r="J10118" s="0" t="s">
        <v>33612</v>
      </c>
      <c r="K10118" s="0" t="s">
        <v>33613</v>
      </c>
      <c r="L10118" s="0" t="str">
        <f aca="false">HYPERLINK("https://www.ncbi.nlm.nih.gov/nuccore/CP000058.1?report=graph&amp;tracks=[key:gene_model_track,Options:GeneOnly]&amp;mk=3178201:3178220|offset_50|444444,3178247:3178266|offset_96|444444,3178314:3178333|offset_163|00cc00,3178348:3178367|offset_197|444444&amp;v=3178000:3178567&amp;c=444444", "offset 163")</f>
        <v>offset 163</v>
      </c>
    </row>
    <row r="10119" customFormat="false" ht="12.8" hidden="false" customHeight="false" outlineLevel="0" collapsed="false">
      <c r="A10119" s="0" t="s">
        <v>12</v>
      </c>
      <c r="B10119" s="0" t="n">
        <v>3178347</v>
      </c>
      <c r="C10119" s="0" t="n">
        <v>3178367</v>
      </c>
      <c r="D10119" s="0" t="s">
        <v>33604</v>
      </c>
      <c r="E10119" s="0" t="s">
        <v>75</v>
      </c>
      <c r="F10119" s="0" t="s">
        <v>15</v>
      </c>
      <c r="G10119" s="0" t="s">
        <v>20</v>
      </c>
      <c r="H10119" s="0" t="n">
        <v>197</v>
      </c>
      <c r="I10119" s="0" t="s">
        <v>33614</v>
      </c>
      <c r="J10119" s="0" t="s">
        <v>33615</v>
      </c>
      <c r="K10119" s="0" t="s">
        <v>33616</v>
      </c>
      <c r="L10119" s="0" t="str">
        <f aca="false">HYPERLINK("https://www.ncbi.nlm.nih.gov/nuccore/CP000058.1?report=graph&amp;tracks=[key:gene_model_track,Options:GeneOnly]&amp;mk=3178201:3178220|offset_50|444444,3178247:3178266|offset_96|444444,3178314:3178333|offset_163|444444,3178348:3178367|offset_197|00cc00&amp;v=3178000:3178567&amp;c=444444", "offset 197")</f>
        <v>offset 197</v>
      </c>
    </row>
    <row r="10120" customFormat="false" ht="12.8" hidden="false" customHeight="false" outlineLevel="0" collapsed="false">
      <c r="A10120" s="0" t="s">
        <v>12</v>
      </c>
      <c r="B10120" s="0" t="n">
        <v>3179080</v>
      </c>
      <c r="C10120" s="0" t="n">
        <v>3179100</v>
      </c>
      <c r="D10120" s="0" t="s">
        <v>33617</v>
      </c>
      <c r="E10120" s="0" t="s">
        <v>75</v>
      </c>
      <c r="F10120" s="0" t="s">
        <v>15</v>
      </c>
      <c r="G10120" s="0" t="s">
        <v>36</v>
      </c>
      <c r="H10120" s="0" t="n">
        <v>11</v>
      </c>
      <c r="I10120" s="0" t="s">
        <v>33618</v>
      </c>
      <c r="J10120" s="0" t="s">
        <v>33619</v>
      </c>
      <c r="K10120" s="0" t="s">
        <v>33620</v>
      </c>
      <c r="L10120" s="0" t="str">
        <f aca="false">HYPERLINK("https://www.ncbi.nlm.nih.gov/nuccore/CP000058.1?report=graph&amp;tracks=[key:gene_model_track,Options:GeneOnly]&amp;mk=3179081:3179100|offset_11|00cc00,3179134:3179153|offset_64|444444,3179203:3179222|offset_133|444444,3179237:3179256|offset_167|444444&amp;v=3178880:3179456&amp;c=444444", "offset 11")</f>
        <v>offset 11</v>
      </c>
    </row>
    <row r="10121" customFormat="false" ht="12.8" hidden="false" customHeight="false" outlineLevel="0" collapsed="false">
      <c r="A10121" s="0" t="s">
        <v>12</v>
      </c>
      <c r="B10121" s="0" t="n">
        <v>3179133</v>
      </c>
      <c r="C10121" s="0" t="n">
        <v>3179153</v>
      </c>
      <c r="D10121" s="0" t="s">
        <v>33617</v>
      </c>
      <c r="E10121" s="0" t="s">
        <v>75</v>
      </c>
      <c r="F10121" s="0" t="s">
        <v>15</v>
      </c>
      <c r="G10121" s="0" t="s">
        <v>20</v>
      </c>
      <c r="H10121" s="0" t="n">
        <v>64</v>
      </c>
      <c r="I10121" s="0" t="s">
        <v>33621</v>
      </c>
      <c r="J10121" s="0" t="s">
        <v>33622</v>
      </c>
      <c r="K10121" s="0" t="s">
        <v>33623</v>
      </c>
      <c r="L10121" s="0" t="str">
        <f aca="false">HYPERLINK("https://www.ncbi.nlm.nih.gov/nuccore/CP000058.1?report=graph&amp;tracks=[key:gene_model_track,Options:GeneOnly]&amp;mk=3179081:3179100|offset_11|444444,3179134:3179153|offset_64|00cc00,3179203:3179222|offset_133|444444,3179237:3179256|offset_167|444444&amp;v=3178880:3179456&amp;c=444444", "offset 64")</f>
        <v>offset 64</v>
      </c>
    </row>
    <row r="10122" customFormat="false" ht="12.8" hidden="false" customHeight="false" outlineLevel="0" collapsed="false">
      <c r="A10122" s="0" t="s">
        <v>12</v>
      </c>
      <c r="B10122" s="0" t="n">
        <v>3179202</v>
      </c>
      <c r="C10122" s="0" t="n">
        <v>3179222</v>
      </c>
      <c r="D10122" s="0" t="s">
        <v>33617</v>
      </c>
      <c r="E10122" s="0" t="s">
        <v>75</v>
      </c>
      <c r="F10122" s="0" t="s">
        <v>15</v>
      </c>
      <c r="G10122" s="0" t="s">
        <v>20</v>
      </c>
      <c r="H10122" s="0" t="n">
        <v>133</v>
      </c>
      <c r="I10122" s="0" t="s">
        <v>33624</v>
      </c>
      <c r="J10122" s="0" t="s">
        <v>33625</v>
      </c>
      <c r="K10122" s="0" t="s">
        <v>33626</v>
      </c>
      <c r="L10122" s="0" t="str">
        <f aca="false">HYPERLINK("https://www.ncbi.nlm.nih.gov/nuccore/CP000058.1?report=graph&amp;tracks=[key:gene_model_track,Options:GeneOnly]&amp;mk=3179081:3179100|offset_11|444444,3179134:3179153|offset_64|444444,3179203:3179222|offset_133|00cc00,3179237:3179256|offset_167|444444&amp;v=3178880:3179456&amp;c=444444", "offset 133")</f>
        <v>offset 133</v>
      </c>
    </row>
    <row r="10123" customFormat="false" ht="12.8" hidden="false" customHeight="false" outlineLevel="0" collapsed="false">
      <c r="A10123" s="0" t="s">
        <v>12</v>
      </c>
      <c r="B10123" s="0" t="n">
        <v>3179236</v>
      </c>
      <c r="C10123" s="0" t="n">
        <v>3179256</v>
      </c>
      <c r="D10123" s="0" t="s">
        <v>33617</v>
      </c>
      <c r="E10123" s="0" t="s">
        <v>75</v>
      </c>
      <c r="F10123" s="0" t="s">
        <v>15</v>
      </c>
      <c r="G10123" s="0" t="s">
        <v>20</v>
      </c>
      <c r="H10123" s="0" t="n">
        <v>167</v>
      </c>
      <c r="I10123" s="0" t="s">
        <v>33627</v>
      </c>
      <c r="J10123" s="0" t="s">
        <v>33628</v>
      </c>
      <c r="K10123" s="0" t="s">
        <v>33629</v>
      </c>
      <c r="L10123" s="0" t="str">
        <f aca="false">HYPERLINK("https://www.ncbi.nlm.nih.gov/nuccore/CP000058.1?report=graph&amp;tracks=[key:gene_model_track,Options:GeneOnly]&amp;mk=3179081:3179100|offset_11|444444,3179134:3179153|offset_64|444444,3179203:3179222|offset_133|444444,3179237:3179256|offset_167|00cc00&amp;v=3178880:3179456&amp;c=444444", "offset 167")</f>
        <v>offset 167</v>
      </c>
    </row>
    <row r="10124" customFormat="false" ht="12.8" hidden="false" customHeight="false" outlineLevel="0" collapsed="false">
      <c r="A10124" s="0" t="s">
        <v>12</v>
      </c>
      <c r="B10124" s="0" t="n">
        <v>3179623</v>
      </c>
      <c r="C10124" s="0" t="n">
        <v>3179643</v>
      </c>
      <c r="D10124" s="0" t="s">
        <v>33630</v>
      </c>
      <c r="E10124" s="0" t="s">
        <v>75</v>
      </c>
      <c r="F10124" s="0" t="s">
        <v>15</v>
      </c>
      <c r="G10124" s="0" t="s">
        <v>20</v>
      </c>
      <c r="H10124" s="0" t="n">
        <v>18</v>
      </c>
      <c r="I10124" s="0" t="s">
        <v>33631</v>
      </c>
      <c r="J10124" s="0" t="s">
        <v>33632</v>
      </c>
      <c r="K10124" s="0" t="s">
        <v>33633</v>
      </c>
      <c r="L10124" s="0" t="str">
        <f aca="false">HYPERLINK("https://www.ncbi.nlm.nih.gov/nuccore/CP000058.1?report=graph&amp;tracks=[key:gene_model_track,Options:GeneOnly]&amp;mk=3179624:3179643|offset_18|00cc00,3179685:3179704|offset_79|444444,3179712:3179731|offset_106|444444,3179742:3179761|offset_136|444444&amp;v=3179423:3179961&amp;c=444444", "offset 18")</f>
        <v>offset 18</v>
      </c>
    </row>
    <row r="10125" customFormat="false" ht="12.8" hidden="false" customHeight="false" outlineLevel="0" collapsed="false">
      <c r="A10125" s="0" t="s">
        <v>12</v>
      </c>
      <c r="B10125" s="0" t="n">
        <v>3179684</v>
      </c>
      <c r="C10125" s="0" t="n">
        <v>3179704</v>
      </c>
      <c r="D10125" s="0" t="s">
        <v>33630</v>
      </c>
      <c r="E10125" s="0" t="s">
        <v>75</v>
      </c>
      <c r="F10125" s="0" t="s">
        <v>15</v>
      </c>
      <c r="G10125" s="0" t="s">
        <v>16</v>
      </c>
      <c r="H10125" s="0" t="n">
        <v>79</v>
      </c>
      <c r="I10125" s="0" t="s">
        <v>33634</v>
      </c>
      <c r="J10125" s="0" t="s">
        <v>33635</v>
      </c>
      <c r="K10125" s="0" t="s">
        <v>33636</v>
      </c>
      <c r="L10125" s="0" t="str">
        <f aca="false">HYPERLINK("https://www.ncbi.nlm.nih.gov/nuccore/CP000058.1?report=graph&amp;tracks=[key:gene_model_track,Options:GeneOnly]&amp;mk=3179624:3179643|offset_18|444444,3179685:3179704|offset_79|00cc00,3179712:3179731|offset_106|444444,3179742:3179761|offset_136|444444&amp;v=3179423:3179961&amp;c=444444", "offset 79")</f>
        <v>offset 79</v>
      </c>
    </row>
    <row r="10126" customFormat="false" ht="12.8" hidden="false" customHeight="false" outlineLevel="0" collapsed="false">
      <c r="A10126" s="0" t="s">
        <v>12</v>
      </c>
      <c r="B10126" s="0" t="n">
        <v>3179711</v>
      </c>
      <c r="C10126" s="0" t="n">
        <v>3179731</v>
      </c>
      <c r="D10126" s="0" t="s">
        <v>33630</v>
      </c>
      <c r="E10126" s="0" t="s">
        <v>75</v>
      </c>
      <c r="F10126" s="0" t="s">
        <v>15</v>
      </c>
      <c r="G10126" s="0" t="s">
        <v>32</v>
      </c>
      <c r="H10126" s="0" t="n">
        <v>106</v>
      </c>
      <c r="I10126" s="0" t="s">
        <v>33637</v>
      </c>
      <c r="J10126" s="0" t="s">
        <v>33638</v>
      </c>
      <c r="K10126" s="0" t="s">
        <v>33639</v>
      </c>
      <c r="L10126" s="0" t="str">
        <f aca="false">HYPERLINK("https://www.ncbi.nlm.nih.gov/nuccore/CP000058.1?report=graph&amp;tracks=[key:gene_model_track,Options:GeneOnly]&amp;mk=3179624:3179643|offset_18|444444,3179685:3179704|offset_79|444444,3179712:3179731|offset_106|00cc00,3179742:3179761|offset_136|444444&amp;v=3179423:3179961&amp;c=444444", "offset 106")</f>
        <v>offset 106</v>
      </c>
    </row>
    <row r="10127" customFormat="false" ht="12.8" hidden="false" customHeight="false" outlineLevel="0" collapsed="false">
      <c r="A10127" s="0" t="s">
        <v>12</v>
      </c>
      <c r="B10127" s="0" t="n">
        <v>3179741</v>
      </c>
      <c r="C10127" s="0" t="n">
        <v>3179761</v>
      </c>
      <c r="D10127" s="0" t="s">
        <v>33630</v>
      </c>
      <c r="E10127" s="0" t="s">
        <v>75</v>
      </c>
      <c r="F10127" s="0" t="s">
        <v>15</v>
      </c>
      <c r="G10127" s="0" t="s">
        <v>32</v>
      </c>
      <c r="H10127" s="0" t="n">
        <v>136</v>
      </c>
      <c r="I10127" s="0" t="s">
        <v>33640</v>
      </c>
      <c r="J10127" s="0" t="s">
        <v>33641</v>
      </c>
      <c r="K10127" s="0" t="s">
        <v>33642</v>
      </c>
      <c r="L10127" s="0" t="str">
        <f aca="false">HYPERLINK("https://www.ncbi.nlm.nih.gov/nuccore/CP000058.1?report=graph&amp;tracks=[key:gene_model_track,Options:GeneOnly]&amp;mk=3179624:3179643|offset_18|444444,3179685:3179704|offset_79|444444,3179712:3179731|offset_106|444444,3179742:3179761|offset_136|00cc00&amp;v=3179423:3179961&amp;c=444444", "offset 136")</f>
        <v>offset 136</v>
      </c>
    </row>
    <row r="10128" customFormat="false" ht="12.8" hidden="false" customHeight="false" outlineLevel="0" collapsed="false">
      <c r="A10128" s="0" t="s">
        <v>12</v>
      </c>
      <c r="B10128" s="0" t="n">
        <v>3180647</v>
      </c>
      <c r="C10128" s="0" t="n">
        <v>3180667</v>
      </c>
      <c r="D10128" s="0" t="s">
        <v>33643</v>
      </c>
      <c r="E10128" s="0" t="s">
        <v>75</v>
      </c>
      <c r="F10128" s="0" t="s">
        <v>15</v>
      </c>
      <c r="G10128" s="0" t="s">
        <v>16</v>
      </c>
      <c r="H10128" s="0" t="n">
        <v>7</v>
      </c>
      <c r="I10128" s="0" t="s">
        <v>33644</v>
      </c>
      <c r="J10128" s="0" t="s">
        <v>33645</v>
      </c>
      <c r="K10128" s="0" t="s">
        <v>33646</v>
      </c>
      <c r="L10128" s="0" t="str">
        <f aca="false">HYPERLINK("https://www.ncbi.nlm.nih.gov/nuccore/CP000058.1?report=graph&amp;tracks=[key:gene_model_track,Options:GeneOnly]&amp;mk=3180648:3180667|offset_7|00cc00,3180674:3180693|offset_33|444444,3180711:3180730|offset_70|444444,3180732:3180751|offset_91|444444&amp;v=3180447:3180951&amp;c=444444", "offset 7")</f>
        <v>offset 7</v>
      </c>
    </row>
    <row r="10129" customFormat="false" ht="12.8" hidden="false" customHeight="false" outlineLevel="0" collapsed="false">
      <c r="A10129" s="0" t="s">
        <v>12</v>
      </c>
      <c r="B10129" s="0" t="n">
        <v>3180673</v>
      </c>
      <c r="C10129" s="0" t="n">
        <v>3180693</v>
      </c>
      <c r="D10129" s="0" t="s">
        <v>33643</v>
      </c>
      <c r="E10129" s="0" t="s">
        <v>75</v>
      </c>
      <c r="F10129" s="0" t="s">
        <v>15</v>
      </c>
      <c r="G10129" s="0" t="s">
        <v>16</v>
      </c>
      <c r="H10129" s="0" t="n">
        <v>33</v>
      </c>
      <c r="I10129" s="0" t="s">
        <v>33647</v>
      </c>
      <c r="J10129" s="0" t="s">
        <v>33648</v>
      </c>
      <c r="K10129" s="0" t="s">
        <v>33649</v>
      </c>
      <c r="L10129" s="0" t="str">
        <f aca="false">HYPERLINK("https://www.ncbi.nlm.nih.gov/nuccore/CP000058.1?report=graph&amp;tracks=[key:gene_model_track,Options:GeneOnly]&amp;mk=3180648:3180667|offset_7|444444,3180674:3180693|offset_33|00cc00,3180711:3180730|offset_70|444444,3180732:3180751|offset_91|444444&amp;v=3180447:3180951&amp;c=444444", "offset 33")</f>
        <v>offset 33</v>
      </c>
    </row>
    <row r="10130" customFormat="false" ht="12.8" hidden="false" customHeight="false" outlineLevel="0" collapsed="false">
      <c r="A10130" s="0" t="s">
        <v>12</v>
      </c>
      <c r="B10130" s="0" t="n">
        <v>3180710</v>
      </c>
      <c r="C10130" s="0" t="n">
        <v>3180730</v>
      </c>
      <c r="D10130" s="0" t="s">
        <v>33643</v>
      </c>
      <c r="E10130" s="0" t="s">
        <v>75</v>
      </c>
      <c r="F10130" s="0" t="s">
        <v>15</v>
      </c>
      <c r="G10130" s="0" t="s">
        <v>32</v>
      </c>
      <c r="H10130" s="0" t="n">
        <v>70</v>
      </c>
      <c r="I10130" s="0" t="s">
        <v>33650</v>
      </c>
      <c r="J10130" s="0" t="s">
        <v>33651</v>
      </c>
      <c r="K10130" s="0" t="s">
        <v>33652</v>
      </c>
      <c r="L10130" s="0" t="str">
        <f aca="false">HYPERLINK("https://www.ncbi.nlm.nih.gov/nuccore/CP000058.1?report=graph&amp;tracks=[key:gene_model_track,Options:GeneOnly]&amp;mk=3180648:3180667|offset_7|444444,3180674:3180693|offset_33|444444,3180711:3180730|offset_70|00cc00,3180732:3180751|offset_91|444444&amp;v=3180447:3180951&amp;c=444444", "offset 70")</f>
        <v>offset 70</v>
      </c>
    </row>
    <row r="10131" customFormat="false" ht="12.8" hidden="false" customHeight="false" outlineLevel="0" collapsed="false">
      <c r="A10131" s="0" t="s">
        <v>12</v>
      </c>
      <c r="B10131" s="0" t="n">
        <v>3180731</v>
      </c>
      <c r="C10131" s="0" t="n">
        <v>3180751</v>
      </c>
      <c r="D10131" s="0" t="s">
        <v>33643</v>
      </c>
      <c r="E10131" s="0" t="s">
        <v>75</v>
      </c>
      <c r="F10131" s="0" t="s">
        <v>15</v>
      </c>
      <c r="G10131" s="0" t="s">
        <v>32</v>
      </c>
      <c r="H10131" s="0" t="n">
        <v>91</v>
      </c>
      <c r="I10131" s="0" t="s">
        <v>33653</v>
      </c>
      <c r="J10131" s="0" t="s">
        <v>33654</v>
      </c>
      <c r="K10131" s="0" t="s">
        <v>33655</v>
      </c>
      <c r="L10131" s="0" t="str">
        <f aca="false">HYPERLINK("https://www.ncbi.nlm.nih.gov/nuccore/CP000058.1?report=graph&amp;tracks=[key:gene_model_track,Options:GeneOnly]&amp;mk=3180648:3180667|offset_7|444444,3180674:3180693|offset_33|444444,3180711:3180730|offset_70|444444,3180732:3180751|offset_91|00cc00&amp;v=3180447:3180951&amp;c=444444", "offset 91")</f>
        <v>offset 91</v>
      </c>
    </row>
    <row r="10132" customFormat="false" ht="12.8" hidden="false" customHeight="false" outlineLevel="0" collapsed="false">
      <c r="A10132" s="0" t="s">
        <v>12</v>
      </c>
      <c r="B10132" s="0" t="n">
        <v>3183393</v>
      </c>
      <c r="C10132" s="0" t="n">
        <v>3183413</v>
      </c>
      <c r="D10132" s="0" t="s">
        <v>33656</v>
      </c>
      <c r="E10132" s="0" t="s">
        <v>75</v>
      </c>
      <c r="F10132" s="0" t="s">
        <v>15</v>
      </c>
      <c r="G10132" s="0" t="s">
        <v>16</v>
      </c>
      <c r="H10132" s="0" t="n">
        <v>0</v>
      </c>
      <c r="I10132" s="0" t="s">
        <v>33657</v>
      </c>
      <c r="J10132" s="0" t="s">
        <v>33658</v>
      </c>
      <c r="K10132" s="0" t="s">
        <v>33659</v>
      </c>
      <c r="L10132" s="0" t="str">
        <f aca="false">HYPERLINK("https://www.ncbi.nlm.nih.gov/nuccore/CP000058.1?report=graph&amp;tracks=[key:gene_model_track,Options:GeneOnly]&amp;mk=3183394:3183413|offset_0|00cc00,3183440:3183459|offset_46|444444,3183479:3183498|offset_85|444444,3183515:3183534|offset_121|444444&amp;v=3183193:3183734&amp;c=444444", "offset 0")</f>
        <v>offset 0</v>
      </c>
    </row>
    <row r="10133" customFormat="false" ht="12.8" hidden="false" customHeight="false" outlineLevel="0" collapsed="false">
      <c r="A10133" s="0" t="s">
        <v>12</v>
      </c>
      <c r="B10133" s="0" t="n">
        <v>3183439</v>
      </c>
      <c r="C10133" s="0" t="n">
        <v>3183459</v>
      </c>
      <c r="D10133" s="0" t="s">
        <v>33656</v>
      </c>
      <c r="E10133" s="0" t="s">
        <v>75</v>
      </c>
      <c r="F10133" s="0" t="s">
        <v>15</v>
      </c>
      <c r="G10133" s="0" t="s">
        <v>32</v>
      </c>
      <c r="H10133" s="0" t="n">
        <v>46</v>
      </c>
      <c r="I10133" s="0" t="s">
        <v>33660</v>
      </c>
      <c r="J10133" s="0" t="s">
        <v>33661</v>
      </c>
      <c r="K10133" s="0" t="s">
        <v>33662</v>
      </c>
      <c r="L10133" s="0" t="str">
        <f aca="false">HYPERLINK("https://www.ncbi.nlm.nih.gov/nuccore/CP000058.1?report=graph&amp;tracks=[key:gene_model_track,Options:GeneOnly]&amp;mk=3183394:3183413|offset_0|444444,3183440:3183459|offset_46|00cc00,3183479:3183498|offset_85|444444,3183515:3183534|offset_121|444444&amp;v=3183193:3183734&amp;c=444444", "offset 46")</f>
        <v>offset 46</v>
      </c>
    </row>
    <row r="10134" customFormat="false" ht="12.8" hidden="false" customHeight="false" outlineLevel="0" collapsed="false">
      <c r="A10134" s="0" t="s">
        <v>12</v>
      </c>
      <c r="B10134" s="0" t="n">
        <v>3183478</v>
      </c>
      <c r="C10134" s="0" t="n">
        <v>3183498</v>
      </c>
      <c r="D10134" s="0" t="s">
        <v>33656</v>
      </c>
      <c r="E10134" s="0" t="s">
        <v>75</v>
      </c>
      <c r="F10134" s="0" t="s">
        <v>15</v>
      </c>
      <c r="G10134" s="0" t="s">
        <v>32</v>
      </c>
      <c r="H10134" s="0" t="n">
        <v>85</v>
      </c>
      <c r="I10134" s="0" t="s">
        <v>33663</v>
      </c>
      <c r="J10134" s="0" t="s">
        <v>33664</v>
      </c>
      <c r="K10134" s="0" t="s">
        <v>33665</v>
      </c>
      <c r="L10134" s="0" t="str">
        <f aca="false">HYPERLINK("https://www.ncbi.nlm.nih.gov/nuccore/CP000058.1?report=graph&amp;tracks=[key:gene_model_track,Options:GeneOnly]&amp;mk=3183394:3183413|offset_0|444444,3183440:3183459|offset_46|444444,3183479:3183498|offset_85|00cc00,3183515:3183534|offset_121|444444&amp;v=3183193:3183734&amp;c=444444", "offset 85")</f>
        <v>offset 85</v>
      </c>
    </row>
    <row r="10135" customFormat="false" ht="12.8" hidden="false" customHeight="false" outlineLevel="0" collapsed="false">
      <c r="A10135" s="0" t="s">
        <v>12</v>
      </c>
      <c r="B10135" s="0" t="n">
        <v>3183514</v>
      </c>
      <c r="C10135" s="0" t="n">
        <v>3183534</v>
      </c>
      <c r="D10135" s="0" t="s">
        <v>33656</v>
      </c>
      <c r="E10135" s="0" t="s">
        <v>75</v>
      </c>
      <c r="F10135" s="0" t="s">
        <v>15</v>
      </c>
      <c r="G10135" s="0" t="s">
        <v>32</v>
      </c>
      <c r="H10135" s="0" t="n">
        <v>121</v>
      </c>
      <c r="I10135" s="0" t="s">
        <v>33666</v>
      </c>
      <c r="J10135" s="0" t="s">
        <v>33667</v>
      </c>
      <c r="K10135" s="0" t="s">
        <v>33668</v>
      </c>
      <c r="L10135" s="0" t="str">
        <f aca="false">HYPERLINK("https://www.ncbi.nlm.nih.gov/nuccore/CP000058.1?report=graph&amp;tracks=[key:gene_model_track,Options:GeneOnly]&amp;mk=3183394:3183413|offset_0|444444,3183440:3183459|offset_46|444444,3183479:3183498|offset_85|444444,3183515:3183534|offset_121|00cc00&amp;v=3183193:3183734&amp;c=444444", "offset 121")</f>
        <v>offset 121</v>
      </c>
    </row>
    <row r="10136" customFormat="false" ht="12.8" hidden="false" customHeight="false" outlineLevel="0" collapsed="false">
      <c r="A10136" s="0" t="s">
        <v>12</v>
      </c>
      <c r="B10136" s="0" t="n">
        <v>3185021</v>
      </c>
      <c r="C10136" s="0" t="n">
        <v>3185041</v>
      </c>
      <c r="D10136" s="0" t="s">
        <v>33669</v>
      </c>
      <c r="E10136" s="0" t="s">
        <v>75</v>
      </c>
      <c r="F10136" s="0" t="s">
        <v>15</v>
      </c>
      <c r="G10136" s="0" t="s">
        <v>16</v>
      </c>
      <c r="H10136" s="0" t="n">
        <v>13</v>
      </c>
      <c r="I10136" s="0" t="s">
        <v>33670</v>
      </c>
      <c r="J10136" s="0" t="s">
        <v>33671</v>
      </c>
      <c r="K10136" s="0" t="s">
        <v>33672</v>
      </c>
      <c r="L10136" s="0" t="str">
        <f aca="false">HYPERLINK("https://www.ncbi.nlm.nih.gov/nuccore/CP000058.1?report=graph&amp;tracks=[key:gene_model_track,Options:GeneOnly]&amp;mk=3185022:3185041|offset_13|00cc00,3185064:3185083|offset_55|444444,3185086:3185105|offset_77|444444,3185108:3185127|offset_99|444444&amp;v=3184821:3185327&amp;c=444444", "offset 13")</f>
        <v>offset 13</v>
      </c>
    </row>
    <row r="10137" customFormat="false" ht="12.8" hidden="false" customHeight="false" outlineLevel="0" collapsed="false">
      <c r="A10137" s="0" t="s">
        <v>12</v>
      </c>
      <c r="B10137" s="0" t="n">
        <v>3185063</v>
      </c>
      <c r="C10137" s="0" t="n">
        <v>3185083</v>
      </c>
      <c r="D10137" s="0" t="s">
        <v>33669</v>
      </c>
      <c r="E10137" s="0" t="s">
        <v>75</v>
      </c>
      <c r="F10137" s="0" t="s">
        <v>15</v>
      </c>
      <c r="G10137" s="0" t="s">
        <v>32</v>
      </c>
      <c r="H10137" s="0" t="n">
        <v>55</v>
      </c>
      <c r="I10137" s="0" t="s">
        <v>33673</v>
      </c>
      <c r="J10137" s="0" t="s">
        <v>33674</v>
      </c>
      <c r="K10137" s="0" t="s">
        <v>33675</v>
      </c>
      <c r="L10137" s="0" t="str">
        <f aca="false">HYPERLINK("https://www.ncbi.nlm.nih.gov/nuccore/CP000058.1?report=graph&amp;tracks=[key:gene_model_track,Options:GeneOnly]&amp;mk=3185022:3185041|offset_13|444444,3185064:3185083|offset_55|00cc00,3185086:3185105|offset_77|444444,3185108:3185127|offset_99|444444&amp;v=3184821:3185327&amp;c=444444", "offset 55")</f>
        <v>offset 55</v>
      </c>
    </row>
    <row r="10138" customFormat="false" ht="12.8" hidden="false" customHeight="false" outlineLevel="0" collapsed="false">
      <c r="A10138" s="0" t="s">
        <v>12</v>
      </c>
      <c r="B10138" s="0" t="n">
        <v>3185085</v>
      </c>
      <c r="C10138" s="0" t="n">
        <v>3185105</v>
      </c>
      <c r="D10138" s="0" t="s">
        <v>33669</v>
      </c>
      <c r="E10138" s="0" t="s">
        <v>75</v>
      </c>
      <c r="F10138" s="0" t="s">
        <v>15</v>
      </c>
      <c r="G10138" s="0" t="s">
        <v>20</v>
      </c>
      <c r="H10138" s="0" t="n">
        <v>77</v>
      </c>
      <c r="I10138" s="0" t="s">
        <v>33676</v>
      </c>
      <c r="J10138" s="0" t="s">
        <v>33677</v>
      </c>
      <c r="K10138" s="0" t="s">
        <v>33678</v>
      </c>
      <c r="L10138" s="0" t="str">
        <f aca="false">HYPERLINK("https://www.ncbi.nlm.nih.gov/nuccore/CP000058.1?report=graph&amp;tracks=[key:gene_model_track,Options:GeneOnly]&amp;mk=3185022:3185041|offset_13|444444,3185064:3185083|offset_55|444444,3185086:3185105|offset_77|00cc00,3185108:3185127|offset_99|444444&amp;v=3184821:3185327&amp;c=444444", "offset 77")</f>
        <v>offset 77</v>
      </c>
    </row>
    <row r="10139" customFormat="false" ht="12.8" hidden="false" customHeight="false" outlineLevel="0" collapsed="false">
      <c r="A10139" s="0" t="s">
        <v>12</v>
      </c>
      <c r="B10139" s="0" t="n">
        <v>3185107</v>
      </c>
      <c r="C10139" s="0" t="n">
        <v>3185127</v>
      </c>
      <c r="D10139" s="0" t="s">
        <v>33669</v>
      </c>
      <c r="E10139" s="0" t="s">
        <v>75</v>
      </c>
      <c r="F10139" s="0" t="s">
        <v>15</v>
      </c>
      <c r="G10139" s="0" t="s">
        <v>20</v>
      </c>
      <c r="H10139" s="0" t="n">
        <v>99</v>
      </c>
      <c r="I10139" s="0" t="s">
        <v>33679</v>
      </c>
      <c r="J10139" s="0" t="s">
        <v>33680</v>
      </c>
      <c r="K10139" s="0" t="s">
        <v>33681</v>
      </c>
      <c r="L10139" s="0" t="str">
        <f aca="false">HYPERLINK("https://www.ncbi.nlm.nih.gov/nuccore/CP000058.1?report=graph&amp;tracks=[key:gene_model_track,Options:GeneOnly]&amp;mk=3185022:3185041|offset_13|444444,3185064:3185083|offset_55|444444,3185086:3185105|offset_77|444444,3185108:3185127|offset_99|00cc00&amp;v=3184821:3185327&amp;c=444444", "offset 99")</f>
        <v>offset 99</v>
      </c>
    </row>
    <row r="10140" customFormat="false" ht="12.8" hidden="false" customHeight="false" outlineLevel="0" collapsed="false">
      <c r="A10140" s="0" t="s">
        <v>12</v>
      </c>
      <c r="B10140" s="0" t="n">
        <v>3186800</v>
      </c>
      <c r="C10140" s="0" t="n">
        <v>3186820</v>
      </c>
      <c r="D10140" s="0" t="s">
        <v>33682</v>
      </c>
      <c r="E10140" s="0" t="s">
        <v>75</v>
      </c>
      <c r="F10140" s="0" t="s">
        <v>15</v>
      </c>
      <c r="G10140" s="0" t="s">
        <v>16</v>
      </c>
      <c r="H10140" s="0" t="n">
        <v>15</v>
      </c>
      <c r="I10140" s="0" t="s">
        <v>33683</v>
      </c>
      <c r="J10140" s="0" t="s">
        <v>33684</v>
      </c>
      <c r="K10140" s="0" t="s">
        <v>33685</v>
      </c>
      <c r="L10140" s="0" t="str">
        <f aca="false">HYPERLINK("https://www.ncbi.nlm.nih.gov/nuccore/CP000058.1?report=graph&amp;tracks=[key:gene_model_track,Options:GeneOnly]&amp;mk=3186801:3186820|offset_15|00cc00,3186847:3186866|offset_61|444444,3186913:3186932|offset_127|444444,3186955:3186974|offset_169|444444&amp;v=3186600:3187174&amp;c=444444", "offset 15")</f>
        <v>offset 15</v>
      </c>
    </row>
    <row r="10141" customFormat="false" ht="12.8" hidden="false" customHeight="false" outlineLevel="0" collapsed="false">
      <c r="A10141" s="0" t="s">
        <v>12</v>
      </c>
      <c r="B10141" s="0" t="n">
        <v>3186846</v>
      </c>
      <c r="C10141" s="0" t="n">
        <v>3186866</v>
      </c>
      <c r="D10141" s="0" t="s">
        <v>33682</v>
      </c>
      <c r="E10141" s="0" t="s">
        <v>75</v>
      </c>
      <c r="F10141" s="0" t="s">
        <v>15</v>
      </c>
      <c r="G10141" s="0" t="s">
        <v>16</v>
      </c>
      <c r="H10141" s="0" t="n">
        <v>61</v>
      </c>
      <c r="I10141" s="0" t="s">
        <v>33686</v>
      </c>
      <c r="J10141" s="0" t="s">
        <v>33687</v>
      </c>
      <c r="K10141" s="0" t="s">
        <v>33688</v>
      </c>
      <c r="L10141" s="0" t="str">
        <f aca="false">HYPERLINK("https://www.ncbi.nlm.nih.gov/nuccore/CP000058.1?report=graph&amp;tracks=[key:gene_model_track,Options:GeneOnly]&amp;mk=3186801:3186820|offset_15|444444,3186847:3186866|offset_61|00cc00,3186913:3186932|offset_127|444444,3186955:3186974|offset_169|444444&amp;v=3186600:3187174&amp;c=444444", "offset 61")</f>
        <v>offset 61</v>
      </c>
    </row>
    <row r="10142" customFormat="false" ht="12.8" hidden="false" customHeight="false" outlineLevel="0" collapsed="false">
      <c r="A10142" s="0" t="s">
        <v>12</v>
      </c>
      <c r="B10142" s="0" t="n">
        <v>3186912</v>
      </c>
      <c r="C10142" s="0" t="n">
        <v>3186932</v>
      </c>
      <c r="D10142" s="0" t="s">
        <v>33682</v>
      </c>
      <c r="E10142" s="0" t="s">
        <v>75</v>
      </c>
      <c r="F10142" s="0" t="s">
        <v>15</v>
      </c>
      <c r="G10142" s="0" t="s">
        <v>16</v>
      </c>
      <c r="H10142" s="0" t="n">
        <v>127</v>
      </c>
      <c r="I10142" s="0" t="s">
        <v>33689</v>
      </c>
      <c r="J10142" s="0" t="s">
        <v>33690</v>
      </c>
      <c r="K10142" s="0" t="s">
        <v>33691</v>
      </c>
      <c r="L10142" s="0" t="str">
        <f aca="false">HYPERLINK("https://www.ncbi.nlm.nih.gov/nuccore/CP000058.1?report=graph&amp;tracks=[key:gene_model_track,Options:GeneOnly]&amp;mk=3186801:3186820|offset_15|444444,3186847:3186866|offset_61|444444,3186913:3186932|offset_127|00cc00,3186955:3186974|offset_169|444444&amp;v=3186600:3187174&amp;c=444444", "offset 127")</f>
        <v>offset 127</v>
      </c>
    </row>
    <row r="10143" customFormat="false" ht="12.8" hidden="false" customHeight="false" outlineLevel="0" collapsed="false">
      <c r="A10143" s="0" t="s">
        <v>12</v>
      </c>
      <c r="B10143" s="0" t="n">
        <v>3186954</v>
      </c>
      <c r="C10143" s="0" t="n">
        <v>3186974</v>
      </c>
      <c r="D10143" s="0" t="s">
        <v>33682</v>
      </c>
      <c r="E10143" s="0" t="s">
        <v>75</v>
      </c>
      <c r="F10143" s="0" t="s">
        <v>15</v>
      </c>
      <c r="G10143" s="0" t="s">
        <v>32</v>
      </c>
      <c r="H10143" s="0" t="n">
        <v>169</v>
      </c>
      <c r="I10143" s="0" t="s">
        <v>33692</v>
      </c>
      <c r="J10143" s="0" t="s">
        <v>33693</v>
      </c>
      <c r="K10143" s="0" t="s">
        <v>33694</v>
      </c>
      <c r="L10143" s="0" t="str">
        <f aca="false">HYPERLINK("https://www.ncbi.nlm.nih.gov/nuccore/CP000058.1?report=graph&amp;tracks=[key:gene_model_track,Options:GeneOnly]&amp;mk=3186801:3186820|offset_15|444444,3186847:3186866|offset_61|444444,3186913:3186932|offset_127|444444,3186955:3186974|offset_169|00cc00&amp;v=3186600:3187174&amp;c=444444", "offset 169")</f>
        <v>offset 169</v>
      </c>
    </row>
    <row r="10144" customFormat="false" ht="12.8" hidden="false" customHeight="false" outlineLevel="0" collapsed="false">
      <c r="A10144" s="0" t="s">
        <v>12</v>
      </c>
      <c r="B10144" s="0" t="n">
        <v>3188007</v>
      </c>
      <c r="C10144" s="0" t="n">
        <v>3188027</v>
      </c>
      <c r="D10144" s="0" t="s">
        <v>33695</v>
      </c>
      <c r="E10144" s="0" t="s">
        <v>75</v>
      </c>
      <c r="F10144" s="0" t="s">
        <v>15</v>
      </c>
      <c r="G10144" s="0" t="s">
        <v>36</v>
      </c>
      <c r="H10144" s="0" t="n">
        <v>17</v>
      </c>
      <c r="I10144" s="0" t="s">
        <v>33696</v>
      </c>
      <c r="J10144" s="0" t="s">
        <v>33697</v>
      </c>
      <c r="K10144" s="0" t="s">
        <v>33698</v>
      </c>
      <c r="L10144" s="0" t="str">
        <f aca="false">HYPERLINK("https://www.ncbi.nlm.nih.gov/nuccore/CP000058.1?report=graph&amp;tracks=[key:gene_model_track,Options:GeneOnly]&amp;mk=3188008:3188027|offset_17|00cc00,3188059:3188078|offset_68|444444,3188080:3188099|offset_89|444444,3188120:3188139|offset_129|444444&amp;v=3187807:3188339&amp;c=444444", "offset 17")</f>
        <v>offset 17</v>
      </c>
    </row>
    <row r="10145" customFormat="false" ht="12.8" hidden="false" customHeight="false" outlineLevel="0" collapsed="false">
      <c r="A10145" s="0" t="s">
        <v>12</v>
      </c>
      <c r="B10145" s="0" t="n">
        <v>3188058</v>
      </c>
      <c r="C10145" s="0" t="n">
        <v>3188078</v>
      </c>
      <c r="D10145" s="0" t="s">
        <v>33695</v>
      </c>
      <c r="E10145" s="0" t="s">
        <v>75</v>
      </c>
      <c r="F10145" s="0" t="s">
        <v>15</v>
      </c>
      <c r="G10145" s="0" t="s">
        <v>20</v>
      </c>
      <c r="H10145" s="0" t="n">
        <v>68</v>
      </c>
      <c r="I10145" s="0" t="s">
        <v>33699</v>
      </c>
      <c r="J10145" s="0" t="s">
        <v>33700</v>
      </c>
      <c r="K10145" s="0" t="s">
        <v>33701</v>
      </c>
      <c r="L10145" s="0" t="str">
        <f aca="false">HYPERLINK("https://www.ncbi.nlm.nih.gov/nuccore/CP000058.1?report=graph&amp;tracks=[key:gene_model_track,Options:GeneOnly]&amp;mk=3188008:3188027|offset_17|444444,3188059:3188078|offset_68|00cc00,3188080:3188099|offset_89|444444,3188120:3188139|offset_129|444444&amp;v=3187807:3188339&amp;c=444444", "offset 68")</f>
        <v>offset 68</v>
      </c>
    </row>
    <row r="10146" customFormat="false" ht="12.8" hidden="false" customHeight="false" outlineLevel="0" collapsed="false">
      <c r="A10146" s="0" t="s">
        <v>12</v>
      </c>
      <c r="B10146" s="0" t="n">
        <v>3188079</v>
      </c>
      <c r="C10146" s="0" t="n">
        <v>3188099</v>
      </c>
      <c r="D10146" s="0" t="s">
        <v>33695</v>
      </c>
      <c r="E10146" s="0" t="s">
        <v>75</v>
      </c>
      <c r="F10146" s="0" t="s">
        <v>15</v>
      </c>
      <c r="G10146" s="0" t="s">
        <v>36</v>
      </c>
      <c r="H10146" s="0" t="n">
        <v>89</v>
      </c>
      <c r="I10146" s="0" t="s">
        <v>33702</v>
      </c>
      <c r="J10146" s="0" t="s">
        <v>33703</v>
      </c>
      <c r="K10146" s="0" t="s">
        <v>33704</v>
      </c>
      <c r="L10146" s="0" t="str">
        <f aca="false">HYPERLINK("https://www.ncbi.nlm.nih.gov/nuccore/CP000058.1?report=graph&amp;tracks=[key:gene_model_track,Options:GeneOnly]&amp;mk=3188008:3188027|offset_17|444444,3188059:3188078|offset_68|444444,3188080:3188099|offset_89|00cc00,3188120:3188139|offset_129|444444&amp;v=3187807:3188339&amp;c=444444", "offset 89")</f>
        <v>offset 89</v>
      </c>
    </row>
    <row r="10147" customFormat="false" ht="12.8" hidden="false" customHeight="false" outlineLevel="0" collapsed="false">
      <c r="A10147" s="0" t="s">
        <v>12</v>
      </c>
      <c r="B10147" s="0" t="n">
        <v>3188119</v>
      </c>
      <c r="C10147" s="0" t="n">
        <v>3188139</v>
      </c>
      <c r="D10147" s="0" t="s">
        <v>33695</v>
      </c>
      <c r="E10147" s="0" t="s">
        <v>75</v>
      </c>
      <c r="F10147" s="0" t="s">
        <v>15</v>
      </c>
      <c r="G10147" s="0" t="s">
        <v>16</v>
      </c>
      <c r="H10147" s="0" t="n">
        <v>129</v>
      </c>
      <c r="I10147" s="0" t="s">
        <v>33705</v>
      </c>
      <c r="J10147" s="0" t="s">
        <v>33706</v>
      </c>
      <c r="K10147" s="0" t="s">
        <v>33707</v>
      </c>
      <c r="L10147" s="0" t="str">
        <f aca="false">HYPERLINK("https://www.ncbi.nlm.nih.gov/nuccore/CP000058.1?report=graph&amp;tracks=[key:gene_model_track,Options:GeneOnly]&amp;mk=3188008:3188027|offset_17|444444,3188059:3188078|offset_68|444444,3188080:3188099|offset_89|444444,3188120:3188139|offset_129|00cc00&amp;v=3187807:3188339&amp;c=444444", "offset 129")</f>
        <v>offset 129</v>
      </c>
    </row>
    <row r="10148" customFormat="false" ht="12.8" hidden="false" customHeight="false" outlineLevel="0" collapsed="false">
      <c r="A10148" s="0" t="s">
        <v>12</v>
      </c>
      <c r="B10148" s="0" t="n">
        <v>3189428</v>
      </c>
      <c r="C10148" s="0" t="n">
        <v>3189448</v>
      </c>
      <c r="D10148" s="0" t="s">
        <v>33708</v>
      </c>
      <c r="E10148" s="0" t="s">
        <v>75</v>
      </c>
      <c r="F10148" s="0" t="s">
        <v>15</v>
      </c>
      <c r="G10148" s="0" t="s">
        <v>36</v>
      </c>
      <c r="H10148" s="0" t="n">
        <v>10</v>
      </c>
      <c r="I10148" s="0" t="s">
        <v>33709</v>
      </c>
      <c r="J10148" s="0" t="s">
        <v>33710</v>
      </c>
      <c r="K10148" s="0" t="s">
        <v>33711</v>
      </c>
      <c r="L10148" s="0" t="str">
        <f aca="false">HYPERLINK("https://www.ncbi.nlm.nih.gov/nuccore/CP000058.1?report=graph&amp;tracks=[key:gene_model_track,Options:GeneOnly]&amp;mk=3189429:3189448|offset_10|00cc00,3189453:3189472|offset_34|444444,3189474:3189493|offset_55|444444,3189499:3189518|offset_80|444444&amp;v=3189228:3189718&amp;c=444444", "offset 10")</f>
        <v>offset 10</v>
      </c>
    </row>
    <row r="10149" customFormat="false" ht="12.8" hidden="false" customHeight="false" outlineLevel="0" collapsed="false">
      <c r="A10149" s="0" t="s">
        <v>12</v>
      </c>
      <c r="B10149" s="0" t="n">
        <v>3189452</v>
      </c>
      <c r="C10149" s="0" t="n">
        <v>3189472</v>
      </c>
      <c r="D10149" s="0" t="s">
        <v>33708</v>
      </c>
      <c r="E10149" s="0" t="s">
        <v>75</v>
      </c>
      <c r="F10149" s="0" t="s">
        <v>15</v>
      </c>
      <c r="G10149" s="0" t="s">
        <v>16</v>
      </c>
      <c r="H10149" s="0" t="n">
        <v>34</v>
      </c>
      <c r="I10149" s="0" t="s">
        <v>33712</v>
      </c>
      <c r="J10149" s="0" t="s">
        <v>33713</v>
      </c>
      <c r="K10149" s="0" t="s">
        <v>33714</v>
      </c>
      <c r="L10149" s="0" t="str">
        <f aca="false">HYPERLINK("https://www.ncbi.nlm.nih.gov/nuccore/CP000058.1?report=graph&amp;tracks=[key:gene_model_track,Options:GeneOnly]&amp;mk=3189429:3189448|offset_10|444444,3189453:3189472|offset_34|00cc00,3189474:3189493|offset_55|444444,3189499:3189518|offset_80|444444&amp;v=3189228:3189718&amp;c=444444", "offset 34")</f>
        <v>offset 34</v>
      </c>
    </row>
    <row r="10150" customFormat="false" ht="12.8" hidden="false" customHeight="false" outlineLevel="0" collapsed="false">
      <c r="A10150" s="0" t="s">
        <v>12</v>
      </c>
      <c r="B10150" s="0" t="n">
        <v>3189473</v>
      </c>
      <c r="C10150" s="0" t="n">
        <v>3189493</v>
      </c>
      <c r="D10150" s="0" t="s">
        <v>33708</v>
      </c>
      <c r="E10150" s="0" t="s">
        <v>75</v>
      </c>
      <c r="F10150" s="0" t="s">
        <v>15</v>
      </c>
      <c r="G10150" s="0" t="s">
        <v>16</v>
      </c>
      <c r="H10150" s="0" t="n">
        <v>55</v>
      </c>
      <c r="I10150" s="0" t="s">
        <v>33715</v>
      </c>
      <c r="J10150" s="0" t="s">
        <v>33716</v>
      </c>
      <c r="K10150" s="0" t="s">
        <v>33717</v>
      </c>
      <c r="L10150" s="0" t="str">
        <f aca="false">HYPERLINK("https://www.ncbi.nlm.nih.gov/nuccore/CP000058.1?report=graph&amp;tracks=[key:gene_model_track,Options:GeneOnly]&amp;mk=3189429:3189448|offset_10|444444,3189453:3189472|offset_34|444444,3189474:3189493|offset_55|00cc00,3189499:3189518|offset_80|444444&amp;v=3189228:3189718&amp;c=444444", "offset 55")</f>
        <v>offset 55</v>
      </c>
    </row>
    <row r="10151" customFormat="false" ht="12.8" hidden="false" customHeight="false" outlineLevel="0" collapsed="false">
      <c r="A10151" s="0" t="s">
        <v>12</v>
      </c>
      <c r="B10151" s="0" t="n">
        <v>3189498</v>
      </c>
      <c r="C10151" s="0" t="n">
        <v>3189518</v>
      </c>
      <c r="D10151" s="0" t="s">
        <v>33708</v>
      </c>
      <c r="E10151" s="0" t="s">
        <v>75</v>
      </c>
      <c r="F10151" s="0" t="s">
        <v>15</v>
      </c>
      <c r="G10151" s="0" t="s">
        <v>36</v>
      </c>
      <c r="H10151" s="0" t="n">
        <v>80</v>
      </c>
      <c r="I10151" s="0" t="s">
        <v>33718</v>
      </c>
      <c r="J10151" s="0" t="s">
        <v>33719</v>
      </c>
      <c r="K10151" s="0" t="s">
        <v>33720</v>
      </c>
      <c r="L10151" s="0" t="str">
        <f aca="false">HYPERLINK("https://www.ncbi.nlm.nih.gov/nuccore/CP000058.1?report=graph&amp;tracks=[key:gene_model_track,Options:GeneOnly]&amp;mk=3189429:3189448|offset_10|444444,3189453:3189472|offset_34|444444,3189474:3189493|offset_55|444444,3189499:3189518|offset_80|00cc00&amp;v=3189228:3189718&amp;c=444444", "offset 80")</f>
        <v>offset 80</v>
      </c>
    </row>
    <row r="10152" customFormat="false" ht="12.8" hidden="false" customHeight="false" outlineLevel="0" collapsed="false">
      <c r="A10152" s="0" t="s">
        <v>12</v>
      </c>
      <c r="B10152" s="0" t="n">
        <v>3191284</v>
      </c>
      <c r="C10152" s="0" t="n">
        <v>3191304</v>
      </c>
      <c r="D10152" s="0" t="s">
        <v>33721</v>
      </c>
      <c r="E10152" s="0" t="s">
        <v>75</v>
      </c>
      <c r="F10152" s="0" t="s">
        <v>15</v>
      </c>
      <c r="G10152" s="0" t="s">
        <v>32</v>
      </c>
      <c r="H10152" s="0" t="n">
        <v>13</v>
      </c>
      <c r="I10152" s="0" t="s">
        <v>33722</v>
      </c>
      <c r="J10152" s="0" t="s">
        <v>33723</v>
      </c>
      <c r="K10152" s="0" t="s">
        <v>33724</v>
      </c>
      <c r="L10152" s="0" t="str">
        <f aca="false">HYPERLINK("https://www.ncbi.nlm.nih.gov/nuccore/CP000058.1?report=graph&amp;tracks=[key:gene_model_track,Options:GeneOnly]&amp;mk=3191285:3191304|offset_13|00cc00,3191320:3191339|offset_48|444444,3191347:3191366|offset_75|444444,3191375:3191394|offset_103|444444&amp;v=3191084:3191594&amp;c=444444", "offset 13")</f>
        <v>offset 13</v>
      </c>
    </row>
    <row r="10153" customFormat="false" ht="12.8" hidden="false" customHeight="false" outlineLevel="0" collapsed="false">
      <c r="A10153" s="0" t="s">
        <v>12</v>
      </c>
      <c r="B10153" s="0" t="n">
        <v>3191319</v>
      </c>
      <c r="C10153" s="0" t="n">
        <v>3191339</v>
      </c>
      <c r="D10153" s="0" t="s">
        <v>33721</v>
      </c>
      <c r="E10153" s="0" t="s">
        <v>75</v>
      </c>
      <c r="F10153" s="0" t="s">
        <v>15</v>
      </c>
      <c r="G10153" s="0" t="s">
        <v>20</v>
      </c>
      <c r="H10153" s="0" t="n">
        <v>48</v>
      </c>
      <c r="I10153" s="0" t="s">
        <v>33725</v>
      </c>
      <c r="J10153" s="0" t="s">
        <v>33726</v>
      </c>
      <c r="K10153" s="0" t="s">
        <v>33727</v>
      </c>
      <c r="L10153" s="0" t="str">
        <f aca="false">HYPERLINK("https://www.ncbi.nlm.nih.gov/nuccore/CP000058.1?report=graph&amp;tracks=[key:gene_model_track,Options:GeneOnly]&amp;mk=3191285:3191304|offset_13|444444,3191320:3191339|offset_48|00cc00,3191347:3191366|offset_75|444444,3191375:3191394|offset_103|444444&amp;v=3191084:3191594&amp;c=444444", "offset 48")</f>
        <v>offset 48</v>
      </c>
    </row>
    <row r="10154" customFormat="false" ht="12.8" hidden="false" customHeight="false" outlineLevel="0" collapsed="false">
      <c r="A10154" s="0" t="s">
        <v>12</v>
      </c>
      <c r="B10154" s="0" t="n">
        <v>3191346</v>
      </c>
      <c r="C10154" s="0" t="n">
        <v>3191366</v>
      </c>
      <c r="D10154" s="0" t="s">
        <v>33721</v>
      </c>
      <c r="E10154" s="0" t="s">
        <v>75</v>
      </c>
      <c r="F10154" s="0" t="s">
        <v>15</v>
      </c>
      <c r="G10154" s="0" t="s">
        <v>16</v>
      </c>
      <c r="H10154" s="0" t="n">
        <v>75</v>
      </c>
      <c r="I10154" s="0" t="s">
        <v>33728</v>
      </c>
      <c r="J10154" s="0" t="s">
        <v>33729</v>
      </c>
      <c r="K10154" s="0" t="s">
        <v>33730</v>
      </c>
      <c r="L10154" s="0" t="str">
        <f aca="false">HYPERLINK("https://www.ncbi.nlm.nih.gov/nuccore/CP000058.1?report=graph&amp;tracks=[key:gene_model_track,Options:GeneOnly]&amp;mk=3191285:3191304|offset_13|444444,3191320:3191339|offset_48|444444,3191347:3191366|offset_75|00cc00,3191375:3191394|offset_103|444444&amp;v=3191084:3191594&amp;c=444444", "offset 75")</f>
        <v>offset 75</v>
      </c>
    </row>
    <row r="10155" customFormat="false" ht="12.8" hidden="false" customHeight="false" outlineLevel="0" collapsed="false">
      <c r="A10155" s="0" t="s">
        <v>12</v>
      </c>
      <c r="B10155" s="0" t="n">
        <v>3191374</v>
      </c>
      <c r="C10155" s="0" t="n">
        <v>3191394</v>
      </c>
      <c r="D10155" s="0" t="s">
        <v>33721</v>
      </c>
      <c r="E10155" s="0" t="s">
        <v>75</v>
      </c>
      <c r="F10155" s="0" t="s">
        <v>15</v>
      </c>
      <c r="G10155" s="0" t="s">
        <v>16</v>
      </c>
      <c r="H10155" s="0" t="n">
        <v>103</v>
      </c>
      <c r="I10155" s="0" t="s">
        <v>33731</v>
      </c>
      <c r="J10155" s="0" t="s">
        <v>33732</v>
      </c>
      <c r="K10155" s="0" t="s">
        <v>33733</v>
      </c>
      <c r="L10155" s="0" t="str">
        <f aca="false">HYPERLINK("https://www.ncbi.nlm.nih.gov/nuccore/CP000058.1?report=graph&amp;tracks=[key:gene_model_track,Options:GeneOnly]&amp;mk=3191285:3191304|offset_13|444444,3191320:3191339|offset_48|444444,3191347:3191366|offset_75|444444,3191375:3191394|offset_103|00cc00&amp;v=3191084:3191594&amp;c=444444", "offset 103")</f>
        <v>offset 103</v>
      </c>
    </row>
    <row r="10156" customFormat="false" ht="12.8" hidden="false" customHeight="false" outlineLevel="0" collapsed="false">
      <c r="A10156" s="0" t="s">
        <v>12</v>
      </c>
      <c r="B10156" s="0" t="n">
        <v>3192049</v>
      </c>
      <c r="C10156" s="0" t="n">
        <v>3192069</v>
      </c>
      <c r="D10156" s="0" t="s">
        <v>33734</v>
      </c>
      <c r="E10156" s="0" t="s">
        <v>75</v>
      </c>
      <c r="F10156" s="0" t="s">
        <v>15</v>
      </c>
      <c r="G10156" s="0" t="s">
        <v>16</v>
      </c>
      <c r="H10156" s="0" t="n">
        <v>0</v>
      </c>
      <c r="I10156" s="0" t="s">
        <v>33735</v>
      </c>
      <c r="J10156" s="0" t="s">
        <v>33736</v>
      </c>
      <c r="K10156" s="0" t="s">
        <v>33737</v>
      </c>
      <c r="L10156" s="0" t="str">
        <f aca="false">HYPERLINK("https://www.ncbi.nlm.nih.gov/nuccore/CP000058.1?report=graph&amp;tracks=[key:gene_model_track,Options:GeneOnly]&amp;mk=3192050:3192069|offset_0|00cc00,3192072:3192091|offset_22|444444,3192130:3192149|offset_80|444444,3192156:3192175|offset_106|444444&amp;v=3191849:3192375&amp;c=444444", "offset 0")</f>
        <v>offset 0</v>
      </c>
    </row>
    <row r="10157" customFormat="false" ht="12.8" hidden="false" customHeight="false" outlineLevel="0" collapsed="false">
      <c r="A10157" s="0" t="s">
        <v>12</v>
      </c>
      <c r="B10157" s="0" t="n">
        <v>3192071</v>
      </c>
      <c r="C10157" s="0" t="n">
        <v>3192091</v>
      </c>
      <c r="D10157" s="0" t="s">
        <v>33734</v>
      </c>
      <c r="E10157" s="0" t="s">
        <v>75</v>
      </c>
      <c r="F10157" s="0" t="s">
        <v>15</v>
      </c>
      <c r="G10157" s="0" t="s">
        <v>16</v>
      </c>
      <c r="H10157" s="0" t="n">
        <v>22</v>
      </c>
      <c r="I10157" s="0" t="s">
        <v>33738</v>
      </c>
      <c r="J10157" s="0" t="s">
        <v>33739</v>
      </c>
      <c r="K10157" s="0" t="s">
        <v>33740</v>
      </c>
      <c r="L10157" s="0" t="str">
        <f aca="false">HYPERLINK("https://www.ncbi.nlm.nih.gov/nuccore/CP000058.1?report=graph&amp;tracks=[key:gene_model_track,Options:GeneOnly]&amp;mk=3192050:3192069|offset_0|444444,3192072:3192091|offset_22|00cc00,3192130:3192149|offset_80|444444,3192156:3192175|offset_106|444444&amp;v=3191849:3192375&amp;c=444444", "offset 22")</f>
        <v>offset 22</v>
      </c>
    </row>
    <row r="10158" customFormat="false" ht="12.8" hidden="false" customHeight="false" outlineLevel="0" collapsed="false">
      <c r="A10158" s="0" t="s">
        <v>12</v>
      </c>
      <c r="B10158" s="0" t="n">
        <v>3192129</v>
      </c>
      <c r="C10158" s="0" t="n">
        <v>3192149</v>
      </c>
      <c r="D10158" s="0" t="s">
        <v>33734</v>
      </c>
      <c r="E10158" s="0" t="s">
        <v>75</v>
      </c>
      <c r="F10158" s="0" t="s">
        <v>15</v>
      </c>
      <c r="G10158" s="0" t="s">
        <v>16</v>
      </c>
      <c r="H10158" s="0" t="n">
        <v>80</v>
      </c>
      <c r="I10158" s="0" t="s">
        <v>33741</v>
      </c>
      <c r="J10158" s="0" t="s">
        <v>33742</v>
      </c>
      <c r="K10158" s="0" t="s">
        <v>33743</v>
      </c>
      <c r="L10158" s="0" t="str">
        <f aca="false">HYPERLINK("https://www.ncbi.nlm.nih.gov/nuccore/CP000058.1?report=graph&amp;tracks=[key:gene_model_track,Options:GeneOnly]&amp;mk=3192050:3192069|offset_0|444444,3192072:3192091|offset_22|444444,3192130:3192149|offset_80|00cc00,3192156:3192175|offset_106|444444&amp;v=3191849:3192375&amp;c=444444", "offset 80")</f>
        <v>offset 80</v>
      </c>
    </row>
    <row r="10159" customFormat="false" ht="12.8" hidden="false" customHeight="false" outlineLevel="0" collapsed="false">
      <c r="A10159" s="0" t="s">
        <v>12</v>
      </c>
      <c r="B10159" s="0" t="n">
        <v>3192155</v>
      </c>
      <c r="C10159" s="0" t="n">
        <v>3192175</v>
      </c>
      <c r="D10159" s="0" t="s">
        <v>33734</v>
      </c>
      <c r="E10159" s="0" t="s">
        <v>75</v>
      </c>
      <c r="F10159" s="0" t="s">
        <v>15</v>
      </c>
      <c r="G10159" s="0" t="s">
        <v>16</v>
      </c>
      <c r="H10159" s="0" t="n">
        <v>106</v>
      </c>
      <c r="I10159" s="0" t="s">
        <v>33744</v>
      </c>
      <c r="J10159" s="0" t="s">
        <v>33745</v>
      </c>
      <c r="K10159" s="0" t="s">
        <v>33746</v>
      </c>
      <c r="L10159" s="0" t="str">
        <f aca="false">HYPERLINK("https://www.ncbi.nlm.nih.gov/nuccore/CP000058.1?report=graph&amp;tracks=[key:gene_model_track,Options:GeneOnly]&amp;mk=3192050:3192069|offset_0|444444,3192072:3192091|offset_22|444444,3192130:3192149|offset_80|444444,3192156:3192175|offset_106|00cc00&amp;v=3191849:3192375&amp;c=444444", "offset 106")</f>
        <v>offset 106</v>
      </c>
    </row>
    <row r="10160" customFormat="false" ht="12.8" hidden="false" customHeight="false" outlineLevel="0" collapsed="false">
      <c r="A10160" s="0" t="s">
        <v>12</v>
      </c>
      <c r="B10160" s="0" t="n">
        <v>3193936</v>
      </c>
      <c r="C10160" s="0" t="n">
        <v>3193956</v>
      </c>
      <c r="D10160" s="0" t="s">
        <v>33747</v>
      </c>
      <c r="E10160" s="0" t="s">
        <v>33748</v>
      </c>
      <c r="F10160" s="0" t="s">
        <v>15</v>
      </c>
      <c r="G10160" s="0" t="s">
        <v>32</v>
      </c>
      <c r="H10160" s="0" t="n">
        <v>14</v>
      </c>
      <c r="I10160" s="0" t="s">
        <v>33749</v>
      </c>
      <c r="J10160" s="0" t="s">
        <v>33750</v>
      </c>
      <c r="K10160" s="0" t="s">
        <v>33751</v>
      </c>
      <c r="L10160" s="0" t="str">
        <f aca="false">HYPERLINK("https://www.ncbi.nlm.nih.gov/nuccore/CP000058.1?report=graph&amp;tracks=[key:gene_model_track,Options:GeneOnly]&amp;mk=3193937:3193956|offset_14|00cc00,3193973:3193992|offset_50|444444,3193998:3194017|offset_75|444444,3194019:3194038|offset_96|444444&amp;v=3193736:3194238&amp;c=444444", "offset 14")</f>
        <v>offset 14</v>
      </c>
    </row>
    <row r="10161" customFormat="false" ht="12.8" hidden="false" customHeight="false" outlineLevel="0" collapsed="false">
      <c r="A10161" s="0" t="s">
        <v>12</v>
      </c>
      <c r="B10161" s="0" t="n">
        <v>3193972</v>
      </c>
      <c r="C10161" s="0" t="n">
        <v>3193992</v>
      </c>
      <c r="D10161" s="0" t="s">
        <v>33747</v>
      </c>
      <c r="E10161" s="0" t="s">
        <v>33748</v>
      </c>
      <c r="F10161" s="0" t="s">
        <v>15</v>
      </c>
      <c r="G10161" s="0" t="s">
        <v>20</v>
      </c>
      <c r="H10161" s="0" t="n">
        <v>50</v>
      </c>
      <c r="I10161" s="0" t="s">
        <v>33752</v>
      </c>
      <c r="J10161" s="0" t="s">
        <v>33753</v>
      </c>
      <c r="K10161" s="0" t="s">
        <v>33754</v>
      </c>
      <c r="L10161" s="0" t="str">
        <f aca="false">HYPERLINK("https://www.ncbi.nlm.nih.gov/nuccore/CP000058.1?report=graph&amp;tracks=[key:gene_model_track,Options:GeneOnly]&amp;mk=3193937:3193956|offset_14|444444,3193973:3193992|offset_50|00cc00,3193998:3194017|offset_75|444444,3194019:3194038|offset_96|444444&amp;v=3193736:3194238&amp;c=444444", "offset 50")</f>
        <v>offset 50</v>
      </c>
    </row>
    <row r="10162" customFormat="false" ht="12.8" hidden="false" customHeight="false" outlineLevel="0" collapsed="false">
      <c r="A10162" s="0" t="s">
        <v>12</v>
      </c>
      <c r="B10162" s="0" t="n">
        <v>3193997</v>
      </c>
      <c r="C10162" s="0" t="n">
        <v>3194017</v>
      </c>
      <c r="D10162" s="0" t="s">
        <v>33747</v>
      </c>
      <c r="E10162" s="0" t="s">
        <v>33748</v>
      </c>
      <c r="F10162" s="0" t="s">
        <v>15</v>
      </c>
      <c r="G10162" s="0" t="s">
        <v>36</v>
      </c>
      <c r="H10162" s="0" t="n">
        <v>75</v>
      </c>
      <c r="I10162" s="0" t="s">
        <v>33755</v>
      </c>
      <c r="J10162" s="0" t="s">
        <v>33756</v>
      </c>
      <c r="K10162" s="0" t="s">
        <v>33757</v>
      </c>
      <c r="L10162" s="0" t="str">
        <f aca="false">HYPERLINK("https://www.ncbi.nlm.nih.gov/nuccore/CP000058.1?report=graph&amp;tracks=[key:gene_model_track,Options:GeneOnly]&amp;mk=3193937:3193956|offset_14|444444,3193973:3193992|offset_50|444444,3193998:3194017|offset_75|00cc00,3194019:3194038|offset_96|444444&amp;v=3193736:3194238&amp;c=444444", "offset 75")</f>
        <v>offset 75</v>
      </c>
    </row>
    <row r="10163" customFormat="false" ht="12.8" hidden="false" customHeight="false" outlineLevel="0" collapsed="false">
      <c r="A10163" s="0" t="s">
        <v>12</v>
      </c>
      <c r="B10163" s="0" t="n">
        <v>3194018</v>
      </c>
      <c r="C10163" s="0" t="n">
        <v>3194038</v>
      </c>
      <c r="D10163" s="0" t="s">
        <v>33747</v>
      </c>
      <c r="E10163" s="0" t="s">
        <v>33748</v>
      </c>
      <c r="F10163" s="0" t="s">
        <v>15</v>
      </c>
      <c r="G10163" s="0" t="s">
        <v>32</v>
      </c>
      <c r="H10163" s="0" t="n">
        <v>96</v>
      </c>
      <c r="I10163" s="0" t="s">
        <v>33758</v>
      </c>
      <c r="J10163" s="0" t="s">
        <v>33759</v>
      </c>
      <c r="K10163" s="0" t="s">
        <v>33760</v>
      </c>
      <c r="L10163" s="0" t="str">
        <f aca="false">HYPERLINK("https://www.ncbi.nlm.nih.gov/nuccore/CP000058.1?report=graph&amp;tracks=[key:gene_model_track,Options:GeneOnly]&amp;mk=3193937:3193956|offset_14|444444,3193973:3193992|offset_50|444444,3193998:3194017|offset_75|444444,3194019:3194038|offset_96|00cc00&amp;v=3193736:3194238&amp;c=444444", "offset 96")</f>
        <v>offset 96</v>
      </c>
    </row>
    <row r="10164" customFormat="false" ht="12.8" hidden="false" customHeight="false" outlineLevel="0" collapsed="false">
      <c r="A10164" s="0" t="s">
        <v>12</v>
      </c>
      <c r="B10164" s="0" t="n">
        <v>3194846</v>
      </c>
      <c r="C10164" s="0" t="n">
        <v>3194866</v>
      </c>
      <c r="D10164" s="0" t="s">
        <v>33761</v>
      </c>
      <c r="E10164" s="0" t="s">
        <v>33762</v>
      </c>
      <c r="F10164" s="0" t="s">
        <v>15</v>
      </c>
      <c r="G10164" s="0" t="s">
        <v>16</v>
      </c>
      <c r="H10164" s="0" t="n">
        <v>7</v>
      </c>
      <c r="I10164" s="0" t="s">
        <v>33763</v>
      </c>
      <c r="J10164" s="0" t="s">
        <v>33764</v>
      </c>
      <c r="K10164" s="0" t="s">
        <v>33765</v>
      </c>
      <c r="L10164" s="0" t="str">
        <f aca="false">HYPERLINK("https://www.ncbi.nlm.nih.gov/nuccore/CP000058.1?report=graph&amp;tracks=[key:gene_model_track,Options:GeneOnly]&amp;mk=3194847:3194866|offset_7|00cc00,3194905:3194924|offset_65|444444,3194933:3194952|offset_93|444444,3194963:3194982|offset_123|444444&amp;v=3194646:3195182&amp;c=444444", "offset 7")</f>
        <v>offset 7</v>
      </c>
    </row>
    <row r="10165" customFormat="false" ht="12.8" hidden="false" customHeight="false" outlineLevel="0" collapsed="false">
      <c r="A10165" s="0" t="s">
        <v>12</v>
      </c>
      <c r="B10165" s="0" t="n">
        <v>3194904</v>
      </c>
      <c r="C10165" s="0" t="n">
        <v>3194924</v>
      </c>
      <c r="D10165" s="0" t="s">
        <v>33761</v>
      </c>
      <c r="E10165" s="0" t="s">
        <v>33762</v>
      </c>
      <c r="F10165" s="0" t="s">
        <v>15</v>
      </c>
      <c r="G10165" s="0" t="s">
        <v>20</v>
      </c>
      <c r="H10165" s="0" t="n">
        <v>65</v>
      </c>
      <c r="I10165" s="0" t="s">
        <v>33766</v>
      </c>
      <c r="J10165" s="0" t="s">
        <v>33767</v>
      </c>
      <c r="K10165" s="0" t="s">
        <v>33768</v>
      </c>
      <c r="L10165" s="0" t="str">
        <f aca="false">HYPERLINK("https://www.ncbi.nlm.nih.gov/nuccore/CP000058.1?report=graph&amp;tracks=[key:gene_model_track,Options:GeneOnly]&amp;mk=3194847:3194866|offset_7|444444,3194905:3194924|offset_65|00cc00,3194933:3194952|offset_93|444444,3194963:3194982|offset_123|444444&amp;v=3194646:3195182&amp;c=444444", "offset 65")</f>
        <v>offset 65</v>
      </c>
    </row>
    <row r="10166" customFormat="false" ht="12.8" hidden="false" customHeight="false" outlineLevel="0" collapsed="false">
      <c r="A10166" s="0" t="s">
        <v>12</v>
      </c>
      <c r="B10166" s="0" t="n">
        <v>3194932</v>
      </c>
      <c r="C10166" s="0" t="n">
        <v>3194952</v>
      </c>
      <c r="D10166" s="0" t="s">
        <v>33761</v>
      </c>
      <c r="E10166" s="0" t="s">
        <v>33762</v>
      </c>
      <c r="F10166" s="0" t="s">
        <v>15</v>
      </c>
      <c r="G10166" s="0" t="s">
        <v>36</v>
      </c>
      <c r="H10166" s="0" t="n">
        <v>93</v>
      </c>
      <c r="I10166" s="0" t="s">
        <v>33769</v>
      </c>
      <c r="J10166" s="0" t="s">
        <v>33770</v>
      </c>
      <c r="K10166" s="0" t="s">
        <v>33771</v>
      </c>
      <c r="L10166" s="0" t="str">
        <f aca="false">HYPERLINK("https://www.ncbi.nlm.nih.gov/nuccore/CP000058.1?report=graph&amp;tracks=[key:gene_model_track,Options:GeneOnly]&amp;mk=3194847:3194866|offset_7|444444,3194905:3194924|offset_65|444444,3194933:3194952|offset_93|00cc00,3194963:3194982|offset_123|444444&amp;v=3194646:3195182&amp;c=444444", "offset 93")</f>
        <v>offset 93</v>
      </c>
    </row>
    <row r="10167" customFormat="false" ht="12.8" hidden="false" customHeight="false" outlineLevel="0" collapsed="false">
      <c r="A10167" s="0" t="s">
        <v>12</v>
      </c>
      <c r="B10167" s="0" t="n">
        <v>3194962</v>
      </c>
      <c r="C10167" s="0" t="n">
        <v>3194982</v>
      </c>
      <c r="D10167" s="0" t="s">
        <v>33761</v>
      </c>
      <c r="E10167" s="0" t="s">
        <v>33762</v>
      </c>
      <c r="F10167" s="0" t="s">
        <v>15</v>
      </c>
      <c r="G10167" s="0" t="s">
        <v>20</v>
      </c>
      <c r="H10167" s="0" t="n">
        <v>123</v>
      </c>
      <c r="I10167" s="0" t="s">
        <v>33772</v>
      </c>
      <c r="J10167" s="0" t="s">
        <v>33773</v>
      </c>
      <c r="K10167" s="0" t="s">
        <v>33774</v>
      </c>
      <c r="L10167" s="0" t="str">
        <f aca="false">HYPERLINK("https://www.ncbi.nlm.nih.gov/nuccore/CP000058.1?report=graph&amp;tracks=[key:gene_model_track,Options:GeneOnly]&amp;mk=3194847:3194866|offset_7|444444,3194905:3194924|offset_65|444444,3194933:3194952|offset_93|444444,3194963:3194982|offset_123|00cc00&amp;v=3194646:3195182&amp;c=444444", "offset 123")</f>
        <v>offset 123</v>
      </c>
    </row>
    <row r="10168" customFormat="false" ht="12.8" hidden="false" customHeight="false" outlineLevel="0" collapsed="false">
      <c r="A10168" s="0" t="s">
        <v>12</v>
      </c>
      <c r="B10168" s="0" t="n">
        <v>3195840</v>
      </c>
      <c r="C10168" s="0" t="n">
        <v>3195860</v>
      </c>
      <c r="D10168" s="0" t="s">
        <v>33775</v>
      </c>
      <c r="E10168" s="0" t="s">
        <v>33776</v>
      </c>
      <c r="F10168" s="0" t="s">
        <v>15</v>
      </c>
      <c r="G10168" s="0" t="s">
        <v>36</v>
      </c>
      <c r="H10168" s="0" t="n">
        <v>19</v>
      </c>
      <c r="I10168" s="0" t="s">
        <v>33777</v>
      </c>
      <c r="J10168" s="0" t="s">
        <v>33778</v>
      </c>
      <c r="K10168" s="0" t="s">
        <v>33779</v>
      </c>
      <c r="L10168" s="0" t="str">
        <f aca="false">HYPERLINK("https://www.ncbi.nlm.nih.gov/nuccore/CP000058.1?report=graph&amp;tracks=[key:gene_model_track,Options:GeneOnly]&amp;mk=3195841:3195860|offset_19|00cc00,3195862:3195881|offset_40|444444,3195959:3195978|offset_137|444444,3195991:3196010|offset_169|444444&amp;v=3195640:3196210&amp;c=444444", "offset 19")</f>
        <v>offset 19</v>
      </c>
    </row>
    <row r="10169" customFormat="false" ht="12.8" hidden="false" customHeight="false" outlineLevel="0" collapsed="false">
      <c r="A10169" s="0" t="s">
        <v>12</v>
      </c>
      <c r="B10169" s="0" t="n">
        <v>3195861</v>
      </c>
      <c r="C10169" s="0" t="n">
        <v>3195881</v>
      </c>
      <c r="D10169" s="0" t="s">
        <v>33775</v>
      </c>
      <c r="E10169" s="0" t="s">
        <v>33776</v>
      </c>
      <c r="F10169" s="0" t="s">
        <v>15</v>
      </c>
      <c r="G10169" s="0" t="s">
        <v>32</v>
      </c>
      <c r="H10169" s="0" t="n">
        <v>40</v>
      </c>
      <c r="I10169" s="0" t="s">
        <v>33780</v>
      </c>
      <c r="J10169" s="0" t="s">
        <v>33781</v>
      </c>
      <c r="K10169" s="0" t="s">
        <v>33782</v>
      </c>
      <c r="L10169" s="0" t="str">
        <f aca="false">HYPERLINK("https://www.ncbi.nlm.nih.gov/nuccore/CP000058.1?report=graph&amp;tracks=[key:gene_model_track,Options:GeneOnly]&amp;mk=3195841:3195860|offset_19|444444,3195862:3195881|offset_40|00cc00,3195959:3195978|offset_137|444444,3195991:3196010|offset_169|444444&amp;v=3195640:3196210&amp;c=444444", "offset 40")</f>
        <v>offset 40</v>
      </c>
    </row>
    <row r="10170" customFormat="false" ht="12.8" hidden="false" customHeight="false" outlineLevel="0" collapsed="false">
      <c r="A10170" s="0" t="s">
        <v>12</v>
      </c>
      <c r="B10170" s="0" t="n">
        <v>3195958</v>
      </c>
      <c r="C10170" s="0" t="n">
        <v>3195978</v>
      </c>
      <c r="D10170" s="0" t="s">
        <v>33775</v>
      </c>
      <c r="E10170" s="0" t="s">
        <v>33776</v>
      </c>
      <c r="F10170" s="0" t="s">
        <v>15</v>
      </c>
      <c r="G10170" s="0" t="s">
        <v>20</v>
      </c>
      <c r="H10170" s="0" t="n">
        <v>137</v>
      </c>
      <c r="I10170" s="0" t="s">
        <v>33783</v>
      </c>
      <c r="J10170" s="0" t="s">
        <v>33784</v>
      </c>
      <c r="K10170" s="0" t="s">
        <v>33785</v>
      </c>
      <c r="L10170" s="0" t="str">
        <f aca="false">HYPERLINK("https://www.ncbi.nlm.nih.gov/nuccore/CP000058.1?report=graph&amp;tracks=[key:gene_model_track,Options:GeneOnly]&amp;mk=3195841:3195860|offset_19|444444,3195862:3195881|offset_40|444444,3195959:3195978|offset_137|00cc00,3195991:3196010|offset_169|444444&amp;v=3195640:3196210&amp;c=444444", "offset 137")</f>
        <v>offset 137</v>
      </c>
    </row>
    <row r="10171" customFormat="false" ht="12.8" hidden="false" customHeight="false" outlineLevel="0" collapsed="false">
      <c r="A10171" s="0" t="s">
        <v>12</v>
      </c>
      <c r="B10171" s="0" t="n">
        <v>3195990</v>
      </c>
      <c r="C10171" s="0" t="n">
        <v>3196010</v>
      </c>
      <c r="D10171" s="0" t="s">
        <v>33775</v>
      </c>
      <c r="E10171" s="0" t="s">
        <v>33776</v>
      </c>
      <c r="F10171" s="0" t="s">
        <v>15</v>
      </c>
      <c r="G10171" s="0" t="s">
        <v>16</v>
      </c>
      <c r="H10171" s="0" t="n">
        <v>169</v>
      </c>
      <c r="I10171" s="0" t="s">
        <v>33786</v>
      </c>
      <c r="J10171" s="0" t="s">
        <v>33787</v>
      </c>
      <c r="K10171" s="0" t="s">
        <v>33788</v>
      </c>
      <c r="L10171" s="0" t="str">
        <f aca="false">HYPERLINK("https://www.ncbi.nlm.nih.gov/nuccore/CP000058.1?report=graph&amp;tracks=[key:gene_model_track,Options:GeneOnly]&amp;mk=3195841:3195860|offset_19|444444,3195862:3195881|offset_40|444444,3195959:3195978|offset_137|444444,3195991:3196010|offset_169|00cc00&amp;v=3195640:3196210&amp;c=444444", "offset 169")</f>
        <v>offset 169</v>
      </c>
    </row>
    <row r="10172" customFormat="false" ht="12.8" hidden="false" customHeight="false" outlineLevel="0" collapsed="false">
      <c r="A10172" s="0" t="s">
        <v>12</v>
      </c>
      <c r="B10172" s="0" t="n">
        <v>3196882</v>
      </c>
      <c r="C10172" s="0" t="n">
        <v>3196902</v>
      </c>
      <c r="D10172" s="0" t="s">
        <v>33789</v>
      </c>
      <c r="E10172" s="0" t="s">
        <v>33790</v>
      </c>
      <c r="F10172" s="0" t="s">
        <v>15</v>
      </c>
      <c r="G10172" s="0" t="s">
        <v>36</v>
      </c>
      <c r="H10172" s="0" t="n">
        <v>19</v>
      </c>
      <c r="I10172" s="0" t="s">
        <v>33791</v>
      </c>
      <c r="J10172" s="0" t="s">
        <v>33792</v>
      </c>
      <c r="K10172" s="0" t="s">
        <v>33793</v>
      </c>
      <c r="L10172" s="0" t="str">
        <f aca="false">HYPERLINK("https://www.ncbi.nlm.nih.gov/nuccore/CP000058.1?report=graph&amp;tracks=[key:gene_model_track,Options:GeneOnly]&amp;mk=3196883:3196902|offset_19|00cc00,3196905:3196924|offset_41|444444,3196945:3196964|offset_81|444444,3196997:3197016|offset_133|444444&amp;v=3196682:3197216&amp;c=444444", "offset 19")</f>
        <v>offset 19</v>
      </c>
    </row>
    <row r="10173" customFormat="false" ht="12.8" hidden="false" customHeight="false" outlineLevel="0" collapsed="false">
      <c r="A10173" s="0" t="s">
        <v>12</v>
      </c>
      <c r="B10173" s="0" t="n">
        <v>3196904</v>
      </c>
      <c r="C10173" s="0" t="n">
        <v>3196924</v>
      </c>
      <c r="D10173" s="0" t="s">
        <v>33789</v>
      </c>
      <c r="E10173" s="0" t="s">
        <v>33790</v>
      </c>
      <c r="F10173" s="0" t="s">
        <v>15</v>
      </c>
      <c r="G10173" s="0" t="s">
        <v>32</v>
      </c>
      <c r="H10173" s="0" t="n">
        <v>41</v>
      </c>
      <c r="I10173" s="0" t="s">
        <v>33794</v>
      </c>
      <c r="J10173" s="0" t="s">
        <v>33795</v>
      </c>
      <c r="K10173" s="0" t="s">
        <v>33796</v>
      </c>
      <c r="L10173" s="0" t="str">
        <f aca="false">HYPERLINK("https://www.ncbi.nlm.nih.gov/nuccore/CP000058.1?report=graph&amp;tracks=[key:gene_model_track,Options:GeneOnly]&amp;mk=3196883:3196902|offset_19|444444,3196905:3196924|offset_41|00cc00,3196945:3196964|offset_81|444444,3196997:3197016|offset_133|444444&amp;v=3196682:3197216&amp;c=444444", "offset 41")</f>
        <v>offset 41</v>
      </c>
    </row>
    <row r="10174" customFormat="false" ht="12.8" hidden="false" customHeight="false" outlineLevel="0" collapsed="false">
      <c r="A10174" s="0" t="s">
        <v>12</v>
      </c>
      <c r="B10174" s="0" t="n">
        <v>3196944</v>
      </c>
      <c r="C10174" s="0" t="n">
        <v>3196964</v>
      </c>
      <c r="D10174" s="0" t="s">
        <v>33789</v>
      </c>
      <c r="E10174" s="0" t="s">
        <v>33790</v>
      </c>
      <c r="F10174" s="0" t="s">
        <v>15</v>
      </c>
      <c r="G10174" s="0" t="s">
        <v>36</v>
      </c>
      <c r="H10174" s="0" t="n">
        <v>81</v>
      </c>
      <c r="I10174" s="0" t="s">
        <v>33797</v>
      </c>
      <c r="J10174" s="0" t="s">
        <v>33798</v>
      </c>
      <c r="K10174" s="0" t="s">
        <v>33799</v>
      </c>
      <c r="L10174" s="0" t="str">
        <f aca="false">HYPERLINK("https://www.ncbi.nlm.nih.gov/nuccore/CP000058.1?report=graph&amp;tracks=[key:gene_model_track,Options:GeneOnly]&amp;mk=3196883:3196902|offset_19|444444,3196905:3196924|offset_41|444444,3196945:3196964|offset_81|00cc00,3196997:3197016|offset_133|444444&amp;v=3196682:3197216&amp;c=444444", "offset 81")</f>
        <v>offset 81</v>
      </c>
    </row>
    <row r="10175" customFormat="false" ht="12.8" hidden="false" customHeight="false" outlineLevel="0" collapsed="false">
      <c r="A10175" s="0" t="s">
        <v>12</v>
      </c>
      <c r="B10175" s="0" t="n">
        <v>3196996</v>
      </c>
      <c r="C10175" s="0" t="n">
        <v>3197016</v>
      </c>
      <c r="D10175" s="0" t="s">
        <v>33789</v>
      </c>
      <c r="E10175" s="0" t="s">
        <v>33790</v>
      </c>
      <c r="F10175" s="0" t="s">
        <v>15</v>
      </c>
      <c r="G10175" s="0" t="s">
        <v>20</v>
      </c>
      <c r="H10175" s="0" t="n">
        <v>133</v>
      </c>
      <c r="I10175" s="0" t="s">
        <v>33800</v>
      </c>
      <c r="J10175" s="0" t="s">
        <v>33801</v>
      </c>
      <c r="K10175" s="0" t="s">
        <v>33802</v>
      </c>
      <c r="L10175" s="0" t="str">
        <f aca="false">HYPERLINK("https://www.ncbi.nlm.nih.gov/nuccore/CP000058.1?report=graph&amp;tracks=[key:gene_model_track,Options:GeneOnly]&amp;mk=3196883:3196902|offset_19|444444,3196905:3196924|offset_41|444444,3196945:3196964|offset_81|444444,3196997:3197016|offset_133|00cc00&amp;v=3196682:3197216&amp;c=444444", "offset 133")</f>
        <v>offset 133</v>
      </c>
    </row>
    <row r="10176" customFormat="false" ht="12.8" hidden="false" customHeight="false" outlineLevel="0" collapsed="false">
      <c r="A10176" s="0" t="s">
        <v>12</v>
      </c>
      <c r="B10176" s="0" t="n">
        <v>3197659</v>
      </c>
      <c r="C10176" s="0" t="n">
        <v>3197679</v>
      </c>
      <c r="D10176" s="0" t="s">
        <v>33803</v>
      </c>
      <c r="E10176" s="0" t="s">
        <v>75</v>
      </c>
      <c r="F10176" s="0" t="s">
        <v>15</v>
      </c>
      <c r="G10176" s="0" t="s">
        <v>20</v>
      </c>
      <c r="H10176" s="0" t="n">
        <v>8</v>
      </c>
      <c r="I10176" s="0" t="s">
        <v>33804</v>
      </c>
      <c r="J10176" s="0" t="s">
        <v>33805</v>
      </c>
      <c r="K10176" s="0" t="s">
        <v>33806</v>
      </c>
      <c r="L10176" s="0" t="str">
        <f aca="false">HYPERLINK("https://www.ncbi.nlm.nih.gov/nuccore/CP000058.1?report=graph&amp;tracks=[key:gene_model_track,Options:GeneOnly]&amp;mk=3197660:3197679|offset_8|00cc00,3197682:3197701|offset_30|444444,3197714:3197733|offset_62|444444,3197740:3197759|offset_88|444444&amp;v=3197459:3197959&amp;c=444444", "offset 8")</f>
        <v>offset 8</v>
      </c>
    </row>
    <row r="10177" customFormat="false" ht="12.8" hidden="false" customHeight="false" outlineLevel="0" collapsed="false">
      <c r="A10177" s="0" t="s">
        <v>12</v>
      </c>
      <c r="B10177" s="0" t="n">
        <v>3197681</v>
      </c>
      <c r="C10177" s="0" t="n">
        <v>3197701</v>
      </c>
      <c r="D10177" s="0" t="s">
        <v>33803</v>
      </c>
      <c r="E10177" s="0" t="s">
        <v>75</v>
      </c>
      <c r="F10177" s="0" t="s">
        <v>15</v>
      </c>
      <c r="G10177" s="0" t="s">
        <v>36</v>
      </c>
      <c r="H10177" s="0" t="n">
        <v>30</v>
      </c>
      <c r="I10177" s="0" t="s">
        <v>33807</v>
      </c>
      <c r="J10177" s="0" t="s">
        <v>33808</v>
      </c>
      <c r="K10177" s="0" t="s">
        <v>33809</v>
      </c>
      <c r="L10177" s="0" t="str">
        <f aca="false">HYPERLINK("https://www.ncbi.nlm.nih.gov/nuccore/CP000058.1?report=graph&amp;tracks=[key:gene_model_track,Options:GeneOnly]&amp;mk=3197660:3197679|offset_8|444444,3197682:3197701|offset_30|00cc00,3197714:3197733|offset_62|444444,3197740:3197759|offset_88|444444&amp;v=3197459:3197959&amp;c=444444", "offset 30")</f>
        <v>offset 30</v>
      </c>
    </row>
    <row r="10178" customFormat="false" ht="12.8" hidden="false" customHeight="false" outlineLevel="0" collapsed="false">
      <c r="A10178" s="0" t="s">
        <v>12</v>
      </c>
      <c r="B10178" s="0" t="n">
        <v>3197713</v>
      </c>
      <c r="C10178" s="0" t="n">
        <v>3197733</v>
      </c>
      <c r="D10178" s="0" t="s">
        <v>33803</v>
      </c>
      <c r="E10178" s="0" t="s">
        <v>75</v>
      </c>
      <c r="F10178" s="0" t="s">
        <v>15</v>
      </c>
      <c r="G10178" s="0" t="s">
        <v>20</v>
      </c>
      <c r="H10178" s="0" t="n">
        <v>62</v>
      </c>
      <c r="I10178" s="0" t="s">
        <v>33810</v>
      </c>
      <c r="J10178" s="0" t="s">
        <v>33811</v>
      </c>
      <c r="K10178" s="0" t="s">
        <v>33812</v>
      </c>
      <c r="L10178" s="0" t="str">
        <f aca="false">HYPERLINK("https://www.ncbi.nlm.nih.gov/nuccore/CP000058.1?report=graph&amp;tracks=[key:gene_model_track,Options:GeneOnly]&amp;mk=3197660:3197679|offset_8|444444,3197682:3197701|offset_30|444444,3197714:3197733|offset_62|00cc00,3197740:3197759|offset_88|444444&amp;v=3197459:3197959&amp;c=444444", "offset 62")</f>
        <v>offset 62</v>
      </c>
    </row>
    <row r="10179" customFormat="false" ht="12.8" hidden="false" customHeight="false" outlineLevel="0" collapsed="false">
      <c r="A10179" s="0" t="s">
        <v>12</v>
      </c>
      <c r="B10179" s="0" t="n">
        <v>3197739</v>
      </c>
      <c r="C10179" s="0" t="n">
        <v>3197759</v>
      </c>
      <c r="D10179" s="0" t="s">
        <v>33803</v>
      </c>
      <c r="E10179" s="0" t="s">
        <v>75</v>
      </c>
      <c r="F10179" s="0" t="s">
        <v>15</v>
      </c>
      <c r="G10179" s="0" t="s">
        <v>36</v>
      </c>
      <c r="H10179" s="0" t="n">
        <v>88</v>
      </c>
      <c r="I10179" s="0" t="s">
        <v>33813</v>
      </c>
      <c r="J10179" s="0" t="s">
        <v>33814</v>
      </c>
      <c r="K10179" s="0" t="s">
        <v>33815</v>
      </c>
      <c r="L10179" s="0" t="str">
        <f aca="false">HYPERLINK("https://www.ncbi.nlm.nih.gov/nuccore/CP000058.1?report=graph&amp;tracks=[key:gene_model_track,Options:GeneOnly]&amp;mk=3197660:3197679|offset_8|444444,3197682:3197701|offset_30|444444,3197714:3197733|offset_62|444444,3197740:3197759|offset_88|00cc00&amp;v=3197459:3197959&amp;c=444444", "offset 88")</f>
        <v>offset 88</v>
      </c>
    </row>
    <row r="10180" customFormat="false" ht="12.8" hidden="false" customHeight="false" outlineLevel="0" collapsed="false">
      <c r="A10180" s="0" t="s">
        <v>12</v>
      </c>
      <c r="B10180" s="0" t="n">
        <v>3198450</v>
      </c>
      <c r="C10180" s="0" t="n">
        <v>3198470</v>
      </c>
      <c r="D10180" s="0" t="s">
        <v>33816</v>
      </c>
      <c r="E10180" s="0" t="s">
        <v>75</v>
      </c>
      <c r="F10180" s="0" t="s">
        <v>15</v>
      </c>
      <c r="G10180" s="0" t="s">
        <v>16</v>
      </c>
      <c r="H10180" s="0" t="n">
        <v>23</v>
      </c>
      <c r="I10180" s="0" t="s">
        <v>33817</v>
      </c>
      <c r="J10180" s="0" t="s">
        <v>33818</v>
      </c>
      <c r="K10180" s="0" t="s">
        <v>33819</v>
      </c>
      <c r="L10180" s="0" t="str">
        <f aca="false">HYPERLINK("https://www.ncbi.nlm.nih.gov/nuccore/CP000058.1?report=graph&amp;tracks=[key:gene_model_track,Options:GeneOnly]&amp;mk=3198451:3198470|offset_23|00cc00,3198474:3198493|offset_46|444444,3198501:3198520|offset_73|444444,3198542:3198561|offset_114|444444&amp;v=3198250:3198761&amp;c=444444", "offset 23")</f>
        <v>offset 23</v>
      </c>
    </row>
    <row r="10181" customFormat="false" ht="12.8" hidden="false" customHeight="false" outlineLevel="0" collapsed="false">
      <c r="A10181" s="0" t="s">
        <v>12</v>
      </c>
      <c r="B10181" s="0" t="n">
        <v>3198473</v>
      </c>
      <c r="C10181" s="0" t="n">
        <v>3198493</v>
      </c>
      <c r="D10181" s="0" t="s">
        <v>33816</v>
      </c>
      <c r="E10181" s="0" t="s">
        <v>75</v>
      </c>
      <c r="F10181" s="0" t="s">
        <v>15</v>
      </c>
      <c r="G10181" s="0" t="s">
        <v>16</v>
      </c>
      <c r="H10181" s="0" t="n">
        <v>46</v>
      </c>
      <c r="I10181" s="0" t="s">
        <v>33820</v>
      </c>
      <c r="J10181" s="0" t="s">
        <v>33821</v>
      </c>
      <c r="K10181" s="0" t="s">
        <v>33822</v>
      </c>
      <c r="L10181" s="0" t="str">
        <f aca="false">HYPERLINK("https://www.ncbi.nlm.nih.gov/nuccore/CP000058.1?report=graph&amp;tracks=[key:gene_model_track,Options:GeneOnly]&amp;mk=3198451:3198470|offset_23|444444,3198474:3198493|offset_46|00cc00,3198501:3198520|offset_73|444444,3198542:3198561|offset_114|444444&amp;v=3198250:3198761&amp;c=444444", "offset 46")</f>
        <v>offset 46</v>
      </c>
    </row>
    <row r="10182" customFormat="false" ht="12.8" hidden="false" customHeight="false" outlineLevel="0" collapsed="false">
      <c r="A10182" s="0" t="s">
        <v>12</v>
      </c>
      <c r="B10182" s="0" t="n">
        <v>3198500</v>
      </c>
      <c r="C10182" s="0" t="n">
        <v>3198520</v>
      </c>
      <c r="D10182" s="0" t="s">
        <v>33816</v>
      </c>
      <c r="E10182" s="0" t="s">
        <v>75</v>
      </c>
      <c r="F10182" s="0" t="s">
        <v>15</v>
      </c>
      <c r="G10182" s="0" t="s">
        <v>16</v>
      </c>
      <c r="H10182" s="0" t="n">
        <v>73</v>
      </c>
      <c r="I10182" s="0" t="s">
        <v>33823</v>
      </c>
      <c r="J10182" s="0" t="s">
        <v>33824</v>
      </c>
      <c r="K10182" s="0" t="s">
        <v>33825</v>
      </c>
      <c r="L10182" s="0" t="str">
        <f aca="false">HYPERLINK("https://www.ncbi.nlm.nih.gov/nuccore/CP000058.1?report=graph&amp;tracks=[key:gene_model_track,Options:GeneOnly]&amp;mk=3198451:3198470|offset_23|444444,3198474:3198493|offset_46|444444,3198501:3198520|offset_73|00cc00,3198542:3198561|offset_114|444444&amp;v=3198250:3198761&amp;c=444444", "offset 73")</f>
        <v>offset 73</v>
      </c>
    </row>
    <row r="10183" customFormat="false" ht="12.8" hidden="false" customHeight="false" outlineLevel="0" collapsed="false">
      <c r="A10183" s="0" t="s">
        <v>12</v>
      </c>
      <c r="B10183" s="0" t="n">
        <v>3198541</v>
      </c>
      <c r="C10183" s="0" t="n">
        <v>3198561</v>
      </c>
      <c r="D10183" s="0" t="s">
        <v>33816</v>
      </c>
      <c r="E10183" s="0" t="s">
        <v>75</v>
      </c>
      <c r="F10183" s="0" t="s">
        <v>15</v>
      </c>
      <c r="G10183" s="0" t="s">
        <v>32</v>
      </c>
      <c r="H10183" s="0" t="n">
        <v>114</v>
      </c>
      <c r="I10183" s="0" t="s">
        <v>33826</v>
      </c>
      <c r="J10183" s="0" t="s">
        <v>33827</v>
      </c>
      <c r="K10183" s="0" t="s">
        <v>33828</v>
      </c>
      <c r="L10183" s="0" t="str">
        <f aca="false">HYPERLINK("https://www.ncbi.nlm.nih.gov/nuccore/CP000058.1?report=graph&amp;tracks=[key:gene_model_track,Options:GeneOnly]&amp;mk=3198451:3198470|offset_23|444444,3198474:3198493|offset_46|444444,3198501:3198520|offset_73|444444,3198542:3198561|offset_114|00cc00&amp;v=3198250:3198761&amp;c=444444", "offset 114")</f>
        <v>offset 114</v>
      </c>
    </row>
    <row r="10184" customFormat="false" ht="12.8" hidden="false" customHeight="false" outlineLevel="0" collapsed="false">
      <c r="A10184" s="0" t="s">
        <v>12</v>
      </c>
      <c r="B10184" s="0" t="n">
        <v>3199485</v>
      </c>
      <c r="C10184" s="0" t="n">
        <v>3199505</v>
      </c>
      <c r="D10184" s="0" t="s">
        <v>33829</v>
      </c>
      <c r="E10184" s="0" t="s">
        <v>75</v>
      </c>
      <c r="F10184" s="0" t="s">
        <v>90</v>
      </c>
      <c r="G10184" s="0" t="s">
        <v>16</v>
      </c>
      <c r="H10184" s="0" t="n">
        <v>12</v>
      </c>
      <c r="I10184" s="0" t="s">
        <v>33830</v>
      </c>
      <c r="J10184" s="0" t="s">
        <v>33831</v>
      </c>
      <c r="K10184" s="0" t="s">
        <v>33832</v>
      </c>
      <c r="L10184" s="0" t="str">
        <f aca="false">HYPERLINK("https://www.ncbi.nlm.nih.gov/nuccore/CP000058.1?report=graph&amp;tracks=[key:gene_model_track,Options:GeneOnly]&amp;mk=3199486:3199505|offset_12|00cc00,3199451:3199470|offset_47|444444,3199421:3199440|offset_77|444444,3199388:3199407|offset_110|444444&amp;v=3199285:3199607&amp;c=444444", "offset 12")</f>
        <v>offset 12</v>
      </c>
    </row>
    <row r="10185" customFormat="false" ht="12.8" hidden="false" customHeight="false" outlineLevel="0" collapsed="false">
      <c r="A10185" s="0" t="s">
        <v>12</v>
      </c>
      <c r="B10185" s="0" t="n">
        <v>3199450</v>
      </c>
      <c r="C10185" s="0" t="n">
        <v>3199470</v>
      </c>
      <c r="D10185" s="0" t="s">
        <v>33829</v>
      </c>
      <c r="E10185" s="0" t="s">
        <v>75</v>
      </c>
      <c r="F10185" s="0" t="s">
        <v>90</v>
      </c>
      <c r="G10185" s="0" t="s">
        <v>32</v>
      </c>
      <c r="H10185" s="0" t="n">
        <v>47</v>
      </c>
      <c r="I10185" s="0" t="s">
        <v>33833</v>
      </c>
      <c r="J10185" s="0" t="s">
        <v>33834</v>
      </c>
      <c r="K10185" s="0" t="s">
        <v>33835</v>
      </c>
      <c r="L10185" s="0" t="str">
        <f aca="false">HYPERLINK("https://www.ncbi.nlm.nih.gov/nuccore/CP000058.1?report=graph&amp;tracks=[key:gene_model_track,Options:GeneOnly]&amp;mk=3199486:3199505|offset_12|444444,3199451:3199470|offset_47|00cc00,3199421:3199440|offset_77|444444,3199388:3199407|offset_110|444444&amp;v=3199285:3199607&amp;c=444444", "offset 47")</f>
        <v>offset 47</v>
      </c>
    </row>
    <row r="10186" customFormat="false" ht="12.8" hidden="false" customHeight="false" outlineLevel="0" collapsed="false">
      <c r="A10186" s="0" t="s">
        <v>12</v>
      </c>
      <c r="B10186" s="0" t="n">
        <v>3199420</v>
      </c>
      <c r="C10186" s="0" t="n">
        <v>3199440</v>
      </c>
      <c r="D10186" s="0" t="s">
        <v>33829</v>
      </c>
      <c r="E10186" s="0" t="s">
        <v>75</v>
      </c>
      <c r="F10186" s="0" t="s">
        <v>90</v>
      </c>
      <c r="G10186" s="0" t="s">
        <v>32</v>
      </c>
      <c r="H10186" s="0" t="n">
        <v>77</v>
      </c>
      <c r="I10186" s="0" t="s">
        <v>33836</v>
      </c>
      <c r="J10186" s="0" t="s">
        <v>33837</v>
      </c>
      <c r="K10186" s="0" t="s">
        <v>33838</v>
      </c>
      <c r="L10186" s="0" t="str">
        <f aca="false">HYPERLINK("https://www.ncbi.nlm.nih.gov/nuccore/CP000058.1?report=graph&amp;tracks=[key:gene_model_track,Options:GeneOnly]&amp;mk=3199486:3199505|offset_12|444444,3199451:3199470|offset_47|444444,3199421:3199440|offset_77|00cc00,3199388:3199407|offset_110|444444&amp;v=3199285:3199607&amp;c=444444", "offset 77")</f>
        <v>offset 77</v>
      </c>
    </row>
    <row r="10187" customFormat="false" ht="12.8" hidden="false" customHeight="false" outlineLevel="0" collapsed="false">
      <c r="A10187" s="0" t="s">
        <v>12</v>
      </c>
      <c r="B10187" s="0" t="n">
        <v>3199387</v>
      </c>
      <c r="C10187" s="0" t="n">
        <v>3199407</v>
      </c>
      <c r="D10187" s="0" t="s">
        <v>33829</v>
      </c>
      <c r="E10187" s="0" t="s">
        <v>75</v>
      </c>
      <c r="F10187" s="0" t="s">
        <v>90</v>
      </c>
      <c r="G10187" s="0" t="s">
        <v>36</v>
      </c>
      <c r="H10187" s="0" t="n">
        <v>110</v>
      </c>
      <c r="I10187" s="0" t="s">
        <v>33839</v>
      </c>
      <c r="J10187" s="0" t="s">
        <v>33840</v>
      </c>
      <c r="K10187" s="0" t="s">
        <v>33841</v>
      </c>
      <c r="L10187" s="0" t="str">
        <f aca="false">HYPERLINK("https://www.ncbi.nlm.nih.gov/nuccore/CP000058.1?report=graph&amp;tracks=[key:gene_model_track,Options:GeneOnly]&amp;mk=3199486:3199505|offset_12|444444,3199451:3199470|offset_47|444444,3199421:3199440|offset_77|444444,3199388:3199407|offset_110|00cc00&amp;v=3199285:3199607&amp;c=444444", "offset 110")</f>
        <v>offset 110</v>
      </c>
    </row>
    <row r="10188" customFormat="false" ht="12.8" hidden="false" customHeight="false" outlineLevel="0" collapsed="false">
      <c r="A10188" s="0" t="s">
        <v>12</v>
      </c>
      <c r="B10188" s="0" t="n">
        <v>3199843</v>
      </c>
      <c r="C10188" s="0" t="n">
        <v>3199863</v>
      </c>
      <c r="D10188" s="0" t="s">
        <v>33842</v>
      </c>
      <c r="E10188" s="0" t="s">
        <v>75</v>
      </c>
      <c r="F10188" s="0" t="s">
        <v>15</v>
      </c>
      <c r="G10188" s="0" t="s">
        <v>32</v>
      </c>
      <c r="H10188" s="0" t="n">
        <v>28</v>
      </c>
      <c r="I10188" s="0" t="s">
        <v>33843</v>
      </c>
      <c r="J10188" s="0" t="s">
        <v>33844</v>
      </c>
      <c r="K10188" s="0" t="s">
        <v>33845</v>
      </c>
      <c r="L10188" s="0" t="str">
        <f aca="false">HYPERLINK("https://www.ncbi.nlm.nih.gov/nuccore/CP000058.1?report=graph&amp;tracks=[key:gene_model_track,Options:GeneOnly]&amp;mk=3199844:3199863|offset_28|00cc00,3199871:3199890|offset_55|444444,3199916:3199935|offset_100|444444,3199958:3199977|offset_142|444444&amp;v=3199643:3200177&amp;c=444444", "offset 28")</f>
        <v>offset 28</v>
      </c>
    </row>
    <row r="10189" customFormat="false" ht="12.8" hidden="false" customHeight="false" outlineLevel="0" collapsed="false">
      <c r="A10189" s="0" t="s">
        <v>12</v>
      </c>
      <c r="B10189" s="0" t="n">
        <v>3199870</v>
      </c>
      <c r="C10189" s="0" t="n">
        <v>3199890</v>
      </c>
      <c r="D10189" s="0" t="s">
        <v>33842</v>
      </c>
      <c r="E10189" s="0" t="s">
        <v>75</v>
      </c>
      <c r="F10189" s="0" t="s">
        <v>15</v>
      </c>
      <c r="G10189" s="0" t="s">
        <v>32</v>
      </c>
      <c r="H10189" s="0" t="n">
        <v>55</v>
      </c>
      <c r="I10189" s="0" t="s">
        <v>33846</v>
      </c>
      <c r="J10189" s="0" t="s">
        <v>33847</v>
      </c>
      <c r="K10189" s="0" t="s">
        <v>33848</v>
      </c>
      <c r="L10189" s="0" t="str">
        <f aca="false">HYPERLINK("https://www.ncbi.nlm.nih.gov/nuccore/CP000058.1?report=graph&amp;tracks=[key:gene_model_track,Options:GeneOnly]&amp;mk=3199844:3199863|offset_28|444444,3199871:3199890|offset_55|00cc00,3199916:3199935|offset_100|444444,3199958:3199977|offset_142|444444&amp;v=3199643:3200177&amp;c=444444", "offset 55")</f>
        <v>offset 55</v>
      </c>
    </row>
    <row r="10190" customFormat="false" ht="12.8" hidden="false" customHeight="false" outlineLevel="0" collapsed="false">
      <c r="A10190" s="0" t="s">
        <v>12</v>
      </c>
      <c r="B10190" s="0" t="n">
        <v>3199915</v>
      </c>
      <c r="C10190" s="0" t="n">
        <v>3199935</v>
      </c>
      <c r="D10190" s="0" t="s">
        <v>33842</v>
      </c>
      <c r="E10190" s="0" t="s">
        <v>75</v>
      </c>
      <c r="F10190" s="0" t="s">
        <v>15</v>
      </c>
      <c r="G10190" s="0" t="s">
        <v>16</v>
      </c>
      <c r="H10190" s="0" t="n">
        <v>100</v>
      </c>
      <c r="I10190" s="0" t="s">
        <v>33849</v>
      </c>
      <c r="J10190" s="0" t="s">
        <v>33850</v>
      </c>
      <c r="K10190" s="0" t="s">
        <v>33851</v>
      </c>
      <c r="L10190" s="0" t="str">
        <f aca="false">HYPERLINK("https://www.ncbi.nlm.nih.gov/nuccore/CP000058.1?report=graph&amp;tracks=[key:gene_model_track,Options:GeneOnly]&amp;mk=3199844:3199863|offset_28|444444,3199871:3199890|offset_55|444444,3199916:3199935|offset_100|00cc00,3199958:3199977|offset_142|444444&amp;v=3199643:3200177&amp;c=444444", "offset 100")</f>
        <v>offset 100</v>
      </c>
    </row>
    <row r="10191" customFormat="false" ht="12.8" hidden="false" customHeight="false" outlineLevel="0" collapsed="false">
      <c r="A10191" s="0" t="s">
        <v>12</v>
      </c>
      <c r="B10191" s="0" t="n">
        <v>3199957</v>
      </c>
      <c r="C10191" s="0" t="n">
        <v>3199977</v>
      </c>
      <c r="D10191" s="0" t="s">
        <v>33842</v>
      </c>
      <c r="E10191" s="0" t="s">
        <v>75</v>
      </c>
      <c r="F10191" s="0" t="s">
        <v>15</v>
      </c>
      <c r="G10191" s="0" t="s">
        <v>20</v>
      </c>
      <c r="H10191" s="0" t="n">
        <v>142</v>
      </c>
      <c r="I10191" s="0" t="s">
        <v>33852</v>
      </c>
      <c r="J10191" s="0" t="s">
        <v>33853</v>
      </c>
      <c r="K10191" s="0" t="s">
        <v>33854</v>
      </c>
      <c r="L10191" s="0" t="str">
        <f aca="false">HYPERLINK("https://www.ncbi.nlm.nih.gov/nuccore/CP000058.1?report=graph&amp;tracks=[key:gene_model_track,Options:GeneOnly]&amp;mk=3199844:3199863|offset_28|444444,3199871:3199890|offset_55|444444,3199916:3199935|offset_100|444444,3199958:3199977|offset_142|00cc00&amp;v=3199643:3200177&amp;c=444444", "offset 142")</f>
        <v>offset 142</v>
      </c>
    </row>
    <row r="10192" customFormat="false" ht="12.8" hidden="false" customHeight="false" outlineLevel="0" collapsed="false">
      <c r="A10192" s="0" t="s">
        <v>12</v>
      </c>
      <c r="B10192" s="0" t="n">
        <v>3203414</v>
      </c>
      <c r="C10192" s="0" t="n">
        <v>3203434</v>
      </c>
      <c r="D10192" s="0" t="s">
        <v>33855</v>
      </c>
      <c r="E10192" s="0" t="s">
        <v>75</v>
      </c>
      <c r="F10192" s="0" t="s">
        <v>90</v>
      </c>
      <c r="G10192" s="0" t="s">
        <v>20</v>
      </c>
      <c r="H10192" s="0" t="n">
        <v>23</v>
      </c>
      <c r="I10192" s="0" t="s">
        <v>33856</v>
      </c>
      <c r="J10192" s="0" t="s">
        <v>33857</v>
      </c>
      <c r="K10192" s="0" t="s">
        <v>33858</v>
      </c>
      <c r="L10192" s="0" t="str">
        <f aca="false">HYPERLINK("https://www.ncbi.nlm.nih.gov/nuccore/CP000058.1?report=graph&amp;tracks=[key:gene_model_track,Options:GeneOnly]&amp;mk=3203415:3203434|offset_23|00cc00,3203392:3203411|offset_46|444444,3203372:3203391|offset_66|444444,3203323:3203342|offset_115|444444&amp;v=3203214:3203542&amp;c=444444", "offset 23")</f>
        <v>offset 23</v>
      </c>
    </row>
    <row r="10193" customFormat="false" ht="12.8" hidden="false" customHeight="false" outlineLevel="0" collapsed="false">
      <c r="A10193" s="0" t="s">
        <v>12</v>
      </c>
      <c r="B10193" s="0" t="n">
        <v>3203391</v>
      </c>
      <c r="C10193" s="0" t="n">
        <v>3203411</v>
      </c>
      <c r="D10193" s="0" t="s">
        <v>33855</v>
      </c>
      <c r="E10193" s="0" t="s">
        <v>75</v>
      </c>
      <c r="F10193" s="0" t="s">
        <v>90</v>
      </c>
      <c r="G10193" s="0" t="s">
        <v>32</v>
      </c>
      <c r="H10193" s="0" t="n">
        <v>46</v>
      </c>
      <c r="I10193" s="0" t="s">
        <v>33859</v>
      </c>
      <c r="J10193" s="0" t="s">
        <v>33860</v>
      </c>
      <c r="K10193" s="0" t="s">
        <v>33861</v>
      </c>
      <c r="L10193" s="0" t="str">
        <f aca="false">HYPERLINK("https://www.ncbi.nlm.nih.gov/nuccore/CP000058.1?report=graph&amp;tracks=[key:gene_model_track,Options:GeneOnly]&amp;mk=3203415:3203434|offset_23|444444,3203392:3203411|offset_46|00cc00,3203372:3203391|offset_66|444444,3203323:3203342|offset_115|444444&amp;v=3203214:3203542&amp;c=444444", "offset 46")</f>
        <v>offset 46</v>
      </c>
    </row>
    <row r="10194" customFormat="false" ht="12.8" hidden="false" customHeight="false" outlineLevel="0" collapsed="false">
      <c r="A10194" s="0" t="s">
        <v>12</v>
      </c>
      <c r="B10194" s="0" t="n">
        <v>3203371</v>
      </c>
      <c r="C10194" s="0" t="n">
        <v>3203391</v>
      </c>
      <c r="D10194" s="0" t="s">
        <v>33855</v>
      </c>
      <c r="E10194" s="0" t="s">
        <v>75</v>
      </c>
      <c r="F10194" s="0" t="s">
        <v>90</v>
      </c>
      <c r="G10194" s="0" t="s">
        <v>16</v>
      </c>
      <c r="H10194" s="0" t="n">
        <v>66</v>
      </c>
      <c r="I10194" s="0" t="s">
        <v>33862</v>
      </c>
      <c r="J10194" s="0" t="s">
        <v>33863</v>
      </c>
      <c r="K10194" s="0" t="s">
        <v>33864</v>
      </c>
      <c r="L10194" s="0" t="str">
        <f aca="false">HYPERLINK("https://www.ncbi.nlm.nih.gov/nuccore/CP000058.1?report=graph&amp;tracks=[key:gene_model_track,Options:GeneOnly]&amp;mk=3203415:3203434|offset_23|444444,3203392:3203411|offset_46|444444,3203372:3203391|offset_66|00cc00,3203323:3203342|offset_115|444444&amp;v=3203214:3203542&amp;c=444444", "offset 66")</f>
        <v>offset 66</v>
      </c>
    </row>
    <row r="10195" customFormat="false" ht="12.8" hidden="false" customHeight="false" outlineLevel="0" collapsed="false">
      <c r="A10195" s="0" t="s">
        <v>12</v>
      </c>
      <c r="B10195" s="0" t="n">
        <v>3203322</v>
      </c>
      <c r="C10195" s="0" t="n">
        <v>3203342</v>
      </c>
      <c r="D10195" s="0" t="s">
        <v>33855</v>
      </c>
      <c r="E10195" s="0" t="s">
        <v>75</v>
      </c>
      <c r="F10195" s="0" t="s">
        <v>90</v>
      </c>
      <c r="G10195" s="0" t="s">
        <v>20</v>
      </c>
      <c r="H10195" s="0" t="n">
        <v>115</v>
      </c>
      <c r="I10195" s="0" t="s">
        <v>33865</v>
      </c>
      <c r="J10195" s="0" t="s">
        <v>33866</v>
      </c>
      <c r="K10195" s="0" t="s">
        <v>33867</v>
      </c>
      <c r="L10195" s="0" t="str">
        <f aca="false">HYPERLINK("https://www.ncbi.nlm.nih.gov/nuccore/CP000058.1?report=graph&amp;tracks=[key:gene_model_track,Options:GeneOnly]&amp;mk=3203415:3203434|offset_23|444444,3203392:3203411|offset_46|444444,3203372:3203391|offset_66|444444,3203323:3203342|offset_115|00cc00&amp;v=3203214:3203542&amp;c=444444", "offset 115")</f>
        <v>offset 115</v>
      </c>
    </row>
    <row r="10196" customFormat="false" ht="12.8" hidden="false" customHeight="false" outlineLevel="0" collapsed="false">
      <c r="A10196" s="0" t="s">
        <v>12</v>
      </c>
      <c r="B10196" s="0" t="n">
        <v>3205291</v>
      </c>
      <c r="C10196" s="0" t="n">
        <v>3205311</v>
      </c>
      <c r="D10196" s="0" t="s">
        <v>33868</v>
      </c>
      <c r="E10196" s="0" t="s">
        <v>75</v>
      </c>
      <c r="F10196" s="0" t="s">
        <v>15</v>
      </c>
      <c r="G10196" s="0" t="s">
        <v>16</v>
      </c>
      <c r="H10196" s="0" t="n">
        <v>34</v>
      </c>
      <c r="I10196" s="0" t="s">
        <v>33869</v>
      </c>
      <c r="J10196" s="0" t="s">
        <v>33870</v>
      </c>
      <c r="K10196" s="0" t="s">
        <v>33871</v>
      </c>
      <c r="L10196" s="0" t="str">
        <f aca="false">HYPERLINK("https://www.ncbi.nlm.nih.gov/nuccore/CP000058.1?report=graph&amp;tracks=[key:gene_model_track,Options:GeneOnly]&amp;mk=3205292:3205311|offset_34|00cc00,3205337:3205356|offset_79|444444,3205373:3205392|offset_115|444444,3205404:3205423|offset_146|444444&amp;v=3205091:3205623&amp;c=444444", "offset 34")</f>
        <v>offset 34</v>
      </c>
    </row>
    <row r="10197" customFormat="false" ht="12.8" hidden="false" customHeight="false" outlineLevel="0" collapsed="false">
      <c r="A10197" s="0" t="s">
        <v>12</v>
      </c>
      <c r="B10197" s="0" t="n">
        <v>3205336</v>
      </c>
      <c r="C10197" s="0" t="n">
        <v>3205356</v>
      </c>
      <c r="D10197" s="0" t="s">
        <v>33868</v>
      </c>
      <c r="E10197" s="0" t="s">
        <v>75</v>
      </c>
      <c r="F10197" s="0" t="s">
        <v>15</v>
      </c>
      <c r="G10197" s="0" t="s">
        <v>36</v>
      </c>
      <c r="H10197" s="0" t="n">
        <v>79</v>
      </c>
      <c r="I10197" s="0" t="s">
        <v>33872</v>
      </c>
      <c r="J10197" s="0" t="s">
        <v>33873</v>
      </c>
      <c r="K10197" s="0" t="s">
        <v>33874</v>
      </c>
      <c r="L10197" s="0" t="str">
        <f aca="false">HYPERLINK("https://www.ncbi.nlm.nih.gov/nuccore/CP000058.1?report=graph&amp;tracks=[key:gene_model_track,Options:GeneOnly]&amp;mk=3205292:3205311|offset_34|444444,3205337:3205356|offset_79|00cc00,3205373:3205392|offset_115|444444,3205404:3205423|offset_146|444444&amp;v=3205091:3205623&amp;c=444444", "offset 79")</f>
        <v>offset 79</v>
      </c>
    </row>
    <row r="10198" customFormat="false" ht="12.8" hidden="false" customHeight="false" outlineLevel="0" collapsed="false">
      <c r="A10198" s="0" t="s">
        <v>12</v>
      </c>
      <c r="B10198" s="0" t="n">
        <v>3205372</v>
      </c>
      <c r="C10198" s="0" t="n">
        <v>3205392</v>
      </c>
      <c r="D10198" s="0" t="s">
        <v>33868</v>
      </c>
      <c r="E10198" s="0" t="s">
        <v>75</v>
      </c>
      <c r="F10198" s="0" t="s">
        <v>15</v>
      </c>
      <c r="G10198" s="0" t="s">
        <v>16</v>
      </c>
      <c r="H10198" s="0" t="n">
        <v>115</v>
      </c>
      <c r="I10198" s="0" t="s">
        <v>33875</v>
      </c>
      <c r="J10198" s="0" t="s">
        <v>33876</v>
      </c>
      <c r="K10198" s="0" t="s">
        <v>33877</v>
      </c>
      <c r="L10198" s="0" t="str">
        <f aca="false">HYPERLINK("https://www.ncbi.nlm.nih.gov/nuccore/CP000058.1?report=graph&amp;tracks=[key:gene_model_track,Options:GeneOnly]&amp;mk=3205292:3205311|offset_34|444444,3205337:3205356|offset_79|444444,3205373:3205392|offset_115|00cc00,3205404:3205423|offset_146|444444&amp;v=3205091:3205623&amp;c=444444", "offset 115")</f>
        <v>offset 115</v>
      </c>
    </row>
    <row r="10199" customFormat="false" ht="12.8" hidden="false" customHeight="false" outlineLevel="0" collapsed="false">
      <c r="A10199" s="0" t="s">
        <v>12</v>
      </c>
      <c r="B10199" s="0" t="n">
        <v>3205403</v>
      </c>
      <c r="C10199" s="0" t="n">
        <v>3205423</v>
      </c>
      <c r="D10199" s="0" t="s">
        <v>33868</v>
      </c>
      <c r="E10199" s="0" t="s">
        <v>75</v>
      </c>
      <c r="F10199" s="0" t="s">
        <v>15</v>
      </c>
      <c r="G10199" s="0" t="s">
        <v>32</v>
      </c>
      <c r="H10199" s="0" t="n">
        <v>146</v>
      </c>
      <c r="I10199" s="0" t="s">
        <v>33878</v>
      </c>
      <c r="J10199" s="0" t="s">
        <v>33879</v>
      </c>
      <c r="K10199" s="0" t="s">
        <v>33880</v>
      </c>
      <c r="L10199" s="0" t="str">
        <f aca="false">HYPERLINK("https://www.ncbi.nlm.nih.gov/nuccore/CP000058.1?report=graph&amp;tracks=[key:gene_model_track,Options:GeneOnly]&amp;mk=3205292:3205311|offset_34|444444,3205337:3205356|offset_79|444444,3205373:3205392|offset_115|444444,3205404:3205423|offset_146|00cc00&amp;v=3205091:3205623&amp;c=444444", "offset 146")</f>
        <v>offset 146</v>
      </c>
    </row>
    <row r="10200" customFormat="false" ht="12.8" hidden="false" customHeight="false" outlineLevel="0" collapsed="false">
      <c r="A10200" s="0" t="s">
        <v>12</v>
      </c>
      <c r="B10200" s="0" t="n">
        <v>3206291</v>
      </c>
      <c r="C10200" s="0" t="n">
        <v>3206311</v>
      </c>
      <c r="D10200" s="0" t="s">
        <v>33881</v>
      </c>
      <c r="E10200" s="0" t="s">
        <v>75</v>
      </c>
      <c r="F10200" s="0" t="s">
        <v>15</v>
      </c>
      <c r="G10200" s="0" t="s">
        <v>32</v>
      </c>
      <c r="H10200" s="0" t="n">
        <v>1</v>
      </c>
      <c r="I10200" s="0" t="s">
        <v>33882</v>
      </c>
      <c r="J10200" s="0" t="s">
        <v>33883</v>
      </c>
      <c r="K10200" s="0" t="s">
        <v>33884</v>
      </c>
      <c r="L10200" s="0" t="str">
        <f aca="false">HYPERLINK("https://www.ncbi.nlm.nih.gov/nuccore/CP000058.1?report=graph&amp;tracks=[key:gene_model_track,Options:GeneOnly]&amp;mk=3206292:3206311|offset_1|00cc00,3206312:3206331|offset_21|444444,3206347:3206366|offset_56|444444,3206376:3206395|offset_85|444444&amp;v=3206091:3206595&amp;c=444444", "offset 1")</f>
        <v>offset 1</v>
      </c>
    </row>
    <row r="10201" customFormat="false" ht="12.8" hidden="false" customHeight="false" outlineLevel="0" collapsed="false">
      <c r="A10201" s="0" t="s">
        <v>12</v>
      </c>
      <c r="B10201" s="0" t="n">
        <v>3206311</v>
      </c>
      <c r="C10201" s="0" t="n">
        <v>3206331</v>
      </c>
      <c r="D10201" s="0" t="s">
        <v>33881</v>
      </c>
      <c r="E10201" s="0" t="s">
        <v>75</v>
      </c>
      <c r="F10201" s="0" t="s">
        <v>15</v>
      </c>
      <c r="G10201" s="0" t="s">
        <v>36</v>
      </c>
      <c r="H10201" s="0" t="n">
        <v>21</v>
      </c>
      <c r="I10201" s="0" t="s">
        <v>33885</v>
      </c>
      <c r="J10201" s="0" t="s">
        <v>33886</v>
      </c>
      <c r="K10201" s="0" t="s">
        <v>33887</v>
      </c>
      <c r="L10201" s="0" t="str">
        <f aca="false">HYPERLINK("https://www.ncbi.nlm.nih.gov/nuccore/CP000058.1?report=graph&amp;tracks=[key:gene_model_track,Options:GeneOnly]&amp;mk=3206292:3206311|offset_1|444444,3206312:3206331|offset_21|00cc00,3206347:3206366|offset_56|444444,3206376:3206395|offset_85|444444&amp;v=3206091:3206595&amp;c=444444", "offset 21")</f>
        <v>offset 21</v>
      </c>
    </row>
    <row r="10202" customFormat="false" ht="12.8" hidden="false" customHeight="false" outlineLevel="0" collapsed="false">
      <c r="A10202" s="0" t="s">
        <v>12</v>
      </c>
      <c r="B10202" s="0" t="n">
        <v>3206346</v>
      </c>
      <c r="C10202" s="0" t="n">
        <v>3206366</v>
      </c>
      <c r="D10202" s="0" t="s">
        <v>33881</v>
      </c>
      <c r="E10202" s="0" t="s">
        <v>75</v>
      </c>
      <c r="F10202" s="0" t="s">
        <v>15</v>
      </c>
      <c r="G10202" s="0" t="s">
        <v>20</v>
      </c>
      <c r="H10202" s="0" t="n">
        <v>56</v>
      </c>
      <c r="I10202" s="0" t="s">
        <v>33888</v>
      </c>
      <c r="J10202" s="0" t="s">
        <v>33889</v>
      </c>
      <c r="K10202" s="0" t="s">
        <v>33890</v>
      </c>
      <c r="L10202" s="0" t="str">
        <f aca="false">HYPERLINK("https://www.ncbi.nlm.nih.gov/nuccore/CP000058.1?report=graph&amp;tracks=[key:gene_model_track,Options:GeneOnly]&amp;mk=3206292:3206311|offset_1|444444,3206312:3206331|offset_21|444444,3206347:3206366|offset_56|00cc00,3206376:3206395|offset_85|444444&amp;v=3206091:3206595&amp;c=444444", "offset 56")</f>
        <v>offset 56</v>
      </c>
    </row>
    <row r="10203" customFormat="false" ht="12.8" hidden="false" customHeight="false" outlineLevel="0" collapsed="false">
      <c r="A10203" s="0" t="s">
        <v>12</v>
      </c>
      <c r="B10203" s="0" t="n">
        <v>3206375</v>
      </c>
      <c r="C10203" s="0" t="n">
        <v>3206395</v>
      </c>
      <c r="D10203" s="0" t="s">
        <v>33881</v>
      </c>
      <c r="E10203" s="0" t="s">
        <v>75</v>
      </c>
      <c r="F10203" s="0" t="s">
        <v>15</v>
      </c>
      <c r="G10203" s="0" t="s">
        <v>16</v>
      </c>
      <c r="H10203" s="0" t="n">
        <v>85</v>
      </c>
      <c r="I10203" s="0" t="s">
        <v>33891</v>
      </c>
      <c r="J10203" s="0" t="s">
        <v>33892</v>
      </c>
      <c r="K10203" s="0" t="s">
        <v>33893</v>
      </c>
      <c r="L10203" s="0" t="str">
        <f aca="false">HYPERLINK("https://www.ncbi.nlm.nih.gov/nuccore/CP000058.1?report=graph&amp;tracks=[key:gene_model_track,Options:GeneOnly]&amp;mk=3206292:3206311|offset_1|444444,3206312:3206331|offset_21|444444,3206347:3206366|offset_56|444444,3206376:3206395|offset_85|00cc00&amp;v=3206091:3206595&amp;c=444444", "offset 85")</f>
        <v>offset 85</v>
      </c>
    </row>
    <row r="10204" customFormat="false" ht="12.8" hidden="false" customHeight="false" outlineLevel="0" collapsed="false">
      <c r="A10204" s="0" t="s">
        <v>12</v>
      </c>
      <c r="B10204" s="0" t="n">
        <v>3206788</v>
      </c>
      <c r="C10204" s="0" t="n">
        <v>3206808</v>
      </c>
      <c r="D10204" s="0" t="s">
        <v>33894</v>
      </c>
      <c r="E10204" s="0" t="s">
        <v>75</v>
      </c>
      <c r="F10204" s="0" t="s">
        <v>15</v>
      </c>
      <c r="G10204" s="0" t="s">
        <v>16</v>
      </c>
      <c r="H10204" s="0" t="n">
        <v>7</v>
      </c>
      <c r="I10204" s="0" t="s">
        <v>33895</v>
      </c>
      <c r="J10204" s="0" t="s">
        <v>33896</v>
      </c>
      <c r="K10204" s="0" t="s">
        <v>33897</v>
      </c>
      <c r="L10204" s="0" t="str">
        <f aca="false">HYPERLINK("https://www.ncbi.nlm.nih.gov/nuccore/CP000058.1?report=graph&amp;tracks=[key:gene_model_track,Options:GeneOnly]&amp;mk=3206789:3206808|offset_7|00cc00,3206835:3206854|offset_53|444444,3206858:3206877|offset_76|444444,3206902:3206921|offset_120|444444&amp;v=3206588:3207121&amp;c=444444", "offset 7")</f>
        <v>offset 7</v>
      </c>
    </row>
    <row r="10205" customFormat="false" ht="12.8" hidden="false" customHeight="false" outlineLevel="0" collapsed="false">
      <c r="A10205" s="0" t="s">
        <v>12</v>
      </c>
      <c r="B10205" s="0" t="n">
        <v>3206834</v>
      </c>
      <c r="C10205" s="0" t="n">
        <v>3206854</v>
      </c>
      <c r="D10205" s="0" t="s">
        <v>33894</v>
      </c>
      <c r="E10205" s="0" t="s">
        <v>75</v>
      </c>
      <c r="F10205" s="0" t="s">
        <v>15</v>
      </c>
      <c r="G10205" s="0" t="s">
        <v>20</v>
      </c>
      <c r="H10205" s="0" t="n">
        <v>53</v>
      </c>
      <c r="I10205" s="0" t="s">
        <v>33898</v>
      </c>
      <c r="J10205" s="0" t="s">
        <v>33899</v>
      </c>
      <c r="K10205" s="0" t="s">
        <v>33900</v>
      </c>
      <c r="L10205" s="0" t="str">
        <f aca="false">HYPERLINK("https://www.ncbi.nlm.nih.gov/nuccore/CP000058.1?report=graph&amp;tracks=[key:gene_model_track,Options:GeneOnly]&amp;mk=3206789:3206808|offset_7|444444,3206835:3206854|offset_53|00cc00,3206858:3206877|offset_76|444444,3206902:3206921|offset_120|444444&amp;v=3206588:3207121&amp;c=444444", "offset 53")</f>
        <v>offset 53</v>
      </c>
    </row>
    <row r="10206" customFormat="false" ht="12.8" hidden="false" customHeight="false" outlineLevel="0" collapsed="false">
      <c r="A10206" s="0" t="s">
        <v>12</v>
      </c>
      <c r="B10206" s="0" t="n">
        <v>3206857</v>
      </c>
      <c r="C10206" s="0" t="n">
        <v>3206877</v>
      </c>
      <c r="D10206" s="0" t="s">
        <v>33894</v>
      </c>
      <c r="E10206" s="0" t="s">
        <v>75</v>
      </c>
      <c r="F10206" s="0" t="s">
        <v>15</v>
      </c>
      <c r="G10206" s="0" t="s">
        <v>16</v>
      </c>
      <c r="H10206" s="0" t="n">
        <v>76</v>
      </c>
      <c r="I10206" s="0" t="s">
        <v>33901</v>
      </c>
      <c r="J10206" s="0" t="s">
        <v>33902</v>
      </c>
      <c r="K10206" s="0" t="s">
        <v>33903</v>
      </c>
      <c r="L10206" s="0" t="str">
        <f aca="false">HYPERLINK("https://www.ncbi.nlm.nih.gov/nuccore/CP000058.1?report=graph&amp;tracks=[key:gene_model_track,Options:GeneOnly]&amp;mk=3206789:3206808|offset_7|444444,3206835:3206854|offset_53|444444,3206858:3206877|offset_76|00cc00,3206902:3206921|offset_120|444444&amp;v=3206588:3207121&amp;c=444444", "offset 76")</f>
        <v>offset 76</v>
      </c>
    </row>
    <row r="10207" customFormat="false" ht="12.8" hidden="false" customHeight="false" outlineLevel="0" collapsed="false">
      <c r="A10207" s="0" t="s">
        <v>12</v>
      </c>
      <c r="B10207" s="0" t="n">
        <v>3206901</v>
      </c>
      <c r="C10207" s="0" t="n">
        <v>3206921</v>
      </c>
      <c r="D10207" s="0" t="s">
        <v>33894</v>
      </c>
      <c r="E10207" s="0" t="s">
        <v>75</v>
      </c>
      <c r="F10207" s="0" t="s">
        <v>15</v>
      </c>
      <c r="G10207" s="0" t="s">
        <v>16</v>
      </c>
      <c r="H10207" s="0" t="n">
        <v>120</v>
      </c>
      <c r="I10207" s="0" t="s">
        <v>33904</v>
      </c>
      <c r="J10207" s="0" t="s">
        <v>33905</v>
      </c>
      <c r="K10207" s="0" t="s">
        <v>33906</v>
      </c>
      <c r="L10207" s="0" t="str">
        <f aca="false">HYPERLINK("https://www.ncbi.nlm.nih.gov/nuccore/CP000058.1?report=graph&amp;tracks=[key:gene_model_track,Options:GeneOnly]&amp;mk=3206789:3206808|offset_7|444444,3206835:3206854|offset_53|444444,3206858:3206877|offset_76|444444,3206902:3206921|offset_120|00cc00&amp;v=3206588:3207121&amp;c=444444", "offset 120")</f>
        <v>offset 120</v>
      </c>
    </row>
    <row r="10208" customFormat="false" ht="12.8" hidden="false" customHeight="false" outlineLevel="0" collapsed="false">
      <c r="A10208" s="0" t="s">
        <v>12</v>
      </c>
      <c r="B10208" s="0" t="n">
        <v>3208121</v>
      </c>
      <c r="C10208" s="0" t="n">
        <v>3208141</v>
      </c>
      <c r="D10208" s="0" t="s">
        <v>33907</v>
      </c>
      <c r="E10208" s="0" t="s">
        <v>75</v>
      </c>
      <c r="F10208" s="0" t="s">
        <v>15</v>
      </c>
      <c r="G10208" s="0" t="s">
        <v>32</v>
      </c>
      <c r="H10208" s="0" t="n">
        <v>28</v>
      </c>
      <c r="I10208" s="0" t="s">
        <v>33908</v>
      </c>
      <c r="J10208" s="0" t="s">
        <v>33909</v>
      </c>
      <c r="K10208" s="0" t="s">
        <v>33910</v>
      </c>
      <c r="L10208" s="0" t="str">
        <f aca="false">HYPERLINK("https://www.ncbi.nlm.nih.gov/nuccore/CP000058.1?report=graph&amp;tracks=[key:gene_model_track,Options:GeneOnly]&amp;mk=3208122:3208141|offset_28|00cc00,3208142:3208161|offset_48|444444,3208179:3208198|offset_85|444444,3208227:3208246|offset_133|444444&amp;v=3207921:3208446&amp;c=444444", "offset 28")</f>
        <v>offset 28</v>
      </c>
    </row>
    <row r="10209" customFormat="false" ht="12.8" hidden="false" customHeight="false" outlineLevel="0" collapsed="false">
      <c r="A10209" s="0" t="s">
        <v>12</v>
      </c>
      <c r="B10209" s="0" t="n">
        <v>3208141</v>
      </c>
      <c r="C10209" s="0" t="n">
        <v>3208161</v>
      </c>
      <c r="D10209" s="0" t="s">
        <v>33907</v>
      </c>
      <c r="E10209" s="0" t="s">
        <v>75</v>
      </c>
      <c r="F10209" s="0" t="s">
        <v>15</v>
      </c>
      <c r="G10209" s="0" t="s">
        <v>36</v>
      </c>
      <c r="H10209" s="0" t="n">
        <v>48</v>
      </c>
      <c r="I10209" s="0" t="s">
        <v>33911</v>
      </c>
      <c r="J10209" s="0" t="s">
        <v>33912</v>
      </c>
      <c r="K10209" s="0" t="s">
        <v>33913</v>
      </c>
      <c r="L10209" s="0" t="str">
        <f aca="false">HYPERLINK("https://www.ncbi.nlm.nih.gov/nuccore/CP000058.1?report=graph&amp;tracks=[key:gene_model_track,Options:GeneOnly]&amp;mk=3208122:3208141|offset_28|444444,3208142:3208161|offset_48|00cc00,3208179:3208198|offset_85|444444,3208227:3208246|offset_133|444444&amp;v=3207921:3208446&amp;c=444444", "offset 48")</f>
        <v>offset 48</v>
      </c>
    </row>
    <row r="10210" customFormat="false" ht="12.8" hidden="false" customHeight="false" outlineLevel="0" collapsed="false">
      <c r="A10210" s="0" t="s">
        <v>12</v>
      </c>
      <c r="B10210" s="0" t="n">
        <v>3208178</v>
      </c>
      <c r="C10210" s="0" t="n">
        <v>3208198</v>
      </c>
      <c r="D10210" s="0" t="s">
        <v>33907</v>
      </c>
      <c r="E10210" s="0" t="s">
        <v>75</v>
      </c>
      <c r="F10210" s="0" t="s">
        <v>15</v>
      </c>
      <c r="G10210" s="0" t="s">
        <v>32</v>
      </c>
      <c r="H10210" s="0" t="n">
        <v>85</v>
      </c>
      <c r="I10210" s="0" t="s">
        <v>33914</v>
      </c>
      <c r="J10210" s="0" t="s">
        <v>33915</v>
      </c>
      <c r="K10210" s="0" t="s">
        <v>33916</v>
      </c>
      <c r="L10210" s="0" t="str">
        <f aca="false">HYPERLINK("https://www.ncbi.nlm.nih.gov/nuccore/CP000058.1?report=graph&amp;tracks=[key:gene_model_track,Options:GeneOnly]&amp;mk=3208122:3208141|offset_28|444444,3208142:3208161|offset_48|444444,3208179:3208198|offset_85|00cc00,3208227:3208246|offset_133|444444&amp;v=3207921:3208446&amp;c=444444", "offset 85")</f>
        <v>offset 85</v>
      </c>
    </row>
    <row r="10211" customFormat="false" ht="12.8" hidden="false" customHeight="false" outlineLevel="0" collapsed="false">
      <c r="A10211" s="0" t="s">
        <v>12</v>
      </c>
      <c r="B10211" s="0" t="n">
        <v>3208226</v>
      </c>
      <c r="C10211" s="0" t="n">
        <v>3208246</v>
      </c>
      <c r="D10211" s="0" t="s">
        <v>33907</v>
      </c>
      <c r="E10211" s="0" t="s">
        <v>75</v>
      </c>
      <c r="F10211" s="0" t="s">
        <v>15</v>
      </c>
      <c r="G10211" s="0" t="s">
        <v>16</v>
      </c>
      <c r="H10211" s="0" t="n">
        <v>133</v>
      </c>
      <c r="I10211" s="0" t="s">
        <v>33917</v>
      </c>
      <c r="J10211" s="0" t="s">
        <v>33918</v>
      </c>
      <c r="K10211" s="0" t="s">
        <v>33919</v>
      </c>
      <c r="L10211" s="0" t="str">
        <f aca="false">HYPERLINK("https://www.ncbi.nlm.nih.gov/nuccore/CP000058.1?report=graph&amp;tracks=[key:gene_model_track,Options:GeneOnly]&amp;mk=3208122:3208141|offset_28|444444,3208142:3208161|offset_48|444444,3208179:3208198|offset_85|444444,3208227:3208246|offset_133|00cc00&amp;v=3207921:3208446&amp;c=444444", "offset 133")</f>
        <v>offset 133</v>
      </c>
    </row>
    <row r="10212" customFormat="false" ht="12.8" hidden="false" customHeight="false" outlineLevel="0" collapsed="false">
      <c r="A10212" s="0" t="s">
        <v>12</v>
      </c>
      <c r="B10212" s="0" t="n">
        <v>3210166</v>
      </c>
      <c r="C10212" s="0" t="n">
        <v>3210186</v>
      </c>
      <c r="D10212" s="0" t="s">
        <v>33920</v>
      </c>
      <c r="E10212" s="0" t="s">
        <v>75</v>
      </c>
      <c r="F10212" s="0" t="s">
        <v>90</v>
      </c>
      <c r="G10212" s="0" t="s">
        <v>20</v>
      </c>
      <c r="H10212" s="0" t="n">
        <v>0</v>
      </c>
      <c r="I10212" s="0" t="s">
        <v>33921</v>
      </c>
      <c r="J10212" s="0" t="s">
        <v>33922</v>
      </c>
      <c r="K10212" s="0" t="s">
        <v>33923</v>
      </c>
      <c r="L10212" s="0" t="str">
        <f aca="false">HYPERLINK("https://www.ncbi.nlm.nih.gov/nuccore/CP000058.1?report=graph&amp;tracks=[key:gene_model_track,Options:GeneOnly]&amp;mk=3210167:3210186|offset_0|00cc00,3210141:3210160|offset_26|444444,3210100:3210119|offset_67|444444,3210073:3210092|offset_94|444444&amp;v=3209966:3210292&amp;c=444444", "offset 0")</f>
        <v>offset 0</v>
      </c>
    </row>
    <row r="10213" customFormat="false" ht="12.8" hidden="false" customHeight="false" outlineLevel="0" collapsed="false">
      <c r="A10213" s="0" t="s">
        <v>12</v>
      </c>
      <c r="B10213" s="0" t="n">
        <v>3210140</v>
      </c>
      <c r="C10213" s="0" t="n">
        <v>3210160</v>
      </c>
      <c r="D10213" s="0" t="s">
        <v>33920</v>
      </c>
      <c r="E10213" s="0" t="s">
        <v>75</v>
      </c>
      <c r="F10213" s="0" t="s">
        <v>90</v>
      </c>
      <c r="G10213" s="0" t="s">
        <v>20</v>
      </c>
      <c r="H10213" s="0" t="n">
        <v>26</v>
      </c>
      <c r="I10213" s="0" t="s">
        <v>33924</v>
      </c>
      <c r="J10213" s="0" t="s">
        <v>33925</v>
      </c>
      <c r="K10213" s="0" t="s">
        <v>33926</v>
      </c>
      <c r="L10213" s="0" t="str">
        <f aca="false">HYPERLINK("https://www.ncbi.nlm.nih.gov/nuccore/CP000058.1?report=graph&amp;tracks=[key:gene_model_track,Options:GeneOnly]&amp;mk=3210167:3210186|offset_0|444444,3210141:3210160|offset_26|00cc00,3210100:3210119|offset_67|444444,3210073:3210092|offset_94|444444&amp;v=3209966:3210292&amp;c=444444", "offset 26")</f>
        <v>offset 26</v>
      </c>
    </row>
    <row r="10214" customFormat="false" ht="12.8" hidden="false" customHeight="false" outlineLevel="0" collapsed="false">
      <c r="A10214" s="0" t="s">
        <v>12</v>
      </c>
      <c r="B10214" s="0" t="n">
        <v>3210099</v>
      </c>
      <c r="C10214" s="0" t="n">
        <v>3210119</v>
      </c>
      <c r="D10214" s="0" t="s">
        <v>33920</v>
      </c>
      <c r="E10214" s="0" t="s">
        <v>75</v>
      </c>
      <c r="F10214" s="0" t="s">
        <v>90</v>
      </c>
      <c r="G10214" s="0" t="s">
        <v>32</v>
      </c>
      <c r="H10214" s="0" t="n">
        <v>67</v>
      </c>
      <c r="I10214" s="0" t="s">
        <v>33927</v>
      </c>
      <c r="J10214" s="0" t="s">
        <v>33928</v>
      </c>
      <c r="K10214" s="0" t="s">
        <v>33929</v>
      </c>
      <c r="L10214" s="0" t="str">
        <f aca="false">HYPERLINK("https://www.ncbi.nlm.nih.gov/nuccore/CP000058.1?report=graph&amp;tracks=[key:gene_model_track,Options:GeneOnly]&amp;mk=3210167:3210186|offset_0|444444,3210141:3210160|offset_26|444444,3210100:3210119|offset_67|00cc00,3210073:3210092|offset_94|444444&amp;v=3209966:3210292&amp;c=444444", "offset 67")</f>
        <v>offset 67</v>
      </c>
    </row>
    <row r="10215" customFormat="false" ht="12.8" hidden="false" customHeight="false" outlineLevel="0" collapsed="false">
      <c r="A10215" s="0" t="s">
        <v>12</v>
      </c>
      <c r="B10215" s="0" t="n">
        <v>3210072</v>
      </c>
      <c r="C10215" s="0" t="n">
        <v>3210092</v>
      </c>
      <c r="D10215" s="0" t="s">
        <v>33920</v>
      </c>
      <c r="E10215" s="0" t="s">
        <v>75</v>
      </c>
      <c r="F10215" s="0" t="s">
        <v>90</v>
      </c>
      <c r="G10215" s="0" t="s">
        <v>36</v>
      </c>
      <c r="H10215" s="0" t="n">
        <v>94</v>
      </c>
      <c r="I10215" s="0" t="s">
        <v>33930</v>
      </c>
      <c r="J10215" s="0" t="s">
        <v>33931</v>
      </c>
      <c r="K10215" s="0" t="s">
        <v>33932</v>
      </c>
      <c r="L10215" s="0" t="str">
        <f aca="false">HYPERLINK("https://www.ncbi.nlm.nih.gov/nuccore/CP000058.1?report=graph&amp;tracks=[key:gene_model_track,Options:GeneOnly]&amp;mk=3210167:3210186|offset_0|444444,3210141:3210160|offset_26|444444,3210100:3210119|offset_67|444444,3210073:3210092|offset_94|00cc00&amp;v=3209966:3210292&amp;c=444444", "offset 94")</f>
        <v>offset 94</v>
      </c>
    </row>
    <row r="10216" customFormat="false" ht="12.8" hidden="false" customHeight="false" outlineLevel="0" collapsed="false">
      <c r="A10216" s="0" t="s">
        <v>12</v>
      </c>
      <c r="B10216" s="0" t="n">
        <v>3211294</v>
      </c>
      <c r="C10216" s="0" t="n">
        <v>3211314</v>
      </c>
      <c r="D10216" s="0" t="s">
        <v>33933</v>
      </c>
      <c r="E10216" s="0" t="s">
        <v>75</v>
      </c>
      <c r="F10216" s="0" t="s">
        <v>90</v>
      </c>
      <c r="G10216" s="0" t="s">
        <v>16</v>
      </c>
      <c r="H10216" s="0" t="n">
        <v>25</v>
      </c>
      <c r="I10216" s="0" t="s">
        <v>33934</v>
      </c>
      <c r="J10216" s="0" t="s">
        <v>33935</v>
      </c>
      <c r="K10216" s="0" t="s">
        <v>33936</v>
      </c>
      <c r="L10216" s="0" t="str">
        <f aca="false">HYPERLINK("https://www.ncbi.nlm.nih.gov/nuccore/CP000058.1?report=graph&amp;tracks=[key:gene_model_track,Options:GeneOnly]&amp;mk=3211295:3211314|offset_25|00cc00,3211274:3211293|offset_46|444444,3211247:3211266|offset_73|444444,3211226:3211245|offset_94|444444&amp;v=3211094:3211445&amp;c=444444", "offset 25")</f>
        <v>offset 25</v>
      </c>
    </row>
    <row r="10217" customFormat="false" ht="12.8" hidden="false" customHeight="false" outlineLevel="0" collapsed="false">
      <c r="A10217" s="0" t="s">
        <v>12</v>
      </c>
      <c r="B10217" s="0" t="n">
        <v>3211273</v>
      </c>
      <c r="C10217" s="0" t="n">
        <v>3211293</v>
      </c>
      <c r="D10217" s="0" t="s">
        <v>33933</v>
      </c>
      <c r="E10217" s="0" t="s">
        <v>75</v>
      </c>
      <c r="F10217" s="0" t="s">
        <v>90</v>
      </c>
      <c r="G10217" s="0" t="s">
        <v>20</v>
      </c>
      <c r="H10217" s="0" t="n">
        <v>46</v>
      </c>
      <c r="I10217" s="0" t="s">
        <v>33937</v>
      </c>
      <c r="J10217" s="0" t="s">
        <v>33938</v>
      </c>
      <c r="K10217" s="0" t="s">
        <v>33939</v>
      </c>
      <c r="L10217" s="0" t="str">
        <f aca="false">HYPERLINK("https://www.ncbi.nlm.nih.gov/nuccore/CP000058.1?report=graph&amp;tracks=[key:gene_model_track,Options:GeneOnly]&amp;mk=3211295:3211314|offset_25|444444,3211274:3211293|offset_46|00cc00,3211247:3211266|offset_73|444444,3211226:3211245|offset_94|444444&amp;v=3211094:3211445&amp;c=444444", "offset 46")</f>
        <v>offset 46</v>
      </c>
    </row>
    <row r="10218" customFormat="false" ht="12.8" hidden="false" customHeight="false" outlineLevel="0" collapsed="false">
      <c r="A10218" s="0" t="s">
        <v>12</v>
      </c>
      <c r="B10218" s="0" t="n">
        <v>3211246</v>
      </c>
      <c r="C10218" s="0" t="n">
        <v>3211266</v>
      </c>
      <c r="D10218" s="0" t="s">
        <v>33933</v>
      </c>
      <c r="E10218" s="0" t="s">
        <v>75</v>
      </c>
      <c r="F10218" s="0" t="s">
        <v>90</v>
      </c>
      <c r="G10218" s="0" t="s">
        <v>32</v>
      </c>
      <c r="H10218" s="0" t="n">
        <v>73</v>
      </c>
      <c r="I10218" s="0" t="s">
        <v>33940</v>
      </c>
      <c r="J10218" s="0" t="s">
        <v>33941</v>
      </c>
      <c r="K10218" s="0" t="s">
        <v>33942</v>
      </c>
      <c r="L10218" s="0" t="str">
        <f aca="false">HYPERLINK("https://www.ncbi.nlm.nih.gov/nuccore/CP000058.1?report=graph&amp;tracks=[key:gene_model_track,Options:GeneOnly]&amp;mk=3211295:3211314|offset_25|444444,3211274:3211293|offset_46|444444,3211247:3211266|offset_73|00cc00,3211226:3211245|offset_94|444444&amp;v=3211094:3211445&amp;c=444444", "offset 73")</f>
        <v>offset 73</v>
      </c>
    </row>
    <row r="10219" customFormat="false" ht="12.8" hidden="false" customHeight="false" outlineLevel="0" collapsed="false">
      <c r="A10219" s="0" t="s">
        <v>12</v>
      </c>
      <c r="B10219" s="0" t="n">
        <v>3211225</v>
      </c>
      <c r="C10219" s="0" t="n">
        <v>3211245</v>
      </c>
      <c r="D10219" s="0" t="s">
        <v>33933</v>
      </c>
      <c r="E10219" s="0" t="s">
        <v>75</v>
      </c>
      <c r="F10219" s="0" t="s">
        <v>90</v>
      </c>
      <c r="G10219" s="0" t="s">
        <v>32</v>
      </c>
      <c r="H10219" s="0" t="n">
        <v>94</v>
      </c>
      <c r="I10219" s="0" t="s">
        <v>33943</v>
      </c>
      <c r="J10219" s="0" t="s">
        <v>33944</v>
      </c>
      <c r="K10219" s="0" t="s">
        <v>33945</v>
      </c>
      <c r="L10219" s="0" t="str">
        <f aca="false">HYPERLINK("https://www.ncbi.nlm.nih.gov/nuccore/CP000058.1?report=graph&amp;tracks=[key:gene_model_track,Options:GeneOnly]&amp;mk=3211295:3211314|offset_25|444444,3211274:3211293|offset_46|444444,3211247:3211266|offset_73|444444,3211226:3211245|offset_94|00cc00&amp;v=3211094:3211445&amp;c=444444", "offset 94")</f>
        <v>offset 94</v>
      </c>
    </row>
    <row r="10220" customFormat="false" ht="12.8" hidden="false" customHeight="false" outlineLevel="0" collapsed="false">
      <c r="A10220" s="0" t="s">
        <v>12</v>
      </c>
      <c r="B10220" s="0" t="n">
        <v>3212515</v>
      </c>
      <c r="C10220" s="0" t="n">
        <v>3212535</v>
      </c>
      <c r="D10220" s="0" t="s">
        <v>33946</v>
      </c>
      <c r="E10220" s="0" t="s">
        <v>75</v>
      </c>
      <c r="F10220" s="0" t="s">
        <v>90</v>
      </c>
      <c r="G10220" s="0" t="s">
        <v>36</v>
      </c>
      <c r="H10220" s="0" t="n">
        <v>20</v>
      </c>
      <c r="I10220" s="0" t="s">
        <v>33947</v>
      </c>
      <c r="J10220" s="0" t="s">
        <v>33948</v>
      </c>
      <c r="K10220" s="0" t="s">
        <v>33949</v>
      </c>
      <c r="L10220" s="0" t="str">
        <f aca="false">HYPERLINK("https://www.ncbi.nlm.nih.gov/nuccore/CP000058.1?report=graph&amp;tracks=[key:gene_model_track,Options:GeneOnly]&amp;mk=3212516:3212535|offset_20|00cc00,3212491:3212510|offset_45|444444,3212468:3212487|offset_68|444444,3212436:3212455|offset_100|444444&amp;v=3212315:3212655&amp;c=444444", "offset 20")</f>
        <v>offset 20</v>
      </c>
    </row>
    <row r="10221" customFormat="false" ht="12.8" hidden="false" customHeight="false" outlineLevel="0" collapsed="false">
      <c r="A10221" s="0" t="s">
        <v>12</v>
      </c>
      <c r="B10221" s="0" t="n">
        <v>3212490</v>
      </c>
      <c r="C10221" s="0" t="n">
        <v>3212510</v>
      </c>
      <c r="D10221" s="0" t="s">
        <v>33946</v>
      </c>
      <c r="E10221" s="0" t="s">
        <v>75</v>
      </c>
      <c r="F10221" s="0" t="s">
        <v>90</v>
      </c>
      <c r="G10221" s="0" t="s">
        <v>16</v>
      </c>
      <c r="H10221" s="0" t="n">
        <v>45</v>
      </c>
      <c r="I10221" s="0" t="s">
        <v>33950</v>
      </c>
      <c r="J10221" s="0" t="s">
        <v>33951</v>
      </c>
      <c r="K10221" s="0" t="s">
        <v>33952</v>
      </c>
      <c r="L10221" s="0" t="str">
        <f aca="false">HYPERLINK("https://www.ncbi.nlm.nih.gov/nuccore/CP000058.1?report=graph&amp;tracks=[key:gene_model_track,Options:GeneOnly]&amp;mk=3212516:3212535|offset_20|444444,3212491:3212510|offset_45|00cc00,3212468:3212487|offset_68|444444,3212436:3212455|offset_100|444444&amp;v=3212315:3212655&amp;c=444444", "offset 45")</f>
        <v>offset 45</v>
      </c>
    </row>
    <row r="10222" customFormat="false" ht="12.8" hidden="false" customHeight="false" outlineLevel="0" collapsed="false">
      <c r="A10222" s="0" t="s">
        <v>12</v>
      </c>
      <c r="B10222" s="0" t="n">
        <v>3212467</v>
      </c>
      <c r="C10222" s="0" t="n">
        <v>3212487</v>
      </c>
      <c r="D10222" s="0" t="s">
        <v>33946</v>
      </c>
      <c r="E10222" s="0" t="s">
        <v>75</v>
      </c>
      <c r="F10222" s="0" t="s">
        <v>90</v>
      </c>
      <c r="G10222" s="0" t="s">
        <v>20</v>
      </c>
      <c r="H10222" s="0" t="n">
        <v>68</v>
      </c>
      <c r="I10222" s="0" t="s">
        <v>33953</v>
      </c>
      <c r="J10222" s="0" t="s">
        <v>33954</v>
      </c>
      <c r="K10222" s="0" t="s">
        <v>33955</v>
      </c>
      <c r="L10222" s="0" t="str">
        <f aca="false">HYPERLINK("https://www.ncbi.nlm.nih.gov/nuccore/CP000058.1?report=graph&amp;tracks=[key:gene_model_track,Options:GeneOnly]&amp;mk=3212516:3212535|offset_20|444444,3212491:3212510|offset_45|444444,3212468:3212487|offset_68|00cc00,3212436:3212455|offset_100|444444&amp;v=3212315:3212655&amp;c=444444", "offset 68")</f>
        <v>offset 68</v>
      </c>
    </row>
    <row r="10223" customFormat="false" ht="12.8" hidden="false" customHeight="false" outlineLevel="0" collapsed="false">
      <c r="A10223" s="0" t="s">
        <v>12</v>
      </c>
      <c r="B10223" s="0" t="n">
        <v>3212435</v>
      </c>
      <c r="C10223" s="0" t="n">
        <v>3212455</v>
      </c>
      <c r="D10223" s="0" t="s">
        <v>33946</v>
      </c>
      <c r="E10223" s="0" t="s">
        <v>75</v>
      </c>
      <c r="F10223" s="0" t="s">
        <v>90</v>
      </c>
      <c r="G10223" s="0" t="s">
        <v>16</v>
      </c>
      <c r="H10223" s="0" t="n">
        <v>100</v>
      </c>
      <c r="I10223" s="0" t="s">
        <v>33956</v>
      </c>
      <c r="J10223" s="0" t="s">
        <v>33957</v>
      </c>
      <c r="K10223" s="0" t="s">
        <v>33958</v>
      </c>
      <c r="L10223" s="0" t="str">
        <f aca="false">HYPERLINK("https://www.ncbi.nlm.nih.gov/nuccore/CP000058.1?report=graph&amp;tracks=[key:gene_model_track,Options:GeneOnly]&amp;mk=3212516:3212535|offset_20|444444,3212491:3212510|offset_45|444444,3212468:3212487|offset_68|444444,3212436:3212455|offset_100|00cc00&amp;v=3212315:3212655&amp;c=444444", "offset 100")</f>
        <v>offset 100</v>
      </c>
    </row>
    <row r="10224" customFormat="false" ht="12.8" hidden="false" customHeight="false" outlineLevel="0" collapsed="false">
      <c r="A10224" s="0" t="s">
        <v>12</v>
      </c>
      <c r="B10224" s="0" t="n">
        <v>3212842</v>
      </c>
      <c r="C10224" s="0" t="n">
        <v>3212862</v>
      </c>
      <c r="D10224" s="0" t="s">
        <v>33959</v>
      </c>
      <c r="E10224" s="0" t="s">
        <v>75</v>
      </c>
      <c r="F10224" s="0" t="s">
        <v>15</v>
      </c>
      <c r="G10224" s="0" t="s">
        <v>36</v>
      </c>
      <c r="H10224" s="0" t="n">
        <v>23</v>
      </c>
      <c r="I10224" s="0" t="s">
        <v>33960</v>
      </c>
      <c r="J10224" s="0" t="s">
        <v>33961</v>
      </c>
      <c r="K10224" s="0" t="s">
        <v>33962</v>
      </c>
      <c r="L10224" s="0" t="str">
        <f aca="false">HYPERLINK("https://www.ncbi.nlm.nih.gov/nuccore/CP000058.1?report=graph&amp;tracks=[key:gene_model_track,Options:GeneOnly]&amp;mk=3212843:3212862|offset_23|00cc00,3212885:3212904|offset_65|444444,3212945:3212964|offset_125|444444,3212983:3213002|offset_163|444444&amp;v=3212642:3213202&amp;c=444444", "offset 23")</f>
        <v>offset 23</v>
      </c>
    </row>
    <row r="10225" customFormat="false" ht="12.8" hidden="false" customHeight="false" outlineLevel="0" collapsed="false">
      <c r="A10225" s="0" t="s">
        <v>12</v>
      </c>
      <c r="B10225" s="0" t="n">
        <v>3212884</v>
      </c>
      <c r="C10225" s="0" t="n">
        <v>3212904</v>
      </c>
      <c r="D10225" s="0" t="s">
        <v>33959</v>
      </c>
      <c r="E10225" s="0" t="s">
        <v>75</v>
      </c>
      <c r="F10225" s="0" t="s">
        <v>15</v>
      </c>
      <c r="G10225" s="0" t="s">
        <v>20</v>
      </c>
      <c r="H10225" s="0" t="n">
        <v>65</v>
      </c>
      <c r="I10225" s="0" t="s">
        <v>33963</v>
      </c>
      <c r="J10225" s="0" t="s">
        <v>33964</v>
      </c>
      <c r="K10225" s="0" t="s">
        <v>33965</v>
      </c>
      <c r="L10225" s="0" t="str">
        <f aca="false">HYPERLINK("https://www.ncbi.nlm.nih.gov/nuccore/CP000058.1?report=graph&amp;tracks=[key:gene_model_track,Options:GeneOnly]&amp;mk=3212843:3212862|offset_23|444444,3212885:3212904|offset_65|00cc00,3212945:3212964|offset_125|444444,3212983:3213002|offset_163|444444&amp;v=3212642:3213202&amp;c=444444", "offset 65")</f>
        <v>offset 65</v>
      </c>
    </row>
    <row r="10226" customFormat="false" ht="12.8" hidden="false" customHeight="false" outlineLevel="0" collapsed="false">
      <c r="A10226" s="0" t="s">
        <v>12</v>
      </c>
      <c r="B10226" s="0" t="n">
        <v>3212944</v>
      </c>
      <c r="C10226" s="0" t="n">
        <v>3212964</v>
      </c>
      <c r="D10226" s="0" t="s">
        <v>33959</v>
      </c>
      <c r="E10226" s="0" t="s">
        <v>75</v>
      </c>
      <c r="F10226" s="0" t="s">
        <v>15</v>
      </c>
      <c r="G10226" s="0" t="s">
        <v>36</v>
      </c>
      <c r="H10226" s="0" t="n">
        <v>125</v>
      </c>
      <c r="I10226" s="0" t="s">
        <v>33966</v>
      </c>
      <c r="J10226" s="0" t="s">
        <v>33967</v>
      </c>
      <c r="K10226" s="0" t="s">
        <v>33968</v>
      </c>
      <c r="L10226" s="0" t="str">
        <f aca="false">HYPERLINK("https://www.ncbi.nlm.nih.gov/nuccore/CP000058.1?report=graph&amp;tracks=[key:gene_model_track,Options:GeneOnly]&amp;mk=3212843:3212862|offset_23|444444,3212885:3212904|offset_65|444444,3212945:3212964|offset_125|00cc00,3212983:3213002|offset_163|444444&amp;v=3212642:3213202&amp;c=444444", "offset 125")</f>
        <v>offset 125</v>
      </c>
    </row>
    <row r="10227" customFormat="false" ht="12.8" hidden="false" customHeight="false" outlineLevel="0" collapsed="false">
      <c r="A10227" s="0" t="s">
        <v>12</v>
      </c>
      <c r="B10227" s="0" t="n">
        <v>3212982</v>
      </c>
      <c r="C10227" s="0" t="n">
        <v>3213002</v>
      </c>
      <c r="D10227" s="0" t="s">
        <v>33959</v>
      </c>
      <c r="E10227" s="0" t="s">
        <v>75</v>
      </c>
      <c r="F10227" s="0" t="s">
        <v>15</v>
      </c>
      <c r="G10227" s="0" t="s">
        <v>20</v>
      </c>
      <c r="H10227" s="0" t="n">
        <v>163</v>
      </c>
      <c r="I10227" s="0" t="s">
        <v>33969</v>
      </c>
      <c r="J10227" s="0" t="s">
        <v>33970</v>
      </c>
      <c r="K10227" s="0" t="s">
        <v>33971</v>
      </c>
      <c r="L10227" s="0" t="str">
        <f aca="false">HYPERLINK("https://www.ncbi.nlm.nih.gov/nuccore/CP000058.1?report=graph&amp;tracks=[key:gene_model_track,Options:GeneOnly]&amp;mk=3212843:3212862|offset_23|444444,3212885:3212904|offset_65|444444,3212945:3212964|offset_125|444444,3212983:3213002|offset_163|00cc00&amp;v=3212642:3213202&amp;c=444444", "offset 163")</f>
        <v>offset 163</v>
      </c>
    </row>
    <row r="10228" customFormat="false" ht="12.8" hidden="false" customHeight="false" outlineLevel="0" collapsed="false">
      <c r="A10228" s="0" t="s">
        <v>12</v>
      </c>
      <c r="B10228" s="0" t="n">
        <v>3214203</v>
      </c>
      <c r="C10228" s="0" t="n">
        <v>3214223</v>
      </c>
      <c r="D10228" s="0" t="s">
        <v>33972</v>
      </c>
      <c r="E10228" s="0" t="s">
        <v>33973</v>
      </c>
      <c r="F10228" s="0" t="s">
        <v>15</v>
      </c>
      <c r="G10228" s="0" t="s">
        <v>20</v>
      </c>
      <c r="H10228" s="0" t="n">
        <v>17</v>
      </c>
      <c r="I10228" s="0" t="s">
        <v>33974</v>
      </c>
      <c r="J10228" s="0" t="s">
        <v>33975</v>
      </c>
      <c r="K10228" s="0" t="s">
        <v>33976</v>
      </c>
      <c r="L10228" s="0" t="str">
        <f aca="false">HYPERLINK("https://www.ncbi.nlm.nih.gov/nuccore/CP000058.1?report=graph&amp;tracks=[key:gene_model_track,Options:GeneOnly]&amp;mk=3214204:3214223|offset_17|00cc00,3214248:3214267|offset_61|444444,3214324:3214343|offset_137|444444,3214344:3214363|offset_157|444444&amp;v=3214003:3214563&amp;c=444444", "offset 17")</f>
        <v>offset 17</v>
      </c>
    </row>
    <row r="10229" customFormat="false" ht="12.8" hidden="false" customHeight="false" outlineLevel="0" collapsed="false">
      <c r="A10229" s="0" t="s">
        <v>12</v>
      </c>
      <c r="B10229" s="0" t="n">
        <v>3214247</v>
      </c>
      <c r="C10229" s="0" t="n">
        <v>3214267</v>
      </c>
      <c r="D10229" s="0" t="s">
        <v>33972</v>
      </c>
      <c r="E10229" s="0" t="s">
        <v>33973</v>
      </c>
      <c r="F10229" s="0" t="s">
        <v>15</v>
      </c>
      <c r="G10229" s="0" t="s">
        <v>36</v>
      </c>
      <c r="H10229" s="0" t="n">
        <v>61</v>
      </c>
      <c r="I10229" s="0" t="s">
        <v>33977</v>
      </c>
      <c r="J10229" s="0" t="s">
        <v>33978</v>
      </c>
      <c r="K10229" s="0" t="s">
        <v>33979</v>
      </c>
      <c r="L10229" s="0" t="str">
        <f aca="false">HYPERLINK("https://www.ncbi.nlm.nih.gov/nuccore/CP000058.1?report=graph&amp;tracks=[key:gene_model_track,Options:GeneOnly]&amp;mk=3214204:3214223|offset_17|444444,3214248:3214267|offset_61|00cc00,3214324:3214343|offset_137|444444,3214344:3214363|offset_157|444444&amp;v=3214003:3214563&amp;c=444444", "offset 61")</f>
        <v>offset 61</v>
      </c>
    </row>
    <row r="10230" customFormat="false" ht="12.8" hidden="false" customHeight="false" outlineLevel="0" collapsed="false">
      <c r="A10230" s="0" t="s">
        <v>12</v>
      </c>
      <c r="B10230" s="0" t="n">
        <v>3214323</v>
      </c>
      <c r="C10230" s="0" t="n">
        <v>3214343</v>
      </c>
      <c r="D10230" s="0" t="s">
        <v>33972</v>
      </c>
      <c r="E10230" s="0" t="s">
        <v>33973</v>
      </c>
      <c r="F10230" s="0" t="s">
        <v>15</v>
      </c>
      <c r="G10230" s="0" t="s">
        <v>20</v>
      </c>
      <c r="H10230" s="0" t="n">
        <v>137</v>
      </c>
      <c r="I10230" s="0" t="s">
        <v>33980</v>
      </c>
      <c r="J10230" s="0" t="s">
        <v>33981</v>
      </c>
      <c r="K10230" s="0" t="s">
        <v>33982</v>
      </c>
      <c r="L10230" s="0" t="str">
        <f aca="false">HYPERLINK("https://www.ncbi.nlm.nih.gov/nuccore/CP000058.1?report=graph&amp;tracks=[key:gene_model_track,Options:GeneOnly]&amp;mk=3214204:3214223|offset_17|444444,3214248:3214267|offset_61|444444,3214324:3214343|offset_137|00cc00,3214344:3214363|offset_157|444444&amp;v=3214003:3214563&amp;c=444444", "offset 137")</f>
        <v>offset 137</v>
      </c>
    </row>
    <row r="10231" customFormat="false" ht="12.8" hidden="false" customHeight="false" outlineLevel="0" collapsed="false">
      <c r="A10231" s="0" t="s">
        <v>12</v>
      </c>
      <c r="B10231" s="0" t="n">
        <v>3214343</v>
      </c>
      <c r="C10231" s="0" t="n">
        <v>3214363</v>
      </c>
      <c r="D10231" s="0" t="s">
        <v>33972</v>
      </c>
      <c r="E10231" s="0" t="s">
        <v>33973</v>
      </c>
      <c r="F10231" s="0" t="s">
        <v>15</v>
      </c>
      <c r="G10231" s="0" t="s">
        <v>20</v>
      </c>
      <c r="H10231" s="0" t="n">
        <v>157</v>
      </c>
      <c r="I10231" s="0" t="s">
        <v>33983</v>
      </c>
      <c r="J10231" s="0" t="s">
        <v>33984</v>
      </c>
      <c r="K10231" s="0" t="s">
        <v>33985</v>
      </c>
      <c r="L10231" s="0" t="str">
        <f aca="false">HYPERLINK("https://www.ncbi.nlm.nih.gov/nuccore/CP000058.1?report=graph&amp;tracks=[key:gene_model_track,Options:GeneOnly]&amp;mk=3214204:3214223|offset_17|444444,3214248:3214267|offset_61|444444,3214324:3214343|offset_137|444444,3214344:3214363|offset_157|00cc00&amp;v=3214003:3214563&amp;c=444444", "offset 157")</f>
        <v>offset 157</v>
      </c>
    </row>
    <row r="10232" customFormat="false" ht="12.8" hidden="false" customHeight="false" outlineLevel="0" collapsed="false">
      <c r="A10232" s="0" t="s">
        <v>12</v>
      </c>
      <c r="B10232" s="0" t="n">
        <v>3215127</v>
      </c>
      <c r="C10232" s="0" t="n">
        <v>3215147</v>
      </c>
      <c r="D10232" s="0" t="s">
        <v>33986</v>
      </c>
      <c r="E10232" s="0" t="s">
        <v>75</v>
      </c>
      <c r="F10232" s="0" t="s">
        <v>15</v>
      </c>
      <c r="G10232" s="0" t="s">
        <v>32</v>
      </c>
      <c r="H10232" s="0" t="n">
        <v>19</v>
      </c>
      <c r="I10232" s="0" t="s">
        <v>33987</v>
      </c>
      <c r="J10232" s="0" t="s">
        <v>33988</v>
      </c>
      <c r="K10232" s="0" t="s">
        <v>33989</v>
      </c>
      <c r="L10232" s="0" t="str">
        <f aca="false">HYPERLINK("https://www.ncbi.nlm.nih.gov/nuccore/CP000058.1?report=graph&amp;tracks=[key:gene_model_track,Options:GeneOnly]&amp;mk=3215128:3215147|offset_19|00cc00,3215173:3215192|offset_64|444444,3215208:3215227|offset_99|444444,3215236:3215255|offset_127|444444&amp;v=3214927:3215455&amp;c=444444", "offset 19")</f>
        <v>offset 19</v>
      </c>
    </row>
    <row r="10233" customFormat="false" ht="12.8" hidden="false" customHeight="false" outlineLevel="0" collapsed="false">
      <c r="A10233" s="0" t="s">
        <v>12</v>
      </c>
      <c r="B10233" s="0" t="n">
        <v>3215172</v>
      </c>
      <c r="C10233" s="0" t="n">
        <v>3215192</v>
      </c>
      <c r="D10233" s="0" t="s">
        <v>33986</v>
      </c>
      <c r="E10233" s="0" t="s">
        <v>75</v>
      </c>
      <c r="F10233" s="0" t="s">
        <v>15</v>
      </c>
      <c r="G10233" s="0" t="s">
        <v>20</v>
      </c>
      <c r="H10233" s="0" t="n">
        <v>64</v>
      </c>
      <c r="I10233" s="0" t="s">
        <v>33990</v>
      </c>
      <c r="J10233" s="0" t="s">
        <v>33991</v>
      </c>
      <c r="K10233" s="0" t="s">
        <v>33992</v>
      </c>
      <c r="L10233" s="0" t="str">
        <f aca="false">HYPERLINK("https://www.ncbi.nlm.nih.gov/nuccore/CP000058.1?report=graph&amp;tracks=[key:gene_model_track,Options:GeneOnly]&amp;mk=3215128:3215147|offset_19|444444,3215173:3215192|offset_64|00cc00,3215208:3215227|offset_99|444444,3215236:3215255|offset_127|444444&amp;v=3214927:3215455&amp;c=444444", "offset 64")</f>
        <v>offset 64</v>
      </c>
    </row>
    <row r="10234" customFormat="false" ht="12.8" hidden="false" customHeight="false" outlineLevel="0" collapsed="false">
      <c r="A10234" s="0" t="s">
        <v>12</v>
      </c>
      <c r="B10234" s="0" t="n">
        <v>3215207</v>
      </c>
      <c r="C10234" s="0" t="n">
        <v>3215227</v>
      </c>
      <c r="D10234" s="0" t="s">
        <v>33986</v>
      </c>
      <c r="E10234" s="0" t="s">
        <v>75</v>
      </c>
      <c r="F10234" s="0" t="s">
        <v>15</v>
      </c>
      <c r="G10234" s="0" t="s">
        <v>16</v>
      </c>
      <c r="H10234" s="0" t="n">
        <v>99</v>
      </c>
      <c r="I10234" s="0" t="s">
        <v>33993</v>
      </c>
      <c r="J10234" s="0" t="s">
        <v>33994</v>
      </c>
      <c r="K10234" s="0" t="s">
        <v>33995</v>
      </c>
      <c r="L10234" s="0" t="str">
        <f aca="false">HYPERLINK("https://www.ncbi.nlm.nih.gov/nuccore/CP000058.1?report=graph&amp;tracks=[key:gene_model_track,Options:GeneOnly]&amp;mk=3215128:3215147|offset_19|444444,3215173:3215192|offset_64|444444,3215208:3215227|offset_99|00cc00,3215236:3215255|offset_127|444444&amp;v=3214927:3215455&amp;c=444444", "offset 99")</f>
        <v>offset 99</v>
      </c>
    </row>
    <row r="10235" customFormat="false" ht="12.8" hidden="false" customHeight="false" outlineLevel="0" collapsed="false">
      <c r="A10235" s="0" t="s">
        <v>12</v>
      </c>
      <c r="B10235" s="0" t="n">
        <v>3215235</v>
      </c>
      <c r="C10235" s="0" t="n">
        <v>3215255</v>
      </c>
      <c r="D10235" s="0" t="s">
        <v>33986</v>
      </c>
      <c r="E10235" s="0" t="s">
        <v>75</v>
      </c>
      <c r="F10235" s="0" t="s">
        <v>15</v>
      </c>
      <c r="G10235" s="0" t="s">
        <v>16</v>
      </c>
      <c r="H10235" s="0" t="n">
        <v>127</v>
      </c>
      <c r="I10235" s="0" t="s">
        <v>33996</v>
      </c>
      <c r="J10235" s="0" t="s">
        <v>33997</v>
      </c>
      <c r="K10235" s="0" t="s">
        <v>33998</v>
      </c>
      <c r="L10235" s="0" t="str">
        <f aca="false">HYPERLINK("https://www.ncbi.nlm.nih.gov/nuccore/CP000058.1?report=graph&amp;tracks=[key:gene_model_track,Options:GeneOnly]&amp;mk=3215128:3215147|offset_19|444444,3215173:3215192|offset_64|444444,3215208:3215227|offset_99|444444,3215236:3215255|offset_127|00cc00&amp;v=3214927:3215455&amp;c=444444", "offset 127")</f>
        <v>offset 127</v>
      </c>
    </row>
    <row r="10236" customFormat="false" ht="12.8" hidden="false" customHeight="false" outlineLevel="0" collapsed="false">
      <c r="A10236" s="0" t="s">
        <v>12</v>
      </c>
      <c r="B10236" s="0" t="n">
        <v>3215966</v>
      </c>
      <c r="C10236" s="0" t="n">
        <v>3215986</v>
      </c>
      <c r="D10236" s="0" t="s">
        <v>33999</v>
      </c>
      <c r="E10236" s="0" t="s">
        <v>75</v>
      </c>
      <c r="F10236" s="0" t="s">
        <v>90</v>
      </c>
      <c r="G10236" s="0" t="s">
        <v>36</v>
      </c>
      <c r="H10236" s="0" t="n">
        <v>14</v>
      </c>
      <c r="I10236" s="0" t="s">
        <v>34000</v>
      </c>
      <c r="J10236" s="0" t="s">
        <v>34001</v>
      </c>
      <c r="K10236" s="0" t="s">
        <v>34002</v>
      </c>
      <c r="L10236" s="0" t="str">
        <f aca="false">HYPERLINK("https://www.ncbi.nlm.nih.gov/nuccore/CP000058.1?report=graph&amp;tracks=[key:gene_model_track,Options:GeneOnly]&amp;mk=3215967:3215986|offset_14|00cc00,3215938:3215957|offset_43|444444,3215898:3215917|offset_83|444444&amp;v=3215766:3216117&amp;c=444444", "offset 14")</f>
        <v>offset 14</v>
      </c>
    </row>
    <row r="10237" customFormat="false" ht="12.8" hidden="false" customHeight="false" outlineLevel="0" collapsed="false">
      <c r="A10237" s="0" t="s">
        <v>12</v>
      </c>
      <c r="B10237" s="0" t="n">
        <v>3215937</v>
      </c>
      <c r="C10237" s="0" t="n">
        <v>3215957</v>
      </c>
      <c r="D10237" s="0" t="s">
        <v>33999</v>
      </c>
      <c r="E10237" s="0" t="s">
        <v>75</v>
      </c>
      <c r="F10237" s="0" t="s">
        <v>90</v>
      </c>
      <c r="G10237" s="0" t="s">
        <v>16</v>
      </c>
      <c r="H10237" s="0" t="n">
        <v>43</v>
      </c>
      <c r="I10237" s="0" t="s">
        <v>34003</v>
      </c>
      <c r="J10237" s="0" t="s">
        <v>34004</v>
      </c>
      <c r="K10237" s="0" t="s">
        <v>34005</v>
      </c>
      <c r="L10237" s="0" t="str">
        <f aca="false">HYPERLINK("https://www.ncbi.nlm.nih.gov/nuccore/CP000058.1?report=graph&amp;tracks=[key:gene_model_track,Options:GeneOnly]&amp;mk=3215967:3215986|offset_14|444444,3215938:3215957|offset_43|00cc00,3215898:3215917|offset_83|444444&amp;v=3215766:3216117&amp;c=444444", "offset 43")</f>
        <v>offset 43</v>
      </c>
    </row>
    <row r="10238" customFormat="false" ht="12.8" hidden="false" customHeight="false" outlineLevel="0" collapsed="false">
      <c r="A10238" s="0" t="s">
        <v>12</v>
      </c>
      <c r="B10238" s="0" t="n">
        <v>3215897</v>
      </c>
      <c r="C10238" s="0" t="n">
        <v>3215917</v>
      </c>
      <c r="D10238" s="0" t="s">
        <v>33999</v>
      </c>
      <c r="E10238" s="0" t="s">
        <v>75</v>
      </c>
      <c r="F10238" s="0" t="s">
        <v>90</v>
      </c>
      <c r="G10238" s="0" t="s">
        <v>20</v>
      </c>
      <c r="H10238" s="0" t="n">
        <v>83</v>
      </c>
      <c r="I10238" s="0" t="s">
        <v>34006</v>
      </c>
      <c r="J10238" s="0" t="s">
        <v>34007</v>
      </c>
      <c r="K10238" s="0" t="s">
        <v>34008</v>
      </c>
      <c r="L10238" s="0" t="str">
        <f aca="false">HYPERLINK("https://www.ncbi.nlm.nih.gov/nuccore/CP000058.1?report=graph&amp;tracks=[key:gene_model_track,Options:GeneOnly]&amp;mk=3215967:3215986|offset_14|444444,3215938:3215957|offset_43|444444,3215898:3215917|offset_83|00cc00&amp;v=3215766:3216117&amp;c=444444", "offset 83")</f>
        <v>offset 83</v>
      </c>
    </row>
    <row r="10239" customFormat="false" ht="12.8" hidden="false" customHeight="false" outlineLevel="0" collapsed="false">
      <c r="A10239" s="0" t="s">
        <v>12</v>
      </c>
      <c r="B10239" s="0" t="n">
        <v>3216510</v>
      </c>
      <c r="C10239" s="0" t="n">
        <v>3216530</v>
      </c>
      <c r="D10239" s="0" t="s">
        <v>34009</v>
      </c>
      <c r="E10239" s="0" t="s">
        <v>75</v>
      </c>
      <c r="F10239" s="0" t="s">
        <v>15</v>
      </c>
      <c r="G10239" s="0" t="s">
        <v>32</v>
      </c>
      <c r="H10239" s="0" t="n">
        <v>45</v>
      </c>
      <c r="I10239" s="0" t="s">
        <v>34010</v>
      </c>
      <c r="J10239" s="0" t="s">
        <v>34011</v>
      </c>
      <c r="K10239" s="0" t="s">
        <v>34012</v>
      </c>
      <c r="L10239" s="0" t="str">
        <f aca="false">HYPERLINK("https://www.ncbi.nlm.nih.gov/nuccore/CP000058.1?report=graph&amp;tracks=[key:gene_model_track,Options:GeneOnly]&amp;mk=3216511:3216530|offset_45|00cc00,3216531:3216550|offset_65|444444,3216569:3216588|offset_103|444444,3216613:3216632|offset_147|444444&amp;v=3216310:3216832&amp;c=444444", "offset 45")</f>
        <v>offset 45</v>
      </c>
    </row>
    <row r="10240" customFormat="false" ht="12.8" hidden="false" customHeight="false" outlineLevel="0" collapsed="false">
      <c r="A10240" s="0" t="s">
        <v>12</v>
      </c>
      <c r="B10240" s="0" t="n">
        <v>3216530</v>
      </c>
      <c r="C10240" s="0" t="n">
        <v>3216550</v>
      </c>
      <c r="D10240" s="0" t="s">
        <v>34009</v>
      </c>
      <c r="E10240" s="0" t="s">
        <v>75</v>
      </c>
      <c r="F10240" s="0" t="s">
        <v>15</v>
      </c>
      <c r="G10240" s="0" t="s">
        <v>36</v>
      </c>
      <c r="H10240" s="0" t="n">
        <v>65</v>
      </c>
      <c r="I10240" s="0" t="s">
        <v>34013</v>
      </c>
      <c r="J10240" s="0" t="s">
        <v>34014</v>
      </c>
      <c r="K10240" s="0" t="s">
        <v>34015</v>
      </c>
      <c r="L10240" s="0" t="str">
        <f aca="false">HYPERLINK("https://www.ncbi.nlm.nih.gov/nuccore/CP000058.1?report=graph&amp;tracks=[key:gene_model_track,Options:GeneOnly]&amp;mk=3216511:3216530|offset_45|444444,3216531:3216550|offset_65|00cc00,3216569:3216588|offset_103|444444,3216613:3216632|offset_147|444444&amp;v=3216310:3216832&amp;c=444444", "offset 65")</f>
        <v>offset 65</v>
      </c>
    </row>
    <row r="10241" customFormat="false" ht="12.8" hidden="false" customHeight="false" outlineLevel="0" collapsed="false">
      <c r="A10241" s="0" t="s">
        <v>12</v>
      </c>
      <c r="B10241" s="0" t="n">
        <v>3216568</v>
      </c>
      <c r="C10241" s="0" t="n">
        <v>3216588</v>
      </c>
      <c r="D10241" s="0" t="s">
        <v>34009</v>
      </c>
      <c r="E10241" s="0" t="s">
        <v>75</v>
      </c>
      <c r="F10241" s="0" t="s">
        <v>15</v>
      </c>
      <c r="G10241" s="0" t="s">
        <v>36</v>
      </c>
      <c r="H10241" s="0" t="n">
        <v>103</v>
      </c>
      <c r="I10241" s="0" t="s">
        <v>34016</v>
      </c>
      <c r="J10241" s="0" t="s">
        <v>34017</v>
      </c>
      <c r="K10241" s="0" t="s">
        <v>34018</v>
      </c>
      <c r="L10241" s="0" t="str">
        <f aca="false">HYPERLINK("https://www.ncbi.nlm.nih.gov/nuccore/CP000058.1?report=graph&amp;tracks=[key:gene_model_track,Options:GeneOnly]&amp;mk=3216511:3216530|offset_45|444444,3216531:3216550|offset_65|444444,3216569:3216588|offset_103|00cc00,3216613:3216632|offset_147|444444&amp;v=3216310:3216832&amp;c=444444", "offset 103")</f>
        <v>offset 103</v>
      </c>
    </row>
    <row r="10242" customFormat="false" ht="12.8" hidden="false" customHeight="false" outlineLevel="0" collapsed="false">
      <c r="A10242" s="0" t="s">
        <v>12</v>
      </c>
      <c r="B10242" s="0" t="n">
        <v>3216612</v>
      </c>
      <c r="C10242" s="0" t="n">
        <v>3216632</v>
      </c>
      <c r="D10242" s="0" t="s">
        <v>34009</v>
      </c>
      <c r="E10242" s="0" t="s">
        <v>75</v>
      </c>
      <c r="F10242" s="0" t="s">
        <v>15</v>
      </c>
      <c r="G10242" s="0" t="s">
        <v>20</v>
      </c>
      <c r="H10242" s="0" t="n">
        <v>147</v>
      </c>
      <c r="I10242" s="0" t="s">
        <v>34019</v>
      </c>
      <c r="J10242" s="0" t="s">
        <v>34020</v>
      </c>
      <c r="K10242" s="0" t="s">
        <v>34021</v>
      </c>
      <c r="L10242" s="0" t="str">
        <f aca="false">HYPERLINK("https://www.ncbi.nlm.nih.gov/nuccore/CP000058.1?report=graph&amp;tracks=[key:gene_model_track,Options:GeneOnly]&amp;mk=3216511:3216530|offset_45|444444,3216531:3216550|offset_65|444444,3216569:3216588|offset_103|444444,3216613:3216632|offset_147|00cc00&amp;v=3216310:3216832&amp;c=444444", "offset 147")</f>
        <v>offset 147</v>
      </c>
    </row>
    <row r="10243" customFormat="false" ht="12.8" hidden="false" customHeight="false" outlineLevel="0" collapsed="false">
      <c r="A10243" s="0" t="s">
        <v>12</v>
      </c>
      <c r="B10243" s="0" t="n">
        <v>3217372</v>
      </c>
      <c r="C10243" s="0" t="n">
        <v>3217392</v>
      </c>
      <c r="D10243" s="0" t="s">
        <v>34022</v>
      </c>
      <c r="E10243" s="0" t="s">
        <v>75</v>
      </c>
      <c r="F10243" s="0" t="s">
        <v>15</v>
      </c>
      <c r="G10243" s="0" t="s">
        <v>36</v>
      </c>
      <c r="H10243" s="0" t="n">
        <v>41</v>
      </c>
      <c r="I10243" s="0" t="s">
        <v>34023</v>
      </c>
      <c r="J10243" s="0" t="s">
        <v>34024</v>
      </c>
      <c r="K10243" s="0" t="s">
        <v>34025</v>
      </c>
      <c r="L10243" s="0" t="str">
        <f aca="false">HYPERLINK("https://www.ncbi.nlm.nih.gov/nuccore/CP000058.1?report=graph&amp;tracks=[key:gene_model_track,Options:GeneOnly]&amp;mk=3217373:3217392|offset_41|00cc00,3217401:3217420|offset_69|444444,3217426:3217445|offset_94|444444,3217489:3217508|offset_157|444444&amp;v=3217172:3217708&amp;c=444444", "offset 41")</f>
        <v>offset 41</v>
      </c>
    </row>
    <row r="10244" customFormat="false" ht="12.8" hidden="false" customHeight="false" outlineLevel="0" collapsed="false">
      <c r="A10244" s="0" t="s">
        <v>12</v>
      </c>
      <c r="B10244" s="0" t="n">
        <v>3217400</v>
      </c>
      <c r="C10244" s="0" t="n">
        <v>3217420</v>
      </c>
      <c r="D10244" s="0" t="s">
        <v>34022</v>
      </c>
      <c r="E10244" s="0" t="s">
        <v>75</v>
      </c>
      <c r="F10244" s="0" t="s">
        <v>15</v>
      </c>
      <c r="G10244" s="0" t="s">
        <v>20</v>
      </c>
      <c r="H10244" s="0" t="n">
        <v>69</v>
      </c>
      <c r="I10244" s="0" t="s">
        <v>34026</v>
      </c>
      <c r="J10244" s="0" t="s">
        <v>34027</v>
      </c>
      <c r="K10244" s="0" t="s">
        <v>34028</v>
      </c>
      <c r="L10244" s="0" t="str">
        <f aca="false">HYPERLINK("https://www.ncbi.nlm.nih.gov/nuccore/CP000058.1?report=graph&amp;tracks=[key:gene_model_track,Options:GeneOnly]&amp;mk=3217373:3217392|offset_41|444444,3217401:3217420|offset_69|00cc00,3217426:3217445|offset_94|444444,3217489:3217508|offset_157|444444&amp;v=3217172:3217708&amp;c=444444", "offset 69")</f>
        <v>offset 69</v>
      </c>
    </row>
    <row r="10245" customFormat="false" ht="12.8" hidden="false" customHeight="false" outlineLevel="0" collapsed="false">
      <c r="A10245" s="0" t="s">
        <v>12</v>
      </c>
      <c r="B10245" s="0" t="n">
        <v>3217425</v>
      </c>
      <c r="C10245" s="0" t="n">
        <v>3217445</v>
      </c>
      <c r="D10245" s="0" t="s">
        <v>34022</v>
      </c>
      <c r="E10245" s="0" t="s">
        <v>75</v>
      </c>
      <c r="F10245" s="0" t="s">
        <v>15</v>
      </c>
      <c r="G10245" s="0" t="s">
        <v>36</v>
      </c>
      <c r="H10245" s="0" t="n">
        <v>94</v>
      </c>
      <c r="I10245" s="0" t="s">
        <v>34029</v>
      </c>
      <c r="J10245" s="0" t="s">
        <v>34030</v>
      </c>
      <c r="K10245" s="0" t="s">
        <v>34031</v>
      </c>
      <c r="L10245" s="0" t="str">
        <f aca="false">HYPERLINK("https://www.ncbi.nlm.nih.gov/nuccore/CP000058.1?report=graph&amp;tracks=[key:gene_model_track,Options:GeneOnly]&amp;mk=3217373:3217392|offset_41|444444,3217401:3217420|offset_69|444444,3217426:3217445|offset_94|00cc00,3217489:3217508|offset_157|444444&amp;v=3217172:3217708&amp;c=444444", "offset 94")</f>
        <v>offset 94</v>
      </c>
    </row>
    <row r="10246" customFormat="false" ht="12.8" hidden="false" customHeight="false" outlineLevel="0" collapsed="false">
      <c r="A10246" s="0" t="s">
        <v>12</v>
      </c>
      <c r="B10246" s="0" t="n">
        <v>3217488</v>
      </c>
      <c r="C10246" s="0" t="n">
        <v>3217508</v>
      </c>
      <c r="D10246" s="0" t="s">
        <v>34022</v>
      </c>
      <c r="E10246" s="0" t="s">
        <v>75</v>
      </c>
      <c r="F10246" s="0" t="s">
        <v>15</v>
      </c>
      <c r="G10246" s="0" t="s">
        <v>16</v>
      </c>
      <c r="H10246" s="0" t="n">
        <v>157</v>
      </c>
      <c r="I10246" s="0" t="s">
        <v>34032</v>
      </c>
      <c r="J10246" s="0" t="s">
        <v>34033</v>
      </c>
      <c r="K10246" s="0" t="s">
        <v>34034</v>
      </c>
      <c r="L10246" s="0" t="str">
        <f aca="false">HYPERLINK("https://www.ncbi.nlm.nih.gov/nuccore/CP000058.1?report=graph&amp;tracks=[key:gene_model_track,Options:GeneOnly]&amp;mk=3217373:3217392|offset_41|444444,3217401:3217420|offset_69|444444,3217426:3217445|offset_94|444444,3217489:3217508|offset_157|00cc00&amp;v=3217172:3217708&amp;c=444444", "offset 157")</f>
        <v>offset 157</v>
      </c>
    </row>
    <row r="10247" customFormat="false" ht="12.8" hidden="false" customHeight="false" outlineLevel="0" collapsed="false">
      <c r="A10247" s="0" t="s">
        <v>12</v>
      </c>
      <c r="B10247" s="0" t="n">
        <v>3219028</v>
      </c>
      <c r="C10247" s="0" t="n">
        <v>3219048</v>
      </c>
      <c r="D10247" s="0" t="s">
        <v>34035</v>
      </c>
      <c r="E10247" s="0" t="s">
        <v>75</v>
      </c>
      <c r="F10247" s="0" t="s">
        <v>90</v>
      </c>
      <c r="G10247" s="0" t="s">
        <v>32</v>
      </c>
      <c r="H10247" s="0" t="n">
        <v>1</v>
      </c>
      <c r="I10247" s="0" t="s">
        <v>34036</v>
      </c>
      <c r="J10247" s="0" t="s">
        <v>34037</v>
      </c>
      <c r="K10247" s="0" t="s">
        <v>34038</v>
      </c>
      <c r="L10247" s="0" t="str">
        <f aca="false">HYPERLINK("https://www.ncbi.nlm.nih.gov/nuccore/CP000058.1?report=graph&amp;tracks=[key:gene_model_track,Options:GeneOnly]&amp;mk=3219029:3219048|offset_1|00cc00,3218993:3219012|offset_37|444444,3218964:3218983|offset_66|444444,3218944:3218963|offset_86|444444&amp;v=3218828:3219163&amp;c=444444", "offset 1")</f>
        <v>offset 1</v>
      </c>
    </row>
    <row r="10248" customFormat="false" ht="12.8" hidden="false" customHeight="false" outlineLevel="0" collapsed="false">
      <c r="A10248" s="0" t="s">
        <v>12</v>
      </c>
      <c r="B10248" s="0" t="n">
        <v>3218992</v>
      </c>
      <c r="C10248" s="0" t="n">
        <v>3219012</v>
      </c>
      <c r="D10248" s="0" t="s">
        <v>34035</v>
      </c>
      <c r="E10248" s="0" t="s">
        <v>75</v>
      </c>
      <c r="F10248" s="0" t="s">
        <v>90</v>
      </c>
      <c r="G10248" s="0" t="s">
        <v>16</v>
      </c>
      <c r="H10248" s="0" t="n">
        <v>37</v>
      </c>
      <c r="I10248" s="0" t="s">
        <v>34039</v>
      </c>
      <c r="J10248" s="0" t="s">
        <v>34040</v>
      </c>
      <c r="K10248" s="0" t="s">
        <v>34041</v>
      </c>
      <c r="L10248" s="0" t="str">
        <f aca="false">HYPERLINK("https://www.ncbi.nlm.nih.gov/nuccore/CP000058.1?report=graph&amp;tracks=[key:gene_model_track,Options:GeneOnly]&amp;mk=3219029:3219048|offset_1|444444,3218993:3219012|offset_37|00cc00,3218964:3218983|offset_66|444444,3218944:3218963|offset_86|444444&amp;v=3218828:3219163&amp;c=444444", "offset 37")</f>
        <v>offset 37</v>
      </c>
    </row>
    <row r="10249" customFormat="false" ht="12.8" hidden="false" customHeight="false" outlineLevel="0" collapsed="false">
      <c r="A10249" s="0" t="s">
        <v>12</v>
      </c>
      <c r="B10249" s="0" t="n">
        <v>3218963</v>
      </c>
      <c r="C10249" s="0" t="n">
        <v>3218983</v>
      </c>
      <c r="D10249" s="0" t="s">
        <v>34035</v>
      </c>
      <c r="E10249" s="0" t="s">
        <v>75</v>
      </c>
      <c r="F10249" s="0" t="s">
        <v>90</v>
      </c>
      <c r="G10249" s="0" t="s">
        <v>32</v>
      </c>
      <c r="H10249" s="0" t="n">
        <v>66</v>
      </c>
      <c r="I10249" s="0" t="s">
        <v>34042</v>
      </c>
      <c r="J10249" s="0" t="s">
        <v>34043</v>
      </c>
      <c r="K10249" s="0" t="s">
        <v>34044</v>
      </c>
      <c r="L10249" s="0" t="str">
        <f aca="false">HYPERLINK("https://www.ncbi.nlm.nih.gov/nuccore/CP000058.1?report=graph&amp;tracks=[key:gene_model_track,Options:GeneOnly]&amp;mk=3219029:3219048|offset_1|444444,3218993:3219012|offset_37|444444,3218964:3218983|offset_66|00cc00,3218944:3218963|offset_86|444444&amp;v=3218828:3219163&amp;c=444444", "offset 66")</f>
        <v>offset 66</v>
      </c>
    </row>
    <row r="10250" customFormat="false" ht="12.8" hidden="false" customHeight="false" outlineLevel="0" collapsed="false">
      <c r="A10250" s="0" t="s">
        <v>12</v>
      </c>
      <c r="B10250" s="0" t="n">
        <v>3218943</v>
      </c>
      <c r="C10250" s="0" t="n">
        <v>3218963</v>
      </c>
      <c r="D10250" s="0" t="s">
        <v>34035</v>
      </c>
      <c r="E10250" s="0" t="s">
        <v>75</v>
      </c>
      <c r="F10250" s="0" t="s">
        <v>90</v>
      </c>
      <c r="G10250" s="0" t="s">
        <v>20</v>
      </c>
      <c r="H10250" s="0" t="n">
        <v>86</v>
      </c>
      <c r="I10250" s="0" t="s">
        <v>34045</v>
      </c>
      <c r="J10250" s="0" t="s">
        <v>34046</v>
      </c>
      <c r="K10250" s="0" t="s">
        <v>34047</v>
      </c>
      <c r="L10250" s="0" t="str">
        <f aca="false">HYPERLINK("https://www.ncbi.nlm.nih.gov/nuccore/CP000058.1?report=graph&amp;tracks=[key:gene_model_track,Options:GeneOnly]&amp;mk=3219029:3219048|offset_1|444444,3218993:3219012|offset_37|444444,3218964:3218983|offset_66|444444,3218944:3218963|offset_86|00cc00&amp;v=3218828:3219163&amp;c=444444", "offset 86")</f>
        <v>offset 86</v>
      </c>
    </row>
    <row r="10251" customFormat="false" ht="12.8" hidden="false" customHeight="false" outlineLevel="0" collapsed="false">
      <c r="A10251" s="0" t="s">
        <v>12</v>
      </c>
      <c r="B10251" s="0" t="n">
        <v>3222145</v>
      </c>
      <c r="C10251" s="0" t="n">
        <v>3222165</v>
      </c>
      <c r="D10251" s="0" t="s">
        <v>34048</v>
      </c>
      <c r="E10251" s="0" t="s">
        <v>75</v>
      </c>
      <c r="F10251" s="0" t="s">
        <v>90</v>
      </c>
      <c r="G10251" s="0" t="s">
        <v>32</v>
      </c>
      <c r="H10251" s="0" t="n">
        <v>26</v>
      </c>
      <c r="I10251" s="0" t="s">
        <v>34049</v>
      </c>
      <c r="J10251" s="0" t="s">
        <v>34050</v>
      </c>
      <c r="K10251" s="0" t="s">
        <v>34051</v>
      </c>
      <c r="L10251" s="0" t="str">
        <f aca="false">HYPERLINK("https://www.ncbi.nlm.nih.gov/nuccore/CP000058.1?report=graph&amp;tracks=[key:gene_model_track,Options:GeneOnly]&amp;mk=3222146:3222165|offset_26|00cc00,3222121:3222140|offset_51|444444,3222096:3222115|offset_76|444444,3222069:3222088|offset_103|444444&amp;v=3221945:3222288&amp;c=444444", "offset 26")</f>
        <v>offset 26</v>
      </c>
    </row>
    <row r="10252" customFormat="false" ht="12.8" hidden="false" customHeight="false" outlineLevel="0" collapsed="false">
      <c r="A10252" s="0" t="s">
        <v>12</v>
      </c>
      <c r="B10252" s="0" t="n">
        <v>3222120</v>
      </c>
      <c r="C10252" s="0" t="n">
        <v>3222140</v>
      </c>
      <c r="D10252" s="0" t="s">
        <v>34048</v>
      </c>
      <c r="E10252" s="0" t="s">
        <v>75</v>
      </c>
      <c r="F10252" s="0" t="s">
        <v>90</v>
      </c>
      <c r="G10252" s="0" t="s">
        <v>16</v>
      </c>
      <c r="H10252" s="0" t="n">
        <v>51</v>
      </c>
      <c r="I10252" s="0" t="s">
        <v>34052</v>
      </c>
      <c r="J10252" s="0" t="s">
        <v>34053</v>
      </c>
      <c r="K10252" s="0" t="s">
        <v>34054</v>
      </c>
      <c r="L10252" s="0" t="str">
        <f aca="false">HYPERLINK("https://www.ncbi.nlm.nih.gov/nuccore/CP000058.1?report=graph&amp;tracks=[key:gene_model_track,Options:GeneOnly]&amp;mk=3222146:3222165|offset_26|444444,3222121:3222140|offset_51|00cc00,3222096:3222115|offset_76|444444,3222069:3222088|offset_103|444444&amp;v=3221945:3222288&amp;c=444444", "offset 51")</f>
        <v>offset 51</v>
      </c>
    </row>
    <row r="10253" customFormat="false" ht="12.8" hidden="false" customHeight="false" outlineLevel="0" collapsed="false">
      <c r="A10253" s="0" t="s">
        <v>12</v>
      </c>
      <c r="B10253" s="0" t="n">
        <v>3222095</v>
      </c>
      <c r="C10253" s="0" t="n">
        <v>3222115</v>
      </c>
      <c r="D10253" s="0" t="s">
        <v>34048</v>
      </c>
      <c r="E10253" s="0" t="s">
        <v>75</v>
      </c>
      <c r="F10253" s="0" t="s">
        <v>90</v>
      </c>
      <c r="G10253" s="0" t="s">
        <v>20</v>
      </c>
      <c r="H10253" s="0" t="n">
        <v>76</v>
      </c>
      <c r="I10253" s="0" t="s">
        <v>34055</v>
      </c>
      <c r="J10253" s="0" t="s">
        <v>34056</v>
      </c>
      <c r="K10253" s="0" t="s">
        <v>34057</v>
      </c>
      <c r="L10253" s="0" t="str">
        <f aca="false">HYPERLINK("https://www.ncbi.nlm.nih.gov/nuccore/CP000058.1?report=graph&amp;tracks=[key:gene_model_track,Options:GeneOnly]&amp;mk=3222146:3222165|offset_26|444444,3222121:3222140|offset_51|444444,3222096:3222115|offset_76|00cc00,3222069:3222088|offset_103|444444&amp;v=3221945:3222288&amp;c=444444", "offset 76")</f>
        <v>offset 76</v>
      </c>
    </row>
    <row r="10254" customFormat="false" ht="12.8" hidden="false" customHeight="false" outlineLevel="0" collapsed="false">
      <c r="A10254" s="0" t="s">
        <v>12</v>
      </c>
      <c r="B10254" s="0" t="n">
        <v>3222068</v>
      </c>
      <c r="C10254" s="0" t="n">
        <v>3222088</v>
      </c>
      <c r="D10254" s="0" t="s">
        <v>34048</v>
      </c>
      <c r="E10254" s="0" t="s">
        <v>75</v>
      </c>
      <c r="F10254" s="0" t="s">
        <v>90</v>
      </c>
      <c r="G10254" s="0" t="s">
        <v>16</v>
      </c>
      <c r="H10254" s="0" t="n">
        <v>103</v>
      </c>
      <c r="I10254" s="0" t="s">
        <v>34058</v>
      </c>
      <c r="J10254" s="0" t="s">
        <v>34059</v>
      </c>
      <c r="K10254" s="0" t="s">
        <v>34060</v>
      </c>
      <c r="L10254" s="0" t="str">
        <f aca="false">HYPERLINK("https://www.ncbi.nlm.nih.gov/nuccore/CP000058.1?report=graph&amp;tracks=[key:gene_model_track,Options:GeneOnly]&amp;mk=3222146:3222165|offset_26|444444,3222121:3222140|offset_51|444444,3222096:3222115|offset_76|444444,3222069:3222088|offset_103|00cc00&amp;v=3221945:3222288&amp;c=444444", "offset 103")</f>
        <v>offset 103</v>
      </c>
    </row>
    <row r="10255" customFormat="false" ht="12.8" hidden="false" customHeight="false" outlineLevel="0" collapsed="false">
      <c r="A10255" s="0" t="s">
        <v>12</v>
      </c>
      <c r="B10255" s="0" t="n">
        <v>3223067</v>
      </c>
      <c r="C10255" s="0" t="n">
        <v>3223087</v>
      </c>
      <c r="D10255" s="0" t="s">
        <v>34061</v>
      </c>
      <c r="E10255" s="0" t="s">
        <v>75</v>
      </c>
      <c r="F10255" s="0" t="s">
        <v>90</v>
      </c>
      <c r="G10255" s="0" t="s">
        <v>16</v>
      </c>
      <c r="H10255" s="0" t="n">
        <v>7</v>
      </c>
      <c r="I10255" s="0" t="s">
        <v>34062</v>
      </c>
      <c r="J10255" s="0" t="s">
        <v>34063</v>
      </c>
      <c r="K10255" s="0" t="s">
        <v>34064</v>
      </c>
      <c r="L10255" s="0" t="str">
        <f aca="false">HYPERLINK("https://www.ncbi.nlm.nih.gov/nuccore/CP000058.1?report=graph&amp;tracks=[key:gene_model_track,Options:GeneOnly]&amp;mk=3223068:3223087|offset_7|00cc00,3223037:3223056|offset_38|444444,3223001:3223020|offset_74|444444,3222950:3222969|offset_125|444444&amp;v=3222867:3223169&amp;c=444444", "offset 7")</f>
        <v>offset 7</v>
      </c>
    </row>
    <row r="10256" customFormat="false" ht="12.8" hidden="false" customHeight="false" outlineLevel="0" collapsed="false">
      <c r="A10256" s="0" t="s">
        <v>12</v>
      </c>
      <c r="B10256" s="0" t="n">
        <v>3223036</v>
      </c>
      <c r="C10256" s="0" t="n">
        <v>3223056</v>
      </c>
      <c r="D10256" s="0" t="s">
        <v>34061</v>
      </c>
      <c r="E10256" s="0" t="s">
        <v>75</v>
      </c>
      <c r="F10256" s="0" t="s">
        <v>90</v>
      </c>
      <c r="G10256" s="0" t="s">
        <v>20</v>
      </c>
      <c r="H10256" s="0" t="n">
        <v>38</v>
      </c>
      <c r="I10256" s="0" t="s">
        <v>34065</v>
      </c>
      <c r="J10256" s="0" t="s">
        <v>34066</v>
      </c>
      <c r="K10256" s="0" t="s">
        <v>34067</v>
      </c>
      <c r="L10256" s="0" t="str">
        <f aca="false">HYPERLINK("https://www.ncbi.nlm.nih.gov/nuccore/CP000058.1?report=graph&amp;tracks=[key:gene_model_track,Options:GeneOnly]&amp;mk=3223068:3223087|offset_7|444444,3223037:3223056|offset_38|00cc00,3223001:3223020|offset_74|444444,3222950:3222969|offset_125|444444&amp;v=3222867:3223169&amp;c=444444", "offset 38")</f>
        <v>offset 38</v>
      </c>
    </row>
    <row r="10257" customFormat="false" ht="12.8" hidden="false" customHeight="false" outlineLevel="0" collapsed="false">
      <c r="A10257" s="0" t="s">
        <v>12</v>
      </c>
      <c r="B10257" s="0" t="n">
        <v>3223000</v>
      </c>
      <c r="C10257" s="0" t="n">
        <v>3223020</v>
      </c>
      <c r="D10257" s="0" t="s">
        <v>34061</v>
      </c>
      <c r="E10257" s="0" t="s">
        <v>75</v>
      </c>
      <c r="F10257" s="0" t="s">
        <v>90</v>
      </c>
      <c r="G10257" s="0" t="s">
        <v>20</v>
      </c>
      <c r="H10257" s="0" t="n">
        <v>74</v>
      </c>
      <c r="I10257" s="0" t="s">
        <v>34068</v>
      </c>
      <c r="J10257" s="0" t="s">
        <v>34069</v>
      </c>
      <c r="K10257" s="0" t="s">
        <v>34070</v>
      </c>
      <c r="L10257" s="0" t="str">
        <f aca="false">HYPERLINK("https://www.ncbi.nlm.nih.gov/nuccore/CP000058.1?report=graph&amp;tracks=[key:gene_model_track,Options:GeneOnly]&amp;mk=3223068:3223087|offset_7|444444,3223037:3223056|offset_38|444444,3223001:3223020|offset_74|00cc00,3222950:3222969|offset_125|444444&amp;v=3222867:3223169&amp;c=444444", "offset 74")</f>
        <v>offset 74</v>
      </c>
    </row>
    <row r="10258" customFormat="false" ht="12.8" hidden="false" customHeight="false" outlineLevel="0" collapsed="false">
      <c r="A10258" s="0" t="s">
        <v>12</v>
      </c>
      <c r="B10258" s="0" t="n">
        <v>3222949</v>
      </c>
      <c r="C10258" s="0" t="n">
        <v>3222969</v>
      </c>
      <c r="D10258" s="0" t="s">
        <v>34061</v>
      </c>
      <c r="E10258" s="0" t="s">
        <v>75</v>
      </c>
      <c r="F10258" s="0" t="s">
        <v>90</v>
      </c>
      <c r="G10258" s="0" t="s">
        <v>20</v>
      </c>
      <c r="H10258" s="0" t="n">
        <v>125</v>
      </c>
      <c r="I10258" s="0" t="s">
        <v>34071</v>
      </c>
      <c r="J10258" s="0" t="s">
        <v>34072</v>
      </c>
      <c r="K10258" s="0" t="s">
        <v>34073</v>
      </c>
      <c r="L10258" s="0" t="str">
        <f aca="false">HYPERLINK("https://www.ncbi.nlm.nih.gov/nuccore/CP000058.1?report=graph&amp;tracks=[key:gene_model_track,Options:GeneOnly]&amp;mk=3223068:3223087|offset_7|444444,3223037:3223056|offset_38|444444,3223001:3223020|offset_74|444444,3222950:3222969|offset_125|00cc00&amp;v=3222867:3223169&amp;c=444444", "offset 125")</f>
        <v>offset 125</v>
      </c>
    </row>
    <row r="10259" customFormat="false" ht="12.8" hidden="false" customHeight="false" outlineLevel="0" collapsed="false">
      <c r="A10259" s="0" t="s">
        <v>12</v>
      </c>
      <c r="B10259" s="0" t="n">
        <v>3224001</v>
      </c>
      <c r="C10259" s="0" t="n">
        <v>3224021</v>
      </c>
      <c r="D10259" s="0" t="s">
        <v>34074</v>
      </c>
      <c r="E10259" s="0" t="s">
        <v>75</v>
      </c>
      <c r="F10259" s="0" t="s">
        <v>90</v>
      </c>
      <c r="G10259" s="0" t="s">
        <v>20</v>
      </c>
      <c r="H10259" s="0" t="n">
        <v>17</v>
      </c>
      <c r="I10259" s="0" t="s">
        <v>34075</v>
      </c>
      <c r="J10259" s="0" t="s">
        <v>34076</v>
      </c>
      <c r="K10259" s="0" t="s">
        <v>34077</v>
      </c>
      <c r="L10259" s="0" t="str">
        <f aca="false">HYPERLINK("https://www.ncbi.nlm.nih.gov/nuccore/CP000058.1?report=graph&amp;tracks=[key:gene_model_track,Options:GeneOnly]&amp;mk=3224002:3224021|offset_17|00cc00,3223977:3223996|offset_42|444444,3223943:3223962|offset_76|444444,3223918:3223937|offset_101|444444&amp;v=3223801:3224137&amp;c=444444", "offset 17")</f>
        <v>offset 17</v>
      </c>
    </row>
    <row r="10260" customFormat="false" ht="12.8" hidden="false" customHeight="false" outlineLevel="0" collapsed="false">
      <c r="A10260" s="0" t="s">
        <v>12</v>
      </c>
      <c r="B10260" s="0" t="n">
        <v>3223976</v>
      </c>
      <c r="C10260" s="0" t="n">
        <v>3223996</v>
      </c>
      <c r="D10260" s="0" t="s">
        <v>34074</v>
      </c>
      <c r="E10260" s="0" t="s">
        <v>75</v>
      </c>
      <c r="F10260" s="0" t="s">
        <v>90</v>
      </c>
      <c r="G10260" s="0" t="s">
        <v>16</v>
      </c>
      <c r="H10260" s="0" t="n">
        <v>42</v>
      </c>
      <c r="I10260" s="0" t="s">
        <v>34078</v>
      </c>
      <c r="J10260" s="0" t="s">
        <v>34079</v>
      </c>
      <c r="K10260" s="0" t="s">
        <v>34080</v>
      </c>
      <c r="L10260" s="0" t="str">
        <f aca="false">HYPERLINK("https://www.ncbi.nlm.nih.gov/nuccore/CP000058.1?report=graph&amp;tracks=[key:gene_model_track,Options:GeneOnly]&amp;mk=3224002:3224021|offset_17|444444,3223977:3223996|offset_42|00cc00,3223943:3223962|offset_76|444444,3223918:3223937|offset_101|444444&amp;v=3223801:3224137&amp;c=444444", "offset 42")</f>
        <v>offset 42</v>
      </c>
    </row>
    <row r="10261" customFormat="false" ht="12.8" hidden="false" customHeight="false" outlineLevel="0" collapsed="false">
      <c r="A10261" s="0" t="s">
        <v>12</v>
      </c>
      <c r="B10261" s="0" t="n">
        <v>3223942</v>
      </c>
      <c r="C10261" s="0" t="n">
        <v>3223962</v>
      </c>
      <c r="D10261" s="0" t="s">
        <v>34074</v>
      </c>
      <c r="E10261" s="0" t="s">
        <v>75</v>
      </c>
      <c r="F10261" s="0" t="s">
        <v>90</v>
      </c>
      <c r="G10261" s="0" t="s">
        <v>36</v>
      </c>
      <c r="H10261" s="0" t="n">
        <v>76</v>
      </c>
      <c r="I10261" s="0" t="s">
        <v>34081</v>
      </c>
      <c r="J10261" s="0" t="s">
        <v>34082</v>
      </c>
      <c r="K10261" s="0" t="s">
        <v>34083</v>
      </c>
      <c r="L10261" s="0" t="str">
        <f aca="false">HYPERLINK("https://www.ncbi.nlm.nih.gov/nuccore/CP000058.1?report=graph&amp;tracks=[key:gene_model_track,Options:GeneOnly]&amp;mk=3224002:3224021|offset_17|444444,3223977:3223996|offset_42|444444,3223943:3223962|offset_76|00cc00,3223918:3223937|offset_101|444444&amp;v=3223801:3224137&amp;c=444444", "offset 76")</f>
        <v>offset 76</v>
      </c>
    </row>
    <row r="10262" customFormat="false" ht="12.8" hidden="false" customHeight="false" outlineLevel="0" collapsed="false">
      <c r="A10262" s="0" t="s">
        <v>12</v>
      </c>
      <c r="B10262" s="0" t="n">
        <v>3223917</v>
      </c>
      <c r="C10262" s="0" t="n">
        <v>3223937</v>
      </c>
      <c r="D10262" s="0" t="s">
        <v>34074</v>
      </c>
      <c r="E10262" s="0" t="s">
        <v>75</v>
      </c>
      <c r="F10262" s="0" t="s">
        <v>90</v>
      </c>
      <c r="G10262" s="0" t="s">
        <v>36</v>
      </c>
      <c r="H10262" s="0" t="n">
        <v>101</v>
      </c>
      <c r="I10262" s="0" t="s">
        <v>34084</v>
      </c>
      <c r="J10262" s="0" t="s">
        <v>34085</v>
      </c>
      <c r="K10262" s="0" t="s">
        <v>34086</v>
      </c>
      <c r="L10262" s="0" t="str">
        <f aca="false">HYPERLINK("https://www.ncbi.nlm.nih.gov/nuccore/CP000058.1?report=graph&amp;tracks=[key:gene_model_track,Options:GeneOnly]&amp;mk=3224002:3224021|offset_17|444444,3223977:3223996|offset_42|444444,3223943:3223962|offset_76|444444,3223918:3223937|offset_101|00cc00&amp;v=3223801:3224137&amp;c=444444", "offset 101")</f>
        <v>offset 101</v>
      </c>
    </row>
    <row r="10263" customFormat="false" ht="12.8" hidden="false" customHeight="false" outlineLevel="0" collapsed="false">
      <c r="A10263" s="0" t="s">
        <v>12</v>
      </c>
      <c r="B10263" s="0" t="n">
        <v>3225503</v>
      </c>
      <c r="C10263" s="0" t="n">
        <v>3225523</v>
      </c>
      <c r="D10263" s="0" t="s">
        <v>34087</v>
      </c>
      <c r="E10263" s="0" t="s">
        <v>75</v>
      </c>
      <c r="F10263" s="0" t="s">
        <v>90</v>
      </c>
      <c r="G10263" s="0" t="s">
        <v>16</v>
      </c>
      <c r="H10263" s="0" t="n">
        <v>46</v>
      </c>
      <c r="I10263" s="0" t="s">
        <v>34088</v>
      </c>
      <c r="J10263" s="0" t="s">
        <v>34089</v>
      </c>
      <c r="K10263" s="0" t="s">
        <v>34090</v>
      </c>
      <c r="L10263" s="0" t="str">
        <f aca="false">HYPERLINK("https://www.ncbi.nlm.nih.gov/nuccore/CP000058.1?report=graph&amp;tracks=[key:gene_model_track,Options:GeneOnly]&amp;mk=3225504:3225523|offset_46|00cc00,3225451:3225470|offset_99|444444,3225420:3225439|offset_130|444444,3225396:3225415|offset_154|444444&amp;v=3225303:3225615&amp;c=444444", "offset 46")</f>
        <v>offset 46</v>
      </c>
    </row>
    <row r="10264" customFormat="false" ht="12.8" hidden="false" customHeight="false" outlineLevel="0" collapsed="false">
      <c r="A10264" s="0" t="s">
        <v>12</v>
      </c>
      <c r="B10264" s="0" t="n">
        <v>3225450</v>
      </c>
      <c r="C10264" s="0" t="n">
        <v>3225470</v>
      </c>
      <c r="D10264" s="0" t="s">
        <v>34087</v>
      </c>
      <c r="E10264" s="0" t="s">
        <v>75</v>
      </c>
      <c r="F10264" s="0" t="s">
        <v>90</v>
      </c>
      <c r="G10264" s="0" t="s">
        <v>36</v>
      </c>
      <c r="H10264" s="0" t="n">
        <v>99</v>
      </c>
      <c r="I10264" s="0" t="s">
        <v>34091</v>
      </c>
      <c r="J10264" s="0" t="s">
        <v>34092</v>
      </c>
      <c r="K10264" s="0" t="s">
        <v>34093</v>
      </c>
      <c r="L10264" s="0" t="str">
        <f aca="false">HYPERLINK("https://www.ncbi.nlm.nih.gov/nuccore/CP000058.1?report=graph&amp;tracks=[key:gene_model_track,Options:GeneOnly]&amp;mk=3225504:3225523|offset_46|444444,3225451:3225470|offset_99|00cc00,3225420:3225439|offset_130|444444,3225396:3225415|offset_154|444444&amp;v=3225303:3225615&amp;c=444444", "offset 99")</f>
        <v>offset 99</v>
      </c>
    </row>
    <row r="10265" customFormat="false" ht="12.8" hidden="false" customHeight="false" outlineLevel="0" collapsed="false">
      <c r="A10265" s="0" t="s">
        <v>12</v>
      </c>
      <c r="B10265" s="0" t="n">
        <v>3225419</v>
      </c>
      <c r="C10265" s="0" t="n">
        <v>3225439</v>
      </c>
      <c r="D10265" s="0" t="s">
        <v>34087</v>
      </c>
      <c r="E10265" s="0" t="s">
        <v>75</v>
      </c>
      <c r="F10265" s="0" t="s">
        <v>90</v>
      </c>
      <c r="G10265" s="0" t="s">
        <v>20</v>
      </c>
      <c r="H10265" s="0" t="n">
        <v>130</v>
      </c>
      <c r="I10265" s="0" t="s">
        <v>34094</v>
      </c>
      <c r="J10265" s="0" t="s">
        <v>34095</v>
      </c>
      <c r="K10265" s="0" t="s">
        <v>34096</v>
      </c>
      <c r="L10265" s="0" t="str">
        <f aca="false">HYPERLINK("https://www.ncbi.nlm.nih.gov/nuccore/CP000058.1?report=graph&amp;tracks=[key:gene_model_track,Options:GeneOnly]&amp;mk=3225504:3225523|offset_46|444444,3225451:3225470|offset_99|444444,3225420:3225439|offset_130|00cc00,3225396:3225415|offset_154|444444&amp;v=3225303:3225615&amp;c=444444", "offset 130")</f>
        <v>offset 130</v>
      </c>
    </row>
    <row r="10266" customFormat="false" ht="12.8" hidden="false" customHeight="false" outlineLevel="0" collapsed="false">
      <c r="A10266" s="0" t="s">
        <v>12</v>
      </c>
      <c r="B10266" s="0" t="n">
        <v>3225395</v>
      </c>
      <c r="C10266" s="0" t="n">
        <v>3225415</v>
      </c>
      <c r="D10266" s="0" t="s">
        <v>34087</v>
      </c>
      <c r="E10266" s="0" t="s">
        <v>75</v>
      </c>
      <c r="F10266" s="0" t="s">
        <v>90</v>
      </c>
      <c r="G10266" s="0" t="s">
        <v>16</v>
      </c>
      <c r="H10266" s="0" t="n">
        <v>154</v>
      </c>
      <c r="I10266" s="0" t="s">
        <v>34097</v>
      </c>
      <c r="J10266" s="0" t="s">
        <v>34098</v>
      </c>
      <c r="K10266" s="0" t="s">
        <v>34099</v>
      </c>
      <c r="L10266" s="0" t="str">
        <f aca="false">HYPERLINK("https://www.ncbi.nlm.nih.gov/nuccore/CP000058.1?report=graph&amp;tracks=[key:gene_model_track,Options:GeneOnly]&amp;mk=3225504:3225523|offset_46|444444,3225451:3225470|offset_99|444444,3225420:3225439|offset_130|444444,3225396:3225415|offset_154|00cc00&amp;v=3225303:3225615&amp;c=444444", "offset 154")</f>
        <v>offset 154</v>
      </c>
    </row>
    <row r="10267" customFormat="false" ht="12.8" hidden="false" customHeight="false" outlineLevel="0" collapsed="false">
      <c r="A10267" s="0" t="s">
        <v>12</v>
      </c>
      <c r="B10267" s="0" t="n">
        <v>3225932</v>
      </c>
      <c r="C10267" s="0" t="n">
        <v>3225952</v>
      </c>
      <c r="D10267" s="0" t="s">
        <v>34100</v>
      </c>
      <c r="E10267" s="0" t="s">
        <v>75</v>
      </c>
      <c r="F10267" s="0" t="s">
        <v>90</v>
      </c>
      <c r="G10267" s="0" t="s">
        <v>36</v>
      </c>
      <c r="H10267" s="0" t="n">
        <v>6</v>
      </c>
      <c r="I10267" s="0" t="s">
        <v>34101</v>
      </c>
      <c r="J10267" s="0" t="s">
        <v>34102</v>
      </c>
      <c r="K10267" s="0" t="s">
        <v>34103</v>
      </c>
      <c r="L10267" s="0" t="str">
        <f aca="false">HYPERLINK("https://www.ncbi.nlm.nih.gov/nuccore/CP000058.1?report=graph&amp;tracks=[key:gene_model_track,Options:GeneOnly]&amp;mk=3225933:3225952|offset_6|00cc00,3225880:3225899|offset_59|444444,3225849:3225868|offset_90|444444,3225826:3225845|offset_113|444444&amp;v=3225732:3226045&amp;c=444444", "offset 6")</f>
        <v>offset 6</v>
      </c>
    </row>
    <row r="10268" customFormat="false" ht="12.8" hidden="false" customHeight="false" outlineLevel="0" collapsed="false">
      <c r="A10268" s="0" t="s">
        <v>12</v>
      </c>
      <c r="B10268" s="0" t="n">
        <v>3225879</v>
      </c>
      <c r="C10268" s="0" t="n">
        <v>3225899</v>
      </c>
      <c r="D10268" s="0" t="s">
        <v>34100</v>
      </c>
      <c r="E10268" s="0" t="s">
        <v>75</v>
      </c>
      <c r="F10268" s="0" t="s">
        <v>90</v>
      </c>
      <c r="G10268" s="0" t="s">
        <v>36</v>
      </c>
      <c r="H10268" s="0" t="n">
        <v>59</v>
      </c>
      <c r="I10268" s="0" t="s">
        <v>34104</v>
      </c>
      <c r="J10268" s="0" t="s">
        <v>34105</v>
      </c>
      <c r="K10268" s="0" t="s">
        <v>34106</v>
      </c>
      <c r="L10268" s="0" t="str">
        <f aca="false">HYPERLINK("https://www.ncbi.nlm.nih.gov/nuccore/CP000058.1?report=graph&amp;tracks=[key:gene_model_track,Options:GeneOnly]&amp;mk=3225933:3225952|offset_6|444444,3225880:3225899|offset_59|00cc00,3225849:3225868|offset_90|444444,3225826:3225845|offset_113|444444&amp;v=3225732:3226045&amp;c=444444", "offset 59")</f>
        <v>offset 59</v>
      </c>
    </row>
    <row r="10269" customFormat="false" ht="12.8" hidden="false" customHeight="false" outlineLevel="0" collapsed="false">
      <c r="A10269" s="0" t="s">
        <v>12</v>
      </c>
      <c r="B10269" s="0" t="n">
        <v>3225848</v>
      </c>
      <c r="C10269" s="0" t="n">
        <v>3225868</v>
      </c>
      <c r="D10269" s="0" t="s">
        <v>34100</v>
      </c>
      <c r="E10269" s="0" t="s">
        <v>75</v>
      </c>
      <c r="F10269" s="0" t="s">
        <v>90</v>
      </c>
      <c r="G10269" s="0" t="s">
        <v>32</v>
      </c>
      <c r="H10269" s="0" t="n">
        <v>90</v>
      </c>
      <c r="I10269" s="0" t="s">
        <v>34107</v>
      </c>
      <c r="J10269" s="0" t="s">
        <v>34108</v>
      </c>
      <c r="K10269" s="0" t="s">
        <v>34109</v>
      </c>
      <c r="L10269" s="0" t="str">
        <f aca="false">HYPERLINK("https://www.ncbi.nlm.nih.gov/nuccore/CP000058.1?report=graph&amp;tracks=[key:gene_model_track,Options:GeneOnly]&amp;mk=3225933:3225952|offset_6|444444,3225880:3225899|offset_59|444444,3225849:3225868|offset_90|00cc00,3225826:3225845|offset_113|444444&amp;v=3225732:3226045&amp;c=444444", "offset 90")</f>
        <v>offset 90</v>
      </c>
    </row>
    <row r="10270" customFormat="false" ht="12.8" hidden="false" customHeight="false" outlineLevel="0" collapsed="false">
      <c r="A10270" s="0" t="s">
        <v>12</v>
      </c>
      <c r="B10270" s="0" t="n">
        <v>3225825</v>
      </c>
      <c r="C10270" s="0" t="n">
        <v>3225845</v>
      </c>
      <c r="D10270" s="0" t="s">
        <v>34100</v>
      </c>
      <c r="E10270" s="0" t="s">
        <v>75</v>
      </c>
      <c r="F10270" s="0" t="s">
        <v>90</v>
      </c>
      <c r="G10270" s="0" t="s">
        <v>32</v>
      </c>
      <c r="H10270" s="0" t="n">
        <v>113</v>
      </c>
      <c r="I10270" s="0" t="s">
        <v>34110</v>
      </c>
      <c r="J10270" s="0" t="s">
        <v>34111</v>
      </c>
      <c r="K10270" s="0" t="s">
        <v>34112</v>
      </c>
      <c r="L10270" s="0" t="str">
        <f aca="false">HYPERLINK("https://www.ncbi.nlm.nih.gov/nuccore/CP000058.1?report=graph&amp;tracks=[key:gene_model_track,Options:GeneOnly]&amp;mk=3225933:3225952|offset_6|444444,3225880:3225899|offset_59|444444,3225849:3225868|offset_90|444444,3225826:3225845|offset_113|00cc00&amp;v=3225732:3226045&amp;c=444444", "offset 113")</f>
        <v>offset 113</v>
      </c>
    </row>
    <row r="10271" customFormat="false" ht="12.8" hidden="false" customHeight="false" outlineLevel="0" collapsed="false">
      <c r="A10271" s="0" t="s">
        <v>12</v>
      </c>
      <c r="B10271" s="0" t="n">
        <v>3227239</v>
      </c>
      <c r="C10271" s="0" t="n">
        <v>3227259</v>
      </c>
      <c r="D10271" s="0" t="s">
        <v>34113</v>
      </c>
      <c r="E10271" s="0" t="s">
        <v>75</v>
      </c>
      <c r="F10271" s="0" t="s">
        <v>90</v>
      </c>
      <c r="G10271" s="0" t="s">
        <v>36</v>
      </c>
      <c r="H10271" s="0" t="n">
        <v>27</v>
      </c>
      <c r="I10271" s="0" t="s">
        <v>34114</v>
      </c>
      <c r="J10271" s="0" t="s">
        <v>34115</v>
      </c>
      <c r="K10271" s="0" t="s">
        <v>34116</v>
      </c>
      <c r="L10271" s="0" t="str">
        <f aca="false">HYPERLINK("https://www.ncbi.nlm.nih.gov/nuccore/CP000058.1?report=graph&amp;tracks=[key:gene_model_track,Options:GeneOnly]&amp;mk=3227240:3227259|offset_27|00cc00,3227218:3227237|offset_49|444444,3227192:3227211|offset_75|444444,3227130:3227149|offset_137|444444&amp;v=3227039:3227349&amp;c=444444", "offset 27")</f>
        <v>offset 27</v>
      </c>
    </row>
    <row r="10272" customFormat="false" ht="12.8" hidden="false" customHeight="false" outlineLevel="0" collapsed="false">
      <c r="A10272" s="0" t="s">
        <v>12</v>
      </c>
      <c r="B10272" s="0" t="n">
        <v>3227217</v>
      </c>
      <c r="C10272" s="0" t="n">
        <v>3227237</v>
      </c>
      <c r="D10272" s="0" t="s">
        <v>34113</v>
      </c>
      <c r="E10272" s="0" t="s">
        <v>75</v>
      </c>
      <c r="F10272" s="0" t="s">
        <v>90</v>
      </c>
      <c r="G10272" s="0" t="s">
        <v>16</v>
      </c>
      <c r="H10272" s="0" t="n">
        <v>49</v>
      </c>
      <c r="I10272" s="0" t="s">
        <v>34117</v>
      </c>
      <c r="J10272" s="0" t="s">
        <v>34118</v>
      </c>
      <c r="K10272" s="0" t="s">
        <v>34119</v>
      </c>
      <c r="L10272" s="0" t="str">
        <f aca="false">HYPERLINK("https://www.ncbi.nlm.nih.gov/nuccore/CP000058.1?report=graph&amp;tracks=[key:gene_model_track,Options:GeneOnly]&amp;mk=3227240:3227259|offset_27|444444,3227218:3227237|offset_49|00cc00,3227192:3227211|offset_75|444444,3227130:3227149|offset_137|444444&amp;v=3227039:3227349&amp;c=444444", "offset 49")</f>
        <v>offset 49</v>
      </c>
    </row>
    <row r="10273" customFormat="false" ht="12.8" hidden="false" customHeight="false" outlineLevel="0" collapsed="false">
      <c r="A10273" s="0" t="s">
        <v>12</v>
      </c>
      <c r="B10273" s="0" t="n">
        <v>3227191</v>
      </c>
      <c r="C10273" s="0" t="n">
        <v>3227211</v>
      </c>
      <c r="D10273" s="0" t="s">
        <v>34113</v>
      </c>
      <c r="E10273" s="0" t="s">
        <v>75</v>
      </c>
      <c r="F10273" s="0" t="s">
        <v>90</v>
      </c>
      <c r="G10273" s="0" t="s">
        <v>20</v>
      </c>
      <c r="H10273" s="0" t="n">
        <v>75</v>
      </c>
      <c r="I10273" s="0" t="s">
        <v>34120</v>
      </c>
      <c r="J10273" s="0" t="s">
        <v>34121</v>
      </c>
      <c r="K10273" s="0" t="s">
        <v>34122</v>
      </c>
      <c r="L10273" s="0" t="str">
        <f aca="false">HYPERLINK("https://www.ncbi.nlm.nih.gov/nuccore/CP000058.1?report=graph&amp;tracks=[key:gene_model_track,Options:GeneOnly]&amp;mk=3227240:3227259|offset_27|444444,3227218:3227237|offset_49|444444,3227192:3227211|offset_75|00cc00,3227130:3227149|offset_137|444444&amp;v=3227039:3227349&amp;c=444444", "offset 75")</f>
        <v>offset 75</v>
      </c>
    </row>
    <row r="10274" customFormat="false" ht="12.8" hidden="false" customHeight="false" outlineLevel="0" collapsed="false">
      <c r="A10274" s="0" t="s">
        <v>12</v>
      </c>
      <c r="B10274" s="0" t="n">
        <v>3227129</v>
      </c>
      <c r="C10274" s="0" t="n">
        <v>3227149</v>
      </c>
      <c r="D10274" s="0" t="s">
        <v>34113</v>
      </c>
      <c r="E10274" s="0" t="s">
        <v>75</v>
      </c>
      <c r="F10274" s="0" t="s">
        <v>90</v>
      </c>
      <c r="G10274" s="0" t="s">
        <v>32</v>
      </c>
      <c r="H10274" s="0" t="n">
        <v>137</v>
      </c>
      <c r="I10274" s="0" t="s">
        <v>34123</v>
      </c>
      <c r="J10274" s="0" t="s">
        <v>34124</v>
      </c>
      <c r="K10274" s="0" t="s">
        <v>34125</v>
      </c>
      <c r="L10274" s="0" t="str">
        <f aca="false">HYPERLINK("https://www.ncbi.nlm.nih.gov/nuccore/CP000058.1?report=graph&amp;tracks=[key:gene_model_track,Options:GeneOnly]&amp;mk=3227240:3227259|offset_27|444444,3227218:3227237|offset_49|444444,3227192:3227211|offset_75|444444,3227130:3227149|offset_137|00cc00&amp;v=3227039:3227349&amp;c=444444", "offset 137")</f>
        <v>offset 137</v>
      </c>
    </row>
    <row r="10275" customFormat="false" ht="12.8" hidden="false" customHeight="false" outlineLevel="0" collapsed="false">
      <c r="A10275" s="0" t="s">
        <v>12</v>
      </c>
      <c r="B10275" s="0" t="n">
        <v>3228925</v>
      </c>
      <c r="C10275" s="0" t="n">
        <v>3228945</v>
      </c>
      <c r="D10275" s="0" t="s">
        <v>34126</v>
      </c>
      <c r="E10275" s="0" t="s">
        <v>75</v>
      </c>
      <c r="F10275" s="0" t="s">
        <v>90</v>
      </c>
      <c r="G10275" s="0" t="s">
        <v>36</v>
      </c>
      <c r="H10275" s="0" t="n">
        <v>14</v>
      </c>
      <c r="I10275" s="0" t="s">
        <v>34127</v>
      </c>
      <c r="J10275" s="0" t="s">
        <v>34128</v>
      </c>
      <c r="K10275" s="0" t="s">
        <v>34129</v>
      </c>
      <c r="L10275" s="0" t="str">
        <f aca="false">HYPERLINK("https://www.ncbi.nlm.nih.gov/nuccore/CP000058.1?report=graph&amp;tracks=[key:gene_model_track,Options:GeneOnly]&amp;mk=3228926:3228945|offset_14|00cc00,3228888:3228907|offset_52|444444,3228856:3228875|offset_84|444444,3228790:3228809|offset_150|444444&amp;v=3228725:3229009&amp;c=444444", "offset 14")</f>
        <v>offset 14</v>
      </c>
    </row>
    <row r="10276" customFormat="false" ht="12.8" hidden="false" customHeight="false" outlineLevel="0" collapsed="false">
      <c r="A10276" s="0" t="s">
        <v>12</v>
      </c>
      <c r="B10276" s="0" t="n">
        <v>3228887</v>
      </c>
      <c r="C10276" s="0" t="n">
        <v>3228907</v>
      </c>
      <c r="D10276" s="0" t="s">
        <v>34126</v>
      </c>
      <c r="E10276" s="0" t="s">
        <v>75</v>
      </c>
      <c r="F10276" s="0" t="s">
        <v>90</v>
      </c>
      <c r="G10276" s="0" t="s">
        <v>32</v>
      </c>
      <c r="H10276" s="0" t="n">
        <v>52</v>
      </c>
      <c r="I10276" s="0" t="s">
        <v>34130</v>
      </c>
      <c r="J10276" s="0" t="s">
        <v>34131</v>
      </c>
      <c r="K10276" s="0" t="s">
        <v>34132</v>
      </c>
      <c r="L10276" s="0" t="str">
        <f aca="false">HYPERLINK("https://www.ncbi.nlm.nih.gov/nuccore/CP000058.1?report=graph&amp;tracks=[key:gene_model_track,Options:GeneOnly]&amp;mk=3228926:3228945|offset_14|444444,3228888:3228907|offset_52|00cc00,3228856:3228875|offset_84|444444,3228790:3228809|offset_150|444444&amp;v=3228725:3229009&amp;c=444444", "offset 52")</f>
        <v>offset 52</v>
      </c>
    </row>
    <row r="10277" customFormat="false" ht="12.8" hidden="false" customHeight="false" outlineLevel="0" collapsed="false">
      <c r="A10277" s="0" t="s">
        <v>12</v>
      </c>
      <c r="B10277" s="0" t="n">
        <v>3228855</v>
      </c>
      <c r="C10277" s="0" t="n">
        <v>3228875</v>
      </c>
      <c r="D10277" s="0" t="s">
        <v>34126</v>
      </c>
      <c r="E10277" s="0" t="s">
        <v>75</v>
      </c>
      <c r="F10277" s="0" t="s">
        <v>90</v>
      </c>
      <c r="G10277" s="0" t="s">
        <v>20</v>
      </c>
      <c r="H10277" s="0" t="n">
        <v>84</v>
      </c>
      <c r="I10277" s="0" t="s">
        <v>34133</v>
      </c>
      <c r="J10277" s="0" t="s">
        <v>34134</v>
      </c>
      <c r="K10277" s="0" t="s">
        <v>34135</v>
      </c>
      <c r="L10277" s="0" t="str">
        <f aca="false">HYPERLINK("https://www.ncbi.nlm.nih.gov/nuccore/CP000058.1?report=graph&amp;tracks=[key:gene_model_track,Options:GeneOnly]&amp;mk=3228926:3228945|offset_14|444444,3228888:3228907|offset_52|444444,3228856:3228875|offset_84|00cc00,3228790:3228809|offset_150|444444&amp;v=3228725:3229009&amp;c=444444", "offset 84")</f>
        <v>offset 84</v>
      </c>
    </row>
    <row r="10278" customFormat="false" ht="12.8" hidden="false" customHeight="false" outlineLevel="0" collapsed="false">
      <c r="A10278" s="0" t="s">
        <v>12</v>
      </c>
      <c r="B10278" s="0" t="n">
        <v>3228789</v>
      </c>
      <c r="C10278" s="0" t="n">
        <v>3228809</v>
      </c>
      <c r="D10278" s="0" t="s">
        <v>34126</v>
      </c>
      <c r="E10278" s="0" t="s">
        <v>75</v>
      </c>
      <c r="F10278" s="0" t="s">
        <v>90</v>
      </c>
      <c r="G10278" s="0" t="s">
        <v>20</v>
      </c>
      <c r="H10278" s="0" t="n">
        <v>150</v>
      </c>
      <c r="I10278" s="0" t="s">
        <v>34136</v>
      </c>
      <c r="J10278" s="0" t="s">
        <v>34137</v>
      </c>
      <c r="K10278" s="0" t="s">
        <v>34138</v>
      </c>
      <c r="L10278" s="0" t="str">
        <f aca="false">HYPERLINK("https://www.ncbi.nlm.nih.gov/nuccore/CP000058.1?report=graph&amp;tracks=[key:gene_model_track,Options:GeneOnly]&amp;mk=3228926:3228945|offset_14|444444,3228888:3228907|offset_52|444444,3228856:3228875|offset_84|444444,3228790:3228809|offset_150|00cc00&amp;v=3228725:3229009&amp;c=444444", "offset 150")</f>
        <v>offset 150</v>
      </c>
    </row>
    <row r="10279" customFormat="false" ht="12.8" hidden="false" customHeight="false" outlineLevel="0" collapsed="false">
      <c r="A10279" s="0" t="s">
        <v>12</v>
      </c>
      <c r="B10279" s="0" t="n">
        <v>3229808</v>
      </c>
      <c r="C10279" s="0" t="n">
        <v>3229828</v>
      </c>
      <c r="D10279" s="0" t="s">
        <v>34139</v>
      </c>
      <c r="E10279" s="0" t="s">
        <v>75</v>
      </c>
      <c r="F10279" s="0" t="s">
        <v>90</v>
      </c>
      <c r="G10279" s="0" t="s">
        <v>32</v>
      </c>
      <c r="H10279" s="0" t="n">
        <v>1</v>
      </c>
      <c r="I10279" s="0" t="s">
        <v>34140</v>
      </c>
      <c r="J10279" s="0" t="s">
        <v>34141</v>
      </c>
      <c r="K10279" s="0" t="s">
        <v>34142</v>
      </c>
      <c r="L10279" s="0" t="str">
        <f aca="false">HYPERLINK("https://www.ncbi.nlm.nih.gov/nuccore/CP000058.1?report=graph&amp;tracks=[key:gene_model_track,Options:GeneOnly]&amp;mk=3229809:3229828|offset_1|00cc00,3229758:3229777|offset_52|444444,3229711:3229730|offset_99|444444,3229674:3229693|offset_136|444444&amp;v=3229608:3229893&amp;c=444444", "offset 1")</f>
        <v>offset 1</v>
      </c>
    </row>
    <row r="10280" customFormat="false" ht="12.8" hidden="false" customHeight="false" outlineLevel="0" collapsed="false">
      <c r="A10280" s="0" t="s">
        <v>12</v>
      </c>
      <c r="B10280" s="0" t="n">
        <v>3229757</v>
      </c>
      <c r="C10280" s="0" t="n">
        <v>3229777</v>
      </c>
      <c r="D10280" s="0" t="s">
        <v>34139</v>
      </c>
      <c r="E10280" s="0" t="s">
        <v>75</v>
      </c>
      <c r="F10280" s="0" t="s">
        <v>90</v>
      </c>
      <c r="G10280" s="0" t="s">
        <v>32</v>
      </c>
      <c r="H10280" s="0" t="n">
        <v>52</v>
      </c>
      <c r="I10280" s="0" t="s">
        <v>34143</v>
      </c>
      <c r="J10280" s="0" t="s">
        <v>34144</v>
      </c>
      <c r="K10280" s="0" t="s">
        <v>34145</v>
      </c>
      <c r="L10280" s="0" t="str">
        <f aca="false">HYPERLINK("https://www.ncbi.nlm.nih.gov/nuccore/CP000058.1?report=graph&amp;tracks=[key:gene_model_track,Options:GeneOnly]&amp;mk=3229809:3229828|offset_1|444444,3229758:3229777|offset_52|00cc00,3229711:3229730|offset_99|444444,3229674:3229693|offset_136|444444&amp;v=3229608:3229893&amp;c=444444", "offset 52")</f>
        <v>offset 52</v>
      </c>
    </row>
    <row r="10281" customFormat="false" ht="12.8" hidden="false" customHeight="false" outlineLevel="0" collapsed="false">
      <c r="A10281" s="0" t="s">
        <v>12</v>
      </c>
      <c r="B10281" s="0" t="n">
        <v>3229710</v>
      </c>
      <c r="C10281" s="0" t="n">
        <v>3229730</v>
      </c>
      <c r="D10281" s="0" t="s">
        <v>34139</v>
      </c>
      <c r="E10281" s="0" t="s">
        <v>75</v>
      </c>
      <c r="F10281" s="0" t="s">
        <v>90</v>
      </c>
      <c r="G10281" s="0" t="s">
        <v>32</v>
      </c>
      <c r="H10281" s="0" t="n">
        <v>99</v>
      </c>
      <c r="I10281" s="0" t="s">
        <v>34146</v>
      </c>
      <c r="J10281" s="0" t="s">
        <v>34147</v>
      </c>
      <c r="K10281" s="0" t="s">
        <v>34148</v>
      </c>
      <c r="L10281" s="0" t="str">
        <f aca="false">HYPERLINK("https://www.ncbi.nlm.nih.gov/nuccore/CP000058.1?report=graph&amp;tracks=[key:gene_model_track,Options:GeneOnly]&amp;mk=3229809:3229828|offset_1|444444,3229758:3229777|offset_52|444444,3229711:3229730|offset_99|00cc00,3229674:3229693|offset_136|444444&amp;v=3229608:3229893&amp;c=444444", "offset 99")</f>
        <v>offset 99</v>
      </c>
    </row>
    <row r="10282" customFormat="false" ht="12.8" hidden="false" customHeight="false" outlineLevel="0" collapsed="false">
      <c r="A10282" s="0" t="s">
        <v>12</v>
      </c>
      <c r="B10282" s="0" t="n">
        <v>3229673</v>
      </c>
      <c r="C10282" s="0" t="n">
        <v>3229693</v>
      </c>
      <c r="D10282" s="0" t="s">
        <v>34139</v>
      </c>
      <c r="E10282" s="0" t="s">
        <v>75</v>
      </c>
      <c r="F10282" s="0" t="s">
        <v>90</v>
      </c>
      <c r="G10282" s="0" t="s">
        <v>20</v>
      </c>
      <c r="H10282" s="0" t="n">
        <v>136</v>
      </c>
      <c r="I10282" s="0" t="s">
        <v>34149</v>
      </c>
      <c r="J10282" s="0" t="s">
        <v>34150</v>
      </c>
      <c r="K10282" s="0" t="s">
        <v>34151</v>
      </c>
      <c r="L10282" s="0" t="str">
        <f aca="false">HYPERLINK("https://www.ncbi.nlm.nih.gov/nuccore/CP000058.1?report=graph&amp;tracks=[key:gene_model_track,Options:GeneOnly]&amp;mk=3229809:3229828|offset_1|444444,3229758:3229777|offset_52|444444,3229711:3229730|offset_99|444444,3229674:3229693|offset_136|00cc00&amp;v=3229608:3229893&amp;c=444444", "offset 136")</f>
        <v>offset 136</v>
      </c>
    </row>
    <row r="10283" customFormat="false" ht="12.8" hidden="false" customHeight="false" outlineLevel="0" collapsed="false">
      <c r="A10283" s="0" t="s">
        <v>12</v>
      </c>
      <c r="B10283" s="0" t="n">
        <v>3231403</v>
      </c>
      <c r="C10283" s="0" t="n">
        <v>3231423</v>
      </c>
      <c r="D10283" s="0" t="s">
        <v>34152</v>
      </c>
      <c r="E10283" s="0" t="s">
        <v>75</v>
      </c>
      <c r="F10283" s="0" t="s">
        <v>90</v>
      </c>
      <c r="G10283" s="0" t="s">
        <v>32</v>
      </c>
      <c r="H10283" s="0" t="n">
        <v>41</v>
      </c>
      <c r="I10283" s="0" t="s">
        <v>34153</v>
      </c>
      <c r="J10283" s="0" t="s">
        <v>34154</v>
      </c>
      <c r="K10283" s="0" t="s">
        <v>34155</v>
      </c>
      <c r="L10283" s="0" t="str">
        <f aca="false">HYPERLINK("https://www.ncbi.nlm.nih.gov/nuccore/CP000058.1?report=graph&amp;tracks=[key:gene_model_track,Options:GeneOnly]&amp;mk=3231404:3231423|offset_41|00cc00,3231357:3231376|offset_88|444444,3231329:3231348|offset_116|444444,3231306:3231325|offset_139|444444&amp;v=3231203:3231525&amp;c=444444", "offset 41")</f>
        <v>offset 41</v>
      </c>
    </row>
    <row r="10284" customFormat="false" ht="12.8" hidden="false" customHeight="false" outlineLevel="0" collapsed="false">
      <c r="A10284" s="0" t="s">
        <v>12</v>
      </c>
      <c r="B10284" s="0" t="n">
        <v>3231356</v>
      </c>
      <c r="C10284" s="0" t="n">
        <v>3231376</v>
      </c>
      <c r="D10284" s="0" t="s">
        <v>34152</v>
      </c>
      <c r="E10284" s="0" t="s">
        <v>75</v>
      </c>
      <c r="F10284" s="0" t="s">
        <v>90</v>
      </c>
      <c r="G10284" s="0" t="s">
        <v>32</v>
      </c>
      <c r="H10284" s="0" t="n">
        <v>88</v>
      </c>
      <c r="I10284" s="0" t="s">
        <v>34156</v>
      </c>
      <c r="J10284" s="0" t="s">
        <v>34157</v>
      </c>
      <c r="K10284" s="0" t="s">
        <v>34158</v>
      </c>
      <c r="L10284" s="0" t="str">
        <f aca="false">HYPERLINK("https://www.ncbi.nlm.nih.gov/nuccore/CP000058.1?report=graph&amp;tracks=[key:gene_model_track,Options:GeneOnly]&amp;mk=3231404:3231423|offset_41|444444,3231357:3231376|offset_88|00cc00,3231329:3231348|offset_116|444444,3231306:3231325|offset_139|444444&amp;v=3231203:3231525&amp;c=444444", "offset 88")</f>
        <v>offset 88</v>
      </c>
    </row>
    <row r="10285" customFormat="false" ht="12.8" hidden="false" customHeight="false" outlineLevel="0" collapsed="false">
      <c r="A10285" s="0" t="s">
        <v>12</v>
      </c>
      <c r="B10285" s="0" t="n">
        <v>3231328</v>
      </c>
      <c r="C10285" s="0" t="n">
        <v>3231348</v>
      </c>
      <c r="D10285" s="0" t="s">
        <v>34152</v>
      </c>
      <c r="E10285" s="0" t="s">
        <v>75</v>
      </c>
      <c r="F10285" s="0" t="s">
        <v>90</v>
      </c>
      <c r="G10285" s="0" t="s">
        <v>32</v>
      </c>
      <c r="H10285" s="0" t="n">
        <v>116</v>
      </c>
      <c r="I10285" s="0" t="s">
        <v>34159</v>
      </c>
      <c r="J10285" s="0" t="s">
        <v>34160</v>
      </c>
      <c r="K10285" s="0" t="s">
        <v>34161</v>
      </c>
      <c r="L10285" s="0" t="str">
        <f aca="false">HYPERLINK("https://www.ncbi.nlm.nih.gov/nuccore/CP000058.1?report=graph&amp;tracks=[key:gene_model_track,Options:GeneOnly]&amp;mk=3231404:3231423|offset_41|444444,3231357:3231376|offset_88|444444,3231329:3231348|offset_116|00cc00,3231306:3231325|offset_139|444444&amp;v=3231203:3231525&amp;c=444444", "offset 116")</f>
        <v>offset 116</v>
      </c>
    </row>
    <row r="10286" customFormat="false" ht="12.8" hidden="false" customHeight="false" outlineLevel="0" collapsed="false">
      <c r="A10286" s="0" t="s">
        <v>12</v>
      </c>
      <c r="B10286" s="0" t="n">
        <v>3231305</v>
      </c>
      <c r="C10286" s="0" t="n">
        <v>3231325</v>
      </c>
      <c r="D10286" s="0" t="s">
        <v>34152</v>
      </c>
      <c r="E10286" s="0" t="s">
        <v>75</v>
      </c>
      <c r="F10286" s="0" t="s">
        <v>90</v>
      </c>
      <c r="G10286" s="0" t="s">
        <v>32</v>
      </c>
      <c r="H10286" s="0" t="n">
        <v>139</v>
      </c>
      <c r="I10286" s="0" t="s">
        <v>34162</v>
      </c>
      <c r="J10286" s="0" t="s">
        <v>34163</v>
      </c>
      <c r="K10286" s="0" t="s">
        <v>34164</v>
      </c>
      <c r="L10286" s="0" t="str">
        <f aca="false">HYPERLINK("https://www.ncbi.nlm.nih.gov/nuccore/CP000058.1?report=graph&amp;tracks=[key:gene_model_track,Options:GeneOnly]&amp;mk=3231404:3231423|offset_41|444444,3231357:3231376|offset_88|444444,3231329:3231348|offset_116|444444,3231306:3231325|offset_139|00cc00&amp;v=3231203:3231525&amp;c=444444", "offset 139")</f>
        <v>offset 139</v>
      </c>
    </row>
    <row r="10287" customFormat="false" ht="12.8" hidden="false" customHeight="false" outlineLevel="0" collapsed="false">
      <c r="A10287" s="0" t="s">
        <v>12</v>
      </c>
      <c r="B10287" s="0" t="n">
        <v>3231623</v>
      </c>
      <c r="C10287" s="0" t="n">
        <v>3231643</v>
      </c>
      <c r="D10287" s="0" t="s">
        <v>34165</v>
      </c>
      <c r="E10287" s="0" t="s">
        <v>75</v>
      </c>
      <c r="F10287" s="0" t="s">
        <v>15</v>
      </c>
      <c r="G10287" s="0" t="s">
        <v>32</v>
      </c>
      <c r="H10287" s="0" t="n">
        <v>0</v>
      </c>
      <c r="I10287" s="0" t="s">
        <v>34166</v>
      </c>
      <c r="J10287" s="0" t="s">
        <v>34167</v>
      </c>
      <c r="K10287" s="0" t="s">
        <v>34168</v>
      </c>
      <c r="L10287" s="0" t="str">
        <f aca="false">HYPERLINK("https://www.ncbi.nlm.nih.gov/nuccore/CP000058.1?report=graph&amp;tracks=[key:gene_model_track,Options:GeneOnly]&amp;mk=3231624:3231643|offset_0|00cc00,3231664:3231683|offset_40|444444,3231685:3231704|offset_61|444444,3231747:3231766|offset_123|444444&amp;v=3231423:3231966&amp;c=444444", "offset 0")</f>
        <v>offset 0</v>
      </c>
    </row>
    <row r="10288" customFormat="false" ht="12.8" hidden="false" customHeight="false" outlineLevel="0" collapsed="false">
      <c r="A10288" s="0" t="s">
        <v>12</v>
      </c>
      <c r="B10288" s="0" t="n">
        <v>3231663</v>
      </c>
      <c r="C10288" s="0" t="n">
        <v>3231683</v>
      </c>
      <c r="D10288" s="0" t="s">
        <v>34165</v>
      </c>
      <c r="E10288" s="0" t="s">
        <v>75</v>
      </c>
      <c r="F10288" s="0" t="s">
        <v>15</v>
      </c>
      <c r="G10288" s="0" t="s">
        <v>16</v>
      </c>
      <c r="H10288" s="0" t="n">
        <v>40</v>
      </c>
      <c r="I10288" s="0" t="s">
        <v>34169</v>
      </c>
      <c r="J10288" s="0" t="s">
        <v>34170</v>
      </c>
      <c r="K10288" s="0" t="s">
        <v>34171</v>
      </c>
      <c r="L10288" s="0" t="str">
        <f aca="false">HYPERLINK("https://www.ncbi.nlm.nih.gov/nuccore/CP000058.1?report=graph&amp;tracks=[key:gene_model_track,Options:GeneOnly]&amp;mk=3231624:3231643|offset_0|444444,3231664:3231683|offset_40|00cc00,3231685:3231704|offset_61|444444,3231747:3231766|offset_123|444444&amp;v=3231423:3231966&amp;c=444444", "offset 40")</f>
        <v>offset 40</v>
      </c>
    </row>
    <row r="10289" customFormat="false" ht="12.8" hidden="false" customHeight="false" outlineLevel="0" collapsed="false">
      <c r="A10289" s="0" t="s">
        <v>12</v>
      </c>
      <c r="B10289" s="0" t="n">
        <v>3231684</v>
      </c>
      <c r="C10289" s="0" t="n">
        <v>3231704</v>
      </c>
      <c r="D10289" s="0" t="s">
        <v>34165</v>
      </c>
      <c r="E10289" s="0" t="s">
        <v>75</v>
      </c>
      <c r="F10289" s="0" t="s">
        <v>15</v>
      </c>
      <c r="G10289" s="0" t="s">
        <v>20</v>
      </c>
      <c r="H10289" s="0" t="n">
        <v>61</v>
      </c>
      <c r="I10289" s="0" t="s">
        <v>34172</v>
      </c>
      <c r="J10289" s="0" t="s">
        <v>34173</v>
      </c>
      <c r="K10289" s="0" t="s">
        <v>34174</v>
      </c>
      <c r="L10289" s="0" t="str">
        <f aca="false">HYPERLINK("https://www.ncbi.nlm.nih.gov/nuccore/CP000058.1?report=graph&amp;tracks=[key:gene_model_track,Options:GeneOnly]&amp;mk=3231624:3231643|offset_0|444444,3231664:3231683|offset_40|444444,3231685:3231704|offset_61|00cc00,3231747:3231766|offset_123|444444&amp;v=3231423:3231966&amp;c=444444", "offset 61")</f>
        <v>offset 61</v>
      </c>
    </row>
    <row r="10290" customFormat="false" ht="12.8" hidden="false" customHeight="false" outlineLevel="0" collapsed="false">
      <c r="A10290" s="0" t="s">
        <v>12</v>
      </c>
      <c r="B10290" s="0" t="n">
        <v>3231746</v>
      </c>
      <c r="C10290" s="0" t="n">
        <v>3231766</v>
      </c>
      <c r="D10290" s="0" t="s">
        <v>34165</v>
      </c>
      <c r="E10290" s="0" t="s">
        <v>75</v>
      </c>
      <c r="F10290" s="0" t="s">
        <v>15</v>
      </c>
      <c r="G10290" s="0" t="s">
        <v>16</v>
      </c>
      <c r="H10290" s="0" t="n">
        <v>123</v>
      </c>
      <c r="I10290" s="0" t="s">
        <v>34175</v>
      </c>
      <c r="J10290" s="0" t="s">
        <v>34176</v>
      </c>
      <c r="K10290" s="0" t="s">
        <v>34177</v>
      </c>
      <c r="L10290" s="0" t="str">
        <f aca="false">HYPERLINK("https://www.ncbi.nlm.nih.gov/nuccore/CP000058.1?report=graph&amp;tracks=[key:gene_model_track,Options:GeneOnly]&amp;mk=3231624:3231643|offset_0|444444,3231664:3231683|offset_40|444444,3231685:3231704|offset_61|444444,3231747:3231766|offset_123|00cc00&amp;v=3231423:3231966&amp;c=444444", "offset 123")</f>
        <v>offset 123</v>
      </c>
    </row>
    <row r="10291" customFormat="false" ht="12.8" hidden="false" customHeight="false" outlineLevel="0" collapsed="false">
      <c r="A10291" s="0" t="s">
        <v>12</v>
      </c>
      <c r="B10291" s="0" t="n">
        <v>3232792</v>
      </c>
      <c r="C10291" s="0" t="n">
        <v>3232812</v>
      </c>
      <c r="D10291" s="0" t="s">
        <v>34178</v>
      </c>
      <c r="E10291" s="0" t="s">
        <v>75</v>
      </c>
      <c r="F10291" s="0" t="s">
        <v>15</v>
      </c>
      <c r="G10291" s="0" t="s">
        <v>20</v>
      </c>
      <c r="H10291" s="0" t="n">
        <v>6</v>
      </c>
      <c r="I10291" s="0" t="s">
        <v>34179</v>
      </c>
      <c r="J10291" s="0" t="s">
        <v>34180</v>
      </c>
      <c r="K10291" s="0" t="s">
        <v>34181</v>
      </c>
      <c r="L10291" s="0" t="str">
        <f aca="false">HYPERLINK("https://www.ncbi.nlm.nih.gov/nuccore/CP000058.1?report=graph&amp;tracks=[key:gene_model_track,Options:GeneOnly]&amp;mk=3232793:3232812|offset_6|00cc00,3232818:3232837|offset_31|444444,3232851:3232870|offset_64|444444,3232908:3232927|offset_121|444444&amp;v=3232592:3233127&amp;c=444444", "offset 6")</f>
        <v>offset 6</v>
      </c>
    </row>
    <row r="10292" customFormat="false" ht="12.8" hidden="false" customHeight="false" outlineLevel="0" collapsed="false">
      <c r="A10292" s="0" t="s">
        <v>12</v>
      </c>
      <c r="B10292" s="0" t="n">
        <v>3232817</v>
      </c>
      <c r="C10292" s="0" t="n">
        <v>3232837</v>
      </c>
      <c r="D10292" s="0" t="s">
        <v>34178</v>
      </c>
      <c r="E10292" s="0" t="s">
        <v>75</v>
      </c>
      <c r="F10292" s="0" t="s">
        <v>15</v>
      </c>
      <c r="G10292" s="0" t="s">
        <v>16</v>
      </c>
      <c r="H10292" s="0" t="n">
        <v>31</v>
      </c>
      <c r="I10292" s="0" t="s">
        <v>34182</v>
      </c>
      <c r="J10292" s="0" t="s">
        <v>34183</v>
      </c>
      <c r="K10292" s="0" t="s">
        <v>34184</v>
      </c>
      <c r="L10292" s="0" t="str">
        <f aca="false">HYPERLINK("https://www.ncbi.nlm.nih.gov/nuccore/CP000058.1?report=graph&amp;tracks=[key:gene_model_track,Options:GeneOnly]&amp;mk=3232793:3232812|offset_6|444444,3232818:3232837|offset_31|00cc00,3232851:3232870|offset_64|444444,3232908:3232927|offset_121|444444&amp;v=3232592:3233127&amp;c=444444", "offset 31")</f>
        <v>offset 31</v>
      </c>
    </row>
    <row r="10293" customFormat="false" ht="12.8" hidden="false" customHeight="false" outlineLevel="0" collapsed="false">
      <c r="A10293" s="0" t="s">
        <v>12</v>
      </c>
      <c r="B10293" s="0" t="n">
        <v>3232850</v>
      </c>
      <c r="C10293" s="0" t="n">
        <v>3232870</v>
      </c>
      <c r="D10293" s="0" t="s">
        <v>34178</v>
      </c>
      <c r="E10293" s="0" t="s">
        <v>75</v>
      </c>
      <c r="F10293" s="0" t="s">
        <v>15</v>
      </c>
      <c r="G10293" s="0" t="s">
        <v>16</v>
      </c>
      <c r="H10293" s="0" t="n">
        <v>64</v>
      </c>
      <c r="I10293" s="0" t="s">
        <v>34185</v>
      </c>
      <c r="J10293" s="0" t="s">
        <v>34186</v>
      </c>
      <c r="K10293" s="0" t="s">
        <v>34187</v>
      </c>
      <c r="L10293" s="0" t="str">
        <f aca="false">HYPERLINK("https://www.ncbi.nlm.nih.gov/nuccore/CP000058.1?report=graph&amp;tracks=[key:gene_model_track,Options:GeneOnly]&amp;mk=3232793:3232812|offset_6|444444,3232818:3232837|offset_31|444444,3232851:3232870|offset_64|00cc00,3232908:3232927|offset_121|444444&amp;v=3232592:3233127&amp;c=444444", "offset 64")</f>
        <v>offset 64</v>
      </c>
    </row>
    <row r="10294" customFormat="false" ht="12.8" hidden="false" customHeight="false" outlineLevel="0" collapsed="false">
      <c r="A10294" s="0" t="s">
        <v>12</v>
      </c>
      <c r="B10294" s="0" t="n">
        <v>3232907</v>
      </c>
      <c r="C10294" s="0" t="n">
        <v>3232927</v>
      </c>
      <c r="D10294" s="0" t="s">
        <v>34178</v>
      </c>
      <c r="E10294" s="0" t="s">
        <v>75</v>
      </c>
      <c r="F10294" s="0" t="s">
        <v>15</v>
      </c>
      <c r="G10294" s="0" t="s">
        <v>32</v>
      </c>
      <c r="H10294" s="0" t="n">
        <v>121</v>
      </c>
      <c r="I10294" s="0" t="s">
        <v>34188</v>
      </c>
      <c r="J10294" s="0" t="s">
        <v>34189</v>
      </c>
      <c r="K10294" s="0" t="s">
        <v>34190</v>
      </c>
      <c r="L10294" s="0" t="str">
        <f aca="false">HYPERLINK("https://www.ncbi.nlm.nih.gov/nuccore/CP000058.1?report=graph&amp;tracks=[key:gene_model_track,Options:GeneOnly]&amp;mk=3232793:3232812|offset_6|444444,3232818:3232837|offset_31|444444,3232851:3232870|offset_64|444444,3232908:3232927|offset_121|00cc00&amp;v=3232592:3233127&amp;c=444444", "offset 121")</f>
        <v>offset 121</v>
      </c>
    </row>
    <row r="10295" customFormat="false" ht="12.8" hidden="false" customHeight="false" outlineLevel="0" collapsed="false">
      <c r="A10295" s="0" t="s">
        <v>12</v>
      </c>
      <c r="B10295" s="0" t="n">
        <v>3235580</v>
      </c>
      <c r="C10295" s="0" t="n">
        <v>3235600</v>
      </c>
      <c r="D10295" s="0" t="s">
        <v>34191</v>
      </c>
      <c r="E10295" s="0" t="s">
        <v>75</v>
      </c>
      <c r="F10295" s="0" t="s">
        <v>15</v>
      </c>
      <c r="G10295" s="0" t="s">
        <v>32</v>
      </c>
      <c r="H10295" s="0" t="n">
        <v>49</v>
      </c>
      <c r="I10295" s="0" t="s">
        <v>34192</v>
      </c>
      <c r="J10295" s="0" t="s">
        <v>34193</v>
      </c>
      <c r="K10295" s="0" t="s">
        <v>34194</v>
      </c>
      <c r="L10295" s="0" t="str">
        <f aca="false">HYPERLINK("https://www.ncbi.nlm.nih.gov/nuccore/CP000058.1?report=graph&amp;tracks=[key:gene_model_track,Options:GeneOnly]&amp;mk=3235581:3235600|offset_49|00cc00,3235610:3235629|offset_78|444444,3235652:3235671|offset_120|444444,3235676:3235695|offset_144|444444&amp;v=3235380:3235895&amp;c=444444", "offset 49")</f>
        <v>offset 49</v>
      </c>
    </row>
    <row r="10296" customFormat="false" ht="12.8" hidden="false" customHeight="false" outlineLevel="0" collapsed="false">
      <c r="A10296" s="0" t="s">
        <v>12</v>
      </c>
      <c r="B10296" s="0" t="n">
        <v>3235609</v>
      </c>
      <c r="C10296" s="0" t="n">
        <v>3235629</v>
      </c>
      <c r="D10296" s="0" t="s">
        <v>34191</v>
      </c>
      <c r="E10296" s="0" t="s">
        <v>75</v>
      </c>
      <c r="F10296" s="0" t="s">
        <v>15</v>
      </c>
      <c r="G10296" s="0" t="s">
        <v>36</v>
      </c>
      <c r="H10296" s="0" t="n">
        <v>78</v>
      </c>
      <c r="I10296" s="0" t="s">
        <v>34195</v>
      </c>
      <c r="J10296" s="0" t="s">
        <v>34196</v>
      </c>
      <c r="K10296" s="0" t="s">
        <v>34197</v>
      </c>
      <c r="L10296" s="0" t="str">
        <f aca="false">HYPERLINK("https://www.ncbi.nlm.nih.gov/nuccore/CP000058.1?report=graph&amp;tracks=[key:gene_model_track,Options:GeneOnly]&amp;mk=3235581:3235600|offset_49|444444,3235610:3235629|offset_78|00cc00,3235652:3235671|offset_120|444444,3235676:3235695|offset_144|444444&amp;v=3235380:3235895&amp;c=444444", "offset 78")</f>
        <v>offset 78</v>
      </c>
    </row>
    <row r="10297" customFormat="false" ht="12.8" hidden="false" customHeight="false" outlineLevel="0" collapsed="false">
      <c r="A10297" s="0" t="s">
        <v>12</v>
      </c>
      <c r="B10297" s="0" t="n">
        <v>3235651</v>
      </c>
      <c r="C10297" s="0" t="n">
        <v>3235671</v>
      </c>
      <c r="D10297" s="0" t="s">
        <v>34191</v>
      </c>
      <c r="E10297" s="0" t="s">
        <v>75</v>
      </c>
      <c r="F10297" s="0" t="s">
        <v>15</v>
      </c>
      <c r="G10297" s="0" t="s">
        <v>16</v>
      </c>
      <c r="H10297" s="0" t="n">
        <v>120</v>
      </c>
      <c r="I10297" s="0" t="s">
        <v>34198</v>
      </c>
      <c r="J10297" s="0" t="s">
        <v>34199</v>
      </c>
      <c r="K10297" s="0" t="s">
        <v>34200</v>
      </c>
      <c r="L10297" s="0" t="str">
        <f aca="false">HYPERLINK("https://www.ncbi.nlm.nih.gov/nuccore/CP000058.1?report=graph&amp;tracks=[key:gene_model_track,Options:GeneOnly]&amp;mk=3235581:3235600|offset_49|444444,3235610:3235629|offset_78|444444,3235652:3235671|offset_120|00cc00,3235676:3235695|offset_144|444444&amp;v=3235380:3235895&amp;c=444444", "offset 120")</f>
        <v>offset 120</v>
      </c>
    </row>
    <row r="10298" customFormat="false" ht="12.8" hidden="false" customHeight="false" outlineLevel="0" collapsed="false">
      <c r="A10298" s="0" t="s">
        <v>12</v>
      </c>
      <c r="B10298" s="0" t="n">
        <v>3235675</v>
      </c>
      <c r="C10298" s="0" t="n">
        <v>3235695</v>
      </c>
      <c r="D10298" s="0" t="s">
        <v>34191</v>
      </c>
      <c r="E10298" s="0" t="s">
        <v>75</v>
      </c>
      <c r="F10298" s="0" t="s">
        <v>15</v>
      </c>
      <c r="G10298" s="0" t="s">
        <v>36</v>
      </c>
      <c r="H10298" s="0" t="n">
        <v>144</v>
      </c>
      <c r="I10298" s="0" t="s">
        <v>34201</v>
      </c>
      <c r="J10298" s="0" t="s">
        <v>34202</v>
      </c>
      <c r="K10298" s="0" t="s">
        <v>34203</v>
      </c>
      <c r="L10298" s="0" t="str">
        <f aca="false">HYPERLINK("https://www.ncbi.nlm.nih.gov/nuccore/CP000058.1?report=graph&amp;tracks=[key:gene_model_track,Options:GeneOnly]&amp;mk=3235581:3235600|offset_49|444444,3235610:3235629|offset_78|444444,3235652:3235671|offset_120|444444,3235676:3235695|offset_144|00cc00&amp;v=3235380:3235895&amp;c=444444", "offset 144")</f>
        <v>offset 144</v>
      </c>
    </row>
    <row r="10299" customFormat="false" ht="12.8" hidden="false" customHeight="false" outlineLevel="0" collapsed="false">
      <c r="A10299" s="0" t="s">
        <v>12</v>
      </c>
      <c r="B10299" s="0" t="n">
        <v>3237882</v>
      </c>
      <c r="C10299" s="0" t="n">
        <v>3237902</v>
      </c>
      <c r="D10299" s="0" t="s">
        <v>34204</v>
      </c>
      <c r="E10299" s="0" t="s">
        <v>75</v>
      </c>
      <c r="F10299" s="0" t="s">
        <v>15</v>
      </c>
      <c r="G10299" s="0" t="s">
        <v>20</v>
      </c>
      <c r="H10299" s="0" t="n">
        <v>21</v>
      </c>
      <c r="I10299" s="0" t="s">
        <v>34205</v>
      </c>
      <c r="J10299" s="0" t="s">
        <v>34206</v>
      </c>
      <c r="K10299" s="0" t="s">
        <v>34207</v>
      </c>
      <c r="L10299" s="0" t="str">
        <f aca="false">HYPERLINK("https://www.ncbi.nlm.nih.gov/nuccore/CP000058.1?report=graph&amp;tracks=[key:gene_model_track,Options:GeneOnly]&amp;mk=3237883:3237902|offset_21|00cc00,3237944:3237963|offset_82|444444,3237971:3237990|offset_109|444444,3238010:3238029|offset_148|444444&amp;v=3237682:3238229&amp;c=444444", "offset 21")</f>
        <v>offset 21</v>
      </c>
    </row>
    <row r="10300" customFormat="false" ht="12.8" hidden="false" customHeight="false" outlineLevel="0" collapsed="false">
      <c r="A10300" s="0" t="s">
        <v>12</v>
      </c>
      <c r="B10300" s="0" t="n">
        <v>3237943</v>
      </c>
      <c r="C10300" s="0" t="n">
        <v>3237963</v>
      </c>
      <c r="D10300" s="0" t="s">
        <v>34204</v>
      </c>
      <c r="E10300" s="0" t="s">
        <v>75</v>
      </c>
      <c r="F10300" s="0" t="s">
        <v>15</v>
      </c>
      <c r="G10300" s="0" t="s">
        <v>32</v>
      </c>
      <c r="H10300" s="0" t="n">
        <v>82</v>
      </c>
      <c r="I10300" s="0" t="s">
        <v>34208</v>
      </c>
      <c r="J10300" s="0" t="s">
        <v>34209</v>
      </c>
      <c r="K10300" s="0" t="s">
        <v>34210</v>
      </c>
      <c r="L10300" s="0" t="str">
        <f aca="false">HYPERLINK("https://www.ncbi.nlm.nih.gov/nuccore/CP000058.1?report=graph&amp;tracks=[key:gene_model_track,Options:GeneOnly]&amp;mk=3237883:3237902|offset_21|444444,3237944:3237963|offset_82|00cc00,3237971:3237990|offset_109|444444,3238010:3238029|offset_148|444444&amp;v=3237682:3238229&amp;c=444444", "offset 82")</f>
        <v>offset 82</v>
      </c>
    </row>
    <row r="10301" customFormat="false" ht="12.8" hidden="false" customHeight="false" outlineLevel="0" collapsed="false">
      <c r="A10301" s="0" t="s">
        <v>12</v>
      </c>
      <c r="B10301" s="0" t="n">
        <v>3237970</v>
      </c>
      <c r="C10301" s="0" t="n">
        <v>3237990</v>
      </c>
      <c r="D10301" s="0" t="s">
        <v>34204</v>
      </c>
      <c r="E10301" s="0" t="s">
        <v>75</v>
      </c>
      <c r="F10301" s="0" t="s">
        <v>15</v>
      </c>
      <c r="G10301" s="0" t="s">
        <v>16</v>
      </c>
      <c r="H10301" s="0" t="n">
        <v>109</v>
      </c>
      <c r="I10301" s="0" t="s">
        <v>34211</v>
      </c>
      <c r="J10301" s="0" t="s">
        <v>34212</v>
      </c>
      <c r="K10301" s="0" t="s">
        <v>34213</v>
      </c>
      <c r="L10301" s="0" t="str">
        <f aca="false">HYPERLINK("https://www.ncbi.nlm.nih.gov/nuccore/CP000058.1?report=graph&amp;tracks=[key:gene_model_track,Options:GeneOnly]&amp;mk=3237883:3237902|offset_21|444444,3237944:3237963|offset_82|444444,3237971:3237990|offset_109|00cc00,3238010:3238029|offset_148|444444&amp;v=3237682:3238229&amp;c=444444", "offset 109")</f>
        <v>offset 109</v>
      </c>
    </row>
    <row r="10302" customFormat="false" ht="12.8" hidden="false" customHeight="false" outlineLevel="0" collapsed="false">
      <c r="A10302" s="0" t="s">
        <v>12</v>
      </c>
      <c r="B10302" s="0" t="n">
        <v>3238009</v>
      </c>
      <c r="C10302" s="0" t="n">
        <v>3238029</v>
      </c>
      <c r="D10302" s="0" t="s">
        <v>34204</v>
      </c>
      <c r="E10302" s="0" t="s">
        <v>75</v>
      </c>
      <c r="F10302" s="0" t="s">
        <v>15</v>
      </c>
      <c r="G10302" s="0" t="s">
        <v>16</v>
      </c>
      <c r="H10302" s="0" t="n">
        <v>148</v>
      </c>
      <c r="I10302" s="0" t="s">
        <v>34214</v>
      </c>
      <c r="J10302" s="0" t="s">
        <v>34215</v>
      </c>
      <c r="K10302" s="0" t="s">
        <v>34216</v>
      </c>
      <c r="L10302" s="0" t="str">
        <f aca="false">HYPERLINK("https://www.ncbi.nlm.nih.gov/nuccore/CP000058.1?report=graph&amp;tracks=[key:gene_model_track,Options:GeneOnly]&amp;mk=3237883:3237902|offset_21|444444,3237944:3237963|offset_82|444444,3237971:3237990|offset_109|444444,3238010:3238029|offset_148|00cc00&amp;v=3237682:3238229&amp;c=444444", "offset 148")</f>
        <v>offset 148</v>
      </c>
    </row>
    <row r="10303" customFormat="false" ht="12.8" hidden="false" customHeight="false" outlineLevel="0" collapsed="false">
      <c r="A10303" s="0" t="s">
        <v>12</v>
      </c>
      <c r="B10303" s="0" t="n">
        <v>3241278</v>
      </c>
      <c r="C10303" s="0" t="n">
        <v>3241298</v>
      </c>
      <c r="D10303" s="0" t="s">
        <v>34217</v>
      </c>
      <c r="E10303" s="0" t="s">
        <v>75</v>
      </c>
      <c r="F10303" s="0" t="s">
        <v>90</v>
      </c>
      <c r="G10303" s="0" t="s">
        <v>20</v>
      </c>
      <c r="H10303" s="0" t="n">
        <v>31</v>
      </c>
      <c r="I10303" s="0" t="s">
        <v>34218</v>
      </c>
      <c r="J10303" s="0" t="s">
        <v>34219</v>
      </c>
      <c r="K10303" s="0" t="s">
        <v>34220</v>
      </c>
      <c r="L10303" s="0" t="str">
        <f aca="false">HYPERLINK("https://www.ncbi.nlm.nih.gov/nuccore/CP000058.1?report=graph&amp;tracks=[key:gene_model_track,Options:GeneOnly]&amp;mk=3241279:3241298|offset_31|00cc00,3241230:3241249|offset_80|444444,3241174:3241193|offset_136|444444,3241131:3241150|offset_179|444444&amp;v=3241078:3241350&amp;c=444444", "offset 31")</f>
        <v>offset 31</v>
      </c>
    </row>
    <row r="10304" customFormat="false" ht="12.8" hidden="false" customHeight="false" outlineLevel="0" collapsed="false">
      <c r="A10304" s="0" t="s">
        <v>12</v>
      </c>
      <c r="B10304" s="0" t="n">
        <v>3241229</v>
      </c>
      <c r="C10304" s="0" t="n">
        <v>3241249</v>
      </c>
      <c r="D10304" s="0" t="s">
        <v>34217</v>
      </c>
      <c r="E10304" s="0" t="s">
        <v>75</v>
      </c>
      <c r="F10304" s="0" t="s">
        <v>90</v>
      </c>
      <c r="G10304" s="0" t="s">
        <v>20</v>
      </c>
      <c r="H10304" s="0" t="n">
        <v>80</v>
      </c>
      <c r="I10304" s="0" t="s">
        <v>34221</v>
      </c>
      <c r="J10304" s="0" t="s">
        <v>34222</v>
      </c>
      <c r="K10304" s="0" t="s">
        <v>34223</v>
      </c>
      <c r="L10304" s="0" t="str">
        <f aca="false">HYPERLINK("https://www.ncbi.nlm.nih.gov/nuccore/CP000058.1?report=graph&amp;tracks=[key:gene_model_track,Options:GeneOnly]&amp;mk=3241279:3241298|offset_31|444444,3241230:3241249|offset_80|00cc00,3241174:3241193|offset_136|444444,3241131:3241150|offset_179|444444&amp;v=3241078:3241350&amp;c=444444", "offset 80")</f>
        <v>offset 80</v>
      </c>
    </row>
    <row r="10305" customFormat="false" ht="12.8" hidden="false" customHeight="false" outlineLevel="0" collapsed="false">
      <c r="A10305" s="0" t="s">
        <v>12</v>
      </c>
      <c r="B10305" s="0" t="n">
        <v>3241173</v>
      </c>
      <c r="C10305" s="0" t="n">
        <v>3241193</v>
      </c>
      <c r="D10305" s="0" t="s">
        <v>34217</v>
      </c>
      <c r="E10305" s="0" t="s">
        <v>75</v>
      </c>
      <c r="F10305" s="0" t="s">
        <v>90</v>
      </c>
      <c r="G10305" s="0" t="s">
        <v>20</v>
      </c>
      <c r="H10305" s="0" t="n">
        <v>136</v>
      </c>
      <c r="I10305" s="0" t="s">
        <v>34224</v>
      </c>
      <c r="J10305" s="0" t="s">
        <v>34225</v>
      </c>
      <c r="K10305" s="0" t="s">
        <v>34226</v>
      </c>
      <c r="L10305" s="0" t="str">
        <f aca="false">HYPERLINK("https://www.ncbi.nlm.nih.gov/nuccore/CP000058.1?report=graph&amp;tracks=[key:gene_model_track,Options:GeneOnly]&amp;mk=3241279:3241298|offset_31|444444,3241230:3241249|offset_80|444444,3241174:3241193|offset_136|00cc00,3241131:3241150|offset_179|444444&amp;v=3241078:3241350&amp;c=444444", "offset 136")</f>
        <v>offset 136</v>
      </c>
    </row>
    <row r="10306" customFormat="false" ht="12.8" hidden="false" customHeight="false" outlineLevel="0" collapsed="false">
      <c r="A10306" s="0" t="s">
        <v>12</v>
      </c>
      <c r="B10306" s="0" t="n">
        <v>3241130</v>
      </c>
      <c r="C10306" s="0" t="n">
        <v>3241150</v>
      </c>
      <c r="D10306" s="0" t="s">
        <v>34217</v>
      </c>
      <c r="E10306" s="0" t="s">
        <v>75</v>
      </c>
      <c r="F10306" s="0" t="s">
        <v>90</v>
      </c>
      <c r="G10306" s="0" t="s">
        <v>36</v>
      </c>
      <c r="H10306" s="0" t="n">
        <v>179</v>
      </c>
      <c r="I10306" s="0" t="s">
        <v>34227</v>
      </c>
      <c r="J10306" s="0" t="s">
        <v>34228</v>
      </c>
      <c r="K10306" s="0" t="s">
        <v>34229</v>
      </c>
      <c r="L10306" s="0" t="str">
        <f aca="false">HYPERLINK("https://www.ncbi.nlm.nih.gov/nuccore/CP000058.1?report=graph&amp;tracks=[key:gene_model_track,Options:GeneOnly]&amp;mk=3241279:3241298|offset_31|444444,3241230:3241249|offset_80|444444,3241174:3241193|offset_136|444444,3241131:3241150|offset_179|00cc00&amp;v=3241078:3241350&amp;c=444444", "offset 179")</f>
        <v>offset 179</v>
      </c>
    </row>
    <row r="10307" customFormat="false" ht="12.8" hidden="false" customHeight="false" outlineLevel="0" collapsed="false">
      <c r="A10307" s="0" t="s">
        <v>12</v>
      </c>
      <c r="B10307" s="0" t="n">
        <v>3246618</v>
      </c>
      <c r="C10307" s="0" t="n">
        <v>3246638</v>
      </c>
      <c r="D10307" s="0" t="s">
        <v>34230</v>
      </c>
      <c r="E10307" s="0" t="s">
        <v>75</v>
      </c>
      <c r="F10307" s="0" t="s">
        <v>90</v>
      </c>
      <c r="G10307" s="0" t="s">
        <v>20</v>
      </c>
      <c r="H10307" s="0" t="n">
        <v>11</v>
      </c>
      <c r="I10307" s="0" t="s">
        <v>34231</v>
      </c>
      <c r="J10307" s="0" t="s">
        <v>34232</v>
      </c>
      <c r="K10307" s="0" t="s">
        <v>34233</v>
      </c>
      <c r="L10307" s="0" t="str">
        <f aca="false">HYPERLINK("https://www.ncbi.nlm.nih.gov/nuccore/CP000058.1?report=graph&amp;tracks=[key:gene_model_track,Options:GeneOnly]&amp;mk=3246619:3246638|offset_11|00cc00,3246592:3246611|offset_38|444444,3246551:3246570|offset_79|444444,3246518:3246537|offset_112|444444&amp;v=3246418:3246737&amp;c=444444", "offset 11")</f>
        <v>offset 11</v>
      </c>
    </row>
    <row r="10308" customFormat="false" ht="12.8" hidden="false" customHeight="false" outlineLevel="0" collapsed="false">
      <c r="A10308" s="0" t="s">
        <v>12</v>
      </c>
      <c r="B10308" s="0" t="n">
        <v>3246591</v>
      </c>
      <c r="C10308" s="0" t="n">
        <v>3246611</v>
      </c>
      <c r="D10308" s="0" t="s">
        <v>34230</v>
      </c>
      <c r="E10308" s="0" t="s">
        <v>75</v>
      </c>
      <c r="F10308" s="0" t="s">
        <v>90</v>
      </c>
      <c r="G10308" s="0" t="s">
        <v>20</v>
      </c>
      <c r="H10308" s="0" t="n">
        <v>38</v>
      </c>
      <c r="I10308" s="0" t="s">
        <v>34234</v>
      </c>
      <c r="J10308" s="0" t="s">
        <v>34235</v>
      </c>
      <c r="K10308" s="0" t="s">
        <v>34236</v>
      </c>
      <c r="L10308" s="0" t="str">
        <f aca="false">HYPERLINK("https://www.ncbi.nlm.nih.gov/nuccore/CP000058.1?report=graph&amp;tracks=[key:gene_model_track,Options:GeneOnly]&amp;mk=3246619:3246638|offset_11|444444,3246592:3246611|offset_38|00cc00,3246551:3246570|offset_79|444444,3246518:3246537|offset_112|444444&amp;v=3246418:3246737&amp;c=444444", "offset 38")</f>
        <v>offset 38</v>
      </c>
    </row>
    <row r="10309" customFormat="false" ht="12.8" hidden="false" customHeight="false" outlineLevel="0" collapsed="false">
      <c r="A10309" s="0" t="s">
        <v>12</v>
      </c>
      <c r="B10309" s="0" t="n">
        <v>3246550</v>
      </c>
      <c r="C10309" s="0" t="n">
        <v>3246570</v>
      </c>
      <c r="D10309" s="0" t="s">
        <v>34230</v>
      </c>
      <c r="E10309" s="0" t="s">
        <v>75</v>
      </c>
      <c r="F10309" s="0" t="s">
        <v>90</v>
      </c>
      <c r="G10309" s="0" t="s">
        <v>16</v>
      </c>
      <c r="H10309" s="0" t="n">
        <v>79</v>
      </c>
      <c r="I10309" s="0" t="s">
        <v>34237</v>
      </c>
      <c r="J10309" s="0" t="s">
        <v>34238</v>
      </c>
      <c r="K10309" s="0" t="s">
        <v>34239</v>
      </c>
      <c r="L10309" s="0" t="str">
        <f aca="false">HYPERLINK("https://www.ncbi.nlm.nih.gov/nuccore/CP000058.1?report=graph&amp;tracks=[key:gene_model_track,Options:GeneOnly]&amp;mk=3246619:3246638|offset_11|444444,3246592:3246611|offset_38|444444,3246551:3246570|offset_79|00cc00,3246518:3246537|offset_112|444444&amp;v=3246418:3246737&amp;c=444444", "offset 79")</f>
        <v>offset 79</v>
      </c>
    </row>
    <row r="10310" customFormat="false" ht="12.8" hidden="false" customHeight="false" outlineLevel="0" collapsed="false">
      <c r="A10310" s="0" t="s">
        <v>12</v>
      </c>
      <c r="B10310" s="0" t="n">
        <v>3246517</v>
      </c>
      <c r="C10310" s="0" t="n">
        <v>3246537</v>
      </c>
      <c r="D10310" s="0" t="s">
        <v>34230</v>
      </c>
      <c r="E10310" s="0" t="s">
        <v>75</v>
      </c>
      <c r="F10310" s="0" t="s">
        <v>90</v>
      </c>
      <c r="G10310" s="0" t="s">
        <v>20</v>
      </c>
      <c r="H10310" s="0" t="n">
        <v>112</v>
      </c>
      <c r="I10310" s="0" t="s">
        <v>34240</v>
      </c>
      <c r="J10310" s="0" t="s">
        <v>34241</v>
      </c>
      <c r="K10310" s="0" t="s">
        <v>34242</v>
      </c>
      <c r="L10310" s="0" t="str">
        <f aca="false">HYPERLINK("https://www.ncbi.nlm.nih.gov/nuccore/CP000058.1?report=graph&amp;tracks=[key:gene_model_track,Options:GeneOnly]&amp;mk=3246619:3246638|offset_11|444444,3246592:3246611|offset_38|444444,3246551:3246570|offset_79|444444,3246518:3246537|offset_112|00cc00&amp;v=3246418:3246737&amp;c=444444", "offset 112")</f>
        <v>offset 112</v>
      </c>
    </row>
    <row r="10311" customFormat="false" ht="12.8" hidden="false" customHeight="false" outlineLevel="0" collapsed="false">
      <c r="A10311" s="0" t="s">
        <v>12</v>
      </c>
      <c r="B10311" s="0" t="n">
        <v>3246765</v>
      </c>
      <c r="C10311" s="0" t="n">
        <v>3246785</v>
      </c>
      <c r="D10311" s="0" t="s">
        <v>34243</v>
      </c>
      <c r="E10311" s="0" t="s">
        <v>75</v>
      </c>
      <c r="F10311" s="0" t="s">
        <v>15</v>
      </c>
      <c r="G10311" s="0" t="s">
        <v>32</v>
      </c>
      <c r="H10311" s="0" t="n">
        <v>8</v>
      </c>
      <c r="I10311" s="0" t="s">
        <v>34244</v>
      </c>
      <c r="J10311" s="0" t="s">
        <v>34245</v>
      </c>
      <c r="K10311" s="0" t="s">
        <v>34246</v>
      </c>
      <c r="L10311" s="0" t="str">
        <f aca="false">HYPERLINK("https://www.ncbi.nlm.nih.gov/nuccore/CP000058.1?report=graph&amp;tracks=[key:gene_model_track,Options:GeneOnly]&amp;mk=3246766:3246785|offset_8|00cc00,3246798:3246817|offset_40|444444,3246827:3246846|offset_69|444444,3246848:3246867|offset_90|444444&amp;v=3246565:3247067&amp;c=444444", "offset 8")</f>
        <v>offset 8</v>
      </c>
    </row>
    <row r="10312" customFormat="false" ht="12.8" hidden="false" customHeight="false" outlineLevel="0" collapsed="false">
      <c r="A10312" s="0" t="s">
        <v>12</v>
      </c>
      <c r="B10312" s="0" t="n">
        <v>3246797</v>
      </c>
      <c r="C10312" s="0" t="n">
        <v>3246817</v>
      </c>
      <c r="D10312" s="0" t="s">
        <v>34243</v>
      </c>
      <c r="E10312" s="0" t="s">
        <v>75</v>
      </c>
      <c r="F10312" s="0" t="s">
        <v>15</v>
      </c>
      <c r="G10312" s="0" t="s">
        <v>20</v>
      </c>
      <c r="H10312" s="0" t="n">
        <v>40</v>
      </c>
      <c r="I10312" s="0" t="s">
        <v>34247</v>
      </c>
      <c r="J10312" s="0" t="s">
        <v>34248</v>
      </c>
      <c r="K10312" s="0" t="s">
        <v>34249</v>
      </c>
      <c r="L10312" s="0" t="str">
        <f aca="false">HYPERLINK("https://www.ncbi.nlm.nih.gov/nuccore/CP000058.1?report=graph&amp;tracks=[key:gene_model_track,Options:GeneOnly]&amp;mk=3246766:3246785|offset_8|444444,3246798:3246817|offset_40|00cc00,3246827:3246846|offset_69|444444,3246848:3246867|offset_90|444444&amp;v=3246565:3247067&amp;c=444444", "offset 40")</f>
        <v>offset 40</v>
      </c>
    </row>
    <row r="10313" customFormat="false" ht="12.8" hidden="false" customHeight="false" outlineLevel="0" collapsed="false">
      <c r="A10313" s="0" t="s">
        <v>12</v>
      </c>
      <c r="B10313" s="0" t="n">
        <v>3246826</v>
      </c>
      <c r="C10313" s="0" t="n">
        <v>3246846</v>
      </c>
      <c r="D10313" s="0" t="s">
        <v>34243</v>
      </c>
      <c r="E10313" s="0" t="s">
        <v>75</v>
      </c>
      <c r="F10313" s="0" t="s">
        <v>15</v>
      </c>
      <c r="G10313" s="0" t="s">
        <v>36</v>
      </c>
      <c r="H10313" s="0" t="n">
        <v>69</v>
      </c>
      <c r="I10313" s="0" t="s">
        <v>34250</v>
      </c>
      <c r="J10313" s="0" t="s">
        <v>34251</v>
      </c>
      <c r="K10313" s="0" t="s">
        <v>34252</v>
      </c>
      <c r="L10313" s="0" t="str">
        <f aca="false">HYPERLINK("https://www.ncbi.nlm.nih.gov/nuccore/CP000058.1?report=graph&amp;tracks=[key:gene_model_track,Options:GeneOnly]&amp;mk=3246766:3246785|offset_8|444444,3246798:3246817|offset_40|444444,3246827:3246846|offset_69|00cc00,3246848:3246867|offset_90|444444&amp;v=3246565:3247067&amp;c=444444", "offset 69")</f>
        <v>offset 69</v>
      </c>
    </row>
    <row r="10314" customFormat="false" ht="12.8" hidden="false" customHeight="false" outlineLevel="0" collapsed="false">
      <c r="A10314" s="0" t="s">
        <v>12</v>
      </c>
      <c r="B10314" s="0" t="n">
        <v>3246847</v>
      </c>
      <c r="C10314" s="0" t="n">
        <v>3246867</v>
      </c>
      <c r="D10314" s="0" t="s">
        <v>34243</v>
      </c>
      <c r="E10314" s="0" t="s">
        <v>75</v>
      </c>
      <c r="F10314" s="0" t="s">
        <v>15</v>
      </c>
      <c r="G10314" s="0" t="s">
        <v>32</v>
      </c>
      <c r="H10314" s="0" t="n">
        <v>90</v>
      </c>
      <c r="I10314" s="0" t="s">
        <v>34253</v>
      </c>
      <c r="J10314" s="0" t="s">
        <v>34254</v>
      </c>
      <c r="K10314" s="0" t="s">
        <v>34255</v>
      </c>
      <c r="L10314" s="0" t="str">
        <f aca="false">HYPERLINK("https://www.ncbi.nlm.nih.gov/nuccore/CP000058.1?report=graph&amp;tracks=[key:gene_model_track,Options:GeneOnly]&amp;mk=3246766:3246785|offset_8|444444,3246798:3246817|offset_40|444444,3246827:3246846|offset_69|444444,3246848:3246867|offset_90|00cc00&amp;v=3246565:3247067&amp;c=444444", "offset 90")</f>
        <v>offset 90</v>
      </c>
    </row>
    <row r="10315" customFormat="false" ht="12.8" hidden="false" customHeight="false" outlineLevel="0" collapsed="false">
      <c r="A10315" s="0" t="s">
        <v>12</v>
      </c>
      <c r="B10315" s="0" t="n">
        <v>3247302</v>
      </c>
      <c r="C10315" s="0" t="n">
        <v>3247322</v>
      </c>
      <c r="D10315" s="0" t="s">
        <v>34256</v>
      </c>
      <c r="E10315" s="0" t="s">
        <v>34257</v>
      </c>
      <c r="F10315" s="0" t="s">
        <v>15</v>
      </c>
      <c r="G10315" s="0" t="s">
        <v>36</v>
      </c>
      <c r="H10315" s="0" t="n">
        <v>9</v>
      </c>
      <c r="I10315" s="0" t="s">
        <v>34258</v>
      </c>
      <c r="J10315" s="0" t="s">
        <v>34259</v>
      </c>
      <c r="K10315" s="0" t="s">
        <v>34260</v>
      </c>
      <c r="L10315" s="0" t="str">
        <f aca="false">HYPERLINK("https://www.ncbi.nlm.nih.gov/nuccore/CP000058.1?report=graph&amp;tracks=[key:gene_model_track,Options:GeneOnly]&amp;mk=3247303:3247322|offset_9|00cc00,3247335:3247354|offset_41|444444,3247363:3247382|offset_69|444444,3247391:3247410|offset_97|444444&amp;v=3247102:3247610&amp;c=444444", "offset 9")</f>
        <v>offset 9</v>
      </c>
    </row>
    <row r="10316" customFormat="false" ht="12.8" hidden="false" customHeight="false" outlineLevel="0" collapsed="false">
      <c r="A10316" s="0" t="s">
        <v>12</v>
      </c>
      <c r="B10316" s="0" t="n">
        <v>3247334</v>
      </c>
      <c r="C10316" s="0" t="n">
        <v>3247354</v>
      </c>
      <c r="D10316" s="0" t="s">
        <v>34256</v>
      </c>
      <c r="E10316" s="0" t="s">
        <v>34257</v>
      </c>
      <c r="F10316" s="0" t="s">
        <v>15</v>
      </c>
      <c r="G10316" s="0" t="s">
        <v>36</v>
      </c>
      <c r="H10316" s="0" t="n">
        <v>41</v>
      </c>
      <c r="I10316" s="0" t="s">
        <v>34261</v>
      </c>
      <c r="J10316" s="0" t="s">
        <v>34262</v>
      </c>
      <c r="K10316" s="0" t="s">
        <v>34263</v>
      </c>
      <c r="L10316" s="0" t="str">
        <f aca="false">HYPERLINK("https://www.ncbi.nlm.nih.gov/nuccore/CP000058.1?report=graph&amp;tracks=[key:gene_model_track,Options:GeneOnly]&amp;mk=3247303:3247322|offset_9|444444,3247335:3247354|offset_41|00cc00,3247363:3247382|offset_69|444444,3247391:3247410|offset_97|444444&amp;v=3247102:3247610&amp;c=444444", "offset 41")</f>
        <v>offset 41</v>
      </c>
    </row>
    <row r="10317" customFormat="false" ht="12.8" hidden="false" customHeight="false" outlineLevel="0" collapsed="false">
      <c r="A10317" s="0" t="s">
        <v>12</v>
      </c>
      <c r="B10317" s="0" t="n">
        <v>3247362</v>
      </c>
      <c r="C10317" s="0" t="n">
        <v>3247382</v>
      </c>
      <c r="D10317" s="0" t="s">
        <v>34256</v>
      </c>
      <c r="E10317" s="0" t="s">
        <v>34257</v>
      </c>
      <c r="F10317" s="0" t="s">
        <v>15</v>
      </c>
      <c r="G10317" s="0" t="s">
        <v>36</v>
      </c>
      <c r="H10317" s="0" t="n">
        <v>69</v>
      </c>
      <c r="I10317" s="0" t="s">
        <v>34264</v>
      </c>
      <c r="J10317" s="0" t="s">
        <v>34265</v>
      </c>
      <c r="K10317" s="0" t="s">
        <v>34266</v>
      </c>
      <c r="L10317" s="0" t="str">
        <f aca="false">HYPERLINK("https://www.ncbi.nlm.nih.gov/nuccore/CP000058.1?report=graph&amp;tracks=[key:gene_model_track,Options:GeneOnly]&amp;mk=3247303:3247322|offset_9|444444,3247335:3247354|offset_41|444444,3247363:3247382|offset_69|00cc00,3247391:3247410|offset_97|444444&amp;v=3247102:3247610&amp;c=444444", "offset 69")</f>
        <v>offset 69</v>
      </c>
    </row>
    <row r="10318" customFormat="false" ht="12.8" hidden="false" customHeight="false" outlineLevel="0" collapsed="false">
      <c r="A10318" s="0" t="s">
        <v>12</v>
      </c>
      <c r="B10318" s="0" t="n">
        <v>3247390</v>
      </c>
      <c r="C10318" s="0" t="n">
        <v>3247410</v>
      </c>
      <c r="D10318" s="0" t="s">
        <v>34256</v>
      </c>
      <c r="E10318" s="0" t="s">
        <v>34257</v>
      </c>
      <c r="F10318" s="0" t="s">
        <v>15</v>
      </c>
      <c r="G10318" s="0" t="s">
        <v>20</v>
      </c>
      <c r="H10318" s="0" t="n">
        <v>97</v>
      </c>
      <c r="I10318" s="0" t="s">
        <v>34267</v>
      </c>
      <c r="J10318" s="0" t="s">
        <v>34268</v>
      </c>
      <c r="K10318" s="0" t="s">
        <v>34269</v>
      </c>
      <c r="L10318" s="0" t="str">
        <f aca="false">HYPERLINK("https://www.ncbi.nlm.nih.gov/nuccore/CP000058.1?report=graph&amp;tracks=[key:gene_model_track,Options:GeneOnly]&amp;mk=3247303:3247322|offset_9|444444,3247335:3247354|offset_41|444444,3247363:3247382|offset_69|444444,3247391:3247410|offset_97|00cc00&amp;v=3247102:3247610&amp;c=444444", "offset 97")</f>
        <v>offset 97</v>
      </c>
    </row>
    <row r="10319" customFormat="false" ht="12.8" hidden="false" customHeight="false" outlineLevel="0" collapsed="false">
      <c r="A10319" s="0" t="s">
        <v>12</v>
      </c>
      <c r="B10319" s="0" t="n">
        <v>3248311</v>
      </c>
      <c r="C10319" s="0" t="n">
        <v>3248331</v>
      </c>
      <c r="D10319" s="0" t="s">
        <v>34270</v>
      </c>
      <c r="E10319" s="0" t="s">
        <v>34271</v>
      </c>
      <c r="F10319" s="0" t="s">
        <v>15</v>
      </c>
      <c r="G10319" s="0" t="s">
        <v>36</v>
      </c>
      <c r="H10319" s="0" t="n">
        <v>8</v>
      </c>
      <c r="I10319" s="0" t="s">
        <v>34272</v>
      </c>
      <c r="J10319" s="0" t="s">
        <v>34273</v>
      </c>
      <c r="K10319" s="0" t="s">
        <v>34274</v>
      </c>
      <c r="L10319" s="0" t="str">
        <f aca="false">HYPERLINK("https://www.ncbi.nlm.nih.gov/nuccore/CP000058.1?report=graph&amp;tracks=[key:gene_model_track,Options:GeneOnly]&amp;mk=3248312:3248331|offset_8|00cc00,3248332:3248351|offset_28|444444,3248357:3248376|offset_53|444444,3248410:3248429|offset_106|444444&amp;v=3248111:3248629&amp;c=444444", "offset 8")</f>
        <v>offset 8</v>
      </c>
    </row>
    <row r="10320" customFormat="false" ht="12.8" hidden="false" customHeight="false" outlineLevel="0" collapsed="false">
      <c r="A10320" s="0" t="s">
        <v>12</v>
      </c>
      <c r="B10320" s="0" t="n">
        <v>3248331</v>
      </c>
      <c r="C10320" s="0" t="n">
        <v>3248351</v>
      </c>
      <c r="D10320" s="0" t="s">
        <v>34270</v>
      </c>
      <c r="E10320" s="0" t="s">
        <v>34271</v>
      </c>
      <c r="F10320" s="0" t="s">
        <v>15</v>
      </c>
      <c r="G10320" s="0" t="s">
        <v>20</v>
      </c>
      <c r="H10320" s="0" t="n">
        <v>28</v>
      </c>
      <c r="I10320" s="0" t="s">
        <v>34275</v>
      </c>
      <c r="J10320" s="0" t="s">
        <v>34276</v>
      </c>
      <c r="K10320" s="0" t="s">
        <v>34277</v>
      </c>
      <c r="L10320" s="0" t="str">
        <f aca="false">HYPERLINK("https://www.ncbi.nlm.nih.gov/nuccore/CP000058.1?report=graph&amp;tracks=[key:gene_model_track,Options:GeneOnly]&amp;mk=3248312:3248331|offset_8|444444,3248332:3248351|offset_28|00cc00,3248357:3248376|offset_53|444444,3248410:3248429|offset_106|444444&amp;v=3248111:3248629&amp;c=444444", "offset 28")</f>
        <v>offset 28</v>
      </c>
    </row>
    <row r="10321" customFormat="false" ht="12.8" hidden="false" customHeight="false" outlineLevel="0" collapsed="false">
      <c r="A10321" s="0" t="s">
        <v>12</v>
      </c>
      <c r="B10321" s="0" t="n">
        <v>3248356</v>
      </c>
      <c r="C10321" s="0" t="n">
        <v>3248376</v>
      </c>
      <c r="D10321" s="0" t="s">
        <v>34270</v>
      </c>
      <c r="E10321" s="0" t="s">
        <v>34271</v>
      </c>
      <c r="F10321" s="0" t="s">
        <v>15</v>
      </c>
      <c r="G10321" s="0" t="s">
        <v>20</v>
      </c>
      <c r="H10321" s="0" t="n">
        <v>53</v>
      </c>
      <c r="I10321" s="0" t="s">
        <v>34278</v>
      </c>
      <c r="J10321" s="0" t="s">
        <v>34279</v>
      </c>
      <c r="K10321" s="0" t="s">
        <v>34280</v>
      </c>
      <c r="L10321" s="0" t="str">
        <f aca="false">HYPERLINK("https://www.ncbi.nlm.nih.gov/nuccore/CP000058.1?report=graph&amp;tracks=[key:gene_model_track,Options:GeneOnly]&amp;mk=3248312:3248331|offset_8|444444,3248332:3248351|offset_28|444444,3248357:3248376|offset_53|00cc00,3248410:3248429|offset_106|444444&amp;v=3248111:3248629&amp;c=444444", "offset 53")</f>
        <v>offset 53</v>
      </c>
    </row>
    <row r="10322" customFormat="false" ht="12.8" hidden="false" customHeight="false" outlineLevel="0" collapsed="false">
      <c r="A10322" s="0" t="s">
        <v>12</v>
      </c>
      <c r="B10322" s="0" t="n">
        <v>3248409</v>
      </c>
      <c r="C10322" s="0" t="n">
        <v>3248429</v>
      </c>
      <c r="D10322" s="0" t="s">
        <v>34270</v>
      </c>
      <c r="E10322" s="0" t="s">
        <v>34271</v>
      </c>
      <c r="F10322" s="0" t="s">
        <v>15</v>
      </c>
      <c r="G10322" s="0" t="s">
        <v>16</v>
      </c>
      <c r="H10322" s="0" t="n">
        <v>106</v>
      </c>
      <c r="I10322" s="0" t="s">
        <v>34281</v>
      </c>
      <c r="J10322" s="0" t="s">
        <v>34282</v>
      </c>
      <c r="K10322" s="0" t="s">
        <v>34283</v>
      </c>
      <c r="L10322" s="0" t="str">
        <f aca="false">HYPERLINK("https://www.ncbi.nlm.nih.gov/nuccore/CP000058.1?report=graph&amp;tracks=[key:gene_model_track,Options:GeneOnly]&amp;mk=3248312:3248331|offset_8|444444,3248332:3248351|offset_28|444444,3248357:3248376|offset_53|444444,3248410:3248429|offset_106|00cc00&amp;v=3248111:3248629&amp;c=444444", "offset 106")</f>
        <v>offset 106</v>
      </c>
    </row>
    <row r="10323" customFormat="false" ht="12.8" hidden="false" customHeight="false" outlineLevel="0" collapsed="false">
      <c r="A10323" s="0" t="s">
        <v>12</v>
      </c>
      <c r="B10323" s="0" t="n">
        <v>3250340</v>
      </c>
      <c r="C10323" s="0" t="n">
        <v>3250360</v>
      </c>
      <c r="D10323" s="0" t="s">
        <v>34284</v>
      </c>
      <c r="E10323" s="0" t="s">
        <v>75</v>
      </c>
      <c r="F10323" s="0" t="s">
        <v>15</v>
      </c>
      <c r="G10323" s="0" t="s">
        <v>36</v>
      </c>
      <c r="H10323" s="0" t="n">
        <v>46</v>
      </c>
      <c r="I10323" s="0" t="s">
        <v>34285</v>
      </c>
      <c r="J10323" s="0" t="s">
        <v>34286</v>
      </c>
      <c r="K10323" s="0" t="s">
        <v>34287</v>
      </c>
      <c r="L10323" s="0" t="str">
        <f aca="false">HYPERLINK("https://www.ncbi.nlm.nih.gov/nuccore/CP000058.1?report=graph&amp;tracks=[key:gene_model_track,Options:GeneOnly]&amp;mk=3250341:3250360|offset_46|00cc00,3250417:3250436|offset_122|444444,3250438:3250457|offset_143|444444,3250458:3250477|offset_163|444444&amp;v=3250140:3250677&amp;c=444444", "offset 46")</f>
        <v>offset 46</v>
      </c>
    </row>
    <row r="10324" customFormat="false" ht="12.8" hidden="false" customHeight="false" outlineLevel="0" collapsed="false">
      <c r="A10324" s="0" t="s">
        <v>12</v>
      </c>
      <c r="B10324" s="0" t="n">
        <v>3250416</v>
      </c>
      <c r="C10324" s="0" t="n">
        <v>3250436</v>
      </c>
      <c r="D10324" s="0" t="s">
        <v>34284</v>
      </c>
      <c r="E10324" s="0" t="s">
        <v>75</v>
      </c>
      <c r="F10324" s="0" t="s">
        <v>15</v>
      </c>
      <c r="G10324" s="0" t="s">
        <v>36</v>
      </c>
      <c r="H10324" s="0" t="n">
        <v>122</v>
      </c>
      <c r="I10324" s="0" t="s">
        <v>34288</v>
      </c>
      <c r="J10324" s="0" t="s">
        <v>34289</v>
      </c>
      <c r="K10324" s="0" t="s">
        <v>34290</v>
      </c>
      <c r="L10324" s="0" t="str">
        <f aca="false">HYPERLINK("https://www.ncbi.nlm.nih.gov/nuccore/CP000058.1?report=graph&amp;tracks=[key:gene_model_track,Options:GeneOnly]&amp;mk=3250341:3250360|offset_46|444444,3250417:3250436|offset_122|00cc00,3250438:3250457|offset_143|444444,3250458:3250477|offset_163|444444&amp;v=3250140:3250677&amp;c=444444", "offset 122")</f>
        <v>offset 122</v>
      </c>
    </row>
    <row r="10325" customFormat="false" ht="12.8" hidden="false" customHeight="false" outlineLevel="0" collapsed="false">
      <c r="A10325" s="0" t="s">
        <v>12</v>
      </c>
      <c r="B10325" s="0" t="n">
        <v>3250437</v>
      </c>
      <c r="C10325" s="0" t="n">
        <v>3250457</v>
      </c>
      <c r="D10325" s="0" t="s">
        <v>34284</v>
      </c>
      <c r="E10325" s="0" t="s">
        <v>75</v>
      </c>
      <c r="F10325" s="0" t="s">
        <v>15</v>
      </c>
      <c r="G10325" s="0" t="s">
        <v>20</v>
      </c>
      <c r="H10325" s="0" t="n">
        <v>143</v>
      </c>
      <c r="I10325" s="0" t="s">
        <v>34291</v>
      </c>
      <c r="J10325" s="0" t="s">
        <v>34292</v>
      </c>
      <c r="K10325" s="0" t="s">
        <v>34293</v>
      </c>
      <c r="L10325" s="0" t="str">
        <f aca="false">HYPERLINK("https://www.ncbi.nlm.nih.gov/nuccore/CP000058.1?report=graph&amp;tracks=[key:gene_model_track,Options:GeneOnly]&amp;mk=3250341:3250360|offset_46|444444,3250417:3250436|offset_122|444444,3250438:3250457|offset_143|00cc00,3250458:3250477|offset_163|444444&amp;v=3250140:3250677&amp;c=444444", "offset 143")</f>
        <v>offset 143</v>
      </c>
    </row>
    <row r="10326" customFormat="false" ht="12.8" hidden="false" customHeight="false" outlineLevel="0" collapsed="false">
      <c r="A10326" s="0" t="s">
        <v>12</v>
      </c>
      <c r="B10326" s="0" t="n">
        <v>3250457</v>
      </c>
      <c r="C10326" s="0" t="n">
        <v>3250477</v>
      </c>
      <c r="D10326" s="0" t="s">
        <v>34284</v>
      </c>
      <c r="E10326" s="0" t="s">
        <v>75</v>
      </c>
      <c r="F10326" s="0" t="s">
        <v>15</v>
      </c>
      <c r="G10326" s="0" t="s">
        <v>32</v>
      </c>
      <c r="H10326" s="0" t="n">
        <v>163</v>
      </c>
      <c r="I10326" s="0" t="s">
        <v>34294</v>
      </c>
      <c r="J10326" s="0" t="s">
        <v>34295</v>
      </c>
      <c r="K10326" s="0" t="s">
        <v>34296</v>
      </c>
      <c r="L10326" s="0" t="str">
        <f aca="false">HYPERLINK("https://www.ncbi.nlm.nih.gov/nuccore/CP000058.1?report=graph&amp;tracks=[key:gene_model_track,Options:GeneOnly]&amp;mk=3250341:3250360|offset_46|444444,3250417:3250436|offset_122|444444,3250438:3250457|offset_143|444444,3250458:3250477|offset_163|00cc00&amp;v=3250140:3250677&amp;c=444444", "offset 163")</f>
        <v>offset 163</v>
      </c>
    </row>
    <row r="10327" customFormat="false" ht="12.8" hidden="false" customHeight="false" outlineLevel="0" collapsed="false">
      <c r="A10327" s="0" t="s">
        <v>12</v>
      </c>
      <c r="B10327" s="0" t="n">
        <v>3251185</v>
      </c>
      <c r="C10327" s="0" t="n">
        <v>3251205</v>
      </c>
      <c r="D10327" s="0" t="s">
        <v>34297</v>
      </c>
      <c r="E10327" s="0" t="s">
        <v>75</v>
      </c>
      <c r="F10327" s="0" t="s">
        <v>15</v>
      </c>
      <c r="G10327" s="0" t="s">
        <v>32</v>
      </c>
      <c r="H10327" s="0" t="n">
        <v>10</v>
      </c>
      <c r="I10327" s="0" t="s">
        <v>34298</v>
      </c>
      <c r="J10327" s="0" t="s">
        <v>34299</v>
      </c>
      <c r="K10327" s="0" t="s">
        <v>34300</v>
      </c>
      <c r="L10327" s="0" t="str">
        <f aca="false">HYPERLINK("https://www.ncbi.nlm.nih.gov/nuccore/CP000058.1?report=graph&amp;tracks=[key:gene_model_track,Options:GeneOnly]&amp;mk=3251186:3251205|offset_10|00cc00,3251208:3251227|offset_32|444444,3251231:3251250|offset_55|444444,3251253:3251272|offset_77|444444&amp;v=3250985:3251472&amp;c=444444", "offset 10")</f>
        <v>offset 10</v>
      </c>
    </row>
    <row r="10328" customFormat="false" ht="12.8" hidden="false" customHeight="false" outlineLevel="0" collapsed="false">
      <c r="A10328" s="0" t="s">
        <v>12</v>
      </c>
      <c r="B10328" s="0" t="n">
        <v>3251207</v>
      </c>
      <c r="C10328" s="0" t="n">
        <v>3251227</v>
      </c>
      <c r="D10328" s="0" t="s">
        <v>34297</v>
      </c>
      <c r="E10328" s="0" t="s">
        <v>75</v>
      </c>
      <c r="F10328" s="0" t="s">
        <v>15</v>
      </c>
      <c r="G10328" s="0" t="s">
        <v>20</v>
      </c>
      <c r="H10328" s="0" t="n">
        <v>32</v>
      </c>
      <c r="I10328" s="0" t="s">
        <v>34301</v>
      </c>
      <c r="J10328" s="0" t="s">
        <v>34302</v>
      </c>
      <c r="K10328" s="0" t="s">
        <v>34303</v>
      </c>
      <c r="L10328" s="0" t="str">
        <f aca="false">HYPERLINK("https://www.ncbi.nlm.nih.gov/nuccore/CP000058.1?report=graph&amp;tracks=[key:gene_model_track,Options:GeneOnly]&amp;mk=3251186:3251205|offset_10|444444,3251208:3251227|offset_32|00cc00,3251231:3251250|offset_55|444444,3251253:3251272|offset_77|444444&amp;v=3250985:3251472&amp;c=444444", "offset 32")</f>
        <v>offset 32</v>
      </c>
    </row>
    <row r="10329" customFormat="false" ht="12.8" hidden="false" customHeight="false" outlineLevel="0" collapsed="false">
      <c r="A10329" s="0" t="s">
        <v>12</v>
      </c>
      <c r="B10329" s="0" t="n">
        <v>3251230</v>
      </c>
      <c r="C10329" s="0" t="n">
        <v>3251250</v>
      </c>
      <c r="D10329" s="0" t="s">
        <v>34297</v>
      </c>
      <c r="E10329" s="0" t="s">
        <v>75</v>
      </c>
      <c r="F10329" s="0" t="s">
        <v>15</v>
      </c>
      <c r="G10329" s="0" t="s">
        <v>20</v>
      </c>
      <c r="H10329" s="0" t="n">
        <v>55</v>
      </c>
      <c r="I10329" s="0" t="s">
        <v>34304</v>
      </c>
      <c r="J10329" s="0" t="s">
        <v>34305</v>
      </c>
      <c r="K10329" s="0" t="s">
        <v>34306</v>
      </c>
      <c r="L10329" s="0" t="str">
        <f aca="false">HYPERLINK("https://www.ncbi.nlm.nih.gov/nuccore/CP000058.1?report=graph&amp;tracks=[key:gene_model_track,Options:GeneOnly]&amp;mk=3251186:3251205|offset_10|444444,3251208:3251227|offset_32|444444,3251231:3251250|offset_55|00cc00,3251253:3251272|offset_77|444444&amp;v=3250985:3251472&amp;c=444444", "offset 55")</f>
        <v>offset 55</v>
      </c>
    </row>
    <row r="10330" customFormat="false" ht="12.8" hidden="false" customHeight="false" outlineLevel="0" collapsed="false">
      <c r="A10330" s="0" t="s">
        <v>12</v>
      </c>
      <c r="B10330" s="0" t="n">
        <v>3251252</v>
      </c>
      <c r="C10330" s="0" t="n">
        <v>3251272</v>
      </c>
      <c r="D10330" s="0" t="s">
        <v>34297</v>
      </c>
      <c r="E10330" s="0" t="s">
        <v>75</v>
      </c>
      <c r="F10330" s="0" t="s">
        <v>15</v>
      </c>
      <c r="G10330" s="0" t="s">
        <v>32</v>
      </c>
      <c r="H10330" s="0" t="n">
        <v>77</v>
      </c>
      <c r="I10330" s="0" t="s">
        <v>34307</v>
      </c>
      <c r="J10330" s="0" t="s">
        <v>34308</v>
      </c>
      <c r="K10330" s="0" t="s">
        <v>34309</v>
      </c>
      <c r="L10330" s="0" t="str">
        <f aca="false">HYPERLINK("https://www.ncbi.nlm.nih.gov/nuccore/CP000058.1?report=graph&amp;tracks=[key:gene_model_track,Options:GeneOnly]&amp;mk=3251186:3251205|offset_10|444444,3251208:3251227|offset_32|444444,3251231:3251250|offset_55|444444,3251253:3251272|offset_77|00cc00&amp;v=3250985:3251472&amp;c=444444", "offset 77")</f>
        <v>offset 77</v>
      </c>
    </row>
    <row r="10331" customFormat="false" ht="12.8" hidden="false" customHeight="false" outlineLevel="0" collapsed="false">
      <c r="A10331" s="0" t="s">
        <v>12</v>
      </c>
      <c r="B10331" s="0" t="n">
        <v>3252822</v>
      </c>
      <c r="C10331" s="0" t="n">
        <v>3252842</v>
      </c>
      <c r="D10331" s="0" t="s">
        <v>34310</v>
      </c>
      <c r="E10331" s="0" t="s">
        <v>75</v>
      </c>
      <c r="F10331" s="0" t="s">
        <v>15</v>
      </c>
      <c r="G10331" s="0" t="s">
        <v>32</v>
      </c>
      <c r="H10331" s="0" t="n">
        <v>1</v>
      </c>
      <c r="I10331" s="0" t="s">
        <v>34311</v>
      </c>
      <c r="J10331" s="0" t="s">
        <v>34312</v>
      </c>
      <c r="K10331" s="0" t="s">
        <v>34313</v>
      </c>
      <c r="L10331" s="0" t="str">
        <f aca="false">HYPERLINK("https://www.ncbi.nlm.nih.gov/nuccore/CP000058.1?report=graph&amp;tracks=[key:gene_model_track,Options:GeneOnly]&amp;mk=3252823:3252842|offset_1|00cc00,3252854:3252873|offset_32|444444,3252919:3252938|offset_97|444444,3252971:3252990|offset_149|444444&amp;v=3252622:3253190&amp;c=444444", "offset 1")</f>
        <v>offset 1</v>
      </c>
    </row>
    <row r="10332" customFormat="false" ht="12.8" hidden="false" customHeight="false" outlineLevel="0" collapsed="false">
      <c r="A10332" s="0" t="s">
        <v>12</v>
      </c>
      <c r="B10332" s="0" t="n">
        <v>3252853</v>
      </c>
      <c r="C10332" s="0" t="n">
        <v>3252873</v>
      </c>
      <c r="D10332" s="0" t="s">
        <v>34310</v>
      </c>
      <c r="E10332" s="0" t="s">
        <v>75</v>
      </c>
      <c r="F10332" s="0" t="s">
        <v>15</v>
      </c>
      <c r="G10332" s="0" t="s">
        <v>20</v>
      </c>
      <c r="H10332" s="0" t="n">
        <v>32</v>
      </c>
      <c r="I10332" s="0" t="s">
        <v>34314</v>
      </c>
      <c r="J10332" s="0" t="s">
        <v>34315</v>
      </c>
      <c r="K10332" s="0" t="s">
        <v>34316</v>
      </c>
      <c r="L10332" s="0" t="str">
        <f aca="false">HYPERLINK("https://www.ncbi.nlm.nih.gov/nuccore/CP000058.1?report=graph&amp;tracks=[key:gene_model_track,Options:GeneOnly]&amp;mk=3252823:3252842|offset_1|444444,3252854:3252873|offset_32|00cc00,3252919:3252938|offset_97|444444,3252971:3252990|offset_149|444444&amp;v=3252622:3253190&amp;c=444444", "offset 32")</f>
        <v>offset 32</v>
      </c>
    </row>
    <row r="10333" customFormat="false" ht="12.8" hidden="false" customHeight="false" outlineLevel="0" collapsed="false">
      <c r="A10333" s="0" t="s">
        <v>12</v>
      </c>
      <c r="B10333" s="0" t="n">
        <v>3252918</v>
      </c>
      <c r="C10333" s="0" t="n">
        <v>3252938</v>
      </c>
      <c r="D10333" s="0" t="s">
        <v>34310</v>
      </c>
      <c r="E10333" s="0" t="s">
        <v>75</v>
      </c>
      <c r="F10333" s="0" t="s">
        <v>15</v>
      </c>
      <c r="G10333" s="0" t="s">
        <v>16</v>
      </c>
      <c r="H10333" s="0" t="n">
        <v>97</v>
      </c>
      <c r="I10333" s="0" t="s">
        <v>34317</v>
      </c>
      <c r="J10333" s="0" t="s">
        <v>34318</v>
      </c>
      <c r="K10333" s="0" t="s">
        <v>34319</v>
      </c>
      <c r="L10333" s="0" t="str">
        <f aca="false">HYPERLINK("https://www.ncbi.nlm.nih.gov/nuccore/CP000058.1?report=graph&amp;tracks=[key:gene_model_track,Options:GeneOnly]&amp;mk=3252823:3252842|offset_1|444444,3252854:3252873|offset_32|444444,3252919:3252938|offset_97|00cc00,3252971:3252990|offset_149|444444&amp;v=3252622:3253190&amp;c=444444", "offset 97")</f>
        <v>offset 97</v>
      </c>
    </row>
    <row r="10334" customFormat="false" ht="12.8" hidden="false" customHeight="false" outlineLevel="0" collapsed="false">
      <c r="A10334" s="0" t="s">
        <v>12</v>
      </c>
      <c r="B10334" s="0" t="n">
        <v>3252970</v>
      </c>
      <c r="C10334" s="0" t="n">
        <v>3252990</v>
      </c>
      <c r="D10334" s="0" t="s">
        <v>34310</v>
      </c>
      <c r="E10334" s="0" t="s">
        <v>75</v>
      </c>
      <c r="F10334" s="0" t="s">
        <v>15</v>
      </c>
      <c r="G10334" s="0" t="s">
        <v>20</v>
      </c>
      <c r="H10334" s="0" t="n">
        <v>149</v>
      </c>
      <c r="I10334" s="0" t="s">
        <v>34320</v>
      </c>
      <c r="J10334" s="0" t="s">
        <v>34321</v>
      </c>
      <c r="K10334" s="0" t="s">
        <v>34322</v>
      </c>
      <c r="L10334" s="0" t="str">
        <f aca="false">HYPERLINK("https://www.ncbi.nlm.nih.gov/nuccore/CP000058.1?report=graph&amp;tracks=[key:gene_model_track,Options:GeneOnly]&amp;mk=3252823:3252842|offset_1|444444,3252854:3252873|offset_32|444444,3252919:3252938|offset_97|444444,3252971:3252990|offset_149|00cc00&amp;v=3252622:3253190&amp;c=444444", "offset 149")</f>
        <v>offset 149</v>
      </c>
    </row>
    <row r="10335" customFormat="false" ht="12.8" hidden="false" customHeight="false" outlineLevel="0" collapsed="false">
      <c r="A10335" s="0" t="s">
        <v>12</v>
      </c>
      <c r="B10335" s="0" t="n">
        <v>3253193</v>
      </c>
      <c r="C10335" s="0" t="n">
        <v>3253213</v>
      </c>
      <c r="D10335" s="0" t="s">
        <v>34323</v>
      </c>
      <c r="E10335" s="0" t="s">
        <v>75</v>
      </c>
      <c r="F10335" s="0" t="s">
        <v>15</v>
      </c>
      <c r="G10335" s="0" t="s">
        <v>20</v>
      </c>
      <c r="H10335" s="0" t="n">
        <v>10</v>
      </c>
      <c r="I10335" s="0" t="s">
        <v>34324</v>
      </c>
      <c r="J10335" s="0" t="s">
        <v>34325</v>
      </c>
      <c r="K10335" s="0" t="s">
        <v>34326</v>
      </c>
      <c r="L10335" s="0" t="str">
        <f aca="false">HYPERLINK("https://www.ncbi.nlm.nih.gov/nuccore/CP000058.1?report=graph&amp;tracks=[key:gene_model_track,Options:GeneOnly]&amp;mk=3253194:3253213|offset_10|00cc00,3253252:3253271|offset_68|444444,3253308:3253327|offset_124|444444,3253332:3253351|offset_148|444444&amp;v=3252993:3253551&amp;c=444444", "offset 10")</f>
        <v>offset 10</v>
      </c>
    </row>
    <row r="10336" customFormat="false" ht="12.8" hidden="false" customHeight="false" outlineLevel="0" collapsed="false">
      <c r="A10336" s="0" t="s">
        <v>12</v>
      </c>
      <c r="B10336" s="0" t="n">
        <v>3253251</v>
      </c>
      <c r="C10336" s="0" t="n">
        <v>3253271</v>
      </c>
      <c r="D10336" s="0" t="s">
        <v>34323</v>
      </c>
      <c r="E10336" s="0" t="s">
        <v>75</v>
      </c>
      <c r="F10336" s="0" t="s">
        <v>15</v>
      </c>
      <c r="G10336" s="0" t="s">
        <v>16</v>
      </c>
      <c r="H10336" s="0" t="n">
        <v>68</v>
      </c>
      <c r="I10336" s="0" t="s">
        <v>34327</v>
      </c>
      <c r="J10336" s="0" t="s">
        <v>34328</v>
      </c>
      <c r="K10336" s="0" t="s">
        <v>34329</v>
      </c>
      <c r="L10336" s="0" t="str">
        <f aca="false">HYPERLINK("https://www.ncbi.nlm.nih.gov/nuccore/CP000058.1?report=graph&amp;tracks=[key:gene_model_track,Options:GeneOnly]&amp;mk=3253194:3253213|offset_10|444444,3253252:3253271|offset_68|00cc00,3253308:3253327|offset_124|444444,3253332:3253351|offset_148|444444&amp;v=3252993:3253551&amp;c=444444", "offset 68")</f>
        <v>offset 68</v>
      </c>
    </row>
    <row r="10337" customFormat="false" ht="12.8" hidden="false" customHeight="false" outlineLevel="0" collapsed="false">
      <c r="A10337" s="0" t="s">
        <v>12</v>
      </c>
      <c r="B10337" s="0" t="n">
        <v>3253307</v>
      </c>
      <c r="C10337" s="0" t="n">
        <v>3253327</v>
      </c>
      <c r="D10337" s="0" t="s">
        <v>34323</v>
      </c>
      <c r="E10337" s="0" t="s">
        <v>75</v>
      </c>
      <c r="F10337" s="0" t="s">
        <v>15</v>
      </c>
      <c r="G10337" s="0" t="s">
        <v>32</v>
      </c>
      <c r="H10337" s="0" t="n">
        <v>124</v>
      </c>
      <c r="I10337" s="0" t="s">
        <v>34330</v>
      </c>
      <c r="J10337" s="0" t="s">
        <v>34331</v>
      </c>
      <c r="K10337" s="0" t="s">
        <v>34332</v>
      </c>
      <c r="L10337" s="0" t="str">
        <f aca="false">HYPERLINK("https://www.ncbi.nlm.nih.gov/nuccore/CP000058.1?report=graph&amp;tracks=[key:gene_model_track,Options:GeneOnly]&amp;mk=3253194:3253213|offset_10|444444,3253252:3253271|offset_68|444444,3253308:3253327|offset_124|00cc00,3253332:3253351|offset_148|444444&amp;v=3252993:3253551&amp;c=444444", "offset 124")</f>
        <v>offset 124</v>
      </c>
    </row>
    <row r="10338" customFormat="false" ht="12.8" hidden="false" customHeight="false" outlineLevel="0" collapsed="false">
      <c r="A10338" s="0" t="s">
        <v>12</v>
      </c>
      <c r="B10338" s="0" t="n">
        <v>3253331</v>
      </c>
      <c r="C10338" s="0" t="n">
        <v>3253351</v>
      </c>
      <c r="D10338" s="0" t="s">
        <v>34323</v>
      </c>
      <c r="E10338" s="0" t="s">
        <v>75</v>
      </c>
      <c r="F10338" s="0" t="s">
        <v>15</v>
      </c>
      <c r="G10338" s="0" t="s">
        <v>20</v>
      </c>
      <c r="H10338" s="0" t="n">
        <v>148</v>
      </c>
      <c r="I10338" s="0" t="s">
        <v>34333</v>
      </c>
      <c r="J10338" s="0" t="s">
        <v>34334</v>
      </c>
      <c r="K10338" s="0" t="s">
        <v>34335</v>
      </c>
      <c r="L10338" s="0" t="str">
        <f aca="false">HYPERLINK("https://www.ncbi.nlm.nih.gov/nuccore/CP000058.1?report=graph&amp;tracks=[key:gene_model_track,Options:GeneOnly]&amp;mk=3253194:3253213|offset_10|444444,3253252:3253271|offset_68|444444,3253308:3253327|offset_124|444444,3253332:3253351|offset_148|00cc00&amp;v=3252993:3253551&amp;c=444444", "offset 148")</f>
        <v>offset 148</v>
      </c>
    </row>
    <row r="10339" customFormat="false" ht="12.8" hidden="false" customHeight="false" outlineLevel="0" collapsed="false">
      <c r="A10339" s="0" t="s">
        <v>12</v>
      </c>
      <c r="B10339" s="0" t="n">
        <v>3253626</v>
      </c>
      <c r="C10339" s="0" t="n">
        <v>3253646</v>
      </c>
      <c r="D10339" s="0" t="s">
        <v>34336</v>
      </c>
      <c r="E10339" s="0" t="s">
        <v>75</v>
      </c>
      <c r="F10339" s="0" t="s">
        <v>15</v>
      </c>
      <c r="G10339" s="0" t="s">
        <v>16</v>
      </c>
      <c r="H10339" s="0" t="n">
        <v>52</v>
      </c>
      <c r="I10339" s="0" t="s">
        <v>34337</v>
      </c>
      <c r="J10339" s="0" t="s">
        <v>34338</v>
      </c>
      <c r="K10339" s="0" t="s">
        <v>34339</v>
      </c>
      <c r="L10339" s="0" t="str">
        <f aca="false">HYPERLINK("https://www.ncbi.nlm.nih.gov/nuccore/CP000058.1?report=graph&amp;tracks=[key:gene_model_track,Options:GeneOnly]&amp;mk=3253627:3253646|offset_52|00cc00,3253673:3253692|offset_98|444444,3253732:3253751|offset_157|444444,3253777:3253796|offset_202|444444&amp;v=3253426:3253996&amp;c=444444", "offset 52")</f>
        <v>offset 52</v>
      </c>
    </row>
    <row r="10340" customFormat="false" ht="12.8" hidden="false" customHeight="false" outlineLevel="0" collapsed="false">
      <c r="A10340" s="0" t="s">
        <v>12</v>
      </c>
      <c r="B10340" s="0" t="n">
        <v>3253672</v>
      </c>
      <c r="C10340" s="0" t="n">
        <v>3253692</v>
      </c>
      <c r="D10340" s="0" t="s">
        <v>34336</v>
      </c>
      <c r="E10340" s="0" t="s">
        <v>75</v>
      </c>
      <c r="F10340" s="0" t="s">
        <v>15</v>
      </c>
      <c r="G10340" s="0" t="s">
        <v>32</v>
      </c>
      <c r="H10340" s="0" t="n">
        <v>98</v>
      </c>
      <c r="I10340" s="0" t="s">
        <v>34340</v>
      </c>
      <c r="J10340" s="0" t="s">
        <v>34341</v>
      </c>
      <c r="K10340" s="0" t="s">
        <v>34342</v>
      </c>
      <c r="L10340" s="0" t="str">
        <f aca="false">HYPERLINK("https://www.ncbi.nlm.nih.gov/nuccore/CP000058.1?report=graph&amp;tracks=[key:gene_model_track,Options:GeneOnly]&amp;mk=3253627:3253646|offset_52|444444,3253673:3253692|offset_98|00cc00,3253732:3253751|offset_157|444444,3253777:3253796|offset_202|444444&amp;v=3253426:3253996&amp;c=444444", "offset 98")</f>
        <v>offset 98</v>
      </c>
    </row>
    <row r="10341" customFormat="false" ht="12.8" hidden="false" customHeight="false" outlineLevel="0" collapsed="false">
      <c r="A10341" s="0" t="s">
        <v>12</v>
      </c>
      <c r="B10341" s="0" t="n">
        <v>3253731</v>
      </c>
      <c r="C10341" s="0" t="n">
        <v>3253751</v>
      </c>
      <c r="D10341" s="0" t="s">
        <v>34336</v>
      </c>
      <c r="E10341" s="0" t="s">
        <v>75</v>
      </c>
      <c r="F10341" s="0" t="s">
        <v>15</v>
      </c>
      <c r="G10341" s="0" t="s">
        <v>32</v>
      </c>
      <c r="H10341" s="0" t="n">
        <v>157</v>
      </c>
      <c r="I10341" s="0" t="s">
        <v>34343</v>
      </c>
      <c r="J10341" s="0" t="s">
        <v>34344</v>
      </c>
      <c r="K10341" s="0" t="s">
        <v>34345</v>
      </c>
      <c r="L10341" s="0" t="str">
        <f aca="false">HYPERLINK("https://www.ncbi.nlm.nih.gov/nuccore/CP000058.1?report=graph&amp;tracks=[key:gene_model_track,Options:GeneOnly]&amp;mk=3253627:3253646|offset_52|444444,3253673:3253692|offset_98|444444,3253732:3253751|offset_157|00cc00,3253777:3253796|offset_202|444444&amp;v=3253426:3253996&amp;c=444444", "offset 157")</f>
        <v>offset 157</v>
      </c>
    </row>
    <row r="10342" customFormat="false" ht="12.8" hidden="false" customHeight="false" outlineLevel="0" collapsed="false">
      <c r="A10342" s="0" t="s">
        <v>12</v>
      </c>
      <c r="B10342" s="0" t="n">
        <v>3253776</v>
      </c>
      <c r="C10342" s="0" t="n">
        <v>3253796</v>
      </c>
      <c r="D10342" s="0" t="s">
        <v>34336</v>
      </c>
      <c r="E10342" s="0" t="s">
        <v>75</v>
      </c>
      <c r="F10342" s="0" t="s">
        <v>15</v>
      </c>
      <c r="G10342" s="0" t="s">
        <v>32</v>
      </c>
      <c r="H10342" s="0" t="n">
        <v>202</v>
      </c>
      <c r="I10342" s="0" t="s">
        <v>34346</v>
      </c>
      <c r="J10342" s="0" t="s">
        <v>34347</v>
      </c>
      <c r="K10342" s="0" t="s">
        <v>34348</v>
      </c>
      <c r="L10342" s="0" t="str">
        <f aca="false">HYPERLINK("https://www.ncbi.nlm.nih.gov/nuccore/CP000058.1?report=graph&amp;tracks=[key:gene_model_track,Options:GeneOnly]&amp;mk=3253627:3253646|offset_52|444444,3253673:3253692|offset_98|444444,3253732:3253751|offset_157|444444,3253777:3253796|offset_202|00cc00&amp;v=3253426:3253996&amp;c=444444", "offset 202")</f>
        <v>offset 202</v>
      </c>
    </row>
    <row r="10343" customFormat="false" ht="12.8" hidden="false" customHeight="false" outlineLevel="0" collapsed="false">
      <c r="A10343" s="0" t="s">
        <v>12</v>
      </c>
      <c r="B10343" s="0" t="n">
        <v>3256517</v>
      </c>
      <c r="C10343" s="0" t="n">
        <v>3256537</v>
      </c>
      <c r="D10343" s="0" t="s">
        <v>34349</v>
      </c>
      <c r="E10343" s="0" t="s">
        <v>75</v>
      </c>
      <c r="F10343" s="0" t="s">
        <v>90</v>
      </c>
      <c r="G10343" s="0" t="s">
        <v>36</v>
      </c>
      <c r="H10343" s="0" t="n">
        <v>86</v>
      </c>
      <c r="I10343" s="0" t="s">
        <v>34350</v>
      </c>
      <c r="J10343" s="0" t="s">
        <v>34351</v>
      </c>
      <c r="K10343" s="0" t="s">
        <v>34352</v>
      </c>
      <c r="L10343" s="0" t="str">
        <f aca="false">HYPERLINK("https://www.ncbi.nlm.nih.gov/nuccore/CP000058.1?report=graph&amp;tracks=[key:gene_model_track,Options:GeneOnly]&amp;mk=3256518:3256537|offset_86|00cc00,3256484:3256503|offset_120|444444,3256448:3256467|offset_156|444444,3256395:3256414|offset_209|444444&amp;v=3256317:3256614&amp;c=444444", "offset 86")</f>
        <v>offset 86</v>
      </c>
    </row>
    <row r="10344" customFormat="false" ht="12.8" hidden="false" customHeight="false" outlineLevel="0" collapsed="false">
      <c r="A10344" s="0" t="s">
        <v>12</v>
      </c>
      <c r="B10344" s="0" t="n">
        <v>3256483</v>
      </c>
      <c r="C10344" s="0" t="n">
        <v>3256503</v>
      </c>
      <c r="D10344" s="0" t="s">
        <v>34349</v>
      </c>
      <c r="E10344" s="0" t="s">
        <v>75</v>
      </c>
      <c r="F10344" s="0" t="s">
        <v>90</v>
      </c>
      <c r="G10344" s="0" t="s">
        <v>16</v>
      </c>
      <c r="H10344" s="0" t="n">
        <v>120</v>
      </c>
      <c r="I10344" s="0" t="s">
        <v>34353</v>
      </c>
      <c r="J10344" s="0" t="s">
        <v>34354</v>
      </c>
      <c r="K10344" s="0" t="s">
        <v>34355</v>
      </c>
      <c r="L10344" s="0" t="str">
        <f aca="false">HYPERLINK("https://www.ncbi.nlm.nih.gov/nuccore/CP000058.1?report=graph&amp;tracks=[key:gene_model_track,Options:GeneOnly]&amp;mk=3256518:3256537|offset_86|444444,3256484:3256503|offset_120|00cc00,3256448:3256467|offset_156|444444,3256395:3256414|offset_209|444444&amp;v=3256317:3256614&amp;c=444444", "offset 120")</f>
        <v>offset 120</v>
      </c>
    </row>
    <row r="10345" customFormat="false" ht="12.8" hidden="false" customHeight="false" outlineLevel="0" collapsed="false">
      <c r="A10345" s="0" t="s">
        <v>12</v>
      </c>
      <c r="B10345" s="0" t="n">
        <v>3256447</v>
      </c>
      <c r="C10345" s="0" t="n">
        <v>3256467</v>
      </c>
      <c r="D10345" s="0" t="s">
        <v>34349</v>
      </c>
      <c r="E10345" s="0" t="s">
        <v>75</v>
      </c>
      <c r="F10345" s="0" t="s">
        <v>90</v>
      </c>
      <c r="G10345" s="0" t="s">
        <v>32</v>
      </c>
      <c r="H10345" s="0" t="n">
        <v>156</v>
      </c>
      <c r="I10345" s="0" t="s">
        <v>34356</v>
      </c>
      <c r="J10345" s="0" t="s">
        <v>34357</v>
      </c>
      <c r="K10345" s="0" t="s">
        <v>34358</v>
      </c>
      <c r="L10345" s="0" t="str">
        <f aca="false">HYPERLINK("https://www.ncbi.nlm.nih.gov/nuccore/CP000058.1?report=graph&amp;tracks=[key:gene_model_track,Options:GeneOnly]&amp;mk=3256518:3256537|offset_86|444444,3256484:3256503|offset_120|444444,3256448:3256467|offset_156|00cc00,3256395:3256414|offset_209|444444&amp;v=3256317:3256614&amp;c=444444", "offset 156")</f>
        <v>offset 156</v>
      </c>
    </row>
    <row r="10346" customFormat="false" ht="12.8" hidden="false" customHeight="false" outlineLevel="0" collapsed="false">
      <c r="A10346" s="0" t="s">
        <v>12</v>
      </c>
      <c r="B10346" s="0" t="n">
        <v>3256394</v>
      </c>
      <c r="C10346" s="0" t="n">
        <v>3256414</v>
      </c>
      <c r="D10346" s="0" t="s">
        <v>34349</v>
      </c>
      <c r="E10346" s="0" t="s">
        <v>75</v>
      </c>
      <c r="F10346" s="0" t="s">
        <v>90</v>
      </c>
      <c r="G10346" s="0" t="s">
        <v>32</v>
      </c>
      <c r="H10346" s="0" t="n">
        <v>209</v>
      </c>
      <c r="I10346" s="0" t="s">
        <v>34359</v>
      </c>
      <c r="J10346" s="0" t="s">
        <v>34360</v>
      </c>
      <c r="K10346" s="0" t="s">
        <v>34361</v>
      </c>
      <c r="L10346" s="0" t="str">
        <f aca="false">HYPERLINK("https://www.ncbi.nlm.nih.gov/nuccore/CP000058.1?report=graph&amp;tracks=[key:gene_model_track,Options:GeneOnly]&amp;mk=3256518:3256537|offset_86|444444,3256484:3256503|offset_120|444444,3256448:3256467|offset_156|444444,3256395:3256414|offset_209|00cc00&amp;v=3256317:3256614&amp;c=444444", "offset 209")</f>
        <v>offset 209</v>
      </c>
    </row>
    <row r="10347" customFormat="false" ht="12.8" hidden="false" customHeight="false" outlineLevel="0" collapsed="false">
      <c r="A10347" s="0" t="s">
        <v>12</v>
      </c>
      <c r="B10347" s="0" t="n">
        <v>3257312</v>
      </c>
      <c r="C10347" s="0" t="n">
        <v>3257332</v>
      </c>
      <c r="D10347" s="0" t="s">
        <v>34362</v>
      </c>
      <c r="E10347" s="0" t="s">
        <v>75</v>
      </c>
      <c r="F10347" s="0" t="s">
        <v>90</v>
      </c>
      <c r="G10347" s="0" t="s">
        <v>16</v>
      </c>
      <c r="H10347" s="0" t="n">
        <v>22</v>
      </c>
      <c r="I10347" s="0" t="s">
        <v>34363</v>
      </c>
      <c r="J10347" s="0" t="s">
        <v>34364</v>
      </c>
      <c r="K10347" s="0" t="s">
        <v>34365</v>
      </c>
      <c r="L10347" s="0" t="str">
        <f aca="false">HYPERLINK("https://www.ncbi.nlm.nih.gov/nuccore/CP000058.1?report=graph&amp;tracks=[key:gene_model_track,Options:GeneOnly]&amp;mk=3257313:3257332|offset_22|00cc00,3257256:3257275|offset_79|444444,3257217:3257236|offset_118|444444,3257169:3257188|offset_166|444444&amp;v=3257112:3257388&amp;c=444444", "offset 22")</f>
        <v>offset 22</v>
      </c>
    </row>
    <row r="10348" customFormat="false" ht="12.8" hidden="false" customHeight="false" outlineLevel="0" collapsed="false">
      <c r="A10348" s="0" t="s">
        <v>12</v>
      </c>
      <c r="B10348" s="0" t="n">
        <v>3257255</v>
      </c>
      <c r="C10348" s="0" t="n">
        <v>3257275</v>
      </c>
      <c r="D10348" s="0" t="s">
        <v>34362</v>
      </c>
      <c r="E10348" s="0" t="s">
        <v>75</v>
      </c>
      <c r="F10348" s="0" t="s">
        <v>90</v>
      </c>
      <c r="G10348" s="0" t="s">
        <v>16</v>
      </c>
      <c r="H10348" s="0" t="n">
        <v>79</v>
      </c>
      <c r="I10348" s="0" t="s">
        <v>34366</v>
      </c>
      <c r="J10348" s="0" t="s">
        <v>34367</v>
      </c>
      <c r="K10348" s="0" t="s">
        <v>34368</v>
      </c>
      <c r="L10348" s="0" t="str">
        <f aca="false">HYPERLINK("https://www.ncbi.nlm.nih.gov/nuccore/CP000058.1?report=graph&amp;tracks=[key:gene_model_track,Options:GeneOnly]&amp;mk=3257313:3257332|offset_22|444444,3257256:3257275|offset_79|00cc00,3257217:3257236|offset_118|444444,3257169:3257188|offset_166|444444&amp;v=3257112:3257388&amp;c=444444", "offset 79")</f>
        <v>offset 79</v>
      </c>
    </row>
    <row r="10349" customFormat="false" ht="12.8" hidden="false" customHeight="false" outlineLevel="0" collapsed="false">
      <c r="A10349" s="0" t="s">
        <v>12</v>
      </c>
      <c r="B10349" s="0" t="n">
        <v>3257216</v>
      </c>
      <c r="C10349" s="0" t="n">
        <v>3257236</v>
      </c>
      <c r="D10349" s="0" t="s">
        <v>34362</v>
      </c>
      <c r="E10349" s="0" t="s">
        <v>75</v>
      </c>
      <c r="F10349" s="0" t="s">
        <v>90</v>
      </c>
      <c r="G10349" s="0" t="s">
        <v>20</v>
      </c>
      <c r="H10349" s="0" t="n">
        <v>118</v>
      </c>
      <c r="I10349" s="0" t="s">
        <v>34369</v>
      </c>
      <c r="J10349" s="0" t="s">
        <v>34370</v>
      </c>
      <c r="K10349" s="0" t="s">
        <v>34371</v>
      </c>
      <c r="L10349" s="0" t="str">
        <f aca="false">HYPERLINK("https://www.ncbi.nlm.nih.gov/nuccore/CP000058.1?report=graph&amp;tracks=[key:gene_model_track,Options:GeneOnly]&amp;mk=3257313:3257332|offset_22|444444,3257256:3257275|offset_79|444444,3257217:3257236|offset_118|00cc00,3257169:3257188|offset_166|444444&amp;v=3257112:3257388&amp;c=444444", "offset 118")</f>
        <v>offset 118</v>
      </c>
    </row>
    <row r="10350" customFormat="false" ht="12.8" hidden="false" customHeight="false" outlineLevel="0" collapsed="false">
      <c r="A10350" s="0" t="s">
        <v>12</v>
      </c>
      <c r="B10350" s="0" t="n">
        <v>3257168</v>
      </c>
      <c r="C10350" s="0" t="n">
        <v>3257188</v>
      </c>
      <c r="D10350" s="0" t="s">
        <v>34362</v>
      </c>
      <c r="E10350" s="0" t="s">
        <v>75</v>
      </c>
      <c r="F10350" s="0" t="s">
        <v>90</v>
      </c>
      <c r="G10350" s="0" t="s">
        <v>32</v>
      </c>
      <c r="H10350" s="0" t="n">
        <v>166</v>
      </c>
      <c r="I10350" s="0" t="s">
        <v>34372</v>
      </c>
      <c r="J10350" s="0" t="s">
        <v>34373</v>
      </c>
      <c r="K10350" s="0" t="s">
        <v>34374</v>
      </c>
      <c r="L10350" s="0" t="str">
        <f aca="false">HYPERLINK("https://www.ncbi.nlm.nih.gov/nuccore/CP000058.1?report=graph&amp;tracks=[key:gene_model_track,Options:GeneOnly]&amp;mk=3257313:3257332|offset_22|444444,3257256:3257275|offset_79|444444,3257217:3257236|offset_118|444444,3257169:3257188|offset_166|00cc00&amp;v=3257112:3257388&amp;c=444444", "offset 166")</f>
        <v>offset 166</v>
      </c>
    </row>
    <row r="10351" customFormat="false" ht="12.8" hidden="false" customHeight="false" outlineLevel="0" collapsed="false">
      <c r="A10351" s="0" t="s">
        <v>12</v>
      </c>
      <c r="B10351" s="0" t="n">
        <v>3257660</v>
      </c>
      <c r="C10351" s="0" t="n">
        <v>3257680</v>
      </c>
      <c r="D10351" s="0" t="s">
        <v>34375</v>
      </c>
      <c r="E10351" s="0" t="s">
        <v>75</v>
      </c>
      <c r="F10351" s="0" t="s">
        <v>15</v>
      </c>
      <c r="G10351" s="0" t="s">
        <v>16</v>
      </c>
      <c r="H10351" s="0" t="n">
        <v>0</v>
      </c>
      <c r="I10351" s="0" t="s">
        <v>34376</v>
      </c>
      <c r="J10351" s="0" t="s">
        <v>34377</v>
      </c>
      <c r="K10351" s="0" t="s">
        <v>34378</v>
      </c>
      <c r="L10351" s="0" t="str">
        <f aca="false">HYPERLINK("https://www.ncbi.nlm.nih.gov/nuccore/CP000058.1?report=graph&amp;tracks=[key:gene_model_track,Options:GeneOnly]&amp;mk=3257661:3257680|offset_0|00cc00,3257683:3257702|offset_22|444444,3257741:3257760|offset_80|444444,3257771:3257790|offset_110|444444&amp;v=3257460:3257990&amp;c=444444", "offset 0")</f>
        <v>offset 0</v>
      </c>
    </row>
    <row r="10352" customFormat="false" ht="12.8" hidden="false" customHeight="false" outlineLevel="0" collapsed="false">
      <c r="A10352" s="0" t="s">
        <v>12</v>
      </c>
      <c r="B10352" s="0" t="n">
        <v>3257682</v>
      </c>
      <c r="C10352" s="0" t="n">
        <v>3257702</v>
      </c>
      <c r="D10352" s="0" t="s">
        <v>34375</v>
      </c>
      <c r="E10352" s="0" t="s">
        <v>75</v>
      </c>
      <c r="F10352" s="0" t="s">
        <v>15</v>
      </c>
      <c r="G10352" s="0" t="s">
        <v>20</v>
      </c>
      <c r="H10352" s="0" t="n">
        <v>22</v>
      </c>
      <c r="I10352" s="0" t="s">
        <v>34379</v>
      </c>
      <c r="J10352" s="0" t="s">
        <v>34380</v>
      </c>
      <c r="K10352" s="0" t="s">
        <v>34381</v>
      </c>
      <c r="L10352" s="0" t="str">
        <f aca="false">HYPERLINK("https://www.ncbi.nlm.nih.gov/nuccore/CP000058.1?report=graph&amp;tracks=[key:gene_model_track,Options:GeneOnly]&amp;mk=3257661:3257680|offset_0|444444,3257683:3257702|offset_22|00cc00,3257741:3257760|offset_80|444444,3257771:3257790|offset_110|444444&amp;v=3257460:3257990&amp;c=444444", "offset 22")</f>
        <v>offset 22</v>
      </c>
    </row>
    <row r="10353" customFormat="false" ht="12.8" hidden="false" customHeight="false" outlineLevel="0" collapsed="false">
      <c r="A10353" s="0" t="s">
        <v>12</v>
      </c>
      <c r="B10353" s="0" t="n">
        <v>3257740</v>
      </c>
      <c r="C10353" s="0" t="n">
        <v>3257760</v>
      </c>
      <c r="D10353" s="0" t="s">
        <v>34375</v>
      </c>
      <c r="E10353" s="0" t="s">
        <v>75</v>
      </c>
      <c r="F10353" s="0" t="s">
        <v>15</v>
      </c>
      <c r="G10353" s="0" t="s">
        <v>36</v>
      </c>
      <c r="H10353" s="0" t="n">
        <v>80</v>
      </c>
      <c r="I10353" s="0" t="s">
        <v>34382</v>
      </c>
      <c r="J10353" s="0" t="s">
        <v>34383</v>
      </c>
      <c r="K10353" s="0" t="s">
        <v>34384</v>
      </c>
      <c r="L10353" s="0" t="str">
        <f aca="false">HYPERLINK("https://www.ncbi.nlm.nih.gov/nuccore/CP000058.1?report=graph&amp;tracks=[key:gene_model_track,Options:GeneOnly]&amp;mk=3257661:3257680|offset_0|444444,3257683:3257702|offset_22|444444,3257741:3257760|offset_80|00cc00,3257771:3257790|offset_110|444444&amp;v=3257460:3257990&amp;c=444444", "offset 80")</f>
        <v>offset 80</v>
      </c>
    </row>
    <row r="10354" customFormat="false" ht="12.8" hidden="false" customHeight="false" outlineLevel="0" collapsed="false">
      <c r="A10354" s="0" t="s">
        <v>12</v>
      </c>
      <c r="B10354" s="0" t="n">
        <v>3257770</v>
      </c>
      <c r="C10354" s="0" t="n">
        <v>3257790</v>
      </c>
      <c r="D10354" s="0" t="s">
        <v>34375</v>
      </c>
      <c r="E10354" s="0" t="s">
        <v>75</v>
      </c>
      <c r="F10354" s="0" t="s">
        <v>15</v>
      </c>
      <c r="G10354" s="0" t="s">
        <v>16</v>
      </c>
      <c r="H10354" s="0" t="n">
        <v>110</v>
      </c>
      <c r="I10354" s="0" t="s">
        <v>34385</v>
      </c>
      <c r="J10354" s="0" t="s">
        <v>34386</v>
      </c>
      <c r="K10354" s="0" t="s">
        <v>34387</v>
      </c>
      <c r="L10354" s="0" t="str">
        <f aca="false">HYPERLINK("https://www.ncbi.nlm.nih.gov/nuccore/CP000058.1?report=graph&amp;tracks=[key:gene_model_track,Options:GeneOnly]&amp;mk=3257661:3257680|offset_0|444444,3257683:3257702|offset_22|444444,3257741:3257760|offset_80|444444,3257771:3257790|offset_110|00cc00&amp;v=3257460:3257990&amp;c=444444", "offset 110")</f>
        <v>offset 110</v>
      </c>
    </row>
    <row r="10355" customFormat="false" ht="12.8" hidden="false" customHeight="false" outlineLevel="0" collapsed="false">
      <c r="A10355" s="0" t="s">
        <v>12</v>
      </c>
      <c r="B10355" s="0" t="n">
        <v>3259661</v>
      </c>
      <c r="C10355" s="0" t="n">
        <v>3259681</v>
      </c>
      <c r="D10355" s="0" t="s">
        <v>34388</v>
      </c>
      <c r="E10355" s="0" t="s">
        <v>75</v>
      </c>
      <c r="F10355" s="0" t="s">
        <v>90</v>
      </c>
      <c r="G10355" s="0" t="s">
        <v>16</v>
      </c>
      <c r="H10355" s="0" t="n">
        <v>17</v>
      </c>
      <c r="I10355" s="0" t="s">
        <v>34389</v>
      </c>
      <c r="J10355" s="0" t="s">
        <v>34390</v>
      </c>
      <c r="K10355" s="0" t="s">
        <v>34391</v>
      </c>
      <c r="L10355" s="0" t="str">
        <f aca="false">HYPERLINK("https://www.ncbi.nlm.nih.gov/nuccore/CP000058.1?report=graph&amp;tracks=[key:gene_model_track,Options:GeneOnly]&amp;mk=3259662:3259681|offset_17|00cc00,3259613:3259632|offset_66|444444,3259576:3259595|offset_103|444444,3259536:3259555|offset_143|444444&amp;v=3259461:3259755&amp;c=444444", "offset 17")</f>
        <v>offset 17</v>
      </c>
    </row>
    <row r="10356" customFormat="false" ht="12.8" hidden="false" customHeight="false" outlineLevel="0" collapsed="false">
      <c r="A10356" s="0" t="s">
        <v>12</v>
      </c>
      <c r="B10356" s="0" t="n">
        <v>3259612</v>
      </c>
      <c r="C10356" s="0" t="n">
        <v>3259632</v>
      </c>
      <c r="D10356" s="0" t="s">
        <v>34388</v>
      </c>
      <c r="E10356" s="0" t="s">
        <v>75</v>
      </c>
      <c r="F10356" s="0" t="s">
        <v>90</v>
      </c>
      <c r="G10356" s="0" t="s">
        <v>20</v>
      </c>
      <c r="H10356" s="0" t="n">
        <v>66</v>
      </c>
      <c r="I10356" s="0" t="s">
        <v>34392</v>
      </c>
      <c r="J10356" s="0" t="s">
        <v>34393</v>
      </c>
      <c r="K10356" s="0" t="s">
        <v>34394</v>
      </c>
      <c r="L10356" s="0" t="str">
        <f aca="false">HYPERLINK("https://www.ncbi.nlm.nih.gov/nuccore/CP000058.1?report=graph&amp;tracks=[key:gene_model_track,Options:GeneOnly]&amp;mk=3259662:3259681|offset_17|444444,3259613:3259632|offset_66|00cc00,3259576:3259595|offset_103|444444,3259536:3259555|offset_143|444444&amp;v=3259461:3259755&amp;c=444444", "offset 66")</f>
        <v>offset 66</v>
      </c>
    </row>
    <row r="10357" customFormat="false" ht="12.8" hidden="false" customHeight="false" outlineLevel="0" collapsed="false">
      <c r="A10357" s="0" t="s">
        <v>12</v>
      </c>
      <c r="B10357" s="0" t="n">
        <v>3259575</v>
      </c>
      <c r="C10357" s="0" t="n">
        <v>3259595</v>
      </c>
      <c r="D10357" s="0" t="s">
        <v>34388</v>
      </c>
      <c r="E10357" s="0" t="s">
        <v>75</v>
      </c>
      <c r="F10357" s="0" t="s">
        <v>90</v>
      </c>
      <c r="G10357" s="0" t="s">
        <v>16</v>
      </c>
      <c r="H10357" s="0" t="n">
        <v>103</v>
      </c>
      <c r="I10357" s="0" t="s">
        <v>34395</v>
      </c>
      <c r="J10357" s="0" t="s">
        <v>34396</v>
      </c>
      <c r="K10357" s="0" t="s">
        <v>34397</v>
      </c>
      <c r="L10357" s="0" t="str">
        <f aca="false">HYPERLINK("https://www.ncbi.nlm.nih.gov/nuccore/CP000058.1?report=graph&amp;tracks=[key:gene_model_track,Options:GeneOnly]&amp;mk=3259662:3259681|offset_17|444444,3259613:3259632|offset_66|444444,3259576:3259595|offset_103|00cc00,3259536:3259555|offset_143|444444&amp;v=3259461:3259755&amp;c=444444", "offset 103")</f>
        <v>offset 103</v>
      </c>
    </row>
    <row r="10358" customFormat="false" ht="12.8" hidden="false" customHeight="false" outlineLevel="0" collapsed="false">
      <c r="A10358" s="0" t="s">
        <v>12</v>
      </c>
      <c r="B10358" s="0" t="n">
        <v>3259535</v>
      </c>
      <c r="C10358" s="0" t="n">
        <v>3259555</v>
      </c>
      <c r="D10358" s="0" t="s">
        <v>34388</v>
      </c>
      <c r="E10358" s="0" t="s">
        <v>75</v>
      </c>
      <c r="F10358" s="0" t="s">
        <v>90</v>
      </c>
      <c r="G10358" s="0" t="s">
        <v>20</v>
      </c>
      <c r="H10358" s="0" t="n">
        <v>143</v>
      </c>
      <c r="I10358" s="0" t="s">
        <v>34398</v>
      </c>
      <c r="J10358" s="0" t="s">
        <v>34399</v>
      </c>
      <c r="K10358" s="0" t="s">
        <v>34400</v>
      </c>
      <c r="L10358" s="0" t="str">
        <f aca="false">HYPERLINK("https://www.ncbi.nlm.nih.gov/nuccore/CP000058.1?report=graph&amp;tracks=[key:gene_model_track,Options:GeneOnly]&amp;mk=3259662:3259681|offset_17|444444,3259613:3259632|offset_66|444444,3259576:3259595|offset_103|444444,3259536:3259555|offset_143|00cc00&amp;v=3259461:3259755&amp;c=444444", "offset 143")</f>
        <v>offset 143</v>
      </c>
    </row>
    <row r="10359" customFormat="false" ht="12.8" hidden="false" customHeight="false" outlineLevel="0" collapsed="false">
      <c r="A10359" s="0" t="s">
        <v>12</v>
      </c>
      <c r="B10359" s="0" t="n">
        <v>3263149</v>
      </c>
      <c r="C10359" s="0" t="n">
        <v>3263169</v>
      </c>
      <c r="D10359" s="0" t="s">
        <v>34401</v>
      </c>
      <c r="E10359" s="0" t="s">
        <v>75</v>
      </c>
      <c r="F10359" s="0" t="s">
        <v>15</v>
      </c>
      <c r="G10359" s="0" t="s">
        <v>16</v>
      </c>
      <c r="H10359" s="0" t="n">
        <v>22</v>
      </c>
      <c r="I10359" s="0" t="s">
        <v>34402</v>
      </c>
      <c r="J10359" s="0" t="s">
        <v>34403</v>
      </c>
      <c r="K10359" s="0" t="s">
        <v>34404</v>
      </c>
      <c r="L10359" s="0" t="str">
        <f aca="false">HYPERLINK("https://www.ncbi.nlm.nih.gov/nuccore/CP000058.1?report=graph&amp;tracks=[key:gene_model_track,Options:GeneOnly]&amp;mk=3263150:3263169|offset_22|00cc00,3263173:3263192|offset_45|444444,3263207:3263226|offset_79|444444,3263235:3263254|offset_107|444444&amp;v=3262949:3263454&amp;c=444444", "offset 22")</f>
        <v>offset 22</v>
      </c>
    </row>
    <row r="10360" customFormat="false" ht="12.8" hidden="false" customHeight="false" outlineLevel="0" collapsed="false">
      <c r="A10360" s="0" t="s">
        <v>12</v>
      </c>
      <c r="B10360" s="0" t="n">
        <v>3263172</v>
      </c>
      <c r="C10360" s="0" t="n">
        <v>3263192</v>
      </c>
      <c r="D10360" s="0" t="s">
        <v>34401</v>
      </c>
      <c r="E10360" s="0" t="s">
        <v>75</v>
      </c>
      <c r="F10360" s="0" t="s">
        <v>15</v>
      </c>
      <c r="G10360" s="0" t="s">
        <v>20</v>
      </c>
      <c r="H10360" s="0" t="n">
        <v>45</v>
      </c>
      <c r="I10360" s="0" t="s">
        <v>34405</v>
      </c>
      <c r="J10360" s="0" t="s">
        <v>34406</v>
      </c>
      <c r="K10360" s="0" t="s">
        <v>34407</v>
      </c>
      <c r="L10360" s="0" t="str">
        <f aca="false">HYPERLINK("https://www.ncbi.nlm.nih.gov/nuccore/CP000058.1?report=graph&amp;tracks=[key:gene_model_track,Options:GeneOnly]&amp;mk=3263150:3263169|offset_22|444444,3263173:3263192|offset_45|00cc00,3263207:3263226|offset_79|444444,3263235:3263254|offset_107|444444&amp;v=3262949:3263454&amp;c=444444", "offset 45")</f>
        <v>offset 45</v>
      </c>
    </row>
    <row r="10361" customFormat="false" ht="12.8" hidden="false" customHeight="false" outlineLevel="0" collapsed="false">
      <c r="A10361" s="0" t="s">
        <v>12</v>
      </c>
      <c r="B10361" s="0" t="n">
        <v>3263206</v>
      </c>
      <c r="C10361" s="0" t="n">
        <v>3263226</v>
      </c>
      <c r="D10361" s="0" t="s">
        <v>34401</v>
      </c>
      <c r="E10361" s="0" t="s">
        <v>75</v>
      </c>
      <c r="F10361" s="0" t="s">
        <v>15</v>
      </c>
      <c r="G10361" s="0" t="s">
        <v>32</v>
      </c>
      <c r="H10361" s="0" t="n">
        <v>79</v>
      </c>
      <c r="I10361" s="0" t="s">
        <v>34408</v>
      </c>
      <c r="J10361" s="0" t="s">
        <v>34409</v>
      </c>
      <c r="K10361" s="0" t="s">
        <v>34410</v>
      </c>
      <c r="L10361" s="0" t="str">
        <f aca="false">HYPERLINK("https://www.ncbi.nlm.nih.gov/nuccore/CP000058.1?report=graph&amp;tracks=[key:gene_model_track,Options:GeneOnly]&amp;mk=3263150:3263169|offset_22|444444,3263173:3263192|offset_45|444444,3263207:3263226|offset_79|00cc00,3263235:3263254|offset_107|444444&amp;v=3262949:3263454&amp;c=444444", "offset 79")</f>
        <v>offset 79</v>
      </c>
    </row>
    <row r="10362" customFormat="false" ht="12.8" hidden="false" customHeight="false" outlineLevel="0" collapsed="false">
      <c r="A10362" s="0" t="s">
        <v>12</v>
      </c>
      <c r="B10362" s="0" t="n">
        <v>3263234</v>
      </c>
      <c r="C10362" s="0" t="n">
        <v>3263254</v>
      </c>
      <c r="D10362" s="0" t="s">
        <v>34401</v>
      </c>
      <c r="E10362" s="0" t="s">
        <v>75</v>
      </c>
      <c r="F10362" s="0" t="s">
        <v>15</v>
      </c>
      <c r="G10362" s="0" t="s">
        <v>32</v>
      </c>
      <c r="H10362" s="0" t="n">
        <v>107</v>
      </c>
      <c r="I10362" s="0" t="s">
        <v>34411</v>
      </c>
      <c r="J10362" s="0" t="s">
        <v>34412</v>
      </c>
      <c r="K10362" s="0" t="s">
        <v>34413</v>
      </c>
      <c r="L10362" s="0" t="str">
        <f aca="false">HYPERLINK("https://www.ncbi.nlm.nih.gov/nuccore/CP000058.1?report=graph&amp;tracks=[key:gene_model_track,Options:GeneOnly]&amp;mk=3263150:3263169|offset_22|444444,3263173:3263192|offset_45|444444,3263207:3263226|offset_79|444444,3263235:3263254|offset_107|00cc00&amp;v=3262949:3263454&amp;c=444444", "offset 107")</f>
        <v>offset 107</v>
      </c>
    </row>
    <row r="10363" customFormat="false" ht="12.8" hidden="false" customHeight="false" outlineLevel="0" collapsed="false">
      <c r="A10363" s="0" t="s">
        <v>12</v>
      </c>
      <c r="B10363" s="0" t="n">
        <v>3264045</v>
      </c>
      <c r="C10363" s="0" t="n">
        <v>3264065</v>
      </c>
      <c r="D10363" s="0" t="s">
        <v>34414</v>
      </c>
      <c r="E10363" s="0" t="s">
        <v>75</v>
      </c>
      <c r="F10363" s="0" t="s">
        <v>90</v>
      </c>
      <c r="G10363" s="0" t="s">
        <v>32</v>
      </c>
      <c r="H10363" s="0" t="n">
        <v>29</v>
      </c>
      <c r="I10363" s="0" t="s">
        <v>34415</v>
      </c>
      <c r="J10363" s="0" t="s">
        <v>34416</v>
      </c>
      <c r="K10363" s="0" t="s">
        <v>34417</v>
      </c>
      <c r="L10363" s="0" t="str">
        <f aca="false">HYPERLINK("https://www.ncbi.nlm.nih.gov/nuccore/CP000058.1?report=graph&amp;tracks=[key:gene_model_track,Options:GeneOnly]&amp;mk=3264046:3264065|offset_29|00cc00,3263909:3263928|offset_166|444444,3263870:3263889|offset_205|444444,3263847:3263866|offset_228|444444&amp;v=3263845:3264066&amp;c=444444", "offset 29")</f>
        <v>offset 29</v>
      </c>
    </row>
    <row r="10364" customFormat="false" ht="12.8" hidden="false" customHeight="false" outlineLevel="0" collapsed="false">
      <c r="A10364" s="0" t="s">
        <v>12</v>
      </c>
      <c r="B10364" s="0" t="n">
        <v>3263908</v>
      </c>
      <c r="C10364" s="0" t="n">
        <v>3263928</v>
      </c>
      <c r="D10364" s="0" t="s">
        <v>34414</v>
      </c>
      <c r="E10364" s="0" t="s">
        <v>75</v>
      </c>
      <c r="F10364" s="0" t="s">
        <v>90</v>
      </c>
      <c r="G10364" s="0" t="s">
        <v>20</v>
      </c>
      <c r="H10364" s="0" t="n">
        <v>166</v>
      </c>
      <c r="I10364" s="0" t="s">
        <v>34418</v>
      </c>
      <c r="J10364" s="0" t="s">
        <v>34419</v>
      </c>
      <c r="K10364" s="0" t="s">
        <v>34420</v>
      </c>
      <c r="L10364" s="0" t="str">
        <f aca="false">HYPERLINK("https://www.ncbi.nlm.nih.gov/nuccore/CP000058.1?report=graph&amp;tracks=[key:gene_model_track,Options:GeneOnly]&amp;mk=3264046:3264065|offset_29|444444,3263909:3263928|offset_166|00cc00,3263870:3263889|offset_205|444444,3263847:3263866|offset_228|444444&amp;v=3263845:3264066&amp;c=444444", "offset 166")</f>
        <v>offset 166</v>
      </c>
    </row>
    <row r="10365" customFormat="false" ht="12.8" hidden="false" customHeight="false" outlineLevel="0" collapsed="false">
      <c r="A10365" s="0" t="s">
        <v>12</v>
      </c>
      <c r="B10365" s="0" t="n">
        <v>3263869</v>
      </c>
      <c r="C10365" s="0" t="n">
        <v>3263889</v>
      </c>
      <c r="D10365" s="0" t="s">
        <v>34414</v>
      </c>
      <c r="E10365" s="0" t="s">
        <v>75</v>
      </c>
      <c r="F10365" s="0" t="s">
        <v>90</v>
      </c>
      <c r="G10365" s="0" t="s">
        <v>32</v>
      </c>
      <c r="H10365" s="0" t="n">
        <v>205</v>
      </c>
      <c r="I10365" s="0" t="s">
        <v>34421</v>
      </c>
      <c r="J10365" s="0" t="s">
        <v>34422</v>
      </c>
      <c r="K10365" s="0" t="s">
        <v>34423</v>
      </c>
      <c r="L10365" s="0" t="str">
        <f aca="false">HYPERLINK("https://www.ncbi.nlm.nih.gov/nuccore/CP000058.1?report=graph&amp;tracks=[key:gene_model_track,Options:GeneOnly]&amp;mk=3264046:3264065|offset_29|444444,3263909:3263928|offset_166|444444,3263870:3263889|offset_205|00cc00,3263847:3263866|offset_228|444444&amp;v=3263845:3264066&amp;c=444444", "offset 205")</f>
        <v>offset 205</v>
      </c>
    </row>
    <row r="10366" customFormat="false" ht="12.8" hidden="false" customHeight="false" outlineLevel="0" collapsed="false">
      <c r="A10366" s="0" t="s">
        <v>12</v>
      </c>
      <c r="B10366" s="0" t="n">
        <v>3263846</v>
      </c>
      <c r="C10366" s="0" t="n">
        <v>3263866</v>
      </c>
      <c r="D10366" s="0" t="s">
        <v>34414</v>
      </c>
      <c r="E10366" s="0" t="s">
        <v>75</v>
      </c>
      <c r="F10366" s="0" t="s">
        <v>90</v>
      </c>
      <c r="G10366" s="0" t="s">
        <v>36</v>
      </c>
      <c r="H10366" s="0" t="n">
        <v>228</v>
      </c>
      <c r="I10366" s="0" t="s">
        <v>34424</v>
      </c>
      <c r="J10366" s="0" t="s">
        <v>34425</v>
      </c>
      <c r="K10366" s="0" t="s">
        <v>34426</v>
      </c>
      <c r="L10366" s="0" t="str">
        <f aca="false">HYPERLINK("https://www.ncbi.nlm.nih.gov/nuccore/CP000058.1?report=graph&amp;tracks=[key:gene_model_track,Options:GeneOnly]&amp;mk=3264046:3264065|offset_29|444444,3263909:3263928|offset_166|444444,3263870:3263889|offset_205|444444,3263847:3263866|offset_228|00cc00&amp;v=3263845:3264066&amp;c=444444", "offset 228")</f>
        <v>offset 228</v>
      </c>
    </row>
    <row r="10367" customFormat="false" ht="12.8" hidden="false" customHeight="false" outlineLevel="0" collapsed="false">
      <c r="A10367" s="0" t="s">
        <v>12</v>
      </c>
      <c r="B10367" s="0" t="n">
        <v>3265972</v>
      </c>
      <c r="C10367" s="0" t="n">
        <v>3265992</v>
      </c>
      <c r="D10367" s="0" t="s">
        <v>34427</v>
      </c>
      <c r="E10367" s="0" t="s">
        <v>75</v>
      </c>
      <c r="F10367" s="0" t="s">
        <v>90</v>
      </c>
      <c r="G10367" s="0" t="s">
        <v>20</v>
      </c>
      <c r="H10367" s="0" t="n">
        <v>20</v>
      </c>
      <c r="I10367" s="0" t="s">
        <v>34428</v>
      </c>
      <c r="J10367" s="0" t="s">
        <v>34429</v>
      </c>
      <c r="K10367" s="0" t="s">
        <v>34430</v>
      </c>
      <c r="L10367" s="0" t="str">
        <f aca="false">HYPERLINK("https://www.ncbi.nlm.nih.gov/nuccore/CP000058.1?report=graph&amp;tracks=[key:gene_model_track,Options:GeneOnly]&amp;mk=3265973:3265992|offset_20|00cc00,3265922:3265941|offset_71|444444,3265866:3265885|offset_127|444444,3265836:3265855|offset_157|444444&amp;v=3265772:3266055&amp;c=444444", "offset 20")</f>
        <v>offset 20</v>
      </c>
    </row>
    <row r="10368" customFormat="false" ht="12.8" hidden="false" customHeight="false" outlineLevel="0" collapsed="false">
      <c r="A10368" s="0" t="s">
        <v>12</v>
      </c>
      <c r="B10368" s="0" t="n">
        <v>3265921</v>
      </c>
      <c r="C10368" s="0" t="n">
        <v>3265941</v>
      </c>
      <c r="D10368" s="0" t="s">
        <v>34427</v>
      </c>
      <c r="E10368" s="0" t="s">
        <v>75</v>
      </c>
      <c r="F10368" s="0" t="s">
        <v>90</v>
      </c>
      <c r="G10368" s="0" t="s">
        <v>20</v>
      </c>
      <c r="H10368" s="0" t="n">
        <v>71</v>
      </c>
      <c r="I10368" s="0" t="s">
        <v>34431</v>
      </c>
      <c r="J10368" s="0" t="s">
        <v>34432</v>
      </c>
      <c r="K10368" s="0" t="s">
        <v>34433</v>
      </c>
      <c r="L10368" s="0" t="str">
        <f aca="false">HYPERLINK("https://www.ncbi.nlm.nih.gov/nuccore/CP000058.1?report=graph&amp;tracks=[key:gene_model_track,Options:GeneOnly]&amp;mk=3265973:3265992|offset_20|444444,3265922:3265941|offset_71|00cc00,3265866:3265885|offset_127|444444,3265836:3265855|offset_157|444444&amp;v=3265772:3266055&amp;c=444444", "offset 71")</f>
        <v>offset 71</v>
      </c>
    </row>
    <row r="10369" customFormat="false" ht="12.8" hidden="false" customHeight="false" outlineLevel="0" collapsed="false">
      <c r="A10369" s="0" t="s">
        <v>12</v>
      </c>
      <c r="B10369" s="0" t="n">
        <v>3265865</v>
      </c>
      <c r="C10369" s="0" t="n">
        <v>3265885</v>
      </c>
      <c r="D10369" s="0" t="s">
        <v>34427</v>
      </c>
      <c r="E10369" s="0" t="s">
        <v>75</v>
      </c>
      <c r="F10369" s="0" t="s">
        <v>90</v>
      </c>
      <c r="G10369" s="0" t="s">
        <v>16</v>
      </c>
      <c r="H10369" s="0" t="n">
        <v>127</v>
      </c>
      <c r="I10369" s="0" t="s">
        <v>34434</v>
      </c>
      <c r="J10369" s="0" t="s">
        <v>34435</v>
      </c>
      <c r="K10369" s="0" t="s">
        <v>34436</v>
      </c>
      <c r="L10369" s="0" t="str">
        <f aca="false">HYPERLINK("https://www.ncbi.nlm.nih.gov/nuccore/CP000058.1?report=graph&amp;tracks=[key:gene_model_track,Options:GeneOnly]&amp;mk=3265973:3265992|offset_20|444444,3265922:3265941|offset_71|444444,3265866:3265885|offset_127|00cc00,3265836:3265855|offset_157|444444&amp;v=3265772:3266055&amp;c=444444", "offset 127")</f>
        <v>offset 127</v>
      </c>
    </row>
    <row r="10370" customFormat="false" ht="12.8" hidden="false" customHeight="false" outlineLevel="0" collapsed="false">
      <c r="A10370" s="0" t="s">
        <v>12</v>
      </c>
      <c r="B10370" s="0" t="n">
        <v>3265835</v>
      </c>
      <c r="C10370" s="0" t="n">
        <v>3265855</v>
      </c>
      <c r="D10370" s="0" t="s">
        <v>34427</v>
      </c>
      <c r="E10370" s="0" t="s">
        <v>75</v>
      </c>
      <c r="F10370" s="0" t="s">
        <v>90</v>
      </c>
      <c r="G10370" s="0" t="s">
        <v>16</v>
      </c>
      <c r="H10370" s="0" t="n">
        <v>157</v>
      </c>
      <c r="I10370" s="0" t="s">
        <v>34437</v>
      </c>
      <c r="J10370" s="0" t="s">
        <v>34438</v>
      </c>
      <c r="K10370" s="0" t="s">
        <v>34439</v>
      </c>
      <c r="L10370" s="0" t="str">
        <f aca="false">HYPERLINK("https://www.ncbi.nlm.nih.gov/nuccore/CP000058.1?report=graph&amp;tracks=[key:gene_model_track,Options:GeneOnly]&amp;mk=3265973:3265992|offset_20|444444,3265922:3265941|offset_71|444444,3265866:3265885|offset_127|444444,3265836:3265855|offset_157|00cc00&amp;v=3265772:3266055&amp;c=444444", "offset 157")</f>
        <v>offset 157</v>
      </c>
    </row>
    <row r="10371" customFormat="false" ht="12.8" hidden="false" customHeight="false" outlineLevel="0" collapsed="false">
      <c r="A10371" s="0" t="s">
        <v>12</v>
      </c>
      <c r="B10371" s="0" t="n">
        <v>3266592</v>
      </c>
      <c r="C10371" s="0" t="n">
        <v>3266612</v>
      </c>
      <c r="D10371" s="0" t="s">
        <v>34440</v>
      </c>
      <c r="E10371" s="0" t="s">
        <v>75</v>
      </c>
      <c r="F10371" s="0" t="s">
        <v>90</v>
      </c>
      <c r="G10371" s="0" t="s">
        <v>16</v>
      </c>
      <c r="H10371" s="0" t="n">
        <v>11</v>
      </c>
      <c r="I10371" s="0" t="s">
        <v>34441</v>
      </c>
      <c r="J10371" s="0" t="s">
        <v>34442</v>
      </c>
      <c r="K10371" s="0" t="s">
        <v>34443</v>
      </c>
      <c r="L10371" s="0" t="str">
        <f aca="false">HYPERLINK("https://www.ncbi.nlm.nih.gov/nuccore/CP000058.1?report=graph&amp;tracks=[key:gene_model_track,Options:GeneOnly]&amp;mk=3266593:3266612|offset_11|00cc00,3266551:3266570|offset_53|444444,3266466:3266485|offset_138|444444,3266428:3266447|offset_176|444444&amp;v=3266392:3266647&amp;c=444444", "offset 11")</f>
        <v>offset 11</v>
      </c>
    </row>
    <row r="10372" customFormat="false" ht="12.8" hidden="false" customHeight="false" outlineLevel="0" collapsed="false">
      <c r="A10372" s="0" t="s">
        <v>12</v>
      </c>
      <c r="B10372" s="0" t="n">
        <v>3266550</v>
      </c>
      <c r="C10372" s="0" t="n">
        <v>3266570</v>
      </c>
      <c r="D10372" s="0" t="s">
        <v>34440</v>
      </c>
      <c r="E10372" s="0" t="s">
        <v>75</v>
      </c>
      <c r="F10372" s="0" t="s">
        <v>90</v>
      </c>
      <c r="G10372" s="0" t="s">
        <v>16</v>
      </c>
      <c r="H10372" s="0" t="n">
        <v>53</v>
      </c>
      <c r="I10372" s="0" t="s">
        <v>34444</v>
      </c>
      <c r="J10372" s="0" t="s">
        <v>34445</v>
      </c>
      <c r="K10372" s="0" t="s">
        <v>34446</v>
      </c>
      <c r="L10372" s="0" t="str">
        <f aca="false">HYPERLINK("https://www.ncbi.nlm.nih.gov/nuccore/CP000058.1?report=graph&amp;tracks=[key:gene_model_track,Options:GeneOnly]&amp;mk=3266593:3266612|offset_11|444444,3266551:3266570|offset_53|00cc00,3266466:3266485|offset_138|444444,3266428:3266447|offset_176|444444&amp;v=3266392:3266647&amp;c=444444", "offset 53")</f>
        <v>offset 53</v>
      </c>
    </row>
    <row r="10373" customFormat="false" ht="12.8" hidden="false" customHeight="false" outlineLevel="0" collapsed="false">
      <c r="A10373" s="0" t="s">
        <v>12</v>
      </c>
      <c r="B10373" s="0" t="n">
        <v>3266465</v>
      </c>
      <c r="C10373" s="0" t="n">
        <v>3266485</v>
      </c>
      <c r="D10373" s="0" t="s">
        <v>34440</v>
      </c>
      <c r="E10373" s="0" t="s">
        <v>75</v>
      </c>
      <c r="F10373" s="0" t="s">
        <v>90</v>
      </c>
      <c r="G10373" s="0" t="s">
        <v>20</v>
      </c>
      <c r="H10373" s="0" t="n">
        <v>138</v>
      </c>
      <c r="I10373" s="0" t="s">
        <v>34447</v>
      </c>
      <c r="J10373" s="0" t="s">
        <v>34448</v>
      </c>
      <c r="K10373" s="0" t="s">
        <v>34449</v>
      </c>
      <c r="L10373" s="0" t="str">
        <f aca="false">HYPERLINK("https://www.ncbi.nlm.nih.gov/nuccore/CP000058.1?report=graph&amp;tracks=[key:gene_model_track,Options:GeneOnly]&amp;mk=3266593:3266612|offset_11|444444,3266551:3266570|offset_53|444444,3266466:3266485|offset_138|00cc00,3266428:3266447|offset_176|444444&amp;v=3266392:3266647&amp;c=444444", "offset 138")</f>
        <v>offset 138</v>
      </c>
    </row>
    <row r="10374" customFormat="false" ht="12.8" hidden="false" customHeight="false" outlineLevel="0" collapsed="false">
      <c r="A10374" s="0" t="s">
        <v>12</v>
      </c>
      <c r="B10374" s="0" t="n">
        <v>3266427</v>
      </c>
      <c r="C10374" s="0" t="n">
        <v>3266447</v>
      </c>
      <c r="D10374" s="0" t="s">
        <v>34440</v>
      </c>
      <c r="E10374" s="0" t="s">
        <v>75</v>
      </c>
      <c r="F10374" s="0" t="s">
        <v>90</v>
      </c>
      <c r="G10374" s="0" t="s">
        <v>36</v>
      </c>
      <c r="H10374" s="0" t="n">
        <v>176</v>
      </c>
      <c r="I10374" s="0" t="s">
        <v>34450</v>
      </c>
      <c r="J10374" s="0" t="s">
        <v>34451</v>
      </c>
      <c r="K10374" s="0" t="s">
        <v>34452</v>
      </c>
      <c r="L10374" s="0" t="str">
        <f aca="false">HYPERLINK("https://www.ncbi.nlm.nih.gov/nuccore/CP000058.1?report=graph&amp;tracks=[key:gene_model_track,Options:GeneOnly]&amp;mk=3266593:3266612|offset_11|444444,3266551:3266570|offset_53|444444,3266466:3266485|offset_138|444444,3266428:3266447|offset_176|00cc00&amp;v=3266392:3266647&amp;c=444444", "offset 176")</f>
        <v>offset 176</v>
      </c>
    </row>
    <row r="10375" customFormat="false" ht="12.8" hidden="false" customHeight="false" outlineLevel="0" collapsed="false">
      <c r="A10375" s="0" t="s">
        <v>12</v>
      </c>
      <c r="B10375" s="0" t="n">
        <v>3268983</v>
      </c>
      <c r="C10375" s="0" t="n">
        <v>3269003</v>
      </c>
      <c r="D10375" s="0" t="s">
        <v>34453</v>
      </c>
      <c r="E10375" s="0" t="s">
        <v>75</v>
      </c>
      <c r="F10375" s="0" t="s">
        <v>15</v>
      </c>
      <c r="G10375" s="0" t="s">
        <v>32</v>
      </c>
      <c r="H10375" s="0" t="n">
        <v>16</v>
      </c>
      <c r="I10375" s="0" t="s">
        <v>34454</v>
      </c>
      <c r="J10375" s="0" t="s">
        <v>34455</v>
      </c>
      <c r="K10375" s="0" t="s">
        <v>34456</v>
      </c>
      <c r="L10375" s="0" t="str">
        <f aca="false">HYPERLINK("https://www.ncbi.nlm.nih.gov/nuccore/CP000058.1?report=graph&amp;tracks=[key:gene_model_track,Options:GeneOnly]&amp;mk=3268984:3269003|offset_16|00cc00,3269020:3269039|offset_52|444444,3269051:3269070|offset_83|444444,3269076:3269095|offset_108|444444&amp;v=3268783:3269295&amp;c=444444", "offset 16")</f>
        <v>offset 16</v>
      </c>
    </row>
    <row r="10376" customFormat="false" ht="12.8" hidden="false" customHeight="false" outlineLevel="0" collapsed="false">
      <c r="A10376" s="0" t="s">
        <v>12</v>
      </c>
      <c r="B10376" s="0" t="n">
        <v>3269019</v>
      </c>
      <c r="C10376" s="0" t="n">
        <v>3269039</v>
      </c>
      <c r="D10376" s="0" t="s">
        <v>34453</v>
      </c>
      <c r="E10376" s="0" t="s">
        <v>75</v>
      </c>
      <c r="F10376" s="0" t="s">
        <v>15</v>
      </c>
      <c r="G10376" s="0" t="s">
        <v>36</v>
      </c>
      <c r="H10376" s="0" t="n">
        <v>52</v>
      </c>
      <c r="I10376" s="0" t="s">
        <v>34457</v>
      </c>
      <c r="J10376" s="0" t="s">
        <v>34458</v>
      </c>
      <c r="K10376" s="0" t="s">
        <v>34459</v>
      </c>
      <c r="L10376" s="0" t="str">
        <f aca="false">HYPERLINK("https://www.ncbi.nlm.nih.gov/nuccore/CP000058.1?report=graph&amp;tracks=[key:gene_model_track,Options:GeneOnly]&amp;mk=3268984:3269003|offset_16|444444,3269020:3269039|offset_52|00cc00,3269051:3269070|offset_83|444444,3269076:3269095|offset_108|444444&amp;v=3268783:3269295&amp;c=444444", "offset 52")</f>
        <v>offset 52</v>
      </c>
    </row>
    <row r="10377" customFormat="false" ht="12.8" hidden="false" customHeight="false" outlineLevel="0" collapsed="false">
      <c r="A10377" s="0" t="s">
        <v>12</v>
      </c>
      <c r="B10377" s="0" t="n">
        <v>3269050</v>
      </c>
      <c r="C10377" s="0" t="n">
        <v>3269070</v>
      </c>
      <c r="D10377" s="0" t="s">
        <v>34453</v>
      </c>
      <c r="E10377" s="0" t="s">
        <v>75</v>
      </c>
      <c r="F10377" s="0" t="s">
        <v>15</v>
      </c>
      <c r="G10377" s="0" t="s">
        <v>20</v>
      </c>
      <c r="H10377" s="0" t="n">
        <v>83</v>
      </c>
      <c r="I10377" s="0" t="s">
        <v>34460</v>
      </c>
      <c r="J10377" s="0" t="s">
        <v>34461</v>
      </c>
      <c r="K10377" s="0" t="s">
        <v>34462</v>
      </c>
      <c r="L10377" s="0" t="str">
        <f aca="false">HYPERLINK("https://www.ncbi.nlm.nih.gov/nuccore/CP000058.1?report=graph&amp;tracks=[key:gene_model_track,Options:GeneOnly]&amp;mk=3268984:3269003|offset_16|444444,3269020:3269039|offset_52|444444,3269051:3269070|offset_83|00cc00,3269076:3269095|offset_108|444444&amp;v=3268783:3269295&amp;c=444444", "offset 83")</f>
        <v>offset 83</v>
      </c>
    </row>
    <row r="10378" customFormat="false" ht="12.8" hidden="false" customHeight="false" outlineLevel="0" collapsed="false">
      <c r="A10378" s="0" t="s">
        <v>12</v>
      </c>
      <c r="B10378" s="0" t="n">
        <v>3269075</v>
      </c>
      <c r="C10378" s="0" t="n">
        <v>3269095</v>
      </c>
      <c r="D10378" s="0" t="s">
        <v>34453</v>
      </c>
      <c r="E10378" s="0" t="s">
        <v>75</v>
      </c>
      <c r="F10378" s="0" t="s">
        <v>15</v>
      </c>
      <c r="G10378" s="0" t="s">
        <v>36</v>
      </c>
      <c r="H10378" s="0" t="n">
        <v>108</v>
      </c>
      <c r="I10378" s="0" t="s">
        <v>34463</v>
      </c>
      <c r="J10378" s="0" t="s">
        <v>34464</v>
      </c>
      <c r="K10378" s="0" t="s">
        <v>34465</v>
      </c>
      <c r="L10378" s="0" t="str">
        <f aca="false">HYPERLINK("https://www.ncbi.nlm.nih.gov/nuccore/CP000058.1?report=graph&amp;tracks=[key:gene_model_track,Options:GeneOnly]&amp;mk=3268984:3269003|offset_16|444444,3269020:3269039|offset_52|444444,3269051:3269070|offset_83|444444,3269076:3269095|offset_108|00cc00&amp;v=3268783:3269295&amp;c=444444", "offset 108")</f>
        <v>offset 108</v>
      </c>
    </row>
    <row r="10379" customFormat="false" ht="12.8" hidden="false" customHeight="false" outlineLevel="0" collapsed="false">
      <c r="A10379" s="0" t="s">
        <v>12</v>
      </c>
      <c r="B10379" s="0" t="n">
        <v>3269171</v>
      </c>
      <c r="C10379" s="0" t="n">
        <v>3269191</v>
      </c>
      <c r="D10379" s="0" t="s">
        <v>34466</v>
      </c>
      <c r="E10379" s="0" t="s">
        <v>75</v>
      </c>
      <c r="F10379" s="0" t="s">
        <v>15</v>
      </c>
      <c r="G10379" s="0" t="s">
        <v>32</v>
      </c>
      <c r="H10379" s="0" t="n">
        <v>1</v>
      </c>
      <c r="I10379" s="0" t="s">
        <v>34467</v>
      </c>
      <c r="J10379" s="0" t="s">
        <v>34468</v>
      </c>
      <c r="K10379" s="0" t="s">
        <v>34469</v>
      </c>
      <c r="L10379" s="0" t="str">
        <f aca="false">HYPERLINK("https://www.ncbi.nlm.nih.gov/nuccore/CP000058.1?report=graph&amp;tracks=[key:gene_model_track,Options:GeneOnly]&amp;mk=3269172:3269191|offset_1|00cc00,3269196:3269215|offset_25|444444,3269222:3269241|offset_51|444444,3269256:3269275|offset_85|444444&amp;v=3268971:3269475&amp;c=444444", "offset 1")</f>
        <v>offset 1</v>
      </c>
    </row>
    <row r="10380" customFormat="false" ht="12.8" hidden="false" customHeight="false" outlineLevel="0" collapsed="false">
      <c r="A10380" s="0" t="s">
        <v>12</v>
      </c>
      <c r="B10380" s="0" t="n">
        <v>3269195</v>
      </c>
      <c r="C10380" s="0" t="n">
        <v>3269215</v>
      </c>
      <c r="D10380" s="0" t="s">
        <v>34466</v>
      </c>
      <c r="E10380" s="0" t="s">
        <v>75</v>
      </c>
      <c r="F10380" s="0" t="s">
        <v>15</v>
      </c>
      <c r="G10380" s="0" t="s">
        <v>32</v>
      </c>
      <c r="H10380" s="0" t="n">
        <v>25</v>
      </c>
      <c r="I10380" s="0" t="s">
        <v>34470</v>
      </c>
      <c r="J10380" s="0" t="s">
        <v>34471</v>
      </c>
      <c r="K10380" s="0" t="s">
        <v>34472</v>
      </c>
      <c r="L10380" s="0" t="str">
        <f aca="false">HYPERLINK("https://www.ncbi.nlm.nih.gov/nuccore/CP000058.1?report=graph&amp;tracks=[key:gene_model_track,Options:GeneOnly]&amp;mk=3269172:3269191|offset_1|444444,3269196:3269215|offset_25|00cc00,3269222:3269241|offset_51|444444,3269256:3269275|offset_85|444444&amp;v=3268971:3269475&amp;c=444444", "offset 25")</f>
        <v>offset 25</v>
      </c>
    </row>
    <row r="10381" customFormat="false" ht="12.8" hidden="false" customHeight="false" outlineLevel="0" collapsed="false">
      <c r="A10381" s="0" t="s">
        <v>12</v>
      </c>
      <c r="B10381" s="0" t="n">
        <v>3269221</v>
      </c>
      <c r="C10381" s="0" t="n">
        <v>3269241</v>
      </c>
      <c r="D10381" s="0" t="s">
        <v>34466</v>
      </c>
      <c r="E10381" s="0" t="s">
        <v>75</v>
      </c>
      <c r="F10381" s="0" t="s">
        <v>15</v>
      </c>
      <c r="G10381" s="0" t="s">
        <v>36</v>
      </c>
      <c r="H10381" s="0" t="n">
        <v>51</v>
      </c>
      <c r="I10381" s="0" t="s">
        <v>34473</v>
      </c>
      <c r="J10381" s="0" t="s">
        <v>34474</v>
      </c>
      <c r="K10381" s="0" t="s">
        <v>34475</v>
      </c>
      <c r="L10381" s="0" t="str">
        <f aca="false">HYPERLINK("https://www.ncbi.nlm.nih.gov/nuccore/CP000058.1?report=graph&amp;tracks=[key:gene_model_track,Options:GeneOnly]&amp;mk=3269172:3269191|offset_1|444444,3269196:3269215|offset_25|444444,3269222:3269241|offset_51|00cc00,3269256:3269275|offset_85|444444&amp;v=3268971:3269475&amp;c=444444", "offset 51")</f>
        <v>offset 51</v>
      </c>
    </row>
    <row r="10382" customFormat="false" ht="12.8" hidden="false" customHeight="false" outlineLevel="0" collapsed="false">
      <c r="A10382" s="0" t="s">
        <v>12</v>
      </c>
      <c r="B10382" s="0" t="n">
        <v>3269255</v>
      </c>
      <c r="C10382" s="0" t="n">
        <v>3269275</v>
      </c>
      <c r="D10382" s="0" t="s">
        <v>34466</v>
      </c>
      <c r="E10382" s="0" t="s">
        <v>75</v>
      </c>
      <c r="F10382" s="0" t="s">
        <v>15</v>
      </c>
      <c r="G10382" s="0" t="s">
        <v>20</v>
      </c>
      <c r="H10382" s="0" t="n">
        <v>85</v>
      </c>
      <c r="I10382" s="0" t="s">
        <v>34476</v>
      </c>
      <c r="J10382" s="0" t="s">
        <v>34477</v>
      </c>
      <c r="K10382" s="0" t="s">
        <v>34478</v>
      </c>
      <c r="L10382" s="0" t="str">
        <f aca="false">HYPERLINK("https://www.ncbi.nlm.nih.gov/nuccore/CP000058.1?report=graph&amp;tracks=[key:gene_model_track,Options:GeneOnly]&amp;mk=3269172:3269191|offset_1|444444,3269196:3269215|offset_25|444444,3269222:3269241|offset_51|444444,3269256:3269275|offset_85|00cc00&amp;v=3268971:3269475&amp;c=444444", "offset 85")</f>
        <v>offset 85</v>
      </c>
    </row>
    <row r="10383" customFormat="false" ht="12.8" hidden="false" customHeight="false" outlineLevel="0" collapsed="false">
      <c r="A10383" s="0" t="s">
        <v>12</v>
      </c>
      <c r="B10383" s="0" t="n">
        <v>3271363</v>
      </c>
      <c r="C10383" s="0" t="n">
        <v>3271383</v>
      </c>
      <c r="D10383" s="0" t="s">
        <v>34479</v>
      </c>
      <c r="E10383" s="0" t="s">
        <v>75</v>
      </c>
      <c r="F10383" s="0" t="s">
        <v>90</v>
      </c>
      <c r="G10383" s="0" t="s">
        <v>32</v>
      </c>
      <c r="H10383" s="0" t="n">
        <v>1</v>
      </c>
      <c r="I10383" s="0" t="s">
        <v>34480</v>
      </c>
      <c r="J10383" s="0" t="s">
        <v>34481</v>
      </c>
      <c r="K10383" s="0" t="s">
        <v>34482</v>
      </c>
      <c r="L10383" s="0" t="str">
        <f aca="false">HYPERLINK("https://www.ncbi.nlm.nih.gov/nuccore/CP000058.1?report=graph&amp;tracks=[key:gene_model_track,Options:GeneOnly]&amp;mk=3271364:3271383|offset_1|00cc00,3271344:3271363|offset_21|444444,3271319:3271338|offset_46|444444,3271282:3271301|offset_83|444444&amp;v=3271163:3271501&amp;c=444444", "offset 1")</f>
        <v>offset 1</v>
      </c>
    </row>
    <row r="10384" customFormat="false" ht="12.8" hidden="false" customHeight="false" outlineLevel="0" collapsed="false">
      <c r="A10384" s="0" t="s">
        <v>12</v>
      </c>
      <c r="B10384" s="0" t="n">
        <v>3271343</v>
      </c>
      <c r="C10384" s="0" t="n">
        <v>3271363</v>
      </c>
      <c r="D10384" s="0" t="s">
        <v>34479</v>
      </c>
      <c r="E10384" s="0" t="s">
        <v>75</v>
      </c>
      <c r="F10384" s="0" t="s">
        <v>90</v>
      </c>
      <c r="G10384" s="0" t="s">
        <v>36</v>
      </c>
      <c r="H10384" s="0" t="n">
        <v>21</v>
      </c>
      <c r="I10384" s="0" t="s">
        <v>34483</v>
      </c>
      <c r="J10384" s="0" t="s">
        <v>34484</v>
      </c>
      <c r="K10384" s="0" t="s">
        <v>34485</v>
      </c>
      <c r="L10384" s="0" t="str">
        <f aca="false">HYPERLINK("https://www.ncbi.nlm.nih.gov/nuccore/CP000058.1?report=graph&amp;tracks=[key:gene_model_track,Options:GeneOnly]&amp;mk=3271364:3271383|offset_1|444444,3271344:3271363|offset_21|00cc00,3271319:3271338|offset_46|444444,3271282:3271301|offset_83|444444&amp;v=3271163:3271501&amp;c=444444", "offset 21")</f>
        <v>offset 21</v>
      </c>
    </row>
    <row r="10385" customFormat="false" ht="12.8" hidden="false" customHeight="false" outlineLevel="0" collapsed="false">
      <c r="A10385" s="0" t="s">
        <v>12</v>
      </c>
      <c r="B10385" s="0" t="n">
        <v>3271318</v>
      </c>
      <c r="C10385" s="0" t="n">
        <v>3271338</v>
      </c>
      <c r="D10385" s="0" t="s">
        <v>34479</v>
      </c>
      <c r="E10385" s="0" t="s">
        <v>75</v>
      </c>
      <c r="F10385" s="0" t="s">
        <v>90</v>
      </c>
      <c r="G10385" s="0" t="s">
        <v>36</v>
      </c>
      <c r="H10385" s="0" t="n">
        <v>46</v>
      </c>
      <c r="I10385" s="0" t="s">
        <v>34486</v>
      </c>
      <c r="J10385" s="0" t="s">
        <v>34487</v>
      </c>
      <c r="K10385" s="0" t="s">
        <v>34488</v>
      </c>
      <c r="L10385" s="0" t="str">
        <f aca="false">HYPERLINK("https://www.ncbi.nlm.nih.gov/nuccore/CP000058.1?report=graph&amp;tracks=[key:gene_model_track,Options:GeneOnly]&amp;mk=3271364:3271383|offset_1|444444,3271344:3271363|offset_21|444444,3271319:3271338|offset_46|00cc00,3271282:3271301|offset_83|444444&amp;v=3271163:3271501&amp;c=444444", "offset 46")</f>
        <v>offset 46</v>
      </c>
    </row>
    <row r="10386" customFormat="false" ht="12.8" hidden="false" customHeight="false" outlineLevel="0" collapsed="false">
      <c r="A10386" s="0" t="s">
        <v>12</v>
      </c>
      <c r="B10386" s="0" t="n">
        <v>3271281</v>
      </c>
      <c r="C10386" s="0" t="n">
        <v>3271301</v>
      </c>
      <c r="D10386" s="0" t="s">
        <v>34479</v>
      </c>
      <c r="E10386" s="0" t="s">
        <v>75</v>
      </c>
      <c r="F10386" s="0" t="s">
        <v>90</v>
      </c>
      <c r="G10386" s="0" t="s">
        <v>20</v>
      </c>
      <c r="H10386" s="0" t="n">
        <v>83</v>
      </c>
      <c r="I10386" s="0" t="s">
        <v>34489</v>
      </c>
      <c r="J10386" s="0" t="s">
        <v>34490</v>
      </c>
      <c r="K10386" s="0" t="s">
        <v>34491</v>
      </c>
      <c r="L10386" s="0" t="str">
        <f aca="false">HYPERLINK("https://www.ncbi.nlm.nih.gov/nuccore/CP000058.1?report=graph&amp;tracks=[key:gene_model_track,Options:GeneOnly]&amp;mk=3271364:3271383|offset_1|444444,3271344:3271363|offset_21|444444,3271319:3271338|offset_46|444444,3271282:3271301|offset_83|00cc00&amp;v=3271163:3271501&amp;c=444444", "offset 83")</f>
        <v>offset 83</v>
      </c>
    </row>
    <row r="10387" customFormat="false" ht="12.8" hidden="false" customHeight="false" outlineLevel="0" collapsed="false">
      <c r="A10387" s="0" t="s">
        <v>12</v>
      </c>
      <c r="B10387" s="0" t="n">
        <v>3272036</v>
      </c>
      <c r="C10387" s="0" t="n">
        <v>3272056</v>
      </c>
      <c r="D10387" s="0" t="s">
        <v>34492</v>
      </c>
      <c r="E10387" s="0" t="s">
        <v>75</v>
      </c>
      <c r="F10387" s="0" t="s">
        <v>15</v>
      </c>
      <c r="G10387" s="0" t="s">
        <v>36</v>
      </c>
      <c r="H10387" s="0" t="n">
        <v>0</v>
      </c>
      <c r="I10387" s="0" t="s">
        <v>34493</v>
      </c>
      <c r="J10387" s="0" t="s">
        <v>34494</v>
      </c>
      <c r="K10387" s="0" t="s">
        <v>34495</v>
      </c>
      <c r="L10387" s="0" t="str">
        <f aca="false">HYPERLINK("https://www.ncbi.nlm.nih.gov/nuccore/CP000058.1?report=graph&amp;tracks=[key:gene_model_track,Options:GeneOnly]&amp;mk=3272037:3272056|offset_0|00cc00,3272069:3272088|offset_32|444444,3272092:3272111|offset_55|444444,3272113:3272132|offset_76|444444&amp;v=3271836:3272332&amp;c=444444", "offset 0")</f>
        <v>offset 0</v>
      </c>
    </row>
    <row r="10388" customFormat="false" ht="12.8" hidden="false" customHeight="false" outlineLevel="0" collapsed="false">
      <c r="A10388" s="0" t="s">
        <v>12</v>
      </c>
      <c r="B10388" s="0" t="n">
        <v>3272068</v>
      </c>
      <c r="C10388" s="0" t="n">
        <v>3272088</v>
      </c>
      <c r="D10388" s="0" t="s">
        <v>34492</v>
      </c>
      <c r="E10388" s="0" t="s">
        <v>75</v>
      </c>
      <c r="F10388" s="0" t="s">
        <v>15</v>
      </c>
      <c r="G10388" s="0" t="s">
        <v>32</v>
      </c>
      <c r="H10388" s="0" t="n">
        <v>32</v>
      </c>
      <c r="I10388" s="0" t="s">
        <v>34496</v>
      </c>
      <c r="J10388" s="0" t="s">
        <v>34497</v>
      </c>
      <c r="K10388" s="0" t="s">
        <v>34498</v>
      </c>
      <c r="L10388" s="0" t="str">
        <f aca="false">HYPERLINK("https://www.ncbi.nlm.nih.gov/nuccore/CP000058.1?report=graph&amp;tracks=[key:gene_model_track,Options:GeneOnly]&amp;mk=3272037:3272056|offset_0|444444,3272069:3272088|offset_32|00cc00,3272092:3272111|offset_55|444444,3272113:3272132|offset_76|444444&amp;v=3271836:3272332&amp;c=444444", "offset 32")</f>
        <v>offset 32</v>
      </c>
    </row>
    <row r="10389" customFormat="false" ht="12.8" hidden="false" customHeight="false" outlineLevel="0" collapsed="false">
      <c r="A10389" s="0" t="s">
        <v>12</v>
      </c>
      <c r="B10389" s="0" t="n">
        <v>3272091</v>
      </c>
      <c r="C10389" s="0" t="n">
        <v>3272111</v>
      </c>
      <c r="D10389" s="0" t="s">
        <v>34492</v>
      </c>
      <c r="E10389" s="0" t="s">
        <v>75</v>
      </c>
      <c r="F10389" s="0" t="s">
        <v>15</v>
      </c>
      <c r="G10389" s="0" t="s">
        <v>16</v>
      </c>
      <c r="H10389" s="0" t="n">
        <v>55</v>
      </c>
      <c r="I10389" s="0" t="s">
        <v>34499</v>
      </c>
      <c r="J10389" s="0" t="s">
        <v>34500</v>
      </c>
      <c r="K10389" s="0" t="s">
        <v>34501</v>
      </c>
      <c r="L10389" s="0" t="str">
        <f aca="false">HYPERLINK("https://www.ncbi.nlm.nih.gov/nuccore/CP000058.1?report=graph&amp;tracks=[key:gene_model_track,Options:GeneOnly]&amp;mk=3272037:3272056|offset_0|444444,3272069:3272088|offset_32|444444,3272092:3272111|offset_55|00cc00,3272113:3272132|offset_76|444444&amp;v=3271836:3272332&amp;c=444444", "offset 55")</f>
        <v>offset 55</v>
      </c>
    </row>
    <row r="10390" customFormat="false" ht="12.8" hidden="false" customHeight="false" outlineLevel="0" collapsed="false">
      <c r="A10390" s="0" t="s">
        <v>12</v>
      </c>
      <c r="B10390" s="0" t="n">
        <v>3272112</v>
      </c>
      <c r="C10390" s="0" t="n">
        <v>3272132</v>
      </c>
      <c r="D10390" s="0" t="s">
        <v>34492</v>
      </c>
      <c r="E10390" s="0" t="s">
        <v>75</v>
      </c>
      <c r="F10390" s="0" t="s">
        <v>15</v>
      </c>
      <c r="G10390" s="0" t="s">
        <v>16</v>
      </c>
      <c r="H10390" s="0" t="n">
        <v>76</v>
      </c>
      <c r="I10390" s="0" t="s">
        <v>34502</v>
      </c>
      <c r="J10390" s="0" t="s">
        <v>34503</v>
      </c>
      <c r="K10390" s="0" t="s">
        <v>34504</v>
      </c>
      <c r="L10390" s="0" t="str">
        <f aca="false">HYPERLINK("https://www.ncbi.nlm.nih.gov/nuccore/CP000058.1?report=graph&amp;tracks=[key:gene_model_track,Options:GeneOnly]&amp;mk=3272037:3272056|offset_0|444444,3272069:3272088|offset_32|444444,3272092:3272111|offset_55|444444,3272113:3272132|offset_76|00cc00&amp;v=3271836:3272332&amp;c=444444", "offset 76")</f>
        <v>offset 76</v>
      </c>
    </row>
    <row r="10391" customFormat="false" ht="12.8" hidden="false" customHeight="false" outlineLevel="0" collapsed="false">
      <c r="A10391" s="0" t="s">
        <v>12</v>
      </c>
      <c r="B10391" s="0" t="n">
        <v>3272464</v>
      </c>
      <c r="C10391" s="0" t="n">
        <v>3272484</v>
      </c>
      <c r="D10391" s="0" t="s">
        <v>34505</v>
      </c>
      <c r="E10391" s="0" t="s">
        <v>75</v>
      </c>
      <c r="F10391" s="0" t="s">
        <v>15</v>
      </c>
      <c r="G10391" s="0" t="s">
        <v>20</v>
      </c>
      <c r="H10391" s="0" t="n">
        <v>74</v>
      </c>
      <c r="I10391" s="0" t="s">
        <v>34506</v>
      </c>
      <c r="J10391" s="0" t="s">
        <v>34507</v>
      </c>
      <c r="K10391" s="0" t="s">
        <v>34508</v>
      </c>
      <c r="L10391" s="0" t="str">
        <f aca="false">HYPERLINK("https://www.ncbi.nlm.nih.gov/nuccore/CP000058.1?report=graph&amp;tracks=[key:gene_model_track,Options:GeneOnly]&amp;mk=3272465:3272484|offset_74|00cc00,3272498:3272517|offset_107|444444,3272545:3272564|offset_154|444444,3272590:3272609|offset_199|444444&amp;v=3272264:3272809&amp;c=444444", "offset 74")</f>
        <v>offset 74</v>
      </c>
    </row>
    <row r="10392" customFormat="false" ht="12.8" hidden="false" customHeight="false" outlineLevel="0" collapsed="false">
      <c r="A10392" s="0" t="s">
        <v>12</v>
      </c>
      <c r="B10392" s="0" t="n">
        <v>3272497</v>
      </c>
      <c r="C10392" s="0" t="n">
        <v>3272517</v>
      </c>
      <c r="D10392" s="0" t="s">
        <v>34505</v>
      </c>
      <c r="E10392" s="0" t="s">
        <v>75</v>
      </c>
      <c r="F10392" s="0" t="s">
        <v>15</v>
      </c>
      <c r="G10392" s="0" t="s">
        <v>20</v>
      </c>
      <c r="H10392" s="0" t="n">
        <v>107</v>
      </c>
      <c r="I10392" s="0" t="s">
        <v>34509</v>
      </c>
      <c r="J10392" s="0" t="s">
        <v>34510</v>
      </c>
      <c r="K10392" s="0" t="s">
        <v>34511</v>
      </c>
      <c r="L10392" s="0" t="str">
        <f aca="false">HYPERLINK("https://www.ncbi.nlm.nih.gov/nuccore/CP000058.1?report=graph&amp;tracks=[key:gene_model_track,Options:GeneOnly]&amp;mk=3272465:3272484|offset_74|444444,3272498:3272517|offset_107|00cc00,3272545:3272564|offset_154|444444,3272590:3272609|offset_199|444444&amp;v=3272264:3272809&amp;c=444444", "offset 107")</f>
        <v>offset 107</v>
      </c>
    </row>
    <row r="10393" customFormat="false" ht="12.8" hidden="false" customHeight="false" outlineLevel="0" collapsed="false">
      <c r="A10393" s="0" t="s">
        <v>12</v>
      </c>
      <c r="B10393" s="0" t="n">
        <v>3272544</v>
      </c>
      <c r="C10393" s="0" t="n">
        <v>3272564</v>
      </c>
      <c r="D10393" s="0" t="s">
        <v>34505</v>
      </c>
      <c r="E10393" s="0" t="s">
        <v>75</v>
      </c>
      <c r="F10393" s="0" t="s">
        <v>15</v>
      </c>
      <c r="G10393" s="0" t="s">
        <v>32</v>
      </c>
      <c r="H10393" s="0" t="n">
        <v>154</v>
      </c>
      <c r="I10393" s="0" t="s">
        <v>34512</v>
      </c>
      <c r="J10393" s="0" t="s">
        <v>34513</v>
      </c>
      <c r="K10393" s="0" t="s">
        <v>34514</v>
      </c>
      <c r="L10393" s="0" t="str">
        <f aca="false">HYPERLINK("https://www.ncbi.nlm.nih.gov/nuccore/CP000058.1?report=graph&amp;tracks=[key:gene_model_track,Options:GeneOnly]&amp;mk=3272465:3272484|offset_74|444444,3272498:3272517|offset_107|444444,3272545:3272564|offset_154|00cc00,3272590:3272609|offset_199|444444&amp;v=3272264:3272809&amp;c=444444", "offset 154")</f>
        <v>offset 154</v>
      </c>
    </row>
    <row r="10394" customFormat="false" ht="12.8" hidden="false" customHeight="false" outlineLevel="0" collapsed="false">
      <c r="A10394" s="0" t="s">
        <v>12</v>
      </c>
      <c r="B10394" s="0" t="n">
        <v>3272589</v>
      </c>
      <c r="C10394" s="0" t="n">
        <v>3272609</v>
      </c>
      <c r="D10394" s="0" t="s">
        <v>34505</v>
      </c>
      <c r="E10394" s="0" t="s">
        <v>75</v>
      </c>
      <c r="F10394" s="0" t="s">
        <v>15</v>
      </c>
      <c r="G10394" s="0" t="s">
        <v>20</v>
      </c>
      <c r="H10394" s="0" t="n">
        <v>199</v>
      </c>
      <c r="I10394" s="0" t="s">
        <v>34515</v>
      </c>
      <c r="J10394" s="0" t="s">
        <v>34516</v>
      </c>
      <c r="K10394" s="0" t="s">
        <v>34517</v>
      </c>
      <c r="L10394" s="0" t="str">
        <f aca="false">HYPERLINK("https://www.ncbi.nlm.nih.gov/nuccore/CP000058.1?report=graph&amp;tracks=[key:gene_model_track,Options:GeneOnly]&amp;mk=3272465:3272484|offset_74|444444,3272498:3272517|offset_107|444444,3272545:3272564|offset_154|444444,3272590:3272609|offset_199|00cc00&amp;v=3272264:3272809&amp;c=444444", "offset 199")</f>
        <v>offset 199</v>
      </c>
    </row>
    <row r="10395" customFormat="false" ht="12.8" hidden="false" customHeight="false" outlineLevel="0" collapsed="false">
      <c r="A10395" s="0" t="s">
        <v>12</v>
      </c>
      <c r="B10395" s="0" t="n">
        <v>3272981</v>
      </c>
      <c r="C10395" s="0" t="n">
        <v>3273001</v>
      </c>
      <c r="D10395" s="0" t="s">
        <v>34518</v>
      </c>
      <c r="E10395" s="0" t="s">
        <v>75</v>
      </c>
      <c r="F10395" s="0" t="s">
        <v>15</v>
      </c>
      <c r="G10395" s="0" t="s">
        <v>20</v>
      </c>
      <c r="H10395" s="0" t="n">
        <v>41</v>
      </c>
      <c r="I10395" s="0" t="s">
        <v>34519</v>
      </c>
      <c r="J10395" s="0" t="s">
        <v>34520</v>
      </c>
      <c r="K10395" s="0" t="s">
        <v>34521</v>
      </c>
      <c r="L10395" s="0" t="str">
        <f aca="false">HYPERLINK("https://www.ncbi.nlm.nih.gov/nuccore/CP000058.1?report=graph&amp;tracks=[key:gene_model_track,Options:GeneOnly]&amp;mk=3272982:3273001|offset_41|00cc00,3273038:3273057|offset_97|444444,3273090:3273109|offset_149|444444,3273125:3273144|offset_184|444444&amp;v=3272781:3273344&amp;c=444444", "offset 41")</f>
        <v>offset 41</v>
      </c>
    </row>
    <row r="10396" customFormat="false" ht="12.8" hidden="false" customHeight="false" outlineLevel="0" collapsed="false">
      <c r="A10396" s="0" t="s">
        <v>12</v>
      </c>
      <c r="B10396" s="0" t="n">
        <v>3273037</v>
      </c>
      <c r="C10396" s="0" t="n">
        <v>3273057</v>
      </c>
      <c r="D10396" s="0" t="s">
        <v>34518</v>
      </c>
      <c r="E10396" s="0" t="s">
        <v>75</v>
      </c>
      <c r="F10396" s="0" t="s">
        <v>15</v>
      </c>
      <c r="G10396" s="0" t="s">
        <v>20</v>
      </c>
      <c r="H10396" s="0" t="n">
        <v>97</v>
      </c>
      <c r="I10396" s="0" t="s">
        <v>34522</v>
      </c>
      <c r="J10396" s="0" t="s">
        <v>34523</v>
      </c>
      <c r="K10396" s="0" t="s">
        <v>34524</v>
      </c>
      <c r="L10396" s="0" t="str">
        <f aca="false">HYPERLINK("https://www.ncbi.nlm.nih.gov/nuccore/CP000058.1?report=graph&amp;tracks=[key:gene_model_track,Options:GeneOnly]&amp;mk=3272982:3273001|offset_41|444444,3273038:3273057|offset_97|00cc00,3273090:3273109|offset_149|444444,3273125:3273144|offset_184|444444&amp;v=3272781:3273344&amp;c=444444", "offset 97")</f>
        <v>offset 97</v>
      </c>
    </row>
    <row r="10397" customFormat="false" ht="12.8" hidden="false" customHeight="false" outlineLevel="0" collapsed="false">
      <c r="A10397" s="0" t="s">
        <v>12</v>
      </c>
      <c r="B10397" s="0" t="n">
        <v>3273089</v>
      </c>
      <c r="C10397" s="0" t="n">
        <v>3273109</v>
      </c>
      <c r="D10397" s="0" t="s">
        <v>34518</v>
      </c>
      <c r="E10397" s="0" t="s">
        <v>75</v>
      </c>
      <c r="F10397" s="0" t="s">
        <v>15</v>
      </c>
      <c r="G10397" s="0" t="s">
        <v>20</v>
      </c>
      <c r="H10397" s="0" t="n">
        <v>149</v>
      </c>
      <c r="I10397" s="0" t="s">
        <v>34525</v>
      </c>
      <c r="J10397" s="0" t="s">
        <v>34526</v>
      </c>
      <c r="K10397" s="0" t="s">
        <v>34527</v>
      </c>
      <c r="L10397" s="0" t="str">
        <f aca="false">HYPERLINK("https://www.ncbi.nlm.nih.gov/nuccore/CP000058.1?report=graph&amp;tracks=[key:gene_model_track,Options:GeneOnly]&amp;mk=3272982:3273001|offset_41|444444,3273038:3273057|offset_97|444444,3273090:3273109|offset_149|00cc00,3273125:3273144|offset_184|444444&amp;v=3272781:3273344&amp;c=444444", "offset 149")</f>
        <v>offset 149</v>
      </c>
    </row>
    <row r="10398" customFormat="false" ht="12.8" hidden="false" customHeight="false" outlineLevel="0" collapsed="false">
      <c r="A10398" s="0" t="s">
        <v>12</v>
      </c>
      <c r="B10398" s="0" t="n">
        <v>3273124</v>
      </c>
      <c r="C10398" s="0" t="n">
        <v>3273144</v>
      </c>
      <c r="D10398" s="0" t="s">
        <v>34518</v>
      </c>
      <c r="E10398" s="0" t="s">
        <v>75</v>
      </c>
      <c r="F10398" s="0" t="s">
        <v>15</v>
      </c>
      <c r="G10398" s="0" t="s">
        <v>16</v>
      </c>
      <c r="H10398" s="0" t="n">
        <v>184</v>
      </c>
      <c r="I10398" s="0" t="s">
        <v>34528</v>
      </c>
      <c r="J10398" s="0" t="s">
        <v>34529</v>
      </c>
      <c r="K10398" s="0" t="s">
        <v>34530</v>
      </c>
      <c r="L10398" s="0" t="str">
        <f aca="false">HYPERLINK("https://www.ncbi.nlm.nih.gov/nuccore/CP000058.1?report=graph&amp;tracks=[key:gene_model_track,Options:GeneOnly]&amp;mk=3272982:3273001|offset_41|444444,3273038:3273057|offset_97|444444,3273090:3273109|offset_149|444444,3273125:3273144|offset_184|00cc00&amp;v=3272781:3273344&amp;c=444444", "offset 184")</f>
        <v>offset 184</v>
      </c>
    </row>
    <row r="10399" customFormat="false" ht="12.8" hidden="false" customHeight="false" outlineLevel="0" collapsed="false">
      <c r="A10399" s="0" t="s">
        <v>12</v>
      </c>
      <c r="B10399" s="0" t="n">
        <v>3273228</v>
      </c>
      <c r="C10399" s="0" t="n">
        <v>3273248</v>
      </c>
      <c r="D10399" s="0" t="s">
        <v>34531</v>
      </c>
      <c r="E10399" s="0" t="s">
        <v>75</v>
      </c>
      <c r="F10399" s="0" t="s">
        <v>15</v>
      </c>
      <c r="G10399" s="0" t="s">
        <v>32</v>
      </c>
      <c r="H10399" s="0" t="n">
        <v>9</v>
      </c>
      <c r="I10399" s="0" t="s">
        <v>34532</v>
      </c>
      <c r="J10399" s="0" t="s">
        <v>34533</v>
      </c>
      <c r="K10399" s="0" t="s">
        <v>34534</v>
      </c>
      <c r="L10399" s="0" t="str">
        <f aca="false">HYPERLINK("https://www.ncbi.nlm.nih.gov/nuccore/CP000058.1?report=graph&amp;tracks=[key:gene_model_track,Options:GeneOnly]&amp;mk=3273229:3273248|offset_9|00cc00,3273251:3273270|offset_31|444444,3273288:3273307|offset_68|444444,3273315:3273334|offset_95|444444&amp;v=3273028:3273534&amp;c=444444", "offset 9")</f>
        <v>offset 9</v>
      </c>
    </row>
    <row r="10400" customFormat="false" ht="12.8" hidden="false" customHeight="false" outlineLevel="0" collapsed="false">
      <c r="A10400" s="0" t="s">
        <v>12</v>
      </c>
      <c r="B10400" s="0" t="n">
        <v>3273250</v>
      </c>
      <c r="C10400" s="0" t="n">
        <v>3273270</v>
      </c>
      <c r="D10400" s="0" t="s">
        <v>34531</v>
      </c>
      <c r="E10400" s="0" t="s">
        <v>75</v>
      </c>
      <c r="F10400" s="0" t="s">
        <v>15</v>
      </c>
      <c r="G10400" s="0" t="s">
        <v>32</v>
      </c>
      <c r="H10400" s="0" t="n">
        <v>31</v>
      </c>
      <c r="I10400" s="0" t="s">
        <v>34535</v>
      </c>
      <c r="J10400" s="0" t="s">
        <v>34536</v>
      </c>
      <c r="K10400" s="0" t="s">
        <v>34537</v>
      </c>
      <c r="L10400" s="0" t="str">
        <f aca="false">HYPERLINK("https://www.ncbi.nlm.nih.gov/nuccore/CP000058.1?report=graph&amp;tracks=[key:gene_model_track,Options:GeneOnly]&amp;mk=3273229:3273248|offset_9|444444,3273251:3273270|offset_31|00cc00,3273288:3273307|offset_68|444444,3273315:3273334|offset_95|444444&amp;v=3273028:3273534&amp;c=444444", "offset 31")</f>
        <v>offset 31</v>
      </c>
    </row>
    <row r="10401" customFormat="false" ht="12.8" hidden="false" customHeight="false" outlineLevel="0" collapsed="false">
      <c r="A10401" s="0" t="s">
        <v>12</v>
      </c>
      <c r="B10401" s="0" t="n">
        <v>3273287</v>
      </c>
      <c r="C10401" s="0" t="n">
        <v>3273307</v>
      </c>
      <c r="D10401" s="0" t="s">
        <v>34531</v>
      </c>
      <c r="E10401" s="0" t="s">
        <v>75</v>
      </c>
      <c r="F10401" s="0" t="s">
        <v>15</v>
      </c>
      <c r="G10401" s="0" t="s">
        <v>16</v>
      </c>
      <c r="H10401" s="0" t="n">
        <v>68</v>
      </c>
      <c r="I10401" s="0" t="s">
        <v>34538</v>
      </c>
      <c r="J10401" s="0" t="s">
        <v>34539</v>
      </c>
      <c r="K10401" s="0" t="s">
        <v>34540</v>
      </c>
      <c r="L10401" s="0" t="str">
        <f aca="false">HYPERLINK("https://www.ncbi.nlm.nih.gov/nuccore/CP000058.1?report=graph&amp;tracks=[key:gene_model_track,Options:GeneOnly]&amp;mk=3273229:3273248|offset_9|444444,3273251:3273270|offset_31|444444,3273288:3273307|offset_68|00cc00,3273315:3273334|offset_95|444444&amp;v=3273028:3273534&amp;c=444444", "offset 68")</f>
        <v>offset 68</v>
      </c>
    </row>
    <row r="10402" customFormat="false" ht="12.8" hidden="false" customHeight="false" outlineLevel="0" collapsed="false">
      <c r="A10402" s="0" t="s">
        <v>12</v>
      </c>
      <c r="B10402" s="0" t="n">
        <v>3273314</v>
      </c>
      <c r="C10402" s="0" t="n">
        <v>3273334</v>
      </c>
      <c r="D10402" s="0" t="s">
        <v>34531</v>
      </c>
      <c r="E10402" s="0" t="s">
        <v>75</v>
      </c>
      <c r="F10402" s="0" t="s">
        <v>15</v>
      </c>
      <c r="G10402" s="0" t="s">
        <v>20</v>
      </c>
      <c r="H10402" s="0" t="n">
        <v>95</v>
      </c>
      <c r="I10402" s="0" t="s">
        <v>34541</v>
      </c>
      <c r="J10402" s="0" t="s">
        <v>34542</v>
      </c>
      <c r="K10402" s="0" t="s">
        <v>34543</v>
      </c>
      <c r="L10402" s="0" t="str">
        <f aca="false">HYPERLINK("https://www.ncbi.nlm.nih.gov/nuccore/CP000058.1?report=graph&amp;tracks=[key:gene_model_track,Options:GeneOnly]&amp;mk=3273229:3273248|offset_9|444444,3273251:3273270|offset_31|444444,3273288:3273307|offset_68|444444,3273315:3273334|offset_95|00cc00&amp;v=3273028:3273534&amp;c=444444", "offset 95")</f>
        <v>offset 95</v>
      </c>
    </row>
    <row r="10403" customFormat="false" ht="12.8" hidden="false" customHeight="false" outlineLevel="0" collapsed="false">
      <c r="A10403" s="0" t="s">
        <v>12</v>
      </c>
      <c r="B10403" s="0" t="n">
        <v>3273996</v>
      </c>
      <c r="C10403" s="0" t="n">
        <v>3274016</v>
      </c>
      <c r="D10403" s="0" t="s">
        <v>34544</v>
      </c>
      <c r="E10403" s="0" t="s">
        <v>75</v>
      </c>
      <c r="F10403" s="0" t="s">
        <v>15</v>
      </c>
      <c r="G10403" s="0" t="s">
        <v>36</v>
      </c>
      <c r="H10403" s="0" t="n">
        <v>7</v>
      </c>
      <c r="I10403" s="0" t="s">
        <v>34545</v>
      </c>
      <c r="J10403" s="0" t="s">
        <v>34546</v>
      </c>
      <c r="K10403" s="0" t="s">
        <v>34547</v>
      </c>
      <c r="L10403" s="0" t="str">
        <f aca="false">HYPERLINK("https://www.ncbi.nlm.nih.gov/nuccore/CP000058.1?report=graph&amp;tracks=[key:gene_model_track,Options:GeneOnly]&amp;mk=3273997:3274016|offset_7|00cc00,3274036:3274055|offset_46|444444,3274063:3274082|offset_73|444444,3274098:3274117|offset_108|444444&amp;v=3273796:3274317&amp;c=444444", "offset 7")</f>
        <v>offset 7</v>
      </c>
    </row>
    <row r="10404" customFormat="false" ht="12.8" hidden="false" customHeight="false" outlineLevel="0" collapsed="false">
      <c r="A10404" s="0" t="s">
        <v>12</v>
      </c>
      <c r="B10404" s="0" t="n">
        <v>3274035</v>
      </c>
      <c r="C10404" s="0" t="n">
        <v>3274055</v>
      </c>
      <c r="D10404" s="0" t="s">
        <v>34544</v>
      </c>
      <c r="E10404" s="0" t="s">
        <v>75</v>
      </c>
      <c r="F10404" s="0" t="s">
        <v>15</v>
      </c>
      <c r="G10404" s="0" t="s">
        <v>16</v>
      </c>
      <c r="H10404" s="0" t="n">
        <v>46</v>
      </c>
      <c r="I10404" s="0" t="s">
        <v>34548</v>
      </c>
      <c r="J10404" s="0" t="s">
        <v>34549</v>
      </c>
      <c r="K10404" s="0" t="s">
        <v>34550</v>
      </c>
      <c r="L10404" s="0" t="str">
        <f aca="false">HYPERLINK("https://www.ncbi.nlm.nih.gov/nuccore/CP000058.1?report=graph&amp;tracks=[key:gene_model_track,Options:GeneOnly]&amp;mk=3273997:3274016|offset_7|444444,3274036:3274055|offset_46|00cc00,3274063:3274082|offset_73|444444,3274098:3274117|offset_108|444444&amp;v=3273796:3274317&amp;c=444444", "offset 46")</f>
        <v>offset 46</v>
      </c>
    </row>
    <row r="10405" customFormat="false" ht="12.8" hidden="false" customHeight="false" outlineLevel="0" collapsed="false">
      <c r="A10405" s="0" t="s">
        <v>12</v>
      </c>
      <c r="B10405" s="0" t="n">
        <v>3274062</v>
      </c>
      <c r="C10405" s="0" t="n">
        <v>3274082</v>
      </c>
      <c r="D10405" s="0" t="s">
        <v>34544</v>
      </c>
      <c r="E10405" s="0" t="s">
        <v>75</v>
      </c>
      <c r="F10405" s="0" t="s">
        <v>15</v>
      </c>
      <c r="G10405" s="0" t="s">
        <v>36</v>
      </c>
      <c r="H10405" s="0" t="n">
        <v>73</v>
      </c>
      <c r="I10405" s="0" t="s">
        <v>34551</v>
      </c>
      <c r="J10405" s="0" t="s">
        <v>34552</v>
      </c>
      <c r="K10405" s="0" t="s">
        <v>34553</v>
      </c>
      <c r="L10405" s="0" t="str">
        <f aca="false">HYPERLINK("https://www.ncbi.nlm.nih.gov/nuccore/CP000058.1?report=graph&amp;tracks=[key:gene_model_track,Options:GeneOnly]&amp;mk=3273997:3274016|offset_7|444444,3274036:3274055|offset_46|444444,3274063:3274082|offset_73|00cc00,3274098:3274117|offset_108|444444&amp;v=3273796:3274317&amp;c=444444", "offset 73")</f>
        <v>offset 73</v>
      </c>
    </row>
    <row r="10406" customFormat="false" ht="12.8" hidden="false" customHeight="false" outlineLevel="0" collapsed="false">
      <c r="A10406" s="0" t="s">
        <v>12</v>
      </c>
      <c r="B10406" s="0" t="n">
        <v>3274097</v>
      </c>
      <c r="C10406" s="0" t="n">
        <v>3274117</v>
      </c>
      <c r="D10406" s="0" t="s">
        <v>34544</v>
      </c>
      <c r="E10406" s="0" t="s">
        <v>75</v>
      </c>
      <c r="F10406" s="0" t="s">
        <v>15</v>
      </c>
      <c r="G10406" s="0" t="s">
        <v>16</v>
      </c>
      <c r="H10406" s="0" t="n">
        <v>108</v>
      </c>
      <c r="I10406" s="0" t="s">
        <v>34554</v>
      </c>
      <c r="J10406" s="0" t="s">
        <v>34555</v>
      </c>
      <c r="K10406" s="0" t="s">
        <v>34556</v>
      </c>
      <c r="L10406" s="0" t="str">
        <f aca="false">HYPERLINK("https://www.ncbi.nlm.nih.gov/nuccore/CP000058.1?report=graph&amp;tracks=[key:gene_model_track,Options:GeneOnly]&amp;mk=3273997:3274016|offset_7|444444,3274036:3274055|offset_46|444444,3274063:3274082|offset_73|444444,3274098:3274117|offset_108|00cc00&amp;v=3273796:3274317&amp;c=444444", "offset 108")</f>
        <v>offset 108</v>
      </c>
    </row>
    <row r="10407" customFormat="false" ht="12.8" hidden="false" customHeight="false" outlineLevel="0" collapsed="false">
      <c r="A10407" s="0" t="s">
        <v>12</v>
      </c>
      <c r="B10407" s="0" t="n">
        <v>3278569</v>
      </c>
      <c r="C10407" s="0" t="n">
        <v>3278589</v>
      </c>
      <c r="D10407" s="0" t="s">
        <v>34557</v>
      </c>
      <c r="E10407" s="0" t="s">
        <v>75</v>
      </c>
      <c r="F10407" s="0" t="s">
        <v>90</v>
      </c>
      <c r="G10407" s="0" t="s">
        <v>36</v>
      </c>
      <c r="H10407" s="0" t="n">
        <v>37</v>
      </c>
      <c r="I10407" s="0" t="s">
        <v>34558</v>
      </c>
      <c r="J10407" s="0" t="s">
        <v>34559</v>
      </c>
      <c r="K10407" s="0" t="s">
        <v>34560</v>
      </c>
      <c r="L10407" s="0" t="str">
        <f aca="false">HYPERLINK("https://www.ncbi.nlm.nih.gov/nuccore/CP000058.1?report=graph&amp;tracks=[key:gene_model_track,Options:GeneOnly]&amp;mk=3278570:3278589|offset_37|00cc00,3278534:3278553|offset_73|444444,3278468:3278487|offset_139|444444,3278435:3278454|offset_172|444444&amp;v=3278369:3278654&amp;c=444444", "offset 37")</f>
        <v>offset 37</v>
      </c>
    </row>
    <row r="10408" customFormat="false" ht="12.8" hidden="false" customHeight="false" outlineLevel="0" collapsed="false">
      <c r="A10408" s="0" t="s">
        <v>12</v>
      </c>
      <c r="B10408" s="0" t="n">
        <v>3278533</v>
      </c>
      <c r="C10408" s="0" t="n">
        <v>3278553</v>
      </c>
      <c r="D10408" s="0" t="s">
        <v>34557</v>
      </c>
      <c r="E10408" s="0" t="s">
        <v>75</v>
      </c>
      <c r="F10408" s="0" t="s">
        <v>90</v>
      </c>
      <c r="G10408" s="0" t="s">
        <v>36</v>
      </c>
      <c r="H10408" s="0" t="n">
        <v>73</v>
      </c>
      <c r="I10408" s="0" t="s">
        <v>34561</v>
      </c>
      <c r="J10408" s="0" t="s">
        <v>34562</v>
      </c>
      <c r="K10408" s="0" t="s">
        <v>34563</v>
      </c>
      <c r="L10408" s="0" t="str">
        <f aca="false">HYPERLINK("https://www.ncbi.nlm.nih.gov/nuccore/CP000058.1?report=graph&amp;tracks=[key:gene_model_track,Options:GeneOnly]&amp;mk=3278570:3278589|offset_37|444444,3278534:3278553|offset_73|00cc00,3278468:3278487|offset_139|444444,3278435:3278454|offset_172|444444&amp;v=3278369:3278654&amp;c=444444", "offset 73")</f>
        <v>offset 73</v>
      </c>
    </row>
    <row r="10409" customFormat="false" ht="12.8" hidden="false" customHeight="false" outlineLevel="0" collapsed="false">
      <c r="A10409" s="0" t="s">
        <v>12</v>
      </c>
      <c r="B10409" s="0" t="n">
        <v>3278467</v>
      </c>
      <c r="C10409" s="0" t="n">
        <v>3278487</v>
      </c>
      <c r="D10409" s="0" t="s">
        <v>34557</v>
      </c>
      <c r="E10409" s="0" t="s">
        <v>75</v>
      </c>
      <c r="F10409" s="0" t="s">
        <v>90</v>
      </c>
      <c r="G10409" s="0" t="s">
        <v>20</v>
      </c>
      <c r="H10409" s="0" t="n">
        <v>139</v>
      </c>
      <c r="I10409" s="0" t="s">
        <v>34564</v>
      </c>
      <c r="J10409" s="0" t="s">
        <v>34565</v>
      </c>
      <c r="K10409" s="0" t="s">
        <v>34566</v>
      </c>
      <c r="L10409" s="0" t="str">
        <f aca="false">HYPERLINK("https://www.ncbi.nlm.nih.gov/nuccore/CP000058.1?report=graph&amp;tracks=[key:gene_model_track,Options:GeneOnly]&amp;mk=3278570:3278589|offset_37|444444,3278534:3278553|offset_73|444444,3278468:3278487|offset_139|00cc00,3278435:3278454|offset_172|444444&amp;v=3278369:3278654&amp;c=444444", "offset 139")</f>
        <v>offset 139</v>
      </c>
    </row>
    <row r="10410" customFormat="false" ht="12.8" hidden="false" customHeight="false" outlineLevel="0" collapsed="false">
      <c r="A10410" s="0" t="s">
        <v>12</v>
      </c>
      <c r="B10410" s="0" t="n">
        <v>3278434</v>
      </c>
      <c r="C10410" s="0" t="n">
        <v>3278454</v>
      </c>
      <c r="D10410" s="0" t="s">
        <v>34557</v>
      </c>
      <c r="E10410" s="0" t="s">
        <v>75</v>
      </c>
      <c r="F10410" s="0" t="s">
        <v>90</v>
      </c>
      <c r="G10410" s="0" t="s">
        <v>20</v>
      </c>
      <c r="H10410" s="0" t="n">
        <v>172</v>
      </c>
      <c r="I10410" s="0" t="s">
        <v>34567</v>
      </c>
      <c r="J10410" s="0" t="s">
        <v>34568</v>
      </c>
      <c r="K10410" s="0" t="s">
        <v>34569</v>
      </c>
      <c r="L10410" s="0" t="str">
        <f aca="false">HYPERLINK("https://www.ncbi.nlm.nih.gov/nuccore/CP000058.1?report=graph&amp;tracks=[key:gene_model_track,Options:GeneOnly]&amp;mk=3278570:3278589|offset_37|444444,3278534:3278553|offset_73|444444,3278468:3278487|offset_139|444444,3278435:3278454|offset_172|00cc00&amp;v=3278369:3278654&amp;c=444444", "offset 172")</f>
        <v>offset 172</v>
      </c>
    </row>
    <row r="10411" customFormat="false" ht="12.8" hidden="false" customHeight="false" outlineLevel="0" collapsed="false">
      <c r="A10411" s="0" t="s">
        <v>12</v>
      </c>
      <c r="B10411" s="0" t="n">
        <v>3279515</v>
      </c>
      <c r="C10411" s="0" t="n">
        <v>3279535</v>
      </c>
      <c r="D10411" s="0" t="s">
        <v>34570</v>
      </c>
      <c r="E10411" s="0" t="s">
        <v>75</v>
      </c>
      <c r="F10411" s="0" t="s">
        <v>90</v>
      </c>
      <c r="G10411" s="0" t="s">
        <v>16</v>
      </c>
      <c r="H10411" s="0" t="n">
        <v>73</v>
      </c>
      <c r="I10411" s="0" t="s">
        <v>34571</v>
      </c>
      <c r="J10411" s="0" t="s">
        <v>34572</v>
      </c>
      <c r="K10411" s="0" t="s">
        <v>34573</v>
      </c>
      <c r="L10411" s="0" t="str">
        <f aca="false">HYPERLINK("https://www.ncbi.nlm.nih.gov/nuccore/CP000058.1?report=graph&amp;tracks=[key:gene_model_track,Options:GeneOnly]&amp;mk=3279516:3279535|offset_73|00cc00,3279459:3279478|offset_130|444444,3279436:3279455|offset_153|444444,3279410:3279429|offset_179|444444&amp;v=3279315:3279629&amp;c=444444", "offset 73")</f>
        <v>offset 73</v>
      </c>
    </row>
    <row r="10412" customFormat="false" ht="12.8" hidden="false" customHeight="false" outlineLevel="0" collapsed="false">
      <c r="A10412" s="0" t="s">
        <v>12</v>
      </c>
      <c r="B10412" s="0" t="n">
        <v>3279458</v>
      </c>
      <c r="C10412" s="0" t="n">
        <v>3279478</v>
      </c>
      <c r="D10412" s="0" t="s">
        <v>34570</v>
      </c>
      <c r="E10412" s="0" t="s">
        <v>75</v>
      </c>
      <c r="F10412" s="0" t="s">
        <v>90</v>
      </c>
      <c r="G10412" s="0" t="s">
        <v>36</v>
      </c>
      <c r="H10412" s="0" t="n">
        <v>130</v>
      </c>
      <c r="I10412" s="0" t="s">
        <v>34574</v>
      </c>
      <c r="J10412" s="0" t="s">
        <v>34575</v>
      </c>
      <c r="K10412" s="0" t="s">
        <v>34576</v>
      </c>
      <c r="L10412" s="0" t="str">
        <f aca="false">HYPERLINK("https://www.ncbi.nlm.nih.gov/nuccore/CP000058.1?report=graph&amp;tracks=[key:gene_model_track,Options:GeneOnly]&amp;mk=3279516:3279535|offset_73|444444,3279459:3279478|offset_130|00cc00,3279436:3279455|offset_153|444444,3279410:3279429|offset_179|444444&amp;v=3279315:3279629&amp;c=444444", "offset 130")</f>
        <v>offset 130</v>
      </c>
    </row>
    <row r="10413" customFormat="false" ht="12.8" hidden="false" customHeight="false" outlineLevel="0" collapsed="false">
      <c r="A10413" s="0" t="s">
        <v>12</v>
      </c>
      <c r="B10413" s="0" t="n">
        <v>3279435</v>
      </c>
      <c r="C10413" s="0" t="n">
        <v>3279455</v>
      </c>
      <c r="D10413" s="0" t="s">
        <v>34570</v>
      </c>
      <c r="E10413" s="0" t="s">
        <v>75</v>
      </c>
      <c r="F10413" s="0" t="s">
        <v>90</v>
      </c>
      <c r="G10413" s="0" t="s">
        <v>36</v>
      </c>
      <c r="H10413" s="0" t="n">
        <v>153</v>
      </c>
      <c r="I10413" s="0" t="s">
        <v>34577</v>
      </c>
      <c r="J10413" s="0" t="s">
        <v>34578</v>
      </c>
      <c r="K10413" s="0" t="s">
        <v>34579</v>
      </c>
      <c r="L10413" s="0" t="str">
        <f aca="false">HYPERLINK("https://www.ncbi.nlm.nih.gov/nuccore/CP000058.1?report=graph&amp;tracks=[key:gene_model_track,Options:GeneOnly]&amp;mk=3279516:3279535|offset_73|444444,3279459:3279478|offset_130|444444,3279436:3279455|offset_153|00cc00,3279410:3279429|offset_179|444444&amp;v=3279315:3279629&amp;c=444444", "offset 153")</f>
        <v>offset 153</v>
      </c>
    </row>
    <row r="10414" customFormat="false" ht="12.8" hidden="false" customHeight="false" outlineLevel="0" collapsed="false">
      <c r="A10414" s="0" t="s">
        <v>12</v>
      </c>
      <c r="B10414" s="0" t="n">
        <v>3279409</v>
      </c>
      <c r="C10414" s="0" t="n">
        <v>3279429</v>
      </c>
      <c r="D10414" s="0" t="s">
        <v>34570</v>
      </c>
      <c r="E10414" s="0" t="s">
        <v>75</v>
      </c>
      <c r="F10414" s="0" t="s">
        <v>90</v>
      </c>
      <c r="G10414" s="0" t="s">
        <v>20</v>
      </c>
      <c r="H10414" s="0" t="n">
        <v>179</v>
      </c>
      <c r="I10414" s="0" t="s">
        <v>34580</v>
      </c>
      <c r="J10414" s="0" t="s">
        <v>34581</v>
      </c>
      <c r="K10414" s="0" t="s">
        <v>34582</v>
      </c>
      <c r="L10414" s="0" t="str">
        <f aca="false">HYPERLINK("https://www.ncbi.nlm.nih.gov/nuccore/CP000058.1?report=graph&amp;tracks=[key:gene_model_track,Options:GeneOnly]&amp;mk=3279516:3279535|offset_73|444444,3279459:3279478|offset_130|444444,3279436:3279455|offset_153|444444,3279410:3279429|offset_179|00cc00&amp;v=3279315:3279629&amp;c=444444", "offset 179")</f>
        <v>offset 179</v>
      </c>
    </row>
    <row r="10415" customFormat="false" ht="12.8" hidden="false" customHeight="false" outlineLevel="0" collapsed="false">
      <c r="A10415" s="0" t="s">
        <v>12</v>
      </c>
      <c r="B10415" s="0" t="n">
        <v>3279880</v>
      </c>
      <c r="C10415" s="0" t="n">
        <v>3279900</v>
      </c>
      <c r="D10415" s="0" t="s">
        <v>34583</v>
      </c>
      <c r="E10415" s="0" t="s">
        <v>75</v>
      </c>
      <c r="F10415" s="0" t="s">
        <v>15</v>
      </c>
      <c r="G10415" s="0" t="s">
        <v>32</v>
      </c>
      <c r="H10415" s="0" t="n">
        <v>31</v>
      </c>
      <c r="I10415" s="0" t="s">
        <v>34584</v>
      </c>
      <c r="J10415" s="0" t="s">
        <v>34585</v>
      </c>
      <c r="K10415" s="0" t="s">
        <v>34586</v>
      </c>
      <c r="L10415" s="0" t="str">
        <f aca="false">HYPERLINK("https://www.ncbi.nlm.nih.gov/nuccore/CP000058.1?report=graph&amp;tracks=[key:gene_model_track,Options:GeneOnly]&amp;mk=3279881:3279900|offset_31|00cc00,3279914:3279933|offset_64|444444,3279980:3279999|offset_130|444444,3280001:3280020|offset_151|444444&amp;v=3279680:3280220&amp;c=444444", "offset 31")</f>
        <v>offset 31</v>
      </c>
    </row>
    <row r="10416" customFormat="false" ht="12.8" hidden="false" customHeight="false" outlineLevel="0" collapsed="false">
      <c r="A10416" s="0" t="s">
        <v>12</v>
      </c>
      <c r="B10416" s="0" t="n">
        <v>3279913</v>
      </c>
      <c r="C10416" s="0" t="n">
        <v>3279933</v>
      </c>
      <c r="D10416" s="0" t="s">
        <v>34583</v>
      </c>
      <c r="E10416" s="0" t="s">
        <v>75</v>
      </c>
      <c r="F10416" s="0" t="s">
        <v>15</v>
      </c>
      <c r="G10416" s="0" t="s">
        <v>32</v>
      </c>
      <c r="H10416" s="0" t="n">
        <v>64</v>
      </c>
      <c r="I10416" s="0" t="s">
        <v>34587</v>
      </c>
      <c r="J10416" s="0" t="s">
        <v>34588</v>
      </c>
      <c r="K10416" s="0" t="s">
        <v>34589</v>
      </c>
      <c r="L10416" s="0" t="str">
        <f aca="false">HYPERLINK("https://www.ncbi.nlm.nih.gov/nuccore/CP000058.1?report=graph&amp;tracks=[key:gene_model_track,Options:GeneOnly]&amp;mk=3279881:3279900|offset_31|444444,3279914:3279933|offset_64|00cc00,3279980:3279999|offset_130|444444,3280001:3280020|offset_151|444444&amp;v=3279680:3280220&amp;c=444444", "offset 64")</f>
        <v>offset 64</v>
      </c>
    </row>
    <row r="10417" customFormat="false" ht="12.8" hidden="false" customHeight="false" outlineLevel="0" collapsed="false">
      <c r="A10417" s="0" t="s">
        <v>12</v>
      </c>
      <c r="B10417" s="0" t="n">
        <v>3279979</v>
      </c>
      <c r="C10417" s="0" t="n">
        <v>3279999</v>
      </c>
      <c r="D10417" s="0" t="s">
        <v>34583</v>
      </c>
      <c r="E10417" s="0" t="s">
        <v>75</v>
      </c>
      <c r="F10417" s="0" t="s">
        <v>15</v>
      </c>
      <c r="G10417" s="0" t="s">
        <v>32</v>
      </c>
      <c r="H10417" s="0" t="n">
        <v>130</v>
      </c>
      <c r="I10417" s="0" t="s">
        <v>34590</v>
      </c>
      <c r="J10417" s="0" t="s">
        <v>34591</v>
      </c>
      <c r="K10417" s="0" t="s">
        <v>34592</v>
      </c>
      <c r="L10417" s="0" t="str">
        <f aca="false">HYPERLINK("https://www.ncbi.nlm.nih.gov/nuccore/CP000058.1?report=graph&amp;tracks=[key:gene_model_track,Options:GeneOnly]&amp;mk=3279881:3279900|offset_31|444444,3279914:3279933|offset_64|444444,3279980:3279999|offset_130|00cc00,3280001:3280020|offset_151|444444&amp;v=3279680:3280220&amp;c=444444", "offset 130")</f>
        <v>offset 130</v>
      </c>
    </row>
    <row r="10418" customFormat="false" ht="12.8" hidden="false" customHeight="false" outlineLevel="0" collapsed="false">
      <c r="A10418" s="0" t="s">
        <v>12</v>
      </c>
      <c r="B10418" s="0" t="n">
        <v>3280000</v>
      </c>
      <c r="C10418" s="0" t="n">
        <v>3280020</v>
      </c>
      <c r="D10418" s="0" t="s">
        <v>34583</v>
      </c>
      <c r="E10418" s="0" t="s">
        <v>75</v>
      </c>
      <c r="F10418" s="0" t="s">
        <v>15</v>
      </c>
      <c r="G10418" s="0" t="s">
        <v>16</v>
      </c>
      <c r="H10418" s="0" t="n">
        <v>151</v>
      </c>
      <c r="I10418" s="0" t="s">
        <v>34593</v>
      </c>
      <c r="J10418" s="0" t="s">
        <v>34594</v>
      </c>
      <c r="K10418" s="0" t="s">
        <v>34595</v>
      </c>
      <c r="L10418" s="0" t="str">
        <f aca="false">HYPERLINK("https://www.ncbi.nlm.nih.gov/nuccore/CP000058.1?report=graph&amp;tracks=[key:gene_model_track,Options:GeneOnly]&amp;mk=3279881:3279900|offset_31|444444,3279914:3279933|offset_64|444444,3279980:3279999|offset_130|444444,3280001:3280020|offset_151|00cc00&amp;v=3279680:3280220&amp;c=444444", "offset 151")</f>
        <v>offset 151</v>
      </c>
    </row>
    <row r="10419" customFormat="false" ht="12.8" hidden="false" customHeight="false" outlineLevel="0" collapsed="false">
      <c r="A10419" s="0" t="s">
        <v>12</v>
      </c>
      <c r="B10419" s="0" t="n">
        <v>3280882</v>
      </c>
      <c r="C10419" s="0" t="n">
        <v>3280902</v>
      </c>
      <c r="D10419" s="0" t="s">
        <v>34596</v>
      </c>
      <c r="E10419" s="0" t="s">
        <v>75</v>
      </c>
      <c r="F10419" s="0" t="s">
        <v>15</v>
      </c>
      <c r="G10419" s="0" t="s">
        <v>20</v>
      </c>
      <c r="H10419" s="0" t="n">
        <v>8</v>
      </c>
      <c r="I10419" s="0" t="s">
        <v>34597</v>
      </c>
      <c r="J10419" s="0" t="s">
        <v>34598</v>
      </c>
      <c r="K10419" s="0" t="s">
        <v>34599</v>
      </c>
      <c r="L10419" s="0" t="str">
        <f aca="false">HYPERLINK("https://www.ncbi.nlm.nih.gov/nuccore/CP000058.1?report=graph&amp;tracks=[key:gene_model_track,Options:GeneOnly]&amp;mk=3280883:3280902|offset_8|00cc00,3280932:3280951|offset_57|444444,3280968:3280987|offset_93|444444,3281047:3281066|offset_172|444444&amp;v=3280682:3281266&amp;c=444444", "offset 8")</f>
        <v>offset 8</v>
      </c>
    </row>
    <row r="10420" customFormat="false" ht="12.8" hidden="false" customHeight="false" outlineLevel="0" collapsed="false">
      <c r="A10420" s="0" t="s">
        <v>12</v>
      </c>
      <c r="B10420" s="0" t="n">
        <v>3280931</v>
      </c>
      <c r="C10420" s="0" t="n">
        <v>3280951</v>
      </c>
      <c r="D10420" s="0" t="s">
        <v>34596</v>
      </c>
      <c r="E10420" s="0" t="s">
        <v>75</v>
      </c>
      <c r="F10420" s="0" t="s">
        <v>15</v>
      </c>
      <c r="G10420" s="0" t="s">
        <v>16</v>
      </c>
      <c r="H10420" s="0" t="n">
        <v>57</v>
      </c>
      <c r="I10420" s="0" t="s">
        <v>34600</v>
      </c>
      <c r="J10420" s="0" t="s">
        <v>34601</v>
      </c>
      <c r="K10420" s="0" t="s">
        <v>34602</v>
      </c>
      <c r="L10420" s="0" t="str">
        <f aca="false">HYPERLINK("https://www.ncbi.nlm.nih.gov/nuccore/CP000058.1?report=graph&amp;tracks=[key:gene_model_track,Options:GeneOnly]&amp;mk=3280883:3280902|offset_8|444444,3280932:3280951|offset_57|00cc00,3280968:3280987|offset_93|444444,3281047:3281066|offset_172|444444&amp;v=3280682:3281266&amp;c=444444", "offset 57")</f>
        <v>offset 57</v>
      </c>
    </row>
    <row r="10421" customFormat="false" ht="12.8" hidden="false" customHeight="false" outlineLevel="0" collapsed="false">
      <c r="A10421" s="0" t="s">
        <v>12</v>
      </c>
      <c r="B10421" s="0" t="n">
        <v>3280967</v>
      </c>
      <c r="C10421" s="0" t="n">
        <v>3280987</v>
      </c>
      <c r="D10421" s="0" t="s">
        <v>34596</v>
      </c>
      <c r="E10421" s="0" t="s">
        <v>75</v>
      </c>
      <c r="F10421" s="0" t="s">
        <v>15</v>
      </c>
      <c r="G10421" s="0" t="s">
        <v>36</v>
      </c>
      <c r="H10421" s="0" t="n">
        <v>93</v>
      </c>
      <c r="I10421" s="0" t="s">
        <v>34603</v>
      </c>
      <c r="J10421" s="0" t="s">
        <v>34604</v>
      </c>
      <c r="K10421" s="0" t="s">
        <v>34605</v>
      </c>
      <c r="L10421" s="0" t="str">
        <f aca="false">HYPERLINK("https://www.ncbi.nlm.nih.gov/nuccore/CP000058.1?report=graph&amp;tracks=[key:gene_model_track,Options:GeneOnly]&amp;mk=3280883:3280902|offset_8|444444,3280932:3280951|offset_57|444444,3280968:3280987|offset_93|00cc00,3281047:3281066|offset_172|444444&amp;v=3280682:3281266&amp;c=444444", "offset 93")</f>
        <v>offset 93</v>
      </c>
    </row>
    <row r="10422" customFormat="false" ht="12.8" hidden="false" customHeight="false" outlineLevel="0" collapsed="false">
      <c r="A10422" s="0" t="s">
        <v>12</v>
      </c>
      <c r="B10422" s="0" t="n">
        <v>3281046</v>
      </c>
      <c r="C10422" s="0" t="n">
        <v>3281066</v>
      </c>
      <c r="D10422" s="0" t="s">
        <v>34596</v>
      </c>
      <c r="E10422" s="0" t="s">
        <v>75</v>
      </c>
      <c r="F10422" s="0" t="s">
        <v>15</v>
      </c>
      <c r="G10422" s="0" t="s">
        <v>32</v>
      </c>
      <c r="H10422" s="0" t="n">
        <v>172</v>
      </c>
      <c r="I10422" s="0" t="s">
        <v>34606</v>
      </c>
      <c r="J10422" s="0" t="s">
        <v>34607</v>
      </c>
      <c r="K10422" s="0" t="s">
        <v>34608</v>
      </c>
      <c r="L10422" s="0" t="str">
        <f aca="false">HYPERLINK("https://www.ncbi.nlm.nih.gov/nuccore/CP000058.1?report=graph&amp;tracks=[key:gene_model_track,Options:GeneOnly]&amp;mk=3280883:3280902|offset_8|444444,3280932:3280951|offset_57|444444,3280968:3280987|offset_93|444444,3281047:3281066|offset_172|00cc00&amp;v=3280682:3281266&amp;c=444444", "offset 172")</f>
        <v>offset 172</v>
      </c>
    </row>
    <row r="10423" customFormat="false" ht="12.8" hidden="false" customHeight="false" outlineLevel="0" collapsed="false">
      <c r="A10423" s="0" t="s">
        <v>12</v>
      </c>
      <c r="B10423" s="0" t="n">
        <v>3281751</v>
      </c>
      <c r="C10423" s="0" t="n">
        <v>3281771</v>
      </c>
      <c r="D10423" s="0" t="s">
        <v>34609</v>
      </c>
      <c r="E10423" s="0" t="s">
        <v>75</v>
      </c>
      <c r="F10423" s="0" t="s">
        <v>15</v>
      </c>
      <c r="G10423" s="0" t="s">
        <v>32</v>
      </c>
      <c r="H10423" s="0" t="n">
        <v>1</v>
      </c>
      <c r="I10423" s="0" t="s">
        <v>34610</v>
      </c>
      <c r="J10423" s="0" t="s">
        <v>34611</v>
      </c>
      <c r="K10423" s="0" t="s">
        <v>34612</v>
      </c>
      <c r="L10423" s="0" t="str">
        <f aca="false">HYPERLINK("https://www.ncbi.nlm.nih.gov/nuccore/CP000058.1?report=graph&amp;tracks=[key:gene_model_track,Options:GeneOnly]&amp;mk=3281752:3281771|offset_1|00cc00,3281776:3281795|offset_25|444444,3281815:3281834|offset_64|444444,3281848:3281867|offset_97|444444&amp;v=3281551:3282067&amp;c=444444", "offset 1")</f>
        <v>offset 1</v>
      </c>
    </row>
    <row r="10424" customFormat="false" ht="12.8" hidden="false" customHeight="false" outlineLevel="0" collapsed="false">
      <c r="A10424" s="0" t="s">
        <v>12</v>
      </c>
      <c r="B10424" s="0" t="n">
        <v>3281775</v>
      </c>
      <c r="C10424" s="0" t="n">
        <v>3281795</v>
      </c>
      <c r="D10424" s="0" t="s">
        <v>34609</v>
      </c>
      <c r="E10424" s="0" t="s">
        <v>75</v>
      </c>
      <c r="F10424" s="0" t="s">
        <v>15</v>
      </c>
      <c r="G10424" s="0" t="s">
        <v>36</v>
      </c>
      <c r="H10424" s="0" t="n">
        <v>25</v>
      </c>
      <c r="I10424" s="0" t="s">
        <v>34613</v>
      </c>
      <c r="J10424" s="0" t="s">
        <v>34614</v>
      </c>
      <c r="K10424" s="0" t="s">
        <v>34615</v>
      </c>
      <c r="L10424" s="0" t="str">
        <f aca="false">HYPERLINK("https://www.ncbi.nlm.nih.gov/nuccore/CP000058.1?report=graph&amp;tracks=[key:gene_model_track,Options:GeneOnly]&amp;mk=3281752:3281771|offset_1|444444,3281776:3281795|offset_25|00cc00,3281815:3281834|offset_64|444444,3281848:3281867|offset_97|444444&amp;v=3281551:3282067&amp;c=444444", "offset 25")</f>
        <v>offset 25</v>
      </c>
    </row>
    <row r="10425" customFormat="false" ht="12.8" hidden="false" customHeight="false" outlineLevel="0" collapsed="false">
      <c r="A10425" s="0" t="s">
        <v>12</v>
      </c>
      <c r="B10425" s="0" t="n">
        <v>3281814</v>
      </c>
      <c r="C10425" s="0" t="n">
        <v>3281834</v>
      </c>
      <c r="D10425" s="0" t="s">
        <v>34609</v>
      </c>
      <c r="E10425" s="0" t="s">
        <v>75</v>
      </c>
      <c r="F10425" s="0" t="s">
        <v>15</v>
      </c>
      <c r="G10425" s="0" t="s">
        <v>36</v>
      </c>
      <c r="H10425" s="0" t="n">
        <v>64</v>
      </c>
      <c r="I10425" s="0" t="s">
        <v>34616</v>
      </c>
      <c r="J10425" s="0" t="s">
        <v>34617</v>
      </c>
      <c r="K10425" s="0" t="s">
        <v>34618</v>
      </c>
      <c r="L10425" s="0" t="str">
        <f aca="false">HYPERLINK("https://www.ncbi.nlm.nih.gov/nuccore/CP000058.1?report=graph&amp;tracks=[key:gene_model_track,Options:GeneOnly]&amp;mk=3281752:3281771|offset_1|444444,3281776:3281795|offset_25|444444,3281815:3281834|offset_64|00cc00,3281848:3281867|offset_97|444444&amp;v=3281551:3282067&amp;c=444444", "offset 64")</f>
        <v>offset 64</v>
      </c>
    </row>
    <row r="10426" customFormat="false" ht="12.8" hidden="false" customHeight="false" outlineLevel="0" collapsed="false">
      <c r="A10426" s="0" t="s">
        <v>12</v>
      </c>
      <c r="B10426" s="0" t="n">
        <v>3281847</v>
      </c>
      <c r="C10426" s="0" t="n">
        <v>3281867</v>
      </c>
      <c r="D10426" s="0" t="s">
        <v>34609</v>
      </c>
      <c r="E10426" s="0" t="s">
        <v>75</v>
      </c>
      <c r="F10426" s="0" t="s">
        <v>15</v>
      </c>
      <c r="G10426" s="0" t="s">
        <v>36</v>
      </c>
      <c r="H10426" s="0" t="n">
        <v>97</v>
      </c>
      <c r="I10426" s="0" t="s">
        <v>34619</v>
      </c>
      <c r="J10426" s="0" t="s">
        <v>34620</v>
      </c>
      <c r="K10426" s="0" t="s">
        <v>34621</v>
      </c>
      <c r="L10426" s="0" t="str">
        <f aca="false">HYPERLINK("https://www.ncbi.nlm.nih.gov/nuccore/CP000058.1?report=graph&amp;tracks=[key:gene_model_track,Options:GeneOnly]&amp;mk=3281752:3281771|offset_1|444444,3281776:3281795|offset_25|444444,3281815:3281834|offset_64|444444,3281848:3281867|offset_97|00cc00&amp;v=3281551:3282067&amp;c=444444", "offset 97")</f>
        <v>offset 97</v>
      </c>
    </row>
    <row r="10427" customFormat="false" ht="12.8" hidden="false" customHeight="false" outlineLevel="0" collapsed="false">
      <c r="A10427" s="0" t="s">
        <v>12</v>
      </c>
      <c r="B10427" s="0" t="n">
        <v>3282600</v>
      </c>
      <c r="C10427" s="0" t="n">
        <v>3282620</v>
      </c>
      <c r="D10427" s="0" t="s">
        <v>34622</v>
      </c>
      <c r="E10427" s="0" t="s">
        <v>75</v>
      </c>
      <c r="F10427" s="0" t="s">
        <v>15</v>
      </c>
      <c r="G10427" s="0" t="s">
        <v>36</v>
      </c>
      <c r="H10427" s="0" t="n">
        <v>38</v>
      </c>
      <c r="I10427" s="0" t="s">
        <v>34623</v>
      </c>
      <c r="J10427" s="0" t="s">
        <v>34624</v>
      </c>
      <c r="K10427" s="0" t="s">
        <v>34625</v>
      </c>
      <c r="L10427" s="0" t="str">
        <f aca="false">HYPERLINK("https://www.ncbi.nlm.nih.gov/nuccore/CP000058.1?report=graph&amp;tracks=[key:gene_model_track,Options:GeneOnly]&amp;mk=3282601:3282620|offset_38|00cc00,3282632:3282651|offset_69|444444,3282657:3282676|offset_94|444444,3282678:3282697|offset_115|444444&amp;v=3282400:3282897&amp;c=444444", "offset 38")</f>
        <v>offset 38</v>
      </c>
    </row>
    <row r="10428" customFormat="false" ht="12.8" hidden="false" customHeight="false" outlineLevel="0" collapsed="false">
      <c r="A10428" s="0" t="s">
        <v>12</v>
      </c>
      <c r="B10428" s="0" t="n">
        <v>3282631</v>
      </c>
      <c r="C10428" s="0" t="n">
        <v>3282651</v>
      </c>
      <c r="D10428" s="0" t="s">
        <v>34622</v>
      </c>
      <c r="E10428" s="0" t="s">
        <v>75</v>
      </c>
      <c r="F10428" s="0" t="s">
        <v>15</v>
      </c>
      <c r="G10428" s="0" t="s">
        <v>16</v>
      </c>
      <c r="H10428" s="0" t="n">
        <v>69</v>
      </c>
      <c r="I10428" s="0" t="s">
        <v>34626</v>
      </c>
      <c r="J10428" s="0" t="s">
        <v>34627</v>
      </c>
      <c r="K10428" s="0" t="s">
        <v>34628</v>
      </c>
      <c r="L10428" s="0" t="str">
        <f aca="false">HYPERLINK("https://www.ncbi.nlm.nih.gov/nuccore/CP000058.1?report=graph&amp;tracks=[key:gene_model_track,Options:GeneOnly]&amp;mk=3282601:3282620|offset_38|444444,3282632:3282651|offset_69|00cc00,3282657:3282676|offset_94|444444,3282678:3282697|offset_115|444444&amp;v=3282400:3282897&amp;c=444444", "offset 69")</f>
        <v>offset 69</v>
      </c>
    </row>
    <row r="10429" customFormat="false" ht="12.8" hidden="false" customHeight="false" outlineLevel="0" collapsed="false">
      <c r="A10429" s="0" t="s">
        <v>12</v>
      </c>
      <c r="B10429" s="0" t="n">
        <v>3282656</v>
      </c>
      <c r="C10429" s="0" t="n">
        <v>3282676</v>
      </c>
      <c r="D10429" s="0" t="s">
        <v>34622</v>
      </c>
      <c r="E10429" s="0" t="s">
        <v>75</v>
      </c>
      <c r="F10429" s="0" t="s">
        <v>15</v>
      </c>
      <c r="G10429" s="0" t="s">
        <v>16</v>
      </c>
      <c r="H10429" s="0" t="n">
        <v>94</v>
      </c>
      <c r="I10429" s="0" t="s">
        <v>34629</v>
      </c>
      <c r="J10429" s="0" t="s">
        <v>34630</v>
      </c>
      <c r="K10429" s="0" t="s">
        <v>34631</v>
      </c>
      <c r="L10429" s="0" t="str">
        <f aca="false">HYPERLINK("https://www.ncbi.nlm.nih.gov/nuccore/CP000058.1?report=graph&amp;tracks=[key:gene_model_track,Options:GeneOnly]&amp;mk=3282601:3282620|offset_38|444444,3282632:3282651|offset_69|444444,3282657:3282676|offset_94|00cc00,3282678:3282697|offset_115|444444&amp;v=3282400:3282897&amp;c=444444", "offset 94")</f>
        <v>offset 94</v>
      </c>
    </row>
    <row r="10430" customFormat="false" ht="12.8" hidden="false" customHeight="false" outlineLevel="0" collapsed="false">
      <c r="A10430" s="0" t="s">
        <v>12</v>
      </c>
      <c r="B10430" s="0" t="n">
        <v>3282677</v>
      </c>
      <c r="C10430" s="0" t="n">
        <v>3282697</v>
      </c>
      <c r="D10430" s="0" t="s">
        <v>34622</v>
      </c>
      <c r="E10430" s="0" t="s">
        <v>75</v>
      </c>
      <c r="F10430" s="0" t="s">
        <v>15</v>
      </c>
      <c r="G10430" s="0" t="s">
        <v>16</v>
      </c>
      <c r="H10430" s="0" t="n">
        <v>115</v>
      </c>
      <c r="I10430" s="0" t="s">
        <v>34632</v>
      </c>
      <c r="J10430" s="0" t="s">
        <v>34633</v>
      </c>
      <c r="K10430" s="0" t="s">
        <v>34634</v>
      </c>
      <c r="L10430" s="0" t="str">
        <f aca="false">HYPERLINK("https://www.ncbi.nlm.nih.gov/nuccore/CP000058.1?report=graph&amp;tracks=[key:gene_model_track,Options:GeneOnly]&amp;mk=3282601:3282620|offset_38|444444,3282632:3282651|offset_69|444444,3282657:3282676|offset_94|444444,3282678:3282697|offset_115|00cc00&amp;v=3282400:3282897&amp;c=444444", "offset 115")</f>
        <v>offset 115</v>
      </c>
    </row>
    <row r="10431" customFormat="false" ht="12.8" hidden="false" customHeight="false" outlineLevel="0" collapsed="false">
      <c r="A10431" s="0" t="s">
        <v>12</v>
      </c>
      <c r="B10431" s="0" t="n">
        <v>3282863</v>
      </c>
      <c r="C10431" s="0" t="n">
        <v>3282883</v>
      </c>
      <c r="D10431" s="0" t="s">
        <v>34635</v>
      </c>
      <c r="E10431" s="0" t="s">
        <v>75</v>
      </c>
      <c r="F10431" s="0" t="s">
        <v>15</v>
      </c>
      <c r="G10431" s="0" t="s">
        <v>16</v>
      </c>
      <c r="H10431" s="0" t="n">
        <v>14</v>
      </c>
      <c r="I10431" s="0" t="s">
        <v>34636</v>
      </c>
      <c r="J10431" s="0" t="s">
        <v>34637</v>
      </c>
      <c r="K10431" s="0" t="s">
        <v>34638</v>
      </c>
      <c r="L10431" s="0" t="str">
        <f aca="false">HYPERLINK("https://www.ncbi.nlm.nih.gov/nuccore/CP000058.1?report=graph&amp;tracks=[key:gene_model_track,Options:GeneOnly]&amp;mk=3282864:3282883|offset_14|00cc00,3282884:3282903|offset_34|444444,3282908:3282927|offset_58|444444,3282938:3282957|offset_88|444444&amp;v=3282663:3283157&amp;c=444444", "offset 14")</f>
        <v>offset 14</v>
      </c>
    </row>
    <row r="10432" customFormat="false" ht="12.8" hidden="false" customHeight="false" outlineLevel="0" collapsed="false">
      <c r="A10432" s="0" t="s">
        <v>12</v>
      </c>
      <c r="B10432" s="0" t="n">
        <v>3282883</v>
      </c>
      <c r="C10432" s="0" t="n">
        <v>3282903</v>
      </c>
      <c r="D10432" s="0" t="s">
        <v>34635</v>
      </c>
      <c r="E10432" s="0" t="s">
        <v>75</v>
      </c>
      <c r="F10432" s="0" t="s">
        <v>15</v>
      </c>
      <c r="G10432" s="0" t="s">
        <v>16</v>
      </c>
      <c r="H10432" s="0" t="n">
        <v>34</v>
      </c>
      <c r="I10432" s="0" t="s">
        <v>34639</v>
      </c>
      <c r="J10432" s="0" t="s">
        <v>34640</v>
      </c>
      <c r="K10432" s="0" t="s">
        <v>34641</v>
      </c>
      <c r="L10432" s="0" t="str">
        <f aca="false">HYPERLINK("https://www.ncbi.nlm.nih.gov/nuccore/CP000058.1?report=graph&amp;tracks=[key:gene_model_track,Options:GeneOnly]&amp;mk=3282864:3282883|offset_14|444444,3282884:3282903|offset_34|00cc00,3282908:3282927|offset_58|444444,3282938:3282957|offset_88|444444&amp;v=3282663:3283157&amp;c=444444", "offset 34")</f>
        <v>offset 34</v>
      </c>
    </row>
    <row r="10433" customFormat="false" ht="12.8" hidden="false" customHeight="false" outlineLevel="0" collapsed="false">
      <c r="A10433" s="0" t="s">
        <v>12</v>
      </c>
      <c r="B10433" s="0" t="n">
        <v>3282907</v>
      </c>
      <c r="C10433" s="0" t="n">
        <v>3282927</v>
      </c>
      <c r="D10433" s="0" t="s">
        <v>34635</v>
      </c>
      <c r="E10433" s="0" t="s">
        <v>75</v>
      </c>
      <c r="F10433" s="0" t="s">
        <v>15</v>
      </c>
      <c r="G10433" s="0" t="s">
        <v>36</v>
      </c>
      <c r="H10433" s="0" t="n">
        <v>58</v>
      </c>
      <c r="I10433" s="0" t="s">
        <v>34642</v>
      </c>
      <c r="J10433" s="0" t="s">
        <v>34643</v>
      </c>
      <c r="K10433" s="0" t="s">
        <v>34644</v>
      </c>
      <c r="L10433" s="0" t="str">
        <f aca="false">HYPERLINK("https://www.ncbi.nlm.nih.gov/nuccore/CP000058.1?report=graph&amp;tracks=[key:gene_model_track,Options:GeneOnly]&amp;mk=3282864:3282883|offset_14|444444,3282884:3282903|offset_34|444444,3282908:3282927|offset_58|00cc00,3282938:3282957|offset_88|444444&amp;v=3282663:3283157&amp;c=444444", "offset 58")</f>
        <v>offset 58</v>
      </c>
    </row>
    <row r="10434" customFormat="false" ht="12.8" hidden="false" customHeight="false" outlineLevel="0" collapsed="false">
      <c r="A10434" s="0" t="s">
        <v>12</v>
      </c>
      <c r="B10434" s="0" t="n">
        <v>3282937</v>
      </c>
      <c r="C10434" s="0" t="n">
        <v>3282957</v>
      </c>
      <c r="D10434" s="0" t="s">
        <v>34635</v>
      </c>
      <c r="E10434" s="0" t="s">
        <v>75</v>
      </c>
      <c r="F10434" s="0" t="s">
        <v>15</v>
      </c>
      <c r="G10434" s="0" t="s">
        <v>20</v>
      </c>
      <c r="H10434" s="0" t="n">
        <v>88</v>
      </c>
      <c r="I10434" s="0" t="s">
        <v>34645</v>
      </c>
      <c r="J10434" s="0" t="s">
        <v>34646</v>
      </c>
      <c r="K10434" s="0" t="s">
        <v>34647</v>
      </c>
      <c r="L10434" s="0" t="str">
        <f aca="false">HYPERLINK("https://www.ncbi.nlm.nih.gov/nuccore/CP000058.1?report=graph&amp;tracks=[key:gene_model_track,Options:GeneOnly]&amp;mk=3282864:3282883|offset_14|444444,3282884:3282903|offset_34|444444,3282908:3282927|offset_58|444444,3282938:3282957|offset_88|00cc00&amp;v=3282663:3283157&amp;c=444444", "offset 88")</f>
        <v>offset 88</v>
      </c>
    </row>
    <row r="10435" customFormat="false" ht="12.8" hidden="false" customHeight="false" outlineLevel="0" collapsed="false">
      <c r="A10435" s="0" t="s">
        <v>12</v>
      </c>
      <c r="B10435" s="0" t="n">
        <v>3284304</v>
      </c>
      <c r="C10435" s="0" t="n">
        <v>3284324</v>
      </c>
      <c r="D10435" s="0" t="s">
        <v>34648</v>
      </c>
      <c r="E10435" s="0" t="s">
        <v>75</v>
      </c>
      <c r="F10435" s="0" t="s">
        <v>15</v>
      </c>
      <c r="G10435" s="0" t="s">
        <v>20</v>
      </c>
      <c r="H10435" s="0" t="n">
        <v>67</v>
      </c>
      <c r="I10435" s="0" t="s">
        <v>34649</v>
      </c>
      <c r="J10435" s="0" t="s">
        <v>34650</v>
      </c>
      <c r="K10435" s="0" t="s">
        <v>34651</v>
      </c>
      <c r="L10435" s="0" t="str">
        <f aca="false">HYPERLINK("https://www.ncbi.nlm.nih.gov/nuccore/CP000058.1?report=graph&amp;tracks=[key:gene_model_track,Options:GeneOnly]&amp;mk=3284305:3284324|offset_67|00cc00,3284338:3284357|offset_100|444444,3284371:3284390|offset_133|444444,3284399:3284418|offset_161|444444&amp;v=3284104:3284618&amp;c=444444", "offset 67")</f>
        <v>offset 67</v>
      </c>
    </row>
    <row r="10436" customFormat="false" ht="12.8" hidden="false" customHeight="false" outlineLevel="0" collapsed="false">
      <c r="A10436" s="0" t="s">
        <v>12</v>
      </c>
      <c r="B10436" s="0" t="n">
        <v>3284337</v>
      </c>
      <c r="C10436" s="0" t="n">
        <v>3284357</v>
      </c>
      <c r="D10436" s="0" t="s">
        <v>34648</v>
      </c>
      <c r="E10436" s="0" t="s">
        <v>75</v>
      </c>
      <c r="F10436" s="0" t="s">
        <v>15</v>
      </c>
      <c r="G10436" s="0" t="s">
        <v>20</v>
      </c>
      <c r="H10436" s="0" t="n">
        <v>100</v>
      </c>
      <c r="I10436" s="0" t="s">
        <v>34652</v>
      </c>
      <c r="J10436" s="0" t="s">
        <v>34653</v>
      </c>
      <c r="K10436" s="0" t="s">
        <v>34654</v>
      </c>
      <c r="L10436" s="0" t="str">
        <f aca="false">HYPERLINK("https://www.ncbi.nlm.nih.gov/nuccore/CP000058.1?report=graph&amp;tracks=[key:gene_model_track,Options:GeneOnly]&amp;mk=3284305:3284324|offset_67|444444,3284338:3284357|offset_100|00cc00,3284371:3284390|offset_133|444444,3284399:3284418|offset_161|444444&amp;v=3284104:3284618&amp;c=444444", "offset 100")</f>
        <v>offset 100</v>
      </c>
    </row>
    <row r="10437" customFormat="false" ht="12.8" hidden="false" customHeight="false" outlineLevel="0" collapsed="false">
      <c r="A10437" s="0" t="s">
        <v>12</v>
      </c>
      <c r="B10437" s="0" t="n">
        <v>3284370</v>
      </c>
      <c r="C10437" s="0" t="n">
        <v>3284390</v>
      </c>
      <c r="D10437" s="0" t="s">
        <v>34648</v>
      </c>
      <c r="E10437" s="0" t="s">
        <v>75</v>
      </c>
      <c r="F10437" s="0" t="s">
        <v>15</v>
      </c>
      <c r="G10437" s="0" t="s">
        <v>32</v>
      </c>
      <c r="H10437" s="0" t="n">
        <v>133</v>
      </c>
      <c r="I10437" s="0" t="s">
        <v>34655</v>
      </c>
      <c r="J10437" s="0" t="s">
        <v>34656</v>
      </c>
      <c r="K10437" s="0" t="s">
        <v>34657</v>
      </c>
      <c r="L10437" s="0" t="str">
        <f aca="false">HYPERLINK("https://www.ncbi.nlm.nih.gov/nuccore/CP000058.1?report=graph&amp;tracks=[key:gene_model_track,Options:GeneOnly]&amp;mk=3284305:3284324|offset_67|444444,3284338:3284357|offset_100|444444,3284371:3284390|offset_133|00cc00,3284399:3284418|offset_161|444444&amp;v=3284104:3284618&amp;c=444444", "offset 133")</f>
        <v>offset 133</v>
      </c>
    </row>
    <row r="10438" customFormat="false" ht="12.8" hidden="false" customHeight="false" outlineLevel="0" collapsed="false">
      <c r="A10438" s="0" t="s">
        <v>12</v>
      </c>
      <c r="B10438" s="0" t="n">
        <v>3284398</v>
      </c>
      <c r="C10438" s="0" t="n">
        <v>3284418</v>
      </c>
      <c r="D10438" s="0" t="s">
        <v>34648</v>
      </c>
      <c r="E10438" s="0" t="s">
        <v>75</v>
      </c>
      <c r="F10438" s="0" t="s">
        <v>15</v>
      </c>
      <c r="G10438" s="0" t="s">
        <v>16</v>
      </c>
      <c r="H10438" s="0" t="n">
        <v>161</v>
      </c>
      <c r="I10438" s="0" t="s">
        <v>34658</v>
      </c>
      <c r="J10438" s="0" t="s">
        <v>34659</v>
      </c>
      <c r="K10438" s="0" t="s">
        <v>34660</v>
      </c>
      <c r="L10438" s="0" t="str">
        <f aca="false">HYPERLINK("https://www.ncbi.nlm.nih.gov/nuccore/CP000058.1?report=graph&amp;tracks=[key:gene_model_track,Options:GeneOnly]&amp;mk=3284305:3284324|offset_67|444444,3284338:3284357|offset_100|444444,3284371:3284390|offset_133|444444,3284399:3284418|offset_161|00cc00&amp;v=3284104:3284618&amp;c=444444", "offset 161")</f>
        <v>offset 161</v>
      </c>
    </row>
    <row r="10439" customFormat="false" ht="12.8" hidden="false" customHeight="false" outlineLevel="0" collapsed="false">
      <c r="A10439" s="0" t="s">
        <v>12</v>
      </c>
      <c r="B10439" s="0" t="n">
        <v>3285431</v>
      </c>
      <c r="C10439" s="0" t="n">
        <v>3285451</v>
      </c>
      <c r="D10439" s="0" t="s">
        <v>34661</v>
      </c>
      <c r="E10439" s="0" t="s">
        <v>75</v>
      </c>
      <c r="F10439" s="0" t="s">
        <v>15</v>
      </c>
      <c r="G10439" s="0" t="s">
        <v>32</v>
      </c>
      <c r="H10439" s="0" t="n">
        <v>13</v>
      </c>
      <c r="I10439" s="0" t="s">
        <v>34662</v>
      </c>
      <c r="J10439" s="0" t="s">
        <v>34663</v>
      </c>
      <c r="K10439" s="0" t="s">
        <v>34664</v>
      </c>
      <c r="L10439" s="0" t="str">
        <f aca="false">HYPERLINK("https://www.ncbi.nlm.nih.gov/nuccore/CP000058.1?report=graph&amp;tracks=[key:gene_model_track,Options:GeneOnly]&amp;mk=3285432:3285451|offset_13|00cc00,3285463:3285482|offset_44|444444,3285494:3285513|offset_75|444444,3285520:3285539|offset_101|444444&amp;v=3285231:3285739&amp;c=444444", "offset 13")</f>
        <v>offset 13</v>
      </c>
    </row>
    <row r="10440" customFormat="false" ht="12.8" hidden="false" customHeight="false" outlineLevel="0" collapsed="false">
      <c r="A10440" s="0" t="s">
        <v>12</v>
      </c>
      <c r="B10440" s="0" t="n">
        <v>3285462</v>
      </c>
      <c r="C10440" s="0" t="n">
        <v>3285482</v>
      </c>
      <c r="D10440" s="0" t="s">
        <v>34661</v>
      </c>
      <c r="E10440" s="0" t="s">
        <v>75</v>
      </c>
      <c r="F10440" s="0" t="s">
        <v>15</v>
      </c>
      <c r="G10440" s="0" t="s">
        <v>20</v>
      </c>
      <c r="H10440" s="0" t="n">
        <v>44</v>
      </c>
      <c r="I10440" s="0" t="s">
        <v>34665</v>
      </c>
      <c r="J10440" s="0" t="s">
        <v>34666</v>
      </c>
      <c r="K10440" s="0" t="s">
        <v>34667</v>
      </c>
      <c r="L10440" s="0" t="str">
        <f aca="false">HYPERLINK("https://www.ncbi.nlm.nih.gov/nuccore/CP000058.1?report=graph&amp;tracks=[key:gene_model_track,Options:GeneOnly]&amp;mk=3285432:3285451|offset_13|444444,3285463:3285482|offset_44|00cc00,3285494:3285513|offset_75|444444,3285520:3285539|offset_101|444444&amp;v=3285231:3285739&amp;c=444444", "offset 44")</f>
        <v>offset 44</v>
      </c>
    </row>
    <row r="10441" customFormat="false" ht="12.8" hidden="false" customHeight="false" outlineLevel="0" collapsed="false">
      <c r="A10441" s="0" t="s">
        <v>12</v>
      </c>
      <c r="B10441" s="0" t="n">
        <v>3285493</v>
      </c>
      <c r="C10441" s="0" t="n">
        <v>3285513</v>
      </c>
      <c r="D10441" s="0" t="s">
        <v>34661</v>
      </c>
      <c r="E10441" s="0" t="s">
        <v>75</v>
      </c>
      <c r="F10441" s="0" t="s">
        <v>15</v>
      </c>
      <c r="G10441" s="0" t="s">
        <v>20</v>
      </c>
      <c r="H10441" s="0" t="n">
        <v>75</v>
      </c>
      <c r="I10441" s="0" t="s">
        <v>34668</v>
      </c>
      <c r="J10441" s="0" t="s">
        <v>34669</v>
      </c>
      <c r="K10441" s="0" t="s">
        <v>34670</v>
      </c>
      <c r="L10441" s="0" t="str">
        <f aca="false">HYPERLINK("https://www.ncbi.nlm.nih.gov/nuccore/CP000058.1?report=graph&amp;tracks=[key:gene_model_track,Options:GeneOnly]&amp;mk=3285432:3285451|offset_13|444444,3285463:3285482|offset_44|444444,3285494:3285513|offset_75|00cc00,3285520:3285539|offset_101|444444&amp;v=3285231:3285739&amp;c=444444", "offset 75")</f>
        <v>offset 75</v>
      </c>
    </row>
    <row r="10442" customFormat="false" ht="12.8" hidden="false" customHeight="false" outlineLevel="0" collapsed="false">
      <c r="A10442" s="0" t="s">
        <v>12</v>
      </c>
      <c r="B10442" s="0" t="n">
        <v>3285519</v>
      </c>
      <c r="C10442" s="0" t="n">
        <v>3285539</v>
      </c>
      <c r="D10442" s="0" t="s">
        <v>34661</v>
      </c>
      <c r="E10442" s="0" t="s">
        <v>75</v>
      </c>
      <c r="F10442" s="0" t="s">
        <v>15</v>
      </c>
      <c r="G10442" s="0" t="s">
        <v>20</v>
      </c>
      <c r="H10442" s="0" t="n">
        <v>101</v>
      </c>
      <c r="I10442" s="0" t="s">
        <v>34671</v>
      </c>
      <c r="J10442" s="0" t="s">
        <v>34672</v>
      </c>
      <c r="K10442" s="0" t="s">
        <v>34673</v>
      </c>
      <c r="L10442" s="0" t="str">
        <f aca="false">HYPERLINK("https://www.ncbi.nlm.nih.gov/nuccore/CP000058.1?report=graph&amp;tracks=[key:gene_model_track,Options:GeneOnly]&amp;mk=3285432:3285451|offset_13|444444,3285463:3285482|offset_44|444444,3285494:3285513|offset_75|444444,3285520:3285539|offset_101|00cc00&amp;v=3285231:3285739&amp;c=444444", "offset 101")</f>
        <v>offset 101</v>
      </c>
    </row>
    <row r="10443" customFormat="false" ht="12.8" hidden="false" customHeight="false" outlineLevel="0" collapsed="false">
      <c r="A10443" s="0" t="s">
        <v>12</v>
      </c>
      <c r="B10443" s="0" t="n">
        <v>3286684</v>
      </c>
      <c r="C10443" s="0" t="n">
        <v>3286704</v>
      </c>
      <c r="D10443" s="0" t="s">
        <v>34674</v>
      </c>
      <c r="E10443" s="0" t="s">
        <v>75</v>
      </c>
      <c r="F10443" s="0" t="s">
        <v>15</v>
      </c>
      <c r="G10443" s="0" t="s">
        <v>20</v>
      </c>
      <c r="H10443" s="0" t="n">
        <v>46</v>
      </c>
      <c r="I10443" s="0" t="s">
        <v>34675</v>
      </c>
      <c r="J10443" s="0" t="s">
        <v>34676</v>
      </c>
      <c r="K10443" s="0" t="s">
        <v>34677</v>
      </c>
      <c r="L10443" s="0" t="str">
        <f aca="false">HYPERLINK("https://www.ncbi.nlm.nih.gov/nuccore/CP000058.1?report=graph&amp;tracks=[key:gene_model_track,Options:GeneOnly]&amp;mk=3286685:3286704|offset_46|00cc00,3286705:3286724|offset_66|444444,3286728:3286747|offset_89|444444,3286753:3286772|offset_114|444444&amp;v=3286484:3286972&amp;c=444444", "offset 46")</f>
        <v>offset 46</v>
      </c>
    </row>
    <row r="10444" customFormat="false" ht="12.8" hidden="false" customHeight="false" outlineLevel="0" collapsed="false">
      <c r="A10444" s="0" t="s">
        <v>12</v>
      </c>
      <c r="B10444" s="0" t="n">
        <v>3286704</v>
      </c>
      <c r="C10444" s="0" t="n">
        <v>3286724</v>
      </c>
      <c r="D10444" s="0" t="s">
        <v>34674</v>
      </c>
      <c r="E10444" s="0" t="s">
        <v>75</v>
      </c>
      <c r="F10444" s="0" t="s">
        <v>15</v>
      </c>
      <c r="G10444" s="0" t="s">
        <v>16</v>
      </c>
      <c r="H10444" s="0" t="n">
        <v>66</v>
      </c>
      <c r="I10444" s="0" t="s">
        <v>34678</v>
      </c>
      <c r="J10444" s="0" t="s">
        <v>34679</v>
      </c>
      <c r="K10444" s="0" t="s">
        <v>34680</v>
      </c>
      <c r="L10444" s="0" t="str">
        <f aca="false">HYPERLINK("https://www.ncbi.nlm.nih.gov/nuccore/CP000058.1?report=graph&amp;tracks=[key:gene_model_track,Options:GeneOnly]&amp;mk=3286685:3286704|offset_46|444444,3286705:3286724|offset_66|00cc00,3286728:3286747|offset_89|444444,3286753:3286772|offset_114|444444&amp;v=3286484:3286972&amp;c=444444", "offset 66")</f>
        <v>offset 66</v>
      </c>
    </row>
    <row r="10445" customFormat="false" ht="12.8" hidden="false" customHeight="false" outlineLevel="0" collapsed="false">
      <c r="A10445" s="0" t="s">
        <v>12</v>
      </c>
      <c r="B10445" s="0" t="n">
        <v>3286727</v>
      </c>
      <c r="C10445" s="0" t="n">
        <v>3286747</v>
      </c>
      <c r="D10445" s="0" t="s">
        <v>34674</v>
      </c>
      <c r="E10445" s="0" t="s">
        <v>75</v>
      </c>
      <c r="F10445" s="0" t="s">
        <v>15</v>
      </c>
      <c r="G10445" s="0" t="s">
        <v>20</v>
      </c>
      <c r="H10445" s="0" t="n">
        <v>89</v>
      </c>
      <c r="I10445" s="0" t="s">
        <v>34681</v>
      </c>
      <c r="J10445" s="0" t="s">
        <v>34682</v>
      </c>
      <c r="K10445" s="0" t="s">
        <v>34683</v>
      </c>
      <c r="L10445" s="0" t="str">
        <f aca="false">HYPERLINK("https://www.ncbi.nlm.nih.gov/nuccore/CP000058.1?report=graph&amp;tracks=[key:gene_model_track,Options:GeneOnly]&amp;mk=3286685:3286704|offset_46|444444,3286705:3286724|offset_66|444444,3286728:3286747|offset_89|00cc00,3286753:3286772|offset_114|444444&amp;v=3286484:3286972&amp;c=444444", "offset 89")</f>
        <v>offset 89</v>
      </c>
    </row>
    <row r="10446" customFormat="false" ht="12.8" hidden="false" customHeight="false" outlineLevel="0" collapsed="false">
      <c r="A10446" s="0" t="s">
        <v>12</v>
      </c>
      <c r="B10446" s="0" t="n">
        <v>3286752</v>
      </c>
      <c r="C10446" s="0" t="n">
        <v>3286772</v>
      </c>
      <c r="D10446" s="0" t="s">
        <v>34674</v>
      </c>
      <c r="E10446" s="0" t="s">
        <v>75</v>
      </c>
      <c r="F10446" s="0" t="s">
        <v>15</v>
      </c>
      <c r="G10446" s="0" t="s">
        <v>16</v>
      </c>
      <c r="H10446" s="0" t="n">
        <v>114</v>
      </c>
      <c r="I10446" s="0" t="s">
        <v>34684</v>
      </c>
      <c r="J10446" s="0" t="s">
        <v>34685</v>
      </c>
      <c r="K10446" s="0" t="s">
        <v>34686</v>
      </c>
      <c r="L10446" s="0" t="str">
        <f aca="false">HYPERLINK("https://www.ncbi.nlm.nih.gov/nuccore/CP000058.1?report=graph&amp;tracks=[key:gene_model_track,Options:GeneOnly]&amp;mk=3286685:3286704|offset_46|444444,3286705:3286724|offset_66|444444,3286728:3286747|offset_89|444444,3286753:3286772|offset_114|00cc00&amp;v=3286484:3286972&amp;c=444444", "offset 114")</f>
        <v>offset 114</v>
      </c>
    </row>
    <row r="10447" customFormat="false" ht="12.8" hidden="false" customHeight="false" outlineLevel="0" collapsed="false">
      <c r="A10447" s="0" t="s">
        <v>12</v>
      </c>
      <c r="B10447" s="0" t="n">
        <v>3288257</v>
      </c>
      <c r="C10447" s="0" t="n">
        <v>3288277</v>
      </c>
      <c r="D10447" s="0" t="s">
        <v>34687</v>
      </c>
      <c r="E10447" s="0" t="s">
        <v>34688</v>
      </c>
      <c r="F10447" s="0" t="s">
        <v>15</v>
      </c>
      <c r="G10447" s="0" t="s">
        <v>36</v>
      </c>
      <c r="H10447" s="0" t="n">
        <v>12</v>
      </c>
      <c r="I10447" s="0" t="s">
        <v>34689</v>
      </c>
      <c r="J10447" s="0" t="s">
        <v>34690</v>
      </c>
      <c r="K10447" s="0" t="s">
        <v>34691</v>
      </c>
      <c r="L10447" s="0" t="str">
        <f aca="false">HYPERLINK("https://www.ncbi.nlm.nih.gov/nuccore/CP000058.1?report=graph&amp;tracks=[key:gene_model_track,Options:GeneOnly]&amp;mk=3288258:3288277|offset_12|00cc00,3288313:3288332|offset_67|444444,3288349:3288368|offset_103|444444,3288369:3288388|offset_123|444444&amp;v=3288057:3288588&amp;c=444444", "offset 12")</f>
        <v>offset 12</v>
      </c>
    </row>
    <row r="10448" customFormat="false" ht="12.8" hidden="false" customHeight="false" outlineLevel="0" collapsed="false">
      <c r="A10448" s="0" t="s">
        <v>12</v>
      </c>
      <c r="B10448" s="0" t="n">
        <v>3288312</v>
      </c>
      <c r="C10448" s="0" t="n">
        <v>3288332</v>
      </c>
      <c r="D10448" s="0" t="s">
        <v>34687</v>
      </c>
      <c r="E10448" s="0" t="s">
        <v>34688</v>
      </c>
      <c r="F10448" s="0" t="s">
        <v>15</v>
      </c>
      <c r="G10448" s="0" t="s">
        <v>16</v>
      </c>
      <c r="H10448" s="0" t="n">
        <v>67</v>
      </c>
      <c r="I10448" s="0" t="s">
        <v>34692</v>
      </c>
      <c r="J10448" s="0" t="s">
        <v>34693</v>
      </c>
      <c r="K10448" s="0" t="s">
        <v>34694</v>
      </c>
      <c r="L10448" s="0" t="str">
        <f aca="false">HYPERLINK("https://www.ncbi.nlm.nih.gov/nuccore/CP000058.1?report=graph&amp;tracks=[key:gene_model_track,Options:GeneOnly]&amp;mk=3288258:3288277|offset_12|444444,3288313:3288332|offset_67|00cc00,3288349:3288368|offset_103|444444,3288369:3288388|offset_123|444444&amp;v=3288057:3288588&amp;c=444444", "offset 67")</f>
        <v>offset 67</v>
      </c>
    </row>
    <row r="10449" customFormat="false" ht="12.8" hidden="false" customHeight="false" outlineLevel="0" collapsed="false">
      <c r="A10449" s="0" t="s">
        <v>12</v>
      </c>
      <c r="B10449" s="0" t="n">
        <v>3288348</v>
      </c>
      <c r="C10449" s="0" t="n">
        <v>3288368</v>
      </c>
      <c r="D10449" s="0" t="s">
        <v>34687</v>
      </c>
      <c r="E10449" s="0" t="s">
        <v>34688</v>
      </c>
      <c r="F10449" s="0" t="s">
        <v>15</v>
      </c>
      <c r="G10449" s="0" t="s">
        <v>16</v>
      </c>
      <c r="H10449" s="0" t="n">
        <v>103</v>
      </c>
      <c r="I10449" s="0" t="s">
        <v>34695</v>
      </c>
      <c r="J10449" s="0" t="s">
        <v>34696</v>
      </c>
      <c r="K10449" s="0" t="s">
        <v>34697</v>
      </c>
      <c r="L10449" s="0" t="str">
        <f aca="false">HYPERLINK("https://www.ncbi.nlm.nih.gov/nuccore/CP000058.1?report=graph&amp;tracks=[key:gene_model_track,Options:GeneOnly]&amp;mk=3288258:3288277|offset_12|444444,3288313:3288332|offset_67|444444,3288349:3288368|offset_103|00cc00,3288369:3288388|offset_123|444444&amp;v=3288057:3288588&amp;c=444444", "offset 103")</f>
        <v>offset 103</v>
      </c>
    </row>
    <row r="10450" customFormat="false" ht="12.8" hidden="false" customHeight="false" outlineLevel="0" collapsed="false">
      <c r="A10450" s="0" t="s">
        <v>12</v>
      </c>
      <c r="B10450" s="0" t="n">
        <v>3288368</v>
      </c>
      <c r="C10450" s="0" t="n">
        <v>3288388</v>
      </c>
      <c r="D10450" s="0" t="s">
        <v>34687</v>
      </c>
      <c r="E10450" s="0" t="s">
        <v>34688</v>
      </c>
      <c r="F10450" s="0" t="s">
        <v>15</v>
      </c>
      <c r="G10450" s="0" t="s">
        <v>20</v>
      </c>
      <c r="H10450" s="0" t="n">
        <v>123</v>
      </c>
      <c r="I10450" s="0" t="s">
        <v>34698</v>
      </c>
      <c r="J10450" s="0" t="s">
        <v>34699</v>
      </c>
      <c r="K10450" s="0" t="s">
        <v>34700</v>
      </c>
      <c r="L10450" s="0" t="str">
        <f aca="false">HYPERLINK("https://www.ncbi.nlm.nih.gov/nuccore/CP000058.1?report=graph&amp;tracks=[key:gene_model_track,Options:GeneOnly]&amp;mk=3288258:3288277|offset_12|444444,3288313:3288332|offset_67|444444,3288349:3288368|offset_103|444444,3288369:3288388|offset_123|00cc00&amp;v=3288057:3288588&amp;c=444444", "offset 123")</f>
        <v>offset 123</v>
      </c>
    </row>
    <row r="10451" customFormat="false" ht="12.8" hidden="false" customHeight="false" outlineLevel="0" collapsed="false">
      <c r="A10451" s="0" t="s">
        <v>12</v>
      </c>
      <c r="B10451" s="0" t="n">
        <v>3289731</v>
      </c>
      <c r="C10451" s="0" t="n">
        <v>3289751</v>
      </c>
      <c r="D10451" s="0" t="s">
        <v>34701</v>
      </c>
      <c r="E10451" s="0" t="s">
        <v>75</v>
      </c>
      <c r="F10451" s="0" t="s">
        <v>90</v>
      </c>
      <c r="G10451" s="0" t="s">
        <v>16</v>
      </c>
      <c r="H10451" s="0" t="n">
        <v>66</v>
      </c>
      <c r="I10451" s="0" t="s">
        <v>34702</v>
      </c>
      <c r="J10451" s="0" t="s">
        <v>34703</v>
      </c>
      <c r="K10451" s="0" t="s">
        <v>34704</v>
      </c>
      <c r="L10451" s="0" t="str">
        <f aca="false">HYPERLINK("https://www.ncbi.nlm.nih.gov/nuccore/CP000058.1?report=graph&amp;tracks=[key:gene_model_track,Options:GeneOnly]&amp;mk=3289732:3289751|offset_66|00cc00,3289705:3289724|offset_93|444444,3289677:3289696|offset_121|444444,3289638:3289657|offset_160|444444&amp;v=3289531:3289857&amp;c=444444", "offset 66")</f>
        <v>offset 66</v>
      </c>
    </row>
    <row r="10452" customFormat="false" ht="12.8" hidden="false" customHeight="false" outlineLevel="0" collapsed="false">
      <c r="A10452" s="0" t="s">
        <v>12</v>
      </c>
      <c r="B10452" s="0" t="n">
        <v>3289704</v>
      </c>
      <c r="C10452" s="0" t="n">
        <v>3289724</v>
      </c>
      <c r="D10452" s="0" t="s">
        <v>34701</v>
      </c>
      <c r="E10452" s="0" t="s">
        <v>75</v>
      </c>
      <c r="F10452" s="0" t="s">
        <v>90</v>
      </c>
      <c r="G10452" s="0" t="s">
        <v>36</v>
      </c>
      <c r="H10452" s="0" t="n">
        <v>93</v>
      </c>
      <c r="I10452" s="0" t="s">
        <v>34705</v>
      </c>
      <c r="J10452" s="0" t="s">
        <v>34706</v>
      </c>
      <c r="K10452" s="0" t="s">
        <v>34707</v>
      </c>
      <c r="L10452" s="0" t="str">
        <f aca="false">HYPERLINK("https://www.ncbi.nlm.nih.gov/nuccore/CP000058.1?report=graph&amp;tracks=[key:gene_model_track,Options:GeneOnly]&amp;mk=3289732:3289751|offset_66|444444,3289705:3289724|offset_93|00cc00,3289677:3289696|offset_121|444444,3289638:3289657|offset_160|444444&amp;v=3289531:3289857&amp;c=444444", "offset 93")</f>
        <v>offset 93</v>
      </c>
    </row>
    <row r="10453" customFormat="false" ht="12.8" hidden="false" customHeight="false" outlineLevel="0" collapsed="false">
      <c r="A10453" s="0" t="s">
        <v>12</v>
      </c>
      <c r="B10453" s="0" t="n">
        <v>3289676</v>
      </c>
      <c r="C10453" s="0" t="n">
        <v>3289696</v>
      </c>
      <c r="D10453" s="0" t="s">
        <v>34701</v>
      </c>
      <c r="E10453" s="0" t="s">
        <v>75</v>
      </c>
      <c r="F10453" s="0" t="s">
        <v>90</v>
      </c>
      <c r="G10453" s="0" t="s">
        <v>16</v>
      </c>
      <c r="H10453" s="0" t="n">
        <v>121</v>
      </c>
      <c r="I10453" s="0" t="s">
        <v>34708</v>
      </c>
      <c r="J10453" s="0" t="s">
        <v>34709</v>
      </c>
      <c r="K10453" s="0" t="s">
        <v>34710</v>
      </c>
      <c r="L10453" s="0" t="str">
        <f aca="false">HYPERLINK("https://www.ncbi.nlm.nih.gov/nuccore/CP000058.1?report=graph&amp;tracks=[key:gene_model_track,Options:GeneOnly]&amp;mk=3289732:3289751|offset_66|444444,3289705:3289724|offset_93|444444,3289677:3289696|offset_121|00cc00,3289638:3289657|offset_160|444444&amp;v=3289531:3289857&amp;c=444444", "offset 121")</f>
        <v>offset 121</v>
      </c>
    </row>
    <row r="10454" customFormat="false" ht="12.8" hidden="false" customHeight="false" outlineLevel="0" collapsed="false">
      <c r="A10454" s="0" t="s">
        <v>12</v>
      </c>
      <c r="B10454" s="0" t="n">
        <v>3289637</v>
      </c>
      <c r="C10454" s="0" t="n">
        <v>3289657</v>
      </c>
      <c r="D10454" s="0" t="s">
        <v>34701</v>
      </c>
      <c r="E10454" s="0" t="s">
        <v>75</v>
      </c>
      <c r="F10454" s="0" t="s">
        <v>90</v>
      </c>
      <c r="G10454" s="0" t="s">
        <v>16</v>
      </c>
      <c r="H10454" s="0" t="n">
        <v>160</v>
      </c>
      <c r="I10454" s="0" t="s">
        <v>34711</v>
      </c>
      <c r="J10454" s="0" t="s">
        <v>34712</v>
      </c>
      <c r="K10454" s="0" t="s">
        <v>34713</v>
      </c>
      <c r="L10454" s="0" t="str">
        <f aca="false">HYPERLINK("https://www.ncbi.nlm.nih.gov/nuccore/CP000058.1?report=graph&amp;tracks=[key:gene_model_track,Options:GeneOnly]&amp;mk=3289732:3289751|offset_66|444444,3289705:3289724|offset_93|444444,3289677:3289696|offset_121|444444,3289638:3289657|offset_160|00cc00&amp;v=3289531:3289857&amp;c=444444", "offset 160")</f>
        <v>offset 160</v>
      </c>
    </row>
    <row r="10455" customFormat="false" ht="12.8" hidden="false" customHeight="false" outlineLevel="0" collapsed="false">
      <c r="A10455" s="0" t="s">
        <v>12</v>
      </c>
      <c r="B10455" s="0" t="n">
        <v>3290248</v>
      </c>
      <c r="C10455" s="0" t="n">
        <v>3290268</v>
      </c>
      <c r="D10455" s="0" t="s">
        <v>34714</v>
      </c>
      <c r="E10455" s="0" t="s">
        <v>75</v>
      </c>
      <c r="F10455" s="0" t="s">
        <v>90</v>
      </c>
      <c r="G10455" s="0" t="s">
        <v>36</v>
      </c>
      <c r="H10455" s="0" t="n">
        <v>13</v>
      </c>
      <c r="I10455" s="0" t="s">
        <v>34715</v>
      </c>
      <c r="J10455" s="0" t="s">
        <v>34716</v>
      </c>
      <c r="K10455" s="0" t="s">
        <v>34717</v>
      </c>
      <c r="L10455" s="0" t="str">
        <f aca="false">HYPERLINK("https://www.ncbi.nlm.nih.gov/nuccore/CP000058.1?report=graph&amp;tracks=[key:gene_model_track,Options:GeneOnly]&amp;mk=3290249:3290268|offset_13|00cc00,3290195:3290214|offset_67|444444,3290172:3290191|offset_90|444444,3290131:3290150|offset_131|444444&amp;v=3290048:3290350&amp;c=444444", "offset 13")</f>
        <v>offset 13</v>
      </c>
    </row>
    <row r="10456" customFormat="false" ht="12.8" hidden="false" customHeight="false" outlineLevel="0" collapsed="false">
      <c r="A10456" s="0" t="s">
        <v>12</v>
      </c>
      <c r="B10456" s="0" t="n">
        <v>3290194</v>
      </c>
      <c r="C10456" s="0" t="n">
        <v>3290214</v>
      </c>
      <c r="D10456" s="0" t="s">
        <v>34714</v>
      </c>
      <c r="E10456" s="0" t="s">
        <v>75</v>
      </c>
      <c r="F10456" s="0" t="s">
        <v>90</v>
      </c>
      <c r="G10456" s="0" t="s">
        <v>32</v>
      </c>
      <c r="H10456" s="0" t="n">
        <v>67</v>
      </c>
      <c r="I10456" s="0" t="s">
        <v>34718</v>
      </c>
      <c r="J10456" s="0" t="s">
        <v>34719</v>
      </c>
      <c r="K10456" s="0" t="s">
        <v>34720</v>
      </c>
      <c r="L10456" s="0" t="str">
        <f aca="false">HYPERLINK("https://www.ncbi.nlm.nih.gov/nuccore/CP000058.1?report=graph&amp;tracks=[key:gene_model_track,Options:GeneOnly]&amp;mk=3290249:3290268|offset_13|444444,3290195:3290214|offset_67|00cc00,3290172:3290191|offset_90|444444,3290131:3290150|offset_131|444444&amp;v=3290048:3290350&amp;c=444444", "offset 67")</f>
        <v>offset 67</v>
      </c>
    </row>
    <row r="10457" customFormat="false" ht="12.8" hidden="false" customHeight="false" outlineLevel="0" collapsed="false">
      <c r="A10457" s="0" t="s">
        <v>12</v>
      </c>
      <c r="B10457" s="0" t="n">
        <v>3290171</v>
      </c>
      <c r="C10457" s="0" t="n">
        <v>3290191</v>
      </c>
      <c r="D10457" s="0" t="s">
        <v>34714</v>
      </c>
      <c r="E10457" s="0" t="s">
        <v>75</v>
      </c>
      <c r="F10457" s="0" t="s">
        <v>90</v>
      </c>
      <c r="G10457" s="0" t="s">
        <v>36</v>
      </c>
      <c r="H10457" s="0" t="n">
        <v>90</v>
      </c>
      <c r="I10457" s="0" t="s">
        <v>34721</v>
      </c>
      <c r="J10457" s="0" t="s">
        <v>34722</v>
      </c>
      <c r="K10457" s="0" t="s">
        <v>34723</v>
      </c>
      <c r="L10457" s="0" t="str">
        <f aca="false">HYPERLINK("https://www.ncbi.nlm.nih.gov/nuccore/CP000058.1?report=graph&amp;tracks=[key:gene_model_track,Options:GeneOnly]&amp;mk=3290249:3290268|offset_13|444444,3290195:3290214|offset_67|444444,3290172:3290191|offset_90|00cc00,3290131:3290150|offset_131|444444&amp;v=3290048:3290350&amp;c=444444", "offset 90")</f>
        <v>offset 90</v>
      </c>
    </row>
    <row r="10458" customFormat="false" ht="12.8" hidden="false" customHeight="false" outlineLevel="0" collapsed="false">
      <c r="A10458" s="0" t="s">
        <v>12</v>
      </c>
      <c r="B10458" s="0" t="n">
        <v>3290130</v>
      </c>
      <c r="C10458" s="0" t="n">
        <v>3290150</v>
      </c>
      <c r="D10458" s="0" t="s">
        <v>34714</v>
      </c>
      <c r="E10458" s="0" t="s">
        <v>75</v>
      </c>
      <c r="F10458" s="0" t="s">
        <v>90</v>
      </c>
      <c r="G10458" s="0" t="s">
        <v>32</v>
      </c>
      <c r="H10458" s="0" t="n">
        <v>131</v>
      </c>
      <c r="I10458" s="0" t="s">
        <v>34724</v>
      </c>
      <c r="J10458" s="0" t="s">
        <v>34725</v>
      </c>
      <c r="K10458" s="0" t="s">
        <v>34726</v>
      </c>
      <c r="L10458" s="0" t="str">
        <f aca="false">HYPERLINK("https://www.ncbi.nlm.nih.gov/nuccore/CP000058.1?report=graph&amp;tracks=[key:gene_model_track,Options:GeneOnly]&amp;mk=3290249:3290268|offset_13|444444,3290195:3290214|offset_67|444444,3290172:3290191|offset_90|444444,3290131:3290150|offset_131|00cc00&amp;v=3290048:3290350&amp;c=444444", "offset 131")</f>
        <v>offset 131</v>
      </c>
    </row>
    <row r="10459" customFormat="false" ht="12.8" hidden="false" customHeight="false" outlineLevel="0" collapsed="false">
      <c r="A10459" s="0" t="s">
        <v>12</v>
      </c>
      <c r="B10459" s="0" t="n">
        <v>3290286</v>
      </c>
      <c r="C10459" s="0" t="n">
        <v>3290306</v>
      </c>
      <c r="D10459" s="0" t="s">
        <v>34727</v>
      </c>
      <c r="E10459" s="0" t="s">
        <v>75</v>
      </c>
      <c r="F10459" s="0" t="s">
        <v>15</v>
      </c>
      <c r="G10459" s="0" t="s">
        <v>20</v>
      </c>
      <c r="H10459" s="0" t="n">
        <v>13</v>
      </c>
      <c r="I10459" s="0" t="s">
        <v>34728</v>
      </c>
      <c r="J10459" s="0" t="s">
        <v>34729</v>
      </c>
      <c r="K10459" s="0" t="s">
        <v>34730</v>
      </c>
      <c r="L10459" s="0" t="str">
        <f aca="false">HYPERLINK("https://www.ncbi.nlm.nih.gov/nuccore/CP000058.1?report=graph&amp;tracks=[key:gene_model_track,Options:GeneOnly]&amp;mk=3290287:3290306|offset_13|00cc00,3290329:3290348|offset_55|444444,3290363:3290382|offset_89|444444&amp;v=3290086:3290582&amp;c=444444", "offset 13")</f>
        <v>offset 13</v>
      </c>
    </row>
    <row r="10460" customFormat="false" ht="12.8" hidden="false" customHeight="false" outlineLevel="0" collapsed="false">
      <c r="A10460" s="0" t="s">
        <v>12</v>
      </c>
      <c r="B10460" s="0" t="n">
        <v>3290328</v>
      </c>
      <c r="C10460" s="0" t="n">
        <v>3290348</v>
      </c>
      <c r="D10460" s="0" t="s">
        <v>34727</v>
      </c>
      <c r="E10460" s="0" t="s">
        <v>75</v>
      </c>
      <c r="F10460" s="0" t="s">
        <v>15</v>
      </c>
      <c r="G10460" s="0" t="s">
        <v>32</v>
      </c>
      <c r="H10460" s="0" t="n">
        <v>55</v>
      </c>
      <c r="I10460" s="0" t="s">
        <v>34731</v>
      </c>
      <c r="J10460" s="0" t="s">
        <v>34732</v>
      </c>
      <c r="K10460" s="0" t="s">
        <v>34733</v>
      </c>
      <c r="L10460" s="0" t="str">
        <f aca="false">HYPERLINK("https://www.ncbi.nlm.nih.gov/nuccore/CP000058.1?report=graph&amp;tracks=[key:gene_model_track,Options:GeneOnly]&amp;mk=3290287:3290306|offset_13|444444,3290329:3290348|offset_55|00cc00,3290363:3290382|offset_89|444444&amp;v=3290086:3290582&amp;c=444444", "offset 55")</f>
        <v>offset 55</v>
      </c>
    </row>
    <row r="10461" customFormat="false" ht="12.8" hidden="false" customHeight="false" outlineLevel="0" collapsed="false">
      <c r="A10461" s="0" t="s">
        <v>12</v>
      </c>
      <c r="B10461" s="0" t="n">
        <v>3290362</v>
      </c>
      <c r="C10461" s="0" t="n">
        <v>3290382</v>
      </c>
      <c r="D10461" s="0" t="s">
        <v>34727</v>
      </c>
      <c r="E10461" s="0" t="s">
        <v>75</v>
      </c>
      <c r="F10461" s="0" t="s">
        <v>15</v>
      </c>
      <c r="G10461" s="0" t="s">
        <v>20</v>
      </c>
      <c r="H10461" s="0" t="n">
        <v>89</v>
      </c>
      <c r="I10461" s="0" t="s">
        <v>34734</v>
      </c>
      <c r="J10461" s="0" t="s">
        <v>34735</v>
      </c>
      <c r="K10461" s="0" t="s">
        <v>34736</v>
      </c>
      <c r="L10461" s="0" t="str">
        <f aca="false">HYPERLINK("https://www.ncbi.nlm.nih.gov/nuccore/CP000058.1?report=graph&amp;tracks=[key:gene_model_track,Options:GeneOnly]&amp;mk=3290287:3290306|offset_13|444444,3290329:3290348|offset_55|444444,3290363:3290382|offset_89|00cc00&amp;v=3290086:3290582&amp;c=444444", "offset 89")</f>
        <v>offset 89</v>
      </c>
    </row>
    <row r="10462" customFormat="false" ht="12.8" hidden="false" customHeight="false" outlineLevel="0" collapsed="false">
      <c r="A10462" s="0" t="s">
        <v>12</v>
      </c>
      <c r="B10462" s="0" t="n">
        <v>3290854</v>
      </c>
      <c r="C10462" s="0" t="n">
        <v>3290874</v>
      </c>
      <c r="D10462" s="0" t="s">
        <v>34737</v>
      </c>
      <c r="E10462" s="0" t="s">
        <v>75</v>
      </c>
      <c r="F10462" s="0" t="s">
        <v>90</v>
      </c>
      <c r="G10462" s="0" t="s">
        <v>16</v>
      </c>
      <c r="H10462" s="0" t="n">
        <v>21</v>
      </c>
      <c r="I10462" s="0" t="s">
        <v>34738</v>
      </c>
      <c r="J10462" s="0" t="s">
        <v>34739</v>
      </c>
      <c r="K10462" s="0" t="s">
        <v>34740</v>
      </c>
      <c r="L10462" s="0" t="str">
        <f aca="false">HYPERLINK("https://www.ncbi.nlm.nih.gov/nuccore/CP000058.1?report=graph&amp;tracks=[key:gene_model_track,Options:GeneOnly]&amp;mk=3290855:3290874|offset_21|00cc00,3290799:3290818|offset_77|444444,3290766:3290785|offset_110|444444,3290740:3290759|offset_136|444444&amp;v=3290654:3290959&amp;c=444444", "offset 21")</f>
        <v>offset 21</v>
      </c>
    </row>
    <row r="10463" customFormat="false" ht="12.8" hidden="false" customHeight="false" outlineLevel="0" collapsed="false">
      <c r="A10463" s="0" t="s">
        <v>12</v>
      </c>
      <c r="B10463" s="0" t="n">
        <v>3290798</v>
      </c>
      <c r="C10463" s="0" t="n">
        <v>3290818</v>
      </c>
      <c r="D10463" s="0" t="s">
        <v>34737</v>
      </c>
      <c r="E10463" s="0" t="s">
        <v>75</v>
      </c>
      <c r="F10463" s="0" t="s">
        <v>90</v>
      </c>
      <c r="G10463" s="0" t="s">
        <v>32</v>
      </c>
      <c r="H10463" s="0" t="n">
        <v>77</v>
      </c>
      <c r="I10463" s="0" t="s">
        <v>34741</v>
      </c>
      <c r="J10463" s="0" t="s">
        <v>34742</v>
      </c>
      <c r="K10463" s="0" t="s">
        <v>34743</v>
      </c>
      <c r="L10463" s="0" t="str">
        <f aca="false">HYPERLINK("https://www.ncbi.nlm.nih.gov/nuccore/CP000058.1?report=graph&amp;tracks=[key:gene_model_track,Options:GeneOnly]&amp;mk=3290855:3290874|offset_21|444444,3290799:3290818|offset_77|00cc00,3290766:3290785|offset_110|444444,3290740:3290759|offset_136|444444&amp;v=3290654:3290959&amp;c=444444", "offset 77")</f>
        <v>offset 77</v>
      </c>
    </row>
    <row r="10464" customFormat="false" ht="12.8" hidden="false" customHeight="false" outlineLevel="0" collapsed="false">
      <c r="A10464" s="0" t="s">
        <v>12</v>
      </c>
      <c r="B10464" s="0" t="n">
        <v>3290765</v>
      </c>
      <c r="C10464" s="0" t="n">
        <v>3290785</v>
      </c>
      <c r="D10464" s="0" t="s">
        <v>34737</v>
      </c>
      <c r="E10464" s="0" t="s">
        <v>75</v>
      </c>
      <c r="F10464" s="0" t="s">
        <v>90</v>
      </c>
      <c r="G10464" s="0" t="s">
        <v>32</v>
      </c>
      <c r="H10464" s="0" t="n">
        <v>110</v>
      </c>
      <c r="I10464" s="0" t="s">
        <v>34744</v>
      </c>
      <c r="J10464" s="0" t="s">
        <v>34745</v>
      </c>
      <c r="K10464" s="0" t="s">
        <v>34746</v>
      </c>
      <c r="L10464" s="0" t="str">
        <f aca="false">HYPERLINK("https://www.ncbi.nlm.nih.gov/nuccore/CP000058.1?report=graph&amp;tracks=[key:gene_model_track,Options:GeneOnly]&amp;mk=3290855:3290874|offset_21|444444,3290799:3290818|offset_77|444444,3290766:3290785|offset_110|00cc00,3290740:3290759|offset_136|444444&amp;v=3290654:3290959&amp;c=444444", "offset 110")</f>
        <v>offset 110</v>
      </c>
    </row>
    <row r="10465" customFormat="false" ht="12.8" hidden="false" customHeight="false" outlineLevel="0" collapsed="false">
      <c r="A10465" s="0" t="s">
        <v>12</v>
      </c>
      <c r="B10465" s="0" t="n">
        <v>3290739</v>
      </c>
      <c r="C10465" s="0" t="n">
        <v>3290759</v>
      </c>
      <c r="D10465" s="0" t="s">
        <v>34737</v>
      </c>
      <c r="E10465" s="0" t="s">
        <v>75</v>
      </c>
      <c r="F10465" s="0" t="s">
        <v>90</v>
      </c>
      <c r="G10465" s="0" t="s">
        <v>36</v>
      </c>
      <c r="H10465" s="0" t="n">
        <v>136</v>
      </c>
      <c r="I10465" s="0" t="s">
        <v>34747</v>
      </c>
      <c r="J10465" s="0" t="s">
        <v>34748</v>
      </c>
      <c r="K10465" s="0" t="s">
        <v>34749</v>
      </c>
      <c r="L10465" s="0" t="str">
        <f aca="false">HYPERLINK("https://www.ncbi.nlm.nih.gov/nuccore/CP000058.1?report=graph&amp;tracks=[key:gene_model_track,Options:GeneOnly]&amp;mk=3290855:3290874|offset_21|444444,3290799:3290818|offset_77|444444,3290766:3290785|offset_110|444444,3290740:3290759|offset_136|00cc00&amp;v=3290654:3290959&amp;c=444444", "offset 136")</f>
        <v>offset 136</v>
      </c>
    </row>
    <row r="10466" customFormat="false" ht="12.8" hidden="false" customHeight="false" outlineLevel="0" collapsed="false">
      <c r="A10466" s="0" t="s">
        <v>12</v>
      </c>
      <c r="B10466" s="0" t="n">
        <v>3291109</v>
      </c>
      <c r="C10466" s="0" t="n">
        <v>3291129</v>
      </c>
      <c r="D10466" s="0" t="s">
        <v>34750</v>
      </c>
      <c r="E10466" s="0" t="s">
        <v>75</v>
      </c>
      <c r="F10466" s="0" t="s">
        <v>90</v>
      </c>
      <c r="G10466" s="0" t="s">
        <v>20</v>
      </c>
      <c r="H10466" s="0" t="n">
        <v>56</v>
      </c>
      <c r="I10466" s="0" t="s">
        <v>34751</v>
      </c>
      <c r="J10466" s="0" t="s">
        <v>34752</v>
      </c>
      <c r="K10466" s="0" t="s">
        <v>34753</v>
      </c>
      <c r="L10466" s="0" t="str">
        <f aca="false">HYPERLINK("https://www.ncbi.nlm.nih.gov/nuccore/CP000058.1?report=graph&amp;tracks=[key:gene_model_track,Options:GeneOnly]&amp;mk=3291110:3291129|offset_56|00cc00,3291082:3291101|offset_84|444444&amp;v=3290909:3291301&amp;c=444444", "offset 56")</f>
        <v>offset 56</v>
      </c>
    </row>
    <row r="10467" customFormat="false" ht="12.8" hidden="false" customHeight="false" outlineLevel="0" collapsed="false">
      <c r="A10467" s="0" t="s">
        <v>12</v>
      </c>
      <c r="B10467" s="0" t="n">
        <v>3291081</v>
      </c>
      <c r="C10467" s="0" t="n">
        <v>3291101</v>
      </c>
      <c r="D10467" s="0" t="s">
        <v>34750</v>
      </c>
      <c r="E10467" s="0" t="s">
        <v>75</v>
      </c>
      <c r="F10467" s="0" t="s">
        <v>90</v>
      </c>
      <c r="G10467" s="0" t="s">
        <v>16</v>
      </c>
      <c r="H10467" s="0" t="n">
        <v>84</v>
      </c>
      <c r="I10467" s="0" t="s">
        <v>34754</v>
      </c>
      <c r="J10467" s="0" t="s">
        <v>34755</v>
      </c>
      <c r="K10467" s="0" t="s">
        <v>34756</v>
      </c>
      <c r="L10467" s="0" t="str">
        <f aca="false">HYPERLINK("https://www.ncbi.nlm.nih.gov/nuccore/CP000058.1?report=graph&amp;tracks=[key:gene_model_track,Options:GeneOnly]&amp;mk=3291110:3291129|offset_56|444444,3291082:3291101|offset_84|00cc00&amp;v=3290909:3291301&amp;c=444444", "offset 84")</f>
        <v>offset 84</v>
      </c>
    </row>
    <row r="10468" customFormat="false" ht="12.8" hidden="false" customHeight="false" outlineLevel="0" collapsed="false">
      <c r="A10468" s="0" t="s">
        <v>12</v>
      </c>
      <c r="B10468" s="0" t="n">
        <v>3292092</v>
      </c>
      <c r="C10468" s="0" t="n">
        <v>3292112</v>
      </c>
      <c r="D10468" s="0" t="s">
        <v>34757</v>
      </c>
      <c r="E10468" s="0" t="s">
        <v>75</v>
      </c>
      <c r="F10468" s="0" t="s">
        <v>90</v>
      </c>
      <c r="G10468" s="0" t="s">
        <v>20</v>
      </c>
      <c r="H10468" s="0" t="n">
        <v>59</v>
      </c>
      <c r="I10468" s="0" t="s">
        <v>34758</v>
      </c>
      <c r="J10468" s="0" t="s">
        <v>34759</v>
      </c>
      <c r="K10468" s="0" t="s">
        <v>34760</v>
      </c>
      <c r="L10468" s="0" t="str">
        <f aca="false">HYPERLINK("https://www.ncbi.nlm.nih.gov/nuccore/CP000058.1?report=graph&amp;tracks=[key:gene_model_track,Options:GeneOnly]&amp;mk=3292093:3292112|offset_59|00cc00,3292073:3292092|offset_79|444444,3292048:3292067|offset_104|444444,3292007:3292026|offset_145|444444&amp;v=3291892:3292226&amp;c=444444", "offset 59")</f>
        <v>offset 59</v>
      </c>
    </row>
    <row r="10469" customFormat="false" ht="12.8" hidden="false" customHeight="false" outlineLevel="0" collapsed="false">
      <c r="A10469" s="0" t="s">
        <v>12</v>
      </c>
      <c r="B10469" s="0" t="n">
        <v>3292072</v>
      </c>
      <c r="C10469" s="0" t="n">
        <v>3292092</v>
      </c>
      <c r="D10469" s="0" t="s">
        <v>34757</v>
      </c>
      <c r="E10469" s="0" t="s">
        <v>75</v>
      </c>
      <c r="F10469" s="0" t="s">
        <v>90</v>
      </c>
      <c r="G10469" s="0" t="s">
        <v>16</v>
      </c>
      <c r="H10469" s="0" t="n">
        <v>79</v>
      </c>
      <c r="I10469" s="0" t="s">
        <v>34761</v>
      </c>
      <c r="J10469" s="0" t="s">
        <v>34762</v>
      </c>
      <c r="K10469" s="0" t="s">
        <v>34763</v>
      </c>
      <c r="L10469" s="0" t="str">
        <f aca="false">HYPERLINK("https://www.ncbi.nlm.nih.gov/nuccore/CP000058.1?report=graph&amp;tracks=[key:gene_model_track,Options:GeneOnly]&amp;mk=3292093:3292112|offset_59|444444,3292073:3292092|offset_79|00cc00,3292048:3292067|offset_104|444444,3292007:3292026|offset_145|444444&amp;v=3291892:3292226&amp;c=444444", "offset 79")</f>
        <v>offset 79</v>
      </c>
    </row>
    <row r="10470" customFormat="false" ht="12.8" hidden="false" customHeight="false" outlineLevel="0" collapsed="false">
      <c r="A10470" s="0" t="s">
        <v>12</v>
      </c>
      <c r="B10470" s="0" t="n">
        <v>3292047</v>
      </c>
      <c r="C10470" s="0" t="n">
        <v>3292067</v>
      </c>
      <c r="D10470" s="0" t="s">
        <v>34757</v>
      </c>
      <c r="E10470" s="0" t="s">
        <v>75</v>
      </c>
      <c r="F10470" s="0" t="s">
        <v>90</v>
      </c>
      <c r="G10470" s="0" t="s">
        <v>32</v>
      </c>
      <c r="H10470" s="0" t="n">
        <v>104</v>
      </c>
      <c r="I10470" s="0" t="s">
        <v>34764</v>
      </c>
      <c r="J10470" s="0" t="s">
        <v>34765</v>
      </c>
      <c r="K10470" s="0" t="s">
        <v>34766</v>
      </c>
      <c r="L10470" s="0" t="str">
        <f aca="false">HYPERLINK("https://www.ncbi.nlm.nih.gov/nuccore/CP000058.1?report=graph&amp;tracks=[key:gene_model_track,Options:GeneOnly]&amp;mk=3292093:3292112|offset_59|444444,3292073:3292092|offset_79|444444,3292048:3292067|offset_104|00cc00,3292007:3292026|offset_145|444444&amp;v=3291892:3292226&amp;c=444444", "offset 104")</f>
        <v>offset 104</v>
      </c>
    </row>
    <row r="10471" customFormat="false" ht="12.8" hidden="false" customHeight="false" outlineLevel="0" collapsed="false">
      <c r="A10471" s="0" t="s">
        <v>12</v>
      </c>
      <c r="B10471" s="0" t="n">
        <v>3292006</v>
      </c>
      <c r="C10471" s="0" t="n">
        <v>3292026</v>
      </c>
      <c r="D10471" s="0" t="s">
        <v>34757</v>
      </c>
      <c r="E10471" s="0" t="s">
        <v>75</v>
      </c>
      <c r="F10471" s="0" t="s">
        <v>90</v>
      </c>
      <c r="G10471" s="0" t="s">
        <v>16</v>
      </c>
      <c r="H10471" s="0" t="n">
        <v>145</v>
      </c>
      <c r="I10471" s="0" t="s">
        <v>34767</v>
      </c>
      <c r="J10471" s="0" t="s">
        <v>34768</v>
      </c>
      <c r="K10471" s="0" t="s">
        <v>34769</v>
      </c>
      <c r="L10471" s="0" t="str">
        <f aca="false">HYPERLINK("https://www.ncbi.nlm.nih.gov/nuccore/CP000058.1?report=graph&amp;tracks=[key:gene_model_track,Options:GeneOnly]&amp;mk=3292093:3292112|offset_59|444444,3292073:3292092|offset_79|444444,3292048:3292067|offset_104|444444,3292007:3292026|offset_145|00cc00&amp;v=3291892:3292226&amp;c=444444", "offset 145")</f>
        <v>offset 145</v>
      </c>
    </row>
    <row r="10472" customFormat="false" ht="12.8" hidden="false" customHeight="false" outlineLevel="0" collapsed="false">
      <c r="A10472" s="0" t="s">
        <v>12</v>
      </c>
      <c r="B10472" s="0" t="n">
        <v>3292559</v>
      </c>
      <c r="C10472" s="0" t="n">
        <v>3292579</v>
      </c>
      <c r="D10472" s="0" t="s">
        <v>34770</v>
      </c>
      <c r="E10472" s="0" t="s">
        <v>75</v>
      </c>
      <c r="F10472" s="0" t="s">
        <v>90</v>
      </c>
      <c r="G10472" s="0" t="s">
        <v>16</v>
      </c>
      <c r="H10472" s="0" t="n">
        <v>14</v>
      </c>
      <c r="I10472" s="0" t="s">
        <v>34771</v>
      </c>
      <c r="J10472" s="0" t="s">
        <v>34772</v>
      </c>
      <c r="K10472" s="0" t="s">
        <v>34773</v>
      </c>
      <c r="L10472" s="0" t="str">
        <f aca="false">HYPERLINK("https://www.ncbi.nlm.nih.gov/nuccore/CP000058.1?report=graph&amp;tracks=[key:gene_model_track,Options:GeneOnly]&amp;mk=3292560:3292579|offset_14|00cc00,3292539:3292558|offset_35|444444,3292507:3292526|offset_67|444444,3292462:3292481|offset_112|444444&amp;v=3292359:3292681&amp;c=444444", "offset 14")</f>
        <v>offset 14</v>
      </c>
    </row>
    <row r="10473" customFormat="false" ht="12.8" hidden="false" customHeight="false" outlineLevel="0" collapsed="false">
      <c r="A10473" s="0" t="s">
        <v>12</v>
      </c>
      <c r="B10473" s="0" t="n">
        <v>3292538</v>
      </c>
      <c r="C10473" s="0" t="n">
        <v>3292558</v>
      </c>
      <c r="D10473" s="0" t="s">
        <v>34770</v>
      </c>
      <c r="E10473" s="0" t="s">
        <v>75</v>
      </c>
      <c r="F10473" s="0" t="s">
        <v>90</v>
      </c>
      <c r="G10473" s="0" t="s">
        <v>32</v>
      </c>
      <c r="H10473" s="0" t="n">
        <v>35</v>
      </c>
      <c r="I10473" s="0" t="s">
        <v>34774</v>
      </c>
      <c r="J10473" s="0" t="s">
        <v>34775</v>
      </c>
      <c r="K10473" s="0" t="s">
        <v>34776</v>
      </c>
      <c r="L10473" s="0" t="str">
        <f aca="false">HYPERLINK("https://www.ncbi.nlm.nih.gov/nuccore/CP000058.1?report=graph&amp;tracks=[key:gene_model_track,Options:GeneOnly]&amp;mk=3292560:3292579|offset_14|444444,3292539:3292558|offset_35|00cc00,3292507:3292526|offset_67|444444,3292462:3292481|offset_112|444444&amp;v=3292359:3292681&amp;c=444444", "offset 35")</f>
        <v>offset 35</v>
      </c>
    </row>
    <row r="10474" customFormat="false" ht="12.8" hidden="false" customHeight="false" outlineLevel="0" collapsed="false">
      <c r="A10474" s="0" t="s">
        <v>12</v>
      </c>
      <c r="B10474" s="0" t="n">
        <v>3292506</v>
      </c>
      <c r="C10474" s="0" t="n">
        <v>3292526</v>
      </c>
      <c r="D10474" s="0" t="s">
        <v>34770</v>
      </c>
      <c r="E10474" s="0" t="s">
        <v>75</v>
      </c>
      <c r="F10474" s="0" t="s">
        <v>90</v>
      </c>
      <c r="G10474" s="0" t="s">
        <v>16</v>
      </c>
      <c r="H10474" s="0" t="n">
        <v>67</v>
      </c>
      <c r="I10474" s="0" t="s">
        <v>34777</v>
      </c>
      <c r="J10474" s="0" t="s">
        <v>34778</v>
      </c>
      <c r="K10474" s="0" t="s">
        <v>34779</v>
      </c>
      <c r="L10474" s="0" t="str">
        <f aca="false">HYPERLINK("https://www.ncbi.nlm.nih.gov/nuccore/CP000058.1?report=graph&amp;tracks=[key:gene_model_track,Options:GeneOnly]&amp;mk=3292560:3292579|offset_14|444444,3292539:3292558|offset_35|444444,3292507:3292526|offset_67|00cc00,3292462:3292481|offset_112|444444&amp;v=3292359:3292681&amp;c=444444", "offset 67")</f>
        <v>offset 67</v>
      </c>
    </row>
    <row r="10475" customFormat="false" ht="12.8" hidden="false" customHeight="false" outlineLevel="0" collapsed="false">
      <c r="A10475" s="0" t="s">
        <v>12</v>
      </c>
      <c r="B10475" s="0" t="n">
        <v>3292461</v>
      </c>
      <c r="C10475" s="0" t="n">
        <v>3292481</v>
      </c>
      <c r="D10475" s="0" t="s">
        <v>34770</v>
      </c>
      <c r="E10475" s="0" t="s">
        <v>75</v>
      </c>
      <c r="F10475" s="0" t="s">
        <v>90</v>
      </c>
      <c r="G10475" s="0" t="s">
        <v>20</v>
      </c>
      <c r="H10475" s="0" t="n">
        <v>112</v>
      </c>
      <c r="I10475" s="0" t="s">
        <v>34780</v>
      </c>
      <c r="J10475" s="0" t="s">
        <v>34781</v>
      </c>
      <c r="K10475" s="0" t="s">
        <v>34782</v>
      </c>
      <c r="L10475" s="0" t="str">
        <f aca="false">HYPERLINK("https://www.ncbi.nlm.nih.gov/nuccore/CP000058.1?report=graph&amp;tracks=[key:gene_model_track,Options:GeneOnly]&amp;mk=3292560:3292579|offset_14|444444,3292539:3292558|offset_35|444444,3292507:3292526|offset_67|444444,3292462:3292481|offset_112|00cc00&amp;v=3292359:3292681&amp;c=444444", "offset 112")</f>
        <v>offset 112</v>
      </c>
    </row>
    <row r="10476" customFormat="false" ht="12.8" hidden="false" customHeight="false" outlineLevel="0" collapsed="false">
      <c r="A10476" s="0" t="s">
        <v>12</v>
      </c>
      <c r="B10476" s="0" t="n">
        <v>3294874</v>
      </c>
      <c r="C10476" s="0" t="n">
        <v>3294894</v>
      </c>
      <c r="D10476" s="0" t="s">
        <v>34783</v>
      </c>
      <c r="E10476" s="0" t="s">
        <v>75</v>
      </c>
      <c r="F10476" s="0" t="s">
        <v>90</v>
      </c>
      <c r="G10476" s="0" t="s">
        <v>36</v>
      </c>
      <c r="H10476" s="0" t="n">
        <v>39</v>
      </c>
      <c r="I10476" s="0" t="s">
        <v>34784</v>
      </c>
      <c r="J10476" s="0" t="s">
        <v>34785</v>
      </c>
      <c r="K10476" s="0" t="s">
        <v>34786</v>
      </c>
      <c r="L10476" s="0" t="str">
        <f aca="false">HYPERLINK("https://www.ncbi.nlm.nih.gov/nuccore/CP000058.1?report=graph&amp;tracks=[key:gene_model_track,Options:GeneOnly]&amp;mk=3294875:3294894|offset_39|00cc00,3294831:3294850|offset_83|444444,3294808:3294827|offset_106|444444,3294779:3294798|offset_135|444444&amp;v=3294674:3294998&amp;c=444444", "offset 39")</f>
        <v>offset 39</v>
      </c>
    </row>
    <row r="10477" customFormat="false" ht="12.8" hidden="false" customHeight="false" outlineLevel="0" collapsed="false">
      <c r="A10477" s="0" t="s">
        <v>12</v>
      </c>
      <c r="B10477" s="0" t="n">
        <v>3294830</v>
      </c>
      <c r="C10477" s="0" t="n">
        <v>3294850</v>
      </c>
      <c r="D10477" s="0" t="s">
        <v>34783</v>
      </c>
      <c r="E10477" s="0" t="s">
        <v>75</v>
      </c>
      <c r="F10477" s="0" t="s">
        <v>90</v>
      </c>
      <c r="G10477" s="0" t="s">
        <v>20</v>
      </c>
      <c r="H10477" s="0" t="n">
        <v>83</v>
      </c>
      <c r="I10477" s="0" t="s">
        <v>34787</v>
      </c>
      <c r="J10477" s="0" t="s">
        <v>34788</v>
      </c>
      <c r="K10477" s="0" t="s">
        <v>34789</v>
      </c>
      <c r="L10477" s="0" t="str">
        <f aca="false">HYPERLINK("https://www.ncbi.nlm.nih.gov/nuccore/CP000058.1?report=graph&amp;tracks=[key:gene_model_track,Options:GeneOnly]&amp;mk=3294875:3294894|offset_39|444444,3294831:3294850|offset_83|00cc00,3294808:3294827|offset_106|444444,3294779:3294798|offset_135|444444&amp;v=3294674:3294998&amp;c=444444", "offset 83")</f>
        <v>offset 83</v>
      </c>
    </row>
    <row r="10478" customFormat="false" ht="12.8" hidden="false" customHeight="false" outlineLevel="0" collapsed="false">
      <c r="A10478" s="0" t="s">
        <v>12</v>
      </c>
      <c r="B10478" s="0" t="n">
        <v>3294807</v>
      </c>
      <c r="C10478" s="0" t="n">
        <v>3294827</v>
      </c>
      <c r="D10478" s="0" t="s">
        <v>34783</v>
      </c>
      <c r="E10478" s="0" t="s">
        <v>75</v>
      </c>
      <c r="F10478" s="0" t="s">
        <v>90</v>
      </c>
      <c r="G10478" s="0" t="s">
        <v>16</v>
      </c>
      <c r="H10478" s="0" t="n">
        <v>106</v>
      </c>
      <c r="I10478" s="0" t="s">
        <v>34790</v>
      </c>
      <c r="J10478" s="0" t="s">
        <v>34791</v>
      </c>
      <c r="K10478" s="0" t="s">
        <v>34792</v>
      </c>
      <c r="L10478" s="0" t="str">
        <f aca="false">HYPERLINK("https://www.ncbi.nlm.nih.gov/nuccore/CP000058.1?report=graph&amp;tracks=[key:gene_model_track,Options:GeneOnly]&amp;mk=3294875:3294894|offset_39|444444,3294831:3294850|offset_83|444444,3294808:3294827|offset_106|00cc00,3294779:3294798|offset_135|444444&amp;v=3294674:3294998&amp;c=444444", "offset 106")</f>
        <v>offset 106</v>
      </c>
    </row>
    <row r="10479" customFormat="false" ht="12.8" hidden="false" customHeight="false" outlineLevel="0" collapsed="false">
      <c r="A10479" s="0" t="s">
        <v>12</v>
      </c>
      <c r="B10479" s="0" t="n">
        <v>3294778</v>
      </c>
      <c r="C10479" s="0" t="n">
        <v>3294798</v>
      </c>
      <c r="D10479" s="0" t="s">
        <v>34783</v>
      </c>
      <c r="E10479" s="0" t="s">
        <v>75</v>
      </c>
      <c r="F10479" s="0" t="s">
        <v>90</v>
      </c>
      <c r="G10479" s="0" t="s">
        <v>36</v>
      </c>
      <c r="H10479" s="0" t="n">
        <v>135</v>
      </c>
      <c r="I10479" s="0" t="s">
        <v>34793</v>
      </c>
      <c r="J10479" s="0" t="s">
        <v>34794</v>
      </c>
      <c r="K10479" s="0" t="s">
        <v>34795</v>
      </c>
      <c r="L10479" s="0" t="str">
        <f aca="false">HYPERLINK("https://www.ncbi.nlm.nih.gov/nuccore/CP000058.1?report=graph&amp;tracks=[key:gene_model_track,Options:GeneOnly]&amp;mk=3294875:3294894|offset_39|444444,3294831:3294850|offset_83|444444,3294808:3294827|offset_106|444444,3294779:3294798|offset_135|00cc00&amp;v=3294674:3294998&amp;c=444444", "offset 135")</f>
        <v>offset 135</v>
      </c>
    </row>
    <row r="10480" customFormat="false" ht="12.8" hidden="false" customHeight="false" outlineLevel="0" collapsed="false">
      <c r="A10480" s="0" t="s">
        <v>12</v>
      </c>
      <c r="B10480" s="0" t="n">
        <v>3295382</v>
      </c>
      <c r="C10480" s="0" t="n">
        <v>3295402</v>
      </c>
      <c r="D10480" s="0" t="s">
        <v>34796</v>
      </c>
      <c r="E10480" s="0" t="s">
        <v>34797</v>
      </c>
      <c r="F10480" s="0" t="s">
        <v>90</v>
      </c>
      <c r="G10480" s="0" t="s">
        <v>20</v>
      </c>
      <c r="H10480" s="0" t="n">
        <v>40</v>
      </c>
      <c r="I10480" s="0" t="s">
        <v>34798</v>
      </c>
      <c r="J10480" s="0" t="s">
        <v>34799</v>
      </c>
      <c r="K10480" s="0" t="s">
        <v>34800</v>
      </c>
      <c r="L10480" s="0" t="str">
        <f aca="false">HYPERLINK("https://www.ncbi.nlm.nih.gov/nuccore/CP000058.1?report=graph&amp;tracks=[key:gene_model_track,Options:GeneOnly]&amp;mk=3295383:3295402|offset_40|00cc00,3295287:3295306|offset_136|444444,3295266:3295285|offset_157|444444,3295236:3295255|offset_187|444444&amp;v=3295182:3295455&amp;c=444444", "offset 40")</f>
        <v>offset 40</v>
      </c>
    </row>
    <row r="10481" customFormat="false" ht="12.8" hidden="false" customHeight="false" outlineLevel="0" collapsed="false">
      <c r="A10481" s="0" t="s">
        <v>12</v>
      </c>
      <c r="B10481" s="0" t="n">
        <v>3295286</v>
      </c>
      <c r="C10481" s="0" t="n">
        <v>3295306</v>
      </c>
      <c r="D10481" s="0" t="s">
        <v>34796</v>
      </c>
      <c r="E10481" s="0" t="s">
        <v>34797</v>
      </c>
      <c r="F10481" s="0" t="s">
        <v>90</v>
      </c>
      <c r="G10481" s="0" t="s">
        <v>16</v>
      </c>
      <c r="H10481" s="0" t="n">
        <v>136</v>
      </c>
      <c r="I10481" s="0" t="s">
        <v>34801</v>
      </c>
      <c r="J10481" s="0" t="s">
        <v>34802</v>
      </c>
      <c r="K10481" s="0" t="s">
        <v>34803</v>
      </c>
      <c r="L10481" s="0" t="str">
        <f aca="false">HYPERLINK("https://www.ncbi.nlm.nih.gov/nuccore/CP000058.1?report=graph&amp;tracks=[key:gene_model_track,Options:GeneOnly]&amp;mk=3295383:3295402|offset_40|444444,3295287:3295306|offset_136|00cc00,3295266:3295285|offset_157|444444,3295236:3295255|offset_187|444444&amp;v=3295182:3295455&amp;c=444444", "offset 136")</f>
        <v>offset 136</v>
      </c>
    </row>
    <row r="10482" customFormat="false" ht="12.8" hidden="false" customHeight="false" outlineLevel="0" collapsed="false">
      <c r="A10482" s="0" t="s">
        <v>12</v>
      </c>
      <c r="B10482" s="0" t="n">
        <v>3295265</v>
      </c>
      <c r="C10482" s="0" t="n">
        <v>3295285</v>
      </c>
      <c r="D10482" s="0" t="s">
        <v>34796</v>
      </c>
      <c r="E10482" s="0" t="s">
        <v>34797</v>
      </c>
      <c r="F10482" s="0" t="s">
        <v>90</v>
      </c>
      <c r="G10482" s="0" t="s">
        <v>32</v>
      </c>
      <c r="H10482" s="0" t="n">
        <v>157</v>
      </c>
      <c r="I10482" s="0" t="s">
        <v>34804</v>
      </c>
      <c r="J10482" s="0" t="s">
        <v>34805</v>
      </c>
      <c r="K10482" s="0" t="s">
        <v>34806</v>
      </c>
      <c r="L10482" s="0" t="str">
        <f aca="false">HYPERLINK("https://www.ncbi.nlm.nih.gov/nuccore/CP000058.1?report=graph&amp;tracks=[key:gene_model_track,Options:GeneOnly]&amp;mk=3295383:3295402|offset_40|444444,3295287:3295306|offset_136|444444,3295266:3295285|offset_157|00cc00,3295236:3295255|offset_187|444444&amp;v=3295182:3295455&amp;c=444444", "offset 157")</f>
        <v>offset 157</v>
      </c>
    </row>
    <row r="10483" customFormat="false" ht="12.8" hidden="false" customHeight="false" outlineLevel="0" collapsed="false">
      <c r="A10483" s="0" t="s">
        <v>12</v>
      </c>
      <c r="B10483" s="0" t="n">
        <v>3295235</v>
      </c>
      <c r="C10483" s="0" t="n">
        <v>3295255</v>
      </c>
      <c r="D10483" s="0" t="s">
        <v>34796</v>
      </c>
      <c r="E10483" s="0" t="s">
        <v>34797</v>
      </c>
      <c r="F10483" s="0" t="s">
        <v>90</v>
      </c>
      <c r="G10483" s="0" t="s">
        <v>32</v>
      </c>
      <c r="H10483" s="0" t="n">
        <v>187</v>
      </c>
      <c r="I10483" s="0" t="s">
        <v>34807</v>
      </c>
      <c r="J10483" s="0" t="s">
        <v>34808</v>
      </c>
      <c r="K10483" s="0" t="s">
        <v>34809</v>
      </c>
      <c r="L10483" s="0" t="str">
        <f aca="false">HYPERLINK("https://www.ncbi.nlm.nih.gov/nuccore/CP000058.1?report=graph&amp;tracks=[key:gene_model_track,Options:GeneOnly]&amp;mk=3295383:3295402|offset_40|444444,3295287:3295306|offset_136|444444,3295266:3295285|offset_157|444444,3295236:3295255|offset_187|00cc00&amp;v=3295182:3295455&amp;c=444444", "offset 187")</f>
        <v>offset 187</v>
      </c>
    </row>
    <row r="10484" customFormat="false" ht="12.8" hidden="false" customHeight="false" outlineLevel="0" collapsed="false">
      <c r="A10484" s="0" t="s">
        <v>12</v>
      </c>
      <c r="B10484" s="0" t="n">
        <v>3296076</v>
      </c>
      <c r="C10484" s="0" t="n">
        <v>3296096</v>
      </c>
      <c r="D10484" s="0" t="s">
        <v>34810</v>
      </c>
      <c r="E10484" s="0" t="s">
        <v>75</v>
      </c>
      <c r="F10484" s="0" t="s">
        <v>90</v>
      </c>
      <c r="G10484" s="0" t="s">
        <v>32</v>
      </c>
      <c r="H10484" s="0" t="n">
        <v>1</v>
      </c>
      <c r="I10484" s="0" t="s">
        <v>34811</v>
      </c>
      <c r="J10484" s="0" t="s">
        <v>34812</v>
      </c>
      <c r="K10484" s="0" t="s">
        <v>34813</v>
      </c>
      <c r="L10484" s="0" t="str">
        <f aca="false">HYPERLINK("https://www.ncbi.nlm.nih.gov/nuccore/CP000058.1?report=graph&amp;tracks=[key:gene_model_track,Options:GeneOnly]&amp;mk=3296077:3296096|offset_1|00cc00,3296038:3296057|offset_40|444444,3296005:3296024|offset_73|444444,3295981:3296000|offset_97|444444&amp;v=3295876:3296200&amp;c=444444", "offset 1")</f>
        <v>offset 1</v>
      </c>
    </row>
    <row r="10485" customFormat="false" ht="12.8" hidden="false" customHeight="false" outlineLevel="0" collapsed="false">
      <c r="A10485" s="0" t="s">
        <v>12</v>
      </c>
      <c r="B10485" s="0" t="n">
        <v>3296037</v>
      </c>
      <c r="C10485" s="0" t="n">
        <v>3296057</v>
      </c>
      <c r="D10485" s="0" t="s">
        <v>34810</v>
      </c>
      <c r="E10485" s="0" t="s">
        <v>75</v>
      </c>
      <c r="F10485" s="0" t="s">
        <v>90</v>
      </c>
      <c r="G10485" s="0" t="s">
        <v>32</v>
      </c>
      <c r="H10485" s="0" t="n">
        <v>40</v>
      </c>
      <c r="I10485" s="0" t="s">
        <v>34814</v>
      </c>
      <c r="J10485" s="0" t="s">
        <v>34815</v>
      </c>
      <c r="K10485" s="0" t="s">
        <v>34816</v>
      </c>
      <c r="L10485" s="0" t="str">
        <f aca="false">HYPERLINK("https://www.ncbi.nlm.nih.gov/nuccore/CP000058.1?report=graph&amp;tracks=[key:gene_model_track,Options:GeneOnly]&amp;mk=3296077:3296096|offset_1|444444,3296038:3296057|offset_40|00cc00,3296005:3296024|offset_73|444444,3295981:3296000|offset_97|444444&amp;v=3295876:3296200&amp;c=444444", "offset 40")</f>
        <v>offset 40</v>
      </c>
    </row>
    <row r="10486" customFormat="false" ht="12.8" hidden="false" customHeight="false" outlineLevel="0" collapsed="false">
      <c r="A10486" s="0" t="s">
        <v>12</v>
      </c>
      <c r="B10486" s="0" t="n">
        <v>3296004</v>
      </c>
      <c r="C10486" s="0" t="n">
        <v>3296024</v>
      </c>
      <c r="D10486" s="0" t="s">
        <v>34810</v>
      </c>
      <c r="E10486" s="0" t="s">
        <v>75</v>
      </c>
      <c r="F10486" s="0" t="s">
        <v>90</v>
      </c>
      <c r="G10486" s="0" t="s">
        <v>20</v>
      </c>
      <c r="H10486" s="0" t="n">
        <v>73</v>
      </c>
      <c r="I10486" s="0" t="s">
        <v>34817</v>
      </c>
      <c r="J10486" s="0" t="s">
        <v>34818</v>
      </c>
      <c r="K10486" s="0" t="s">
        <v>34819</v>
      </c>
      <c r="L10486" s="0" t="str">
        <f aca="false">HYPERLINK("https://www.ncbi.nlm.nih.gov/nuccore/CP000058.1?report=graph&amp;tracks=[key:gene_model_track,Options:GeneOnly]&amp;mk=3296077:3296096|offset_1|444444,3296038:3296057|offset_40|444444,3296005:3296024|offset_73|00cc00,3295981:3296000|offset_97|444444&amp;v=3295876:3296200&amp;c=444444", "offset 73")</f>
        <v>offset 73</v>
      </c>
    </row>
    <row r="10487" customFormat="false" ht="12.8" hidden="false" customHeight="false" outlineLevel="0" collapsed="false">
      <c r="A10487" s="0" t="s">
        <v>12</v>
      </c>
      <c r="B10487" s="0" t="n">
        <v>3295980</v>
      </c>
      <c r="C10487" s="0" t="n">
        <v>3296000</v>
      </c>
      <c r="D10487" s="0" t="s">
        <v>34810</v>
      </c>
      <c r="E10487" s="0" t="s">
        <v>75</v>
      </c>
      <c r="F10487" s="0" t="s">
        <v>90</v>
      </c>
      <c r="G10487" s="0" t="s">
        <v>20</v>
      </c>
      <c r="H10487" s="0" t="n">
        <v>97</v>
      </c>
      <c r="I10487" s="0" t="s">
        <v>34820</v>
      </c>
      <c r="J10487" s="0" t="s">
        <v>34821</v>
      </c>
      <c r="K10487" s="0" t="s">
        <v>34822</v>
      </c>
      <c r="L10487" s="0" t="str">
        <f aca="false">HYPERLINK("https://www.ncbi.nlm.nih.gov/nuccore/CP000058.1?report=graph&amp;tracks=[key:gene_model_track,Options:GeneOnly]&amp;mk=3296077:3296096|offset_1|444444,3296038:3296057|offset_40|444444,3296005:3296024|offset_73|444444,3295981:3296000|offset_97|00cc00&amp;v=3295876:3296200&amp;c=444444", "offset 97")</f>
        <v>offset 97</v>
      </c>
    </row>
    <row r="10488" customFormat="false" ht="12.8" hidden="false" customHeight="false" outlineLevel="0" collapsed="false">
      <c r="A10488" s="0" t="s">
        <v>12</v>
      </c>
      <c r="B10488" s="0" t="n">
        <v>3296910</v>
      </c>
      <c r="C10488" s="0" t="n">
        <v>3296930</v>
      </c>
      <c r="D10488" s="0" t="s">
        <v>34823</v>
      </c>
      <c r="E10488" s="0" t="s">
        <v>75</v>
      </c>
      <c r="F10488" s="0" t="s">
        <v>90</v>
      </c>
      <c r="G10488" s="0" t="s">
        <v>36</v>
      </c>
      <c r="H10488" s="0" t="n">
        <v>6</v>
      </c>
      <c r="I10488" s="0" t="s">
        <v>34824</v>
      </c>
      <c r="J10488" s="0" t="s">
        <v>34825</v>
      </c>
      <c r="K10488" s="0" t="s">
        <v>34826</v>
      </c>
      <c r="L10488" s="0" t="str">
        <f aca="false">HYPERLINK("https://www.ncbi.nlm.nih.gov/nuccore/CP000058.1?report=graph&amp;tracks=[key:gene_model_track,Options:GeneOnly]&amp;mk=3296911:3296930|offset_6|00cc00,3296887:3296906|offset_30|444444,3296857:3296876|offset_60|444444,3296829:3296848|offset_88|444444&amp;v=3296710:3297048&amp;c=444444", "offset 6")</f>
        <v>offset 6</v>
      </c>
    </row>
    <row r="10489" customFormat="false" ht="12.8" hidden="false" customHeight="false" outlineLevel="0" collapsed="false">
      <c r="A10489" s="0" t="s">
        <v>12</v>
      </c>
      <c r="B10489" s="0" t="n">
        <v>3296886</v>
      </c>
      <c r="C10489" s="0" t="n">
        <v>3296906</v>
      </c>
      <c r="D10489" s="0" t="s">
        <v>34823</v>
      </c>
      <c r="E10489" s="0" t="s">
        <v>75</v>
      </c>
      <c r="F10489" s="0" t="s">
        <v>90</v>
      </c>
      <c r="G10489" s="0" t="s">
        <v>16</v>
      </c>
      <c r="H10489" s="0" t="n">
        <v>30</v>
      </c>
      <c r="I10489" s="0" t="s">
        <v>34827</v>
      </c>
      <c r="J10489" s="0" t="s">
        <v>34828</v>
      </c>
      <c r="K10489" s="0" t="s">
        <v>34829</v>
      </c>
      <c r="L10489" s="0" t="str">
        <f aca="false">HYPERLINK("https://www.ncbi.nlm.nih.gov/nuccore/CP000058.1?report=graph&amp;tracks=[key:gene_model_track,Options:GeneOnly]&amp;mk=3296911:3296930|offset_6|444444,3296887:3296906|offset_30|00cc00,3296857:3296876|offset_60|444444,3296829:3296848|offset_88|444444&amp;v=3296710:3297048&amp;c=444444", "offset 30")</f>
        <v>offset 30</v>
      </c>
    </row>
    <row r="10490" customFormat="false" ht="12.8" hidden="false" customHeight="false" outlineLevel="0" collapsed="false">
      <c r="A10490" s="0" t="s">
        <v>12</v>
      </c>
      <c r="B10490" s="0" t="n">
        <v>3296856</v>
      </c>
      <c r="C10490" s="0" t="n">
        <v>3296876</v>
      </c>
      <c r="D10490" s="0" t="s">
        <v>34823</v>
      </c>
      <c r="E10490" s="0" t="s">
        <v>75</v>
      </c>
      <c r="F10490" s="0" t="s">
        <v>90</v>
      </c>
      <c r="G10490" s="0" t="s">
        <v>36</v>
      </c>
      <c r="H10490" s="0" t="n">
        <v>60</v>
      </c>
      <c r="I10490" s="0" t="s">
        <v>34830</v>
      </c>
      <c r="J10490" s="0" t="s">
        <v>34831</v>
      </c>
      <c r="K10490" s="0" t="s">
        <v>34832</v>
      </c>
      <c r="L10490" s="0" t="str">
        <f aca="false">HYPERLINK("https://www.ncbi.nlm.nih.gov/nuccore/CP000058.1?report=graph&amp;tracks=[key:gene_model_track,Options:GeneOnly]&amp;mk=3296911:3296930|offset_6|444444,3296887:3296906|offset_30|444444,3296857:3296876|offset_60|00cc00,3296829:3296848|offset_88|444444&amp;v=3296710:3297048&amp;c=444444", "offset 60")</f>
        <v>offset 60</v>
      </c>
    </row>
    <row r="10491" customFormat="false" ht="12.8" hidden="false" customHeight="false" outlineLevel="0" collapsed="false">
      <c r="A10491" s="0" t="s">
        <v>12</v>
      </c>
      <c r="B10491" s="0" t="n">
        <v>3296828</v>
      </c>
      <c r="C10491" s="0" t="n">
        <v>3296848</v>
      </c>
      <c r="D10491" s="0" t="s">
        <v>34823</v>
      </c>
      <c r="E10491" s="0" t="s">
        <v>75</v>
      </c>
      <c r="F10491" s="0" t="s">
        <v>90</v>
      </c>
      <c r="G10491" s="0" t="s">
        <v>36</v>
      </c>
      <c r="H10491" s="0" t="n">
        <v>88</v>
      </c>
      <c r="I10491" s="0" t="s">
        <v>34833</v>
      </c>
      <c r="J10491" s="0" t="s">
        <v>34834</v>
      </c>
      <c r="K10491" s="0" t="s">
        <v>34835</v>
      </c>
      <c r="L10491" s="0" t="str">
        <f aca="false">HYPERLINK("https://www.ncbi.nlm.nih.gov/nuccore/CP000058.1?report=graph&amp;tracks=[key:gene_model_track,Options:GeneOnly]&amp;mk=3296911:3296930|offset_6|444444,3296887:3296906|offset_30|444444,3296857:3296876|offset_60|444444,3296829:3296848|offset_88|00cc00&amp;v=3296710:3297048&amp;c=444444", "offset 88")</f>
        <v>offset 88</v>
      </c>
    </row>
    <row r="10492" customFormat="false" ht="12.8" hidden="false" customHeight="false" outlineLevel="0" collapsed="false">
      <c r="A10492" s="0" t="s">
        <v>12</v>
      </c>
      <c r="B10492" s="0" t="n">
        <v>3297308</v>
      </c>
      <c r="C10492" s="0" t="n">
        <v>3297328</v>
      </c>
      <c r="D10492" s="0" t="s">
        <v>34836</v>
      </c>
      <c r="E10492" s="0" t="s">
        <v>75</v>
      </c>
      <c r="F10492" s="0" t="s">
        <v>90</v>
      </c>
      <c r="G10492" s="0" t="s">
        <v>16</v>
      </c>
      <c r="H10492" s="0" t="n">
        <v>10</v>
      </c>
      <c r="I10492" s="0" t="s">
        <v>34837</v>
      </c>
      <c r="J10492" s="0" t="s">
        <v>34838</v>
      </c>
      <c r="K10492" s="0" t="s">
        <v>34839</v>
      </c>
      <c r="L10492" s="0" t="str">
        <f aca="false">HYPERLINK("https://www.ncbi.nlm.nih.gov/nuccore/CP000058.1?report=graph&amp;tracks=[key:gene_model_track,Options:GeneOnly]&amp;mk=3297309:3297328|offset_10|00cc00,3297279:3297298|offset_40|444444,3297236:3297255|offset_83|444444&amp;v=3297108:3297455&amp;c=444444", "offset 10")</f>
        <v>offset 10</v>
      </c>
    </row>
    <row r="10493" customFormat="false" ht="12.8" hidden="false" customHeight="false" outlineLevel="0" collapsed="false">
      <c r="A10493" s="0" t="s">
        <v>12</v>
      </c>
      <c r="B10493" s="0" t="n">
        <v>3297278</v>
      </c>
      <c r="C10493" s="0" t="n">
        <v>3297298</v>
      </c>
      <c r="D10493" s="0" t="s">
        <v>34836</v>
      </c>
      <c r="E10493" s="0" t="s">
        <v>75</v>
      </c>
      <c r="F10493" s="0" t="s">
        <v>90</v>
      </c>
      <c r="G10493" s="0" t="s">
        <v>16</v>
      </c>
      <c r="H10493" s="0" t="n">
        <v>40</v>
      </c>
      <c r="I10493" s="0" t="s">
        <v>34840</v>
      </c>
      <c r="J10493" s="0" t="s">
        <v>34841</v>
      </c>
      <c r="K10493" s="0" t="s">
        <v>34842</v>
      </c>
      <c r="L10493" s="0" t="str">
        <f aca="false">HYPERLINK("https://www.ncbi.nlm.nih.gov/nuccore/CP000058.1?report=graph&amp;tracks=[key:gene_model_track,Options:GeneOnly]&amp;mk=3297309:3297328|offset_10|444444,3297279:3297298|offset_40|00cc00,3297236:3297255|offset_83|444444&amp;v=3297108:3297455&amp;c=444444", "offset 40")</f>
        <v>offset 40</v>
      </c>
    </row>
    <row r="10494" customFormat="false" ht="12.8" hidden="false" customHeight="false" outlineLevel="0" collapsed="false">
      <c r="A10494" s="0" t="s">
        <v>12</v>
      </c>
      <c r="B10494" s="0" t="n">
        <v>3297235</v>
      </c>
      <c r="C10494" s="0" t="n">
        <v>3297255</v>
      </c>
      <c r="D10494" s="0" t="s">
        <v>34836</v>
      </c>
      <c r="E10494" s="0" t="s">
        <v>75</v>
      </c>
      <c r="F10494" s="0" t="s">
        <v>90</v>
      </c>
      <c r="G10494" s="0" t="s">
        <v>16</v>
      </c>
      <c r="H10494" s="0" t="n">
        <v>83</v>
      </c>
      <c r="I10494" s="0" t="s">
        <v>34843</v>
      </c>
      <c r="J10494" s="0" t="s">
        <v>34844</v>
      </c>
      <c r="K10494" s="0" t="s">
        <v>34845</v>
      </c>
      <c r="L10494" s="0" t="str">
        <f aca="false">HYPERLINK("https://www.ncbi.nlm.nih.gov/nuccore/CP000058.1?report=graph&amp;tracks=[key:gene_model_track,Options:GeneOnly]&amp;mk=3297309:3297328|offset_10|444444,3297279:3297298|offset_40|444444,3297236:3297255|offset_83|00cc00&amp;v=3297108:3297455&amp;c=444444", "offset 83")</f>
        <v>offset 83</v>
      </c>
    </row>
    <row r="10495" customFormat="false" ht="12.8" hidden="false" customHeight="false" outlineLevel="0" collapsed="false">
      <c r="A10495" s="0" t="s">
        <v>12</v>
      </c>
      <c r="B10495" s="0" t="n">
        <v>3298386</v>
      </c>
      <c r="C10495" s="0" t="n">
        <v>3298406</v>
      </c>
      <c r="D10495" s="0" t="s">
        <v>34846</v>
      </c>
      <c r="E10495" s="0" t="s">
        <v>75</v>
      </c>
      <c r="F10495" s="0" t="s">
        <v>90</v>
      </c>
      <c r="G10495" s="0" t="s">
        <v>16</v>
      </c>
      <c r="H10495" s="0" t="n">
        <v>15</v>
      </c>
      <c r="I10495" s="0" t="s">
        <v>34847</v>
      </c>
      <c r="J10495" s="0" t="s">
        <v>34848</v>
      </c>
      <c r="K10495" s="0" t="s">
        <v>34849</v>
      </c>
      <c r="L10495" s="0" t="str">
        <f aca="false">HYPERLINK("https://www.ncbi.nlm.nih.gov/nuccore/CP000058.1?report=graph&amp;tracks=[key:gene_model_track,Options:GeneOnly]&amp;mk=3298387:3298406|offset_15|00cc00,3298345:3298364|offset_57|444444,3298287:3298306|offset_115|444444,3298256:3298275|offset_146|444444&amp;v=3298186:3298475&amp;c=444444", "offset 15")</f>
        <v>offset 15</v>
      </c>
    </row>
    <row r="10496" customFormat="false" ht="12.8" hidden="false" customHeight="false" outlineLevel="0" collapsed="false">
      <c r="A10496" s="0" t="s">
        <v>12</v>
      </c>
      <c r="B10496" s="0" t="n">
        <v>3298344</v>
      </c>
      <c r="C10496" s="0" t="n">
        <v>3298364</v>
      </c>
      <c r="D10496" s="0" t="s">
        <v>34846</v>
      </c>
      <c r="E10496" s="0" t="s">
        <v>75</v>
      </c>
      <c r="F10496" s="0" t="s">
        <v>90</v>
      </c>
      <c r="G10496" s="0" t="s">
        <v>36</v>
      </c>
      <c r="H10496" s="0" t="n">
        <v>57</v>
      </c>
      <c r="I10496" s="0" t="s">
        <v>34850</v>
      </c>
      <c r="J10496" s="0" t="s">
        <v>34851</v>
      </c>
      <c r="K10496" s="0" t="s">
        <v>34852</v>
      </c>
      <c r="L10496" s="0" t="str">
        <f aca="false">HYPERLINK("https://www.ncbi.nlm.nih.gov/nuccore/CP000058.1?report=graph&amp;tracks=[key:gene_model_track,Options:GeneOnly]&amp;mk=3298387:3298406|offset_15|444444,3298345:3298364|offset_57|00cc00,3298287:3298306|offset_115|444444,3298256:3298275|offset_146|444444&amp;v=3298186:3298475&amp;c=444444", "offset 57")</f>
        <v>offset 57</v>
      </c>
    </row>
    <row r="10497" customFormat="false" ht="12.8" hidden="false" customHeight="false" outlineLevel="0" collapsed="false">
      <c r="A10497" s="0" t="s">
        <v>12</v>
      </c>
      <c r="B10497" s="0" t="n">
        <v>3298286</v>
      </c>
      <c r="C10497" s="0" t="n">
        <v>3298306</v>
      </c>
      <c r="D10497" s="0" t="s">
        <v>34846</v>
      </c>
      <c r="E10497" s="0" t="s">
        <v>75</v>
      </c>
      <c r="F10497" s="0" t="s">
        <v>90</v>
      </c>
      <c r="G10497" s="0" t="s">
        <v>36</v>
      </c>
      <c r="H10497" s="0" t="n">
        <v>115</v>
      </c>
      <c r="I10497" s="0" t="s">
        <v>34853</v>
      </c>
      <c r="J10497" s="0" t="s">
        <v>34854</v>
      </c>
      <c r="K10497" s="0" t="s">
        <v>34855</v>
      </c>
      <c r="L10497" s="0" t="str">
        <f aca="false">HYPERLINK("https://www.ncbi.nlm.nih.gov/nuccore/CP000058.1?report=graph&amp;tracks=[key:gene_model_track,Options:GeneOnly]&amp;mk=3298387:3298406|offset_15|444444,3298345:3298364|offset_57|444444,3298287:3298306|offset_115|00cc00,3298256:3298275|offset_146|444444&amp;v=3298186:3298475&amp;c=444444", "offset 115")</f>
        <v>offset 115</v>
      </c>
    </row>
    <row r="10498" customFormat="false" ht="12.8" hidden="false" customHeight="false" outlineLevel="0" collapsed="false">
      <c r="A10498" s="0" t="s">
        <v>12</v>
      </c>
      <c r="B10498" s="0" t="n">
        <v>3298255</v>
      </c>
      <c r="C10498" s="0" t="n">
        <v>3298275</v>
      </c>
      <c r="D10498" s="0" t="s">
        <v>34846</v>
      </c>
      <c r="E10498" s="0" t="s">
        <v>75</v>
      </c>
      <c r="F10498" s="0" t="s">
        <v>90</v>
      </c>
      <c r="G10498" s="0" t="s">
        <v>16</v>
      </c>
      <c r="H10498" s="0" t="n">
        <v>146</v>
      </c>
      <c r="I10498" s="0" t="s">
        <v>34856</v>
      </c>
      <c r="J10498" s="0" t="s">
        <v>34857</v>
      </c>
      <c r="K10498" s="0" t="s">
        <v>34858</v>
      </c>
      <c r="L10498" s="0" t="str">
        <f aca="false">HYPERLINK("https://www.ncbi.nlm.nih.gov/nuccore/CP000058.1?report=graph&amp;tracks=[key:gene_model_track,Options:GeneOnly]&amp;mk=3298387:3298406|offset_15|444444,3298345:3298364|offset_57|444444,3298287:3298306|offset_115|444444,3298256:3298275|offset_146|00cc00&amp;v=3298186:3298475&amp;c=444444", "offset 146")</f>
        <v>offset 146</v>
      </c>
    </row>
    <row r="10499" customFormat="false" ht="12.8" hidden="false" customHeight="false" outlineLevel="0" collapsed="false">
      <c r="A10499" s="0" t="s">
        <v>12</v>
      </c>
      <c r="B10499" s="0" t="n">
        <v>3299716</v>
      </c>
      <c r="C10499" s="0" t="n">
        <v>3299736</v>
      </c>
      <c r="D10499" s="0" t="s">
        <v>34859</v>
      </c>
      <c r="E10499" s="0" t="s">
        <v>75</v>
      </c>
      <c r="F10499" s="0" t="s">
        <v>90</v>
      </c>
      <c r="G10499" s="0" t="s">
        <v>32</v>
      </c>
      <c r="H10499" s="0" t="n">
        <v>22</v>
      </c>
      <c r="I10499" s="0" t="s">
        <v>34860</v>
      </c>
      <c r="J10499" s="0" t="s">
        <v>34861</v>
      </c>
      <c r="K10499" s="0" t="s">
        <v>34862</v>
      </c>
      <c r="L10499" s="0" t="str">
        <f aca="false">HYPERLINK("https://www.ncbi.nlm.nih.gov/nuccore/CP000058.1?report=graph&amp;tracks=[key:gene_model_track,Options:GeneOnly]&amp;mk=3299717:3299736|offset_22|00cc00,3299679:3299698|offset_60|444444,3299654:3299673|offset_85|444444,3299623:3299642|offset_116|444444&amp;v=3299516:3299842&amp;c=444444", "offset 22")</f>
        <v>offset 22</v>
      </c>
    </row>
    <row r="10500" customFormat="false" ht="12.8" hidden="false" customHeight="false" outlineLevel="0" collapsed="false">
      <c r="A10500" s="0" t="s">
        <v>12</v>
      </c>
      <c r="B10500" s="0" t="n">
        <v>3299678</v>
      </c>
      <c r="C10500" s="0" t="n">
        <v>3299698</v>
      </c>
      <c r="D10500" s="0" t="s">
        <v>34859</v>
      </c>
      <c r="E10500" s="0" t="s">
        <v>75</v>
      </c>
      <c r="F10500" s="0" t="s">
        <v>90</v>
      </c>
      <c r="G10500" s="0" t="s">
        <v>16</v>
      </c>
      <c r="H10500" s="0" t="n">
        <v>60</v>
      </c>
      <c r="I10500" s="0" t="s">
        <v>34863</v>
      </c>
      <c r="J10500" s="0" t="s">
        <v>34864</v>
      </c>
      <c r="K10500" s="0" t="s">
        <v>34865</v>
      </c>
      <c r="L10500" s="0" t="str">
        <f aca="false">HYPERLINK("https://www.ncbi.nlm.nih.gov/nuccore/CP000058.1?report=graph&amp;tracks=[key:gene_model_track,Options:GeneOnly]&amp;mk=3299717:3299736|offset_22|444444,3299679:3299698|offset_60|00cc00,3299654:3299673|offset_85|444444,3299623:3299642|offset_116|444444&amp;v=3299516:3299842&amp;c=444444", "offset 60")</f>
        <v>offset 60</v>
      </c>
    </row>
    <row r="10501" customFormat="false" ht="12.8" hidden="false" customHeight="false" outlineLevel="0" collapsed="false">
      <c r="A10501" s="0" t="s">
        <v>12</v>
      </c>
      <c r="B10501" s="0" t="n">
        <v>3299653</v>
      </c>
      <c r="C10501" s="0" t="n">
        <v>3299673</v>
      </c>
      <c r="D10501" s="0" t="s">
        <v>34859</v>
      </c>
      <c r="E10501" s="0" t="s">
        <v>75</v>
      </c>
      <c r="F10501" s="0" t="s">
        <v>90</v>
      </c>
      <c r="G10501" s="0" t="s">
        <v>16</v>
      </c>
      <c r="H10501" s="0" t="n">
        <v>85</v>
      </c>
      <c r="I10501" s="0" t="s">
        <v>34866</v>
      </c>
      <c r="J10501" s="0" t="s">
        <v>34867</v>
      </c>
      <c r="K10501" s="0" t="s">
        <v>34868</v>
      </c>
      <c r="L10501" s="0" t="str">
        <f aca="false">HYPERLINK("https://www.ncbi.nlm.nih.gov/nuccore/CP000058.1?report=graph&amp;tracks=[key:gene_model_track,Options:GeneOnly]&amp;mk=3299717:3299736|offset_22|444444,3299679:3299698|offset_60|444444,3299654:3299673|offset_85|00cc00,3299623:3299642|offset_116|444444&amp;v=3299516:3299842&amp;c=444444", "offset 85")</f>
        <v>offset 85</v>
      </c>
    </row>
    <row r="10502" customFormat="false" ht="12.8" hidden="false" customHeight="false" outlineLevel="0" collapsed="false">
      <c r="A10502" s="0" t="s">
        <v>12</v>
      </c>
      <c r="B10502" s="0" t="n">
        <v>3299622</v>
      </c>
      <c r="C10502" s="0" t="n">
        <v>3299642</v>
      </c>
      <c r="D10502" s="0" t="s">
        <v>34859</v>
      </c>
      <c r="E10502" s="0" t="s">
        <v>75</v>
      </c>
      <c r="F10502" s="0" t="s">
        <v>90</v>
      </c>
      <c r="G10502" s="0" t="s">
        <v>36</v>
      </c>
      <c r="H10502" s="0" t="n">
        <v>116</v>
      </c>
      <c r="I10502" s="0" t="s">
        <v>34869</v>
      </c>
      <c r="J10502" s="0" t="s">
        <v>34870</v>
      </c>
      <c r="K10502" s="0" t="s">
        <v>34871</v>
      </c>
      <c r="L10502" s="0" t="str">
        <f aca="false">HYPERLINK("https://www.ncbi.nlm.nih.gov/nuccore/CP000058.1?report=graph&amp;tracks=[key:gene_model_track,Options:GeneOnly]&amp;mk=3299717:3299736|offset_22|444444,3299679:3299698|offset_60|444444,3299654:3299673|offset_85|444444,3299623:3299642|offset_116|00cc00&amp;v=3299516:3299842&amp;c=444444", "offset 116")</f>
        <v>offset 116</v>
      </c>
    </row>
    <row r="10503" customFormat="false" ht="12.8" hidden="false" customHeight="false" outlineLevel="0" collapsed="false">
      <c r="A10503" s="0" t="s">
        <v>12</v>
      </c>
      <c r="B10503" s="0" t="n">
        <v>3302331</v>
      </c>
      <c r="C10503" s="0" t="n">
        <v>3302351</v>
      </c>
      <c r="D10503" s="0" t="s">
        <v>34872</v>
      </c>
      <c r="E10503" s="0" t="s">
        <v>75</v>
      </c>
      <c r="F10503" s="0" t="s">
        <v>90</v>
      </c>
      <c r="G10503" s="0" t="s">
        <v>20</v>
      </c>
      <c r="H10503" s="0" t="n">
        <v>18</v>
      </c>
      <c r="I10503" s="0" t="s">
        <v>34873</v>
      </c>
      <c r="J10503" s="0" t="s">
        <v>34874</v>
      </c>
      <c r="K10503" s="0" t="s">
        <v>34875</v>
      </c>
      <c r="L10503" s="0" t="str">
        <f aca="false">HYPERLINK("https://www.ncbi.nlm.nih.gov/nuccore/CP000058.1?report=graph&amp;tracks=[key:gene_model_track,Options:GeneOnly]&amp;mk=3302332:3302351|offset_18|00cc00,3302296:3302315|offset_54|444444,3302240:3302259|offset_110|444444,3302211:3302230|offset_139|444444&amp;v=3302131:3302430&amp;c=444444", "offset 18")</f>
        <v>offset 18</v>
      </c>
    </row>
    <row r="10504" customFormat="false" ht="12.8" hidden="false" customHeight="false" outlineLevel="0" collapsed="false">
      <c r="A10504" s="0" t="s">
        <v>12</v>
      </c>
      <c r="B10504" s="0" t="n">
        <v>3302295</v>
      </c>
      <c r="C10504" s="0" t="n">
        <v>3302315</v>
      </c>
      <c r="D10504" s="0" t="s">
        <v>34872</v>
      </c>
      <c r="E10504" s="0" t="s">
        <v>75</v>
      </c>
      <c r="F10504" s="0" t="s">
        <v>90</v>
      </c>
      <c r="G10504" s="0" t="s">
        <v>36</v>
      </c>
      <c r="H10504" s="0" t="n">
        <v>54</v>
      </c>
      <c r="I10504" s="0" t="s">
        <v>34876</v>
      </c>
      <c r="J10504" s="0" t="s">
        <v>34877</v>
      </c>
      <c r="K10504" s="0" t="s">
        <v>34878</v>
      </c>
      <c r="L10504" s="0" t="str">
        <f aca="false">HYPERLINK("https://www.ncbi.nlm.nih.gov/nuccore/CP000058.1?report=graph&amp;tracks=[key:gene_model_track,Options:GeneOnly]&amp;mk=3302332:3302351|offset_18|444444,3302296:3302315|offset_54|00cc00,3302240:3302259|offset_110|444444,3302211:3302230|offset_139|444444&amp;v=3302131:3302430&amp;c=444444", "offset 54")</f>
        <v>offset 54</v>
      </c>
    </row>
    <row r="10505" customFormat="false" ht="12.8" hidden="false" customHeight="false" outlineLevel="0" collapsed="false">
      <c r="A10505" s="0" t="s">
        <v>12</v>
      </c>
      <c r="B10505" s="0" t="n">
        <v>3302239</v>
      </c>
      <c r="C10505" s="0" t="n">
        <v>3302259</v>
      </c>
      <c r="D10505" s="0" t="s">
        <v>34872</v>
      </c>
      <c r="E10505" s="0" t="s">
        <v>75</v>
      </c>
      <c r="F10505" s="0" t="s">
        <v>90</v>
      </c>
      <c r="G10505" s="0" t="s">
        <v>20</v>
      </c>
      <c r="H10505" s="0" t="n">
        <v>110</v>
      </c>
      <c r="I10505" s="0" t="s">
        <v>34879</v>
      </c>
      <c r="J10505" s="0" t="s">
        <v>34880</v>
      </c>
      <c r="K10505" s="0" t="s">
        <v>34881</v>
      </c>
      <c r="L10505" s="0" t="str">
        <f aca="false">HYPERLINK("https://www.ncbi.nlm.nih.gov/nuccore/CP000058.1?report=graph&amp;tracks=[key:gene_model_track,Options:GeneOnly]&amp;mk=3302332:3302351|offset_18|444444,3302296:3302315|offset_54|444444,3302240:3302259|offset_110|00cc00,3302211:3302230|offset_139|444444&amp;v=3302131:3302430&amp;c=444444", "offset 110")</f>
        <v>offset 110</v>
      </c>
    </row>
    <row r="10506" customFormat="false" ht="12.8" hidden="false" customHeight="false" outlineLevel="0" collapsed="false">
      <c r="A10506" s="0" t="s">
        <v>12</v>
      </c>
      <c r="B10506" s="0" t="n">
        <v>3302210</v>
      </c>
      <c r="C10506" s="0" t="n">
        <v>3302230</v>
      </c>
      <c r="D10506" s="0" t="s">
        <v>34872</v>
      </c>
      <c r="E10506" s="0" t="s">
        <v>75</v>
      </c>
      <c r="F10506" s="0" t="s">
        <v>90</v>
      </c>
      <c r="G10506" s="0" t="s">
        <v>32</v>
      </c>
      <c r="H10506" s="0" t="n">
        <v>139</v>
      </c>
      <c r="I10506" s="0" t="s">
        <v>34882</v>
      </c>
      <c r="J10506" s="0" t="s">
        <v>34883</v>
      </c>
      <c r="K10506" s="0" t="s">
        <v>34884</v>
      </c>
      <c r="L10506" s="0" t="str">
        <f aca="false">HYPERLINK("https://www.ncbi.nlm.nih.gov/nuccore/CP000058.1?report=graph&amp;tracks=[key:gene_model_track,Options:GeneOnly]&amp;mk=3302332:3302351|offset_18|444444,3302296:3302315|offset_54|444444,3302240:3302259|offset_110|444444,3302211:3302230|offset_139|00cc00&amp;v=3302131:3302430&amp;c=444444", "offset 139")</f>
        <v>offset 139</v>
      </c>
    </row>
    <row r="10507" customFormat="false" ht="12.8" hidden="false" customHeight="false" outlineLevel="0" collapsed="false">
      <c r="A10507" s="0" t="s">
        <v>12</v>
      </c>
      <c r="B10507" s="0" t="n">
        <v>3304446</v>
      </c>
      <c r="C10507" s="0" t="n">
        <v>3304466</v>
      </c>
      <c r="D10507" s="0" t="s">
        <v>34885</v>
      </c>
      <c r="E10507" s="0" t="s">
        <v>34886</v>
      </c>
      <c r="F10507" s="0" t="s">
        <v>90</v>
      </c>
      <c r="G10507" s="0" t="s">
        <v>32</v>
      </c>
      <c r="H10507" s="0" t="n">
        <v>7</v>
      </c>
      <c r="I10507" s="0" t="s">
        <v>34887</v>
      </c>
      <c r="J10507" s="0" t="s">
        <v>34888</v>
      </c>
      <c r="K10507" s="0" t="s">
        <v>34889</v>
      </c>
      <c r="L10507" s="0" t="str">
        <f aca="false">HYPERLINK("https://www.ncbi.nlm.nih.gov/nuccore/CP000058.1?report=graph&amp;tracks=[key:gene_model_track,Options:GeneOnly]&amp;mk=3304447:3304466|offset_7|00cc00,3304417:3304436|offset_37|444444,3304396:3304415|offset_58|444444,3304368:3304387|offset_86|444444&amp;v=3304246:3304587&amp;c=444444", "offset 7")</f>
        <v>offset 7</v>
      </c>
    </row>
    <row r="10508" customFormat="false" ht="12.8" hidden="false" customHeight="false" outlineLevel="0" collapsed="false">
      <c r="A10508" s="0" t="s">
        <v>12</v>
      </c>
      <c r="B10508" s="0" t="n">
        <v>3304416</v>
      </c>
      <c r="C10508" s="0" t="n">
        <v>3304436</v>
      </c>
      <c r="D10508" s="0" t="s">
        <v>34885</v>
      </c>
      <c r="E10508" s="0" t="s">
        <v>34886</v>
      </c>
      <c r="F10508" s="0" t="s">
        <v>90</v>
      </c>
      <c r="G10508" s="0" t="s">
        <v>36</v>
      </c>
      <c r="H10508" s="0" t="n">
        <v>37</v>
      </c>
      <c r="I10508" s="0" t="s">
        <v>34890</v>
      </c>
      <c r="J10508" s="0" t="s">
        <v>34891</v>
      </c>
      <c r="K10508" s="0" t="s">
        <v>34892</v>
      </c>
      <c r="L10508" s="0" t="str">
        <f aca="false">HYPERLINK("https://www.ncbi.nlm.nih.gov/nuccore/CP000058.1?report=graph&amp;tracks=[key:gene_model_track,Options:GeneOnly]&amp;mk=3304447:3304466|offset_7|444444,3304417:3304436|offset_37|00cc00,3304396:3304415|offset_58|444444,3304368:3304387|offset_86|444444&amp;v=3304246:3304587&amp;c=444444", "offset 37")</f>
        <v>offset 37</v>
      </c>
    </row>
    <row r="10509" customFormat="false" ht="12.8" hidden="false" customHeight="false" outlineLevel="0" collapsed="false">
      <c r="A10509" s="0" t="s">
        <v>12</v>
      </c>
      <c r="B10509" s="0" t="n">
        <v>3304395</v>
      </c>
      <c r="C10509" s="0" t="n">
        <v>3304415</v>
      </c>
      <c r="D10509" s="0" t="s">
        <v>34885</v>
      </c>
      <c r="E10509" s="0" t="s">
        <v>34886</v>
      </c>
      <c r="F10509" s="0" t="s">
        <v>90</v>
      </c>
      <c r="G10509" s="0" t="s">
        <v>36</v>
      </c>
      <c r="H10509" s="0" t="n">
        <v>58</v>
      </c>
      <c r="I10509" s="0" t="s">
        <v>34893</v>
      </c>
      <c r="J10509" s="0" t="s">
        <v>34894</v>
      </c>
      <c r="K10509" s="0" t="s">
        <v>34895</v>
      </c>
      <c r="L10509" s="0" t="str">
        <f aca="false">HYPERLINK("https://www.ncbi.nlm.nih.gov/nuccore/CP000058.1?report=graph&amp;tracks=[key:gene_model_track,Options:GeneOnly]&amp;mk=3304447:3304466|offset_7|444444,3304417:3304436|offset_37|444444,3304396:3304415|offset_58|00cc00,3304368:3304387|offset_86|444444&amp;v=3304246:3304587&amp;c=444444", "offset 58")</f>
        <v>offset 58</v>
      </c>
    </row>
    <row r="10510" customFormat="false" ht="12.8" hidden="false" customHeight="false" outlineLevel="0" collapsed="false">
      <c r="A10510" s="0" t="s">
        <v>12</v>
      </c>
      <c r="B10510" s="0" t="n">
        <v>3304367</v>
      </c>
      <c r="C10510" s="0" t="n">
        <v>3304387</v>
      </c>
      <c r="D10510" s="0" t="s">
        <v>34885</v>
      </c>
      <c r="E10510" s="0" t="s">
        <v>34886</v>
      </c>
      <c r="F10510" s="0" t="s">
        <v>90</v>
      </c>
      <c r="G10510" s="0" t="s">
        <v>20</v>
      </c>
      <c r="H10510" s="0" t="n">
        <v>86</v>
      </c>
      <c r="I10510" s="0" t="s">
        <v>34896</v>
      </c>
      <c r="J10510" s="0" t="s">
        <v>34897</v>
      </c>
      <c r="K10510" s="0" t="s">
        <v>34898</v>
      </c>
      <c r="L10510" s="0" t="str">
        <f aca="false">HYPERLINK("https://www.ncbi.nlm.nih.gov/nuccore/CP000058.1?report=graph&amp;tracks=[key:gene_model_track,Options:GeneOnly]&amp;mk=3304447:3304466|offset_7|444444,3304417:3304436|offset_37|444444,3304396:3304415|offset_58|444444,3304368:3304387|offset_86|00cc00&amp;v=3304246:3304587&amp;c=444444", "offset 86")</f>
        <v>offset 86</v>
      </c>
    </row>
    <row r="10511" customFormat="false" ht="12.8" hidden="false" customHeight="false" outlineLevel="0" collapsed="false">
      <c r="A10511" s="0" t="s">
        <v>12</v>
      </c>
      <c r="B10511" s="0" t="n">
        <v>3306488</v>
      </c>
      <c r="C10511" s="0" t="n">
        <v>3306508</v>
      </c>
      <c r="D10511" s="0" t="s">
        <v>34899</v>
      </c>
      <c r="E10511" s="0" t="s">
        <v>75</v>
      </c>
      <c r="F10511" s="0" t="s">
        <v>90</v>
      </c>
      <c r="G10511" s="0" t="s">
        <v>36</v>
      </c>
      <c r="H10511" s="0" t="n">
        <v>6</v>
      </c>
      <c r="I10511" s="0" t="s">
        <v>34900</v>
      </c>
      <c r="J10511" s="0" t="s">
        <v>34901</v>
      </c>
      <c r="K10511" s="0" t="s">
        <v>34902</v>
      </c>
      <c r="L10511" s="0" t="str">
        <f aca="false">HYPERLINK("https://www.ncbi.nlm.nih.gov/nuccore/CP000058.1?report=graph&amp;tracks=[key:gene_model_track,Options:GeneOnly]&amp;mk=3306489:3306508|offset_6|00cc00,3306466:3306485|offset_29|444444,3306433:3306452|offset_62|444444,3306406:3306425|offset_89|444444&amp;v=3306288:3306625&amp;c=444444", "offset 6")</f>
        <v>offset 6</v>
      </c>
    </row>
    <row r="10512" customFormat="false" ht="12.8" hidden="false" customHeight="false" outlineLevel="0" collapsed="false">
      <c r="A10512" s="0" t="s">
        <v>12</v>
      </c>
      <c r="B10512" s="0" t="n">
        <v>3306465</v>
      </c>
      <c r="C10512" s="0" t="n">
        <v>3306485</v>
      </c>
      <c r="D10512" s="0" t="s">
        <v>34899</v>
      </c>
      <c r="E10512" s="0" t="s">
        <v>75</v>
      </c>
      <c r="F10512" s="0" t="s">
        <v>90</v>
      </c>
      <c r="G10512" s="0" t="s">
        <v>32</v>
      </c>
      <c r="H10512" s="0" t="n">
        <v>29</v>
      </c>
      <c r="I10512" s="0" t="s">
        <v>34903</v>
      </c>
      <c r="J10512" s="0" t="s">
        <v>34904</v>
      </c>
      <c r="K10512" s="0" t="s">
        <v>34905</v>
      </c>
      <c r="L10512" s="0" t="str">
        <f aca="false">HYPERLINK("https://www.ncbi.nlm.nih.gov/nuccore/CP000058.1?report=graph&amp;tracks=[key:gene_model_track,Options:GeneOnly]&amp;mk=3306489:3306508|offset_6|444444,3306466:3306485|offset_29|00cc00,3306433:3306452|offset_62|444444,3306406:3306425|offset_89|444444&amp;v=3306288:3306625&amp;c=444444", "offset 29")</f>
        <v>offset 29</v>
      </c>
    </row>
    <row r="10513" customFormat="false" ht="12.8" hidden="false" customHeight="false" outlineLevel="0" collapsed="false">
      <c r="A10513" s="0" t="s">
        <v>12</v>
      </c>
      <c r="B10513" s="0" t="n">
        <v>3306432</v>
      </c>
      <c r="C10513" s="0" t="n">
        <v>3306452</v>
      </c>
      <c r="D10513" s="0" t="s">
        <v>34899</v>
      </c>
      <c r="E10513" s="0" t="s">
        <v>75</v>
      </c>
      <c r="F10513" s="0" t="s">
        <v>90</v>
      </c>
      <c r="G10513" s="0" t="s">
        <v>20</v>
      </c>
      <c r="H10513" s="0" t="n">
        <v>62</v>
      </c>
      <c r="I10513" s="0" t="s">
        <v>34906</v>
      </c>
      <c r="J10513" s="0" t="s">
        <v>34907</v>
      </c>
      <c r="K10513" s="0" t="s">
        <v>34908</v>
      </c>
      <c r="L10513" s="0" t="str">
        <f aca="false">HYPERLINK("https://www.ncbi.nlm.nih.gov/nuccore/CP000058.1?report=graph&amp;tracks=[key:gene_model_track,Options:GeneOnly]&amp;mk=3306489:3306508|offset_6|444444,3306466:3306485|offset_29|444444,3306433:3306452|offset_62|00cc00,3306406:3306425|offset_89|444444&amp;v=3306288:3306625&amp;c=444444", "offset 62")</f>
        <v>offset 62</v>
      </c>
    </row>
    <row r="10514" customFormat="false" ht="12.8" hidden="false" customHeight="false" outlineLevel="0" collapsed="false">
      <c r="A10514" s="0" t="s">
        <v>12</v>
      </c>
      <c r="B10514" s="0" t="n">
        <v>3306405</v>
      </c>
      <c r="C10514" s="0" t="n">
        <v>3306425</v>
      </c>
      <c r="D10514" s="0" t="s">
        <v>34899</v>
      </c>
      <c r="E10514" s="0" t="s">
        <v>75</v>
      </c>
      <c r="F10514" s="0" t="s">
        <v>90</v>
      </c>
      <c r="G10514" s="0" t="s">
        <v>20</v>
      </c>
      <c r="H10514" s="0" t="n">
        <v>89</v>
      </c>
      <c r="I10514" s="0" t="s">
        <v>34909</v>
      </c>
      <c r="J10514" s="0" t="s">
        <v>34910</v>
      </c>
      <c r="K10514" s="0" t="s">
        <v>34911</v>
      </c>
      <c r="L10514" s="0" t="str">
        <f aca="false">HYPERLINK("https://www.ncbi.nlm.nih.gov/nuccore/CP000058.1?report=graph&amp;tracks=[key:gene_model_track,Options:GeneOnly]&amp;mk=3306489:3306508|offset_6|444444,3306466:3306485|offset_29|444444,3306433:3306452|offset_62|444444,3306406:3306425|offset_89|00cc00&amp;v=3306288:3306625&amp;c=444444", "offset 89")</f>
        <v>offset 89</v>
      </c>
    </row>
    <row r="10515" customFormat="false" ht="12.8" hidden="false" customHeight="false" outlineLevel="0" collapsed="false">
      <c r="A10515" s="0" t="s">
        <v>12</v>
      </c>
      <c r="B10515" s="0" t="n">
        <v>3307045</v>
      </c>
      <c r="C10515" s="0" t="n">
        <v>3307065</v>
      </c>
      <c r="D10515" s="0" t="s">
        <v>34912</v>
      </c>
      <c r="E10515" s="0" t="s">
        <v>75</v>
      </c>
      <c r="F10515" s="0" t="s">
        <v>90</v>
      </c>
      <c r="G10515" s="0" t="s">
        <v>20</v>
      </c>
      <c r="H10515" s="0" t="n">
        <v>16</v>
      </c>
      <c r="I10515" s="0" t="s">
        <v>34913</v>
      </c>
      <c r="J10515" s="0" t="s">
        <v>34914</v>
      </c>
      <c r="K10515" s="0" t="s">
        <v>34915</v>
      </c>
      <c r="L10515" s="0" t="str">
        <f aca="false">HYPERLINK("https://www.ncbi.nlm.nih.gov/nuccore/CP000058.1?report=graph&amp;tracks=[key:gene_model_track,Options:GeneOnly]&amp;mk=3307046:3307065|offset_16|00cc00,3307016:3307035|offset_46|444444,3306980:3306999|offset_82|444444,3306949:3306968|offset_113|444444&amp;v=3306845:3307168&amp;c=444444", "offset 16")</f>
        <v>offset 16</v>
      </c>
    </row>
    <row r="10516" customFormat="false" ht="12.8" hidden="false" customHeight="false" outlineLevel="0" collapsed="false">
      <c r="A10516" s="0" t="s">
        <v>12</v>
      </c>
      <c r="B10516" s="0" t="n">
        <v>3307015</v>
      </c>
      <c r="C10516" s="0" t="n">
        <v>3307035</v>
      </c>
      <c r="D10516" s="0" t="s">
        <v>34912</v>
      </c>
      <c r="E10516" s="0" t="s">
        <v>75</v>
      </c>
      <c r="F10516" s="0" t="s">
        <v>90</v>
      </c>
      <c r="G10516" s="0" t="s">
        <v>32</v>
      </c>
      <c r="H10516" s="0" t="n">
        <v>46</v>
      </c>
      <c r="I10516" s="0" t="s">
        <v>34916</v>
      </c>
      <c r="J10516" s="0" t="s">
        <v>34917</v>
      </c>
      <c r="K10516" s="0" t="s">
        <v>34918</v>
      </c>
      <c r="L10516" s="0" t="str">
        <f aca="false">HYPERLINK("https://www.ncbi.nlm.nih.gov/nuccore/CP000058.1?report=graph&amp;tracks=[key:gene_model_track,Options:GeneOnly]&amp;mk=3307046:3307065|offset_16|444444,3307016:3307035|offset_46|00cc00,3306980:3306999|offset_82|444444,3306949:3306968|offset_113|444444&amp;v=3306845:3307168&amp;c=444444", "offset 46")</f>
        <v>offset 46</v>
      </c>
    </row>
    <row r="10517" customFormat="false" ht="12.8" hidden="false" customHeight="false" outlineLevel="0" collapsed="false">
      <c r="A10517" s="0" t="s">
        <v>12</v>
      </c>
      <c r="B10517" s="0" t="n">
        <v>3306979</v>
      </c>
      <c r="C10517" s="0" t="n">
        <v>3306999</v>
      </c>
      <c r="D10517" s="0" t="s">
        <v>34912</v>
      </c>
      <c r="E10517" s="0" t="s">
        <v>75</v>
      </c>
      <c r="F10517" s="0" t="s">
        <v>90</v>
      </c>
      <c r="G10517" s="0" t="s">
        <v>32</v>
      </c>
      <c r="H10517" s="0" t="n">
        <v>82</v>
      </c>
      <c r="I10517" s="0" t="s">
        <v>34919</v>
      </c>
      <c r="J10517" s="0" t="s">
        <v>34920</v>
      </c>
      <c r="K10517" s="0" t="s">
        <v>34921</v>
      </c>
      <c r="L10517" s="0" t="str">
        <f aca="false">HYPERLINK("https://www.ncbi.nlm.nih.gov/nuccore/CP000058.1?report=graph&amp;tracks=[key:gene_model_track,Options:GeneOnly]&amp;mk=3307046:3307065|offset_16|444444,3307016:3307035|offset_46|444444,3306980:3306999|offset_82|00cc00,3306949:3306968|offset_113|444444&amp;v=3306845:3307168&amp;c=444444", "offset 82")</f>
        <v>offset 82</v>
      </c>
    </row>
    <row r="10518" customFormat="false" ht="12.8" hidden="false" customHeight="false" outlineLevel="0" collapsed="false">
      <c r="A10518" s="0" t="s">
        <v>12</v>
      </c>
      <c r="B10518" s="0" t="n">
        <v>3306948</v>
      </c>
      <c r="C10518" s="0" t="n">
        <v>3306968</v>
      </c>
      <c r="D10518" s="0" t="s">
        <v>34912</v>
      </c>
      <c r="E10518" s="0" t="s">
        <v>75</v>
      </c>
      <c r="F10518" s="0" t="s">
        <v>90</v>
      </c>
      <c r="G10518" s="0" t="s">
        <v>32</v>
      </c>
      <c r="H10518" s="0" t="n">
        <v>113</v>
      </c>
      <c r="I10518" s="0" t="s">
        <v>34922</v>
      </c>
      <c r="J10518" s="0" t="s">
        <v>34923</v>
      </c>
      <c r="K10518" s="0" t="s">
        <v>34924</v>
      </c>
      <c r="L10518" s="0" t="str">
        <f aca="false">HYPERLINK("https://www.ncbi.nlm.nih.gov/nuccore/CP000058.1?report=graph&amp;tracks=[key:gene_model_track,Options:GeneOnly]&amp;mk=3307046:3307065|offset_16|444444,3307016:3307035|offset_46|444444,3306980:3306999|offset_82|444444,3306949:3306968|offset_113|00cc00&amp;v=3306845:3307168&amp;c=444444", "offset 113")</f>
        <v>offset 113</v>
      </c>
    </row>
    <row r="10519" customFormat="false" ht="12.8" hidden="false" customHeight="false" outlineLevel="0" collapsed="false">
      <c r="A10519" s="0" t="s">
        <v>12</v>
      </c>
      <c r="B10519" s="0" t="n">
        <v>3307170</v>
      </c>
      <c r="C10519" s="0" t="n">
        <v>3307190</v>
      </c>
      <c r="D10519" s="0" t="s">
        <v>34925</v>
      </c>
      <c r="E10519" s="0" t="s">
        <v>75</v>
      </c>
      <c r="F10519" s="0" t="s">
        <v>15</v>
      </c>
      <c r="G10519" s="0" t="s">
        <v>32</v>
      </c>
      <c r="H10519" s="0" t="n">
        <v>1</v>
      </c>
      <c r="I10519" s="0" t="s">
        <v>34926</v>
      </c>
      <c r="J10519" s="0" t="s">
        <v>34927</v>
      </c>
      <c r="K10519" s="0" t="s">
        <v>34928</v>
      </c>
      <c r="L10519" s="0" t="str">
        <f aca="false">HYPERLINK("https://www.ncbi.nlm.nih.gov/nuccore/CP000058.1?report=graph&amp;tracks=[key:gene_model_track,Options:GeneOnly]&amp;mk=3307171:3307190|offset_1|00cc00,3307192:3307211|offset_22|444444,3307242:3307261|offset_72|444444,3307268:3307287|offset_98|444444&amp;v=3306970:3307487&amp;c=444444", "offset 1")</f>
        <v>offset 1</v>
      </c>
    </row>
    <row r="10520" customFormat="false" ht="12.8" hidden="false" customHeight="false" outlineLevel="0" collapsed="false">
      <c r="A10520" s="0" t="s">
        <v>12</v>
      </c>
      <c r="B10520" s="0" t="n">
        <v>3307191</v>
      </c>
      <c r="C10520" s="0" t="n">
        <v>3307211</v>
      </c>
      <c r="D10520" s="0" t="s">
        <v>34925</v>
      </c>
      <c r="E10520" s="0" t="s">
        <v>75</v>
      </c>
      <c r="F10520" s="0" t="s">
        <v>15</v>
      </c>
      <c r="G10520" s="0" t="s">
        <v>32</v>
      </c>
      <c r="H10520" s="0" t="n">
        <v>22</v>
      </c>
      <c r="I10520" s="0" t="s">
        <v>34929</v>
      </c>
      <c r="J10520" s="0" t="s">
        <v>34930</v>
      </c>
      <c r="K10520" s="0" t="s">
        <v>34931</v>
      </c>
      <c r="L10520" s="0" t="str">
        <f aca="false">HYPERLINK("https://www.ncbi.nlm.nih.gov/nuccore/CP000058.1?report=graph&amp;tracks=[key:gene_model_track,Options:GeneOnly]&amp;mk=3307171:3307190|offset_1|444444,3307192:3307211|offset_22|00cc00,3307242:3307261|offset_72|444444,3307268:3307287|offset_98|444444&amp;v=3306970:3307487&amp;c=444444", "offset 22")</f>
        <v>offset 22</v>
      </c>
    </row>
    <row r="10521" customFormat="false" ht="12.8" hidden="false" customHeight="false" outlineLevel="0" collapsed="false">
      <c r="A10521" s="0" t="s">
        <v>12</v>
      </c>
      <c r="B10521" s="0" t="n">
        <v>3307241</v>
      </c>
      <c r="C10521" s="0" t="n">
        <v>3307261</v>
      </c>
      <c r="D10521" s="0" t="s">
        <v>34925</v>
      </c>
      <c r="E10521" s="0" t="s">
        <v>75</v>
      </c>
      <c r="F10521" s="0" t="s">
        <v>15</v>
      </c>
      <c r="G10521" s="0" t="s">
        <v>20</v>
      </c>
      <c r="H10521" s="0" t="n">
        <v>72</v>
      </c>
      <c r="I10521" s="0" t="s">
        <v>34932</v>
      </c>
      <c r="J10521" s="0" t="s">
        <v>34933</v>
      </c>
      <c r="K10521" s="0" t="s">
        <v>34934</v>
      </c>
      <c r="L10521" s="0" t="str">
        <f aca="false">HYPERLINK("https://www.ncbi.nlm.nih.gov/nuccore/CP000058.1?report=graph&amp;tracks=[key:gene_model_track,Options:GeneOnly]&amp;mk=3307171:3307190|offset_1|444444,3307192:3307211|offset_22|444444,3307242:3307261|offset_72|00cc00,3307268:3307287|offset_98|444444&amp;v=3306970:3307487&amp;c=444444", "offset 72")</f>
        <v>offset 72</v>
      </c>
    </row>
    <row r="10522" customFormat="false" ht="12.8" hidden="false" customHeight="false" outlineLevel="0" collapsed="false">
      <c r="A10522" s="0" t="s">
        <v>12</v>
      </c>
      <c r="B10522" s="0" t="n">
        <v>3307267</v>
      </c>
      <c r="C10522" s="0" t="n">
        <v>3307287</v>
      </c>
      <c r="D10522" s="0" t="s">
        <v>34925</v>
      </c>
      <c r="E10522" s="0" t="s">
        <v>75</v>
      </c>
      <c r="F10522" s="0" t="s">
        <v>15</v>
      </c>
      <c r="G10522" s="0" t="s">
        <v>16</v>
      </c>
      <c r="H10522" s="0" t="n">
        <v>98</v>
      </c>
      <c r="I10522" s="0" t="s">
        <v>34935</v>
      </c>
      <c r="J10522" s="0" t="s">
        <v>34936</v>
      </c>
      <c r="K10522" s="0" t="s">
        <v>34937</v>
      </c>
      <c r="L10522" s="0" t="str">
        <f aca="false">HYPERLINK("https://www.ncbi.nlm.nih.gov/nuccore/CP000058.1?report=graph&amp;tracks=[key:gene_model_track,Options:GeneOnly]&amp;mk=3307171:3307190|offset_1|444444,3307192:3307211|offset_22|444444,3307242:3307261|offset_72|444444,3307268:3307287|offset_98|00cc00&amp;v=3306970:3307487&amp;c=444444", "offset 98")</f>
        <v>offset 98</v>
      </c>
    </row>
    <row r="10523" customFormat="false" ht="12.8" hidden="false" customHeight="false" outlineLevel="0" collapsed="false">
      <c r="A10523" s="0" t="s">
        <v>12</v>
      </c>
      <c r="B10523" s="0" t="n">
        <v>3308149</v>
      </c>
      <c r="C10523" s="0" t="n">
        <v>3308169</v>
      </c>
      <c r="D10523" s="0" t="s">
        <v>34938</v>
      </c>
      <c r="E10523" s="0" t="s">
        <v>75</v>
      </c>
      <c r="F10523" s="0" t="s">
        <v>15</v>
      </c>
      <c r="G10523" s="0" t="s">
        <v>20</v>
      </c>
      <c r="H10523" s="0" t="n">
        <v>25</v>
      </c>
      <c r="I10523" s="0" t="s">
        <v>34939</v>
      </c>
      <c r="J10523" s="0" t="s">
        <v>34940</v>
      </c>
      <c r="K10523" s="0" t="s">
        <v>34941</v>
      </c>
      <c r="L10523" s="0" t="str">
        <f aca="false">HYPERLINK("https://www.ncbi.nlm.nih.gov/nuccore/CP000058.1?report=graph&amp;tracks=[key:gene_model_track,Options:GeneOnly]&amp;mk=3308150:3308169|offset_25|00cc00,3308177:3308196|offset_52|444444,3308214:3308233|offset_89|444444,3308243:3308262|offset_118|444444&amp;v=3307949:3308462&amp;c=444444", "offset 25")</f>
        <v>offset 25</v>
      </c>
    </row>
    <row r="10524" customFormat="false" ht="12.8" hidden="false" customHeight="false" outlineLevel="0" collapsed="false">
      <c r="A10524" s="0" t="s">
        <v>12</v>
      </c>
      <c r="B10524" s="0" t="n">
        <v>3308176</v>
      </c>
      <c r="C10524" s="0" t="n">
        <v>3308196</v>
      </c>
      <c r="D10524" s="0" t="s">
        <v>34938</v>
      </c>
      <c r="E10524" s="0" t="s">
        <v>75</v>
      </c>
      <c r="F10524" s="0" t="s">
        <v>15</v>
      </c>
      <c r="G10524" s="0" t="s">
        <v>16</v>
      </c>
      <c r="H10524" s="0" t="n">
        <v>52</v>
      </c>
      <c r="I10524" s="0" t="s">
        <v>34942</v>
      </c>
      <c r="J10524" s="0" t="s">
        <v>34943</v>
      </c>
      <c r="K10524" s="0" t="s">
        <v>34944</v>
      </c>
      <c r="L10524" s="0" t="str">
        <f aca="false">HYPERLINK("https://www.ncbi.nlm.nih.gov/nuccore/CP000058.1?report=graph&amp;tracks=[key:gene_model_track,Options:GeneOnly]&amp;mk=3308150:3308169|offset_25|444444,3308177:3308196|offset_52|00cc00,3308214:3308233|offset_89|444444,3308243:3308262|offset_118|444444&amp;v=3307949:3308462&amp;c=444444", "offset 52")</f>
        <v>offset 52</v>
      </c>
    </row>
    <row r="10525" customFormat="false" ht="12.8" hidden="false" customHeight="false" outlineLevel="0" collapsed="false">
      <c r="A10525" s="0" t="s">
        <v>12</v>
      </c>
      <c r="B10525" s="0" t="n">
        <v>3308213</v>
      </c>
      <c r="C10525" s="0" t="n">
        <v>3308233</v>
      </c>
      <c r="D10525" s="0" t="s">
        <v>34938</v>
      </c>
      <c r="E10525" s="0" t="s">
        <v>75</v>
      </c>
      <c r="F10525" s="0" t="s">
        <v>15</v>
      </c>
      <c r="G10525" s="0" t="s">
        <v>36</v>
      </c>
      <c r="H10525" s="0" t="n">
        <v>89</v>
      </c>
      <c r="I10525" s="0" t="s">
        <v>34945</v>
      </c>
      <c r="J10525" s="0" t="s">
        <v>34946</v>
      </c>
      <c r="K10525" s="0" t="s">
        <v>34947</v>
      </c>
      <c r="L10525" s="0" t="str">
        <f aca="false">HYPERLINK("https://www.ncbi.nlm.nih.gov/nuccore/CP000058.1?report=graph&amp;tracks=[key:gene_model_track,Options:GeneOnly]&amp;mk=3308150:3308169|offset_25|444444,3308177:3308196|offset_52|444444,3308214:3308233|offset_89|00cc00,3308243:3308262|offset_118|444444&amp;v=3307949:3308462&amp;c=444444", "offset 89")</f>
        <v>offset 89</v>
      </c>
    </row>
    <row r="10526" customFormat="false" ht="12.8" hidden="false" customHeight="false" outlineLevel="0" collapsed="false">
      <c r="A10526" s="0" t="s">
        <v>12</v>
      </c>
      <c r="B10526" s="0" t="n">
        <v>3308242</v>
      </c>
      <c r="C10526" s="0" t="n">
        <v>3308262</v>
      </c>
      <c r="D10526" s="0" t="s">
        <v>34938</v>
      </c>
      <c r="E10526" s="0" t="s">
        <v>75</v>
      </c>
      <c r="F10526" s="0" t="s">
        <v>15</v>
      </c>
      <c r="G10526" s="0" t="s">
        <v>36</v>
      </c>
      <c r="H10526" s="0" t="n">
        <v>118</v>
      </c>
      <c r="I10526" s="0" t="s">
        <v>34948</v>
      </c>
      <c r="J10526" s="0" t="s">
        <v>34949</v>
      </c>
      <c r="K10526" s="0" t="s">
        <v>34950</v>
      </c>
      <c r="L10526" s="0" t="str">
        <f aca="false">HYPERLINK("https://www.ncbi.nlm.nih.gov/nuccore/CP000058.1?report=graph&amp;tracks=[key:gene_model_track,Options:GeneOnly]&amp;mk=3308150:3308169|offset_25|444444,3308177:3308196|offset_52|444444,3308214:3308233|offset_89|444444,3308243:3308262|offset_118|00cc00&amp;v=3307949:3308462&amp;c=444444", "offset 118")</f>
        <v>offset 118</v>
      </c>
    </row>
    <row r="10527" customFormat="false" ht="12.8" hidden="false" customHeight="false" outlineLevel="0" collapsed="false">
      <c r="A10527" s="0" t="s">
        <v>12</v>
      </c>
      <c r="B10527" s="0" t="n">
        <v>3308623</v>
      </c>
      <c r="C10527" s="0" t="n">
        <v>3308643</v>
      </c>
      <c r="D10527" s="0" t="s">
        <v>34951</v>
      </c>
      <c r="E10527" s="0" t="s">
        <v>75</v>
      </c>
      <c r="F10527" s="0" t="s">
        <v>15</v>
      </c>
      <c r="G10527" s="0" t="s">
        <v>32</v>
      </c>
      <c r="H10527" s="0" t="n">
        <v>10</v>
      </c>
      <c r="I10527" s="0" t="s">
        <v>34952</v>
      </c>
      <c r="J10527" s="0" t="s">
        <v>34953</v>
      </c>
      <c r="K10527" s="0" t="s">
        <v>34954</v>
      </c>
      <c r="L10527" s="0" t="str">
        <f aca="false">HYPERLINK("https://www.ncbi.nlm.nih.gov/nuccore/CP000058.1?report=graph&amp;tracks=[key:gene_model_track,Options:GeneOnly]&amp;mk=3308624:3308643|offset_10|00cc00,3308645:3308664|offset_31|444444,3308680:3308699|offset_66|444444,3308712:3308731|offset_98|444444&amp;v=3308423:3308931&amp;c=444444", "offset 10")</f>
        <v>offset 10</v>
      </c>
    </row>
    <row r="10528" customFormat="false" ht="12.8" hidden="false" customHeight="false" outlineLevel="0" collapsed="false">
      <c r="A10528" s="0" t="s">
        <v>12</v>
      </c>
      <c r="B10528" s="0" t="n">
        <v>3308644</v>
      </c>
      <c r="C10528" s="0" t="n">
        <v>3308664</v>
      </c>
      <c r="D10528" s="0" t="s">
        <v>34951</v>
      </c>
      <c r="E10528" s="0" t="s">
        <v>75</v>
      </c>
      <c r="F10528" s="0" t="s">
        <v>15</v>
      </c>
      <c r="G10528" s="0" t="s">
        <v>16</v>
      </c>
      <c r="H10528" s="0" t="n">
        <v>31</v>
      </c>
      <c r="I10528" s="0" t="s">
        <v>34955</v>
      </c>
      <c r="J10528" s="0" t="s">
        <v>34956</v>
      </c>
      <c r="K10528" s="0" t="s">
        <v>34957</v>
      </c>
      <c r="L10528" s="0" t="str">
        <f aca="false">HYPERLINK("https://www.ncbi.nlm.nih.gov/nuccore/CP000058.1?report=graph&amp;tracks=[key:gene_model_track,Options:GeneOnly]&amp;mk=3308624:3308643|offset_10|444444,3308645:3308664|offset_31|00cc00,3308680:3308699|offset_66|444444,3308712:3308731|offset_98|444444&amp;v=3308423:3308931&amp;c=444444", "offset 31")</f>
        <v>offset 31</v>
      </c>
    </row>
    <row r="10529" customFormat="false" ht="12.8" hidden="false" customHeight="false" outlineLevel="0" collapsed="false">
      <c r="A10529" s="0" t="s">
        <v>12</v>
      </c>
      <c r="B10529" s="0" t="n">
        <v>3308679</v>
      </c>
      <c r="C10529" s="0" t="n">
        <v>3308699</v>
      </c>
      <c r="D10529" s="0" t="s">
        <v>34951</v>
      </c>
      <c r="E10529" s="0" t="s">
        <v>75</v>
      </c>
      <c r="F10529" s="0" t="s">
        <v>15</v>
      </c>
      <c r="G10529" s="0" t="s">
        <v>20</v>
      </c>
      <c r="H10529" s="0" t="n">
        <v>66</v>
      </c>
      <c r="I10529" s="0" t="s">
        <v>34958</v>
      </c>
      <c r="J10529" s="0" t="s">
        <v>34959</v>
      </c>
      <c r="K10529" s="0" t="s">
        <v>34960</v>
      </c>
      <c r="L10529" s="0" t="str">
        <f aca="false">HYPERLINK("https://www.ncbi.nlm.nih.gov/nuccore/CP000058.1?report=graph&amp;tracks=[key:gene_model_track,Options:GeneOnly]&amp;mk=3308624:3308643|offset_10|444444,3308645:3308664|offset_31|444444,3308680:3308699|offset_66|00cc00,3308712:3308731|offset_98|444444&amp;v=3308423:3308931&amp;c=444444", "offset 66")</f>
        <v>offset 66</v>
      </c>
    </row>
    <row r="10530" customFormat="false" ht="12.8" hidden="false" customHeight="false" outlineLevel="0" collapsed="false">
      <c r="A10530" s="0" t="s">
        <v>12</v>
      </c>
      <c r="B10530" s="0" t="n">
        <v>3308711</v>
      </c>
      <c r="C10530" s="0" t="n">
        <v>3308731</v>
      </c>
      <c r="D10530" s="0" t="s">
        <v>34951</v>
      </c>
      <c r="E10530" s="0" t="s">
        <v>75</v>
      </c>
      <c r="F10530" s="0" t="s">
        <v>15</v>
      </c>
      <c r="G10530" s="0" t="s">
        <v>16</v>
      </c>
      <c r="H10530" s="0" t="n">
        <v>98</v>
      </c>
      <c r="I10530" s="0" t="s">
        <v>34961</v>
      </c>
      <c r="J10530" s="0" t="s">
        <v>34962</v>
      </c>
      <c r="K10530" s="0" t="s">
        <v>34963</v>
      </c>
      <c r="L10530" s="0" t="str">
        <f aca="false">HYPERLINK("https://www.ncbi.nlm.nih.gov/nuccore/CP000058.1?report=graph&amp;tracks=[key:gene_model_track,Options:GeneOnly]&amp;mk=3308624:3308643|offset_10|444444,3308645:3308664|offset_31|444444,3308680:3308699|offset_66|444444,3308712:3308731|offset_98|00cc00&amp;v=3308423:3308931&amp;c=444444", "offset 98")</f>
        <v>offset 98</v>
      </c>
    </row>
    <row r="10531" customFormat="false" ht="12.8" hidden="false" customHeight="false" outlineLevel="0" collapsed="false">
      <c r="A10531" s="0" t="s">
        <v>12</v>
      </c>
      <c r="B10531" s="0" t="n">
        <v>3309975</v>
      </c>
      <c r="C10531" s="0" t="n">
        <v>3309995</v>
      </c>
      <c r="D10531" s="0" t="s">
        <v>34964</v>
      </c>
      <c r="E10531" s="0" t="s">
        <v>75</v>
      </c>
      <c r="F10531" s="0" t="s">
        <v>90</v>
      </c>
      <c r="G10531" s="0" t="s">
        <v>32</v>
      </c>
      <c r="H10531" s="0" t="n">
        <v>40</v>
      </c>
      <c r="I10531" s="0" t="s">
        <v>34965</v>
      </c>
      <c r="J10531" s="0" t="s">
        <v>34966</v>
      </c>
      <c r="K10531" s="0" t="s">
        <v>34967</v>
      </c>
      <c r="L10531" s="0" t="str">
        <f aca="false">HYPERLINK("https://www.ncbi.nlm.nih.gov/nuccore/CP000058.1?report=graph&amp;tracks=[key:gene_model_track,Options:GeneOnly]&amp;mk=3309976:3309995|offset_40|00cc00,3309937:3309956|offset_79|444444,3309914:3309933|offset_102|444444,3309874:3309893|offset_142|444444&amp;v=3309775:3310093&amp;c=444444", "offset 40")</f>
        <v>offset 40</v>
      </c>
    </row>
    <row r="10532" customFormat="false" ht="12.8" hidden="false" customHeight="false" outlineLevel="0" collapsed="false">
      <c r="A10532" s="0" t="s">
        <v>12</v>
      </c>
      <c r="B10532" s="0" t="n">
        <v>3309936</v>
      </c>
      <c r="C10532" s="0" t="n">
        <v>3309956</v>
      </c>
      <c r="D10532" s="0" t="s">
        <v>34964</v>
      </c>
      <c r="E10532" s="0" t="s">
        <v>75</v>
      </c>
      <c r="F10532" s="0" t="s">
        <v>90</v>
      </c>
      <c r="G10532" s="0" t="s">
        <v>16</v>
      </c>
      <c r="H10532" s="0" t="n">
        <v>79</v>
      </c>
      <c r="I10532" s="0" t="s">
        <v>34968</v>
      </c>
      <c r="J10532" s="0" t="s">
        <v>34969</v>
      </c>
      <c r="K10532" s="0" t="s">
        <v>34970</v>
      </c>
      <c r="L10532" s="0" t="str">
        <f aca="false">HYPERLINK("https://www.ncbi.nlm.nih.gov/nuccore/CP000058.1?report=graph&amp;tracks=[key:gene_model_track,Options:GeneOnly]&amp;mk=3309976:3309995|offset_40|444444,3309937:3309956|offset_79|00cc00,3309914:3309933|offset_102|444444,3309874:3309893|offset_142|444444&amp;v=3309775:3310093&amp;c=444444", "offset 79")</f>
        <v>offset 79</v>
      </c>
    </row>
    <row r="10533" customFormat="false" ht="12.8" hidden="false" customHeight="false" outlineLevel="0" collapsed="false">
      <c r="A10533" s="0" t="s">
        <v>12</v>
      </c>
      <c r="B10533" s="0" t="n">
        <v>3309913</v>
      </c>
      <c r="C10533" s="0" t="n">
        <v>3309933</v>
      </c>
      <c r="D10533" s="0" t="s">
        <v>34964</v>
      </c>
      <c r="E10533" s="0" t="s">
        <v>75</v>
      </c>
      <c r="F10533" s="0" t="s">
        <v>90</v>
      </c>
      <c r="G10533" s="0" t="s">
        <v>16</v>
      </c>
      <c r="H10533" s="0" t="n">
        <v>102</v>
      </c>
      <c r="I10533" s="0" t="s">
        <v>34971</v>
      </c>
      <c r="J10533" s="0" t="s">
        <v>34972</v>
      </c>
      <c r="K10533" s="0" t="s">
        <v>34973</v>
      </c>
      <c r="L10533" s="0" t="str">
        <f aca="false">HYPERLINK("https://www.ncbi.nlm.nih.gov/nuccore/CP000058.1?report=graph&amp;tracks=[key:gene_model_track,Options:GeneOnly]&amp;mk=3309976:3309995|offset_40|444444,3309937:3309956|offset_79|444444,3309914:3309933|offset_102|00cc00,3309874:3309893|offset_142|444444&amp;v=3309775:3310093&amp;c=444444", "offset 102")</f>
        <v>offset 102</v>
      </c>
    </row>
    <row r="10534" customFormat="false" ht="12.8" hidden="false" customHeight="false" outlineLevel="0" collapsed="false">
      <c r="A10534" s="0" t="s">
        <v>12</v>
      </c>
      <c r="B10534" s="0" t="n">
        <v>3309873</v>
      </c>
      <c r="C10534" s="0" t="n">
        <v>3309893</v>
      </c>
      <c r="D10534" s="0" t="s">
        <v>34964</v>
      </c>
      <c r="E10534" s="0" t="s">
        <v>75</v>
      </c>
      <c r="F10534" s="0" t="s">
        <v>90</v>
      </c>
      <c r="G10534" s="0" t="s">
        <v>36</v>
      </c>
      <c r="H10534" s="0" t="n">
        <v>142</v>
      </c>
      <c r="I10534" s="0" t="s">
        <v>34974</v>
      </c>
      <c r="J10534" s="0" t="s">
        <v>34975</v>
      </c>
      <c r="K10534" s="0" t="s">
        <v>34976</v>
      </c>
      <c r="L10534" s="0" t="str">
        <f aca="false">HYPERLINK("https://www.ncbi.nlm.nih.gov/nuccore/CP000058.1?report=graph&amp;tracks=[key:gene_model_track,Options:GeneOnly]&amp;mk=3309976:3309995|offset_40|444444,3309937:3309956|offset_79|444444,3309914:3309933|offset_102|444444,3309874:3309893|offset_142|00cc00&amp;v=3309775:3310093&amp;c=444444", "offset 142")</f>
        <v>offset 142</v>
      </c>
    </row>
    <row r="10535" customFormat="false" ht="12.8" hidden="false" customHeight="false" outlineLevel="0" collapsed="false">
      <c r="A10535" s="0" t="s">
        <v>12</v>
      </c>
      <c r="B10535" s="0" t="n">
        <v>3310050</v>
      </c>
      <c r="C10535" s="0" t="n">
        <v>3310070</v>
      </c>
      <c r="D10535" s="0" t="s">
        <v>34977</v>
      </c>
      <c r="E10535" s="0" t="s">
        <v>75</v>
      </c>
      <c r="F10535" s="0" t="s">
        <v>15</v>
      </c>
      <c r="G10535" s="0" t="s">
        <v>36</v>
      </c>
      <c r="H10535" s="0" t="n">
        <v>29</v>
      </c>
      <c r="I10535" s="0" t="s">
        <v>34978</v>
      </c>
      <c r="J10535" s="0" t="s">
        <v>34979</v>
      </c>
      <c r="K10535" s="0" t="s">
        <v>34980</v>
      </c>
      <c r="L10535" s="0" t="str">
        <f aca="false">HYPERLINK("https://www.ncbi.nlm.nih.gov/nuccore/CP000058.1?report=graph&amp;tracks=[key:gene_model_track,Options:GeneOnly]&amp;mk=3310051:3310070|offset_29|00cc00,3310075:3310094|offset_53|444444&amp;v=3309850:3310294&amp;c=444444", "offset 29")</f>
        <v>offset 29</v>
      </c>
    </row>
    <row r="10536" customFormat="false" ht="12.8" hidden="false" customHeight="false" outlineLevel="0" collapsed="false">
      <c r="A10536" s="0" t="s">
        <v>12</v>
      </c>
      <c r="B10536" s="0" t="n">
        <v>3310074</v>
      </c>
      <c r="C10536" s="0" t="n">
        <v>3310094</v>
      </c>
      <c r="D10536" s="0" t="s">
        <v>34977</v>
      </c>
      <c r="E10536" s="0" t="s">
        <v>75</v>
      </c>
      <c r="F10536" s="0" t="s">
        <v>15</v>
      </c>
      <c r="G10536" s="0" t="s">
        <v>36</v>
      </c>
      <c r="H10536" s="0" t="n">
        <v>53</v>
      </c>
      <c r="I10536" s="0" t="s">
        <v>34981</v>
      </c>
      <c r="J10536" s="0" t="s">
        <v>34982</v>
      </c>
      <c r="K10536" s="0" t="s">
        <v>34983</v>
      </c>
      <c r="L10536" s="0" t="str">
        <f aca="false">HYPERLINK("https://www.ncbi.nlm.nih.gov/nuccore/CP000058.1?report=graph&amp;tracks=[key:gene_model_track,Options:GeneOnly]&amp;mk=3310051:3310070|offset_29|444444,3310075:3310094|offset_53|00cc00&amp;v=3309850:3310294&amp;c=444444", "offset 53")</f>
        <v>offset 53</v>
      </c>
    </row>
    <row r="10537" customFormat="false" ht="12.8" hidden="false" customHeight="false" outlineLevel="0" collapsed="false">
      <c r="A10537" s="0" t="s">
        <v>12</v>
      </c>
      <c r="B10537" s="0" t="n">
        <v>3310158</v>
      </c>
      <c r="C10537" s="0" t="n">
        <v>3310178</v>
      </c>
      <c r="D10537" s="0" t="s">
        <v>34984</v>
      </c>
      <c r="E10537" s="0" t="s">
        <v>75</v>
      </c>
      <c r="F10537" s="0" t="s">
        <v>15</v>
      </c>
      <c r="G10537" s="0" t="s">
        <v>32</v>
      </c>
      <c r="H10537" s="0" t="n">
        <v>0</v>
      </c>
      <c r="I10537" s="0" t="s">
        <v>34985</v>
      </c>
      <c r="J10537" s="0" t="s">
        <v>34986</v>
      </c>
      <c r="K10537" s="0" t="s">
        <v>34987</v>
      </c>
      <c r="L10537" s="0" t="str">
        <f aca="false">HYPERLINK("https://www.ncbi.nlm.nih.gov/nuccore/CP000058.1?report=graph&amp;tracks=[key:gene_model_track,Options:GeneOnly]&amp;mk=3310159:3310178|offset_0|00cc00,3310181:3310200|offset_22|444444,3310211:3310230|offset_52|444444,3310235:3310254|offset_76|444444&amp;v=3309958:3310454&amp;c=444444", "offset 0")</f>
        <v>offset 0</v>
      </c>
    </row>
    <row r="10538" customFormat="false" ht="12.8" hidden="false" customHeight="false" outlineLevel="0" collapsed="false">
      <c r="A10538" s="0" t="s">
        <v>12</v>
      </c>
      <c r="B10538" s="0" t="n">
        <v>3310180</v>
      </c>
      <c r="C10538" s="0" t="n">
        <v>3310200</v>
      </c>
      <c r="D10538" s="0" t="s">
        <v>34984</v>
      </c>
      <c r="E10538" s="0" t="s">
        <v>75</v>
      </c>
      <c r="F10538" s="0" t="s">
        <v>15</v>
      </c>
      <c r="G10538" s="0" t="s">
        <v>20</v>
      </c>
      <c r="H10538" s="0" t="n">
        <v>22</v>
      </c>
      <c r="I10538" s="0" t="s">
        <v>34988</v>
      </c>
      <c r="J10538" s="0" t="s">
        <v>34989</v>
      </c>
      <c r="K10538" s="0" t="s">
        <v>34990</v>
      </c>
      <c r="L10538" s="0" t="str">
        <f aca="false">HYPERLINK("https://www.ncbi.nlm.nih.gov/nuccore/CP000058.1?report=graph&amp;tracks=[key:gene_model_track,Options:GeneOnly]&amp;mk=3310159:3310178|offset_0|444444,3310181:3310200|offset_22|00cc00,3310211:3310230|offset_52|444444,3310235:3310254|offset_76|444444&amp;v=3309958:3310454&amp;c=444444", "offset 22")</f>
        <v>offset 22</v>
      </c>
    </row>
    <row r="10539" customFormat="false" ht="12.8" hidden="false" customHeight="false" outlineLevel="0" collapsed="false">
      <c r="A10539" s="0" t="s">
        <v>12</v>
      </c>
      <c r="B10539" s="0" t="n">
        <v>3310210</v>
      </c>
      <c r="C10539" s="0" t="n">
        <v>3310230</v>
      </c>
      <c r="D10539" s="0" t="s">
        <v>34984</v>
      </c>
      <c r="E10539" s="0" t="s">
        <v>75</v>
      </c>
      <c r="F10539" s="0" t="s">
        <v>15</v>
      </c>
      <c r="G10539" s="0" t="s">
        <v>20</v>
      </c>
      <c r="H10539" s="0" t="n">
        <v>52</v>
      </c>
      <c r="I10539" s="0" t="s">
        <v>34991</v>
      </c>
      <c r="J10539" s="0" t="s">
        <v>34992</v>
      </c>
      <c r="K10539" s="0" t="s">
        <v>34993</v>
      </c>
      <c r="L10539" s="0" t="str">
        <f aca="false">HYPERLINK("https://www.ncbi.nlm.nih.gov/nuccore/CP000058.1?report=graph&amp;tracks=[key:gene_model_track,Options:GeneOnly]&amp;mk=3310159:3310178|offset_0|444444,3310181:3310200|offset_22|444444,3310211:3310230|offset_52|00cc00,3310235:3310254|offset_76|444444&amp;v=3309958:3310454&amp;c=444444", "offset 52")</f>
        <v>offset 52</v>
      </c>
    </row>
    <row r="10540" customFormat="false" ht="12.8" hidden="false" customHeight="false" outlineLevel="0" collapsed="false">
      <c r="A10540" s="0" t="s">
        <v>12</v>
      </c>
      <c r="B10540" s="0" t="n">
        <v>3310234</v>
      </c>
      <c r="C10540" s="0" t="n">
        <v>3310254</v>
      </c>
      <c r="D10540" s="0" t="s">
        <v>34984</v>
      </c>
      <c r="E10540" s="0" t="s">
        <v>75</v>
      </c>
      <c r="F10540" s="0" t="s">
        <v>15</v>
      </c>
      <c r="G10540" s="0" t="s">
        <v>20</v>
      </c>
      <c r="H10540" s="0" t="n">
        <v>76</v>
      </c>
      <c r="I10540" s="0" t="s">
        <v>34994</v>
      </c>
      <c r="J10540" s="0" t="s">
        <v>34995</v>
      </c>
      <c r="K10540" s="0" t="s">
        <v>34996</v>
      </c>
      <c r="L10540" s="0" t="str">
        <f aca="false">HYPERLINK("https://www.ncbi.nlm.nih.gov/nuccore/CP000058.1?report=graph&amp;tracks=[key:gene_model_track,Options:GeneOnly]&amp;mk=3310159:3310178|offset_0|444444,3310181:3310200|offset_22|444444,3310211:3310230|offset_52|444444,3310235:3310254|offset_76|00cc00&amp;v=3309958:3310454&amp;c=444444", "offset 76")</f>
        <v>offset 76</v>
      </c>
    </row>
    <row r="10541" customFormat="false" ht="12.8" hidden="false" customHeight="false" outlineLevel="0" collapsed="false">
      <c r="A10541" s="0" t="s">
        <v>12</v>
      </c>
      <c r="B10541" s="0" t="n">
        <v>3310792</v>
      </c>
      <c r="C10541" s="0" t="n">
        <v>3310812</v>
      </c>
      <c r="D10541" s="0" t="s">
        <v>34997</v>
      </c>
      <c r="E10541" s="0" t="s">
        <v>75</v>
      </c>
      <c r="F10541" s="0" t="s">
        <v>15</v>
      </c>
      <c r="G10541" s="0" t="s">
        <v>32</v>
      </c>
      <c r="H10541" s="0" t="n">
        <v>1</v>
      </c>
      <c r="I10541" s="0" t="s">
        <v>34998</v>
      </c>
      <c r="J10541" s="0" t="s">
        <v>34999</v>
      </c>
      <c r="K10541" s="0" t="s">
        <v>35000</v>
      </c>
      <c r="L10541" s="0" t="str">
        <f aca="false">HYPERLINK("https://www.ncbi.nlm.nih.gov/nuccore/CP000058.1?report=graph&amp;tracks=[key:gene_model_track,Options:GeneOnly]&amp;mk=3310793:3310812|offset_1|00cc00,3310835:3310854|offset_43|444444,3310859:3310878|offset_67|444444,3310886:3310905|offset_94|444444&amp;v=3310592:3311105&amp;c=444444", "offset 1")</f>
        <v>offset 1</v>
      </c>
    </row>
    <row r="10542" customFormat="false" ht="12.8" hidden="false" customHeight="false" outlineLevel="0" collapsed="false">
      <c r="A10542" s="0" t="s">
        <v>12</v>
      </c>
      <c r="B10542" s="0" t="n">
        <v>3310834</v>
      </c>
      <c r="C10542" s="0" t="n">
        <v>3310854</v>
      </c>
      <c r="D10542" s="0" t="s">
        <v>34997</v>
      </c>
      <c r="E10542" s="0" t="s">
        <v>75</v>
      </c>
      <c r="F10542" s="0" t="s">
        <v>15</v>
      </c>
      <c r="G10542" s="0" t="s">
        <v>16</v>
      </c>
      <c r="H10542" s="0" t="n">
        <v>43</v>
      </c>
      <c r="I10542" s="0" t="s">
        <v>35001</v>
      </c>
      <c r="J10542" s="0" t="s">
        <v>35002</v>
      </c>
      <c r="K10542" s="0" t="s">
        <v>35003</v>
      </c>
      <c r="L10542" s="0" t="str">
        <f aca="false">HYPERLINK("https://www.ncbi.nlm.nih.gov/nuccore/CP000058.1?report=graph&amp;tracks=[key:gene_model_track,Options:GeneOnly]&amp;mk=3310793:3310812|offset_1|444444,3310835:3310854|offset_43|00cc00,3310859:3310878|offset_67|444444,3310886:3310905|offset_94|444444&amp;v=3310592:3311105&amp;c=444444", "offset 43")</f>
        <v>offset 43</v>
      </c>
    </row>
    <row r="10543" customFormat="false" ht="12.8" hidden="false" customHeight="false" outlineLevel="0" collapsed="false">
      <c r="A10543" s="0" t="s">
        <v>12</v>
      </c>
      <c r="B10543" s="0" t="n">
        <v>3310858</v>
      </c>
      <c r="C10543" s="0" t="n">
        <v>3310878</v>
      </c>
      <c r="D10543" s="0" t="s">
        <v>34997</v>
      </c>
      <c r="E10543" s="0" t="s">
        <v>75</v>
      </c>
      <c r="F10543" s="0" t="s">
        <v>15</v>
      </c>
      <c r="G10543" s="0" t="s">
        <v>16</v>
      </c>
      <c r="H10543" s="0" t="n">
        <v>67</v>
      </c>
      <c r="I10543" s="0" t="s">
        <v>35004</v>
      </c>
      <c r="J10543" s="0" t="s">
        <v>35005</v>
      </c>
      <c r="K10543" s="0" t="s">
        <v>35006</v>
      </c>
      <c r="L10543" s="0" t="str">
        <f aca="false">HYPERLINK("https://www.ncbi.nlm.nih.gov/nuccore/CP000058.1?report=graph&amp;tracks=[key:gene_model_track,Options:GeneOnly]&amp;mk=3310793:3310812|offset_1|444444,3310835:3310854|offset_43|444444,3310859:3310878|offset_67|00cc00,3310886:3310905|offset_94|444444&amp;v=3310592:3311105&amp;c=444444", "offset 67")</f>
        <v>offset 67</v>
      </c>
    </row>
    <row r="10544" customFormat="false" ht="12.8" hidden="false" customHeight="false" outlineLevel="0" collapsed="false">
      <c r="A10544" s="0" t="s">
        <v>12</v>
      </c>
      <c r="B10544" s="0" t="n">
        <v>3310885</v>
      </c>
      <c r="C10544" s="0" t="n">
        <v>3310905</v>
      </c>
      <c r="D10544" s="0" t="s">
        <v>34997</v>
      </c>
      <c r="E10544" s="0" t="s">
        <v>75</v>
      </c>
      <c r="F10544" s="0" t="s">
        <v>15</v>
      </c>
      <c r="G10544" s="0" t="s">
        <v>32</v>
      </c>
      <c r="H10544" s="0" t="n">
        <v>94</v>
      </c>
      <c r="I10544" s="0" t="s">
        <v>35007</v>
      </c>
      <c r="J10544" s="0" t="s">
        <v>35008</v>
      </c>
      <c r="K10544" s="0" t="s">
        <v>35009</v>
      </c>
      <c r="L10544" s="0" t="str">
        <f aca="false">HYPERLINK("https://www.ncbi.nlm.nih.gov/nuccore/CP000058.1?report=graph&amp;tracks=[key:gene_model_track,Options:GeneOnly]&amp;mk=3310793:3310812|offset_1|444444,3310835:3310854|offset_43|444444,3310859:3310878|offset_67|444444,3310886:3310905|offset_94|00cc00&amp;v=3310592:3311105&amp;c=444444", "offset 94")</f>
        <v>offset 94</v>
      </c>
    </row>
    <row r="10545" customFormat="false" ht="12.8" hidden="false" customHeight="false" outlineLevel="0" collapsed="false">
      <c r="A10545" s="0" t="s">
        <v>12</v>
      </c>
      <c r="B10545" s="0" t="n">
        <v>3311139</v>
      </c>
      <c r="C10545" s="0" t="n">
        <v>3311159</v>
      </c>
      <c r="D10545" s="0" t="s">
        <v>35010</v>
      </c>
      <c r="E10545" s="0" t="s">
        <v>75</v>
      </c>
      <c r="F10545" s="0" t="s">
        <v>15</v>
      </c>
      <c r="G10545" s="0" t="s">
        <v>32</v>
      </c>
      <c r="H10545" s="0" t="n">
        <v>9</v>
      </c>
      <c r="I10545" s="0" t="s">
        <v>35011</v>
      </c>
      <c r="J10545" s="0" t="s">
        <v>35012</v>
      </c>
      <c r="K10545" s="0" t="s">
        <v>35013</v>
      </c>
      <c r="L10545" s="0" t="str">
        <f aca="false">HYPERLINK("https://www.ncbi.nlm.nih.gov/nuccore/CP000058.1?report=graph&amp;tracks=[key:gene_model_track,Options:GeneOnly]&amp;mk=3311140:3311159|offset_9|00cc00,3311184:3311203|offset_53|444444,3311204:3311223|offset_73|444444,3311231:3311250|offset_100|444444&amp;v=3310939:3311450&amp;c=444444", "offset 9")</f>
        <v>offset 9</v>
      </c>
    </row>
    <row r="10546" customFormat="false" ht="12.8" hidden="false" customHeight="false" outlineLevel="0" collapsed="false">
      <c r="A10546" s="0" t="s">
        <v>12</v>
      </c>
      <c r="B10546" s="0" t="n">
        <v>3311183</v>
      </c>
      <c r="C10546" s="0" t="n">
        <v>3311203</v>
      </c>
      <c r="D10546" s="0" t="s">
        <v>35010</v>
      </c>
      <c r="E10546" s="0" t="s">
        <v>75</v>
      </c>
      <c r="F10546" s="0" t="s">
        <v>15</v>
      </c>
      <c r="G10546" s="0" t="s">
        <v>32</v>
      </c>
      <c r="H10546" s="0" t="n">
        <v>53</v>
      </c>
      <c r="I10546" s="0" t="s">
        <v>35014</v>
      </c>
      <c r="J10546" s="0" t="s">
        <v>35015</v>
      </c>
      <c r="K10546" s="0" t="s">
        <v>35016</v>
      </c>
      <c r="L10546" s="0" t="str">
        <f aca="false">HYPERLINK("https://www.ncbi.nlm.nih.gov/nuccore/CP000058.1?report=graph&amp;tracks=[key:gene_model_track,Options:GeneOnly]&amp;mk=3311140:3311159|offset_9|444444,3311184:3311203|offset_53|00cc00,3311204:3311223|offset_73|444444,3311231:3311250|offset_100|444444&amp;v=3310939:3311450&amp;c=444444", "offset 53")</f>
        <v>offset 53</v>
      </c>
    </row>
    <row r="10547" customFormat="false" ht="12.8" hidden="false" customHeight="false" outlineLevel="0" collapsed="false">
      <c r="A10547" s="0" t="s">
        <v>12</v>
      </c>
      <c r="B10547" s="0" t="n">
        <v>3311203</v>
      </c>
      <c r="C10547" s="0" t="n">
        <v>3311223</v>
      </c>
      <c r="D10547" s="0" t="s">
        <v>35010</v>
      </c>
      <c r="E10547" s="0" t="s">
        <v>75</v>
      </c>
      <c r="F10547" s="0" t="s">
        <v>15</v>
      </c>
      <c r="G10547" s="0" t="s">
        <v>16</v>
      </c>
      <c r="H10547" s="0" t="n">
        <v>73</v>
      </c>
      <c r="I10547" s="0" t="s">
        <v>35017</v>
      </c>
      <c r="J10547" s="0" t="s">
        <v>35018</v>
      </c>
      <c r="K10547" s="0" t="s">
        <v>35019</v>
      </c>
      <c r="L10547" s="0" t="str">
        <f aca="false">HYPERLINK("https://www.ncbi.nlm.nih.gov/nuccore/CP000058.1?report=graph&amp;tracks=[key:gene_model_track,Options:GeneOnly]&amp;mk=3311140:3311159|offset_9|444444,3311184:3311203|offset_53|444444,3311204:3311223|offset_73|00cc00,3311231:3311250|offset_100|444444&amp;v=3310939:3311450&amp;c=444444", "offset 73")</f>
        <v>offset 73</v>
      </c>
    </row>
    <row r="10548" customFormat="false" ht="12.8" hidden="false" customHeight="false" outlineLevel="0" collapsed="false">
      <c r="A10548" s="0" t="s">
        <v>12</v>
      </c>
      <c r="B10548" s="0" t="n">
        <v>3311230</v>
      </c>
      <c r="C10548" s="0" t="n">
        <v>3311250</v>
      </c>
      <c r="D10548" s="0" t="s">
        <v>35010</v>
      </c>
      <c r="E10548" s="0" t="s">
        <v>75</v>
      </c>
      <c r="F10548" s="0" t="s">
        <v>15</v>
      </c>
      <c r="G10548" s="0" t="s">
        <v>32</v>
      </c>
      <c r="H10548" s="0" t="n">
        <v>100</v>
      </c>
      <c r="I10548" s="0" t="s">
        <v>35020</v>
      </c>
      <c r="J10548" s="0" t="s">
        <v>35021</v>
      </c>
      <c r="K10548" s="0" t="s">
        <v>35022</v>
      </c>
      <c r="L10548" s="0" t="str">
        <f aca="false">HYPERLINK("https://www.ncbi.nlm.nih.gov/nuccore/CP000058.1?report=graph&amp;tracks=[key:gene_model_track,Options:GeneOnly]&amp;mk=3311140:3311159|offset_9|444444,3311184:3311203|offset_53|444444,3311204:3311223|offset_73|444444,3311231:3311250|offset_100|00cc00&amp;v=3310939:3311450&amp;c=444444", "offset 100")</f>
        <v>offset 100</v>
      </c>
    </row>
    <row r="10549" customFormat="false" ht="12.8" hidden="false" customHeight="false" outlineLevel="0" collapsed="false">
      <c r="A10549" s="0" t="s">
        <v>12</v>
      </c>
      <c r="B10549" s="0" t="n">
        <v>3312785</v>
      </c>
      <c r="C10549" s="0" t="n">
        <v>3312805</v>
      </c>
      <c r="D10549" s="0" t="s">
        <v>35023</v>
      </c>
      <c r="E10549" s="0" t="s">
        <v>75</v>
      </c>
      <c r="F10549" s="0" t="s">
        <v>90</v>
      </c>
      <c r="G10549" s="0" t="s">
        <v>32</v>
      </c>
      <c r="H10549" s="0" t="n">
        <v>7</v>
      </c>
      <c r="I10549" s="0" t="s">
        <v>35024</v>
      </c>
      <c r="J10549" s="0" t="s">
        <v>35025</v>
      </c>
      <c r="K10549" s="0" t="s">
        <v>35026</v>
      </c>
      <c r="L10549" s="0" t="str">
        <f aca="false">HYPERLINK("https://www.ncbi.nlm.nih.gov/nuccore/CP000058.1?report=graph&amp;tracks=[key:gene_model_track,Options:GeneOnly]&amp;mk=3312786:3312805|offset_7|00cc00,3312753:3312772|offset_40|444444,3312731:3312750|offset_62|444444,3312705:3312724|offset_88|444444&amp;v=3312585:3312924&amp;c=444444", "offset 7")</f>
        <v>offset 7</v>
      </c>
    </row>
    <row r="10550" customFormat="false" ht="12.8" hidden="false" customHeight="false" outlineLevel="0" collapsed="false">
      <c r="A10550" s="0" t="s">
        <v>12</v>
      </c>
      <c r="B10550" s="0" t="n">
        <v>3312752</v>
      </c>
      <c r="C10550" s="0" t="n">
        <v>3312772</v>
      </c>
      <c r="D10550" s="0" t="s">
        <v>35023</v>
      </c>
      <c r="E10550" s="0" t="s">
        <v>75</v>
      </c>
      <c r="F10550" s="0" t="s">
        <v>90</v>
      </c>
      <c r="G10550" s="0" t="s">
        <v>16</v>
      </c>
      <c r="H10550" s="0" t="n">
        <v>40</v>
      </c>
      <c r="I10550" s="0" t="s">
        <v>35027</v>
      </c>
      <c r="J10550" s="0" t="s">
        <v>35028</v>
      </c>
      <c r="K10550" s="0" t="s">
        <v>35029</v>
      </c>
      <c r="L10550" s="0" t="str">
        <f aca="false">HYPERLINK("https://www.ncbi.nlm.nih.gov/nuccore/CP000058.1?report=graph&amp;tracks=[key:gene_model_track,Options:GeneOnly]&amp;mk=3312786:3312805|offset_7|444444,3312753:3312772|offset_40|00cc00,3312731:3312750|offset_62|444444,3312705:3312724|offset_88|444444&amp;v=3312585:3312924&amp;c=444444", "offset 40")</f>
        <v>offset 40</v>
      </c>
    </row>
    <row r="10551" customFormat="false" ht="12.8" hidden="false" customHeight="false" outlineLevel="0" collapsed="false">
      <c r="A10551" s="0" t="s">
        <v>12</v>
      </c>
      <c r="B10551" s="0" t="n">
        <v>3312730</v>
      </c>
      <c r="C10551" s="0" t="n">
        <v>3312750</v>
      </c>
      <c r="D10551" s="0" t="s">
        <v>35023</v>
      </c>
      <c r="E10551" s="0" t="s">
        <v>75</v>
      </c>
      <c r="F10551" s="0" t="s">
        <v>90</v>
      </c>
      <c r="G10551" s="0" t="s">
        <v>16</v>
      </c>
      <c r="H10551" s="0" t="n">
        <v>62</v>
      </c>
      <c r="I10551" s="0" t="s">
        <v>35030</v>
      </c>
      <c r="J10551" s="0" t="s">
        <v>35031</v>
      </c>
      <c r="K10551" s="0" t="s">
        <v>35032</v>
      </c>
      <c r="L10551" s="0" t="str">
        <f aca="false">HYPERLINK("https://www.ncbi.nlm.nih.gov/nuccore/CP000058.1?report=graph&amp;tracks=[key:gene_model_track,Options:GeneOnly]&amp;mk=3312786:3312805|offset_7|444444,3312753:3312772|offset_40|444444,3312731:3312750|offset_62|00cc00,3312705:3312724|offset_88|444444&amp;v=3312585:3312924&amp;c=444444", "offset 62")</f>
        <v>offset 62</v>
      </c>
    </row>
    <row r="10552" customFormat="false" ht="12.8" hidden="false" customHeight="false" outlineLevel="0" collapsed="false">
      <c r="A10552" s="0" t="s">
        <v>12</v>
      </c>
      <c r="B10552" s="0" t="n">
        <v>3312704</v>
      </c>
      <c r="C10552" s="0" t="n">
        <v>3312724</v>
      </c>
      <c r="D10552" s="0" t="s">
        <v>35023</v>
      </c>
      <c r="E10552" s="0" t="s">
        <v>75</v>
      </c>
      <c r="F10552" s="0" t="s">
        <v>90</v>
      </c>
      <c r="G10552" s="0" t="s">
        <v>20</v>
      </c>
      <c r="H10552" s="0" t="n">
        <v>88</v>
      </c>
      <c r="I10552" s="0" t="s">
        <v>35033</v>
      </c>
      <c r="J10552" s="0" t="s">
        <v>35034</v>
      </c>
      <c r="K10552" s="0" t="s">
        <v>35035</v>
      </c>
      <c r="L10552" s="0" t="str">
        <f aca="false">HYPERLINK("https://www.ncbi.nlm.nih.gov/nuccore/CP000058.1?report=graph&amp;tracks=[key:gene_model_track,Options:GeneOnly]&amp;mk=3312786:3312805|offset_7|444444,3312753:3312772|offset_40|444444,3312731:3312750|offset_62|444444,3312705:3312724|offset_88|00cc00&amp;v=3312585:3312924&amp;c=444444", "offset 88")</f>
        <v>offset 88</v>
      </c>
    </row>
    <row r="10553" customFormat="false" ht="12.8" hidden="false" customHeight="false" outlineLevel="0" collapsed="false">
      <c r="A10553" s="0" t="s">
        <v>12</v>
      </c>
      <c r="B10553" s="0" t="n">
        <v>3314173</v>
      </c>
      <c r="C10553" s="0" t="n">
        <v>3314193</v>
      </c>
      <c r="D10553" s="0" t="s">
        <v>35036</v>
      </c>
      <c r="E10553" s="0" t="s">
        <v>35037</v>
      </c>
      <c r="F10553" s="0" t="s">
        <v>90</v>
      </c>
      <c r="G10553" s="0" t="s">
        <v>36</v>
      </c>
      <c r="H10553" s="0" t="n">
        <v>0</v>
      </c>
      <c r="I10553" s="0" t="s">
        <v>35038</v>
      </c>
      <c r="J10553" s="0" t="s">
        <v>35039</v>
      </c>
      <c r="K10553" s="0" t="s">
        <v>35040</v>
      </c>
      <c r="L10553" s="0" t="str">
        <f aca="false">HYPERLINK("https://www.ncbi.nlm.nih.gov/nuccore/CP000058.1?report=graph&amp;tracks=[key:gene_model_track,Options:GeneOnly]&amp;mk=3314174:3314193|offset_0|00cc00,3314152:3314171|offset_22|444444,3314130:3314149|offset_44|444444,3314100:3314119|offset_74|444444&amp;v=3313973:3314319&amp;c=444444", "offset 0")</f>
        <v>offset 0</v>
      </c>
    </row>
    <row r="10554" customFormat="false" ht="12.8" hidden="false" customHeight="false" outlineLevel="0" collapsed="false">
      <c r="A10554" s="0" t="s">
        <v>12</v>
      </c>
      <c r="B10554" s="0" t="n">
        <v>3314151</v>
      </c>
      <c r="C10554" s="0" t="n">
        <v>3314171</v>
      </c>
      <c r="D10554" s="0" t="s">
        <v>35036</v>
      </c>
      <c r="E10554" s="0" t="s">
        <v>35037</v>
      </c>
      <c r="F10554" s="0" t="s">
        <v>90</v>
      </c>
      <c r="G10554" s="0" t="s">
        <v>32</v>
      </c>
      <c r="H10554" s="0" t="n">
        <v>22</v>
      </c>
      <c r="I10554" s="0" t="s">
        <v>35041</v>
      </c>
      <c r="J10554" s="0" t="s">
        <v>35042</v>
      </c>
      <c r="K10554" s="0" t="s">
        <v>35043</v>
      </c>
      <c r="L10554" s="0" t="str">
        <f aca="false">HYPERLINK("https://www.ncbi.nlm.nih.gov/nuccore/CP000058.1?report=graph&amp;tracks=[key:gene_model_track,Options:GeneOnly]&amp;mk=3314174:3314193|offset_0|444444,3314152:3314171|offset_22|00cc00,3314130:3314149|offset_44|444444,3314100:3314119|offset_74|444444&amp;v=3313973:3314319&amp;c=444444", "offset 22")</f>
        <v>offset 22</v>
      </c>
    </row>
    <row r="10555" customFormat="false" ht="12.8" hidden="false" customHeight="false" outlineLevel="0" collapsed="false">
      <c r="A10555" s="0" t="s">
        <v>12</v>
      </c>
      <c r="B10555" s="0" t="n">
        <v>3314129</v>
      </c>
      <c r="C10555" s="0" t="n">
        <v>3314149</v>
      </c>
      <c r="D10555" s="0" t="s">
        <v>35036</v>
      </c>
      <c r="E10555" s="0" t="s">
        <v>35037</v>
      </c>
      <c r="F10555" s="0" t="s">
        <v>90</v>
      </c>
      <c r="G10555" s="0" t="s">
        <v>36</v>
      </c>
      <c r="H10555" s="0" t="n">
        <v>44</v>
      </c>
      <c r="I10555" s="0" t="s">
        <v>35044</v>
      </c>
      <c r="J10555" s="0" t="s">
        <v>35045</v>
      </c>
      <c r="K10555" s="0" t="s">
        <v>35046</v>
      </c>
      <c r="L10555" s="0" t="str">
        <f aca="false">HYPERLINK("https://www.ncbi.nlm.nih.gov/nuccore/CP000058.1?report=graph&amp;tracks=[key:gene_model_track,Options:GeneOnly]&amp;mk=3314174:3314193|offset_0|444444,3314152:3314171|offset_22|444444,3314130:3314149|offset_44|00cc00,3314100:3314119|offset_74|444444&amp;v=3313973:3314319&amp;c=444444", "offset 44")</f>
        <v>offset 44</v>
      </c>
    </row>
    <row r="10556" customFormat="false" ht="12.8" hidden="false" customHeight="false" outlineLevel="0" collapsed="false">
      <c r="A10556" s="0" t="s">
        <v>12</v>
      </c>
      <c r="B10556" s="0" t="n">
        <v>3314099</v>
      </c>
      <c r="C10556" s="0" t="n">
        <v>3314119</v>
      </c>
      <c r="D10556" s="0" t="s">
        <v>35036</v>
      </c>
      <c r="E10556" s="0" t="s">
        <v>35037</v>
      </c>
      <c r="F10556" s="0" t="s">
        <v>90</v>
      </c>
      <c r="G10556" s="0" t="s">
        <v>36</v>
      </c>
      <c r="H10556" s="0" t="n">
        <v>74</v>
      </c>
      <c r="I10556" s="0" t="s">
        <v>35047</v>
      </c>
      <c r="J10556" s="0" t="s">
        <v>35048</v>
      </c>
      <c r="K10556" s="0" t="s">
        <v>35049</v>
      </c>
      <c r="L10556" s="0" t="str">
        <f aca="false">HYPERLINK("https://www.ncbi.nlm.nih.gov/nuccore/CP000058.1?report=graph&amp;tracks=[key:gene_model_track,Options:GeneOnly]&amp;mk=3314174:3314193|offset_0|444444,3314152:3314171|offset_22|444444,3314130:3314149|offset_44|444444,3314100:3314119|offset_74|00cc00&amp;v=3313973:3314319&amp;c=444444", "offset 74")</f>
        <v>offset 74</v>
      </c>
    </row>
    <row r="10557" customFormat="false" ht="12.8" hidden="false" customHeight="false" outlineLevel="0" collapsed="false">
      <c r="A10557" s="0" t="s">
        <v>12</v>
      </c>
      <c r="B10557" s="0" t="n">
        <v>3314512</v>
      </c>
      <c r="C10557" s="0" t="n">
        <v>3314532</v>
      </c>
      <c r="D10557" s="0" t="s">
        <v>35050</v>
      </c>
      <c r="E10557" s="0" t="s">
        <v>75</v>
      </c>
      <c r="F10557" s="0" t="s">
        <v>15</v>
      </c>
      <c r="G10557" s="0" t="s">
        <v>20</v>
      </c>
      <c r="H10557" s="0" t="n">
        <v>15</v>
      </c>
      <c r="I10557" s="0" t="s">
        <v>35051</v>
      </c>
      <c r="J10557" s="0" t="s">
        <v>35052</v>
      </c>
      <c r="K10557" s="0" t="s">
        <v>35053</v>
      </c>
      <c r="L10557" s="0" t="str">
        <f aca="false">HYPERLINK("https://www.ncbi.nlm.nih.gov/nuccore/CP000058.1?report=graph&amp;tracks=[key:gene_model_track,Options:GeneOnly]&amp;mk=3314513:3314532|offset_15|00cc00,3314582:3314601|offset_84|444444,3314613:3314632|offset_115|444444,3314650:3314669|offset_152|444444&amp;v=3314312:3314869&amp;c=444444", "offset 15")</f>
        <v>offset 15</v>
      </c>
    </row>
    <row r="10558" customFormat="false" ht="12.8" hidden="false" customHeight="false" outlineLevel="0" collapsed="false">
      <c r="A10558" s="0" t="s">
        <v>12</v>
      </c>
      <c r="B10558" s="0" t="n">
        <v>3314581</v>
      </c>
      <c r="C10558" s="0" t="n">
        <v>3314601</v>
      </c>
      <c r="D10558" s="0" t="s">
        <v>35050</v>
      </c>
      <c r="E10558" s="0" t="s">
        <v>75</v>
      </c>
      <c r="F10558" s="0" t="s">
        <v>15</v>
      </c>
      <c r="G10558" s="0" t="s">
        <v>20</v>
      </c>
      <c r="H10558" s="0" t="n">
        <v>84</v>
      </c>
      <c r="I10558" s="0" t="s">
        <v>35054</v>
      </c>
      <c r="J10558" s="0" t="s">
        <v>35055</v>
      </c>
      <c r="K10558" s="0" t="s">
        <v>35056</v>
      </c>
      <c r="L10558" s="0" t="str">
        <f aca="false">HYPERLINK("https://www.ncbi.nlm.nih.gov/nuccore/CP000058.1?report=graph&amp;tracks=[key:gene_model_track,Options:GeneOnly]&amp;mk=3314513:3314532|offset_15|444444,3314582:3314601|offset_84|00cc00,3314613:3314632|offset_115|444444,3314650:3314669|offset_152|444444&amp;v=3314312:3314869&amp;c=444444", "offset 84")</f>
        <v>offset 84</v>
      </c>
    </row>
    <row r="10559" customFormat="false" ht="12.8" hidden="false" customHeight="false" outlineLevel="0" collapsed="false">
      <c r="A10559" s="0" t="s">
        <v>12</v>
      </c>
      <c r="B10559" s="0" t="n">
        <v>3314612</v>
      </c>
      <c r="C10559" s="0" t="n">
        <v>3314632</v>
      </c>
      <c r="D10559" s="0" t="s">
        <v>35050</v>
      </c>
      <c r="E10559" s="0" t="s">
        <v>75</v>
      </c>
      <c r="F10559" s="0" t="s">
        <v>15</v>
      </c>
      <c r="G10559" s="0" t="s">
        <v>36</v>
      </c>
      <c r="H10559" s="0" t="n">
        <v>115</v>
      </c>
      <c r="I10559" s="0" t="s">
        <v>35057</v>
      </c>
      <c r="J10559" s="0" t="s">
        <v>35058</v>
      </c>
      <c r="K10559" s="0" t="s">
        <v>35059</v>
      </c>
      <c r="L10559" s="0" t="str">
        <f aca="false">HYPERLINK("https://www.ncbi.nlm.nih.gov/nuccore/CP000058.1?report=graph&amp;tracks=[key:gene_model_track,Options:GeneOnly]&amp;mk=3314513:3314532|offset_15|444444,3314582:3314601|offset_84|444444,3314613:3314632|offset_115|00cc00,3314650:3314669|offset_152|444444&amp;v=3314312:3314869&amp;c=444444", "offset 115")</f>
        <v>offset 115</v>
      </c>
    </row>
    <row r="10560" customFormat="false" ht="12.8" hidden="false" customHeight="false" outlineLevel="0" collapsed="false">
      <c r="A10560" s="0" t="s">
        <v>12</v>
      </c>
      <c r="B10560" s="0" t="n">
        <v>3314649</v>
      </c>
      <c r="C10560" s="0" t="n">
        <v>3314669</v>
      </c>
      <c r="D10560" s="0" t="s">
        <v>35050</v>
      </c>
      <c r="E10560" s="0" t="s">
        <v>75</v>
      </c>
      <c r="F10560" s="0" t="s">
        <v>15</v>
      </c>
      <c r="G10560" s="0" t="s">
        <v>20</v>
      </c>
      <c r="H10560" s="0" t="n">
        <v>152</v>
      </c>
      <c r="I10560" s="0" t="s">
        <v>35060</v>
      </c>
      <c r="J10560" s="0" t="s">
        <v>35061</v>
      </c>
      <c r="K10560" s="0" t="s">
        <v>35062</v>
      </c>
      <c r="L10560" s="0" t="str">
        <f aca="false">HYPERLINK("https://www.ncbi.nlm.nih.gov/nuccore/CP000058.1?report=graph&amp;tracks=[key:gene_model_track,Options:GeneOnly]&amp;mk=3314513:3314532|offset_15|444444,3314582:3314601|offset_84|444444,3314613:3314632|offset_115|444444,3314650:3314669|offset_152|00cc00&amp;v=3314312:3314869&amp;c=444444", "offset 152")</f>
        <v>offset 152</v>
      </c>
    </row>
    <row r="10561" customFormat="false" ht="12.8" hidden="false" customHeight="false" outlineLevel="0" collapsed="false">
      <c r="A10561" s="0" t="s">
        <v>12</v>
      </c>
      <c r="B10561" s="0" t="n">
        <v>3316182</v>
      </c>
      <c r="C10561" s="0" t="n">
        <v>3316202</v>
      </c>
      <c r="D10561" s="0" t="s">
        <v>35063</v>
      </c>
      <c r="E10561" s="0" t="s">
        <v>75</v>
      </c>
      <c r="F10561" s="0" t="s">
        <v>90</v>
      </c>
      <c r="G10561" s="0" t="s">
        <v>20</v>
      </c>
      <c r="H10561" s="0" t="n">
        <v>12</v>
      </c>
      <c r="I10561" s="0" t="s">
        <v>35064</v>
      </c>
      <c r="J10561" s="0" t="s">
        <v>35065</v>
      </c>
      <c r="K10561" s="0" t="s">
        <v>35066</v>
      </c>
      <c r="L10561" s="0" t="str">
        <f aca="false">HYPERLINK("https://www.ncbi.nlm.nih.gov/nuccore/CP000058.1?report=graph&amp;tracks=[key:gene_model_track,Options:GeneOnly]&amp;mk=3316183:3316202|offset_12|00cc00,3316132:3316151|offset_63|444444,3316071:3316090|offset_124|444444,3316006:3316025|offset_189|444444&amp;v=3315982:3316225&amp;c=444444", "offset 12")</f>
        <v>offset 12</v>
      </c>
    </row>
    <row r="10562" customFormat="false" ht="12.8" hidden="false" customHeight="false" outlineLevel="0" collapsed="false">
      <c r="A10562" s="0" t="s">
        <v>12</v>
      </c>
      <c r="B10562" s="0" t="n">
        <v>3316131</v>
      </c>
      <c r="C10562" s="0" t="n">
        <v>3316151</v>
      </c>
      <c r="D10562" s="0" t="s">
        <v>35063</v>
      </c>
      <c r="E10562" s="0" t="s">
        <v>75</v>
      </c>
      <c r="F10562" s="0" t="s">
        <v>90</v>
      </c>
      <c r="G10562" s="0" t="s">
        <v>32</v>
      </c>
      <c r="H10562" s="0" t="n">
        <v>63</v>
      </c>
      <c r="I10562" s="0" t="s">
        <v>35067</v>
      </c>
      <c r="J10562" s="0" t="s">
        <v>35068</v>
      </c>
      <c r="K10562" s="0" t="s">
        <v>35069</v>
      </c>
      <c r="L10562" s="0" t="str">
        <f aca="false">HYPERLINK("https://www.ncbi.nlm.nih.gov/nuccore/CP000058.1?report=graph&amp;tracks=[key:gene_model_track,Options:GeneOnly]&amp;mk=3316183:3316202|offset_12|444444,3316132:3316151|offset_63|00cc00,3316071:3316090|offset_124|444444,3316006:3316025|offset_189|444444&amp;v=3315982:3316225&amp;c=444444", "offset 63")</f>
        <v>offset 63</v>
      </c>
    </row>
    <row r="10563" customFormat="false" ht="12.8" hidden="false" customHeight="false" outlineLevel="0" collapsed="false">
      <c r="A10563" s="0" t="s">
        <v>12</v>
      </c>
      <c r="B10563" s="0" t="n">
        <v>3316070</v>
      </c>
      <c r="C10563" s="0" t="n">
        <v>3316090</v>
      </c>
      <c r="D10563" s="0" t="s">
        <v>35063</v>
      </c>
      <c r="E10563" s="0" t="s">
        <v>75</v>
      </c>
      <c r="F10563" s="0" t="s">
        <v>90</v>
      </c>
      <c r="G10563" s="0" t="s">
        <v>16</v>
      </c>
      <c r="H10563" s="0" t="n">
        <v>124</v>
      </c>
      <c r="I10563" s="0" t="s">
        <v>35070</v>
      </c>
      <c r="J10563" s="0" t="s">
        <v>35071</v>
      </c>
      <c r="K10563" s="0" t="s">
        <v>35072</v>
      </c>
      <c r="L10563" s="0" t="str">
        <f aca="false">HYPERLINK("https://www.ncbi.nlm.nih.gov/nuccore/CP000058.1?report=graph&amp;tracks=[key:gene_model_track,Options:GeneOnly]&amp;mk=3316183:3316202|offset_12|444444,3316132:3316151|offset_63|444444,3316071:3316090|offset_124|00cc00,3316006:3316025|offset_189|444444&amp;v=3315982:3316225&amp;c=444444", "offset 124")</f>
        <v>offset 124</v>
      </c>
    </row>
    <row r="10564" customFormat="false" ht="12.8" hidden="false" customHeight="false" outlineLevel="0" collapsed="false">
      <c r="A10564" s="0" t="s">
        <v>12</v>
      </c>
      <c r="B10564" s="0" t="n">
        <v>3316005</v>
      </c>
      <c r="C10564" s="0" t="n">
        <v>3316025</v>
      </c>
      <c r="D10564" s="0" t="s">
        <v>35063</v>
      </c>
      <c r="E10564" s="0" t="s">
        <v>75</v>
      </c>
      <c r="F10564" s="0" t="s">
        <v>90</v>
      </c>
      <c r="G10564" s="0" t="s">
        <v>16</v>
      </c>
      <c r="H10564" s="0" t="n">
        <v>189</v>
      </c>
      <c r="I10564" s="0" t="s">
        <v>35073</v>
      </c>
      <c r="J10564" s="0" t="s">
        <v>35074</v>
      </c>
      <c r="K10564" s="0" t="s">
        <v>35075</v>
      </c>
      <c r="L10564" s="0" t="str">
        <f aca="false">HYPERLINK("https://www.ncbi.nlm.nih.gov/nuccore/CP000058.1?report=graph&amp;tracks=[key:gene_model_track,Options:GeneOnly]&amp;mk=3316183:3316202|offset_12|444444,3316132:3316151|offset_63|444444,3316071:3316090|offset_124|444444,3316006:3316025|offset_189|00cc00&amp;v=3315982:3316225&amp;c=444444", "offset 189")</f>
        <v>offset 189</v>
      </c>
    </row>
    <row r="10565" customFormat="false" ht="12.8" hidden="false" customHeight="false" outlineLevel="0" collapsed="false">
      <c r="A10565" s="0" t="s">
        <v>12</v>
      </c>
      <c r="B10565" s="0" t="n">
        <v>3317803</v>
      </c>
      <c r="C10565" s="0" t="n">
        <v>3317823</v>
      </c>
      <c r="D10565" s="0" t="s">
        <v>35076</v>
      </c>
      <c r="E10565" s="0" t="s">
        <v>75</v>
      </c>
      <c r="F10565" s="0" t="s">
        <v>90</v>
      </c>
      <c r="G10565" s="0" t="s">
        <v>36</v>
      </c>
      <c r="H10565" s="0" t="n">
        <v>7</v>
      </c>
      <c r="I10565" s="0" t="s">
        <v>35077</v>
      </c>
      <c r="J10565" s="0" t="s">
        <v>35078</v>
      </c>
      <c r="K10565" s="0" t="s">
        <v>35079</v>
      </c>
      <c r="L10565" s="0" t="str">
        <f aca="false">HYPERLINK("https://www.ncbi.nlm.nih.gov/nuccore/CP000058.1?report=graph&amp;tracks=[key:gene_model_track,Options:GeneOnly]&amp;mk=3317804:3317823|offset_7|00cc00,3317778:3317797|offset_33|444444,3317748:3317767|offset_63|444444,3317707:3317726|offset_104|444444&amp;v=3317603:3317926&amp;c=444444", "offset 7")</f>
        <v>offset 7</v>
      </c>
    </row>
    <row r="10566" customFormat="false" ht="12.8" hidden="false" customHeight="false" outlineLevel="0" collapsed="false">
      <c r="A10566" s="0" t="s">
        <v>12</v>
      </c>
      <c r="B10566" s="0" t="n">
        <v>3317777</v>
      </c>
      <c r="C10566" s="0" t="n">
        <v>3317797</v>
      </c>
      <c r="D10566" s="0" t="s">
        <v>35076</v>
      </c>
      <c r="E10566" s="0" t="s">
        <v>75</v>
      </c>
      <c r="F10566" s="0" t="s">
        <v>90</v>
      </c>
      <c r="G10566" s="0" t="s">
        <v>16</v>
      </c>
      <c r="H10566" s="0" t="n">
        <v>33</v>
      </c>
      <c r="I10566" s="0" t="s">
        <v>35080</v>
      </c>
      <c r="J10566" s="0" t="s">
        <v>35081</v>
      </c>
      <c r="K10566" s="0" t="s">
        <v>35082</v>
      </c>
      <c r="L10566" s="0" t="str">
        <f aca="false">HYPERLINK("https://www.ncbi.nlm.nih.gov/nuccore/CP000058.1?report=graph&amp;tracks=[key:gene_model_track,Options:GeneOnly]&amp;mk=3317804:3317823|offset_7|444444,3317778:3317797|offset_33|00cc00,3317748:3317767|offset_63|444444,3317707:3317726|offset_104|444444&amp;v=3317603:3317926&amp;c=444444", "offset 33")</f>
        <v>offset 33</v>
      </c>
    </row>
    <row r="10567" customFormat="false" ht="12.8" hidden="false" customHeight="false" outlineLevel="0" collapsed="false">
      <c r="A10567" s="0" t="s">
        <v>12</v>
      </c>
      <c r="B10567" s="0" t="n">
        <v>3317747</v>
      </c>
      <c r="C10567" s="0" t="n">
        <v>3317767</v>
      </c>
      <c r="D10567" s="0" t="s">
        <v>35076</v>
      </c>
      <c r="E10567" s="0" t="s">
        <v>75</v>
      </c>
      <c r="F10567" s="0" t="s">
        <v>90</v>
      </c>
      <c r="G10567" s="0" t="s">
        <v>16</v>
      </c>
      <c r="H10567" s="0" t="n">
        <v>63</v>
      </c>
      <c r="I10567" s="0" t="s">
        <v>35083</v>
      </c>
      <c r="J10567" s="0" t="s">
        <v>35084</v>
      </c>
      <c r="K10567" s="0" t="s">
        <v>35085</v>
      </c>
      <c r="L10567" s="0" t="str">
        <f aca="false">HYPERLINK("https://www.ncbi.nlm.nih.gov/nuccore/CP000058.1?report=graph&amp;tracks=[key:gene_model_track,Options:GeneOnly]&amp;mk=3317804:3317823|offset_7|444444,3317778:3317797|offset_33|444444,3317748:3317767|offset_63|00cc00,3317707:3317726|offset_104|444444&amp;v=3317603:3317926&amp;c=444444", "offset 63")</f>
        <v>offset 63</v>
      </c>
    </row>
    <row r="10568" customFormat="false" ht="12.8" hidden="false" customHeight="false" outlineLevel="0" collapsed="false">
      <c r="A10568" s="0" t="s">
        <v>12</v>
      </c>
      <c r="B10568" s="0" t="n">
        <v>3317706</v>
      </c>
      <c r="C10568" s="0" t="n">
        <v>3317726</v>
      </c>
      <c r="D10568" s="0" t="s">
        <v>35076</v>
      </c>
      <c r="E10568" s="0" t="s">
        <v>75</v>
      </c>
      <c r="F10568" s="0" t="s">
        <v>90</v>
      </c>
      <c r="G10568" s="0" t="s">
        <v>32</v>
      </c>
      <c r="H10568" s="0" t="n">
        <v>104</v>
      </c>
      <c r="I10568" s="0" t="s">
        <v>35086</v>
      </c>
      <c r="J10568" s="0" t="s">
        <v>35087</v>
      </c>
      <c r="K10568" s="0" t="s">
        <v>35088</v>
      </c>
      <c r="L10568" s="0" t="str">
        <f aca="false">HYPERLINK("https://www.ncbi.nlm.nih.gov/nuccore/CP000058.1?report=graph&amp;tracks=[key:gene_model_track,Options:GeneOnly]&amp;mk=3317804:3317823|offset_7|444444,3317778:3317797|offset_33|444444,3317748:3317767|offset_63|444444,3317707:3317726|offset_104|00cc00&amp;v=3317603:3317926&amp;c=444444", "offset 104")</f>
        <v>offset 104</v>
      </c>
    </row>
    <row r="10569" customFormat="false" ht="12.8" hidden="false" customHeight="false" outlineLevel="0" collapsed="false">
      <c r="A10569" s="0" t="s">
        <v>12</v>
      </c>
      <c r="B10569" s="0" t="n">
        <v>3318206</v>
      </c>
      <c r="C10569" s="0" t="n">
        <v>3318226</v>
      </c>
      <c r="D10569" s="0" t="s">
        <v>35089</v>
      </c>
      <c r="E10569" s="0" t="s">
        <v>75</v>
      </c>
      <c r="F10569" s="0" t="s">
        <v>15</v>
      </c>
      <c r="G10569" s="0" t="s">
        <v>36</v>
      </c>
      <c r="H10569" s="0" t="n">
        <v>6</v>
      </c>
      <c r="I10569" s="0" t="s">
        <v>35090</v>
      </c>
      <c r="J10569" s="0" t="s">
        <v>35091</v>
      </c>
      <c r="K10569" s="0" t="s">
        <v>35092</v>
      </c>
      <c r="L10569" s="0" t="str">
        <f aca="false">HYPERLINK("https://www.ncbi.nlm.nih.gov/nuccore/CP000058.1?report=graph&amp;tracks=[key:gene_model_track,Options:GeneOnly]&amp;mk=3318207:3318226|offset_6|00cc00,3318243:3318262|offset_42|444444,3318298:3318317|offset_97|444444,3318320:3318339|offset_119|444444&amp;v=3318006:3318539&amp;c=444444", "offset 6")</f>
        <v>offset 6</v>
      </c>
    </row>
    <row r="10570" customFormat="false" ht="12.8" hidden="false" customHeight="false" outlineLevel="0" collapsed="false">
      <c r="A10570" s="0" t="s">
        <v>12</v>
      </c>
      <c r="B10570" s="0" t="n">
        <v>3318242</v>
      </c>
      <c r="C10570" s="0" t="n">
        <v>3318262</v>
      </c>
      <c r="D10570" s="0" t="s">
        <v>35089</v>
      </c>
      <c r="E10570" s="0" t="s">
        <v>75</v>
      </c>
      <c r="F10570" s="0" t="s">
        <v>15</v>
      </c>
      <c r="G10570" s="0" t="s">
        <v>20</v>
      </c>
      <c r="H10570" s="0" t="n">
        <v>42</v>
      </c>
      <c r="I10570" s="0" t="s">
        <v>35093</v>
      </c>
      <c r="J10570" s="0" t="s">
        <v>35094</v>
      </c>
      <c r="K10570" s="0" t="s">
        <v>35095</v>
      </c>
      <c r="L10570" s="0" t="str">
        <f aca="false">HYPERLINK("https://www.ncbi.nlm.nih.gov/nuccore/CP000058.1?report=graph&amp;tracks=[key:gene_model_track,Options:GeneOnly]&amp;mk=3318207:3318226|offset_6|444444,3318243:3318262|offset_42|00cc00,3318298:3318317|offset_97|444444,3318320:3318339|offset_119|444444&amp;v=3318006:3318539&amp;c=444444", "offset 42")</f>
        <v>offset 42</v>
      </c>
    </row>
    <row r="10571" customFormat="false" ht="12.8" hidden="false" customHeight="false" outlineLevel="0" collapsed="false">
      <c r="A10571" s="0" t="s">
        <v>12</v>
      </c>
      <c r="B10571" s="0" t="n">
        <v>3318297</v>
      </c>
      <c r="C10571" s="0" t="n">
        <v>3318317</v>
      </c>
      <c r="D10571" s="0" t="s">
        <v>35089</v>
      </c>
      <c r="E10571" s="0" t="s">
        <v>75</v>
      </c>
      <c r="F10571" s="0" t="s">
        <v>15</v>
      </c>
      <c r="G10571" s="0" t="s">
        <v>16</v>
      </c>
      <c r="H10571" s="0" t="n">
        <v>97</v>
      </c>
      <c r="I10571" s="0" t="s">
        <v>35096</v>
      </c>
      <c r="J10571" s="0" t="s">
        <v>35097</v>
      </c>
      <c r="K10571" s="0" t="s">
        <v>35098</v>
      </c>
      <c r="L10571" s="0" t="str">
        <f aca="false">HYPERLINK("https://www.ncbi.nlm.nih.gov/nuccore/CP000058.1?report=graph&amp;tracks=[key:gene_model_track,Options:GeneOnly]&amp;mk=3318207:3318226|offset_6|444444,3318243:3318262|offset_42|444444,3318298:3318317|offset_97|00cc00,3318320:3318339|offset_119|444444&amp;v=3318006:3318539&amp;c=444444", "offset 97")</f>
        <v>offset 97</v>
      </c>
    </row>
    <row r="10572" customFormat="false" ht="12.8" hidden="false" customHeight="false" outlineLevel="0" collapsed="false">
      <c r="A10572" s="0" t="s">
        <v>12</v>
      </c>
      <c r="B10572" s="0" t="n">
        <v>3318319</v>
      </c>
      <c r="C10572" s="0" t="n">
        <v>3318339</v>
      </c>
      <c r="D10572" s="0" t="s">
        <v>35089</v>
      </c>
      <c r="E10572" s="0" t="s">
        <v>75</v>
      </c>
      <c r="F10572" s="0" t="s">
        <v>15</v>
      </c>
      <c r="G10572" s="0" t="s">
        <v>16</v>
      </c>
      <c r="H10572" s="0" t="n">
        <v>119</v>
      </c>
      <c r="I10572" s="0" t="s">
        <v>35099</v>
      </c>
      <c r="J10572" s="0" t="s">
        <v>35100</v>
      </c>
      <c r="K10572" s="0" t="s">
        <v>35101</v>
      </c>
      <c r="L10572" s="0" t="str">
        <f aca="false">HYPERLINK("https://www.ncbi.nlm.nih.gov/nuccore/CP000058.1?report=graph&amp;tracks=[key:gene_model_track,Options:GeneOnly]&amp;mk=3318207:3318226|offset_6|444444,3318243:3318262|offset_42|444444,3318298:3318317|offset_97|444444,3318320:3318339|offset_119|00cc00&amp;v=3318006:3318539&amp;c=444444", "offset 119")</f>
        <v>offset 119</v>
      </c>
    </row>
    <row r="10573" customFormat="false" ht="12.8" hidden="false" customHeight="false" outlineLevel="0" collapsed="false">
      <c r="A10573" s="0" t="s">
        <v>12</v>
      </c>
      <c r="B10573" s="0" t="n">
        <v>3320962</v>
      </c>
      <c r="C10573" s="0" t="n">
        <v>3320982</v>
      </c>
      <c r="D10573" s="0" t="s">
        <v>35102</v>
      </c>
      <c r="E10573" s="0" t="s">
        <v>75</v>
      </c>
      <c r="F10573" s="0" t="s">
        <v>15</v>
      </c>
      <c r="G10573" s="0" t="s">
        <v>32</v>
      </c>
      <c r="H10573" s="0" t="n">
        <v>1</v>
      </c>
      <c r="I10573" s="0" t="s">
        <v>35103</v>
      </c>
      <c r="J10573" s="0" t="s">
        <v>35104</v>
      </c>
      <c r="K10573" s="0" t="s">
        <v>35105</v>
      </c>
      <c r="L10573" s="0" t="str">
        <f aca="false">HYPERLINK("https://www.ncbi.nlm.nih.gov/nuccore/CP000058.1?report=graph&amp;tracks=[key:gene_model_track,Options:GeneOnly]&amp;mk=3320963:3320982|offset_1|00cc00,3320999:3321018|offset_37|444444,3321029:3321048|offset_67|444444,3321092:3321111|offset_130|444444&amp;v=3320762:3321311&amp;c=444444", "offset 1")</f>
        <v>offset 1</v>
      </c>
    </row>
    <row r="10574" customFormat="false" ht="12.8" hidden="false" customHeight="false" outlineLevel="0" collapsed="false">
      <c r="A10574" s="0" t="s">
        <v>12</v>
      </c>
      <c r="B10574" s="0" t="n">
        <v>3320998</v>
      </c>
      <c r="C10574" s="0" t="n">
        <v>3321018</v>
      </c>
      <c r="D10574" s="0" t="s">
        <v>35102</v>
      </c>
      <c r="E10574" s="0" t="s">
        <v>75</v>
      </c>
      <c r="F10574" s="0" t="s">
        <v>15</v>
      </c>
      <c r="G10574" s="0" t="s">
        <v>32</v>
      </c>
      <c r="H10574" s="0" t="n">
        <v>37</v>
      </c>
      <c r="I10574" s="0" t="s">
        <v>35106</v>
      </c>
      <c r="J10574" s="0" t="s">
        <v>35107</v>
      </c>
      <c r="K10574" s="0" t="s">
        <v>35108</v>
      </c>
      <c r="L10574" s="0" t="str">
        <f aca="false">HYPERLINK("https://www.ncbi.nlm.nih.gov/nuccore/CP000058.1?report=graph&amp;tracks=[key:gene_model_track,Options:GeneOnly]&amp;mk=3320963:3320982|offset_1|444444,3320999:3321018|offset_37|00cc00,3321029:3321048|offset_67|444444,3321092:3321111|offset_130|444444&amp;v=3320762:3321311&amp;c=444444", "offset 37")</f>
        <v>offset 37</v>
      </c>
    </row>
    <row r="10575" customFormat="false" ht="12.8" hidden="false" customHeight="false" outlineLevel="0" collapsed="false">
      <c r="A10575" s="0" t="s">
        <v>12</v>
      </c>
      <c r="B10575" s="0" t="n">
        <v>3321028</v>
      </c>
      <c r="C10575" s="0" t="n">
        <v>3321048</v>
      </c>
      <c r="D10575" s="0" t="s">
        <v>35102</v>
      </c>
      <c r="E10575" s="0" t="s">
        <v>75</v>
      </c>
      <c r="F10575" s="0" t="s">
        <v>15</v>
      </c>
      <c r="G10575" s="0" t="s">
        <v>16</v>
      </c>
      <c r="H10575" s="0" t="n">
        <v>67</v>
      </c>
      <c r="I10575" s="0" t="s">
        <v>35109</v>
      </c>
      <c r="J10575" s="0" t="s">
        <v>35110</v>
      </c>
      <c r="K10575" s="0" t="s">
        <v>35111</v>
      </c>
      <c r="L10575" s="0" t="str">
        <f aca="false">HYPERLINK("https://www.ncbi.nlm.nih.gov/nuccore/CP000058.1?report=graph&amp;tracks=[key:gene_model_track,Options:GeneOnly]&amp;mk=3320963:3320982|offset_1|444444,3320999:3321018|offset_37|444444,3321029:3321048|offset_67|00cc00,3321092:3321111|offset_130|444444&amp;v=3320762:3321311&amp;c=444444", "offset 67")</f>
        <v>offset 67</v>
      </c>
    </row>
    <row r="10576" customFormat="false" ht="12.8" hidden="false" customHeight="false" outlineLevel="0" collapsed="false">
      <c r="A10576" s="0" t="s">
        <v>12</v>
      </c>
      <c r="B10576" s="0" t="n">
        <v>3321091</v>
      </c>
      <c r="C10576" s="0" t="n">
        <v>3321111</v>
      </c>
      <c r="D10576" s="0" t="s">
        <v>35102</v>
      </c>
      <c r="E10576" s="0" t="s">
        <v>75</v>
      </c>
      <c r="F10576" s="0" t="s">
        <v>15</v>
      </c>
      <c r="G10576" s="0" t="s">
        <v>16</v>
      </c>
      <c r="H10576" s="0" t="n">
        <v>130</v>
      </c>
      <c r="I10576" s="0" t="s">
        <v>35112</v>
      </c>
      <c r="J10576" s="0" t="s">
        <v>35113</v>
      </c>
      <c r="K10576" s="0" t="s">
        <v>35114</v>
      </c>
      <c r="L10576" s="0" t="str">
        <f aca="false">HYPERLINK("https://www.ncbi.nlm.nih.gov/nuccore/CP000058.1?report=graph&amp;tracks=[key:gene_model_track,Options:GeneOnly]&amp;mk=3320963:3320982|offset_1|444444,3320999:3321018|offset_37|444444,3321029:3321048|offset_67|444444,3321092:3321111|offset_130|00cc00&amp;v=3320762:3321311&amp;c=444444", "offset 130")</f>
        <v>offset 130</v>
      </c>
    </row>
    <row r="10577" customFormat="false" ht="12.8" hidden="false" customHeight="false" outlineLevel="0" collapsed="false">
      <c r="A10577" s="0" t="s">
        <v>12</v>
      </c>
      <c r="B10577" s="0" t="n">
        <v>3321713</v>
      </c>
      <c r="C10577" s="0" t="n">
        <v>3321733</v>
      </c>
      <c r="D10577" s="0" t="s">
        <v>35115</v>
      </c>
      <c r="E10577" s="0" t="s">
        <v>75</v>
      </c>
      <c r="F10577" s="0" t="s">
        <v>15</v>
      </c>
      <c r="G10577" s="0" t="s">
        <v>16</v>
      </c>
      <c r="H10577" s="0" t="n">
        <v>72</v>
      </c>
      <c r="I10577" s="0" t="s">
        <v>35116</v>
      </c>
      <c r="J10577" s="0" t="s">
        <v>35117</v>
      </c>
      <c r="K10577" s="0" t="s">
        <v>35118</v>
      </c>
      <c r="L10577" s="0" t="str">
        <f aca="false">HYPERLINK("https://www.ncbi.nlm.nih.gov/nuccore/CP000058.1?report=graph&amp;tracks=[key:gene_model_track,Options:GeneOnly]&amp;mk=3321714:3321733|offset_72|00cc00,3321790:3321809|offset_148|444444,3321826:3321845|offset_184|444444,3321914:3321933|offset_272|444444&amp;v=3321513:3322133&amp;c=444444", "offset 72")</f>
        <v>offset 72</v>
      </c>
    </row>
    <row r="10578" customFormat="false" ht="12.8" hidden="false" customHeight="false" outlineLevel="0" collapsed="false">
      <c r="A10578" s="0" t="s">
        <v>12</v>
      </c>
      <c r="B10578" s="0" t="n">
        <v>3321789</v>
      </c>
      <c r="C10578" s="0" t="n">
        <v>3321809</v>
      </c>
      <c r="D10578" s="0" t="s">
        <v>35115</v>
      </c>
      <c r="E10578" s="0" t="s">
        <v>75</v>
      </c>
      <c r="F10578" s="0" t="s">
        <v>15</v>
      </c>
      <c r="G10578" s="0" t="s">
        <v>36</v>
      </c>
      <c r="H10578" s="0" t="n">
        <v>148</v>
      </c>
      <c r="I10578" s="0" t="s">
        <v>35119</v>
      </c>
      <c r="J10578" s="0" t="s">
        <v>35120</v>
      </c>
      <c r="K10578" s="0" t="s">
        <v>35121</v>
      </c>
      <c r="L10578" s="0" t="str">
        <f aca="false">HYPERLINK("https://www.ncbi.nlm.nih.gov/nuccore/CP000058.1?report=graph&amp;tracks=[key:gene_model_track,Options:GeneOnly]&amp;mk=3321714:3321733|offset_72|444444,3321790:3321809|offset_148|00cc00,3321826:3321845|offset_184|444444,3321914:3321933|offset_272|444444&amp;v=3321513:3322133&amp;c=444444", "offset 148")</f>
        <v>offset 148</v>
      </c>
    </row>
    <row r="10579" customFormat="false" ht="12.8" hidden="false" customHeight="false" outlineLevel="0" collapsed="false">
      <c r="A10579" s="0" t="s">
        <v>12</v>
      </c>
      <c r="B10579" s="0" t="n">
        <v>3321825</v>
      </c>
      <c r="C10579" s="0" t="n">
        <v>3321845</v>
      </c>
      <c r="D10579" s="0" t="s">
        <v>35115</v>
      </c>
      <c r="E10579" s="0" t="s">
        <v>75</v>
      </c>
      <c r="F10579" s="0" t="s">
        <v>15</v>
      </c>
      <c r="G10579" s="0" t="s">
        <v>16</v>
      </c>
      <c r="H10579" s="0" t="n">
        <v>184</v>
      </c>
      <c r="I10579" s="0" t="s">
        <v>35122</v>
      </c>
      <c r="J10579" s="0" t="s">
        <v>35123</v>
      </c>
      <c r="K10579" s="0" t="s">
        <v>35124</v>
      </c>
      <c r="L10579" s="0" t="str">
        <f aca="false">HYPERLINK("https://www.ncbi.nlm.nih.gov/nuccore/CP000058.1?report=graph&amp;tracks=[key:gene_model_track,Options:GeneOnly]&amp;mk=3321714:3321733|offset_72|444444,3321790:3321809|offset_148|444444,3321826:3321845|offset_184|00cc00,3321914:3321933|offset_272|444444&amp;v=3321513:3322133&amp;c=444444", "offset 184")</f>
        <v>offset 184</v>
      </c>
    </row>
    <row r="10580" customFormat="false" ht="12.8" hidden="false" customHeight="false" outlineLevel="0" collapsed="false">
      <c r="A10580" s="0" t="s">
        <v>12</v>
      </c>
      <c r="B10580" s="0" t="n">
        <v>3321913</v>
      </c>
      <c r="C10580" s="0" t="n">
        <v>3321933</v>
      </c>
      <c r="D10580" s="0" t="s">
        <v>35115</v>
      </c>
      <c r="E10580" s="0" t="s">
        <v>75</v>
      </c>
      <c r="F10580" s="0" t="s">
        <v>15</v>
      </c>
      <c r="G10580" s="0" t="s">
        <v>20</v>
      </c>
      <c r="H10580" s="0" t="n">
        <v>272</v>
      </c>
      <c r="I10580" s="0" t="s">
        <v>35125</v>
      </c>
      <c r="J10580" s="0" t="s">
        <v>35126</v>
      </c>
      <c r="K10580" s="0" t="s">
        <v>35127</v>
      </c>
      <c r="L10580" s="0" t="str">
        <f aca="false">HYPERLINK("https://www.ncbi.nlm.nih.gov/nuccore/CP000058.1?report=graph&amp;tracks=[key:gene_model_track,Options:GeneOnly]&amp;mk=3321714:3321733|offset_72|444444,3321790:3321809|offset_148|444444,3321826:3321845|offset_184|444444,3321914:3321933|offset_272|00cc00&amp;v=3321513:3322133&amp;c=444444", "offset 272")</f>
        <v>offset 272</v>
      </c>
    </row>
    <row r="10581" customFormat="false" ht="12.8" hidden="false" customHeight="false" outlineLevel="0" collapsed="false">
      <c r="A10581" s="0" t="s">
        <v>12</v>
      </c>
      <c r="B10581" s="0" t="n">
        <v>3322724</v>
      </c>
      <c r="C10581" s="0" t="n">
        <v>3322744</v>
      </c>
      <c r="D10581" s="0" t="s">
        <v>35128</v>
      </c>
      <c r="E10581" s="0" t="s">
        <v>75</v>
      </c>
      <c r="F10581" s="0" t="s">
        <v>15</v>
      </c>
      <c r="G10581" s="0" t="s">
        <v>32</v>
      </c>
      <c r="H10581" s="0" t="n">
        <v>6</v>
      </c>
      <c r="I10581" s="0" t="s">
        <v>35129</v>
      </c>
      <c r="J10581" s="0" t="s">
        <v>35130</v>
      </c>
      <c r="K10581" s="0" t="s">
        <v>35131</v>
      </c>
      <c r="L10581" s="0" t="str">
        <f aca="false">HYPERLINK("https://www.ncbi.nlm.nih.gov/nuccore/CP000058.1?report=graph&amp;tracks=[key:gene_model_track,Options:GeneOnly]&amp;mk=3322725:3322744|offset_6|00cc00,3322750:3322769|offset_31|444444,3322774:3322793|offset_55|444444,3322798:3322817|offset_79|444444&amp;v=3322524:3323017&amp;c=444444", "offset 6")</f>
        <v>offset 6</v>
      </c>
    </row>
    <row r="10582" customFormat="false" ht="12.8" hidden="false" customHeight="false" outlineLevel="0" collapsed="false">
      <c r="A10582" s="0" t="s">
        <v>12</v>
      </c>
      <c r="B10582" s="0" t="n">
        <v>3322749</v>
      </c>
      <c r="C10582" s="0" t="n">
        <v>3322769</v>
      </c>
      <c r="D10582" s="0" t="s">
        <v>35128</v>
      </c>
      <c r="E10582" s="0" t="s">
        <v>75</v>
      </c>
      <c r="F10582" s="0" t="s">
        <v>15</v>
      </c>
      <c r="G10582" s="0" t="s">
        <v>32</v>
      </c>
      <c r="H10582" s="0" t="n">
        <v>31</v>
      </c>
      <c r="I10582" s="0" t="s">
        <v>35132</v>
      </c>
      <c r="J10582" s="0" t="s">
        <v>35133</v>
      </c>
      <c r="K10582" s="0" t="s">
        <v>35134</v>
      </c>
      <c r="L10582" s="0" t="str">
        <f aca="false">HYPERLINK("https://www.ncbi.nlm.nih.gov/nuccore/CP000058.1?report=graph&amp;tracks=[key:gene_model_track,Options:GeneOnly]&amp;mk=3322725:3322744|offset_6|444444,3322750:3322769|offset_31|00cc00,3322774:3322793|offset_55|444444,3322798:3322817|offset_79|444444&amp;v=3322524:3323017&amp;c=444444", "offset 31")</f>
        <v>offset 31</v>
      </c>
    </row>
    <row r="10583" customFormat="false" ht="12.8" hidden="false" customHeight="false" outlineLevel="0" collapsed="false">
      <c r="A10583" s="0" t="s">
        <v>12</v>
      </c>
      <c r="B10583" s="0" t="n">
        <v>3322773</v>
      </c>
      <c r="C10583" s="0" t="n">
        <v>3322793</v>
      </c>
      <c r="D10583" s="0" t="s">
        <v>35128</v>
      </c>
      <c r="E10583" s="0" t="s">
        <v>75</v>
      </c>
      <c r="F10583" s="0" t="s">
        <v>15</v>
      </c>
      <c r="G10583" s="0" t="s">
        <v>16</v>
      </c>
      <c r="H10583" s="0" t="n">
        <v>55</v>
      </c>
      <c r="I10583" s="0" t="s">
        <v>35135</v>
      </c>
      <c r="J10583" s="0" t="s">
        <v>35136</v>
      </c>
      <c r="K10583" s="0" t="s">
        <v>35137</v>
      </c>
      <c r="L10583" s="0" t="str">
        <f aca="false">HYPERLINK("https://www.ncbi.nlm.nih.gov/nuccore/CP000058.1?report=graph&amp;tracks=[key:gene_model_track,Options:GeneOnly]&amp;mk=3322725:3322744|offset_6|444444,3322750:3322769|offset_31|444444,3322774:3322793|offset_55|00cc00,3322798:3322817|offset_79|444444&amp;v=3322524:3323017&amp;c=444444", "offset 55")</f>
        <v>offset 55</v>
      </c>
    </row>
    <row r="10584" customFormat="false" ht="12.8" hidden="false" customHeight="false" outlineLevel="0" collapsed="false">
      <c r="A10584" s="0" t="s">
        <v>12</v>
      </c>
      <c r="B10584" s="0" t="n">
        <v>3322797</v>
      </c>
      <c r="C10584" s="0" t="n">
        <v>3322817</v>
      </c>
      <c r="D10584" s="0" t="s">
        <v>35128</v>
      </c>
      <c r="E10584" s="0" t="s">
        <v>75</v>
      </c>
      <c r="F10584" s="0" t="s">
        <v>15</v>
      </c>
      <c r="G10584" s="0" t="s">
        <v>20</v>
      </c>
      <c r="H10584" s="0" t="n">
        <v>79</v>
      </c>
      <c r="I10584" s="0" t="s">
        <v>35138</v>
      </c>
      <c r="J10584" s="0" t="s">
        <v>35139</v>
      </c>
      <c r="K10584" s="0" t="s">
        <v>35140</v>
      </c>
      <c r="L10584" s="0" t="str">
        <f aca="false">HYPERLINK("https://www.ncbi.nlm.nih.gov/nuccore/CP000058.1?report=graph&amp;tracks=[key:gene_model_track,Options:GeneOnly]&amp;mk=3322725:3322744|offset_6|444444,3322750:3322769|offset_31|444444,3322774:3322793|offset_55|444444,3322798:3322817|offset_79|00cc00&amp;v=3322524:3323017&amp;c=444444", "offset 79")</f>
        <v>offset 79</v>
      </c>
    </row>
    <row r="10585" customFormat="false" ht="12.8" hidden="false" customHeight="false" outlineLevel="0" collapsed="false">
      <c r="A10585" s="0" t="s">
        <v>12</v>
      </c>
      <c r="B10585" s="0" t="n">
        <v>3325986</v>
      </c>
      <c r="C10585" s="0" t="n">
        <v>3326006</v>
      </c>
      <c r="D10585" s="0" t="s">
        <v>35141</v>
      </c>
      <c r="E10585" s="0" t="s">
        <v>75</v>
      </c>
      <c r="F10585" s="0" t="s">
        <v>90</v>
      </c>
      <c r="G10585" s="0" t="s">
        <v>36</v>
      </c>
      <c r="H10585" s="0" t="n">
        <v>15</v>
      </c>
      <c r="I10585" s="0" t="s">
        <v>35142</v>
      </c>
      <c r="J10585" s="0" t="s">
        <v>35143</v>
      </c>
      <c r="K10585" s="0" t="s">
        <v>35144</v>
      </c>
      <c r="L10585" s="0" t="str">
        <f aca="false">HYPERLINK("https://www.ncbi.nlm.nih.gov/nuccore/CP000058.1?report=graph&amp;tracks=[key:gene_model_track,Options:GeneOnly]&amp;mk=3325987:3326006|offset_15|00cc00,3325958:3325977|offset_44|444444,3325929:3325948|offset_73|444444,3325885:3325904|offset_117|444444&amp;v=3325786:3326104&amp;c=444444", "offset 15")</f>
        <v>offset 15</v>
      </c>
    </row>
    <row r="10586" customFormat="false" ht="12.8" hidden="false" customHeight="false" outlineLevel="0" collapsed="false">
      <c r="A10586" s="0" t="s">
        <v>12</v>
      </c>
      <c r="B10586" s="0" t="n">
        <v>3325957</v>
      </c>
      <c r="C10586" s="0" t="n">
        <v>3325977</v>
      </c>
      <c r="D10586" s="0" t="s">
        <v>35141</v>
      </c>
      <c r="E10586" s="0" t="s">
        <v>75</v>
      </c>
      <c r="F10586" s="0" t="s">
        <v>90</v>
      </c>
      <c r="G10586" s="0" t="s">
        <v>32</v>
      </c>
      <c r="H10586" s="0" t="n">
        <v>44</v>
      </c>
      <c r="I10586" s="0" t="s">
        <v>35145</v>
      </c>
      <c r="J10586" s="0" t="s">
        <v>35146</v>
      </c>
      <c r="K10586" s="0" t="s">
        <v>35147</v>
      </c>
      <c r="L10586" s="0" t="str">
        <f aca="false">HYPERLINK("https://www.ncbi.nlm.nih.gov/nuccore/CP000058.1?report=graph&amp;tracks=[key:gene_model_track,Options:GeneOnly]&amp;mk=3325987:3326006|offset_15|444444,3325958:3325977|offset_44|00cc00,3325929:3325948|offset_73|444444,3325885:3325904|offset_117|444444&amp;v=3325786:3326104&amp;c=444444", "offset 44")</f>
        <v>offset 44</v>
      </c>
    </row>
    <row r="10587" customFormat="false" ht="12.8" hidden="false" customHeight="false" outlineLevel="0" collapsed="false">
      <c r="A10587" s="0" t="s">
        <v>12</v>
      </c>
      <c r="B10587" s="0" t="n">
        <v>3325928</v>
      </c>
      <c r="C10587" s="0" t="n">
        <v>3325948</v>
      </c>
      <c r="D10587" s="0" t="s">
        <v>35141</v>
      </c>
      <c r="E10587" s="0" t="s">
        <v>75</v>
      </c>
      <c r="F10587" s="0" t="s">
        <v>90</v>
      </c>
      <c r="G10587" s="0" t="s">
        <v>16</v>
      </c>
      <c r="H10587" s="0" t="n">
        <v>73</v>
      </c>
      <c r="I10587" s="0" t="s">
        <v>35148</v>
      </c>
      <c r="J10587" s="0" t="s">
        <v>35149</v>
      </c>
      <c r="K10587" s="0" t="s">
        <v>35150</v>
      </c>
      <c r="L10587" s="0" t="str">
        <f aca="false">HYPERLINK("https://www.ncbi.nlm.nih.gov/nuccore/CP000058.1?report=graph&amp;tracks=[key:gene_model_track,Options:GeneOnly]&amp;mk=3325987:3326006|offset_15|444444,3325958:3325977|offset_44|444444,3325929:3325948|offset_73|00cc00,3325885:3325904|offset_117|444444&amp;v=3325786:3326104&amp;c=444444", "offset 73")</f>
        <v>offset 73</v>
      </c>
    </row>
    <row r="10588" customFormat="false" ht="12.8" hidden="false" customHeight="false" outlineLevel="0" collapsed="false">
      <c r="A10588" s="0" t="s">
        <v>12</v>
      </c>
      <c r="B10588" s="0" t="n">
        <v>3325884</v>
      </c>
      <c r="C10588" s="0" t="n">
        <v>3325904</v>
      </c>
      <c r="D10588" s="0" t="s">
        <v>35141</v>
      </c>
      <c r="E10588" s="0" t="s">
        <v>75</v>
      </c>
      <c r="F10588" s="0" t="s">
        <v>90</v>
      </c>
      <c r="G10588" s="0" t="s">
        <v>16</v>
      </c>
      <c r="H10588" s="0" t="n">
        <v>117</v>
      </c>
      <c r="I10588" s="0" t="s">
        <v>35151</v>
      </c>
      <c r="J10588" s="0" t="s">
        <v>35152</v>
      </c>
      <c r="K10588" s="0" t="s">
        <v>35153</v>
      </c>
      <c r="L10588" s="0" t="str">
        <f aca="false">HYPERLINK("https://www.ncbi.nlm.nih.gov/nuccore/CP000058.1?report=graph&amp;tracks=[key:gene_model_track,Options:GeneOnly]&amp;mk=3325987:3326006|offset_15|444444,3325958:3325977|offset_44|444444,3325929:3325948|offset_73|444444,3325885:3325904|offset_117|00cc00&amp;v=3325786:3326104&amp;c=444444", "offset 117")</f>
        <v>offset 117</v>
      </c>
    </row>
    <row r="10589" customFormat="false" ht="12.8" hidden="false" customHeight="false" outlineLevel="0" collapsed="false">
      <c r="A10589" s="0" t="s">
        <v>12</v>
      </c>
      <c r="B10589" s="0" t="n">
        <v>3326754</v>
      </c>
      <c r="C10589" s="0" t="n">
        <v>3326774</v>
      </c>
      <c r="D10589" s="0" t="s">
        <v>35154</v>
      </c>
      <c r="E10589" s="0" t="s">
        <v>75</v>
      </c>
      <c r="F10589" s="0" t="s">
        <v>90</v>
      </c>
      <c r="G10589" s="0" t="s">
        <v>16</v>
      </c>
      <c r="H10589" s="0" t="n">
        <v>40</v>
      </c>
      <c r="I10589" s="0" t="s">
        <v>35155</v>
      </c>
      <c r="J10589" s="0" t="s">
        <v>35156</v>
      </c>
      <c r="K10589" s="0" t="s">
        <v>35157</v>
      </c>
      <c r="L10589" s="0" t="str">
        <f aca="false">HYPERLINK("https://www.ncbi.nlm.nih.gov/nuccore/CP000058.1?report=graph&amp;tracks=[key:gene_model_track,Options:GeneOnly]&amp;mk=3326755:3326774|offset_40|00cc00,3326725:3326744|offset_70|444444,3326704:3326723|offset_91|444444,3326674:3326693|offset_121|444444&amp;v=3326554:3326893&amp;c=444444", "offset 40")</f>
        <v>offset 40</v>
      </c>
    </row>
    <row r="10590" customFormat="false" ht="12.8" hidden="false" customHeight="false" outlineLevel="0" collapsed="false">
      <c r="A10590" s="0" t="s">
        <v>12</v>
      </c>
      <c r="B10590" s="0" t="n">
        <v>3326724</v>
      </c>
      <c r="C10590" s="0" t="n">
        <v>3326744</v>
      </c>
      <c r="D10590" s="0" t="s">
        <v>35154</v>
      </c>
      <c r="E10590" s="0" t="s">
        <v>75</v>
      </c>
      <c r="F10590" s="0" t="s">
        <v>90</v>
      </c>
      <c r="G10590" s="0" t="s">
        <v>16</v>
      </c>
      <c r="H10590" s="0" t="n">
        <v>70</v>
      </c>
      <c r="I10590" s="0" t="s">
        <v>35158</v>
      </c>
      <c r="J10590" s="0" t="s">
        <v>35159</v>
      </c>
      <c r="K10590" s="0" t="s">
        <v>35160</v>
      </c>
      <c r="L10590" s="0" t="str">
        <f aca="false">HYPERLINK("https://www.ncbi.nlm.nih.gov/nuccore/CP000058.1?report=graph&amp;tracks=[key:gene_model_track,Options:GeneOnly]&amp;mk=3326755:3326774|offset_40|444444,3326725:3326744|offset_70|00cc00,3326704:3326723|offset_91|444444,3326674:3326693|offset_121|444444&amp;v=3326554:3326893&amp;c=444444", "offset 70")</f>
        <v>offset 70</v>
      </c>
    </row>
    <row r="10591" customFormat="false" ht="12.8" hidden="false" customHeight="false" outlineLevel="0" collapsed="false">
      <c r="A10591" s="0" t="s">
        <v>12</v>
      </c>
      <c r="B10591" s="0" t="n">
        <v>3326703</v>
      </c>
      <c r="C10591" s="0" t="n">
        <v>3326723</v>
      </c>
      <c r="D10591" s="0" t="s">
        <v>35154</v>
      </c>
      <c r="E10591" s="0" t="s">
        <v>75</v>
      </c>
      <c r="F10591" s="0" t="s">
        <v>90</v>
      </c>
      <c r="G10591" s="0" t="s">
        <v>16</v>
      </c>
      <c r="H10591" s="0" t="n">
        <v>91</v>
      </c>
      <c r="I10591" s="0" t="s">
        <v>35161</v>
      </c>
      <c r="J10591" s="0" t="s">
        <v>35162</v>
      </c>
      <c r="K10591" s="0" t="s">
        <v>35163</v>
      </c>
      <c r="L10591" s="0" t="str">
        <f aca="false">HYPERLINK("https://www.ncbi.nlm.nih.gov/nuccore/CP000058.1?report=graph&amp;tracks=[key:gene_model_track,Options:GeneOnly]&amp;mk=3326755:3326774|offset_40|444444,3326725:3326744|offset_70|444444,3326704:3326723|offset_91|00cc00,3326674:3326693|offset_121|444444&amp;v=3326554:3326893&amp;c=444444", "offset 91")</f>
        <v>offset 91</v>
      </c>
    </row>
    <row r="10592" customFormat="false" ht="12.8" hidden="false" customHeight="false" outlineLevel="0" collapsed="false">
      <c r="A10592" s="0" t="s">
        <v>12</v>
      </c>
      <c r="B10592" s="0" t="n">
        <v>3326673</v>
      </c>
      <c r="C10592" s="0" t="n">
        <v>3326693</v>
      </c>
      <c r="D10592" s="0" t="s">
        <v>35154</v>
      </c>
      <c r="E10592" s="0" t="s">
        <v>75</v>
      </c>
      <c r="F10592" s="0" t="s">
        <v>90</v>
      </c>
      <c r="G10592" s="0" t="s">
        <v>32</v>
      </c>
      <c r="H10592" s="0" t="n">
        <v>121</v>
      </c>
      <c r="I10592" s="0" t="s">
        <v>35164</v>
      </c>
      <c r="J10592" s="0" t="s">
        <v>35165</v>
      </c>
      <c r="K10592" s="0" t="s">
        <v>35166</v>
      </c>
      <c r="L10592" s="0" t="str">
        <f aca="false">HYPERLINK("https://www.ncbi.nlm.nih.gov/nuccore/CP000058.1?report=graph&amp;tracks=[key:gene_model_track,Options:GeneOnly]&amp;mk=3326755:3326774|offset_40|444444,3326725:3326744|offset_70|444444,3326704:3326723|offset_91|444444,3326674:3326693|offset_121|00cc00&amp;v=3326554:3326893&amp;c=444444", "offset 121")</f>
        <v>offset 121</v>
      </c>
    </row>
    <row r="10593" customFormat="false" ht="12.8" hidden="false" customHeight="false" outlineLevel="0" collapsed="false">
      <c r="A10593" s="0" t="s">
        <v>12</v>
      </c>
      <c r="B10593" s="0" t="n">
        <v>3327871</v>
      </c>
      <c r="C10593" s="0" t="n">
        <v>3327891</v>
      </c>
      <c r="D10593" s="0" t="s">
        <v>35167</v>
      </c>
      <c r="E10593" s="0" t="s">
        <v>35168</v>
      </c>
      <c r="F10593" s="0" t="s">
        <v>90</v>
      </c>
      <c r="G10593" s="0" t="s">
        <v>16</v>
      </c>
      <c r="H10593" s="0" t="n">
        <v>28</v>
      </c>
      <c r="I10593" s="0" t="s">
        <v>35169</v>
      </c>
      <c r="J10593" s="0" t="s">
        <v>35170</v>
      </c>
      <c r="K10593" s="0" t="s">
        <v>35171</v>
      </c>
      <c r="L10593" s="0" t="str">
        <f aca="false">HYPERLINK("https://www.ncbi.nlm.nih.gov/nuccore/CP000058.1?report=graph&amp;tracks=[key:gene_model_track,Options:GeneOnly]&amp;mk=3327872:3327891|offset_28|00cc00,3327839:3327858|offset_61|444444,3327815:3327834|offset_85|444444,3327782:3327801|offset_118|444444&amp;v=3327671:3328001&amp;c=444444", "offset 28")</f>
        <v>offset 28</v>
      </c>
    </row>
    <row r="10594" customFormat="false" ht="12.8" hidden="false" customHeight="false" outlineLevel="0" collapsed="false">
      <c r="A10594" s="0" t="s">
        <v>12</v>
      </c>
      <c r="B10594" s="0" t="n">
        <v>3327838</v>
      </c>
      <c r="C10594" s="0" t="n">
        <v>3327858</v>
      </c>
      <c r="D10594" s="0" t="s">
        <v>35167</v>
      </c>
      <c r="E10594" s="0" t="s">
        <v>35168</v>
      </c>
      <c r="F10594" s="0" t="s">
        <v>90</v>
      </c>
      <c r="G10594" s="0" t="s">
        <v>32</v>
      </c>
      <c r="H10594" s="0" t="n">
        <v>61</v>
      </c>
      <c r="I10594" s="0" t="s">
        <v>35172</v>
      </c>
      <c r="J10594" s="0" t="s">
        <v>35173</v>
      </c>
      <c r="K10594" s="0" t="s">
        <v>35174</v>
      </c>
      <c r="L10594" s="0" t="str">
        <f aca="false">HYPERLINK("https://www.ncbi.nlm.nih.gov/nuccore/CP000058.1?report=graph&amp;tracks=[key:gene_model_track,Options:GeneOnly]&amp;mk=3327872:3327891|offset_28|444444,3327839:3327858|offset_61|00cc00,3327815:3327834|offset_85|444444,3327782:3327801|offset_118|444444&amp;v=3327671:3328001&amp;c=444444", "offset 61")</f>
        <v>offset 61</v>
      </c>
    </row>
    <row r="10595" customFormat="false" ht="12.8" hidden="false" customHeight="false" outlineLevel="0" collapsed="false">
      <c r="A10595" s="0" t="s">
        <v>12</v>
      </c>
      <c r="B10595" s="0" t="n">
        <v>3327814</v>
      </c>
      <c r="C10595" s="0" t="n">
        <v>3327834</v>
      </c>
      <c r="D10595" s="0" t="s">
        <v>35167</v>
      </c>
      <c r="E10595" s="0" t="s">
        <v>35168</v>
      </c>
      <c r="F10595" s="0" t="s">
        <v>90</v>
      </c>
      <c r="G10595" s="0" t="s">
        <v>36</v>
      </c>
      <c r="H10595" s="0" t="n">
        <v>85</v>
      </c>
      <c r="I10595" s="0" t="s">
        <v>35175</v>
      </c>
      <c r="J10595" s="0" t="s">
        <v>35176</v>
      </c>
      <c r="K10595" s="0" t="s">
        <v>35177</v>
      </c>
      <c r="L10595" s="0" t="str">
        <f aca="false">HYPERLINK("https://www.ncbi.nlm.nih.gov/nuccore/CP000058.1?report=graph&amp;tracks=[key:gene_model_track,Options:GeneOnly]&amp;mk=3327872:3327891|offset_28|444444,3327839:3327858|offset_61|444444,3327815:3327834|offset_85|00cc00,3327782:3327801|offset_118|444444&amp;v=3327671:3328001&amp;c=444444", "offset 85")</f>
        <v>offset 85</v>
      </c>
    </row>
    <row r="10596" customFormat="false" ht="12.8" hidden="false" customHeight="false" outlineLevel="0" collapsed="false">
      <c r="A10596" s="0" t="s">
        <v>12</v>
      </c>
      <c r="B10596" s="0" t="n">
        <v>3327781</v>
      </c>
      <c r="C10596" s="0" t="n">
        <v>3327801</v>
      </c>
      <c r="D10596" s="0" t="s">
        <v>35167</v>
      </c>
      <c r="E10596" s="0" t="s">
        <v>35168</v>
      </c>
      <c r="F10596" s="0" t="s">
        <v>90</v>
      </c>
      <c r="G10596" s="0" t="s">
        <v>32</v>
      </c>
      <c r="H10596" s="0" t="n">
        <v>118</v>
      </c>
      <c r="I10596" s="0" t="s">
        <v>35178</v>
      </c>
      <c r="J10596" s="0" t="s">
        <v>35179</v>
      </c>
      <c r="K10596" s="0" t="s">
        <v>35180</v>
      </c>
      <c r="L10596" s="0" t="str">
        <f aca="false">HYPERLINK("https://www.ncbi.nlm.nih.gov/nuccore/CP000058.1?report=graph&amp;tracks=[key:gene_model_track,Options:GeneOnly]&amp;mk=3327872:3327891|offset_28|444444,3327839:3327858|offset_61|444444,3327815:3327834|offset_85|444444,3327782:3327801|offset_118|00cc00&amp;v=3327671:3328001&amp;c=444444", "offset 118")</f>
        <v>offset 118</v>
      </c>
    </row>
    <row r="10597" customFormat="false" ht="12.8" hidden="false" customHeight="false" outlineLevel="0" collapsed="false">
      <c r="A10597" s="0" t="s">
        <v>12</v>
      </c>
      <c r="B10597" s="0" t="n">
        <v>3329746</v>
      </c>
      <c r="C10597" s="0" t="n">
        <v>3329766</v>
      </c>
      <c r="D10597" s="0" t="s">
        <v>35181</v>
      </c>
      <c r="E10597" s="0" t="s">
        <v>75</v>
      </c>
      <c r="F10597" s="0" t="s">
        <v>90</v>
      </c>
      <c r="G10597" s="0" t="s">
        <v>32</v>
      </c>
      <c r="H10597" s="0" t="n">
        <v>1</v>
      </c>
      <c r="I10597" s="0" t="s">
        <v>35182</v>
      </c>
      <c r="J10597" s="0" t="s">
        <v>35183</v>
      </c>
      <c r="K10597" s="0" t="s">
        <v>35184</v>
      </c>
      <c r="L10597" s="0" t="str">
        <f aca="false">HYPERLINK("https://www.ncbi.nlm.nih.gov/nuccore/CP000058.1?report=graph&amp;tracks=[key:gene_model_track,Options:GeneOnly]&amp;mk=3329747:3329766|offset_1|00cc00,3329723:3329742|offset_25|444444,3329693:3329712|offset_55|444444,3329670:3329689|offset_78|444444&amp;v=3329546:3329889&amp;c=444444", "offset 1")</f>
        <v>offset 1</v>
      </c>
    </row>
    <row r="10598" customFormat="false" ht="12.8" hidden="false" customHeight="false" outlineLevel="0" collapsed="false">
      <c r="A10598" s="0" t="s">
        <v>12</v>
      </c>
      <c r="B10598" s="0" t="n">
        <v>3329722</v>
      </c>
      <c r="C10598" s="0" t="n">
        <v>3329742</v>
      </c>
      <c r="D10598" s="0" t="s">
        <v>35181</v>
      </c>
      <c r="E10598" s="0" t="s">
        <v>75</v>
      </c>
      <c r="F10598" s="0" t="s">
        <v>90</v>
      </c>
      <c r="G10598" s="0" t="s">
        <v>36</v>
      </c>
      <c r="H10598" s="0" t="n">
        <v>25</v>
      </c>
      <c r="I10598" s="0" t="s">
        <v>35185</v>
      </c>
      <c r="J10598" s="0" t="s">
        <v>35186</v>
      </c>
      <c r="K10598" s="0" t="s">
        <v>35187</v>
      </c>
      <c r="L10598" s="0" t="str">
        <f aca="false">HYPERLINK("https://www.ncbi.nlm.nih.gov/nuccore/CP000058.1?report=graph&amp;tracks=[key:gene_model_track,Options:GeneOnly]&amp;mk=3329747:3329766|offset_1|444444,3329723:3329742|offset_25|00cc00,3329693:3329712|offset_55|444444,3329670:3329689|offset_78|444444&amp;v=3329546:3329889&amp;c=444444", "offset 25")</f>
        <v>offset 25</v>
      </c>
    </row>
    <row r="10599" customFormat="false" ht="12.8" hidden="false" customHeight="false" outlineLevel="0" collapsed="false">
      <c r="A10599" s="0" t="s">
        <v>12</v>
      </c>
      <c r="B10599" s="0" t="n">
        <v>3329692</v>
      </c>
      <c r="C10599" s="0" t="n">
        <v>3329712</v>
      </c>
      <c r="D10599" s="0" t="s">
        <v>35181</v>
      </c>
      <c r="E10599" s="0" t="s">
        <v>75</v>
      </c>
      <c r="F10599" s="0" t="s">
        <v>90</v>
      </c>
      <c r="G10599" s="0" t="s">
        <v>32</v>
      </c>
      <c r="H10599" s="0" t="n">
        <v>55</v>
      </c>
      <c r="I10599" s="0" t="s">
        <v>35188</v>
      </c>
      <c r="J10599" s="0" t="s">
        <v>35189</v>
      </c>
      <c r="K10599" s="0" t="s">
        <v>35190</v>
      </c>
      <c r="L10599" s="0" t="str">
        <f aca="false">HYPERLINK("https://www.ncbi.nlm.nih.gov/nuccore/CP000058.1?report=graph&amp;tracks=[key:gene_model_track,Options:GeneOnly]&amp;mk=3329747:3329766|offset_1|444444,3329723:3329742|offset_25|444444,3329693:3329712|offset_55|00cc00,3329670:3329689|offset_78|444444&amp;v=3329546:3329889&amp;c=444444", "offset 55")</f>
        <v>offset 55</v>
      </c>
    </row>
    <row r="10600" customFormat="false" ht="12.8" hidden="false" customHeight="false" outlineLevel="0" collapsed="false">
      <c r="A10600" s="0" t="s">
        <v>12</v>
      </c>
      <c r="B10600" s="0" t="n">
        <v>3329669</v>
      </c>
      <c r="C10600" s="0" t="n">
        <v>3329689</v>
      </c>
      <c r="D10600" s="0" t="s">
        <v>35181</v>
      </c>
      <c r="E10600" s="0" t="s">
        <v>75</v>
      </c>
      <c r="F10600" s="0" t="s">
        <v>90</v>
      </c>
      <c r="G10600" s="0" t="s">
        <v>36</v>
      </c>
      <c r="H10600" s="0" t="n">
        <v>78</v>
      </c>
      <c r="I10600" s="0" t="s">
        <v>35191</v>
      </c>
      <c r="J10600" s="0" t="s">
        <v>35192</v>
      </c>
      <c r="K10600" s="0" t="s">
        <v>35193</v>
      </c>
      <c r="L10600" s="0" t="str">
        <f aca="false">HYPERLINK("https://www.ncbi.nlm.nih.gov/nuccore/CP000058.1?report=graph&amp;tracks=[key:gene_model_track,Options:GeneOnly]&amp;mk=3329747:3329766|offset_1|444444,3329723:3329742|offset_25|444444,3329693:3329712|offset_55|444444,3329670:3329689|offset_78|00cc00&amp;v=3329546:3329889&amp;c=444444", "offset 78")</f>
        <v>offset 78</v>
      </c>
    </row>
    <row r="10601" customFormat="false" ht="12.8" hidden="false" customHeight="false" outlineLevel="0" collapsed="false">
      <c r="A10601" s="0" t="s">
        <v>12</v>
      </c>
      <c r="B10601" s="0" t="n">
        <v>3331114</v>
      </c>
      <c r="C10601" s="0" t="n">
        <v>3331134</v>
      </c>
      <c r="D10601" s="0" t="s">
        <v>35194</v>
      </c>
      <c r="E10601" s="0" t="s">
        <v>75</v>
      </c>
      <c r="F10601" s="0" t="s">
        <v>90</v>
      </c>
      <c r="G10601" s="0" t="s">
        <v>20</v>
      </c>
      <c r="H10601" s="0" t="n">
        <v>60</v>
      </c>
      <c r="I10601" s="0" t="s">
        <v>35195</v>
      </c>
      <c r="J10601" s="0" t="s">
        <v>35196</v>
      </c>
      <c r="K10601" s="0" t="s">
        <v>35197</v>
      </c>
      <c r="L10601" s="0" t="str">
        <f aca="false">HYPERLINK("https://www.ncbi.nlm.nih.gov/nuccore/CP000058.1?report=graph&amp;tracks=[key:gene_model_track,Options:GeneOnly]&amp;mk=3331115:3331134|offset_60|00cc00,3331074:3331093|offset_101|444444,3331026:3331045|offset_149|444444,3330998:3331017|offset_177|444444&amp;v=3330914:3331217&amp;c=444444", "offset 60")</f>
        <v>offset 60</v>
      </c>
    </row>
    <row r="10602" customFormat="false" ht="12.8" hidden="false" customHeight="false" outlineLevel="0" collapsed="false">
      <c r="A10602" s="0" t="s">
        <v>12</v>
      </c>
      <c r="B10602" s="0" t="n">
        <v>3331073</v>
      </c>
      <c r="C10602" s="0" t="n">
        <v>3331093</v>
      </c>
      <c r="D10602" s="0" t="s">
        <v>35194</v>
      </c>
      <c r="E10602" s="0" t="s">
        <v>75</v>
      </c>
      <c r="F10602" s="0" t="s">
        <v>90</v>
      </c>
      <c r="G10602" s="0" t="s">
        <v>20</v>
      </c>
      <c r="H10602" s="0" t="n">
        <v>101</v>
      </c>
      <c r="I10602" s="0" t="s">
        <v>35198</v>
      </c>
      <c r="J10602" s="0" t="s">
        <v>35199</v>
      </c>
      <c r="K10602" s="0" t="s">
        <v>35200</v>
      </c>
      <c r="L10602" s="0" t="str">
        <f aca="false">HYPERLINK("https://www.ncbi.nlm.nih.gov/nuccore/CP000058.1?report=graph&amp;tracks=[key:gene_model_track,Options:GeneOnly]&amp;mk=3331115:3331134|offset_60|444444,3331074:3331093|offset_101|00cc00,3331026:3331045|offset_149|444444,3330998:3331017|offset_177|444444&amp;v=3330914:3331217&amp;c=444444", "offset 101")</f>
        <v>offset 101</v>
      </c>
    </row>
    <row r="10603" customFormat="false" ht="12.8" hidden="false" customHeight="false" outlineLevel="0" collapsed="false">
      <c r="A10603" s="0" t="s">
        <v>12</v>
      </c>
      <c r="B10603" s="0" t="n">
        <v>3331025</v>
      </c>
      <c r="C10603" s="0" t="n">
        <v>3331045</v>
      </c>
      <c r="D10603" s="0" t="s">
        <v>35194</v>
      </c>
      <c r="E10603" s="0" t="s">
        <v>75</v>
      </c>
      <c r="F10603" s="0" t="s">
        <v>90</v>
      </c>
      <c r="G10603" s="0" t="s">
        <v>32</v>
      </c>
      <c r="H10603" s="0" t="n">
        <v>149</v>
      </c>
      <c r="I10603" s="0" t="s">
        <v>35201</v>
      </c>
      <c r="J10603" s="0" t="s">
        <v>35202</v>
      </c>
      <c r="K10603" s="0" t="s">
        <v>35203</v>
      </c>
      <c r="L10603" s="0" t="str">
        <f aca="false">HYPERLINK("https://www.ncbi.nlm.nih.gov/nuccore/CP000058.1?report=graph&amp;tracks=[key:gene_model_track,Options:GeneOnly]&amp;mk=3331115:3331134|offset_60|444444,3331074:3331093|offset_101|444444,3331026:3331045|offset_149|00cc00,3330998:3331017|offset_177|444444&amp;v=3330914:3331217&amp;c=444444", "offset 149")</f>
        <v>offset 149</v>
      </c>
    </row>
    <row r="10604" customFormat="false" ht="12.8" hidden="false" customHeight="false" outlineLevel="0" collapsed="false">
      <c r="A10604" s="0" t="s">
        <v>12</v>
      </c>
      <c r="B10604" s="0" t="n">
        <v>3330997</v>
      </c>
      <c r="C10604" s="0" t="n">
        <v>3331017</v>
      </c>
      <c r="D10604" s="0" t="s">
        <v>35194</v>
      </c>
      <c r="E10604" s="0" t="s">
        <v>75</v>
      </c>
      <c r="F10604" s="0" t="s">
        <v>90</v>
      </c>
      <c r="G10604" s="0" t="s">
        <v>16</v>
      </c>
      <c r="H10604" s="0" t="n">
        <v>177</v>
      </c>
      <c r="I10604" s="0" t="s">
        <v>35204</v>
      </c>
      <c r="J10604" s="0" t="s">
        <v>35205</v>
      </c>
      <c r="K10604" s="0" t="s">
        <v>35206</v>
      </c>
      <c r="L10604" s="0" t="str">
        <f aca="false">HYPERLINK("https://www.ncbi.nlm.nih.gov/nuccore/CP000058.1?report=graph&amp;tracks=[key:gene_model_track,Options:GeneOnly]&amp;mk=3331115:3331134|offset_60|444444,3331074:3331093|offset_101|444444,3331026:3331045|offset_149|444444,3330998:3331017|offset_177|00cc00&amp;v=3330914:3331217&amp;c=444444", "offset 177")</f>
        <v>offset 177</v>
      </c>
    </row>
    <row r="10605" customFormat="false" ht="12.8" hidden="false" customHeight="false" outlineLevel="0" collapsed="false">
      <c r="A10605" s="0" t="s">
        <v>12</v>
      </c>
      <c r="B10605" s="0" t="n">
        <v>3332152</v>
      </c>
      <c r="C10605" s="0" t="n">
        <v>3332172</v>
      </c>
      <c r="D10605" s="0" t="s">
        <v>35207</v>
      </c>
      <c r="E10605" s="0" t="s">
        <v>75</v>
      </c>
      <c r="F10605" s="0" t="s">
        <v>90</v>
      </c>
      <c r="G10605" s="0" t="s">
        <v>20</v>
      </c>
      <c r="H10605" s="0" t="n">
        <v>11</v>
      </c>
      <c r="I10605" s="0" t="s">
        <v>35208</v>
      </c>
      <c r="J10605" s="0" t="s">
        <v>35209</v>
      </c>
      <c r="K10605" s="0" t="s">
        <v>35210</v>
      </c>
      <c r="L10605" s="0" t="str">
        <f aca="false">HYPERLINK("https://www.ncbi.nlm.nih.gov/nuccore/CP000058.1?report=graph&amp;tracks=[key:gene_model_track,Options:GeneOnly]&amp;mk=3332153:3332172|offset_11|00cc00,3332122:3332141|offset_42|444444,3332097:3332116|offset_67|444444,3332065:3332084|offset_99|444444&amp;v=3331952:3332284&amp;c=444444", "offset 11")</f>
        <v>offset 11</v>
      </c>
    </row>
    <row r="10606" customFormat="false" ht="12.8" hidden="false" customHeight="false" outlineLevel="0" collapsed="false">
      <c r="A10606" s="0" t="s">
        <v>12</v>
      </c>
      <c r="B10606" s="0" t="n">
        <v>3332121</v>
      </c>
      <c r="C10606" s="0" t="n">
        <v>3332141</v>
      </c>
      <c r="D10606" s="0" t="s">
        <v>35207</v>
      </c>
      <c r="E10606" s="0" t="s">
        <v>75</v>
      </c>
      <c r="F10606" s="0" t="s">
        <v>90</v>
      </c>
      <c r="G10606" s="0" t="s">
        <v>36</v>
      </c>
      <c r="H10606" s="0" t="n">
        <v>42</v>
      </c>
      <c r="I10606" s="0" t="s">
        <v>35211</v>
      </c>
      <c r="J10606" s="0" t="s">
        <v>35212</v>
      </c>
      <c r="K10606" s="0" t="s">
        <v>35213</v>
      </c>
      <c r="L10606" s="0" t="str">
        <f aca="false">HYPERLINK("https://www.ncbi.nlm.nih.gov/nuccore/CP000058.1?report=graph&amp;tracks=[key:gene_model_track,Options:GeneOnly]&amp;mk=3332153:3332172|offset_11|444444,3332122:3332141|offset_42|00cc00,3332097:3332116|offset_67|444444,3332065:3332084|offset_99|444444&amp;v=3331952:3332284&amp;c=444444", "offset 42")</f>
        <v>offset 42</v>
      </c>
    </row>
    <row r="10607" customFormat="false" ht="12.8" hidden="false" customHeight="false" outlineLevel="0" collapsed="false">
      <c r="A10607" s="0" t="s">
        <v>12</v>
      </c>
      <c r="B10607" s="0" t="n">
        <v>3332096</v>
      </c>
      <c r="C10607" s="0" t="n">
        <v>3332116</v>
      </c>
      <c r="D10607" s="0" t="s">
        <v>35207</v>
      </c>
      <c r="E10607" s="0" t="s">
        <v>75</v>
      </c>
      <c r="F10607" s="0" t="s">
        <v>90</v>
      </c>
      <c r="G10607" s="0" t="s">
        <v>16</v>
      </c>
      <c r="H10607" s="0" t="n">
        <v>67</v>
      </c>
      <c r="I10607" s="0" t="s">
        <v>35214</v>
      </c>
      <c r="J10607" s="0" t="s">
        <v>35215</v>
      </c>
      <c r="K10607" s="0" t="s">
        <v>35216</v>
      </c>
      <c r="L10607" s="0" t="str">
        <f aca="false">HYPERLINK("https://www.ncbi.nlm.nih.gov/nuccore/CP000058.1?report=graph&amp;tracks=[key:gene_model_track,Options:GeneOnly]&amp;mk=3332153:3332172|offset_11|444444,3332122:3332141|offset_42|444444,3332097:3332116|offset_67|00cc00,3332065:3332084|offset_99|444444&amp;v=3331952:3332284&amp;c=444444", "offset 67")</f>
        <v>offset 67</v>
      </c>
    </row>
    <row r="10608" customFormat="false" ht="12.8" hidden="false" customHeight="false" outlineLevel="0" collapsed="false">
      <c r="A10608" s="0" t="s">
        <v>12</v>
      </c>
      <c r="B10608" s="0" t="n">
        <v>3332064</v>
      </c>
      <c r="C10608" s="0" t="n">
        <v>3332084</v>
      </c>
      <c r="D10608" s="0" t="s">
        <v>35207</v>
      </c>
      <c r="E10608" s="0" t="s">
        <v>75</v>
      </c>
      <c r="F10608" s="0" t="s">
        <v>90</v>
      </c>
      <c r="G10608" s="0" t="s">
        <v>20</v>
      </c>
      <c r="H10608" s="0" t="n">
        <v>99</v>
      </c>
      <c r="I10608" s="0" t="s">
        <v>35217</v>
      </c>
      <c r="J10608" s="0" t="s">
        <v>35218</v>
      </c>
      <c r="K10608" s="0" t="s">
        <v>35219</v>
      </c>
      <c r="L10608" s="0" t="str">
        <f aca="false">HYPERLINK("https://www.ncbi.nlm.nih.gov/nuccore/CP000058.1?report=graph&amp;tracks=[key:gene_model_track,Options:GeneOnly]&amp;mk=3332153:3332172|offset_11|444444,3332122:3332141|offset_42|444444,3332097:3332116|offset_67|444444,3332065:3332084|offset_99|00cc00&amp;v=3331952:3332284&amp;c=444444", "offset 99")</f>
        <v>offset 99</v>
      </c>
    </row>
    <row r="10609" customFormat="false" ht="12.8" hidden="false" customHeight="false" outlineLevel="0" collapsed="false">
      <c r="A10609" s="0" t="s">
        <v>12</v>
      </c>
      <c r="B10609" s="0" t="n">
        <v>3333025</v>
      </c>
      <c r="C10609" s="0" t="n">
        <v>3333045</v>
      </c>
      <c r="D10609" s="0" t="s">
        <v>35220</v>
      </c>
      <c r="E10609" s="0" t="s">
        <v>75</v>
      </c>
      <c r="F10609" s="0" t="s">
        <v>90</v>
      </c>
      <c r="G10609" s="0" t="s">
        <v>32</v>
      </c>
      <c r="H10609" s="0" t="n">
        <v>24</v>
      </c>
      <c r="I10609" s="0" t="s">
        <v>35221</v>
      </c>
      <c r="J10609" s="0" t="s">
        <v>35222</v>
      </c>
      <c r="K10609" s="0" t="s">
        <v>35223</v>
      </c>
      <c r="L10609" s="0" t="str">
        <f aca="false">HYPERLINK("https://www.ncbi.nlm.nih.gov/nuccore/CP000058.1?report=graph&amp;tracks=[key:gene_model_track,Options:GeneOnly]&amp;mk=3333026:3333045|offset_24|00cc00,3333005:3333024|offset_45|444444,3332969:3332988|offset_81|444444,3332932:3332951|offset_118|444444&amp;v=3332825:3333151&amp;c=444444", "offset 24")</f>
        <v>offset 24</v>
      </c>
    </row>
    <row r="10610" customFormat="false" ht="12.8" hidden="false" customHeight="false" outlineLevel="0" collapsed="false">
      <c r="A10610" s="0" t="s">
        <v>12</v>
      </c>
      <c r="B10610" s="0" t="n">
        <v>3333004</v>
      </c>
      <c r="C10610" s="0" t="n">
        <v>3333024</v>
      </c>
      <c r="D10610" s="0" t="s">
        <v>35220</v>
      </c>
      <c r="E10610" s="0" t="s">
        <v>75</v>
      </c>
      <c r="F10610" s="0" t="s">
        <v>90</v>
      </c>
      <c r="G10610" s="0" t="s">
        <v>16</v>
      </c>
      <c r="H10610" s="0" t="n">
        <v>45</v>
      </c>
      <c r="I10610" s="0" t="s">
        <v>35224</v>
      </c>
      <c r="J10610" s="0" t="s">
        <v>35225</v>
      </c>
      <c r="K10610" s="0" t="s">
        <v>35226</v>
      </c>
      <c r="L10610" s="0" t="str">
        <f aca="false">HYPERLINK("https://www.ncbi.nlm.nih.gov/nuccore/CP000058.1?report=graph&amp;tracks=[key:gene_model_track,Options:GeneOnly]&amp;mk=3333026:3333045|offset_24|444444,3333005:3333024|offset_45|00cc00,3332969:3332988|offset_81|444444,3332932:3332951|offset_118|444444&amp;v=3332825:3333151&amp;c=444444", "offset 45")</f>
        <v>offset 45</v>
      </c>
    </row>
    <row r="10611" customFormat="false" ht="12.8" hidden="false" customHeight="false" outlineLevel="0" collapsed="false">
      <c r="A10611" s="0" t="s">
        <v>12</v>
      </c>
      <c r="B10611" s="0" t="n">
        <v>3332968</v>
      </c>
      <c r="C10611" s="0" t="n">
        <v>3332988</v>
      </c>
      <c r="D10611" s="0" t="s">
        <v>35220</v>
      </c>
      <c r="E10611" s="0" t="s">
        <v>75</v>
      </c>
      <c r="F10611" s="0" t="s">
        <v>90</v>
      </c>
      <c r="G10611" s="0" t="s">
        <v>16</v>
      </c>
      <c r="H10611" s="0" t="n">
        <v>81</v>
      </c>
      <c r="I10611" s="0" t="s">
        <v>35227</v>
      </c>
      <c r="J10611" s="0" t="s">
        <v>35228</v>
      </c>
      <c r="K10611" s="0" t="s">
        <v>35229</v>
      </c>
      <c r="L10611" s="0" t="str">
        <f aca="false">HYPERLINK("https://www.ncbi.nlm.nih.gov/nuccore/CP000058.1?report=graph&amp;tracks=[key:gene_model_track,Options:GeneOnly]&amp;mk=3333026:3333045|offset_24|444444,3333005:3333024|offset_45|444444,3332969:3332988|offset_81|00cc00,3332932:3332951|offset_118|444444&amp;v=3332825:3333151&amp;c=444444", "offset 81")</f>
        <v>offset 81</v>
      </c>
    </row>
    <row r="10612" customFormat="false" ht="12.8" hidden="false" customHeight="false" outlineLevel="0" collapsed="false">
      <c r="A10612" s="0" t="s">
        <v>12</v>
      </c>
      <c r="B10612" s="0" t="n">
        <v>3332931</v>
      </c>
      <c r="C10612" s="0" t="n">
        <v>3332951</v>
      </c>
      <c r="D10612" s="0" t="s">
        <v>35220</v>
      </c>
      <c r="E10612" s="0" t="s">
        <v>75</v>
      </c>
      <c r="F10612" s="0" t="s">
        <v>90</v>
      </c>
      <c r="G10612" s="0" t="s">
        <v>20</v>
      </c>
      <c r="H10612" s="0" t="n">
        <v>118</v>
      </c>
      <c r="I10612" s="0" t="s">
        <v>35230</v>
      </c>
      <c r="J10612" s="0" t="s">
        <v>35231</v>
      </c>
      <c r="K10612" s="0" t="s">
        <v>35232</v>
      </c>
      <c r="L10612" s="0" t="str">
        <f aca="false">HYPERLINK("https://www.ncbi.nlm.nih.gov/nuccore/CP000058.1?report=graph&amp;tracks=[key:gene_model_track,Options:GeneOnly]&amp;mk=3333026:3333045|offset_24|444444,3333005:3333024|offset_45|444444,3332969:3332988|offset_81|444444,3332932:3332951|offset_118|00cc00&amp;v=3332825:3333151&amp;c=444444", "offset 118")</f>
        <v>offset 118</v>
      </c>
    </row>
    <row r="10613" customFormat="false" ht="12.8" hidden="false" customHeight="false" outlineLevel="0" collapsed="false">
      <c r="A10613" s="0" t="s">
        <v>12</v>
      </c>
      <c r="B10613" s="0" t="n">
        <v>3333314</v>
      </c>
      <c r="C10613" s="0" t="n">
        <v>3333334</v>
      </c>
      <c r="D10613" s="0" t="s">
        <v>35233</v>
      </c>
      <c r="E10613" s="0" t="s">
        <v>75</v>
      </c>
      <c r="F10613" s="0" t="s">
        <v>15</v>
      </c>
      <c r="G10613" s="0" t="s">
        <v>20</v>
      </c>
      <c r="H10613" s="0" t="n">
        <v>12</v>
      </c>
      <c r="I10613" s="0" t="s">
        <v>35234</v>
      </c>
      <c r="J10613" s="0" t="s">
        <v>35235</v>
      </c>
      <c r="K10613" s="0" t="s">
        <v>35236</v>
      </c>
      <c r="L10613" s="0" t="str">
        <f aca="false">HYPERLINK("https://www.ncbi.nlm.nih.gov/nuccore/CP000058.1?report=graph&amp;tracks=[key:gene_model_track,Options:GeneOnly]&amp;mk=3333315:3333334|offset_12|00cc00,3333341:3333360|offset_38|444444,3333370:3333389|offset_67|444444,3333400:3333419|offset_97|444444&amp;v=3333114:3333619&amp;c=444444", "offset 12")</f>
        <v>offset 12</v>
      </c>
    </row>
    <row r="10614" customFormat="false" ht="12.8" hidden="false" customHeight="false" outlineLevel="0" collapsed="false">
      <c r="A10614" s="0" t="s">
        <v>12</v>
      </c>
      <c r="B10614" s="0" t="n">
        <v>3333340</v>
      </c>
      <c r="C10614" s="0" t="n">
        <v>3333360</v>
      </c>
      <c r="D10614" s="0" t="s">
        <v>35233</v>
      </c>
      <c r="E10614" s="0" t="s">
        <v>75</v>
      </c>
      <c r="F10614" s="0" t="s">
        <v>15</v>
      </c>
      <c r="G10614" s="0" t="s">
        <v>16</v>
      </c>
      <c r="H10614" s="0" t="n">
        <v>38</v>
      </c>
      <c r="I10614" s="0" t="s">
        <v>35237</v>
      </c>
      <c r="J10614" s="0" t="s">
        <v>35238</v>
      </c>
      <c r="K10614" s="0" t="s">
        <v>35239</v>
      </c>
      <c r="L10614" s="0" t="str">
        <f aca="false">HYPERLINK("https://www.ncbi.nlm.nih.gov/nuccore/CP000058.1?report=graph&amp;tracks=[key:gene_model_track,Options:GeneOnly]&amp;mk=3333315:3333334|offset_12|444444,3333341:3333360|offset_38|00cc00,3333370:3333389|offset_67|444444,3333400:3333419|offset_97|444444&amp;v=3333114:3333619&amp;c=444444", "offset 38")</f>
        <v>offset 38</v>
      </c>
    </row>
    <row r="10615" customFormat="false" ht="12.8" hidden="false" customHeight="false" outlineLevel="0" collapsed="false">
      <c r="A10615" s="0" t="s">
        <v>12</v>
      </c>
      <c r="B10615" s="0" t="n">
        <v>3333369</v>
      </c>
      <c r="C10615" s="0" t="n">
        <v>3333389</v>
      </c>
      <c r="D10615" s="0" t="s">
        <v>35233</v>
      </c>
      <c r="E10615" s="0" t="s">
        <v>75</v>
      </c>
      <c r="F10615" s="0" t="s">
        <v>15</v>
      </c>
      <c r="G10615" s="0" t="s">
        <v>16</v>
      </c>
      <c r="H10615" s="0" t="n">
        <v>67</v>
      </c>
      <c r="I10615" s="0" t="s">
        <v>35240</v>
      </c>
      <c r="J10615" s="0" t="s">
        <v>35241</v>
      </c>
      <c r="K10615" s="0" t="s">
        <v>35242</v>
      </c>
      <c r="L10615" s="0" t="str">
        <f aca="false">HYPERLINK("https://www.ncbi.nlm.nih.gov/nuccore/CP000058.1?report=graph&amp;tracks=[key:gene_model_track,Options:GeneOnly]&amp;mk=3333315:3333334|offset_12|444444,3333341:3333360|offset_38|444444,3333370:3333389|offset_67|00cc00,3333400:3333419|offset_97|444444&amp;v=3333114:3333619&amp;c=444444", "offset 67")</f>
        <v>offset 67</v>
      </c>
    </row>
    <row r="10616" customFormat="false" ht="12.8" hidden="false" customHeight="false" outlineLevel="0" collapsed="false">
      <c r="A10616" s="0" t="s">
        <v>12</v>
      </c>
      <c r="B10616" s="0" t="n">
        <v>3333399</v>
      </c>
      <c r="C10616" s="0" t="n">
        <v>3333419</v>
      </c>
      <c r="D10616" s="0" t="s">
        <v>35233</v>
      </c>
      <c r="E10616" s="0" t="s">
        <v>75</v>
      </c>
      <c r="F10616" s="0" t="s">
        <v>15</v>
      </c>
      <c r="G10616" s="0" t="s">
        <v>16</v>
      </c>
      <c r="H10616" s="0" t="n">
        <v>97</v>
      </c>
      <c r="I10616" s="0" t="s">
        <v>35243</v>
      </c>
      <c r="J10616" s="0" t="s">
        <v>35244</v>
      </c>
      <c r="K10616" s="0" t="s">
        <v>35245</v>
      </c>
      <c r="L10616" s="0" t="str">
        <f aca="false">HYPERLINK("https://www.ncbi.nlm.nih.gov/nuccore/CP000058.1?report=graph&amp;tracks=[key:gene_model_track,Options:GeneOnly]&amp;mk=3333315:3333334|offset_12|444444,3333341:3333360|offset_38|444444,3333370:3333389|offset_67|444444,3333400:3333419|offset_97|00cc00&amp;v=3333114:3333619&amp;c=444444", "offset 97")</f>
        <v>offset 97</v>
      </c>
    </row>
    <row r="10617" customFormat="false" ht="12.8" hidden="false" customHeight="false" outlineLevel="0" collapsed="false">
      <c r="A10617" s="0" t="s">
        <v>12</v>
      </c>
      <c r="B10617" s="0" t="n">
        <v>3337572</v>
      </c>
      <c r="C10617" s="0" t="n">
        <v>3337592</v>
      </c>
      <c r="D10617" s="0" t="s">
        <v>35246</v>
      </c>
      <c r="E10617" s="0" t="s">
        <v>35247</v>
      </c>
      <c r="F10617" s="0" t="s">
        <v>90</v>
      </c>
      <c r="G10617" s="0" t="s">
        <v>32</v>
      </c>
      <c r="H10617" s="0" t="n">
        <v>13</v>
      </c>
      <c r="I10617" s="0" t="s">
        <v>35248</v>
      </c>
      <c r="J10617" s="0" t="s">
        <v>35249</v>
      </c>
      <c r="K10617" s="0" t="s">
        <v>35250</v>
      </c>
      <c r="L10617" s="0" t="str">
        <f aca="false">HYPERLINK("https://www.ncbi.nlm.nih.gov/nuccore/CP000058.1?report=graph&amp;tracks=[key:gene_model_track,Options:GeneOnly]&amp;mk=3337573:3337592|offset_13|00cc00,3337478:3337497|offset_108|444444,3337457:3337476|offset_129|444444,3337424:3337443|offset_162|444444&amp;v=3337372:3337643&amp;c=444444", "offset 13")</f>
        <v>offset 13</v>
      </c>
    </row>
    <row r="10618" customFormat="false" ht="12.8" hidden="false" customHeight="false" outlineLevel="0" collapsed="false">
      <c r="A10618" s="0" t="s">
        <v>12</v>
      </c>
      <c r="B10618" s="0" t="n">
        <v>3337477</v>
      </c>
      <c r="C10618" s="0" t="n">
        <v>3337497</v>
      </c>
      <c r="D10618" s="0" t="s">
        <v>35246</v>
      </c>
      <c r="E10618" s="0" t="s">
        <v>35247</v>
      </c>
      <c r="F10618" s="0" t="s">
        <v>90</v>
      </c>
      <c r="G10618" s="0" t="s">
        <v>16</v>
      </c>
      <c r="H10618" s="0" t="n">
        <v>108</v>
      </c>
      <c r="I10618" s="0" t="s">
        <v>35251</v>
      </c>
      <c r="J10618" s="0" t="s">
        <v>35252</v>
      </c>
      <c r="K10618" s="0" t="s">
        <v>35253</v>
      </c>
      <c r="L10618" s="0" t="str">
        <f aca="false">HYPERLINK("https://www.ncbi.nlm.nih.gov/nuccore/CP000058.1?report=graph&amp;tracks=[key:gene_model_track,Options:GeneOnly]&amp;mk=3337573:3337592|offset_13|444444,3337478:3337497|offset_108|00cc00,3337457:3337476|offset_129|444444,3337424:3337443|offset_162|444444&amp;v=3337372:3337643&amp;c=444444", "offset 108")</f>
        <v>offset 108</v>
      </c>
    </row>
    <row r="10619" customFormat="false" ht="12.8" hidden="false" customHeight="false" outlineLevel="0" collapsed="false">
      <c r="A10619" s="0" t="s">
        <v>12</v>
      </c>
      <c r="B10619" s="0" t="n">
        <v>3337456</v>
      </c>
      <c r="C10619" s="0" t="n">
        <v>3337476</v>
      </c>
      <c r="D10619" s="0" t="s">
        <v>35246</v>
      </c>
      <c r="E10619" s="0" t="s">
        <v>35247</v>
      </c>
      <c r="F10619" s="0" t="s">
        <v>90</v>
      </c>
      <c r="G10619" s="0" t="s">
        <v>16</v>
      </c>
      <c r="H10619" s="0" t="n">
        <v>129</v>
      </c>
      <c r="I10619" s="0" t="s">
        <v>35254</v>
      </c>
      <c r="J10619" s="0" t="s">
        <v>35255</v>
      </c>
      <c r="K10619" s="0" t="s">
        <v>35256</v>
      </c>
      <c r="L10619" s="0" t="str">
        <f aca="false">HYPERLINK("https://www.ncbi.nlm.nih.gov/nuccore/CP000058.1?report=graph&amp;tracks=[key:gene_model_track,Options:GeneOnly]&amp;mk=3337573:3337592|offset_13|444444,3337478:3337497|offset_108|444444,3337457:3337476|offset_129|00cc00,3337424:3337443|offset_162|444444&amp;v=3337372:3337643&amp;c=444444", "offset 129")</f>
        <v>offset 129</v>
      </c>
    </row>
    <row r="10620" customFormat="false" ht="12.8" hidden="false" customHeight="false" outlineLevel="0" collapsed="false">
      <c r="A10620" s="0" t="s">
        <v>12</v>
      </c>
      <c r="B10620" s="0" t="n">
        <v>3337423</v>
      </c>
      <c r="C10620" s="0" t="n">
        <v>3337443</v>
      </c>
      <c r="D10620" s="0" t="s">
        <v>35246</v>
      </c>
      <c r="E10620" s="0" t="s">
        <v>35247</v>
      </c>
      <c r="F10620" s="0" t="s">
        <v>90</v>
      </c>
      <c r="G10620" s="0" t="s">
        <v>16</v>
      </c>
      <c r="H10620" s="0" t="n">
        <v>162</v>
      </c>
      <c r="I10620" s="0" t="s">
        <v>35257</v>
      </c>
      <c r="J10620" s="0" t="s">
        <v>35258</v>
      </c>
      <c r="K10620" s="0" t="s">
        <v>35259</v>
      </c>
      <c r="L10620" s="0" t="str">
        <f aca="false">HYPERLINK("https://www.ncbi.nlm.nih.gov/nuccore/CP000058.1?report=graph&amp;tracks=[key:gene_model_track,Options:GeneOnly]&amp;mk=3337573:3337592|offset_13|444444,3337478:3337497|offset_108|444444,3337457:3337476|offset_129|444444,3337424:3337443|offset_162|00cc00&amp;v=3337372:3337643&amp;c=444444", "offset 162")</f>
        <v>offset 162</v>
      </c>
    </row>
    <row r="10621" customFormat="false" ht="12.8" hidden="false" customHeight="false" outlineLevel="0" collapsed="false">
      <c r="A10621" s="0" t="s">
        <v>12</v>
      </c>
      <c r="B10621" s="0" t="n">
        <v>3338314</v>
      </c>
      <c r="C10621" s="0" t="n">
        <v>3338334</v>
      </c>
      <c r="D10621" s="0" t="s">
        <v>35260</v>
      </c>
      <c r="E10621" s="0" t="s">
        <v>35261</v>
      </c>
      <c r="F10621" s="0" t="s">
        <v>90</v>
      </c>
      <c r="G10621" s="0" t="s">
        <v>32</v>
      </c>
      <c r="H10621" s="0" t="n">
        <v>1</v>
      </c>
      <c r="I10621" s="0" t="s">
        <v>35262</v>
      </c>
      <c r="J10621" s="0" t="s">
        <v>35263</v>
      </c>
      <c r="K10621" s="0" t="s">
        <v>35264</v>
      </c>
      <c r="L10621" s="0" t="str">
        <f aca="false">HYPERLINK("https://www.ncbi.nlm.nih.gov/nuccore/CP000058.1?report=graph&amp;tracks=[key:gene_model_track,Options:GeneOnly]&amp;mk=3338315:3338334|offset_1|00cc00,3338295:3338314|offset_21|444444,3338246:3338265|offset_70|444444,3338225:3338244|offset_91|444444&amp;v=3338114:3338444&amp;c=444444", "offset 1")</f>
        <v>offset 1</v>
      </c>
    </row>
    <row r="10622" customFormat="false" ht="12.8" hidden="false" customHeight="false" outlineLevel="0" collapsed="false">
      <c r="A10622" s="0" t="s">
        <v>12</v>
      </c>
      <c r="B10622" s="0" t="n">
        <v>3338294</v>
      </c>
      <c r="C10622" s="0" t="n">
        <v>3338314</v>
      </c>
      <c r="D10622" s="0" t="s">
        <v>35260</v>
      </c>
      <c r="E10622" s="0" t="s">
        <v>35261</v>
      </c>
      <c r="F10622" s="0" t="s">
        <v>90</v>
      </c>
      <c r="G10622" s="0" t="s">
        <v>20</v>
      </c>
      <c r="H10622" s="0" t="n">
        <v>21</v>
      </c>
      <c r="I10622" s="0" t="s">
        <v>35265</v>
      </c>
      <c r="J10622" s="0" t="s">
        <v>35266</v>
      </c>
      <c r="K10622" s="0" t="s">
        <v>35267</v>
      </c>
      <c r="L10622" s="0" t="str">
        <f aca="false">HYPERLINK("https://www.ncbi.nlm.nih.gov/nuccore/CP000058.1?report=graph&amp;tracks=[key:gene_model_track,Options:GeneOnly]&amp;mk=3338315:3338334|offset_1|444444,3338295:3338314|offset_21|00cc00,3338246:3338265|offset_70|444444,3338225:3338244|offset_91|444444&amp;v=3338114:3338444&amp;c=444444", "offset 21")</f>
        <v>offset 21</v>
      </c>
    </row>
    <row r="10623" customFormat="false" ht="12.8" hidden="false" customHeight="false" outlineLevel="0" collapsed="false">
      <c r="A10623" s="0" t="s">
        <v>12</v>
      </c>
      <c r="B10623" s="0" t="n">
        <v>3338245</v>
      </c>
      <c r="C10623" s="0" t="n">
        <v>3338265</v>
      </c>
      <c r="D10623" s="0" t="s">
        <v>35260</v>
      </c>
      <c r="E10623" s="0" t="s">
        <v>35261</v>
      </c>
      <c r="F10623" s="0" t="s">
        <v>90</v>
      </c>
      <c r="G10623" s="0" t="s">
        <v>16</v>
      </c>
      <c r="H10623" s="0" t="n">
        <v>70</v>
      </c>
      <c r="I10623" s="0" t="s">
        <v>35268</v>
      </c>
      <c r="J10623" s="0" t="s">
        <v>35269</v>
      </c>
      <c r="K10623" s="0" t="s">
        <v>35270</v>
      </c>
      <c r="L10623" s="0" t="str">
        <f aca="false">HYPERLINK("https://www.ncbi.nlm.nih.gov/nuccore/CP000058.1?report=graph&amp;tracks=[key:gene_model_track,Options:GeneOnly]&amp;mk=3338315:3338334|offset_1|444444,3338295:3338314|offset_21|444444,3338246:3338265|offset_70|00cc00,3338225:3338244|offset_91|444444&amp;v=3338114:3338444&amp;c=444444", "offset 70")</f>
        <v>offset 70</v>
      </c>
    </row>
    <row r="10624" customFormat="false" ht="12.8" hidden="false" customHeight="false" outlineLevel="0" collapsed="false">
      <c r="A10624" s="0" t="s">
        <v>12</v>
      </c>
      <c r="B10624" s="0" t="n">
        <v>3338224</v>
      </c>
      <c r="C10624" s="0" t="n">
        <v>3338244</v>
      </c>
      <c r="D10624" s="0" t="s">
        <v>35260</v>
      </c>
      <c r="E10624" s="0" t="s">
        <v>35261</v>
      </c>
      <c r="F10624" s="0" t="s">
        <v>90</v>
      </c>
      <c r="G10624" s="0" t="s">
        <v>36</v>
      </c>
      <c r="H10624" s="0" t="n">
        <v>91</v>
      </c>
      <c r="I10624" s="0" t="s">
        <v>35271</v>
      </c>
      <c r="J10624" s="0" t="s">
        <v>35272</v>
      </c>
      <c r="K10624" s="0" t="s">
        <v>35273</v>
      </c>
      <c r="L10624" s="0" t="str">
        <f aca="false">HYPERLINK("https://www.ncbi.nlm.nih.gov/nuccore/CP000058.1?report=graph&amp;tracks=[key:gene_model_track,Options:GeneOnly]&amp;mk=3338315:3338334|offset_1|444444,3338295:3338314|offset_21|444444,3338246:3338265|offset_70|444444,3338225:3338244|offset_91|00cc00&amp;v=3338114:3338444&amp;c=444444", "offset 91")</f>
        <v>offset 91</v>
      </c>
    </row>
    <row r="10625" customFormat="false" ht="12.8" hidden="false" customHeight="false" outlineLevel="0" collapsed="false">
      <c r="A10625" s="0" t="s">
        <v>12</v>
      </c>
      <c r="B10625" s="0" t="n">
        <v>3339249</v>
      </c>
      <c r="C10625" s="0" t="n">
        <v>3339269</v>
      </c>
      <c r="D10625" s="0" t="s">
        <v>35274</v>
      </c>
      <c r="E10625" s="0" t="s">
        <v>35275</v>
      </c>
      <c r="F10625" s="0" t="s">
        <v>90</v>
      </c>
      <c r="G10625" s="0" t="s">
        <v>32</v>
      </c>
      <c r="H10625" s="0" t="n">
        <v>14</v>
      </c>
      <c r="I10625" s="0" t="s">
        <v>35276</v>
      </c>
      <c r="J10625" s="0" t="s">
        <v>35277</v>
      </c>
      <c r="K10625" s="0" t="s">
        <v>35278</v>
      </c>
      <c r="L10625" s="0" t="str">
        <f aca="false">HYPERLINK("https://www.ncbi.nlm.nih.gov/nuccore/CP000058.1?report=graph&amp;tracks=[key:gene_model_track,Options:GeneOnly]&amp;mk=3339250:3339269|offset_14|00cc00,3339222:3339241|offset_42|444444,3339196:3339215|offset_68|444444,3339172:3339191|offset_92|444444&amp;v=3339049:3339391&amp;c=444444", "offset 14")</f>
        <v>offset 14</v>
      </c>
    </row>
    <row r="10626" customFormat="false" ht="12.8" hidden="false" customHeight="false" outlineLevel="0" collapsed="false">
      <c r="A10626" s="0" t="s">
        <v>12</v>
      </c>
      <c r="B10626" s="0" t="n">
        <v>3339221</v>
      </c>
      <c r="C10626" s="0" t="n">
        <v>3339241</v>
      </c>
      <c r="D10626" s="0" t="s">
        <v>35274</v>
      </c>
      <c r="E10626" s="0" t="s">
        <v>35275</v>
      </c>
      <c r="F10626" s="0" t="s">
        <v>90</v>
      </c>
      <c r="G10626" s="0" t="s">
        <v>36</v>
      </c>
      <c r="H10626" s="0" t="n">
        <v>42</v>
      </c>
      <c r="I10626" s="0" t="s">
        <v>35279</v>
      </c>
      <c r="J10626" s="0" t="s">
        <v>35280</v>
      </c>
      <c r="K10626" s="0" t="s">
        <v>35281</v>
      </c>
      <c r="L10626" s="0" t="str">
        <f aca="false">HYPERLINK("https://www.ncbi.nlm.nih.gov/nuccore/CP000058.1?report=graph&amp;tracks=[key:gene_model_track,Options:GeneOnly]&amp;mk=3339250:3339269|offset_14|444444,3339222:3339241|offset_42|00cc00,3339196:3339215|offset_68|444444,3339172:3339191|offset_92|444444&amp;v=3339049:3339391&amp;c=444444", "offset 42")</f>
        <v>offset 42</v>
      </c>
    </row>
    <row r="10627" customFormat="false" ht="12.8" hidden="false" customHeight="false" outlineLevel="0" collapsed="false">
      <c r="A10627" s="0" t="s">
        <v>12</v>
      </c>
      <c r="B10627" s="0" t="n">
        <v>3339195</v>
      </c>
      <c r="C10627" s="0" t="n">
        <v>3339215</v>
      </c>
      <c r="D10627" s="0" t="s">
        <v>35274</v>
      </c>
      <c r="E10627" s="0" t="s">
        <v>35275</v>
      </c>
      <c r="F10627" s="0" t="s">
        <v>90</v>
      </c>
      <c r="G10627" s="0" t="s">
        <v>20</v>
      </c>
      <c r="H10627" s="0" t="n">
        <v>68</v>
      </c>
      <c r="I10627" s="0" t="s">
        <v>35282</v>
      </c>
      <c r="J10627" s="0" t="s">
        <v>35283</v>
      </c>
      <c r="K10627" s="0" t="s">
        <v>35284</v>
      </c>
      <c r="L10627" s="0" t="str">
        <f aca="false">HYPERLINK("https://www.ncbi.nlm.nih.gov/nuccore/CP000058.1?report=graph&amp;tracks=[key:gene_model_track,Options:GeneOnly]&amp;mk=3339250:3339269|offset_14|444444,3339222:3339241|offset_42|444444,3339196:3339215|offset_68|00cc00,3339172:3339191|offset_92|444444&amp;v=3339049:3339391&amp;c=444444", "offset 68")</f>
        <v>offset 68</v>
      </c>
    </row>
    <row r="10628" customFormat="false" ht="12.8" hidden="false" customHeight="false" outlineLevel="0" collapsed="false">
      <c r="A10628" s="0" t="s">
        <v>12</v>
      </c>
      <c r="B10628" s="0" t="n">
        <v>3339171</v>
      </c>
      <c r="C10628" s="0" t="n">
        <v>3339191</v>
      </c>
      <c r="D10628" s="0" t="s">
        <v>35274</v>
      </c>
      <c r="E10628" s="0" t="s">
        <v>35275</v>
      </c>
      <c r="F10628" s="0" t="s">
        <v>90</v>
      </c>
      <c r="G10628" s="0" t="s">
        <v>16</v>
      </c>
      <c r="H10628" s="0" t="n">
        <v>92</v>
      </c>
      <c r="I10628" s="0" t="s">
        <v>35285</v>
      </c>
      <c r="J10628" s="0" t="s">
        <v>35286</v>
      </c>
      <c r="K10628" s="0" t="s">
        <v>35287</v>
      </c>
      <c r="L10628" s="0" t="str">
        <f aca="false">HYPERLINK("https://www.ncbi.nlm.nih.gov/nuccore/CP000058.1?report=graph&amp;tracks=[key:gene_model_track,Options:GeneOnly]&amp;mk=3339250:3339269|offset_14|444444,3339222:3339241|offset_42|444444,3339196:3339215|offset_68|444444,3339172:3339191|offset_92|00cc00&amp;v=3339049:3339391&amp;c=444444", "offset 92")</f>
        <v>offset 92</v>
      </c>
    </row>
    <row r="10629" customFormat="false" ht="12.8" hidden="false" customHeight="false" outlineLevel="0" collapsed="false">
      <c r="A10629" s="0" t="s">
        <v>12</v>
      </c>
      <c r="B10629" s="0" t="n">
        <v>3340332</v>
      </c>
      <c r="C10629" s="0" t="n">
        <v>3340352</v>
      </c>
      <c r="D10629" s="0" t="s">
        <v>35288</v>
      </c>
      <c r="E10629" s="0" t="s">
        <v>75</v>
      </c>
      <c r="F10629" s="0" t="s">
        <v>90</v>
      </c>
      <c r="G10629" s="0" t="s">
        <v>16</v>
      </c>
      <c r="H10629" s="0" t="n">
        <v>7</v>
      </c>
      <c r="I10629" s="0" t="s">
        <v>35289</v>
      </c>
      <c r="J10629" s="0" t="s">
        <v>35290</v>
      </c>
      <c r="K10629" s="0" t="s">
        <v>35291</v>
      </c>
      <c r="L10629" s="0" t="str">
        <f aca="false">HYPERLINK("https://www.ncbi.nlm.nih.gov/nuccore/CP000058.1?report=graph&amp;tracks=[key:gene_model_track,Options:GeneOnly]&amp;mk=3340333:3340352|offset_7|00cc00,3340307:3340326|offset_33|444444,3340278:3340297|offset_62|444444,3340258:3340277|offset_82|444444&amp;v=3340132:3340477&amp;c=444444", "offset 7")</f>
        <v>offset 7</v>
      </c>
    </row>
    <row r="10630" customFormat="false" ht="12.8" hidden="false" customHeight="false" outlineLevel="0" collapsed="false">
      <c r="A10630" s="0" t="s">
        <v>12</v>
      </c>
      <c r="B10630" s="0" t="n">
        <v>3340306</v>
      </c>
      <c r="C10630" s="0" t="n">
        <v>3340326</v>
      </c>
      <c r="D10630" s="0" t="s">
        <v>35288</v>
      </c>
      <c r="E10630" s="0" t="s">
        <v>75</v>
      </c>
      <c r="F10630" s="0" t="s">
        <v>90</v>
      </c>
      <c r="G10630" s="0" t="s">
        <v>16</v>
      </c>
      <c r="H10630" s="0" t="n">
        <v>33</v>
      </c>
      <c r="I10630" s="0" t="s">
        <v>35292</v>
      </c>
      <c r="J10630" s="0" t="s">
        <v>35293</v>
      </c>
      <c r="K10630" s="0" t="s">
        <v>35294</v>
      </c>
      <c r="L10630" s="0" t="str">
        <f aca="false">HYPERLINK("https://www.ncbi.nlm.nih.gov/nuccore/CP000058.1?report=graph&amp;tracks=[key:gene_model_track,Options:GeneOnly]&amp;mk=3340333:3340352|offset_7|444444,3340307:3340326|offset_33|00cc00,3340278:3340297|offset_62|444444,3340258:3340277|offset_82|444444&amp;v=3340132:3340477&amp;c=444444", "offset 33")</f>
        <v>offset 33</v>
      </c>
    </row>
    <row r="10631" customFormat="false" ht="12.8" hidden="false" customHeight="false" outlineLevel="0" collapsed="false">
      <c r="A10631" s="0" t="s">
        <v>12</v>
      </c>
      <c r="B10631" s="0" t="n">
        <v>3340277</v>
      </c>
      <c r="C10631" s="0" t="n">
        <v>3340297</v>
      </c>
      <c r="D10631" s="0" t="s">
        <v>35288</v>
      </c>
      <c r="E10631" s="0" t="s">
        <v>75</v>
      </c>
      <c r="F10631" s="0" t="s">
        <v>90</v>
      </c>
      <c r="G10631" s="0" t="s">
        <v>20</v>
      </c>
      <c r="H10631" s="0" t="n">
        <v>62</v>
      </c>
      <c r="I10631" s="0" t="s">
        <v>35295</v>
      </c>
      <c r="J10631" s="0" t="s">
        <v>35296</v>
      </c>
      <c r="K10631" s="0" t="s">
        <v>35297</v>
      </c>
      <c r="L10631" s="0" t="str">
        <f aca="false">HYPERLINK("https://www.ncbi.nlm.nih.gov/nuccore/CP000058.1?report=graph&amp;tracks=[key:gene_model_track,Options:GeneOnly]&amp;mk=3340333:3340352|offset_7|444444,3340307:3340326|offset_33|444444,3340278:3340297|offset_62|00cc00,3340258:3340277|offset_82|444444&amp;v=3340132:3340477&amp;c=444444", "offset 62")</f>
        <v>offset 62</v>
      </c>
    </row>
    <row r="10632" customFormat="false" ht="12.8" hidden="false" customHeight="false" outlineLevel="0" collapsed="false">
      <c r="A10632" s="0" t="s">
        <v>12</v>
      </c>
      <c r="B10632" s="0" t="n">
        <v>3340257</v>
      </c>
      <c r="C10632" s="0" t="n">
        <v>3340277</v>
      </c>
      <c r="D10632" s="0" t="s">
        <v>35288</v>
      </c>
      <c r="E10632" s="0" t="s">
        <v>75</v>
      </c>
      <c r="F10632" s="0" t="s">
        <v>90</v>
      </c>
      <c r="G10632" s="0" t="s">
        <v>16</v>
      </c>
      <c r="H10632" s="0" t="n">
        <v>82</v>
      </c>
      <c r="I10632" s="0" t="s">
        <v>35298</v>
      </c>
      <c r="J10632" s="0" t="s">
        <v>35299</v>
      </c>
      <c r="K10632" s="0" t="s">
        <v>35300</v>
      </c>
      <c r="L10632" s="0" t="str">
        <f aca="false">HYPERLINK("https://www.ncbi.nlm.nih.gov/nuccore/CP000058.1?report=graph&amp;tracks=[key:gene_model_track,Options:GeneOnly]&amp;mk=3340333:3340352|offset_7|444444,3340307:3340326|offset_33|444444,3340278:3340297|offset_62|444444,3340258:3340277|offset_82|00cc00&amp;v=3340132:3340477&amp;c=444444", "offset 82")</f>
        <v>offset 82</v>
      </c>
    </row>
    <row r="10633" customFormat="false" ht="12.8" hidden="false" customHeight="false" outlineLevel="0" collapsed="false">
      <c r="A10633" s="0" t="s">
        <v>12</v>
      </c>
      <c r="B10633" s="0" t="n">
        <v>3340933</v>
      </c>
      <c r="C10633" s="0" t="n">
        <v>3340953</v>
      </c>
      <c r="D10633" s="0" t="s">
        <v>35301</v>
      </c>
      <c r="E10633" s="0" t="s">
        <v>75</v>
      </c>
      <c r="F10633" s="0" t="s">
        <v>90</v>
      </c>
      <c r="G10633" s="0" t="s">
        <v>32</v>
      </c>
      <c r="H10633" s="0" t="n">
        <v>11</v>
      </c>
      <c r="I10633" s="0" t="s">
        <v>35302</v>
      </c>
      <c r="J10633" s="0" t="s">
        <v>35303</v>
      </c>
      <c r="K10633" s="0" t="s">
        <v>35304</v>
      </c>
      <c r="L10633" s="0" t="str">
        <f aca="false">HYPERLINK("https://www.ncbi.nlm.nih.gov/nuccore/CP000058.1?report=graph&amp;tracks=[key:gene_model_track,Options:GeneOnly]&amp;mk=3340934:3340953|offset_11|00cc00,3340904:3340923|offset_41|444444,3340860:3340879|offset_85|444444,3340808:3340827|offset_137|444444&amp;v=3340733:3341027&amp;c=444444", "offset 11")</f>
        <v>offset 11</v>
      </c>
    </row>
    <row r="10634" customFormat="false" ht="12.8" hidden="false" customHeight="false" outlineLevel="0" collapsed="false">
      <c r="A10634" s="0" t="s">
        <v>12</v>
      </c>
      <c r="B10634" s="0" t="n">
        <v>3340903</v>
      </c>
      <c r="C10634" s="0" t="n">
        <v>3340923</v>
      </c>
      <c r="D10634" s="0" t="s">
        <v>35301</v>
      </c>
      <c r="E10634" s="0" t="s">
        <v>75</v>
      </c>
      <c r="F10634" s="0" t="s">
        <v>90</v>
      </c>
      <c r="G10634" s="0" t="s">
        <v>20</v>
      </c>
      <c r="H10634" s="0" t="n">
        <v>41</v>
      </c>
      <c r="I10634" s="0" t="s">
        <v>35305</v>
      </c>
      <c r="J10634" s="0" t="s">
        <v>35306</v>
      </c>
      <c r="K10634" s="0" t="s">
        <v>35307</v>
      </c>
      <c r="L10634" s="0" t="str">
        <f aca="false">HYPERLINK("https://www.ncbi.nlm.nih.gov/nuccore/CP000058.1?report=graph&amp;tracks=[key:gene_model_track,Options:GeneOnly]&amp;mk=3340934:3340953|offset_11|444444,3340904:3340923|offset_41|00cc00,3340860:3340879|offset_85|444444,3340808:3340827|offset_137|444444&amp;v=3340733:3341027&amp;c=444444", "offset 41")</f>
        <v>offset 41</v>
      </c>
    </row>
    <row r="10635" customFormat="false" ht="12.8" hidden="false" customHeight="false" outlineLevel="0" collapsed="false">
      <c r="A10635" s="0" t="s">
        <v>12</v>
      </c>
      <c r="B10635" s="0" t="n">
        <v>3340859</v>
      </c>
      <c r="C10635" s="0" t="n">
        <v>3340879</v>
      </c>
      <c r="D10635" s="0" t="s">
        <v>35301</v>
      </c>
      <c r="E10635" s="0" t="s">
        <v>75</v>
      </c>
      <c r="F10635" s="0" t="s">
        <v>90</v>
      </c>
      <c r="G10635" s="0" t="s">
        <v>32</v>
      </c>
      <c r="H10635" s="0" t="n">
        <v>85</v>
      </c>
      <c r="I10635" s="0" t="s">
        <v>35308</v>
      </c>
      <c r="J10635" s="0" t="s">
        <v>35309</v>
      </c>
      <c r="K10635" s="0" t="s">
        <v>35310</v>
      </c>
      <c r="L10635" s="0" t="str">
        <f aca="false">HYPERLINK("https://www.ncbi.nlm.nih.gov/nuccore/CP000058.1?report=graph&amp;tracks=[key:gene_model_track,Options:GeneOnly]&amp;mk=3340934:3340953|offset_11|444444,3340904:3340923|offset_41|444444,3340860:3340879|offset_85|00cc00,3340808:3340827|offset_137|444444&amp;v=3340733:3341027&amp;c=444444", "offset 85")</f>
        <v>offset 85</v>
      </c>
    </row>
    <row r="10636" customFormat="false" ht="12.8" hidden="false" customHeight="false" outlineLevel="0" collapsed="false">
      <c r="A10636" s="0" t="s">
        <v>12</v>
      </c>
      <c r="B10636" s="0" t="n">
        <v>3340807</v>
      </c>
      <c r="C10636" s="0" t="n">
        <v>3340827</v>
      </c>
      <c r="D10636" s="0" t="s">
        <v>35301</v>
      </c>
      <c r="E10636" s="0" t="s">
        <v>75</v>
      </c>
      <c r="F10636" s="0" t="s">
        <v>90</v>
      </c>
      <c r="G10636" s="0" t="s">
        <v>16</v>
      </c>
      <c r="H10636" s="0" t="n">
        <v>137</v>
      </c>
      <c r="I10636" s="0" t="s">
        <v>35311</v>
      </c>
      <c r="J10636" s="0" t="s">
        <v>35312</v>
      </c>
      <c r="K10636" s="0" t="s">
        <v>35313</v>
      </c>
      <c r="L10636" s="0" t="str">
        <f aca="false">HYPERLINK("https://www.ncbi.nlm.nih.gov/nuccore/CP000058.1?report=graph&amp;tracks=[key:gene_model_track,Options:GeneOnly]&amp;mk=3340934:3340953|offset_11|444444,3340904:3340923|offset_41|444444,3340860:3340879|offset_85|444444,3340808:3340827|offset_137|00cc00&amp;v=3340733:3341027&amp;c=444444", "offset 137")</f>
        <v>offset 137</v>
      </c>
    </row>
    <row r="10637" customFormat="false" ht="12.8" hidden="false" customHeight="false" outlineLevel="0" collapsed="false">
      <c r="A10637" s="0" t="s">
        <v>12</v>
      </c>
      <c r="B10637" s="0" t="n">
        <v>3341365</v>
      </c>
      <c r="C10637" s="0" t="n">
        <v>3341385</v>
      </c>
      <c r="D10637" s="0" t="s">
        <v>35314</v>
      </c>
      <c r="E10637" s="0" t="s">
        <v>75</v>
      </c>
      <c r="F10637" s="0" t="s">
        <v>15</v>
      </c>
      <c r="G10637" s="0" t="s">
        <v>20</v>
      </c>
      <c r="H10637" s="0" t="n">
        <v>7</v>
      </c>
      <c r="I10637" s="0" t="s">
        <v>35315</v>
      </c>
      <c r="J10637" s="0" t="s">
        <v>35316</v>
      </c>
      <c r="K10637" s="0" t="s">
        <v>35317</v>
      </c>
      <c r="L10637" s="0" t="str">
        <f aca="false">HYPERLINK("https://www.ncbi.nlm.nih.gov/nuccore/CP000058.1?report=graph&amp;tracks=[key:gene_model_track,Options:GeneOnly]&amp;mk=3341366:3341385|offset_7|00cc00,3341388:3341407|offset_29|444444,3341439:3341458|offset_80|444444,3341459:3341478|offset_100|444444&amp;v=3341165:3341678&amp;c=444444", "offset 7")</f>
        <v>offset 7</v>
      </c>
    </row>
    <row r="10638" customFormat="false" ht="12.8" hidden="false" customHeight="false" outlineLevel="0" collapsed="false">
      <c r="A10638" s="0" t="s">
        <v>12</v>
      </c>
      <c r="B10638" s="0" t="n">
        <v>3341387</v>
      </c>
      <c r="C10638" s="0" t="n">
        <v>3341407</v>
      </c>
      <c r="D10638" s="0" t="s">
        <v>35314</v>
      </c>
      <c r="E10638" s="0" t="s">
        <v>75</v>
      </c>
      <c r="F10638" s="0" t="s">
        <v>15</v>
      </c>
      <c r="G10638" s="0" t="s">
        <v>32</v>
      </c>
      <c r="H10638" s="0" t="n">
        <v>29</v>
      </c>
      <c r="I10638" s="0" t="s">
        <v>35318</v>
      </c>
      <c r="J10638" s="0" t="s">
        <v>35319</v>
      </c>
      <c r="K10638" s="0" t="s">
        <v>35320</v>
      </c>
      <c r="L10638" s="0" t="str">
        <f aca="false">HYPERLINK("https://www.ncbi.nlm.nih.gov/nuccore/CP000058.1?report=graph&amp;tracks=[key:gene_model_track,Options:GeneOnly]&amp;mk=3341366:3341385|offset_7|444444,3341388:3341407|offset_29|00cc00,3341439:3341458|offset_80|444444,3341459:3341478|offset_100|444444&amp;v=3341165:3341678&amp;c=444444", "offset 29")</f>
        <v>offset 29</v>
      </c>
    </row>
    <row r="10639" customFormat="false" ht="12.8" hidden="false" customHeight="false" outlineLevel="0" collapsed="false">
      <c r="A10639" s="0" t="s">
        <v>12</v>
      </c>
      <c r="B10639" s="0" t="n">
        <v>3341438</v>
      </c>
      <c r="C10639" s="0" t="n">
        <v>3341458</v>
      </c>
      <c r="D10639" s="0" t="s">
        <v>35314</v>
      </c>
      <c r="E10639" s="0" t="s">
        <v>75</v>
      </c>
      <c r="F10639" s="0" t="s">
        <v>15</v>
      </c>
      <c r="G10639" s="0" t="s">
        <v>20</v>
      </c>
      <c r="H10639" s="0" t="n">
        <v>80</v>
      </c>
      <c r="I10639" s="0" t="s">
        <v>35321</v>
      </c>
      <c r="J10639" s="0" t="s">
        <v>35322</v>
      </c>
      <c r="K10639" s="0" t="s">
        <v>35323</v>
      </c>
      <c r="L10639" s="0" t="str">
        <f aca="false">HYPERLINK("https://www.ncbi.nlm.nih.gov/nuccore/CP000058.1?report=graph&amp;tracks=[key:gene_model_track,Options:GeneOnly]&amp;mk=3341366:3341385|offset_7|444444,3341388:3341407|offset_29|444444,3341439:3341458|offset_80|00cc00,3341459:3341478|offset_100|444444&amp;v=3341165:3341678&amp;c=444444", "offset 80")</f>
        <v>offset 80</v>
      </c>
    </row>
    <row r="10640" customFormat="false" ht="12.8" hidden="false" customHeight="false" outlineLevel="0" collapsed="false">
      <c r="A10640" s="0" t="s">
        <v>12</v>
      </c>
      <c r="B10640" s="0" t="n">
        <v>3341458</v>
      </c>
      <c r="C10640" s="0" t="n">
        <v>3341478</v>
      </c>
      <c r="D10640" s="0" t="s">
        <v>35314</v>
      </c>
      <c r="E10640" s="0" t="s">
        <v>75</v>
      </c>
      <c r="F10640" s="0" t="s">
        <v>15</v>
      </c>
      <c r="G10640" s="0" t="s">
        <v>16</v>
      </c>
      <c r="H10640" s="0" t="n">
        <v>100</v>
      </c>
      <c r="I10640" s="0" t="s">
        <v>35324</v>
      </c>
      <c r="J10640" s="0" t="s">
        <v>35325</v>
      </c>
      <c r="K10640" s="0" t="s">
        <v>35326</v>
      </c>
      <c r="L10640" s="0" t="str">
        <f aca="false">HYPERLINK("https://www.ncbi.nlm.nih.gov/nuccore/CP000058.1?report=graph&amp;tracks=[key:gene_model_track,Options:GeneOnly]&amp;mk=3341366:3341385|offset_7|444444,3341388:3341407|offset_29|444444,3341439:3341458|offset_80|444444,3341459:3341478|offset_100|00cc00&amp;v=3341165:3341678&amp;c=444444", "offset 100")</f>
        <v>offset 100</v>
      </c>
    </row>
    <row r="10641" customFormat="false" ht="12.8" hidden="false" customHeight="false" outlineLevel="0" collapsed="false">
      <c r="A10641" s="0" t="s">
        <v>12</v>
      </c>
      <c r="B10641" s="0" t="n">
        <v>3344772</v>
      </c>
      <c r="C10641" s="0" t="n">
        <v>3344792</v>
      </c>
      <c r="D10641" s="0" t="s">
        <v>35327</v>
      </c>
      <c r="E10641" s="0" t="s">
        <v>75</v>
      </c>
      <c r="F10641" s="0" t="s">
        <v>90</v>
      </c>
      <c r="G10641" s="0" t="s">
        <v>16</v>
      </c>
      <c r="H10641" s="0" t="n">
        <v>0</v>
      </c>
      <c r="I10641" s="0" t="s">
        <v>35328</v>
      </c>
      <c r="J10641" s="0" t="s">
        <v>35329</v>
      </c>
      <c r="K10641" s="0" t="s">
        <v>35330</v>
      </c>
      <c r="L10641" s="0" t="str">
        <f aca="false">HYPERLINK("https://www.ncbi.nlm.nih.gov/nuccore/CP000058.1?report=graph&amp;tracks=[key:gene_model_track,Options:GeneOnly]&amp;mk=3344773:3344792|offset_0|00cc00,3344734:3344753|offset_39|444444,3344663:3344682|offset_110|444444,3344618:3344637|offset_155|444444&amp;v=3344572:3344837&amp;c=444444", "offset 0")</f>
        <v>offset 0</v>
      </c>
    </row>
    <row r="10642" customFormat="false" ht="12.8" hidden="false" customHeight="false" outlineLevel="0" collapsed="false">
      <c r="A10642" s="0" t="s">
        <v>12</v>
      </c>
      <c r="B10642" s="0" t="n">
        <v>3344733</v>
      </c>
      <c r="C10642" s="0" t="n">
        <v>3344753</v>
      </c>
      <c r="D10642" s="0" t="s">
        <v>35327</v>
      </c>
      <c r="E10642" s="0" t="s">
        <v>75</v>
      </c>
      <c r="F10642" s="0" t="s">
        <v>90</v>
      </c>
      <c r="G10642" s="0" t="s">
        <v>36</v>
      </c>
      <c r="H10642" s="0" t="n">
        <v>39</v>
      </c>
      <c r="I10642" s="0" t="s">
        <v>35331</v>
      </c>
      <c r="J10642" s="0" t="s">
        <v>35332</v>
      </c>
      <c r="K10642" s="0" t="s">
        <v>35333</v>
      </c>
      <c r="L10642" s="0" t="str">
        <f aca="false">HYPERLINK("https://www.ncbi.nlm.nih.gov/nuccore/CP000058.1?report=graph&amp;tracks=[key:gene_model_track,Options:GeneOnly]&amp;mk=3344773:3344792|offset_0|444444,3344734:3344753|offset_39|00cc00,3344663:3344682|offset_110|444444,3344618:3344637|offset_155|444444&amp;v=3344572:3344837&amp;c=444444", "offset 39")</f>
        <v>offset 39</v>
      </c>
    </row>
    <row r="10643" customFormat="false" ht="12.8" hidden="false" customHeight="false" outlineLevel="0" collapsed="false">
      <c r="A10643" s="0" t="s">
        <v>12</v>
      </c>
      <c r="B10643" s="0" t="n">
        <v>3344662</v>
      </c>
      <c r="C10643" s="0" t="n">
        <v>3344682</v>
      </c>
      <c r="D10643" s="0" t="s">
        <v>35327</v>
      </c>
      <c r="E10643" s="0" t="s">
        <v>75</v>
      </c>
      <c r="F10643" s="0" t="s">
        <v>90</v>
      </c>
      <c r="G10643" s="0" t="s">
        <v>16</v>
      </c>
      <c r="H10643" s="0" t="n">
        <v>110</v>
      </c>
      <c r="I10643" s="0" t="s">
        <v>35334</v>
      </c>
      <c r="J10643" s="0" t="s">
        <v>35335</v>
      </c>
      <c r="K10643" s="0" t="s">
        <v>35336</v>
      </c>
      <c r="L10643" s="0" t="str">
        <f aca="false">HYPERLINK("https://www.ncbi.nlm.nih.gov/nuccore/CP000058.1?report=graph&amp;tracks=[key:gene_model_track,Options:GeneOnly]&amp;mk=3344773:3344792|offset_0|444444,3344734:3344753|offset_39|444444,3344663:3344682|offset_110|00cc00,3344618:3344637|offset_155|444444&amp;v=3344572:3344837&amp;c=444444", "offset 110")</f>
        <v>offset 110</v>
      </c>
    </row>
    <row r="10644" customFormat="false" ht="12.8" hidden="false" customHeight="false" outlineLevel="0" collapsed="false">
      <c r="A10644" s="0" t="s">
        <v>12</v>
      </c>
      <c r="B10644" s="0" t="n">
        <v>3344617</v>
      </c>
      <c r="C10644" s="0" t="n">
        <v>3344637</v>
      </c>
      <c r="D10644" s="0" t="s">
        <v>35327</v>
      </c>
      <c r="E10644" s="0" t="s">
        <v>75</v>
      </c>
      <c r="F10644" s="0" t="s">
        <v>90</v>
      </c>
      <c r="G10644" s="0" t="s">
        <v>32</v>
      </c>
      <c r="H10644" s="0" t="n">
        <v>155</v>
      </c>
      <c r="I10644" s="0" t="s">
        <v>35337</v>
      </c>
      <c r="J10644" s="0" t="s">
        <v>35338</v>
      </c>
      <c r="K10644" s="0" t="s">
        <v>35339</v>
      </c>
      <c r="L10644" s="0" t="str">
        <f aca="false">HYPERLINK("https://www.ncbi.nlm.nih.gov/nuccore/CP000058.1?report=graph&amp;tracks=[key:gene_model_track,Options:GeneOnly]&amp;mk=3344773:3344792|offset_0|444444,3344734:3344753|offset_39|444444,3344663:3344682|offset_110|444444,3344618:3344637|offset_155|00cc00&amp;v=3344572:3344837&amp;c=444444", "offset 155")</f>
        <v>offset 155</v>
      </c>
    </row>
    <row r="10645" customFormat="false" ht="12.8" hidden="false" customHeight="false" outlineLevel="0" collapsed="false">
      <c r="A10645" s="0" t="s">
        <v>12</v>
      </c>
      <c r="B10645" s="0" t="n">
        <v>3344901</v>
      </c>
      <c r="C10645" s="0" t="n">
        <v>3344921</v>
      </c>
      <c r="D10645" s="0" t="s">
        <v>35340</v>
      </c>
      <c r="E10645" s="0" t="s">
        <v>75</v>
      </c>
      <c r="F10645" s="0" t="s">
        <v>15</v>
      </c>
      <c r="G10645" s="0" t="s">
        <v>36</v>
      </c>
      <c r="H10645" s="0" t="n">
        <v>17</v>
      </c>
      <c r="I10645" s="0" t="s">
        <v>35341</v>
      </c>
      <c r="J10645" s="0" t="s">
        <v>35342</v>
      </c>
      <c r="K10645" s="0" t="s">
        <v>35343</v>
      </c>
      <c r="L10645" s="0" t="str">
        <f aca="false">HYPERLINK("https://www.ncbi.nlm.nih.gov/nuccore/CP000058.1?report=graph&amp;tracks=[key:gene_model_track,Options:GeneOnly]&amp;mk=3344902:3344921|offset_17|00cc00,3344922:3344941|offset_37|444444,3344962:3344981|offset_77|444444,3344985:3345004|offset_100|444444&amp;v=3344701:3345204&amp;c=444444", "offset 17")</f>
        <v>offset 17</v>
      </c>
    </row>
    <row r="10646" customFormat="false" ht="12.8" hidden="false" customHeight="false" outlineLevel="0" collapsed="false">
      <c r="A10646" s="0" t="s">
        <v>12</v>
      </c>
      <c r="B10646" s="0" t="n">
        <v>3344921</v>
      </c>
      <c r="C10646" s="0" t="n">
        <v>3344941</v>
      </c>
      <c r="D10646" s="0" t="s">
        <v>35340</v>
      </c>
      <c r="E10646" s="0" t="s">
        <v>75</v>
      </c>
      <c r="F10646" s="0" t="s">
        <v>15</v>
      </c>
      <c r="G10646" s="0" t="s">
        <v>20</v>
      </c>
      <c r="H10646" s="0" t="n">
        <v>37</v>
      </c>
      <c r="I10646" s="0" t="s">
        <v>35344</v>
      </c>
      <c r="J10646" s="0" t="s">
        <v>35345</v>
      </c>
      <c r="K10646" s="0" t="s">
        <v>35346</v>
      </c>
      <c r="L10646" s="0" t="str">
        <f aca="false">HYPERLINK("https://www.ncbi.nlm.nih.gov/nuccore/CP000058.1?report=graph&amp;tracks=[key:gene_model_track,Options:GeneOnly]&amp;mk=3344902:3344921|offset_17|444444,3344922:3344941|offset_37|00cc00,3344962:3344981|offset_77|444444,3344985:3345004|offset_100|444444&amp;v=3344701:3345204&amp;c=444444", "offset 37")</f>
        <v>offset 37</v>
      </c>
    </row>
    <row r="10647" customFormat="false" ht="12.8" hidden="false" customHeight="false" outlineLevel="0" collapsed="false">
      <c r="A10647" s="0" t="s">
        <v>12</v>
      </c>
      <c r="B10647" s="0" t="n">
        <v>3344961</v>
      </c>
      <c r="C10647" s="0" t="n">
        <v>3344981</v>
      </c>
      <c r="D10647" s="0" t="s">
        <v>35340</v>
      </c>
      <c r="E10647" s="0" t="s">
        <v>75</v>
      </c>
      <c r="F10647" s="0" t="s">
        <v>15</v>
      </c>
      <c r="G10647" s="0" t="s">
        <v>20</v>
      </c>
      <c r="H10647" s="0" t="n">
        <v>77</v>
      </c>
      <c r="I10647" s="0" t="s">
        <v>35347</v>
      </c>
      <c r="J10647" s="0" t="s">
        <v>35348</v>
      </c>
      <c r="K10647" s="0" t="s">
        <v>35349</v>
      </c>
      <c r="L10647" s="0" t="str">
        <f aca="false">HYPERLINK("https://www.ncbi.nlm.nih.gov/nuccore/CP000058.1?report=graph&amp;tracks=[key:gene_model_track,Options:GeneOnly]&amp;mk=3344902:3344921|offset_17|444444,3344922:3344941|offset_37|444444,3344962:3344981|offset_77|00cc00,3344985:3345004|offset_100|444444&amp;v=3344701:3345204&amp;c=444444", "offset 77")</f>
        <v>offset 77</v>
      </c>
    </row>
    <row r="10648" customFormat="false" ht="12.8" hidden="false" customHeight="false" outlineLevel="0" collapsed="false">
      <c r="A10648" s="0" t="s">
        <v>12</v>
      </c>
      <c r="B10648" s="0" t="n">
        <v>3344984</v>
      </c>
      <c r="C10648" s="0" t="n">
        <v>3345004</v>
      </c>
      <c r="D10648" s="0" t="s">
        <v>35340</v>
      </c>
      <c r="E10648" s="0" t="s">
        <v>75</v>
      </c>
      <c r="F10648" s="0" t="s">
        <v>15</v>
      </c>
      <c r="G10648" s="0" t="s">
        <v>36</v>
      </c>
      <c r="H10648" s="0" t="n">
        <v>100</v>
      </c>
      <c r="I10648" s="0" t="s">
        <v>35350</v>
      </c>
      <c r="J10648" s="0" t="s">
        <v>35351</v>
      </c>
      <c r="K10648" s="0" t="s">
        <v>35352</v>
      </c>
      <c r="L10648" s="0" t="str">
        <f aca="false">HYPERLINK("https://www.ncbi.nlm.nih.gov/nuccore/CP000058.1?report=graph&amp;tracks=[key:gene_model_track,Options:GeneOnly]&amp;mk=3344902:3344921|offset_17|444444,3344922:3344941|offset_37|444444,3344962:3344981|offset_77|444444,3344985:3345004|offset_100|00cc00&amp;v=3344701:3345204&amp;c=444444", "offset 100")</f>
        <v>offset 100</v>
      </c>
    </row>
    <row r="10649" customFormat="false" ht="12.8" hidden="false" customHeight="false" outlineLevel="0" collapsed="false">
      <c r="A10649" s="0" t="s">
        <v>12</v>
      </c>
      <c r="B10649" s="0" t="n">
        <v>3347102</v>
      </c>
      <c r="C10649" s="0" t="n">
        <v>3347122</v>
      </c>
      <c r="D10649" s="0" t="s">
        <v>35353</v>
      </c>
      <c r="E10649" s="0" t="s">
        <v>75</v>
      </c>
      <c r="F10649" s="0" t="s">
        <v>15</v>
      </c>
      <c r="G10649" s="0" t="s">
        <v>36</v>
      </c>
      <c r="H10649" s="0" t="n">
        <v>7</v>
      </c>
      <c r="I10649" s="0" t="s">
        <v>35354</v>
      </c>
      <c r="J10649" s="0" t="s">
        <v>35355</v>
      </c>
      <c r="K10649" s="0" t="s">
        <v>35356</v>
      </c>
      <c r="L10649" s="0" t="str">
        <f aca="false">HYPERLINK("https://www.ncbi.nlm.nih.gov/nuccore/CP000058.1?report=graph&amp;tracks=[key:gene_model_track,Options:GeneOnly]&amp;mk=3347103:3347122|offset_7|00cc00,3347130:3347149|offset_34|444444,3347154:3347173|offset_58|444444,3347174:3347193|offset_78|444444&amp;v=3346902:3347393&amp;c=444444", "offset 7")</f>
        <v>offset 7</v>
      </c>
    </row>
    <row r="10650" customFormat="false" ht="12.8" hidden="false" customHeight="false" outlineLevel="0" collapsed="false">
      <c r="A10650" s="0" t="s">
        <v>12</v>
      </c>
      <c r="B10650" s="0" t="n">
        <v>3347129</v>
      </c>
      <c r="C10650" s="0" t="n">
        <v>3347149</v>
      </c>
      <c r="D10650" s="0" t="s">
        <v>35353</v>
      </c>
      <c r="E10650" s="0" t="s">
        <v>75</v>
      </c>
      <c r="F10650" s="0" t="s">
        <v>15</v>
      </c>
      <c r="G10650" s="0" t="s">
        <v>32</v>
      </c>
      <c r="H10650" s="0" t="n">
        <v>34</v>
      </c>
      <c r="I10650" s="0" t="s">
        <v>35357</v>
      </c>
      <c r="J10650" s="0" t="s">
        <v>35358</v>
      </c>
      <c r="K10650" s="0" t="s">
        <v>35359</v>
      </c>
      <c r="L10650" s="0" t="str">
        <f aca="false">HYPERLINK("https://www.ncbi.nlm.nih.gov/nuccore/CP000058.1?report=graph&amp;tracks=[key:gene_model_track,Options:GeneOnly]&amp;mk=3347103:3347122|offset_7|444444,3347130:3347149|offset_34|00cc00,3347154:3347173|offset_58|444444,3347174:3347193|offset_78|444444&amp;v=3346902:3347393&amp;c=444444", "offset 34")</f>
        <v>offset 34</v>
      </c>
    </row>
    <row r="10651" customFormat="false" ht="12.8" hidden="false" customHeight="false" outlineLevel="0" collapsed="false">
      <c r="A10651" s="0" t="s">
        <v>12</v>
      </c>
      <c r="B10651" s="0" t="n">
        <v>3347153</v>
      </c>
      <c r="C10651" s="0" t="n">
        <v>3347173</v>
      </c>
      <c r="D10651" s="0" t="s">
        <v>35353</v>
      </c>
      <c r="E10651" s="0" t="s">
        <v>75</v>
      </c>
      <c r="F10651" s="0" t="s">
        <v>15</v>
      </c>
      <c r="G10651" s="0" t="s">
        <v>16</v>
      </c>
      <c r="H10651" s="0" t="n">
        <v>58</v>
      </c>
      <c r="I10651" s="0" t="s">
        <v>35360</v>
      </c>
      <c r="J10651" s="0" t="s">
        <v>35361</v>
      </c>
      <c r="K10651" s="0" t="s">
        <v>35362</v>
      </c>
      <c r="L10651" s="0" t="str">
        <f aca="false">HYPERLINK("https://www.ncbi.nlm.nih.gov/nuccore/CP000058.1?report=graph&amp;tracks=[key:gene_model_track,Options:GeneOnly]&amp;mk=3347103:3347122|offset_7|444444,3347130:3347149|offset_34|444444,3347154:3347173|offset_58|00cc00,3347174:3347193|offset_78|444444&amp;v=3346902:3347393&amp;c=444444", "offset 58")</f>
        <v>offset 58</v>
      </c>
    </row>
    <row r="10652" customFormat="false" ht="12.8" hidden="false" customHeight="false" outlineLevel="0" collapsed="false">
      <c r="A10652" s="0" t="s">
        <v>12</v>
      </c>
      <c r="B10652" s="0" t="n">
        <v>3347173</v>
      </c>
      <c r="C10652" s="0" t="n">
        <v>3347193</v>
      </c>
      <c r="D10652" s="0" t="s">
        <v>35353</v>
      </c>
      <c r="E10652" s="0" t="s">
        <v>75</v>
      </c>
      <c r="F10652" s="0" t="s">
        <v>15</v>
      </c>
      <c r="G10652" s="0" t="s">
        <v>16</v>
      </c>
      <c r="H10652" s="0" t="n">
        <v>78</v>
      </c>
      <c r="I10652" s="0" t="s">
        <v>35363</v>
      </c>
      <c r="J10652" s="0" t="s">
        <v>35364</v>
      </c>
      <c r="K10652" s="0" t="s">
        <v>35365</v>
      </c>
      <c r="L10652" s="0" t="str">
        <f aca="false">HYPERLINK("https://www.ncbi.nlm.nih.gov/nuccore/CP000058.1?report=graph&amp;tracks=[key:gene_model_track,Options:GeneOnly]&amp;mk=3347103:3347122|offset_7|444444,3347130:3347149|offset_34|444444,3347154:3347173|offset_58|444444,3347174:3347193|offset_78|00cc00&amp;v=3346902:3347393&amp;c=444444", "offset 78")</f>
        <v>offset 78</v>
      </c>
    </row>
    <row r="10653" customFormat="false" ht="12.8" hidden="false" customHeight="false" outlineLevel="0" collapsed="false">
      <c r="A10653" s="0" t="s">
        <v>12</v>
      </c>
      <c r="B10653" s="0" t="n">
        <v>3348883</v>
      </c>
      <c r="C10653" s="0" t="n">
        <v>3348903</v>
      </c>
      <c r="D10653" s="0" t="s">
        <v>35366</v>
      </c>
      <c r="E10653" s="0" t="s">
        <v>75</v>
      </c>
      <c r="F10653" s="0" t="s">
        <v>15</v>
      </c>
      <c r="G10653" s="0" t="s">
        <v>32</v>
      </c>
      <c r="H10653" s="0" t="n">
        <v>10</v>
      </c>
      <c r="I10653" s="0" t="s">
        <v>35367</v>
      </c>
      <c r="J10653" s="0" t="s">
        <v>35368</v>
      </c>
      <c r="K10653" s="0" t="s">
        <v>35369</v>
      </c>
      <c r="L10653" s="0" t="str">
        <f aca="false">HYPERLINK("https://www.ncbi.nlm.nih.gov/nuccore/CP000058.1?report=graph&amp;tracks=[key:gene_model_track,Options:GeneOnly]&amp;mk=3348884:3348903|offset_10|00cc00,3348928:3348947|offset_54|444444,3348951:3348970|offset_77|444444,3348985:3349004|offset_111|444444&amp;v=3348683:3349204&amp;c=444444", "offset 10")</f>
        <v>offset 10</v>
      </c>
    </row>
    <row r="10654" customFormat="false" ht="12.8" hidden="false" customHeight="false" outlineLevel="0" collapsed="false">
      <c r="A10654" s="0" t="s">
        <v>12</v>
      </c>
      <c r="B10654" s="0" t="n">
        <v>3348927</v>
      </c>
      <c r="C10654" s="0" t="n">
        <v>3348947</v>
      </c>
      <c r="D10654" s="0" t="s">
        <v>35366</v>
      </c>
      <c r="E10654" s="0" t="s">
        <v>75</v>
      </c>
      <c r="F10654" s="0" t="s">
        <v>15</v>
      </c>
      <c r="G10654" s="0" t="s">
        <v>32</v>
      </c>
      <c r="H10654" s="0" t="n">
        <v>54</v>
      </c>
      <c r="I10654" s="0" t="s">
        <v>35370</v>
      </c>
      <c r="J10654" s="0" t="s">
        <v>35371</v>
      </c>
      <c r="K10654" s="0" t="s">
        <v>35372</v>
      </c>
      <c r="L10654" s="0" t="str">
        <f aca="false">HYPERLINK("https://www.ncbi.nlm.nih.gov/nuccore/CP000058.1?report=graph&amp;tracks=[key:gene_model_track,Options:GeneOnly]&amp;mk=3348884:3348903|offset_10|444444,3348928:3348947|offset_54|00cc00,3348951:3348970|offset_77|444444,3348985:3349004|offset_111|444444&amp;v=3348683:3349204&amp;c=444444", "offset 54")</f>
        <v>offset 54</v>
      </c>
    </row>
    <row r="10655" customFormat="false" ht="12.8" hidden="false" customHeight="false" outlineLevel="0" collapsed="false">
      <c r="A10655" s="0" t="s">
        <v>12</v>
      </c>
      <c r="B10655" s="0" t="n">
        <v>3348950</v>
      </c>
      <c r="C10655" s="0" t="n">
        <v>3348970</v>
      </c>
      <c r="D10655" s="0" t="s">
        <v>35366</v>
      </c>
      <c r="E10655" s="0" t="s">
        <v>75</v>
      </c>
      <c r="F10655" s="0" t="s">
        <v>15</v>
      </c>
      <c r="G10655" s="0" t="s">
        <v>20</v>
      </c>
      <c r="H10655" s="0" t="n">
        <v>77</v>
      </c>
      <c r="I10655" s="0" t="s">
        <v>35373</v>
      </c>
      <c r="J10655" s="0" t="s">
        <v>35374</v>
      </c>
      <c r="K10655" s="0" t="s">
        <v>35375</v>
      </c>
      <c r="L10655" s="0" t="str">
        <f aca="false">HYPERLINK("https://www.ncbi.nlm.nih.gov/nuccore/CP000058.1?report=graph&amp;tracks=[key:gene_model_track,Options:GeneOnly]&amp;mk=3348884:3348903|offset_10|444444,3348928:3348947|offset_54|444444,3348951:3348970|offset_77|00cc00,3348985:3349004|offset_111|444444&amp;v=3348683:3349204&amp;c=444444", "offset 77")</f>
        <v>offset 77</v>
      </c>
    </row>
    <row r="10656" customFormat="false" ht="12.8" hidden="false" customHeight="false" outlineLevel="0" collapsed="false">
      <c r="A10656" s="0" t="s">
        <v>12</v>
      </c>
      <c r="B10656" s="0" t="n">
        <v>3348984</v>
      </c>
      <c r="C10656" s="0" t="n">
        <v>3349004</v>
      </c>
      <c r="D10656" s="0" t="s">
        <v>35366</v>
      </c>
      <c r="E10656" s="0" t="s">
        <v>75</v>
      </c>
      <c r="F10656" s="0" t="s">
        <v>15</v>
      </c>
      <c r="G10656" s="0" t="s">
        <v>20</v>
      </c>
      <c r="H10656" s="0" t="n">
        <v>111</v>
      </c>
      <c r="I10656" s="0" t="s">
        <v>35376</v>
      </c>
      <c r="J10656" s="0" t="s">
        <v>35377</v>
      </c>
      <c r="K10656" s="0" t="s">
        <v>35378</v>
      </c>
      <c r="L10656" s="0" t="str">
        <f aca="false">HYPERLINK("https://www.ncbi.nlm.nih.gov/nuccore/CP000058.1?report=graph&amp;tracks=[key:gene_model_track,Options:GeneOnly]&amp;mk=3348884:3348903|offset_10|444444,3348928:3348947|offset_54|444444,3348951:3348970|offset_77|444444,3348985:3349004|offset_111|00cc00&amp;v=3348683:3349204&amp;c=444444", "offset 111")</f>
        <v>offset 111</v>
      </c>
    </row>
    <row r="10657" customFormat="false" ht="12.8" hidden="false" customHeight="false" outlineLevel="0" collapsed="false">
      <c r="A10657" s="0" t="s">
        <v>12</v>
      </c>
      <c r="B10657" s="0" t="n">
        <v>3350681</v>
      </c>
      <c r="C10657" s="0" t="n">
        <v>3350701</v>
      </c>
      <c r="D10657" s="0" t="s">
        <v>35379</v>
      </c>
      <c r="E10657" s="0" t="s">
        <v>75</v>
      </c>
      <c r="F10657" s="0" t="s">
        <v>15</v>
      </c>
      <c r="G10657" s="0" t="s">
        <v>32</v>
      </c>
      <c r="H10657" s="0" t="n">
        <v>1</v>
      </c>
      <c r="I10657" s="0" t="s">
        <v>35380</v>
      </c>
      <c r="J10657" s="0" t="s">
        <v>35381</v>
      </c>
      <c r="K10657" s="0" t="s">
        <v>35382</v>
      </c>
      <c r="L10657" s="0" t="str">
        <f aca="false">HYPERLINK("https://www.ncbi.nlm.nih.gov/nuccore/CP000058.1?report=graph&amp;tracks=[key:gene_model_track,Options:GeneOnly]&amp;mk=3350682:3350701|offset_1|00cc00,3350706:3350725|offset_25|444444,3350726:3350745|offset_45|444444,3350748:3350767|offset_67|444444&amp;v=3350481:3350967&amp;c=444444", "offset 1")</f>
        <v>offset 1</v>
      </c>
    </row>
    <row r="10658" customFormat="false" ht="12.8" hidden="false" customHeight="false" outlineLevel="0" collapsed="false">
      <c r="A10658" s="0" t="s">
        <v>12</v>
      </c>
      <c r="B10658" s="0" t="n">
        <v>3350705</v>
      </c>
      <c r="C10658" s="0" t="n">
        <v>3350725</v>
      </c>
      <c r="D10658" s="0" t="s">
        <v>35379</v>
      </c>
      <c r="E10658" s="0" t="s">
        <v>75</v>
      </c>
      <c r="F10658" s="0" t="s">
        <v>15</v>
      </c>
      <c r="G10658" s="0" t="s">
        <v>20</v>
      </c>
      <c r="H10658" s="0" t="n">
        <v>25</v>
      </c>
      <c r="I10658" s="0" t="s">
        <v>35383</v>
      </c>
      <c r="J10658" s="0" t="s">
        <v>35384</v>
      </c>
      <c r="K10658" s="0" t="s">
        <v>35385</v>
      </c>
      <c r="L10658" s="0" t="str">
        <f aca="false">HYPERLINK("https://www.ncbi.nlm.nih.gov/nuccore/CP000058.1?report=graph&amp;tracks=[key:gene_model_track,Options:GeneOnly]&amp;mk=3350682:3350701|offset_1|444444,3350706:3350725|offset_25|00cc00,3350726:3350745|offset_45|444444,3350748:3350767|offset_67|444444&amp;v=3350481:3350967&amp;c=444444", "offset 25")</f>
        <v>offset 25</v>
      </c>
    </row>
    <row r="10659" customFormat="false" ht="12.8" hidden="false" customHeight="false" outlineLevel="0" collapsed="false">
      <c r="A10659" s="0" t="s">
        <v>12</v>
      </c>
      <c r="B10659" s="0" t="n">
        <v>3350725</v>
      </c>
      <c r="C10659" s="0" t="n">
        <v>3350745</v>
      </c>
      <c r="D10659" s="0" t="s">
        <v>35379</v>
      </c>
      <c r="E10659" s="0" t="s">
        <v>75</v>
      </c>
      <c r="F10659" s="0" t="s">
        <v>15</v>
      </c>
      <c r="G10659" s="0" t="s">
        <v>32</v>
      </c>
      <c r="H10659" s="0" t="n">
        <v>45</v>
      </c>
      <c r="I10659" s="0" t="s">
        <v>35386</v>
      </c>
      <c r="J10659" s="0" t="s">
        <v>35387</v>
      </c>
      <c r="K10659" s="0" t="s">
        <v>35388</v>
      </c>
      <c r="L10659" s="0" t="str">
        <f aca="false">HYPERLINK("https://www.ncbi.nlm.nih.gov/nuccore/CP000058.1?report=graph&amp;tracks=[key:gene_model_track,Options:GeneOnly]&amp;mk=3350682:3350701|offset_1|444444,3350706:3350725|offset_25|444444,3350726:3350745|offset_45|00cc00,3350748:3350767|offset_67|444444&amp;v=3350481:3350967&amp;c=444444", "offset 45")</f>
        <v>offset 45</v>
      </c>
    </row>
    <row r="10660" customFormat="false" ht="12.8" hidden="false" customHeight="false" outlineLevel="0" collapsed="false">
      <c r="A10660" s="0" t="s">
        <v>12</v>
      </c>
      <c r="B10660" s="0" t="n">
        <v>3350747</v>
      </c>
      <c r="C10660" s="0" t="n">
        <v>3350767</v>
      </c>
      <c r="D10660" s="0" t="s">
        <v>35379</v>
      </c>
      <c r="E10660" s="0" t="s">
        <v>75</v>
      </c>
      <c r="F10660" s="0" t="s">
        <v>15</v>
      </c>
      <c r="G10660" s="0" t="s">
        <v>36</v>
      </c>
      <c r="H10660" s="0" t="n">
        <v>67</v>
      </c>
      <c r="I10660" s="0" t="s">
        <v>35389</v>
      </c>
      <c r="J10660" s="0" t="s">
        <v>35390</v>
      </c>
      <c r="K10660" s="0" t="s">
        <v>35391</v>
      </c>
      <c r="L10660" s="0" t="str">
        <f aca="false">HYPERLINK("https://www.ncbi.nlm.nih.gov/nuccore/CP000058.1?report=graph&amp;tracks=[key:gene_model_track,Options:GeneOnly]&amp;mk=3350682:3350701|offset_1|444444,3350706:3350725|offset_25|444444,3350726:3350745|offset_45|444444,3350748:3350767|offset_67|00cc00&amp;v=3350481:3350967&amp;c=444444", "offset 67")</f>
        <v>offset 67</v>
      </c>
    </row>
    <row r="10661" customFormat="false" ht="12.8" hidden="false" customHeight="false" outlineLevel="0" collapsed="false">
      <c r="A10661" s="0" t="s">
        <v>12</v>
      </c>
      <c r="B10661" s="0" t="n">
        <v>3356840</v>
      </c>
      <c r="C10661" s="0" t="n">
        <v>3356860</v>
      </c>
      <c r="D10661" s="0" t="s">
        <v>35392</v>
      </c>
      <c r="E10661" s="0" t="s">
        <v>75</v>
      </c>
      <c r="F10661" s="0" t="s">
        <v>15</v>
      </c>
      <c r="G10661" s="0" t="s">
        <v>16</v>
      </c>
      <c r="H10661" s="0" t="n">
        <v>8</v>
      </c>
      <c r="I10661" s="0" t="s">
        <v>35393</v>
      </c>
      <c r="J10661" s="0" t="s">
        <v>35394</v>
      </c>
      <c r="K10661" s="0" t="s">
        <v>35395</v>
      </c>
      <c r="L10661" s="0" t="str">
        <f aca="false">HYPERLINK("https://www.ncbi.nlm.nih.gov/nuccore/CP000058.1?report=graph&amp;tracks=[key:gene_model_track,Options:GeneOnly]&amp;mk=3356841:3356860|offset_8|00cc00,3356868:3356887|offset_35|444444,3356888:3356907|offset_55|444444,3356922:3356941|offset_89|444444&amp;v=3356640:3357141&amp;c=444444", "offset 8")</f>
        <v>offset 8</v>
      </c>
    </row>
    <row r="10662" customFormat="false" ht="12.8" hidden="false" customHeight="false" outlineLevel="0" collapsed="false">
      <c r="A10662" s="0" t="s">
        <v>12</v>
      </c>
      <c r="B10662" s="0" t="n">
        <v>3356867</v>
      </c>
      <c r="C10662" s="0" t="n">
        <v>3356887</v>
      </c>
      <c r="D10662" s="0" t="s">
        <v>35392</v>
      </c>
      <c r="E10662" s="0" t="s">
        <v>75</v>
      </c>
      <c r="F10662" s="0" t="s">
        <v>15</v>
      </c>
      <c r="G10662" s="0" t="s">
        <v>20</v>
      </c>
      <c r="H10662" s="0" t="n">
        <v>35</v>
      </c>
      <c r="I10662" s="0" t="s">
        <v>35396</v>
      </c>
      <c r="J10662" s="0" t="s">
        <v>35397</v>
      </c>
      <c r="K10662" s="0" t="s">
        <v>35398</v>
      </c>
      <c r="L10662" s="0" t="str">
        <f aca="false">HYPERLINK("https://www.ncbi.nlm.nih.gov/nuccore/CP000058.1?report=graph&amp;tracks=[key:gene_model_track,Options:GeneOnly]&amp;mk=3356841:3356860|offset_8|444444,3356868:3356887|offset_35|00cc00,3356888:3356907|offset_55|444444,3356922:3356941|offset_89|444444&amp;v=3356640:3357141&amp;c=444444", "offset 35")</f>
        <v>offset 35</v>
      </c>
    </row>
    <row r="10663" customFormat="false" ht="12.8" hidden="false" customHeight="false" outlineLevel="0" collapsed="false">
      <c r="A10663" s="0" t="s">
        <v>12</v>
      </c>
      <c r="B10663" s="0" t="n">
        <v>3356887</v>
      </c>
      <c r="C10663" s="0" t="n">
        <v>3356907</v>
      </c>
      <c r="D10663" s="0" t="s">
        <v>35392</v>
      </c>
      <c r="E10663" s="0" t="s">
        <v>75</v>
      </c>
      <c r="F10663" s="0" t="s">
        <v>15</v>
      </c>
      <c r="G10663" s="0" t="s">
        <v>16</v>
      </c>
      <c r="H10663" s="0" t="n">
        <v>55</v>
      </c>
      <c r="I10663" s="0" t="s">
        <v>35399</v>
      </c>
      <c r="J10663" s="0" t="s">
        <v>35400</v>
      </c>
      <c r="K10663" s="0" t="s">
        <v>35401</v>
      </c>
      <c r="L10663" s="0" t="str">
        <f aca="false">HYPERLINK("https://www.ncbi.nlm.nih.gov/nuccore/CP000058.1?report=graph&amp;tracks=[key:gene_model_track,Options:GeneOnly]&amp;mk=3356841:3356860|offset_8|444444,3356868:3356887|offset_35|444444,3356888:3356907|offset_55|00cc00,3356922:3356941|offset_89|444444&amp;v=3356640:3357141&amp;c=444444", "offset 55")</f>
        <v>offset 55</v>
      </c>
    </row>
    <row r="10664" customFormat="false" ht="12.8" hidden="false" customHeight="false" outlineLevel="0" collapsed="false">
      <c r="A10664" s="0" t="s">
        <v>12</v>
      </c>
      <c r="B10664" s="0" t="n">
        <v>3356921</v>
      </c>
      <c r="C10664" s="0" t="n">
        <v>3356941</v>
      </c>
      <c r="D10664" s="0" t="s">
        <v>35392</v>
      </c>
      <c r="E10664" s="0" t="s">
        <v>75</v>
      </c>
      <c r="F10664" s="0" t="s">
        <v>15</v>
      </c>
      <c r="G10664" s="0" t="s">
        <v>16</v>
      </c>
      <c r="H10664" s="0" t="n">
        <v>89</v>
      </c>
      <c r="I10664" s="0" t="s">
        <v>35402</v>
      </c>
      <c r="J10664" s="0" t="s">
        <v>35403</v>
      </c>
      <c r="K10664" s="0" t="s">
        <v>35404</v>
      </c>
      <c r="L10664" s="0" t="str">
        <f aca="false">HYPERLINK("https://www.ncbi.nlm.nih.gov/nuccore/CP000058.1?report=graph&amp;tracks=[key:gene_model_track,Options:GeneOnly]&amp;mk=3356841:3356860|offset_8|444444,3356868:3356887|offset_35|444444,3356888:3356907|offset_55|444444,3356922:3356941|offset_89|00cc00&amp;v=3356640:3357141&amp;c=444444", "offset 89")</f>
        <v>offset 89</v>
      </c>
    </row>
    <row r="10665" customFormat="false" ht="12.8" hidden="false" customHeight="false" outlineLevel="0" collapsed="false">
      <c r="A10665" s="0" t="s">
        <v>12</v>
      </c>
      <c r="B10665" s="0" t="n">
        <v>3358067</v>
      </c>
      <c r="C10665" s="0" t="n">
        <v>3358087</v>
      </c>
      <c r="D10665" s="0" t="s">
        <v>35405</v>
      </c>
      <c r="E10665" s="0" t="s">
        <v>35406</v>
      </c>
      <c r="F10665" s="0" t="s">
        <v>15</v>
      </c>
      <c r="G10665" s="0" t="s">
        <v>20</v>
      </c>
      <c r="H10665" s="0" t="n">
        <v>22</v>
      </c>
      <c r="I10665" s="0" t="s">
        <v>35407</v>
      </c>
      <c r="J10665" s="0" t="s">
        <v>35408</v>
      </c>
      <c r="K10665" s="0" t="s">
        <v>35409</v>
      </c>
      <c r="L10665" s="0" t="str">
        <f aca="false">HYPERLINK("https://www.ncbi.nlm.nih.gov/nuccore/CP000058.1?report=graph&amp;tracks=[key:gene_model_track,Options:GeneOnly]&amp;mk=3358068:3358087|offset_22|00cc00,3358102:3358121|offset_56|444444,3358125:3358144|offset_79|444444,3358161:3358180|offset_115|444444&amp;v=3357867:3358380&amp;c=444444", "offset 22")</f>
        <v>offset 22</v>
      </c>
    </row>
    <row r="10666" customFormat="false" ht="12.8" hidden="false" customHeight="false" outlineLevel="0" collapsed="false">
      <c r="A10666" s="0" t="s">
        <v>12</v>
      </c>
      <c r="B10666" s="0" t="n">
        <v>3358101</v>
      </c>
      <c r="C10666" s="0" t="n">
        <v>3358121</v>
      </c>
      <c r="D10666" s="0" t="s">
        <v>35405</v>
      </c>
      <c r="E10666" s="0" t="s">
        <v>35406</v>
      </c>
      <c r="F10666" s="0" t="s">
        <v>15</v>
      </c>
      <c r="G10666" s="0" t="s">
        <v>20</v>
      </c>
      <c r="H10666" s="0" t="n">
        <v>56</v>
      </c>
      <c r="I10666" s="0" t="s">
        <v>35410</v>
      </c>
      <c r="J10666" s="0" t="s">
        <v>35411</v>
      </c>
      <c r="K10666" s="0" t="s">
        <v>35412</v>
      </c>
      <c r="L10666" s="0" t="str">
        <f aca="false">HYPERLINK("https://www.ncbi.nlm.nih.gov/nuccore/CP000058.1?report=graph&amp;tracks=[key:gene_model_track,Options:GeneOnly]&amp;mk=3358068:3358087|offset_22|444444,3358102:3358121|offset_56|00cc00,3358125:3358144|offset_79|444444,3358161:3358180|offset_115|444444&amp;v=3357867:3358380&amp;c=444444", "offset 56")</f>
        <v>offset 56</v>
      </c>
    </row>
    <row r="10667" customFormat="false" ht="12.8" hidden="false" customHeight="false" outlineLevel="0" collapsed="false">
      <c r="A10667" s="0" t="s">
        <v>12</v>
      </c>
      <c r="B10667" s="0" t="n">
        <v>3358124</v>
      </c>
      <c r="C10667" s="0" t="n">
        <v>3358144</v>
      </c>
      <c r="D10667" s="0" t="s">
        <v>35405</v>
      </c>
      <c r="E10667" s="0" t="s">
        <v>35406</v>
      </c>
      <c r="F10667" s="0" t="s">
        <v>15</v>
      </c>
      <c r="G10667" s="0" t="s">
        <v>36</v>
      </c>
      <c r="H10667" s="0" t="n">
        <v>79</v>
      </c>
      <c r="I10667" s="0" t="s">
        <v>35413</v>
      </c>
      <c r="J10667" s="0" t="s">
        <v>35414</v>
      </c>
      <c r="K10667" s="0" t="s">
        <v>35415</v>
      </c>
      <c r="L10667" s="0" t="str">
        <f aca="false">HYPERLINK("https://www.ncbi.nlm.nih.gov/nuccore/CP000058.1?report=graph&amp;tracks=[key:gene_model_track,Options:GeneOnly]&amp;mk=3358068:3358087|offset_22|444444,3358102:3358121|offset_56|444444,3358125:3358144|offset_79|00cc00,3358161:3358180|offset_115|444444&amp;v=3357867:3358380&amp;c=444444", "offset 79")</f>
        <v>offset 79</v>
      </c>
    </row>
    <row r="10668" customFormat="false" ht="12.8" hidden="false" customHeight="false" outlineLevel="0" collapsed="false">
      <c r="A10668" s="0" t="s">
        <v>12</v>
      </c>
      <c r="B10668" s="0" t="n">
        <v>3358160</v>
      </c>
      <c r="C10668" s="0" t="n">
        <v>3358180</v>
      </c>
      <c r="D10668" s="0" t="s">
        <v>35405</v>
      </c>
      <c r="E10668" s="0" t="s">
        <v>35406</v>
      </c>
      <c r="F10668" s="0" t="s">
        <v>15</v>
      </c>
      <c r="G10668" s="0" t="s">
        <v>16</v>
      </c>
      <c r="H10668" s="0" t="n">
        <v>115</v>
      </c>
      <c r="I10668" s="0" t="s">
        <v>35416</v>
      </c>
      <c r="J10668" s="0" t="s">
        <v>35417</v>
      </c>
      <c r="K10668" s="0" t="s">
        <v>35418</v>
      </c>
      <c r="L10668" s="0" t="str">
        <f aca="false">HYPERLINK("https://www.ncbi.nlm.nih.gov/nuccore/CP000058.1?report=graph&amp;tracks=[key:gene_model_track,Options:GeneOnly]&amp;mk=3358068:3358087|offset_22|444444,3358102:3358121|offset_56|444444,3358125:3358144|offset_79|444444,3358161:3358180|offset_115|00cc00&amp;v=3357867:3358380&amp;c=444444", "offset 115")</f>
        <v>offset 115</v>
      </c>
    </row>
    <row r="10669" customFormat="false" ht="12.8" hidden="false" customHeight="false" outlineLevel="0" collapsed="false">
      <c r="A10669" s="0" t="s">
        <v>12</v>
      </c>
      <c r="B10669" s="0" t="n">
        <v>3367590</v>
      </c>
      <c r="C10669" s="0" t="n">
        <v>3367610</v>
      </c>
      <c r="D10669" s="0" t="s">
        <v>35419</v>
      </c>
      <c r="E10669" s="0" t="s">
        <v>35420</v>
      </c>
      <c r="F10669" s="0" t="s">
        <v>15</v>
      </c>
      <c r="G10669" s="0" t="s">
        <v>32</v>
      </c>
      <c r="H10669" s="0" t="n">
        <v>6</v>
      </c>
      <c r="I10669" s="0" t="s">
        <v>35421</v>
      </c>
      <c r="J10669" s="0" t="s">
        <v>35422</v>
      </c>
      <c r="K10669" s="0" t="s">
        <v>35423</v>
      </c>
      <c r="L10669" s="0" t="str">
        <f aca="false">HYPERLINK("https://www.ncbi.nlm.nih.gov/nuccore/CP000058.1?report=graph&amp;tracks=[key:gene_model_track,Options:GeneOnly]&amp;mk=3367591:3367610|offset_6|00cc00,3367616:3367635|offset_31|444444,3367650:3367669|offset_65|444444,3367676:3367695|offset_91|444444&amp;v=3367390:3367895&amp;c=444444", "offset 6")</f>
        <v>offset 6</v>
      </c>
    </row>
    <row r="10670" customFormat="false" ht="12.8" hidden="false" customHeight="false" outlineLevel="0" collapsed="false">
      <c r="A10670" s="0" t="s">
        <v>12</v>
      </c>
      <c r="B10670" s="0" t="n">
        <v>3367615</v>
      </c>
      <c r="C10670" s="0" t="n">
        <v>3367635</v>
      </c>
      <c r="D10670" s="0" t="s">
        <v>35419</v>
      </c>
      <c r="E10670" s="0" t="s">
        <v>35420</v>
      </c>
      <c r="F10670" s="0" t="s">
        <v>15</v>
      </c>
      <c r="G10670" s="0" t="s">
        <v>32</v>
      </c>
      <c r="H10670" s="0" t="n">
        <v>31</v>
      </c>
      <c r="I10670" s="0" t="s">
        <v>35424</v>
      </c>
      <c r="J10670" s="0" t="s">
        <v>35425</v>
      </c>
      <c r="K10670" s="0" t="s">
        <v>35426</v>
      </c>
      <c r="L10670" s="0" t="str">
        <f aca="false">HYPERLINK("https://www.ncbi.nlm.nih.gov/nuccore/CP000058.1?report=graph&amp;tracks=[key:gene_model_track,Options:GeneOnly]&amp;mk=3367591:3367610|offset_6|444444,3367616:3367635|offset_31|00cc00,3367650:3367669|offset_65|444444,3367676:3367695|offset_91|444444&amp;v=3367390:3367895&amp;c=444444", "offset 31")</f>
        <v>offset 31</v>
      </c>
    </row>
    <row r="10671" customFormat="false" ht="12.8" hidden="false" customHeight="false" outlineLevel="0" collapsed="false">
      <c r="A10671" s="0" t="s">
        <v>12</v>
      </c>
      <c r="B10671" s="0" t="n">
        <v>3367649</v>
      </c>
      <c r="C10671" s="0" t="n">
        <v>3367669</v>
      </c>
      <c r="D10671" s="0" t="s">
        <v>35419</v>
      </c>
      <c r="E10671" s="0" t="s">
        <v>35420</v>
      </c>
      <c r="F10671" s="0" t="s">
        <v>15</v>
      </c>
      <c r="G10671" s="0" t="s">
        <v>20</v>
      </c>
      <c r="H10671" s="0" t="n">
        <v>65</v>
      </c>
      <c r="I10671" s="0" t="s">
        <v>35427</v>
      </c>
      <c r="J10671" s="0" t="s">
        <v>35428</v>
      </c>
      <c r="K10671" s="0" t="s">
        <v>35429</v>
      </c>
      <c r="L10671" s="0" t="str">
        <f aca="false">HYPERLINK("https://www.ncbi.nlm.nih.gov/nuccore/CP000058.1?report=graph&amp;tracks=[key:gene_model_track,Options:GeneOnly]&amp;mk=3367591:3367610|offset_6|444444,3367616:3367635|offset_31|444444,3367650:3367669|offset_65|00cc00,3367676:3367695|offset_91|444444&amp;v=3367390:3367895&amp;c=444444", "offset 65")</f>
        <v>offset 65</v>
      </c>
    </row>
    <row r="10672" customFormat="false" ht="12.8" hidden="false" customHeight="false" outlineLevel="0" collapsed="false">
      <c r="A10672" s="0" t="s">
        <v>12</v>
      </c>
      <c r="B10672" s="0" t="n">
        <v>3367675</v>
      </c>
      <c r="C10672" s="0" t="n">
        <v>3367695</v>
      </c>
      <c r="D10672" s="0" t="s">
        <v>35419</v>
      </c>
      <c r="E10672" s="0" t="s">
        <v>35420</v>
      </c>
      <c r="F10672" s="0" t="s">
        <v>15</v>
      </c>
      <c r="G10672" s="0" t="s">
        <v>16</v>
      </c>
      <c r="H10672" s="0" t="n">
        <v>91</v>
      </c>
      <c r="I10672" s="0" t="s">
        <v>35430</v>
      </c>
      <c r="J10672" s="0" t="s">
        <v>35431</v>
      </c>
      <c r="K10672" s="0" t="s">
        <v>35432</v>
      </c>
      <c r="L10672" s="0" t="str">
        <f aca="false">HYPERLINK("https://www.ncbi.nlm.nih.gov/nuccore/CP000058.1?report=graph&amp;tracks=[key:gene_model_track,Options:GeneOnly]&amp;mk=3367591:3367610|offset_6|444444,3367616:3367635|offset_31|444444,3367650:3367669|offset_65|444444,3367676:3367695|offset_91|00cc00&amp;v=3367390:3367895&amp;c=444444", "offset 91")</f>
        <v>offset 91</v>
      </c>
    </row>
    <row r="10673" customFormat="false" ht="12.8" hidden="false" customHeight="false" outlineLevel="0" collapsed="false">
      <c r="A10673" s="0" t="s">
        <v>12</v>
      </c>
      <c r="B10673" s="0" t="n">
        <v>3368682</v>
      </c>
      <c r="C10673" s="0" t="n">
        <v>3368702</v>
      </c>
      <c r="D10673" s="0" t="s">
        <v>35433</v>
      </c>
      <c r="E10673" s="0" t="s">
        <v>35434</v>
      </c>
      <c r="F10673" s="0" t="s">
        <v>15</v>
      </c>
      <c r="G10673" s="0" t="s">
        <v>36</v>
      </c>
      <c r="H10673" s="0" t="n">
        <v>17</v>
      </c>
      <c r="I10673" s="0" t="s">
        <v>35435</v>
      </c>
      <c r="J10673" s="0" t="s">
        <v>35436</v>
      </c>
      <c r="K10673" s="0" t="s">
        <v>35437</v>
      </c>
      <c r="L10673" s="0" t="str">
        <f aca="false">HYPERLINK("https://www.ncbi.nlm.nih.gov/nuccore/CP000058.1?report=graph&amp;tracks=[key:gene_model_track,Options:GeneOnly]&amp;mk=3368683:3368702|offset_17|00cc00,3368707:3368726|offset_41|444444,3368728:3368747|offset_62|444444,3368812:3368831|offset_146|444444&amp;v=3368482:3369031&amp;c=444444", "offset 17")</f>
        <v>offset 17</v>
      </c>
    </row>
    <row r="10674" customFormat="false" ht="12.8" hidden="false" customHeight="false" outlineLevel="0" collapsed="false">
      <c r="A10674" s="0" t="s">
        <v>12</v>
      </c>
      <c r="B10674" s="0" t="n">
        <v>3368706</v>
      </c>
      <c r="C10674" s="0" t="n">
        <v>3368726</v>
      </c>
      <c r="D10674" s="0" t="s">
        <v>35433</v>
      </c>
      <c r="E10674" s="0" t="s">
        <v>35434</v>
      </c>
      <c r="F10674" s="0" t="s">
        <v>15</v>
      </c>
      <c r="G10674" s="0" t="s">
        <v>32</v>
      </c>
      <c r="H10674" s="0" t="n">
        <v>41</v>
      </c>
      <c r="I10674" s="0" t="s">
        <v>35438</v>
      </c>
      <c r="J10674" s="0" t="s">
        <v>35439</v>
      </c>
      <c r="K10674" s="0" t="s">
        <v>35440</v>
      </c>
      <c r="L10674" s="0" t="str">
        <f aca="false">HYPERLINK("https://www.ncbi.nlm.nih.gov/nuccore/CP000058.1?report=graph&amp;tracks=[key:gene_model_track,Options:GeneOnly]&amp;mk=3368683:3368702|offset_17|444444,3368707:3368726|offset_41|00cc00,3368728:3368747|offset_62|444444,3368812:3368831|offset_146|444444&amp;v=3368482:3369031&amp;c=444444", "offset 41")</f>
        <v>offset 41</v>
      </c>
    </row>
    <row r="10675" customFormat="false" ht="12.8" hidden="false" customHeight="false" outlineLevel="0" collapsed="false">
      <c r="A10675" s="0" t="s">
        <v>12</v>
      </c>
      <c r="B10675" s="0" t="n">
        <v>3368727</v>
      </c>
      <c r="C10675" s="0" t="n">
        <v>3368747</v>
      </c>
      <c r="D10675" s="0" t="s">
        <v>35433</v>
      </c>
      <c r="E10675" s="0" t="s">
        <v>35434</v>
      </c>
      <c r="F10675" s="0" t="s">
        <v>15</v>
      </c>
      <c r="G10675" s="0" t="s">
        <v>36</v>
      </c>
      <c r="H10675" s="0" t="n">
        <v>62</v>
      </c>
      <c r="I10675" s="0" t="s">
        <v>35441</v>
      </c>
      <c r="J10675" s="0" t="s">
        <v>35442</v>
      </c>
      <c r="K10675" s="0" t="s">
        <v>35443</v>
      </c>
      <c r="L10675" s="0" t="str">
        <f aca="false">HYPERLINK("https://www.ncbi.nlm.nih.gov/nuccore/CP000058.1?report=graph&amp;tracks=[key:gene_model_track,Options:GeneOnly]&amp;mk=3368683:3368702|offset_17|444444,3368707:3368726|offset_41|444444,3368728:3368747|offset_62|00cc00,3368812:3368831|offset_146|444444&amp;v=3368482:3369031&amp;c=444444", "offset 62")</f>
        <v>offset 62</v>
      </c>
    </row>
    <row r="10676" customFormat="false" ht="12.8" hidden="false" customHeight="false" outlineLevel="0" collapsed="false">
      <c r="A10676" s="0" t="s">
        <v>12</v>
      </c>
      <c r="B10676" s="0" t="n">
        <v>3368811</v>
      </c>
      <c r="C10676" s="0" t="n">
        <v>3368831</v>
      </c>
      <c r="D10676" s="0" t="s">
        <v>35433</v>
      </c>
      <c r="E10676" s="0" t="s">
        <v>35434</v>
      </c>
      <c r="F10676" s="0" t="s">
        <v>15</v>
      </c>
      <c r="G10676" s="0" t="s">
        <v>36</v>
      </c>
      <c r="H10676" s="0" t="n">
        <v>146</v>
      </c>
      <c r="I10676" s="0" t="s">
        <v>35444</v>
      </c>
      <c r="J10676" s="0" t="s">
        <v>35445</v>
      </c>
      <c r="K10676" s="0" t="s">
        <v>35446</v>
      </c>
      <c r="L10676" s="0" t="str">
        <f aca="false">HYPERLINK("https://www.ncbi.nlm.nih.gov/nuccore/CP000058.1?report=graph&amp;tracks=[key:gene_model_track,Options:GeneOnly]&amp;mk=3368683:3368702|offset_17|444444,3368707:3368726|offset_41|444444,3368728:3368747|offset_62|444444,3368812:3368831|offset_146|00cc00&amp;v=3368482:3369031&amp;c=444444", "offset 146")</f>
        <v>offset 146</v>
      </c>
    </row>
    <row r="10677" customFormat="false" ht="12.8" hidden="false" customHeight="false" outlineLevel="0" collapsed="false">
      <c r="A10677" s="0" t="s">
        <v>12</v>
      </c>
      <c r="B10677" s="0" t="n">
        <v>3369443</v>
      </c>
      <c r="C10677" s="0" t="n">
        <v>3369463</v>
      </c>
      <c r="D10677" s="0" t="s">
        <v>35447</v>
      </c>
      <c r="E10677" s="0" t="s">
        <v>35448</v>
      </c>
      <c r="F10677" s="0" t="s">
        <v>15</v>
      </c>
      <c r="G10677" s="0" t="s">
        <v>32</v>
      </c>
      <c r="H10677" s="0" t="n">
        <v>1</v>
      </c>
      <c r="I10677" s="0" t="s">
        <v>35449</v>
      </c>
      <c r="J10677" s="0" t="s">
        <v>35450</v>
      </c>
      <c r="K10677" s="0" t="s">
        <v>35451</v>
      </c>
      <c r="L10677" s="0" t="str">
        <f aca="false">HYPERLINK("https://www.ncbi.nlm.nih.gov/nuccore/CP000058.1?report=graph&amp;tracks=[key:gene_model_track,Options:GeneOnly]&amp;mk=3369444:3369463|offset_1|00cc00,3369472:3369491|offset_29|444444,3369493:3369512|offset_50|444444,3369529:3369548|offset_86|444444&amp;v=3369243:3369748&amp;c=444444", "offset 1")</f>
        <v>offset 1</v>
      </c>
    </row>
    <row r="10678" customFormat="false" ht="12.8" hidden="false" customHeight="false" outlineLevel="0" collapsed="false">
      <c r="A10678" s="0" t="s">
        <v>12</v>
      </c>
      <c r="B10678" s="0" t="n">
        <v>3369471</v>
      </c>
      <c r="C10678" s="0" t="n">
        <v>3369491</v>
      </c>
      <c r="D10678" s="0" t="s">
        <v>35447</v>
      </c>
      <c r="E10678" s="0" t="s">
        <v>35448</v>
      </c>
      <c r="F10678" s="0" t="s">
        <v>15</v>
      </c>
      <c r="G10678" s="0" t="s">
        <v>36</v>
      </c>
      <c r="H10678" s="0" t="n">
        <v>29</v>
      </c>
      <c r="I10678" s="0" t="s">
        <v>35452</v>
      </c>
      <c r="J10678" s="0" t="s">
        <v>35453</v>
      </c>
      <c r="K10678" s="0" t="s">
        <v>35454</v>
      </c>
      <c r="L10678" s="0" t="str">
        <f aca="false">HYPERLINK("https://www.ncbi.nlm.nih.gov/nuccore/CP000058.1?report=graph&amp;tracks=[key:gene_model_track,Options:GeneOnly]&amp;mk=3369444:3369463|offset_1|444444,3369472:3369491|offset_29|00cc00,3369493:3369512|offset_50|444444,3369529:3369548|offset_86|444444&amp;v=3369243:3369748&amp;c=444444", "offset 29")</f>
        <v>offset 29</v>
      </c>
    </row>
    <row r="10679" customFormat="false" ht="12.8" hidden="false" customHeight="false" outlineLevel="0" collapsed="false">
      <c r="A10679" s="0" t="s">
        <v>12</v>
      </c>
      <c r="B10679" s="0" t="n">
        <v>3369492</v>
      </c>
      <c r="C10679" s="0" t="n">
        <v>3369512</v>
      </c>
      <c r="D10679" s="0" t="s">
        <v>35447</v>
      </c>
      <c r="E10679" s="0" t="s">
        <v>35448</v>
      </c>
      <c r="F10679" s="0" t="s">
        <v>15</v>
      </c>
      <c r="G10679" s="0" t="s">
        <v>32</v>
      </c>
      <c r="H10679" s="0" t="n">
        <v>50</v>
      </c>
      <c r="I10679" s="0" t="s">
        <v>35455</v>
      </c>
      <c r="J10679" s="0" t="s">
        <v>35456</v>
      </c>
      <c r="K10679" s="0" t="s">
        <v>35457</v>
      </c>
      <c r="L10679" s="0" t="str">
        <f aca="false">HYPERLINK("https://www.ncbi.nlm.nih.gov/nuccore/CP000058.1?report=graph&amp;tracks=[key:gene_model_track,Options:GeneOnly]&amp;mk=3369444:3369463|offset_1|444444,3369472:3369491|offset_29|444444,3369493:3369512|offset_50|00cc00,3369529:3369548|offset_86|444444&amp;v=3369243:3369748&amp;c=444444", "offset 50")</f>
        <v>offset 50</v>
      </c>
    </row>
    <row r="10680" customFormat="false" ht="12.8" hidden="false" customHeight="false" outlineLevel="0" collapsed="false">
      <c r="A10680" s="0" t="s">
        <v>12</v>
      </c>
      <c r="B10680" s="0" t="n">
        <v>3369528</v>
      </c>
      <c r="C10680" s="0" t="n">
        <v>3369548</v>
      </c>
      <c r="D10680" s="0" t="s">
        <v>35447</v>
      </c>
      <c r="E10680" s="0" t="s">
        <v>35448</v>
      </c>
      <c r="F10680" s="0" t="s">
        <v>15</v>
      </c>
      <c r="G10680" s="0" t="s">
        <v>32</v>
      </c>
      <c r="H10680" s="0" t="n">
        <v>86</v>
      </c>
      <c r="I10680" s="0" t="s">
        <v>35458</v>
      </c>
      <c r="J10680" s="0" t="s">
        <v>35459</v>
      </c>
      <c r="K10680" s="0" t="s">
        <v>35460</v>
      </c>
      <c r="L10680" s="0" t="str">
        <f aca="false">HYPERLINK("https://www.ncbi.nlm.nih.gov/nuccore/CP000058.1?report=graph&amp;tracks=[key:gene_model_track,Options:GeneOnly]&amp;mk=3369444:3369463|offset_1|444444,3369472:3369491|offset_29|444444,3369493:3369512|offset_50|444444,3369529:3369548|offset_86|00cc00&amp;v=3369243:3369748&amp;c=444444", "offset 86")</f>
        <v>offset 86</v>
      </c>
    </row>
    <row r="10681" customFormat="false" ht="12.8" hidden="false" customHeight="false" outlineLevel="0" collapsed="false">
      <c r="A10681" s="0" t="s">
        <v>12</v>
      </c>
      <c r="B10681" s="0" t="n">
        <v>3371026</v>
      </c>
      <c r="C10681" s="0" t="n">
        <v>3371046</v>
      </c>
      <c r="D10681" s="0" t="s">
        <v>35461</v>
      </c>
      <c r="E10681" s="0" t="s">
        <v>35462</v>
      </c>
      <c r="F10681" s="0" t="s">
        <v>15</v>
      </c>
      <c r="G10681" s="0" t="s">
        <v>36</v>
      </c>
      <c r="H10681" s="0" t="n">
        <v>0</v>
      </c>
      <c r="I10681" s="0" t="s">
        <v>35463</v>
      </c>
      <c r="J10681" s="0" t="s">
        <v>35464</v>
      </c>
      <c r="K10681" s="0" t="s">
        <v>35465</v>
      </c>
      <c r="L10681" s="0" t="str">
        <f aca="false">HYPERLINK("https://www.ncbi.nlm.nih.gov/nuccore/CP000058.1?report=graph&amp;tracks=[key:gene_model_track,Options:GeneOnly]&amp;mk=3371027:3371046|offset_0|00cc00,3371051:3371070|offset_24|444444,3371080:3371099|offset_53|444444,3371101:3371120|offset_74|444444&amp;v=3370826:3371320&amp;c=444444", "offset 0")</f>
        <v>offset 0</v>
      </c>
    </row>
    <row r="10682" customFormat="false" ht="12.8" hidden="false" customHeight="false" outlineLevel="0" collapsed="false">
      <c r="A10682" s="0" t="s">
        <v>12</v>
      </c>
      <c r="B10682" s="0" t="n">
        <v>3371050</v>
      </c>
      <c r="C10682" s="0" t="n">
        <v>3371070</v>
      </c>
      <c r="D10682" s="0" t="s">
        <v>35461</v>
      </c>
      <c r="E10682" s="0" t="s">
        <v>35462</v>
      </c>
      <c r="F10682" s="0" t="s">
        <v>15</v>
      </c>
      <c r="G10682" s="0" t="s">
        <v>20</v>
      </c>
      <c r="H10682" s="0" t="n">
        <v>24</v>
      </c>
      <c r="I10682" s="0" t="s">
        <v>35466</v>
      </c>
      <c r="J10682" s="0" t="s">
        <v>35467</v>
      </c>
      <c r="K10682" s="0" t="s">
        <v>35468</v>
      </c>
      <c r="L10682" s="0" t="str">
        <f aca="false">HYPERLINK("https://www.ncbi.nlm.nih.gov/nuccore/CP000058.1?report=graph&amp;tracks=[key:gene_model_track,Options:GeneOnly]&amp;mk=3371027:3371046|offset_0|444444,3371051:3371070|offset_24|00cc00,3371080:3371099|offset_53|444444,3371101:3371120|offset_74|444444&amp;v=3370826:3371320&amp;c=444444", "offset 24")</f>
        <v>offset 24</v>
      </c>
    </row>
    <row r="10683" customFormat="false" ht="12.8" hidden="false" customHeight="false" outlineLevel="0" collapsed="false">
      <c r="A10683" s="0" t="s">
        <v>12</v>
      </c>
      <c r="B10683" s="0" t="n">
        <v>3371079</v>
      </c>
      <c r="C10683" s="0" t="n">
        <v>3371099</v>
      </c>
      <c r="D10683" s="0" t="s">
        <v>35461</v>
      </c>
      <c r="E10683" s="0" t="s">
        <v>35462</v>
      </c>
      <c r="F10683" s="0" t="s">
        <v>15</v>
      </c>
      <c r="G10683" s="0" t="s">
        <v>32</v>
      </c>
      <c r="H10683" s="0" t="n">
        <v>53</v>
      </c>
      <c r="I10683" s="0" t="s">
        <v>35469</v>
      </c>
      <c r="J10683" s="0" t="s">
        <v>35470</v>
      </c>
      <c r="K10683" s="0" t="s">
        <v>35471</v>
      </c>
      <c r="L10683" s="0" t="str">
        <f aca="false">HYPERLINK("https://www.ncbi.nlm.nih.gov/nuccore/CP000058.1?report=graph&amp;tracks=[key:gene_model_track,Options:GeneOnly]&amp;mk=3371027:3371046|offset_0|444444,3371051:3371070|offset_24|444444,3371080:3371099|offset_53|00cc00,3371101:3371120|offset_74|444444&amp;v=3370826:3371320&amp;c=444444", "offset 53")</f>
        <v>offset 53</v>
      </c>
    </row>
    <row r="10684" customFormat="false" ht="12.8" hidden="false" customHeight="false" outlineLevel="0" collapsed="false">
      <c r="A10684" s="0" t="s">
        <v>12</v>
      </c>
      <c r="B10684" s="0" t="n">
        <v>3371100</v>
      </c>
      <c r="C10684" s="0" t="n">
        <v>3371120</v>
      </c>
      <c r="D10684" s="0" t="s">
        <v>35461</v>
      </c>
      <c r="E10684" s="0" t="s">
        <v>35462</v>
      </c>
      <c r="F10684" s="0" t="s">
        <v>15</v>
      </c>
      <c r="G10684" s="0" t="s">
        <v>16</v>
      </c>
      <c r="H10684" s="0" t="n">
        <v>74</v>
      </c>
      <c r="I10684" s="0" t="s">
        <v>35472</v>
      </c>
      <c r="J10684" s="0" t="s">
        <v>35473</v>
      </c>
      <c r="K10684" s="0" t="s">
        <v>35474</v>
      </c>
      <c r="L10684" s="0" t="str">
        <f aca="false">HYPERLINK("https://www.ncbi.nlm.nih.gov/nuccore/CP000058.1?report=graph&amp;tracks=[key:gene_model_track,Options:GeneOnly]&amp;mk=3371027:3371046|offset_0|444444,3371051:3371070|offset_24|444444,3371080:3371099|offset_53|444444,3371101:3371120|offset_74|00cc00&amp;v=3370826:3371320&amp;c=444444", "offset 74")</f>
        <v>offset 74</v>
      </c>
    </row>
    <row r="10685" customFormat="false" ht="12.8" hidden="false" customHeight="false" outlineLevel="0" collapsed="false">
      <c r="A10685" s="0" t="s">
        <v>12</v>
      </c>
      <c r="B10685" s="0" t="n">
        <v>3371351</v>
      </c>
      <c r="C10685" s="0" t="n">
        <v>3371371</v>
      </c>
      <c r="D10685" s="0" t="s">
        <v>35475</v>
      </c>
      <c r="E10685" s="0" t="s">
        <v>35476</v>
      </c>
      <c r="F10685" s="0" t="s">
        <v>15</v>
      </c>
      <c r="G10685" s="0" t="s">
        <v>16</v>
      </c>
      <c r="H10685" s="0" t="n">
        <v>8</v>
      </c>
      <c r="I10685" s="0" t="s">
        <v>35477</v>
      </c>
      <c r="J10685" s="0" t="s">
        <v>35478</v>
      </c>
      <c r="K10685" s="0" t="s">
        <v>35479</v>
      </c>
      <c r="L10685" s="0" t="str">
        <f aca="false">HYPERLINK("https://www.ncbi.nlm.nih.gov/nuccore/CP000058.1?report=graph&amp;tracks=[key:gene_model_track,Options:GeneOnly]&amp;mk=3371352:3371371|offset_8|00cc00,3371385:3371404|offset_41|444444,3371418:3371437|offset_74|444444,3371444:3371463|offset_100|444444&amp;v=3371151:3371663&amp;c=444444", "offset 8")</f>
        <v>offset 8</v>
      </c>
    </row>
    <row r="10686" customFormat="false" ht="12.8" hidden="false" customHeight="false" outlineLevel="0" collapsed="false">
      <c r="A10686" s="0" t="s">
        <v>12</v>
      </c>
      <c r="B10686" s="0" t="n">
        <v>3371384</v>
      </c>
      <c r="C10686" s="0" t="n">
        <v>3371404</v>
      </c>
      <c r="D10686" s="0" t="s">
        <v>35475</v>
      </c>
      <c r="E10686" s="0" t="s">
        <v>35476</v>
      </c>
      <c r="F10686" s="0" t="s">
        <v>15</v>
      </c>
      <c r="G10686" s="0" t="s">
        <v>20</v>
      </c>
      <c r="H10686" s="0" t="n">
        <v>41</v>
      </c>
      <c r="I10686" s="0" t="s">
        <v>35480</v>
      </c>
      <c r="J10686" s="0" t="s">
        <v>35481</v>
      </c>
      <c r="K10686" s="0" t="s">
        <v>35482</v>
      </c>
      <c r="L10686" s="0" t="str">
        <f aca="false">HYPERLINK("https://www.ncbi.nlm.nih.gov/nuccore/CP000058.1?report=graph&amp;tracks=[key:gene_model_track,Options:GeneOnly]&amp;mk=3371352:3371371|offset_8|444444,3371385:3371404|offset_41|00cc00,3371418:3371437|offset_74|444444,3371444:3371463|offset_100|444444&amp;v=3371151:3371663&amp;c=444444", "offset 41")</f>
        <v>offset 41</v>
      </c>
    </row>
    <row r="10687" customFormat="false" ht="12.8" hidden="false" customHeight="false" outlineLevel="0" collapsed="false">
      <c r="A10687" s="0" t="s">
        <v>12</v>
      </c>
      <c r="B10687" s="0" t="n">
        <v>3371417</v>
      </c>
      <c r="C10687" s="0" t="n">
        <v>3371437</v>
      </c>
      <c r="D10687" s="0" t="s">
        <v>35475</v>
      </c>
      <c r="E10687" s="0" t="s">
        <v>35476</v>
      </c>
      <c r="F10687" s="0" t="s">
        <v>15</v>
      </c>
      <c r="G10687" s="0" t="s">
        <v>32</v>
      </c>
      <c r="H10687" s="0" t="n">
        <v>74</v>
      </c>
      <c r="I10687" s="0" t="s">
        <v>35483</v>
      </c>
      <c r="J10687" s="0" t="s">
        <v>35484</v>
      </c>
      <c r="K10687" s="0" t="s">
        <v>35485</v>
      </c>
      <c r="L10687" s="0" t="str">
        <f aca="false">HYPERLINK("https://www.ncbi.nlm.nih.gov/nuccore/CP000058.1?report=graph&amp;tracks=[key:gene_model_track,Options:GeneOnly]&amp;mk=3371352:3371371|offset_8|444444,3371385:3371404|offset_41|444444,3371418:3371437|offset_74|00cc00,3371444:3371463|offset_100|444444&amp;v=3371151:3371663&amp;c=444444", "offset 74")</f>
        <v>offset 74</v>
      </c>
    </row>
    <row r="10688" customFormat="false" ht="12.8" hidden="false" customHeight="false" outlineLevel="0" collapsed="false">
      <c r="A10688" s="0" t="s">
        <v>12</v>
      </c>
      <c r="B10688" s="0" t="n">
        <v>3371443</v>
      </c>
      <c r="C10688" s="0" t="n">
        <v>3371463</v>
      </c>
      <c r="D10688" s="0" t="s">
        <v>35475</v>
      </c>
      <c r="E10688" s="0" t="s">
        <v>35476</v>
      </c>
      <c r="F10688" s="0" t="s">
        <v>15</v>
      </c>
      <c r="G10688" s="0" t="s">
        <v>32</v>
      </c>
      <c r="H10688" s="0" t="n">
        <v>100</v>
      </c>
      <c r="I10688" s="0" t="s">
        <v>35486</v>
      </c>
      <c r="J10688" s="0" t="s">
        <v>35487</v>
      </c>
      <c r="K10688" s="0" t="s">
        <v>35488</v>
      </c>
      <c r="L10688" s="0" t="str">
        <f aca="false">HYPERLINK("https://www.ncbi.nlm.nih.gov/nuccore/CP000058.1?report=graph&amp;tracks=[key:gene_model_track,Options:GeneOnly]&amp;mk=3371352:3371371|offset_8|444444,3371385:3371404|offset_41|444444,3371418:3371437|offset_74|444444,3371444:3371463|offset_100|00cc00&amp;v=3371151:3371663&amp;c=444444", "offset 100")</f>
        <v>offset 100</v>
      </c>
    </row>
    <row r="10689" customFormat="false" ht="12.8" hidden="false" customHeight="false" outlineLevel="0" collapsed="false">
      <c r="A10689" s="0" t="s">
        <v>12</v>
      </c>
      <c r="B10689" s="0" t="n">
        <v>3373336</v>
      </c>
      <c r="C10689" s="0" t="n">
        <v>3373356</v>
      </c>
      <c r="D10689" s="0" t="s">
        <v>35489</v>
      </c>
      <c r="E10689" s="0" t="s">
        <v>75</v>
      </c>
      <c r="F10689" s="0" t="s">
        <v>90</v>
      </c>
      <c r="G10689" s="0" t="s">
        <v>36</v>
      </c>
      <c r="H10689" s="0" t="n">
        <v>14</v>
      </c>
      <c r="I10689" s="0" t="s">
        <v>35490</v>
      </c>
      <c r="J10689" s="0" t="s">
        <v>35491</v>
      </c>
      <c r="K10689" s="0" t="s">
        <v>35492</v>
      </c>
      <c r="L10689" s="0" t="str">
        <f aca="false">HYPERLINK("https://www.ncbi.nlm.nih.gov/nuccore/CP000058.1?report=graph&amp;tracks=[key:gene_model_track,Options:GeneOnly]&amp;mk=3373337:3373356|offset_14|00cc00,3373296:3373315|offset_55|444444,3373274:3373293|offset_77|444444,3373211:3373230|offset_140|444444&amp;v=3373136:3373430&amp;c=444444", "offset 14")</f>
        <v>offset 14</v>
      </c>
    </row>
    <row r="10690" customFormat="false" ht="12.8" hidden="false" customHeight="false" outlineLevel="0" collapsed="false">
      <c r="A10690" s="0" t="s">
        <v>12</v>
      </c>
      <c r="B10690" s="0" t="n">
        <v>3373295</v>
      </c>
      <c r="C10690" s="0" t="n">
        <v>3373315</v>
      </c>
      <c r="D10690" s="0" t="s">
        <v>35489</v>
      </c>
      <c r="E10690" s="0" t="s">
        <v>75</v>
      </c>
      <c r="F10690" s="0" t="s">
        <v>90</v>
      </c>
      <c r="G10690" s="0" t="s">
        <v>36</v>
      </c>
      <c r="H10690" s="0" t="n">
        <v>55</v>
      </c>
      <c r="I10690" s="0" t="s">
        <v>35493</v>
      </c>
      <c r="J10690" s="0" t="s">
        <v>35494</v>
      </c>
      <c r="K10690" s="0" t="s">
        <v>35495</v>
      </c>
      <c r="L10690" s="0" t="str">
        <f aca="false">HYPERLINK("https://www.ncbi.nlm.nih.gov/nuccore/CP000058.1?report=graph&amp;tracks=[key:gene_model_track,Options:GeneOnly]&amp;mk=3373337:3373356|offset_14|444444,3373296:3373315|offset_55|00cc00,3373274:3373293|offset_77|444444,3373211:3373230|offset_140|444444&amp;v=3373136:3373430&amp;c=444444", "offset 55")</f>
        <v>offset 55</v>
      </c>
    </row>
    <row r="10691" customFormat="false" ht="12.8" hidden="false" customHeight="false" outlineLevel="0" collapsed="false">
      <c r="A10691" s="0" t="s">
        <v>12</v>
      </c>
      <c r="B10691" s="0" t="n">
        <v>3373273</v>
      </c>
      <c r="C10691" s="0" t="n">
        <v>3373293</v>
      </c>
      <c r="D10691" s="0" t="s">
        <v>35489</v>
      </c>
      <c r="E10691" s="0" t="s">
        <v>75</v>
      </c>
      <c r="F10691" s="0" t="s">
        <v>90</v>
      </c>
      <c r="G10691" s="0" t="s">
        <v>32</v>
      </c>
      <c r="H10691" s="0" t="n">
        <v>77</v>
      </c>
      <c r="I10691" s="0" t="s">
        <v>35496</v>
      </c>
      <c r="J10691" s="0" t="s">
        <v>35497</v>
      </c>
      <c r="K10691" s="0" t="s">
        <v>35498</v>
      </c>
      <c r="L10691" s="0" t="str">
        <f aca="false">HYPERLINK("https://www.ncbi.nlm.nih.gov/nuccore/CP000058.1?report=graph&amp;tracks=[key:gene_model_track,Options:GeneOnly]&amp;mk=3373337:3373356|offset_14|444444,3373296:3373315|offset_55|444444,3373274:3373293|offset_77|00cc00,3373211:3373230|offset_140|444444&amp;v=3373136:3373430&amp;c=444444", "offset 77")</f>
        <v>offset 77</v>
      </c>
    </row>
    <row r="10692" customFormat="false" ht="12.8" hidden="false" customHeight="false" outlineLevel="0" collapsed="false">
      <c r="A10692" s="0" t="s">
        <v>12</v>
      </c>
      <c r="B10692" s="0" t="n">
        <v>3373210</v>
      </c>
      <c r="C10692" s="0" t="n">
        <v>3373230</v>
      </c>
      <c r="D10692" s="0" t="s">
        <v>35489</v>
      </c>
      <c r="E10692" s="0" t="s">
        <v>75</v>
      </c>
      <c r="F10692" s="0" t="s">
        <v>90</v>
      </c>
      <c r="G10692" s="0" t="s">
        <v>16</v>
      </c>
      <c r="H10692" s="0" t="n">
        <v>140</v>
      </c>
      <c r="I10692" s="0" t="s">
        <v>35499</v>
      </c>
      <c r="J10692" s="0" t="s">
        <v>35500</v>
      </c>
      <c r="K10692" s="0" t="s">
        <v>35501</v>
      </c>
      <c r="L10692" s="0" t="str">
        <f aca="false">HYPERLINK("https://www.ncbi.nlm.nih.gov/nuccore/CP000058.1?report=graph&amp;tracks=[key:gene_model_track,Options:GeneOnly]&amp;mk=3373337:3373356|offset_14|444444,3373296:3373315|offset_55|444444,3373274:3373293|offset_77|444444,3373211:3373230|offset_140|00cc00&amp;v=3373136:3373430&amp;c=444444", "offset 140")</f>
        <v>offset 140</v>
      </c>
    </row>
    <row r="10693" customFormat="false" ht="12.8" hidden="false" customHeight="false" outlineLevel="0" collapsed="false">
      <c r="A10693" s="0" t="s">
        <v>12</v>
      </c>
      <c r="B10693" s="0" t="n">
        <v>3373568</v>
      </c>
      <c r="C10693" s="0" t="n">
        <v>3373588</v>
      </c>
      <c r="D10693" s="0" t="s">
        <v>35502</v>
      </c>
      <c r="E10693" s="0" t="s">
        <v>75</v>
      </c>
      <c r="F10693" s="0" t="s">
        <v>15</v>
      </c>
      <c r="G10693" s="0" t="s">
        <v>20</v>
      </c>
      <c r="H10693" s="0" t="n">
        <v>33</v>
      </c>
      <c r="I10693" s="0" t="s">
        <v>35503</v>
      </c>
      <c r="J10693" s="0" t="s">
        <v>35504</v>
      </c>
      <c r="K10693" s="0" t="s">
        <v>35505</v>
      </c>
      <c r="L10693" s="0" t="str">
        <f aca="false">HYPERLINK("https://www.ncbi.nlm.nih.gov/nuccore/CP000058.1?report=graph&amp;tracks=[key:gene_model_track,Options:GeneOnly]&amp;mk=3373569:3373588|offset_33|00cc00,3373603:3373622|offset_67|444444,3373650:3373669|offset_114|444444,3373681:3373700|offset_145|444444&amp;v=3373368:3373900&amp;c=444444", "offset 33")</f>
        <v>offset 33</v>
      </c>
    </row>
    <row r="10694" customFormat="false" ht="12.8" hidden="false" customHeight="false" outlineLevel="0" collapsed="false">
      <c r="A10694" s="0" t="s">
        <v>12</v>
      </c>
      <c r="B10694" s="0" t="n">
        <v>3373602</v>
      </c>
      <c r="C10694" s="0" t="n">
        <v>3373622</v>
      </c>
      <c r="D10694" s="0" t="s">
        <v>35502</v>
      </c>
      <c r="E10694" s="0" t="s">
        <v>75</v>
      </c>
      <c r="F10694" s="0" t="s">
        <v>15</v>
      </c>
      <c r="G10694" s="0" t="s">
        <v>16</v>
      </c>
      <c r="H10694" s="0" t="n">
        <v>67</v>
      </c>
      <c r="I10694" s="0" t="s">
        <v>35506</v>
      </c>
      <c r="J10694" s="0" t="s">
        <v>35507</v>
      </c>
      <c r="K10694" s="0" t="s">
        <v>35508</v>
      </c>
      <c r="L10694" s="0" t="str">
        <f aca="false">HYPERLINK("https://www.ncbi.nlm.nih.gov/nuccore/CP000058.1?report=graph&amp;tracks=[key:gene_model_track,Options:GeneOnly]&amp;mk=3373569:3373588|offset_33|444444,3373603:3373622|offset_67|00cc00,3373650:3373669|offset_114|444444,3373681:3373700|offset_145|444444&amp;v=3373368:3373900&amp;c=444444", "offset 67")</f>
        <v>offset 67</v>
      </c>
    </row>
    <row r="10695" customFormat="false" ht="12.8" hidden="false" customHeight="false" outlineLevel="0" collapsed="false">
      <c r="A10695" s="0" t="s">
        <v>12</v>
      </c>
      <c r="B10695" s="0" t="n">
        <v>3373649</v>
      </c>
      <c r="C10695" s="0" t="n">
        <v>3373669</v>
      </c>
      <c r="D10695" s="0" t="s">
        <v>35502</v>
      </c>
      <c r="E10695" s="0" t="s">
        <v>75</v>
      </c>
      <c r="F10695" s="0" t="s">
        <v>15</v>
      </c>
      <c r="G10695" s="0" t="s">
        <v>36</v>
      </c>
      <c r="H10695" s="0" t="n">
        <v>114</v>
      </c>
      <c r="I10695" s="0" t="s">
        <v>35509</v>
      </c>
      <c r="J10695" s="0" t="s">
        <v>35510</v>
      </c>
      <c r="K10695" s="0" t="s">
        <v>35511</v>
      </c>
      <c r="L10695" s="0" t="str">
        <f aca="false">HYPERLINK("https://www.ncbi.nlm.nih.gov/nuccore/CP000058.1?report=graph&amp;tracks=[key:gene_model_track,Options:GeneOnly]&amp;mk=3373569:3373588|offset_33|444444,3373603:3373622|offset_67|444444,3373650:3373669|offset_114|00cc00,3373681:3373700|offset_145|444444&amp;v=3373368:3373900&amp;c=444444", "offset 114")</f>
        <v>offset 114</v>
      </c>
    </row>
    <row r="10696" customFormat="false" ht="12.8" hidden="false" customHeight="false" outlineLevel="0" collapsed="false">
      <c r="A10696" s="0" t="s">
        <v>12</v>
      </c>
      <c r="B10696" s="0" t="n">
        <v>3373680</v>
      </c>
      <c r="C10696" s="0" t="n">
        <v>3373700</v>
      </c>
      <c r="D10696" s="0" t="s">
        <v>35502</v>
      </c>
      <c r="E10696" s="0" t="s">
        <v>75</v>
      </c>
      <c r="F10696" s="0" t="s">
        <v>15</v>
      </c>
      <c r="G10696" s="0" t="s">
        <v>16</v>
      </c>
      <c r="H10696" s="0" t="n">
        <v>145</v>
      </c>
      <c r="I10696" s="0" t="s">
        <v>35512</v>
      </c>
      <c r="J10696" s="0" t="s">
        <v>35513</v>
      </c>
      <c r="K10696" s="0" t="s">
        <v>35514</v>
      </c>
      <c r="L10696" s="0" t="str">
        <f aca="false">HYPERLINK("https://www.ncbi.nlm.nih.gov/nuccore/CP000058.1?report=graph&amp;tracks=[key:gene_model_track,Options:GeneOnly]&amp;mk=3373569:3373588|offset_33|444444,3373603:3373622|offset_67|444444,3373650:3373669|offset_114|444444,3373681:3373700|offset_145|00cc00&amp;v=3373368:3373900&amp;c=444444", "offset 145")</f>
        <v>offset 145</v>
      </c>
    </row>
    <row r="10697" customFormat="false" ht="12.8" hidden="false" customHeight="false" outlineLevel="0" collapsed="false">
      <c r="A10697" s="0" t="s">
        <v>12</v>
      </c>
      <c r="B10697" s="0" t="n">
        <v>3374756</v>
      </c>
      <c r="C10697" s="0" t="n">
        <v>3374776</v>
      </c>
      <c r="D10697" s="0" t="s">
        <v>35515</v>
      </c>
      <c r="E10697" s="0" t="s">
        <v>75</v>
      </c>
      <c r="F10697" s="0" t="s">
        <v>15</v>
      </c>
      <c r="G10697" s="0" t="s">
        <v>36</v>
      </c>
      <c r="H10697" s="0" t="n">
        <v>27</v>
      </c>
      <c r="I10697" s="0" t="s">
        <v>35516</v>
      </c>
      <c r="J10697" s="0" t="s">
        <v>35517</v>
      </c>
      <c r="K10697" s="0" t="s">
        <v>35518</v>
      </c>
      <c r="L10697" s="0" t="str">
        <f aca="false">HYPERLINK("https://www.ncbi.nlm.nih.gov/nuccore/CP000058.1?report=graph&amp;tracks=[key:gene_model_track,Options:GeneOnly]&amp;mk=3374757:3374776|offset_27|00cc00,3374779:3374798|offset_49|444444,3374809:3374828|offset_79|444444,3374837:3374856|offset_107|444444&amp;v=3374556:3375056&amp;c=444444", "offset 27")</f>
        <v>offset 27</v>
      </c>
    </row>
    <row r="10698" customFormat="false" ht="12.8" hidden="false" customHeight="false" outlineLevel="0" collapsed="false">
      <c r="A10698" s="0" t="s">
        <v>12</v>
      </c>
      <c r="B10698" s="0" t="n">
        <v>3374778</v>
      </c>
      <c r="C10698" s="0" t="n">
        <v>3374798</v>
      </c>
      <c r="D10698" s="0" t="s">
        <v>35515</v>
      </c>
      <c r="E10698" s="0" t="s">
        <v>75</v>
      </c>
      <c r="F10698" s="0" t="s">
        <v>15</v>
      </c>
      <c r="G10698" s="0" t="s">
        <v>36</v>
      </c>
      <c r="H10698" s="0" t="n">
        <v>49</v>
      </c>
      <c r="I10698" s="0" t="s">
        <v>35519</v>
      </c>
      <c r="J10698" s="0" t="s">
        <v>35520</v>
      </c>
      <c r="K10698" s="0" t="s">
        <v>35521</v>
      </c>
      <c r="L10698" s="0" t="str">
        <f aca="false">HYPERLINK("https://www.ncbi.nlm.nih.gov/nuccore/CP000058.1?report=graph&amp;tracks=[key:gene_model_track,Options:GeneOnly]&amp;mk=3374757:3374776|offset_27|444444,3374779:3374798|offset_49|00cc00,3374809:3374828|offset_79|444444,3374837:3374856|offset_107|444444&amp;v=3374556:3375056&amp;c=444444", "offset 49")</f>
        <v>offset 49</v>
      </c>
    </row>
    <row r="10699" customFormat="false" ht="12.8" hidden="false" customHeight="false" outlineLevel="0" collapsed="false">
      <c r="A10699" s="0" t="s">
        <v>12</v>
      </c>
      <c r="B10699" s="0" t="n">
        <v>3374808</v>
      </c>
      <c r="C10699" s="0" t="n">
        <v>3374828</v>
      </c>
      <c r="D10699" s="0" t="s">
        <v>35515</v>
      </c>
      <c r="E10699" s="0" t="s">
        <v>75</v>
      </c>
      <c r="F10699" s="0" t="s">
        <v>15</v>
      </c>
      <c r="G10699" s="0" t="s">
        <v>36</v>
      </c>
      <c r="H10699" s="0" t="n">
        <v>79</v>
      </c>
      <c r="I10699" s="0" t="s">
        <v>35522</v>
      </c>
      <c r="J10699" s="0" t="s">
        <v>35523</v>
      </c>
      <c r="K10699" s="0" t="s">
        <v>35524</v>
      </c>
      <c r="L10699" s="0" t="str">
        <f aca="false">HYPERLINK("https://www.ncbi.nlm.nih.gov/nuccore/CP000058.1?report=graph&amp;tracks=[key:gene_model_track,Options:GeneOnly]&amp;mk=3374757:3374776|offset_27|444444,3374779:3374798|offset_49|444444,3374809:3374828|offset_79|00cc00,3374837:3374856|offset_107|444444&amp;v=3374556:3375056&amp;c=444444", "offset 79")</f>
        <v>offset 79</v>
      </c>
    </row>
    <row r="10700" customFormat="false" ht="12.8" hidden="false" customHeight="false" outlineLevel="0" collapsed="false">
      <c r="A10700" s="0" t="s">
        <v>12</v>
      </c>
      <c r="B10700" s="0" t="n">
        <v>3374836</v>
      </c>
      <c r="C10700" s="0" t="n">
        <v>3374856</v>
      </c>
      <c r="D10700" s="0" t="s">
        <v>35515</v>
      </c>
      <c r="E10700" s="0" t="s">
        <v>75</v>
      </c>
      <c r="F10700" s="0" t="s">
        <v>15</v>
      </c>
      <c r="G10700" s="0" t="s">
        <v>36</v>
      </c>
      <c r="H10700" s="0" t="n">
        <v>107</v>
      </c>
      <c r="I10700" s="0" t="s">
        <v>35525</v>
      </c>
      <c r="J10700" s="0" t="s">
        <v>35526</v>
      </c>
      <c r="K10700" s="0" t="s">
        <v>35527</v>
      </c>
      <c r="L10700" s="0" t="str">
        <f aca="false">HYPERLINK("https://www.ncbi.nlm.nih.gov/nuccore/CP000058.1?report=graph&amp;tracks=[key:gene_model_track,Options:GeneOnly]&amp;mk=3374757:3374776|offset_27|444444,3374779:3374798|offset_49|444444,3374809:3374828|offset_79|444444,3374837:3374856|offset_107|00cc00&amp;v=3374556:3375056&amp;c=444444", "offset 107")</f>
        <v>offset 107</v>
      </c>
    </row>
    <row r="10701" customFormat="false" ht="12.8" hidden="false" customHeight="false" outlineLevel="0" collapsed="false">
      <c r="A10701" s="0" t="s">
        <v>12</v>
      </c>
      <c r="B10701" s="0" t="n">
        <v>3379706</v>
      </c>
      <c r="C10701" s="0" t="n">
        <v>3379726</v>
      </c>
      <c r="D10701" s="0" t="s">
        <v>35528</v>
      </c>
      <c r="E10701" s="0" t="s">
        <v>75</v>
      </c>
      <c r="F10701" s="0" t="s">
        <v>90</v>
      </c>
      <c r="G10701" s="0" t="s">
        <v>32</v>
      </c>
      <c r="H10701" s="0" t="n">
        <v>0</v>
      </c>
      <c r="I10701" s="0" t="s">
        <v>35529</v>
      </c>
      <c r="J10701" s="0" t="s">
        <v>35530</v>
      </c>
      <c r="K10701" s="0" t="s">
        <v>35531</v>
      </c>
      <c r="L10701" s="0" t="str">
        <f aca="false">HYPERLINK("https://www.ncbi.nlm.nih.gov/nuccore/CP000058.1?report=graph&amp;tracks=[key:gene_model_track,Options:GeneOnly]&amp;mk=3379707:3379726|offset_0|00cc00,3379678:3379697|offset_29|444444,3379637:3379656|offset_70|444444,3379611:3379630|offset_96|444444&amp;v=3379506:3379830&amp;c=444444", "offset 0")</f>
        <v>offset 0</v>
      </c>
    </row>
    <row r="10702" customFormat="false" ht="12.8" hidden="false" customHeight="false" outlineLevel="0" collapsed="false">
      <c r="A10702" s="0" t="s">
        <v>12</v>
      </c>
      <c r="B10702" s="0" t="n">
        <v>3379677</v>
      </c>
      <c r="C10702" s="0" t="n">
        <v>3379697</v>
      </c>
      <c r="D10702" s="0" t="s">
        <v>35528</v>
      </c>
      <c r="E10702" s="0" t="s">
        <v>75</v>
      </c>
      <c r="F10702" s="0" t="s">
        <v>90</v>
      </c>
      <c r="G10702" s="0" t="s">
        <v>36</v>
      </c>
      <c r="H10702" s="0" t="n">
        <v>29</v>
      </c>
      <c r="I10702" s="0" t="s">
        <v>35532</v>
      </c>
      <c r="J10702" s="0" t="s">
        <v>35533</v>
      </c>
      <c r="K10702" s="0" t="s">
        <v>35534</v>
      </c>
      <c r="L10702" s="0" t="str">
        <f aca="false">HYPERLINK("https://www.ncbi.nlm.nih.gov/nuccore/CP000058.1?report=graph&amp;tracks=[key:gene_model_track,Options:GeneOnly]&amp;mk=3379707:3379726|offset_0|444444,3379678:3379697|offset_29|00cc00,3379637:3379656|offset_70|444444,3379611:3379630|offset_96|444444&amp;v=3379506:3379830&amp;c=444444", "offset 29")</f>
        <v>offset 29</v>
      </c>
    </row>
    <row r="10703" customFormat="false" ht="12.8" hidden="false" customHeight="false" outlineLevel="0" collapsed="false">
      <c r="A10703" s="0" t="s">
        <v>12</v>
      </c>
      <c r="B10703" s="0" t="n">
        <v>3379636</v>
      </c>
      <c r="C10703" s="0" t="n">
        <v>3379656</v>
      </c>
      <c r="D10703" s="0" t="s">
        <v>35528</v>
      </c>
      <c r="E10703" s="0" t="s">
        <v>75</v>
      </c>
      <c r="F10703" s="0" t="s">
        <v>90</v>
      </c>
      <c r="G10703" s="0" t="s">
        <v>32</v>
      </c>
      <c r="H10703" s="0" t="n">
        <v>70</v>
      </c>
      <c r="I10703" s="0" t="s">
        <v>35535</v>
      </c>
      <c r="J10703" s="0" t="s">
        <v>35536</v>
      </c>
      <c r="K10703" s="0" t="s">
        <v>35537</v>
      </c>
      <c r="L10703" s="0" t="str">
        <f aca="false">HYPERLINK("https://www.ncbi.nlm.nih.gov/nuccore/CP000058.1?report=graph&amp;tracks=[key:gene_model_track,Options:GeneOnly]&amp;mk=3379707:3379726|offset_0|444444,3379678:3379697|offset_29|444444,3379637:3379656|offset_70|00cc00,3379611:3379630|offset_96|444444&amp;v=3379506:3379830&amp;c=444444", "offset 70")</f>
        <v>offset 70</v>
      </c>
    </row>
    <row r="10704" customFormat="false" ht="12.8" hidden="false" customHeight="false" outlineLevel="0" collapsed="false">
      <c r="A10704" s="0" t="s">
        <v>12</v>
      </c>
      <c r="B10704" s="0" t="n">
        <v>3379610</v>
      </c>
      <c r="C10704" s="0" t="n">
        <v>3379630</v>
      </c>
      <c r="D10704" s="0" t="s">
        <v>35528</v>
      </c>
      <c r="E10704" s="0" t="s">
        <v>75</v>
      </c>
      <c r="F10704" s="0" t="s">
        <v>90</v>
      </c>
      <c r="G10704" s="0" t="s">
        <v>32</v>
      </c>
      <c r="H10704" s="0" t="n">
        <v>96</v>
      </c>
      <c r="I10704" s="0" t="s">
        <v>35538</v>
      </c>
      <c r="J10704" s="0" t="s">
        <v>35539</v>
      </c>
      <c r="K10704" s="0" t="s">
        <v>35540</v>
      </c>
      <c r="L10704" s="0" t="str">
        <f aca="false">HYPERLINK("https://www.ncbi.nlm.nih.gov/nuccore/CP000058.1?report=graph&amp;tracks=[key:gene_model_track,Options:GeneOnly]&amp;mk=3379707:3379726|offset_0|444444,3379678:3379697|offset_29|444444,3379637:3379656|offset_70|444444,3379611:3379630|offset_96|00cc00&amp;v=3379506:3379830&amp;c=444444", "offset 96")</f>
        <v>offset 96</v>
      </c>
    </row>
    <row r="10705" customFormat="false" ht="12.8" hidden="false" customHeight="false" outlineLevel="0" collapsed="false">
      <c r="A10705" s="0" t="s">
        <v>12</v>
      </c>
      <c r="B10705" s="0" t="n">
        <v>3380902</v>
      </c>
      <c r="C10705" s="0" t="n">
        <v>3380922</v>
      </c>
      <c r="D10705" s="0" t="s">
        <v>35541</v>
      </c>
      <c r="E10705" s="0" t="s">
        <v>75</v>
      </c>
      <c r="F10705" s="0" t="s">
        <v>90</v>
      </c>
      <c r="G10705" s="0" t="s">
        <v>32</v>
      </c>
      <c r="H10705" s="0" t="n">
        <v>8</v>
      </c>
      <c r="I10705" s="0" t="s">
        <v>35542</v>
      </c>
      <c r="J10705" s="0" t="s">
        <v>35543</v>
      </c>
      <c r="K10705" s="0" t="s">
        <v>35544</v>
      </c>
      <c r="L10705" s="0" t="str">
        <f aca="false">HYPERLINK("https://www.ncbi.nlm.nih.gov/nuccore/CP000058.1?report=graph&amp;tracks=[key:gene_model_track,Options:GeneOnly]&amp;mk=3380903:3380922|offset_8|00cc00,3380872:3380891|offset_39|444444,3380826:3380845|offset_85|444444,3380784:3380803|offset_127|444444&amp;v=3380702:3381003&amp;c=444444", "offset 8")</f>
        <v>offset 8</v>
      </c>
    </row>
    <row r="10706" customFormat="false" ht="12.8" hidden="false" customHeight="false" outlineLevel="0" collapsed="false">
      <c r="A10706" s="0" t="s">
        <v>12</v>
      </c>
      <c r="B10706" s="0" t="n">
        <v>3380871</v>
      </c>
      <c r="C10706" s="0" t="n">
        <v>3380891</v>
      </c>
      <c r="D10706" s="0" t="s">
        <v>35541</v>
      </c>
      <c r="E10706" s="0" t="s">
        <v>75</v>
      </c>
      <c r="F10706" s="0" t="s">
        <v>90</v>
      </c>
      <c r="G10706" s="0" t="s">
        <v>16</v>
      </c>
      <c r="H10706" s="0" t="n">
        <v>39</v>
      </c>
      <c r="I10706" s="0" t="s">
        <v>35545</v>
      </c>
      <c r="J10706" s="0" t="s">
        <v>35546</v>
      </c>
      <c r="K10706" s="0" t="s">
        <v>35547</v>
      </c>
      <c r="L10706" s="0" t="str">
        <f aca="false">HYPERLINK("https://www.ncbi.nlm.nih.gov/nuccore/CP000058.1?report=graph&amp;tracks=[key:gene_model_track,Options:GeneOnly]&amp;mk=3380903:3380922|offset_8|444444,3380872:3380891|offset_39|00cc00,3380826:3380845|offset_85|444444,3380784:3380803|offset_127|444444&amp;v=3380702:3381003&amp;c=444444", "offset 39")</f>
        <v>offset 39</v>
      </c>
    </row>
    <row r="10707" customFormat="false" ht="12.8" hidden="false" customHeight="false" outlineLevel="0" collapsed="false">
      <c r="A10707" s="0" t="s">
        <v>12</v>
      </c>
      <c r="B10707" s="0" t="n">
        <v>3380825</v>
      </c>
      <c r="C10707" s="0" t="n">
        <v>3380845</v>
      </c>
      <c r="D10707" s="0" t="s">
        <v>35541</v>
      </c>
      <c r="E10707" s="0" t="s">
        <v>75</v>
      </c>
      <c r="F10707" s="0" t="s">
        <v>90</v>
      </c>
      <c r="G10707" s="0" t="s">
        <v>32</v>
      </c>
      <c r="H10707" s="0" t="n">
        <v>85</v>
      </c>
      <c r="I10707" s="0" t="s">
        <v>35548</v>
      </c>
      <c r="J10707" s="0" t="s">
        <v>35549</v>
      </c>
      <c r="K10707" s="0" t="s">
        <v>35550</v>
      </c>
      <c r="L10707" s="0" t="str">
        <f aca="false">HYPERLINK("https://www.ncbi.nlm.nih.gov/nuccore/CP000058.1?report=graph&amp;tracks=[key:gene_model_track,Options:GeneOnly]&amp;mk=3380903:3380922|offset_8|444444,3380872:3380891|offset_39|444444,3380826:3380845|offset_85|00cc00,3380784:3380803|offset_127|444444&amp;v=3380702:3381003&amp;c=444444", "offset 85")</f>
        <v>offset 85</v>
      </c>
    </row>
    <row r="10708" customFormat="false" ht="12.8" hidden="false" customHeight="false" outlineLevel="0" collapsed="false">
      <c r="A10708" s="0" t="s">
        <v>12</v>
      </c>
      <c r="B10708" s="0" t="n">
        <v>3380783</v>
      </c>
      <c r="C10708" s="0" t="n">
        <v>3380803</v>
      </c>
      <c r="D10708" s="0" t="s">
        <v>35541</v>
      </c>
      <c r="E10708" s="0" t="s">
        <v>75</v>
      </c>
      <c r="F10708" s="0" t="s">
        <v>90</v>
      </c>
      <c r="G10708" s="0" t="s">
        <v>16</v>
      </c>
      <c r="H10708" s="0" t="n">
        <v>127</v>
      </c>
      <c r="I10708" s="0" t="s">
        <v>35551</v>
      </c>
      <c r="J10708" s="0" t="s">
        <v>35552</v>
      </c>
      <c r="K10708" s="0" t="s">
        <v>35553</v>
      </c>
      <c r="L10708" s="0" t="str">
        <f aca="false">HYPERLINK("https://www.ncbi.nlm.nih.gov/nuccore/CP000058.1?report=graph&amp;tracks=[key:gene_model_track,Options:GeneOnly]&amp;mk=3380903:3380922|offset_8|444444,3380872:3380891|offset_39|444444,3380826:3380845|offset_85|444444,3380784:3380803|offset_127|00cc00&amp;v=3380702:3381003&amp;c=444444", "offset 127")</f>
        <v>offset 127</v>
      </c>
    </row>
    <row r="10709" customFormat="false" ht="12.8" hidden="false" customHeight="false" outlineLevel="0" collapsed="false">
      <c r="A10709" s="0" t="s">
        <v>12</v>
      </c>
      <c r="B10709" s="0" t="n">
        <v>3381050</v>
      </c>
      <c r="C10709" s="0" t="n">
        <v>3381070</v>
      </c>
      <c r="D10709" s="0" t="s">
        <v>35554</v>
      </c>
      <c r="E10709" s="0" t="s">
        <v>75</v>
      </c>
      <c r="F10709" s="0" t="s">
        <v>15</v>
      </c>
      <c r="G10709" s="0" t="s">
        <v>20</v>
      </c>
      <c r="H10709" s="0" t="n">
        <v>6</v>
      </c>
      <c r="I10709" s="0" t="s">
        <v>35555</v>
      </c>
      <c r="J10709" s="0" t="s">
        <v>35556</v>
      </c>
      <c r="K10709" s="0" t="s">
        <v>35557</v>
      </c>
      <c r="L10709" s="0" t="str">
        <f aca="false">HYPERLINK("https://www.ncbi.nlm.nih.gov/nuccore/CP000058.1?report=graph&amp;tracks=[key:gene_model_track,Options:GeneOnly]&amp;mk=3381051:3381070|offset_6|00cc00,3381105:3381124|offset_60|444444,3381167:3381186|offset_122|444444,3381194:3381213|offset_149|444444&amp;v=3380850:3381413&amp;c=444444", "offset 6")</f>
        <v>offset 6</v>
      </c>
    </row>
    <row r="10710" customFormat="false" ht="12.8" hidden="false" customHeight="false" outlineLevel="0" collapsed="false">
      <c r="A10710" s="0" t="s">
        <v>12</v>
      </c>
      <c r="B10710" s="0" t="n">
        <v>3381104</v>
      </c>
      <c r="C10710" s="0" t="n">
        <v>3381124</v>
      </c>
      <c r="D10710" s="0" t="s">
        <v>35554</v>
      </c>
      <c r="E10710" s="0" t="s">
        <v>75</v>
      </c>
      <c r="F10710" s="0" t="s">
        <v>15</v>
      </c>
      <c r="G10710" s="0" t="s">
        <v>32</v>
      </c>
      <c r="H10710" s="0" t="n">
        <v>60</v>
      </c>
      <c r="I10710" s="0" t="s">
        <v>35558</v>
      </c>
      <c r="J10710" s="0" t="s">
        <v>35559</v>
      </c>
      <c r="K10710" s="0" t="s">
        <v>35560</v>
      </c>
      <c r="L10710" s="0" t="str">
        <f aca="false">HYPERLINK("https://www.ncbi.nlm.nih.gov/nuccore/CP000058.1?report=graph&amp;tracks=[key:gene_model_track,Options:GeneOnly]&amp;mk=3381051:3381070|offset_6|444444,3381105:3381124|offset_60|00cc00,3381167:3381186|offset_122|444444,3381194:3381213|offset_149|444444&amp;v=3380850:3381413&amp;c=444444", "offset 60")</f>
        <v>offset 60</v>
      </c>
    </row>
    <row r="10711" customFormat="false" ht="12.8" hidden="false" customHeight="false" outlineLevel="0" collapsed="false">
      <c r="A10711" s="0" t="s">
        <v>12</v>
      </c>
      <c r="B10711" s="0" t="n">
        <v>3381166</v>
      </c>
      <c r="C10711" s="0" t="n">
        <v>3381186</v>
      </c>
      <c r="D10711" s="0" t="s">
        <v>35554</v>
      </c>
      <c r="E10711" s="0" t="s">
        <v>75</v>
      </c>
      <c r="F10711" s="0" t="s">
        <v>15</v>
      </c>
      <c r="G10711" s="0" t="s">
        <v>16</v>
      </c>
      <c r="H10711" s="0" t="n">
        <v>122</v>
      </c>
      <c r="I10711" s="0" t="s">
        <v>35561</v>
      </c>
      <c r="J10711" s="0" t="s">
        <v>35562</v>
      </c>
      <c r="K10711" s="0" t="s">
        <v>35563</v>
      </c>
      <c r="L10711" s="0" t="str">
        <f aca="false">HYPERLINK("https://www.ncbi.nlm.nih.gov/nuccore/CP000058.1?report=graph&amp;tracks=[key:gene_model_track,Options:GeneOnly]&amp;mk=3381051:3381070|offset_6|444444,3381105:3381124|offset_60|444444,3381167:3381186|offset_122|00cc00,3381194:3381213|offset_149|444444&amp;v=3380850:3381413&amp;c=444444", "offset 122")</f>
        <v>offset 122</v>
      </c>
    </row>
    <row r="10712" customFormat="false" ht="12.8" hidden="false" customHeight="false" outlineLevel="0" collapsed="false">
      <c r="A10712" s="0" t="s">
        <v>12</v>
      </c>
      <c r="B10712" s="0" t="n">
        <v>3381193</v>
      </c>
      <c r="C10712" s="0" t="n">
        <v>3381213</v>
      </c>
      <c r="D10712" s="0" t="s">
        <v>35554</v>
      </c>
      <c r="E10712" s="0" t="s">
        <v>75</v>
      </c>
      <c r="F10712" s="0" t="s">
        <v>15</v>
      </c>
      <c r="G10712" s="0" t="s">
        <v>32</v>
      </c>
      <c r="H10712" s="0" t="n">
        <v>149</v>
      </c>
      <c r="I10712" s="0" t="s">
        <v>35564</v>
      </c>
      <c r="J10712" s="0" t="s">
        <v>35565</v>
      </c>
      <c r="K10712" s="0" t="s">
        <v>35566</v>
      </c>
      <c r="L10712" s="0" t="str">
        <f aca="false">HYPERLINK("https://www.ncbi.nlm.nih.gov/nuccore/CP000058.1?report=graph&amp;tracks=[key:gene_model_track,Options:GeneOnly]&amp;mk=3381051:3381070|offset_6|444444,3381105:3381124|offset_60|444444,3381167:3381186|offset_122|444444,3381194:3381213|offset_149|00cc00&amp;v=3380850:3381413&amp;c=444444", "offset 149")</f>
        <v>offset 149</v>
      </c>
    </row>
    <row r="10713" customFormat="false" ht="12.8" hidden="false" customHeight="false" outlineLevel="0" collapsed="false">
      <c r="A10713" s="0" t="s">
        <v>12</v>
      </c>
      <c r="B10713" s="0" t="n">
        <v>3381857</v>
      </c>
      <c r="C10713" s="0" t="n">
        <v>3381877</v>
      </c>
      <c r="D10713" s="0" t="s">
        <v>35567</v>
      </c>
      <c r="E10713" s="0" t="s">
        <v>75</v>
      </c>
      <c r="F10713" s="0" t="s">
        <v>15</v>
      </c>
      <c r="G10713" s="0" t="s">
        <v>32</v>
      </c>
      <c r="H10713" s="0" t="n">
        <v>35</v>
      </c>
      <c r="I10713" s="0" t="s">
        <v>35568</v>
      </c>
      <c r="J10713" s="0" t="s">
        <v>35569</v>
      </c>
      <c r="K10713" s="0" t="s">
        <v>35570</v>
      </c>
      <c r="L10713" s="0" t="str">
        <f aca="false">HYPERLINK("https://www.ncbi.nlm.nih.gov/nuccore/CP000058.1?report=graph&amp;tracks=[key:gene_model_track,Options:GeneOnly]&amp;mk=3381858:3381877|offset_35|00cc00,3381878:3381897|offset_55|444444,3381917:3381936|offset_94|444444,3381961:3381980|offset_138|444444&amp;v=3381657:3382180&amp;c=444444", "offset 35")</f>
        <v>offset 35</v>
      </c>
    </row>
    <row r="10714" customFormat="false" ht="12.8" hidden="false" customHeight="false" outlineLevel="0" collapsed="false">
      <c r="A10714" s="0" t="s">
        <v>12</v>
      </c>
      <c r="B10714" s="0" t="n">
        <v>3381877</v>
      </c>
      <c r="C10714" s="0" t="n">
        <v>3381897</v>
      </c>
      <c r="D10714" s="0" t="s">
        <v>35567</v>
      </c>
      <c r="E10714" s="0" t="s">
        <v>75</v>
      </c>
      <c r="F10714" s="0" t="s">
        <v>15</v>
      </c>
      <c r="G10714" s="0" t="s">
        <v>16</v>
      </c>
      <c r="H10714" s="0" t="n">
        <v>55</v>
      </c>
      <c r="I10714" s="0" t="s">
        <v>35571</v>
      </c>
      <c r="J10714" s="0" t="s">
        <v>35572</v>
      </c>
      <c r="K10714" s="0" t="s">
        <v>35573</v>
      </c>
      <c r="L10714" s="0" t="str">
        <f aca="false">HYPERLINK("https://www.ncbi.nlm.nih.gov/nuccore/CP000058.1?report=graph&amp;tracks=[key:gene_model_track,Options:GeneOnly]&amp;mk=3381858:3381877|offset_35|444444,3381878:3381897|offset_55|00cc00,3381917:3381936|offset_94|444444,3381961:3381980|offset_138|444444&amp;v=3381657:3382180&amp;c=444444", "offset 55")</f>
        <v>offset 55</v>
      </c>
    </row>
    <row r="10715" customFormat="false" ht="12.8" hidden="false" customHeight="false" outlineLevel="0" collapsed="false">
      <c r="A10715" s="0" t="s">
        <v>12</v>
      </c>
      <c r="B10715" s="0" t="n">
        <v>3381916</v>
      </c>
      <c r="C10715" s="0" t="n">
        <v>3381936</v>
      </c>
      <c r="D10715" s="0" t="s">
        <v>35567</v>
      </c>
      <c r="E10715" s="0" t="s">
        <v>75</v>
      </c>
      <c r="F10715" s="0" t="s">
        <v>15</v>
      </c>
      <c r="G10715" s="0" t="s">
        <v>16</v>
      </c>
      <c r="H10715" s="0" t="n">
        <v>94</v>
      </c>
      <c r="I10715" s="0" t="s">
        <v>35574</v>
      </c>
      <c r="J10715" s="0" t="s">
        <v>35575</v>
      </c>
      <c r="K10715" s="0" t="s">
        <v>35576</v>
      </c>
      <c r="L10715" s="0" t="str">
        <f aca="false">HYPERLINK("https://www.ncbi.nlm.nih.gov/nuccore/CP000058.1?report=graph&amp;tracks=[key:gene_model_track,Options:GeneOnly]&amp;mk=3381858:3381877|offset_35|444444,3381878:3381897|offset_55|444444,3381917:3381936|offset_94|00cc00,3381961:3381980|offset_138|444444&amp;v=3381657:3382180&amp;c=444444", "offset 94")</f>
        <v>offset 94</v>
      </c>
    </row>
    <row r="10716" customFormat="false" ht="12.8" hidden="false" customHeight="false" outlineLevel="0" collapsed="false">
      <c r="A10716" s="0" t="s">
        <v>12</v>
      </c>
      <c r="B10716" s="0" t="n">
        <v>3381960</v>
      </c>
      <c r="C10716" s="0" t="n">
        <v>3381980</v>
      </c>
      <c r="D10716" s="0" t="s">
        <v>35567</v>
      </c>
      <c r="E10716" s="0" t="s">
        <v>75</v>
      </c>
      <c r="F10716" s="0" t="s">
        <v>15</v>
      </c>
      <c r="G10716" s="0" t="s">
        <v>16</v>
      </c>
      <c r="H10716" s="0" t="n">
        <v>138</v>
      </c>
      <c r="I10716" s="0" t="s">
        <v>35577</v>
      </c>
      <c r="J10716" s="0" t="s">
        <v>35578</v>
      </c>
      <c r="K10716" s="0" t="s">
        <v>35579</v>
      </c>
      <c r="L10716" s="0" t="str">
        <f aca="false">HYPERLINK("https://www.ncbi.nlm.nih.gov/nuccore/CP000058.1?report=graph&amp;tracks=[key:gene_model_track,Options:GeneOnly]&amp;mk=3381858:3381877|offset_35|444444,3381878:3381897|offset_55|444444,3381917:3381936|offset_94|444444,3381961:3381980|offset_138|00cc00&amp;v=3381657:3382180&amp;c=444444", "offset 138")</f>
        <v>offset 138</v>
      </c>
    </row>
    <row r="10717" customFormat="false" ht="12.8" hidden="false" customHeight="false" outlineLevel="0" collapsed="false">
      <c r="A10717" s="0" t="s">
        <v>12</v>
      </c>
      <c r="B10717" s="0" t="n">
        <v>3384283</v>
      </c>
      <c r="C10717" s="0" t="n">
        <v>3384303</v>
      </c>
      <c r="D10717" s="0" t="s">
        <v>35580</v>
      </c>
      <c r="E10717" s="0" t="s">
        <v>35581</v>
      </c>
      <c r="F10717" s="0" t="s">
        <v>90</v>
      </c>
      <c r="G10717" s="0" t="s">
        <v>36</v>
      </c>
      <c r="H10717" s="0" t="n">
        <v>28</v>
      </c>
      <c r="I10717" s="0" t="s">
        <v>35582</v>
      </c>
      <c r="J10717" s="0" t="s">
        <v>35583</v>
      </c>
      <c r="K10717" s="0" t="s">
        <v>35584</v>
      </c>
      <c r="L10717" s="0" t="str">
        <f aca="false">HYPERLINK("https://www.ncbi.nlm.nih.gov/nuccore/CP000058.1?report=graph&amp;tracks=[key:gene_model_track,Options:GeneOnly]&amp;mk=3384284:3384303|offset_28|00cc00,3384264:3384283|offset_48|444444,3384227:3384246|offset_85|444444,3384188:3384207|offset_124|444444&amp;v=3384083:3384407&amp;c=444444", "offset 28")</f>
        <v>offset 28</v>
      </c>
    </row>
    <row r="10718" customFormat="false" ht="12.8" hidden="false" customHeight="false" outlineLevel="0" collapsed="false">
      <c r="A10718" s="0" t="s">
        <v>12</v>
      </c>
      <c r="B10718" s="0" t="n">
        <v>3384263</v>
      </c>
      <c r="C10718" s="0" t="n">
        <v>3384283</v>
      </c>
      <c r="D10718" s="0" t="s">
        <v>35580</v>
      </c>
      <c r="E10718" s="0" t="s">
        <v>35581</v>
      </c>
      <c r="F10718" s="0" t="s">
        <v>90</v>
      </c>
      <c r="G10718" s="0" t="s">
        <v>32</v>
      </c>
      <c r="H10718" s="0" t="n">
        <v>48</v>
      </c>
      <c r="I10718" s="0" t="s">
        <v>35585</v>
      </c>
      <c r="J10718" s="0" t="s">
        <v>35586</v>
      </c>
      <c r="K10718" s="0" t="s">
        <v>35587</v>
      </c>
      <c r="L10718" s="0" t="str">
        <f aca="false">HYPERLINK("https://www.ncbi.nlm.nih.gov/nuccore/CP000058.1?report=graph&amp;tracks=[key:gene_model_track,Options:GeneOnly]&amp;mk=3384284:3384303|offset_28|444444,3384264:3384283|offset_48|00cc00,3384227:3384246|offset_85|444444,3384188:3384207|offset_124|444444&amp;v=3384083:3384407&amp;c=444444", "offset 48")</f>
        <v>offset 48</v>
      </c>
    </row>
    <row r="10719" customFormat="false" ht="12.8" hidden="false" customHeight="false" outlineLevel="0" collapsed="false">
      <c r="A10719" s="0" t="s">
        <v>12</v>
      </c>
      <c r="B10719" s="0" t="n">
        <v>3384226</v>
      </c>
      <c r="C10719" s="0" t="n">
        <v>3384246</v>
      </c>
      <c r="D10719" s="0" t="s">
        <v>35580</v>
      </c>
      <c r="E10719" s="0" t="s">
        <v>35581</v>
      </c>
      <c r="F10719" s="0" t="s">
        <v>90</v>
      </c>
      <c r="G10719" s="0" t="s">
        <v>36</v>
      </c>
      <c r="H10719" s="0" t="n">
        <v>85</v>
      </c>
      <c r="I10719" s="0" t="s">
        <v>35588</v>
      </c>
      <c r="J10719" s="0" t="s">
        <v>35589</v>
      </c>
      <c r="K10719" s="0" t="s">
        <v>35590</v>
      </c>
      <c r="L10719" s="0" t="str">
        <f aca="false">HYPERLINK("https://www.ncbi.nlm.nih.gov/nuccore/CP000058.1?report=graph&amp;tracks=[key:gene_model_track,Options:GeneOnly]&amp;mk=3384284:3384303|offset_28|444444,3384264:3384283|offset_48|444444,3384227:3384246|offset_85|00cc00,3384188:3384207|offset_124|444444&amp;v=3384083:3384407&amp;c=444444", "offset 85")</f>
        <v>offset 85</v>
      </c>
    </row>
    <row r="10720" customFormat="false" ht="12.8" hidden="false" customHeight="false" outlineLevel="0" collapsed="false">
      <c r="A10720" s="0" t="s">
        <v>12</v>
      </c>
      <c r="B10720" s="0" t="n">
        <v>3384187</v>
      </c>
      <c r="C10720" s="0" t="n">
        <v>3384207</v>
      </c>
      <c r="D10720" s="0" t="s">
        <v>35580</v>
      </c>
      <c r="E10720" s="0" t="s">
        <v>35581</v>
      </c>
      <c r="F10720" s="0" t="s">
        <v>90</v>
      </c>
      <c r="G10720" s="0" t="s">
        <v>16</v>
      </c>
      <c r="H10720" s="0" t="n">
        <v>124</v>
      </c>
      <c r="I10720" s="0" t="s">
        <v>35591</v>
      </c>
      <c r="J10720" s="0" t="s">
        <v>35592</v>
      </c>
      <c r="K10720" s="0" t="s">
        <v>35593</v>
      </c>
      <c r="L10720" s="0" t="str">
        <f aca="false">HYPERLINK("https://www.ncbi.nlm.nih.gov/nuccore/CP000058.1?report=graph&amp;tracks=[key:gene_model_track,Options:GeneOnly]&amp;mk=3384284:3384303|offset_28|444444,3384264:3384283|offset_48|444444,3384227:3384246|offset_85|444444,3384188:3384207|offset_124|00cc00&amp;v=3384083:3384407&amp;c=444444", "offset 124")</f>
        <v>offset 124</v>
      </c>
    </row>
    <row r="10721" customFormat="false" ht="12.8" hidden="false" customHeight="false" outlineLevel="0" collapsed="false">
      <c r="A10721" s="0" t="s">
        <v>12</v>
      </c>
      <c r="B10721" s="0" t="n">
        <v>3386137</v>
      </c>
      <c r="C10721" s="0" t="n">
        <v>3386157</v>
      </c>
      <c r="D10721" s="0" t="s">
        <v>35594</v>
      </c>
      <c r="E10721" s="0" t="s">
        <v>75</v>
      </c>
      <c r="F10721" s="0" t="s">
        <v>90</v>
      </c>
      <c r="G10721" s="0" t="s">
        <v>32</v>
      </c>
      <c r="H10721" s="0" t="n">
        <v>1</v>
      </c>
      <c r="I10721" s="0" t="s">
        <v>35595</v>
      </c>
      <c r="J10721" s="0" t="s">
        <v>35596</v>
      </c>
      <c r="K10721" s="0" t="s">
        <v>35597</v>
      </c>
      <c r="L10721" s="0" t="str">
        <f aca="false">HYPERLINK("https://www.ncbi.nlm.nih.gov/nuccore/CP000058.1?report=graph&amp;tracks=[key:gene_model_track,Options:GeneOnly]&amp;mk=3386138:3386157|offset_1|00cc00,3386112:3386131|offset_27|444444,3386087:3386106|offset_52|444444,3386056:3386075|offset_83|444444&amp;v=3385937:3386275&amp;c=444444", "offset 1")</f>
        <v>offset 1</v>
      </c>
    </row>
    <row r="10722" customFormat="false" ht="12.8" hidden="false" customHeight="false" outlineLevel="0" collapsed="false">
      <c r="A10722" s="0" t="s">
        <v>12</v>
      </c>
      <c r="B10722" s="0" t="n">
        <v>3386111</v>
      </c>
      <c r="C10722" s="0" t="n">
        <v>3386131</v>
      </c>
      <c r="D10722" s="0" t="s">
        <v>35594</v>
      </c>
      <c r="E10722" s="0" t="s">
        <v>75</v>
      </c>
      <c r="F10722" s="0" t="s">
        <v>90</v>
      </c>
      <c r="G10722" s="0" t="s">
        <v>20</v>
      </c>
      <c r="H10722" s="0" t="n">
        <v>27</v>
      </c>
      <c r="I10722" s="0" t="s">
        <v>35598</v>
      </c>
      <c r="J10722" s="0" t="s">
        <v>35599</v>
      </c>
      <c r="K10722" s="0" t="s">
        <v>35600</v>
      </c>
      <c r="L10722" s="0" t="str">
        <f aca="false">HYPERLINK("https://www.ncbi.nlm.nih.gov/nuccore/CP000058.1?report=graph&amp;tracks=[key:gene_model_track,Options:GeneOnly]&amp;mk=3386138:3386157|offset_1|444444,3386112:3386131|offset_27|00cc00,3386087:3386106|offset_52|444444,3386056:3386075|offset_83|444444&amp;v=3385937:3386275&amp;c=444444", "offset 27")</f>
        <v>offset 27</v>
      </c>
    </row>
    <row r="10723" customFormat="false" ht="12.8" hidden="false" customHeight="false" outlineLevel="0" collapsed="false">
      <c r="A10723" s="0" t="s">
        <v>12</v>
      </c>
      <c r="B10723" s="0" t="n">
        <v>3386086</v>
      </c>
      <c r="C10723" s="0" t="n">
        <v>3386106</v>
      </c>
      <c r="D10723" s="0" t="s">
        <v>35594</v>
      </c>
      <c r="E10723" s="0" t="s">
        <v>75</v>
      </c>
      <c r="F10723" s="0" t="s">
        <v>90</v>
      </c>
      <c r="G10723" s="0" t="s">
        <v>32</v>
      </c>
      <c r="H10723" s="0" t="n">
        <v>52</v>
      </c>
      <c r="I10723" s="0" t="s">
        <v>35601</v>
      </c>
      <c r="J10723" s="0" t="s">
        <v>35602</v>
      </c>
      <c r="K10723" s="0" t="s">
        <v>35603</v>
      </c>
      <c r="L10723" s="0" t="str">
        <f aca="false">HYPERLINK("https://www.ncbi.nlm.nih.gov/nuccore/CP000058.1?report=graph&amp;tracks=[key:gene_model_track,Options:GeneOnly]&amp;mk=3386138:3386157|offset_1|444444,3386112:3386131|offset_27|444444,3386087:3386106|offset_52|00cc00,3386056:3386075|offset_83|444444&amp;v=3385937:3386275&amp;c=444444", "offset 52")</f>
        <v>offset 52</v>
      </c>
    </row>
    <row r="10724" customFormat="false" ht="12.8" hidden="false" customHeight="false" outlineLevel="0" collapsed="false">
      <c r="A10724" s="0" t="s">
        <v>12</v>
      </c>
      <c r="B10724" s="0" t="n">
        <v>3386055</v>
      </c>
      <c r="C10724" s="0" t="n">
        <v>3386075</v>
      </c>
      <c r="D10724" s="0" t="s">
        <v>35594</v>
      </c>
      <c r="E10724" s="0" t="s">
        <v>75</v>
      </c>
      <c r="F10724" s="0" t="s">
        <v>90</v>
      </c>
      <c r="G10724" s="0" t="s">
        <v>32</v>
      </c>
      <c r="H10724" s="0" t="n">
        <v>83</v>
      </c>
      <c r="I10724" s="0" t="s">
        <v>35604</v>
      </c>
      <c r="J10724" s="0" t="s">
        <v>35605</v>
      </c>
      <c r="K10724" s="0" t="s">
        <v>35606</v>
      </c>
      <c r="L10724" s="0" t="str">
        <f aca="false">HYPERLINK("https://www.ncbi.nlm.nih.gov/nuccore/CP000058.1?report=graph&amp;tracks=[key:gene_model_track,Options:GeneOnly]&amp;mk=3386138:3386157|offset_1|444444,3386112:3386131|offset_27|444444,3386087:3386106|offset_52|444444,3386056:3386075|offset_83|00cc00&amp;v=3385937:3386275&amp;c=444444", "offset 83")</f>
        <v>offset 83</v>
      </c>
    </row>
    <row r="10725" customFormat="false" ht="12.8" hidden="false" customHeight="false" outlineLevel="0" collapsed="false">
      <c r="A10725" s="0" t="s">
        <v>12</v>
      </c>
      <c r="B10725" s="0" t="n">
        <v>3386827</v>
      </c>
      <c r="C10725" s="0" t="n">
        <v>3386847</v>
      </c>
      <c r="D10725" s="0" t="s">
        <v>35607</v>
      </c>
      <c r="E10725" s="0" t="s">
        <v>75</v>
      </c>
      <c r="F10725" s="0" t="s">
        <v>90</v>
      </c>
      <c r="G10725" s="0" t="s">
        <v>16</v>
      </c>
      <c r="H10725" s="0" t="n">
        <v>10</v>
      </c>
      <c r="I10725" s="0" t="s">
        <v>35608</v>
      </c>
      <c r="J10725" s="0" t="s">
        <v>35609</v>
      </c>
      <c r="K10725" s="0" t="s">
        <v>35610</v>
      </c>
      <c r="L10725" s="0" t="str">
        <f aca="false">HYPERLINK("https://www.ncbi.nlm.nih.gov/nuccore/CP000058.1?report=graph&amp;tracks=[key:gene_model_track,Options:GeneOnly]&amp;mk=3386828:3386847|offset_10|00cc00,3386807:3386826|offset_31|444444,3386738:3386757|offset_100|444444,3386716:3386735|offset_122|444444&amp;v=3386627:3386935&amp;c=444444", "offset 10")</f>
        <v>offset 10</v>
      </c>
    </row>
    <row r="10726" customFormat="false" ht="12.8" hidden="false" customHeight="false" outlineLevel="0" collapsed="false">
      <c r="A10726" s="0" t="s">
        <v>12</v>
      </c>
      <c r="B10726" s="0" t="n">
        <v>3386806</v>
      </c>
      <c r="C10726" s="0" t="n">
        <v>3386826</v>
      </c>
      <c r="D10726" s="0" t="s">
        <v>35607</v>
      </c>
      <c r="E10726" s="0" t="s">
        <v>75</v>
      </c>
      <c r="F10726" s="0" t="s">
        <v>90</v>
      </c>
      <c r="G10726" s="0" t="s">
        <v>16</v>
      </c>
      <c r="H10726" s="0" t="n">
        <v>31</v>
      </c>
      <c r="I10726" s="0" t="s">
        <v>35611</v>
      </c>
      <c r="J10726" s="0" t="s">
        <v>35612</v>
      </c>
      <c r="K10726" s="0" t="s">
        <v>35613</v>
      </c>
      <c r="L10726" s="0" t="str">
        <f aca="false">HYPERLINK("https://www.ncbi.nlm.nih.gov/nuccore/CP000058.1?report=graph&amp;tracks=[key:gene_model_track,Options:GeneOnly]&amp;mk=3386828:3386847|offset_10|444444,3386807:3386826|offset_31|00cc00,3386738:3386757|offset_100|444444,3386716:3386735|offset_122|444444&amp;v=3386627:3386935&amp;c=444444", "offset 31")</f>
        <v>offset 31</v>
      </c>
    </row>
    <row r="10727" customFormat="false" ht="12.8" hidden="false" customHeight="false" outlineLevel="0" collapsed="false">
      <c r="A10727" s="0" t="s">
        <v>12</v>
      </c>
      <c r="B10727" s="0" t="n">
        <v>3386737</v>
      </c>
      <c r="C10727" s="0" t="n">
        <v>3386757</v>
      </c>
      <c r="D10727" s="0" t="s">
        <v>35607</v>
      </c>
      <c r="E10727" s="0" t="s">
        <v>75</v>
      </c>
      <c r="F10727" s="0" t="s">
        <v>90</v>
      </c>
      <c r="G10727" s="0" t="s">
        <v>36</v>
      </c>
      <c r="H10727" s="0" t="n">
        <v>100</v>
      </c>
      <c r="I10727" s="0" t="s">
        <v>35614</v>
      </c>
      <c r="J10727" s="0" t="s">
        <v>35615</v>
      </c>
      <c r="K10727" s="0" t="s">
        <v>35616</v>
      </c>
      <c r="L10727" s="0" t="str">
        <f aca="false">HYPERLINK("https://www.ncbi.nlm.nih.gov/nuccore/CP000058.1?report=graph&amp;tracks=[key:gene_model_track,Options:GeneOnly]&amp;mk=3386828:3386847|offset_10|444444,3386807:3386826|offset_31|444444,3386738:3386757|offset_100|00cc00,3386716:3386735|offset_122|444444&amp;v=3386627:3386935&amp;c=444444", "offset 100")</f>
        <v>offset 100</v>
      </c>
    </row>
    <row r="10728" customFormat="false" ht="12.8" hidden="false" customHeight="false" outlineLevel="0" collapsed="false">
      <c r="A10728" s="0" t="s">
        <v>12</v>
      </c>
      <c r="B10728" s="0" t="n">
        <v>3386715</v>
      </c>
      <c r="C10728" s="0" t="n">
        <v>3386735</v>
      </c>
      <c r="D10728" s="0" t="s">
        <v>35607</v>
      </c>
      <c r="E10728" s="0" t="s">
        <v>75</v>
      </c>
      <c r="F10728" s="0" t="s">
        <v>90</v>
      </c>
      <c r="G10728" s="0" t="s">
        <v>20</v>
      </c>
      <c r="H10728" s="0" t="n">
        <v>122</v>
      </c>
      <c r="I10728" s="0" t="s">
        <v>35617</v>
      </c>
      <c r="J10728" s="0" t="s">
        <v>35618</v>
      </c>
      <c r="K10728" s="0" t="s">
        <v>35619</v>
      </c>
      <c r="L10728" s="0" t="str">
        <f aca="false">HYPERLINK("https://www.ncbi.nlm.nih.gov/nuccore/CP000058.1?report=graph&amp;tracks=[key:gene_model_track,Options:GeneOnly]&amp;mk=3386828:3386847|offset_10|444444,3386807:3386826|offset_31|444444,3386738:3386757|offset_100|444444,3386716:3386735|offset_122|00cc00&amp;v=3386627:3386935&amp;c=444444", "offset 122")</f>
        <v>offset 122</v>
      </c>
    </row>
    <row r="10729" customFormat="false" ht="12.8" hidden="false" customHeight="false" outlineLevel="0" collapsed="false">
      <c r="A10729" s="0" t="s">
        <v>12</v>
      </c>
      <c r="B10729" s="0" t="n">
        <v>3387719</v>
      </c>
      <c r="C10729" s="0" t="n">
        <v>3387739</v>
      </c>
      <c r="D10729" s="0" t="s">
        <v>35620</v>
      </c>
      <c r="E10729" s="0" t="s">
        <v>75</v>
      </c>
      <c r="F10729" s="0" t="s">
        <v>90</v>
      </c>
      <c r="G10729" s="0" t="s">
        <v>36</v>
      </c>
      <c r="H10729" s="0" t="n">
        <v>35</v>
      </c>
      <c r="I10729" s="0" t="s">
        <v>35621</v>
      </c>
      <c r="J10729" s="0" t="s">
        <v>35622</v>
      </c>
      <c r="K10729" s="0" t="s">
        <v>35623</v>
      </c>
      <c r="L10729" s="0" t="str">
        <f aca="false">HYPERLINK("https://www.ncbi.nlm.nih.gov/nuccore/CP000058.1?report=graph&amp;tracks=[key:gene_model_track,Options:GeneOnly]&amp;mk=3387720:3387739|offset_35|00cc00,3387683:3387702|offset_72|444444,3387660:3387679|offset_95|444444,3387634:3387653|offset_121|444444&amp;v=3387519:3387853&amp;c=444444", "offset 35")</f>
        <v>offset 35</v>
      </c>
    </row>
    <row r="10730" customFormat="false" ht="12.8" hidden="false" customHeight="false" outlineLevel="0" collapsed="false">
      <c r="A10730" s="0" t="s">
        <v>12</v>
      </c>
      <c r="B10730" s="0" t="n">
        <v>3387682</v>
      </c>
      <c r="C10730" s="0" t="n">
        <v>3387702</v>
      </c>
      <c r="D10730" s="0" t="s">
        <v>35620</v>
      </c>
      <c r="E10730" s="0" t="s">
        <v>75</v>
      </c>
      <c r="F10730" s="0" t="s">
        <v>90</v>
      </c>
      <c r="G10730" s="0" t="s">
        <v>16</v>
      </c>
      <c r="H10730" s="0" t="n">
        <v>72</v>
      </c>
      <c r="I10730" s="0" t="s">
        <v>35624</v>
      </c>
      <c r="J10730" s="0" t="s">
        <v>35625</v>
      </c>
      <c r="K10730" s="0" t="s">
        <v>35626</v>
      </c>
      <c r="L10730" s="0" t="str">
        <f aca="false">HYPERLINK("https://www.ncbi.nlm.nih.gov/nuccore/CP000058.1?report=graph&amp;tracks=[key:gene_model_track,Options:GeneOnly]&amp;mk=3387720:3387739|offset_35|444444,3387683:3387702|offset_72|00cc00,3387660:3387679|offset_95|444444,3387634:3387653|offset_121|444444&amp;v=3387519:3387853&amp;c=444444", "offset 72")</f>
        <v>offset 72</v>
      </c>
    </row>
    <row r="10731" customFormat="false" ht="12.8" hidden="false" customHeight="false" outlineLevel="0" collapsed="false">
      <c r="A10731" s="0" t="s">
        <v>12</v>
      </c>
      <c r="B10731" s="0" t="n">
        <v>3387659</v>
      </c>
      <c r="C10731" s="0" t="n">
        <v>3387679</v>
      </c>
      <c r="D10731" s="0" t="s">
        <v>35620</v>
      </c>
      <c r="E10731" s="0" t="s">
        <v>75</v>
      </c>
      <c r="F10731" s="0" t="s">
        <v>90</v>
      </c>
      <c r="G10731" s="0" t="s">
        <v>16</v>
      </c>
      <c r="H10731" s="0" t="n">
        <v>95</v>
      </c>
      <c r="I10731" s="0" t="s">
        <v>35627</v>
      </c>
      <c r="J10731" s="0" t="s">
        <v>35628</v>
      </c>
      <c r="K10731" s="0" t="s">
        <v>35629</v>
      </c>
      <c r="L10731" s="0" t="str">
        <f aca="false">HYPERLINK("https://www.ncbi.nlm.nih.gov/nuccore/CP000058.1?report=graph&amp;tracks=[key:gene_model_track,Options:GeneOnly]&amp;mk=3387720:3387739|offset_35|444444,3387683:3387702|offset_72|444444,3387660:3387679|offset_95|00cc00,3387634:3387653|offset_121|444444&amp;v=3387519:3387853&amp;c=444444", "offset 95")</f>
        <v>offset 95</v>
      </c>
    </row>
    <row r="10732" customFormat="false" ht="12.8" hidden="false" customHeight="false" outlineLevel="0" collapsed="false">
      <c r="A10732" s="0" t="s">
        <v>12</v>
      </c>
      <c r="B10732" s="0" t="n">
        <v>3387633</v>
      </c>
      <c r="C10732" s="0" t="n">
        <v>3387653</v>
      </c>
      <c r="D10732" s="0" t="s">
        <v>35620</v>
      </c>
      <c r="E10732" s="0" t="s">
        <v>75</v>
      </c>
      <c r="F10732" s="0" t="s">
        <v>90</v>
      </c>
      <c r="G10732" s="0" t="s">
        <v>32</v>
      </c>
      <c r="H10732" s="0" t="n">
        <v>121</v>
      </c>
      <c r="I10732" s="0" t="s">
        <v>35630</v>
      </c>
      <c r="J10732" s="0" t="s">
        <v>35631</v>
      </c>
      <c r="K10732" s="0" t="s">
        <v>35632</v>
      </c>
      <c r="L10732" s="0" t="str">
        <f aca="false">HYPERLINK("https://www.ncbi.nlm.nih.gov/nuccore/CP000058.1?report=graph&amp;tracks=[key:gene_model_track,Options:GeneOnly]&amp;mk=3387720:3387739|offset_35|444444,3387683:3387702|offset_72|444444,3387660:3387679|offset_95|444444,3387634:3387653|offset_121|00cc00&amp;v=3387519:3387853&amp;c=444444", "offset 121")</f>
        <v>offset 121</v>
      </c>
    </row>
    <row r="10733" customFormat="false" ht="12.8" hidden="false" customHeight="false" outlineLevel="0" collapsed="false">
      <c r="A10733" s="0" t="s">
        <v>12</v>
      </c>
      <c r="B10733" s="0" t="n">
        <v>3389213</v>
      </c>
      <c r="C10733" s="0" t="n">
        <v>3389233</v>
      </c>
      <c r="D10733" s="0" t="s">
        <v>35633</v>
      </c>
      <c r="E10733" s="0" t="s">
        <v>35634</v>
      </c>
      <c r="F10733" s="0" t="s">
        <v>90</v>
      </c>
      <c r="G10733" s="0" t="s">
        <v>36</v>
      </c>
      <c r="H10733" s="0" t="n">
        <v>0</v>
      </c>
      <c r="I10733" s="0" t="s">
        <v>35635</v>
      </c>
      <c r="J10733" s="0" t="s">
        <v>35636</v>
      </c>
      <c r="K10733" s="0" t="s">
        <v>35637</v>
      </c>
      <c r="L10733" s="0" t="str">
        <f aca="false">HYPERLINK("https://www.ncbi.nlm.nih.gov/nuccore/CP000058.1?report=graph&amp;tracks=[key:gene_model_track,Options:GeneOnly]&amp;mk=3389214:3389233|offset_0|00cc00,3389188:3389207|offset_26|444444,3389126:3389145|offset_88|444444,3389098:3389117|offset_116|444444&amp;v=3389013:3389317&amp;c=444444", "offset 0")</f>
        <v>offset 0</v>
      </c>
    </row>
    <row r="10734" customFormat="false" ht="12.8" hidden="false" customHeight="false" outlineLevel="0" collapsed="false">
      <c r="A10734" s="0" t="s">
        <v>12</v>
      </c>
      <c r="B10734" s="0" t="n">
        <v>3389187</v>
      </c>
      <c r="C10734" s="0" t="n">
        <v>3389207</v>
      </c>
      <c r="D10734" s="0" t="s">
        <v>35633</v>
      </c>
      <c r="E10734" s="0" t="s">
        <v>35634</v>
      </c>
      <c r="F10734" s="0" t="s">
        <v>90</v>
      </c>
      <c r="G10734" s="0" t="s">
        <v>20</v>
      </c>
      <c r="H10734" s="0" t="n">
        <v>26</v>
      </c>
      <c r="I10734" s="0" t="s">
        <v>35638</v>
      </c>
      <c r="J10734" s="0" t="s">
        <v>35639</v>
      </c>
      <c r="K10734" s="0" t="s">
        <v>35640</v>
      </c>
      <c r="L10734" s="0" t="str">
        <f aca="false">HYPERLINK("https://www.ncbi.nlm.nih.gov/nuccore/CP000058.1?report=graph&amp;tracks=[key:gene_model_track,Options:GeneOnly]&amp;mk=3389214:3389233|offset_0|444444,3389188:3389207|offset_26|00cc00,3389126:3389145|offset_88|444444,3389098:3389117|offset_116|444444&amp;v=3389013:3389317&amp;c=444444", "offset 26")</f>
        <v>offset 26</v>
      </c>
    </row>
    <row r="10735" customFormat="false" ht="12.8" hidden="false" customHeight="false" outlineLevel="0" collapsed="false">
      <c r="A10735" s="0" t="s">
        <v>12</v>
      </c>
      <c r="B10735" s="0" t="n">
        <v>3389125</v>
      </c>
      <c r="C10735" s="0" t="n">
        <v>3389145</v>
      </c>
      <c r="D10735" s="0" t="s">
        <v>35633</v>
      </c>
      <c r="E10735" s="0" t="s">
        <v>35634</v>
      </c>
      <c r="F10735" s="0" t="s">
        <v>90</v>
      </c>
      <c r="G10735" s="0" t="s">
        <v>32</v>
      </c>
      <c r="H10735" s="0" t="n">
        <v>88</v>
      </c>
      <c r="I10735" s="0" t="s">
        <v>35641</v>
      </c>
      <c r="J10735" s="0" t="s">
        <v>35642</v>
      </c>
      <c r="K10735" s="0" t="s">
        <v>35643</v>
      </c>
      <c r="L10735" s="0" t="str">
        <f aca="false">HYPERLINK("https://www.ncbi.nlm.nih.gov/nuccore/CP000058.1?report=graph&amp;tracks=[key:gene_model_track,Options:GeneOnly]&amp;mk=3389214:3389233|offset_0|444444,3389188:3389207|offset_26|444444,3389126:3389145|offset_88|00cc00,3389098:3389117|offset_116|444444&amp;v=3389013:3389317&amp;c=444444", "offset 88")</f>
        <v>offset 88</v>
      </c>
    </row>
    <row r="10736" customFormat="false" ht="12.8" hidden="false" customHeight="false" outlineLevel="0" collapsed="false">
      <c r="A10736" s="0" t="s">
        <v>12</v>
      </c>
      <c r="B10736" s="0" t="n">
        <v>3389097</v>
      </c>
      <c r="C10736" s="0" t="n">
        <v>3389117</v>
      </c>
      <c r="D10736" s="0" t="s">
        <v>35633</v>
      </c>
      <c r="E10736" s="0" t="s">
        <v>35634</v>
      </c>
      <c r="F10736" s="0" t="s">
        <v>90</v>
      </c>
      <c r="G10736" s="0" t="s">
        <v>20</v>
      </c>
      <c r="H10736" s="0" t="n">
        <v>116</v>
      </c>
      <c r="I10736" s="0" t="s">
        <v>35644</v>
      </c>
      <c r="J10736" s="0" t="s">
        <v>35645</v>
      </c>
      <c r="K10736" s="0" t="s">
        <v>35646</v>
      </c>
      <c r="L10736" s="0" t="str">
        <f aca="false">HYPERLINK("https://www.ncbi.nlm.nih.gov/nuccore/CP000058.1?report=graph&amp;tracks=[key:gene_model_track,Options:GeneOnly]&amp;mk=3389214:3389233|offset_0|444444,3389188:3389207|offset_26|444444,3389126:3389145|offset_88|444444,3389098:3389117|offset_116|00cc00&amp;v=3389013:3389317&amp;c=444444", "offset 116")</f>
        <v>offset 116</v>
      </c>
    </row>
    <row r="10737" customFormat="false" ht="12.8" hidden="false" customHeight="false" outlineLevel="0" collapsed="false">
      <c r="A10737" s="0" t="s">
        <v>12</v>
      </c>
      <c r="B10737" s="0" t="n">
        <v>3389573</v>
      </c>
      <c r="C10737" s="0" t="n">
        <v>3389593</v>
      </c>
      <c r="D10737" s="0" t="s">
        <v>35647</v>
      </c>
      <c r="E10737" s="0" t="s">
        <v>75</v>
      </c>
      <c r="F10737" s="0" t="s">
        <v>15</v>
      </c>
      <c r="G10737" s="0" t="s">
        <v>20</v>
      </c>
      <c r="H10737" s="0" t="n">
        <v>20</v>
      </c>
      <c r="I10737" s="0" t="s">
        <v>35648</v>
      </c>
      <c r="J10737" s="0" t="s">
        <v>35649</v>
      </c>
      <c r="K10737" s="0" t="s">
        <v>35650</v>
      </c>
      <c r="L10737" s="0" t="str">
        <f aca="false">HYPERLINK("https://www.ncbi.nlm.nih.gov/nuccore/CP000058.1?report=graph&amp;tracks=[key:gene_model_track,Options:GeneOnly]&amp;mk=3389574:3389593|offset_20|00cc00,3389595:3389614|offset_41|444444,3389624:3389643|offset_70|444444,3389652:3389671|offset_98|444444&amp;v=3389373:3389871&amp;c=444444", "offset 20")</f>
        <v>offset 20</v>
      </c>
    </row>
    <row r="10738" customFormat="false" ht="12.8" hidden="false" customHeight="false" outlineLevel="0" collapsed="false">
      <c r="A10738" s="0" t="s">
        <v>12</v>
      </c>
      <c r="B10738" s="0" t="n">
        <v>3389594</v>
      </c>
      <c r="C10738" s="0" t="n">
        <v>3389614</v>
      </c>
      <c r="D10738" s="0" t="s">
        <v>35647</v>
      </c>
      <c r="E10738" s="0" t="s">
        <v>75</v>
      </c>
      <c r="F10738" s="0" t="s">
        <v>15</v>
      </c>
      <c r="G10738" s="0" t="s">
        <v>32</v>
      </c>
      <c r="H10738" s="0" t="n">
        <v>41</v>
      </c>
      <c r="I10738" s="0" t="s">
        <v>35651</v>
      </c>
      <c r="J10738" s="0" t="s">
        <v>35652</v>
      </c>
      <c r="K10738" s="0" t="s">
        <v>35653</v>
      </c>
      <c r="L10738" s="0" t="str">
        <f aca="false">HYPERLINK("https://www.ncbi.nlm.nih.gov/nuccore/CP000058.1?report=graph&amp;tracks=[key:gene_model_track,Options:GeneOnly]&amp;mk=3389574:3389593|offset_20|444444,3389595:3389614|offset_41|00cc00,3389624:3389643|offset_70|444444,3389652:3389671|offset_98|444444&amp;v=3389373:3389871&amp;c=444444", "offset 41")</f>
        <v>offset 41</v>
      </c>
    </row>
    <row r="10739" customFormat="false" ht="12.8" hidden="false" customHeight="false" outlineLevel="0" collapsed="false">
      <c r="A10739" s="0" t="s">
        <v>12</v>
      </c>
      <c r="B10739" s="0" t="n">
        <v>3389623</v>
      </c>
      <c r="C10739" s="0" t="n">
        <v>3389643</v>
      </c>
      <c r="D10739" s="0" t="s">
        <v>35647</v>
      </c>
      <c r="E10739" s="0" t="s">
        <v>75</v>
      </c>
      <c r="F10739" s="0" t="s">
        <v>15</v>
      </c>
      <c r="G10739" s="0" t="s">
        <v>16</v>
      </c>
      <c r="H10739" s="0" t="n">
        <v>70</v>
      </c>
      <c r="I10739" s="0" t="s">
        <v>35654</v>
      </c>
      <c r="J10739" s="0" t="s">
        <v>35655</v>
      </c>
      <c r="K10739" s="0" t="s">
        <v>35656</v>
      </c>
      <c r="L10739" s="0" t="str">
        <f aca="false">HYPERLINK("https://www.ncbi.nlm.nih.gov/nuccore/CP000058.1?report=graph&amp;tracks=[key:gene_model_track,Options:GeneOnly]&amp;mk=3389574:3389593|offset_20|444444,3389595:3389614|offset_41|444444,3389624:3389643|offset_70|00cc00,3389652:3389671|offset_98|444444&amp;v=3389373:3389871&amp;c=444444", "offset 70")</f>
        <v>offset 70</v>
      </c>
    </row>
    <row r="10740" customFormat="false" ht="12.8" hidden="false" customHeight="false" outlineLevel="0" collapsed="false">
      <c r="A10740" s="0" t="s">
        <v>12</v>
      </c>
      <c r="B10740" s="0" t="n">
        <v>3389651</v>
      </c>
      <c r="C10740" s="0" t="n">
        <v>3389671</v>
      </c>
      <c r="D10740" s="0" t="s">
        <v>35647</v>
      </c>
      <c r="E10740" s="0" t="s">
        <v>75</v>
      </c>
      <c r="F10740" s="0" t="s">
        <v>15</v>
      </c>
      <c r="G10740" s="0" t="s">
        <v>32</v>
      </c>
      <c r="H10740" s="0" t="n">
        <v>98</v>
      </c>
      <c r="I10740" s="0" t="s">
        <v>35657</v>
      </c>
      <c r="J10740" s="0" t="s">
        <v>35658</v>
      </c>
      <c r="K10740" s="0" t="s">
        <v>35659</v>
      </c>
      <c r="L10740" s="0" t="str">
        <f aca="false">HYPERLINK("https://www.ncbi.nlm.nih.gov/nuccore/CP000058.1?report=graph&amp;tracks=[key:gene_model_track,Options:GeneOnly]&amp;mk=3389574:3389593|offset_20|444444,3389595:3389614|offset_41|444444,3389624:3389643|offset_70|444444,3389652:3389671|offset_98|00cc00&amp;v=3389373:3389871&amp;c=444444", "offset 98")</f>
        <v>offset 98</v>
      </c>
    </row>
    <row r="10741" customFormat="false" ht="12.8" hidden="false" customHeight="false" outlineLevel="0" collapsed="false">
      <c r="A10741" s="0" t="s">
        <v>12</v>
      </c>
      <c r="B10741" s="0" t="n">
        <v>3391303</v>
      </c>
      <c r="C10741" s="0" t="n">
        <v>3391323</v>
      </c>
      <c r="D10741" s="0" t="s">
        <v>35660</v>
      </c>
      <c r="E10741" s="0" t="s">
        <v>75</v>
      </c>
      <c r="F10741" s="0" t="s">
        <v>90</v>
      </c>
      <c r="G10741" s="0" t="s">
        <v>32</v>
      </c>
      <c r="H10741" s="0" t="n">
        <v>21</v>
      </c>
      <c r="I10741" s="0" t="s">
        <v>35661</v>
      </c>
      <c r="J10741" s="0" t="s">
        <v>35662</v>
      </c>
      <c r="K10741" s="0" t="s">
        <v>35663</v>
      </c>
      <c r="L10741" s="0" t="str">
        <f aca="false">HYPERLINK("https://www.ncbi.nlm.nih.gov/nuccore/CP000058.1?report=graph&amp;tracks=[key:gene_model_track,Options:GeneOnly]&amp;mk=3391304:3391323|offset_21|00cc00,3391227:3391246|offset_98|444444,3391206:3391225|offset_119|444444,3391185:3391204|offset_140|444444&amp;v=3391103:3391404&amp;c=444444", "offset 21")</f>
        <v>offset 21</v>
      </c>
    </row>
    <row r="10742" customFormat="false" ht="12.8" hidden="false" customHeight="false" outlineLevel="0" collapsed="false">
      <c r="A10742" s="0" t="s">
        <v>12</v>
      </c>
      <c r="B10742" s="0" t="n">
        <v>3391226</v>
      </c>
      <c r="C10742" s="0" t="n">
        <v>3391246</v>
      </c>
      <c r="D10742" s="0" t="s">
        <v>35660</v>
      </c>
      <c r="E10742" s="0" t="s">
        <v>75</v>
      </c>
      <c r="F10742" s="0" t="s">
        <v>90</v>
      </c>
      <c r="G10742" s="0" t="s">
        <v>32</v>
      </c>
      <c r="H10742" s="0" t="n">
        <v>98</v>
      </c>
      <c r="I10742" s="0" t="s">
        <v>35664</v>
      </c>
      <c r="J10742" s="0" t="s">
        <v>35665</v>
      </c>
      <c r="K10742" s="0" t="s">
        <v>35666</v>
      </c>
      <c r="L10742" s="0" t="str">
        <f aca="false">HYPERLINK("https://www.ncbi.nlm.nih.gov/nuccore/CP000058.1?report=graph&amp;tracks=[key:gene_model_track,Options:GeneOnly]&amp;mk=3391304:3391323|offset_21|444444,3391227:3391246|offset_98|00cc00,3391206:3391225|offset_119|444444,3391185:3391204|offset_140|444444&amp;v=3391103:3391404&amp;c=444444", "offset 98")</f>
        <v>offset 98</v>
      </c>
    </row>
    <row r="10743" customFormat="false" ht="12.8" hidden="false" customHeight="false" outlineLevel="0" collapsed="false">
      <c r="A10743" s="0" t="s">
        <v>12</v>
      </c>
      <c r="B10743" s="0" t="n">
        <v>3391205</v>
      </c>
      <c r="C10743" s="0" t="n">
        <v>3391225</v>
      </c>
      <c r="D10743" s="0" t="s">
        <v>35660</v>
      </c>
      <c r="E10743" s="0" t="s">
        <v>75</v>
      </c>
      <c r="F10743" s="0" t="s">
        <v>90</v>
      </c>
      <c r="G10743" s="0" t="s">
        <v>20</v>
      </c>
      <c r="H10743" s="0" t="n">
        <v>119</v>
      </c>
      <c r="I10743" s="0" t="s">
        <v>35667</v>
      </c>
      <c r="J10743" s="0" t="s">
        <v>35668</v>
      </c>
      <c r="K10743" s="0" t="s">
        <v>35669</v>
      </c>
      <c r="L10743" s="0" t="str">
        <f aca="false">HYPERLINK("https://www.ncbi.nlm.nih.gov/nuccore/CP000058.1?report=graph&amp;tracks=[key:gene_model_track,Options:GeneOnly]&amp;mk=3391304:3391323|offset_21|444444,3391227:3391246|offset_98|444444,3391206:3391225|offset_119|00cc00,3391185:3391204|offset_140|444444&amp;v=3391103:3391404&amp;c=444444", "offset 119")</f>
        <v>offset 119</v>
      </c>
    </row>
    <row r="10744" customFormat="false" ht="12.8" hidden="false" customHeight="false" outlineLevel="0" collapsed="false">
      <c r="A10744" s="0" t="s">
        <v>12</v>
      </c>
      <c r="B10744" s="0" t="n">
        <v>3391184</v>
      </c>
      <c r="C10744" s="0" t="n">
        <v>3391204</v>
      </c>
      <c r="D10744" s="0" t="s">
        <v>35660</v>
      </c>
      <c r="E10744" s="0" t="s">
        <v>75</v>
      </c>
      <c r="F10744" s="0" t="s">
        <v>90</v>
      </c>
      <c r="G10744" s="0" t="s">
        <v>36</v>
      </c>
      <c r="H10744" s="0" t="n">
        <v>140</v>
      </c>
      <c r="I10744" s="0" t="s">
        <v>35670</v>
      </c>
      <c r="J10744" s="0" t="s">
        <v>35671</v>
      </c>
      <c r="K10744" s="0" t="s">
        <v>35672</v>
      </c>
      <c r="L10744" s="0" t="str">
        <f aca="false">HYPERLINK("https://www.ncbi.nlm.nih.gov/nuccore/CP000058.1?report=graph&amp;tracks=[key:gene_model_track,Options:GeneOnly]&amp;mk=3391304:3391323|offset_21|444444,3391227:3391246|offset_98|444444,3391206:3391225|offset_119|444444,3391185:3391204|offset_140|00cc00&amp;v=3391103:3391404&amp;c=444444", "offset 140")</f>
        <v>offset 140</v>
      </c>
    </row>
    <row r="10745" customFormat="false" ht="12.8" hidden="false" customHeight="false" outlineLevel="0" collapsed="false">
      <c r="A10745" s="0" t="s">
        <v>12</v>
      </c>
      <c r="B10745" s="0" t="n">
        <v>3391935</v>
      </c>
      <c r="C10745" s="0" t="n">
        <v>3391955</v>
      </c>
      <c r="D10745" s="0" t="s">
        <v>35673</v>
      </c>
      <c r="E10745" s="0" t="s">
        <v>75</v>
      </c>
      <c r="F10745" s="0" t="s">
        <v>90</v>
      </c>
      <c r="G10745" s="0" t="s">
        <v>16</v>
      </c>
      <c r="H10745" s="0" t="n">
        <v>1</v>
      </c>
      <c r="I10745" s="0" t="s">
        <v>35674</v>
      </c>
      <c r="J10745" s="0" t="s">
        <v>35675</v>
      </c>
      <c r="K10745" s="0" t="s">
        <v>35676</v>
      </c>
      <c r="L10745" s="0" t="str">
        <f aca="false">HYPERLINK("https://www.ncbi.nlm.nih.gov/nuccore/CP000058.1?report=graph&amp;tracks=[key:gene_model_track,Options:GeneOnly]&amp;mk=3391936:3391955|offset_1|00cc00,3391915:3391934|offset_22|444444,3391888:3391907|offset_49|444444,3391820:3391839|offset_117|444444&amp;v=3391735:3392039&amp;c=444444", "offset 1")</f>
        <v>offset 1</v>
      </c>
    </row>
    <row r="10746" customFormat="false" ht="12.8" hidden="false" customHeight="false" outlineLevel="0" collapsed="false">
      <c r="A10746" s="0" t="s">
        <v>12</v>
      </c>
      <c r="B10746" s="0" t="n">
        <v>3391914</v>
      </c>
      <c r="C10746" s="0" t="n">
        <v>3391934</v>
      </c>
      <c r="D10746" s="0" t="s">
        <v>35673</v>
      </c>
      <c r="E10746" s="0" t="s">
        <v>75</v>
      </c>
      <c r="F10746" s="0" t="s">
        <v>90</v>
      </c>
      <c r="G10746" s="0" t="s">
        <v>16</v>
      </c>
      <c r="H10746" s="0" t="n">
        <v>22</v>
      </c>
      <c r="I10746" s="0" t="s">
        <v>35677</v>
      </c>
      <c r="J10746" s="0" t="s">
        <v>35678</v>
      </c>
      <c r="K10746" s="0" t="s">
        <v>35679</v>
      </c>
      <c r="L10746" s="0" t="str">
        <f aca="false">HYPERLINK("https://www.ncbi.nlm.nih.gov/nuccore/CP000058.1?report=graph&amp;tracks=[key:gene_model_track,Options:GeneOnly]&amp;mk=3391936:3391955|offset_1|444444,3391915:3391934|offset_22|00cc00,3391888:3391907|offset_49|444444,3391820:3391839|offset_117|444444&amp;v=3391735:3392039&amp;c=444444", "offset 22")</f>
        <v>offset 22</v>
      </c>
    </row>
    <row r="10747" customFormat="false" ht="12.8" hidden="false" customHeight="false" outlineLevel="0" collapsed="false">
      <c r="A10747" s="0" t="s">
        <v>12</v>
      </c>
      <c r="B10747" s="0" t="n">
        <v>3391887</v>
      </c>
      <c r="C10747" s="0" t="n">
        <v>3391907</v>
      </c>
      <c r="D10747" s="0" t="s">
        <v>35673</v>
      </c>
      <c r="E10747" s="0" t="s">
        <v>75</v>
      </c>
      <c r="F10747" s="0" t="s">
        <v>90</v>
      </c>
      <c r="G10747" s="0" t="s">
        <v>16</v>
      </c>
      <c r="H10747" s="0" t="n">
        <v>49</v>
      </c>
      <c r="I10747" s="0" t="s">
        <v>35680</v>
      </c>
      <c r="J10747" s="0" t="s">
        <v>35681</v>
      </c>
      <c r="K10747" s="0" t="s">
        <v>35682</v>
      </c>
      <c r="L10747" s="0" t="str">
        <f aca="false">HYPERLINK("https://www.ncbi.nlm.nih.gov/nuccore/CP000058.1?report=graph&amp;tracks=[key:gene_model_track,Options:GeneOnly]&amp;mk=3391936:3391955|offset_1|444444,3391915:3391934|offset_22|444444,3391888:3391907|offset_49|00cc00,3391820:3391839|offset_117|444444&amp;v=3391735:3392039&amp;c=444444", "offset 49")</f>
        <v>offset 49</v>
      </c>
    </row>
    <row r="10748" customFormat="false" ht="12.8" hidden="false" customHeight="false" outlineLevel="0" collapsed="false">
      <c r="A10748" s="0" t="s">
        <v>12</v>
      </c>
      <c r="B10748" s="0" t="n">
        <v>3391819</v>
      </c>
      <c r="C10748" s="0" t="n">
        <v>3391839</v>
      </c>
      <c r="D10748" s="0" t="s">
        <v>35673</v>
      </c>
      <c r="E10748" s="0" t="s">
        <v>75</v>
      </c>
      <c r="F10748" s="0" t="s">
        <v>90</v>
      </c>
      <c r="G10748" s="0" t="s">
        <v>36</v>
      </c>
      <c r="H10748" s="0" t="n">
        <v>117</v>
      </c>
      <c r="I10748" s="0" t="s">
        <v>35683</v>
      </c>
      <c r="J10748" s="0" t="s">
        <v>35684</v>
      </c>
      <c r="K10748" s="0" t="s">
        <v>35685</v>
      </c>
      <c r="L10748" s="0" t="str">
        <f aca="false">HYPERLINK("https://www.ncbi.nlm.nih.gov/nuccore/CP000058.1?report=graph&amp;tracks=[key:gene_model_track,Options:GeneOnly]&amp;mk=3391936:3391955|offset_1|444444,3391915:3391934|offset_22|444444,3391888:3391907|offset_49|444444,3391820:3391839|offset_117|00cc00&amp;v=3391735:3392039&amp;c=444444", "offset 117")</f>
        <v>offset 117</v>
      </c>
    </row>
    <row r="10749" customFormat="false" ht="12.8" hidden="false" customHeight="false" outlineLevel="0" collapsed="false">
      <c r="A10749" s="0" t="s">
        <v>12</v>
      </c>
      <c r="B10749" s="0" t="n">
        <v>3392842</v>
      </c>
      <c r="C10749" s="0" t="n">
        <v>3392862</v>
      </c>
      <c r="D10749" s="0" t="s">
        <v>35686</v>
      </c>
      <c r="E10749" s="0" t="s">
        <v>75</v>
      </c>
      <c r="F10749" s="0" t="s">
        <v>90</v>
      </c>
      <c r="G10749" s="0" t="s">
        <v>36</v>
      </c>
      <c r="H10749" s="0" t="n">
        <v>11</v>
      </c>
      <c r="I10749" s="0" t="s">
        <v>35687</v>
      </c>
      <c r="J10749" s="0" t="s">
        <v>35688</v>
      </c>
      <c r="K10749" s="0" t="s">
        <v>35689</v>
      </c>
      <c r="L10749" s="0" t="str">
        <f aca="false">HYPERLINK("https://www.ncbi.nlm.nih.gov/nuccore/CP000058.1?report=graph&amp;tracks=[key:gene_model_track,Options:GeneOnly]&amp;mk=3392843:3392862|offset_11|00cc00,3392811:3392830|offset_43|444444,3392761:3392780|offset_93|444444,3392735:3392754|offset_119|444444&amp;v=3392642:3392954&amp;c=444444", "offset 11")</f>
        <v>offset 11</v>
      </c>
    </row>
    <row r="10750" customFormat="false" ht="12.8" hidden="false" customHeight="false" outlineLevel="0" collapsed="false">
      <c r="A10750" s="0" t="s">
        <v>12</v>
      </c>
      <c r="B10750" s="0" t="n">
        <v>3392810</v>
      </c>
      <c r="C10750" s="0" t="n">
        <v>3392830</v>
      </c>
      <c r="D10750" s="0" t="s">
        <v>35686</v>
      </c>
      <c r="E10750" s="0" t="s">
        <v>75</v>
      </c>
      <c r="F10750" s="0" t="s">
        <v>90</v>
      </c>
      <c r="G10750" s="0" t="s">
        <v>20</v>
      </c>
      <c r="H10750" s="0" t="n">
        <v>43</v>
      </c>
      <c r="I10750" s="0" t="s">
        <v>35690</v>
      </c>
      <c r="J10750" s="0" t="s">
        <v>35691</v>
      </c>
      <c r="K10750" s="0" t="s">
        <v>35692</v>
      </c>
      <c r="L10750" s="0" t="str">
        <f aca="false">HYPERLINK("https://www.ncbi.nlm.nih.gov/nuccore/CP000058.1?report=graph&amp;tracks=[key:gene_model_track,Options:GeneOnly]&amp;mk=3392843:3392862|offset_11|444444,3392811:3392830|offset_43|00cc00,3392761:3392780|offset_93|444444,3392735:3392754|offset_119|444444&amp;v=3392642:3392954&amp;c=444444", "offset 43")</f>
        <v>offset 43</v>
      </c>
    </row>
    <row r="10751" customFormat="false" ht="12.8" hidden="false" customHeight="false" outlineLevel="0" collapsed="false">
      <c r="A10751" s="0" t="s">
        <v>12</v>
      </c>
      <c r="B10751" s="0" t="n">
        <v>3392760</v>
      </c>
      <c r="C10751" s="0" t="n">
        <v>3392780</v>
      </c>
      <c r="D10751" s="0" t="s">
        <v>35686</v>
      </c>
      <c r="E10751" s="0" t="s">
        <v>75</v>
      </c>
      <c r="F10751" s="0" t="s">
        <v>90</v>
      </c>
      <c r="G10751" s="0" t="s">
        <v>36</v>
      </c>
      <c r="H10751" s="0" t="n">
        <v>93</v>
      </c>
      <c r="I10751" s="0" t="s">
        <v>35693</v>
      </c>
      <c r="J10751" s="0" t="s">
        <v>35694</v>
      </c>
      <c r="K10751" s="0" t="s">
        <v>35695</v>
      </c>
      <c r="L10751" s="0" t="str">
        <f aca="false">HYPERLINK("https://www.ncbi.nlm.nih.gov/nuccore/CP000058.1?report=graph&amp;tracks=[key:gene_model_track,Options:GeneOnly]&amp;mk=3392843:3392862|offset_11|444444,3392811:3392830|offset_43|444444,3392761:3392780|offset_93|00cc00,3392735:3392754|offset_119|444444&amp;v=3392642:3392954&amp;c=444444", "offset 93")</f>
        <v>offset 93</v>
      </c>
    </row>
    <row r="10752" customFormat="false" ht="12.8" hidden="false" customHeight="false" outlineLevel="0" collapsed="false">
      <c r="A10752" s="0" t="s">
        <v>12</v>
      </c>
      <c r="B10752" s="0" t="n">
        <v>3392734</v>
      </c>
      <c r="C10752" s="0" t="n">
        <v>3392754</v>
      </c>
      <c r="D10752" s="0" t="s">
        <v>35686</v>
      </c>
      <c r="E10752" s="0" t="s">
        <v>75</v>
      </c>
      <c r="F10752" s="0" t="s">
        <v>90</v>
      </c>
      <c r="G10752" s="0" t="s">
        <v>16</v>
      </c>
      <c r="H10752" s="0" t="n">
        <v>119</v>
      </c>
      <c r="I10752" s="0" t="s">
        <v>35696</v>
      </c>
      <c r="J10752" s="0" t="s">
        <v>35697</v>
      </c>
      <c r="K10752" s="0" t="s">
        <v>35698</v>
      </c>
      <c r="L10752" s="0" t="str">
        <f aca="false">HYPERLINK("https://www.ncbi.nlm.nih.gov/nuccore/CP000058.1?report=graph&amp;tracks=[key:gene_model_track,Options:GeneOnly]&amp;mk=3392843:3392862|offset_11|444444,3392811:3392830|offset_43|444444,3392761:3392780|offset_93|444444,3392735:3392754|offset_119|00cc00&amp;v=3392642:3392954&amp;c=444444", "offset 119")</f>
        <v>offset 119</v>
      </c>
    </row>
    <row r="10753" customFormat="false" ht="12.8" hidden="false" customHeight="false" outlineLevel="0" collapsed="false">
      <c r="A10753" s="0" t="s">
        <v>12</v>
      </c>
      <c r="B10753" s="0" t="n">
        <v>3393911</v>
      </c>
      <c r="C10753" s="0" t="n">
        <v>3393931</v>
      </c>
      <c r="D10753" s="0" t="s">
        <v>35699</v>
      </c>
      <c r="E10753" s="0" t="s">
        <v>75</v>
      </c>
      <c r="F10753" s="0" t="s">
        <v>90</v>
      </c>
      <c r="G10753" s="0" t="s">
        <v>32</v>
      </c>
      <c r="H10753" s="0" t="n">
        <v>25</v>
      </c>
      <c r="I10753" s="0" t="s">
        <v>35700</v>
      </c>
      <c r="J10753" s="0" t="s">
        <v>35701</v>
      </c>
      <c r="K10753" s="0" t="s">
        <v>35702</v>
      </c>
      <c r="L10753" s="0" t="str">
        <f aca="false">HYPERLINK("https://www.ncbi.nlm.nih.gov/nuccore/CP000058.1?report=graph&amp;tracks=[key:gene_model_track,Options:GeneOnly]&amp;mk=3393912:3393931|offset_25|00cc00,3393834:3393853|offset_103|444444,3393786:3393805|offset_151|444444,3393734:3393753|offset_203|444444&amp;v=3393711:3393953&amp;c=444444", "offset 25")</f>
        <v>offset 25</v>
      </c>
    </row>
    <row r="10754" customFormat="false" ht="12.8" hidden="false" customHeight="false" outlineLevel="0" collapsed="false">
      <c r="A10754" s="0" t="s">
        <v>12</v>
      </c>
      <c r="B10754" s="0" t="n">
        <v>3393833</v>
      </c>
      <c r="C10754" s="0" t="n">
        <v>3393853</v>
      </c>
      <c r="D10754" s="0" t="s">
        <v>35699</v>
      </c>
      <c r="E10754" s="0" t="s">
        <v>75</v>
      </c>
      <c r="F10754" s="0" t="s">
        <v>90</v>
      </c>
      <c r="G10754" s="0" t="s">
        <v>20</v>
      </c>
      <c r="H10754" s="0" t="n">
        <v>103</v>
      </c>
      <c r="I10754" s="0" t="s">
        <v>35703</v>
      </c>
      <c r="J10754" s="0" t="s">
        <v>35704</v>
      </c>
      <c r="K10754" s="0" t="s">
        <v>35705</v>
      </c>
      <c r="L10754" s="0" t="str">
        <f aca="false">HYPERLINK("https://www.ncbi.nlm.nih.gov/nuccore/CP000058.1?report=graph&amp;tracks=[key:gene_model_track,Options:GeneOnly]&amp;mk=3393912:3393931|offset_25|444444,3393834:3393853|offset_103|00cc00,3393786:3393805|offset_151|444444,3393734:3393753|offset_203|444444&amp;v=3393711:3393953&amp;c=444444", "offset 103")</f>
        <v>offset 103</v>
      </c>
    </row>
    <row r="10755" customFormat="false" ht="12.8" hidden="false" customHeight="false" outlineLevel="0" collapsed="false">
      <c r="A10755" s="0" t="s">
        <v>12</v>
      </c>
      <c r="B10755" s="0" t="n">
        <v>3393785</v>
      </c>
      <c r="C10755" s="0" t="n">
        <v>3393805</v>
      </c>
      <c r="D10755" s="0" t="s">
        <v>35699</v>
      </c>
      <c r="E10755" s="0" t="s">
        <v>75</v>
      </c>
      <c r="F10755" s="0" t="s">
        <v>90</v>
      </c>
      <c r="G10755" s="0" t="s">
        <v>16</v>
      </c>
      <c r="H10755" s="0" t="n">
        <v>151</v>
      </c>
      <c r="I10755" s="0" t="s">
        <v>35706</v>
      </c>
      <c r="J10755" s="0" t="s">
        <v>35707</v>
      </c>
      <c r="K10755" s="0" t="s">
        <v>35708</v>
      </c>
      <c r="L10755" s="0" t="str">
        <f aca="false">HYPERLINK("https://www.ncbi.nlm.nih.gov/nuccore/CP000058.1?report=graph&amp;tracks=[key:gene_model_track,Options:GeneOnly]&amp;mk=3393912:3393931|offset_25|444444,3393834:3393853|offset_103|444444,3393786:3393805|offset_151|00cc00,3393734:3393753|offset_203|444444&amp;v=3393711:3393953&amp;c=444444", "offset 151")</f>
        <v>offset 151</v>
      </c>
    </row>
    <row r="10756" customFormat="false" ht="12.8" hidden="false" customHeight="false" outlineLevel="0" collapsed="false">
      <c r="A10756" s="0" t="s">
        <v>12</v>
      </c>
      <c r="B10756" s="0" t="n">
        <v>3393733</v>
      </c>
      <c r="C10756" s="0" t="n">
        <v>3393753</v>
      </c>
      <c r="D10756" s="0" t="s">
        <v>35699</v>
      </c>
      <c r="E10756" s="0" t="s">
        <v>75</v>
      </c>
      <c r="F10756" s="0" t="s">
        <v>90</v>
      </c>
      <c r="G10756" s="0" t="s">
        <v>16</v>
      </c>
      <c r="H10756" s="0" t="n">
        <v>203</v>
      </c>
      <c r="I10756" s="0" t="s">
        <v>35709</v>
      </c>
      <c r="J10756" s="0" t="s">
        <v>35710</v>
      </c>
      <c r="K10756" s="0" t="s">
        <v>35711</v>
      </c>
      <c r="L10756" s="0" t="str">
        <f aca="false">HYPERLINK("https://www.ncbi.nlm.nih.gov/nuccore/CP000058.1?report=graph&amp;tracks=[key:gene_model_track,Options:GeneOnly]&amp;mk=3393912:3393931|offset_25|444444,3393834:3393853|offset_103|444444,3393786:3393805|offset_151|444444,3393734:3393753|offset_203|00cc00&amp;v=3393711:3393953&amp;c=444444", "offset 203")</f>
        <v>offset 203</v>
      </c>
    </row>
    <row r="10757" customFormat="false" ht="12.8" hidden="false" customHeight="false" outlineLevel="0" collapsed="false">
      <c r="A10757" s="0" t="s">
        <v>12</v>
      </c>
      <c r="B10757" s="0" t="n">
        <v>3394205</v>
      </c>
      <c r="C10757" s="0" t="n">
        <v>3394225</v>
      </c>
      <c r="D10757" s="0" t="s">
        <v>35712</v>
      </c>
      <c r="E10757" s="0" t="s">
        <v>75</v>
      </c>
      <c r="F10757" s="0" t="s">
        <v>15</v>
      </c>
      <c r="G10757" s="0" t="s">
        <v>20</v>
      </c>
      <c r="H10757" s="0" t="n">
        <v>44</v>
      </c>
      <c r="I10757" s="0" t="s">
        <v>35713</v>
      </c>
      <c r="J10757" s="0" t="s">
        <v>35714</v>
      </c>
      <c r="K10757" s="0" t="s">
        <v>35715</v>
      </c>
      <c r="L10757" s="0" t="str">
        <f aca="false">HYPERLINK("https://www.ncbi.nlm.nih.gov/nuccore/CP000058.1?report=graph&amp;tracks=[key:gene_model_track,Options:GeneOnly]&amp;mk=3394206:3394225|offset_44|00cc00,3394226:3394245|offset_64|444444,3394262:3394281|offset_100|444444,3394290:3394309|offset_128|444444&amp;v=3394005:3394509&amp;c=444444", "offset 44")</f>
        <v>offset 44</v>
      </c>
    </row>
    <row r="10758" customFormat="false" ht="12.8" hidden="false" customHeight="false" outlineLevel="0" collapsed="false">
      <c r="A10758" s="0" t="s">
        <v>12</v>
      </c>
      <c r="B10758" s="0" t="n">
        <v>3394225</v>
      </c>
      <c r="C10758" s="0" t="n">
        <v>3394245</v>
      </c>
      <c r="D10758" s="0" t="s">
        <v>35712</v>
      </c>
      <c r="E10758" s="0" t="s">
        <v>75</v>
      </c>
      <c r="F10758" s="0" t="s">
        <v>15</v>
      </c>
      <c r="G10758" s="0" t="s">
        <v>36</v>
      </c>
      <c r="H10758" s="0" t="n">
        <v>64</v>
      </c>
      <c r="I10758" s="0" t="s">
        <v>35716</v>
      </c>
      <c r="J10758" s="0" t="s">
        <v>35717</v>
      </c>
      <c r="K10758" s="0" t="s">
        <v>35718</v>
      </c>
      <c r="L10758" s="0" t="str">
        <f aca="false">HYPERLINK("https://www.ncbi.nlm.nih.gov/nuccore/CP000058.1?report=graph&amp;tracks=[key:gene_model_track,Options:GeneOnly]&amp;mk=3394206:3394225|offset_44|444444,3394226:3394245|offset_64|00cc00,3394262:3394281|offset_100|444444,3394290:3394309|offset_128|444444&amp;v=3394005:3394509&amp;c=444444", "offset 64")</f>
        <v>offset 64</v>
      </c>
    </row>
    <row r="10759" customFormat="false" ht="12.8" hidden="false" customHeight="false" outlineLevel="0" collapsed="false">
      <c r="A10759" s="0" t="s">
        <v>12</v>
      </c>
      <c r="B10759" s="0" t="n">
        <v>3394261</v>
      </c>
      <c r="C10759" s="0" t="n">
        <v>3394281</v>
      </c>
      <c r="D10759" s="0" t="s">
        <v>35712</v>
      </c>
      <c r="E10759" s="0" t="s">
        <v>75</v>
      </c>
      <c r="F10759" s="0" t="s">
        <v>15</v>
      </c>
      <c r="G10759" s="0" t="s">
        <v>20</v>
      </c>
      <c r="H10759" s="0" t="n">
        <v>100</v>
      </c>
      <c r="I10759" s="0" t="s">
        <v>35719</v>
      </c>
      <c r="J10759" s="0" t="s">
        <v>35720</v>
      </c>
      <c r="K10759" s="0" t="s">
        <v>35721</v>
      </c>
      <c r="L10759" s="0" t="str">
        <f aca="false">HYPERLINK("https://www.ncbi.nlm.nih.gov/nuccore/CP000058.1?report=graph&amp;tracks=[key:gene_model_track,Options:GeneOnly]&amp;mk=3394206:3394225|offset_44|444444,3394226:3394245|offset_64|444444,3394262:3394281|offset_100|00cc00,3394290:3394309|offset_128|444444&amp;v=3394005:3394509&amp;c=444444", "offset 100")</f>
        <v>offset 100</v>
      </c>
    </row>
    <row r="10760" customFormat="false" ht="12.8" hidden="false" customHeight="false" outlineLevel="0" collapsed="false">
      <c r="A10760" s="0" t="s">
        <v>12</v>
      </c>
      <c r="B10760" s="0" t="n">
        <v>3394289</v>
      </c>
      <c r="C10760" s="0" t="n">
        <v>3394309</v>
      </c>
      <c r="D10760" s="0" t="s">
        <v>35712</v>
      </c>
      <c r="E10760" s="0" t="s">
        <v>75</v>
      </c>
      <c r="F10760" s="0" t="s">
        <v>15</v>
      </c>
      <c r="G10760" s="0" t="s">
        <v>36</v>
      </c>
      <c r="H10760" s="0" t="n">
        <v>128</v>
      </c>
      <c r="I10760" s="0" t="s">
        <v>35722</v>
      </c>
      <c r="J10760" s="0" t="s">
        <v>35723</v>
      </c>
      <c r="K10760" s="0" t="s">
        <v>35724</v>
      </c>
      <c r="L10760" s="0" t="str">
        <f aca="false">HYPERLINK("https://www.ncbi.nlm.nih.gov/nuccore/CP000058.1?report=graph&amp;tracks=[key:gene_model_track,Options:GeneOnly]&amp;mk=3394206:3394225|offset_44|444444,3394226:3394245|offset_64|444444,3394262:3394281|offset_100|444444,3394290:3394309|offset_128|00cc00&amp;v=3394005:3394509&amp;c=444444", "offset 128")</f>
        <v>offset 128</v>
      </c>
    </row>
    <row r="10761" customFormat="false" ht="12.8" hidden="false" customHeight="false" outlineLevel="0" collapsed="false">
      <c r="A10761" s="0" t="s">
        <v>12</v>
      </c>
      <c r="B10761" s="0" t="n">
        <v>3396269</v>
      </c>
      <c r="C10761" s="0" t="n">
        <v>3396289</v>
      </c>
      <c r="D10761" s="0" t="s">
        <v>35725</v>
      </c>
      <c r="E10761" s="0" t="s">
        <v>75</v>
      </c>
      <c r="F10761" s="0" t="s">
        <v>15</v>
      </c>
      <c r="G10761" s="0" t="s">
        <v>20</v>
      </c>
      <c r="H10761" s="0" t="n">
        <v>24</v>
      </c>
      <c r="I10761" s="0" t="s">
        <v>35726</v>
      </c>
      <c r="J10761" s="0" t="s">
        <v>35727</v>
      </c>
      <c r="K10761" s="0" t="s">
        <v>35728</v>
      </c>
      <c r="L10761" s="0" t="str">
        <f aca="false">HYPERLINK("https://www.ncbi.nlm.nih.gov/nuccore/CP000058.1?report=graph&amp;tracks=[key:gene_model_track,Options:GeneOnly]&amp;mk=3396270:3396289|offset_24|00cc00,3396345:3396364|offset_99|444444,3396366:3396385|offset_120|444444,3396394:3396413|offset_148|444444&amp;v=3396069:3396613&amp;c=444444", "offset 24")</f>
        <v>offset 24</v>
      </c>
    </row>
    <row r="10762" customFormat="false" ht="12.8" hidden="false" customHeight="false" outlineLevel="0" collapsed="false">
      <c r="A10762" s="0" t="s">
        <v>12</v>
      </c>
      <c r="B10762" s="0" t="n">
        <v>3396344</v>
      </c>
      <c r="C10762" s="0" t="n">
        <v>3396364</v>
      </c>
      <c r="D10762" s="0" t="s">
        <v>35725</v>
      </c>
      <c r="E10762" s="0" t="s">
        <v>75</v>
      </c>
      <c r="F10762" s="0" t="s">
        <v>15</v>
      </c>
      <c r="G10762" s="0" t="s">
        <v>20</v>
      </c>
      <c r="H10762" s="0" t="n">
        <v>99</v>
      </c>
      <c r="I10762" s="0" t="s">
        <v>35729</v>
      </c>
      <c r="J10762" s="0" t="s">
        <v>35730</v>
      </c>
      <c r="K10762" s="0" t="s">
        <v>35731</v>
      </c>
      <c r="L10762" s="0" t="str">
        <f aca="false">HYPERLINK("https://www.ncbi.nlm.nih.gov/nuccore/CP000058.1?report=graph&amp;tracks=[key:gene_model_track,Options:GeneOnly]&amp;mk=3396270:3396289|offset_24|444444,3396345:3396364|offset_99|00cc00,3396366:3396385|offset_120|444444,3396394:3396413|offset_148|444444&amp;v=3396069:3396613&amp;c=444444", "offset 99")</f>
        <v>offset 99</v>
      </c>
    </row>
    <row r="10763" customFormat="false" ht="12.8" hidden="false" customHeight="false" outlineLevel="0" collapsed="false">
      <c r="A10763" s="0" t="s">
        <v>12</v>
      </c>
      <c r="B10763" s="0" t="n">
        <v>3396365</v>
      </c>
      <c r="C10763" s="0" t="n">
        <v>3396385</v>
      </c>
      <c r="D10763" s="0" t="s">
        <v>35725</v>
      </c>
      <c r="E10763" s="0" t="s">
        <v>75</v>
      </c>
      <c r="F10763" s="0" t="s">
        <v>15</v>
      </c>
      <c r="G10763" s="0" t="s">
        <v>20</v>
      </c>
      <c r="H10763" s="0" t="n">
        <v>120</v>
      </c>
      <c r="I10763" s="0" t="s">
        <v>35732</v>
      </c>
      <c r="J10763" s="0" t="s">
        <v>35733</v>
      </c>
      <c r="K10763" s="0" t="s">
        <v>35734</v>
      </c>
      <c r="L10763" s="0" t="str">
        <f aca="false">HYPERLINK("https://www.ncbi.nlm.nih.gov/nuccore/CP000058.1?report=graph&amp;tracks=[key:gene_model_track,Options:GeneOnly]&amp;mk=3396270:3396289|offset_24|444444,3396345:3396364|offset_99|444444,3396366:3396385|offset_120|00cc00,3396394:3396413|offset_148|444444&amp;v=3396069:3396613&amp;c=444444", "offset 120")</f>
        <v>offset 120</v>
      </c>
    </row>
    <row r="10764" customFormat="false" ht="12.8" hidden="false" customHeight="false" outlineLevel="0" collapsed="false">
      <c r="A10764" s="0" t="s">
        <v>12</v>
      </c>
      <c r="B10764" s="0" t="n">
        <v>3396393</v>
      </c>
      <c r="C10764" s="0" t="n">
        <v>3396413</v>
      </c>
      <c r="D10764" s="0" t="s">
        <v>35725</v>
      </c>
      <c r="E10764" s="0" t="s">
        <v>75</v>
      </c>
      <c r="F10764" s="0" t="s">
        <v>15</v>
      </c>
      <c r="G10764" s="0" t="s">
        <v>36</v>
      </c>
      <c r="H10764" s="0" t="n">
        <v>148</v>
      </c>
      <c r="I10764" s="0" t="s">
        <v>35735</v>
      </c>
      <c r="J10764" s="0" t="s">
        <v>35736</v>
      </c>
      <c r="K10764" s="0" t="s">
        <v>35737</v>
      </c>
      <c r="L10764" s="0" t="str">
        <f aca="false">HYPERLINK("https://www.ncbi.nlm.nih.gov/nuccore/CP000058.1?report=graph&amp;tracks=[key:gene_model_track,Options:GeneOnly]&amp;mk=3396270:3396289|offset_24|444444,3396345:3396364|offset_99|444444,3396366:3396385|offset_120|444444,3396394:3396413|offset_148|00cc00&amp;v=3396069:3396613&amp;c=444444", "offset 148")</f>
        <v>offset 148</v>
      </c>
    </row>
    <row r="10765" customFormat="false" ht="12.8" hidden="false" customHeight="false" outlineLevel="0" collapsed="false">
      <c r="A10765" s="0" t="s">
        <v>12</v>
      </c>
      <c r="B10765" s="0" t="n">
        <v>3396889</v>
      </c>
      <c r="C10765" s="0" t="n">
        <v>3396909</v>
      </c>
      <c r="D10765" s="0" t="s">
        <v>35738</v>
      </c>
      <c r="E10765" s="0" t="s">
        <v>75</v>
      </c>
      <c r="F10765" s="0" t="s">
        <v>15</v>
      </c>
      <c r="G10765" s="0" t="s">
        <v>20</v>
      </c>
      <c r="H10765" s="0" t="n">
        <v>12</v>
      </c>
      <c r="I10765" s="0" t="s">
        <v>35739</v>
      </c>
      <c r="J10765" s="0" t="s">
        <v>35740</v>
      </c>
      <c r="K10765" s="0" t="s">
        <v>35741</v>
      </c>
      <c r="L10765" s="0" t="str">
        <f aca="false">HYPERLINK("https://www.ncbi.nlm.nih.gov/nuccore/CP000058.1?report=graph&amp;tracks=[key:gene_model_track,Options:GeneOnly]&amp;mk=3396890:3396909|offset_12|00cc00,3396912:3396931|offset_34|444444,3396943:3396962|offset_65|444444,3396963:3396982|offset_85|444444&amp;v=3396689:3397182&amp;c=444444", "offset 12")</f>
        <v>offset 12</v>
      </c>
    </row>
    <row r="10766" customFormat="false" ht="12.8" hidden="false" customHeight="false" outlineLevel="0" collapsed="false">
      <c r="A10766" s="0" t="s">
        <v>12</v>
      </c>
      <c r="B10766" s="0" t="n">
        <v>3396911</v>
      </c>
      <c r="C10766" s="0" t="n">
        <v>3396931</v>
      </c>
      <c r="D10766" s="0" t="s">
        <v>35738</v>
      </c>
      <c r="E10766" s="0" t="s">
        <v>75</v>
      </c>
      <c r="F10766" s="0" t="s">
        <v>15</v>
      </c>
      <c r="G10766" s="0" t="s">
        <v>20</v>
      </c>
      <c r="H10766" s="0" t="n">
        <v>34</v>
      </c>
      <c r="I10766" s="0" t="s">
        <v>35742</v>
      </c>
      <c r="J10766" s="0" t="s">
        <v>35743</v>
      </c>
      <c r="K10766" s="0" t="s">
        <v>35744</v>
      </c>
      <c r="L10766" s="0" t="str">
        <f aca="false">HYPERLINK("https://www.ncbi.nlm.nih.gov/nuccore/CP000058.1?report=graph&amp;tracks=[key:gene_model_track,Options:GeneOnly]&amp;mk=3396890:3396909|offset_12|444444,3396912:3396931|offset_34|00cc00,3396943:3396962|offset_65|444444,3396963:3396982|offset_85|444444&amp;v=3396689:3397182&amp;c=444444", "offset 34")</f>
        <v>offset 34</v>
      </c>
    </row>
    <row r="10767" customFormat="false" ht="12.8" hidden="false" customHeight="false" outlineLevel="0" collapsed="false">
      <c r="A10767" s="0" t="s">
        <v>12</v>
      </c>
      <c r="B10767" s="0" t="n">
        <v>3396942</v>
      </c>
      <c r="C10767" s="0" t="n">
        <v>3396962</v>
      </c>
      <c r="D10767" s="0" t="s">
        <v>35738</v>
      </c>
      <c r="E10767" s="0" t="s">
        <v>75</v>
      </c>
      <c r="F10767" s="0" t="s">
        <v>15</v>
      </c>
      <c r="G10767" s="0" t="s">
        <v>36</v>
      </c>
      <c r="H10767" s="0" t="n">
        <v>65</v>
      </c>
      <c r="I10767" s="0" t="s">
        <v>35745</v>
      </c>
      <c r="J10767" s="0" t="s">
        <v>35746</v>
      </c>
      <c r="K10767" s="0" t="s">
        <v>35747</v>
      </c>
      <c r="L10767" s="0" t="str">
        <f aca="false">HYPERLINK("https://www.ncbi.nlm.nih.gov/nuccore/CP000058.1?report=graph&amp;tracks=[key:gene_model_track,Options:GeneOnly]&amp;mk=3396890:3396909|offset_12|444444,3396912:3396931|offset_34|444444,3396943:3396962|offset_65|00cc00,3396963:3396982|offset_85|444444&amp;v=3396689:3397182&amp;c=444444", "offset 65")</f>
        <v>offset 65</v>
      </c>
    </row>
    <row r="10768" customFormat="false" ht="12.8" hidden="false" customHeight="false" outlineLevel="0" collapsed="false">
      <c r="A10768" s="0" t="s">
        <v>12</v>
      </c>
      <c r="B10768" s="0" t="n">
        <v>3396962</v>
      </c>
      <c r="C10768" s="0" t="n">
        <v>3396982</v>
      </c>
      <c r="D10768" s="0" t="s">
        <v>35738</v>
      </c>
      <c r="E10768" s="0" t="s">
        <v>75</v>
      </c>
      <c r="F10768" s="0" t="s">
        <v>15</v>
      </c>
      <c r="G10768" s="0" t="s">
        <v>32</v>
      </c>
      <c r="H10768" s="0" t="n">
        <v>85</v>
      </c>
      <c r="I10768" s="0" t="s">
        <v>35748</v>
      </c>
      <c r="J10768" s="0" t="s">
        <v>35749</v>
      </c>
      <c r="K10768" s="0" t="s">
        <v>35750</v>
      </c>
      <c r="L10768" s="0" t="str">
        <f aca="false">HYPERLINK("https://www.ncbi.nlm.nih.gov/nuccore/CP000058.1?report=graph&amp;tracks=[key:gene_model_track,Options:GeneOnly]&amp;mk=3396890:3396909|offset_12|444444,3396912:3396931|offset_34|444444,3396943:3396962|offset_65|444444,3396963:3396982|offset_85|00cc00&amp;v=3396689:3397182&amp;c=444444", "offset 85")</f>
        <v>offset 85</v>
      </c>
    </row>
    <row r="10769" customFormat="false" ht="12.8" hidden="false" customHeight="false" outlineLevel="0" collapsed="false">
      <c r="A10769" s="0" t="s">
        <v>12</v>
      </c>
      <c r="B10769" s="0" t="n">
        <v>3397490</v>
      </c>
      <c r="C10769" s="0" t="n">
        <v>3397510</v>
      </c>
      <c r="D10769" s="0" t="s">
        <v>35751</v>
      </c>
      <c r="E10769" s="0" t="s">
        <v>75</v>
      </c>
      <c r="F10769" s="0" t="s">
        <v>15</v>
      </c>
      <c r="G10769" s="0" t="s">
        <v>20</v>
      </c>
      <c r="H10769" s="0" t="n">
        <v>104</v>
      </c>
      <c r="I10769" s="0" t="s">
        <v>35752</v>
      </c>
      <c r="J10769" s="0" t="s">
        <v>35753</v>
      </c>
      <c r="K10769" s="0" t="s">
        <v>35754</v>
      </c>
      <c r="L10769" s="0" t="str">
        <f aca="false">HYPERLINK("https://www.ncbi.nlm.nih.gov/nuccore/CP000058.1?report=graph&amp;tracks=[key:gene_model_track,Options:GeneOnly]&amp;mk=3397491:3397510|offset_104|00cc00,3397531:3397550|offset_144|444444,3397587:3397606|offset_200|444444,3397646:3397665|offset_259|444444&amp;v=3397290:3397865&amp;c=444444", "offset 104")</f>
        <v>offset 104</v>
      </c>
    </row>
    <row r="10770" customFormat="false" ht="12.8" hidden="false" customHeight="false" outlineLevel="0" collapsed="false">
      <c r="A10770" s="0" t="s">
        <v>12</v>
      </c>
      <c r="B10770" s="0" t="n">
        <v>3397530</v>
      </c>
      <c r="C10770" s="0" t="n">
        <v>3397550</v>
      </c>
      <c r="D10770" s="0" t="s">
        <v>35751</v>
      </c>
      <c r="E10770" s="0" t="s">
        <v>75</v>
      </c>
      <c r="F10770" s="0" t="s">
        <v>15</v>
      </c>
      <c r="G10770" s="0" t="s">
        <v>20</v>
      </c>
      <c r="H10770" s="0" t="n">
        <v>144</v>
      </c>
      <c r="I10770" s="0" t="s">
        <v>35755</v>
      </c>
      <c r="J10770" s="0" t="s">
        <v>35756</v>
      </c>
      <c r="K10770" s="0" t="s">
        <v>35757</v>
      </c>
      <c r="L10770" s="0" t="str">
        <f aca="false">HYPERLINK("https://www.ncbi.nlm.nih.gov/nuccore/CP000058.1?report=graph&amp;tracks=[key:gene_model_track,Options:GeneOnly]&amp;mk=3397491:3397510|offset_104|444444,3397531:3397550|offset_144|00cc00,3397587:3397606|offset_200|444444,3397646:3397665|offset_259|444444&amp;v=3397290:3397865&amp;c=444444", "offset 144")</f>
        <v>offset 144</v>
      </c>
    </row>
    <row r="10771" customFormat="false" ht="12.8" hidden="false" customHeight="false" outlineLevel="0" collapsed="false">
      <c r="A10771" s="0" t="s">
        <v>12</v>
      </c>
      <c r="B10771" s="0" t="n">
        <v>3397586</v>
      </c>
      <c r="C10771" s="0" t="n">
        <v>3397606</v>
      </c>
      <c r="D10771" s="0" t="s">
        <v>35751</v>
      </c>
      <c r="E10771" s="0" t="s">
        <v>75</v>
      </c>
      <c r="F10771" s="0" t="s">
        <v>15</v>
      </c>
      <c r="G10771" s="0" t="s">
        <v>36</v>
      </c>
      <c r="H10771" s="0" t="n">
        <v>200</v>
      </c>
      <c r="I10771" s="0" t="s">
        <v>35758</v>
      </c>
      <c r="J10771" s="0" t="s">
        <v>35759</v>
      </c>
      <c r="K10771" s="0" t="s">
        <v>35760</v>
      </c>
      <c r="L10771" s="0" t="str">
        <f aca="false">HYPERLINK("https://www.ncbi.nlm.nih.gov/nuccore/CP000058.1?report=graph&amp;tracks=[key:gene_model_track,Options:GeneOnly]&amp;mk=3397491:3397510|offset_104|444444,3397531:3397550|offset_144|444444,3397587:3397606|offset_200|00cc00,3397646:3397665|offset_259|444444&amp;v=3397290:3397865&amp;c=444444", "offset 200")</f>
        <v>offset 200</v>
      </c>
    </row>
    <row r="10772" customFormat="false" ht="12.8" hidden="false" customHeight="false" outlineLevel="0" collapsed="false">
      <c r="A10772" s="0" t="s">
        <v>12</v>
      </c>
      <c r="B10772" s="0" t="n">
        <v>3397645</v>
      </c>
      <c r="C10772" s="0" t="n">
        <v>3397665</v>
      </c>
      <c r="D10772" s="0" t="s">
        <v>35751</v>
      </c>
      <c r="E10772" s="0" t="s">
        <v>75</v>
      </c>
      <c r="F10772" s="0" t="s">
        <v>15</v>
      </c>
      <c r="G10772" s="0" t="s">
        <v>16</v>
      </c>
      <c r="H10772" s="0" t="n">
        <v>259</v>
      </c>
      <c r="I10772" s="0" t="s">
        <v>35761</v>
      </c>
      <c r="J10772" s="0" t="s">
        <v>35762</v>
      </c>
      <c r="K10772" s="0" t="s">
        <v>35763</v>
      </c>
      <c r="L10772" s="0" t="str">
        <f aca="false">HYPERLINK("https://www.ncbi.nlm.nih.gov/nuccore/CP000058.1?report=graph&amp;tracks=[key:gene_model_track,Options:GeneOnly]&amp;mk=3397491:3397510|offset_104|444444,3397531:3397550|offset_144|444444,3397587:3397606|offset_200|444444,3397646:3397665|offset_259|00cc00&amp;v=3397290:3397865&amp;c=444444", "offset 259")</f>
        <v>offset 259</v>
      </c>
    </row>
    <row r="10773" customFormat="false" ht="12.8" hidden="false" customHeight="false" outlineLevel="0" collapsed="false">
      <c r="A10773" s="0" t="s">
        <v>12</v>
      </c>
      <c r="B10773" s="0" t="n">
        <v>3400716</v>
      </c>
      <c r="C10773" s="0" t="n">
        <v>3400736</v>
      </c>
      <c r="D10773" s="0" t="s">
        <v>35764</v>
      </c>
      <c r="E10773" s="0" t="s">
        <v>35765</v>
      </c>
      <c r="F10773" s="0" t="s">
        <v>90</v>
      </c>
      <c r="G10773" s="0" t="s">
        <v>36</v>
      </c>
      <c r="H10773" s="0" t="n">
        <v>34</v>
      </c>
      <c r="I10773" s="0" t="s">
        <v>35766</v>
      </c>
      <c r="J10773" s="0" t="s">
        <v>35767</v>
      </c>
      <c r="K10773" s="0" t="s">
        <v>35768</v>
      </c>
      <c r="L10773" s="0" t="str">
        <f aca="false">HYPERLINK("https://www.ncbi.nlm.nih.gov/nuccore/CP000058.1?report=graph&amp;tracks=[key:gene_model_track,Options:GeneOnly]&amp;mk=3400717:3400736|offset_34|00cc00,3400650:3400669|offset_101|444444,3400606:3400625|offset_145|444444,3400585:3400604|offset_166|444444&amp;v=3400516:3400804&amp;c=444444", "offset 34")</f>
        <v>offset 34</v>
      </c>
    </row>
    <row r="10774" customFormat="false" ht="12.8" hidden="false" customHeight="false" outlineLevel="0" collapsed="false">
      <c r="A10774" s="0" t="s">
        <v>12</v>
      </c>
      <c r="B10774" s="0" t="n">
        <v>3400649</v>
      </c>
      <c r="C10774" s="0" t="n">
        <v>3400669</v>
      </c>
      <c r="D10774" s="0" t="s">
        <v>35764</v>
      </c>
      <c r="E10774" s="0" t="s">
        <v>35765</v>
      </c>
      <c r="F10774" s="0" t="s">
        <v>90</v>
      </c>
      <c r="G10774" s="0" t="s">
        <v>20</v>
      </c>
      <c r="H10774" s="0" t="n">
        <v>101</v>
      </c>
      <c r="I10774" s="0" t="s">
        <v>35769</v>
      </c>
      <c r="J10774" s="0" t="s">
        <v>35770</v>
      </c>
      <c r="K10774" s="0" t="s">
        <v>35771</v>
      </c>
      <c r="L10774" s="0" t="str">
        <f aca="false">HYPERLINK("https://www.ncbi.nlm.nih.gov/nuccore/CP000058.1?report=graph&amp;tracks=[key:gene_model_track,Options:GeneOnly]&amp;mk=3400717:3400736|offset_34|444444,3400650:3400669|offset_101|00cc00,3400606:3400625|offset_145|444444,3400585:3400604|offset_166|444444&amp;v=3400516:3400804&amp;c=444444", "offset 101")</f>
        <v>offset 101</v>
      </c>
    </row>
    <row r="10775" customFormat="false" ht="12.8" hidden="false" customHeight="false" outlineLevel="0" collapsed="false">
      <c r="A10775" s="0" t="s">
        <v>12</v>
      </c>
      <c r="B10775" s="0" t="n">
        <v>3400605</v>
      </c>
      <c r="C10775" s="0" t="n">
        <v>3400625</v>
      </c>
      <c r="D10775" s="0" t="s">
        <v>35764</v>
      </c>
      <c r="E10775" s="0" t="s">
        <v>35765</v>
      </c>
      <c r="F10775" s="0" t="s">
        <v>90</v>
      </c>
      <c r="G10775" s="0" t="s">
        <v>16</v>
      </c>
      <c r="H10775" s="0" t="n">
        <v>145</v>
      </c>
      <c r="I10775" s="0" t="s">
        <v>35772</v>
      </c>
      <c r="J10775" s="0" t="s">
        <v>35773</v>
      </c>
      <c r="K10775" s="0" t="s">
        <v>35774</v>
      </c>
      <c r="L10775" s="0" t="str">
        <f aca="false">HYPERLINK("https://www.ncbi.nlm.nih.gov/nuccore/CP000058.1?report=graph&amp;tracks=[key:gene_model_track,Options:GeneOnly]&amp;mk=3400717:3400736|offset_34|444444,3400650:3400669|offset_101|444444,3400606:3400625|offset_145|00cc00,3400585:3400604|offset_166|444444&amp;v=3400516:3400804&amp;c=444444", "offset 145")</f>
        <v>offset 145</v>
      </c>
    </row>
    <row r="10776" customFormat="false" ht="12.8" hidden="false" customHeight="false" outlineLevel="0" collapsed="false">
      <c r="A10776" s="0" t="s">
        <v>12</v>
      </c>
      <c r="B10776" s="0" t="n">
        <v>3400584</v>
      </c>
      <c r="C10776" s="0" t="n">
        <v>3400604</v>
      </c>
      <c r="D10776" s="0" t="s">
        <v>35764</v>
      </c>
      <c r="E10776" s="0" t="s">
        <v>35765</v>
      </c>
      <c r="F10776" s="0" t="s">
        <v>90</v>
      </c>
      <c r="G10776" s="0" t="s">
        <v>16</v>
      </c>
      <c r="H10776" s="0" t="n">
        <v>166</v>
      </c>
      <c r="I10776" s="0" t="s">
        <v>35775</v>
      </c>
      <c r="J10776" s="0" t="s">
        <v>35776</v>
      </c>
      <c r="K10776" s="0" t="s">
        <v>35777</v>
      </c>
      <c r="L10776" s="0" t="str">
        <f aca="false">HYPERLINK("https://www.ncbi.nlm.nih.gov/nuccore/CP000058.1?report=graph&amp;tracks=[key:gene_model_track,Options:GeneOnly]&amp;mk=3400717:3400736|offset_34|444444,3400650:3400669|offset_101|444444,3400606:3400625|offset_145|444444,3400585:3400604|offset_166|00cc00&amp;v=3400516:3400804&amp;c=444444", "offset 166")</f>
        <v>offset 166</v>
      </c>
    </row>
    <row r="10777" customFormat="false" ht="12.8" hidden="false" customHeight="false" outlineLevel="0" collapsed="false">
      <c r="A10777" s="0" t="s">
        <v>12</v>
      </c>
      <c r="B10777" s="0" t="n">
        <v>3401661</v>
      </c>
      <c r="C10777" s="0" t="n">
        <v>3401681</v>
      </c>
      <c r="D10777" s="0" t="s">
        <v>35778</v>
      </c>
      <c r="E10777" s="0" t="s">
        <v>35779</v>
      </c>
      <c r="F10777" s="0" t="s">
        <v>90</v>
      </c>
      <c r="G10777" s="0" t="s">
        <v>36</v>
      </c>
      <c r="H10777" s="0" t="n">
        <v>13</v>
      </c>
      <c r="I10777" s="0" t="s">
        <v>35780</v>
      </c>
      <c r="J10777" s="0" t="s">
        <v>35781</v>
      </c>
      <c r="K10777" s="0" t="s">
        <v>35782</v>
      </c>
      <c r="L10777" s="0" t="str">
        <f aca="false">HYPERLINK("https://www.ncbi.nlm.nih.gov/nuccore/CP000058.1?report=graph&amp;tracks=[key:gene_model_track,Options:GeneOnly]&amp;mk=3401662:3401681|offset_13|00cc00,3401630:3401649|offset_45|444444,3401605:3401624|offset_70|444444,3401577:3401596|offset_98|444444&amp;v=3401461:3401796&amp;c=444444", "offset 13")</f>
        <v>offset 13</v>
      </c>
    </row>
    <row r="10778" customFormat="false" ht="12.8" hidden="false" customHeight="false" outlineLevel="0" collapsed="false">
      <c r="A10778" s="0" t="s">
        <v>12</v>
      </c>
      <c r="B10778" s="0" t="n">
        <v>3401629</v>
      </c>
      <c r="C10778" s="0" t="n">
        <v>3401649</v>
      </c>
      <c r="D10778" s="0" t="s">
        <v>35778</v>
      </c>
      <c r="E10778" s="0" t="s">
        <v>35779</v>
      </c>
      <c r="F10778" s="0" t="s">
        <v>90</v>
      </c>
      <c r="G10778" s="0" t="s">
        <v>36</v>
      </c>
      <c r="H10778" s="0" t="n">
        <v>45</v>
      </c>
      <c r="I10778" s="0" t="s">
        <v>35783</v>
      </c>
      <c r="J10778" s="0" t="s">
        <v>35784</v>
      </c>
      <c r="K10778" s="0" t="s">
        <v>35785</v>
      </c>
      <c r="L10778" s="0" t="str">
        <f aca="false">HYPERLINK("https://www.ncbi.nlm.nih.gov/nuccore/CP000058.1?report=graph&amp;tracks=[key:gene_model_track,Options:GeneOnly]&amp;mk=3401662:3401681|offset_13|444444,3401630:3401649|offset_45|00cc00,3401605:3401624|offset_70|444444,3401577:3401596|offset_98|444444&amp;v=3401461:3401796&amp;c=444444", "offset 45")</f>
        <v>offset 45</v>
      </c>
    </row>
    <row r="10779" customFormat="false" ht="12.8" hidden="false" customHeight="false" outlineLevel="0" collapsed="false">
      <c r="A10779" s="0" t="s">
        <v>12</v>
      </c>
      <c r="B10779" s="0" t="n">
        <v>3401604</v>
      </c>
      <c r="C10779" s="0" t="n">
        <v>3401624</v>
      </c>
      <c r="D10779" s="0" t="s">
        <v>35778</v>
      </c>
      <c r="E10779" s="0" t="s">
        <v>35779</v>
      </c>
      <c r="F10779" s="0" t="s">
        <v>90</v>
      </c>
      <c r="G10779" s="0" t="s">
        <v>20</v>
      </c>
      <c r="H10779" s="0" t="n">
        <v>70</v>
      </c>
      <c r="I10779" s="0" t="s">
        <v>35786</v>
      </c>
      <c r="J10779" s="0" t="s">
        <v>35787</v>
      </c>
      <c r="K10779" s="0" t="s">
        <v>35788</v>
      </c>
      <c r="L10779" s="0" t="str">
        <f aca="false">HYPERLINK("https://www.ncbi.nlm.nih.gov/nuccore/CP000058.1?report=graph&amp;tracks=[key:gene_model_track,Options:GeneOnly]&amp;mk=3401662:3401681|offset_13|444444,3401630:3401649|offset_45|444444,3401605:3401624|offset_70|00cc00,3401577:3401596|offset_98|444444&amp;v=3401461:3401796&amp;c=444444", "offset 70")</f>
        <v>offset 70</v>
      </c>
    </row>
    <row r="10780" customFormat="false" ht="12.8" hidden="false" customHeight="false" outlineLevel="0" collapsed="false">
      <c r="A10780" s="0" t="s">
        <v>12</v>
      </c>
      <c r="B10780" s="0" t="n">
        <v>3401576</v>
      </c>
      <c r="C10780" s="0" t="n">
        <v>3401596</v>
      </c>
      <c r="D10780" s="0" t="s">
        <v>35778</v>
      </c>
      <c r="E10780" s="0" t="s">
        <v>35779</v>
      </c>
      <c r="F10780" s="0" t="s">
        <v>90</v>
      </c>
      <c r="G10780" s="0" t="s">
        <v>20</v>
      </c>
      <c r="H10780" s="0" t="n">
        <v>98</v>
      </c>
      <c r="I10780" s="0" t="s">
        <v>35789</v>
      </c>
      <c r="J10780" s="0" t="s">
        <v>35790</v>
      </c>
      <c r="K10780" s="0" t="s">
        <v>35791</v>
      </c>
      <c r="L10780" s="0" t="str">
        <f aca="false">HYPERLINK("https://www.ncbi.nlm.nih.gov/nuccore/CP000058.1?report=graph&amp;tracks=[key:gene_model_track,Options:GeneOnly]&amp;mk=3401662:3401681|offset_13|444444,3401630:3401649|offset_45|444444,3401605:3401624|offset_70|444444,3401577:3401596|offset_98|00cc00&amp;v=3401461:3401796&amp;c=444444", "offset 98")</f>
        <v>offset 98</v>
      </c>
    </row>
    <row r="10781" customFormat="false" ht="12.8" hidden="false" customHeight="false" outlineLevel="0" collapsed="false">
      <c r="A10781" s="0" t="s">
        <v>12</v>
      </c>
      <c r="B10781" s="0" t="n">
        <v>3402198</v>
      </c>
      <c r="C10781" s="0" t="n">
        <v>3402218</v>
      </c>
      <c r="D10781" s="0" t="s">
        <v>35792</v>
      </c>
      <c r="E10781" s="0" t="s">
        <v>35793</v>
      </c>
      <c r="F10781" s="0" t="s">
        <v>90</v>
      </c>
      <c r="G10781" s="0" t="s">
        <v>16</v>
      </c>
      <c r="H10781" s="0" t="n">
        <v>33</v>
      </c>
      <c r="I10781" s="0" t="s">
        <v>35794</v>
      </c>
      <c r="J10781" s="0" t="s">
        <v>35795</v>
      </c>
      <c r="K10781" s="0" t="s">
        <v>35796</v>
      </c>
      <c r="L10781" s="0" t="str">
        <f aca="false">HYPERLINK("https://www.ncbi.nlm.nih.gov/nuccore/CP000058.1?report=graph&amp;tracks=[key:gene_model_track,Options:GeneOnly]&amp;mk=3402199:3402218|offset_33|00cc00,3402176:3402195|offset_56|444444,3402111:3402130|offset_121|444444,3402027:3402046|offset_205|444444&amp;v=3401998:3402246&amp;c=444444", "offset 33")</f>
        <v>offset 33</v>
      </c>
    </row>
    <row r="10782" customFormat="false" ht="12.8" hidden="false" customHeight="false" outlineLevel="0" collapsed="false">
      <c r="A10782" s="0" t="s">
        <v>12</v>
      </c>
      <c r="B10782" s="0" t="n">
        <v>3402175</v>
      </c>
      <c r="C10782" s="0" t="n">
        <v>3402195</v>
      </c>
      <c r="D10782" s="0" t="s">
        <v>35792</v>
      </c>
      <c r="E10782" s="0" t="s">
        <v>35793</v>
      </c>
      <c r="F10782" s="0" t="s">
        <v>90</v>
      </c>
      <c r="G10782" s="0" t="s">
        <v>20</v>
      </c>
      <c r="H10782" s="0" t="n">
        <v>56</v>
      </c>
      <c r="I10782" s="0" t="s">
        <v>35797</v>
      </c>
      <c r="J10782" s="0" t="s">
        <v>35798</v>
      </c>
      <c r="K10782" s="0" t="s">
        <v>35799</v>
      </c>
      <c r="L10782" s="0" t="str">
        <f aca="false">HYPERLINK("https://www.ncbi.nlm.nih.gov/nuccore/CP000058.1?report=graph&amp;tracks=[key:gene_model_track,Options:GeneOnly]&amp;mk=3402199:3402218|offset_33|444444,3402176:3402195|offset_56|00cc00,3402111:3402130|offset_121|444444,3402027:3402046|offset_205|444444&amp;v=3401998:3402246&amp;c=444444", "offset 56")</f>
        <v>offset 56</v>
      </c>
    </row>
    <row r="10783" customFormat="false" ht="12.8" hidden="false" customHeight="false" outlineLevel="0" collapsed="false">
      <c r="A10783" s="0" t="s">
        <v>12</v>
      </c>
      <c r="B10783" s="0" t="n">
        <v>3402110</v>
      </c>
      <c r="C10783" s="0" t="n">
        <v>3402130</v>
      </c>
      <c r="D10783" s="0" t="s">
        <v>35792</v>
      </c>
      <c r="E10783" s="0" t="s">
        <v>35793</v>
      </c>
      <c r="F10783" s="0" t="s">
        <v>90</v>
      </c>
      <c r="G10783" s="0" t="s">
        <v>36</v>
      </c>
      <c r="H10783" s="0" t="n">
        <v>121</v>
      </c>
      <c r="I10783" s="0" t="s">
        <v>35800</v>
      </c>
      <c r="J10783" s="0" t="s">
        <v>35801</v>
      </c>
      <c r="K10783" s="0" t="s">
        <v>35802</v>
      </c>
      <c r="L10783" s="0" t="str">
        <f aca="false">HYPERLINK("https://www.ncbi.nlm.nih.gov/nuccore/CP000058.1?report=graph&amp;tracks=[key:gene_model_track,Options:GeneOnly]&amp;mk=3402199:3402218|offset_33|444444,3402176:3402195|offset_56|444444,3402111:3402130|offset_121|00cc00,3402027:3402046|offset_205|444444&amp;v=3401998:3402246&amp;c=444444", "offset 121")</f>
        <v>offset 121</v>
      </c>
    </row>
    <row r="10784" customFormat="false" ht="12.8" hidden="false" customHeight="false" outlineLevel="0" collapsed="false">
      <c r="A10784" s="0" t="s">
        <v>12</v>
      </c>
      <c r="B10784" s="0" t="n">
        <v>3402026</v>
      </c>
      <c r="C10784" s="0" t="n">
        <v>3402046</v>
      </c>
      <c r="D10784" s="0" t="s">
        <v>35792</v>
      </c>
      <c r="E10784" s="0" t="s">
        <v>35793</v>
      </c>
      <c r="F10784" s="0" t="s">
        <v>90</v>
      </c>
      <c r="G10784" s="0" t="s">
        <v>20</v>
      </c>
      <c r="H10784" s="0" t="n">
        <v>205</v>
      </c>
      <c r="I10784" s="0" t="s">
        <v>35803</v>
      </c>
      <c r="J10784" s="0" t="s">
        <v>35804</v>
      </c>
      <c r="K10784" s="0" t="s">
        <v>35805</v>
      </c>
      <c r="L10784" s="0" t="str">
        <f aca="false">HYPERLINK("https://www.ncbi.nlm.nih.gov/nuccore/CP000058.1?report=graph&amp;tracks=[key:gene_model_track,Options:GeneOnly]&amp;mk=3402199:3402218|offset_33|444444,3402176:3402195|offset_56|444444,3402111:3402130|offset_121|444444,3402027:3402046|offset_205|00cc00&amp;v=3401998:3402246&amp;c=444444", "offset 205")</f>
        <v>offset 205</v>
      </c>
    </row>
    <row r="10785" customFormat="false" ht="12.8" hidden="false" customHeight="false" outlineLevel="0" collapsed="false">
      <c r="A10785" s="0" t="s">
        <v>12</v>
      </c>
      <c r="B10785" s="0" t="n">
        <v>3403345</v>
      </c>
      <c r="C10785" s="0" t="n">
        <v>3403365</v>
      </c>
      <c r="D10785" s="0" t="s">
        <v>35806</v>
      </c>
      <c r="E10785" s="0" t="s">
        <v>35807</v>
      </c>
      <c r="F10785" s="0" t="s">
        <v>90</v>
      </c>
      <c r="G10785" s="0" t="s">
        <v>36</v>
      </c>
      <c r="H10785" s="0" t="n">
        <v>31</v>
      </c>
      <c r="I10785" s="0" t="s">
        <v>35808</v>
      </c>
      <c r="J10785" s="0" t="s">
        <v>35809</v>
      </c>
      <c r="K10785" s="0" t="s">
        <v>35810</v>
      </c>
      <c r="L10785" s="0" t="str">
        <f aca="false">HYPERLINK("https://www.ncbi.nlm.nih.gov/nuccore/CP000058.1?report=graph&amp;tracks=[key:gene_model_track,Options:GeneOnly]&amp;mk=3403346:3403365|offset_31|00cc00,3403300:3403319|offset_77|444444,3403261:3403280|offset_116|444444,3403218:3403237|offset_159|444444&amp;v=3403145:3403437&amp;c=444444", "offset 31")</f>
        <v>offset 31</v>
      </c>
    </row>
    <row r="10786" customFormat="false" ht="12.8" hidden="false" customHeight="false" outlineLevel="0" collapsed="false">
      <c r="A10786" s="0" t="s">
        <v>12</v>
      </c>
      <c r="B10786" s="0" t="n">
        <v>3403299</v>
      </c>
      <c r="C10786" s="0" t="n">
        <v>3403319</v>
      </c>
      <c r="D10786" s="0" t="s">
        <v>35806</v>
      </c>
      <c r="E10786" s="0" t="s">
        <v>35807</v>
      </c>
      <c r="F10786" s="0" t="s">
        <v>90</v>
      </c>
      <c r="G10786" s="0" t="s">
        <v>16</v>
      </c>
      <c r="H10786" s="0" t="n">
        <v>77</v>
      </c>
      <c r="I10786" s="0" t="s">
        <v>35811</v>
      </c>
      <c r="J10786" s="0" t="s">
        <v>35812</v>
      </c>
      <c r="K10786" s="0" t="s">
        <v>35813</v>
      </c>
      <c r="L10786" s="0" t="str">
        <f aca="false">HYPERLINK("https://www.ncbi.nlm.nih.gov/nuccore/CP000058.1?report=graph&amp;tracks=[key:gene_model_track,Options:GeneOnly]&amp;mk=3403346:3403365|offset_31|444444,3403300:3403319|offset_77|00cc00,3403261:3403280|offset_116|444444,3403218:3403237|offset_159|444444&amp;v=3403145:3403437&amp;c=444444", "offset 77")</f>
        <v>offset 77</v>
      </c>
    </row>
    <row r="10787" customFormat="false" ht="12.8" hidden="false" customHeight="false" outlineLevel="0" collapsed="false">
      <c r="A10787" s="0" t="s">
        <v>12</v>
      </c>
      <c r="B10787" s="0" t="n">
        <v>3403260</v>
      </c>
      <c r="C10787" s="0" t="n">
        <v>3403280</v>
      </c>
      <c r="D10787" s="0" t="s">
        <v>35806</v>
      </c>
      <c r="E10787" s="0" t="s">
        <v>35807</v>
      </c>
      <c r="F10787" s="0" t="s">
        <v>90</v>
      </c>
      <c r="G10787" s="0" t="s">
        <v>32</v>
      </c>
      <c r="H10787" s="0" t="n">
        <v>116</v>
      </c>
      <c r="I10787" s="0" t="s">
        <v>35814</v>
      </c>
      <c r="J10787" s="0" t="s">
        <v>35815</v>
      </c>
      <c r="K10787" s="0" t="s">
        <v>35816</v>
      </c>
      <c r="L10787" s="0" t="str">
        <f aca="false">HYPERLINK("https://www.ncbi.nlm.nih.gov/nuccore/CP000058.1?report=graph&amp;tracks=[key:gene_model_track,Options:GeneOnly]&amp;mk=3403346:3403365|offset_31|444444,3403300:3403319|offset_77|444444,3403261:3403280|offset_116|00cc00,3403218:3403237|offset_159|444444&amp;v=3403145:3403437&amp;c=444444", "offset 116")</f>
        <v>offset 116</v>
      </c>
    </row>
    <row r="10788" customFormat="false" ht="12.8" hidden="false" customHeight="false" outlineLevel="0" collapsed="false">
      <c r="A10788" s="0" t="s">
        <v>12</v>
      </c>
      <c r="B10788" s="0" t="n">
        <v>3403217</v>
      </c>
      <c r="C10788" s="0" t="n">
        <v>3403237</v>
      </c>
      <c r="D10788" s="0" t="s">
        <v>35806</v>
      </c>
      <c r="E10788" s="0" t="s">
        <v>35807</v>
      </c>
      <c r="F10788" s="0" t="s">
        <v>90</v>
      </c>
      <c r="G10788" s="0" t="s">
        <v>16</v>
      </c>
      <c r="H10788" s="0" t="n">
        <v>159</v>
      </c>
      <c r="I10788" s="0" t="s">
        <v>35817</v>
      </c>
      <c r="J10788" s="0" t="s">
        <v>35818</v>
      </c>
      <c r="K10788" s="0" t="s">
        <v>35819</v>
      </c>
      <c r="L10788" s="0" t="str">
        <f aca="false">HYPERLINK("https://www.ncbi.nlm.nih.gov/nuccore/CP000058.1?report=graph&amp;tracks=[key:gene_model_track,Options:GeneOnly]&amp;mk=3403346:3403365|offset_31|444444,3403300:3403319|offset_77|444444,3403261:3403280|offset_116|444444,3403218:3403237|offset_159|00cc00&amp;v=3403145:3403437&amp;c=444444", "offset 159")</f>
        <v>offset 159</v>
      </c>
    </row>
    <row r="10789" customFormat="false" ht="12.8" hidden="false" customHeight="false" outlineLevel="0" collapsed="false">
      <c r="A10789" s="0" t="s">
        <v>12</v>
      </c>
      <c r="B10789" s="0" t="n">
        <v>3404086</v>
      </c>
      <c r="C10789" s="0" t="n">
        <v>3404106</v>
      </c>
      <c r="D10789" s="0" t="s">
        <v>35820</v>
      </c>
      <c r="E10789" s="0" t="s">
        <v>35821</v>
      </c>
      <c r="F10789" s="0" t="s">
        <v>90</v>
      </c>
      <c r="G10789" s="0" t="s">
        <v>16</v>
      </c>
      <c r="H10789" s="0" t="n">
        <v>0</v>
      </c>
      <c r="I10789" s="0" t="s">
        <v>35822</v>
      </c>
      <c r="J10789" s="0" t="s">
        <v>35823</v>
      </c>
      <c r="K10789" s="0" t="s">
        <v>35824</v>
      </c>
      <c r="L10789" s="0" t="str">
        <f aca="false">HYPERLINK("https://www.ncbi.nlm.nih.gov/nuccore/CP000058.1?report=graph&amp;tracks=[key:gene_model_track,Options:GeneOnly]&amp;mk=3404087:3404106|offset_0|00cc00,3404064:3404083|offset_23|444444,3404041:3404060|offset_46|444444,3404016:3404035|offset_71|444444&amp;v=3403886:3404235&amp;c=444444", "offset 0")</f>
        <v>offset 0</v>
      </c>
    </row>
    <row r="10790" customFormat="false" ht="12.8" hidden="false" customHeight="false" outlineLevel="0" collapsed="false">
      <c r="A10790" s="0" t="s">
        <v>12</v>
      </c>
      <c r="B10790" s="0" t="n">
        <v>3404063</v>
      </c>
      <c r="C10790" s="0" t="n">
        <v>3404083</v>
      </c>
      <c r="D10790" s="0" t="s">
        <v>35820</v>
      </c>
      <c r="E10790" s="0" t="s">
        <v>35821</v>
      </c>
      <c r="F10790" s="0" t="s">
        <v>90</v>
      </c>
      <c r="G10790" s="0" t="s">
        <v>16</v>
      </c>
      <c r="H10790" s="0" t="n">
        <v>23</v>
      </c>
      <c r="I10790" s="0" t="s">
        <v>35825</v>
      </c>
      <c r="J10790" s="0" t="s">
        <v>35826</v>
      </c>
      <c r="K10790" s="0" t="s">
        <v>35827</v>
      </c>
      <c r="L10790" s="0" t="str">
        <f aca="false">HYPERLINK("https://www.ncbi.nlm.nih.gov/nuccore/CP000058.1?report=graph&amp;tracks=[key:gene_model_track,Options:GeneOnly]&amp;mk=3404087:3404106|offset_0|444444,3404064:3404083|offset_23|00cc00,3404041:3404060|offset_46|444444,3404016:3404035|offset_71|444444&amp;v=3403886:3404235&amp;c=444444", "offset 23")</f>
        <v>offset 23</v>
      </c>
    </row>
    <row r="10791" customFormat="false" ht="12.8" hidden="false" customHeight="false" outlineLevel="0" collapsed="false">
      <c r="A10791" s="0" t="s">
        <v>12</v>
      </c>
      <c r="B10791" s="0" t="n">
        <v>3404040</v>
      </c>
      <c r="C10791" s="0" t="n">
        <v>3404060</v>
      </c>
      <c r="D10791" s="0" t="s">
        <v>35820</v>
      </c>
      <c r="E10791" s="0" t="s">
        <v>35821</v>
      </c>
      <c r="F10791" s="0" t="s">
        <v>90</v>
      </c>
      <c r="G10791" s="0" t="s">
        <v>36</v>
      </c>
      <c r="H10791" s="0" t="n">
        <v>46</v>
      </c>
      <c r="I10791" s="0" t="s">
        <v>35828</v>
      </c>
      <c r="J10791" s="0" t="s">
        <v>35829</v>
      </c>
      <c r="K10791" s="0" t="s">
        <v>35830</v>
      </c>
      <c r="L10791" s="0" t="str">
        <f aca="false">HYPERLINK("https://www.ncbi.nlm.nih.gov/nuccore/CP000058.1?report=graph&amp;tracks=[key:gene_model_track,Options:GeneOnly]&amp;mk=3404087:3404106|offset_0|444444,3404064:3404083|offset_23|444444,3404041:3404060|offset_46|00cc00,3404016:3404035|offset_71|444444&amp;v=3403886:3404235&amp;c=444444", "offset 46")</f>
        <v>offset 46</v>
      </c>
    </row>
    <row r="10792" customFormat="false" ht="12.8" hidden="false" customHeight="false" outlineLevel="0" collapsed="false">
      <c r="A10792" s="0" t="s">
        <v>12</v>
      </c>
      <c r="B10792" s="0" t="n">
        <v>3404015</v>
      </c>
      <c r="C10792" s="0" t="n">
        <v>3404035</v>
      </c>
      <c r="D10792" s="0" t="s">
        <v>35820</v>
      </c>
      <c r="E10792" s="0" t="s">
        <v>35821</v>
      </c>
      <c r="F10792" s="0" t="s">
        <v>90</v>
      </c>
      <c r="G10792" s="0" t="s">
        <v>20</v>
      </c>
      <c r="H10792" s="0" t="n">
        <v>71</v>
      </c>
      <c r="I10792" s="0" t="s">
        <v>35831</v>
      </c>
      <c r="J10792" s="0" t="s">
        <v>35832</v>
      </c>
      <c r="K10792" s="0" t="s">
        <v>35833</v>
      </c>
      <c r="L10792" s="0" t="str">
        <f aca="false">HYPERLINK("https://www.ncbi.nlm.nih.gov/nuccore/CP000058.1?report=graph&amp;tracks=[key:gene_model_track,Options:GeneOnly]&amp;mk=3404087:3404106|offset_0|444444,3404064:3404083|offset_23|444444,3404041:3404060|offset_46|444444,3404016:3404035|offset_71|00cc00&amp;v=3403886:3404235&amp;c=444444", "offset 71")</f>
        <v>offset 71</v>
      </c>
    </row>
    <row r="10793" customFormat="false" ht="12.8" hidden="false" customHeight="false" outlineLevel="0" collapsed="false">
      <c r="A10793" s="0" t="s">
        <v>12</v>
      </c>
      <c r="B10793" s="0" t="n">
        <v>3404889</v>
      </c>
      <c r="C10793" s="0" t="n">
        <v>3404909</v>
      </c>
      <c r="D10793" s="0" t="s">
        <v>35834</v>
      </c>
      <c r="E10793" s="0" t="s">
        <v>35835</v>
      </c>
      <c r="F10793" s="0" t="s">
        <v>90</v>
      </c>
      <c r="G10793" s="0" t="s">
        <v>16</v>
      </c>
      <c r="H10793" s="0" t="n">
        <v>9</v>
      </c>
      <c r="I10793" s="0" t="s">
        <v>35836</v>
      </c>
      <c r="J10793" s="0" t="s">
        <v>35837</v>
      </c>
      <c r="K10793" s="0" t="s">
        <v>35838</v>
      </c>
      <c r="L10793" s="0" t="str">
        <f aca="false">HYPERLINK("https://www.ncbi.nlm.nih.gov/nuccore/CP000058.1?report=graph&amp;tracks=[key:gene_model_track,Options:GeneOnly]&amp;mk=3404890:3404909|offset_9|00cc00,3404870:3404889|offset_29|444444,3404812:3404831|offset_87|444444,3404781:3404800|offset_118|444444&amp;v=3404689:3405000&amp;c=444444", "offset 9")</f>
        <v>offset 9</v>
      </c>
    </row>
    <row r="10794" customFormat="false" ht="12.8" hidden="false" customHeight="false" outlineLevel="0" collapsed="false">
      <c r="A10794" s="0" t="s">
        <v>12</v>
      </c>
      <c r="B10794" s="0" t="n">
        <v>3404869</v>
      </c>
      <c r="C10794" s="0" t="n">
        <v>3404889</v>
      </c>
      <c r="D10794" s="0" t="s">
        <v>35834</v>
      </c>
      <c r="E10794" s="0" t="s">
        <v>35835</v>
      </c>
      <c r="F10794" s="0" t="s">
        <v>90</v>
      </c>
      <c r="G10794" s="0" t="s">
        <v>20</v>
      </c>
      <c r="H10794" s="0" t="n">
        <v>29</v>
      </c>
      <c r="I10794" s="0" t="s">
        <v>35839</v>
      </c>
      <c r="J10794" s="0" t="s">
        <v>35840</v>
      </c>
      <c r="K10794" s="0" t="s">
        <v>35841</v>
      </c>
      <c r="L10794" s="0" t="str">
        <f aca="false">HYPERLINK("https://www.ncbi.nlm.nih.gov/nuccore/CP000058.1?report=graph&amp;tracks=[key:gene_model_track,Options:GeneOnly]&amp;mk=3404890:3404909|offset_9|444444,3404870:3404889|offset_29|00cc00,3404812:3404831|offset_87|444444,3404781:3404800|offset_118|444444&amp;v=3404689:3405000&amp;c=444444", "offset 29")</f>
        <v>offset 29</v>
      </c>
    </row>
    <row r="10795" customFormat="false" ht="12.8" hidden="false" customHeight="false" outlineLevel="0" collapsed="false">
      <c r="A10795" s="0" t="s">
        <v>12</v>
      </c>
      <c r="B10795" s="0" t="n">
        <v>3404811</v>
      </c>
      <c r="C10795" s="0" t="n">
        <v>3404831</v>
      </c>
      <c r="D10795" s="0" t="s">
        <v>35834</v>
      </c>
      <c r="E10795" s="0" t="s">
        <v>35835</v>
      </c>
      <c r="F10795" s="0" t="s">
        <v>90</v>
      </c>
      <c r="G10795" s="0" t="s">
        <v>36</v>
      </c>
      <c r="H10795" s="0" t="n">
        <v>87</v>
      </c>
      <c r="I10795" s="0" t="s">
        <v>35842</v>
      </c>
      <c r="J10795" s="0" t="s">
        <v>35843</v>
      </c>
      <c r="K10795" s="0" t="s">
        <v>35844</v>
      </c>
      <c r="L10795" s="0" t="str">
        <f aca="false">HYPERLINK("https://www.ncbi.nlm.nih.gov/nuccore/CP000058.1?report=graph&amp;tracks=[key:gene_model_track,Options:GeneOnly]&amp;mk=3404890:3404909|offset_9|444444,3404870:3404889|offset_29|444444,3404812:3404831|offset_87|00cc00,3404781:3404800|offset_118|444444&amp;v=3404689:3405000&amp;c=444444", "offset 87")</f>
        <v>offset 87</v>
      </c>
    </row>
    <row r="10796" customFormat="false" ht="12.8" hidden="false" customHeight="false" outlineLevel="0" collapsed="false">
      <c r="A10796" s="0" t="s">
        <v>12</v>
      </c>
      <c r="B10796" s="0" t="n">
        <v>3404780</v>
      </c>
      <c r="C10796" s="0" t="n">
        <v>3404800</v>
      </c>
      <c r="D10796" s="0" t="s">
        <v>35834</v>
      </c>
      <c r="E10796" s="0" t="s">
        <v>35835</v>
      </c>
      <c r="F10796" s="0" t="s">
        <v>90</v>
      </c>
      <c r="G10796" s="0" t="s">
        <v>16</v>
      </c>
      <c r="H10796" s="0" t="n">
        <v>118</v>
      </c>
      <c r="I10796" s="0" t="s">
        <v>35845</v>
      </c>
      <c r="J10796" s="0" t="s">
        <v>35846</v>
      </c>
      <c r="K10796" s="0" t="s">
        <v>35847</v>
      </c>
      <c r="L10796" s="0" t="str">
        <f aca="false">HYPERLINK("https://www.ncbi.nlm.nih.gov/nuccore/CP000058.1?report=graph&amp;tracks=[key:gene_model_track,Options:GeneOnly]&amp;mk=3404890:3404909|offset_9|444444,3404870:3404889|offset_29|444444,3404812:3404831|offset_87|444444,3404781:3404800|offset_118|00cc00&amp;v=3404689:3405000&amp;c=444444", "offset 118")</f>
        <v>offset 118</v>
      </c>
    </row>
    <row r="10797" customFormat="false" ht="12.8" hidden="false" customHeight="false" outlineLevel="0" collapsed="false">
      <c r="A10797" s="0" t="s">
        <v>12</v>
      </c>
      <c r="B10797" s="0" t="n">
        <v>3405818</v>
      </c>
      <c r="C10797" s="0" t="n">
        <v>3405838</v>
      </c>
      <c r="D10797" s="0" t="s">
        <v>35848</v>
      </c>
      <c r="E10797" s="0" t="s">
        <v>35849</v>
      </c>
      <c r="F10797" s="0" t="s">
        <v>90</v>
      </c>
      <c r="G10797" s="0" t="s">
        <v>16</v>
      </c>
      <c r="H10797" s="0" t="n">
        <v>15</v>
      </c>
      <c r="I10797" s="0" t="s">
        <v>35850</v>
      </c>
      <c r="J10797" s="0" t="s">
        <v>35851</v>
      </c>
      <c r="K10797" s="0" t="s">
        <v>35852</v>
      </c>
      <c r="L10797" s="0" t="str">
        <f aca="false">HYPERLINK("https://www.ncbi.nlm.nih.gov/nuccore/CP000058.1?report=graph&amp;tracks=[key:gene_model_track,Options:GeneOnly]&amp;mk=3405819:3405838|offset_15|00cc00,3405795:3405814|offset_39|444444,3405749:3405768|offset_85|444444,3405728:3405747|offset_106|444444&amp;v=3405618:3405947&amp;c=444444", "offset 15")</f>
        <v>offset 15</v>
      </c>
    </row>
    <row r="10798" customFormat="false" ht="12.8" hidden="false" customHeight="false" outlineLevel="0" collapsed="false">
      <c r="A10798" s="0" t="s">
        <v>12</v>
      </c>
      <c r="B10798" s="0" t="n">
        <v>3405794</v>
      </c>
      <c r="C10798" s="0" t="n">
        <v>3405814</v>
      </c>
      <c r="D10798" s="0" t="s">
        <v>35848</v>
      </c>
      <c r="E10798" s="0" t="s">
        <v>35849</v>
      </c>
      <c r="F10798" s="0" t="s">
        <v>90</v>
      </c>
      <c r="G10798" s="0" t="s">
        <v>36</v>
      </c>
      <c r="H10798" s="0" t="n">
        <v>39</v>
      </c>
      <c r="I10798" s="0" t="s">
        <v>35853</v>
      </c>
      <c r="J10798" s="0" t="s">
        <v>35854</v>
      </c>
      <c r="K10798" s="0" t="s">
        <v>35855</v>
      </c>
      <c r="L10798" s="0" t="str">
        <f aca="false">HYPERLINK("https://www.ncbi.nlm.nih.gov/nuccore/CP000058.1?report=graph&amp;tracks=[key:gene_model_track,Options:GeneOnly]&amp;mk=3405819:3405838|offset_15|444444,3405795:3405814|offset_39|00cc00,3405749:3405768|offset_85|444444,3405728:3405747|offset_106|444444&amp;v=3405618:3405947&amp;c=444444", "offset 39")</f>
        <v>offset 39</v>
      </c>
    </row>
    <row r="10799" customFormat="false" ht="12.8" hidden="false" customHeight="false" outlineLevel="0" collapsed="false">
      <c r="A10799" s="0" t="s">
        <v>12</v>
      </c>
      <c r="B10799" s="0" t="n">
        <v>3405748</v>
      </c>
      <c r="C10799" s="0" t="n">
        <v>3405768</v>
      </c>
      <c r="D10799" s="0" t="s">
        <v>35848</v>
      </c>
      <c r="E10799" s="0" t="s">
        <v>35849</v>
      </c>
      <c r="F10799" s="0" t="s">
        <v>90</v>
      </c>
      <c r="G10799" s="0" t="s">
        <v>32</v>
      </c>
      <c r="H10799" s="0" t="n">
        <v>85</v>
      </c>
      <c r="I10799" s="0" t="s">
        <v>35856</v>
      </c>
      <c r="J10799" s="0" t="s">
        <v>35857</v>
      </c>
      <c r="K10799" s="0" t="s">
        <v>35858</v>
      </c>
      <c r="L10799" s="0" t="str">
        <f aca="false">HYPERLINK("https://www.ncbi.nlm.nih.gov/nuccore/CP000058.1?report=graph&amp;tracks=[key:gene_model_track,Options:GeneOnly]&amp;mk=3405819:3405838|offset_15|444444,3405795:3405814|offset_39|444444,3405749:3405768|offset_85|00cc00,3405728:3405747|offset_106|444444&amp;v=3405618:3405947&amp;c=444444", "offset 85")</f>
        <v>offset 85</v>
      </c>
    </row>
    <row r="10800" customFormat="false" ht="12.8" hidden="false" customHeight="false" outlineLevel="0" collapsed="false">
      <c r="A10800" s="0" t="s">
        <v>12</v>
      </c>
      <c r="B10800" s="0" t="n">
        <v>3405727</v>
      </c>
      <c r="C10800" s="0" t="n">
        <v>3405747</v>
      </c>
      <c r="D10800" s="0" t="s">
        <v>35848</v>
      </c>
      <c r="E10800" s="0" t="s">
        <v>35849</v>
      </c>
      <c r="F10800" s="0" t="s">
        <v>90</v>
      </c>
      <c r="G10800" s="0" t="s">
        <v>20</v>
      </c>
      <c r="H10800" s="0" t="n">
        <v>106</v>
      </c>
      <c r="I10800" s="0" t="s">
        <v>35859</v>
      </c>
      <c r="J10800" s="0" t="s">
        <v>35860</v>
      </c>
      <c r="K10800" s="0" t="s">
        <v>35861</v>
      </c>
      <c r="L10800" s="0" t="str">
        <f aca="false">HYPERLINK("https://www.ncbi.nlm.nih.gov/nuccore/CP000058.1?report=graph&amp;tracks=[key:gene_model_track,Options:GeneOnly]&amp;mk=3405819:3405838|offset_15|444444,3405795:3405814|offset_39|444444,3405749:3405768|offset_85|444444,3405728:3405747|offset_106|00cc00&amp;v=3405618:3405947&amp;c=444444", "offset 106")</f>
        <v>offset 106</v>
      </c>
    </row>
    <row r="10801" customFormat="false" ht="12.8" hidden="false" customHeight="false" outlineLevel="0" collapsed="false">
      <c r="A10801" s="0" t="s">
        <v>12</v>
      </c>
      <c r="B10801" s="0" t="n">
        <v>3406896</v>
      </c>
      <c r="C10801" s="0" t="n">
        <v>3406916</v>
      </c>
      <c r="D10801" s="0" t="s">
        <v>35862</v>
      </c>
      <c r="E10801" s="0" t="s">
        <v>35863</v>
      </c>
      <c r="F10801" s="0" t="s">
        <v>90</v>
      </c>
      <c r="G10801" s="0" t="s">
        <v>16</v>
      </c>
      <c r="H10801" s="0" t="n">
        <v>13</v>
      </c>
      <c r="I10801" s="0" t="s">
        <v>35864</v>
      </c>
      <c r="J10801" s="0" t="s">
        <v>35865</v>
      </c>
      <c r="K10801" s="0" t="s">
        <v>35866</v>
      </c>
      <c r="L10801" s="0" t="str">
        <f aca="false">HYPERLINK("https://www.ncbi.nlm.nih.gov/nuccore/CP000058.1?report=graph&amp;tracks=[key:gene_model_track,Options:GeneOnly]&amp;mk=3406897:3406916|offset_13|00cc00,3406876:3406895|offset_34|444444,3406849:3406868|offset_61|444444,3406819:3406838|offset_91|444444&amp;v=3406696:3407038&amp;c=444444", "offset 13")</f>
        <v>offset 13</v>
      </c>
    </row>
    <row r="10802" customFormat="false" ht="12.8" hidden="false" customHeight="false" outlineLevel="0" collapsed="false">
      <c r="A10802" s="0" t="s">
        <v>12</v>
      </c>
      <c r="B10802" s="0" t="n">
        <v>3406875</v>
      </c>
      <c r="C10802" s="0" t="n">
        <v>3406895</v>
      </c>
      <c r="D10802" s="0" t="s">
        <v>35862</v>
      </c>
      <c r="E10802" s="0" t="s">
        <v>35863</v>
      </c>
      <c r="F10802" s="0" t="s">
        <v>90</v>
      </c>
      <c r="G10802" s="0" t="s">
        <v>32</v>
      </c>
      <c r="H10802" s="0" t="n">
        <v>34</v>
      </c>
      <c r="I10802" s="0" t="s">
        <v>35867</v>
      </c>
      <c r="J10802" s="0" t="s">
        <v>35868</v>
      </c>
      <c r="K10802" s="0" t="s">
        <v>35869</v>
      </c>
      <c r="L10802" s="0" t="str">
        <f aca="false">HYPERLINK("https://www.ncbi.nlm.nih.gov/nuccore/CP000058.1?report=graph&amp;tracks=[key:gene_model_track,Options:GeneOnly]&amp;mk=3406897:3406916|offset_13|444444,3406876:3406895|offset_34|00cc00,3406849:3406868|offset_61|444444,3406819:3406838|offset_91|444444&amp;v=3406696:3407038&amp;c=444444", "offset 34")</f>
        <v>offset 34</v>
      </c>
    </row>
    <row r="10803" customFormat="false" ht="12.8" hidden="false" customHeight="false" outlineLevel="0" collapsed="false">
      <c r="A10803" s="0" t="s">
        <v>12</v>
      </c>
      <c r="B10803" s="0" t="n">
        <v>3406848</v>
      </c>
      <c r="C10803" s="0" t="n">
        <v>3406868</v>
      </c>
      <c r="D10803" s="0" t="s">
        <v>35862</v>
      </c>
      <c r="E10803" s="0" t="s">
        <v>35863</v>
      </c>
      <c r="F10803" s="0" t="s">
        <v>90</v>
      </c>
      <c r="G10803" s="0" t="s">
        <v>32</v>
      </c>
      <c r="H10803" s="0" t="n">
        <v>61</v>
      </c>
      <c r="I10803" s="0" t="s">
        <v>35870</v>
      </c>
      <c r="J10803" s="0" t="s">
        <v>35871</v>
      </c>
      <c r="K10803" s="0" t="s">
        <v>35872</v>
      </c>
      <c r="L10803" s="0" t="str">
        <f aca="false">HYPERLINK("https://www.ncbi.nlm.nih.gov/nuccore/CP000058.1?report=graph&amp;tracks=[key:gene_model_track,Options:GeneOnly]&amp;mk=3406897:3406916|offset_13|444444,3406876:3406895|offset_34|444444,3406849:3406868|offset_61|00cc00,3406819:3406838|offset_91|444444&amp;v=3406696:3407038&amp;c=444444", "offset 61")</f>
        <v>offset 61</v>
      </c>
    </row>
    <row r="10804" customFormat="false" ht="12.8" hidden="false" customHeight="false" outlineLevel="0" collapsed="false">
      <c r="A10804" s="0" t="s">
        <v>12</v>
      </c>
      <c r="B10804" s="0" t="n">
        <v>3406818</v>
      </c>
      <c r="C10804" s="0" t="n">
        <v>3406838</v>
      </c>
      <c r="D10804" s="0" t="s">
        <v>35862</v>
      </c>
      <c r="E10804" s="0" t="s">
        <v>35863</v>
      </c>
      <c r="F10804" s="0" t="s">
        <v>90</v>
      </c>
      <c r="G10804" s="0" t="s">
        <v>16</v>
      </c>
      <c r="H10804" s="0" t="n">
        <v>91</v>
      </c>
      <c r="I10804" s="0" t="s">
        <v>35873</v>
      </c>
      <c r="J10804" s="0" t="s">
        <v>35874</v>
      </c>
      <c r="K10804" s="0" t="s">
        <v>35875</v>
      </c>
      <c r="L10804" s="0" t="str">
        <f aca="false">HYPERLINK("https://www.ncbi.nlm.nih.gov/nuccore/CP000058.1?report=graph&amp;tracks=[key:gene_model_track,Options:GeneOnly]&amp;mk=3406897:3406916|offset_13|444444,3406876:3406895|offset_34|444444,3406849:3406868|offset_61|444444,3406819:3406838|offset_91|00cc00&amp;v=3406696:3407038&amp;c=444444", "offset 91")</f>
        <v>offset 91</v>
      </c>
    </row>
    <row r="10805" customFormat="false" ht="12.8" hidden="false" customHeight="false" outlineLevel="0" collapsed="false">
      <c r="A10805" s="0" t="s">
        <v>12</v>
      </c>
      <c r="B10805" s="0" t="n">
        <v>3407495</v>
      </c>
      <c r="C10805" s="0" t="n">
        <v>3407515</v>
      </c>
      <c r="D10805" s="0" t="s">
        <v>35876</v>
      </c>
      <c r="E10805" s="0" t="s">
        <v>35877</v>
      </c>
      <c r="F10805" s="0" t="s">
        <v>90</v>
      </c>
      <c r="G10805" s="0" t="s">
        <v>16</v>
      </c>
      <c r="H10805" s="0" t="n">
        <v>10</v>
      </c>
      <c r="I10805" s="0" t="s">
        <v>35878</v>
      </c>
      <c r="J10805" s="0" t="s">
        <v>35879</v>
      </c>
      <c r="K10805" s="0" t="s">
        <v>35880</v>
      </c>
      <c r="L10805" s="0" t="str">
        <f aca="false">HYPERLINK("https://www.ncbi.nlm.nih.gov/nuccore/CP000058.1?report=graph&amp;tracks=[key:gene_model_track,Options:GeneOnly]&amp;mk=3407496:3407515|offset_10|00cc00,3407472:3407491|offset_34|444444,3407418:3407437|offset_88|444444,3407397:3407416|offset_109|444444&amp;v=3407295:3407616&amp;c=444444", "offset 10")</f>
        <v>offset 10</v>
      </c>
    </row>
    <row r="10806" customFormat="false" ht="12.8" hidden="false" customHeight="false" outlineLevel="0" collapsed="false">
      <c r="A10806" s="0" t="s">
        <v>12</v>
      </c>
      <c r="B10806" s="0" t="n">
        <v>3407471</v>
      </c>
      <c r="C10806" s="0" t="n">
        <v>3407491</v>
      </c>
      <c r="D10806" s="0" t="s">
        <v>35876</v>
      </c>
      <c r="E10806" s="0" t="s">
        <v>35877</v>
      </c>
      <c r="F10806" s="0" t="s">
        <v>90</v>
      </c>
      <c r="G10806" s="0" t="s">
        <v>16</v>
      </c>
      <c r="H10806" s="0" t="n">
        <v>34</v>
      </c>
      <c r="I10806" s="0" t="s">
        <v>35881</v>
      </c>
      <c r="J10806" s="0" t="s">
        <v>35882</v>
      </c>
      <c r="K10806" s="0" t="s">
        <v>35883</v>
      </c>
      <c r="L10806" s="0" t="str">
        <f aca="false">HYPERLINK("https://www.ncbi.nlm.nih.gov/nuccore/CP000058.1?report=graph&amp;tracks=[key:gene_model_track,Options:GeneOnly]&amp;mk=3407496:3407515|offset_10|444444,3407472:3407491|offset_34|00cc00,3407418:3407437|offset_88|444444,3407397:3407416|offset_109|444444&amp;v=3407295:3407616&amp;c=444444", "offset 34")</f>
        <v>offset 34</v>
      </c>
    </row>
    <row r="10807" customFormat="false" ht="12.8" hidden="false" customHeight="false" outlineLevel="0" collapsed="false">
      <c r="A10807" s="0" t="s">
        <v>12</v>
      </c>
      <c r="B10807" s="0" t="n">
        <v>3407417</v>
      </c>
      <c r="C10807" s="0" t="n">
        <v>3407437</v>
      </c>
      <c r="D10807" s="0" t="s">
        <v>35876</v>
      </c>
      <c r="E10807" s="0" t="s">
        <v>35877</v>
      </c>
      <c r="F10807" s="0" t="s">
        <v>90</v>
      </c>
      <c r="G10807" s="0" t="s">
        <v>16</v>
      </c>
      <c r="H10807" s="0" t="n">
        <v>88</v>
      </c>
      <c r="I10807" s="0" t="s">
        <v>35884</v>
      </c>
      <c r="J10807" s="0" t="s">
        <v>35885</v>
      </c>
      <c r="K10807" s="0" t="s">
        <v>35886</v>
      </c>
      <c r="L10807" s="0" t="str">
        <f aca="false">HYPERLINK("https://www.ncbi.nlm.nih.gov/nuccore/CP000058.1?report=graph&amp;tracks=[key:gene_model_track,Options:GeneOnly]&amp;mk=3407496:3407515|offset_10|444444,3407472:3407491|offset_34|444444,3407418:3407437|offset_88|00cc00,3407397:3407416|offset_109|444444&amp;v=3407295:3407616&amp;c=444444", "offset 88")</f>
        <v>offset 88</v>
      </c>
    </row>
    <row r="10808" customFormat="false" ht="12.8" hidden="false" customHeight="false" outlineLevel="0" collapsed="false">
      <c r="A10808" s="0" t="s">
        <v>12</v>
      </c>
      <c r="B10808" s="0" t="n">
        <v>3407396</v>
      </c>
      <c r="C10808" s="0" t="n">
        <v>3407416</v>
      </c>
      <c r="D10808" s="0" t="s">
        <v>35876</v>
      </c>
      <c r="E10808" s="0" t="s">
        <v>35877</v>
      </c>
      <c r="F10808" s="0" t="s">
        <v>90</v>
      </c>
      <c r="G10808" s="0" t="s">
        <v>36</v>
      </c>
      <c r="H10808" s="0" t="n">
        <v>109</v>
      </c>
      <c r="I10808" s="0" t="s">
        <v>35887</v>
      </c>
      <c r="J10808" s="0" t="s">
        <v>35888</v>
      </c>
      <c r="K10808" s="0" t="s">
        <v>35889</v>
      </c>
      <c r="L10808" s="0" t="str">
        <f aca="false">HYPERLINK("https://www.ncbi.nlm.nih.gov/nuccore/CP000058.1?report=graph&amp;tracks=[key:gene_model_track,Options:GeneOnly]&amp;mk=3407496:3407515|offset_10|444444,3407472:3407491|offset_34|444444,3407418:3407437|offset_88|444444,3407397:3407416|offset_109|00cc00&amp;v=3407295:3407616&amp;c=444444", "offset 109")</f>
        <v>offset 109</v>
      </c>
    </row>
    <row r="10809" customFormat="false" ht="12.8" hidden="false" customHeight="false" outlineLevel="0" collapsed="false">
      <c r="A10809" s="0" t="s">
        <v>12</v>
      </c>
      <c r="B10809" s="0" t="n">
        <v>3407968</v>
      </c>
      <c r="C10809" s="0" t="n">
        <v>3407988</v>
      </c>
      <c r="D10809" s="0" t="s">
        <v>35890</v>
      </c>
      <c r="E10809" s="0" t="s">
        <v>35891</v>
      </c>
      <c r="F10809" s="0" t="s">
        <v>90</v>
      </c>
      <c r="G10809" s="0" t="s">
        <v>32</v>
      </c>
      <c r="H10809" s="0" t="n">
        <v>1</v>
      </c>
      <c r="I10809" s="0" t="s">
        <v>35892</v>
      </c>
      <c r="J10809" s="0" t="s">
        <v>35893</v>
      </c>
      <c r="K10809" s="0" t="s">
        <v>35894</v>
      </c>
      <c r="L10809" s="0" t="str">
        <f aca="false">HYPERLINK("https://www.ncbi.nlm.nih.gov/nuccore/CP000058.1?report=graph&amp;tracks=[key:gene_model_track,Options:GeneOnly]&amp;mk=3407969:3407988|offset_1|00cc00,3407945:3407964|offset_25|444444,3407908:3407927|offset_62|444444,3407849:3407868|offset_121|444444&amp;v=3407768:3408068&amp;c=444444", "offset 1")</f>
        <v>offset 1</v>
      </c>
    </row>
    <row r="10810" customFormat="false" ht="12.8" hidden="false" customHeight="false" outlineLevel="0" collapsed="false">
      <c r="A10810" s="0" t="s">
        <v>12</v>
      </c>
      <c r="B10810" s="0" t="n">
        <v>3407944</v>
      </c>
      <c r="C10810" s="0" t="n">
        <v>3407964</v>
      </c>
      <c r="D10810" s="0" t="s">
        <v>35890</v>
      </c>
      <c r="E10810" s="0" t="s">
        <v>35891</v>
      </c>
      <c r="F10810" s="0" t="s">
        <v>90</v>
      </c>
      <c r="G10810" s="0" t="s">
        <v>16</v>
      </c>
      <c r="H10810" s="0" t="n">
        <v>25</v>
      </c>
      <c r="I10810" s="0" t="s">
        <v>35895</v>
      </c>
      <c r="J10810" s="0" t="s">
        <v>35896</v>
      </c>
      <c r="K10810" s="0" t="s">
        <v>35897</v>
      </c>
      <c r="L10810" s="0" t="str">
        <f aca="false">HYPERLINK("https://www.ncbi.nlm.nih.gov/nuccore/CP000058.1?report=graph&amp;tracks=[key:gene_model_track,Options:GeneOnly]&amp;mk=3407969:3407988|offset_1|444444,3407945:3407964|offset_25|00cc00,3407908:3407927|offset_62|444444,3407849:3407868|offset_121|444444&amp;v=3407768:3408068&amp;c=444444", "offset 25")</f>
        <v>offset 25</v>
      </c>
    </row>
    <row r="10811" customFormat="false" ht="12.8" hidden="false" customHeight="false" outlineLevel="0" collapsed="false">
      <c r="A10811" s="0" t="s">
        <v>12</v>
      </c>
      <c r="B10811" s="0" t="n">
        <v>3407907</v>
      </c>
      <c r="C10811" s="0" t="n">
        <v>3407927</v>
      </c>
      <c r="D10811" s="0" t="s">
        <v>35890</v>
      </c>
      <c r="E10811" s="0" t="s">
        <v>35891</v>
      </c>
      <c r="F10811" s="0" t="s">
        <v>90</v>
      </c>
      <c r="G10811" s="0" t="s">
        <v>20</v>
      </c>
      <c r="H10811" s="0" t="n">
        <v>62</v>
      </c>
      <c r="I10811" s="0" t="s">
        <v>35898</v>
      </c>
      <c r="J10811" s="0" t="s">
        <v>35899</v>
      </c>
      <c r="K10811" s="0" t="s">
        <v>35900</v>
      </c>
      <c r="L10811" s="0" t="str">
        <f aca="false">HYPERLINK("https://www.ncbi.nlm.nih.gov/nuccore/CP000058.1?report=graph&amp;tracks=[key:gene_model_track,Options:GeneOnly]&amp;mk=3407969:3407988|offset_1|444444,3407945:3407964|offset_25|444444,3407908:3407927|offset_62|00cc00,3407849:3407868|offset_121|444444&amp;v=3407768:3408068&amp;c=444444", "offset 62")</f>
        <v>offset 62</v>
      </c>
    </row>
    <row r="10812" customFormat="false" ht="12.8" hidden="false" customHeight="false" outlineLevel="0" collapsed="false">
      <c r="A10812" s="0" t="s">
        <v>12</v>
      </c>
      <c r="B10812" s="0" t="n">
        <v>3407848</v>
      </c>
      <c r="C10812" s="0" t="n">
        <v>3407868</v>
      </c>
      <c r="D10812" s="0" t="s">
        <v>35890</v>
      </c>
      <c r="E10812" s="0" t="s">
        <v>35891</v>
      </c>
      <c r="F10812" s="0" t="s">
        <v>90</v>
      </c>
      <c r="G10812" s="0" t="s">
        <v>16</v>
      </c>
      <c r="H10812" s="0" t="n">
        <v>121</v>
      </c>
      <c r="I10812" s="0" t="s">
        <v>35901</v>
      </c>
      <c r="J10812" s="0" t="s">
        <v>35902</v>
      </c>
      <c r="K10812" s="0" t="s">
        <v>35903</v>
      </c>
      <c r="L10812" s="0" t="str">
        <f aca="false">HYPERLINK("https://www.ncbi.nlm.nih.gov/nuccore/CP000058.1?report=graph&amp;tracks=[key:gene_model_track,Options:GeneOnly]&amp;mk=3407969:3407988|offset_1|444444,3407945:3407964|offset_25|444444,3407908:3407927|offset_62|444444,3407849:3407868|offset_121|00cc00&amp;v=3407768:3408068&amp;c=444444", "offset 121")</f>
        <v>offset 121</v>
      </c>
    </row>
    <row r="10813" customFormat="false" ht="12.8" hidden="false" customHeight="false" outlineLevel="0" collapsed="false">
      <c r="A10813" s="0" t="s">
        <v>12</v>
      </c>
      <c r="B10813" s="0" t="n">
        <v>3408691</v>
      </c>
      <c r="C10813" s="0" t="n">
        <v>3408711</v>
      </c>
      <c r="D10813" s="0" t="s">
        <v>35904</v>
      </c>
      <c r="E10813" s="0" t="s">
        <v>35905</v>
      </c>
      <c r="F10813" s="0" t="s">
        <v>90</v>
      </c>
      <c r="G10813" s="0" t="s">
        <v>16</v>
      </c>
      <c r="H10813" s="0" t="n">
        <v>27</v>
      </c>
      <c r="I10813" s="0" t="s">
        <v>35906</v>
      </c>
      <c r="J10813" s="0" t="s">
        <v>35907</v>
      </c>
      <c r="K10813" s="0" t="s">
        <v>35908</v>
      </c>
      <c r="L10813" s="0" t="str">
        <f aca="false">HYPERLINK("https://www.ncbi.nlm.nih.gov/nuccore/CP000058.1?report=graph&amp;tracks=[key:gene_model_track,Options:GeneOnly]&amp;mk=3408692:3408711|offset_27|00cc00,3408667:3408686|offset_52|444444,3408638:3408657|offset_81|444444,3408604:3408623|offset_115|444444&amp;v=3408491:3408823&amp;c=444444", "offset 27")</f>
        <v>offset 27</v>
      </c>
    </row>
    <row r="10814" customFormat="false" ht="12.8" hidden="false" customHeight="false" outlineLevel="0" collapsed="false">
      <c r="A10814" s="0" t="s">
        <v>12</v>
      </c>
      <c r="B10814" s="0" t="n">
        <v>3408666</v>
      </c>
      <c r="C10814" s="0" t="n">
        <v>3408686</v>
      </c>
      <c r="D10814" s="0" t="s">
        <v>35904</v>
      </c>
      <c r="E10814" s="0" t="s">
        <v>35905</v>
      </c>
      <c r="F10814" s="0" t="s">
        <v>90</v>
      </c>
      <c r="G10814" s="0" t="s">
        <v>36</v>
      </c>
      <c r="H10814" s="0" t="n">
        <v>52</v>
      </c>
      <c r="I10814" s="0" t="s">
        <v>35909</v>
      </c>
      <c r="J10814" s="0" t="s">
        <v>35910</v>
      </c>
      <c r="K10814" s="0" t="s">
        <v>35911</v>
      </c>
      <c r="L10814" s="0" t="str">
        <f aca="false">HYPERLINK("https://www.ncbi.nlm.nih.gov/nuccore/CP000058.1?report=graph&amp;tracks=[key:gene_model_track,Options:GeneOnly]&amp;mk=3408692:3408711|offset_27|444444,3408667:3408686|offset_52|00cc00,3408638:3408657|offset_81|444444,3408604:3408623|offset_115|444444&amp;v=3408491:3408823&amp;c=444444", "offset 52")</f>
        <v>offset 52</v>
      </c>
    </row>
    <row r="10815" customFormat="false" ht="12.8" hidden="false" customHeight="false" outlineLevel="0" collapsed="false">
      <c r="A10815" s="0" t="s">
        <v>12</v>
      </c>
      <c r="B10815" s="0" t="n">
        <v>3408637</v>
      </c>
      <c r="C10815" s="0" t="n">
        <v>3408657</v>
      </c>
      <c r="D10815" s="0" t="s">
        <v>35904</v>
      </c>
      <c r="E10815" s="0" t="s">
        <v>35905</v>
      </c>
      <c r="F10815" s="0" t="s">
        <v>90</v>
      </c>
      <c r="G10815" s="0" t="s">
        <v>36</v>
      </c>
      <c r="H10815" s="0" t="n">
        <v>81</v>
      </c>
      <c r="I10815" s="0" t="s">
        <v>35912</v>
      </c>
      <c r="J10815" s="0" t="s">
        <v>35913</v>
      </c>
      <c r="K10815" s="0" t="s">
        <v>35914</v>
      </c>
      <c r="L10815" s="0" t="str">
        <f aca="false">HYPERLINK("https://www.ncbi.nlm.nih.gov/nuccore/CP000058.1?report=graph&amp;tracks=[key:gene_model_track,Options:GeneOnly]&amp;mk=3408692:3408711|offset_27|444444,3408667:3408686|offset_52|444444,3408638:3408657|offset_81|00cc00,3408604:3408623|offset_115|444444&amp;v=3408491:3408823&amp;c=444444", "offset 81")</f>
        <v>offset 81</v>
      </c>
    </row>
    <row r="10816" customFormat="false" ht="12.8" hidden="false" customHeight="false" outlineLevel="0" collapsed="false">
      <c r="A10816" s="0" t="s">
        <v>12</v>
      </c>
      <c r="B10816" s="0" t="n">
        <v>3408603</v>
      </c>
      <c r="C10816" s="0" t="n">
        <v>3408623</v>
      </c>
      <c r="D10816" s="0" t="s">
        <v>35904</v>
      </c>
      <c r="E10816" s="0" t="s">
        <v>35905</v>
      </c>
      <c r="F10816" s="0" t="s">
        <v>90</v>
      </c>
      <c r="G10816" s="0" t="s">
        <v>16</v>
      </c>
      <c r="H10816" s="0" t="n">
        <v>115</v>
      </c>
      <c r="I10816" s="0" t="s">
        <v>35915</v>
      </c>
      <c r="J10816" s="0" t="s">
        <v>35916</v>
      </c>
      <c r="K10816" s="0" t="s">
        <v>35917</v>
      </c>
      <c r="L10816" s="0" t="str">
        <f aca="false">HYPERLINK("https://www.ncbi.nlm.nih.gov/nuccore/CP000058.1?report=graph&amp;tracks=[key:gene_model_track,Options:GeneOnly]&amp;mk=3408692:3408711|offset_27|444444,3408667:3408686|offset_52|444444,3408638:3408657|offset_81|444444,3408604:3408623|offset_115|00cc00&amp;v=3408491:3408823&amp;c=444444", "offset 115")</f>
        <v>offset 115</v>
      </c>
    </row>
    <row r="10817" customFormat="false" ht="12.8" hidden="false" customHeight="false" outlineLevel="0" collapsed="false">
      <c r="A10817" s="0" t="s">
        <v>12</v>
      </c>
      <c r="B10817" s="0" t="n">
        <v>3409542</v>
      </c>
      <c r="C10817" s="0" t="n">
        <v>3409562</v>
      </c>
      <c r="D10817" s="0" t="s">
        <v>35918</v>
      </c>
      <c r="E10817" s="0" t="s">
        <v>35919</v>
      </c>
      <c r="F10817" s="0" t="s">
        <v>90</v>
      </c>
      <c r="G10817" s="0" t="s">
        <v>32</v>
      </c>
      <c r="H10817" s="0" t="n">
        <v>1</v>
      </c>
      <c r="I10817" s="0" t="s">
        <v>35920</v>
      </c>
      <c r="J10817" s="0" t="s">
        <v>35921</v>
      </c>
      <c r="K10817" s="0" t="s">
        <v>35922</v>
      </c>
      <c r="L10817" s="0" t="str">
        <f aca="false">HYPERLINK("https://www.ncbi.nlm.nih.gov/nuccore/CP000058.1?report=graph&amp;tracks=[key:gene_model_track,Options:GeneOnly]&amp;mk=3409543:3409562|offset_1|00cc00,3409519:3409538|offset_25|444444,3409492:3409511|offset_52|444444,3409453:3409472|offset_91|444444&amp;v=3409342:3409672&amp;c=444444", "offset 1")</f>
        <v>offset 1</v>
      </c>
    </row>
    <row r="10818" customFormat="false" ht="12.8" hidden="false" customHeight="false" outlineLevel="0" collapsed="false">
      <c r="A10818" s="0" t="s">
        <v>12</v>
      </c>
      <c r="B10818" s="0" t="n">
        <v>3409518</v>
      </c>
      <c r="C10818" s="0" t="n">
        <v>3409538</v>
      </c>
      <c r="D10818" s="0" t="s">
        <v>35918</v>
      </c>
      <c r="E10818" s="0" t="s">
        <v>35919</v>
      </c>
      <c r="F10818" s="0" t="s">
        <v>90</v>
      </c>
      <c r="G10818" s="0" t="s">
        <v>36</v>
      </c>
      <c r="H10818" s="0" t="n">
        <v>25</v>
      </c>
      <c r="I10818" s="0" t="s">
        <v>35923</v>
      </c>
      <c r="J10818" s="0" t="s">
        <v>35924</v>
      </c>
      <c r="K10818" s="0" t="s">
        <v>35925</v>
      </c>
      <c r="L10818" s="0" t="str">
        <f aca="false">HYPERLINK("https://www.ncbi.nlm.nih.gov/nuccore/CP000058.1?report=graph&amp;tracks=[key:gene_model_track,Options:GeneOnly]&amp;mk=3409543:3409562|offset_1|444444,3409519:3409538|offset_25|00cc00,3409492:3409511|offset_52|444444,3409453:3409472|offset_91|444444&amp;v=3409342:3409672&amp;c=444444", "offset 25")</f>
        <v>offset 25</v>
      </c>
    </row>
    <row r="10819" customFormat="false" ht="12.8" hidden="false" customHeight="false" outlineLevel="0" collapsed="false">
      <c r="A10819" s="0" t="s">
        <v>12</v>
      </c>
      <c r="B10819" s="0" t="n">
        <v>3409491</v>
      </c>
      <c r="C10819" s="0" t="n">
        <v>3409511</v>
      </c>
      <c r="D10819" s="0" t="s">
        <v>35918</v>
      </c>
      <c r="E10819" s="0" t="s">
        <v>35919</v>
      </c>
      <c r="F10819" s="0" t="s">
        <v>90</v>
      </c>
      <c r="G10819" s="0" t="s">
        <v>36</v>
      </c>
      <c r="H10819" s="0" t="n">
        <v>52</v>
      </c>
      <c r="I10819" s="0" t="s">
        <v>35926</v>
      </c>
      <c r="J10819" s="0" t="s">
        <v>35927</v>
      </c>
      <c r="K10819" s="0" t="s">
        <v>35928</v>
      </c>
      <c r="L10819" s="0" t="str">
        <f aca="false">HYPERLINK("https://www.ncbi.nlm.nih.gov/nuccore/CP000058.1?report=graph&amp;tracks=[key:gene_model_track,Options:GeneOnly]&amp;mk=3409543:3409562|offset_1|444444,3409519:3409538|offset_25|444444,3409492:3409511|offset_52|00cc00,3409453:3409472|offset_91|444444&amp;v=3409342:3409672&amp;c=444444", "offset 52")</f>
        <v>offset 52</v>
      </c>
    </row>
    <row r="10820" customFormat="false" ht="12.8" hidden="false" customHeight="false" outlineLevel="0" collapsed="false">
      <c r="A10820" s="0" t="s">
        <v>12</v>
      </c>
      <c r="B10820" s="0" t="n">
        <v>3409452</v>
      </c>
      <c r="C10820" s="0" t="n">
        <v>3409472</v>
      </c>
      <c r="D10820" s="0" t="s">
        <v>35918</v>
      </c>
      <c r="E10820" s="0" t="s">
        <v>35919</v>
      </c>
      <c r="F10820" s="0" t="s">
        <v>90</v>
      </c>
      <c r="G10820" s="0" t="s">
        <v>20</v>
      </c>
      <c r="H10820" s="0" t="n">
        <v>91</v>
      </c>
      <c r="I10820" s="0" t="s">
        <v>35929</v>
      </c>
      <c r="J10820" s="0" t="s">
        <v>35930</v>
      </c>
      <c r="K10820" s="0" t="s">
        <v>35931</v>
      </c>
      <c r="L10820" s="0" t="str">
        <f aca="false">HYPERLINK("https://www.ncbi.nlm.nih.gov/nuccore/CP000058.1?report=graph&amp;tracks=[key:gene_model_track,Options:GeneOnly]&amp;mk=3409543:3409562|offset_1|444444,3409519:3409538|offset_25|444444,3409492:3409511|offset_52|444444,3409453:3409472|offset_91|00cc00&amp;v=3409342:3409672&amp;c=444444", "offset 91")</f>
        <v>offset 91</v>
      </c>
    </row>
    <row r="10821" customFormat="false" ht="12.8" hidden="false" customHeight="false" outlineLevel="0" collapsed="false">
      <c r="A10821" s="0" t="s">
        <v>12</v>
      </c>
      <c r="B10821" s="0" t="n">
        <v>3410551</v>
      </c>
      <c r="C10821" s="0" t="n">
        <v>3410571</v>
      </c>
      <c r="D10821" s="0" t="s">
        <v>35932</v>
      </c>
      <c r="E10821" s="0" t="s">
        <v>35933</v>
      </c>
      <c r="F10821" s="0" t="s">
        <v>90</v>
      </c>
      <c r="G10821" s="0" t="s">
        <v>20</v>
      </c>
      <c r="H10821" s="0" t="n">
        <v>31</v>
      </c>
      <c r="I10821" s="0" t="s">
        <v>35934</v>
      </c>
      <c r="J10821" s="0" t="s">
        <v>35935</v>
      </c>
      <c r="K10821" s="0" t="s">
        <v>35936</v>
      </c>
      <c r="L10821" s="0" t="str">
        <f aca="false">HYPERLINK("https://www.ncbi.nlm.nih.gov/nuccore/CP000058.1?report=graph&amp;tracks=[key:gene_model_track,Options:GeneOnly]&amp;mk=3410552:3410571|offset_31|00cc00,3410531:3410550|offset_52|444444,3410492:3410511|offset_91|444444,3410471:3410490|offset_112|444444&amp;v=3410351:3410690&amp;c=444444", "offset 31")</f>
        <v>offset 31</v>
      </c>
    </row>
    <row r="10822" customFormat="false" ht="12.8" hidden="false" customHeight="false" outlineLevel="0" collapsed="false">
      <c r="A10822" s="0" t="s">
        <v>12</v>
      </c>
      <c r="B10822" s="0" t="n">
        <v>3410530</v>
      </c>
      <c r="C10822" s="0" t="n">
        <v>3410550</v>
      </c>
      <c r="D10822" s="0" t="s">
        <v>35932</v>
      </c>
      <c r="E10822" s="0" t="s">
        <v>35933</v>
      </c>
      <c r="F10822" s="0" t="s">
        <v>90</v>
      </c>
      <c r="G10822" s="0" t="s">
        <v>20</v>
      </c>
      <c r="H10822" s="0" t="n">
        <v>52</v>
      </c>
      <c r="I10822" s="0" t="s">
        <v>35937</v>
      </c>
      <c r="J10822" s="0" t="s">
        <v>35938</v>
      </c>
      <c r="K10822" s="0" t="s">
        <v>35939</v>
      </c>
      <c r="L10822" s="0" t="str">
        <f aca="false">HYPERLINK("https://www.ncbi.nlm.nih.gov/nuccore/CP000058.1?report=graph&amp;tracks=[key:gene_model_track,Options:GeneOnly]&amp;mk=3410552:3410571|offset_31|444444,3410531:3410550|offset_52|00cc00,3410492:3410511|offset_91|444444,3410471:3410490|offset_112|444444&amp;v=3410351:3410690&amp;c=444444", "offset 52")</f>
        <v>offset 52</v>
      </c>
    </row>
    <row r="10823" customFormat="false" ht="12.8" hidden="false" customHeight="false" outlineLevel="0" collapsed="false">
      <c r="A10823" s="0" t="s">
        <v>12</v>
      </c>
      <c r="B10823" s="0" t="n">
        <v>3410491</v>
      </c>
      <c r="C10823" s="0" t="n">
        <v>3410511</v>
      </c>
      <c r="D10823" s="0" t="s">
        <v>35932</v>
      </c>
      <c r="E10823" s="0" t="s">
        <v>35933</v>
      </c>
      <c r="F10823" s="0" t="s">
        <v>90</v>
      </c>
      <c r="G10823" s="0" t="s">
        <v>32</v>
      </c>
      <c r="H10823" s="0" t="n">
        <v>91</v>
      </c>
      <c r="I10823" s="0" t="s">
        <v>35940</v>
      </c>
      <c r="J10823" s="0" t="s">
        <v>35941</v>
      </c>
      <c r="K10823" s="0" t="s">
        <v>35942</v>
      </c>
      <c r="L10823" s="0" t="str">
        <f aca="false">HYPERLINK("https://www.ncbi.nlm.nih.gov/nuccore/CP000058.1?report=graph&amp;tracks=[key:gene_model_track,Options:GeneOnly]&amp;mk=3410552:3410571|offset_31|444444,3410531:3410550|offset_52|444444,3410492:3410511|offset_91|00cc00,3410471:3410490|offset_112|444444&amp;v=3410351:3410690&amp;c=444444", "offset 91")</f>
        <v>offset 91</v>
      </c>
    </row>
    <row r="10824" customFormat="false" ht="12.8" hidden="false" customHeight="false" outlineLevel="0" collapsed="false">
      <c r="A10824" s="0" t="s">
        <v>12</v>
      </c>
      <c r="B10824" s="0" t="n">
        <v>3410470</v>
      </c>
      <c r="C10824" s="0" t="n">
        <v>3410490</v>
      </c>
      <c r="D10824" s="0" t="s">
        <v>35932</v>
      </c>
      <c r="E10824" s="0" t="s">
        <v>35933</v>
      </c>
      <c r="F10824" s="0" t="s">
        <v>90</v>
      </c>
      <c r="G10824" s="0" t="s">
        <v>32</v>
      </c>
      <c r="H10824" s="0" t="n">
        <v>112</v>
      </c>
      <c r="I10824" s="0" t="s">
        <v>35943</v>
      </c>
      <c r="J10824" s="0" t="s">
        <v>35944</v>
      </c>
      <c r="K10824" s="0" t="s">
        <v>35945</v>
      </c>
      <c r="L10824" s="0" t="str">
        <f aca="false">HYPERLINK("https://www.ncbi.nlm.nih.gov/nuccore/CP000058.1?report=graph&amp;tracks=[key:gene_model_track,Options:GeneOnly]&amp;mk=3410552:3410571|offset_31|444444,3410531:3410550|offset_52|444444,3410492:3410511|offset_91|444444,3410471:3410490|offset_112|00cc00&amp;v=3410351:3410690&amp;c=444444", "offset 112")</f>
        <v>offset 112</v>
      </c>
    </row>
    <row r="10825" customFormat="false" ht="12.8" hidden="false" customHeight="false" outlineLevel="0" collapsed="false">
      <c r="A10825" s="0" t="s">
        <v>12</v>
      </c>
      <c r="B10825" s="0" t="n">
        <v>3411441</v>
      </c>
      <c r="C10825" s="0" t="n">
        <v>3411461</v>
      </c>
      <c r="D10825" s="0" t="s">
        <v>35946</v>
      </c>
      <c r="E10825" s="0" t="s">
        <v>35947</v>
      </c>
      <c r="F10825" s="0" t="s">
        <v>90</v>
      </c>
      <c r="G10825" s="0" t="s">
        <v>32</v>
      </c>
      <c r="H10825" s="0" t="n">
        <v>13</v>
      </c>
      <c r="I10825" s="0" t="s">
        <v>35948</v>
      </c>
      <c r="J10825" s="0" t="s">
        <v>35949</v>
      </c>
      <c r="K10825" s="0" t="s">
        <v>35950</v>
      </c>
      <c r="L10825" s="0" t="str">
        <f aca="false">HYPERLINK("https://www.ncbi.nlm.nih.gov/nuccore/CP000058.1?report=graph&amp;tracks=[key:gene_model_track,Options:GeneOnly]&amp;mk=3411442:3411461|offset_13|00cc00,3411415:3411434|offset_40|444444,3411387:3411406|offset_68|444444,3411337:3411356|offset_118|444444&amp;v=3411241:3411556&amp;c=444444", "offset 13")</f>
        <v>offset 13</v>
      </c>
    </row>
    <row r="10826" customFormat="false" ht="12.8" hidden="false" customHeight="false" outlineLevel="0" collapsed="false">
      <c r="A10826" s="0" t="s">
        <v>12</v>
      </c>
      <c r="B10826" s="0" t="n">
        <v>3411414</v>
      </c>
      <c r="C10826" s="0" t="n">
        <v>3411434</v>
      </c>
      <c r="D10826" s="0" t="s">
        <v>35946</v>
      </c>
      <c r="E10826" s="0" t="s">
        <v>35947</v>
      </c>
      <c r="F10826" s="0" t="s">
        <v>90</v>
      </c>
      <c r="G10826" s="0" t="s">
        <v>20</v>
      </c>
      <c r="H10826" s="0" t="n">
        <v>40</v>
      </c>
      <c r="I10826" s="0" t="s">
        <v>35951</v>
      </c>
      <c r="J10826" s="0" t="s">
        <v>35952</v>
      </c>
      <c r="K10826" s="0" t="s">
        <v>35953</v>
      </c>
      <c r="L10826" s="0" t="str">
        <f aca="false">HYPERLINK("https://www.ncbi.nlm.nih.gov/nuccore/CP000058.1?report=graph&amp;tracks=[key:gene_model_track,Options:GeneOnly]&amp;mk=3411442:3411461|offset_13|444444,3411415:3411434|offset_40|00cc00,3411387:3411406|offset_68|444444,3411337:3411356|offset_118|444444&amp;v=3411241:3411556&amp;c=444444", "offset 40")</f>
        <v>offset 40</v>
      </c>
    </row>
    <row r="10827" customFormat="false" ht="12.8" hidden="false" customHeight="false" outlineLevel="0" collapsed="false">
      <c r="A10827" s="0" t="s">
        <v>12</v>
      </c>
      <c r="B10827" s="0" t="n">
        <v>3411386</v>
      </c>
      <c r="C10827" s="0" t="n">
        <v>3411406</v>
      </c>
      <c r="D10827" s="0" t="s">
        <v>35946</v>
      </c>
      <c r="E10827" s="0" t="s">
        <v>35947</v>
      </c>
      <c r="F10827" s="0" t="s">
        <v>90</v>
      </c>
      <c r="G10827" s="0" t="s">
        <v>20</v>
      </c>
      <c r="H10827" s="0" t="n">
        <v>68</v>
      </c>
      <c r="I10827" s="0" t="s">
        <v>35954</v>
      </c>
      <c r="J10827" s="0" t="s">
        <v>35955</v>
      </c>
      <c r="K10827" s="0" t="s">
        <v>35956</v>
      </c>
      <c r="L10827" s="0" t="str">
        <f aca="false">HYPERLINK("https://www.ncbi.nlm.nih.gov/nuccore/CP000058.1?report=graph&amp;tracks=[key:gene_model_track,Options:GeneOnly]&amp;mk=3411442:3411461|offset_13|444444,3411415:3411434|offset_40|444444,3411387:3411406|offset_68|00cc00,3411337:3411356|offset_118|444444&amp;v=3411241:3411556&amp;c=444444", "offset 68")</f>
        <v>offset 68</v>
      </c>
    </row>
    <row r="10828" customFormat="false" ht="12.8" hidden="false" customHeight="false" outlineLevel="0" collapsed="false">
      <c r="A10828" s="0" t="s">
        <v>12</v>
      </c>
      <c r="B10828" s="0" t="n">
        <v>3411336</v>
      </c>
      <c r="C10828" s="0" t="n">
        <v>3411356</v>
      </c>
      <c r="D10828" s="0" t="s">
        <v>35946</v>
      </c>
      <c r="E10828" s="0" t="s">
        <v>35947</v>
      </c>
      <c r="F10828" s="0" t="s">
        <v>90</v>
      </c>
      <c r="G10828" s="0" t="s">
        <v>16</v>
      </c>
      <c r="H10828" s="0" t="n">
        <v>118</v>
      </c>
      <c r="I10828" s="0" t="s">
        <v>35957</v>
      </c>
      <c r="J10828" s="0" t="s">
        <v>35958</v>
      </c>
      <c r="K10828" s="0" t="s">
        <v>35959</v>
      </c>
      <c r="L10828" s="0" t="str">
        <f aca="false">HYPERLINK("https://www.ncbi.nlm.nih.gov/nuccore/CP000058.1?report=graph&amp;tracks=[key:gene_model_track,Options:GeneOnly]&amp;mk=3411442:3411461|offset_13|444444,3411415:3411434|offset_40|444444,3411387:3411406|offset_68|444444,3411337:3411356|offset_118|00cc00&amp;v=3411241:3411556&amp;c=444444", "offset 118")</f>
        <v>offset 118</v>
      </c>
    </row>
    <row r="10829" customFormat="false" ht="12.8" hidden="false" customHeight="false" outlineLevel="0" collapsed="false">
      <c r="A10829" s="0" t="s">
        <v>12</v>
      </c>
      <c r="B10829" s="0" t="n">
        <v>3413560</v>
      </c>
      <c r="C10829" s="0" t="n">
        <v>3413580</v>
      </c>
      <c r="D10829" s="0" t="s">
        <v>35960</v>
      </c>
      <c r="E10829" s="0" t="s">
        <v>75</v>
      </c>
      <c r="F10829" s="0" t="s">
        <v>90</v>
      </c>
      <c r="G10829" s="0" t="s">
        <v>16</v>
      </c>
      <c r="H10829" s="0" t="n">
        <v>40</v>
      </c>
      <c r="I10829" s="0" t="s">
        <v>35961</v>
      </c>
      <c r="J10829" s="0" t="s">
        <v>35962</v>
      </c>
      <c r="K10829" s="0" t="s">
        <v>35963</v>
      </c>
      <c r="L10829" s="0" t="str">
        <f aca="false">HYPERLINK("https://www.ncbi.nlm.nih.gov/nuccore/CP000058.1?report=graph&amp;tracks=[key:gene_model_track,Options:GeneOnly]&amp;mk=3413561:3413580|offset_40|00cc00,3413483:3413502|offset_118|444444,3413444:3413463|offset_157|444444,3413413:3413432|offset_188|444444&amp;v=3413360:3413632&amp;c=444444", "offset 40")</f>
        <v>offset 40</v>
      </c>
    </row>
    <row r="10830" customFormat="false" ht="12.8" hidden="false" customHeight="false" outlineLevel="0" collapsed="false">
      <c r="A10830" s="0" t="s">
        <v>12</v>
      </c>
      <c r="B10830" s="0" t="n">
        <v>3413482</v>
      </c>
      <c r="C10830" s="0" t="n">
        <v>3413502</v>
      </c>
      <c r="D10830" s="0" t="s">
        <v>35960</v>
      </c>
      <c r="E10830" s="0" t="s">
        <v>75</v>
      </c>
      <c r="F10830" s="0" t="s">
        <v>90</v>
      </c>
      <c r="G10830" s="0" t="s">
        <v>32</v>
      </c>
      <c r="H10830" s="0" t="n">
        <v>118</v>
      </c>
      <c r="I10830" s="0" t="s">
        <v>35964</v>
      </c>
      <c r="J10830" s="0" t="s">
        <v>35965</v>
      </c>
      <c r="K10830" s="0" t="s">
        <v>35966</v>
      </c>
      <c r="L10830" s="0" t="str">
        <f aca="false">HYPERLINK("https://www.ncbi.nlm.nih.gov/nuccore/CP000058.1?report=graph&amp;tracks=[key:gene_model_track,Options:GeneOnly]&amp;mk=3413561:3413580|offset_40|444444,3413483:3413502|offset_118|00cc00,3413444:3413463|offset_157|444444,3413413:3413432|offset_188|444444&amp;v=3413360:3413632&amp;c=444444", "offset 118")</f>
        <v>offset 118</v>
      </c>
    </row>
    <row r="10831" customFormat="false" ht="12.8" hidden="false" customHeight="false" outlineLevel="0" collapsed="false">
      <c r="A10831" s="0" t="s">
        <v>12</v>
      </c>
      <c r="B10831" s="0" t="n">
        <v>3413443</v>
      </c>
      <c r="C10831" s="0" t="n">
        <v>3413463</v>
      </c>
      <c r="D10831" s="0" t="s">
        <v>35960</v>
      </c>
      <c r="E10831" s="0" t="s">
        <v>75</v>
      </c>
      <c r="F10831" s="0" t="s">
        <v>90</v>
      </c>
      <c r="G10831" s="0" t="s">
        <v>32</v>
      </c>
      <c r="H10831" s="0" t="n">
        <v>157</v>
      </c>
      <c r="I10831" s="0" t="s">
        <v>35967</v>
      </c>
      <c r="J10831" s="0" t="s">
        <v>35968</v>
      </c>
      <c r="K10831" s="0" t="s">
        <v>35969</v>
      </c>
      <c r="L10831" s="0" t="str">
        <f aca="false">HYPERLINK("https://www.ncbi.nlm.nih.gov/nuccore/CP000058.1?report=graph&amp;tracks=[key:gene_model_track,Options:GeneOnly]&amp;mk=3413561:3413580|offset_40|444444,3413483:3413502|offset_118|444444,3413444:3413463|offset_157|00cc00,3413413:3413432|offset_188|444444&amp;v=3413360:3413632&amp;c=444444", "offset 157")</f>
        <v>offset 157</v>
      </c>
    </row>
    <row r="10832" customFormat="false" ht="12.8" hidden="false" customHeight="false" outlineLevel="0" collapsed="false">
      <c r="A10832" s="0" t="s">
        <v>12</v>
      </c>
      <c r="B10832" s="0" t="n">
        <v>3413412</v>
      </c>
      <c r="C10832" s="0" t="n">
        <v>3413432</v>
      </c>
      <c r="D10832" s="0" t="s">
        <v>35960</v>
      </c>
      <c r="E10832" s="0" t="s">
        <v>75</v>
      </c>
      <c r="F10832" s="0" t="s">
        <v>90</v>
      </c>
      <c r="G10832" s="0" t="s">
        <v>16</v>
      </c>
      <c r="H10832" s="0" t="n">
        <v>188</v>
      </c>
      <c r="I10832" s="0" t="s">
        <v>35970</v>
      </c>
      <c r="J10832" s="0" t="s">
        <v>35971</v>
      </c>
      <c r="K10832" s="0" t="s">
        <v>35972</v>
      </c>
      <c r="L10832" s="0" t="str">
        <f aca="false">HYPERLINK("https://www.ncbi.nlm.nih.gov/nuccore/CP000058.1?report=graph&amp;tracks=[key:gene_model_track,Options:GeneOnly]&amp;mk=3413561:3413580|offset_40|444444,3413483:3413502|offset_118|444444,3413444:3413463|offset_157|444444,3413413:3413432|offset_188|00cc00&amp;v=3413360:3413632&amp;c=444444", "offset 188")</f>
        <v>offset 188</v>
      </c>
    </row>
    <row r="10833" customFormat="false" ht="12.8" hidden="false" customHeight="false" outlineLevel="0" collapsed="false">
      <c r="A10833" s="0" t="s">
        <v>12</v>
      </c>
      <c r="B10833" s="0" t="n">
        <v>3413953</v>
      </c>
      <c r="C10833" s="0" t="n">
        <v>3413973</v>
      </c>
      <c r="D10833" s="0" t="s">
        <v>35973</v>
      </c>
      <c r="E10833" s="0" t="s">
        <v>75</v>
      </c>
      <c r="F10833" s="0" t="s">
        <v>15</v>
      </c>
      <c r="G10833" s="0" t="s">
        <v>32</v>
      </c>
      <c r="H10833" s="0" t="n">
        <v>1</v>
      </c>
      <c r="I10833" s="0" t="s">
        <v>35974</v>
      </c>
      <c r="J10833" s="0" t="s">
        <v>35975</v>
      </c>
      <c r="K10833" s="0" t="s">
        <v>35976</v>
      </c>
      <c r="L10833" s="0" t="str">
        <f aca="false">HYPERLINK("https://www.ncbi.nlm.nih.gov/nuccore/CP000058.1?report=graph&amp;tracks=[key:gene_model_track,Options:GeneOnly]&amp;mk=3413954:3413973|offset_1|00cc00,3413997:3414016|offset_44|444444,3414045:3414064|offset_92|444444,3414090:3414109|offset_137|444444&amp;v=3413753:3414309&amp;c=444444", "offset 1")</f>
        <v>offset 1</v>
      </c>
    </row>
    <row r="10834" customFormat="false" ht="12.8" hidden="false" customHeight="false" outlineLevel="0" collapsed="false">
      <c r="A10834" s="0" t="s">
        <v>12</v>
      </c>
      <c r="B10834" s="0" t="n">
        <v>3413996</v>
      </c>
      <c r="C10834" s="0" t="n">
        <v>3414016</v>
      </c>
      <c r="D10834" s="0" t="s">
        <v>35973</v>
      </c>
      <c r="E10834" s="0" t="s">
        <v>75</v>
      </c>
      <c r="F10834" s="0" t="s">
        <v>15</v>
      </c>
      <c r="G10834" s="0" t="s">
        <v>36</v>
      </c>
      <c r="H10834" s="0" t="n">
        <v>44</v>
      </c>
      <c r="I10834" s="0" t="s">
        <v>35977</v>
      </c>
      <c r="J10834" s="0" t="s">
        <v>35978</v>
      </c>
      <c r="K10834" s="0" t="s">
        <v>35979</v>
      </c>
      <c r="L10834" s="0" t="str">
        <f aca="false">HYPERLINK("https://www.ncbi.nlm.nih.gov/nuccore/CP000058.1?report=graph&amp;tracks=[key:gene_model_track,Options:GeneOnly]&amp;mk=3413954:3413973|offset_1|444444,3413997:3414016|offset_44|00cc00,3414045:3414064|offset_92|444444,3414090:3414109|offset_137|444444&amp;v=3413753:3414309&amp;c=444444", "offset 44")</f>
        <v>offset 44</v>
      </c>
    </row>
    <row r="10835" customFormat="false" ht="12.8" hidden="false" customHeight="false" outlineLevel="0" collapsed="false">
      <c r="A10835" s="0" t="s">
        <v>12</v>
      </c>
      <c r="B10835" s="0" t="n">
        <v>3414044</v>
      </c>
      <c r="C10835" s="0" t="n">
        <v>3414064</v>
      </c>
      <c r="D10835" s="0" t="s">
        <v>35973</v>
      </c>
      <c r="E10835" s="0" t="s">
        <v>75</v>
      </c>
      <c r="F10835" s="0" t="s">
        <v>15</v>
      </c>
      <c r="G10835" s="0" t="s">
        <v>36</v>
      </c>
      <c r="H10835" s="0" t="n">
        <v>92</v>
      </c>
      <c r="I10835" s="0" t="s">
        <v>35980</v>
      </c>
      <c r="J10835" s="0" t="s">
        <v>35981</v>
      </c>
      <c r="K10835" s="0" t="s">
        <v>35982</v>
      </c>
      <c r="L10835" s="0" t="str">
        <f aca="false">HYPERLINK("https://www.ncbi.nlm.nih.gov/nuccore/CP000058.1?report=graph&amp;tracks=[key:gene_model_track,Options:GeneOnly]&amp;mk=3413954:3413973|offset_1|444444,3413997:3414016|offset_44|444444,3414045:3414064|offset_92|00cc00,3414090:3414109|offset_137|444444&amp;v=3413753:3414309&amp;c=444444", "offset 92")</f>
        <v>offset 92</v>
      </c>
    </row>
    <row r="10836" customFormat="false" ht="12.8" hidden="false" customHeight="false" outlineLevel="0" collapsed="false">
      <c r="A10836" s="0" t="s">
        <v>12</v>
      </c>
      <c r="B10836" s="0" t="n">
        <v>3414089</v>
      </c>
      <c r="C10836" s="0" t="n">
        <v>3414109</v>
      </c>
      <c r="D10836" s="0" t="s">
        <v>35973</v>
      </c>
      <c r="E10836" s="0" t="s">
        <v>75</v>
      </c>
      <c r="F10836" s="0" t="s">
        <v>15</v>
      </c>
      <c r="G10836" s="0" t="s">
        <v>36</v>
      </c>
      <c r="H10836" s="0" t="n">
        <v>137</v>
      </c>
      <c r="I10836" s="0" t="s">
        <v>35983</v>
      </c>
      <c r="J10836" s="0" t="s">
        <v>35984</v>
      </c>
      <c r="K10836" s="0" t="s">
        <v>35985</v>
      </c>
      <c r="L10836" s="0" t="str">
        <f aca="false">HYPERLINK("https://www.ncbi.nlm.nih.gov/nuccore/CP000058.1?report=graph&amp;tracks=[key:gene_model_track,Options:GeneOnly]&amp;mk=3413954:3413973|offset_1|444444,3413997:3414016|offset_44|444444,3414045:3414064|offset_92|444444,3414090:3414109|offset_137|00cc00&amp;v=3413753:3414309&amp;c=444444", "offset 137")</f>
        <v>offset 137</v>
      </c>
    </row>
    <row r="10837" customFormat="false" ht="12.8" hidden="false" customHeight="false" outlineLevel="0" collapsed="false">
      <c r="A10837" s="0" t="s">
        <v>12</v>
      </c>
      <c r="B10837" s="0" t="n">
        <v>3414965</v>
      </c>
      <c r="C10837" s="0" t="n">
        <v>3414985</v>
      </c>
      <c r="D10837" s="0" t="s">
        <v>35986</v>
      </c>
      <c r="E10837" s="0" t="s">
        <v>35987</v>
      </c>
      <c r="F10837" s="0" t="s">
        <v>15</v>
      </c>
      <c r="G10837" s="0" t="s">
        <v>36</v>
      </c>
      <c r="H10837" s="0" t="n">
        <v>27</v>
      </c>
      <c r="I10837" s="0" t="s">
        <v>35988</v>
      </c>
      <c r="J10837" s="0" t="s">
        <v>35989</v>
      </c>
      <c r="K10837" s="0" t="s">
        <v>35990</v>
      </c>
      <c r="L10837" s="0" t="str">
        <f aca="false">HYPERLINK("https://www.ncbi.nlm.nih.gov/nuccore/CP000058.1?report=graph&amp;tracks=[key:gene_model_track,Options:GeneOnly]&amp;mk=3414966:3414985|offset_27|00cc00,3415006:3415025|offset_67|444444,3415036:3415055|offset_97|444444,3415064:3415083|offset_125|444444&amp;v=3414765:3415283&amp;c=444444", "offset 27")</f>
        <v>offset 27</v>
      </c>
    </row>
    <row r="10838" customFormat="false" ht="12.8" hidden="false" customHeight="false" outlineLevel="0" collapsed="false">
      <c r="A10838" s="0" t="s">
        <v>12</v>
      </c>
      <c r="B10838" s="0" t="n">
        <v>3415005</v>
      </c>
      <c r="C10838" s="0" t="n">
        <v>3415025</v>
      </c>
      <c r="D10838" s="0" t="s">
        <v>35986</v>
      </c>
      <c r="E10838" s="0" t="s">
        <v>35987</v>
      </c>
      <c r="F10838" s="0" t="s">
        <v>15</v>
      </c>
      <c r="G10838" s="0" t="s">
        <v>36</v>
      </c>
      <c r="H10838" s="0" t="n">
        <v>67</v>
      </c>
      <c r="I10838" s="0" t="s">
        <v>35991</v>
      </c>
      <c r="J10838" s="0" t="s">
        <v>35992</v>
      </c>
      <c r="K10838" s="0" t="s">
        <v>35993</v>
      </c>
      <c r="L10838" s="0" t="str">
        <f aca="false">HYPERLINK("https://www.ncbi.nlm.nih.gov/nuccore/CP000058.1?report=graph&amp;tracks=[key:gene_model_track,Options:GeneOnly]&amp;mk=3414966:3414985|offset_27|444444,3415006:3415025|offset_67|00cc00,3415036:3415055|offset_97|444444,3415064:3415083|offset_125|444444&amp;v=3414765:3415283&amp;c=444444", "offset 67")</f>
        <v>offset 67</v>
      </c>
    </row>
    <row r="10839" customFormat="false" ht="12.8" hidden="false" customHeight="false" outlineLevel="0" collapsed="false">
      <c r="A10839" s="0" t="s">
        <v>12</v>
      </c>
      <c r="B10839" s="0" t="n">
        <v>3415035</v>
      </c>
      <c r="C10839" s="0" t="n">
        <v>3415055</v>
      </c>
      <c r="D10839" s="0" t="s">
        <v>35986</v>
      </c>
      <c r="E10839" s="0" t="s">
        <v>35987</v>
      </c>
      <c r="F10839" s="0" t="s">
        <v>15</v>
      </c>
      <c r="G10839" s="0" t="s">
        <v>32</v>
      </c>
      <c r="H10839" s="0" t="n">
        <v>97</v>
      </c>
      <c r="I10839" s="0" t="s">
        <v>35994</v>
      </c>
      <c r="J10839" s="0" t="s">
        <v>35995</v>
      </c>
      <c r="K10839" s="0" t="s">
        <v>35996</v>
      </c>
      <c r="L10839" s="0" t="str">
        <f aca="false">HYPERLINK("https://www.ncbi.nlm.nih.gov/nuccore/CP000058.1?report=graph&amp;tracks=[key:gene_model_track,Options:GeneOnly]&amp;mk=3414966:3414985|offset_27|444444,3415006:3415025|offset_67|444444,3415036:3415055|offset_97|00cc00,3415064:3415083|offset_125|444444&amp;v=3414765:3415283&amp;c=444444", "offset 97")</f>
        <v>offset 97</v>
      </c>
    </row>
    <row r="10840" customFormat="false" ht="12.8" hidden="false" customHeight="false" outlineLevel="0" collapsed="false">
      <c r="A10840" s="0" t="s">
        <v>12</v>
      </c>
      <c r="B10840" s="0" t="n">
        <v>3415063</v>
      </c>
      <c r="C10840" s="0" t="n">
        <v>3415083</v>
      </c>
      <c r="D10840" s="0" t="s">
        <v>35986</v>
      </c>
      <c r="E10840" s="0" t="s">
        <v>35987</v>
      </c>
      <c r="F10840" s="0" t="s">
        <v>15</v>
      </c>
      <c r="G10840" s="0" t="s">
        <v>32</v>
      </c>
      <c r="H10840" s="0" t="n">
        <v>125</v>
      </c>
      <c r="I10840" s="0" t="s">
        <v>35997</v>
      </c>
      <c r="J10840" s="0" t="s">
        <v>35998</v>
      </c>
      <c r="K10840" s="0" t="s">
        <v>35999</v>
      </c>
      <c r="L10840" s="0" t="str">
        <f aca="false">HYPERLINK("https://www.ncbi.nlm.nih.gov/nuccore/CP000058.1?report=graph&amp;tracks=[key:gene_model_track,Options:GeneOnly]&amp;mk=3414966:3414985|offset_27|444444,3415006:3415025|offset_67|444444,3415036:3415055|offset_97|444444,3415064:3415083|offset_125|00cc00&amp;v=3414765:3415283&amp;c=444444", "offset 125")</f>
        <v>offset 125</v>
      </c>
    </row>
    <row r="10841" customFormat="false" ht="12.8" hidden="false" customHeight="false" outlineLevel="0" collapsed="false">
      <c r="A10841" s="0" t="s">
        <v>12</v>
      </c>
      <c r="B10841" s="0" t="n">
        <v>3417000</v>
      </c>
      <c r="C10841" s="0" t="n">
        <v>3417020</v>
      </c>
      <c r="D10841" s="0" t="s">
        <v>36000</v>
      </c>
      <c r="E10841" s="0" t="s">
        <v>75</v>
      </c>
      <c r="F10841" s="0" t="s">
        <v>15</v>
      </c>
      <c r="G10841" s="0" t="s">
        <v>16</v>
      </c>
      <c r="H10841" s="0" t="n">
        <v>11</v>
      </c>
      <c r="I10841" s="0" t="s">
        <v>36001</v>
      </c>
      <c r="J10841" s="0" t="s">
        <v>36002</v>
      </c>
      <c r="K10841" s="0" t="s">
        <v>36003</v>
      </c>
      <c r="L10841" s="0" t="str">
        <f aca="false">HYPERLINK("https://www.ncbi.nlm.nih.gov/nuccore/CP000058.1?report=graph&amp;tracks=[key:gene_model_track,Options:GeneOnly]&amp;mk=3417001:3417020|offset_11|00cc00,3417021:3417040|offset_31|444444,3417043:3417062|offset_53|444444,3417081:3417100|offset_91|444444&amp;v=3416800:3417300&amp;c=444444", "offset 11")</f>
        <v>offset 11</v>
      </c>
    </row>
    <row r="10842" customFormat="false" ht="12.8" hidden="false" customHeight="false" outlineLevel="0" collapsed="false">
      <c r="A10842" s="0" t="s">
        <v>12</v>
      </c>
      <c r="B10842" s="0" t="n">
        <v>3417020</v>
      </c>
      <c r="C10842" s="0" t="n">
        <v>3417040</v>
      </c>
      <c r="D10842" s="0" t="s">
        <v>36000</v>
      </c>
      <c r="E10842" s="0" t="s">
        <v>75</v>
      </c>
      <c r="F10842" s="0" t="s">
        <v>15</v>
      </c>
      <c r="G10842" s="0" t="s">
        <v>32</v>
      </c>
      <c r="H10842" s="0" t="n">
        <v>31</v>
      </c>
      <c r="I10842" s="0" t="s">
        <v>36004</v>
      </c>
      <c r="J10842" s="0" t="s">
        <v>36005</v>
      </c>
      <c r="K10842" s="0" t="s">
        <v>36006</v>
      </c>
      <c r="L10842" s="0" t="str">
        <f aca="false">HYPERLINK("https://www.ncbi.nlm.nih.gov/nuccore/CP000058.1?report=graph&amp;tracks=[key:gene_model_track,Options:GeneOnly]&amp;mk=3417001:3417020|offset_11|444444,3417021:3417040|offset_31|00cc00,3417043:3417062|offset_53|444444,3417081:3417100|offset_91|444444&amp;v=3416800:3417300&amp;c=444444", "offset 31")</f>
        <v>offset 31</v>
      </c>
    </row>
    <row r="10843" customFormat="false" ht="12.8" hidden="false" customHeight="false" outlineLevel="0" collapsed="false">
      <c r="A10843" s="0" t="s">
        <v>12</v>
      </c>
      <c r="B10843" s="0" t="n">
        <v>3417042</v>
      </c>
      <c r="C10843" s="0" t="n">
        <v>3417062</v>
      </c>
      <c r="D10843" s="0" t="s">
        <v>36000</v>
      </c>
      <c r="E10843" s="0" t="s">
        <v>75</v>
      </c>
      <c r="F10843" s="0" t="s">
        <v>15</v>
      </c>
      <c r="G10843" s="0" t="s">
        <v>16</v>
      </c>
      <c r="H10843" s="0" t="n">
        <v>53</v>
      </c>
      <c r="I10843" s="0" t="s">
        <v>36007</v>
      </c>
      <c r="J10843" s="0" t="s">
        <v>36008</v>
      </c>
      <c r="K10843" s="0" t="s">
        <v>36009</v>
      </c>
      <c r="L10843" s="0" t="str">
        <f aca="false">HYPERLINK("https://www.ncbi.nlm.nih.gov/nuccore/CP000058.1?report=graph&amp;tracks=[key:gene_model_track,Options:GeneOnly]&amp;mk=3417001:3417020|offset_11|444444,3417021:3417040|offset_31|444444,3417043:3417062|offset_53|00cc00,3417081:3417100|offset_91|444444&amp;v=3416800:3417300&amp;c=444444", "offset 53")</f>
        <v>offset 53</v>
      </c>
    </row>
    <row r="10844" customFormat="false" ht="12.8" hidden="false" customHeight="false" outlineLevel="0" collapsed="false">
      <c r="A10844" s="0" t="s">
        <v>12</v>
      </c>
      <c r="B10844" s="0" t="n">
        <v>3417080</v>
      </c>
      <c r="C10844" s="0" t="n">
        <v>3417100</v>
      </c>
      <c r="D10844" s="0" t="s">
        <v>36000</v>
      </c>
      <c r="E10844" s="0" t="s">
        <v>75</v>
      </c>
      <c r="F10844" s="0" t="s">
        <v>15</v>
      </c>
      <c r="G10844" s="0" t="s">
        <v>36</v>
      </c>
      <c r="H10844" s="0" t="n">
        <v>91</v>
      </c>
      <c r="I10844" s="0" t="s">
        <v>36010</v>
      </c>
      <c r="J10844" s="0" t="s">
        <v>36011</v>
      </c>
      <c r="K10844" s="0" t="s">
        <v>36012</v>
      </c>
      <c r="L10844" s="0" t="str">
        <f aca="false">HYPERLINK("https://www.ncbi.nlm.nih.gov/nuccore/CP000058.1?report=graph&amp;tracks=[key:gene_model_track,Options:GeneOnly]&amp;mk=3417001:3417020|offset_11|444444,3417021:3417040|offset_31|444444,3417043:3417062|offset_53|444444,3417081:3417100|offset_91|00cc00&amp;v=3416800:3417300&amp;c=444444", "offset 91")</f>
        <v>offset 91</v>
      </c>
    </row>
    <row r="10845" customFormat="false" ht="12.8" hidden="false" customHeight="false" outlineLevel="0" collapsed="false">
      <c r="A10845" s="0" t="s">
        <v>12</v>
      </c>
      <c r="B10845" s="0" t="n">
        <v>3417615</v>
      </c>
      <c r="C10845" s="0" t="n">
        <v>3417635</v>
      </c>
      <c r="D10845" s="0" t="s">
        <v>36013</v>
      </c>
      <c r="E10845" s="0" t="s">
        <v>75</v>
      </c>
      <c r="F10845" s="0" t="s">
        <v>90</v>
      </c>
      <c r="G10845" s="0" t="s">
        <v>32</v>
      </c>
      <c r="H10845" s="0" t="n">
        <v>73</v>
      </c>
      <c r="I10845" s="0" t="s">
        <v>36014</v>
      </c>
      <c r="J10845" s="0" t="s">
        <v>36015</v>
      </c>
      <c r="K10845" s="0" t="s">
        <v>36016</v>
      </c>
      <c r="L10845" s="0" t="str">
        <f aca="false">HYPERLINK("https://www.ncbi.nlm.nih.gov/nuccore/CP000058.1?report=graph&amp;tracks=[key:gene_model_track,Options:GeneOnly]&amp;mk=3417616:3417635|offset_73|00cc00,3417591:3417610|offset_98|444444,3417563:3417582|offset_126|444444,3417538:3417557|offset_151|444444&amp;v=3417415:3417757&amp;c=444444", "offset 73")</f>
        <v>offset 73</v>
      </c>
    </row>
    <row r="10846" customFormat="false" ht="12.8" hidden="false" customHeight="false" outlineLevel="0" collapsed="false">
      <c r="A10846" s="0" t="s">
        <v>12</v>
      </c>
      <c r="B10846" s="0" t="n">
        <v>3417590</v>
      </c>
      <c r="C10846" s="0" t="n">
        <v>3417610</v>
      </c>
      <c r="D10846" s="0" t="s">
        <v>36013</v>
      </c>
      <c r="E10846" s="0" t="s">
        <v>75</v>
      </c>
      <c r="F10846" s="0" t="s">
        <v>90</v>
      </c>
      <c r="G10846" s="0" t="s">
        <v>32</v>
      </c>
      <c r="H10846" s="0" t="n">
        <v>98</v>
      </c>
      <c r="I10846" s="0" t="s">
        <v>36017</v>
      </c>
      <c r="J10846" s="0" t="s">
        <v>36018</v>
      </c>
      <c r="K10846" s="0" t="s">
        <v>36019</v>
      </c>
      <c r="L10846" s="0" t="str">
        <f aca="false">HYPERLINK("https://www.ncbi.nlm.nih.gov/nuccore/CP000058.1?report=graph&amp;tracks=[key:gene_model_track,Options:GeneOnly]&amp;mk=3417616:3417635|offset_73|444444,3417591:3417610|offset_98|00cc00,3417563:3417582|offset_126|444444,3417538:3417557|offset_151|444444&amp;v=3417415:3417757&amp;c=444444", "offset 98")</f>
        <v>offset 98</v>
      </c>
    </row>
    <row r="10847" customFormat="false" ht="12.8" hidden="false" customHeight="false" outlineLevel="0" collapsed="false">
      <c r="A10847" s="0" t="s">
        <v>12</v>
      </c>
      <c r="B10847" s="0" t="n">
        <v>3417562</v>
      </c>
      <c r="C10847" s="0" t="n">
        <v>3417582</v>
      </c>
      <c r="D10847" s="0" t="s">
        <v>36013</v>
      </c>
      <c r="E10847" s="0" t="s">
        <v>75</v>
      </c>
      <c r="F10847" s="0" t="s">
        <v>90</v>
      </c>
      <c r="G10847" s="0" t="s">
        <v>16</v>
      </c>
      <c r="H10847" s="0" t="n">
        <v>126</v>
      </c>
      <c r="I10847" s="0" t="s">
        <v>36020</v>
      </c>
      <c r="J10847" s="0" t="s">
        <v>36021</v>
      </c>
      <c r="K10847" s="0" t="s">
        <v>36022</v>
      </c>
      <c r="L10847" s="0" t="str">
        <f aca="false">HYPERLINK("https://www.ncbi.nlm.nih.gov/nuccore/CP000058.1?report=graph&amp;tracks=[key:gene_model_track,Options:GeneOnly]&amp;mk=3417616:3417635|offset_73|444444,3417591:3417610|offset_98|444444,3417563:3417582|offset_126|00cc00,3417538:3417557|offset_151|444444&amp;v=3417415:3417757&amp;c=444444", "offset 126")</f>
        <v>offset 126</v>
      </c>
    </row>
    <row r="10848" customFormat="false" ht="12.8" hidden="false" customHeight="false" outlineLevel="0" collapsed="false">
      <c r="A10848" s="0" t="s">
        <v>12</v>
      </c>
      <c r="B10848" s="0" t="n">
        <v>3417537</v>
      </c>
      <c r="C10848" s="0" t="n">
        <v>3417557</v>
      </c>
      <c r="D10848" s="0" t="s">
        <v>36013</v>
      </c>
      <c r="E10848" s="0" t="s">
        <v>75</v>
      </c>
      <c r="F10848" s="0" t="s">
        <v>90</v>
      </c>
      <c r="G10848" s="0" t="s">
        <v>20</v>
      </c>
      <c r="H10848" s="0" t="n">
        <v>151</v>
      </c>
      <c r="I10848" s="0" t="s">
        <v>36023</v>
      </c>
      <c r="J10848" s="0" t="s">
        <v>36024</v>
      </c>
      <c r="K10848" s="0" t="s">
        <v>36025</v>
      </c>
      <c r="L10848" s="0" t="str">
        <f aca="false">HYPERLINK("https://www.ncbi.nlm.nih.gov/nuccore/CP000058.1?report=graph&amp;tracks=[key:gene_model_track,Options:GeneOnly]&amp;mk=3417616:3417635|offset_73|444444,3417591:3417610|offset_98|444444,3417563:3417582|offset_126|444444,3417538:3417557|offset_151|00cc00&amp;v=3417415:3417757&amp;c=444444", "offset 151")</f>
        <v>offset 151</v>
      </c>
    </row>
    <row r="10849" customFormat="false" ht="12.8" hidden="false" customHeight="false" outlineLevel="0" collapsed="false">
      <c r="A10849" s="0" t="s">
        <v>12</v>
      </c>
      <c r="B10849" s="0" t="n">
        <v>3419530</v>
      </c>
      <c r="C10849" s="0" t="n">
        <v>3419550</v>
      </c>
      <c r="D10849" s="0" t="s">
        <v>36026</v>
      </c>
      <c r="E10849" s="0" t="s">
        <v>75</v>
      </c>
      <c r="F10849" s="0" t="s">
        <v>90</v>
      </c>
      <c r="G10849" s="0" t="s">
        <v>32</v>
      </c>
      <c r="H10849" s="0" t="n">
        <v>61</v>
      </c>
      <c r="I10849" s="0" t="s">
        <v>36027</v>
      </c>
      <c r="J10849" s="0" t="s">
        <v>36028</v>
      </c>
      <c r="K10849" s="0" t="s">
        <v>36029</v>
      </c>
      <c r="L10849" s="0" t="str">
        <f aca="false">HYPERLINK("https://www.ncbi.nlm.nih.gov/nuccore/CP000058.1?report=graph&amp;tracks=[key:gene_model_track,Options:GeneOnly]&amp;mk=3419531:3419550|offset_61|00cc00,3419500:3419519|offset_92|444444,3419461:3419480|offset_131|444444,3419437:3419456|offset_155|444444&amp;v=3419330:3419656&amp;c=444444", "offset 61")</f>
        <v>offset 61</v>
      </c>
    </row>
    <row r="10850" customFormat="false" ht="12.8" hidden="false" customHeight="false" outlineLevel="0" collapsed="false">
      <c r="A10850" s="0" t="s">
        <v>12</v>
      </c>
      <c r="B10850" s="0" t="n">
        <v>3419499</v>
      </c>
      <c r="C10850" s="0" t="n">
        <v>3419519</v>
      </c>
      <c r="D10850" s="0" t="s">
        <v>36026</v>
      </c>
      <c r="E10850" s="0" t="s">
        <v>75</v>
      </c>
      <c r="F10850" s="0" t="s">
        <v>90</v>
      </c>
      <c r="G10850" s="0" t="s">
        <v>20</v>
      </c>
      <c r="H10850" s="0" t="n">
        <v>92</v>
      </c>
      <c r="I10850" s="0" t="s">
        <v>36030</v>
      </c>
      <c r="J10850" s="0" t="s">
        <v>36031</v>
      </c>
      <c r="K10850" s="0" t="s">
        <v>36032</v>
      </c>
      <c r="L10850" s="0" t="str">
        <f aca="false">HYPERLINK("https://www.ncbi.nlm.nih.gov/nuccore/CP000058.1?report=graph&amp;tracks=[key:gene_model_track,Options:GeneOnly]&amp;mk=3419531:3419550|offset_61|444444,3419500:3419519|offset_92|00cc00,3419461:3419480|offset_131|444444,3419437:3419456|offset_155|444444&amp;v=3419330:3419656&amp;c=444444", "offset 92")</f>
        <v>offset 92</v>
      </c>
    </row>
    <row r="10851" customFormat="false" ht="12.8" hidden="false" customHeight="false" outlineLevel="0" collapsed="false">
      <c r="A10851" s="0" t="s">
        <v>12</v>
      </c>
      <c r="B10851" s="0" t="n">
        <v>3419460</v>
      </c>
      <c r="C10851" s="0" t="n">
        <v>3419480</v>
      </c>
      <c r="D10851" s="0" t="s">
        <v>36026</v>
      </c>
      <c r="E10851" s="0" t="s">
        <v>75</v>
      </c>
      <c r="F10851" s="0" t="s">
        <v>90</v>
      </c>
      <c r="G10851" s="0" t="s">
        <v>16</v>
      </c>
      <c r="H10851" s="0" t="n">
        <v>131</v>
      </c>
      <c r="I10851" s="0" t="s">
        <v>36033</v>
      </c>
      <c r="J10851" s="0" t="s">
        <v>36034</v>
      </c>
      <c r="K10851" s="0" t="s">
        <v>36035</v>
      </c>
      <c r="L10851" s="0" t="str">
        <f aca="false">HYPERLINK("https://www.ncbi.nlm.nih.gov/nuccore/CP000058.1?report=graph&amp;tracks=[key:gene_model_track,Options:GeneOnly]&amp;mk=3419531:3419550|offset_61|444444,3419500:3419519|offset_92|444444,3419461:3419480|offset_131|00cc00,3419437:3419456|offset_155|444444&amp;v=3419330:3419656&amp;c=444444", "offset 131")</f>
        <v>offset 131</v>
      </c>
    </row>
    <row r="10852" customFormat="false" ht="12.8" hidden="false" customHeight="false" outlineLevel="0" collapsed="false">
      <c r="A10852" s="0" t="s">
        <v>12</v>
      </c>
      <c r="B10852" s="0" t="n">
        <v>3419436</v>
      </c>
      <c r="C10852" s="0" t="n">
        <v>3419456</v>
      </c>
      <c r="D10852" s="0" t="s">
        <v>36026</v>
      </c>
      <c r="E10852" s="0" t="s">
        <v>75</v>
      </c>
      <c r="F10852" s="0" t="s">
        <v>90</v>
      </c>
      <c r="G10852" s="0" t="s">
        <v>32</v>
      </c>
      <c r="H10852" s="0" t="n">
        <v>155</v>
      </c>
      <c r="I10852" s="0" t="s">
        <v>36036</v>
      </c>
      <c r="J10852" s="0" t="s">
        <v>36037</v>
      </c>
      <c r="K10852" s="0" t="s">
        <v>36038</v>
      </c>
      <c r="L10852" s="0" t="str">
        <f aca="false">HYPERLINK("https://www.ncbi.nlm.nih.gov/nuccore/CP000058.1?report=graph&amp;tracks=[key:gene_model_track,Options:GeneOnly]&amp;mk=3419531:3419550|offset_61|444444,3419500:3419519|offset_92|444444,3419461:3419480|offset_131|444444,3419437:3419456|offset_155|00cc00&amp;v=3419330:3419656&amp;c=444444", "offset 155")</f>
        <v>offset 155</v>
      </c>
    </row>
    <row r="10853" customFormat="false" ht="12.8" hidden="false" customHeight="false" outlineLevel="0" collapsed="false">
      <c r="A10853" s="0" t="s">
        <v>12</v>
      </c>
      <c r="B10853" s="0" t="n">
        <v>3421330</v>
      </c>
      <c r="C10853" s="0" t="n">
        <v>3421350</v>
      </c>
      <c r="D10853" s="0" t="s">
        <v>36039</v>
      </c>
      <c r="E10853" s="0" t="s">
        <v>75</v>
      </c>
      <c r="F10853" s="0" t="s">
        <v>90</v>
      </c>
      <c r="G10853" s="0" t="s">
        <v>32</v>
      </c>
      <c r="H10853" s="0" t="n">
        <v>40</v>
      </c>
      <c r="I10853" s="0" t="s">
        <v>36040</v>
      </c>
      <c r="J10853" s="0" t="s">
        <v>36041</v>
      </c>
      <c r="K10853" s="0" t="s">
        <v>36042</v>
      </c>
      <c r="L10853" s="0" t="str">
        <f aca="false">HYPERLINK("https://www.ncbi.nlm.nih.gov/nuccore/CP000058.1?report=graph&amp;tracks=[key:gene_model_track,Options:GeneOnly]&amp;mk=3421331:3421350|offset_40|00cc00,3421303:3421322|offset_68|444444,3421280:3421299|offset_91|444444,3421238:3421257|offset_133|444444&amp;v=3421130:3421457&amp;c=444444", "offset 40")</f>
        <v>offset 40</v>
      </c>
    </row>
    <row r="10854" customFormat="false" ht="12.8" hidden="false" customHeight="false" outlineLevel="0" collapsed="false">
      <c r="A10854" s="0" t="s">
        <v>12</v>
      </c>
      <c r="B10854" s="0" t="n">
        <v>3421302</v>
      </c>
      <c r="C10854" s="0" t="n">
        <v>3421322</v>
      </c>
      <c r="D10854" s="0" t="s">
        <v>36039</v>
      </c>
      <c r="E10854" s="0" t="s">
        <v>75</v>
      </c>
      <c r="F10854" s="0" t="s">
        <v>90</v>
      </c>
      <c r="G10854" s="0" t="s">
        <v>20</v>
      </c>
      <c r="H10854" s="0" t="n">
        <v>68</v>
      </c>
      <c r="I10854" s="0" t="s">
        <v>36043</v>
      </c>
      <c r="J10854" s="0" t="s">
        <v>36044</v>
      </c>
      <c r="K10854" s="0" t="s">
        <v>36045</v>
      </c>
      <c r="L10854" s="0" t="str">
        <f aca="false">HYPERLINK("https://www.ncbi.nlm.nih.gov/nuccore/CP000058.1?report=graph&amp;tracks=[key:gene_model_track,Options:GeneOnly]&amp;mk=3421331:3421350|offset_40|444444,3421303:3421322|offset_68|00cc00,3421280:3421299|offset_91|444444,3421238:3421257|offset_133|444444&amp;v=3421130:3421457&amp;c=444444", "offset 68")</f>
        <v>offset 68</v>
      </c>
    </row>
    <row r="10855" customFormat="false" ht="12.8" hidden="false" customHeight="false" outlineLevel="0" collapsed="false">
      <c r="A10855" s="0" t="s">
        <v>12</v>
      </c>
      <c r="B10855" s="0" t="n">
        <v>3421279</v>
      </c>
      <c r="C10855" s="0" t="n">
        <v>3421299</v>
      </c>
      <c r="D10855" s="0" t="s">
        <v>36039</v>
      </c>
      <c r="E10855" s="0" t="s">
        <v>75</v>
      </c>
      <c r="F10855" s="0" t="s">
        <v>90</v>
      </c>
      <c r="G10855" s="0" t="s">
        <v>36</v>
      </c>
      <c r="H10855" s="0" t="n">
        <v>91</v>
      </c>
      <c r="I10855" s="0" t="s">
        <v>36046</v>
      </c>
      <c r="J10855" s="0" t="s">
        <v>36047</v>
      </c>
      <c r="K10855" s="0" t="s">
        <v>36048</v>
      </c>
      <c r="L10855" s="0" t="str">
        <f aca="false">HYPERLINK("https://www.ncbi.nlm.nih.gov/nuccore/CP000058.1?report=graph&amp;tracks=[key:gene_model_track,Options:GeneOnly]&amp;mk=3421331:3421350|offset_40|444444,3421303:3421322|offset_68|444444,3421280:3421299|offset_91|00cc00,3421238:3421257|offset_133|444444&amp;v=3421130:3421457&amp;c=444444", "offset 91")</f>
        <v>offset 91</v>
      </c>
    </row>
    <row r="10856" customFormat="false" ht="12.8" hidden="false" customHeight="false" outlineLevel="0" collapsed="false">
      <c r="A10856" s="0" t="s">
        <v>12</v>
      </c>
      <c r="B10856" s="0" t="n">
        <v>3421237</v>
      </c>
      <c r="C10856" s="0" t="n">
        <v>3421257</v>
      </c>
      <c r="D10856" s="0" t="s">
        <v>36039</v>
      </c>
      <c r="E10856" s="0" t="s">
        <v>75</v>
      </c>
      <c r="F10856" s="0" t="s">
        <v>90</v>
      </c>
      <c r="G10856" s="0" t="s">
        <v>16</v>
      </c>
      <c r="H10856" s="0" t="n">
        <v>133</v>
      </c>
      <c r="I10856" s="0" t="s">
        <v>36049</v>
      </c>
      <c r="J10856" s="0" t="s">
        <v>36050</v>
      </c>
      <c r="K10856" s="0" t="s">
        <v>36051</v>
      </c>
      <c r="L10856" s="0" t="str">
        <f aca="false">HYPERLINK("https://www.ncbi.nlm.nih.gov/nuccore/CP000058.1?report=graph&amp;tracks=[key:gene_model_track,Options:GeneOnly]&amp;mk=3421331:3421350|offset_40|444444,3421303:3421322|offset_68|444444,3421280:3421299|offset_91|444444,3421238:3421257|offset_133|00cc00&amp;v=3421130:3421457&amp;c=444444", "offset 133")</f>
        <v>offset 133</v>
      </c>
    </row>
    <row r="10857" customFormat="false" ht="12.8" hidden="false" customHeight="false" outlineLevel="0" collapsed="false">
      <c r="A10857" s="0" t="s">
        <v>12</v>
      </c>
      <c r="B10857" s="0" t="n">
        <v>3421618</v>
      </c>
      <c r="C10857" s="0" t="n">
        <v>3421638</v>
      </c>
      <c r="D10857" s="0" t="s">
        <v>36052</v>
      </c>
      <c r="E10857" s="0" t="s">
        <v>75</v>
      </c>
      <c r="F10857" s="0" t="s">
        <v>15</v>
      </c>
      <c r="G10857" s="0" t="s">
        <v>36</v>
      </c>
      <c r="H10857" s="0" t="n">
        <v>18</v>
      </c>
      <c r="I10857" s="0" t="s">
        <v>36053</v>
      </c>
      <c r="J10857" s="0" t="s">
        <v>36054</v>
      </c>
      <c r="K10857" s="0" t="s">
        <v>36055</v>
      </c>
      <c r="L10857" s="0" t="str">
        <f aca="false">HYPERLINK("https://www.ncbi.nlm.nih.gov/nuccore/CP000058.1?report=graph&amp;tracks=[key:gene_model_track,Options:GeneOnly]&amp;mk=3421619:3421638|offset_18|00cc00,3421639:3421658|offset_38|444444,3421664:3421683|offset_63|444444,3421694:3421713|offset_93|444444&amp;v=3421418:3421913&amp;c=444444", "offset 18")</f>
        <v>offset 18</v>
      </c>
    </row>
    <row r="10858" customFormat="false" ht="12.8" hidden="false" customHeight="false" outlineLevel="0" collapsed="false">
      <c r="A10858" s="0" t="s">
        <v>12</v>
      </c>
      <c r="B10858" s="0" t="n">
        <v>3421638</v>
      </c>
      <c r="C10858" s="0" t="n">
        <v>3421658</v>
      </c>
      <c r="D10858" s="0" t="s">
        <v>36052</v>
      </c>
      <c r="E10858" s="0" t="s">
        <v>75</v>
      </c>
      <c r="F10858" s="0" t="s">
        <v>15</v>
      </c>
      <c r="G10858" s="0" t="s">
        <v>16</v>
      </c>
      <c r="H10858" s="0" t="n">
        <v>38</v>
      </c>
      <c r="I10858" s="0" t="s">
        <v>36056</v>
      </c>
      <c r="J10858" s="0" t="s">
        <v>36057</v>
      </c>
      <c r="K10858" s="0" t="s">
        <v>36058</v>
      </c>
      <c r="L10858" s="0" t="str">
        <f aca="false">HYPERLINK("https://www.ncbi.nlm.nih.gov/nuccore/CP000058.1?report=graph&amp;tracks=[key:gene_model_track,Options:GeneOnly]&amp;mk=3421619:3421638|offset_18|444444,3421639:3421658|offset_38|00cc00,3421664:3421683|offset_63|444444,3421694:3421713|offset_93|444444&amp;v=3421418:3421913&amp;c=444444", "offset 38")</f>
        <v>offset 38</v>
      </c>
    </row>
    <row r="10859" customFormat="false" ht="12.8" hidden="false" customHeight="false" outlineLevel="0" collapsed="false">
      <c r="A10859" s="0" t="s">
        <v>12</v>
      </c>
      <c r="B10859" s="0" t="n">
        <v>3421663</v>
      </c>
      <c r="C10859" s="0" t="n">
        <v>3421683</v>
      </c>
      <c r="D10859" s="0" t="s">
        <v>36052</v>
      </c>
      <c r="E10859" s="0" t="s">
        <v>75</v>
      </c>
      <c r="F10859" s="0" t="s">
        <v>15</v>
      </c>
      <c r="G10859" s="0" t="s">
        <v>32</v>
      </c>
      <c r="H10859" s="0" t="n">
        <v>63</v>
      </c>
      <c r="I10859" s="0" t="s">
        <v>36059</v>
      </c>
      <c r="J10859" s="0" t="s">
        <v>36060</v>
      </c>
      <c r="K10859" s="0" t="s">
        <v>36061</v>
      </c>
      <c r="L10859" s="0" t="str">
        <f aca="false">HYPERLINK("https://www.ncbi.nlm.nih.gov/nuccore/CP000058.1?report=graph&amp;tracks=[key:gene_model_track,Options:GeneOnly]&amp;mk=3421619:3421638|offset_18|444444,3421639:3421658|offset_38|444444,3421664:3421683|offset_63|00cc00,3421694:3421713|offset_93|444444&amp;v=3421418:3421913&amp;c=444444", "offset 63")</f>
        <v>offset 63</v>
      </c>
    </row>
    <row r="10860" customFormat="false" ht="12.8" hidden="false" customHeight="false" outlineLevel="0" collapsed="false">
      <c r="A10860" s="0" t="s">
        <v>12</v>
      </c>
      <c r="B10860" s="0" t="n">
        <v>3421693</v>
      </c>
      <c r="C10860" s="0" t="n">
        <v>3421713</v>
      </c>
      <c r="D10860" s="0" t="s">
        <v>36052</v>
      </c>
      <c r="E10860" s="0" t="s">
        <v>75</v>
      </c>
      <c r="F10860" s="0" t="s">
        <v>15</v>
      </c>
      <c r="G10860" s="0" t="s">
        <v>16</v>
      </c>
      <c r="H10860" s="0" t="n">
        <v>93</v>
      </c>
      <c r="I10860" s="0" t="s">
        <v>36062</v>
      </c>
      <c r="J10860" s="0" t="s">
        <v>36063</v>
      </c>
      <c r="K10860" s="0" t="s">
        <v>36064</v>
      </c>
      <c r="L10860" s="0" t="str">
        <f aca="false">HYPERLINK("https://www.ncbi.nlm.nih.gov/nuccore/CP000058.1?report=graph&amp;tracks=[key:gene_model_track,Options:GeneOnly]&amp;mk=3421619:3421638|offset_18|444444,3421639:3421658|offset_38|444444,3421664:3421683|offset_63|444444,3421694:3421713|offset_93|00cc00&amp;v=3421418:3421913&amp;c=444444", "offset 93")</f>
        <v>offset 93</v>
      </c>
    </row>
    <row r="10861" customFormat="false" ht="12.8" hidden="false" customHeight="false" outlineLevel="0" collapsed="false">
      <c r="A10861" s="0" t="s">
        <v>12</v>
      </c>
      <c r="B10861" s="0" t="n">
        <v>3423556</v>
      </c>
      <c r="C10861" s="0" t="n">
        <v>3423576</v>
      </c>
      <c r="D10861" s="0" t="s">
        <v>36065</v>
      </c>
      <c r="E10861" s="0" t="s">
        <v>75</v>
      </c>
      <c r="F10861" s="0" t="s">
        <v>90</v>
      </c>
      <c r="G10861" s="0" t="s">
        <v>36</v>
      </c>
      <c r="H10861" s="0" t="n">
        <v>25</v>
      </c>
      <c r="I10861" s="0" t="s">
        <v>36066</v>
      </c>
      <c r="J10861" s="0" t="s">
        <v>36067</v>
      </c>
      <c r="K10861" s="0" t="s">
        <v>36068</v>
      </c>
      <c r="L10861" s="0" t="str">
        <f aca="false">HYPERLINK("https://www.ncbi.nlm.nih.gov/nuccore/CP000058.1?report=graph&amp;tracks=[key:gene_model_track,Options:GeneOnly]&amp;mk=3423557:3423576|offset_25|00cc00,3423529:3423548|offset_53|444444,3423488:3423507|offset_94|444444,3423464:3423483|offset_118|444444&amp;v=3423356:3423683&amp;c=444444", "offset 25")</f>
        <v>offset 25</v>
      </c>
    </row>
    <row r="10862" customFormat="false" ht="12.8" hidden="false" customHeight="false" outlineLevel="0" collapsed="false">
      <c r="A10862" s="0" t="s">
        <v>12</v>
      </c>
      <c r="B10862" s="0" t="n">
        <v>3423528</v>
      </c>
      <c r="C10862" s="0" t="n">
        <v>3423548</v>
      </c>
      <c r="D10862" s="0" t="s">
        <v>36065</v>
      </c>
      <c r="E10862" s="0" t="s">
        <v>75</v>
      </c>
      <c r="F10862" s="0" t="s">
        <v>90</v>
      </c>
      <c r="G10862" s="0" t="s">
        <v>20</v>
      </c>
      <c r="H10862" s="0" t="n">
        <v>53</v>
      </c>
      <c r="I10862" s="0" t="s">
        <v>36069</v>
      </c>
      <c r="J10862" s="0" t="s">
        <v>36070</v>
      </c>
      <c r="K10862" s="0" t="s">
        <v>36071</v>
      </c>
      <c r="L10862" s="0" t="str">
        <f aca="false">HYPERLINK("https://www.ncbi.nlm.nih.gov/nuccore/CP000058.1?report=graph&amp;tracks=[key:gene_model_track,Options:GeneOnly]&amp;mk=3423557:3423576|offset_25|444444,3423529:3423548|offset_53|00cc00,3423488:3423507|offset_94|444444,3423464:3423483|offset_118|444444&amp;v=3423356:3423683&amp;c=444444", "offset 53")</f>
        <v>offset 53</v>
      </c>
    </row>
    <row r="10863" customFormat="false" ht="12.8" hidden="false" customHeight="false" outlineLevel="0" collapsed="false">
      <c r="A10863" s="0" t="s">
        <v>12</v>
      </c>
      <c r="B10863" s="0" t="n">
        <v>3423487</v>
      </c>
      <c r="C10863" s="0" t="n">
        <v>3423507</v>
      </c>
      <c r="D10863" s="0" t="s">
        <v>36065</v>
      </c>
      <c r="E10863" s="0" t="s">
        <v>75</v>
      </c>
      <c r="F10863" s="0" t="s">
        <v>90</v>
      </c>
      <c r="G10863" s="0" t="s">
        <v>32</v>
      </c>
      <c r="H10863" s="0" t="n">
        <v>94</v>
      </c>
      <c r="I10863" s="0" t="s">
        <v>36072</v>
      </c>
      <c r="J10863" s="0" t="s">
        <v>36073</v>
      </c>
      <c r="K10863" s="0" t="s">
        <v>36074</v>
      </c>
      <c r="L10863" s="0" t="str">
        <f aca="false">HYPERLINK("https://www.ncbi.nlm.nih.gov/nuccore/CP000058.1?report=graph&amp;tracks=[key:gene_model_track,Options:GeneOnly]&amp;mk=3423557:3423576|offset_25|444444,3423529:3423548|offset_53|444444,3423488:3423507|offset_94|00cc00,3423464:3423483|offset_118|444444&amp;v=3423356:3423683&amp;c=444444", "offset 94")</f>
        <v>offset 94</v>
      </c>
    </row>
    <row r="10864" customFormat="false" ht="12.8" hidden="false" customHeight="false" outlineLevel="0" collapsed="false">
      <c r="A10864" s="0" t="s">
        <v>12</v>
      </c>
      <c r="B10864" s="0" t="n">
        <v>3423463</v>
      </c>
      <c r="C10864" s="0" t="n">
        <v>3423483</v>
      </c>
      <c r="D10864" s="0" t="s">
        <v>36065</v>
      </c>
      <c r="E10864" s="0" t="s">
        <v>75</v>
      </c>
      <c r="F10864" s="0" t="s">
        <v>90</v>
      </c>
      <c r="G10864" s="0" t="s">
        <v>32</v>
      </c>
      <c r="H10864" s="0" t="n">
        <v>118</v>
      </c>
      <c r="I10864" s="0" t="s">
        <v>36075</v>
      </c>
      <c r="J10864" s="0" t="s">
        <v>36076</v>
      </c>
      <c r="K10864" s="0" t="s">
        <v>36077</v>
      </c>
      <c r="L10864" s="0" t="str">
        <f aca="false">HYPERLINK("https://www.ncbi.nlm.nih.gov/nuccore/CP000058.1?report=graph&amp;tracks=[key:gene_model_track,Options:GeneOnly]&amp;mk=3423557:3423576|offset_25|444444,3423529:3423548|offset_53|444444,3423488:3423507|offset_94|444444,3423464:3423483|offset_118|00cc00&amp;v=3423356:3423683&amp;c=444444", "offset 118")</f>
        <v>offset 118</v>
      </c>
    </row>
    <row r="10865" customFormat="false" ht="12.8" hidden="false" customHeight="false" outlineLevel="0" collapsed="false">
      <c r="A10865" s="0" t="s">
        <v>12</v>
      </c>
      <c r="B10865" s="0" t="n">
        <v>3425583</v>
      </c>
      <c r="C10865" s="0" t="n">
        <v>3425603</v>
      </c>
      <c r="D10865" s="0" t="s">
        <v>36078</v>
      </c>
      <c r="E10865" s="0" t="s">
        <v>75</v>
      </c>
      <c r="F10865" s="0" t="s">
        <v>90</v>
      </c>
      <c r="G10865" s="0" t="s">
        <v>32</v>
      </c>
      <c r="H10865" s="0" t="n">
        <v>1</v>
      </c>
      <c r="I10865" s="0" t="s">
        <v>36079</v>
      </c>
      <c r="J10865" s="0" t="s">
        <v>36080</v>
      </c>
      <c r="K10865" s="0" t="s">
        <v>36081</v>
      </c>
      <c r="L10865" s="0" t="str">
        <f aca="false">HYPERLINK("https://www.ncbi.nlm.nih.gov/nuccore/CP000058.1?report=graph&amp;tracks=[key:gene_model_track,Options:GeneOnly]&amp;mk=3425584:3425603|offset_1|00cc00,3425548:3425567|offset_37|444444,3425524:3425543|offset_61|444444,3425497:3425516|offset_88|444444&amp;v=3425383:3425716&amp;c=444444", "offset 1")</f>
        <v>offset 1</v>
      </c>
    </row>
    <row r="10866" customFormat="false" ht="12.8" hidden="false" customHeight="false" outlineLevel="0" collapsed="false">
      <c r="A10866" s="0" t="s">
        <v>12</v>
      </c>
      <c r="B10866" s="0" t="n">
        <v>3425547</v>
      </c>
      <c r="C10866" s="0" t="n">
        <v>3425567</v>
      </c>
      <c r="D10866" s="0" t="s">
        <v>36078</v>
      </c>
      <c r="E10866" s="0" t="s">
        <v>75</v>
      </c>
      <c r="F10866" s="0" t="s">
        <v>90</v>
      </c>
      <c r="G10866" s="0" t="s">
        <v>16</v>
      </c>
      <c r="H10866" s="0" t="n">
        <v>37</v>
      </c>
      <c r="I10866" s="0" t="s">
        <v>36082</v>
      </c>
      <c r="J10866" s="0" t="s">
        <v>36083</v>
      </c>
      <c r="K10866" s="0" t="s">
        <v>36084</v>
      </c>
      <c r="L10866" s="0" t="str">
        <f aca="false">HYPERLINK("https://www.ncbi.nlm.nih.gov/nuccore/CP000058.1?report=graph&amp;tracks=[key:gene_model_track,Options:GeneOnly]&amp;mk=3425584:3425603|offset_1|444444,3425548:3425567|offset_37|00cc00,3425524:3425543|offset_61|444444,3425497:3425516|offset_88|444444&amp;v=3425383:3425716&amp;c=444444", "offset 37")</f>
        <v>offset 37</v>
      </c>
    </row>
    <row r="10867" customFormat="false" ht="12.8" hidden="false" customHeight="false" outlineLevel="0" collapsed="false">
      <c r="A10867" s="0" t="s">
        <v>12</v>
      </c>
      <c r="B10867" s="0" t="n">
        <v>3425523</v>
      </c>
      <c r="C10867" s="0" t="n">
        <v>3425543</v>
      </c>
      <c r="D10867" s="0" t="s">
        <v>36078</v>
      </c>
      <c r="E10867" s="0" t="s">
        <v>75</v>
      </c>
      <c r="F10867" s="0" t="s">
        <v>90</v>
      </c>
      <c r="G10867" s="0" t="s">
        <v>32</v>
      </c>
      <c r="H10867" s="0" t="n">
        <v>61</v>
      </c>
      <c r="I10867" s="0" t="s">
        <v>36085</v>
      </c>
      <c r="J10867" s="0" t="s">
        <v>36086</v>
      </c>
      <c r="K10867" s="0" t="s">
        <v>36087</v>
      </c>
      <c r="L10867" s="0" t="str">
        <f aca="false">HYPERLINK("https://www.ncbi.nlm.nih.gov/nuccore/CP000058.1?report=graph&amp;tracks=[key:gene_model_track,Options:GeneOnly]&amp;mk=3425584:3425603|offset_1|444444,3425548:3425567|offset_37|444444,3425524:3425543|offset_61|00cc00,3425497:3425516|offset_88|444444&amp;v=3425383:3425716&amp;c=444444", "offset 61")</f>
        <v>offset 61</v>
      </c>
    </row>
    <row r="10868" customFormat="false" ht="12.8" hidden="false" customHeight="false" outlineLevel="0" collapsed="false">
      <c r="A10868" s="0" t="s">
        <v>12</v>
      </c>
      <c r="B10868" s="0" t="n">
        <v>3425496</v>
      </c>
      <c r="C10868" s="0" t="n">
        <v>3425516</v>
      </c>
      <c r="D10868" s="0" t="s">
        <v>36078</v>
      </c>
      <c r="E10868" s="0" t="s">
        <v>75</v>
      </c>
      <c r="F10868" s="0" t="s">
        <v>90</v>
      </c>
      <c r="G10868" s="0" t="s">
        <v>36</v>
      </c>
      <c r="H10868" s="0" t="n">
        <v>88</v>
      </c>
      <c r="I10868" s="0" t="s">
        <v>36088</v>
      </c>
      <c r="J10868" s="0" t="s">
        <v>36089</v>
      </c>
      <c r="K10868" s="0" t="s">
        <v>36090</v>
      </c>
      <c r="L10868" s="0" t="str">
        <f aca="false">HYPERLINK("https://www.ncbi.nlm.nih.gov/nuccore/CP000058.1?report=graph&amp;tracks=[key:gene_model_track,Options:GeneOnly]&amp;mk=3425584:3425603|offset_1|444444,3425548:3425567|offset_37|444444,3425524:3425543|offset_61|444444,3425497:3425516|offset_88|00cc00&amp;v=3425383:3425716&amp;c=444444", "offset 88")</f>
        <v>offset 88</v>
      </c>
    </row>
    <row r="10869" customFormat="false" ht="12.8" hidden="false" customHeight="false" outlineLevel="0" collapsed="false">
      <c r="A10869" s="0" t="s">
        <v>12</v>
      </c>
      <c r="B10869" s="0" t="n">
        <v>3426600</v>
      </c>
      <c r="C10869" s="0" t="n">
        <v>3426620</v>
      </c>
      <c r="D10869" s="0" t="s">
        <v>36091</v>
      </c>
      <c r="E10869" s="0" t="s">
        <v>75</v>
      </c>
      <c r="F10869" s="0" t="s">
        <v>90</v>
      </c>
      <c r="G10869" s="0" t="s">
        <v>20</v>
      </c>
      <c r="H10869" s="0" t="n">
        <v>20</v>
      </c>
      <c r="I10869" s="0" t="s">
        <v>36092</v>
      </c>
      <c r="J10869" s="0" t="s">
        <v>36093</v>
      </c>
      <c r="K10869" s="0" t="s">
        <v>36094</v>
      </c>
      <c r="L10869" s="0" t="str">
        <f aca="false">HYPERLINK("https://www.ncbi.nlm.nih.gov/nuccore/CP000058.1?report=graph&amp;tracks=[key:gene_model_track,Options:GeneOnly]&amp;mk=3426601:3426620|offset_20|00cc00,3426572:3426591|offset_49|444444,3426504:3426523|offset_117|444444,3426484:3426503|offset_137|444444&amp;v=3426400:3426703&amp;c=444444", "offset 20")</f>
        <v>offset 20</v>
      </c>
    </row>
    <row r="10870" customFormat="false" ht="12.8" hidden="false" customHeight="false" outlineLevel="0" collapsed="false">
      <c r="A10870" s="0" t="s">
        <v>12</v>
      </c>
      <c r="B10870" s="0" t="n">
        <v>3426571</v>
      </c>
      <c r="C10870" s="0" t="n">
        <v>3426591</v>
      </c>
      <c r="D10870" s="0" t="s">
        <v>36091</v>
      </c>
      <c r="E10870" s="0" t="s">
        <v>75</v>
      </c>
      <c r="F10870" s="0" t="s">
        <v>90</v>
      </c>
      <c r="G10870" s="0" t="s">
        <v>16</v>
      </c>
      <c r="H10870" s="0" t="n">
        <v>49</v>
      </c>
      <c r="I10870" s="0" t="s">
        <v>36095</v>
      </c>
      <c r="J10870" s="0" t="s">
        <v>36096</v>
      </c>
      <c r="K10870" s="0" t="s">
        <v>36097</v>
      </c>
      <c r="L10870" s="0" t="str">
        <f aca="false">HYPERLINK("https://www.ncbi.nlm.nih.gov/nuccore/CP000058.1?report=graph&amp;tracks=[key:gene_model_track,Options:GeneOnly]&amp;mk=3426601:3426620|offset_20|444444,3426572:3426591|offset_49|00cc00,3426504:3426523|offset_117|444444,3426484:3426503|offset_137|444444&amp;v=3426400:3426703&amp;c=444444", "offset 49")</f>
        <v>offset 49</v>
      </c>
    </row>
    <row r="10871" customFormat="false" ht="12.8" hidden="false" customHeight="false" outlineLevel="0" collapsed="false">
      <c r="A10871" s="0" t="s">
        <v>12</v>
      </c>
      <c r="B10871" s="0" t="n">
        <v>3426503</v>
      </c>
      <c r="C10871" s="0" t="n">
        <v>3426523</v>
      </c>
      <c r="D10871" s="0" t="s">
        <v>36091</v>
      </c>
      <c r="E10871" s="0" t="s">
        <v>75</v>
      </c>
      <c r="F10871" s="0" t="s">
        <v>90</v>
      </c>
      <c r="G10871" s="0" t="s">
        <v>20</v>
      </c>
      <c r="H10871" s="0" t="n">
        <v>117</v>
      </c>
      <c r="I10871" s="0" t="s">
        <v>36098</v>
      </c>
      <c r="J10871" s="0" t="s">
        <v>36099</v>
      </c>
      <c r="K10871" s="0" t="s">
        <v>36100</v>
      </c>
      <c r="L10871" s="0" t="str">
        <f aca="false">HYPERLINK("https://www.ncbi.nlm.nih.gov/nuccore/CP000058.1?report=graph&amp;tracks=[key:gene_model_track,Options:GeneOnly]&amp;mk=3426601:3426620|offset_20|444444,3426572:3426591|offset_49|444444,3426504:3426523|offset_117|00cc00,3426484:3426503|offset_137|444444&amp;v=3426400:3426703&amp;c=444444", "offset 117")</f>
        <v>offset 117</v>
      </c>
    </row>
    <row r="10872" customFormat="false" ht="12.8" hidden="false" customHeight="false" outlineLevel="0" collapsed="false">
      <c r="A10872" s="0" t="s">
        <v>12</v>
      </c>
      <c r="B10872" s="0" t="n">
        <v>3426483</v>
      </c>
      <c r="C10872" s="0" t="n">
        <v>3426503</v>
      </c>
      <c r="D10872" s="0" t="s">
        <v>36091</v>
      </c>
      <c r="E10872" s="0" t="s">
        <v>75</v>
      </c>
      <c r="F10872" s="0" t="s">
        <v>90</v>
      </c>
      <c r="G10872" s="0" t="s">
        <v>20</v>
      </c>
      <c r="H10872" s="0" t="n">
        <v>137</v>
      </c>
      <c r="I10872" s="0" t="s">
        <v>36101</v>
      </c>
      <c r="J10872" s="0" t="s">
        <v>36102</v>
      </c>
      <c r="K10872" s="0" t="s">
        <v>36103</v>
      </c>
      <c r="L10872" s="0" t="str">
        <f aca="false">HYPERLINK("https://www.ncbi.nlm.nih.gov/nuccore/CP000058.1?report=graph&amp;tracks=[key:gene_model_track,Options:GeneOnly]&amp;mk=3426601:3426620|offset_20|444444,3426572:3426591|offset_49|444444,3426504:3426523|offset_117|444444,3426484:3426503|offset_137|00cc00&amp;v=3426400:3426703&amp;c=444444", "offset 137")</f>
        <v>offset 137</v>
      </c>
    </row>
    <row r="10873" customFormat="false" ht="12.8" hidden="false" customHeight="false" outlineLevel="0" collapsed="false">
      <c r="A10873" s="0" t="s">
        <v>12</v>
      </c>
      <c r="B10873" s="0" t="n">
        <v>3427807</v>
      </c>
      <c r="C10873" s="0" t="n">
        <v>3427827</v>
      </c>
      <c r="D10873" s="0" t="s">
        <v>36104</v>
      </c>
      <c r="E10873" s="0" t="s">
        <v>75</v>
      </c>
      <c r="F10873" s="0" t="s">
        <v>90</v>
      </c>
      <c r="G10873" s="0" t="s">
        <v>16</v>
      </c>
      <c r="H10873" s="0" t="n">
        <v>24</v>
      </c>
      <c r="I10873" s="0" t="s">
        <v>36105</v>
      </c>
      <c r="J10873" s="0" t="s">
        <v>36106</v>
      </c>
      <c r="K10873" s="0" t="s">
        <v>36107</v>
      </c>
      <c r="L10873" s="0" t="str">
        <f aca="false">HYPERLINK("https://www.ncbi.nlm.nih.gov/nuccore/CP000058.1?report=graph&amp;tracks=[key:gene_model_track,Options:GeneOnly]&amp;mk=3427808:3427827|offset_24|00cc00,3427782:3427801|offset_50|444444,3427744:3427763|offset_88|444444,3427718:3427737|offset_114|444444&amp;v=3427607:3427937&amp;c=444444", "offset 24")</f>
        <v>offset 24</v>
      </c>
    </row>
    <row r="10874" customFormat="false" ht="12.8" hidden="false" customHeight="false" outlineLevel="0" collapsed="false">
      <c r="A10874" s="0" t="s">
        <v>12</v>
      </c>
      <c r="B10874" s="0" t="n">
        <v>3427781</v>
      </c>
      <c r="C10874" s="0" t="n">
        <v>3427801</v>
      </c>
      <c r="D10874" s="0" t="s">
        <v>36104</v>
      </c>
      <c r="E10874" s="0" t="s">
        <v>75</v>
      </c>
      <c r="F10874" s="0" t="s">
        <v>90</v>
      </c>
      <c r="G10874" s="0" t="s">
        <v>16</v>
      </c>
      <c r="H10874" s="0" t="n">
        <v>50</v>
      </c>
      <c r="I10874" s="0" t="s">
        <v>36108</v>
      </c>
      <c r="J10874" s="0" t="s">
        <v>36109</v>
      </c>
      <c r="K10874" s="0" t="s">
        <v>36110</v>
      </c>
      <c r="L10874" s="0" t="str">
        <f aca="false">HYPERLINK("https://www.ncbi.nlm.nih.gov/nuccore/CP000058.1?report=graph&amp;tracks=[key:gene_model_track,Options:GeneOnly]&amp;mk=3427808:3427827|offset_24|444444,3427782:3427801|offset_50|00cc00,3427744:3427763|offset_88|444444,3427718:3427737|offset_114|444444&amp;v=3427607:3427937&amp;c=444444", "offset 50")</f>
        <v>offset 50</v>
      </c>
    </row>
    <row r="10875" customFormat="false" ht="12.8" hidden="false" customHeight="false" outlineLevel="0" collapsed="false">
      <c r="A10875" s="0" t="s">
        <v>12</v>
      </c>
      <c r="B10875" s="0" t="n">
        <v>3427743</v>
      </c>
      <c r="C10875" s="0" t="n">
        <v>3427763</v>
      </c>
      <c r="D10875" s="0" t="s">
        <v>36104</v>
      </c>
      <c r="E10875" s="0" t="s">
        <v>75</v>
      </c>
      <c r="F10875" s="0" t="s">
        <v>90</v>
      </c>
      <c r="G10875" s="0" t="s">
        <v>32</v>
      </c>
      <c r="H10875" s="0" t="n">
        <v>88</v>
      </c>
      <c r="I10875" s="0" t="s">
        <v>36111</v>
      </c>
      <c r="J10875" s="0" t="s">
        <v>36112</v>
      </c>
      <c r="K10875" s="0" t="s">
        <v>36113</v>
      </c>
      <c r="L10875" s="0" t="str">
        <f aca="false">HYPERLINK("https://www.ncbi.nlm.nih.gov/nuccore/CP000058.1?report=graph&amp;tracks=[key:gene_model_track,Options:GeneOnly]&amp;mk=3427808:3427827|offset_24|444444,3427782:3427801|offset_50|444444,3427744:3427763|offset_88|00cc00,3427718:3427737|offset_114|444444&amp;v=3427607:3427937&amp;c=444444", "offset 88")</f>
        <v>offset 88</v>
      </c>
    </row>
    <row r="10876" customFormat="false" ht="12.8" hidden="false" customHeight="false" outlineLevel="0" collapsed="false">
      <c r="A10876" s="0" t="s">
        <v>12</v>
      </c>
      <c r="B10876" s="0" t="n">
        <v>3427717</v>
      </c>
      <c r="C10876" s="0" t="n">
        <v>3427737</v>
      </c>
      <c r="D10876" s="0" t="s">
        <v>36104</v>
      </c>
      <c r="E10876" s="0" t="s">
        <v>75</v>
      </c>
      <c r="F10876" s="0" t="s">
        <v>90</v>
      </c>
      <c r="G10876" s="0" t="s">
        <v>16</v>
      </c>
      <c r="H10876" s="0" t="n">
        <v>114</v>
      </c>
      <c r="I10876" s="0" t="s">
        <v>36114</v>
      </c>
      <c r="J10876" s="0" t="s">
        <v>36115</v>
      </c>
      <c r="K10876" s="0" t="s">
        <v>36116</v>
      </c>
      <c r="L10876" s="0" t="str">
        <f aca="false">HYPERLINK("https://www.ncbi.nlm.nih.gov/nuccore/CP000058.1?report=graph&amp;tracks=[key:gene_model_track,Options:GeneOnly]&amp;mk=3427808:3427827|offset_24|444444,3427782:3427801|offset_50|444444,3427744:3427763|offset_88|444444,3427718:3427737|offset_114|00cc00&amp;v=3427607:3427937&amp;c=444444", "offset 114")</f>
        <v>offset 114</v>
      </c>
    </row>
    <row r="10877" customFormat="false" ht="12.8" hidden="false" customHeight="false" outlineLevel="0" collapsed="false">
      <c r="A10877" s="0" t="s">
        <v>12</v>
      </c>
      <c r="B10877" s="0" t="n">
        <v>3427987</v>
      </c>
      <c r="C10877" s="0" t="n">
        <v>3428007</v>
      </c>
      <c r="D10877" s="0" t="s">
        <v>36117</v>
      </c>
      <c r="E10877" s="0" t="s">
        <v>75</v>
      </c>
      <c r="F10877" s="0" t="s">
        <v>15</v>
      </c>
      <c r="G10877" s="0" t="s">
        <v>36</v>
      </c>
      <c r="H10877" s="0" t="n">
        <v>6</v>
      </c>
      <c r="I10877" s="0" t="s">
        <v>36118</v>
      </c>
      <c r="J10877" s="0" t="s">
        <v>36119</v>
      </c>
      <c r="K10877" s="0" t="s">
        <v>36120</v>
      </c>
      <c r="L10877" s="0" t="str">
        <f aca="false">HYPERLINK("https://www.ncbi.nlm.nih.gov/nuccore/CP000058.1?report=graph&amp;tracks=[key:gene_model_track,Options:GeneOnly]&amp;mk=3427988:3428007|offset_6|00cc00,3428023:3428042|offset_41|444444,3428052:3428071|offset_70|444444,3428109:3428128|offset_127|444444&amp;v=3427787:3428328&amp;c=444444", "offset 6")</f>
        <v>offset 6</v>
      </c>
    </row>
    <row r="10878" customFormat="false" ht="12.8" hidden="false" customHeight="false" outlineLevel="0" collapsed="false">
      <c r="A10878" s="0" t="s">
        <v>12</v>
      </c>
      <c r="B10878" s="0" t="n">
        <v>3428022</v>
      </c>
      <c r="C10878" s="0" t="n">
        <v>3428042</v>
      </c>
      <c r="D10878" s="0" t="s">
        <v>36117</v>
      </c>
      <c r="E10878" s="0" t="s">
        <v>75</v>
      </c>
      <c r="F10878" s="0" t="s">
        <v>15</v>
      </c>
      <c r="G10878" s="0" t="s">
        <v>32</v>
      </c>
      <c r="H10878" s="0" t="n">
        <v>41</v>
      </c>
      <c r="I10878" s="0" t="s">
        <v>36121</v>
      </c>
      <c r="J10878" s="0" t="s">
        <v>36122</v>
      </c>
      <c r="K10878" s="0" t="s">
        <v>36123</v>
      </c>
      <c r="L10878" s="0" t="str">
        <f aca="false">HYPERLINK("https://www.ncbi.nlm.nih.gov/nuccore/CP000058.1?report=graph&amp;tracks=[key:gene_model_track,Options:GeneOnly]&amp;mk=3427988:3428007|offset_6|444444,3428023:3428042|offset_41|00cc00,3428052:3428071|offset_70|444444,3428109:3428128|offset_127|444444&amp;v=3427787:3428328&amp;c=444444", "offset 41")</f>
        <v>offset 41</v>
      </c>
    </row>
    <row r="10879" customFormat="false" ht="12.8" hidden="false" customHeight="false" outlineLevel="0" collapsed="false">
      <c r="A10879" s="0" t="s">
        <v>12</v>
      </c>
      <c r="B10879" s="0" t="n">
        <v>3428051</v>
      </c>
      <c r="C10879" s="0" t="n">
        <v>3428071</v>
      </c>
      <c r="D10879" s="0" t="s">
        <v>36117</v>
      </c>
      <c r="E10879" s="0" t="s">
        <v>75</v>
      </c>
      <c r="F10879" s="0" t="s">
        <v>15</v>
      </c>
      <c r="G10879" s="0" t="s">
        <v>32</v>
      </c>
      <c r="H10879" s="0" t="n">
        <v>70</v>
      </c>
      <c r="I10879" s="0" t="s">
        <v>36124</v>
      </c>
      <c r="J10879" s="0" t="s">
        <v>36125</v>
      </c>
      <c r="K10879" s="0" t="s">
        <v>36126</v>
      </c>
      <c r="L10879" s="0" t="str">
        <f aca="false">HYPERLINK("https://www.ncbi.nlm.nih.gov/nuccore/CP000058.1?report=graph&amp;tracks=[key:gene_model_track,Options:GeneOnly]&amp;mk=3427988:3428007|offset_6|444444,3428023:3428042|offset_41|444444,3428052:3428071|offset_70|00cc00,3428109:3428128|offset_127|444444&amp;v=3427787:3428328&amp;c=444444", "offset 70")</f>
        <v>offset 70</v>
      </c>
    </row>
    <row r="10880" customFormat="false" ht="12.8" hidden="false" customHeight="false" outlineLevel="0" collapsed="false">
      <c r="A10880" s="0" t="s">
        <v>12</v>
      </c>
      <c r="B10880" s="0" t="n">
        <v>3428108</v>
      </c>
      <c r="C10880" s="0" t="n">
        <v>3428128</v>
      </c>
      <c r="D10880" s="0" t="s">
        <v>36117</v>
      </c>
      <c r="E10880" s="0" t="s">
        <v>75</v>
      </c>
      <c r="F10880" s="0" t="s">
        <v>15</v>
      </c>
      <c r="G10880" s="0" t="s">
        <v>20</v>
      </c>
      <c r="H10880" s="0" t="n">
        <v>127</v>
      </c>
      <c r="I10880" s="0" t="s">
        <v>36127</v>
      </c>
      <c r="J10880" s="0" t="s">
        <v>36128</v>
      </c>
      <c r="K10880" s="0" t="s">
        <v>36129</v>
      </c>
      <c r="L10880" s="0" t="str">
        <f aca="false">HYPERLINK("https://www.ncbi.nlm.nih.gov/nuccore/CP000058.1?report=graph&amp;tracks=[key:gene_model_track,Options:GeneOnly]&amp;mk=3427988:3428007|offset_6|444444,3428023:3428042|offset_41|444444,3428052:3428071|offset_70|444444,3428109:3428128|offset_127|00cc00&amp;v=3427787:3428328&amp;c=444444", "offset 127")</f>
        <v>offset 127</v>
      </c>
    </row>
    <row r="10881" customFormat="false" ht="12.8" hidden="false" customHeight="false" outlineLevel="0" collapsed="false">
      <c r="A10881" s="0" t="s">
        <v>12</v>
      </c>
      <c r="B10881" s="0" t="n">
        <v>3428421</v>
      </c>
      <c r="C10881" s="0" t="n">
        <v>3428441</v>
      </c>
      <c r="D10881" s="0" t="s">
        <v>36130</v>
      </c>
      <c r="E10881" s="0" t="s">
        <v>75</v>
      </c>
      <c r="F10881" s="0" t="s">
        <v>15</v>
      </c>
      <c r="G10881" s="0" t="s">
        <v>32</v>
      </c>
      <c r="H10881" s="0" t="n">
        <v>7</v>
      </c>
      <c r="I10881" s="0" t="s">
        <v>36131</v>
      </c>
      <c r="J10881" s="0" t="s">
        <v>36132</v>
      </c>
      <c r="K10881" s="0" t="s">
        <v>36133</v>
      </c>
      <c r="L10881" s="0" t="str">
        <f aca="false">HYPERLINK("https://www.ncbi.nlm.nih.gov/nuccore/CP000058.1?report=graph&amp;tracks=[key:gene_model_track,Options:GeneOnly]&amp;mk=3428422:3428441|offset_7|00cc00,3428449:3428468|offset_34|444444,3428494:3428513|offset_79|444444,3428532:3428551|offset_117|444444&amp;v=3428221:3428751&amp;c=444444", "offset 7")</f>
        <v>offset 7</v>
      </c>
    </row>
    <row r="10882" customFormat="false" ht="12.8" hidden="false" customHeight="false" outlineLevel="0" collapsed="false">
      <c r="A10882" s="0" t="s">
        <v>12</v>
      </c>
      <c r="B10882" s="0" t="n">
        <v>3428448</v>
      </c>
      <c r="C10882" s="0" t="n">
        <v>3428468</v>
      </c>
      <c r="D10882" s="0" t="s">
        <v>36130</v>
      </c>
      <c r="E10882" s="0" t="s">
        <v>75</v>
      </c>
      <c r="F10882" s="0" t="s">
        <v>15</v>
      </c>
      <c r="G10882" s="0" t="s">
        <v>16</v>
      </c>
      <c r="H10882" s="0" t="n">
        <v>34</v>
      </c>
      <c r="I10882" s="0" t="s">
        <v>36134</v>
      </c>
      <c r="J10882" s="0" t="s">
        <v>36135</v>
      </c>
      <c r="K10882" s="0" t="s">
        <v>36136</v>
      </c>
      <c r="L10882" s="0" t="str">
        <f aca="false">HYPERLINK("https://www.ncbi.nlm.nih.gov/nuccore/CP000058.1?report=graph&amp;tracks=[key:gene_model_track,Options:GeneOnly]&amp;mk=3428422:3428441|offset_7|444444,3428449:3428468|offset_34|00cc00,3428494:3428513|offset_79|444444,3428532:3428551|offset_117|444444&amp;v=3428221:3428751&amp;c=444444", "offset 34")</f>
        <v>offset 34</v>
      </c>
    </row>
    <row r="10883" customFormat="false" ht="12.8" hidden="false" customHeight="false" outlineLevel="0" collapsed="false">
      <c r="A10883" s="0" t="s">
        <v>12</v>
      </c>
      <c r="B10883" s="0" t="n">
        <v>3428493</v>
      </c>
      <c r="C10883" s="0" t="n">
        <v>3428513</v>
      </c>
      <c r="D10883" s="0" t="s">
        <v>36130</v>
      </c>
      <c r="E10883" s="0" t="s">
        <v>75</v>
      </c>
      <c r="F10883" s="0" t="s">
        <v>15</v>
      </c>
      <c r="G10883" s="0" t="s">
        <v>32</v>
      </c>
      <c r="H10883" s="0" t="n">
        <v>79</v>
      </c>
      <c r="I10883" s="0" t="s">
        <v>36137</v>
      </c>
      <c r="J10883" s="0" t="s">
        <v>36138</v>
      </c>
      <c r="K10883" s="0" t="s">
        <v>36139</v>
      </c>
      <c r="L10883" s="0" t="str">
        <f aca="false">HYPERLINK("https://www.ncbi.nlm.nih.gov/nuccore/CP000058.1?report=graph&amp;tracks=[key:gene_model_track,Options:GeneOnly]&amp;mk=3428422:3428441|offset_7|444444,3428449:3428468|offset_34|444444,3428494:3428513|offset_79|00cc00,3428532:3428551|offset_117|444444&amp;v=3428221:3428751&amp;c=444444", "offset 79")</f>
        <v>offset 79</v>
      </c>
    </row>
    <row r="10884" customFormat="false" ht="12.8" hidden="false" customHeight="false" outlineLevel="0" collapsed="false">
      <c r="A10884" s="0" t="s">
        <v>12</v>
      </c>
      <c r="B10884" s="0" t="n">
        <v>3428531</v>
      </c>
      <c r="C10884" s="0" t="n">
        <v>3428551</v>
      </c>
      <c r="D10884" s="0" t="s">
        <v>36130</v>
      </c>
      <c r="E10884" s="0" t="s">
        <v>75</v>
      </c>
      <c r="F10884" s="0" t="s">
        <v>15</v>
      </c>
      <c r="G10884" s="0" t="s">
        <v>16</v>
      </c>
      <c r="H10884" s="0" t="n">
        <v>117</v>
      </c>
      <c r="I10884" s="0" t="s">
        <v>36140</v>
      </c>
      <c r="J10884" s="0" t="s">
        <v>36141</v>
      </c>
      <c r="K10884" s="0" t="s">
        <v>36142</v>
      </c>
      <c r="L10884" s="0" t="str">
        <f aca="false">HYPERLINK("https://www.ncbi.nlm.nih.gov/nuccore/CP000058.1?report=graph&amp;tracks=[key:gene_model_track,Options:GeneOnly]&amp;mk=3428422:3428441|offset_7|444444,3428449:3428468|offset_34|444444,3428494:3428513|offset_79|444444,3428532:3428551|offset_117|00cc00&amp;v=3428221:3428751&amp;c=444444", "offset 117")</f>
        <v>offset 117</v>
      </c>
    </row>
    <row r="10885" customFormat="false" ht="12.8" hidden="false" customHeight="false" outlineLevel="0" collapsed="false">
      <c r="A10885" s="0" t="s">
        <v>12</v>
      </c>
      <c r="B10885" s="0" t="n">
        <v>3428857</v>
      </c>
      <c r="C10885" s="0" t="n">
        <v>3428877</v>
      </c>
      <c r="D10885" s="0" t="s">
        <v>36143</v>
      </c>
      <c r="E10885" s="0" t="s">
        <v>75</v>
      </c>
      <c r="F10885" s="0" t="s">
        <v>15</v>
      </c>
      <c r="G10885" s="0" t="s">
        <v>32</v>
      </c>
      <c r="H10885" s="0" t="n">
        <v>7</v>
      </c>
      <c r="I10885" s="0" t="s">
        <v>36144</v>
      </c>
      <c r="J10885" s="0" t="s">
        <v>36145</v>
      </c>
      <c r="K10885" s="0" t="s">
        <v>36146</v>
      </c>
      <c r="L10885" s="0" t="str">
        <f aca="false">HYPERLINK("https://www.ncbi.nlm.nih.gov/nuccore/CP000058.1?report=graph&amp;tracks=[key:gene_model_track,Options:GeneOnly]&amp;mk=3428858:3428877|offset_7|00cc00,3428885:3428904|offset_34|444444,3428913:3428932|offset_62|444444,3428933:3428952|offset_82|444444&amp;v=3428657:3429152&amp;c=444444", "offset 7")</f>
        <v>offset 7</v>
      </c>
    </row>
    <row r="10886" customFormat="false" ht="12.8" hidden="false" customHeight="false" outlineLevel="0" collapsed="false">
      <c r="A10886" s="0" t="s">
        <v>12</v>
      </c>
      <c r="B10886" s="0" t="n">
        <v>3428884</v>
      </c>
      <c r="C10886" s="0" t="n">
        <v>3428904</v>
      </c>
      <c r="D10886" s="0" t="s">
        <v>36143</v>
      </c>
      <c r="E10886" s="0" t="s">
        <v>75</v>
      </c>
      <c r="F10886" s="0" t="s">
        <v>15</v>
      </c>
      <c r="G10886" s="0" t="s">
        <v>36</v>
      </c>
      <c r="H10886" s="0" t="n">
        <v>34</v>
      </c>
      <c r="I10886" s="0" t="s">
        <v>36147</v>
      </c>
      <c r="J10886" s="0" t="s">
        <v>36148</v>
      </c>
      <c r="K10886" s="0" t="s">
        <v>36149</v>
      </c>
      <c r="L10886" s="0" t="str">
        <f aca="false">HYPERLINK("https://www.ncbi.nlm.nih.gov/nuccore/CP000058.1?report=graph&amp;tracks=[key:gene_model_track,Options:GeneOnly]&amp;mk=3428858:3428877|offset_7|444444,3428885:3428904|offset_34|00cc00,3428913:3428932|offset_62|444444,3428933:3428952|offset_82|444444&amp;v=3428657:3429152&amp;c=444444", "offset 34")</f>
        <v>offset 34</v>
      </c>
    </row>
    <row r="10887" customFormat="false" ht="12.8" hidden="false" customHeight="false" outlineLevel="0" collapsed="false">
      <c r="A10887" s="0" t="s">
        <v>12</v>
      </c>
      <c r="B10887" s="0" t="n">
        <v>3428912</v>
      </c>
      <c r="C10887" s="0" t="n">
        <v>3428932</v>
      </c>
      <c r="D10887" s="0" t="s">
        <v>36143</v>
      </c>
      <c r="E10887" s="0" t="s">
        <v>75</v>
      </c>
      <c r="F10887" s="0" t="s">
        <v>15</v>
      </c>
      <c r="G10887" s="0" t="s">
        <v>16</v>
      </c>
      <c r="H10887" s="0" t="n">
        <v>62</v>
      </c>
      <c r="I10887" s="0" t="s">
        <v>36150</v>
      </c>
      <c r="J10887" s="0" t="s">
        <v>36151</v>
      </c>
      <c r="K10887" s="0" t="s">
        <v>36152</v>
      </c>
      <c r="L10887" s="0" t="str">
        <f aca="false">HYPERLINK("https://www.ncbi.nlm.nih.gov/nuccore/CP000058.1?report=graph&amp;tracks=[key:gene_model_track,Options:GeneOnly]&amp;mk=3428858:3428877|offset_7|444444,3428885:3428904|offset_34|444444,3428913:3428932|offset_62|00cc00,3428933:3428952|offset_82|444444&amp;v=3428657:3429152&amp;c=444444", "offset 62")</f>
        <v>offset 62</v>
      </c>
    </row>
    <row r="10888" customFormat="false" ht="12.8" hidden="false" customHeight="false" outlineLevel="0" collapsed="false">
      <c r="A10888" s="0" t="s">
        <v>12</v>
      </c>
      <c r="B10888" s="0" t="n">
        <v>3428932</v>
      </c>
      <c r="C10888" s="0" t="n">
        <v>3428952</v>
      </c>
      <c r="D10888" s="0" t="s">
        <v>36143</v>
      </c>
      <c r="E10888" s="0" t="s">
        <v>75</v>
      </c>
      <c r="F10888" s="0" t="s">
        <v>15</v>
      </c>
      <c r="G10888" s="0" t="s">
        <v>32</v>
      </c>
      <c r="H10888" s="0" t="n">
        <v>82</v>
      </c>
      <c r="I10888" s="0" t="s">
        <v>36153</v>
      </c>
      <c r="J10888" s="0" t="s">
        <v>36154</v>
      </c>
      <c r="K10888" s="0" t="s">
        <v>36155</v>
      </c>
      <c r="L10888" s="0" t="str">
        <f aca="false">HYPERLINK("https://www.ncbi.nlm.nih.gov/nuccore/CP000058.1?report=graph&amp;tracks=[key:gene_model_track,Options:GeneOnly]&amp;mk=3428858:3428877|offset_7|444444,3428885:3428904|offset_34|444444,3428913:3428932|offset_62|444444,3428933:3428952|offset_82|00cc00&amp;v=3428657:3429152&amp;c=444444", "offset 82")</f>
        <v>offset 82</v>
      </c>
    </row>
    <row r="10889" customFormat="false" ht="12.8" hidden="false" customHeight="false" outlineLevel="0" collapsed="false">
      <c r="A10889" s="0" t="s">
        <v>12</v>
      </c>
      <c r="B10889" s="0" t="n">
        <v>3430683</v>
      </c>
      <c r="C10889" s="0" t="n">
        <v>3430703</v>
      </c>
      <c r="D10889" s="0" t="s">
        <v>36156</v>
      </c>
      <c r="E10889" s="0" t="s">
        <v>75</v>
      </c>
      <c r="F10889" s="0" t="s">
        <v>90</v>
      </c>
      <c r="G10889" s="0" t="s">
        <v>32</v>
      </c>
      <c r="H10889" s="0" t="n">
        <v>1</v>
      </c>
      <c r="I10889" s="0" t="s">
        <v>36157</v>
      </c>
      <c r="J10889" s="0" t="s">
        <v>36158</v>
      </c>
      <c r="K10889" s="0" t="s">
        <v>36159</v>
      </c>
      <c r="L10889" s="0" t="str">
        <f aca="false">HYPERLINK("https://www.ncbi.nlm.nih.gov/nuccore/CP000058.1?report=graph&amp;tracks=[key:gene_model_track,Options:GeneOnly]&amp;mk=3430684:3430703|offset_1|00cc00,3430620:3430639|offset_65|444444,3430588:3430607|offset_97|444444,3430566:3430585|offset_119|444444&amp;v=3430483:3430785&amp;c=444444", "offset 1")</f>
        <v>offset 1</v>
      </c>
    </row>
    <row r="10890" customFormat="false" ht="12.8" hidden="false" customHeight="false" outlineLevel="0" collapsed="false">
      <c r="A10890" s="0" t="s">
        <v>12</v>
      </c>
      <c r="B10890" s="0" t="n">
        <v>3430619</v>
      </c>
      <c r="C10890" s="0" t="n">
        <v>3430639</v>
      </c>
      <c r="D10890" s="0" t="s">
        <v>36156</v>
      </c>
      <c r="E10890" s="0" t="s">
        <v>75</v>
      </c>
      <c r="F10890" s="0" t="s">
        <v>90</v>
      </c>
      <c r="G10890" s="0" t="s">
        <v>20</v>
      </c>
      <c r="H10890" s="0" t="n">
        <v>65</v>
      </c>
      <c r="I10890" s="0" t="s">
        <v>36160</v>
      </c>
      <c r="J10890" s="0" t="s">
        <v>36161</v>
      </c>
      <c r="K10890" s="0" t="s">
        <v>36162</v>
      </c>
      <c r="L10890" s="0" t="str">
        <f aca="false">HYPERLINK("https://www.ncbi.nlm.nih.gov/nuccore/CP000058.1?report=graph&amp;tracks=[key:gene_model_track,Options:GeneOnly]&amp;mk=3430684:3430703|offset_1|444444,3430620:3430639|offset_65|00cc00,3430588:3430607|offset_97|444444,3430566:3430585|offset_119|444444&amp;v=3430483:3430785&amp;c=444444", "offset 65")</f>
        <v>offset 65</v>
      </c>
    </row>
    <row r="10891" customFormat="false" ht="12.8" hidden="false" customHeight="false" outlineLevel="0" collapsed="false">
      <c r="A10891" s="0" t="s">
        <v>12</v>
      </c>
      <c r="B10891" s="0" t="n">
        <v>3430587</v>
      </c>
      <c r="C10891" s="0" t="n">
        <v>3430607</v>
      </c>
      <c r="D10891" s="0" t="s">
        <v>36156</v>
      </c>
      <c r="E10891" s="0" t="s">
        <v>75</v>
      </c>
      <c r="F10891" s="0" t="s">
        <v>90</v>
      </c>
      <c r="G10891" s="0" t="s">
        <v>16</v>
      </c>
      <c r="H10891" s="0" t="n">
        <v>97</v>
      </c>
      <c r="I10891" s="0" t="s">
        <v>36163</v>
      </c>
      <c r="J10891" s="0" t="s">
        <v>36164</v>
      </c>
      <c r="K10891" s="0" t="s">
        <v>36165</v>
      </c>
      <c r="L10891" s="0" t="str">
        <f aca="false">HYPERLINK("https://www.ncbi.nlm.nih.gov/nuccore/CP000058.1?report=graph&amp;tracks=[key:gene_model_track,Options:GeneOnly]&amp;mk=3430684:3430703|offset_1|444444,3430620:3430639|offset_65|444444,3430588:3430607|offset_97|00cc00,3430566:3430585|offset_119|444444&amp;v=3430483:3430785&amp;c=444444", "offset 97")</f>
        <v>offset 97</v>
      </c>
    </row>
    <row r="10892" customFormat="false" ht="12.8" hidden="false" customHeight="false" outlineLevel="0" collapsed="false">
      <c r="A10892" s="0" t="s">
        <v>12</v>
      </c>
      <c r="B10892" s="0" t="n">
        <v>3430565</v>
      </c>
      <c r="C10892" s="0" t="n">
        <v>3430585</v>
      </c>
      <c r="D10892" s="0" t="s">
        <v>36156</v>
      </c>
      <c r="E10892" s="0" t="s">
        <v>75</v>
      </c>
      <c r="F10892" s="0" t="s">
        <v>90</v>
      </c>
      <c r="G10892" s="0" t="s">
        <v>20</v>
      </c>
      <c r="H10892" s="0" t="n">
        <v>119</v>
      </c>
      <c r="I10892" s="0" t="s">
        <v>36166</v>
      </c>
      <c r="J10892" s="0" t="s">
        <v>36167</v>
      </c>
      <c r="K10892" s="0" t="s">
        <v>36168</v>
      </c>
      <c r="L10892" s="0" t="str">
        <f aca="false">HYPERLINK("https://www.ncbi.nlm.nih.gov/nuccore/CP000058.1?report=graph&amp;tracks=[key:gene_model_track,Options:GeneOnly]&amp;mk=3430684:3430703|offset_1|444444,3430620:3430639|offset_65|444444,3430588:3430607|offset_97|444444,3430566:3430585|offset_119|00cc00&amp;v=3430483:3430785&amp;c=444444", "offset 119")</f>
        <v>offset 119</v>
      </c>
    </row>
    <row r="10893" customFormat="false" ht="12.8" hidden="false" customHeight="false" outlineLevel="0" collapsed="false">
      <c r="A10893" s="0" t="s">
        <v>12</v>
      </c>
      <c r="B10893" s="0" t="n">
        <v>3430872</v>
      </c>
      <c r="C10893" s="0" t="n">
        <v>3430892</v>
      </c>
      <c r="D10893" s="0" t="s">
        <v>36169</v>
      </c>
      <c r="E10893" s="0" t="s">
        <v>75</v>
      </c>
      <c r="F10893" s="0" t="s">
        <v>15</v>
      </c>
      <c r="G10893" s="0" t="s">
        <v>20</v>
      </c>
      <c r="H10893" s="0" t="n">
        <v>6</v>
      </c>
      <c r="I10893" s="0" t="s">
        <v>36170</v>
      </c>
      <c r="J10893" s="0" t="s">
        <v>36171</v>
      </c>
      <c r="K10893" s="0" t="s">
        <v>36172</v>
      </c>
      <c r="L10893" s="0" t="str">
        <f aca="false">HYPERLINK("https://www.ncbi.nlm.nih.gov/nuccore/CP000058.1?report=graph&amp;tracks=[key:gene_model_track,Options:GeneOnly]&amp;mk=3430873:3430892|offset_6|00cc00,3430906:3430925|offset_39|444444,3430937:3430956|offset_70|444444,3430973:3430992|offset_106|444444&amp;v=3430672:3431192&amp;c=444444", "offset 6")</f>
        <v>offset 6</v>
      </c>
    </row>
    <row r="10894" customFormat="false" ht="12.8" hidden="false" customHeight="false" outlineLevel="0" collapsed="false">
      <c r="A10894" s="0" t="s">
        <v>12</v>
      </c>
      <c r="B10894" s="0" t="n">
        <v>3430905</v>
      </c>
      <c r="C10894" s="0" t="n">
        <v>3430925</v>
      </c>
      <c r="D10894" s="0" t="s">
        <v>36169</v>
      </c>
      <c r="E10894" s="0" t="s">
        <v>75</v>
      </c>
      <c r="F10894" s="0" t="s">
        <v>15</v>
      </c>
      <c r="G10894" s="0" t="s">
        <v>36</v>
      </c>
      <c r="H10894" s="0" t="n">
        <v>39</v>
      </c>
      <c r="I10894" s="0" t="s">
        <v>36173</v>
      </c>
      <c r="J10894" s="0" t="s">
        <v>36174</v>
      </c>
      <c r="K10894" s="0" t="s">
        <v>36175</v>
      </c>
      <c r="L10894" s="0" t="str">
        <f aca="false">HYPERLINK("https://www.ncbi.nlm.nih.gov/nuccore/CP000058.1?report=graph&amp;tracks=[key:gene_model_track,Options:GeneOnly]&amp;mk=3430873:3430892|offset_6|444444,3430906:3430925|offset_39|00cc00,3430937:3430956|offset_70|444444,3430973:3430992|offset_106|444444&amp;v=3430672:3431192&amp;c=444444", "offset 39")</f>
        <v>offset 39</v>
      </c>
    </row>
    <row r="10895" customFormat="false" ht="12.8" hidden="false" customHeight="false" outlineLevel="0" collapsed="false">
      <c r="A10895" s="0" t="s">
        <v>12</v>
      </c>
      <c r="B10895" s="0" t="n">
        <v>3430936</v>
      </c>
      <c r="C10895" s="0" t="n">
        <v>3430956</v>
      </c>
      <c r="D10895" s="0" t="s">
        <v>36169</v>
      </c>
      <c r="E10895" s="0" t="s">
        <v>75</v>
      </c>
      <c r="F10895" s="0" t="s">
        <v>15</v>
      </c>
      <c r="G10895" s="0" t="s">
        <v>32</v>
      </c>
      <c r="H10895" s="0" t="n">
        <v>70</v>
      </c>
      <c r="I10895" s="0" t="s">
        <v>36176</v>
      </c>
      <c r="J10895" s="0" t="s">
        <v>36177</v>
      </c>
      <c r="K10895" s="0" t="s">
        <v>36178</v>
      </c>
      <c r="L10895" s="0" t="str">
        <f aca="false">HYPERLINK("https://www.ncbi.nlm.nih.gov/nuccore/CP000058.1?report=graph&amp;tracks=[key:gene_model_track,Options:GeneOnly]&amp;mk=3430873:3430892|offset_6|444444,3430906:3430925|offset_39|444444,3430937:3430956|offset_70|00cc00,3430973:3430992|offset_106|444444&amp;v=3430672:3431192&amp;c=444444", "offset 70")</f>
        <v>offset 70</v>
      </c>
    </row>
    <row r="10896" customFormat="false" ht="12.8" hidden="false" customHeight="false" outlineLevel="0" collapsed="false">
      <c r="A10896" s="0" t="s">
        <v>12</v>
      </c>
      <c r="B10896" s="0" t="n">
        <v>3430972</v>
      </c>
      <c r="C10896" s="0" t="n">
        <v>3430992</v>
      </c>
      <c r="D10896" s="0" t="s">
        <v>36169</v>
      </c>
      <c r="E10896" s="0" t="s">
        <v>75</v>
      </c>
      <c r="F10896" s="0" t="s">
        <v>15</v>
      </c>
      <c r="G10896" s="0" t="s">
        <v>20</v>
      </c>
      <c r="H10896" s="0" t="n">
        <v>106</v>
      </c>
      <c r="I10896" s="0" t="s">
        <v>36179</v>
      </c>
      <c r="J10896" s="0" t="s">
        <v>36180</v>
      </c>
      <c r="K10896" s="0" t="s">
        <v>36181</v>
      </c>
      <c r="L10896" s="0" t="str">
        <f aca="false">HYPERLINK("https://www.ncbi.nlm.nih.gov/nuccore/CP000058.1?report=graph&amp;tracks=[key:gene_model_track,Options:GeneOnly]&amp;mk=3430873:3430892|offset_6|444444,3430906:3430925|offset_39|444444,3430937:3430956|offset_70|444444,3430973:3430992|offset_106|00cc00&amp;v=3430672:3431192&amp;c=444444", "offset 106")</f>
        <v>offset 106</v>
      </c>
    </row>
    <row r="10897" customFormat="false" ht="12.8" hidden="false" customHeight="false" outlineLevel="0" collapsed="false">
      <c r="A10897" s="0" t="s">
        <v>12</v>
      </c>
      <c r="B10897" s="0" t="n">
        <v>3432454</v>
      </c>
      <c r="C10897" s="0" t="n">
        <v>3432474</v>
      </c>
      <c r="D10897" s="0" t="s">
        <v>36182</v>
      </c>
      <c r="E10897" s="0" t="s">
        <v>75</v>
      </c>
      <c r="F10897" s="0" t="s">
        <v>15</v>
      </c>
      <c r="G10897" s="0" t="s">
        <v>16</v>
      </c>
      <c r="H10897" s="0" t="n">
        <v>61</v>
      </c>
      <c r="I10897" s="0" t="s">
        <v>36183</v>
      </c>
      <c r="J10897" s="0" t="s">
        <v>36184</v>
      </c>
      <c r="K10897" s="0" t="s">
        <v>36185</v>
      </c>
      <c r="L10897" s="0" t="str">
        <f aca="false">HYPERLINK("https://www.ncbi.nlm.nih.gov/nuccore/CP000058.1?report=graph&amp;tracks=[key:gene_model_track,Options:GeneOnly]&amp;mk=3432455:3432474|offset_61|00cc00,3432475:3432494|offset_81|444444,3432509:3432528|offset_115|444444,3432533:3432552|offset_139|444444&amp;v=3432254:3432752&amp;c=444444", "offset 61")</f>
        <v>offset 61</v>
      </c>
    </row>
    <row r="10898" customFormat="false" ht="12.8" hidden="false" customHeight="false" outlineLevel="0" collapsed="false">
      <c r="A10898" s="0" t="s">
        <v>12</v>
      </c>
      <c r="B10898" s="0" t="n">
        <v>3432474</v>
      </c>
      <c r="C10898" s="0" t="n">
        <v>3432494</v>
      </c>
      <c r="D10898" s="0" t="s">
        <v>36182</v>
      </c>
      <c r="E10898" s="0" t="s">
        <v>75</v>
      </c>
      <c r="F10898" s="0" t="s">
        <v>15</v>
      </c>
      <c r="G10898" s="0" t="s">
        <v>16</v>
      </c>
      <c r="H10898" s="0" t="n">
        <v>81</v>
      </c>
      <c r="I10898" s="0" t="s">
        <v>36186</v>
      </c>
      <c r="J10898" s="0" t="s">
        <v>36187</v>
      </c>
      <c r="K10898" s="0" t="s">
        <v>36188</v>
      </c>
      <c r="L10898" s="0" t="str">
        <f aca="false">HYPERLINK("https://www.ncbi.nlm.nih.gov/nuccore/CP000058.1?report=graph&amp;tracks=[key:gene_model_track,Options:GeneOnly]&amp;mk=3432455:3432474|offset_61|444444,3432475:3432494|offset_81|00cc00,3432509:3432528|offset_115|444444,3432533:3432552|offset_139|444444&amp;v=3432254:3432752&amp;c=444444", "offset 81")</f>
        <v>offset 81</v>
      </c>
    </row>
    <row r="10899" customFormat="false" ht="12.8" hidden="false" customHeight="false" outlineLevel="0" collapsed="false">
      <c r="A10899" s="0" t="s">
        <v>12</v>
      </c>
      <c r="B10899" s="0" t="n">
        <v>3432508</v>
      </c>
      <c r="C10899" s="0" t="n">
        <v>3432528</v>
      </c>
      <c r="D10899" s="0" t="s">
        <v>36182</v>
      </c>
      <c r="E10899" s="0" t="s">
        <v>75</v>
      </c>
      <c r="F10899" s="0" t="s">
        <v>15</v>
      </c>
      <c r="G10899" s="0" t="s">
        <v>20</v>
      </c>
      <c r="H10899" s="0" t="n">
        <v>115</v>
      </c>
      <c r="I10899" s="0" t="s">
        <v>36189</v>
      </c>
      <c r="J10899" s="0" t="s">
        <v>36190</v>
      </c>
      <c r="K10899" s="0" t="s">
        <v>36191</v>
      </c>
      <c r="L10899" s="0" t="str">
        <f aca="false">HYPERLINK("https://www.ncbi.nlm.nih.gov/nuccore/CP000058.1?report=graph&amp;tracks=[key:gene_model_track,Options:GeneOnly]&amp;mk=3432455:3432474|offset_61|444444,3432475:3432494|offset_81|444444,3432509:3432528|offset_115|00cc00,3432533:3432552|offset_139|444444&amp;v=3432254:3432752&amp;c=444444", "offset 115")</f>
        <v>offset 115</v>
      </c>
    </row>
    <row r="10900" customFormat="false" ht="12.8" hidden="false" customHeight="false" outlineLevel="0" collapsed="false">
      <c r="A10900" s="0" t="s">
        <v>12</v>
      </c>
      <c r="B10900" s="0" t="n">
        <v>3432532</v>
      </c>
      <c r="C10900" s="0" t="n">
        <v>3432552</v>
      </c>
      <c r="D10900" s="0" t="s">
        <v>36182</v>
      </c>
      <c r="E10900" s="0" t="s">
        <v>75</v>
      </c>
      <c r="F10900" s="0" t="s">
        <v>15</v>
      </c>
      <c r="G10900" s="0" t="s">
        <v>32</v>
      </c>
      <c r="H10900" s="0" t="n">
        <v>139</v>
      </c>
      <c r="I10900" s="0" t="s">
        <v>36192</v>
      </c>
      <c r="J10900" s="0" t="s">
        <v>36193</v>
      </c>
      <c r="K10900" s="0" t="s">
        <v>36194</v>
      </c>
      <c r="L10900" s="0" t="str">
        <f aca="false">HYPERLINK("https://www.ncbi.nlm.nih.gov/nuccore/CP000058.1?report=graph&amp;tracks=[key:gene_model_track,Options:GeneOnly]&amp;mk=3432455:3432474|offset_61|444444,3432475:3432494|offset_81|444444,3432509:3432528|offset_115|444444,3432533:3432552|offset_139|00cc00&amp;v=3432254:3432752&amp;c=444444", "offset 139")</f>
        <v>offset 139</v>
      </c>
    </row>
    <row r="10901" customFormat="false" ht="12.8" hidden="false" customHeight="false" outlineLevel="0" collapsed="false">
      <c r="A10901" s="0" t="s">
        <v>12</v>
      </c>
      <c r="B10901" s="0" t="n">
        <v>3434544</v>
      </c>
      <c r="C10901" s="0" t="n">
        <v>3434564</v>
      </c>
      <c r="D10901" s="0" t="s">
        <v>36195</v>
      </c>
      <c r="E10901" s="0" t="s">
        <v>75</v>
      </c>
      <c r="F10901" s="0" t="s">
        <v>15</v>
      </c>
      <c r="G10901" s="0" t="s">
        <v>32</v>
      </c>
      <c r="H10901" s="0" t="n">
        <v>1</v>
      </c>
      <c r="I10901" s="0" t="s">
        <v>36196</v>
      </c>
      <c r="J10901" s="0" t="s">
        <v>36197</v>
      </c>
      <c r="K10901" s="0" t="s">
        <v>36198</v>
      </c>
      <c r="L10901" s="0" t="str">
        <f aca="false">HYPERLINK("https://www.ncbi.nlm.nih.gov/nuccore/CP000058.1?report=graph&amp;tracks=[key:gene_model_track,Options:GeneOnly]&amp;mk=3434545:3434564|offset_1|00cc00,3434579:3434598|offset_35|444444,3434599:3434618|offset_55|444444,3434621:3434640|offset_77|444444&amp;v=3434344:3434840&amp;c=444444", "offset 1")</f>
        <v>offset 1</v>
      </c>
    </row>
    <row r="10902" customFormat="false" ht="12.8" hidden="false" customHeight="false" outlineLevel="0" collapsed="false">
      <c r="A10902" s="0" t="s">
        <v>12</v>
      </c>
      <c r="B10902" s="0" t="n">
        <v>3434578</v>
      </c>
      <c r="C10902" s="0" t="n">
        <v>3434598</v>
      </c>
      <c r="D10902" s="0" t="s">
        <v>36195</v>
      </c>
      <c r="E10902" s="0" t="s">
        <v>75</v>
      </c>
      <c r="F10902" s="0" t="s">
        <v>15</v>
      </c>
      <c r="G10902" s="0" t="s">
        <v>20</v>
      </c>
      <c r="H10902" s="0" t="n">
        <v>35</v>
      </c>
      <c r="I10902" s="0" t="s">
        <v>36199</v>
      </c>
      <c r="J10902" s="0" t="s">
        <v>36200</v>
      </c>
      <c r="K10902" s="0" t="s">
        <v>36201</v>
      </c>
      <c r="L10902" s="0" t="str">
        <f aca="false">HYPERLINK("https://www.ncbi.nlm.nih.gov/nuccore/CP000058.1?report=graph&amp;tracks=[key:gene_model_track,Options:GeneOnly]&amp;mk=3434545:3434564|offset_1|444444,3434579:3434598|offset_35|00cc00,3434599:3434618|offset_55|444444,3434621:3434640|offset_77|444444&amp;v=3434344:3434840&amp;c=444444", "offset 35")</f>
        <v>offset 35</v>
      </c>
    </row>
    <row r="10903" customFormat="false" ht="12.8" hidden="false" customHeight="false" outlineLevel="0" collapsed="false">
      <c r="A10903" s="0" t="s">
        <v>12</v>
      </c>
      <c r="B10903" s="0" t="n">
        <v>3434598</v>
      </c>
      <c r="C10903" s="0" t="n">
        <v>3434618</v>
      </c>
      <c r="D10903" s="0" t="s">
        <v>36195</v>
      </c>
      <c r="E10903" s="0" t="s">
        <v>75</v>
      </c>
      <c r="F10903" s="0" t="s">
        <v>15</v>
      </c>
      <c r="G10903" s="0" t="s">
        <v>32</v>
      </c>
      <c r="H10903" s="0" t="n">
        <v>55</v>
      </c>
      <c r="I10903" s="0" t="s">
        <v>36202</v>
      </c>
      <c r="J10903" s="0" t="s">
        <v>36203</v>
      </c>
      <c r="K10903" s="0" t="s">
        <v>36204</v>
      </c>
      <c r="L10903" s="0" t="str">
        <f aca="false">HYPERLINK("https://www.ncbi.nlm.nih.gov/nuccore/CP000058.1?report=graph&amp;tracks=[key:gene_model_track,Options:GeneOnly]&amp;mk=3434545:3434564|offset_1|444444,3434579:3434598|offset_35|444444,3434599:3434618|offset_55|00cc00,3434621:3434640|offset_77|444444&amp;v=3434344:3434840&amp;c=444444", "offset 55")</f>
        <v>offset 55</v>
      </c>
    </row>
    <row r="10904" customFormat="false" ht="12.8" hidden="false" customHeight="false" outlineLevel="0" collapsed="false">
      <c r="A10904" s="0" t="s">
        <v>12</v>
      </c>
      <c r="B10904" s="0" t="n">
        <v>3434620</v>
      </c>
      <c r="C10904" s="0" t="n">
        <v>3434640</v>
      </c>
      <c r="D10904" s="0" t="s">
        <v>36195</v>
      </c>
      <c r="E10904" s="0" t="s">
        <v>75</v>
      </c>
      <c r="F10904" s="0" t="s">
        <v>15</v>
      </c>
      <c r="G10904" s="0" t="s">
        <v>20</v>
      </c>
      <c r="H10904" s="0" t="n">
        <v>77</v>
      </c>
      <c r="I10904" s="0" t="s">
        <v>36205</v>
      </c>
      <c r="J10904" s="0" t="s">
        <v>36206</v>
      </c>
      <c r="K10904" s="0" t="s">
        <v>36207</v>
      </c>
      <c r="L10904" s="0" t="str">
        <f aca="false">HYPERLINK("https://www.ncbi.nlm.nih.gov/nuccore/CP000058.1?report=graph&amp;tracks=[key:gene_model_track,Options:GeneOnly]&amp;mk=3434545:3434564|offset_1|444444,3434579:3434598|offset_35|444444,3434599:3434618|offset_55|444444,3434621:3434640|offset_77|00cc00&amp;v=3434344:3434840&amp;c=444444", "offset 77")</f>
        <v>offset 77</v>
      </c>
    </row>
    <row r="10905" customFormat="false" ht="12.8" hidden="false" customHeight="false" outlineLevel="0" collapsed="false">
      <c r="A10905" s="0" t="s">
        <v>12</v>
      </c>
      <c r="B10905" s="0" t="n">
        <v>3435545</v>
      </c>
      <c r="C10905" s="0" t="n">
        <v>3435565</v>
      </c>
      <c r="D10905" s="0" t="s">
        <v>36208</v>
      </c>
      <c r="E10905" s="0" t="s">
        <v>36209</v>
      </c>
      <c r="F10905" s="0" t="s">
        <v>15</v>
      </c>
      <c r="G10905" s="0" t="s">
        <v>32</v>
      </c>
      <c r="H10905" s="0" t="n">
        <v>1</v>
      </c>
      <c r="I10905" s="0" t="s">
        <v>36210</v>
      </c>
      <c r="J10905" s="0" t="s">
        <v>36211</v>
      </c>
      <c r="K10905" s="0" t="s">
        <v>36212</v>
      </c>
      <c r="L10905" s="0" t="str">
        <f aca="false">HYPERLINK("https://www.ncbi.nlm.nih.gov/nuccore/CP000058.1?report=graph&amp;tracks=[key:gene_model_track,Options:GeneOnly]&amp;mk=3435546:3435565|offset_1|00cc00,3435574:3435593|offset_29|444444,3435597:3435616|offset_52|444444,3435624:3435643|offset_79|444444&amp;v=3435345:3435843&amp;c=444444", "offset 1")</f>
        <v>offset 1</v>
      </c>
    </row>
    <row r="10906" customFormat="false" ht="12.8" hidden="false" customHeight="false" outlineLevel="0" collapsed="false">
      <c r="A10906" s="0" t="s">
        <v>12</v>
      </c>
      <c r="B10906" s="0" t="n">
        <v>3435573</v>
      </c>
      <c r="C10906" s="0" t="n">
        <v>3435593</v>
      </c>
      <c r="D10906" s="0" t="s">
        <v>36208</v>
      </c>
      <c r="E10906" s="0" t="s">
        <v>36209</v>
      </c>
      <c r="F10906" s="0" t="s">
        <v>15</v>
      </c>
      <c r="G10906" s="0" t="s">
        <v>20</v>
      </c>
      <c r="H10906" s="0" t="n">
        <v>29</v>
      </c>
      <c r="I10906" s="0" t="s">
        <v>36213</v>
      </c>
      <c r="J10906" s="0" t="s">
        <v>36214</v>
      </c>
      <c r="K10906" s="0" t="s">
        <v>36215</v>
      </c>
      <c r="L10906" s="0" t="str">
        <f aca="false">HYPERLINK("https://www.ncbi.nlm.nih.gov/nuccore/CP000058.1?report=graph&amp;tracks=[key:gene_model_track,Options:GeneOnly]&amp;mk=3435546:3435565|offset_1|444444,3435574:3435593|offset_29|00cc00,3435597:3435616|offset_52|444444,3435624:3435643|offset_79|444444&amp;v=3435345:3435843&amp;c=444444", "offset 29")</f>
        <v>offset 29</v>
      </c>
    </row>
    <row r="10907" customFormat="false" ht="12.8" hidden="false" customHeight="false" outlineLevel="0" collapsed="false">
      <c r="A10907" s="0" t="s">
        <v>12</v>
      </c>
      <c r="B10907" s="0" t="n">
        <v>3435596</v>
      </c>
      <c r="C10907" s="0" t="n">
        <v>3435616</v>
      </c>
      <c r="D10907" s="0" t="s">
        <v>36208</v>
      </c>
      <c r="E10907" s="0" t="s">
        <v>36209</v>
      </c>
      <c r="F10907" s="0" t="s">
        <v>15</v>
      </c>
      <c r="G10907" s="0" t="s">
        <v>20</v>
      </c>
      <c r="H10907" s="0" t="n">
        <v>52</v>
      </c>
      <c r="I10907" s="0" t="s">
        <v>36216</v>
      </c>
      <c r="J10907" s="0" t="s">
        <v>36217</v>
      </c>
      <c r="K10907" s="0" t="s">
        <v>36218</v>
      </c>
      <c r="L10907" s="0" t="str">
        <f aca="false">HYPERLINK("https://www.ncbi.nlm.nih.gov/nuccore/CP000058.1?report=graph&amp;tracks=[key:gene_model_track,Options:GeneOnly]&amp;mk=3435546:3435565|offset_1|444444,3435574:3435593|offset_29|444444,3435597:3435616|offset_52|00cc00,3435624:3435643|offset_79|444444&amp;v=3435345:3435843&amp;c=444444", "offset 52")</f>
        <v>offset 52</v>
      </c>
    </row>
    <row r="10908" customFormat="false" ht="12.8" hidden="false" customHeight="false" outlineLevel="0" collapsed="false">
      <c r="A10908" s="0" t="s">
        <v>12</v>
      </c>
      <c r="B10908" s="0" t="n">
        <v>3435623</v>
      </c>
      <c r="C10908" s="0" t="n">
        <v>3435643</v>
      </c>
      <c r="D10908" s="0" t="s">
        <v>36208</v>
      </c>
      <c r="E10908" s="0" t="s">
        <v>36209</v>
      </c>
      <c r="F10908" s="0" t="s">
        <v>15</v>
      </c>
      <c r="G10908" s="0" t="s">
        <v>20</v>
      </c>
      <c r="H10908" s="0" t="n">
        <v>79</v>
      </c>
      <c r="I10908" s="0" t="s">
        <v>36219</v>
      </c>
      <c r="J10908" s="0" t="s">
        <v>36220</v>
      </c>
      <c r="K10908" s="0" t="s">
        <v>36221</v>
      </c>
      <c r="L10908" s="0" t="str">
        <f aca="false">HYPERLINK("https://www.ncbi.nlm.nih.gov/nuccore/CP000058.1?report=graph&amp;tracks=[key:gene_model_track,Options:GeneOnly]&amp;mk=3435546:3435565|offset_1|444444,3435574:3435593|offset_29|444444,3435597:3435616|offset_52|444444,3435624:3435643|offset_79|00cc00&amp;v=3435345:3435843&amp;c=444444", "offset 79")</f>
        <v>offset 79</v>
      </c>
    </row>
    <row r="10909" customFormat="false" ht="12.8" hidden="false" customHeight="false" outlineLevel="0" collapsed="false">
      <c r="A10909" s="0" t="s">
        <v>12</v>
      </c>
      <c r="B10909" s="0" t="n">
        <v>3436441</v>
      </c>
      <c r="C10909" s="0" t="n">
        <v>3436461</v>
      </c>
      <c r="D10909" s="0" t="s">
        <v>36222</v>
      </c>
      <c r="E10909" s="0" t="s">
        <v>36223</v>
      </c>
      <c r="F10909" s="0" t="s">
        <v>15</v>
      </c>
      <c r="G10909" s="0" t="s">
        <v>16</v>
      </c>
      <c r="H10909" s="0" t="n">
        <v>34</v>
      </c>
      <c r="I10909" s="0" t="s">
        <v>36224</v>
      </c>
      <c r="J10909" s="0" t="s">
        <v>36225</v>
      </c>
      <c r="K10909" s="0" t="s">
        <v>36226</v>
      </c>
      <c r="L10909" s="0" t="str">
        <f aca="false">HYPERLINK("https://www.ncbi.nlm.nih.gov/nuccore/CP000058.1?report=graph&amp;tracks=[key:gene_model_track,Options:GeneOnly]&amp;mk=3436442:3436461|offset_34|00cc00,3436472:3436491|offset_64|444444,3436493:3436512|offset_85|444444,3436539:3436558|offset_131|444444&amp;v=3436241:3436758&amp;c=444444", "offset 34")</f>
        <v>offset 34</v>
      </c>
    </row>
    <row r="10910" customFormat="false" ht="12.8" hidden="false" customHeight="false" outlineLevel="0" collapsed="false">
      <c r="A10910" s="0" t="s">
        <v>12</v>
      </c>
      <c r="B10910" s="0" t="n">
        <v>3436471</v>
      </c>
      <c r="C10910" s="0" t="n">
        <v>3436491</v>
      </c>
      <c r="D10910" s="0" t="s">
        <v>36222</v>
      </c>
      <c r="E10910" s="0" t="s">
        <v>36223</v>
      </c>
      <c r="F10910" s="0" t="s">
        <v>15</v>
      </c>
      <c r="G10910" s="0" t="s">
        <v>16</v>
      </c>
      <c r="H10910" s="0" t="n">
        <v>64</v>
      </c>
      <c r="I10910" s="0" t="s">
        <v>36227</v>
      </c>
      <c r="J10910" s="0" t="s">
        <v>36228</v>
      </c>
      <c r="K10910" s="0" t="s">
        <v>36229</v>
      </c>
      <c r="L10910" s="0" t="str">
        <f aca="false">HYPERLINK("https://www.ncbi.nlm.nih.gov/nuccore/CP000058.1?report=graph&amp;tracks=[key:gene_model_track,Options:GeneOnly]&amp;mk=3436442:3436461|offset_34|444444,3436472:3436491|offset_64|00cc00,3436493:3436512|offset_85|444444,3436539:3436558|offset_131|444444&amp;v=3436241:3436758&amp;c=444444", "offset 64")</f>
        <v>offset 64</v>
      </c>
    </row>
    <row r="10911" customFormat="false" ht="12.8" hidden="false" customHeight="false" outlineLevel="0" collapsed="false">
      <c r="A10911" s="0" t="s">
        <v>12</v>
      </c>
      <c r="B10911" s="0" t="n">
        <v>3436492</v>
      </c>
      <c r="C10911" s="0" t="n">
        <v>3436512</v>
      </c>
      <c r="D10911" s="0" t="s">
        <v>36222</v>
      </c>
      <c r="E10911" s="0" t="s">
        <v>36223</v>
      </c>
      <c r="F10911" s="0" t="s">
        <v>15</v>
      </c>
      <c r="G10911" s="0" t="s">
        <v>16</v>
      </c>
      <c r="H10911" s="0" t="n">
        <v>85</v>
      </c>
      <c r="I10911" s="0" t="s">
        <v>36230</v>
      </c>
      <c r="J10911" s="0" t="s">
        <v>36231</v>
      </c>
      <c r="K10911" s="0" t="s">
        <v>36232</v>
      </c>
      <c r="L10911" s="0" t="str">
        <f aca="false">HYPERLINK("https://www.ncbi.nlm.nih.gov/nuccore/CP000058.1?report=graph&amp;tracks=[key:gene_model_track,Options:GeneOnly]&amp;mk=3436442:3436461|offset_34|444444,3436472:3436491|offset_64|444444,3436493:3436512|offset_85|00cc00,3436539:3436558|offset_131|444444&amp;v=3436241:3436758&amp;c=444444", "offset 85")</f>
        <v>offset 85</v>
      </c>
    </row>
    <row r="10912" customFormat="false" ht="12.8" hidden="false" customHeight="false" outlineLevel="0" collapsed="false">
      <c r="A10912" s="0" t="s">
        <v>12</v>
      </c>
      <c r="B10912" s="0" t="n">
        <v>3436538</v>
      </c>
      <c r="C10912" s="0" t="n">
        <v>3436558</v>
      </c>
      <c r="D10912" s="0" t="s">
        <v>36222</v>
      </c>
      <c r="E10912" s="0" t="s">
        <v>36223</v>
      </c>
      <c r="F10912" s="0" t="s">
        <v>15</v>
      </c>
      <c r="G10912" s="0" t="s">
        <v>36</v>
      </c>
      <c r="H10912" s="0" t="n">
        <v>131</v>
      </c>
      <c r="I10912" s="0" t="s">
        <v>36233</v>
      </c>
      <c r="J10912" s="0" t="s">
        <v>36234</v>
      </c>
      <c r="K10912" s="0" t="s">
        <v>36235</v>
      </c>
      <c r="L10912" s="0" t="str">
        <f aca="false">HYPERLINK("https://www.ncbi.nlm.nih.gov/nuccore/CP000058.1?report=graph&amp;tracks=[key:gene_model_track,Options:GeneOnly]&amp;mk=3436442:3436461|offset_34|444444,3436472:3436491|offset_64|444444,3436493:3436512|offset_85|444444,3436539:3436558|offset_131|00cc00&amp;v=3436241:3436758&amp;c=444444", "offset 131")</f>
        <v>offset 131</v>
      </c>
    </row>
    <row r="10913" customFormat="false" ht="12.8" hidden="false" customHeight="false" outlineLevel="0" collapsed="false">
      <c r="A10913" s="0" t="s">
        <v>12</v>
      </c>
      <c r="B10913" s="0" t="n">
        <v>3437326</v>
      </c>
      <c r="C10913" s="0" t="n">
        <v>3437346</v>
      </c>
      <c r="D10913" s="0" t="s">
        <v>36236</v>
      </c>
      <c r="E10913" s="0" t="s">
        <v>75</v>
      </c>
      <c r="F10913" s="0" t="s">
        <v>15</v>
      </c>
      <c r="G10913" s="0" t="s">
        <v>36</v>
      </c>
      <c r="H10913" s="0" t="n">
        <v>35</v>
      </c>
      <c r="I10913" s="0" t="s">
        <v>36237</v>
      </c>
      <c r="J10913" s="0" t="s">
        <v>36238</v>
      </c>
      <c r="K10913" s="0" t="s">
        <v>36239</v>
      </c>
      <c r="L10913" s="0" t="str">
        <f aca="false">HYPERLINK("https://www.ncbi.nlm.nih.gov/nuccore/CP000058.1?report=graph&amp;tracks=[key:gene_model_track,Options:GeneOnly]&amp;mk=3437327:3437346|offset_35|00cc00,3437355:3437374|offset_63|444444,3437376:3437395|offset_84|444444,3437417:3437436|offset_125|444444&amp;v=3437126:3437636&amp;c=444444", "offset 35")</f>
        <v>offset 35</v>
      </c>
    </row>
    <row r="10914" customFormat="false" ht="12.8" hidden="false" customHeight="false" outlineLevel="0" collapsed="false">
      <c r="A10914" s="0" t="s">
        <v>12</v>
      </c>
      <c r="B10914" s="0" t="n">
        <v>3437354</v>
      </c>
      <c r="C10914" s="0" t="n">
        <v>3437374</v>
      </c>
      <c r="D10914" s="0" t="s">
        <v>36236</v>
      </c>
      <c r="E10914" s="0" t="s">
        <v>75</v>
      </c>
      <c r="F10914" s="0" t="s">
        <v>15</v>
      </c>
      <c r="G10914" s="0" t="s">
        <v>20</v>
      </c>
      <c r="H10914" s="0" t="n">
        <v>63</v>
      </c>
      <c r="I10914" s="0" t="s">
        <v>36240</v>
      </c>
      <c r="J10914" s="0" t="s">
        <v>36241</v>
      </c>
      <c r="K10914" s="0" t="s">
        <v>36242</v>
      </c>
      <c r="L10914" s="0" t="str">
        <f aca="false">HYPERLINK("https://www.ncbi.nlm.nih.gov/nuccore/CP000058.1?report=graph&amp;tracks=[key:gene_model_track,Options:GeneOnly]&amp;mk=3437327:3437346|offset_35|444444,3437355:3437374|offset_63|00cc00,3437376:3437395|offset_84|444444,3437417:3437436|offset_125|444444&amp;v=3437126:3437636&amp;c=444444", "offset 63")</f>
        <v>offset 63</v>
      </c>
    </row>
    <row r="10915" customFormat="false" ht="12.8" hidden="false" customHeight="false" outlineLevel="0" collapsed="false">
      <c r="A10915" s="0" t="s">
        <v>12</v>
      </c>
      <c r="B10915" s="0" t="n">
        <v>3437375</v>
      </c>
      <c r="C10915" s="0" t="n">
        <v>3437395</v>
      </c>
      <c r="D10915" s="0" t="s">
        <v>36236</v>
      </c>
      <c r="E10915" s="0" t="s">
        <v>75</v>
      </c>
      <c r="F10915" s="0" t="s">
        <v>15</v>
      </c>
      <c r="G10915" s="0" t="s">
        <v>20</v>
      </c>
      <c r="H10915" s="0" t="n">
        <v>84</v>
      </c>
      <c r="I10915" s="0" t="s">
        <v>36243</v>
      </c>
      <c r="J10915" s="0" t="s">
        <v>36244</v>
      </c>
      <c r="K10915" s="0" t="s">
        <v>36245</v>
      </c>
      <c r="L10915" s="0" t="str">
        <f aca="false">HYPERLINK("https://www.ncbi.nlm.nih.gov/nuccore/CP000058.1?report=graph&amp;tracks=[key:gene_model_track,Options:GeneOnly]&amp;mk=3437327:3437346|offset_35|444444,3437355:3437374|offset_63|444444,3437376:3437395|offset_84|00cc00,3437417:3437436|offset_125|444444&amp;v=3437126:3437636&amp;c=444444", "offset 84")</f>
        <v>offset 84</v>
      </c>
    </row>
    <row r="10916" customFormat="false" ht="12.8" hidden="false" customHeight="false" outlineLevel="0" collapsed="false">
      <c r="A10916" s="0" t="s">
        <v>12</v>
      </c>
      <c r="B10916" s="0" t="n">
        <v>3437416</v>
      </c>
      <c r="C10916" s="0" t="n">
        <v>3437436</v>
      </c>
      <c r="D10916" s="0" t="s">
        <v>36236</v>
      </c>
      <c r="E10916" s="0" t="s">
        <v>75</v>
      </c>
      <c r="F10916" s="0" t="s">
        <v>15</v>
      </c>
      <c r="G10916" s="0" t="s">
        <v>20</v>
      </c>
      <c r="H10916" s="0" t="n">
        <v>125</v>
      </c>
      <c r="I10916" s="0" t="s">
        <v>36246</v>
      </c>
      <c r="J10916" s="0" t="s">
        <v>36247</v>
      </c>
      <c r="K10916" s="0" t="s">
        <v>36248</v>
      </c>
      <c r="L10916" s="0" t="str">
        <f aca="false">HYPERLINK("https://www.ncbi.nlm.nih.gov/nuccore/CP000058.1?report=graph&amp;tracks=[key:gene_model_track,Options:GeneOnly]&amp;mk=3437327:3437346|offset_35|444444,3437355:3437374|offset_63|444444,3437376:3437395|offset_84|444444,3437417:3437436|offset_125|00cc00&amp;v=3437126:3437636&amp;c=444444", "offset 125")</f>
        <v>offset 125</v>
      </c>
    </row>
    <row r="10917" customFormat="false" ht="12.8" hidden="false" customHeight="false" outlineLevel="0" collapsed="false">
      <c r="A10917" s="0" t="s">
        <v>12</v>
      </c>
      <c r="B10917" s="0" t="n">
        <v>3438562</v>
      </c>
      <c r="C10917" s="0" t="n">
        <v>3438582</v>
      </c>
      <c r="D10917" s="0" t="s">
        <v>36249</v>
      </c>
      <c r="E10917" s="0" t="s">
        <v>75</v>
      </c>
      <c r="F10917" s="0" t="s">
        <v>15</v>
      </c>
      <c r="G10917" s="0" t="s">
        <v>20</v>
      </c>
      <c r="H10917" s="0" t="n">
        <v>16</v>
      </c>
      <c r="I10917" s="0" t="s">
        <v>36250</v>
      </c>
      <c r="J10917" s="0" t="s">
        <v>36251</v>
      </c>
      <c r="K10917" s="0" t="s">
        <v>36252</v>
      </c>
      <c r="L10917" s="0" t="str">
        <f aca="false">HYPERLINK("https://www.ncbi.nlm.nih.gov/nuccore/CP000058.1?report=graph&amp;tracks=[key:gene_model_track,Options:GeneOnly]&amp;mk=3438563:3438582|offset_16|00cc00,3438602:3438621|offset_55|444444,3438634:3438653|offset_87|444444,3438662:3438681|offset_115|444444&amp;v=3438362:3438881&amp;c=444444", "offset 16")</f>
        <v>offset 16</v>
      </c>
    </row>
    <row r="10918" customFormat="false" ht="12.8" hidden="false" customHeight="false" outlineLevel="0" collapsed="false">
      <c r="A10918" s="0" t="s">
        <v>12</v>
      </c>
      <c r="B10918" s="0" t="n">
        <v>3438601</v>
      </c>
      <c r="C10918" s="0" t="n">
        <v>3438621</v>
      </c>
      <c r="D10918" s="0" t="s">
        <v>36249</v>
      </c>
      <c r="E10918" s="0" t="s">
        <v>75</v>
      </c>
      <c r="F10918" s="0" t="s">
        <v>15</v>
      </c>
      <c r="G10918" s="0" t="s">
        <v>20</v>
      </c>
      <c r="H10918" s="0" t="n">
        <v>55</v>
      </c>
      <c r="I10918" s="0" t="s">
        <v>36253</v>
      </c>
      <c r="J10918" s="0" t="s">
        <v>36254</v>
      </c>
      <c r="K10918" s="0" t="s">
        <v>36255</v>
      </c>
      <c r="L10918" s="0" t="str">
        <f aca="false">HYPERLINK("https://www.ncbi.nlm.nih.gov/nuccore/CP000058.1?report=graph&amp;tracks=[key:gene_model_track,Options:GeneOnly]&amp;mk=3438563:3438582|offset_16|444444,3438602:3438621|offset_55|00cc00,3438634:3438653|offset_87|444444,3438662:3438681|offset_115|444444&amp;v=3438362:3438881&amp;c=444444", "offset 55")</f>
        <v>offset 55</v>
      </c>
    </row>
    <row r="10919" customFormat="false" ht="12.8" hidden="false" customHeight="false" outlineLevel="0" collapsed="false">
      <c r="A10919" s="0" t="s">
        <v>12</v>
      </c>
      <c r="B10919" s="0" t="n">
        <v>3438633</v>
      </c>
      <c r="C10919" s="0" t="n">
        <v>3438653</v>
      </c>
      <c r="D10919" s="0" t="s">
        <v>36249</v>
      </c>
      <c r="E10919" s="0" t="s">
        <v>75</v>
      </c>
      <c r="F10919" s="0" t="s">
        <v>15</v>
      </c>
      <c r="G10919" s="0" t="s">
        <v>16</v>
      </c>
      <c r="H10919" s="0" t="n">
        <v>87</v>
      </c>
      <c r="I10919" s="0" t="s">
        <v>36256</v>
      </c>
      <c r="J10919" s="0" t="s">
        <v>36257</v>
      </c>
      <c r="K10919" s="0" t="s">
        <v>36258</v>
      </c>
      <c r="L10919" s="0" t="str">
        <f aca="false">HYPERLINK("https://www.ncbi.nlm.nih.gov/nuccore/CP000058.1?report=graph&amp;tracks=[key:gene_model_track,Options:GeneOnly]&amp;mk=3438563:3438582|offset_16|444444,3438602:3438621|offset_55|444444,3438634:3438653|offset_87|00cc00,3438662:3438681|offset_115|444444&amp;v=3438362:3438881&amp;c=444444", "offset 87")</f>
        <v>offset 87</v>
      </c>
    </row>
    <row r="10920" customFormat="false" ht="12.8" hidden="false" customHeight="false" outlineLevel="0" collapsed="false">
      <c r="A10920" s="0" t="s">
        <v>12</v>
      </c>
      <c r="B10920" s="0" t="n">
        <v>3438661</v>
      </c>
      <c r="C10920" s="0" t="n">
        <v>3438681</v>
      </c>
      <c r="D10920" s="0" t="s">
        <v>36249</v>
      </c>
      <c r="E10920" s="0" t="s">
        <v>75</v>
      </c>
      <c r="F10920" s="0" t="s">
        <v>15</v>
      </c>
      <c r="G10920" s="0" t="s">
        <v>16</v>
      </c>
      <c r="H10920" s="0" t="n">
        <v>115</v>
      </c>
      <c r="I10920" s="0" t="s">
        <v>36259</v>
      </c>
      <c r="J10920" s="0" t="s">
        <v>36260</v>
      </c>
      <c r="K10920" s="0" t="s">
        <v>36261</v>
      </c>
      <c r="L10920" s="0" t="str">
        <f aca="false">HYPERLINK("https://www.ncbi.nlm.nih.gov/nuccore/CP000058.1?report=graph&amp;tracks=[key:gene_model_track,Options:GeneOnly]&amp;mk=3438563:3438582|offset_16|444444,3438602:3438621|offset_55|444444,3438634:3438653|offset_87|444444,3438662:3438681|offset_115|00cc00&amp;v=3438362:3438881&amp;c=444444", "offset 115")</f>
        <v>offset 115</v>
      </c>
    </row>
    <row r="10921" customFormat="false" ht="12.8" hidden="false" customHeight="false" outlineLevel="0" collapsed="false">
      <c r="A10921" s="0" t="s">
        <v>12</v>
      </c>
      <c r="B10921" s="0" t="n">
        <v>3438855</v>
      </c>
      <c r="C10921" s="0" t="n">
        <v>3438875</v>
      </c>
      <c r="D10921" s="0" t="s">
        <v>36262</v>
      </c>
      <c r="E10921" s="0" t="s">
        <v>75</v>
      </c>
      <c r="F10921" s="0" t="s">
        <v>15</v>
      </c>
      <c r="G10921" s="0" t="s">
        <v>32</v>
      </c>
      <c r="H10921" s="0" t="n">
        <v>7</v>
      </c>
      <c r="I10921" s="0" t="s">
        <v>36263</v>
      </c>
      <c r="J10921" s="0" t="s">
        <v>36264</v>
      </c>
      <c r="K10921" s="0" t="s">
        <v>36265</v>
      </c>
      <c r="L10921" s="0" t="str">
        <f aca="false">HYPERLINK("https://www.ncbi.nlm.nih.gov/nuccore/CP000058.1?report=graph&amp;tracks=[key:gene_model_track,Options:GeneOnly]&amp;mk=3438856:3438875|offset_7|00cc00,3438879:3438898|offset_30|444444,3438905:3438924|offset_56|444444,3438967:3438986|offset_118|444444&amp;v=3438655:3439186&amp;c=444444", "offset 7")</f>
        <v>offset 7</v>
      </c>
    </row>
    <row r="10922" customFormat="false" ht="12.8" hidden="false" customHeight="false" outlineLevel="0" collapsed="false">
      <c r="A10922" s="0" t="s">
        <v>12</v>
      </c>
      <c r="B10922" s="0" t="n">
        <v>3438878</v>
      </c>
      <c r="C10922" s="0" t="n">
        <v>3438898</v>
      </c>
      <c r="D10922" s="0" t="s">
        <v>36262</v>
      </c>
      <c r="E10922" s="0" t="s">
        <v>75</v>
      </c>
      <c r="F10922" s="0" t="s">
        <v>15</v>
      </c>
      <c r="G10922" s="0" t="s">
        <v>36</v>
      </c>
      <c r="H10922" s="0" t="n">
        <v>30</v>
      </c>
      <c r="I10922" s="0" t="s">
        <v>36266</v>
      </c>
      <c r="J10922" s="0" t="s">
        <v>36267</v>
      </c>
      <c r="K10922" s="0" t="s">
        <v>36268</v>
      </c>
      <c r="L10922" s="0" t="str">
        <f aca="false">HYPERLINK("https://www.ncbi.nlm.nih.gov/nuccore/CP000058.1?report=graph&amp;tracks=[key:gene_model_track,Options:GeneOnly]&amp;mk=3438856:3438875|offset_7|444444,3438879:3438898|offset_30|00cc00,3438905:3438924|offset_56|444444,3438967:3438986|offset_118|444444&amp;v=3438655:3439186&amp;c=444444", "offset 30")</f>
        <v>offset 30</v>
      </c>
    </row>
    <row r="10923" customFormat="false" ht="12.8" hidden="false" customHeight="false" outlineLevel="0" collapsed="false">
      <c r="A10923" s="0" t="s">
        <v>12</v>
      </c>
      <c r="B10923" s="0" t="n">
        <v>3438904</v>
      </c>
      <c r="C10923" s="0" t="n">
        <v>3438924</v>
      </c>
      <c r="D10923" s="0" t="s">
        <v>36262</v>
      </c>
      <c r="E10923" s="0" t="s">
        <v>75</v>
      </c>
      <c r="F10923" s="0" t="s">
        <v>15</v>
      </c>
      <c r="G10923" s="0" t="s">
        <v>32</v>
      </c>
      <c r="H10923" s="0" t="n">
        <v>56</v>
      </c>
      <c r="I10923" s="0" t="s">
        <v>36269</v>
      </c>
      <c r="J10923" s="0" t="s">
        <v>36270</v>
      </c>
      <c r="K10923" s="0" t="s">
        <v>36271</v>
      </c>
      <c r="L10923" s="0" t="str">
        <f aca="false">HYPERLINK("https://www.ncbi.nlm.nih.gov/nuccore/CP000058.1?report=graph&amp;tracks=[key:gene_model_track,Options:GeneOnly]&amp;mk=3438856:3438875|offset_7|444444,3438879:3438898|offset_30|444444,3438905:3438924|offset_56|00cc00,3438967:3438986|offset_118|444444&amp;v=3438655:3439186&amp;c=444444", "offset 56")</f>
        <v>offset 56</v>
      </c>
    </row>
    <row r="10924" customFormat="false" ht="12.8" hidden="false" customHeight="false" outlineLevel="0" collapsed="false">
      <c r="A10924" s="0" t="s">
        <v>12</v>
      </c>
      <c r="B10924" s="0" t="n">
        <v>3438966</v>
      </c>
      <c r="C10924" s="0" t="n">
        <v>3438986</v>
      </c>
      <c r="D10924" s="0" t="s">
        <v>36262</v>
      </c>
      <c r="E10924" s="0" t="s">
        <v>75</v>
      </c>
      <c r="F10924" s="0" t="s">
        <v>15</v>
      </c>
      <c r="G10924" s="0" t="s">
        <v>32</v>
      </c>
      <c r="H10924" s="0" t="n">
        <v>118</v>
      </c>
      <c r="I10924" s="0" t="s">
        <v>36272</v>
      </c>
      <c r="J10924" s="0" t="s">
        <v>36273</v>
      </c>
      <c r="K10924" s="0" t="s">
        <v>36274</v>
      </c>
      <c r="L10924" s="0" t="str">
        <f aca="false">HYPERLINK("https://www.ncbi.nlm.nih.gov/nuccore/CP000058.1?report=graph&amp;tracks=[key:gene_model_track,Options:GeneOnly]&amp;mk=3438856:3438875|offset_7|444444,3438879:3438898|offset_30|444444,3438905:3438924|offset_56|444444,3438967:3438986|offset_118|00cc00&amp;v=3438655:3439186&amp;c=444444", "offset 118")</f>
        <v>offset 118</v>
      </c>
    </row>
    <row r="10925" customFormat="false" ht="12.8" hidden="false" customHeight="false" outlineLevel="0" collapsed="false">
      <c r="A10925" s="0" t="s">
        <v>12</v>
      </c>
      <c r="B10925" s="0" t="n">
        <v>3441759</v>
      </c>
      <c r="C10925" s="0" t="n">
        <v>3441779</v>
      </c>
      <c r="D10925" s="0" t="s">
        <v>36275</v>
      </c>
      <c r="E10925" s="0" t="s">
        <v>75</v>
      </c>
      <c r="F10925" s="0" t="s">
        <v>15</v>
      </c>
      <c r="G10925" s="0" t="s">
        <v>32</v>
      </c>
      <c r="H10925" s="0" t="n">
        <v>1</v>
      </c>
      <c r="I10925" s="0" t="s">
        <v>36276</v>
      </c>
      <c r="J10925" s="0" t="s">
        <v>36277</v>
      </c>
      <c r="K10925" s="0" t="s">
        <v>36278</v>
      </c>
      <c r="L10925" s="0" t="str">
        <f aca="false">HYPERLINK("https://www.ncbi.nlm.nih.gov/nuccore/CP000058.1?report=graph&amp;tracks=[key:gene_model_track,Options:GeneOnly]&amp;mk=3441760:3441779|offset_1|00cc00,3441782:3441801|offset_23|444444,3441804:3441823|offset_45|444444,3441827:3441846|offset_68|444444&amp;v=3441559:3442046&amp;c=444444", "offset 1")</f>
        <v>offset 1</v>
      </c>
    </row>
    <row r="10926" customFormat="false" ht="12.8" hidden="false" customHeight="false" outlineLevel="0" collapsed="false">
      <c r="A10926" s="0" t="s">
        <v>12</v>
      </c>
      <c r="B10926" s="0" t="n">
        <v>3441781</v>
      </c>
      <c r="C10926" s="0" t="n">
        <v>3441801</v>
      </c>
      <c r="D10926" s="0" t="s">
        <v>36275</v>
      </c>
      <c r="E10926" s="0" t="s">
        <v>75</v>
      </c>
      <c r="F10926" s="0" t="s">
        <v>15</v>
      </c>
      <c r="G10926" s="0" t="s">
        <v>16</v>
      </c>
      <c r="H10926" s="0" t="n">
        <v>23</v>
      </c>
      <c r="I10926" s="0" t="s">
        <v>36279</v>
      </c>
      <c r="J10926" s="0" t="s">
        <v>36280</v>
      </c>
      <c r="K10926" s="0" t="s">
        <v>36281</v>
      </c>
      <c r="L10926" s="0" t="str">
        <f aca="false">HYPERLINK("https://www.ncbi.nlm.nih.gov/nuccore/CP000058.1?report=graph&amp;tracks=[key:gene_model_track,Options:GeneOnly]&amp;mk=3441760:3441779|offset_1|444444,3441782:3441801|offset_23|00cc00,3441804:3441823|offset_45|444444,3441827:3441846|offset_68|444444&amp;v=3441559:3442046&amp;c=444444", "offset 23")</f>
        <v>offset 23</v>
      </c>
    </row>
    <row r="10927" customFormat="false" ht="12.8" hidden="false" customHeight="false" outlineLevel="0" collapsed="false">
      <c r="A10927" s="0" t="s">
        <v>12</v>
      </c>
      <c r="B10927" s="0" t="n">
        <v>3441803</v>
      </c>
      <c r="C10927" s="0" t="n">
        <v>3441823</v>
      </c>
      <c r="D10927" s="0" t="s">
        <v>36275</v>
      </c>
      <c r="E10927" s="0" t="s">
        <v>75</v>
      </c>
      <c r="F10927" s="0" t="s">
        <v>15</v>
      </c>
      <c r="G10927" s="0" t="s">
        <v>36</v>
      </c>
      <c r="H10927" s="0" t="n">
        <v>45</v>
      </c>
      <c r="I10927" s="0" t="s">
        <v>36282</v>
      </c>
      <c r="J10927" s="0" t="s">
        <v>36283</v>
      </c>
      <c r="K10927" s="0" t="s">
        <v>36284</v>
      </c>
      <c r="L10927" s="0" t="str">
        <f aca="false">HYPERLINK("https://www.ncbi.nlm.nih.gov/nuccore/CP000058.1?report=graph&amp;tracks=[key:gene_model_track,Options:GeneOnly]&amp;mk=3441760:3441779|offset_1|444444,3441782:3441801|offset_23|444444,3441804:3441823|offset_45|00cc00,3441827:3441846|offset_68|444444&amp;v=3441559:3442046&amp;c=444444", "offset 45")</f>
        <v>offset 45</v>
      </c>
    </row>
    <row r="10928" customFormat="false" ht="12.8" hidden="false" customHeight="false" outlineLevel="0" collapsed="false">
      <c r="A10928" s="0" t="s">
        <v>12</v>
      </c>
      <c r="B10928" s="0" t="n">
        <v>3441826</v>
      </c>
      <c r="C10928" s="0" t="n">
        <v>3441846</v>
      </c>
      <c r="D10928" s="0" t="s">
        <v>36275</v>
      </c>
      <c r="E10928" s="0" t="s">
        <v>75</v>
      </c>
      <c r="F10928" s="0" t="s">
        <v>15</v>
      </c>
      <c r="G10928" s="0" t="s">
        <v>20</v>
      </c>
      <c r="H10928" s="0" t="n">
        <v>68</v>
      </c>
      <c r="I10928" s="0" t="s">
        <v>36285</v>
      </c>
      <c r="J10928" s="0" t="s">
        <v>36286</v>
      </c>
      <c r="K10928" s="0" t="s">
        <v>36287</v>
      </c>
      <c r="L10928" s="0" t="str">
        <f aca="false">HYPERLINK("https://www.ncbi.nlm.nih.gov/nuccore/CP000058.1?report=graph&amp;tracks=[key:gene_model_track,Options:GeneOnly]&amp;mk=3441760:3441779|offset_1|444444,3441782:3441801|offset_23|444444,3441804:3441823|offset_45|444444,3441827:3441846|offset_68|00cc00&amp;v=3441559:3442046&amp;c=444444", "offset 68")</f>
        <v>offset 68</v>
      </c>
    </row>
    <row r="10929" customFormat="false" ht="12.8" hidden="false" customHeight="false" outlineLevel="0" collapsed="false">
      <c r="A10929" s="0" t="s">
        <v>12</v>
      </c>
      <c r="B10929" s="0" t="n">
        <v>3442599</v>
      </c>
      <c r="C10929" s="0" t="n">
        <v>3442619</v>
      </c>
      <c r="D10929" s="0" t="s">
        <v>36288</v>
      </c>
      <c r="E10929" s="0" t="s">
        <v>75</v>
      </c>
      <c r="F10929" s="0" t="s">
        <v>15</v>
      </c>
      <c r="G10929" s="0" t="s">
        <v>36</v>
      </c>
      <c r="H10929" s="0" t="n">
        <v>54</v>
      </c>
      <c r="I10929" s="0" t="s">
        <v>36289</v>
      </c>
      <c r="J10929" s="0" t="s">
        <v>36290</v>
      </c>
      <c r="K10929" s="0" t="s">
        <v>36291</v>
      </c>
      <c r="L10929" s="0" t="str">
        <f aca="false">HYPERLINK("https://www.ncbi.nlm.nih.gov/nuccore/CP000058.1?report=graph&amp;tracks=[key:gene_model_track,Options:GeneOnly]&amp;mk=3442600:3442619|offset_54|00cc00,3442652:3442671|offset_106|444444,3442689:3442708|offset_143|444444,3442758:3442777|offset_212|444444&amp;v=3442399:3442977&amp;c=444444", "offset 54")</f>
        <v>offset 54</v>
      </c>
    </row>
    <row r="10930" customFormat="false" ht="12.8" hidden="false" customHeight="false" outlineLevel="0" collapsed="false">
      <c r="A10930" s="0" t="s">
        <v>12</v>
      </c>
      <c r="B10930" s="0" t="n">
        <v>3442651</v>
      </c>
      <c r="C10930" s="0" t="n">
        <v>3442671</v>
      </c>
      <c r="D10930" s="0" t="s">
        <v>36288</v>
      </c>
      <c r="E10930" s="0" t="s">
        <v>75</v>
      </c>
      <c r="F10930" s="0" t="s">
        <v>15</v>
      </c>
      <c r="G10930" s="0" t="s">
        <v>32</v>
      </c>
      <c r="H10930" s="0" t="n">
        <v>106</v>
      </c>
      <c r="I10930" s="0" t="s">
        <v>36292</v>
      </c>
      <c r="J10930" s="0" t="s">
        <v>36293</v>
      </c>
      <c r="K10930" s="0" t="s">
        <v>36294</v>
      </c>
      <c r="L10930" s="0" t="str">
        <f aca="false">HYPERLINK("https://www.ncbi.nlm.nih.gov/nuccore/CP000058.1?report=graph&amp;tracks=[key:gene_model_track,Options:GeneOnly]&amp;mk=3442600:3442619|offset_54|444444,3442652:3442671|offset_106|00cc00,3442689:3442708|offset_143|444444,3442758:3442777|offset_212|444444&amp;v=3442399:3442977&amp;c=444444", "offset 106")</f>
        <v>offset 106</v>
      </c>
    </row>
    <row r="10931" customFormat="false" ht="12.8" hidden="false" customHeight="false" outlineLevel="0" collapsed="false">
      <c r="A10931" s="0" t="s">
        <v>12</v>
      </c>
      <c r="B10931" s="0" t="n">
        <v>3442688</v>
      </c>
      <c r="C10931" s="0" t="n">
        <v>3442708</v>
      </c>
      <c r="D10931" s="0" t="s">
        <v>36288</v>
      </c>
      <c r="E10931" s="0" t="s">
        <v>75</v>
      </c>
      <c r="F10931" s="0" t="s">
        <v>15</v>
      </c>
      <c r="G10931" s="0" t="s">
        <v>32</v>
      </c>
      <c r="H10931" s="0" t="n">
        <v>143</v>
      </c>
      <c r="I10931" s="0" t="s">
        <v>36295</v>
      </c>
      <c r="J10931" s="0" t="s">
        <v>36296</v>
      </c>
      <c r="K10931" s="0" t="s">
        <v>36297</v>
      </c>
      <c r="L10931" s="0" t="str">
        <f aca="false">HYPERLINK("https://www.ncbi.nlm.nih.gov/nuccore/CP000058.1?report=graph&amp;tracks=[key:gene_model_track,Options:GeneOnly]&amp;mk=3442600:3442619|offset_54|444444,3442652:3442671|offset_106|444444,3442689:3442708|offset_143|00cc00,3442758:3442777|offset_212|444444&amp;v=3442399:3442977&amp;c=444444", "offset 143")</f>
        <v>offset 143</v>
      </c>
    </row>
    <row r="10932" customFormat="false" ht="12.8" hidden="false" customHeight="false" outlineLevel="0" collapsed="false">
      <c r="A10932" s="0" t="s">
        <v>12</v>
      </c>
      <c r="B10932" s="0" t="n">
        <v>3442757</v>
      </c>
      <c r="C10932" s="0" t="n">
        <v>3442777</v>
      </c>
      <c r="D10932" s="0" t="s">
        <v>36288</v>
      </c>
      <c r="E10932" s="0" t="s">
        <v>75</v>
      </c>
      <c r="F10932" s="0" t="s">
        <v>15</v>
      </c>
      <c r="G10932" s="0" t="s">
        <v>36</v>
      </c>
      <c r="H10932" s="0" t="n">
        <v>212</v>
      </c>
      <c r="I10932" s="0" t="s">
        <v>36298</v>
      </c>
      <c r="J10932" s="0" t="s">
        <v>36299</v>
      </c>
      <c r="K10932" s="0" t="s">
        <v>36300</v>
      </c>
      <c r="L10932" s="0" t="str">
        <f aca="false">HYPERLINK("https://www.ncbi.nlm.nih.gov/nuccore/CP000058.1?report=graph&amp;tracks=[key:gene_model_track,Options:GeneOnly]&amp;mk=3442600:3442619|offset_54|444444,3442652:3442671|offset_106|444444,3442689:3442708|offset_143|444444,3442758:3442777|offset_212|00cc00&amp;v=3442399:3442977&amp;c=444444", "offset 212")</f>
        <v>offset 212</v>
      </c>
    </row>
    <row r="10933" customFormat="false" ht="12.8" hidden="false" customHeight="false" outlineLevel="0" collapsed="false">
      <c r="A10933" s="0" t="s">
        <v>12</v>
      </c>
      <c r="B10933" s="0" t="n">
        <v>3445446</v>
      </c>
      <c r="C10933" s="0" t="n">
        <v>3445466</v>
      </c>
      <c r="D10933" s="0" t="s">
        <v>36301</v>
      </c>
      <c r="E10933" s="0" t="s">
        <v>75</v>
      </c>
      <c r="F10933" s="0" t="s">
        <v>90</v>
      </c>
      <c r="G10933" s="0" t="s">
        <v>32</v>
      </c>
      <c r="H10933" s="0" t="n">
        <v>37</v>
      </c>
      <c r="I10933" s="0" t="s">
        <v>36302</v>
      </c>
      <c r="J10933" s="0" t="s">
        <v>36303</v>
      </c>
      <c r="K10933" s="0" t="s">
        <v>36304</v>
      </c>
      <c r="L10933" s="0" t="str">
        <f aca="false">HYPERLINK("https://www.ncbi.nlm.nih.gov/nuccore/CP000058.1?report=graph&amp;tracks=[key:gene_model_track,Options:GeneOnly]&amp;mk=3445447:3445466|offset_37|00cc00,3445417:3445436|offset_67|444444,3445380:3445399|offset_104|444444,3445357:3445376|offset_127|444444&amp;v=3445246:3445576&amp;c=444444", "offset 37")</f>
        <v>offset 37</v>
      </c>
    </row>
    <row r="10934" customFormat="false" ht="12.8" hidden="false" customHeight="false" outlineLevel="0" collapsed="false">
      <c r="A10934" s="0" t="s">
        <v>12</v>
      </c>
      <c r="B10934" s="0" t="n">
        <v>3445416</v>
      </c>
      <c r="C10934" s="0" t="n">
        <v>3445436</v>
      </c>
      <c r="D10934" s="0" t="s">
        <v>36301</v>
      </c>
      <c r="E10934" s="0" t="s">
        <v>75</v>
      </c>
      <c r="F10934" s="0" t="s">
        <v>90</v>
      </c>
      <c r="G10934" s="0" t="s">
        <v>16</v>
      </c>
      <c r="H10934" s="0" t="n">
        <v>67</v>
      </c>
      <c r="I10934" s="0" t="s">
        <v>36305</v>
      </c>
      <c r="J10934" s="0" t="s">
        <v>36306</v>
      </c>
      <c r="K10934" s="0" t="s">
        <v>36307</v>
      </c>
      <c r="L10934" s="0" t="str">
        <f aca="false">HYPERLINK("https://www.ncbi.nlm.nih.gov/nuccore/CP000058.1?report=graph&amp;tracks=[key:gene_model_track,Options:GeneOnly]&amp;mk=3445447:3445466|offset_37|444444,3445417:3445436|offset_67|00cc00,3445380:3445399|offset_104|444444,3445357:3445376|offset_127|444444&amp;v=3445246:3445576&amp;c=444444", "offset 67")</f>
        <v>offset 67</v>
      </c>
    </row>
    <row r="10935" customFormat="false" ht="12.8" hidden="false" customHeight="false" outlineLevel="0" collapsed="false">
      <c r="A10935" s="0" t="s">
        <v>12</v>
      </c>
      <c r="B10935" s="0" t="n">
        <v>3445379</v>
      </c>
      <c r="C10935" s="0" t="n">
        <v>3445399</v>
      </c>
      <c r="D10935" s="0" t="s">
        <v>36301</v>
      </c>
      <c r="E10935" s="0" t="s">
        <v>75</v>
      </c>
      <c r="F10935" s="0" t="s">
        <v>90</v>
      </c>
      <c r="G10935" s="0" t="s">
        <v>16</v>
      </c>
      <c r="H10935" s="0" t="n">
        <v>104</v>
      </c>
      <c r="I10935" s="0" t="s">
        <v>36308</v>
      </c>
      <c r="J10935" s="0" t="s">
        <v>36309</v>
      </c>
      <c r="K10935" s="0" t="s">
        <v>36310</v>
      </c>
      <c r="L10935" s="0" t="str">
        <f aca="false">HYPERLINK("https://www.ncbi.nlm.nih.gov/nuccore/CP000058.1?report=graph&amp;tracks=[key:gene_model_track,Options:GeneOnly]&amp;mk=3445447:3445466|offset_37|444444,3445417:3445436|offset_67|444444,3445380:3445399|offset_104|00cc00,3445357:3445376|offset_127|444444&amp;v=3445246:3445576&amp;c=444444", "offset 104")</f>
        <v>offset 104</v>
      </c>
    </row>
    <row r="10936" customFormat="false" ht="12.8" hidden="false" customHeight="false" outlineLevel="0" collapsed="false">
      <c r="A10936" s="0" t="s">
        <v>12</v>
      </c>
      <c r="B10936" s="0" t="n">
        <v>3445356</v>
      </c>
      <c r="C10936" s="0" t="n">
        <v>3445376</v>
      </c>
      <c r="D10936" s="0" t="s">
        <v>36301</v>
      </c>
      <c r="E10936" s="0" t="s">
        <v>75</v>
      </c>
      <c r="F10936" s="0" t="s">
        <v>90</v>
      </c>
      <c r="G10936" s="0" t="s">
        <v>20</v>
      </c>
      <c r="H10936" s="0" t="n">
        <v>127</v>
      </c>
      <c r="I10936" s="0" t="s">
        <v>36311</v>
      </c>
      <c r="J10936" s="0" t="s">
        <v>36312</v>
      </c>
      <c r="K10936" s="0" t="s">
        <v>36313</v>
      </c>
      <c r="L10936" s="0" t="str">
        <f aca="false">HYPERLINK("https://www.ncbi.nlm.nih.gov/nuccore/CP000058.1?report=graph&amp;tracks=[key:gene_model_track,Options:GeneOnly]&amp;mk=3445447:3445466|offset_37|444444,3445417:3445436|offset_67|444444,3445380:3445399|offset_104|444444,3445357:3445376|offset_127|00cc00&amp;v=3445246:3445576&amp;c=444444", "offset 127")</f>
        <v>offset 127</v>
      </c>
    </row>
    <row r="10937" customFormat="false" ht="12.8" hidden="false" customHeight="false" outlineLevel="0" collapsed="false">
      <c r="A10937" s="0" t="s">
        <v>12</v>
      </c>
      <c r="B10937" s="0" t="n">
        <v>3445612</v>
      </c>
      <c r="C10937" s="0" t="n">
        <v>3445632</v>
      </c>
      <c r="D10937" s="0" t="s">
        <v>36314</v>
      </c>
      <c r="E10937" s="0" t="s">
        <v>75</v>
      </c>
      <c r="F10937" s="0" t="s">
        <v>15</v>
      </c>
      <c r="G10937" s="0" t="s">
        <v>36</v>
      </c>
      <c r="H10937" s="0" t="n">
        <v>0</v>
      </c>
      <c r="I10937" s="0" t="s">
        <v>36315</v>
      </c>
      <c r="J10937" s="0" t="s">
        <v>36316</v>
      </c>
      <c r="K10937" s="0" t="s">
        <v>36317</v>
      </c>
      <c r="L10937" s="0" t="str">
        <f aca="false">HYPERLINK("https://www.ncbi.nlm.nih.gov/nuccore/CP000058.1?report=graph&amp;tracks=[key:gene_model_track,Options:GeneOnly]&amp;mk=3445613:3445632|offset_0|00cc00,3445660:3445679|offset_47|444444,3445685:3445704|offset_72|444444,3445709:3445728|offset_96|444444&amp;v=3445412:3445928&amp;c=444444", "offset 0")</f>
        <v>offset 0</v>
      </c>
    </row>
    <row r="10938" customFormat="false" ht="12.8" hidden="false" customHeight="false" outlineLevel="0" collapsed="false">
      <c r="A10938" s="0" t="s">
        <v>12</v>
      </c>
      <c r="B10938" s="0" t="n">
        <v>3445659</v>
      </c>
      <c r="C10938" s="0" t="n">
        <v>3445679</v>
      </c>
      <c r="D10938" s="0" t="s">
        <v>36314</v>
      </c>
      <c r="E10938" s="0" t="s">
        <v>75</v>
      </c>
      <c r="F10938" s="0" t="s">
        <v>15</v>
      </c>
      <c r="G10938" s="0" t="s">
        <v>36</v>
      </c>
      <c r="H10938" s="0" t="n">
        <v>47</v>
      </c>
      <c r="I10938" s="0" t="s">
        <v>36318</v>
      </c>
      <c r="J10938" s="0" t="s">
        <v>36319</v>
      </c>
      <c r="K10938" s="0" t="s">
        <v>36320</v>
      </c>
      <c r="L10938" s="0" t="str">
        <f aca="false">HYPERLINK("https://www.ncbi.nlm.nih.gov/nuccore/CP000058.1?report=graph&amp;tracks=[key:gene_model_track,Options:GeneOnly]&amp;mk=3445613:3445632|offset_0|444444,3445660:3445679|offset_47|00cc00,3445685:3445704|offset_72|444444,3445709:3445728|offset_96|444444&amp;v=3445412:3445928&amp;c=444444", "offset 47")</f>
        <v>offset 47</v>
      </c>
    </row>
    <row r="10939" customFormat="false" ht="12.8" hidden="false" customHeight="false" outlineLevel="0" collapsed="false">
      <c r="A10939" s="0" t="s">
        <v>12</v>
      </c>
      <c r="B10939" s="0" t="n">
        <v>3445684</v>
      </c>
      <c r="C10939" s="0" t="n">
        <v>3445704</v>
      </c>
      <c r="D10939" s="0" t="s">
        <v>36314</v>
      </c>
      <c r="E10939" s="0" t="s">
        <v>75</v>
      </c>
      <c r="F10939" s="0" t="s">
        <v>15</v>
      </c>
      <c r="G10939" s="0" t="s">
        <v>32</v>
      </c>
      <c r="H10939" s="0" t="n">
        <v>72</v>
      </c>
      <c r="I10939" s="0" t="s">
        <v>36321</v>
      </c>
      <c r="J10939" s="0" t="s">
        <v>36322</v>
      </c>
      <c r="K10939" s="0" t="s">
        <v>36323</v>
      </c>
      <c r="L10939" s="0" t="str">
        <f aca="false">HYPERLINK("https://www.ncbi.nlm.nih.gov/nuccore/CP000058.1?report=graph&amp;tracks=[key:gene_model_track,Options:GeneOnly]&amp;mk=3445613:3445632|offset_0|444444,3445660:3445679|offset_47|444444,3445685:3445704|offset_72|00cc00,3445709:3445728|offset_96|444444&amp;v=3445412:3445928&amp;c=444444", "offset 72")</f>
        <v>offset 72</v>
      </c>
    </row>
    <row r="10940" customFormat="false" ht="12.8" hidden="false" customHeight="false" outlineLevel="0" collapsed="false">
      <c r="A10940" s="0" t="s">
        <v>12</v>
      </c>
      <c r="B10940" s="0" t="n">
        <v>3445708</v>
      </c>
      <c r="C10940" s="0" t="n">
        <v>3445728</v>
      </c>
      <c r="D10940" s="0" t="s">
        <v>36314</v>
      </c>
      <c r="E10940" s="0" t="s">
        <v>75</v>
      </c>
      <c r="F10940" s="0" t="s">
        <v>15</v>
      </c>
      <c r="G10940" s="0" t="s">
        <v>16</v>
      </c>
      <c r="H10940" s="0" t="n">
        <v>96</v>
      </c>
      <c r="I10940" s="0" t="s">
        <v>36324</v>
      </c>
      <c r="J10940" s="0" t="s">
        <v>36325</v>
      </c>
      <c r="K10940" s="0" t="s">
        <v>36326</v>
      </c>
      <c r="L10940" s="0" t="str">
        <f aca="false">HYPERLINK("https://www.ncbi.nlm.nih.gov/nuccore/CP000058.1?report=graph&amp;tracks=[key:gene_model_track,Options:GeneOnly]&amp;mk=3445613:3445632|offset_0|444444,3445660:3445679|offset_47|444444,3445685:3445704|offset_72|444444,3445709:3445728|offset_96|00cc00&amp;v=3445412:3445928&amp;c=444444", "offset 96")</f>
        <v>offset 96</v>
      </c>
    </row>
    <row r="10941" customFormat="false" ht="12.8" hidden="false" customHeight="false" outlineLevel="0" collapsed="false">
      <c r="A10941" s="0" t="s">
        <v>12</v>
      </c>
      <c r="B10941" s="0" t="n">
        <v>3446582</v>
      </c>
      <c r="C10941" s="0" t="n">
        <v>3446602</v>
      </c>
      <c r="D10941" s="0" t="s">
        <v>36327</v>
      </c>
      <c r="E10941" s="0" t="s">
        <v>75</v>
      </c>
      <c r="F10941" s="0" t="s">
        <v>15</v>
      </c>
      <c r="G10941" s="0" t="s">
        <v>36</v>
      </c>
      <c r="H10941" s="0" t="n">
        <v>0</v>
      </c>
      <c r="I10941" s="0" t="s">
        <v>36328</v>
      </c>
      <c r="J10941" s="0" t="s">
        <v>36329</v>
      </c>
      <c r="K10941" s="0" t="s">
        <v>36330</v>
      </c>
      <c r="L10941" s="0" t="str">
        <f aca="false">HYPERLINK("https://www.ncbi.nlm.nih.gov/nuccore/CP000058.1?report=graph&amp;tracks=[key:gene_model_track,Options:GeneOnly]&amp;mk=3446583:3446602|offset_0|00cc00,3446606:3446625|offset_23|444444,3446668:3446687|offset_85|444444,3446692:3446711|offset_109|444444&amp;v=3446382:3446911&amp;c=444444", "offset 0")</f>
        <v>offset 0</v>
      </c>
    </row>
    <row r="10942" customFormat="false" ht="12.8" hidden="false" customHeight="false" outlineLevel="0" collapsed="false">
      <c r="A10942" s="0" t="s">
        <v>12</v>
      </c>
      <c r="B10942" s="0" t="n">
        <v>3446605</v>
      </c>
      <c r="C10942" s="0" t="n">
        <v>3446625</v>
      </c>
      <c r="D10942" s="0" t="s">
        <v>36327</v>
      </c>
      <c r="E10942" s="0" t="s">
        <v>75</v>
      </c>
      <c r="F10942" s="0" t="s">
        <v>15</v>
      </c>
      <c r="G10942" s="0" t="s">
        <v>16</v>
      </c>
      <c r="H10942" s="0" t="n">
        <v>23</v>
      </c>
      <c r="I10942" s="0" t="s">
        <v>36331</v>
      </c>
      <c r="J10942" s="0" t="s">
        <v>36332</v>
      </c>
      <c r="K10942" s="0" t="s">
        <v>36333</v>
      </c>
      <c r="L10942" s="0" t="str">
        <f aca="false">HYPERLINK("https://www.ncbi.nlm.nih.gov/nuccore/CP000058.1?report=graph&amp;tracks=[key:gene_model_track,Options:GeneOnly]&amp;mk=3446583:3446602|offset_0|444444,3446606:3446625|offset_23|00cc00,3446668:3446687|offset_85|444444,3446692:3446711|offset_109|444444&amp;v=3446382:3446911&amp;c=444444", "offset 23")</f>
        <v>offset 23</v>
      </c>
    </row>
    <row r="10943" customFormat="false" ht="12.8" hidden="false" customHeight="false" outlineLevel="0" collapsed="false">
      <c r="A10943" s="0" t="s">
        <v>12</v>
      </c>
      <c r="B10943" s="0" t="n">
        <v>3446667</v>
      </c>
      <c r="C10943" s="0" t="n">
        <v>3446687</v>
      </c>
      <c r="D10943" s="0" t="s">
        <v>36327</v>
      </c>
      <c r="E10943" s="0" t="s">
        <v>75</v>
      </c>
      <c r="F10943" s="0" t="s">
        <v>15</v>
      </c>
      <c r="G10943" s="0" t="s">
        <v>16</v>
      </c>
      <c r="H10943" s="0" t="n">
        <v>85</v>
      </c>
      <c r="I10943" s="0" t="s">
        <v>36334</v>
      </c>
      <c r="J10943" s="0" t="s">
        <v>36335</v>
      </c>
      <c r="K10943" s="0" t="s">
        <v>36336</v>
      </c>
      <c r="L10943" s="0" t="str">
        <f aca="false">HYPERLINK("https://www.ncbi.nlm.nih.gov/nuccore/CP000058.1?report=graph&amp;tracks=[key:gene_model_track,Options:GeneOnly]&amp;mk=3446583:3446602|offset_0|444444,3446606:3446625|offset_23|444444,3446668:3446687|offset_85|00cc00,3446692:3446711|offset_109|444444&amp;v=3446382:3446911&amp;c=444444", "offset 85")</f>
        <v>offset 85</v>
      </c>
    </row>
    <row r="10944" customFormat="false" ht="12.8" hidden="false" customHeight="false" outlineLevel="0" collapsed="false">
      <c r="A10944" s="0" t="s">
        <v>12</v>
      </c>
      <c r="B10944" s="0" t="n">
        <v>3446691</v>
      </c>
      <c r="C10944" s="0" t="n">
        <v>3446711</v>
      </c>
      <c r="D10944" s="0" t="s">
        <v>36327</v>
      </c>
      <c r="E10944" s="0" t="s">
        <v>75</v>
      </c>
      <c r="F10944" s="0" t="s">
        <v>15</v>
      </c>
      <c r="G10944" s="0" t="s">
        <v>36</v>
      </c>
      <c r="H10944" s="0" t="n">
        <v>109</v>
      </c>
      <c r="I10944" s="0" t="s">
        <v>36337</v>
      </c>
      <c r="J10944" s="0" t="s">
        <v>36338</v>
      </c>
      <c r="K10944" s="0" t="s">
        <v>36339</v>
      </c>
      <c r="L10944" s="0" t="str">
        <f aca="false">HYPERLINK("https://www.ncbi.nlm.nih.gov/nuccore/CP000058.1?report=graph&amp;tracks=[key:gene_model_track,Options:GeneOnly]&amp;mk=3446583:3446602|offset_0|444444,3446606:3446625|offset_23|444444,3446668:3446687|offset_85|444444,3446692:3446711|offset_109|00cc00&amp;v=3446382:3446911&amp;c=444444", "offset 109")</f>
        <v>offset 109</v>
      </c>
    </row>
    <row r="10945" customFormat="false" ht="12.8" hidden="false" customHeight="false" outlineLevel="0" collapsed="false">
      <c r="A10945" s="0" t="s">
        <v>12</v>
      </c>
      <c r="B10945" s="0" t="n">
        <v>3448657</v>
      </c>
      <c r="C10945" s="0" t="n">
        <v>3448677</v>
      </c>
      <c r="D10945" s="0" t="s">
        <v>36340</v>
      </c>
      <c r="E10945" s="0" t="s">
        <v>75</v>
      </c>
      <c r="F10945" s="0" t="s">
        <v>90</v>
      </c>
      <c r="G10945" s="0" t="s">
        <v>16</v>
      </c>
      <c r="H10945" s="0" t="n">
        <v>37</v>
      </c>
      <c r="I10945" s="0" t="s">
        <v>36341</v>
      </c>
      <c r="J10945" s="0" t="s">
        <v>36342</v>
      </c>
      <c r="K10945" s="0" t="s">
        <v>36343</v>
      </c>
      <c r="L10945" s="0" t="str">
        <f aca="false">HYPERLINK("https://www.ncbi.nlm.nih.gov/nuccore/CP000058.1?report=graph&amp;tracks=[key:gene_model_track,Options:GeneOnly]&amp;mk=3448658:3448677|offset_37|00cc00,3448629:3448648|offset_66|444444,3448608:3448627|offset_87|444444,3448574:3448593|offset_121|444444&amp;v=3448457:3448793&amp;c=444444", "offset 37")</f>
        <v>offset 37</v>
      </c>
    </row>
    <row r="10946" customFormat="false" ht="12.8" hidden="false" customHeight="false" outlineLevel="0" collapsed="false">
      <c r="A10946" s="0" t="s">
        <v>12</v>
      </c>
      <c r="B10946" s="0" t="n">
        <v>3448628</v>
      </c>
      <c r="C10946" s="0" t="n">
        <v>3448648</v>
      </c>
      <c r="D10946" s="0" t="s">
        <v>36340</v>
      </c>
      <c r="E10946" s="0" t="s">
        <v>75</v>
      </c>
      <c r="F10946" s="0" t="s">
        <v>90</v>
      </c>
      <c r="G10946" s="0" t="s">
        <v>20</v>
      </c>
      <c r="H10946" s="0" t="n">
        <v>66</v>
      </c>
      <c r="I10946" s="0" t="s">
        <v>36344</v>
      </c>
      <c r="J10946" s="0" t="s">
        <v>36345</v>
      </c>
      <c r="K10946" s="0" t="s">
        <v>36346</v>
      </c>
      <c r="L10946" s="0" t="str">
        <f aca="false">HYPERLINK("https://www.ncbi.nlm.nih.gov/nuccore/CP000058.1?report=graph&amp;tracks=[key:gene_model_track,Options:GeneOnly]&amp;mk=3448658:3448677|offset_37|444444,3448629:3448648|offset_66|00cc00,3448608:3448627|offset_87|444444,3448574:3448593|offset_121|444444&amp;v=3448457:3448793&amp;c=444444", "offset 66")</f>
        <v>offset 66</v>
      </c>
    </row>
    <row r="10947" customFormat="false" ht="12.8" hidden="false" customHeight="false" outlineLevel="0" collapsed="false">
      <c r="A10947" s="0" t="s">
        <v>12</v>
      </c>
      <c r="B10947" s="0" t="n">
        <v>3448607</v>
      </c>
      <c r="C10947" s="0" t="n">
        <v>3448627</v>
      </c>
      <c r="D10947" s="0" t="s">
        <v>36340</v>
      </c>
      <c r="E10947" s="0" t="s">
        <v>75</v>
      </c>
      <c r="F10947" s="0" t="s">
        <v>90</v>
      </c>
      <c r="G10947" s="0" t="s">
        <v>16</v>
      </c>
      <c r="H10947" s="0" t="n">
        <v>87</v>
      </c>
      <c r="I10947" s="0" t="s">
        <v>36347</v>
      </c>
      <c r="J10947" s="0" t="s">
        <v>36348</v>
      </c>
      <c r="K10947" s="0" t="s">
        <v>36349</v>
      </c>
      <c r="L10947" s="0" t="str">
        <f aca="false">HYPERLINK("https://www.ncbi.nlm.nih.gov/nuccore/CP000058.1?report=graph&amp;tracks=[key:gene_model_track,Options:GeneOnly]&amp;mk=3448658:3448677|offset_37|444444,3448629:3448648|offset_66|444444,3448608:3448627|offset_87|00cc00,3448574:3448593|offset_121|444444&amp;v=3448457:3448793&amp;c=444444", "offset 87")</f>
        <v>offset 87</v>
      </c>
    </row>
    <row r="10948" customFormat="false" ht="12.8" hidden="false" customHeight="false" outlineLevel="0" collapsed="false">
      <c r="A10948" s="0" t="s">
        <v>12</v>
      </c>
      <c r="B10948" s="0" t="n">
        <v>3448573</v>
      </c>
      <c r="C10948" s="0" t="n">
        <v>3448593</v>
      </c>
      <c r="D10948" s="0" t="s">
        <v>36340</v>
      </c>
      <c r="E10948" s="0" t="s">
        <v>75</v>
      </c>
      <c r="F10948" s="0" t="s">
        <v>90</v>
      </c>
      <c r="G10948" s="0" t="s">
        <v>20</v>
      </c>
      <c r="H10948" s="0" t="n">
        <v>121</v>
      </c>
      <c r="I10948" s="0" t="s">
        <v>36350</v>
      </c>
      <c r="J10948" s="0" t="s">
        <v>36351</v>
      </c>
      <c r="K10948" s="0" t="s">
        <v>36352</v>
      </c>
      <c r="L10948" s="0" t="str">
        <f aca="false">HYPERLINK("https://www.ncbi.nlm.nih.gov/nuccore/CP000058.1?report=graph&amp;tracks=[key:gene_model_track,Options:GeneOnly]&amp;mk=3448658:3448677|offset_37|444444,3448629:3448648|offset_66|444444,3448608:3448627|offset_87|444444,3448574:3448593|offset_121|00cc00&amp;v=3448457:3448793&amp;c=444444", "offset 121")</f>
        <v>offset 121</v>
      </c>
    </row>
    <row r="10949" customFormat="false" ht="12.8" hidden="false" customHeight="false" outlineLevel="0" collapsed="false">
      <c r="A10949" s="0" t="s">
        <v>12</v>
      </c>
      <c r="B10949" s="0" t="n">
        <v>3450840</v>
      </c>
      <c r="C10949" s="0" t="n">
        <v>3450860</v>
      </c>
      <c r="D10949" s="0" t="s">
        <v>36353</v>
      </c>
      <c r="E10949" s="0" t="s">
        <v>75</v>
      </c>
      <c r="F10949" s="0" t="s">
        <v>90</v>
      </c>
      <c r="G10949" s="0" t="s">
        <v>32</v>
      </c>
      <c r="H10949" s="0" t="n">
        <v>34</v>
      </c>
      <c r="I10949" s="0" t="s">
        <v>36354</v>
      </c>
      <c r="J10949" s="0" t="s">
        <v>36355</v>
      </c>
      <c r="K10949" s="0" t="s">
        <v>36356</v>
      </c>
      <c r="L10949" s="0" t="str">
        <f aca="false">HYPERLINK("https://www.ncbi.nlm.nih.gov/nuccore/CP000058.1?report=graph&amp;tracks=[key:gene_model_track,Options:GeneOnly]&amp;mk=3450841:3450860|offset_34|00cc00,3450816:3450835|offset_59|444444,3450795:3450814|offset_80|444444,3450775:3450794|offset_100|444444&amp;v=3450640:3450994&amp;c=444444", "offset 34")</f>
        <v>offset 34</v>
      </c>
    </row>
    <row r="10950" customFormat="false" ht="12.8" hidden="false" customHeight="false" outlineLevel="0" collapsed="false">
      <c r="A10950" s="0" t="s">
        <v>12</v>
      </c>
      <c r="B10950" s="0" t="n">
        <v>3450815</v>
      </c>
      <c r="C10950" s="0" t="n">
        <v>3450835</v>
      </c>
      <c r="D10950" s="0" t="s">
        <v>36353</v>
      </c>
      <c r="E10950" s="0" t="s">
        <v>75</v>
      </c>
      <c r="F10950" s="0" t="s">
        <v>90</v>
      </c>
      <c r="G10950" s="0" t="s">
        <v>16</v>
      </c>
      <c r="H10950" s="0" t="n">
        <v>59</v>
      </c>
      <c r="I10950" s="0" t="s">
        <v>36357</v>
      </c>
      <c r="J10950" s="0" t="s">
        <v>36358</v>
      </c>
      <c r="K10950" s="0" t="s">
        <v>36359</v>
      </c>
      <c r="L10950" s="0" t="str">
        <f aca="false">HYPERLINK("https://www.ncbi.nlm.nih.gov/nuccore/CP000058.1?report=graph&amp;tracks=[key:gene_model_track,Options:GeneOnly]&amp;mk=3450841:3450860|offset_34|444444,3450816:3450835|offset_59|00cc00,3450795:3450814|offset_80|444444,3450775:3450794|offset_100|444444&amp;v=3450640:3450994&amp;c=444444", "offset 59")</f>
        <v>offset 59</v>
      </c>
    </row>
    <row r="10951" customFormat="false" ht="12.8" hidden="false" customHeight="false" outlineLevel="0" collapsed="false">
      <c r="A10951" s="0" t="s">
        <v>12</v>
      </c>
      <c r="B10951" s="0" t="n">
        <v>3450794</v>
      </c>
      <c r="C10951" s="0" t="n">
        <v>3450814</v>
      </c>
      <c r="D10951" s="0" t="s">
        <v>36353</v>
      </c>
      <c r="E10951" s="0" t="s">
        <v>75</v>
      </c>
      <c r="F10951" s="0" t="s">
        <v>90</v>
      </c>
      <c r="G10951" s="0" t="s">
        <v>20</v>
      </c>
      <c r="H10951" s="0" t="n">
        <v>80</v>
      </c>
      <c r="I10951" s="0" t="s">
        <v>36360</v>
      </c>
      <c r="J10951" s="0" t="s">
        <v>36361</v>
      </c>
      <c r="K10951" s="0" t="s">
        <v>36362</v>
      </c>
      <c r="L10951" s="0" t="str">
        <f aca="false">HYPERLINK("https://www.ncbi.nlm.nih.gov/nuccore/CP000058.1?report=graph&amp;tracks=[key:gene_model_track,Options:GeneOnly]&amp;mk=3450841:3450860|offset_34|444444,3450816:3450835|offset_59|444444,3450795:3450814|offset_80|00cc00,3450775:3450794|offset_100|444444&amp;v=3450640:3450994&amp;c=444444", "offset 80")</f>
        <v>offset 80</v>
      </c>
    </row>
    <row r="10952" customFormat="false" ht="12.8" hidden="false" customHeight="false" outlineLevel="0" collapsed="false">
      <c r="A10952" s="0" t="s">
        <v>12</v>
      </c>
      <c r="B10952" s="0" t="n">
        <v>3450774</v>
      </c>
      <c r="C10952" s="0" t="n">
        <v>3450794</v>
      </c>
      <c r="D10952" s="0" t="s">
        <v>36353</v>
      </c>
      <c r="E10952" s="0" t="s">
        <v>75</v>
      </c>
      <c r="F10952" s="0" t="s">
        <v>90</v>
      </c>
      <c r="G10952" s="0" t="s">
        <v>32</v>
      </c>
      <c r="H10952" s="0" t="n">
        <v>100</v>
      </c>
      <c r="I10952" s="0" t="s">
        <v>36363</v>
      </c>
      <c r="J10952" s="0" t="s">
        <v>36364</v>
      </c>
      <c r="K10952" s="0" t="s">
        <v>36365</v>
      </c>
      <c r="L10952" s="0" t="str">
        <f aca="false">HYPERLINK("https://www.ncbi.nlm.nih.gov/nuccore/CP000058.1?report=graph&amp;tracks=[key:gene_model_track,Options:GeneOnly]&amp;mk=3450841:3450860|offset_34|444444,3450816:3450835|offset_59|444444,3450795:3450814|offset_80|444444,3450775:3450794|offset_100|00cc00&amp;v=3450640:3450994&amp;c=444444", "offset 100")</f>
        <v>offset 100</v>
      </c>
    </row>
    <row r="10953" customFormat="false" ht="12.8" hidden="false" customHeight="false" outlineLevel="0" collapsed="false">
      <c r="A10953" s="0" t="s">
        <v>12</v>
      </c>
      <c r="B10953" s="0" t="n">
        <v>3451711</v>
      </c>
      <c r="C10953" s="0" t="n">
        <v>3451731</v>
      </c>
      <c r="D10953" s="0" t="s">
        <v>36366</v>
      </c>
      <c r="E10953" s="0" t="s">
        <v>75</v>
      </c>
      <c r="F10953" s="0" t="s">
        <v>15</v>
      </c>
      <c r="G10953" s="0" t="s">
        <v>32</v>
      </c>
      <c r="H10953" s="0" t="n">
        <v>19</v>
      </c>
      <c r="I10953" s="0" t="s">
        <v>36367</v>
      </c>
      <c r="J10953" s="0" t="s">
        <v>36368</v>
      </c>
      <c r="K10953" s="0" t="s">
        <v>36369</v>
      </c>
      <c r="L10953" s="0" t="str">
        <f aca="false">HYPERLINK("https://www.ncbi.nlm.nih.gov/nuccore/CP000058.1?report=graph&amp;tracks=[key:gene_model_track,Options:GeneOnly]&amp;mk=3451712:3451731|offset_19|00cc00,3451734:3451753|offset_41|444444,3451756:3451775|offset_63|444444,3451798:3451817|offset_105|444444&amp;v=3451511:3452017&amp;c=444444", "offset 19")</f>
        <v>offset 19</v>
      </c>
    </row>
    <row r="10954" customFormat="false" ht="12.8" hidden="false" customHeight="false" outlineLevel="0" collapsed="false">
      <c r="A10954" s="0" t="s">
        <v>12</v>
      </c>
      <c r="B10954" s="0" t="n">
        <v>3451733</v>
      </c>
      <c r="C10954" s="0" t="n">
        <v>3451753</v>
      </c>
      <c r="D10954" s="0" t="s">
        <v>36366</v>
      </c>
      <c r="E10954" s="0" t="s">
        <v>75</v>
      </c>
      <c r="F10954" s="0" t="s">
        <v>15</v>
      </c>
      <c r="G10954" s="0" t="s">
        <v>20</v>
      </c>
      <c r="H10954" s="0" t="n">
        <v>41</v>
      </c>
      <c r="I10954" s="0" t="s">
        <v>36370</v>
      </c>
      <c r="J10954" s="0" t="s">
        <v>36371</v>
      </c>
      <c r="K10954" s="0" t="s">
        <v>36372</v>
      </c>
      <c r="L10954" s="0" t="str">
        <f aca="false">HYPERLINK("https://www.ncbi.nlm.nih.gov/nuccore/CP000058.1?report=graph&amp;tracks=[key:gene_model_track,Options:GeneOnly]&amp;mk=3451712:3451731|offset_19|444444,3451734:3451753|offset_41|00cc00,3451756:3451775|offset_63|444444,3451798:3451817|offset_105|444444&amp;v=3451511:3452017&amp;c=444444", "offset 41")</f>
        <v>offset 41</v>
      </c>
    </row>
    <row r="10955" customFormat="false" ht="12.8" hidden="false" customHeight="false" outlineLevel="0" collapsed="false">
      <c r="A10955" s="0" t="s">
        <v>12</v>
      </c>
      <c r="B10955" s="0" t="n">
        <v>3451755</v>
      </c>
      <c r="C10955" s="0" t="n">
        <v>3451775</v>
      </c>
      <c r="D10955" s="0" t="s">
        <v>36366</v>
      </c>
      <c r="E10955" s="0" t="s">
        <v>75</v>
      </c>
      <c r="F10955" s="0" t="s">
        <v>15</v>
      </c>
      <c r="G10955" s="0" t="s">
        <v>32</v>
      </c>
      <c r="H10955" s="0" t="n">
        <v>63</v>
      </c>
      <c r="I10955" s="0" t="s">
        <v>36373</v>
      </c>
      <c r="J10955" s="0" t="s">
        <v>36374</v>
      </c>
      <c r="K10955" s="0" t="s">
        <v>36375</v>
      </c>
      <c r="L10955" s="0" t="str">
        <f aca="false">HYPERLINK("https://www.ncbi.nlm.nih.gov/nuccore/CP000058.1?report=graph&amp;tracks=[key:gene_model_track,Options:GeneOnly]&amp;mk=3451712:3451731|offset_19|444444,3451734:3451753|offset_41|444444,3451756:3451775|offset_63|00cc00,3451798:3451817|offset_105|444444&amp;v=3451511:3452017&amp;c=444444", "offset 63")</f>
        <v>offset 63</v>
      </c>
    </row>
    <row r="10956" customFormat="false" ht="12.8" hidden="false" customHeight="false" outlineLevel="0" collapsed="false">
      <c r="A10956" s="0" t="s">
        <v>12</v>
      </c>
      <c r="B10956" s="0" t="n">
        <v>3451797</v>
      </c>
      <c r="C10956" s="0" t="n">
        <v>3451817</v>
      </c>
      <c r="D10956" s="0" t="s">
        <v>36366</v>
      </c>
      <c r="E10956" s="0" t="s">
        <v>75</v>
      </c>
      <c r="F10956" s="0" t="s">
        <v>15</v>
      </c>
      <c r="G10956" s="0" t="s">
        <v>16</v>
      </c>
      <c r="H10956" s="0" t="n">
        <v>105</v>
      </c>
      <c r="I10956" s="0" t="s">
        <v>36376</v>
      </c>
      <c r="J10956" s="0" t="s">
        <v>36377</v>
      </c>
      <c r="K10956" s="0" t="s">
        <v>36378</v>
      </c>
      <c r="L10956" s="0" t="str">
        <f aca="false">HYPERLINK("https://www.ncbi.nlm.nih.gov/nuccore/CP000058.1?report=graph&amp;tracks=[key:gene_model_track,Options:GeneOnly]&amp;mk=3451712:3451731|offset_19|444444,3451734:3451753|offset_41|444444,3451756:3451775|offset_63|444444,3451798:3451817|offset_105|00cc00&amp;v=3451511:3452017&amp;c=444444", "offset 105")</f>
        <v>offset 105</v>
      </c>
    </row>
    <row r="10957" customFormat="false" ht="12.8" hidden="false" customHeight="false" outlineLevel="0" collapsed="false">
      <c r="A10957" s="0" t="s">
        <v>12</v>
      </c>
      <c r="B10957" s="0" t="n">
        <v>3452020</v>
      </c>
      <c r="C10957" s="0" t="n">
        <v>3452040</v>
      </c>
      <c r="D10957" s="0" t="s">
        <v>36379</v>
      </c>
      <c r="E10957" s="0" t="s">
        <v>75</v>
      </c>
      <c r="F10957" s="0" t="s">
        <v>15</v>
      </c>
      <c r="G10957" s="0" t="s">
        <v>32</v>
      </c>
      <c r="H10957" s="0" t="n">
        <v>1</v>
      </c>
      <c r="I10957" s="0" t="s">
        <v>36380</v>
      </c>
      <c r="J10957" s="0" t="s">
        <v>36381</v>
      </c>
      <c r="K10957" s="0" t="s">
        <v>36382</v>
      </c>
      <c r="L10957" s="0" t="str">
        <f aca="false">HYPERLINK("https://www.ncbi.nlm.nih.gov/nuccore/CP000058.1?report=graph&amp;tracks=[key:gene_model_track,Options:GeneOnly]&amp;mk=3452021:3452040|offset_1|00cc00,3452061:3452080|offset_41|444444,3452094:3452113|offset_74|444444,3452117:3452136|offset_97|444444&amp;v=3451820:3452336&amp;c=444444", "offset 1")</f>
        <v>offset 1</v>
      </c>
    </row>
    <row r="10958" customFormat="false" ht="12.8" hidden="false" customHeight="false" outlineLevel="0" collapsed="false">
      <c r="A10958" s="0" t="s">
        <v>12</v>
      </c>
      <c r="B10958" s="0" t="n">
        <v>3452060</v>
      </c>
      <c r="C10958" s="0" t="n">
        <v>3452080</v>
      </c>
      <c r="D10958" s="0" t="s">
        <v>36379</v>
      </c>
      <c r="E10958" s="0" t="s">
        <v>75</v>
      </c>
      <c r="F10958" s="0" t="s">
        <v>15</v>
      </c>
      <c r="G10958" s="0" t="s">
        <v>32</v>
      </c>
      <c r="H10958" s="0" t="n">
        <v>41</v>
      </c>
      <c r="I10958" s="0" t="s">
        <v>36383</v>
      </c>
      <c r="J10958" s="0" t="s">
        <v>36384</v>
      </c>
      <c r="K10958" s="0" t="s">
        <v>36385</v>
      </c>
      <c r="L10958" s="0" t="str">
        <f aca="false">HYPERLINK("https://www.ncbi.nlm.nih.gov/nuccore/CP000058.1?report=graph&amp;tracks=[key:gene_model_track,Options:GeneOnly]&amp;mk=3452021:3452040|offset_1|444444,3452061:3452080|offset_41|00cc00,3452094:3452113|offset_74|444444,3452117:3452136|offset_97|444444&amp;v=3451820:3452336&amp;c=444444", "offset 41")</f>
        <v>offset 41</v>
      </c>
    </row>
    <row r="10959" customFormat="false" ht="12.8" hidden="false" customHeight="false" outlineLevel="0" collapsed="false">
      <c r="A10959" s="0" t="s">
        <v>12</v>
      </c>
      <c r="B10959" s="0" t="n">
        <v>3452093</v>
      </c>
      <c r="C10959" s="0" t="n">
        <v>3452113</v>
      </c>
      <c r="D10959" s="0" t="s">
        <v>36379</v>
      </c>
      <c r="E10959" s="0" t="s">
        <v>75</v>
      </c>
      <c r="F10959" s="0" t="s">
        <v>15</v>
      </c>
      <c r="G10959" s="0" t="s">
        <v>32</v>
      </c>
      <c r="H10959" s="0" t="n">
        <v>74</v>
      </c>
      <c r="I10959" s="0" t="s">
        <v>36386</v>
      </c>
      <c r="J10959" s="0" t="s">
        <v>36387</v>
      </c>
      <c r="K10959" s="0" t="s">
        <v>36388</v>
      </c>
      <c r="L10959" s="0" t="str">
        <f aca="false">HYPERLINK("https://www.ncbi.nlm.nih.gov/nuccore/CP000058.1?report=graph&amp;tracks=[key:gene_model_track,Options:GeneOnly]&amp;mk=3452021:3452040|offset_1|444444,3452061:3452080|offset_41|444444,3452094:3452113|offset_74|00cc00,3452117:3452136|offset_97|444444&amp;v=3451820:3452336&amp;c=444444", "offset 74")</f>
        <v>offset 74</v>
      </c>
    </row>
    <row r="10960" customFormat="false" ht="12.8" hidden="false" customHeight="false" outlineLevel="0" collapsed="false">
      <c r="A10960" s="0" t="s">
        <v>12</v>
      </c>
      <c r="B10960" s="0" t="n">
        <v>3452116</v>
      </c>
      <c r="C10960" s="0" t="n">
        <v>3452136</v>
      </c>
      <c r="D10960" s="0" t="s">
        <v>36379</v>
      </c>
      <c r="E10960" s="0" t="s">
        <v>75</v>
      </c>
      <c r="F10960" s="0" t="s">
        <v>15</v>
      </c>
      <c r="G10960" s="0" t="s">
        <v>32</v>
      </c>
      <c r="H10960" s="0" t="n">
        <v>97</v>
      </c>
      <c r="I10960" s="0" t="s">
        <v>36389</v>
      </c>
      <c r="J10960" s="0" t="s">
        <v>36390</v>
      </c>
      <c r="K10960" s="0" t="s">
        <v>36391</v>
      </c>
      <c r="L10960" s="0" t="str">
        <f aca="false">HYPERLINK("https://www.ncbi.nlm.nih.gov/nuccore/CP000058.1?report=graph&amp;tracks=[key:gene_model_track,Options:GeneOnly]&amp;mk=3452021:3452040|offset_1|444444,3452061:3452080|offset_41|444444,3452094:3452113|offset_74|444444,3452117:3452136|offset_97|00cc00&amp;v=3451820:3452336&amp;c=444444", "offset 97")</f>
        <v>offset 97</v>
      </c>
    </row>
    <row r="10961" customFormat="false" ht="12.8" hidden="false" customHeight="false" outlineLevel="0" collapsed="false">
      <c r="A10961" s="0" t="s">
        <v>12</v>
      </c>
      <c r="B10961" s="0" t="n">
        <v>3453384</v>
      </c>
      <c r="C10961" s="0" t="n">
        <v>3453404</v>
      </c>
      <c r="D10961" s="0" t="s">
        <v>36392</v>
      </c>
      <c r="E10961" s="0" t="s">
        <v>75</v>
      </c>
      <c r="F10961" s="0" t="s">
        <v>15</v>
      </c>
      <c r="G10961" s="0" t="s">
        <v>32</v>
      </c>
      <c r="H10961" s="0" t="n">
        <v>22</v>
      </c>
      <c r="I10961" s="0" t="s">
        <v>36393</v>
      </c>
      <c r="J10961" s="0" t="s">
        <v>36394</v>
      </c>
      <c r="K10961" s="0" t="s">
        <v>36395</v>
      </c>
      <c r="L10961" s="0" t="str">
        <f aca="false">HYPERLINK("https://www.ncbi.nlm.nih.gov/nuccore/CP000058.1?report=graph&amp;tracks=[key:gene_model_track,Options:GeneOnly]&amp;mk=3453385:3453404|offset_22|00cc00,3453439:3453458|offset_76|444444,3453492:3453511|offset_129|444444,3453521:3453540|offset_158|444444&amp;v=3453184:3453740&amp;c=444444", "offset 22")</f>
        <v>offset 22</v>
      </c>
    </row>
    <row r="10962" customFormat="false" ht="12.8" hidden="false" customHeight="false" outlineLevel="0" collapsed="false">
      <c r="A10962" s="0" t="s">
        <v>12</v>
      </c>
      <c r="B10962" s="0" t="n">
        <v>3453438</v>
      </c>
      <c r="C10962" s="0" t="n">
        <v>3453458</v>
      </c>
      <c r="D10962" s="0" t="s">
        <v>36392</v>
      </c>
      <c r="E10962" s="0" t="s">
        <v>75</v>
      </c>
      <c r="F10962" s="0" t="s">
        <v>15</v>
      </c>
      <c r="G10962" s="0" t="s">
        <v>36</v>
      </c>
      <c r="H10962" s="0" t="n">
        <v>76</v>
      </c>
      <c r="I10962" s="0" t="s">
        <v>36396</v>
      </c>
      <c r="J10962" s="0" t="s">
        <v>36397</v>
      </c>
      <c r="K10962" s="0" t="s">
        <v>36398</v>
      </c>
      <c r="L10962" s="0" t="str">
        <f aca="false">HYPERLINK("https://www.ncbi.nlm.nih.gov/nuccore/CP000058.1?report=graph&amp;tracks=[key:gene_model_track,Options:GeneOnly]&amp;mk=3453385:3453404|offset_22|444444,3453439:3453458|offset_76|00cc00,3453492:3453511|offset_129|444444,3453521:3453540|offset_158|444444&amp;v=3453184:3453740&amp;c=444444", "offset 76")</f>
        <v>offset 76</v>
      </c>
    </row>
    <row r="10963" customFormat="false" ht="12.8" hidden="false" customHeight="false" outlineLevel="0" collapsed="false">
      <c r="A10963" s="0" t="s">
        <v>12</v>
      </c>
      <c r="B10963" s="0" t="n">
        <v>3453491</v>
      </c>
      <c r="C10963" s="0" t="n">
        <v>3453511</v>
      </c>
      <c r="D10963" s="0" t="s">
        <v>36392</v>
      </c>
      <c r="E10963" s="0" t="s">
        <v>75</v>
      </c>
      <c r="F10963" s="0" t="s">
        <v>15</v>
      </c>
      <c r="G10963" s="0" t="s">
        <v>36</v>
      </c>
      <c r="H10963" s="0" t="n">
        <v>129</v>
      </c>
      <c r="I10963" s="0" t="s">
        <v>36399</v>
      </c>
      <c r="J10963" s="0" t="s">
        <v>36400</v>
      </c>
      <c r="K10963" s="0" t="s">
        <v>36401</v>
      </c>
      <c r="L10963" s="0" t="str">
        <f aca="false">HYPERLINK("https://www.ncbi.nlm.nih.gov/nuccore/CP000058.1?report=graph&amp;tracks=[key:gene_model_track,Options:GeneOnly]&amp;mk=3453385:3453404|offset_22|444444,3453439:3453458|offset_76|444444,3453492:3453511|offset_129|00cc00,3453521:3453540|offset_158|444444&amp;v=3453184:3453740&amp;c=444444", "offset 129")</f>
        <v>offset 129</v>
      </c>
    </row>
    <row r="10964" customFormat="false" ht="12.8" hidden="false" customHeight="false" outlineLevel="0" collapsed="false">
      <c r="A10964" s="0" t="s">
        <v>12</v>
      </c>
      <c r="B10964" s="0" t="n">
        <v>3453520</v>
      </c>
      <c r="C10964" s="0" t="n">
        <v>3453540</v>
      </c>
      <c r="D10964" s="0" t="s">
        <v>36392</v>
      </c>
      <c r="E10964" s="0" t="s">
        <v>75</v>
      </c>
      <c r="F10964" s="0" t="s">
        <v>15</v>
      </c>
      <c r="G10964" s="0" t="s">
        <v>36</v>
      </c>
      <c r="H10964" s="0" t="n">
        <v>158</v>
      </c>
      <c r="I10964" s="0" t="s">
        <v>36402</v>
      </c>
      <c r="J10964" s="0" t="s">
        <v>36403</v>
      </c>
      <c r="K10964" s="0" t="s">
        <v>36404</v>
      </c>
      <c r="L10964" s="0" t="str">
        <f aca="false">HYPERLINK("https://www.ncbi.nlm.nih.gov/nuccore/CP000058.1?report=graph&amp;tracks=[key:gene_model_track,Options:GeneOnly]&amp;mk=3453385:3453404|offset_22|444444,3453439:3453458|offset_76|444444,3453492:3453511|offset_129|444444,3453521:3453540|offset_158|00cc00&amp;v=3453184:3453740&amp;c=444444", "offset 158")</f>
        <v>offset 158</v>
      </c>
    </row>
    <row r="10965" customFormat="false" ht="12.8" hidden="false" customHeight="false" outlineLevel="0" collapsed="false">
      <c r="A10965" s="0" t="s">
        <v>12</v>
      </c>
      <c r="B10965" s="0" t="n">
        <v>3454399</v>
      </c>
      <c r="C10965" s="0" t="n">
        <v>3454419</v>
      </c>
      <c r="D10965" s="0" t="s">
        <v>36405</v>
      </c>
      <c r="E10965" s="0" t="s">
        <v>75</v>
      </c>
      <c r="F10965" s="0" t="s">
        <v>15</v>
      </c>
      <c r="G10965" s="0" t="s">
        <v>32</v>
      </c>
      <c r="H10965" s="0" t="n">
        <v>1</v>
      </c>
      <c r="I10965" s="0" t="s">
        <v>36406</v>
      </c>
      <c r="J10965" s="0" t="s">
        <v>36407</v>
      </c>
      <c r="K10965" s="0" t="s">
        <v>36408</v>
      </c>
      <c r="L10965" s="0" t="str">
        <f aca="false">HYPERLINK("https://www.ncbi.nlm.nih.gov/nuccore/CP000058.1?report=graph&amp;tracks=[key:gene_model_track,Options:GeneOnly]&amp;mk=3454400:3454419|offset_1|00cc00,3454429:3454448|offset_30|444444,3454491:3454510|offset_92|444444,3454527:3454546|offset_128|444444&amp;v=3454199:3454746&amp;c=444444", "offset 1")</f>
        <v>offset 1</v>
      </c>
    </row>
    <row r="10966" customFormat="false" ht="12.8" hidden="false" customHeight="false" outlineLevel="0" collapsed="false">
      <c r="A10966" s="0" t="s">
        <v>12</v>
      </c>
      <c r="B10966" s="0" t="n">
        <v>3454428</v>
      </c>
      <c r="C10966" s="0" t="n">
        <v>3454448</v>
      </c>
      <c r="D10966" s="0" t="s">
        <v>36405</v>
      </c>
      <c r="E10966" s="0" t="s">
        <v>75</v>
      </c>
      <c r="F10966" s="0" t="s">
        <v>15</v>
      </c>
      <c r="G10966" s="0" t="s">
        <v>20</v>
      </c>
      <c r="H10966" s="0" t="n">
        <v>30</v>
      </c>
      <c r="I10966" s="0" t="s">
        <v>36409</v>
      </c>
      <c r="J10966" s="0" t="s">
        <v>36410</v>
      </c>
      <c r="K10966" s="0" t="s">
        <v>36411</v>
      </c>
      <c r="L10966" s="0" t="str">
        <f aca="false">HYPERLINK("https://www.ncbi.nlm.nih.gov/nuccore/CP000058.1?report=graph&amp;tracks=[key:gene_model_track,Options:GeneOnly]&amp;mk=3454400:3454419|offset_1|444444,3454429:3454448|offset_30|00cc00,3454491:3454510|offset_92|444444,3454527:3454546|offset_128|444444&amp;v=3454199:3454746&amp;c=444444", "offset 30")</f>
        <v>offset 30</v>
      </c>
    </row>
    <row r="10967" customFormat="false" ht="12.8" hidden="false" customHeight="false" outlineLevel="0" collapsed="false">
      <c r="A10967" s="0" t="s">
        <v>12</v>
      </c>
      <c r="B10967" s="0" t="n">
        <v>3454490</v>
      </c>
      <c r="C10967" s="0" t="n">
        <v>3454510</v>
      </c>
      <c r="D10967" s="0" t="s">
        <v>36405</v>
      </c>
      <c r="E10967" s="0" t="s">
        <v>75</v>
      </c>
      <c r="F10967" s="0" t="s">
        <v>15</v>
      </c>
      <c r="G10967" s="0" t="s">
        <v>36</v>
      </c>
      <c r="H10967" s="0" t="n">
        <v>92</v>
      </c>
      <c r="I10967" s="0" t="s">
        <v>36412</v>
      </c>
      <c r="J10967" s="0" t="s">
        <v>36413</v>
      </c>
      <c r="K10967" s="0" t="s">
        <v>36414</v>
      </c>
      <c r="L10967" s="0" t="str">
        <f aca="false">HYPERLINK("https://www.ncbi.nlm.nih.gov/nuccore/CP000058.1?report=graph&amp;tracks=[key:gene_model_track,Options:GeneOnly]&amp;mk=3454400:3454419|offset_1|444444,3454429:3454448|offset_30|444444,3454491:3454510|offset_92|00cc00,3454527:3454546|offset_128|444444&amp;v=3454199:3454746&amp;c=444444", "offset 92")</f>
        <v>offset 92</v>
      </c>
    </row>
    <row r="10968" customFormat="false" ht="12.8" hidden="false" customHeight="false" outlineLevel="0" collapsed="false">
      <c r="A10968" s="0" t="s">
        <v>12</v>
      </c>
      <c r="B10968" s="0" t="n">
        <v>3454526</v>
      </c>
      <c r="C10968" s="0" t="n">
        <v>3454546</v>
      </c>
      <c r="D10968" s="0" t="s">
        <v>36405</v>
      </c>
      <c r="E10968" s="0" t="s">
        <v>75</v>
      </c>
      <c r="F10968" s="0" t="s">
        <v>15</v>
      </c>
      <c r="G10968" s="0" t="s">
        <v>32</v>
      </c>
      <c r="H10968" s="0" t="n">
        <v>128</v>
      </c>
      <c r="I10968" s="0" t="s">
        <v>36415</v>
      </c>
      <c r="J10968" s="0" t="s">
        <v>36416</v>
      </c>
      <c r="K10968" s="0" t="s">
        <v>36417</v>
      </c>
      <c r="L10968" s="0" t="str">
        <f aca="false">HYPERLINK("https://www.ncbi.nlm.nih.gov/nuccore/CP000058.1?report=graph&amp;tracks=[key:gene_model_track,Options:GeneOnly]&amp;mk=3454400:3454419|offset_1|444444,3454429:3454448|offset_30|444444,3454491:3454510|offset_92|444444,3454527:3454546|offset_128|00cc00&amp;v=3454199:3454746&amp;c=444444", "offset 128")</f>
        <v>offset 128</v>
      </c>
    </row>
    <row r="10969" customFormat="false" ht="12.8" hidden="false" customHeight="false" outlineLevel="0" collapsed="false">
      <c r="A10969" s="0" t="s">
        <v>12</v>
      </c>
      <c r="B10969" s="0" t="n">
        <v>3456948</v>
      </c>
      <c r="C10969" s="0" t="n">
        <v>3456968</v>
      </c>
      <c r="D10969" s="0" t="s">
        <v>36418</v>
      </c>
      <c r="E10969" s="0" t="s">
        <v>75</v>
      </c>
      <c r="F10969" s="0" t="s">
        <v>90</v>
      </c>
      <c r="G10969" s="0" t="s">
        <v>32</v>
      </c>
      <c r="H10969" s="0" t="n">
        <v>1</v>
      </c>
      <c r="I10969" s="0" t="s">
        <v>36419</v>
      </c>
      <c r="J10969" s="0" t="s">
        <v>36420</v>
      </c>
      <c r="K10969" s="0" t="s">
        <v>36421</v>
      </c>
      <c r="L10969" s="0" t="str">
        <f aca="false">HYPERLINK("https://www.ncbi.nlm.nih.gov/nuccore/CP000058.1?report=graph&amp;tracks=[key:gene_model_track,Options:GeneOnly]&amp;mk=3456949:3456968|offset_1|00cc00,3456922:3456941|offset_28|444444,3456885:3456904|offset_65|444444,3456858:3456877|offset_92|444444&amp;v=3456748:3457077&amp;c=444444", "offset 1")</f>
        <v>offset 1</v>
      </c>
    </row>
    <row r="10970" customFormat="false" ht="12.8" hidden="false" customHeight="false" outlineLevel="0" collapsed="false">
      <c r="A10970" s="0" t="s">
        <v>12</v>
      </c>
      <c r="B10970" s="0" t="n">
        <v>3456921</v>
      </c>
      <c r="C10970" s="0" t="n">
        <v>3456941</v>
      </c>
      <c r="D10970" s="0" t="s">
        <v>36418</v>
      </c>
      <c r="E10970" s="0" t="s">
        <v>75</v>
      </c>
      <c r="F10970" s="0" t="s">
        <v>90</v>
      </c>
      <c r="G10970" s="0" t="s">
        <v>16</v>
      </c>
      <c r="H10970" s="0" t="n">
        <v>28</v>
      </c>
      <c r="I10970" s="0" t="s">
        <v>36422</v>
      </c>
      <c r="J10970" s="0" t="s">
        <v>36423</v>
      </c>
      <c r="K10970" s="0" t="s">
        <v>36424</v>
      </c>
      <c r="L10970" s="0" t="str">
        <f aca="false">HYPERLINK("https://www.ncbi.nlm.nih.gov/nuccore/CP000058.1?report=graph&amp;tracks=[key:gene_model_track,Options:GeneOnly]&amp;mk=3456949:3456968|offset_1|444444,3456922:3456941|offset_28|00cc00,3456885:3456904|offset_65|444444,3456858:3456877|offset_92|444444&amp;v=3456748:3457077&amp;c=444444", "offset 28")</f>
        <v>offset 28</v>
      </c>
    </row>
    <row r="10971" customFormat="false" ht="12.8" hidden="false" customHeight="false" outlineLevel="0" collapsed="false">
      <c r="A10971" s="0" t="s">
        <v>12</v>
      </c>
      <c r="B10971" s="0" t="n">
        <v>3456884</v>
      </c>
      <c r="C10971" s="0" t="n">
        <v>3456904</v>
      </c>
      <c r="D10971" s="0" t="s">
        <v>36418</v>
      </c>
      <c r="E10971" s="0" t="s">
        <v>75</v>
      </c>
      <c r="F10971" s="0" t="s">
        <v>90</v>
      </c>
      <c r="G10971" s="0" t="s">
        <v>20</v>
      </c>
      <c r="H10971" s="0" t="n">
        <v>65</v>
      </c>
      <c r="I10971" s="0" t="s">
        <v>36425</v>
      </c>
      <c r="J10971" s="0" t="s">
        <v>36426</v>
      </c>
      <c r="K10971" s="0" t="s">
        <v>36427</v>
      </c>
      <c r="L10971" s="0" t="str">
        <f aca="false">HYPERLINK("https://www.ncbi.nlm.nih.gov/nuccore/CP000058.1?report=graph&amp;tracks=[key:gene_model_track,Options:GeneOnly]&amp;mk=3456949:3456968|offset_1|444444,3456922:3456941|offset_28|444444,3456885:3456904|offset_65|00cc00,3456858:3456877|offset_92|444444&amp;v=3456748:3457077&amp;c=444444", "offset 65")</f>
        <v>offset 65</v>
      </c>
    </row>
    <row r="10972" customFormat="false" ht="12.8" hidden="false" customHeight="false" outlineLevel="0" collapsed="false">
      <c r="A10972" s="0" t="s">
        <v>12</v>
      </c>
      <c r="B10972" s="0" t="n">
        <v>3456857</v>
      </c>
      <c r="C10972" s="0" t="n">
        <v>3456877</v>
      </c>
      <c r="D10972" s="0" t="s">
        <v>36418</v>
      </c>
      <c r="E10972" s="0" t="s">
        <v>75</v>
      </c>
      <c r="F10972" s="0" t="s">
        <v>90</v>
      </c>
      <c r="G10972" s="0" t="s">
        <v>20</v>
      </c>
      <c r="H10972" s="0" t="n">
        <v>92</v>
      </c>
      <c r="I10972" s="0" t="s">
        <v>36428</v>
      </c>
      <c r="J10972" s="0" t="s">
        <v>36429</v>
      </c>
      <c r="K10972" s="0" t="s">
        <v>36430</v>
      </c>
      <c r="L10972" s="0" t="str">
        <f aca="false">HYPERLINK("https://www.ncbi.nlm.nih.gov/nuccore/CP000058.1?report=graph&amp;tracks=[key:gene_model_track,Options:GeneOnly]&amp;mk=3456949:3456968|offset_1|444444,3456922:3456941|offset_28|444444,3456885:3456904|offset_65|444444,3456858:3456877|offset_92|00cc00&amp;v=3456748:3457077&amp;c=444444", "offset 92")</f>
        <v>offset 92</v>
      </c>
    </row>
    <row r="10973" customFormat="false" ht="12.8" hidden="false" customHeight="false" outlineLevel="0" collapsed="false">
      <c r="A10973" s="0" t="s">
        <v>12</v>
      </c>
      <c r="B10973" s="0" t="n">
        <v>3457798</v>
      </c>
      <c r="C10973" s="0" t="n">
        <v>3457818</v>
      </c>
      <c r="D10973" s="0" t="s">
        <v>36431</v>
      </c>
      <c r="E10973" s="0" t="s">
        <v>75</v>
      </c>
      <c r="F10973" s="0" t="s">
        <v>90</v>
      </c>
      <c r="G10973" s="0" t="s">
        <v>36</v>
      </c>
      <c r="H10973" s="0" t="n">
        <v>7</v>
      </c>
      <c r="I10973" s="0" t="s">
        <v>36432</v>
      </c>
      <c r="J10973" s="0" t="s">
        <v>36433</v>
      </c>
      <c r="K10973" s="0" t="s">
        <v>36434</v>
      </c>
      <c r="L10973" s="0" t="str">
        <f aca="false">HYPERLINK("https://www.ncbi.nlm.nih.gov/nuccore/CP000058.1?report=graph&amp;tracks=[key:gene_model_track,Options:GeneOnly]&amp;mk=3457799:3457818|offset_7|00cc00,3457744:3457763|offset_62|444444,3457714:3457733|offset_92|444444,3457690:3457709|offset_116|444444&amp;v=3457598:3457909&amp;c=444444", "offset 7")</f>
        <v>offset 7</v>
      </c>
    </row>
    <row r="10974" customFormat="false" ht="12.8" hidden="false" customHeight="false" outlineLevel="0" collapsed="false">
      <c r="A10974" s="0" t="s">
        <v>12</v>
      </c>
      <c r="B10974" s="0" t="n">
        <v>3457743</v>
      </c>
      <c r="C10974" s="0" t="n">
        <v>3457763</v>
      </c>
      <c r="D10974" s="0" t="s">
        <v>36431</v>
      </c>
      <c r="E10974" s="0" t="s">
        <v>75</v>
      </c>
      <c r="F10974" s="0" t="s">
        <v>90</v>
      </c>
      <c r="G10974" s="0" t="s">
        <v>20</v>
      </c>
      <c r="H10974" s="0" t="n">
        <v>62</v>
      </c>
      <c r="I10974" s="0" t="s">
        <v>36435</v>
      </c>
      <c r="J10974" s="0" t="s">
        <v>36436</v>
      </c>
      <c r="K10974" s="0" t="s">
        <v>36437</v>
      </c>
      <c r="L10974" s="0" t="str">
        <f aca="false">HYPERLINK("https://www.ncbi.nlm.nih.gov/nuccore/CP000058.1?report=graph&amp;tracks=[key:gene_model_track,Options:GeneOnly]&amp;mk=3457799:3457818|offset_7|444444,3457744:3457763|offset_62|00cc00,3457714:3457733|offset_92|444444,3457690:3457709|offset_116|444444&amp;v=3457598:3457909&amp;c=444444", "offset 62")</f>
        <v>offset 62</v>
      </c>
    </row>
    <row r="10975" customFormat="false" ht="12.8" hidden="false" customHeight="false" outlineLevel="0" collapsed="false">
      <c r="A10975" s="0" t="s">
        <v>12</v>
      </c>
      <c r="B10975" s="0" t="n">
        <v>3457713</v>
      </c>
      <c r="C10975" s="0" t="n">
        <v>3457733</v>
      </c>
      <c r="D10975" s="0" t="s">
        <v>36431</v>
      </c>
      <c r="E10975" s="0" t="s">
        <v>75</v>
      </c>
      <c r="F10975" s="0" t="s">
        <v>90</v>
      </c>
      <c r="G10975" s="0" t="s">
        <v>36</v>
      </c>
      <c r="H10975" s="0" t="n">
        <v>92</v>
      </c>
      <c r="I10975" s="0" t="s">
        <v>36438</v>
      </c>
      <c r="J10975" s="0" t="s">
        <v>36439</v>
      </c>
      <c r="K10975" s="0" t="s">
        <v>36440</v>
      </c>
      <c r="L10975" s="0" t="str">
        <f aca="false">HYPERLINK("https://www.ncbi.nlm.nih.gov/nuccore/CP000058.1?report=graph&amp;tracks=[key:gene_model_track,Options:GeneOnly]&amp;mk=3457799:3457818|offset_7|444444,3457744:3457763|offset_62|444444,3457714:3457733|offset_92|00cc00,3457690:3457709|offset_116|444444&amp;v=3457598:3457909&amp;c=444444", "offset 92")</f>
        <v>offset 92</v>
      </c>
    </row>
    <row r="10976" customFormat="false" ht="12.8" hidden="false" customHeight="false" outlineLevel="0" collapsed="false">
      <c r="A10976" s="0" t="s">
        <v>12</v>
      </c>
      <c r="B10976" s="0" t="n">
        <v>3457689</v>
      </c>
      <c r="C10976" s="0" t="n">
        <v>3457709</v>
      </c>
      <c r="D10976" s="0" t="s">
        <v>36431</v>
      </c>
      <c r="E10976" s="0" t="s">
        <v>75</v>
      </c>
      <c r="F10976" s="0" t="s">
        <v>90</v>
      </c>
      <c r="G10976" s="0" t="s">
        <v>20</v>
      </c>
      <c r="H10976" s="0" t="n">
        <v>116</v>
      </c>
      <c r="I10976" s="0" t="s">
        <v>36441</v>
      </c>
      <c r="J10976" s="0" t="s">
        <v>36442</v>
      </c>
      <c r="K10976" s="0" t="s">
        <v>36443</v>
      </c>
      <c r="L10976" s="0" t="str">
        <f aca="false">HYPERLINK("https://www.ncbi.nlm.nih.gov/nuccore/CP000058.1?report=graph&amp;tracks=[key:gene_model_track,Options:GeneOnly]&amp;mk=3457799:3457818|offset_7|444444,3457744:3457763|offset_62|444444,3457714:3457733|offset_92|444444,3457690:3457709|offset_116|00cc00&amp;v=3457598:3457909&amp;c=444444", "offset 116")</f>
        <v>offset 116</v>
      </c>
    </row>
    <row r="10977" customFormat="false" ht="12.8" hidden="false" customHeight="false" outlineLevel="0" collapsed="false">
      <c r="A10977" s="0" t="s">
        <v>12</v>
      </c>
      <c r="B10977" s="0" t="n">
        <v>3458939</v>
      </c>
      <c r="C10977" s="0" t="n">
        <v>3458959</v>
      </c>
      <c r="D10977" s="0" t="s">
        <v>36444</v>
      </c>
      <c r="E10977" s="0" t="s">
        <v>75</v>
      </c>
      <c r="F10977" s="0" t="s">
        <v>90</v>
      </c>
      <c r="G10977" s="0" t="s">
        <v>36</v>
      </c>
      <c r="H10977" s="0" t="n">
        <v>11</v>
      </c>
      <c r="I10977" s="0" t="s">
        <v>36445</v>
      </c>
      <c r="J10977" s="0" t="s">
        <v>36446</v>
      </c>
      <c r="K10977" s="0" t="s">
        <v>36447</v>
      </c>
      <c r="L10977" s="0" t="str">
        <f aca="false">HYPERLINK("https://www.ncbi.nlm.nih.gov/nuccore/CP000058.1?report=graph&amp;tracks=[key:gene_model_track,Options:GeneOnly]&amp;mk=3458940:3458959|offset_11|00cc00,3458911:3458930|offset_40|444444,3458890:3458909|offset_61|444444,3458850:3458869|offset_101|444444&amp;v=3458739:3459069&amp;c=444444", "offset 11")</f>
        <v>offset 11</v>
      </c>
    </row>
    <row r="10978" customFormat="false" ht="12.8" hidden="false" customHeight="false" outlineLevel="0" collapsed="false">
      <c r="A10978" s="0" t="s">
        <v>12</v>
      </c>
      <c r="B10978" s="0" t="n">
        <v>3458910</v>
      </c>
      <c r="C10978" s="0" t="n">
        <v>3458930</v>
      </c>
      <c r="D10978" s="0" t="s">
        <v>36444</v>
      </c>
      <c r="E10978" s="0" t="s">
        <v>75</v>
      </c>
      <c r="F10978" s="0" t="s">
        <v>90</v>
      </c>
      <c r="G10978" s="0" t="s">
        <v>32</v>
      </c>
      <c r="H10978" s="0" t="n">
        <v>40</v>
      </c>
      <c r="I10978" s="0" t="s">
        <v>36448</v>
      </c>
      <c r="J10978" s="0" t="s">
        <v>36449</v>
      </c>
      <c r="K10978" s="0" t="s">
        <v>36450</v>
      </c>
      <c r="L10978" s="0" t="str">
        <f aca="false">HYPERLINK("https://www.ncbi.nlm.nih.gov/nuccore/CP000058.1?report=graph&amp;tracks=[key:gene_model_track,Options:GeneOnly]&amp;mk=3458940:3458959|offset_11|444444,3458911:3458930|offset_40|00cc00,3458890:3458909|offset_61|444444,3458850:3458869|offset_101|444444&amp;v=3458739:3459069&amp;c=444444", "offset 40")</f>
        <v>offset 40</v>
      </c>
    </row>
    <row r="10979" customFormat="false" ht="12.8" hidden="false" customHeight="false" outlineLevel="0" collapsed="false">
      <c r="A10979" s="0" t="s">
        <v>12</v>
      </c>
      <c r="B10979" s="0" t="n">
        <v>3458889</v>
      </c>
      <c r="C10979" s="0" t="n">
        <v>3458909</v>
      </c>
      <c r="D10979" s="0" t="s">
        <v>36444</v>
      </c>
      <c r="E10979" s="0" t="s">
        <v>75</v>
      </c>
      <c r="F10979" s="0" t="s">
        <v>90</v>
      </c>
      <c r="G10979" s="0" t="s">
        <v>16</v>
      </c>
      <c r="H10979" s="0" t="n">
        <v>61</v>
      </c>
      <c r="I10979" s="0" t="s">
        <v>36451</v>
      </c>
      <c r="J10979" s="0" t="s">
        <v>36452</v>
      </c>
      <c r="K10979" s="0" t="s">
        <v>36453</v>
      </c>
      <c r="L10979" s="0" t="str">
        <f aca="false">HYPERLINK("https://www.ncbi.nlm.nih.gov/nuccore/CP000058.1?report=graph&amp;tracks=[key:gene_model_track,Options:GeneOnly]&amp;mk=3458940:3458959|offset_11|444444,3458911:3458930|offset_40|444444,3458890:3458909|offset_61|00cc00,3458850:3458869|offset_101|444444&amp;v=3458739:3459069&amp;c=444444", "offset 61")</f>
        <v>offset 61</v>
      </c>
    </row>
    <row r="10980" customFormat="false" ht="12.8" hidden="false" customHeight="false" outlineLevel="0" collapsed="false">
      <c r="A10980" s="0" t="s">
        <v>12</v>
      </c>
      <c r="B10980" s="0" t="n">
        <v>3458849</v>
      </c>
      <c r="C10980" s="0" t="n">
        <v>3458869</v>
      </c>
      <c r="D10980" s="0" t="s">
        <v>36444</v>
      </c>
      <c r="E10980" s="0" t="s">
        <v>75</v>
      </c>
      <c r="F10980" s="0" t="s">
        <v>90</v>
      </c>
      <c r="G10980" s="0" t="s">
        <v>32</v>
      </c>
      <c r="H10980" s="0" t="n">
        <v>101</v>
      </c>
      <c r="I10980" s="0" t="s">
        <v>36454</v>
      </c>
      <c r="J10980" s="0" t="s">
        <v>36455</v>
      </c>
      <c r="K10980" s="0" t="s">
        <v>36456</v>
      </c>
      <c r="L10980" s="0" t="str">
        <f aca="false">HYPERLINK("https://www.ncbi.nlm.nih.gov/nuccore/CP000058.1?report=graph&amp;tracks=[key:gene_model_track,Options:GeneOnly]&amp;mk=3458940:3458959|offset_11|444444,3458911:3458930|offset_40|444444,3458890:3458909|offset_61|444444,3458850:3458869|offset_101|00cc00&amp;v=3458739:3459069&amp;c=444444", "offset 101")</f>
        <v>offset 101</v>
      </c>
    </row>
    <row r="10981" customFormat="false" ht="12.8" hidden="false" customHeight="false" outlineLevel="0" collapsed="false">
      <c r="A10981" s="0" t="s">
        <v>12</v>
      </c>
      <c r="B10981" s="0" t="n">
        <v>3460687</v>
      </c>
      <c r="C10981" s="0" t="n">
        <v>3460707</v>
      </c>
      <c r="D10981" s="0" t="s">
        <v>36457</v>
      </c>
      <c r="E10981" s="0" t="s">
        <v>75</v>
      </c>
      <c r="F10981" s="0" t="s">
        <v>15</v>
      </c>
      <c r="G10981" s="0" t="s">
        <v>16</v>
      </c>
      <c r="H10981" s="0" t="n">
        <v>42</v>
      </c>
      <c r="I10981" s="0" t="s">
        <v>36458</v>
      </c>
      <c r="J10981" s="0" t="s">
        <v>36459</v>
      </c>
      <c r="K10981" s="0" t="s">
        <v>36460</v>
      </c>
      <c r="L10981" s="0" t="str">
        <f aca="false">HYPERLINK("https://www.ncbi.nlm.nih.gov/nuccore/CP000058.1?report=graph&amp;tracks=[key:gene_model_track,Options:GeneOnly]&amp;mk=3460688:3460707|offset_42|00cc00,3460740:3460759|offset_94|444444,3460776:3460795|offset_130|444444,3460830:3460849|offset_184|444444&amp;v=3460487:3461049&amp;c=444444", "offset 42")</f>
        <v>offset 42</v>
      </c>
    </row>
    <row r="10982" customFormat="false" ht="12.8" hidden="false" customHeight="false" outlineLevel="0" collapsed="false">
      <c r="A10982" s="0" t="s">
        <v>12</v>
      </c>
      <c r="B10982" s="0" t="n">
        <v>3460739</v>
      </c>
      <c r="C10982" s="0" t="n">
        <v>3460759</v>
      </c>
      <c r="D10982" s="0" t="s">
        <v>36457</v>
      </c>
      <c r="E10982" s="0" t="s">
        <v>75</v>
      </c>
      <c r="F10982" s="0" t="s">
        <v>15</v>
      </c>
      <c r="G10982" s="0" t="s">
        <v>32</v>
      </c>
      <c r="H10982" s="0" t="n">
        <v>94</v>
      </c>
      <c r="I10982" s="0" t="s">
        <v>36461</v>
      </c>
      <c r="J10982" s="0" t="s">
        <v>36462</v>
      </c>
      <c r="K10982" s="0" t="s">
        <v>36463</v>
      </c>
      <c r="L10982" s="0" t="str">
        <f aca="false">HYPERLINK("https://www.ncbi.nlm.nih.gov/nuccore/CP000058.1?report=graph&amp;tracks=[key:gene_model_track,Options:GeneOnly]&amp;mk=3460688:3460707|offset_42|444444,3460740:3460759|offset_94|00cc00,3460776:3460795|offset_130|444444,3460830:3460849|offset_184|444444&amp;v=3460487:3461049&amp;c=444444", "offset 94")</f>
        <v>offset 94</v>
      </c>
    </row>
    <row r="10983" customFormat="false" ht="12.8" hidden="false" customHeight="false" outlineLevel="0" collapsed="false">
      <c r="A10983" s="0" t="s">
        <v>12</v>
      </c>
      <c r="B10983" s="0" t="n">
        <v>3460775</v>
      </c>
      <c r="C10983" s="0" t="n">
        <v>3460795</v>
      </c>
      <c r="D10983" s="0" t="s">
        <v>36457</v>
      </c>
      <c r="E10983" s="0" t="s">
        <v>75</v>
      </c>
      <c r="F10983" s="0" t="s">
        <v>15</v>
      </c>
      <c r="G10983" s="0" t="s">
        <v>36</v>
      </c>
      <c r="H10983" s="0" t="n">
        <v>130</v>
      </c>
      <c r="I10983" s="0" t="s">
        <v>36464</v>
      </c>
      <c r="J10983" s="0" t="s">
        <v>36465</v>
      </c>
      <c r="K10983" s="0" t="s">
        <v>36466</v>
      </c>
      <c r="L10983" s="0" t="str">
        <f aca="false">HYPERLINK("https://www.ncbi.nlm.nih.gov/nuccore/CP000058.1?report=graph&amp;tracks=[key:gene_model_track,Options:GeneOnly]&amp;mk=3460688:3460707|offset_42|444444,3460740:3460759|offset_94|444444,3460776:3460795|offset_130|00cc00,3460830:3460849|offset_184|444444&amp;v=3460487:3461049&amp;c=444444", "offset 130")</f>
        <v>offset 130</v>
      </c>
    </row>
    <row r="10984" customFormat="false" ht="12.8" hidden="false" customHeight="false" outlineLevel="0" collapsed="false">
      <c r="A10984" s="0" t="s">
        <v>12</v>
      </c>
      <c r="B10984" s="0" t="n">
        <v>3460829</v>
      </c>
      <c r="C10984" s="0" t="n">
        <v>3460849</v>
      </c>
      <c r="D10984" s="0" t="s">
        <v>36457</v>
      </c>
      <c r="E10984" s="0" t="s">
        <v>75</v>
      </c>
      <c r="F10984" s="0" t="s">
        <v>15</v>
      </c>
      <c r="G10984" s="0" t="s">
        <v>36</v>
      </c>
      <c r="H10984" s="0" t="n">
        <v>184</v>
      </c>
      <c r="I10984" s="0" t="s">
        <v>36467</v>
      </c>
      <c r="J10984" s="0" t="s">
        <v>36468</v>
      </c>
      <c r="K10984" s="0" t="s">
        <v>36469</v>
      </c>
      <c r="L10984" s="0" t="str">
        <f aca="false">HYPERLINK("https://www.ncbi.nlm.nih.gov/nuccore/CP000058.1?report=graph&amp;tracks=[key:gene_model_track,Options:GeneOnly]&amp;mk=3460688:3460707|offset_42|444444,3460740:3460759|offset_94|444444,3460776:3460795|offset_130|444444,3460830:3460849|offset_184|00cc00&amp;v=3460487:3461049&amp;c=444444", "offset 184")</f>
        <v>offset 184</v>
      </c>
    </row>
    <row r="10985" customFormat="false" ht="12.8" hidden="false" customHeight="false" outlineLevel="0" collapsed="false">
      <c r="A10985" s="0" t="s">
        <v>12</v>
      </c>
      <c r="B10985" s="0" t="n">
        <v>3462908</v>
      </c>
      <c r="C10985" s="0" t="n">
        <v>3462928</v>
      </c>
      <c r="D10985" s="0" t="s">
        <v>36470</v>
      </c>
      <c r="E10985" s="0" t="s">
        <v>75</v>
      </c>
      <c r="F10985" s="0" t="s">
        <v>90</v>
      </c>
      <c r="G10985" s="0" t="s">
        <v>16</v>
      </c>
      <c r="H10985" s="0" t="n">
        <v>26</v>
      </c>
      <c r="I10985" s="0" t="s">
        <v>36471</v>
      </c>
      <c r="J10985" s="0" t="s">
        <v>36472</v>
      </c>
      <c r="K10985" s="0" t="s">
        <v>36473</v>
      </c>
      <c r="L10985" s="0" t="str">
        <f aca="false">HYPERLINK("https://www.ncbi.nlm.nih.gov/nuccore/CP000058.1?report=graph&amp;tracks=[key:gene_model_track,Options:GeneOnly]&amp;mk=3462909:3462928|offset_26|00cc00,3462889:3462908|offset_46|444444,3462855:3462874|offset_80|444444,3462817:3462836|offset_118|444444&amp;v=3462708:3463036&amp;c=444444", "offset 26")</f>
        <v>offset 26</v>
      </c>
    </row>
    <row r="10986" customFormat="false" ht="12.8" hidden="false" customHeight="false" outlineLevel="0" collapsed="false">
      <c r="A10986" s="0" t="s">
        <v>12</v>
      </c>
      <c r="B10986" s="0" t="n">
        <v>3462888</v>
      </c>
      <c r="C10986" s="0" t="n">
        <v>3462908</v>
      </c>
      <c r="D10986" s="0" t="s">
        <v>36470</v>
      </c>
      <c r="E10986" s="0" t="s">
        <v>75</v>
      </c>
      <c r="F10986" s="0" t="s">
        <v>90</v>
      </c>
      <c r="G10986" s="0" t="s">
        <v>16</v>
      </c>
      <c r="H10986" s="0" t="n">
        <v>46</v>
      </c>
      <c r="I10986" s="0" t="s">
        <v>36474</v>
      </c>
      <c r="J10986" s="0" t="s">
        <v>36475</v>
      </c>
      <c r="K10986" s="0" t="s">
        <v>36476</v>
      </c>
      <c r="L10986" s="0" t="str">
        <f aca="false">HYPERLINK("https://www.ncbi.nlm.nih.gov/nuccore/CP000058.1?report=graph&amp;tracks=[key:gene_model_track,Options:GeneOnly]&amp;mk=3462909:3462928|offset_26|444444,3462889:3462908|offset_46|00cc00,3462855:3462874|offset_80|444444,3462817:3462836|offset_118|444444&amp;v=3462708:3463036&amp;c=444444", "offset 46")</f>
        <v>offset 46</v>
      </c>
    </row>
    <row r="10987" customFormat="false" ht="12.8" hidden="false" customHeight="false" outlineLevel="0" collapsed="false">
      <c r="A10987" s="0" t="s">
        <v>12</v>
      </c>
      <c r="B10987" s="0" t="n">
        <v>3462854</v>
      </c>
      <c r="C10987" s="0" t="n">
        <v>3462874</v>
      </c>
      <c r="D10987" s="0" t="s">
        <v>36470</v>
      </c>
      <c r="E10987" s="0" t="s">
        <v>75</v>
      </c>
      <c r="F10987" s="0" t="s">
        <v>90</v>
      </c>
      <c r="G10987" s="0" t="s">
        <v>20</v>
      </c>
      <c r="H10987" s="0" t="n">
        <v>80</v>
      </c>
      <c r="I10987" s="0" t="s">
        <v>36477</v>
      </c>
      <c r="J10987" s="0" t="s">
        <v>36478</v>
      </c>
      <c r="K10987" s="0" t="s">
        <v>36479</v>
      </c>
      <c r="L10987" s="0" t="str">
        <f aca="false">HYPERLINK("https://www.ncbi.nlm.nih.gov/nuccore/CP000058.1?report=graph&amp;tracks=[key:gene_model_track,Options:GeneOnly]&amp;mk=3462909:3462928|offset_26|444444,3462889:3462908|offset_46|444444,3462855:3462874|offset_80|00cc00,3462817:3462836|offset_118|444444&amp;v=3462708:3463036&amp;c=444444", "offset 80")</f>
        <v>offset 80</v>
      </c>
    </row>
    <row r="10988" customFormat="false" ht="12.8" hidden="false" customHeight="false" outlineLevel="0" collapsed="false">
      <c r="A10988" s="0" t="s">
        <v>12</v>
      </c>
      <c r="B10988" s="0" t="n">
        <v>3462816</v>
      </c>
      <c r="C10988" s="0" t="n">
        <v>3462836</v>
      </c>
      <c r="D10988" s="0" t="s">
        <v>36470</v>
      </c>
      <c r="E10988" s="0" t="s">
        <v>75</v>
      </c>
      <c r="F10988" s="0" t="s">
        <v>90</v>
      </c>
      <c r="G10988" s="0" t="s">
        <v>32</v>
      </c>
      <c r="H10988" s="0" t="n">
        <v>118</v>
      </c>
      <c r="I10988" s="0" t="s">
        <v>36480</v>
      </c>
      <c r="J10988" s="0" t="s">
        <v>36481</v>
      </c>
      <c r="K10988" s="0" t="s">
        <v>36482</v>
      </c>
      <c r="L10988" s="0" t="str">
        <f aca="false">HYPERLINK("https://www.ncbi.nlm.nih.gov/nuccore/CP000058.1?report=graph&amp;tracks=[key:gene_model_track,Options:GeneOnly]&amp;mk=3462909:3462928|offset_26|444444,3462889:3462908|offset_46|444444,3462855:3462874|offset_80|444444,3462817:3462836|offset_118|00cc00&amp;v=3462708:3463036&amp;c=444444", "offset 118")</f>
        <v>offset 118</v>
      </c>
    </row>
    <row r="10989" customFormat="false" ht="12.8" hidden="false" customHeight="false" outlineLevel="0" collapsed="false">
      <c r="A10989" s="0" t="s">
        <v>12</v>
      </c>
      <c r="B10989" s="0" t="n">
        <v>3463091</v>
      </c>
      <c r="C10989" s="0" t="n">
        <v>3463111</v>
      </c>
      <c r="D10989" s="0" t="s">
        <v>36483</v>
      </c>
      <c r="E10989" s="0" t="s">
        <v>75</v>
      </c>
      <c r="F10989" s="0" t="s">
        <v>90</v>
      </c>
      <c r="G10989" s="0" t="s">
        <v>32</v>
      </c>
      <c r="H10989" s="0" t="n">
        <v>22</v>
      </c>
      <c r="I10989" s="0" t="s">
        <v>36484</v>
      </c>
      <c r="J10989" s="0" t="s">
        <v>36485</v>
      </c>
      <c r="K10989" s="0" t="s">
        <v>36486</v>
      </c>
      <c r="L10989" s="0" t="str">
        <f aca="false">HYPERLINK("https://www.ncbi.nlm.nih.gov/nuccore/CP000058.1?report=graph&amp;tracks=[key:gene_model_track,Options:GeneOnly]&amp;mk=3463092:3463111|offset_22|00cc00,3463060:3463079|offset_54|444444,3463036:3463055|offset_78|444444&amp;v=3462891:3463255&amp;c=444444", "offset 22")</f>
        <v>offset 22</v>
      </c>
    </row>
    <row r="10990" customFormat="false" ht="12.8" hidden="false" customHeight="false" outlineLevel="0" collapsed="false">
      <c r="A10990" s="0" t="s">
        <v>12</v>
      </c>
      <c r="B10990" s="0" t="n">
        <v>3463059</v>
      </c>
      <c r="C10990" s="0" t="n">
        <v>3463079</v>
      </c>
      <c r="D10990" s="0" t="s">
        <v>36483</v>
      </c>
      <c r="E10990" s="0" t="s">
        <v>75</v>
      </c>
      <c r="F10990" s="0" t="s">
        <v>90</v>
      </c>
      <c r="G10990" s="0" t="s">
        <v>32</v>
      </c>
      <c r="H10990" s="0" t="n">
        <v>54</v>
      </c>
      <c r="I10990" s="0" t="s">
        <v>36487</v>
      </c>
      <c r="J10990" s="0" t="s">
        <v>36488</v>
      </c>
      <c r="K10990" s="0" t="s">
        <v>36489</v>
      </c>
      <c r="L10990" s="0" t="str">
        <f aca="false">HYPERLINK("https://www.ncbi.nlm.nih.gov/nuccore/CP000058.1?report=graph&amp;tracks=[key:gene_model_track,Options:GeneOnly]&amp;mk=3463092:3463111|offset_22|444444,3463060:3463079|offset_54|00cc00,3463036:3463055|offset_78|444444&amp;v=3462891:3463255&amp;c=444444", "offset 54")</f>
        <v>offset 54</v>
      </c>
    </row>
    <row r="10991" customFormat="false" ht="12.8" hidden="false" customHeight="false" outlineLevel="0" collapsed="false">
      <c r="A10991" s="0" t="s">
        <v>12</v>
      </c>
      <c r="B10991" s="0" t="n">
        <v>3463035</v>
      </c>
      <c r="C10991" s="0" t="n">
        <v>3463055</v>
      </c>
      <c r="D10991" s="0" t="s">
        <v>36483</v>
      </c>
      <c r="E10991" s="0" t="s">
        <v>75</v>
      </c>
      <c r="F10991" s="0" t="s">
        <v>90</v>
      </c>
      <c r="G10991" s="0" t="s">
        <v>16</v>
      </c>
      <c r="H10991" s="0" t="n">
        <v>78</v>
      </c>
      <c r="I10991" s="0" t="s">
        <v>36490</v>
      </c>
      <c r="J10991" s="0" t="s">
        <v>36491</v>
      </c>
      <c r="K10991" s="0" t="s">
        <v>36492</v>
      </c>
      <c r="L10991" s="0" t="str">
        <f aca="false">HYPERLINK("https://www.ncbi.nlm.nih.gov/nuccore/CP000058.1?report=graph&amp;tracks=[key:gene_model_track,Options:GeneOnly]&amp;mk=3463092:3463111|offset_22|444444,3463060:3463079|offset_54|444444,3463036:3463055|offset_78|00cc00&amp;v=3462891:3463255&amp;c=444444", "offset 78")</f>
        <v>offset 78</v>
      </c>
    </row>
    <row r="10992" customFormat="false" ht="12.8" hidden="false" customHeight="false" outlineLevel="0" collapsed="false">
      <c r="A10992" s="0" t="s">
        <v>12</v>
      </c>
      <c r="B10992" s="0" t="n">
        <v>3463527</v>
      </c>
      <c r="C10992" s="0" t="n">
        <v>3463547</v>
      </c>
      <c r="D10992" s="0" t="s">
        <v>36493</v>
      </c>
      <c r="E10992" s="0" t="s">
        <v>75</v>
      </c>
      <c r="F10992" s="0" t="s">
        <v>15</v>
      </c>
      <c r="G10992" s="0" t="s">
        <v>16</v>
      </c>
      <c r="H10992" s="0" t="n">
        <v>25</v>
      </c>
      <c r="I10992" s="0" t="s">
        <v>36494</v>
      </c>
      <c r="J10992" s="0" t="s">
        <v>36495</v>
      </c>
      <c r="K10992" s="0" t="s">
        <v>36496</v>
      </c>
      <c r="L10992" s="0" t="str">
        <f aca="false">HYPERLINK("https://www.ncbi.nlm.nih.gov/nuccore/CP000058.1?report=graph&amp;tracks=[key:gene_model_track,Options:GeneOnly]&amp;mk=3463528:3463547|offset_25|00cc00,3463566:3463585|offset_63|444444,3463588:3463607|offset_85|444444,3463609:3463628|offset_106|444444&amp;v=3463327:3463828&amp;c=444444", "offset 25")</f>
        <v>offset 25</v>
      </c>
    </row>
    <row r="10993" customFormat="false" ht="12.8" hidden="false" customHeight="false" outlineLevel="0" collapsed="false">
      <c r="A10993" s="0" t="s">
        <v>12</v>
      </c>
      <c r="B10993" s="0" t="n">
        <v>3463565</v>
      </c>
      <c r="C10993" s="0" t="n">
        <v>3463585</v>
      </c>
      <c r="D10993" s="0" t="s">
        <v>36493</v>
      </c>
      <c r="E10993" s="0" t="s">
        <v>75</v>
      </c>
      <c r="F10993" s="0" t="s">
        <v>15</v>
      </c>
      <c r="G10993" s="0" t="s">
        <v>32</v>
      </c>
      <c r="H10993" s="0" t="n">
        <v>63</v>
      </c>
      <c r="I10993" s="0" t="s">
        <v>36497</v>
      </c>
      <c r="J10993" s="0" t="s">
        <v>36498</v>
      </c>
      <c r="K10993" s="0" t="s">
        <v>36499</v>
      </c>
      <c r="L10993" s="0" t="str">
        <f aca="false">HYPERLINK("https://www.ncbi.nlm.nih.gov/nuccore/CP000058.1?report=graph&amp;tracks=[key:gene_model_track,Options:GeneOnly]&amp;mk=3463528:3463547|offset_25|444444,3463566:3463585|offset_63|00cc00,3463588:3463607|offset_85|444444,3463609:3463628|offset_106|444444&amp;v=3463327:3463828&amp;c=444444", "offset 63")</f>
        <v>offset 63</v>
      </c>
    </row>
    <row r="10994" customFormat="false" ht="12.8" hidden="false" customHeight="false" outlineLevel="0" collapsed="false">
      <c r="A10994" s="0" t="s">
        <v>12</v>
      </c>
      <c r="B10994" s="0" t="n">
        <v>3463587</v>
      </c>
      <c r="C10994" s="0" t="n">
        <v>3463607</v>
      </c>
      <c r="D10994" s="0" t="s">
        <v>36493</v>
      </c>
      <c r="E10994" s="0" t="s">
        <v>75</v>
      </c>
      <c r="F10994" s="0" t="s">
        <v>15</v>
      </c>
      <c r="G10994" s="0" t="s">
        <v>16</v>
      </c>
      <c r="H10994" s="0" t="n">
        <v>85</v>
      </c>
      <c r="I10994" s="0" t="s">
        <v>36500</v>
      </c>
      <c r="J10994" s="0" t="s">
        <v>36501</v>
      </c>
      <c r="K10994" s="0" t="s">
        <v>36502</v>
      </c>
      <c r="L10994" s="0" t="str">
        <f aca="false">HYPERLINK("https://www.ncbi.nlm.nih.gov/nuccore/CP000058.1?report=graph&amp;tracks=[key:gene_model_track,Options:GeneOnly]&amp;mk=3463528:3463547|offset_25|444444,3463566:3463585|offset_63|444444,3463588:3463607|offset_85|00cc00,3463609:3463628|offset_106|444444&amp;v=3463327:3463828&amp;c=444444", "offset 85")</f>
        <v>offset 85</v>
      </c>
    </row>
    <row r="10995" customFormat="false" ht="12.8" hidden="false" customHeight="false" outlineLevel="0" collapsed="false">
      <c r="A10995" s="0" t="s">
        <v>12</v>
      </c>
      <c r="B10995" s="0" t="n">
        <v>3463608</v>
      </c>
      <c r="C10995" s="0" t="n">
        <v>3463628</v>
      </c>
      <c r="D10995" s="0" t="s">
        <v>36493</v>
      </c>
      <c r="E10995" s="0" t="s">
        <v>75</v>
      </c>
      <c r="F10995" s="0" t="s">
        <v>15</v>
      </c>
      <c r="G10995" s="0" t="s">
        <v>20</v>
      </c>
      <c r="H10995" s="0" t="n">
        <v>106</v>
      </c>
      <c r="I10995" s="0" t="s">
        <v>36503</v>
      </c>
      <c r="J10995" s="0" t="s">
        <v>36504</v>
      </c>
      <c r="K10995" s="0" t="s">
        <v>36505</v>
      </c>
      <c r="L10995" s="0" t="str">
        <f aca="false">HYPERLINK("https://www.ncbi.nlm.nih.gov/nuccore/CP000058.1?report=graph&amp;tracks=[key:gene_model_track,Options:GeneOnly]&amp;mk=3463528:3463547|offset_25|444444,3463566:3463585|offset_63|444444,3463588:3463607|offset_85|444444,3463609:3463628|offset_106|00cc00&amp;v=3463327:3463828&amp;c=444444", "offset 106")</f>
        <v>offset 106</v>
      </c>
    </row>
    <row r="10996" customFormat="false" ht="12.8" hidden="false" customHeight="false" outlineLevel="0" collapsed="false">
      <c r="A10996" s="0" t="s">
        <v>12</v>
      </c>
      <c r="B10996" s="0" t="n">
        <v>3465333</v>
      </c>
      <c r="C10996" s="0" t="n">
        <v>3465353</v>
      </c>
      <c r="D10996" s="0" t="s">
        <v>36506</v>
      </c>
      <c r="E10996" s="0" t="s">
        <v>75</v>
      </c>
      <c r="F10996" s="0" t="s">
        <v>15</v>
      </c>
      <c r="G10996" s="0" t="s">
        <v>32</v>
      </c>
      <c r="H10996" s="0" t="n">
        <v>6</v>
      </c>
      <c r="I10996" s="0" t="s">
        <v>36507</v>
      </c>
      <c r="J10996" s="0" t="s">
        <v>36508</v>
      </c>
      <c r="K10996" s="0" t="s">
        <v>36509</v>
      </c>
      <c r="L10996" s="0" t="str">
        <f aca="false">HYPERLINK("https://www.ncbi.nlm.nih.gov/nuccore/CP000058.1?report=graph&amp;tracks=[key:gene_model_track,Options:GeneOnly]&amp;mk=3465334:3465353|offset_6|00cc00,3465358:3465377|offset_30|444444,3465385:3465404|offset_57|444444,3465417:3465436|offset_89|444444&amp;v=3465133:3465636&amp;c=444444", "offset 6")</f>
        <v>offset 6</v>
      </c>
    </row>
    <row r="10997" customFormat="false" ht="12.8" hidden="false" customHeight="false" outlineLevel="0" collapsed="false">
      <c r="A10997" s="0" t="s">
        <v>12</v>
      </c>
      <c r="B10997" s="0" t="n">
        <v>3465357</v>
      </c>
      <c r="C10997" s="0" t="n">
        <v>3465377</v>
      </c>
      <c r="D10997" s="0" t="s">
        <v>36506</v>
      </c>
      <c r="E10997" s="0" t="s">
        <v>75</v>
      </c>
      <c r="F10997" s="0" t="s">
        <v>15</v>
      </c>
      <c r="G10997" s="0" t="s">
        <v>36</v>
      </c>
      <c r="H10997" s="0" t="n">
        <v>30</v>
      </c>
      <c r="I10997" s="0" t="s">
        <v>36510</v>
      </c>
      <c r="J10997" s="0" t="s">
        <v>36511</v>
      </c>
      <c r="K10997" s="0" t="s">
        <v>36512</v>
      </c>
      <c r="L10997" s="0" t="str">
        <f aca="false">HYPERLINK("https://www.ncbi.nlm.nih.gov/nuccore/CP000058.1?report=graph&amp;tracks=[key:gene_model_track,Options:GeneOnly]&amp;mk=3465334:3465353|offset_6|444444,3465358:3465377|offset_30|00cc00,3465385:3465404|offset_57|444444,3465417:3465436|offset_89|444444&amp;v=3465133:3465636&amp;c=444444", "offset 30")</f>
        <v>offset 30</v>
      </c>
    </row>
    <row r="10998" customFormat="false" ht="12.8" hidden="false" customHeight="false" outlineLevel="0" collapsed="false">
      <c r="A10998" s="0" t="s">
        <v>12</v>
      </c>
      <c r="B10998" s="0" t="n">
        <v>3465384</v>
      </c>
      <c r="C10998" s="0" t="n">
        <v>3465404</v>
      </c>
      <c r="D10998" s="0" t="s">
        <v>36506</v>
      </c>
      <c r="E10998" s="0" t="s">
        <v>75</v>
      </c>
      <c r="F10998" s="0" t="s">
        <v>15</v>
      </c>
      <c r="G10998" s="0" t="s">
        <v>16</v>
      </c>
      <c r="H10998" s="0" t="n">
        <v>57</v>
      </c>
      <c r="I10998" s="0" t="s">
        <v>36513</v>
      </c>
      <c r="J10998" s="0" t="s">
        <v>36514</v>
      </c>
      <c r="K10998" s="0" t="s">
        <v>36515</v>
      </c>
      <c r="L10998" s="0" t="str">
        <f aca="false">HYPERLINK("https://www.ncbi.nlm.nih.gov/nuccore/CP000058.1?report=graph&amp;tracks=[key:gene_model_track,Options:GeneOnly]&amp;mk=3465334:3465353|offset_6|444444,3465358:3465377|offset_30|444444,3465385:3465404|offset_57|00cc00,3465417:3465436|offset_89|444444&amp;v=3465133:3465636&amp;c=444444", "offset 57")</f>
        <v>offset 57</v>
      </c>
    </row>
    <row r="10999" customFormat="false" ht="12.8" hidden="false" customHeight="false" outlineLevel="0" collapsed="false">
      <c r="A10999" s="0" t="s">
        <v>12</v>
      </c>
      <c r="B10999" s="0" t="n">
        <v>3465416</v>
      </c>
      <c r="C10999" s="0" t="n">
        <v>3465436</v>
      </c>
      <c r="D10999" s="0" t="s">
        <v>36506</v>
      </c>
      <c r="E10999" s="0" t="s">
        <v>75</v>
      </c>
      <c r="F10999" s="0" t="s">
        <v>15</v>
      </c>
      <c r="G10999" s="0" t="s">
        <v>32</v>
      </c>
      <c r="H10999" s="0" t="n">
        <v>89</v>
      </c>
      <c r="I10999" s="0" t="s">
        <v>36516</v>
      </c>
      <c r="J10999" s="0" t="s">
        <v>36517</v>
      </c>
      <c r="K10999" s="0" t="s">
        <v>36518</v>
      </c>
      <c r="L10999" s="0" t="str">
        <f aca="false">HYPERLINK("https://www.ncbi.nlm.nih.gov/nuccore/CP000058.1?report=graph&amp;tracks=[key:gene_model_track,Options:GeneOnly]&amp;mk=3465334:3465353|offset_6|444444,3465358:3465377|offset_30|444444,3465385:3465404|offset_57|444444,3465417:3465436|offset_89|00cc00&amp;v=3465133:3465636&amp;c=444444", "offset 89")</f>
        <v>offset 89</v>
      </c>
    </row>
    <row r="11000" customFormat="false" ht="12.8" hidden="false" customHeight="false" outlineLevel="0" collapsed="false">
      <c r="A11000" s="0" t="s">
        <v>12</v>
      </c>
      <c r="B11000" s="0" t="n">
        <v>3466191</v>
      </c>
      <c r="C11000" s="0" t="n">
        <v>3466211</v>
      </c>
      <c r="D11000" s="0" t="s">
        <v>36519</v>
      </c>
      <c r="E11000" s="0" t="s">
        <v>75</v>
      </c>
      <c r="F11000" s="0" t="s">
        <v>15</v>
      </c>
      <c r="G11000" s="0" t="s">
        <v>32</v>
      </c>
      <c r="H11000" s="0" t="n">
        <v>19</v>
      </c>
      <c r="I11000" s="0" t="s">
        <v>36520</v>
      </c>
      <c r="J11000" s="0" t="s">
        <v>36521</v>
      </c>
      <c r="K11000" s="0" t="s">
        <v>36522</v>
      </c>
      <c r="L11000" s="0" t="str">
        <f aca="false">HYPERLINK("https://www.ncbi.nlm.nih.gov/nuccore/CP000058.1?report=graph&amp;tracks=[key:gene_model_track,Options:GeneOnly]&amp;mk=3466192:3466211|offset_19|00cc00,3466257:3466276|offset_84|444444,3466319:3466338|offset_146|444444,3466340:3466359|offset_167|444444&amp;v=3465991:3466559&amp;c=444444", "offset 19")</f>
        <v>offset 19</v>
      </c>
    </row>
    <row r="11001" customFormat="false" ht="12.8" hidden="false" customHeight="false" outlineLevel="0" collapsed="false">
      <c r="A11001" s="0" t="s">
        <v>12</v>
      </c>
      <c r="B11001" s="0" t="n">
        <v>3466256</v>
      </c>
      <c r="C11001" s="0" t="n">
        <v>3466276</v>
      </c>
      <c r="D11001" s="0" t="s">
        <v>36519</v>
      </c>
      <c r="E11001" s="0" t="s">
        <v>75</v>
      </c>
      <c r="F11001" s="0" t="s">
        <v>15</v>
      </c>
      <c r="G11001" s="0" t="s">
        <v>36</v>
      </c>
      <c r="H11001" s="0" t="n">
        <v>84</v>
      </c>
      <c r="I11001" s="0" t="s">
        <v>36523</v>
      </c>
      <c r="J11001" s="0" t="s">
        <v>36524</v>
      </c>
      <c r="K11001" s="0" t="s">
        <v>36525</v>
      </c>
      <c r="L11001" s="0" t="str">
        <f aca="false">HYPERLINK("https://www.ncbi.nlm.nih.gov/nuccore/CP000058.1?report=graph&amp;tracks=[key:gene_model_track,Options:GeneOnly]&amp;mk=3466192:3466211|offset_19|444444,3466257:3466276|offset_84|00cc00,3466319:3466338|offset_146|444444,3466340:3466359|offset_167|444444&amp;v=3465991:3466559&amp;c=444444", "offset 84")</f>
        <v>offset 84</v>
      </c>
    </row>
    <row r="11002" customFormat="false" ht="12.8" hidden="false" customHeight="false" outlineLevel="0" collapsed="false">
      <c r="A11002" s="0" t="s">
        <v>12</v>
      </c>
      <c r="B11002" s="0" t="n">
        <v>3466318</v>
      </c>
      <c r="C11002" s="0" t="n">
        <v>3466338</v>
      </c>
      <c r="D11002" s="0" t="s">
        <v>36519</v>
      </c>
      <c r="E11002" s="0" t="s">
        <v>75</v>
      </c>
      <c r="F11002" s="0" t="s">
        <v>15</v>
      </c>
      <c r="G11002" s="0" t="s">
        <v>16</v>
      </c>
      <c r="H11002" s="0" t="n">
        <v>146</v>
      </c>
      <c r="I11002" s="0" t="s">
        <v>36526</v>
      </c>
      <c r="J11002" s="0" t="s">
        <v>36527</v>
      </c>
      <c r="K11002" s="0" t="s">
        <v>36528</v>
      </c>
      <c r="L11002" s="0" t="str">
        <f aca="false">HYPERLINK("https://www.ncbi.nlm.nih.gov/nuccore/CP000058.1?report=graph&amp;tracks=[key:gene_model_track,Options:GeneOnly]&amp;mk=3466192:3466211|offset_19|444444,3466257:3466276|offset_84|444444,3466319:3466338|offset_146|00cc00,3466340:3466359|offset_167|444444&amp;v=3465991:3466559&amp;c=444444", "offset 146")</f>
        <v>offset 146</v>
      </c>
    </row>
    <row r="11003" customFormat="false" ht="12.8" hidden="false" customHeight="false" outlineLevel="0" collapsed="false">
      <c r="A11003" s="0" t="s">
        <v>12</v>
      </c>
      <c r="B11003" s="0" t="n">
        <v>3466339</v>
      </c>
      <c r="C11003" s="0" t="n">
        <v>3466359</v>
      </c>
      <c r="D11003" s="0" t="s">
        <v>36519</v>
      </c>
      <c r="E11003" s="0" t="s">
        <v>75</v>
      </c>
      <c r="F11003" s="0" t="s">
        <v>15</v>
      </c>
      <c r="G11003" s="0" t="s">
        <v>36</v>
      </c>
      <c r="H11003" s="0" t="n">
        <v>167</v>
      </c>
      <c r="I11003" s="0" t="s">
        <v>36529</v>
      </c>
      <c r="J11003" s="0" t="s">
        <v>36530</v>
      </c>
      <c r="K11003" s="0" t="s">
        <v>36531</v>
      </c>
      <c r="L11003" s="0" t="str">
        <f aca="false">HYPERLINK("https://www.ncbi.nlm.nih.gov/nuccore/CP000058.1?report=graph&amp;tracks=[key:gene_model_track,Options:GeneOnly]&amp;mk=3466192:3466211|offset_19|444444,3466257:3466276|offset_84|444444,3466319:3466338|offset_146|444444,3466340:3466359|offset_167|00cc00&amp;v=3465991:3466559&amp;c=444444", "offset 167")</f>
        <v>offset 167</v>
      </c>
    </row>
    <row r="11004" customFormat="false" ht="12.8" hidden="false" customHeight="false" outlineLevel="0" collapsed="false">
      <c r="A11004" s="0" t="s">
        <v>12</v>
      </c>
      <c r="B11004" s="0" t="n">
        <v>3469217</v>
      </c>
      <c r="C11004" s="0" t="n">
        <v>3469237</v>
      </c>
      <c r="D11004" s="0" t="s">
        <v>36532</v>
      </c>
      <c r="E11004" s="0" t="s">
        <v>75</v>
      </c>
      <c r="F11004" s="0" t="s">
        <v>90</v>
      </c>
      <c r="G11004" s="0" t="s">
        <v>36</v>
      </c>
      <c r="H11004" s="0" t="n">
        <v>10</v>
      </c>
      <c r="I11004" s="0" t="s">
        <v>36533</v>
      </c>
      <c r="J11004" s="0" t="s">
        <v>36534</v>
      </c>
      <c r="K11004" s="0" t="s">
        <v>36535</v>
      </c>
      <c r="L11004" s="0" t="str">
        <f aca="false">HYPERLINK("https://www.ncbi.nlm.nih.gov/nuccore/CP000058.1?report=graph&amp;tracks=[key:gene_model_track,Options:GeneOnly]&amp;mk=3469218:3469237|offset_10|00cc00,3469198:3469217|offset_30|444444,3469171:3469190|offset_57|444444,3469146:3469165|offset_82|444444&amp;v=3469017:3469365&amp;c=444444", "offset 10")</f>
        <v>offset 10</v>
      </c>
    </row>
    <row r="11005" customFormat="false" ht="12.8" hidden="false" customHeight="false" outlineLevel="0" collapsed="false">
      <c r="A11005" s="0" t="s">
        <v>12</v>
      </c>
      <c r="B11005" s="0" t="n">
        <v>3469197</v>
      </c>
      <c r="C11005" s="0" t="n">
        <v>3469217</v>
      </c>
      <c r="D11005" s="0" t="s">
        <v>36532</v>
      </c>
      <c r="E11005" s="0" t="s">
        <v>75</v>
      </c>
      <c r="F11005" s="0" t="s">
        <v>90</v>
      </c>
      <c r="G11005" s="0" t="s">
        <v>16</v>
      </c>
      <c r="H11005" s="0" t="n">
        <v>30</v>
      </c>
      <c r="I11005" s="0" t="s">
        <v>36536</v>
      </c>
      <c r="J11005" s="0" t="s">
        <v>36537</v>
      </c>
      <c r="K11005" s="0" t="s">
        <v>36538</v>
      </c>
      <c r="L11005" s="0" t="str">
        <f aca="false">HYPERLINK("https://www.ncbi.nlm.nih.gov/nuccore/CP000058.1?report=graph&amp;tracks=[key:gene_model_track,Options:GeneOnly]&amp;mk=3469218:3469237|offset_10|444444,3469198:3469217|offset_30|00cc00,3469171:3469190|offset_57|444444,3469146:3469165|offset_82|444444&amp;v=3469017:3469365&amp;c=444444", "offset 30")</f>
        <v>offset 30</v>
      </c>
    </row>
    <row r="11006" customFormat="false" ht="12.8" hidden="false" customHeight="false" outlineLevel="0" collapsed="false">
      <c r="A11006" s="0" t="s">
        <v>12</v>
      </c>
      <c r="B11006" s="0" t="n">
        <v>3469170</v>
      </c>
      <c r="C11006" s="0" t="n">
        <v>3469190</v>
      </c>
      <c r="D11006" s="0" t="s">
        <v>36532</v>
      </c>
      <c r="E11006" s="0" t="s">
        <v>75</v>
      </c>
      <c r="F11006" s="0" t="s">
        <v>90</v>
      </c>
      <c r="G11006" s="0" t="s">
        <v>36</v>
      </c>
      <c r="H11006" s="0" t="n">
        <v>57</v>
      </c>
      <c r="I11006" s="0" t="s">
        <v>36539</v>
      </c>
      <c r="J11006" s="0" t="s">
        <v>36540</v>
      </c>
      <c r="K11006" s="0" t="s">
        <v>36541</v>
      </c>
      <c r="L11006" s="0" t="str">
        <f aca="false">HYPERLINK("https://www.ncbi.nlm.nih.gov/nuccore/CP000058.1?report=graph&amp;tracks=[key:gene_model_track,Options:GeneOnly]&amp;mk=3469218:3469237|offset_10|444444,3469198:3469217|offset_30|444444,3469171:3469190|offset_57|00cc00,3469146:3469165|offset_82|444444&amp;v=3469017:3469365&amp;c=444444", "offset 57")</f>
        <v>offset 57</v>
      </c>
    </row>
    <row r="11007" customFormat="false" ht="12.8" hidden="false" customHeight="false" outlineLevel="0" collapsed="false">
      <c r="A11007" s="0" t="s">
        <v>12</v>
      </c>
      <c r="B11007" s="0" t="n">
        <v>3469145</v>
      </c>
      <c r="C11007" s="0" t="n">
        <v>3469165</v>
      </c>
      <c r="D11007" s="0" t="s">
        <v>36532</v>
      </c>
      <c r="E11007" s="0" t="s">
        <v>75</v>
      </c>
      <c r="F11007" s="0" t="s">
        <v>90</v>
      </c>
      <c r="G11007" s="0" t="s">
        <v>16</v>
      </c>
      <c r="H11007" s="0" t="n">
        <v>82</v>
      </c>
      <c r="I11007" s="0" t="s">
        <v>36542</v>
      </c>
      <c r="J11007" s="0" t="s">
        <v>36543</v>
      </c>
      <c r="K11007" s="0" t="s">
        <v>36544</v>
      </c>
      <c r="L11007" s="0" t="str">
        <f aca="false">HYPERLINK("https://www.ncbi.nlm.nih.gov/nuccore/CP000058.1?report=graph&amp;tracks=[key:gene_model_track,Options:GeneOnly]&amp;mk=3469218:3469237|offset_10|444444,3469198:3469217|offset_30|444444,3469171:3469190|offset_57|444444,3469146:3469165|offset_82|00cc00&amp;v=3469017:3469365&amp;c=444444", "offset 82")</f>
        <v>offset 82</v>
      </c>
    </row>
    <row r="11008" customFormat="false" ht="12.8" hidden="false" customHeight="false" outlineLevel="0" collapsed="false">
      <c r="A11008" s="0" t="s">
        <v>12</v>
      </c>
      <c r="B11008" s="0" t="n">
        <v>3469655</v>
      </c>
      <c r="C11008" s="0" t="n">
        <v>3469675</v>
      </c>
      <c r="D11008" s="0" t="s">
        <v>36545</v>
      </c>
      <c r="E11008" s="0" t="s">
        <v>36546</v>
      </c>
      <c r="F11008" s="0" t="s">
        <v>90</v>
      </c>
      <c r="G11008" s="0" t="s">
        <v>32</v>
      </c>
      <c r="H11008" s="0" t="n">
        <v>15</v>
      </c>
      <c r="I11008" s="0" t="s">
        <v>36547</v>
      </c>
      <c r="J11008" s="0" t="s">
        <v>36548</v>
      </c>
      <c r="K11008" s="0" t="s">
        <v>36549</v>
      </c>
      <c r="L11008" s="0" t="str">
        <f aca="false">HYPERLINK("https://www.ncbi.nlm.nih.gov/nuccore/CP000058.1?report=graph&amp;tracks=[key:gene_model_track,Options:GeneOnly]&amp;mk=3469656:3469675|offset_15|00cc00,3469631:3469650|offset_40|444444,3469563:3469582|offset_108|444444,3469530:3469549|offset_141|444444&amp;v=3469455:3469749&amp;c=444444", "offset 15")</f>
        <v>offset 15</v>
      </c>
    </row>
    <row r="11009" customFormat="false" ht="12.8" hidden="false" customHeight="false" outlineLevel="0" collapsed="false">
      <c r="A11009" s="0" t="s">
        <v>12</v>
      </c>
      <c r="B11009" s="0" t="n">
        <v>3469630</v>
      </c>
      <c r="C11009" s="0" t="n">
        <v>3469650</v>
      </c>
      <c r="D11009" s="0" t="s">
        <v>36545</v>
      </c>
      <c r="E11009" s="0" t="s">
        <v>36546</v>
      </c>
      <c r="F11009" s="0" t="s">
        <v>90</v>
      </c>
      <c r="G11009" s="0" t="s">
        <v>16</v>
      </c>
      <c r="H11009" s="0" t="n">
        <v>40</v>
      </c>
      <c r="I11009" s="0" t="s">
        <v>36550</v>
      </c>
      <c r="J11009" s="0" t="s">
        <v>36551</v>
      </c>
      <c r="K11009" s="0" t="s">
        <v>36552</v>
      </c>
      <c r="L11009" s="0" t="str">
        <f aca="false">HYPERLINK("https://www.ncbi.nlm.nih.gov/nuccore/CP000058.1?report=graph&amp;tracks=[key:gene_model_track,Options:GeneOnly]&amp;mk=3469656:3469675|offset_15|444444,3469631:3469650|offset_40|00cc00,3469563:3469582|offset_108|444444,3469530:3469549|offset_141|444444&amp;v=3469455:3469749&amp;c=444444", "offset 40")</f>
        <v>offset 40</v>
      </c>
    </row>
    <row r="11010" customFormat="false" ht="12.8" hidden="false" customHeight="false" outlineLevel="0" collapsed="false">
      <c r="A11010" s="0" t="s">
        <v>12</v>
      </c>
      <c r="B11010" s="0" t="n">
        <v>3469562</v>
      </c>
      <c r="C11010" s="0" t="n">
        <v>3469582</v>
      </c>
      <c r="D11010" s="0" t="s">
        <v>36545</v>
      </c>
      <c r="E11010" s="0" t="s">
        <v>36546</v>
      </c>
      <c r="F11010" s="0" t="s">
        <v>90</v>
      </c>
      <c r="G11010" s="0" t="s">
        <v>16</v>
      </c>
      <c r="H11010" s="0" t="n">
        <v>108</v>
      </c>
      <c r="I11010" s="0" t="s">
        <v>36553</v>
      </c>
      <c r="J11010" s="0" t="s">
        <v>36554</v>
      </c>
      <c r="K11010" s="0" t="s">
        <v>36555</v>
      </c>
      <c r="L11010" s="0" t="str">
        <f aca="false">HYPERLINK("https://www.ncbi.nlm.nih.gov/nuccore/CP000058.1?report=graph&amp;tracks=[key:gene_model_track,Options:GeneOnly]&amp;mk=3469656:3469675|offset_15|444444,3469631:3469650|offset_40|444444,3469563:3469582|offset_108|00cc00,3469530:3469549|offset_141|444444&amp;v=3469455:3469749&amp;c=444444", "offset 108")</f>
        <v>offset 108</v>
      </c>
    </row>
    <row r="11011" customFormat="false" ht="12.8" hidden="false" customHeight="false" outlineLevel="0" collapsed="false">
      <c r="A11011" s="0" t="s">
        <v>12</v>
      </c>
      <c r="B11011" s="0" t="n">
        <v>3469529</v>
      </c>
      <c r="C11011" s="0" t="n">
        <v>3469549</v>
      </c>
      <c r="D11011" s="0" t="s">
        <v>36545</v>
      </c>
      <c r="E11011" s="0" t="s">
        <v>36546</v>
      </c>
      <c r="F11011" s="0" t="s">
        <v>90</v>
      </c>
      <c r="G11011" s="0" t="s">
        <v>36</v>
      </c>
      <c r="H11011" s="0" t="n">
        <v>141</v>
      </c>
      <c r="I11011" s="0" t="s">
        <v>36556</v>
      </c>
      <c r="J11011" s="0" t="s">
        <v>36557</v>
      </c>
      <c r="K11011" s="0" t="s">
        <v>36558</v>
      </c>
      <c r="L11011" s="0" t="str">
        <f aca="false">HYPERLINK("https://www.ncbi.nlm.nih.gov/nuccore/CP000058.1?report=graph&amp;tracks=[key:gene_model_track,Options:GeneOnly]&amp;mk=3469656:3469675|offset_15|444444,3469631:3469650|offset_40|444444,3469563:3469582|offset_108|444444,3469530:3469549|offset_141|00cc00&amp;v=3469455:3469749&amp;c=444444", "offset 141")</f>
        <v>offset 141</v>
      </c>
    </row>
    <row r="11012" customFormat="false" ht="12.8" hidden="false" customHeight="false" outlineLevel="0" collapsed="false">
      <c r="A11012" s="0" t="s">
        <v>12</v>
      </c>
      <c r="B11012" s="0" t="n">
        <v>3470380</v>
      </c>
      <c r="C11012" s="0" t="n">
        <v>3470400</v>
      </c>
      <c r="D11012" s="0" t="s">
        <v>36559</v>
      </c>
      <c r="E11012" s="0" t="s">
        <v>36560</v>
      </c>
      <c r="F11012" s="0" t="s">
        <v>90</v>
      </c>
      <c r="G11012" s="0" t="s">
        <v>32</v>
      </c>
      <c r="H11012" s="0" t="n">
        <v>10</v>
      </c>
      <c r="I11012" s="0" t="s">
        <v>36561</v>
      </c>
      <c r="J11012" s="0" t="s">
        <v>36562</v>
      </c>
      <c r="K11012" s="0" t="s">
        <v>36563</v>
      </c>
      <c r="L11012" s="0" t="str">
        <f aca="false">HYPERLINK("https://www.ncbi.nlm.nih.gov/nuccore/CP000058.1?report=graph&amp;tracks=[key:gene_model_track,Options:GeneOnly]&amp;mk=3470381:3470400|offset_10|00cc00,3470353:3470372|offset_38|444444,3470321:3470340|offset_70|444444,3470278:3470297|offset_113|444444&amp;v=3470180:3470497&amp;c=444444", "offset 10")</f>
        <v>offset 10</v>
      </c>
    </row>
    <row r="11013" customFormat="false" ht="12.8" hidden="false" customHeight="false" outlineLevel="0" collapsed="false">
      <c r="A11013" s="0" t="s">
        <v>12</v>
      </c>
      <c r="B11013" s="0" t="n">
        <v>3470352</v>
      </c>
      <c r="C11013" s="0" t="n">
        <v>3470372</v>
      </c>
      <c r="D11013" s="0" t="s">
        <v>36559</v>
      </c>
      <c r="E11013" s="0" t="s">
        <v>36560</v>
      </c>
      <c r="F11013" s="0" t="s">
        <v>90</v>
      </c>
      <c r="G11013" s="0" t="s">
        <v>20</v>
      </c>
      <c r="H11013" s="0" t="n">
        <v>38</v>
      </c>
      <c r="I11013" s="0" t="s">
        <v>36564</v>
      </c>
      <c r="J11013" s="0" t="s">
        <v>36565</v>
      </c>
      <c r="K11013" s="0" t="s">
        <v>36566</v>
      </c>
      <c r="L11013" s="0" t="str">
        <f aca="false">HYPERLINK("https://www.ncbi.nlm.nih.gov/nuccore/CP000058.1?report=graph&amp;tracks=[key:gene_model_track,Options:GeneOnly]&amp;mk=3470381:3470400|offset_10|444444,3470353:3470372|offset_38|00cc00,3470321:3470340|offset_70|444444,3470278:3470297|offset_113|444444&amp;v=3470180:3470497&amp;c=444444", "offset 38")</f>
        <v>offset 38</v>
      </c>
    </row>
    <row r="11014" customFormat="false" ht="12.8" hidden="false" customHeight="false" outlineLevel="0" collapsed="false">
      <c r="A11014" s="0" t="s">
        <v>12</v>
      </c>
      <c r="B11014" s="0" t="n">
        <v>3470320</v>
      </c>
      <c r="C11014" s="0" t="n">
        <v>3470340</v>
      </c>
      <c r="D11014" s="0" t="s">
        <v>36559</v>
      </c>
      <c r="E11014" s="0" t="s">
        <v>36560</v>
      </c>
      <c r="F11014" s="0" t="s">
        <v>90</v>
      </c>
      <c r="G11014" s="0" t="s">
        <v>16</v>
      </c>
      <c r="H11014" s="0" t="n">
        <v>70</v>
      </c>
      <c r="I11014" s="0" t="s">
        <v>36567</v>
      </c>
      <c r="J11014" s="0" t="s">
        <v>36568</v>
      </c>
      <c r="K11014" s="0" t="s">
        <v>36569</v>
      </c>
      <c r="L11014" s="0" t="str">
        <f aca="false">HYPERLINK("https://www.ncbi.nlm.nih.gov/nuccore/CP000058.1?report=graph&amp;tracks=[key:gene_model_track,Options:GeneOnly]&amp;mk=3470381:3470400|offset_10|444444,3470353:3470372|offset_38|444444,3470321:3470340|offset_70|00cc00,3470278:3470297|offset_113|444444&amp;v=3470180:3470497&amp;c=444444", "offset 70")</f>
        <v>offset 70</v>
      </c>
    </row>
    <row r="11015" customFormat="false" ht="12.8" hidden="false" customHeight="false" outlineLevel="0" collapsed="false">
      <c r="A11015" s="0" t="s">
        <v>12</v>
      </c>
      <c r="B11015" s="0" t="n">
        <v>3470277</v>
      </c>
      <c r="C11015" s="0" t="n">
        <v>3470297</v>
      </c>
      <c r="D11015" s="0" t="s">
        <v>36559</v>
      </c>
      <c r="E11015" s="0" t="s">
        <v>36560</v>
      </c>
      <c r="F11015" s="0" t="s">
        <v>90</v>
      </c>
      <c r="G11015" s="0" t="s">
        <v>20</v>
      </c>
      <c r="H11015" s="0" t="n">
        <v>113</v>
      </c>
      <c r="I11015" s="0" t="s">
        <v>36570</v>
      </c>
      <c r="J11015" s="0" t="s">
        <v>36571</v>
      </c>
      <c r="K11015" s="0" t="s">
        <v>36572</v>
      </c>
      <c r="L11015" s="0" t="str">
        <f aca="false">HYPERLINK("https://www.ncbi.nlm.nih.gov/nuccore/CP000058.1?report=graph&amp;tracks=[key:gene_model_track,Options:GeneOnly]&amp;mk=3470381:3470400|offset_10|444444,3470353:3470372|offset_38|444444,3470321:3470340|offset_70|444444,3470278:3470297|offset_113|00cc00&amp;v=3470180:3470497&amp;c=444444", "offset 113")</f>
        <v>offset 113</v>
      </c>
    </row>
    <row r="11016" customFormat="false" ht="12.8" hidden="false" customHeight="false" outlineLevel="0" collapsed="false">
      <c r="A11016" s="0" t="s">
        <v>12</v>
      </c>
      <c r="B11016" s="0" t="n">
        <v>3472353</v>
      </c>
      <c r="C11016" s="0" t="n">
        <v>3472373</v>
      </c>
      <c r="D11016" s="0" t="s">
        <v>36573</v>
      </c>
      <c r="E11016" s="0" t="s">
        <v>75</v>
      </c>
      <c r="F11016" s="0" t="s">
        <v>90</v>
      </c>
      <c r="G11016" s="0" t="s">
        <v>36</v>
      </c>
      <c r="H11016" s="0" t="n">
        <v>21</v>
      </c>
      <c r="I11016" s="0" t="s">
        <v>36574</v>
      </c>
      <c r="J11016" s="0" t="s">
        <v>36575</v>
      </c>
      <c r="K11016" s="0" t="s">
        <v>36576</v>
      </c>
      <c r="L11016" s="0" t="str">
        <f aca="false">HYPERLINK("https://www.ncbi.nlm.nih.gov/nuccore/CP000058.1?report=graph&amp;tracks=[key:gene_model_track,Options:GeneOnly]&amp;mk=3472354:3472373|offset_21|00cc00,3472314:3472333|offset_61|444444,3472294:3472313|offset_81|444444,3472222:3472241|offset_153|444444&amp;v=3472153:3472441&amp;c=444444", "offset 21")</f>
        <v>offset 21</v>
      </c>
    </row>
    <row r="11017" customFormat="false" ht="12.8" hidden="false" customHeight="false" outlineLevel="0" collapsed="false">
      <c r="A11017" s="0" t="s">
        <v>12</v>
      </c>
      <c r="B11017" s="0" t="n">
        <v>3472313</v>
      </c>
      <c r="C11017" s="0" t="n">
        <v>3472333</v>
      </c>
      <c r="D11017" s="0" t="s">
        <v>36573</v>
      </c>
      <c r="E11017" s="0" t="s">
        <v>75</v>
      </c>
      <c r="F11017" s="0" t="s">
        <v>90</v>
      </c>
      <c r="G11017" s="0" t="s">
        <v>16</v>
      </c>
      <c r="H11017" s="0" t="n">
        <v>61</v>
      </c>
      <c r="I11017" s="0" t="s">
        <v>36577</v>
      </c>
      <c r="J11017" s="0" t="s">
        <v>36578</v>
      </c>
      <c r="K11017" s="0" t="s">
        <v>36579</v>
      </c>
      <c r="L11017" s="0" t="str">
        <f aca="false">HYPERLINK("https://www.ncbi.nlm.nih.gov/nuccore/CP000058.1?report=graph&amp;tracks=[key:gene_model_track,Options:GeneOnly]&amp;mk=3472354:3472373|offset_21|444444,3472314:3472333|offset_61|00cc00,3472294:3472313|offset_81|444444,3472222:3472241|offset_153|444444&amp;v=3472153:3472441&amp;c=444444", "offset 61")</f>
        <v>offset 61</v>
      </c>
    </row>
    <row r="11018" customFormat="false" ht="12.8" hidden="false" customHeight="false" outlineLevel="0" collapsed="false">
      <c r="A11018" s="0" t="s">
        <v>12</v>
      </c>
      <c r="B11018" s="0" t="n">
        <v>3472293</v>
      </c>
      <c r="C11018" s="0" t="n">
        <v>3472313</v>
      </c>
      <c r="D11018" s="0" t="s">
        <v>36573</v>
      </c>
      <c r="E11018" s="0" t="s">
        <v>75</v>
      </c>
      <c r="F11018" s="0" t="s">
        <v>90</v>
      </c>
      <c r="G11018" s="0" t="s">
        <v>16</v>
      </c>
      <c r="H11018" s="0" t="n">
        <v>81</v>
      </c>
      <c r="I11018" s="0" t="s">
        <v>36580</v>
      </c>
      <c r="J11018" s="0" t="s">
        <v>36581</v>
      </c>
      <c r="K11018" s="0" t="s">
        <v>36582</v>
      </c>
      <c r="L11018" s="0" t="str">
        <f aca="false">HYPERLINK("https://www.ncbi.nlm.nih.gov/nuccore/CP000058.1?report=graph&amp;tracks=[key:gene_model_track,Options:GeneOnly]&amp;mk=3472354:3472373|offset_21|444444,3472314:3472333|offset_61|444444,3472294:3472313|offset_81|00cc00,3472222:3472241|offset_153|444444&amp;v=3472153:3472441&amp;c=444444", "offset 81")</f>
        <v>offset 81</v>
      </c>
    </row>
    <row r="11019" customFormat="false" ht="12.8" hidden="false" customHeight="false" outlineLevel="0" collapsed="false">
      <c r="A11019" s="0" t="s">
        <v>12</v>
      </c>
      <c r="B11019" s="0" t="n">
        <v>3472221</v>
      </c>
      <c r="C11019" s="0" t="n">
        <v>3472241</v>
      </c>
      <c r="D11019" s="0" t="s">
        <v>36573</v>
      </c>
      <c r="E11019" s="0" t="s">
        <v>75</v>
      </c>
      <c r="F11019" s="0" t="s">
        <v>90</v>
      </c>
      <c r="G11019" s="0" t="s">
        <v>16</v>
      </c>
      <c r="H11019" s="0" t="n">
        <v>153</v>
      </c>
      <c r="I11019" s="0" t="s">
        <v>36583</v>
      </c>
      <c r="J11019" s="0" t="s">
        <v>36584</v>
      </c>
      <c r="K11019" s="0" t="s">
        <v>36585</v>
      </c>
      <c r="L11019" s="0" t="str">
        <f aca="false">HYPERLINK("https://www.ncbi.nlm.nih.gov/nuccore/CP000058.1?report=graph&amp;tracks=[key:gene_model_track,Options:GeneOnly]&amp;mk=3472354:3472373|offset_21|444444,3472314:3472333|offset_61|444444,3472294:3472313|offset_81|444444,3472222:3472241|offset_153|00cc00&amp;v=3472153:3472441&amp;c=444444", "offset 153")</f>
        <v>offset 153</v>
      </c>
    </row>
    <row r="11020" customFormat="false" ht="12.8" hidden="false" customHeight="false" outlineLevel="0" collapsed="false">
      <c r="A11020" s="0" t="s">
        <v>12</v>
      </c>
      <c r="B11020" s="0" t="n">
        <v>3474864</v>
      </c>
      <c r="C11020" s="0" t="n">
        <v>3474884</v>
      </c>
      <c r="D11020" s="0" t="s">
        <v>36586</v>
      </c>
      <c r="E11020" s="0" t="s">
        <v>75</v>
      </c>
      <c r="F11020" s="0" t="s">
        <v>90</v>
      </c>
      <c r="G11020" s="0" t="s">
        <v>32</v>
      </c>
      <c r="H11020" s="0" t="n">
        <v>64</v>
      </c>
      <c r="I11020" s="0" t="s">
        <v>36587</v>
      </c>
      <c r="J11020" s="0" t="s">
        <v>36588</v>
      </c>
      <c r="K11020" s="0" t="s">
        <v>36589</v>
      </c>
      <c r="L11020" s="0" t="str">
        <f aca="false">HYPERLINK("https://www.ncbi.nlm.nih.gov/nuccore/CP000058.1?report=graph&amp;tracks=[key:gene_model_track,Options:GeneOnly]&amp;mk=3474865:3474884|offset_64|00cc00,3474838:3474857|offset_91|444444,3474757:3474776|offset_172|444444,3474730:3474749|offset_199|444444&amp;v=3474664:3474949&amp;c=444444", "offset 64")</f>
        <v>offset 64</v>
      </c>
    </row>
    <row r="11021" customFormat="false" ht="12.8" hidden="false" customHeight="false" outlineLevel="0" collapsed="false">
      <c r="A11021" s="0" t="s">
        <v>12</v>
      </c>
      <c r="B11021" s="0" t="n">
        <v>3474837</v>
      </c>
      <c r="C11021" s="0" t="n">
        <v>3474857</v>
      </c>
      <c r="D11021" s="0" t="s">
        <v>36586</v>
      </c>
      <c r="E11021" s="0" t="s">
        <v>75</v>
      </c>
      <c r="F11021" s="0" t="s">
        <v>90</v>
      </c>
      <c r="G11021" s="0" t="s">
        <v>16</v>
      </c>
      <c r="H11021" s="0" t="n">
        <v>91</v>
      </c>
      <c r="I11021" s="0" t="s">
        <v>36590</v>
      </c>
      <c r="J11021" s="0" t="s">
        <v>36591</v>
      </c>
      <c r="K11021" s="0" t="s">
        <v>36592</v>
      </c>
      <c r="L11021" s="0" t="str">
        <f aca="false">HYPERLINK("https://www.ncbi.nlm.nih.gov/nuccore/CP000058.1?report=graph&amp;tracks=[key:gene_model_track,Options:GeneOnly]&amp;mk=3474865:3474884|offset_64|444444,3474838:3474857|offset_91|00cc00,3474757:3474776|offset_172|444444,3474730:3474749|offset_199|444444&amp;v=3474664:3474949&amp;c=444444", "offset 91")</f>
        <v>offset 91</v>
      </c>
    </row>
    <row r="11022" customFormat="false" ht="12.8" hidden="false" customHeight="false" outlineLevel="0" collapsed="false">
      <c r="A11022" s="0" t="s">
        <v>12</v>
      </c>
      <c r="B11022" s="0" t="n">
        <v>3474756</v>
      </c>
      <c r="C11022" s="0" t="n">
        <v>3474776</v>
      </c>
      <c r="D11022" s="0" t="s">
        <v>36586</v>
      </c>
      <c r="E11022" s="0" t="s">
        <v>75</v>
      </c>
      <c r="F11022" s="0" t="s">
        <v>90</v>
      </c>
      <c r="G11022" s="0" t="s">
        <v>16</v>
      </c>
      <c r="H11022" s="0" t="n">
        <v>172</v>
      </c>
      <c r="I11022" s="0" t="s">
        <v>36593</v>
      </c>
      <c r="J11022" s="0" t="s">
        <v>36594</v>
      </c>
      <c r="K11022" s="0" t="s">
        <v>36595</v>
      </c>
      <c r="L11022" s="0" t="str">
        <f aca="false">HYPERLINK("https://www.ncbi.nlm.nih.gov/nuccore/CP000058.1?report=graph&amp;tracks=[key:gene_model_track,Options:GeneOnly]&amp;mk=3474865:3474884|offset_64|444444,3474838:3474857|offset_91|444444,3474757:3474776|offset_172|00cc00,3474730:3474749|offset_199|444444&amp;v=3474664:3474949&amp;c=444444", "offset 172")</f>
        <v>offset 172</v>
      </c>
    </row>
    <row r="11023" customFormat="false" ht="12.8" hidden="false" customHeight="false" outlineLevel="0" collapsed="false">
      <c r="A11023" s="0" t="s">
        <v>12</v>
      </c>
      <c r="B11023" s="0" t="n">
        <v>3474729</v>
      </c>
      <c r="C11023" s="0" t="n">
        <v>3474749</v>
      </c>
      <c r="D11023" s="0" t="s">
        <v>36586</v>
      </c>
      <c r="E11023" s="0" t="s">
        <v>75</v>
      </c>
      <c r="F11023" s="0" t="s">
        <v>90</v>
      </c>
      <c r="G11023" s="0" t="s">
        <v>16</v>
      </c>
      <c r="H11023" s="0" t="n">
        <v>199</v>
      </c>
      <c r="I11023" s="0" t="s">
        <v>36596</v>
      </c>
      <c r="J11023" s="0" t="s">
        <v>36597</v>
      </c>
      <c r="K11023" s="0" t="s">
        <v>36598</v>
      </c>
      <c r="L11023" s="0" t="str">
        <f aca="false">HYPERLINK("https://www.ncbi.nlm.nih.gov/nuccore/CP000058.1?report=graph&amp;tracks=[key:gene_model_track,Options:GeneOnly]&amp;mk=3474865:3474884|offset_64|444444,3474838:3474857|offset_91|444444,3474757:3474776|offset_172|444444,3474730:3474749|offset_199|00cc00&amp;v=3474664:3474949&amp;c=444444", "offset 199")</f>
        <v>offset 199</v>
      </c>
    </row>
    <row r="11024" customFormat="false" ht="12.8" hidden="false" customHeight="false" outlineLevel="0" collapsed="false">
      <c r="A11024" s="0" t="s">
        <v>12</v>
      </c>
      <c r="B11024" s="0" t="n">
        <v>3475488</v>
      </c>
      <c r="C11024" s="0" t="n">
        <v>3475508</v>
      </c>
      <c r="D11024" s="0" t="s">
        <v>36599</v>
      </c>
      <c r="E11024" s="0" t="s">
        <v>75</v>
      </c>
      <c r="F11024" s="0" t="s">
        <v>15</v>
      </c>
      <c r="G11024" s="0" t="s">
        <v>32</v>
      </c>
      <c r="H11024" s="0" t="n">
        <v>17</v>
      </c>
      <c r="I11024" s="0" t="s">
        <v>36600</v>
      </c>
      <c r="J11024" s="0" t="s">
        <v>36601</v>
      </c>
      <c r="K11024" s="0" t="s">
        <v>36602</v>
      </c>
      <c r="L11024" s="0" t="str">
        <f aca="false">HYPERLINK("https://www.ncbi.nlm.nih.gov/nuccore/CP000058.1?report=graph&amp;tracks=[key:gene_model_track,Options:GeneOnly]&amp;mk=3475489:3475508|offset_17|00cc00,3475530:3475549|offset_58|444444,3475663:3475682|offset_191|444444,3475683:3475702|offset_211|444444&amp;v=3475288:3475902&amp;c=444444", "offset 17")</f>
        <v>offset 17</v>
      </c>
    </row>
    <row r="11025" customFormat="false" ht="12.8" hidden="false" customHeight="false" outlineLevel="0" collapsed="false">
      <c r="A11025" s="0" t="s">
        <v>12</v>
      </c>
      <c r="B11025" s="0" t="n">
        <v>3475529</v>
      </c>
      <c r="C11025" s="0" t="n">
        <v>3475549</v>
      </c>
      <c r="D11025" s="0" t="s">
        <v>36599</v>
      </c>
      <c r="E11025" s="0" t="s">
        <v>75</v>
      </c>
      <c r="F11025" s="0" t="s">
        <v>15</v>
      </c>
      <c r="G11025" s="0" t="s">
        <v>32</v>
      </c>
      <c r="H11025" s="0" t="n">
        <v>58</v>
      </c>
      <c r="I11025" s="0" t="s">
        <v>36603</v>
      </c>
      <c r="J11025" s="0" t="s">
        <v>36604</v>
      </c>
      <c r="K11025" s="0" t="s">
        <v>36605</v>
      </c>
      <c r="L11025" s="0" t="str">
        <f aca="false">HYPERLINK("https://www.ncbi.nlm.nih.gov/nuccore/CP000058.1?report=graph&amp;tracks=[key:gene_model_track,Options:GeneOnly]&amp;mk=3475489:3475508|offset_17|444444,3475530:3475549|offset_58|00cc00,3475663:3475682|offset_191|444444,3475683:3475702|offset_211|444444&amp;v=3475288:3475902&amp;c=444444", "offset 58")</f>
        <v>offset 58</v>
      </c>
    </row>
    <row r="11026" customFormat="false" ht="12.8" hidden="false" customHeight="false" outlineLevel="0" collapsed="false">
      <c r="A11026" s="0" t="s">
        <v>12</v>
      </c>
      <c r="B11026" s="0" t="n">
        <v>3475662</v>
      </c>
      <c r="C11026" s="0" t="n">
        <v>3475682</v>
      </c>
      <c r="D11026" s="0" t="s">
        <v>36599</v>
      </c>
      <c r="E11026" s="0" t="s">
        <v>75</v>
      </c>
      <c r="F11026" s="0" t="s">
        <v>15</v>
      </c>
      <c r="G11026" s="0" t="s">
        <v>16</v>
      </c>
      <c r="H11026" s="0" t="n">
        <v>191</v>
      </c>
      <c r="I11026" s="0" t="s">
        <v>36606</v>
      </c>
      <c r="J11026" s="0" t="s">
        <v>36607</v>
      </c>
      <c r="K11026" s="0" t="s">
        <v>36608</v>
      </c>
      <c r="L11026" s="0" t="str">
        <f aca="false">HYPERLINK("https://www.ncbi.nlm.nih.gov/nuccore/CP000058.1?report=graph&amp;tracks=[key:gene_model_track,Options:GeneOnly]&amp;mk=3475489:3475508|offset_17|444444,3475530:3475549|offset_58|444444,3475663:3475682|offset_191|00cc00,3475683:3475702|offset_211|444444&amp;v=3475288:3475902&amp;c=444444", "offset 191")</f>
        <v>offset 191</v>
      </c>
    </row>
    <row r="11027" customFormat="false" ht="12.8" hidden="false" customHeight="false" outlineLevel="0" collapsed="false">
      <c r="A11027" s="0" t="s">
        <v>12</v>
      </c>
      <c r="B11027" s="0" t="n">
        <v>3475682</v>
      </c>
      <c r="C11027" s="0" t="n">
        <v>3475702</v>
      </c>
      <c r="D11027" s="0" t="s">
        <v>36599</v>
      </c>
      <c r="E11027" s="0" t="s">
        <v>75</v>
      </c>
      <c r="F11027" s="0" t="s">
        <v>15</v>
      </c>
      <c r="G11027" s="0" t="s">
        <v>32</v>
      </c>
      <c r="H11027" s="0" t="n">
        <v>211</v>
      </c>
      <c r="I11027" s="0" t="s">
        <v>36609</v>
      </c>
      <c r="J11027" s="0" t="s">
        <v>36610</v>
      </c>
      <c r="K11027" s="0" t="s">
        <v>36611</v>
      </c>
      <c r="L11027" s="0" t="str">
        <f aca="false">HYPERLINK("https://www.ncbi.nlm.nih.gov/nuccore/CP000058.1?report=graph&amp;tracks=[key:gene_model_track,Options:GeneOnly]&amp;mk=3475489:3475508|offset_17|444444,3475530:3475549|offset_58|444444,3475663:3475682|offset_191|444444,3475683:3475702|offset_211|00cc00&amp;v=3475288:3475902&amp;c=444444", "offset 211")</f>
        <v>offset 211</v>
      </c>
    </row>
    <row r="11028" customFormat="false" ht="12.8" hidden="false" customHeight="false" outlineLevel="0" collapsed="false">
      <c r="A11028" s="0" t="s">
        <v>12</v>
      </c>
      <c r="B11028" s="0" t="n">
        <v>3476396</v>
      </c>
      <c r="C11028" s="0" t="n">
        <v>3476416</v>
      </c>
      <c r="D11028" s="0" t="s">
        <v>36612</v>
      </c>
      <c r="E11028" s="0" t="s">
        <v>75</v>
      </c>
      <c r="F11028" s="0" t="s">
        <v>15</v>
      </c>
      <c r="G11028" s="0" t="s">
        <v>16</v>
      </c>
      <c r="H11028" s="0" t="n">
        <v>1</v>
      </c>
      <c r="I11028" s="0" t="s">
        <v>36613</v>
      </c>
      <c r="J11028" s="0" t="s">
        <v>36614</v>
      </c>
      <c r="K11028" s="0" t="s">
        <v>36615</v>
      </c>
      <c r="L11028" s="0" t="str">
        <f aca="false">HYPERLINK("https://www.ncbi.nlm.nih.gov/nuccore/CP000058.1?report=graph&amp;tracks=[key:gene_model_track,Options:GeneOnly]&amp;mk=3476397:3476416|offset_1|00cc00,3476434:3476453|offset_38|444444,3476455:3476474|offset_59|444444,3476481:3476500|offset_85|444444&amp;v=3476196:3476700&amp;c=444444", "offset 1")</f>
        <v>offset 1</v>
      </c>
    </row>
    <row r="11029" customFormat="false" ht="12.8" hidden="false" customHeight="false" outlineLevel="0" collapsed="false">
      <c r="A11029" s="0" t="s">
        <v>12</v>
      </c>
      <c r="B11029" s="0" t="n">
        <v>3476433</v>
      </c>
      <c r="C11029" s="0" t="n">
        <v>3476453</v>
      </c>
      <c r="D11029" s="0" t="s">
        <v>36612</v>
      </c>
      <c r="E11029" s="0" t="s">
        <v>75</v>
      </c>
      <c r="F11029" s="0" t="s">
        <v>15</v>
      </c>
      <c r="G11029" s="0" t="s">
        <v>16</v>
      </c>
      <c r="H11029" s="0" t="n">
        <v>38</v>
      </c>
      <c r="I11029" s="0" t="s">
        <v>36616</v>
      </c>
      <c r="J11029" s="0" t="s">
        <v>36617</v>
      </c>
      <c r="K11029" s="0" t="s">
        <v>36618</v>
      </c>
      <c r="L11029" s="0" t="str">
        <f aca="false">HYPERLINK("https://www.ncbi.nlm.nih.gov/nuccore/CP000058.1?report=graph&amp;tracks=[key:gene_model_track,Options:GeneOnly]&amp;mk=3476397:3476416|offset_1|444444,3476434:3476453|offset_38|00cc00,3476455:3476474|offset_59|444444,3476481:3476500|offset_85|444444&amp;v=3476196:3476700&amp;c=444444", "offset 38")</f>
        <v>offset 38</v>
      </c>
    </row>
    <row r="11030" customFormat="false" ht="12.8" hidden="false" customHeight="false" outlineLevel="0" collapsed="false">
      <c r="A11030" s="0" t="s">
        <v>12</v>
      </c>
      <c r="B11030" s="0" t="n">
        <v>3476454</v>
      </c>
      <c r="C11030" s="0" t="n">
        <v>3476474</v>
      </c>
      <c r="D11030" s="0" t="s">
        <v>36612</v>
      </c>
      <c r="E11030" s="0" t="s">
        <v>75</v>
      </c>
      <c r="F11030" s="0" t="s">
        <v>15</v>
      </c>
      <c r="G11030" s="0" t="s">
        <v>32</v>
      </c>
      <c r="H11030" s="0" t="n">
        <v>59</v>
      </c>
      <c r="I11030" s="0" t="s">
        <v>36619</v>
      </c>
      <c r="J11030" s="0" t="s">
        <v>36620</v>
      </c>
      <c r="K11030" s="0" t="s">
        <v>36621</v>
      </c>
      <c r="L11030" s="0" t="str">
        <f aca="false">HYPERLINK("https://www.ncbi.nlm.nih.gov/nuccore/CP000058.1?report=graph&amp;tracks=[key:gene_model_track,Options:GeneOnly]&amp;mk=3476397:3476416|offset_1|444444,3476434:3476453|offset_38|444444,3476455:3476474|offset_59|00cc00,3476481:3476500|offset_85|444444&amp;v=3476196:3476700&amp;c=444444", "offset 59")</f>
        <v>offset 59</v>
      </c>
    </row>
    <row r="11031" customFormat="false" ht="12.8" hidden="false" customHeight="false" outlineLevel="0" collapsed="false">
      <c r="A11031" s="0" t="s">
        <v>12</v>
      </c>
      <c r="B11031" s="0" t="n">
        <v>3476480</v>
      </c>
      <c r="C11031" s="0" t="n">
        <v>3476500</v>
      </c>
      <c r="D11031" s="0" t="s">
        <v>36612</v>
      </c>
      <c r="E11031" s="0" t="s">
        <v>75</v>
      </c>
      <c r="F11031" s="0" t="s">
        <v>15</v>
      </c>
      <c r="G11031" s="0" t="s">
        <v>20</v>
      </c>
      <c r="H11031" s="0" t="n">
        <v>85</v>
      </c>
      <c r="I11031" s="0" t="s">
        <v>36622</v>
      </c>
      <c r="J11031" s="0" t="s">
        <v>36623</v>
      </c>
      <c r="K11031" s="0" t="s">
        <v>36624</v>
      </c>
      <c r="L11031" s="0" t="str">
        <f aca="false">HYPERLINK("https://www.ncbi.nlm.nih.gov/nuccore/CP000058.1?report=graph&amp;tracks=[key:gene_model_track,Options:GeneOnly]&amp;mk=3476397:3476416|offset_1|444444,3476434:3476453|offset_38|444444,3476455:3476474|offset_59|444444,3476481:3476500|offset_85|00cc00&amp;v=3476196:3476700&amp;c=444444", "offset 85")</f>
        <v>offset 85</v>
      </c>
    </row>
    <row r="11032" customFormat="false" ht="12.8" hidden="false" customHeight="false" outlineLevel="0" collapsed="false">
      <c r="A11032" s="0" t="s">
        <v>12</v>
      </c>
      <c r="B11032" s="0" t="n">
        <v>3478066</v>
      </c>
      <c r="C11032" s="0" t="n">
        <v>3478086</v>
      </c>
      <c r="D11032" s="0" t="s">
        <v>36625</v>
      </c>
      <c r="E11032" s="0" t="s">
        <v>75</v>
      </c>
      <c r="F11032" s="0" t="s">
        <v>90</v>
      </c>
      <c r="G11032" s="0" t="s">
        <v>16</v>
      </c>
      <c r="H11032" s="0" t="n">
        <v>29</v>
      </c>
      <c r="I11032" s="0" t="s">
        <v>36626</v>
      </c>
      <c r="J11032" s="0" t="s">
        <v>36627</v>
      </c>
      <c r="K11032" s="0" t="s">
        <v>36628</v>
      </c>
      <c r="L11032" s="0" t="str">
        <f aca="false">HYPERLINK("https://www.ncbi.nlm.nih.gov/nuccore/CP000058.1?report=graph&amp;tracks=[key:gene_model_track,Options:GeneOnly]&amp;mk=3478067:3478086|offset_29|00cc00,3477995:3478014|offset_101|444444,3477975:3477994|offset_121|444444,3477947:3477966|offset_149|444444&amp;v=3477866:3478166&amp;c=444444", "offset 29")</f>
        <v>offset 29</v>
      </c>
    </row>
    <row r="11033" customFormat="false" ht="12.8" hidden="false" customHeight="false" outlineLevel="0" collapsed="false">
      <c r="A11033" s="0" t="s">
        <v>12</v>
      </c>
      <c r="B11033" s="0" t="n">
        <v>3477994</v>
      </c>
      <c r="C11033" s="0" t="n">
        <v>3478014</v>
      </c>
      <c r="D11033" s="0" t="s">
        <v>36625</v>
      </c>
      <c r="E11033" s="0" t="s">
        <v>75</v>
      </c>
      <c r="F11033" s="0" t="s">
        <v>90</v>
      </c>
      <c r="G11033" s="0" t="s">
        <v>20</v>
      </c>
      <c r="H11033" s="0" t="n">
        <v>101</v>
      </c>
      <c r="I11033" s="0" t="s">
        <v>36629</v>
      </c>
      <c r="J11033" s="0" t="s">
        <v>36630</v>
      </c>
      <c r="K11033" s="0" t="s">
        <v>36631</v>
      </c>
      <c r="L11033" s="0" t="str">
        <f aca="false">HYPERLINK("https://www.ncbi.nlm.nih.gov/nuccore/CP000058.1?report=graph&amp;tracks=[key:gene_model_track,Options:GeneOnly]&amp;mk=3478067:3478086|offset_29|444444,3477995:3478014|offset_101|00cc00,3477975:3477994|offset_121|444444,3477947:3477966|offset_149|444444&amp;v=3477866:3478166&amp;c=444444", "offset 101")</f>
        <v>offset 101</v>
      </c>
    </row>
    <row r="11034" customFormat="false" ht="12.8" hidden="false" customHeight="false" outlineLevel="0" collapsed="false">
      <c r="A11034" s="0" t="s">
        <v>12</v>
      </c>
      <c r="B11034" s="0" t="n">
        <v>3477974</v>
      </c>
      <c r="C11034" s="0" t="n">
        <v>3477994</v>
      </c>
      <c r="D11034" s="0" t="s">
        <v>36625</v>
      </c>
      <c r="E11034" s="0" t="s">
        <v>75</v>
      </c>
      <c r="F11034" s="0" t="s">
        <v>90</v>
      </c>
      <c r="G11034" s="0" t="s">
        <v>16</v>
      </c>
      <c r="H11034" s="0" t="n">
        <v>121</v>
      </c>
      <c r="I11034" s="0" t="s">
        <v>36632</v>
      </c>
      <c r="J11034" s="0" t="s">
        <v>36633</v>
      </c>
      <c r="K11034" s="0" t="s">
        <v>36634</v>
      </c>
      <c r="L11034" s="0" t="str">
        <f aca="false">HYPERLINK("https://www.ncbi.nlm.nih.gov/nuccore/CP000058.1?report=graph&amp;tracks=[key:gene_model_track,Options:GeneOnly]&amp;mk=3478067:3478086|offset_29|444444,3477995:3478014|offset_101|444444,3477975:3477994|offset_121|00cc00,3477947:3477966|offset_149|444444&amp;v=3477866:3478166&amp;c=444444", "offset 121")</f>
        <v>offset 121</v>
      </c>
    </row>
    <row r="11035" customFormat="false" ht="12.8" hidden="false" customHeight="false" outlineLevel="0" collapsed="false">
      <c r="A11035" s="0" t="s">
        <v>12</v>
      </c>
      <c r="B11035" s="0" t="n">
        <v>3477946</v>
      </c>
      <c r="C11035" s="0" t="n">
        <v>3477966</v>
      </c>
      <c r="D11035" s="0" t="s">
        <v>36625</v>
      </c>
      <c r="E11035" s="0" t="s">
        <v>75</v>
      </c>
      <c r="F11035" s="0" t="s">
        <v>90</v>
      </c>
      <c r="G11035" s="0" t="s">
        <v>20</v>
      </c>
      <c r="H11035" s="0" t="n">
        <v>149</v>
      </c>
      <c r="I11035" s="0" t="s">
        <v>36635</v>
      </c>
      <c r="J11035" s="0" t="s">
        <v>36636</v>
      </c>
      <c r="K11035" s="0" t="s">
        <v>36637</v>
      </c>
      <c r="L11035" s="0" t="str">
        <f aca="false">HYPERLINK("https://www.ncbi.nlm.nih.gov/nuccore/CP000058.1?report=graph&amp;tracks=[key:gene_model_track,Options:GeneOnly]&amp;mk=3478067:3478086|offset_29|444444,3477995:3478014|offset_101|444444,3477975:3477994|offset_121|444444,3477947:3477966|offset_149|00cc00&amp;v=3477866:3478166&amp;c=444444", "offset 149")</f>
        <v>offset 149</v>
      </c>
    </row>
    <row r="11036" customFormat="false" ht="12.8" hidden="false" customHeight="false" outlineLevel="0" collapsed="false">
      <c r="A11036" s="0" t="s">
        <v>12</v>
      </c>
      <c r="B11036" s="0" t="n">
        <v>3478893</v>
      </c>
      <c r="C11036" s="0" t="n">
        <v>3478913</v>
      </c>
      <c r="D11036" s="0" t="s">
        <v>36638</v>
      </c>
      <c r="E11036" s="0" t="s">
        <v>75</v>
      </c>
      <c r="F11036" s="0" t="s">
        <v>90</v>
      </c>
      <c r="G11036" s="0" t="s">
        <v>20</v>
      </c>
      <c r="H11036" s="0" t="n">
        <v>14</v>
      </c>
      <c r="I11036" s="0" t="s">
        <v>36639</v>
      </c>
      <c r="J11036" s="0" t="s">
        <v>36640</v>
      </c>
      <c r="K11036" s="0" t="s">
        <v>36641</v>
      </c>
      <c r="L11036" s="0" t="str">
        <f aca="false">HYPERLINK("https://www.ncbi.nlm.nih.gov/nuccore/CP000058.1?report=graph&amp;tracks=[key:gene_model_track,Options:GeneOnly]&amp;mk=3478894:3478913|offset_14|00cc00,3478864:3478883|offset_44|444444,3478844:3478863|offset_64|444444,3478805:3478824|offset_103|444444&amp;v=3478693:3479024&amp;c=444444", "offset 14")</f>
        <v>offset 14</v>
      </c>
    </row>
    <row r="11037" customFormat="false" ht="12.8" hidden="false" customHeight="false" outlineLevel="0" collapsed="false">
      <c r="A11037" s="0" t="s">
        <v>12</v>
      </c>
      <c r="B11037" s="0" t="n">
        <v>3478863</v>
      </c>
      <c r="C11037" s="0" t="n">
        <v>3478883</v>
      </c>
      <c r="D11037" s="0" t="s">
        <v>36638</v>
      </c>
      <c r="E11037" s="0" t="s">
        <v>75</v>
      </c>
      <c r="F11037" s="0" t="s">
        <v>90</v>
      </c>
      <c r="G11037" s="0" t="s">
        <v>20</v>
      </c>
      <c r="H11037" s="0" t="n">
        <v>44</v>
      </c>
      <c r="I11037" s="0" t="s">
        <v>36642</v>
      </c>
      <c r="J11037" s="0" t="s">
        <v>36643</v>
      </c>
      <c r="K11037" s="0" t="s">
        <v>36644</v>
      </c>
      <c r="L11037" s="0" t="str">
        <f aca="false">HYPERLINK("https://www.ncbi.nlm.nih.gov/nuccore/CP000058.1?report=graph&amp;tracks=[key:gene_model_track,Options:GeneOnly]&amp;mk=3478894:3478913|offset_14|444444,3478864:3478883|offset_44|00cc00,3478844:3478863|offset_64|444444,3478805:3478824|offset_103|444444&amp;v=3478693:3479024&amp;c=444444", "offset 44")</f>
        <v>offset 44</v>
      </c>
    </row>
    <row r="11038" customFormat="false" ht="12.8" hidden="false" customHeight="false" outlineLevel="0" collapsed="false">
      <c r="A11038" s="0" t="s">
        <v>12</v>
      </c>
      <c r="B11038" s="0" t="n">
        <v>3478843</v>
      </c>
      <c r="C11038" s="0" t="n">
        <v>3478863</v>
      </c>
      <c r="D11038" s="0" t="s">
        <v>36638</v>
      </c>
      <c r="E11038" s="0" t="s">
        <v>75</v>
      </c>
      <c r="F11038" s="0" t="s">
        <v>90</v>
      </c>
      <c r="G11038" s="0" t="s">
        <v>16</v>
      </c>
      <c r="H11038" s="0" t="n">
        <v>64</v>
      </c>
      <c r="I11038" s="0" t="s">
        <v>36645</v>
      </c>
      <c r="J11038" s="0" t="s">
        <v>36646</v>
      </c>
      <c r="K11038" s="0" t="s">
        <v>36647</v>
      </c>
      <c r="L11038" s="0" t="str">
        <f aca="false">HYPERLINK("https://www.ncbi.nlm.nih.gov/nuccore/CP000058.1?report=graph&amp;tracks=[key:gene_model_track,Options:GeneOnly]&amp;mk=3478894:3478913|offset_14|444444,3478864:3478883|offset_44|444444,3478844:3478863|offset_64|00cc00,3478805:3478824|offset_103|444444&amp;v=3478693:3479024&amp;c=444444", "offset 64")</f>
        <v>offset 64</v>
      </c>
    </row>
    <row r="11039" customFormat="false" ht="12.8" hidden="false" customHeight="false" outlineLevel="0" collapsed="false">
      <c r="A11039" s="0" t="s">
        <v>12</v>
      </c>
      <c r="B11039" s="0" t="n">
        <v>3478804</v>
      </c>
      <c r="C11039" s="0" t="n">
        <v>3478824</v>
      </c>
      <c r="D11039" s="0" t="s">
        <v>36638</v>
      </c>
      <c r="E11039" s="0" t="s">
        <v>75</v>
      </c>
      <c r="F11039" s="0" t="s">
        <v>90</v>
      </c>
      <c r="G11039" s="0" t="s">
        <v>32</v>
      </c>
      <c r="H11039" s="0" t="n">
        <v>103</v>
      </c>
      <c r="I11039" s="0" t="s">
        <v>36648</v>
      </c>
      <c r="J11039" s="0" t="s">
        <v>36649</v>
      </c>
      <c r="K11039" s="0" t="s">
        <v>36650</v>
      </c>
      <c r="L11039" s="0" t="str">
        <f aca="false">HYPERLINK("https://www.ncbi.nlm.nih.gov/nuccore/CP000058.1?report=graph&amp;tracks=[key:gene_model_track,Options:GeneOnly]&amp;mk=3478894:3478913|offset_14|444444,3478864:3478883|offset_44|444444,3478844:3478863|offset_64|444444,3478805:3478824|offset_103|00cc00&amp;v=3478693:3479024&amp;c=444444", "offset 103")</f>
        <v>offset 103</v>
      </c>
    </row>
    <row r="11040" customFormat="false" ht="12.8" hidden="false" customHeight="false" outlineLevel="0" collapsed="false">
      <c r="A11040" s="0" t="s">
        <v>12</v>
      </c>
      <c r="B11040" s="0" t="n">
        <v>3479642</v>
      </c>
      <c r="C11040" s="0" t="n">
        <v>3479662</v>
      </c>
      <c r="D11040" s="0" t="s">
        <v>36651</v>
      </c>
      <c r="E11040" s="0" t="s">
        <v>75</v>
      </c>
      <c r="F11040" s="0" t="s">
        <v>90</v>
      </c>
      <c r="G11040" s="0" t="s">
        <v>16</v>
      </c>
      <c r="H11040" s="0" t="n">
        <v>10</v>
      </c>
      <c r="I11040" s="0" t="s">
        <v>36652</v>
      </c>
      <c r="J11040" s="0" t="s">
        <v>36653</v>
      </c>
      <c r="K11040" s="0" t="s">
        <v>36654</v>
      </c>
      <c r="L11040" s="0" t="str">
        <f aca="false">HYPERLINK("https://www.ncbi.nlm.nih.gov/nuccore/CP000058.1?report=graph&amp;tracks=[key:gene_model_track,Options:GeneOnly]&amp;mk=3479643:3479662|offset_10|00cc00,3479621:3479640|offset_32|444444,3479559:3479578|offset_94|444444,3479501:3479520|offset_152|444444&amp;v=3479442:3479720&amp;c=444444", "offset 10")</f>
        <v>offset 10</v>
      </c>
    </row>
    <row r="11041" customFormat="false" ht="12.8" hidden="false" customHeight="false" outlineLevel="0" collapsed="false">
      <c r="A11041" s="0" t="s">
        <v>12</v>
      </c>
      <c r="B11041" s="0" t="n">
        <v>3479620</v>
      </c>
      <c r="C11041" s="0" t="n">
        <v>3479640</v>
      </c>
      <c r="D11041" s="0" t="s">
        <v>36651</v>
      </c>
      <c r="E11041" s="0" t="s">
        <v>75</v>
      </c>
      <c r="F11041" s="0" t="s">
        <v>90</v>
      </c>
      <c r="G11041" s="0" t="s">
        <v>32</v>
      </c>
      <c r="H11041" s="0" t="n">
        <v>32</v>
      </c>
      <c r="I11041" s="0" t="s">
        <v>36655</v>
      </c>
      <c r="J11041" s="0" t="s">
        <v>36656</v>
      </c>
      <c r="K11041" s="0" t="s">
        <v>36657</v>
      </c>
      <c r="L11041" s="0" t="str">
        <f aca="false">HYPERLINK("https://www.ncbi.nlm.nih.gov/nuccore/CP000058.1?report=graph&amp;tracks=[key:gene_model_track,Options:GeneOnly]&amp;mk=3479643:3479662|offset_10|444444,3479621:3479640|offset_32|00cc00,3479559:3479578|offset_94|444444,3479501:3479520|offset_152|444444&amp;v=3479442:3479720&amp;c=444444", "offset 32")</f>
        <v>offset 32</v>
      </c>
    </row>
    <row r="11042" customFormat="false" ht="12.8" hidden="false" customHeight="false" outlineLevel="0" collapsed="false">
      <c r="A11042" s="0" t="s">
        <v>12</v>
      </c>
      <c r="B11042" s="0" t="n">
        <v>3479558</v>
      </c>
      <c r="C11042" s="0" t="n">
        <v>3479578</v>
      </c>
      <c r="D11042" s="0" t="s">
        <v>36651</v>
      </c>
      <c r="E11042" s="0" t="s">
        <v>75</v>
      </c>
      <c r="F11042" s="0" t="s">
        <v>90</v>
      </c>
      <c r="G11042" s="0" t="s">
        <v>20</v>
      </c>
      <c r="H11042" s="0" t="n">
        <v>94</v>
      </c>
      <c r="I11042" s="0" t="s">
        <v>36658</v>
      </c>
      <c r="J11042" s="0" t="s">
        <v>36659</v>
      </c>
      <c r="K11042" s="0" t="s">
        <v>36660</v>
      </c>
      <c r="L11042" s="0" t="str">
        <f aca="false">HYPERLINK("https://www.ncbi.nlm.nih.gov/nuccore/CP000058.1?report=graph&amp;tracks=[key:gene_model_track,Options:GeneOnly]&amp;mk=3479643:3479662|offset_10|444444,3479621:3479640|offset_32|444444,3479559:3479578|offset_94|00cc00,3479501:3479520|offset_152|444444&amp;v=3479442:3479720&amp;c=444444", "offset 94")</f>
        <v>offset 94</v>
      </c>
    </row>
    <row r="11043" customFormat="false" ht="12.8" hidden="false" customHeight="false" outlineLevel="0" collapsed="false">
      <c r="A11043" s="0" t="s">
        <v>12</v>
      </c>
      <c r="B11043" s="0" t="n">
        <v>3479500</v>
      </c>
      <c r="C11043" s="0" t="n">
        <v>3479520</v>
      </c>
      <c r="D11043" s="0" t="s">
        <v>36651</v>
      </c>
      <c r="E11043" s="0" t="s">
        <v>75</v>
      </c>
      <c r="F11043" s="0" t="s">
        <v>90</v>
      </c>
      <c r="G11043" s="0" t="s">
        <v>20</v>
      </c>
      <c r="H11043" s="0" t="n">
        <v>152</v>
      </c>
      <c r="I11043" s="0" t="s">
        <v>36661</v>
      </c>
      <c r="J11043" s="0" t="s">
        <v>36662</v>
      </c>
      <c r="K11043" s="0" t="s">
        <v>36663</v>
      </c>
      <c r="L11043" s="0" t="str">
        <f aca="false">HYPERLINK("https://www.ncbi.nlm.nih.gov/nuccore/CP000058.1?report=graph&amp;tracks=[key:gene_model_track,Options:GeneOnly]&amp;mk=3479643:3479662|offset_10|444444,3479621:3479640|offset_32|444444,3479559:3479578|offset_94|444444,3479501:3479520|offset_152|00cc00&amp;v=3479442:3479720&amp;c=444444", "offset 152")</f>
        <v>offset 152</v>
      </c>
    </row>
    <row r="11044" customFormat="false" ht="12.8" hidden="false" customHeight="false" outlineLevel="0" collapsed="false">
      <c r="A11044" s="0" t="s">
        <v>12</v>
      </c>
      <c r="B11044" s="0" t="n">
        <v>3480256</v>
      </c>
      <c r="C11044" s="0" t="n">
        <v>3480276</v>
      </c>
      <c r="D11044" s="0" t="s">
        <v>36664</v>
      </c>
      <c r="E11044" s="0" t="s">
        <v>75</v>
      </c>
      <c r="F11044" s="0" t="s">
        <v>15</v>
      </c>
      <c r="G11044" s="0" t="s">
        <v>20</v>
      </c>
      <c r="H11044" s="0" t="n">
        <v>37</v>
      </c>
      <c r="I11044" s="0" t="s">
        <v>36665</v>
      </c>
      <c r="J11044" s="0" t="s">
        <v>36666</v>
      </c>
      <c r="K11044" s="0" t="s">
        <v>36667</v>
      </c>
      <c r="L11044" s="0" t="str">
        <f aca="false">HYPERLINK("https://www.ncbi.nlm.nih.gov/nuccore/CP000058.1?report=graph&amp;tracks=[key:gene_model_track,Options:GeneOnly]&amp;mk=3480257:3480276|offset_37|00cc00,3480296:3480315|offset_76|444444,3480316:3480335|offset_96|444444,3480344:3480363|offset_124|444444&amp;v=3480056:3480563&amp;c=444444", "offset 37")</f>
        <v>offset 37</v>
      </c>
    </row>
    <row r="11045" customFormat="false" ht="12.8" hidden="false" customHeight="false" outlineLevel="0" collapsed="false">
      <c r="A11045" s="0" t="s">
        <v>12</v>
      </c>
      <c r="B11045" s="0" t="n">
        <v>3480295</v>
      </c>
      <c r="C11045" s="0" t="n">
        <v>3480315</v>
      </c>
      <c r="D11045" s="0" t="s">
        <v>36664</v>
      </c>
      <c r="E11045" s="0" t="s">
        <v>75</v>
      </c>
      <c r="F11045" s="0" t="s">
        <v>15</v>
      </c>
      <c r="G11045" s="0" t="s">
        <v>36</v>
      </c>
      <c r="H11045" s="0" t="n">
        <v>76</v>
      </c>
      <c r="I11045" s="0" t="s">
        <v>36668</v>
      </c>
      <c r="J11045" s="0" t="s">
        <v>36669</v>
      </c>
      <c r="K11045" s="0" t="s">
        <v>36670</v>
      </c>
      <c r="L11045" s="0" t="str">
        <f aca="false">HYPERLINK("https://www.ncbi.nlm.nih.gov/nuccore/CP000058.1?report=graph&amp;tracks=[key:gene_model_track,Options:GeneOnly]&amp;mk=3480257:3480276|offset_37|444444,3480296:3480315|offset_76|00cc00,3480316:3480335|offset_96|444444,3480344:3480363|offset_124|444444&amp;v=3480056:3480563&amp;c=444444", "offset 76")</f>
        <v>offset 76</v>
      </c>
    </row>
    <row r="11046" customFormat="false" ht="12.8" hidden="false" customHeight="false" outlineLevel="0" collapsed="false">
      <c r="A11046" s="0" t="s">
        <v>12</v>
      </c>
      <c r="B11046" s="0" t="n">
        <v>3480315</v>
      </c>
      <c r="C11046" s="0" t="n">
        <v>3480335</v>
      </c>
      <c r="D11046" s="0" t="s">
        <v>36664</v>
      </c>
      <c r="E11046" s="0" t="s">
        <v>75</v>
      </c>
      <c r="F11046" s="0" t="s">
        <v>15</v>
      </c>
      <c r="G11046" s="0" t="s">
        <v>16</v>
      </c>
      <c r="H11046" s="0" t="n">
        <v>96</v>
      </c>
      <c r="I11046" s="0" t="s">
        <v>36671</v>
      </c>
      <c r="J11046" s="0" t="s">
        <v>36672</v>
      </c>
      <c r="K11046" s="0" t="s">
        <v>36673</v>
      </c>
      <c r="L11046" s="0" t="str">
        <f aca="false">HYPERLINK("https://www.ncbi.nlm.nih.gov/nuccore/CP000058.1?report=graph&amp;tracks=[key:gene_model_track,Options:GeneOnly]&amp;mk=3480257:3480276|offset_37|444444,3480296:3480315|offset_76|444444,3480316:3480335|offset_96|00cc00,3480344:3480363|offset_124|444444&amp;v=3480056:3480563&amp;c=444444", "offset 96")</f>
        <v>offset 96</v>
      </c>
    </row>
    <row r="11047" customFormat="false" ht="12.8" hidden="false" customHeight="false" outlineLevel="0" collapsed="false">
      <c r="A11047" s="0" t="s">
        <v>12</v>
      </c>
      <c r="B11047" s="0" t="n">
        <v>3480343</v>
      </c>
      <c r="C11047" s="0" t="n">
        <v>3480363</v>
      </c>
      <c r="D11047" s="0" t="s">
        <v>36664</v>
      </c>
      <c r="E11047" s="0" t="s">
        <v>75</v>
      </c>
      <c r="F11047" s="0" t="s">
        <v>15</v>
      </c>
      <c r="G11047" s="0" t="s">
        <v>20</v>
      </c>
      <c r="H11047" s="0" t="n">
        <v>124</v>
      </c>
      <c r="I11047" s="0" t="s">
        <v>36674</v>
      </c>
      <c r="J11047" s="0" t="s">
        <v>36675</v>
      </c>
      <c r="K11047" s="0" t="s">
        <v>36676</v>
      </c>
      <c r="L11047" s="0" t="str">
        <f aca="false">HYPERLINK("https://www.ncbi.nlm.nih.gov/nuccore/CP000058.1?report=graph&amp;tracks=[key:gene_model_track,Options:GeneOnly]&amp;mk=3480257:3480276|offset_37|444444,3480296:3480315|offset_76|444444,3480316:3480335|offset_96|444444,3480344:3480363|offset_124|00cc00&amp;v=3480056:3480563&amp;c=444444", "offset 124")</f>
        <v>offset 124</v>
      </c>
    </row>
    <row r="11048" customFormat="false" ht="12.8" hidden="false" customHeight="false" outlineLevel="0" collapsed="false">
      <c r="A11048" s="0" t="s">
        <v>12</v>
      </c>
      <c r="B11048" s="0" t="n">
        <v>3481460</v>
      </c>
      <c r="C11048" s="0" t="n">
        <v>3481480</v>
      </c>
      <c r="D11048" s="0" t="s">
        <v>36677</v>
      </c>
      <c r="E11048" s="0" t="s">
        <v>75</v>
      </c>
      <c r="F11048" s="0" t="s">
        <v>15</v>
      </c>
      <c r="G11048" s="0" t="s">
        <v>36</v>
      </c>
      <c r="H11048" s="0" t="n">
        <v>0</v>
      </c>
      <c r="I11048" s="0" t="s">
        <v>36678</v>
      </c>
      <c r="J11048" s="0" t="s">
        <v>36679</v>
      </c>
      <c r="K11048" s="0" t="s">
        <v>36680</v>
      </c>
      <c r="L11048" s="0" t="str">
        <f aca="false">HYPERLINK("https://www.ncbi.nlm.nih.gov/nuccore/CP000058.1?report=graph&amp;tracks=[key:gene_model_track,Options:GeneOnly]&amp;mk=3481461:3481480|offset_0|00cc00,3481484:3481503|offset_23|444444,3481507:3481526|offset_46|444444,3481531:3481550|offset_70|444444&amp;v=3481260:3481750&amp;c=444444", "offset 0")</f>
        <v>offset 0</v>
      </c>
    </row>
    <row r="11049" customFormat="false" ht="12.8" hidden="false" customHeight="false" outlineLevel="0" collapsed="false">
      <c r="A11049" s="0" t="s">
        <v>12</v>
      </c>
      <c r="B11049" s="0" t="n">
        <v>3481483</v>
      </c>
      <c r="C11049" s="0" t="n">
        <v>3481503</v>
      </c>
      <c r="D11049" s="0" t="s">
        <v>36677</v>
      </c>
      <c r="E11049" s="0" t="s">
        <v>75</v>
      </c>
      <c r="F11049" s="0" t="s">
        <v>15</v>
      </c>
      <c r="G11049" s="0" t="s">
        <v>20</v>
      </c>
      <c r="H11049" s="0" t="n">
        <v>23</v>
      </c>
      <c r="I11049" s="0" t="s">
        <v>36681</v>
      </c>
      <c r="J11049" s="0" t="s">
        <v>36682</v>
      </c>
      <c r="K11049" s="0" t="s">
        <v>36683</v>
      </c>
      <c r="L11049" s="0" t="str">
        <f aca="false">HYPERLINK("https://www.ncbi.nlm.nih.gov/nuccore/CP000058.1?report=graph&amp;tracks=[key:gene_model_track,Options:GeneOnly]&amp;mk=3481461:3481480|offset_0|444444,3481484:3481503|offset_23|00cc00,3481507:3481526|offset_46|444444,3481531:3481550|offset_70|444444&amp;v=3481260:3481750&amp;c=444444", "offset 23")</f>
        <v>offset 23</v>
      </c>
    </row>
    <row r="11050" customFormat="false" ht="12.8" hidden="false" customHeight="false" outlineLevel="0" collapsed="false">
      <c r="A11050" s="0" t="s">
        <v>12</v>
      </c>
      <c r="B11050" s="0" t="n">
        <v>3481506</v>
      </c>
      <c r="C11050" s="0" t="n">
        <v>3481526</v>
      </c>
      <c r="D11050" s="0" t="s">
        <v>36677</v>
      </c>
      <c r="E11050" s="0" t="s">
        <v>75</v>
      </c>
      <c r="F11050" s="0" t="s">
        <v>15</v>
      </c>
      <c r="G11050" s="0" t="s">
        <v>36</v>
      </c>
      <c r="H11050" s="0" t="n">
        <v>46</v>
      </c>
      <c r="I11050" s="0" t="s">
        <v>36684</v>
      </c>
      <c r="J11050" s="0" t="s">
        <v>36685</v>
      </c>
      <c r="K11050" s="0" t="s">
        <v>36686</v>
      </c>
      <c r="L11050" s="0" t="str">
        <f aca="false">HYPERLINK("https://www.ncbi.nlm.nih.gov/nuccore/CP000058.1?report=graph&amp;tracks=[key:gene_model_track,Options:GeneOnly]&amp;mk=3481461:3481480|offset_0|444444,3481484:3481503|offset_23|444444,3481507:3481526|offset_46|00cc00,3481531:3481550|offset_70|444444&amp;v=3481260:3481750&amp;c=444444", "offset 46")</f>
        <v>offset 46</v>
      </c>
    </row>
    <row r="11051" customFormat="false" ht="12.8" hidden="false" customHeight="false" outlineLevel="0" collapsed="false">
      <c r="A11051" s="0" t="s">
        <v>12</v>
      </c>
      <c r="B11051" s="0" t="n">
        <v>3481530</v>
      </c>
      <c r="C11051" s="0" t="n">
        <v>3481550</v>
      </c>
      <c r="D11051" s="0" t="s">
        <v>36677</v>
      </c>
      <c r="E11051" s="0" t="s">
        <v>75</v>
      </c>
      <c r="F11051" s="0" t="s">
        <v>15</v>
      </c>
      <c r="G11051" s="0" t="s">
        <v>36</v>
      </c>
      <c r="H11051" s="0" t="n">
        <v>70</v>
      </c>
      <c r="I11051" s="0" t="s">
        <v>36687</v>
      </c>
      <c r="J11051" s="0" t="s">
        <v>36688</v>
      </c>
      <c r="K11051" s="0" t="s">
        <v>36689</v>
      </c>
      <c r="L11051" s="0" t="str">
        <f aca="false">HYPERLINK("https://www.ncbi.nlm.nih.gov/nuccore/CP000058.1?report=graph&amp;tracks=[key:gene_model_track,Options:GeneOnly]&amp;mk=3481461:3481480|offset_0|444444,3481484:3481503|offset_23|444444,3481507:3481526|offset_46|444444,3481531:3481550|offset_70|00cc00&amp;v=3481260:3481750&amp;c=444444", "offset 70")</f>
        <v>offset 70</v>
      </c>
    </row>
    <row r="11052" customFormat="false" ht="12.8" hidden="false" customHeight="false" outlineLevel="0" collapsed="false">
      <c r="A11052" s="0" t="s">
        <v>12</v>
      </c>
      <c r="B11052" s="0" t="n">
        <v>3483124</v>
      </c>
      <c r="C11052" s="0" t="n">
        <v>3483144</v>
      </c>
      <c r="D11052" s="0" t="s">
        <v>36690</v>
      </c>
      <c r="E11052" s="0" t="s">
        <v>75</v>
      </c>
      <c r="F11052" s="0" t="s">
        <v>15</v>
      </c>
      <c r="G11052" s="0" t="s">
        <v>32</v>
      </c>
      <c r="H11052" s="0" t="n">
        <v>1</v>
      </c>
      <c r="I11052" s="0" t="s">
        <v>36691</v>
      </c>
      <c r="J11052" s="0" t="s">
        <v>36692</v>
      </c>
      <c r="K11052" s="0" t="s">
        <v>36693</v>
      </c>
      <c r="L11052" s="0" t="str">
        <f aca="false">HYPERLINK("https://www.ncbi.nlm.nih.gov/nuccore/CP000058.1?report=graph&amp;tracks=[key:gene_model_track,Options:GeneOnly]&amp;mk=3483125:3483144|offset_1|00cc00,3483167:3483186|offset_43|444444,3483203:3483222|offset_79|444444,3483240:3483259|offset_116|444444&amp;v=3482924:3483459&amp;c=444444", "offset 1")</f>
        <v>offset 1</v>
      </c>
    </row>
    <row r="11053" customFormat="false" ht="12.8" hidden="false" customHeight="false" outlineLevel="0" collapsed="false">
      <c r="A11053" s="0" t="s">
        <v>12</v>
      </c>
      <c r="B11053" s="0" t="n">
        <v>3483166</v>
      </c>
      <c r="C11053" s="0" t="n">
        <v>3483186</v>
      </c>
      <c r="D11053" s="0" t="s">
        <v>36690</v>
      </c>
      <c r="E11053" s="0" t="s">
        <v>75</v>
      </c>
      <c r="F11053" s="0" t="s">
        <v>15</v>
      </c>
      <c r="G11053" s="0" t="s">
        <v>36</v>
      </c>
      <c r="H11053" s="0" t="n">
        <v>43</v>
      </c>
      <c r="I11053" s="0" t="s">
        <v>36694</v>
      </c>
      <c r="J11053" s="0" t="s">
        <v>36695</v>
      </c>
      <c r="K11053" s="0" t="s">
        <v>36696</v>
      </c>
      <c r="L11053" s="0" t="str">
        <f aca="false">HYPERLINK("https://www.ncbi.nlm.nih.gov/nuccore/CP000058.1?report=graph&amp;tracks=[key:gene_model_track,Options:GeneOnly]&amp;mk=3483125:3483144|offset_1|444444,3483167:3483186|offset_43|00cc00,3483203:3483222|offset_79|444444,3483240:3483259|offset_116|444444&amp;v=3482924:3483459&amp;c=444444", "offset 43")</f>
        <v>offset 43</v>
      </c>
    </row>
    <row r="11054" customFormat="false" ht="12.8" hidden="false" customHeight="false" outlineLevel="0" collapsed="false">
      <c r="A11054" s="0" t="s">
        <v>12</v>
      </c>
      <c r="B11054" s="0" t="n">
        <v>3483202</v>
      </c>
      <c r="C11054" s="0" t="n">
        <v>3483222</v>
      </c>
      <c r="D11054" s="0" t="s">
        <v>36690</v>
      </c>
      <c r="E11054" s="0" t="s">
        <v>75</v>
      </c>
      <c r="F11054" s="0" t="s">
        <v>15</v>
      </c>
      <c r="G11054" s="0" t="s">
        <v>36</v>
      </c>
      <c r="H11054" s="0" t="n">
        <v>79</v>
      </c>
      <c r="I11054" s="0" t="s">
        <v>36697</v>
      </c>
      <c r="J11054" s="0" t="s">
        <v>36698</v>
      </c>
      <c r="K11054" s="0" t="s">
        <v>36699</v>
      </c>
      <c r="L11054" s="0" t="str">
        <f aca="false">HYPERLINK("https://www.ncbi.nlm.nih.gov/nuccore/CP000058.1?report=graph&amp;tracks=[key:gene_model_track,Options:GeneOnly]&amp;mk=3483125:3483144|offset_1|444444,3483167:3483186|offset_43|444444,3483203:3483222|offset_79|00cc00,3483240:3483259|offset_116|444444&amp;v=3482924:3483459&amp;c=444444", "offset 79")</f>
        <v>offset 79</v>
      </c>
    </row>
    <row r="11055" customFormat="false" ht="12.8" hidden="false" customHeight="false" outlineLevel="0" collapsed="false">
      <c r="A11055" s="0" t="s">
        <v>12</v>
      </c>
      <c r="B11055" s="0" t="n">
        <v>3483239</v>
      </c>
      <c r="C11055" s="0" t="n">
        <v>3483259</v>
      </c>
      <c r="D11055" s="0" t="s">
        <v>36690</v>
      </c>
      <c r="E11055" s="0" t="s">
        <v>75</v>
      </c>
      <c r="F11055" s="0" t="s">
        <v>15</v>
      </c>
      <c r="G11055" s="0" t="s">
        <v>16</v>
      </c>
      <c r="H11055" s="0" t="n">
        <v>116</v>
      </c>
      <c r="I11055" s="0" t="s">
        <v>36700</v>
      </c>
      <c r="J11055" s="0" t="s">
        <v>36701</v>
      </c>
      <c r="K11055" s="0" t="s">
        <v>36702</v>
      </c>
      <c r="L11055" s="0" t="str">
        <f aca="false">HYPERLINK("https://www.ncbi.nlm.nih.gov/nuccore/CP000058.1?report=graph&amp;tracks=[key:gene_model_track,Options:GeneOnly]&amp;mk=3483125:3483144|offset_1|444444,3483167:3483186|offset_43|444444,3483203:3483222|offset_79|444444,3483240:3483259|offset_116|00cc00&amp;v=3482924:3483459&amp;c=444444", "offset 116")</f>
        <v>offset 116</v>
      </c>
    </row>
    <row r="11056" customFormat="false" ht="12.8" hidden="false" customHeight="false" outlineLevel="0" collapsed="false">
      <c r="A11056" s="0" t="s">
        <v>12</v>
      </c>
      <c r="B11056" s="0" t="n">
        <v>3484233</v>
      </c>
      <c r="C11056" s="0" t="n">
        <v>3484253</v>
      </c>
      <c r="D11056" s="0" t="s">
        <v>36703</v>
      </c>
      <c r="E11056" s="0" t="s">
        <v>75</v>
      </c>
      <c r="F11056" s="0" t="s">
        <v>15</v>
      </c>
      <c r="G11056" s="0" t="s">
        <v>16</v>
      </c>
      <c r="H11056" s="0" t="n">
        <v>7</v>
      </c>
      <c r="I11056" s="0" t="s">
        <v>36704</v>
      </c>
      <c r="J11056" s="0" t="s">
        <v>36705</v>
      </c>
      <c r="K11056" s="0" t="s">
        <v>36706</v>
      </c>
      <c r="L11056" s="0" t="str">
        <f aca="false">HYPERLINK("https://www.ncbi.nlm.nih.gov/nuccore/CP000058.1?report=graph&amp;tracks=[key:gene_model_track,Options:GeneOnly]&amp;mk=3484234:3484253|offset_7|00cc00,3484274:3484293|offset_47|444444,3484335:3484354|offset_108|444444,3484355:3484374|offset_128|444444&amp;v=3484033:3484574&amp;c=444444", "offset 7")</f>
        <v>offset 7</v>
      </c>
    </row>
    <row r="11057" customFormat="false" ht="12.8" hidden="false" customHeight="false" outlineLevel="0" collapsed="false">
      <c r="A11057" s="0" t="s">
        <v>12</v>
      </c>
      <c r="B11057" s="0" t="n">
        <v>3484273</v>
      </c>
      <c r="C11057" s="0" t="n">
        <v>3484293</v>
      </c>
      <c r="D11057" s="0" t="s">
        <v>36703</v>
      </c>
      <c r="E11057" s="0" t="s">
        <v>75</v>
      </c>
      <c r="F11057" s="0" t="s">
        <v>15</v>
      </c>
      <c r="G11057" s="0" t="s">
        <v>36</v>
      </c>
      <c r="H11057" s="0" t="n">
        <v>47</v>
      </c>
      <c r="I11057" s="0" t="s">
        <v>36707</v>
      </c>
      <c r="J11057" s="0" t="s">
        <v>36708</v>
      </c>
      <c r="K11057" s="0" t="s">
        <v>36709</v>
      </c>
      <c r="L11057" s="0" t="str">
        <f aca="false">HYPERLINK("https://www.ncbi.nlm.nih.gov/nuccore/CP000058.1?report=graph&amp;tracks=[key:gene_model_track,Options:GeneOnly]&amp;mk=3484234:3484253|offset_7|444444,3484274:3484293|offset_47|00cc00,3484335:3484354|offset_108|444444,3484355:3484374|offset_128|444444&amp;v=3484033:3484574&amp;c=444444", "offset 47")</f>
        <v>offset 47</v>
      </c>
    </row>
    <row r="11058" customFormat="false" ht="12.8" hidden="false" customHeight="false" outlineLevel="0" collapsed="false">
      <c r="A11058" s="0" t="s">
        <v>12</v>
      </c>
      <c r="B11058" s="0" t="n">
        <v>3484334</v>
      </c>
      <c r="C11058" s="0" t="n">
        <v>3484354</v>
      </c>
      <c r="D11058" s="0" t="s">
        <v>36703</v>
      </c>
      <c r="E11058" s="0" t="s">
        <v>75</v>
      </c>
      <c r="F11058" s="0" t="s">
        <v>15</v>
      </c>
      <c r="G11058" s="0" t="s">
        <v>32</v>
      </c>
      <c r="H11058" s="0" t="n">
        <v>108</v>
      </c>
      <c r="I11058" s="0" t="s">
        <v>36710</v>
      </c>
      <c r="J11058" s="0" t="s">
        <v>36711</v>
      </c>
      <c r="K11058" s="0" t="s">
        <v>36712</v>
      </c>
      <c r="L11058" s="0" t="str">
        <f aca="false">HYPERLINK("https://www.ncbi.nlm.nih.gov/nuccore/CP000058.1?report=graph&amp;tracks=[key:gene_model_track,Options:GeneOnly]&amp;mk=3484234:3484253|offset_7|444444,3484274:3484293|offset_47|444444,3484335:3484354|offset_108|00cc00,3484355:3484374|offset_128|444444&amp;v=3484033:3484574&amp;c=444444", "offset 108")</f>
        <v>offset 108</v>
      </c>
    </row>
    <row r="11059" customFormat="false" ht="12.8" hidden="false" customHeight="false" outlineLevel="0" collapsed="false">
      <c r="A11059" s="0" t="s">
        <v>12</v>
      </c>
      <c r="B11059" s="0" t="n">
        <v>3484354</v>
      </c>
      <c r="C11059" s="0" t="n">
        <v>3484374</v>
      </c>
      <c r="D11059" s="0" t="s">
        <v>36703</v>
      </c>
      <c r="E11059" s="0" t="s">
        <v>75</v>
      </c>
      <c r="F11059" s="0" t="s">
        <v>15</v>
      </c>
      <c r="G11059" s="0" t="s">
        <v>36</v>
      </c>
      <c r="H11059" s="0" t="n">
        <v>128</v>
      </c>
      <c r="I11059" s="0" t="s">
        <v>36713</v>
      </c>
      <c r="J11059" s="0" t="s">
        <v>36714</v>
      </c>
      <c r="K11059" s="0" t="s">
        <v>36715</v>
      </c>
      <c r="L11059" s="0" t="str">
        <f aca="false">HYPERLINK("https://www.ncbi.nlm.nih.gov/nuccore/CP000058.1?report=graph&amp;tracks=[key:gene_model_track,Options:GeneOnly]&amp;mk=3484234:3484253|offset_7|444444,3484274:3484293|offset_47|444444,3484335:3484354|offset_108|444444,3484355:3484374|offset_128|00cc00&amp;v=3484033:3484574&amp;c=444444", "offset 128")</f>
        <v>offset 128</v>
      </c>
    </row>
    <row r="11060" customFormat="false" ht="12.8" hidden="false" customHeight="false" outlineLevel="0" collapsed="false">
      <c r="A11060" s="0" t="s">
        <v>12</v>
      </c>
      <c r="B11060" s="0" t="n">
        <v>3485101</v>
      </c>
      <c r="C11060" s="0" t="n">
        <v>3485121</v>
      </c>
      <c r="D11060" s="0" t="s">
        <v>36716</v>
      </c>
      <c r="E11060" s="0" t="s">
        <v>75</v>
      </c>
      <c r="F11060" s="0" t="s">
        <v>15</v>
      </c>
      <c r="G11060" s="0" t="s">
        <v>32</v>
      </c>
      <c r="H11060" s="0" t="n">
        <v>1</v>
      </c>
      <c r="I11060" s="0" t="s">
        <v>36717</v>
      </c>
      <c r="J11060" s="0" t="s">
        <v>36718</v>
      </c>
      <c r="K11060" s="0" t="s">
        <v>36719</v>
      </c>
      <c r="L11060" s="0" t="str">
        <f aca="false">HYPERLINK("https://www.ncbi.nlm.nih.gov/nuccore/CP000058.1?report=graph&amp;tracks=[key:gene_model_track,Options:GeneOnly]&amp;mk=3485102:3485121|offset_1|00cc00,3485122:3485141|offset_21|444444,3485189:3485208|offset_88|444444,3485211:3485230|offset_110|444444&amp;v=3484901:3485430&amp;c=444444", "offset 1")</f>
        <v>offset 1</v>
      </c>
    </row>
    <row r="11061" customFormat="false" ht="12.8" hidden="false" customHeight="false" outlineLevel="0" collapsed="false">
      <c r="A11061" s="0" t="s">
        <v>12</v>
      </c>
      <c r="B11061" s="0" t="n">
        <v>3485121</v>
      </c>
      <c r="C11061" s="0" t="n">
        <v>3485141</v>
      </c>
      <c r="D11061" s="0" t="s">
        <v>36716</v>
      </c>
      <c r="E11061" s="0" t="s">
        <v>75</v>
      </c>
      <c r="F11061" s="0" t="s">
        <v>15</v>
      </c>
      <c r="G11061" s="0" t="s">
        <v>32</v>
      </c>
      <c r="H11061" s="0" t="n">
        <v>21</v>
      </c>
      <c r="I11061" s="0" t="s">
        <v>36720</v>
      </c>
      <c r="J11061" s="0" t="s">
        <v>36721</v>
      </c>
      <c r="K11061" s="0" t="s">
        <v>36722</v>
      </c>
      <c r="L11061" s="0" t="str">
        <f aca="false">HYPERLINK("https://www.ncbi.nlm.nih.gov/nuccore/CP000058.1?report=graph&amp;tracks=[key:gene_model_track,Options:GeneOnly]&amp;mk=3485102:3485121|offset_1|444444,3485122:3485141|offset_21|00cc00,3485189:3485208|offset_88|444444,3485211:3485230|offset_110|444444&amp;v=3484901:3485430&amp;c=444444", "offset 21")</f>
        <v>offset 21</v>
      </c>
    </row>
    <row r="11062" customFormat="false" ht="12.8" hidden="false" customHeight="false" outlineLevel="0" collapsed="false">
      <c r="A11062" s="0" t="s">
        <v>12</v>
      </c>
      <c r="B11062" s="0" t="n">
        <v>3485188</v>
      </c>
      <c r="C11062" s="0" t="n">
        <v>3485208</v>
      </c>
      <c r="D11062" s="0" t="s">
        <v>36716</v>
      </c>
      <c r="E11062" s="0" t="s">
        <v>75</v>
      </c>
      <c r="F11062" s="0" t="s">
        <v>15</v>
      </c>
      <c r="G11062" s="0" t="s">
        <v>16</v>
      </c>
      <c r="H11062" s="0" t="n">
        <v>88</v>
      </c>
      <c r="I11062" s="0" t="s">
        <v>36723</v>
      </c>
      <c r="J11062" s="0" t="s">
        <v>36724</v>
      </c>
      <c r="K11062" s="0" t="s">
        <v>36725</v>
      </c>
      <c r="L11062" s="0" t="str">
        <f aca="false">HYPERLINK("https://www.ncbi.nlm.nih.gov/nuccore/CP000058.1?report=graph&amp;tracks=[key:gene_model_track,Options:GeneOnly]&amp;mk=3485102:3485121|offset_1|444444,3485122:3485141|offset_21|444444,3485189:3485208|offset_88|00cc00,3485211:3485230|offset_110|444444&amp;v=3484901:3485430&amp;c=444444", "offset 88")</f>
        <v>offset 88</v>
      </c>
    </row>
    <row r="11063" customFormat="false" ht="12.8" hidden="false" customHeight="false" outlineLevel="0" collapsed="false">
      <c r="A11063" s="0" t="s">
        <v>12</v>
      </c>
      <c r="B11063" s="0" t="n">
        <v>3485210</v>
      </c>
      <c r="C11063" s="0" t="n">
        <v>3485230</v>
      </c>
      <c r="D11063" s="0" t="s">
        <v>36716</v>
      </c>
      <c r="E11063" s="0" t="s">
        <v>75</v>
      </c>
      <c r="F11063" s="0" t="s">
        <v>15</v>
      </c>
      <c r="G11063" s="0" t="s">
        <v>20</v>
      </c>
      <c r="H11063" s="0" t="n">
        <v>110</v>
      </c>
      <c r="I11063" s="0" t="s">
        <v>36726</v>
      </c>
      <c r="J11063" s="0" t="s">
        <v>36727</v>
      </c>
      <c r="K11063" s="0" t="s">
        <v>36728</v>
      </c>
      <c r="L11063" s="0" t="str">
        <f aca="false">HYPERLINK("https://www.ncbi.nlm.nih.gov/nuccore/CP000058.1?report=graph&amp;tracks=[key:gene_model_track,Options:GeneOnly]&amp;mk=3485102:3485121|offset_1|444444,3485122:3485141|offset_21|444444,3485189:3485208|offset_88|444444,3485211:3485230|offset_110|00cc00&amp;v=3484901:3485430&amp;c=444444", "offset 110")</f>
        <v>offset 110</v>
      </c>
    </row>
    <row r="11064" customFormat="false" ht="12.8" hidden="false" customHeight="false" outlineLevel="0" collapsed="false">
      <c r="A11064" s="0" t="s">
        <v>12</v>
      </c>
      <c r="B11064" s="0" t="n">
        <v>3486867</v>
      </c>
      <c r="C11064" s="0" t="n">
        <v>3486887</v>
      </c>
      <c r="D11064" s="0" t="s">
        <v>36729</v>
      </c>
      <c r="E11064" s="0" t="s">
        <v>75</v>
      </c>
      <c r="F11064" s="0" t="s">
        <v>15</v>
      </c>
      <c r="G11064" s="0" t="s">
        <v>32</v>
      </c>
      <c r="H11064" s="0" t="n">
        <v>12</v>
      </c>
      <c r="I11064" s="0" t="s">
        <v>36730</v>
      </c>
      <c r="J11064" s="0" t="s">
        <v>36731</v>
      </c>
      <c r="K11064" s="0" t="s">
        <v>36732</v>
      </c>
      <c r="L11064" s="0" t="str">
        <f aca="false">HYPERLINK("https://www.ncbi.nlm.nih.gov/nuccore/CP000058.1?report=graph&amp;tracks=[key:gene_model_track,Options:GeneOnly]&amp;mk=3486868:3486887|offset_12|00cc00,3486900:3486919|offset_44|444444,3486920:3486939|offset_64|444444,3486942:3486961|offset_86|444444&amp;v=3486667:3487161&amp;c=444444", "offset 12")</f>
        <v>offset 12</v>
      </c>
    </row>
    <row r="11065" customFormat="false" ht="12.8" hidden="false" customHeight="false" outlineLevel="0" collapsed="false">
      <c r="A11065" s="0" t="s">
        <v>12</v>
      </c>
      <c r="B11065" s="0" t="n">
        <v>3486899</v>
      </c>
      <c r="C11065" s="0" t="n">
        <v>3486919</v>
      </c>
      <c r="D11065" s="0" t="s">
        <v>36729</v>
      </c>
      <c r="E11065" s="0" t="s">
        <v>75</v>
      </c>
      <c r="F11065" s="0" t="s">
        <v>15</v>
      </c>
      <c r="G11065" s="0" t="s">
        <v>36</v>
      </c>
      <c r="H11065" s="0" t="n">
        <v>44</v>
      </c>
      <c r="I11065" s="0" t="s">
        <v>36733</v>
      </c>
      <c r="J11065" s="0" t="s">
        <v>36734</v>
      </c>
      <c r="K11065" s="0" t="s">
        <v>36735</v>
      </c>
      <c r="L11065" s="0" t="str">
        <f aca="false">HYPERLINK("https://www.ncbi.nlm.nih.gov/nuccore/CP000058.1?report=graph&amp;tracks=[key:gene_model_track,Options:GeneOnly]&amp;mk=3486868:3486887|offset_12|444444,3486900:3486919|offset_44|00cc00,3486920:3486939|offset_64|444444,3486942:3486961|offset_86|444444&amp;v=3486667:3487161&amp;c=444444", "offset 44")</f>
        <v>offset 44</v>
      </c>
    </row>
    <row r="11066" customFormat="false" ht="12.8" hidden="false" customHeight="false" outlineLevel="0" collapsed="false">
      <c r="A11066" s="0" t="s">
        <v>12</v>
      </c>
      <c r="B11066" s="0" t="n">
        <v>3486919</v>
      </c>
      <c r="C11066" s="0" t="n">
        <v>3486939</v>
      </c>
      <c r="D11066" s="0" t="s">
        <v>36729</v>
      </c>
      <c r="E11066" s="0" t="s">
        <v>75</v>
      </c>
      <c r="F11066" s="0" t="s">
        <v>15</v>
      </c>
      <c r="G11066" s="0" t="s">
        <v>16</v>
      </c>
      <c r="H11066" s="0" t="n">
        <v>64</v>
      </c>
      <c r="I11066" s="0" t="s">
        <v>36736</v>
      </c>
      <c r="J11066" s="0" t="s">
        <v>36737</v>
      </c>
      <c r="K11066" s="0" t="s">
        <v>36738</v>
      </c>
      <c r="L11066" s="0" t="str">
        <f aca="false">HYPERLINK("https://www.ncbi.nlm.nih.gov/nuccore/CP000058.1?report=graph&amp;tracks=[key:gene_model_track,Options:GeneOnly]&amp;mk=3486868:3486887|offset_12|444444,3486900:3486919|offset_44|444444,3486920:3486939|offset_64|00cc00,3486942:3486961|offset_86|444444&amp;v=3486667:3487161&amp;c=444444", "offset 64")</f>
        <v>offset 64</v>
      </c>
    </row>
    <row r="11067" customFormat="false" ht="12.8" hidden="false" customHeight="false" outlineLevel="0" collapsed="false">
      <c r="A11067" s="0" t="s">
        <v>12</v>
      </c>
      <c r="B11067" s="0" t="n">
        <v>3486941</v>
      </c>
      <c r="C11067" s="0" t="n">
        <v>3486961</v>
      </c>
      <c r="D11067" s="0" t="s">
        <v>36729</v>
      </c>
      <c r="E11067" s="0" t="s">
        <v>75</v>
      </c>
      <c r="F11067" s="0" t="s">
        <v>15</v>
      </c>
      <c r="G11067" s="0" t="s">
        <v>16</v>
      </c>
      <c r="H11067" s="0" t="n">
        <v>86</v>
      </c>
      <c r="I11067" s="0" t="s">
        <v>36739</v>
      </c>
      <c r="J11067" s="0" t="s">
        <v>36740</v>
      </c>
      <c r="K11067" s="0" t="s">
        <v>36741</v>
      </c>
      <c r="L11067" s="0" t="str">
        <f aca="false">HYPERLINK("https://www.ncbi.nlm.nih.gov/nuccore/CP000058.1?report=graph&amp;tracks=[key:gene_model_track,Options:GeneOnly]&amp;mk=3486868:3486887|offset_12|444444,3486900:3486919|offset_44|444444,3486920:3486939|offset_64|444444,3486942:3486961|offset_86|00cc00&amp;v=3486667:3487161&amp;c=444444", "offset 86")</f>
        <v>offset 86</v>
      </c>
    </row>
    <row r="11068" customFormat="false" ht="12.8" hidden="false" customHeight="false" outlineLevel="0" collapsed="false">
      <c r="A11068" s="0" t="s">
        <v>12</v>
      </c>
      <c r="B11068" s="0" t="n">
        <v>3488429</v>
      </c>
      <c r="C11068" s="0" t="n">
        <v>3488449</v>
      </c>
      <c r="D11068" s="0" t="s">
        <v>36742</v>
      </c>
      <c r="E11068" s="0" t="s">
        <v>75</v>
      </c>
      <c r="F11068" s="0" t="s">
        <v>90</v>
      </c>
      <c r="G11068" s="0" t="s">
        <v>20</v>
      </c>
      <c r="H11068" s="0" t="n">
        <v>16</v>
      </c>
      <c r="I11068" s="0" t="s">
        <v>36743</v>
      </c>
      <c r="J11068" s="0" t="s">
        <v>36744</v>
      </c>
      <c r="K11068" s="0" t="s">
        <v>36745</v>
      </c>
      <c r="L11068" s="0" t="str">
        <f aca="false">HYPERLINK("https://www.ncbi.nlm.nih.gov/nuccore/CP000058.1?report=graph&amp;tracks=[key:gene_model_track,Options:GeneOnly]&amp;mk=3488430:3488449|offset_16|00cc00,3488376:3488395|offset_70|444444,3488354:3488373|offset_92|444444,3488333:3488352|offset_113|444444&amp;v=3488229:3488552&amp;c=444444", "offset 16")</f>
        <v>offset 16</v>
      </c>
    </row>
    <row r="11069" customFormat="false" ht="12.8" hidden="false" customHeight="false" outlineLevel="0" collapsed="false">
      <c r="A11069" s="0" t="s">
        <v>12</v>
      </c>
      <c r="B11069" s="0" t="n">
        <v>3488375</v>
      </c>
      <c r="C11069" s="0" t="n">
        <v>3488395</v>
      </c>
      <c r="D11069" s="0" t="s">
        <v>36742</v>
      </c>
      <c r="E11069" s="0" t="s">
        <v>75</v>
      </c>
      <c r="F11069" s="0" t="s">
        <v>90</v>
      </c>
      <c r="G11069" s="0" t="s">
        <v>20</v>
      </c>
      <c r="H11069" s="0" t="n">
        <v>70</v>
      </c>
      <c r="I11069" s="0" t="s">
        <v>36746</v>
      </c>
      <c r="J11069" s="0" t="s">
        <v>36747</v>
      </c>
      <c r="K11069" s="0" t="s">
        <v>36748</v>
      </c>
      <c r="L11069" s="0" t="str">
        <f aca="false">HYPERLINK("https://www.ncbi.nlm.nih.gov/nuccore/CP000058.1?report=graph&amp;tracks=[key:gene_model_track,Options:GeneOnly]&amp;mk=3488430:3488449|offset_16|444444,3488376:3488395|offset_70|00cc00,3488354:3488373|offset_92|444444,3488333:3488352|offset_113|444444&amp;v=3488229:3488552&amp;c=444444", "offset 70")</f>
        <v>offset 70</v>
      </c>
    </row>
    <row r="11070" customFormat="false" ht="12.8" hidden="false" customHeight="false" outlineLevel="0" collapsed="false">
      <c r="A11070" s="0" t="s">
        <v>12</v>
      </c>
      <c r="B11070" s="0" t="n">
        <v>3488353</v>
      </c>
      <c r="C11070" s="0" t="n">
        <v>3488373</v>
      </c>
      <c r="D11070" s="0" t="s">
        <v>36742</v>
      </c>
      <c r="E11070" s="0" t="s">
        <v>75</v>
      </c>
      <c r="F11070" s="0" t="s">
        <v>90</v>
      </c>
      <c r="G11070" s="0" t="s">
        <v>20</v>
      </c>
      <c r="H11070" s="0" t="n">
        <v>92</v>
      </c>
      <c r="I11070" s="0" t="s">
        <v>36749</v>
      </c>
      <c r="J11070" s="0" t="s">
        <v>36750</v>
      </c>
      <c r="K11070" s="0" t="s">
        <v>36751</v>
      </c>
      <c r="L11070" s="0" t="str">
        <f aca="false">HYPERLINK("https://www.ncbi.nlm.nih.gov/nuccore/CP000058.1?report=graph&amp;tracks=[key:gene_model_track,Options:GeneOnly]&amp;mk=3488430:3488449|offset_16|444444,3488376:3488395|offset_70|444444,3488354:3488373|offset_92|00cc00,3488333:3488352|offset_113|444444&amp;v=3488229:3488552&amp;c=444444", "offset 92")</f>
        <v>offset 92</v>
      </c>
    </row>
    <row r="11071" customFormat="false" ht="12.8" hidden="false" customHeight="false" outlineLevel="0" collapsed="false">
      <c r="A11071" s="0" t="s">
        <v>12</v>
      </c>
      <c r="B11071" s="0" t="n">
        <v>3488332</v>
      </c>
      <c r="C11071" s="0" t="n">
        <v>3488352</v>
      </c>
      <c r="D11071" s="0" t="s">
        <v>36742</v>
      </c>
      <c r="E11071" s="0" t="s">
        <v>75</v>
      </c>
      <c r="F11071" s="0" t="s">
        <v>90</v>
      </c>
      <c r="G11071" s="0" t="s">
        <v>16</v>
      </c>
      <c r="H11071" s="0" t="n">
        <v>113</v>
      </c>
      <c r="I11071" s="0" t="s">
        <v>36752</v>
      </c>
      <c r="J11071" s="0" t="s">
        <v>36753</v>
      </c>
      <c r="K11071" s="0" t="s">
        <v>36754</v>
      </c>
      <c r="L11071" s="0" t="str">
        <f aca="false">HYPERLINK("https://www.ncbi.nlm.nih.gov/nuccore/CP000058.1?report=graph&amp;tracks=[key:gene_model_track,Options:GeneOnly]&amp;mk=3488430:3488449|offset_16|444444,3488376:3488395|offset_70|444444,3488354:3488373|offset_92|444444,3488333:3488352|offset_113|00cc00&amp;v=3488229:3488552&amp;c=444444", "offset 113")</f>
        <v>offset 113</v>
      </c>
    </row>
    <row r="11072" customFormat="false" ht="12.8" hidden="false" customHeight="false" outlineLevel="0" collapsed="false">
      <c r="A11072" s="0" t="s">
        <v>12</v>
      </c>
      <c r="B11072" s="0" t="n">
        <v>3488478</v>
      </c>
      <c r="C11072" s="0" t="n">
        <v>3488498</v>
      </c>
      <c r="D11072" s="0" t="s">
        <v>36755</v>
      </c>
      <c r="E11072" s="0" t="s">
        <v>75</v>
      </c>
      <c r="F11072" s="0" t="s">
        <v>15</v>
      </c>
      <c r="G11072" s="0" t="s">
        <v>20</v>
      </c>
      <c r="H11072" s="0" t="n">
        <v>1</v>
      </c>
      <c r="I11072" s="0" t="s">
        <v>36756</v>
      </c>
      <c r="J11072" s="0" t="s">
        <v>36757</v>
      </c>
      <c r="K11072" s="0" t="s">
        <v>36758</v>
      </c>
      <c r="L11072" s="0" t="str">
        <f aca="false">HYPERLINK("https://www.ncbi.nlm.nih.gov/nuccore/CP000058.1?report=graph&amp;tracks=[key:gene_model_track,Options:GeneOnly]&amp;mk=3488479:3488498|offset_1|00cc00,3488501:3488520|offset_23|444444,3488523:3488542|offset_45|444444,3488555:3488574|offset_77|444444&amp;v=3488278:3488774&amp;c=444444", "offset 1")</f>
        <v>offset 1</v>
      </c>
    </row>
    <row r="11073" customFormat="false" ht="12.8" hidden="false" customHeight="false" outlineLevel="0" collapsed="false">
      <c r="A11073" s="0" t="s">
        <v>12</v>
      </c>
      <c r="B11073" s="0" t="n">
        <v>3488500</v>
      </c>
      <c r="C11073" s="0" t="n">
        <v>3488520</v>
      </c>
      <c r="D11073" s="0" t="s">
        <v>36755</v>
      </c>
      <c r="E11073" s="0" t="s">
        <v>75</v>
      </c>
      <c r="F11073" s="0" t="s">
        <v>15</v>
      </c>
      <c r="G11073" s="0" t="s">
        <v>32</v>
      </c>
      <c r="H11073" s="0" t="n">
        <v>23</v>
      </c>
      <c r="I11073" s="0" t="s">
        <v>36759</v>
      </c>
      <c r="J11073" s="0" t="s">
        <v>36760</v>
      </c>
      <c r="K11073" s="0" t="s">
        <v>36761</v>
      </c>
      <c r="L11073" s="0" t="str">
        <f aca="false">HYPERLINK("https://www.ncbi.nlm.nih.gov/nuccore/CP000058.1?report=graph&amp;tracks=[key:gene_model_track,Options:GeneOnly]&amp;mk=3488479:3488498|offset_1|444444,3488501:3488520|offset_23|00cc00,3488523:3488542|offset_45|444444,3488555:3488574|offset_77|444444&amp;v=3488278:3488774&amp;c=444444", "offset 23")</f>
        <v>offset 23</v>
      </c>
    </row>
    <row r="11074" customFormat="false" ht="12.8" hidden="false" customHeight="false" outlineLevel="0" collapsed="false">
      <c r="A11074" s="0" t="s">
        <v>12</v>
      </c>
      <c r="B11074" s="0" t="n">
        <v>3488522</v>
      </c>
      <c r="C11074" s="0" t="n">
        <v>3488542</v>
      </c>
      <c r="D11074" s="0" t="s">
        <v>36755</v>
      </c>
      <c r="E11074" s="0" t="s">
        <v>75</v>
      </c>
      <c r="F11074" s="0" t="s">
        <v>15</v>
      </c>
      <c r="G11074" s="0" t="s">
        <v>36</v>
      </c>
      <c r="H11074" s="0" t="n">
        <v>45</v>
      </c>
      <c r="I11074" s="0" t="s">
        <v>36762</v>
      </c>
      <c r="J11074" s="0" t="s">
        <v>36763</v>
      </c>
      <c r="K11074" s="0" t="s">
        <v>36764</v>
      </c>
      <c r="L11074" s="0" t="str">
        <f aca="false">HYPERLINK("https://www.ncbi.nlm.nih.gov/nuccore/CP000058.1?report=graph&amp;tracks=[key:gene_model_track,Options:GeneOnly]&amp;mk=3488479:3488498|offset_1|444444,3488501:3488520|offset_23|444444,3488523:3488542|offset_45|00cc00,3488555:3488574|offset_77|444444&amp;v=3488278:3488774&amp;c=444444", "offset 45")</f>
        <v>offset 45</v>
      </c>
    </row>
    <row r="11075" customFormat="false" ht="12.8" hidden="false" customHeight="false" outlineLevel="0" collapsed="false">
      <c r="A11075" s="0" t="s">
        <v>12</v>
      </c>
      <c r="B11075" s="0" t="n">
        <v>3488554</v>
      </c>
      <c r="C11075" s="0" t="n">
        <v>3488574</v>
      </c>
      <c r="D11075" s="0" t="s">
        <v>36755</v>
      </c>
      <c r="E11075" s="0" t="s">
        <v>75</v>
      </c>
      <c r="F11075" s="0" t="s">
        <v>15</v>
      </c>
      <c r="G11075" s="0" t="s">
        <v>16</v>
      </c>
      <c r="H11075" s="0" t="n">
        <v>77</v>
      </c>
      <c r="I11075" s="0" t="s">
        <v>36765</v>
      </c>
      <c r="J11075" s="0" t="s">
        <v>36766</v>
      </c>
      <c r="K11075" s="0" t="s">
        <v>36767</v>
      </c>
      <c r="L11075" s="0" t="str">
        <f aca="false">HYPERLINK("https://www.ncbi.nlm.nih.gov/nuccore/CP000058.1?report=graph&amp;tracks=[key:gene_model_track,Options:GeneOnly]&amp;mk=3488479:3488498|offset_1|444444,3488501:3488520|offset_23|444444,3488523:3488542|offset_45|444444,3488555:3488574|offset_77|00cc00&amp;v=3488278:3488774&amp;c=444444", "offset 77")</f>
        <v>offset 77</v>
      </c>
    </row>
    <row r="11076" customFormat="false" ht="12.8" hidden="false" customHeight="false" outlineLevel="0" collapsed="false">
      <c r="A11076" s="0" t="s">
        <v>12</v>
      </c>
      <c r="B11076" s="0" t="n">
        <v>3489428</v>
      </c>
      <c r="C11076" s="0" t="n">
        <v>3489448</v>
      </c>
      <c r="D11076" s="0" t="s">
        <v>36768</v>
      </c>
      <c r="E11076" s="0" t="s">
        <v>75</v>
      </c>
      <c r="F11076" s="0" t="s">
        <v>15</v>
      </c>
      <c r="G11076" s="0" t="s">
        <v>32</v>
      </c>
      <c r="H11076" s="0" t="n">
        <v>6</v>
      </c>
      <c r="I11076" s="0" t="s">
        <v>36769</v>
      </c>
      <c r="J11076" s="0" t="s">
        <v>36770</v>
      </c>
      <c r="K11076" s="0" t="s">
        <v>36771</v>
      </c>
      <c r="L11076" s="0" t="str">
        <f aca="false">HYPERLINK("https://www.ncbi.nlm.nih.gov/nuccore/CP000058.1?report=graph&amp;tracks=[key:gene_model_track,Options:GeneOnly]&amp;mk=3489429:3489448|offset_6|00cc00,3489449:3489468|offset_26|444444,3489479:3489498|offset_56|444444,3489510:3489529|offset_87|444444&amp;v=3489228:3489729&amp;c=444444", "offset 6")</f>
        <v>offset 6</v>
      </c>
    </row>
    <row r="11077" customFormat="false" ht="12.8" hidden="false" customHeight="false" outlineLevel="0" collapsed="false">
      <c r="A11077" s="0" t="s">
        <v>12</v>
      </c>
      <c r="B11077" s="0" t="n">
        <v>3489448</v>
      </c>
      <c r="C11077" s="0" t="n">
        <v>3489468</v>
      </c>
      <c r="D11077" s="0" t="s">
        <v>36768</v>
      </c>
      <c r="E11077" s="0" t="s">
        <v>75</v>
      </c>
      <c r="F11077" s="0" t="s">
        <v>15</v>
      </c>
      <c r="G11077" s="0" t="s">
        <v>20</v>
      </c>
      <c r="H11077" s="0" t="n">
        <v>26</v>
      </c>
      <c r="I11077" s="0" t="s">
        <v>36772</v>
      </c>
      <c r="J11077" s="0" t="s">
        <v>36773</v>
      </c>
      <c r="K11077" s="0" t="s">
        <v>36774</v>
      </c>
      <c r="L11077" s="0" t="str">
        <f aca="false">HYPERLINK("https://www.ncbi.nlm.nih.gov/nuccore/CP000058.1?report=graph&amp;tracks=[key:gene_model_track,Options:GeneOnly]&amp;mk=3489429:3489448|offset_6|444444,3489449:3489468|offset_26|00cc00,3489479:3489498|offset_56|444444,3489510:3489529|offset_87|444444&amp;v=3489228:3489729&amp;c=444444", "offset 26")</f>
        <v>offset 26</v>
      </c>
    </row>
    <row r="11078" customFormat="false" ht="12.8" hidden="false" customHeight="false" outlineLevel="0" collapsed="false">
      <c r="A11078" s="0" t="s">
        <v>12</v>
      </c>
      <c r="B11078" s="0" t="n">
        <v>3489478</v>
      </c>
      <c r="C11078" s="0" t="n">
        <v>3489498</v>
      </c>
      <c r="D11078" s="0" t="s">
        <v>36768</v>
      </c>
      <c r="E11078" s="0" t="s">
        <v>75</v>
      </c>
      <c r="F11078" s="0" t="s">
        <v>15</v>
      </c>
      <c r="G11078" s="0" t="s">
        <v>16</v>
      </c>
      <c r="H11078" s="0" t="n">
        <v>56</v>
      </c>
      <c r="I11078" s="0" t="s">
        <v>36775</v>
      </c>
      <c r="J11078" s="0" t="s">
        <v>36776</v>
      </c>
      <c r="K11078" s="0" t="s">
        <v>36777</v>
      </c>
      <c r="L11078" s="0" t="str">
        <f aca="false">HYPERLINK("https://www.ncbi.nlm.nih.gov/nuccore/CP000058.1?report=graph&amp;tracks=[key:gene_model_track,Options:GeneOnly]&amp;mk=3489429:3489448|offset_6|444444,3489449:3489468|offset_26|444444,3489479:3489498|offset_56|00cc00,3489510:3489529|offset_87|444444&amp;v=3489228:3489729&amp;c=444444", "offset 56")</f>
        <v>offset 56</v>
      </c>
    </row>
    <row r="11079" customFormat="false" ht="12.8" hidden="false" customHeight="false" outlineLevel="0" collapsed="false">
      <c r="A11079" s="0" t="s">
        <v>12</v>
      </c>
      <c r="B11079" s="0" t="n">
        <v>3489509</v>
      </c>
      <c r="C11079" s="0" t="n">
        <v>3489529</v>
      </c>
      <c r="D11079" s="0" t="s">
        <v>36768</v>
      </c>
      <c r="E11079" s="0" t="s">
        <v>75</v>
      </c>
      <c r="F11079" s="0" t="s">
        <v>15</v>
      </c>
      <c r="G11079" s="0" t="s">
        <v>36</v>
      </c>
      <c r="H11079" s="0" t="n">
        <v>87</v>
      </c>
      <c r="I11079" s="0" t="s">
        <v>36778</v>
      </c>
      <c r="J11079" s="0" t="s">
        <v>36779</v>
      </c>
      <c r="K11079" s="0" t="s">
        <v>36780</v>
      </c>
      <c r="L11079" s="0" t="str">
        <f aca="false">HYPERLINK("https://www.ncbi.nlm.nih.gov/nuccore/CP000058.1?report=graph&amp;tracks=[key:gene_model_track,Options:GeneOnly]&amp;mk=3489429:3489448|offset_6|444444,3489449:3489468|offset_26|444444,3489479:3489498|offset_56|444444,3489510:3489529|offset_87|00cc00&amp;v=3489228:3489729&amp;c=444444", "offset 87")</f>
        <v>offset 87</v>
      </c>
    </row>
    <row r="11080" customFormat="false" ht="12.8" hidden="false" customHeight="false" outlineLevel="0" collapsed="false">
      <c r="A11080" s="0" t="s">
        <v>12</v>
      </c>
      <c r="B11080" s="0" t="n">
        <v>3490626</v>
      </c>
      <c r="C11080" s="0" t="n">
        <v>3490646</v>
      </c>
      <c r="D11080" s="0" t="s">
        <v>36781</v>
      </c>
      <c r="E11080" s="0" t="s">
        <v>75</v>
      </c>
      <c r="F11080" s="0" t="s">
        <v>15</v>
      </c>
      <c r="G11080" s="0" t="s">
        <v>32</v>
      </c>
      <c r="H11080" s="0" t="n">
        <v>26</v>
      </c>
      <c r="I11080" s="0" t="s">
        <v>36782</v>
      </c>
      <c r="J11080" s="0" t="s">
        <v>36783</v>
      </c>
      <c r="K11080" s="0" t="s">
        <v>36784</v>
      </c>
      <c r="L11080" s="0" t="str">
        <f aca="false">HYPERLINK("https://www.ncbi.nlm.nih.gov/nuccore/CP000058.1?report=graph&amp;tracks=[key:gene_model_track,Options:GeneOnly]&amp;mk=3490627:3490646|offset_26|00cc00,3490692:3490711|offset_91|444444,3490728:3490747|offset_127|444444,3490762:3490781|offset_161|444444&amp;v=3490426:3490981&amp;c=444444", "offset 26")</f>
        <v>offset 26</v>
      </c>
    </row>
    <row r="11081" customFormat="false" ht="12.8" hidden="false" customHeight="false" outlineLevel="0" collapsed="false">
      <c r="A11081" s="0" t="s">
        <v>12</v>
      </c>
      <c r="B11081" s="0" t="n">
        <v>3490691</v>
      </c>
      <c r="C11081" s="0" t="n">
        <v>3490711</v>
      </c>
      <c r="D11081" s="0" t="s">
        <v>36781</v>
      </c>
      <c r="E11081" s="0" t="s">
        <v>75</v>
      </c>
      <c r="F11081" s="0" t="s">
        <v>15</v>
      </c>
      <c r="G11081" s="0" t="s">
        <v>20</v>
      </c>
      <c r="H11081" s="0" t="n">
        <v>91</v>
      </c>
      <c r="I11081" s="0" t="s">
        <v>36785</v>
      </c>
      <c r="J11081" s="0" t="s">
        <v>36786</v>
      </c>
      <c r="K11081" s="0" t="s">
        <v>36787</v>
      </c>
      <c r="L11081" s="0" t="str">
        <f aca="false">HYPERLINK("https://www.ncbi.nlm.nih.gov/nuccore/CP000058.1?report=graph&amp;tracks=[key:gene_model_track,Options:GeneOnly]&amp;mk=3490627:3490646|offset_26|444444,3490692:3490711|offset_91|00cc00,3490728:3490747|offset_127|444444,3490762:3490781|offset_161|444444&amp;v=3490426:3490981&amp;c=444444", "offset 91")</f>
        <v>offset 91</v>
      </c>
    </row>
    <row r="11082" customFormat="false" ht="12.8" hidden="false" customHeight="false" outlineLevel="0" collapsed="false">
      <c r="A11082" s="0" t="s">
        <v>12</v>
      </c>
      <c r="B11082" s="0" t="n">
        <v>3490727</v>
      </c>
      <c r="C11082" s="0" t="n">
        <v>3490747</v>
      </c>
      <c r="D11082" s="0" t="s">
        <v>36781</v>
      </c>
      <c r="E11082" s="0" t="s">
        <v>75</v>
      </c>
      <c r="F11082" s="0" t="s">
        <v>15</v>
      </c>
      <c r="G11082" s="0" t="s">
        <v>32</v>
      </c>
      <c r="H11082" s="0" t="n">
        <v>127</v>
      </c>
      <c r="I11082" s="0" t="s">
        <v>36788</v>
      </c>
      <c r="J11082" s="0" t="s">
        <v>36789</v>
      </c>
      <c r="K11082" s="0" t="s">
        <v>36790</v>
      </c>
      <c r="L11082" s="0" t="str">
        <f aca="false">HYPERLINK("https://www.ncbi.nlm.nih.gov/nuccore/CP000058.1?report=graph&amp;tracks=[key:gene_model_track,Options:GeneOnly]&amp;mk=3490627:3490646|offset_26|444444,3490692:3490711|offset_91|444444,3490728:3490747|offset_127|00cc00,3490762:3490781|offset_161|444444&amp;v=3490426:3490981&amp;c=444444", "offset 127")</f>
        <v>offset 127</v>
      </c>
    </row>
    <row r="11083" customFormat="false" ht="12.8" hidden="false" customHeight="false" outlineLevel="0" collapsed="false">
      <c r="A11083" s="0" t="s">
        <v>12</v>
      </c>
      <c r="B11083" s="0" t="n">
        <v>3490761</v>
      </c>
      <c r="C11083" s="0" t="n">
        <v>3490781</v>
      </c>
      <c r="D11083" s="0" t="s">
        <v>36781</v>
      </c>
      <c r="E11083" s="0" t="s">
        <v>75</v>
      </c>
      <c r="F11083" s="0" t="s">
        <v>15</v>
      </c>
      <c r="G11083" s="0" t="s">
        <v>36</v>
      </c>
      <c r="H11083" s="0" t="n">
        <v>161</v>
      </c>
      <c r="I11083" s="0" t="s">
        <v>36791</v>
      </c>
      <c r="J11083" s="0" t="s">
        <v>36792</v>
      </c>
      <c r="K11083" s="0" t="s">
        <v>36793</v>
      </c>
      <c r="L11083" s="0" t="str">
        <f aca="false">HYPERLINK("https://www.ncbi.nlm.nih.gov/nuccore/CP000058.1?report=graph&amp;tracks=[key:gene_model_track,Options:GeneOnly]&amp;mk=3490627:3490646|offset_26|444444,3490692:3490711|offset_91|444444,3490728:3490747|offset_127|444444,3490762:3490781|offset_161|00cc00&amp;v=3490426:3490981&amp;c=444444", "offset 161")</f>
        <v>offset 161</v>
      </c>
    </row>
    <row r="11084" customFormat="false" ht="12.8" hidden="false" customHeight="false" outlineLevel="0" collapsed="false">
      <c r="A11084" s="0" t="s">
        <v>12</v>
      </c>
      <c r="B11084" s="0" t="n">
        <v>3491629</v>
      </c>
      <c r="C11084" s="0" t="n">
        <v>3491649</v>
      </c>
      <c r="D11084" s="0" t="s">
        <v>36794</v>
      </c>
      <c r="E11084" s="0" t="s">
        <v>75</v>
      </c>
      <c r="F11084" s="0" t="s">
        <v>15</v>
      </c>
      <c r="G11084" s="0" t="s">
        <v>20</v>
      </c>
      <c r="H11084" s="0" t="n">
        <v>10</v>
      </c>
      <c r="I11084" s="0" t="s">
        <v>36795</v>
      </c>
      <c r="J11084" s="0" t="s">
        <v>36796</v>
      </c>
      <c r="K11084" s="0" t="s">
        <v>36797</v>
      </c>
      <c r="L11084" s="0" t="str">
        <f aca="false">HYPERLINK("https://www.ncbi.nlm.nih.gov/nuccore/CP000058.1?report=graph&amp;tracks=[key:gene_model_track,Options:GeneOnly]&amp;mk=3491630:3491649|offset_10|00cc00,3491669:3491688|offset_49|444444,3491732:3491751|offset_112|444444,3491757:3491776|offset_137|444444&amp;v=3491429:3491976&amp;c=444444", "offset 10")</f>
        <v>offset 10</v>
      </c>
    </row>
    <row r="11085" customFormat="false" ht="12.8" hidden="false" customHeight="false" outlineLevel="0" collapsed="false">
      <c r="A11085" s="0" t="s">
        <v>12</v>
      </c>
      <c r="B11085" s="0" t="n">
        <v>3491668</v>
      </c>
      <c r="C11085" s="0" t="n">
        <v>3491688</v>
      </c>
      <c r="D11085" s="0" t="s">
        <v>36794</v>
      </c>
      <c r="E11085" s="0" t="s">
        <v>75</v>
      </c>
      <c r="F11085" s="0" t="s">
        <v>15</v>
      </c>
      <c r="G11085" s="0" t="s">
        <v>16</v>
      </c>
      <c r="H11085" s="0" t="n">
        <v>49</v>
      </c>
      <c r="I11085" s="0" t="s">
        <v>36798</v>
      </c>
      <c r="J11085" s="0" t="s">
        <v>36799</v>
      </c>
      <c r="K11085" s="0" t="s">
        <v>36800</v>
      </c>
      <c r="L11085" s="0" t="str">
        <f aca="false">HYPERLINK("https://www.ncbi.nlm.nih.gov/nuccore/CP000058.1?report=graph&amp;tracks=[key:gene_model_track,Options:GeneOnly]&amp;mk=3491630:3491649|offset_10|444444,3491669:3491688|offset_49|00cc00,3491732:3491751|offset_112|444444,3491757:3491776|offset_137|444444&amp;v=3491429:3491976&amp;c=444444", "offset 49")</f>
        <v>offset 49</v>
      </c>
    </row>
    <row r="11086" customFormat="false" ht="12.8" hidden="false" customHeight="false" outlineLevel="0" collapsed="false">
      <c r="A11086" s="0" t="s">
        <v>12</v>
      </c>
      <c r="B11086" s="0" t="n">
        <v>3491731</v>
      </c>
      <c r="C11086" s="0" t="n">
        <v>3491751</v>
      </c>
      <c r="D11086" s="0" t="s">
        <v>36794</v>
      </c>
      <c r="E11086" s="0" t="s">
        <v>75</v>
      </c>
      <c r="F11086" s="0" t="s">
        <v>15</v>
      </c>
      <c r="G11086" s="0" t="s">
        <v>16</v>
      </c>
      <c r="H11086" s="0" t="n">
        <v>112</v>
      </c>
      <c r="I11086" s="0" t="s">
        <v>36801</v>
      </c>
      <c r="J11086" s="0" t="s">
        <v>36802</v>
      </c>
      <c r="K11086" s="0" t="s">
        <v>36803</v>
      </c>
      <c r="L11086" s="0" t="str">
        <f aca="false">HYPERLINK("https://www.ncbi.nlm.nih.gov/nuccore/CP000058.1?report=graph&amp;tracks=[key:gene_model_track,Options:GeneOnly]&amp;mk=3491630:3491649|offset_10|444444,3491669:3491688|offset_49|444444,3491732:3491751|offset_112|00cc00,3491757:3491776|offset_137|444444&amp;v=3491429:3491976&amp;c=444444", "offset 112")</f>
        <v>offset 112</v>
      </c>
    </row>
    <row r="11087" customFormat="false" ht="12.8" hidden="false" customHeight="false" outlineLevel="0" collapsed="false">
      <c r="A11087" s="0" t="s">
        <v>12</v>
      </c>
      <c r="B11087" s="0" t="n">
        <v>3491756</v>
      </c>
      <c r="C11087" s="0" t="n">
        <v>3491776</v>
      </c>
      <c r="D11087" s="0" t="s">
        <v>36794</v>
      </c>
      <c r="E11087" s="0" t="s">
        <v>75</v>
      </c>
      <c r="F11087" s="0" t="s">
        <v>15</v>
      </c>
      <c r="G11087" s="0" t="s">
        <v>36</v>
      </c>
      <c r="H11087" s="0" t="n">
        <v>137</v>
      </c>
      <c r="I11087" s="0" t="s">
        <v>36804</v>
      </c>
      <c r="J11087" s="0" t="s">
        <v>36805</v>
      </c>
      <c r="K11087" s="0" t="s">
        <v>36806</v>
      </c>
      <c r="L11087" s="0" t="str">
        <f aca="false">HYPERLINK("https://www.ncbi.nlm.nih.gov/nuccore/CP000058.1?report=graph&amp;tracks=[key:gene_model_track,Options:GeneOnly]&amp;mk=3491630:3491649|offset_10|444444,3491669:3491688|offset_49|444444,3491732:3491751|offset_112|444444,3491757:3491776|offset_137|00cc00&amp;v=3491429:3491976&amp;c=444444", "offset 137")</f>
        <v>offset 137</v>
      </c>
    </row>
    <row r="11088" customFormat="false" ht="12.8" hidden="false" customHeight="false" outlineLevel="0" collapsed="false">
      <c r="A11088" s="0" t="s">
        <v>12</v>
      </c>
      <c r="B11088" s="0" t="n">
        <v>3492421</v>
      </c>
      <c r="C11088" s="0" t="n">
        <v>3492441</v>
      </c>
      <c r="D11088" s="0" t="s">
        <v>36807</v>
      </c>
      <c r="E11088" s="0" t="s">
        <v>75</v>
      </c>
      <c r="F11088" s="0" t="s">
        <v>15</v>
      </c>
      <c r="G11088" s="0" t="s">
        <v>16</v>
      </c>
      <c r="H11088" s="0" t="n">
        <v>0</v>
      </c>
      <c r="I11088" s="0" t="s">
        <v>36808</v>
      </c>
      <c r="J11088" s="0" t="s">
        <v>36809</v>
      </c>
      <c r="K11088" s="0" t="s">
        <v>36810</v>
      </c>
      <c r="L11088" s="0" t="str">
        <f aca="false">HYPERLINK("https://www.ncbi.nlm.nih.gov/nuccore/CP000058.1?report=graph&amp;tracks=[key:gene_model_track,Options:GeneOnly]&amp;mk=3492422:3492441|offset_0|00cc00,3492465:3492484|offset_43|444444,3492499:3492518|offset_77|444444,3492519:3492538|offset_97|444444&amp;v=3492221:3492738&amp;c=444444", "offset 0")</f>
        <v>offset 0</v>
      </c>
    </row>
    <row r="11089" customFormat="false" ht="12.8" hidden="false" customHeight="false" outlineLevel="0" collapsed="false">
      <c r="A11089" s="0" t="s">
        <v>12</v>
      </c>
      <c r="B11089" s="0" t="n">
        <v>3492464</v>
      </c>
      <c r="C11089" s="0" t="n">
        <v>3492484</v>
      </c>
      <c r="D11089" s="0" t="s">
        <v>36807</v>
      </c>
      <c r="E11089" s="0" t="s">
        <v>75</v>
      </c>
      <c r="F11089" s="0" t="s">
        <v>15</v>
      </c>
      <c r="G11089" s="0" t="s">
        <v>16</v>
      </c>
      <c r="H11089" s="0" t="n">
        <v>43</v>
      </c>
      <c r="I11089" s="0" t="s">
        <v>36811</v>
      </c>
      <c r="J11089" s="0" t="s">
        <v>36812</v>
      </c>
      <c r="K11089" s="0" t="s">
        <v>36813</v>
      </c>
      <c r="L11089" s="0" t="str">
        <f aca="false">HYPERLINK("https://www.ncbi.nlm.nih.gov/nuccore/CP000058.1?report=graph&amp;tracks=[key:gene_model_track,Options:GeneOnly]&amp;mk=3492422:3492441|offset_0|444444,3492465:3492484|offset_43|00cc00,3492499:3492518|offset_77|444444,3492519:3492538|offset_97|444444&amp;v=3492221:3492738&amp;c=444444", "offset 43")</f>
        <v>offset 43</v>
      </c>
    </row>
    <row r="11090" customFormat="false" ht="12.8" hidden="false" customHeight="false" outlineLevel="0" collapsed="false">
      <c r="A11090" s="0" t="s">
        <v>12</v>
      </c>
      <c r="B11090" s="0" t="n">
        <v>3492498</v>
      </c>
      <c r="C11090" s="0" t="n">
        <v>3492518</v>
      </c>
      <c r="D11090" s="0" t="s">
        <v>36807</v>
      </c>
      <c r="E11090" s="0" t="s">
        <v>75</v>
      </c>
      <c r="F11090" s="0" t="s">
        <v>15</v>
      </c>
      <c r="G11090" s="0" t="s">
        <v>36</v>
      </c>
      <c r="H11090" s="0" t="n">
        <v>77</v>
      </c>
      <c r="I11090" s="0" t="s">
        <v>36814</v>
      </c>
      <c r="J11090" s="0" t="s">
        <v>36815</v>
      </c>
      <c r="K11090" s="0" t="s">
        <v>36816</v>
      </c>
      <c r="L11090" s="0" t="str">
        <f aca="false">HYPERLINK("https://www.ncbi.nlm.nih.gov/nuccore/CP000058.1?report=graph&amp;tracks=[key:gene_model_track,Options:GeneOnly]&amp;mk=3492422:3492441|offset_0|444444,3492465:3492484|offset_43|444444,3492499:3492518|offset_77|00cc00,3492519:3492538|offset_97|444444&amp;v=3492221:3492738&amp;c=444444", "offset 77")</f>
        <v>offset 77</v>
      </c>
    </row>
    <row r="11091" customFormat="false" ht="12.8" hidden="false" customHeight="false" outlineLevel="0" collapsed="false">
      <c r="A11091" s="0" t="s">
        <v>12</v>
      </c>
      <c r="B11091" s="0" t="n">
        <v>3492518</v>
      </c>
      <c r="C11091" s="0" t="n">
        <v>3492538</v>
      </c>
      <c r="D11091" s="0" t="s">
        <v>36807</v>
      </c>
      <c r="E11091" s="0" t="s">
        <v>75</v>
      </c>
      <c r="F11091" s="0" t="s">
        <v>15</v>
      </c>
      <c r="G11091" s="0" t="s">
        <v>32</v>
      </c>
      <c r="H11091" s="0" t="n">
        <v>97</v>
      </c>
      <c r="I11091" s="0" t="s">
        <v>36817</v>
      </c>
      <c r="J11091" s="0" t="s">
        <v>36818</v>
      </c>
      <c r="K11091" s="0" t="s">
        <v>36819</v>
      </c>
      <c r="L11091" s="0" t="str">
        <f aca="false">HYPERLINK("https://www.ncbi.nlm.nih.gov/nuccore/CP000058.1?report=graph&amp;tracks=[key:gene_model_track,Options:GeneOnly]&amp;mk=3492422:3492441|offset_0|444444,3492465:3492484|offset_43|444444,3492499:3492518|offset_77|444444,3492519:3492538|offset_97|00cc00&amp;v=3492221:3492738&amp;c=444444", "offset 97")</f>
        <v>offset 97</v>
      </c>
    </row>
    <row r="11092" customFormat="false" ht="12.8" hidden="false" customHeight="false" outlineLevel="0" collapsed="false">
      <c r="A11092" s="0" t="s">
        <v>12</v>
      </c>
      <c r="B11092" s="0" t="n">
        <v>3495150</v>
      </c>
      <c r="C11092" s="0" t="n">
        <v>3495170</v>
      </c>
      <c r="D11092" s="0" t="s">
        <v>36820</v>
      </c>
      <c r="E11092" s="0" t="s">
        <v>75</v>
      </c>
      <c r="F11092" s="0" t="s">
        <v>90</v>
      </c>
      <c r="G11092" s="0" t="s">
        <v>16</v>
      </c>
      <c r="H11092" s="0" t="n">
        <v>38</v>
      </c>
      <c r="I11092" s="0" t="s">
        <v>36821</v>
      </c>
      <c r="J11092" s="0" t="s">
        <v>36822</v>
      </c>
      <c r="K11092" s="0" t="s">
        <v>36823</v>
      </c>
      <c r="L11092" s="0" t="str">
        <f aca="false">HYPERLINK("https://www.ncbi.nlm.nih.gov/nuccore/CP000058.1?report=graph&amp;tracks=[key:gene_model_track,Options:GeneOnly]&amp;mk=3495151:3495170|offset_38|00cc00,3495126:3495145|offset_63|444444,3495084:3495103|offset_105|444444,3495062:3495081|offset_127|444444&amp;v=3494950:3495281&amp;c=444444", "offset 38")</f>
        <v>offset 38</v>
      </c>
    </row>
    <row r="11093" customFormat="false" ht="12.8" hidden="false" customHeight="false" outlineLevel="0" collapsed="false">
      <c r="A11093" s="0" t="s">
        <v>12</v>
      </c>
      <c r="B11093" s="0" t="n">
        <v>3495125</v>
      </c>
      <c r="C11093" s="0" t="n">
        <v>3495145</v>
      </c>
      <c r="D11093" s="0" t="s">
        <v>36820</v>
      </c>
      <c r="E11093" s="0" t="s">
        <v>75</v>
      </c>
      <c r="F11093" s="0" t="s">
        <v>90</v>
      </c>
      <c r="G11093" s="0" t="s">
        <v>16</v>
      </c>
      <c r="H11093" s="0" t="n">
        <v>63</v>
      </c>
      <c r="I11093" s="0" t="s">
        <v>36824</v>
      </c>
      <c r="J11093" s="0" t="s">
        <v>36825</v>
      </c>
      <c r="K11093" s="0" t="s">
        <v>36826</v>
      </c>
      <c r="L11093" s="0" t="str">
        <f aca="false">HYPERLINK("https://www.ncbi.nlm.nih.gov/nuccore/CP000058.1?report=graph&amp;tracks=[key:gene_model_track,Options:GeneOnly]&amp;mk=3495151:3495170|offset_38|444444,3495126:3495145|offset_63|00cc00,3495084:3495103|offset_105|444444,3495062:3495081|offset_127|444444&amp;v=3494950:3495281&amp;c=444444", "offset 63")</f>
        <v>offset 63</v>
      </c>
    </row>
    <row r="11094" customFormat="false" ht="12.8" hidden="false" customHeight="false" outlineLevel="0" collapsed="false">
      <c r="A11094" s="0" t="s">
        <v>12</v>
      </c>
      <c r="B11094" s="0" t="n">
        <v>3495083</v>
      </c>
      <c r="C11094" s="0" t="n">
        <v>3495103</v>
      </c>
      <c r="D11094" s="0" t="s">
        <v>36820</v>
      </c>
      <c r="E11094" s="0" t="s">
        <v>75</v>
      </c>
      <c r="F11094" s="0" t="s">
        <v>90</v>
      </c>
      <c r="G11094" s="0" t="s">
        <v>36</v>
      </c>
      <c r="H11094" s="0" t="n">
        <v>105</v>
      </c>
      <c r="I11094" s="0" t="s">
        <v>36827</v>
      </c>
      <c r="J11094" s="0" t="s">
        <v>36828</v>
      </c>
      <c r="K11094" s="0" t="s">
        <v>36829</v>
      </c>
      <c r="L11094" s="0" t="str">
        <f aca="false">HYPERLINK("https://www.ncbi.nlm.nih.gov/nuccore/CP000058.1?report=graph&amp;tracks=[key:gene_model_track,Options:GeneOnly]&amp;mk=3495151:3495170|offset_38|444444,3495126:3495145|offset_63|444444,3495084:3495103|offset_105|00cc00,3495062:3495081|offset_127|444444&amp;v=3494950:3495281&amp;c=444444", "offset 105")</f>
        <v>offset 105</v>
      </c>
    </row>
    <row r="11095" customFormat="false" ht="12.8" hidden="false" customHeight="false" outlineLevel="0" collapsed="false">
      <c r="A11095" s="0" t="s">
        <v>12</v>
      </c>
      <c r="B11095" s="0" t="n">
        <v>3495061</v>
      </c>
      <c r="C11095" s="0" t="n">
        <v>3495081</v>
      </c>
      <c r="D11095" s="0" t="s">
        <v>36820</v>
      </c>
      <c r="E11095" s="0" t="s">
        <v>75</v>
      </c>
      <c r="F11095" s="0" t="s">
        <v>90</v>
      </c>
      <c r="G11095" s="0" t="s">
        <v>16</v>
      </c>
      <c r="H11095" s="0" t="n">
        <v>127</v>
      </c>
      <c r="I11095" s="0" t="s">
        <v>36830</v>
      </c>
      <c r="J11095" s="0" t="s">
        <v>36831</v>
      </c>
      <c r="K11095" s="0" t="s">
        <v>36832</v>
      </c>
      <c r="L11095" s="0" t="str">
        <f aca="false">HYPERLINK("https://www.ncbi.nlm.nih.gov/nuccore/CP000058.1?report=graph&amp;tracks=[key:gene_model_track,Options:GeneOnly]&amp;mk=3495151:3495170|offset_38|444444,3495126:3495145|offset_63|444444,3495084:3495103|offset_105|444444,3495062:3495081|offset_127|00cc00&amp;v=3494950:3495281&amp;c=444444", "offset 127")</f>
        <v>offset 127</v>
      </c>
    </row>
    <row r="11096" customFormat="false" ht="12.8" hidden="false" customHeight="false" outlineLevel="0" collapsed="false">
      <c r="A11096" s="0" t="s">
        <v>12</v>
      </c>
      <c r="B11096" s="0" t="n">
        <v>3498250</v>
      </c>
      <c r="C11096" s="0" t="n">
        <v>3498270</v>
      </c>
      <c r="D11096" s="0" t="s">
        <v>36833</v>
      </c>
      <c r="E11096" s="0" t="s">
        <v>36834</v>
      </c>
      <c r="F11096" s="0" t="s">
        <v>15</v>
      </c>
      <c r="G11096" s="0" t="s">
        <v>32</v>
      </c>
      <c r="H11096" s="0" t="n">
        <v>13</v>
      </c>
      <c r="I11096" s="0" t="s">
        <v>36835</v>
      </c>
      <c r="J11096" s="0" t="s">
        <v>36836</v>
      </c>
      <c r="K11096" s="0" t="s">
        <v>36837</v>
      </c>
      <c r="L11096" s="0" t="str">
        <f aca="false">HYPERLINK("https://www.ncbi.nlm.nih.gov/nuccore/CP000058.1?report=graph&amp;tracks=[key:gene_model_track,Options:GeneOnly]&amp;mk=3498251:3498270|offset_13|00cc00,3498278:3498297|offset_40|444444,3498308:3498327|offset_70|444444,3498335:3498354|offset_97|444444&amp;v=3498050:3498554&amp;c=444444", "offset 13")</f>
        <v>offset 13</v>
      </c>
    </row>
    <row r="11097" customFormat="false" ht="12.8" hidden="false" customHeight="false" outlineLevel="0" collapsed="false">
      <c r="A11097" s="0" t="s">
        <v>12</v>
      </c>
      <c r="B11097" s="0" t="n">
        <v>3498277</v>
      </c>
      <c r="C11097" s="0" t="n">
        <v>3498297</v>
      </c>
      <c r="D11097" s="0" t="s">
        <v>36833</v>
      </c>
      <c r="E11097" s="0" t="s">
        <v>36834</v>
      </c>
      <c r="F11097" s="0" t="s">
        <v>15</v>
      </c>
      <c r="G11097" s="0" t="s">
        <v>36</v>
      </c>
      <c r="H11097" s="0" t="n">
        <v>40</v>
      </c>
      <c r="I11097" s="0" t="s">
        <v>36838</v>
      </c>
      <c r="J11097" s="0" t="s">
        <v>36839</v>
      </c>
      <c r="K11097" s="0" t="s">
        <v>36840</v>
      </c>
      <c r="L11097" s="0" t="str">
        <f aca="false">HYPERLINK("https://www.ncbi.nlm.nih.gov/nuccore/CP000058.1?report=graph&amp;tracks=[key:gene_model_track,Options:GeneOnly]&amp;mk=3498251:3498270|offset_13|444444,3498278:3498297|offset_40|00cc00,3498308:3498327|offset_70|444444,3498335:3498354|offset_97|444444&amp;v=3498050:3498554&amp;c=444444", "offset 40")</f>
        <v>offset 40</v>
      </c>
    </row>
    <row r="11098" customFormat="false" ht="12.8" hidden="false" customHeight="false" outlineLevel="0" collapsed="false">
      <c r="A11098" s="0" t="s">
        <v>12</v>
      </c>
      <c r="B11098" s="0" t="n">
        <v>3498307</v>
      </c>
      <c r="C11098" s="0" t="n">
        <v>3498327</v>
      </c>
      <c r="D11098" s="0" t="s">
        <v>36833</v>
      </c>
      <c r="E11098" s="0" t="s">
        <v>36834</v>
      </c>
      <c r="F11098" s="0" t="s">
        <v>15</v>
      </c>
      <c r="G11098" s="0" t="s">
        <v>36</v>
      </c>
      <c r="H11098" s="0" t="n">
        <v>70</v>
      </c>
      <c r="I11098" s="0" t="s">
        <v>36841</v>
      </c>
      <c r="J11098" s="0" t="s">
        <v>36842</v>
      </c>
      <c r="K11098" s="0" t="s">
        <v>36843</v>
      </c>
      <c r="L11098" s="0" t="str">
        <f aca="false">HYPERLINK("https://www.ncbi.nlm.nih.gov/nuccore/CP000058.1?report=graph&amp;tracks=[key:gene_model_track,Options:GeneOnly]&amp;mk=3498251:3498270|offset_13|444444,3498278:3498297|offset_40|444444,3498308:3498327|offset_70|00cc00,3498335:3498354|offset_97|444444&amp;v=3498050:3498554&amp;c=444444", "offset 70")</f>
        <v>offset 70</v>
      </c>
    </row>
    <row r="11099" customFormat="false" ht="12.8" hidden="false" customHeight="false" outlineLevel="0" collapsed="false">
      <c r="A11099" s="0" t="s">
        <v>12</v>
      </c>
      <c r="B11099" s="0" t="n">
        <v>3498334</v>
      </c>
      <c r="C11099" s="0" t="n">
        <v>3498354</v>
      </c>
      <c r="D11099" s="0" t="s">
        <v>36833</v>
      </c>
      <c r="E11099" s="0" t="s">
        <v>36834</v>
      </c>
      <c r="F11099" s="0" t="s">
        <v>15</v>
      </c>
      <c r="G11099" s="0" t="s">
        <v>32</v>
      </c>
      <c r="H11099" s="0" t="n">
        <v>97</v>
      </c>
      <c r="I11099" s="0" t="s">
        <v>36844</v>
      </c>
      <c r="J11099" s="0" t="s">
        <v>36845</v>
      </c>
      <c r="K11099" s="0" t="s">
        <v>36846</v>
      </c>
      <c r="L11099" s="0" t="str">
        <f aca="false">HYPERLINK("https://www.ncbi.nlm.nih.gov/nuccore/CP000058.1?report=graph&amp;tracks=[key:gene_model_track,Options:GeneOnly]&amp;mk=3498251:3498270|offset_13|444444,3498278:3498297|offset_40|444444,3498308:3498327|offset_70|444444,3498335:3498354|offset_97|00cc00&amp;v=3498050:3498554&amp;c=444444", "offset 97")</f>
        <v>offset 97</v>
      </c>
    </row>
    <row r="11100" customFormat="false" ht="12.8" hidden="false" customHeight="false" outlineLevel="0" collapsed="false">
      <c r="A11100" s="0" t="s">
        <v>12</v>
      </c>
      <c r="B11100" s="0" t="n">
        <v>3499649</v>
      </c>
      <c r="C11100" s="0" t="n">
        <v>3499669</v>
      </c>
      <c r="D11100" s="0" t="s">
        <v>36847</v>
      </c>
      <c r="E11100" s="0" t="s">
        <v>75</v>
      </c>
      <c r="F11100" s="0" t="s">
        <v>90</v>
      </c>
      <c r="G11100" s="0" t="s">
        <v>16</v>
      </c>
      <c r="H11100" s="0" t="n">
        <v>22</v>
      </c>
      <c r="I11100" s="0" t="s">
        <v>36848</v>
      </c>
      <c r="J11100" s="0" t="s">
        <v>36849</v>
      </c>
      <c r="K11100" s="0" t="s">
        <v>36850</v>
      </c>
      <c r="L11100" s="0" t="str">
        <f aca="false">HYPERLINK("https://www.ncbi.nlm.nih.gov/nuccore/CP000058.1?report=graph&amp;tracks=[key:gene_model_track,Options:GeneOnly]&amp;mk=3499650:3499669|offset_22|00cc00,3499600:3499619|offset_72|444444,3499565:3499584|offset_107|444444,3499533:3499552|offset_139|444444&amp;v=3499449:3499752&amp;c=444444", "offset 22")</f>
        <v>offset 22</v>
      </c>
    </row>
    <row r="11101" customFormat="false" ht="12.8" hidden="false" customHeight="false" outlineLevel="0" collapsed="false">
      <c r="A11101" s="0" t="s">
        <v>12</v>
      </c>
      <c r="B11101" s="0" t="n">
        <v>3499599</v>
      </c>
      <c r="C11101" s="0" t="n">
        <v>3499619</v>
      </c>
      <c r="D11101" s="0" t="s">
        <v>36847</v>
      </c>
      <c r="E11101" s="0" t="s">
        <v>75</v>
      </c>
      <c r="F11101" s="0" t="s">
        <v>90</v>
      </c>
      <c r="G11101" s="0" t="s">
        <v>36</v>
      </c>
      <c r="H11101" s="0" t="n">
        <v>72</v>
      </c>
      <c r="I11101" s="0" t="s">
        <v>36851</v>
      </c>
      <c r="J11101" s="0" t="s">
        <v>36852</v>
      </c>
      <c r="K11101" s="0" t="s">
        <v>36853</v>
      </c>
      <c r="L11101" s="0" t="str">
        <f aca="false">HYPERLINK("https://www.ncbi.nlm.nih.gov/nuccore/CP000058.1?report=graph&amp;tracks=[key:gene_model_track,Options:GeneOnly]&amp;mk=3499650:3499669|offset_22|444444,3499600:3499619|offset_72|00cc00,3499565:3499584|offset_107|444444,3499533:3499552|offset_139|444444&amp;v=3499449:3499752&amp;c=444444", "offset 72")</f>
        <v>offset 72</v>
      </c>
    </row>
    <row r="11102" customFormat="false" ht="12.8" hidden="false" customHeight="false" outlineLevel="0" collapsed="false">
      <c r="A11102" s="0" t="s">
        <v>12</v>
      </c>
      <c r="B11102" s="0" t="n">
        <v>3499564</v>
      </c>
      <c r="C11102" s="0" t="n">
        <v>3499584</v>
      </c>
      <c r="D11102" s="0" t="s">
        <v>36847</v>
      </c>
      <c r="E11102" s="0" t="s">
        <v>75</v>
      </c>
      <c r="F11102" s="0" t="s">
        <v>90</v>
      </c>
      <c r="G11102" s="0" t="s">
        <v>36</v>
      </c>
      <c r="H11102" s="0" t="n">
        <v>107</v>
      </c>
      <c r="I11102" s="0" t="s">
        <v>36854</v>
      </c>
      <c r="J11102" s="0" t="s">
        <v>36855</v>
      </c>
      <c r="K11102" s="0" t="s">
        <v>36856</v>
      </c>
      <c r="L11102" s="0" t="str">
        <f aca="false">HYPERLINK("https://www.ncbi.nlm.nih.gov/nuccore/CP000058.1?report=graph&amp;tracks=[key:gene_model_track,Options:GeneOnly]&amp;mk=3499650:3499669|offset_22|444444,3499600:3499619|offset_72|444444,3499565:3499584|offset_107|00cc00,3499533:3499552|offset_139|444444&amp;v=3499449:3499752&amp;c=444444", "offset 107")</f>
        <v>offset 107</v>
      </c>
    </row>
    <row r="11103" customFormat="false" ht="12.8" hidden="false" customHeight="false" outlineLevel="0" collapsed="false">
      <c r="A11103" s="0" t="s">
        <v>12</v>
      </c>
      <c r="B11103" s="0" t="n">
        <v>3499532</v>
      </c>
      <c r="C11103" s="0" t="n">
        <v>3499552</v>
      </c>
      <c r="D11103" s="0" t="s">
        <v>36847</v>
      </c>
      <c r="E11103" s="0" t="s">
        <v>75</v>
      </c>
      <c r="F11103" s="0" t="s">
        <v>90</v>
      </c>
      <c r="G11103" s="0" t="s">
        <v>36</v>
      </c>
      <c r="H11103" s="0" t="n">
        <v>139</v>
      </c>
      <c r="I11103" s="0" t="s">
        <v>36857</v>
      </c>
      <c r="J11103" s="0" t="s">
        <v>36858</v>
      </c>
      <c r="K11103" s="0" t="s">
        <v>36859</v>
      </c>
      <c r="L11103" s="0" t="str">
        <f aca="false">HYPERLINK("https://www.ncbi.nlm.nih.gov/nuccore/CP000058.1?report=graph&amp;tracks=[key:gene_model_track,Options:GeneOnly]&amp;mk=3499650:3499669|offset_22|444444,3499600:3499619|offset_72|444444,3499565:3499584|offset_107|444444,3499533:3499552|offset_139|00cc00&amp;v=3499449:3499752&amp;c=444444", "offset 139")</f>
        <v>offset 139</v>
      </c>
    </row>
    <row r="11104" customFormat="false" ht="12.8" hidden="false" customHeight="false" outlineLevel="0" collapsed="false">
      <c r="A11104" s="0" t="s">
        <v>12</v>
      </c>
      <c r="B11104" s="0" t="n">
        <v>3499973</v>
      </c>
      <c r="C11104" s="0" t="n">
        <v>3499993</v>
      </c>
      <c r="D11104" s="0" t="s">
        <v>36860</v>
      </c>
      <c r="E11104" s="0" t="s">
        <v>75</v>
      </c>
      <c r="F11104" s="0" t="s">
        <v>15</v>
      </c>
      <c r="G11104" s="0" t="s">
        <v>16</v>
      </c>
      <c r="H11104" s="0" t="n">
        <v>28</v>
      </c>
      <c r="I11104" s="0" t="s">
        <v>36861</v>
      </c>
      <c r="J11104" s="0" t="s">
        <v>36862</v>
      </c>
      <c r="K11104" s="0" t="s">
        <v>36863</v>
      </c>
      <c r="L11104" s="0" t="str">
        <f aca="false">HYPERLINK("https://www.ncbi.nlm.nih.gov/nuccore/CP000058.1?report=graph&amp;tracks=[key:gene_model_track,Options:GeneOnly]&amp;mk=3499974:3499993|offset_28|00cc00,3500028:3500047|offset_82|444444,3500056:3500075|offset_110|444444,3500095:3500114|offset_149|444444&amp;v=3499773:3500314&amp;c=444444", "offset 28")</f>
        <v>offset 28</v>
      </c>
    </row>
    <row r="11105" customFormat="false" ht="12.8" hidden="false" customHeight="false" outlineLevel="0" collapsed="false">
      <c r="A11105" s="0" t="s">
        <v>12</v>
      </c>
      <c r="B11105" s="0" t="n">
        <v>3500027</v>
      </c>
      <c r="C11105" s="0" t="n">
        <v>3500047</v>
      </c>
      <c r="D11105" s="0" t="s">
        <v>36860</v>
      </c>
      <c r="E11105" s="0" t="s">
        <v>75</v>
      </c>
      <c r="F11105" s="0" t="s">
        <v>15</v>
      </c>
      <c r="G11105" s="0" t="s">
        <v>36</v>
      </c>
      <c r="H11105" s="0" t="n">
        <v>82</v>
      </c>
      <c r="I11105" s="0" t="s">
        <v>36864</v>
      </c>
      <c r="J11105" s="0" t="s">
        <v>36865</v>
      </c>
      <c r="K11105" s="0" t="s">
        <v>36866</v>
      </c>
      <c r="L11105" s="0" t="str">
        <f aca="false">HYPERLINK("https://www.ncbi.nlm.nih.gov/nuccore/CP000058.1?report=graph&amp;tracks=[key:gene_model_track,Options:GeneOnly]&amp;mk=3499974:3499993|offset_28|444444,3500028:3500047|offset_82|00cc00,3500056:3500075|offset_110|444444,3500095:3500114|offset_149|444444&amp;v=3499773:3500314&amp;c=444444", "offset 82")</f>
        <v>offset 82</v>
      </c>
    </row>
    <row r="11106" customFormat="false" ht="12.8" hidden="false" customHeight="false" outlineLevel="0" collapsed="false">
      <c r="A11106" s="0" t="s">
        <v>12</v>
      </c>
      <c r="B11106" s="0" t="n">
        <v>3500055</v>
      </c>
      <c r="C11106" s="0" t="n">
        <v>3500075</v>
      </c>
      <c r="D11106" s="0" t="s">
        <v>36860</v>
      </c>
      <c r="E11106" s="0" t="s">
        <v>75</v>
      </c>
      <c r="F11106" s="0" t="s">
        <v>15</v>
      </c>
      <c r="G11106" s="0" t="s">
        <v>32</v>
      </c>
      <c r="H11106" s="0" t="n">
        <v>110</v>
      </c>
      <c r="I11106" s="0" t="s">
        <v>36867</v>
      </c>
      <c r="J11106" s="0" t="s">
        <v>36868</v>
      </c>
      <c r="K11106" s="0" t="s">
        <v>36869</v>
      </c>
      <c r="L11106" s="0" t="str">
        <f aca="false">HYPERLINK("https://www.ncbi.nlm.nih.gov/nuccore/CP000058.1?report=graph&amp;tracks=[key:gene_model_track,Options:GeneOnly]&amp;mk=3499974:3499993|offset_28|444444,3500028:3500047|offset_82|444444,3500056:3500075|offset_110|00cc00,3500095:3500114|offset_149|444444&amp;v=3499773:3500314&amp;c=444444", "offset 110")</f>
        <v>offset 110</v>
      </c>
    </row>
    <row r="11107" customFormat="false" ht="12.8" hidden="false" customHeight="false" outlineLevel="0" collapsed="false">
      <c r="A11107" s="0" t="s">
        <v>12</v>
      </c>
      <c r="B11107" s="0" t="n">
        <v>3500094</v>
      </c>
      <c r="C11107" s="0" t="n">
        <v>3500114</v>
      </c>
      <c r="D11107" s="0" t="s">
        <v>36860</v>
      </c>
      <c r="E11107" s="0" t="s">
        <v>75</v>
      </c>
      <c r="F11107" s="0" t="s">
        <v>15</v>
      </c>
      <c r="G11107" s="0" t="s">
        <v>20</v>
      </c>
      <c r="H11107" s="0" t="n">
        <v>149</v>
      </c>
      <c r="I11107" s="0" t="s">
        <v>36870</v>
      </c>
      <c r="J11107" s="0" t="s">
        <v>36871</v>
      </c>
      <c r="K11107" s="0" t="s">
        <v>36872</v>
      </c>
      <c r="L11107" s="0" t="str">
        <f aca="false">HYPERLINK("https://www.ncbi.nlm.nih.gov/nuccore/CP000058.1?report=graph&amp;tracks=[key:gene_model_track,Options:GeneOnly]&amp;mk=3499974:3499993|offset_28|444444,3500028:3500047|offset_82|444444,3500056:3500075|offset_110|444444,3500095:3500114|offset_149|00cc00&amp;v=3499773:3500314&amp;c=444444", "offset 149")</f>
        <v>offset 149</v>
      </c>
    </row>
    <row r="11108" customFormat="false" ht="12.8" hidden="false" customHeight="false" outlineLevel="0" collapsed="false">
      <c r="A11108" s="0" t="s">
        <v>12</v>
      </c>
      <c r="B11108" s="0" t="n">
        <v>3501624</v>
      </c>
      <c r="C11108" s="0" t="n">
        <v>3501644</v>
      </c>
      <c r="D11108" s="0" t="s">
        <v>36873</v>
      </c>
      <c r="E11108" s="0" t="s">
        <v>36874</v>
      </c>
      <c r="F11108" s="0" t="s">
        <v>90</v>
      </c>
      <c r="G11108" s="0" t="s">
        <v>20</v>
      </c>
      <c r="H11108" s="0" t="n">
        <v>11</v>
      </c>
      <c r="I11108" s="0" t="s">
        <v>36875</v>
      </c>
      <c r="J11108" s="0" t="s">
        <v>36876</v>
      </c>
      <c r="K11108" s="0" t="s">
        <v>36877</v>
      </c>
      <c r="L11108" s="0" t="str">
        <f aca="false">HYPERLINK("https://www.ncbi.nlm.nih.gov/nuccore/CP000058.1?report=graph&amp;tracks=[key:gene_model_track,Options:GeneOnly]&amp;mk=3501625:3501644|offset_11|00cc00,3501602:3501621|offset_34|444444,3501562:3501581|offset_74|444444,3501533:3501552|offset_103|444444&amp;v=3501424:3501752&amp;c=444444", "offset 11")</f>
        <v>offset 11</v>
      </c>
    </row>
    <row r="11109" customFormat="false" ht="12.8" hidden="false" customHeight="false" outlineLevel="0" collapsed="false">
      <c r="A11109" s="0" t="s">
        <v>12</v>
      </c>
      <c r="B11109" s="0" t="n">
        <v>3501601</v>
      </c>
      <c r="C11109" s="0" t="n">
        <v>3501621</v>
      </c>
      <c r="D11109" s="0" t="s">
        <v>36873</v>
      </c>
      <c r="E11109" s="0" t="s">
        <v>36874</v>
      </c>
      <c r="F11109" s="0" t="s">
        <v>90</v>
      </c>
      <c r="G11109" s="0" t="s">
        <v>32</v>
      </c>
      <c r="H11109" s="0" t="n">
        <v>34</v>
      </c>
      <c r="I11109" s="0" t="s">
        <v>36878</v>
      </c>
      <c r="J11109" s="0" t="s">
        <v>36879</v>
      </c>
      <c r="K11109" s="0" t="s">
        <v>36880</v>
      </c>
      <c r="L11109" s="0" t="str">
        <f aca="false">HYPERLINK("https://www.ncbi.nlm.nih.gov/nuccore/CP000058.1?report=graph&amp;tracks=[key:gene_model_track,Options:GeneOnly]&amp;mk=3501625:3501644|offset_11|444444,3501602:3501621|offset_34|00cc00,3501562:3501581|offset_74|444444,3501533:3501552|offset_103|444444&amp;v=3501424:3501752&amp;c=444444", "offset 34")</f>
        <v>offset 34</v>
      </c>
    </row>
    <row r="11110" customFormat="false" ht="12.8" hidden="false" customHeight="false" outlineLevel="0" collapsed="false">
      <c r="A11110" s="0" t="s">
        <v>12</v>
      </c>
      <c r="B11110" s="0" t="n">
        <v>3501561</v>
      </c>
      <c r="C11110" s="0" t="n">
        <v>3501581</v>
      </c>
      <c r="D11110" s="0" t="s">
        <v>36873</v>
      </c>
      <c r="E11110" s="0" t="s">
        <v>36874</v>
      </c>
      <c r="F11110" s="0" t="s">
        <v>90</v>
      </c>
      <c r="G11110" s="0" t="s">
        <v>32</v>
      </c>
      <c r="H11110" s="0" t="n">
        <v>74</v>
      </c>
      <c r="I11110" s="0" t="s">
        <v>36881</v>
      </c>
      <c r="J11110" s="0" t="s">
        <v>36882</v>
      </c>
      <c r="K11110" s="0" t="s">
        <v>36883</v>
      </c>
      <c r="L11110" s="0" t="str">
        <f aca="false">HYPERLINK("https://www.ncbi.nlm.nih.gov/nuccore/CP000058.1?report=graph&amp;tracks=[key:gene_model_track,Options:GeneOnly]&amp;mk=3501625:3501644|offset_11|444444,3501602:3501621|offset_34|444444,3501562:3501581|offset_74|00cc00,3501533:3501552|offset_103|444444&amp;v=3501424:3501752&amp;c=444444", "offset 74")</f>
        <v>offset 74</v>
      </c>
    </row>
    <row r="11111" customFormat="false" ht="12.8" hidden="false" customHeight="false" outlineLevel="0" collapsed="false">
      <c r="A11111" s="0" t="s">
        <v>12</v>
      </c>
      <c r="B11111" s="0" t="n">
        <v>3501532</v>
      </c>
      <c r="C11111" s="0" t="n">
        <v>3501552</v>
      </c>
      <c r="D11111" s="0" t="s">
        <v>36873</v>
      </c>
      <c r="E11111" s="0" t="s">
        <v>36874</v>
      </c>
      <c r="F11111" s="0" t="s">
        <v>90</v>
      </c>
      <c r="G11111" s="0" t="s">
        <v>32</v>
      </c>
      <c r="H11111" s="0" t="n">
        <v>103</v>
      </c>
      <c r="I11111" s="0" t="s">
        <v>36884</v>
      </c>
      <c r="J11111" s="0" t="s">
        <v>36885</v>
      </c>
      <c r="K11111" s="0" t="s">
        <v>36886</v>
      </c>
      <c r="L11111" s="0" t="str">
        <f aca="false">HYPERLINK("https://www.ncbi.nlm.nih.gov/nuccore/CP000058.1?report=graph&amp;tracks=[key:gene_model_track,Options:GeneOnly]&amp;mk=3501625:3501644|offset_11|444444,3501602:3501621|offset_34|444444,3501562:3501581|offset_74|444444,3501533:3501552|offset_103|00cc00&amp;v=3501424:3501752&amp;c=444444", "offset 103")</f>
        <v>offset 103</v>
      </c>
    </row>
    <row r="11112" customFormat="false" ht="12.8" hidden="false" customHeight="false" outlineLevel="0" collapsed="false">
      <c r="A11112" s="0" t="s">
        <v>12</v>
      </c>
      <c r="B11112" s="0" t="n">
        <v>3502487</v>
      </c>
      <c r="C11112" s="0" t="n">
        <v>3502507</v>
      </c>
      <c r="D11112" s="0" t="s">
        <v>36887</v>
      </c>
      <c r="E11112" s="0" t="s">
        <v>36888</v>
      </c>
      <c r="F11112" s="0" t="s">
        <v>90</v>
      </c>
      <c r="G11112" s="0" t="s">
        <v>20</v>
      </c>
      <c r="H11112" s="0" t="n">
        <v>32</v>
      </c>
      <c r="I11112" s="0" t="s">
        <v>36889</v>
      </c>
      <c r="J11112" s="0" t="s">
        <v>36890</v>
      </c>
      <c r="K11112" s="0" t="s">
        <v>36891</v>
      </c>
      <c r="L11112" s="0" t="str">
        <f aca="false">HYPERLINK("https://www.ncbi.nlm.nih.gov/nuccore/CP000058.1?report=graph&amp;tracks=[key:gene_model_track,Options:GeneOnly]&amp;mk=3502488:3502507|offset_32|00cc00,3502432:3502451|offset_88|444444,3502390:3502409|offset_130|444444,3502359:3502378|offset_161|444444&amp;v=3502287:3502578&amp;c=444444", "offset 32")</f>
        <v>offset 32</v>
      </c>
    </row>
    <row r="11113" customFormat="false" ht="12.8" hidden="false" customHeight="false" outlineLevel="0" collapsed="false">
      <c r="A11113" s="0" t="s">
        <v>12</v>
      </c>
      <c r="B11113" s="0" t="n">
        <v>3502431</v>
      </c>
      <c r="C11113" s="0" t="n">
        <v>3502451</v>
      </c>
      <c r="D11113" s="0" t="s">
        <v>36887</v>
      </c>
      <c r="E11113" s="0" t="s">
        <v>36888</v>
      </c>
      <c r="F11113" s="0" t="s">
        <v>90</v>
      </c>
      <c r="G11113" s="0" t="s">
        <v>32</v>
      </c>
      <c r="H11113" s="0" t="n">
        <v>88</v>
      </c>
      <c r="I11113" s="0" t="s">
        <v>36892</v>
      </c>
      <c r="J11113" s="0" t="s">
        <v>36893</v>
      </c>
      <c r="K11113" s="0" t="s">
        <v>36894</v>
      </c>
      <c r="L11113" s="0" t="str">
        <f aca="false">HYPERLINK("https://www.ncbi.nlm.nih.gov/nuccore/CP000058.1?report=graph&amp;tracks=[key:gene_model_track,Options:GeneOnly]&amp;mk=3502488:3502507|offset_32|444444,3502432:3502451|offset_88|00cc00,3502390:3502409|offset_130|444444,3502359:3502378|offset_161|444444&amp;v=3502287:3502578&amp;c=444444", "offset 88")</f>
        <v>offset 88</v>
      </c>
    </row>
    <row r="11114" customFormat="false" ht="12.8" hidden="false" customHeight="false" outlineLevel="0" collapsed="false">
      <c r="A11114" s="0" t="s">
        <v>12</v>
      </c>
      <c r="B11114" s="0" t="n">
        <v>3502389</v>
      </c>
      <c r="C11114" s="0" t="n">
        <v>3502409</v>
      </c>
      <c r="D11114" s="0" t="s">
        <v>36887</v>
      </c>
      <c r="E11114" s="0" t="s">
        <v>36888</v>
      </c>
      <c r="F11114" s="0" t="s">
        <v>90</v>
      </c>
      <c r="G11114" s="0" t="s">
        <v>32</v>
      </c>
      <c r="H11114" s="0" t="n">
        <v>130</v>
      </c>
      <c r="I11114" s="0" t="s">
        <v>36895</v>
      </c>
      <c r="J11114" s="0" t="s">
        <v>36896</v>
      </c>
      <c r="K11114" s="0" t="s">
        <v>36897</v>
      </c>
      <c r="L11114" s="0" t="str">
        <f aca="false">HYPERLINK("https://www.ncbi.nlm.nih.gov/nuccore/CP000058.1?report=graph&amp;tracks=[key:gene_model_track,Options:GeneOnly]&amp;mk=3502488:3502507|offset_32|444444,3502432:3502451|offset_88|444444,3502390:3502409|offset_130|00cc00,3502359:3502378|offset_161|444444&amp;v=3502287:3502578&amp;c=444444", "offset 130")</f>
        <v>offset 130</v>
      </c>
    </row>
    <row r="11115" customFormat="false" ht="12.8" hidden="false" customHeight="false" outlineLevel="0" collapsed="false">
      <c r="A11115" s="0" t="s">
        <v>12</v>
      </c>
      <c r="B11115" s="0" t="n">
        <v>3502358</v>
      </c>
      <c r="C11115" s="0" t="n">
        <v>3502378</v>
      </c>
      <c r="D11115" s="0" t="s">
        <v>36887</v>
      </c>
      <c r="E11115" s="0" t="s">
        <v>36888</v>
      </c>
      <c r="F11115" s="0" t="s">
        <v>90</v>
      </c>
      <c r="G11115" s="0" t="s">
        <v>20</v>
      </c>
      <c r="H11115" s="0" t="n">
        <v>161</v>
      </c>
      <c r="I11115" s="0" t="s">
        <v>36898</v>
      </c>
      <c r="J11115" s="0" t="s">
        <v>36899</v>
      </c>
      <c r="K11115" s="0" t="s">
        <v>36900</v>
      </c>
      <c r="L11115" s="0" t="str">
        <f aca="false">HYPERLINK("https://www.ncbi.nlm.nih.gov/nuccore/CP000058.1?report=graph&amp;tracks=[key:gene_model_track,Options:GeneOnly]&amp;mk=3502488:3502507|offset_32|444444,3502432:3502451|offset_88|444444,3502390:3502409|offset_130|444444,3502359:3502378|offset_161|00cc00&amp;v=3502287:3502578&amp;c=444444", "offset 161")</f>
        <v>offset 161</v>
      </c>
    </row>
    <row r="11116" customFormat="false" ht="12.8" hidden="false" customHeight="false" outlineLevel="0" collapsed="false">
      <c r="A11116" s="0" t="s">
        <v>12</v>
      </c>
      <c r="B11116" s="0" t="n">
        <v>3503495</v>
      </c>
      <c r="C11116" s="0" t="n">
        <v>3503515</v>
      </c>
      <c r="D11116" s="0" t="s">
        <v>36901</v>
      </c>
      <c r="E11116" s="0" t="s">
        <v>36902</v>
      </c>
      <c r="F11116" s="0" t="s">
        <v>90</v>
      </c>
      <c r="G11116" s="0" t="s">
        <v>36</v>
      </c>
      <c r="H11116" s="0" t="n">
        <v>16</v>
      </c>
      <c r="I11116" s="0" t="s">
        <v>36903</v>
      </c>
      <c r="J11116" s="0" t="s">
        <v>36904</v>
      </c>
      <c r="K11116" s="0" t="s">
        <v>36905</v>
      </c>
      <c r="L11116" s="0" t="str">
        <f aca="false">HYPERLINK("https://www.ncbi.nlm.nih.gov/nuccore/CP000058.1?report=graph&amp;tracks=[key:gene_model_track,Options:GeneOnly]&amp;mk=3503496:3503515|offset_16|00cc00,3503472:3503491|offset_40|444444,3503442:3503461|offset_70|444444,3503420:3503439|offset_92|444444&amp;v=3503295:3503639&amp;c=444444", "offset 16")</f>
        <v>offset 16</v>
      </c>
    </row>
    <row r="11117" customFormat="false" ht="12.8" hidden="false" customHeight="false" outlineLevel="0" collapsed="false">
      <c r="A11117" s="0" t="s">
        <v>12</v>
      </c>
      <c r="B11117" s="0" t="n">
        <v>3503471</v>
      </c>
      <c r="C11117" s="0" t="n">
        <v>3503491</v>
      </c>
      <c r="D11117" s="0" t="s">
        <v>36901</v>
      </c>
      <c r="E11117" s="0" t="s">
        <v>36902</v>
      </c>
      <c r="F11117" s="0" t="s">
        <v>90</v>
      </c>
      <c r="G11117" s="0" t="s">
        <v>16</v>
      </c>
      <c r="H11117" s="0" t="n">
        <v>40</v>
      </c>
      <c r="I11117" s="0" t="s">
        <v>36906</v>
      </c>
      <c r="J11117" s="0" t="s">
        <v>36907</v>
      </c>
      <c r="K11117" s="0" t="s">
        <v>36908</v>
      </c>
      <c r="L11117" s="0" t="str">
        <f aca="false">HYPERLINK("https://www.ncbi.nlm.nih.gov/nuccore/CP000058.1?report=graph&amp;tracks=[key:gene_model_track,Options:GeneOnly]&amp;mk=3503496:3503515|offset_16|444444,3503472:3503491|offset_40|00cc00,3503442:3503461|offset_70|444444,3503420:3503439|offset_92|444444&amp;v=3503295:3503639&amp;c=444444", "offset 40")</f>
        <v>offset 40</v>
      </c>
    </row>
    <row r="11118" customFormat="false" ht="12.8" hidden="false" customHeight="false" outlineLevel="0" collapsed="false">
      <c r="A11118" s="0" t="s">
        <v>12</v>
      </c>
      <c r="B11118" s="0" t="n">
        <v>3503441</v>
      </c>
      <c r="C11118" s="0" t="n">
        <v>3503461</v>
      </c>
      <c r="D11118" s="0" t="s">
        <v>36901</v>
      </c>
      <c r="E11118" s="0" t="s">
        <v>36902</v>
      </c>
      <c r="F11118" s="0" t="s">
        <v>90</v>
      </c>
      <c r="G11118" s="0" t="s">
        <v>32</v>
      </c>
      <c r="H11118" s="0" t="n">
        <v>70</v>
      </c>
      <c r="I11118" s="0" t="s">
        <v>36909</v>
      </c>
      <c r="J11118" s="0" t="s">
        <v>36910</v>
      </c>
      <c r="K11118" s="0" t="s">
        <v>36911</v>
      </c>
      <c r="L11118" s="0" t="str">
        <f aca="false">HYPERLINK("https://www.ncbi.nlm.nih.gov/nuccore/CP000058.1?report=graph&amp;tracks=[key:gene_model_track,Options:GeneOnly]&amp;mk=3503496:3503515|offset_16|444444,3503472:3503491|offset_40|444444,3503442:3503461|offset_70|00cc00,3503420:3503439|offset_92|444444&amp;v=3503295:3503639&amp;c=444444", "offset 70")</f>
        <v>offset 70</v>
      </c>
    </row>
    <row r="11119" customFormat="false" ht="12.8" hidden="false" customHeight="false" outlineLevel="0" collapsed="false">
      <c r="A11119" s="0" t="s">
        <v>12</v>
      </c>
      <c r="B11119" s="0" t="n">
        <v>3503419</v>
      </c>
      <c r="C11119" s="0" t="n">
        <v>3503439</v>
      </c>
      <c r="D11119" s="0" t="s">
        <v>36901</v>
      </c>
      <c r="E11119" s="0" t="s">
        <v>36902</v>
      </c>
      <c r="F11119" s="0" t="s">
        <v>90</v>
      </c>
      <c r="G11119" s="0" t="s">
        <v>20</v>
      </c>
      <c r="H11119" s="0" t="n">
        <v>92</v>
      </c>
      <c r="I11119" s="0" t="s">
        <v>36912</v>
      </c>
      <c r="J11119" s="0" t="s">
        <v>36913</v>
      </c>
      <c r="K11119" s="0" t="s">
        <v>36914</v>
      </c>
      <c r="L11119" s="0" t="str">
        <f aca="false">HYPERLINK("https://www.ncbi.nlm.nih.gov/nuccore/CP000058.1?report=graph&amp;tracks=[key:gene_model_track,Options:GeneOnly]&amp;mk=3503496:3503515|offset_16|444444,3503472:3503491|offset_40|444444,3503442:3503461|offset_70|444444,3503420:3503439|offset_92|00cc00&amp;v=3503295:3503639&amp;c=444444", "offset 92")</f>
        <v>offset 92</v>
      </c>
    </row>
    <row r="11120" customFormat="false" ht="12.8" hidden="false" customHeight="false" outlineLevel="0" collapsed="false">
      <c r="A11120" s="0" t="s">
        <v>12</v>
      </c>
      <c r="B11120" s="0" t="n">
        <v>3504611</v>
      </c>
      <c r="C11120" s="0" t="n">
        <v>3504631</v>
      </c>
      <c r="D11120" s="0" t="s">
        <v>36915</v>
      </c>
      <c r="E11120" s="0" t="s">
        <v>36916</v>
      </c>
      <c r="F11120" s="0" t="s">
        <v>90</v>
      </c>
      <c r="G11120" s="0" t="s">
        <v>16</v>
      </c>
      <c r="H11120" s="0" t="n">
        <v>1</v>
      </c>
      <c r="I11120" s="0" t="s">
        <v>36917</v>
      </c>
      <c r="J11120" s="0" t="s">
        <v>36918</v>
      </c>
      <c r="K11120" s="0" t="s">
        <v>36919</v>
      </c>
      <c r="L11120" s="0" t="str">
        <f aca="false">HYPERLINK("https://www.ncbi.nlm.nih.gov/nuccore/CP000058.1?report=graph&amp;tracks=[key:gene_model_track,Options:GeneOnly]&amp;mk=3504612:3504631|offset_1|00cc00,3504560:3504579|offset_53|444444,3504503:3504522|offset_110|444444,3504483:3504502|offset_130|444444&amp;v=3504411:3504702&amp;c=444444", "offset 1")</f>
        <v>offset 1</v>
      </c>
    </row>
    <row r="11121" customFormat="false" ht="12.8" hidden="false" customHeight="false" outlineLevel="0" collapsed="false">
      <c r="A11121" s="0" t="s">
        <v>12</v>
      </c>
      <c r="B11121" s="0" t="n">
        <v>3504559</v>
      </c>
      <c r="C11121" s="0" t="n">
        <v>3504579</v>
      </c>
      <c r="D11121" s="0" t="s">
        <v>36915</v>
      </c>
      <c r="E11121" s="0" t="s">
        <v>36916</v>
      </c>
      <c r="F11121" s="0" t="s">
        <v>90</v>
      </c>
      <c r="G11121" s="0" t="s">
        <v>20</v>
      </c>
      <c r="H11121" s="0" t="n">
        <v>53</v>
      </c>
      <c r="I11121" s="0" t="s">
        <v>36920</v>
      </c>
      <c r="J11121" s="0" t="s">
        <v>36921</v>
      </c>
      <c r="K11121" s="0" t="s">
        <v>36922</v>
      </c>
      <c r="L11121" s="0" t="str">
        <f aca="false">HYPERLINK("https://www.ncbi.nlm.nih.gov/nuccore/CP000058.1?report=graph&amp;tracks=[key:gene_model_track,Options:GeneOnly]&amp;mk=3504612:3504631|offset_1|444444,3504560:3504579|offset_53|00cc00,3504503:3504522|offset_110|444444,3504483:3504502|offset_130|444444&amp;v=3504411:3504702&amp;c=444444", "offset 53")</f>
        <v>offset 53</v>
      </c>
    </row>
    <row r="11122" customFormat="false" ht="12.8" hidden="false" customHeight="false" outlineLevel="0" collapsed="false">
      <c r="A11122" s="0" t="s">
        <v>12</v>
      </c>
      <c r="B11122" s="0" t="n">
        <v>3504502</v>
      </c>
      <c r="C11122" s="0" t="n">
        <v>3504522</v>
      </c>
      <c r="D11122" s="0" t="s">
        <v>36915</v>
      </c>
      <c r="E11122" s="0" t="s">
        <v>36916</v>
      </c>
      <c r="F11122" s="0" t="s">
        <v>90</v>
      </c>
      <c r="G11122" s="0" t="s">
        <v>36</v>
      </c>
      <c r="H11122" s="0" t="n">
        <v>110</v>
      </c>
      <c r="I11122" s="0" t="s">
        <v>36923</v>
      </c>
      <c r="J11122" s="0" t="s">
        <v>36924</v>
      </c>
      <c r="K11122" s="0" t="s">
        <v>36925</v>
      </c>
      <c r="L11122" s="0" t="str">
        <f aca="false">HYPERLINK("https://www.ncbi.nlm.nih.gov/nuccore/CP000058.1?report=graph&amp;tracks=[key:gene_model_track,Options:GeneOnly]&amp;mk=3504612:3504631|offset_1|444444,3504560:3504579|offset_53|444444,3504503:3504522|offset_110|00cc00,3504483:3504502|offset_130|444444&amp;v=3504411:3504702&amp;c=444444", "offset 110")</f>
        <v>offset 110</v>
      </c>
    </row>
    <row r="11123" customFormat="false" ht="12.8" hidden="false" customHeight="false" outlineLevel="0" collapsed="false">
      <c r="A11123" s="0" t="s">
        <v>12</v>
      </c>
      <c r="B11123" s="0" t="n">
        <v>3504482</v>
      </c>
      <c r="C11123" s="0" t="n">
        <v>3504502</v>
      </c>
      <c r="D11123" s="0" t="s">
        <v>36915</v>
      </c>
      <c r="E11123" s="0" t="s">
        <v>36916</v>
      </c>
      <c r="F11123" s="0" t="s">
        <v>90</v>
      </c>
      <c r="G11123" s="0" t="s">
        <v>36</v>
      </c>
      <c r="H11123" s="0" t="n">
        <v>130</v>
      </c>
      <c r="I11123" s="0" t="s">
        <v>36926</v>
      </c>
      <c r="J11123" s="0" t="s">
        <v>36927</v>
      </c>
      <c r="K11123" s="0" t="s">
        <v>36928</v>
      </c>
      <c r="L11123" s="0" t="str">
        <f aca="false">HYPERLINK("https://www.ncbi.nlm.nih.gov/nuccore/CP000058.1?report=graph&amp;tracks=[key:gene_model_track,Options:GeneOnly]&amp;mk=3504612:3504631|offset_1|444444,3504560:3504579|offset_53|444444,3504503:3504522|offset_110|444444,3504483:3504502|offset_130|00cc00&amp;v=3504411:3504702&amp;c=444444", "offset 130")</f>
        <v>offset 130</v>
      </c>
    </row>
    <row r="11124" customFormat="false" ht="12.8" hidden="false" customHeight="false" outlineLevel="0" collapsed="false">
      <c r="A11124" s="0" t="s">
        <v>12</v>
      </c>
      <c r="B11124" s="0" t="n">
        <v>3505176</v>
      </c>
      <c r="C11124" s="0" t="n">
        <v>3505196</v>
      </c>
      <c r="D11124" s="0" t="s">
        <v>36929</v>
      </c>
      <c r="E11124" s="0" t="s">
        <v>75</v>
      </c>
      <c r="F11124" s="0" t="s">
        <v>15</v>
      </c>
      <c r="G11124" s="0" t="s">
        <v>32</v>
      </c>
      <c r="H11124" s="0" t="n">
        <v>13</v>
      </c>
      <c r="I11124" s="0" t="s">
        <v>36930</v>
      </c>
      <c r="J11124" s="0" t="s">
        <v>36931</v>
      </c>
      <c r="K11124" s="0" t="s">
        <v>36932</v>
      </c>
      <c r="L11124" s="0" t="str">
        <f aca="false">HYPERLINK("https://www.ncbi.nlm.nih.gov/nuccore/CP000058.1?report=graph&amp;tracks=[key:gene_model_track,Options:GeneOnly]&amp;mk=3505177:3505196|offset_13|00cc00,3505205:3505224|offset_41|444444,3505231:3505250|offset_67|444444,3505263:3505282|offset_99|444444&amp;v=3504976:3505482&amp;c=444444", "offset 13")</f>
        <v>offset 13</v>
      </c>
    </row>
    <row r="11125" customFormat="false" ht="12.8" hidden="false" customHeight="false" outlineLevel="0" collapsed="false">
      <c r="A11125" s="0" t="s">
        <v>12</v>
      </c>
      <c r="B11125" s="0" t="n">
        <v>3505204</v>
      </c>
      <c r="C11125" s="0" t="n">
        <v>3505224</v>
      </c>
      <c r="D11125" s="0" t="s">
        <v>36929</v>
      </c>
      <c r="E11125" s="0" t="s">
        <v>75</v>
      </c>
      <c r="F11125" s="0" t="s">
        <v>15</v>
      </c>
      <c r="G11125" s="0" t="s">
        <v>20</v>
      </c>
      <c r="H11125" s="0" t="n">
        <v>41</v>
      </c>
      <c r="I11125" s="0" t="s">
        <v>36933</v>
      </c>
      <c r="J11125" s="0" t="s">
        <v>36934</v>
      </c>
      <c r="K11125" s="0" t="s">
        <v>36935</v>
      </c>
      <c r="L11125" s="0" t="str">
        <f aca="false">HYPERLINK("https://www.ncbi.nlm.nih.gov/nuccore/CP000058.1?report=graph&amp;tracks=[key:gene_model_track,Options:GeneOnly]&amp;mk=3505177:3505196|offset_13|444444,3505205:3505224|offset_41|00cc00,3505231:3505250|offset_67|444444,3505263:3505282|offset_99|444444&amp;v=3504976:3505482&amp;c=444444", "offset 41")</f>
        <v>offset 41</v>
      </c>
    </row>
    <row r="11126" customFormat="false" ht="12.8" hidden="false" customHeight="false" outlineLevel="0" collapsed="false">
      <c r="A11126" s="0" t="s">
        <v>12</v>
      </c>
      <c r="B11126" s="0" t="n">
        <v>3505230</v>
      </c>
      <c r="C11126" s="0" t="n">
        <v>3505250</v>
      </c>
      <c r="D11126" s="0" t="s">
        <v>36929</v>
      </c>
      <c r="E11126" s="0" t="s">
        <v>75</v>
      </c>
      <c r="F11126" s="0" t="s">
        <v>15</v>
      </c>
      <c r="G11126" s="0" t="s">
        <v>20</v>
      </c>
      <c r="H11126" s="0" t="n">
        <v>67</v>
      </c>
      <c r="I11126" s="0" t="s">
        <v>36936</v>
      </c>
      <c r="J11126" s="0" t="s">
        <v>36937</v>
      </c>
      <c r="K11126" s="0" t="s">
        <v>36938</v>
      </c>
      <c r="L11126" s="0" t="str">
        <f aca="false">HYPERLINK("https://www.ncbi.nlm.nih.gov/nuccore/CP000058.1?report=graph&amp;tracks=[key:gene_model_track,Options:GeneOnly]&amp;mk=3505177:3505196|offset_13|444444,3505205:3505224|offset_41|444444,3505231:3505250|offset_67|00cc00,3505263:3505282|offset_99|444444&amp;v=3504976:3505482&amp;c=444444", "offset 67")</f>
        <v>offset 67</v>
      </c>
    </row>
    <row r="11127" customFormat="false" ht="12.8" hidden="false" customHeight="false" outlineLevel="0" collapsed="false">
      <c r="A11127" s="0" t="s">
        <v>12</v>
      </c>
      <c r="B11127" s="0" t="n">
        <v>3505262</v>
      </c>
      <c r="C11127" s="0" t="n">
        <v>3505282</v>
      </c>
      <c r="D11127" s="0" t="s">
        <v>36929</v>
      </c>
      <c r="E11127" s="0" t="s">
        <v>75</v>
      </c>
      <c r="F11127" s="0" t="s">
        <v>15</v>
      </c>
      <c r="G11127" s="0" t="s">
        <v>32</v>
      </c>
      <c r="H11127" s="0" t="n">
        <v>99</v>
      </c>
      <c r="I11127" s="0" t="s">
        <v>36939</v>
      </c>
      <c r="J11127" s="0" t="s">
        <v>36940</v>
      </c>
      <c r="K11127" s="0" t="s">
        <v>36941</v>
      </c>
      <c r="L11127" s="0" t="str">
        <f aca="false">HYPERLINK("https://www.ncbi.nlm.nih.gov/nuccore/CP000058.1?report=graph&amp;tracks=[key:gene_model_track,Options:GeneOnly]&amp;mk=3505177:3505196|offset_13|444444,3505205:3505224|offset_41|444444,3505231:3505250|offset_67|444444,3505263:3505282|offset_99|00cc00&amp;v=3504976:3505482&amp;c=444444", "offset 99")</f>
        <v>offset 99</v>
      </c>
    </row>
    <row r="11128" customFormat="false" ht="12.8" hidden="false" customHeight="false" outlineLevel="0" collapsed="false">
      <c r="A11128" s="0" t="s">
        <v>12</v>
      </c>
      <c r="B11128" s="0" t="n">
        <v>3507508</v>
      </c>
      <c r="C11128" s="0" t="n">
        <v>3507528</v>
      </c>
      <c r="D11128" s="0" t="s">
        <v>36942</v>
      </c>
      <c r="E11128" s="0" t="s">
        <v>75</v>
      </c>
      <c r="F11128" s="0" t="s">
        <v>90</v>
      </c>
      <c r="G11128" s="0" t="s">
        <v>20</v>
      </c>
      <c r="H11128" s="0" t="n">
        <v>1</v>
      </c>
      <c r="I11128" s="0" t="s">
        <v>36943</v>
      </c>
      <c r="J11128" s="0" t="s">
        <v>36944</v>
      </c>
      <c r="K11128" s="0" t="s">
        <v>36945</v>
      </c>
      <c r="L11128" s="0" t="str">
        <f aca="false">HYPERLINK("https://www.ncbi.nlm.nih.gov/nuccore/CP000058.1?report=graph&amp;tracks=[key:gene_model_track,Options:GeneOnly]&amp;mk=3507509:3507528|offset_1|00cc00,3507483:3507502|offset_27|444444,3507460:3507479|offset_50|444444,3507437:3507456|offset_73|444444&amp;v=3507308:3507656&amp;c=444444", "offset 1")</f>
        <v>offset 1</v>
      </c>
    </row>
    <row r="11129" customFormat="false" ht="12.8" hidden="false" customHeight="false" outlineLevel="0" collapsed="false">
      <c r="A11129" s="0" t="s">
        <v>12</v>
      </c>
      <c r="B11129" s="0" t="n">
        <v>3507482</v>
      </c>
      <c r="C11129" s="0" t="n">
        <v>3507502</v>
      </c>
      <c r="D11129" s="0" t="s">
        <v>36942</v>
      </c>
      <c r="E11129" s="0" t="s">
        <v>75</v>
      </c>
      <c r="F11129" s="0" t="s">
        <v>90</v>
      </c>
      <c r="G11129" s="0" t="s">
        <v>16</v>
      </c>
      <c r="H11129" s="0" t="n">
        <v>27</v>
      </c>
      <c r="I11129" s="0" t="s">
        <v>36946</v>
      </c>
      <c r="J11129" s="0" t="s">
        <v>36947</v>
      </c>
      <c r="K11129" s="0" t="s">
        <v>36948</v>
      </c>
      <c r="L11129" s="0" t="str">
        <f aca="false">HYPERLINK("https://www.ncbi.nlm.nih.gov/nuccore/CP000058.1?report=graph&amp;tracks=[key:gene_model_track,Options:GeneOnly]&amp;mk=3507509:3507528|offset_1|444444,3507483:3507502|offset_27|00cc00,3507460:3507479|offset_50|444444,3507437:3507456|offset_73|444444&amp;v=3507308:3507656&amp;c=444444", "offset 27")</f>
        <v>offset 27</v>
      </c>
    </row>
    <row r="11130" customFormat="false" ht="12.8" hidden="false" customHeight="false" outlineLevel="0" collapsed="false">
      <c r="A11130" s="0" t="s">
        <v>12</v>
      </c>
      <c r="B11130" s="0" t="n">
        <v>3507459</v>
      </c>
      <c r="C11130" s="0" t="n">
        <v>3507479</v>
      </c>
      <c r="D11130" s="0" t="s">
        <v>36942</v>
      </c>
      <c r="E11130" s="0" t="s">
        <v>75</v>
      </c>
      <c r="F11130" s="0" t="s">
        <v>90</v>
      </c>
      <c r="G11130" s="0" t="s">
        <v>16</v>
      </c>
      <c r="H11130" s="0" t="n">
        <v>50</v>
      </c>
      <c r="I11130" s="0" t="s">
        <v>36949</v>
      </c>
      <c r="J11130" s="0" t="s">
        <v>36950</v>
      </c>
      <c r="K11130" s="0" t="s">
        <v>36951</v>
      </c>
      <c r="L11130" s="0" t="str">
        <f aca="false">HYPERLINK("https://www.ncbi.nlm.nih.gov/nuccore/CP000058.1?report=graph&amp;tracks=[key:gene_model_track,Options:GeneOnly]&amp;mk=3507509:3507528|offset_1|444444,3507483:3507502|offset_27|444444,3507460:3507479|offset_50|00cc00,3507437:3507456|offset_73|444444&amp;v=3507308:3507656&amp;c=444444", "offset 50")</f>
        <v>offset 50</v>
      </c>
    </row>
    <row r="11131" customFormat="false" ht="12.8" hidden="false" customHeight="false" outlineLevel="0" collapsed="false">
      <c r="A11131" s="0" t="s">
        <v>12</v>
      </c>
      <c r="B11131" s="0" t="n">
        <v>3507436</v>
      </c>
      <c r="C11131" s="0" t="n">
        <v>3507456</v>
      </c>
      <c r="D11131" s="0" t="s">
        <v>36942</v>
      </c>
      <c r="E11131" s="0" t="s">
        <v>75</v>
      </c>
      <c r="F11131" s="0" t="s">
        <v>90</v>
      </c>
      <c r="G11131" s="0" t="s">
        <v>36</v>
      </c>
      <c r="H11131" s="0" t="n">
        <v>73</v>
      </c>
      <c r="I11131" s="0" t="s">
        <v>36952</v>
      </c>
      <c r="J11131" s="0" t="s">
        <v>36953</v>
      </c>
      <c r="K11131" s="0" t="s">
        <v>36954</v>
      </c>
      <c r="L11131" s="0" t="str">
        <f aca="false">HYPERLINK("https://www.ncbi.nlm.nih.gov/nuccore/CP000058.1?report=graph&amp;tracks=[key:gene_model_track,Options:GeneOnly]&amp;mk=3507509:3507528|offset_1|444444,3507483:3507502|offset_27|444444,3507460:3507479|offset_50|444444,3507437:3507456|offset_73|00cc00&amp;v=3507308:3507656&amp;c=444444", "offset 73")</f>
        <v>offset 73</v>
      </c>
    </row>
    <row r="11132" customFormat="false" ht="12.8" hidden="false" customHeight="false" outlineLevel="0" collapsed="false">
      <c r="A11132" s="0" t="s">
        <v>12</v>
      </c>
      <c r="B11132" s="0" t="n">
        <v>3507709</v>
      </c>
      <c r="C11132" s="0" t="n">
        <v>3507729</v>
      </c>
      <c r="D11132" s="0" t="s">
        <v>36955</v>
      </c>
      <c r="E11132" s="0" t="s">
        <v>75</v>
      </c>
      <c r="F11132" s="0" t="s">
        <v>15</v>
      </c>
      <c r="G11132" s="0" t="s">
        <v>32</v>
      </c>
      <c r="H11132" s="0" t="n">
        <v>12</v>
      </c>
      <c r="I11132" s="0" t="s">
        <v>36956</v>
      </c>
      <c r="J11132" s="0" t="s">
        <v>36957</v>
      </c>
      <c r="K11132" s="0" t="s">
        <v>36958</v>
      </c>
      <c r="L11132" s="0" t="str">
        <f aca="false">HYPERLINK("https://www.ncbi.nlm.nih.gov/nuccore/CP000058.1?report=graph&amp;tracks=[key:gene_model_track,Options:GeneOnly]&amp;mk=3507710:3507729|offset_12|00cc00,3507742:3507761|offset_44|444444,3507772:3507791|offset_74|444444,3507814:3507833|offset_116|444444&amp;v=3507509:3508033&amp;c=444444", "offset 12")</f>
        <v>offset 12</v>
      </c>
    </row>
    <row r="11133" customFormat="false" ht="12.8" hidden="false" customHeight="false" outlineLevel="0" collapsed="false">
      <c r="A11133" s="0" t="s">
        <v>12</v>
      </c>
      <c r="B11133" s="0" t="n">
        <v>3507741</v>
      </c>
      <c r="C11133" s="0" t="n">
        <v>3507761</v>
      </c>
      <c r="D11133" s="0" t="s">
        <v>36955</v>
      </c>
      <c r="E11133" s="0" t="s">
        <v>75</v>
      </c>
      <c r="F11133" s="0" t="s">
        <v>15</v>
      </c>
      <c r="G11133" s="0" t="s">
        <v>16</v>
      </c>
      <c r="H11133" s="0" t="n">
        <v>44</v>
      </c>
      <c r="I11133" s="0" t="s">
        <v>36959</v>
      </c>
      <c r="J11133" s="0" t="s">
        <v>36960</v>
      </c>
      <c r="K11133" s="0" t="s">
        <v>36961</v>
      </c>
      <c r="L11133" s="0" t="str">
        <f aca="false">HYPERLINK("https://www.ncbi.nlm.nih.gov/nuccore/CP000058.1?report=graph&amp;tracks=[key:gene_model_track,Options:GeneOnly]&amp;mk=3507710:3507729|offset_12|444444,3507742:3507761|offset_44|00cc00,3507772:3507791|offset_74|444444,3507814:3507833|offset_116|444444&amp;v=3507509:3508033&amp;c=444444", "offset 44")</f>
        <v>offset 44</v>
      </c>
    </row>
    <row r="11134" customFormat="false" ht="12.8" hidden="false" customHeight="false" outlineLevel="0" collapsed="false">
      <c r="A11134" s="0" t="s">
        <v>12</v>
      </c>
      <c r="B11134" s="0" t="n">
        <v>3507771</v>
      </c>
      <c r="C11134" s="0" t="n">
        <v>3507791</v>
      </c>
      <c r="D11134" s="0" t="s">
        <v>36955</v>
      </c>
      <c r="E11134" s="0" t="s">
        <v>75</v>
      </c>
      <c r="F11134" s="0" t="s">
        <v>15</v>
      </c>
      <c r="G11134" s="0" t="s">
        <v>20</v>
      </c>
      <c r="H11134" s="0" t="n">
        <v>74</v>
      </c>
      <c r="I11134" s="0" t="s">
        <v>36962</v>
      </c>
      <c r="J11134" s="0" t="s">
        <v>36963</v>
      </c>
      <c r="K11134" s="0" t="s">
        <v>36964</v>
      </c>
      <c r="L11134" s="0" t="str">
        <f aca="false">HYPERLINK("https://www.ncbi.nlm.nih.gov/nuccore/CP000058.1?report=graph&amp;tracks=[key:gene_model_track,Options:GeneOnly]&amp;mk=3507710:3507729|offset_12|444444,3507742:3507761|offset_44|444444,3507772:3507791|offset_74|00cc00,3507814:3507833|offset_116|444444&amp;v=3507509:3508033&amp;c=444444", "offset 74")</f>
        <v>offset 74</v>
      </c>
    </row>
    <row r="11135" customFormat="false" ht="12.8" hidden="false" customHeight="false" outlineLevel="0" collapsed="false">
      <c r="A11135" s="0" t="s">
        <v>12</v>
      </c>
      <c r="B11135" s="0" t="n">
        <v>3507813</v>
      </c>
      <c r="C11135" s="0" t="n">
        <v>3507833</v>
      </c>
      <c r="D11135" s="0" t="s">
        <v>36955</v>
      </c>
      <c r="E11135" s="0" t="s">
        <v>75</v>
      </c>
      <c r="F11135" s="0" t="s">
        <v>15</v>
      </c>
      <c r="G11135" s="0" t="s">
        <v>36</v>
      </c>
      <c r="H11135" s="0" t="n">
        <v>116</v>
      </c>
      <c r="I11135" s="0" t="s">
        <v>36965</v>
      </c>
      <c r="J11135" s="0" t="s">
        <v>36966</v>
      </c>
      <c r="K11135" s="0" t="s">
        <v>36967</v>
      </c>
      <c r="L11135" s="0" t="str">
        <f aca="false">HYPERLINK("https://www.ncbi.nlm.nih.gov/nuccore/CP000058.1?report=graph&amp;tracks=[key:gene_model_track,Options:GeneOnly]&amp;mk=3507710:3507729|offset_12|444444,3507742:3507761|offset_44|444444,3507772:3507791|offset_74|444444,3507814:3507833|offset_116|00cc00&amp;v=3507509:3508033&amp;c=444444", "offset 116")</f>
        <v>offset 116</v>
      </c>
    </row>
    <row r="11136" customFormat="false" ht="12.8" hidden="false" customHeight="false" outlineLevel="0" collapsed="false">
      <c r="A11136" s="0" t="s">
        <v>12</v>
      </c>
      <c r="B11136" s="0" t="n">
        <v>3509102</v>
      </c>
      <c r="C11136" s="0" t="n">
        <v>3509122</v>
      </c>
      <c r="D11136" s="0" t="s">
        <v>36968</v>
      </c>
      <c r="E11136" s="0" t="s">
        <v>75</v>
      </c>
      <c r="F11136" s="0" t="s">
        <v>90</v>
      </c>
      <c r="G11136" s="0" t="s">
        <v>20</v>
      </c>
      <c r="H11136" s="0" t="n">
        <v>8</v>
      </c>
      <c r="I11136" s="0" t="s">
        <v>36969</v>
      </c>
      <c r="J11136" s="0" t="s">
        <v>36970</v>
      </c>
      <c r="K11136" s="0" t="s">
        <v>36971</v>
      </c>
      <c r="L11136" s="0" t="str">
        <f aca="false">HYPERLINK("https://www.ncbi.nlm.nih.gov/nuccore/CP000058.1?report=graph&amp;tracks=[key:gene_model_track,Options:GeneOnly]&amp;mk=3509103:3509122|offset_8|00cc00,3509077:3509096|offset_34|444444,3509047:3509066|offset_64|444444,3509021:3509040|offset_90|444444&amp;v=3508902:3509240&amp;c=444444", "offset 8")</f>
        <v>offset 8</v>
      </c>
    </row>
    <row r="11137" customFormat="false" ht="12.8" hidden="false" customHeight="false" outlineLevel="0" collapsed="false">
      <c r="A11137" s="0" t="s">
        <v>12</v>
      </c>
      <c r="B11137" s="0" t="n">
        <v>3509076</v>
      </c>
      <c r="C11137" s="0" t="n">
        <v>3509096</v>
      </c>
      <c r="D11137" s="0" t="s">
        <v>36968</v>
      </c>
      <c r="E11137" s="0" t="s">
        <v>75</v>
      </c>
      <c r="F11137" s="0" t="s">
        <v>90</v>
      </c>
      <c r="G11137" s="0" t="s">
        <v>32</v>
      </c>
      <c r="H11137" s="0" t="n">
        <v>34</v>
      </c>
      <c r="I11137" s="0" t="s">
        <v>36972</v>
      </c>
      <c r="J11137" s="0" t="s">
        <v>36973</v>
      </c>
      <c r="K11137" s="0" t="s">
        <v>36974</v>
      </c>
      <c r="L11137" s="0" t="str">
        <f aca="false">HYPERLINK("https://www.ncbi.nlm.nih.gov/nuccore/CP000058.1?report=graph&amp;tracks=[key:gene_model_track,Options:GeneOnly]&amp;mk=3509103:3509122|offset_8|444444,3509077:3509096|offset_34|00cc00,3509047:3509066|offset_64|444444,3509021:3509040|offset_90|444444&amp;v=3508902:3509240&amp;c=444444", "offset 34")</f>
        <v>offset 34</v>
      </c>
    </row>
    <row r="11138" customFormat="false" ht="12.8" hidden="false" customHeight="false" outlineLevel="0" collapsed="false">
      <c r="A11138" s="0" t="s">
        <v>12</v>
      </c>
      <c r="B11138" s="0" t="n">
        <v>3509046</v>
      </c>
      <c r="C11138" s="0" t="n">
        <v>3509066</v>
      </c>
      <c r="D11138" s="0" t="s">
        <v>36968</v>
      </c>
      <c r="E11138" s="0" t="s">
        <v>75</v>
      </c>
      <c r="F11138" s="0" t="s">
        <v>90</v>
      </c>
      <c r="G11138" s="0" t="s">
        <v>16</v>
      </c>
      <c r="H11138" s="0" t="n">
        <v>64</v>
      </c>
      <c r="I11138" s="0" t="s">
        <v>36975</v>
      </c>
      <c r="J11138" s="0" t="s">
        <v>36976</v>
      </c>
      <c r="K11138" s="0" t="s">
        <v>36977</v>
      </c>
      <c r="L11138" s="0" t="str">
        <f aca="false">HYPERLINK("https://www.ncbi.nlm.nih.gov/nuccore/CP000058.1?report=graph&amp;tracks=[key:gene_model_track,Options:GeneOnly]&amp;mk=3509103:3509122|offset_8|444444,3509077:3509096|offset_34|444444,3509047:3509066|offset_64|00cc00,3509021:3509040|offset_90|444444&amp;v=3508902:3509240&amp;c=444444", "offset 64")</f>
        <v>offset 64</v>
      </c>
    </row>
    <row r="11139" customFormat="false" ht="12.8" hidden="false" customHeight="false" outlineLevel="0" collapsed="false">
      <c r="A11139" s="0" t="s">
        <v>12</v>
      </c>
      <c r="B11139" s="0" t="n">
        <v>3509020</v>
      </c>
      <c r="C11139" s="0" t="n">
        <v>3509040</v>
      </c>
      <c r="D11139" s="0" t="s">
        <v>36968</v>
      </c>
      <c r="E11139" s="0" t="s">
        <v>75</v>
      </c>
      <c r="F11139" s="0" t="s">
        <v>90</v>
      </c>
      <c r="G11139" s="0" t="s">
        <v>36</v>
      </c>
      <c r="H11139" s="0" t="n">
        <v>90</v>
      </c>
      <c r="I11139" s="0" t="s">
        <v>36978</v>
      </c>
      <c r="J11139" s="0" t="s">
        <v>36979</v>
      </c>
      <c r="K11139" s="0" t="s">
        <v>36980</v>
      </c>
      <c r="L11139" s="0" t="str">
        <f aca="false">HYPERLINK("https://www.ncbi.nlm.nih.gov/nuccore/CP000058.1?report=graph&amp;tracks=[key:gene_model_track,Options:GeneOnly]&amp;mk=3509103:3509122|offset_8|444444,3509077:3509096|offset_34|444444,3509047:3509066|offset_64|444444,3509021:3509040|offset_90|00cc00&amp;v=3508902:3509240&amp;c=444444", "offset 90")</f>
        <v>offset 90</v>
      </c>
    </row>
    <row r="11140" customFormat="false" ht="12.8" hidden="false" customHeight="false" outlineLevel="0" collapsed="false">
      <c r="A11140" s="0" t="s">
        <v>12</v>
      </c>
      <c r="B11140" s="0" t="n">
        <v>3509237</v>
      </c>
      <c r="C11140" s="0" t="n">
        <v>3509257</v>
      </c>
      <c r="D11140" s="0" t="s">
        <v>36981</v>
      </c>
      <c r="E11140" s="0" t="s">
        <v>75</v>
      </c>
      <c r="F11140" s="0" t="s">
        <v>15</v>
      </c>
      <c r="G11140" s="0" t="s">
        <v>20</v>
      </c>
      <c r="H11140" s="0" t="n">
        <v>1</v>
      </c>
      <c r="I11140" s="0" t="s">
        <v>36982</v>
      </c>
      <c r="J11140" s="0" t="s">
        <v>36983</v>
      </c>
      <c r="K11140" s="0" t="s">
        <v>36984</v>
      </c>
      <c r="L11140" s="0" t="str">
        <f aca="false">HYPERLINK("https://www.ncbi.nlm.nih.gov/nuccore/CP000058.1?report=graph&amp;tracks=[key:gene_model_track,Options:GeneOnly]&amp;mk=3509238:3509257|offset_1|00cc00,3509268:3509287|offset_31|444444,3509305:3509324|offset_68|444444,3509351:3509370|offset_114|444444&amp;v=3509037:3509570&amp;c=444444", "offset 1")</f>
        <v>offset 1</v>
      </c>
    </row>
    <row r="11141" customFormat="false" ht="12.8" hidden="false" customHeight="false" outlineLevel="0" collapsed="false">
      <c r="A11141" s="0" t="s">
        <v>12</v>
      </c>
      <c r="B11141" s="0" t="n">
        <v>3509267</v>
      </c>
      <c r="C11141" s="0" t="n">
        <v>3509287</v>
      </c>
      <c r="D11141" s="0" t="s">
        <v>36981</v>
      </c>
      <c r="E11141" s="0" t="s">
        <v>75</v>
      </c>
      <c r="F11141" s="0" t="s">
        <v>15</v>
      </c>
      <c r="G11141" s="0" t="s">
        <v>32</v>
      </c>
      <c r="H11141" s="0" t="n">
        <v>31</v>
      </c>
      <c r="I11141" s="0" t="s">
        <v>36985</v>
      </c>
      <c r="J11141" s="0" t="s">
        <v>36986</v>
      </c>
      <c r="K11141" s="0" t="s">
        <v>36987</v>
      </c>
      <c r="L11141" s="0" t="str">
        <f aca="false">HYPERLINK("https://www.ncbi.nlm.nih.gov/nuccore/CP000058.1?report=graph&amp;tracks=[key:gene_model_track,Options:GeneOnly]&amp;mk=3509238:3509257|offset_1|444444,3509268:3509287|offset_31|00cc00,3509305:3509324|offset_68|444444,3509351:3509370|offset_114|444444&amp;v=3509037:3509570&amp;c=444444", "offset 31")</f>
        <v>offset 31</v>
      </c>
    </row>
    <row r="11142" customFormat="false" ht="12.8" hidden="false" customHeight="false" outlineLevel="0" collapsed="false">
      <c r="A11142" s="0" t="s">
        <v>12</v>
      </c>
      <c r="B11142" s="0" t="n">
        <v>3509304</v>
      </c>
      <c r="C11142" s="0" t="n">
        <v>3509324</v>
      </c>
      <c r="D11142" s="0" t="s">
        <v>36981</v>
      </c>
      <c r="E11142" s="0" t="s">
        <v>75</v>
      </c>
      <c r="F11142" s="0" t="s">
        <v>15</v>
      </c>
      <c r="G11142" s="0" t="s">
        <v>20</v>
      </c>
      <c r="H11142" s="0" t="n">
        <v>68</v>
      </c>
      <c r="I11142" s="0" t="s">
        <v>36988</v>
      </c>
      <c r="J11142" s="0" t="s">
        <v>36989</v>
      </c>
      <c r="K11142" s="0" t="s">
        <v>36990</v>
      </c>
      <c r="L11142" s="0" t="str">
        <f aca="false">HYPERLINK("https://www.ncbi.nlm.nih.gov/nuccore/CP000058.1?report=graph&amp;tracks=[key:gene_model_track,Options:GeneOnly]&amp;mk=3509238:3509257|offset_1|444444,3509268:3509287|offset_31|444444,3509305:3509324|offset_68|00cc00,3509351:3509370|offset_114|444444&amp;v=3509037:3509570&amp;c=444444", "offset 68")</f>
        <v>offset 68</v>
      </c>
    </row>
    <row r="11143" customFormat="false" ht="12.8" hidden="false" customHeight="false" outlineLevel="0" collapsed="false">
      <c r="A11143" s="0" t="s">
        <v>12</v>
      </c>
      <c r="B11143" s="0" t="n">
        <v>3509350</v>
      </c>
      <c r="C11143" s="0" t="n">
        <v>3509370</v>
      </c>
      <c r="D11143" s="0" t="s">
        <v>36981</v>
      </c>
      <c r="E11143" s="0" t="s">
        <v>75</v>
      </c>
      <c r="F11143" s="0" t="s">
        <v>15</v>
      </c>
      <c r="G11143" s="0" t="s">
        <v>20</v>
      </c>
      <c r="H11143" s="0" t="n">
        <v>114</v>
      </c>
      <c r="I11143" s="0" t="s">
        <v>36991</v>
      </c>
      <c r="J11143" s="0" t="s">
        <v>36992</v>
      </c>
      <c r="K11143" s="0" t="s">
        <v>36993</v>
      </c>
      <c r="L11143" s="0" t="str">
        <f aca="false">HYPERLINK("https://www.ncbi.nlm.nih.gov/nuccore/CP000058.1?report=graph&amp;tracks=[key:gene_model_track,Options:GeneOnly]&amp;mk=3509238:3509257|offset_1|444444,3509268:3509287|offset_31|444444,3509305:3509324|offset_68|444444,3509351:3509370|offset_114|00cc00&amp;v=3509037:3509570&amp;c=444444", "offset 114")</f>
        <v>offset 114</v>
      </c>
    </row>
    <row r="11144" customFormat="false" ht="12.8" hidden="false" customHeight="false" outlineLevel="0" collapsed="false">
      <c r="A11144" s="0" t="s">
        <v>12</v>
      </c>
      <c r="B11144" s="0" t="n">
        <v>3511636</v>
      </c>
      <c r="C11144" s="0" t="n">
        <v>3511656</v>
      </c>
      <c r="D11144" s="0" t="s">
        <v>36994</v>
      </c>
      <c r="E11144" s="0" t="s">
        <v>75</v>
      </c>
      <c r="F11144" s="0" t="s">
        <v>90</v>
      </c>
      <c r="G11144" s="0" t="s">
        <v>36</v>
      </c>
      <c r="H11144" s="0" t="n">
        <v>6</v>
      </c>
      <c r="I11144" s="0" t="s">
        <v>36995</v>
      </c>
      <c r="J11144" s="0" t="s">
        <v>36996</v>
      </c>
      <c r="K11144" s="0" t="s">
        <v>36997</v>
      </c>
      <c r="L11144" s="0" t="str">
        <f aca="false">HYPERLINK("https://www.ncbi.nlm.nih.gov/nuccore/CP000058.1?report=graph&amp;tracks=[key:gene_model_track,Options:GeneOnly]&amp;mk=3511637:3511656|offset_6|00cc00,3511598:3511617|offset_45|444444,3511552:3511571|offset_91|444444,3511494:3511513|offset_149|444444&amp;v=3511436:3511713&amp;c=444444", "offset 6")</f>
        <v>offset 6</v>
      </c>
    </row>
    <row r="11145" customFormat="false" ht="12.8" hidden="false" customHeight="false" outlineLevel="0" collapsed="false">
      <c r="A11145" s="0" t="s">
        <v>12</v>
      </c>
      <c r="B11145" s="0" t="n">
        <v>3511597</v>
      </c>
      <c r="C11145" s="0" t="n">
        <v>3511617</v>
      </c>
      <c r="D11145" s="0" t="s">
        <v>36994</v>
      </c>
      <c r="E11145" s="0" t="s">
        <v>75</v>
      </c>
      <c r="F11145" s="0" t="s">
        <v>90</v>
      </c>
      <c r="G11145" s="0" t="s">
        <v>20</v>
      </c>
      <c r="H11145" s="0" t="n">
        <v>45</v>
      </c>
      <c r="I11145" s="0" t="s">
        <v>36998</v>
      </c>
      <c r="J11145" s="0" t="s">
        <v>36999</v>
      </c>
      <c r="K11145" s="0" t="s">
        <v>37000</v>
      </c>
      <c r="L11145" s="0" t="str">
        <f aca="false">HYPERLINK("https://www.ncbi.nlm.nih.gov/nuccore/CP000058.1?report=graph&amp;tracks=[key:gene_model_track,Options:GeneOnly]&amp;mk=3511637:3511656|offset_6|444444,3511598:3511617|offset_45|00cc00,3511552:3511571|offset_91|444444,3511494:3511513|offset_149|444444&amp;v=3511436:3511713&amp;c=444444", "offset 45")</f>
        <v>offset 45</v>
      </c>
    </row>
    <row r="11146" customFormat="false" ht="12.8" hidden="false" customHeight="false" outlineLevel="0" collapsed="false">
      <c r="A11146" s="0" t="s">
        <v>12</v>
      </c>
      <c r="B11146" s="0" t="n">
        <v>3511551</v>
      </c>
      <c r="C11146" s="0" t="n">
        <v>3511571</v>
      </c>
      <c r="D11146" s="0" t="s">
        <v>36994</v>
      </c>
      <c r="E11146" s="0" t="s">
        <v>75</v>
      </c>
      <c r="F11146" s="0" t="s">
        <v>90</v>
      </c>
      <c r="G11146" s="0" t="s">
        <v>20</v>
      </c>
      <c r="H11146" s="0" t="n">
        <v>91</v>
      </c>
      <c r="I11146" s="0" t="s">
        <v>37001</v>
      </c>
      <c r="J11146" s="0" t="s">
        <v>37002</v>
      </c>
      <c r="K11146" s="0" t="s">
        <v>37003</v>
      </c>
      <c r="L11146" s="0" t="str">
        <f aca="false">HYPERLINK("https://www.ncbi.nlm.nih.gov/nuccore/CP000058.1?report=graph&amp;tracks=[key:gene_model_track,Options:GeneOnly]&amp;mk=3511637:3511656|offset_6|444444,3511598:3511617|offset_45|444444,3511552:3511571|offset_91|00cc00,3511494:3511513|offset_149|444444&amp;v=3511436:3511713&amp;c=444444", "offset 91")</f>
        <v>offset 91</v>
      </c>
    </row>
    <row r="11147" customFormat="false" ht="12.8" hidden="false" customHeight="false" outlineLevel="0" collapsed="false">
      <c r="A11147" s="0" t="s">
        <v>12</v>
      </c>
      <c r="B11147" s="0" t="n">
        <v>3511493</v>
      </c>
      <c r="C11147" s="0" t="n">
        <v>3511513</v>
      </c>
      <c r="D11147" s="0" t="s">
        <v>36994</v>
      </c>
      <c r="E11147" s="0" t="s">
        <v>75</v>
      </c>
      <c r="F11147" s="0" t="s">
        <v>90</v>
      </c>
      <c r="G11147" s="0" t="s">
        <v>16</v>
      </c>
      <c r="H11147" s="0" t="n">
        <v>149</v>
      </c>
      <c r="I11147" s="0" t="s">
        <v>37004</v>
      </c>
      <c r="J11147" s="0" t="s">
        <v>37005</v>
      </c>
      <c r="K11147" s="0" t="s">
        <v>37006</v>
      </c>
      <c r="L11147" s="0" t="str">
        <f aca="false">HYPERLINK("https://www.ncbi.nlm.nih.gov/nuccore/CP000058.1?report=graph&amp;tracks=[key:gene_model_track,Options:GeneOnly]&amp;mk=3511637:3511656|offset_6|444444,3511598:3511617|offset_45|444444,3511552:3511571|offset_91|444444,3511494:3511513|offset_149|00cc00&amp;v=3511436:3511713&amp;c=444444", "offset 149")</f>
        <v>offset 149</v>
      </c>
    </row>
    <row r="11148" customFormat="false" ht="12.8" hidden="false" customHeight="false" outlineLevel="0" collapsed="false">
      <c r="A11148" s="0" t="s">
        <v>12</v>
      </c>
      <c r="B11148" s="0" t="n">
        <v>3513287</v>
      </c>
      <c r="C11148" s="0" t="n">
        <v>3513307</v>
      </c>
      <c r="D11148" s="0" t="s">
        <v>37007</v>
      </c>
      <c r="E11148" s="0" t="s">
        <v>75</v>
      </c>
      <c r="F11148" s="0" t="s">
        <v>90</v>
      </c>
      <c r="G11148" s="0" t="s">
        <v>16</v>
      </c>
      <c r="H11148" s="0" t="n">
        <v>37</v>
      </c>
      <c r="I11148" s="0" t="s">
        <v>37008</v>
      </c>
      <c r="J11148" s="0" t="s">
        <v>37009</v>
      </c>
      <c r="K11148" s="0" t="s">
        <v>37010</v>
      </c>
      <c r="L11148" s="0" t="str">
        <f aca="false">HYPERLINK("https://www.ncbi.nlm.nih.gov/nuccore/CP000058.1?report=graph&amp;tracks=[key:gene_model_track,Options:GeneOnly]&amp;mk=3513288:3513307|offset_37|00cc00,3513264:3513283|offset_61|444444,3513216:3513235|offset_109|444444,3513175:3513194|offset_150|444444&amp;v=3513087:3513394&amp;c=444444", "offset 37")</f>
        <v>offset 37</v>
      </c>
    </row>
    <row r="11149" customFormat="false" ht="12.8" hidden="false" customHeight="false" outlineLevel="0" collapsed="false">
      <c r="A11149" s="0" t="s">
        <v>12</v>
      </c>
      <c r="B11149" s="0" t="n">
        <v>3513263</v>
      </c>
      <c r="C11149" s="0" t="n">
        <v>3513283</v>
      </c>
      <c r="D11149" s="0" t="s">
        <v>37007</v>
      </c>
      <c r="E11149" s="0" t="s">
        <v>75</v>
      </c>
      <c r="F11149" s="0" t="s">
        <v>90</v>
      </c>
      <c r="G11149" s="0" t="s">
        <v>36</v>
      </c>
      <c r="H11149" s="0" t="n">
        <v>61</v>
      </c>
      <c r="I11149" s="0" t="s">
        <v>37011</v>
      </c>
      <c r="J11149" s="0" t="s">
        <v>37012</v>
      </c>
      <c r="K11149" s="0" t="s">
        <v>37013</v>
      </c>
      <c r="L11149" s="0" t="str">
        <f aca="false">HYPERLINK("https://www.ncbi.nlm.nih.gov/nuccore/CP000058.1?report=graph&amp;tracks=[key:gene_model_track,Options:GeneOnly]&amp;mk=3513288:3513307|offset_37|444444,3513264:3513283|offset_61|00cc00,3513216:3513235|offset_109|444444,3513175:3513194|offset_150|444444&amp;v=3513087:3513394&amp;c=444444", "offset 61")</f>
        <v>offset 61</v>
      </c>
    </row>
    <row r="11150" customFormat="false" ht="12.8" hidden="false" customHeight="false" outlineLevel="0" collapsed="false">
      <c r="A11150" s="0" t="s">
        <v>12</v>
      </c>
      <c r="B11150" s="0" t="n">
        <v>3513215</v>
      </c>
      <c r="C11150" s="0" t="n">
        <v>3513235</v>
      </c>
      <c r="D11150" s="0" t="s">
        <v>37007</v>
      </c>
      <c r="E11150" s="0" t="s">
        <v>75</v>
      </c>
      <c r="F11150" s="0" t="s">
        <v>90</v>
      </c>
      <c r="G11150" s="0" t="s">
        <v>32</v>
      </c>
      <c r="H11150" s="0" t="n">
        <v>109</v>
      </c>
      <c r="I11150" s="0" t="s">
        <v>37014</v>
      </c>
      <c r="J11150" s="0" t="s">
        <v>37015</v>
      </c>
      <c r="K11150" s="0" t="s">
        <v>37016</v>
      </c>
      <c r="L11150" s="0" t="str">
        <f aca="false">HYPERLINK("https://www.ncbi.nlm.nih.gov/nuccore/CP000058.1?report=graph&amp;tracks=[key:gene_model_track,Options:GeneOnly]&amp;mk=3513288:3513307|offset_37|444444,3513264:3513283|offset_61|444444,3513216:3513235|offset_109|00cc00,3513175:3513194|offset_150|444444&amp;v=3513087:3513394&amp;c=444444", "offset 109")</f>
        <v>offset 109</v>
      </c>
    </row>
    <row r="11151" customFormat="false" ht="12.8" hidden="false" customHeight="false" outlineLevel="0" collapsed="false">
      <c r="A11151" s="0" t="s">
        <v>12</v>
      </c>
      <c r="B11151" s="0" t="n">
        <v>3513174</v>
      </c>
      <c r="C11151" s="0" t="n">
        <v>3513194</v>
      </c>
      <c r="D11151" s="0" t="s">
        <v>37007</v>
      </c>
      <c r="E11151" s="0" t="s">
        <v>75</v>
      </c>
      <c r="F11151" s="0" t="s">
        <v>90</v>
      </c>
      <c r="G11151" s="0" t="s">
        <v>36</v>
      </c>
      <c r="H11151" s="0" t="n">
        <v>150</v>
      </c>
      <c r="I11151" s="0" t="s">
        <v>37017</v>
      </c>
      <c r="J11151" s="0" t="s">
        <v>37018</v>
      </c>
      <c r="K11151" s="0" t="s">
        <v>37019</v>
      </c>
      <c r="L11151" s="0" t="str">
        <f aca="false">HYPERLINK("https://www.ncbi.nlm.nih.gov/nuccore/CP000058.1?report=graph&amp;tracks=[key:gene_model_track,Options:GeneOnly]&amp;mk=3513288:3513307|offset_37|444444,3513264:3513283|offset_61|444444,3513216:3513235|offset_109|444444,3513175:3513194|offset_150|00cc00&amp;v=3513087:3513394&amp;c=444444", "offset 150")</f>
        <v>offset 150</v>
      </c>
    </row>
    <row r="11152" customFormat="false" ht="12.8" hidden="false" customHeight="false" outlineLevel="0" collapsed="false">
      <c r="A11152" s="0" t="s">
        <v>12</v>
      </c>
      <c r="B11152" s="0" t="n">
        <v>3514625</v>
      </c>
      <c r="C11152" s="0" t="n">
        <v>3514645</v>
      </c>
      <c r="D11152" s="0" t="s">
        <v>37020</v>
      </c>
      <c r="E11152" s="0" t="s">
        <v>37021</v>
      </c>
      <c r="F11152" s="0" t="s">
        <v>90</v>
      </c>
      <c r="G11152" s="0" t="s">
        <v>36</v>
      </c>
      <c r="H11152" s="0" t="n">
        <v>19</v>
      </c>
      <c r="I11152" s="0" t="s">
        <v>37022</v>
      </c>
      <c r="J11152" s="0" t="s">
        <v>37023</v>
      </c>
      <c r="K11152" s="0" t="s">
        <v>37024</v>
      </c>
      <c r="L11152" s="0" t="str">
        <f aca="false">HYPERLINK("https://www.ncbi.nlm.nih.gov/nuccore/CP000058.1?report=graph&amp;tracks=[key:gene_model_track,Options:GeneOnly]&amp;mk=3514626:3514645|offset_19|00cc00,3514604:3514623|offset_41|444444,3514584:3514603|offset_61|444444,3514560:3514579|offset_85|444444&amp;v=3514425:3514779&amp;c=444444", "offset 19")</f>
        <v>offset 19</v>
      </c>
    </row>
    <row r="11153" customFormat="false" ht="12.8" hidden="false" customHeight="false" outlineLevel="0" collapsed="false">
      <c r="A11153" s="0" t="s">
        <v>12</v>
      </c>
      <c r="B11153" s="0" t="n">
        <v>3514603</v>
      </c>
      <c r="C11153" s="0" t="n">
        <v>3514623</v>
      </c>
      <c r="D11153" s="0" t="s">
        <v>37020</v>
      </c>
      <c r="E11153" s="0" t="s">
        <v>37021</v>
      </c>
      <c r="F11153" s="0" t="s">
        <v>90</v>
      </c>
      <c r="G11153" s="0" t="s">
        <v>20</v>
      </c>
      <c r="H11153" s="0" t="n">
        <v>41</v>
      </c>
      <c r="I11153" s="0" t="s">
        <v>37025</v>
      </c>
      <c r="J11153" s="0" t="s">
        <v>37026</v>
      </c>
      <c r="K11153" s="0" t="s">
        <v>37027</v>
      </c>
      <c r="L11153" s="0" t="str">
        <f aca="false">HYPERLINK("https://www.ncbi.nlm.nih.gov/nuccore/CP000058.1?report=graph&amp;tracks=[key:gene_model_track,Options:GeneOnly]&amp;mk=3514626:3514645|offset_19|444444,3514604:3514623|offset_41|00cc00,3514584:3514603|offset_61|444444,3514560:3514579|offset_85|444444&amp;v=3514425:3514779&amp;c=444444", "offset 41")</f>
        <v>offset 41</v>
      </c>
    </row>
    <row r="11154" customFormat="false" ht="12.8" hidden="false" customHeight="false" outlineLevel="0" collapsed="false">
      <c r="A11154" s="0" t="s">
        <v>12</v>
      </c>
      <c r="B11154" s="0" t="n">
        <v>3514583</v>
      </c>
      <c r="C11154" s="0" t="n">
        <v>3514603</v>
      </c>
      <c r="D11154" s="0" t="s">
        <v>37020</v>
      </c>
      <c r="E11154" s="0" t="s">
        <v>37021</v>
      </c>
      <c r="F11154" s="0" t="s">
        <v>90</v>
      </c>
      <c r="G11154" s="0" t="s">
        <v>16</v>
      </c>
      <c r="H11154" s="0" t="n">
        <v>61</v>
      </c>
      <c r="I11154" s="0" t="s">
        <v>37028</v>
      </c>
      <c r="J11154" s="0" t="s">
        <v>37029</v>
      </c>
      <c r="K11154" s="0" t="s">
        <v>37030</v>
      </c>
      <c r="L11154" s="0" t="str">
        <f aca="false">HYPERLINK("https://www.ncbi.nlm.nih.gov/nuccore/CP000058.1?report=graph&amp;tracks=[key:gene_model_track,Options:GeneOnly]&amp;mk=3514626:3514645|offset_19|444444,3514604:3514623|offset_41|444444,3514584:3514603|offset_61|00cc00,3514560:3514579|offset_85|444444&amp;v=3514425:3514779&amp;c=444444", "offset 61")</f>
        <v>offset 61</v>
      </c>
    </row>
    <row r="11155" customFormat="false" ht="12.8" hidden="false" customHeight="false" outlineLevel="0" collapsed="false">
      <c r="A11155" s="0" t="s">
        <v>12</v>
      </c>
      <c r="B11155" s="0" t="n">
        <v>3514559</v>
      </c>
      <c r="C11155" s="0" t="n">
        <v>3514579</v>
      </c>
      <c r="D11155" s="0" t="s">
        <v>37020</v>
      </c>
      <c r="E11155" s="0" t="s">
        <v>37021</v>
      </c>
      <c r="F11155" s="0" t="s">
        <v>90</v>
      </c>
      <c r="G11155" s="0" t="s">
        <v>16</v>
      </c>
      <c r="H11155" s="0" t="n">
        <v>85</v>
      </c>
      <c r="I11155" s="0" t="s">
        <v>37031</v>
      </c>
      <c r="J11155" s="0" t="s">
        <v>37032</v>
      </c>
      <c r="K11155" s="0" t="s">
        <v>37033</v>
      </c>
      <c r="L11155" s="0" t="str">
        <f aca="false">HYPERLINK("https://www.ncbi.nlm.nih.gov/nuccore/CP000058.1?report=graph&amp;tracks=[key:gene_model_track,Options:GeneOnly]&amp;mk=3514626:3514645|offset_19|444444,3514604:3514623|offset_41|444444,3514584:3514603|offset_61|444444,3514560:3514579|offset_85|00cc00&amp;v=3514425:3514779&amp;c=444444", "offset 85")</f>
        <v>offset 85</v>
      </c>
    </row>
    <row r="11156" customFormat="false" ht="12.8" hidden="false" customHeight="false" outlineLevel="0" collapsed="false">
      <c r="A11156" s="0" t="s">
        <v>12</v>
      </c>
      <c r="B11156" s="0" t="n">
        <v>3515175</v>
      </c>
      <c r="C11156" s="0" t="n">
        <v>3515195</v>
      </c>
      <c r="D11156" s="0" t="s">
        <v>37034</v>
      </c>
      <c r="E11156" s="0" t="s">
        <v>75</v>
      </c>
      <c r="F11156" s="0" t="s">
        <v>90</v>
      </c>
      <c r="G11156" s="0" t="s">
        <v>16</v>
      </c>
      <c r="H11156" s="0" t="n">
        <v>0</v>
      </c>
      <c r="I11156" s="0" t="s">
        <v>37035</v>
      </c>
      <c r="J11156" s="0" t="s">
        <v>37036</v>
      </c>
      <c r="K11156" s="0" t="s">
        <v>37037</v>
      </c>
      <c r="L11156" s="0" t="str">
        <f aca="false">HYPERLINK("https://www.ncbi.nlm.nih.gov/nuccore/CP000058.1?report=graph&amp;tracks=[key:gene_model_track,Options:GeneOnly]&amp;mk=3515176:3515195|offset_0|00cc00,3515134:3515153|offset_42|444444,3515085:3515104|offset_91|444444,3515039:3515058|offset_137|444444&amp;v=3514975:3515258&amp;c=444444", "offset 0")</f>
        <v>offset 0</v>
      </c>
    </row>
    <row r="11157" customFormat="false" ht="12.8" hidden="false" customHeight="false" outlineLevel="0" collapsed="false">
      <c r="A11157" s="0" t="s">
        <v>12</v>
      </c>
      <c r="B11157" s="0" t="n">
        <v>3515133</v>
      </c>
      <c r="C11157" s="0" t="n">
        <v>3515153</v>
      </c>
      <c r="D11157" s="0" t="s">
        <v>37034</v>
      </c>
      <c r="E11157" s="0" t="s">
        <v>75</v>
      </c>
      <c r="F11157" s="0" t="s">
        <v>90</v>
      </c>
      <c r="G11157" s="0" t="s">
        <v>20</v>
      </c>
      <c r="H11157" s="0" t="n">
        <v>42</v>
      </c>
      <c r="I11157" s="0" t="s">
        <v>37038</v>
      </c>
      <c r="J11157" s="0" t="s">
        <v>37039</v>
      </c>
      <c r="K11157" s="0" t="s">
        <v>37040</v>
      </c>
      <c r="L11157" s="0" t="str">
        <f aca="false">HYPERLINK("https://www.ncbi.nlm.nih.gov/nuccore/CP000058.1?report=graph&amp;tracks=[key:gene_model_track,Options:GeneOnly]&amp;mk=3515176:3515195|offset_0|444444,3515134:3515153|offset_42|00cc00,3515085:3515104|offset_91|444444,3515039:3515058|offset_137|444444&amp;v=3514975:3515258&amp;c=444444", "offset 42")</f>
        <v>offset 42</v>
      </c>
    </row>
    <row r="11158" customFormat="false" ht="12.8" hidden="false" customHeight="false" outlineLevel="0" collapsed="false">
      <c r="A11158" s="0" t="s">
        <v>12</v>
      </c>
      <c r="B11158" s="0" t="n">
        <v>3515084</v>
      </c>
      <c r="C11158" s="0" t="n">
        <v>3515104</v>
      </c>
      <c r="D11158" s="0" t="s">
        <v>37034</v>
      </c>
      <c r="E11158" s="0" t="s">
        <v>75</v>
      </c>
      <c r="F11158" s="0" t="s">
        <v>90</v>
      </c>
      <c r="G11158" s="0" t="s">
        <v>32</v>
      </c>
      <c r="H11158" s="0" t="n">
        <v>91</v>
      </c>
      <c r="I11158" s="0" t="s">
        <v>37041</v>
      </c>
      <c r="J11158" s="0" t="s">
        <v>37042</v>
      </c>
      <c r="K11158" s="0" t="s">
        <v>37043</v>
      </c>
      <c r="L11158" s="0" t="str">
        <f aca="false">HYPERLINK("https://www.ncbi.nlm.nih.gov/nuccore/CP000058.1?report=graph&amp;tracks=[key:gene_model_track,Options:GeneOnly]&amp;mk=3515176:3515195|offset_0|444444,3515134:3515153|offset_42|444444,3515085:3515104|offset_91|00cc00,3515039:3515058|offset_137|444444&amp;v=3514975:3515258&amp;c=444444", "offset 91")</f>
        <v>offset 91</v>
      </c>
    </row>
    <row r="11159" customFormat="false" ht="12.8" hidden="false" customHeight="false" outlineLevel="0" collapsed="false">
      <c r="A11159" s="0" t="s">
        <v>12</v>
      </c>
      <c r="B11159" s="0" t="n">
        <v>3515038</v>
      </c>
      <c r="C11159" s="0" t="n">
        <v>3515058</v>
      </c>
      <c r="D11159" s="0" t="s">
        <v>37034</v>
      </c>
      <c r="E11159" s="0" t="s">
        <v>75</v>
      </c>
      <c r="F11159" s="0" t="s">
        <v>90</v>
      </c>
      <c r="G11159" s="0" t="s">
        <v>16</v>
      </c>
      <c r="H11159" s="0" t="n">
        <v>137</v>
      </c>
      <c r="I11159" s="0" t="s">
        <v>37044</v>
      </c>
      <c r="J11159" s="0" t="s">
        <v>37045</v>
      </c>
      <c r="K11159" s="0" t="s">
        <v>37046</v>
      </c>
      <c r="L11159" s="0" t="str">
        <f aca="false">HYPERLINK("https://www.ncbi.nlm.nih.gov/nuccore/CP000058.1?report=graph&amp;tracks=[key:gene_model_track,Options:GeneOnly]&amp;mk=3515176:3515195|offset_0|444444,3515134:3515153|offset_42|444444,3515085:3515104|offset_91|444444,3515039:3515058|offset_137|00cc00&amp;v=3514975:3515258&amp;c=444444", "offset 137")</f>
        <v>offset 137</v>
      </c>
    </row>
    <row r="11160" customFormat="false" ht="12.8" hidden="false" customHeight="false" outlineLevel="0" collapsed="false">
      <c r="A11160" s="0" t="s">
        <v>12</v>
      </c>
      <c r="B11160" s="0" t="n">
        <v>3516076</v>
      </c>
      <c r="C11160" s="0" t="n">
        <v>3516096</v>
      </c>
      <c r="D11160" s="0" t="s">
        <v>37047</v>
      </c>
      <c r="E11160" s="0" t="s">
        <v>37048</v>
      </c>
      <c r="F11160" s="0" t="s">
        <v>15</v>
      </c>
      <c r="G11160" s="0" t="s">
        <v>20</v>
      </c>
      <c r="H11160" s="0" t="n">
        <v>695</v>
      </c>
      <c r="I11160" s="0" t="s">
        <v>37049</v>
      </c>
      <c r="J11160" s="0" t="s">
        <v>37050</v>
      </c>
      <c r="K11160" s="0" t="s">
        <v>37051</v>
      </c>
      <c r="L11160" s="0" t="str">
        <f aca="false">HYPERLINK("https://www.ncbi.nlm.nih.gov/nuccore/CP000058.1?report=graph&amp;tracks=[key:gene_model_track,Options:GeneOnly]&amp;mk=3516077:3516096|offset_695|00cc00,3516263:3516282|offset_881|444444&amp;v=3515876:3516482&amp;c=444444", "offset 695")</f>
        <v>offset 695</v>
      </c>
    </row>
    <row r="11161" customFormat="false" ht="12.8" hidden="false" customHeight="false" outlineLevel="0" collapsed="false">
      <c r="A11161" s="0" t="s">
        <v>12</v>
      </c>
      <c r="B11161" s="0" t="n">
        <v>3516262</v>
      </c>
      <c r="C11161" s="0" t="n">
        <v>3516282</v>
      </c>
      <c r="D11161" s="0" t="s">
        <v>37047</v>
      </c>
      <c r="E11161" s="0" t="s">
        <v>37048</v>
      </c>
      <c r="F11161" s="0" t="s">
        <v>15</v>
      </c>
      <c r="G11161" s="0" t="s">
        <v>36</v>
      </c>
      <c r="H11161" s="0" t="n">
        <v>881</v>
      </c>
      <c r="I11161" s="0" t="s">
        <v>37052</v>
      </c>
      <c r="J11161" s="0" t="s">
        <v>37053</v>
      </c>
      <c r="K11161" s="0" t="s">
        <v>37054</v>
      </c>
      <c r="L11161" s="0" t="str">
        <f aca="false">HYPERLINK("https://www.ncbi.nlm.nih.gov/nuccore/CP000058.1?report=graph&amp;tracks=[key:gene_model_track,Options:GeneOnly]&amp;mk=3516077:3516096|offset_695|444444,3516263:3516282|offset_881|00cc00&amp;v=3515876:3516482&amp;c=444444", "offset 881")</f>
        <v>offset 881</v>
      </c>
    </row>
    <row r="11162" customFormat="false" ht="12.8" hidden="false" customHeight="false" outlineLevel="0" collapsed="false">
      <c r="A11162" s="0" t="s">
        <v>12</v>
      </c>
      <c r="B11162" s="0" t="n">
        <v>3518912</v>
      </c>
      <c r="C11162" s="0" t="n">
        <v>3518932</v>
      </c>
      <c r="D11162" s="0" t="s">
        <v>37055</v>
      </c>
      <c r="E11162" s="0" t="s">
        <v>75</v>
      </c>
      <c r="F11162" s="0" t="s">
        <v>15</v>
      </c>
      <c r="G11162" s="0" t="s">
        <v>36</v>
      </c>
      <c r="H11162" s="0" t="n">
        <v>19</v>
      </c>
      <c r="I11162" s="0" t="s">
        <v>37056</v>
      </c>
      <c r="J11162" s="0" t="s">
        <v>37057</v>
      </c>
      <c r="K11162" s="0" t="s">
        <v>37058</v>
      </c>
      <c r="L11162" s="0" t="str">
        <f aca="false">HYPERLINK("https://www.ncbi.nlm.nih.gov/nuccore/CP000058.1?report=graph&amp;tracks=[key:gene_model_track,Options:GeneOnly]&amp;mk=3518913:3518932|offset_19|00cc00,3518936:3518955|offset_42|444444,3518964:3518983|offset_70|444444,3518991:3519010|offset_97|444444&amp;v=3518712:3519210&amp;c=444444", "offset 19")</f>
        <v>offset 19</v>
      </c>
    </row>
    <row r="11163" customFormat="false" ht="12.8" hidden="false" customHeight="false" outlineLevel="0" collapsed="false">
      <c r="A11163" s="0" t="s">
        <v>12</v>
      </c>
      <c r="B11163" s="0" t="n">
        <v>3518935</v>
      </c>
      <c r="C11163" s="0" t="n">
        <v>3518955</v>
      </c>
      <c r="D11163" s="0" t="s">
        <v>37055</v>
      </c>
      <c r="E11163" s="0" t="s">
        <v>75</v>
      </c>
      <c r="F11163" s="0" t="s">
        <v>15</v>
      </c>
      <c r="G11163" s="0" t="s">
        <v>16</v>
      </c>
      <c r="H11163" s="0" t="n">
        <v>42</v>
      </c>
      <c r="I11163" s="0" t="s">
        <v>37059</v>
      </c>
      <c r="J11163" s="0" t="s">
        <v>37060</v>
      </c>
      <c r="K11163" s="0" t="s">
        <v>37061</v>
      </c>
      <c r="L11163" s="0" t="str">
        <f aca="false">HYPERLINK("https://www.ncbi.nlm.nih.gov/nuccore/CP000058.1?report=graph&amp;tracks=[key:gene_model_track,Options:GeneOnly]&amp;mk=3518913:3518932|offset_19|444444,3518936:3518955|offset_42|00cc00,3518964:3518983|offset_70|444444,3518991:3519010|offset_97|444444&amp;v=3518712:3519210&amp;c=444444", "offset 42")</f>
        <v>offset 42</v>
      </c>
    </row>
    <row r="11164" customFormat="false" ht="12.8" hidden="false" customHeight="false" outlineLevel="0" collapsed="false">
      <c r="A11164" s="0" t="s">
        <v>12</v>
      </c>
      <c r="B11164" s="0" t="n">
        <v>3518963</v>
      </c>
      <c r="C11164" s="0" t="n">
        <v>3518983</v>
      </c>
      <c r="D11164" s="0" t="s">
        <v>37055</v>
      </c>
      <c r="E11164" s="0" t="s">
        <v>75</v>
      </c>
      <c r="F11164" s="0" t="s">
        <v>15</v>
      </c>
      <c r="G11164" s="0" t="s">
        <v>16</v>
      </c>
      <c r="H11164" s="0" t="n">
        <v>70</v>
      </c>
      <c r="I11164" s="0" t="s">
        <v>37062</v>
      </c>
      <c r="J11164" s="0" t="s">
        <v>37063</v>
      </c>
      <c r="K11164" s="0" t="s">
        <v>37064</v>
      </c>
      <c r="L11164" s="0" t="str">
        <f aca="false">HYPERLINK("https://www.ncbi.nlm.nih.gov/nuccore/CP000058.1?report=graph&amp;tracks=[key:gene_model_track,Options:GeneOnly]&amp;mk=3518913:3518932|offset_19|444444,3518936:3518955|offset_42|444444,3518964:3518983|offset_70|00cc00,3518991:3519010|offset_97|444444&amp;v=3518712:3519210&amp;c=444444", "offset 70")</f>
        <v>offset 70</v>
      </c>
    </row>
    <row r="11165" customFormat="false" ht="12.8" hidden="false" customHeight="false" outlineLevel="0" collapsed="false">
      <c r="A11165" s="0" t="s">
        <v>12</v>
      </c>
      <c r="B11165" s="0" t="n">
        <v>3518990</v>
      </c>
      <c r="C11165" s="0" t="n">
        <v>3519010</v>
      </c>
      <c r="D11165" s="0" t="s">
        <v>37055</v>
      </c>
      <c r="E11165" s="0" t="s">
        <v>75</v>
      </c>
      <c r="F11165" s="0" t="s">
        <v>15</v>
      </c>
      <c r="G11165" s="0" t="s">
        <v>20</v>
      </c>
      <c r="H11165" s="0" t="n">
        <v>97</v>
      </c>
      <c r="I11165" s="0" t="s">
        <v>37065</v>
      </c>
      <c r="J11165" s="0" t="s">
        <v>37066</v>
      </c>
      <c r="K11165" s="0" t="s">
        <v>37067</v>
      </c>
      <c r="L11165" s="0" t="str">
        <f aca="false">HYPERLINK("https://www.ncbi.nlm.nih.gov/nuccore/CP000058.1?report=graph&amp;tracks=[key:gene_model_track,Options:GeneOnly]&amp;mk=3518913:3518932|offset_19|444444,3518936:3518955|offset_42|444444,3518964:3518983|offset_70|444444,3518991:3519010|offset_97|00cc00&amp;v=3518712:3519210&amp;c=444444", "offset 97")</f>
        <v>offset 97</v>
      </c>
    </row>
    <row r="11166" customFormat="false" ht="12.8" hidden="false" customHeight="false" outlineLevel="0" collapsed="false">
      <c r="A11166" s="0" t="s">
        <v>12</v>
      </c>
      <c r="B11166" s="0" t="n">
        <v>3520370</v>
      </c>
      <c r="C11166" s="0" t="n">
        <v>3520390</v>
      </c>
      <c r="D11166" s="0" t="s">
        <v>37068</v>
      </c>
      <c r="E11166" s="0" t="s">
        <v>75</v>
      </c>
      <c r="F11166" s="0" t="s">
        <v>90</v>
      </c>
      <c r="G11166" s="0" t="s">
        <v>32</v>
      </c>
      <c r="H11166" s="0" t="n">
        <v>1</v>
      </c>
      <c r="I11166" s="0" t="s">
        <v>37069</v>
      </c>
      <c r="J11166" s="0" t="s">
        <v>37070</v>
      </c>
      <c r="K11166" s="0" t="s">
        <v>37071</v>
      </c>
      <c r="L11166" s="0" t="str">
        <f aca="false">HYPERLINK("https://www.ncbi.nlm.nih.gov/nuccore/CP000058.1?report=graph&amp;tracks=[key:gene_model_track,Options:GeneOnly]&amp;mk=3520371:3520390|offset_1|00cc00,3520345:3520364|offset_27|444444,3520317:3520336|offset_55|444444,3520295:3520314|offset_77|444444&amp;v=3520170:3520514&amp;c=444444", "offset 1")</f>
        <v>offset 1</v>
      </c>
    </row>
    <row r="11167" customFormat="false" ht="12.8" hidden="false" customHeight="false" outlineLevel="0" collapsed="false">
      <c r="A11167" s="0" t="s">
        <v>12</v>
      </c>
      <c r="B11167" s="0" t="n">
        <v>3520344</v>
      </c>
      <c r="C11167" s="0" t="n">
        <v>3520364</v>
      </c>
      <c r="D11167" s="0" t="s">
        <v>37068</v>
      </c>
      <c r="E11167" s="0" t="s">
        <v>75</v>
      </c>
      <c r="F11167" s="0" t="s">
        <v>90</v>
      </c>
      <c r="G11167" s="0" t="s">
        <v>36</v>
      </c>
      <c r="H11167" s="0" t="n">
        <v>27</v>
      </c>
      <c r="I11167" s="0" t="s">
        <v>37072</v>
      </c>
      <c r="J11167" s="0" t="s">
        <v>37073</v>
      </c>
      <c r="K11167" s="0" t="s">
        <v>37074</v>
      </c>
      <c r="L11167" s="0" t="str">
        <f aca="false">HYPERLINK("https://www.ncbi.nlm.nih.gov/nuccore/CP000058.1?report=graph&amp;tracks=[key:gene_model_track,Options:GeneOnly]&amp;mk=3520371:3520390|offset_1|444444,3520345:3520364|offset_27|00cc00,3520317:3520336|offset_55|444444,3520295:3520314|offset_77|444444&amp;v=3520170:3520514&amp;c=444444", "offset 27")</f>
        <v>offset 27</v>
      </c>
    </row>
    <row r="11168" customFormat="false" ht="12.8" hidden="false" customHeight="false" outlineLevel="0" collapsed="false">
      <c r="A11168" s="0" t="s">
        <v>12</v>
      </c>
      <c r="B11168" s="0" t="n">
        <v>3520316</v>
      </c>
      <c r="C11168" s="0" t="n">
        <v>3520336</v>
      </c>
      <c r="D11168" s="0" t="s">
        <v>37068</v>
      </c>
      <c r="E11168" s="0" t="s">
        <v>75</v>
      </c>
      <c r="F11168" s="0" t="s">
        <v>90</v>
      </c>
      <c r="G11168" s="0" t="s">
        <v>16</v>
      </c>
      <c r="H11168" s="0" t="n">
        <v>55</v>
      </c>
      <c r="I11168" s="0" t="s">
        <v>37075</v>
      </c>
      <c r="J11168" s="0" t="s">
        <v>37076</v>
      </c>
      <c r="K11168" s="0" t="s">
        <v>37077</v>
      </c>
      <c r="L11168" s="0" t="str">
        <f aca="false">HYPERLINK("https://www.ncbi.nlm.nih.gov/nuccore/CP000058.1?report=graph&amp;tracks=[key:gene_model_track,Options:GeneOnly]&amp;mk=3520371:3520390|offset_1|444444,3520345:3520364|offset_27|444444,3520317:3520336|offset_55|00cc00,3520295:3520314|offset_77|444444&amp;v=3520170:3520514&amp;c=444444", "offset 55")</f>
        <v>offset 55</v>
      </c>
    </row>
    <row r="11169" customFormat="false" ht="12.8" hidden="false" customHeight="false" outlineLevel="0" collapsed="false">
      <c r="A11169" s="0" t="s">
        <v>12</v>
      </c>
      <c r="B11169" s="0" t="n">
        <v>3520294</v>
      </c>
      <c r="C11169" s="0" t="n">
        <v>3520314</v>
      </c>
      <c r="D11169" s="0" t="s">
        <v>37068</v>
      </c>
      <c r="E11169" s="0" t="s">
        <v>75</v>
      </c>
      <c r="F11169" s="0" t="s">
        <v>90</v>
      </c>
      <c r="G11169" s="0" t="s">
        <v>32</v>
      </c>
      <c r="H11169" s="0" t="n">
        <v>77</v>
      </c>
      <c r="I11169" s="0" t="s">
        <v>37078</v>
      </c>
      <c r="J11169" s="0" t="s">
        <v>37079</v>
      </c>
      <c r="K11169" s="0" t="s">
        <v>37080</v>
      </c>
      <c r="L11169" s="0" t="str">
        <f aca="false">HYPERLINK("https://www.ncbi.nlm.nih.gov/nuccore/CP000058.1?report=graph&amp;tracks=[key:gene_model_track,Options:GeneOnly]&amp;mk=3520371:3520390|offset_1|444444,3520345:3520364|offset_27|444444,3520317:3520336|offset_55|444444,3520295:3520314|offset_77|00cc00&amp;v=3520170:3520514&amp;c=444444", "offset 77")</f>
        <v>offset 77</v>
      </c>
    </row>
    <row r="11170" customFormat="false" ht="12.8" hidden="false" customHeight="false" outlineLevel="0" collapsed="false">
      <c r="A11170" s="0" t="s">
        <v>12</v>
      </c>
      <c r="B11170" s="0" t="n">
        <v>3520866</v>
      </c>
      <c r="C11170" s="0" t="n">
        <v>3520886</v>
      </c>
      <c r="D11170" s="0" t="s">
        <v>37081</v>
      </c>
      <c r="E11170" s="0" t="s">
        <v>75</v>
      </c>
      <c r="F11170" s="0" t="s">
        <v>15</v>
      </c>
      <c r="G11170" s="0" t="s">
        <v>16</v>
      </c>
      <c r="H11170" s="0" t="n">
        <v>7</v>
      </c>
      <c r="I11170" s="0" t="s">
        <v>37082</v>
      </c>
      <c r="J11170" s="0" t="s">
        <v>37083</v>
      </c>
      <c r="K11170" s="0" t="s">
        <v>37084</v>
      </c>
      <c r="L11170" s="0" t="str">
        <f aca="false">HYPERLINK("https://www.ncbi.nlm.nih.gov/nuccore/CP000058.1?report=graph&amp;tracks=[key:gene_model_track,Options:GeneOnly]&amp;mk=3520867:3520886|offset_7|00cc00,3520897:3520916|offset_37|444444,3520922:3520941|offset_62|444444,3520964:3520983|offset_104|444444&amp;v=3520666:3521183&amp;c=444444", "offset 7")</f>
        <v>offset 7</v>
      </c>
    </row>
    <row r="11171" customFormat="false" ht="12.8" hidden="false" customHeight="false" outlineLevel="0" collapsed="false">
      <c r="A11171" s="0" t="s">
        <v>12</v>
      </c>
      <c r="B11171" s="0" t="n">
        <v>3520896</v>
      </c>
      <c r="C11171" s="0" t="n">
        <v>3520916</v>
      </c>
      <c r="D11171" s="0" t="s">
        <v>37081</v>
      </c>
      <c r="E11171" s="0" t="s">
        <v>75</v>
      </c>
      <c r="F11171" s="0" t="s">
        <v>15</v>
      </c>
      <c r="G11171" s="0" t="s">
        <v>16</v>
      </c>
      <c r="H11171" s="0" t="n">
        <v>37</v>
      </c>
      <c r="I11171" s="0" t="s">
        <v>37085</v>
      </c>
      <c r="J11171" s="0" t="s">
        <v>37086</v>
      </c>
      <c r="K11171" s="0" t="s">
        <v>37087</v>
      </c>
      <c r="L11171" s="0" t="str">
        <f aca="false">HYPERLINK("https://www.ncbi.nlm.nih.gov/nuccore/CP000058.1?report=graph&amp;tracks=[key:gene_model_track,Options:GeneOnly]&amp;mk=3520867:3520886|offset_7|444444,3520897:3520916|offset_37|00cc00,3520922:3520941|offset_62|444444,3520964:3520983|offset_104|444444&amp;v=3520666:3521183&amp;c=444444", "offset 37")</f>
        <v>offset 37</v>
      </c>
    </row>
    <row r="11172" customFormat="false" ht="12.8" hidden="false" customHeight="false" outlineLevel="0" collapsed="false">
      <c r="A11172" s="0" t="s">
        <v>12</v>
      </c>
      <c r="B11172" s="0" t="n">
        <v>3520921</v>
      </c>
      <c r="C11172" s="0" t="n">
        <v>3520941</v>
      </c>
      <c r="D11172" s="0" t="s">
        <v>37081</v>
      </c>
      <c r="E11172" s="0" t="s">
        <v>75</v>
      </c>
      <c r="F11172" s="0" t="s">
        <v>15</v>
      </c>
      <c r="G11172" s="0" t="s">
        <v>20</v>
      </c>
      <c r="H11172" s="0" t="n">
        <v>62</v>
      </c>
      <c r="I11172" s="0" t="s">
        <v>37088</v>
      </c>
      <c r="J11172" s="0" t="s">
        <v>37089</v>
      </c>
      <c r="K11172" s="0" t="s">
        <v>37090</v>
      </c>
      <c r="L11172" s="0" t="str">
        <f aca="false">HYPERLINK("https://www.ncbi.nlm.nih.gov/nuccore/CP000058.1?report=graph&amp;tracks=[key:gene_model_track,Options:GeneOnly]&amp;mk=3520867:3520886|offset_7|444444,3520897:3520916|offset_37|444444,3520922:3520941|offset_62|00cc00,3520964:3520983|offset_104|444444&amp;v=3520666:3521183&amp;c=444444", "offset 62")</f>
        <v>offset 62</v>
      </c>
    </row>
    <row r="11173" customFormat="false" ht="12.8" hidden="false" customHeight="false" outlineLevel="0" collapsed="false">
      <c r="A11173" s="0" t="s">
        <v>12</v>
      </c>
      <c r="B11173" s="0" t="n">
        <v>3520963</v>
      </c>
      <c r="C11173" s="0" t="n">
        <v>3520983</v>
      </c>
      <c r="D11173" s="0" t="s">
        <v>37081</v>
      </c>
      <c r="E11173" s="0" t="s">
        <v>75</v>
      </c>
      <c r="F11173" s="0" t="s">
        <v>15</v>
      </c>
      <c r="G11173" s="0" t="s">
        <v>16</v>
      </c>
      <c r="H11173" s="0" t="n">
        <v>104</v>
      </c>
      <c r="I11173" s="0" t="s">
        <v>37091</v>
      </c>
      <c r="J11173" s="0" t="s">
        <v>37092</v>
      </c>
      <c r="K11173" s="0" t="s">
        <v>37093</v>
      </c>
      <c r="L11173" s="0" t="str">
        <f aca="false">HYPERLINK("https://www.ncbi.nlm.nih.gov/nuccore/CP000058.1?report=graph&amp;tracks=[key:gene_model_track,Options:GeneOnly]&amp;mk=3520867:3520886|offset_7|444444,3520897:3520916|offset_37|444444,3520922:3520941|offset_62|444444,3520964:3520983|offset_104|00cc00&amp;v=3520666:3521183&amp;c=444444", "offset 104")</f>
        <v>offset 104</v>
      </c>
    </row>
    <row r="11174" customFormat="false" ht="12.8" hidden="false" customHeight="false" outlineLevel="0" collapsed="false">
      <c r="A11174" s="0" t="s">
        <v>12</v>
      </c>
      <c r="B11174" s="0" t="n">
        <v>3523731</v>
      </c>
      <c r="C11174" s="0" t="n">
        <v>3523751</v>
      </c>
      <c r="D11174" s="0" t="s">
        <v>37094</v>
      </c>
      <c r="E11174" s="0" t="s">
        <v>75</v>
      </c>
      <c r="F11174" s="0" t="s">
        <v>15</v>
      </c>
      <c r="G11174" s="0" t="s">
        <v>32</v>
      </c>
      <c r="H11174" s="0" t="n">
        <v>8</v>
      </c>
      <c r="I11174" s="0" t="s">
        <v>37095</v>
      </c>
      <c r="J11174" s="0" t="s">
        <v>37096</v>
      </c>
      <c r="K11174" s="0" t="s">
        <v>37097</v>
      </c>
      <c r="L11174" s="0" t="str">
        <f aca="false">HYPERLINK("https://www.ncbi.nlm.nih.gov/nuccore/CP000058.1?report=graph&amp;tracks=[key:gene_model_track,Options:GeneOnly]&amp;mk=3523732:3523751|offset_8|00cc00,3523756:3523775|offset_32|444444,3523780:3523799|offset_56|444444,3523803:3523822|offset_79|444444&amp;v=3523531:3524022&amp;c=444444", "offset 8")</f>
        <v>offset 8</v>
      </c>
    </row>
    <row r="11175" customFormat="false" ht="12.8" hidden="false" customHeight="false" outlineLevel="0" collapsed="false">
      <c r="A11175" s="0" t="s">
        <v>12</v>
      </c>
      <c r="B11175" s="0" t="n">
        <v>3523755</v>
      </c>
      <c r="C11175" s="0" t="n">
        <v>3523775</v>
      </c>
      <c r="D11175" s="0" t="s">
        <v>37094</v>
      </c>
      <c r="E11175" s="0" t="s">
        <v>75</v>
      </c>
      <c r="F11175" s="0" t="s">
        <v>15</v>
      </c>
      <c r="G11175" s="0" t="s">
        <v>20</v>
      </c>
      <c r="H11175" s="0" t="n">
        <v>32</v>
      </c>
      <c r="I11175" s="0" t="s">
        <v>37098</v>
      </c>
      <c r="J11175" s="0" t="s">
        <v>37099</v>
      </c>
      <c r="K11175" s="0" t="s">
        <v>37100</v>
      </c>
      <c r="L11175" s="0" t="str">
        <f aca="false">HYPERLINK("https://www.ncbi.nlm.nih.gov/nuccore/CP000058.1?report=graph&amp;tracks=[key:gene_model_track,Options:GeneOnly]&amp;mk=3523732:3523751|offset_8|444444,3523756:3523775|offset_32|00cc00,3523780:3523799|offset_56|444444,3523803:3523822|offset_79|444444&amp;v=3523531:3524022&amp;c=444444", "offset 32")</f>
        <v>offset 32</v>
      </c>
    </row>
    <row r="11176" customFormat="false" ht="12.8" hidden="false" customHeight="false" outlineLevel="0" collapsed="false">
      <c r="A11176" s="0" t="s">
        <v>12</v>
      </c>
      <c r="B11176" s="0" t="n">
        <v>3523779</v>
      </c>
      <c r="C11176" s="0" t="n">
        <v>3523799</v>
      </c>
      <c r="D11176" s="0" t="s">
        <v>37094</v>
      </c>
      <c r="E11176" s="0" t="s">
        <v>75</v>
      </c>
      <c r="F11176" s="0" t="s">
        <v>15</v>
      </c>
      <c r="G11176" s="0" t="s">
        <v>20</v>
      </c>
      <c r="H11176" s="0" t="n">
        <v>56</v>
      </c>
      <c r="I11176" s="0" t="s">
        <v>37101</v>
      </c>
      <c r="J11176" s="0" t="s">
        <v>37102</v>
      </c>
      <c r="K11176" s="0" t="s">
        <v>37103</v>
      </c>
      <c r="L11176" s="0" t="str">
        <f aca="false">HYPERLINK("https://www.ncbi.nlm.nih.gov/nuccore/CP000058.1?report=graph&amp;tracks=[key:gene_model_track,Options:GeneOnly]&amp;mk=3523732:3523751|offset_8|444444,3523756:3523775|offset_32|444444,3523780:3523799|offset_56|00cc00,3523803:3523822|offset_79|444444&amp;v=3523531:3524022&amp;c=444444", "offset 56")</f>
        <v>offset 56</v>
      </c>
    </row>
    <row r="11177" customFormat="false" ht="12.8" hidden="false" customHeight="false" outlineLevel="0" collapsed="false">
      <c r="A11177" s="0" t="s">
        <v>12</v>
      </c>
      <c r="B11177" s="0" t="n">
        <v>3523802</v>
      </c>
      <c r="C11177" s="0" t="n">
        <v>3523822</v>
      </c>
      <c r="D11177" s="0" t="s">
        <v>37094</v>
      </c>
      <c r="E11177" s="0" t="s">
        <v>75</v>
      </c>
      <c r="F11177" s="0" t="s">
        <v>15</v>
      </c>
      <c r="G11177" s="0" t="s">
        <v>20</v>
      </c>
      <c r="H11177" s="0" t="n">
        <v>79</v>
      </c>
      <c r="I11177" s="0" t="s">
        <v>37104</v>
      </c>
      <c r="J11177" s="0" t="s">
        <v>37105</v>
      </c>
      <c r="K11177" s="0" t="s">
        <v>37106</v>
      </c>
      <c r="L11177" s="0" t="str">
        <f aca="false">HYPERLINK("https://www.ncbi.nlm.nih.gov/nuccore/CP000058.1?report=graph&amp;tracks=[key:gene_model_track,Options:GeneOnly]&amp;mk=3523732:3523751|offset_8|444444,3523756:3523775|offset_32|444444,3523780:3523799|offset_56|444444,3523803:3523822|offset_79|00cc00&amp;v=3523531:3524022&amp;c=444444", "offset 79")</f>
        <v>offset 79</v>
      </c>
    </row>
    <row r="11178" customFormat="false" ht="12.8" hidden="false" customHeight="false" outlineLevel="0" collapsed="false">
      <c r="A11178" s="0" t="s">
        <v>12</v>
      </c>
      <c r="B11178" s="0" t="n">
        <v>3524424</v>
      </c>
      <c r="C11178" s="0" t="n">
        <v>3524444</v>
      </c>
      <c r="D11178" s="0" t="s">
        <v>37107</v>
      </c>
      <c r="E11178" s="0" t="s">
        <v>75</v>
      </c>
      <c r="F11178" s="0" t="s">
        <v>15</v>
      </c>
      <c r="G11178" s="0" t="s">
        <v>36</v>
      </c>
      <c r="H11178" s="0" t="n">
        <v>7</v>
      </c>
      <c r="I11178" s="0" t="s">
        <v>37108</v>
      </c>
      <c r="J11178" s="0" t="s">
        <v>37109</v>
      </c>
      <c r="K11178" s="0" t="s">
        <v>37110</v>
      </c>
      <c r="L11178" s="0" t="str">
        <f aca="false">HYPERLINK("https://www.ncbi.nlm.nih.gov/nuccore/CP000058.1?report=graph&amp;tracks=[key:gene_model_track,Options:GeneOnly]&amp;mk=3524425:3524444|offset_7|00cc00,3524467:3524486|offset_49|444444,3524531:3524550|offset_113|444444,3524561:3524580|offset_143|444444&amp;v=3524224:3524780&amp;c=444444", "offset 7")</f>
        <v>offset 7</v>
      </c>
    </row>
    <row r="11179" customFormat="false" ht="12.8" hidden="false" customHeight="false" outlineLevel="0" collapsed="false">
      <c r="A11179" s="0" t="s">
        <v>12</v>
      </c>
      <c r="B11179" s="0" t="n">
        <v>3524466</v>
      </c>
      <c r="C11179" s="0" t="n">
        <v>3524486</v>
      </c>
      <c r="D11179" s="0" t="s">
        <v>37107</v>
      </c>
      <c r="E11179" s="0" t="s">
        <v>75</v>
      </c>
      <c r="F11179" s="0" t="s">
        <v>15</v>
      </c>
      <c r="G11179" s="0" t="s">
        <v>32</v>
      </c>
      <c r="H11179" s="0" t="n">
        <v>49</v>
      </c>
      <c r="I11179" s="0" t="s">
        <v>37111</v>
      </c>
      <c r="J11179" s="0" t="s">
        <v>37112</v>
      </c>
      <c r="K11179" s="0" t="s">
        <v>37113</v>
      </c>
      <c r="L11179" s="0" t="str">
        <f aca="false">HYPERLINK("https://www.ncbi.nlm.nih.gov/nuccore/CP000058.1?report=graph&amp;tracks=[key:gene_model_track,Options:GeneOnly]&amp;mk=3524425:3524444|offset_7|444444,3524467:3524486|offset_49|00cc00,3524531:3524550|offset_113|444444,3524561:3524580|offset_143|444444&amp;v=3524224:3524780&amp;c=444444", "offset 49")</f>
        <v>offset 49</v>
      </c>
    </row>
    <row r="11180" customFormat="false" ht="12.8" hidden="false" customHeight="false" outlineLevel="0" collapsed="false">
      <c r="A11180" s="0" t="s">
        <v>12</v>
      </c>
      <c r="B11180" s="0" t="n">
        <v>3524530</v>
      </c>
      <c r="C11180" s="0" t="n">
        <v>3524550</v>
      </c>
      <c r="D11180" s="0" t="s">
        <v>37107</v>
      </c>
      <c r="E11180" s="0" t="s">
        <v>75</v>
      </c>
      <c r="F11180" s="0" t="s">
        <v>15</v>
      </c>
      <c r="G11180" s="0" t="s">
        <v>36</v>
      </c>
      <c r="H11180" s="0" t="n">
        <v>113</v>
      </c>
      <c r="I11180" s="0" t="s">
        <v>37114</v>
      </c>
      <c r="J11180" s="0" t="s">
        <v>37115</v>
      </c>
      <c r="K11180" s="0" t="s">
        <v>37116</v>
      </c>
      <c r="L11180" s="0" t="str">
        <f aca="false">HYPERLINK("https://www.ncbi.nlm.nih.gov/nuccore/CP000058.1?report=graph&amp;tracks=[key:gene_model_track,Options:GeneOnly]&amp;mk=3524425:3524444|offset_7|444444,3524467:3524486|offset_49|444444,3524531:3524550|offset_113|00cc00,3524561:3524580|offset_143|444444&amp;v=3524224:3524780&amp;c=444444", "offset 113")</f>
        <v>offset 113</v>
      </c>
    </row>
    <row r="11181" customFormat="false" ht="12.8" hidden="false" customHeight="false" outlineLevel="0" collapsed="false">
      <c r="A11181" s="0" t="s">
        <v>12</v>
      </c>
      <c r="B11181" s="0" t="n">
        <v>3524560</v>
      </c>
      <c r="C11181" s="0" t="n">
        <v>3524580</v>
      </c>
      <c r="D11181" s="0" t="s">
        <v>37107</v>
      </c>
      <c r="E11181" s="0" t="s">
        <v>75</v>
      </c>
      <c r="F11181" s="0" t="s">
        <v>15</v>
      </c>
      <c r="G11181" s="0" t="s">
        <v>20</v>
      </c>
      <c r="H11181" s="0" t="n">
        <v>143</v>
      </c>
      <c r="I11181" s="0" t="s">
        <v>37117</v>
      </c>
      <c r="J11181" s="0" t="s">
        <v>37118</v>
      </c>
      <c r="K11181" s="0" t="s">
        <v>37119</v>
      </c>
      <c r="L11181" s="0" t="str">
        <f aca="false">HYPERLINK("https://www.ncbi.nlm.nih.gov/nuccore/CP000058.1?report=graph&amp;tracks=[key:gene_model_track,Options:GeneOnly]&amp;mk=3524425:3524444|offset_7|444444,3524467:3524486|offset_49|444444,3524531:3524550|offset_113|444444,3524561:3524580|offset_143|00cc00&amp;v=3524224:3524780&amp;c=444444", "offset 143")</f>
        <v>offset 143</v>
      </c>
    </row>
    <row r="11182" customFormat="false" ht="12.8" hidden="false" customHeight="false" outlineLevel="0" collapsed="false">
      <c r="A11182" s="0" t="s">
        <v>12</v>
      </c>
      <c r="B11182" s="0" t="n">
        <v>3525707</v>
      </c>
      <c r="C11182" s="0" t="n">
        <v>3525727</v>
      </c>
      <c r="D11182" s="0" t="s">
        <v>37120</v>
      </c>
      <c r="E11182" s="0" t="s">
        <v>37121</v>
      </c>
      <c r="F11182" s="0" t="s">
        <v>15</v>
      </c>
      <c r="G11182" s="0" t="s">
        <v>36</v>
      </c>
      <c r="H11182" s="0" t="n">
        <v>32</v>
      </c>
      <c r="I11182" s="0" t="s">
        <v>37122</v>
      </c>
      <c r="J11182" s="0" t="s">
        <v>37123</v>
      </c>
      <c r="K11182" s="0" t="s">
        <v>37124</v>
      </c>
      <c r="L11182" s="0" t="str">
        <f aca="false">HYPERLINK("https://www.ncbi.nlm.nih.gov/nuccore/CP000058.1?report=graph&amp;tracks=[key:gene_model_track,Options:GeneOnly]&amp;mk=3525708:3525727|offset_32|00cc00,3525733:3525752|offset_57|444444,3525790:3525809|offset_114|444444,3525815:3525834|offset_139|444444&amp;v=3525507:3526034&amp;c=444444", "offset 32")</f>
        <v>offset 32</v>
      </c>
    </row>
    <row r="11183" customFormat="false" ht="12.8" hidden="false" customHeight="false" outlineLevel="0" collapsed="false">
      <c r="A11183" s="0" t="s">
        <v>12</v>
      </c>
      <c r="B11183" s="0" t="n">
        <v>3525732</v>
      </c>
      <c r="C11183" s="0" t="n">
        <v>3525752</v>
      </c>
      <c r="D11183" s="0" t="s">
        <v>37120</v>
      </c>
      <c r="E11183" s="0" t="s">
        <v>37121</v>
      </c>
      <c r="F11183" s="0" t="s">
        <v>15</v>
      </c>
      <c r="G11183" s="0" t="s">
        <v>20</v>
      </c>
      <c r="H11183" s="0" t="n">
        <v>57</v>
      </c>
      <c r="I11183" s="0" t="s">
        <v>37125</v>
      </c>
      <c r="J11183" s="0" t="s">
        <v>37126</v>
      </c>
      <c r="K11183" s="0" t="s">
        <v>37127</v>
      </c>
      <c r="L11183" s="0" t="str">
        <f aca="false">HYPERLINK("https://www.ncbi.nlm.nih.gov/nuccore/CP000058.1?report=graph&amp;tracks=[key:gene_model_track,Options:GeneOnly]&amp;mk=3525708:3525727|offset_32|444444,3525733:3525752|offset_57|00cc00,3525790:3525809|offset_114|444444,3525815:3525834|offset_139|444444&amp;v=3525507:3526034&amp;c=444444", "offset 57")</f>
        <v>offset 57</v>
      </c>
    </row>
    <row r="11184" customFormat="false" ht="12.8" hidden="false" customHeight="false" outlineLevel="0" collapsed="false">
      <c r="A11184" s="0" t="s">
        <v>12</v>
      </c>
      <c r="B11184" s="0" t="n">
        <v>3525789</v>
      </c>
      <c r="C11184" s="0" t="n">
        <v>3525809</v>
      </c>
      <c r="D11184" s="0" t="s">
        <v>37120</v>
      </c>
      <c r="E11184" s="0" t="s">
        <v>37121</v>
      </c>
      <c r="F11184" s="0" t="s">
        <v>15</v>
      </c>
      <c r="G11184" s="0" t="s">
        <v>16</v>
      </c>
      <c r="H11184" s="0" t="n">
        <v>114</v>
      </c>
      <c r="I11184" s="0" t="s">
        <v>37128</v>
      </c>
      <c r="J11184" s="0" t="s">
        <v>37129</v>
      </c>
      <c r="K11184" s="0" t="s">
        <v>37130</v>
      </c>
      <c r="L11184" s="0" t="str">
        <f aca="false">HYPERLINK("https://www.ncbi.nlm.nih.gov/nuccore/CP000058.1?report=graph&amp;tracks=[key:gene_model_track,Options:GeneOnly]&amp;mk=3525708:3525727|offset_32|444444,3525733:3525752|offset_57|444444,3525790:3525809|offset_114|00cc00,3525815:3525834|offset_139|444444&amp;v=3525507:3526034&amp;c=444444", "offset 114")</f>
        <v>offset 114</v>
      </c>
    </row>
    <row r="11185" customFormat="false" ht="12.8" hidden="false" customHeight="false" outlineLevel="0" collapsed="false">
      <c r="A11185" s="0" t="s">
        <v>12</v>
      </c>
      <c r="B11185" s="0" t="n">
        <v>3525814</v>
      </c>
      <c r="C11185" s="0" t="n">
        <v>3525834</v>
      </c>
      <c r="D11185" s="0" t="s">
        <v>37120</v>
      </c>
      <c r="E11185" s="0" t="s">
        <v>37121</v>
      </c>
      <c r="F11185" s="0" t="s">
        <v>15</v>
      </c>
      <c r="G11185" s="0" t="s">
        <v>20</v>
      </c>
      <c r="H11185" s="0" t="n">
        <v>139</v>
      </c>
      <c r="I11185" s="0" t="s">
        <v>37131</v>
      </c>
      <c r="J11185" s="0" t="s">
        <v>37132</v>
      </c>
      <c r="K11185" s="0" t="s">
        <v>37133</v>
      </c>
      <c r="L11185" s="0" t="str">
        <f aca="false">HYPERLINK("https://www.ncbi.nlm.nih.gov/nuccore/CP000058.1?report=graph&amp;tracks=[key:gene_model_track,Options:GeneOnly]&amp;mk=3525708:3525727|offset_32|444444,3525733:3525752|offset_57|444444,3525790:3525809|offset_114|444444,3525815:3525834|offset_139|00cc00&amp;v=3525507:3526034&amp;c=444444", "offset 139")</f>
        <v>offset 139</v>
      </c>
    </row>
    <row r="11186" customFormat="false" ht="12.8" hidden="false" customHeight="false" outlineLevel="0" collapsed="false">
      <c r="A11186" s="0" t="s">
        <v>12</v>
      </c>
      <c r="B11186" s="0" t="n">
        <v>3529078</v>
      </c>
      <c r="C11186" s="0" t="n">
        <v>3529098</v>
      </c>
      <c r="D11186" s="0" t="s">
        <v>37134</v>
      </c>
      <c r="E11186" s="0" t="s">
        <v>75</v>
      </c>
      <c r="F11186" s="0" t="s">
        <v>90</v>
      </c>
      <c r="G11186" s="0" t="s">
        <v>16</v>
      </c>
      <c r="H11186" s="0" t="n">
        <v>52</v>
      </c>
      <c r="I11186" s="0" t="s">
        <v>37135</v>
      </c>
      <c r="J11186" s="0" t="s">
        <v>37136</v>
      </c>
      <c r="K11186" s="0" t="s">
        <v>37137</v>
      </c>
      <c r="L11186" s="0" t="str">
        <f aca="false">HYPERLINK("https://www.ncbi.nlm.nih.gov/nuccore/CP000058.1?report=graph&amp;tracks=[key:gene_model_track,Options:GeneOnly]&amp;mk=3529079:3529098|offset_52|00cc00,3529055:3529074|offset_76|444444,3529018:3529037|offset_113|444444,3528984:3529003|offset_147|444444&amp;v=3528878:3529203&amp;c=444444", "offset 52")</f>
        <v>offset 52</v>
      </c>
    </row>
    <row r="11187" customFormat="false" ht="12.8" hidden="false" customHeight="false" outlineLevel="0" collapsed="false">
      <c r="A11187" s="0" t="s">
        <v>12</v>
      </c>
      <c r="B11187" s="0" t="n">
        <v>3529054</v>
      </c>
      <c r="C11187" s="0" t="n">
        <v>3529074</v>
      </c>
      <c r="D11187" s="0" t="s">
        <v>37134</v>
      </c>
      <c r="E11187" s="0" t="s">
        <v>75</v>
      </c>
      <c r="F11187" s="0" t="s">
        <v>90</v>
      </c>
      <c r="G11187" s="0" t="s">
        <v>16</v>
      </c>
      <c r="H11187" s="0" t="n">
        <v>76</v>
      </c>
      <c r="I11187" s="0" t="s">
        <v>37138</v>
      </c>
      <c r="J11187" s="0" t="s">
        <v>37139</v>
      </c>
      <c r="K11187" s="0" t="s">
        <v>37140</v>
      </c>
      <c r="L11187" s="0" t="str">
        <f aca="false">HYPERLINK("https://www.ncbi.nlm.nih.gov/nuccore/CP000058.1?report=graph&amp;tracks=[key:gene_model_track,Options:GeneOnly]&amp;mk=3529079:3529098|offset_52|444444,3529055:3529074|offset_76|00cc00,3529018:3529037|offset_113|444444,3528984:3529003|offset_147|444444&amp;v=3528878:3529203&amp;c=444444", "offset 76")</f>
        <v>offset 76</v>
      </c>
    </row>
    <row r="11188" customFormat="false" ht="12.8" hidden="false" customHeight="false" outlineLevel="0" collapsed="false">
      <c r="A11188" s="0" t="s">
        <v>12</v>
      </c>
      <c r="B11188" s="0" t="n">
        <v>3529017</v>
      </c>
      <c r="C11188" s="0" t="n">
        <v>3529037</v>
      </c>
      <c r="D11188" s="0" t="s">
        <v>37134</v>
      </c>
      <c r="E11188" s="0" t="s">
        <v>75</v>
      </c>
      <c r="F11188" s="0" t="s">
        <v>90</v>
      </c>
      <c r="G11188" s="0" t="s">
        <v>32</v>
      </c>
      <c r="H11188" s="0" t="n">
        <v>113</v>
      </c>
      <c r="I11188" s="0" t="s">
        <v>37141</v>
      </c>
      <c r="J11188" s="0" t="s">
        <v>37142</v>
      </c>
      <c r="K11188" s="0" t="s">
        <v>37143</v>
      </c>
      <c r="L11188" s="0" t="str">
        <f aca="false">HYPERLINK("https://www.ncbi.nlm.nih.gov/nuccore/CP000058.1?report=graph&amp;tracks=[key:gene_model_track,Options:GeneOnly]&amp;mk=3529079:3529098|offset_52|444444,3529055:3529074|offset_76|444444,3529018:3529037|offset_113|00cc00,3528984:3529003|offset_147|444444&amp;v=3528878:3529203&amp;c=444444", "offset 113")</f>
        <v>offset 113</v>
      </c>
    </row>
    <row r="11189" customFormat="false" ht="12.8" hidden="false" customHeight="false" outlineLevel="0" collapsed="false">
      <c r="A11189" s="0" t="s">
        <v>12</v>
      </c>
      <c r="B11189" s="0" t="n">
        <v>3528983</v>
      </c>
      <c r="C11189" s="0" t="n">
        <v>3529003</v>
      </c>
      <c r="D11189" s="0" t="s">
        <v>37134</v>
      </c>
      <c r="E11189" s="0" t="s">
        <v>75</v>
      </c>
      <c r="F11189" s="0" t="s">
        <v>90</v>
      </c>
      <c r="G11189" s="0" t="s">
        <v>16</v>
      </c>
      <c r="H11189" s="0" t="n">
        <v>147</v>
      </c>
      <c r="I11189" s="0" t="s">
        <v>37144</v>
      </c>
      <c r="J11189" s="0" t="s">
        <v>37145</v>
      </c>
      <c r="K11189" s="0" t="s">
        <v>37146</v>
      </c>
      <c r="L11189" s="0" t="str">
        <f aca="false">HYPERLINK("https://www.ncbi.nlm.nih.gov/nuccore/CP000058.1?report=graph&amp;tracks=[key:gene_model_track,Options:GeneOnly]&amp;mk=3529079:3529098|offset_52|444444,3529055:3529074|offset_76|444444,3529018:3529037|offset_113|444444,3528984:3529003|offset_147|00cc00&amp;v=3528878:3529203&amp;c=444444", "offset 147")</f>
        <v>offset 147</v>
      </c>
    </row>
    <row r="11190" customFormat="false" ht="12.8" hidden="false" customHeight="false" outlineLevel="0" collapsed="false">
      <c r="A11190" s="0" t="s">
        <v>12</v>
      </c>
      <c r="B11190" s="0" t="n">
        <v>3529348</v>
      </c>
      <c r="C11190" s="0" t="n">
        <v>3529368</v>
      </c>
      <c r="D11190" s="0" t="s">
        <v>37147</v>
      </c>
      <c r="E11190" s="0" t="s">
        <v>37148</v>
      </c>
      <c r="F11190" s="0" t="s">
        <v>15</v>
      </c>
      <c r="G11190" s="0" t="s">
        <v>20</v>
      </c>
      <c r="H11190" s="0" t="n">
        <v>6</v>
      </c>
      <c r="I11190" s="0" t="s">
        <v>37149</v>
      </c>
      <c r="J11190" s="0" t="s">
        <v>37150</v>
      </c>
      <c r="K11190" s="0" t="s">
        <v>37151</v>
      </c>
      <c r="L11190" s="0" t="str">
        <f aca="false">HYPERLINK("https://www.ncbi.nlm.nih.gov/nuccore/CP000058.1?report=graph&amp;tracks=[key:gene_model_track,Options:GeneOnly]&amp;mk=3529349:3529368|offset_6|00cc00,3529372:3529391|offset_29|444444,3529418:3529437|offset_75|444444,3529460:3529479|offset_117|444444&amp;v=3529148:3529679&amp;c=444444", "offset 6")</f>
        <v>offset 6</v>
      </c>
    </row>
    <row r="11191" customFormat="false" ht="12.8" hidden="false" customHeight="false" outlineLevel="0" collapsed="false">
      <c r="A11191" s="0" t="s">
        <v>12</v>
      </c>
      <c r="B11191" s="0" t="n">
        <v>3529371</v>
      </c>
      <c r="C11191" s="0" t="n">
        <v>3529391</v>
      </c>
      <c r="D11191" s="0" t="s">
        <v>37147</v>
      </c>
      <c r="E11191" s="0" t="s">
        <v>37148</v>
      </c>
      <c r="F11191" s="0" t="s">
        <v>15</v>
      </c>
      <c r="G11191" s="0" t="s">
        <v>36</v>
      </c>
      <c r="H11191" s="0" t="n">
        <v>29</v>
      </c>
      <c r="I11191" s="0" t="s">
        <v>37152</v>
      </c>
      <c r="J11191" s="0" t="s">
        <v>37153</v>
      </c>
      <c r="K11191" s="0" t="s">
        <v>37154</v>
      </c>
      <c r="L11191" s="0" t="str">
        <f aca="false">HYPERLINK("https://www.ncbi.nlm.nih.gov/nuccore/CP000058.1?report=graph&amp;tracks=[key:gene_model_track,Options:GeneOnly]&amp;mk=3529349:3529368|offset_6|444444,3529372:3529391|offset_29|00cc00,3529418:3529437|offset_75|444444,3529460:3529479|offset_117|444444&amp;v=3529148:3529679&amp;c=444444", "offset 29")</f>
        <v>offset 29</v>
      </c>
    </row>
    <row r="11192" customFormat="false" ht="12.8" hidden="false" customHeight="false" outlineLevel="0" collapsed="false">
      <c r="A11192" s="0" t="s">
        <v>12</v>
      </c>
      <c r="B11192" s="0" t="n">
        <v>3529417</v>
      </c>
      <c r="C11192" s="0" t="n">
        <v>3529437</v>
      </c>
      <c r="D11192" s="0" t="s">
        <v>37147</v>
      </c>
      <c r="E11192" s="0" t="s">
        <v>37148</v>
      </c>
      <c r="F11192" s="0" t="s">
        <v>15</v>
      </c>
      <c r="G11192" s="0" t="s">
        <v>36</v>
      </c>
      <c r="H11192" s="0" t="n">
        <v>75</v>
      </c>
      <c r="I11192" s="0" t="s">
        <v>37155</v>
      </c>
      <c r="J11192" s="0" t="s">
        <v>37156</v>
      </c>
      <c r="K11192" s="0" t="s">
        <v>37157</v>
      </c>
      <c r="L11192" s="0" t="str">
        <f aca="false">HYPERLINK("https://www.ncbi.nlm.nih.gov/nuccore/CP000058.1?report=graph&amp;tracks=[key:gene_model_track,Options:GeneOnly]&amp;mk=3529349:3529368|offset_6|444444,3529372:3529391|offset_29|444444,3529418:3529437|offset_75|00cc00,3529460:3529479|offset_117|444444&amp;v=3529148:3529679&amp;c=444444", "offset 75")</f>
        <v>offset 75</v>
      </c>
    </row>
    <row r="11193" customFormat="false" ht="12.8" hidden="false" customHeight="false" outlineLevel="0" collapsed="false">
      <c r="A11193" s="0" t="s">
        <v>12</v>
      </c>
      <c r="B11193" s="0" t="n">
        <v>3529459</v>
      </c>
      <c r="C11193" s="0" t="n">
        <v>3529479</v>
      </c>
      <c r="D11193" s="0" t="s">
        <v>37147</v>
      </c>
      <c r="E11193" s="0" t="s">
        <v>37148</v>
      </c>
      <c r="F11193" s="0" t="s">
        <v>15</v>
      </c>
      <c r="G11193" s="0" t="s">
        <v>16</v>
      </c>
      <c r="H11193" s="0" t="n">
        <v>117</v>
      </c>
      <c r="I11193" s="0" t="s">
        <v>37158</v>
      </c>
      <c r="J11193" s="0" t="s">
        <v>37159</v>
      </c>
      <c r="K11193" s="0" t="s">
        <v>37160</v>
      </c>
      <c r="L11193" s="0" t="str">
        <f aca="false">HYPERLINK("https://www.ncbi.nlm.nih.gov/nuccore/CP000058.1?report=graph&amp;tracks=[key:gene_model_track,Options:GeneOnly]&amp;mk=3529349:3529368|offset_6|444444,3529372:3529391|offset_29|444444,3529418:3529437|offset_75|444444,3529460:3529479|offset_117|00cc00&amp;v=3529148:3529679&amp;c=444444", "offset 117")</f>
        <v>offset 117</v>
      </c>
    </row>
    <row r="11194" customFormat="false" ht="12.8" hidden="false" customHeight="false" outlineLevel="0" collapsed="false">
      <c r="A11194" s="0" t="s">
        <v>12</v>
      </c>
      <c r="B11194" s="0" t="n">
        <v>3530155</v>
      </c>
      <c r="C11194" s="0" t="n">
        <v>3530175</v>
      </c>
      <c r="D11194" s="0" t="s">
        <v>37161</v>
      </c>
      <c r="E11194" s="0" t="s">
        <v>75</v>
      </c>
      <c r="F11194" s="0" t="s">
        <v>15</v>
      </c>
      <c r="G11194" s="0" t="s">
        <v>36</v>
      </c>
      <c r="H11194" s="0" t="n">
        <v>28</v>
      </c>
      <c r="I11194" s="0" t="s">
        <v>37162</v>
      </c>
      <c r="J11194" s="0" t="s">
        <v>37163</v>
      </c>
      <c r="K11194" s="0" t="s">
        <v>37164</v>
      </c>
      <c r="L11194" s="0" t="str">
        <f aca="false">HYPERLINK("https://www.ncbi.nlm.nih.gov/nuccore/CP000058.1?report=graph&amp;tracks=[key:gene_model_track,Options:GeneOnly]&amp;mk=3530156:3530175|offset_28|00cc00,3530199:3530218|offset_71|444444,3530231:3530250|offset_103|444444,3530273:3530292|offset_145|444444&amp;v=3529955:3530492&amp;c=444444", "offset 28")</f>
        <v>offset 28</v>
      </c>
    </row>
    <row r="11195" customFormat="false" ht="12.8" hidden="false" customHeight="false" outlineLevel="0" collapsed="false">
      <c r="A11195" s="0" t="s">
        <v>12</v>
      </c>
      <c r="B11195" s="0" t="n">
        <v>3530198</v>
      </c>
      <c r="C11195" s="0" t="n">
        <v>3530218</v>
      </c>
      <c r="D11195" s="0" t="s">
        <v>37161</v>
      </c>
      <c r="E11195" s="0" t="s">
        <v>75</v>
      </c>
      <c r="F11195" s="0" t="s">
        <v>15</v>
      </c>
      <c r="G11195" s="0" t="s">
        <v>32</v>
      </c>
      <c r="H11195" s="0" t="n">
        <v>71</v>
      </c>
      <c r="I11195" s="0" t="s">
        <v>37165</v>
      </c>
      <c r="J11195" s="0" t="s">
        <v>37166</v>
      </c>
      <c r="K11195" s="0" t="s">
        <v>37167</v>
      </c>
      <c r="L11195" s="0" t="str">
        <f aca="false">HYPERLINK("https://www.ncbi.nlm.nih.gov/nuccore/CP000058.1?report=graph&amp;tracks=[key:gene_model_track,Options:GeneOnly]&amp;mk=3530156:3530175|offset_28|444444,3530199:3530218|offset_71|00cc00,3530231:3530250|offset_103|444444,3530273:3530292|offset_145|444444&amp;v=3529955:3530492&amp;c=444444", "offset 71")</f>
        <v>offset 71</v>
      </c>
    </row>
    <row r="11196" customFormat="false" ht="12.8" hidden="false" customHeight="false" outlineLevel="0" collapsed="false">
      <c r="A11196" s="0" t="s">
        <v>12</v>
      </c>
      <c r="B11196" s="0" t="n">
        <v>3530230</v>
      </c>
      <c r="C11196" s="0" t="n">
        <v>3530250</v>
      </c>
      <c r="D11196" s="0" t="s">
        <v>37161</v>
      </c>
      <c r="E11196" s="0" t="s">
        <v>75</v>
      </c>
      <c r="F11196" s="0" t="s">
        <v>15</v>
      </c>
      <c r="G11196" s="0" t="s">
        <v>32</v>
      </c>
      <c r="H11196" s="0" t="n">
        <v>103</v>
      </c>
      <c r="I11196" s="0" t="s">
        <v>37168</v>
      </c>
      <c r="J11196" s="0" t="s">
        <v>37169</v>
      </c>
      <c r="K11196" s="0" t="s">
        <v>37170</v>
      </c>
      <c r="L11196" s="0" t="str">
        <f aca="false">HYPERLINK("https://www.ncbi.nlm.nih.gov/nuccore/CP000058.1?report=graph&amp;tracks=[key:gene_model_track,Options:GeneOnly]&amp;mk=3530156:3530175|offset_28|444444,3530199:3530218|offset_71|444444,3530231:3530250|offset_103|00cc00,3530273:3530292|offset_145|444444&amp;v=3529955:3530492&amp;c=444444", "offset 103")</f>
        <v>offset 103</v>
      </c>
    </row>
    <row r="11197" customFormat="false" ht="12.8" hidden="false" customHeight="false" outlineLevel="0" collapsed="false">
      <c r="A11197" s="0" t="s">
        <v>12</v>
      </c>
      <c r="B11197" s="0" t="n">
        <v>3530272</v>
      </c>
      <c r="C11197" s="0" t="n">
        <v>3530292</v>
      </c>
      <c r="D11197" s="0" t="s">
        <v>37161</v>
      </c>
      <c r="E11197" s="0" t="s">
        <v>75</v>
      </c>
      <c r="F11197" s="0" t="s">
        <v>15</v>
      </c>
      <c r="G11197" s="0" t="s">
        <v>16</v>
      </c>
      <c r="H11197" s="0" t="n">
        <v>145</v>
      </c>
      <c r="I11197" s="0" t="s">
        <v>37171</v>
      </c>
      <c r="J11197" s="0" t="s">
        <v>37172</v>
      </c>
      <c r="K11197" s="0" t="s">
        <v>37173</v>
      </c>
      <c r="L11197" s="0" t="str">
        <f aca="false">HYPERLINK("https://www.ncbi.nlm.nih.gov/nuccore/CP000058.1?report=graph&amp;tracks=[key:gene_model_track,Options:GeneOnly]&amp;mk=3530156:3530175|offset_28|444444,3530199:3530218|offset_71|444444,3530231:3530250|offset_103|444444,3530273:3530292|offset_145|00cc00&amp;v=3529955:3530492&amp;c=444444", "offset 145")</f>
        <v>offset 145</v>
      </c>
    </row>
    <row r="11198" customFormat="false" ht="12.8" hidden="false" customHeight="false" outlineLevel="0" collapsed="false">
      <c r="A11198" s="0" t="s">
        <v>12</v>
      </c>
      <c r="B11198" s="0" t="n">
        <v>3531153</v>
      </c>
      <c r="C11198" s="0" t="n">
        <v>3531173</v>
      </c>
      <c r="D11198" s="0" t="s">
        <v>37174</v>
      </c>
      <c r="E11198" s="0" t="s">
        <v>75</v>
      </c>
      <c r="F11198" s="0" t="s">
        <v>15</v>
      </c>
      <c r="G11198" s="0" t="s">
        <v>32</v>
      </c>
      <c r="H11198" s="0" t="n">
        <v>1</v>
      </c>
      <c r="I11198" s="0" t="s">
        <v>37175</v>
      </c>
      <c r="J11198" s="0" t="s">
        <v>37176</v>
      </c>
      <c r="K11198" s="0" t="s">
        <v>37177</v>
      </c>
      <c r="L11198" s="0" t="str">
        <f aca="false">HYPERLINK("https://www.ncbi.nlm.nih.gov/nuccore/CP000058.1?report=graph&amp;tracks=[key:gene_model_track,Options:GeneOnly]&amp;mk=3531154:3531173|offset_1|00cc00,3531187:3531206|offset_34|444444,3531211:3531230|offset_58|444444,3531257:3531276|offset_104|444444&amp;v=3530953:3531476&amp;c=444444", "offset 1")</f>
        <v>offset 1</v>
      </c>
    </row>
    <row r="11199" customFormat="false" ht="12.8" hidden="false" customHeight="false" outlineLevel="0" collapsed="false">
      <c r="A11199" s="0" t="s">
        <v>12</v>
      </c>
      <c r="B11199" s="0" t="n">
        <v>3531186</v>
      </c>
      <c r="C11199" s="0" t="n">
        <v>3531206</v>
      </c>
      <c r="D11199" s="0" t="s">
        <v>37174</v>
      </c>
      <c r="E11199" s="0" t="s">
        <v>75</v>
      </c>
      <c r="F11199" s="0" t="s">
        <v>15</v>
      </c>
      <c r="G11199" s="0" t="s">
        <v>32</v>
      </c>
      <c r="H11199" s="0" t="n">
        <v>34</v>
      </c>
      <c r="I11199" s="0" t="s">
        <v>37178</v>
      </c>
      <c r="J11199" s="0" t="s">
        <v>37179</v>
      </c>
      <c r="K11199" s="0" t="s">
        <v>37180</v>
      </c>
      <c r="L11199" s="0" t="str">
        <f aca="false">HYPERLINK("https://www.ncbi.nlm.nih.gov/nuccore/CP000058.1?report=graph&amp;tracks=[key:gene_model_track,Options:GeneOnly]&amp;mk=3531154:3531173|offset_1|444444,3531187:3531206|offset_34|00cc00,3531211:3531230|offset_58|444444,3531257:3531276|offset_104|444444&amp;v=3530953:3531476&amp;c=444444", "offset 34")</f>
        <v>offset 34</v>
      </c>
    </row>
    <row r="11200" customFormat="false" ht="12.8" hidden="false" customHeight="false" outlineLevel="0" collapsed="false">
      <c r="A11200" s="0" t="s">
        <v>12</v>
      </c>
      <c r="B11200" s="0" t="n">
        <v>3531210</v>
      </c>
      <c r="C11200" s="0" t="n">
        <v>3531230</v>
      </c>
      <c r="D11200" s="0" t="s">
        <v>37174</v>
      </c>
      <c r="E11200" s="0" t="s">
        <v>75</v>
      </c>
      <c r="F11200" s="0" t="s">
        <v>15</v>
      </c>
      <c r="G11200" s="0" t="s">
        <v>16</v>
      </c>
      <c r="H11200" s="0" t="n">
        <v>58</v>
      </c>
      <c r="I11200" s="0" t="s">
        <v>37181</v>
      </c>
      <c r="J11200" s="0" t="s">
        <v>37182</v>
      </c>
      <c r="K11200" s="0" t="s">
        <v>37183</v>
      </c>
      <c r="L11200" s="0" t="str">
        <f aca="false">HYPERLINK("https://www.ncbi.nlm.nih.gov/nuccore/CP000058.1?report=graph&amp;tracks=[key:gene_model_track,Options:GeneOnly]&amp;mk=3531154:3531173|offset_1|444444,3531187:3531206|offset_34|444444,3531211:3531230|offset_58|00cc00,3531257:3531276|offset_104|444444&amp;v=3530953:3531476&amp;c=444444", "offset 58")</f>
        <v>offset 58</v>
      </c>
    </row>
    <row r="11201" customFormat="false" ht="12.8" hidden="false" customHeight="false" outlineLevel="0" collapsed="false">
      <c r="A11201" s="0" t="s">
        <v>12</v>
      </c>
      <c r="B11201" s="0" t="n">
        <v>3531256</v>
      </c>
      <c r="C11201" s="0" t="n">
        <v>3531276</v>
      </c>
      <c r="D11201" s="0" t="s">
        <v>37174</v>
      </c>
      <c r="E11201" s="0" t="s">
        <v>75</v>
      </c>
      <c r="F11201" s="0" t="s">
        <v>15</v>
      </c>
      <c r="G11201" s="0" t="s">
        <v>16</v>
      </c>
      <c r="H11201" s="0" t="n">
        <v>104</v>
      </c>
      <c r="I11201" s="0" t="s">
        <v>37184</v>
      </c>
      <c r="J11201" s="0" t="s">
        <v>37185</v>
      </c>
      <c r="K11201" s="0" t="s">
        <v>37186</v>
      </c>
      <c r="L11201" s="0" t="str">
        <f aca="false">HYPERLINK("https://www.ncbi.nlm.nih.gov/nuccore/CP000058.1?report=graph&amp;tracks=[key:gene_model_track,Options:GeneOnly]&amp;mk=3531154:3531173|offset_1|444444,3531187:3531206|offset_34|444444,3531211:3531230|offset_58|444444,3531257:3531276|offset_104|00cc00&amp;v=3530953:3531476&amp;c=444444", "offset 104")</f>
        <v>offset 104</v>
      </c>
    </row>
    <row r="11202" customFormat="false" ht="12.8" hidden="false" customHeight="false" outlineLevel="0" collapsed="false">
      <c r="A11202" s="0" t="s">
        <v>12</v>
      </c>
      <c r="B11202" s="0" t="n">
        <v>3531860</v>
      </c>
      <c r="C11202" s="0" t="n">
        <v>3531880</v>
      </c>
      <c r="D11202" s="0" t="s">
        <v>37187</v>
      </c>
      <c r="E11202" s="0" t="s">
        <v>75</v>
      </c>
      <c r="F11202" s="0" t="s">
        <v>15</v>
      </c>
      <c r="G11202" s="0" t="s">
        <v>16</v>
      </c>
      <c r="H11202" s="0" t="n">
        <v>47</v>
      </c>
      <c r="I11202" s="0" t="s">
        <v>37188</v>
      </c>
      <c r="J11202" s="0" t="s">
        <v>37189</v>
      </c>
      <c r="K11202" s="0" t="s">
        <v>37190</v>
      </c>
      <c r="L11202" s="0" t="str">
        <f aca="false">HYPERLINK("https://www.ncbi.nlm.nih.gov/nuccore/CP000058.1?report=graph&amp;tracks=[key:gene_model_track,Options:GeneOnly]&amp;mk=3531861:3531880|offset_47|00cc00,3531884:3531903|offset_70|444444,3531921:3531940|offset_107|444444,3531941:3531960|offset_127|444444&amp;v=3531660:3532160&amp;c=444444", "offset 47")</f>
        <v>offset 47</v>
      </c>
    </row>
    <row r="11203" customFormat="false" ht="12.8" hidden="false" customHeight="false" outlineLevel="0" collapsed="false">
      <c r="A11203" s="0" t="s">
        <v>12</v>
      </c>
      <c r="B11203" s="0" t="n">
        <v>3531883</v>
      </c>
      <c r="C11203" s="0" t="n">
        <v>3531903</v>
      </c>
      <c r="D11203" s="0" t="s">
        <v>37187</v>
      </c>
      <c r="E11203" s="0" t="s">
        <v>75</v>
      </c>
      <c r="F11203" s="0" t="s">
        <v>15</v>
      </c>
      <c r="G11203" s="0" t="s">
        <v>36</v>
      </c>
      <c r="H11203" s="0" t="n">
        <v>70</v>
      </c>
      <c r="I11203" s="0" t="s">
        <v>37191</v>
      </c>
      <c r="J11203" s="0" t="s">
        <v>37192</v>
      </c>
      <c r="K11203" s="0" t="s">
        <v>37193</v>
      </c>
      <c r="L11203" s="0" t="str">
        <f aca="false">HYPERLINK("https://www.ncbi.nlm.nih.gov/nuccore/CP000058.1?report=graph&amp;tracks=[key:gene_model_track,Options:GeneOnly]&amp;mk=3531861:3531880|offset_47|444444,3531884:3531903|offset_70|00cc00,3531921:3531940|offset_107|444444,3531941:3531960|offset_127|444444&amp;v=3531660:3532160&amp;c=444444", "offset 70")</f>
        <v>offset 70</v>
      </c>
    </row>
    <row r="11204" customFormat="false" ht="12.8" hidden="false" customHeight="false" outlineLevel="0" collapsed="false">
      <c r="A11204" s="0" t="s">
        <v>12</v>
      </c>
      <c r="B11204" s="0" t="n">
        <v>3531920</v>
      </c>
      <c r="C11204" s="0" t="n">
        <v>3531940</v>
      </c>
      <c r="D11204" s="0" t="s">
        <v>37187</v>
      </c>
      <c r="E11204" s="0" t="s">
        <v>75</v>
      </c>
      <c r="F11204" s="0" t="s">
        <v>15</v>
      </c>
      <c r="G11204" s="0" t="s">
        <v>20</v>
      </c>
      <c r="H11204" s="0" t="n">
        <v>107</v>
      </c>
      <c r="I11204" s="0" t="s">
        <v>37194</v>
      </c>
      <c r="J11204" s="0" t="s">
        <v>37195</v>
      </c>
      <c r="K11204" s="0" t="s">
        <v>37196</v>
      </c>
      <c r="L11204" s="0" t="str">
        <f aca="false">HYPERLINK("https://www.ncbi.nlm.nih.gov/nuccore/CP000058.1?report=graph&amp;tracks=[key:gene_model_track,Options:GeneOnly]&amp;mk=3531861:3531880|offset_47|444444,3531884:3531903|offset_70|444444,3531921:3531940|offset_107|00cc00,3531941:3531960|offset_127|444444&amp;v=3531660:3532160&amp;c=444444", "offset 107")</f>
        <v>offset 107</v>
      </c>
    </row>
    <row r="11205" customFormat="false" ht="12.8" hidden="false" customHeight="false" outlineLevel="0" collapsed="false">
      <c r="A11205" s="0" t="s">
        <v>12</v>
      </c>
      <c r="B11205" s="0" t="n">
        <v>3531940</v>
      </c>
      <c r="C11205" s="0" t="n">
        <v>3531960</v>
      </c>
      <c r="D11205" s="0" t="s">
        <v>37187</v>
      </c>
      <c r="E11205" s="0" t="s">
        <v>75</v>
      </c>
      <c r="F11205" s="0" t="s">
        <v>15</v>
      </c>
      <c r="G11205" s="0" t="s">
        <v>20</v>
      </c>
      <c r="H11205" s="0" t="n">
        <v>127</v>
      </c>
      <c r="I11205" s="0" t="s">
        <v>37197</v>
      </c>
      <c r="J11205" s="0" t="s">
        <v>37198</v>
      </c>
      <c r="K11205" s="0" t="s">
        <v>37199</v>
      </c>
      <c r="L11205" s="0" t="str">
        <f aca="false">HYPERLINK("https://www.ncbi.nlm.nih.gov/nuccore/CP000058.1?report=graph&amp;tracks=[key:gene_model_track,Options:GeneOnly]&amp;mk=3531861:3531880|offset_47|444444,3531884:3531903|offset_70|444444,3531921:3531940|offset_107|444444,3531941:3531960|offset_127|00cc00&amp;v=3531660:3532160&amp;c=444444", "offset 127")</f>
        <v>offset 127</v>
      </c>
    </row>
    <row r="11206" customFormat="false" ht="12.8" hidden="false" customHeight="false" outlineLevel="0" collapsed="false">
      <c r="A11206" s="0" t="s">
        <v>12</v>
      </c>
      <c r="B11206" s="0" t="n">
        <v>3533757</v>
      </c>
      <c r="C11206" s="0" t="n">
        <v>3533777</v>
      </c>
      <c r="D11206" s="0" t="s">
        <v>37200</v>
      </c>
      <c r="E11206" s="0" t="s">
        <v>75</v>
      </c>
      <c r="F11206" s="0" t="s">
        <v>15</v>
      </c>
      <c r="G11206" s="0" t="s">
        <v>16</v>
      </c>
      <c r="H11206" s="0" t="n">
        <v>52</v>
      </c>
      <c r="I11206" s="0" t="s">
        <v>37201</v>
      </c>
      <c r="J11206" s="0" t="s">
        <v>37202</v>
      </c>
      <c r="K11206" s="0" t="s">
        <v>37203</v>
      </c>
      <c r="L11206" s="0" t="str">
        <f aca="false">HYPERLINK("https://www.ncbi.nlm.nih.gov/nuccore/CP000058.1?report=graph&amp;tracks=[key:gene_model_track,Options:GeneOnly]&amp;mk=3533758:3533777|offset_52|00cc00,3533785:3533804|offset_79|444444,3533821:3533840|offset_115|444444,3533842:3533861|offset_136|444444&amp;v=3533557:3534061&amp;c=444444", "offset 52")</f>
        <v>offset 52</v>
      </c>
    </row>
    <row r="11207" customFormat="false" ht="12.8" hidden="false" customHeight="false" outlineLevel="0" collapsed="false">
      <c r="A11207" s="0" t="s">
        <v>12</v>
      </c>
      <c r="B11207" s="0" t="n">
        <v>3533784</v>
      </c>
      <c r="C11207" s="0" t="n">
        <v>3533804</v>
      </c>
      <c r="D11207" s="0" t="s">
        <v>37200</v>
      </c>
      <c r="E11207" s="0" t="s">
        <v>75</v>
      </c>
      <c r="F11207" s="0" t="s">
        <v>15</v>
      </c>
      <c r="G11207" s="0" t="s">
        <v>32</v>
      </c>
      <c r="H11207" s="0" t="n">
        <v>79</v>
      </c>
      <c r="I11207" s="0" t="s">
        <v>37204</v>
      </c>
      <c r="J11207" s="0" t="s">
        <v>37205</v>
      </c>
      <c r="K11207" s="0" t="s">
        <v>37206</v>
      </c>
      <c r="L11207" s="0" t="str">
        <f aca="false">HYPERLINK("https://www.ncbi.nlm.nih.gov/nuccore/CP000058.1?report=graph&amp;tracks=[key:gene_model_track,Options:GeneOnly]&amp;mk=3533758:3533777|offset_52|444444,3533785:3533804|offset_79|00cc00,3533821:3533840|offset_115|444444,3533842:3533861|offset_136|444444&amp;v=3533557:3534061&amp;c=444444", "offset 79")</f>
        <v>offset 79</v>
      </c>
    </row>
    <row r="11208" customFormat="false" ht="12.8" hidden="false" customHeight="false" outlineLevel="0" collapsed="false">
      <c r="A11208" s="0" t="s">
        <v>12</v>
      </c>
      <c r="B11208" s="0" t="n">
        <v>3533820</v>
      </c>
      <c r="C11208" s="0" t="n">
        <v>3533840</v>
      </c>
      <c r="D11208" s="0" t="s">
        <v>37200</v>
      </c>
      <c r="E11208" s="0" t="s">
        <v>75</v>
      </c>
      <c r="F11208" s="0" t="s">
        <v>15</v>
      </c>
      <c r="G11208" s="0" t="s">
        <v>32</v>
      </c>
      <c r="H11208" s="0" t="n">
        <v>115</v>
      </c>
      <c r="I11208" s="0" t="s">
        <v>37207</v>
      </c>
      <c r="J11208" s="0" t="s">
        <v>37208</v>
      </c>
      <c r="K11208" s="0" t="s">
        <v>37209</v>
      </c>
      <c r="L11208" s="0" t="str">
        <f aca="false">HYPERLINK("https://www.ncbi.nlm.nih.gov/nuccore/CP000058.1?report=graph&amp;tracks=[key:gene_model_track,Options:GeneOnly]&amp;mk=3533758:3533777|offset_52|444444,3533785:3533804|offset_79|444444,3533821:3533840|offset_115|00cc00,3533842:3533861|offset_136|444444&amp;v=3533557:3534061&amp;c=444444", "offset 115")</f>
        <v>offset 115</v>
      </c>
    </row>
    <row r="11209" customFormat="false" ht="12.8" hidden="false" customHeight="false" outlineLevel="0" collapsed="false">
      <c r="A11209" s="0" t="s">
        <v>12</v>
      </c>
      <c r="B11209" s="0" t="n">
        <v>3533841</v>
      </c>
      <c r="C11209" s="0" t="n">
        <v>3533861</v>
      </c>
      <c r="D11209" s="0" t="s">
        <v>37200</v>
      </c>
      <c r="E11209" s="0" t="s">
        <v>75</v>
      </c>
      <c r="F11209" s="0" t="s">
        <v>15</v>
      </c>
      <c r="G11209" s="0" t="s">
        <v>16</v>
      </c>
      <c r="H11209" s="0" t="n">
        <v>136</v>
      </c>
      <c r="I11209" s="0" t="s">
        <v>37210</v>
      </c>
      <c r="J11209" s="0" t="s">
        <v>37211</v>
      </c>
      <c r="K11209" s="0" t="s">
        <v>37212</v>
      </c>
      <c r="L11209" s="0" t="str">
        <f aca="false">HYPERLINK("https://www.ncbi.nlm.nih.gov/nuccore/CP000058.1?report=graph&amp;tracks=[key:gene_model_track,Options:GeneOnly]&amp;mk=3533758:3533777|offset_52|444444,3533785:3533804|offset_79|444444,3533821:3533840|offset_115|444444,3533842:3533861|offset_136|00cc00&amp;v=3533557:3534061&amp;c=444444", "offset 136")</f>
        <v>offset 136</v>
      </c>
    </row>
    <row r="11210" customFormat="false" ht="12.8" hidden="false" customHeight="false" outlineLevel="0" collapsed="false">
      <c r="A11210" s="0" t="s">
        <v>12</v>
      </c>
      <c r="B11210" s="0" t="n">
        <v>3534631</v>
      </c>
      <c r="C11210" s="0" t="n">
        <v>3534651</v>
      </c>
      <c r="D11210" s="0" t="s">
        <v>37213</v>
      </c>
      <c r="E11210" s="0" t="s">
        <v>75</v>
      </c>
      <c r="F11210" s="0" t="s">
        <v>15</v>
      </c>
      <c r="G11210" s="0" t="s">
        <v>16</v>
      </c>
      <c r="H11210" s="0" t="n">
        <v>0</v>
      </c>
      <c r="I11210" s="0" t="s">
        <v>37214</v>
      </c>
      <c r="J11210" s="0" t="s">
        <v>37215</v>
      </c>
      <c r="K11210" s="0" t="s">
        <v>37216</v>
      </c>
      <c r="L11210" s="0" t="str">
        <f aca="false">HYPERLINK("https://www.ncbi.nlm.nih.gov/nuccore/CP000058.1?report=graph&amp;tracks=[key:gene_model_track,Options:GeneOnly]&amp;mk=3534632:3534651|offset_0|00cc00,3534680:3534699|offset_48|444444,3534709:3534728|offset_77|444444,3534739:3534758|offset_107|444444&amp;v=3534431:3534958&amp;c=444444", "offset 0")</f>
        <v>offset 0</v>
      </c>
    </row>
    <row r="11211" customFormat="false" ht="12.8" hidden="false" customHeight="false" outlineLevel="0" collapsed="false">
      <c r="A11211" s="0" t="s">
        <v>12</v>
      </c>
      <c r="B11211" s="0" t="n">
        <v>3534679</v>
      </c>
      <c r="C11211" s="0" t="n">
        <v>3534699</v>
      </c>
      <c r="D11211" s="0" t="s">
        <v>37213</v>
      </c>
      <c r="E11211" s="0" t="s">
        <v>75</v>
      </c>
      <c r="F11211" s="0" t="s">
        <v>15</v>
      </c>
      <c r="G11211" s="0" t="s">
        <v>36</v>
      </c>
      <c r="H11211" s="0" t="n">
        <v>48</v>
      </c>
      <c r="I11211" s="0" t="s">
        <v>37217</v>
      </c>
      <c r="J11211" s="0" t="s">
        <v>37218</v>
      </c>
      <c r="K11211" s="0" t="s">
        <v>37219</v>
      </c>
      <c r="L11211" s="0" t="str">
        <f aca="false">HYPERLINK("https://www.ncbi.nlm.nih.gov/nuccore/CP000058.1?report=graph&amp;tracks=[key:gene_model_track,Options:GeneOnly]&amp;mk=3534632:3534651|offset_0|444444,3534680:3534699|offset_48|00cc00,3534709:3534728|offset_77|444444,3534739:3534758|offset_107|444444&amp;v=3534431:3534958&amp;c=444444", "offset 48")</f>
        <v>offset 48</v>
      </c>
    </row>
    <row r="11212" customFormat="false" ht="12.8" hidden="false" customHeight="false" outlineLevel="0" collapsed="false">
      <c r="A11212" s="0" t="s">
        <v>12</v>
      </c>
      <c r="B11212" s="0" t="n">
        <v>3534708</v>
      </c>
      <c r="C11212" s="0" t="n">
        <v>3534728</v>
      </c>
      <c r="D11212" s="0" t="s">
        <v>37213</v>
      </c>
      <c r="E11212" s="0" t="s">
        <v>75</v>
      </c>
      <c r="F11212" s="0" t="s">
        <v>15</v>
      </c>
      <c r="G11212" s="0" t="s">
        <v>16</v>
      </c>
      <c r="H11212" s="0" t="n">
        <v>77</v>
      </c>
      <c r="I11212" s="0" t="s">
        <v>37220</v>
      </c>
      <c r="J11212" s="0" t="s">
        <v>37221</v>
      </c>
      <c r="K11212" s="0" t="s">
        <v>37222</v>
      </c>
      <c r="L11212" s="0" t="str">
        <f aca="false">HYPERLINK("https://www.ncbi.nlm.nih.gov/nuccore/CP000058.1?report=graph&amp;tracks=[key:gene_model_track,Options:GeneOnly]&amp;mk=3534632:3534651|offset_0|444444,3534680:3534699|offset_48|444444,3534709:3534728|offset_77|00cc00,3534739:3534758|offset_107|444444&amp;v=3534431:3534958&amp;c=444444", "offset 77")</f>
        <v>offset 77</v>
      </c>
    </row>
    <row r="11213" customFormat="false" ht="12.8" hidden="false" customHeight="false" outlineLevel="0" collapsed="false">
      <c r="A11213" s="0" t="s">
        <v>12</v>
      </c>
      <c r="B11213" s="0" t="n">
        <v>3534738</v>
      </c>
      <c r="C11213" s="0" t="n">
        <v>3534758</v>
      </c>
      <c r="D11213" s="0" t="s">
        <v>37213</v>
      </c>
      <c r="E11213" s="0" t="s">
        <v>75</v>
      </c>
      <c r="F11213" s="0" t="s">
        <v>15</v>
      </c>
      <c r="G11213" s="0" t="s">
        <v>20</v>
      </c>
      <c r="H11213" s="0" t="n">
        <v>107</v>
      </c>
      <c r="I11213" s="0" t="s">
        <v>37223</v>
      </c>
      <c r="J11213" s="0" t="s">
        <v>37224</v>
      </c>
      <c r="K11213" s="0" t="s">
        <v>37225</v>
      </c>
      <c r="L11213" s="0" t="str">
        <f aca="false">HYPERLINK("https://www.ncbi.nlm.nih.gov/nuccore/CP000058.1?report=graph&amp;tracks=[key:gene_model_track,Options:GeneOnly]&amp;mk=3534632:3534651|offset_0|444444,3534680:3534699|offset_48|444444,3534709:3534728|offset_77|444444,3534739:3534758|offset_107|00cc00&amp;v=3534431:3534958&amp;c=444444", "offset 107")</f>
        <v>offset 107</v>
      </c>
    </row>
    <row r="11214" customFormat="false" ht="12.8" hidden="false" customHeight="false" outlineLevel="0" collapsed="false">
      <c r="A11214" s="0" t="s">
        <v>12</v>
      </c>
      <c r="B11214" s="0" t="n">
        <v>3535866</v>
      </c>
      <c r="C11214" s="0" t="n">
        <v>3535886</v>
      </c>
      <c r="D11214" s="0" t="s">
        <v>37226</v>
      </c>
      <c r="E11214" s="0" t="s">
        <v>75</v>
      </c>
      <c r="F11214" s="0" t="s">
        <v>15</v>
      </c>
      <c r="G11214" s="0" t="s">
        <v>20</v>
      </c>
      <c r="H11214" s="0" t="n">
        <v>15</v>
      </c>
      <c r="I11214" s="0" t="s">
        <v>37227</v>
      </c>
      <c r="J11214" s="0" t="s">
        <v>37228</v>
      </c>
      <c r="K11214" s="0" t="s">
        <v>37229</v>
      </c>
      <c r="L11214" s="0" t="str">
        <f aca="false">HYPERLINK("https://www.ncbi.nlm.nih.gov/nuccore/CP000058.1?report=graph&amp;tracks=[key:gene_model_track,Options:GeneOnly]&amp;mk=3535867:3535886|offset_15|00cc00,3535927:3535946|offset_75|444444,3535969:3535988|offset_117|444444,3535991:3536010|offset_139|444444&amp;v=3535666:3536210&amp;c=444444", "offset 15")</f>
        <v>offset 15</v>
      </c>
    </row>
    <row r="11215" customFormat="false" ht="12.8" hidden="false" customHeight="false" outlineLevel="0" collapsed="false">
      <c r="A11215" s="0" t="s">
        <v>12</v>
      </c>
      <c r="B11215" s="0" t="n">
        <v>3535926</v>
      </c>
      <c r="C11215" s="0" t="n">
        <v>3535946</v>
      </c>
      <c r="D11215" s="0" t="s">
        <v>37226</v>
      </c>
      <c r="E11215" s="0" t="s">
        <v>75</v>
      </c>
      <c r="F11215" s="0" t="s">
        <v>15</v>
      </c>
      <c r="G11215" s="0" t="s">
        <v>16</v>
      </c>
      <c r="H11215" s="0" t="n">
        <v>75</v>
      </c>
      <c r="I11215" s="0" t="s">
        <v>37230</v>
      </c>
      <c r="J11215" s="0" t="s">
        <v>37231</v>
      </c>
      <c r="K11215" s="0" t="s">
        <v>37232</v>
      </c>
      <c r="L11215" s="0" t="str">
        <f aca="false">HYPERLINK("https://www.ncbi.nlm.nih.gov/nuccore/CP000058.1?report=graph&amp;tracks=[key:gene_model_track,Options:GeneOnly]&amp;mk=3535867:3535886|offset_15|444444,3535927:3535946|offset_75|00cc00,3535969:3535988|offset_117|444444,3535991:3536010|offset_139|444444&amp;v=3535666:3536210&amp;c=444444", "offset 75")</f>
        <v>offset 75</v>
      </c>
    </row>
    <row r="11216" customFormat="false" ht="12.8" hidden="false" customHeight="false" outlineLevel="0" collapsed="false">
      <c r="A11216" s="0" t="s">
        <v>12</v>
      </c>
      <c r="B11216" s="0" t="n">
        <v>3535968</v>
      </c>
      <c r="C11216" s="0" t="n">
        <v>3535988</v>
      </c>
      <c r="D11216" s="0" t="s">
        <v>37226</v>
      </c>
      <c r="E11216" s="0" t="s">
        <v>75</v>
      </c>
      <c r="F11216" s="0" t="s">
        <v>15</v>
      </c>
      <c r="G11216" s="0" t="s">
        <v>36</v>
      </c>
      <c r="H11216" s="0" t="n">
        <v>117</v>
      </c>
      <c r="I11216" s="0" t="s">
        <v>37233</v>
      </c>
      <c r="J11216" s="0" t="s">
        <v>37234</v>
      </c>
      <c r="K11216" s="0" t="s">
        <v>37235</v>
      </c>
      <c r="L11216" s="0" t="str">
        <f aca="false">HYPERLINK("https://www.ncbi.nlm.nih.gov/nuccore/CP000058.1?report=graph&amp;tracks=[key:gene_model_track,Options:GeneOnly]&amp;mk=3535867:3535886|offset_15|444444,3535927:3535946|offset_75|444444,3535969:3535988|offset_117|00cc00,3535991:3536010|offset_139|444444&amp;v=3535666:3536210&amp;c=444444", "offset 117")</f>
        <v>offset 117</v>
      </c>
    </row>
    <row r="11217" customFormat="false" ht="12.8" hidden="false" customHeight="false" outlineLevel="0" collapsed="false">
      <c r="A11217" s="0" t="s">
        <v>12</v>
      </c>
      <c r="B11217" s="0" t="n">
        <v>3535990</v>
      </c>
      <c r="C11217" s="0" t="n">
        <v>3536010</v>
      </c>
      <c r="D11217" s="0" t="s">
        <v>37226</v>
      </c>
      <c r="E11217" s="0" t="s">
        <v>75</v>
      </c>
      <c r="F11217" s="0" t="s">
        <v>15</v>
      </c>
      <c r="G11217" s="0" t="s">
        <v>16</v>
      </c>
      <c r="H11217" s="0" t="n">
        <v>139</v>
      </c>
      <c r="I11217" s="0" t="s">
        <v>37236</v>
      </c>
      <c r="J11217" s="0" t="s">
        <v>37237</v>
      </c>
      <c r="K11217" s="0" t="s">
        <v>37238</v>
      </c>
      <c r="L11217" s="0" t="str">
        <f aca="false">HYPERLINK("https://www.ncbi.nlm.nih.gov/nuccore/CP000058.1?report=graph&amp;tracks=[key:gene_model_track,Options:GeneOnly]&amp;mk=3535867:3535886|offset_15|444444,3535927:3535946|offset_75|444444,3535969:3535988|offset_117|444444,3535991:3536010|offset_139|00cc00&amp;v=3535666:3536210&amp;c=444444", "offset 139")</f>
        <v>offset 139</v>
      </c>
    </row>
    <row r="11218" customFormat="false" ht="12.8" hidden="false" customHeight="false" outlineLevel="0" collapsed="false">
      <c r="A11218" s="0" t="s">
        <v>12</v>
      </c>
      <c r="B11218" s="0" t="n">
        <v>3536967</v>
      </c>
      <c r="C11218" s="0" t="n">
        <v>3536987</v>
      </c>
      <c r="D11218" s="0" t="s">
        <v>37239</v>
      </c>
      <c r="E11218" s="0" t="s">
        <v>75</v>
      </c>
      <c r="F11218" s="0" t="s">
        <v>15</v>
      </c>
      <c r="G11218" s="0" t="s">
        <v>20</v>
      </c>
      <c r="H11218" s="0" t="n">
        <v>28</v>
      </c>
      <c r="I11218" s="0" t="s">
        <v>37240</v>
      </c>
      <c r="J11218" s="0" t="s">
        <v>37241</v>
      </c>
      <c r="K11218" s="0" t="s">
        <v>37242</v>
      </c>
      <c r="L11218" s="0" t="str">
        <f aca="false">HYPERLINK("https://www.ncbi.nlm.nih.gov/nuccore/CP000058.1?report=graph&amp;tracks=[key:gene_model_track,Options:GeneOnly]&amp;mk=3536968:3536987|offset_28|00cc00,3537053:3537072|offset_113|444444,3537085:3537104|offset_145|444444,3537108:3537127|offset_168|444444&amp;v=3536767:3537327&amp;c=444444", "offset 28")</f>
        <v>offset 28</v>
      </c>
    </row>
    <row r="11219" customFormat="false" ht="12.8" hidden="false" customHeight="false" outlineLevel="0" collapsed="false">
      <c r="A11219" s="0" t="s">
        <v>12</v>
      </c>
      <c r="B11219" s="0" t="n">
        <v>3537052</v>
      </c>
      <c r="C11219" s="0" t="n">
        <v>3537072</v>
      </c>
      <c r="D11219" s="0" t="s">
        <v>37239</v>
      </c>
      <c r="E11219" s="0" t="s">
        <v>75</v>
      </c>
      <c r="F11219" s="0" t="s">
        <v>15</v>
      </c>
      <c r="G11219" s="0" t="s">
        <v>16</v>
      </c>
      <c r="H11219" s="0" t="n">
        <v>113</v>
      </c>
      <c r="I11219" s="0" t="s">
        <v>37243</v>
      </c>
      <c r="J11219" s="0" t="s">
        <v>37244</v>
      </c>
      <c r="K11219" s="0" t="s">
        <v>37245</v>
      </c>
      <c r="L11219" s="0" t="str">
        <f aca="false">HYPERLINK("https://www.ncbi.nlm.nih.gov/nuccore/CP000058.1?report=graph&amp;tracks=[key:gene_model_track,Options:GeneOnly]&amp;mk=3536968:3536987|offset_28|444444,3537053:3537072|offset_113|00cc00,3537085:3537104|offset_145|444444,3537108:3537127|offset_168|444444&amp;v=3536767:3537327&amp;c=444444", "offset 113")</f>
        <v>offset 113</v>
      </c>
    </row>
    <row r="11220" customFormat="false" ht="12.8" hidden="false" customHeight="false" outlineLevel="0" collapsed="false">
      <c r="A11220" s="0" t="s">
        <v>12</v>
      </c>
      <c r="B11220" s="0" t="n">
        <v>3537084</v>
      </c>
      <c r="C11220" s="0" t="n">
        <v>3537104</v>
      </c>
      <c r="D11220" s="0" t="s">
        <v>37239</v>
      </c>
      <c r="E11220" s="0" t="s">
        <v>75</v>
      </c>
      <c r="F11220" s="0" t="s">
        <v>15</v>
      </c>
      <c r="G11220" s="0" t="s">
        <v>32</v>
      </c>
      <c r="H11220" s="0" t="n">
        <v>145</v>
      </c>
      <c r="I11220" s="0" t="s">
        <v>37246</v>
      </c>
      <c r="J11220" s="0" t="s">
        <v>37247</v>
      </c>
      <c r="K11220" s="0" t="s">
        <v>37248</v>
      </c>
      <c r="L11220" s="0" t="str">
        <f aca="false">HYPERLINK("https://www.ncbi.nlm.nih.gov/nuccore/CP000058.1?report=graph&amp;tracks=[key:gene_model_track,Options:GeneOnly]&amp;mk=3536968:3536987|offset_28|444444,3537053:3537072|offset_113|444444,3537085:3537104|offset_145|00cc00,3537108:3537127|offset_168|444444&amp;v=3536767:3537327&amp;c=444444", "offset 145")</f>
        <v>offset 145</v>
      </c>
    </row>
    <row r="11221" customFormat="false" ht="12.8" hidden="false" customHeight="false" outlineLevel="0" collapsed="false">
      <c r="A11221" s="0" t="s">
        <v>12</v>
      </c>
      <c r="B11221" s="0" t="n">
        <v>3537107</v>
      </c>
      <c r="C11221" s="0" t="n">
        <v>3537127</v>
      </c>
      <c r="D11221" s="0" t="s">
        <v>37239</v>
      </c>
      <c r="E11221" s="0" t="s">
        <v>75</v>
      </c>
      <c r="F11221" s="0" t="s">
        <v>15</v>
      </c>
      <c r="G11221" s="0" t="s">
        <v>16</v>
      </c>
      <c r="H11221" s="0" t="n">
        <v>168</v>
      </c>
      <c r="I11221" s="0" t="s">
        <v>37249</v>
      </c>
      <c r="J11221" s="0" t="s">
        <v>37250</v>
      </c>
      <c r="K11221" s="0" t="s">
        <v>37251</v>
      </c>
      <c r="L11221" s="0" t="str">
        <f aca="false">HYPERLINK("https://www.ncbi.nlm.nih.gov/nuccore/CP000058.1?report=graph&amp;tracks=[key:gene_model_track,Options:GeneOnly]&amp;mk=3536968:3536987|offset_28|444444,3537053:3537072|offset_113|444444,3537085:3537104|offset_145|444444,3537108:3537127|offset_168|00cc00&amp;v=3536767:3537327&amp;c=444444", "offset 168")</f>
        <v>offset 168</v>
      </c>
    </row>
    <row r="11222" customFormat="false" ht="12.8" hidden="false" customHeight="false" outlineLevel="0" collapsed="false">
      <c r="A11222" s="0" t="s">
        <v>12</v>
      </c>
      <c r="B11222" s="0" t="n">
        <v>3540801</v>
      </c>
      <c r="C11222" s="0" t="n">
        <v>3540821</v>
      </c>
      <c r="D11222" s="0" t="s">
        <v>37252</v>
      </c>
      <c r="E11222" s="0" t="s">
        <v>75</v>
      </c>
      <c r="F11222" s="0" t="s">
        <v>90</v>
      </c>
      <c r="G11222" s="0" t="s">
        <v>16</v>
      </c>
      <c r="H11222" s="0" t="n">
        <v>25</v>
      </c>
      <c r="I11222" s="0" t="s">
        <v>37253</v>
      </c>
      <c r="J11222" s="0" t="s">
        <v>37254</v>
      </c>
      <c r="K11222" s="0" t="s">
        <v>37255</v>
      </c>
      <c r="L11222" s="0" t="str">
        <f aca="false">HYPERLINK("https://www.ncbi.nlm.nih.gov/nuccore/CP000058.1?report=graph&amp;tracks=[key:gene_model_track,Options:GeneOnly]&amp;mk=3540802:3540821|offset_25|00cc00,3540766:3540785|offset_61|444444,3540711:3540730|offset_116|444444,3540676:3540695|offset_151|444444&amp;v=3540601:3540895&amp;c=444444", "offset 25")</f>
        <v>offset 25</v>
      </c>
    </row>
    <row r="11223" customFormat="false" ht="12.8" hidden="false" customHeight="false" outlineLevel="0" collapsed="false">
      <c r="A11223" s="0" t="s">
        <v>12</v>
      </c>
      <c r="B11223" s="0" t="n">
        <v>3540765</v>
      </c>
      <c r="C11223" s="0" t="n">
        <v>3540785</v>
      </c>
      <c r="D11223" s="0" t="s">
        <v>37252</v>
      </c>
      <c r="E11223" s="0" t="s">
        <v>75</v>
      </c>
      <c r="F11223" s="0" t="s">
        <v>90</v>
      </c>
      <c r="G11223" s="0" t="s">
        <v>36</v>
      </c>
      <c r="H11223" s="0" t="n">
        <v>61</v>
      </c>
      <c r="I11223" s="0" t="s">
        <v>37256</v>
      </c>
      <c r="J11223" s="0" t="s">
        <v>37257</v>
      </c>
      <c r="K11223" s="0" t="s">
        <v>37258</v>
      </c>
      <c r="L11223" s="0" t="str">
        <f aca="false">HYPERLINK("https://www.ncbi.nlm.nih.gov/nuccore/CP000058.1?report=graph&amp;tracks=[key:gene_model_track,Options:GeneOnly]&amp;mk=3540802:3540821|offset_25|444444,3540766:3540785|offset_61|00cc00,3540711:3540730|offset_116|444444,3540676:3540695|offset_151|444444&amp;v=3540601:3540895&amp;c=444444", "offset 61")</f>
        <v>offset 61</v>
      </c>
    </row>
    <row r="11224" customFormat="false" ht="12.8" hidden="false" customHeight="false" outlineLevel="0" collapsed="false">
      <c r="A11224" s="0" t="s">
        <v>12</v>
      </c>
      <c r="B11224" s="0" t="n">
        <v>3540710</v>
      </c>
      <c r="C11224" s="0" t="n">
        <v>3540730</v>
      </c>
      <c r="D11224" s="0" t="s">
        <v>37252</v>
      </c>
      <c r="E11224" s="0" t="s">
        <v>75</v>
      </c>
      <c r="F11224" s="0" t="s">
        <v>90</v>
      </c>
      <c r="G11224" s="0" t="s">
        <v>36</v>
      </c>
      <c r="H11224" s="0" t="n">
        <v>116</v>
      </c>
      <c r="I11224" s="0" t="s">
        <v>37259</v>
      </c>
      <c r="J11224" s="0" t="s">
        <v>37260</v>
      </c>
      <c r="K11224" s="0" t="s">
        <v>37261</v>
      </c>
      <c r="L11224" s="0" t="str">
        <f aca="false">HYPERLINK("https://www.ncbi.nlm.nih.gov/nuccore/CP000058.1?report=graph&amp;tracks=[key:gene_model_track,Options:GeneOnly]&amp;mk=3540802:3540821|offset_25|444444,3540766:3540785|offset_61|444444,3540711:3540730|offset_116|00cc00,3540676:3540695|offset_151|444444&amp;v=3540601:3540895&amp;c=444444", "offset 116")</f>
        <v>offset 116</v>
      </c>
    </row>
    <row r="11225" customFormat="false" ht="12.8" hidden="false" customHeight="false" outlineLevel="0" collapsed="false">
      <c r="A11225" s="0" t="s">
        <v>12</v>
      </c>
      <c r="B11225" s="0" t="n">
        <v>3540675</v>
      </c>
      <c r="C11225" s="0" t="n">
        <v>3540695</v>
      </c>
      <c r="D11225" s="0" t="s">
        <v>37252</v>
      </c>
      <c r="E11225" s="0" t="s">
        <v>75</v>
      </c>
      <c r="F11225" s="0" t="s">
        <v>90</v>
      </c>
      <c r="G11225" s="0" t="s">
        <v>36</v>
      </c>
      <c r="H11225" s="0" t="n">
        <v>151</v>
      </c>
      <c r="I11225" s="0" t="s">
        <v>37262</v>
      </c>
      <c r="J11225" s="0" t="s">
        <v>37263</v>
      </c>
      <c r="K11225" s="0" t="s">
        <v>37264</v>
      </c>
      <c r="L11225" s="0" t="str">
        <f aca="false">HYPERLINK("https://www.ncbi.nlm.nih.gov/nuccore/CP000058.1?report=graph&amp;tracks=[key:gene_model_track,Options:GeneOnly]&amp;mk=3540802:3540821|offset_25|444444,3540766:3540785|offset_61|444444,3540711:3540730|offset_116|444444,3540676:3540695|offset_151|00cc00&amp;v=3540601:3540895&amp;c=444444", "offset 151")</f>
        <v>offset 151</v>
      </c>
    </row>
    <row r="11226" customFormat="false" ht="12.8" hidden="false" customHeight="false" outlineLevel="0" collapsed="false">
      <c r="A11226" s="0" t="s">
        <v>12</v>
      </c>
      <c r="B11226" s="0" t="n">
        <v>3542145</v>
      </c>
      <c r="C11226" s="0" t="n">
        <v>3542165</v>
      </c>
      <c r="D11226" s="0" t="s">
        <v>37265</v>
      </c>
      <c r="E11226" s="0" t="s">
        <v>75</v>
      </c>
      <c r="F11226" s="0" t="s">
        <v>90</v>
      </c>
      <c r="G11226" s="0" t="s">
        <v>32</v>
      </c>
      <c r="H11226" s="0" t="n">
        <v>1</v>
      </c>
      <c r="I11226" s="0" t="s">
        <v>37266</v>
      </c>
      <c r="J11226" s="0" t="s">
        <v>37267</v>
      </c>
      <c r="K11226" s="0" t="s">
        <v>37268</v>
      </c>
      <c r="L11226" s="0" t="str">
        <f aca="false">HYPERLINK("https://www.ncbi.nlm.nih.gov/nuccore/CP000058.1?report=graph&amp;tracks=[key:gene_model_track,Options:GeneOnly]&amp;mk=3542146:3542165|offset_1|00cc00,3542117:3542136|offset_30|444444,3542092:3542111|offset_55|444444,3542038:3542057|offset_109|444444&amp;v=3541945:3542257&amp;c=444444", "offset 1")</f>
        <v>offset 1</v>
      </c>
    </row>
    <row r="11227" customFormat="false" ht="12.8" hidden="false" customHeight="false" outlineLevel="0" collapsed="false">
      <c r="A11227" s="0" t="s">
        <v>12</v>
      </c>
      <c r="B11227" s="0" t="n">
        <v>3542116</v>
      </c>
      <c r="C11227" s="0" t="n">
        <v>3542136</v>
      </c>
      <c r="D11227" s="0" t="s">
        <v>37265</v>
      </c>
      <c r="E11227" s="0" t="s">
        <v>75</v>
      </c>
      <c r="F11227" s="0" t="s">
        <v>90</v>
      </c>
      <c r="G11227" s="0" t="s">
        <v>36</v>
      </c>
      <c r="H11227" s="0" t="n">
        <v>30</v>
      </c>
      <c r="I11227" s="0" t="s">
        <v>37269</v>
      </c>
      <c r="J11227" s="0" t="s">
        <v>37270</v>
      </c>
      <c r="K11227" s="0" t="s">
        <v>37271</v>
      </c>
      <c r="L11227" s="0" t="str">
        <f aca="false">HYPERLINK("https://www.ncbi.nlm.nih.gov/nuccore/CP000058.1?report=graph&amp;tracks=[key:gene_model_track,Options:GeneOnly]&amp;mk=3542146:3542165|offset_1|444444,3542117:3542136|offset_30|00cc00,3542092:3542111|offset_55|444444,3542038:3542057|offset_109|444444&amp;v=3541945:3542257&amp;c=444444", "offset 30")</f>
        <v>offset 30</v>
      </c>
    </row>
    <row r="11228" customFormat="false" ht="12.8" hidden="false" customHeight="false" outlineLevel="0" collapsed="false">
      <c r="A11228" s="0" t="s">
        <v>12</v>
      </c>
      <c r="B11228" s="0" t="n">
        <v>3542091</v>
      </c>
      <c r="C11228" s="0" t="n">
        <v>3542111</v>
      </c>
      <c r="D11228" s="0" t="s">
        <v>37265</v>
      </c>
      <c r="E11228" s="0" t="s">
        <v>75</v>
      </c>
      <c r="F11228" s="0" t="s">
        <v>90</v>
      </c>
      <c r="G11228" s="0" t="s">
        <v>20</v>
      </c>
      <c r="H11228" s="0" t="n">
        <v>55</v>
      </c>
      <c r="I11228" s="0" t="s">
        <v>37272</v>
      </c>
      <c r="J11228" s="0" t="s">
        <v>37273</v>
      </c>
      <c r="K11228" s="0" t="s">
        <v>37274</v>
      </c>
      <c r="L11228" s="0" t="str">
        <f aca="false">HYPERLINK("https://www.ncbi.nlm.nih.gov/nuccore/CP000058.1?report=graph&amp;tracks=[key:gene_model_track,Options:GeneOnly]&amp;mk=3542146:3542165|offset_1|444444,3542117:3542136|offset_30|444444,3542092:3542111|offset_55|00cc00,3542038:3542057|offset_109|444444&amp;v=3541945:3542257&amp;c=444444", "offset 55")</f>
        <v>offset 55</v>
      </c>
    </row>
    <row r="11229" customFormat="false" ht="12.8" hidden="false" customHeight="false" outlineLevel="0" collapsed="false">
      <c r="A11229" s="0" t="s">
        <v>12</v>
      </c>
      <c r="B11229" s="0" t="n">
        <v>3542037</v>
      </c>
      <c r="C11229" s="0" t="n">
        <v>3542057</v>
      </c>
      <c r="D11229" s="0" t="s">
        <v>37265</v>
      </c>
      <c r="E11229" s="0" t="s">
        <v>75</v>
      </c>
      <c r="F11229" s="0" t="s">
        <v>90</v>
      </c>
      <c r="G11229" s="0" t="s">
        <v>32</v>
      </c>
      <c r="H11229" s="0" t="n">
        <v>109</v>
      </c>
      <c r="I11229" s="0" t="s">
        <v>37275</v>
      </c>
      <c r="J11229" s="0" t="s">
        <v>37276</v>
      </c>
      <c r="K11229" s="0" t="s">
        <v>37277</v>
      </c>
      <c r="L11229" s="0" t="str">
        <f aca="false">HYPERLINK("https://www.ncbi.nlm.nih.gov/nuccore/CP000058.1?report=graph&amp;tracks=[key:gene_model_track,Options:GeneOnly]&amp;mk=3542146:3542165|offset_1|444444,3542117:3542136|offset_30|444444,3542092:3542111|offset_55|444444,3542038:3542057|offset_109|00cc00&amp;v=3541945:3542257&amp;c=444444", "offset 109")</f>
        <v>offset 109</v>
      </c>
    </row>
    <row r="11230" customFormat="false" ht="12.8" hidden="false" customHeight="false" outlineLevel="0" collapsed="false">
      <c r="A11230" s="0" t="s">
        <v>12</v>
      </c>
      <c r="B11230" s="0" t="n">
        <v>3542997</v>
      </c>
      <c r="C11230" s="0" t="n">
        <v>3543017</v>
      </c>
      <c r="D11230" s="0" t="s">
        <v>37278</v>
      </c>
      <c r="E11230" s="0" t="s">
        <v>75</v>
      </c>
      <c r="F11230" s="0" t="s">
        <v>90</v>
      </c>
      <c r="G11230" s="0" t="s">
        <v>36</v>
      </c>
      <c r="H11230" s="0" t="n">
        <v>0</v>
      </c>
      <c r="I11230" s="0" t="s">
        <v>37279</v>
      </c>
      <c r="J11230" s="0" t="s">
        <v>37280</v>
      </c>
      <c r="K11230" s="0" t="s">
        <v>37281</v>
      </c>
      <c r="L11230" s="0" t="str">
        <f aca="false">HYPERLINK("https://www.ncbi.nlm.nih.gov/nuccore/CP000058.1?report=graph&amp;tracks=[key:gene_model_track,Options:GeneOnly]&amp;mk=3542998:3543017|offset_0|00cc00,3542974:3542993|offset_24|444444,3542913:3542932|offset_85|444444,3542882:3542901|offset_116|444444&amp;v=3542797:3543101&amp;c=444444", "offset 0")</f>
        <v>offset 0</v>
      </c>
    </row>
    <row r="11231" customFormat="false" ht="12.8" hidden="false" customHeight="false" outlineLevel="0" collapsed="false">
      <c r="A11231" s="0" t="s">
        <v>12</v>
      </c>
      <c r="B11231" s="0" t="n">
        <v>3542973</v>
      </c>
      <c r="C11231" s="0" t="n">
        <v>3542993</v>
      </c>
      <c r="D11231" s="0" t="s">
        <v>37278</v>
      </c>
      <c r="E11231" s="0" t="s">
        <v>75</v>
      </c>
      <c r="F11231" s="0" t="s">
        <v>90</v>
      </c>
      <c r="G11231" s="0" t="s">
        <v>32</v>
      </c>
      <c r="H11231" s="0" t="n">
        <v>24</v>
      </c>
      <c r="I11231" s="0" t="s">
        <v>37282</v>
      </c>
      <c r="J11231" s="0" t="s">
        <v>37283</v>
      </c>
      <c r="K11231" s="0" t="s">
        <v>37284</v>
      </c>
      <c r="L11231" s="0" t="str">
        <f aca="false">HYPERLINK("https://www.ncbi.nlm.nih.gov/nuccore/CP000058.1?report=graph&amp;tracks=[key:gene_model_track,Options:GeneOnly]&amp;mk=3542998:3543017|offset_0|444444,3542974:3542993|offset_24|00cc00,3542913:3542932|offset_85|444444,3542882:3542901|offset_116|444444&amp;v=3542797:3543101&amp;c=444444", "offset 24")</f>
        <v>offset 24</v>
      </c>
    </row>
    <row r="11232" customFormat="false" ht="12.8" hidden="false" customHeight="false" outlineLevel="0" collapsed="false">
      <c r="A11232" s="0" t="s">
        <v>12</v>
      </c>
      <c r="B11232" s="0" t="n">
        <v>3542912</v>
      </c>
      <c r="C11232" s="0" t="n">
        <v>3542932</v>
      </c>
      <c r="D11232" s="0" t="s">
        <v>37278</v>
      </c>
      <c r="E11232" s="0" t="s">
        <v>75</v>
      </c>
      <c r="F11232" s="0" t="s">
        <v>90</v>
      </c>
      <c r="G11232" s="0" t="s">
        <v>32</v>
      </c>
      <c r="H11232" s="0" t="n">
        <v>85</v>
      </c>
      <c r="I11232" s="0" t="s">
        <v>37285</v>
      </c>
      <c r="J11232" s="0" t="s">
        <v>37286</v>
      </c>
      <c r="K11232" s="0" t="s">
        <v>37287</v>
      </c>
      <c r="L11232" s="0" t="str">
        <f aca="false">HYPERLINK("https://www.ncbi.nlm.nih.gov/nuccore/CP000058.1?report=graph&amp;tracks=[key:gene_model_track,Options:GeneOnly]&amp;mk=3542998:3543017|offset_0|444444,3542974:3542993|offset_24|444444,3542913:3542932|offset_85|00cc00,3542882:3542901|offset_116|444444&amp;v=3542797:3543101&amp;c=444444", "offset 85")</f>
        <v>offset 85</v>
      </c>
    </row>
    <row r="11233" customFormat="false" ht="12.8" hidden="false" customHeight="false" outlineLevel="0" collapsed="false">
      <c r="A11233" s="0" t="s">
        <v>12</v>
      </c>
      <c r="B11233" s="0" t="n">
        <v>3542881</v>
      </c>
      <c r="C11233" s="0" t="n">
        <v>3542901</v>
      </c>
      <c r="D11233" s="0" t="s">
        <v>37278</v>
      </c>
      <c r="E11233" s="0" t="s">
        <v>75</v>
      </c>
      <c r="F11233" s="0" t="s">
        <v>90</v>
      </c>
      <c r="G11233" s="0" t="s">
        <v>20</v>
      </c>
      <c r="H11233" s="0" t="n">
        <v>116</v>
      </c>
      <c r="I11233" s="0" t="s">
        <v>37288</v>
      </c>
      <c r="J11233" s="0" t="s">
        <v>37289</v>
      </c>
      <c r="K11233" s="0" t="s">
        <v>37290</v>
      </c>
      <c r="L11233" s="0" t="str">
        <f aca="false">HYPERLINK("https://www.ncbi.nlm.nih.gov/nuccore/CP000058.1?report=graph&amp;tracks=[key:gene_model_track,Options:GeneOnly]&amp;mk=3542998:3543017|offset_0|444444,3542974:3542993|offset_24|444444,3542913:3542932|offset_85|444444,3542882:3542901|offset_116|00cc00&amp;v=3542797:3543101&amp;c=444444", "offset 116")</f>
        <v>offset 116</v>
      </c>
    </row>
    <row r="11234" customFormat="false" ht="12.8" hidden="false" customHeight="false" outlineLevel="0" collapsed="false">
      <c r="A11234" s="0" t="s">
        <v>12</v>
      </c>
      <c r="B11234" s="0" t="n">
        <v>3543691</v>
      </c>
      <c r="C11234" s="0" t="n">
        <v>3543711</v>
      </c>
      <c r="D11234" s="0" t="s">
        <v>37291</v>
      </c>
      <c r="E11234" s="0" t="s">
        <v>75</v>
      </c>
      <c r="F11234" s="0" t="s">
        <v>90</v>
      </c>
      <c r="G11234" s="0" t="s">
        <v>32</v>
      </c>
      <c r="H11234" s="0" t="n">
        <v>0</v>
      </c>
      <c r="I11234" s="0" t="s">
        <v>37292</v>
      </c>
      <c r="J11234" s="0" t="s">
        <v>37293</v>
      </c>
      <c r="K11234" s="0" t="s">
        <v>37294</v>
      </c>
      <c r="L11234" s="0" t="str">
        <f aca="false">HYPERLINK("https://www.ncbi.nlm.nih.gov/nuccore/CP000058.1?report=graph&amp;tracks=[key:gene_model_track,Options:GeneOnly]&amp;mk=3543692:3543711|offset_0|00cc00,3543646:3543665|offset_46|444444,3543613:3543632|offset_79|444444,3543547:3543566|offset_145|444444&amp;v=3543491:3543766&amp;c=444444", "offset 0")</f>
        <v>offset 0</v>
      </c>
    </row>
    <row r="11235" customFormat="false" ht="12.8" hidden="false" customHeight="false" outlineLevel="0" collapsed="false">
      <c r="A11235" s="0" t="s">
        <v>12</v>
      </c>
      <c r="B11235" s="0" t="n">
        <v>3543645</v>
      </c>
      <c r="C11235" s="0" t="n">
        <v>3543665</v>
      </c>
      <c r="D11235" s="0" t="s">
        <v>37291</v>
      </c>
      <c r="E11235" s="0" t="s">
        <v>75</v>
      </c>
      <c r="F11235" s="0" t="s">
        <v>90</v>
      </c>
      <c r="G11235" s="0" t="s">
        <v>16</v>
      </c>
      <c r="H11235" s="0" t="n">
        <v>46</v>
      </c>
      <c r="I11235" s="0" t="s">
        <v>37295</v>
      </c>
      <c r="J11235" s="0" t="s">
        <v>37296</v>
      </c>
      <c r="K11235" s="0" t="s">
        <v>37297</v>
      </c>
      <c r="L11235" s="0" t="str">
        <f aca="false">HYPERLINK("https://www.ncbi.nlm.nih.gov/nuccore/CP000058.1?report=graph&amp;tracks=[key:gene_model_track,Options:GeneOnly]&amp;mk=3543692:3543711|offset_0|444444,3543646:3543665|offset_46|00cc00,3543613:3543632|offset_79|444444,3543547:3543566|offset_145|444444&amp;v=3543491:3543766&amp;c=444444", "offset 46")</f>
        <v>offset 46</v>
      </c>
    </row>
    <row r="11236" customFormat="false" ht="12.8" hidden="false" customHeight="false" outlineLevel="0" collapsed="false">
      <c r="A11236" s="0" t="s">
        <v>12</v>
      </c>
      <c r="B11236" s="0" t="n">
        <v>3543612</v>
      </c>
      <c r="C11236" s="0" t="n">
        <v>3543632</v>
      </c>
      <c r="D11236" s="0" t="s">
        <v>37291</v>
      </c>
      <c r="E11236" s="0" t="s">
        <v>75</v>
      </c>
      <c r="F11236" s="0" t="s">
        <v>90</v>
      </c>
      <c r="G11236" s="0" t="s">
        <v>32</v>
      </c>
      <c r="H11236" s="0" t="n">
        <v>79</v>
      </c>
      <c r="I11236" s="0" t="s">
        <v>37298</v>
      </c>
      <c r="J11236" s="0" t="s">
        <v>37299</v>
      </c>
      <c r="K11236" s="0" t="s">
        <v>37300</v>
      </c>
      <c r="L11236" s="0" t="str">
        <f aca="false">HYPERLINK("https://www.ncbi.nlm.nih.gov/nuccore/CP000058.1?report=graph&amp;tracks=[key:gene_model_track,Options:GeneOnly]&amp;mk=3543692:3543711|offset_0|444444,3543646:3543665|offset_46|444444,3543613:3543632|offset_79|00cc00,3543547:3543566|offset_145|444444&amp;v=3543491:3543766&amp;c=444444", "offset 79")</f>
        <v>offset 79</v>
      </c>
    </row>
    <row r="11237" customFormat="false" ht="12.8" hidden="false" customHeight="false" outlineLevel="0" collapsed="false">
      <c r="A11237" s="0" t="s">
        <v>12</v>
      </c>
      <c r="B11237" s="0" t="n">
        <v>3543546</v>
      </c>
      <c r="C11237" s="0" t="n">
        <v>3543566</v>
      </c>
      <c r="D11237" s="0" t="s">
        <v>37291</v>
      </c>
      <c r="E11237" s="0" t="s">
        <v>75</v>
      </c>
      <c r="F11237" s="0" t="s">
        <v>90</v>
      </c>
      <c r="G11237" s="0" t="s">
        <v>16</v>
      </c>
      <c r="H11237" s="0" t="n">
        <v>145</v>
      </c>
      <c r="I11237" s="0" t="s">
        <v>37301</v>
      </c>
      <c r="J11237" s="0" t="s">
        <v>37302</v>
      </c>
      <c r="K11237" s="0" t="s">
        <v>37303</v>
      </c>
      <c r="L11237" s="0" t="str">
        <f aca="false">HYPERLINK("https://www.ncbi.nlm.nih.gov/nuccore/CP000058.1?report=graph&amp;tracks=[key:gene_model_track,Options:GeneOnly]&amp;mk=3543692:3543711|offset_0|444444,3543646:3543665|offset_46|444444,3543613:3543632|offset_79|444444,3543547:3543566|offset_145|00cc00&amp;v=3543491:3543766&amp;c=444444", "offset 145")</f>
        <v>offset 145</v>
      </c>
    </row>
    <row r="11238" customFormat="false" ht="12.8" hidden="false" customHeight="false" outlineLevel="0" collapsed="false">
      <c r="A11238" s="0" t="s">
        <v>12</v>
      </c>
      <c r="B11238" s="0" t="n">
        <v>3544997</v>
      </c>
      <c r="C11238" s="0" t="n">
        <v>3545017</v>
      </c>
      <c r="D11238" s="0" t="s">
        <v>37304</v>
      </c>
      <c r="E11238" s="0" t="s">
        <v>75</v>
      </c>
      <c r="F11238" s="0" t="s">
        <v>90</v>
      </c>
      <c r="G11238" s="0" t="s">
        <v>20</v>
      </c>
      <c r="H11238" s="0" t="n">
        <v>69</v>
      </c>
      <c r="I11238" s="0" t="s">
        <v>37305</v>
      </c>
      <c r="J11238" s="0" t="s">
        <v>37306</v>
      </c>
      <c r="K11238" s="0" t="s">
        <v>37307</v>
      </c>
      <c r="L11238" s="0" t="str">
        <f aca="false">HYPERLINK("https://www.ncbi.nlm.nih.gov/nuccore/CP000058.1?report=graph&amp;tracks=[key:gene_model_track,Options:GeneOnly]&amp;mk=3544998:3545017|offset_69|00cc00,3544970:3544989|offset_97|444444,3544878:3544897|offset_189|444444,3544829:3544848|offset_238|444444&amp;v=3544797:3545048&amp;c=444444", "offset 69")</f>
        <v>offset 69</v>
      </c>
    </row>
    <row r="11239" customFormat="false" ht="12.8" hidden="false" customHeight="false" outlineLevel="0" collapsed="false">
      <c r="A11239" s="0" t="s">
        <v>12</v>
      </c>
      <c r="B11239" s="0" t="n">
        <v>3544969</v>
      </c>
      <c r="C11239" s="0" t="n">
        <v>3544989</v>
      </c>
      <c r="D11239" s="0" t="s">
        <v>37304</v>
      </c>
      <c r="E11239" s="0" t="s">
        <v>75</v>
      </c>
      <c r="F11239" s="0" t="s">
        <v>90</v>
      </c>
      <c r="G11239" s="0" t="s">
        <v>16</v>
      </c>
      <c r="H11239" s="0" t="n">
        <v>97</v>
      </c>
      <c r="I11239" s="0" t="s">
        <v>37308</v>
      </c>
      <c r="J11239" s="0" t="s">
        <v>37309</v>
      </c>
      <c r="K11239" s="0" t="s">
        <v>37310</v>
      </c>
      <c r="L11239" s="0" t="str">
        <f aca="false">HYPERLINK("https://www.ncbi.nlm.nih.gov/nuccore/CP000058.1?report=graph&amp;tracks=[key:gene_model_track,Options:GeneOnly]&amp;mk=3544998:3545017|offset_69|444444,3544970:3544989|offset_97|00cc00,3544878:3544897|offset_189|444444,3544829:3544848|offset_238|444444&amp;v=3544797:3545048&amp;c=444444", "offset 97")</f>
        <v>offset 97</v>
      </c>
    </row>
    <row r="11240" customFormat="false" ht="12.8" hidden="false" customHeight="false" outlineLevel="0" collapsed="false">
      <c r="A11240" s="0" t="s">
        <v>12</v>
      </c>
      <c r="B11240" s="0" t="n">
        <v>3544877</v>
      </c>
      <c r="C11240" s="0" t="n">
        <v>3544897</v>
      </c>
      <c r="D11240" s="0" t="s">
        <v>37304</v>
      </c>
      <c r="E11240" s="0" t="s">
        <v>75</v>
      </c>
      <c r="F11240" s="0" t="s">
        <v>90</v>
      </c>
      <c r="G11240" s="0" t="s">
        <v>16</v>
      </c>
      <c r="H11240" s="0" t="n">
        <v>189</v>
      </c>
      <c r="I11240" s="0" t="s">
        <v>37311</v>
      </c>
      <c r="J11240" s="0" t="s">
        <v>37312</v>
      </c>
      <c r="K11240" s="0" t="s">
        <v>37313</v>
      </c>
      <c r="L11240" s="0" t="str">
        <f aca="false">HYPERLINK("https://www.ncbi.nlm.nih.gov/nuccore/CP000058.1?report=graph&amp;tracks=[key:gene_model_track,Options:GeneOnly]&amp;mk=3544998:3545017|offset_69|444444,3544970:3544989|offset_97|444444,3544878:3544897|offset_189|00cc00,3544829:3544848|offset_238|444444&amp;v=3544797:3545048&amp;c=444444", "offset 189")</f>
        <v>offset 189</v>
      </c>
    </row>
    <row r="11241" customFormat="false" ht="12.8" hidden="false" customHeight="false" outlineLevel="0" collapsed="false">
      <c r="A11241" s="0" t="s">
        <v>12</v>
      </c>
      <c r="B11241" s="0" t="n">
        <v>3544828</v>
      </c>
      <c r="C11241" s="0" t="n">
        <v>3544848</v>
      </c>
      <c r="D11241" s="0" t="s">
        <v>37304</v>
      </c>
      <c r="E11241" s="0" t="s">
        <v>75</v>
      </c>
      <c r="F11241" s="0" t="s">
        <v>90</v>
      </c>
      <c r="G11241" s="0" t="s">
        <v>16</v>
      </c>
      <c r="H11241" s="0" t="n">
        <v>238</v>
      </c>
      <c r="I11241" s="0" t="s">
        <v>37314</v>
      </c>
      <c r="J11241" s="0" t="s">
        <v>37315</v>
      </c>
      <c r="K11241" s="0" t="s">
        <v>37316</v>
      </c>
      <c r="L11241" s="0" t="str">
        <f aca="false">HYPERLINK("https://www.ncbi.nlm.nih.gov/nuccore/CP000058.1?report=graph&amp;tracks=[key:gene_model_track,Options:GeneOnly]&amp;mk=3544998:3545017|offset_69|444444,3544970:3544989|offset_97|444444,3544878:3544897|offset_189|444444,3544829:3544848|offset_238|00cc00&amp;v=3544797:3545048&amp;c=444444", "offset 238")</f>
        <v>offset 238</v>
      </c>
    </row>
    <row r="11242" customFormat="false" ht="12.8" hidden="false" customHeight="false" outlineLevel="0" collapsed="false">
      <c r="A11242" s="0" t="s">
        <v>12</v>
      </c>
      <c r="B11242" s="0" t="n">
        <v>3546592</v>
      </c>
      <c r="C11242" s="0" t="n">
        <v>3546612</v>
      </c>
      <c r="D11242" s="0" t="s">
        <v>37317</v>
      </c>
      <c r="E11242" s="0" t="s">
        <v>75</v>
      </c>
      <c r="F11242" s="0" t="s">
        <v>15</v>
      </c>
      <c r="G11242" s="0" t="s">
        <v>36</v>
      </c>
      <c r="H11242" s="0" t="n">
        <v>14</v>
      </c>
      <c r="I11242" s="0" t="s">
        <v>37318</v>
      </c>
      <c r="J11242" s="0" t="s">
        <v>37319</v>
      </c>
      <c r="K11242" s="0" t="s">
        <v>37320</v>
      </c>
      <c r="L11242" s="0" t="str">
        <f aca="false">HYPERLINK("https://www.ncbi.nlm.nih.gov/nuccore/CP000058.1?report=graph&amp;tracks=[key:gene_model_track,Options:GeneOnly]&amp;mk=3546593:3546612|offset_14|00cc00,3546614:3546633|offset_35|444444,3546637:3546656|offset_58|444444,3546676:3546695|offset_97|444444&amp;v=3546392:3546895&amp;c=444444", "offset 14")</f>
        <v>offset 14</v>
      </c>
    </row>
    <row r="11243" customFormat="false" ht="12.8" hidden="false" customHeight="false" outlineLevel="0" collapsed="false">
      <c r="A11243" s="0" t="s">
        <v>12</v>
      </c>
      <c r="B11243" s="0" t="n">
        <v>3546613</v>
      </c>
      <c r="C11243" s="0" t="n">
        <v>3546633</v>
      </c>
      <c r="D11243" s="0" t="s">
        <v>37317</v>
      </c>
      <c r="E11243" s="0" t="s">
        <v>75</v>
      </c>
      <c r="F11243" s="0" t="s">
        <v>15</v>
      </c>
      <c r="G11243" s="0" t="s">
        <v>20</v>
      </c>
      <c r="H11243" s="0" t="n">
        <v>35</v>
      </c>
      <c r="I11243" s="0" t="s">
        <v>37321</v>
      </c>
      <c r="J11243" s="0" t="s">
        <v>37322</v>
      </c>
      <c r="K11243" s="0" t="s">
        <v>37323</v>
      </c>
      <c r="L11243" s="0" t="str">
        <f aca="false">HYPERLINK("https://www.ncbi.nlm.nih.gov/nuccore/CP000058.1?report=graph&amp;tracks=[key:gene_model_track,Options:GeneOnly]&amp;mk=3546593:3546612|offset_14|444444,3546614:3546633|offset_35|00cc00,3546637:3546656|offset_58|444444,3546676:3546695|offset_97|444444&amp;v=3546392:3546895&amp;c=444444", "offset 35")</f>
        <v>offset 35</v>
      </c>
    </row>
    <row r="11244" customFormat="false" ht="12.8" hidden="false" customHeight="false" outlineLevel="0" collapsed="false">
      <c r="A11244" s="0" t="s">
        <v>12</v>
      </c>
      <c r="B11244" s="0" t="n">
        <v>3546636</v>
      </c>
      <c r="C11244" s="0" t="n">
        <v>3546656</v>
      </c>
      <c r="D11244" s="0" t="s">
        <v>37317</v>
      </c>
      <c r="E11244" s="0" t="s">
        <v>75</v>
      </c>
      <c r="F11244" s="0" t="s">
        <v>15</v>
      </c>
      <c r="G11244" s="0" t="s">
        <v>20</v>
      </c>
      <c r="H11244" s="0" t="n">
        <v>58</v>
      </c>
      <c r="I11244" s="0" t="s">
        <v>37324</v>
      </c>
      <c r="J11244" s="0" t="s">
        <v>37325</v>
      </c>
      <c r="K11244" s="0" t="s">
        <v>37326</v>
      </c>
      <c r="L11244" s="0" t="str">
        <f aca="false">HYPERLINK("https://www.ncbi.nlm.nih.gov/nuccore/CP000058.1?report=graph&amp;tracks=[key:gene_model_track,Options:GeneOnly]&amp;mk=3546593:3546612|offset_14|444444,3546614:3546633|offset_35|444444,3546637:3546656|offset_58|00cc00,3546676:3546695|offset_97|444444&amp;v=3546392:3546895&amp;c=444444", "offset 58")</f>
        <v>offset 58</v>
      </c>
    </row>
    <row r="11245" customFormat="false" ht="12.8" hidden="false" customHeight="false" outlineLevel="0" collapsed="false">
      <c r="A11245" s="0" t="s">
        <v>12</v>
      </c>
      <c r="B11245" s="0" t="n">
        <v>3546675</v>
      </c>
      <c r="C11245" s="0" t="n">
        <v>3546695</v>
      </c>
      <c r="D11245" s="0" t="s">
        <v>37317</v>
      </c>
      <c r="E11245" s="0" t="s">
        <v>75</v>
      </c>
      <c r="F11245" s="0" t="s">
        <v>15</v>
      </c>
      <c r="G11245" s="0" t="s">
        <v>20</v>
      </c>
      <c r="H11245" s="0" t="n">
        <v>97</v>
      </c>
      <c r="I11245" s="0" t="s">
        <v>37327</v>
      </c>
      <c r="J11245" s="0" t="s">
        <v>37328</v>
      </c>
      <c r="K11245" s="0" t="s">
        <v>37329</v>
      </c>
      <c r="L11245" s="0" t="str">
        <f aca="false">HYPERLINK("https://www.ncbi.nlm.nih.gov/nuccore/CP000058.1?report=graph&amp;tracks=[key:gene_model_track,Options:GeneOnly]&amp;mk=3546593:3546612|offset_14|444444,3546614:3546633|offset_35|444444,3546637:3546656|offset_58|444444,3546676:3546695|offset_97|00cc00&amp;v=3546392:3546895&amp;c=444444", "offset 97")</f>
        <v>offset 97</v>
      </c>
    </row>
    <row r="11246" customFormat="false" ht="12.8" hidden="false" customHeight="false" outlineLevel="0" collapsed="false">
      <c r="A11246" s="0" t="s">
        <v>12</v>
      </c>
      <c r="B11246" s="0" t="n">
        <v>3548230</v>
      </c>
      <c r="C11246" s="0" t="n">
        <v>3548250</v>
      </c>
      <c r="D11246" s="0" t="s">
        <v>37330</v>
      </c>
      <c r="E11246" s="0" t="s">
        <v>75</v>
      </c>
      <c r="F11246" s="0" t="s">
        <v>90</v>
      </c>
      <c r="G11246" s="0" t="s">
        <v>20</v>
      </c>
      <c r="H11246" s="0" t="n">
        <v>1</v>
      </c>
      <c r="I11246" s="0" t="s">
        <v>37331</v>
      </c>
      <c r="J11246" s="0" t="s">
        <v>37332</v>
      </c>
      <c r="K11246" s="0" t="s">
        <v>37333</v>
      </c>
      <c r="L11246" s="0" t="str">
        <f aca="false">HYPERLINK("https://www.ncbi.nlm.nih.gov/nuccore/CP000058.1?report=graph&amp;tracks=[key:gene_model_track,Options:GeneOnly]&amp;mk=3548231:3548250|offset_1|00cc00,3548189:3548208|offset_43|444444,3548161:3548180|offset_71|444444,3548138:3548157|offset_94|444444&amp;v=3548030:3548357&amp;c=444444", "offset 1")</f>
        <v>offset 1</v>
      </c>
    </row>
    <row r="11247" customFormat="false" ht="12.8" hidden="false" customHeight="false" outlineLevel="0" collapsed="false">
      <c r="A11247" s="0" t="s">
        <v>12</v>
      </c>
      <c r="B11247" s="0" t="n">
        <v>3548188</v>
      </c>
      <c r="C11247" s="0" t="n">
        <v>3548208</v>
      </c>
      <c r="D11247" s="0" t="s">
        <v>37330</v>
      </c>
      <c r="E11247" s="0" t="s">
        <v>75</v>
      </c>
      <c r="F11247" s="0" t="s">
        <v>90</v>
      </c>
      <c r="G11247" s="0" t="s">
        <v>36</v>
      </c>
      <c r="H11247" s="0" t="n">
        <v>43</v>
      </c>
      <c r="I11247" s="0" t="s">
        <v>37334</v>
      </c>
      <c r="J11247" s="0" t="s">
        <v>37335</v>
      </c>
      <c r="K11247" s="0" t="s">
        <v>37336</v>
      </c>
      <c r="L11247" s="0" t="str">
        <f aca="false">HYPERLINK("https://www.ncbi.nlm.nih.gov/nuccore/CP000058.1?report=graph&amp;tracks=[key:gene_model_track,Options:GeneOnly]&amp;mk=3548231:3548250|offset_1|444444,3548189:3548208|offset_43|00cc00,3548161:3548180|offset_71|444444,3548138:3548157|offset_94|444444&amp;v=3548030:3548357&amp;c=444444", "offset 43")</f>
        <v>offset 43</v>
      </c>
    </row>
    <row r="11248" customFormat="false" ht="12.8" hidden="false" customHeight="false" outlineLevel="0" collapsed="false">
      <c r="A11248" s="0" t="s">
        <v>12</v>
      </c>
      <c r="B11248" s="0" t="n">
        <v>3548160</v>
      </c>
      <c r="C11248" s="0" t="n">
        <v>3548180</v>
      </c>
      <c r="D11248" s="0" t="s">
        <v>37330</v>
      </c>
      <c r="E11248" s="0" t="s">
        <v>75</v>
      </c>
      <c r="F11248" s="0" t="s">
        <v>90</v>
      </c>
      <c r="G11248" s="0" t="s">
        <v>20</v>
      </c>
      <c r="H11248" s="0" t="n">
        <v>71</v>
      </c>
      <c r="I11248" s="0" t="s">
        <v>37337</v>
      </c>
      <c r="J11248" s="0" t="s">
        <v>37338</v>
      </c>
      <c r="K11248" s="0" t="s">
        <v>37339</v>
      </c>
      <c r="L11248" s="0" t="str">
        <f aca="false">HYPERLINK("https://www.ncbi.nlm.nih.gov/nuccore/CP000058.1?report=graph&amp;tracks=[key:gene_model_track,Options:GeneOnly]&amp;mk=3548231:3548250|offset_1|444444,3548189:3548208|offset_43|444444,3548161:3548180|offset_71|00cc00,3548138:3548157|offset_94|444444&amp;v=3548030:3548357&amp;c=444444", "offset 71")</f>
        <v>offset 71</v>
      </c>
    </row>
    <row r="11249" customFormat="false" ht="12.8" hidden="false" customHeight="false" outlineLevel="0" collapsed="false">
      <c r="A11249" s="0" t="s">
        <v>12</v>
      </c>
      <c r="B11249" s="0" t="n">
        <v>3548137</v>
      </c>
      <c r="C11249" s="0" t="n">
        <v>3548157</v>
      </c>
      <c r="D11249" s="0" t="s">
        <v>37330</v>
      </c>
      <c r="E11249" s="0" t="s">
        <v>75</v>
      </c>
      <c r="F11249" s="0" t="s">
        <v>90</v>
      </c>
      <c r="G11249" s="0" t="s">
        <v>36</v>
      </c>
      <c r="H11249" s="0" t="n">
        <v>94</v>
      </c>
      <c r="I11249" s="0" t="s">
        <v>37340</v>
      </c>
      <c r="J11249" s="0" t="s">
        <v>37341</v>
      </c>
      <c r="K11249" s="0" t="s">
        <v>37342</v>
      </c>
      <c r="L11249" s="0" t="str">
        <f aca="false">HYPERLINK("https://www.ncbi.nlm.nih.gov/nuccore/CP000058.1?report=graph&amp;tracks=[key:gene_model_track,Options:GeneOnly]&amp;mk=3548231:3548250|offset_1|444444,3548189:3548208|offset_43|444444,3548161:3548180|offset_71|444444,3548138:3548157|offset_94|00cc00&amp;v=3548030:3548357&amp;c=444444", "offset 94")</f>
        <v>offset 94</v>
      </c>
    </row>
    <row r="11250" customFormat="false" ht="12.8" hidden="false" customHeight="false" outlineLevel="0" collapsed="false">
      <c r="A11250" s="0" t="s">
        <v>12</v>
      </c>
      <c r="B11250" s="0" t="n">
        <v>3550607</v>
      </c>
      <c r="C11250" s="0" t="n">
        <v>3550627</v>
      </c>
      <c r="D11250" s="0" t="s">
        <v>37343</v>
      </c>
      <c r="E11250" s="0" t="s">
        <v>37344</v>
      </c>
      <c r="F11250" s="0" t="s">
        <v>90</v>
      </c>
      <c r="G11250" s="0" t="s">
        <v>36</v>
      </c>
      <c r="H11250" s="0" t="n">
        <v>0</v>
      </c>
      <c r="I11250" s="0" t="s">
        <v>37345</v>
      </c>
      <c r="J11250" s="0" t="s">
        <v>37346</v>
      </c>
      <c r="K11250" s="0" t="s">
        <v>37347</v>
      </c>
      <c r="L11250" s="0" t="str">
        <f aca="false">HYPERLINK("https://www.ncbi.nlm.nih.gov/nuccore/CP000058.1?report=graph&amp;tracks=[key:gene_model_track,Options:GeneOnly]&amp;mk=3550608:3550627|offset_0|00cc00,3550586:3550605|offset_22|444444,3550557:3550576|offset_51|444444,3550513:3550532|offset_95|444444&amp;v=3550407:3550732&amp;c=444444", "offset 0")</f>
        <v>offset 0</v>
      </c>
    </row>
    <row r="11251" customFormat="false" ht="12.8" hidden="false" customHeight="false" outlineLevel="0" collapsed="false">
      <c r="A11251" s="0" t="s">
        <v>12</v>
      </c>
      <c r="B11251" s="0" t="n">
        <v>3550585</v>
      </c>
      <c r="C11251" s="0" t="n">
        <v>3550605</v>
      </c>
      <c r="D11251" s="0" t="s">
        <v>37343</v>
      </c>
      <c r="E11251" s="0" t="s">
        <v>37344</v>
      </c>
      <c r="F11251" s="0" t="s">
        <v>90</v>
      </c>
      <c r="G11251" s="0" t="s">
        <v>16</v>
      </c>
      <c r="H11251" s="0" t="n">
        <v>22</v>
      </c>
      <c r="I11251" s="0" t="s">
        <v>37348</v>
      </c>
      <c r="J11251" s="0" t="s">
        <v>37349</v>
      </c>
      <c r="K11251" s="0" t="s">
        <v>37350</v>
      </c>
      <c r="L11251" s="0" t="str">
        <f aca="false">HYPERLINK("https://www.ncbi.nlm.nih.gov/nuccore/CP000058.1?report=graph&amp;tracks=[key:gene_model_track,Options:GeneOnly]&amp;mk=3550608:3550627|offset_0|444444,3550586:3550605|offset_22|00cc00,3550557:3550576|offset_51|444444,3550513:3550532|offset_95|444444&amp;v=3550407:3550732&amp;c=444444", "offset 22")</f>
        <v>offset 22</v>
      </c>
    </row>
    <row r="11252" customFormat="false" ht="12.8" hidden="false" customHeight="false" outlineLevel="0" collapsed="false">
      <c r="A11252" s="0" t="s">
        <v>12</v>
      </c>
      <c r="B11252" s="0" t="n">
        <v>3550556</v>
      </c>
      <c r="C11252" s="0" t="n">
        <v>3550576</v>
      </c>
      <c r="D11252" s="0" t="s">
        <v>37343</v>
      </c>
      <c r="E11252" s="0" t="s">
        <v>37344</v>
      </c>
      <c r="F11252" s="0" t="s">
        <v>90</v>
      </c>
      <c r="G11252" s="0" t="s">
        <v>36</v>
      </c>
      <c r="H11252" s="0" t="n">
        <v>51</v>
      </c>
      <c r="I11252" s="0" t="s">
        <v>37351</v>
      </c>
      <c r="J11252" s="0" t="s">
        <v>37352</v>
      </c>
      <c r="K11252" s="0" t="s">
        <v>37353</v>
      </c>
      <c r="L11252" s="0" t="str">
        <f aca="false">HYPERLINK("https://www.ncbi.nlm.nih.gov/nuccore/CP000058.1?report=graph&amp;tracks=[key:gene_model_track,Options:GeneOnly]&amp;mk=3550608:3550627|offset_0|444444,3550586:3550605|offset_22|444444,3550557:3550576|offset_51|00cc00,3550513:3550532|offset_95|444444&amp;v=3550407:3550732&amp;c=444444", "offset 51")</f>
        <v>offset 51</v>
      </c>
    </row>
    <row r="11253" customFormat="false" ht="12.8" hidden="false" customHeight="false" outlineLevel="0" collapsed="false">
      <c r="A11253" s="0" t="s">
        <v>12</v>
      </c>
      <c r="B11253" s="0" t="n">
        <v>3550512</v>
      </c>
      <c r="C11253" s="0" t="n">
        <v>3550532</v>
      </c>
      <c r="D11253" s="0" t="s">
        <v>37343</v>
      </c>
      <c r="E11253" s="0" t="s">
        <v>37344</v>
      </c>
      <c r="F11253" s="0" t="s">
        <v>90</v>
      </c>
      <c r="G11253" s="0" t="s">
        <v>32</v>
      </c>
      <c r="H11253" s="0" t="n">
        <v>95</v>
      </c>
      <c r="I11253" s="0" t="s">
        <v>37354</v>
      </c>
      <c r="J11253" s="0" t="s">
        <v>37355</v>
      </c>
      <c r="K11253" s="0" t="s">
        <v>37356</v>
      </c>
      <c r="L11253" s="0" t="str">
        <f aca="false">HYPERLINK("https://www.ncbi.nlm.nih.gov/nuccore/CP000058.1?report=graph&amp;tracks=[key:gene_model_track,Options:GeneOnly]&amp;mk=3550608:3550627|offset_0|444444,3550586:3550605|offset_22|444444,3550557:3550576|offset_51|444444,3550513:3550532|offset_95|00cc00&amp;v=3550407:3550732&amp;c=444444", "offset 95")</f>
        <v>offset 95</v>
      </c>
    </row>
    <row r="11254" customFormat="false" ht="12.8" hidden="false" customHeight="false" outlineLevel="0" collapsed="false">
      <c r="A11254" s="0" t="s">
        <v>12</v>
      </c>
      <c r="B11254" s="0" t="n">
        <v>3551172</v>
      </c>
      <c r="C11254" s="0" t="n">
        <v>3551192</v>
      </c>
      <c r="D11254" s="0" t="s">
        <v>37357</v>
      </c>
      <c r="E11254" s="0" t="s">
        <v>75</v>
      </c>
      <c r="F11254" s="0" t="s">
        <v>90</v>
      </c>
      <c r="G11254" s="0" t="s">
        <v>20</v>
      </c>
      <c r="H11254" s="0" t="n">
        <v>13</v>
      </c>
      <c r="I11254" s="0" t="s">
        <v>37358</v>
      </c>
      <c r="J11254" s="0" t="s">
        <v>37359</v>
      </c>
      <c r="K11254" s="0" t="s">
        <v>37360</v>
      </c>
      <c r="L11254" s="0" t="str">
        <f aca="false">HYPERLINK("https://www.ncbi.nlm.nih.gov/nuccore/CP000058.1?report=graph&amp;tracks=[key:gene_model_track,Options:GeneOnly]&amp;mk=3551173:3551192|offset_13|00cc00,3551137:3551156|offset_49|444444,3551084:3551103|offset_102|444444,3551060:3551079|offset_126|444444&amp;v=3550972:3551279&amp;c=444444", "offset 13")</f>
        <v>offset 13</v>
      </c>
    </row>
    <row r="11255" customFormat="false" ht="12.8" hidden="false" customHeight="false" outlineLevel="0" collapsed="false">
      <c r="A11255" s="0" t="s">
        <v>12</v>
      </c>
      <c r="B11255" s="0" t="n">
        <v>3551136</v>
      </c>
      <c r="C11255" s="0" t="n">
        <v>3551156</v>
      </c>
      <c r="D11255" s="0" t="s">
        <v>37357</v>
      </c>
      <c r="E11255" s="0" t="s">
        <v>75</v>
      </c>
      <c r="F11255" s="0" t="s">
        <v>90</v>
      </c>
      <c r="G11255" s="0" t="s">
        <v>16</v>
      </c>
      <c r="H11255" s="0" t="n">
        <v>49</v>
      </c>
      <c r="I11255" s="0" t="s">
        <v>37361</v>
      </c>
      <c r="J11255" s="0" t="s">
        <v>37362</v>
      </c>
      <c r="K11255" s="0" t="s">
        <v>37363</v>
      </c>
      <c r="L11255" s="0" t="str">
        <f aca="false">HYPERLINK("https://www.ncbi.nlm.nih.gov/nuccore/CP000058.1?report=graph&amp;tracks=[key:gene_model_track,Options:GeneOnly]&amp;mk=3551173:3551192|offset_13|444444,3551137:3551156|offset_49|00cc00,3551084:3551103|offset_102|444444,3551060:3551079|offset_126|444444&amp;v=3550972:3551279&amp;c=444444", "offset 49")</f>
        <v>offset 49</v>
      </c>
    </row>
    <row r="11256" customFormat="false" ht="12.8" hidden="false" customHeight="false" outlineLevel="0" collapsed="false">
      <c r="A11256" s="0" t="s">
        <v>12</v>
      </c>
      <c r="B11256" s="0" t="n">
        <v>3551083</v>
      </c>
      <c r="C11256" s="0" t="n">
        <v>3551103</v>
      </c>
      <c r="D11256" s="0" t="s">
        <v>37357</v>
      </c>
      <c r="E11256" s="0" t="s">
        <v>75</v>
      </c>
      <c r="F11256" s="0" t="s">
        <v>90</v>
      </c>
      <c r="G11256" s="0" t="s">
        <v>36</v>
      </c>
      <c r="H11256" s="0" t="n">
        <v>102</v>
      </c>
      <c r="I11256" s="0" t="s">
        <v>37364</v>
      </c>
      <c r="J11256" s="0" t="s">
        <v>37365</v>
      </c>
      <c r="K11256" s="0" t="s">
        <v>37366</v>
      </c>
      <c r="L11256" s="0" t="str">
        <f aca="false">HYPERLINK("https://www.ncbi.nlm.nih.gov/nuccore/CP000058.1?report=graph&amp;tracks=[key:gene_model_track,Options:GeneOnly]&amp;mk=3551173:3551192|offset_13|444444,3551137:3551156|offset_49|444444,3551084:3551103|offset_102|00cc00,3551060:3551079|offset_126|444444&amp;v=3550972:3551279&amp;c=444444", "offset 102")</f>
        <v>offset 102</v>
      </c>
    </row>
    <row r="11257" customFormat="false" ht="12.8" hidden="false" customHeight="false" outlineLevel="0" collapsed="false">
      <c r="A11257" s="0" t="s">
        <v>12</v>
      </c>
      <c r="B11257" s="0" t="n">
        <v>3551059</v>
      </c>
      <c r="C11257" s="0" t="n">
        <v>3551079</v>
      </c>
      <c r="D11257" s="0" t="s">
        <v>37357</v>
      </c>
      <c r="E11257" s="0" t="s">
        <v>75</v>
      </c>
      <c r="F11257" s="0" t="s">
        <v>90</v>
      </c>
      <c r="G11257" s="0" t="s">
        <v>16</v>
      </c>
      <c r="H11257" s="0" t="n">
        <v>126</v>
      </c>
      <c r="I11257" s="0" t="s">
        <v>37367</v>
      </c>
      <c r="J11257" s="0" t="s">
        <v>37368</v>
      </c>
      <c r="K11257" s="0" t="s">
        <v>37369</v>
      </c>
      <c r="L11257" s="0" t="str">
        <f aca="false">HYPERLINK("https://www.ncbi.nlm.nih.gov/nuccore/CP000058.1?report=graph&amp;tracks=[key:gene_model_track,Options:GeneOnly]&amp;mk=3551173:3551192|offset_13|444444,3551137:3551156|offset_49|444444,3551084:3551103|offset_102|444444,3551060:3551079|offset_126|00cc00&amp;v=3550972:3551279&amp;c=444444", "offset 126")</f>
        <v>offset 126</v>
      </c>
    </row>
    <row r="11258" customFormat="false" ht="12.8" hidden="false" customHeight="false" outlineLevel="0" collapsed="false">
      <c r="A11258" s="0" t="s">
        <v>12</v>
      </c>
      <c r="B11258" s="0" t="n">
        <v>3551750</v>
      </c>
      <c r="C11258" s="0" t="n">
        <v>3551770</v>
      </c>
      <c r="D11258" s="0" t="s">
        <v>37370</v>
      </c>
      <c r="E11258" s="0" t="s">
        <v>75</v>
      </c>
      <c r="F11258" s="0" t="s">
        <v>90</v>
      </c>
      <c r="G11258" s="0" t="s">
        <v>36</v>
      </c>
      <c r="H11258" s="0" t="n">
        <v>43</v>
      </c>
      <c r="I11258" s="0" t="s">
        <v>37371</v>
      </c>
      <c r="J11258" s="0" t="s">
        <v>37372</v>
      </c>
      <c r="K11258" s="0" t="s">
        <v>37373</v>
      </c>
      <c r="L11258" s="0" t="str">
        <f aca="false">HYPERLINK("https://www.ncbi.nlm.nih.gov/nuccore/CP000058.1?report=graph&amp;tracks=[key:gene_model_track,Options:GeneOnly]&amp;mk=3551751:3551770|offset_43|00cc00,3551723:3551742|offset_71|444444,3551688:3551707|offset_106|444444,3551658:3551677|offset_136|444444&amp;v=3551550:3551877&amp;c=444444", "offset 43")</f>
        <v>offset 43</v>
      </c>
    </row>
    <row r="11259" customFormat="false" ht="12.8" hidden="false" customHeight="false" outlineLevel="0" collapsed="false">
      <c r="A11259" s="0" t="s">
        <v>12</v>
      </c>
      <c r="B11259" s="0" t="n">
        <v>3551722</v>
      </c>
      <c r="C11259" s="0" t="n">
        <v>3551742</v>
      </c>
      <c r="D11259" s="0" t="s">
        <v>37370</v>
      </c>
      <c r="E11259" s="0" t="s">
        <v>75</v>
      </c>
      <c r="F11259" s="0" t="s">
        <v>90</v>
      </c>
      <c r="G11259" s="0" t="s">
        <v>20</v>
      </c>
      <c r="H11259" s="0" t="n">
        <v>71</v>
      </c>
      <c r="I11259" s="0" t="s">
        <v>37374</v>
      </c>
      <c r="J11259" s="0" t="s">
        <v>37375</v>
      </c>
      <c r="K11259" s="0" t="s">
        <v>37376</v>
      </c>
      <c r="L11259" s="0" t="str">
        <f aca="false">HYPERLINK("https://www.ncbi.nlm.nih.gov/nuccore/CP000058.1?report=graph&amp;tracks=[key:gene_model_track,Options:GeneOnly]&amp;mk=3551751:3551770|offset_43|444444,3551723:3551742|offset_71|00cc00,3551688:3551707|offset_106|444444,3551658:3551677|offset_136|444444&amp;v=3551550:3551877&amp;c=444444", "offset 71")</f>
        <v>offset 71</v>
      </c>
    </row>
    <row r="11260" customFormat="false" ht="12.8" hidden="false" customHeight="false" outlineLevel="0" collapsed="false">
      <c r="A11260" s="0" t="s">
        <v>12</v>
      </c>
      <c r="B11260" s="0" t="n">
        <v>3551687</v>
      </c>
      <c r="C11260" s="0" t="n">
        <v>3551707</v>
      </c>
      <c r="D11260" s="0" t="s">
        <v>37370</v>
      </c>
      <c r="E11260" s="0" t="s">
        <v>75</v>
      </c>
      <c r="F11260" s="0" t="s">
        <v>90</v>
      </c>
      <c r="G11260" s="0" t="s">
        <v>16</v>
      </c>
      <c r="H11260" s="0" t="n">
        <v>106</v>
      </c>
      <c r="I11260" s="0" t="s">
        <v>37377</v>
      </c>
      <c r="J11260" s="0" t="s">
        <v>37378</v>
      </c>
      <c r="K11260" s="0" t="s">
        <v>37379</v>
      </c>
      <c r="L11260" s="0" t="str">
        <f aca="false">HYPERLINK("https://www.ncbi.nlm.nih.gov/nuccore/CP000058.1?report=graph&amp;tracks=[key:gene_model_track,Options:GeneOnly]&amp;mk=3551751:3551770|offset_43|444444,3551723:3551742|offset_71|444444,3551688:3551707|offset_106|00cc00,3551658:3551677|offset_136|444444&amp;v=3551550:3551877&amp;c=444444", "offset 106")</f>
        <v>offset 106</v>
      </c>
    </row>
    <row r="11261" customFormat="false" ht="12.8" hidden="false" customHeight="false" outlineLevel="0" collapsed="false">
      <c r="A11261" s="0" t="s">
        <v>12</v>
      </c>
      <c r="B11261" s="0" t="n">
        <v>3551657</v>
      </c>
      <c r="C11261" s="0" t="n">
        <v>3551677</v>
      </c>
      <c r="D11261" s="0" t="s">
        <v>37370</v>
      </c>
      <c r="E11261" s="0" t="s">
        <v>75</v>
      </c>
      <c r="F11261" s="0" t="s">
        <v>90</v>
      </c>
      <c r="G11261" s="0" t="s">
        <v>16</v>
      </c>
      <c r="H11261" s="0" t="n">
        <v>136</v>
      </c>
      <c r="I11261" s="0" t="s">
        <v>37380</v>
      </c>
      <c r="J11261" s="0" t="s">
        <v>37381</v>
      </c>
      <c r="K11261" s="0" t="s">
        <v>37382</v>
      </c>
      <c r="L11261" s="0" t="str">
        <f aca="false">HYPERLINK("https://www.ncbi.nlm.nih.gov/nuccore/CP000058.1?report=graph&amp;tracks=[key:gene_model_track,Options:GeneOnly]&amp;mk=3551751:3551770|offset_43|444444,3551723:3551742|offset_71|444444,3551688:3551707|offset_106|444444,3551658:3551677|offset_136|00cc00&amp;v=3551550:3551877&amp;c=444444", "offset 136")</f>
        <v>offset 136</v>
      </c>
    </row>
    <row r="11262" customFormat="false" ht="12.8" hidden="false" customHeight="false" outlineLevel="0" collapsed="false">
      <c r="A11262" s="0" t="s">
        <v>12</v>
      </c>
      <c r="B11262" s="0" t="n">
        <v>3552832</v>
      </c>
      <c r="C11262" s="0" t="n">
        <v>3552852</v>
      </c>
      <c r="D11262" s="0" t="s">
        <v>37383</v>
      </c>
      <c r="E11262" s="0" t="s">
        <v>75</v>
      </c>
      <c r="F11262" s="0" t="s">
        <v>90</v>
      </c>
      <c r="G11262" s="0" t="s">
        <v>20</v>
      </c>
      <c r="H11262" s="0" t="n">
        <v>33</v>
      </c>
      <c r="I11262" s="0" t="s">
        <v>37384</v>
      </c>
      <c r="J11262" s="0" t="s">
        <v>37385</v>
      </c>
      <c r="K11262" s="0" t="s">
        <v>37386</v>
      </c>
      <c r="L11262" s="0" t="str">
        <f aca="false">HYPERLINK("https://www.ncbi.nlm.nih.gov/nuccore/CP000058.1?report=graph&amp;tracks=[key:gene_model_track,Options:GeneOnly]&amp;mk=3552833:3552852|offset_33|00cc00,3552805:3552824|offset_61|444444,3552785:3552804|offset_81|444444,3552742:3552761|offset_124|444444&amp;v=3552632:3552961&amp;c=444444", "offset 33")</f>
        <v>offset 33</v>
      </c>
    </row>
    <row r="11263" customFormat="false" ht="12.8" hidden="false" customHeight="false" outlineLevel="0" collapsed="false">
      <c r="A11263" s="0" t="s">
        <v>12</v>
      </c>
      <c r="B11263" s="0" t="n">
        <v>3552804</v>
      </c>
      <c r="C11263" s="0" t="n">
        <v>3552824</v>
      </c>
      <c r="D11263" s="0" t="s">
        <v>37383</v>
      </c>
      <c r="E11263" s="0" t="s">
        <v>75</v>
      </c>
      <c r="F11263" s="0" t="s">
        <v>90</v>
      </c>
      <c r="G11263" s="0" t="s">
        <v>36</v>
      </c>
      <c r="H11263" s="0" t="n">
        <v>61</v>
      </c>
      <c r="I11263" s="0" t="s">
        <v>37387</v>
      </c>
      <c r="J11263" s="0" t="s">
        <v>37388</v>
      </c>
      <c r="K11263" s="0" t="s">
        <v>37389</v>
      </c>
      <c r="L11263" s="0" t="str">
        <f aca="false">HYPERLINK("https://www.ncbi.nlm.nih.gov/nuccore/CP000058.1?report=graph&amp;tracks=[key:gene_model_track,Options:GeneOnly]&amp;mk=3552833:3552852|offset_33|444444,3552805:3552824|offset_61|00cc00,3552785:3552804|offset_81|444444,3552742:3552761|offset_124|444444&amp;v=3552632:3552961&amp;c=444444", "offset 61")</f>
        <v>offset 61</v>
      </c>
    </row>
    <row r="11264" customFormat="false" ht="12.8" hidden="false" customHeight="false" outlineLevel="0" collapsed="false">
      <c r="A11264" s="0" t="s">
        <v>12</v>
      </c>
      <c r="B11264" s="0" t="n">
        <v>3552784</v>
      </c>
      <c r="C11264" s="0" t="n">
        <v>3552804</v>
      </c>
      <c r="D11264" s="0" t="s">
        <v>37383</v>
      </c>
      <c r="E11264" s="0" t="s">
        <v>75</v>
      </c>
      <c r="F11264" s="0" t="s">
        <v>90</v>
      </c>
      <c r="G11264" s="0" t="s">
        <v>16</v>
      </c>
      <c r="H11264" s="0" t="n">
        <v>81</v>
      </c>
      <c r="I11264" s="0" t="s">
        <v>37390</v>
      </c>
      <c r="J11264" s="0" t="s">
        <v>37391</v>
      </c>
      <c r="K11264" s="0" t="s">
        <v>37392</v>
      </c>
      <c r="L11264" s="0" t="str">
        <f aca="false">HYPERLINK("https://www.ncbi.nlm.nih.gov/nuccore/CP000058.1?report=graph&amp;tracks=[key:gene_model_track,Options:GeneOnly]&amp;mk=3552833:3552852|offset_33|444444,3552805:3552824|offset_61|444444,3552785:3552804|offset_81|00cc00,3552742:3552761|offset_124|444444&amp;v=3552632:3552961&amp;c=444444", "offset 81")</f>
        <v>offset 81</v>
      </c>
    </row>
    <row r="11265" customFormat="false" ht="12.8" hidden="false" customHeight="false" outlineLevel="0" collapsed="false">
      <c r="A11265" s="0" t="s">
        <v>12</v>
      </c>
      <c r="B11265" s="0" t="n">
        <v>3552741</v>
      </c>
      <c r="C11265" s="0" t="n">
        <v>3552761</v>
      </c>
      <c r="D11265" s="0" t="s">
        <v>37383</v>
      </c>
      <c r="E11265" s="0" t="s">
        <v>75</v>
      </c>
      <c r="F11265" s="0" t="s">
        <v>90</v>
      </c>
      <c r="G11265" s="0" t="s">
        <v>20</v>
      </c>
      <c r="H11265" s="0" t="n">
        <v>124</v>
      </c>
      <c r="I11265" s="0" t="s">
        <v>37393</v>
      </c>
      <c r="J11265" s="0" t="s">
        <v>37394</v>
      </c>
      <c r="K11265" s="0" t="s">
        <v>37395</v>
      </c>
      <c r="L11265" s="0" t="str">
        <f aca="false">HYPERLINK("https://www.ncbi.nlm.nih.gov/nuccore/CP000058.1?report=graph&amp;tracks=[key:gene_model_track,Options:GeneOnly]&amp;mk=3552833:3552852|offset_33|444444,3552805:3552824|offset_61|444444,3552785:3552804|offset_81|444444,3552742:3552761|offset_124|00cc00&amp;v=3552632:3552961&amp;c=444444", "offset 124")</f>
        <v>offset 124</v>
      </c>
    </row>
    <row r="11266" customFormat="false" ht="12.8" hidden="false" customHeight="false" outlineLevel="0" collapsed="false">
      <c r="A11266" s="0" t="s">
        <v>12</v>
      </c>
      <c r="B11266" s="0" t="n">
        <v>3553583</v>
      </c>
      <c r="C11266" s="0" t="n">
        <v>3553603</v>
      </c>
      <c r="D11266" s="0" t="s">
        <v>37396</v>
      </c>
      <c r="E11266" s="0" t="s">
        <v>37397</v>
      </c>
      <c r="F11266" s="0" t="s">
        <v>90</v>
      </c>
      <c r="G11266" s="0" t="s">
        <v>32</v>
      </c>
      <c r="H11266" s="0" t="n">
        <v>13</v>
      </c>
      <c r="I11266" s="0" t="s">
        <v>37398</v>
      </c>
      <c r="J11266" s="0" t="s">
        <v>37399</v>
      </c>
      <c r="K11266" s="0" t="s">
        <v>37400</v>
      </c>
      <c r="L11266" s="0" t="str">
        <f aca="false">HYPERLINK("https://www.ncbi.nlm.nih.gov/nuccore/CP000058.1?report=graph&amp;tracks=[key:gene_model_track,Options:GeneOnly]&amp;mk=3553584:3553603|offset_13|00cc00,3553481:3553500|offset_116|444444,3553437:3553456|offset_160|444444,3553393:3553412|offset_204|444444&amp;v=3553383:3553612&amp;c=444444", "offset 13")</f>
        <v>offset 13</v>
      </c>
    </row>
    <row r="11267" customFormat="false" ht="12.8" hidden="false" customHeight="false" outlineLevel="0" collapsed="false">
      <c r="A11267" s="0" t="s">
        <v>12</v>
      </c>
      <c r="B11267" s="0" t="n">
        <v>3553480</v>
      </c>
      <c r="C11267" s="0" t="n">
        <v>3553500</v>
      </c>
      <c r="D11267" s="0" t="s">
        <v>37396</v>
      </c>
      <c r="E11267" s="0" t="s">
        <v>37397</v>
      </c>
      <c r="F11267" s="0" t="s">
        <v>90</v>
      </c>
      <c r="G11267" s="0" t="s">
        <v>16</v>
      </c>
      <c r="H11267" s="0" t="n">
        <v>116</v>
      </c>
      <c r="I11267" s="0" t="s">
        <v>37401</v>
      </c>
      <c r="J11267" s="0" t="s">
        <v>37402</v>
      </c>
      <c r="K11267" s="0" t="s">
        <v>37403</v>
      </c>
      <c r="L11267" s="0" t="str">
        <f aca="false">HYPERLINK("https://www.ncbi.nlm.nih.gov/nuccore/CP000058.1?report=graph&amp;tracks=[key:gene_model_track,Options:GeneOnly]&amp;mk=3553584:3553603|offset_13|444444,3553481:3553500|offset_116|00cc00,3553437:3553456|offset_160|444444,3553393:3553412|offset_204|444444&amp;v=3553383:3553612&amp;c=444444", "offset 116")</f>
        <v>offset 116</v>
      </c>
    </row>
    <row r="11268" customFormat="false" ht="12.8" hidden="false" customHeight="false" outlineLevel="0" collapsed="false">
      <c r="A11268" s="0" t="s">
        <v>12</v>
      </c>
      <c r="B11268" s="0" t="n">
        <v>3553436</v>
      </c>
      <c r="C11268" s="0" t="n">
        <v>3553456</v>
      </c>
      <c r="D11268" s="0" t="s">
        <v>37396</v>
      </c>
      <c r="E11268" s="0" t="s">
        <v>37397</v>
      </c>
      <c r="F11268" s="0" t="s">
        <v>90</v>
      </c>
      <c r="G11268" s="0" t="s">
        <v>16</v>
      </c>
      <c r="H11268" s="0" t="n">
        <v>160</v>
      </c>
      <c r="I11268" s="0" t="s">
        <v>37404</v>
      </c>
      <c r="J11268" s="0" t="s">
        <v>37405</v>
      </c>
      <c r="K11268" s="0" t="s">
        <v>37406</v>
      </c>
      <c r="L11268" s="0" t="str">
        <f aca="false">HYPERLINK("https://www.ncbi.nlm.nih.gov/nuccore/CP000058.1?report=graph&amp;tracks=[key:gene_model_track,Options:GeneOnly]&amp;mk=3553584:3553603|offset_13|444444,3553481:3553500|offset_116|444444,3553437:3553456|offset_160|00cc00,3553393:3553412|offset_204|444444&amp;v=3553383:3553612&amp;c=444444", "offset 160")</f>
        <v>offset 160</v>
      </c>
    </row>
    <row r="11269" customFormat="false" ht="12.8" hidden="false" customHeight="false" outlineLevel="0" collapsed="false">
      <c r="A11269" s="0" t="s">
        <v>12</v>
      </c>
      <c r="B11269" s="0" t="n">
        <v>3553392</v>
      </c>
      <c r="C11269" s="0" t="n">
        <v>3553412</v>
      </c>
      <c r="D11269" s="0" t="s">
        <v>37396</v>
      </c>
      <c r="E11269" s="0" t="s">
        <v>37397</v>
      </c>
      <c r="F11269" s="0" t="s">
        <v>90</v>
      </c>
      <c r="G11269" s="0" t="s">
        <v>20</v>
      </c>
      <c r="H11269" s="0" t="n">
        <v>204</v>
      </c>
      <c r="I11269" s="0" t="s">
        <v>37407</v>
      </c>
      <c r="J11269" s="0" t="s">
        <v>37408</v>
      </c>
      <c r="K11269" s="0" t="s">
        <v>37409</v>
      </c>
      <c r="L11269" s="0" t="str">
        <f aca="false">HYPERLINK("https://www.ncbi.nlm.nih.gov/nuccore/CP000058.1?report=graph&amp;tracks=[key:gene_model_track,Options:GeneOnly]&amp;mk=3553584:3553603|offset_13|444444,3553481:3553500|offset_116|444444,3553437:3553456|offset_160|444444,3553393:3553412|offset_204|00cc00&amp;v=3553383:3553612&amp;c=444444", "offset 204")</f>
        <v>offset 204</v>
      </c>
    </row>
    <row r="11270" customFormat="false" ht="12.8" hidden="false" customHeight="false" outlineLevel="0" collapsed="false">
      <c r="A11270" s="0" t="s">
        <v>12</v>
      </c>
      <c r="B11270" s="0" t="n">
        <v>3554218</v>
      </c>
      <c r="C11270" s="0" t="n">
        <v>3554238</v>
      </c>
      <c r="D11270" s="0" t="s">
        <v>37410</v>
      </c>
      <c r="E11270" s="0" t="s">
        <v>37411</v>
      </c>
      <c r="F11270" s="0" t="s">
        <v>90</v>
      </c>
      <c r="G11270" s="0" t="s">
        <v>36</v>
      </c>
      <c r="H11270" s="0" t="n">
        <v>7</v>
      </c>
      <c r="I11270" s="0" t="s">
        <v>37412</v>
      </c>
      <c r="J11270" s="0" t="s">
        <v>37413</v>
      </c>
      <c r="K11270" s="0" t="s">
        <v>37414</v>
      </c>
      <c r="L11270" s="0" t="str">
        <f aca="false">HYPERLINK("https://www.ncbi.nlm.nih.gov/nuccore/CP000058.1?report=graph&amp;tracks=[key:gene_model_track,Options:GeneOnly]&amp;mk=3554219:3554238|offset_7|00cc00,3554123:3554142|offset_103|444444,3554102:3554121|offset_124|444444,3554071:3554090|offset_155|444444&amp;v=3554018:3554290&amp;c=444444", "offset 7")</f>
        <v>offset 7</v>
      </c>
    </row>
    <row r="11271" customFormat="false" ht="12.8" hidden="false" customHeight="false" outlineLevel="0" collapsed="false">
      <c r="A11271" s="0" t="s">
        <v>12</v>
      </c>
      <c r="B11271" s="0" t="n">
        <v>3554122</v>
      </c>
      <c r="C11271" s="0" t="n">
        <v>3554142</v>
      </c>
      <c r="D11271" s="0" t="s">
        <v>37410</v>
      </c>
      <c r="E11271" s="0" t="s">
        <v>37411</v>
      </c>
      <c r="F11271" s="0" t="s">
        <v>90</v>
      </c>
      <c r="G11271" s="0" t="s">
        <v>32</v>
      </c>
      <c r="H11271" s="0" t="n">
        <v>103</v>
      </c>
      <c r="I11271" s="0" t="s">
        <v>37415</v>
      </c>
      <c r="J11271" s="0" t="s">
        <v>37416</v>
      </c>
      <c r="K11271" s="0" t="s">
        <v>37417</v>
      </c>
      <c r="L11271" s="0" t="str">
        <f aca="false">HYPERLINK("https://www.ncbi.nlm.nih.gov/nuccore/CP000058.1?report=graph&amp;tracks=[key:gene_model_track,Options:GeneOnly]&amp;mk=3554219:3554238|offset_7|444444,3554123:3554142|offset_103|00cc00,3554102:3554121|offset_124|444444,3554071:3554090|offset_155|444444&amp;v=3554018:3554290&amp;c=444444", "offset 103")</f>
        <v>offset 103</v>
      </c>
    </row>
    <row r="11272" customFormat="false" ht="12.8" hidden="false" customHeight="false" outlineLevel="0" collapsed="false">
      <c r="A11272" s="0" t="s">
        <v>12</v>
      </c>
      <c r="B11272" s="0" t="n">
        <v>3554101</v>
      </c>
      <c r="C11272" s="0" t="n">
        <v>3554121</v>
      </c>
      <c r="D11272" s="0" t="s">
        <v>37410</v>
      </c>
      <c r="E11272" s="0" t="s">
        <v>37411</v>
      </c>
      <c r="F11272" s="0" t="s">
        <v>90</v>
      </c>
      <c r="G11272" s="0" t="s">
        <v>16</v>
      </c>
      <c r="H11272" s="0" t="n">
        <v>124</v>
      </c>
      <c r="I11272" s="0" t="s">
        <v>37418</v>
      </c>
      <c r="J11272" s="0" t="s">
        <v>37419</v>
      </c>
      <c r="K11272" s="0" t="s">
        <v>37420</v>
      </c>
      <c r="L11272" s="0" t="str">
        <f aca="false">HYPERLINK("https://www.ncbi.nlm.nih.gov/nuccore/CP000058.1?report=graph&amp;tracks=[key:gene_model_track,Options:GeneOnly]&amp;mk=3554219:3554238|offset_7|444444,3554123:3554142|offset_103|444444,3554102:3554121|offset_124|00cc00,3554071:3554090|offset_155|444444&amp;v=3554018:3554290&amp;c=444444", "offset 124")</f>
        <v>offset 124</v>
      </c>
    </row>
    <row r="11273" customFormat="false" ht="12.8" hidden="false" customHeight="false" outlineLevel="0" collapsed="false">
      <c r="A11273" s="0" t="s">
        <v>12</v>
      </c>
      <c r="B11273" s="0" t="n">
        <v>3554070</v>
      </c>
      <c r="C11273" s="0" t="n">
        <v>3554090</v>
      </c>
      <c r="D11273" s="0" t="s">
        <v>37410</v>
      </c>
      <c r="E11273" s="0" t="s">
        <v>37411</v>
      </c>
      <c r="F11273" s="0" t="s">
        <v>90</v>
      </c>
      <c r="G11273" s="0" t="s">
        <v>16</v>
      </c>
      <c r="H11273" s="0" t="n">
        <v>155</v>
      </c>
      <c r="I11273" s="0" t="s">
        <v>37421</v>
      </c>
      <c r="J11273" s="0" t="s">
        <v>37422</v>
      </c>
      <c r="K11273" s="0" t="s">
        <v>37423</v>
      </c>
      <c r="L11273" s="0" t="str">
        <f aca="false">HYPERLINK("https://www.ncbi.nlm.nih.gov/nuccore/CP000058.1?report=graph&amp;tracks=[key:gene_model_track,Options:GeneOnly]&amp;mk=3554219:3554238|offset_7|444444,3554123:3554142|offset_103|444444,3554102:3554121|offset_124|444444,3554071:3554090|offset_155|00cc00&amp;v=3554018:3554290&amp;c=444444", "offset 155")</f>
        <v>offset 155</v>
      </c>
    </row>
    <row r="11274" customFormat="false" ht="12.8" hidden="false" customHeight="false" outlineLevel="0" collapsed="false">
      <c r="A11274" s="0" t="s">
        <v>12</v>
      </c>
      <c r="B11274" s="0" t="n">
        <v>3554538</v>
      </c>
      <c r="C11274" s="0" t="n">
        <v>3554558</v>
      </c>
      <c r="D11274" s="0" t="s">
        <v>37424</v>
      </c>
      <c r="E11274" s="0" t="s">
        <v>75</v>
      </c>
      <c r="F11274" s="0" t="s">
        <v>90</v>
      </c>
      <c r="G11274" s="0" t="s">
        <v>16</v>
      </c>
      <c r="H11274" s="0" t="n">
        <v>55</v>
      </c>
      <c r="I11274" s="0" t="s">
        <v>37425</v>
      </c>
      <c r="J11274" s="0" t="s">
        <v>37426</v>
      </c>
      <c r="K11274" s="0" t="s">
        <v>37427</v>
      </c>
      <c r="L11274" s="0" t="str">
        <f aca="false">HYPERLINK("https://www.ncbi.nlm.nih.gov/nuccore/CP000058.1?report=graph&amp;tracks=[key:gene_model_track,Options:GeneOnly]&amp;mk=3554539:3554558|offset_55|00cc00,3554482:3554501|offset_112|444444,3554457:3554476|offset_137|444444,3554413:3554432|offset_181|444444&amp;v=3554338:3554632&amp;c=444444", "offset 55")</f>
        <v>offset 55</v>
      </c>
    </row>
    <row r="11275" customFormat="false" ht="12.8" hidden="false" customHeight="false" outlineLevel="0" collapsed="false">
      <c r="A11275" s="0" t="s">
        <v>12</v>
      </c>
      <c r="B11275" s="0" t="n">
        <v>3554481</v>
      </c>
      <c r="C11275" s="0" t="n">
        <v>3554501</v>
      </c>
      <c r="D11275" s="0" t="s">
        <v>37424</v>
      </c>
      <c r="E11275" s="0" t="s">
        <v>75</v>
      </c>
      <c r="F11275" s="0" t="s">
        <v>90</v>
      </c>
      <c r="G11275" s="0" t="s">
        <v>36</v>
      </c>
      <c r="H11275" s="0" t="n">
        <v>112</v>
      </c>
      <c r="I11275" s="0" t="s">
        <v>37428</v>
      </c>
      <c r="J11275" s="0" t="s">
        <v>37429</v>
      </c>
      <c r="K11275" s="0" t="s">
        <v>37430</v>
      </c>
      <c r="L11275" s="0" t="str">
        <f aca="false">HYPERLINK("https://www.ncbi.nlm.nih.gov/nuccore/CP000058.1?report=graph&amp;tracks=[key:gene_model_track,Options:GeneOnly]&amp;mk=3554539:3554558|offset_55|444444,3554482:3554501|offset_112|00cc00,3554457:3554476|offset_137|444444,3554413:3554432|offset_181|444444&amp;v=3554338:3554632&amp;c=444444", "offset 112")</f>
        <v>offset 112</v>
      </c>
    </row>
    <row r="11276" customFormat="false" ht="12.8" hidden="false" customHeight="false" outlineLevel="0" collapsed="false">
      <c r="A11276" s="0" t="s">
        <v>12</v>
      </c>
      <c r="B11276" s="0" t="n">
        <v>3554456</v>
      </c>
      <c r="C11276" s="0" t="n">
        <v>3554476</v>
      </c>
      <c r="D11276" s="0" t="s">
        <v>37424</v>
      </c>
      <c r="E11276" s="0" t="s">
        <v>75</v>
      </c>
      <c r="F11276" s="0" t="s">
        <v>90</v>
      </c>
      <c r="G11276" s="0" t="s">
        <v>16</v>
      </c>
      <c r="H11276" s="0" t="n">
        <v>137</v>
      </c>
      <c r="I11276" s="0" t="s">
        <v>37431</v>
      </c>
      <c r="J11276" s="0" t="s">
        <v>37432</v>
      </c>
      <c r="K11276" s="0" t="s">
        <v>37433</v>
      </c>
      <c r="L11276" s="0" t="str">
        <f aca="false">HYPERLINK("https://www.ncbi.nlm.nih.gov/nuccore/CP000058.1?report=graph&amp;tracks=[key:gene_model_track,Options:GeneOnly]&amp;mk=3554539:3554558|offset_55|444444,3554482:3554501|offset_112|444444,3554457:3554476|offset_137|00cc00,3554413:3554432|offset_181|444444&amp;v=3554338:3554632&amp;c=444444", "offset 137")</f>
        <v>offset 137</v>
      </c>
    </row>
    <row r="11277" customFormat="false" ht="12.8" hidden="false" customHeight="false" outlineLevel="0" collapsed="false">
      <c r="A11277" s="0" t="s">
        <v>12</v>
      </c>
      <c r="B11277" s="0" t="n">
        <v>3554412</v>
      </c>
      <c r="C11277" s="0" t="n">
        <v>3554432</v>
      </c>
      <c r="D11277" s="0" t="s">
        <v>37424</v>
      </c>
      <c r="E11277" s="0" t="s">
        <v>75</v>
      </c>
      <c r="F11277" s="0" t="s">
        <v>90</v>
      </c>
      <c r="G11277" s="0" t="s">
        <v>16</v>
      </c>
      <c r="H11277" s="0" t="n">
        <v>181</v>
      </c>
      <c r="I11277" s="0" t="s">
        <v>37434</v>
      </c>
      <c r="J11277" s="0" t="s">
        <v>37435</v>
      </c>
      <c r="K11277" s="0" t="s">
        <v>37436</v>
      </c>
      <c r="L11277" s="0" t="str">
        <f aca="false">HYPERLINK("https://www.ncbi.nlm.nih.gov/nuccore/CP000058.1?report=graph&amp;tracks=[key:gene_model_track,Options:GeneOnly]&amp;mk=3554539:3554558|offset_55|444444,3554482:3554501|offset_112|444444,3554457:3554476|offset_137|444444,3554413:3554432|offset_181|00cc00&amp;v=3554338:3554632&amp;c=444444", "offset 181")</f>
        <v>offset 181</v>
      </c>
    </row>
    <row r="11278" customFormat="false" ht="12.8" hidden="false" customHeight="false" outlineLevel="0" collapsed="false">
      <c r="A11278" s="0" t="s">
        <v>12</v>
      </c>
      <c r="B11278" s="0" t="n">
        <v>3555015</v>
      </c>
      <c r="C11278" s="0" t="n">
        <v>3555035</v>
      </c>
      <c r="D11278" s="0" t="s">
        <v>37437</v>
      </c>
      <c r="E11278" s="0" t="s">
        <v>37438</v>
      </c>
      <c r="F11278" s="0" t="s">
        <v>90</v>
      </c>
      <c r="G11278" s="0" t="s">
        <v>20</v>
      </c>
      <c r="H11278" s="0" t="n">
        <v>12</v>
      </c>
      <c r="I11278" s="0" t="s">
        <v>37439</v>
      </c>
      <c r="J11278" s="0" t="s">
        <v>37440</v>
      </c>
      <c r="K11278" s="0" t="s">
        <v>37441</v>
      </c>
      <c r="L11278" s="0" t="str">
        <f aca="false">HYPERLINK("https://www.ncbi.nlm.nih.gov/nuccore/CP000058.1?report=graph&amp;tracks=[key:gene_model_track,Options:GeneOnly]&amp;mk=3555016:3555035|offset_12|00cc00,3554994:3555013|offset_34|444444,3554952:3554971|offset_76|444444,3554910:3554929|offset_118|444444&amp;v=3554815:3555129&amp;c=444444", "offset 12")</f>
        <v>offset 12</v>
      </c>
    </row>
    <row r="11279" customFormat="false" ht="12.8" hidden="false" customHeight="false" outlineLevel="0" collapsed="false">
      <c r="A11279" s="0" t="s">
        <v>12</v>
      </c>
      <c r="B11279" s="0" t="n">
        <v>3554993</v>
      </c>
      <c r="C11279" s="0" t="n">
        <v>3555013</v>
      </c>
      <c r="D11279" s="0" t="s">
        <v>37437</v>
      </c>
      <c r="E11279" s="0" t="s">
        <v>37438</v>
      </c>
      <c r="F11279" s="0" t="s">
        <v>90</v>
      </c>
      <c r="G11279" s="0" t="s">
        <v>36</v>
      </c>
      <c r="H11279" s="0" t="n">
        <v>34</v>
      </c>
      <c r="I11279" s="0" t="s">
        <v>37442</v>
      </c>
      <c r="J11279" s="0" t="s">
        <v>37443</v>
      </c>
      <c r="K11279" s="0" t="s">
        <v>37444</v>
      </c>
      <c r="L11279" s="0" t="str">
        <f aca="false">HYPERLINK("https://www.ncbi.nlm.nih.gov/nuccore/CP000058.1?report=graph&amp;tracks=[key:gene_model_track,Options:GeneOnly]&amp;mk=3555016:3555035|offset_12|444444,3554994:3555013|offset_34|00cc00,3554952:3554971|offset_76|444444,3554910:3554929|offset_118|444444&amp;v=3554815:3555129&amp;c=444444", "offset 34")</f>
        <v>offset 34</v>
      </c>
    </row>
    <row r="11280" customFormat="false" ht="12.8" hidden="false" customHeight="false" outlineLevel="0" collapsed="false">
      <c r="A11280" s="0" t="s">
        <v>12</v>
      </c>
      <c r="B11280" s="0" t="n">
        <v>3554951</v>
      </c>
      <c r="C11280" s="0" t="n">
        <v>3554971</v>
      </c>
      <c r="D11280" s="0" t="s">
        <v>37437</v>
      </c>
      <c r="E11280" s="0" t="s">
        <v>37438</v>
      </c>
      <c r="F11280" s="0" t="s">
        <v>90</v>
      </c>
      <c r="G11280" s="0" t="s">
        <v>16</v>
      </c>
      <c r="H11280" s="0" t="n">
        <v>76</v>
      </c>
      <c r="I11280" s="0" t="s">
        <v>37445</v>
      </c>
      <c r="J11280" s="0" t="s">
        <v>37446</v>
      </c>
      <c r="K11280" s="0" t="s">
        <v>37447</v>
      </c>
      <c r="L11280" s="0" t="str">
        <f aca="false">HYPERLINK("https://www.ncbi.nlm.nih.gov/nuccore/CP000058.1?report=graph&amp;tracks=[key:gene_model_track,Options:GeneOnly]&amp;mk=3555016:3555035|offset_12|444444,3554994:3555013|offset_34|444444,3554952:3554971|offset_76|00cc00,3554910:3554929|offset_118|444444&amp;v=3554815:3555129&amp;c=444444", "offset 76")</f>
        <v>offset 76</v>
      </c>
    </row>
    <row r="11281" customFormat="false" ht="12.8" hidden="false" customHeight="false" outlineLevel="0" collapsed="false">
      <c r="A11281" s="0" t="s">
        <v>12</v>
      </c>
      <c r="B11281" s="0" t="n">
        <v>3554909</v>
      </c>
      <c r="C11281" s="0" t="n">
        <v>3554929</v>
      </c>
      <c r="D11281" s="0" t="s">
        <v>37437</v>
      </c>
      <c r="E11281" s="0" t="s">
        <v>37438</v>
      </c>
      <c r="F11281" s="0" t="s">
        <v>90</v>
      </c>
      <c r="G11281" s="0" t="s">
        <v>16</v>
      </c>
      <c r="H11281" s="0" t="n">
        <v>118</v>
      </c>
      <c r="I11281" s="0" t="s">
        <v>37448</v>
      </c>
      <c r="J11281" s="0" t="s">
        <v>37449</v>
      </c>
      <c r="K11281" s="0" t="s">
        <v>37450</v>
      </c>
      <c r="L11281" s="0" t="str">
        <f aca="false">HYPERLINK("https://www.ncbi.nlm.nih.gov/nuccore/CP000058.1?report=graph&amp;tracks=[key:gene_model_track,Options:GeneOnly]&amp;mk=3555016:3555035|offset_12|444444,3554994:3555013|offset_34|444444,3554952:3554971|offset_76|444444,3554910:3554929|offset_118|00cc00&amp;v=3554815:3555129&amp;c=444444", "offset 118")</f>
        <v>offset 118</v>
      </c>
    </row>
    <row r="11282" customFormat="false" ht="12.8" hidden="false" customHeight="false" outlineLevel="0" collapsed="false">
      <c r="A11282" s="0" t="s">
        <v>12</v>
      </c>
      <c r="B11282" s="0" t="n">
        <v>3555467</v>
      </c>
      <c r="C11282" s="0" t="n">
        <v>3555487</v>
      </c>
      <c r="D11282" s="0" t="s">
        <v>37451</v>
      </c>
      <c r="E11282" s="0" t="s">
        <v>37452</v>
      </c>
      <c r="F11282" s="0" t="s">
        <v>90</v>
      </c>
      <c r="G11282" s="0" t="s">
        <v>16</v>
      </c>
      <c r="H11282" s="0" t="n">
        <v>0</v>
      </c>
      <c r="I11282" s="0" t="s">
        <v>37453</v>
      </c>
      <c r="J11282" s="0" t="s">
        <v>37454</v>
      </c>
      <c r="K11282" s="0" t="s">
        <v>37455</v>
      </c>
      <c r="L11282" s="0" t="str">
        <f aca="false">HYPERLINK("https://www.ncbi.nlm.nih.gov/nuccore/CP000058.1?report=graph&amp;tracks=[key:gene_model_track,Options:GeneOnly]&amp;mk=3555468:3555487|offset_0|00cc00,3555438:3555457|offset_30|444444,3555365:3555384|offset_103|444444,3555296:3555315|offset_172|444444&amp;v=3555267:3555515&amp;c=444444", "offset 0")</f>
        <v>offset 0</v>
      </c>
    </row>
    <row r="11283" customFormat="false" ht="12.8" hidden="false" customHeight="false" outlineLevel="0" collapsed="false">
      <c r="A11283" s="0" t="s">
        <v>12</v>
      </c>
      <c r="B11283" s="0" t="n">
        <v>3555437</v>
      </c>
      <c r="C11283" s="0" t="n">
        <v>3555457</v>
      </c>
      <c r="D11283" s="0" t="s">
        <v>37451</v>
      </c>
      <c r="E11283" s="0" t="s">
        <v>37452</v>
      </c>
      <c r="F11283" s="0" t="s">
        <v>90</v>
      </c>
      <c r="G11283" s="0" t="s">
        <v>36</v>
      </c>
      <c r="H11283" s="0" t="n">
        <v>30</v>
      </c>
      <c r="I11283" s="0" t="s">
        <v>37456</v>
      </c>
      <c r="J11283" s="0" t="s">
        <v>37457</v>
      </c>
      <c r="K11283" s="0" t="s">
        <v>37458</v>
      </c>
      <c r="L11283" s="0" t="str">
        <f aca="false">HYPERLINK("https://www.ncbi.nlm.nih.gov/nuccore/CP000058.1?report=graph&amp;tracks=[key:gene_model_track,Options:GeneOnly]&amp;mk=3555468:3555487|offset_0|444444,3555438:3555457|offset_30|00cc00,3555365:3555384|offset_103|444444,3555296:3555315|offset_172|444444&amp;v=3555267:3555515&amp;c=444444", "offset 30")</f>
        <v>offset 30</v>
      </c>
    </row>
    <row r="11284" customFormat="false" ht="12.8" hidden="false" customHeight="false" outlineLevel="0" collapsed="false">
      <c r="A11284" s="0" t="s">
        <v>12</v>
      </c>
      <c r="B11284" s="0" t="n">
        <v>3555364</v>
      </c>
      <c r="C11284" s="0" t="n">
        <v>3555384</v>
      </c>
      <c r="D11284" s="0" t="s">
        <v>37451</v>
      </c>
      <c r="E11284" s="0" t="s">
        <v>37452</v>
      </c>
      <c r="F11284" s="0" t="s">
        <v>90</v>
      </c>
      <c r="G11284" s="0" t="s">
        <v>32</v>
      </c>
      <c r="H11284" s="0" t="n">
        <v>103</v>
      </c>
      <c r="I11284" s="0" t="s">
        <v>37459</v>
      </c>
      <c r="J11284" s="0" t="s">
        <v>37460</v>
      </c>
      <c r="K11284" s="0" t="s">
        <v>37461</v>
      </c>
      <c r="L11284" s="0" t="str">
        <f aca="false">HYPERLINK("https://www.ncbi.nlm.nih.gov/nuccore/CP000058.1?report=graph&amp;tracks=[key:gene_model_track,Options:GeneOnly]&amp;mk=3555468:3555487|offset_0|444444,3555438:3555457|offset_30|444444,3555365:3555384|offset_103|00cc00,3555296:3555315|offset_172|444444&amp;v=3555267:3555515&amp;c=444444", "offset 103")</f>
        <v>offset 103</v>
      </c>
    </row>
    <row r="11285" customFormat="false" ht="12.8" hidden="false" customHeight="false" outlineLevel="0" collapsed="false">
      <c r="A11285" s="0" t="s">
        <v>12</v>
      </c>
      <c r="B11285" s="0" t="n">
        <v>3555295</v>
      </c>
      <c r="C11285" s="0" t="n">
        <v>3555315</v>
      </c>
      <c r="D11285" s="0" t="s">
        <v>37451</v>
      </c>
      <c r="E11285" s="0" t="s">
        <v>37452</v>
      </c>
      <c r="F11285" s="0" t="s">
        <v>90</v>
      </c>
      <c r="G11285" s="0" t="s">
        <v>32</v>
      </c>
      <c r="H11285" s="0" t="n">
        <v>172</v>
      </c>
      <c r="I11285" s="0" t="s">
        <v>37462</v>
      </c>
      <c r="J11285" s="0" t="s">
        <v>37463</v>
      </c>
      <c r="K11285" s="0" t="s">
        <v>37464</v>
      </c>
      <c r="L11285" s="0" t="str">
        <f aca="false">HYPERLINK("https://www.ncbi.nlm.nih.gov/nuccore/CP000058.1?report=graph&amp;tracks=[key:gene_model_track,Options:GeneOnly]&amp;mk=3555468:3555487|offset_0|444444,3555438:3555457|offset_30|444444,3555365:3555384|offset_103|444444,3555296:3555315|offset_172|00cc00&amp;v=3555267:3555515&amp;c=444444", "offset 172")</f>
        <v>offset 172</v>
      </c>
    </row>
    <row r="11286" customFormat="false" ht="12.8" hidden="false" customHeight="false" outlineLevel="0" collapsed="false">
      <c r="A11286" s="0" t="s">
        <v>12</v>
      </c>
      <c r="B11286" s="0" t="n">
        <v>3556687</v>
      </c>
      <c r="C11286" s="0" t="n">
        <v>3556707</v>
      </c>
      <c r="D11286" s="0" t="s">
        <v>37465</v>
      </c>
      <c r="E11286" s="0" t="s">
        <v>37466</v>
      </c>
      <c r="F11286" s="0" t="s">
        <v>90</v>
      </c>
      <c r="G11286" s="0" t="s">
        <v>20</v>
      </c>
      <c r="H11286" s="0" t="n">
        <v>8</v>
      </c>
      <c r="I11286" s="0" t="s">
        <v>37467</v>
      </c>
      <c r="J11286" s="0" t="s">
        <v>37468</v>
      </c>
      <c r="K11286" s="0" t="s">
        <v>37469</v>
      </c>
      <c r="L11286" s="0" t="str">
        <f aca="false">HYPERLINK("https://www.ncbi.nlm.nih.gov/nuccore/CP000058.1?report=graph&amp;tracks=[key:gene_model_track,Options:GeneOnly]&amp;mk=3556688:3556707|offset_8|00cc00,3556651:3556670|offset_45|444444,3556629:3556648|offset_67|444444,3556605:3556624|offset_91|444444&amp;v=3556487:3556824&amp;c=444444", "offset 8")</f>
        <v>offset 8</v>
      </c>
    </row>
    <row r="11287" customFormat="false" ht="12.8" hidden="false" customHeight="false" outlineLevel="0" collapsed="false">
      <c r="A11287" s="0" t="s">
        <v>12</v>
      </c>
      <c r="B11287" s="0" t="n">
        <v>3556650</v>
      </c>
      <c r="C11287" s="0" t="n">
        <v>3556670</v>
      </c>
      <c r="D11287" s="0" t="s">
        <v>37465</v>
      </c>
      <c r="E11287" s="0" t="s">
        <v>37466</v>
      </c>
      <c r="F11287" s="0" t="s">
        <v>90</v>
      </c>
      <c r="G11287" s="0" t="s">
        <v>16</v>
      </c>
      <c r="H11287" s="0" t="n">
        <v>45</v>
      </c>
      <c r="I11287" s="0" t="s">
        <v>37470</v>
      </c>
      <c r="J11287" s="0" t="s">
        <v>37471</v>
      </c>
      <c r="K11287" s="0" t="s">
        <v>37472</v>
      </c>
      <c r="L11287" s="0" t="str">
        <f aca="false">HYPERLINK("https://www.ncbi.nlm.nih.gov/nuccore/CP000058.1?report=graph&amp;tracks=[key:gene_model_track,Options:GeneOnly]&amp;mk=3556688:3556707|offset_8|444444,3556651:3556670|offset_45|00cc00,3556629:3556648|offset_67|444444,3556605:3556624|offset_91|444444&amp;v=3556487:3556824&amp;c=444444", "offset 45")</f>
        <v>offset 45</v>
      </c>
    </row>
    <row r="11288" customFormat="false" ht="12.8" hidden="false" customHeight="false" outlineLevel="0" collapsed="false">
      <c r="A11288" s="0" t="s">
        <v>12</v>
      </c>
      <c r="B11288" s="0" t="n">
        <v>3556628</v>
      </c>
      <c r="C11288" s="0" t="n">
        <v>3556648</v>
      </c>
      <c r="D11288" s="0" t="s">
        <v>37465</v>
      </c>
      <c r="E11288" s="0" t="s">
        <v>37466</v>
      </c>
      <c r="F11288" s="0" t="s">
        <v>90</v>
      </c>
      <c r="G11288" s="0" t="s">
        <v>36</v>
      </c>
      <c r="H11288" s="0" t="n">
        <v>67</v>
      </c>
      <c r="I11288" s="0" t="s">
        <v>37473</v>
      </c>
      <c r="J11288" s="0" t="s">
        <v>37474</v>
      </c>
      <c r="K11288" s="0" t="s">
        <v>37475</v>
      </c>
      <c r="L11288" s="0" t="str">
        <f aca="false">HYPERLINK("https://www.ncbi.nlm.nih.gov/nuccore/CP000058.1?report=graph&amp;tracks=[key:gene_model_track,Options:GeneOnly]&amp;mk=3556688:3556707|offset_8|444444,3556651:3556670|offset_45|444444,3556629:3556648|offset_67|00cc00,3556605:3556624|offset_91|444444&amp;v=3556487:3556824&amp;c=444444", "offset 67")</f>
        <v>offset 67</v>
      </c>
    </row>
    <row r="11289" customFormat="false" ht="12.8" hidden="false" customHeight="false" outlineLevel="0" collapsed="false">
      <c r="A11289" s="0" t="s">
        <v>12</v>
      </c>
      <c r="B11289" s="0" t="n">
        <v>3556604</v>
      </c>
      <c r="C11289" s="0" t="n">
        <v>3556624</v>
      </c>
      <c r="D11289" s="0" t="s">
        <v>37465</v>
      </c>
      <c r="E11289" s="0" t="s">
        <v>37466</v>
      </c>
      <c r="F11289" s="0" t="s">
        <v>90</v>
      </c>
      <c r="G11289" s="0" t="s">
        <v>16</v>
      </c>
      <c r="H11289" s="0" t="n">
        <v>91</v>
      </c>
      <c r="I11289" s="0" t="s">
        <v>37476</v>
      </c>
      <c r="J11289" s="0" t="s">
        <v>37477</v>
      </c>
      <c r="K11289" s="0" t="s">
        <v>37478</v>
      </c>
      <c r="L11289" s="0" t="str">
        <f aca="false">HYPERLINK("https://www.ncbi.nlm.nih.gov/nuccore/CP000058.1?report=graph&amp;tracks=[key:gene_model_track,Options:GeneOnly]&amp;mk=3556688:3556707|offset_8|444444,3556651:3556670|offset_45|444444,3556629:3556648|offset_67|444444,3556605:3556624|offset_91|00cc00&amp;v=3556487:3556824&amp;c=444444", "offset 91")</f>
        <v>offset 91</v>
      </c>
    </row>
    <row r="11290" customFormat="false" ht="12.8" hidden="false" customHeight="false" outlineLevel="0" collapsed="false">
      <c r="A11290" s="0" t="s">
        <v>12</v>
      </c>
      <c r="B11290" s="0" t="n">
        <v>3558442</v>
      </c>
      <c r="C11290" s="0" t="n">
        <v>3558462</v>
      </c>
      <c r="D11290" s="0" t="s">
        <v>37479</v>
      </c>
      <c r="E11290" s="0" t="s">
        <v>37480</v>
      </c>
      <c r="F11290" s="0" t="s">
        <v>90</v>
      </c>
      <c r="G11290" s="0" t="s">
        <v>36</v>
      </c>
      <c r="H11290" s="0" t="n">
        <v>7</v>
      </c>
      <c r="I11290" s="0" t="s">
        <v>37481</v>
      </c>
      <c r="J11290" s="0" t="s">
        <v>37482</v>
      </c>
      <c r="K11290" s="0" t="s">
        <v>37483</v>
      </c>
      <c r="L11290" s="0" t="str">
        <f aca="false">HYPERLINK("https://www.ncbi.nlm.nih.gov/nuccore/CP000058.1?report=graph&amp;tracks=[key:gene_model_track,Options:GeneOnly]&amp;mk=3558443:3558462|offset_7|00cc00,3558423:3558442|offset_27|444444,3558402:3558421|offset_48|444444,3558382:3558401|offset_68|444444&amp;v=3558242:3558601&amp;c=444444", "offset 7")</f>
        <v>offset 7</v>
      </c>
    </row>
    <row r="11291" customFormat="false" ht="12.8" hidden="false" customHeight="false" outlineLevel="0" collapsed="false">
      <c r="A11291" s="0" t="s">
        <v>12</v>
      </c>
      <c r="B11291" s="0" t="n">
        <v>3558422</v>
      </c>
      <c r="C11291" s="0" t="n">
        <v>3558442</v>
      </c>
      <c r="D11291" s="0" t="s">
        <v>37479</v>
      </c>
      <c r="E11291" s="0" t="s">
        <v>37480</v>
      </c>
      <c r="F11291" s="0" t="s">
        <v>90</v>
      </c>
      <c r="G11291" s="0" t="s">
        <v>36</v>
      </c>
      <c r="H11291" s="0" t="n">
        <v>27</v>
      </c>
      <c r="I11291" s="0" t="s">
        <v>37484</v>
      </c>
      <c r="J11291" s="0" t="s">
        <v>37485</v>
      </c>
      <c r="K11291" s="0" t="s">
        <v>37486</v>
      </c>
      <c r="L11291" s="0" t="str">
        <f aca="false">HYPERLINK("https://www.ncbi.nlm.nih.gov/nuccore/CP000058.1?report=graph&amp;tracks=[key:gene_model_track,Options:GeneOnly]&amp;mk=3558443:3558462|offset_7|444444,3558423:3558442|offset_27|00cc00,3558402:3558421|offset_48|444444,3558382:3558401|offset_68|444444&amp;v=3558242:3558601&amp;c=444444", "offset 27")</f>
        <v>offset 27</v>
      </c>
    </row>
    <row r="11292" customFormat="false" ht="12.8" hidden="false" customHeight="false" outlineLevel="0" collapsed="false">
      <c r="A11292" s="0" t="s">
        <v>12</v>
      </c>
      <c r="B11292" s="0" t="n">
        <v>3558401</v>
      </c>
      <c r="C11292" s="0" t="n">
        <v>3558421</v>
      </c>
      <c r="D11292" s="0" t="s">
        <v>37479</v>
      </c>
      <c r="E11292" s="0" t="s">
        <v>37480</v>
      </c>
      <c r="F11292" s="0" t="s">
        <v>90</v>
      </c>
      <c r="G11292" s="0" t="s">
        <v>36</v>
      </c>
      <c r="H11292" s="0" t="n">
        <v>48</v>
      </c>
      <c r="I11292" s="0" t="s">
        <v>37487</v>
      </c>
      <c r="J11292" s="0" t="s">
        <v>37488</v>
      </c>
      <c r="K11292" s="0" t="s">
        <v>37489</v>
      </c>
      <c r="L11292" s="0" t="str">
        <f aca="false">HYPERLINK("https://www.ncbi.nlm.nih.gov/nuccore/CP000058.1?report=graph&amp;tracks=[key:gene_model_track,Options:GeneOnly]&amp;mk=3558443:3558462|offset_7|444444,3558423:3558442|offset_27|444444,3558402:3558421|offset_48|00cc00,3558382:3558401|offset_68|444444&amp;v=3558242:3558601&amp;c=444444", "offset 48")</f>
        <v>offset 48</v>
      </c>
    </row>
    <row r="11293" customFormat="false" ht="12.8" hidden="false" customHeight="false" outlineLevel="0" collapsed="false">
      <c r="A11293" s="0" t="s">
        <v>12</v>
      </c>
      <c r="B11293" s="0" t="n">
        <v>3558381</v>
      </c>
      <c r="C11293" s="0" t="n">
        <v>3558401</v>
      </c>
      <c r="D11293" s="0" t="s">
        <v>37479</v>
      </c>
      <c r="E11293" s="0" t="s">
        <v>37480</v>
      </c>
      <c r="F11293" s="0" t="s">
        <v>90</v>
      </c>
      <c r="G11293" s="0" t="s">
        <v>20</v>
      </c>
      <c r="H11293" s="0" t="n">
        <v>68</v>
      </c>
      <c r="I11293" s="0" t="s">
        <v>37490</v>
      </c>
      <c r="J11293" s="0" t="s">
        <v>37491</v>
      </c>
      <c r="K11293" s="0" t="s">
        <v>37492</v>
      </c>
      <c r="L11293" s="0" t="str">
        <f aca="false">HYPERLINK("https://www.ncbi.nlm.nih.gov/nuccore/CP000058.1?report=graph&amp;tracks=[key:gene_model_track,Options:GeneOnly]&amp;mk=3558443:3558462|offset_7|444444,3558423:3558442|offset_27|444444,3558402:3558421|offset_48|444444,3558382:3558401|offset_68|00cc00&amp;v=3558242:3558601&amp;c=444444", "offset 68")</f>
        <v>offset 68</v>
      </c>
    </row>
    <row r="11294" customFormat="false" ht="12.8" hidden="false" customHeight="false" outlineLevel="0" collapsed="false">
      <c r="A11294" s="0" t="s">
        <v>12</v>
      </c>
      <c r="B11294" s="0" t="n">
        <v>3562632</v>
      </c>
      <c r="C11294" s="0" t="n">
        <v>3562652</v>
      </c>
      <c r="D11294" s="0" t="s">
        <v>37493</v>
      </c>
      <c r="E11294" s="0" t="s">
        <v>75</v>
      </c>
      <c r="F11294" s="0" t="s">
        <v>90</v>
      </c>
      <c r="G11294" s="0" t="s">
        <v>36</v>
      </c>
      <c r="H11294" s="0" t="n">
        <v>17</v>
      </c>
      <c r="I11294" s="0" t="s">
        <v>37494</v>
      </c>
      <c r="J11294" s="0" t="s">
        <v>37495</v>
      </c>
      <c r="K11294" s="0" t="s">
        <v>37496</v>
      </c>
      <c r="L11294" s="0" t="str">
        <f aca="false">HYPERLINK("https://www.ncbi.nlm.nih.gov/nuccore/CP000058.1?report=graph&amp;tracks=[key:gene_model_track,Options:GeneOnly]&amp;mk=3562633:3562652|offset_17|00cc00,3562607:3562626|offset_43|444444,3562573:3562592|offset_77|444444,3562550:3562569|offset_100|444444&amp;v=3562432:3562769&amp;c=444444", "offset 17")</f>
        <v>offset 17</v>
      </c>
    </row>
    <row r="11295" customFormat="false" ht="12.8" hidden="false" customHeight="false" outlineLevel="0" collapsed="false">
      <c r="A11295" s="0" t="s">
        <v>12</v>
      </c>
      <c r="B11295" s="0" t="n">
        <v>3562606</v>
      </c>
      <c r="C11295" s="0" t="n">
        <v>3562626</v>
      </c>
      <c r="D11295" s="0" t="s">
        <v>37493</v>
      </c>
      <c r="E11295" s="0" t="s">
        <v>75</v>
      </c>
      <c r="F11295" s="0" t="s">
        <v>90</v>
      </c>
      <c r="G11295" s="0" t="s">
        <v>36</v>
      </c>
      <c r="H11295" s="0" t="n">
        <v>43</v>
      </c>
      <c r="I11295" s="0" t="s">
        <v>37497</v>
      </c>
      <c r="J11295" s="0" t="s">
        <v>37498</v>
      </c>
      <c r="K11295" s="0" t="s">
        <v>37499</v>
      </c>
      <c r="L11295" s="0" t="str">
        <f aca="false">HYPERLINK("https://www.ncbi.nlm.nih.gov/nuccore/CP000058.1?report=graph&amp;tracks=[key:gene_model_track,Options:GeneOnly]&amp;mk=3562633:3562652|offset_17|444444,3562607:3562626|offset_43|00cc00,3562573:3562592|offset_77|444444,3562550:3562569|offset_100|444444&amp;v=3562432:3562769&amp;c=444444", "offset 43")</f>
        <v>offset 43</v>
      </c>
    </row>
    <row r="11296" customFormat="false" ht="12.8" hidden="false" customHeight="false" outlineLevel="0" collapsed="false">
      <c r="A11296" s="0" t="s">
        <v>12</v>
      </c>
      <c r="B11296" s="0" t="n">
        <v>3562572</v>
      </c>
      <c r="C11296" s="0" t="n">
        <v>3562592</v>
      </c>
      <c r="D11296" s="0" t="s">
        <v>37493</v>
      </c>
      <c r="E11296" s="0" t="s">
        <v>75</v>
      </c>
      <c r="F11296" s="0" t="s">
        <v>90</v>
      </c>
      <c r="G11296" s="0" t="s">
        <v>16</v>
      </c>
      <c r="H11296" s="0" t="n">
        <v>77</v>
      </c>
      <c r="I11296" s="0" t="s">
        <v>37500</v>
      </c>
      <c r="J11296" s="0" t="s">
        <v>37501</v>
      </c>
      <c r="K11296" s="0" t="s">
        <v>37502</v>
      </c>
      <c r="L11296" s="0" t="str">
        <f aca="false">HYPERLINK("https://www.ncbi.nlm.nih.gov/nuccore/CP000058.1?report=graph&amp;tracks=[key:gene_model_track,Options:GeneOnly]&amp;mk=3562633:3562652|offset_17|444444,3562607:3562626|offset_43|444444,3562573:3562592|offset_77|00cc00,3562550:3562569|offset_100|444444&amp;v=3562432:3562769&amp;c=444444", "offset 77")</f>
        <v>offset 77</v>
      </c>
    </row>
    <row r="11297" customFormat="false" ht="12.8" hidden="false" customHeight="false" outlineLevel="0" collapsed="false">
      <c r="A11297" s="0" t="s">
        <v>12</v>
      </c>
      <c r="B11297" s="0" t="n">
        <v>3562549</v>
      </c>
      <c r="C11297" s="0" t="n">
        <v>3562569</v>
      </c>
      <c r="D11297" s="0" t="s">
        <v>37493</v>
      </c>
      <c r="E11297" s="0" t="s">
        <v>75</v>
      </c>
      <c r="F11297" s="0" t="s">
        <v>90</v>
      </c>
      <c r="G11297" s="0" t="s">
        <v>20</v>
      </c>
      <c r="H11297" s="0" t="n">
        <v>100</v>
      </c>
      <c r="I11297" s="0" t="s">
        <v>37503</v>
      </c>
      <c r="J11297" s="0" t="s">
        <v>37504</v>
      </c>
      <c r="K11297" s="0" t="s">
        <v>37505</v>
      </c>
      <c r="L11297" s="0" t="str">
        <f aca="false">HYPERLINK("https://www.ncbi.nlm.nih.gov/nuccore/CP000058.1?report=graph&amp;tracks=[key:gene_model_track,Options:GeneOnly]&amp;mk=3562633:3562652|offset_17|444444,3562607:3562626|offset_43|444444,3562573:3562592|offset_77|444444,3562550:3562569|offset_100|00cc00&amp;v=3562432:3562769&amp;c=444444", "offset 100")</f>
        <v>offset 100</v>
      </c>
    </row>
    <row r="11298" customFormat="false" ht="12.8" hidden="false" customHeight="false" outlineLevel="0" collapsed="false">
      <c r="A11298" s="0" t="s">
        <v>12</v>
      </c>
      <c r="B11298" s="0" t="n">
        <v>3563886</v>
      </c>
      <c r="C11298" s="0" t="n">
        <v>3563906</v>
      </c>
      <c r="D11298" s="0" t="s">
        <v>37506</v>
      </c>
      <c r="E11298" s="0" t="s">
        <v>75</v>
      </c>
      <c r="F11298" s="0" t="s">
        <v>90</v>
      </c>
      <c r="G11298" s="0" t="s">
        <v>16</v>
      </c>
      <c r="H11298" s="0" t="n">
        <v>8</v>
      </c>
      <c r="I11298" s="0" t="s">
        <v>37507</v>
      </c>
      <c r="J11298" s="0" t="s">
        <v>37508</v>
      </c>
      <c r="K11298" s="0" t="s">
        <v>37509</v>
      </c>
      <c r="L11298" s="0" t="str">
        <f aca="false">HYPERLINK("https://www.ncbi.nlm.nih.gov/nuccore/CP000058.1?report=graph&amp;tracks=[key:gene_model_track,Options:GeneOnly]&amp;mk=3563887:3563906|offset_8|00cc00,3563808:3563827|offset_87|444444,3563783:3563802|offset_112|444444,3563761:3563780|offset_134|444444&amp;v=3563686:3563980&amp;c=444444", "offset 8")</f>
        <v>offset 8</v>
      </c>
    </row>
    <row r="11299" customFormat="false" ht="12.8" hidden="false" customHeight="false" outlineLevel="0" collapsed="false">
      <c r="A11299" s="0" t="s">
        <v>12</v>
      </c>
      <c r="B11299" s="0" t="n">
        <v>3563807</v>
      </c>
      <c r="C11299" s="0" t="n">
        <v>3563827</v>
      </c>
      <c r="D11299" s="0" t="s">
        <v>37506</v>
      </c>
      <c r="E11299" s="0" t="s">
        <v>75</v>
      </c>
      <c r="F11299" s="0" t="s">
        <v>90</v>
      </c>
      <c r="G11299" s="0" t="s">
        <v>16</v>
      </c>
      <c r="H11299" s="0" t="n">
        <v>87</v>
      </c>
      <c r="I11299" s="0" t="s">
        <v>37510</v>
      </c>
      <c r="J11299" s="0" t="s">
        <v>37511</v>
      </c>
      <c r="K11299" s="0" t="s">
        <v>37512</v>
      </c>
      <c r="L11299" s="0" t="str">
        <f aca="false">HYPERLINK("https://www.ncbi.nlm.nih.gov/nuccore/CP000058.1?report=graph&amp;tracks=[key:gene_model_track,Options:GeneOnly]&amp;mk=3563887:3563906|offset_8|444444,3563808:3563827|offset_87|00cc00,3563783:3563802|offset_112|444444,3563761:3563780|offset_134|444444&amp;v=3563686:3563980&amp;c=444444", "offset 87")</f>
        <v>offset 87</v>
      </c>
    </row>
    <row r="11300" customFormat="false" ht="12.8" hidden="false" customHeight="false" outlineLevel="0" collapsed="false">
      <c r="A11300" s="0" t="s">
        <v>12</v>
      </c>
      <c r="B11300" s="0" t="n">
        <v>3563782</v>
      </c>
      <c r="C11300" s="0" t="n">
        <v>3563802</v>
      </c>
      <c r="D11300" s="0" t="s">
        <v>37506</v>
      </c>
      <c r="E11300" s="0" t="s">
        <v>75</v>
      </c>
      <c r="F11300" s="0" t="s">
        <v>90</v>
      </c>
      <c r="G11300" s="0" t="s">
        <v>16</v>
      </c>
      <c r="H11300" s="0" t="n">
        <v>112</v>
      </c>
      <c r="I11300" s="0" t="s">
        <v>37513</v>
      </c>
      <c r="J11300" s="0" t="s">
        <v>37514</v>
      </c>
      <c r="K11300" s="0" t="s">
        <v>37515</v>
      </c>
      <c r="L11300" s="0" t="str">
        <f aca="false">HYPERLINK("https://www.ncbi.nlm.nih.gov/nuccore/CP000058.1?report=graph&amp;tracks=[key:gene_model_track,Options:GeneOnly]&amp;mk=3563887:3563906|offset_8|444444,3563808:3563827|offset_87|444444,3563783:3563802|offset_112|00cc00,3563761:3563780|offset_134|444444&amp;v=3563686:3563980&amp;c=444444", "offset 112")</f>
        <v>offset 112</v>
      </c>
    </row>
    <row r="11301" customFormat="false" ht="12.8" hidden="false" customHeight="false" outlineLevel="0" collapsed="false">
      <c r="A11301" s="0" t="s">
        <v>12</v>
      </c>
      <c r="B11301" s="0" t="n">
        <v>3563760</v>
      </c>
      <c r="C11301" s="0" t="n">
        <v>3563780</v>
      </c>
      <c r="D11301" s="0" t="s">
        <v>37506</v>
      </c>
      <c r="E11301" s="0" t="s">
        <v>75</v>
      </c>
      <c r="F11301" s="0" t="s">
        <v>90</v>
      </c>
      <c r="G11301" s="0" t="s">
        <v>32</v>
      </c>
      <c r="H11301" s="0" t="n">
        <v>134</v>
      </c>
      <c r="I11301" s="0" t="s">
        <v>37516</v>
      </c>
      <c r="J11301" s="0" t="s">
        <v>37517</v>
      </c>
      <c r="K11301" s="0" t="s">
        <v>37518</v>
      </c>
      <c r="L11301" s="0" t="str">
        <f aca="false">HYPERLINK("https://www.ncbi.nlm.nih.gov/nuccore/CP000058.1?report=graph&amp;tracks=[key:gene_model_track,Options:GeneOnly]&amp;mk=3563887:3563906|offset_8|444444,3563808:3563827|offset_87|444444,3563783:3563802|offset_112|444444,3563761:3563780|offset_134|00cc00&amp;v=3563686:3563980&amp;c=444444", "offset 134")</f>
        <v>offset 134</v>
      </c>
    </row>
    <row r="11302" customFormat="false" ht="12.8" hidden="false" customHeight="false" outlineLevel="0" collapsed="false">
      <c r="A11302" s="0" t="s">
        <v>12</v>
      </c>
      <c r="B11302" s="0" t="n">
        <v>3564432</v>
      </c>
      <c r="C11302" s="0" t="n">
        <v>3564452</v>
      </c>
      <c r="D11302" s="0" t="s">
        <v>37519</v>
      </c>
      <c r="E11302" s="0" t="s">
        <v>75</v>
      </c>
      <c r="F11302" s="0" t="s">
        <v>90</v>
      </c>
      <c r="G11302" s="0" t="s">
        <v>36</v>
      </c>
      <c r="H11302" s="0" t="n">
        <v>7</v>
      </c>
      <c r="I11302" s="0" t="s">
        <v>37520</v>
      </c>
      <c r="J11302" s="0" t="s">
        <v>37521</v>
      </c>
      <c r="K11302" s="0" t="s">
        <v>37522</v>
      </c>
      <c r="L11302" s="0" t="str">
        <f aca="false">HYPERLINK("https://www.ncbi.nlm.nih.gov/nuccore/CP000058.1?report=graph&amp;tracks=[key:gene_model_track,Options:GeneOnly]&amp;mk=3564433:3564452|offset_7|00cc00,3564392:3564411|offset_48|444444,3564370:3564389|offset_70|444444,3564346:3564365|offset_94|444444&amp;v=3564232:3564565&amp;c=444444", "offset 7")</f>
        <v>offset 7</v>
      </c>
    </row>
    <row r="11303" customFormat="false" ht="12.8" hidden="false" customHeight="false" outlineLevel="0" collapsed="false">
      <c r="A11303" s="0" t="s">
        <v>12</v>
      </c>
      <c r="B11303" s="0" t="n">
        <v>3564391</v>
      </c>
      <c r="C11303" s="0" t="n">
        <v>3564411</v>
      </c>
      <c r="D11303" s="0" t="s">
        <v>37519</v>
      </c>
      <c r="E11303" s="0" t="s">
        <v>75</v>
      </c>
      <c r="F11303" s="0" t="s">
        <v>90</v>
      </c>
      <c r="G11303" s="0" t="s">
        <v>20</v>
      </c>
      <c r="H11303" s="0" t="n">
        <v>48</v>
      </c>
      <c r="I11303" s="0" t="s">
        <v>37523</v>
      </c>
      <c r="J11303" s="0" t="s">
        <v>37524</v>
      </c>
      <c r="K11303" s="0" t="s">
        <v>37525</v>
      </c>
      <c r="L11303" s="0" t="str">
        <f aca="false">HYPERLINK("https://www.ncbi.nlm.nih.gov/nuccore/CP000058.1?report=graph&amp;tracks=[key:gene_model_track,Options:GeneOnly]&amp;mk=3564433:3564452|offset_7|444444,3564392:3564411|offset_48|00cc00,3564370:3564389|offset_70|444444,3564346:3564365|offset_94|444444&amp;v=3564232:3564565&amp;c=444444", "offset 48")</f>
        <v>offset 48</v>
      </c>
    </row>
    <row r="11304" customFormat="false" ht="12.8" hidden="false" customHeight="false" outlineLevel="0" collapsed="false">
      <c r="A11304" s="0" t="s">
        <v>12</v>
      </c>
      <c r="B11304" s="0" t="n">
        <v>3564369</v>
      </c>
      <c r="C11304" s="0" t="n">
        <v>3564389</v>
      </c>
      <c r="D11304" s="0" t="s">
        <v>37519</v>
      </c>
      <c r="E11304" s="0" t="s">
        <v>75</v>
      </c>
      <c r="F11304" s="0" t="s">
        <v>90</v>
      </c>
      <c r="G11304" s="0" t="s">
        <v>16</v>
      </c>
      <c r="H11304" s="0" t="n">
        <v>70</v>
      </c>
      <c r="I11304" s="0" t="s">
        <v>37526</v>
      </c>
      <c r="J11304" s="0" t="s">
        <v>37527</v>
      </c>
      <c r="K11304" s="0" t="s">
        <v>37528</v>
      </c>
      <c r="L11304" s="0" t="str">
        <f aca="false">HYPERLINK("https://www.ncbi.nlm.nih.gov/nuccore/CP000058.1?report=graph&amp;tracks=[key:gene_model_track,Options:GeneOnly]&amp;mk=3564433:3564452|offset_7|444444,3564392:3564411|offset_48|444444,3564370:3564389|offset_70|00cc00,3564346:3564365|offset_94|444444&amp;v=3564232:3564565&amp;c=444444", "offset 70")</f>
        <v>offset 70</v>
      </c>
    </row>
    <row r="11305" customFormat="false" ht="12.8" hidden="false" customHeight="false" outlineLevel="0" collapsed="false">
      <c r="A11305" s="0" t="s">
        <v>12</v>
      </c>
      <c r="B11305" s="0" t="n">
        <v>3564345</v>
      </c>
      <c r="C11305" s="0" t="n">
        <v>3564365</v>
      </c>
      <c r="D11305" s="0" t="s">
        <v>37519</v>
      </c>
      <c r="E11305" s="0" t="s">
        <v>75</v>
      </c>
      <c r="F11305" s="0" t="s">
        <v>90</v>
      </c>
      <c r="G11305" s="0" t="s">
        <v>32</v>
      </c>
      <c r="H11305" s="0" t="n">
        <v>94</v>
      </c>
      <c r="I11305" s="0" t="s">
        <v>37529</v>
      </c>
      <c r="J11305" s="0" t="s">
        <v>37530</v>
      </c>
      <c r="K11305" s="0" t="s">
        <v>37531</v>
      </c>
      <c r="L11305" s="0" t="str">
        <f aca="false">HYPERLINK("https://www.ncbi.nlm.nih.gov/nuccore/CP000058.1?report=graph&amp;tracks=[key:gene_model_track,Options:GeneOnly]&amp;mk=3564433:3564452|offset_7|444444,3564392:3564411|offset_48|444444,3564370:3564389|offset_70|444444,3564346:3564365|offset_94|00cc00&amp;v=3564232:3564565&amp;c=444444", "offset 94")</f>
        <v>offset 94</v>
      </c>
    </row>
    <row r="11306" customFormat="false" ht="12.8" hidden="false" customHeight="false" outlineLevel="0" collapsed="false">
      <c r="A11306" s="0" t="s">
        <v>12</v>
      </c>
      <c r="B11306" s="0" t="n">
        <v>3565738</v>
      </c>
      <c r="C11306" s="0" t="n">
        <v>3565758</v>
      </c>
      <c r="D11306" s="0" t="s">
        <v>37532</v>
      </c>
      <c r="E11306" s="0" t="s">
        <v>75</v>
      </c>
      <c r="F11306" s="0" t="s">
        <v>15</v>
      </c>
      <c r="G11306" s="0" t="s">
        <v>16</v>
      </c>
      <c r="H11306" s="0" t="n">
        <v>0</v>
      </c>
      <c r="I11306" s="0" t="s">
        <v>37533</v>
      </c>
      <c r="J11306" s="0" t="s">
        <v>37534</v>
      </c>
      <c r="K11306" s="0" t="s">
        <v>37535</v>
      </c>
      <c r="L11306" s="0" t="str">
        <f aca="false">HYPERLINK("https://www.ncbi.nlm.nih.gov/nuccore/CP000058.1?report=graph&amp;tracks=[key:gene_model_track,Options:GeneOnly]&amp;mk=3565739:3565758|offset_0|00cc00,3565759:3565778|offset_20|444444,3565795:3565814|offset_56|444444,3565821:3565840|offset_82|444444&amp;v=3565538:3566040&amp;c=444444", "offset 0")</f>
        <v>offset 0</v>
      </c>
    </row>
    <row r="11307" customFormat="false" ht="12.8" hidden="false" customHeight="false" outlineLevel="0" collapsed="false">
      <c r="A11307" s="0" t="s">
        <v>12</v>
      </c>
      <c r="B11307" s="0" t="n">
        <v>3565758</v>
      </c>
      <c r="C11307" s="0" t="n">
        <v>3565778</v>
      </c>
      <c r="D11307" s="0" t="s">
        <v>37532</v>
      </c>
      <c r="E11307" s="0" t="s">
        <v>75</v>
      </c>
      <c r="F11307" s="0" t="s">
        <v>15</v>
      </c>
      <c r="G11307" s="0" t="s">
        <v>32</v>
      </c>
      <c r="H11307" s="0" t="n">
        <v>20</v>
      </c>
      <c r="I11307" s="0" t="s">
        <v>37536</v>
      </c>
      <c r="J11307" s="0" t="s">
        <v>37537</v>
      </c>
      <c r="K11307" s="0" t="s">
        <v>37538</v>
      </c>
      <c r="L11307" s="0" t="str">
        <f aca="false">HYPERLINK("https://www.ncbi.nlm.nih.gov/nuccore/CP000058.1?report=graph&amp;tracks=[key:gene_model_track,Options:GeneOnly]&amp;mk=3565739:3565758|offset_0|444444,3565759:3565778|offset_20|00cc00,3565795:3565814|offset_56|444444,3565821:3565840|offset_82|444444&amp;v=3565538:3566040&amp;c=444444", "offset 20")</f>
        <v>offset 20</v>
      </c>
    </row>
    <row r="11308" customFormat="false" ht="12.8" hidden="false" customHeight="false" outlineLevel="0" collapsed="false">
      <c r="A11308" s="0" t="s">
        <v>12</v>
      </c>
      <c r="B11308" s="0" t="n">
        <v>3565794</v>
      </c>
      <c r="C11308" s="0" t="n">
        <v>3565814</v>
      </c>
      <c r="D11308" s="0" t="s">
        <v>37532</v>
      </c>
      <c r="E11308" s="0" t="s">
        <v>75</v>
      </c>
      <c r="F11308" s="0" t="s">
        <v>15</v>
      </c>
      <c r="G11308" s="0" t="s">
        <v>32</v>
      </c>
      <c r="H11308" s="0" t="n">
        <v>56</v>
      </c>
      <c r="I11308" s="0" t="s">
        <v>37539</v>
      </c>
      <c r="J11308" s="0" t="s">
        <v>37540</v>
      </c>
      <c r="K11308" s="0" t="s">
        <v>37541</v>
      </c>
      <c r="L11308" s="0" t="str">
        <f aca="false">HYPERLINK("https://www.ncbi.nlm.nih.gov/nuccore/CP000058.1?report=graph&amp;tracks=[key:gene_model_track,Options:GeneOnly]&amp;mk=3565739:3565758|offset_0|444444,3565759:3565778|offset_20|444444,3565795:3565814|offset_56|00cc00,3565821:3565840|offset_82|444444&amp;v=3565538:3566040&amp;c=444444", "offset 56")</f>
        <v>offset 56</v>
      </c>
    </row>
    <row r="11309" customFormat="false" ht="12.8" hidden="false" customHeight="false" outlineLevel="0" collapsed="false">
      <c r="A11309" s="0" t="s">
        <v>12</v>
      </c>
      <c r="B11309" s="0" t="n">
        <v>3565820</v>
      </c>
      <c r="C11309" s="0" t="n">
        <v>3565840</v>
      </c>
      <c r="D11309" s="0" t="s">
        <v>37532</v>
      </c>
      <c r="E11309" s="0" t="s">
        <v>75</v>
      </c>
      <c r="F11309" s="0" t="s">
        <v>15</v>
      </c>
      <c r="G11309" s="0" t="s">
        <v>32</v>
      </c>
      <c r="H11309" s="0" t="n">
        <v>82</v>
      </c>
      <c r="I11309" s="0" t="s">
        <v>37542</v>
      </c>
      <c r="J11309" s="0" t="s">
        <v>37543</v>
      </c>
      <c r="K11309" s="0" t="s">
        <v>37544</v>
      </c>
      <c r="L11309" s="0" t="str">
        <f aca="false">HYPERLINK("https://www.ncbi.nlm.nih.gov/nuccore/CP000058.1?report=graph&amp;tracks=[key:gene_model_track,Options:GeneOnly]&amp;mk=3565739:3565758|offset_0|444444,3565759:3565778|offset_20|444444,3565795:3565814|offset_56|444444,3565821:3565840|offset_82|00cc00&amp;v=3565538:3566040&amp;c=444444", "offset 82")</f>
        <v>offset 82</v>
      </c>
    </row>
    <row r="11310" customFormat="false" ht="12.8" hidden="false" customHeight="false" outlineLevel="0" collapsed="false">
      <c r="A11310" s="0" t="s">
        <v>12</v>
      </c>
      <c r="B11310" s="0" t="n">
        <v>3567779</v>
      </c>
      <c r="C11310" s="0" t="n">
        <v>3567799</v>
      </c>
      <c r="D11310" s="0" t="s">
        <v>37545</v>
      </c>
      <c r="E11310" s="0" t="s">
        <v>75</v>
      </c>
      <c r="F11310" s="0" t="s">
        <v>15</v>
      </c>
      <c r="G11310" s="0" t="s">
        <v>16</v>
      </c>
      <c r="H11310" s="0" t="n">
        <v>25</v>
      </c>
      <c r="I11310" s="0" t="s">
        <v>37546</v>
      </c>
      <c r="J11310" s="0" t="s">
        <v>37547</v>
      </c>
      <c r="K11310" s="0" t="s">
        <v>37548</v>
      </c>
      <c r="L11310" s="0" t="str">
        <f aca="false">HYPERLINK("https://www.ncbi.nlm.nih.gov/nuccore/CP000058.1?report=graph&amp;tracks=[key:gene_model_track,Options:GeneOnly]&amp;mk=3567780:3567799|offset_25|00cc00,3567810:3567829|offset_55|444444,3567867:3567886|offset_112|444444,3567888:3567907|offset_133|444444&amp;v=3567579:3568107&amp;c=444444", "offset 25")</f>
        <v>offset 25</v>
      </c>
    </row>
    <row r="11311" customFormat="false" ht="12.8" hidden="false" customHeight="false" outlineLevel="0" collapsed="false">
      <c r="A11311" s="0" t="s">
        <v>12</v>
      </c>
      <c r="B11311" s="0" t="n">
        <v>3567809</v>
      </c>
      <c r="C11311" s="0" t="n">
        <v>3567829</v>
      </c>
      <c r="D11311" s="0" t="s">
        <v>37545</v>
      </c>
      <c r="E11311" s="0" t="s">
        <v>75</v>
      </c>
      <c r="F11311" s="0" t="s">
        <v>15</v>
      </c>
      <c r="G11311" s="0" t="s">
        <v>32</v>
      </c>
      <c r="H11311" s="0" t="n">
        <v>55</v>
      </c>
      <c r="I11311" s="0" t="s">
        <v>37549</v>
      </c>
      <c r="J11311" s="0" t="s">
        <v>37550</v>
      </c>
      <c r="K11311" s="0" t="s">
        <v>37551</v>
      </c>
      <c r="L11311" s="0" t="str">
        <f aca="false">HYPERLINK("https://www.ncbi.nlm.nih.gov/nuccore/CP000058.1?report=graph&amp;tracks=[key:gene_model_track,Options:GeneOnly]&amp;mk=3567780:3567799|offset_25|444444,3567810:3567829|offset_55|00cc00,3567867:3567886|offset_112|444444,3567888:3567907|offset_133|444444&amp;v=3567579:3568107&amp;c=444444", "offset 55")</f>
        <v>offset 55</v>
      </c>
    </row>
    <row r="11312" customFormat="false" ht="12.8" hidden="false" customHeight="false" outlineLevel="0" collapsed="false">
      <c r="A11312" s="0" t="s">
        <v>12</v>
      </c>
      <c r="B11312" s="0" t="n">
        <v>3567866</v>
      </c>
      <c r="C11312" s="0" t="n">
        <v>3567886</v>
      </c>
      <c r="D11312" s="0" t="s">
        <v>37545</v>
      </c>
      <c r="E11312" s="0" t="s">
        <v>75</v>
      </c>
      <c r="F11312" s="0" t="s">
        <v>15</v>
      </c>
      <c r="G11312" s="0" t="s">
        <v>36</v>
      </c>
      <c r="H11312" s="0" t="n">
        <v>112</v>
      </c>
      <c r="I11312" s="0" t="s">
        <v>37552</v>
      </c>
      <c r="J11312" s="0" t="s">
        <v>37553</v>
      </c>
      <c r="K11312" s="0" t="s">
        <v>37554</v>
      </c>
      <c r="L11312" s="0" t="str">
        <f aca="false">HYPERLINK("https://www.ncbi.nlm.nih.gov/nuccore/CP000058.1?report=graph&amp;tracks=[key:gene_model_track,Options:GeneOnly]&amp;mk=3567780:3567799|offset_25|444444,3567810:3567829|offset_55|444444,3567867:3567886|offset_112|00cc00,3567888:3567907|offset_133|444444&amp;v=3567579:3568107&amp;c=444444", "offset 112")</f>
        <v>offset 112</v>
      </c>
    </row>
    <row r="11313" customFormat="false" ht="12.8" hidden="false" customHeight="false" outlineLevel="0" collapsed="false">
      <c r="A11313" s="0" t="s">
        <v>12</v>
      </c>
      <c r="B11313" s="0" t="n">
        <v>3567887</v>
      </c>
      <c r="C11313" s="0" t="n">
        <v>3567907</v>
      </c>
      <c r="D11313" s="0" t="s">
        <v>37545</v>
      </c>
      <c r="E11313" s="0" t="s">
        <v>75</v>
      </c>
      <c r="F11313" s="0" t="s">
        <v>15</v>
      </c>
      <c r="G11313" s="0" t="s">
        <v>32</v>
      </c>
      <c r="H11313" s="0" t="n">
        <v>133</v>
      </c>
      <c r="I11313" s="0" t="s">
        <v>37555</v>
      </c>
      <c r="J11313" s="0" t="s">
        <v>37556</v>
      </c>
      <c r="K11313" s="0" t="s">
        <v>37557</v>
      </c>
      <c r="L11313" s="0" t="str">
        <f aca="false">HYPERLINK("https://www.ncbi.nlm.nih.gov/nuccore/CP000058.1?report=graph&amp;tracks=[key:gene_model_track,Options:GeneOnly]&amp;mk=3567780:3567799|offset_25|444444,3567810:3567829|offset_55|444444,3567867:3567886|offset_112|444444,3567888:3567907|offset_133|00cc00&amp;v=3567579:3568107&amp;c=444444", "offset 133")</f>
        <v>offset 133</v>
      </c>
    </row>
    <row r="11314" customFormat="false" ht="12.8" hidden="false" customHeight="false" outlineLevel="0" collapsed="false">
      <c r="A11314" s="0" t="s">
        <v>12</v>
      </c>
      <c r="B11314" s="0" t="n">
        <v>3570255</v>
      </c>
      <c r="C11314" s="0" t="n">
        <v>3570275</v>
      </c>
      <c r="D11314" s="0" t="s">
        <v>37558</v>
      </c>
      <c r="E11314" s="0" t="s">
        <v>37559</v>
      </c>
      <c r="F11314" s="0" t="s">
        <v>90</v>
      </c>
      <c r="G11314" s="0" t="s">
        <v>36</v>
      </c>
      <c r="H11314" s="0" t="n">
        <v>15</v>
      </c>
      <c r="I11314" s="0" t="s">
        <v>37560</v>
      </c>
      <c r="J11314" s="0" t="s">
        <v>37561</v>
      </c>
      <c r="K11314" s="0" t="s">
        <v>37562</v>
      </c>
      <c r="L11314" s="0" t="str">
        <f aca="false">HYPERLINK("https://www.ncbi.nlm.nih.gov/nuccore/CP000058.1?report=graph&amp;tracks=[key:gene_model_track,Options:GeneOnly]&amp;mk=3570256:3570275|offset_15|00cc00,3570231:3570250|offset_40|444444,3570191:3570210|offset_80|444444,3570155:3570174|offset_116|444444&amp;v=3570055:3570374&amp;c=444444", "offset 15")</f>
        <v>offset 15</v>
      </c>
    </row>
    <row r="11315" customFormat="false" ht="12.8" hidden="false" customHeight="false" outlineLevel="0" collapsed="false">
      <c r="A11315" s="0" t="s">
        <v>12</v>
      </c>
      <c r="B11315" s="0" t="n">
        <v>3570230</v>
      </c>
      <c r="C11315" s="0" t="n">
        <v>3570250</v>
      </c>
      <c r="D11315" s="0" t="s">
        <v>37558</v>
      </c>
      <c r="E11315" s="0" t="s">
        <v>37559</v>
      </c>
      <c r="F11315" s="0" t="s">
        <v>90</v>
      </c>
      <c r="G11315" s="0" t="s">
        <v>32</v>
      </c>
      <c r="H11315" s="0" t="n">
        <v>40</v>
      </c>
      <c r="I11315" s="0" t="s">
        <v>37563</v>
      </c>
      <c r="J11315" s="0" t="s">
        <v>37564</v>
      </c>
      <c r="K11315" s="0" t="s">
        <v>37565</v>
      </c>
      <c r="L11315" s="0" t="str">
        <f aca="false">HYPERLINK("https://www.ncbi.nlm.nih.gov/nuccore/CP000058.1?report=graph&amp;tracks=[key:gene_model_track,Options:GeneOnly]&amp;mk=3570256:3570275|offset_15|444444,3570231:3570250|offset_40|00cc00,3570191:3570210|offset_80|444444,3570155:3570174|offset_116|444444&amp;v=3570055:3570374&amp;c=444444", "offset 40")</f>
        <v>offset 40</v>
      </c>
    </row>
    <row r="11316" customFormat="false" ht="12.8" hidden="false" customHeight="false" outlineLevel="0" collapsed="false">
      <c r="A11316" s="0" t="s">
        <v>12</v>
      </c>
      <c r="B11316" s="0" t="n">
        <v>3570190</v>
      </c>
      <c r="C11316" s="0" t="n">
        <v>3570210</v>
      </c>
      <c r="D11316" s="0" t="s">
        <v>37558</v>
      </c>
      <c r="E11316" s="0" t="s">
        <v>37559</v>
      </c>
      <c r="F11316" s="0" t="s">
        <v>90</v>
      </c>
      <c r="G11316" s="0" t="s">
        <v>36</v>
      </c>
      <c r="H11316" s="0" t="n">
        <v>80</v>
      </c>
      <c r="I11316" s="0" t="s">
        <v>37566</v>
      </c>
      <c r="J11316" s="0" t="s">
        <v>37567</v>
      </c>
      <c r="K11316" s="0" t="s">
        <v>37568</v>
      </c>
      <c r="L11316" s="0" t="str">
        <f aca="false">HYPERLINK("https://www.ncbi.nlm.nih.gov/nuccore/CP000058.1?report=graph&amp;tracks=[key:gene_model_track,Options:GeneOnly]&amp;mk=3570256:3570275|offset_15|444444,3570231:3570250|offset_40|444444,3570191:3570210|offset_80|00cc00,3570155:3570174|offset_116|444444&amp;v=3570055:3570374&amp;c=444444", "offset 80")</f>
        <v>offset 80</v>
      </c>
    </row>
    <row r="11317" customFormat="false" ht="12.8" hidden="false" customHeight="false" outlineLevel="0" collapsed="false">
      <c r="A11317" s="0" t="s">
        <v>12</v>
      </c>
      <c r="B11317" s="0" t="n">
        <v>3570154</v>
      </c>
      <c r="C11317" s="0" t="n">
        <v>3570174</v>
      </c>
      <c r="D11317" s="0" t="s">
        <v>37558</v>
      </c>
      <c r="E11317" s="0" t="s">
        <v>37559</v>
      </c>
      <c r="F11317" s="0" t="s">
        <v>90</v>
      </c>
      <c r="G11317" s="0" t="s">
        <v>36</v>
      </c>
      <c r="H11317" s="0" t="n">
        <v>116</v>
      </c>
      <c r="I11317" s="0" t="s">
        <v>37569</v>
      </c>
      <c r="J11317" s="0" t="s">
        <v>37570</v>
      </c>
      <c r="K11317" s="0" t="s">
        <v>37571</v>
      </c>
      <c r="L11317" s="0" t="str">
        <f aca="false">HYPERLINK("https://www.ncbi.nlm.nih.gov/nuccore/CP000058.1?report=graph&amp;tracks=[key:gene_model_track,Options:GeneOnly]&amp;mk=3570256:3570275|offset_15|444444,3570231:3570250|offset_40|444444,3570191:3570210|offset_80|444444,3570155:3570174|offset_116|00cc00&amp;v=3570055:3570374&amp;c=444444", "offset 116")</f>
        <v>offset 116</v>
      </c>
    </row>
    <row r="11318" customFormat="false" ht="12.8" hidden="false" customHeight="false" outlineLevel="0" collapsed="false">
      <c r="A11318" s="0" t="s">
        <v>12</v>
      </c>
      <c r="B11318" s="0" t="n">
        <v>3571488</v>
      </c>
      <c r="C11318" s="0" t="n">
        <v>3571508</v>
      </c>
      <c r="D11318" s="0" t="s">
        <v>37572</v>
      </c>
      <c r="E11318" s="0" t="s">
        <v>37573</v>
      </c>
      <c r="F11318" s="0" t="s">
        <v>90</v>
      </c>
      <c r="G11318" s="0" t="s">
        <v>32</v>
      </c>
      <c r="H11318" s="0" t="n">
        <v>70</v>
      </c>
      <c r="I11318" s="0" t="s">
        <v>37574</v>
      </c>
      <c r="J11318" s="0" t="s">
        <v>37575</v>
      </c>
      <c r="K11318" s="0" t="s">
        <v>37576</v>
      </c>
      <c r="L11318" s="0" t="str">
        <f aca="false">HYPERLINK("https://www.ncbi.nlm.nih.gov/nuccore/CP000058.1?report=graph&amp;tracks=[key:gene_model_track,Options:GeneOnly]&amp;mk=3571489:3571508|offset_70|00cc00,3571459:3571478|offset_100|444444,3571420:3571439|offset_139|444444,3571368:3571387|offset_191|444444&amp;v=3571288:3571587&amp;c=444444", "offset 70")</f>
        <v>offset 70</v>
      </c>
    </row>
    <row r="11319" customFormat="false" ht="12.8" hidden="false" customHeight="false" outlineLevel="0" collapsed="false">
      <c r="A11319" s="0" t="s">
        <v>12</v>
      </c>
      <c r="B11319" s="0" t="n">
        <v>3571458</v>
      </c>
      <c r="C11319" s="0" t="n">
        <v>3571478</v>
      </c>
      <c r="D11319" s="0" t="s">
        <v>37572</v>
      </c>
      <c r="E11319" s="0" t="s">
        <v>37573</v>
      </c>
      <c r="F11319" s="0" t="s">
        <v>90</v>
      </c>
      <c r="G11319" s="0" t="s">
        <v>16</v>
      </c>
      <c r="H11319" s="0" t="n">
        <v>100</v>
      </c>
      <c r="I11319" s="0" t="s">
        <v>37577</v>
      </c>
      <c r="J11319" s="0" t="s">
        <v>37578</v>
      </c>
      <c r="K11319" s="0" t="s">
        <v>37579</v>
      </c>
      <c r="L11319" s="0" t="str">
        <f aca="false">HYPERLINK("https://www.ncbi.nlm.nih.gov/nuccore/CP000058.1?report=graph&amp;tracks=[key:gene_model_track,Options:GeneOnly]&amp;mk=3571489:3571508|offset_70|444444,3571459:3571478|offset_100|00cc00,3571420:3571439|offset_139|444444,3571368:3571387|offset_191|444444&amp;v=3571288:3571587&amp;c=444444", "offset 100")</f>
        <v>offset 100</v>
      </c>
    </row>
    <row r="11320" customFormat="false" ht="12.8" hidden="false" customHeight="false" outlineLevel="0" collapsed="false">
      <c r="A11320" s="0" t="s">
        <v>12</v>
      </c>
      <c r="B11320" s="0" t="n">
        <v>3571419</v>
      </c>
      <c r="C11320" s="0" t="n">
        <v>3571439</v>
      </c>
      <c r="D11320" s="0" t="s">
        <v>37572</v>
      </c>
      <c r="E11320" s="0" t="s">
        <v>37573</v>
      </c>
      <c r="F11320" s="0" t="s">
        <v>90</v>
      </c>
      <c r="G11320" s="0" t="s">
        <v>16</v>
      </c>
      <c r="H11320" s="0" t="n">
        <v>139</v>
      </c>
      <c r="I11320" s="0" t="s">
        <v>37580</v>
      </c>
      <c r="J11320" s="0" t="s">
        <v>37581</v>
      </c>
      <c r="K11320" s="0" t="s">
        <v>37582</v>
      </c>
      <c r="L11320" s="0" t="str">
        <f aca="false">HYPERLINK("https://www.ncbi.nlm.nih.gov/nuccore/CP000058.1?report=graph&amp;tracks=[key:gene_model_track,Options:GeneOnly]&amp;mk=3571489:3571508|offset_70|444444,3571459:3571478|offset_100|444444,3571420:3571439|offset_139|00cc00,3571368:3571387|offset_191|444444&amp;v=3571288:3571587&amp;c=444444", "offset 139")</f>
        <v>offset 139</v>
      </c>
    </row>
    <row r="11321" customFormat="false" ht="12.8" hidden="false" customHeight="false" outlineLevel="0" collapsed="false">
      <c r="A11321" s="0" t="s">
        <v>12</v>
      </c>
      <c r="B11321" s="0" t="n">
        <v>3571367</v>
      </c>
      <c r="C11321" s="0" t="n">
        <v>3571387</v>
      </c>
      <c r="D11321" s="0" t="s">
        <v>37572</v>
      </c>
      <c r="E11321" s="0" t="s">
        <v>37573</v>
      </c>
      <c r="F11321" s="0" t="s">
        <v>90</v>
      </c>
      <c r="G11321" s="0" t="s">
        <v>32</v>
      </c>
      <c r="H11321" s="0" t="n">
        <v>191</v>
      </c>
      <c r="I11321" s="0" t="s">
        <v>37583</v>
      </c>
      <c r="J11321" s="0" t="s">
        <v>37584</v>
      </c>
      <c r="K11321" s="0" t="s">
        <v>37585</v>
      </c>
      <c r="L11321" s="0" t="str">
        <f aca="false">HYPERLINK("https://www.ncbi.nlm.nih.gov/nuccore/CP000058.1?report=graph&amp;tracks=[key:gene_model_track,Options:GeneOnly]&amp;mk=3571489:3571508|offset_70|444444,3571459:3571478|offset_100|444444,3571420:3571439|offset_139|444444,3571368:3571387|offset_191|00cc00&amp;v=3571288:3571587&amp;c=444444", "offset 191")</f>
        <v>offset 191</v>
      </c>
    </row>
    <row r="11322" customFormat="false" ht="12.8" hidden="false" customHeight="false" outlineLevel="0" collapsed="false">
      <c r="A11322" s="0" t="s">
        <v>12</v>
      </c>
      <c r="B11322" s="0" t="n">
        <v>3573828</v>
      </c>
      <c r="C11322" s="0" t="n">
        <v>3573848</v>
      </c>
      <c r="D11322" s="0" t="s">
        <v>37586</v>
      </c>
      <c r="E11322" s="0" t="s">
        <v>75</v>
      </c>
      <c r="F11322" s="0" t="s">
        <v>90</v>
      </c>
      <c r="G11322" s="0" t="s">
        <v>16</v>
      </c>
      <c r="H11322" s="0" t="n">
        <v>23</v>
      </c>
      <c r="I11322" s="0" t="s">
        <v>37587</v>
      </c>
      <c r="J11322" s="0" t="s">
        <v>37588</v>
      </c>
      <c r="K11322" s="0" t="s">
        <v>37589</v>
      </c>
      <c r="L11322" s="0" t="str">
        <f aca="false">HYPERLINK("https://www.ncbi.nlm.nih.gov/nuccore/CP000058.1?report=graph&amp;tracks=[key:gene_model_track,Options:GeneOnly]&amp;mk=3573829:3573848|offset_23|00cc00,3573773:3573792|offset_79|444444,3573750:3573769|offset_102|444444,3573682:3573701|offset_170|444444&amp;v=3573628:3573901&amp;c=444444", "offset 23")</f>
        <v>offset 23</v>
      </c>
    </row>
    <row r="11323" customFormat="false" ht="12.8" hidden="false" customHeight="false" outlineLevel="0" collapsed="false">
      <c r="A11323" s="0" t="s">
        <v>12</v>
      </c>
      <c r="B11323" s="0" t="n">
        <v>3573772</v>
      </c>
      <c r="C11323" s="0" t="n">
        <v>3573792</v>
      </c>
      <c r="D11323" s="0" t="s">
        <v>37586</v>
      </c>
      <c r="E11323" s="0" t="s">
        <v>75</v>
      </c>
      <c r="F11323" s="0" t="s">
        <v>90</v>
      </c>
      <c r="G11323" s="0" t="s">
        <v>32</v>
      </c>
      <c r="H11323" s="0" t="n">
        <v>79</v>
      </c>
      <c r="I11323" s="0" t="s">
        <v>37590</v>
      </c>
      <c r="J11323" s="0" t="s">
        <v>37591</v>
      </c>
      <c r="K11323" s="0" t="s">
        <v>37592</v>
      </c>
      <c r="L11323" s="0" t="str">
        <f aca="false">HYPERLINK("https://www.ncbi.nlm.nih.gov/nuccore/CP000058.1?report=graph&amp;tracks=[key:gene_model_track,Options:GeneOnly]&amp;mk=3573829:3573848|offset_23|444444,3573773:3573792|offset_79|00cc00,3573750:3573769|offset_102|444444,3573682:3573701|offset_170|444444&amp;v=3573628:3573901&amp;c=444444", "offset 79")</f>
        <v>offset 79</v>
      </c>
    </row>
    <row r="11324" customFormat="false" ht="12.8" hidden="false" customHeight="false" outlineLevel="0" collapsed="false">
      <c r="A11324" s="0" t="s">
        <v>12</v>
      </c>
      <c r="B11324" s="0" t="n">
        <v>3573749</v>
      </c>
      <c r="C11324" s="0" t="n">
        <v>3573769</v>
      </c>
      <c r="D11324" s="0" t="s">
        <v>37586</v>
      </c>
      <c r="E11324" s="0" t="s">
        <v>75</v>
      </c>
      <c r="F11324" s="0" t="s">
        <v>90</v>
      </c>
      <c r="G11324" s="0" t="s">
        <v>20</v>
      </c>
      <c r="H11324" s="0" t="n">
        <v>102</v>
      </c>
      <c r="I11324" s="0" t="s">
        <v>37593</v>
      </c>
      <c r="J11324" s="0" t="s">
        <v>37594</v>
      </c>
      <c r="K11324" s="0" t="s">
        <v>37595</v>
      </c>
      <c r="L11324" s="0" t="str">
        <f aca="false">HYPERLINK("https://www.ncbi.nlm.nih.gov/nuccore/CP000058.1?report=graph&amp;tracks=[key:gene_model_track,Options:GeneOnly]&amp;mk=3573829:3573848|offset_23|444444,3573773:3573792|offset_79|444444,3573750:3573769|offset_102|00cc00,3573682:3573701|offset_170|444444&amp;v=3573628:3573901&amp;c=444444", "offset 102")</f>
        <v>offset 102</v>
      </c>
    </row>
    <row r="11325" customFormat="false" ht="12.8" hidden="false" customHeight="false" outlineLevel="0" collapsed="false">
      <c r="A11325" s="0" t="s">
        <v>12</v>
      </c>
      <c r="B11325" s="0" t="n">
        <v>3573681</v>
      </c>
      <c r="C11325" s="0" t="n">
        <v>3573701</v>
      </c>
      <c r="D11325" s="0" t="s">
        <v>37586</v>
      </c>
      <c r="E11325" s="0" t="s">
        <v>75</v>
      </c>
      <c r="F11325" s="0" t="s">
        <v>90</v>
      </c>
      <c r="G11325" s="0" t="s">
        <v>20</v>
      </c>
      <c r="H11325" s="0" t="n">
        <v>170</v>
      </c>
      <c r="I11325" s="0" t="s">
        <v>37596</v>
      </c>
      <c r="J11325" s="0" t="s">
        <v>37597</v>
      </c>
      <c r="K11325" s="0" t="s">
        <v>37598</v>
      </c>
      <c r="L11325" s="0" t="str">
        <f aca="false">HYPERLINK("https://www.ncbi.nlm.nih.gov/nuccore/CP000058.1?report=graph&amp;tracks=[key:gene_model_track,Options:GeneOnly]&amp;mk=3573829:3573848|offset_23|444444,3573773:3573792|offset_79|444444,3573750:3573769|offset_102|444444,3573682:3573701|offset_170|00cc00&amp;v=3573628:3573901&amp;c=444444", "offset 170")</f>
        <v>offset 170</v>
      </c>
    </row>
    <row r="11326" customFormat="false" ht="12.8" hidden="false" customHeight="false" outlineLevel="0" collapsed="false">
      <c r="A11326" s="0" t="s">
        <v>12</v>
      </c>
      <c r="B11326" s="0" t="n">
        <v>3576495</v>
      </c>
      <c r="C11326" s="0" t="n">
        <v>3576515</v>
      </c>
      <c r="D11326" s="0" t="s">
        <v>37599</v>
      </c>
      <c r="E11326" s="0" t="s">
        <v>75</v>
      </c>
      <c r="F11326" s="0" t="s">
        <v>90</v>
      </c>
      <c r="G11326" s="0" t="s">
        <v>32</v>
      </c>
      <c r="H11326" s="0" t="n">
        <v>1</v>
      </c>
      <c r="I11326" s="0" t="s">
        <v>37600</v>
      </c>
      <c r="J11326" s="0" t="s">
        <v>37601</v>
      </c>
      <c r="K11326" s="0" t="s">
        <v>37602</v>
      </c>
      <c r="L11326" s="0" t="str">
        <f aca="false">HYPERLINK("https://www.ncbi.nlm.nih.gov/nuccore/CP000058.1?report=graph&amp;tracks=[key:gene_model_track,Options:GeneOnly]&amp;mk=3576496:3576515|offset_1|00cc00,3576474:3576493|offset_23|444444,3576454:3576473|offset_43|444444,3576429:3576448|offset_68|444444&amp;v=3576295:3576648&amp;c=444444", "offset 1")</f>
        <v>offset 1</v>
      </c>
    </row>
    <row r="11327" customFormat="false" ht="12.8" hidden="false" customHeight="false" outlineLevel="0" collapsed="false">
      <c r="A11327" s="0" t="s">
        <v>12</v>
      </c>
      <c r="B11327" s="0" t="n">
        <v>3576473</v>
      </c>
      <c r="C11327" s="0" t="n">
        <v>3576493</v>
      </c>
      <c r="D11327" s="0" t="s">
        <v>37599</v>
      </c>
      <c r="E11327" s="0" t="s">
        <v>75</v>
      </c>
      <c r="F11327" s="0" t="s">
        <v>90</v>
      </c>
      <c r="G11327" s="0" t="s">
        <v>20</v>
      </c>
      <c r="H11327" s="0" t="n">
        <v>23</v>
      </c>
      <c r="I11327" s="0" t="s">
        <v>37603</v>
      </c>
      <c r="J11327" s="0" t="s">
        <v>37604</v>
      </c>
      <c r="K11327" s="0" t="s">
        <v>37605</v>
      </c>
      <c r="L11327" s="0" t="str">
        <f aca="false">HYPERLINK("https://www.ncbi.nlm.nih.gov/nuccore/CP000058.1?report=graph&amp;tracks=[key:gene_model_track,Options:GeneOnly]&amp;mk=3576496:3576515|offset_1|444444,3576474:3576493|offset_23|00cc00,3576454:3576473|offset_43|444444,3576429:3576448|offset_68|444444&amp;v=3576295:3576648&amp;c=444444", "offset 23")</f>
        <v>offset 23</v>
      </c>
    </row>
    <row r="11328" customFormat="false" ht="12.8" hidden="false" customHeight="false" outlineLevel="0" collapsed="false">
      <c r="A11328" s="0" t="s">
        <v>12</v>
      </c>
      <c r="B11328" s="0" t="n">
        <v>3576453</v>
      </c>
      <c r="C11328" s="0" t="n">
        <v>3576473</v>
      </c>
      <c r="D11328" s="0" t="s">
        <v>37599</v>
      </c>
      <c r="E11328" s="0" t="s">
        <v>75</v>
      </c>
      <c r="F11328" s="0" t="s">
        <v>90</v>
      </c>
      <c r="G11328" s="0" t="s">
        <v>16</v>
      </c>
      <c r="H11328" s="0" t="n">
        <v>43</v>
      </c>
      <c r="I11328" s="0" t="s">
        <v>37606</v>
      </c>
      <c r="J11328" s="0" t="s">
        <v>37607</v>
      </c>
      <c r="K11328" s="0" t="s">
        <v>37608</v>
      </c>
      <c r="L11328" s="0" t="str">
        <f aca="false">HYPERLINK("https://www.ncbi.nlm.nih.gov/nuccore/CP000058.1?report=graph&amp;tracks=[key:gene_model_track,Options:GeneOnly]&amp;mk=3576496:3576515|offset_1|444444,3576474:3576493|offset_23|444444,3576454:3576473|offset_43|00cc00,3576429:3576448|offset_68|444444&amp;v=3576295:3576648&amp;c=444444", "offset 43")</f>
        <v>offset 43</v>
      </c>
    </row>
    <row r="11329" customFormat="false" ht="12.8" hidden="false" customHeight="false" outlineLevel="0" collapsed="false">
      <c r="A11329" s="0" t="s">
        <v>12</v>
      </c>
      <c r="B11329" s="0" t="n">
        <v>3576428</v>
      </c>
      <c r="C11329" s="0" t="n">
        <v>3576448</v>
      </c>
      <c r="D11329" s="0" t="s">
        <v>37599</v>
      </c>
      <c r="E11329" s="0" t="s">
        <v>75</v>
      </c>
      <c r="F11329" s="0" t="s">
        <v>90</v>
      </c>
      <c r="G11329" s="0" t="s">
        <v>20</v>
      </c>
      <c r="H11329" s="0" t="n">
        <v>68</v>
      </c>
      <c r="I11329" s="0" t="s">
        <v>37609</v>
      </c>
      <c r="J11329" s="0" t="s">
        <v>37610</v>
      </c>
      <c r="K11329" s="0" t="s">
        <v>37611</v>
      </c>
      <c r="L11329" s="0" t="str">
        <f aca="false">HYPERLINK("https://www.ncbi.nlm.nih.gov/nuccore/CP000058.1?report=graph&amp;tracks=[key:gene_model_track,Options:GeneOnly]&amp;mk=3576496:3576515|offset_1|444444,3576474:3576493|offset_23|444444,3576454:3576473|offset_43|444444,3576429:3576448|offset_68|00cc00&amp;v=3576295:3576648&amp;c=444444", "offset 68")</f>
        <v>offset 68</v>
      </c>
    </row>
    <row r="11330" customFormat="false" ht="12.8" hidden="false" customHeight="false" outlineLevel="0" collapsed="false">
      <c r="A11330" s="0" t="s">
        <v>12</v>
      </c>
      <c r="B11330" s="0" t="n">
        <v>3576876</v>
      </c>
      <c r="C11330" s="0" t="n">
        <v>3576896</v>
      </c>
      <c r="D11330" s="0" t="s">
        <v>37612</v>
      </c>
      <c r="E11330" s="0" t="s">
        <v>75</v>
      </c>
      <c r="F11330" s="0" t="s">
        <v>15</v>
      </c>
      <c r="G11330" s="0" t="s">
        <v>36</v>
      </c>
      <c r="H11330" s="0" t="n">
        <v>6</v>
      </c>
      <c r="I11330" s="0" t="s">
        <v>37613</v>
      </c>
      <c r="J11330" s="0" t="s">
        <v>37614</v>
      </c>
      <c r="K11330" s="0" t="s">
        <v>37615</v>
      </c>
      <c r="L11330" s="0" t="str">
        <f aca="false">HYPERLINK("https://www.ncbi.nlm.nih.gov/nuccore/CP000058.1?report=graph&amp;tracks=[key:gene_model_track,Options:GeneOnly]&amp;mk=3576877:3576896|offset_6|00cc00,3576900:3576919|offset_29|444444,3576939:3576958|offset_68|444444,3576968:3576987|offset_97|444444&amp;v=3576676:3577187&amp;c=444444", "offset 6")</f>
        <v>offset 6</v>
      </c>
    </row>
    <row r="11331" customFormat="false" ht="12.8" hidden="false" customHeight="false" outlineLevel="0" collapsed="false">
      <c r="A11331" s="0" t="s">
        <v>12</v>
      </c>
      <c r="B11331" s="0" t="n">
        <v>3576899</v>
      </c>
      <c r="C11331" s="0" t="n">
        <v>3576919</v>
      </c>
      <c r="D11331" s="0" t="s">
        <v>37612</v>
      </c>
      <c r="E11331" s="0" t="s">
        <v>75</v>
      </c>
      <c r="F11331" s="0" t="s">
        <v>15</v>
      </c>
      <c r="G11331" s="0" t="s">
        <v>20</v>
      </c>
      <c r="H11331" s="0" t="n">
        <v>29</v>
      </c>
      <c r="I11331" s="0" t="s">
        <v>37616</v>
      </c>
      <c r="J11331" s="0" t="s">
        <v>37617</v>
      </c>
      <c r="K11331" s="0" t="s">
        <v>37618</v>
      </c>
      <c r="L11331" s="0" t="str">
        <f aca="false">HYPERLINK("https://www.ncbi.nlm.nih.gov/nuccore/CP000058.1?report=graph&amp;tracks=[key:gene_model_track,Options:GeneOnly]&amp;mk=3576877:3576896|offset_6|444444,3576900:3576919|offset_29|00cc00,3576939:3576958|offset_68|444444,3576968:3576987|offset_97|444444&amp;v=3576676:3577187&amp;c=444444", "offset 29")</f>
        <v>offset 29</v>
      </c>
    </row>
    <row r="11332" customFormat="false" ht="12.8" hidden="false" customHeight="false" outlineLevel="0" collapsed="false">
      <c r="A11332" s="0" t="s">
        <v>12</v>
      </c>
      <c r="B11332" s="0" t="n">
        <v>3576938</v>
      </c>
      <c r="C11332" s="0" t="n">
        <v>3576958</v>
      </c>
      <c r="D11332" s="0" t="s">
        <v>37612</v>
      </c>
      <c r="E11332" s="0" t="s">
        <v>75</v>
      </c>
      <c r="F11332" s="0" t="s">
        <v>15</v>
      </c>
      <c r="G11332" s="0" t="s">
        <v>16</v>
      </c>
      <c r="H11332" s="0" t="n">
        <v>68</v>
      </c>
      <c r="I11332" s="0" t="s">
        <v>37619</v>
      </c>
      <c r="J11332" s="0" t="s">
        <v>37620</v>
      </c>
      <c r="K11332" s="0" t="s">
        <v>37621</v>
      </c>
      <c r="L11332" s="0" t="str">
        <f aca="false">HYPERLINK("https://www.ncbi.nlm.nih.gov/nuccore/CP000058.1?report=graph&amp;tracks=[key:gene_model_track,Options:GeneOnly]&amp;mk=3576877:3576896|offset_6|444444,3576900:3576919|offset_29|444444,3576939:3576958|offset_68|00cc00,3576968:3576987|offset_97|444444&amp;v=3576676:3577187&amp;c=444444", "offset 68")</f>
        <v>offset 68</v>
      </c>
    </row>
    <row r="11333" customFormat="false" ht="12.8" hidden="false" customHeight="false" outlineLevel="0" collapsed="false">
      <c r="A11333" s="0" t="s">
        <v>12</v>
      </c>
      <c r="B11333" s="0" t="n">
        <v>3576967</v>
      </c>
      <c r="C11333" s="0" t="n">
        <v>3576987</v>
      </c>
      <c r="D11333" s="0" t="s">
        <v>37612</v>
      </c>
      <c r="E11333" s="0" t="s">
        <v>75</v>
      </c>
      <c r="F11333" s="0" t="s">
        <v>15</v>
      </c>
      <c r="G11333" s="0" t="s">
        <v>36</v>
      </c>
      <c r="H11333" s="0" t="n">
        <v>97</v>
      </c>
      <c r="I11333" s="0" t="s">
        <v>37622</v>
      </c>
      <c r="J11333" s="0" t="s">
        <v>37623</v>
      </c>
      <c r="K11333" s="0" t="s">
        <v>37624</v>
      </c>
      <c r="L11333" s="0" t="str">
        <f aca="false">HYPERLINK("https://www.ncbi.nlm.nih.gov/nuccore/CP000058.1?report=graph&amp;tracks=[key:gene_model_track,Options:GeneOnly]&amp;mk=3576877:3576896|offset_6|444444,3576900:3576919|offset_29|444444,3576939:3576958|offset_68|444444,3576968:3576987|offset_97|00cc00&amp;v=3576676:3577187&amp;c=444444", "offset 97")</f>
        <v>offset 97</v>
      </c>
    </row>
    <row r="11334" customFormat="false" ht="12.8" hidden="false" customHeight="false" outlineLevel="0" collapsed="false">
      <c r="A11334" s="0" t="s">
        <v>12</v>
      </c>
      <c r="B11334" s="0" t="n">
        <v>3578389</v>
      </c>
      <c r="C11334" s="0" t="n">
        <v>3578409</v>
      </c>
      <c r="D11334" s="0" t="s">
        <v>37625</v>
      </c>
      <c r="E11334" s="0" t="s">
        <v>75</v>
      </c>
      <c r="F11334" s="0" t="s">
        <v>90</v>
      </c>
      <c r="G11334" s="0" t="s">
        <v>16</v>
      </c>
      <c r="H11334" s="0" t="n">
        <v>135</v>
      </c>
      <c r="I11334" s="0" t="s">
        <v>37626</v>
      </c>
      <c r="J11334" s="0" t="s">
        <v>37627</v>
      </c>
      <c r="K11334" s="0" t="s">
        <v>37628</v>
      </c>
      <c r="L11334" s="0" t="str">
        <f aca="false">HYPERLINK("https://www.ncbi.nlm.nih.gov/nuccore/CP000058.1?report=graph&amp;tracks=[key:gene_model_track,Options:GeneOnly]&amp;mk=3578390:3578409|offset_135|00cc00,3578353:3578372|offset_172|444444,3578326:3578345|offset_199|444444,3578304:3578323|offset_221|444444&amp;v=3578189:3578523&amp;c=444444", "offset 135")</f>
        <v>offset 135</v>
      </c>
    </row>
    <row r="11335" customFormat="false" ht="12.8" hidden="false" customHeight="false" outlineLevel="0" collapsed="false">
      <c r="A11335" s="0" t="s">
        <v>12</v>
      </c>
      <c r="B11335" s="0" t="n">
        <v>3578352</v>
      </c>
      <c r="C11335" s="0" t="n">
        <v>3578372</v>
      </c>
      <c r="D11335" s="0" t="s">
        <v>37625</v>
      </c>
      <c r="E11335" s="0" t="s">
        <v>75</v>
      </c>
      <c r="F11335" s="0" t="s">
        <v>90</v>
      </c>
      <c r="G11335" s="0" t="s">
        <v>32</v>
      </c>
      <c r="H11335" s="0" t="n">
        <v>172</v>
      </c>
      <c r="I11335" s="0" t="s">
        <v>37629</v>
      </c>
      <c r="J11335" s="0" t="s">
        <v>37630</v>
      </c>
      <c r="K11335" s="0" t="s">
        <v>37631</v>
      </c>
      <c r="L11335" s="0" t="str">
        <f aca="false">HYPERLINK("https://www.ncbi.nlm.nih.gov/nuccore/CP000058.1?report=graph&amp;tracks=[key:gene_model_track,Options:GeneOnly]&amp;mk=3578390:3578409|offset_135|444444,3578353:3578372|offset_172|00cc00,3578326:3578345|offset_199|444444,3578304:3578323|offset_221|444444&amp;v=3578189:3578523&amp;c=444444", "offset 172")</f>
        <v>offset 172</v>
      </c>
    </row>
    <row r="11336" customFormat="false" ht="12.8" hidden="false" customHeight="false" outlineLevel="0" collapsed="false">
      <c r="A11336" s="0" t="s">
        <v>12</v>
      </c>
      <c r="B11336" s="0" t="n">
        <v>3578325</v>
      </c>
      <c r="C11336" s="0" t="n">
        <v>3578345</v>
      </c>
      <c r="D11336" s="0" t="s">
        <v>37625</v>
      </c>
      <c r="E11336" s="0" t="s">
        <v>75</v>
      </c>
      <c r="F11336" s="0" t="s">
        <v>90</v>
      </c>
      <c r="G11336" s="0" t="s">
        <v>36</v>
      </c>
      <c r="H11336" s="0" t="n">
        <v>199</v>
      </c>
      <c r="I11336" s="0" t="s">
        <v>37632</v>
      </c>
      <c r="J11336" s="0" t="s">
        <v>37633</v>
      </c>
      <c r="K11336" s="0" t="s">
        <v>37634</v>
      </c>
      <c r="L11336" s="0" t="str">
        <f aca="false">HYPERLINK("https://www.ncbi.nlm.nih.gov/nuccore/CP000058.1?report=graph&amp;tracks=[key:gene_model_track,Options:GeneOnly]&amp;mk=3578390:3578409|offset_135|444444,3578353:3578372|offset_172|444444,3578326:3578345|offset_199|00cc00,3578304:3578323|offset_221|444444&amp;v=3578189:3578523&amp;c=444444", "offset 199")</f>
        <v>offset 199</v>
      </c>
    </row>
    <row r="11337" customFormat="false" ht="12.8" hidden="false" customHeight="false" outlineLevel="0" collapsed="false">
      <c r="A11337" s="0" t="s">
        <v>12</v>
      </c>
      <c r="B11337" s="0" t="n">
        <v>3578303</v>
      </c>
      <c r="C11337" s="0" t="n">
        <v>3578323</v>
      </c>
      <c r="D11337" s="0" t="s">
        <v>37625</v>
      </c>
      <c r="E11337" s="0" t="s">
        <v>75</v>
      </c>
      <c r="F11337" s="0" t="s">
        <v>90</v>
      </c>
      <c r="G11337" s="0" t="s">
        <v>20</v>
      </c>
      <c r="H11337" s="0" t="n">
        <v>221</v>
      </c>
      <c r="I11337" s="0" t="s">
        <v>37635</v>
      </c>
      <c r="J11337" s="0" t="s">
        <v>37636</v>
      </c>
      <c r="K11337" s="0" t="s">
        <v>37637</v>
      </c>
      <c r="L11337" s="0" t="str">
        <f aca="false">HYPERLINK("https://www.ncbi.nlm.nih.gov/nuccore/CP000058.1?report=graph&amp;tracks=[key:gene_model_track,Options:GeneOnly]&amp;mk=3578390:3578409|offset_135|444444,3578353:3578372|offset_172|444444,3578326:3578345|offset_199|444444,3578304:3578323|offset_221|00cc00&amp;v=3578189:3578523&amp;c=444444", "offset 221")</f>
        <v>offset 221</v>
      </c>
    </row>
    <row r="11338" customFormat="false" ht="12.8" hidden="false" customHeight="false" outlineLevel="0" collapsed="false">
      <c r="A11338" s="0" t="s">
        <v>12</v>
      </c>
      <c r="B11338" s="0" t="n">
        <v>3579824</v>
      </c>
      <c r="C11338" s="0" t="n">
        <v>3579844</v>
      </c>
      <c r="D11338" s="0" t="s">
        <v>37638</v>
      </c>
      <c r="E11338" s="0" t="s">
        <v>75</v>
      </c>
      <c r="F11338" s="0" t="s">
        <v>90</v>
      </c>
      <c r="G11338" s="0" t="s">
        <v>36</v>
      </c>
      <c r="H11338" s="0" t="n">
        <v>16</v>
      </c>
      <c r="I11338" s="0" t="s">
        <v>37639</v>
      </c>
      <c r="J11338" s="0" t="s">
        <v>37640</v>
      </c>
      <c r="K11338" s="0" t="s">
        <v>37641</v>
      </c>
      <c r="L11338" s="0" t="str">
        <f aca="false">HYPERLINK("https://www.ncbi.nlm.nih.gov/nuccore/CP000058.1?report=graph&amp;tracks=[key:gene_model_track,Options:GeneOnly]&amp;mk=3579825:3579844|offset_16|00cc00,3579804:3579823|offset_37|444444,3579758:3579777|offset_83|444444,3579737:3579756|offset_104|444444&amp;v=3579624:3579956&amp;c=444444", "offset 16")</f>
        <v>offset 16</v>
      </c>
    </row>
    <row r="11339" customFormat="false" ht="12.8" hidden="false" customHeight="false" outlineLevel="0" collapsed="false">
      <c r="A11339" s="0" t="s">
        <v>12</v>
      </c>
      <c r="B11339" s="0" t="n">
        <v>3579803</v>
      </c>
      <c r="C11339" s="0" t="n">
        <v>3579823</v>
      </c>
      <c r="D11339" s="0" t="s">
        <v>37638</v>
      </c>
      <c r="E11339" s="0" t="s">
        <v>75</v>
      </c>
      <c r="F11339" s="0" t="s">
        <v>90</v>
      </c>
      <c r="G11339" s="0" t="s">
        <v>36</v>
      </c>
      <c r="H11339" s="0" t="n">
        <v>37</v>
      </c>
      <c r="I11339" s="0" t="s">
        <v>37642</v>
      </c>
      <c r="J11339" s="0" t="s">
        <v>37643</v>
      </c>
      <c r="K11339" s="0" t="s">
        <v>37644</v>
      </c>
      <c r="L11339" s="0" t="str">
        <f aca="false">HYPERLINK("https://www.ncbi.nlm.nih.gov/nuccore/CP000058.1?report=graph&amp;tracks=[key:gene_model_track,Options:GeneOnly]&amp;mk=3579825:3579844|offset_16|444444,3579804:3579823|offset_37|00cc00,3579758:3579777|offset_83|444444,3579737:3579756|offset_104|444444&amp;v=3579624:3579956&amp;c=444444", "offset 37")</f>
        <v>offset 37</v>
      </c>
    </row>
    <row r="11340" customFormat="false" ht="12.8" hidden="false" customHeight="false" outlineLevel="0" collapsed="false">
      <c r="A11340" s="0" t="s">
        <v>12</v>
      </c>
      <c r="B11340" s="0" t="n">
        <v>3579757</v>
      </c>
      <c r="C11340" s="0" t="n">
        <v>3579777</v>
      </c>
      <c r="D11340" s="0" t="s">
        <v>37638</v>
      </c>
      <c r="E11340" s="0" t="s">
        <v>75</v>
      </c>
      <c r="F11340" s="0" t="s">
        <v>90</v>
      </c>
      <c r="G11340" s="0" t="s">
        <v>20</v>
      </c>
      <c r="H11340" s="0" t="n">
        <v>83</v>
      </c>
      <c r="I11340" s="0" t="s">
        <v>37645</v>
      </c>
      <c r="J11340" s="0" t="s">
        <v>37646</v>
      </c>
      <c r="K11340" s="0" t="s">
        <v>37647</v>
      </c>
      <c r="L11340" s="0" t="str">
        <f aca="false">HYPERLINK("https://www.ncbi.nlm.nih.gov/nuccore/CP000058.1?report=graph&amp;tracks=[key:gene_model_track,Options:GeneOnly]&amp;mk=3579825:3579844|offset_16|444444,3579804:3579823|offset_37|444444,3579758:3579777|offset_83|00cc00,3579737:3579756|offset_104|444444&amp;v=3579624:3579956&amp;c=444444", "offset 83")</f>
        <v>offset 83</v>
      </c>
    </row>
    <row r="11341" customFormat="false" ht="12.8" hidden="false" customHeight="false" outlineLevel="0" collapsed="false">
      <c r="A11341" s="0" t="s">
        <v>12</v>
      </c>
      <c r="B11341" s="0" t="n">
        <v>3579736</v>
      </c>
      <c r="C11341" s="0" t="n">
        <v>3579756</v>
      </c>
      <c r="D11341" s="0" t="s">
        <v>37638</v>
      </c>
      <c r="E11341" s="0" t="s">
        <v>75</v>
      </c>
      <c r="F11341" s="0" t="s">
        <v>90</v>
      </c>
      <c r="G11341" s="0" t="s">
        <v>20</v>
      </c>
      <c r="H11341" s="0" t="n">
        <v>104</v>
      </c>
      <c r="I11341" s="0" t="s">
        <v>37648</v>
      </c>
      <c r="J11341" s="0" t="s">
        <v>37649</v>
      </c>
      <c r="K11341" s="0" t="s">
        <v>37650</v>
      </c>
      <c r="L11341" s="0" t="str">
        <f aca="false">HYPERLINK("https://www.ncbi.nlm.nih.gov/nuccore/CP000058.1?report=graph&amp;tracks=[key:gene_model_track,Options:GeneOnly]&amp;mk=3579825:3579844|offset_16|444444,3579804:3579823|offset_37|444444,3579758:3579777|offset_83|444444,3579737:3579756|offset_104|00cc00&amp;v=3579624:3579956&amp;c=444444", "offset 104")</f>
        <v>offset 104</v>
      </c>
    </row>
    <row r="11342" customFormat="false" ht="12.8" hidden="false" customHeight="false" outlineLevel="0" collapsed="false">
      <c r="A11342" s="0" t="s">
        <v>12</v>
      </c>
      <c r="B11342" s="0" t="n">
        <v>3580107</v>
      </c>
      <c r="C11342" s="0" t="n">
        <v>3580127</v>
      </c>
      <c r="D11342" s="0" t="s">
        <v>37651</v>
      </c>
      <c r="E11342" s="0" t="s">
        <v>75</v>
      </c>
      <c r="F11342" s="0" t="s">
        <v>15</v>
      </c>
      <c r="G11342" s="0" t="s">
        <v>32</v>
      </c>
      <c r="H11342" s="0" t="n">
        <v>13</v>
      </c>
      <c r="I11342" s="0" t="s">
        <v>37652</v>
      </c>
      <c r="J11342" s="0" t="s">
        <v>37653</v>
      </c>
      <c r="K11342" s="0" t="s">
        <v>37654</v>
      </c>
      <c r="L11342" s="0" t="str">
        <f aca="false">HYPERLINK("https://www.ncbi.nlm.nih.gov/nuccore/CP000058.1?report=graph&amp;tracks=[key:gene_model_track,Options:GeneOnly]&amp;mk=3580108:3580127|offset_13|00cc00,3580129:3580148|offset_34|444444,3580153:3580172|offset_58|444444,3580199:3580218|offset_104|444444&amp;v=3579907:3580418&amp;c=444444", "offset 13")</f>
        <v>offset 13</v>
      </c>
    </row>
    <row r="11343" customFormat="false" ht="12.8" hidden="false" customHeight="false" outlineLevel="0" collapsed="false">
      <c r="A11343" s="0" t="s">
        <v>12</v>
      </c>
      <c r="B11343" s="0" t="n">
        <v>3580128</v>
      </c>
      <c r="C11343" s="0" t="n">
        <v>3580148</v>
      </c>
      <c r="D11343" s="0" t="s">
        <v>37651</v>
      </c>
      <c r="E11343" s="0" t="s">
        <v>75</v>
      </c>
      <c r="F11343" s="0" t="s">
        <v>15</v>
      </c>
      <c r="G11343" s="0" t="s">
        <v>36</v>
      </c>
      <c r="H11343" s="0" t="n">
        <v>34</v>
      </c>
      <c r="I11343" s="0" t="s">
        <v>37655</v>
      </c>
      <c r="J11343" s="0" t="s">
        <v>37656</v>
      </c>
      <c r="K11343" s="0" t="s">
        <v>37657</v>
      </c>
      <c r="L11343" s="0" t="str">
        <f aca="false">HYPERLINK("https://www.ncbi.nlm.nih.gov/nuccore/CP000058.1?report=graph&amp;tracks=[key:gene_model_track,Options:GeneOnly]&amp;mk=3580108:3580127|offset_13|444444,3580129:3580148|offset_34|00cc00,3580153:3580172|offset_58|444444,3580199:3580218|offset_104|444444&amp;v=3579907:3580418&amp;c=444444", "offset 34")</f>
        <v>offset 34</v>
      </c>
    </row>
    <row r="11344" customFormat="false" ht="12.8" hidden="false" customHeight="false" outlineLevel="0" collapsed="false">
      <c r="A11344" s="0" t="s">
        <v>12</v>
      </c>
      <c r="B11344" s="0" t="n">
        <v>3580152</v>
      </c>
      <c r="C11344" s="0" t="n">
        <v>3580172</v>
      </c>
      <c r="D11344" s="0" t="s">
        <v>37651</v>
      </c>
      <c r="E11344" s="0" t="s">
        <v>75</v>
      </c>
      <c r="F11344" s="0" t="s">
        <v>15</v>
      </c>
      <c r="G11344" s="0" t="s">
        <v>20</v>
      </c>
      <c r="H11344" s="0" t="n">
        <v>58</v>
      </c>
      <c r="I11344" s="0" t="s">
        <v>37658</v>
      </c>
      <c r="J11344" s="0" t="s">
        <v>37659</v>
      </c>
      <c r="K11344" s="0" t="s">
        <v>37660</v>
      </c>
      <c r="L11344" s="0" t="str">
        <f aca="false">HYPERLINK("https://www.ncbi.nlm.nih.gov/nuccore/CP000058.1?report=graph&amp;tracks=[key:gene_model_track,Options:GeneOnly]&amp;mk=3580108:3580127|offset_13|444444,3580129:3580148|offset_34|444444,3580153:3580172|offset_58|00cc00,3580199:3580218|offset_104|444444&amp;v=3579907:3580418&amp;c=444444", "offset 58")</f>
        <v>offset 58</v>
      </c>
    </row>
    <row r="11345" customFormat="false" ht="12.8" hidden="false" customHeight="false" outlineLevel="0" collapsed="false">
      <c r="A11345" s="0" t="s">
        <v>12</v>
      </c>
      <c r="B11345" s="0" t="n">
        <v>3580198</v>
      </c>
      <c r="C11345" s="0" t="n">
        <v>3580218</v>
      </c>
      <c r="D11345" s="0" t="s">
        <v>37651</v>
      </c>
      <c r="E11345" s="0" t="s">
        <v>75</v>
      </c>
      <c r="F11345" s="0" t="s">
        <v>15</v>
      </c>
      <c r="G11345" s="0" t="s">
        <v>16</v>
      </c>
      <c r="H11345" s="0" t="n">
        <v>104</v>
      </c>
      <c r="I11345" s="0" t="s">
        <v>37661</v>
      </c>
      <c r="J11345" s="0" t="s">
        <v>37662</v>
      </c>
      <c r="K11345" s="0" t="s">
        <v>37663</v>
      </c>
      <c r="L11345" s="0" t="str">
        <f aca="false">HYPERLINK("https://www.ncbi.nlm.nih.gov/nuccore/CP000058.1?report=graph&amp;tracks=[key:gene_model_track,Options:GeneOnly]&amp;mk=3580108:3580127|offset_13|444444,3580129:3580148|offset_34|444444,3580153:3580172|offset_58|444444,3580199:3580218|offset_104|00cc00&amp;v=3579907:3580418&amp;c=444444", "offset 104")</f>
        <v>offset 104</v>
      </c>
    </row>
    <row r="11346" customFormat="false" ht="12.8" hidden="false" customHeight="false" outlineLevel="0" collapsed="false">
      <c r="A11346" s="0" t="s">
        <v>12</v>
      </c>
      <c r="B11346" s="0" t="n">
        <v>3580494</v>
      </c>
      <c r="C11346" s="0" t="n">
        <v>3580514</v>
      </c>
      <c r="D11346" s="0" t="s">
        <v>37664</v>
      </c>
      <c r="E11346" s="0" t="s">
        <v>75</v>
      </c>
      <c r="F11346" s="0" t="s">
        <v>15</v>
      </c>
      <c r="G11346" s="0" t="s">
        <v>36</v>
      </c>
      <c r="H11346" s="0" t="n">
        <v>6</v>
      </c>
      <c r="I11346" s="0" t="s">
        <v>37665</v>
      </c>
      <c r="J11346" s="0" t="s">
        <v>37666</v>
      </c>
      <c r="K11346" s="0" t="s">
        <v>37667</v>
      </c>
      <c r="L11346" s="0" t="str">
        <f aca="false">HYPERLINK("https://www.ncbi.nlm.nih.gov/nuccore/CP000058.1?report=graph&amp;tracks=[key:gene_model_track,Options:GeneOnly]&amp;mk=3580495:3580514|offset_6|00cc00,3580518:3580537|offset_29|444444,3580540:3580559|offset_51|444444,3580629:3580648|offset_140|444444&amp;v=3580294:3580848&amp;c=444444", "offset 6")</f>
        <v>offset 6</v>
      </c>
    </row>
    <row r="11347" customFormat="false" ht="12.8" hidden="false" customHeight="false" outlineLevel="0" collapsed="false">
      <c r="A11347" s="0" t="s">
        <v>12</v>
      </c>
      <c r="B11347" s="0" t="n">
        <v>3580517</v>
      </c>
      <c r="C11347" s="0" t="n">
        <v>3580537</v>
      </c>
      <c r="D11347" s="0" t="s">
        <v>37664</v>
      </c>
      <c r="E11347" s="0" t="s">
        <v>75</v>
      </c>
      <c r="F11347" s="0" t="s">
        <v>15</v>
      </c>
      <c r="G11347" s="0" t="s">
        <v>16</v>
      </c>
      <c r="H11347" s="0" t="n">
        <v>29</v>
      </c>
      <c r="I11347" s="0" t="s">
        <v>37668</v>
      </c>
      <c r="J11347" s="0" t="s">
        <v>37669</v>
      </c>
      <c r="K11347" s="0" t="s">
        <v>37670</v>
      </c>
      <c r="L11347" s="0" t="str">
        <f aca="false">HYPERLINK("https://www.ncbi.nlm.nih.gov/nuccore/CP000058.1?report=graph&amp;tracks=[key:gene_model_track,Options:GeneOnly]&amp;mk=3580495:3580514|offset_6|444444,3580518:3580537|offset_29|00cc00,3580540:3580559|offset_51|444444,3580629:3580648|offset_140|444444&amp;v=3580294:3580848&amp;c=444444", "offset 29")</f>
        <v>offset 29</v>
      </c>
    </row>
    <row r="11348" customFormat="false" ht="12.8" hidden="false" customHeight="false" outlineLevel="0" collapsed="false">
      <c r="A11348" s="0" t="s">
        <v>12</v>
      </c>
      <c r="B11348" s="0" t="n">
        <v>3580539</v>
      </c>
      <c r="C11348" s="0" t="n">
        <v>3580559</v>
      </c>
      <c r="D11348" s="0" t="s">
        <v>37664</v>
      </c>
      <c r="E11348" s="0" t="s">
        <v>75</v>
      </c>
      <c r="F11348" s="0" t="s">
        <v>15</v>
      </c>
      <c r="G11348" s="0" t="s">
        <v>36</v>
      </c>
      <c r="H11348" s="0" t="n">
        <v>51</v>
      </c>
      <c r="I11348" s="0" t="s">
        <v>37671</v>
      </c>
      <c r="J11348" s="0" t="s">
        <v>37672</v>
      </c>
      <c r="K11348" s="0" t="s">
        <v>37673</v>
      </c>
      <c r="L11348" s="0" t="str">
        <f aca="false">HYPERLINK("https://www.ncbi.nlm.nih.gov/nuccore/CP000058.1?report=graph&amp;tracks=[key:gene_model_track,Options:GeneOnly]&amp;mk=3580495:3580514|offset_6|444444,3580518:3580537|offset_29|444444,3580540:3580559|offset_51|00cc00,3580629:3580648|offset_140|444444&amp;v=3580294:3580848&amp;c=444444", "offset 51")</f>
        <v>offset 51</v>
      </c>
    </row>
    <row r="11349" customFormat="false" ht="12.8" hidden="false" customHeight="false" outlineLevel="0" collapsed="false">
      <c r="A11349" s="0" t="s">
        <v>12</v>
      </c>
      <c r="B11349" s="0" t="n">
        <v>3580628</v>
      </c>
      <c r="C11349" s="0" t="n">
        <v>3580648</v>
      </c>
      <c r="D11349" s="0" t="s">
        <v>37664</v>
      </c>
      <c r="E11349" s="0" t="s">
        <v>75</v>
      </c>
      <c r="F11349" s="0" t="s">
        <v>15</v>
      </c>
      <c r="G11349" s="0" t="s">
        <v>32</v>
      </c>
      <c r="H11349" s="0" t="n">
        <v>140</v>
      </c>
      <c r="I11349" s="0" t="s">
        <v>37674</v>
      </c>
      <c r="J11349" s="0" t="s">
        <v>37675</v>
      </c>
      <c r="K11349" s="0" t="s">
        <v>37676</v>
      </c>
      <c r="L11349" s="0" t="str">
        <f aca="false">HYPERLINK("https://www.ncbi.nlm.nih.gov/nuccore/CP000058.1?report=graph&amp;tracks=[key:gene_model_track,Options:GeneOnly]&amp;mk=3580495:3580514|offset_6|444444,3580518:3580537|offset_29|444444,3580540:3580559|offset_51|444444,3580629:3580648|offset_140|00cc00&amp;v=3580294:3580848&amp;c=444444", "offset 140")</f>
        <v>offset 140</v>
      </c>
    </row>
    <row r="11350" customFormat="false" ht="12.8" hidden="false" customHeight="false" outlineLevel="0" collapsed="false">
      <c r="A11350" s="0" t="s">
        <v>12</v>
      </c>
      <c r="B11350" s="0" t="n">
        <v>3580875</v>
      </c>
      <c r="C11350" s="0" t="n">
        <v>3580895</v>
      </c>
      <c r="D11350" s="0" t="s">
        <v>37677</v>
      </c>
      <c r="E11350" s="0" t="s">
        <v>75</v>
      </c>
      <c r="F11350" s="0" t="s">
        <v>15</v>
      </c>
      <c r="G11350" s="0" t="s">
        <v>36</v>
      </c>
      <c r="H11350" s="0" t="n">
        <v>25</v>
      </c>
      <c r="I11350" s="0" t="s">
        <v>37678</v>
      </c>
      <c r="J11350" s="0" t="s">
        <v>37679</v>
      </c>
      <c r="K11350" s="0" t="s">
        <v>37680</v>
      </c>
      <c r="L11350" s="0" t="str">
        <f aca="false">HYPERLINK("https://www.ncbi.nlm.nih.gov/nuccore/CP000058.1?report=graph&amp;tracks=[key:gene_model_track,Options:GeneOnly]&amp;mk=3580876:3580895|offset_25|00cc00,3580897:3580916|offset_46|444444,3580919:3580938|offset_68|444444,3580977:3580996|offset_126|444444&amp;v=3580675:3581196&amp;c=444444", "offset 25")</f>
        <v>offset 25</v>
      </c>
    </row>
    <row r="11351" customFormat="false" ht="12.8" hidden="false" customHeight="false" outlineLevel="0" collapsed="false">
      <c r="A11351" s="0" t="s">
        <v>12</v>
      </c>
      <c r="B11351" s="0" t="n">
        <v>3580896</v>
      </c>
      <c r="C11351" s="0" t="n">
        <v>3580916</v>
      </c>
      <c r="D11351" s="0" t="s">
        <v>37677</v>
      </c>
      <c r="E11351" s="0" t="s">
        <v>75</v>
      </c>
      <c r="F11351" s="0" t="s">
        <v>15</v>
      </c>
      <c r="G11351" s="0" t="s">
        <v>36</v>
      </c>
      <c r="H11351" s="0" t="n">
        <v>46</v>
      </c>
      <c r="I11351" s="0" t="s">
        <v>37681</v>
      </c>
      <c r="J11351" s="0" t="s">
        <v>37682</v>
      </c>
      <c r="K11351" s="0" t="s">
        <v>37683</v>
      </c>
      <c r="L11351" s="0" t="str">
        <f aca="false">HYPERLINK("https://www.ncbi.nlm.nih.gov/nuccore/CP000058.1?report=graph&amp;tracks=[key:gene_model_track,Options:GeneOnly]&amp;mk=3580876:3580895|offset_25|444444,3580897:3580916|offset_46|00cc00,3580919:3580938|offset_68|444444,3580977:3580996|offset_126|444444&amp;v=3580675:3581196&amp;c=444444", "offset 46")</f>
        <v>offset 46</v>
      </c>
    </row>
    <row r="11352" customFormat="false" ht="12.8" hidden="false" customHeight="false" outlineLevel="0" collapsed="false">
      <c r="A11352" s="0" t="s">
        <v>12</v>
      </c>
      <c r="B11352" s="0" t="n">
        <v>3580918</v>
      </c>
      <c r="C11352" s="0" t="n">
        <v>3580938</v>
      </c>
      <c r="D11352" s="0" t="s">
        <v>37677</v>
      </c>
      <c r="E11352" s="0" t="s">
        <v>75</v>
      </c>
      <c r="F11352" s="0" t="s">
        <v>15</v>
      </c>
      <c r="G11352" s="0" t="s">
        <v>20</v>
      </c>
      <c r="H11352" s="0" t="n">
        <v>68</v>
      </c>
      <c r="I11352" s="0" t="s">
        <v>37684</v>
      </c>
      <c r="J11352" s="0" t="s">
        <v>37685</v>
      </c>
      <c r="K11352" s="0" t="s">
        <v>37686</v>
      </c>
      <c r="L11352" s="0" t="str">
        <f aca="false">HYPERLINK("https://www.ncbi.nlm.nih.gov/nuccore/CP000058.1?report=graph&amp;tracks=[key:gene_model_track,Options:GeneOnly]&amp;mk=3580876:3580895|offset_25|444444,3580897:3580916|offset_46|444444,3580919:3580938|offset_68|00cc00,3580977:3580996|offset_126|444444&amp;v=3580675:3581196&amp;c=444444", "offset 68")</f>
        <v>offset 68</v>
      </c>
    </row>
    <row r="11353" customFormat="false" ht="12.8" hidden="false" customHeight="false" outlineLevel="0" collapsed="false">
      <c r="A11353" s="0" t="s">
        <v>12</v>
      </c>
      <c r="B11353" s="0" t="n">
        <v>3580976</v>
      </c>
      <c r="C11353" s="0" t="n">
        <v>3580996</v>
      </c>
      <c r="D11353" s="0" t="s">
        <v>37677</v>
      </c>
      <c r="E11353" s="0" t="s">
        <v>75</v>
      </c>
      <c r="F11353" s="0" t="s">
        <v>15</v>
      </c>
      <c r="G11353" s="0" t="s">
        <v>16</v>
      </c>
      <c r="H11353" s="0" t="n">
        <v>126</v>
      </c>
      <c r="I11353" s="0" t="s">
        <v>37687</v>
      </c>
      <c r="J11353" s="0" t="s">
        <v>37688</v>
      </c>
      <c r="K11353" s="0" t="s">
        <v>37689</v>
      </c>
      <c r="L11353" s="0" t="str">
        <f aca="false">HYPERLINK("https://www.ncbi.nlm.nih.gov/nuccore/CP000058.1?report=graph&amp;tracks=[key:gene_model_track,Options:GeneOnly]&amp;mk=3580876:3580895|offset_25|444444,3580897:3580916|offset_46|444444,3580919:3580938|offset_68|444444,3580977:3580996|offset_126|00cc00&amp;v=3580675:3581196&amp;c=444444", "offset 126")</f>
        <v>offset 126</v>
      </c>
    </row>
    <row r="11354" customFormat="false" ht="12.8" hidden="false" customHeight="false" outlineLevel="0" collapsed="false">
      <c r="A11354" s="0" t="s">
        <v>12</v>
      </c>
      <c r="B11354" s="0" t="n">
        <v>3581211</v>
      </c>
      <c r="C11354" s="0" t="n">
        <v>3581231</v>
      </c>
      <c r="D11354" s="0" t="s">
        <v>37690</v>
      </c>
      <c r="E11354" s="0" t="s">
        <v>75</v>
      </c>
      <c r="F11354" s="0" t="s">
        <v>15</v>
      </c>
      <c r="G11354" s="0" t="s">
        <v>20</v>
      </c>
      <c r="H11354" s="0" t="n">
        <v>65</v>
      </c>
      <c r="I11354" s="0" t="s">
        <v>37691</v>
      </c>
      <c r="J11354" s="0" t="s">
        <v>37692</v>
      </c>
      <c r="K11354" s="0" t="s">
        <v>37693</v>
      </c>
      <c r="L11354" s="0" t="str">
        <f aca="false">HYPERLINK("https://www.ncbi.nlm.nih.gov/nuccore/CP000058.1?report=graph&amp;tracks=[key:gene_model_track,Options:GeneOnly]&amp;mk=3581212:3581231|offset_65|00cc00,3581250:3581269|offset_103|444444,3581277:3581296|offset_130|444444,3581319:3581338|offset_172|444444&amp;v=3581011:3581538&amp;c=444444", "offset 65")</f>
        <v>offset 65</v>
      </c>
    </row>
    <row r="11355" customFormat="false" ht="12.8" hidden="false" customHeight="false" outlineLevel="0" collapsed="false">
      <c r="A11355" s="0" t="s">
        <v>12</v>
      </c>
      <c r="B11355" s="0" t="n">
        <v>3581249</v>
      </c>
      <c r="C11355" s="0" t="n">
        <v>3581269</v>
      </c>
      <c r="D11355" s="0" t="s">
        <v>37690</v>
      </c>
      <c r="E11355" s="0" t="s">
        <v>75</v>
      </c>
      <c r="F11355" s="0" t="s">
        <v>15</v>
      </c>
      <c r="G11355" s="0" t="s">
        <v>16</v>
      </c>
      <c r="H11355" s="0" t="n">
        <v>103</v>
      </c>
      <c r="I11355" s="0" t="s">
        <v>37694</v>
      </c>
      <c r="J11355" s="0" t="s">
        <v>37695</v>
      </c>
      <c r="K11355" s="0" t="s">
        <v>37696</v>
      </c>
      <c r="L11355" s="0" t="str">
        <f aca="false">HYPERLINK("https://www.ncbi.nlm.nih.gov/nuccore/CP000058.1?report=graph&amp;tracks=[key:gene_model_track,Options:GeneOnly]&amp;mk=3581212:3581231|offset_65|444444,3581250:3581269|offset_103|00cc00,3581277:3581296|offset_130|444444,3581319:3581338|offset_172|444444&amp;v=3581011:3581538&amp;c=444444", "offset 103")</f>
        <v>offset 103</v>
      </c>
    </row>
    <row r="11356" customFormat="false" ht="12.8" hidden="false" customHeight="false" outlineLevel="0" collapsed="false">
      <c r="A11356" s="0" t="s">
        <v>12</v>
      </c>
      <c r="B11356" s="0" t="n">
        <v>3581276</v>
      </c>
      <c r="C11356" s="0" t="n">
        <v>3581296</v>
      </c>
      <c r="D11356" s="0" t="s">
        <v>37690</v>
      </c>
      <c r="E11356" s="0" t="s">
        <v>75</v>
      </c>
      <c r="F11356" s="0" t="s">
        <v>15</v>
      </c>
      <c r="G11356" s="0" t="s">
        <v>16</v>
      </c>
      <c r="H11356" s="0" t="n">
        <v>130</v>
      </c>
      <c r="I11356" s="0" t="s">
        <v>37697</v>
      </c>
      <c r="J11356" s="0" t="s">
        <v>37698</v>
      </c>
      <c r="K11356" s="0" t="s">
        <v>37699</v>
      </c>
      <c r="L11356" s="0" t="str">
        <f aca="false">HYPERLINK("https://www.ncbi.nlm.nih.gov/nuccore/CP000058.1?report=graph&amp;tracks=[key:gene_model_track,Options:GeneOnly]&amp;mk=3581212:3581231|offset_65|444444,3581250:3581269|offset_103|444444,3581277:3581296|offset_130|00cc00,3581319:3581338|offset_172|444444&amp;v=3581011:3581538&amp;c=444444", "offset 130")</f>
        <v>offset 130</v>
      </c>
    </row>
    <row r="11357" customFormat="false" ht="12.8" hidden="false" customHeight="false" outlineLevel="0" collapsed="false">
      <c r="A11357" s="0" t="s">
        <v>12</v>
      </c>
      <c r="B11357" s="0" t="n">
        <v>3581318</v>
      </c>
      <c r="C11357" s="0" t="n">
        <v>3581338</v>
      </c>
      <c r="D11357" s="0" t="s">
        <v>37690</v>
      </c>
      <c r="E11357" s="0" t="s">
        <v>75</v>
      </c>
      <c r="F11357" s="0" t="s">
        <v>15</v>
      </c>
      <c r="G11357" s="0" t="s">
        <v>16</v>
      </c>
      <c r="H11357" s="0" t="n">
        <v>172</v>
      </c>
      <c r="I11357" s="0" t="s">
        <v>37700</v>
      </c>
      <c r="J11357" s="0" t="s">
        <v>37701</v>
      </c>
      <c r="K11357" s="0" t="s">
        <v>37702</v>
      </c>
      <c r="L11357" s="0" t="str">
        <f aca="false">HYPERLINK("https://www.ncbi.nlm.nih.gov/nuccore/CP000058.1?report=graph&amp;tracks=[key:gene_model_track,Options:GeneOnly]&amp;mk=3581212:3581231|offset_65|444444,3581250:3581269|offset_103|444444,3581277:3581296|offset_130|444444,3581319:3581338|offset_172|00cc00&amp;v=3581011:3581538&amp;c=444444", "offset 172")</f>
        <v>offset 172</v>
      </c>
    </row>
    <row r="11358" customFormat="false" ht="12.8" hidden="false" customHeight="false" outlineLevel="0" collapsed="false">
      <c r="A11358" s="0" t="s">
        <v>12</v>
      </c>
      <c r="B11358" s="0" t="n">
        <v>3581494</v>
      </c>
      <c r="C11358" s="0" t="n">
        <v>3581514</v>
      </c>
      <c r="D11358" s="0" t="s">
        <v>37703</v>
      </c>
      <c r="E11358" s="0" t="s">
        <v>75</v>
      </c>
      <c r="F11358" s="0" t="s">
        <v>15</v>
      </c>
      <c r="G11358" s="0" t="s">
        <v>16</v>
      </c>
      <c r="H11358" s="0" t="n">
        <v>22</v>
      </c>
      <c r="I11358" s="0" t="s">
        <v>37704</v>
      </c>
      <c r="J11358" s="0" t="s">
        <v>37705</v>
      </c>
      <c r="K11358" s="0" t="s">
        <v>37706</v>
      </c>
      <c r="L11358" s="0" t="str">
        <f aca="false">HYPERLINK("https://www.ncbi.nlm.nih.gov/nuccore/CP000058.1?report=graph&amp;tracks=[key:gene_model_track,Options:GeneOnly]&amp;mk=3581495:3581514|offset_22|00cc00,3581515:3581534|offset_42|444444,3581580:3581599|offset_107|444444,3581606:3581625|offset_133|444444&amp;v=3581294:3581825&amp;c=444444", "offset 22")</f>
        <v>offset 22</v>
      </c>
    </row>
    <row r="11359" customFormat="false" ht="12.8" hidden="false" customHeight="false" outlineLevel="0" collapsed="false">
      <c r="A11359" s="0" t="s">
        <v>12</v>
      </c>
      <c r="B11359" s="0" t="n">
        <v>3581514</v>
      </c>
      <c r="C11359" s="0" t="n">
        <v>3581534</v>
      </c>
      <c r="D11359" s="0" t="s">
        <v>37703</v>
      </c>
      <c r="E11359" s="0" t="s">
        <v>75</v>
      </c>
      <c r="F11359" s="0" t="s">
        <v>15</v>
      </c>
      <c r="G11359" s="0" t="s">
        <v>20</v>
      </c>
      <c r="H11359" s="0" t="n">
        <v>42</v>
      </c>
      <c r="I11359" s="0" t="s">
        <v>37707</v>
      </c>
      <c r="J11359" s="0" t="s">
        <v>37708</v>
      </c>
      <c r="K11359" s="0" t="s">
        <v>37709</v>
      </c>
      <c r="L11359" s="0" t="str">
        <f aca="false">HYPERLINK("https://www.ncbi.nlm.nih.gov/nuccore/CP000058.1?report=graph&amp;tracks=[key:gene_model_track,Options:GeneOnly]&amp;mk=3581495:3581514|offset_22|444444,3581515:3581534|offset_42|00cc00,3581580:3581599|offset_107|444444,3581606:3581625|offset_133|444444&amp;v=3581294:3581825&amp;c=444444", "offset 42")</f>
        <v>offset 42</v>
      </c>
    </row>
    <row r="11360" customFormat="false" ht="12.8" hidden="false" customHeight="false" outlineLevel="0" collapsed="false">
      <c r="A11360" s="0" t="s">
        <v>12</v>
      </c>
      <c r="B11360" s="0" t="n">
        <v>3581579</v>
      </c>
      <c r="C11360" s="0" t="n">
        <v>3581599</v>
      </c>
      <c r="D11360" s="0" t="s">
        <v>37703</v>
      </c>
      <c r="E11360" s="0" t="s">
        <v>75</v>
      </c>
      <c r="F11360" s="0" t="s">
        <v>15</v>
      </c>
      <c r="G11360" s="0" t="s">
        <v>20</v>
      </c>
      <c r="H11360" s="0" t="n">
        <v>107</v>
      </c>
      <c r="I11360" s="0" t="s">
        <v>37710</v>
      </c>
      <c r="J11360" s="0" t="s">
        <v>37711</v>
      </c>
      <c r="K11360" s="0" t="s">
        <v>37712</v>
      </c>
      <c r="L11360" s="0" t="str">
        <f aca="false">HYPERLINK("https://www.ncbi.nlm.nih.gov/nuccore/CP000058.1?report=graph&amp;tracks=[key:gene_model_track,Options:GeneOnly]&amp;mk=3581495:3581514|offset_22|444444,3581515:3581534|offset_42|444444,3581580:3581599|offset_107|00cc00,3581606:3581625|offset_133|444444&amp;v=3581294:3581825&amp;c=444444", "offset 107")</f>
        <v>offset 107</v>
      </c>
    </row>
    <row r="11361" customFormat="false" ht="12.8" hidden="false" customHeight="false" outlineLevel="0" collapsed="false">
      <c r="A11361" s="0" t="s">
        <v>12</v>
      </c>
      <c r="B11361" s="0" t="n">
        <v>3581605</v>
      </c>
      <c r="C11361" s="0" t="n">
        <v>3581625</v>
      </c>
      <c r="D11361" s="0" t="s">
        <v>37703</v>
      </c>
      <c r="E11361" s="0" t="s">
        <v>75</v>
      </c>
      <c r="F11361" s="0" t="s">
        <v>15</v>
      </c>
      <c r="G11361" s="0" t="s">
        <v>32</v>
      </c>
      <c r="H11361" s="0" t="n">
        <v>133</v>
      </c>
      <c r="I11361" s="0" t="s">
        <v>37713</v>
      </c>
      <c r="J11361" s="0" t="s">
        <v>37714</v>
      </c>
      <c r="K11361" s="0" t="s">
        <v>37715</v>
      </c>
      <c r="L11361" s="0" t="str">
        <f aca="false">HYPERLINK("https://www.ncbi.nlm.nih.gov/nuccore/CP000058.1?report=graph&amp;tracks=[key:gene_model_track,Options:GeneOnly]&amp;mk=3581495:3581514|offset_22|444444,3581515:3581534|offset_42|444444,3581580:3581599|offset_107|444444,3581606:3581625|offset_133|00cc00&amp;v=3581294:3581825&amp;c=444444", "offset 133")</f>
        <v>offset 133</v>
      </c>
    </row>
    <row r="11362" customFormat="false" ht="12.8" hidden="false" customHeight="false" outlineLevel="0" collapsed="false">
      <c r="A11362" s="0" t="s">
        <v>12</v>
      </c>
      <c r="B11362" s="0" t="n">
        <v>3584988</v>
      </c>
      <c r="C11362" s="0" t="n">
        <v>3585008</v>
      </c>
      <c r="D11362" s="0" t="s">
        <v>37716</v>
      </c>
      <c r="E11362" s="0" t="s">
        <v>37717</v>
      </c>
      <c r="F11362" s="0" t="s">
        <v>90</v>
      </c>
      <c r="G11362" s="0" t="s">
        <v>16</v>
      </c>
      <c r="H11362" s="0" t="n">
        <v>15</v>
      </c>
      <c r="I11362" s="0" t="s">
        <v>37718</v>
      </c>
      <c r="J11362" s="0" t="s">
        <v>37719</v>
      </c>
      <c r="K11362" s="0" t="s">
        <v>37720</v>
      </c>
      <c r="L11362" s="0" t="str">
        <f aca="false">HYPERLINK("https://www.ncbi.nlm.nih.gov/nuccore/CP000058.1?report=graph&amp;tracks=[key:gene_model_track,Options:GeneOnly]&amp;mk=3584989:3585008|offset_15|00cc00,3584963:3584982|offset_41|444444,3584931:3584950|offset_73|444444,3584907:3584926|offset_97|444444&amp;v=3584788:3585126&amp;c=444444", "offset 15")</f>
        <v>offset 15</v>
      </c>
    </row>
    <row r="11363" customFormat="false" ht="12.8" hidden="false" customHeight="false" outlineLevel="0" collapsed="false">
      <c r="A11363" s="0" t="s">
        <v>12</v>
      </c>
      <c r="B11363" s="0" t="n">
        <v>3584962</v>
      </c>
      <c r="C11363" s="0" t="n">
        <v>3584982</v>
      </c>
      <c r="D11363" s="0" t="s">
        <v>37716</v>
      </c>
      <c r="E11363" s="0" t="s">
        <v>37717</v>
      </c>
      <c r="F11363" s="0" t="s">
        <v>90</v>
      </c>
      <c r="G11363" s="0" t="s">
        <v>16</v>
      </c>
      <c r="H11363" s="0" t="n">
        <v>41</v>
      </c>
      <c r="I11363" s="0" t="s">
        <v>37721</v>
      </c>
      <c r="J11363" s="0" t="s">
        <v>37722</v>
      </c>
      <c r="K11363" s="0" t="s">
        <v>37723</v>
      </c>
      <c r="L11363" s="0" t="str">
        <f aca="false">HYPERLINK("https://www.ncbi.nlm.nih.gov/nuccore/CP000058.1?report=graph&amp;tracks=[key:gene_model_track,Options:GeneOnly]&amp;mk=3584989:3585008|offset_15|444444,3584963:3584982|offset_41|00cc00,3584931:3584950|offset_73|444444,3584907:3584926|offset_97|444444&amp;v=3584788:3585126&amp;c=444444", "offset 41")</f>
        <v>offset 41</v>
      </c>
    </row>
    <row r="11364" customFormat="false" ht="12.8" hidden="false" customHeight="false" outlineLevel="0" collapsed="false">
      <c r="A11364" s="0" t="s">
        <v>12</v>
      </c>
      <c r="B11364" s="0" t="n">
        <v>3584930</v>
      </c>
      <c r="C11364" s="0" t="n">
        <v>3584950</v>
      </c>
      <c r="D11364" s="0" t="s">
        <v>37716</v>
      </c>
      <c r="E11364" s="0" t="s">
        <v>37717</v>
      </c>
      <c r="F11364" s="0" t="s">
        <v>90</v>
      </c>
      <c r="G11364" s="0" t="s">
        <v>36</v>
      </c>
      <c r="H11364" s="0" t="n">
        <v>73</v>
      </c>
      <c r="I11364" s="0" t="s">
        <v>37724</v>
      </c>
      <c r="J11364" s="0" t="s">
        <v>37725</v>
      </c>
      <c r="K11364" s="0" t="s">
        <v>37726</v>
      </c>
      <c r="L11364" s="0" t="str">
        <f aca="false">HYPERLINK("https://www.ncbi.nlm.nih.gov/nuccore/CP000058.1?report=graph&amp;tracks=[key:gene_model_track,Options:GeneOnly]&amp;mk=3584989:3585008|offset_15|444444,3584963:3584982|offset_41|444444,3584931:3584950|offset_73|00cc00,3584907:3584926|offset_97|444444&amp;v=3584788:3585126&amp;c=444444", "offset 73")</f>
        <v>offset 73</v>
      </c>
    </row>
    <row r="11365" customFormat="false" ht="12.8" hidden="false" customHeight="false" outlineLevel="0" collapsed="false">
      <c r="A11365" s="0" t="s">
        <v>12</v>
      </c>
      <c r="B11365" s="0" t="n">
        <v>3584906</v>
      </c>
      <c r="C11365" s="0" t="n">
        <v>3584926</v>
      </c>
      <c r="D11365" s="0" t="s">
        <v>37716</v>
      </c>
      <c r="E11365" s="0" t="s">
        <v>37717</v>
      </c>
      <c r="F11365" s="0" t="s">
        <v>90</v>
      </c>
      <c r="G11365" s="0" t="s">
        <v>16</v>
      </c>
      <c r="H11365" s="0" t="n">
        <v>97</v>
      </c>
      <c r="I11365" s="0" t="s">
        <v>37727</v>
      </c>
      <c r="J11365" s="0" t="s">
        <v>37728</v>
      </c>
      <c r="K11365" s="0" t="s">
        <v>37729</v>
      </c>
      <c r="L11365" s="0" t="str">
        <f aca="false">HYPERLINK("https://www.ncbi.nlm.nih.gov/nuccore/CP000058.1?report=graph&amp;tracks=[key:gene_model_track,Options:GeneOnly]&amp;mk=3584989:3585008|offset_15|444444,3584963:3584982|offset_41|444444,3584931:3584950|offset_73|444444,3584907:3584926|offset_97|00cc00&amp;v=3584788:3585126&amp;c=444444", "offset 97")</f>
        <v>offset 97</v>
      </c>
    </row>
    <row r="11366" customFormat="false" ht="12.8" hidden="false" customHeight="false" outlineLevel="0" collapsed="false">
      <c r="A11366" s="0" t="s">
        <v>12</v>
      </c>
      <c r="B11366" s="0" t="n">
        <v>3586271</v>
      </c>
      <c r="C11366" s="0" t="n">
        <v>3586291</v>
      </c>
      <c r="D11366" s="0" t="s">
        <v>37730</v>
      </c>
      <c r="E11366" s="0" t="s">
        <v>37731</v>
      </c>
      <c r="F11366" s="0" t="s">
        <v>90</v>
      </c>
      <c r="G11366" s="0" t="s">
        <v>32</v>
      </c>
      <c r="H11366" s="0" t="n">
        <v>13</v>
      </c>
      <c r="I11366" s="0" t="s">
        <v>37732</v>
      </c>
      <c r="J11366" s="0" t="s">
        <v>37733</v>
      </c>
      <c r="K11366" s="0" t="s">
        <v>37734</v>
      </c>
      <c r="L11366" s="0" t="str">
        <f aca="false">HYPERLINK("https://www.ncbi.nlm.nih.gov/nuccore/CP000058.1?report=graph&amp;tracks=[key:gene_model_track,Options:GeneOnly]&amp;mk=3586272:3586291|offset_13|00cc00,3586232:3586251|offset_53|444444,3586179:3586198|offset_106|444444,3586158:3586177|offset_127|444444&amp;v=3586071:3586377&amp;c=444444", "offset 13")</f>
        <v>offset 13</v>
      </c>
    </row>
    <row r="11367" customFormat="false" ht="12.8" hidden="false" customHeight="false" outlineLevel="0" collapsed="false">
      <c r="A11367" s="0" t="s">
        <v>12</v>
      </c>
      <c r="B11367" s="0" t="n">
        <v>3586231</v>
      </c>
      <c r="C11367" s="0" t="n">
        <v>3586251</v>
      </c>
      <c r="D11367" s="0" t="s">
        <v>37730</v>
      </c>
      <c r="E11367" s="0" t="s">
        <v>37731</v>
      </c>
      <c r="F11367" s="0" t="s">
        <v>90</v>
      </c>
      <c r="G11367" s="0" t="s">
        <v>20</v>
      </c>
      <c r="H11367" s="0" t="n">
        <v>53</v>
      </c>
      <c r="I11367" s="0" t="s">
        <v>37735</v>
      </c>
      <c r="J11367" s="0" t="s">
        <v>37736</v>
      </c>
      <c r="K11367" s="0" t="s">
        <v>37737</v>
      </c>
      <c r="L11367" s="0" t="str">
        <f aca="false">HYPERLINK("https://www.ncbi.nlm.nih.gov/nuccore/CP000058.1?report=graph&amp;tracks=[key:gene_model_track,Options:GeneOnly]&amp;mk=3586272:3586291|offset_13|444444,3586232:3586251|offset_53|00cc00,3586179:3586198|offset_106|444444,3586158:3586177|offset_127|444444&amp;v=3586071:3586377&amp;c=444444", "offset 53")</f>
        <v>offset 53</v>
      </c>
    </row>
    <row r="11368" customFormat="false" ht="12.8" hidden="false" customHeight="false" outlineLevel="0" collapsed="false">
      <c r="A11368" s="0" t="s">
        <v>12</v>
      </c>
      <c r="B11368" s="0" t="n">
        <v>3586178</v>
      </c>
      <c r="C11368" s="0" t="n">
        <v>3586198</v>
      </c>
      <c r="D11368" s="0" t="s">
        <v>37730</v>
      </c>
      <c r="E11368" s="0" t="s">
        <v>37731</v>
      </c>
      <c r="F11368" s="0" t="s">
        <v>90</v>
      </c>
      <c r="G11368" s="0" t="s">
        <v>36</v>
      </c>
      <c r="H11368" s="0" t="n">
        <v>106</v>
      </c>
      <c r="I11368" s="0" t="s">
        <v>37738</v>
      </c>
      <c r="J11368" s="0" t="s">
        <v>37739</v>
      </c>
      <c r="K11368" s="0" t="s">
        <v>37740</v>
      </c>
      <c r="L11368" s="0" t="str">
        <f aca="false">HYPERLINK("https://www.ncbi.nlm.nih.gov/nuccore/CP000058.1?report=graph&amp;tracks=[key:gene_model_track,Options:GeneOnly]&amp;mk=3586272:3586291|offset_13|444444,3586232:3586251|offset_53|444444,3586179:3586198|offset_106|00cc00,3586158:3586177|offset_127|444444&amp;v=3586071:3586377&amp;c=444444", "offset 106")</f>
        <v>offset 106</v>
      </c>
    </row>
    <row r="11369" customFormat="false" ht="12.8" hidden="false" customHeight="false" outlineLevel="0" collapsed="false">
      <c r="A11369" s="0" t="s">
        <v>12</v>
      </c>
      <c r="B11369" s="0" t="n">
        <v>3586157</v>
      </c>
      <c r="C11369" s="0" t="n">
        <v>3586177</v>
      </c>
      <c r="D11369" s="0" t="s">
        <v>37730</v>
      </c>
      <c r="E11369" s="0" t="s">
        <v>37731</v>
      </c>
      <c r="F11369" s="0" t="s">
        <v>90</v>
      </c>
      <c r="G11369" s="0" t="s">
        <v>36</v>
      </c>
      <c r="H11369" s="0" t="n">
        <v>127</v>
      </c>
      <c r="I11369" s="0" t="s">
        <v>37741</v>
      </c>
      <c r="J11369" s="0" t="s">
        <v>37742</v>
      </c>
      <c r="K11369" s="0" t="s">
        <v>37743</v>
      </c>
      <c r="L11369" s="0" t="str">
        <f aca="false">HYPERLINK("https://www.ncbi.nlm.nih.gov/nuccore/CP000058.1?report=graph&amp;tracks=[key:gene_model_track,Options:GeneOnly]&amp;mk=3586272:3586291|offset_13|444444,3586232:3586251|offset_53|444444,3586179:3586198|offset_106|444444,3586158:3586177|offset_127|00cc00&amp;v=3586071:3586377&amp;c=444444", "offset 127")</f>
        <v>offset 127</v>
      </c>
    </row>
    <row r="11370" customFormat="false" ht="12.8" hidden="false" customHeight="false" outlineLevel="0" collapsed="false">
      <c r="A11370" s="0" t="s">
        <v>12</v>
      </c>
      <c r="B11370" s="0" t="n">
        <v>3586662</v>
      </c>
      <c r="C11370" s="0" t="n">
        <v>3586682</v>
      </c>
      <c r="D11370" s="0" t="s">
        <v>37744</v>
      </c>
      <c r="E11370" s="0" t="s">
        <v>75</v>
      </c>
      <c r="F11370" s="0" t="s">
        <v>90</v>
      </c>
      <c r="G11370" s="0" t="s">
        <v>32</v>
      </c>
      <c r="H11370" s="0" t="n">
        <v>13</v>
      </c>
      <c r="I11370" s="0" t="s">
        <v>37745</v>
      </c>
      <c r="J11370" s="0" t="s">
        <v>37746</v>
      </c>
      <c r="K11370" s="0" t="s">
        <v>37747</v>
      </c>
      <c r="L11370" s="0" t="str">
        <f aca="false">HYPERLINK("https://www.ncbi.nlm.nih.gov/nuccore/CP000058.1?report=graph&amp;tracks=[key:gene_model_track,Options:GeneOnly]&amp;mk=3586663:3586682|offset_13|00cc00,3586642:3586661|offset_34|444444,3586603:3586622|offset_73|444444,3586583:3586602|offset_93|444444&amp;v=3586462:3586802&amp;c=444444", "offset 13")</f>
        <v>offset 13</v>
      </c>
    </row>
    <row r="11371" customFormat="false" ht="12.8" hidden="false" customHeight="false" outlineLevel="0" collapsed="false">
      <c r="A11371" s="0" t="s">
        <v>12</v>
      </c>
      <c r="B11371" s="0" t="n">
        <v>3586641</v>
      </c>
      <c r="C11371" s="0" t="n">
        <v>3586661</v>
      </c>
      <c r="D11371" s="0" t="s">
        <v>37744</v>
      </c>
      <c r="E11371" s="0" t="s">
        <v>75</v>
      </c>
      <c r="F11371" s="0" t="s">
        <v>90</v>
      </c>
      <c r="G11371" s="0" t="s">
        <v>16</v>
      </c>
      <c r="H11371" s="0" t="n">
        <v>34</v>
      </c>
      <c r="I11371" s="0" t="s">
        <v>37748</v>
      </c>
      <c r="J11371" s="0" t="s">
        <v>37749</v>
      </c>
      <c r="K11371" s="0" t="s">
        <v>37750</v>
      </c>
      <c r="L11371" s="0" t="str">
        <f aca="false">HYPERLINK("https://www.ncbi.nlm.nih.gov/nuccore/CP000058.1?report=graph&amp;tracks=[key:gene_model_track,Options:GeneOnly]&amp;mk=3586663:3586682|offset_13|444444,3586642:3586661|offset_34|00cc00,3586603:3586622|offset_73|444444,3586583:3586602|offset_93|444444&amp;v=3586462:3586802&amp;c=444444", "offset 34")</f>
        <v>offset 34</v>
      </c>
    </row>
    <row r="11372" customFormat="false" ht="12.8" hidden="false" customHeight="false" outlineLevel="0" collapsed="false">
      <c r="A11372" s="0" t="s">
        <v>12</v>
      </c>
      <c r="B11372" s="0" t="n">
        <v>3586602</v>
      </c>
      <c r="C11372" s="0" t="n">
        <v>3586622</v>
      </c>
      <c r="D11372" s="0" t="s">
        <v>37744</v>
      </c>
      <c r="E11372" s="0" t="s">
        <v>75</v>
      </c>
      <c r="F11372" s="0" t="s">
        <v>90</v>
      </c>
      <c r="G11372" s="0" t="s">
        <v>20</v>
      </c>
      <c r="H11372" s="0" t="n">
        <v>73</v>
      </c>
      <c r="I11372" s="0" t="s">
        <v>37751</v>
      </c>
      <c r="J11372" s="0" t="s">
        <v>37752</v>
      </c>
      <c r="K11372" s="0" t="s">
        <v>37753</v>
      </c>
      <c r="L11372" s="0" t="str">
        <f aca="false">HYPERLINK("https://www.ncbi.nlm.nih.gov/nuccore/CP000058.1?report=graph&amp;tracks=[key:gene_model_track,Options:GeneOnly]&amp;mk=3586663:3586682|offset_13|444444,3586642:3586661|offset_34|444444,3586603:3586622|offset_73|00cc00,3586583:3586602|offset_93|444444&amp;v=3586462:3586802&amp;c=444444", "offset 73")</f>
        <v>offset 73</v>
      </c>
    </row>
    <row r="11373" customFormat="false" ht="12.8" hidden="false" customHeight="false" outlineLevel="0" collapsed="false">
      <c r="A11373" s="0" t="s">
        <v>12</v>
      </c>
      <c r="B11373" s="0" t="n">
        <v>3586582</v>
      </c>
      <c r="C11373" s="0" t="n">
        <v>3586602</v>
      </c>
      <c r="D11373" s="0" t="s">
        <v>37744</v>
      </c>
      <c r="E11373" s="0" t="s">
        <v>75</v>
      </c>
      <c r="F11373" s="0" t="s">
        <v>90</v>
      </c>
      <c r="G11373" s="0" t="s">
        <v>32</v>
      </c>
      <c r="H11373" s="0" t="n">
        <v>93</v>
      </c>
      <c r="I11373" s="0" t="s">
        <v>37754</v>
      </c>
      <c r="J11373" s="0" t="s">
        <v>37755</v>
      </c>
      <c r="K11373" s="0" t="s">
        <v>37756</v>
      </c>
      <c r="L11373" s="0" t="str">
        <f aca="false">HYPERLINK("https://www.ncbi.nlm.nih.gov/nuccore/CP000058.1?report=graph&amp;tracks=[key:gene_model_track,Options:GeneOnly]&amp;mk=3586663:3586682|offset_13|444444,3586642:3586661|offset_34|444444,3586603:3586622|offset_73|444444,3586583:3586602|offset_93|00cc00&amp;v=3586462:3586802&amp;c=444444", "offset 93")</f>
        <v>offset 93</v>
      </c>
    </row>
    <row r="11374" customFormat="false" ht="12.8" hidden="false" customHeight="false" outlineLevel="0" collapsed="false">
      <c r="A11374" s="0" t="s">
        <v>12</v>
      </c>
      <c r="B11374" s="0" t="n">
        <v>3587980</v>
      </c>
      <c r="C11374" s="0" t="n">
        <v>3588000</v>
      </c>
      <c r="D11374" s="0" t="s">
        <v>37757</v>
      </c>
      <c r="E11374" s="0" t="s">
        <v>75</v>
      </c>
      <c r="F11374" s="0" t="s">
        <v>90</v>
      </c>
      <c r="G11374" s="0" t="s">
        <v>16</v>
      </c>
      <c r="H11374" s="0" t="n">
        <v>17</v>
      </c>
      <c r="I11374" s="0" t="s">
        <v>37758</v>
      </c>
      <c r="J11374" s="0" t="s">
        <v>37759</v>
      </c>
      <c r="K11374" s="0" t="s">
        <v>37760</v>
      </c>
      <c r="L11374" s="0" t="str">
        <f aca="false">HYPERLINK("https://www.ncbi.nlm.nih.gov/nuccore/CP000058.1?report=graph&amp;tracks=[key:gene_model_track,Options:GeneOnly]&amp;mk=3587981:3588000|offset_17|00cc00,3587937:3587956|offset_61|444444,3587898:3587917|offset_100|444444,3587834:3587853|offset_164|444444&amp;v=3587780:3588053&amp;c=444444", "offset 17")</f>
        <v>offset 17</v>
      </c>
    </row>
    <row r="11375" customFormat="false" ht="12.8" hidden="false" customHeight="false" outlineLevel="0" collapsed="false">
      <c r="A11375" s="0" t="s">
        <v>12</v>
      </c>
      <c r="B11375" s="0" t="n">
        <v>3587936</v>
      </c>
      <c r="C11375" s="0" t="n">
        <v>3587956</v>
      </c>
      <c r="D11375" s="0" t="s">
        <v>37757</v>
      </c>
      <c r="E11375" s="0" t="s">
        <v>75</v>
      </c>
      <c r="F11375" s="0" t="s">
        <v>90</v>
      </c>
      <c r="G11375" s="0" t="s">
        <v>32</v>
      </c>
      <c r="H11375" s="0" t="n">
        <v>61</v>
      </c>
      <c r="I11375" s="0" t="s">
        <v>37761</v>
      </c>
      <c r="J11375" s="0" t="s">
        <v>37762</v>
      </c>
      <c r="K11375" s="0" t="s">
        <v>37763</v>
      </c>
      <c r="L11375" s="0" t="str">
        <f aca="false">HYPERLINK("https://www.ncbi.nlm.nih.gov/nuccore/CP000058.1?report=graph&amp;tracks=[key:gene_model_track,Options:GeneOnly]&amp;mk=3587981:3588000|offset_17|444444,3587937:3587956|offset_61|00cc00,3587898:3587917|offset_100|444444,3587834:3587853|offset_164|444444&amp;v=3587780:3588053&amp;c=444444", "offset 61")</f>
        <v>offset 61</v>
      </c>
    </row>
    <row r="11376" customFormat="false" ht="12.8" hidden="false" customHeight="false" outlineLevel="0" collapsed="false">
      <c r="A11376" s="0" t="s">
        <v>12</v>
      </c>
      <c r="B11376" s="0" t="n">
        <v>3587897</v>
      </c>
      <c r="C11376" s="0" t="n">
        <v>3587917</v>
      </c>
      <c r="D11376" s="0" t="s">
        <v>37757</v>
      </c>
      <c r="E11376" s="0" t="s">
        <v>75</v>
      </c>
      <c r="F11376" s="0" t="s">
        <v>90</v>
      </c>
      <c r="G11376" s="0" t="s">
        <v>36</v>
      </c>
      <c r="H11376" s="0" t="n">
        <v>100</v>
      </c>
      <c r="I11376" s="0" t="s">
        <v>37764</v>
      </c>
      <c r="J11376" s="0" t="s">
        <v>37765</v>
      </c>
      <c r="K11376" s="0" t="s">
        <v>37766</v>
      </c>
      <c r="L11376" s="0" t="str">
        <f aca="false">HYPERLINK("https://www.ncbi.nlm.nih.gov/nuccore/CP000058.1?report=graph&amp;tracks=[key:gene_model_track,Options:GeneOnly]&amp;mk=3587981:3588000|offset_17|444444,3587937:3587956|offset_61|444444,3587898:3587917|offset_100|00cc00,3587834:3587853|offset_164|444444&amp;v=3587780:3588053&amp;c=444444", "offset 100")</f>
        <v>offset 100</v>
      </c>
    </row>
    <row r="11377" customFormat="false" ht="12.8" hidden="false" customHeight="false" outlineLevel="0" collapsed="false">
      <c r="A11377" s="0" t="s">
        <v>12</v>
      </c>
      <c r="B11377" s="0" t="n">
        <v>3587833</v>
      </c>
      <c r="C11377" s="0" t="n">
        <v>3587853</v>
      </c>
      <c r="D11377" s="0" t="s">
        <v>37757</v>
      </c>
      <c r="E11377" s="0" t="s">
        <v>75</v>
      </c>
      <c r="F11377" s="0" t="s">
        <v>90</v>
      </c>
      <c r="G11377" s="0" t="s">
        <v>36</v>
      </c>
      <c r="H11377" s="0" t="n">
        <v>164</v>
      </c>
      <c r="I11377" s="0" t="s">
        <v>37767</v>
      </c>
      <c r="J11377" s="0" t="s">
        <v>37768</v>
      </c>
      <c r="K11377" s="0" t="s">
        <v>37769</v>
      </c>
      <c r="L11377" s="0" t="str">
        <f aca="false">HYPERLINK("https://www.ncbi.nlm.nih.gov/nuccore/CP000058.1?report=graph&amp;tracks=[key:gene_model_track,Options:GeneOnly]&amp;mk=3587981:3588000|offset_17|444444,3587937:3587956|offset_61|444444,3587898:3587917|offset_100|444444,3587834:3587853|offset_164|00cc00&amp;v=3587780:3588053&amp;c=444444", "offset 164")</f>
        <v>offset 164</v>
      </c>
    </row>
    <row r="11378" customFormat="false" ht="12.8" hidden="false" customHeight="false" outlineLevel="0" collapsed="false">
      <c r="A11378" s="0" t="s">
        <v>12</v>
      </c>
      <c r="B11378" s="0" t="n">
        <v>3588639</v>
      </c>
      <c r="C11378" s="0" t="n">
        <v>3588659</v>
      </c>
      <c r="D11378" s="0" t="s">
        <v>37770</v>
      </c>
      <c r="E11378" s="0" t="s">
        <v>37771</v>
      </c>
      <c r="F11378" s="0" t="s">
        <v>90</v>
      </c>
      <c r="G11378" s="0" t="s">
        <v>36</v>
      </c>
      <c r="H11378" s="0" t="n">
        <v>0</v>
      </c>
      <c r="I11378" s="0" t="s">
        <v>37772</v>
      </c>
      <c r="J11378" s="0" t="s">
        <v>37773</v>
      </c>
      <c r="K11378" s="0" t="s">
        <v>37774</v>
      </c>
      <c r="L11378" s="0" t="str">
        <f aca="false">HYPERLINK("https://www.ncbi.nlm.nih.gov/nuccore/CP000058.1?report=graph&amp;tracks=[key:gene_model_track,Options:GeneOnly]&amp;mk=3588640:3588659|offset_0|00cc00,3588612:3588631|offset_28|444444,3588585:3588604|offset_55|444444,3588554:3588573|offset_86|444444&amp;v=3588439:3588773&amp;c=444444", "offset 0")</f>
        <v>offset 0</v>
      </c>
    </row>
    <row r="11379" customFormat="false" ht="12.8" hidden="false" customHeight="false" outlineLevel="0" collapsed="false">
      <c r="A11379" s="0" t="s">
        <v>12</v>
      </c>
      <c r="B11379" s="0" t="n">
        <v>3588611</v>
      </c>
      <c r="C11379" s="0" t="n">
        <v>3588631</v>
      </c>
      <c r="D11379" s="0" t="s">
        <v>37770</v>
      </c>
      <c r="E11379" s="0" t="s">
        <v>37771</v>
      </c>
      <c r="F11379" s="0" t="s">
        <v>90</v>
      </c>
      <c r="G11379" s="0" t="s">
        <v>32</v>
      </c>
      <c r="H11379" s="0" t="n">
        <v>28</v>
      </c>
      <c r="I11379" s="0" t="s">
        <v>37775</v>
      </c>
      <c r="J11379" s="0" t="s">
        <v>37776</v>
      </c>
      <c r="K11379" s="0" t="s">
        <v>37777</v>
      </c>
      <c r="L11379" s="0" t="str">
        <f aca="false">HYPERLINK("https://www.ncbi.nlm.nih.gov/nuccore/CP000058.1?report=graph&amp;tracks=[key:gene_model_track,Options:GeneOnly]&amp;mk=3588640:3588659|offset_0|444444,3588612:3588631|offset_28|00cc00,3588585:3588604|offset_55|444444,3588554:3588573|offset_86|444444&amp;v=3588439:3588773&amp;c=444444", "offset 28")</f>
        <v>offset 28</v>
      </c>
    </row>
    <row r="11380" customFormat="false" ht="12.8" hidden="false" customHeight="false" outlineLevel="0" collapsed="false">
      <c r="A11380" s="0" t="s">
        <v>12</v>
      </c>
      <c r="B11380" s="0" t="n">
        <v>3588584</v>
      </c>
      <c r="C11380" s="0" t="n">
        <v>3588604</v>
      </c>
      <c r="D11380" s="0" t="s">
        <v>37770</v>
      </c>
      <c r="E11380" s="0" t="s">
        <v>37771</v>
      </c>
      <c r="F11380" s="0" t="s">
        <v>90</v>
      </c>
      <c r="G11380" s="0" t="s">
        <v>16</v>
      </c>
      <c r="H11380" s="0" t="n">
        <v>55</v>
      </c>
      <c r="I11380" s="0" t="s">
        <v>37778</v>
      </c>
      <c r="J11380" s="0" t="s">
        <v>37779</v>
      </c>
      <c r="K11380" s="0" t="s">
        <v>37780</v>
      </c>
      <c r="L11380" s="0" t="str">
        <f aca="false">HYPERLINK("https://www.ncbi.nlm.nih.gov/nuccore/CP000058.1?report=graph&amp;tracks=[key:gene_model_track,Options:GeneOnly]&amp;mk=3588640:3588659|offset_0|444444,3588612:3588631|offset_28|444444,3588585:3588604|offset_55|00cc00,3588554:3588573|offset_86|444444&amp;v=3588439:3588773&amp;c=444444", "offset 55")</f>
        <v>offset 55</v>
      </c>
    </row>
    <row r="11381" customFormat="false" ht="12.8" hidden="false" customHeight="false" outlineLevel="0" collapsed="false">
      <c r="A11381" s="0" t="s">
        <v>12</v>
      </c>
      <c r="B11381" s="0" t="n">
        <v>3588553</v>
      </c>
      <c r="C11381" s="0" t="n">
        <v>3588573</v>
      </c>
      <c r="D11381" s="0" t="s">
        <v>37770</v>
      </c>
      <c r="E11381" s="0" t="s">
        <v>37771</v>
      </c>
      <c r="F11381" s="0" t="s">
        <v>90</v>
      </c>
      <c r="G11381" s="0" t="s">
        <v>20</v>
      </c>
      <c r="H11381" s="0" t="n">
        <v>86</v>
      </c>
      <c r="I11381" s="0" t="s">
        <v>37781</v>
      </c>
      <c r="J11381" s="0" t="s">
        <v>37782</v>
      </c>
      <c r="K11381" s="0" t="s">
        <v>37783</v>
      </c>
      <c r="L11381" s="0" t="str">
        <f aca="false">HYPERLINK("https://www.ncbi.nlm.nih.gov/nuccore/CP000058.1?report=graph&amp;tracks=[key:gene_model_track,Options:GeneOnly]&amp;mk=3588640:3588659|offset_0|444444,3588612:3588631|offset_28|444444,3588585:3588604|offset_55|444444,3588554:3588573|offset_86|00cc00&amp;v=3588439:3588773&amp;c=444444", "offset 86")</f>
        <v>offset 86</v>
      </c>
    </row>
    <row r="11382" customFormat="false" ht="12.8" hidden="false" customHeight="false" outlineLevel="0" collapsed="false">
      <c r="A11382" s="0" t="s">
        <v>12</v>
      </c>
      <c r="B11382" s="0" t="n">
        <v>3591108</v>
      </c>
      <c r="C11382" s="0" t="n">
        <v>3591128</v>
      </c>
      <c r="D11382" s="0" t="s">
        <v>37784</v>
      </c>
      <c r="E11382" s="0" t="s">
        <v>75</v>
      </c>
      <c r="F11382" s="0" t="s">
        <v>90</v>
      </c>
      <c r="G11382" s="0" t="s">
        <v>32</v>
      </c>
      <c r="H11382" s="0" t="n">
        <v>13</v>
      </c>
      <c r="I11382" s="0" t="s">
        <v>37785</v>
      </c>
      <c r="J11382" s="0" t="s">
        <v>37786</v>
      </c>
      <c r="K11382" s="0" t="s">
        <v>37787</v>
      </c>
      <c r="L11382" s="0" t="str">
        <f aca="false">HYPERLINK("https://www.ncbi.nlm.nih.gov/nuccore/CP000058.1?report=graph&amp;tracks=[key:gene_model_track,Options:GeneOnly]&amp;mk=3591109:3591128|offset_13|00cc00,3591086:3591105|offset_36|444444,3591060:3591079|offset_62|444444,3591034:3591053|offset_88|444444&amp;v=3590908:3591253&amp;c=444444", "offset 13")</f>
        <v>offset 13</v>
      </c>
    </row>
    <row r="11383" customFormat="false" ht="12.8" hidden="false" customHeight="false" outlineLevel="0" collapsed="false">
      <c r="A11383" s="0" t="s">
        <v>12</v>
      </c>
      <c r="B11383" s="0" t="n">
        <v>3591085</v>
      </c>
      <c r="C11383" s="0" t="n">
        <v>3591105</v>
      </c>
      <c r="D11383" s="0" t="s">
        <v>37784</v>
      </c>
      <c r="E11383" s="0" t="s">
        <v>75</v>
      </c>
      <c r="F11383" s="0" t="s">
        <v>90</v>
      </c>
      <c r="G11383" s="0" t="s">
        <v>16</v>
      </c>
      <c r="H11383" s="0" t="n">
        <v>36</v>
      </c>
      <c r="I11383" s="0" t="s">
        <v>37788</v>
      </c>
      <c r="J11383" s="0" t="s">
        <v>37789</v>
      </c>
      <c r="K11383" s="0" t="s">
        <v>37790</v>
      </c>
      <c r="L11383" s="0" t="str">
        <f aca="false">HYPERLINK("https://www.ncbi.nlm.nih.gov/nuccore/CP000058.1?report=graph&amp;tracks=[key:gene_model_track,Options:GeneOnly]&amp;mk=3591109:3591128|offset_13|444444,3591086:3591105|offset_36|00cc00,3591060:3591079|offset_62|444444,3591034:3591053|offset_88|444444&amp;v=3590908:3591253&amp;c=444444", "offset 36")</f>
        <v>offset 36</v>
      </c>
    </row>
    <row r="11384" customFormat="false" ht="12.8" hidden="false" customHeight="false" outlineLevel="0" collapsed="false">
      <c r="A11384" s="0" t="s">
        <v>12</v>
      </c>
      <c r="B11384" s="0" t="n">
        <v>3591059</v>
      </c>
      <c r="C11384" s="0" t="n">
        <v>3591079</v>
      </c>
      <c r="D11384" s="0" t="s">
        <v>37784</v>
      </c>
      <c r="E11384" s="0" t="s">
        <v>75</v>
      </c>
      <c r="F11384" s="0" t="s">
        <v>90</v>
      </c>
      <c r="G11384" s="0" t="s">
        <v>16</v>
      </c>
      <c r="H11384" s="0" t="n">
        <v>62</v>
      </c>
      <c r="I11384" s="0" t="s">
        <v>37791</v>
      </c>
      <c r="J11384" s="0" t="s">
        <v>37792</v>
      </c>
      <c r="K11384" s="0" t="s">
        <v>37793</v>
      </c>
      <c r="L11384" s="0" t="str">
        <f aca="false">HYPERLINK("https://www.ncbi.nlm.nih.gov/nuccore/CP000058.1?report=graph&amp;tracks=[key:gene_model_track,Options:GeneOnly]&amp;mk=3591109:3591128|offset_13|444444,3591086:3591105|offset_36|444444,3591060:3591079|offset_62|00cc00,3591034:3591053|offset_88|444444&amp;v=3590908:3591253&amp;c=444444", "offset 62")</f>
        <v>offset 62</v>
      </c>
    </row>
    <row r="11385" customFormat="false" ht="12.8" hidden="false" customHeight="false" outlineLevel="0" collapsed="false">
      <c r="A11385" s="0" t="s">
        <v>12</v>
      </c>
      <c r="B11385" s="0" t="n">
        <v>3591033</v>
      </c>
      <c r="C11385" s="0" t="n">
        <v>3591053</v>
      </c>
      <c r="D11385" s="0" t="s">
        <v>37784</v>
      </c>
      <c r="E11385" s="0" t="s">
        <v>75</v>
      </c>
      <c r="F11385" s="0" t="s">
        <v>90</v>
      </c>
      <c r="G11385" s="0" t="s">
        <v>20</v>
      </c>
      <c r="H11385" s="0" t="n">
        <v>88</v>
      </c>
      <c r="I11385" s="0" t="s">
        <v>37794</v>
      </c>
      <c r="J11385" s="0" t="s">
        <v>37795</v>
      </c>
      <c r="K11385" s="0" t="s">
        <v>37796</v>
      </c>
      <c r="L11385" s="0" t="str">
        <f aca="false">HYPERLINK("https://www.ncbi.nlm.nih.gov/nuccore/CP000058.1?report=graph&amp;tracks=[key:gene_model_track,Options:GeneOnly]&amp;mk=3591109:3591128|offset_13|444444,3591086:3591105|offset_36|444444,3591060:3591079|offset_62|444444,3591034:3591053|offset_88|00cc00&amp;v=3590908:3591253&amp;c=444444", "offset 88")</f>
        <v>offset 88</v>
      </c>
    </row>
    <row r="11386" customFormat="false" ht="12.8" hidden="false" customHeight="false" outlineLevel="0" collapsed="false">
      <c r="A11386" s="0" t="s">
        <v>12</v>
      </c>
      <c r="B11386" s="0" t="n">
        <v>3591610</v>
      </c>
      <c r="C11386" s="0" t="n">
        <v>3591630</v>
      </c>
      <c r="D11386" s="0" t="s">
        <v>37797</v>
      </c>
      <c r="E11386" s="0" t="s">
        <v>37798</v>
      </c>
      <c r="F11386" s="0" t="s">
        <v>15</v>
      </c>
      <c r="G11386" s="0" t="s">
        <v>32</v>
      </c>
      <c r="H11386" s="0" t="n">
        <v>1</v>
      </c>
      <c r="I11386" s="0" t="s">
        <v>37799</v>
      </c>
      <c r="J11386" s="0" t="s">
        <v>37800</v>
      </c>
      <c r="K11386" s="0" t="s">
        <v>37801</v>
      </c>
      <c r="L11386" s="0" t="str">
        <f aca="false">HYPERLINK("https://www.ncbi.nlm.nih.gov/nuccore/CP000058.1?report=graph&amp;tracks=[key:gene_model_track,Options:GeneOnly]&amp;mk=3591611:3591630|offset_1|00cc00,3591639:3591658|offset_29|444444,3591665:3591684|offset_55|444444,3591692:3591711|offset_82|444444&amp;v=3591410:3591911&amp;c=444444", "offset 1")</f>
        <v>offset 1</v>
      </c>
    </row>
    <row r="11387" customFormat="false" ht="12.8" hidden="false" customHeight="false" outlineLevel="0" collapsed="false">
      <c r="A11387" s="0" t="s">
        <v>12</v>
      </c>
      <c r="B11387" s="0" t="n">
        <v>3591638</v>
      </c>
      <c r="C11387" s="0" t="n">
        <v>3591658</v>
      </c>
      <c r="D11387" s="0" t="s">
        <v>37797</v>
      </c>
      <c r="E11387" s="0" t="s">
        <v>37798</v>
      </c>
      <c r="F11387" s="0" t="s">
        <v>15</v>
      </c>
      <c r="G11387" s="0" t="s">
        <v>20</v>
      </c>
      <c r="H11387" s="0" t="n">
        <v>29</v>
      </c>
      <c r="I11387" s="0" t="s">
        <v>37802</v>
      </c>
      <c r="J11387" s="0" t="s">
        <v>37803</v>
      </c>
      <c r="K11387" s="0" t="s">
        <v>37804</v>
      </c>
      <c r="L11387" s="0" t="str">
        <f aca="false">HYPERLINK("https://www.ncbi.nlm.nih.gov/nuccore/CP000058.1?report=graph&amp;tracks=[key:gene_model_track,Options:GeneOnly]&amp;mk=3591611:3591630|offset_1|444444,3591639:3591658|offset_29|00cc00,3591665:3591684|offset_55|444444,3591692:3591711|offset_82|444444&amp;v=3591410:3591911&amp;c=444444", "offset 29")</f>
        <v>offset 29</v>
      </c>
    </row>
    <row r="11388" customFormat="false" ht="12.8" hidden="false" customHeight="false" outlineLevel="0" collapsed="false">
      <c r="A11388" s="0" t="s">
        <v>12</v>
      </c>
      <c r="B11388" s="0" t="n">
        <v>3591664</v>
      </c>
      <c r="C11388" s="0" t="n">
        <v>3591684</v>
      </c>
      <c r="D11388" s="0" t="s">
        <v>37797</v>
      </c>
      <c r="E11388" s="0" t="s">
        <v>37798</v>
      </c>
      <c r="F11388" s="0" t="s">
        <v>15</v>
      </c>
      <c r="G11388" s="0" t="s">
        <v>36</v>
      </c>
      <c r="H11388" s="0" t="n">
        <v>55</v>
      </c>
      <c r="I11388" s="0" t="s">
        <v>37805</v>
      </c>
      <c r="J11388" s="0" t="s">
        <v>37806</v>
      </c>
      <c r="K11388" s="0" t="s">
        <v>37807</v>
      </c>
      <c r="L11388" s="0" t="str">
        <f aca="false">HYPERLINK("https://www.ncbi.nlm.nih.gov/nuccore/CP000058.1?report=graph&amp;tracks=[key:gene_model_track,Options:GeneOnly]&amp;mk=3591611:3591630|offset_1|444444,3591639:3591658|offset_29|444444,3591665:3591684|offset_55|00cc00,3591692:3591711|offset_82|444444&amp;v=3591410:3591911&amp;c=444444", "offset 55")</f>
        <v>offset 55</v>
      </c>
    </row>
    <row r="11389" customFormat="false" ht="12.8" hidden="false" customHeight="false" outlineLevel="0" collapsed="false">
      <c r="A11389" s="0" t="s">
        <v>12</v>
      </c>
      <c r="B11389" s="0" t="n">
        <v>3591691</v>
      </c>
      <c r="C11389" s="0" t="n">
        <v>3591711</v>
      </c>
      <c r="D11389" s="0" t="s">
        <v>37797</v>
      </c>
      <c r="E11389" s="0" t="s">
        <v>37798</v>
      </c>
      <c r="F11389" s="0" t="s">
        <v>15</v>
      </c>
      <c r="G11389" s="0" t="s">
        <v>16</v>
      </c>
      <c r="H11389" s="0" t="n">
        <v>82</v>
      </c>
      <c r="I11389" s="0" t="s">
        <v>37808</v>
      </c>
      <c r="J11389" s="0" t="s">
        <v>37809</v>
      </c>
      <c r="K11389" s="0" t="s">
        <v>37810</v>
      </c>
      <c r="L11389" s="0" t="str">
        <f aca="false">HYPERLINK("https://www.ncbi.nlm.nih.gov/nuccore/CP000058.1?report=graph&amp;tracks=[key:gene_model_track,Options:GeneOnly]&amp;mk=3591611:3591630|offset_1|444444,3591639:3591658|offset_29|444444,3591665:3591684|offset_55|444444,3591692:3591711|offset_82|00cc00&amp;v=3591410:3591911&amp;c=444444", "offset 82")</f>
        <v>offset 82</v>
      </c>
    </row>
    <row r="11390" customFormat="false" ht="12.8" hidden="false" customHeight="false" outlineLevel="0" collapsed="false">
      <c r="A11390" s="0" t="s">
        <v>12</v>
      </c>
      <c r="B11390" s="0" t="n">
        <v>3592348</v>
      </c>
      <c r="C11390" s="0" t="n">
        <v>3592368</v>
      </c>
      <c r="D11390" s="0" t="s">
        <v>37811</v>
      </c>
      <c r="E11390" s="0" t="s">
        <v>75</v>
      </c>
      <c r="F11390" s="0" t="s">
        <v>15</v>
      </c>
      <c r="G11390" s="0" t="s">
        <v>32</v>
      </c>
      <c r="H11390" s="0" t="n">
        <v>1</v>
      </c>
      <c r="I11390" s="0" t="s">
        <v>37812</v>
      </c>
      <c r="J11390" s="0" t="s">
        <v>37813</v>
      </c>
      <c r="K11390" s="0" t="s">
        <v>37814</v>
      </c>
      <c r="L11390" s="0" t="str">
        <f aca="false">HYPERLINK("https://www.ncbi.nlm.nih.gov/nuccore/CP000058.1?report=graph&amp;tracks=[key:gene_model_track,Options:GeneOnly]&amp;mk=3592349:3592368|offset_1|00cc00,3592382:3592401|offset_34|444444,3592407:3592426|offset_59|444444,3592430:3592449|offset_82|444444&amp;v=3592148:3592649&amp;c=444444", "offset 1")</f>
        <v>offset 1</v>
      </c>
    </row>
    <row r="11391" customFormat="false" ht="12.8" hidden="false" customHeight="false" outlineLevel="0" collapsed="false">
      <c r="A11391" s="0" t="s">
        <v>12</v>
      </c>
      <c r="B11391" s="0" t="n">
        <v>3592381</v>
      </c>
      <c r="C11391" s="0" t="n">
        <v>3592401</v>
      </c>
      <c r="D11391" s="0" t="s">
        <v>37811</v>
      </c>
      <c r="E11391" s="0" t="s">
        <v>75</v>
      </c>
      <c r="F11391" s="0" t="s">
        <v>15</v>
      </c>
      <c r="G11391" s="0" t="s">
        <v>32</v>
      </c>
      <c r="H11391" s="0" t="n">
        <v>34</v>
      </c>
      <c r="I11391" s="0" t="s">
        <v>37815</v>
      </c>
      <c r="J11391" s="0" t="s">
        <v>37816</v>
      </c>
      <c r="K11391" s="0" t="s">
        <v>37817</v>
      </c>
      <c r="L11391" s="0" t="str">
        <f aca="false">HYPERLINK("https://www.ncbi.nlm.nih.gov/nuccore/CP000058.1?report=graph&amp;tracks=[key:gene_model_track,Options:GeneOnly]&amp;mk=3592349:3592368|offset_1|444444,3592382:3592401|offset_34|00cc00,3592407:3592426|offset_59|444444,3592430:3592449|offset_82|444444&amp;v=3592148:3592649&amp;c=444444", "offset 34")</f>
        <v>offset 34</v>
      </c>
    </row>
    <row r="11392" customFormat="false" ht="12.8" hidden="false" customHeight="false" outlineLevel="0" collapsed="false">
      <c r="A11392" s="0" t="s">
        <v>12</v>
      </c>
      <c r="B11392" s="0" t="n">
        <v>3592406</v>
      </c>
      <c r="C11392" s="0" t="n">
        <v>3592426</v>
      </c>
      <c r="D11392" s="0" t="s">
        <v>37811</v>
      </c>
      <c r="E11392" s="0" t="s">
        <v>75</v>
      </c>
      <c r="F11392" s="0" t="s">
        <v>15</v>
      </c>
      <c r="G11392" s="0" t="s">
        <v>20</v>
      </c>
      <c r="H11392" s="0" t="n">
        <v>59</v>
      </c>
      <c r="I11392" s="0" t="s">
        <v>37818</v>
      </c>
      <c r="J11392" s="0" t="s">
        <v>37819</v>
      </c>
      <c r="K11392" s="0" t="s">
        <v>37820</v>
      </c>
      <c r="L11392" s="0" t="str">
        <f aca="false">HYPERLINK("https://www.ncbi.nlm.nih.gov/nuccore/CP000058.1?report=graph&amp;tracks=[key:gene_model_track,Options:GeneOnly]&amp;mk=3592349:3592368|offset_1|444444,3592382:3592401|offset_34|444444,3592407:3592426|offset_59|00cc00,3592430:3592449|offset_82|444444&amp;v=3592148:3592649&amp;c=444444", "offset 59")</f>
        <v>offset 59</v>
      </c>
    </row>
    <row r="11393" customFormat="false" ht="12.8" hidden="false" customHeight="false" outlineLevel="0" collapsed="false">
      <c r="A11393" s="0" t="s">
        <v>12</v>
      </c>
      <c r="B11393" s="0" t="n">
        <v>3592429</v>
      </c>
      <c r="C11393" s="0" t="n">
        <v>3592449</v>
      </c>
      <c r="D11393" s="0" t="s">
        <v>37811</v>
      </c>
      <c r="E11393" s="0" t="s">
        <v>75</v>
      </c>
      <c r="F11393" s="0" t="s">
        <v>15</v>
      </c>
      <c r="G11393" s="0" t="s">
        <v>36</v>
      </c>
      <c r="H11393" s="0" t="n">
        <v>82</v>
      </c>
      <c r="I11393" s="0" t="s">
        <v>37821</v>
      </c>
      <c r="J11393" s="0" t="s">
        <v>37822</v>
      </c>
      <c r="K11393" s="0" t="s">
        <v>37823</v>
      </c>
      <c r="L11393" s="0" t="str">
        <f aca="false">HYPERLINK("https://www.ncbi.nlm.nih.gov/nuccore/CP000058.1?report=graph&amp;tracks=[key:gene_model_track,Options:GeneOnly]&amp;mk=3592349:3592368|offset_1|444444,3592382:3592401|offset_34|444444,3592407:3592426|offset_59|444444,3592430:3592449|offset_82|00cc00&amp;v=3592148:3592649&amp;c=444444", "offset 82")</f>
        <v>offset 82</v>
      </c>
    </row>
    <row r="11394" customFormat="false" ht="12.8" hidden="false" customHeight="false" outlineLevel="0" collapsed="false">
      <c r="A11394" s="0" t="s">
        <v>12</v>
      </c>
      <c r="B11394" s="0" t="n">
        <v>3593205</v>
      </c>
      <c r="C11394" s="0" t="n">
        <v>3593225</v>
      </c>
      <c r="D11394" s="0" t="s">
        <v>37824</v>
      </c>
      <c r="E11394" s="0" t="s">
        <v>37825</v>
      </c>
      <c r="F11394" s="0" t="s">
        <v>15</v>
      </c>
      <c r="G11394" s="0" t="s">
        <v>36</v>
      </c>
      <c r="H11394" s="0" t="n">
        <v>49</v>
      </c>
      <c r="I11394" s="0" t="s">
        <v>37826</v>
      </c>
      <c r="J11394" s="0" t="s">
        <v>37827</v>
      </c>
      <c r="K11394" s="0" t="s">
        <v>37828</v>
      </c>
      <c r="L11394" s="0" t="str">
        <f aca="false">HYPERLINK("https://www.ncbi.nlm.nih.gov/nuccore/CP000058.1?report=graph&amp;tracks=[key:gene_model_track,Options:GeneOnly]&amp;mk=3593206:3593225|offset_49|00cc00,3593257:3593276|offset_100|444444,3593294:3593313|offset_137|444444,3593334:3593353|offset_177|444444&amp;v=3593005:3593553&amp;c=444444", "offset 49")</f>
        <v>offset 49</v>
      </c>
    </row>
    <row r="11395" customFormat="false" ht="12.8" hidden="false" customHeight="false" outlineLevel="0" collapsed="false">
      <c r="A11395" s="0" t="s">
        <v>12</v>
      </c>
      <c r="B11395" s="0" t="n">
        <v>3593256</v>
      </c>
      <c r="C11395" s="0" t="n">
        <v>3593276</v>
      </c>
      <c r="D11395" s="0" t="s">
        <v>37824</v>
      </c>
      <c r="E11395" s="0" t="s">
        <v>37825</v>
      </c>
      <c r="F11395" s="0" t="s">
        <v>15</v>
      </c>
      <c r="G11395" s="0" t="s">
        <v>16</v>
      </c>
      <c r="H11395" s="0" t="n">
        <v>100</v>
      </c>
      <c r="I11395" s="0" t="s">
        <v>37829</v>
      </c>
      <c r="J11395" s="0" t="s">
        <v>37830</v>
      </c>
      <c r="K11395" s="0" t="s">
        <v>37831</v>
      </c>
      <c r="L11395" s="0" t="str">
        <f aca="false">HYPERLINK("https://www.ncbi.nlm.nih.gov/nuccore/CP000058.1?report=graph&amp;tracks=[key:gene_model_track,Options:GeneOnly]&amp;mk=3593206:3593225|offset_49|444444,3593257:3593276|offset_100|00cc00,3593294:3593313|offset_137|444444,3593334:3593353|offset_177|444444&amp;v=3593005:3593553&amp;c=444444", "offset 100")</f>
        <v>offset 100</v>
      </c>
    </row>
    <row r="11396" customFormat="false" ht="12.8" hidden="false" customHeight="false" outlineLevel="0" collapsed="false">
      <c r="A11396" s="0" t="s">
        <v>12</v>
      </c>
      <c r="B11396" s="0" t="n">
        <v>3593293</v>
      </c>
      <c r="C11396" s="0" t="n">
        <v>3593313</v>
      </c>
      <c r="D11396" s="0" t="s">
        <v>37824</v>
      </c>
      <c r="E11396" s="0" t="s">
        <v>37825</v>
      </c>
      <c r="F11396" s="0" t="s">
        <v>15</v>
      </c>
      <c r="G11396" s="0" t="s">
        <v>16</v>
      </c>
      <c r="H11396" s="0" t="n">
        <v>137</v>
      </c>
      <c r="I11396" s="0" t="s">
        <v>37832</v>
      </c>
      <c r="J11396" s="0" t="s">
        <v>37833</v>
      </c>
      <c r="K11396" s="0" t="s">
        <v>37834</v>
      </c>
      <c r="L11396" s="0" t="str">
        <f aca="false">HYPERLINK("https://www.ncbi.nlm.nih.gov/nuccore/CP000058.1?report=graph&amp;tracks=[key:gene_model_track,Options:GeneOnly]&amp;mk=3593206:3593225|offset_49|444444,3593257:3593276|offset_100|444444,3593294:3593313|offset_137|00cc00,3593334:3593353|offset_177|444444&amp;v=3593005:3593553&amp;c=444444", "offset 137")</f>
        <v>offset 137</v>
      </c>
    </row>
    <row r="11397" customFormat="false" ht="12.8" hidden="false" customHeight="false" outlineLevel="0" collapsed="false">
      <c r="A11397" s="0" t="s">
        <v>12</v>
      </c>
      <c r="B11397" s="0" t="n">
        <v>3593333</v>
      </c>
      <c r="C11397" s="0" t="n">
        <v>3593353</v>
      </c>
      <c r="D11397" s="0" t="s">
        <v>37824</v>
      </c>
      <c r="E11397" s="0" t="s">
        <v>37825</v>
      </c>
      <c r="F11397" s="0" t="s">
        <v>15</v>
      </c>
      <c r="G11397" s="0" t="s">
        <v>36</v>
      </c>
      <c r="H11397" s="0" t="n">
        <v>177</v>
      </c>
      <c r="I11397" s="0" t="s">
        <v>37835</v>
      </c>
      <c r="J11397" s="0" t="s">
        <v>37836</v>
      </c>
      <c r="K11397" s="0" t="s">
        <v>37837</v>
      </c>
      <c r="L11397" s="0" t="str">
        <f aca="false">HYPERLINK("https://www.ncbi.nlm.nih.gov/nuccore/CP000058.1?report=graph&amp;tracks=[key:gene_model_track,Options:GeneOnly]&amp;mk=3593206:3593225|offset_49|444444,3593257:3593276|offset_100|444444,3593294:3593313|offset_137|444444,3593334:3593353|offset_177|00cc00&amp;v=3593005:3593553&amp;c=444444", "offset 177")</f>
        <v>offset 177</v>
      </c>
    </row>
    <row r="11398" customFormat="false" ht="12.8" hidden="false" customHeight="false" outlineLevel="0" collapsed="false">
      <c r="A11398" s="0" t="s">
        <v>12</v>
      </c>
      <c r="B11398" s="0" t="n">
        <v>3595734</v>
      </c>
      <c r="C11398" s="0" t="n">
        <v>3595754</v>
      </c>
      <c r="D11398" s="0" t="s">
        <v>37838</v>
      </c>
      <c r="E11398" s="0" t="s">
        <v>37839</v>
      </c>
      <c r="F11398" s="0" t="s">
        <v>90</v>
      </c>
      <c r="G11398" s="0" t="s">
        <v>16</v>
      </c>
      <c r="H11398" s="0" t="n">
        <v>11</v>
      </c>
      <c r="I11398" s="0" t="s">
        <v>37840</v>
      </c>
      <c r="J11398" s="0" t="s">
        <v>37841</v>
      </c>
      <c r="K11398" s="0" t="s">
        <v>37842</v>
      </c>
      <c r="L11398" s="0" t="str">
        <f aca="false">HYPERLINK("https://www.ncbi.nlm.nih.gov/nuccore/CP000058.1?report=graph&amp;tracks=[key:gene_model_track,Options:GeneOnly]&amp;mk=3595735:3595754|offset_11|00cc00,3595706:3595725|offset_40|444444,3595657:3595676|offset_89|444444,3595622:3595641|offset_124|444444&amp;v=3595534:3595841&amp;c=444444", "offset 11")</f>
        <v>offset 11</v>
      </c>
    </row>
    <row r="11399" customFormat="false" ht="12.8" hidden="false" customHeight="false" outlineLevel="0" collapsed="false">
      <c r="A11399" s="0" t="s">
        <v>12</v>
      </c>
      <c r="B11399" s="0" t="n">
        <v>3595705</v>
      </c>
      <c r="C11399" s="0" t="n">
        <v>3595725</v>
      </c>
      <c r="D11399" s="0" t="s">
        <v>37838</v>
      </c>
      <c r="E11399" s="0" t="s">
        <v>37839</v>
      </c>
      <c r="F11399" s="0" t="s">
        <v>90</v>
      </c>
      <c r="G11399" s="0" t="s">
        <v>20</v>
      </c>
      <c r="H11399" s="0" t="n">
        <v>40</v>
      </c>
      <c r="I11399" s="0" t="s">
        <v>37843</v>
      </c>
      <c r="J11399" s="0" t="s">
        <v>37844</v>
      </c>
      <c r="K11399" s="0" t="s">
        <v>37845</v>
      </c>
      <c r="L11399" s="0" t="str">
        <f aca="false">HYPERLINK("https://www.ncbi.nlm.nih.gov/nuccore/CP000058.1?report=graph&amp;tracks=[key:gene_model_track,Options:GeneOnly]&amp;mk=3595735:3595754|offset_11|444444,3595706:3595725|offset_40|00cc00,3595657:3595676|offset_89|444444,3595622:3595641|offset_124|444444&amp;v=3595534:3595841&amp;c=444444", "offset 40")</f>
        <v>offset 40</v>
      </c>
    </row>
    <row r="11400" customFormat="false" ht="12.8" hidden="false" customHeight="false" outlineLevel="0" collapsed="false">
      <c r="A11400" s="0" t="s">
        <v>12</v>
      </c>
      <c r="B11400" s="0" t="n">
        <v>3595656</v>
      </c>
      <c r="C11400" s="0" t="n">
        <v>3595676</v>
      </c>
      <c r="D11400" s="0" t="s">
        <v>37838</v>
      </c>
      <c r="E11400" s="0" t="s">
        <v>37839</v>
      </c>
      <c r="F11400" s="0" t="s">
        <v>90</v>
      </c>
      <c r="G11400" s="0" t="s">
        <v>20</v>
      </c>
      <c r="H11400" s="0" t="n">
        <v>89</v>
      </c>
      <c r="I11400" s="0" t="s">
        <v>37846</v>
      </c>
      <c r="J11400" s="0" t="s">
        <v>37847</v>
      </c>
      <c r="K11400" s="0" t="s">
        <v>37848</v>
      </c>
      <c r="L11400" s="0" t="str">
        <f aca="false">HYPERLINK("https://www.ncbi.nlm.nih.gov/nuccore/CP000058.1?report=graph&amp;tracks=[key:gene_model_track,Options:GeneOnly]&amp;mk=3595735:3595754|offset_11|444444,3595706:3595725|offset_40|444444,3595657:3595676|offset_89|00cc00,3595622:3595641|offset_124|444444&amp;v=3595534:3595841&amp;c=444444", "offset 89")</f>
        <v>offset 89</v>
      </c>
    </row>
    <row r="11401" customFormat="false" ht="12.8" hidden="false" customHeight="false" outlineLevel="0" collapsed="false">
      <c r="A11401" s="0" t="s">
        <v>12</v>
      </c>
      <c r="B11401" s="0" t="n">
        <v>3595621</v>
      </c>
      <c r="C11401" s="0" t="n">
        <v>3595641</v>
      </c>
      <c r="D11401" s="0" t="s">
        <v>37838</v>
      </c>
      <c r="E11401" s="0" t="s">
        <v>37839</v>
      </c>
      <c r="F11401" s="0" t="s">
        <v>90</v>
      </c>
      <c r="G11401" s="0" t="s">
        <v>32</v>
      </c>
      <c r="H11401" s="0" t="n">
        <v>124</v>
      </c>
      <c r="I11401" s="0" t="s">
        <v>37849</v>
      </c>
      <c r="J11401" s="0" t="s">
        <v>37850</v>
      </c>
      <c r="K11401" s="0" t="s">
        <v>37851</v>
      </c>
      <c r="L11401" s="0" t="str">
        <f aca="false">HYPERLINK("https://www.ncbi.nlm.nih.gov/nuccore/CP000058.1?report=graph&amp;tracks=[key:gene_model_track,Options:GeneOnly]&amp;mk=3595735:3595754|offset_11|444444,3595706:3595725|offset_40|444444,3595657:3595676|offset_89|444444,3595622:3595641|offset_124|00cc00&amp;v=3595534:3595841&amp;c=444444", "offset 124")</f>
        <v>offset 124</v>
      </c>
    </row>
    <row r="11402" customFormat="false" ht="12.8" hidden="false" customHeight="false" outlineLevel="0" collapsed="false">
      <c r="A11402" s="0" t="s">
        <v>12</v>
      </c>
      <c r="B11402" s="0" t="n">
        <v>3596138</v>
      </c>
      <c r="C11402" s="0" t="n">
        <v>3596158</v>
      </c>
      <c r="D11402" s="0" t="s">
        <v>37852</v>
      </c>
      <c r="E11402" s="0" t="s">
        <v>75</v>
      </c>
      <c r="F11402" s="0" t="s">
        <v>90</v>
      </c>
      <c r="G11402" s="0" t="s">
        <v>36</v>
      </c>
      <c r="H11402" s="0" t="n">
        <v>0</v>
      </c>
      <c r="I11402" s="0" t="s">
        <v>37853</v>
      </c>
      <c r="J11402" s="0" t="s">
        <v>37854</v>
      </c>
      <c r="K11402" s="0" t="s">
        <v>37855</v>
      </c>
      <c r="L11402" s="0" t="str">
        <f aca="false">HYPERLINK("https://www.ncbi.nlm.nih.gov/nuccore/CP000058.1?report=graph&amp;tracks=[key:gene_model_track,Options:GeneOnly]&amp;mk=3596139:3596158|offset_0|00cc00,3596091:3596110|offset_48|444444,3596045:3596064|offset_94|444444,3596025:3596044|offset_114|444444&amp;v=3595938:3596244&amp;c=444444", "offset 0")</f>
        <v>offset 0</v>
      </c>
    </row>
    <row r="11403" customFormat="false" ht="12.8" hidden="false" customHeight="false" outlineLevel="0" collapsed="false">
      <c r="A11403" s="0" t="s">
        <v>12</v>
      </c>
      <c r="B11403" s="0" t="n">
        <v>3596090</v>
      </c>
      <c r="C11403" s="0" t="n">
        <v>3596110</v>
      </c>
      <c r="D11403" s="0" t="s">
        <v>37852</v>
      </c>
      <c r="E11403" s="0" t="s">
        <v>75</v>
      </c>
      <c r="F11403" s="0" t="s">
        <v>90</v>
      </c>
      <c r="G11403" s="0" t="s">
        <v>16</v>
      </c>
      <c r="H11403" s="0" t="n">
        <v>48</v>
      </c>
      <c r="I11403" s="0" t="s">
        <v>37856</v>
      </c>
      <c r="J11403" s="0" t="s">
        <v>37857</v>
      </c>
      <c r="K11403" s="0" t="s">
        <v>37858</v>
      </c>
      <c r="L11403" s="0" t="str">
        <f aca="false">HYPERLINK("https://www.ncbi.nlm.nih.gov/nuccore/CP000058.1?report=graph&amp;tracks=[key:gene_model_track,Options:GeneOnly]&amp;mk=3596139:3596158|offset_0|444444,3596091:3596110|offset_48|00cc00,3596045:3596064|offset_94|444444,3596025:3596044|offset_114|444444&amp;v=3595938:3596244&amp;c=444444", "offset 48")</f>
        <v>offset 48</v>
      </c>
    </row>
    <row r="11404" customFormat="false" ht="12.8" hidden="false" customHeight="false" outlineLevel="0" collapsed="false">
      <c r="A11404" s="0" t="s">
        <v>12</v>
      </c>
      <c r="B11404" s="0" t="n">
        <v>3596044</v>
      </c>
      <c r="C11404" s="0" t="n">
        <v>3596064</v>
      </c>
      <c r="D11404" s="0" t="s">
        <v>37852</v>
      </c>
      <c r="E11404" s="0" t="s">
        <v>75</v>
      </c>
      <c r="F11404" s="0" t="s">
        <v>90</v>
      </c>
      <c r="G11404" s="0" t="s">
        <v>32</v>
      </c>
      <c r="H11404" s="0" t="n">
        <v>94</v>
      </c>
      <c r="I11404" s="0" t="s">
        <v>37859</v>
      </c>
      <c r="J11404" s="0" t="s">
        <v>37860</v>
      </c>
      <c r="K11404" s="0" t="s">
        <v>37861</v>
      </c>
      <c r="L11404" s="0" t="str">
        <f aca="false">HYPERLINK("https://www.ncbi.nlm.nih.gov/nuccore/CP000058.1?report=graph&amp;tracks=[key:gene_model_track,Options:GeneOnly]&amp;mk=3596139:3596158|offset_0|444444,3596091:3596110|offset_48|444444,3596045:3596064|offset_94|00cc00,3596025:3596044|offset_114|444444&amp;v=3595938:3596244&amp;c=444444", "offset 94")</f>
        <v>offset 94</v>
      </c>
    </row>
    <row r="11405" customFormat="false" ht="12.8" hidden="false" customHeight="false" outlineLevel="0" collapsed="false">
      <c r="A11405" s="0" t="s">
        <v>12</v>
      </c>
      <c r="B11405" s="0" t="n">
        <v>3596024</v>
      </c>
      <c r="C11405" s="0" t="n">
        <v>3596044</v>
      </c>
      <c r="D11405" s="0" t="s">
        <v>37852</v>
      </c>
      <c r="E11405" s="0" t="s">
        <v>75</v>
      </c>
      <c r="F11405" s="0" t="s">
        <v>90</v>
      </c>
      <c r="G11405" s="0" t="s">
        <v>32</v>
      </c>
      <c r="H11405" s="0" t="n">
        <v>114</v>
      </c>
      <c r="I11405" s="0" t="s">
        <v>37862</v>
      </c>
      <c r="J11405" s="0" t="s">
        <v>37863</v>
      </c>
      <c r="K11405" s="0" t="s">
        <v>37864</v>
      </c>
      <c r="L11405" s="0" t="str">
        <f aca="false">HYPERLINK("https://www.ncbi.nlm.nih.gov/nuccore/CP000058.1?report=graph&amp;tracks=[key:gene_model_track,Options:GeneOnly]&amp;mk=3596139:3596158|offset_0|444444,3596091:3596110|offset_48|444444,3596045:3596064|offset_94|444444,3596025:3596044|offset_114|00cc00&amp;v=3595938:3596244&amp;c=444444", "offset 114")</f>
        <v>offset 114</v>
      </c>
    </row>
    <row r="11406" customFormat="false" ht="12.8" hidden="false" customHeight="false" outlineLevel="0" collapsed="false">
      <c r="A11406" s="0" t="s">
        <v>12</v>
      </c>
      <c r="B11406" s="0" t="n">
        <v>3596449</v>
      </c>
      <c r="C11406" s="0" t="n">
        <v>3596469</v>
      </c>
      <c r="D11406" s="0" t="s">
        <v>37865</v>
      </c>
      <c r="E11406" s="0" t="s">
        <v>37866</v>
      </c>
      <c r="F11406" s="0" t="s">
        <v>15</v>
      </c>
      <c r="G11406" s="0" t="s">
        <v>16</v>
      </c>
      <c r="H11406" s="0" t="n">
        <v>78</v>
      </c>
      <c r="I11406" s="0" t="s">
        <v>37867</v>
      </c>
      <c r="J11406" s="0" t="s">
        <v>37868</v>
      </c>
      <c r="K11406" s="0" t="s">
        <v>37869</v>
      </c>
      <c r="L11406" s="0" t="str">
        <f aca="false">HYPERLINK("https://www.ncbi.nlm.nih.gov/nuccore/CP000058.1?report=graph&amp;tracks=[key:gene_model_track,Options:GeneOnly]&amp;mk=3596450:3596469|offset_78|00cc00,3596470:3596489|offset_98|444444,3596505:3596524|offset_133|444444,3596549:3596568|offset_177|444444&amp;v=3596249:3596768&amp;c=444444", "offset 78")</f>
        <v>offset 78</v>
      </c>
    </row>
    <row r="11407" customFormat="false" ht="12.8" hidden="false" customHeight="false" outlineLevel="0" collapsed="false">
      <c r="A11407" s="0" t="s">
        <v>12</v>
      </c>
      <c r="B11407" s="0" t="n">
        <v>3596469</v>
      </c>
      <c r="C11407" s="0" t="n">
        <v>3596489</v>
      </c>
      <c r="D11407" s="0" t="s">
        <v>37865</v>
      </c>
      <c r="E11407" s="0" t="s">
        <v>37866</v>
      </c>
      <c r="F11407" s="0" t="s">
        <v>15</v>
      </c>
      <c r="G11407" s="0" t="s">
        <v>32</v>
      </c>
      <c r="H11407" s="0" t="n">
        <v>98</v>
      </c>
      <c r="I11407" s="0" t="s">
        <v>37870</v>
      </c>
      <c r="J11407" s="0" t="s">
        <v>37871</v>
      </c>
      <c r="K11407" s="0" t="s">
        <v>37872</v>
      </c>
      <c r="L11407" s="0" t="str">
        <f aca="false">HYPERLINK("https://www.ncbi.nlm.nih.gov/nuccore/CP000058.1?report=graph&amp;tracks=[key:gene_model_track,Options:GeneOnly]&amp;mk=3596450:3596469|offset_78|444444,3596470:3596489|offset_98|00cc00,3596505:3596524|offset_133|444444,3596549:3596568|offset_177|444444&amp;v=3596249:3596768&amp;c=444444", "offset 98")</f>
        <v>offset 98</v>
      </c>
    </row>
    <row r="11408" customFormat="false" ht="12.8" hidden="false" customHeight="false" outlineLevel="0" collapsed="false">
      <c r="A11408" s="0" t="s">
        <v>12</v>
      </c>
      <c r="B11408" s="0" t="n">
        <v>3596504</v>
      </c>
      <c r="C11408" s="0" t="n">
        <v>3596524</v>
      </c>
      <c r="D11408" s="0" t="s">
        <v>37865</v>
      </c>
      <c r="E11408" s="0" t="s">
        <v>37866</v>
      </c>
      <c r="F11408" s="0" t="s">
        <v>15</v>
      </c>
      <c r="G11408" s="0" t="s">
        <v>36</v>
      </c>
      <c r="H11408" s="0" t="n">
        <v>133</v>
      </c>
      <c r="I11408" s="0" t="s">
        <v>37873</v>
      </c>
      <c r="J11408" s="0" t="s">
        <v>37874</v>
      </c>
      <c r="K11408" s="0" t="s">
        <v>37875</v>
      </c>
      <c r="L11408" s="0" t="str">
        <f aca="false">HYPERLINK("https://www.ncbi.nlm.nih.gov/nuccore/CP000058.1?report=graph&amp;tracks=[key:gene_model_track,Options:GeneOnly]&amp;mk=3596450:3596469|offset_78|444444,3596470:3596489|offset_98|444444,3596505:3596524|offset_133|00cc00,3596549:3596568|offset_177|444444&amp;v=3596249:3596768&amp;c=444444", "offset 133")</f>
        <v>offset 133</v>
      </c>
    </row>
    <row r="11409" customFormat="false" ht="12.8" hidden="false" customHeight="false" outlineLevel="0" collapsed="false">
      <c r="A11409" s="0" t="s">
        <v>12</v>
      </c>
      <c r="B11409" s="0" t="n">
        <v>3596548</v>
      </c>
      <c r="C11409" s="0" t="n">
        <v>3596568</v>
      </c>
      <c r="D11409" s="0" t="s">
        <v>37865</v>
      </c>
      <c r="E11409" s="0" t="s">
        <v>37866</v>
      </c>
      <c r="F11409" s="0" t="s">
        <v>15</v>
      </c>
      <c r="G11409" s="0" t="s">
        <v>32</v>
      </c>
      <c r="H11409" s="0" t="n">
        <v>177</v>
      </c>
      <c r="I11409" s="0" t="s">
        <v>37876</v>
      </c>
      <c r="J11409" s="0" t="s">
        <v>37877</v>
      </c>
      <c r="K11409" s="0" t="s">
        <v>37878</v>
      </c>
      <c r="L11409" s="0" t="str">
        <f aca="false">HYPERLINK("https://www.ncbi.nlm.nih.gov/nuccore/CP000058.1?report=graph&amp;tracks=[key:gene_model_track,Options:GeneOnly]&amp;mk=3596450:3596469|offset_78|444444,3596470:3596489|offset_98|444444,3596505:3596524|offset_133|444444,3596549:3596568|offset_177|00cc00&amp;v=3596249:3596768&amp;c=444444", "offset 177")</f>
        <v>offset 177</v>
      </c>
    </row>
    <row r="11410" customFormat="false" ht="12.8" hidden="false" customHeight="false" outlineLevel="0" collapsed="false">
      <c r="A11410" s="0" t="s">
        <v>12</v>
      </c>
      <c r="B11410" s="0" t="n">
        <v>3597232</v>
      </c>
      <c r="C11410" s="0" t="n">
        <v>3597252</v>
      </c>
      <c r="D11410" s="0" t="s">
        <v>37879</v>
      </c>
      <c r="E11410" s="0" t="s">
        <v>75</v>
      </c>
      <c r="F11410" s="0" t="s">
        <v>15</v>
      </c>
      <c r="G11410" s="0" t="s">
        <v>32</v>
      </c>
      <c r="H11410" s="0" t="n">
        <v>7</v>
      </c>
      <c r="I11410" s="0" t="s">
        <v>37880</v>
      </c>
      <c r="J11410" s="0" t="s">
        <v>37881</v>
      </c>
      <c r="K11410" s="0" t="s">
        <v>37882</v>
      </c>
      <c r="L11410" s="0" t="str">
        <f aca="false">HYPERLINK("https://www.ncbi.nlm.nih.gov/nuccore/CP000058.1?report=graph&amp;tracks=[key:gene_model_track,Options:GeneOnly]&amp;mk=3597233:3597252|offset_7|00cc00,3597257:3597276|offset_31|444444,3597278:3597297|offset_52|444444,3597301:3597320|offset_75|444444&amp;v=3597032:3597520&amp;c=444444", "offset 7")</f>
        <v>offset 7</v>
      </c>
    </row>
    <row r="11411" customFormat="false" ht="12.8" hidden="false" customHeight="false" outlineLevel="0" collapsed="false">
      <c r="A11411" s="0" t="s">
        <v>12</v>
      </c>
      <c r="B11411" s="0" t="n">
        <v>3597256</v>
      </c>
      <c r="C11411" s="0" t="n">
        <v>3597276</v>
      </c>
      <c r="D11411" s="0" t="s">
        <v>37879</v>
      </c>
      <c r="E11411" s="0" t="s">
        <v>75</v>
      </c>
      <c r="F11411" s="0" t="s">
        <v>15</v>
      </c>
      <c r="G11411" s="0" t="s">
        <v>20</v>
      </c>
      <c r="H11411" s="0" t="n">
        <v>31</v>
      </c>
      <c r="I11411" s="0" t="s">
        <v>37883</v>
      </c>
      <c r="J11411" s="0" t="s">
        <v>37884</v>
      </c>
      <c r="K11411" s="0" t="s">
        <v>37885</v>
      </c>
      <c r="L11411" s="0" t="str">
        <f aca="false">HYPERLINK("https://www.ncbi.nlm.nih.gov/nuccore/CP000058.1?report=graph&amp;tracks=[key:gene_model_track,Options:GeneOnly]&amp;mk=3597233:3597252|offset_7|444444,3597257:3597276|offset_31|00cc00,3597278:3597297|offset_52|444444,3597301:3597320|offset_75|444444&amp;v=3597032:3597520&amp;c=444444", "offset 31")</f>
        <v>offset 31</v>
      </c>
    </row>
    <row r="11412" customFormat="false" ht="12.8" hidden="false" customHeight="false" outlineLevel="0" collapsed="false">
      <c r="A11412" s="0" t="s">
        <v>12</v>
      </c>
      <c r="B11412" s="0" t="n">
        <v>3597277</v>
      </c>
      <c r="C11412" s="0" t="n">
        <v>3597297</v>
      </c>
      <c r="D11412" s="0" t="s">
        <v>37879</v>
      </c>
      <c r="E11412" s="0" t="s">
        <v>75</v>
      </c>
      <c r="F11412" s="0" t="s">
        <v>15</v>
      </c>
      <c r="G11412" s="0" t="s">
        <v>36</v>
      </c>
      <c r="H11412" s="0" t="n">
        <v>52</v>
      </c>
      <c r="I11412" s="0" t="s">
        <v>37886</v>
      </c>
      <c r="J11412" s="0" t="s">
        <v>37887</v>
      </c>
      <c r="K11412" s="0" t="s">
        <v>37888</v>
      </c>
      <c r="L11412" s="0" t="str">
        <f aca="false">HYPERLINK("https://www.ncbi.nlm.nih.gov/nuccore/CP000058.1?report=graph&amp;tracks=[key:gene_model_track,Options:GeneOnly]&amp;mk=3597233:3597252|offset_7|444444,3597257:3597276|offset_31|444444,3597278:3597297|offset_52|00cc00,3597301:3597320|offset_75|444444&amp;v=3597032:3597520&amp;c=444444", "offset 52")</f>
        <v>offset 52</v>
      </c>
    </row>
    <row r="11413" customFormat="false" ht="12.8" hidden="false" customHeight="false" outlineLevel="0" collapsed="false">
      <c r="A11413" s="0" t="s">
        <v>12</v>
      </c>
      <c r="B11413" s="0" t="n">
        <v>3597300</v>
      </c>
      <c r="C11413" s="0" t="n">
        <v>3597320</v>
      </c>
      <c r="D11413" s="0" t="s">
        <v>37879</v>
      </c>
      <c r="E11413" s="0" t="s">
        <v>75</v>
      </c>
      <c r="F11413" s="0" t="s">
        <v>15</v>
      </c>
      <c r="G11413" s="0" t="s">
        <v>20</v>
      </c>
      <c r="H11413" s="0" t="n">
        <v>75</v>
      </c>
      <c r="I11413" s="0" t="s">
        <v>37889</v>
      </c>
      <c r="J11413" s="0" t="s">
        <v>37890</v>
      </c>
      <c r="K11413" s="0" t="s">
        <v>37891</v>
      </c>
      <c r="L11413" s="0" t="str">
        <f aca="false">HYPERLINK("https://www.ncbi.nlm.nih.gov/nuccore/CP000058.1?report=graph&amp;tracks=[key:gene_model_track,Options:GeneOnly]&amp;mk=3597233:3597252|offset_7|444444,3597257:3597276|offset_31|444444,3597278:3597297|offset_52|444444,3597301:3597320|offset_75|00cc00&amp;v=3597032:3597520&amp;c=444444", "offset 75")</f>
        <v>offset 75</v>
      </c>
    </row>
    <row r="11414" customFormat="false" ht="12.8" hidden="false" customHeight="false" outlineLevel="0" collapsed="false">
      <c r="A11414" s="0" t="s">
        <v>12</v>
      </c>
      <c r="B11414" s="0" t="n">
        <v>3599600</v>
      </c>
      <c r="C11414" s="0" t="n">
        <v>3599620</v>
      </c>
      <c r="D11414" s="0" t="s">
        <v>37892</v>
      </c>
      <c r="E11414" s="0" t="s">
        <v>75</v>
      </c>
      <c r="F11414" s="0" t="s">
        <v>15</v>
      </c>
      <c r="G11414" s="0" t="s">
        <v>32</v>
      </c>
      <c r="H11414" s="0" t="n">
        <v>1</v>
      </c>
      <c r="I11414" s="0" t="s">
        <v>37893</v>
      </c>
      <c r="J11414" s="0" t="s">
        <v>37894</v>
      </c>
      <c r="K11414" s="0" t="s">
        <v>37895</v>
      </c>
      <c r="L11414" s="0" t="str">
        <f aca="false">HYPERLINK("https://www.ncbi.nlm.nih.gov/nuccore/CP000058.1?report=graph&amp;tracks=[key:gene_model_track,Options:GeneOnly]&amp;mk=3599601:3599620|offset_1|00cc00,3599625:3599644|offset_25|444444,3599659:3599678|offset_59|444444,3599691:3599710|offset_91|444444&amp;v=3599400:3599910&amp;c=444444", "offset 1")</f>
        <v>offset 1</v>
      </c>
    </row>
    <row r="11415" customFormat="false" ht="12.8" hidden="false" customHeight="false" outlineLevel="0" collapsed="false">
      <c r="A11415" s="0" t="s">
        <v>12</v>
      </c>
      <c r="B11415" s="0" t="n">
        <v>3599624</v>
      </c>
      <c r="C11415" s="0" t="n">
        <v>3599644</v>
      </c>
      <c r="D11415" s="0" t="s">
        <v>37892</v>
      </c>
      <c r="E11415" s="0" t="s">
        <v>75</v>
      </c>
      <c r="F11415" s="0" t="s">
        <v>15</v>
      </c>
      <c r="G11415" s="0" t="s">
        <v>16</v>
      </c>
      <c r="H11415" s="0" t="n">
        <v>25</v>
      </c>
      <c r="I11415" s="0" t="s">
        <v>37896</v>
      </c>
      <c r="J11415" s="0" t="s">
        <v>37897</v>
      </c>
      <c r="K11415" s="0" t="s">
        <v>37898</v>
      </c>
      <c r="L11415" s="0" t="str">
        <f aca="false">HYPERLINK("https://www.ncbi.nlm.nih.gov/nuccore/CP000058.1?report=graph&amp;tracks=[key:gene_model_track,Options:GeneOnly]&amp;mk=3599601:3599620|offset_1|444444,3599625:3599644|offset_25|00cc00,3599659:3599678|offset_59|444444,3599691:3599710|offset_91|444444&amp;v=3599400:3599910&amp;c=444444", "offset 25")</f>
        <v>offset 25</v>
      </c>
    </row>
    <row r="11416" customFormat="false" ht="12.8" hidden="false" customHeight="false" outlineLevel="0" collapsed="false">
      <c r="A11416" s="0" t="s">
        <v>12</v>
      </c>
      <c r="B11416" s="0" t="n">
        <v>3599658</v>
      </c>
      <c r="C11416" s="0" t="n">
        <v>3599678</v>
      </c>
      <c r="D11416" s="0" t="s">
        <v>37892</v>
      </c>
      <c r="E11416" s="0" t="s">
        <v>75</v>
      </c>
      <c r="F11416" s="0" t="s">
        <v>15</v>
      </c>
      <c r="G11416" s="0" t="s">
        <v>20</v>
      </c>
      <c r="H11416" s="0" t="n">
        <v>59</v>
      </c>
      <c r="I11416" s="0" t="s">
        <v>37899</v>
      </c>
      <c r="J11416" s="0" t="s">
        <v>37900</v>
      </c>
      <c r="K11416" s="0" t="s">
        <v>37901</v>
      </c>
      <c r="L11416" s="0" t="str">
        <f aca="false">HYPERLINK("https://www.ncbi.nlm.nih.gov/nuccore/CP000058.1?report=graph&amp;tracks=[key:gene_model_track,Options:GeneOnly]&amp;mk=3599601:3599620|offset_1|444444,3599625:3599644|offset_25|444444,3599659:3599678|offset_59|00cc00,3599691:3599710|offset_91|444444&amp;v=3599400:3599910&amp;c=444444", "offset 59")</f>
        <v>offset 59</v>
      </c>
    </row>
    <row r="11417" customFormat="false" ht="12.8" hidden="false" customHeight="false" outlineLevel="0" collapsed="false">
      <c r="A11417" s="0" t="s">
        <v>12</v>
      </c>
      <c r="B11417" s="0" t="n">
        <v>3599690</v>
      </c>
      <c r="C11417" s="0" t="n">
        <v>3599710</v>
      </c>
      <c r="D11417" s="0" t="s">
        <v>37892</v>
      </c>
      <c r="E11417" s="0" t="s">
        <v>75</v>
      </c>
      <c r="F11417" s="0" t="s">
        <v>15</v>
      </c>
      <c r="G11417" s="0" t="s">
        <v>16</v>
      </c>
      <c r="H11417" s="0" t="n">
        <v>91</v>
      </c>
      <c r="I11417" s="0" t="s">
        <v>37902</v>
      </c>
      <c r="J11417" s="0" t="s">
        <v>37903</v>
      </c>
      <c r="K11417" s="0" t="s">
        <v>37904</v>
      </c>
      <c r="L11417" s="0" t="str">
        <f aca="false">HYPERLINK("https://www.ncbi.nlm.nih.gov/nuccore/CP000058.1?report=graph&amp;tracks=[key:gene_model_track,Options:GeneOnly]&amp;mk=3599601:3599620|offset_1|444444,3599625:3599644|offset_25|444444,3599659:3599678|offset_59|444444,3599691:3599710|offset_91|00cc00&amp;v=3599400:3599910&amp;c=444444", "offset 91")</f>
        <v>offset 91</v>
      </c>
    </row>
    <row r="11418" customFormat="false" ht="12.8" hidden="false" customHeight="false" outlineLevel="0" collapsed="false">
      <c r="A11418" s="0" t="s">
        <v>12</v>
      </c>
      <c r="B11418" s="0" t="n">
        <v>3600106</v>
      </c>
      <c r="C11418" s="0" t="n">
        <v>3600126</v>
      </c>
      <c r="D11418" s="0" t="s">
        <v>37905</v>
      </c>
      <c r="E11418" s="0" t="s">
        <v>37906</v>
      </c>
      <c r="F11418" s="0" t="s">
        <v>15</v>
      </c>
      <c r="G11418" s="0" t="s">
        <v>36</v>
      </c>
      <c r="H11418" s="0" t="n">
        <v>0</v>
      </c>
      <c r="I11418" s="0" t="s">
        <v>37907</v>
      </c>
      <c r="J11418" s="0" t="s">
        <v>37908</v>
      </c>
      <c r="K11418" s="0" t="s">
        <v>37909</v>
      </c>
      <c r="L11418" s="0" t="str">
        <f aca="false">HYPERLINK("https://www.ncbi.nlm.nih.gov/nuccore/CP000058.1?report=graph&amp;tracks=[key:gene_model_track,Options:GeneOnly]&amp;mk=3600107:3600126|offset_0|00cc00,3600165:3600184|offset_58|444444,3600189:3600208|offset_82|444444,3600276:3600295|offset_169|444444&amp;v=3599906:3600495&amp;c=444444", "offset 0")</f>
        <v>offset 0</v>
      </c>
    </row>
    <row r="11419" customFormat="false" ht="12.8" hidden="false" customHeight="false" outlineLevel="0" collapsed="false">
      <c r="A11419" s="0" t="s">
        <v>12</v>
      </c>
      <c r="B11419" s="0" t="n">
        <v>3600164</v>
      </c>
      <c r="C11419" s="0" t="n">
        <v>3600184</v>
      </c>
      <c r="D11419" s="0" t="s">
        <v>37905</v>
      </c>
      <c r="E11419" s="0" t="s">
        <v>37906</v>
      </c>
      <c r="F11419" s="0" t="s">
        <v>15</v>
      </c>
      <c r="G11419" s="0" t="s">
        <v>16</v>
      </c>
      <c r="H11419" s="0" t="n">
        <v>58</v>
      </c>
      <c r="I11419" s="0" t="s">
        <v>37910</v>
      </c>
      <c r="J11419" s="0" t="s">
        <v>37911</v>
      </c>
      <c r="K11419" s="0" t="s">
        <v>37912</v>
      </c>
      <c r="L11419" s="0" t="str">
        <f aca="false">HYPERLINK("https://www.ncbi.nlm.nih.gov/nuccore/CP000058.1?report=graph&amp;tracks=[key:gene_model_track,Options:GeneOnly]&amp;mk=3600107:3600126|offset_0|444444,3600165:3600184|offset_58|00cc00,3600189:3600208|offset_82|444444,3600276:3600295|offset_169|444444&amp;v=3599906:3600495&amp;c=444444", "offset 58")</f>
        <v>offset 58</v>
      </c>
    </row>
    <row r="11420" customFormat="false" ht="12.8" hidden="false" customHeight="false" outlineLevel="0" collapsed="false">
      <c r="A11420" s="0" t="s">
        <v>12</v>
      </c>
      <c r="B11420" s="0" t="n">
        <v>3600188</v>
      </c>
      <c r="C11420" s="0" t="n">
        <v>3600208</v>
      </c>
      <c r="D11420" s="0" t="s">
        <v>37905</v>
      </c>
      <c r="E11420" s="0" t="s">
        <v>37906</v>
      </c>
      <c r="F11420" s="0" t="s">
        <v>15</v>
      </c>
      <c r="G11420" s="0" t="s">
        <v>16</v>
      </c>
      <c r="H11420" s="0" t="n">
        <v>82</v>
      </c>
      <c r="I11420" s="0" t="s">
        <v>37913</v>
      </c>
      <c r="J11420" s="0" t="s">
        <v>37914</v>
      </c>
      <c r="K11420" s="0" t="s">
        <v>37915</v>
      </c>
      <c r="L11420" s="0" t="str">
        <f aca="false">HYPERLINK("https://www.ncbi.nlm.nih.gov/nuccore/CP000058.1?report=graph&amp;tracks=[key:gene_model_track,Options:GeneOnly]&amp;mk=3600107:3600126|offset_0|444444,3600165:3600184|offset_58|444444,3600189:3600208|offset_82|00cc00,3600276:3600295|offset_169|444444&amp;v=3599906:3600495&amp;c=444444", "offset 82")</f>
        <v>offset 82</v>
      </c>
    </row>
    <row r="11421" customFormat="false" ht="12.8" hidden="false" customHeight="false" outlineLevel="0" collapsed="false">
      <c r="A11421" s="0" t="s">
        <v>12</v>
      </c>
      <c r="B11421" s="0" t="n">
        <v>3600275</v>
      </c>
      <c r="C11421" s="0" t="n">
        <v>3600295</v>
      </c>
      <c r="D11421" s="0" t="s">
        <v>37905</v>
      </c>
      <c r="E11421" s="0" t="s">
        <v>37906</v>
      </c>
      <c r="F11421" s="0" t="s">
        <v>15</v>
      </c>
      <c r="G11421" s="0" t="s">
        <v>16</v>
      </c>
      <c r="H11421" s="0" t="n">
        <v>169</v>
      </c>
      <c r="I11421" s="0" t="s">
        <v>37916</v>
      </c>
      <c r="J11421" s="0" t="s">
        <v>37917</v>
      </c>
      <c r="K11421" s="0" t="s">
        <v>37918</v>
      </c>
      <c r="L11421" s="0" t="str">
        <f aca="false">HYPERLINK("https://www.ncbi.nlm.nih.gov/nuccore/CP000058.1?report=graph&amp;tracks=[key:gene_model_track,Options:GeneOnly]&amp;mk=3600107:3600126|offset_0|444444,3600165:3600184|offset_58|444444,3600189:3600208|offset_82|444444,3600276:3600295|offset_169|00cc00&amp;v=3599906:3600495&amp;c=444444", "offset 169")</f>
        <v>offset 169</v>
      </c>
    </row>
    <row r="11422" customFormat="false" ht="12.8" hidden="false" customHeight="false" outlineLevel="0" collapsed="false">
      <c r="A11422" s="0" t="s">
        <v>12</v>
      </c>
      <c r="B11422" s="0" t="n">
        <v>3601243</v>
      </c>
      <c r="C11422" s="0" t="n">
        <v>3601263</v>
      </c>
      <c r="D11422" s="0" t="s">
        <v>37919</v>
      </c>
      <c r="E11422" s="0" t="s">
        <v>75</v>
      </c>
      <c r="F11422" s="0" t="s">
        <v>15</v>
      </c>
      <c r="G11422" s="0" t="s">
        <v>36</v>
      </c>
      <c r="H11422" s="0" t="n">
        <v>7</v>
      </c>
      <c r="I11422" s="0" t="s">
        <v>37920</v>
      </c>
      <c r="J11422" s="0" t="s">
        <v>37921</v>
      </c>
      <c r="K11422" s="0" t="s">
        <v>37922</v>
      </c>
      <c r="L11422" s="0" t="str">
        <f aca="false">HYPERLINK("https://www.ncbi.nlm.nih.gov/nuccore/CP000058.1?report=graph&amp;tracks=[key:gene_model_track,Options:GeneOnly]&amp;mk=3601244:3601263|offset_7|00cc00,3601292:3601311|offset_55|444444,3601313:3601332|offset_76|444444,3601337:3601356|offset_100|444444&amp;v=3601043:3601556&amp;c=444444", "offset 7")</f>
        <v>offset 7</v>
      </c>
    </row>
    <row r="11423" customFormat="false" ht="12.8" hidden="false" customHeight="false" outlineLevel="0" collapsed="false">
      <c r="A11423" s="0" t="s">
        <v>12</v>
      </c>
      <c r="B11423" s="0" t="n">
        <v>3601291</v>
      </c>
      <c r="C11423" s="0" t="n">
        <v>3601311</v>
      </c>
      <c r="D11423" s="0" t="s">
        <v>37919</v>
      </c>
      <c r="E11423" s="0" t="s">
        <v>75</v>
      </c>
      <c r="F11423" s="0" t="s">
        <v>15</v>
      </c>
      <c r="G11423" s="0" t="s">
        <v>16</v>
      </c>
      <c r="H11423" s="0" t="n">
        <v>55</v>
      </c>
      <c r="I11423" s="0" t="s">
        <v>37923</v>
      </c>
      <c r="J11423" s="0" t="s">
        <v>37924</v>
      </c>
      <c r="K11423" s="0" t="s">
        <v>37925</v>
      </c>
      <c r="L11423" s="0" t="str">
        <f aca="false">HYPERLINK("https://www.ncbi.nlm.nih.gov/nuccore/CP000058.1?report=graph&amp;tracks=[key:gene_model_track,Options:GeneOnly]&amp;mk=3601244:3601263|offset_7|444444,3601292:3601311|offset_55|00cc00,3601313:3601332|offset_76|444444,3601337:3601356|offset_100|444444&amp;v=3601043:3601556&amp;c=444444", "offset 55")</f>
        <v>offset 55</v>
      </c>
    </row>
    <row r="11424" customFormat="false" ht="12.8" hidden="false" customHeight="false" outlineLevel="0" collapsed="false">
      <c r="A11424" s="0" t="s">
        <v>12</v>
      </c>
      <c r="B11424" s="0" t="n">
        <v>3601312</v>
      </c>
      <c r="C11424" s="0" t="n">
        <v>3601332</v>
      </c>
      <c r="D11424" s="0" t="s">
        <v>37919</v>
      </c>
      <c r="E11424" s="0" t="s">
        <v>75</v>
      </c>
      <c r="F11424" s="0" t="s">
        <v>15</v>
      </c>
      <c r="G11424" s="0" t="s">
        <v>32</v>
      </c>
      <c r="H11424" s="0" t="n">
        <v>76</v>
      </c>
      <c r="I11424" s="0" t="s">
        <v>37926</v>
      </c>
      <c r="J11424" s="0" t="s">
        <v>37927</v>
      </c>
      <c r="K11424" s="0" t="s">
        <v>37928</v>
      </c>
      <c r="L11424" s="0" t="str">
        <f aca="false">HYPERLINK("https://www.ncbi.nlm.nih.gov/nuccore/CP000058.1?report=graph&amp;tracks=[key:gene_model_track,Options:GeneOnly]&amp;mk=3601244:3601263|offset_7|444444,3601292:3601311|offset_55|444444,3601313:3601332|offset_76|00cc00,3601337:3601356|offset_100|444444&amp;v=3601043:3601556&amp;c=444444", "offset 76")</f>
        <v>offset 76</v>
      </c>
    </row>
    <row r="11425" customFormat="false" ht="12.8" hidden="false" customHeight="false" outlineLevel="0" collapsed="false">
      <c r="A11425" s="0" t="s">
        <v>12</v>
      </c>
      <c r="B11425" s="0" t="n">
        <v>3601336</v>
      </c>
      <c r="C11425" s="0" t="n">
        <v>3601356</v>
      </c>
      <c r="D11425" s="0" t="s">
        <v>37919</v>
      </c>
      <c r="E11425" s="0" t="s">
        <v>75</v>
      </c>
      <c r="F11425" s="0" t="s">
        <v>15</v>
      </c>
      <c r="G11425" s="0" t="s">
        <v>16</v>
      </c>
      <c r="H11425" s="0" t="n">
        <v>100</v>
      </c>
      <c r="I11425" s="0" t="s">
        <v>37929</v>
      </c>
      <c r="J11425" s="0" t="s">
        <v>37930</v>
      </c>
      <c r="K11425" s="0" t="s">
        <v>37931</v>
      </c>
      <c r="L11425" s="0" t="str">
        <f aca="false">HYPERLINK("https://www.ncbi.nlm.nih.gov/nuccore/CP000058.1?report=graph&amp;tracks=[key:gene_model_track,Options:GeneOnly]&amp;mk=3601244:3601263|offset_7|444444,3601292:3601311|offset_55|444444,3601313:3601332|offset_76|444444,3601337:3601356|offset_100|00cc00&amp;v=3601043:3601556&amp;c=444444", "offset 100")</f>
        <v>offset 100</v>
      </c>
    </row>
    <row r="11426" customFormat="false" ht="12.8" hidden="false" customHeight="false" outlineLevel="0" collapsed="false">
      <c r="A11426" s="0" t="s">
        <v>12</v>
      </c>
      <c r="B11426" s="0" t="n">
        <v>3601988</v>
      </c>
      <c r="C11426" s="0" t="n">
        <v>3602008</v>
      </c>
      <c r="D11426" s="0" t="s">
        <v>37932</v>
      </c>
      <c r="E11426" s="0" t="s">
        <v>37933</v>
      </c>
      <c r="F11426" s="0" t="s">
        <v>15</v>
      </c>
      <c r="G11426" s="0" t="s">
        <v>36</v>
      </c>
      <c r="H11426" s="0" t="n">
        <v>0</v>
      </c>
      <c r="I11426" s="0" t="s">
        <v>37934</v>
      </c>
      <c r="J11426" s="0" t="s">
        <v>37935</v>
      </c>
      <c r="K11426" s="0" t="s">
        <v>37936</v>
      </c>
      <c r="L11426" s="0" t="str">
        <f aca="false">HYPERLINK("https://www.ncbi.nlm.nih.gov/nuccore/CP000058.1?report=graph&amp;tracks=[key:gene_model_track,Options:GeneOnly]&amp;mk=3601989:3602008|offset_0|00cc00,3602020:3602039|offset_31|444444,3602041:3602060|offset_52|444444,3602063:3602082|offset_74|444444&amp;v=3601788:3602282&amp;c=444444", "offset 0")</f>
        <v>offset 0</v>
      </c>
    </row>
    <row r="11427" customFormat="false" ht="12.8" hidden="false" customHeight="false" outlineLevel="0" collapsed="false">
      <c r="A11427" s="0" t="s">
        <v>12</v>
      </c>
      <c r="B11427" s="0" t="n">
        <v>3602019</v>
      </c>
      <c r="C11427" s="0" t="n">
        <v>3602039</v>
      </c>
      <c r="D11427" s="0" t="s">
        <v>37932</v>
      </c>
      <c r="E11427" s="0" t="s">
        <v>37933</v>
      </c>
      <c r="F11427" s="0" t="s">
        <v>15</v>
      </c>
      <c r="G11427" s="0" t="s">
        <v>36</v>
      </c>
      <c r="H11427" s="0" t="n">
        <v>31</v>
      </c>
      <c r="I11427" s="0" t="s">
        <v>37937</v>
      </c>
      <c r="J11427" s="0" t="s">
        <v>37938</v>
      </c>
      <c r="K11427" s="0" t="s">
        <v>37939</v>
      </c>
      <c r="L11427" s="0" t="str">
        <f aca="false">HYPERLINK("https://www.ncbi.nlm.nih.gov/nuccore/CP000058.1?report=graph&amp;tracks=[key:gene_model_track,Options:GeneOnly]&amp;mk=3601989:3602008|offset_0|444444,3602020:3602039|offset_31|00cc00,3602041:3602060|offset_52|444444,3602063:3602082|offset_74|444444&amp;v=3601788:3602282&amp;c=444444", "offset 31")</f>
        <v>offset 31</v>
      </c>
    </row>
    <row r="11428" customFormat="false" ht="12.8" hidden="false" customHeight="false" outlineLevel="0" collapsed="false">
      <c r="A11428" s="0" t="s">
        <v>12</v>
      </c>
      <c r="B11428" s="0" t="n">
        <v>3602040</v>
      </c>
      <c r="C11428" s="0" t="n">
        <v>3602060</v>
      </c>
      <c r="D11428" s="0" t="s">
        <v>37932</v>
      </c>
      <c r="E11428" s="0" t="s">
        <v>37933</v>
      </c>
      <c r="F11428" s="0" t="s">
        <v>15</v>
      </c>
      <c r="G11428" s="0" t="s">
        <v>16</v>
      </c>
      <c r="H11428" s="0" t="n">
        <v>52</v>
      </c>
      <c r="I11428" s="0" t="s">
        <v>37940</v>
      </c>
      <c r="J11428" s="0" t="s">
        <v>37941</v>
      </c>
      <c r="K11428" s="0" t="s">
        <v>37942</v>
      </c>
      <c r="L11428" s="0" t="str">
        <f aca="false">HYPERLINK("https://www.ncbi.nlm.nih.gov/nuccore/CP000058.1?report=graph&amp;tracks=[key:gene_model_track,Options:GeneOnly]&amp;mk=3601989:3602008|offset_0|444444,3602020:3602039|offset_31|444444,3602041:3602060|offset_52|00cc00,3602063:3602082|offset_74|444444&amp;v=3601788:3602282&amp;c=444444", "offset 52")</f>
        <v>offset 52</v>
      </c>
    </row>
    <row r="11429" customFormat="false" ht="12.8" hidden="false" customHeight="false" outlineLevel="0" collapsed="false">
      <c r="A11429" s="0" t="s">
        <v>12</v>
      </c>
      <c r="B11429" s="0" t="n">
        <v>3602062</v>
      </c>
      <c r="C11429" s="0" t="n">
        <v>3602082</v>
      </c>
      <c r="D11429" s="0" t="s">
        <v>37932</v>
      </c>
      <c r="E11429" s="0" t="s">
        <v>37933</v>
      </c>
      <c r="F11429" s="0" t="s">
        <v>15</v>
      </c>
      <c r="G11429" s="0" t="s">
        <v>36</v>
      </c>
      <c r="H11429" s="0" t="n">
        <v>74</v>
      </c>
      <c r="I11429" s="0" t="s">
        <v>37943</v>
      </c>
      <c r="J11429" s="0" t="s">
        <v>37944</v>
      </c>
      <c r="K11429" s="0" t="s">
        <v>37945</v>
      </c>
      <c r="L11429" s="0" t="str">
        <f aca="false">HYPERLINK("https://www.ncbi.nlm.nih.gov/nuccore/CP000058.1?report=graph&amp;tracks=[key:gene_model_track,Options:GeneOnly]&amp;mk=3601989:3602008|offset_0|444444,3602020:3602039|offset_31|444444,3602041:3602060|offset_52|444444,3602063:3602082|offset_74|00cc00&amp;v=3601788:3602282&amp;c=444444", "offset 74")</f>
        <v>offset 74</v>
      </c>
    </row>
    <row r="11430" customFormat="false" ht="12.8" hidden="false" customHeight="false" outlineLevel="0" collapsed="false">
      <c r="A11430" s="0" t="s">
        <v>12</v>
      </c>
      <c r="B11430" s="0" t="n">
        <v>3603428</v>
      </c>
      <c r="C11430" s="0" t="n">
        <v>3603448</v>
      </c>
      <c r="D11430" s="0" t="s">
        <v>37946</v>
      </c>
      <c r="E11430" s="0" t="s">
        <v>75</v>
      </c>
      <c r="F11430" s="0" t="s">
        <v>15</v>
      </c>
      <c r="G11430" s="0" t="s">
        <v>20</v>
      </c>
      <c r="H11430" s="0" t="n">
        <v>9</v>
      </c>
      <c r="I11430" s="0" t="s">
        <v>37947</v>
      </c>
      <c r="J11430" s="0" t="s">
        <v>37948</v>
      </c>
      <c r="K11430" s="0" t="s">
        <v>37949</v>
      </c>
      <c r="L11430" s="0" t="str">
        <f aca="false">HYPERLINK("https://www.ncbi.nlm.nih.gov/nuccore/CP000058.1?report=graph&amp;tracks=[key:gene_model_track,Options:GeneOnly]&amp;mk=3603429:3603448|offset_9|00cc00,3603512:3603531|offset_92|444444,3603539:3603558|offset_119|444444,3603566:3603585|offset_146|444444&amp;v=3603228:3603785&amp;c=444444", "offset 9")</f>
        <v>offset 9</v>
      </c>
    </row>
    <row r="11431" customFormat="false" ht="12.8" hidden="false" customHeight="false" outlineLevel="0" collapsed="false">
      <c r="A11431" s="0" t="s">
        <v>12</v>
      </c>
      <c r="B11431" s="0" t="n">
        <v>3603511</v>
      </c>
      <c r="C11431" s="0" t="n">
        <v>3603531</v>
      </c>
      <c r="D11431" s="0" t="s">
        <v>37946</v>
      </c>
      <c r="E11431" s="0" t="s">
        <v>75</v>
      </c>
      <c r="F11431" s="0" t="s">
        <v>15</v>
      </c>
      <c r="G11431" s="0" t="s">
        <v>16</v>
      </c>
      <c r="H11431" s="0" t="n">
        <v>92</v>
      </c>
      <c r="I11431" s="0" t="s">
        <v>37950</v>
      </c>
      <c r="J11431" s="0" t="s">
        <v>37951</v>
      </c>
      <c r="K11431" s="0" t="s">
        <v>37952</v>
      </c>
      <c r="L11431" s="0" t="str">
        <f aca="false">HYPERLINK("https://www.ncbi.nlm.nih.gov/nuccore/CP000058.1?report=graph&amp;tracks=[key:gene_model_track,Options:GeneOnly]&amp;mk=3603429:3603448|offset_9|444444,3603512:3603531|offset_92|00cc00,3603539:3603558|offset_119|444444,3603566:3603585|offset_146|444444&amp;v=3603228:3603785&amp;c=444444", "offset 92")</f>
        <v>offset 92</v>
      </c>
    </row>
    <row r="11432" customFormat="false" ht="12.8" hidden="false" customHeight="false" outlineLevel="0" collapsed="false">
      <c r="A11432" s="0" t="s">
        <v>12</v>
      </c>
      <c r="B11432" s="0" t="n">
        <v>3603538</v>
      </c>
      <c r="C11432" s="0" t="n">
        <v>3603558</v>
      </c>
      <c r="D11432" s="0" t="s">
        <v>37946</v>
      </c>
      <c r="E11432" s="0" t="s">
        <v>75</v>
      </c>
      <c r="F11432" s="0" t="s">
        <v>15</v>
      </c>
      <c r="G11432" s="0" t="s">
        <v>36</v>
      </c>
      <c r="H11432" s="0" t="n">
        <v>119</v>
      </c>
      <c r="I11432" s="0" t="s">
        <v>37953</v>
      </c>
      <c r="J11432" s="0" t="s">
        <v>37954</v>
      </c>
      <c r="K11432" s="0" t="s">
        <v>37955</v>
      </c>
      <c r="L11432" s="0" t="str">
        <f aca="false">HYPERLINK("https://www.ncbi.nlm.nih.gov/nuccore/CP000058.1?report=graph&amp;tracks=[key:gene_model_track,Options:GeneOnly]&amp;mk=3603429:3603448|offset_9|444444,3603512:3603531|offset_92|444444,3603539:3603558|offset_119|00cc00,3603566:3603585|offset_146|444444&amp;v=3603228:3603785&amp;c=444444", "offset 119")</f>
        <v>offset 119</v>
      </c>
    </row>
    <row r="11433" customFormat="false" ht="12.8" hidden="false" customHeight="false" outlineLevel="0" collapsed="false">
      <c r="A11433" s="0" t="s">
        <v>12</v>
      </c>
      <c r="B11433" s="0" t="n">
        <v>3603565</v>
      </c>
      <c r="C11433" s="0" t="n">
        <v>3603585</v>
      </c>
      <c r="D11433" s="0" t="s">
        <v>37946</v>
      </c>
      <c r="E11433" s="0" t="s">
        <v>75</v>
      </c>
      <c r="F11433" s="0" t="s">
        <v>15</v>
      </c>
      <c r="G11433" s="0" t="s">
        <v>20</v>
      </c>
      <c r="H11433" s="0" t="n">
        <v>146</v>
      </c>
      <c r="I11433" s="0" t="s">
        <v>37956</v>
      </c>
      <c r="J11433" s="0" t="s">
        <v>37957</v>
      </c>
      <c r="K11433" s="0" t="s">
        <v>37958</v>
      </c>
      <c r="L11433" s="0" t="str">
        <f aca="false">HYPERLINK("https://www.ncbi.nlm.nih.gov/nuccore/CP000058.1?report=graph&amp;tracks=[key:gene_model_track,Options:GeneOnly]&amp;mk=3603429:3603448|offset_9|444444,3603512:3603531|offset_92|444444,3603539:3603558|offset_119|444444,3603566:3603585|offset_146|00cc00&amp;v=3603228:3603785&amp;c=444444", "offset 146")</f>
        <v>offset 146</v>
      </c>
    </row>
    <row r="11434" customFormat="false" ht="12.8" hidden="false" customHeight="false" outlineLevel="0" collapsed="false">
      <c r="A11434" s="0" t="s">
        <v>12</v>
      </c>
      <c r="B11434" s="0" t="n">
        <v>3604594</v>
      </c>
      <c r="C11434" s="0" t="n">
        <v>3604614</v>
      </c>
      <c r="D11434" s="0" t="s">
        <v>37959</v>
      </c>
      <c r="E11434" s="0" t="s">
        <v>75</v>
      </c>
      <c r="F11434" s="0" t="s">
        <v>15</v>
      </c>
      <c r="G11434" s="0" t="s">
        <v>16</v>
      </c>
      <c r="H11434" s="0" t="n">
        <v>16</v>
      </c>
      <c r="I11434" s="0" t="s">
        <v>37960</v>
      </c>
      <c r="J11434" s="0" t="s">
        <v>37961</v>
      </c>
      <c r="K11434" s="0" t="s">
        <v>37962</v>
      </c>
      <c r="L11434" s="0" t="str">
        <f aca="false">HYPERLINK("https://www.ncbi.nlm.nih.gov/nuccore/CP000058.1?report=graph&amp;tracks=[key:gene_model_track,Options:GeneOnly]&amp;mk=3604595:3604614|offset_16|00cc00,3604628:3604647|offset_49|444444,3604664:3604683|offset_85|444444,3604715:3604734|offset_136|444444&amp;v=3604394:3604934&amp;c=444444", "offset 16")</f>
        <v>offset 16</v>
      </c>
    </row>
    <row r="11435" customFormat="false" ht="12.8" hidden="false" customHeight="false" outlineLevel="0" collapsed="false">
      <c r="A11435" s="0" t="s">
        <v>12</v>
      </c>
      <c r="B11435" s="0" t="n">
        <v>3604627</v>
      </c>
      <c r="C11435" s="0" t="n">
        <v>3604647</v>
      </c>
      <c r="D11435" s="0" t="s">
        <v>37959</v>
      </c>
      <c r="E11435" s="0" t="s">
        <v>75</v>
      </c>
      <c r="F11435" s="0" t="s">
        <v>15</v>
      </c>
      <c r="G11435" s="0" t="s">
        <v>16</v>
      </c>
      <c r="H11435" s="0" t="n">
        <v>49</v>
      </c>
      <c r="I11435" s="0" t="s">
        <v>37963</v>
      </c>
      <c r="J11435" s="0" t="s">
        <v>37964</v>
      </c>
      <c r="K11435" s="0" t="s">
        <v>37965</v>
      </c>
      <c r="L11435" s="0" t="str">
        <f aca="false">HYPERLINK("https://www.ncbi.nlm.nih.gov/nuccore/CP000058.1?report=graph&amp;tracks=[key:gene_model_track,Options:GeneOnly]&amp;mk=3604595:3604614|offset_16|444444,3604628:3604647|offset_49|00cc00,3604664:3604683|offset_85|444444,3604715:3604734|offset_136|444444&amp;v=3604394:3604934&amp;c=444444", "offset 49")</f>
        <v>offset 49</v>
      </c>
    </row>
    <row r="11436" customFormat="false" ht="12.8" hidden="false" customHeight="false" outlineLevel="0" collapsed="false">
      <c r="A11436" s="0" t="s">
        <v>12</v>
      </c>
      <c r="B11436" s="0" t="n">
        <v>3604663</v>
      </c>
      <c r="C11436" s="0" t="n">
        <v>3604683</v>
      </c>
      <c r="D11436" s="0" t="s">
        <v>37959</v>
      </c>
      <c r="E11436" s="0" t="s">
        <v>75</v>
      </c>
      <c r="F11436" s="0" t="s">
        <v>15</v>
      </c>
      <c r="G11436" s="0" t="s">
        <v>16</v>
      </c>
      <c r="H11436" s="0" t="n">
        <v>85</v>
      </c>
      <c r="I11436" s="0" t="s">
        <v>37966</v>
      </c>
      <c r="J11436" s="0" t="s">
        <v>37967</v>
      </c>
      <c r="K11436" s="0" t="s">
        <v>37968</v>
      </c>
      <c r="L11436" s="0" t="str">
        <f aca="false">HYPERLINK("https://www.ncbi.nlm.nih.gov/nuccore/CP000058.1?report=graph&amp;tracks=[key:gene_model_track,Options:GeneOnly]&amp;mk=3604595:3604614|offset_16|444444,3604628:3604647|offset_49|444444,3604664:3604683|offset_85|00cc00,3604715:3604734|offset_136|444444&amp;v=3604394:3604934&amp;c=444444", "offset 85")</f>
        <v>offset 85</v>
      </c>
    </row>
    <row r="11437" customFormat="false" ht="12.8" hidden="false" customHeight="false" outlineLevel="0" collapsed="false">
      <c r="A11437" s="0" t="s">
        <v>12</v>
      </c>
      <c r="B11437" s="0" t="n">
        <v>3604714</v>
      </c>
      <c r="C11437" s="0" t="n">
        <v>3604734</v>
      </c>
      <c r="D11437" s="0" t="s">
        <v>37959</v>
      </c>
      <c r="E11437" s="0" t="s">
        <v>75</v>
      </c>
      <c r="F11437" s="0" t="s">
        <v>15</v>
      </c>
      <c r="G11437" s="0" t="s">
        <v>16</v>
      </c>
      <c r="H11437" s="0" t="n">
        <v>136</v>
      </c>
      <c r="I11437" s="0" t="s">
        <v>37969</v>
      </c>
      <c r="J11437" s="0" t="s">
        <v>37970</v>
      </c>
      <c r="K11437" s="0" t="s">
        <v>37971</v>
      </c>
      <c r="L11437" s="0" t="str">
        <f aca="false">HYPERLINK("https://www.ncbi.nlm.nih.gov/nuccore/CP000058.1?report=graph&amp;tracks=[key:gene_model_track,Options:GeneOnly]&amp;mk=3604595:3604614|offset_16|444444,3604628:3604647|offset_49|444444,3604664:3604683|offset_85|444444,3604715:3604734|offset_136|00cc00&amp;v=3604394:3604934&amp;c=444444", "offset 136")</f>
        <v>offset 136</v>
      </c>
    </row>
    <row r="11438" customFormat="false" ht="12.8" hidden="false" customHeight="false" outlineLevel="0" collapsed="false">
      <c r="A11438" s="0" t="s">
        <v>12</v>
      </c>
      <c r="B11438" s="0" t="n">
        <v>3605198</v>
      </c>
      <c r="C11438" s="0" t="n">
        <v>3605218</v>
      </c>
      <c r="D11438" s="0" t="s">
        <v>37972</v>
      </c>
      <c r="E11438" s="0" t="s">
        <v>75</v>
      </c>
      <c r="F11438" s="0" t="s">
        <v>15</v>
      </c>
      <c r="G11438" s="0" t="s">
        <v>16</v>
      </c>
      <c r="H11438" s="0" t="n">
        <v>11</v>
      </c>
      <c r="I11438" s="0" t="s">
        <v>37973</v>
      </c>
      <c r="J11438" s="0" t="s">
        <v>37974</v>
      </c>
      <c r="K11438" s="0" t="s">
        <v>37975</v>
      </c>
      <c r="L11438" s="0" t="str">
        <f aca="false">HYPERLINK("https://www.ncbi.nlm.nih.gov/nuccore/CP000058.1?report=graph&amp;tracks=[key:gene_model_track,Options:GeneOnly]&amp;mk=3605199:3605218|offset_11|00cc00,3605225:3605244|offset_37|444444,3605255:3605274|offset_67|444444,3605278:3605297|offset_90|444444&amp;v=3604998:3605497&amp;c=444444", "offset 11")</f>
        <v>offset 11</v>
      </c>
    </row>
    <row r="11439" customFormat="false" ht="12.8" hidden="false" customHeight="false" outlineLevel="0" collapsed="false">
      <c r="A11439" s="0" t="s">
        <v>12</v>
      </c>
      <c r="B11439" s="0" t="n">
        <v>3605224</v>
      </c>
      <c r="C11439" s="0" t="n">
        <v>3605244</v>
      </c>
      <c r="D11439" s="0" t="s">
        <v>37972</v>
      </c>
      <c r="E11439" s="0" t="s">
        <v>75</v>
      </c>
      <c r="F11439" s="0" t="s">
        <v>15</v>
      </c>
      <c r="G11439" s="0" t="s">
        <v>20</v>
      </c>
      <c r="H11439" s="0" t="n">
        <v>37</v>
      </c>
      <c r="I11439" s="0" t="s">
        <v>37976</v>
      </c>
      <c r="J11439" s="0" t="s">
        <v>37977</v>
      </c>
      <c r="K11439" s="0" t="s">
        <v>37978</v>
      </c>
      <c r="L11439" s="0" t="str">
        <f aca="false">HYPERLINK("https://www.ncbi.nlm.nih.gov/nuccore/CP000058.1?report=graph&amp;tracks=[key:gene_model_track,Options:GeneOnly]&amp;mk=3605199:3605218|offset_11|444444,3605225:3605244|offset_37|00cc00,3605255:3605274|offset_67|444444,3605278:3605297|offset_90|444444&amp;v=3604998:3605497&amp;c=444444", "offset 37")</f>
        <v>offset 37</v>
      </c>
    </row>
    <row r="11440" customFormat="false" ht="12.8" hidden="false" customHeight="false" outlineLevel="0" collapsed="false">
      <c r="A11440" s="0" t="s">
        <v>12</v>
      </c>
      <c r="B11440" s="0" t="n">
        <v>3605254</v>
      </c>
      <c r="C11440" s="0" t="n">
        <v>3605274</v>
      </c>
      <c r="D11440" s="0" t="s">
        <v>37972</v>
      </c>
      <c r="E11440" s="0" t="s">
        <v>75</v>
      </c>
      <c r="F11440" s="0" t="s">
        <v>15</v>
      </c>
      <c r="G11440" s="0" t="s">
        <v>36</v>
      </c>
      <c r="H11440" s="0" t="n">
        <v>67</v>
      </c>
      <c r="I11440" s="0" t="s">
        <v>37979</v>
      </c>
      <c r="J11440" s="0" t="s">
        <v>37980</v>
      </c>
      <c r="K11440" s="0" t="s">
        <v>37981</v>
      </c>
      <c r="L11440" s="0" t="str">
        <f aca="false">HYPERLINK("https://www.ncbi.nlm.nih.gov/nuccore/CP000058.1?report=graph&amp;tracks=[key:gene_model_track,Options:GeneOnly]&amp;mk=3605199:3605218|offset_11|444444,3605225:3605244|offset_37|444444,3605255:3605274|offset_67|00cc00,3605278:3605297|offset_90|444444&amp;v=3604998:3605497&amp;c=444444", "offset 67")</f>
        <v>offset 67</v>
      </c>
    </row>
    <row r="11441" customFormat="false" ht="12.8" hidden="false" customHeight="false" outlineLevel="0" collapsed="false">
      <c r="A11441" s="0" t="s">
        <v>12</v>
      </c>
      <c r="B11441" s="0" t="n">
        <v>3605277</v>
      </c>
      <c r="C11441" s="0" t="n">
        <v>3605297</v>
      </c>
      <c r="D11441" s="0" t="s">
        <v>37972</v>
      </c>
      <c r="E11441" s="0" t="s">
        <v>75</v>
      </c>
      <c r="F11441" s="0" t="s">
        <v>15</v>
      </c>
      <c r="G11441" s="0" t="s">
        <v>16</v>
      </c>
      <c r="H11441" s="0" t="n">
        <v>90</v>
      </c>
      <c r="I11441" s="0" t="s">
        <v>37982</v>
      </c>
      <c r="J11441" s="0" t="s">
        <v>37983</v>
      </c>
      <c r="K11441" s="0" t="s">
        <v>37984</v>
      </c>
      <c r="L11441" s="0" t="str">
        <f aca="false">HYPERLINK("https://www.ncbi.nlm.nih.gov/nuccore/CP000058.1?report=graph&amp;tracks=[key:gene_model_track,Options:GeneOnly]&amp;mk=3605199:3605218|offset_11|444444,3605225:3605244|offset_37|444444,3605255:3605274|offset_67|444444,3605278:3605297|offset_90|00cc00&amp;v=3604998:3605497&amp;c=444444", "offset 90")</f>
        <v>offset 90</v>
      </c>
    </row>
    <row r="11442" customFormat="false" ht="12.8" hidden="false" customHeight="false" outlineLevel="0" collapsed="false">
      <c r="A11442" s="0" t="s">
        <v>12</v>
      </c>
      <c r="B11442" s="0" t="n">
        <v>3606239</v>
      </c>
      <c r="C11442" s="0" t="n">
        <v>3606259</v>
      </c>
      <c r="D11442" s="0" t="s">
        <v>37985</v>
      </c>
      <c r="E11442" s="0" t="s">
        <v>37986</v>
      </c>
      <c r="F11442" s="0" t="s">
        <v>15</v>
      </c>
      <c r="G11442" s="0" t="s">
        <v>16</v>
      </c>
      <c r="H11442" s="0" t="n">
        <v>31</v>
      </c>
      <c r="I11442" s="0" t="s">
        <v>37987</v>
      </c>
      <c r="J11442" s="0" t="s">
        <v>37988</v>
      </c>
      <c r="K11442" s="0" t="s">
        <v>37989</v>
      </c>
      <c r="L11442" s="0" t="str">
        <f aca="false">HYPERLINK("https://www.ncbi.nlm.nih.gov/nuccore/CP000058.1?report=graph&amp;tracks=[key:gene_model_track,Options:GeneOnly]&amp;mk=3606240:3606259|offset_31|00cc00,3606261:3606280|offset_52|444444,3606289:3606308|offset_80|444444,3606316:3606335|offset_107|444444&amp;v=3606039:3606535&amp;c=444444", "offset 31")</f>
        <v>offset 31</v>
      </c>
    </row>
    <row r="11443" customFormat="false" ht="12.8" hidden="false" customHeight="false" outlineLevel="0" collapsed="false">
      <c r="A11443" s="0" t="s">
        <v>12</v>
      </c>
      <c r="B11443" s="0" t="n">
        <v>3606260</v>
      </c>
      <c r="C11443" s="0" t="n">
        <v>3606280</v>
      </c>
      <c r="D11443" s="0" t="s">
        <v>37985</v>
      </c>
      <c r="E11443" s="0" t="s">
        <v>37986</v>
      </c>
      <c r="F11443" s="0" t="s">
        <v>15</v>
      </c>
      <c r="G11443" s="0" t="s">
        <v>16</v>
      </c>
      <c r="H11443" s="0" t="n">
        <v>52</v>
      </c>
      <c r="I11443" s="0" t="s">
        <v>37990</v>
      </c>
      <c r="J11443" s="0" t="s">
        <v>37991</v>
      </c>
      <c r="K11443" s="0" t="s">
        <v>37992</v>
      </c>
      <c r="L11443" s="0" t="str">
        <f aca="false">HYPERLINK("https://www.ncbi.nlm.nih.gov/nuccore/CP000058.1?report=graph&amp;tracks=[key:gene_model_track,Options:GeneOnly]&amp;mk=3606240:3606259|offset_31|444444,3606261:3606280|offset_52|00cc00,3606289:3606308|offset_80|444444,3606316:3606335|offset_107|444444&amp;v=3606039:3606535&amp;c=444444", "offset 52")</f>
        <v>offset 52</v>
      </c>
    </row>
    <row r="11444" customFormat="false" ht="12.8" hidden="false" customHeight="false" outlineLevel="0" collapsed="false">
      <c r="A11444" s="0" t="s">
        <v>12</v>
      </c>
      <c r="B11444" s="0" t="n">
        <v>3606288</v>
      </c>
      <c r="C11444" s="0" t="n">
        <v>3606308</v>
      </c>
      <c r="D11444" s="0" t="s">
        <v>37985</v>
      </c>
      <c r="E11444" s="0" t="s">
        <v>37986</v>
      </c>
      <c r="F11444" s="0" t="s">
        <v>15</v>
      </c>
      <c r="G11444" s="0" t="s">
        <v>16</v>
      </c>
      <c r="H11444" s="0" t="n">
        <v>80</v>
      </c>
      <c r="I11444" s="0" t="s">
        <v>37993</v>
      </c>
      <c r="J11444" s="0" t="s">
        <v>37994</v>
      </c>
      <c r="K11444" s="0" t="s">
        <v>37995</v>
      </c>
      <c r="L11444" s="0" t="str">
        <f aca="false">HYPERLINK("https://www.ncbi.nlm.nih.gov/nuccore/CP000058.1?report=graph&amp;tracks=[key:gene_model_track,Options:GeneOnly]&amp;mk=3606240:3606259|offset_31|444444,3606261:3606280|offset_52|444444,3606289:3606308|offset_80|00cc00,3606316:3606335|offset_107|444444&amp;v=3606039:3606535&amp;c=444444", "offset 80")</f>
        <v>offset 80</v>
      </c>
    </row>
    <row r="11445" customFormat="false" ht="12.8" hidden="false" customHeight="false" outlineLevel="0" collapsed="false">
      <c r="A11445" s="0" t="s">
        <v>12</v>
      </c>
      <c r="B11445" s="0" t="n">
        <v>3606315</v>
      </c>
      <c r="C11445" s="0" t="n">
        <v>3606335</v>
      </c>
      <c r="D11445" s="0" t="s">
        <v>37985</v>
      </c>
      <c r="E11445" s="0" t="s">
        <v>37986</v>
      </c>
      <c r="F11445" s="0" t="s">
        <v>15</v>
      </c>
      <c r="G11445" s="0" t="s">
        <v>16</v>
      </c>
      <c r="H11445" s="0" t="n">
        <v>107</v>
      </c>
      <c r="I11445" s="0" t="s">
        <v>37996</v>
      </c>
      <c r="J11445" s="0" t="s">
        <v>37997</v>
      </c>
      <c r="K11445" s="0" t="s">
        <v>37998</v>
      </c>
      <c r="L11445" s="0" t="str">
        <f aca="false">HYPERLINK("https://www.ncbi.nlm.nih.gov/nuccore/CP000058.1?report=graph&amp;tracks=[key:gene_model_track,Options:GeneOnly]&amp;mk=3606240:3606259|offset_31|444444,3606261:3606280|offset_52|444444,3606289:3606308|offset_80|444444,3606316:3606335|offset_107|00cc00&amp;v=3606039:3606535&amp;c=444444", "offset 107")</f>
        <v>offset 107</v>
      </c>
    </row>
    <row r="11446" customFormat="false" ht="12.8" hidden="false" customHeight="false" outlineLevel="0" collapsed="false">
      <c r="A11446" s="0" t="s">
        <v>12</v>
      </c>
      <c r="B11446" s="0" t="n">
        <v>3608003</v>
      </c>
      <c r="C11446" s="0" t="n">
        <v>3608023</v>
      </c>
      <c r="D11446" s="0" t="s">
        <v>37999</v>
      </c>
      <c r="E11446" s="0" t="s">
        <v>38000</v>
      </c>
      <c r="F11446" s="0" t="s">
        <v>15</v>
      </c>
      <c r="G11446" s="0" t="s">
        <v>36</v>
      </c>
      <c r="H11446" s="0" t="n">
        <v>6</v>
      </c>
      <c r="I11446" s="0" t="s">
        <v>38001</v>
      </c>
      <c r="J11446" s="0" t="s">
        <v>38002</v>
      </c>
      <c r="K11446" s="0" t="s">
        <v>38003</v>
      </c>
      <c r="L11446" s="0" t="str">
        <f aca="false">HYPERLINK("https://www.ncbi.nlm.nih.gov/nuccore/CP000058.1?report=graph&amp;tracks=[key:gene_model_track,Options:GeneOnly]&amp;mk=3608004:3608023|offset_6|00cc00,3608026:3608045|offset_28|444444,3608051:3608070|offset_53|444444,3608077:3608096|offset_79|444444&amp;v=3607803:3608296&amp;c=444444", "offset 6")</f>
        <v>offset 6</v>
      </c>
    </row>
    <row r="11447" customFormat="false" ht="12.8" hidden="false" customHeight="false" outlineLevel="0" collapsed="false">
      <c r="A11447" s="0" t="s">
        <v>12</v>
      </c>
      <c r="B11447" s="0" t="n">
        <v>3608025</v>
      </c>
      <c r="C11447" s="0" t="n">
        <v>3608045</v>
      </c>
      <c r="D11447" s="0" t="s">
        <v>37999</v>
      </c>
      <c r="E11447" s="0" t="s">
        <v>38000</v>
      </c>
      <c r="F11447" s="0" t="s">
        <v>15</v>
      </c>
      <c r="G11447" s="0" t="s">
        <v>36</v>
      </c>
      <c r="H11447" s="0" t="n">
        <v>28</v>
      </c>
      <c r="I11447" s="0" t="s">
        <v>38004</v>
      </c>
      <c r="J11447" s="0" t="s">
        <v>38005</v>
      </c>
      <c r="K11447" s="0" t="s">
        <v>38006</v>
      </c>
      <c r="L11447" s="0" t="str">
        <f aca="false">HYPERLINK("https://www.ncbi.nlm.nih.gov/nuccore/CP000058.1?report=graph&amp;tracks=[key:gene_model_track,Options:GeneOnly]&amp;mk=3608004:3608023|offset_6|444444,3608026:3608045|offset_28|00cc00,3608051:3608070|offset_53|444444,3608077:3608096|offset_79|444444&amp;v=3607803:3608296&amp;c=444444", "offset 28")</f>
        <v>offset 28</v>
      </c>
    </row>
    <row r="11448" customFormat="false" ht="12.8" hidden="false" customHeight="false" outlineLevel="0" collapsed="false">
      <c r="A11448" s="0" t="s">
        <v>12</v>
      </c>
      <c r="B11448" s="0" t="n">
        <v>3608050</v>
      </c>
      <c r="C11448" s="0" t="n">
        <v>3608070</v>
      </c>
      <c r="D11448" s="0" t="s">
        <v>37999</v>
      </c>
      <c r="E11448" s="0" t="s">
        <v>38000</v>
      </c>
      <c r="F11448" s="0" t="s">
        <v>15</v>
      </c>
      <c r="G11448" s="0" t="s">
        <v>20</v>
      </c>
      <c r="H11448" s="0" t="n">
        <v>53</v>
      </c>
      <c r="I11448" s="0" t="s">
        <v>38007</v>
      </c>
      <c r="J11448" s="0" t="s">
        <v>38008</v>
      </c>
      <c r="K11448" s="0" t="s">
        <v>38009</v>
      </c>
      <c r="L11448" s="0" t="str">
        <f aca="false">HYPERLINK("https://www.ncbi.nlm.nih.gov/nuccore/CP000058.1?report=graph&amp;tracks=[key:gene_model_track,Options:GeneOnly]&amp;mk=3608004:3608023|offset_6|444444,3608026:3608045|offset_28|444444,3608051:3608070|offset_53|00cc00,3608077:3608096|offset_79|444444&amp;v=3607803:3608296&amp;c=444444", "offset 53")</f>
        <v>offset 53</v>
      </c>
    </row>
    <row r="11449" customFormat="false" ht="12.8" hidden="false" customHeight="false" outlineLevel="0" collapsed="false">
      <c r="A11449" s="0" t="s">
        <v>12</v>
      </c>
      <c r="B11449" s="0" t="n">
        <v>3608076</v>
      </c>
      <c r="C11449" s="0" t="n">
        <v>3608096</v>
      </c>
      <c r="D11449" s="0" t="s">
        <v>37999</v>
      </c>
      <c r="E11449" s="0" t="s">
        <v>38000</v>
      </c>
      <c r="F11449" s="0" t="s">
        <v>15</v>
      </c>
      <c r="G11449" s="0" t="s">
        <v>20</v>
      </c>
      <c r="H11449" s="0" t="n">
        <v>79</v>
      </c>
      <c r="I11449" s="0" t="s">
        <v>38010</v>
      </c>
      <c r="J11449" s="0" t="s">
        <v>38011</v>
      </c>
      <c r="K11449" s="0" t="s">
        <v>38012</v>
      </c>
      <c r="L11449" s="0" t="str">
        <f aca="false">HYPERLINK("https://www.ncbi.nlm.nih.gov/nuccore/CP000058.1?report=graph&amp;tracks=[key:gene_model_track,Options:GeneOnly]&amp;mk=3608004:3608023|offset_6|444444,3608026:3608045|offset_28|444444,3608051:3608070|offset_53|444444,3608077:3608096|offset_79|00cc00&amp;v=3607803:3608296&amp;c=444444", "offset 79")</f>
        <v>offset 79</v>
      </c>
    </row>
    <row r="11450" customFormat="false" ht="12.8" hidden="false" customHeight="false" outlineLevel="0" collapsed="false">
      <c r="A11450" s="0" t="s">
        <v>12</v>
      </c>
      <c r="B11450" s="0" t="n">
        <v>3608440</v>
      </c>
      <c r="C11450" s="0" t="n">
        <v>3608460</v>
      </c>
      <c r="D11450" s="0" t="s">
        <v>38013</v>
      </c>
      <c r="E11450" s="0" t="s">
        <v>38014</v>
      </c>
      <c r="F11450" s="0" t="s">
        <v>15</v>
      </c>
      <c r="G11450" s="0" t="s">
        <v>32</v>
      </c>
      <c r="H11450" s="0" t="n">
        <v>19</v>
      </c>
      <c r="I11450" s="0" t="s">
        <v>38015</v>
      </c>
      <c r="J11450" s="0" t="s">
        <v>38016</v>
      </c>
      <c r="K11450" s="0" t="s">
        <v>38017</v>
      </c>
      <c r="L11450" s="0" t="str">
        <f aca="false">HYPERLINK("https://www.ncbi.nlm.nih.gov/nuccore/CP000058.1?report=graph&amp;tracks=[key:gene_model_track,Options:GeneOnly]&amp;mk=3608441:3608460|offset_19|00cc00,3608461:3608480|offset_39|444444,3608495:3608514|offset_73|444444,3608523:3608542|offset_101|444444&amp;v=3608240:3608742&amp;c=444444", "offset 19")</f>
        <v>offset 19</v>
      </c>
    </row>
    <row r="11451" customFormat="false" ht="12.8" hidden="false" customHeight="false" outlineLevel="0" collapsed="false">
      <c r="A11451" s="0" t="s">
        <v>12</v>
      </c>
      <c r="B11451" s="0" t="n">
        <v>3608460</v>
      </c>
      <c r="C11451" s="0" t="n">
        <v>3608480</v>
      </c>
      <c r="D11451" s="0" t="s">
        <v>38013</v>
      </c>
      <c r="E11451" s="0" t="s">
        <v>38014</v>
      </c>
      <c r="F11451" s="0" t="s">
        <v>15</v>
      </c>
      <c r="G11451" s="0" t="s">
        <v>20</v>
      </c>
      <c r="H11451" s="0" t="n">
        <v>39</v>
      </c>
      <c r="I11451" s="0" t="s">
        <v>38018</v>
      </c>
      <c r="J11451" s="0" t="s">
        <v>38019</v>
      </c>
      <c r="K11451" s="0" t="s">
        <v>38020</v>
      </c>
      <c r="L11451" s="0" t="str">
        <f aca="false">HYPERLINK("https://www.ncbi.nlm.nih.gov/nuccore/CP000058.1?report=graph&amp;tracks=[key:gene_model_track,Options:GeneOnly]&amp;mk=3608441:3608460|offset_19|444444,3608461:3608480|offset_39|00cc00,3608495:3608514|offset_73|444444,3608523:3608542|offset_101|444444&amp;v=3608240:3608742&amp;c=444444", "offset 39")</f>
        <v>offset 39</v>
      </c>
    </row>
    <row r="11452" customFormat="false" ht="12.8" hidden="false" customHeight="false" outlineLevel="0" collapsed="false">
      <c r="A11452" s="0" t="s">
        <v>12</v>
      </c>
      <c r="B11452" s="0" t="n">
        <v>3608494</v>
      </c>
      <c r="C11452" s="0" t="n">
        <v>3608514</v>
      </c>
      <c r="D11452" s="0" t="s">
        <v>38013</v>
      </c>
      <c r="E11452" s="0" t="s">
        <v>38014</v>
      </c>
      <c r="F11452" s="0" t="s">
        <v>15</v>
      </c>
      <c r="G11452" s="0" t="s">
        <v>16</v>
      </c>
      <c r="H11452" s="0" t="n">
        <v>73</v>
      </c>
      <c r="I11452" s="0" t="s">
        <v>38021</v>
      </c>
      <c r="J11452" s="0" t="s">
        <v>38022</v>
      </c>
      <c r="K11452" s="0" t="s">
        <v>38023</v>
      </c>
      <c r="L11452" s="0" t="str">
        <f aca="false">HYPERLINK("https://www.ncbi.nlm.nih.gov/nuccore/CP000058.1?report=graph&amp;tracks=[key:gene_model_track,Options:GeneOnly]&amp;mk=3608441:3608460|offset_19|444444,3608461:3608480|offset_39|444444,3608495:3608514|offset_73|00cc00,3608523:3608542|offset_101|444444&amp;v=3608240:3608742&amp;c=444444", "offset 73")</f>
        <v>offset 73</v>
      </c>
    </row>
    <row r="11453" customFormat="false" ht="12.8" hidden="false" customHeight="false" outlineLevel="0" collapsed="false">
      <c r="A11453" s="0" t="s">
        <v>12</v>
      </c>
      <c r="B11453" s="0" t="n">
        <v>3608522</v>
      </c>
      <c r="C11453" s="0" t="n">
        <v>3608542</v>
      </c>
      <c r="D11453" s="0" t="s">
        <v>38013</v>
      </c>
      <c r="E11453" s="0" t="s">
        <v>38014</v>
      </c>
      <c r="F11453" s="0" t="s">
        <v>15</v>
      </c>
      <c r="G11453" s="0" t="s">
        <v>32</v>
      </c>
      <c r="H11453" s="0" t="n">
        <v>101</v>
      </c>
      <c r="I11453" s="0" t="s">
        <v>38024</v>
      </c>
      <c r="J11453" s="0" t="s">
        <v>38025</v>
      </c>
      <c r="K11453" s="0" t="s">
        <v>38026</v>
      </c>
      <c r="L11453" s="0" t="str">
        <f aca="false">HYPERLINK("https://www.ncbi.nlm.nih.gov/nuccore/CP000058.1?report=graph&amp;tracks=[key:gene_model_track,Options:GeneOnly]&amp;mk=3608441:3608460|offset_19|444444,3608461:3608480|offset_39|444444,3608495:3608514|offset_73|444444,3608523:3608542|offset_101|00cc00&amp;v=3608240:3608742&amp;c=444444", "offset 101")</f>
        <v>offset 101</v>
      </c>
    </row>
    <row r="11454" customFormat="false" ht="12.8" hidden="false" customHeight="false" outlineLevel="0" collapsed="false">
      <c r="A11454" s="0" t="s">
        <v>12</v>
      </c>
      <c r="B11454" s="0" t="n">
        <v>3609170</v>
      </c>
      <c r="C11454" s="0" t="n">
        <v>3609190</v>
      </c>
      <c r="D11454" s="0" t="s">
        <v>38027</v>
      </c>
      <c r="E11454" s="0" t="s">
        <v>38028</v>
      </c>
      <c r="F11454" s="0" t="s">
        <v>15</v>
      </c>
      <c r="G11454" s="0" t="s">
        <v>20</v>
      </c>
      <c r="H11454" s="0" t="n">
        <v>0</v>
      </c>
      <c r="I11454" s="0" t="s">
        <v>38029</v>
      </c>
      <c r="J11454" s="0" t="s">
        <v>38030</v>
      </c>
      <c r="K11454" s="0" t="s">
        <v>38031</v>
      </c>
      <c r="L11454" s="0" t="str">
        <f aca="false">HYPERLINK("https://www.ncbi.nlm.nih.gov/nuccore/CP000058.1?report=graph&amp;tracks=[key:gene_model_track,Options:GeneOnly]&amp;mk=3609171:3609190|offset_0|00cc00,3609200:3609219|offset_29|444444,3609221:3609240|offset_50|444444,3609247:3609266|offset_76|444444&amp;v=3608970:3609466&amp;c=444444", "offset 0")</f>
        <v>offset 0</v>
      </c>
    </row>
    <row r="11455" customFormat="false" ht="12.8" hidden="false" customHeight="false" outlineLevel="0" collapsed="false">
      <c r="A11455" s="0" t="s">
        <v>12</v>
      </c>
      <c r="B11455" s="0" t="n">
        <v>3609199</v>
      </c>
      <c r="C11455" s="0" t="n">
        <v>3609219</v>
      </c>
      <c r="D11455" s="0" t="s">
        <v>38027</v>
      </c>
      <c r="E11455" s="0" t="s">
        <v>38028</v>
      </c>
      <c r="F11455" s="0" t="s">
        <v>15</v>
      </c>
      <c r="G11455" s="0" t="s">
        <v>36</v>
      </c>
      <c r="H11455" s="0" t="n">
        <v>29</v>
      </c>
      <c r="I11455" s="0" t="s">
        <v>38032</v>
      </c>
      <c r="J11455" s="0" t="s">
        <v>38033</v>
      </c>
      <c r="K11455" s="0" t="s">
        <v>38034</v>
      </c>
      <c r="L11455" s="0" t="str">
        <f aca="false">HYPERLINK("https://www.ncbi.nlm.nih.gov/nuccore/CP000058.1?report=graph&amp;tracks=[key:gene_model_track,Options:GeneOnly]&amp;mk=3609171:3609190|offset_0|444444,3609200:3609219|offset_29|00cc00,3609221:3609240|offset_50|444444,3609247:3609266|offset_76|444444&amp;v=3608970:3609466&amp;c=444444", "offset 29")</f>
        <v>offset 29</v>
      </c>
    </row>
    <row r="11456" customFormat="false" ht="12.8" hidden="false" customHeight="false" outlineLevel="0" collapsed="false">
      <c r="A11456" s="0" t="s">
        <v>12</v>
      </c>
      <c r="B11456" s="0" t="n">
        <v>3609220</v>
      </c>
      <c r="C11456" s="0" t="n">
        <v>3609240</v>
      </c>
      <c r="D11456" s="0" t="s">
        <v>38027</v>
      </c>
      <c r="E11456" s="0" t="s">
        <v>38028</v>
      </c>
      <c r="F11456" s="0" t="s">
        <v>15</v>
      </c>
      <c r="G11456" s="0" t="s">
        <v>32</v>
      </c>
      <c r="H11456" s="0" t="n">
        <v>50</v>
      </c>
      <c r="I11456" s="0" t="s">
        <v>38035</v>
      </c>
      <c r="J11456" s="0" t="s">
        <v>38036</v>
      </c>
      <c r="K11456" s="0" t="s">
        <v>38037</v>
      </c>
      <c r="L11456" s="0" t="str">
        <f aca="false">HYPERLINK("https://www.ncbi.nlm.nih.gov/nuccore/CP000058.1?report=graph&amp;tracks=[key:gene_model_track,Options:GeneOnly]&amp;mk=3609171:3609190|offset_0|444444,3609200:3609219|offset_29|444444,3609221:3609240|offset_50|00cc00,3609247:3609266|offset_76|444444&amp;v=3608970:3609466&amp;c=444444", "offset 50")</f>
        <v>offset 50</v>
      </c>
    </row>
    <row r="11457" customFormat="false" ht="12.8" hidden="false" customHeight="false" outlineLevel="0" collapsed="false">
      <c r="A11457" s="0" t="s">
        <v>12</v>
      </c>
      <c r="B11457" s="0" t="n">
        <v>3609246</v>
      </c>
      <c r="C11457" s="0" t="n">
        <v>3609266</v>
      </c>
      <c r="D11457" s="0" t="s">
        <v>38027</v>
      </c>
      <c r="E11457" s="0" t="s">
        <v>38028</v>
      </c>
      <c r="F11457" s="0" t="s">
        <v>15</v>
      </c>
      <c r="G11457" s="0" t="s">
        <v>36</v>
      </c>
      <c r="H11457" s="0" t="n">
        <v>76</v>
      </c>
      <c r="I11457" s="0" t="s">
        <v>38038</v>
      </c>
      <c r="J11457" s="0" t="s">
        <v>38039</v>
      </c>
      <c r="K11457" s="0" t="s">
        <v>38040</v>
      </c>
      <c r="L11457" s="0" t="str">
        <f aca="false">HYPERLINK("https://www.ncbi.nlm.nih.gov/nuccore/CP000058.1?report=graph&amp;tracks=[key:gene_model_track,Options:GeneOnly]&amp;mk=3609171:3609190|offset_0|444444,3609200:3609219|offset_29|444444,3609221:3609240|offset_50|444444,3609247:3609266|offset_76|00cc00&amp;v=3608970:3609466&amp;c=444444", "offset 76")</f>
        <v>offset 76</v>
      </c>
    </row>
    <row r="11458" customFormat="false" ht="12.8" hidden="false" customHeight="false" outlineLevel="0" collapsed="false">
      <c r="A11458" s="0" t="s">
        <v>12</v>
      </c>
      <c r="B11458" s="0" t="n">
        <v>3610965</v>
      </c>
      <c r="C11458" s="0" t="n">
        <v>3610985</v>
      </c>
      <c r="D11458" s="0" t="s">
        <v>38041</v>
      </c>
      <c r="E11458" s="0" t="s">
        <v>38042</v>
      </c>
      <c r="F11458" s="0" t="s">
        <v>15</v>
      </c>
      <c r="G11458" s="0" t="s">
        <v>36</v>
      </c>
      <c r="H11458" s="0" t="n">
        <v>11</v>
      </c>
      <c r="I11458" s="0" t="s">
        <v>38043</v>
      </c>
      <c r="J11458" s="0" t="s">
        <v>38044</v>
      </c>
      <c r="K11458" s="0" t="s">
        <v>38045</v>
      </c>
      <c r="L11458" s="0" t="str">
        <f aca="false">HYPERLINK("https://www.ncbi.nlm.nih.gov/nuccore/CP000058.1?report=graph&amp;tracks=[key:gene_model_track,Options:GeneOnly]&amp;mk=3610966:3610985|offset_11|00cc00,3610992:3611011|offset_37|444444,3611016:3611035|offset_61|444444,3611047:3611066|offset_92|444444&amp;v=3610765:3611266&amp;c=444444", "offset 11")</f>
        <v>offset 11</v>
      </c>
    </row>
    <row r="11459" customFormat="false" ht="12.8" hidden="false" customHeight="false" outlineLevel="0" collapsed="false">
      <c r="A11459" s="0" t="s">
        <v>12</v>
      </c>
      <c r="B11459" s="0" t="n">
        <v>3610991</v>
      </c>
      <c r="C11459" s="0" t="n">
        <v>3611011</v>
      </c>
      <c r="D11459" s="0" t="s">
        <v>38041</v>
      </c>
      <c r="E11459" s="0" t="s">
        <v>38042</v>
      </c>
      <c r="F11459" s="0" t="s">
        <v>15</v>
      </c>
      <c r="G11459" s="0" t="s">
        <v>36</v>
      </c>
      <c r="H11459" s="0" t="n">
        <v>37</v>
      </c>
      <c r="I11459" s="0" t="s">
        <v>38046</v>
      </c>
      <c r="J11459" s="0" t="s">
        <v>38047</v>
      </c>
      <c r="K11459" s="0" t="s">
        <v>38048</v>
      </c>
      <c r="L11459" s="0" t="str">
        <f aca="false">HYPERLINK("https://www.ncbi.nlm.nih.gov/nuccore/CP000058.1?report=graph&amp;tracks=[key:gene_model_track,Options:GeneOnly]&amp;mk=3610966:3610985|offset_11|444444,3610992:3611011|offset_37|00cc00,3611016:3611035|offset_61|444444,3611047:3611066|offset_92|444444&amp;v=3610765:3611266&amp;c=444444", "offset 37")</f>
        <v>offset 37</v>
      </c>
    </row>
    <row r="11460" customFormat="false" ht="12.8" hidden="false" customHeight="false" outlineLevel="0" collapsed="false">
      <c r="A11460" s="0" t="s">
        <v>12</v>
      </c>
      <c r="B11460" s="0" t="n">
        <v>3611015</v>
      </c>
      <c r="C11460" s="0" t="n">
        <v>3611035</v>
      </c>
      <c r="D11460" s="0" t="s">
        <v>38041</v>
      </c>
      <c r="E11460" s="0" t="s">
        <v>38042</v>
      </c>
      <c r="F11460" s="0" t="s">
        <v>15</v>
      </c>
      <c r="G11460" s="0" t="s">
        <v>32</v>
      </c>
      <c r="H11460" s="0" t="n">
        <v>61</v>
      </c>
      <c r="I11460" s="0" t="s">
        <v>38049</v>
      </c>
      <c r="J11460" s="0" t="s">
        <v>38050</v>
      </c>
      <c r="K11460" s="0" t="s">
        <v>38051</v>
      </c>
      <c r="L11460" s="0" t="str">
        <f aca="false">HYPERLINK("https://www.ncbi.nlm.nih.gov/nuccore/CP000058.1?report=graph&amp;tracks=[key:gene_model_track,Options:GeneOnly]&amp;mk=3610966:3610985|offset_11|444444,3610992:3611011|offset_37|444444,3611016:3611035|offset_61|00cc00,3611047:3611066|offset_92|444444&amp;v=3610765:3611266&amp;c=444444", "offset 61")</f>
        <v>offset 61</v>
      </c>
    </row>
    <row r="11461" customFormat="false" ht="12.8" hidden="false" customHeight="false" outlineLevel="0" collapsed="false">
      <c r="A11461" s="0" t="s">
        <v>12</v>
      </c>
      <c r="B11461" s="0" t="n">
        <v>3611046</v>
      </c>
      <c r="C11461" s="0" t="n">
        <v>3611066</v>
      </c>
      <c r="D11461" s="0" t="s">
        <v>38041</v>
      </c>
      <c r="E11461" s="0" t="s">
        <v>38042</v>
      </c>
      <c r="F11461" s="0" t="s">
        <v>15</v>
      </c>
      <c r="G11461" s="0" t="s">
        <v>36</v>
      </c>
      <c r="H11461" s="0" t="n">
        <v>92</v>
      </c>
      <c r="I11461" s="0" t="s">
        <v>38052</v>
      </c>
      <c r="J11461" s="0" t="s">
        <v>38053</v>
      </c>
      <c r="K11461" s="0" t="s">
        <v>38054</v>
      </c>
      <c r="L11461" s="0" t="str">
        <f aca="false">HYPERLINK("https://www.ncbi.nlm.nih.gov/nuccore/CP000058.1?report=graph&amp;tracks=[key:gene_model_track,Options:GeneOnly]&amp;mk=3610966:3610985|offset_11|444444,3610992:3611011|offset_37|444444,3611016:3611035|offset_61|444444,3611047:3611066|offset_92|00cc00&amp;v=3610765:3611266&amp;c=444444", "offset 92")</f>
        <v>offset 92</v>
      </c>
    </row>
    <row r="11462" customFormat="false" ht="12.8" hidden="false" customHeight="false" outlineLevel="0" collapsed="false">
      <c r="A11462" s="0" t="s">
        <v>12</v>
      </c>
      <c r="B11462" s="0" t="n">
        <v>3611455</v>
      </c>
      <c r="C11462" s="0" t="n">
        <v>3611475</v>
      </c>
      <c r="D11462" s="0" t="s">
        <v>38055</v>
      </c>
      <c r="E11462" s="0" t="s">
        <v>38056</v>
      </c>
      <c r="F11462" s="0" t="s">
        <v>15</v>
      </c>
      <c r="G11462" s="0" t="s">
        <v>32</v>
      </c>
      <c r="H11462" s="0" t="n">
        <v>7</v>
      </c>
      <c r="I11462" s="0" t="s">
        <v>38057</v>
      </c>
      <c r="J11462" s="0" t="s">
        <v>38058</v>
      </c>
      <c r="K11462" s="0" t="s">
        <v>38059</v>
      </c>
      <c r="L11462" s="0" t="str">
        <f aca="false">HYPERLINK("https://www.ncbi.nlm.nih.gov/nuccore/CP000058.1?report=graph&amp;tracks=[key:gene_model_track,Options:GeneOnly]&amp;mk=3611456:3611475|offset_7|00cc00,3611477:3611496|offset_28|444444,3611504:3611523|offset_55|444444,3611542:3611561|offset_93|444444&amp;v=3611255:3611761&amp;c=444444", "offset 7")</f>
        <v>offset 7</v>
      </c>
    </row>
    <row r="11463" customFormat="false" ht="12.8" hidden="false" customHeight="false" outlineLevel="0" collapsed="false">
      <c r="A11463" s="0" t="s">
        <v>12</v>
      </c>
      <c r="B11463" s="0" t="n">
        <v>3611476</v>
      </c>
      <c r="C11463" s="0" t="n">
        <v>3611496</v>
      </c>
      <c r="D11463" s="0" t="s">
        <v>38055</v>
      </c>
      <c r="E11463" s="0" t="s">
        <v>38056</v>
      </c>
      <c r="F11463" s="0" t="s">
        <v>15</v>
      </c>
      <c r="G11463" s="0" t="s">
        <v>32</v>
      </c>
      <c r="H11463" s="0" t="n">
        <v>28</v>
      </c>
      <c r="I11463" s="0" t="s">
        <v>38060</v>
      </c>
      <c r="J11463" s="0" t="s">
        <v>38061</v>
      </c>
      <c r="K11463" s="0" t="s">
        <v>38062</v>
      </c>
      <c r="L11463" s="0" t="str">
        <f aca="false">HYPERLINK("https://www.ncbi.nlm.nih.gov/nuccore/CP000058.1?report=graph&amp;tracks=[key:gene_model_track,Options:GeneOnly]&amp;mk=3611456:3611475|offset_7|444444,3611477:3611496|offset_28|00cc00,3611504:3611523|offset_55|444444,3611542:3611561|offset_93|444444&amp;v=3611255:3611761&amp;c=444444", "offset 28")</f>
        <v>offset 28</v>
      </c>
    </row>
    <row r="11464" customFormat="false" ht="12.8" hidden="false" customHeight="false" outlineLevel="0" collapsed="false">
      <c r="A11464" s="0" t="s">
        <v>12</v>
      </c>
      <c r="B11464" s="0" t="n">
        <v>3611503</v>
      </c>
      <c r="C11464" s="0" t="n">
        <v>3611523</v>
      </c>
      <c r="D11464" s="0" t="s">
        <v>38055</v>
      </c>
      <c r="E11464" s="0" t="s">
        <v>38056</v>
      </c>
      <c r="F11464" s="0" t="s">
        <v>15</v>
      </c>
      <c r="G11464" s="0" t="s">
        <v>36</v>
      </c>
      <c r="H11464" s="0" t="n">
        <v>55</v>
      </c>
      <c r="I11464" s="0" t="s">
        <v>38063</v>
      </c>
      <c r="J11464" s="0" t="s">
        <v>38064</v>
      </c>
      <c r="K11464" s="0" t="s">
        <v>38065</v>
      </c>
      <c r="L11464" s="0" t="str">
        <f aca="false">HYPERLINK("https://www.ncbi.nlm.nih.gov/nuccore/CP000058.1?report=graph&amp;tracks=[key:gene_model_track,Options:GeneOnly]&amp;mk=3611456:3611475|offset_7|444444,3611477:3611496|offset_28|444444,3611504:3611523|offset_55|00cc00,3611542:3611561|offset_93|444444&amp;v=3611255:3611761&amp;c=444444", "offset 55")</f>
        <v>offset 55</v>
      </c>
    </row>
    <row r="11465" customFormat="false" ht="12.8" hidden="false" customHeight="false" outlineLevel="0" collapsed="false">
      <c r="A11465" s="0" t="s">
        <v>12</v>
      </c>
      <c r="B11465" s="0" t="n">
        <v>3611541</v>
      </c>
      <c r="C11465" s="0" t="n">
        <v>3611561</v>
      </c>
      <c r="D11465" s="0" t="s">
        <v>38055</v>
      </c>
      <c r="E11465" s="0" t="s">
        <v>38056</v>
      </c>
      <c r="F11465" s="0" t="s">
        <v>15</v>
      </c>
      <c r="G11465" s="0" t="s">
        <v>16</v>
      </c>
      <c r="H11465" s="0" t="n">
        <v>93</v>
      </c>
      <c r="I11465" s="0" t="s">
        <v>38066</v>
      </c>
      <c r="J11465" s="0" t="s">
        <v>38067</v>
      </c>
      <c r="K11465" s="0" t="s">
        <v>38068</v>
      </c>
      <c r="L11465" s="0" t="str">
        <f aca="false">HYPERLINK("https://www.ncbi.nlm.nih.gov/nuccore/CP000058.1?report=graph&amp;tracks=[key:gene_model_track,Options:GeneOnly]&amp;mk=3611456:3611475|offset_7|444444,3611477:3611496|offset_28|444444,3611504:3611523|offset_55|444444,3611542:3611561|offset_93|00cc00&amp;v=3611255:3611761&amp;c=444444", "offset 93")</f>
        <v>offset 93</v>
      </c>
    </row>
    <row r="11466" customFormat="false" ht="12.8" hidden="false" customHeight="false" outlineLevel="0" collapsed="false">
      <c r="A11466" s="0" t="s">
        <v>12</v>
      </c>
      <c r="B11466" s="0" t="n">
        <v>3612944</v>
      </c>
      <c r="C11466" s="0" t="n">
        <v>3612964</v>
      </c>
      <c r="D11466" s="0" t="s">
        <v>38069</v>
      </c>
      <c r="E11466" s="0" t="s">
        <v>38070</v>
      </c>
      <c r="F11466" s="0" t="s">
        <v>15</v>
      </c>
      <c r="G11466" s="0" t="s">
        <v>32</v>
      </c>
      <c r="H11466" s="0" t="n">
        <v>1</v>
      </c>
      <c r="I11466" s="0" t="s">
        <v>38071</v>
      </c>
      <c r="J11466" s="0" t="s">
        <v>38072</v>
      </c>
      <c r="K11466" s="0" t="s">
        <v>38073</v>
      </c>
      <c r="L11466" s="0" t="str">
        <f aca="false">HYPERLINK("https://www.ncbi.nlm.nih.gov/nuccore/CP000058.1?report=graph&amp;tracks=[key:gene_model_track,Options:GeneOnly]&amp;mk=3612945:3612964|offset_1|00cc00,3613000:3613019|offset_56|444444,3613027:3613046|offset_83|444444,3613054:3613073|offset_110|444444&amp;v=3612744:3613273&amp;c=444444", "offset 1")</f>
        <v>offset 1</v>
      </c>
    </row>
    <row r="11467" customFormat="false" ht="12.8" hidden="false" customHeight="false" outlineLevel="0" collapsed="false">
      <c r="A11467" s="0" t="s">
        <v>12</v>
      </c>
      <c r="B11467" s="0" t="n">
        <v>3612999</v>
      </c>
      <c r="C11467" s="0" t="n">
        <v>3613019</v>
      </c>
      <c r="D11467" s="0" t="s">
        <v>38069</v>
      </c>
      <c r="E11467" s="0" t="s">
        <v>38070</v>
      </c>
      <c r="F11467" s="0" t="s">
        <v>15</v>
      </c>
      <c r="G11467" s="0" t="s">
        <v>20</v>
      </c>
      <c r="H11467" s="0" t="n">
        <v>56</v>
      </c>
      <c r="I11467" s="0" t="s">
        <v>38074</v>
      </c>
      <c r="J11467" s="0" t="s">
        <v>38075</v>
      </c>
      <c r="K11467" s="0" t="s">
        <v>38076</v>
      </c>
      <c r="L11467" s="0" t="str">
        <f aca="false">HYPERLINK("https://www.ncbi.nlm.nih.gov/nuccore/CP000058.1?report=graph&amp;tracks=[key:gene_model_track,Options:GeneOnly]&amp;mk=3612945:3612964|offset_1|444444,3613000:3613019|offset_56|00cc00,3613027:3613046|offset_83|444444,3613054:3613073|offset_110|444444&amp;v=3612744:3613273&amp;c=444444", "offset 56")</f>
        <v>offset 56</v>
      </c>
    </row>
    <row r="11468" customFormat="false" ht="12.8" hidden="false" customHeight="false" outlineLevel="0" collapsed="false">
      <c r="A11468" s="0" t="s">
        <v>12</v>
      </c>
      <c r="B11468" s="0" t="n">
        <v>3613026</v>
      </c>
      <c r="C11468" s="0" t="n">
        <v>3613046</v>
      </c>
      <c r="D11468" s="0" t="s">
        <v>38069</v>
      </c>
      <c r="E11468" s="0" t="s">
        <v>38070</v>
      </c>
      <c r="F11468" s="0" t="s">
        <v>15</v>
      </c>
      <c r="G11468" s="0" t="s">
        <v>20</v>
      </c>
      <c r="H11468" s="0" t="n">
        <v>83</v>
      </c>
      <c r="I11468" s="0" t="s">
        <v>38077</v>
      </c>
      <c r="J11468" s="0" t="s">
        <v>38078</v>
      </c>
      <c r="K11468" s="0" t="s">
        <v>38079</v>
      </c>
      <c r="L11468" s="0" t="str">
        <f aca="false">HYPERLINK("https://www.ncbi.nlm.nih.gov/nuccore/CP000058.1?report=graph&amp;tracks=[key:gene_model_track,Options:GeneOnly]&amp;mk=3612945:3612964|offset_1|444444,3613000:3613019|offset_56|444444,3613027:3613046|offset_83|00cc00,3613054:3613073|offset_110|444444&amp;v=3612744:3613273&amp;c=444444", "offset 83")</f>
        <v>offset 83</v>
      </c>
    </row>
    <row r="11469" customFormat="false" ht="12.8" hidden="false" customHeight="false" outlineLevel="0" collapsed="false">
      <c r="A11469" s="0" t="s">
        <v>12</v>
      </c>
      <c r="B11469" s="0" t="n">
        <v>3613053</v>
      </c>
      <c r="C11469" s="0" t="n">
        <v>3613073</v>
      </c>
      <c r="D11469" s="0" t="s">
        <v>38069</v>
      </c>
      <c r="E11469" s="0" t="s">
        <v>38070</v>
      </c>
      <c r="F11469" s="0" t="s">
        <v>15</v>
      </c>
      <c r="G11469" s="0" t="s">
        <v>36</v>
      </c>
      <c r="H11469" s="0" t="n">
        <v>110</v>
      </c>
      <c r="I11469" s="0" t="s">
        <v>38080</v>
      </c>
      <c r="J11469" s="0" t="s">
        <v>38081</v>
      </c>
      <c r="K11469" s="0" t="s">
        <v>38082</v>
      </c>
      <c r="L11469" s="0" t="str">
        <f aca="false">HYPERLINK("https://www.ncbi.nlm.nih.gov/nuccore/CP000058.1?report=graph&amp;tracks=[key:gene_model_track,Options:GeneOnly]&amp;mk=3612945:3612964|offset_1|444444,3613000:3613019|offset_56|444444,3613027:3613046|offset_83|444444,3613054:3613073|offset_110|00cc00&amp;v=3612744:3613273&amp;c=444444", "offset 110")</f>
        <v>offset 110</v>
      </c>
    </row>
    <row r="11470" customFormat="false" ht="12.8" hidden="false" customHeight="false" outlineLevel="0" collapsed="false">
      <c r="A11470" s="0" t="s">
        <v>12</v>
      </c>
      <c r="B11470" s="0" t="n">
        <v>3615664</v>
      </c>
      <c r="C11470" s="0" t="n">
        <v>3615684</v>
      </c>
      <c r="D11470" s="0" t="s">
        <v>38083</v>
      </c>
      <c r="E11470" s="0" t="s">
        <v>38084</v>
      </c>
      <c r="F11470" s="0" t="s">
        <v>15</v>
      </c>
      <c r="G11470" s="0" t="s">
        <v>20</v>
      </c>
      <c r="H11470" s="0" t="n">
        <v>7</v>
      </c>
      <c r="I11470" s="0" t="s">
        <v>38085</v>
      </c>
      <c r="J11470" s="0" t="s">
        <v>38086</v>
      </c>
      <c r="K11470" s="0" t="s">
        <v>38087</v>
      </c>
      <c r="L11470" s="0" t="str">
        <f aca="false">HYPERLINK("https://www.ncbi.nlm.nih.gov/nuccore/CP000058.1?report=graph&amp;tracks=[key:gene_model_track,Options:GeneOnly]&amp;mk=3615665:3615684|offset_7|00cc00,3615713:3615732|offset_55|444444,3615749:3615768|offset_91|444444,3615795:3615814|offset_137|444444&amp;v=3615464:3616014&amp;c=444444", "offset 7")</f>
        <v>offset 7</v>
      </c>
    </row>
    <row r="11471" customFormat="false" ht="12.8" hidden="false" customHeight="false" outlineLevel="0" collapsed="false">
      <c r="A11471" s="0" t="s">
        <v>12</v>
      </c>
      <c r="B11471" s="0" t="n">
        <v>3615712</v>
      </c>
      <c r="C11471" s="0" t="n">
        <v>3615732</v>
      </c>
      <c r="D11471" s="0" t="s">
        <v>38083</v>
      </c>
      <c r="E11471" s="0" t="s">
        <v>38084</v>
      </c>
      <c r="F11471" s="0" t="s">
        <v>15</v>
      </c>
      <c r="G11471" s="0" t="s">
        <v>32</v>
      </c>
      <c r="H11471" s="0" t="n">
        <v>55</v>
      </c>
      <c r="I11471" s="0" t="s">
        <v>38088</v>
      </c>
      <c r="J11471" s="0" t="s">
        <v>38089</v>
      </c>
      <c r="K11471" s="0" t="s">
        <v>38090</v>
      </c>
      <c r="L11471" s="0" t="str">
        <f aca="false">HYPERLINK("https://www.ncbi.nlm.nih.gov/nuccore/CP000058.1?report=graph&amp;tracks=[key:gene_model_track,Options:GeneOnly]&amp;mk=3615665:3615684|offset_7|444444,3615713:3615732|offset_55|00cc00,3615749:3615768|offset_91|444444,3615795:3615814|offset_137|444444&amp;v=3615464:3616014&amp;c=444444", "offset 55")</f>
        <v>offset 55</v>
      </c>
    </row>
    <row r="11472" customFormat="false" ht="12.8" hidden="false" customHeight="false" outlineLevel="0" collapsed="false">
      <c r="A11472" s="0" t="s">
        <v>12</v>
      </c>
      <c r="B11472" s="0" t="n">
        <v>3615748</v>
      </c>
      <c r="C11472" s="0" t="n">
        <v>3615768</v>
      </c>
      <c r="D11472" s="0" t="s">
        <v>38083</v>
      </c>
      <c r="E11472" s="0" t="s">
        <v>38084</v>
      </c>
      <c r="F11472" s="0" t="s">
        <v>15</v>
      </c>
      <c r="G11472" s="0" t="s">
        <v>36</v>
      </c>
      <c r="H11472" s="0" t="n">
        <v>91</v>
      </c>
      <c r="I11472" s="0" t="s">
        <v>38091</v>
      </c>
      <c r="J11472" s="0" t="s">
        <v>38092</v>
      </c>
      <c r="K11472" s="0" t="s">
        <v>38093</v>
      </c>
      <c r="L11472" s="0" t="str">
        <f aca="false">HYPERLINK("https://www.ncbi.nlm.nih.gov/nuccore/CP000058.1?report=graph&amp;tracks=[key:gene_model_track,Options:GeneOnly]&amp;mk=3615665:3615684|offset_7|444444,3615713:3615732|offset_55|444444,3615749:3615768|offset_91|00cc00,3615795:3615814|offset_137|444444&amp;v=3615464:3616014&amp;c=444444", "offset 91")</f>
        <v>offset 91</v>
      </c>
    </row>
    <row r="11473" customFormat="false" ht="12.8" hidden="false" customHeight="false" outlineLevel="0" collapsed="false">
      <c r="A11473" s="0" t="s">
        <v>12</v>
      </c>
      <c r="B11473" s="0" t="n">
        <v>3615794</v>
      </c>
      <c r="C11473" s="0" t="n">
        <v>3615814</v>
      </c>
      <c r="D11473" s="0" t="s">
        <v>38083</v>
      </c>
      <c r="E11473" s="0" t="s">
        <v>38084</v>
      </c>
      <c r="F11473" s="0" t="s">
        <v>15</v>
      </c>
      <c r="G11473" s="0" t="s">
        <v>16</v>
      </c>
      <c r="H11473" s="0" t="n">
        <v>137</v>
      </c>
      <c r="I11473" s="0" t="s">
        <v>38094</v>
      </c>
      <c r="J11473" s="0" t="s">
        <v>38095</v>
      </c>
      <c r="K11473" s="0" t="s">
        <v>38096</v>
      </c>
      <c r="L11473" s="0" t="str">
        <f aca="false">HYPERLINK("https://www.ncbi.nlm.nih.gov/nuccore/CP000058.1?report=graph&amp;tracks=[key:gene_model_track,Options:GeneOnly]&amp;mk=3615665:3615684|offset_7|444444,3615713:3615732|offset_55|444444,3615749:3615768|offset_91|444444,3615795:3615814|offset_137|00cc00&amp;v=3615464:3616014&amp;c=444444", "offset 137")</f>
        <v>offset 137</v>
      </c>
    </row>
    <row r="11474" customFormat="false" ht="12.8" hidden="false" customHeight="false" outlineLevel="0" collapsed="false">
      <c r="A11474" s="0" t="s">
        <v>12</v>
      </c>
      <c r="B11474" s="0" t="n">
        <v>3616676</v>
      </c>
      <c r="C11474" s="0" t="n">
        <v>3616696</v>
      </c>
      <c r="D11474" s="0" t="s">
        <v>38097</v>
      </c>
      <c r="E11474" s="0" t="s">
        <v>38098</v>
      </c>
      <c r="F11474" s="0" t="s">
        <v>15</v>
      </c>
      <c r="G11474" s="0" t="s">
        <v>36</v>
      </c>
      <c r="H11474" s="0" t="n">
        <v>0</v>
      </c>
      <c r="I11474" s="0" t="s">
        <v>38099</v>
      </c>
      <c r="J11474" s="0" t="s">
        <v>38100</v>
      </c>
      <c r="K11474" s="0" t="s">
        <v>38101</v>
      </c>
      <c r="L11474" s="0" t="str">
        <f aca="false">HYPERLINK("https://www.ncbi.nlm.nih.gov/nuccore/CP000058.1?report=graph&amp;tracks=[key:gene_model_track,Options:GeneOnly]&amp;mk=3616677:3616696|offset_0|00cc00,3616720:3616739|offset_43|444444,3616751:3616770|offset_74|444444,3616774:3616793|offset_97|444444&amp;v=3616476:3616993&amp;c=444444", "offset 0")</f>
        <v>offset 0</v>
      </c>
    </row>
    <row r="11475" customFormat="false" ht="12.8" hidden="false" customHeight="false" outlineLevel="0" collapsed="false">
      <c r="A11475" s="0" t="s">
        <v>12</v>
      </c>
      <c r="B11475" s="0" t="n">
        <v>3616719</v>
      </c>
      <c r="C11475" s="0" t="n">
        <v>3616739</v>
      </c>
      <c r="D11475" s="0" t="s">
        <v>38097</v>
      </c>
      <c r="E11475" s="0" t="s">
        <v>38098</v>
      </c>
      <c r="F11475" s="0" t="s">
        <v>15</v>
      </c>
      <c r="G11475" s="0" t="s">
        <v>36</v>
      </c>
      <c r="H11475" s="0" t="n">
        <v>43</v>
      </c>
      <c r="I11475" s="0" t="s">
        <v>38102</v>
      </c>
      <c r="J11475" s="0" t="s">
        <v>38103</v>
      </c>
      <c r="K11475" s="0" t="s">
        <v>38104</v>
      </c>
      <c r="L11475" s="0" t="str">
        <f aca="false">HYPERLINK("https://www.ncbi.nlm.nih.gov/nuccore/CP000058.1?report=graph&amp;tracks=[key:gene_model_track,Options:GeneOnly]&amp;mk=3616677:3616696|offset_0|444444,3616720:3616739|offset_43|00cc00,3616751:3616770|offset_74|444444,3616774:3616793|offset_97|444444&amp;v=3616476:3616993&amp;c=444444", "offset 43")</f>
        <v>offset 43</v>
      </c>
    </row>
    <row r="11476" customFormat="false" ht="12.8" hidden="false" customHeight="false" outlineLevel="0" collapsed="false">
      <c r="A11476" s="0" t="s">
        <v>12</v>
      </c>
      <c r="B11476" s="0" t="n">
        <v>3616750</v>
      </c>
      <c r="C11476" s="0" t="n">
        <v>3616770</v>
      </c>
      <c r="D11476" s="0" t="s">
        <v>38097</v>
      </c>
      <c r="E11476" s="0" t="s">
        <v>38098</v>
      </c>
      <c r="F11476" s="0" t="s">
        <v>15</v>
      </c>
      <c r="G11476" s="0" t="s">
        <v>32</v>
      </c>
      <c r="H11476" s="0" t="n">
        <v>74</v>
      </c>
      <c r="I11476" s="0" t="s">
        <v>38105</v>
      </c>
      <c r="J11476" s="0" t="s">
        <v>38106</v>
      </c>
      <c r="K11476" s="0" t="s">
        <v>38107</v>
      </c>
      <c r="L11476" s="0" t="str">
        <f aca="false">HYPERLINK("https://www.ncbi.nlm.nih.gov/nuccore/CP000058.1?report=graph&amp;tracks=[key:gene_model_track,Options:GeneOnly]&amp;mk=3616677:3616696|offset_0|444444,3616720:3616739|offset_43|444444,3616751:3616770|offset_74|00cc00,3616774:3616793|offset_97|444444&amp;v=3616476:3616993&amp;c=444444", "offset 74")</f>
        <v>offset 74</v>
      </c>
    </row>
    <row r="11477" customFormat="false" ht="12.8" hidden="false" customHeight="false" outlineLevel="0" collapsed="false">
      <c r="A11477" s="0" t="s">
        <v>12</v>
      </c>
      <c r="B11477" s="0" t="n">
        <v>3616773</v>
      </c>
      <c r="C11477" s="0" t="n">
        <v>3616793</v>
      </c>
      <c r="D11477" s="0" t="s">
        <v>38097</v>
      </c>
      <c r="E11477" s="0" t="s">
        <v>38098</v>
      </c>
      <c r="F11477" s="0" t="s">
        <v>15</v>
      </c>
      <c r="G11477" s="0" t="s">
        <v>36</v>
      </c>
      <c r="H11477" s="0" t="n">
        <v>97</v>
      </c>
      <c r="I11477" s="0" t="s">
        <v>38108</v>
      </c>
      <c r="J11477" s="0" t="s">
        <v>38109</v>
      </c>
      <c r="K11477" s="0" t="s">
        <v>38110</v>
      </c>
      <c r="L11477" s="0" t="str">
        <f aca="false">HYPERLINK("https://www.ncbi.nlm.nih.gov/nuccore/CP000058.1?report=graph&amp;tracks=[key:gene_model_track,Options:GeneOnly]&amp;mk=3616677:3616696|offset_0|444444,3616720:3616739|offset_43|444444,3616751:3616770|offset_74|444444,3616774:3616793|offset_97|00cc00&amp;v=3616476:3616993&amp;c=444444", "offset 97")</f>
        <v>offset 97</v>
      </c>
    </row>
    <row r="11478" customFormat="false" ht="12.8" hidden="false" customHeight="false" outlineLevel="0" collapsed="false">
      <c r="A11478" s="0" t="s">
        <v>12</v>
      </c>
      <c r="B11478" s="0" t="n">
        <v>3617263</v>
      </c>
      <c r="C11478" s="0" t="n">
        <v>3617283</v>
      </c>
      <c r="D11478" s="0" t="s">
        <v>38111</v>
      </c>
      <c r="E11478" s="0" t="s">
        <v>38112</v>
      </c>
      <c r="F11478" s="0" t="s">
        <v>15</v>
      </c>
      <c r="G11478" s="0" t="s">
        <v>16</v>
      </c>
      <c r="H11478" s="0" t="n">
        <v>28</v>
      </c>
      <c r="I11478" s="0" t="s">
        <v>38113</v>
      </c>
      <c r="J11478" s="0" t="s">
        <v>38114</v>
      </c>
      <c r="K11478" s="0" t="s">
        <v>38115</v>
      </c>
      <c r="L11478" s="0" t="str">
        <f aca="false">HYPERLINK("https://www.ncbi.nlm.nih.gov/nuccore/CP000058.1?report=graph&amp;tracks=[key:gene_model_track,Options:GeneOnly]&amp;mk=3617264:3617283|offset_28|00cc00,3617285:3617304|offset_49|444444,3617311:3617330|offset_75|444444,3617331:3617350|offset_95|444444&amp;v=3617063:3617550&amp;c=444444", "offset 28")</f>
        <v>offset 28</v>
      </c>
    </row>
    <row r="11479" customFormat="false" ht="12.8" hidden="false" customHeight="false" outlineLevel="0" collapsed="false">
      <c r="A11479" s="0" t="s">
        <v>12</v>
      </c>
      <c r="B11479" s="0" t="n">
        <v>3617284</v>
      </c>
      <c r="C11479" s="0" t="n">
        <v>3617304</v>
      </c>
      <c r="D11479" s="0" t="s">
        <v>38111</v>
      </c>
      <c r="E11479" s="0" t="s">
        <v>38112</v>
      </c>
      <c r="F11479" s="0" t="s">
        <v>15</v>
      </c>
      <c r="G11479" s="0" t="s">
        <v>36</v>
      </c>
      <c r="H11479" s="0" t="n">
        <v>49</v>
      </c>
      <c r="I11479" s="0" t="s">
        <v>38116</v>
      </c>
      <c r="J11479" s="0" t="s">
        <v>38117</v>
      </c>
      <c r="K11479" s="0" t="s">
        <v>38118</v>
      </c>
      <c r="L11479" s="0" t="str">
        <f aca="false">HYPERLINK("https://www.ncbi.nlm.nih.gov/nuccore/CP000058.1?report=graph&amp;tracks=[key:gene_model_track,Options:GeneOnly]&amp;mk=3617264:3617283|offset_28|444444,3617285:3617304|offset_49|00cc00,3617311:3617330|offset_75|444444,3617331:3617350|offset_95|444444&amp;v=3617063:3617550&amp;c=444444", "offset 49")</f>
        <v>offset 49</v>
      </c>
    </row>
    <row r="11480" customFormat="false" ht="12.8" hidden="false" customHeight="false" outlineLevel="0" collapsed="false">
      <c r="A11480" s="0" t="s">
        <v>12</v>
      </c>
      <c r="B11480" s="0" t="n">
        <v>3617310</v>
      </c>
      <c r="C11480" s="0" t="n">
        <v>3617330</v>
      </c>
      <c r="D11480" s="0" t="s">
        <v>38111</v>
      </c>
      <c r="E11480" s="0" t="s">
        <v>38112</v>
      </c>
      <c r="F11480" s="0" t="s">
        <v>15</v>
      </c>
      <c r="G11480" s="0" t="s">
        <v>16</v>
      </c>
      <c r="H11480" s="0" t="n">
        <v>75</v>
      </c>
      <c r="I11480" s="0" t="s">
        <v>38119</v>
      </c>
      <c r="J11480" s="0" t="s">
        <v>38120</v>
      </c>
      <c r="K11480" s="0" t="s">
        <v>38121</v>
      </c>
      <c r="L11480" s="0" t="str">
        <f aca="false">HYPERLINK("https://www.ncbi.nlm.nih.gov/nuccore/CP000058.1?report=graph&amp;tracks=[key:gene_model_track,Options:GeneOnly]&amp;mk=3617264:3617283|offset_28|444444,3617285:3617304|offset_49|444444,3617311:3617330|offset_75|00cc00,3617331:3617350|offset_95|444444&amp;v=3617063:3617550&amp;c=444444", "offset 75")</f>
        <v>offset 75</v>
      </c>
    </row>
    <row r="11481" customFormat="false" ht="12.8" hidden="false" customHeight="false" outlineLevel="0" collapsed="false">
      <c r="A11481" s="0" t="s">
        <v>12</v>
      </c>
      <c r="B11481" s="0" t="n">
        <v>3617330</v>
      </c>
      <c r="C11481" s="0" t="n">
        <v>3617350</v>
      </c>
      <c r="D11481" s="0" t="s">
        <v>38111</v>
      </c>
      <c r="E11481" s="0" t="s">
        <v>38112</v>
      </c>
      <c r="F11481" s="0" t="s">
        <v>15</v>
      </c>
      <c r="G11481" s="0" t="s">
        <v>20</v>
      </c>
      <c r="H11481" s="0" t="n">
        <v>95</v>
      </c>
      <c r="I11481" s="0" t="s">
        <v>38122</v>
      </c>
      <c r="J11481" s="0" t="s">
        <v>38123</v>
      </c>
      <c r="K11481" s="0" t="s">
        <v>38124</v>
      </c>
      <c r="L11481" s="0" t="str">
        <f aca="false">HYPERLINK("https://www.ncbi.nlm.nih.gov/nuccore/CP000058.1?report=graph&amp;tracks=[key:gene_model_track,Options:GeneOnly]&amp;mk=3617264:3617283|offset_28|444444,3617285:3617304|offset_49|444444,3617311:3617330|offset_75|444444,3617331:3617350|offset_95|00cc00&amp;v=3617063:3617550&amp;c=444444", "offset 95")</f>
        <v>offset 95</v>
      </c>
    </row>
    <row r="11482" customFormat="false" ht="12.8" hidden="false" customHeight="false" outlineLevel="0" collapsed="false">
      <c r="A11482" s="0" t="s">
        <v>12</v>
      </c>
      <c r="B11482" s="0" t="n">
        <v>3617755</v>
      </c>
      <c r="C11482" s="0" t="n">
        <v>3617775</v>
      </c>
      <c r="D11482" s="0" t="s">
        <v>38125</v>
      </c>
      <c r="E11482" s="0" t="s">
        <v>38126</v>
      </c>
      <c r="F11482" s="0" t="s">
        <v>15</v>
      </c>
      <c r="G11482" s="0" t="s">
        <v>36</v>
      </c>
      <c r="H11482" s="0" t="n">
        <v>14</v>
      </c>
      <c r="I11482" s="0" t="s">
        <v>38127</v>
      </c>
      <c r="J11482" s="0" t="s">
        <v>38128</v>
      </c>
      <c r="K11482" s="0" t="s">
        <v>38129</v>
      </c>
      <c r="L11482" s="0" t="str">
        <f aca="false">HYPERLINK("https://www.ncbi.nlm.nih.gov/nuccore/CP000058.1?report=graph&amp;tracks=[key:gene_model_track,Options:GeneOnly]&amp;mk=3617756:3617775|offset_14|00cc00,3617782:3617801|offset_40|444444,3617813:3617832|offset_71|444444,3617872:3617891|offset_130|444444&amp;v=3617555:3618091&amp;c=444444", "offset 14")</f>
        <v>offset 14</v>
      </c>
    </row>
    <row r="11483" customFormat="false" ht="12.8" hidden="false" customHeight="false" outlineLevel="0" collapsed="false">
      <c r="A11483" s="0" t="s">
        <v>12</v>
      </c>
      <c r="B11483" s="0" t="n">
        <v>3617781</v>
      </c>
      <c r="C11483" s="0" t="n">
        <v>3617801</v>
      </c>
      <c r="D11483" s="0" t="s">
        <v>38125</v>
      </c>
      <c r="E11483" s="0" t="s">
        <v>38126</v>
      </c>
      <c r="F11483" s="0" t="s">
        <v>15</v>
      </c>
      <c r="G11483" s="0" t="s">
        <v>16</v>
      </c>
      <c r="H11483" s="0" t="n">
        <v>40</v>
      </c>
      <c r="I11483" s="0" t="s">
        <v>38130</v>
      </c>
      <c r="J11483" s="0" t="s">
        <v>38131</v>
      </c>
      <c r="K11483" s="0" t="s">
        <v>38132</v>
      </c>
      <c r="L11483" s="0" t="str">
        <f aca="false">HYPERLINK("https://www.ncbi.nlm.nih.gov/nuccore/CP000058.1?report=graph&amp;tracks=[key:gene_model_track,Options:GeneOnly]&amp;mk=3617756:3617775|offset_14|444444,3617782:3617801|offset_40|00cc00,3617813:3617832|offset_71|444444,3617872:3617891|offset_130|444444&amp;v=3617555:3618091&amp;c=444444", "offset 40")</f>
        <v>offset 40</v>
      </c>
    </row>
    <row r="11484" customFormat="false" ht="12.8" hidden="false" customHeight="false" outlineLevel="0" collapsed="false">
      <c r="A11484" s="0" t="s">
        <v>12</v>
      </c>
      <c r="B11484" s="0" t="n">
        <v>3617812</v>
      </c>
      <c r="C11484" s="0" t="n">
        <v>3617832</v>
      </c>
      <c r="D11484" s="0" t="s">
        <v>38125</v>
      </c>
      <c r="E11484" s="0" t="s">
        <v>38126</v>
      </c>
      <c r="F11484" s="0" t="s">
        <v>15</v>
      </c>
      <c r="G11484" s="0" t="s">
        <v>20</v>
      </c>
      <c r="H11484" s="0" t="n">
        <v>71</v>
      </c>
      <c r="I11484" s="0" t="s">
        <v>38133</v>
      </c>
      <c r="J11484" s="0" t="s">
        <v>38134</v>
      </c>
      <c r="K11484" s="0" t="s">
        <v>38135</v>
      </c>
      <c r="L11484" s="0" t="str">
        <f aca="false">HYPERLINK("https://www.ncbi.nlm.nih.gov/nuccore/CP000058.1?report=graph&amp;tracks=[key:gene_model_track,Options:GeneOnly]&amp;mk=3617756:3617775|offset_14|444444,3617782:3617801|offset_40|444444,3617813:3617832|offset_71|00cc00,3617872:3617891|offset_130|444444&amp;v=3617555:3618091&amp;c=444444", "offset 71")</f>
        <v>offset 71</v>
      </c>
    </row>
    <row r="11485" customFormat="false" ht="12.8" hidden="false" customHeight="false" outlineLevel="0" collapsed="false">
      <c r="A11485" s="0" t="s">
        <v>12</v>
      </c>
      <c r="B11485" s="0" t="n">
        <v>3617871</v>
      </c>
      <c r="C11485" s="0" t="n">
        <v>3617891</v>
      </c>
      <c r="D11485" s="0" t="s">
        <v>38125</v>
      </c>
      <c r="E11485" s="0" t="s">
        <v>38126</v>
      </c>
      <c r="F11485" s="0" t="s">
        <v>15</v>
      </c>
      <c r="G11485" s="0" t="s">
        <v>20</v>
      </c>
      <c r="H11485" s="0" t="n">
        <v>130</v>
      </c>
      <c r="I11485" s="0" t="s">
        <v>38136</v>
      </c>
      <c r="J11485" s="0" t="s">
        <v>38137</v>
      </c>
      <c r="K11485" s="0" t="s">
        <v>38138</v>
      </c>
      <c r="L11485" s="0" t="str">
        <f aca="false">HYPERLINK("https://www.ncbi.nlm.nih.gov/nuccore/CP000058.1?report=graph&amp;tracks=[key:gene_model_track,Options:GeneOnly]&amp;mk=3617756:3617775|offset_14|444444,3617782:3617801|offset_40|444444,3617813:3617832|offset_71|444444,3617872:3617891|offset_130|00cc00&amp;v=3617555:3618091&amp;c=444444", "offset 130")</f>
        <v>offset 130</v>
      </c>
    </row>
    <row r="11486" customFormat="false" ht="12.8" hidden="false" customHeight="false" outlineLevel="0" collapsed="false">
      <c r="A11486" s="0" t="s">
        <v>12</v>
      </c>
      <c r="B11486" s="0" t="n">
        <v>3618078</v>
      </c>
      <c r="C11486" s="0" t="n">
        <v>3618098</v>
      </c>
      <c r="D11486" s="0" t="s">
        <v>38139</v>
      </c>
      <c r="E11486" s="0" t="s">
        <v>38140</v>
      </c>
      <c r="F11486" s="0" t="s">
        <v>15</v>
      </c>
      <c r="G11486" s="0" t="s">
        <v>36</v>
      </c>
      <c r="H11486" s="0" t="n">
        <v>32</v>
      </c>
      <c r="I11486" s="0" t="s">
        <v>38141</v>
      </c>
      <c r="J11486" s="0" t="s">
        <v>38142</v>
      </c>
      <c r="K11486" s="0" t="s">
        <v>38143</v>
      </c>
      <c r="L11486" s="0" t="str">
        <f aca="false">HYPERLINK("https://www.ncbi.nlm.nih.gov/nuccore/CP000058.1?report=graph&amp;tracks=[key:gene_model_track,Options:GeneOnly]&amp;mk=3618079:3618098|offset_32|00cc00,3618133:3618152|offset_86|444444,3618166:3618185|offset_119|444444,3618186:3618205|offset_139|444444&amp;v=3617878:3618405&amp;c=444444", "offset 32")</f>
        <v>offset 32</v>
      </c>
    </row>
    <row r="11487" customFormat="false" ht="12.8" hidden="false" customHeight="false" outlineLevel="0" collapsed="false">
      <c r="A11487" s="0" t="s">
        <v>12</v>
      </c>
      <c r="B11487" s="0" t="n">
        <v>3618132</v>
      </c>
      <c r="C11487" s="0" t="n">
        <v>3618152</v>
      </c>
      <c r="D11487" s="0" t="s">
        <v>38139</v>
      </c>
      <c r="E11487" s="0" t="s">
        <v>38140</v>
      </c>
      <c r="F11487" s="0" t="s">
        <v>15</v>
      </c>
      <c r="G11487" s="0" t="s">
        <v>20</v>
      </c>
      <c r="H11487" s="0" t="n">
        <v>86</v>
      </c>
      <c r="I11487" s="0" t="s">
        <v>38144</v>
      </c>
      <c r="J11487" s="0" t="s">
        <v>38145</v>
      </c>
      <c r="K11487" s="0" t="s">
        <v>38146</v>
      </c>
      <c r="L11487" s="0" t="str">
        <f aca="false">HYPERLINK("https://www.ncbi.nlm.nih.gov/nuccore/CP000058.1?report=graph&amp;tracks=[key:gene_model_track,Options:GeneOnly]&amp;mk=3618079:3618098|offset_32|444444,3618133:3618152|offset_86|00cc00,3618166:3618185|offset_119|444444,3618186:3618205|offset_139|444444&amp;v=3617878:3618405&amp;c=444444", "offset 86")</f>
        <v>offset 86</v>
      </c>
    </row>
    <row r="11488" customFormat="false" ht="12.8" hidden="false" customHeight="false" outlineLevel="0" collapsed="false">
      <c r="A11488" s="0" t="s">
        <v>12</v>
      </c>
      <c r="B11488" s="0" t="n">
        <v>3618165</v>
      </c>
      <c r="C11488" s="0" t="n">
        <v>3618185</v>
      </c>
      <c r="D11488" s="0" t="s">
        <v>38139</v>
      </c>
      <c r="E11488" s="0" t="s">
        <v>38140</v>
      </c>
      <c r="F11488" s="0" t="s">
        <v>15</v>
      </c>
      <c r="G11488" s="0" t="s">
        <v>20</v>
      </c>
      <c r="H11488" s="0" t="n">
        <v>119</v>
      </c>
      <c r="I11488" s="0" t="s">
        <v>38147</v>
      </c>
      <c r="J11488" s="0" t="s">
        <v>38148</v>
      </c>
      <c r="K11488" s="0" t="s">
        <v>38149</v>
      </c>
      <c r="L11488" s="0" t="str">
        <f aca="false">HYPERLINK("https://www.ncbi.nlm.nih.gov/nuccore/CP000058.1?report=graph&amp;tracks=[key:gene_model_track,Options:GeneOnly]&amp;mk=3618079:3618098|offset_32|444444,3618133:3618152|offset_86|444444,3618166:3618185|offset_119|00cc00,3618186:3618205|offset_139|444444&amp;v=3617878:3618405&amp;c=444444", "offset 119")</f>
        <v>offset 119</v>
      </c>
    </row>
    <row r="11489" customFormat="false" ht="12.8" hidden="false" customHeight="false" outlineLevel="0" collapsed="false">
      <c r="A11489" s="0" t="s">
        <v>12</v>
      </c>
      <c r="B11489" s="0" t="n">
        <v>3618185</v>
      </c>
      <c r="C11489" s="0" t="n">
        <v>3618205</v>
      </c>
      <c r="D11489" s="0" t="s">
        <v>38139</v>
      </c>
      <c r="E11489" s="0" t="s">
        <v>38140</v>
      </c>
      <c r="F11489" s="0" t="s">
        <v>15</v>
      </c>
      <c r="G11489" s="0" t="s">
        <v>20</v>
      </c>
      <c r="H11489" s="0" t="n">
        <v>139</v>
      </c>
      <c r="I11489" s="0" t="s">
        <v>38150</v>
      </c>
      <c r="J11489" s="0" t="s">
        <v>38151</v>
      </c>
      <c r="K11489" s="0" t="s">
        <v>38152</v>
      </c>
      <c r="L11489" s="0" t="str">
        <f aca="false">HYPERLINK("https://www.ncbi.nlm.nih.gov/nuccore/CP000058.1?report=graph&amp;tracks=[key:gene_model_track,Options:GeneOnly]&amp;mk=3618079:3618098|offset_32|444444,3618133:3618152|offset_86|444444,3618166:3618185|offset_119|444444,3618186:3618205|offset_139|00cc00&amp;v=3617878:3618405&amp;c=444444", "offset 139")</f>
        <v>offset 139</v>
      </c>
    </row>
    <row r="11490" customFormat="false" ht="12.8" hidden="false" customHeight="false" outlineLevel="0" collapsed="false">
      <c r="A11490" s="0" t="s">
        <v>12</v>
      </c>
      <c r="B11490" s="0" t="n">
        <v>3619951</v>
      </c>
      <c r="C11490" s="0" t="n">
        <v>3619971</v>
      </c>
      <c r="D11490" s="0" t="s">
        <v>38153</v>
      </c>
      <c r="E11490" s="0" t="s">
        <v>38154</v>
      </c>
      <c r="F11490" s="0" t="s">
        <v>15</v>
      </c>
      <c r="G11490" s="0" t="s">
        <v>36</v>
      </c>
      <c r="H11490" s="0" t="n">
        <v>12</v>
      </c>
      <c r="I11490" s="0" t="s">
        <v>38155</v>
      </c>
      <c r="J11490" s="0" t="s">
        <v>38156</v>
      </c>
      <c r="K11490" s="0" t="s">
        <v>38157</v>
      </c>
      <c r="L11490" s="0" t="str">
        <f aca="false">HYPERLINK("https://www.ncbi.nlm.nih.gov/nuccore/CP000058.1?report=graph&amp;tracks=[key:gene_model_track,Options:GeneOnly]&amp;mk=3619952:3619971|offset_12|00cc00,3620019:3620038|offset_79|444444,3620052:3620071|offset_112|444444,3620088:3620107|offset_148|444444&amp;v=3619751:3620307&amp;c=444444", "offset 12")</f>
        <v>offset 12</v>
      </c>
    </row>
    <row r="11491" customFormat="false" ht="12.8" hidden="false" customHeight="false" outlineLevel="0" collapsed="false">
      <c r="A11491" s="0" t="s">
        <v>12</v>
      </c>
      <c r="B11491" s="0" t="n">
        <v>3620018</v>
      </c>
      <c r="C11491" s="0" t="n">
        <v>3620038</v>
      </c>
      <c r="D11491" s="0" t="s">
        <v>38153</v>
      </c>
      <c r="E11491" s="0" t="s">
        <v>38154</v>
      </c>
      <c r="F11491" s="0" t="s">
        <v>15</v>
      </c>
      <c r="G11491" s="0" t="s">
        <v>36</v>
      </c>
      <c r="H11491" s="0" t="n">
        <v>79</v>
      </c>
      <c r="I11491" s="0" t="s">
        <v>38158</v>
      </c>
      <c r="J11491" s="0" t="s">
        <v>38159</v>
      </c>
      <c r="K11491" s="0" t="s">
        <v>38160</v>
      </c>
      <c r="L11491" s="0" t="str">
        <f aca="false">HYPERLINK("https://www.ncbi.nlm.nih.gov/nuccore/CP000058.1?report=graph&amp;tracks=[key:gene_model_track,Options:GeneOnly]&amp;mk=3619952:3619971|offset_12|444444,3620019:3620038|offset_79|00cc00,3620052:3620071|offset_112|444444,3620088:3620107|offset_148|444444&amp;v=3619751:3620307&amp;c=444444", "offset 79")</f>
        <v>offset 79</v>
      </c>
    </row>
    <row r="11492" customFormat="false" ht="12.8" hidden="false" customHeight="false" outlineLevel="0" collapsed="false">
      <c r="A11492" s="0" t="s">
        <v>12</v>
      </c>
      <c r="B11492" s="0" t="n">
        <v>3620051</v>
      </c>
      <c r="C11492" s="0" t="n">
        <v>3620071</v>
      </c>
      <c r="D11492" s="0" t="s">
        <v>38153</v>
      </c>
      <c r="E11492" s="0" t="s">
        <v>38154</v>
      </c>
      <c r="F11492" s="0" t="s">
        <v>15</v>
      </c>
      <c r="G11492" s="0" t="s">
        <v>36</v>
      </c>
      <c r="H11492" s="0" t="n">
        <v>112</v>
      </c>
      <c r="I11492" s="0" t="s">
        <v>38161</v>
      </c>
      <c r="J11492" s="0" t="s">
        <v>38162</v>
      </c>
      <c r="K11492" s="0" t="s">
        <v>38163</v>
      </c>
      <c r="L11492" s="0" t="str">
        <f aca="false">HYPERLINK("https://www.ncbi.nlm.nih.gov/nuccore/CP000058.1?report=graph&amp;tracks=[key:gene_model_track,Options:GeneOnly]&amp;mk=3619952:3619971|offset_12|444444,3620019:3620038|offset_79|444444,3620052:3620071|offset_112|00cc00,3620088:3620107|offset_148|444444&amp;v=3619751:3620307&amp;c=444444", "offset 112")</f>
        <v>offset 112</v>
      </c>
    </row>
    <row r="11493" customFormat="false" ht="12.8" hidden="false" customHeight="false" outlineLevel="0" collapsed="false">
      <c r="A11493" s="0" t="s">
        <v>12</v>
      </c>
      <c r="B11493" s="0" t="n">
        <v>3620087</v>
      </c>
      <c r="C11493" s="0" t="n">
        <v>3620107</v>
      </c>
      <c r="D11493" s="0" t="s">
        <v>38153</v>
      </c>
      <c r="E11493" s="0" t="s">
        <v>38154</v>
      </c>
      <c r="F11493" s="0" t="s">
        <v>15</v>
      </c>
      <c r="G11493" s="0" t="s">
        <v>16</v>
      </c>
      <c r="H11493" s="0" t="n">
        <v>148</v>
      </c>
      <c r="I11493" s="0" t="s">
        <v>38164</v>
      </c>
      <c r="J11493" s="0" t="s">
        <v>38165</v>
      </c>
      <c r="K11493" s="0" t="s">
        <v>38166</v>
      </c>
      <c r="L11493" s="0" t="str">
        <f aca="false">HYPERLINK("https://www.ncbi.nlm.nih.gov/nuccore/CP000058.1?report=graph&amp;tracks=[key:gene_model_track,Options:GeneOnly]&amp;mk=3619952:3619971|offset_12|444444,3620019:3620038|offset_79|444444,3620052:3620071|offset_112|444444,3620088:3620107|offset_148|00cc00&amp;v=3619751:3620307&amp;c=444444", "offset 148")</f>
        <v>offset 148</v>
      </c>
    </row>
    <row r="11494" customFormat="false" ht="12.8" hidden="false" customHeight="false" outlineLevel="0" collapsed="false">
      <c r="A11494" s="0" t="s">
        <v>12</v>
      </c>
      <c r="B11494" s="0" t="n">
        <v>3621487</v>
      </c>
      <c r="C11494" s="0" t="n">
        <v>3621507</v>
      </c>
      <c r="D11494" s="0" t="s">
        <v>38167</v>
      </c>
      <c r="E11494" s="0" t="s">
        <v>38168</v>
      </c>
      <c r="F11494" s="0" t="s">
        <v>15</v>
      </c>
      <c r="G11494" s="0" t="s">
        <v>20</v>
      </c>
      <c r="H11494" s="0" t="n">
        <v>8</v>
      </c>
      <c r="I11494" s="0" t="s">
        <v>38169</v>
      </c>
      <c r="J11494" s="0" t="s">
        <v>38170</v>
      </c>
      <c r="K11494" s="0" t="s">
        <v>38171</v>
      </c>
      <c r="L11494" s="0" t="str">
        <f aca="false">HYPERLINK("https://www.ncbi.nlm.nih.gov/nuccore/CP000058.1?report=graph&amp;tracks=[key:gene_model_track,Options:GeneOnly]&amp;mk=3621488:3621507|offset_8|00cc00,3621519:3621538|offset_39|444444,3621541:3621560|offset_61|444444,3621575:3621594|offset_95|444444&amp;v=3621287:3621794&amp;c=444444", "offset 8")</f>
        <v>offset 8</v>
      </c>
    </row>
    <row r="11495" customFormat="false" ht="12.8" hidden="false" customHeight="false" outlineLevel="0" collapsed="false">
      <c r="A11495" s="0" t="s">
        <v>12</v>
      </c>
      <c r="B11495" s="0" t="n">
        <v>3621518</v>
      </c>
      <c r="C11495" s="0" t="n">
        <v>3621538</v>
      </c>
      <c r="D11495" s="0" t="s">
        <v>38167</v>
      </c>
      <c r="E11495" s="0" t="s">
        <v>38168</v>
      </c>
      <c r="F11495" s="0" t="s">
        <v>15</v>
      </c>
      <c r="G11495" s="0" t="s">
        <v>32</v>
      </c>
      <c r="H11495" s="0" t="n">
        <v>39</v>
      </c>
      <c r="I11495" s="0" t="s">
        <v>38172</v>
      </c>
      <c r="J11495" s="0" t="s">
        <v>38173</v>
      </c>
      <c r="K11495" s="0" t="s">
        <v>38174</v>
      </c>
      <c r="L11495" s="0" t="str">
        <f aca="false">HYPERLINK("https://www.ncbi.nlm.nih.gov/nuccore/CP000058.1?report=graph&amp;tracks=[key:gene_model_track,Options:GeneOnly]&amp;mk=3621488:3621507|offset_8|444444,3621519:3621538|offset_39|00cc00,3621541:3621560|offset_61|444444,3621575:3621594|offset_95|444444&amp;v=3621287:3621794&amp;c=444444", "offset 39")</f>
        <v>offset 39</v>
      </c>
    </row>
    <row r="11496" customFormat="false" ht="12.8" hidden="false" customHeight="false" outlineLevel="0" collapsed="false">
      <c r="A11496" s="0" t="s">
        <v>12</v>
      </c>
      <c r="B11496" s="0" t="n">
        <v>3621540</v>
      </c>
      <c r="C11496" s="0" t="n">
        <v>3621560</v>
      </c>
      <c r="D11496" s="0" t="s">
        <v>38167</v>
      </c>
      <c r="E11496" s="0" t="s">
        <v>38168</v>
      </c>
      <c r="F11496" s="0" t="s">
        <v>15</v>
      </c>
      <c r="G11496" s="0" t="s">
        <v>16</v>
      </c>
      <c r="H11496" s="0" t="n">
        <v>61</v>
      </c>
      <c r="I11496" s="0" t="s">
        <v>38175</v>
      </c>
      <c r="J11496" s="0" t="s">
        <v>38176</v>
      </c>
      <c r="K11496" s="0" t="s">
        <v>38177</v>
      </c>
      <c r="L11496" s="0" t="str">
        <f aca="false">HYPERLINK("https://www.ncbi.nlm.nih.gov/nuccore/CP000058.1?report=graph&amp;tracks=[key:gene_model_track,Options:GeneOnly]&amp;mk=3621488:3621507|offset_8|444444,3621519:3621538|offset_39|444444,3621541:3621560|offset_61|00cc00,3621575:3621594|offset_95|444444&amp;v=3621287:3621794&amp;c=444444", "offset 61")</f>
        <v>offset 61</v>
      </c>
    </row>
    <row r="11497" customFormat="false" ht="12.8" hidden="false" customHeight="false" outlineLevel="0" collapsed="false">
      <c r="A11497" s="0" t="s">
        <v>12</v>
      </c>
      <c r="B11497" s="0" t="n">
        <v>3621574</v>
      </c>
      <c r="C11497" s="0" t="n">
        <v>3621594</v>
      </c>
      <c r="D11497" s="0" t="s">
        <v>38167</v>
      </c>
      <c r="E11497" s="0" t="s">
        <v>38168</v>
      </c>
      <c r="F11497" s="0" t="s">
        <v>15</v>
      </c>
      <c r="G11497" s="0" t="s">
        <v>16</v>
      </c>
      <c r="H11497" s="0" t="n">
        <v>95</v>
      </c>
      <c r="I11497" s="0" t="s">
        <v>38178</v>
      </c>
      <c r="J11497" s="0" t="s">
        <v>38179</v>
      </c>
      <c r="K11497" s="0" t="s">
        <v>38180</v>
      </c>
      <c r="L11497" s="0" t="str">
        <f aca="false">HYPERLINK("https://www.ncbi.nlm.nih.gov/nuccore/CP000058.1?report=graph&amp;tracks=[key:gene_model_track,Options:GeneOnly]&amp;mk=3621488:3621507|offset_8|444444,3621519:3621538|offset_39|444444,3621541:3621560|offset_61|444444,3621575:3621594|offset_95|00cc00&amp;v=3621287:3621794&amp;c=444444", "offset 95")</f>
        <v>offset 95</v>
      </c>
    </row>
    <row r="11498" customFormat="false" ht="12.8" hidden="false" customHeight="false" outlineLevel="0" collapsed="false">
      <c r="A11498" s="0" t="s">
        <v>12</v>
      </c>
      <c r="B11498" s="0" t="n">
        <v>3623975</v>
      </c>
      <c r="C11498" s="0" t="n">
        <v>3623995</v>
      </c>
      <c r="D11498" s="0" t="s">
        <v>38181</v>
      </c>
      <c r="E11498" s="0" t="s">
        <v>75</v>
      </c>
      <c r="F11498" s="0" t="s">
        <v>90</v>
      </c>
      <c r="G11498" s="0" t="s">
        <v>20</v>
      </c>
      <c r="H11498" s="0" t="n">
        <v>11</v>
      </c>
      <c r="I11498" s="0" t="s">
        <v>38182</v>
      </c>
      <c r="J11498" s="0" t="s">
        <v>38183</v>
      </c>
      <c r="K11498" s="0" t="s">
        <v>38184</v>
      </c>
      <c r="L11498" s="0" t="str">
        <f aca="false">HYPERLINK("https://www.ncbi.nlm.nih.gov/nuccore/CP000058.1?report=graph&amp;tracks=[key:gene_model_track,Options:GeneOnly]&amp;mk=3623976:3623995|offset_11|00cc00,3623953:3623972|offset_34|444444,3623931:3623950|offset_56|444444,3623883:3623902|offset_104|444444&amp;v=3623775:3624102&amp;c=444444", "offset 11")</f>
        <v>offset 11</v>
      </c>
    </row>
    <row r="11499" customFormat="false" ht="12.8" hidden="false" customHeight="false" outlineLevel="0" collapsed="false">
      <c r="A11499" s="0" t="s">
        <v>12</v>
      </c>
      <c r="B11499" s="0" t="n">
        <v>3623952</v>
      </c>
      <c r="C11499" s="0" t="n">
        <v>3623972</v>
      </c>
      <c r="D11499" s="0" t="s">
        <v>38181</v>
      </c>
      <c r="E11499" s="0" t="s">
        <v>75</v>
      </c>
      <c r="F11499" s="0" t="s">
        <v>90</v>
      </c>
      <c r="G11499" s="0" t="s">
        <v>32</v>
      </c>
      <c r="H11499" s="0" t="n">
        <v>34</v>
      </c>
      <c r="I11499" s="0" t="s">
        <v>38185</v>
      </c>
      <c r="J11499" s="0" t="s">
        <v>38186</v>
      </c>
      <c r="K11499" s="0" t="s">
        <v>38187</v>
      </c>
      <c r="L11499" s="0" t="str">
        <f aca="false">HYPERLINK("https://www.ncbi.nlm.nih.gov/nuccore/CP000058.1?report=graph&amp;tracks=[key:gene_model_track,Options:GeneOnly]&amp;mk=3623976:3623995|offset_11|444444,3623953:3623972|offset_34|00cc00,3623931:3623950|offset_56|444444,3623883:3623902|offset_104|444444&amp;v=3623775:3624102&amp;c=444444", "offset 34")</f>
        <v>offset 34</v>
      </c>
    </row>
    <row r="11500" customFormat="false" ht="12.8" hidden="false" customHeight="false" outlineLevel="0" collapsed="false">
      <c r="A11500" s="0" t="s">
        <v>12</v>
      </c>
      <c r="B11500" s="0" t="n">
        <v>3623930</v>
      </c>
      <c r="C11500" s="0" t="n">
        <v>3623950</v>
      </c>
      <c r="D11500" s="0" t="s">
        <v>38181</v>
      </c>
      <c r="E11500" s="0" t="s">
        <v>75</v>
      </c>
      <c r="F11500" s="0" t="s">
        <v>90</v>
      </c>
      <c r="G11500" s="0" t="s">
        <v>36</v>
      </c>
      <c r="H11500" s="0" t="n">
        <v>56</v>
      </c>
      <c r="I11500" s="0" t="s">
        <v>38188</v>
      </c>
      <c r="J11500" s="0" t="s">
        <v>38189</v>
      </c>
      <c r="K11500" s="0" t="s">
        <v>38190</v>
      </c>
      <c r="L11500" s="0" t="str">
        <f aca="false">HYPERLINK("https://www.ncbi.nlm.nih.gov/nuccore/CP000058.1?report=graph&amp;tracks=[key:gene_model_track,Options:GeneOnly]&amp;mk=3623976:3623995|offset_11|444444,3623953:3623972|offset_34|444444,3623931:3623950|offset_56|00cc00,3623883:3623902|offset_104|444444&amp;v=3623775:3624102&amp;c=444444", "offset 56")</f>
        <v>offset 56</v>
      </c>
    </row>
    <row r="11501" customFormat="false" ht="12.8" hidden="false" customHeight="false" outlineLevel="0" collapsed="false">
      <c r="A11501" s="0" t="s">
        <v>12</v>
      </c>
      <c r="B11501" s="0" t="n">
        <v>3623882</v>
      </c>
      <c r="C11501" s="0" t="n">
        <v>3623902</v>
      </c>
      <c r="D11501" s="0" t="s">
        <v>38181</v>
      </c>
      <c r="E11501" s="0" t="s">
        <v>75</v>
      </c>
      <c r="F11501" s="0" t="s">
        <v>90</v>
      </c>
      <c r="G11501" s="0" t="s">
        <v>16</v>
      </c>
      <c r="H11501" s="0" t="n">
        <v>104</v>
      </c>
      <c r="I11501" s="0" t="s">
        <v>38191</v>
      </c>
      <c r="J11501" s="0" t="s">
        <v>38192</v>
      </c>
      <c r="K11501" s="0" t="s">
        <v>38193</v>
      </c>
      <c r="L11501" s="0" t="str">
        <f aca="false">HYPERLINK("https://www.ncbi.nlm.nih.gov/nuccore/CP000058.1?report=graph&amp;tracks=[key:gene_model_track,Options:GeneOnly]&amp;mk=3623976:3623995|offset_11|444444,3623953:3623972|offset_34|444444,3623931:3623950|offset_56|444444,3623883:3623902|offset_104|00cc00&amp;v=3623775:3624102&amp;c=444444", "offset 104")</f>
        <v>offset 104</v>
      </c>
    </row>
    <row r="11502" customFormat="false" ht="12.8" hidden="false" customHeight="false" outlineLevel="0" collapsed="false">
      <c r="A11502" s="0" t="s">
        <v>12</v>
      </c>
      <c r="B11502" s="0" t="n">
        <v>3624119</v>
      </c>
      <c r="C11502" s="0" t="n">
        <v>3624139</v>
      </c>
      <c r="D11502" s="0" t="s">
        <v>38194</v>
      </c>
      <c r="E11502" s="0" t="s">
        <v>75</v>
      </c>
      <c r="F11502" s="0" t="s">
        <v>15</v>
      </c>
      <c r="G11502" s="0" t="s">
        <v>20</v>
      </c>
      <c r="H11502" s="0" t="n">
        <v>26</v>
      </c>
      <c r="I11502" s="0" t="s">
        <v>38195</v>
      </c>
      <c r="J11502" s="0" t="s">
        <v>38196</v>
      </c>
      <c r="K11502" s="0" t="s">
        <v>38197</v>
      </c>
      <c r="L11502" s="0" t="str">
        <f aca="false">HYPERLINK("https://www.ncbi.nlm.nih.gov/nuccore/CP000058.1?report=graph&amp;tracks=[key:gene_model_track,Options:GeneOnly]&amp;mk=3624120:3624139|offset_26|00cc00,3624155:3624174|offset_61|444444,3624197:3624216|offset_103|444444,3624247:3624266|offset_153|444444&amp;v=3623919:3624466&amp;c=444444", "offset 26")</f>
        <v>offset 26</v>
      </c>
    </row>
    <row r="11503" customFormat="false" ht="12.8" hidden="false" customHeight="false" outlineLevel="0" collapsed="false">
      <c r="A11503" s="0" t="s">
        <v>12</v>
      </c>
      <c r="B11503" s="0" t="n">
        <v>3624154</v>
      </c>
      <c r="C11503" s="0" t="n">
        <v>3624174</v>
      </c>
      <c r="D11503" s="0" t="s">
        <v>38194</v>
      </c>
      <c r="E11503" s="0" t="s">
        <v>75</v>
      </c>
      <c r="F11503" s="0" t="s">
        <v>15</v>
      </c>
      <c r="G11503" s="0" t="s">
        <v>16</v>
      </c>
      <c r="H11503" s="0" t="n">
        <v>61</v>
      </c>
      <c r="I11503" s="0" t="s">
        <v>38198</v>
      </c>
      <c r="J11503" s="0" t="s">
        <v>38199</v>
      </c>
      <c r="K11503" s="0" t="s">
        <v>38200</v>
      </c>
      <c r="L11503" s="0" t="str">
        <f aca="false">HYPERLINK("https://www.ncbi.nlm.nih.gov/nuccore/CP000058.1?report=graph&amp;tracks=[key:gene_model_track,Options:GeneOnly]&amp;mk=3624120:3624139|offset_26|444444,3624155:3624174|offset_61|00cc00,3624197:3624216|offset_103|444444,3624247:3624266|offset_153|444444&amp;v=3623919:3624466&amp;c=444444", "offset 61")</f>
        <v>offset 61</v>
      </c>
    </row>
    <row r="11504" customFormat="false" ht="12.8" hidden="false" customHeight="false" outlineLevel="0" collapsed="false">
      <c r="A11504" s="0" t="s">
        <v>12</v>
      </c>
      <c r="B11504" s="0" t="n">
        <v>3624196</v>
      </c>
      <c r="C11504" s="0" t="n">
        <v>3624216</v>
      </c>
      <c r="D11504" s="0" t="s">
        <v>38194</v>
      </c>
      <c r="E11504" s="0" t="s">
        <v>75</v>
      </c>
      <c r="F11504" s="0" t="s">
        <v>15</v>
      </c>
      <c r="G11504" s="0" t="s">
        <v>16</v>
      </c>
      <c r="H11504" s="0" t="n">
        <v>103</v>
      </c>
      <c r="I11504" s="0" t="s">
        <v>38201</v>
      </c>
      <c r="J11504" s="0" t="s">
        <v>38202</v>
      </c>
      <c r="K11504" s="0" t="s">
        <v>38203</v>
      </c>
      <c r="L11504" s="0" t="str">
        <f aca="false">HYPERLINK("https://www.ncbi.nlm.nih.gov/nuccore/CP000058.1?report=graph&amp;tracks=[key:gene_model_track,Options:GeneOnly]&amp;mk=3624120:3624139|offset_26|444444,3624155:3624174|offset_61|444444,3624197:3624216|offset_103|00cc00,3624247:3624266|offset_153|444444&amp;v=3623919:3624466&amp;c=444444", "offset 103")</f>
        <v>offset 103</v>
      </c>
    </row>
    <row r="11505" customFormat="false" ht="12.8" hidden="false" customHeight="false" outlineLevel="0" collapsed="false">
      <c r="A11505" s="0" t="s">
        <v>12</v>
      </c>
      <c r="B11505" s="0" t="n">
        <v>3624246</v>
      </c>
      <c r="C11505" s="0" t="n">
        <v>3624266</v>
      </c>
      <c r="D11505" s="0" t="s">
        <v>38194</v>
      </c>
      <c r="E11505" s="0" t="s">
        <v>75</v>
      </c>
      <c r="F11505" s="0" t="s">
        <v>15</v>
      </c>
      <c r="G11505" s="0" t="s">
        <v>16</v>
      </c>
      <c r="H11505" s="0" t="n">
        <v>153</v>
      </c>
      <c r="I11505" s="0" t="s">
        <v>38204</v>
      </c>
      <c r="J11505" s="0" t="s">
        <v>38205</v>
      </c>
      <c r="K11505" s="0" t="s">
        <v>38206</v>
      </c>
      <c r="L11505" s="0" t="str">
        <f aca="false">HYPERLINK("https://www.ncbi.nlm.nih.gov/nuccore/CP000058.1?report=graph&amp;tracks=[key:gene_model_track,Options:GeneOnly]&amp;mk=3624120:3624139|offset_26|444444,3624155:3624174|offset_61|444444,3624197:3624216|offset_103|444444,3624247:3624266|offset_153|00cc00&amp;v=3623919:3624466&amp;c=444444", "offset 153")</f>
        <v>offset 153</v>
      </c>
    </row>
    <row r="11506" customFormat="false" ht="12.8" hidden="false" customHeight="false" outlineLevel="0" collapsed="false">
      <c r="A11506" s="0" t="s">
        <v>12</v>
      </c>
      <c r="B11506" s="0" t="n">
        <v>3626152</v>
      </c>
      <c r="C11506" s="0" t="n">
        <v>3626172</v>
      </c>
      <c r="D11506" s="0" t="s">
        <v>38207</v>
      </c>
      <c r="E11506" s="0" t="s">
        <v>75</v>
      </c>
      <c r="F11506" s="0" t="s">
        <v>90</v>
      </c>
      <c r="G11506" s="0" t="s">
        <v>32</v>
      </c>
      <c r="H11506" s="0" t="n">
        <v>13</v>
      </c>
      <c r="I11506" s="0" t="s">
        <v>38208</v>
      </c>
      <c r="J11506" s="0" t="s">
        <v>38209</v>
      </c>
      <c r="K11506" s="0" t="s">
        <v>38210</v>
      </c>
      <c r="L11506" s="0" t="str">
        <f aca="false">HYPERLINK("https://www.ncbi.nlm.nih.gov/nuccore/CP000058.1?report=graph&amp;tracks=[key:gene_model_track,Options:GeneOnly]&amp;mk=3626153:3626172|offset_13|00cc00,3626108:3626127|offset_58|444444,3626082:3626101|offset_84|444444,3626031:3626050|offset_135|444444&amp;v=3625952:3626250&amp;c=444444", "offset 13")</f>
        <v>offset 13</v>
      </c>
    </row>
    <row r="11507" customFormat="false" ht="12.8" hidden="false" customHeight="false" outlineLevel="0" collapsed="false">
      <c r="A11507" s="0" t="s">
        <v>12</v>
      </c>
      <c r="B11507" s="0" t="n">
        <v>3626107</v>
      </c>
      <c r="C11507" s="0" t="n">
        <v>3626127</v>
      </c>
      <c r="D11507" s="0" t="s">
        <v>38207</v>
      </c>
      <c r="E11507" s="0" t="s">
        <v>75</v>
      </c>
      <c r="F11507" s="0" t="s">
        <v>90</v>
      </c>
      <c r="G11507" s="0" t="s">
        <v>32</v>
      </c>
      <c r="H11507" s="0" t="n">
        <v>58</v>
      </c>
      <c r="I11507" s="0" t="s">
        <v>38211</v>
      </c>
      <c r="J11507" s="0" t="s">
        <v>38212</v>
      </c>
      <c r="K11507" s="0" t="s">
        <v>38213</v>
      </c>
      <c r="L11507" s="0" t="str">
        <f aca="false">HYPERLINK("https://www.ncbi.nlm.nih.gov/nuccore/CP000058.1?report=graph&amp;tracks=[key:gene_model_track,Options:GeneOnly]&amp;mk=3626153:3626172|offset_13|444444,3626108:3626127|offset_58|00cc00,3626082:3626101|offset_84|444444,3626031:3626050|offset_135|444444&amp;v=3625952:3626250&amp;c=444444", "offset 58")</f>
        <v>offset 58</v>
      </c>
    </row>
    <row r="11508" customFormat="false" ht="12.8" hidden="false" customHeight="false" outlineLevel="0" collapsed="false">
      <c r="A11508" s="0" t="s">
        <v>12</v>
      </c>
      <c r="B11508" s="0" t="n">
        <v>3626081</v>
      </c>
      <c r="C11508" s="0" t="n">
        <v>3626101</v>
      </c>
      <c r="D11508" s="0" t="s">
        <v>38207</v>
      </c>
      <c r="E11508" s="0" t="s">
        <v>75</v>
      </c>
      <c r="F11508" s="0" t="s">
        <v>90</v>
      </c>
      <c r="G11508" s="0" t="s">
        <v>16</v>
      </c>
      <c r="H11508" s="0" t="n">
        <v>84</v>
      </c>
      <c r="I11508" s="0" t="s">
        <v>38214</v>
      </c>
      <c r="J11508" s="0" t="s">
        <v>38215</v>
      </c>
      <c r="K11508" s="0" t="s">
        <v>38216</v>
      </c>
      <c r="L11508" s="0" t="str">
        <f aca="false">HYPERLINK("https://www.ncbi.nlm.nih.gov/nuccore/CP000058.1?report=graph&amp;tracks=[key:gene_model_track,Options:GeneOnly]&amp;mk=3626153:3626172|offset_13|444444,3626108:3626127|offset_58|444444,3626082:3626101|offset_84|00cc00,3626031:3626050|offset_135|444444&amp;v=3625952:3626250&amp;c=444444", "offset 84")</f>
        <v>offset 84</v>
      </c>
    </row>
    <row r="11509" customFormat="false" ht="12.8" hidden="false" customHeight="false" outlineLevel="0" collapsed="false">
      <c r="A11509" s="0" t="s">
        <v>12</v>
      </c>
      <c r="B11509" s="0" t="n">
        <v>3626030</v>
      </c>
      <c r="C11509" s="0" t="n">
        <v>3626050</v>
      </c>
      <c r="D11509" s="0" t="s">
        <v>38207</v>
      </c>
      <c r="E11509" s="0" t="s">
        <v>75</v>
      </c>
      <c r="F11509" s="0" t="s">
        <v>90</v>
      </c>
      <c r="G11509" s="0" t="s">
        <v>20</v>
      </c>
      <c r="H11509" s="0" t="n">
        <v>135</v>
      </c>
      <c r="I11509" s="0" t="s">
        <v>38217</v>
      </c>
      <c r="J11509" s="0" t="s">
        <v>38218</v>
      </c>
      <c r="K11509" s="0" t="s">
        <v>38219</v>
      </c>
      <c r="L11509" s="0" t="str">
        <f aca="false">HYPERLINK("https://www.ncbi.nlm.nih.gov/nuccore/CP000058.1?report=graph&amp;tracks=[key:gene_model_track,Options:GeneOnly]&amp;mk=3626153:3626172|offset_13|444444,3626108:3626127|offset_58|444444,3626082:3626101|offset_84|444444,3626031:3626050|offset_135|00cc00&amp;v=3625952:3626250&amp;c=444444", "offset 135")</f>
        <v>offset 135</v>
      </c>
    </row>
    <row r="11510" customFormat="false" ht="12.8" hidden="false" customHeight="false" outlineLevel="0" collapsed="false">
      <c r="A11510" s="0" t="s">
        <v>12</v>
      </c>
      <c r="B11510" s="0" t="n">
        <v>3627972</v>
      </c>
      <c r="C11510" s="0" t="n">
        <v>3627992</v>
      </c>
      <c r="D11510" s="0" t="s">
        <v>38220</v>
      </c>
      <c r="E11510" s="0" t="s">
        <v>75</v>
      </c>
      <c r="F11510" s="0" t="s">
        <v>90</v>
      </c>
      <c r="G11510" s="0" t="s">
        <v>32</v>
      </c>
      <c r="H11510" s="0" t="n">
        <v>10</v>
      </c>
      <c r="I11510" s="0" t="s">
        <v>38221</v>
      </c>
      <c r="J11510" s="0" t="s">
        <v>38222</v>
      </c>
      <c r="K11510" s="0" t="s">
        <v>38223</v>
      </c>
      <c r="L11510" s="0" t="str">
        <f aca="false">HYPERLINK("https://www.ncbi.nlm.nih.gov/nuccore/CP000058.1?report=graph&amp;tracks=[key:gene_model_track,Options:GeneOnly]&amp;mk=3627973:3627992|offset_10|00cc00,3627947:3627966|offset_36|444444,3627913:3627932|offset_70|444444,3627886:3627905|offset_97|444444&amp;v=3627772:3628105&amp;c=444444", "offset 10")</f>
        <v>offset 10</v>
      </c>
    </row>
    <row r="11511" customFormat="false" ht="12.8" hidden="false" customHeight="false" outlineLevel="0" collapsed="false">
      <c r="A11511" s="0" t="s">
        <v>12</v>
      </c>
      <c r="B11511" s="0" t="n">
        <v>3627946</v>
      </c>
      <c r="C11511" s="0" t="n">
        <v>3627966</v>
      </c>
      <c r="D11511" s="0" t="s">
        <v>38220</v>
      </c>
      <c r="E11511" s="0" t="s">
        <v>75</v>
      </c>
      <c r="F11511" s="0" t="s">
        <v>90</v>
      </c>
      <c r="G11511" s="0" t="s">
        <v>16</v>
      </c>
      <c r="H11511" s="0" t="n">
        <v>36</v>
      </c>
      <c r="I11511" s="0" t="s">
        <v>38224</v>
      </c>
      <c r="J11511" s="0" t="s">
        <v>38225</v>
      </c>
      <c r="K11511" s="0" t="s">
        <v>38226</v>
      </c>
      <c r="L11511" s="0" t="str">
        <f aca="false">HYPERLINK("https://www.ncbi.nlm.nih.gov/nuccore/CP000058.1?report=graph&amp;tracks=[key:gene_model_track,Options:GeneOnly]&amp;mk=3627973:3627992|offset_10|444444,3627947:3627966|offset_36|00cc00,3627913:3627932|offset_70|444444,3627886:3627905|offset_97|444444&amp;v=3627772:3628105&amp;c=444444", "offset 36")</f>
        <v>offset 36</v>
      </c>
    </row>
    <row r="11512" customFormat="false" ht="12.8" hidden="false" customHeight="false" outlineLevel="0" collapsed="false">
      <c r="A11512" s="0" t="s">
        <v>12</v>
      </c>
      <c r="B11512" s="0" t="n">
        <v>3627912</v>
      </c>
      <c r="C11512" s="0" t="n">
        <v>3627932</v>
      </c>
      <c r="D11512" s="0" t="s">
        <v>38220</v>
      </c>
      <c r="E11512" s="0" t="s">
        <v>75</v>
      </c>
      <c r="F11512" s="0" t="s">
        <v>90</v>
      </c>
      <c r="G11512" s="0" t="s">
        <v>32</v>
      </c>
      <c r="H11512" s="0" t="n">
        <v>70</v>
      </c>
      <c r="I11512" s="0" t="s">
        <v>38227</v>
      </c>
      <c r="J11512" s="0" t="s">
        <v>38228</v>
      </c>
      <c r="K11512" s="0" t="s">
        <v>38229</v>
      </c>
      <c r="L11512" s="0" t="str">
        <f aca="false">HYPERLINK("https://www.ncbi.nlm.nih.gov/nuccore/CP000058.1?report=graph&amp;tracks=[key:gene_model_track,Options:GeneOnly]&amp;mk=3627973:3627992|offset_10|444444,3627947:3627966|offset_36|444444,3627913:3627932|offset_70|00cc00,3627886:3627905|offset_97|444444&amp;v=3627772:3628105&amp;c=444444", "offset 70")</f>
        <v>offset 70</v>
      </c>
    </row>
    <row r="11513" customFormat="false" ht="12.8" hidden="false" customHeight="false" outlineLevel="0" collapsed="false">
      <c r="A11513" s="0" t="s">
        <v>12</v>
      </c>
      <c r="B11513" s="0" t="n">
        <v>3627885</v>
      </c>
      <c r="C11513" s="0" t="n">
        <v>3627905</v>
      </c>
      <c r="D11513" s="0" t="s">
        <v>38220</v>
      </c>
      <c r="E11513" s="0" t="s">
        <v>75</v>
      </c>
      <c r="F11513" s="0" t="s">
        <v>90</v>
      </c>
      <c r="G11513" s="0" t="s">
        <v>16</v>
      </c>
      <c r="H11513" s="0" t="n">
        <v>97</v>
      </c>
      <c r="I11513" s="0" t="s">
        <v>38230</v>
      </c>
      <c r="J11513" s="0" t="s">
        <v>38231</v>
      </c>
      <c r="K11513" s="0" t="s">
        <v>38232</v>
      </c>
      <c r="L11513" s="0" t="str">
        <f aca="false">HYPERLINK("https://www.ncbi.nlm.nih.gov/nuccore/CP000058.1?report=graph&amp;tracks=[key:gene_model_track,Options:GeneOnly]&amp;mk=3627973:3627992|offset_10|444444,3627947:3627966|offset_36|444444,3627913:3627932|offset_70|444444,3627886:3627905|offset_97|00cc00&amp;v=3627772:3628105&amp;c=444444", "offset 97")</f>
        <v>offset 97</v>
      </c>
    </row>
    <row r="11514" customFormat="false" ht="12.8" hidden="false" customHeight="false" outlineLevel="0" collapsed="false">
      <c r="A11514" s="0" t="s">
        <v>12</v>
      </c>
      <c r="B11514" s="0" t="n">
        <v>3629429</v>
      </c>
      <c r="C11514" s="0" t="n">
        <v>3629449</v>
      </c>
      <c r="D11514" s="0" t="s">
        <v>38233</v>
      </c>
      <c r="E11514" s="0" t="s">
        <v>75</v>
      </c>
      <c r="F11514" s="0" t="s">
        <v>90</v>
      </c>
      <c r="G11514" s="0" t="s">
        <v>32</v>
      </c>
      <c r="H11514" s="0" t="n">
        <v>10</v>
      </c>
      <c r="I11514" s="0" t="s">
        <v>38234</v>
      </c>
      <c r="J11514" s="0" t="s">
        <v>38235</v>
      </c>
      <c r="K11514" s="0" t="s">
        <v>38236</v>
      </c>
      <c r="L11514" s="0" t="str">
        <f aca="false">HYPERLINK("https://www.ncbi.nlm.nih.gov/nuccore/CP000058.1?report=graph&amp;tracks=[key:gene_model_track,Options:GeneOnly]&amp;mk=3629430:3629449|offset_10|00cc00,3629397:3629416|offset_43|444444,3629361:3629380|offset_79|444444,3629336:3629355|offset_104|444444&amp;v=3629229:3629555&amp;c=444444", "offset 10")</f>
        <v>offset 10</v>
      </c>
    </row>
    <row r="11515" customFormat="false" ht="12.8" hidden="false" customHeight="false" outlineLevel="0" collapsed="false">
      <c r="A11515" s="0" t="s">
        <v>12</v>
      </c>
      <c r="B11515" s="0" t="n">
        <v>3629396</v>
      </c>
      <c r="C11515" s="0" t="n">
        <v>3629416</v>
      </c>
      <c r="D11515" s="0" t="s">
        <v>38233</v>
      </c>
      <c r="E11515" s="0" t="s">
        <v>75</v>
      </c>
      <c r="F11515" s="0" t="s">
        <v>90</v>
      </c>
      <c r="G11515" s="0" t="s">
        <v>16</v>
      </c>
      <c r="H11515" s="0" t="n">
        <v>43</v>
      </c>
      <c r="I11515" s="0" t="s">
        <v>38237</v>
      </c>
      <c r="J11515" s="0" t="s">
        <v>38238</v>
      </c>
      <c r="K11515" s="0" t="s">
        <v>38239</v>
      </c>
      <c r="L11515" s="0" t="str">
        <f aca="false">HYPERLINK("https://www.ncbi.nlm.nih.gov/nuccore/CP000058.1?report=graph&amp;tracks=[key:gene_model_track,Options:GeneOnly]&amp;mk=3629430:3629449|offset_10|444444,3629397:3629416|offset_43|00cc00,3629361:3629380|offset_79|444444,3629336:3629355|offset_104|444444&amp;v=3629229:3629555&amp;c=444444", "offset 43")</f>
        <v>offset 43</v>
      </c>
    </row>
    <row r="11516" customFormat="false" ht="12.8" hidden="false" customHeight="false" outlineLevel="0" collapsed="false">
      <c r="A11516" s="0" t="s">
        <v>12</v>
      </c>
      <c r="B11516" s="0" t="n">
        <v>3629360</v>
      </c>
      <c r="C11516" s="0" t="n">
        <v>3629380</v>
      </c>
      <c r="D11516" s="0" t="s">
        <v>38233</v>
      </c>
      <c r="E11516" s="0" t="s">
        <v>75</v>
      </c>
      <c r="F11516" s="0" t="s">
        <v>90</v>
      </c>
      <c r="G11516" s="0" t="s">
        <v>32</v>
      </c>
      <c r="H11516" s="0" t="n">
        <v>79</v>
      </c>
      <c r="I11516" s="0" t="s">
        <v>38240</v>
      </c>
      <c r="J11516" s="0" t="s">
        <v>38241</v>
      </c>
      <c r="K11516" s="0" t="s">
        <v>38242</v>
      </c>
      <c r="L11516" s="0" t="str">
        <f aca="false">HYPERLINK("https://www.ncbi.nlm.nih.gov/nuccore/CP000058.1?report=graph&amp;tracks=[key:gene_model_track,Options:GeneOnly]&amp;mk=3629430:3629449|offset_10|444444,3629397:3629416|offset_43|444444,3629361:3629380|offset_79|00cc00,3629336:3629355|offset_104|444444&amp;v=3629229:3629555&amp;c=444444", "offset 79")</f>
        <v>offset 79</v>
      </c>
    </row>
    <row r="11517" customFormat="false" ht="12.8" hidden="false" customHeight="false" outlineLevel="0" collapsed="false">
      <c r="A11517" s="0" t="s">
        <v>12</v>
      </c>
      <c r="B11517" s="0" t="n">
        <v>3629335</v>
      </c>
      <c r="C11517" s="0" t="n">
        <v>3629355</v>
      </c>
      <c r="D11517" s="0" t="s">
        <v>38233</v>
      </c>
      <c r="E11517" s="0" t="s">
        <v>75</v>
      </c>
      <c r="F11517" s="0" t="s">
        <v>90</v>
      </c>
      <c r="G11517" s="0" t="s">
        <v>20</v>
      </c>
      <c r="H11517" s="0" t="n">
        <v>104</v>
      </c>
      <c r="I11517" s="0" t="s">
        <v>38243</v>
      </c>
      <c r="J11517" s="0" t="s">
        <v>38244</v>
      </c>
      <c r="K11517" s="0" t="s">
        <v>38245</v>
      </c>
      <c r="L11517" s="0" t="str">
        <f aca="false">HYPERLINK("https://www.ncbi.nlm.nih.gov/nuccore/CP000058.1?report=graph&amp;tracks=[key:gene_model_track,Options:GeneOnly]&amp;mk=3629430:3629449|offset_10|444444,3629397:3629416|offset_43|444444,3629361:3629380|offset_79|444444,3629336:3629355|offset_104|00cc00&amp;v=3629229:3629555&amp;c=444444", "offset 104")</f>
        <v>offset 104</v>
      </c>
    </row>
    <row r="11518" customFormat="false" ht="12.8" hidden="false" customHeight="false" outlineLevel="0" collapsed="false">
      <c r="A11518" s="0" t="s">
        <v>12</v>
      </c>
      <c r="B11518" s="0" t="n">
        <v>3630096</v>
      </c>
      <c r="C11518" s="0" t="n">
        <v>3630116</v>
      </c>
      <c r="D11518" s="0" t="s">
        <v>38246</v>
      </c>
      <c r="E11518" s="0" t="s">
        <v>75</v>
      </c>
      <c r="F11518" s="0" t="s">
        <v>90</v>
      </c>
      <c r="G11518" s="0" t="s">
        <v>20</v>
      </c>
      <c r="H11518" s="0" t="n">
        <v>8</v>
      </c>
      <c r="I11518" s="0" t="s">
        <v>38247</v>
      </c>
      <c r="J11518" s="0" t="s">
        <v>38248</v>
      </c>
      <c r="K11518" s="0" t="s">
        <v>38249</v>
      </c>
      <c r="L11518" s="0" t="str">
        <f aca="false">HYPERLINK("https://www.ncbi.nlm.nih.gov/nuccore/CP000058.1?report=graph&amp;tracks=[key:gene_model_track,Options:GeneOnly]&amp;mk=3630097:3630116|offset_8|00cc00,3630072:3630091|offset_33|444444,3629978:3629997|offset_127|444444,3629940:3629959|offset_165|444444&amp;v=3629896:3630159&amp;c=444444", "offset 8")</f>
        <v>offset 8</v>
      </c>
    </row>
    <row r="11519" customFormat="false" ht="12.8" hidden="false" customHeight="false" outlineLevel="0" collapsed="false">
      <c r="A11519" s="0" t="s">
        <v>12</v>
      </c>
      <c r="B11519" s="0" t="n">
        <v>3630071</v>
      </c>
      <c r="C11519" s="0" t="n">
        <v>3630091</v>
      </c>
      <c r="D11519" s="0" t="s">
        <v>38246</v>
      </c>
      <c r="E11519" s="0" t="s">
        <v>75</v>
      </c>
      <c r="F11519" s="0" t="s">
        <v>90</v>
      </c>
      <c r="G11519" s="0" t="s">
        <v>20</v>
      </c>
      <c r="H11519" s="0" t="n">
        <v>33</v>
      </c>
      <c r="I11519" s="0" t="s">
        <v>38250</v>
      </c>
      <c r="J11519" s="0" t="s">
        <v>38251</v>
      </c>
      <c r="K11519" s="0" t="s">
        <v>38252</v>
      </c>
      <c r="L11519" s="0" t="str">
        <f aca="false">HYPERLINK("https://www.ncbi.nlm.nih.gov/nuccore/CP000058.1?report=graph&amp;tracks=[key:gene_model_track,Options:GeneOnly]&amp;mk=3630097:3630116|offset_8|444444,3630072:3630091|offset_33|00cc00,3629978:3629997|offset_127|444444,3629940:3629959|offset_165|444444&amp;v=3629896:3630159&amp;c=444444", "offset 33")</f>
        <v>offset 33</v>
      </c>
    </row>
    <row r="11520" customFormat="false" ht="12.8" hidden="false" customHeight="false" outlineLevel="0" collapsed="false">
      <c r="A11520" s="0" t="s">
        <v>12</v>
      </c>
      <c r="B11520" s="0" t="n">
        <v>3629977</v>
      </c>
      <c r="C11520" s="0" t="n">
        <v>3629997</v>
      </c>
      <c r="D11520" s="0" t="s">
        <v>38246</v>
      </c>
      <c r="E11520" s="0" t="s">
        <v>75</v>
      </c>
      <c r="F11520" s="0" t="s">
        <v>90</v>
      </c>
      <c r="G11520" s="0" t="s">
        <v>16</v>
      </c>
      <c r="H11520" s="0" t="n">
        <v>127</v>
      </c>
      <c r="I11520" s="0" t="s">
        <v>38253</v>
      </c>
      <c r="J11520" s="0" t="s">
        <v>38254</v>
      </c>
      <c r="K11520" s="0" t="s">
        <v>38255</v>
      </c>
      <c r="L11520" s="0" t="str">
        <f aca="false">HYPERLINK("https://www.ncbi.nlm.nih.gov/nuccore/CP000058.1?report=graph&amp;tracks=[key:gene_model_track,Options:GeneOnly]&amp;mk=3630097:3630116|offset_8|444444,3630072:3630091|offset_33|444444,3629978:3629997|offset_127|00cc00,3629940:3629959|offset_165|444444&amp;v=3629896:3630159&amp;c=444444", "offset 127")</f>
        <v>offset 127</v>
      </c>
    </row>
    <row r="11521" customFormat="false" ht="12.8" hidden="false" customHeight="false" outlineLevel="0" collapsed="false">
      <c r="A11521" s="0" t="s">
        <v>12</v>
      </c>
      <c r="B11521" s="0" t="n">
        <v>3629939</v>
      </c>
      <c r="C11521" s="0" t="n">
        <v>3629959</v>
      </c>
      <c r="D11521" s="0" t="s">
        <v>38246</v>
      </c>
      <c r="E11521" s="0" t="s">
        <v>75</v>
      </c>
      <c r="F11521" s="0" t="s">
        <v>90</v>
      </c>
      <c r="G11521" s="0" t="s">
        <v>36</v>
      </c>
      <c r="H11521" s="0" t="n">
        <v>165</v>
      </c>
      <c r="I11521" s="0" t="s">
        <v>38256</v>
      </c>
      <c r="J11521" s="0" t="s">
        <v>38257</v>
      </c>
      <c r="K11521" s="0" t="s">
        <v>38258</v>
      </c>
      <c r="L11521" s="0" t="str">
        <f aca="false">HYPERLINK("https://www.ncbi.nlm.nih.gov/nuccore/CP000058.1?report=graph&amp;tracks=[key:gene_model_track,Options:GeneOnly]&amp;mk=3630097:3630116|offset_8|444444,3630072:3630091|offset_33|444444,3629978:3629997|offset_127|444444,3629940:3629959|offset_165|00cc00&amp;v=3629896:3630159&amp;c=444444", "offset 165")</f>
        <v>offset 165</v>
      </c>
    </row>
    <row r="11522" customFormat="false" ht="12.8" hidden="false" customHeight="false" outlineLevel="0" collapsed="false">
      <c r="A11522" s="0" t="s">
        <v>12</v>
      </c>
      <c r="B11522" s="0" t="n">
        <v>3630380</v>
      </c>
      <c r="C11522" s="0" t="n">
        <v>3630400</v>
      </c>
      <c r="D11522" s="0" t="s">
        <v>38259</v>
      </c>
      <c r="E11522" s="0" t="s">
        <v>75</v>
      </c>
      <c r="F11522" s="0" t="s">
        <v>90</v>
      </c>
      <c r="G11522" s="0" t="s">
        <v>20</v>
      </c>
      <c r="H11522" s="0" t="n">
        <v>32</v>
      </c>
      <c r="I11522" s="0" t="s">
        <v>38260</v>
      </c>
      <c r="J11522" s="0" t="s">
        <v>38261</v>
      </c>
      <c r="K11522" s="0" t="s">
        <v>38262</v>
      </c>
      <c r="L11522" s="0" t="str">
        <f aca="false">HYPERLINK("https://www.ncbi.nlm.nih.gov/nuccore/CP000058.1?report=graph&amp;tracks=[key:gene_model_track,Options:GeneOnly]&amp;mk=3630381:3630400|offset_32|00cc00,3630346:3630365|offset_67|444444,3630290:3630309|offset_123|444444,3630251:3630270|offset_162|444444&amp;v=3630180:3630470&amp;c=444444", "offset 32")</f>
        <v>offset 32</v>
      </c>
    </row>
    <row r="11523" customFormat="false" ht="12.8" hidden="false" customHeight="false" outlineLevel="0" collapsed="false">
      <c r="A11523" s="0" t="s">
        <v>12</v>
      </c>
      <c r="B11523" s="0" t="n">
        <v>3630345</v>
      </c>
      <c r="C11523" s="0" t="n">
        <v>3630365</v>
      </c>
      <c r="D11523" s="0" t="s">
        <v>38259</v>
      </c>
      <c r="E11523" s="0" t="s">
        <v>75</v>
      </c>
      <c r="F11523" s="0" t="s">
        <v>90</v>
      </c>
      <c r="G11523" s="0" t="s">
        <v>32</v>
      </c>
      <c r="H11523" s="0" t="n">
        <v>67</v>
      </c>
      <c r="I11523" s="0" t="s">
        <v>38263</v>
      </c>
      <c r="J11523" s="0" t="s">
        <v>38264</v>
      </c>
      <c r="K11523" s="0" t="s">
        <v>38265</v>
      </c>
      <c r="L11523" s="0" t="str">
        <f aca="false">HYPERLINK("https://www.ncbi.nlm.nih.gov/nuccore/CP000058.1?report=graph&amp;tracks=[key:gene_model_track,Options:GeneOnly]&amp;mk=3630381:3630400|offset_32|444444,3630346:3630365|offset_67|00cc00,3630290:3630309|offset_123|444444,3630251:3630270|offset_162|444444&amp;v=3630180:3630470&amp;c=444444", "offset 67")</f>
        <v>offset 67</v>
      </c>
    </row>
    <row r="11524" customFormat="false" ht="12.8" hidden="false" customHeight="false" outlineLevel="0" collapsed="false">
      <c r="A11524" s="0" t="s">
        <v>12</v>
      </c>
      <c r="B11524" s="0" t="n">
        <v>3630289</v>
      </c>
      <c r="C11524" s="0" t="n">
        <v>3630309</v>
      </c>
      <c r="D11524" s="0" t="s">
        <v>38259</v>
      </c>
      <c r="E11524" s="0" t="s">
        <v>75</v>
      </c>
      <c r="F11524" s="0" t="s">
        <v>90</v>
      </c>
      <c r="G11524" s="0" t="s">
        <v>20</v>
      </c>
      <c r="H11524" s="0" t="n">
        <v>123</v>
      </c>
      <c r="I11524" s="0" t="s">
        <v>38266</v>
      </c>
      <c r="J11524" s="0" t="s">
        <v>38267</v>
      </c>
      <c r="K11524" s="0" t="s">
        <v>38268</v>
      </c>
      <c r="L11524" s="0" t="str">
        <f aca="false">HYPERLINK("https://www.ncbi.nlm.nih.gov/nuccore/CP000058.1?report=graph&amp;tracks=[key:gene_model_track,Options:GeneOnly]&amp;mk=3630381:3630400|offset_32|444444,3630346:3630365|offset_67|444444,3630290:3630309|offset_123|00cc00,3630251:3630270|offset_162|444444&amp;v=3630180:3630470&amp;c=444444", "offset 123")</f>
        <v>offset 123</v>
      </c>
    </row>
    <row r="11525" customFormat="false" ht="12.8" hidden="false" customHeight="false" outlineLevel="0" collapsed="false">
      <c r="A11525" s="0" t="s">
        <v>12</v>
      </c>
      <c r="B11525" s="0" t="n">
        <v>3630250</v>
      </c>
      <c r="C11525" s="0" t="n">
        <v>3630270</v>
      </c>
      <c r="D11525" s="0" t="s">
        <v>38259</v>
      </c>
      <c r="E11525" s="0" t="s">
        <v>75</v>
      </c>
      <c r="F11525" s="0" t="s">
        <v>90</v>
      </c>
      <c r="G11525" s="0" t="s">
        <v>36</v>
      </c>
      <c r="H11525" s="0" t="n">
        <v>162</v>
      </c>
      <c r="I11525" s="0" t="s">
        <v>38269</v>
      </c>
      <c r="J11525" s="0" t="s">
        <v>38270</v>
      </c>
      <c r="K11525" s="0" t="s">
        <v>38271</v>
      </c>
      <c r="L11525" s="0" t="str">
        <f aca="false">HYPERLINK("https://www.ncbi.nlm.nih.gov/nuccore/CP000058.1?report=graph&amp;tracks=[key:gene_model_track,Options:GeneOnly]&amp;mk=3630381:3630400|offset_32|444444,3630346:3630365|offset_67|444444,3630290:3630309|offset_123|444444,3630251:3630270|offset_162|00cc00&amp;v=3630180:3630470&amp;c=444444", "offset 162")</f>
        <v>offset 162</v>
      </c>
    </row>
    <row r="11526" customFormat="false" ht="12.8" hidden="false" customHeight="false" outlineLevel="0" collapsed="false">
      <c r="A11526" s="0" t="s">
        <v>12</v>
      </c>
      <c r="B11526" s="0" t="n">
        <v>3630701</v>
      </c>
      <c r="C11526" s="0" t="n">
        <v>3630721</v>
      </c>
      <c r="D11526" s="0" t="s">
        <v>38272</v>
      </c>
      <c r="E11526" s="0" t="s">
        <v>75</v>
      </c>
      <c r="F11526" s="0" t="s">
        <v>90</v>
      </c>
      <c r="G11526" s="0" t="s">
        <v>36</v>
      </c>
      <c r="H11526" s="0" t="n">
        <v>19</v>
      </c>
      <c r="I11526" s="0" t="s">
        <v>38273</v>
      </c>
      <c r="J11526" s="0" t="s">
        <v>38274</v>
      </c>
      <c r="K11526" s="0" t="s">
        <v>38275</v>
      </c>
      <c r="L11526" s="0" t="str">
        <f aca="false">HYPERLINK("https://www.ncbi.nlm.nih.gov/nuccore/CP000058.1?report=graph&amp;tracks=[key:gene_model_track,Options:GeneOnly]&amp;mk=3630702:3630721|offset_19|00cc00,3630659:3630678|offset_62|444444,3630623:3630642|offset_98|444444,3630602:3630621|offset_119|444444&amp;v=3630501:3630821&amp;c=444444", "offset 19")</f>
        <v>offset 19</v>
      </c>
    </row>
    <row r="11527" customFormat="false" ht="12.8" hidden="false" customHeight="false" outlineLevel="0" collapsed="false">
      <c r="A11527" s="0" t="s">
        <v>12</v>
      </c>
      <c r="B11527" s="0" t="n">
        <v>3630658</v>
      </c>
      <c r="C11527" s="0" t="n">
        <v>3630678</v>
      </c>
      <c r="D11527" s="0" t="s">
        <v>38272</v>
      </c>
      <c r="E11527" s="0" t="s">
        <v>75</v>
      </c>
      <c r="F11527" s="0" t="s">
        <v>90</v>
      </c>
      <c r="G11527" s="0" t="s">
        <v>32</v>
      </c>
      <c r="H11527" s="0" t="n">
        <v>62</v>
      </c>
      <c r="I11527" s="0" t="s">
        <v>38276</v>
      </c>
      <c r="J11527" s="0" t="s">
        <v>38277</v>
      </c>
      <c r="K11527" s="0" t="s">
        <v>38278</v>
      </c>
      <c r="L11527" s="0" t="str">
        <f aca="false">HYPERLINK("https://www.ncbi.nlm.nih.gov/nuccore/CP000058.1?report=graph&amp;tracks=[key:gene_model_track,Options:GeneOnly]&amp;mk=3630702:3630721|offset_19|444444,3630659:3630678|offset_62|00cc00,3630623:3630642|offset_98|444444,3630602:3630621|offset_119|444444&amp;v=3630501:3630821&amp;c=444444", "offset 62")</f>
        <v>offset 62</v>
      </c>
    </row>
    <row r="11528" customFormat="false" ht="12.8" hidden="false" customHeight="false" outlineLevel="0" collapsed="false">
      <c r="A11528" s="0" t="s">
        <v>12</v>
      </c>
      <c r="B11528" s="0" t="n">
        <v>3630622</v>
      </c>
      <c r="C11528" s="0" t="n">
        <v>3630642</v>
      </c>
      <c r="D11528" s="0" t="s">
        <v>38272</v>
      </c>
      <c r="E11528" s="0" t="s">
        <v>75</v>
      </c>
      <c r="F11528" s="0" t="s">
        <v>90</v>
      </c>
      <c r="G11528" s="0" t="s">
        <v>20</v>
      </c>
      <c r="H11528" s="0" t="n">
        <v>98</v>
      </c>
      <c r="I11528" s="0" t="s">
        <v>38279</v>
      </c>
      <c r="J11528" s="0" t="s">
        <v>38280</v>
      </c>
      <c r="K11528" s="0" t="s">
        <v>38281</v>
      </c>
      <c r="L11528" s="0" t="str">
        <f aca="false">HYPERLINK("https://www.ncbi.nlm.nih.gov/nuccore/CP000058.1?report=graph&amp;tracks=[key:gene_model_track,Options:GeneOnly]&amp;mk=3630702:3630721|offset_19|444444,3630659:3630678|offset_62|444444,3630623:3630642|offset_98|00cc00,3630602:3630621|offset_119|444444&amp;v=3630501:3630821&amp;c=444444", "offset 98")</f>
        <v>offset 98</v>
      </c>
    </row>
    <row r="11529" customFormat="false" ht="12.8" hidden="false" customHeight="false" outlineLevel="0" collapsed="false">
      <c r="A11529" s="0" t="s">
        <v>12</v>
      </c>
      <c r="B11529" s="0" t="n">
        <v>3630601</v>
      </c>
      <c r="C11529" s="0" t="n">
        <v>3630621</v>
      </c>
      <c r="D11529" s="0" t="s">
        <v>38272</v>
      </c>
      <c r="E11529" s="0" t="s">
        <v>75</v>
      </c>
      <c r="F11529" s="0" t="s">
        <v>90</v>
      </c>
      <c r="G11529" s="0" t="s">
        <v>32</v>
      </c>
      <c r="H11529" s="0" t="n">
        <v>119</v>
      </c>
      <c r="I11529" s="0" t="s">
        <v>38282</v>
      </c>
      <c r="J11529" s="0" t="s">
        <v>38283</v>
      </c>
      <c r="K11529" s="0" t="s">
        <v>38284</v>
      </c>
      <c r="L11529" s="0" t="str">
        <f aca="false">HYPERLINK("https://www.ncbi.nlm.nih.gov/nuccore/CP000058.1?report=graph&amp;tracks=[key:gene_model_track,Options:GeneOnly]&amp;mk=3630702:3630721|offset_19|444444,3630659:3630678|offset_62|444444,3630623:3630642|offset_98|444444,3630602:3630621|offset_119|00cc00&amp;v=3630501:3630821&amp;c=444444", "offset 119")</f>
        <v>offset 119</v>
      </c>
    </row>
    <row r="11530" customFormat="false" ht="12.8" hidden="false" customHeight="false" outlineLevel="0" collapsed="false">
      <c r="A11530" s="0" t="s">
        <v>12</v>
      </c>
      <c r="B11530" s="0" t="n">
        <v>3630979</v>
      </c>
      <c r="C11530" s="0" t="n">
        <v>3630999</v>
      </c>
      <c r="D11530" s="0" t="s">
        <v>38285</v>
      </c>
      <c r="E11530" s="0" t="s">
        <v>75</v>
      </c>
      <c r="F11530" s="0" t="s">
        <v>15</v>
      </c>
      <c r="G11530" s="0" t="s">
        <v>20</v>
      </c>
      <c r="H11530" s="0" t="n">
        <v>25</v>
      </c>
      <c r="I11530" s="0" t="s">
        <v>38286</v>
      </c>
      <c r="J11530" s="0" t="s">
        <v>38287</v>
      </c>
      <c r="K11530" s="0" t="s">
        <v>38288</v>
      </c>
      <c r="L11530" s="0" t="str">
        <f aca="false">HYPERLINK("https://www.ncbi.nlm.nih.gov/nuccore/CP000058.1?report=graph&amp;tracks=[key:gene_model_track,Options:GeneOnly]&amp;mk=3630980:3630999|offset_25|00cc00,3631002:3631021|offset_47|444444,3631044:3631063|offset_89|444444,3631087:3631106|offset_132|444444&amp;v=3630779:3631306&amp;c=444444", "offset 25")</f>
        <v>offset 25</v>
      </c>
    </row>
    <row r="11531" customFormat="false" ht="12.8" hidden="false" customHeight="false" outlineLevel="0" collapsed="false">
      <c r="A11531" s="0" t="s">
        <v>12</v>
      </c>
      <c r="B11531" s="0" t="n">
        <v>3631001</v>
      </c>
      <c r="C11531" s="0" t="n">
        <v>3631021</v>
      </c>
      <c r="D11531" s="0" t="s">
        <v>38285</v>
      </c>
      <c r="E11531" s="0" t="s">
        <v>75</v>
      </c>
      <c r="F11531" s="0" t="s">
        <v>15</v>
      </c>
      <c r="G11531" s="0" t="s">
        <v>36</v>
      </c>
      <c r="H11531" s="0" t="n">
        <v>47</v>
      </c>
      <c r="I11531" s="0" t="s">
        <v>38289</v>
      </c>
      <c r="J11531" s="0" t="s">
        <v>38290</v>
      </c>
      <c r="K11531" s="0" t="s">
        <v>38291</v>
      </c>
      <c r="L11531" s="0" t="str">
        <f aca="false">HYPERLINK("https://www.ncbi.nlm.nih.gov/nuccore/CP000058.1?report=graph&amp;tracks=[key:gene_model_track,Options:GeneOnly]&amp;mk=3630980:3630999|offset_25|444444,3631002:3631021|offset_47|00cc00,3631044:3631063|offset_89|444444,3631087:3631106|offset_132|444444&amp;v=3630779:3631306&amp;c=444444", "offset 47")</f>
        <v>offset 47</v>
      </c>
    </row>
    <row r="11532" customFormat="false" ht="12.8" hidden="false" customHeight="false" outlineLevel="0" collapsed="false">
      <c r="A11532" s="0" t="s">
        <v>12</v>
      </c>
      <c r="B11532" s="0" t="n">
        <v>3631043</v>
      </c>
      <c r="C11532" s="0" t="n">
        <v>3631063</v>
      </c>
      <c r="D11532" s="0" t="s">
        <v>38285</v>
      </c>
      <c r="E11532" s="0" t="s">
        <v>75</v>
      </c>
      <c r="F11532" s="0" t="s">
        <v>15</v>
      </c>
      <c r="G11532" s="0" t="s">
        <v>32</v>
      </c>
      <c r="H11532" s="0" t="n">
        <v>89</v>
      </c>
      <c r="I11532" s="0" t="s">
        <v>38292</v>
      </c>
      <c r="J11532" s="0" t="s">
        <v>38293</v>
      </c>
      <c r="K11532" s="0" t="s">
        <v>38294</v>
      </c>
      <c r="L11532" s="0" t="str">
        <f aca="false">HYPERLINK("https://www.ncbi.nlm.nih.gov/nuccore/CP000058.1?report=graph&amp;tracks=[key:gene_model_track,Options:GeneOnly]&amp;mk=3630980:3630999|offset_25|444444,3631002:3631021|offset_47|444444,3631044:3631063|offset_89|00cc00,3631087:3631106|offset_132|444444&amp;v=3630779:3631306&amp;c=444444", "offset 89")</f>
        <v>offset 89</v>
      </c>
    </row>
    <row r="11533" customFormat="false" ht="12.8" hidden="false" customHeight="false" outlineLevel="0" collapsed="false">
      <c r="A11533" s="0" t="s">
        <v>12</v>
      </c>
      <c r="B11533" s="0" t="n">
        <v>3631086</v>
      </c>
      <c r="C11533" s="0" t="n">
        <v>3631106</v>
      </c>
      <c r="D11533" s="0" t="s">
        <v>38285</v>
      </c>
      <c r="E11533" s="0" t="s">
        <v>75</v>
      </c>
      <c r="F11533" s="0" t="s">
        <v>15</v>
      </c>
      <c r="G11533" s="0" t="s">
        <v>20</v>
      </c>
      <c r="H11533" s="0" t="n">
        <v>132</v>
      </c>
      <c r="I11533" s="0" t="s">
        <v>38295</v>
      </c>
      <c r="J11533" s="0" t="s">
        <v>38296</v>
      </c>
      <c r="K11533" s="0" t="s">
        <v>38297</v>
      </c>
      <c r="L11533" s="0" t="str">
        <f aca="false">HYPERLINK("https://www.ncbi.nlm.nih.gov/nuccore/CP000058.1?report=graph&amp;tracks=[key:gene_model_track,Options:GeneOnly]&amp;mk=3630980:3630999|offset_25|444444,3631002:3631021|offset_47|444444,3631044:3631063|offset_89|444444,3631087:3631106|offset_132|00cc00&amp;v=3630779:3631306&amp;c=444444", "offset 132")</f>
        <v>offset 132</v>
      </c>
    </row>
    <row r="11534" customFormat="false" ht="12.8" hidden="false" customHeight="false" outlineLevel="0" collapsed="false">
      <c r="A11534" s="0" t="s">
        <v>12</v>
      </c>
      <c r="B11534" s="0" t="n">
        <v>3637218</v>
      </c>
      <c r="C11534" s="0" t="n">
        <v>3637238</v>
      </c>
      <c r="D11534" s="0" t="s">
        <v>38298</v>
      </c>
      <c r="E11534" s="0" t="s">
        <v>75</v>
      </c>
      <c r="F11534" s="0" t="s">
        <v>15</v>
      </c>
      <c r="G11534" s="0" t="s">
        <v>16</v>
      </c>
      <c r="H11534" s="0" t="n">
        <v>97</v>
      </c>
      <c r="I11534" s="0" t="s">
        <v>38299</v>
      </c>
      <c r="J11534" s="0" t="s">
        <v>38300</v>
      </c>
      <c r="K11534" s="0" t="s">
        <v>38301</v>
      </c>
      <c r="L11534" s="0" t="str">
        <f aca="false">HYPERLINK("https://www.ncbi.nlm.nih.gov/nuccore/CP000058.1?report=graph&amp;tracks=[key:gene_model_track,Options:GeneOnly]&amp;mk=3637219:3637238|offset_97|00cc00,3637243:3637262|offset_121|444444,3637282:3637301|offset_160|444444,3637323:3637342|offset_201|444444&amp;v=3637018:3637542&amp;c=444444", "offset 97")</f>
        <v>offset 97</v>
      </c>
    </row>
    <row r="11535" customFormat="false" ht="12.8" hidden="false" customHeight="false" outlineLevel="0" collapsed="false">
      <c r="A11535" s="0" t="s">
        <v>12</v>
      </c>
      <c r="B11535" s="0" t="n">
        <v>3637242</v>
      </c>
      <c r="C11535" s="0" t="n">
        <v>3637262</v>
      </c>
      <c r="D11535" s="0" t="s">
        <v>38298</v>
      </c>
      <c r="E11535" s="0" t="s">
        <v>75</v>
      </c>
      <c r="F11535" s="0" t="s">
        <v>15</v>
      </c>
      <c r="G11535" s="0" t="s">
        <v>20</v>
      </c>
      <c r="H11535" s="0" t="n">
        <v>121</v>
      </c>
      <c r="I11535" s="0" t="s">
        <v>38302</v>
      </c>
      <c r="J11535" s="0" t="s">
        <v>38303</v>
      </c>
      <c r="K11535" s="0" t="s">
        <v>38304</v>
      </c>
      <c r="L11535" s="0" t="str">
        <f aca="false">HYPERLINK("https://www.ncbi.nlm.nih.gov/nuccore/CP000058.1?report=graph&amp;tracks=[key:gene_model_track,Options:GeneOnly]&amp;mk=3637219:3637238|offset_97|444444,3637243:3637262|offset_121|00cc00,3637282:3637301|offset_160|444444,3637323:3637342|offset_201|444444&amp;v=3637018:3637542&amp;c=444444", "offset 121")</f>
        <v>offset 121</v>
      </c>
    </row>
    <row r="11536" customFormat="false" ht="12.8" hidden="false" customHeight="false" outlineLevel="0" collapsed="false">
      <c r="A11536" s="0" t="s">
        <v>12</v>
      </c>
      <c r="B11536" s="0" t="n">
        <v>3637281</v>
      </c>
      <c r="C11536" s="0" t="n">
        <v>3637301</v>
      </c>
      <c r="D11536" s="0" t="s">
        <v>38298</v>
      </c>
      <c r="E11536" s="0" t="s">
        <v>75</v>
      </c>
      <c r="F11536" s="0" t="s">
        <v>15</v>
      </c>
      <c r="G11536" s="0" t="s">
        <v>36</v>
      </c>
      <c r="H11536" s="0" t="n">
        <v>160</v>
      </c>
      <c r="I11536" s="0" t="s">
        <v>38305</v>
      </c>
      <c r="J11536" s="0" t="s">
        <v>38306</v>
      </c>
      <c r="K11536" s="0" t="s">
        <v>38307</v>
      </c>
      <c r="L11536" s="0" t="str">
        <f aca="false">HYPERLINK("https://www.ncbi.nlm.nih.gov/nuccore/CP000058.1?report=graph&amp;tracks=[key:gene_model_track,Options:GeneOnly]&amp;mk=3637219:3637238|offset_97|444444,3637243:3637262|offset_121|444444,3637282:3637301|offset_160|00cc00,3637323:3637342|offset_201|444444&amp;v=3637018:3637542&amp;c=444444", "offset 160")</f>
        <v>offset 160</v>
      </c>
    </row>
    <row r="11537" customFormat="false" ht="12.8" hidden="false" customHeight="false" outlineLevel="0" collapsed="false">
      <c r="A11537" s="0" t="s">
        <v>12</v>
      </c>
      <c r="B11537" s="0" t="n">
        <v>3637322</v>
      </c>
      <c r="C11537" s="0" t="n">
        <v>3637342</v>
      </c>
      <c r="D11537" s="0" t="s">
        <v>38298</v>
      </c>
      <c r="E11537" s="0" t="s">
        <v>75</v>
      </c>
      <c r="F11537" s="0" t="s">
        <v>15</v>
      </c>
      <c r="G11537" s="0" t="s">
        <v>36</v>
      </c>
      <c r="H11537" s="0" t="n">
        <v>201</v>
      </c>
      <c r="I11537" s="0" t="s">
        <v>38308</v>
      </c>
      <c r="J11537" s="0" t="s">
        <v>38309</v>
      </c>
      <c r="K11537" s="0" t="s">
        <v>38310</v>
      </c>
      <c r="L11537" s="0" t="str">
        <f aca="false">HYPERLINK("https://www.ncbi.nlm.nih.gov/nuccore/CP000058.1?report=graph&amp;tracks=[key:gene_model_track,Options:GeneOnly]&amp;mk=3637219:3637238|offset_97|444444,3637243:3637262|offset_121|444444,3637282:3637301|offset_160|444444,3637323:3637342|offset_201|00cc00&amp;v=3637018:3637542&amp;c=444444", "offset 201")</f>
        <v>offset 201</v>
      </c>
    </row>
    <row r="11538" customFormat="false" ht="12.8" hidden="false" customHeight="false" outlineLevel="0" collapsed="false">
      <c r="A11538" s="0" t="s">
        <v>12</v>
      </c>
      <c r="B11538" s="0" t="n">
        <v>3638302</v>
      </c>
      <c r="C11538" s="0" t="n">
        <v>3638322</v>
      </c>
      <c r="D11538" s="0" t="s">
        <v>38311</v>
      </c>
      <c r="E11538" s="0" t="s">
        <v>75</v>
      </c>
      <c r="F11538" s="0" t="s">
        <v>15</v>
      </c>
      <c r="G11538" s="0" t="s">
        <v>32</v>
      </c>
      <c r="H11538" s="0" t="n">
        <v>19</v>
      </c>
      <c r="I11538" s="0" t="s">
        <v>38312</v>
      </c>
      <c r="J11538" s="0" t="s">
        <v>38313</v>
      </c>
      <c r="K11538" s="0" t="s">
        <v>38314</v>
      </c>
      <c r="L11538" s="0" t="str">
        <f aca="false">HYPERLINK("https://www.ncbi.nlm.nih.gov/nuccore/CP000058.1?report=graph&amp;tracks=[key:gene_model_track,Options:GeneOnly]&amp;mk=3638303:3638322|offset_19|00cc00,3638367:3638386|offset_83|444444,3638441:3638460|offset_157|444444,3638468:3638487|offset_184|444444&amp;v=3638102:3638687&amp;c=444444", "offset 19")</f>
        <v>offset 19</v>
      </c>
    </row>
    <row r="11539" customFormat="false" ht="12.8" hidden="false" customHeight="false" outlineLevel="0" collapsed="false">
      <c r="A11539" s="0" t="s">
        <v>12</v>
      </c>
      <c r="B11539" s="0" t="n">
        <v>3638366</v>
      </c>
      <c r="C11539" s="0" t="n">
        <v>3638386</v>
      </c>
      <c r="D11539" s="0" t="s">
        <v>38311</v>
      </c>
      <c r="E11539" s="0" t="s">
        <v>75</v>
      </c>
      <c r="F11539" s="0" t="s">
        <v>15</v>
      </c>
      <c r="G11539" s="0" t="s">
        <v>32</v>
      </c>
      <c r="H11539" s="0" t="n">
        <v>83</v>
      </c>
      <c r="I11539" s="0" t="s">
        <v>38315</v>
      </c>
      <c r="J11539" s="0" t="s">
        <v>38316</v>
      </c>
      <c r="K11539" s="0" t="s">
        <v>38317</v>
      </c>
      <c r="L11539" s="0" t="str">
        <f aca="false">HYPERLINK("https://www.ncbi.nlm.nih.gov/nuccore/CP000058.1?report=graph&amp;tracks=[key:gene_model_track,Options:GeneOnly]&amp;mk=3638303:3638322|offset_19|444444,3638367:3638386|offset_83|00cc00,3638441:3638460|offset_157|444444,3638468:3638487|offset_184|444444&amp;v=3638102:3638687&amp;c=444444", "offset 83")</f>
        <v>offset 83</v>
      </c>
    </row>
    <row r="11540" customFormat="false" ht="12.8" hidden="false" customHeight="false" outlineLevel="0" collapsed="false">
      <c r="A11540" s="0" t="s">
        <v>12</v>
      </c>
      <c r="B11540" s="0" t="n">
        <v>3638440</v>
      </c>
      <c r="C11540" s="0" t="n">
        <v>3638460</v>
      </c>
      <c r="D11540" s="0" t="s">
        <v>38311</v>
      </c>
      <c r="E11540" s="0" t="s">
        <v>75</v>
      </c>
      <c r="F11540" s="0" t="s">
        <v>15</v>
      </c>
      <c r="G11540" s="0" t="s">
        <v>32</v>
      </c>
      <c r="H11540" s="0" t="n">
        <v>157</v>
      </c>
      <c r="I11540" s="0" t="s">
        <v>38318</v>
      </c>
      <c r="J11540" s="0" t="s">
        <v>38319</v>
      </c>
      <c r="K11540" s="0" t="s">
        <v>38320</v>
      </c>
      <c r="L11540" s="0" t="str">
        <f aca="false">HYPERLINK("https://www.ncbi.nlm.nih.gov/nuccore/CP000058.1?report=graph&amp;tracks=[key:gene_model_track,Options:GeneOnly]&amp;mk=3638303:3638322|offset_19|444444,3638367:3638386|offset_83|444444,3638441:3638460|offset_157|00cc00,3638468:3638487|offset_184|444444&amp;v=3638102:3638687&amp;c=444444", "offset 157")</f>
        <v>offset 157</v>
      </c>
    </row>
    <row r="11541" customFormat="false" ht="12.8" hidden="false" customHeight="false" outlineLevel="0" collapsed="false">
      <c r="A11541" s="0" t="s">
        <v>12</v>
      </c>
      <c r="B11541" s="0" t="n">
        <v>3638467</v>
      </c>
      <c r="C11541" s="0" t="n">
        <v>3638487</v>
      </c>
      <c r="D11541" s="0" t="s">
        <v>38311</v>
      </c>
      <c r="E11541" s="0" t="s">
        <v>75</v>
      </c>
      <c r="F11541" s="0" t="s">
        <v>15</v>
      </c>
      <c r="G11541" s="0" t="s">
        <v>32</v>
      </c>
      <c r="H11541" s="0" t="n">
        <v>184</v>
      </c>
      <c r="I11541" s="0" t="s">
        <v>38321</v>
      </c>
      <c r="J11541" s="0" t="s">
        <v>38322</v>
      </c>
      <c r="K11541" s="0" t="s">
        <v>38323</v>
      </c>
      <c r="L11541" s="0" t="str">
        <f aca="false">HYPERLINK("https://www.ncbi.nlm.nih.gov/nuccore/CP000058.1?report=graph&amp;tracks=[key:gene_model_track,Options:GeneOnly]&amp;mk=3638303:3638322|offset_19|444444,3638367:3638386|offset_83|444444,3638441:3638460|offset_157|444444,3638468:3638487|offset_184|00cc00&amp;v=3638102:3638687&amp;c=444444", "offset 184")</f>
        <v>offset 184</v>
      </c>
    </row>
    <row r="11542" customFormat="false" ht="12.8" hidden="false" customHeight="false" outlineLevel="0" collapsed="false">
      <c r="A11542" s="0" t="s">
        <v>12</v>
      </c>
      <c r="B11542" s="0" t="n">
        <v>3640525</v>
      </c>
      <c r="C11542" s="0" t="n">
        <v>3640545</v>
      </c>
      <c r="D11542" s="0" t="s">
        <v>38324</v>
      </c>
      <c r="E11542" s="0" t="s">
        <v>75</v>
      </c>
      <c r="F11542" s="0" t="s">
        <v>90</v>
      </c>
      <c r="G11542" s="0" t="s">
        <v>32</v>
      </c>
      <c r="H11542" s="0" t="n">
        <v>16</v>
      </c>
      <c r="I11542" s="0" t="s">
        <v>38325</v>
      </c>
      <c r="J11542" s="0" t="s">
        <v>38326</v>
      </c>
      <c r="K11542" s="0" t="s">
        <v>38327</v>
      </c>
      <c r="L11542" s="0" t="str">
        <f aca="false">HYPERLINK("https://www.ncbi.nlm.nih.gov/nuccore/CP000058.1?report=graph&amp;tracks=[key:gene_model_track,Options:GeneOnly]&amp;mk=3640526:3640545|offset_16|00cc00,3640487:3640506|offset_55|444444,3640454:3640473|offset_88|444444,3640431:3640450|offset_111|444444&amp;v=3640325:3640650&amp;c=444444", "offset 16")</f>
        <v>offset 16</v>
      </c>
    </row>
    <row r="11543" customFormat="false" ht="12.8" hidden="false" customHeight="false" outlineLevel="0" collapsed="false">
      <c r="A11543" s="0" t="s">
        <v>12</v>
      </c>
      <c r="B11543" s="0" t="n">
        <v>3640486</v>
      </c>
      <c r="C11543" s="0" t="n">
        <v>3640506</v>
      </c>
      <c r="D11543" s="0" t="s">
        <v>38324</v>
      </c>
      <c r="E11543" s="0" t="s">
        <v>75</v>
      </c>
      <c r="F11543" s="0" t="s">
        <v>90</v>
      </c>
      <c r="G11543" s="0" t="s">
        <v>36</v>
      </c>
      <c r="H11543" s="0" t="n">
        <v>55</v>
      </c>
      <c r="I11543" s="0" t="s">
        <v>38328</v>
      </c>
      <c r="J11543" s="0" t="s">
        <v>38329</v>
      </c>
      <c r="K11543" s="0" t="s">
        <v>38330</v>
      </c>
      <c r="L11543" s="0" t="str">
        <f aca="false">HYPERLINK("https://www.ncbi.nlm.nih.gov/nuccore/CP000058.1?report=graph&amp;tracks=[key:gene_model_track,Options:GeneOnly]&amp;mk=3640526:3640545|offset_16|444444,3640487:3640506|offset_55|00cc00,3640454:3640473|offset_88|444444,3640431:3640450|offset_111|444444&amp;v=3640325:3640650&amp;c=444444", "offset 55")</f>
        <v>offset 55</v>
      </c>
    </row>
    <row r="11544" customFormat="false" ht="12.8" hidden="false" customHeight="false" outlineLevel="0" collapsed="false">
      <c r="A11544" s="0" t="s">
        <v>12</v>
      </c>
      <c r="B11544" s="0" t="n">
        <v>3640453</v>
      </c>
      <c r="C11544" s="0" t="n">
        <v>3640473</v>
      </c>
      <c r="D11544" s="0" t="s">
        <v>38324</v>
      </c>
      <c r="E11544" s="0" t="s">
        <v>75</v>
      </c>
      <c r="F11544" s="0" t="s">
        <v>90</v>
      </c>
      <c r="G11544" s="0" t="s">
        <v>20</v>
      </c>
      <c r="H11544" s="0" t="n">
        <v>88</v>
      </c>
      <c r="I11544" s="0" t="s">
        <v>38331</v>
      </c>
      <c r="J11544" s="0" t="s">
        <v>38332</v>
      </c>
      <c r="K11544" s="0" t="s">
        <v>38333</v>
      </c>
      <c r="L11544" s="0" t="str">
        <f aca="false">HYPERLINK("https://www.ncbi.nlm.nih.gov/nuccore/CP000058.1?report=graph&amp;tracks=[key:gene_model_track,Options:GeneOnly]&amp;mk=3640526:3640545|offset_16|444444,3640487:3640506|offset_55|444444,3640454:3640473|offset_88|00cc00,3640431:3640450|offset_111|444444&amp;v=3640325:3640650&amp;c=444444", "offset 88")</f>
        <v>offset 88</v>
      </c>
    </row>
    <row r="11545" customFormat="false" ht="12.8" hidden="false" customHeight="false" outlineLevel="0" collapsed="false">
      <c r="A11545" s="0" t="s">
        <v>12</v>
      </c>
      <c r="B11545" s="0" t="n">
        <v>3640430</v>
      </c>
      <c r="C11545" s="0" t="n">
        <v>3640450</v>
      </c>
      <c r="D11545" s="0" t="s">
        <v>38324</v>
      </c>
      <c r="E11545" s="0" t="s">
        <v>75</v>
      </c>
      <c r="F11545" s="0" t="s">
        <v>90</v>
      </c>
      <c r="G11545" s="0" t="s">
        <v>16</v>
      </c>
      <c r="H11545" s="0" t="n">
        <v>111</v>
      </c>
      <c r="I11545" s="0" t="s">
        <v>38334</v>
      </c>
      <c r="J11545" s="0" t="s">
        <v>38335</v>
      </c>
      <c r="K11545" s="0" t="s">
        <v>38336</v>
      </c>
      <c r="L11545" s="0" t="str">
        <f aca="false">HYPERLINK("https://www.ncbi.nlm.nih.gov/nuccore/CP000058.1?report=graph&amp;tracks=[key:gene_model_track,Options:GeneOnly]&amp;mk=3640526:3640545|offset_16|444444,3640487:3640506|offset_55|444444,3640454:3640473|offset_88|444444,3640431:3640450|offset_111|00cc00&amp;v=3640325:3640650&amp;c=444444", "offset 111")</f>
        <v>offset 111</v>
      </c>
    </row>
    <row r="11546" customFormat="false" ht="12.8" hidden="false" customHeight="false" outlineLevel="0" collapsed="false">
      <c r="A11546" s="0" t="s">
        <v>12</v>
      </c>
      <c r="B11546" s="0" t="n">
        <v>3641780</v>
      </c>
      <c r="C11546" s="0" t="n">
        <v>3641800</v>
      </c>
      <c r="D11546" s="0" t="s">
        <v>38337</v>
      </c>
      <c r="E11546" s="0" t="s">
        <v>75</v>
      </c>
      <c r="F11546" s="0" t="s">
        <v>90</v>
      </c>
      <c r="G11546" s="0" t="s">
        <v>32</v>
      </c>
      <c r="H11546" s="0" t="n">
        <v>12</v>
      </c>
      <c r="I11546" s="0" t="s">
        <v>38338</v>
      </c>
      <c r="J11546" s="0" t="s">
        <v>38339</v>
      </c>
      <c r="K11546" s="0" t="s">
        <v>38340</v>
      </c>
      <c r="L11546" s="0" t="str">
        <f aca="false">HYPERLINK("https://www.ncbi.nlm.nih.gov/nuccore/CP000058.1?report=graph&amp;tracks=[key:gene_model_track,Options:GeneOnly]&amp;mk=3641781:3641800|offset_12|00cc00,3641759:3641778|offset_34|444444,3641683:3641702|offset_110|444444,3641648:3641667|offset_145|444444&amp;v=3641580:3641867&amp;c=444444", "offset 12")</f>
        <v>offset 12</v>
      </c>
    </row>
    <row r="11547" customFormat="false" ht="12.8" hidden="false" customHeight="false" outlineLevel="0" collapsed="false">
      <c r="A11547" s="0" t="s">
        <v>12</v>
      </c>
      <c r="B11547" s="0" t="n">
        <v>3641758</v>
      </c>
      <c r="C11547" s="0" t="n">
        <v>3641778</v>
      </c>
      <c r="D11547" s="0" t="s">
        <v>38337</v>
      </c>
      <c r="E11547" s="0" t="s">
        <v>75</v>
      </c>
      <c r="F11547" s="0" t="s">
        <v>90</v>
      </c>
      <c r="G11547" s="0" t="s">
        <v>16</v>
      </c>
      <c r="H11547" s="0" t="n">
        <v>34</v>
      </c>
      <c r="I11547" s="0" t="s">
        <v>38341</v>
      </c>
      <c r="J11547" s="0" t="s">
        <v>38342</v>
      </c>
      <c r="K11547" s="0" t="s">
        <v>38343</v>
      </c>
      <c r="L11547" s="0" t="str">
        <f aca="false">HYPERLINK("https://www.ncbi.nlm.nih.gov/nuccore/CP000058.1?report=graph&amp;tracks=[key:gene_model_track,Options:GeneOnly]&amp;mk=3641781:3641800|offset_12|444444,3641759:3641778|offset_34|00cc00,3641683:3641702|offset_110|444444,3641648:3641667|offset_145|444444&amp;v=3641580:3641867&amp;c=444444", "offset 34")</f>
        <v>offset 34</v>
      </c>
    </row>
    <row r="11548" customFormat="false" ht="12.8" hidden="false" customHeight="false" outlineLevel="0" collapsed="false">
      <c r="A11548" s="0" t="s">
        <v>12</v>
      </c>
      <c r="B11548" s="0" t="n">
        <v>3641682</v>
      </c>
      <c r="C11548" s="0" t="n">
        <v>3641702</v>
      </c>
      <c r="D11548" s="0" t="s">
        <v>38337</v>
      </c>
      <c r="E11548" s="0" t="s">
        <v>75</v>
      </c>
      <c r="F11548" s="0" t="s">
        <v>90</v>
      </c>
      <c r="G11548" s="0" t="s">
        <v>36</v>
      </c>
      <c r="H11548" s="0" t="n">
        <v>110</v>
      </c>
      <c r="I11548" s="0" t="s">
        <v>38344</v>
      </c>
      <c r="J11548" s="0" t="s">
        <v>38345</v>
      </c>
      <c r="K11548" s="0" t="s">
        <v>38346</v>
      </c>
      <c r="L11548" s="0" t="str">
        <f aca="false">HYPERLINK("https://www.ncbi.nlm.nih.gov/nuccore/CP000058.1?report=graph&amp;tracks=[key:gene_model_track,Options:GeneOnly]&amp;mk=3641781:3641800|offset_12|444444,3641759:3641778|offset_34|444444,3641683:3641702|offset_110|00cc00,3641648:3641667|offset_145|444444&amp;v=3641580:3641867&amp;c=444444", "offset 110")</f>
        <v>offset 110</v>
      </c>
    </row>
    <row r="11549" customFormat="false" ht="12.8" hidden="false" customHeight="false" outlineLevel="0" collapsed="false">
      <c r="A11549" s="0" t="s">
        <v>12</v>
      </c>
      <c r="B11549" s="0" t="n">
        <v>3641647</v>
      </c>
      <c r="C11549" s="0" t="n">
        <v>3641667</v>
      </c>
      <c r="D11549" s="0" t="s">
        <v>38337</v>
      </c>
      <c r="E11549" s="0" t="s">
        <v>75</v>
      </c>
      <c r="F11549" s="0" t="s">
        <v>90</v>
      </c>
      <c r="G11549" s="0" t="s">
        <v>36</v>
      </c>
      <c r="H11549" s="0" t="n">
        <v>145</v>
      </c>
      <c r="I11549" s="0" t="s">
        <v>38347</v>
      </c>
      <c r="J11549" s="0" t="s">
        <v>38348</v>
      </c>
      <c r="K11549" s="0" t="s">
        <v>38349</v>
      </c>
      <c r="L11549" s="0" t="str">
        <f aca="false">HYPERLINK("https://www.ncbi.nlm.nih.gov/nuccore/CP000058.1?report=graph&amp;tracks=[key:gene_model_track,Options:GeneOnly]&amp;mk=3641781:3641800|offset_12|444444,3641759:3641778|offset_34|444444,3641683:3641702|offset_110|444444,3641648:3641667|offset_145|00cc00&amp;v=3641580:3641867&amp;c=444444", "offset 145")</f>
        <v>offset 145</v>
      </c>
    </row>
    <row r="11550" customFormat="false" ht="12.8" hidden="false" customHeight="false" outlineLevel="0" collapsed="false">
      <c r="A11550" s="0" t="s">
        <v>12</v>
      </c>
      <c r="B11550" s="0" t="n">
        <v>3642413</v>
      </c>
      <c r="C11550" s="0" t="n">
        <v>3642433</v>
      </c>
      <c r="D11550" s="0" t="s">
        <v>38350</v>
      </c>
      <c r="E11550" s="0" t="s">
        <v>75</v>
      </c>
      <c r="F11550" s="0" t="s">
        <v>15</v>
      </c>
      <c r="G11550" s="0" t="s">
        <v>32</v>
      </c>
      <c r="H11550" s="0" t="n">
        <v>16</v>
      </c>
      <c r="I11550" s="0" t="s">
        <v>38351</v>
      </c>
      <c r="J11550" s="0" t="s">
        <v>38352</v>
      </c>
      <c r="K11550" s="0" t="s">
        <v>38353</v>
      </c>
      <c r="L11550" s="0" t="str">
        <f aca="false">HYPERLINK("https://www.ncbi.nlm.nih.gov/nuccore/CP000058.1?report=graph&amp;tracks=[key:gene_model_track,Options:GeneOnly]&amp;mk=3642414:3642433|offset_16|00cc00,3642439:3642458|offset_41|444444,3642471:3642490|offset_73|444444,3642496:3642515|offset_98|444444&amp;v=3642213:3642715&amp;c=444444", "offset 16")</f>
        <v>offset 16</v>
      </c>
    </row>
    <row r="11551" customFormat="false" ht="12.8" hidden="false" customHeight="false" outlineLevel="0" collapsed="false">
      <c r="A11551" s="0" t="s">
        <v>12</v>
      </c>
      <c r="B11551" s="0" t="n">
        <v>3642438</v>
      </c>
      <c r="C11551" s="0" t="n">
        <v>3642458</v>
      </c>
      <c r="D11551" s="0" t="s">
        <v>38350</v>
      </c>
      <c r="E11551" s="0" t="s">
        <v>75</v>
      </c>
      <c r="F11551" s="0" t="s">
        <v>15</v>
      </c>
      <c r="G11551" s="0" t="s">
        <v>32</v>
      </c>
      <c r="H11551" s="0" t="n">
        <v>41</v>
      </c>
      <c r="I11551" s="0" t="s">
        <v>38354</v>
      </c>
      <c r="J11551" s="0" t="s">
        <v>38355</v>
      </c>
      <c r="K11551" s="0" t="s">
        <v>38356</v>
      </c>
      <c r="L11551" s="0" t="str">
        <f aca="false">HYPERLINK("https://www.ncbi.nlm.nih.gov/nuccore/CP000058.1?report=graph&amp;tracks=[key:gene_model_track,Options:GeneOnly]&amp;mk=3642414:3642433|offset_16|444444,3642439:3642458|offset_41|00cc00,3642471:3642490|offset_73|444444,3642496:3642515|offset_98|444444&amp;v=3642213:3642715&amp;c=444444", "offset 41")</f>
        <v>offset 41</v>
      </c>
    </row>
    <row r="11552" customFormat="false" ht="12.8" hidden="false" customHeight="false" outlineLevel="0" collapsed="false">
      <c r="A11552" s="0" t="s">
        <v>12</v>
      </c>
      <c r="B11552" s="0" t="n">
        <v>3642470</v>
      </c>
      <c r="C11552" s="0" t="n">
        <v>3642490</v>
      </c>
      <c r="D11552" s="0" t="s">
        <v>38350</v>
      </c>
      <c r="E11552" s="0" t="s">
        <v>75</v>
      </c>
      <c r="F11552" s="0" t="s">
        <v>15</v>
      </c>
      <c r="G11552" s="0" t="s">
        <v>36</v>
      </c>
      <c r="H11552" s="0" t="n">
        <v>73</v>
      </c>
      <c r="I11552" s="0" t="s">
        <v>38357</v>
      </c>
      <c r="J11552" s="0" t="s">
        <v>38358</v>
      </c>
      <c r="K11552" s="0" t="s">
        <v>38359</v>
      </c>
      <c r="L11552" s="0" t="str">
        <f aca="false">HYPERLINK("https://www.ncbi.nlm.nih.gov/nuccore/CP000058.1?report=graph&amp;tracks=[key:gene_model_track,Options:GeneOnly]&amp;mk=3642414:3642433|offset_16|444444,3642439:3642458|offset_41|444444,3642471:3642490|offset_73|00cc00,3642496:3642515|offset_98|444444&amp;v=3642213:3642715&amp;c=444444", "offset 73")</f>
        <v>offset 73</v>
      </c>
    </row>
    <row r="11553" customFormat="false" ht="12.8" hidden="false" customHeight="false" outlineLevel="0" collapsed="false">
      <c r="A11553" s="0" t="s">
        <v>12</v>
      </c>
      <c r="B11553" s="0" t="n">
        <v>3642495</v>
      </c>
      <c r="C11553" s="0" t="n">
        <v>3642515</v>
      </c>
      <c r="D11553" s="0" t="s">
        <v>38350</v>
      </c>
      <c r="E11553" s="0" t="s">
        <v>75</v>
      </c>
      <c r="F11553" s="0" t="s">
        <v>15</v>
      </c>
      <c r="G11553" s="0" t="s">
        <v>36</v>
      </c>
      <c r="H11553" s="0" t="n">
        <v>98</v>
      </c>
      <c r="I11553" s="0" t="s">
        <v>38360</v>
      </c>
      <c r="J11553" s="0" t="s">
        <v>38361</v>
      </c>
      <c r="K11553" s="0" t="s">
        <v>38362</v>
      </c>
      <c r="L11553" s="0" t="str">
        <f aca="false">HYPERLINK("https://www.ncbi.nlm.nih.gov/nuccore/CP000058.1?report=graph&amp;tracks=[key:gene_model_track,Options:GeneOnly]&amp;mk=3642414:3642433|offset_16|444444,3642439:3642458|offset_41|444444,3642471:3642490|offset_73|444444,3642496:3642515|offset_98|00cc00&amp;v=3642213:3642715&amp;c=444444", "offset 98")</f>
        <v>offset 98</v>
      </c>
    </row>
    <row r="11554" customFormat="false" ht="12.8" hidden="false" customHeight="false" outlineLevel="0" collapsed="false">
      <c r="A11554" s="0" t="s">
        <v>12</v>
      </c>
      <c r="B11554" s="0" t="n">
        <v>3643541</v>
      </c>
      <c r="C11554" s="0" t="n">
        <v>3643561</v>
      </c>
      <c r="D11554" s="0" t="s">
        <v>38363</v>
      </c>
      <c r="E11554" s="0" t="s">
        <v>75</v>
      </c>
      <c r="F11554" s="0" t="s">
        <v>15</v>
      </c>
      <c r="G11554" s="0" t="s">
        <v>36</v>
      </c>
      <c r="H11554" s="0" t="n">
        <v>17</v>
      </c>
      <c r="I11554" s="0" t="s">
        <v>38364</v>
      </c>
      <c r="J11554" s="0" t="s">
        <v>38365</v>
      </c>
      <c r="K11554" s="0" t="s">
        <v>38366</v>
      </c>
      <c r="L11554" s="0" t="str">
        <f aca="false">HYPERLINK("https://www.ncbi.nlm.nih.gov/nuccore/CP000058.1?report=graph&amp;tracks=[key:gene_model_track,Options:GeneOnly]&amp;mk=3643542:3643561|offset_17|00cc00,3643577:3643596|offset_52|444444,3643601:3643620|offset_76|444444,3643633:3643652|offset_108|444444&amp;v=3643341:3643852&amp;c=444444", "offset 17")</f>
        <v>offset 17</v>
      </c>
    </row>
    <row r="11555" customFormat="false" ht="12.8" hidden="false" customHeight="false" outlineLevel="0" collapsed="false">
      <c r="A11555" s="0" t="s">
        <v>12</v>
      </c>
      <c r="B11555" s="0" t="n">
        <v>3643576</v>
      </c>
      <c r="C11555" s="0" t="n">
        <v>3643596</v>
      </c>
      <c r="D11555" s="0" t="s">
        <v>38363</v>
      </c>
      <c r="E11555" s="0" t="s">
        <v>75</v>
      </c>
      <c r="F11555" s="0" t="s">
        <v>15</v>
      </c>
      <c r="G11555" s="0" t="s">
        <v>16</v>
      </c>
      <c r="H11555" s="0" t="n">
        <v>52</v>
      </c>
      <c r="I11555" s="0" t="s">
        <v>38367</v>
      </c>
      <c r="J11555" s="0" t="s">
        <v>38368</v>
      </c>
      <c r="K11555" s="0" t="s">
        <v>38369</v>
      </c>
      <c r="L11555" s="0" t="str">
        <f aca="false">HYPERLINK("https://www.ncbi.nlm.nih.gov/nuccore/CP000058.1?report=graph&amp;tracks=[key:gene_model_track,Options:GeneOnly]&amp;mk=3643542:3643561|offset_17|444444,3643577:3643596|offset_52|00cc00,3643601:3643620|offset_76|444444,3643633:3643652|offset_108|444444&amp;v=3643341:3643852&amp;c=444444", "offset 52")</f>
        <v>offset 52</v>
      </c>
    </row>
    <row r="11556" customFormat="false" ht="12.8" hidden="false" customHeight="false" outlineLevel="0" collapsed="false">
      <c r="A11556" s="0" t="s">
        <v>12</v>
      </c>
      <c r="B11556" s="0" t="n">
        <v>3643600</v>
      </c>
      <c r="C11556" s="0" t="n">
        <v>3643620</v>
      </c>
      <c r="D11556" s="0" t="s">
        <v>38363</v>
      </c>
      <c r="E11556" s="0" t="s">
        <v>75</v>
      </c>
      <c r="F11556" s="0" t="s">
        <v>15</v>
      </c>
      <c r="G11556" s="0" t="s">
        <v>20</v>
      </c>
      <c r="H11556" s="0" t="n">
        <v>76</v>
      </c>
      <c r="I11556" s="0" t="s">
        <v>38370</v>
      </c>
      <c r="J11556" s="0" t="s">
        <v>38371</v>
      </c>
      <c r="K11556" s="0" t="s">
        <v>38372</v>
      </c>
      <c r="L11556" s="0" t="str">
        <f aca="false">HYPERLINK("https://www.ncbi.nlm.nih.gov/nuccore/CP000058.1?report=graph&amp;tracks=[key:gene_model_track,Options:GeneOnly]&amp;mk=3643542:3643561|offset_17|444444,3643577:3643596|offset_52|444444,3643601:3643620|offset_76|00cc00,3643633:3643652|offset_108|444444&amp;v=3643341:3643852&amp;c=444444", "offset 76")</f>
        <v>offset 76</v>
      </c>
    </row>
    <row r="11557" customFormat="false" ht="12.8" hidden="false" customHeight="false" outlineLevel="0" collapsed="false">
      <c r="A11557" s="0" t="s">
        <v>12</v>
      </c>
      <c r="B11557" s="0" t="n">
        <v>3643632</v>
      </c>
      <c r="C11557" s="0" t="n">
        <v>3643652</v>
      </c>
      <c r="D11557" s="0" t="s">
        <v>38363</v>
      </c>
      <c r="E11557" s="0" t="s">
        <v>75</v>
      </c>
      <c r="F11557" s="0" t="s">
        <v>15</v>
      </c>
      <c r="G11557" s="0" t="s">
        <v>16</v>
      </c>
      <c r="H11557" s="0" t="n">
        <v>108</v>
      </c>
      <c r="I11557" s="0" t="s">
        <v>38373</v>
      </c>
      <c r="J11557" s="0" t="s">
        <v>38374</v>
      </c>
      <c r="K11557" s="0" t="s">
        <v>38375</v>
      </c>
      <c r="L11557" s="0" t="str">
        <f aca="false">HYPERLINK("https://www.ncbi.nlm.nih.gov/nuccore/CP000058.1?report=graph&amp;tracks=[key:gene_model_track,Options:GeneOnly]&amp;mk=3643542:3643561|offset_17|444444,3643577:3643596|offset_52|444444,3643601:3643620|offset_76|444444,3643633:3643652|offset_108|00cc00&amp;v=3643341:3643852&amp;c=444444", "offset 108")</f>
        <v>offset 108</v>
      </c>
    </row>
    <row r="11558" customFormat="false" ht="12.8" hidden="false" customHeight="false" outlineLevel="0" collapsed="false">
      <c r="A11558" s="0" t="s">
        <v>12</v>
      </c>
      <c r="B11558" s="0" t="n">
        <v>3645108</v>
      </c>
      <c r="C11558" s="0" t="n">
        <v>3645128</v>
      </c>
      <c r="D11558" s="0" t="s">
        <v>38376</v>
      </c>
      <c r="E11558" s="0" t="s">
        <v>75</v>
      </c>
      <c r="F11558" s="0" t="s">
        <v>15</v>
      </c>
      <c r="G11558" s="0" t="s">
        <v>16</v>
      </c>
      <c r="H11558" s="0" t="n">
        <v>12</v>
      </c>
      <c r="I11558" s="0" t="s">
        <v>38377</v>
      </c>
      <c r="J11558" s="0" t="s">
        <v>38378</v>
      </c>
      <c r="K11558" s="0" t="s">
        <v>38379</v>
      </c>
      <c r="L11558" s="0" t="str">
        <f aca="false">HYPERLINK("https://www.ncbi.nlm.nih.gov/nuccore/CP000058.1?report=graph&amp;tracks=[key:gene_model_track,Options:GeneOnly]&amp;mk=3645109:3645128|offset_12|00cc00,3645129:3645148|offset_32|444444,3645149:3645168|offset_52|444444,3645191:3645210|offset_94|444444&amp;v=3644908:3645410&amp;c=444444", "offset 12")</f>
        <v>offset 12</v>
      </c>
    </row>
    <row r="11559" customFormat="false" ht="12.8" hidden="false" customHeight="false" outlineLevel="0" collapsed="false">
      <c r="A11559" s="0" t="s">
        <v>12</v>
      </c>
      <c r="B11559" s="0" t="n">
        <v>3645128</v>
      </c>
      <c r="C11559" s="0" t="n">
        <v>3645148</v>
      </c>
      <c r="D11559" s="0" t="s">
        <v>38376</v>
      </c>
      <c r="E11559" s="0" t="s">
        <v>75</v>
      </c>
      <c r="F11559" s="0" t="s">
        <v>15</v>
      </c>
      <c r="G11559" s="0" t="s">
        <v>36</v>
      </c>
      <c r="H11559" s="0" t="n">
        <v>32</v>
      </c>
      <c r="I11559" s="0" t="s">
        <v>38380</v>
      </c>
      <c r="J11559" s="0" t="s">
        <v>38381</v>
      </c>
      <c r="K11559" s="0" t="s">
        <v>38382</v>
      </c>
      <c r="L11559" s="0" t="str">
        <f aca="false">HYPERLINK("https://www.ncbi.nlm.nih.gov/nuccore/CP000058.1?report=graph&amp;tracks=[key:gene_model_track,Options:GeneOnly]&amp;mk=3645109:3645128|offset_12|444444,3645129:3645148|offset_32|00cc00,3645149:3645168|offset_52|444444,3645191:3645210|offset_94|444444&amp;v=3644908:3645410&amp;c=444444", "offset 32")</f>
        <v>offset 32</v>
      </c>
    </row>
    <row r="11560" customFormat="false" ht="12.8" hidden="false" customHeight="false" outlineLevel="0" collapsed="false">
      <c r="A11560" s="0" t="s">
        <v>12</v>
      </c>
      <c r="B11560" s="0" t="n">
        <v>3645148</v>
      </c>
      <c r="C11560" s="0" t="n">
        <v>3645168</v>
      </c>
      <c r="D11560" s="0" t="s">
        <v>38376</v>
      </c>
      <c r="E11560" s="0" t="s">
        <v>75</v>
      </c>
      <c r="F11560" s="0" t="s">
        <v>15</v>
      </c>
      <c r="G11560" s="0" t="s">
        <v>20</v>
      </c>
      <c r="H11560" s="0" t="n">
        <v>52</v>
      </c>
      <c r="I11560" s="0" t="s">
        <v>38383</v>
      </c>
      <c r="J11560" s="0" t="s">
        <v>38384</v>
      </c>
      <c r="K11560" s="0" t="s">
        <v>38385</v>
      </c>
      <c r="L11560" s="0" t="str">
        <f aca="false">HYPERLINK("https://www.ncbi.nlm.nih.gov/nuccore/CP000058.1?report=graph&amp;tracks=[key:gene_model_track,Options:GeneOnly]&amp;mk=3645109:3645128|offset_12|444444,3645129:3645148|offset_32|444444,3645149:3645168|offset_52|00cc00,3645191:3645210|offset_94|444444&amp;v=3644908:3645410&amp;c=444444", "offset 52")</f>
        <v>offset 52</v>
      </c>
    </row>
    <row r="11561" customFormat="false" ht="12.8" hidden="false" customHeight="false" outlineLevel="0" collapsed="false">
      <c r="A11561" s="0" t="s">
        <v>12</v>
      </c>
      <c r="B11561" s="0" t="n">
        <v>3645190</v>
      </c>
      <c r="C11561" s="0" t="n">
        <v>3645210</v>
      </c>
      <c r="D11561" s="0" t="s">
        <v>38376</v>
      </c>
      <c r="E11561" s="0" t="s">
        <v>75</v>
      </c>
      <c r="F11561" s="0" t="s">
        <v>15</v>
      </c>
      <c r="G11561" s="0" t="s">
        <v>16</v>
      </c>
      <c r="H11561" s="0" t="n">
        <v>94</v>
      </c>
      <c r="I11561" s="0" t="s">
        <v>38386</v>
      </c>
      <c r="J11561" s="0" t="s">
        <v>38387</v>
      </c>
      <c r="K11561" s="0" t="s">
        <v>38388</v>
      </c>
      <c r="L11561" s="0" t="str">
        <f aca="false">HYPERLINK("https://www.ncbi.nlm.nih.gov/nuccore/CP000058.1?report=graph&amp;tracks=[key:gene_model_track,Options:GeneOnly]&amp;mk=3645109:3645128|offset_12|444444,3645129:3645148|offset_32|444444,3645149:3645168|offset_52|444444,3645191:3645210|offset_94|00cc00&amp;v=3644908:3645410&amp;c=444444", "offset 94")</f>
        <v>offset 94</v>
      </c>
    </row>
    <row r="11562" customFormat="false" ht="12.8" hidden="false" customHeight="false" outlineLevel="0" collapsed="false">
      <c r="A11562" s="0" t="s">
        <v>12</v>
      </c>
      <c r="B11562" s="0" t="n">
        <v>3646035</v>
      </c>
      <c r="C11562" s="0" t="n">
        <v>3646055</v>
      </c>
      <c r="D11562" s="0" t="s">
        <v>38389</v>
      </c>
      <c r="E11562" s="0" t="s">
        <v>75</v>
      </c>
      <c r="F11562" s="0" t="s">
        <v>15</v>
      </c>
      <c r="G11562" s="0" t="s">
        <v>36</v>
      </c>
      <c r="H11562" s="0" t="n">
        <v>50</v>
      </c>
      <c r="I11562" s="0" t="s">
        <v>38390</v>
      </c>
      <c r="J11562" s="0" t="s">
        <v>38391</v>
      </c>
      <c r="K11562" s="0" t="s">
        <v>38392</v>
      </c>
      <c r="L11562" s="0" t="str">
        <f aca="false">HYPERLINK("https://www.ncbi.nlm.nih.gov/nuccore/CP000058.1?report=graph&amp;tracks=[key:gene_model_track,Options:GeneOnly]&amp;mk=3646036:3646055|offset_50|00cc00,3646066:3646085|offset_80|444444,3646107:3646126|offset_121|444444,3646132:3646151|offset_146|444444&amp;v=3645835:3646351&amp;c=444444", "offset 50")</f>
        <v>offset 50</v>
      </c>
    </row>
    <row r="11563" customFormat="false" ht="12.8" hidden="false" customHeight="false" outlineLevel="0" collapsed="false">
      <c r="A11563" s="0" t="s">
        <v>12</v>
      </c>
      <c r="B11563" s="0" t="n">
        <v>3646065</v>
      </c>
      <c r="C11563" s="0" t="n">
        <v>3646085</v>
      </c>
      <c r="D11563" s="0" t="s">
        <v>38389</v>
      </c>
      <c r="E11563" s="0" t="s">
        <v>75</v>
      </c>
      <c r="F11563" s="0" t="s">
        <v>15</v>
      </c>
      <c r="G11563" s="0" t="s">
        <v>20</v>
      </c>
      <c r="H11563" s="0" t="n">
        <v>80</v>
      </c>
      <c r="I11563" s="0" t="s">
        <v>38393</v>
      </c>
      <c r="J11563" s="0" t="s">
        <v>38394</v>
      </c>
      <c r="K11563" s="0" t="s">
        <v>38395</v>
      </c>
      <c r="L11563" s="0" t="str">
        <f aca="false">HYPERLINK("https://www.ncbi.nlm.nih.gov/nuccore/CP000058.1?report=graph&amp;tracks=[key:gene_model_track,Options:GeneOnly]&amp;mk=3646036:3646055|offset_50|444444,3646066:3646085|offset_80|00cc00,3646107:3646126|offset_121|444444,3646132:3646151|offset_146|444444&amp;v=3645835:3646351&amp;c=444444", "offset 80")</f>
        <v>offset 80</v>
      </c>
    </row>
    <row r="11564" customFormat="false" ht="12.8" hidden="false" customHeight="false" outlineLevel="0" collapsed="false">
      <c r="A11564" s="0" t="s">
        <v>12</v>
      </c>
      <c r="B11564" s="0" t="n">
        <v>3646106</v>
      </c>
      <c r="C11564" s="0" t="n">
        <v>3646126</v>
      </c>
      <c r="D11564" s="0" t="s">
        <v>38389</v>
      </c>
      <c r="E11564" s="0" t="s">
        <v>75</v>
      </c>
      <c r="F11564" s="0" t="s">
        <v>15</v>
      </c>
      <c r="G11564" s="0" t="s">
        <v>16</v>
      </c>
      <c r="H11564" s="0" t="n">
        <v>121</v>
      </c>
      <c r="I11564" s="0" t="s">
        <v>38396</v>
      </c>
      <c r="J11564" s="0" t="s">
        <v>38397</v>
      </c>
      <c r="K11564" s="0" t="s">
        <v>38398</v>
      </c>
      <c r="L11564" s="0" t="str">
        <f aca="false">HYPERLINK("https://www.ncbi.nlm.nih.gov/nuccore/CP000058.1?report=graph&amp;tracks=[key:gene_model_track,Options:GeneOnly]&amp;mk=3646036:3646055|offset_50|444444,3646066:3646085|offset_80|444444,3646107:3646126|offset_121|00cc00,3646132:3646151|offset_146|444444&amp;v=3645835:3646351&amp;c=444444", "offset 121")</f>
        <v>offset 121</v>
      </c>
    </row>
    <row r="11565" customFormat="false" ht="12.8" hidden="false" customHeight="false" outlineLevel="0" collapsed="false">
      <c r="A11565" s="0" t="s">
        <v>12</v>
      </c>
      <c r="B11565" s="0" t="n">
        <v>3646131</v>
      </c>
      <c r="C11565" s="0" t="n">
        <v>3646151</v>
      </c>
      <c r="D11565" s="0" t="s">
        <v>38389</v>
      </c>
      <c r="E11565" s="0" t="s">
        <v>75</v>
      </c>
      <c r="F11565" s="0" t="s">
        <v>15</v>
      </c>
      <c r="G11565" s="0" t="s">
        <v>36</v>
      </c>
      <c r="H11565" s="0" t="n">
        <v>146</v>
      </c>
      <c r="I11565" s="0" t="s">
        <v>38399</v>
      </c>
      <c r="J11565" s="0" t="s">
        <v>38400</v>
      </c>
      <c r="K11565" s="0" t="s">
        <v>38401</v>
      </c>
      <c r="L11565" s="0" t="str">
        <f aca="false">HYPERLINK("https://www.ncbi.nlm.nih.gov/nuccore/CP000058.1?report=graph&amp;tracks=[key:gene_model_track,Options:GeneOnly]&amp;mk=3646036:3646055|offset_50|444444,3646066:3646085|offset_80|444444,3646107:3646126|offset_121|444444,3646132:3646151|offset_146|00cc00&amp;v=3645835:3646351&amp;c=444444", "offset 146")</f>
        <v>offset 146</v>
      </c>
    </row>
    <row r="11566" customFormat="false" ht="12.8" hidden="false" customHeight="false" outlineLevel="0" collapsed="false">
      <c r="A11566" s="0" t="s">
        <v>12</v>
      </c>
      <c r="B11566" s="0" t="n">
        <v>3646445</v>
      </c>
      <c r="C11566" s="0" t="n">
        <v>3646465</v>
      </c>
      <c r="D11566" s="0" t="s">
        <v>38402</v>
      </c>
      <c r="E11566" s="0" t="s">
        <v>75</v>
      </c>
      <c r="F11566" s="0" t="s">
        <v>15</v>
      </c>
      <c r="G11566" s="0" t="s">
        <v>16</v>
      </c>
      <c r="H11566" s="0" t="n">
        <v>7</v>
      </c>
      <c r="I11566" s="0" t="s">
        <v>38403</v>
      </c>
      <c r="J11566" s="0" t="s">
        <v>38404</v>
      </c>
      <c r="K11566" s="0" t="s">
        <v>38405</v>
      </c>
      <c r="L11566" s="0" t="str">
        <f aca="false">HYPERLINK("https://www.ncbi.nlm.nih.gov/nuccore/CP000058.1?report=graph&amp;tracks=[key:gene_model_track,Options:GeneOnly]&amp;mk=3646446:3646465|offset_7|00cc00,3646474:3646493|offset_35|444444,3646507:3646526|offset_68|444444,3646540:3646559|offset_101|444444&amp;v=3646245:3646759&amp;c=444444", "offset 7")</f>
        <v>offset 7</v>
      </c>
    </row>
    <row r="11567" customFormat="false" ht="12.8" hidden="false" customHeight="false" outlineLevel="0" collapsed="false">
      <c r="A11567" s="0" t="s">
        <v>12</v>
      </c>
      <c r="B11567" s="0" t="n">
        <v>3646473</v>
      </c>
      <c r="C11567" s="0" t="n">
        <v>3646493</v>
      </c>
      <c r="D11567" s="0" t="s">
        <v>38402</v>
      </c>
      <c r="E11567" s="0" t="s">
        <v>75</v>
      </c>
      <c r="F11567" s="0" t="s">
        <v>15</v>
      </c>
      <c r="G11567" s="0" t="s">
        <v>32</v>
      </c>
      <c r="H11567" s="0" t="n">
        <v>35</v>
      </c>
      <c r="I11567" s="0" t="s">
        <v>38406</v>
      </c>
      <c r="J11567" s="0" t="s">
        <v>38407</v>
      </c>
      <c r="K11567" s="0" t="s">
        <v>38408</v>
      </c>
      <c r="L11567" s="0" t="str">
        <f aca="false">HYPERLINK("https://www.ncbi.nlm.nih.gov/nuccore/CP000058.1?report=graph&amp;tracks=[key:gene_model_track,Options:GeneOnly]&amp;mk=3646446:3646465|offset_7|444444,3646474:3646493|offset_35|00cc00,3646507:3646526|offset_68|444444,3646540:3646559|offset_101|444444&amp;v=3646245:3646759&amp;c=444444", "offset 35")</f>
        <v>offset 35</v>
      </c>
    </row>
    <row r="11568" customFormat="false" ht="12.8" hidden="false" customHeight="false" outlineLevel="0" collapsed="false">
      <c r="A11568" s="0" t="s">
        <v>12</v>
      </c>
      <c r="B11568" s="0" t="n">
        <v>3646506</v>
      </c>
      <c r="C11568" s="0" t="n">
        <v>3646526</v>
      </c>
      <c r="D11568" s="0" t="s">
        <v>38402</v>
      </c>
      <c r="E11568" s="0" t="s">
        <v>75</v>
      </c>
      <c r="F11568" s="0" t="s">
        <v>15</v>
      </c>
      <c r="G11568" s="0" t="s">
        <v>20</v>
      </c>
      <c r="H11568" s="0" t="n">
        <v>68</v>
      </c>
      <c r="I11568" s="0" t="s">
        <v>38409</v>
      </c>
      <c r="J11568" s="0" t="s">
        <v>38410</v>
      </c>
      <c r="K11568" s="0" t="s">
        <v>38411</v>
      </c>
      <c r="L11568" s="0" t="str">
        <f aca="false">HYPERLINK("https://www.ncbi.nlm.nih.gov/nuccore/CP000058.1?report=graph&amp;tracks=[key:gene_model_track,Options:GeneOnly]&amp;mk=3646446:3646465|offset_7|444444,3646474:3646493|offset_35|444444,3646507:3646526|offset_68|00cc00,3646540:3646559|offset_101|444444&amp;v=3646245:3646759&amp;c=444444", "offset 68")</f>
        <v>offset 68</v>
      </c>
    </row>
    <row r="11569" customFormat="false" ht="12.8" hidden="false" customHeight="false" outlineLevel="0" collapsed="false">
      <c r="A11569" s="0" t="s">
        <v>12</v>
      </c>
      <c r="B11569" s="0" t="n">
        <v>3646539</v>
      </c>
      <c r="C11569" s="0" t="n">
        <v>3646559</v>
      </c>
      <c r="D11569" s="0" t="s">
        <v>38402</v>
      </c>
      <c r="E11569" s="0" t="s">
        <v>75</v>
      </c>
      <c r="F11569" s="0" t="s">
        <v>15</v>
      </c>
      <c r="G11569" s="0" t="s">
        <v>20</v>
      </c>
      <c r="H11569" s="0" t="n">
        <v>101</v>
      </c>
      <c r="I11569" s="0" t="s">
        <v>38412</v>
      </c>
      <c r="J11569" s="0" t="s">
        <v>38413</v>
      </c>
      <c r="K11569" s="0" t="s">
        <v>38414</v>
      </c>
      <c r="L11569" s="0" t="str">
        <f aca="false">HYPERLINK("https://www.ncbi.nlm.nih.gov/nuccore/CP000058.1?report=graph&amp;tracks=[key:gene_model_track,Options:GeneOnly]&amp;mk=3646446:3646465|offset_7|444444,3646474:3646493|offset_35|444444,3646507:3646526|offset_68|444444,3646540:3646559|offset_101|00cc00&amp;v=3646245:3646759&amp;c=444444", "offset 101")</f>
        <v>offset 101</v>
      </c>
    </row>
    <row r="11570" customFormat="false" ht="12.8" hidden="false" customHeight="false" outlineLevel="0" collapsed="false">
      <c r="A11570" s="0" t="s">
        <v>12</v>
      </c>
      <c r="B11570" s="0" t="n">
        <v>3648706</v>
      </c>
      <c r="C11570" s="0" t="n">
        <v>3648726</v>
      </c>
      <c r="D11570" s="0" t="s">
        <v>38415</v>
      </c>
      <c r="E11570" s="0" t="s">
        <v>38416</v>
      </c>
      <c r="F11570" s="0" t="s">
        <v>15</v>
      </c>
      <c r="G11570" s="0" t="s">
        <v>36</v>
      </c>
      <c r="H11570" s="0" t="n">
        <v>7</v>
      </c>
      <c r="I11570" s="0" t="s">
        <v>38417</v>
      </c>
      <c r="J11570" s="0" t="s">
        <v>38418</v>
      </c>
      <c r="K11570" s="0" t="s">
        <v>38419</v>
      </c>
      <c r="L11570" s="0" t="str">
        <f aca="false">HYPERLINK("https://www.ncbi.nlm.nih.gov/nuccore/CP000058.1?report=graph&amp;tracks=[key:gene_model_track,Options:GeneOnly]&amp;mk=3648707:3648726|offset_7|00cc00,3648741:3648760|offset_41|444444,3648770:3648789|offset_70|444444,3648798:3648817|offset_98|444444&amp;v=3648506:3649017&amp;c=444444", "offset 7")</f>
        <v>offset 7</v>
      </c>
    </row>
    <row r="11571" customFormat="false" ht="12.8" hidden="false" customHeight="false" outlineLevel="0" collapsed="false">
      <c r="A11571" s="0" t="s">
        <v>12</v>
      </c>
      <c r="B11571" s="0" t="n">
        <v>3648740</v>
      </c>
      <c r="C11571" s="0" t="n">
        <v>3648760</v>
      </c>
      <c r="D11571" s="0" t="s">
        <v>38415</v>
      </c>
      <c r="E11571" s="0" t="s">
        <v>38416</v>
      </c>
      <c r="F11571" s="0" t="s">
        <v>15</v>
      </c>
      <c r="G11571" s="0" t="s">
        <v>32</v>
      </c>
      <c r="H11571" s="0" t="n">
        <v>41</v>
      </c>
      <c r="I11571" s="0" t="s">
        <v>38420</v>
      </c>
      <c r="J11571" s="0" t="s">
        <v>38421</v>
      </c>
      <c r="K11571" s="0" t="s">
        <v>38422</v>
      </c>
      <c r="L11571" s="0" t="str">
        <f aca="false">HYPERLINK("https://www.ncbi.nlm.nih.gov/nuccore/CP000058.1?report=graph&amp;tracks=[key:gene_model_track,Options:GeneOnly]&amp;mk=3648707:3648726|offset_7|444444,3648741:3648760|offset_41|00cc00,3648770:3648789|offset_70|444444,3648798:3648817|offset_98|444444&amp;v=3648506:3649017&amp;c=444444", "offset 41")</f>
        <v>offset 41</v>
      </c>
    </row>
    <row r="11572" customFormat="false" ht="12.8" hidden="false" customHeight="false" outlineLevel="0" collapsed="false">
      <c r="A11572" s="0" t="s">
        <v>12</v>
      </c>
      <c r="B11572" s="0" t="n">
        <v>3648769</v>
      </c>
      <c r="C11572" s="0" t="n">
        <v>3648789</v>
      </c>
      <c r="D11572" s="0" t="s">
        <v>38415</v>
      </c>
      <c r="E11572" s="0" t="s">
        <v>38416</v>
      </c>
      <c r="F11572" s="0" t="s">
        <v>15</v>
      </c>
      <c r="G11572" s="0" t="s">
        <v>16</v>
      </c>
      <c r="H11572" s="0" t="n">
        <v>70</v>
      </c>
      <c r="I11572" s="0" t="s">
        <v>38423</v>
      </c>
      <c r="J11572" s="0" t="s">
        <v>38424</v>
      </c>
      <c r="K11572" s="0" t="s">
        <v>38425</v>
      </c>
      <c r="L11572" s="0" t="str">
        <f aca="false">HYPERLINK("https://www.ncbi.nlm.nih.gov/nuccore/CP000058.1?report=graph&amp;tracks=[key:gene_model_track,Options:GeneOnly]&amp;mk=3648707:3648726|offset_7|444444,3648741:3648760|offset_41|444444,3648770:3648789|offset_70|00cc00,3648798:3648817|offset_98|444444&amp;v=3648506:3649017&amp;c=444444", "offset 70")</f>
        <v>offset 70</v>
      </c>
    </row>
    <row r="11573" customFormat="false" ht="12.8" hidden="false" customHeight="false" outlineLevel="0" collapsed="false">
      <c r="A11573" s="0" t="s">
        <v>12</v>
      </c>
      <c r="B11573" s="0" t="n">
        <v>3648797</v>
      </c>
      <c r="C11573" s="0" t="n">
        <v>3648817</v>
      </c>
      <c r="D11573" s="0" t="s">
        <v>38415</v>
      </c>
      <c r="E11573" s="0" t="s">
        <v>38416</v>
      </c>
      <c r="F11573" s="0" t="s">
        <v>15</v>
      </c>
      <c r="G11573" s="0" t="s">
        <v>32</v>
      </c>
      <c r="H11573" s="0" t="n">
        <v>98</v>
      </c>
      <c r="I11573" s="0" t="s">
        <v>38426</v>
      </c>
      <c r="J11573" s="0" t="s">
        <v>38427</v>
      </c>
      <c r="K11573" s="0" t="s">
        <v>38428</v>
      </c>
      <c r="L11573" s="0" t="str">
        <f aca="false">HYPERLINK("https://www.ncbi.nlm.nih.gov/nuccore/CP000058.1?report=graph&amp;tracks=[key:gene_model_track,Options:GeneOnly]&amp;mk=3648707:3648726|offset_7|444444,3648741:3648760|offset_41|444444,3648770:3648789|offset_70|444444,3648798:3648817|offset_98|00cc00&amp;v=3648506:3649017&amp;c=444444", "offset 98")</f>
        <v>offset 98</v>
      </c>
    </row>
    <row r="11574" customFormat="false" ht="12.8" hidden="false" customHeight="false" outlineLevel="0" collapsed="false">
      <c r="A11574" s="0" t="s">
        <v>12</v>
      </c>
      <c r="B11574" s="0" t="n">
        <v>3649272</v>
      </c>
      <c r="C11574" s="0" t="n">
        <v>3649292</v>
      </c>
      <c r="D11574" s="0" t="s">
        <v>38429</v>
      </c>
      <c r="E11574" s="0" t="s">
        <v>75</v>
      </c>
      <c r="F11574" s="0" t="s">
        <v>15</v>
      </c>
      <c r="G11574" s="0" t="s">
        <v>20</v>
      </c>
      <c r="H11574" s="0" t="n">
        <v>14</v>
      </c>
      <c r="I11574" s="0" t="s">
        <v>38430</v>
      </c>
      <c r="J11574" s="0" t="s">
        <v>38431</v>
      </c>
      <c r="K11574" s="0" t="s">
        <v>38432</v>
      </c>
      <c r="L11574" s="0" t="str">
        <f aca="false">HYPERLINK("https://www.ncbi.nlm.nih.gov/nuccore/CP000058.1?report=graph&amp;tracks=[key:gene_model_track,Options:GeneOnly]&amp;mk=3649273:3649292|offset_14|00cc00,3649294:3649313|offset_35|444444,3649314:3649333|offset_55|444444,3649342:3649361|offset_83|444444&amp;v=3649072:3649561&amp;c=444444", "offset 14")</f>
        <v>offset 14</v>
      </c>
    </row>
    <row r="11575" customFormat="false" ht="12.8" hidden="false" customHeight="false" outlineLevel="0" collapsed="false">
      <c r="A11575" s="0" t="s">
        <v>12</v>
      </c>
      <c r="B11575" s="0" t="n">
        <v>3649293</v>
      </c>
      <c r="C11575" s="0" t="n">
        <v>3649313</v>
      </c>
      <c r="D11575" s="0" t="s">
        <v>38429</v>
      </c>
      <c r="E11575" s="0" t="s">
        <v>75</v>
      </c>
      <c r="F11575" s="0" t="s">
        <v>15</v>
      </c>
      <c r="G11575" s="0" t="s">
        <v>32</v>
      </c>
      <c r="H11575" s="0" t="n">
        <v>35</v>
      </c>
      <c r="I11575" s="0" t="s">
        <v>38433</v>
      </c>
      <c r="J11575" s="0" t="s">
        <v>38434</v>
      </c>
      <c r="K11575" s="0" t="s">
        <v>38435</v>
      </c>
      <c r="L11575" s="0" t="str">
        <f aca="false">HYPERLINK("https://www.ncbi.nlm.nih.gov/nuccore/CP000058.1?report=graph&amp;tracks=[key:gene_model_track,Options:GeneOnly]&amp;mk=3649273:3649292|offset_14|444444,3649294:3649313|offset_35|00cc00,3649314:3649333|offset_55|444444,3649342:3649361|offset_83|444444&amp;v=3649072:3649561&amp;c=444444", "offset 35")</f>
        <v>offset 35</v>
      </c>
    </row>
    <row r="11576" customFormat="false" ht="12.8" hidden="false" customHeight="false" outlineLevel="0" collapsed="false">
      <c r="A11576" s="0" t="s">
        <v>12</v>
      </c>
      <c r="B11576" s="0" t="n">
        <v>3649313</v>
      </c>
      <c r="C11576" s="0" t="n">
        <v>3649333</v>
      </c>
      <c r="D11576" s="0" t="s">
        <v>38429</v>
      </c>
      <c r="E11576" s="0" t="s">
        <v>75</v>
      </c>
      <c r="F11576" s="0" t="s">
        <v>15</v>
      </c>
      <c r="G11576" s="0" t="s">
        <v>32</v>
      </c>
      <c r="H11576" s="0" t="n">
        <v>55</v>
      </c>
      <c r="I11576" s="0" t="s">
        <v>38436</v>
      </c>
      <c r="J11576" s="0" t="s">
        <v>38437</v>
      </c>
      <c r="K11576" s="0" t="s">
        <v>38438</v>
      </c>
      <c r="L11576" s="0" t="str">
        <f aca="false">HYPERLINK("https://www.ncbi.nlm.nih.gov/nuccore/CP000058.1?report=graph&amp;tracks=[key:gene_model_track,Options:GeneOnly]&amp;mk=3649273:3649292|offset_14|444444,3649294:3649313|offset_35|444444,3649314:3649333|offset_55|00cc00,3649342:3649361|offset_83|444444&amp;v=3649072:3649561&amp;c=444444", "offset 55")</f>
        <v>offset 55</v>
      </c>
    </row>
    <row r="11577" customFormat="false" ht="12.8" hidden="false" customHeight="false" outlineLevel="0" collapsed="false">
      <c r="A11577" s="0" t="s">
        <v>12</v>
      </c>
      <c r="B11577" s="0" t="n">
        <v>3649341</v>
      </c>
      <c r="C11577" s="0" t="n">
        <v>3649361</v>
      </c>
      <c r="D11577" s="0" t="s">
        <v>38429</v>
      </c>
      <c r="E11577" s="0" t="s">
        <v>75</v>
      </c>
      <c r="F11577" s="0" t="s">
        <v>15</v>
      </c>
      <c r="G11577" s="0" t="s">
        <v>16</v>
      </c>
      <c r="H11577" s="0" t="n">
        <v>83</v>
      </c>
      <c r="I11577" s="0" t="s">
        <v>38439</v>
      </c>
      <c r="J11577" s="0" t="s">
        <v>38440</v>
      </c>
      <c r="K11577" s="0" t="s">
        <v>38441</v>
      </c>
      <c r="L11577" s="0" t="str">
        <f aca="false">HYPERLINK("https://www.ncbi.nlm.nih.gov/nuccore/CP000058.1?report=graph&amp;tracks=[key:gene_model_track,Options:GeneOnly]&amp;mk=3649273:3649292|offset_14|444444,3649294:3649313|offset_35|444444,3649314:3649333|offset_55|444444,3649342:3649361|offset_83|00cc00&amp;v=3649072:3649561&amp;c=444444", "offset 83")</f>
        <v>offset 83</v>
      </c>
    </row>
    <row r="11578" customFormat="false" ht="12.8" hidden="false" customHeight="false" outlineLevel="0" collapsed="false">
      <c r="A11578" s="0" t="s">
        <v>12</v>
      </c>
      <c r="B11578" s="0" t="n">
        <v>3650321</v>
      </c>
      <c r="C11578" s="0" t="n">
        <v>3650341</v>
      </c>
      <c r="D11578" s="0" t="s">
        <v>38442</v>
      </c>
      <c r="E11578" s="0" t="s">
        <v>75</v>
      </c>
      <c r="F11578" s="0" t="s">
        <v>15</v>
      </c>
      <c r="G11578" s="0" t="s">
        <v>20</v>
      </c>
      <c r="H11578" s="0" t="n">
        <v>26</v>
      </c>
      <c r="I11578" s="0" t="s">
        <v>38443</v>
      </c>
      <c r="J11578" s="0" t="s">
        <v>38444</v>
      </c>
      <c r="K11578" s="0" t="s">
        <v>38445</v>
      </c>
      <c r="L11578" s="0" t="str">
        <f aca="false">HYPERLINK("https://www.ncbi.nlm.nih.gov/nuccore/CP000058.1?report=graph&amp;tracks=[key:gene_model_track,Options:GeneOnly]&amp;mk=3650322:3650341|offset_26|00cc00,3650408:3650427|offset_112|444444,3650431:3650450|offset_135|444444,3650481:3650500|offset_185|444444&amp;v=3650121:3650700&amp;c=444444", "offset 26")</f>
        <v>offset 26</v>
      </c>
    </row>
    <row r="11579" customFormat="false" ht="12.8" hidden="false" customHeight="false" outlineLevel="0" collapsed="false">
      <c r="A11579" s="0" t="s">
        <v>12</v>
      </c>
      <c r="B11579" s="0" t="n">
        <v>3650407</v>
      </c>
      <c r="C11579" s="0" t="n">
        <v>3650427</v>
      </c>
      <c r="D11579" s="0" t="s">
        <v>38442</v>
      </c>
      <c r="E11579" s="0" t="s">
        <v>75</v>
      </c>
      <c r="F11579" s="0" t="s">
        <v>15</v>
      </c>
      <c r="G11579" s="0" t="s">
        <v>16</v>
      </c>
      <c r="H11579" s="0" t="n">
        <v>112</v>
      </c>
      <c r="I11579" s="0" t="s">
        <v>38446</v>
      </c>
      <c r="J11579" s="0" t="s">
        <v>38447</v>
      </c>
      <c r="K11579" s="0" t="s">
        <v>38448</v>
      </c>
      <c r="L11579" s="0" t="str">
        <f aca="false">HYPERLINK("https://www.ncbi.nlm.nih.gov/nuccore/CP000058.1?report=graph&amp;tracks=[key:gene_model_track,Options:GeneOnly]&amp;mk=3650322:3650341|offset_26|444444,3650408:3650427|offset_112|00cc00,3650431:3650450|offset_135|444444,3650481:3650500|offset_185|444444&amp;v=3650121:3650700&amp;c=444444", "offset 112")</f>
        <v>offset 112</v>
      </c>
    </row>
    <row r="11580" customFormat="false" ht="12.8" hidden="false" customHeight="false" outlineLevel="0" collapsed="false">
      <c r="A11580" s="0" t="s">
        <v>12</v>
      </c>
      <c r="B11580" s="0" t="n">
        <v>3650430</v>
      </c>
      <c r="C11580" s="0" t="n">
        <v>3650450</v>
      </c>
      <c r="D11580" s="0" t="s">
        <v>38442</v>
      </c>
      <c r="E11580" s="0" t="s">
        <v>75</v>
      </c>
      <c r="F11580" s="0" t="s">
        <v>15</v>
      </c>
      <c r="G11580" s="0" t="s">
        <v>36</v>
      </c>
      <c r="H11580" s="0" t="n">
        <v>135</v>
      </c>
      <c r="I11580" s="0" t="s">
        <v>38449</v>
      </c>
      <c r="J11580" s="0" t="s">
        <v>38450</v>
      </c>
      <c r="K11580" s="0" t="s">
        <v>38451</v>
      </c>
      <c r="L11580" s="0" t="str">
        <f aca="false">HYPERLINK("https://www.ncbi.nlm.nih.gov/nuccore/CP000058.1?report=graph&amp;tracks=[key:gene_model_track,Options:GeneOnly]&amp;mk=3650322:3650341|offset_26|444444,3650408:3650427|offset_112|444444,3650431:3650450|offset_135|00cc00,3650481:3650500|offset_185|444444&amp;v=3650121:3650700&amp;c=444444", "offset 135")</f>
        <v>offset 135</v>
      </c>
    </row>
    <row r="11581" customFormat="false" ht="12.8" hidden="false" customHeight="false" outlineLevel="0" collapsed="false">
      <c r="A11581" s="0" t="s">
        <v>12</v>
      </c>
      <c r="B11581" s="0" t="n">
        <v>3650480</v>
      </c>
      <c r="C11581" s="0" t="n">
        <v>3650500</v>
      </c>
      <c r="D11581" s="0" t="s">
        <v>38442</v>
      </c>
      <c r="E11581" s="0" t="s">
        <v>75</v>
      </c>
      <c r="F11581" s="0" t="s">
        <v>15</v>
      </c>
      <c r="G11581" s="0" t="s">
        <v>20</v>
      </c>
      <c r="H11581" s="0" t="n">
        <v>185</v>
      </c>
      <c r="I11581" s="0" t="s">
        <v>38452</v>
      </c>
      <c r="J11581" s="0" t="s">
        <v>38453</v>
      </c>
      <c r="K11581" s="0" t="s">
        <v>38454</v>
      </c>
      <c r="L11581" s="0" t="str">
        <f aca="false">HYPERLINK("https://www.ncbi.nlm.nih.gov/nuccore/CP000058.1?report=graph&amp;tracks=[key:gene_model_track,Options:GeneOnly]&amp;mk=3650322:3650341|offset_26|444444,3650408:3650427|offset_112|444444,3650431:3650450|offset_135|444444,3650481:3650500|offset_185|00cc00&amp;v=3650121:3650700&amp;c=444444", "offset 185")</f>
        <v>offset 185</v>
      </c>
    </row>
    <row r="11582" customFormat="false" ht="12.8" hidden="false" customHeight="false" outlineLevel="0" collapsed="false">
      <c r="A11582" s="0" t="s">
        <v>12</v>
      </c>
      <c r="B11582" s="0" t="n">
        <v>3651622</v>
      </c>
      <c r="C11582" s="0" t="n">
        <v>3651642</v>
      </c>
      <c r="D11582" s="0" t="s">
        <v>38455</v>
      </c>
      <c r="E11582" s="0" t="s">
        <v>75</v>
      </c>
      <c r="F11582" s="0" t="s">
        <v>15</v>
      </c>
      <c r="G11582" s="0" t="s">
        <v>20</v>
      </c>
      <c r="H11582" s="0" t="n">
        <v>26</v>
      </c>
      <c r="I11582" s="0" t="s">
        <v>38456</v>
      </c>
      <c r="J11582" s="0" t="s">
        <v>38457</v>
      </c>
      <c r="K11582" s="0" t="s">
        <v>38458</v>
      </c>
      <c r="L11582" s="0" t="str">
        <f aca="false">HYPERLINK("https://www.ncbi.nlm.nih.gov/nuccore/CP000058.1?report=graph&amp;tracks=[key:gene_model_track,Options:GeneOnly]&amp;mk=3651623:3651642|offset_26|00cc00,3651676:3651695|offset_79|444444,3651714:3651733|offset_117|444444,3651742:3651761|offset_145|444444&amp;v=3651422:3651961&amp;c=444444", "offset 26")</f>
        <v>offset 26</v>
      </c>
    </row>
    <row r="11583" customFormat="false" ht="12.8" hidden="false" customHeight="false" outlineLevel="0" collapsed="false">
      <c r="A11583" s="0" t="s">
        <v>12</v>
      </c>
      <c r="B11583" s="0" t="n">
        <v>3651675</v>
      </c>
      <c r="C11583" s="0" t="n">
        <v>3651695</v>
      </c>
      <c r="D11583" s="0" t="s">
        <v>38455</v>
      </c>
      <c r="E11583" s="0" t="s">
        <v>75</v>
      </c>
      <c r="F11583" s="0" t="s">
        <v>15</v>
      </c>
      <c r="G11583" s="0" t="s">
        <v>36</v>
      </c>
      <c r="H11583" s="0" t="n">
        <v>79</v>
      </c>
      <c r="I11583" s="0" t="s">
        <v>38459</v>
      </c>
      <c r="J11583" s="0" t="s">
        <v>38460</v>
      </c>
      <c r="K11583" s="0" t="s">
        <v>38461</v>
      </c>
      <c r="L11583" s="0" t="str">
        <f aca="false">HYPERLINK("https://www.ncbi.nlm.nih.gov/nuccore/CP000058.1?report=graph&amp;tracks=[key:gene_model_track,Options:GeneOnly]&amp;mk=3651623:3651642|offset_26|444444,3651676:3651695|offset_79|00cc00,3651714:3651733|offset_117|444444,3651742:3651761|offset_145|444444&amp;v=3651422:3651961&amp;c=444444", "offset 79")</f>
        <v>offset 79</v>
      </c>
    </row>
    <row r="11584" customFormat="false" ht="12.8" hidden="false" customHeight="false" outlineLevel="0" collapsed="false">
      <c r="A11584" s="0" t="s">
        <v>12</v>
      </c>
      <c r="B11584" s="0" t="n">
        <v>3651713</v>
      </c>
      <c r="C11584" s="0" t="n">
        <v>3651733</v>
      </c>
      <c r="D11584" s="0" t="s">
        <v>38455</v>
      </c>
      <c r="E11584" s="0" t="s">
        <v>75</v>
      </c>
      <c r="F11584" s="0" t="s">
        <v>15</v>
      </c>
      <c r="G11584" s="0" t="s">
        <v>16</v>
      </c>
      <c r="H11584" s="0" t="n">
        <v>117</v>
      </c>
      <c r="I11584" s="0" t="s">
        <v>38462</v>
      </c>
      <c r="J11584" s="0" t="s">
        <v>38463</v>
      </c>
      <c r="K11584" s="0" t="s">
        <v>38464</v>
      </c>
      <c r="L11584" s="0" t="str">
        <f aca="false">HYPERLINK("https://www.ncbi.nlm.nih.gov/nuccore/CP000058.1?report=graph&amp;tracks=[key:gene_model_track,Options:GeneOnly]&amp;mk=3651623:3651642|offset_26|444444,3651676:3651695|offset_79|444444,3651714:3651733|offset_117|00cc00,3651742:3651761|offset_145|444444&amp;v=3651422:3651961&amp;c=444444", "offset 117")</f>
        <v>offset 117</v>
      </c>
    </row>
    <row r="11585" customFormat="false" ht="12.8" hidden="false" customHeight="false" outlineLevel="0" collapsed="false">
      <c r="A11585" s="0" t="s">
        <v>12</v>
      </c>
      <c r="B11585" s="0" t="n">
        <v>3651741</v>
      </c>
      <c r="C11585" s="0" t="n">
        <v>3651761</v>
      </c>
      <c r="D11585" s="0" t="s">
        <v>38455</v>
      </c>
      <c r="E11585" s="0" t="s">
        <v>75</v>
      </c>
      <c r="F11585" s="0" t="s">
        <v>15</v>
      </c>
      <c r="G11585" s="0" t="s">
        <v>32</v>
      </c>
      <c r="H11585" s="0" t="n">
        <v>145</v>
      </c>
      <c r="I11585" s="0" t="s">
        <v>38465</v>
      </c>
      <c r="J11585" s="0" t="s">
        <v>38466</v>
      </c>
      <c r="K11585" s="0" t="s">
        <v>38467</v>
      </c>
      <c r="L11585" s="0" t="str">
        <f aca="false">HYPERLINK("https://www.ncbi.nlm.nih.gov/nuccore/CP000058.1?report=graph&amp;tracks=[key:gene_model_track,Options:GeneOnly]&amp;mk=3651623:3651642|offset_26|444444,3651676:3651695|offset_79|444444,3651714:3651733|offset_117|444444,3651742:3651761|offset_145|00cc00&amp;v=3651422:3651961&amp;c=444444", "offset 145")</f>
        <v>offset 145</v>
      </c>
    </row>
    <row r="11586" customFormat="false" ht="12.8" hidden="false" customHeight="false" outlineLevel="0" collapsed="false">
      <c r="A11586" s="0" t="s">
        <v>12</v>
      </c>
      <c r="B11586" s="0" t="n">
        <v>3652785</v>
      </c>
      <c r="C11586" s="0" t="n">
        <v>3652805</v>
      </c>
      <c r="D11586" s="0" t="s">
        <v>38468</v>
      </c>
      <c r="E11586" s="0" t="s">
        <v>75</v>
      </c>
      <c r="F11586" s="0" t="s">
        <v>15</v>
      </c>
      <c r="G11586" s="0" t="s">
        <v>36</v>
      </c>
      <c r="H11586" s="0" t="n">
        <v>0</v>
      </c>
      <c r="I11586" s="0" t="s">
        <v>38469</v>
      </c>
      <c r="J11586" s="0" t="s">
        <v>38470</v>
      </c>
      <c r="K11586" s="0" t="s">
        <v>38471</v>
      </c>
      <c r="L11586" s="0" t="str">
        <f aca="false">HYPERLINK("https://www.ncbi.nlm.nih.gov/nuccore/CP000058.1?report=graph&amp;tracks=[key:gene_model_track,Options:GeneOnly]&amp;mk=3652786:3652805|offset_0|00cc00,3652806:3652825|offset_20|444444,3652835:3652854|offset_49|444444,3652870:3652889|offset_84|444444&amp;v=3652585:3653089&amp;c=444444", "offset 0")</f>
        <v>offset 0</v>
      </c>
    </row>
    <row r="11587" customFormat="false" ht="12.8" hidden="false" customHeight="false" outlineLevel="0" collapsed="false">
      <c r="A11587" s="0" t="s">
        <v>12</v>
      </c>
      <c r="B11587" s="0" t="n">
        <v>3652805</v>
      </c>
      <c r="C11587" s="0" t="n">
        <v>3652825</v>
      </c>
      <c r="D11587" s="0" t="s">
        <v>38468</v>
      </c>
      <c r="E11587" s="0" t="s">
        <v>75</v>
      </c>
      <c r="F11587" s="0" t="s">
        <v>15</v>
      </c>
      <c r="G11587" s="0" t="s">
        <v>32</v>
      </c>
      <c r="H11587" s="0" t="n">
        <v>20</v>
      </c>
      <c r="I11587" s="0" t="s">
        <v>38472</v>
      </c>
      <c r="J11587" s="0" t="s">
        <v>38473</v>
      </c>
      <c r="K11587" s="0" t="s">
        <v>38474</v>
      </c>
      <c r="L11587" s="0" t="str">
        <f aca="false">HYPERLINK("https://www.ncbi.nlm.nih.gov/nuccore/CP000058.1?report=graph&amp;tracks=[key:gene_model_track,Options:GeneOnly]&amp;mk=3652786:3652805|offset_0|444444,3652806:3652825|offset_20|00cc00,3652835:3652854|offset_49|444444,3652870:3652889|offset_84|444444&amp;v=3652585:3653089&amp;c=444444", "offset 20")</f>
        <v>offset 20</v>
      </c>
    </row>
    <row r="11588" customFormat="false" ht="12.8" hidden="false" customHeight="false" outlineLevel="0" collapsed="false">
      <c r="A11588" s="0" t="s">
        <v>12</v>
      </c>
      <c r="B11588" s="0" t="n">
        <v>3652834</v>
      </c>
      <c r="C11588" s="0" t="n">
        <v>3652854</v>
      </c>
      <c r="D11588" s="0" t="s">
        <v>38468</v>
      </c>
      <c r="E11588" s="0" t="s">
        <v>75</v>
      </c>
      <c r="F11588" s="0" t="s">
        <v>15</v>
      </c>
      <c r="G11588" s="0" t="s">
        <v>16</v>
      </c>
      <c r="H11588" s="0" t="n">
        <v>49</v>
      </c>
      <c r="I11588" s="0" t="s">
        <v>38475</v>
      </c>
      <c r="J11588" s="0" t="s">
        <v>38476</v>
      </c>
      <c r="K11588" s="0" t="s">
        <v>38477</v>
      </c>
      <c r="L11588" s="0" t="str">
        <f aca="false">HYPERLINK("https://www.ncbi.nlm.nih.gov/nuccore/CP000058.1?report=graph&amp;tracks=[key:gene_model_track,Options:GeneOnly]&amp;mk=3652786:3652805|offset_0|444444,3652806:3652825|offset_20|444444,3652835:3652854|offset_49|00cc00,3652870:3652889|offset_84|444444&amp;v=3652585:3653089&amp;c=444444", "offset 49")</f>
        <v>offset 49</v>
      </c>
    </row>
    <row r="11589" customFormat="false" ht="12.8" hidden="false" customHeight="false" outlineLevel="0" collapsed="false">
      <c r="A11589" s="0" t="s">
        <v>12</v>
      </c>
      <c r="B11589" s="0" t="n">
        <v>3652869</v>
      </c>
      <c r="C11589" s="0" t="n">
        <v>3652889</v>
      </c>
      <c r="D11589" s="0" t="s">
        <v>38468</v>
      </c>
      <c r="E11589" s="0" t="s">
        <v>75</v>
      </c>
      <c r="F11589" s="0" t="s">
        <v>15</v>
      </c>
      <c r="G11589" s="0" t="s">
        <v>36</v>
      </c>
      <c r="H11589" s="0" t="n">
        <v>84</v>
      </c>
      <c r="I11589" s="0" t="s">
        <v>38478</v>
      </c>
      <c r="J11589" s="0" t="s">
        <v>38479</v>
      </c>
      <c r="K11589" s="0" t="s">
        <v>38480</v>
      </c>
      <c r="L11589" s="0" t="str">
        <f aca="false">HYPERLINK("https://www.ncbi.nlm.nih.gov/nuccore/CP000058.1?report=graph&amp;tracks=[key:gene_model_track,Options:GeneOnly]&amp;mk=3652786:3652805|offset_0|444444,3652806:3652825|offset_20|444444,3652835:3652854|offset_49|444444,3652870:3652889|offset_84|00cc00&amp;v=3652585:3653089&amp;c=444444", "offset 84")</f>
        <v>offset 84</v>
      </c>
    </row>
    <row r="11590" customFormat="false" ht="12.8" hidden="false" customHeight="false" outlineLevel="0" collapsed="false">
      <c r="A11590" s="0" t="s">
        <v>12</v>
      </c>
      <c r="B11590" s="0" t="n">
        <v>3654028</v>
      </c>
      <c r="C11590" s="0" t="n">
        <v>3654048</v>
      </c>
      <c r="D11590" s="0" t="s">
        <v>38481</v>
      </c>
      <c r="E11590" s="0" t="s">
        <v>75</v>
      </c>
      <c r="F11590" s="0" t="s">
        <v>15</v>
      </c>
      <c r="G11590" s="0" t="s">
        <v>32</v>
      </c>
      <c r="H11590" s="0" t="n">
        <v>0</v>
      </c>
      <c r="I11590" s="0" t="s">
        <v>38482</v>
      </c>
      <c r="J11590" s="0" t="s">
        <v>38483</v>
      </c>
      <c r="K11590" s="0" t="s">
        <v>38484</v>
      </c>
      <c r="L11590" s="0" t="str">
        <f aca="false">HYPERLINK("https://www.ncbi.nlm.nih.gov/nuccore/CP000058.1?report=graph&amp;tracks=[key:gene_model_track,Options:GeneOnly]&amp;mk=3654029:3654048|offset_0|00cc00,3654063:3654082|offset_34|444444,3654087:3654106|offset_58|444444,3654138:3654157|offset_109|444444&amp;v=3653828:3654357&amp;c=444444", "offset 0")</f>
        <v>offset 0</v>
      </c>
    </row>
    <row r="11591" customFormat="false" ht="12.8" hidden="false" customHeight="false" outlineLevel="0" collapsed="false">
      <c r="A11591" s="0" t="s">
        <v>12</v>
      </c>
      <c r="B11591" s="0" t="n">
        <v>3654062</v>
      </c>
      <c r="C11591" s="0" t="n">
        <v>3654082</v>
      </c>
      <c r="D11591" s="0" t="s">
        <v>38481</v>
      </c>
      <c r="E11591" s="0" t="s">
        <v>75</v>
      </c>
      <c r="F11591" s="0" t="s">
        <v>15</v>
      </c>
      <c r="G11591" s="0" t="s">
        <v>36</v>
      </c>
      <c r="H11591" s="0" t="n">
        <v>34</v>
      </c>
      <c r="I11591" s="0" t="s">
        <v>38485</v>
      </c>
      <c r="J11591" s="0" t="s">
        <v>38486</v>
      </c>
      <c r="K11591" s="0" t="s">
        <v>38487</v>
      </c>
      <c r="L11591" s="0" t="str">
        <f aca="false">HYPERLINK("https://www.ncbi.nlm.nih.gov/nuccore/CP000058.1?report=graph&amp;tracks=[key:gene_model_track,Options:GeneOnly]&amp;mk=3654029:3654048|offset_0|444444,3654063:3654082|offset_34|00cc00,3654087:3654106|offset_58|444444,3654138:3654157|offset_109|444444&amp;v=3653828:3654357&amp;c=444444", "offset 34")</f>
        <v>offset 34</v>
      </c>
    </row>
    <row r="11592" customFormat="false" ht="12.8" hidden="false" customHeight="false" outlineLevel="0" collapsed="false">
      <c r="A11592" s="0" t="s">
        <v>12</v>
      </c>
      <c r="B11592" s="0" t="n">
        <v>3654086</v>
      </c>
      <c r="C11592" s="0" t="n">
        <v>3654106</v>
      </c>
      <c r="D11592" s="0" t="s">
        <v>38481</v>
      </c>
      <c r="E11592" s="0" t="s">
        <v>75</v>
      </c>
      <c r="F11592" s="0" t="s">
        <v>15</v>
      </c>
      <c r="G11592" s="0" t="s">
        <v>36</v>
      </c>
      <c r="H11592" s="0" t="n">
        <v>58</v>
      </c>
      <c r="I11592" s="0" t="s">
        <v>38488</v>
      </c>
      <c r="J11592" s="0" t="s">
        <v>38489</v>
      </c>
      <c r="K11592" s="0" t="s">
        <v>38490</v>
      </c>
      <c r="L11592" s="0" t="str">
        <f aca="false">HYPERLINK("https://www.ncbi.nlm.nih.gov/nuccore/CP000058.1?report=graph&amp;tracks=[key:gene_model_track,Options:GeneOnly]&amp;mk=3654029:3654048|offset_0|444444,3654063:3654082|offset_34|444444,3654087:3654106|offset_58|00cc00,3654138:3654157|offset_109|444444&amp;v=3653828:3654357&amp;c=444444", "offset 58")</f>
        <v>offset 58</v>
      </c>
    </row>
    <row r="11593" customFormat="false" ht="12.8" hidden="false" customHeight="false" outlineLevel="0" collapsed="false">
      <c r="A11593" s="0" t="s">
        <v>12</v>
      </c>
      <c r="B11593" s="0" t="n">
        <v>3654137</v>
      </c>
      <c r="C11593" s="0" t="n">
        <v>3654157</v>
      </c>
      <c r="D11593" s="0" t="s">
        <v>38481</v>
      </c>
      <c r="E11593" s="0" t="s">
        <v>75</v>
      </c>
      <c r="F11593" s="0" t="s">
        <v>15</v>
      </c>
      <c r="G11593" s="0" t="s">
        <v>16</v>
      </c>
      <c r="H11593" s="0" t="n">
        <v>109</v>
      </c>
      <c r="I11593" s="0" t="s">
        <v>38491</v>
      </c>
      <c r="J11593" s="0" t="s">
        <v>38492</v>
      </c>
      <c r="K11593" s="0" t="s">
        <v>38493</v>
      </c>
      <c r="L11593" s="0" t="str">
        <f aca="false">HYPERLINK("https://www.ncbi.nlm.nih.gov/nuccore/CP000058.1?report=graph&amp;tracks=[key:gene_model_track,Options:GeneOnly]&amp;mk=3654029:3654048|offset_0|444444,3654063:3654082|offset_34|444444,3654087:3654106|offset_58|444444,3654138:3654157|offset_109|00cc00&amp;v=3653828:3654357&amp;c=444444", "offset 109")</f>
        <v>offset 109</v>
      </c>
    </row>
    <row r="11594" customFormat="false" ht="12.8" hidden="false" customHeight="false" outlineLevel="0" collapsed="false">
      <c r="A11594" s="0" t="s">
        <v>12</v>
      </c>
      <c r="B11594" s="0" t="n">
        <v>3655528</v>
      </c>
      <c r="C11594" s="0" t="n">
        <v>3655548</v>
      </c>
      <c r="D11594" s="0" t="s">
        <v>38494</v>
      </c>
      <c r="E11594" s="0" t="s">
        <v>75</v>
      </c>
      <c r="F11594" s="0" t="s">
        <v>15</v>
      </c>
      <c r="G11594" s="0" t="s">
        <v>32</v>
      </c>
      <c r="H11594" s="0" t="n">
        <v>9</v>
      </c>
      <c r="I11594" s="0" t="s">
        <v>38495</v>
      </c>
      <c r="J11594" s="0" t="s">
        <v>38496</v>
      </c>
      <c r="K11594" s="0" t="s">
        <v>38497</v>
      </c>
      <c r="L11594" s="0" t="str">
        <f aca="false">HYPERLINK("https://www.ncbi.nlm.nih.gov/nuccore/CP000058.1?report=graph&amp;tracks=[key:gene_model_track,Options:GeneOnly]&amp;mk=3655529:3655548|offset_9|00cc00,3655554:3655573|offset_34|444444,3655584:3655603|offset_64|444444,3655604:3655623|offset_84|444444&amp;v=3655328:3655823&amp;c=444444", "offset 9")</f>
        <v>offset 9</v>
      </c>
    </row>
    <row r="11595" customFormat="false" ht="12.8" hidden="false" customHeight="false" outlineLevel="0" collapsed="false">
      <c r="A11595" s="0" t="s">
        <v>12</v>
      </c>
      <c r="B11595" s="0" t="n">
        <v>3655553</v>
      </c>
      <c r="C11595" s="0" t="n">
        <v>3655573</v>
      </c>
      <c r="D11595" s="0" t="s">
        <v>38494</v>
      </c>
      <c r="E11595" s="0" t="s">
        <v>75</v>
      </c>
      <c r="F11595" s="0" t="s">
        <v>15</v>
      </c>
      <c r="G11595" s="0" t="s">
        <v>32</v>
      </c>
      <c r="H11595" s="0" t="n">
        <v>34</v>
      </c>
      <c r="I11595" s="0" t="s">
        <v>38498</v>
      </c>
      <c r="J11595" s="0" t="s">
        <v>38499</v>
      </c>
      <c r="K11595" s="0" t="s">
        <v>38500</v>
      </c>
      <c r="L11595" s="0" t="str">
        <f aca="false">HYPERLINK("https://www.ncbi.nlm.nih.gov/nuccore/CP000058.1?report=graph&amp;tracks=[key:gene_model_track,Options:GeneOnly]&amp;mk=3655529:3655548|offset_9|444444,3655554:3655573|offset_34|00cc00,3655584:3655603|offset_64|444444,3655604:3655623|offset_84|444444&amp;v=3655328:3655823&amp;c=444444", "offset 34")</f>
        <v>offset 34</v>
      </c>
    </row>
    <row r="11596" customFormat="false" ht="12.8" hidden="false" customHeight="false" outlineLevel="0" collapsed="false">
      <c r="A11596" s="0" t="s">
        <v>12</v>
      </c>
      <c r="B11596" s="0" t="n">
        <v>3655583</v>
      </c>
      <c r="C11596" s="0" t="n">
        <v>3655603</v>
      </c>
      <c r="D11596" s="0" t="s">
        <v>38494</v>
      </c>
      <c r="E11596" s="0" t="s">
        <v>75</v>
      </c>
      <c r="F11596" s="0" t="s">
        <v>15</v>
      </c>
      <c r="G11596" s="0" t="s">
        <v>36</v>
      </c>
      <c r="H11596" s="0" t="n">
        <v>64</v>
      </c>
      <c r="I11596" s="0" t="s">
        <v>38501</v>
      </c>
      <c r="J11596" s="0" t="s">
        <v>38502</v>
      </c>
      <c r="K11596" s="0" t="s">
        <v>38503</v>
      </c>
      <c r="L11596" s="0" t="str">
        <f aca="false">HYPERLINK("https://www.ncbi.nlm.nih.gov/nuccore/CP000058.1?report=graph&amp;tracks=[key:gene_model_track,Options:GeneOnly]&amp;mk=3655529:3655548|offset_9|444444,3655554:3655573|offset_34|444444,3655584:3655603|offset_64|00cc00,3655604:3655623|offset_84|444444&amp;v=3655328:3655823&amp;c=444444", "offset 64")</f>
        <v>offset 64</v>
      </c>
    </row>
    <row r="11597" customFormat="false" ht="12.8" hidden="false" customHeight="false" outlineLevel="0" collapsed="false">
      <c r="A11597" s="0" t="s">
        <v>12</v>
      </c>
      <c r="B11597" s="0" t="n">
        <v>3655603</v>
      </c>
      <c r="C11597" s="0" t="n">
        <v>3655623</v>
      </c>
      <c r="D11597" s="0" t="s">
        <v>38494</v>
      </c>
      <c r="E11597" s="0" t="s">
        <v>75</v>
      </c>
      <c r="F11597" s="0" t="s">
        <v>15</v>
      </c>
      <c r="G11597" s="0" t="s">
        <v>16</v>
      </c>
      <c r="H11597" s="0" t="n">
        <v>84</v>
      </c>
      <c r="I11597" s="0" t="s">
        <v>38504</v>
      </c>
      <c r="J11597" s="0" t="s">
        <v>38505</v>
      </c>
      <c r="K11597" s="0" t="s">
        <v>38506</v>
      </c>
      <c r="L11597" s="0" t="str">
        <f aca="false">HYPERLINK("https://www.ncbi.nlm.nih.gov/nuccore/CP000058.1?report=graph&amp;tracks=[key:gene_model_track,Options:GeneOnly]&amp;mk=3655529:3655548|offset_9|444444,3655554:3655573|offset_34|444444,3655584:3655603|offset_64|444444,3655604:3655623|offset_84|00cc00&amp;v=3655328:3655823&amp;c=444444", "offset 84")</f>
        <v>offset 84</v>
      </c>
    </row>
    <row r="11598" customFormat="false" ht="12.8" hidden="false" customHeight="false" outlineLevel="0" collapsed="false">
      <c r="A11598" s="0" t="s">
        <v>12</v>
      </c>
      <c r="B11598" s="0" t="n">
        <v>3658058</v>
      </c>
      <c r="C11598" s="0" t="n">
        <v>3658078</v>
      </c>
      <c r="D11598" s="0" t="s">
        <v>38507</v>
      </c>
      <c r="E11598" s="0" t="s">
        <v>75</v>
      </c>
      <c r="F11598" s="0" t="s">
        <v>90</v>
      </c>
      <c r="G11598" s="0" t="s">
        <v>20</v>
      </c>
      <c r="H11598" s="0" t="n">
        <v>6</v>
      </c>
      <c r="I11598" s="0" t="s">
        <v>38508</v>
      </c>
      <c r="J11598" s="0" t="s">
        <v>38509</v>
      </c>
      <c r="K11598" s="0" t="s">
        <v>38510</v>
      </c>
      <c r="L11598" s="0" t="str">
        <f aca="false">HYPERLINK("https://www.ncbi.nlm.nih.gov/nuccore/CP000058.1?report=graph&amp;tracks=[key:gene_model_track,Options:GeneOnly]&amp;mk=3658059:3658078|offset_6|00cc00,3658004:3658023|offset_61|444444,3657980:3657999|offset_85|444444,3657941:3657960|offset_124|444444&amp;v=3657858:3658160&amp;c=444444", "offset 6")</f>
        <v>offset 6</v>
      </c>
    </row>
    <row r="11599" customFormat="false" ht="12.8" hidden="false" customHeight="false" outlineLevel="0" collapsed="false">
      <c r="A11599" s="0" t="s">
        <v>12</v>
      </c>
      <c r="B11599" s="0" t="n">
        <v>3658003</v>
      </c>
      <c r="C11599" s="0" t="n">
        <v>3658023</v>
      </c>
      <c r="D11599" s="0" t="s">
        <v>38507</v>
      </c>
      <c r="E11599" s="0" t="s">
        <v>75</v>
      </c>
      <c r="F11599" s="0" t="s">
        <v>90</v>
      </c>
      <c r="G11599" s="0" t="s">
        <v>20</v>
      </c>
      <c r="H11599" s="0" t="n">
        <v>61</v>
      </c>
      <c r="I11599" s="0" t="s">
        <v>38511</v>
      </c>
      <c r="J11599" s="0" t="s">
        <v>38512</v>
      </c>
      <c r="K11599" s="0" t="s">
        <v>38513</v>
      </c>
      <c r="L11599" s="0" t="str">
        <f aca="false">HYPERLINK("https://www.ncbi.nlm.nih.gov/nuccore/CP000058.1?report=graph&amp;tracks=[key:gene_model_track,Options:GeneOnly]&amp;mk=3658059:3658078|offset_6|444444,3658004:3658023|offset_61|00cc00,3657980:3657999|offset_85|444444,3657941:3657960|offset_124|444444&amp;v=3657858:3658160&amp;c=444444", "offset 61")</f>
        <v>offset 61</v>
      </c>
    </row>
    <row r="11600" customFormat="false" ht="12.8" hidden="false" customHeight="false" outlineLevel="0" collapsed="false">
      <c r="A11600" s="0" t="s">
        <v>12</v>
      </c>
      <c r="B11600" s="0" t="n">
        <v>3657979</v>
      </c>
      <c r="C11600" s="0" t="n">
        <v>3657999</v>
      </c>
      <c r="D11600" s="0" t="s">
        <v>38507</v>
      </c>
      <c r="E11600" s="0" t="s">
        <v>75</v>
      </c>
      <c r="F11600" s="0" t="s">
        <v>90</v>
      </c>
      <c r="G11600" s="0" t="s">
        <v>20</v>
      </c>
      <c r="H11600" s="0" t="n">
        <v>85</v>
      </c>
      <c r="I11600" s="0" t="s">
        <v>38514</v>
      </c>
      <c r="J11600" s="0" t="s">
        <v>38515</v>
      </c>
      <c r="K11600" s="0" t="s">
        <v>38516</v>
      </c>
      <c r="L11600" s="0" t="str">
        <f aca="false">HYPERLINK("https://www.ncbi.nlm.nih.gov/nuccore/CP000058.1?report=graph&amp;tracks=[key:gene_model_track,Options:GeneOnly]&amp;mk=3658059:3658078|offset_6|444444,3658004:3658023|offset_61|444444,3657980:3657999|offset_85|00cc00,3657941:3657960|offset_124|444444&amp;v=3657858:3658160&amp;c=444444", "offset 85")</f>
        <v>offset 85</v>
      </c>
    </row>
    <row r="11601" customFormat="false" ht="12.8" hidden="false" customHeight="false" outlineLevel="0" collapsed="false">
      <c r="A11601" s="0" t="s">
        <v>12</v>
      </c>
      <c r="B11601" s="0" t="n">
        <v>3657940</v>
      </c>
      <c r="C11601" s="0" t="n">
        <v>3657960</v>
      </c>
      <c r="D11601" s="0" t="s">
        <v>38507</v>
      </c>
      <c r="E11601" s="0" t="s">
        <v>75</v>
      </c>
      <c r="F11601" s="0" t="s">
        <v>90</v>
      </c>
      <c r="G11601" s="0" t="s">
        <v>20</v>
      </c>
      <c r="H11601" s="0" t="n">
        <v>124</v>
      </c>
      <c r="I11601" s="0" t="s">
        <v>38517</v>
      </c>
      <c r="J11601" s="0" t="s">
        <v>38518</v>
      </c>
      <c r="K11601" s="0" t="s">
        <v>38519</v>
      </c>
      <c r="L11601" s="0" t="str">
        <f aca="false">HYPERLINK("https://www.ncbi.nlm.nih.gov/nuccore/CP000058.1?report=graph&amp;tracks=[key:gene_model_track,Options:GeneOnly]&amp;mk=3658059:3658078|offset_6|444444,3658004:3658023|offset_61|444444,3657980:3657999|offset_85|444444,3657941:3657960|offset_124|00cc00&amp;v=3657858:3658160&amp;c=444444", "offset 124")</f>
        <v>offset 124</v>
      </c>
    </row>
    <row r="11602" customFormat="false" ht="12.8" hidden="false" customHeight="false" outlineLevel="0" collapsed="false">
      <c r="A11602" s="0" t="s">
        <v>12</v>
      </c>
      <c r="B11602" s="0" t="n">
        <v>3658432</v>
      </c>
      <c r="C11602" s="0" t="n">
        <v>3658452</v>
      </c>
      <c r="D11602" s="0" t="s">
        <v>38520</v>
      </c>
      <c r="E11602" s="0" t="s">
        <v>75</v>
      </c>
      <c r="F11602" s="0" t="s">
        <v>90</v>
      </c>
      <c r="G11602" s="0" t="s">
        <v>16</v>
      </c>
      <c r="H11602" s="0" t="n">
        <v>8</v>
      </c>
      <c r="I11602" s="0" t="s">
        <v>38521</v>
      </c>
      <c r="J11602" s="0" t="s">
        <v>38522</v>
      </c>
      <c r="K11602" s="0" t="s">
        <v>38523</v>
      </c>
      <c r="L11602" s="0" t="str">
        <f aca="false">HYPERLINK("https://www.ncbi.nlm.nih.gov/nuccore/CP000058.1?report=graph&amp;tracks=[key:gene_model_track,Options:GeneOnly]&amp;mk=3658433:3658452|offset_8|00cc00,3658409:3658428|offset_32|444444,3658383:3658402|offset_58|444444,3658348:3658367|offset_93|444444&amp;v=3658232:3658567&amp;c=444444", "offset 8")</f>
        <v>offset 8</v>
      </c>
    </row>
    <row r="11603" customFormat="false" ht="12.8" hidden="false" customHeight="false" outlineLevel="0" collapsed="false">
      <c r="A11603" s="0" t="s">
        <v>12</v>
      </c>
      <c r="B11603" s="0" t="n">
        <v>3658408</v>
      </c>
      <c r="C11603" s="0" t="n">
        <v>3658428</v>
      </c>
      <c r="D11603" s="0" t="s">
        <v>38520</v>
      </c>
      <c r="E11603" s="0" t="s">
        <v>75</v>
      </c>
      <c r="F11603" s="0" t="s">
        <v>90</v>
      </c>
      <c r="G11603" s="0" t="s">
        <v>20</v>
      </c>
      <c r="H11603" s="0" t="n">
        <v>32</v>
      </c>
      <c r="I11603" s="0" t="s">
        <v>38524</v>
      </c>
      <c r="J11603" s="0" t="s">
        <v>38525</v>
      </c>
      <c r="K11603" s="0" t="s">
        <v>38526</v>
      </c>
      <c r="L11603" s="0" t="str">
        <f aca="false">HYPERLINK("https://www.ncbi.nlm.nih.gov/nuccore/CP000058.1?report=graph&amp;tracks=[key:gene_model_track,Options:GeneOnly]&amp;mk=3658433:3658452|offset_8|444444,3658409:3658428|offset_32|00cc00,3658383:3658402|offset_58|444444,3658348:3658367|offset_93|444444&amp;v=3658232:3658567&amp;c=444444", "offset 32")</f>
        <v>offset 32</v>
      </c>
    </row>
    <row r="11604" customFormat="false" ht="12.8" hidden="false" customHeight="false" outlineLevel="0" collapsed="false">
      <c r="A11604" s="0" t="s">
        <v>12</v>
      </c>
      <c r="B11604" s="0" t="n">
        <v>3658382</v>
      </c>
      <c r="C11604" s="0" t="n">
        <v>3658402</v>
      </c>
      <c r="D11604" s="0" t="s">
        <v>38520</v>
      </c>
      <c r="E11604" s="0" t="s">
        <v>75</v>
      </c>
      <c r="F11604" s="0" t="s">
        <v>90</v>
      </c>
      <c r="G11604" s="0" t="s">
        <v>16</v>
      </c>
      <c r="H11604" s="0" t="n">
        <v>58</v>
      </c>
      <c r="I11604" s="0" t="s">
        <v>38527</v>
      </c>
      <c r="J11604" s="0" t="s">
        <v>38528</v>
      </c>
      <c r="K11604" s="0" t="s">
        <v>38529</v>
      </c>
      <c r="L11604" s="0" t="str">
        <f aca="false">HYPERLINK("https://www.ncbi.nlm.nih.gov/nuccore/CP000058.1?report=graph&amp;tracks=[key:gene_model_track,Options:GeneOnly]&amp;mk=3658433:3658452|offset_8|444444,3658409:3658428|offset_32|444444,3658383:3658402|offset_58|00cc00,3658348:3658367|offset_93|444444&amp;v=3658232:3658567&amp;c=444444", "offset 58")</f>
        <v>offset 58</v>
      </c>
    </row>
    <row r="11605" customFormat="false" ht="12.8" hidden="false" customHeight="false" outlineLevel="0" collapsed="false">
      <c r="A11605" s="0" t="s">
        <v>12</v>
      </c>
      <c r="B11605" s="0" t="n">
        <v>3658347</v>
      </c>
      <c r="C11605" s="0" t="n">
        <v>3658367</v>
      </c>
      <c r="D11605" s="0" t="s">
        <v>38520</v>
      </c>
      <c r="E11605" s="0" t="s">
        <v>75</v>
      </c>
      <c r="F11605" s="0" t="s">
        <v>90</v>
      </c>
      <c r="G11605" s="0" t="s">
        <v>36</v>
      </c>
      <c r="H11605" s="0" t="n">
        <v>93</v>
      </c>
      <c r="I11605" s="0" t="s">
        <v>38530</v>
      </c>
      <c r="J11605" s="0" t="s">
        <v>38531</v>
      </c>
      <c r="K11605" s="0" t="s">
        <v>38532</v>
      </c>
      <c r="L11605" s="0" t="str">
        <f aca="false">HYPERLINK("https://www.ncbi.nlm.nih.gov/nuccore/CP000058.1?report=graph&amp;tracks=[key:gene_model_track,Options:GeneOnly]&amp;mk=3658433:3658452|offset_8|444444,3658409:3658428|offset_32|444444,3658383:3658402|offset_58|444444,3658348:3658367|offset_93|00cc00&amp;v=3658232:3658567&amp;c=444444", "offset 93")</f>
        <v>offset 93</v>
      </c>
    </row>
    <row r="11606" customFormat="false" ht="12.8" hidden="false" customHeight="false" outlineLevel="0" collapsed="false">
      <c r="A11606" s="0" t="s">
        <v>12</v>
      </c>
      <c r="B11606" s="0" t="n">
        <v>3659372</v>
      </c>
      <c r="C11606" s="0" t="n">
        <v>3659392</v>
      </c>
      <c r="D11606" s="0" t="s">
        <v>38533</v>
      </c>
      <c r="E11606" s="0" t="s">
        <v>75</v>
      </c>
      <c r="F11606" s="0" t="s">
        <v>90</v>
      </c>
      <c r="G11606" s="0" t="s">
        <v>20</v>
      </c>
      <c r="H11606" s="0" t="n">
        <v>47</v>
      </c>
      <c r="I11606" s="0" t="s">
        <v>38534</v>
      </c>
      <c r="J11606" s="0" t="s">
        <v>38535</v>
      </c>
      <c r="K11606" s="0" t="s">
        <v>38536</v>
      </c>
      <c r="L11606" s="0" t="str">
        <f aca="false">HYPERLINK("https://www.ncbi.nlm.nih.gov/nuccore/CP000058.1?report=graph&amp;tracks=[key:gene_model_track,Options:GeneOnly]&amp;mk=3659373:3659392|offset_47|00cc00,3659330:3659349|offset_90|444444,3659304:3659323|offset_116|444444,3659266:3659285|offset_154|444444&amp;v=3659172:3659485&amp;c=444444", "offset 47")</f>
        <v>offset 47</v>
      </c>
    </row>
    <row r="11607" customFormat="false" ht="12.8" hidden="false" customHeight="false" outlineLevel="0" collapsed="false">
      <c r="A11607" s="0" t="s">
        <v>12</v>
      </c>
      <c r="B11607" s="0" t="n">
        <v>3659329</v>
      </c>
      <c r="C11607" s="0" t="n">
        <v>3659349</v>
      </c>
      <c r="D11607" s="0" t="s">
        <v>38533</v>
      </c>
      <c r="E11607" s="0" t="s">
        <v>75</v>
      </c>
      <c r="F11607" s="0" t="s">
        <v>90</v>
      </c>
      <c r="G11607" s="0" t="s">
        <v>16</v>
      </c>
      <c r="H11607" s="0" t="n">
        <v>90</v>
      </c>
      <c r="I11607" s="0" t="s">
        <v>38537</v>
      </c>
      <c r="J11607" s="0" t="s">
        <v>38538</v>
      </c>
      <c r="K11607" s="0" t="s">
        <v>38539</v>
      </c>
      <c r="L11607" s="0" t="str">
        <f aca="false">HYPERLINK("https://www.ncbi.nlm.nih.gov/nuccore/CP000058.1?report=graph&amp;tracks=[key:gene_model_track,Options:GeneOnly]&amp;mk=3659373:3659392|offset_47|444444,3659330:3659349|offset_90|00cc00,3659304:3659323|offset_116|444444,3659266:3659285|offset_154|444444&amp;v=3659172:3659485&amp;c=444444", "offset 90")</f>
        <v>offset 90</v>
      </c>
    </row>
    <row r="11608" customFormat="false" ht="12.8" hidden="false" customHeight="false" outlineLevel="0" collapsed="false">
      <c r="A11608" s="0" t="s">
        <v>12</v>
      </c>
      <c r="B11608" s="0" t="n">
        <v>3659303</v>
      </c>
      <c r="C11608" s="0" t="n">
        <v>3659323</v>
      </c>
      <c r="D11608" s="0" t="s">
        <v>38533</v>
      </c>
      <c r="E11608" s="0" t="s">
        <v>75</v>
      </c>
      <c r="F11608" s="0" t="s">
        <v>90</v>
      </c>
      <c r="G11608" s="0" t="s">
        <v>20</v>
      </c>
      <c r="H11608" s="0" t="n">
        <v>116</v>
      </c>
      <c r="I11608" s="0" t="s">
        <v>38540</v>
      </c>
      <c r="J11608" s="0" t="s">
        <v>38541</v>
      </c>
      <c r="K11608" s="0" t="s">
        <v>38542</v>
      </c>
      <c r="L11608" s="0" t="str">
        <f aca="false">HYPERLINK("https://www.ncbi.nlm.nih.gov/nuccore/CP000058.1?report=graph&amp;tracks=[key:gene_model_track,Options:GeneOnly]&amp;mk=3659373:3659392|offset_47|444444,3659330:3659349|offset_90|444444,3659304:3659323|offset_116|00cc00,3659266:3659285|offset_154|444444&amp;v=3659172:3659485&amp;c=444444", "offset 116")</f>
        <v>offset 116</v>
      </c>
    </row>
    <row r="11609" customFormat="false" ht="12.8" hidden="false" customHeight="false" outlineLevel="0" collapsed="false">
      <c r="A11609" s="0" t="s">
        <v>12</v>
      </c>
      <c r="B11609" s="0" t="n">
        <v>3659265</v>
      </c>
      <c r="C11609" s="0" t="n">
        <v>3659285</v>
      </c>
      <c r="D11609" s="0" t="s">
        <v>38533</v>
      </c>
      <c r="E11609" s="0" t="s">
        <v>75</v>
      </c>
      <c r="F11609" s="0" t="s">
        <v>90</v>
      </c>
      <c r="G11609" s="0" t="s">
        <v>32</v>
      </c>
      <c r="H11609" s="0" t="n">
        <v>154</v>
      </c>
      <c r="I11609" s="0" t="s">
        <v>38543</v>
      </c>
      <c r="J11609" s="0" t="s">
        <v>38544</v>
      </c>
      <c r="K11609" s="0" t="s">
        <v>38545</v>
      </c>
      <c r="L11609" s="0" t="str">
        <f aca="false">HYPERLINK("https://www.ncbi.nlm.nih.gov/nuccore/CP000058.1?report=graph&amp;tracks=[key:gene_model_track,Options:GeneOnly]&amp;mk=3659373:3659392|offset_47|444444,3659330:3659349|offset_90|444444,3659304:3659323|offset_116|444444,3659266:3659285|offset_154|00cc00&amp;v=3659172:3659485&amp;c=444444", "offset 154")</f>
        <v>offset 154</v>
      </c>
    </row>
    <row r="11610" customFormat="false" ht="12.8" hidden="false" customHeight="false" outlineLevel="0" collapsed="false">
      <c r="A11610" s="0" t="s">
        <v>12</v>
      </c>
      <c r="B11610" s="0" t="n">
        <v>3659599</v>
      </c>
      <c r="C11610" s="0" t="n">
        <v>3659619</v>
      </c>
      <c r="D11610" s="0" t="s">
        <v>38546</v>
      </c>
      <c r="E11610" s="0" t="s">
        <v>38547</v>
      </c>
      <c r="F11610" s="0" t="s">
        <v>15</v>
      </c>
      <c r="G11610" s="0" t="s">
        <v>20</v>
      </c>
      <c r="H11610" s="0" t="n">
        <v>31</v>
      </c>
      <c r="I11610" s="0" t="s">
        <v>38548</v>
      </c>
      <c r="J11610" s="0" t="s">
        <v>38549</v>
      </c>
      <c r="K11610" s="0" t="s">
        <v>38550</v>
      </c>
      <c r="L11610" s="0" t="str">
        <f aca="false">HYPERLINK("https://www.ncbi.nlm.nih.gov/nuccore/CP000058.1?report=graph&amp;tracks=[key:gene_model_track,Options:GeneOnly]&amp;mk=3659600:3659619|offset_31|00cc00,3659627:3659646|offset_58|444444,3659674:3659693|offset_105|444444,3659718:3659737|offset_149|444444&amp;v=3659399:3659937&amp;c=444444", "offset 31")</f>
        <v>offset 31</v>
      </c>
    </row>
    <row r="11611" customFormat="false" ht="12.8" hidden="false" customHeight="false" outlineLevel="0" collapsed="false">
      <c r="A11611" s="0" t="s">
        <v>12</v>
      </c>
      <c r="B11611" s="0" t="n">
        <v>3659626</v>
      </c>
      <c r="C11611" s="0" t="n">
        <v>3659646</v>
      </c>
      <c r="D11611" s="0" t="s">
        <v>38546</v>
      </c>
      <c r="E11611" s="0" t="s">
        <v>38547</v>
      </c>
      <c r="F11611" s="0" t="s">
        <v>15</v>
      </c>
      <c r="G11611" s="0" t="s">
        <v>16</v>
      </c>
      <c r="H11611" s="0" t="n">
        <v>58</v>
      </c>
      <c r="I11611" s="0" t="s">
        <v>38551</v>
      </c>
      <c r="J11611" s="0" t="s">
        <v>38552</v>
      </c>
      <c r="K11611" s="0" t="s">
        <v>38553</v>
      </c>
      <c r="L11611" s="0" t="str">
        <f aca="false">HYPERLINK("https://www.ncbi.nlm.nih.gov/nuccore/CP000058.1?report=graph&amp;tracks=[key:gene_model_track,Options:GeneOnly]&amp;mk=3659600:3659619|offset_31|444444,3659627:3659646|offset_58|00cc00,3659674:3659693|offset_105|444444,3659718:3659737|offset_149|444444&amp;v=3659399:3659937&amp;c=444444", "offset 58")</f>
        <v>offset 58</v>
      </c>
    </row>
    <row r="11612" customFormat="false" ht="12.8" hidden="false" customHeight="false" outlineLevel="0" collapsed="false">
      <c r="A11612" s="0" t="s">
        <v>12</v>
      </c>
      <c r="B11612" s="0" t="n">
        <v>3659673</v>
      </c>
      <c r="C11612" s="0" t="n">
        <v>3659693</v>
      </c>
      <c r="D11612" s="0" t="s">
        <v>38546</v>
      </c>
      <c r="E11612" s="0" t="s">
        <v>38547</v>
      </c>
      <c r="F11612" s="0" t="s">
        <v>15</v>
      </c>
      <c r="G11612" s="0" t="s">
        <v>16</v>
      </c>
      <c r="H11612" s="0" t="n">
        <v>105</v>
      </c>
      <c r="I11612" s="0" t="s">
        <v>38554</v>
      </c>
      <c r="J11612" s="0" t="s">
        <v>38555</v>
      </c>
      <c r="K11612" s="0" t="s">
        <v>38556</v>
      </c>
      <c r="L11612" s="0" t="str">
        <f aca="false">HYPERLINK("https://www.ncbi.nlm.nih.gov/nuccore/CP000058.1?report=graph&amp;tracks=[key:gene_model_track,Options:GeneOnly]&amp;mk=3659600:3659619|offset_31|444444,3659627:3659646|offset_58|444444,3659674:3659693|offset_105|00cc00,3659718:3659737|offset_149|444444&amp;v=3659399:3659937&amp;c=444444", "offset 105")</f>
        <v>offset 105</v>
      </c>
    </row>
    <row r="11613" customFormat="false" ht="12.8" hidden="false" customHeight="false" outlineLevel="0" collapsed="false">
      <c r="A11613" s="0" t="s">
        <v>12</v>
      </c>
      <c r="B11613" s="0" t="n">
        <v>3659717</v>
      </c>
      <c r="C11613" s="0" t="n">
        <v>3659737</v>
      </c>
      <c r="D11613" s="0" t="s">
        <v>38546</v>
      </c>
      <c r="E11613" s="0" t="s">
        <v>38547</v>
      </c>
      <c r="F11613" s="0" t="s">
        <v>15</v>
      </c>
      <c r="G11613" s="0" t="s">
        <v>20</v>
      </c>
      <c r="H11613" s="0" t="n">
        <v>149</v>
      </c>
      <c r="I11613" s="0" t="s">
        <v>38557</v>
      </c>
      <c r="J11613" s="0" t="s">
        <v>38558</v>
      </c>
      <c r="K11613" s="0" t="s">
        <v>38559</v>
      </c>
      <c r="L11613" s="0" t="str">
        <f aca="false">HYPERLINK("https://www.ncbi.nlm.nih.gov/nuccore/CP000058.1?report=graph&amp;tracks=[key:gene_model_track,Options:GeneOnly]&amp;mk=3659600:3659619|offset_31|444444,3659627:3659646|offset_58|444444,3659674:3659693|offset_105|444444,3659718:3659737|offset_149|00cc00&amp;v=3659399:3659937&amp;c=444444", "offset 149")</f>
        <v>offset 149</v>
      </c>
    </row>
    <row r="11614" customFormat="false" ht="12.8" hidden="false" customHeight="false" outlineLevel="0" collapsed="false">
      <c r="A11614" s="0" t="s">
        <v>12</v>
      </c>
      <c r="B11614" s="0" t="n">
        <v>3660312</v>
      </c>
      <c r="C11614" s="0" t="n">
        <v>3660332</v>
      </c>
      <c r="D11614" s="0" t="s">
        <v>38560</v>
      </c>
      <c r="E11614" s="0" t="s">
        <v>38561</v>
      </c>
      <c r="F11614" s="0" t="s">
        <v>15</v>
      </c>
      <c r="G11614" s="0" t="s">
        <v>32</v>
      </c>
      <c r="H11614" s="0" t="n">
        <v>1</v>
      </c>
      <c r="I11614" s="0" t="s">
        <v>38562</v>
      </c>
      <c r="J11614" s="0" t="s">
        <v>38563</v>
      </c>
      <c r="K11614" s="0" t="s">
        <v>38564</v>
      </c>
      <c r="L11614" s="0" t="str">
        <f aca="false">HYPERLINK("https://www.ncbi.nlm.nih.gov/nuccore/CP000058.1?report=graph&amp;tracks=[key:gene_model_track,Options:GeneOnly]&amp;mk=3660313:3660332|offset_1|00cc00,3660352:3660371|offset_40|444444,3660383:3660402|offset_71|444444,3660403:3660422|offset_91|444444&amp;v=3660112:3660622&amp;c=444444", "offset 1")</f>
        <v>offset 1</v>
      </c>
    </row>
    <row r="11615" customFormat="false" ht="12.8" hidden="false" customHeight="false" outlineLevel="0" collapsed="false">
      <c r="A11615" s="0" t="s">
        <v>12</v>
      </c>
      <c r="B11615" s="0" t="n">
        <v>3660351</v>
      </c>
      <c r="C11615" s="0" t="n">
        <v>3660371</v>
      </c>
      <c r="D11615" s="0" t="s">
        <v>38560</v>
      </c>
      <c r="E11615" s="0" t="s">
        <v>38561</v>
      </c>
      <c r="F11615" s="0" t="s">
        <v>15</v>
      </c>
      <c r="G11615" s="0" t="s">
        <v>36</v>
      </c>
      <c r="H11615" s="0" t="n">
        <v>40</v>
      </c>
      <c r="I11615" s="0" t="s">
        <v>38565</v>
      </c>
      <c r="J11615" s="0" t="s">
        <v>38566</v>
      </c>
      <c r="K11615" s="0" t="s">
        <v>38567</v>
      </c>
      <c r="L11615" s="0" t="str">
        <f aca="false">HYPERLINK("https://www.ncbi.nlm.nih.gov/nuccore/CP000058.1?report=graph&amp;tracks=[key:gene_model_track,Options:GeneOnly]&amp;mk=3660313:3660332|offset_1|444444,3660352:3660371|offset_40|00cc00,3660383:3660402|offset_71|444444,3660403:3660422|offset_91|444444&amp;v=3660112:3660622&amp;c=444444", "offset 40")</f>
        <v>offset 40</v>
      </c>
    </row>
    <row r="11616" customFormat="false" ht="12.8" hidden="false" customHeight="false" outlineLevel="0" collapsed="false">
      <c r="A11616" s="0" t="s">
        <v>12</v>
      </c>
      <c r="B11616" s="0" t="n">
        <v>3660382</v>
      </c>
      <c r="C11616" s="0" t="n">
        <v>3660402</v>
      </c>
      <c r="D11616" s="0" t="s">
        <v>38560</v>
      </c>
      <c r="E11616" s="0" t="s">
        <v>38561</v>
      </c>
      <c r="F11616" s="0" t="s">
        <v>15</v>
      </c>
      <c r="G11616" s="0" t="s">
        <v>20</v>
      </c>
      <c r="H11616" s="0" t="n">
        <v>71</v>
      </c>
      <c r="I11616" s="0" t="s">
        <v>38568</v>
      </c>
      <c r="J11616" s="0" t="s">
        <v>38569</v>
      </c>
      <c r="K11616" s="0" t="s">
        <v>38570</v>
      </c>
      <c r="L11616" s="0" t="str">
        <f aca="false">HYPERLINK("https://www.ncbi.nlm.nih.gov/nuccore/CP000058.1?report=graph&amp;tracks=[key:gene_model_track,Options:GeneOnly]&amp;mk=3660313:3660332|offset_1|444444,3660352:3660371|offset_40|444444,3660383:3660402|offset_71|00cc00,3660403:3660422|offset_91|444444&amp;v=3660112:3660622&amp;c=444444", "offset 71")</f>
        <v>offset 71</v>
      </c>
    </row>
    <row r="11617" customFormat="false" ht="12.8" hidden="false" customHeight="false" outlineLevel="0" collapsed="false">
      <c r="A11617" s="0" t="s">
        <v>12</v>
      </c>
      <c r="B11617" s="0" t="n">
        <v>3660402</v>
      </c>
      <c r="C11617" s="0" t="n">
        <v>3660422</v>
      </c>
      <c r="D11617" s="0" t="s">
        <v>38560</v>
      </c>
      <c r="E11617" s="0" t="s">
        <v>38561</v>
      </c>
      <c r="F11617" s="0" t="s">
        <v>15</v>
      </c>
      <c r="G11617" s="0" t="s">
        <v>36</v>
      </c>
      <c r="H11617" s="0" t="n">
        <v>91</v>
      </c>
      <c r="I11617" s="0" t="s">
        <v>38571</v>
      </c>
      <c r="J11617" s="0" t="s">
        <v>38572</v>
      </c>
      <c r="K11617" s="0" t="s">
        <v>38573</v>
      </c>
      <c r="L11617" s="0" t="str">
        <f aca="false">HYPERLINK("https://www.ncbi.nlm.nih.gov/nuccore/CP000058.1?report=graph&amp;tracks=[key:gene_model_track,Options:GeneOnly]&amp;mk=3660313:3660332|offset_1|444444,3660352:3660371|offset_40|444444,3660383:3660402|offset_71|444444,3660403:3660422|offset_91|00cc00&amp;v=3660112:3660622&amp;c=444444", "offset 91")</f>
        <v>offset 91</v>
      </c>
    </row>
    <row r="11618" customFormat="false" ht="12.8" hidden="false" customHeight="false" outlineLevel="0" collapsed="false">
      <c r="A11618" s="0" t="s">
        <v>12</v>
      </c>
      <c r="B11618" s="0" t="n">
        <v>3661250</v>
      </c>
      <c r="C11618" s="0" t="n">
        <v>3661270</v>
      </c>
      <c r="D11618" s="0" t="s">
        <v>38574</v>
      </c>
      <c r="E11618" s="0" t="s">
        <v>75</v>
      </c>
      <c r="F11618" s="0" t="s">
        <v>15</v>
      </c>
      <c r="G11618" s="0" t="s">
        <v>32</v>
      </c>
      <c r="H11618" s="0" t="n">
        <v>0</v>
      </c>
      <c r="I11618" s="0" t="s">
        <v>38575</v>
      </c>
      <c r="J11618" s="0" t="s">
        <v>38576</v>
      </c>
      <c r="K11618" s="0" t="s">
        <v>38577</v>
      </c>
      <c r="L11618" s="0" t="str">
        <f aca="false">HYPERLINK("https://www.ncbi.nlm.nih.gov/nuccore/CP000058.1?report=graph&amp;tracks=[key:gene_model_track,Options:GeneOnly]&amp;mk=3661251:3661270|offset_0|00cc00,3661283:3661302|offset_32|444444,3661312:3661331|offset_61|444444,3661335:3661354|offset_84|444444&amp;v=3661050:3661554&amp;c=444444", "offset 0")</f>
        <v>offset 0</v>
      </c>
    </row>
    <row r="11619" customFormat="false" ht="12.8" hidden="false" customHeight="false" outlineLevel="0" collapsed="false">
      <c r="A11619" s="0" t="s">
        <v>12</v>
      </c>
      <c r="B11619" s="0" t="n">
        <v>3661282</v>
      </c>
      <c r="C11619" s="0" t="n">
        <v>3661302</v>
      </c>
      <c r="D11619" s="0" t="s">
        <v>38574</v>
      </c>
      <c r="E11619" s="0" t="s">
        <v>75</v>
      </c>
      <c r="F11619" s="0" t="s">
        <v>15</v>
      </c>
      <c r="G11619" s="0" t="s">
        <v>16</v>
      </c>
      <c r="H11619" s="0" t="n">
        <v>32</v>
      </c>
      <c r="I11619" s="0" t="s">
        <v>38578</v>
      </c>
      <c r="J11619" s="0" t="s">
        <v>38579</v>
      </c>
      <c r="K11619" s="0" t="s">
        <v>38580</v>
      </c>
      <c r="L11619" s="0" t="str">
        <f aca="false">HYPERLINK("https://www.ncbi.nlm.nih.gov/nuccore/CP000058.1?report=graph&amp;tracks=[key:gene_model_track,Options:GeneOnly]&amp;mk=3661251:3661270|offset_0|444444,3661283:3661302|offset_32|00cc00,3661312:3661331|offset_61|444444,3661335:3661354|offset_84|444444&amp;v=3661050:3661554&amp;c=444444", "offset 32")</f>
        <v>offset 32</v>
      </c>
    </row>
    <row r="11620" customFormat="false" ht="12.8" hidden="false" customHeight="false" outlineLevel="0" collapsed="false">
      <c r="A11620" s="0" t="s">
        <v>12</v>
      </c>
      <c r="B11620" s="0" t="n">
        <v>3661311</v>
      </c>
      <c r="C11620" s="0" t="n">
        <v>3661331</v>
      </c>
      <c r="D11620" s="0" t="s">
        <v>38574</v>
      </c>
      <c r="E11620" s="0" t="s">
        <v>75</v>
      </c>
      <c r="F11620" s="0" t="s">
        <v>15</v>
      </c>
      <c r="G11620" s="0" t="s">
        <v>16</v>
      </c>
      <c r="H11620" s="0" t="n">
        <v>61</v>
      </c>
      <c r="I11620" s="0" t="s">
        <v>38581</v>
      </c>
      <c r="J11620" s="0" t="s">
        <v>38582</v>
      </c>
      <c r="K11620" s="0" t="s">
        <v>38583</v>
      </c>
      <c r="L11620" s="0" t="str">
        <f aca="false">HYPERLINK("https://www.ncbi.nlm.nih.gov/nuccore/CP000058.1?report=graph&amp;tracks=[key:gene_model_track,Options:GeneOnly]&amp;mk=3661251:3661270|offset_0|444444,3661283:3661302|offset_32|444444,3661312:3661331|offset_61|00cc00,3661335:3661354|offset_84|444444&amp;v=3661050:3661554&amp;c=444444", "offset 61")</f>
        <v>offset 61</v>
      </c>
    </row>
    <row r="11621" customFormat="false" ht="12.8" hidden="false" customHeight="false" outlineLevel="0" collapsed="false">
      <c r="A11621" s="0" t="s">
        <v>12</v>
      </c>
      <c r="B11621" s="0" t="n">
        <v>3661334</v>
      </c>
      <c r="C11621" s="0" t="n">
        <v>3661354</v>
      </c>
      <c r="D11621" s="0" t="s">
        <v>38574</v>
      </c>
      <c r="E11621" s="0" t="s">
        <v>75</v>
      </c>
      <c r="F11621" s="0" t="s">
        <v>15</v>
      </c>
      <c r="G11621" s="0" t="s">
        <v>36</v>
      </c>
      <c r="H11621" s="0" t="n">
        <v>84</v>
      </c>
      <c r="I11621" s="0" t="s">
        <v>38584</v>
      </c>
      <c r="J11621" s="0" t="s">
        <v>38585</v>
      </c>
      <c r="K11621" s="0" t="s">
        <v>38586</v>
      </c>
      <c r="L11621" s="0" t="str">
        <f aca="false">HYPERLINK("https://www.ncbi.nlm.nih.gov/nuccore/CP000058.1?report=graph&amp;tracks=[key:gene_model_track,Options:GeneOnly]&amp;mk=3661251:3661270|offset_0|444444,3661283:3661302|offset_32|444444,3661312:3661331|offset_61|444444,3661335:3661354|offset_84|00cc00&amp;v=3661050:3661554&amp;c=444444", "offset 84")</f>
        <v>offset 84</v>
      </c>
    </row>
    <row r="11622" customFormat="false" ht="12.8" hidden="false" customHeight="false" outlineLevel="0" collapsed="false">
      <c r="A11622" s="0" t="s">
        <v>12</v>
      </c>
      <c r="B11622" s="0" t="n">
        <v>3662964</v>
      </c>
      <c r="C11622" s="0" t="n">
        <v>3662984</v>
      </c>
      <c r="D11622" s="0" t="s">
        <v>38587</v>
      </c>
      <c r="E11622" s="0" t="s">
        <v>75</v>
      </c>
      <c r="F11622" s="0" t="s">
        <v>90</v>
      </c>
      <c r="G11622" s="0" t="s">
        <v>36</v>
      </c>
      <c r="H11622" s="0" t="n">
        <v>21</v>
      </c>
      <c r="I11622" s="0" t="s">
        <v>38588</v>
      </c>
      <c r="J11622" s="0" t="s">
        <v>38589</v>
      </c>
      <c r="K11622" s="0" t="s">
        <v>38590</v>
      </c>
      <c r="L11622" s="0" t="str">
        <f aca="false">HYPERLINK("https://www.ncbi.nlm.nih.gov/nuccore/CP000058.1?report=graph&amp;tracks=[key:gene_model_track,Options:GeneOnly]&amp;mk=3662965:3662984|offset_21|00cc00,3662937:3662956|offset_49|444444,3662860:3662879|offset_126|444444,3662808:3662827|offset_178|444444&amp;v=3662764:3663027&amp;c=444444", "offset 21")</f>
        <v>offset 21</v>
      </c>
    </row>
    <row r="11623" customFormat="false" ht="12.8" hidden="false" customHeight="false" outlineLevel="0" collapsed="false">
      <c r="A11623" s="0" t="s">
        <v>12</v>
      </c>
      <c r="B11623" s="0" t="n">
        <v>3662936</v>
      </c>
      <c r="C11623" s="0" t="n">
        <v>3662956</v>
      </c>
      <c r="D11623" s="0" t="s">
        <v>38587</v>
      </c>
      <c r="E11623" s="0" t="s">
        <v>75</v>
      </c>
      <c r="F11623" s="0" t="s">
        <v>90</v>
      </c>
      <c r="G11623" s="0" t="s">
        <v>20</v>
      </c>
      <c r="H11623" s="0" t="n">
        <v>49</v>
      </c>
      <c r="I11623" s="0" t="s">
        <v>38591</v>
      </c>
      <c r="J11623" s="0" t="s">
        <v>38592</v>
      </c>
      <c r="K11623" s="0" t="s">
        <v>38593</v>
      </c>
      <c r="L11623" s="0" t="str">
        <f aca="false">HYPERLINK("https://www.ncbi.nlm.nih.gov/nuccore/CP000058.1?report=graph&amp;tracks=[key:gene_model_track,Options:GeneOnly]&amp;mk=3662965:3662984|offset_21|444444,3662937:3662956|offset_49|00cc00,3662860:3662879|offset_126|444444,3662808:3662827|offset_178|444444&amp;v=3662764:3663027&amp;c=444444", "offset 49")</f>
        <v>offset 49</v>
      </c>
    </row>
    <row r="11624" customFormat="false" ht="12.8" hidden="false" customHeight="false" outlineLevel="0" collapsed="false">
      <c r="A11624" s="0" t="s">
        <v>12</v>
      </c>
      <c r="B11624" s="0" t="n">
        <v>3662859</v>
      </c>
      <c r="C11624" s="0" t="n">
        <v>3662879</v>
      </c>
      <c r="D11624" s="0" t="s">
        <v>38587</v>
      </c>
      <c r="E11624" s="0" t="s">
        <v>75</v>
      </c>
      <c r="F11624" s="0" t="s">
        <v>90</v>
      </c>
      <c r="G11624" s="0" t="s">
        <v>36</v>
      </c>
      <c r="H11624" s="0" t="n">
        <v>126</v>
      </c>
      <c r="I11624" s="0" t="s">
        <v>38594</v>
      </c>
      <c r="J11624" s="0" t="s">
        <v>38595</v>
      </c>
      <c r="K11624" s="0" t="s">
        <v>38596</v>
      </c>
      <c r="L11624" s="0" t="str">
        <f aca="false">HYPERLINK("https://www.ncbi.nlm.nih.gov/nuccore/CP000058.1?report=graph&amp;tracks=[key:gene_model_track,Options:GeneOnly]&amp;mk=3662965:3662984|offset_21|444444,3662937:3662956|offset_49|444444,3662860:3662879|offset_126|00cc00,3662808:3662827|offset_178|444444&amp;v=3662764:3663027&amp;c=444444", "offset 126")</f>
        <v>offset 126</v>
      </c>
    </row>
    <row r="11625" customFormat="false" ht="12.8" hidden="false" customHeight="false" outlineLevel="0" collapsed="false">
      <c r="A11625" s="0" t="s">
        <v>12</v>
      </c>
      <c r="B11625" s="0" t="n">
        <v>3662807</v>
      </c>
      <c r="C11625" s="0" t="n">
        <v>3662827</v>
      </c>
      <c r="D11625" s="0" t="s">
        <v>38587</v>
      </c>
      <c r="E11625" s="0" t="s">
        <v>75</v>
      </c>
      <c r="F11625" s="0" t="s">
        <v>90</v>
      </c>
      <c r="G11625" s="0" t="s">
        <v>16</v>
      </c>
      <c r="H11625" s="0" t="n">
        <v>178</v>
      </c>
      <c r="I11625" s="0" t="s">
        <v>38597</v>
      </c>
      <c r="J11625" s="0" t="s">
        <v>38598</v>
      </c>
      <c r="K11625" s="0" t="s">
        <v>38599</v>
      </c>
      <c r="L11625" s="0" t="str">
        <f aca="false">HYPERLINK("https://www.ncbi.nlm.nih.gov/nuccore/CP000058.1?report=graph&amp;tracks=[key:gene_model_track,Options:GeneOnly]&amp;mk=3662965:3662984|offset_21|444444,3662937:3662956|offset_49|444444,3662860:3662879|offset_126|444444,3662808:3662827|offset_178|00cc00&amp;v=3662764:3663027&amp;c=444444", "offset 178")</f>
        <v>offset 178</v>
      </c>
    </row>
    <row r="11626" customFormat="false" ht="12.8" hidden="false" customHeight="false" outlineLevel="0" collapsed="false">
      <c r="A11626" s="0" t="s">
        <v>12</v>
      </c>
      <c r="B11626" s="0" t="n">
        <v>3663652</v>
      </c>
      <c r="C11626" s="0" t="n">
        <v>3663672</v>
      </c>
      <c r="D11626" s="0" t="s">
        <v>38600</v>
      </c>
      <c r="E11626" s="0" t="s">
        <v>75</v>
      </c>
      <c r="F11626" s="0" t="s">
        <v>90</v>
      </c>
      <c r="G11626" s="0" t="s">
        <v>16</v>
      </c>
      <c r="H11626" s="0" t="n">
        <v>64</v>
      </c>
      <c r="I11626" s="0" t="s">
        <v>38601</v>
      </c>
      <c r="J11626" s="0" t="s">
        <v>38602</v>
      </c>
      <c r="K11626" s="0" t="s">
        <v>38603</v>
      </c>
      <c r="L11626" s="0" t="str">
        <f aca="false">HYPERLINK("https://www.ncbi.nlm.nih.gov/nuccore/CP000058.1?report=graph&amp;tracks=[key:gene_model_track,Options:GeneOnly]&amp;mk=3663653:3663672|offset_64|00cc00,3663627:3663646|offset_90|444444,3663599:3663618|offset_118|444444,3663567:3663586|offset_150|444444&amp;v=3663452:3663786&amp;c=444444", "offset 64")</f>
        <v>offset 64</v>
      </c>
    </row>
    <row r="11627" customFormat="false" ht="12.8" hidden="false" customHeight="false" outlineLevel="0" collapsed="false">
      <c r="A11627" s="0" t="s">
        <v>12</v>
      </c>
      <c r="B11627" s="0" t="n">
        <v>3663626</v>
      </c>
      <c r="C11627" s="0" t="n">
        <v>3663646</v>
      </c>
      <c r="D11627" s="0" t="s">
        <v>38600</v>
      </c>
      <c r="E11627" s="0" t="s">
        <v>75</v>
      </c>
      <c r="F11627" s="0" t="s">
        <v>90</v>
      </c>
      <c r="G11627" s="0" t="s">
        <v>16</v>
      </c>
      <c r="H11627" s="0" t="n">
        <v>90</v>
      </c>
      <c r="I11627" s="0" t="s">
        <v>38604</v>
      </c>
      <c r="J11627" s="0" t="s">
        <v>38605</v>
      </c>
      <c r="K11627" s="0" t="s">
        <v>38606</v>
      </c>
      <c r="L11627" s="0" t="str">
        <f aca="false">HYPERLINK("https://www.ncbi.nlm.nih.gov/nuccore/CP000058.1?report=graph&amp;tracks=[key:gene_model_track,Options:GeneOnly]&amp;mk=3663653:3663672|offset_64|444444,3663627:3663646|offset_90|00cc00,3663599:3663618|offset_118|444444,3663567:3663586|offset_150|444444&amp;v=3663452:3663786&amp;c=444444", "offset 90")</f>
        <v>offset 90</v>
      </c>
    </row>
    <row r="11628" customFormat="false" ht="12.8" hidden="false" customHeight="false" outlineLevel="0" collapsed="false">
      <c r="A11628" s="0" t="s">
        <v>12</v>
      </c>
      <c r="B11628" s="0" t="n">
        <v>3663598</v>
      </c>
      <c r="C11628" s="0" t="n">
        <v>3663618</v>
      </c>
      <c r="D11628" s="0" t="s">
        <v>38600</v>
      </c>
      <c r="E11628" s="0" t="s">
        <v>75</v>
      </c>
      <c r="F11628" s="0" t="s">
        <v>90</v>
      </c>
      <c r="G11628" s="0" t="s">
        <v>16</v>
      </c>
      <c r="H11628" s="0" t="n">
        <v>118</v>
      </c>
      <c r="I11628" s="0" t="s">
        <v>38607</v>
      </c>
      <c r="J11628" s="0" t="s">
        <v>38608</v>
      </c>
      <c r="K11628" s="0" t="s">
        <v>38609</v>
      </c>
      <c r="L11628" s="0" t="str">
        <f aca="false">HYPERLINK("https://www.ncbi.nlm.nih.gov/nuccore/CP000058.1?report=graph&amp;tracks=[key:gene_model_track,Options:GeneOnly]&amp;mk=3663653:3663672|offset_64|444444,3663627:3663646|offset_90|444444,3663599:3663618|offset_118|00cc00,3663567:3663586|offset_150|444444&amp;v=3663452:3663786&amp;c=444444", "offset 118")</f>
        <v>offset 118</v>
      </c>
    </row>
    <row r="11629" customFormat="false" ht="12.8" hidden="false" customHeight="false" outlineLevel="0" collapsed="false">
      <c r="A11629" s="0" t="s">
        <v>12</v>
      </c>
      <c r="B11629" s="0" t="n">
        <v>3663566</v>
      </c>
      <c r="C11629" s="0" t="n">
        <v>3663586</v>
      </c>
      <c r="D11629" s="0" t="s">
        <v>38600</v>
      </c>
      <c r="E11629" s="0" t="s">
        <v>75</v>
      </c>
      <c r="F11629" s="0" t="s">
        <v>90</v>
      </c>
      <c r="G11629" s="0" t="s">
        <v>16</v>
      </c>
      <c r="H11629" s="0" t="n">
        <v>150</v>
      </c>
      <c r="I11629" s="0" t="s">
        <v>38610</v>
      </c>
      <c r="J11629" s="0" t="s">
        <v>38611</v>
      </c>
      <c r="K11629" s="0" t="s">
        <v>38612</v>
      </c>
      <c r="L11629" s="0" t="str">
        <f aca="false">HYPERLINK("https://www.ncbi.nlm.nih.gov/nuccore/CP000058.1?report=graph&amp;tracks=[key:gene_model_track,Options:GeneOnly]&amp;mk=3663653:3663672|offset_64|444444,3663627:3663646|offset_90|444444,3663599:3663618|offset_118|444444,3663567:3663586|offset_150|00cc00&amp;v=3663452:3663786&amp;c=444444", "offset 150")</f>
        <v>offset 150</v>
      </c>
    </row>
    <row r="11630" customFormat="false" ht="12.8" hidden="false" customHeight="false" outlineLevel="0" collapsed="false">
      <c r="A11630" s="0" t="s">
        <v>12</v>
      </c>
      <c r="B11630" s="0" t="n">
        <v>3664711</v>
      </c>
      <c r="C11630" s="0" t="n">
        <v>3664731</v>
      </c>
      <c r="D11630" s="0" t="s">
        <v>38613</v>
      </c>
      <c r="E11630" s="0" t="s">
        <v>75</v>
      </c>
      <c r="F11630" s="0" t="s">
        <v>90</v>
      </c>
      <c r="G11630" s="0" t="s">
        <v>16</v>
      </c>
      <c r="H11630" s="0" t="n">
        <v>48</v>
      </c>
      <c r="I11630" s="0" t="s">
        <v>38614</v>
      </c>
      <c r="J11630" s="0" t="s">
        <v>38615</v>
      </c>
      <c r="K11630" s="0" t="s">
        <v>38616</v>
      </c>
      <c r="L11630" s="0" t="str">
        <f aca="false">HYPERLINK("https://www.ncbi.nlm.nih.gov/nuccore/CP000058.1?report=graph&amp;tracks=[key:gene_model_track,Options:GeneOnly]&amp;mk=3664712:3664731|offset_48|00cc00,3664673:3664692|offset_87|444444,3664653:3664672|offset_107|444444,3664618:3664637|offset_142|444444&amp;v=3664511:3664837&amp;c=444444", "offset 48")</f>
        <v>offset 48</v>
      </c>
    </row>
    <row r="11631" customFormat="false" ht="12.8" hidden="false" customHeight="false" outlineLevel="0" collapsed="false">
      <c r="A11631" s="0" t="s">
        <v>12</v>
      </c>
      <c r="B11631" s="0" t="n">
        <v>3664672</v>
      </c>
      <c r="C11631" s="0" t="n">
        <v>3664692</v>
      </c>
      <c r="D11631" s="0" t="s">
        <v>38613</v>
      </c>
      <c r="E11631" s="0" t="s">
        <v>75</v>
      </c>
      <c r="F11631" s="0" t="s">
        <v>90</v>
      </c>
      <c r="G11631" s="0" t="s">
        <v>16</v>
      </c>
      <c r="H11631" s="0" t="n">
        <v>87</v>
      </c>
      <c r="I11631" s="0" t="s">
        <v>38617</v>
      </c>
      <c r="J11631" s="0" t="s">
        <v>38618</v>
      </c>
      <c r="K11631" s="0" t="s">
        <v>38619</v>
      </c>
      <c r="L11631" s="0" t="str">
        <f aca="false">HYPERLINK("https://www.ncbi.nlm.nih.gov/nuccore/CP000058.1?report=graph&amp;tracks=[key:gene_model_track,Options:GeneOnly]&amp;mk=3664712:3664731|offset_48|444444,3664673:3664692|offset_87|00cc00,3664653:3664672|offset_107|444444,3664618:3664637|offset_142|444444&amp;v=3664511:3664837&amp;c=444444", "offset 87")</f>
        <v>offset 87</v>
      </c>
    </row>
    <row r="11632" customFormat="false" ht="12.8" hidden="false" customHeight="false" outlineLevel="0" collapsed="false">
      <c r="A11632" s="0" t="s">
        <v>12</v>
      </c>
      <c r="B11632" s="0" t="n">
        <v>3664652</v>
      </c>
      <c r="C11632" s="0" t="n">
        <v>3664672</v>
      </c>
      <c r="D11632" s="0" t="s">
        <v>38613</v>
      </c>
      <c r="E11632" s="0" t="s">
        <v>75</v>
      </c>
      <c r="F11632" s="0" t="s">
        <v>90</v>
      </c>
      <c r="G11632" s="0" t="s">
        <v>32</v>
      </c>
      <c r="H11632" s="0" t="n">
        <v>107</v>
      </c>
      <c r="I11632" s="0" t="s">
        <v>38620</v>
      </c>
      <c r="J11632" s="0" t="s">
        <v>38621</v>
      </c>
      <c r="K11632" s="0" t="s">
        <v>38622</v>
      </c>
      <c r="L11632" s="0" t="str">
        <f aca="false">HYPERLINK("https://www.ncbi.nlm.nih.gov/nuccore/CP000058.1?report=graph&amp;tracks=[key:gene_model_track,Options:GeneOnly]&amp;mk=3664712:3664731|offset_48|444444,3664673:3664692|offset_87|444444,3664653:3664672|offset_107|00cc00,3664618:3664637|offset_142|444444&amp;v=3664511:3664837&amp;c=444444", "offset 107")</f>
        <v>offset 107</v>
      </c>
    </row>
    <row r="11633" customFormat="false" ht="12.8" hidden="false" customHeight="false" outlineLevel="0" collapsed="false">
      <c r="A11633" s="0" t="s">
        <v>12</v>
      </c>
      <c r="B11633" s="0" t="n">
        <v>3664617</v>
      </c>
      <c r="C11633" s="0" t="n">
        <v>3664637</v>
      </c>
      <c r="D11633" s="0" t="s">
        <v>38613</v>
      </c>
      <c r="E11633" s="0" t="s">
        <v>75</v>
      </c>
      <c r="F11633" s="0" t="s">
        <v>90</v>
      </c>
      <c r="G11633" s="0" t="s">
        <v>16</v>
      </c>
      <c r="H11633" s="0" t="n">
        <v>142</v>
      </c>
      <c r="I11633" s="0" t="s">
        <v>38623</v>
      </c>
      <c r="J11633" s="0" t="s">
        <v>38624</v>
      </c>
      <c r="K11633" s="0" t="s">
        <v>38625</v>
      </c>
      <c r="L11633" s="0" t="str">
        <f aca="false">HYPERLINK("https://www.ncbi.nlm.nih.gov/nuccore/CP000058.1?report=graph&amp;tracks=[key:gene_model_track,Options:GeneOnly]&amp;mk=3664712:3664731|offset_48|444444,3664673:3664692|offset_87|444444,3664653:3664672|offset_107|444444,3664618:3664637|offset_142|00cc00&amp;v=3664511:3664837&amp;c=444444", "offset 142")</f>
        <v>offset 142</v>
      </c>
    </row>
    <row r="11634" customFormat="false" ht="12.8" hidden="false" customHeight="false" outlineLevel="0" collapsed="false">
      <c r="A11634" s="0" t="s">
        <v>12</v>
      </c>
      <c r="B11634" s="0" t="n">
        <v>3665048</v>
      </c>
      <c r="C11634" s="0" t="n">
        <v>3665068</v>
      </c>
      <c r="D11634" s="0" t="s">
        <v>38626</v>
      </c>
      <c r="E11634" s="0" t="s">
        <v>38627</v>
      </c>
      <c r="F11634" s="0" t="s">
        <v>15</v>
      </c>
      <c r="G11634" s="0" t="s">
        <v>36</v>
      </c>
      <c r="H11634" s="0" t="n">
        <v>0</v>
      </c>
      <c r="I11634" s="0" t="s">
        <v>38628</v>
      </c>
      <c r="J11634" s="0" t="s">
        <v>38629</v>
      </c>
      <c r="K11634" s="0" t="s">
        <v>38630</v>
      </c>
      <c r="L11634" s="0" t="str">
        <f aca="false">HYPERLINK("https://www.ncbi.nlm.nih.gov/nuccore/CP000058.1?report=graph&amp;tracks=[key:gene_model_track,Options:GeneOnly]&amp;mk=3665049:3665068|offset_0|00cc00,3665080:3665099|offset_31|444444,3665101:3665120|offset_52|444444,3665129:3665148|offset_80|444444&amp;v=3664848:3665348&amp;c=444444", "offset 0")</f>
        <v>offset 0</v>
      </c>
    </row>
    <row r="11635" customFormat="false" ht="12.8" hidden="false" customHeight="false" outlineLevel="0" collapsed="false">
      <c r="A11635" s="0" t="s">
        <v>12</v>
      </c>
      <c r="B11635" s="0" t="n">
        <v>3665079</v>
      </c>
      <c r="C11635" s="0" t="n">
        <v>3665099</v>
      </c>
      <c r="D11635" s="0" t="s">
        <v>38626</v>
      </c>
      <c r="E11635" s="0" t="s">
        <v>38627</v>
      </c>
      <c r="F11635" s="0" t="s">
        <v>15</v>
      </c>
      <c r="G11635" s="0" t="s">
        <v>32</v>
      </c>
      <c r="H11635" s="0" t="n">
        <v>31</v>
      </c>
      <c r="I11635" s="0" t="s">
        <v>38631</v>
      </c>
      <c r="J11635" s="0" t="s">
        <v>38632</v>
      </c>
      <c r="K11635" s="0" t="s">
        <v>38633</v>
      </c>
      <c r="L11635" s="0" t="str">
        <f aca="false">HYPERLINK("https://www.ncbi.nlm.nih.gov/nuccore/CP000058.1?report=graph&amp;tracks=[key:gene_model_track,Options:GeneOnly]&amp;mk=3665049:3665068|offset_0|444444,3665080:3665099|offset_31|00cc00,3665101:3665120|offset_52|444444,3665129:3665148|offset_80|444444&amp;v=3664848:3665348&amp;c=444444", "offset 31")</f>
        <v>offset 31</v>
      </c>
    </row>
    <row r="11636" customFormat="false" ht="12.8" hidden="false" customHeight="false" outlineLevel="0" collapsed="false">
      <c r="A11636" s="0" t="s">
        <v>12</v>
      </c>
      <c r="B11636" s="0" t="n">
        <v>3665100</v>
      </c>
      <c r="C11636" s="0" t="n">
        <v>3665120</v>
      </c>
      <c r="D11636" s="0" t="s">
        <v>38626</v>
      </c>
      <c r="E11636" s="0" t="s">
        <v>38627</v>
      </c>
      <c r="F11636" s="0" t="s">
        <v>15</v>
      </c>
      <c r="G11636" s="0" t="s">
        <v>20</v>
      </c>
      <c r="H11636" s="0" t="n">
        <v>52</v>
      </c>
      <c r="I11636" s="0" t="s">
        <v>38634</v>
      </c>
      <c r="J11636" s="0" t="s">
        <v>38635</v>
      </c>
      <c r="K11636" s="0" t="s">
        <v>38636</v>
      </c>
      <c r="L11636" s="0" t="str">
        <f aca="false">HYPERLINK("https://www.ncbi.nlm.nih.gov/nuccore/CP000058.1?report=graph&amp;tracks=[key:gene_model_track,Options:GeneOnly]&amp;mk=3665049:3665068|offset_0|444444,3665080:3665099|offset_31|444444,3665101:3665120|offset_52|00cc00,3665129:3665148|offset_80|444444&amp;v=3664848:3665348&amp;c=444444", "offset 52")</f>
        <v>offset 52</v>
      </c>
    </row>
    <row r="11637" customFormat="false" ht="12.8" hidden="false" customHeight="false" outlineLevel="0" collapsed="false">
      <c r="A11637" s="0" t="s">
        <v>12</v>
      </c>
      <c r="B11637" s="0" t="n">
        <v>3665128</v>
      </c>
      <c r="C11637" s="0" t="n">
        <v>3665148</v>
      </c>
      <c r="D11637" s="0" t="s">
        <v>38626</v>
      </c>
      <c r="E11637" s="0" t="s">
        <v>38627</v>
      </c>
      <c r="F11637" s="0" t="s">
        <v>15</v>
      </c>
      <c r="G11637" s="0" t="s">
        <v>20</v>
      </c>
      <c r="H11637" s="0" t="n">
        <v>80</v>
      </c>
      <c r="I11637" s="0" t="s">
        <v>38637</v>
      </c>
      <c r="J11637" s="0" t="s">
        <v>38638</v>
      </c>
      <c r="K11637" s="0" t="s">
        <v>38639</v>
      </c>
      <c r="L11637" s="0" t="str">
        <f aca="false">HYPERLINK("https://www.ncbi.nlm.nih.gov/nuccore/CP000058.1?report=graph&amp;tracks=[key:gene_model_track,Options:GeneOnly]&amp;mk=3665049:3665068|offset_0|444444,3665080:3665099|offset_31|444444,3665101:3665120|offset_52|444444,3665129:3665148|offset_80|00cc00&amp;v=3664848:3665348&amp;c=444444", "offset 80")</f>
        <v>offset 80</v>
      </c>
    </row>
    <row r="11638" customFormat="false" ht="12.8" hidden="false" customHeight="false" outlineLevel="0" collapsed="false">
      <c r="A11638" s="0" t="s">
        <v>12</v>
      </c>
      <c r="B11638" s="0" t="n">
        <v>3668407</v>
      </c>
      <c r="C11638" s="0" t="n">
        <v>3668427</v>
      </c>
      <c r="D11638" s="0" t="s">
        <v>38640</v>
      </c>
      <c r="E11638" s="0" t="s">
        <v>75</v>
      </c>
      <c r="F11638" s="0" t="s">
        <v>90</v>
      </c>
      <c r="G11638" s="0" t="s">
        <v>36</v>
      </c>
      <c r="H11638" s="0" t="n">
        <v>10</v>
      </c>
      <c r="I11638" s="0" t="s">
        <v>38641</v>
      </c>
      <c r="J11638" s="0" t="s">
        <v>38642</v>
      </c>
      <c r="K11638" s="0" t="s">
        <v>38643</v>
      </c>
      <c r="L11638" s="0" t="str">
        <f aca="false">HYPERLINK("https://www.ncbi.nlm.nih.gov/nuccore/CP000058.1?report=graph&amp;tracks=[key:gene_model_track,Options:GeneOnly]&amp;mk=3668408:3668427|offset_10|00cc00,3668363:3668382|offset_55|444444,3668342:3668361|offset_76|444444,3668311:3668330|offset_107|444444&amp;v=3668207:3668530&amp;c=444444", "offset 10")</f>
        <v>offset 10</v>
      </c>
    </row>
    <row r="11639" customFormat="false" ht="12.8" hidden="false" customHeight="false" outlineLevel="0" collapsed="false">
      <c r="A11639" s="0" t="s">
        <v>12</v>
      </c>
      <c r="B11639" s="0" t="n">
        <v>3668362</v>
      </c>
      <c r="C11639" s="0" t="n">
        <v>3668382</v>
      </c>
      <c r="D11639" s="0" t="s">
        <v>38640</v>
      </c>
      <c r="E11639" s="0" t="s">
        <v>75</v>
      </c>
      <c r="F11639" s="0" t="s">
        <v>90</v>
      </c>
      <c r="G11639" s="0" t="s">
        <v>32</v>
      </c>
      <c r="H11639" s="0" t="n">
        <v>55</v>
      </c>
      <c r="I11639" s="0" t="s">
        <v>38644</v>
      </c>
      <c r="J11639" s="0" t="s">
        <v>38645</v>
      </c>
      <c r="K11639" s="0" t="s">
        <v>38646</v>
      </c>
      <c r="L11639" s="0" t="str">
        <f aca="false">HYPERLINK("https://www.ncbi.nlm.nih.gov/nuccore/CP000058.1?report=graph&amp;tracks=[key:gene_model_track,Options:GeneOnly]&amp;mk=3668408:3668427|offset_10|444444,3668363:3668382|offset_55|00cc00,3668342:3668361|offset_76|444444,3668311:3668330|offset_107|444444&amp;v=3668207:3668530&amp;c=444444", "offset 55")</f>
        <v>offset 55</v>
      </c>
    </row>
    <row r="11640" customFormat="false" ht="12.8" hidden="false" customHeight="false" outlineLevel="0" collapsed="false">
      <c r="A11640" s="0" t="s">
        <v>12</v>
      </c>
      <c r="B11640" s="0" t="n">
        <v>3668341</v>
      </c>
      <c r="C11640" s="0" t="n">
        <v>3668361</v>
      </c>
      <c r="D11640" s="0" t="s">
        <v>38640</v>
      </c>
      <c r="E11640" s="0" t="s">
        <v>75</v>
      </c>
      <c r="F11640" s="0" t="s">
        <v>90</v>
      </c>
      <c r="G11640" s="0" t="s">
        <v>16</v>
      </c>
      <c r="H11640" s="0" t="n">
        <v>76</v>
      </c>
      <c r="I11640" s="0" t="s">
        <v>38647</v>
      </c>
      <c r="J11640" s="0" t="s">
        <v>38648</v>
      </c>
      <c r="K11640" s="0" t="s">
        <v>38649</v>
      </c>
      <c r="L11640" s="0" t="str">
        <f aca="false">HYPERLINK("https://www.ncbi.nlm.nih.gov/nuccore/CP000058.1?report=graph&amp;tracks=[key:gene_model_track,Options:GeneOnly]&amp;mk=3668408:3668427|offset_10|444444,3668363:3668382|offset_55|444444,3668342:3668361|offset_76|00cc00,3668311:3668330|offset_107|444444&amp;v=3668207:3668530&amp;c=444444", "offset 76")</f>
        <v>offset 76</v>
      </c>
    </row>
    <row r="11641" customFormat="false" ht="12.8" hidden="false" customHeight="false" outlineLevel="0" collapsed="false">
      <c r="A11641" s="0" t="s">
        <v>12</v>
      </c>
      <c r="B11641" s="0" t="n">
        <v>3668310</v>
      </c>
      <c r="C11641" s="0" t="n">
        <v>3668330</v>
      </c>
      <c r="D11641" s="0" t="s">
        <v>38640</v>
      </c>
      <c r="E11641" s="0" t="s">
        <v>75</v>
      </c>
      <c r="F11641" s="0" t="s">
        <v>90</v>
      </c>
      <c r="G11641" s="0" t="s">
        <v>36</v>
      </c>
      <c r="H11641" s="0" t="n">
        <v>107</v>
      </c>
      <c r="I11641" s="0" t="s">
        <v>38650</v>
      </c>
      <c r="J11641" s="0" t="s">
        <v>38651</v>
      </c>
      <c r="K11641" s="0" t="s">
        <v>38652</v>
      </c>
      <c r="L11641" s="0" t="str">
        <f aca="false">HYPERLINK("https://www.ncbi.nlm.nih.gov/nuccore/CP000058.1?report=graph&amp;tracks=[key:gene_model_track,Options:GeneOnly]&amp;mk=3668408:3668427|offset_10|444444,3668363:3668382|offset_55|444444,3668342:3668361|offset_76|444444,3668311:3668330|offset_107|00cc00&amp;v=3668207:3668530&amp;c=444444", "offset 107")</f>
        <v>offset 107</v>
      </c>
    </row>
    <row r="11642" customFormat="false" ht="12.8" hidden="false" customHeight="false" outlineLevel="0" collapsed="false">
      <c r="A11642" s="0" t="s">
        <v>12</v>
      </c>
      <c r="B11642" s="0" t="n">
        <v>3672665</v>
      </c>
      <c r="C11642" s="0" t="n">
        <v>3672685</v>
      </c>
      <c r="D11642" s="0" t="s">
        <v>38653</v>
      </c>
      <c r="E11642" s="0" t="s">
        <v>75</v>
      </c>
      <c r="F11642" s="0" t="s">
        <v>90</v>
      </c>
      <c r="G11642" s="0" t="s">
        <v>32</v>
      </c>
      <c r="H11642" s="0" t="n">
        <v>7</v>
      </c>
      <c r="I11642" s="0" t="s">
        <v>38654</v>
      </c>
      <c r="J11642" s="0" t="s">
        <v>38655</v>
      </c>
      <c r="K11642" s="0" t="s">
        <v>38656</v>
      </c>
      <c r="L11642" s="0" t="str">
        <f aca="false">HYPERLINK("https://www.ncbi.nlm.nih.gov/nuccore/CP000058.1?report=graph&amp;tracks=[key:gene_model_track,Options:GeneOnly]&amp;mk=3672666:3672685|offset_7|00cc00,3672627:3672646|offset_46|444444,3672573:3672592|offset_100|444444,3672530:3672549|offset_143|444444&amp;v=3672465:3672749&amp;c=444444", "offset 7")</f>
        <v>offset 7</v>
      </c>
    </row>
    <row r="11643" customFormat="false" ht="12.8" hidden="false" customHeight="false" outlineLevel="0" collapsed="false">
      <c r="A11643" s="0" t="s">
        <v>12</v>
      </c>
      <c r="B11643" s="0" t="n">
        <v>3672626</v>
      </c>
      <c r="C11643" s="0" t="n">
        <v>3672646</v>
      </c>
      <c r="D11643" s="0" t="s">
        <v>38653</v>
      </c>
      <c r="E11643" s="0" t="s">
        <v>75</v>
      </c>
      <c r="F11643" s="0" t="s">
        <v>90</v>
      </c>
      <c r="G11643" s="0" t="s">
        <v>32</v>
      </c>
      <c r="H11643" s="0" t="n">
        <v>46</v>
      </c>
      <c r="I11643" s="0" t="s">
        <v>38657</v>
      </c>
      <c r="J11643" s="0" t="s">
        <v>38658</v>
      </c>
      <c r="K11643" s="0" t="s">
        <v>38659</v>
      </c>
      <c r="L11643" s="0" t="str">
        <f aca="false">HYPERLINK("https://www.ncbi.nlm.nih.gov/nuccore/CP000058.1?report=graph&amp;tracks=[key:gene_model_track,Options:GeneOnly]&amp;mk=3672666:3672685|offset_7|444444,3672627:3672646|offset_46|00cc00,3672573:3672592|offset_100|444444,3672530:3672549|offset_143|444444&amp;v=3672465:3672749&amp;c=444444", "offset 46")</f>
        <v>offset 46</v>
      </c>
    </row>
    <row r="11644" customFormat="false" ht="12.8" hidden="false" customHeight="false" outlineLevel="0" collapsed="false">
      <c r="A11644" s="0" t="s">
        <v>12</v>
      </c>
      <c r="B11644" s="0" t="n">
        <v>3672572</v>
      </c>
      <c r="C11644" s="0" t="n">
        <v>3672592</v>
      </c>
      <c r="D11644" s="0" t="s">
        <v>38653</v>
      </c>
      <c r="E11644" s="0" t="s">
        <v>75</v>
      </c>
      <c r="F11644" s="0" t="s">
        <v>90</v>
      </c>
      <c r="G11644" s="0" t="s">
        <v>32</v>
      </c>
      <c r="H11644" s="0" t="n">
        <v>100</v>
      </c>
      <c r="I11644" s="0" t="s">
        <v>38660</v>
      </c>
      <c r="J11644" s="0" t="s">
        <v>38661</v>
      </c>
      <c r="K11644" s="0" t="s">
        <v>38662</v>
      </c>
      <c r="L11644" s="0" t="str">
        <f aca="false">HYPERLINK("https://www.ncbi.nlm.nih.gov/nuccore/CP000058.1?report=graph&amp;tracks=[key:gene_model_track,Options:GeneOnly]&amp;mk=3672666:3672685|offset_7|444444,3672627:3672646|offset_46|444444,3672573:3672592|offset_100|00cc00,3672530:3672549|offset_143|444444&amp;v=3672465:3672749&amp;c=444444", "offset 100")</f>
        <v>offset 100</v>
      </c>
    </row>
    <row r="11645" customFormat="false" ht="12.8" hidden="false" customHeight="false" outlineLevel="0" collapsed="false">
      <c r="A11645" s="0" t="s">
        <v>12</v>
      </c>
      <c r="B11645" s="0" t="n">
        <v>3672529</v>
      </c>
      <c r="C11645" s="0" t="n">
        <v>3672549</v>
      </c>
      <c r="D11645" s="0" t="s">
        <v>38653</v>
      </c>
      <c r="E11645" s="0" t="s">
        <v>75</v>
      </c>
      <c r="F11645" s="0" t="s">
        <v>90</v>
      </c>
      <c r="G11645" s="0" t="s">
        <v>20</v>
      </c>
      <c r="H11645" s="0" t="n">
        <v>143</v>
      </c>
      <c r="I11645" s="0" t="s">
        <v>38663</v>
      </c>
      <c r="J11645" s="0" t="s">
        <v>38664</v>
      </c>
      <c r="K11645" s="0" t="s">
        <v>38665</v>
      </c>
      <c r="L11645" s="0" t="str">
        <f aca="false">HYPERLINK("https://www.ncbi.nlm.nih.gov/nuccore/CP000058.1?report=graph&amp;tracks=[key:gene_model_track,Options:GeneOnly]&amp;mk=3672666:3672685|offset_7|444444,3672627:3672646|offset_46|444444,3672573:3672592|offset_100|444444,3672530:3672549|offset_143|00cc00&amp;v=3672465:3672749&amp;c=444444", "offset 143")</f>
        <v>offset 143</v>
      </c>
    </row>
    <row r="11646" customFormat="false" ht="12.8" hidden="false" customHeight="false" outlineLevel="0" collapsed="false">
      <c r="A11646" s="0" t="s">
        <v>12</v>
      </c>
      <c r="B11646" s="0" t="n">
        <v>3673597</v>
      </c>
      <c r="C11646" s="0" t="n">
        <v>3673617</v>
      </c>
      <c r="D11646" s="0" t="s">
        <v>38666</v>
      </c>
      <c r="E11646" s="0" t="s">
        <v>75</v>
      </c>
      <c r="F11646" s="0" t="s">
        <v>90</v>
      </c>
      <c r="G11646" s="0" t="s">
        <v>32</v>
      </c>
      <c r="H11646" s="0" t="n">
        <v>1</v>
      </c>
      <c r="I11646" s="0" t="s">
        <v>38667</v>
      </c>
      <c r="J11646" s="0" t="s">
        <v>38668</v>
      </c>
      <c r="K11646" s="0" t="s">
        <v>38669</v>
      </c>
      <c r="L11646" s="0" t="str">
        <f aca="false">HYPERLINK("https://www.ncbi.nlm.nih.gov/nuccore/CP000058.1?report=graph&amp;tracks=[key:gene_model_track,Options:GeneOnly]&amp;mk=3673598:3673617|offset_1|00cc00,3673545:3673564|offset_54|444444,3673514:3673533|offset_85|444444,3673474:3673493|offset_125|444444&amp;v=3673397:3673693&amp;c=444444", "offset 1")</f>
        <v>offset 1</v>
      </c>
    </row>
    <row r="11647" customFormat="false" ht="12.8" hidden="false" customHeight="false" outlineLevel="0" collapsed="false">
      <c r="A11647" s="0" t="s">
        <v>12</v>
      </c>
      <c r="B11647" s="0" t="n">
        <v>3673544</v>
      </c>
      <c r="C11647" s="0" t="n">
        <v>3673564</v>
      </c>
      <c r="D11647" s="0" t="s">
        <v>38666</v>
      </c>
      <c r="E11647" s="0" t="s">
        <v>75</v>
      </c>
      <c r="F11647" s="0" t="s">
        <v>90</v>
      </c>
      <c r="G11647" s="0" t="s">
        <v>16</v>
      </c>
      <c r="H11647" s="0" t="n">
        <v>54</v>
      </c>
      <c r="I11647" s="0" t="s">
        <v>38670</v>
      </c>
      <c r="J11647" s="0" t="s">
        <v>38671</v>
      </c>
      <c r="K11647" s="0" t="s">
        <v>38672</v>
      </c>
      <c r="L11647" s="0" t="str">
        <f aca="false">HYPERLINK("https://www.ncbi.nlm.nih.gov/nuccore/CP000058.1?report=graph&amp;tracks=[key:gene_model_track,Options:GeneOnly]&amp;mk=3673598:3673617|offset_1|444444,3673545:3673564|offset_54|00cc00,3673514:3673533|offset_85|444444,3673474:3673493|offset_125|444444&amp;v=3673397:3673693&amp;c=444444", "offset 54")</f>
        <v>offset 54</v>
      </c>
    </row>
    <row r="11648" customFormat="false" ht="12.8" hidden="false" customHeight="false" outlineLevel="0" collapsed="false">
      <c r="A11648" s="0" t="s">
        <v>12</v>
      </c>
      <c r="B11648" s="0" t="n">
        <v>3673513</v>
      </c>
      <c r="C11648" s="0" t="n">
        <v>3673533</v>
      </c>
      <c r="D11648" s="0" t="s">
        <v>38666</v>
      </c>
      <c r="E11648" s="0" t="s">
        <v>75</v>
      </c>
      <c r="F11648" s="0" t="s">
        <v>90</v>
      </c>
      <c r="G11648" s="0" t="s">
        <v>32</v>
      </c>
      <c r="H11648" s="0" t="n">
        <v>85</v>
      </c>
      <c r="I11648" s="0" t="s">
        <v>38673</v>
      </c>
      <c r="J11648" s="0" t="s">
        <v>38674</v>
      </c>
      <c r="K11648" s="0" t="s">
        <v>38675</v>
      </c>
      <c r="L11648" s="0" t="str">
        <f aca="false">HYPERLINK("https://www.ncbi.nlm.nih.gov/nuccore/CP000058.1?report=graph&amp;tracks=[key:gene_model_track,Options:GeneOnly]&amp;mk=3673598:3673617|offset_1|444444,3673545:3673564|offset_54|444444,3673514:3673533|offset_85|00cc00,3673474:3673493|offset_125|444444&amp;v=3673397:3673693&amp;c=444444", "offset 85")</f>
        <v>offset 85</v>
      </c>
    </row>
    <row r="11649" customFormat="false" ht="12.8" hidden="false" customHeight="false" outlineLevel="0" collapsed="false">
      <c r="A11649" s="0" t="s">
        <v>12</v>
      </c>
      <c r="B11649" s="0" t="n">
        <v>3673473</v>
      </c>
      <c r="C11649" s="0" t="n">
        <v>3673493</v>
      </c>
      <c r="D11649" s="0" t="s">
        <v>38666</v>
      </c>
      <c r="E11649" s="0" t="s">
        <v>75</v>
      </c>
      <c r="F11649" s="0" t="s">
        <v>90</v>
      </c>
      <c r="G11649" s="0" t="s">
        <v>36</v>
      </c>
      <c r="H11649" s="0" t="n">
        <v>125</v>
      </c>
      <c r="I11649" s="0" t="s">
        <v>38676</v>
      </c>
      <c r="J11649" s="0" t="s">
        <v>38677</v>
      </c>
      <c r="K11649" s="0" t="s">
        <v>38678</v>
      </c>
      <c r="L11649" s="0" t="str">
        <f aca="false">HYPERLINK("https://www.ncbi.nlm.nih.gov/nuccore/CP000058.1?report=graph&amp;tracks=[key:gene_model_track,Options:GeneOnly]&amp;mk=3673598:3673617|offset_1|444444,3673545:3673564|offset_54|444444,3673514:3673533|offset_85|444444,3673474:3673493|offset_125|00cc00&amp;v=3673397:3673693&amp;c=444444", "offset 125")</f>
        <v>offset 125</v>
      </c>
    </row>
    <row r="11650" customFormat="false" ht="12.8" hidden="false" customHeight="false" outlineLevel="0" collapsed="false">
      <c r="A11650" s="0" t="s">
        <v>12</v>
      </c>
      <c r="B11650" s="0" t="n">
        <v>3674031</v>
      </c>
      <c r="C11650" s="0" t="n">
        <v>3674051</v>
      </c>
      <c r="D11650" s="0" t="s">
        <v>38679</v>
      </c>
      <c r="E11650" s="0" t="s">
        <v>75</v>
      </c>
      <c r="F11650" s="0" t="s">
        <v>15</v>
      </c>
      <c r="G11650" s="0" t="s">
        <v>16</v>
      </c>
      <c r="H11650" s="0" t="n">
        <v>24</v>
      </c>
      <c r="I11650" s="0" t="s">
        <v>38680</v>
      </c>
      <c r="J11650" s="0" t="s">
        <v>38681</v>
      </c>
      <c r="K11650" s="0" t="s">
        <v>38682</v>
      </c>
      <c r="L11650" s="0" t="str">
        <f aca="false">HYPERLINK("https://www.ncbi.nlm.nih.gov/nuccore/CP000058.1?report=graph&amp;tracks=[key:gene_model_track,Options:GeneOnly]&amp;mk=3674032:3674051|offset_24|00cc00,3674080:3674099|offset_72|444444,3674117:3674136|offset_109|444444,3674152:3674171|offset_144|444444&amp;v=3673831:3674371&amp;c=444444", "offset 24")</f>
        <v>offset 24</v>
      </c>
    </row>
    <row r="11651" customFormat="false" ht="12.8" hidden="false" customHeight="false" outlineLevel="0" collapsed="false">
      <c r="A11651" s="0" t="s">
        <v>12</v>
      </c>
      <c r="B11651" s="0" t="n">
        <v>3674079</v>
      </c>
      <c r="C11651" s="0" t="n">
        <v>3674099</v>
      </c>
      <c r="D11651" s="0" t="s">
        <v>38679</v>
      </c>
      <c r="E11651" s="0" t="s">
        <v>75</v>
      </c>
      <c r="F11651" s="0" t="s">
        <v>15</v>
      </c>
      <c r="G11651" s="0" t="s">
        <v>36</v>
      </c>
      <c r="H11651" s="0" t="n">
        <v>72</v>
      </c>
      <c r="I11651" s="0" t="s">
        <v>38683</v>
      </c>
      <c r="J11651" s="0" t="s">
        <v>38684</v>
      </c>
      <c r="K11651" s="0" t="s">
        <v>38685</v>
      </c>
      <c r="L11651" s="0" t="str">
        <f aca="false">HYPERLINK("https://www.ncbi.nlm.nih.gov/nuccore/CP000058.1?report=graph&amp;tracks=[key:gene_model_track,Options:GeneOnly]&amp;mk=3674032:3674051|offset_24|444444,3674080:3674099|offset_72|00cc00,3674117:3674136|offset_109|444444,3674152:3674171|offset_144|444444&amp;v=3673831:3674371&amp;c=444444", "offset 72")</f>
        <v>offset 72</v>
      </c>
    </row>
    <row r="11652" customFormat="false" ht="12.8" hidden="false" customHeight="false" outlineLevel="0" collapsed="false">
      <c r="A11652" s="0" t="s">
        <v>12</v>
      </c>
      <c r="B11652" s="0" t="n">
        <v>3674116</v>
      </c>
      <c r="C11652" s="0" t="n">
        <v>3674136</v>
      </c>
      <c r="D11652" s="0" t="s">
        <v>38679</v>
      </c>
      <c r="E11652" s="0" t="s">
        <v>75</v>
      </c>
      <c r="F11652" s="0" t="s">
        <v>15</v>
      </c>
      <c r="G11652" s="0" t="s">
        <v>16</v>
      </c>
      <c r="H11652" s="0" t="n">
        <v>109</v>
      </c>
      <c r="I11652" s="0" t="s">
        <v>38686</v>
      </c>
      <c r="J11652" s="0" t="s">
        <v>38687</v>
      </c>
      <c r="K11652" s="0" t="s">
        <v>38688</v>
      </c>
      <c r="L11652" s="0" t="str">
        <f aca="false">HYPERLINK("https://www.ncbi.nlm.nih.gov/nuccore/CP000058.1?report=graph&amp;tracks=[key:gene_model_track,Options:GeneOnly]&amp;mk=3674032:3674051|offset_24|444444,3674080:3674099|offset_72|444444,3674117:3674136|offset_109|00cc00,3674152:3674171|offset_144|444444&amp;v=3673831:3674371&amp;c=444444", "offset 109")</f>
        <v>offset 109</v>
      </c>
    </row>
    <row r="11653" customFormat="false" ht="12.8" hidden="false" customHeight="false" outlineLevel="0" collapsed="false">
      <c r="A11653" s="0" t="s">
        <v>12</v>
      </c>
      <c r="B11653" s="0" t="n">
        <v>3674151</v>
      </c>
      <c r="C11653" s="0" t="n">
        <v>3674171</v>
      </c>
      <c r="D11653" s="0" t="s">
        <v>38679</v>
      </c>
      <c r="E11653" s="0" t="s">
        <v>75</v>
      </c>
      <c r="F11653" s="0" t="s">
        <v>15</v>
      </c>
      <c r="G11653" s="0" t="s">
        <v>16</v>
      </c>
      <c r="H11653" s="0" t="n">
        <v>144</v>
      </c>
      <c r="I11653" s="0" t="s">
        <v>38689</v>
      </c>
      <c r="J11653" s="0" t="s">
        <v>38690</v>
      </c>
      <c r="K11653" s="0" t="s">
        <v>38691</v>
      </c>
      <c r="L11653" s="0" t="str">
        <f aca="false">HYPERLINK("https://www.ncbi.nlm.nih.gov/nuccore/CP000058.1?report=graph&amp;tracks=[key:gene_model_track,Options:GeneOnly]&amp;mk=3674032:3674051|offset_24|444444,3674080:3674099|offset_72|444444,3674117:3674136|offset_109|444444,3674152:3674171|offset_144|00cc00&amp;v=3673831:3674371&amp;c=444444", "offset 144")</f>
        <v>offset 144</v>
      </c>
    </row>
    <row r="11654" customFormat="false" ht="12.8" hidden="false" customHeight="false" outlineLevel="0" collapsed="false">
      <c r="A11654" s="0" t="s">
        <v>12</v>
      </c>
      <c r="B11654" s="0" t="n">
        <v>3675168</v>
      </c>
      <c r="C11654" s="0" t="n">
        <v>3675188</v>
      </c>
      <c r="D11654" s="0" t="s">
        <v>38692</v>
      </c>
      <c r="E11654" s="0" t="s">
        <v>75</v>
      </c>
      <c r="F11654" s="0" t="s">
        <v>15</v>
      </c>
      <c r="G11654" s="0" t="s">
        <v>20</v>
      </c>
      <c r="H11654" s="0" t="n">
        <v>22</v>
      </c>
      <c r="I11654" s="0" t="s">
        <v>38693</v>
      </c>
      <c r="J11654" s="0" t="s">
        <v>38694</v>
      </c>
      <c r="K11654" s="0" t="s">
        <v>38695</v>
      </c>
      <c r="L11654" s="0" t="str">
        <f aca="false">HYPERLINK("https://www.ncbi.nlm.nih.gov/nuccore/CP000058.1?report=graph&amp;tracks=[key:gene_model_track,Options:GeneOnly]&amp;mk=3675169:3675188|offset_22|00cc00,3675196:3675215|offset_49|444444,3675230:3675249|offset_83|444444,3675263:3675282|offset_116|444444&amp;v=3674968:3675482&amp;c=444444", "offset 22")</f>
        <v>offset 22</v>
      </c>
    </row>
    <row r="11655" customFormat="false" ht="12.8" hidden="false" customHeight="false" outlineLevel="0" collapsed="false">
      <c r="A11655" s="0" t="s">
        <v>12</v>
      </c>
      <c r="B11655" s="0" t="n">
        <v>3675195</v>
      </c>
      <c r="C11655" s="0" t="n">
        <v>3675215</v>
      </c>
      <c r="D11655" s="0" t="s">
        <v>38692</v>
      </c>
      <c r="E11655" s="0" t="s">
        <v>75</v>
      </c>
      <c r="F11655" s="0" t="s">
        <v>15</v>
      </c>
      <c r="G11655" s="0" t="s">
        <v>20</v>
      </c>
      <c r="H11655" s="0" t="n">
        <v>49</v>
      </c>
      <c r="I11655" s="0" t="s">
        <v>38696</v>
      </c>
      <c r="J11655" s="0" t="s">
        <v>38697</v>
      </c>
      <c r="K11655" s="0" t="s">
        <v>38698</v>
      </c>
      <c r="L11655" s="0" t="str">
        <f aca="false">HYPERLINK("https://www.ncbi.nlm.nih.gov/nuccore/CP000058.1?report=graph&amp;tracks=[key:gene_model_track,Options:GeneOnly]&amp;mk=3675169:3675188|offset_22|444444,3675196:3675215|offset_49|00cc00,3675230:3675249|offset_83|444444,3675263:3675282|offset_116|444444&amp;v=3674968:3675482&amp;c=444444", "offset 49")</f>
        <v>offset 49</v>
      </c>
    </row>
    <row r="11656" customFormat="false" ht="12.8" hidden="false" customHeight="false" outlineLevel="0" collapsed="false">
      <c r="A11656" s="0" t="s">
        <v>12</v>
      </c>
      <c r="B11656" s="0" t="n">
        <v>3675229</v>
      </c>
      <c r="C11656" s="0" t="n">
        <v>3675249</v>
      </c>
      <c r="D11656" s="0" t="s">
        <v>38692</v>
      </c>
      <c r="E11656" s="0" t="s">
        <v>75</v>
      </c>
      <c r="F11656" s="0" t="s">
        <v>15</v>
      </c>
      <c r="G11656" s="0" t="s">
        <v>36</v>
      </c>
      <c r="H11656" s="0" t="n">
        <v>83</v>
      </c>
      <c r="I11656" s="0" t="s">
        <v>38699</v>
      </c>
      <c r="J11656" s="0" t="s">
        <v>38700</v>
      </c>
      <c r="K11656" s="0" t="s">
        <v>38701</v>
      </c>
      <c r="L11656" s="0" t="str">
        <f aca="false">HYPERLINK("https://www.ncbi.nlm.nih.gov/nuccore/CP000058.1?report=graph&amp;tracks=[key:gene_model_track,Options:GeneOnly]&amp;mk=3675169:3675188|offset_22|444444,3675196:3675215|offset_49|444444,3675230:3675249|offset_83|00cc00,3675263:3675282|offset_116|444444&amp;v=3674968:3675482&amp;c=444444", "offset 83")</f>
        <v>offset 83</v>
      </c>
    </row>
    <row r="11657" customFormat="false" ht="12.8" hidden="false" customHeight="false" outlineLevel="0" collapsed="false">
      <c r="A11657" s="0" t="s">
        <v>12</v>
      </c>
      <c r="B11657" s="0" t="n">
        <v>3675262</v>
      </c>
      <c r="C11657" s="0" t="n">
        <v>3675282</v>
      </c>
      <c r="D11657" s="0" t="s">
        <v>38692</v>
      </c>
      <c r="E11657" s="0" t="s">
        <v>75</v>
      </c>
      <c r="F11657" s="0" t="s">
        <v>15</v>
      </c>
      <c r="G11657" s="0" t="s">
        <v>32</v>
      </c>
      <c r="H11657" s="0" t="n">
        <v>116</v>
      </c>
      <c r="I11657" s="0" t="s">
        <v>38702</v>
      </c>
      <c r="J11657" s="0" t="s">
        <v>38703</v>
      </c>
      <c r="K11657" s="0" t="s">
        <v>38704</v>
      </c>
      <c r="L11657" s="0" t="str">
        <f aca="false">HYPERLINK("https://www.ncbi.nlm.nih.gov/nuccore/CP000058.1?report=graph&amp;tracks=[key:gene_model_track,Options:GeneOnly]&amp;mk=3675169:3675188|offset_22|444444,3675196:3675215|offset_49|444444,3675230:3675249|offset_83|444444,3675263:3675282|offset_116|00cc00&amp;v=3674968:3675482&amp;c=444444", "offset 116")</f>
        <v>offset 116</v>
      </c>
    </row>
    <row r="11658" customFormat="false" ht="12.8" hidden="false" customHeight="false" outlineLevel="0" collapsed="false">
      <c r="A11658" s="0" t="s">
        <v>12</v>
      </c>
      <c r="B11658" s="0" t="n">
        <v>3677775</v>
      </c>
      <c r="C11658" s="0" t="n">
        <v>3677795</v>
      </c>
      <c r="D11658" s="0" t="s">
        <v>38705</v>
      </c>
      <c r="E11658" s="0" t="s">
        <v>75</v>
      </c>
      <c r="F11658" s="0" t="s">
        <v>90</v>
      </c>
      <c r="G11658" s="0" t="s">
        <v>36</v>
      </c>
      <c r="H11658" s="0" t="n">
        <v>14</v>
      </c>
      <c r="I11658" s="0" t="s">
        <v>38706</v>
      </c>
      <c r="J11658" s="0" t="s">
        <v>38707</v>
      </c>
      <c r="K11658" s="0" t="s">
        <v>38708</v>
      </c>
      <c r="L11658" s="0" t="str">
        <f aca="false">HYPERLINK("https://www.ncbi.nlm.nih.gov/nuccore/CP000058.1?report=graph&amp;tracks=[key:gene_model_track,Options:GeneOnly]&amp;mk=3677776:3677795|offset_14|00cc00,3677726:3677745|offset_64|444444,3677697:3677716|offset_93|444444,3677666:3677685|offset_124|444444&amp;v=3677575:3677885&amp;c=444444", "offset 14")</f>
        <v>offset 14</v>
      </c>
    </row>
    <row r="11659" customFormat="false" ht="12.8" hidden="false" customHeight="false" outlineLevel="0" collapsed="false">
      <c r="A11659" s="0" t="s">
        <v>12</v>
      </c>
      <c r="B11659" s="0" t="n">
        <v>3677725</v>
      </c>
      <c r="C11659" s="0" t="n">
        <v>3677745</v>
      </c>
      <c r="D11659" s="0" t="s">
        <v>38705</v>
      </c>
      <c r="E11659" s="0" t="s">
        <v>75</v>
      </c>
      <c r="F11659" s="0" t="s">
        <v>90</v>
      </c>
      <c r="G11659" s="0" t="s">
        <v>32</v>
      </c>
      <c r="H11659" s="0" t="n">
        <v>64</v>
      </c>
      <c r="I11659" s="0" t="s">
        <v>38709</v>
      </c>
      <c r="J11659" s="0" t="s">
        <v>38710</v>
      </c>
      <c r="K11659" s="0" t="s">
        <v>38711</v>
      </c>
      <c r="L11659" s="0" t="str">
        <f aca="false">HYPERLINK("https://www.ncbi.nlm.nih.gov/nuccore/CP000058.1?report=graph&amp;tracks=[key:gene_model_track,Options:GeneOnly]&amp;mk=3677776:3677795|offset_14|444444,3677726:3677745|offset_64|00cc00,3677697:3677716|offset_93|444444,3677666:3677685|offset_124|444444&amp;v=3677575:3677885&amp;c=444444", "offset 64")</f>
        <v>offset 64</v>
      </c>
    </row>
    <row r="11660" customFormat="false" ht="12.8" hidden="false" customHeight="false" outlineLevel="0" collapsed="false">
      <c r="A11660" s="0" t="s">
        <v>12</v>
      </c>
      <c r="B11660" s="0" t="n">
        <v>3677696</v>
      </c>
      <c r="C11660" s="0" t="n">
        <v>3677716</v>
      </c>
      <c r="D11660" s="0" t="s">
        <v>38705</v>
      </c>
      <c r="E11660" s="0" t="s">
        <v>75</v>
      </c>
      <c r="F11660" s="0" t="s">
        <v>90</v>
      </c>
      <c r="G11660" s="0" t="s">
        <v>20</v>
      </c>
      <c r="H11660" s="0" t="n">
        <v>93</v>
      </c>
      <c r="I11660" s="0" t="s">
        <v>38712</v>
      </c>
      <c r="J11660" s="0" t="s">
        <v>38713</v>
      </c>
      <c r="K11660" s="0" t="s">
        <v>38714</v>
      </c>
      <c r="L11660" s="0" t="str">
        <f aca="false">HYPERLINK("https://www.ncbi.nlm.nih.gov/nuccore/CP000058.1?report=graph&amp;tracks=[key:gene_model_track,Options:GeneOnly]&amp;mk=3677776:3677795|offset_14|444444,3677726:3677745|offset_64|444444,3677697:3677716|offset_93|00cc00,3677666:3677685|offset_124|444444&amp;v=3677575:3677885&amp;c=444444", "offset 93")</f>
        <v>offset 93</v>
      </c>
    </row>
    <row r="11661" customFormat="false" ht="12.8" hidden="false" customHeight="false" outlineLevel="0" collapsed="false">
      <c r="A11661" s="0" t="s">
        <v>12</v>
      </c>
      <c r="B11661" s="0" t="n">
        <v>3677665</v>
      </c>
      <c r="C11661" s="0" t="n">
        <v>3677685</v>
      </c>
      <c r="D11661" s="0" t="s">
        <v>38705</v>
      </c>
      <c r="E11661" s="0" t="s">
        <v>75</v>
      </c>
      <c r="F11661" s="0" t="s">
        <v>90</v>
      </c>
      <c r="G11661" s="0" t="s">
        <v>36</v>
      </c>
      <c r="H11661" s="0" t="n">
        <v>124</v>
      </c>
      <c r="I11661" s="0" t="s">
        <v>38715</v>
      </c>
      <c r="J11661" s="0" t="s">
        <v>38716</v>
      </c>
      <c r="K11661" s="0" t="s">
        <v>38717</v>
      </c>
      <c r="L11661" s="0" t="str">
        <f aca="false">HYPERLINK("https://www.ncbi.nlm.nih.gov/nuccore/CP000058.1?report=graph&amp;tracks=[key:gene_model_track,Options:GeneOnly]&amp;mk=3677776:3677795|offset_14|444444,3677726:3677745|offset_64|444444,3677697:3677716|offset_93|444444,3677666:3677685|offset_124|00cc00&amp;v=3677575:3677885&amp;c=444444", "offset 124")</f>
        <v>offset 124</v>
      </c>
    </row>
    <row r="11662" customFormat="false" ht="12.8" hidden="false" customHeight="false" outlineLevel="0" collapsed="false">
      <c r="A11662" s="0" t="s">
        <v>12</v>
      </c>
      <c r="B11662" s="0" t="n">
        <v>3678399</v>
      </c>
      <c r="C11662" s="0" t="n">
        <v>3678419</v>
      </c>
      <c r="D11662" s="0" t="s">
        <v>38718</v>
      </c>
      <c r="E11662" s="0" t="s">
        <v>75</v>
      </c>
      <c r="F11662" s="0" t="s">
        <v>90</v>
      </c>
      <c r="G11662" s="0" t="s">
        <v>32</v>
      </c>
      <c r="H11662" s="0" t="n">
        <v>1</v>
      </c>
      <c r="I11662" s="0" t="s">
        <v>38719</v>
      </c>
      <c r="J11662" s="0" t="s">
        <v>38720</v>
      </c>
      <c r="K11662" s="0" t="s">
        <v>38721</v>
      </c>
      <c r="L11662" s="0" t="str">
        <f aca="false">HYPERLINK("https://www.ncbi.nlm.nih.gov/nuccore/CP000058.1?report=graph&amp;tracks=[key:gene_model_track,Options:GeneOnly]&amp;mk=3678400:3678419|offset_1|00cc00,3678380:3678399|offset_21|444444,3678351:3678370|offset_50|444444,3678318:3678337|offset_83|444444&amp;v=3678199:3678537&amp;c=444444", "offset 1")</f>
        <v>offset 1</v>
      </c>
    </row>
    <row r="11663" customFormat="false" ht="12.8" hidden="false" customHeight="false" outlineLevel="0" collapsed="false">
      <c r="A11663" s="0" t="s">
        <v>12</v>
      </c>
      <c r="B11663" s="0" t="n">
        <v>3678379</v>
      </c>
      <c r="C11663" s="0" t="n">
        <v>3678399</v>
      </c>
      <c r="D11663" s="0" t="s">
        <v>38718</v>
      </c>
      <c r="E11663" s="0" t="s">
        <v>75</v>
      </c>
      <c r="F11663" s="0" t="s">
        <v>90</v>
      </c>
      <c r="G11663" s="0" t="s">
        <v>16</v>
      </c>
      <c r="H11663" s="0" t="n">
        <v>21</v>
      </c>
      <c r="I11663" s="0" t="s">
        <v>38722</v>
      </c>
      <c r="J11663" s="0" t="s">
        <v>38723</v>
      </c>
      <c r="K11663" s="0" t="s">
        <v>38724</v>
      </c>
      <c r="L11663" s="0" t="str">
        <f aca="false">HYPERLINK("https://www.ncbi.nlm.nih.gov/nuccore/CP000058.1?report=graph&amp;tracks=[key:gene_model_track,Options:GeneOnly]&amp;mk=3678400:3678419|offset_1|444444,3678380:3678399|offset_21|00cc00,3678351:3678370|offset_50|444444,3678318:3678337|offset_83|444444&amp;v=3678199:3678537&amp;c=444444", "offset 21")</f>
        <v>offset 21</v>
      </c>
    </row>
    <row r="11664" customFormat="false" ht="12.8" hidden="false" customHeight="false" outlineLevel="0" collapsed="false">
      <c r="A11664" s="0" t="s">
        <v>12</v>
      </c>
      <c r="B11664" s="0" t="n">
        <v>3678350</v>
      </c>
      <c r="C11664" s="0" t="n">
        <v>3678370</v>
      </c>
      <c r="D11664" s="0" t="s">
        <v>38718</v>
      </c>
      <c r="E11664" s="0" t="s">
        <v>75</v>
      </c>
      <c r="F11664" s="0" t="s">
        <v>90</v>
      </c>
      <c r="G11664" s="0" t="s">
        <v>32</v>
      </c>
      <c r="H11664" s="0" t="n">
        <v>50</v>
      </c>
      <c r="I11664" s="0" t="s">
        <v>38725</v>
      </c>
      <c r="J11664" s="0" t="s">
        <v>38726</v>
      </c>
      <c r="K11664" s="0" t="s">
        <v>38727</v>
      </c>
      <c r="L11664" s="0" t="str">
        <f aca="false">HYPERLINK("https://www.ncbi.nlm.nih.gov/nuccore/CP000058.1?report=graph&amp;tracks=[key:gene_model_track,Options:GeneOnly]&amp;mk=3678400:3678419|offset_1|444444,3678380:3678399|offset_21|444444,3678351:3678370|offset_50|00cc00,3678318:3678337|offset_83|444444&amp;v=3678199:3678537&amp;c=444444", "offset 50")</f>
        <v>offset 50</v>
      </c>
    </row>
    <row r="11665" customFormat="false" ht="12.8" hidden="false" customHeight="false" outlineLevel="0" collapsed="false">
      <c r="A11665" s="0" t="s">
        <v>12</v>
      </c>
      <c r="B11665" s="0" t="n">
        <v>3678317</v>
      </c>
      <c r="C11665" s="0" t="n">
        <v>3678337</v>
      </c>
      <c r="D11665" s="0" t="s">
        <v>38718</v>
      </c>
      <c r="E11665" s="0" t="s">
        <v>75</v>
      </c>
      <c r="F11665" s="0" t="s">
        <v>90</v>
      </c>
      <c r="G11665" s="0" t="s">
        <v>20</v>
      </c>
      <c r="H11665" s="0" t="n">
        <v>83</v>
      </c>
      <c r="I11665" s="0" t="s">
        <v>38728</v>
      </c>
      <c r="J11665" s="0" t="s">
        <v>38729</v>
      </c>
      <c r="K11665" s="0" t="s">
        <v>38730</v>
      </c>
      <c r="L11665" s="0" t="str">
        <f aca="false">HYPERLINK("https://www.ncbi.nlm.nih.gov/nuccore/CP000058.1?report=graph&amp;tracks=[key:gene_model_track,Options:GeneOnly]&amp;mk=3678400:3678419|offset_1|444444,3678380:3678399|offset_21|444444,3678351:3678370|offset_50|444444,3678318:3678337|offset_83|00cc00&amp;v=3678199:3678537&amp;c=444444", "offset 83")</f>
        <v>offset 83</v>
      </c>
    </row>
    <row r="11666" customFormat="false" ht="12.8" hidden="false" customHeight="false" outlineLevel="0" collapsed="false">
      <c r="A11666" s="0" t="s">
        <v>12</v>
      </c>
      <c r="B11666" s="0" t="n">
        <v>3678558</v>
      </c>
      <c r="C11666" s="0" t="n">
        <v>3678578</v>
      </c>
      <c r="D11666" s="0" t="s">
        <v>38731</v>
      </c>
      <c r="E11666" s="0" t="s">
        <v>75</v>
      </c>
      <c r="F11666" s="0" t="s">
        <v>15</v>
      </c>
      <c r="G11666" s="0" t="s">
        <v>16</v>
      </c>
      <c r="H11666" s="0" t="n">
        <v>17</v>
      </c>
      <c r="I11666" s="0" t="s">
        <v>38732</v>
      </c>
      <c r="J11666" s="0" t="s">
        <v>38733</v>
      </c>
      <c r="K11666" s="0" t="s">
        <v>38734</v>
      </c>
      <c r="L11666" s="0" t="str">
        <f aca="false">HYPERLINK("https://www.ncbi.nlm.nih.gov/nuccore/CP000058.1?report=graph&amp;tracks=[key:gene_model_track,Options:GeneOnly]&amp;mk=3678559:3678578|offset_17|00cc00,3678588:3678607|offset_46|444444,3678651:3678670|offset_109|444444,3678690:3678709|offset_148|444444&amp;v=3678358:3678909&amp;c=444444", "offset 17")</f>
        <v>offset 17</v>
      </c>
    </row>
    <row r="11667" customFormat="false" ht="12.8" hidden="false" customHeight="false" outlineLevel="0" collapsed="false">
      <c r="A11667" s="0" t="s">
        <v>12</v>
      </c>
      <c r="B11667" s="0" t="n">
        <v>3678587</v>
      </c>
      <c r="C11667" s="0" t="n">
        <v>3678607</v>
      </c>
      <c r="D11667" s="0" t="s">
        <v>38731</v>
      </c>
      <c r="E11667" s="0" t="s">
        <v>75</v>
      </c>
      <c r="F11667" s="0" t="s">
        <v>15</v>
      </c>
      <c r="G11667" s="0" t="s">
        <v>16</v>
      </c>
      <c r="H11667" s="0" t="n">
        <v>46</v>
      </c>
      <c r="I11667" s="0" t="s">
        <v>38735</v>
      </c>
      <c r="J11667" s="0" t="s">
        <v>38736</v>
      </c>
      <c r="K11667" s="0" t="s">
        <v>38737</v>
      </c>
      <c r="L11667" s="0" t="str">
        <f aca="false">HYPERLINK("https://www.ncbi.nlm.nih.gov/nuccore/CP000058.1?report=graph&amp;tracks=[key:gene_model_track,Options:GeneOnly]&amp;mk=3678559:3678578|offset_17|444444,3678588:3678607|offset_46|00cc00,3678651:3678670|offset_109|444444,3678690:3678709|offset_148|444444&amp;v=3678358:3678909&amp;c=444444", "offset 46")</f>
        <v>offset 46</v>
      </c>
    </row>
    <row r="11668" customFormat="false" ht="12.8" hidden="false" customHeight="false" outlineLevel="0" collapsed="false">
      <c r="A11668" s="0" t="s">
        <v>12</v>
      </c>
      <c r="B11668" s="0" t="n">
        <v>3678650</v>
      </c>
      <c r="C11668" s="0" t="n">
        <v>3678670</v>
      </c>
      <c r="D11668" s="0" t="s">
        <v>38731</v>
      </c>
      <c r="E11668" s="0" t="s">
        <v>75</v>
      </c>
      <c r="F11668" s="0" t="s">
        <v>15</v>
      </c>
      <c r="G11668" s="0" t="s">
        <v>16</v>
      </c>
      <c r="H11668" s="0" t="n">
        <v>109</v>
      </c>
      <c r="I11668" s="0" t="s">
        <v>38738</v>
      </c>
      <c r="J11668" s="0" t="s">
        <v>38739</v>
      </c>
      <c r="K11668" s="0" t="s">
        <v>38740</v>
      </c>
      <c r="L11668" s="0" t="str">
        <f aca="false">HYPERLINK("https://www.ncbi.nlm.nih.gov/nuccore/CP000058.1?report=graph&amp;tracks=[key:gene_model_track,Options:GeneOnly]&amp;mk=3678559:3678578|offset_17|444444,3678588:3678607|offset_46|444444,3678651:3678670|offset_109|00cc00,3678690:3678709|offset_148|444444&amp;v=3678358:3678909&amp;c=444444", "offset 109")</f>
        <v>offset 109</v>
      </c>
    </row>
    <row r="11669" customFormat="false" ht="12.8" hidden="false" customHeight="false" outlineLevel="0" collapsed="false">
      <c r="A11669" s="0" t="s">
        <v>12</v>
      </c>
      <c r="B11669" s="0" t="n">
        <v>3678689</v>
      </c>
      <c r="C11669" s="0" t="n">
        <v>3678709</v>
      </c>
      <c r="D11669" s="0" t="s">
        <v>38731</v>
      </c>
      <c r="E11669" s="0" t="s">
        <v>75</v>
      </c>
      <c r="F11669" s="0" t="s">
        <v>15</v>
      </c>
      <c r="G11669" s="0" t="s">
        <v>16</v>
      </c>
      <c r="H11669" s="0" t="n">
        <v>148</v>
      </c>
      <c r="I11669" s="0" t="s">
        <v>38741</v>
      </c>
      <c r="J11669" s="0" t="s">
        <v>38742</v>
      </c>
      <c r="K11669" s="0" t="s">
        <v>38743</v>
      </c>
      <c r="L11669" s="0" t="str">
        <f aca="false">HYPERLINK("https://www.ncbi.nlm.nih.gov/nuccore/CP000058.1?report=graph&amp;tracks=[key:gene_model_track,Options:GeneOnly]&amp;mk=3678559:3678578|offset_17|444444,3678588:3678607|offset_46|444444,3678651:3678670|offset_109|444444,3678690:3678709|offset_148|00cc00&amp;v=3678358:3678909&amp;c=444444", "offset 148")</f>
        <v>offset 148</v>
      </c>
    </row>
    <row r="11670" customFormat="false" ht="12.8" hidden="false" customHeight="false" outlineLevel="0" collapsed="false">
      <c r="A11670" s="0" t="s">
        <v>12</v>
      </c>
      <c r="B11670" s="0" t="n">
        <v>3679625</v>
      </c>
      <c r="C11670" s="0" t="n">
        <v>3679645</v>
      </c>
      <c r="D11670" s="0" t="s">
        <v>38744</v>
      </c>
      <c r="E11670" s="0" t="s">
        <v>75</v>
      </c>
      <c r="F11670" s="0" t="s">
        <v>15</v>
      </c>
      <c r="G11670" s="0" t="s">
        <v>20</v>
      </c>
      <c r="H11670" s="0" t="n">
        <v>0</v>
      </c>
      <c r="I11670" s="0" t="s">
        <v>38745</v>
      </c>
      <c r="J11670" s="0" t="s">
        <v>38746</v>
      </c>
      <c r="K11670" s="0" t="s">
        <v>38747</v>
      </c>
      <c r="L11670" s="0" t="str">
        <f aca="false">HYPERLINK("https://www.ncbi.nlm.nih.gov/nuccore/CP000058.1?report=graph&amp;tracks=[key:gene_model_track,Options:GeneOnly]&amp;mk=3679626:3679645|offset_0|00cc00,3679656:3679675|offset_30|444444,3679681:3679700|offset_55|444444,3679723:3679742|offset_97|444444&amp;v=3679425:3679942&amp;c=444444", "offset 0")</f>
        <v>offset 0</v>
      </c>
    </row>
    <row r="11671" customFormat="false" ht="12.8" hidden="false" customHeight="false" outlineLevel="0" collapsed="false">
      <c r="A11671" s="0" t="s">
        <v>12</v>
      </c>
      <c r="B11671" s="0" t="n">
        <v>3679655</v>
      </c>
      <c r="C11671" s="0" t="n">
        <v>3679675</v>
      </c>
      <c r="D11671" s="0" t="s">
        <v>38744</v>
      </c>
      <c r="E11671" s="0" t="s">
        <v>75</v>
      </c>
      <c r="F11671" s="0" t="s">
        <v>15</v>
      </c>
      <c r="G11671" s="0" t="s">
        <v>20</v>
      </c>
      <c r="H11671" s="0" t="n">
        <v>30</v>
      </c>
      <c r="I11671" s="0" t="s">
        <v>38748</v>
      </c>
      <c r="J11671" s="0" t="s">
        <v>38749</v>
      </c>
      <c r="K11671" s="0" t="s">
        <v>38750</v>
      </c>
      <c r="L11671" s="0" t="str">
        <f aca="false">HYPERLINK("https://www.ncbi.nlm.nih.gov/nuccore/CP000058.1?report=graph&amp;tracks=[key:gene_model_track,Options:GeneOnly]&amp;mk=3679626:3679645|offset_0|444444,3679656:3679675|offset_30|00cc00,3679681:3679700|offset_55|444444,3679723:3679742|offset_97|444444&amp;v=3679425:3679942&amp;c=444444", "offset 30")</f>
        <v>offset 30</v>
      </c>
    </row>
    <row r="11672" customFormat="false" ht="12.8" hidden="false" customHeight="false" outlineLevel="0" collapsed="false">
      <c r="A11672" s="0" t="s">
        <v>12</v>
      </c>
      <c r="B11672" s="0" t="n">
        <v>3679680</v>
      </c>
      <c r="C11672" s="0" t="n">
        <v>3679700</v>
      </c>
      <c r="D11672" s="0" t="s">
        <v>38744</v>
      </c>
      <c r="E11672" s="0" t="s">
        <v>75</v>
      </c>
      <c r="F11672" s="0" t="s">
        <v>15</v>
      </c>
      <c r="G11672" s="0" t="s">
        <v>20</v>
      </c>
      <c r="H11672" s="0" t="n">
        <v>55</v>
      </c>
      <c r="I11672" s="0" t="s">
        <v>38751</v>
      </c>
      <c r="J11672" s="0" t="s">
        <v>38752</v>
      </c>
      <c r="K11672" s="0" t="s">
        <v>38753</v>
      </c>
      <c r="L11672" s="0" t="str">
        <f aca="false">HYPERLINK("https://www.ncbi.nlm.nih.gov/nuccore/CP000058.1?report=graph&amp;tracks=[key:gene_model_track,Options:GeneOnly]&amp;mk=3679626:3679645|offset_0|444444,3679656:3679675|offset_30|444444,3679681:3679700|offset_55|00cc00,3679723:3679742|offset_97|444444&amp;v=3679425:3679942&amp;c=444444", "offset 55")</f>
        <v>offset 55</v>
      </c>
    </row>
    <row r="11673" customFormat="false" ht="12.8" hidden="false" customHeight="false" outlineLevel="0" collapsed="false">
      <c r="A11673" s="0" t="s">
        <v>12</v>
      </c>
      <c r="B11673" s="0" t="n">
        <v>3679722</v>
      </c>
      <c r="C11673" s="0" t="n">
        <v>3679742</v>
      </c>
      <c r="D11673" s="0" t="s">
        <v>38744</v>
      </c>
      <c r="E11673" s="0" t="s">
        <v>75</v>
      </c>
      <c r="F11673" s="0" t="s">
        <v>15</v>
      </c>
      <c r="G11673" s="0" t="s">
        <v>16</v>
      </c>
      <c r="H11673" s="0" t="n">
        <v>97</v>
      </c>
      <c r="I11673" s="0" t="s">
        <v>38754</v>
      </c>
      <c r="J11673" s="0" t="s">
        <v>38755</v>
      </c>
      <c r="K11673" s="0" t="s">
        <v>38756</v>
      </c>
      <c r="L11673" s="0" t="str">
        <f aca="false">HYPERLINK("https://www.ncbi.nlm.nih.gov/nuccore/CP000058.1?report=graph&amp;tracks=[key:gene_model_track,Options:GeneOnly]&amp;mk=3679626:3679645|offset_0|444444,3679656:3679675|offset_30|444444,3679681:3679700|offset_55|444444,3679723:3679742|offset_97|00cc00&amp;v=3679425:3679942&amp;c=444444", "offset 97")</f>
        <v>offset 97</v>
      </c>
    </row>
    <row r="11674" customFormat="false" ht="12.8" hidden="false" customHeight="false" outlineLevel="0" collapsed="false">
      <c r="A11674" s="0" t="s">
        <v>12</v>
      </c>
      <c r="B11674" s="0" t="n">
        <v>3682568</v>
      </c>
      <c r="C11674" s="0" t="n">
        <v>3682588</v>
      </c>
      <c r="D11674" s="0" t="s">
        <v>38757</v>
      </c>
      <c r="E11674" s="0" t="s">
        <v>75</v>
      </c>
      <c r="F11674" s="0" t="s">
        <v>15</v>
      </c>
      <c r="G11674" s="0" t="s">
        <v>32</v>
      </c>
      <c r="H11674" s="0" t="n">
        <v>25</v>
      </c>
      <c r="I11674" s="0" t="s">
        <v>38758</v>
      </c>
      <c r="J11674" s="0" t="s">
        <v>38759</v>
      </c>
      <c r="K11674" s="0" t="s">
        <v>38760</v>
      </c>
      <c r="L11674" s="0" t="str">
        <f aca="false">HYPERLINK("https://www.ncbi.nlm.nih.gov/nuccore/CP000058.1?report=graph&amp;tracks=[key:gene_model_track,Options:GeneOnly]&amp;mk=3682569:3682588|offset_25|00cc00,3682606:3682625|offset_62|444444,3682645:3682664|offset_101|444444,3682666:3682685|offset_122|444444&amp;v=3682368:3682885&amp;c=444444", "offset 25")</f>
        <v>offset 25</v>
      </c>
    </row>
    <row r="11675" customFormat="false" ht="12.8" hidden="false" customHeight="false" outlineLevel="0" collapsed="false">
      <c r="A11675" s="0" t="s">
        <v>12</v>
      </c>
      <c r="B11675" s="0" t="n">
        <v>3682605</v>
      </c>
      <c r="C11675" s="0" t="n">
        <v>3682625</v>
      </c>
      <c r="D11675" s="0" t="s">
        <v>38757</v>
      </c>
      <c r="E11675" s="0" t="s">
        <v>75</v>
      </c>
      <c r="F11675" s="0" t="s">
        <v>15</v>
      </c>
      <c r="G11675" s="0" t="s">
        <v>20</v>
      </c>
      <c r="H11675" s="0" t="n">
        <v>62</v>
      </c>
      <c r="I11675" s="0" t="s">
        <v>38761</v>
      </c>
      <c r="J11675" s="0" t="s">
        <v>38762</v>
      </c>
      <c r="K11675" s="0" t="s">
        <v>38763</v>
      </c>
      <c r="L11675" s="0" t="str">
        <f aca="false">HYPERLINK("https://www.ncbi.nlm.nih.gov/nuccore/CP000058.1?report=graph&amp;tracks=[key:gene_model_track,Options:GeneOnly]&amp;mk=3682569:3682588|offset_25|444444,3682606:3682625|offset_62|00cc00,3682645:3682664|offset_101|444444,3682666:3682685|offset_122|444444&amp;v=3682368:3682885&amp;c=444444", "offset 62")</f>
        <v>offset 62</v>
      </c>
    </row>
    <row r="11676" customFormat="false" ht="12.8" hidden="false" customHeight="false" outlineLevel="0" collapsed="false">
      <c r="A11676" s="0" t="s">
        <v>12</v>
      </c>
      <c r="B11676" s="0" t="n">
        <v>3682644</v>
      </c>
      <c r="C11676" s="0" t="n">
        <v>3682664</v>
      </c>
      <c r="D11676" s="0" t="s">
        <v>38757</v>
      </c>
      <c r="E11676" s="0" t="s">
        <v>75</v>
      </c>
      <c r="F11676" s="0" t="s">
        <v>15</v>
      </c>
      <c r="G11676" s="0" t="s">
        <v>20</v>
      </c>
      <c r="H11676" s="0" t="n">
        <v>101</v>
      </c>
      <c r="I11676" s="0" t="s">
        <v>38764</v>
      </c>
      <c r="J11676" s="0" t="s">
        <v>38765</v>
      </c>
      <c r="K11676" s="0" t="s">
        <v>38766</v>
      </c>
      <c r="L11676" s="0" t="str">
        <f aca="false">HYPERLINK("https://www.ncbi.nlm.nih.gov/nuccore/CP000058.1?report=graph&amp;tracks=[key:gene_model_track,Options:GeneOnly]&amp;mk=3682569:3682588|offset_25|444444,3682606:3682625|offset_62|444444,3682645:3682664|offset_101|00cc00,3682666:3682685|offset_122|444444&amp;v=3682368:3682885&amp;c=444444", "offset 101")</f>
        <v>offset 101</v>
      </c>
    </row>
    <row r="11677" customFormat="false" ht="12.8" hidden="false" customHeight="false" outlineLevel="0" collapsed="false">
      <c r="A11677" s="0" t="s">
        <v>12</v>
      </c>
      <c r="B11677" s="0" t="n">
        <v>3682665</v>
      </c>
      <c r="C11677" s="0" t="n">
        <v>3682685</v>
      </c>
      <c r="D11677" s="0" t="s">
        <v>38757</v>
      </c>
      <c r="E11677" s="0" t="s">
        <v>75</v>
      </c>
      <c r="F11677" s="0" t="s">
        <v>15</v>
      </c>
      <c r="G11677" s="0" t="s">
        <v>20</v>
      </c>
      <c r="H11677" s="0" t="n">
        <v>122</v>
      </c>
      <c r="I11677" s="0" t="s">
        <v>38767</v>
      </c>
      <c r="J11677" s="0" t="s">
        <v>38768</v>
      </c>
      <c r="K11677" s="0" t="s">
        <v>38769</v>
      </c>
      <c r="L11677" s="0" t="str">
        <f aca="false">HYPERLINK("https://www.ncbi.nlm.nih.gov/nuccore/CP000058.1?report=graph&amp;tracks=[key:gene_model_track,Options:GeneOnly]&amp;mk=3682569:3682588|offset_25|444444,3682606:3682625|offset_62|444444,3682645:3682664|offset_101|444444,3682666:3682685|offset_122|00cc00&amp;v=3682368:3682885&amp;c=444444", "offset 122")</f>
        <v>offset 122</v>
      </c>
    </row>
    <row r="11678" customFormat="false" ht="12.8" hidden="false" customHeight="false" outlineLevel="0" collapsed="false">
      <c r="A11678" s="0" t="s">
        <v>12</v>
      </c>
      <c r="B11678" s="0" t="n">
        <v>3684562</v>
      </c>
      <c r="C11678" s="0" t="n">
        <v>3684582</v>
      </c>
      <c r="D11678" s="0" t="s">
        <v>38770</v>
      </c>
      <c r="E11678" s="0" t="s">
        <v>75</v>
      </c>
      <c r="F11678" s="0" t="s">
        <v>15</v>
      </c>
      <c r="G11678" s="0" t="s">
        <v>32</v>
      </c>
      <c r="H11678" s="0" t="n">
        <v>1</v>
      </c>
      <c r="I11678" s="0" t="s">
        <v>38771</v>
      </c>
      <c r="J11678" s="0" t="s">
        <v>38772</v>
      </c>
      <c r="K11678" s="0" t="s">
        <v>38773</v>
      </c>
      <c r="L11678" s="0" t="str">
        <f aca="false">HYPERLINK("https://www.ncbi.nlm.nih.gov/nuccore/CP000058.1?report=graph&amp;tracks=[key:gene_model_track,Options:GeneOnly]&amp;mk=3684563:3684582|offset_1|00cc00,3684586:3684605|offset_24|444444,3684630:3684649|offset_68|444444,3684651:3684670|offset_89|444444&amp;v=3684362:3684870&amp;c=444444", "offset 1")</f>
        <v>offset 1</v>
      </c>
    </row>
    <row r="11679" customFormat="false" ht="12.8" hidden="false" customHeight="false" outlineLevel="0" collapsed="false">
      <c r="A11679" s="0" t="s">
        <v>12</v>
      </c>
      <c r="B11679" s="0" t="n">
        <v>3684585</v>
      </c>
      <c r="C11679" s="0" t="n">
        <v>3684605</v>
      </c>
      <c r="D11679" s="0" t="s">
        <v>38770</v>
      </c>
      <c r="E11679" s="0" t="s">
        <v>75</v>
      </c>
      <c r="F11679" s="0" t="s">
        <v>15</v>
      </c>
      <c r="G11679" s="0" t="s">
        <v>20</v>
      </c>
      <c r="H11679" s="0" t="n">
        <v>24</v>
      </c>
      <c r="I11679" s="0" t="s">
        <v>38774</v>
      </c>
      <c r="J11679" s="0" t="s">
        <v>38775</v>
      </c>
      <c r="K11679" s="0" t="s">
        <v>38776</v>
      </c>
      <c r="L11679" s="0" t="str">
        <f aca="false">HYPERLINK("https://www.ncbi.nlm.nih.gov/nuccore/CP000058.1?report=graph&amp;tracks=[key:gene_model_track,Options:GeneOnly]&amp;mk=3684563:3684582|offset_1|444444,3684586:3684605|offset_24|00cc00,3684630:3684649|offset_68|444444,3684651:3684670|offset_89|444444&amp;v=3684362:3684870&amp;c=444444", "offset 24")</f>
        <v>offset 24</v>
      </c>
    </row>
    <row r="11680" customFormat="false" ht="12.8" hidden="false" customHeight="false" outlineLevel="0" collapsed="false">
      <c r="A11680" s="0" t="s">
        <v>12</v>
      </c>
      <c r="B11680" s="0" t="n">
        <v>3684629</v>
      </c>
      <c r="C11680" s="0" t="n">
        <v>3684649</v>
      </c>
      <c r="D11680" s="0" t="s">
        <v>38770</v>
      </c>
      <c r="E11680" s="0" t="s">
        <v>75</v>
      </c>
      <c r="F11680" s="0" t="s">
        <v>15</v>
      </c>
      <c r="G11680" s="0" t="s">
        <v>20</v>
      </c>
      <c r="H11680" s="0" t="n">
        <v>68</v>
      </c>
      <c r="I11680" s="0" t="s">
        <v>38777</v>
      </c>
      <c r="J11680" s="0" t="s">
        <v>38778</v>
      </c>
      <c r="K11680" s="0" t="s">
        <v>38779</v>
      </c>
      <c r="L11680" s="0" t="str">
        <f aca="false">HYPERLINK("https://www.ncbi.nlm.nih.gov/nuccore/CP000058.1?report=graph&amp;tracks=[key:gene_model_track,Options:GeneOnly]&amp;mk=3684563:3684582|offset_1|444444,3684586:3684605|offset_24|444444,3684630:3684649|offset_68|00cc00,3684651:3684670|offset_89|444444&amp;v=3684362:3684870&amp;c=444444", "offset 68")</f>
        <v>offset 68</v>
      </c>
    </row>
    <row r="11681" customFormat="false" ht="12.8" hidden="false" customHeight="false" outlineLevel="0" collapsed="false">
      <c r="A11681" s="0" t="s">
        <v>12</v>
      </c>
      <c r="B11681" s="0" t="n">
        <v>3684650</v>
      </c>
      <c r="C11681" s="0" t="n">
        <v>3684670</v>
      </c>
      <c r="D11681" s="0" t="s">
        <v>38770</v>
      </c>
      <c r="E11681" s="0" t="s">
        <v>75</v>
      </c>
      <c r="F11681" s="0" t="s">
        <v>15</v>
      </c>
      <c r="G11681" s="0" t="s">
        <v>20</v>
      </c>
      <c r="H11681" s="0" t="n">
        <v>89</v>
      </c>
      <c r="I11681" s="0" t="s">
        <v>38780</v>
      </c>
      <c r="J11681" s="0" t="s">
        <v>38781</v>
      </c>
      <c r="K11681" s="0" t="s">
        <v>38782</v>
      </c>
      <c r="L11681" s="0" t="str">
        <f aca="false">HYPERLINK("https://www.ncbi.nlm.nih.gov/nuccore/CP000058.1?report=graph&amp;tracks=[key:gene_model_track,Options:GeneOnly]&amp;mk=3684563:3684582|offset_1|444444,3684586:3684605|offset_24|444444,3684630:3684649|offset_68|444444,3684651:3684670|offset_89|00cc00&amp;v=3684362:3684870&amp;c=444444", "offset 89")</f>
        <v>offset 89</v>
      </c>
    </row>
    <row r="11682" customFormat="false" ht="12.8" hidden="false" customHeight="false" outlineLevel="0" collapsed="false">
      <c r="A11682" s="0" t="s">
        <v>12</v>
      </c>
      <c r="B11682" s="0" t="n">
        <v>3685075</v>
      </c>
      <c r="C11682" s="0" t="n">
        <v>3685095</v>
      </c>
      <c r="D11682" s="0" t="s">
        <v>38783</v>
      </c>
      <c r="E11682" s="0" t="s">
        <v>75</v>
      </c>
      <c r="F11682" s="0" t="s">
        <v>15</v>
      </c>
      <c r="G11682" s="0" t="s">
        <v>20</v>
      </c>
      <c r="H11682" s="0" t="n">
        <v>29</v>
      </c>
      <c r="I11682" s="0" t="s">
        <v>38784</v>
      </c>
      <c r="J11682" s="0" t="s">
        <v>38785</v>
      </c>
      <c r="K11682" s="0" t="s">
        <v>38786</v>
      </c>
      <c r="L11682" s="0" t="str">
        <f aca="false">HYPERLINK("https://www.ncbi.nlm.nih.gov/nuccore/CP000058.1?report=graph&amp;tracks=[key:gene_model_track,Options:GeneOnly]&amp;mk=3685076:3685095|offset_29|00cc00,3685099:3685118|offset_52|444444,3685127:3685146|offset_80|444444,3685147:3685166|offset_100|444444&amp;v=3684875:3685366&amp;c=444444", "offset 29")</f>
        <v>offset 29</v>
      </c>
    </row>
    <row r="11683" customFormat="false" ht="12.8" hidden="false" customHeight="false" outlineLevel="0" collapsed="false">
      <c r="A11683" s="0" t="s">
        <v>12</v>
      </c>
      <c r="B11683" s="0" t="n">
        <v>3685098</v>
      </c>
      <c r="C11683" s="0" t="n">
        <v>3685118</v>
      </c>
      <c r="D11683" s="0" t="s">
        <v>38783</v>
      </c>
      <c r="E11683" s="0" t="s">
        <v>75</v>
      </c>
      <c r="F11683" s="0" t="s">
        <v>15</v>
      </c>
      <c r="G11683" s="0" t="s">
        <v>36</v>
      </c>
      <c r="H11683" s="0" t="n">
        <v>52</v>
      </c>
      <c r="I11683" s="0" t="s">
        <v>38787</v>
      </c>
      <c r="J11683" s="0" t="s">
        <v>38788</v>
      </c>
      <c r="K11683" s="0" t="s">
        <v>38789</v>
      </c>
      <c r="L11683" s="0" t="str">
        <f aca="false">HYPERLINK("https://www.ncbi.nlm.nih.gov/nuccore/CP000058.1?report=graph&amp;tracks=[key:gene_model_track,Options:GeneOnly]&amp;mk=3685076:3685095|offset_29|444444,3685099:3685118|offset_52|00cc00,3685127:3685146|offset_80|444444,3685147:3685166|offset_100|444444&amp;v=3684875:3685366&amp;c=444444", "offset 52")</f>
        <v>offset 52</v>
      </c>
    </row>
    <row r="11684" customFormat="false" ht="12.8" hidden="false" customHeight="false" outlineLevel="0" collapsed="false">
      <c r="A11684" s="0" t="s">
        <v>12</v>
      </c>
      <c r="B11684" s="0" t="n">
        <v>3685126</v>
      </c>
      <c r="C11684" s="0" t="n">
        <v>3685146</v>
      </c>
      <c r="D11684" s="0" t="s">
        <v>38783</v>
      </c>
      <c r="E11684" s="0" t="s">
        <v>75</v>
      </c>
      <c r="F11684" s="0" t="s">
        <v>15</v>
      </c>
      <c r="G11684" s="0" t="s">
        <v>20</v>
      </c>
      <c r="H11684" s="0" t="n">
        <v>80</v>
      </c>
      <c r="I11684" s="0" t="s">
        <v>38790</v>
      </c>
      <c r="J11684" s="0" t="s">
        <v>38791</v>
      </c>
      <c r="K11684" s="0" t="s">
        <v>38792</v>
      </c>
      <c r="L11684" s="0" t="str">
        <f aca="false">HYPERLINK("https://www.ncbi.nlm.nih.gov/nuccore/CP000058.1?report=graph&amp;tracks=[key:gene_model_track,Options:GeneOnly]&amp;mk=3685076:3685095|offset_29|444444,3685099:3685118|offset_52|444444,3685127:3685146|offset_80|00cc00,3685147:3685166|offset_100|444444&amp;v=3684875:3685366&amp;c=444444", "offset 80")</f>
        <v>offset 80</v>
      </c>
    </row>
    <row r="11685" customFormat="false" ht="12.8" hidden="false" customHeight="false" outlineLevel="0" collapsed="false">
      <c r="A11685" s="0" t="s">
        <v>12</v>
      </c>
      <c r="B11685" s="0" t="n">
        <v>3685146</v>
      </c>
      <c r="C11685" s="0" t="n">
        <v>3685166</v>
      </c>
      <c r="D11685" s="0" t="s">
        <v>38783</v>
      </c>
      <c r="E11685" s="0" t="s">
        <v>75</v>
      </c>
      <c r="F11685" s="0" t="s">
        <v>15</v>
      </c>
      <c r="G11685" s="0" t="s">
        <v>36</v>
      </c>
      <c r="H11685" s="0" t="n">
        <v>100</v>
      </c>
      <c r="I11685" s="0" t="s">
        <v>38793</v>
      </c>
      <c r="J11685" s="0" t="s">
        <v>38794</v>
      </c>
      <c r="K11685" s="0" t="s">
        <v>38795</v>
      </c>
      <c r="L11685" s="0" t="str">
        <f aca="false">HYPERLINK("https://www.ncbi.nlm.nih.gov/nuccore/CP000058.1?report=graph&amp;tracks=[key:gene_model_track,Options:GeneOnly]&amp;mk=3685076:3685095|offset_29|444444,3685099:3685118|offset_52|444444,3685127:3685146|offset_80|444444,3685147:3685166|offset_100|00cc00&amp;v=3684875:3685366&amp;c=444444", "offset 100")</f>
        <v>offset 100</v>
      </c>
    </row>
    <row r="11686" customFormat="false" ht="12.8" hidden="false" customHeight="false" outlineLevel="0" collapsed="false">
      <c r="A11686" s="0" t="s">
        <v>12</v>
      </c>
      <c r="B11686" s="0" t="n">
        <v>3685328</v>
      </c>
      <c r="C11686" s="0" t="n">
        <v>3685348</v>
      </c>
      <c r="D11686" s="0" t="s">
        <v>38796</v>
      </c>
      <c r="E11686" s="0" t="s">
        <v>75</v>
      </c>
      <c r="F11686" s="0" t="s">
        <v>15</v>
      </c>
      <c r="G11686" s="0" t="s">
        <v>16</v>
      </c>
      <c r="H11686" s="0" t="n">
        <v>7</v>
      </c>
      <c r="I11686" s="0" t="s">
        <v>38797</v>
      </c>
      <c r="J11686" s="0" t="s">
        <v>38798</v>
      </c>
      <c r="K11686" s="0" t="s">
        <v>38799</v>
      </c>
      <c r="L11686" s="0" t="str">
        <f aca="false">HYPERLINK("https://www.ncbi.nlm.nih.gov/nuccore/CP000058.1?report=graph&amp;tracks=[key:gene_model_track,Options:GeneOnly]&amp;mk=3685329:3685348|offset_7|00cc00,3685349:3685368|offset_27|444444,3685371:3685390|offset_49|444444,3685404:3685423|offset_82|444444&amp;v=3685128:3685623&amp;c=444444", "offset 7")</f>
        <v>offset 7</v>
      </c>
    </row>
    <row r="11687" customFormat="false" ht="12.8" hidden="false" customHeight="false" outlineLevel="0" collapsed="false">
      <c r="A11687" s="0" t="s">
        <v>12</v>
      </c>
      <c r="B11687" s="0" t="n">
        <v>3685348</v>
      </c>
      <c r="C11687" s="0" t="n">
        <v>3685368</v>
      </c>
      <c r="D11687" s="0" t="s">
        <v>38796</v>
      </c>
      <c r="E11687" s="0" t="s">
        <v>75</v>
      </c>
      <c r="F11687" s="0" t="s">
        <v>15</v>
      </c>
      <c r="G11687" s="0" t="s">
        <v>36</v>
      </c>
      <c r="H11687" s="0" t="n">
        <v>27</v>
      </c>
      <c r="I11687" s="0" t="s">
        <v>38800</v>
      </c>
      <c r="J11687" s="0" t="s">
        <v>38801</v>
      </c>
      <c r="K11687" s="0" t="s">
        <v>38802</v>
      </c>
      <c r="L11687" s="0" t="str">
        <f aca="false">HYPERLINK("https://www.ncbi.nlm.nih.gov/nuccore/CP000058.1?report=graph&amp;tracks=[key:gene_model_track,Options:GeneOnly]&amp;mk=3685329:3685348|offset_7|444444,3685349:3685368|offset_27|00cc00,3685371:3685390|offset_49|444444,3685404:3685423|offset_82|444444&amp;v=3685128:3685623&amp;c=444444", "offset 27")</f>
        <v>offset 27</v>
      </c>
    </row>
    <row r="11688" customFormat="false" ht="12.8" hidden="false" customHeight="false" outlineLevel="0" collapsed="false">
      <c r="A11688" s="0" t="s">
        <v>12</v>
      </c>
      <c r="B11688" s="0" t="n">
        <v>3685370</v>
      </c>
      <c r="C11688" s="0" t="n">
        <v>3685390</v>
      </c>
      <c r="D11688" s="0" t="s">
        <v>38796</v>
      </c>
      <c r="E11688" s="0" t="s">
        <v>75</v>
      </c>
      <c r="F11688" s="0" t="s">
        <v>15</v>
      </c>
      <c r="G11688" s="0" t="s">
        <v>16</v>
      </c>
      <c r="H11688" s="0" t="n">
        <v>49</v>
      </c>
      <c r="I11688" s="0" t="s">
        <v>38803</v>
      </c>
      <c r="J11688" s="0" t="s">
        <v>38804</v>
      </c>
      <c r="K11688" s="0" t="s">
        <v>38805</v>
      </c>
      <c r="L11688" s="0" t="str">
        <f aca="false">HYPERLINK("https://www.ncbi.nlm.nih.gov/nuccore/CP000058.1?report=graph&amp;tracks=[key:gene_model_track,Options:GeneOnly]&amp;mk=3685329:3685348|offset_7|444444,3685349:3685368|offset_27|444444,3685371:3685390|offset_49|00cc00,3685404:3685423|offset_82|444444&amp;v=3685128:3685623&amp;c=444444", "offset 49")</f>
        <v>offset 49</v>
      </c>
    </row>
    <row r="11689" customFormat="false" ht="12.8" hidden="false" customHeight="false" outlineLevel="0" collapsed="false">
      <c r="A11689" s="0" t="s">
        <v>12</v>
      </c>
      <c r="B11689" s="0" t="n">
        <v>3685403</v>
      </c>
      <c r="C11689" s="0" t="n">
        <v>3685423</v>
      </c>
      <c r="D11689" s="0" t="s">
        <v>38796</v>
      </c>
      <c r="E11689" s="0" t="s">
        <v>75</v>
      </c>
      <c r="F11689" s="0" t="s">
        <v>15</v>
      </c>
      <c r="G11689" s="0" t="s">
        <v>20</v>
      </c>
      <c r="H11689" s="0" t="n">
        <v>82</v>
      </c>
      <c r="I11689" s="0" t="s">
        <v>38806</v>
      </c>
      <c r="J11689" s="0" t="s">
        <v>38807</v>
      </c>
      <c r="K11689" s="0" t="s">
        <v>38808</v>
      </c>
      <c r="L11689" s="0" t="str">
        <f aca="false">HYPERLINK("https://www.ncbi.nlm.nih.gov/nuccore/CP000058.1?report=graph&amp;tracks=[key:gene_model_track,Options:GeneOnly]&amp;mk=3685329:3685348|offset_7|444444,3685349:3685368|offset_27|444444,3685371:3685390|offset_49|444444,3685404:3685423|offset_82|00cc00&amp;v=3685128:3685623&amp;c=444444", "offset 82")</f>
        <v>offset 82</v>
      </c>
    </row>
    <row r="11690" customFormat="false" ht="12.8" hidden="false" customHeight="false" outlineLevel="0" collapsed="false">
      <c r="A11690" s="0" t="s">
        <v>12</v>
      </c>
      <c r="B11690" s="0" t="n">
        <v>3686144</v>
      </c>
      <c r="C11690" s="0" t="n">
        <v>3686164</v>
      </c>
      <c r="D11690" s="0" t="s">
        <v>38809</v>
      </c>
      <c r="E11690" s="0" t="s">
        <v>75</v>
      </c>
      <c r="F11690" s="0" t="s">
        <v>90</v>
      </c>
      <c r="G11690" s="0" t="s">
        <v>36</v>
      </c>
      <c r="H11690" s="0" t="n">
        <v>25</v>
      </c>
      <c r="I11690" s="0" t="s">
        <v>38810</v>
      </c>
      <c r="J11690" s="0" t="s">
        <v>38811</v>
      </c>
      <c r="K11690" s="0" t="s">
        <v>38812</v>
      </c>
      <c r="L11690" s="0" t="str">
        <f aca="false">HYPERLINK("https://www.ncbi.nlm.nih.gov/nuccore/CP000058.1?report=graph&amp;tracks=[key:gene_model_track,Options:GeneOnly]&amp;mk=3686145:3686164|offset_25|00cc00,3686117:3686136|offset_53|444444,3686088:3686107|offset_82|444444,3686058:3686077|offset_112|444444&amp;v=3685944:3686277&amp;c=444444", "offset 25")</f>
        <v>offset 25</v>
      </c>
    </row>
    <row r="11691" customFormat="false" ht="12.8" hidden="false" customHeight="false" outlineLevel="0" collapsed="false">
      <c r="A11691" s="0" t="s">
        <v>12</v>
      </c>
      <c r="B11691" s="0" t="n">
        <v>3686116</v>
      </c>
      <c r="C11691" s="0" t="n">
        <v>3686136</v>
      </c>
      <c r="D11691" s="0" t="s">
        <v>38809</v>
      </c>
      <c r="E11691" s="0" t="s">
        <v>75</v>
      </c>
      <c r="F11691" s="0" t="s">
        <v>90</v>
      </c>
      <c r="G11691" s="0" t="s">
        <v>16</v>
      </c>
      <c r="H11691" s="0" t="n">
        <v>53</v>
      </c>
      <c r="I11691" s="0" t="s">
        <v>38813</v>
      </c>
      <c r="J11691" s="0" t="s">
        <v>38814</v>
      </c>
      <c r="K11691" s="0" t="s">
        <v>38815</v>
      </c>
      <c r="L11691" s="0" t="str">
        <f aca="false">HYPERLINK("https://www.ncbi.nlm.nih.gov/nuccore/CP000058.1?report=graph&amp;tracks=[key:gene_model_track,Options:GeneOnly]&amp;mk=3686145:3686164|offset_25|444444,3686117:3686136|offset_53|00cc00,3686088:3686107|offset_82|444444,3686058:3686077|offset_112|444444&amp;v=3685944:3686277&amp;c=444444", "offset 53")</f>
        <v>offset 53</v>
      </c>
    </row>
    <row r="11692" customFormat="false" ht="12.8" hidden="false" customHeight="false" outlineLevel="0" collapsed="false">
      <c r="A11692" s="0" t="s">
        <v>12</v>
      </c>
      <c r="B11692" s="0" t="n">
        <v>3686087</v>
      </c>
      <c r="C11692" s="0" t="n">
        <v>3686107</v>
      </c>
      <c r="D11692" s="0" t="s">
        <v>38809</v>
      </c>
      <c r="E11692" s="0" t="s">
        <v>75</v>
      </c>
      <c r="F11692" s="0" t="s">
        <v>90</v>
      </c>
      <c r="G11692" s="0" t="s">
        <v>36</v>
      </c>
      <c r="H11692" s="0" t="n">
        <v>82</v>
      </c>
      <c r="I11692" s="0" t="s">
        <v>38816</v>
      </c>
      <c r="J11692" s="0" t="s">
        <v>38817</v>
      </c>
      <c r="K11692" s="0" t="s">
        <v>38818</v>
      </c>
      <c r="L11692" s="0" t="str">
        <f aca="false">HYPERLINK("https://www.ncbi.nlm.nih.gov/nuccore/CP000058.1?report=graph&amp;tracks=[key:gene_model_track,Options:GeneOnly]&amp;mk=3686145:3686164|offset_25|444444,3686117:3686136|offset_53|444444,3686088:3686107|offset_82|00cc00,3686058:3686077|offset_112|444444&amp;v=3685944:3686277&amp;c=444444", "offset 82")</f>
        <v>offset 82</v>
      </c>
    </row>
    <row r="11693" customFormat="false" ht="12.8" hidden="false" customHeight="false" outlineLevel="0" collapsed="false">
      <c r="A11693" s="0" t="s">
        <v>12</v>
      </c>
      <c r="B11693" s="0" t="n">
        <v>3686057</v>
      </c>
      <c r="C11693" s="0" t="n">
        <v>3686077</v>
      </c>
      <c r="D11693" s="0" t="s">
        <v>38809</v>
      </c>
      <c r="E11693" s="0" t="s">
        <v>75</v>
      </c>
      <c r="F11693" s="0" t="s">
        <v>90</v>
      </c>
      <c r="G11693" s="0" t="s">
        <v>16</v>
      </c>
      <c r="H11693" s="0" t="n">
        <v>112</v>
      </c>
      <c r="I11693" s="0" t="s">
        <v>38819</v>
      </c>
      <c r="J11693" s="0" t="s">
        <v>38820</v>
      </c>
      <c r="K11693" s="0" t="s">
        <v>38821</v>
      </c>
      <c r="L11693" s="0" t="str">
        <f aca="false">HYPERLINK("https://www.ncbi.nlm.nih.gov/nuccore/CP000058.1?report=graph&amp;tracks=[key:gene_model_track,Options:GeneOnly]&amp;mk=3686145:3686164|offset_25|444444,3686117:3686136|offset_53|444444,3686088:3686107|offset_82|444444,3686058:3686077|offset_112|00cc00&amp;v=3685944:3686277&amp;c=444444", "offset 112")</f>
        <v>offset 112</v>
      </c>
    </row>
    <row r="11694" customFormat="false" ht="12.8" hidden="false" customHeight="false" outlineLevel="0" collapsed="false">
      <c r="A11694" s="0" t="s">
        <v>12</v>
      </c>
      <c r="B11694" s="0" t="n">
        <v>3686584</v>
      </c>
      <c r="C11694" s="0" t="n">
        <v>3686604</v>
      </c>
      <c r="D11694" s="0" t="s">
        <v>38822</v>
      </c>
      <c r="E11694" s="0" t="s">
        <v>75</v>
      </c>
      <c r="F11694" s="0" t="s">
        <v>15</v>
      </c>
      <c r="G11694" s="0" t="s">
        <v>32</v>
      </c>
      <c r="H11694" s="0" t="n">
        <v>16</v>
      </c>
      <c r="I11694" s="0" t="s">
        <v>38823</v>
      </c>
      <c r="J11694" s="0" t="s">
        <v>38824</v>
      </c>
      <c r="K11694" s="0" t="s">
        <v>38825</v>
      </c>
      <c r="L11694" s="0" t="str">
        <f aca="false">HYPERLINK("https://www.ncbi.nlm.nih.gov/nuccore/CP000058.1?report=graph&amp;tracks=[key:gene_model_track,Options:GeneOnly]&amp;mk=3686585:3686604|offset_16|00cc00,3686619:3686638|offset_50|444444,3686657:3686676|offset_88|444444,3686723:3686742|offset_154|444444&amp;v=3686384:3686942&amp;c=444444", "offset 16")</f>
        <v>offset 16</v>
      </c>
    </row>
    <row r="11695" customFormat="false" ht="12.8" hidden="false" customHeight="false" outlineLevel="0" collapsed="false">
      <c r="A11695" s="0" t="s">
        <v>12</v>
      </c>
      <c r="B11695" s="0" t="n">
        <v>3686618</v>
      </c>
      <c r="C11695" s="0" t="n">
        <v>3686638</v>
      </c>
      <c r="D11695" s="0" t="s">
        <v>38822</v>
      </c>
      <c r="E11695" s="0" t="s">
        <v>75</v>
      </c>
      <c r="F11695" s="0" t="s">
        <v>15</v>
      </c>
      <c r="G11695" s="0" t="s">
        <v>36</v>
      </c>
      <c r="H11695" s="0" t="n">
        <v>50</v>
      </c>
      <c r="I11695" s="0" t="s">
        <v>38826</v>
      </c>
      <c r="J11695" s="0" t="s">
        <v>38827</v>
      </c>
      <c r="K11695" s="0" t="s">
        <v>38828</v>
      </c>
      <c r="L11695" s="0" t="str">
        <f aca="false">HYPERLINK("https://www.ncbi.nlm.nih.gov/nuccore/CP000058.1?report=graph&amp;tracks=[key:gene_model_track,Options:GeneOnly]&amp;mk=3686585:3686604|offset_16|444444,3686619:3686638|offset_50|00cc00,3686657:3686676|offset_88|444444,3686723:3686742|offset_154|444444&amp;v=3686384:3686942&amp;c=444444", "offset 50")</f>
        <v>offset 50</v>
      </c>
    </row>
    <row r="11696" customFormat="false" ht="12.8" hidden="false" customHeight="false" outlineLevel="0" collapsed="false">
      <c r="A11696" s="0" t="s">
        <v>12</v>
      </c>
      <c r="B11696" s="0" t="n">
        <v>3686656</v>
      </c>
      <c r="C11696" s="0" t="n">
        <v>3686676</v>
      </c>
      <c r="D11696" s="0" t="s">
        <v>38822</v>
      </c>
      <c r="E11696" s="0" t="s">
        <v>75</v>
      </c>
      <c r="F11696" s="0" t="s">
        <v>15</v>
      </c>
      <c r="G11696" s="0" t="s">
        <v>32</v>
      </c>
      <c r="H11696" s="0" t="n">
        <v>88</v>
      </c>
      <c r="I11696" s="0" t="s">
        <v>38829</v>
      </c>
      <c r="J11696" s="0" t="s">
        <v>38830</v>
      </c>
      <c r="K11696" s="0" t="s">
        <v>38831</v>
      </c>
      <c r="L11696" s="0" t="str">
        <f aca="false">HYPERLINK("https://www.ncbi.nlm.nih.gov/nuccore/CP000058.1?report=graph&amp;tracks=[key:gene_model_track,Options:GeneOnly]&amp;mk=3686585:3686604|offset_16|444444,3686619:3686638|offset_50|444444,3686657:3686676|offset_88|00cc00,3686723:3686742|offset_154|444444&amp;v=3686384:3686942&amp;c=444444", "offset 88")</f>
        <v>offset 88</v>
      </c>
    </row>
    <row r="11697" customFormat="false" ht="12.8" hidden="false" customHeight="false" outlineLevel="0" collapsed="false">
      <c r="A11697" s="0" t="s">
        <v>12</v>
      </c>
      <c r="B11697" s="0" t="n">
        <v>3686722</v>
      </c>
      <c r="C11697" s="0" t="n">
        <v>3686742</v>
      </c>
      <c r="D11697" s="0" t="s">
        <v>38822</v>
      </c>
      <c r="E11697" s="0" t="s">
        <v>75</v>
      </c>
      <c r="F11697" s="0" t="s">
        <v>15</v>
      </c>
      <c r="G11697" s="0" t="s">
        <v>32</v>
      </c>
      <c r="H11697" s="0" t="n">
        <v>154</v>
      </c>
      <c r="I11697" s="0" t="s">
        <v>38832</v>
      </c>
      <c r="J11697" s="0" t="s">
        <v>38833</v>
      </c>
      <c r="K11697" s="0" t="s">
        <v>38834</v>
      </c>
      <c r="L11697" s="0" t="str">
        <f aca="false">HYPERLINK("https://www.ncbi.nlm.nih.gov/nuccore/CP000058.1?report=graph&amp;tracks=[key:gene_model_track,Options:GeneOnly]&amp;mk=3686585:3686604|offset_16|444444,3686619:3686638|offset_50|444444,3686657:3686676|offset_88|444444,3686723:3686742|offset_154|00cc00&amp;v=3686384:3686942&amp;c=444444", "offset 154")</f>
        <v>offset 154</v>
      </c>
    </row>
    <row r="11698" customFormat="false" ht="12.8" hidden="false" customHeight="false" outlineLevel="0" collapsed="false">
      <c r="A11698" s="0" t="s">
        <v>12</v>
      </c>
      <c r="B11698" s="0" t="n">
        <v>3688291</v>
      </c>
      <c r="C11698" s="0" t="n">
        <v>3688311</v>
      </c>
      <c r="D11698" s="0" t="s">
        <v>38835</v>
      </c>
      <c r="E11698" s="0" t="s">
        <v>75</v>
      </c>
      <c r="F11698" s="0" t="s">
        <v>90</v>
      </c>
      <c r="G11698" s="0" t="s">
        <v>16</v>
      </c>
      <c r="H11698" s="0" t="n">
        <v>67</v>
      </c>
      <c r="I11698" s="0" t="s">
        <v>38836</v>
      </c>
      <c r="J11698" s="0" t="s">
        <v>38837</v>
      </c>
      <c r="K11698" s="0" t="s">
        <v>38838</v>
      </c>
      <c r="L11698" s="0" t="str">
        <f aca="false">HYPERLINK("https://www.ncbi.nlm.nih.gov/nuccore/CP000058.1?report=graph&amp;tracks=[key:gene_model_track,Options:GeneOnly]&amp;mk=3688292:3688311|offset_67|00cc00,3688240:3688259|offset_119|444444,3688158:3688177|offset_201|444444,3688121:3688140|offset_238|444444&amp;v=3688091:3688340&amp;c=444444", "offset 67")</f>
        <v>offset 67</v>
      </c>
    </row>
    <row r="11699" customFormat="false" ht="12.8" hidden="false" customHeight="false" outlineLevel="0" collapsed="false">
      <c r="A11699" s="0" t="s">
        <v>12</v>
      </c>
      <c r="B11699" s="0" t="n">
        <v>3688239</v>
      </c>
      <c r="C11699" s="0" t="n">
        <v>3688259</v>
      </c>
      <c r="D11699" s="0" t="s">
        <v>38835</v>
      </c>
      <c r="E11699" s="0" t="s">
        <v>75</v>
      </c>
      <c r="F11699" s="0" t="s">
        <v>90</v>
      </c>
      <c r="G11699" s="0" t="s">
        <v>32</v>
      </c>
      <c r="H11699" s="0" t="n">
        <v>119</v>
      </c>
      <c r="I11699" s="0" t="s">
        <v>38839</v>
      </c>
      <c r="J11699" s="0" t="s">
        <v>38840</v>
      </c>
      <c r="K11699" s="0" t="s">
        <v>38841</v>
      </c>
      <c r="L11699" s="0" t="str">
        <f aca="false">HYPERLINK("https://www.ncbi.nlm.nih.gov/nuccore/CP000058.1?report=graph&amp;tracks=[key:gene_model_track,Options:GeneOnly]&amp;mk=3688292:3688311|offset_67|444444,3688240:3688259|offset_119|00cc00,3688158:3688177|offset_201|444444,3688121:3688140|offset_238|444444&amp;v=3688091:3688340&amp;c=444444", "offset 119")</f>
        <v>offset 119</v>
      </c>
    </row>
    <row r="11700" customFormat="false" ht="12.8" hidden="false" customHeight="false" outlineLevel="0" collapsed="false">
      <c r="A11700" s="0" t="s">
        <v>12</v>
      </c>
      <c r="B11700" s="0" t="n">
        <v>3688157</v>
      </c>
      <c r="C11700" s="0" t="n">
        <v>3688177</v>
      </c>
      <c r="D11700" s="0" t="s">
        <v>38835</v>
      </c>
      <c r="E11700" s="0" t="s">
        <v>75</v>
      </c>
      <c r="F11700" s="0" t="s">
        <v>90</v>
      </c>
      <c r="G11700" s="0" t="s">
        <v>20</v>
      </c>
      <c r="H11700" s="0" t="n">
        <v>201</v>
      </c>
      <c r="I11700" s="0" t="s">
        <v>38842</v>
      </c>
      <c r="J11700" s="0" t="s">
        <v>38843</v>
      </c>
      <c r="K11700" s="0" t="s">
        <v>38844</v>
      </c>
      <c r="L11700" s="0" t="str">
        <f aca="false">HYPERLINK("https://www.ncbi.nlm.nih.gov/nuccore/CP000058.1?report=graph&amp;tracks=[key:gene_model_track,Options:GeneOnly]&amp;mk=3688292:3688311|offset_67|444444,3688240:3688259|offset_119|444444,3688158:3688177|offset_201|00cc00,3688121:3688140|offset_238|444444&amp;v=3688091:3688340&amp;c=444444", "offset 201")</f>
        <v>offset 201</v>
      </c>
    </row>
    <row r="11701" customFormat="false" ht="12.8" hidden="false" customHeight="false" outlineLevel="0" collapsed="false">
      <c r="A11701" s="0" t="s">
        <v>12</v>
      </c>
      <c r="B11701" s="0" t="n">
        <v>3688120</v>
      </c>
      <c r="C11701" s="0" t="n">
        <v>3688140</v>
      </c>
      <c r="D11701" s="0" t="s">
        <v>38835</v>
      </c>
      <c r="E11701" s="0" t="s">
        <v>75</v>
      </c>
      <c r="F11701" s="0" t="s">
        <v>90</v>
      </c>
      <c r="G11701" s="0" t="s">
        <v>32</v>
      </c>
      <c r="H11701" s="0" t="n">
        <v>238</v>
      </c>
      <c r="I11701" s="0" t="s">
        <v>38845</v>
      </c>
      <c r="J11701" s="0" t="s">
        <v>38846</v>
      </c>
      <c r="K11701" s="0" t="s">
        <v>38847</v>
      </c>
      <c r="L11701" s="0" t="str">
        <f aca="false">HYPERLINK("https://www.ncbi.nlm.nih.gov/nuccore/CP000058.1?report=graph&amp;tracks=[key:gene_model_track,Options:GeneOnly]&amp;mk=3688292:3688311|offset_67|444444,3688240:3688259|offset_119|444444,3688158:3688177|offset_201|444444,3688121:3688140|offset_238|00cc00&amp;v=3688091:3688340&amp;c=444444", "offset 238")</f>
        <v>offset 238</v>
      </c>
    </row>
    <row r="11702" customFormat="false" ht="12.8" hidden="false" customHeight="false" outlineLevel="0" collapsed="false">
      <c r="A11702" s="0" t="s">
        <v>12</v>
      </c>
      <c r="B11702" s="0" t="n">
        <v>3690239</v>
      </c>
      <c r="C11702" s="0" t="n">
        <v>3690259</v>
      </c>
      <c r="D11702" s="0" t="s">
        <v>38848</v>
      </c>
      <c r="E11702" s="0" t="s">
        <v>75</v>
      </c>
      <c r="F11702" s="0" t="s">
        <v>90</v>
      </c>
      <c r="G11702" s="0" t="s">
        <v>16</v>
      </c>
      <c r="H11702" s="0" t="n">
        <v>7</v>
      </c>
      <c r="I11702" s="0" t="s">
        <v>38849</v>
      </c>
      <c r="J11702" s="0" t="s">
        <v>38850</v>
      </c>
      <c r="K11702" s="0" t="s">
        <v>38851</v>
      </c>
      <c r="L11702" s="0" t="str">
        <f aca="false">HYPERLINK("https://www.ncbi.nlm.nih.gov/nuccore/CP000058.1?report=graph&amp;tracks=[key:gene_model_track,Options:GeneOnly]&amp;mk=3690240:3690259|offset_7|00cc00,3690219:3690238|offset_28|444444,3690169:3690188|offset_78|444444,3690143:3690162|offset_104|444444&amp;v=3690039:3690362&amp;c=444444", "offset 7")</f>
        <v>offset 7</v>
      </c>
    </row>
    <row r="11703" customFormat="false" ht="12.8" hidden="false" customHeight="false" outlineLevel="0" collapsed="false">
      <c r="A11703" s="0" t="s">
        <v>12</v>
      </c>
      <c r="B11703" s="0" t="n">
        <v>3690218</v>
      </c>
      <c r="C11703" s="0" t="n">
        <v>3690238</v>
      </c>
      <c r="D11703" s="0" t="s">
        <v>38848</v>
      </c>
      <c r="E11703" s="0" t="s">
        <v>75</v>
      </c>
      <c r="F11703" s="0" t="s">
        <v>90</v>
      </c>
      <c r="G11703" s="0" t="s">
        <v>16</v>
      </c>
      <c r="H11703" s="0" t="n">
        <v>28</v>
      </c>
      <c r="I11703" s="0" t="s">
        <v>38852</v>
      </c>
      <c r="J11703" s="0" t="s">
        <v>38853</v>
      </c>
      <c r="K11703" s="0" t="s">
        <v>38854</v>
      </c>
      <c r="L11703" s="0" t="str">
        <f aca="false">HYPERLINK("https://www.ncbi.nlm.nih.gov/nuccore/CP000058.1?report=graph&amp;tracks=[key:gene_model_track,Options:GeneOnly]&amp;mk=3690240:3690259|offset_7|444444,3690219:3690238|offset_28|00cc00,3690169:3690188|offset_78|444444,3690143:3690162|offset_104|444444&amp;v=3690039:3690362&amp;c=444444", "offset 28")</f>
        <v>offset 28</v>
      </c>
    </row>
    <row r="11704" customFormat="false" ht="12.8" hidden="false" customHeight="false" outlineLevel="0" collapsed="false">
      <c r="A11704" s="0" t="s">
        <v>12</v>
      </c>
      <c r="B11704" s="0" t="n">
        <v>3690168</v>
      </c>
      <c r="C11704" s="0" t="n">
        <v>3690188</v>
      </c>
      <c r="D11704" s="0" t="s">
        <v>38848</v>
      </c>
      <c r="E11704" s="0" t="s">
        <v>75</v>
      </c>
      <c r="F11704" s="0" t="s">
        <v>90</v>
      </c>
      <c r="G11704" s="0" t="s">
        <v>32</v>
      </c>
      <c r="H11704" s="0" t="n">
        <v>78</v>
      </c>
      <c r="I11704" s="0" t="s">
        <v>38855</v>
      </c>
      <c r="J11704" s="0" t="s">
        <v>38856</v>
      </c>
      <c r="K11704" s="0" t="s">
        <v>38857</v>
      </c>
      <c r="L11704" s="0" t="str">
        <f aca="false">HYPERLINK("https://www.ncbi.nlm.nih.gov/nuccore/CP000058.1?report=graph&amp;tracks=[key:gene_model_track,Options:GeneOnly]&amp;mk=3690240:3690259|offset_7|444444,3690219:3690238|offset_28|444444,3690169:3690188|offset_78|00cc00,3690143:3690162|offset_104|444444&amp;v=3690039:3690362&amp;c=444444", "offset 78")</f>
        <v>offset 78</v>
      </c>
    </row>
    <row r="11705" customFormat="false" ht="12.8" hidden="false" customHeight="false" outlineLevel="0" collapsed="false">
      <c r="A11705" s="0" t="s">
        <v>12</v>
      </c>
      <c r="B11705" s="0" t="n">
        <v>3690142</v>
      </c>
      <c r="C11705" s="0" t="n">
        <v>3690162</v>
      </c>
      <c r="D11705" s="0" t="s">
        <v>38848</v>
      </c>
      <c r="E11705" s="0" t="s">
        <v>75</v>
      </c>
      <c r="F11705" s="0" t="s">
        <v>90</v>
      </c>
      <c r="G11705" s="0" t="s">
        <v>20</v>
      </c>
      <c r="H11705" s="0" t="n">
        <v>104</v>
      </c>
      <c r="I11705" s="0" t="s">
        <v>38858</v>
      </c>
      <c r="J11705" s="0" t="s">
        <v>38859</v>
      </c>
      <c r="K11705" s="0" t="s">
        <v>38860</v>
      </c>
      <c r="L11705" s="0" t="str">
        <f aca="false">HYPERLINK("https://www.ncbi.nlm.nih.gov/nuccore/CP000058.1?report=graph&amp;tracks=[key:gene_model_track,Options:GeneOnly]&amp;mk=3690240:3690259|offset_7|444444,3690219:3690238|offset_28|444444,3690169:3690188|offset_78|444444,3690143:3690162|offset_104|00cc00&amp;v=3690039:3690362&amp;c=444444", "offset 104")</f>
        <v>offset 104</v>
      </c>
    </row>
    <row r="11706" customFormat="false" ht="12.8" hidden="false" customHeight="false" outlineLevel="0" collapsed="false">
      <c r="A11706" s="0" t="s">
        <v>12</v>
      </c>
      <c r="B11706" s="0" t="n">
        <v>3690797</v>
      </c>
      <c r="C11706" s="0" t="n">
        <v>3690817</v>
      </c>
      <c r="D11706" s="0" t="s">
        <v>38861</v>
      </c>
      <c r="E11706" s="0" t="s">
        <v>75</v>
      </c>
      <c r="F11706" s="0" t="s">
        <v>90</v>
      </c>
      <c r="G11706" s="0" t="s">
        <v>16</v>
      </c>
      <c r="H11706" s="0" t="n">
        <v>30</v>
      </c>
      <c r="I11706" s="0" t="s">
        <v>38862</v>
      </c>
      <c r="J11706" s="0" t="s">
        <v>38863</v>
      </c>
      <c r="K11706" s="0" t="s">
        <v>38864</v>
      </c>
      <c r="L11706" s="0" t="str">
        <f aca="false">HYPERLINK("https://www.ncbi.nlm.nih.gov/nuccore/CP000058.1?report=graph&amp;tracks=[key:gene_model_track,Options:GeneOnly]&amp;mk=3690798:3690817|offset_30|00cc00,3690776:3690795|offset_52|444444,3690724:3690743|offset_104|444444,3690703:3690722|offset_125|444444&amp;v=3690597:3690922&amp;c=444444", "offset 30")</f>
        <v>offset 30</v>
      </c>
    </row>
    <row r="11707" customFormat="false" ht="12.8" hidden="false" customHeight="false" outlineLevel="0" collapsed="false">
      <c r="A11707" s="0" t="s">
        <v>12</v>
      </c>
      <c r="B11707" s="0" t="n">
        <v>3690775</v>
      </c>
      <c r="C11707" s="0" t="n">
        <v>3690795</v>
      </c>
      <c r="D11707" s="0" t="s">
        <v>38861</v>
      </c>
      <c r="E11707" s="0" t="s">
        <v>75</v>
      </c>
      <c r="F11707" s="0" t="s">
        <v>90</v>
      </c>
      <c r="G11707" s="0" t="s">
        <v>16</v>
      </c>
      <c r="H11707" s="0" t="n">
        <v>52</v>
      </c>
      <c r="I11707" s="0" t="s">
        <v>38865</v>
      </c>
      <c r="J11707" s="0" t="s">
        <v>38866</v>
      </c>
      <c r="K11707" s="0" t="s">
        <v>38867</v>
      </c>
      <c r="L11707" s="0" t="str">
        <f aca="false">HYPERLINK("https://www.ncbi.nlm.nih.gov/nuccore/CP000058.1?report=graph&amp;tracks=[key:gene_model_track,Options:GeneOnly]&amp;mk=3690798:3690817|offset_30|444444,3690776:3690795|offset_52|00cc00,3690724:3690743|offset_104|444444,3690703:3690722|offset_125|444444&amp;v=3690597:3690922&amp;c=444444", "offset 52")</f>
        <v>offset 52</v>
      </c>
    </row>
    <row r="11708" customFormat="false" ht="12.8" hidden="false" customHeight="false" outlineLevel="0" collapsed="false">
      <c r="A11708" s="0" t="s">
        <v>12</v>
      </c>
      <c r="B11708" s="0" t="n">
        <v>3690723</v>
      </c>
      <c r="C11708" s="0" t="n">
        <v>3690743</v>
      </c>
      <c r="D11708" s="0" t="s">
        <v>38861</v>
      </c>
      <c r="E11708" s="0" t="s">
        <v>75</v>
      </c>
      <c r="F11708" s="0" t="s">
        <v>90</v>
      </c>
      <c r="G11708" s="0" t="s">
        <v>32</v>
      </c>
      <c r="H11708" s="0" t="n">
        <v>104</v>
      </c>
      <c r="I11708" s="0" t="s">
        <v>38868</v>
      </c>
      <c r="J11708" s="0" t="s">
        <v>38869</v>
      </c>
      <c r="K11708" s="0" t="s">
        <v>38870</v>
      </c>
      <c r="L11708" s="0" t="str">
        <f aca="false">HYPERLINK("https://www.ncbi.nlm.nih.gov/nuccore/CP000058.1?report=graph&amp;tracks=[key:gene_model_track,Options:GeneOnly]&amp;mk=3690798:3690817|offset_30|444444,3690776:3690795|offset_52|444444,3690724:3690743|offset_104|00cc00,3690703:3690722|offset_125|444444&amp;v=3690597:3690922&amp;c=444444", "offset 104")</f>
        <v>offset 104</v>
      </c>
    </row>
    <row r="11709" customFormat="false" ht="12.8" hidden="false" customHeight="false" outlineLevel="0" collapsed="false">
      <c r="A11709" s="0" t="s">
        <v>12</v>
      </c>
      <c r="B11709" s="0" t="n">
        <v>3690702</v>
      </c>
      <c r="C11709" s="0" t="n">
        <v>3690722</v>
      </c>
      <c r="D11709" s="0" t="s">
        <v>38861</v>
      </c>
      <c r="E11709" s="0" t="s">
        <v>75</v>
      </c>
      <c r="F11709" s="0" t="s">
        <v>90</v>
      </c>
      <c r="G11709" s="0" t="s">
        <v>16</v>
      </c>
      <c r="H11709" s="0" t="n">
        <v>125</v>
      </c>
      <c r="I11709" s="0" t="s">
        <v>38871</v>
      </c>
      <c r="J11709" s="0" t="s">
        <v>38872</v>
      </c>
      <c r="K11709" s="0" t="s">
        <v>38873</v>
      </c>
      <c r="L11709" s="0" t="str">
        <f aca="false">HYPERLINK("https://www.ncbi.nlm.nih.gov/nuccore/CP000058.1?report=graph&amp;tracks=[key:gene_model_track,Options:GeneOnly]&amp;mk=3690798:3690817|offset_30|444444,3690776:3690795|offset_52|444444,3690724:3690743|offset_104|444444,3690703:3690722|offset_125|00cc00&amp;v=3690597:3690922&amp;c=444444", "offset 125")</f>
        <v>offset 125</v>
      </c>
    </row>
    <row r="11710" customFormat="false" ht="12.8" hidden="false" customHeight="false" outlineLevel="0" collapsed="false">
      <c r="A11710" s="0" t="s">
        <v>12</v>
      </c>
      <c r="B11710" s="0" t="n">
        <v>3692127</v>
      </c>
      <c r="C11710" s="0" t="n">
        <v>3692147</v>
      </c>
      <c r="D11710" s="0" t="s">
        <v>38874</v>
      </c>
      <c r="E11710" s="0" t="s">
        <v>75</v>
      </c>
      <c r="F11710" s="0" t="s">
        <v>90</v>
      </c>
      <c r="G11710" s="0" t="s">
        <v>32</v>
      </c>
      <c r="H11710" s="0" t="n">
        <v>30</v>
      </c>
      <c r="I11710" s="0" t="s">
        <v>38875</v>
      </c>
      <c r="J11710" s="0" t="s">
        <v>38876</v>
      </c>
      <c r="K11710" s="0" t="s">
        <v>38877</v>
      </c>
      <c r="L11710" s="0" t="str">
        <f aca="false">HYPERLINK("https://www.ncbi.nlm.nih.gov/nuccore/CP000058.1?report=graph&amp;tracks=[key:gene_model_track,Options:GeneOnly]&amp;mk=3692128:3692147|offset_30|00cc00,3692092:3692111|offset_66|444444,3692021:3692040|offset_137|444444,3691995:3692014|offset_163|444444&amp;v=3691927:3692214&amp;c=444444", "offset 30")</f>
        <v>offset 30</v>
      </c>
    </row>
    <row r="11711" customFormat="false" ht="12.8" hidden="false" customHeight="false" outlineLevel="0" collapsed="false">
      <c r="A11711" s="0" t="s">
        <v>12</v>
      </c>
      <c r="B11711" s="0" t="n">
        <v>3692091</v>
      </c>
      <c r="C11711" s="0" t="n">
        <v>3692111</v>
      </c>
      <c r="D11711" s="0" t="s">
        <v>38874</v>
      </c>
      <c r="E11711" s="0" t="s">
        <v>75</v>
      </c>
      <c r="F11711" s="0" t="s">
        <v>90</v>
      </c>
      <c r="G11711" s="0" t="s">
        <v>32</v>
      </c>
      <c r="H11711" s="0" t="n">
        <v>66</v>
      </c>
      <c r="I11711" s="0" t="s">
        <v>38878</v>
      </c>
      <c r="J11711" s="0" t="s">
        <v>38879</v>
      </c>
      <c r="K11711" s="0" t="s">
        <v>38880</v>
      </c>
      <c r="L11711" s="0" t="str">
        <f aca="false">HYPERLINK("https://www.ncbi.nlm.nih.gov/nuccore/CP000058.1?report=graph&amp;tracks=[key:gene_model_track,Options:GeneOnly]&amp;mk=3692128:3692147|offset_30|444444,3692092:3692111|offset_66|00cc00,3692021:3692040|offset_137|444444,3691995:3692014|offset_163|444444&amp;v=3691927:3692214&amp;c=444444", "offset 66")</f>
        <v>offset 66</v>
      </c>
    </row>
    <row r="11712" customFormat="false" ht="12.8" hidden="false" customHeight="false" outlineLevel="0" collapsed="false">
      <c r="A11712" s="0" t="s">
        <v>12</v>
      </c>
      <c r="B11712" s="0" t="n">
        <v>3692020</v>
      </c>
      <c r="C11712" s="0" t="n">
        <v>3692040</v>
      </c>
      <c r="D11712" s="0" t="s">
        <v>38874</v>
      </c>
      <c r="E11712" s="0" t="s">
        <v>75</v>
      </c>
      <c r="F11712" s="0" t="s">
        <v>90</v>
      </c>
      <c r="G11712" s="0" t="s">
        <v>16</v>
      </c>
      <c r="H11712" s="0" t="n">
        <v>137</v>
      </c>
      <c r="I11712" s="0" t="s">
        <v>38881</v>
      </c>
      <c r="J11712" s="0" t="s">
        <v>38882</v>
      </c>
      <c r="K11712" s="0" t="s">
        <v>38883</v>
      </c>
      <c r="L11712" s="0" t="str">
        <f aca="false">HYPERLINK("https://www.ncbi.nlm.nih.gov/nuccore/CP000058.1?report=graph&amp;tracks=[key:gene_model_track,Options:GeneOnly]&amp;mk=3692128:3692147|offset_30|444444,3692092:3692111|offset_66|444444,3692021:3692040|offset_137|00cc00,3691995:3692014|offset_163|444444&amp;v=3691927:3692214&amp;c=444444", "offset 137")</f>
        <v>offset 137</v>
      </c>
    </row>
    <row r="11713" customFormat="false" ht="12.8" hidden="false" customHeight="false" outlineLevel="0" collapsed="false">
      <c r="A11713" s="0" t="s">
        <v>12</v>
      </c>
      <c r="B11713" s="0" t="n">
        <v>3691994</v>
      </c>
      <c r="C11713" s="0" t="n">
        <v>3692014</v>
      </c>
      <c r="D11713" s="0" t="s">
        <v>38874</v>
      </c>
      <c r="E11713" s="0" t="s">
        <v>75</v>
      </c>
      <c r="F11713" s="0" t="s">
        <v>90</v>
      </c>
      <c r="G11713" s="0" t="s">
        <v>36</v>
      </c>
      <c r="H11713" s="0" t="n">
        <v>163</v>
      </c>
      <c r="I11713" s="0" t="s">
        <v>38884</v>
      </c>
      <c r="J11713" s="0" t="s">
        <v>38885</v>
      </c>
      <c r="K11713" s="0" t="s">
        <v>38886</v>
      </c>
      <c r="L11713" s="0" t="str">
        <f aca="false">HYPERLINK("https://www.ncbi.nlm.nih.gov/nuccore/CP000058.1?report=graph&amp;tracks=[key:gene_model_track,Options:GeneOnly]&amp;mk=3692128:3692147|offset_30|444444,3692092:3692111|offset_66|444444,3692021:3692040|offset_137|444444,3691995:3692014|offset_163|00cc00&amp;v=3691927:3692214&amp;c=444444", "offset 163")</f>
        <v>offset 163</v>
      </c>
    </row>
    <row r="11714" customFormat="false" ht="12.8" hidden="false" customHeight="false" outlineLevel="0" collapsed="false">
      <c r="A11714" s="0" t="s">
        <v>12</v>
      </c>
      <c r="B11714" s="0" t="n">
        <v>3693760</v>
      </c>
      <c r="C11714" s="0" t="n">
        <v>3693780</v>
      </c>
      <c r="D11714" s="0" t="s">
        <v>38887</v>
      </c>
      <c r="E11714" s="0" t="s">
        <v>75</v>
      </c>
      <c r="F11714" s="0" t="s">
        <v>90</v>
      </c>
      <c r="G11714" s="0" t="s">
        <v>32</v>
      </c>
      <c r="H11714" s="0" t="n">
        <v>22</v>
      </c>
      <c r="I11714" s="0" t="s">
        <v>38888</v>
      </c>
      <c r="J11714" s="0" t="s">
        <v>38889</v>
      </c>
      <c r="K11714" s="0" t="s">
        <v>38890</v>
      </c>
      <c r="L11714" s="0" t="str">
        <f aca="false">HYPERLINK("https://www.ncbi.nlm.nih.gov/nuccore/CP000058.1?report=graph&amp;tracks=[key:gene_model_track,Options:GeneOnly]&amp;mk=3693761:3693780|offset_22|00cc00,3693735:3693754|offset_48|444444,3693715:3693734|offset_68|444444,3693693:3693712|offset_90|444444&amp;v=3693560:3693912&amp;c=444444", "offset 22")</f>
        <v>offset 22</v>
      </c>
    </row>
    <row r="11715" customFormat="false" ht="12.8" hidden="false" customHeight="false" outlineLevel="0" collapsed="false">
      <c r="A11715" s="0" t="s">
        <v>12</v>
      </c>
      <c r="B11715" s="0" t="n">
        <v>3693734</v>
      </c>
      <c r="C11715" s="0" t="n">
        <v>3693754</v>
      </c>
      <c r="D11715" s="0" t="s">
        <v>38887</v>
      </c>
      <c r="E11715" s="0" t="s">
        <v>75</v>
      </c>
      <c r="F11715" s="0" t="s">
        <v>90</v>
      </c>
      <c r="G11715" s="0" t="s">
        <v>16</v>
      </c>
      <c r="H11715" s="0" t="n">
        <v>48</v>
      </c>
      <c r="I11715" s="0" t="s">
        <v>38891</v>
      </c>
      <c r="J11715" s="0" t="s">
        <v>38892</v>
      </c>
      <c r="K11715" s="0" t="s">
        <v>38893</v>
      </c>
      <c r="L11715" s="0" t="str">
        <f aca="false">HYPERLINK("https://www.ncbi.nlm.nih.gov/nuccore/CP000058.1?report=graph&amp;tracks=[key:gene_model_track,Options:GeneOnly]&amp;mk=3693761:3693780|offset_22|444444,3693735:3693754|offset_48|00cc00,3693715:3693734|offset_68|444444,3693693:3693712|offset_90|444444&amp;v=3693560:3693912&amp;c=444444", "offset 48")</f>
        <v>offset 48</v>
      </c>
    </row>
    <row r="11716" customFormat="false" ht="12.8" hidden="false" customHeight="false" outlineLevel="0" collapsed="false">
      <c r="A11716" s="0" t="s">
        <v>12</v>
      </c>
      <c r="B11716" s="0" t="n">
        <v>3693714</v>
      </c>
      <c r="C11716" s="0" t="n">
        <v>3693734</v>
      </c>
      <c r="D11716" s="0" t="s">
        <v>38887</v>
      </c>
      <c r="E11716" s="0" t="s">
        <v>75</v>
      </c>
      <c r="F11716" s="0" t="s">
        <v>90</v>
      </c>
      <c r="G11716" s="0" t="s">
        <v>36</v>
      </c>
      <c r="H11716" s="0" t="n">
        <v>68</v>
      </c>
      <c r="I11716" s="0" t="s">
        <v>38894</v>
      </c>
      <c r="J11716" s="0" t="s">
        <v>38895</v>
      </c>
      <c r="K11716" s="0" t="s">
        <v>38896</v>
      </c>
      <c r="L11716" s="0" t="str">
        <f aca="false">HYPERLINK("https://www.ncbi.nlm.nih.gov/nuccore/CP000058.1?report=graph&amp;tracks=[key:gene_model_track,Options:GeneOnly]&amp;mk=3693761:3693780|offset_22|444444,3693735:3693754|offset_48|444444,3693715:3693734|offset_68|00cc00,3693693:3693712|offset_90|444444&amp;v=3693560:3693912&amp;c=444444", "offset 68")</f>
        <v>offset 68</v>
      </c>
    </row>
    <row r="11717" customFormat="false" ht="12.8" hidden="false" customHeight="false" outlineLevel="0" collapsed="false">
      <c r="A11717" s="0" t="s">
        <v>12</v>
      </c>
      <c r="B11717" s="0" t="n">
        <v>3693692</v>
      </c>
      <c r="C11717" s="0" t="n">
        <v>3693712</v>
      </c>
      <c r="D11717" s="0" t="s">
        <v>38887</v>
      </c>
      <c r="E11717" s="0" t="s">
        <v>75</v>
      </c>
      <c r="F11717" s="0" t="s">
        <v>90</v>
      </c>
      <c r="G11717" s="0" t="s">
        <v>20</v>
      </c>
      <c r="H11717" s="0" t="n">
        <v>90</v>
      </c>
      <c r="I11717" s="0" t="s">
        <v>38897</v>
      </c>
      <c r="J11717" s="0" t="s">
        <v>38898</v>
      </c>
      <c r="K11717" s="0" t="s">
        <v>38899</v>
      </c>
      <c r="L11717" s="0" t="str">
        <f aca="false">HYPERLINK("https://www.ncbi.nlm.nih.gov/nuccore/CP000058.1?report=graph&amp;tracks=[key:gene_model_track,Options:GeneOnly]&amp;mk=3693761:3693780|offset_22|444444,3693735:3693754|offset_48|444444,3693715:3693734|offset_68|444444,3693693:3693712|offset_90|00cc00&amp;v=3693560:3693912&amp;c=444444", "offset 90")</f>
        <v>offset 90</v>
      </c>
    </row>
    <row r="11718" customFormat="false" ht="12.8" hidden="false" customHeight="false" outlineLevel="0" collapsed="false">
      <c r="A11718" s="0" t="s">
        <v>12</v>
      </c>
      <c r="B11718" s="0" t="n">
        <v>3694762</v>
      </c>
      <c r="C11718" s="0" t="n">
        <v>3694782</v>
      </c>
      <c r="D11718" s="0" t="s">
        <v>38900</v>
      </c>
      <c r="E11718" s="0" t="s">
        <v>75</v>
      </c>
      <c r="F11718" s="0" t="s">
        <v>90</v>
      </c>
      <c r="G11718" s="0" t="s">
        <v>20</v>
      </c>
      <c r="H11718" s="0" t="n">
        <v>25</v>
      </c>
      <c r="I11718" s="0" t="s">
        <v>38901</v>
      </c>
      <c r="J11718" s="0" t="s">
        <v>38902</v>
      </c>
      <c r="K11718" s="0" t="s">
        <v>38903</v>
      </c>
      <c r="L11718" s="0" t="str">
        <f aca="false">HYPERLINK("https://www.ncbi.nlm.nih.gov/nuccore/CP000058.1?report=graph&amp;tracks=[key:gene_model_track,Options:GeneOnly]&amp;mk=3694763:3694782|offset_25|00cc00,3694718:3694737|offset_70|444444,3694697:3694716|offset_91|444444,3694667:3694686|offset_121|444444&amp;v=3694562:3694886&amp;c=444444", "offset 25")</f>
        <v>offset 25</v>
      </c>
    </row>
    <row r="11719" customFormat="false" ht="12.8" hidden="false" customHeight="false" outlineLevel="0" collapsed="false">
      <c r="A11719" s="0" t="s">
        <v>12</v>
      </c>
      <c r="B11719" s="0" t="n">
        <v>3694717</v>
      </c>
      <c r="C11719" s="0" t="n">
        <v>3694737</v>
      </c>
      <c r="D11719" s="0" t="s">
        <v>38900</v>
      </c>
      <c r="E11719" s="0" t="s">
        <v>75</v>
      </c>
      <c r="F11719" s="0" t="s">
        <v>90</v>
      </c>
      <c r="G11719" s="0" t="s">
        <v>16</v>
      </c>
      <c r="H11719" s="0" t="n">
        <v>70</v>
      </c>
      <c r="I11719" s="0" t="s">
        <v>38904</v>
      </c>
      <c r="J11719" s="0" t="s">
        <v>38905</v>
      </c>
      <c r="K11719" s="0" t="s">
        <v>38906</v>
      </c>
      <c r="L11719" s="0" t="str">
        <f aca="false">HYPERLINK("https://www.ncbi.nlm.nih.gov/nuccore/CP000058.1?report=graph&amp;tracks=[key:gene_model_track,Options:GeneOnly]&amp;mk=3694763:3694782|offset_25|444444,3694718:3694737|offset_70|00cc00,3694697:3694716|offset_91|444444,3694667:3694686|offset_121|444444&amp;v=3694562:3694886&amp;c=444444", "offset 70")</f>
        <v>offset 70</v>
      </c>
    </row>
    <row r="11720" customFormat="false" ht="12.8" hidden="false" customHeight="false" outlineLevel="0" collapsed="false">
      <c r="A11720" s="0" t="s">
        <v>12</v>
      </c>
      <c r="B11720" s="0" t="n">
        <v>3694696</v>
      </c>
      <c r="C11720" s="0" t="n">
        <v>3694716</v>
      </c>
      <c r="D11720" s="0" t="s">
        <v>38900</v>
      </c>
      <c r="E11720" s="0" t="s">
        <v>75</v>
      </c>
      <c r="F11720" s="0" t="s">
        <v>90</v>
      </c>
      <c r="G11720" s="0" t="s">
        <v>32</v>
      </c>
      <c r="H11720" s="0" t="n">
        <v>91</v>
      </c>
      <c r="I11720" s="0" t="s">
        <v>38907</v>
      </c>
      <c r="J11720" s="0" t="s">
        <v>38908</v>
      </c>
      <c r="K11720" s="0" t="s">
        <v>38909</v>
      </c>
      <c r="L11720" s="0" t="str">
        <f aca="false">HYPERLINK("https://www.ncbi.nlm.nih.gov/nuccore/CP000058.1?report=graph&amp;tracks=[key:gene_model_track,Options:GeneOnly]&amp;mk=3694763:3694782|offset_25|444444,3694718:3694737|offset_70|444444,3694697:3694716|offset_91|00cc00,3694667:3694686|offset_121|444444&amp;v=3694562:3694886&amp;c=444444", "offset 91")</f>
        <v>offset 91</v>
      </c>
    </row>
    <row r="11721" customFormat="false" ht="12.8" hidden="false" customHeight="false" outlineLevel="0" collapsed="false">
      <c r="A11721" s="0" t="s">
        <v>12</v>
      </c>
      <c r="B11721" s="0" t="n">
        <v>3694666</v>
      </c>
      <c r="C11721" s="0" t="n">
        <v>3694686</v>
      </c>
      <c r="D11721" s="0" t="s">
        <v>38900</v>
      </c>
      <c r="E11721" s="0" t="s">
        <v>75</v>
      </c>
      <c r="F11721" s="0" t="s">
        <v>90</v>
      </c>
      <c r="G11721" s="0" t="s">
        <v>20</v>
      </c>
      <c r="H11721" s="0" t="n">
        <v>121</v>
      </c>
      <c r="I11721" s="0" t="s">
        <v>38910</v>
      </c>
      <c r="J11721" s="0" t="s">
        <v>38911</v>
      </c>
      <c r="K11721" s="0" t="s">
        <v>38912</v>
      </c>
      <c r="L11721" s="0" t="str">
        <f aca="false">HYPERLINK("https://www.ncbi.nlm.nih.gov/nuccore/CP000058.1?report=graph&amp;tracks=[key:gene_model_track,Options:GeneOnly]&amp;mk=3694763:3694782|offset_25|444444,3694718:3694737|offset_70|444444,3694697:3694716|offset_91|444444,3694667:3694686|offset_121|00cc00&amp;v=3694562:3694886&amp;c=444444", "offset 121")</f>
        <v>offset 121</v>
      </c>
    </row>
    <row r="11722" customFormat="false" ht="12.8" hidden="false" customHeight="false" outlineLevel="0" collapsed="false">
      <c r="A11722" s="0" t="s">
        <v>12</v>
      </c>
      <c r="B11722" s="0" t="n">
        <v>3696265</v>
      </c>
      <c r="C11722" s="0" t="n">
        <v>3696285</v>
      </c>
      <c r="D11722" s="0" t="s">
        <v>38913</v>
      </c>
      <c r="E11722" s="0" t="s">
        <v>75</v>
      </c>
      <c r="F11722" s="0" t="s">
        <v>90</v>
      </c>
      <c r="G11722" s="0" t="s">
        <v>32</v>
      </c>
      <c r="H11722" s="0" t="n">
        <v>1</v>
      </c>
      <c r="I11722" s="0" t="s">
        <v>38914</v>
      </c>
      <c r="J11722" s="0" t="s">
        <v>38915</v>
      </c>
      <c r="K11722" s="0" t="s">
        <v>38916</v>
      </c>
      <c r="L11722" s="0" t="str">
        <f aca="false">HYPERLINK("https://www.ncbi.nlm.nih.gov/nuccore/CP000058.1?report=graph&amp;tracks=[key:gene_model_track,Options:GeneOnly]&amp;mk=3696266:3696285|offset_1|00cc00,3696195:3696214|offset_72|444444,3696167:3696186|offset_100|444444,3696126:3696145|offset_141|444444&amp;v=3696065:3696345&amp;c=444444", "offset 1")</f>
        <v>offset 1</v>
      </c>
    </row>
    <row r="11723" customFormat="false" ht="12.8" hidden="false" customHeight="false" outlineLevel="0" collapsed="false">
      <c r="A11723" s="0" t="s">
        <v>12</v>
      </c>
      <c r="B11723" s="0" t="n">
        <v>3696194</v>
      </c>
      <c r="C11723" s="0" t="n">
        <v>3696214</v>
      </c>
      <c r="D11723" s="0" t="s">
        <v>38913</v>
      </c>
      <c r="E11723" s="0" t="s">
        <v>75</v>
      </c>
      <c r="F11723" s="0" t="s">
        <v>90</v>
      </c>
      <c r="G11723" s="0" t="s">
        <v>36</v>
      </c>
      <c r="H11723" s="0" t="n">
        <v>72</v>
      </c>
      <c r="I11723" s="0" t="s">
        <v>38917</v>
      </c>
      <c r="J11723" s="0" t="s">
        <v>38918</v>
      </c>
      <c r="K11723" s="0" t="s">
        <v>38919</v>
      </c>
      <c r="L11723" s="0" t="str">
        <f aca="false">HYPERLINK("https://www.ncbi.nlm.nih.gov/nuccore/CP000058.1?report=graph&amp;tracks=[key:gene_model_track,Options:GeneOnly]&amp;mk=3696266:3696285|offset_1|444444,3696195:3696214|offset_72|00cc00,3696167:3696186|offset_100|444444,3696126:3696145|offset_141|444444&amp;v=3696065:3696345&amp;c=444444", "offset 72")</f>
        <v>offset 72</v>
      </c>
    </row>
    <row r="11724" customFormat="false" ht="12.8" hidden="false" customHeight="false" outlineLevel="0" collapsed="false">
      <c r="A11724" s="0" t="s">
        <v>12</v>
      </c>
      <c r="B11724" s="0" t="n">
        <v>3696166</v>
      </c>
      <c r="C11724" s="0" t="n">
        <v>3696186</v>
      </c>
      <c r="D11724" s="0" t="s">
        <v>38913</v>
      </c>
      <c r="E11724" s="0" t="s">
        <v>75</v>
      </c>
      <c r="F11724" s="0" t="s">
        <v>90</v>
      </c>
      <c r="G11724" s="0" t="s">
        <v>36</v>
      </c>
      <c r="H11724" s="0" t="n">
        <v>100</v>
      </c>
      <c r="I11724" s="0" t="s">
        <v>38920</v>
      </c>
      <c r="J11724" s="0" t="s">
        <v>38921</v>
      </c>
      <c r="K11724" s="0" t="s">
        <v>38922</v>
      </c>
      <c r="L11724" s="0" t="str">
        <f aca="false">HYPERLINK("https://www.ncbi.nlm.nih.gov/nuccore/CP000058.1?report=graph&amp;tracks=[key:gene_model_track,Options:GeneOnly]&amp;mk=3696266:3696285|offset_1|444444,3696195:3696214|offset_72|444444,3696167:3696186|offset_100|00cc00,3696126:3696145|offset_141|444444&amp;v=3696065:3696345&amp;c=444444", "offset 100")</f>
        <v>offset 100</v>
      </c>
    </row>
    <row r="11725" customFormat="false" ht="12.8" hidden="false" customHeight="false" outlineLevel="0" collapsed="false">
      <c r="A11725" s="0" t="s">
        <v>12</v>
      </c>
      <c r="B11725" s="0" t="n">
        <v>3696125</v>
      </c>
      <c r="C11725" s="0" t="n">
        <v>3696145</v>
      </c>
      <c r="D11725" s="0" t="s">
        <v>38913</v>
      </c>
      <c r="E11725" s="0" t="s">
        <v>75</v>
      </c>
      <c r="F11725" s="0" t="s">
        <v>90</v>
      </c>
      <c r="G11725" s="0" t="s">
        <v>36</v>
      </c>
      <c r="H11725" s="0" t="n">
        <v>141</v>
      </c>
      <c r="I11725" s="0" t="s">
        <v>38923</v>
      </c>
      <c r="J11725" s="0" t="s">
        <v>38924</v>
      </c>
      <c r="K11725" s="0" t="s">
        <v>38925</v>
      </c>
      <c r="L11725" s="0" t="str">
        <f aca="false">HYPERLINK("https://www.ncbi.nlm.nih.gov/nuccore/CP000058.1?report=graph&amp;tracks=[key:gene_model_track,Options:GeneOnly]&amp;mk=3696266:3696285|offset_1|444444,3696195:3696214|offset_72|444444,3696167:3696186|offset_100|444444,3696126:3696145|offset_141|00cc00&amp;v=3696065:3696345&amp;c=444444", "offset 141")</f>
        <v>offset 141</v>
      </c>
    </row>
    <row r="11726" customFormat="false" ht="12.8" hidden="false" customHeight="false" outlineLevel="0" collapsed="false">
      <c r="A11726" s="0" t="s">
        <v>12</v>
      </c>
      <c r="B11726" s="0" t="n">
        <v>3697172</v>
      </c>
      <c r="C11726" s="0" t="n">
        <v>3697192</v>
      </c>
      <c r="D11726" s="0" t="s">
        <v>38926</v>
      </c>
      <c r="E11726" s="0" t="s">
        <v>75</v>
      </c>
      <c r="F11726" s="0" t="s">
        <v>90</v>
      </c>
      <c r="G11726" s="0" t="s">
        <v>20</v>
      </c>
      <c r="H11726" s="0" t="n">
        <v>21</v>
      </c>
      <c r="I11726" s="0" t="s">
        <v>38927</v>
      </c>
      <c r="J11726" s="0" t="s">
        <v>38928</v>
      </c>
      <c r="K11726" s="0" t="s">
        <v>38929</v>
      </c>
      <c r="L11726" s="0" t="str">
        <f aca="false">HYPERLINK("https://www.ncbi.nlm.nih.gov/nuccore/CP000058.1?report=graph&amp;tracks=[key:gene_model_track,Options:GeneOnly]&amp;mk=3697173:3697192|offset_21|00cc00,3697092:3697111|offset_102|444444,3697060:3697079|offset_134|444444,3697019:3697038|offset_175|444444&amp;v=3696972:3697238&amp;c=444444", "offset 21")</f>
        <v>offset 21</v>
      </c>
    </row>
    <row r="11727" customFormat="false" ht="12.8" hidden="false" customHeight="false" outlineLevel="0" collapsed="false">
      <c r="A11727" s="0" t="s">
        <v>12</v>
      </c>
      <c r="B11727" s="0" t="n">
        <v>3697091</v>
      </c>
      <c r="C11727" s="0" t="n">
        <v>3697111</v>
      </c>
      <c r="D11727" s="0" t="s">
        <v>38926</v>
      </c>
      <c r="E11727" s="0" t="s">
        <v>75</v>
      </c>
      <c r="F11727" s="0" t="s">
        <v>90</v>
      </c>
      <c r="G11727" s="0" t="s">
        <v>16</v>
      </c>
      <c r="H11727" s="0" t="n">
        <v>102</v>
      </c>
      <c r="I11727" s="0" t="s">
        <v>38930</v>
      </c>
      <c r="J11727" s="0" t="s">
        <v>38931</v>
      </c>
      <c r="K11727" s="0" t="s">
        <v>38932</v>
      </c>
      <c r="L11727" s="0" t="str">
        <f aca="false">HYPERLINK("https://www.ncbi.nlm.nih.gov/nuccore/CP000058.1?report=graph&amp;tracks=[key:gene_model_track,Options:GeneOnly]&amp;mk=3697173:3697192|offset_21|444444,3697092:3697111|offset_102|00cc00,3697060:3697079|offset_134|444444,3697019:3697038|offset_175|444444&amp;v=3696972:3697238&amp;c=444444", "offset 102")</f>
        <v>offset 102</v>
      </c>
    </row>
    <row r="11728" customFormat="false" ht="12.8" hidden="false" customHeight="false" outlineLevel="0" collapsed="false">
      <c r="A11728" s="0" t="s">
        <v>12</v>
      </c>
      <c r="B11728" s="0" t="n">
        <v>3697059</v>
      </c>
      <c r="C11728" s="0" t="n">
        <v>3697079</v>
      </c>
      <c r="D11728" s="0" t="s">
        <v>38926</v>
      </c>
      <c r="E11728" s="0" t="s">
        <v>75</v>
      </c>
      <c r="F11728" s="0" t="s">
        <v>90</v>
      </c>
      <c r="G11728" s="0" t="s">
        <v>36</v>
      </c>
      <c r="H11728" s="0" t="n">
        <v>134</v>
      </c>
      <c r="I11728" s="0" t="s">
        <v>38933</v>
      </c>
      <c r="J11728" s="0" t="s">
        <v>38934</v>
      </c>
      <c r="K11728" s="0" t="s">
        <v>38935</v>
      </c>
      <c r="L11728" s="0" t="str">
        <f aca="false">HYPERLINK("https://www.ncbi.nlm.nih.gov/nuccore/CP000058.1?report=graph&amp;tracks=[key:gene_model_track,Options:GeneOnly]&amp;mk=3697173:3697192|offset_21|444444,3697092:3697111|offset_102|444444,3697060:3697079|offset_134|00cc00,3697019:3697038|offset_175|444444&amp;v=3696972:3697238&amp;c=444444", "offset 134")</f>
        <v>offset 134</v>
      </c>
    </row>
    <row r="11729" customFormat="false" ht="12.8" hidden="false" customHeight="false" outlineLevel="0" collapsed="false">
      <c r="A11729" s="0" t="s">
        <v>12</v>
      </c>
      <c r="B11729" s="0" t="n">
        <v>3697018</v>
      </c>
      <c r="C11729" s="0" t="n">
        <v>3697038</v>
      </c>
      <c r="D11729" s="0" t="s">
        <v>38926</v>
      </c>
      <c r="E11729" s="0" t="s">
        <v>75</v>
      </c>
      <c r="F11729" s="0" t="s">
        <v>90</v>
      </c>
      <c r="G11729" s="0" t="s">
        <v>36</v>
      </c>
      <c r="H11729" s="0" t="n">
        <v>175</v>
      </c>
      <c r="I11729" s="0" t="s">
        <v>38936</v>
      </c>
      <c r="J11729" s="0" t="s">
        <v>38937</v>
      </c>
      <c r="K11729" s="0" t="s">
        <v>38938</v>
      </c>
      <c r="L11729" s="0" t="str">
        <f aca="false">HYPERLINK("https://www.ncbi.nlm.nih.gov/nuccore/CP000058.1?report=graph&amp;tracks=[key:gene_model_track,Options:GeneOnly]&amp;mk=3697173:3697192|offset_21|444444,3697092:3697111|offset_102|444444,3697060:3697079|offset_134|444444,3697019:3697038|offset_175|00cc00&amp;v=3696972:3697238&amp;c=444444", "offset 175")</f>
        <v>offset 175</v>
      </c>
    </row>
    <row r="11730" customFormat="false" ht="12.8" hidden="false" customHeight="false" outlineLevel="0" collapsed="false">
      <c r="A11730" s="0" t="s">
        <v>12</v>
      </c>
      <c r="B11730" s="0" t="n">
        <v>3698199</v>
      </c>
      <c r="C11730" s="0" t="n">
        <v>3698219</v>
      </c>
      <c r="D11730" s="0" t="s">
        <v>38939</v>
      </c>
      <c r="E11730" s="0" t="s">
        <v>38940</v>
      </c>
      <c r="F11730" s="0" t="s">
        <v>90</v>
      </c>
      <c r="G11730" s="0" t="s">
        <v>16</v>
      </c>
      <c r="H11730" s="0" t="n">
        <v>62</v>
      </c>
      <c r="I11730" s="0" t="s">
        <v>38941</v>
      </c>
      <c r="J11730" s="0" t="s">
        <v>38942</v>
      </c>
      <c r="K11730" s="0" t="s">
        <v>38943</v>
      </c>
      <c r="L11730" s="0" t="str">
        <f aca="false">HYPERLINK("https://www.ncbi.nlm.nih.gov/nuccore/CP000058.1?report=graph&amp;tracks=[key:gene_model_track,Options:GeneOnly]&amp;mk=3698200:3698219|offset_62|00cc00,3698153:3698172|offset_109|444444,3698129:3698148|offset_133|444444,3698099:3698118|offset_163|444444&amp;v=3697999:3698318&amp;c=444444", "offset 62")</f>
        <v>offset 62</v>
      </c>
    </row>
    <row r="11731" customFormat="false" ht="12.8" hidden="false" customHeight="false" outlineLevel="0" collapsed="false">
      <c r="A11731" s="0" t="s">
        <v>12</v>
      </c>
      <c r="B11731" s="0" t="n">
        <v>3698152</v>
      </c>
      <c r="C11731" s="0" t="n">
        <v>3698172</v>
      </c>
      <c r="D11731" s="0" t="s">
        <v>38939</v>
      </c>
      <c r="E11731" s="0" t="s">
        <v>38940</v>
      </c>
      <c r="F11731" s="0" t="s">
        <v>90</v>
      </c>
      <c r="G11731" s="0" t="s">
        <v>16</v>
      </c>
      <c r="H11731" s="0" t="n">
        <v>109</v>
      </c>
      <c r="I11731" s="0" t="s">
        <v>38944</v>
      </c>
      <c r="J11731" s="0" t="s">
        <v>38945</v>
      </c>
      <c r="K11731" s="0" t="s">
        <v>38946</v>
      </c>
      <c r="L11731" s="0" t="str">
        <f aca="false">HYPERLINK("https://www.ncbi.nlm.nih.gov/nuccore/CP000058.1?report=graph&amp;tracks=[key:gene_model_track,Options:GeneOnly]&amp;mk=3698200:3698219|offset_62|444444,3698153:3698172|offset_109|00cc00,3698129:3698148|offset_133|444444,3698099:3698118|offset_163|444444&amp;v=3697999:3698318&amp;c=444444", "offset 109")</f>
        <v>offset 109</v>
      </c>
    </row>
    <row r="11732" customFormat="false" ht="12.8" hidden="false" customHeight="false" outlineLevel="0" collapsed="false">
      <c r="A11732" s="0" t="s">
        <v>12</v>
      </c>
      <c r="B11732" s="0" t="n">
        <v>3698128</v>
      </c>
      <c r="C11732" s="0" t="n">
        <v>3698148</v>
      </c>
      <c r="D11732" s="0" t="s">
        <v>38939</v>
      </c>
      <c r="E11732" s="0" t="s">
        <v>38940</v>
      </c>
      <c r="F11732" s="0" t="s">
        <v>90</v>
      </c>
      <c r="G11732" s="0" t="s">
        <v>32</v>
      </c>
      <c r="H11732" s="0" t="n">
        <v>133</v>
      </c>
      <c r="I11732" s="0" t="s">
        <v>38947</v>
      </c>
      <c r="J11732" s="0" t="s">
        <v>38948</v>
      </c>
      <c r="K11732" s="0" t="s">
        <v>38949</v>
      </c>
      <c r="L11732" s="0" t="str">
        <f aca="false">HYPERLINK("https://www.ncbi.nlm.nih.gov/nuccore/CP000058.1?report=graph&amp;tracks=[key:gene_model_track,Options:GeneOnly]&amp;mk=3698200:3698219|offset_62|444444,3698153:3698172|offset_109|444444,3698129:3698148|offset_133|00cc00,3698099:3698118|offset_163|444444&amp;v=3697999:3698318&amp;c=444444", "offset 133")</f>
        <v>offset 133</v>
      </c>
    </row>
    <row r="11733" customFormat="false" ht="12.8" hidden="false" customHeight="false" outlineLevel="0" collapsed="false">
      <c r="A11733" s="0" t="s">
        <v>12</v>
      </c>
      <c r="B11733" s="0" t="n">
        <v>3698098</v>
      </c>
      <c r="C11733" s="0" t="n">
        <v>3698118</v>
      </c>
      <c r="D11733" s="0" t="s">
        <v>38939</v>
      </c>
      <c r="E11733" s="0" t="s">
        <v>38940</v>
      </c>
      <c r="F11733" s="0" t="s">
        <v>90</v>
      </c>
      <c r="G11733" s="0" t="s">
        <v>16</v>
      </c>
      <c r="H11733" s="0" t="n">
        <v>163</v>
      </c>
      <c r="I11733" s="0" t="s">
        <v>38950</v>
      </c>
      <c r="J11733" s="0" t="s">
        <v>38951</v>
      </c>
      <c r="K11733" s="0" t="s">
        <v>38952</v>
      </c>
      <c r="L11733" s="0" t="str">
        <f aca="false">HYPERLINK("https://www.ncbi.nlm.nih.gov/nuccore/CP000058.1?report=graph&amp;tracks=[key:gene_model_track,Options:GeneOnly]&amp;mk=3698200:3698219|offset_62|444444,3698153:3698172|offset_109|444444,3698129:3698148|offset_133|444444,3698099:3698118|offset_163|00cc00&amp;v=3697999:3698318&amp;c=444444", "offset 163")</f>
        <v>offset 163</v>
      </c>
    </row>
    <row r="11734" customFormat="false" ht="12.8" hidden="false" customHeight="false" outlineLevel="0" collapsed="false">
      <c r="A11734" s="0" t="s">
        <v>12</v>
      </c>
      <c r="B11734" s="0" t="n">
        <v>3700247</v>
      </c>
      <c r="C11734" s="0" t="n">
        <v>3700267</v>
      </c>
      <c r="D11734" s="0" t="s">
        <v>38953</v>
      </c>
      <c r="E11734" s="0" t="s">
        <v>75</v>
      </c>
      <c r="F11734" s="0" t="s">
        <v>90</v>
      </c>
      <c r="G11734" s="0" t="s">
        <v>36</v>
      </c>
      <c r="H11734" s="0" t="n">
        <v>13</v>
      </c>
      <c r="I11734" s="0" t="s">
        <v>38954</v>
      </c>
      <c r="J11734" s="0" t="s">
        <v>38955</v>
      </c>
      <c r="K11734" s="0" t="s">
        <v>38956</v>
      </c>
      <c r="L11734" s="0" t="str">
        <f aca="false">HYPERLINK("https://www.ncbi.nlm.nih.gov/nuccore/CP000058.1?report=graph&amp;tracks=[key:gene_model_track,Options:GeneOnly]&amp;mk=3700248:3700267|offset_13|00cc00,3700227:3700246|offset_34|444444,3700152:3700171|offset_109|444444,3700091:3700110|offset_170|444444&amp;v=3700047:3700310&amp;c=444444", "offset 13")</f>
        <v>offset 13</v>
      </c>
    </row>
    <row r="11735" customFormat="false" ht="12.8" hidden="false" customHeight="false" outlineLevel="0" collapsed="false">
      <c r="A11735" s="0" t="s">
        <v>12</v>
      </c>
      <c r="B11735" s="0" t="n">
        <v>3700226</v>
      </c>
      <c r="C11735" s="0" t="n">
        <v>3700246</v>
      </c>
      <c r="D11735" s="0" t="s">
        <v>38953</v>
      </c>
      <c r="E11735" s="0" t="s">
        <v>75</v>
      </c>
      <c r="F11735" s="0" t="s">
        <v>90</v>
      </c>
      <c r="G11735" s="0" t="s">
        <v>36</v>
      </c>
      <c r="H11735" s="0" t="n">
        <v>34</v>
      </c>
      <c r="I11735" s="0" t="s">
        <v>38957</v>
      </c>
      <c r="J11735" s="0" t="s">
        <v>38958</v>
      </c>
      <c r="K11735" s="0" t="s">
        <v>38959</v>
      </c>
      <c r="L11735" s="0" t="str">
        <f aca="false">HYPERLINK("https://www.ncbi.nlm.nih.gov/nuccore/CP000058.1?report=graph&amp;tracks=[key:gene_model_track,Options:GeneOnly]&amp;mk=3700248:3700267|offset_13|444444,3700227:3700246|offset_34|00cc00,3700152:3700171|offset_109|444444,3700091:3700110|offset_170|444444&amp;v=3700047:3700310&amp;c=444444", "offset 34")</f>
        <v>offset 34</v>
      </c>
    </row>
    <row r="11736" customFormat="false" ht="12.8" hidden="false" customHeight="false" outlineLevel="0" collapsed="false">
      <c r="A11736" s="0" t="s">
        <v>12</v>
      </c>
      <c r="B11736" s="0" t="n">
        <v>3700151</v>
      </c>
      <c r="C11736" s="0" t="n">
        <v>3700171</v>
      </c>
      <c r="D11736" s="0" t="s">
        <v>38953</v>
      </c>
      <c r="E11736" s="0" t="s">
        <v>75</v>
      </c>
      <c r="F11736" s="0" t="s">
        <v>90</v>
      </c>
      <c r="G11736" s="0" t="s">
        <v>32</v>
      </c>
      <c r="H11736" s="0" t="n">
        <v>109</v>
      </c>
      <c r="I11736" s="0" t="s">
        <v>38960</v>
      </c>
      <c r="J11736" s="0" t="s">
        <v>38961</v>
      </c>
      <c r="K11736" s="0" t="s">
        <v>38962</v>
      </c>
      <c r="L11736" s="0" t="str">
        <f aca="false">HYPERLINK("https://www.ncbi.nlm.nih.gov/nuccore/CP000058.1?report=graph&amp;tracks=[key:gene_model_track,Options:GeneOnly]&amp;mk=3700248:3700267|offset_13|444444,3700227:3700246|offset_34|444444,3700152:3700171|offset_109|00cc00,3700091:3700110|offset_170|444444&amp;v=3700047:3700310&amp;c=444444", "offset 109")</f>
        <v>offset 109</v>
      </c>
    </row>
    <row r="11737" customFormat="false" ht="12.8" hidden="false" customHeight="false" outlineLevel="0" collapsed="false">
      <c r="A11737" s="0" t="s">
        <v>12</v>
      </c>
      <c r="B11737" s="0" t="n">
        <v>3700090</v>
      </c>
      <c r="C11737" s="0" t="n">
        <v>3700110</v>
      </c>
      <c r="D11737" s="0" t="s">
        <v>38953</v>
      </c>
      <c r="E11737" s="0" t="s">
        <v>75</v>
      </c>
      <c r="F11737" s="0" t="s">
        <v>90</v>
      </c>
      <c r="G11737" s="0" t="s">
        <v>20</v>
      </c>
      <c r="H11737" s="0" t="n">
        <v>170</v>
      </c>
      <c r="I11737" s="0" t="s">
        <v>38963</v>
      </c>
      <c r="J11737" s="0" t="s">
        <v>38964</v>
      </c>
      <c r="K11737" s="0" t="s">
        <v>38965</v>
      </c>
      <c r="L11737" s="0" t="str">
        <f aca="false">HYPERLINK("https://www.ncbi.nlm.nih.gov/nuccore/CP000058.1?report=graph&amp;tracks=[key:gene_model_track,Options:GeneOnly]&amp;mk=3700248:3700267|offset_13|444444,3700227:3700246|offset_34|444444,3700152:3700171|offset_109|444444,3700091:3700110|offset_170|00cc00&amp;v=3700047:3700310&amp;c=444444", "offset 170")</f>
        <v>offset 170</v>
      </c>
    </row>
    <row r="11738" customFormat="false" ht="12.8" hidden="false" customHeight="false" outlineLevel="0" collapsed="false">
      <c r="A11738" s="0" t="s">
        <v>12</v>
      </c>
      <c r="B11738" s="0" t="n">
        <v>3701141</v>
      </c>
      <c r="C11738" s="0" t="n">
        <v>3701161</v>
      </c>
      <c r="D11738" s="0" t="s">
        <v>38966</v>
      </c>
      <c r="E11738" s="0" t="s">
        <v>75</v>
      </c>
      <c r="F11738" s="0" t="s">
        <v>90</v>
      </c>
      <c r="G11738" s="0" t="s">
        <v>32</v>
      </c>
      <c r="H11738" s="0" t="n">
        <v>8</v>
      </c>
      <c r="I11738" s="0" t="s">
        <v>38967</v>
      </c>
      <c r="J11738" s="0" t="s">
        <v>38968</v>
      </c>
      <c r="K11738" s="0" t="s">
        <v>38969</v>
      </c>
      <c r="L11738" s="0" t="str">
        <f aca="false">HYPERLINK("https://www.ncbi.nlm.nih.gov/nuccore/CP000058.1?report=graph&amp;tracks=[key:gene_model_track,Options:GeneOnly]&amp;mk=3701142:3701161|offset_8|00cc00,3701105:3701124|offset_45|444444,3701056:3701075|offset_94|444444,3700997:3701016|offset_153|444444&amp;v=3700941:3701216&amp;c=444444", "offset 8")</f>
        <v>offset 8</v>
      </c>
    </row>
    <row r="11739" customFormat="false" ht="12.8" hidden="false" customHeight="false" outlineLevel="0" collapsed="false">
      <c r="A11739" s="0" t="s">
        <v>12</v>
      </c>
      <c r="B11739" s="0" t="n">
        <v>3701104</v>
      </c>
      <c r="C11739" s="0" t="n">
        <v>3701124</v>
      </c>
      <c r="D11739" s="0" t="s">
        <v>38966</v>
      </c>
      <c r="E11739" s="0" t="s">
        <v>75</v>
      </c>
      <c r="F11739" s="0" t="s">
        <v>90</v>
      </c>
      <c r="G11739" s="0" t="s">
        <v>16</v>
      </c>
      <c r="H11739" s="0" t="n">
        <v>45</v>
      </c>
      <c r="I11739" s="0" t="s">
        <v>38970</v>
      </c>
      <c r="J11739" s="0" t="s">
        <v>38971</v>
      </c>
      <c r="K11739" s="0" t="s">
        <v>38972</v>
      </c>
      <c r="L11739" s="0" t="str">
        <f aca="false">HYPERLINK("https://www.ncbi.nlm.nih.gov/nuccore/CP000058.1?report=graph&amp;tracks=[key:gene_model_track,Options:GeneOnly]&amp;mk=3701142:3701161|offset_8|444444,3701105:3701124|offset_45|00cc00,3701056:3701075|offset_94|444444,3700997:3701016|offset_153|444444&amp;v=3700941:3701216&amp;c=444444", "offset 45")</f>
        <v>offset 45</v>
      </c>
    </row>
    <row r="11740" customFormat="false" ht="12.8" hidden="false" customHeight="false" outlineLevel="0" collapsed="false">
      <c r="A11740" s="0" t="s">
        <v>12</v>
      </c>
      <c r="B11740" s="0" t="n">
        <v>3701055</v>
      </c>
      <c r="C11740" s="0" t="n">
        <v>3701075</v>
      </c>
      <c r="D11740" s="0" t="s">
        <v>38966</v>
      </c>
      <c r="E11740" s="0" t="s">
        <v>75</v>
      </c>
      <c r="F11740" s="0" t="s">
        <v>90</v>
      </c>
      <c r="G11740" s="0" t="s">
        <v>16</v>
      </c>
      <c r="H11740" s="0" t="n">
        <v>94</v>
      </c>
      <c r="I11740" s="0" t="s">
        <v>38973</v>
      </c>
      <c r="J11740" s="0" t="s">
        <v>38974</v>
      </c>
      <c r="K11740" s="0" t="s">
        <v>38975</v>
      </c>
      <c r="L11740" s="0" t="str">
        <f aca="false">HYPERLINK("https://www.ncbi.nlm.nih.gov/nuccore/CP000058.1?report=graph&amp;tracks=[key:gene_model_track,Options:GeneOnly]&amp;mk=3701142:3701161|offset_8|444444,3701105:3701124|offset_45|444444,3701056:3701075|offset_94|00cc00,3700997:3701016|offset_153|444444&amp;v=3700941:3701216&amp;c=444444", "offset 94")</f>
        <v>offset 94</v>
      </c>
    </row>
    <row r="11741" customFormat="false" ht="12.8" hidden="false" customHeight="false" outlineLevel="0" collapsed="false">
      <c r="A11741" s="0" t="s">
        <v>12</v>
      </c>
      <c r="B11741" s="0" t="n">
        <v>3700996</v>
      </c>
      <c r="C11741" s="0" t="n">
        <v>3701016</v>
      </c>
      <c r="D11741" s="0" t="s">
        <v>38966</v>
      </c>
      <c r="E11741" s="0" t="s">
        <v>75</v>
      </c>
      <c r="F11741" s="0" t="s">
        <v>90</v>
      </c>
      <c r="G11741" s="0" t="s">
        <v>36</v>
      </c>
      <c r="H11741" s="0" t="n">
        <v>153</v>
      </c>
      <c r="I11741" s="0" t="s">
        <v>38976</v>
      </c>
      <c r="J11741" s="0" t="s">
        <v>38977</v>
      </c>
      <c r="K11741" s="0" t="s">
        <v>38978</v>
      </c>
      <c r="L11741" s="0" t="str">
        <f aca="false">HYPERLINK("https://www.ncbi.nlm.nih.gov/nuccore/CP000058.1?report=graph&amp;tracks=[key:gene_model_track,Options:GeneOnly]&amp;mk=3701142:3701161|offset_8|444444,3701105:3701124|offset_45|444444,3701056:3701075|offset_94|444444,3700997:3701016|offset_153|00cc00&amp;v=3700941:3701216&amp;c=444444", "offset 153")</f>
        <v>offset 153</v>
      </c>
    </row>
    <row r="11742" customFormat="false" ht="12.8" hidden="false" customHeight="false" outlineLevel="0" collapsed="false">
      <c r="A11742" s="0" t="s">
        <v>12</v>
      </c>
      <c r="B11742" s="0" t="n">
        <v>3702672</v>
      </c>
      <c r="C11742" s="0" t="n">
        <v>3702692</v>
      </c>
      <c r="D11742" s="0" t="s">
        <v>38979</v>
      </c>
      <c r="E11742" s="0" t="s">
        <v>38980</v>
      </c>
      <c r="F11742" s="0" t="s">
        <v>90</v>
      </c>
      <c r="G11742" s="0" t="s">
        <v>16</v>
      </c>
      <c r="H11742" s="0" t="n">
        <v>15</v>
      </c>
      <c r="I11742" s="0" t="s">
        <v>38981</v>
      </c>
      <c r="J11742" s="0" t="s">
        <v>38982</v>
      </c>
      <c r="K11742" s="0" t="s">
        <v>38983</v>
      </c>
      <c r="L11742" s="0" t="str">
        <f aca="false">HYPERLINK("https://www.ncbi.nlm.nih.gov/nuccore/CP000058.1?report=graph&amp;tracks=[key:gene_model_track,Options:GeneOnly]&amp;mk=3702673:3702692|offset_15|00cc00,3702644:3702663|offset_44|444444,3702602:3702621|offset_86|444444,3702564:3702583|offset_124|444444&amp;v=3702472:3702783&amp;c=444444", "offset 15")</f>
        <v>offset 15</v>
      </c>
    </row>
    <row r="11743" customFormat="false" ht="12.8" hidden="false" customHeight="false" outlineLevel="0" collapsed="false">
      <c r="A11743" s="0" t="s">
        <v>12</v>
      </c>
      <c r="B11743" s="0" t="n">
        <v>3702643</v>
      </c>
      <c r="C11743" s="0" t="n">
        <v>3702663</v>
      </c>
      <c r="D11743" s="0" t="s">
        <v>38979</v>
      </c>
      <c r="E11743" s="0" t="s">
        <v>38980</v>
      </c>
      <c r="F11743" s="0" t="s">
        <v>90</v>
      </c>
      <c r="G11743" s="0" t="s">
        <v>20</v>
      </c>
      <c r="H11743" s="0" t="n">
        <v>44</v>
      </c>
      <c r="I11743" s="0" t="s">
        <v>38984</v>
      </c>
      <c r="J11743" s="0" t="s">
        <v>38985</v>
      </c>
      <c r="K11743" s="0" t="s">
        <v>38986</v>
      </c>
      <c r="L11743" s="0" t="str">
        <f aca="false">HYPERLINK("https://www.ncbi.nlm.nih.gov/nuccore/CP000058.1?report=graph&amp;tracks=[key:gene_model_track,Options:GeneOnly]&amp;mk=3702673:3702692|offset_15|444444,3702644:3702663|offset_44|00cc00,3702602:3702621|offset_86|444444,3702564:3702583|offset_124|444444&amp;v=3702472:3702783&amp;c=444444", "offset 44")</f>
        <v>offset 44</v>
      </c>
    </row>
    <row r="11744" customFormat="false" ht="12.8" hidden="false" customHeight="false" outlineLevel="0" collapsed="false">
      <c r="A11744" s="0" t="s">
        <v>12</v>
      </c>
      <c r="B11744" s="0" t="n">
        <v>3702601</v>
      </c>
      <c r="C11744" s="0" t="n">
        <v>3702621</v>
      </c>
      <c r="D11744" s="0" t="s">
        <v>38979</v>
      </c>
      <c r="E11744" s="0" t="s">
        <v>38980</v>
      </c>
      <c r="F11744" s="0" t="s">
        <v>90</v>
      </c>
      <c r="G11744" s="0" t="s">
        <v>36</v>
      </c>
      <c r="H11744" s="0" t="n">
        <v>86</v>
      </c>
      <c r="I11744" s="0" t="s">
        <v>38987</v>
      </c>
      <c r="J11744" s="0" t="s">
        <v>38988</v>
      </c>
      <c r="K11744" s="0" t="s">
        <v>38989</v>
      </c>
      <c r="L11744" s="0" t="str">
        <f aca="false">HYPERLINK("https://www.ncbi.nlm.nih.gov/nuccore/CP000058.1?report=graph&amp;tracks=[key:gene_model_track,Options:GeneOnly]&amp;mk=3702673:3702692|offset_15|444444,3702644:3702663|offset_44|444444,3702602:3702621|offset_86|00cc00,3702564:3702583|offset_124|444444&amp;v=3702472:3702783&amp;c=444444", "offset 86")</f>
        <v>offset 86</v>
      </c>
    </row>
    <row r="11745" customFormat="false" ht="12.8" hidden="false" customHeight="false" outlineLevel="0" collapsed="false">
      <c r="A11745" s="0" t="s">
        <v>12</v>
      </c>
      <c r="B11745" s="0" t="n">
        <v>3702563</v>
      </c>
      <c r="C11745" s="0" t="n">
        <v>3702583</v>
      </c>
      <c r="D11745" s="0" t="s">
        <v>38979</v>
      </c>
      <c r="E11745" s="0" t="s">
        <v>38980</v>
      </c>
      <c r="F11745" s="0" t="s">
        <v>90</v>
      </c>
      <c r="G11745" s="0" t="s">
        <v>32</v>
      </c>
      <c r="H11745" s="0" t="n">
        <v>124</v>
      </c>
      <c r="I11745" s="0" t="s">
        <v>38990</v>
      </c>
      <c r="J11745" s="0" t="s">
        <v>38991</v>
      </c>
      <c r="K11745" s="0" t="s">
        <v>38992</v>
      </c>
      <c r="L11745" s="0" t="str">
        <f aca="false">HYPERLINK("https://www.ncbi.nlm.nih.gov/nuccore/CP000058.1?report=graph&amp;tracks=[key:gene_model_track,Options:GeneOnly]&amp;mk=3702673:3702692|offset_15|444444,3702644:3702663|offset_44|444444,3702602:3702621|offset_86|444444,3702564:3702583|offset_124|00cc00&amp;v=3702472:3702783&amp;c=444444", "offset 124")</f>
        <v>offset 124</v>
      </c>
    </row>
    <row r="11746" customFormat="false" ht="12.8" hidden="false" customHeight="false" outlineLevel="0" collapsed="false">
      <c r="A11746" s="0" t="s">
        <v>12</v>
      </c>
      <c r="B11746" s="0" t="n">
        <v>3703524</v>
      </c>
      <c r="C11746" s="0" t="n">
        <v>3703544</v>
      </c>
      <c r="D11746" s="0" t="s">
        <v>38993</v>
      </c>
      <c r="E11746" s="0" t="s">
        <v>75</v>
      </c>
      <c r="F11746" s="0" t="s">
        <v>90</v>
      </c>
      <c r="G11746" s="0" t="s">
        <v>32</v>
      </c>
      <c r="H11746" s="0" t="n">
        <v>1</v>
      </c>
      <c r="I11746" s="0" t="s">
        <v>38994</v>
      </c>
      <c r="J11746" s="0" t="s">
        <v>38995</v>
      </c>
      <c r="K11746" s="0" t="s">
        <v>38996</v>
      </c>
      <c r="L11746" s="0" t="str">
        <f aca="false">HYPERLINK("https://www.ncbi.nlm.nih.gov/nuccore/CP000058.1?report=graph&amp;tracks=[key:gene_model_track,Options:GeneOnly]&amp;mk=3703525:3703544|offset_1|00cc00,3703499:3703518|offset_27|444444,3703469:3703488|offset_57|444444,3703441:3703460|offset_85|444444&amp;v=3703324:3703660&amp;c=444444", "offset 1")</f>
        <v>offset 1</v>
      </c>
    </row>
    <row r="11747" customFormat="false" ht="12.8" hidden="false" customHeight="false" outlineLevel="0" collapsed="false">
      <c r="A11747" s="0" t="s">
        <v>12</v>
      </c>
      <c r="B11747" s="0" t="n">
        <v>3703498</v>
      </c>
      <c r="C11747" s="0" t="n">
        <v>3703518</v>
      </c>
      <c r="D11747" s="0" t="s">
        <v>38993</v>
      </c>
      <c r="E11747" s="0" t="s">
        <v>75</v>
      </c>
      <c r="F11747" s="0" t="s">
        <v>90</v>
      </c>
      <c r="G11747" s="0" t="s">
        <v>36</v>
      </c>
      <c r="H11747" s="0" t="n">
        <v>27</v>
      </c>
      <c r="I11747" s="0" t="s">
        <v>38997</v>
      </c>
      <c r="J11747" s="0" t="s">
        <v>38998</v>
      </c>
      <c r="K11747" s="0" t="s">
        <v>38999</v>
      </c>
      <c r="L11747" s="0" t="str">
        <f aca="false">HYPERLINK("https://www.ncbi.nlm.nih.gov/nuccore/CP000058.1?report=graph&amp;tracks=[key:gene_model_track,Options:GeneOnly]&amp;mk=3703525:3703544|offset_1|444444,3703499:3703518|offset_27|00cc00,3703469:3703488|offset_57|444444,3703441:3703460|offset_85|444444&amp;v=3703324:3703660&amp;c=444444", "offset 27")</f>
        <v>offset 27</v>
      </c>
    </row>
    <row r="11748" customFormat="false" ht="12.8" hidden="false" customHeight="false" outlineLevel="0" collapsed="false">
      <c r="A11748" s="0" t="s">
        <v>12</v>
      </c>
      <c r="B11748" s="0" t="n">
        <v>3703468</v>
      </c>
      <c r="C11748" s="0" t="n">
        <v>3703488</v>
      </c>
      <c r="D11748" s="0" t="s">
        <v>38993</v>
      </c>
      <c r="E11748" s="0" t="s">
        <v>75</v>
      </c>
      <c r="F11748" s="0" t="s">
        <v>90</v>
      </c>
      <c r="G11748" s="0" t="s">
        <v>36</v>
      </c>
      <c r="H11748" s="0" t="n">
        <v>57</v>
      </c>
      <c r="I11748" s="0" t="s">
        <v>39000</v>
      </c>
      <c r="J11748" s="0" t="s">
        <v>39001</v>
      </c>
      <c r="K11748" s="0" t="s">
        <v>39002</v>
      </c>
      <c r="L11748" s="0" t="str">
        <f aca="false">HYPERLINK("https://www.ncbi.nlm.nih.gov/nuccore/CP000058.1?report=graph&amp;tracks=[key:gene_model_track,Options:GeneOnly]&amp;mk=3703525:3703544|offset_1|444444,3703499:3703518|offset_27|444444,3703469:3703488|offset_57|00cc00,3703441:3703460|offset_85|444444&amp;v=3703324:3703660&amp;c=444444", "offset 57")</f>
        <v>offset 57</v>
      </c>
    </row>
    <row r="11749" customFormat="false" ht="12.8" hidden="false" customHeight="false" outlineLevel="0" collapsed="false">
      <c r="A11749" s="0" t="s">
        <v>12</v>
      </c>
      <c r="B11749" s="0" t="n">
        <v>3703440</v>
      </c>
      <c r="C11749" s="0" t="n">
        <v>3703460</v>
      </c>
      <c r="D11749" s="0" t="s">
        <v>38993</v>
      </c>
      <c r="E11749" s="0" t="s">
        <v>75</v>
      </c>
      <c r="F11749" s="0" t="s">
        <v>90</v>
      </c>
      <c r="G11749" s="0" t="s">
        <v>16</v>
      </c>
      <c r="H11749" s="0" t="n">
        <v>85</v>
      </c>
      <c r="I11749" s="0" t="s">
        <v>39003</v>
      </c>
      <c r="J11749" s="0" t="s">
        <v>39004</v>
      </c>
      <c r="K11749" s="0" t="s">
        <v>39005</v>
      </c>
      <c r="L11749" s="0" t="str">
        <f aca="false">HYPERLINK("https://www.ncbi.nlm.nih.gov/nuccore/CP000058.1?report=graph&amp;tracks=[key:gene_model_track,Options:GeneOnly]&amp;mk=3703525:3703544|offset_1|444444,3703499:3703518|offset_27|444444,3703469:3703488|offset_57|444444,3703441:3703460|offset_85|00cc00&amp;v=3703324:3703660&amp;c=444444", "offset 85")</f>
        <v>offset 85</v>
      </c>
    </row>
    <row r="11750" customFormat="false" ht="12.8" hidden="false" customHeight="false" outlineLevel="0" collapsed="false">
      <c r="A11750" s="0" t="s">
        <v>12</v>
      </c>
      <c r="B11750" s="0" t="n">
        <v>3706747</v>
      </c>
      <c r="C11750" s="0" t="n">
        <v>3706767</v>
      </c>
      <c r="D11750" s="0" t="s">
        <v>39006</v>
      </c>
      <c r="E11750" s="0" t="s">
        <v>75</v>
      </c>
      <c r="F11750" s="0" t="s">
        <v>15</v>
      </c>
      <c r="G11750" s="0" t="s">
        <v>36</v>
      </c>
      <c r="H11750" s="0" t="n">
        <v>7</v>
      </c>
      <c r="I11750" s="0" t="s">
        <v>39007</v>
      </c>
      <c r="J11750" s="0" t="s">
        <v>39008</v>
      </c>
      <c r="K11750" s="0" t="s">
        <v>39009</v>
      </c>
      <c r="L11750" s="0" t="str">
        <f aca="false">HYPERLINK("https://www.ncbi.nlm.nih.gov/nuccore/CP000058.1?report=graph&amp;tracks=[key:gene_model_track,Options:GeneOnly]&amp;mk=3706748:3706767|offset_7|00cc00,3706771:3706790|offset_30|444444,3706792:3706811|offset_51|444444,3706812:3706831|offset_71|444444&amp;v=3706547:3707031&amp;c=444444", "offset 7")</f>
        <v>offset 7</v>
      </c>
    </row>
    <row r="11751" customFormat="false" ht="12.8" hidden="false" customHeight="false" outlineLevel="0" collapsed="false">
      <c r="A11751" s="0" t="s">
        <v>12</v>
      </c>
      <c r="B11751" s="0" t="n">
        <v>3706770</v>
      </c>
      <c r="C11751" s="0" t="n">
        <v>3706790</v>
      </c>
      <c r="D11751" s="0" t="s">
        <v>39006</v>
      </c>
      <c r="E11751" s="0" t="s">
        <v>75</v>
      </c>
      <c r="F11751" s="0" t="s">
        <v>15</v>
      </c>
      <c r="G11751" s="0" t="s">
        <v>36</v>
      </c>
      <c r="H11751" s="0" t="n">
        <v>30</v>
      </c>
      <c r="I11751" s="0" t="s">
        <v>39010</v>
      </c>
      <c r="J11751" s="0" t="s">
        <v>39011</v>
      </c>
      <c r="K11751" s="0" t="s">
        <v>39012</v>
      </c>
      <c r="L11751" s="0" t="str">
        <f aca="false">HYPERLINK("https://www.ncbi.nlm.nih.gov/nuccore/CP000058.1?report=graph&amp;tracks=[key:gene_model_track,Options:GeneOnly]&amp;mk=3706748:3706767|offset_7|444444,3706771:3706790|offset_30|00cc00,3706792:3706811|offset_51|444444,3706812:3706831|offset_71|444444&amp;v=3706547:3707031&amp;c=444444", "offset 30")</f>
        <v>offset 30</v>
      </c>
    </row>
    <row r="11752" customFormat="false" ht="12.8" hidden="false" customHeight="false" outlineLevel="0" collapsed="false">
      <c r="A11752" s="0" t="s">
        <v>12</v>
      </c>
      <c r="B11752" s="0" t="n">
        <v>3706791</v>
      </c>
      <c r="C11752" s="0" t="n">
        <v>3706811</v>
      </c>
      <c r="D11752" s="0" t="s">
        <v>39006</v>
      </c>
      <c r="E11752" s="0" t="s">
        <v>75</v>
      </c>
      <c r="F11752" s="0" t="s">
        <v>15</v>
      </c>
      <c r="G11752" s="0" t="s">
        <v>16</v>
      </c>
      <c r="H11752" s="0" t="n">
        <v>51</v>
      </c>
      <c r="I11752" s="0" t="s">
        <v>39013</v>
      </c>
      <c r="J11752" s="0" t="s">
        <v>39014</v>
      </c>
      <c r="K11752" s="0" t="s">
        <v>39015</v>
      </c>
      <c r="L11752" s="0" t="str">
        <f aca="false">HYPERLINK("https://www.ncbi.nlm.nih.gov/nuccore/CP000058.1?report=graph&amp;tracks=[key:gene_model_track,Options:GeneOnly]&amp;mk=3706748:3706767|offset_7|444444,3706771:3706790|offset_30|444444,3706792:3706811|offset_51|00cc00,3706812:3706831|offset_71|444444&amp;v=3706547:3707031&amp;c=444444", "offset 51")</f>
        <v>offset 51</v>
      </c>
    </row>
    <row r="11753" customFormat="false" ht="12.8" hidden="false" customHeight="false" outlineLevel="0" collapsed="false">
      <c r="A11753" s="0" t="s">
        <v>12</v>
      </c>
      <c r="B11753" s="0" t="n">
        <v>3706811</v>
      </c>
      <c r="C11753" s="0" t="n">
        <v>3706831</v>
      </c>
      <c r="D11753" s="0" t="s">
        <v>39006</v>
      </c>
      <c r="E11753" s="0" t="s">
        <v>75</v>
      </c>
      <c r="F11753" s="0" t="s">
        <v>15</v>
      </c>
      <c r="G11753" s="0" t="s">
        <v>20</v>
      </c>
      <c r="H11753" s="0" t="n">
        <v>71</v>
      </c>
      <c r="I11753" s="0" t="s">
        <v>39016</v>
      </c>
      <c r="J11753" s="0" t="s">
        <v>39017</v>
      </c>
      <c r="K11753" s="0" t="s">
        <v>39018</v>
      </c>
      <c r="L11753" s="0" t="str">
        <f aca="false">HYPERLINK("https://www.ncbi.nlm.nih.gov/nuccore/CP000058.1?report=graph&amp;tracks=[key:gene_model_track,Options:GeneOnly]&amp;mk=3706748:3706767|offset_7|444444,3706771:3706790|offset_30|444444,3706792:3706811|offset_51|444444,3706812:3706831|offset_71|00cc00&amp;v=3706547:3707031&amp;c=444444", "offset 71")</f>
        <v>offset 71</v>
      </c>
    </row>
    <row r="11754" customFormat="false" ht="12.8" hidden="false" customHeight="false" outlineLevel="0" collapsed="false">
      <c r="A11754" s="0" t="s">
        <v>12</v>
      </c>
      <c r="B11754" s="0" t="n">
        <v>3708634</v>
      </c>
      <c r="C11754" s="0" t="n">
        <v>3708654</v>
      </c>
      <c r="D11754" s="0" t="s">
        <v>39019</v>
      </c>
      <c r="E11754" s="0" t="s">
        <v>75</v>
      </c>
      <c r="F11754" s="0" t="s">
        <v>90</v>
      </c>
      <c r="G11754" s="0" t="s">
        <v>16</v>
      </c>
      <c r="H11754" s="0" t="n">
        <v>13</v>
      </c>
      <c r="I11754" s="0" t="s">
        <v>39020</v>
      </c>
      <c r="J11754" s="0" t="s">
        <v>39021</v>
      </c>
      <c r="K11754" s="0" t="s">
        <v>39022</v>
      </c>
      <c r="L11754" s="0" t="str">
        <f aca="false">HYPERLINK("https://www.ncbi.nlm.nih.gov/nuccore/CP000058.1?report=graph&amp;tracks=[key:gene_model_track,Options:GeneOnly]&amp;mk=3708635:3708654|offset_13|00cc00,3708602:3708621|offset_46|444444,3708550:3708569|offset_98|444444,3708520:3708539|offset_128|444444&amp;v=3708434:3708739&amp;c=444444", "offset 13")</f>
        <v>offset 13</v>
      </c>
    </row>
    <row r="11755" customFormat="false" ht="12.8" hidden="false" customHeight="false" outlineLevel="0" collapsed="false">
      <c r="A11755" s="0" t="s">
        <v>12</v>
      </c>
      <c r="B11755" s="0" t="n">
        <v>3708601</v>
      </c>
      <c r="C11755" s="0" t="n">
        <v>3708621</v>
      </c>
      <c r="D11755" s="0" t="s">
        <v>39019</v>
      </c>
      <c r="E11755" s="0" t="s">
        <v>75</v>
      </c>
      <c r="F11755" s="0" t="s">
        <v>90</v>
      </c>
      <c r="G11755" s="0" t="s">
        <v>32</v>
      </c>
      <c r="H11755" s="0" t="n">
        <v>46</v>
      </c>
      <c r="I11755" s="0" t="s">
        <v>39023</v>
      </c>
      <c r="J11755" s="0" t="s">
        <v>39024</v>
      </c>
      <c r="K11755" s="0" t="s">
        <v>39025</v>
      </c>
      <c r="L11755" s="0" t="str">
        <f aca="false">HYPERLINK("https://www.ncbi.nlm.nih.gov/nuccore/CP000058.1?report=graph&amp;tracks=[key:gene_model_track,Options:GeneOnly]&amp;mk=3708635:3708654|offset_13|444444,3708602:3708621|offset_46|00cc00,3708550:3708569|offset_98|444444,3708520:3708539|offset_128|444444&amp;v=3708434:3708739&amp;c=444444", "offset 46")</f>
        <v>offset 46</v>
      </c>
    </row>
    <row r="11756" customFormat="false" ht="12.8" hidden="false" customHeight="false" outlineLevel="0" collapsed="false">
      <c r="A11756" s="0" t="s">
        <v>12</v>
      </c>
      <c r="B11756" s="0" t="n">
        <v>3708549</v>
      </c>
      <c r="C11756" s="0" t="n">
        <v>3708569</v>
      </c>
      <c r="D11756" s="0" t="s">
        <v>39019</v>
      </c>
      <c r="E11756" s="0" t="s">
        <v>75</v>
      </c>
      <c r="F11756" s="0" t="s">
        <v>90</v>
      </c>
      <c r="G11756" s="0" t="s">
        <v>36</v>
      </c>
      <c r="H11756" s="0" t="n">
        <v>98</v>
      </c>
      <c r="I11756" s="0" t="s">
        <v>39026</v>
      </c>
      <c r="J11756" s="0" t="s">
        <v>39027</v>
      </c>
      <c r="K11756" s="0" t="s">
        <v>39028</v>
      </c>
      <c r="L11756" s="0" t="str">
        <f aca="false">HYPERLINK("https://www.ncbi.nlm.nih.gov/nuccore/CP000058.1?report=graph&amp;tracks=[key:gene_model_track,Options:GeneOnly]&amp;mk=3708635:3708654|offset_13|444444,3708602:3708621|offset_46|444444,3708550:3708569|offset_98|00cc00,3708520:3708539|offset_128|444444&amp;v=3708434:3708739&amp;c=444444", "offset 98")</f>
        <v>offset 98</v>
      </c>
    </row>
    <row r="11757" customFormat="false" ht="12.8" hidden="false" customHeight="false" outlineLevel="0" collapsed="false">
      <c r="A11757" s="0" t="s">
        <v>12</v>
      </c>
      <c r="B11757" s="0" t="n">
        <v>3708519</v>
      </c>
      <c r="C11757" s="0" t="n">
        <v>3708539</v>
      </c>
      <c r="D11757" s="0" t="s">
        <v>39019</v>
      </c>
      <c r="E11757" s="0" t="s">
        <v>75</v>
      </c>
      <c r="F11757" s="0" t="s">
        <v>90</v>
      </c>
      <c r="G11757" s="0" t="s">
        <v>20</v>
      </c>
      <c r="H11757" s="0" t="n">
        <v>128</v>
      </c>
      <c r="I11757" s="0" t="s">
        <v>39029</v>
      </c>
      <c r="J11757" s="0" t="s">
        <v>39030</v>
      </c>
      <c r="K11757" s="0" t="s">
        <v>39031</v>
      </c>
      <c r="L11757" s="0" t="str">
        <f aca="false">HYPERLINK("https://www.ncbi.nlm.nih.gov/nuccore/CP000058.1?report=graph&amp;tracks=[key:gene_model_track,Options:GeneOnly]&amp;mk=3708635:3708654|offset_13|444444,3708602:3708621|offset_46|444444,3708550:3708569|offset_98|444444,3708520:3708539|offset_128|00cc00&amp;v=3708434:3708739&amp;c=444444", "offset 128")</f>
        <v>offset 128</v>
      </c>
    </row>
    <row r="11758" customFormat="false" ht="12.8" hidden="false" customHeight="false" outlineLevel="0" collapsed="false">
      <c r="A11758" s="0" t="s">
        <v>12</v>
      </c>
      <c r="B11758" s="0" t="n">
        <v>3709818</v>
      </c>
      <c r="C11758" s="0" t="n">
        <v>3709838</v>
      </c>
      <c r="D11758" s="0" t="s">
        <v>39032</v>
      </c>
      <c r="E11758" s="0" t="s">
        <v>75</v>
      </c>
      <c r="F11758" s="0" t="s">
        <v>90</v>
      </c>
      <c r="G11758" s="0" t="s">
        <v>36</v>
      </c>
      <c r="H11758" s="0" t="n">
        <v>76</v>
      </c>
      <c r="I11758" s="0" t="s">
        <v>39033</v>
      </c>
      <c r="J11758" s="0" t="s">
        <v>39034</v>
      </c>
      <c r="K11758" s="0" t="s">
        <v>39035</v>
      </c>
      <c r="L11758" s="0" t="str">
        <f aca="false">HYPERLINK("https://www.ncbi.nlm.nih.gov/nuccore/CP000058.1?report=graph&amp;tracks=[key:gene_model_track,Options:GeneOnly]&amp;mk=3709819:3709838|offset_76|00cc00,3709795:3709814|offset_100|444444,3709749:3709768|offset_146|444444,3709716:3709735|offset_179|444444&amp;v=3709618:3709935&amp;c=444444", "offset 76")</f>
        <v>offset 76</v>
      </c>
    </row>
    <row r="11759" customFormat="false" ht="12.8" hidden="false" customHeight="false" outlineLevel="0" collapsed="false">
      <c r="A11759" s="0" t="s">
        <v>12</v>
      </c>
      <c r="B11759" s="0" t="n">
        <v>3709794</v>
      </c>
      <c r="C11759" s="0" t="n">
        <v>3709814</v>
      </c>
      <c r="D11759" s="0" t="s">
        <v>39032</v>
      </c>
      <c r="E11759" s="0" t="s">
        <v>75</v>
      </c>
      <c r="F11759" s="0" t="s">
        <v>90</v>
      </c>
      <c r="G11759" s="0" t="s">
        <v>16</v>
      </c>
      <c r="H11759" s="0" t="n">
        <v>100</v>
      </c>
      <c r="I11759" s="0" t="s">
        <v>39036</v>
      </c>
      <c r="J11759" s="0" t="s">
        <v>39037</v>
      </c>
      <c r="K11759" s="0" t="s">
        <v>39038</v>
      </c>
      <c r="L11759" s="0" t="str">
        <f aca="false">HYPERLINK("https://www.ncbi.nlm.nih.gov/nuccore/CP000058.1?report=graph&amp;tracks=[key:gene_model_track,Options:GeneOnly]&amp;mk=3709819:3709838|offset_76|444444,3709795:3709814|offset_100|00cc00,3709749:3709768|offset_146|444444,3709716:3709735|offset_179|444444&amp;v=3709618:3709935&amp;c=444444", "offset 100")</f>
        <v>offset 100</v>
      </c>
    </row>
    <row r="11760" customFormat="false" ht="12.8" hidden="false" customHeight="false" outlineLevel="0" collapsed="false">
      <c r="A11760" s="0" t="s">
        <v>12</v>
      </c>
      <c r="B11760" s="0" t="n">
        <v>3709748</v>
      </c>
      <c r="C11760" s="0" t="n">
        <v>3709768</v>
      </c>
      <c r="D11760" s="0" t="s">
        <v>39032</v>
      </c>
      <c r="E11760" s="0" t="s">
        <v>75</v>
      </c>
      <c r="F11760" s="0" t="s">
        <v>90</v>
      </c>
      <c r="G11760" s="0" t="s">
        <v>16</v>
      </c>
      <c r="H11760" s="0" t="n">
        <v>146</v>
      </c>
      <c r="I11760" s="0" t="s">
        <v>39039</v>
      </c>
      <c r="J11760" s="0" t="s">
        <v>39040</v>
      </c>
      <c r="K11760" s="0" t="s">
        <v>39041</v>
      </c>
      <c r="L11760" s="0" t="str">
        <f aca="false">HYPERLINK("https://www.ncbi.nlm.nih.gov/nuccore/CP000058.1?report=graph&amp;tracks=[key:gene_model_track,Options:GeneOnly]&amp;mk=3709819:3709838|offset_76|444444,3709795:3709814|offset_100|444444,3709749:3709768|offset_146|00cc00,3709716:3709735|offset_179|444444&amp;v=3709618:3709935&amp;c=444444", "offset 146")</f>
        <v>offset 146</v>
      </c>
    </row>
    <row r="11761" customFormat="false" ht="12.8" hidden="false" customHeight="false" outlineLevel="0" collapsed="false">
      <c r="A11761" s="0" t="s">
        <v>12</v>
      </c>
      <c r="B11761" s="0" t="n">
        <v>3709715</v>
      </c>
      <c r="C11761" s="0" t="n">
        <v>3709735</v>
      </c>
      <c r="D11761" s="0" t="s">
        <v>39032</v>
      </c>
      <c r="E11761" s="0" t="s">
        <v>75</v>
      </c>
      <c r="F11761" s="0" t="s">
        <v>90</v>
      </c>
      <c r="G11761" s="0" t="s">
        <v>32</v>
      </c>
      <c r="H11761" s="0" t="n">
        <v>179</v>
      </c>
      <c r="I11761" s="0" t="s">
        <v>39042</v>
      </c>
      <c r="J11761" s="0" t="s">
        <v>39043</v>
      </c>
      <c r="K11761" s="0" t="s">
        <v>39044</v>
      </c>
      <c r="L11761" s="0" t="str">
        <f aca="false">HYPERLINK("https://www.ncbi.nlm.nih.gov/nuccore/CP000058.1?report=graph&amp;tracks=[key:gene_model_track,Options:GeneOnly]&amp;mk=3709819:3709838|offset_76|444444,3709795:3709814|offset_100|444444,3709749:3709768|offset_146|444444,3709716:3709735|offset_179|00cc00&amp;v=3709618:3709935&amp;c=444444", "offset 179")</f>
        <v>offset 179</v>
      </c>
    </row>
    <row r="11762" customFormat="false" ht="12.8" hidden="false" customHeight="false" outlineLevel="0" collapsed="false">
      <c r="A11762" s="0" t="s">
        <v>12</v>
      </c>
      <c r="B11762" s="0" t="n">
        <v>3710603</v>
      </c>
      <c r="C11762" s="0" t="n">
        <v>3710623</v>
      </c>
      <c r="D11762" s="0" t="s">
        <v>39045</v>
      </c>
      <c r="E11762" s="0" t="s">
        <v>75</v>
      </c>
      <c r="F11762" s="0" t="s">
        <v>90</v>
      </c>
      <c r="G11762" s="0" t="s">
        <v>32</v>
      </c>
      <c r="H11762" s="0" t="n">
        <v>16</v>
      </c>
      <c r="I11762" s="0" t="s">
        <v>39046</v>
      </c>
      <c r="J11762" s="0" t="s">
        <v>39047</v>
      </c>
      <c r="K11762" s="0" t="s">
        <v>39048</v>
      </c>
      <c r="L11762" s="0" t="str">
        <f aca="false">HYPERLINK("https://www.ncbi.nlm.nih.gov/nuccore/CP000058.1?report=graph&amp;tracks=[key:gene_model_track,Options:GeneOnly]&amp;mk=3710604:3710623|offset_16|00cc00,3710567:3710586|offset_53|444444,3710520:3710539|offset_100|444444,3710483:3710502|offset_137|444444&amp;v=3710403:3710702&amp;c=444444", "offset 16")</f>
        <v>offset 16</v>
      </c>
    </row>
    <row r="11763" customFormat="false" ht="12.8" hidden="false" customHeight="false" outlineLevel="0" collapsed="false">
      <c r="A11763" s="0" t="s">
        <v>12</v>
      </c>
      <c r="B11763" s="0" t="n">
        <v>3710566</v>
      </c>
      <c r="C11763" s="0" t="n">
        <v>3710586</v>
      </c>
      <c r="D11763" s="0" t="s">
        <v>39045</v>
      </c>
      <c r="E11763" s="0" t="s">
        <v>75</v>
      </c>
      <c r="F11763" s="0" t="s">
        <v>90</v>
      </c>
      <c r="G11763" s="0" t="s">
        <v>16</v>
      </c>
      <c r="H11763" s="0" t="n">
        <v>53</v>
      </c>
      <c r="I11763" s="0" t="s">
        <v>39049</v>
      </c>
      <c r="J11763" s="0" t="s">
        <v>39050</v>
      </c>
      <c r="K11763" s="0" t="s">
        <v>39051</v>
      </c>
      <c r="L11763" s="0" t="str">
        <f aca="false">HYPERLINK("https://www.ncbi.nlm.nih.gov/nuccore/CP000058.1?report=graph&amp;tracks=[key:gene_model_track,Options:GeneOnly]&amp;mk=3710604:3710623|offset_16|444444,3710567:3710586|offset_53|00cc00,3710520:3710539|offset_100|444444,3710483:3710502|offset_137|444444&amp;v=3710403:3710702&amp;c=444444", "offset 53")</f>
        <v>offset 53</v>
      </c>
    </row>
    <row r="11764" customFormat="false" ht="12.8" hidden="false" customHeight="false" outlineLevel="0" collapsed="false">
      <c r="A11764" s="0" t="s">
        <v>12</v>
      </c>
      <c r="B11764" s="0" t="n">
        <v>3710519</v>
      </c>
      <c r="C11764" s="0" t="n">
        <v>3710539</v>
      </c>
      <c r="D11764" s="0" t="s">
        <v>39045</v>
      </c>
      <c r="E11764" s="0" t="s">
        <v>75</v>
      </c>
      <c r="F11764" s="0" t="s">
        <v>90</v>
      </c>
      <c r="G11764" s="0" t="s">
        <v>16</v>
      </c>
      <c r="H11764" s="0" t="n">
        <v>100</v>
      </c>
      <c r="I11764" s="0" t="s">
        <v>39052</v>
      </c>
      <c r="J11764" s="0" t="s">
        <v>39053</v>
      </c>
      <c r="K11764" s="0" t="s">
        <v>39054</v>
      </c>
      <c r="L11764" s="0" t="str">
        <f aca="false">HYPERLINK("https://www.ncbi.nlm.nih.gov/nuccore/CP000058.1?report=graph&amp;tracks=[key:gene_model_track,Options:GeneOnly]&amp;mk=3710604:3710623|offset_16|444444,3710567:3710586|offset_53|444444,3710520:3710539|offset_100|00cc00,3710483:3710502|offset_137|444444&amp;v=3710403:3710702&amp;c=444444", "offset 100")</f>
        <v>offset 100</v>
      </c>
    </row>
    <row r="11765" customFormat="false" ht="12.8" hidden="false" customHeight="false" outlineLevel="0" collapsed="false">
      <c r="A11765" s="0" t="s">
        <v>12</v>
      </c>
      <c r="B11765" s="0" t="n">
        <v>3710482</v>
      </c>
      <c r="C11765" s="0" t="n">
        <v>3710502</v>
      </c>
      <c r="D11765" s="0" t="s">
        <v>39045</v>
      </c>
      <c r="E11765" s="0" t="s">
        <v>75</v>
      </c>
      <c r="F11765" s="0" t="s">
        <v>90</v>
      </c>
      <c r="G11765" s="0" t="s">
        <v>32</v>
      </c>
      <c r="H11765" s="0" t="n">
        <v>137</v>
      </c>
      <c r="I11765" s="0" t="s">
        <v>39055</v>
      </c>
      <c r="J11765" s="0" t="s">
        <v>39056</v>
      </c>
      <c r="K11765" s="0" t="s">
        <v>39057</v>
      </c>
      <c r="L11765" s="0" t="str">
        <f aca="false">HYPERLINK("https://www.ncbi.nlm.nih.gov/nuccore/CP000058.1?report=graph&amp;tracks=[key:gene_model_track,Options:GeneOnly]&amp;mk=3710604:3710623|offset_16|444444,3710567:3710586|offset_53|444444,3710520:3710539|offset_100|444444,3710483:3710502|offset_137|00cc00&amp;v=3710403:3710702&amp;c=444444", "offset 137")</f>
        <v>offset 137</v>
      </c>
    </row>
    <row r="11766" customFormat="false" ht="12.8" hidden="false" customHeight="false" outlineLevel="0" collapsed="false">
      <c r="A11766" s="0" t="s">
        <v>12</v>
      </c>
      <c r="B11766" s="0" t="n">
        <v>3710913</v>
      </c>
      <c r="C11766" s="0" t="n">
        <v>3710933</v>
      </c>
      <c r="D11766" s="0" t="s">
        <v>39058</v>
      </c>
      <c r="E11766" s="0" t="s">
        <v>75</v>
      </c>
      <c r="F11766" s="0" t="s">
        <v>15</v>
      </c>
      <c r="G11766" s="0" t="s">
        <v>16</v>
      </c>
      <c r="H11766" s="0" t="n">
        <v>1</v>
      </c>
      <c r="I11766" s="0" t="s">
        <v>39059</v>
      </c>
      <c r="J11766" s="0" t="s">
        <v>39060</v>
      </c>
      <c r="K11766" s="0" t="s">
        <v>39061</v>
      </c>
      <c r="L11766" s="0" t="str">
        <f aca="false">HYPERLINK("https://www.ncbi.nlm.nih.gov/nuccore/CP000058.1?report=graph&amp;tracks=[key:gene_model_track,Options:GeneOnly]&amp;mk=3710914:3710933|offset_1|00cc00,3710944:3710963|offset_31|444444,3710977:3710996|offset_64|444444,3711001:3711020|offset_88|444444&amp;v=3710713:3711220&amp;c=444444", "offset 1")</f>
        <v>offset 1</v>
      </c>
    </row>
    <row r="11767" customFormat="false" ht="12.8" hidden="false" customHeight="false" outlineLevel="0" collapsed="false">
      <c r="A11767" s="0" t="s">
        <v>12</v>
      </c>
      <c r="B11767" s="0" t="n">
        <v>3710943</v>
      </c>
      <c r="C11767" s="0" t="n">
        <v>3710963</v>
      </c>
      <c r="D11767" s="0" t="s">
        <v>39058</v>
      </c>
      <c r="E11767" s="0" t="s">
        <v>75</v>
      </c>
      <c r="F11767" s="0" t="s">
        <v>15</v>
      </c>
      <c r="G11767" s="0" t="s">
        <v>16</v>
      </c>
      <c r="H11767" s="0" t="n">
        <v>31</v>
      </c>
      <c r="I11767" s="0" t="s">
        <v>39062</v>
      </c>
      <c r="J11767" s="0" t="s">
        <v>39063</v>
      </c>
      <c r="K11767" s="0" t="s">
        <v>39064</v>
      </c>
      <c r="L11767" s="0" t="str">
        <f aca="false">HYPERLINK("https://www.ncbi.nlm.nih.gov/nuccore/CP000058.1?report=graph&amp;tracks=[key:gene_model_track,Options:GeneOnly]&amp;mk=3710914:3710933|offset_1|444444,3710944:3710963|offset_31|00cc00,3710977:3710996|offset_64|444444,3711001:3711020|offset_88|444444&amp;v=3710713:3711220&amp;c=444444", "offset 31")</f>
        <v>offset 31</v>
      </c>
    </row>
    <row r="11768" customFormat="false" ht="12.8" hidden="false" customHeight="false" outlineLevel="0" collapsed="false">
      <c r="A11768" s="0" t="s">
        <v>12</v>
      </c>
      <c r="B11768" s="0" t="n">
        <v>3710976</v>
      </c>
      <c r="C11768" s="0" t="n">
        <v>3710996</v>
      </c>
      <c r="D11768" s="0" t="s">
        <v>39058</v>
      </c>
      <c r="E11768" s="0" t="s">
        <v>75</v>
      </c>
      <c r="F11768" s="0" t="s">
        <v>15</v>
      </c>
      <c r="G11768" s="0" t="s">
        <v>32</v>
      </c>
      <c r="H11768" s="0" t="n">
        <v>64</v>
      </c>
      <c r="I11768" s="0" t="s">
        <v>39065</v>
      </c>
      <c r="J11768" s="0" t="s">
        <v>39066</v>
      </c>
      <c r="K11768" s="0" t="s">
        <v>39067</v>
      </c>
      <c r="L11768" s="0" t="str">
        <f aca="false">HYPERLINK("https://www.ncbi.nlm.nih.gov/nuccore/CP000058.1?report=graph&amp;tracks=[key:gene_model_track,Options:GeneOnly]&amp;mk=3710914:3710933|offset_1|444444,3710944:3710963|offset_31|444444,3710977:3710996|offset_64|00cc00,3711001:3711020|offset_88|444444&amp;v=3710713:3711220&amp;c=444444", "offset 64")</f>
        <v>offset 64</v>
      </c>
    </row>
    <row r="11769" customFormat="false" ht="12.8" hidden="false" customHeight="false" outlineLevel="0" collapsed="false">
      <c r="A11769" s="0" t="s">
        <v>12</v>
      </c>
      <c r="B11769" s="0" t="n">
        <v>3711000</v>
      </c>
      <c r="C11769" s="0" t="n">
        <v>3711020</v>
      </c>
      <c r="D11769" s="0" t="s">
        <v>39058</v>
      </c>
      <c r="E11769" s="0" t="s">
        <v>75</v>
      </c>
      <c r="F11769" s="0" t="s">
        <v>15</v>
      </c>
      <c r="G11769" s="0" t="s">
        <v>36</v>
      </c>
      <c r="H11769" s="0" t="n">
        <v>88</v>
      </c>
      <c r="I11769" s="0" t="s">
        <v>39068</v>
      </c>
      <c r="J11769" s="0" t="s">
        <v>39069</v>
      </c>
      <c r="K11769" s="0" t="s">
        <v>39070</v>
      </c>
      <c r="L11769" s="0" t="str">
        <f aca="false">HYPERLINK("https://www.ncbi.nlm.nih.gov/nuccore/CP000058.1?report=graph&amp;tracks=[key:gene_model_track,Options:GeneOnly]&amp;mk=3710914:3710933|offset_1|444444,3710944:3710963|offset_31|444444,3710977:3710996|offset_64|444444,3711001:3711020|offset_88|00cc00&amp;v=3710713:3711220&amp;c=444444", "offset 88")</f>
        <v>offset 88</v>
      </c>
    </row>
    <row r="11770" customFormat="false" ht="12.8" hidden="false" customHeight="false" outlineLevel="0" collapsed="false">
      <c r="A11770" s="0" t="s">
        <v>12</v>
      </c>
      <c r="B11770" s="0" t="n">
        <v>3712134</v>
      </c>
      <c r="C11770" s="0" t="n">
        <v>3712154</v>
      </c>
      <c r="D11770" s="0" t="s">
        <v>39071</v>
      </c>
      <c r="E11770" s="0" t="s">
        <v>39072</v>
      </c>
      <c r="F11770" s="0" t="s">
        <v>90</v>
      </c>
      <c r="G11770" s="0" t="s">
        <v>36</v>
      </c>
      <c r="H11770" s="0" t="n">
        <v>40</v>
      </c>
      <c r="I11770" s="0" t="s">
        <v>39073</v>
      </c>
      <c r="J11770" s="0" t="s">
        <v>39074</v>
      </c>
      <c r="K11770" s="0" t="s">
        <v>39075</v>
      </c>
      <c r="L11770" s="0" t="str">
        <f aca="false">HYPERLINK("https://www.ncbi.nlm.nih.gov/nuccore/CP000058.1?report=graph&amp;tracks=[key:gene_model_track,Options:GeneOnly]&amp;mk=3712135:3712154|offset_40|00cc00,3712105:3712124|offset_70|444444,3712076:3712095|offset_99|444444,3712007:3712026|offset_168|444444&amp;v=3711934:3712226&amp;c=444444", "offset 40")</f>
        <v>offset 40</v>
      </c>
    </row>
    <row r="11771" customFormat="false" ht="12.8" hidden="false" customHeight="false" outlineLevel="0" collapsed="false">
      <c r="A11771" s="0" t="s">
        <v>12</v>
      </c>
      <c r="B11771" s="0" t="n">
        <v>3712104</v>
      </c>
      <c r="C11771" s="0" t="n">
        <v>3712124</v>
      </c>
      <c r="D11771" s="0" t="s">
        <v>39071</v>
      </c>
      <c r="E11771" s="0" t="s">
        <v>39072</v>
      </c>
      <c r="F11771" s="0" t="s">
        <v>90</v>
      </c>
      <c r="G11771" s="0" t="s">
        <v>20</v>
      </c>
      <c r="H11771" s="0" t="n">
        <v>70</v>
      </c>
      <c r="I11771" s="0" t="s">
        <v>39076</v>
      </c>
      <c r="J11771" s="0" t="s">
        <v>39077</v>
      </c>
      <c r="K11771" s="0" t="s">
        <v>39078</v>
      </c>
      <c r="L11771" s="0" t="str">
        <f aca="false">HYPERLINK("https://www.ncbi.nlm.nih.gov/nuccore/CP000058.1?report=graph&amp;tracks=[key:gene_model_track,Options:GeneOnly]&amp;mk=3712135:3712154|offset_40|444444,3712105:3712124|offset_70|00cc00,3712076:3712095|offset_99|444444,3712007:3712026|offset_168|444444&amp;v=3711934:3712226&amp;c=444444", "offset 70")</f>
        <v>offset 70</v>
      </c>
    </row>
    <row r="11772" customFormat="false" ht="12.8" hidden="false" customHeight="false" outlineLevel="0" collapsed="false">
      <c r="A11772" s="0" t="s">
        <v>12</v>
      </c>
      <c r="B11772" s="0" t="n">
        <v>3712075</v>
      </c>
      <c r="C11772" s="0" t="n">
        <v>3712095</v>
      </c>
      <c r="D11772" s="0" t="s">
        <v>39071</v>
      </c>
      <c r="E11772" s="0" t="s">
        <v>39072</v>
      </c>
      <c r="F11772" s="0" t="s">
        <v>90</v>
      </c>
      <c r="G11772" s="0" t="s">
        <v>20</v>
      </c>
      <c r="H11772" s="0" t="n">
        <v>99</v>
      </c>
      <c r="I11772" s="0" t="s">
        <v>39079</v>
      </c>
      <c r="J11772" s="0" t="s">
        <v>39080</v>
      </c>
      <c r="K11772" s="0" t="s">
        <v>39081</v>
      </c>
      <c r="L11772" s="0" t="str">
        <f aca="false">HYPERLINK("https://www.ncbi.nlm.nih.gov/nuccore/CP000058.1?report=graph&amp;tracks=[key:gene_model_track,Options:GeneOnly]&amp;mk=3712135:3712154|offset_40|444444,3712105:3712124|offset_70|444444,3712076:3712095|offset_99|00cc00,3712007:3712026|offset_168|444444&amp;v=3711934:3712226&amp;c=444444", "offset 99")</f>
        <v>offset 99</v>
      </c>
    </row>
    <row r="11773" customFormat="false" ht="12.8" hidden="false" customHeight="false" outlineLevel="0" collapsed="false">
      <c r="A11773" s="0" t="s">
        <v>12</v>
      </c>
      <c r="B11773" s="0" t="n">
        <v>3712006</v>
      </c>
      <c r="C11773" s="0" t="n">
        <v>3712026</v>
      </c>
      <c r="D11773" s="0" t="s">
        <v>39071</v>
      </c>
      <c r="E11773" s="0" t="s">
        <v>39072</v>
      </c>
      <c r="F11773" s="0" t="s">
        <v>90</v>
      </c>
      <c r="G11773" s="0" t="s">
        <v>16</v>
      </c>
      <c r="H11773" s="0" t="n">
        <v>168</v>
      </c>
      <c r="I11773" s="0" t="s">
        <v>39082</v>
      </c>
      <c r="J11773" s="0" t="s">
        <v>39083</v>
      </c>
      <c r="K11773" s="0" t="s">
        <v>39084</v>
      </c>
      <c r="L11773" s="0" t="str">
        <f aca="false">HYPERLINK("https://www.ncbi.nlm.nih.gov/nuccore/CP000058.1?report=graph&amp;tracks=[key:gene_model_track,Options:GeneOnly]&amp;mk=3712135:3712154|offset_40|444444,3712105:3712124|offset_70|444444,3712076:3712095|offset_99|444444,3712007:3712026|offset_168|00cc00&amp;v=3711934:3712226&amp;c=444444", "offset 168")</f>
        <v>offset 168</v>
      </c>
    </row>
    <row r="11774" customFormat="false" ht="12.8" hidden="false" customHeight="false" outlineLevel="0" collapsed="false">
      <c r="A11774" s="0" t="s">
        <v>12</v>
      </c>
      <c r="B11774" s="0" t="n">
        <v>3713180</v>
      </c>
      <c r="C11774" s="0" t="n">
        <v>3713200</v>
      </c>
      <c r="D11774" s="0" t="s">
        <v>39085</v>
      </c>
      <c r="E11774" s="0" t="s">
        <v>39086</v>
      </c>
      <c r="F11774" s="0" t="s">
        <v>90</v>
      </c>
      <c r="G11774" s="0" t="s">
        <v>20</v>
      </c>
      <c r="H11774" s="0" t="n">
        <v>14</v>
      </c>
      <c r="I11774" s="0" t="s">
        <v>39087</v>
      </c>
      <c r="J11774" s="0" t="s">
        <v>39088</v>
      </c>
      <c r="K11774" s="0" t="s">
        <v>39089</v>
      </c>
      <c r="L11774" s="0" t="str">
        <f aca="false">HYPERLINK("https://www.ncbi.nlm.nih.gov/nuccore/CP000058.1?report=graph&amp;tracks=[key:gene_model_track,Options:GeneOnly]&amp;mk=3713181:3713200|offset_14|00cc00,3713152:3713171|offset_43|444444,3713127:3713146|offset_68|444444,3713107:3713126|offset_88|444444&amp;v=3712980:3713326&amp;c=444444", "offset 14")</f>
        <v>offset 14</v>
      </c>
    </row>
    <row r="11775" customFormat="false" ht="12.8" hidden="false" customHeight="false" outlineLevel="0" collapsed="false">
      <c r="A11775" s="0" t="s">
        <v>12</v>
      </c>
      <c r="B11775" s="0" t="n">
        <v>3713151</v>
      </c>
      <c r="C11775" s="0" t="n">
        <v>3713171</v>
      </c>
      <c r="D11775" s="0" t="s">
        <v>39085</v>
      </c>
      <c r="E11775" s="0" t="s">
        <v>39086</v>
      </c>
      <c r="F11775" s="0" t="s">
        <v>90</v>
      </c>
      <c r="G11775" s="0" t="s">
        <v>16</v>
      </c>
      <c r="H11775" s="0" t="n">
        <v>43</v>
      </c>
      <c r="I11775" s="0" t="s">
        <v>39090</v>
      </c>
      <c r="J11775" s="0" t="s">
        <v>39091</v>
      </c>
      <c r="K11775" s="0" t="s">
        <v>39092</v>
      </c>
      <c r="L11775" s="0" t="str">
        <f aca="false">HYPERLINK("https://www.ncbi.nlm.nih.gov/nuccore/CP000058.1?report=graph&amp;tracks=[key:gene_model_track,Options:GeneOnly]&amp;mk=3713181:3713200|offset_14|444444,3713152:3713171|offset_43|00cc00,3713127:3713146|offset_68|444444,3713107:3713126|offset_88|444444&amp;v=3712980:3713326&amp;c=444444", "offset 43")</f>
        <v>offset 43</v>
      </c>
    </row>
    <row r="11776" customFormat="false" ht="12.8" hidden="false" customHeight="false" outlineLevel="0" collapsed="false">
      <c r="A11776" s="0" t="s">
        <v>12</v>
      </c>
      <c r="B11776" s="0" t="n">
        <v>3713126</v>
      </c>
      <c r="C11776" s="0" t="n">
        <v>3713146</v>
      </c>
      <c r="D11776" s="0" t="s">
        <v>39085</v>
      </c>
      <c r="E11776" s="0" t="s">
        <v>39086</v>
      </c>
      <c r="F11776" s="0" t="s">
        <v>90</v>
      </c>
      <c r="G11776" s="0" t="s">
        <v>16</v>
      </c>
      <c r="H11776" s="0" t="n">
        <v>68</v>
      </c>
      <c r="I11776" s="0" t="s">
        <v>39093</v>
      </c>
      <c r="J11776" s="0" t="s">
        <v>39094</v>
      </c>
      <c r="K11776" s="0" t="s">
        <v>39095</v>
      </c>
      <c r="L11776" s="0" t="str">
        <f aca="false">HYPERLINK("https://www.ncbi.nlm.nih.gov/nuccore/CP000058.1?report=graph&amp;tracks=[key:gene_model_track,Options:GeneOnly]&amp;mk=3713181:3713200|offset_14|444444,3713152:3713171|offset_43|444444,3713127:3713146|offset_68|00cc00,3713107:3713126|offset_88|444444&amp;v=3712980:3713326&amp;c=444444", "offset 68")</f>
        <v>offset 68</v>
      </c>
    </row>
    <row r="11777" customFormat="false" ht="12.8" hidden="false" customHeight="false" outlineLevel="0" collapsed="false">
      <c r="A11777" s="0" t="s">
        <v>12</v>
      </c>
      <c r="B11777" s="0" t="n">
        <v>3713106</v>
      </c>
      <c r="C11777" s="0" t="n">
        <v>3713126</v>
      </c>
      <c r="D11777" s="0" t="s">
        <v>39085</v>
      </c>
      <c r="E11777" s="0" t="s">
        <v>39086</v>
      </c>
      <c r="F11777" s="0" t="s">
        <v>90</v>
      </c>
      <c r="G11777" s="0" t="s">
        <v>16</v>
      </c>
      <c r="H11777" s="0" t="n">
        <v>88</v>
      </c>
      <c r="I11777" s="0" t="s">
        <v>39096</v>
      </c>
      <c r="J11777" s="0" t="s">
        <v>39097</v>
      </c>
      <c r="K11777" s="0" t="s">
        <v>39098</v>
      </c>
      <c r="L11777" s="0" t="str">
        <f aca="false">HYPERLINK("https://www.ncbi.nlm.nih.gov/nuccore/CP000058.1?report=graph&amp;tracks=[key:gene_model_track,Options:GeneOnly]&amp;mk=3713181:3713200|offset_14|444444,3713152:3713171|offset_43|444444,3713127:3713146|offset_68|444444,3713107:3713126|offset_88|00cc00&amp;v=3712980:3713326&amp;c=444444", "offset 88")</f>
        <v>offset 88</v>
      </c>
    </row>
    <row r="11778" customFormat="false" ht="12.8" hidden="false" customHeight="false" outlineLevel="0" collapsed="false">
      <c r="A11778" s="0" t="s">
        <v>12</v>
      </c>
      <c r="B11778" s="0" t="n">
        <v>3714013</v>
      </c>
      <c r="C11778" s="0" t="n">
        <v>3714033</v>
      </c>
      <c r="D11778" s="0" t="s">
        <v>39099</v>
      </c>
      <c r="E11778" s="0" t="s">
        <v>39100</v>
      </c>
      <c r="F11778" s="0" t="s">
        <v>90</v>
      </c>
      <c r="G11778" s="0" t="s">
        <v>32</v>
      </c>
      <c r="H11778" s="0" t="n">
        <v>1</v>
      </c>
      <c r="I11778" s="0" t="s">
        <v>39101</v>
      </c>
      <c r="J11778" s="0" t="s">
        <v>39102</v>
      </c>
      <c r="K11778" s="0" t="s">
        <v>39103</v>
      </c>
      <c r="L11778" s="0" t="str">
        <f aca="false">HYPERLINK("https://www.ncbi.nlm.nih.gov/nuccore/CP000058.1?report=graph&amp;tracks=[key:gene_model_track,Options:GeneOnly]&amp;mk=3714014:3714033|offset_1|00cc00,3713972:3713991|offset_43|444444,3713936:3713955|offset_79|444444,3713881:3713900|offset_134|444444&amp;v=3713813:3714100&amp;c=444444", "offset 1")</f>
        <v>offset 1</v>
      </c>
    </row>
    <row r="11779" customFormat="false" ht="12.8" hidden="false" customHeight="false" outlineLevel="0" collapsed="false">
      <c r="A11779" s="0" t="s">
        <v>12</v>
      </c>
      <c r="B11779" s="0" t="n">
        <v>3713971</v>
      </c>
      <c r="C11779" s="0" t="n">
        <v>3713991</v>
      </c>
      <c r="D11779" s="0" t="s">
        <v>39099</v>
      </c>
      <c r="E11779" s="0" t="s">
        <v>39100</v>
      </c>
      <c r="F11779" s="0" t="s">
        <v>90</v>
      </c>
      <c r="G11779" s="0" t="s">
        <v>16</v>
      </c>
      <c r="H11779" s="0" t="n">
        <v>43</v>
      </c>
      <c r="I11779" s="0" t="s">
        <v>39104</v>
      </c>
      <c r="J11779" s="0" t="s">
        <v>39105</v>
      </c>
      <c r="K11779" s="0" t="s">
        <v>39106</v>
      </c>
      <c r="L11779" s="0" t="str">
        <f aca="false">HYPERLINK("https://www.ncbi.nlm.nih.gov/nuccore/CP000058.1?report=graph&amp;tracks=[key:gene_model_track,Options:GeneOnly]&amp;mk=3714014:3714033|offset_1|444444,3713972:3713991|offset_43|00cc00,3713936:3713955|offset_79|444444,3713881:3713900|offset_134|444444&amp;v=3713813:3714100&amp;c=444444", "offset 43")</f>
        <v>offset 43</v>
      </c>
    </row>
    <row r="11780" customFormat="false" ht="12.8" hidden="false" customHeight="false" outlineLevel="0" collapsed="false">
      <c r="A11780" s="0" t="s">
        <v>12</v>
      </c>
      <c r="B11780" s="0" t="n">
        <v>3713935</v>
      </c>
      <c r="C11780" s="0" t="n">
        <v>3713955</v>
      </c>
      <c r="D11780" s="0" t="s">
        <v>39099</v>
      </c>
      <c r="E11780" s="0" t="s">
        <v>39100</v>
      </c>
      <c r="F11780" s="0" t="s">
        <v>90</v>
      </c>
      <c r="G11780" s="0" t="s">
        <v>20</v>
      </c>
      <c r="H11780" s="0" t="n">
        <v>79</v>
      </c>
      <c r="I11780" s="0" t="s">
        <v>39107</v>
      </c>
      <c r="J11780" s="0" t="s">
        <v>39108</v>
      </c>
      <c r="K11780" s="0" t="s">
        <v>39109</v>
      </c>
      <c r="L11780" s="0" t="str">
        <f aca="false">HYPERLINK("https://www.ncbi.nlm.nih.gov/nuccore/CP000058.1?report=graph&amp;tracks=[key:gene_model_track,Options:GeneOnly]&amp;mk=3714014:3714033|offset_1|444444,3713972:3713991|offset_43|444444,3713936:3713955|offset_79|00cc00,3713881:3713900|offset_134|444444&amp;v=3713813:3714100&amp;c=444444", "offset 79")</f>
        <v>offset 79</v>
      </c>
    </row>
    <row r="11781" customFormat="false" ht="12.8" hidden="false" customHeight="false" outlineLevel="0" collapsed="false">
      <c r="A11781" s="0" t="s">
        <v>12</v>
      </c>
      <c r="B11781" s="0" t="n">
        <v>3713880</v>
      </c>
      <c r="C11781" s="0" t="n">
        <v>3713900</v>
      </c>
      <c r="D11781" s="0" t="s">
        <v>39099</v>
      </c>
      <c r="E11781" s="0" t="s">
        <v>39100</v>
      </c>
      <c r="F11781" s="0" t="s">
        <v>90</v>
      </c>
      <c r="G11781" s="0" t="s">
        <v>32</v>
      </c>
      <c r="H11781" s="0" t="n">
        <v>134</v>
      </c>
      <c r="I11781" s="0" t="s">
        <v>39110</v>
      </c>
      <c r="J11781" s="0" t="s">
        <v>39111</v>
      </c>
      <c r="K11781" s="0" t="s">
        <v>39112</v>
      </c>
      <c r="L11781" s="0" t="str">
        <f aca="false">HYPERLINK("https://www.ncbi.nlm.nih.gov/nuccore/CP000058.1?report=graph&amp;tracks=[key:gene_model_track,Options:GeneOnly]&amp;mk=3714014:3714033|offset_1|444444,3713972:3713991|offset_43|444444,3713936:3713955|offset_79|444444,3713881:3713900|offset_134|00cc00&amp;v=3713813:3714100&amp;c=444444", "offset 134")</f>
        <v>offset 134</v>
      </c>
    </row>
    <row r="11782" customFormat="false" ht="12.8" hidden="false" customHeight="false" outlineLevel="0" collapsed="false">
      <c r="A11782" s="0" t="s">
        <v>12</v>
      </c>
      <c r="B11782" s="0" t="n">
        <v>3714310</v>
      </c>
      <c r="C11782" s="0" t="n">
        <v>3714330</v>
      </c>
      <c r="D11782" s="0" t="s">
        <v>39113</v>
      </c>
      <c r="E11782" s="0" t="s">
        <v>39114</v>
      </c>
      <c r="F11782" s="0" t="s">
        <v>15</v>
      </c>
      <c r="G11782" s="0" t="s">
        <v>32</v>
      </c>
      <c r="H11782" s="0" t="n">
        <v>18</v>
      </c>
      <c r="I11782" s="0" t="s">
        <v>39115</v>
      </c>
      <c r="J11782" s="0" t="s">
        <v>39116</v>
      </c>
      <c r="K11782" s="0" t="s">
        <v>39117</v>
      </c>
      <c r="L11782" s="0" t="str">
        <f aca="false">HYPERLINK("https://www.ncbi.nlm.nih.gov/nuccore/CP000058.1?report=graph&amp;tracks=[key:gene_model_track,Options:GeneOnly]&amp;mk=3714311:3714330|offset_18|00cc00,3714349:3714368|offset_56|444444,3714371:3714390|offset_78|444444,3714391:3714410|offset_98|444444&amp;v=3714110:3714610&amp;c=444444", "offset 18")</f>
        <v>offset 18</v>
      </c>
    </row>
    <row r="11783" customFormat="false" ht="12.8" hidden="false" customHeight="false" outlineLevel="0" collapsed="false">
      <c r="A11783" s="0" t="s">
        <v>12</v>
      </c>
      <c r="B11783" s="0" t="n">
        <v>3714348</v>
      </c>
      <c r="C11783" s="0" t="n">
        <v>3714368</v>
      </c>
      <c r="D11783" s="0" t="s">
        <v>39113</v>
      </c>
      <c r="E11783" s="0" t="s">
        <v>39114</v>
      </c>
      <c r="F11783" s="0" t="s">
        <v>15</v>
      </c>
      <c r="G11783" s="0" t="s">
        <v>20</v>
      </c>
      <c r="H11783" s="0" t="n">
        <v>56</v>
      </c>
      <c r="I11783" s="0" t="s">
        <v>39118</v>
      </c>
      <c r="J11783" s="0" t="s">
        <v>39119</v>
      </c>
      <c r="K11783" s="0" t="s">
        <v>39120</v>
      </c>
      <c r="L11783" s="0" t="str">
        <f aca="false">HYPERLINK("https://www.ncbi.nlm.nih.gov/nuccore/CP000058.1?report=graph&amp;tracks=[key:gene_model_track,Options:GeneOnly]&amp;mk=3714311:3714330|offset_18|444444,3714349:3714368|offset_56|00cc00,3714371:3714390|offset_78|444444,3714391:3714410|offset_98|444444&amp;v=3714110:3714610&amp;c=444444", "offset 56")</f>
        <v>offset 56</v>
      </c>
    </row>
    <row r="11784" customFormat="false" ht="12.8" hidden="false" customHeight="false" outlineLevel="0" collapsed="false">
      <c r="A11784" s="0" t="s">
        <v>12</v>
      </c>
      <c r="B11784" s="0" t="n">
        <v>3714370</v>
      </c>
      <c r="C11784" s="0" t="n">
        <v>3714390</v>
      </c>
      <c r="D11784" s="0" t="s">
        <v>39113</v>
      </c>
      <c r="E11784" s="0" t="s">
        <v>39114</v>
      </c>
      <c r="F11784" s="0" t="s">
        <v>15</v>
      </c>
      <c r="G11784" s="0" t="s">
        <v>20</v>
      </c>
      <c r="H11784" s="0" t="n">
        <v>78</v>
      </c>
      <c r="I11784" s="0" t="s">
        <v>39121</v>
      </c>
      <c r="J11784" s="0" t="s">
        <v>39122</v>
      </c>
      <c r="K11784" s="0" t="s">
        <v>39123</v>
      </c>
      <c r="L11784" s="0" t="str">
        <f aca="false">HYPERLINK("https://www.ncbi.nlm.nih.gov/nuccore/CP000058.1?report=graph&amp;tracks=[key:gene_model_track,Options:GeneOnly]&amp;mk=3714311:3714330|offset_18|444444,3714349:3714368|offset_56|444444,3714371:3714390|offset_78|00cc00,3714391:3714410|offset_98|444444&amp;v=3714110:3714610&amp;c=444444", "offset 78")</f>
        <v>offset 78</v>
      </c>
    </row>
    <row r="11785" customFormat="false" ht="12.8" hidden="false" customHeight="false" outlineLevel="0" collapsed="false">
      <c r="A11785" s="0" t="s">
        <v>12</v>
      </c>
      <c r="B11785" s="0" t="n">
        <v>3714390</v>
      </c>
      <c r="C11785" s="0" t="n">
        <v>3714410</v>
      </c>
      <c r="D11785" s="0" t="s">
        <v>39113</v>
      </c>
      <c r="E11785" s="0" t="s">
        <v>39114</v>
      </c>
      <c r="F11785" s="0" t="s">
        <v>15</v>
      </c>
      <c r="G11785" s="0" t="s">
        <v>32</v>
      </c>
      <c r="H11785" s="0" t="n">
        <v>98</v>
      </c>
      <c r="I11785" s="0" t="s">
        <v>39124</v>
      </c>
      <c r="J11785" s="0" t="s">
        <v>39125</v>
      </c>
      <c r="K11785" s="0" t="s">
        <v>39126</v>
      </c>
      <c r="L11785" s="0" t="str">
        <f aca="false">HYPERLINK("https://www.ncbi.nlm.nih.gov/nuccore/CP000058.1?report=graph&amp;tracks=[key:gene_model_track,Options:GeneOnly]&amp;mk=3714311:3714330|offset_18|444444,3714349:3714368|offset_56|444444,3714371:3714390|offset_78|444444,3714391:3714410|offset_98|00cc00&amp;v=3714110:3714610&amp;c=444444", "offset 98")</f>
        <v>offset 98</v>
      </c>
    </row>
    <row r="11786" customFormat="false" ht="12.8" hidden="false" customHeight="false" outlineLevel="0" collapsed="false">
      <c r="A11786" s="0" t="s">
        <v>12</v>
      </c>
      <c r="B11786" s="0" t="n">
        <v>3714921</v>
      </c>
      <c r="C11786" s="0" t="n">
        <v>3714941</v>
      </c>
      <c r="D11786" s="0" t="s">
        <v>39127</v>
      </c>
      <c r="E11786" s="0" t="s">
        <v>75</v>
      </c>
      <c r="F11786" s="0" t="s">
        <v>15</v>
      </c>
      <c r="G11786" s="0" t="s">
        <v>32</v>
      </c>
      <c r="H11786" s="0" t="n">
        <v>11</v>
      </c>
      <c r="I11786" s="0" t="s">
        <v>39128</v>
      </c>
      <c r="J11786" s="0" t="s">
        <v>39129</v>
      </c>
      <c r="K11786" s="0" t="s">
        <v>39130</v>
      </c>
      <c r="L11786" s="0" t="str">
        <f aca="false">HYPERLINK("https://www.ncbi.nlm.nih.gov/nuccore/CP000058.1?report=graph&amp;tracks=[key:gene_model_track,Options:GeneOnly]&amp;mk=3714922:3714941|offset_11|00cc00,3714947:3714966|offset_36|444444,3714974:3714993|offset_63|444444,3715010:3715029|offset_99|444444&amp;v=3714721:3715229&amp;c=444444", "offset 11")</f>
        <v>offset 11</v>
      </c>
    </row>
    <row r="11787" customFormat="false" ht="12.8" hidden="false" customHeight="false" outlineLevel="0" collapsed="false">
      <c r="A11787" s="0" t="s">
        <v>12</v>
      </c>
      <c r="B11787" s="0" t="n">
        <v>3714946</v>
      </c>
      <c r="C11787" s="0" t="n">
        <v>3714966</v>
      </c>
      <c r="D11787" s="0" t="s">
        <v>39127</v>
      </c>
      <c r="E11787" s="0" t="s">
        <v>75</v>
      </c>
      <c r="F11787" s="0" t="s">
        <v>15</v>
      </c>
      <c r="G11787" s="0" t="s">
        <v>32</v>
      </c>
      <c r="H11787" s="0" t="n">
        <v>36</v>
      </c>
      <c r="I11787" s="0" t="s">
        <v>39131</v>
      </c>
      <c r="J11787" s="0" t="s">
        <v>39132</v>
      </c>
      <c r="K11787" s="0" t="s">
        <v>39133</v>
      </c>
      <c r="L11787" s="0" t="str">
        <f aca="false">HYPERLINK("https://www.ncbi.nlm.nih.gov/nuccore/CP000058.1?report=graph&amp;tracks=[key:gene_model_track,Options:GeneOnly]&amp;mk=3714922:3714941|offset_11|444444,3714947:3714966|offset_36|00cc00,3714974:3714993|offset_63|444444,3715010:3715029|offset_99|444444&amp;v=3714721:3715229&amp;c=444444", "offset 36")</f>
        <v>offset 36</v>
      </c>
    </row>
    <row r="11788" customFormat="false" ht="12.8" hidden="false" customHeight="false" outlineLevel="0" collapsed="false">
      <c r="A11788" s="0" t="s">
        <v>12</v>
      </c>
      <c r="B11788" s="0" t="n">
        <v>3714973</v>
      </c>
      <c r="C11788" s="0" t="n">
        <v>3714993</v>
      </c>
      <c r="D11788" s="0" t="s">
        <v>39127</v>
      </c>
      <c r="E11788" s="0" t="s">
        <v>75</v>
      </c>
      <c r="F11788" s="0" t="s">
        <v>15</v>
      </c>
      <c r="G11788" s="0" t="s">
        <v>36</v>
      </c>
      <c r="H11788" s="0" t="n">
        <v>63</v>
      </c>
      <c r="I11788" s="0" t="s">
        <v>39134</v>
      </c>
      <c r="J11788" s="0" t="s">
        <v>39135</v>
      </c>
      <c r="K11788" s="0" t="s">
        <v>39136</v>
      </c>
      <c r="L11788" s="0" t="str">
        <f aca="false">HYPERLINK("https://www.ncbi.nlm.nih.gov/nuccore/CP000058.1?report=graph&amp;tracks=[key:gene_model_track,Options:GeneOnly]&amp;mk=3714922:3714941|offset_11|444444,3714947:3714966|offset_36|444444,3714974:3714993|offset_63|00cc00,3715010:3715029|offset_99|444444&amp;v=3714721:3715229&amp;c=444444", "offset 63")</f>
        <v>offset 63</v>
      </c>
    </row>
    <row r="11789" customFormat="false" ht="12.8" hidden="false" customHeight="false" outlineLevel="0" collapsed="false">
      <c r="A11789" s="0" t="s">
        <v>12</v>
      </c>
      <c r="B11789" s="0" t="n">
        <v>3715009</v>
      </c>
      <c r="C11789" s="0" t="n">
        <v>3715029</v>
      </c>
      <c r="D11789" s="0" t="s">
        <v>39127</v>
      </c>
      <c r="E11789" s="0" t="s">
        <v>75</v>
      </c>
      <c r="F11789" s="0" t="s">
        <v>15</v>
      </c>
      <c r="G11789" s="0" t="s">
        <v>36</v>
      </c>
      <c r="H11789" s="0" t="n">
        <v>99</v>
      </c>
      <c r="I11789" s="0" t="s">
        <v>39137</v>
      </c>
      <c r="J11789" s="0" t="s">
        <v>39138</v>
      </c>
      <c r="K11789" s="0" t="s">
        <v>39139</v>
      </c>
      <c r="L11789" s="0" t="str">
        <f aca="false">HYPERLINK("https://www.ncbi.nlm.nih.gov/nuccore/CP000058.1?report=graph&amp;tracks=[key:gene_model_track,Options:GeneOnly]&amp;mk=3714922:3714941|offset_11|444444,3714947:3714966|offset_36|444444,3714974:3714993|offset_63|444444,3715010:3715029|offset_99|00cc00&amp;v=3714721:3715229&amp;c=444444", "offset 99")</f>
        <v>offset 99</v>
      </c>
    </row>
    <row r="11790" customFormat="false" ht="12.8" hidden="false" customHeight="false" outlineLevel="0" collapsed="false">
      <c r="A11790" s="0" t="s">
        <v>12</v>
      </c>
      <c r="B11790" s="0" t="n">
        <v>3715605</v>
      </c>
      <c r="C11790" s="0" t="n">
        <v>3715625</v>
      </c>
      <c r="D11790" s="0" t="s">
        <v>39140</v>
      </c>
      <c r="E11790" s="0" t="s">
        <v>75</v>
      </c>
      <c r="F11790" s="0" t="s">
        <v>90</v>
      </c>
      <c r="G11790" s="0" t="s">
        <v>20</v>
      </c>
      <c r="H11790" s="0" t="n">
        <v>6</v>
      </c>
      <c r="I11790" s="0" t="s">
        <v>39141</v>
      </c>
      <c r="J11790" s="0" t="s">
        <v>39142</v>
      </c>
      <c r="K11790" s="0" t="s">
        <v>39143</v>
      </c>
      <c r="L11790" s="0" t="str">
        <f aca="false">HYPERLINK("https://www.ncbi.nlm.nih.gov/nuccore/CP000058.1?report=graph&amp;tracks=[key:gene_model_track,Options:GeneOnly]&amp;mk=3715606:3715625|offset_6|00cc00,3715576:3715595|offset_36|444444,3715548:3715567|offset_64|444444,3715503:3715522|offset_109|444444&amp;v=3715405:3715722&amp;c=444444", "offset 6")</f>
        <v>offset 6</v>
      </c>
    </row>
    <row r="11791" customFormat="false" ht="12.8" hidden="false" customHeight="false" outlineLevel="0" collapsed="false">
      <c r="A11791" s="0" t="s">
        <v>12</v>
      </c>
      <c r="B11791" s="0" t="n">
        <v>3715575</v>
      </c>
      <c r="C11791" s="0" t="n">
        <v>3715595</v>
      </c>
      <c r="D11791" s="0" t="s">
        <v>39140</v>
      </c>
      <c r="E11791" s="0" t="s">
        <v>75</v>
      </c>
      <c r="F11791" s="0" t="s">
        <v>90</v>
      </c>
      <c r="G11791" s="0" t="s">
        <v>20</v>
      </c>
      <c r="H11791" s="0" t="n">
        <v>36</v>
      </c>
      <c r="I11791" s="0" t="s">
        <v>39144</v>
      </c>
      <c r="J11791" s="0" t="s">
        <v>39145</v>
      </c>
      <c r="K11791" s="0" t="s">
        <v>39146</v>
      </c>
      <c r="L11791" s="0" t="str">
        <f aca="false">HYPERLINK("https://www.ncbi.nlm.nih.gov/nuccore/CP000058.1?report=graph&amp;tracks=[key:gene_model_track,Options:GeneOnly]&amp;mk=3715606:3715625|offset_6|444444,3715576:3715595|offset_36|00cc00,3715548:3715567|offset_64|444444,3715503:3715522|offset_109|444444&amp;v=3715405:3715722&amp;c=444444", "offset 36")</f>
        <v>offset 36</v>
      </c>
    </row>
    <row r="11792" customFormat="false" ht="12.8" hidden="false" customHeight="false" outlineLevel="0" collapsed="false">
      <c r="A11792" s="0" t="s">
        <v>12</v>
      </c>
      <c r="B11792" s="0" t="n">
        <v>3715547</v>
      </c>
      <c r="C11792" s="0" t="n">
        <v>3715567</v>
      </c>
      <c r="D11792" s="0" t="s">
        <v>39140</v>
      </c>
      <c r="E11792" s="0" t="s">
        <v>75</v>
      </c>
      <c r="F11792" s="0" t="s">
        <v>90</v>
      </c>
      <c r="G11792" s="0" t="s">
        <v>16</v>
      </c>
      <c r="H11792" s="0" t="n">
        <v>64</v>
      </c>
      <c r="I11792" s="0" t="s">
        <v>39147</v>
      </c>
      <c r="J11792" s="0" t="s">
        <v>39148</v>
      </c>
      <c r="K11792" s="0" t="s">
        <v>39149</v>
      </c>
      <c r="L11792" s="0" t="str">
        <f aca="false">HYPERLINK("https://www.ncbi.nlm.nih.gov/nuccore/CP000058.1?report=graph&amp;tracks=[key:gene_model_track,Options:GeneOnly]&amp;mk=3715606:3715625|offset_6|444444,3715576:3715595|offset_36|444444,3715548:3715567|offset_64|00cc00,3715503:3715522|offset_109|444444&amp;v=3715405:3715722&amp;c=444444", "offset 64")</f>
        <v>offset 64</v>
      </c>
    </row>
    <row r="11793" customFormat="false" ht="12.8" hidden="false" customHeight="false" outlineLevel="0" collapsed="false">
      <c r="A11793" s="0" t="s">
        <v>12</v>
      </c>
      <c r="B11793" s="0" t="n">
        <v>3715502</v>
      </c>
      <c r="C11793" s="0" t="n">
        <v>3715522</v>
      </c>
      <c r="D11793" s="0" t="s">
        <v>39140</v>
      </c>
      <c r="E11793" s="0" t="s">
        <v>75</v>
      </c>
      <c r="F11793" s="0" t="s">
        <v>90</v>
      </c>
      <c r="G11793" s="0" t="s">
        <v>32</v>
      </c>
      <c r="H11793" s="0" t="n">
        <v>109</v>
      </c>
      <c r="I11793" s="0" t="s">
        <v>39150</v>
      </c>
      <c r="J11793" s="0" t="s">
        <v>39151</v>
      </c>
      <c r="K11793" s="0" t="s">
        <v>39152</v>
      </c>
      <c r="L11793" s="0" t="str">
        <f aca="false">HYPERLINK("https://www.ncbi.nlm.nih.gov/nuccore/CP000058.1?report=graph&amp;tracks=[key:gene_model_track,Options:GeneOnly]&amp;mk=3715606:3715625|offset_6|444444,3715576:3715595|offset_36|444444,3715548:3715567|offset_64|444444,3715503:3715522|offset_109|00cc00&amp;v=3715405:3715722&amp;c=444444", "offset 109")</f>
        <v>offset 109</v>
      </c>
    </row>
    <row r="11794" customFormat="false" ht="12.8" hidden="false" customHeight="false" outlineLevel="0" collapsed="false">
      <c r="A11794" s="0" t="s">
        <v>12</v>
      </c>
      <c r="B11794" s="0" t="n">
        <v>3716193</v>
      </c>
      <c r="C11794" s="0" t="n">
        <v>3716213</v>
      </c>
      <c r="D11794" s="0" t="s">
        <v>39153</v>
      </c>
      <c r="E11794" s="0" t="s">
        <v>75</v>
      </c>
      <c r="F11794" s="0" t="s">
        <v>90</v>
      </c>
      <c r="G11794" s="0" t="s">
        <v>32</v>
      </c>
      <c r="H11794" s="0" t="n">
        <v>1</v>
      </c>
      <c r="I11794" s="0" t="s">
        <v>39154</v>
      </c>
      <c r="J11794" s="0" t="s">
        <v>39155</v>
      </c>
      <c r="K11794" s="0" t="s">
        <v>39156</v>
      </c>
      <c r="L11794" s="0" t="str">
        <f aca="false">HYPERLINK("https://www.ncbi.nlm.nih.gov/nuccore/CP000058.1?report=graph&amp;tracks=[key:gene_model_track,Options:GeneOnly]&amp;mk=3716194:3716213|offset_1|00cc00,3716173:3716192|offset_22|444444,3716090:3716109|offset_105|444444,3716062:3716081|offset_133|444444&amp;v=3715993:3716281&amp;c=444444", "offset 1")</f>
        <v>offset 1</v>
      </c>
    </row>
    <row r="11795" customFormat="false" ht="12.8" hidden="false" customHeight="false" outlineLevel="0" collapsed="false">
      <c r="A11795" s="0" t="s">
        <v>12</v>
      </c>
      <c r="B11795" s="0" t="n">
        <v>3716172</v>
      </c>
      <c r="C11795" s="0" t="n">
        <v>3716192</v>
      </c>
      <c r="D11795" s="0" t="s">
        <v>39153</v>
      </c>
      <c r="E11795" s="0" t="s">
        <v>75</v>
      </c>
      <c r="F11795" s="0" t="s">
        <v>90</v>
      </c>
      <c r="G11795" s="0" t="s">
        <v>36</v>
      </c>
      <c r="H11795" s="0" t="n">
        <v>22</v>
      </c>
      <c r="I11795" s="0" t="s">
        <v>39157</v>
      </c>
      <c r="J11795" s="0" t="s">
        <v>39158</v>
      </c>
      <c r="K11795" s="0" t="s">
        <v>39159</v>
      </c>
      <c r="L11795" s="0" t="str">
        <f aca="false">HYPERLINK("https://www.ncbi.nlm.nih.gov/nuccore/CP000058.1?report=graph&amp;tracks=[key:gene_model_track,Options:GeneOnly]&amp;mk=3716194:3716213|offset_1|444444,3716173:3716192|offset_22|00cc00,3716090:3716109|offset_105|444444,3716062:3716081|offset_133|444444&amp;v=3715993:3716281&amp;c=444444", "offset 22")</f>
        <v>offset 22</v>
      </c>
    </row>
    <row r="11796" customFormat="false" ht="12.8" hidden="false" customHeight="false" outlineLevel="0" collapsed="false">
      <c r="A11796" s="0" t="s">
        <v>12</v>
      </c>
      <c r="B11796" s="0" t="n">
        <v>3716089</v>
      </c>
      <c r="C11796" s="0" t="n">
        <v>3716109</v>
      </c>
      <c r="D11796" s="0" t="s">
        <v>39153</v>
      </c>
      <c r="E11796" s="0" t="s">
        <v>75</v>
      </c>
      <c r="F11796" s="0" t="s">
        <v>90</v>
      </c>
      <c r="G11796" s="0" t="s">
        <v>20</v>
      </c>
      <c r="H11796" s="0" t="n">
        <v>105</v>
      </c>
      <c r="I11796" s="0" t="s">
        <v>39160</v>
      </c>
      <c r="J11796" s="0" t="s">
        <v>39161</v>
      </c>
      <c r="K11796" s="0" t="s">
        <v>39162</v>
      </c>
      <c r="L11796" s="0" t="str">
        <f aca="false">HYPERLINK("https://www.ncbi.nlm.nih.gov/nuccore/CP000058.1?report=graph&amp;tracks=[key:gene_model_track,Options:GeneOnly]&amp;mk=3716194:3716213|offset_1|444444,3716173:3716192|offset_22|444444,3716090:3716109|offset_105|00cc00,3716062:3716081|offset_133|444444&amp;v=3715993:3716281&amp;c=444444", "offset 105")</f>
        <v>offset 105</v>
      </c>
    </row>
    <row r="11797" customFormat="false" ht="12.8" hidden="false" customHeight="false" outlineLevel="0" collapsed="false">
      <c r="A11797" s="0" t="s">
        <v>12</v>
      </c>
      <c r="B11797" s="0" t="n">
        <v>3716061</v>
      </c>
      <c r="C11797" s="0" t="n">
        <v>3716081</v>
      </c>
      <c r="D11797" s="0" t="s">
        <v>39153</v>
      </c>
      <c r="E11797" s="0" t="s">
        <v>75</v>
      </c>
      <c r="F11797" s="0" t="s">
        <v>90</v>
      </c>
      <c r="G11797" s="0" t="s">
        <v>16</v>
      </c>
      <c r="H11797" s="0" t="n">
        <v>133</v>
      </c>
      <c r="I11797" s="0" t="s">
        <v>39163</v>
      </c>
      <c r="J11797" s="0" t="s">
        <v>39164</v>
      </c>
      <c r="K11797" s="0" t="s">
        <v>39165</v>
      </c>
      <c r="L11797" s="0" t="str">
        <f aca="false">HYPERLINK("https://www.ncbi.nlm.nih.gov/nuccore/CP000058.1?report=graph&amp;tracks=[key:gene_model_track,Options:GeneOnly]&amp;mk=3716194:3716213|offset_1|444444,3716173:3716192|offset_22|444444,3716090:3716109|offset_105|444444,3716062:3716081|offset_133|00cc00&amp;v=3715993:3716281&amp;c=444444", "offset 133")</f>
        <v>offset 133</v>
      </c>
    </row>
    <row r="11798" customFormat="false" ht="12.8" hidden="false" customHeight="false" outlineLevel="0" collapsed="false">
      <c r="A11798" s="0" t="s">
        <v>12</v>
      </c>
      <c r="B11798" s="0" t="n">
        <v>3718928</v>
      </c>
      <c r="C11798" s="0" t="n">
        <v>3718948</v>
      </c>
      <c r="D11798" s="0" t="s">
        <v>39166</v>
      </c>
      <c r="E11798" s="0" t="s">
        <v>39167</v>
      </c>
      <c r="F11798" s="0" t="s">
        <v>90</v>
      </c>
      <c r="G11798" s="0" t="s">
        <v>32</v>
      </c>
      <c r="H11798" s="0" t="n">
        <v>1</v>
      </c>
      <c r="I11798" s="0" t="s">
        <v>39168</v>
      </c>
      <c r="J11798" s="0" t="s">
        <v>39169</v>
      </c>
      <c r="K11798" s="0" t="s">
        <v>39170</v>
      </c>
      <c r="L11798" s="0" t="str">
        <f aca="false">HYPERLINK("https://www.ncbi.nlm.nih.gov/nuccore/CP000058.1?report=graph&amp;tracks=[key:gene_model_track,Options:GeneOnly]&amp;mk=3718929:3718948|offset_1|00cc00,3718899:3718918|offset_31|444444,3718859:3718878|offset_71|444444,3718832:3718851|offset_98|444444&amp;v=3718728:3719051&amp;c=444444", "offset 1")</f>
        <v>offset 1</v>
      </c>
    </row>
    <row r="11799" customFormat="false" ht="12.8" hidden="false" customHeight="false" outlineLevel="0" collapsed="false">
      <c r="A11799" s="0" t="s">
        <v>12</v>
      </c>
      <c r="B11799" s="0" t="n">
        <v>3718898</v>
      </c>
      <c r="C11799" s="0" t="n">
        <v>3718918</v>
      </c>
      <c r="D11799" s="0" t="s">
        <v>39166</v>
      </c>
      <c r="E11799" s="0" t="s">
        <v>39167</v>
      </c>
      <c r="F11799" s="0" t="s">
        <v>90</v>
      </c>
      <c r="G11799" s="0" t="s">
        <v>36</v>
      </c>
      <c r="H11799" s="0" t="n">
        <v>31</v>
      </c>
      <c r="I11799" s="0" t="s">
        <v>39171</v>
      </c>
      <c r="J11799" s="0" t="s">
        <v>39172</v>
      </c>
      <c r="K11799" s="0" t="s">
        <v>39173</v>
      </c>
      <c r="L11799" s="0" t="str">
        <f aca="false">HYPERLINK("https://www.ncbi.nlm.nih.gov/nuccore/CP000058.1?report=graph&amp;tracks=[key:gene_model_track,Options:GeneOnly]&amp;mk=3718929:3718948|offset_1|444444,3718899:3718918|offset_31|00cc00,3718859:3718878|offset_71|444444,3718832:3718851|offset_98|444444&amp;v=3718728:3719051&amp;c=444444", "offset 31")</f>
        <v>offset 31</v>
      </c>
    </row>
    <row r="11800" customFormat="false" ht="12.8" hidden="false" customHeight="false" outlineLevel="0" collapsed="false">
      <c r="A11800" s="0" t="s">
        <v>12</v>
      </c>
      <c r="B11800" s="0" t="n">
        <v>3718858</v>
      </c>
      <c r="C11800" s="0" t="n">
        <v>3718878</v>
      </c>
      <c r="D11800" s="0" t="s">
        <v>39166</v>
      </c>
      <c r="E11800" s="0" t="s">
        <v>39167</v>
      </c>
      <c r="F11800" s="0" t="s">
        <v>90</v>
      </c>
      <c r="G11800" s="0" t="s">
        <v>32</v>
      </c>
      <c r="H11800" s="0" t="n">
        <v>71</v>
      </c>
      <c r="I11800" s="0" t="s">
        <v>39174</v>
      </c>
      <c r="J11800" s="0" t="s">
        <v>39175</v>
      </c>
      <c r="K11800" s="0" t="s">
        <v>39176</v>
      </c>
      <c r="L11800" s="0" t="str">
        <f aca="false">HYPERLINK("https://www.ncbi.nlm.nih.gov/nuccore/CP000058.1?report=graph&amp;tracks=[key:gene_model_track,Options:GeneOnly]&amp;mk=3718929:3718948|offset_1|444444,3718899:3718918|offset_31|444444,3718859:3718878|offset_71|00cc00,3718832:3718851|offset_98|444444&amp;v=3718728:3719051&amp;c=444444", "offset 71")</f>
        <v>offset 71</v>
      </c>
    </row>
    <row r="11801" customFormat="false" ht="12.8" hidden="false" customHeight="false" outlineLevel="0" collapsed="false">
      <c r="A11801" s="0" t="s">
        <v>12</v>
      </c>
      <c r="B11801" s="0" t="n">
        <v>3718831</v>
      </c>
      <c r="C11801" s="0" t="n">
        <v>3718851</v>
      </c>
      <c r="D11801" s="0" t="s">
        <v>39166</v>
      </c>
      <c r="E11801" s="0" t="s">
        <v>39167</v>
      </c>
      <c r="F11801" s="0" t="s">
        <v>90</v>
      </c>
      <c r="G11801" s="0" t="s">
        <v>32</v>
      </c>
      <c r="H11801" s="0" t="n">
        <v>98</v>
      </c>
      <c r="I11801" s="0" t="s">
        <v>39177</v>
      </c>
      <c r="J11801" s="0" t="s">
        <v>39178</v>
      </c>
      <c r="K11801" s="0" t="s">
        <v>39179</v>
      </c>
      <c r="L11801" s="0" t="str">
        <f aca="false">HYPERLINK("https://www.ncbi.nlm.nih.gov/nuccore/CP000058.1?report=graph&amp;tracks=[key:gene_model_track,Options:GeneOnly]&amp;mk=3718929:3718948|offset_1|444444,3718899:3718918|offset_31|444444,3718859:3718878|offset_71|444444,3718832:3718851|offset_98|00cc00&amp;v=3718728:3719051&amp;c=444444", "offset 98")</f>
        <v>offset 98</v>
      </c>
    </row>
    <row r="11802" customFormat="false" ht="12.8" hidden="false" customHeight="false" outlineLevel="0" collapsed="false">
      <c r="A11802" s="0" t="s">
        <v>12</v>
      </c>
      <c r="B11802" s="0" t="n">
        <v>3719363</v>
      </c>
      <c r="C11802" s="0" t="n">
        <v>3719383</v>
      </c>
      <c r="D11802" s="0" t="s">
        <v>39180</v>
      </c>
      <c r="E11802" s="0" t="s">
        <v>75</v>
      </c>
      <c r="F11802" s="0" t="s">
        <v>90</v>
      </c>
      <c r="G11802" s="0" t="s">
        <v>16</v>
      </c>
      <c r="H11802" s="0" t="n">
        <v>10</v>
      </c>
      <c r="I11802" s="0" t="s">
        <v>39181</v>
      </c>
      <c r="J11802" s="0" t="s">
        <v>39182</v>
      </c>
      <c r="K11802" s="0" t="s">
        <v>39183</v>
      </c>
      <c r="L11802" s="0" t="str">
        <f aca="false">HYPERLINK("https://www.ncbi.nlm.nih.gov/nuccore/CP000058.1?report=graph&amp;tracks=[key:gene_model_track,Options:GeneOnly]&amp;mk=3719364:3719383|offset_10|00cc00,3719314:3719333|offset_60|444444,3719285:3719304|offset_89|444444,3719252:3719271|offset_122|444444&amp;v=3719163:3719471&amp;c=444444", "offset 10")</f>
        <v>offset 10</v>
      </c>
    </row>
    <row r="11803" customFormat="false" ht="12.8" hidden="false" customHeight="false" outlineLevel="0" collapsed="false">
      <c r="A11803" s="0" t="s">
        <v>12</v>
      </c>
      <c r="B11803" s="0" t="n">
        <v>3719313</v>
      </c>
      <c r="C11803" s="0" t="n">
        <v>3719333</v>
      </c>
      <c r="D11803" s="0" t="s">
        <v>39180</v>
      </c>
      <c r="E11803" s="0" t="s">
        <v>75</v>
      </c>
      <c r="F11803" s="0" t="s">
        <v>90</v>
      </c>
      <c r="G11803" s="0" t="s">
        <v>32</v>
      </c>
      <c r="H11803" s="0" t="n">
        <v>60</v>
      </c>
      <c r="I11803" s="0" t="s">
        <v>39184</v>
      </c>
      <c r="J11803" s="0" t="s">
        <v>39185</v>
      </c>
      <c r="K11803" s="0" t="s">
        <v>39186</v>
      </c>
      <c r="L11803" s="0" t="str">
        <f aca="false">HYPERLINK("https://www.ncbi.nlm.nih.gov/nuccore/CP000058.1?report=graph&amp;tracks=[key:gene_model_track,Options:GeneOnly]&amp;mk=3719364:3719383|offset_10|444444,3719314:3719333|offset_60|00cc00,3719285:3719304|offset_89|444444,3719252:3719271|offset_122|444444&amp;v=3719163:3719471&amp;c=444444", "offset 60")</f>
        <v>offset 60</v>
      </c>
    </row>
    <row r="11804" customFormat="false" ht="12.8" hidden="false" customHeight="false" outlineLevel="0" collapsed="false">
      <c r="A11804" s="0" t="s">
        <v>12</v>
      </c>
      <c r="B11804" s="0" t="n">
        <v>3719284</v>
      </c>
      <c r="C11804" s="0" t="n">
        <v>3719304</v>
      </c>
      <c r="D11804" s="0" t="s">
        <v>39180</v>
      </c>
      <c r="E11804" s="0" t="s">
        <v>75</v>
      </c>
      <c r="F11804" s="0" t="s">
        <v>90</v>
      </c>
      <c r="G11804" s="0" t="s">
        <v>16</v>
      </c>
      <c r="H11804" s="0" t="n">
        <v>89</v>
      </c>
      <c r="I11804" s="0" t="s">
        <v>39187</v>
      </c>
      <c r="J11804" s="0" t="s">
        <v>39188</v>
      </c>
      <c r="K11804" s="0" t="s">
        <v>39189</v>
      </c>
      <c r="L11804" s="0" t="str">
        <f aca="false">HYPERLINK("https://www.ncbi.nlm.nih.gov/nuccore/CP000058.1?report=graph&amp;tracks=[key:gene_model_track,Options:GeneOnly]&amp;mk=3719364:3719383|offset_10|444444,3719314:3719333|offset_60|444444,3719285:3719304|offset_89|00cc00,3719252:3719271|offset_122|444444&amp;v=3719163:3719471&amp;c=444444", "offset 89")</f>
        <v>offset 89</v>
      </c>
    </row>
    <row r="11805" customFormat="false" ht="12.8" hidden="false" customHeight="false" outlineLevel="0" collapsed="false">
      <c r="A11805" s="0" t="s">
        <v>12</v>
      </c>
      <c r="B11805" s="0" t="n">
        <v>3719251</v>
      </c>
      <c r="C11805" s="0" t="n">
        <v>3719271</v>
      </c>
      <c r="D11805" s="0" t="s">
        <v>39180</v>
      </c>
      <c r="E11805" s="0" t="s">
        <v>75</v>
      </c>
      <c r="F11805" s="0" t="s">
        <v>90</v>
      </c>
      <c r="G11805" s="0" t="s">
        <v>32</v>
      </c>
      <c r="H11805" s="0" t="n">
        <v>122</v>
      </c>
      <c r="I11805" s="0" t="s">
        <v>39190</v>
      </c>
      <c r="J11805" s="0" t="s">
        <v>39191</v>
      </c>
      <c r="K11805" s="0" t="s">
        <v>39192</v>
      </c>
      <c r="L11805" s="0" t="str">
        <f aca="false">HYPERLINK("https://www.ncbi.nlm.nih.gov/nuccore/CP000058.1?report=graph&amp;tracks=[key:gene_model_track,Options:GeneOnly]&amp;mk=3719364:3719383|offset_10|444444,3719314:3719333|offset_60|444444,3719285:3719304|offset_89|444444,3719252:3719271|offset_122|00cc00&amp;v=3719163:3719471&amp;c=444444", "offset 122")</f>
        <v>offset 122</v>
      </c>
    </row>
    <row r="11806" customFormat="false" ht="12.8" hidden="false" customHeight="false" outlineLevel="0" collapsed="false">
      <c r="A11806" s="0" t="s">
        <v>12</v>
      </c>
      <c r="B11806" s="0" t="n">
        <v>3720553</v>
      </c>
      <c r="C11806" s="0" t="n">
        <v>3720573</v>
      </c>
      <c r="D11806" s="0" t="s">
        <v>39193</v>
      </c>
      <c r="E11806" s="0" t="s">
        <v>39194</v>
      </c>
      <c r="F11806" s="0" t="s">
        <v>90</v>
      </c>
      <c r="G11806" s="0" t="s">
        <v>20</v>
      </c>
      <c r="H11806" s="0" t="n">
        <v>8</v>
      </c>
      <c r="I11806" s="0" t="s">
        <v>39195</v>
      </c>
      <c r="J11806" s="0" t="s">
        <v>39196</v>
      </c>
      <c r="K11806" s="0" t="s">
        <v>39197</v>
      </c>
      <c r="L11806" s="0" t="str">
        <f aca="false">HYPERLINK("https://www.ncbi.nlm.nih.gov/nuccore/CP000058.1?report=graph&amp;tracks=[key:gene_model_track,Options:GeneOnly]&amp;mk=3720554:3720573|offset_8|00cc00,3720513:3720532|offset_49|444444,3720474:3720493|offset_88|444444,3720409:3720428|offset_153|444444&amp;v=3720353:3720628&amp;c=444444", "offset 8")</f>
        <v>offset 8</v>
      </c>
    </row>
    <row r="11807" customFormat="false" ht="12.8" hidden="false" customHeight="false" outlineLevel="0" collapsed="false">
      <c r="A11807" s="0" t="s">
        <v>12</v>
      </c>
      <c r="B11807" s="0" t="n">
        <v>3720512</v>
      </c>
      <c r="C11807" s="0" t="n">
        <v>3720532</v>
      </c>
      <c r="D11807" s="0" t="s">
        <v>39193</v>
      </c>
      <c r="E11807" s="0" t="s">
        <v>39194</v>
      </c>
      <c r="F11807" s="0" t="s">
        <v>90</v>
      </c>
      <c r="G11807" s="0" t="s">
        <v>36</v>
      </c>
      <c r="H11807" s="0" t="n">
        <v>49</v>
      </c>
      <c r="I11807" s="0" t="s">
        <v>39198</v>
      </c>
      <c r="J11807" s="0" t="s">
        <v>39199</v>
      </c>
      <c r="K11807" s="0" t="s">
        <v>39200</v>
      </c>
      <c r="L11807" s="0" t="str">
        <f aca="false">HYPERLINK("https://www.ncbi.nlm.nih.gov/nuccore/CP000058.1?report=graph&amp;tracks=[key:gene_model_track,Options:GeneOnly]&amp;mk=3720554:3720573|offset_8|444444,3720513:3720532|offset_49|00cc00,3720474:3720493|offset_88|444444,3720409:3720428|offset_153|444444&amp;v=3720353:3720628&amp;c=444444", "offset 49")</f>
        <v>offset 49</v>
      </c>
    </row>
    <row r="11808" customFormat="false" ht="12.8" hidden="false" customHeight="false" outlineLevel="0" collapsed="false">
      <c r="A11808" s="0" t="s">
        <v>12</v>
      </c>
      <c r="B11808" s="0" t="n">
        <v>3720473</v>
      </c>
      <c r="C11808" s="0" t="n">
        <v>3720493</v>
      </c>
      <c r="D11808" s="0" t="s">
        <v>39193</v>
      </c>
      <c r="E11808" s="0" t="s">
        <v>39194</v>
      </c>
      <c r="F11808" s="0" t="s">
        <v>90</v>
      </c>
      <c r="G11808" s="0" t="s">
        <v>36</v>
      </c>
      <c r="H11808" s="0" t="n">
        <v>88</v>
      </c>
      <c r="I11808" s="0" t="s">
        <v>39201</v>
      </c>
      <c r="J11808" s="0" t="s">
        <v>39202</v>
      </c>
      <c r="K11808" s="0" t="s">
        <v>39203</v>
      </c>
      <c r="L11808" s="0" t="str">
        <f aca="false">HYPERLINK("https://www.ncbi.nlm.nih.gov/nuccore/CP000058.1?report=graph&amp;tracks=[key:gene_model_track,Options:GeneOnly]&amp;mk=3720554:3720573|offset_8|444444,3720513:3720532|offset_49|444444,3720474:3720493|offset_88|00cc00,3720409:3720428|offset_153|444444&amp;v=3720353:3720628&amp;c=444444", "offset 88")</f>
        <v>offset 88</v>
      </c>
    </row>
    <row r="11809" customFormat="false" ht="12.8" hidden="false" customHeight="false" outlineLevel="0" collapsed="false">
      <c r="A11809" s="0" t="s">
        <v>12</v>
      </c>
      <c r="B11809" s="0" t="n">
        <v>3720408</v>
      </c>
      <c r="C11809" s="0" t="n">
        <v>3720428</v>
      </c>
      <c r="D11809" s="0" t="s">
        <v>39193</v>
      </c>
      <c r="E11809" s="0" t="s">
        <v>39194</v>
      </c>
      <c r="F11809" s="0" t="s">
        <v>90</v>
      </c>
      <c r="G11809" s="0" t="s">
        <v>16</v>
      </c>
      <c r="H11809" s="0" t="n">
        <v>153</v>
      </c>
      <c r="I11809" s="0" t="s">
        <v>39204</v>
      </c>
      <c r="J11809" s="0" t="s">
        <v>39205</v>
      </c>
      <c r="K11809" s="0" t="s">
        <v>39206</v>
      </c>
      <c r="L11809" s="0" t="str">
        <f aca="false">HYPERLINK("https://www.ncbi.nlm.nih.gov/nuccore/CP000058.1?report=graph&amp;tracks=[key:gene_model_track,Options:GeneOnly]&amp;mk=3720554:3720573|offset_8|444444,3720513:3720532|offset_49|444444,3720474:3720493|offset_88|444444,3720409:3720428|offset_153|00cc00&amp;v=3720353:3720628&amp;c=444444", "offset 153")</f>
        <v>offset 153</v>
      </c>
    </row>
    <row r="11810" customFormat="false" ht="12.8" hidden="false" customHeight="false" outlineLevel="0" collapsed="false">
      <c r="A11810" s="0" t="s">
        <v>12</v>
      </c>
      <c r="B11810" s="0" t="n">
        <v>3722709</v>
      </c>
      <c r="C11810" s="0" t="n">
        <v>3722729</v>
      </c>
      <c r="D11810" s="0" t="s">
        <v>39207</v>
      </c>
      <c r="E11810" s="0" t="s">
        <v>39208</v>
      </c>
      <c r="F11810" s="0" t="s">
        <v>90</v>
      </c>
      <c r="G11810" s="0" t="s">
        <v>32</v>
      </c>
      <c r="H11810" s="0" t="n">
        <v>22</v>
      </c>
      <c r="I11810" s="0" t="s">
        <v>39209</v>
      </c>
      <c r="J11810" s="0" t="s">
        <v>39210</v>
      </c>
      <c r="K11810" s="0" t="s">
        <v>39211</v>
      </c>
      <c r="L11810" s="0" t="str">
        <f aca="false">HYPERLINK("https://www.ncbi.nlm.nih.gov/nuccore/CP000058.1?report=graph&amp;tracks=[key:gene_model_track,Options:GeneOnly]&amp;mk=3722710:3722729|offset_22|00cc00,3722647:3722666|offset_85|444444,3722623:3722642|offset_109|444444,3722584:3722603|offset_148|444444&amp;v=3722509:3722803&amp;c=444444", "offset 22")</f>
        <v>offset 22</v>
      </c>
    </row>
    <row r="11811" customFormat="false" ht="12.8" hidden="false" customHeight="false" outlineLevel="0" collapsed="false">
      <c r="A11811" s="0" t="s">
        <v>12</v>
      </c>
      <c r="B11811" s="0" t="n">
        <v>3722646</v>
      </c>
      <c r="C11811" s="0" t="n">
        <v>3722666</v>
      </c>
      <c r="D11811" s="0" t="s">
        <v>39207</v>
      </c>
      <c r="E11811" s="0" t="s">
        <v>39208</v>
      </c>
      <c r="F11811" s="0" t="s">
        <v>90</v>
      </c>
      <c r="G11811" s="0" t="s">
        <v>16</v>
      </c>
      <c r="H11811" s="0" t="n">
        <v>85</v>
      </c>
      <c r="I11811" s="0" t="s">
        <v>39212</v>
      </c>
      <c r="J11811" s="0" t="s">
        <v>39213</v>
      </c>
      <c r="K11811" s="0" t="s">
        <v>39214</v>
      </c>
      <c r="L11811" s="0" t="str">
        <f aca="false">HYPERLINK("https://www.ncbi.nlm.nih.gov/nuccore/CP000058.1?report=graph&amp;tracks=[key:gene_model_track,Options:GeneOnly]&amp;mk=3722710:3722729|offset_22|444444,3722647:3722666|offset_85|00cc00,3722623:3722642|offset_109|444444,3722584:3722603|offset_148|444444&amp;v=3722509:3722803&amp;c=444444", "offset 85")</f>
        <v>offset 85</v>
      </c>
    </row>
    <row r="11812" customFormat="false" ht="12.8" hidden="false" customHeight="false" outlineLevel="0" collapsed="false">
      <c r="A11812" s="0" t="s">
        <v>12</v>
      </c>
      <c r="B11812" s="0" t="n">
        <v>3722622</v>
      </c>
      <c r="C11812" s="0" t="n">
        <v>3722642</v>
      </c>
      <c r="D11812" s="0" t="s">
        <v>39207</v>
      </c>
      <c r="E11812" s="0" t="s">
        <v>39208</v>
      </c>
      <c r="F11812" s="0" t="s">
        <v>90</v>
      </c>
      <c r="G11812" s="0" t="s">
        <v>36</v>
      </c>
      <c r="H11812" s="0" t="n">
        <v>109</v>
      </c>
      <c r="I11812" s="0" t="s">
        <v>39215</v>
      </c>
      <c r="J11812" s="0" t="s">
        <v>39216</v>
      </c>
      <c r="K11812" s="0" t="s">
        <v>39217</v>
      </c>
      <c r="L11812" s="0" t="str">
        <f aca="false">HYPERLINK("https://www.ncbi.nlm.nih.gov/nuccore/CP000058.1?report=graph&amp;tracks=[key:gene_model_track,Options:GeneOnly]&amp;mk=3722710:3722729|offset_22|444444,3722647:3722666|offset_85|444444,3722623:3722642|offset_109|00cc00,3722584:3722603|offset_148|444444&amp;v=3722509:3722803&amp;c=444444", "offset 109")</f>
        <v>offset 109</v>
      </c>
    </row>
    <row r="11813" customFormat="false" ht="12.8" hidden="false" customHeight="false" outlineLevel="0" collapsed="false">
      <c r="A11813" s="0" t="s">
        <v>12</v>
      </c>
      <c r="B11813" s="0" t="n">
        <v>3722583</v>
      </c>
      <c r="C11813" s="0" t="n">
        <v>3722603</v>
      </c>
      <c r="D11813" s="0" t="s">
        <v>39207</v>
      </c>
      <c r="E11813" s="0" t="s">
        <v>39208</v>
      </c>
      <c r="F11813" s="0" t="s">
        <v>90</v>
      </c>
      <c r="G11813" s="0" t="s">
        <v>16</v>
      </c>
      <c r="H11813" s="0" t="n">
        <v>148</v>
      </c>
      <c r="I11813" s="0" t="s">
        <v>39218</v>
      </c>
      <c r="J11813" s="0" t="s">
        <v>39219</v>
      </c>
      <c r="K11813" s="0" t="s">
        <v>39220</v>
      </c>
      <c r="L11813" s="0" t="str">
        <f aca="false">HYPERLINK("https://www.ncbi.nlm.nih.gov/nuccore/CP000058.1?report=graph&amp;tracks=[key:gene_model_track,Options:GeneOnly]&amp;mk=3722710:3722729|offset_22|444444,3722647:3722666|offset_85|444444,3722623:3722642|offset_109|444444,3722584:3722603|offset_148|00cc00&amp;v=3722509:3722803&amp;c=444444", "offset 148")</f>
        <v>offset 148</v>
      </c>
    </row>
    <row r="11814" customFormat="false" ht="12.8" hidden="false" customHeight="false" outlineLevel="0" collapsed="false">
      <c r="A11814" s="0" t="s">
        <v>12</v>
      </c>
      <c r="B11814" s="0" t="n">
        <v>3723286</v>
      </c>
      <c r="C11814" s="0" t="n">
        <v>3723306</v>
      </c>
      <c r="D11814" s="0" t="s">
        <v>39221</v>
      </c>
      <c r="E11814" s="0" t="s">
        <v>75</v>
      </c>
      <c r="F11814" s="0" t="s">
        <v>15</v>
      </c>
      <c r="G11814" s="0" t="s">
        <v>16</v>
      </c>
      <c r="H11814" s="0" t="n">
        <v>26</v>
      </c>
      <c r="I11814" s="0" t="s">
        <v>39222</v>
      </c>
      <c r="J11814" s="0" t="s">
        <v>39223</v>
      </c>
      <c r="K11814" s="0" t="s">
        <v>39224</v>
      </c>
      <c r="L11814" s="0" t="str">
        <f aca="false">HYPERLINK("https://www.ncbi.nlm.nih.gov/nuccore/CP000058.1?report=graph&amp;tracks=[key:gene_model_track,Options:GeneOnly]&amp;mk=3723287:3723306|offset_26|00cc00,3723331:3723350|offset_70|444444,3723351:3723370|offset_90|444444&amp;v=3723086:3723570&amp;c=444444", "offset 26")</f>
        <v>offset 26</v>
      </c>
    </row>
    <row r="11815" customFormat="false" ht="12.8" hidden="false" customHeight="false" outlineLevel="0" collapsed="false">
      <c r="A11815" s="0" t="s">
        <v>12</v>
      </c>
      <c r="B11815" s="0" t="n">
        <v>3723330</v>
      </c>
      <c r="C11815" s="0" t="n">
        <v>3723350</v>
      </c>
      <c r="D11815" s="0" t="s">
        <v>39221</v>
      </c>
      <c r="E11815" s="0" t="s">
        <v>75</v>
      </c>
      <c r="F11815" s="0" t="s">
        <v>15</v>
      </c>
      <c r="G11815" s="0" t="s">
        <v>20</v>
      </c>
      <c r="H11815" s="0" t="n">
        <v>70</v>
      </c>
      <c r="I11815" s="0" t="s">
        <v>39225</v>
      </c>
      <c r="J11815" s="0" t="s">
        <v>39226</v>
      </c>
      <c r="K11815" s="0" t="s">
        <v>39227</v>
      </c>
      <c r="L11815" s="0" t="str">
        <f aca="false">HYPERLINK("https://www.ncbi.nlm.nih.gov/nuccore/CP000058.1?report=graph&amp;tracks=[key:gene_model_track,Options:GeneOnly]&amp;mk=3723287:3723306|offset_26|444444,3723331:3723350|offset_70|00cc00,3723351:3723370|offset_90|444444&amp;v=3723086:3723570&amp;c=444444", "offset 70")</f>
        <v>offset 70</v>
      </c>
    </row>
    <row r="11816" customFormat="false" ht="12.8" hidden="false" customHeight="false" outlineLevel="0" collapsed="false">
      <c r="A11816" s="0" t="s">
        <v>12</v>
      </c>
      <c r="B11816" s="0" t="n">
        <v>3723350</v>
      </c>
      <c r="C11816" s="0" t="n">
        <v>3723370</v>
      </c>
      <c r="D11816" s="0" t="s">
        <v>39221</v>
      </c>
      <c r="E11816" s="0" t="s">
        <v>75</v>
      </c>
      <c r="F11816" s="0" t="s">
        <v>15</v>
      </c>
      <c r="G11816" s="0" t="s">
        <v>16</v>
      </c>
      <c r="H11816" s="0" t="n">
        <v>90</v>
      </c>
      <c r="I11816" s="0" t="s">
        <v>39228</v>
      </c>
      <c r="J11816" s="0" t="s">
        <v>39229</v>
      </c>
      <c r="K11816" s="0" t="s">
        <v>39230</v>
      </c>
      <c r="L11816" s="0" t="str">
        <f aca="false">HYPERLINK("https://www.ncbi.nlm.nih.gov/nuccore/CP000058.1?report=graph&amp;tracks=[key:gene_model_track,Options:GeneOnly]&amp;mk=3723287:3723306|offset_26|444444,3723331:3723350|offset_70|444444,3723351:3723370|offset_90|00cc00&amp;v=3723086:3723570&amp;c=444444", "offset 90")</f>
        <v>offset 90</v>
      </c>
    </row>
    <row r="11817" customFormat="false" ht="12.8" hidden="false" customHeight="false" outlineLevel="0" collapsed="false">
      <c r="A11817" s="0" t="s">
        <v>12</v>
      </c>
      <c r="B11817" s="0" t="n">
        <v>3723884</v>
      </c>
      <c r="C11817" s="0" t="n">
        <v>3723904</v>
      </c>
      <c r="D11817" s="0" t="s">
        <v>39231</v>
      </c>
      <c r="E11817" s="0" t="s">
        <v>75</v>
      </c>
      <c r="F11817" s="0" t="s">
        <v>90</v>
      </c>
      <c r="G11817" s="0" t="s">
        <v>36</v>
      </c>
      <c r="H11817" s="0" t="n">
        <v>47</v>
      </c>
      <c r="I11817" s="0" t="s">
        <v>39232</v>
      </c>
      <c r="J11817" s="0" t="s">
        <v>39233</v>
      </c>
      <c r="K11817" s="0" t="s">
        <v>39234</v>
      </c>
      <c r="L11817" s="0" t="str">
        <f aca="false">HYPERLINK("https://www.ncbi.nlm.nih.gov/nuccore/CP000058.1?report=graph&amp;tracks=[key:gene_model_track,Options:GeneOnly]&amp;mk=3723885:3723904|offset_47|00cc00,3723844:3723863|offset_88|444444,3723801:3723820|offset_131|444444,3723774:3723793|offset_158|444444&amp;v=3723684:3723993&amp;c=444444", "offset 47")</f>
        <v>offset 47</v>
      </c>
    </row>
    <row r="11818" customFormat="false" ht="12.8" hidden="false" customHeight="false" outlineLevel="0" collapsed="false">
      <c r="A11818" s="0" t="s">
        <v>12</v>
      </c>
      <c r="B11818" s="0" t="n">
        <v>3723843</v>
      </c>
      <c r="C11818" s="0" t="n">
        <v>3723863</v>
      </c>
      <c r="D11818" s="0" t="s">
        <v>39231</v>
      </c>
      <c r="E11818" s="0" t="s">
        <v>75</v>
      </c>
      <c r="F11818" s="0" t="s">
        <v>90</v>
      </c>
      <c r="G11818" s="0" t="s">
        <v>16</v>
      </c>
      <c r="H11818" s="0" t="n">
        <v>88</v>
      </c>
      <c r="I11818" s="0" t="s">
        <v>39235</v>
      </c>
      <c r="J11818" s="0" t="s">
        <v>39236</v>
      </c>
      <c r="K11818" s="0" t="s">
        <v>39237</v>
      </c>
      <c r="L11818" s="0" t="str">
        <f aca="false">HYPERLINK("https://www.ncbi.nlm.nih.gov/nuccore/CP000058.1?report=graph&amp;tracks=[key:gene_model_track,Options:GeneOnly]&amp;mk=3723885:3723904|offset_47|444444,3723844:3723863|offset_88|00cc00,3723801:3723820|offset_131|444444,3723774:3723793|offset_158|444444&amp;v=3723684:3723993&amp;c=444444", "offset 88")</f>
        <v>offset 88</v>
      </c>
    </row>
    <row r="11819" customFormat="false" ht="12.8" hidden="false" customHeight="false" outlineLevel="0" collapsed="false">
      <c r="A11819" s="0" t="s">
        <v>12</v>
      </c>
      <c r="B11819" s="0" t="n">
        <v>3723800</v>
      </c>
      <c r="C11819" s="0" t="n">
        <v>3723820</v>
      </c>
      <c r="D11819" s="0" t="s">
        <v>39231</v>
      </c>
      <c r="E11819" s="0" t="s">
        <v>75</v>
      </c>
      <c r="F11819" s="0" t="s">
        <v>90</v>
      </c>
      <c r="G11819" s="0" t="s">
        <v>20</v>
      </c>
      <c r="H11819" s="0" t="n">
        <v>131</v>
      </c>
      <c r="I11819" s="0" t="s">
        <v>39238</v>
      </c>
      <c r="J11819" s="0" t="s">
        <v>39239</v>
      </c>
      <c r="K11819" s="0" t="s">
        <v>39240</v>
      </c>
      <c r="L11819" s="0" t="str">
        <f aca="false">HYPERLINK("https://www.ncbi.nlm.nih.gov/nuccore/CP000058.1?report=graph&amp;tracks=[key:gene_model_track,Options:GeneOnly]&amp;mk=3723885:3723904|offset_47|444444,3723844:3723863|offset_88|444444,3723801:3723820|offset_131|00cc00,3723774:3723793|offset_158|444444&amp;v=3723684:3723993&amp;c=444444", "offset 131")</f>
        <v>offset 131</v>
      </c>
    </row>
    <row r="11820" customFormat="false" ht="12.8" hidden="false" customHeight="false" outlineLevel="0" collapsed="false">
      <c r="A11820" s="0" t="s">
        <v>12</v>
      </c>
      <c r="B11820" s="0" t="n">
        <v>3723773</v>
      </c>
      <c r="C11820" s="0" t="n">
        <v>3723793</v>
      </c>
      <c r="D11820" s="0" t="s">
        <v>39231</v>
      </c>
      <c r="E11820" s="0" t="s">
        <v>75</v>
      </c>
      <c r="F11820" s="0" t="s">
        <v>90</v>
      </c>
      <c r="G11820" s="0" t="s">
        <v>36</v>
      </c>
      <c r="H11820" s="0" t="n">
        <v>158</v>
      </c>
      <c r="I11820" s="0" t="s">
        <v>39241</v>
      </c>
      <c r="J11820" s="0" t="s">
        <v>39242</v>
      </c>
      <c r="K11820" s="0" t="s">
        <v>39243</v>
      </c>
      <c r="L11820" s="0" t="str">
        <f aca="false">HYPERLINK("https://www.ncbi.nlm.nih.gov/nuccore/CP000058.1?report=graph&amp;tracks=[key:gene_model_track,Options:GeneOnly]&amp;mk=3723885:3723904|offset_47|444444,3723844:3723863|offset_88|444444,3723801:3723820|offset_131|444444,3723774:3723793|offset_158|00cc00&amp;v=3723684:3723993&amp;c=444444", "offset 158")</f>
        <v>offset 158</v>
      </c>
    </row>
    <row r="11821" customFormat="false" ht="12.8" hidden="false" customHeight="false" outlineLevel="0" collapsed="false">
      <c r="A11821" s="0" t="s">
        <v>12</v>
      </c>
      <c r="B11821" s="0" t="n">
        <v>3723977</v>
      </c>
      <c r="C11821" s="0" t="n">
        <v>3723997</v>
      </c>
      <c r="D11821" s="0" t="s">
        <v>39244</v>
      </c>
      <c r="E11821" s="0" t="s">
        <v>75</v>
      </c>
      <c r="F11821" s="0" t="s">
        <v>15</v>
      </c>
      <c r="G11821" s="0" t="s">
        <v>32</v>
      </c>
      <c r="H11821" s="0" t="n">
        <v>6</v>
      </c>
      <c r="I11821" s="0" t="s">
        <v>39245</v>
      </c>
      <c r="J11821" s="0" t="s">
        <v>39246</v>
      </c>
      <c r="K11821" s="0" t="s">
        <v>39247</v>
      </c>
      <c r="L11821" s="0" t="str">
        <f aca="false">HYPERLINK("https://www.ncbi.nlm.nih.gov/nuccore/CP000058.1?report=graph&amp;tracks=[key:gene_model_track,Options:GeneOnly]&amp;mk=3723978:3723997|offset_6|00cc00,3724007:3724026|offset_35|444444,3724034:3724053|offset_62|444444,3724054:3724073|offset_82|444444&amp;v=3723777:3724273&amp;c=444444", "offset 6")</f>
        <v>offset 6</v>
      </c>
    </row>
    <row r="11822" customFormat="false" ht="12.8" hidden="false" customHeight="false" outlineLevel="0" collapsed="false">
      <c r="A11822" s="0" t="s">
        <v>12</v>
      </c>
      <c r="B11822" s="0" t="n">
        <v>3724006</v>
      </c>
      <c r="C11822" s="0" t="n">
        <v>3724026</v>
      </c>
      <c r="D11822" s="0" t="s">
        <v>39244</v>
      </c>
      <c r="E11822" s="0" t="s">
        <v>75</v>
      </c>
      <c r="F11822" s="0" t="s">
        <v>15</v>
      </c>
      <c r="G11822" s="0" t="s">
        <v>20</v>
      </c>
      <c r="H11822" s="0" t="n">
        <v>35</v>
      </c>
      <c r="I11822" s="0" t="s">
        <v>39248</v>
      </c>
      <c r="J11822" s="0" t="s">
        <v>39249</v>
      </c>
      <c r="K11822" s="0" t="s">
        <v>39250</v>
      </c>
      <c r="L11822" s="0" t="str">
        <f aca="false">HYPERLINK("https://www.ncbi.nlm.nih.gov/nuccore/CP000058.1?report=graph&amp;tracks=[key:gene_model_track,Options:GeneOnly]&amp;mk=3723978:3723997|offset_6|444444,3724007:3724026|offset_35|00cc00,3724034:3724053|offset_62|444444,3724054:3724073|offset_82|444444&amp;v=3723777:3724273&amp;c=444444", "offset 35")</f>
        <v>offset 35</v>
      </c>
    </row>
    <row r="11823" customFormat="false" ht="12.8" hidden="false" customHeight="false" outlineLevel="0" collapsed="false">
      <c r="A11823" s="0" t="s">
        <v>12</v>
      </c>
      <c r="B11823" s="0" t="n">
        <v>3724033</v>
      </c>
      <c r="C11823" s="0" t="n">
        <v>3724053</v>
      </c>
      <c r="D11823" s="0" t="s">
        <v>39244</v>
      </c>
      <c r="E11823" s="0" t="s">
        <v>75</v>
      </c>
      <c r="F11823" s="0" t="s">
        <v>15</v>
      </c>
      <c r="G11823" s="0" t="s">
        <v>16</v>
      </c>
      <c r="H11823" s="0" t="n">
        <v>62</v>
      </c>
      <c r="I11823" s="0" t="s">
        <v>39251</v>
      </c>
      <c r="J11823" s="0" t="s">
        <v>39252</v>
      </c>
      <c r="K11823" s="0" t="s">
        <v>39253</v>
      </c>
      <c r="L11823" s="0" t="str">
        <f aca="false">HYPERLINK("https://www.ncbi.nlm.nih.gov/nuccore/CP000058.1?report=graph&amp;tracks=[key:gene_model_track,Options:GeneOnly]&amp;mk=3723978:3723997|offset_6|444444,3724007:3724026|offset_35|444444,3724034:3724053|offset_62|00cc00,3724054:3724073|offset_82|444444&amp;v=3723777:3724273&amp;c=444444", "offset 62")</f>
        <v>offset 62</v>
      </c>
    </row>
    <row r="11824" customFormat="false" ht="12.8" hidden="false" customHeight="false" outlineLevel="0" collapsed="false">
      <c r="A11824" s="0" t="s">
        <v>12</v>
      </c>
      <c r="B11824" s="0" t="n">
        <v>3724053</v>
      </c>
      <c r="C11824" s="0" t="n">
        <v>3724073</v>
      </c>
      <c r="D11824" s="0" t="s">
        <v>39244</v>
      </c>
      <c r="E11824" s="0" t="s">
        <v>75</v>
      </c>
      <c r="F11824" s="0" t="s">
        <v>15</v>
      </c>
      <c r="G11824" s="0" t="s">
        <v>32</v>
      </c>
      <c r="H11824" s="0" t="n">
        <v>82</v>
      </c>
      <c r="I11824" s="0" t="s">
        <v>39254</v>
      </c>
      <c r="J11824" s="0" t="s">
        <v>39255</v>
      </c>
      <c r="K11824" s="0" t="s">
        <v>39256</v>
      </c>
      <c r="L11824" s="0" t="str">
        <f aca="false">HYPERLINK("https://www.ncbi.nlm.nih.gov/nuccore/CP000058.1?report=graph&amp;tracks=[key:gene_model_track,Options:GeneOnly]&amp;mk=3723978:3723997|offset_6|444444,3724007:3724026|offset_35|444444,3724034:3724053|offset_62|444444,3724054:3724073|offset_82|00cc00&amp;v=3723777:3724273&amp;c=444444", "offset 82")</f>
        <v>offset 82</v>
      </c>
    </row>
    <row r="11825" customFormat="false" ht="12.8" hidden="false" customHeight="false" outlineLevel="0" collapsed="false">
      <c r="A11825" s="0" t="s">
        <v>12</v>
      </c>
      <c r="B11825" s="0" t="n">
        <v>3726362</v>
      </c>
      <c r="C11825" s="0" t="n">
        <v>3726382</v>
      </c>
      <c r="D11825" s="0" t="s">
        <v>39257</v>
      </c>
      <c r="E11825" s="0" t="s">
        <v>75</v>
      </c>
      <c r="F11825" s="0" t="s">
        <v>90</v>
      </c>
      <c r="G11825" s="0" t="s">
        <v>36</v>
      </c>
      <c r="H11825" s="0" t="n">
        <v>7</v>
      </c>
      <c r="I11825" s="0" t="s">
        <v>39258</v>
      </c>
      <c r="J11825" s="0" t="s">
        <v>39259</v>
      </c>
      <c r="K11825" s="0" t="s">
        <v>39260</v>
      </c>
      <c r="L11825" s="0" t="str">
        <f aca="false">HYPERLINK("https://www.ncbi.nlm.nih.gov/nuccore/CP000058.1?report=graph&amp;tracks=[key:gene_model_track,Options:GeneOnly]&amp;mk=3726363:3726382|offset_7|00cc00,3726339:3726358|offset_31|444444,3726319:3726338|offset_51|444444,3726288:3726307|offset_82|444444&amp;v=3726162:3726507&amp;c=444444", "offset 7")</f>
        <v>offset 7</v>
      </c>
    </row>
    <row r="11826" customFormat="false" ht="12.8" hidden="false" customHeight="false" outlineLevel="0" collapsed="false">
      <c r="A11826" s="0" t="s">
        <v>12</v>
      </c>
      <c r="B11826" s="0" t="n">
        <v>3726338</v>
      </c>
      <c r="C11826" s="0" t="n">
        <v>3726358</v>
      </c>
      <c r="D11826" s="0" t="s">
        <v>39257</v>
      </c>
      <c r="E11826" s="0" t="s">
        <v>75</v>
      </c>
      <c r="F11826" s="0" t="s">
        <v>90</v>
      </c>
      <c r="G11826" s="0" t="s">
        <v>36</v>
      </c>
      <c r="H11826" s="0" t="n">
        <v>31</v>
      </c>
      <c r="I11826" s="0" t="s">
        <v>39261</v>
      </c>
      <c r="J11826" s="0" t="s">
        <v>39262</v>
      </c>
      <c r="K11826" s="0" t="s">
        <v>39263</v>
      </c>
      <c r="L11826" s="0" t="str">
        <f aca="false">HYPERLINK("https://www.ncbi.nlm.nih.gov/nuccore/CP000058.1?report=graph&amp;tracks=[key:gene_model_track,Options:GeneOnly]&amp;mk=3726363:3726382|offset_7|444444,3726339:3726358|offset_31|00cc00,3726319:3726338|offset_51|444444,3726288:3726307|offset_82|444444&amp;v=3726162:3726507&amp;c=444444", "offset 31")</f>
        <v>offset 31</v>
      </c>
    </row>
    <row r="11827" customFormat="false" ht="12.8" hidden="false" customHeight="false" outlineLevel="0" collapsed="false">
      <c r="A11827" s="0" t="s">
        <v>12</v>
      </c>
      <c r="B11827" s="0" t="n">
        <v>3726318</v>
      </c>
      <c r="C11827" s="0" t="n">
        <v>3726338</v>
      </c>
      <c r="D11827" s="0" t="s">
        <v>39257</v>
      </c>
      <c r="E11827" s="0" t="s">
        <v>75</v>
      </c>
      <c r="F11827" s="0" t="s">
        <v>90</v>
      </c>
      <c r="G11827" s="0" t="s">
        <v>16</v>
      </c>
      <c r="H11827" s="0" t="n">
        <v>51</v>
      </c>
      <c r="I11827" s="0" t="s">
        <v>39264</v>
      </c>
      <c r="J11827" s="0" t="s">
        <v>39265</v>
      </c>
      <c r="K11827" s="0" t="s">
        <v>39266</v>
      </c>
      <c r="L11827" s="0" t="str">
        <f aca="false">HYPERLINK("https://www.ncbi.nlm.nih.gov/nuccore/CP000058.1?report=graph&amp;tracks=[key:gene_model_track,Options:GeneOnly]&amp;mk=3726363:3726382|offset_7|444444,3726339:3726358|offset_31|444444,3726319:3726338|offset_51|00cc00,3726288:3726307|offset_82|444444&amp;v=3726162:3726507&amp;c=444444", "offset 51")</f>
        <v>offset 51</v>
      </c>
    </row>
    <row r="11828" customFormat="false" ht="12.8" hidden="false" customHeight="false" outlineLevel="0" collapsed="false">
      <c r="A11828" s="0" t="s">
        <v>12</v>
      </c>
      <c r="B11828" s="0" t="n">
        <v>3726287</v>
      </c>
      <c r="C11828" s="0" t="n">
        <v>3726307</v>
      </c>
      <c r="D11828" s="0" t="s">
        <v>39257</v>
      </c>
      <c r="E11828" s="0" t="s">
        <v>75</v>
      </c>
      <c r="F11828" s="0" t="s">
        <v>90</v>
      </c>
      <c r="G11828" s="0" t="s">
        <v>36</v>
      </c>
      <c r="H11828" s="0" t="n">
        <v>82</v>
      </c>
      <c r="I11828" s="0" t="s">
        <v>39267</v>
      </c>
      <c r="J11828" s="0" t="s">
        <v>39268</v>
      </c>
      <c r="K11828" s="0" t="s">
        <v>39269</v>
      </c>
      <c r="L11828" s="0" t="str">
        <f aca="false">HYPERLINK("https://www.ncbi.nlm.nih.gov/nuccore/CP000058.1?report=graph&amp;tracks=[key:gene_model_track,Options:GeneOnly]&amp;mk=3726363:3726382|offset_7|444444,3726339:3726358|offset_31|444444,3726319:3726338|offset_51|444444,3726288:3726307|offset_82|00cc00&amp;v=3726162:3726507&amp;c=444444", "offset 82")</f>
        <v>offset 82</v>
      </c>
    </row>
    <row r="11829" customFormat="false" ht="12.8" hidden="false" customHeight="false" outlineLevel="0" collapsed="false">
      <c r="A11829" s="0" t="s">
        <v>12</v>
      </c>
      <c r="B11829" s="0" t="n">
        <v>3726534</v>
      </c>
      <c r="C11829" s="0" t="n">
        <v>3726554</v>
      </c>
      <c r="D11829" s="0" t="s">
        <v>39270</v>
      </c>
      <c r="E11829" s="0" t="s">
        <v>75</v>
      </c>
      <c r="F11829" s="0" t="s">
        <v>15</v>
      </c>
      <c r="G11829" s="0" t="s">
        <v>32</v>
      </c>
      <c r="H11829" s="0" t="n">
        <v>1</v>
      </c>
      <c r="I11829" s="0" t="s">
        <v>39271</v>
      </c>
      <c r="J11829" s="0" t="s">
        <v>39272</v>
      </c>
      <c r="K11829" s="0" t="s">
        <v>39273</v>
      </c>
      <c r="L11829" s="0" t="str">
        <f aca="false">HYPERLINK("https://www.ncbi.nlm.nih.gov/nuccore/CP000058.1?report=graph&amp;tracks=[key:gene_model_track,Options:GeneOnly]&amp;mk=3726535:3726554|offset_1|00cc00,3726629:3726648|offset_95|444444,3726653:3726672|offset_119|444444,3726674:3726693|offset_140|444444&amp;v=3726334:3726893&amp;c=444444", "offset 1")</f>
        <v>offset 1</v>
      </c>
    </row>
    <row r="11830" customFormat="false" ht="12.8" hidden="false" customHeight="false" outlineLevel="0" collapsed="false">
      <c r="A11830" s="0" t="s">
        <v>12</v>
      </c>
      <c r="B11830" s="0" t="n">
        <v>3726628</v>
      </c>
      <c r="C11830" s="0" t="n">
        <v>3726648</v>
      </c>
      <c r="D11830" s="0" t="s">
        <v>39270</v>
      </c>
      <c r="E11830" s="0" t="s">
        <v>75</v>
      </c>
      <c r="F11830" s="0" t="s">
        <v>15</v>
      </c>
      <c r="G11830" s="0" t="s">
        <v>20</v>
      </c>
      <c r="H11830" s="0" t="n">
        <v>95</v>
      </c>
      <c r="I11830" s="0" t="s">
        <v>39274</v>
      </c>
      <c r="J11830" s="0" t="s">
        <v>39275</v>
      </c>
      <c r="K11830" s="0" t="s">
        <v>39276</v>
      </c>
      <c r="L11830" s="0" t="str">
        <f aca="false">HYPERLINK("https://www.ncbi.nlm.nih.gov/nuccore/CP000058.1?report=graph&amp;tracks=[key:gene_model_track,Options:GeneOnly]&amp;mk=3726535:3726554|offset_1|444444,3726629:3726648|offset_95|00cc00,3726653:3726672|offset_119|444444,3726674:3726693|offset_140|444444&amp;v=3726334:3726893&amp;c=444444", "offset 95")</f>
        <v>offset 95</v>
      </c>
    </row>
    <row r="11831" customFormat="false" ht="12.8" hidden="false" customHeight="false" outlineLevel="0" collapsed="false">
      <c r="A11831" s="0" t="s">
        <v>12</v>
      </c>
      <c r="B11831" s="0" t="n">
        <v>3726652</v>
      </c>
      <c r="C11831" s="0" t="n">
        <v>3726672</v>
      </c>
      <c r="D11831" s="0" t="s">
        <v>39270</v>
      </c>
      <c r="E11831" s="0" t="s">
        <v>75</v>
      </c>
      <c r="F11831" s="0" t="s">
        <v>15</v>
      </c>
      <c r="G11831" s="0" t="s">
        <v>32</v>
      </c>
      <c r="H11831" s="0" t="n">
        <v>119</v>
      </c>
      <c r="I11831" s="0" t="s">
        <v>39277</v>
      </c>
      <c r="J11831" s="0" t="s">
        <v>39278</v>
      </c>
      <c r="K11831" s="0" t="s">
        <v>39279</v>
      </c>
      <c r="L11831" s="0" t="str">
        <f aca="false">HYPERLINK("https://www.ncbi.nlm.nih.gov/nuccore/CP000058.1?report=graph&amp;tracks=[key:gene_model_track,Options:GeneOnly]&amp;mk=3726535:3726554|offset_1|444444,3726629:3726648|offset_95|444444,3726653:3726672|offset_119|00cc00,3726674:3726693|offset_140|444444&amp;v=3726334:3726893&amp;c=444444", "offset 119")</f>
        <v>offset 119</v>
      </c>
    </row>
    <row r="11832" customFormat="false" ht="12.8" hidden="false" customHeight="false" outlineLevel="0" collapsed="false">
      <c r="A11832" s="0" t="s">
        <v>12</v>
      </c>
      <c r="B11832" s="0" t="n">
        <v>3726673</v>
      </c>
      <c r="C11832" s="0" t="n">
        <v>3726693</v>
      </c>
      <c r="D11832" s="0" t="s">
        <v>39270</v>
      </c>
      <c r="E11832" s="0" t="s">
        <v>75</v>
      </c>
      <c r="F11832" s="0" t="s">
        <v>15</v>
      </c>
      <c r="G11832" s="0" t="s">
        <v>20</v>
      </c>
      <c r="H11832" s="0" t="n">
        <v>140</v>
      </c>
      <c r="I11832" s="0" t="s">
        <v>39280</v>
      </c>
      <c r="J11832" s="0" t="s">
        <v>39281</v>
      </c>
      <c r="K11832" s="0" t="s">
        <v>39282</v>
      </c>
      <c r="L11832" s="0" t="str">
        <f aca="false">HYPERLINK("https://www.ncbi.nlm.nih.gov/nuccore/CP000058.1?report=graph&amp;tracks=[key:gene_model_track,Options:GeneOnly]&amp;mk=3726535:3726554|offset_1|444444,3726629:3726648|offset_95|444444,3726653:3726672|offset_119|444444,3726674:3726693|offset_140|00cc00&amp;v=3726334:3726893&amp;c=444444", "offset 140")</f>
        <v>offset 140</v>
      </c>
    </row>
    <row r="11833" customFormat="false" ht="12.8" hidden="false" customHeight="false" outlineLevel="0" collapsed="false">
      <c r="A11833" s="0" t="s">
        <v>12</v>
      </c>
      <c r="B11833" s="0" t="n">
        <v>3729328</v>
      </c>
      <c r="C11833" s="0" t="n">
        <v>3729348</v>
      </c>
      <c r="D11833" s="0" t="s">
        <v>39283</v>
      </c>
      <c r="E11833" s="0" t="s">
        <v>75</v>
      </c>
      <c r="F11833" s="0" t="s">
        <v>90</v>
      </c>
      <c r="G11833" s="0" t="s">
        <v>36</v>
      </c>
      <c r="H11833" s="0" t="n">
        <v>32</v>
      </c>
      <c r="I11833" s="0" t="s">
        <v>39284</v>
      </c>
      <c r="J11833" s="0" t="s">
        <v>39285</v>
      </c>
      <c r="K11833" s="0" t="s">
        <v>39286</v>
      </c>
      <c r="L11833" s="0" t="str">
        <f aca="false">HYPERLINK("https://www.ncbi.nlm.nih.gov/nuccore/CP000058.1?report=graph&amp;tracks=[key:gene_model_track,Options:GeneOnly]&amp;mk=3729329:3729348|offset_32|00cc00,3729281:3729300|offset_80|444444,3729260:3729279|offset_101|444444,3729216:3729235|offset_145|444444&amp;v=3729128:3729435&amp;c=444444", "offset 32")</f>
        <v>offset 32</v>
      </c>
    </row>
    <row r="11834" customFormat="false" ht="12.8" hidden="false" customHeight="false" outlineLevel="0" collapsed="false">
      <c r="A11834" s="0" t="s">
        <v>12</v>
      </c>
      <c r="B11834" s="0" t="n">
        <v>3729280</v>
      </c>
      <c r="C11834" s="0" t="n">
        <v>3729300</v>
      </c>
      <c r="D11834" s="0" t="s">
        <v>39283</v>
      </c>
      <c r="E11834" s="0" t="s">
        <v>75</v>
      </c>
      <c r="F11834" s="0" t="s">
        <v>90</v>
      </c>
      <c r="G11834" s="0" t="s">
        <v>32</v>
      </c>
      <c r="H11834" s="0" t="n">
        <v>80</v>
      </c>
      <c r="I11834" s="0" t="s">
        <v>39287</v>
      </c>
      <c r="J11834" s="0" t="s">
        <v>39288</v>
      </c>
      <c r="K11834" s="0" t="s">
        <v>39289</v>
      </c>
      <c r="L11834" s="0" t="str">
        <f aca="false">HYPERLINK("https://www.ncbi.nlm.nih.gov/nuccore/CP000058.1?report=graph&amp;tracks=[key:gene_model_track,Options:GeneOnly]&amp;mk=3729329:3729348|offset_32|444444,3729281:3729300|offset_80|00cc00,3729260:3729279|offset_101|444444,3729216:3729235|offset_145|444444&amp;v=3729128:3729435&amp;c=444444", "offset 80")</f>
        <v>offset 80</v>
      </c>
    </row>
    <row r="11835" customFormat="false" ht="12.8" hidden="false" customHeight="false" outlineLevel="0" collapsed="false">
      <c r="A11835" s="0" t="s">
        <v>12</v>
      </c>
      <c r="B11835" s="0" t="n">
        <v>3729259</v>
      </c>
      <c r="C11835" s="0" t="n">
        <v>3729279</v>
      </c>
      <c r="D11835" s="0" t="s">
        <v>39283</v>
      </c>
      <c r="E11835" s="0" t="s">
        <v>75</v>
      </c>
      <c r="F11835" s="0" t="s">
        <v>90</v>
      </c>
      <c r="G11835" s="0" t="s">
        <v>16</v>
      </c>
      <c r="H11835" s="0" t="n">
        <v>101</v>
      </c>
      <c r="I11835" s="0" t="s">
        <v>39290</v>
      </c>
      <c r="J11835" s="0" t="s">
        <v>39291</v>
      </c>
      <c r="K11835" s="0" t="s">
        <v>39292</v>
      </c>
      <c r="L11835" s="0" t="str">
        <f aca="false">HYPERLINK("https://www.ncbi.nlm.nih.gov/nuccore/CP000058.1?report=graph&amp;tracks=[key:gene_model_track,Options:GeneOnly]&amp;mk=3729329:3729348|offset_32|444444,3729281:3729300|offset_80|444444,3729260:3729279|offset_101|00cc00,3729216:3729235|offset_145|444444&amp;v=3729128:3729435&amp;c=444444", "offset 101")</f>
        <v>offset 101</v>
      </c>
    </row>
    <row r="11836" customFormat="false" ht="12.8" hidden="false" customHeight="false" outlineLevel="0" collapsed="false">
      <c r="A11836" s="0" t="s">
        <v>12</v>
      </c>
      <c r="B11836" s="0" t="n">
        <v>3729215</v>
      </c>
      <c r="C11836" s="0" t="n">
        <v>3729235</v>
      </c>
      <c r="D11836" s="0" t="s">
        <v>39283</v>
      </c>
      <c r="E11836" s="0" t="s">
        <v>75</v>
      </c>
      <c r="F11836" s="0" t="s">
        <v>90</v>
      </c>
      <c r="G11836" s="0" t="s">
        <v>36</v>
      </c>
      <c r="H11836" s="0" t="n">
        <v>145</v>
      </c>
      <c r="I11836" s="0" t="s">
        <v>39293</v>
      </c>
      <c r="J11836" s="0" t="s">
        <v>39294</v>
      </c>
      <c r="K11836" s="0" t="s">
        <v>39295</v>
      </c>
      <c r="L11836" s="0" t="str">
        <f aca="false">HYPERLINK("https://www.ncbi.nlm.nih.gov/nuccore/CP000058.1?report=graph&amp;tracks=[key:gene_model_track,Options:GeneOnly]&amp;mk=3729329:3729348|offset_32|444444,3729281:3729300|offset_80|444444,3729260:3729279|offset_101|444444,3729216:3729235|offset_145|00cc00&amp;v=3729128:3729435&amp;c=444444", "offset 145")</f>
        <v>offset 145</v>
      </c>
    </row>
    <row r="11837" customFormat="false" ht="12.8" hidden="false" customHeight="false" outlineLevel="0" collapsed="false">
      <c r="A11837" s="0" t="s">
        <v>12</v>
      </c>
      <c r="B11837" s="0" t="n">
        <v>3730330</v>
      </c>
      <c r="C11837" s="0" t="n">
        <v>3730350</v>
      </c>
      <c r="D11837" s="0" t="s">
        <v>39296</v>
      </c>
      <c r="E11837" s="0" t="s">
        <v>75</v>
      </c>
      <c r="F11837" s="0" t="s">
        <v>90</v>
      </c>
      <c r="G11837" s="0" t="s">
        <v>20</v>
      </c>
      <c r="H11837" s="0" t="n">
        <v>59</v>
      </c>
      <c r="I11837" s="0" t="s">
        <v>39297</v>
      </c>
      <c r="J11837" s="0" t="s">
        <v>39298</v>
      </c>
      <c r="K11837" s="0" t="s">
        <v>39299</v>
      </c>
      <c r="L11837" s="0" t="str">
        <f aca="false">HYPERLINK("https://www.ncbi.nlm.nih.gov/nuccore/CP000058.1?report=graph&amp;tracks=[key:gene_model_track,Options:GeneOnly]&amp;mk=3730331:3730350|offset_59|00cc00,3730310:3730329|offset_80|444444,3730268:3730287|offset_122|444444,3730248:3730267|offset_142|444444&amp;v=3730130:3730467&amp;c=444444", "offset 59")</f>
        <v>offset 59</v>
      </c>
    </row>
    <row r="11838" customFormat="false" ht="12.8" hidden="false" customHeight="false" outlineLevel="0" collapsed="false">
      <c r="A11838" s="0" t="s">
        <v>12</v>
      </c>
      <c r="B11838" s="0" t="n">
        <v>3730309</v>
      </c>
      <c r="C11838" s="0" t="n">
        <v>3730329</v>
      </c>
      <c r="D11838" s="0" t="s">
        <v>39296</v>
      </c>
      <c r="E11838" s="0" t="s">
        <v>75</v>
      </c>
      <c r="F11838" s="0" t="s">
        <v>90</v>
      </c>
      <c r="G11838" s="0" t="s">
        <v>20</v>
      </c>
      <c r="H11838" s="0" t="n">
        <v>80</v>
      </c>
      <c r="I11838" s="0" t="s">
        <v>39300</v>
      </c>
      <c r="J11838" s="0" t="s">
        <v>39301</v>
      </c>
      <c r="K11838" s="0" t="s">
        <v>39302</v>
      </c>
      <c r="L11838" s="0" t="str">
        <f aca="false">HYPERLINK("https://www.ncbi.nlm.nih.gov/nuccore/CP000058.1?report=graph&amp;tracks=[key:gene_model_track,Options:GeneOnly]&amp;mk=3730331:3730350|offset_59|444444,3730310:3730329|offset_80|00cc00,3730268:3730287|offset_122|444444,3730248:3730267|offset_142|444444&amp;v=3730130:3730467&amp;c=444444", "offset 80")</f>
        <v>offset 80</v>
      </c>
    </row>
    <row r="11839" customFormat="false" ht="12.8" hidden="false" customHeight="false" outlineLevel="0" collapsed="false">
      <c r="A11839" s="0" t="s">
        <v>12</v>
      </c>
      <c r="B11839" s="0" t="n">
        <v>3730267</v>
      </c>
      <c r="C11839" s="0" t="n">
        <v>3730287</v>
      </c>
      <c r="D11839" s="0" t="s">
        <v>39296</v>
      </c>
      <c r="E11839" s="0" t="s">
        <v>75</v>
      </c>
      <c r="F11839" s="0" t="s">
        <v>90</v>
      </c>
      <c r="G11839" s="0" t="s">
        <v>32</v>
      </c>
      <c r="H11839" s="0" t="n">
        <v>122</v>
      </c>
      <c r="I11839" s="0" t="s">
        <v>39303</v>
      </c>
      <c r="J11839" s="0" t="s">
        <v>39304</v>
      </c>
      <c r="K11839" s="0" t="s">
        <v>39305</v>
      </c>
      <c r="L11839" s="0" t="str">
        <f aca="false">HYPERLINK("https://www.ncbi.nlm.nih.gov/nuccore/CP000058.1?report=graph&amp;tracks=[key:gene_model_track,Options:GeneOnly]&amp;mk=3730331:3730350|offset_59|444444,3730310:3730329|offset_80|444444,3730268:3730287|offset_122|00cc00,3730248:3730267|offset_142|444444&amp;v=3730130:3730467&amp;c=444444", "offset 122")</f>
        <v>offset 122</v>
      </c>
    </row>
    <row r="11840" customFormat="false" ht="12.8" hidden="false" customHeight="false" outlineLevel="0" collapsed="false">
      <c r="A11840" s="0" t="s">
        <v>12</v>
      </c>
      <c r="B11840" s="0" t="n">
        <v>3730247</v>
      </c>
      <c r="C11840" s="0" t="n">
        <v>3730267</v>
      </c>
      <c r="D11840" s="0" t="s">
        <v>39296</v>
      </c>
      <c r="E11840" s="0" t="s">
        <v>75</v>
      </c>
      <c r="F11840" s="0" t="s">
        <v>90</v>
      </c>
      <c r="G11840" s="0" t="s">
        <v>32</v>
      </c>
      <c r="H11840" s="0" t="n">
        <v>142</v>
      </c>
      <c r="I11840" s="0" t="s">
        <v>39306</v>
      </c>
      <c r="J11840" s="0" t="s">
        <v>39307</v>
      </c>
      <c r="K11840" s="0" t="s">
        <v>39308</v>
      </c>
      <c r="L11840" s="0" t="str">
        <f aca="false">HYPERLINK("https://www.ncbi.nlm.nih.gov/nuccore/CP000058.1?report=graph&amp;tracks=[key:gene_model_track,Options:GeneOnly]&amp;mk=3730331:3730350|offset_59|444444,3730310:3730329|offset_80|444444,3730268:3730287|offset_122|444444,3730248:3730267|offset_142|00cc00&amp;v=3730130:3730467&amp;c=444444", "offset 142")</f>
        <v>offset 142</v>
      </c>
    </row>
    <row r="11841" customFormat="false" ht="12.8" hidden="false" customHeight="false" outlineLevel="0" collapsed="false">
      <c r="A11841" s="0" t="s">
        <v>12</v>
      </c>
      <c r="B11841" s="0" t="n">
        <v>3730587</v>
      </c>
      <c r="C11841" s="0" t="n">
        <v>3730607</v>
      </c>
      <c r="D11841" s="0" t="s">
        <v>39309</v>
      </c>
      <c r="E11841" s="0" t="s">
        <v>75</v>
      </c>
      <c r="F11841" s="0" t="s">
        <v>90</v>
      </c>
      <c r="G11841" s="0" t="s">
        <v>20</v>
      </c>
      <c r="H11841" s="0" t="n">
        <v>23</v>
      </c>
      <c r="I11841" s="0" t="s">
        <v>39310</v>
      </c>
      <c r="J11841" s="0" t="s">
        <v>39311</v>
      </c>
      <c r="K11841" s="0" t="s">
        <v>39312</v>
      </c>
      <c r="L11841" s="0" t="str">
        <f aca="false">HYPERLINK("https://www.ncbi.nlm.nih.gov/nuccore/CP000058.1?report=graph&amp;tracks=[key:gene_model_track,Options:GeneOnly]&amp;mk=3730588:3730607|offset_23|00cc00,3730558:3730577|offset_53|444444&amp;v=3730387:3730777&amp;c=444444", "offset 23")</f>
        <v>offset 23</v>
      </c>
    </row>
    <row r="11842" customFormat="false" ht="12.8" hidden="false" customHeight="false" outlineLevel="0" collapsed="false">
      <c r="A11842" s="0" t="s">
        <v>12</v>
      </c>
      <c r="B11842" s="0" t="n">
        <v>3730557</v>
      </c>
      <c r="C11842" s="0" t="n">
        <v>3730577</v>
      </c>
      <c r="D11842" s="0" t="s">
        <v>39309</v>
      </c>
      <c r="E11842" s="0" t="s">
        <v>75</v>
      </c>
      <c r="F11842" s="0" t="s">
        <v>90</v>
      </c>
      <c r="G11842" s="0" t="s">
        <v>32</v>
      </c>
      <c r="H11842" s="0" t="n">
        <v>53</v>
      </c>
      <c r="I11842" s="0" t="s">
        <v>39313</v>
      </c>
      <c r="J11842" s="0" t="s">
        <v>39314</v>
      </c>
      <c r="K11842" s="0" t="s">
        <v>39315</v>
      </c>
      <c r="L11842" s="0" t="str">
        <f aca="false">HYPERLINK("https://www.ncbi.nlm.nih.gov/nuccore/CP000058.1?report=graph&amp;tracks=[key:gene_model_track,Options:GeneOnly]&amp;mk=3730588:3730607|offset_23|444444,3730558:3730577|offset_53|00cc00&amp;v=3730387:3730777&amp;c=444444", "offset 53")</f>
        <v>offset 53</v>
      </c>
    </row>
    <row r="11843" customFormat="false" ht="12.8" hidden="false" customHeight="false" outlineLevel="0" collapsed="false">
      <c r="A11843" s="0" t="s">
        <v>12</v>
      </c>
      <c r="B11843" s="0" t="n">
        <v>3730897</v>
      </c>
      <c r="C11843" s="0" t="n">
        <v>3730917</v>
      </c>
      <c r="D11843" s="0" t="s">
        <v>39316</v>
      </c>
      <c r="E11843" s="0" t="s">
        <v>75</v>
      </c>
      <c r="F11843" s="0" t="s">
        <v>15</v>
      </c>
      <c r="G11843" s="0" t="s">
        <v>32</v>
      </c>
      <c r="H11843" s="0" t="n">
        <v>38</v>
      </c>
      <c r="I11843" s="0" t="s">
        <v>39317</v>
      </c>
      <c r="J11843" s="0" t="s">
        <v>39318</v>
      </c>
      <c r="K11843" s="0" t="s">
        <v>39319</v>
      </c>
      <c r="L11843" s="0" t="str">
        <f aca="false">HYPERLINK("https://www.ncbi.nlm.nih.gov/nuccore/CP000058.1?report=graph&amp;tracks=[key:gene_model_track,Options:GeneOnly]&amp;mk=3730898:3730917|offset_38|00cc00,3730955:3730974|offset_95|444444,3730984:3731003|offset_124|444444,3731005:3731024|offset_145|444444&amp;v=3730697:3731224&amp;c=444444", "offset 38")</f>
        <v>offset 38</v>
      </c>
    </row>
    <row r="11844" customFormat="false" ht="12.8" hidden="false" customHeight="false" outlineLevel="0" collapsed="false">
      <c r="A11844" s="0" t="s">
        <v>12</v>
      </c>
      <c r="B11844" s="0" t="n">
        <v>3730954</v>
      </c>
      <c r="C11844" s="0" t="n">
        <v>3730974</v>
      </c>
      <c r="D11844" s="0" t="s">
        <v>39316</v>
      </c>
      <c r="E11844" s="0" t="s">
        <v>75</v>
      </c>
      <c r="F11844" s="0" t="s">
        <v>15</v>
      </c>
      <c r="G11844" s="0" t="s">
        <v>20</v>
      </c>
      <c r="H11844" s="0" t="n">
        <v>95</v>
      </c>
      <c r="I11844" s="0" t="s">
        <v>39320</v>
      </c>
      <c r="J11844" s="0" t="s">
        <v>39321</v>
      </c>
      <c r="K11844" s="0" t="s">
        <v>39322</v>
      </c>
      <c r="L11844" s="0" t="str">
        <f aca="false">HYPERLINK("https://www.ncbi.nlm.nih.gov/nuccore/CP000058.1?report=graph&amp;tracks=[key:gene_model_track,Options:GeneOnly]&amp;mk=3730898:3730917|offset_38|444444,3730955:3730974|offset_95|00cc00,3730984:3731003|offset_124|444444,3731005:3731024|offset_145|444444&amp;v=3730697:3731224&amp;c=444444", "offset 95")</f>
        <v>offset 95</v>
      </c>
    </row>
    <row r="11845" customFormat="false" ht="12.8" hidden="false" customHeight="false" outlineLevel="0" collapsed="false">
      <c r="A11845" s="0" t="s">
        <v>12</v>
      </c>
      <c r="B11845" s="0" t="n">
        <v>3730983</v>
      </c>
      <c r="C11845" s="0" t="n">
        <v>3731003</v>
      </c>
      <c r="D11845" s="0" t="s">
        <v>39316</v>
      </c>
      <c r="E11845" s="0" t="s">
        <v>75</v>
      </c>
      <c r="F11845" s="0" t="s">
        <v>15</v>
      </c>
      <c r="G11845" s="0" t="s">
        <v>32</v>
      </c>
      <c r="H11845" s="0" t="n">
        <v>124</v>
      </c>
      <c r="I11845" s="0" t="s">
        <v>39323</v>
      </c>
      <c r="J11845" s="0" t="s">
        <v>39324</v>
      </c>
      <c r="K11845" s="0" t="s">
        <v>39325</v>
      </c>
      <c r="L11845" s="0" t="str">
        <f aca="false">HYPERLINK("https://www.ncbi.nlm.nih.gov/nuccore/CP000058.1?report=graph&amp;tracks=[key:gene_model_track,Options:GeneOnly]&amp;mk=3730898:3730917|offset_38|444444,3730955:3730974|offset_95|444444,3730984:3731003|offset_124|00cc00,3731005:3731024|offset_145|444444&amp;v=3730697:3731224&amp;c=444444", "offset 124")</f>
        <v>offset 124</v>
      </c>
    </row>
    <row r="11846" customFormat="false" ht="12.8" hidden="false" customHeight="false" outlineLevel="0" collapsed="false">
      <c r="A11846" s="0" t="s">
        <v>12</v>
      </c>
      <c r="B11846" s="0" t="n">
        <v>3731004</v>
      </c>
      <c r="C11846" s="0" t="n">
        <v>3731024</v>
      </c>
      <c r="D11846" s="0" t="s">
        <v>39316</v>
      </c>
      <c r="E11846" s="0" t="s">
        <v>75</v>
      </c>
      <c r="F11846" s="0" t="s">
        <v>15</v>
      </c>
      <c r="G11846" s="0" t="s">
        <v>36</v>
      </c>
      <c r="H11846" s="0" t="n">
        <v>145</v>
      </c>
      <c r="I11846" s="0" t="s">
        <v>39326</v>
      </c>
      <c r="J11846" s="0" t="s">
        <v>39327</v>
      </c>
      <c r="K11846" s="0" t="s">
        <v>39328</v>
      </c>
      <c r="L11846" s="0" t="str">
        <f aca="false">HYPERLINK("https://www.ncbi.nlm.nih.gov/nuccore/CP000058.1?report=graph&amp;tracks=[key:gene_model_track,Options:GeneOnly]&amp;mk=3730898:3730917|offset_38|444444,3730955:3730974|offset_95|444444,3730984:3731003|offset_124|444444,3731005:3731024|offset_145|00cc00&amp;v=3730697:3731224&amp;c=444444", "offset 145")</f>
        <v>offset 145</v>
      </c>
    </row>
    <row r="11847" customFormat="false" ht="12.8" hidden="false" customHeight="false" outlineLevel="0" collapsed="false">
      <c r="A11847" s="0" t="s">
        <v>12</v>
      </c>
      <c r="B11847" s="0" t="n">
        <v>3731455</v>
      </c>
      <c r="C11847" s="0" t="n">
        <v>3731475</v>
      </c>
      <c r="D11847" s="0" t="s">
        <v>39329</v>
      </c>
      <c r="E11847" s="0" t="s">
        <v>75</v>
      </c>
      <c r="F11847" s="0" t="s">
        <v>15</v>
      </c>
      <c r="G11847" s="0" t="s">
        <v>20</v>
      </c>
      <c r="H11847" s="0" t="n">
        <v>7</v>
      </c>
      <c r="I11847" s="0" t="s">
        <v>39330</v>
      </c>
      <c r="J11847" s="0" t="s">
        <v>39331</v>
      </c>
      <c r="K11847" s="0" t="s">
        <v>39332</v>
      </c>
      <c r="L11847" s="0" t="str">
        <f aca="false">HYPERLINK("https://www.ncbi.nlm.nih.gov/nuccore/CP000058.1?report=graph&amp;tracks=[key:gene_model_track,Options:GeneOnly]&amp;mk=3731456:3731475|offset_7|00cc00,3731481:3731500|offset_32|444444,3731527:3731546|offset_78|444444,3731577:3731596|offset_128|444444&amp;v=3731255:3731796&amp;c=444444", "offset 7")</f>
        <v>offset 7</v>
      </c>
    </row>
    <row r="11848" customFormat="false" ht="12.8" hidden="false" customHeight="false" outlineLevel="0" collapsed="false">
      <c r="A11848" s="0" t="s">
        <v>12</v>
      </c>
      <c r="B11848" s="0" t="n">
        <v>3731480</v>
      </c>
      <c r="C11848" s="0" t="n">
        <v>3731500</v>
      </c>
      <c r="D11848" s="0" t="s">
        <v>39329</v>
      </c>
      <c r="E11848" s="0" t="s">
        <v>75</v>
      </c>
      <c r="F11848" s="0" t="s">
        <v>15</v>
      </c>
      <c r="G11848" s="0" t="s">
        <v>32</v>
      </c>
      <c r="H11848" s="0" t="n">
        <v>32</v>
      </c>
      <c r="I11848" s="0" t="s">
        <v>39333</v>
      </c>
      <c r="J11848" s="0" t="s">
        <v>39334</v>
      </c>
      <c r="K11848" s="0" t="s">
        <v>39335</v>
      </c>
      <c r="L11848" s="0" t="str">
        <f aca="false">HYPERLINK("https://www.ncbi.nlm.nih.gov/nuccore/CP000058.1?report=graph&amp;tracks=[key:gene_model_track,Options:GeneOnly]&amp;mk=3731456:3731475|offset_7|444444,3731481:3731500|offset_32|00cc00,3731527:3731546|offset_78|444444,3731577:3731596|offset_128|444444&amp;v=3731255:3731796&amp;c=444444", "offset 32")</f>
        <v>offset 32</v>
      </c>
    </row>
    <row r="11849" customFormat="false" ht="12.8" hidden="false" customHeight="false" outlineLevel="0" collapsed="false">
      <c r="A11849" s="0" t="s">
        <v>12</v>
      </c>
      <c r="B11849" s="0" t="n">
        <v>3731526</v>
      </c>
      <c r="C11849" s="0" t="n">
        <v>3731546</v>
      </c>
      <c r="D11849" s="0" t="s">
        <v>39329</v>
      </c>
      <c r="E11849" s="0" t="s">
        <v>75</v>
      </c>
      <c r="F11849" s="0" t="s">
        <v>15</v>
      </c>
      <c r="G11849" s="0" t="s">
        <v>16</v>
      </c>
      <c r="H11849" s="0" t="n">
        <v>78</v>
      </c>
      <c r="I11849" s="0" t="s">
        <v>39336</v>
      </c>
      <c r="J11849" s="0" t="s">
        <v>39337</v>
      </c>
      <c r="K11849" s="0" t="s">
        <v>39338</v>
      </c>
      <c r="L11849" s="0" t="str">
        <f aca="false">HYPERLINK("https://www.ncbi.nlm.nih.gov/nuccore/CP000058.1?report=graph&amp;tracks=[key:gene_model_track,Options:GeneOnly]&amp;mk=3731456:3731475|offset_7|444444,3731481:3731500|offset_32|444444,3731527:3731546|offset_78|00cc00,3731577:3731596|offset_128|444444&amp;v=3731255:3731796&amp;c=444444", "offset 78")</f>
        <v>offset 78</v>
      </c>
    </row>
    <row r="11850" customFormat="false" ht="12.8" hidden="false" customHeight="false" outlineLevel="0" collapsed="false">
      <c r="A11850" s="0" t="s">
        <v>12</v>
      </c>
      <c r="B11850" s="0" t="n">
        <v>3731576</v>
      </c>
      <c r="C11850" s="0" t="n">
        <v>3731596</v>
      </c>
      <c r="D11850" s="0" t="s">
        <v>39329</v>
      </c>
      <c r="E11850" s="0" t="s">
        <v>75</v>
      </c>
      <c r="F11850" s="0" t="s">
        <v>15</v>
      </c>
      <c r="G11850" s="0" t="s">
        <v>20</v>
      </c>
      <c r="H11850" s="0" t="n">
        <v>128</v>
      </c>
      <c r="I11850" s="0" t="s">
        <v>39339</v>
      </c>
      <c r="J11850" s="0" t="s">
        <v>39340</v>
      </c>
      <c r="K11850" s="0" t="s">
        <v>39341</v>
      </c>
      <c r="L11850" s="0" t="str">
        <f aca="false">HYPERLINK("https://www.ncbi.nlm.nih.gov/nuccore/CP000058.1?report=graph&amp;tracks=[key:gene_model_track,Options:GeneOnly]&amp;mk=3731456:3731475|offset_7|444444,3731481:3731500|offset_32|444444,3731527:3731546|offset_78|444444,3731577:3731596|offset_128|00cc00&amp;v=3731255:3731796&amp;c=444444", "offset 128")</f>
        <v>offset 128</v>
      </c>
    </row>
    <row r="11851" customFormat="false" ht="12.8" hidden="false" customHeight="false" outlineLevel="0" collapsed="false">
      <c r="A11851" s="0" t="s">
        <v>12</v>
      </c>
      <c r="B11851" s="0" t="n">
        <v>3732922</v>
      </c>
      <c r="C11851" s="0" t="n">
        <v>3732942</v>
      </c>
      <c r="D11851" s="0" t="s">
        <v>39342</v>
      </c>
      <c r="E11851" s="0" t="s">
        <v>75</v>
      </c>
      <c r="F11851" s="0" t="s">
        <v>90</v>
      </c>
      <c r="G11851" s="0" t="s">
        <v>16</v>
      </c>
      <c r="H11851" s="0" t="n">
        <v>70</v>
      </c>
      <c r="I11851" s="0" t="s">
        <v>39343</v>
      </c>
      <c r="J11851" s="0" t="s">
        <v>39344</v>
      </c>
      <c r="K11851" s="0" t="s">
        <v>39345</v>
      </c>
      <c r="L11851" s="0" t="str">
        <f aca="false">HYPERLINK("https://www.ncbi.nlm.nih.gov/nuccore/CP000058.1?report=graph&amp;tracks=[key:gene_model_track,Options:GeneOnly]&amp;mk=3732923:3732942|offset_70|00cc00,3732857:3732876|offset_136|444444,3732830:3732849|offset_163|444444,3732788:3732807|offset_205|444444&amp;v=3732722:3733007&amp;c=444444", "offset 70")</f>
        <v>offset 70</v>
      </c>
    </row>
    <row r="11852" customFormat="false" ht="12.8" hidden="false" customHeight="false" outlineLevel="0" collapsed="false">
      <c r="A11852" s="0" t="s">
        <v>12</v>
      </c>
      <c r="B11852" s="0" t="n">
        <v>3732856</v>
      </c>
      <c r="C11852" s="0" t="n">
        <v>3732876</v>
      </c>
      <c r="D11852" s="0" t="s">
        <v>39342</v>
      </c>
      <c r="E11852" s="0" t="s">
        <v>75</v>
      </c>
      <c r="F11852" s="0" t="s">
        <v>90</v>
      </c>
      <c r="G11852" s="0" t="s">
        <v>36</v>
      </c>
      <c r="H11852" s="0" t="n">
        <v>136</v>
      </c>
      <c r="I11852" s="0" t="s">
        <v>39346</v>
      </c>
      <c r="J11852" s="0" t="s">
        <v>39347</v>
      </c>
      <c r="K11852" s="0" t="s">
        <v>39348</v>
      </c>
      <c r="L11852" s="0" t="str">
        <f aca="false">HYPERLINK("https://www.ncbi.nlm.nih.gov/nuccore/CP000058.1?report=graph&amp;tracks=[key:gene_model_track,Options:GeneOnly]&amp;mk=3732923:3732942|offset_70|444444,3732857:3732876|offset_136|00cc00,3732830:3732849|offset_163|444444,3732788:3732807|offset_205|444444&amp;v=3732722:3733007&amp;c=444444", "offset 136")</f>
        <v>offset 136</v>
      </c>
    </row>
    <row r="11853" customFormat="false" ht="12.8" hidden="false" customHeight="false" outlineLevel="0" collapsed="false">
      <c r="A11853" s="0" t="s">
        <v>12</v>
      </c>
      <c r="B11853" s="0" t="n">
        <v>3732829</v>
      </c>
      <c r="C11853" s="0" t="n">
        <v>3732849</v>
      </c>
      <c r="D11853" s="0" t="s">
        <v>39342</v>
      </c>
      <c r="E11853" s="0" t="s">
        <v>75</v>
      </c>
      <c r="F11853" s="0" t="s">
        <v>90</v>
      </c>
      <c r="G11853" s="0" t="s">
        <v>16</v>
      </c>
      <c r="H11853" s="0" t="n">
        <v>163</v>
      </c>
      <c r="I11853" s="0" t="s">
        <v>39349</v>
      </c>
      <c r="J11853" s="0" t="s">
        <v>39350</v>
      </c>
      <c r="K11853" s="0" t="s">
        <v>39351</v>
      </c>
      <c r="L11853" s="0" t="str">
        <f aca="false">HYPERLINK("https://www.ncbi.nlm.nih.gov/nuccore/CP000058.1?report=graph&amp;tracks=[key:gene_model_track,Options:GeneOnly]&amp;mk=3732923:3732942|offset_70|444444,3732857:3732876|offset_136|444444,3732830:3732849|offset_163|00cc00,3732788:3732807|offset_205|444444&amp;v=3732722:3733007&amp;c=444444", "offset 163")</f>
        <v>offset 163</v>
      </c>
    </row>
    <row r="11854" customFormat="false" ht="12.8" hidden="false" customHeight="false" outlineLevel="0" collapsed="false">
      <c r="A11854" s="0" t="s">
        <v>12</v>
      </c>
      <c r="B11854" s="0" t="n">
        <v>3732787</v>
      </c>
      <c r="C11854" s="0" t="n">
        <v>3732807</v>
      </c>
      <c r="D11854" s="0" t="s">
        <v>39342</v>
      </c>
      <c r="E11854" s="0" t="s">
        <v>75</v>
      </c>
      <c r="F11854" s="0" t="s">
        <v>90</v>
      </c>
      <c r="G11854" s="0" t="s">
        <v>20</v>
      </c>
      <c r="H11854" s="0" t="n">
        <v>205</v>
      </c>
      <c r="I11854" s="0" t="s">
        <v>39352</v>
      </c>
      <c r="J11854" s="0" t="s">
        <v>39353</v>
      </c>
      <c r="K11854" s="0" t="s">
        <v>39354</v>
      </c>
      <c r="L11854" s="0" t="str">
        <f aca="false">HYPERLINK("https://www.ncbi.nlm.nih.gov/nuccore/CP000058.1?report=graph&amp;tracks=[key:gene_model_track,Options:GeneOnly]&amp;mk=3732923:3732942|offset_70|444444,3732857:3732876|offset_136|444444,3732830:3732849|offset_163|444444,3732788:3732807|offset_205|00cc00&amp;v=3732722:3733007&amp;c=444444", "offset 205")</f>
        <v>offset 205</v>
      </c>
    </row>
    <row r="11855" customFormat="false" ht="12.8" hidden="false" customHeight="false" outlineLevel="0" collapsed="false">
      <c r="A11855" s="0" t="s">
        <v>12</v>
      </c>
      <c r="B11855" s="0" t="n">
        <v>3733549</v>
      </c>
      <c r="C11855" s="0" t="n">
        <v>3733569</v>
      </c>
      <c r="D11855" s="0" t="s">
        <v>39355</v>
      </c>
      <c r="E11855" s="0" t="s">
        <v>75</v>
      </c>
      <c r="F11855" s="0" t="s">
        <v>15</v>
      </c>
      <c r="G11855" s="0" t="s">
        <v>16</v>
      </c>
      <c r="H11855" s="0" t="n">
        <v>15</v>
      </c>
      <c r="I11855" s="0" t="s">
        <v>39356</v>
      </c>
      <c r="J11855" s="0" t="s">
        <v>39357</v>
      </c>
      <c r="K11855" s="0" t="s">
        <v>39358</v>
      </c>
      <c r="L11855" s="0" t="str">
        <f aca="false">HYPERLINK("https://www.ncbi.nlm.nih.gov/nuccore/CP000058.1?report=graph&amp;tracks=[key:gene_model_track,Options:GeneOnly]&amp;mk=3733550:3733569|offset_15|00cc00,3733572:3733591|offset_37|444444,3733617:3733636|offset_82|444444,3733640:3733659|offset_105|444444&amp;v=3733349:3733859&amp;c=444444", "offset 15")</f>
        <v>offset 15</v>
      </c>
    </row>
    <row r="11856" customFormat="false" ht="12.8" hidden="false" customHeight="false" outlineLevel="0" collapsed="false">
      <c r="A11856" s="0" t="s">
        <v>12</v>
      </c>
      <c r="B11856" s="0" t="n">
        <v>3733571</v>
      </c>
      <c r="C11856" s="0" t="n">
        <v>3733591</v>
      </c>
      <c r="D11856" s="0" t="s">
        <v>39355</v>
      </c>
      <c r="E11856" s="0" t="s">
        <v>75</v>
      </c>
      <c r="F11856" s="0" t="s">
        <v>15</v>
      </c>
      <c r="G11856" s="0" t="s">
        <v>36</v>
      </c>
      <c r="H11856" s="0" t="n">
        <v>37</v>
      </c>
      <c r="I11856" s="0" t="s">
        <v>39359</v>
      </c>
      <c r="J11856" s="0" t="s">
        <v>39360</v>
      </c>
      <c r="K11856" s="0" t="s">
        <v>39361</v>
      </c>
      <c r="L11856" s="0" t="str">
        <f aca="false">HYPERLINK("https://www.ncbi.nlm.nih.gov/nuccore/CP000058.1?report=graph&amp;tracks=[key:gene_model_track,Options:GeneOnly]&amp;mk=3733550:3733569|offset_15|444444,3733572:3733591|offset_37|00cc00,3733617:3733636|offset_82|444444,3733640:3733659|offset_105|444444&amp;v=3733349:3733859&amp;c=444444", "offset 37")</f>
        <v>offset 37</v>
      </c>
    </row>
    <row r="11857" customFormat="false" ht="12.8" hidden="false" customHeight="false" outlineLevel="0" collapsed="false">
      <c r="A11857" s="0" t="s">
        <v>12</v>
      </c>
      <c r="B11857" s="0" t="n">
        <v>3733616</v>
      </c>
      <c r="C11857" s="0" t="n">
        <v>3733636</v>
      </c>
      <c r="D11857" s="0" t="s">
        <v>39355</v>
      </c>
      <c r="E11857" s="0" t="s">
        <v>75</v>
      </c>
      <c r="F11857" s="0" t="s">
        <v>15</v>
      </c>
      <c r="G11857" s="0" t="s">
        <v>36</v>
      </c>
      <c r="H11857" s="0" t="n">
        <v>82</v>
      </c>
      <c r="I11857" s="0" t="s">
        <v>39362</v>
      </c>
      <c r="J11857" s="0" t="s">
        <v>39363</v>
      </c>
      <c r="K11857" s="0" t="s">
        <v>39364</v>
      </c>
      <c r="L11857" s="0" t="str">
        <f aca="false">HYPERLINK("https://www.ncbi.nlm.nih.gov/nuccore/CP000058.1?report=graph&amp;tracks=[key:gene_model_track,Options:GeneOnly]&amp;mk=3733550:3733569|offset_15|444444,3733572:3733591|offset_37|444444,3733617:3733636|offset_82|00cc00,3733640:3733659|offset_105|444444&amp;v=3733349:3733859&amp;c=444444", "offset 82")</f>
        <v>offset 82</v>
      </c>
    </row>
    <row r="11858" customFormat="false" ht="12.8" hidden="false" customHeight="false" outlineLevel="0" collapsed="false">
      <c r="A11858" s="0" t="s">
        <v>12</v>
      </c>
      <c r="B11858" s="0" t="n">
        <v>3733639</v>
      </c>
      <c r="C11858" s="0" t="n">
        <v>3733659</v>
      </c>
      <c r="D11858" s="0" t="s">
        <v>39355</v>
      </c>
      <c r="E11858" s="0" t="s">
        <v>75</v>
      </c>
      <c r="F11858" s="0" t="s">
        <v>15</v>
      </c>
      <c r="G11858" s="0" t="s">
        <v>36</v>
      </c>
      <c r="H11858" s="0" t="n">
        <v>105</v>
      </c>
      <c r="I11858" s="0" t="s">
        <v>39365</v>
      </c>
      <c r="J11858" s="0" t="s">
        <v>39366</v>
      </c>
      <c r="K11858" s="0" t="s">
        <v>39367</v>
      </c>
      <c r="L11858" s="0" t="str">
        <f aca="false">HYPERLINK("https://www.ncbi.nlm.nih.gov/nuccore/CP000058.1?report=graph&amp;tracks=[key:gene_model_track,Options:GeneOnly]&amp;mk=3733550:3733569|offset_15|444444,3733572:3733591|offset_37|444444,3733617:3733636|offset_82|444444,3733640:3733659|offset_105|00cc00&amp;v=3733349:3733859&amp;c=444444", "offset 105")</f>
        <v>offset 105</v>
      </c>
    </row>
    <row r="11859" customFormat="false" ht="12.8" hidden="false" customHeight="false" outlineLevel="0" collapsed="false">
      <c r="A11859" s="0" t="s">
        <v>12</v>
      </c>
      <c r="B11859" s="0" t="n">
        <v>3734988</v>
      </c>
      <c r="C11859" s="0" t="n">
        <v>3735008</v>
      </c>
      <c r="D11859" s="0" t="s">
        <v>39368</v>
      </c>
      <c r="E11859" s="0" t="s">
        <v>75</v>
      </c>
      <c r="F11859" s="0" t="s">
        <v>15</v>
      </c>
      <c r="G11859" s="0" t="s">
        <v>36</v>
      </c>
      <c r="H11859" s="0" t="n">
        <v>18</v>
      </c>
      <c r="I11859" s="0" t="s">
        <v>39369</v>
      </c>
      <c r="J11859" s="0" t="s">
        <v>39370</v>
      </c>
      <c r="K11859" s="0" t="s">
        <v>39371</v>
      </c>
      <c r="L11859" s="0" t="str">
        <f aca="false">HYPERLINK("https://www.ncbi.nlm.nih.gov/nuccore/CP000058.1?report=graph&amp;tracks=[key:gene_model_track,Options:GeneOnly]&amp;mk=3734989:3735008|offset_18|00cc00,3735011:3735030|offset_40|444444,3735044:3735063|offset_73|444444,3735066:3735085|offset_95|444444&amp;v=3734788:3735285&amp;c=444444", "offset 18")</f>
        <v>offset 18</v>
      </c>
    </row>
    <row r="11860" customFormat="false" ht="12.8" hidden="false" customHeight="false" outlineLevel="0" collapsed="false">
      <c r="A11860" s="0" t="s">
        <v>12</v>
      </c>
      <c r="B11860" s="0" t="n">
        <v>3735010</v>
      </c>
      <c r="C11860" s="0" t="n">
        <v>3735030</v>
      </c>
      <c r="D11860" s="0" t="s">
        <v>39368</v>
      </c>
      <c r="E11860" s="0" t="s">
        <v>75</v>
      </c>
      <c r="F11860" s="0" t="s">
        <v>15</v>
      </c>
      <c r="G11860" s="0" t="s">
        <v>16</v>
      </c>
      <c r="H11860" s="0" t="n">
        <v>40</v>
      </c>
      <c r="I11860" s="0" t="s">
        <v>39372</v>
      </c>
      <c r="J11860" s="0" t="s">
        <v>39373</v>
      </c>
      <c r="K11860" s="0" t="s">
        <v>39374</v>
      </c>
      <c r="L11860" s="0" t="str">
        <f aca="false">HYPERLINK("https://www.ncbi.nlm.nih.gov/nuccore/CP000058.1?report=graph&amp;tracks=[key:gene_model_track,Options:GeneOnly]&amp;mk=3734989:3735008|offset_18|444444,3735011:3735030|offset_40|00cc00,3735044:3735063|offset_73|444444,3735066:3735085|offset_95|444444&amp;v=3734788:3735285&amp;c=444444", "offset 40")</f>
        <v>offset 40</v>
      </c>
    </row>
    <row r="11861" customFormat="false" ht="12.8" hidden="false" customHeight="false" outlineLevel="0" collapsed="false">
      <c r="A11861" s="0" t="s">
        <v>12</v>
      </c>
      <c r="B11861" s="0" t="n">
        <v>3735043</v>
      </c>
      <c r="C11861" s="0" t="n">
        <v>3735063</v>
      </c>
      <c r="D11861" s="0" t="s">
        <v>39368</v>
      </c>
      <c r="E11861" s="0" t="s">
        <v>75</v>
      </c>
      <c r="F11861" s="0" t="s">
        <v>15</v>
      </c>
      <c r="G11861" s="0" t="s">
        <v>32</v>
      </c>
      <c r="H11861" s="0" t="n">
        <v>73</v>
      </c>
      <c r="I11861" s="0" t="s">
        <v>39375</v>
      </c>
      <c r="J11861" s="0" t="s">
        <v>39376</v>
      </c>
      <c r="K11861" s="0" t="s">
        <v>39377</v>
      </c>
      <c r="L11861" s="0" t="str">
        <f aca="false">HYPERLINK("https://www.ncbi.nlm.nih.gov/nuccore/CP000058.1?report=graph&amp;tracks=[key:gene_model_track,Options:GeneOnly]&amp;mk=3734989:3735008|offset_18|444444,3735011:3735030|offset_40|444444,3735044:3735063|offset_73|00cc00,3735066:3735085|offset_95|444444&amp;v=3734788:3735285&amp;c=444444", "offset 73")</f>
        <v>offset 73</v>
      </c>
    </row>
    <row r="11862" customFormat="false" ht="12.8" hidden="false" customHeight="false" outlineLevel="0" collapsed="false">
      <c r="A11862" s="0" t="s">
        <v>12</v>
      </c>
      <c r="B11862" s="0" t="n">
        <v>3735065</v>
      </c>
      <c r="C11862" s="0" t="n">
        <v>3735085</v>
      </c>
      <c r="D11862" s="0" t="s">
        <v>39368</v>
      </c>
      <c r="E11862" s="0" t="s">
        <v>75</v>
      </c>
      <c r="F11862" s="0" t="s">
        <v>15</v>
      </c>
      <c r="G11862" s="0" t="s">
        <v>20</v>
      </c>
      <c r="H11862" s="0" t="n">
        <v>95</v>
      </c>
      <c r="I11862" s="0" t="s">
        <v>39378</v>
      </c>
      <c r="J11862" s="0" t="s">
        <v>39379</v>
      </c>
      <c r="K11862" s="0" t="s">
        <v>39380</v>
      </c>
      <c r="L11862" s="0" t="str">
        <f aca="false">HYPERLINK("https://www.ncbi.nlm.nih.gov/nuccore/CP000058.1?report=graph&amp;tracks=[key:gene_model_track,Options:GeneOnly]&amp;mk=3734989:3735008|offset_18|444444,3735011:3735030|offset_40|444444,3735044:3735063|offset_73|444444,3735066:3735085|offset_95|00cc00&amp;v=3734788:3735285&amp;c=444444", "offset 95")</f>
        <v>offset 95</v>
      </c>
    </row>
    <row r="11863" customFormat="false" ht="12.8" hidden="false" customHeight="false" outlineLevel="0" collapsed="false">
      <c r="A11863" s="0" t="s">
        <v>12</v>
      </c>
      <c r="B11863" s="0" t="n">
        <v>3736559</v>
      </c>
      <c r="C11863" s="0" t="n">
        <v>3736579</v>
      </c>
      <c r="D11863" s="0" t="s">
        <v>39381</v>
      </c>
      <c r="E11863" s="0" t="s">
        <v>75</v>
      </c>
      <c r="F11863" s="0" t="s">
        <v>15</v>
      </c>
      <c r="G11863" s="0" t="s">
        <v>32</v>
      </c>
      <c r="H11863" s="0" t="n">
        <v>0</v>
      </c>
      <c r="I11863" s="0" t="s">
        <v>39382</v>
      </c>
      <c r="J11863" s="0" t="s">
        <v>39383</v>
      </c>
      <c r="K11863" s="0" t="s">
        <v>39384</v>
      </c>
      <c r="L11863" s="0" t="str">
        <f aca="false">HYPERLINK("https://www.ncbi.nlm.nih.gov/nuccore/CP000058.1?report=graph&amp;tracks=[key:gene_model_track,Options:GeneOnly]&amp;mk=3736560:3736579|offset_0|00cc00,3736617:3736636|offset_57|444444,3736643:3736662|offset_83|444444,3736695:3736714|offset_135|444444&amp;v=3736359:3736914&amp;c=444444", "offset 0")</f>
        <v>offset 0</v>
      </c>
    </row>
    <row r="11864" customFormat="false" ht="12.8" hidden="false" customHeight="false" outlineLevel="0" collapsed="false">
      <c r="A11864" s="0" t="s">
        <v>12</v>
      </c>
      <c r="B11864" s="0" t="n">
        <v>3736616</v>
      </c>
      <c r="C11864" s="0" t="n">
        <v>3736636</v>
      </c>
      <c r="D11864" s="0" t="s">
        <v>39381</v>
      </c>
      <c r="E11864" s="0" t="s">
        <v>75</v>
      </c>
      <c r="F11864" s="0" t="s">
        <v>15</v>
      </c>
      <c r="G11864" s="0" t="s">
        <v>16</v>
      </c>
      <c r="H11864" s="0" t="n">
        <v>57</v>
      </c>
      <c r="I11864" s="0" t="s">
        <v>39385</v>
      </c>
      <c r="J11864" s="0" t="s">
        <v>39386</v>
      </c>
      <c r="K11864" s="0" t="s">
        <v>39387</v>
      </c>
      <c r="L11864" s="0" t="str">
        <f aca="false">HYPERLINK("https://www.ncbi.nlm.nih.gov/nuccore/CP000058.1?report=graph&amp;tracks=[key:gene_model_track,Options:GeneOnly]&amp;mk=3736560:3736579|offset_0|444444,3736617:3736636|offset_57|00cc00,3736643:3736662|offset_83|444444,3736695:3736714|offset_135|444444&amp;v=3736359:3736914&amp;c=444444", "offset 57")</f>
        <v>offset 57</v>
      </c>
    </row>
    <row r="11865" customFormat="false" ht="12.8" hidden="false" customHeight="false" outlineLevel="0" collapsed="false">
      <c r="A11865" s="0" t="s">
        <v>12</v>
      </c>
      <c r="B11865" s="0" t="n">
        <v>3736642</v>
      </c>
      <c r="C11865" s="0" t="n">
        <v>3736662</v>
      </c>
      <c r="D11865" s="0" t="s">
        <v>39381</v>
      </c>
      <c r="E11865" s="0" t="s">
        <v>75</v>
      </c>
      <c r="F11865" s="0" t="s">
        <v>15</v>
      </c>
      <c r="G11865" s="0" t="s">
        <v>16</v>
      </c>
      <c r="H11865" s="0" t="n">
        <v>83</v>
      </c>
      <c r="I11865" s="0" t="s">
        <v>39388</v>
      </c>
      <c r="J11865" s="0" t="s">
        <v>39389</v>
      </c>
      <c r="K11865" s="0" t="s">
        <v>39390</v>
      </c>
      <c r="L11865" s="0" t="str">
        <f aca="false">HYPERLINK("https://www.ncbi.nlm.nih.gov/nuccore/CP000058.1?report=graph&amp;tracks=[key:gene_model_track,Options:GeneOnly]&amp;mk=3736560:3736579|offset_0|444444,3736617:3736636|offset_57|444444,3736643:3736662|offset_83|00cc00,3736695:3736714|offset_135|444444&amp;v=3736359:3736914&amp;c=444444", "offset 83")</f>
        <v>offset 83</v>
      </c>
    </row>
    <row r="11866" customFormat="false" ht="12.8" hidden="false" customHeight="false" outlineLevel="0" collapsed="false">
      <c r="A11866" s="0" t="s">
        <v>12</v>
      </c>
      <c r="B11866" s="0" t="n">
        <v>3736694</v>
      </c>
      <c r="C11866" s="0" t="n">
        <v>3736714</v>
      </c>
      <c r="D11866" s="0" t="s">
        <v>39381</v>
      </c>
      <c r="E11866" s="0" t="s">
        <v>75</v>
      </c>
      <c r="F11866" s="0" t="s">
        <v>15</v>
      </c>
      <c r="G11866" s="0" t="s">
        <v>16</v>
      </c>
      <c r="H11866" s="0" t="n">
        <v>135</v>
      </c>
      <c r="I11866" s="0" t="s">
        <v>39391</v>
      </c>
      <c r="J11866" s="0" t="s">
        <v>39392</v>
      </c>
      <c r="K11866" s="0" t="s">
        <v>39393</v>
      </c>
      <c r="L11866" s="0" t="str">
        <f aca="false">HYPERLINK("https://www.ncbi.nlm.nih.gov/nuccore/CP000058.1?report=graph&amp;tracks=[key:gene_model_track,Options:GeneOnly]&amp;mk=3736560:3736579|offset_0|444444,3736617:3736636|offset_57|444444,3736643:3736662|offset_83|444444,3736695:3736714|offset_135|00cc00&amp;v=3736359:3736914&amp;c=444444", "offset 135")</f>
        <v>offset 135</v>
      </c>
    </row>
    <row r="11867" customFormat="false" ht="12.8" hidden="false" customHeight="false" outlineLevel="0" collapsed="false">
      <c r="A11867" s="0" t="s">
        <v>12</v>
      </c>
      <c r="B11867" s="0" t="n">
        <v>3737370</v>
      </c>
      <c r="C11867" s="0" t="n">
        <v>3737390</v>
      </c>
      <c r="D11867" s="0" t="s">
        <v>39394</v>
      </c>
      <c r="E11867" s="0" t="s">
        <v>75</v>
      </c>
      <c r="F11867" s="0" t="s">
        <v>15</v>
      </c>
      <c r="G11867" s="0" t="s">
        <v>16</v>
      </c>
      <c r="H11867" s="0" t="n">
        <v>14</v>
      </c>
      <c r="I11867" s="0" t="s">
        <v>39395</v>
      </c>
      <c r="J11867" s="0" t="s">
        <v>39396</v>
      </c>
      <c r="K11867" s="0" t="s">
        <v>39397</v>
      </c>
      <c r="L11867" s="0" t="str">
        <f aca="false">HYPERLINK("https://www.ncbi.nlm.nih.gov/nuccore/CP000058.1?report=graph&amp;tracks=[key:gene_model_track,Options:GeneOnly]&amp;mk=3737371:3737390|offset_14|00cc00,3737395:3737414|offset_38|444444,3737430:3737449|offset_73|444444,3737455:3737474|offset_98|444444&amp;v=3737170:3737674&amp;c=444444", "offset 14")</f>
        <v>offset 14</v>
      </c>
    </row>
    <row r="11868" customFormat="false" ht="12.8" hidden="false" customHeight="false" outlineLevel="0" collapsed="false">
      <c r="A11868" s="0" t="s">
        <v>12</v>
      </c>
      <c r="B11868" s="0" t="n">
        <v>3737394</v>
      </c>
      <c r="C11868" s="0" t="n">
        <v>3737414</v>
      </c>
      <c r="D11868" s="0" t="s">
        <v>39394</v>
      </c>
      <c r="E11868" s="0" t="s">
        <v>75</v>
      </c>
      <c r="F11868" s="0" t="s">
        <v>15</v>
      </c>
      <c r="G11868" s="0" t="s">
        <v>20</v>
      </c>
      <c r="H11868" s="0" t="n">
        <v>38</v>
      </c>
      <c r="I11868" s="0" t="s">
        <v>39398</v>
      </c>
      <c r="J11868" s="0" t="s">
        <v>39399</v>
      </c>
      <c r="K11868" s="0" t="s">
        <v>39400</v>
      </c>
      <c r="L11868" s="0" t="str">
        <f aca="false">HYPERLINK("https://www.ncbi.nlm.nih.gov/nuccore/CP000058.1?report=graph&amp;tracks=[key:gene_model_track,Options:GeneOnly]&amp;mk=3737371:3737390|offset_14|444444,3737395:3737414|offset_38|00cc00,3737430:3737449|offset_73|444444,3737455:3737474|offset_98|444444&amp;v=3737170:3737674&amp;c=444444", "offset 38")</f>
        <v>offset 38</v>
      </c>
    </row>
    <row r="11869" customFormat="false" ht="12.8" hidden="false" customHeight="false" outlineLevel="0" collapsed="false">
      <c r="A11869" s="0" t="s">
        <v>12</v>
      </c>
      <c r="B11869" s="0" t="n">
        <v>3737429</v>
      </c>
      <c r="C11869" s="0" t="n">
        <v>3737449</v>
      </c>
      <c r="D11869" s="0" t="s">
        <v>39394</v>
      </c>
      <c r="E11869" s="0" t="s">
        <v>75</v>
      </c>
      <c r="F11869" s="0" t="s">
        <v>15</v>
      </c>
      <c r="G11869" s="0" t="s">
        <v>16</v>
      </c>
      <c r="H11869" s="0" t="n">
        <v>73</v>
      </c>
      <c r="I11869" s="0" t="s">
        <v>39401</v>
      </c>
      <c r="J11869" s="0" t="s">
        <v>39402</v>
      </c>
      <c r="K11869" s="0" t="s">
        <v>39403</v>
      </c>
      <c r="L11869" s="0" t="str">
        <f aca="false">HYPERLINK("https://www.ncbi.nlm.nih.gov/nuccore/CP000058.1?report=graph&amp;tracks=[key:gene_model_track,Options:GeneOnly]&amp;mk=3737371:3737390|offset_14|444444,3737395:3737414|offset_38|444444,3737430:3737449|offset_73|00cc00,3737455:3737474|offset_98|444444&amp;v=3737170:3737674&amp;c=444444", "offset 73")</f>
        <v>offset 73</v>
      </c>
    </row>
    <row r="11870" customFormat="false" ht="12.8" hidden="false" customHeight="false" outlineLevel="0" collapsed="false">
      <c r="A11870" s="0" t="s">
        <v>12</v>
      </c>
      <c r="B11870" s="0" t="n">
        <v>3737454</v>
      </c>
      <c r="C11870" s="0" t="n">
        <v>3737474</v>
      </c>
      <c r="D11870" s="0" t="s">
        <v>39394</v>
      </c>
      <c r="E11870" s="0" t="s">
        <v>75</v>
      </c>
      <c r="F11870" s="0" t="s">
        <v>15</v>
      </c>
      <c r="G11870" s="0" t="s">
        <v>20</v>
      </c>
      <c r="H11870" s="0" t="n">
        <v>98</v>
      </c>
      <c r="I11870" s="0" t="s">
        <v>39404</v>
      </c>
      <c r="J11870" s="0" t="s">
        <v>39405</v>
      </c>
      <c r="K11870" s="0" t="s">
        <v>39406</v>
      </c>
      <c r="L11870" s="0" t="str">
        <f aca="false">HYPERLINK("https://www.ncbi.nlm.nih.gov/nuccore/CP000058.1?report=graph&amp;tracks=[key:gene_model_track,Options:GeneOnly]&amp;mk=3737371:3737390|offset_14|444444,3737395:3737414|offset_38|444444,3737430:3737449|offset_73|444444,3737455:3737474|offset_98|00cc00&amp;v=3737170:3737674&amp;c=444444", "offset 98")</f>
        <v>offset 98</v>
      </c>
    </row>
    <row r="11871" customFormat="false" ht="12.8" hidden="false" customHeight="false" outlineLevel="0" collapsed="false">
      <c r="A11871" s="0" t="s">
        <v>12</v>
      </c>
      <c r="B11871" s="0" t="n">
        <v>3739360</v>
      </c>
      <c r="C11871" s="0" t="n">
        <v>3739380</v>
      </c>
      <c r="D11871" s="0" t="s">
        <v>39407</v>
      </c>
      <c r="E11871" s="0" t="s">
        <v>75</v>
      </c>
      <c r="F11871" s="0" t="s">
        <v>15</v>
      </c>
      <c r="G11871" s="0" t="s">
        <v>36</v>
      </c>
      <c r="H11871" s="0" t="n">
        <v>13</v>
      </c>
      <c r="I11871" s="0" t="s">
        <v>39408</v>
      </c>
      <c r="J11871" s="0" t="s">
        <v>39409</v>
      </c>
      <c r="K11871" s="0" t="s">
        <v>39410</v>
      </c>
      <c r="L11871" s="0" t="str">
        <f aca="false">HYPERLINK("https://www.ncbi.nlm.nih.gov/nuccore/CP000058.1?report=graph&amp;tracks=[key:gene_model_track,Options:GeneOnly]&amp;mk=3739361:3739380|offset_13|00cc00,3739381:3739400|offset_33|444444,3739409:3739428|offset_61|444444,3739437:3739456|offset_89|444444&amp;v=3739160:3739656&amp;c=444444", "offset 13")</f>
        <v>offset 13</v>
      </c>
    </row>
    <row r="11872" customFormat="false" ht="12.8" hidden="false" customHeight="false" outlineLevel="0" collapsed="false">
      <c r="A11872" s="0" t="s">
        <v>12</v>
      </c>
      <c r="B11872" s="0" t="n">
        <v>3739380</v>
      </c>
      <c r="C11872" s="0" t="n">
        <v>3739400</v>
      </c>
      <c r="D11872" s="0" t="s">
        <v>39407</v>
      </c>
      <c r="E11872" s="0" t="s">
        <v>75</v>
      </c>
      <c r="F11872" s="0" t="s">
        <v>15</v>
      </c>
      <c r="G11872" s="0" t="s">
        <v>36</v>
      </c>
      <c r="H11872" s="0" t="n">
        <v>33</v>
      </c>
      <c r="I11872" s="0" t="s">
        <v>39411</v>
      </c>
      <c r="J11872" s="0" t="s">
        <v>39412</v>
      </c>
      <c r="K11872" s="0" t="s">
        <v>39413</v>
      </c>
      <c r="L11872" s="0" t="str">
        <f aca="false">HYPERLINK("https://www.ncbi.nlm.nih.gov/nuccore/CP000058.1?report=graph&amp;tracks=[key:gene_model_track,Options:GeneOnly]&amp;mk=3739361:3739380|offset_13|444444,3739381:3739400|offset_33|00cc00,3739409:3739428|offset_61|444444,3739437:3739456|offset_89|444444&amp;v=3739160:3739656&amp;c=444444", "offset 33")</f>
        <v>offset 33</v>
      </c>
    </row>
    <row r="11873" customFormat="false" ht="12.8" hidden="false" customHeight="false" outlineLevel="0" collapsed="false">
      <c r="A11873" s="0" t="s">
        <v>12</v>
      </c>
      <c r="B11873" s="0" t="n">
        <v>3739408</v>
      </c>
      <c r="C11873" s="0" t="n">
        <v>3739428</v>
      </c>
      <c r="D11873" s="0" t="s">
        <v>39407</v>
      </c>
      <c r="E11873" s="0" t="s">
        <v>75</v>
      </c>
      <c r="F11873" s="0" t="s">
        <v>15</v>
      </c>
      <c r="G11873" s="0" t="s">
        <v>16</v>
      </c>
      <c r="H11873" s="0" t="n">
        <v>61</v>
      </c>
      <c r="I11873" s="0" t="s">
        <v>39414</v>
      </c>
      <c r="J11873" s="0" t="s">
        <v>39415</v>
      </c>
      <c r="K11873" s="0" t="s">
        <v>39416</v>
      </c>
      <c r="L11873" s="0" t="str">
        <f aca="false">HYPERLINK("https://www.ncbi.nlm.nih.gov/nuccore/CP000058.1?report=graph&amp;tracks=[key:gene_model_track,Options:GeneOnly]&amp;mk=3739361:3739380|offset_13|444444,3739381:3739400|offset_33|444444,3739409:3739428|offset_61|00cc00,3739437:3739456|offset_89|444444&amp;v=3739160:3739656&amp;c=444444", "offset 61")</f>
        <v>offset 61</v>
      </c>
    </row>
    <row r="11874" customFormat="false" ht="12.8" hidden="false" customHeight="false" outlineLevel="0" collapsed="false">
      <c r="A11874" s="0" t="s">
        <v>12</v>
      </c>
      <c r="B11874" s="0" t="n">
        <v>3739436</v>
      </c>
      <c r="C11874" s="0" t="n">
        <v>3739456</v>
      </c>
      <c r="D11874" s="0" t="s">
        <v>39407</v>
      </c>
      <c r="E11874" s="0" t="s">
        <v>75</v>
      </c>
      <c r="F11874" s="0" t="s">
        <v>15</v>
      </c>
      <c r="G11874" s="0" t="s">
        <v>20</v>
      </c>
      <c r="H11874" s="0" t="n">
        <v>89</v>
      </c>
      <c r="I11874" s="0" t="s">
        <v>39417</v>
      </c>
      <c r="J11874" s="0" t="s">
        <v>39418</v>
      </c>
      <c r="K11874" s="0" t="s">
        <v>39419</v>
      </c>
      <c r="L11874" s="0" t="str">
        <f aca="false">HYPERLINK("https://www.ncbi.nlm.nih.gov/nuccore/CP000058.1?report=graph&amp;tracks=[key:gene_model_track,Options:GeneOnly]&amp;mk=3739361:3739380|offset_13|444444,3739381:3739400|offset_33|444444,3739409:3739428|offset_61|444444,3739437:3739456|offset_89|00cc00&amp;v=3739160:3739656&amp;c=444444", "offset 89")</f>
        <v>offset 89</v>
      </c>
    </row>
    <row r="11875" customFormat="false" ht="12.8" hidden="false" customHeight="false" outlineLevel="0" collapsed="false">
      <c r="A11875" s="0" t="s">
        <v>12</v>
      </c>
      <c r="B11875" s="0" t="n">
        <v>3740539</v>
      </c>
      <c r="C11875" s="0" t="n">
        <v>3740559</v>
      </c>
      <c r="D11875" s="0" t="s">
        <v>39420</v>
      </c>
      <c r="E11875" s="0" t="s">
        <v>75</v>
      </c>
      <c r="F11875" s="0" t="s">
        <v>15</v>
      </c>
      <c r="G11875" s="0" t="s">
        <v>32</v>
      </c>
      <c r="H11875" s="0" t="n">
        <v>12</v>
      </c>
      <c r="I11875" s="0" t="s">
        <v>39421</v>
      </c>
      <c r="J11875" s="0" t="s">
        <v>39422</v>
      </c>
      <c r="K11875" s="0" t="s">
        <v>39423</v>
      </c>
      <c r="L11875" s="0" t="str">
        <f aca="false">HYPERLINK("https://www.ncbi.nlm.nih.gov/nuccore/CP000058.1?report=graph&amp;tracks=[key:gene_model_track,Options:GeneOnly]&amp;mk=3740540:3740559|offset_12|00cc00,3740601:3740620|offset_73|444444,3740627:3740646|offset_99|444444,3740687:3740706|offset_159|444444&amp;v=3740339:3740906&amp;c=444444", "offset 12")</f>
        <v>offset 12</v>
      </c>
    </row>
    <row r="11876" customFormat="false" ht="12.8" hidden="false" customHeight="false" outlineLevel="0" collapsed="false">
      <c r="A11876" s="0" t="s">
        <v>12</v>
      </c>
      <c r="B11876" s="0" t="n">
        <v>3740600</v>
      </c>
      <c r="C11876" s="0" t="n">
        <v>3740620</v>
      </c>
      <c r="D11876" s="0" t="s">
        <v>39420</v>
      </c>
      <c r="E11876" s="0" t="s">
        <v>75</v>
      </c>
      <c r="F11876" s="0" t="s">
        <v>15</v>
      </c>
      <c r="G11876" s="0" t="s">
        <v>36</v>
      </c>
      <c r="H11876" s="0" t="n">
        <v>73</v>
      </c>
      <c r="I11876" s="0" t="s">
        <v>39424</v>
      </c>
      <c r="J11876" s="0" t="s">
        <v>39425</v>
      </c>
      <c r="K11876" s="0" t="s">
        <v>39426</v>
      </c>
      <c r="L11876" s="0" t="str">
        <f aca="false">HYPERLINK("https://www.ncbi.nlm.nih.gov/nuccore/CP000058.1?report=graph&amp;tracks=[key:gene_model_track,Options:GeneOnly]&amp;mk=3740540:3740559|offset_12|444444,3740601:3740620|offset_73|00cc00,3740627:3740646|offset_99|444444,3740687:3740706|offset_159|444444&amp;v=3740339:3740906&amp;c=444444", "offset 73")</f>
        <v>offset 73</v>
      </c>
    </row>
    <row r="11877" customFormat="false" ht="12.8" hidden="false" customHeight="false" outlineLevel="0" collapsed="false">
      <c r="A11877" s="0" t="s">
        <v>12</v>
      </c>
      <c r="B11877" s="0" t="n">
        <v>3740626</v>
      </c>
      <c r="C11877" s="0" t="n">
        <v>3740646</v>
      </c>
      <c r="D11877" s="0" t="s">
        <v>39420</v>
      </c>
      <c r="E11877" s="0" t="s">
        <v>75</v>
      </c>
      <c r="F11877" s="0" t="s">
        <v>15</v>
      </c>
      <c r="G11877" s="0" t="s">
        <v>20</v>
      </c>
      <c r="H11877" s="0" t="n">
        <v>99</v>
      </c>
      <c r="I11877" s="0" t="s">
        <v>39427</v>
      </c>
      <c r="J11877" s="0" t="s">
        <v>39428</v>
      </c>
      <c r="K11877" s="0" t="s">
        <v>39429</v>
      </c>
      <c r="L11877" s="0" t="str">
        <f aca="false">HYPERLINK("https://www.ncbi.nlm.nih.gov/nuccore/CP000058.1?report=graph&amp;tracks=[key:gene_model_track,Options:GeneOnly]&amp;mk=3740540:3740559|offset_12|444444,3740601:3740620|offset_73|444444,3740627:3740646|offset_99|00cc00,3740687:3740706|offset_159|444444&amp;v=3740339:3740906&amp;c=444444", "offset 99")</f>
        <v>offset 99</v>
      </c>
    </row>
    <row r="11878" customFormat="false" ht="12.8" hidden="false" customHeight="false" outlineLevel="0" collapsed="false">
      <c r="A11878" s="0" t="s">
        <v>12</v>
      </c>
      <c r="B11878" s="0" t="n">
        <v>3740686</v>
      </c>
      <c r="C11878" s="0" t="n">
        <v>3740706</v>
      </c>
      <c r="D11878" s="0" t="s">
        <v>39420</v>
      </c>
      <c r="E11878" s="0" t="s">
        <v>75</v>
      </c>
      <c r="F11878" s="0" t="s">
        <v>15</v>
      </c>
      <c r="G11878" s="0" t="s">
        <v>20</v>
      </c>
      <c r="H11878" s="0" t="n">
        <v>159</v>
      </c>
      <c r="I11878" s="0" t="s">
        <v>39430</v>
      </c>
      <c r="J11878" s="0" t="s">
        <v>39431</v>
      </c>
      <c r="K11878" s="0" t="s">
        <v>39432</v>
      </c>
      <c r="L11878" s="0" t="str">
        <f aca="false">HYPERLINK("https://www.ncbi.nlm.nih.gov/nuccore/CP000058.1?report=graph&amp;tracks=[key:gene_model_track,Options:GeneOnly]&amp;mk=3740540:3740559|offset_12|444444,3740601:3740620|offset_73|444444,3740627:3740646|offset_99|444444,3740687:3740706|offset_159|00cc00&amp;v=3740339:3740906&amp;c=444444", "offset 159")</f>
        <v>offset 159</v>
      </c>
    </row>
    <row r="11879" customFormat="false" ht="12.8" hidden="false" customHeight="false" outlineLevel="0" collapsed="false">
      <c r="A11879" s="0" t="s">
        <v>12</v>
      </c>
      <c r="B11879" s="0" t="n">
        <v>3741866</v>
      </c>
      <c r="C11879" s="0" t="n">
        <v>3741886</v>
      </c>
      <c r="D11879" s="0" t="s">
        <v>39433</v>
      </c>
      <c r="E11879" s="0" t="s">
        <v>75</v>
      </c>
      <c r="F11879" s="0" t="s">
        <v>15</v>
      </c>
      <c r="G11879" s="0" t="s">
        <v>36</v>
      </c>
      <c r="H11879" s="0" t="n">
        <v>23</v>
      </c>
      <c r="I11879" s="0" t="s">
        <v>39434</v>
      </c>
      <c r="J11879" s="0" t="s">
        <v>39435</v>
      </c>
      <c r="K11879" s="0" t="s">
        <v>39436</v>
      </c>
      <c r="L11879" s="0" t="str">
        <f aca="false">HYPERLINK("https://www.ncbi.nlm.nih.gov/nuccore/CP000058.1?report=graph&amp;tracks=[key:gene_model_track,Options:GeneOnly]&amp;mk=3741867:3741886|offset_23|00cc00,3741887:3741906|offset_43|444444,3741945:3741964|offset_101|444444,3741971:3741990|offset_127|444444&amp;v=3741666:3742190&amp;c=444444", "offset 23")</f>
        <v>offset 23</v>
      </c>
    </row>
    <row r="11880" customFormat="false" ht="12.8" hidden="false" customHeight="false" outlineLevel="0" collapsed="false">
      <c r="A11880" s="0" t="s">
        <v>12</v>
      </c>
      <c r="B11880" s="0" t="n">
        <v>3741886</v>
      </c>
      <c r="C11880" s="0" t="n">
        <v>3741906</v>
      </c>
      <c r="D11880" s="0" t="s">
        <v>39433</v>
      </c>
      <c r="E11880" s="0" t="s">
        <v>75</v>
      </c>
      <c r="F11880" s="0" t="s">
        <v>15</v>
      </c>
      <c r="G11880" s="0" t="s">
        <v>32</v>
      </c>
      <c r="H11880" s="0" t="n">
        <v>43</v>
      </c>
      <c r="I11880" s="0" t="s">
        <v>39437</v>
      </c>
      <c r="J11880" s="0" t="s">
        <v>39438</v>
      </c>
      <c r="K11880" s="0" t="s">
        <v>39439</v>
      </c>
      <c r="L11880" s="0" t="str">
        <f aca="false">HYPERLINK("https://www.ncbi.nlm.nih.gov/nuccore/CP000058.1?report=graph&amp;tracks=[key:gene_model_track,Options:GeneOnly]&amp;mk=3741867:3741886|offset_23|444444,3741887:3741906|offset_43|00cc00,3741945:3741964|offset_101|444444,3741971:3741990|offset_127|444444&amp;v=3741666:3742190&amp;c=444444", "offset 43")</f>
        <v>offset 43</v>
      </c>
    </row>
    <row r="11881" customFormat="false" ht="12.8" hidden="false" customHeight="false" outlineLevel="0" collapsed="false">
      <c r="A11881" s="0" t="s">
        <v>12</v>
      </c>
      <c r="B11881" s="0" t="n">
        <v>3741944</v>
      </c>
      <c r="C11881" s="0" t="n">
        <v>3741964</v>
      </c>
      <c r="D11881" s="0" t="s">
        <v>39433</v>
      </c>
      <c r="E11881" s="0" t="s">
        <v>75</v>
      </c>
      <c r="F11881" s="0" t="s">
        <v>15</v>
      </c>
      <c r="G11881" s="0" t="s">
        <v>32</v>
      </c>
      <c r="H11881" s="0" t="n">
        <v>101</v>
      </c>
      <c r="I11881" s="0" t="s">
        <v>39440</v>
      </c>
      <c r="J11881" s="0" t="s">
        <v>39441</v>
      </c>
      <c r="K11881" s="0" t="s">
        <v>39442</v>
      </c>
      <c r="L11881" s="0" t="str">
        <f aca="false">HYPERLINK("https://www.ncbi.nlm.nih.gov/nuccore/CP000058.1?report=graph&amp;tracks=[key:gene_model_track,Options:GeneOnly]&amp;mk=3741867:3741886|offset_23|444444,3741887:3741906|offset_43|444444,3741945:3741964|offset_101|00cc00,3741971:3741990|offset_127|444444&amp;v=3741666:3742190&amp;c=444444", "offset 101")</f>
        <v>offset 101</v>
      </c>
    </row>
    <row r="11882" customFormat="false" ht="12.8" hidden="false" customHeight="false" outlineLevel="0" collapsed="false">
      <c r="A11882" s="0" t="s">
        <v>12</v>
      </c>
      <c r="B11882" s="0" t="n">
        <v>3741970</v>
      </c>
      <c r="C11882" s="0" t="n">
        <v>3741990</v>
      </c>
      <c r="D11882" s="0" t="s">
        <v>39433</v>
      </c>
      <c r="E11882" s="0" t="s">
        <v>75</v>
      </c>
      <c r="F11882" s="0" t="s">
        <v>15</v>
      </c>
      <c r="G11882" s="0" t="s">
        <v>32</v>
      </c>
      <c r="H11882" s="0" t="n">
        <v>127</v>
      </c>
      <c r="I11882" s="0" t="s">
        <v>39443</v>
      </c>
      <c r="J11882" s="0" t="s">
        <v>39444</v>
      </c>
      <c r="K11882" s="0" t="s">
        <v>39445</v>
      </c>
      <c r="L11882" s="0" t="str">
        <f aca="false">HYPERLINK("https://www.ncbi.nlm.nih.gov/nuccore/CP000058.1?report=graph&amp;tracks=[key:gene_model_track,Options:GeneOnly]&amp;mk=3741867:3741886|offset_23|444444,3741887:3741906|offset_43|444444,3741945:3741964|offset_101|444444,3741971:3741990|offset_127|00cc00&amp;v=3741666:3742190&amp;c=444444", "offset 127")</f>
        <v>offset 127</v>
      </c>
    </row>
    <row r="11883" customFormat="false" ht="12.8" hidden="false" customHeight="false" outlineLevel="0" collapsed="false">
      <c r="A11883" s="0" t="s">
        <v>12</v>
      </c>
      <c r="B11883" s="0" t="n">
        <v>3743074</v>
      </c>
      <c r="C11883" s="0" t="n">
        <v>3743094</v>
      </c>
      <c r="D11883" s="0" t="s">
        <v>39446</v>
      </c>
      <c r="E11883" s="0" t="s">
        <v>75</v>
      </c>
      <c r="F11883" s="0" t="s">
        <v>15</v>
      </c>
      <c r="G11883" s="0" t="s">
        <v>16</v>
      </c>
      <c r="H11883" s="0" t="n">
        <v>23</v>
      </c>
      <c r="I11883" s="0" t="s">
        <v>39447</v>
      </c>
      <c r="J11883" s="0" t="s">
        <v>39448</v>
      </c>
      <c r="K11883" s="0" t="s">
        <v>39449</v>
      </c>
      <c r="L11883" s="0" t="str">
        <f aca="false">HYPERLINK("https://www.ncbi.nlm.nih.gov/nuccore/CP000058.1?report=graph&amp;tracks=[key:gene_model_track,Options:GeneOnly]&amp;mk=3743075:3743094|offset_23|00cc00,3743095:3743114|offset_43|444444,3743151:3743170|offset_99|444444,3743182:3743201|offset_130|444444&amp;v=3742874:3743401&amp;c=444444", "offset 23")</f>
        <v>offset 23</v>
      </c>
    </row>
    <row r="11884" customFormat="false" ht="12.8" hidden="false" customHeight="false" outlineLevel="0" collapsed="false">
      <c r="A11884" s="0" t="s">
        <v>12</v>
      </c>
      <c r="B11884" s="0" t="n">
        <v>3743094</v>
      </c>
      <c r="C11884" s="0" t="n">
        <v>3743114</v>
      </c>
      <c r="D11884" s="0" t="s">
        <v>39446</v>
      </c>
      <c r="E11884" s="0" t="s">
        <v>75</v>
      </c>
      <c r="F11884" s="0" t="s">
        <v>15</v>
      </c>
      <c r="G11884" s="0" t="s">
        <v>32</v>
      </c>
      <c r="H11884" s="0" t="n">
        <v>43</v>
      </c>
      <c r="I11884" s="0" t="s">
        <v>39450</v>
      </c>
      <c r="J11884" s="0" t="s">
        <v>39451</v>
      </c>
      <c r="K11884" s="0" t="s">
        <v>39452</v>
      </c>
      <c r="L11884" s="0" t="str">
        <f aca="false">HYPERLINK("https://www.ncbi.nlm.nih.gov/nuccore/CP000058.1?report=graph&amp;tracks=[key:gene_model_track,Options:GeneOnly]&amp;mk=3743075:3743094|offset_23|444444,3743095:3743114|offset_43|00cc00,3743151:3743170|offset_99|444444,3743182:3743201|offset_130|444444&amp;v=3742874:3743401&amp;c=444444", "offset 43")</f>
        <v>offset 43</v>
      </c>
    </row>
    <row r="11885" customFormat="false" ht="12.8" hidden="false" customHeight="false" outlineLevel="0" collapsed="false">
      <c r="A11885" s="0" t="s">
        <v>12</v>
      </c>
      <c r="B11885" s="0" t="n">
        <v>3743150</v>
      </c>
      <c r="C11885" s="0" t="n">
        <v>3743170</v>
      </c>
      <c r="D11885" s="0" t="s">
        <v>39446</v>
      </c>
      <c r="E11885" s="0" t="s">
        <v>75</v>
      </c>
      <c r="F11885" s="0" t="s">
        <v>15</v>
      </c>
      <c r="G11885" s="0" t="s">
        <v>16</v>
      </c>
      <c r="H11885" s="0" t="n">
        <v>99</v>
      </c>
      <c r="I11885" s="0" t="s">
        <v>39453</v>
      </c>
      <c r="J11885" s="0" t="s">
        <v>39454</v>
      </c>
      <c r="K11885" s="0" t="s">
        <v>39455</v>
      </c>
      <c r="L11885" s="0" t="str">
        <f aca="false">HYPERLINK("https://www.ncbi.nlm.nih.gov/nuccore/CP000058.1?report=graph&amp;tracks=[key:gene_model_track,Options:GeneOnly]&amp;mk=3743075:3743094|offset_23|444444,3743095:3743114|offset_43|444444,3743151:3743170|offset_99|00cc00,3743182:3743201|offset_130|444444&amp;v=3742874:3743401&amp;c=444444", "offset 99")</f>
        <v>offset 99</v>
      </c>
    </row>
    <row r="11886" customFormat="false" ht="12.8" hidden="false" customHeight="false" outlineLevel="0" collapsed="false">
      <c r="A11886" s="0" t="s">
        <v>12</v>
      </c>
      <c r="B11886" s="0" t="n">
        <v>3743181</v>
      </c>
      <c r="C11886" s="0" t="n">
        <v>3743201</v>
      </c>
      <c r="D11886" s="0" t="s">
        <v>39446</v>
      </c>
      <c r="E11886" s="0" t="s">
        <v>75</v>
      </c>
      <c r="F11886" s="0" t="s">
        <v>15</v>
      </c>
      <c r="G11886" s="0" t="s">
        <v>36</v>
      </c>
      <c r="H11886" s="0" t="n">
        <v>130</v>
      </c>
      <c r="I11886" s="0" t="s">
        <v>39456</v>
      </c>
      <c r="J11886" s="0" t="s">
        <v>39457</v>
      </c>
      <c r="K11886" s="0" t="s">
        <v>39458</v>
      </c>
      <c r="L11886" s="0" t="str">
        <f aca="false">HYPERLINK("https://www.ncbi.nlm.nih.gov/nuccore/CP000058.1?report=graph&amp;tracks=[key:gene_model_track,Options:GeneOnly]&amp;mk=3743075:3743094|offset_23|444444,3743095:3743114|offset_43|444444,3743151:3743170|offset_99|444444,3743182:3743201|offset_130|00cc00&amp;v=3742874:3743401&amp;c=444444", "offset 130")</f>
        <v>offset 130</v>
      </c>
    </row>
    <row r="11887" customFormat="false" ht="12.8" hidden="false" customHeight="false" outlineLevel="0" collapsed="false">
      <c r="A11887" s="0" t="s">
        <v>12</v>
      </c>
      <c r="B11887" s="0" t="n">
        <v>3744157</v>
      </c>
      <c r="C11887" s="0" t="n">
        <v>3744177</v>
      </c>
      <c r="D11887" s="0" t="s">
        <v>39459</v>
      </c>
      <c r="E11887" s="0" t="s">
        <v>75</v>
      </c>
      <c r="F11887" s="0" t="s">
        <v>15</v>
      </c>
      <c r="G11887" s="0" t="s">
        <v>32</v>
      </c>
      <c r="H11887" s="0" t="n">
        <v>6</v>
      </c>
      <c r="I11887" s="0" t="s">
        <v>39460</v>
      </c>
      <c r="J11887" s="0" t="s">
        <v>39461</v>
      </c>
      <c r="K11887" s="0" t="s">
        <v>39462</v>
      </c>
      <c r="L11887" s="0" t="str">
        <f aca="false">HYPERLINK("https://www.ncbi.nlm.nih.gov/nuccore/CP000058.1?report=graph&amp;tracks=[key:gene_model_track,Options:GeneOnly]&amp;mk=3744158:3744177|offset_6|00cc00,3744190:3744209|offset_38|444444,3744221:3744240|offset_69|444444,3744267:3744286|offset_115|444444&amp;v=3743957:3744486&amp;c=444444", "offset 6")</f>
        <v>offset 6</v>
      </c>
    </row>
    <row r="11888" customFormat="false" ht="12.8" hidden="false" customHeight="false" outlineLevel="0" collapsed="false">
      <c r="A11888" s="0" t="s">
        <v>12</v>
      </c>
      <c r="B11888" s="0" t="n">
        <v>3744189</v>
      </c>
      <c r="C11888" s="0" t="n">
        <v>3744209</v>
      </c>
      <c r="D11888" s="0" t="s">
        <v>39459</v>
      </c>
      <c r="E11888" s="0" t="s">
        <v>75</v>
      </c>
      <c r="F11888" s="0" t="s">
        <v>15</v>
      </c>
      <c r="G11888" s="0" t="s">
        <v>20</v>
      </c>
      <c r="H11888" s="0" t="n">
        <v>38</v>
      </c>
      <c r="I11888" s="0" t="s">
        <v>39463</v>
      </c>
      <c r="J11888" s="0" t="s">
        <v>39464</v>
      </c>
      <c r="K11888" s="0" t="s">
        <v>39465</v>
      </c>
      <c r="L11888" s="0" t="str">
        <f aca="false">HYPERLINK("https://www.ncbi.nlm.nih.gov/nuccore/CP000058.1?report=graph&amp;tracks=[key:gene_model_track,Options:GeneOnly]&amp;mk=3744158:3744177|offset_6|444444,3744190:3744209|offset_38|00cc00,3744221:3744240|offset_69|444444,3744267:3744286|offset_115|444444&amp;v=3743957:3744486&amp;c=444444", "offset 38")</f>
        <v>offset 38</v>
      </c>
    </row>
    <row r="11889" customFormat="false" ht="12.8" hidden="false" customHeight="false" outlineLevel="0" collapsed="false">
      <c r="A11889" s="0" t="s">
        <v>12</v>
      </c>
      <c r="B11889" s="0" t="n">
        <v>3744220</v>
      </c>
      <c r="C11889" s="0" t="n">
        <v>3744240</v>
      </c>
      <c r="D11889" s="0" t="s">
        <v>39459</v>
      </c>
      <c r="E11889" s="0" t="s">
        <v>75</v>
      </c>
      <c r="F11889" s="0" t="s">
        <v>15</v>
      </c>
      <c r="G11889" s="0" t="s">
        <v>20</v>
      </c>
      <c r="H11889" s="0" t="n">
        <v>69</v>
      </c>
      <c r="I11889" s="0" t="s">
        <v>39466</v>
      </c>
      <c r="J11889" s="0" t="s">
        <v>39467</v>
      </c>
      <c r="K11889" s="0" t="s">
        <v>39468</v>
      </c>
      <c r="L11889" s="0" t="str">
        <f aca="false">HYPERLINK("https://www.ncbi.nlm.nih.gov/nuccore/CP000058.1?report=graph&amp;tracks=[key:gene_model_track,Options:GeneOnly]&amp;mk=3744158:3744177|offset_6|444444,3744190:3744209|offset_38|444444,3744221:3744240|offset_69|00cc00,3744267:3744286|offset_115|444444&amp;v=3743957:3744486&amp;c=444444", "offset 69")</f>
        <v>offset 69</v>
      </c>
    </row>
    <row r="11890" customFormat="false" ht="12.8" hidden="false" customHeight="false" outlineLevel="0" collapsed="false">
      <c r="A11890" s="0" t="s">
        <v>12</v>
      </c>
      <c r="B11890" s="0" t="n">
        <v>3744266</v>
      </c>
      <c r="C11890" s="0" t="n">
        <v>3744286</v>
      </c>
      <c r="D11890" s="0" t="s">
        <v>39459</v>
      </c>
      <c r="E11890" s="0" t="s">
        <v>75</v>
      </c>
      <c r="F11890" s="0" t="s">
        <v>15</v>
      </c>
      <c r="G11890" s="0" t="s">
        <v>32</v>
      </c>
      <c r="H11890" s="0" t="n">
        <v>115</v>
      </c>
      <c r="I11890" s="0" t="s">
        <v>39469</v>
      </c>
      <c r="J11890" s="0" t="s">
        <v>39470</v>
      </c>
      <c r="K11890" s="0" t="s">
        <v>39471</v>
      </c>
      <c r="L11890" s="0" t="str">
        <f aca="false">HYPERLINK("https://www.ncbi.nlm.nih.gov/nuccore/CP000058.1?report=graph&amp;tracks=[key:gene_model_track,Options:GeneOnly]&amp;mk=3744158:3744177|offset_6|444444,3744190:3744209|offset_38|444444,3744221:3744240|offset_69|444444,3744267:3744286|offset_115|00cc00&amp;v=3743957:3744486&amp;c=444444", "offset 115")</f>
        <v>offset 115</v>
      </c>
    </row>
    <row r="11891" customFormat="false" ht="12.8" hidden="false" customHeight="false" outlineLevel="0" collapsed="false">
      <c r="A11891" s="0" t="s">
        <v>12</v>
      </c>
      <c r="B11891" s="0" t="n">
        <v>3745574</v>
      </c>
      <c r="C11891" s="0" t="n">
        <v>3745594</v>
      </c>
      <c r="D11891" s="0" t="s">
        <v>39472</v>
      </c>
      <c r="E11891" s="0" t="s">
        <v>75</v>
      </c>
      <c r="F11891" s="0" t="s">
        <v>15</v>
      </c>
      <c r="G11891" s="0" t="s">
        <v>16</v>
      </c>
      <c r="H11891" s="0" t="n">
        <v>11</v>
      </c>
      <c r="I11891" s="0" t="s">
        <v>39473</v>
      </c>
      <c r="J11891" s="0" t="s">
        <v>39474</v>
      </c>
      <c r="K11891" s="0" t="s">
        <v>39475</v>
      </c>
      <c r="L11891" s="0" t="str">
        <f aca="false">HYPERLINK("https://www.ncbi.nlm.nih.gov/nuccore/CP000058.1?report=graph&amp;tracks=[key:gene_model_track,Options:GeneOnly]&amp;mk=3745575:3745594|offset_11|00cc00,3745612:3745631|offset_48|444444,3745639:3745658|offset_75|444444,3745661:3745680|offset_97|444444&amp;v=3745374:3745880&amp;c=444444", "offset 11")</f>
        <v>offset 11</v>
      </c>
    </row>
    <row r="11892" customFormat="false" ht="12.8" hidden="false" customHeight="false" outlineLevel="0" collapsed="false">
      <c r="A11892" s="0" t="s">
        <v>12</v>
      </c>
      <c r="B11892" s="0" t="n">
        <v>3745611</v>
      </c>
      <c r="C11892" s="0" t="n">
        <v>3745631</v>
      </c>
      <c r="D11892" s="0" t="s">
        <v>39472</v>
      </c>
      <c r="E11892" s="0" t="s">
        <v>75</v>
      </c>
      <c r="F11892" s="0" t="s">
        <v>15</v>
      </c>
      <c r="G11892" s="0" t="s">
        <v>36</v>
      </c>
      <c r="H11892" s="0" t="n">
        <v>48</v>
      </c>
      <c r="I11892" s="0" t="s">
        <v>39476</v>
      </c>
      <c r="J11892" s="0" t="s">
        <v>39477</v>
      </c>
      <c r="K11892" s="0" t="s">
        <v>39478</v>
      </c>
      <c r="L11892" s="0" t="str">
        <f aca="false">HYPERLINK("https://www.ncbi.nlm.nih.gov/nuccore/CP000058.1?report=graph&amp;tracks=[key:gene_model_track,Options:GeneOnly]&amp;mk=3745575:3745594|offset_11|444444,3745612:3745631|offset_48|00cc00,3745639:3745658|offset_75|444444,3745661:3745680|offset_97|444444&amp;v=3745374:3745880&amp;c=444444", "offset 48")</f>
        <v>offset 48</v>
      </c>
    </row>
    <row r="11893" customFormat="false" ht="12.8" hidden="false" customHeight="false" outlineLevel="0" collapsed="false">
      <c r="A11893" s="0" t="s">
        <v>12</v>
      </c>
      <c r="B11893" s="0" t="n">
        <v>3745638</v>
      </c>
      <c r="C11893" s="0" t="n">
        <v>3745658</v>
      </c>
      <c r="D11893" s="0" t="s">
        <v>39472</v>
      </c>
      <c r="E11893" s="0" t="s">
        <v>75</v>
      </c>
      <c r="F11893" s="0" t="s">
        <v>15</v>
      </c>
      <c r="G11893" s="0" t="s">
        <v>16</v>
      </c>
      <c r="H11893" s="0" t="n">
        <v>75</v>
      </c>
      <c r="I11893" s="0" t="s">
        <v>39479</v>
      </c>
      <c r="J11893" s="0" t="s">
        <v>39480</v>
      </c>
      <c r="K11893" s="0" t="s">
        <v>39481</v>
      </c>
      <c r="L11893" s="0" t="str">
        <f aca="false">HYPERLINK("https://www.ncbi.nlm.nih.gov/nuccore/CP000058.1?report=graph&amp;tracks=[key:gene_model_track,Options:GeneOnly]&amp;mk=3745575:3745594|offset_11|444444,3745612:3745631|offset_48|444444,3745639:3745658|offset_75|00cc00,3745661:3745680|offset_97|444444&amp;v=3745374:3745880&amp;c=444444", "offset 75")</f>
        <v>offset 75</v>
      </c>
    </row>
    <row r="11894" customFormat="false" ht="12.8" hidden="false" customHeight="false" outlineLevel="0" collapsed="false">
      <c r="A11894" s="0" t="s">
        <v>12</v>
      </c>
      <c r="B11894" s="0" t="n">
        <v>3745660</v>
      </c>
      <c r="C11894" s="0" t="n">
        <v>3745680</v>
      </c>
      <c r="D11894" s="0" t="s">
        <v>39472</v>
      </c>
      <c r="E11894" s="0" t="s">
        <v>75</v>
      </c>
      <c r="F11894" s="0" t="s">
        <v>15</v>
      </c>
      <c r="G11894" s="0" t="s">
        <v>20</v>
      </c>
      <c r="H11894" s="0" t="n">
        <v>97</v>
      </c>
      <c r="I11894" s="0" t="s">
        <v>39482</v>
      </c>
      <c r="J11894" s="0" t="s">
        <v>39483</v>
      </c>
      <c r="K11894" s="0" t="s">
        <v>39484</v>
      </c>
      <c r="L11894" s="0" t="str">
        <f aca="false">HYPERLINK("https://www.ncbi.nlm.nih.gov/nuccore/CP000058.1?report=graph&amp;tracks=[key:gene_model_track,Options:GeneOnly]&amp;mk=3745575:3745594|offset_11|444444,3745612:3745631|offset_48|444444,3745639:3745658|offset_75|444444,3745661:3745680|offset_97|00cc00&amp;v=3745374:3745880&amp;c=444444", "offset 97")</f>
        <v>offset 97</v>
      </c>
    </row>
    <row r="11895" customFormat="false" ht="12.8" hidden="false" customHeight="false" outlineLevel="0" collapsed="false">
      <c r="A11895" s="0" t="s">
        <v>12</v>
      </c>
      <c r="B11895" s="0" t="n">
        <v>3746434</v>
      </c>
      <c r="C11895" s="0" t="n">
        <v>3746454</v>
      </c>
      <c r="D11895" s="0" t="s">
        <v>39485</v>
      </c>
      <c r="E11895" s="0" t="s">
        <v>75</v>
      </c>
      <c r="F11895" s="0" t="s">
        <v>15</v>
      </c>
      <c r="G11895" s="0" t="s">
        <v>32</v>
      </c>
      <c r="H11895" s="0" t="n">
        <v>34</v>
      </c>
      <c r="I11895" s="0" t="s">
        <v>39486</v>
      </c>
      <c r="J11895" s="0" t="s">
        <v>39487</v>
      </c>
      <c r="K11895" s="0" t="s">
        <v>39488</v>
      </c>
      <c r="L11895" s="0" t="str">
        <f aca="false">HYPERLINK("https://www.ncbi.nlm.nih.gov/nuccore/CP000058.1?report=graph&amp;tracks=[key:gene_model_track,Options:GeneOnly]&amp;mk=3746435:3746454|offset_34|00cc00,3746456:3746475|offset_55|444444,3746489:3746508|offset_88|444444,3746516:3746535|offset_115|444444&amp;v=3746234:3746735&amp;c=444444", "offset 34")</f>
        <v>offset 34</v>
      </c>
    </row>
    <row r="11896" customFormat="false" ht="12.8" hidden="false" customHeight="false" outlineLevel="0" collapsed="false">
      <c r="A11896" s="0" t="s">
        <v>12</v>
      </c>
      <c r="B11896" s="0" t="n">
        <v>3746455</v>
      </c>
      <c r="C11896" s="0" t="n">
        <v>3746475</v>
      </c>
      <c r="D11896" s="0" t="s">
        <v>39485</v>
      </c>
      <c r="E11896" s="0" t="s">
        <v>75</v>
      </c>
      <c r="F11896" s="0" t="s">
        <v>15</v>
      </c>
      <c r="G11896" s="0" t="s">
        <v>16</v>
      </c>
      <c r="H11896" s="0" t="n">
        <v>55</v>
      </c>
      <c r="I11896" s="0" t="s">
        <v>39489</v>
      </c>
      <c r="J11896" s="0" t="s">
        <v>39490</v>
      </c>
      <c r="K11896" s="0" t="s">
        <v>39491</v>
      </c>
      <c r="L11896" s="0" t="str">
        <f aca="false">HYPERLINK("https://www.ncbi.nlm.nih.gov/nuccore/CP000058.1?report=graph&amp;tracks=[key:gene_model_track,Options:GeneOnly]&amp;mk=3746435:3746454|offset_34|444444,3746456:3746475|offset_55|00cc00,3746489:3746508|offset_88|444444,3746516:3746535|offset_115|444444&amp;v=3746234:3746735&amp;c=444444", "offset 55")</f>
        <v>offset 55</v>
      </c>
    </row>
    <row r="11897" customFormat="false" ht="12.8" hidden="false" customHeight="false" outlineLevel="0" collapsed="false">
      <c r="A11897" s="0" t="s">
        <v>12</v>
      </c>
      <c r="B11897" s="0" t="n">
        <v>3746488</v>
      </c>
      <c r="C11897" s="0" t="n">
        <v>3746508</v>
      </c>
      <c r="D11897" s="0" t="s">
        <v>39485</v>
      </c>
      <c r="E11897" s="0" t="s">
        <v>75</v>
      </c>
      <c r="F11897" s="0" t="s">
        <v>15</v>
      </c>
      <c r="G11897" s="0" t="s">
        <v>20</v>
      </c>
      <c r="H11897" s="0" t="n">
        <v>88</v>
      </c>
      <c r="I11897" s="0" t="s">
        <v>39492</v>
      </c>
      <c r="J11897" s="0" t="s">
        <v>39493</v>
      </c>
      <c r="K11897" s="0" t="s">
        <v>39494</v>
      </c>
      <c r="L11897" s="0" t="str">
        <f aca="false">HYPERLINK("https://www.ncbi.nlm.nih.gov/nuccore/CP000058.1?report=graph&amp;tracks=[key:gene_model_track,Options:GeneOnly]&amp;mk=3746435:3746454|offset_34|444444,3746456:3746475|offset_55|444444,3746489:3746508|offset_88|00cc00,3746516:3746535|offset_115|444444&amp;v=3746234:3746735&amp;c=444444", "offset 88")</f>
        <v>offset 88</v>
      </c>
    </row>
    <row r="11898" customFormat="false" ht="12.8" hidden="false" customHeight="false" outlineLevel="0" collapsed="false">
      <c r="A11898" s="0" t="s">
        <v>12</v>
      </c>
      <c r="B11898" s="0" t="n">
        <v>3746515</v>
      </c>
      <c r="C11898" s="0" t="n">
        <v>3746535</v>
      </c>
      <c r="D11898" s="0" t="s">
        <v>39485</v>
      </c>
      <c r="E11898" s="0" t="s">
        <v>75</v>
      </c>
      <c r="F11898" s="0" t="s">
        <v>15</v>
      </c>
      <c r="G11898" s="0" t="s">
        <v>20</v>
      </c>
      <c r="H11898" s="0" t="n">
        <v>115</v>
      </c>
      <c r="I11898" s="0" t="s">
        <v>39495</v>
      </c>
      <c r="J11898" s="0" t="s">
        <v>39496</v>
      </c>
      <c r="K11898" s="0" t="s">
        <v>39497</v>
      </c>
      <c r="L11898" s="0" t="str">
        <f aca="false">HYPERLINK("https://www.ncbi.nlm.nih.gov/nuccore/CP000058.1?report=graph&amp;tracks=[key:gene_model_track,Options:GeneOnly]&amp;mk=3746435:3746454|offset_34|444444,3746456:3746475|offset_55|444444,3746489:3746508|offset_88|444444,3746516:3746535|offset_115|00cc00&amp;v=3746234:3746735&amp;c=444444", "offset 115")</f>
        <v>offset 115</v>
      </c>
    </row>
    <row r="11899" customFormat="false" ht="12.8" hidden="false" customHeight="false" outlineLevel="0" collapsed="false">
      <c r="A11899" s="0" t="s">
        <v>12</v>
      </c>
      <c r="B11899" s="0" t="n">
        <v>3748669</v>
      </c>
      <c r="C11899" s="0" t="n">
        <v>3748689</v>
      </c>
      <c r="D11899" s="0" t="s">
        <v>39498</v>
      </c>
      <c r="E11899" s="0" t="s">
        <v>75</v>
      </c>
      <c r="F11899" s="0" t="s">
        <v>90</v>
      </c>
      <c r="G11899" s="0" t="s">
        <v>20</v>
      </c>
      <c r="H11899" s="0" t="n">
        <v>14</v>
      </c>
      <c r="I11899" s="0" t="s">
        <v>39499</v>
      </c>
      <c r="J11899" s="0" t="s">
        <v>39500</v>
      </c>
      <c r="K11899" s="0" t="s">
        <v>39501</v>
      </c>
      <c r="L11899" s="0" t="str">
        <f aca="false">HYPERLINK("https://www.ncbi.nlm.nih.gov/nuccore/CP000058.1?report=graph&amp;tracks=[key:gene_model_track,Options:GeneOnly]&amp;mk=3748670:3748689|offset_14|00cc00,3748638:3748657|offset_46|444444,3748605:3748624|offset_79|444444,3748581:3748600|offset_103|444444&amp;v=3748469:3748800&amp;c=444444", "offset 14")</f>
        <v>offset 14</v>
      </c>
    </row>
    <row r="11900" customFormat="false" ht="12.8" hidden="false" customHeight="false" outlineLevel="0" collapsed="false">
      <c r="A11900" s="0" t="s">
        <v>12</v>
      </c>
      <c r="B11900" s="0" t="n">
        <v>3748637</v>
      </c>
      <c r="C11900" s="0" t="n">
        <v>3748657</v>
      </c>
      <c r="D11900" s="0" t="s">
        <v>39498</v>
      </c>
      <c r="E11900" s="0" t="s">
        <v>75</v>
      </c>
      <c r="F11900" s="0" t="s">
        <v>90</v>
      </c>
      <c r="G11900" s="0" t="s">
        <v>36</v>
      </c>
      <c r="H11900" s="0" t="n">
        <v>46</v>
      </c>
      <c r="I11900" s="0" t="s">
        <v>39502</v>
      </c>
      <c r="J11900" s="0" t="s">
        <v>39503</v>
      </c>
      <c r="K11900" s="0" t="s">
        <v>39504</v>
      </c>
      <c r="L11900" s="0" t="str">
        <f aca="false">HYPERLINK("https://www.ncbi.nlm.nih.gov/nuccore/CP000058.1?report=graph&amp;tracks=[key:gene_model_track,Options:GeneOnly]&amp;mk=3748670:3748689|offset_14|444444,3748638:3748657|offset_46|00cc00,3748605:3748624|offset_79|444444,3748581:3748600|offset_103|444444&amp;v=3748469:3748800&amp;c=444444", "offset 46")</f>
        <v>offset 46</v>
      </c>
    </row>
    <row r="11901" customFormat="false" ht="12.8" hidden="false" customHeight="false" outlineLevel="0" collapsed="false">
      <c r="A11901" s="0" t="s">
        <v>12</v>
      </c>
      <c r="B11901" s="0" t="n">
        <v>3748604</v>
      </c>
      <c r="C11901" s="0" t="n">
        <v>3748624</v>
      </c>
      <c r="D11901" s="0" t="s">
        <v>39498</v>
      </c>
      <c r="E11901" s="0" t="s">
        <v>75</v>
      </c>
      <c r="F11901" s="0" t="s">
        <v>90</v>
      </c>
      <c r="G11901" s="0" t="s">
        <v>20</v>
      </c>
      <c r="H11901" s="0" t="n">
        <v>79</v>
      </c>
      <c r="I11901" s="0" t="s">
        <v>39505</v>
      </c>
      <c r="J11901" s="0" t="s">
        <v>39506</v>
      </c>
      <c r="K11901" s="0" t="s">
        <v>39507</v>
      </c>
      <c r="L11901" s="0" t="str">
        <f aca="false">HYPERLINK("https://www.ncbi.nlm.nih.gov/nuccore/CP000058.1?report=graph&amp;tracks=[key:gene_model_track,Options:GeneOnly]&amp;mk=3748670:3748689|offset_14|444444,3748638:3748657|offset_46|444444,3748605:3748624|offset_79|00cc00,3748581:3748600|offset_103|444444&amp;v=3748469:3748800&amp;c=444444", "offset 79")</f>
        <v>offset 79</v>
      </c>
    </row>
    <row r="11902" customFormat="false" ht="12.8" hidden="false" customHeight="false" outlineLevel="0" collapsed="false">
      <c r="A11902" s="0" t="s">
        <v>12</v>
      </c>
      <c r="B11902" s="0" t="n">
        <v>3748580</v>
      </c>
      <c r="C11902" s="0" t="n">
        <v>3748600</v>
      </c>
      <c r="D11902" s="0" t="s">
        <v>39498</v>
      </c>
      <c r="E11902" s="0" t="s">
        <v>75</v>
      </c>
      <c r="F11902" s="0" t="s">
        <v>90</v>
      </c>
      <c r="G11902" s="0" t="s">
        <v>32</v>
      </c>
      <c r="H11902" s="0" t="n">
        <v>103</v>
      </c>
      <c r="I11902" s="0" t="s">
        <v>39508</v>
      </c>
      <c r="J11902" s="0" t="s">
        <v>39509</v>
      </c>
      <c r="K11902" s="0" t="s">
        <v>39510</v>
      </c>
      <c r="L11902" s="0" t="str">
        <f aca="false">HYPERLINK("https://www.ncbi.nlm.nih.gov/nuccore/CP000058.1?report=graph&amp;tracks=[key:gene_model_track,Options:GeneOnly]&amp;mk=3748670:3748689|offset_14|444444,3748638:3748657|offset_46|444444,3748605:3748624|offset_79|444444,3748581:3748600|offset_103|00cc00&amp;v=3748469:3748800&amp;c=444444", "offset 103")</f>
        <v>offset 103</v>
      </c>
    </row>
    <row r="11903" customFormat="false" ht="12.8" hidden="false" customHeight="false" outlineLevel="0" collapsed="false">
      <c r="A11903" s="0" t="s">
        <v>12</v>
      </c>
      <c r="B11903" s="0" t="n">
        <v>3750215</v>
      </c>
      <c r="C11903" s="0" t="n">
        <v>3750235</v>
      </c>
      <c r="D11903" s="0" t="s">
        <v>39511</v>
      </c>
      <c r="E11903" s="0" t="s">
        <v>39512</v>
      </c>
      <c r="F11903" s="0" t="s">
        <v>15</v>
      </c>
      <c r="G11903" s="0" t="s">
        <v>32</v>
      </c>
      <c r="H11903" s="0" t="n">
        <v>1</v>
      </c>
      <c r="I11903" s="0" t="s">
        <v>39513</v>
      </c>
      <c r="J11903" s="0" t="s">
        <v>39514</v>
      </c>
      <c r="K11903" s="0" t="s">
        <v>39515</v>
      </c>
      <c r="L11903" s="0" t="str">
        <f aca="false">HYPERLINK("https://www.ncbi.nlm.nih.gov/nuccore/CP000058.1?report=graph&amp;tracks=[key:gene_model_track,Options:GeneOnly]&amp;mk=3750216:3750235|offset_1|00cc00,3750254:3750273|offset_39|444444,3750274:3750293|offset_59|444444,3750300:3750319|offset_85|444444&amp;v=3750015:3750519&amp;c=444444", "offset 1")</f>
        <v>offset 1</v>
      </c>
    </row>
    <row r="11904" customFormat="false" ht="12.8" hidden="false" customHeight="false" outlineLevel="0" collapsed="false">
      <c r="A11904" s="0" t="s">
        <v>12</v>
      </c>
      <c r="B11904" s="0" t="n">
        <v>3750253</v>
      </c>
      <c r="C11904" s="0" t="n">
        <v>3750273</v>
      </c>
      <c r="D11904" s="0" t="s">
        <v>39511</v>
      </c>
      <c r="E11904" s="0" t="s">
        <v>39512</v>
      </c>
      <c r="F11904" s="0" t="s">
        <v>15</v>
      </c>
      <c r="G11904" s="0" t="s">
        <v>20</v>
      </c>
      <c r="H11904" s="0" t="n">
        <v>39</v>
      </c>
      <c r="I11904" s="0" t="s">
        <v>39516</v>
      </c>
      <c r="J11904" s="0" t="s">
        <v>39517</v>
      </c>
      <c r="K11904" s="0" t="s">
        <v>39518</v>
      </c>
      <c r="L11904" s="0" t="str">
        <f aca="false">HYPERLINK("https://www.ncbi.nlm.nih.gov/nuccore/CP000058.1?report=graph&amp;tracks=[key:gene_model_track,Options:GeneOnly]&amp;mk=3750216:3750235|offset_1|444444,3750254:3750273|offset_39|00cc00,3750274:3750293|offset_59|444444,3750300:3750319|offset_85|444444&amp;v=3750015:3750519&amp;c=444444", "offset 39")</f>
        <v>offset 39</v>
      </c>
    </row>
    <row r="11905" customFormat="false" ht="12.8" hidden="false" customHeight="false" outlineLevel="0" collapsed="false">
      <c r="A11905" s="0" t="s">
        <v>12</v>
      </c>
      <c r="B11905" s="0" t="n">
        <v>3750273</v>
      </c>
      <c r="C11905" s="0" t="n">
        <v>3750293</v>
      </c>
      <c r="D11905" s="0" t="s">
        <v>39511</v>
      </c>
      <c r="E11905" s="0" t="s">
        <v>39512</v>
      </c>
      <c r="F11905" s="0" t="s">
        <v>15</v>
      </c>
      <c r="G11905" s="0" t="s">
        <v>36</v>
      </c>
      <c r="H11905" s="0" t="n">
        <v>59</v>
      </c>
      <c r="I11905" s="0" t="s">
        <v>39519</v>
      </c>
      <c r="J11905" s="0" t="s">
        <v>39520</v>
      </c>
      <c r="K11905" s="0" t="s">
        <v>39521</v>
      </c>
      <c r="L11905" s="0" t="str">
        <f aca="false">HYPERLINK("https://www.ncbi.nlm.nih.gov/nuccore/CP000058.1?report=graph&amp;tracks=[key:gene_model_track,Options:GeneOnly]&amp;mk=3750216:3750235|offset_1|444444,3750254:3750273|offset_39|444444,3750274:3750293|offset_59|00cc00,3750300:3750319|offset_85|444444&amp;v=3750015:3750519&amp;c=444444", "offset 59")</f>
        <v>offset 59</v>
      </c>
    </row>
    <row r="11906" customFormat="false" ht="12.8" hidden="false" customHeight="false" outlineLevel="0" collapsed="false">
      <c r="A11906" s="0" t="s">
        <v>12</v>
      </c>
      <c r="B11906" s="0" t="n">
        <v>3750299</v>
      </c>
      <c r="C11906" s="0" t="n">
        <v>3750319</v>
      </c>
      <c r="D11906" s="0" t="s">
        <v>39511</v>
      </c>
      <c r="E11906" s="0" t="s">
        <v>39512</v>
      </c>
      <c r="F11906" s="0" t="s">
        <v>15</v>
      </c>
      <c r="G11906" s="0" t="s">
        <v>36</v>
      </c>
      <c r="H11906" s="0" t="n">
        <v>85</v>
      </c>
      <c r="I11906" s="0" t="s">
        <v>39522</v>
      </c>
      <c r="J11906" s="0" t="s">
        <v>39523</v>
      </c>
      <c r="K11906" s="0" t="s">
        <v>39524</v>
      </c>
      <c r="L11906" s="0" t="str">
        <f aca="false">HYPERLINK("https://www.ncbi.nlm.nih.gov/nuccore/CP000058.1?report=graph&amp;tracks=[key:gene_model_track,Options:GeneOnly]&amp;mk=3750216:3750235|offset_1|444444,3750254:3750273|offset_39|444444,3750274:3750293|offset_59|444444,3750300:3750319|offset_85|00cc00&amp;v=3750015:3750519&amp;c=444444", "offset 85")</f>
        <v>offset 85</v>
      </c>
    </row>
    <row r="11907" customFormat="false" ht="12.8" hidden="false" customHeight="false" outlineLevel="0" collapsed="false">
      <c r="A11907" s="0" t="s">
        <v>12</v>
      </c>
      <c r="B11907" s="0" t="n">
        <v>3751462</v>
      </c>
      <c r="C11907" s="0" t="n">
        <v>3751482</v>
      </c>
      <c r="D11907" s="0" t="s">
        <v>39525</v>
      </c>
      <c r="E11907" s="0" t="s">
        <v>75</v>
      </c>
      <c r="F11907" s="0" t="s">
        <v>15</v>
      </c>
      <c r="G11907" s="0" t="s">
        <v>16</v>
      </c>
      <c r="H11907" s="0" t="n">
        <v>22</v>
      </c>
      <c r="I11907" s="0" t="s">
        <v>39526</v>
      </c>
      <c r="J11907" s="0" t="s">
        <v>39527</v>
      </c>
      <c r="K11907" s="0" t="s">
        <v>39528</v>
      </c>
      <c r="L11907" s="0" t="str">
        <f aca="false">HYPERLINK("https://www.ncbi.nlm.nih.gov/nuccore/CP000058.1?report=graph&amp;tracks=[key:gene_model_track,Options:GeneOnly]&amp;mk=3751463:3751482|offset_22|00cc00,3751511:3751530|offset_70|444444,3751537:3751556|offset_96|444444,3751572:3751591|offset_131|444444&amp;v=3751262:3751791&amp;c=444444", "offset 22")</f>
        <v>offset 22</v>
      </c>
    </row>
    <row r="11908" customFormat="false" ht="12.8" hidden="false" customHeight="false" outlineLevel="0" collapsed="false">
      <c r="A11908" s="0" t="s">
        <v>12</v>
      </c>
      <c r="B11908" s="0" t="n">
        <v>3751510</v>
      </c>
      <c r="C11908" s="0" t="n">
        <v>3751530</v>
      </c>
      <c r="D11908" s="0" t="s">
        <v>39525</v>
      </c>
      <c r="E11908" s="0" t="s">
        <v>75</v>
      </c>
      <c r="F11908" s="0" t="s">
        <v>15</v>
      </c>
      <c r="G11908" s="0" t="s">
        <v>32</v>
      </c>
      <c r="H11908" s="0" t="n">
        <v>70</v>
      </c>
      <c r="I11908" s="0" t="s">
        <v>39529</v>
      </c>
      <c r="J11908" s="0" t="s">
        <v>39530</v>
      </c>
      <c r="K11908" s="0" t="s">
        <v>39531</v>
      </c>
      <c r="L11908" s="0" t="str">
        <f aca="false">HYPERLINK("https://www.ncbi.nlm.nih.gov/nuccore/CP000058.1?report=graph&amp;tracks=[key:gene_model_track,Options:GeneOnly]&amp;mk=3751463:3751482|offset_22|444444,3751511:3751530|offset_70|00cc00,3751537:3751556|offset_96|444444,3751572:3751591|offset_131|444444&amp;v=3751262:3751791&amp;c=444444", "offset 70")</f>
        <v>offset 70</v>
      </c>
    </row>
    <row r="11909" customFormat="false" ht="12.8" hidden="false" customHeight="false" outlineLevel="0" collapsed="false">
      <c r="A11909" s="0" t="s">
        <v>12</v>
      </c>
      <c r="B11909" s="0" t="n">
        <v>3751536</v>
      </c>
      <c r="C11909" s="0" t="n">
        <v>3751556</v>
      </c>
      <c r="D11909" s="0" t="s">
        <v>39525</v>
      </c>
      <c r="E11909" s="0" t="s">
        <v>75</v>
      </c>
      <c r="F11909" s="0" t="s">
        <v>15</v>
      </c>
      <c r="G11909" s="0" t="s">
        <v>36</v>
      </c>
      <c r="H11909" s="0" t="n">
        <v>96</v>
      </c>
      <c r="I11909" s="0" t="s">
        <v>39532</v>
      </c>
      <c r="J11909" s="0" t="s">
        <v>39533</v>
      </c>
      <c r="K11909" s="0" t="s">
        <v>39534</v>
      </c>
      <c r="L11909" s="0" t="str">
        <f aca="false">HYPERLINK("https://www.ncbi.nlm.nih.gov/nuccore/CP000058.1?report=graph&amp;tracks=[key:gene_model_track,Options:GeneOnly]&amp;mk=3751463:3751482|offset_22|444444,3751511:3751530|offset_70|444444,3751537:3751556|offset_96|00cc00,3751572:3751591|offset_131|444444&amp;v=3751262:3751791&amp;c=444444", "offset 96")</f>
        <v>offset 96</v>
      </c>
    </row>
    <row r="11910" customFormat="false" ht="12.8" hidden="false" customHeight="false" outlineLevel="0" collapsed="false">
      <c r="A11910" s="0" t="s">
        <v>12</v>
      </c>
      <c r="B11910" s="0" t="n">
        <v>3751571</v>
      </c>
      <c r="C11910" s="0" t="n">
        <v>3751591</v>
      </c>
      <c r="D11910" s="0" t="s">
        <v>39525</v>
      </c>
      <c r="E11910" s="0" t="s">
        <v>75</v>
      </c>
      <c r="F11910" s="0" t="s">
        <v>15</v>
      </c>
      <c r="G11910" s="0" t="s">
        <v>32</v>
      </c>
      <c r="H11910" s="0" t="n">
        <v>131</v>
      </c>
      <c r="I11910" s="0" t="s">
        <v>39535</v>
      </c>
      <c r="J11910" s="0" t="s">
        <v>39536</v>
      </c>
      <c r="K11910" s="0" t="s">
        <v>39537</v>
      </c>
      <c r="L11910" s="0" t="str">
        <f aca="false">HYPERLINK("https://www.ncbi.nlm.nih.gov/nuccore/CP000058.1?report=graph&amp;tracks=[key:gene_model_track,Options:GeneOnly]&amp;mk=3751463:3751482|offset_22|444444,3751511:3751530|offset_70|444444,3751537:3751556|offset_96|444444,3751572:3751591|offset_131|00cc00&amp;v=3751262:3751791&amp;c=444444", "offset 131")</f>
        <v>offset 131</v>
      </c>
    </row>
    <row r="11911" customFormat="false" ht="12.8" hidden="false" customHeight="false" outlineLevel="0" collapsed="false">
      <c r="A11911" s="0" t="s">
        <v>12</v>
      </c>
      <c r="B11911" s="0" t="n">
        <v>3752434</v>
      </c>
      <c r="C11911" s="0" t="n">
        <v>3752454</v>
      </c>
      <c r="D11911" s="0" t="s">
        <v>39538</v>
      </c>
      <c r="E11911" s="0" t="s">
        <v>75</v>
      </c>
      <c r="F11911" s="0" t="s">
        <v>15</v>
      </c>
      <c r="G11911" s="0" t="s">
        <v>20</v>
      </c>
      <c r="H11911" s="0" t="n">
        <v>0</v>
      </c>
      <c r="I11911" s="0" t="s">
        <v>39539</v>
      </c>
      <c r="J11911" s="0" t="s">
        <v>39540</v>
      </c>
      <c r="K11911" s="0" t="s">
        <v>39541</v>
      </c>
      <c r="L11911" s="0" t="str">
        <f aca="false">HYPERLINK("https://www.ncbi.nlm.nih.gov/nuccore/CP000058.1?report=graph&amp;tracks=[key:gene_model_track,Options:GeneOnly]&amp;mk=3752435:3752454|offset_0|00cc00,3752523:3752542|offset_88|444444,3752583:3752602|offset_148|444444,3752621:3752640|offset_186|444444&amp;v=3752234:3752840&amp;c=444444", "offset 0")</f>
        <v>offset 0</v>
      </c>
    </row>
    <row r="11912" customFormat="false" ht="12.8" hidden="false" customHeight="false" outlineLevel="0" collapsed="false">
      <c r="A11912" s="0" t="s">
        <v>12</v>
      </c>
      <c r="B11912" s="0" t="n">
        <v>3752522</v>
      </c>
      <c r="C11912" s="0" t="n">
        <v>3752542</v>
      </c>
      <c r="D11912" s="0" t="s">
        <v>39538</v>
      </c>
      <c r="E11912" s="0" t="s">
        <v>75</v>
      </c>
      <c r="F11912" s="0" t="s">
        <v>15</v>
      </c>
      <c r="G11912" s="0" t="s">
        <v>20</v>
      </c>
      <c r="H11912" s="0" t="n">
        <v>88</v>
      </c>
      <c r="I11912" s="0" t="s">
        <v>39542</v>
      </c>
      <c r="J11912" s="0" t="s">
        <v>39543</v>
      </c>
      <c r="K11912" s="0" t="s">
        <v>39544</v>
      </c>
      <c r="L11912" s="0" t="str">
        <f aca="false">HYPERLINK("https://www.ncbi.nlm.nih.gov/nuccore/CP000058.1?report=graph&amp;tracks=[key:gene_model_track,Options:GeneOnly]&amp;mk=3752435:3752454|offset_0|444444,3752523:3752542|offset_88|00cc00,3752583:3752602|offset_148|444444,3752621:3752640|offset_186|444444&amp;v=3752234:3752840&amp;c=444444", "offset 88")</f>
        <v>offset 88</v>
      </c>
    </row>
    <row r="11913" customFormat="false" ht="12.8" hidden="false" customHeight="false" outlineLevel="0" collapsed="false">
      <c r="A11913" s="0" t="s">
        <v>12</v>
      </c>
      <c r="B11913" s="0" t="n">
        <v>3752582</v>
      </c>
      <c r="C11913" s="0" t="n">
        <v>3752602</v>
      </c>
      <c r="D11913" s="0" t="s">
        <v>39538</v>
      </c>
      <c r="E11913" s="0" t="s">
        <v>75</v>
      </c>
      <c r="F11913" s="0" t="s">
        <v>15</v>
      </c>
      <c r="G11913" s="0" t="s">
        <v>16</v>
      </c>
      <c r="H11913" s="0" t="n">
        <v>148</v>
      </c>
      <c r="I11913" s="0" t="s">
        <v>39545</v>
      </c>
      <c r="J11913" s="0" t="s">
        <v>39546</v>
      </c>
      <c r="K11913" s="0" t="s">
        <v>39547</v>
      </c>
      <c r="L11913" s="0" t="str">
        <f aca="false">HYPERLINK("https://www.ncbi.nlm.nih.gov/nuccore/CP000058.1?report=graph&amp;tracks=[key:gene_model_track,Options:GeneOnly]&amp;mk=3752435:3752454|offset_0|444444,3752523:3752542|offset_88|444444,3752583:3752602|offset_148|00cc00,3752621:3752640|offset_186|444444&amp;v=3752234:3752840&amp;c=444444", "offset 148")</f>
        <v>offset 148</v>
      </c>
    </row>
    <row r="11914" customFormat="false" ht="12.8" hidden="false" customHeight="false" outlineLevel="0" collapsed="false">
      <c r="A11914" s="0" t="s">
        <v>12</v>
      </c>
      <c r="B11914" s="0" t="n">
        <v>3752620</v>
      </c>
      <c r="C11914" s="0" t="n">
        <v>3752640</v>
      </c>
      <c r="D11914" s="0" t="s">
        <v>39538</v>
      </c>
      <c r="E11914" s="0" t="s">
        <v>75</v>
      </c>
      <c r="F11914" s="0" t="s">
        <v>15</v>
      </c>
      <c r="G11914" s="0" t="s">
        <v>16</v>
      </c>
      <c r="H11914" s="0" t="n">
        <v>186</v>
      </c>
      <c r="I11914" s="0" t="s">
        <v>39548</v>
      </c>
      <c r="J11914" s="0" t="s">
        <v>39549</v>
      </c>
      <c r="K11914" s="0" t="s">
        <v>39550</v>
      </c>
      <c r="L11914" s="0" t="str">
        <f aca="false">HYPERLINK("https://www.ncbi.nlm.nih.gov/nuccore/CP000058.1?report=graph&amp;tracks=[key:gene_model_track,Options:GeneOnly]&amp;mk=3752435:3752454|offset_0|444444,3752523:3752542|offset_88|444444,3752583:3752602|offset_148|444444,3752621:3752640|offset_186|00cc00&amp;v=3752234:3752840&amp;c=444444", "offset 186")</f>
        <v>offset 186</v>
      </c>
    </row>
    <row r="11915" customFormat="false" ht="12.8" hidden="false" customHeight="false" outlineLevel="0" collapsed="false">
      <c r="A11915" s="0" t="s">
        <v>12</v>
      </c>
      <c r="B11915" s="0" t="n">
        <v>3753318</v>
      </c>
      <c r="C11915" s="0" t="n">
        <v>3753338</v>
      </c>
      <c r="D11915" s="0" t="s">
        <v>39551</v>
      </c>
      <c r="E11915" s="0" t="s">
        <v>75</v>
      </c>
      <c r="F11915" s="0" t="s">
        <v>15</v>
      </c>
      <c r="G11915" s="0" t="s">
        <v>32</v>
      </c>
      <c r="H11915" s="0" t="n">
        <v>1</v>
      </c>
      <c r="I11915" s="0" t="s">
        <v>39552</v>
      </c>
      <c r="J11915" s="0" t="s">
        <v>39553</v>
      </c>
      <c r="K11915" s="0" t="s">
        <v>39554</v>
      </c>
      <c r="L11915" s="0" t="str">
        <f aca="false">HYPERLINK("https://www.ncbi.nlm.nih.gov/nuccore/CP000058.1?report=graph&amp;tracks=[key:gene_model_track,Options:GeneOnly]&amp;mk=3753319:3753338|offset_1|00cc00,3753347:3753366|offset_29|444444,3753370:3753389|offset_52|444444,3753406:3753425|offset_88|444444&amp;v=3753118:3753625&amp;c=444444", "offset 1")</f>
        <v>offset 1</v>
      </c>
    </row>
    <row r="11916" customFormat="false" ht="12.8" hidden="false" customHeight="false" outlineLevel="0" collapsed="false">
      <c r="A11916" s="0" t="s">
        <v>12</v>
      </c>
      <c r="B11916" s="0" t="n">
        <v>3753346</v>
      </c>
      <c r="C11916" s="0" t="n">
        <v>3753366</v>
      </c>
      <c r="D11916" s="0" t="s">
        <v>39551</v>
      </c>
      <c r="E11916" s="0" t="s">
        <v>75</v>
      </c>
      <c r="F11916" s="0" t="s">
        <v>15</v>
      </c>
      <c r="G11916" s="0" t="s">
        <v>20</v>
      </c>
      <c r="H11916" s="0" t="n">
        <v>29</v>
      </c>
      <c r="I11916" s="0" t="s">
        <v>39555</v>
      </c>
      <c r="J11916" s="0" t="s">
        <v>39556</v>
      </c>
      <c r="K11916" s="0" t="s">
        <v>39557</v>
      </c>
      <c r="L11916" s="0" t="str">
        <f aca="false">HYPERLINK("https://www.ncbi.nlm.nih.gov/nuccore/CP000058.1?report=graph&amp;tracks=[key:gene_model_track,Options:GeneOnly]&amp;mk=3753319:3753338|offset_1|444444,3753347:3753366|offset_29|00cc00,3753370:3753389|offset_52|444444,3753406:3753425|offset_88|444444&amp;v=3753118:3753625&amp;c=444444", "offset 29")</f>
        <v>offset 29</v>
      </c>
    </row>
    <row r="11917" customFormat="false" ht="12.8" hidden="false" customHeight="false" outlineLevel="0" collapsed="false">
      <c r="A11917" s="0" t="s">
        <v>12</v>
      </c>
      <c r="B11917" s="0" t="n">
        <v>3753369</v>
      </c>
      <c r="C11917" s="0" t="n">
        <v>3753389</v>
      </c>
      <c r="D11917" s="0" t="s">
        <v>39551</v>
      </c>
      <c r="E11917" s="0" t="s">
        <v>75</v>
      </c>
      <c r="F11917" s="0" t="s">
        <v>15</v>
      </c>
      <c r="G11917" s="0" t="s">
        <v>32</v>
      </c>
      <c r="H11917" s="0" t="n">
        <v>52</v>
      </c>
      <c r="I11917" s="0" t="s">
        <v>39558</v>
      </c>
      <c r="J11917" s="0" t="s">
        <v>39559</v>
      </c>
      <c r="K11917" s="0" t="s">
        <v>39560</v>
      </c>
      <c r="L11917" s="0" t="str">
        <f aca="false">HYPERLINK("https://www.ncbi.nlm.nih.gov/nuccore/CP000058.1?report=graph&amp;tracks=[key:gene_model_track,Options:GeneOnly]&amp;mk=3753319:3753338|offset_1|444444,3753347:3753366|offset_29|444444,3753370:3753389|offset_52|00cc00,3753406:3753425|offset_88|444444&amp;v=3753118:3753625&amp;c=444444", "offset 52")</f>
        <v>offset 52</v>
      </c>
    </row>
    <row r="11918" customFormat="false" ht="12.8" hidden="false" customHeight="false" outlineLevel="0" collapsed="false">
      <c r="A11918" s="0" t="s">
        <v>12</v>
      </c>
      <c r="B11918" s="0" t="n">
        <v>3753405</v>
      </c>
      <c r="C11918" s="0" t="n">
        <v>3753425</v>
      </c>
      <c r="D11918" s="0" t="s">
        <v>39551</v>
      </c>
      <c r="E11918" s="0" t="s">
        <v>75</v>
      </c>
      <c r="F11918" s="0" t="s">
        <v>15</v>
      </c>
      <c r="G11918" s="0" t="s">
        <v>16</v>
      </c>
      <c r="H11918" s="0" t="n">
        <v>88</v>
      </c>
      <c r="I11918" s="0" t="s">
        <v>39561</v>
      </c>
      <c r="J11918" s="0" t="s">
        <v>39562</v>
      </c>
      <c r="K11918" s="0" t="s">
        <v>39563</v>
      </c>
      <c r="L11918" s="0" t="str">
        <f aca="false">HYPERLINK("https://www.ncbi.nlm.nih.gov/nuccore/CP000058.1?report=graph&amp;tracks=[key:gene_model_track,Options:GeneOnly]&amp;mk=3753319:3753338|offset_1|444444,3753347:3753366|offset_29|444444,3753370:3753389|offset_52|444444,3753406:3753425|offset_88|00cc00&amp;v=3753118:3753625&amp;c=444444", "offset 88")</f>
        <v>offset 88</v>
      </c>
    </row>
    <row r="11919" customFormat="false" ht="12.8" hidden="false" customHeight="false" outlineLevel="0" collapsed="false">
      <c r="A11919" s="0" t="s">
        <v>12</v>
      </c>
      <c r="B11919" s="0" t="n">
        <v>3754709</v>
      </c>
      <c r="C11919" s="0" t="n">
        <v>3754729</v>
      </c>
      <c r="D11919" s="0" t="s">
        <v>39564</v>
      </c>
      <c r="E11919" s="0" t="s">
        <v>75</v>
      </c>
      <c r="F11919" s="0" t="s">
        <v>15</v>
      </c>
      <c r="G11919" s="0" t="s">
        <v>20</v>
      </c>
      <c r="H11919" s="0" t="n">
        <v>11</v>
      </c>
      <c r="I11919" s="0" t="s">
        <v>39565</v>
      </c>
      <c r="J11919" s="0" t="s">
        <v>39566</v>
      </c>
      <c r="K11919" s="0" t="s">
        <v>39567</v>
      </c>
      <c r="L11919" s="0" t="str">
        <f aca="false">HYPERLINK("https://www.ncbi.nlm.nih.gov/nuccore/CP000058.1?report=graph&amp;tracks=[key:gene_model_track,Options:GeneOnly]&amp;mk=3754710:3754729|offset_11|00cc00,3754734:3754753|offset_35|444444,3754760:3754779|offset_61|444444,3754789:3754808|offset_90|444444&amp;v=3754509:3755008&amp;c=444444", "offset 11")</f>
        <v>offset 11</v>
      </c>
    </row>
    <row r="11920" customFormat="false" ht="12.8" hidden="false" customHeight="false" outlineLevel="0" collapsed="false">
      <c r="A11920" s="0" t="s">
        <v>12</v>
      </c>
      <c r="B11920" s="0" t="n">
        <v>3754733</v>
      </c>
      <c r="C11920" s="0" t="n">
        <v>3754753</v>
      </c>
      <c r="D11920" s="0" t="s">
        <v>39564</v>
      </c>
      <c r="E11920" s="0" t="s">
        <v>75</v>
      </c>
      <c r="F11920" s="0" t="s">
        <v>15</v>
      </c>
      <c r="G11920" s="0" t="s">
        <v>32</v>
      </c>
      <c r="H11920" s="0" t="n">
        <v>35</v>
      </c>
      <c r="I11920" s="0" t="s">
        <v>39568</v>
      </c>
      <c r="J11920" s="0" t="s">
        <v>39569</v>
      </c>
      <c r="K11920" s="0" t="s">
        <v>39570</v>
      </c>
      <c r="L11920" s="0" t="str">
        <f aca="false">HYPERLINK("https://www.ncbi.nlm.nih.gov/nuccore/CP000058.1?report=graph&amp;tracks=[key:gene_model_track,Options:GeneOnly]&amp;mk=3754710:3754729|offset_11|444444,3754734:3754753|offset_35|00cc00,3754760:3754779|offset_61|444444,3754789:3754808|offset_90|444444&amp;v=3754509:3755008&amp;c=444444", "offset 35")</f>
        <v>offset 35</v>
      </c>
    </row>
    <row r="11921" customFormat="false" ht="12.8" hidden="false" customHeight="false" outlineLevel="0" collapsed="false">
      <c r="A11921" s="0" t="s">
        <v>12</v>
      </c>
      <c r="B11921" s="0" t="n">
        <v>3754759</v>
      </c>
      <c r="C11921" s="0" t="n">
        <v>3754779</v>
      </c>
      <c r="D11921" s="0" t="s">
        <v>39564</v>
      </c>
      <c r="E11921" s="0" t="s">
        <v>75</v>
      </c>
      <c r="F11921" s="0" t="s">
        <v>15</v>
      </c>
      <c r="G11921" s="0" t="s">
        <v>16</v>
      </c>
      <c r="H11921" s="0" t="n">
        <v>61</v>
      </c>
      <c r="I11921" s="0" t="s">
        <v>39571</v>
      </c>
      <c r="J11921" s="0" t="s">
        <v>39572</v>
      </c>
      <c r="K11921" s="0" t="s">
        <v>39573</v>
      </c>
      <c r="L11921" s="0" t="str">
        <f aca="false">HYPERLINK("https://www.ncbi.nlm.nih.gov/nuccore/CP000058.1?report=graph&amp;tracks=[key:gene_model_track,Options:GeneOnly]&amp;mk=3754710:3754729|offset_11|444444,3754734:3754753|offset_35|444444,3754760:3754779|offset_61|00cc00,3754789:3754808|offset_90|444444&amp;v=3754509:3755008&amp;c=444444", "offset 61")</f>
        <v>offset 61</v>
      </c>
    </row>
    <row r="11922" customFormat="false" ht="12.8" hidden="false" customHeight="false" outlineLevel="0" collapsed="false">
      <c r="A11922" s="0" t="s">
        <v>12</v>
      </c>
      <c r="B11922" s="0" t="n">
        <v>3754788</v>
      </c>
      <c r="C11922" s="0" t="n">
        <v>3754808</v>
      </c>
      <c r="D11922" s="0" t="s">
        <v>39564</v>
      </c>
      <c r="E11922" s="0" t="s">
        <v>75</v>
      </c>
      <c r="F11922" s="0" t="s">
        <v>15</v>
      </c>
      <c r="G11922" s="0" t="s">
        <v>16</v>
      </c>
      <c r="H11922" s="0" t="n">
        <v>90</v>
      </c>
      <c r="I11922" s="0" t="s">
        <v>39574</v>
      </c>
      <c r="J11922" s="0" t="s">
        <v>39575</v>
      </c>
      <c r="K11922" s="0" t="s">
        <v>39576</v>
      </c>
      <c r="L11922" s="0" t="str">
        <f aca="false">HYPERLINK("https://www.ncbi.nlm.nih.gov/nuccore/CP000058.1?report=graph&amp;tracks=[key:gene_model_track,Options:GeneOnly]&amp;mk=3754710:3754729|offset_11|444444,3754734:3754753|offset_35|444444,3754760:3754779|offset_61|444444,3754789:3754808|offset_90|00cc00&amp;v=3754509:3755008&amp;c=444444", "offset 90")</f>
        <v>offset 90</v>
      </c>
    </row>
    <row r="11923" customFormat="false" ht="12.8" hidden="false" customHeight="false" outlineLevel="0" collapsed="false">
      <c r="A11923" s="0" t="s">
        <v>12</v>
      </c>
      <c r="B11923" s="0" t="n">
        <v>3755518</v>
      </c>
      <c r="C11923" s="0" t="n">
        <v>3755538</v>
      </c>
      <c r="D11923" s="0" t="s">
        <v>39577</v>
      </c>
      <c r="E11923" s="0" t="s">
        <v>75</v>
      </c>
      <c r="F11923" s="0" t="s">
        <v>15</v>
      </c>
      <c r="G11923" s="0" t="s">
        <v>32</v>
      </c>
      <c r="H11923" s="0" t="n">
        <v>16</v>
      </c>
      <c r="I11923" s="0" t="s">
        <v>39578</v>
      </c>
      <c r="J11923" s="0" t="s">
        <v>39579</v>
      </c>
      <c r="K11923" s="0" t="s">
        <v>39580</v>
      </c>
      <c r="L11923" s="0" t="str">
        <f aca="false">HYPERLINK("https://www.ncbi.nlm.nih.gov/nuccore/CP000058.1?report=graph&amp;tracks=[key:gene_model_track,Options:GeneOnly]&amp;mk=3755519:3755538|offset_16|00cc00,3755545:3755564|offset_42|444444,3755605:3755624|offset_102|444444,3755629:3755648|offset_126|444444&amp;v=3755318:3755848&amp;c=444444", "offset 16")</f>
        <v>offset 16</v>
      </c>
    </row>
    <row r="11924" customFormat="false" ht="12.8" hidden="false" customHeight="false" outlineLevel="0" collapsed="false">
      <c r="A11924" s="0" t="s">
        <v>12</v>
      </c>
      <c r="B11924" s="0" t="n">
        <v>3755544</v>
      </c>
      <c r="C11924" s="0" t="n">
        <v>3755564</v>
      </c>
      <c r="D11924" s="0" t="s">
        <v>39577</v>
      </c>
      <c r="E11924" s="0" t="s">
        <v>75</v>
      </c>
      <c r="F11924" s="0" t="s">
        <v>15</v>
      </c>
      <c r="G11924" s="0" t="s">
        <v>16</v>
      </c>
      <c r="H11924" s="0" t="n">
        <v>42</v>
      </c>
      <c r="I11924" s="0" t="s">
        <v>39581</v>
      </c>
      <c r="J11924" s="0" t="s">
        <v>39582</v>
      </c>
      <c r="K11924" s="0" t="s">
        <v>39583</v>
      </c>
      <c r="L11924" s="0" t="str">
        <f aca="false">HYPERLINK("https://www.ncbi.nlm.nih.gov/nuccore/CP000058.1?report=graph&amp;tracks=[key:gene_model_track,Options:GeneOnly]&amp;mk=3755519:3755538|offset_16|444444,3755545:3755564|offset_42|00cc00,3755605:3755624|offset_102|444444,3755629:3755648|offset_126|444444&amp;v=3755318:3755848&amp;c=444444", "offset 42")</f>
        <v>offset 42</v>
      </c>
    </row>
    <row r="11925" customFormat="false" ht="12.8" hidden="false" customHeight="false" outlineLevel="0" collapsed="false">
      <c r="A11925" s="0" t="s">
        <v>12</v>
      </c>
      <c r="B11925" s="0" t="n">
        <v>3755604</v>
      </c>
      <c r="C11925" s="0" t="n">
        <v>3755624</v>
      </c>
      <c r="D11925" s="0" t="s">
        <v>39577</v>
      </c>
      <c r="E11925" s="0" t="s">
        <v>75</v>
      </c>
      <c r="F11925" s="0" t="s">
        <v>15</v>
      </c>
      <c r="G11925" s="0" t="s">
        <v>16</v>
      </c>
      <c r="H11925" s="0" t="n">
        <v>102</v>
      </c>
      <c r="I11925" s="0" t="s">
        <v>39584</v>
      </c>
      <c r="J11925" s="0" t="s">
        <v>39585</v>
      </c>
      <c r="K11925" s="0" t="s">
        <v>39586</v>
      </c>
      <c r="L11925" s="0" t="str">
        <f aca="false">HYPERLINK("https://www.ncbi.nlm.nih.gov/nuccore/CP000058.1?report=graph&amp;tracks=[key:gene_model_track,Options:GeneOnly]&amp;mk=3755519:3755538|offset_16|444444,3755545:3755564|offset_42|444444,3755605:3755624|offset_102|00cc00,3755629:3755648|offset_126|444444&amp;v=3755318:3755848&amp;c=444444", "offset 102")</f>
        <v>offset 102</v>
      </c>
    </row>
    <row r="11926" customFormat="false" ht="12.8" hidden="false" customHeight="false" outlineLevel="0" collapsed="false">
      <c r="A11926" s="0" t="s">
        <v>12</v>
      </c>
      <c r="B11926" s="0" t="n">
        <v>3755628</v>
      </c>
      <c r="C11926" s="0" t="n">
        <v>3755648</v>
      </c>
      <c r="D11926" s="0" t="s">
        <v>39577</v>
      </c>
      <c r="E11926" s="0" t="s">
        <v>75</v>
      </c>
      <c r="F11926" s="0" t="s">
        <v>15</v>
      </c>
      <c r="G11926" s="0" t="s">
        <v>16</v>
      </c>
      <c r="H11926" s="0" t="n">
        <v>126</v>
      </c>
      <c r="I11926" s="0" t="s">
        <v>39587</v>
      </c>
      <c r="J11926" s="0" t="s">
        <v>39588</v>
      </c>
      <c r="K11926" s="0" t="s">
        <v>39589</v>
      </c>
      <c r="L11926" s="0" t="str">
        <f aca="false">HYPERLINK("https://www.ncbi.nlm.nih.gov/nuccore/CP000058.1?report=graph&amp;tracks=[key:gene_model_track,Options:GeneOnly]&amp;mk=3755519:3755538|offset_16|444444,3755545:3755564|offset_42|444444,3755605:3755624|offset_102|444444,3755629:3755648|offset_126|00cc00&amp;v=3755318:3755848&amp;c=444444", "offset 126")</f>
        <v>offset 126</v>
      </c>
    </row>
    <row r="11927" customFormat="false" ht="12.8" hidden="false" customHeight="false" outlineLevel="0" collapsed="false">
      <c r="A11927" s="0" t="s">
        <v>12</v>
      </c>
      <c r="B11927" s="0" t="n">
        <v>3756556</v>
      </c>
      <c r="C11927" s="0" t="n">
        <v>3756576</v>
      </c>
      <c r="D11927" s="0" t="s">
        <v>39590</v>
      </c>
      <c r="E11927" s="0" t="s">
        <v>75</v>
      </c>
      <c r="F11927" s="0" t="s">
        <v>90</v>
      </c>
      <c r="G11927" s="0" t="s">
        <v>36</v>
      </c>
      <c r="H11927" s="0" t="n">
        <v>19</v>
      </c>
      <c r="I11927" s="0" t="s">
        <v>39591</v>
      </c>
      <c r="J11927" s="0" t="s">
        <v>39592</v>
      </c>
      <c r="K11927" s="0" t="s">
        <v>39593</v>
      </c>
      <c r="L11927" s="0" t="str">
        <f aca="false">HYPERLINK("https://www.ncbi.nlm.nih.gov/nuccore/CP000058.1?report=graph&amp;tracks=[key:gene_model_track,Options:GeneOnly]&amp;mk=3756557:3756576|offset_19|00cc00,3756532:3756551|offset_44|444444,3756496:3756515|offset_80|444444,3756442:3756461|offset_134|444444&amp;v=3756356:3756661&amp;c=444444", "offset 19")</f>
        <v>offset 19</v>
      </c>
    </row>
    <row r="11928" customFormat="false" ht="12.8" hidden="false" customHeight="false" outlineLevel="0" collapsed="false">
      <c r="A11928" s="0" t="s">
        <v>12</v>
      </c>
      <c r="B11928" s="0" t="n">
        <v>3756531</v>
      </c>
      <c r="C11928" s="0" t="n">
        <v>3756551</v>
      </c>
      <c r="D11928" s="0" t="s">
        <v>39590</v>
      </c>
      <c r="E11928" s="0" t="s">
        <v>75</v>
      </c>
      <c r="F11928" s="0" t="s">
        <v>90</v>
      </c>
      <c r="G11928" s="0" t="s">
        <v>20</v>
      </c>
      <c r="H11928" s="0" t="n">
        <v>44</v>
      </c>
      <c r="I11928" s="0" t="s">
        <v>39594</v>
      </c>
      <c r="J11928" s="0" t="s">
        <v>39595</v>
      </c>
      <c r="K11928" s="0" t="s">
        <v>39596</v>
      </c>
      <c r="L11928" s="0" t="str">
        <f aca="false">HYPERLINK("https://www.ncbi.nlm.nih.gov/nuccore/CP000058.1?report=graph&amp;tracks=[key:gene_model_track,Options:GeneOnly]&amp;mk=3756557:3756576|offset_19|444444,3756532:3756551|offset_44|00cc00,3756496:3756515|offset_80|444444,3756442:3756461|offset_134|444444&amp;v=3756356:3756661&amp;c=444444", "offset 44")</f>
        <v>offset 44</v>
      </c>
    </row>
    <row r="11929" customFormat="false" ht="12.8" hidden="false" customHeight="false" outlineLevel="0" collapsed="false">
      <c r="A11929" s="0" t="s">
        <v>12</v>
      </c>
      <c r="B11929" s="0" t="n">
        <v>3756495</v>
      </c>
      <c r="C11929" s="0" t="n">
        <v>3756515</v>
      </c>
      <c r="D11929" s="0" t="s">
        <v>39590</v>
      </c>
      <c r="E11929" s="0" t="s">
        <v>75</v>
      </c>
      <c r="F11929" s="0" t="s">
        <v>90</v>
      </c>
      <c r="G11929" s="0" t="s">
        <v>20</v>
      </c>
      <c r="H11929" s="0" t="n">
        <v>80</v>
      </c>
      <c r="I11929" s="0" t="s">
        <v>39597</v>
      </c>
      <c r="J11929" s="0" t="s">
        <v>39598</v>
      </c>
      <c r="K11929" s="0" t="s">
        <v>39599</v>
      </c>
      <c r="L11929" s="0" t="str">
        <f aca="false">HYPERLINK("https://www.ncbi.nlm.nih.gov/nuccore/CP000058.1?report=graph&amp;tracks=[key:gene_model_track,Options:GeneOnly]&amp;mk=3756557:3756576|offset_19|444444,3756532:3756551|offset_44|444444,3756496:3756515|offset_80|00cc00,3756442:3756461|offset_134|444444&amp;v=3756356:3756661&amp;c=444444", "offset 80")</f>
        <v>offset 80</v>
      </c>
    </row>
    <row r="11930" customFormat="false" ht="12.8" hidden="false" customHeight="false" outlineLevel="0" collapsed="false">
      <c r="A11930" s="0" t="s">
        <v>12</v>
      </c>
      <c r="B11930" s="0" t="n">
        <v>3756441</v>
      </c>
      <c r="C11930" s="0" t="n">
        <v>3756461</v>
      </c>
      <c r="D11930" s="0" t="s">
        <v>39590</v>
      </c>
      <c r="E11930" s="0" t="s">
        <v>75</v>
      </c>
      <c r="F11930" s="0" t="s">
        <v>90</v>
      </c>
      <c r="G11930" s="0" t="s">
        <v>20</v>
      </c>
      <c r="H11930" s="0" t="n">
        <v>134</v>
      </c>
      <c r="I11930" s="0" t="s">
        <v>39600</v>
      </c>
      <c r="J11930" s="0" t="s">
        <v>39601</v>
      </c>
      <c r="K11930" s="0" t="s">
        <v>39602</v>
      </c>
      <c r="L11930" s="0" t="str">
        <f aca="false">HYPERLINK("https://www.ncbi.nlm.nih.gov/nuccore/CP000058.1?report=graph&amp;tracks=[key:gene_model_track,Options:GeneOnly]&amp;mk=3756557:3756576|offset_19|444444,3756532:3756551|offset_44|444444,3756496:3756515|offset_80|444444,3756442:3756461|offset_134|00cc00&amp;v=3756356:3756661&amp;c=444444", "offset 134")</f>
        <v>offset 134</v>
      </c>
    </row>
    <row r="11931" customFormat="false" ht="12.8" hidden="false" customHeight="false" outlineLevel="0" collapsed="false">
      <c r="A11931" s="0" t="s">
        <v>12</v>
      </c>
      <c r="B11931" s="0" t="n">
        <v>3757799</v>
      </c>
      <c r="C11931" s="0" t="n">
        <v>3757819</v>
      </c>
      <c r="D11931" s="0" t="s">
        <v>39603</v>
      </c>
      <c r="E11931" s="0" t="s">
        <v>75</v>
      </c>
      <c r="F11931" s="0" t="s">
        <v>90</v>
      </c>
      <c r="G11931" s="0" t="s">
        <v>20</v>
      </c>
      <c r="H11931" s="0" t="n">
        <v>71</v>
      </c>
      <c r="I11931" s="0" t="s">
        <v>39604</v>
      </c>
      <c r="J11931" s="0" t="s">
        <v>39605</v>
      </c>
      <c r="K11931" s="0" t="s">
        <v>39606</v>
      </c>
      <c r="L11931" s="0" t="str">
        <f aca="false">HYPERLINK("https://www.ncbi.nlm.nih.gov/nuccore/CP000058.1?report=graph&amp;tracks=[key:gene_model_track,Options:GeneOnly]&amp;mk=3757800:3757819|offset_71|00cc00,3757772:3757791|offset_99|444444,3757752:3757771|offset_119|444444,3757711:3757730|offset_160|444444&amp;v=3757599:3757930&amp;c=444444", "offset 71")</f>
        <v>offset 71</v>
      </c>
    </row>
    <row r="11932" customFormat="false" ht="12.8" hidden="false" customHeight="false" outlineLevel="0" collapsed="false">
      <c r="A11932" s="0" t="s">
        <v>12</v>
      </c>
      <c r="B11932" s="0" t="n">
        <v>3757771</v>
      </c>
      <c r="C11932" s="0" t="n">
        <v>3757791</v>
      </c>
      <c r="D11932" s="0" t="s">
        <v>39603</v>
      </c>
      <c r="E11932" s="0" t="s">
        <v>75</v>
      </c>
      <c r="F11932" s="0" t="s">
        <v>90</v>
      </c>
      <c r="G11932" s="0" t="s">
        <v>16</v>
      </c>
      <c r="H11932" s="0" t="n">
        <v>99</v>
      </c>
      <c r="I11932" s="0" t="s">
        <v>39607</v>
      </c>
      <c r="J11932" s="0" t="s">
        <v>39608</v>
      </c>
      <c r="K11932" s="0" t="s">
        <v>39609</v>
      </c>
      <c r="L11932" s="0" t="str">
        <f aca="false">HYPERLINK("https://www.ncbi.nlm.nih.gov/nuccore/CP000058.1?report=graph&amp;tracks=[key:gene_model_track,Options:GeneOnly]&amp;mk=3757800:3757819|offset_71|444444,3757772:3757791|offset_99|00cc00,3757752:3757771|offset_119|444444,3757711:3757730|offset_160|444444&amp;v=3757599:3757930&amp;c=444444", "offset 99")</f>
        <v>offset 99</v>
      </c>
    </row>
    <row r="11933" customFormat="false" ht="12.8" hidden="false" customHeight="false" outlineLevel="0" collapsed="false">
      <c r="A11933" s="0" t="s">
        <v>12</v>
      </c>
      <c r="B11933" s="0" t="n">
        <v>3757751</v>
      </c>
      <c r="C11933" s="0" t="n">
        <v>3757771</v>
      </c>
      <c r="D11933" s="0" t="s">
        <v>39603</v>
      </c>
      <c r="E11933" s="0" t="s">
        <v>75</v>
      </c>
      <c r="F11933" s="0" t="s">
        <v>90</v>
      </c>
      <c r="G11933" s="0" t="s">
        <v>20</v>
      </c>
      <c r="H11933" s="0" t="n">
        <v>119</v>
      </c>
      <c r="I11933" s="0" t="s">
        <v>39610</v>
      </c>
      <c r="J11933" s="0" t="s">
        <v>39611</v>
      </c>
      <c r="K11933" s="0" t="s">
        <v>39612</v>
      </c>
      <c r="L11933" s="0" t="str">
        <f aca="false">HYPERLINK("https://www.ncbi.nlm.nih.gov/nuccore/CP000058.1?report=graph&amp;tracks=[key:gene_model_track,Options:GeneOnly]&amp;mk=3757800:3757819|offset_71|444444,3757772:3757791|offset_99|444444,3757752:3757771|offset_119|00cc00,3757711:3757730|offset_160|444444&amp;v=3757599:3757930&amp;c=444444", "offset 119")</f>
        <v>offset 119</v>
      </c>
    </row>
    <row r="11934" customFormat="false" ht="12.8" hidden="false" customHeight="false" outlineLevel="0" collapsed="false">
      <c r="A11934" s="0" t="s">
        <v>12</v>
      </c>
      <c r="B11934" s="0" t="n">
        <v>3757710</v>
      </c>
      <c r="C11934" s="0" t="n">
        <v>3757730</v>
      </c>
      <c r="D11934" s="0" t="s">
        <v>39603</v>
      </c>
      <c r="E11934" s="0" t="s">
        <v>75</v>
      </c>
      <c r="F11934" s="0" t="s">
        <v>90</v>
      </c>
      <c r="G11934" s="0" t="s">
        <v>32</v>
      </c>
      <c r="H11934" s="0" t="n">
        <v>160</v>
      </c>
      <c r="I11934" s="0" t="s">
        <v>39613</v>
      </c>
      <c r="J11934" s="0" t="s">
        <v>39614</v>
      </c>
      <c r="K11934" s="0" t="s">
        <v>39615</v>
      </c>
      <c r="L11934" s="0" t="str">
        <f aca="false">HYPERLINK("https://www.ncbi.nlm.nih.gov/nuccore/CP000058.1?report=graph&amp;tracks=[key:gene_model_track,Options:GeneOnly]&amp;mk=3757800:3757819|offset_71|444444,3757772:3757791|offset_99|444444,3757752:3757771|offset_119|444444,3757711:3757730|offset_160|00cc00&amp;v=3757599:3757930&amp;c=444444", "offset 160")</f>
        <v>offset 160</v>
      </c>
    </row>
    <row r="11935" customFormat="false" ht="12.8" hidden="false" customHeight="false" outlineLevel="0" collapsed="false">
      <c r="A11935" s="0" t="s">
        <v>12</v>
      </c>
      <c r="B11935" s="0" t="n">
        <v>3759085</v>
      </c>
      <c r="C11935" s="0" t="n">
        <v>3759105</v>
      </c>
      <c r="D11935" s="0" t="s">
        <v>39616</v>
      </c>
      <c r="E11935" s="0" t="s">
        <v>75</v>
      </c>
      <c r="F11935" s="0" t="s">
        <v>90</v>
      </c>
      <c r="G11935" s="0" t="s">
        <v>32</v>
      </c>
      <c r="H11935" s="0" t="n">
        <v>1</v>
      </c>
      <c r="I11935" s="0" t="s">
        <v>39617</v>
      </c>
      <c r="J11935" s="0" t="s">
        <v>39618</v>
      </c>
      <c r="K11935" s="0" t="s">
        <v>39619</v>
      </c>
      <c r="L11935" s="0" t="str">
        <f aca="false">HYPERLINK("https://www.ncbi.nlm.nih.gov/nuccore/CP000058.1?report=graph&amp;tracks=[key:gene_model_track,Options:GeneOnly]&amp;mk=3759086:3759105|offset_1|00cc00,3759045:3759064|offset_42|444444,3758994:3759013|offset_93|444444,3758971:3758990|offset_116|444444&amp;v=3758885:3759190&amp;c=444444", "offset 1")</f>
        <v>offset 1</v>
      </c>
    </row>
    <row r="11936" customFormat="false" ht="12.8" hidden="false" customHeight="false" outlineLevel="0" collapsed="false">
      <c r="A11936" s="0" t="s">
        <v>12</v>
      </c>
      <c r="B11936" s="0" t="n">
        <v>3759044</v>
      </c>
      <c r="C11936" s="0" t="n">
        <v>3759064</v>
      </c>
      <c r="D11936" s="0" t="s">
        <v>39616</v>
      </c>
      <c r="E11936" s="0" t="s">
        <v>75</v>
      </c>
      <c r="F11936" s="0" t="s">
        <v>90</v>
      </c>
      <c r="G11936" s="0" t="s">
        <v>20</v>
      </c>
      <c r="H11936" s="0" t="n">
        <v>42</v>
      </c>
      <c r="I11936" s="0" t="s">
        <v>39620</v>
      </c>
      <c r="J11936" s="0" t="s">
        <v>39621</v>
      </c>
      <c r="K11936" s="0" t="s">
        <v>39622</v>
      </c>
      <c r="L11936" s="0" t="str">
        <f aca="false">HYPERLINK("https://www.ncbi.nlm.nih.gov/nuccore/CP000058.1?report=graph&amp;tracks=[key:gene_model_track,Options:GeneOnly]&amp;mk=3759086:3759105|offset_1|444444,3759045:3759064|offset_42|00cc00,3758994:3759013|offset_93|444444,3758971:3758990|offset_116|444444&amp;v=3758885:3759190&amp;c=444444", "offset 42")</f>
        <v>offset 42</v>
      </c>
    </row>
    <row r="11937" customFormat="false" ht="12.8" hidden="false" customHeight="false" outlineLevel="0" collapsed="false">
      <c r="A11937" s="0" t="s">
        <v>12</v>
      </c>
      <c r="B11937" s="0" t="n">
        <v>3758993</v>
      </c>
      <c r="C11937" s="0" t="n">
        <v>3759013</v>
      </c>
      <c r="D11937" s="0" t="s">
        <v>39616</v>
      </c>
      <c r="E11937" s="0" t="s">
        <v>75</v>
      </c>
      <c r="F11937" s="0" t="s">
        <v>90</v>
      </c>
      <c r="G11937" s="0" t="s">
        <v>16</v>
      </c>
      <c r="H11937" s="0" t="n">
        <v>93</v>
      </c>
      <c r="I11937" s="0" t="s">
        <v>39623</v>
      </c>
      <c r="J11937" s="0" t="s">
        <v>39624</v>
      </c>
      <c r="K11937" s="0" t="s">
        <v>39625</v>
      </c>
      <c r="L11937" s="0" t="str">
        <f aca="false">HYPERLINK("https://www.ncbi.nlm.nih.gov/nuccore/CP000058.1?report=graph&amp;tracks=[key:gene_model_track,Options:GeneOnly]&amp;mk=3759086:3759105|offset_1|444444,3759045:3759064|offset_42|444444,3758994:3759013|offset_93|00cc00,3758971:3758990|offset_116|444444&amp;v=3758885:3759190&amp;c=444444", "offset 93")</f>
        <v>offset 93</v>
      </c>
    </row>
    <row r="11938" customFormat="false" ht="12.8" hidden="false" customHeight="false" outlineLevel="0" collapsed="false">
      <c r="A11938" s="0" t="s">
        <v>12</v>
      </c>
      <c r="B11938" s="0" t="n">
        <v>3758970</v>
      </c>
      <c r="C11938" s="0" t="n">
        <v>3758990</v>
      </c>
      <c r="D11938" s="0" t="s">
        <v>39616</v>
      </c>
      <c r="E11938" s="0" t="s">
        <v>75</v>
      </c>
      <c r="F11938" s="0" t="s">
        <v>90</v>
      </c>
      <c r="G11938" s="0" t="s">
        <v>16</v>
      </c>
      <c r="H11938" s="0" t="n">
        <v>116</v>
      </c>
      <c r="I11938" s="0" t="s">
        <v>39626</v>
      </c>
      <c r="J11938" s="0" t="s">
        <v>39627</v>
      </c>
      <c r="K11938" s="0" t="s">
        <v>39628</v>
      </c>
      <c r="L11938" s="0" t="str">
        <f aca="false">HYPERLINK("https://www.ncbi.nlm.nih.gov/nuccore/CP000058.1?report=graph&amp;tracks=[key:gene_model_track,Options:GeneOnly]&amp;mk=3759086:3759105|offset_1|444444,3759045:3759064|offset_42|444444,3758994:3759013|offset_93|444444,3758971:3758990|offset_116|00cc00&amp;v=3758885:3759190&amp;c=444444", "offset 116")</f>
        <v>offset 116</v>
      </c>
    </row>
    <row r="11939" customFormat="false" ht="12.8" hidden="false" customHeight="false" outlineLevel="0" collapsed="false">
      <c r="A11939" s="0" t="s">
        <v>12</v>
      </c>
      <c r="B11939" s="0" t="n">
        <v>3759300</v>
      </c>
      <c r="C11939" s="0" t="n">
        <v>3759320</v>
      </c>
      <c r="D11939" s="0" t="s">
        <v>39629</v>
      </c>
      <c r="E11939" s="0" t="s">
        <v>75</v>
      </c>
      <c r="F11939" s="0" t="s">
        <v>15</v>
      </c>
      <c r="G11939" s="0" t="s">
        <v>20</v>
      </c>
      <c r="H11939" s="0" t="n">
        <v>0</v>
      </c>
      <c r="I11939" s="0" t="s">
        <v>39630</v>
      </c>
      <c r="J11939" s="0" t="s">
        <v>39631</v>
      </c>
      <c r="K11939" s="0" t="s">
        <v>39632</v>
      </c>
      <c r="L11939" s="0" t="str">
        <f aca="false">HYPERLINK("https://www.ncbi.nlm.nih.gov/nuccore/CP000058.1?report=graph&amp;tracks=[key:gene_model_track,Options:GeneOnly]&amp;mk=3759301:3759320|offset_0|00cc00,3759321:3759340|offset_20|444444,3759344:3759363|offset_43|444444,3759365:3759384|offset_64|444444&amp;v=3759100:3759584&amp;c=444444", "offset 0")</f>
        <v>offset 0</v>
      </c>
    </row>
    <row r="11940" customFormat="false" ht="12.8" hidden="false" customHeight="false" outlineLevel="0" collapsed="false">
      <c r="A11940" s="0" t="s">
        <v>12</v>
      </c>
      <c r="B11940" s="0" t="n">
        <v>3759320</v>
      </c>
      <c r="C11940" s="0" t="n">
        <v>3759340</v>
      </c>
      <c r="D11940" s="0" t="s">
        <v>39629</v>
      </c>
      <c r="E11940" s="0" t="s">
        <v>75</v>
      </c>
      <c r="F11940" s="0" t="s">
        <v>15</v>
      </c>
      <c r="G11940" s="0" t="s">
        <v>20</v>
      </c>
      <c r="H11940" s="0" t="n">
        <v>20</v>
      </c>
      <c r="I11940" s="0" t="s">
        <v>39633</v>
      </c>
      <c r="J11940" s="0" t="s">
        <v>39634</v>
      </c>
      <c r="K11940" s="0" t="s">
        <v>39635</v>
      </c>
      <c r="L11940" s="0" t="str">
        <f aca="false">HYPERLINK("https://www.ncbi.nlm.nih.gov/nuccore/CP000058.1?report=graph&amp;tracks=[key:gene_model_track,Options:GeneOnly]&amp;mk=3759301:3759320|offset_0|444444,3759321:3759340|offset_20|00cc00,3759344:3759363|offset_43|444444,3759365:3759384|offset_64|444444&amp;v=3759100:3759584&amp;c=444444", "offset 20")</f>
        <v>offset 20</v>
      </c>
    </row>
    <row r="11941" customFormat="false" ht="12.8" hidden="false" customHeight="false" outlineLevel="0" collapsed="false">
      <c r="A11941" s="0" t="s">
        <v>12</v>
      </c>
      <c r="B11941" s="0" t="n">
        <v>3759343</v>
      </c>
      <c r="C11941" s="0" t="n">
        <v>3759363</v>
      </c>
      <c r="D11941" s="0" t="s">
        <v>39629</v>
      </c>
      <c r="E11941" s="0" t="s">
        <v>75</v>
      </c>
      <c r="F11941" s="0" t="s">
        <v>15</v>
      </c>
      <c r="G11941" s="0" t="s">
        <v>32</v>
      </c>
      <c r="H11941" s="0" t="n">
        <v>43</v>
      </c>
      <c r="I11941" s="0" t="s">
        <v>39636</v>
      </c>
      <c r="J11941" s="0" t="s">
        <v>39637</v>
      </c>
      <c r="K11941" s="0" t="s">
        <v>39638</v>
      </c>
      <c r="L11941" s="0" t="str">
        <f aca="false">HYPERLINK("https://www.ncbi.nlm.nih.gov/nuccore/CP000058.1?report=graph&amp;tracks=[key:gene_model_track,Options:GeneOnly]&amp;mk=3759301:3759320|offset_0|444444,3759321:3759340|offset_20|444444,3759344:3759363|offset_43|00cc00,3759365:3759384|offset_64|444444&amp;v=3759100:3759584&amp;c=444444", "offset 43")</f>
        <v>offset 43</v>
      </c>
    </row>
    <row r="11942" customFormat="false" ht="12.8" hidden="false" customHeight="false" outlineLevel="0" collapsed="false">
      <c r="A11942" s="0" t="s">
        <v>12</v>
      </c>
      <c r="B11942" s="0" t="n">
        <v>3759364</v>
      </c>
      <c r="C11942" s="0" t="n">
        <v>3759384</v>
      </c>
      <c r="D11942" s="0" t="s">
        <v>39629</v>
      </c>
      <c r="E11942" s="0" t="s">
        <v>75</v>
      </c>
      <c r="F11942" s="0" t="s">
        <v>15</v>
      </c>
      <c r="G11942" s="0" t="s">
        <v>16</v>
      </c>
      <c r="H11942" s="0" t="n">
        <v>64</v>
      </c>
      <c r="I11942" s="0" t="s">
        <v>39639</v>
      </c>
      <c r="J11942" s="0" t="s">
        <v>39640</v>
      </c>
      <c r="K11942" s="0" t="s">
        <v>39641</v>
      </c>
      <c r="L11942" s="0" t="str">
        <f aca="false">HYPERLINK("https://www.ncbi.nlm.nih.gov/nuccore/CP000058.1?report=graph&amp;tracks=[key:gene_model_track,Options:GeneOnly]&amp;mk=3759301:3759320|offset_0|444444,3759321:3759340|offset_20|444444,3759344:3759363|offset_43|444444,3759365:3759384|offset_64|00cc00&amp;v=3759100:3759584&amp;c=444444", "offset 64")</f>
        <v>offset 64</v>
      </c>
    </row>
    <row r="11943" customFormat="false" ht="12.8" hidden="false" customHeight="false" outlineLevel="0" collapsed="false">
      <c r="A11943" s="0" t="s">
        <v>12</v>
      </c>
      <c r="B11943" s="0" t="n">
        <v>3761166</v>
      </c>
      <c r="C11943" s="0" t="n">
        <v>3761186</v>
      </c>
      <c r="D11943" s="0" t="s">
        <v>39642</v>
      </c>
      <c r="E11943" s="0" t="s">
        <v>39643</v>
      </c>
      <c r="F11943" s="0" t="s">
        <v>90</v>
      </c>
      <c r="G11943" s="0" t="s">
        <v>32</v>
      </c>
      <c r="H11943" s="0" t="n">
        <v>43</v>
      </c>
      <c r="I11943" s="0" t="s">
        <v>39644</v>
      </c>
      <c r="J11943" s="0" t="s">
        <v>39645</v>
      </c>
      <c r="K11943" s="0" t="s">
        <v>39646</v>
      </c>
      <c r="L11943" s="0" t="str">
        <f aca="false">HYPERLINK("https://www.ncbi.nlm.nih.gov/nuccore/CP000058.1?report=graph&amp;tracks=[key:gene_model_track,Options:GeneOnly]&amp;mk=3761167:3761186|offset_43|00cc00,3761147:3761166|offset_63|444444,3761115:3761134|offset_95|444444,3761044:3761063|offset_166|444444&amp;v=3760966:3761263&amp;c=444444", "offset 43")</f>
        <v>offset 43</v>
      </c>
    </row>
    <row r="11944" customFormat="false" ht="12.8" hidden="false" customHeight="false" outlineLevel="0" collapsed="false">
      <c r="A11944" s="0" t="s">
        <v>12</v>
      </c>
      <c r="B11944" s="0" t="n">
        <v>3761146</v>
      </c>
      <c r="C11944" s="0" t="n">
        <v>3761166</v>
      </c>
      <c r="D11944" s="0" t="s">
        <v>39642</v>
      </c>
      <c r="E11944" s="0" t="s">
        <v>39643</v>
      </c>
      <c r="F11944" s="0" t="s">
        <v>90</v>
      </c>
      <c r="G11944" s="0" t="s">
        <v>16</v>
      </c>
      <c r="H11944" s="0" t="n">
        <v>63</v>
      </c>
      <c r="I11944" s="0" t="s">
        <v>39647</v>
      </c>
      <c r="J11944" s="0" t="s">
        <v>39648</v>
      </c>
      <c r="K11944" s="0" t="s">
        <v>39649</v>
      </c>
      <c r="L11944" s="0" t="str">
        <f aca="false">HYPERLINK("https://www.ncbi.nlm.nih.gov/nuccore/CP000058.1?report=graph&amp;tracks=[key:gene_model_track,Options:GeneOnly]&amp;mk=3761167:3761186|offset_43|444444,3761147:3761166|offset_63|00cc00,3761115:3761134|offset_95|444444,3761044:3761063|offset_166|444444&amp;v=3760966:3761263&amp;c=444444", "offset 63")</f>
        <v>offset 63</v>
      </c>
    </row>
    <row r="11945" customFormat="false" ht="12.8" hidden="false" customHeight="false" outlineLevel="0" collapsed="false">
      <c r="A11945" s="0" t="s">
        <v>12</v>
      </c>
      <c r="B11945" s="0" t="n">
        <v>3761114</v>
      </c>
      <c r="C11945" s="0" t="n">
        <v>3761134</v>
      </c>
      <c r="D11945" s="0" t="s">
        <v>39642</v>
      </c>
      <c r="E11945" s="0" t="s">
        <v>39643</v>
      </c>
      <c r="F11945" s="0" t="s">
        <v>90</v>
      </c>
      <c r="G11945" s="0" t="s">
        <v>32</v>
      </c>
      <c r="H11945" s="0" t="n">
        <v>95</v>
      </c>
      <c r="I11945" s="0" t="s">
        <v>39650</v>
      </c>
      <c r="J11945" s="0" t="s">
        <v>39651</v>
      </c>
      <c r="K11945" s="0" t="s">
        <v>39652</v>
      </c>
      <c r="L11945" s="0" t="str">
        <f aca="false">HYPERLINK("https://www.ncbi.nlm.nih.gov/nuccore/CP000058.1?report=graph&amp;tracks=[key:gene_model_track,Options:GeneOnly]&amp;mk=3761167:3761186|offset_43|444444,3761147:3761166|offset_63|444444,3761115:3761134|offset_95|00cc00,3761044:3761063|offset_166|444444&amp;v=3760966:3761263&amp;c=444444", "offset 95")</f>
        <v>offset 95</v>
      </c>
    </row>
    <row r="11946" customFormat="false" ht="12.8" hidden="false" customHeight="false" outlineLevel="0" collapsed="false">
      <c r="A11946" s="0" t="s">
        <v>12</v>
      </c>
      <c r="B11946" s="0" t="n">
        <v>3761043</v>
      </c>
      <c r="C11946" s="0" t="n">
        <v>3761063</v>
      </c>
      <c r="D11946" s="0" t="s">
        <v>39642</v>
      </c>
      <c r="E11946" s="0" t="s">
        <v>39643</v>
      </c>
      <c r="F11946" s="0" t="s">
        <v>90</v>
      </c>
      <c r="G11946" s="0" t="s">
        <v>16</v>
      </c>
      <c r="H11946" s="0" t="n">
        <v>166</v>
      </c>
      <c r="I11946" s="0" t="s">
        <v>39653</v>
      </c>
      <c r="J11946" s="0" t="s">
        <v>39654</v>
      </c>
      <c r="K11946" s="0" t="s">
        <v>39655</v>
      </c>
      <c r="L11946" s="0" t="str">
        <f aca="false">HYPERLINK("https://www.ncbi.nlm.nih.gov/nuccore/CP000058.1?report=graph&amp;tracks=[key:gene_model_track,Options:GeneOnly]&amp;mk=3761167:3761186|offset_43|444444,3761147:3761166|offset_63|444444,3761115:3761134|offset_95|444444,3761044:3761063|offset_166|00cc00&amp;v=3760966:3761263&amp;c=444444", "offset 166")</f>
        <v>offset 166</v>
      </c>
    </row>
    <row r="11947" customFormat="false" ht="12.8" hidden="false" customHeight="false" outlineLevel="0" collapsed="false">
      <c r="A11947" s="0" t="s">
        <v>12</v>
      </c>
      <c r="B11947" s="0" t="n">
        <v>3762502</v>
      </c>
      <c r="C11947" s="0" t="n">
        <v>3762522</v>
      </c>
      <c r="D11947" s="0" t="s">
        <v>39656</v>
      </c>
      <c r="E11947" s="0" t="s">
        <v>39657</v>
      </c>
      <c r="F11947" s="0" t="s">
        <v>90</v>
      </c>
      <c r="G11947" s="0" t="s">
        <v>32</v>
      </c>
      <c r="H11947" s="0" t="n">
        <v>11</v>
      </c>
      <c r="I11947" s="0" t="s">
        <v>39658</v>
      </c>
      <c r="J11947" s="0" t="s">
        <v>39659</v>
      </c>
      <c r="K11947" s="0" t="s">
        <v>39660</v>
      </c>
      <c r="L11947" s="0" t="str">
        <f aca="false">HYPERLINK("https://www.ncbi.nlm.nih.gov/nuccore/CP000058.1?report=graph&amp;tracks=[key:gene_model_track,Options:GeneOnly]&amp;mk=3762503:3762522|offset_11|00cc00,3762458:3762477|offset_56|444444,3762436:3762455|offset_78|444444,3762416:3762435|offset_98|444444&amp;v=3762302:3762635&amp;c=444444", "offset 11")</f>
        <v>offset 11</v>
      </c>
    </row>
    <row r="11948" customFormat="false" ht="12.8" hidden="false" customHeight="false" outlineLevel="0" collapsed="false">
      <c r="A11948" s="0" t="s">
        <v>12</v>
      </c>
      <c r="B11948" s="0" t="n">
        <v>3762457</v>
      </c>
      <c r="C11948" s="0" t="n">
        <v>3762477</v>
      </c>
      <c r="D11948" s="0" t="s">
        <v>39656</v>
      </c>
      <c r="E11948" s="0" t="s">
        <v>39657</v>
      </c>
      <c r="F11948" s="0" t="s">
        <v>90</v>
      </c>
      <c r="G11948" s="0" t="s">
        <v>32</v>
      </c>
      <c r="H11948" s="0" t="n">
        <v>56</v>
      </c>
      <c r="I11948" s="0" t="s">
        <v>39661</v>
      </c>
      <c r="J11948" s="0" t="s">
        <v>39662</v>
      </c>
      <c r="K11948" s="0" t="s">
        <v>39663</v>
      </c>
      <c r="L11948" s="0" t="str">
        <f aca="false">HYPERLINK("https://www.ncbi.nlm.nih.gov/nuccore/CP000058.1?report=graph&amp;tracks=[key:gene_model_track,Options:GeneOnly]&amp;mk=3762503:3762522|offset_11|444444,3762458:3762477|offset_56|00cc00,3762436:3762455|offset_78|444444,3762416:3762435|offset_98|444444&amp;v=3762302:3762635&amp;c=444444", "offset 56")</f>
        <v>offset 56</v>
      </c>
    </row>
    <row r="11949" customFormat="false" ht="12.8" hidden="false" customHeight="false" outlineLevel="0" collapsed="false">
      <c r="A11949" s="0" t="s">
        <v>12</v>
      </c>
      <c r="B11949" s="0" t="n">
        <v>3762435</v>
      </c>
      <c r="C11949" s="0" t="n">
        <v>3762455</v>
      </c>
      <c r="D11949" s="0" t="s">
        <v>39656</v>
      </c>
      <c r="E11949" s="0" t="s">
        <v>39657</v>
      </c>
      <c r="F11949" s="0" t="s">
        <v>90</v>
      </c>
      <c r="G11949" s="0" t="s">
        <v>36</v>
      </c>
      <c r="H11949" s="0" t="n">
        <v>78</v>
      </c>
      <c r="I11949" s="0" t="s">
        <v>39664</v>
      </c>
      <c r="J11949" s="0" t="s">
        <v>39665</v>
      </c>
      <c r="K11949" s="0" t="s">
        <v>39666</v>
      </c>
      <c r="L11949" s="0" t="str">
        <f aca="false">HYPERLINK("https://www.ncbi.nlm.nih.gov/nuccore/CP000058.1?report=graph&amp;tracks=[key:gene_model_track,Options:GeneOnly]&amp;mk=3762503:3762522|offset_11|444444,3762458:3762477|offset_56|444444,3762436:3762455|offset_78|00cc00,3762416:3762435|offset_98|444444&amp;v=3762302:3762635&amp;c=444444", "offset 78")</f>
        <v>offset 78</v>
      </c>
    </row>
    <row r="11950" customFormat="false" ht="12.8" hidden="false" customHeight="false" outlineLevel="0" collapsed="false">
      <c r="A11950" s="0" t="s">
        <v>12</v>
      </c>
      <c r="B11950" s="0" t="n">
        <v>3762415</v>
      </c>
      <c r="C11950" s="0" t="n">
        <v>3762435</v>
      </c>
      <c r="D11950" s="0" t="s">
        <v>39656</v>
      </c>
      <c r="E11950" s="0" t="s">
        <v>39657</v>
      </c>
      <c r="F11950" s="0" t="s">
        <v>90</v>
      </c>
      <c r="G11950" s="0" t="s">
        <v>32</v>
      </c>
      <c r="H11950" s="0" t="n">
        <v>98</v>
      </c>
      <c r="I11950" s="0" t="s">
        <v>39667</v>
      </c>
      <c r="J11950" s="0" t="s">
        <v>39668</v>
      </c>
      <c r="K11950" s="0" t="s">
        <v>39669</v>
      </c>
      <c r="L11950" s="0" t="str">
        <f aca="false">HYPERLINK("https://www.ncbi.nlm.nih.gov/nuccore/CP000058.1?report=graph&amp;tracks=[key:gene_model_track,Options:GeneOnly]&amp;mk=3762503:3762522|offset_11|444444,3762458:3762477|offset_56|444444,3762436:3762455|offset_78|444444,3762416:3762435|offset_98|00cc00&amp;v=3762302:3762635&amp;c=444444", "offset 98")</f>
        <v>offset 98</v>
      </c>
    </row>
    <row r="11951" customFormat="false" ht="12.8" hidden="false" customHeight="false" outlineLevel="0" collapsed="false">
      <c r="A11951" s="0" t="s">
        <v>12</v>
      </c>
      <c r="B11951" s="0" t="n">
        <v>3762671</v>
      </c>
      <c r="C11951" s="0" t="n">
        <v>3762691</v>
      </c>
      <c r="D11951" s="0" t="s">
        <v>39670</v>
      </c>
      <c r="E11951" s="0" t="s">
        <v>39671</v>
      </c>
      <c r="F11951" s="0" t="s">
        <v>15</v>
      </c>
      <c r="G11951" s="0" t="s">
        <v>36</v>
      </c>
      <c r="H11951" s="0" t="n">
        <v>0</v>
      </c>
      <c r="I11951" s="0" t="s">
        <v>39672</v>
      </c>
      <c r="J11951" s="0" t="s">
        <v>39673</v>
      </c>
      <c r="K11951" s="0" t="s">
        <v>39674</v>
      </c>
      <c r="L11951" s="0" t="str">
        <f aca="false">HYPERLINK("https://www.ncbi.nlm.nih.gov/nuccore/CP000058.1?report=graph&amp;tracks=[key:gene_model_track,Options:GeneOnly]&amp;mk=3762672:3762691|offset_0|00cc00,3762695:3762714|offset_23|444444,3762727:3762746|offset_55|444444,3762763:3762782|offset_91|444444&amp;v=3762471:3762982&amp;c=444444", "offset 0")</f>
        <v>offset 0</v>
      </c>
    </row>
    <row r="11952" customFormat="false" ht="12.8" hidden="false" customHeight="false" outlineLevel="0" collapsed="false">
      <c r="A11952" s="0" t="s">
        <v>12</v>
      </c>
      <c r="B11952" s="0" t="n">
        <v>3762694</v>
      </c>
      <c r="C11952" s="0" t="n">
        <v>3762714</v>
      </c>
      <c r="D11952" s="0" t="s">
        <v>39670</v>
      </c>
      <c r="E11952" s="0" t="s">
        <v>39671</v>
      </c>
      <c r="F11952" s="0" t="s">
        <v>15</v>
      </c>
      <c r="G11952" s="0" t="s">
        <v>36</v>
      </c>
      <c r="H11952" s="0" t="n">
        <v>23</v>
      </c>
      <c r="I11952" s="0" t="s">
        <v>39675</v>
      </c>
      <c r="J11952" s="0" t="s">
        <v>39676</v>
      </c>
      <c r="K11952" s="0" t="s">
        <v>39677</v>
      </c>
      <c r="L11952" s="0" t="str">
        <f aca="false">HYPERLINK("https://www.ncbi.nlm.nih.gov/nuccore/CP000058.1?report=graph&amp;tracks=[key:gene_model_track,Options:GeneOnly]&amp;mk=3762672:3762691|offset_0|444444,3762695:3762714|offset_23|00cc00,3762727:3762746|offset_55|444444,3762763:3762782|offset_91|444444&amp;v=3762471:3762982&amp;c=444444", "offset 23")</f>
        <v>offset 23</v>
      </c>
    </row>
    <row r="11953" customFormat="false" ht="12.8" hidden="false" customHeight="false" outlineLevel="0" collapsed="false">
      <c r="A11953" s="0" t="s">
        <v>12</v>
      </c>
      <c r="B11953" s="0" t="n">
        <v>3762726</v>
      </c>
      <c r="C11953" s="0" t="n">
        <v>3762746</v>
      </c>
      <c r="D11953" s="0" t="s">
        <v>39670</v>
      </c>
      <c r="E11953" s="0" t="s">
        <v>39671</v>
      </c>
      <c r="F11953" s="0" t="s">
        <v>15</v>
      </c>
      <c r="G11953" s="0" t="s">
        <v>16</v>
      </c>
      <c r="H11953" s="0" t="n">
        <v>55</v>
      </c>
      <c r="I11953" s="0" t="s">
        <v>39678</v>
      </c>
      <c r="J11953" s="0" t="s">
        <v>39679</v>
      </c>
      <c r="K11953" s="0" t="s">
        <v>39680</v>
      </c>
      <c r="L11953" s="0" t="str">
        <f aca="false">HYPERLINK("https://www.ncbi.nlm.nih.gov/nuccore/CP000058.1?report=graph&amp;tracks=[key:gene_model_track,Options:GeneOnly]&amp;mk=3762672:3762691|offset_0|444444,3762695:3762714|offset_23|444444,3762727:3762746|offset_55|00cc00,3762763:3762782|offset_91|444444&amp;v=3762471:3762982&amp;c=444444", "offset 55")</f>
        <v>offset 55</v>
      </c>
    </row>
    <row r="11954" customFormat="false" ht="12.8" hidden="false" customHeight="false" outlineLevel="0" collapsed="false">
      <c r="A11954" s="0" t="s">
        <v>12</v>
      </c>
      <c r="B11954" s="0" t="n">
        <v>3762762</v>
      </c>
      <c r="C11954" s="0" t="n">
        <v>3762782</v>
      </c>
      <c r="D11954" s="0" t="s">
        <v>39670</v>
      </c>
      <c r="E11954" s="0" t="s">
        <v>39671</v>
      </c>
      <c r="F11954" s="0" t="s">
        <v>15</v>
      </c>
      <c r="G11954" s="0" t="s">
        <v>16</v>
      </c>
      <c r="H11954" s="0" t="n">
        <v>91</v>
      </c>
      <c r="I11954" s="0" t="s">
        <v>39681</v>
      </c>
      <c r="J11954" s="0" t="s">
        <v>39682</v>
      </c>
      <c r="K11954" s="0" t="s">
        <v>39683</v>
      </c>
      <c r="L11954" s="0" t="str">
        <f aca="false">HYPERLINK("https://www.ncbi.nlm.nih.gov/nuccore/CP000058.1?report=graph&amp;tracks=[key:gene_model_track,Options:GeneOnly]&amp;mk=3762672:3762691|offset_0|444444,3762695:3762714|offset_23|444444,3762727:3762746|offset_55|444444,3762763:3762782|offset_91|00cc00&amp;v=3762471:3762982&amp;c=444444", "offset 91")</f>
        <v>offset 91</v>
      </c>
    </row>
    <row r="11955" customFormat="false" ht="12.8" hidden="false" customHeight="false" outlineLevel="0" collapsed="false">
      <c r="A11955" s="0" t="s">
        <v>12</v>
      </c>
      <c r="B11955" s="0" t="n">
        <v>3765016</v>
      </c>
      <c r="C11955" s="0" t="n">
        <v>3765036</v>
      </c>
      <c r="D11955" s="0" t="s">
        <v>39684</v>
      </c>
      <c r="E11955" s="0" t="s">
        <v>75</v>
      </c>
      <c r="F11955" s="0" t="s">
        <v>90</v>
      </c>
      <c r="G11955" s="0" t="s">
        <v>20</v>
      </c>
      <c r="H11955" s="0" t="n">
        <v>0</v>
      </c>
      <c r="I11955" s="0" t="s">
        <v>39685</v>
      </c>
      <c r="J11955" s="0" t="s">
        <v>39686</v>
      </c>
      <c r="K11955" s="0" t="s">
        <v>39687</v>
      </c>
      <c r="L11955" s="0" t="str">
        <f aca="false">HYPERLINK("https://www.ncbi.nlm.nih.gov/nuccore/CP000058.1?report=graph&amp;tracks=[key:gene_model_track,Options:GeneOnly]&amp;mk=3765017:3765036|offset_0|00cc00,3764978:3764997|offset_39|444444,3764941:3764960|offset_76|444444,3764920:3764939|offset_97|444444&amp;v=3764816:3765139&amp;c=444444", "offset 0")</f>
        <v>offset 0</v>
      </c>
    </row>
    <row r="11956" customFormat="false" ht="12.8" hidden="false" customHeight="false" outlineLevel="0" collapsed="false">
      <c r="A11956" s="0" t="s">
        <v>12</v>
      </c>
      <c r="B11956" s="0" t="n">
        <v>3764977</v>
      </c>
      <c r="C11956" s="0" t="n">
        <v>3764997</v>
      </c>
      <c r="D11956" s="0" t="s">
        <v>39684</v>
      </c>
      <c r="E11956" s="0" t="s">
        <v>75</v>
      </c>
      <c r="F11956" s="0" t="s">
        <v>90</v>
      </c>
      <c r="G11956" s="0" t="s">
        <v>20</v>
      </c>
      <c r="H11956" s="0" t="n">
        <v>39</v>
      </c>
      <c r="I11956" s="0" t="s">
        <v>39688</v>
      </c>
      <c r="J11956" s="0" t="s">
        <v>39689</v>
      </c>
      <c r="K11956" s="0" t="s">
        <v>39690</v>
      </c>
      <c r="L11956" s="0" t="str">
        <f aca="false">HYPERLINK("https://www.ncbi.nlm.nih.gov/nuccore/CP000058.1?report=graph&amp;tracks=[key:gene_model_track,Options:GeneOnly]&amp;mk=3765017:3765036|offset_0|444444,3764978:3764997|offset_39|00cc00,3764941:3764960|offset_76|444444,3764920:3764939|offset_97|444444&amp;v=3764816:3765139&amp;c=444444", "offset 39")</f>
        <v>offset 39</v>
      </c>
    </row>
    <row r="11957" customFormat="false" ht="12.8" hidden="false" customHeight="false" outlineLevel="0" collapsed="false">
      <c r="A11957" s="0" t="s">
        <v>12</v>
      </c>
      <c r="B11957" s="0" t="n">
        <v>3764940</v>
      </c>
      <c r="C11957" s="0" t="n">
        <v>3764960</v>
      </c>
      <c r="D11957" s="0" t="s">
        <v>39684</v>
      </c>
      <c r="E11957" s="0" t="s">
        <v>75</v>
      </c>
      <c r="F11957" s="0" t="s">
        <v>90</v>
      </c>
      <c r="G11957" s="0" t="s">
        <v>36</v>
      </c>
      <c r="H11957" s="0" t="n">
        <v>76</v>
      </c>
      <c r="I11957" s="0" t="s">
        <v>39691</v>
      </c>
      <c r="J11957" s="0" t="s">
        <v>39692</v>
      </c>
      <c r="K11957" s="0" t="s">
        <v>39693</v>
      </c>
      <c r="L11957" s="0" t="str">
        <f aca="false">HYPERLINK("https://www.ncbi.nlm.nih.gov/nuccore/CP000058.1?report=graph&amp;tracks=[key:gene_model_track,Options:GeneOnly]&amp;mk=3765017:3765036|offset_0|444444,3764978:3764997|offset_39|444444,3764941:3764960|offset_76|00cc00,3764920:3764939|offset_97|444444&amp;v=3764816:3765139&amp;c=444444", "offset 76")</f>
        <v>offset 76</v>
      </c>
    </row>
    <row r="11958" customFormat="false" ht="12.8" hidden="false" customHeight="false" outlineLevel="0" collapsed="false">
      <c r="A11958" s="0" t="s">
        <v>12</v>
      </c>
      <c r="B11958" s="0" t="n">
        <v>3764919</v>
      </c>
      <c r="C11958" s="0" t="n">
        <v>3764939</v>
      </c>
      <c r="D11958" s="0" t="s">
        <v>39684</v>
      </c>
      <c r="E11958" s="0" t="s">
        <v>75</v>
      </c>
      <c r="F11958" s="0" t="s">
        <v>90</v>
      </c>
      <c r="G11958" s="0" t="s">
        <v>36</v>
      </c>
      <c r="H11958" s="0" t="n">
        <v>97</v>
      </c>
      <c r="I11958" s="0" t="s">
        <v>39694</v>
      </c>
      <c r="J11958" s="0" t="s">
        <v>39695</v>
      </c>
      <c r="K11958" s="0" t="s">
        <v>39696</v>
      </c>
      <c r="L11958" s="0" t="str">
        <f aca="false">HYPERLINK("https://www.ncbi.nlm.nih.gov/nuccore/CP000058.1?report=graph&amp;tracks=[key:gene_model_track,Options:GeneOnly]&amp;mk=3765017:3765036|offset_0|444444,3764978:3764997|offset_39|444444,3764941:3764960|offset_76|444444,3764920:3764939|offset_97|00cc00&amp;v=3764816:3765139&amp;c=444444", "offset 97")</f>
        <v>offset 97</v>
      </c>
    </row>
    <row r="11959" customFormat="false" ht="12.8" hidden="false" customHeight="false" outlineLevel="0" collapsed="false">
      <c r="A11959" s="0" t="s">
        <v>12</v>
      </c>
      <c r="B11959" s="0" t="n">
        <v>3765406</v>
      </c>
      <c r="C11959" s="0" t="n">
        <v>3765426</v>
      </c>
      <c r="D11959" s="0" t="s">
        <v>39697</v>
      </c>
      <c r="E11959" s="0" t="s">
        <v>75</v>
      </c>
      <c r="F11959" s="0" t="s">
        <v>15</v>
      </c>
      <c r="G11959" s="0" t="s">
        <v>36</v>
      </c>
      <c r="H11959" s="0" t="n">
        <v>14</v>
      </c>
      <c r="I11959" s="0" t="s">
        <v>39698</v>
      </c>
      <c r="J11959" s="0" t="s">
        <v>39699</v>
      </c>
      <c r="K11959" s="0" t="s">
        <v>39700</v>
      </c>
      <c r="L11959" s="0" t="str">
        <f aca="false">HYPERLINK("https://www.ncbi.nlm.nih.gov/nuccore/CP000058.1?report=graph&amp;tracks=[key:gene_model_track,Options:GeneOnly]&amp;mk=3765407:3765426|offset_14|00cc00,3765469:3765488|offset_76|444444,3765528:3765547|offset_135|444444,3765587:3765606|offset_194|444444&amp;v=3765206:3765806&amp;c=444444", "offset 14")</f>
        <v>offset 14</v>
      </c>
    </row>
    <row r="11960" customFormat="false" ht="12.8" hidden="false" customHeight="false" outlineLevel="0" collapsed="false">
      <c r="A11960" s="0" t="s">
        <v>12</v>
      </c>
      <c r="B11960" s="0" t="n">
        <v>3765468</v>
      </c>
      <c r="C11960" s="0" t="n">
        <v>3765488</v>
      </c>
      <c r="D11960" s="0" t="s">
        <v>39697</v>
      </c>
      <c r="E11960" s="0" t="s">
        <v>75</v>
      </c>
      <c r="F11960" s="0" t="s">
        <v>15</v>
      </c>
      <c r="G11960" s="0" t="s">
        <v>36</v>
      </c>
      <c r="H11960" s="0" t="n">
        <v>76</v>
      </c>
      <c r="I11960" s="0" t="s">
        <v>39701</v>
      </c>
      <c r="J11960" s="0" t="s">
        <v>39702</v>
      </c>
      <c r="K11960" s="0" t="s">
        <v>39703</v>
      </c>
      <c r="L11960" s="0" t="str">
        <f aca="false">HYPERLINK("https://www.ncbi.nlm.nih.gov/nuccore/CP000058.1?report=graph&amp;tracks=[key:gene_model_track,Options:GeneOnly]&amp;mk=3765407:3765426|offset_14|444444,3765469:3765488|offset_76|00cc00,3765528:3765547|offset_135|444444,3765587:3765606|offset_194|444444&amp;v=3765206:3765806&amp;c=444444", "offset 76")</f>
        <v>offset 76</v>
      </c>
    </row>
    <row r="11961" customFormat="false" ht="12.8" hidden="false" customHeight="false" outlineLevel="0" collapsed="false">
      <c r="A11961" s="0" t="s">
        <v>12</v>
      </c>
      <c r="B11961" s="0" t="n">
        <v>3765527</v>
      </c>
      <c r="C11961" s="0" t="n">
        <v>3765547</v>
      </c>
      <c r="D11961" s="0" t="s">
        <v>39697</v>
      </c>
      <c r="E11961" s="0" t="s">
        <v>75</v>
      </c>
      <c r="F11961" s="0" t="s">
        <v>15</v>
      </c>
      <c r="G11961" s="0" t="s">
        <v>36</v>
      </c>
      <c r="H11961" s="0" t="n">
        <v>135</v>
      </c>
      <c r="I11961" s="0" t="s">
        <v>39704</v>
      </c>
      <c r="J11961" s="0" t="s">
        <v>39705</v>
      </c>
      <c r="K11961" s="0" t="s">
        <v>39706</v>
      </c>
      <c r="L11961" s="0" t="str">
        <f aca="false">HYPERLINK("https://www.ncbi.nlm.nih.gov/nuccore/CP000058.1?report=graph&amp;tracks=[key:gene_model_track,Options:GeneOnly]&amp;mk=3765407:3765426|offset_14|444444,3765469:3765488|offset_76|444444,3765528:3765547|offset_135|00cc00,3765587:3765606|offset_194|444444&amp;v=3765206:3765806&amp;c=444444", "offset 135")</f>
        <v>offset 135</v>
      </c>
    </row>
    <row r="11962" customFormat="false" ht="12.8" hidden="false" customHeight="false" outlineLevel="0" collapsed="false">
      <c r="A11962" s="0" t="s">
        <v>12</v>
      </c>
      <c r="B11962" s="0" t="n">
        <v>3765586</v>
      </c>
      <c r="C11962" s="0" t="n">
        <v>3765606</v>
      </c>
      <c r="D11962" s="0" t="s">
        <v>39697</v>
      </c>
      <c r="E11962" s="0" t="s">
        <v>75</v>
      </c>
      <c r="F11962" s="0" t="s">
        <v>15</v>
      </c>
      <c r="G11962" s="0" t="s">
        <v>20</v>
      </c>
      <c r="H11962" s="0" t="n">
        <v>194</v>
      </c>
      <c r="I11962" s="0" t="s">
        <v>39707</v>
      </c>
      <c r="J11962" s="0" t="s">
        <v>39708</v>
      </c>
      <c r="K11962" s="0" t="s">
        <v>39709</v>
      </c>
      <c r="L11962" s="0" t="str">
        <f aca="false">HYPERLINK("https://www.ncbi.nlm.nih.gov/nuccore/CP000058.1?report=graph&amp;tracks=[key:gene_model_track,Options:GeneOnly]&amp;mk=3765407:3765426|offset_14|444444,3765469:3765488|offset_76|444444,3765528:3765547|offset_135|444444,3765587:3765606|offset_194|00cc00&amp;v=3765206:3765806&amp;c=444444", "offset 194")</f>
        <v>offset 194</v>
      </c>
    </row>
    <row r="11963" customFormat="false" ht="12.8" hidden="false" customHeight="false" outlineLevel="0" collapsed="false">
      <c r="A11963" s="0" t="s">
        <v>12</v>
      </c>
      <c r="B11963" s="0" t="n">
        <v>3768683</v>
      </c>
      <c r="C11963" s="0" t="n">
        <v>3768703</v>
      </c>
      <c r="D11963" s="0" t="s">
        <v>39710</v>
      </c>
      <c r="E11963" s="0" t="s">
        <v>39711</v>
      </c>
      <c r="F11963" s="0" t="s">
        <v>90</v>
      </c>
      <c r="G11963" s="0" t="s">
        <v>36</v>
      </c>
      <c r="H11963" s="0" t="n">
        <v>23</v>
      </c>
      <c r="I11963" s="0" t="s">
        <v>39712</v>
      </c>
      <c r="J11963" s="0" t="s">
        <v>39713</v>
      </c>
      <c r="K11963" s="0" t="s">
        <v>39714</v>
      </c>
      <c r="L11963" s="0" t="str">
        <f aca="false">HYPERLINK("https://www.ncbi.nlm.nih.gov/nuccore/CP000058.1?report=graph&amp;tracks=[key:gene_model_track,Options:GeneOnly]&amp;mk=3768684:3768703|offset_23|00cc00,3768641:3768660|offset_66|444444,3768620:3768639|offset_87|444444,3768595:3768614|offset_112|444444&amp;v=3768483:3768814&amp;c=444444", "offset 23")</f>
        <v>offset 23</v>
      </c>
    </row>
    <row r="11964" customFormat="false" ht="12.8" hidden="false" customHeight="false" outlineLevel="0" collapsed="false">
      <c r="A11964" s="0" t="s">
        <v>12</v>
      </c>
      <c r="B11964" s="0" t="n">
        <v>3768640</v>
      </c>
      <c r="C11964" s="0" t="n">
        <v>3768660</v>
      </c>
      <c r="D11964" s="0" t="s">
        <v>39710</v>
      </c>
      <c r="E11964" s="0" t="s">
        <v>39711</v>
      </c>
      <c r="F11964" s="0" t="s">
        <v>90</v>
      </c>
      <c r="G11964" s="0" t="s">
        <v>16</v>
      </c>
      <c r="H11964" s="0" t="n">
        <v>66</v>
      </c>
      <c r="I11964" s="0" t="s">
        <v>39715</v>
      </c>
      <c r="J11964" s="0" t="s">
        <v>39716</v>
      </c>
      <c r="K11964" s="0" t="s">
        <v>39717</v>
      </c>
      <c r="L11964" s="0" t="str">
        <f aca="false">HYPERLINK("https://www.ncbi.nlm.nih.gov/nuccore/CP000058.1?report=graph&amp;tracks=[key:gene_model_track,Options:GeneOnly]&amp;mk=3768684:3768703|offset_23|444444,3768641:3768660|offset_66|00cc00,3768620:3768639|offset_87|444444,3768595:3768614|offset_112|444444&amp;v=3768483:3768814&amp;c=444444", "offset 66")</f>
        <v>offset 66</v>
      </c>
    </row>
    <row r="11965" customFormat="false" ht="12.8" hidden="false" customHeight="false" outlineLevel="0" collapsed="false">
      <c r="A11965" s="0" t="s">
        <v>12</v>
      </c>
      <c r="B11965" s="0" t="n">
        <v>3768619</v>
      </c>
      <c r="C11965" s="0" t="n">
        <v>3768639</v>
      </c>
      <c r="D11965" s="0" t="s">
        <v>39710</v>
      </c>
      <c r="E11965" s="0" t="s">
        <v>39711</v>
      </c>
      <c r="F11965" s="0" t="s">
        <v>90</v>
      </c>
      <c r="G11965" s="0" t="s">
        <v>20</v>
      </c>
      <c r="H11965" s="0" t="n">
        <v>87</v>
      </c>
      <c r="I11965" s="0" t="s">
        <v>39718</v>
      </c>
      <c r="J11965" s="0" t="s">
        <v>39719</v>
      </c>
      <c r="K11965" s="0" t="s">
        <v>39720</v>
      </c>
      <c r="L11965" s="0" t="str">
        <f aca="false">HYPERLINK("https://www.ncbi.nlm.nih.gov/nuccore/CP000058.1?report=graph&amp;tracks=[key:gene_model_track,Options:GeneOnly]&amp;mk=3768684:3768703|offset_23|444444,3768641:3768660|offset_66|444444,3768620:3768639|offset_87|00cc00,3768595:3768614|offset_112|444444&amp;v=3768483:3768814&amp;c=444444", "offset 87")</f>
        <v>offset 87</v>
      </c>
    </row>
    <row r="11966" customFormat="false" ht="12.8" hidden="false" customHeight="false" outlineLevel="0" collapsed="false">
      <c r="A11966" s="0" t="s">
        <v>12</v>
      </c>
      <c r="B11966" s="0" t="n">
        <v>3768594</v>
      </c>
      <c r="C11966" s="0" t="n">
        <v>3768614</v>
      </c>
      <c r="D11966" s="0" t="s">
        <v>39710</v>
      </c>
      <c r="E11966" s="0" t="s">
        <v>39711</v>
      </c>
      <c r="F11966" s="0" t="s">
        <v>90</v>
      </c>
      <c r="G11966" s="0" t="s">
        <v>32</v>
      </c>
      <c r="H11966" s="0" t="n">
        <v>112</v>
      </c>
      <c r="I11966" s="0" t="s">
        <v>39721</v>
      </c>
      <c r="J11966" s="0" t="s">
        <v>39722</v>
      </c>
      <c r="K11966" s="0" t="s">
        <v>39723</v>
      </c>
      <c r="L11966" s="0" t="str">
        <f aca="false">HYPERLINK("https://www.ncbi.nlm.nih.gov/nuccore/CP000058.1?report=graph&amp;tracks=[key:gene_model_track,Options:GeneOnly]&amp;mk=3768684:3768703|offset_23|444444,3768641:3768660|offset_66|444444,3768620:3768639|offset_87|444444,3768595:3768614|offset_112|00cc00&amp;v=3768483:3768814&amp;c=444444", "offset 112")</f>
        <v>offset 112</v>
      </c>
    </row>
    <row r="11967" customFormat="false" ht="12.8" hidden="false" customHeight="false" outlineLevel="0" collapsed="false">
      <c r="A11967" s="0" t="s">
        <v>12</v>
      </c>
      <c r="B11967" s="0" t="n">
        <v>3769485</v>
      </c>
      <c r="C11967" s="0" t="n">
        <v>3769505</v>
      </c>
      <c r="D11967" s="0" t="s">
        <v>39724</v>
      </c>
      <c r="E11967" s="0" t="s">
        <v>39725</v>
      </c>
      <c r="F11967" s="0" t="s">
        <v>90</v>
      </c>
      <c r="G11967" s="0" t="s">
        <v>20</v>
      </c>
      <c r="H11967" s="0" t="n">
        <v>1</v>
      </c>
      <c r="I11967" s="0" t="s">
        <v>39726</v>
      </c>
      <c r="J11967" s="0" t="s">
        <v>39727</v>
      </c>
      <c r="K11967" s="0" t="s">
        <v>39728</v>
      </c>
      <c r="L11967" s="0" t="str">
        <f aca="false">HYPERLINK("https://www.ncbi.nlm.nih.gov/nuccore/CP000058.1?report=graph&amp;tracks=[key:gene_model_track,Options:GeneOnly]&amp;mk=3769486:3769505|offset_1|00cc00,3769464:3769483|offset_23|444444,3769426:3769445|offset_61|444444,3769405:3769424|offset_82|444444&amp;v=3769285:3769624&amp;c=444444", "offset 1")</f>
        <v>offset 1</v>
      </c>
    </row>
    <row r="11968" customFormat="false" ht="12.8" hidden="false" customHeight="false" outlineLevel="0" collapsed="false">
      <c r="A11968" s="0" t="s">
        <v>12</v>
      </c>
      <c r="B11968" s="0" t="n">
        <v>3769463</v>
      </c>
      <c r="C11968" s="0" t="n">
        <v>3769483</v>
      </c>
      <c r="D11968" s="0" t="s">
        <v>39724</v>
      </c>
      <c r="E11968" s="0" t="s">
        <v>39725</v>
      </c>
      <c r="F11968" s="0" t="s">
        <v>90</v>
      </c>
      <c r="G11968" s="0" t="s">
        <v>16</v>
      </c>
      <c r="H11968" s="0" t="n">
        <v>23</v>
      </c>
      <c r="I11968" s="0" t="s">
        <v>39729</v>
      </c>
      <c r="J11968" s="0" t="s">
        <v>39730</v>
      </c>
      <c r="K11968" s="0" t="s">
        <v>39731</v>
      </c>
      <c r="L11968" s="0" t="str">
        <f aca="false">HYPERLINK("https://www.ncbi.nlm.nih.gov/nuccore/CP000058.1?report=graph&amp;tracks=[key:gene_model_track,Options:GeneOnly]&amp;mk=3769486:3769505|offset_1|444444,3769464:3769483|offset_23|00cc00,3769426:3769445|offset_61|444444,3769405:3769424|offset_82|444444&amp;v=3769285:3769624&amp;c=444444", "offset 23")</f>
        <v>offset 23</v>
      </c>
    </row>
    <row r="11969" customFormat="false" ht="12.8" hidden="false" customHeight="false" outlineLevel="0" collapsed="false">
      <c r="A11969" s="0" t="s">
        <v>12</v>
      </c>
      <c r="B11969" s="0" t="n">
        <v>3769425</v>
      </c>
      <c r="C11969" s="0" t="n">
        <v>3769445</v>
      </c>
      <c r="D11969" s="0" t="s">
        <v>39724</v>
      </c>
      <c r="E11969" s="0" t="s">
        <v>39725</v>
      </c>
      <c r="F11969" s="0" t="s">
        <v>90</v>
      </c>
      <c r="G11969" s="0" t="s">
        <v>36</v>
      </c>
      <c r="H11969" s="0" t="n">
        <v>61</v>
      </c>
      <c r="I11969" s="0" t="s">
        <v>39732</v>
      </c>
      <c r="J11969" s="0" t="s">
        <v>39733</v>
      </c>
      <c r="K11969" s="0" t="s">
        <v>39734</v>
      </c>
      <c r="L11969" s="0" t="str">
        <f aca="false">HYPERLINK("https://www.ncbi.nlm.nih.gov/nuccore/CP000058.1?report=graph&amp;tracks=[key:gene_model_track,Options:GeneOnly]&amp;mk=3769486:3769505|offset_1|444444,3769464:3769483|offset_23|444444,3769426:3769445|offset_61|00cc00,3769405:3769424|offset_82|444444&amp;v=3769285:3769624&amp;c=444444", "offset 61")</f>
        <v>offset 61</v>
      </c>
    </row>
    <row r="11970" customFormat="false" ht="12.8" hidden="false" customHeight="false" outlineLevel="0" collapsed="false">
      <c r="A11970" s="0" t="s">
        <v>12</v>
      </c>
      <c r="B11970" s="0" t="n">
        <v>3769404</v>
      </c>
      <c r="C11970" s="0" t="n">
        <v>3769424</v>
      </c>
      <c r="D11970" s="0" t="s">
        <v>39724</v>
      </c>
      <c r="E11970" s="0" t="s">
        <v>39725</v>
      </c>
      <c r="F11970" s="0" t="s">
        <v>90</v>
      </c>
      <c r="G11970" s="0" t="s">
        <v>16</v>
      </c>
      <c r="H11970" s="0" t="n">
        <v>82</v>
      </c>
      <c r="I11970" s="0" t="s">
        <v>39735</v>
      </c>
      <c r="J11970" s="0" t="s">
        <v>39736</v>
      </c>
      <c r="K11970" s="0" t="s">
        <v>39737</v>
      </c>
      <c r="L11970" s="0" t="str">
        <f aca="false">HYPERLINK("https://www.ncbi.nlm.nih.gov/nuccore/CP000058.1?report=graph&amp;tracks=[key:gene_model_track,Options:GeneOnly]&amp;mk=3769486:3769505|offset_1|444444,3769464:3769483|offset_23|444444,3769426:3769445|offset_61|444444,3769405:3769424|offset_82|00cc00&amp;v=3769285:3769624&amp;c=444444", "offset 82")</f>
        <v>offset 82</v>
      </c>
    </row>
    <row r="11971" customFormat="false" ht="12.8" hidden="false" customHeight="false" outlineLevel="0" collapsed="false">
      <c r="A11971" s="0" t="s">
        <v>12</v>
      </c>
      <c r="B11971" s="0" t="n">
        <v>3769707</v>
      </c>
      <c r="C11971" s="0" t="n">
        <v>3769727</v>
      </c>
      <c r="D11971" s="0" t="s">
        <v>39738</v>
      </c>
      <c r="E11971" s="0" t="s">
        <v>39739</v>
      </c>
      <c r="F11971" s="0" t="s">
        <v>15</v>
      </c>
      <c r="G11971" s="0" t="s">
        <v>36</v>
      </c>
      <c r="H11971" s="0" t="n">
        <v>42</v>
      </c>
      <c r="I11971" s="0" t="s">
        <v>39740</v>
      </c>
      <c r="J11971" s="0" t="s">
        <v>39741</v>
      </c>
      <c r="K11971" s="0" t="s">
        <v>39742</v>
      </c>
      <c r="L11971" s="0" t="str">
        <f aca="false">HYPERLINK("https://www.ncbi.nlm.nih.gov/nuccore/CP000058.1?report=graph&amp;tracks=[key:gene_model_track,Options:GeneOnly]&amp;mk=3769708:3769727|offset_42|00cc00,3769749:3769768|offset_83|444444,3769776:3769795|offset_110|444444,3769796:3769815|offset_130|444444&amp;v=3769507:3770015&amp;c=444444", "offset 42")</f>
        <v>offset 42</v>
      </c>
    </row>
    <row r="11972" customFormat="false" ht="12.8" hidden="false" customHeight="false" outlineLevel="0" collapsed="false">
      <c r="A11972" s="0" t="s">
        <v>12</v>
      </c>
      <c r="B11972" s="0" t="n">
        <v>3769748</v>
      </c>
      <c r="C11972" s="0" t="n">
        <v>3769768</v>
      </c>
      <c r="D11972" s="0" t="s">
        <v>39738</v>
      </c>
      <c r="E11972" s="0" t="s">
        <v>39739</v>
      </c>
      <c r="F11972" s="0" t="s">
        <v>15</v>
      </c>
      <c r="G11972" s="0" t="s">
        <v>32</v>
      </c>
      <c r="H11972" s="0" t="n">
        <v>83</v>
      </c>
      <c r="I11972" s="0" t="s">
        <v>39743</v>
      </c>
      <c r="J11972" s="0" t="s">
        <v>39744</v>
      </c>
      <c r="K11972" s="0" t="s">
        <v>39745</v>
      </c>
      <c r="L11972" s="0" t="str">
        <f aca="false">HYPERLINK("https://www.ncbi.nlm.nih.gov/nuccore/CP000058.1?report=graph&amp;tracks=[key:gene_model_track,Options:GeneOnly]&amp;mk=3769708:3769727|offset_42|444444,3769749:3769768|offset_83|00cc00,3769776:3769795|offset_110|444444,3769796:3769815|offset_130|444444&amp;v=3769507:3770015&amp;c=444444", "offset 83")</f>
        <v>offset 83</v>
      </c>
    </row>
    <row r="11973" customFormat="false" ht="12.8" hidden="false" customHeight="false" outlineLevel="0" collapsed="false">
      <c r="A11973" s="0" t="s">
        <v>12</v>
      </c>
      <c r="B11973" s="0" t="n">
        <v>3769775</v>
      </c>
      <c r="C11973" s="0" t="n">
        <v>3769795</v>
      </c>
      <c r="D11973" s="0" t="s">
        <v>39738</v>
      </c>
      <c r="E11973" s="0" t="s">
        <v>39739</v>
      </c>
      <c r="F11973" s="0" t="s">
        <v>15</v>
      </c>
      <c r="G11973" s="0" t="s">
        <v>16</v>
      </c>
      <c r="H11973" s="0" t="n">
        <v>110</v>
      </c>
      <c r="I11973" s="0" t="s">
        <v>39746</v>
      </c>
      <c r="J11973" s="0" t="s">
        <v>39747</v>
      </c>
      <c r="K11973" s="0" t="s">
        <v>39748</v>
      </c>
      <c r="L11973" s="0" t="str">
        <f aca="false">HYPERLINK("https://www.ncbi.nlm.nih.gov/nuccore/CP000058.1?report=graph&amp;tracks=[key:gene_model_track,Options:GeneOnly]&amp;mk=3769708:3769727|offset_42|444444,3769749:3769768|offset_83|444444,3769776:3769795|offset_110|00cc00,3769796:3769815|offset_130|444444&amp;v=3769507:3770015&amp;c=444444", "offset 110")</f>
        <v>offset 110</v>
      </c>
    </row>
    <row r="11974" customFormat="false" ht="12.8" hidden="false" customHeight="false" outlineLevel="0" collapsed="false">
      <c r="A11974" s="0" t="s">
        <v>12</v>
      </c>
      <c r="B11974" s="0" t="n">
        <v>3769795</v>
      </c>
      <c r="C11974" s="0" t="n">
        <v>3769815</v>
      </c>
      <c r="D11974" s="0" t="s">
        <v>39738</v>
      </c>
      <c r="E11974" s="0" t="s">
        <v>39739</v>
      </c>
      <c r="F11974" s="0" t="s">
        <v>15</v>
      </c>
      <c r="G11974" s="0" t="s">
        <v>20</v>
      </c>
      <c r="H11974" s="0" t="n">
        <v>130</v>
      </c>
      <c r="I11974" s="0" t="s">
        <v>39749</v>
      </c>
      <c r="J11974" s="0" t="s">
        <v>39750</v>
      </c>
      <c r="K11974" s="0" t="s">
        <v>39751</v>
      </c>
      <c r="L11974" s="0" t="str">
        <f aca="false">HYPERLINK("https://www.ncbi.nlm.nih.gov/nuccore/CP000058.1?report=graph&amp;tracks=[key:gene_model_track,Options:GeneOnly]&amp;mk=3769708:3769727|offset_42|444444,3769749:3769768|offset_83|444444,3769776:3769795|offset_110|444444,3769796:3769815|offset_130|00cc00&amp;v=3769507:3770015&amp;c=444444", "offset 130")</f>
        <v>offset 130</v>
      </c>
    </row>
    <row r="11975" customFormat="false" ht="12.8" hidden="false" customHeight="false" outlineLevel="0" collapsed="false">
      <c r="A11975" s="0" t="s">
        <v>12</v>
      </c>
      <c r="B11975" s="0" t="n">
        <v>3771193</v>
      </c>
      <c r="C11975" s="0" t="n">
        <v>3771213</v>
      </c>
      <c r="D11975" s="0" t="s">
        <v>39752</v>
      </c>
      <c r="E11975" s="0" t="s">
        <v>39753</v>
      </c>
      <c r="F11975" s="0" t="s">
        <v>15</v>
      </c>
      <c r="G11975" s="0" t="s">
        <v>32</v>
      </c>
      <c r="H11975" s="0" t="n">
        <v>29</v>
      </c>
      <c r="I11975" s="0" t="s">
        <v>39754</v>
      </c>
      <c r="J11975" s="0" t="s">
        <v>39755</v>
      </c>
      <c r="K11975" s="0" t="s">
        <v>39756</v>
      </c>
      <c r="L11975" s="0" t="str">
        <f aca="false">HYPERLINK("https://www.ncbi.nlm.nih.gov/nuccore/CP000058.1?report=graph&amp;tracks=[key:gene_model_track,Options:GeneOnly]&amp;mk=3771194:3771213|offset_29|00cc00,3771240:3771259|offset_75|444444,3771271:3771290|offset_106|444444,3771310:3771329|offset_145|444444&amp;v=3770993:3771529&amp;c=444444", "offset 29")</f>
        <v>offset 29</v>
      </c>
    </row>
    <row r="11976" customFormat="false" ht="12.8" hidden="false" customHeight="false" outlineLevel="0" collapsed="false">
      <c r="A11976" s="0" t="s">
        <v>12</v>
      </c>
      <c r="B11976" s="0" t="n">
        <v>3771239</v>
      </c>
      <c r="C11976" s="0" t="n">
        <v>3771259</v>
      </c>
      <c r="D11976" s="0" t="s">
        <v>39752</v>
      </c>
      <c r="E11976" s="0" t="s">
        <v>39753</v>
      </c>
      <c r="F11976" s="0" t="s">
        <v>15</v>
      </c>
      <c r="G11976" s="0" t="s">
        <v>16</v>
      </c>
      <c r="H11976" s="0" t="n">
        <v>75</v>
      </c>
      <c r="I11976" s="0" t="s">
        <v>39757</v>
      </c>
      <c r="J11976" s="0" t="s">
        <v>39758</v>
      </c>
      <c r="K11976" s="0" t="s">
        <v>39759</v>
      </c>
      <c r="L11976" s="0" t="str">
        <f aca="false">HYPERLINK("https://www.ncbi.nlm.nih.gov/nuccore/CP000058.1?report=graph&amp;tracks=[key:gene_model_track,Options:GeneOnly]&amp;mk=3771194:3771213|offset_29|444444,3771240:3771259|offset_75|00cc00,3771271:3771290|offset_106|444444,3771310:3771329|offset_145|444444&amp;v=3770993:3771529&amp;c=444444", "offset 75")</f>
        <v>offset 75</v>
      </c>
    </row>
    <row r="11977" customFormat="false" ht="12.8" hidden="false" customHeight="false" outlineLevel="0" collapsed="false">
      <c r="A11977" s="0" t="s">
        <v>12</v>
      </c>
      <c r="B11977" s="0" t="n">
        <v>3771270</v>
      </c>
      <c r="C11977" s="0" t="n">
        <v>3771290</v>
      </c>
      <c r="D11977" s="0" t="s">
        <v>39752</v>
      </c>
      <c r="E11977" s="0" t="s">
        <v>39753</v>
      </c>
      <c r="F11977" s="0" t="s">
        <v>15</v>
      </c>
      <c r="G11977" s="0" t="s">
        <v>20</v>
      </c>
      <c r="H11977" s="0" t="n">
        <v>106</v>
      </c>
      <c r="I11977" s="0" t="s">
        <v>39760</v>
      </c>
      <c r="J11977" s="0" t="s">
        <v>39761</v>
      </c>
      <c r="K11977" s="0" t="s">
        <v>39762</v>
      </c>
      <c r="L11977" s="0" t="str">
        <f aca="false">HYPERLINK("https://www.ncbi.nlm.nih.gov/nuccore/CP000058.1?report=graph&amp;tracks=[key:gene_model_track,Options:GeneOnly]&amp;mk=3771194:3771213|offset_29|444444,3771240:3771259|offset_75|444444,3771271:3771290|offset_106|00cc00,3771310:3771329|offset_145|444444&amp;v=3770993:3771529&amp;c=444444", "offset 106")</f>
        <v>offset 106</v>
      </c>
    </row>
    <row r="11978" customFormat="false" ht="12.8" hidden="false" customHeight="false" outlineLevel="0" collapsed="false">
      <c r="A11978" s="0" t="s">
        <v>12</v>
      </c>
      <c r="B11978" s="0" t="n">
        <v>3771309</v>
      </c>
      <c r="C11978" s="0" t="n">
        <v>3771329</v>
      </c>
      <c r="D11978" s="0" t="s">
        <v>39752</v>
      </c>
      <c r="E11978" s="0" t="s">
        <v>39753</v>
      </c>
      <c r="F11978" s="0" t="s">
        <v>15</v>
      </c>
      <c r="G11978" s="0" t="s">
        <v>36</v>
      </c>
      <c r="H11978" s="0" t="n">
        <v>145</v>
      </c>
      <c r="I11978" s="0" t="s">
        <v>39763</v>
      </c>
      <c r="J11978" s="0" t="s">
        <v>39764</v>
      </c>
      <c r="K11978" s="0" t="s">
        <v>39765</v>
      </c>
      <c r="L11978" s="0" t="str">
        <f aca="false">HYPERLINK("https://www.ncbi.nlm.nih.gov/nuccore/CP000058.1?report=graph&amp;tracks=[key:gene_model_track,Options:GeneOnly]&amp;mk=3771194:3771213|offset_29|444444,3771240:3771259|offset_75|444444,3771271:3771290|offset_106|444444,3771310:3771329|offset_145|00cc00&amp;v=3770993:3771529&amp;c=444444", "offset 145")</f>
        <v>offset 145</v>
      </c>
    </row>
    <row r="11979" customFormat="false" ht="12.8" hidden="false" customHeight="false" outlineLevel="0" collapsed="false">
      <c r="A11979" s="0" t="s">
        <v>12</v>
      </c>
      <c r="B11979" s="0" t="n">
        <v>3772235</v>
      </c>
      <c r="C11979" s="0" t="n">
        <v>3772255</v>
      </c>
      <c r="D11979" s="0" t="s">
        <v>39766</v>
      </c>
      <c r="E11979" s="0" t="s">
        <v>39767</v>
      </c>
      <c r="F11979" s="0" t="s">
        <v>15</v>
      </c>
      <c r="G11979" s="0" t="s">
        <v>32</v>
      </c>
      <c r="H11979" s="0" t="n">
        <v>10</v>
      </c>
      <c r="I11979" s="0" t="s">
        <v>39768</v>
      </c>
      <c r="J11979" s="0" t="s">
        <v>39769</v>
      </c>
      <c r="K11979" s="0" t="s">
        <v>39770</v>
      </c>
      <c r="L11979" s="0" t="str">
        <f aca="false">HYPERLINK("https://www.ncbi.nlm.nih.gov/nuccore/CP000058.1?report=graph&amp;tracks=[key:gene_model_track,Options:GeneOnly]&amp;mk=3772236:3772255|offset_10|00cc00,3772260:3772279|offset_34|444444,3772281:3772300|offset_55|444444,3772326:3772345|offset_100|444444&amp;v=3772035:3772545&amp;c=444444", "offset 10")</f>
        <v>offset 10</v>
      </c>
    </row>
    <row r="11980" customFormat="false" ht="12.8" hidden="false" customHeight="false" outlineLevel="0" collapsed="false">
      <c r="A11980" s="0" t="s">
        <v>12</v>
      </c>
      <c r="B11980" s="0" t="n">
        <v>3772259</v>
      </c>
      <c r="C11980" s="0" t="n">
        <v>3772279</v>
      </c>
      <c r="D11980" s="0" t="s">
        <v>39766</v>
      </c>
      <c r="E11980" s="0" t="s">
        <v>39767</v>
      </c>
      <c r="F11980" s="0" t="s">
        <v>15</v>
      </c>
      <c r="G11980" s="0" t="s">
        <v>36</v>
      </c>
      <c r="H11980" s="0" t="n">
        <v>34</v>
      </c>
      <c r="I11980" s="0" t="s">
        <v>39771</v>
      </c>
      <c r="J11980" s="0" t="s">
        <v>39772</v>
      </c>
      <c r="K11980" s="0" t="s">
        <v>39773</v>
      </c>
      <c r="L11980" s="0" t="str">
        <f aca="false">HYPERLINK("https://www.ncbi.nlm.nih.gov/nuccore/CP000058.1?report=graph&amp;tracks=[key:gene_model_track,Options:GeneOnly]&amp;mk=3772236:3772255|offset_10|444444,3772260:3772279|offset_34|00cc00,3772281:3772300|offset_55|444444,3772326:3772345|offset_100|444444&amp;v=3772035:3772545&amp;c=444444", "offset 34")</f>
        <v>offset 34</v>
      </c>
    </row>
    <row r="11981" customFormat="false" ht="12.8" hidden="false" customHeight="false" outlineLevel="0" collapsed="false">
      <c r="A11981" s="0" t="s">
        <v>12</v>
      </c>
      <c r="B11981" s="0" t="n">
        <v>3772280</v>
      </c>
      <c r="C11981" s="0" t="n">
        <v>3772300</v>
      </c>
      <c r="D11981" s="0" t="s">
        <v>39766</v>
      </c>
      <c r="E11981" s="0" t="s">
        <v>39767</v>
      </c>
      <c r="F11981" s="0" t="s">
        <v>15</v>
      </c>
      <c r="G11981" s="0" t="s">
        <v>16</v>
      </c>
      <c r="H11981" s="0" t="n">
        <v>55</v>
      </c>
      <c r="I11981" s="0" t="s">
        <v>39774</v>
      </c>
      <c r="J11981" s="0" t="s">
        <v>39775</v>
      </c>
      <c r="K11981" s="0" t="s">
        <v>39776</v>
      </c>
      <c r="L11981" s="0" t="str">
        <f aca="false">HYPERLINK("https://www.ncbi.nlm.nih.gov/nuccore/CP000058.1?report=graph&amp;tracks=[key:gene_model_track,Options:GeneOnly]&amp;mk=3772236:3772255|offset_10|444444,3772260:3772279|offset_34|444444,3772281:3772300|offset_55|00cc00,3772326:3772345|offset_100|444444&amp;v=3772035:3772545&amp;c=444444", "offset 55")</f>
        <v>offset 55</v>
      </c>
    </row>
    <row r="11982" customFormat="false" ht="12.8" hidden="false" customHeight="false" outlineLevel="0" collapsed="false">
      <c r="A11982" s="0" t="s">
        <v>12</v>
      </c>
      <c r="B11982" s="0" t="n">
        <v>3772325</v>
      </c>
      <c r="C11982" s="0" t="n">
        <v>3772345</v>
      </c>
      <c r="D11982" s="0" t="s">
        <v>39766</v>
      </c>
      <c r="E11982" s="0" t="s">
        <v>39767</v>
      </c>
      <c r="F11982" s="0" t="s">
        <v>15</v>
      </c>
      <c r="G11982" s="0" t="s">
        <v>32</v>
      </c>
      <c r="H11982" s="0" t="n">
        <v>100</v>
      </c>
      <c r="I11982" s="0" t="s">
        <v>39777</v>
      </c>
      <c r="J11982" s="0" t="s">
        <v>39778</v>
      </c>
      <c r="K11982" s="0" t="s">
        <v>39779</v>
      </c>
      <c r="L11982" s="0" t="str">
        <f aca="false">HYPERLINK("https://www.ncbi.nlm.nih.gov/nuccore/CP000058.1?report=graph&amp;tracks=[key:gene_model_track,Options:GeneOnly]&amp;mk=3772236:3772255|offset_10|444444,3772260:3772279|offset_34|444444,3772281:3772300|offset_55|444444,3772326:3772345|offset_100|00cc00&amp;v=3772035:3772545&amp;c=444444", "offset 100")</f>
        <v>offset 100</v>
      </c>
    </row>
    <row r="11983" customFormat="false" ht="12.8" hidden="false" customHeight="false" outlineLevel="0" collapsed="false">
      <c r="A11983" s="0" t="s">
        <v>12</v>
      </c>
      <c r="B11983" s="0" t="n">
        <v>3773493</v>
      </c>
      <c r="C11983" s="0" t="n">
        <v>3773513</v>
      </c>
      <c r="D11983" s="0" t="s">
        <v>39780</v>
      </c>
      <c r="E11983" s="0" t="s">
        <v>75</v>
      </c>
      <c r="F11983" s="0" t="s">
        <v>15</v>
      </c>
      <c r="G11983" s="0" t="s">
        <v>36</v>
      </c>
      <c r="H11983" s="0" t="n">
        <v>0</v>
      </c>
      <c r="I11983" s="0" t="s">
        <v>39781</v>
      </c>
      <c r="J11983" s="0" t="s">
        <v>39782</v>
      </c>
      <c r="K11983" s="0" t="s">
        <v>39783</v>
      </c>
      <c r="L11983" s="0" t="str">
        <f aca="false">HYPERLINK("https://www.ncbi.nlm.nih.gov/nuccore/CP000058.1?report=graph&amp;tracks=[key:gene_model_track,Options:GeneOnly]&amp;mk=3773494:3773513|offset_0|00cc00,3773514:3773533|offset_20|444444,3773535:3773554|offset_41|444444,3773564:3773583|offset_70|444444&amp;v=3773293:3773783&amp;c=444444", "offset 0")</f>
        <v>offset 0</v>
      </c>
    </row>
    <row r="11984" customFormat="false" ht="12.8" hidden="false" customHeight="false" outlineLevel="0" collapsed="false">
      <c r="A11984" s="0" t="s">
        <v>12</v>
      </c>
      <c r="B11984" s="0" t="n">
        <v>3773513</v>
      </c>
      <c r="C11984" s="0" t="n">
        <v>3773533</v>
      </c>
      <c r="D11984" s="0" t="s">
        <v>39780</v>
      </c>
      <c r="E11984" s="0" t="s">
        <v>75</v>
      </c>
      <c r="F11984" s="0" t="s">
        <v>15</v>
      </c>
      <c r="G11984" s="0" t="s">
        <v>20</v>
      </c>
      <c r="H11984" s="0" t="n">
        <v>20</v>
      </c>
      <c r="I11984" s="0" t="s">
        <v>39784</v>
      </c>
      <c r="J11984" s="0" t="s">
        <v>39785</v>
      </c>
      <c r="K11984" s="0" t="s">
        <v>39786</v>
      </c>
      <c r="L11984" s="0" t="str">
        <f aca="false">HYPERLINK("https://www.ncbi.nlm.nih.gov/nuccore/CP000058.1?report=graph&amp;tracks=[key:gene_model_track,Options:GeneOnly]&amp;mk=3773494:3773513|offset_0|444444,3773514:3773533|offset_20|00cc00,3773535:3773554|offset_41|444444,3773564:3773583|offset_70|444444&amp;v=3773293:3773783&amp;c=444444", "offset 20")</f>
        <v>offset 20</v>
      </c>
    </row>
    <row r="11985" customFormat="false" ht="12.8" hidden="false" customHeight="false" outlineLevel="0" collapsed="false">
      <c r="A11985" s="0" t="s">
        <v>12</v>
      </c>
      <c r="B11985" s="0" t="n">
        <v>3773534</v>
      </c>
      <c r="C11985" s="0" t="n">
        <v>3773554</v>
      </c>
      <c r="D11985" s="0" t="s">
        <v>39780</v>
      </c>
      <c r="E11985" s="0" t="s">
        <v>75</v>
      </c>
      <c r="F11985" s="0" t="s">
        <v>15</v>
      </c>
      <c r="G11985" s="0" t="s">
        <v>20</v>
      </c>
      <c r="H11985" s="0" t="n">
        <v>41</v>
      </c>
      <c r="I11985" s="0" t="s">
        <v>39787</v>
      </c>
      <c r="J11985" s="0" t="s">
        <v>39788</v>
      </c>
      <c r="K11985" s="0" t="s">
        <v>39789</v>
      </c>
      <c r="L11985" s="0" t="str">
        <f aca="false">HYPERLINK("https://www.ncbi.nlm.nih.gov/nuccore/CP000058.1?report=graph&amp;tracks=[key:gene_model_track,Options:GeneOnly]&amp;mk=3773494:3773513|offset_0|444444,3773514:3773533|offset_20|444444,3773535:3773554|offset_41|00cc00,3773564:3773583|offset_70|444444&amp;v=3773293:3773783&amp;c=444444", "offset 41")</f>
        <v>offset 41</v>
      </c>
    </row>
    <row r="11986" customFormat="false" ht="12.8" hidden="false" customHeight="false" outlineLevel="0" collapsed="false">
      <c r="A11986" s="0" t="s">
        <v>12</v>
      </c>
      <c r="B11986" s="0" t="n">
        <v>3773563</v>
      </c>
      <c r="C11986" s="0" t="n">
        <v>3773583</v>
      </c>
      <c r="D11986" s="0" t="s">
        <v>39780</v>
      </c>
      <c r="E11986" s="0" t="s">
        <v>75</v>
      </c>
      <c r="F11986" s="0" t="s">
        <v>15</v>
      </c>
      <c r="G11986" s="0" t="s">
        <v>36</v>
      </c>
      <c r="H11986" s="0" t="n">
        <v>70</v>
      </c>
      <c r="I11986" s="0" t="s">
        <v>39790</v>
      </c>
      <c r="J11986" s="0" t="s">
        <v>39791</v>
      </c>
      <c r="K11986" s="0" t="s">
        <v>39792</v>
      </c>
      <c r="L11986" s="0" t="str">
        <f aca="false">HYPERLINK("https://www.ncbi.nlm.nih.gov/nuccore/CP000058.1?report=graph&amp;tracks=[key:gene_model_track,Options:GeneOnly]&amp;mk=3773494:3773513|offset_0|444444,3773514:3773533|offset_20|444444,3773535:3773554|offset_41|444444,3773564:3773583|offset_70|00cc00&amp;v=3773293:3773783&amp;c=444444", "offset 70")</f>
        <v>offset 70</v>
      </c>
    </row>
    <row r="11987" customFormat="false" ht="12.8" hidden="false" customHeight="false" outlineLevel="0" collapsed="false">
      <c r="A11987" s="0" t="s">
        <v>12</v>
      </c>
      <c r="B11987" s="0" t="n">
        <v>3774878</v>
      </c>
      <c r="C11987" s="0" t="n">
        <v>3774898</v>
      </c>
      <c r="D11987" s="0" t="s">
        <v>39793</v>
      </c>
      <c r="E11987" s="0" t="s">
        <v>75</v>
      </c>
      <c r="F11987" s="0" t="s">
        <v>90</v>
      </c>
      <c r="G11987" s="0" t="s">
        <v>36</v>
      </c>
      <c r="H11987" s="0" t="n">
        <v>53</v>
      </c>
      <c r="I11987" s="0" t="s">
        <v>39794</v>
      </c>
      <c r="J11987" s="0" t="s">
        <v>39795</v>
      </c>
      <c r="K11987" s="0" t="s">
        <v>39796</v>
      </c>
      <c r="L11987" s="0" t="str">
        <f aca="false">HYPERLINK("https://www.ncbi.nlm.nih.gov/nuccore/CP000058.1?report=graph&amp;tracks=[key:gene_model_track,Options:GeneOnly]&amp;mk=3774879:3774898|offset_53|00cc00,3774828:3774847|offset_104|444444,3774791:3774810|offset_141|444444,3774753:3774772|offset_179|444444&amp;v=3774678:3774972&amp;c=444444", "offset 53")</f>
        <v>offset 53</v>
      </c>
    </row>
    <row r="11988" customFormat="false" ht="12.8" hidden="false" customHeight="false" outlineLevel="0" collapsed="false">
      <c r="A11988" s="0" t="s">
        <v>12</v>
      </c>
      <c r="B11988" s="0" t="n">
        <v>3774827</v>
      </c>
      <c r="C11988" s="0" t="n">
        <v>3774847</v>
      </c>
      <c r="D11988" s="0" t="s">
        <v>39793</v>
      </c>
      <c r="E11988" s="0" t="s">
        <v>75</v>
      </c>
      <c r="F11988" s="0" t="s">
        <v>90</v>
      </c>
      <c r="G11988" s="0" t="s">
        <v>36</v>
      </c>
      <c r="H11988" s="0" t="n">
        <v>104</v>
      </c>
      <c r="I11988" s="0" t="s">
        <v>39797</v>
      </c>
      <c r="J11988" s="0" t="s">
        <v>39798</v>
      </c>
      <c r="K11988" s="0" t="s">
        <v>39799</v>
      </c>
      <c r="L11988" s="0" t="str">
        <f aca="false">HYPERLINK("https://www.ncbi.nlm.nih.gov/nuccore/CP000058.1?report=graph&amp;tracks=[key:gene_model_track,Options:GeneOnly]&amp;mk=3774879:3774898|offset_53|444444,3774828:3774847|offset_104|00cc00,3774791:3774810|offset_141|444444,3774753:3774772|offset_179|444444&amp;v=3774678:3774972&amp;c=444444", "offset 104")</f>
        <v>offset 104</v>
      </c>
    </row>
    <row r="11989" customFormat="false" ht="12.8" hidden="false" customHeight="false" outlineLevel="0" collapsed="false">
      <c r="A11989" s="0" t="s">
        <v>12</v>
      </c>
      <c r="B11989" s="0" t="n">
        <v>3774790</v>
      </c>
      <c r="C11989" s="0" t="n">
        <v>3774810</v>
      </c>
      <c r="D11989" s="0" t="s">
        <v>39793</v>
      </c>
      <c r="E11989" s="0" t="s">
        <v>75</v>
      </c>
      <c r="F11989" s="0" t="s">
        <v>90</v>
      </c>
      <c r="G11989" s="0" t="s">
        <v>36</v>
      </c>
      <c r="H11989" s="0" t="n">
        <v>141</v>
      </c>
      <c r="I11989" s="0" t="s">
        <v>39800</v>
      </c>
      <c r="J11989" s="0" t="s">
        <v>39801</v>
      </c>
      <c r="K11989" s="0" t="s">
        <v>39802</v>
      </c>
      <c r="L11989" s="0" t="str">
        <f aca="false">HYPERLINK("https://www.ncbi.nlm.nih.gov/nuccore/CP000058.1?report=graph&amp;tracks=[key:gene_model_track,Options:GeneOnly]&amp;mk=3774879:3774898|offset_53|444444,3774828:3774847|offset_104|444444,3774791:3774810|offset_141|00cc00,3774753:3774772|offset_179|444444&amp;v=3774678:3774972&amp;c=444444", "offset 141")</f>
        <v>offset 141</v>
      </c>
    </row>
    <row r="11990" customFormat="false" ht="12.8" hidden="false" customHeight="false" outlineLevel="0" collapsed="false">
      <c r="A11990" s="0" t="s">
        <v>12</v>
      </c>
      <c r="B11990" s="0" t="n">
        <v>3774752</v>
      </c>
      <c r="C11990" s="0" t="n">
        <v>3774772</v>
      </c>
      <c r="D11990" s="0" t="s">
        <v>39793</v>
      </c>
      <c r="E11990" s="0" t="s">
        <v>75</v>
      </c>
      <c r="F11990" s="0" t="s">
        <v>90</v>
      </c>
      <c r="G11990" s="0" t="s">
        <v>16</v>
      </c>
      <c r="H11990" s="0" t="n">
        <v>179</v>
      </c>
      <c r="I11990" s="0" t="s">
        <v>39803</v>
      </c>
      <c r="J11990" s="0" t="s">
        <v>39804</v>
      </c>
      <c r="K11990" s="0" t="s">
        <v>39805</v>
      </c>
      <c r="L11990" s="0" t="str">
        <f aca="false">HYPERLINK("https://www.ncbi.nlm.nih.gov/nuccore/CP000058.1?report=graph&amp;tracks=[key:gene_model_track,Options:GeneOnly]&amp;mk=3774879:3774898|offset_53|444444,3774828:3774847|offset_104|444444,3774791:3774810|offset_141|444444,3774753:3774772|offset_179|00cc00&amp;v=3774678:3774972&amp;c=444444", "offset 179")</f>
        <v>offset 179</v>
      </c>
    </row>
    <row r="11991" customFormat="false" ht="12.8" hidden="false" customHeight="false" outlineLevel="0" collapsed="false">
      <c r="A11991" s="0" t="s">
        <v>12</v>
      </c>
      <c r="B11991" s="0" t="n">
        <v>3776268</v>
      </c>
      <c r="C11991" s="0" t="n">
        <v>3776288</v>
      </c>
      <c r="D11991" s="0" t="s">
        <v>39806</v>
      </c>
      <c r="E11991" s="0" t="s">
        <v>39807</v>
      </c>
      <c r="F11991" s="0" t="s">
        <v>90</v>
      </c>
      <c r="G11991" s="0" t="s">
        <v>16</v>
      </c>
      <c r="H11991" s="0" t="n">
        <v>8</v>
      </c>
      <c r="I11991" s="0" t="s">
        <v>39808</v>
      </c>
      <c r="J11991" s="0" t="s">
        <v>39809</v>
      </c>
      <c r="K11991" s="0" t="s">
        <v>39810</v>
      </c>
      <c r="L11991" s="0" t="str">
        <f aca="false">HYPERLINK("https://www.ncbi.nlm.nih.gov/nuccore/CP000058.1?report=graph&amp;tracks=[key:gene_model_track,Options:GeneOnly]&amp;mk=3776269:3776288|offset_8|00cc00,3776242:3776261|offset_35|444444,3776210:3776229|offset_67|444444,3776189:3776208|offset_88|444444&amp;v=3776068:3776408&amp;c=444444", "offset 8")</f>
        <v>offset 8</v>
      </c>
    </row>
    <row r="11992" customFormat="false" ht="12.8" hidden="false" customHeight="false" outlineLevel="0" collapsed="false">
      <c r="A11992" s="0" t="s">
        <v>12</v>
      </c>
      <c r="B11992" s="0" t="n">
        <v>3776241</v>
      </c>
      <c r="C11992" s="0" t="n">
        <v>3776261</v>
      </c>
      <c r="D11992" s="0" t="s">
        <v>39806</v>
      </c>
      <c r="E11992" s="0" t="s">
        <v>39807</v>
      </c>
      <c r="F11992" s="0" t="s">
        <v>90</v>
      </c>
      <c r="G11992" s="0" t="s">
        <v>36</v>
      </c>
      <c r="H11992" s="0" t="n">
        <v>35</v>
      </c>
      <c r="I11992" s="0" t="s">
        <v>39811</v>
      </c>
      <c r="J11992" s="0" t="s">
        <v>39812</v>
      </c>
      <c r="K11992" s="0" t="s">
        <v>39813</v>
      </c>
      <c r="L11992" s="0" t="str">
        <f aca="false">HYPERLINK("https://www.ncbi.nlm.nih.gov/nuccore/CP000058.1?report=graph&amp;tracks=[key:gene_model_track,Options:GeneOnly]&amp;mk=3776269:3776288|offset_8|444444,3776242:3776261|offset_35|00cc00,3776210:3776229|offset_67|444444,3776189:3776208|offset_88|444444&amp;v=3776068:3776408&amp;c=444444", "offset 35")</f>
        <v>offset 35</v>
      </c>
    </row>
    <row r="11993" customFormat="false" ht="12.8" hidden="false" customHeight="false" outlineLevel="0" collapsed="false">
      <c r="A11993" s="0" t="s">
        <v>12</v>
      </c>
      <c r="B11993" s="0" t="n">
        <v>3776209</v>
      </c>
      <c r="C11993" s="0" t="n">
        <v>3776229</v>
      </c>
      <c r="D11993" s="0" t="s">
        <v>39806</v>
      </c>
      <c r="E11993" s="0" t="s">
        <v>39807</v>
      </c>
      <c r="F11993" s="0" t="s">
        <v>90</v>
      </c>
      <c r="G11993" s="0" t="s">
        <v>16</v>
      </c>
      <c r="H11993" s="0" t="n">
        <v>67</v>
      </c>
      <c r="I11993" s="0" t="s">
        <v>39814</v>
      </c>
      <c r="J11993" s="0" t="s">
        <v>39815</v>
      </c>
      <c r="K11993" s="0" t="s">
        <v>39816</v>
      </c>
      <c r="L11993" s="0" t="str">
        <f aca="false">HYPERLINK("https://www.ncbi.nlm.nih.gov/nuccore/CP000058.1?report=graph&amp;tracks=[key:gene_model_track,Options:GeneOnly]&amp;mk=3776269:3776288|offset_8|444444,3776242:3776261|offset_35|444444,3776210:3776229|offset_67|00cc00,3776189:3776208|offset_88|444444&amp;v=3776068:3776408&amp;c=444444", "offset 67")</f>
        <v>offset 67</v>
      </c>
    </row>
    <row r="11994" customFormat="false" ht="12.8" hidden="false" customHeight="false" outlineLevel="0" collapsed="false">
      <c r="A11994" s="0" t="s">
        <v>12</v>
      </c>
      <c r="B11994" s="0" t="n">
        <v>3776188</v>
      </c>
      <c r="C11994" s="0" t="n">
        <v>3776208</v>
      </c>
      <c r="D11994" s="0" t="s">
        <v>39806</v>
      </c>
      <c r="E11994" s="0" t="s">
        <v>39807</v>
      </c>
      <c r="F11994" s="0" t="s">
        <v>90</v>
      </c>
      <c r="G11994" s="0" t="s">
        <v>36</v>
      </c>
      <c r="H11994" s="0" t="n">
        <v>88</v>
      </c>
      <c r="I11994" s="0" t="s">
        <v>39817</v>
      </c>
      <c r="J11994" s="0" t="s">
        <v>39818</v>
      </c>
      <c r="K11994" s="0" t="s">
        <v>39819</v>
      </c>
      <c r="L11994" s="0" t="str">
        <f aca="false">HYPERLINK("https://www.ncbi.nlm.nih.gov/nuccore/CP000058.1?report=graph&amp;tracks=[key:gene_model_track,Options:GeneOnly]&amp;mk=3776269:3776288|offset_8|444444,3776242:3776261|offset_35|444444,3776210:3776229|offset_67|444444,3776189:3776208|offset_88|00cc00&amp;v=3776068:3776408&amp;c=444444", "offset 88")</f>
        <v>offset 88</v>
      </c>
    </row>
    <row r="11995" customFormat="false" ht="12.8" hidden="false" customHeight="false" outlineLevel="0" collapsed="false">
      <c r="A11995" s="0" t="s">
        <v>12</v>
      </c>
      <c r="B11995" s="0" t="n">
        <v>3776567</v>
      </c>
      <c r="C11995" s="0" t="n">
        <v>3776587</v>
      </c>
      <c r="D11995" s="0" t="s">
        <v>39820</v>
      </c>
      <c r="E11995" s="0" t="s">
        <v>75</v>
      </c>
      <c r="F11995" s="0" t="s">
        <v>15</v>
      </c>
      <c r="G11995" s="0" t="s">
        <v>16</v>
      </c>
      <c r="H11995" s="0" t="n">
        <v>28</v>
      </c>
      <c r="I11995" s="0" t="s">
        <v>39821</v>
      </c>
      <c r="J11995" s="0" t="s">
        <v>39822</v>
      </c>
      <c r="K11995" s="0" t="s">
        <v>39823</v>
      </c>
      <c r="L11995" s="0" t="str">
        <f aca="false">HYPERLINK("https://www.ncbi.nlm.nih.gov/nuccore/CP000058.1?report=graph&amp;tracks=[key:gene_model_track,Options:GeneOnly]&amp;mk=3776568:3776587|offset_28|00cc00,3776610:3776629|offset_70|444444,3776647:3776666|offset_107|444444,3776668:3776687|offset_128|444444&amp;v=3776367:3776887&amp;c=444444", "offset 28")</f>
        <v>offset 28</v>
      </c>
    </row>
    <row r="11996" customFormat="false" ht="12.8" hidden="false" customHeight="false" outlineLevel="0" collapsed="false">
      <c r="A11996" s="0" t="s">
        <v>12</v>
      </c>
      <c r="B11996" s="0" t="n">
        <v>3776609</v>
      </c>
      <c r="C11996" s="0" t="n">
        <v>3776629</v>
      </c>
      <c r="D11996" s="0" t="s">
        <v>39820</v>
      </c>
      <c r="E11996" s="0" t="s">
        <v>75</v>
      </c>
      <c r="F11996" s="0" t="s">
        <v>15</v>
      </c>
      <c r="G11996" s="0" t="s">
        <v>16</v>
      </c>
      <c r="H11996" s="0" t="n">
        <v>70</v>
      </c>
      <c r="I11996" s="0" t="s">
        <v>39824</v>
      </c>
      <c r="J11996" s="0" t="s">
        <v>39825</v>
      </c>
      <c r="K11996" s="0" t="s">
        <v>39826</v>
      </c>
      <c r="L11996" s="0" t="str">
        <f aca="false">HYPERLINK("https://www.ncbi.nlm.nih.gov/nuccore/CP000058.1?report=graph&amp;tracks=[key:gene_model_track,Options:GeneOnly]&amp;mk=3776568:3776587|offset_28|444444,3776610:3776629|offset_70|00cc00,3776647:3776666|offset_107|444444,3776668:3776687|offset_128|444444&amp;v=3776367:3776887&amp;c=444444", "offset 70")</f>
        <v>offset 70</v>
      </c>
    </row>
    <row r="11997" customFormat="false" ht="12.8" hidden="false" customHeight="false" outlineLevel="0" collapsed="false">
      <c r="A11997" s="0" t="s">
        <v>12</v>
      </c>
      <c r="B11997" s="0" t="n">
        <v>3776646</v>
      </c>
      <c r="C11997" s="0" t="n">
        <v>3776666</v>
      </c>
      <c r="D11997" s="0" t="s">
        <v>39820</v>
      </c>
      <c r="E11997" s="0" t="s">
        <v>75</v>
      </c>
      <c r="F11997" s="0" t="s">
        <v>15</v>
      </c>
      <c r="G11997" s="0" t="s">
        <v>20</v>
      </c>
      <c r="H11997" s="0" t="n">
        <v>107</v>
      </c>
      <c r="I11997" s="0" t="s">
        <v>39827</v>
      </c>
      <c r="J11997" s="0" t="s">
        <v>39828</v>
      </c>
      <c r="K11997" s="0" t="s">
        <v>39829</v>
      </c>
      <c r="L11997" s="0" t="str">
        <f aca="false">HYPERLINK("https://www.ncbi.nlm.nih.gov/nuccore/CP000058.1?report=graph&amp;tracks=[key:gene_model_track,Options:GeneOnly]&amp;mk=3776568:3776587|offset_28|444444,3776610:3776629|offset_70|444444,3776647:3776666|offset_107|00cc00,3776668:3776687|offset_128|444444&amp;v=3776367:3776887&amp;c=444444", "offset 107")</f>
        <v>offset 107</v>
      </c>
    </row>
    <row r="11998" customFormat="false" ht="12.8" hidden="false" customHeight="false" outlineLevel="0" collapsed="false">
      <c r="A11998" s="0" t="s">
        <v>12</v>
      </c>
      <c r="B11998" s="0" t="n">
        <v>3776667</v>
      </c>
      <c r="C11998" s="0" t="n">
        <v>3776687</v>
      </c>
      <c r="D11998" s="0" t="s">
        <v>39820</v>
      </c>
      <c r="E11998" s="0" t="s">
        <v>75</v>
      </c>
      <c r="F11998" s="0" t="s">
        <v>15</v>
      </c>
      <c r="G11998" s="0" t="s">
        <v>32</v>
      </c>
      <c r="H11998" s="0" t="n">
        <v>128</v>
      </c>
      <c r="I11998" s="0" t="s">
        <v>39830</v>
      </c>
      <c r="J11998" s="0" t="s">
        <v>39831</v>
      </c>
      <c r="K11998" s="0" t="s">
        <v>39832</v>
      </c>
      <c r="L11998" s="0" t="str">
        <f aca="false">HYPERLINK("https://www.ncbi.nlm.nih.gov/nuccore/CP000058.1?report=graph&amp;tracks=[key:gene_model_track,Options:GeneOnly]&amp;mk=3776568:3776587|offset_28|444444,3776610:3776629|offset_70|444444,3776647:3776666|offset_107|444444,3776668:3776687|offset_128|00cc00&amp;v=3776367:3776887&amp;c=444444", "offset 128")</f>
        <v>offset 128</v>
      </c>
    </row>
    <row r="11999" customFormat="false" ht="12.8" hidden="false" customHeight="false" outlineLevel="0" collapsed="false">
      <c r="A11999" s="0" t="s">
        <v>12</v>
      </c>
      <c r="B11999" s="0" t="n">
        <v>3777167</v>
      </c>
      <c r="C11999" s="0" t="n">
        <v>3777187</v>
      </c>
      <c r="D11999" s="0" t="s">
        <v>39833</v>
      </c>
      <c r="E11999" s="0" t="s">
        <v>75</v>
      </c>
      <c r="F11999" s="0" t="s">
        <v>15</v>
      </c>
      <c r="G11999" s="0" t="s">
        <v>36</v>
      </c>
      <c r="H11999" s="0" t="n">
        <v>0</v>
      </c>
      <c r="I11999" s="0" t="s">
        <v>39834</v>
      </c>
      <c r="J11999" s="0" t="s">
        <v>39835</v>
      </c>
      <c r="K11999" s="0" t="s">
        <v>39836</v>
      </c>
      <c r="L11999" s="0" t="str">
        <f aca="false">HYPERLINK("https://www.ncbi.nlm.nih.gov/nuccore/CP000058.1?report=graph&amp;tracks=[key:gene_model_track,Options:GeneOnly]&amp;mk=3777168:3777187|offset_0|00cc00,3777197:3777216|offset_29|444444,3777220:3777239|offset_52|444444,3777247:3777266|offset_79|444444&amp;v=3776967:3777466&amp;c=444444", "offset 0")</f>
        <v>offset 0</v>
      </c>
    </row>
    <row r="12000" customFormat="false" ht="12.8" hidden="false" customHeight="false" outlineLevel="0" collapsed="false">
      <c r="A12000" s="0" t="s">
        <v>12</v>
      </c>
      <c r="B12000" s="0" t="n">
        <v>3777196</v>
      </c>
      <c r="C12000" s="0" t="n">
        <v>3777216</v>
      </c>
      <c r="D12000" s="0" t="s">
        <v>39833</v>
      </c>
      <c r="E12000" s="0" t="s">
        <v>75</v>
      </c>
      <c r="F12000" s="0" t="s">
        <v>15</v>
      </c>
      <c r="G12000" s="0" t="s">
        <v>20</v>
      </c>
      <c r="H12000" s="0" t="n">
        <v>29</v>
      </c>
      <c r="I12000" s="0" t="s">
        <v>39837</v>
      </c>
      <c r="J12000" s="0" t="s">
        <v>39838</v>
      </c>
      <c r="K12000" s="0" t="s">
        <v>39839</v>
      </c>
      <c r="L12000" s="0" t="str">
        <f aca="false">HYPERLINK("https://www.ncbi.nlm.nih.gov/nuccore/CP000058.1?report=graph&amp;tracks=[key:gene_model_track,Options:GeneOnly]&amp;mk=3777168:3777187|offset_0|444444,3777197:3777216|offset_29|00cc00,3777220:3777239|offset_52|444444,3777247:3777266|offset_79|444444&amp;v=3776967:3777466&amp;c=444444", "offset 29")</f>
        <v>offset 29</v>
      </c>
    </row>
    <row r="12001" customFormat="false" ht="12.8" hidden="false" customHeight="false" outlineLevel="0" collapsed="false">
      <c r="A12001" s="0" t="s">
        <v>12</v>
      </c>
      <c r="B12001" s="0" t="n">
        <v>3777219</v>
      </c>
      <c r="C12001" s="0" t="n">
        <v>3777239</v>
      </c>
      <c r="D12001" s="0" t="s">
        <v>39833</v>
      </c>
      <c r="E12001" s="0" t="s">
        <v>75</v>
      </c>
      <c r="F12001" s="0" t="s">
        <v>15</v>
      </c>
      <c r="G12001" s="0" t="s">
        <v>32</v>
      </c>
      <c r="H12001" s="0" t="n">
        <v>52</v>
      </c>
      <c r="I12001" s="0" t="s">
        <v>39840</v>
      </c>
      <c r="J12001" s="0" t="s">
        <v>39841</v>
      </c>
      <c r="K12001" s="0" t="s">
        <v>39842</v>
      </c>
      <c r="L12001" s="0" t="str">
        <f aca="false">HYPERLINK("https://www.ncbi.nlm.nih.gov/nuccore/CP000058.1?report=graph&amp;tracks=[key:gene_model_track,Options:GeneOnly]&amp;mk=3777168:3777187|offset_0|444444,3777197:3777216|offset_29|444444,3777220:3777239|offset_52|00cc00,3777247:3777266|offset_79|444444&amp;v=3776967:3777466&amp;c=444444", "offset 52")</f>
        <v>offset 52</v>
      </c>
    </row>
    <row r="12002" customFormat="false" ht="12.8" hidden="false" customHeight="false" outlineLevel="0" collapsed="false">
      <c r="A12002" s="0" t="s">
        <v>12</v>
      </c>
      <c r="B12002" s="0" t="n">
        <v>3777246</v>
      </c>
      <c r="C12002" s="0" t="n">
        <v>3777266</v>
      </c>
      <c r="D12002" s="0" t="s">
        <v>39833</v>
      </c>
      <c r="E12002" s="0" t="s">
        <v>75</v>
      </c>
      <c r="F12002" s="0" t="s">
        <v>15</v>
      </c>
      <c r="G12002" s="0" t="s">
        <v>32</v>
      </c>
      <c r="H12002" s="0" t="n">
        <v>79</v>
      </c>
      <c r="I12002" s="0" t="s">
        <v>39843</v>
      </c>
      <c r="J12002" s="0" t="s">
        <v>39844</v>
      </c>
      <c r="K12002" s="0" t="s">
        <v>39845</v>
      </c>
      <c r="L12002" s="0" t="str">
        <f aca="false">HYPERLINK("https://www.ncbi.nlm.nih.gov/nuccore/CP000058.1?report=graph&amp;tracks=[key:gene_model_track,Options:GeneOnly]&amp;mk=3777168:3777187|offset_0|444444,3777197:3777216|offset_29|444444,3777220:3777239|offset_52|444444,3777247:3777266|offset_79|00cc00&amp;v=3776967:3777466&amp;c=444444", "offset 79")</f>
        <v>offset 79</v>
      </c>
    </row>
    <row r="12003" customFormat="false" ht="12.8" hidden="false" customHeight="false" outlineLevel="0" collapsed="false">
      <c r="A12003" s="0" t="s">
        <v>12</v>
      </c>
      <c r="B12003" s="0" t="n">
        <v>3779169</v>
      </c>
      <c r="C12003" s="0" t="n">
        <v>3779189</v>
      </c>
      <c r="D12003" s="0" t="s">
        <v>39846</v>
      </c>
      <c r="E12003" s="0" t="s">
        <v>39847</v>
      </c>
      <c r="F12003" s="0" t="s">
        <v>15</v>
      </c>
      <c r="G12003" s="0" t="s">
        <v>16</v>
      </c>
      <c r="H12003" s="0" t="n">
        <v>92</v>
      </c>
      <c r="I12003" s="0" t="s">
        <v>39848</v>
      </c>
      <c r="J12003" s="0" t="s">
        <v>39849</v>
      </c>
      <c r="K12003" s="0" t="s">
        <v>39850</v>
      </c>
      <c r="L12003" s="0" t="str">
        <f aca="false">HYPERLINK("https://www.ncbi.nlm.nih.gov/nuccore/CP000058.1?report=graph&amp;tracks=[key:gene_model_track,Options:GeneOnly]&amp;mk=3779170:3779189|offset_92|00cc00,3779233:3779252|offset_155|444444&amp;v=3778969:3779452&amp;c=444444", "offset 92")</f>
        <v>offset 92</v>
      </c>
    </row>
    <row r="12004" customFormat="false" ht="12.8" hidden="false" customHeight="false" outlineLevel="0" collapsed="false">
      <c r="A12004" s="0" t="s">
        <v>12</v>
      </c>
      <c r="B12004" s="0" t="n">
        <v>3779232</v>
      </c>
      <c r="C12004" s="0" t="n">
        <v>3779252</v>
      </c>
      <c r="D12004" s="0" t="s">
        <v>39846</v>
      </c>
      <c r="E12004" s="0" t="s">
        <v>39847</v>
      </c>
      <c r="F12004" s="0" t="s">
        <v>15</v>
      </c>
      <c r="G12004" s="0" t="s">
        <v>32</v>
      </c>
      <c r="H12004" s="0" t="n">
        <v>155</v>
      </c>
      <c r="I12004" s="0" t="s">
        <v>39851</v>
      </c>
      <c r="J12004" s="0" t="s">
        <v>39852</v>
      </c>
      <c r="K12004" s="0" t="s">
        <v>39853</v>
      </c>
      <c r="L12004" s="0" t="str">
        <f aca="false">HYPERLINK("https://www.ncbi.nlm.nih.gov/nuccore/CP000058.1?report=graph&amp;tracks=[key:gene_model_track,Options:GeneOnly]&amp;mk=3779170:3779189|offset_92|444444,3779233:3779252|offset_155|00cc00&amp;v=3778969:3779452&amp;c=444444", "offset 155")</f>
        <v>offset 155</v>
      </c>
    </row>
    <row r="12005" customFormat="false" ht="12.8" hidden="false" customHeight="false" outlineLevel="0" collapsed="false">
      <c r="A12005" s="0" t="s">
        <v>12</v>
      </c>
      <c r="B12005" s="0" t="n">
        <v>3780727</v>
      </c>
      <c r="C12005" s="0" t="n">
        <v>3780747</v>
      </c>
      <c r="D12005" s="0" t="s">
        <v>39854</v>
      </c>
      <c r="E12005" s="0" t="s">
        <v>75</v>
      </c>
      <c r="F12005" s="0" t="s">
        <v>90</v>
      </c>
      <c r="G12005" s="0" t="s">
        <v>20</v>
      </c>
      <c r="H12005" s="0" t="n">
        <v>28</v>
      </c>
      <c r="I12005" s="0" t="s">
        <v>39855</v>
      </c>
      <c r="J12005" s="0" t="s">
        <v>39856</v>
      </c>
      <c r="K12005" s="0" t="s">
        <v>39857</v>
      </c>
      <c r="L12005" s="0" t="str">
        <f aca="false">HYPERLINK("https://www.ncbi.nlm.nih.gov/nuccore/CP000058.1?report=graph&amp;tracks=[key:gene_model_track,Options:GeneOnly]&amp;mk=3780728:3780747|offset_28|00cc00,3780704:3780723|offset_52|444444,3780670:3780689|offset_86|444444,3780641:3780660|offset_115|444444&amp;v=3780527:3780860&amp;c=444444", "offset 28")</f>
        <v>offset 28</v>
      </c>
    </row>
    <row r="12006" customFormat="false" ht="12.8" hidden="false" customHeight="false" outlineLevel="0" collapsed="false">
      <c r="A12006" s="0" t="s">
        <v>12</v>
      </c>
      <c r="B12006" s="0" t="n">
        <v>3780703</v>
      </c>
      <c r="C12006" s="0" t="n">
        <v>3780723</v>
      </c>
      <c r="D12006" s="0" t="s">
        <v>39854</v>
      </c>
      <c r="E12006" s="0" t="s">
        <v>75</v>
      </c>
      <c r="F12006" s="0" t="s">
        <v>90</v>
      </c>
      <c r="G12006" s="0" t="s">
        <v>16</v>
      </c>
      <c r="H12006" s="0" t="n">
        <v>52</v>
      </c>
      <c r="I12006" s="0" t="s">
        <v>39858</v>
      </c>
      <c r="J12006" s="0" t="s">
        <v>39859</v>
      </c>
      <c r="K12006" s="0" t="s">
        <v>39860</v>
      </c>
      <c r="L12006" s="0" t="str">
        <f aca="false">HYPERLINK("https://www.ncbi.nlm.nih.gov/nuccore/CP000058.1?report=graph&amp;tracks=[key:gene_model_track,Options:GeneOnly]&amp;mk=3780728:3780747|offset_28|444444,3780704:3780723|offset_52|00cc00,3780670:3780689|offset_86|444444,3780641:3780660|offset_115|444444&amp;v=3780527:3780860&amp;c=444444", "offset 52")</f>
        <v>offset 52</v>
      </c>
    </row>
    <row r="12007" customFormat="false" ht="12.8" hidden="false" customHeight="false" outlineLevel="0" collapsed="false">
      <c r="A12007" s="0" t="s">
        <v>12</v>
      </c>
      <c r="B12007" s="0" t="n">
        <v>3780669</v>
      </c>
      <c r="C12007" s="0" t="n">
        <v>3780689</v>
      </c>
      <c r="D12007" s="0" t="s">
        <v>39854</v>
      </c>
      <c r="E12007" s="0" t="s">
        <v>75</v>
      </c>
      <c r="F12007" s="0" t="s">
        <v>90</v>
      </c>
      <c r="G12007" s="0" t="s">
        <v>20</v>
      </c>
      <c r="H12007" s="0" t="n">
        <v>86</v>
      </c>
      <c r="I12007" s="0" t="s">
        <v>39861</v>
      </c>
      <c r="J12007" s="0" t="s">
        <v>39862</v>
      </c>
      <c r="K12007" s="0" t="s">
        <v>39863</v>
      </c>
      <c r="L12007" s="0" t="str">
        <f aca="false">HYPERLINK("https://www.ncbi.nlm.nih.gov/nuccore/CP000058.1?report=graph&amp;tracks=[key:gene_model_track,Options:GeneOnly]&amp;mk=3780728:3780747|offset_28|444444,3780704:3780723|offset_52|444444,3780670:3780689|offset_86|00cc00,3780641:3780660|offset_115|444444&amp;v=3780527:3780860&amp;c=444444", "offset 86")</f>
        <v>offset 86</v>
      </c>
    </row>
    <row r="12008" customFormat="false" ht="12.8" hidden="false" customHeight="false" outlineLevel="0" collapsed="false">
      <c r="A12008" s="0" t="s">
        <v>12</v>
      </c>
      <c r="B12008" s="0" t="n">
        <v>3780640</v>
      </c>
      <c r="C12008" s="0" t="n">
        <v>3780660</v>
      </c>
      <c r="D12008" s="0" t="s">
        <v>39854</v>
      </c>
      <c r="E12008" s="0" t="s">
        <v>75</v>
      </c>
      <c r="F12008" s="0" t="s">
        <v>90</v>
      </c>
      <c r="G12008" s="0" t="s">
        <v>16</v>
      </c>
      <c r="H12008" s="0" t="n">
        <v>115</v>
      </c>
      <c r="I12008" s="0" t="s">
        <v>39864</v>
      </c>
      <c r="J12008" s="0" t="s">
        <v>39865</v>
      </c>
      <c r="K12008" s="0" t="s">
        <v>39866</v>
      </c>
      <c r="L12008" s="0" t="str">
        <f aca="false">HYPERLINK("https://www.ncbi.nlm.nih.gov/nuccore/CP000058.1?report=graph&amp;tracks=[key:gene_model_track,Options:GeneOnly]&amp;mk=3780728:3780747|offset_28|444444,3780704:3780723|offset_52|444444,3780670:3780689|offset_86|444444,3780641:3780660|offset_115|00cc00&amp;v=3780527:3780860&amp;c=444444", "offset 115")</f>
        <v>offset 115</v>
      </c>
    </row>
    <row r="12009" customFormat="false" ht="12.8" hidden="false" customHeight="false" outlineLevel="0" collapsed="false">
      <c r="A12009" s="0" t="s">
        <v>12</v>
      </c>
      <c r="B12009" s="0" t="n">
        <v>3781623</v>
      </c>
      <c r="C12009" s="0" t="n">
        <v>3781643</v>
      </c>
      <c r="D12009" s="0" t="s">
        <v>39867</v>
      </c>
      <c r="E12009" s="0" t="s">
        <v>75</v>
      </c>
      <c r="F12009" s="0" t="s">
        <v>90</v>
      </c>
      <c r="G12009" s="0" t="s">
        <v>20</v>
      </c>
      <c r="H12009" s="0" t="n">
        <v>59</v>
      </c>
      <c r="I12009" s="0" t="s">
        <v>39868</v>
      </c>
      <c r="J12009" s="0" t="s">
        <v>39869</v>
      </c>
      <c r="K12009" s="0" t="s">
        <v>39870</v>
      </c>
      <c r="L12009" s="0" t="str">
        <f aca="false">HYPERLINK("https://www.ncbi.nlm.nih.gov/nuccore/CP000058.1?report=graph&amp;tracks=[key:gene_model_track,Options:GeneOnly]&amp;mk=3781624:3781643|offset_59|00cc00,3781601:3781620|offset_82|444444,3781563:3781582|offset_120|444444,3781531:3781550|offset_152|444444&amp;v=3781423:3781750&amp;c=444444", "offset 59")</f>
        <v>offset 59</v>
      </c>
    </row>
    <row r="12010" customFormat="false" ht="12.8" hidden="false" customHeight="false" outlineLevel="0" collapsed="false">
      <c r="A12010" s="0" t="s">
        <v>12</v>
      </c>
      <c r="B12010" s="0" t="n">
        <v>3781600</v>
      </c>
      <c r="C12010" s="0" t="n">
        <v>3781620</v>
      </c>
      <c r="D12010" s="0" t="s">
        <v>39867</v>
      </c>
      <c r="E12010" s="0" t="s">
        <v>75</v>
      </c>
      <c r="F12010" s="0" t="s">
        <v>90</v>
      </c>
      <c r="G12010" s="0" t="s">
        <v>32</v>
      </c>
      <c r="H12010" s="0" t="n">
        <v>82</v>
      </c>
      <c r="I12010" s="0" t="s">
        <v>39871</v>
      </c>
      <c r="J12010" s="0" t="s">
        <v>39872</v>
      </c>
      <c r="K12010" s="0" t="s">
        <v>39873</v>
      </c>
      <c r="L12010" s="0" t="str">
        <f aca="false">HYPERLINK("https://www.ncbi.nlm.nih.gov/nuccore/CP000058.1?report=graph&amp;tracks=[key:gene_model_track,Options:GeneOnly]&amp;mk=3781624:3781643|offset_59|444444,3781601:3781620|offset_82|00cc00,3781563:3781582|offset_120|444444,3781531:3781550|offset_152|444444&amp;v=3781423:3781750&amp;c=444444", "offset 82")</f>
        <v>offset 82</v>
      </c>
    </row>
    <row r="12011" customFormat="false" ht="12.8" hidden="false" customHeight="false" outlineLevel="0" collapsed="false">
      <c r="A12011" s="0" t="s">
        <v>12</v>
      </c>
      <c r="B12011" s="0" t="n">
        <v>3781562</v>
      </c>
      <c r="C12011" s="0" t="n">
        <v>3781582</v>
      </c>
      <c r="D12011" s="0" t="s">
        <v>39867</v>
      </c>
      <c r="E12011" s="0" t="s">
        <v>75</v>
      </c>
      <c r="F12011" s="0" t="s">
        <v>90</v>
      </c>
      <c r="G12011" s="0" t="s">
        <v>16</v>
      </c>
      <c r="H12011" s="0" t="n">
        <v>120</v>
      </c>
      <c r="I12011" s="0" t="s">
        <v>39874</v>
      </c>
      <c r="J12011" s="0" t="s">
        <v>39875</v>
      </c>
      <c r="K12011" s="0" t="s">
        <v>39876</v>
      </c>
      <c r="L12011" s="0" t="str">
        <f aca="false">HYPERLINK("https://www.ncbi.nlm.nih.gov/nuccore/CP000058.1?report=graph&amp;tracks=[key:gene_model_track,Options:GeneOnly]&amp;mk=3781624:3781643|offset_59|444444,3781601:3781620|offset_82|444444,3781563:3781582|offset_120|00cc00,3781531:3781550|offset_152|444444&amp;v=3781423:3781750&amp;c=444444", "offset 120")</f>
        <v>offset 120</v>
      </c>
    </row>
    <row r="12012" customFormat="false" ht="12.8" hidden="false" customHeight="false" outlineLevel="0" collapsed="false">
      <c r="A12012" s="0" t="s">
        <v>12</v>
      </c>
      <c r="B12012" s="0" t="n">
        <v>3781530</v>
      </c>
      <c r="C12012" s="0" t="n">
        <v>3781550</v>
      </c>
      <c r="D12012" s="0" t="s">
        <v>39867</v>
      </c>
      <c r="E12012" s="0" t="s">
        <v>75</v>
      </c>
      <c r="F12012" s="0" t="s">
        <v>90</v>
      </c>
      <c r="G12012" s="0" t="s">
        <v>20</v>
      </c>
      <c r="H12012" s="0" t="n">
        <v>152</v>
      </c>
      <c r="I12012" s="0" t="s">
        <v>39877</v>
      </c>
      <c r="J12012" s="0" t="s">
        <v>39878</v>
      </c>
      <c r="K12012" s="0" t="s">
        <v>39879</v>
      </c>
      <c r="L12012" s="0" t="str">
        <f aca="false">HYPERLINK("https://www.ncbi.nlm.nih.gov/nuccore/CP000058.1?report=graph&amp;tracks=[key:gene_model_track,Options:GeneOnly]&amp;mk=3781624:3781643|offset_59|444444,3781601:3781620|offset_82|444444,3781563:3781582|offset_120|444444,3781531:3781550|offset_152|00cc00&amp;v=3781423:3781750&amp;c=444444", "offset 152")</f>
        <v>offset 152</v>
      </c>
    </row>
    <row r="12013" customFormat="false" ht="12.8" hidden="false" customHeight="false" outlineLevel="0" collapsed="false">
      <c r="A12013" s="0" t="s">
        <v>12</v>
      </c>
      <c r="B12013" s="0" t="n">
        <v>3782616</v>
      </c>
      <c r="C12013" s="0" t="n">
        <v>3782636</v>
      </c>
      <c r="D12013" s="0" t="s">
        <v>39880</v>
      </c>
      <c r="E12013" s="0" t="s">
        <v>75</v>
      </c>
      <c r="F12013" s="0" t="s">
        <v>90</v>
      </c>
      <c r="G12013" s="0" t="s">
        <v>32</v>
      </c>
      <c r="H12013" s="0" t="n">
        <v>8</v>
      </c>
      <c r="I12013" s="0" t="s">
        <v>39881</v>
      </c>
      <c r="J12013" s="0" t="s">
        <v>39882</v>
      </c>
      <c r="K12013" s="0" t="s">
        <v>39883</v>
      </c>
      <c r="L12013" s="0" t="str">
        <f aca="false">HYPERLINK("https://www.ncbi.nlm.nih.gov/nuccore/CP000058.1?report=graph&amp;tracks=[key:gene_model_track,Options:GeneOnly]&amp;mk=3782617:3782636|offset_8|00cc00,3782587:3782606|offset_38|444444,3782558:3782577|offset_67|444444,3782536:3782555|offset_89|444444&amp;v=3782416:3782755&amp;c=444444", "offset 8")</f>
        <v>offset 8</v>
      </c>
    </row>
    <row r="12014" customFormat="false" ht="12.8" hidden="false" customHeight="false" outlineLevel="0" collapsed="false">
      <c r="A12014" s="0" t="s">
        <v>12</v>
      </c>
      <c r="B12014" s="0" t="n">
        <v>3782586</v>
      </c>
      <c r="C12014" s="0" t="n">
        <v>3782606</v>
      </c>
      <c r="D12014" s="0" t="s">
        <v>39880</v>
      </c>
      <c r="E12014" s="0" t="s">
        <v>75</v>
      </c>
      <c r="F12014" s="0" t="s">
        <v>90</v>
      </c>
      <c r="G12014" s="0" t="s">
        <v>36</v>
      </c>
      <c r="H12014" s="0" t="n">
        <v>38</v>
      </c>
      <c r="I12014" s="0" t="s">
        <v>39884</v>
      </c>
      <c r="J12014" s="0" t="s">
        <v>39885</v>
      </c>
      <c r="K12014" s="0" t="s">
        <v>39886</v>
      </c>
      <c r="L12014" s="0" t="str">
        <f aca="false">HYPERLINK("https://www.ncbi.nlm.nih.gov/nuccore/CP000058.1?report=graph&amp;tracks=[key:gene_model_track,Options:GeneOnly]&amp;mk=3782617:3782636|offset_8|444444,3782587:3782606|offset_38|00cc00,3782558:3782577|offset_67|444444,3782536:3782555|offset_89|444444&amp;v=3782416:3782755&amp;c=444444", "offset 38")</f>
        <v>offset 38</v>
      </c>
    </row>
    <row r="12015" customFormat="false" ht="12.8" hidden="false" customHeight="false" outlineLevel="0" collapsed="false">
      <c r="A12015" s="0" t="s">
        <v>12</v>
      </c>
      <c r="B12015" s="0" t="n">
        <v>3782557</v>
      </c>
      <c r="C12015" s="0" t="n">
        <v>3782577</v>
      </c>
      <c r="D12015" s="0" t="s">
        <v>39880</v>
      </c>
      <c r="E12015" s="0" t="s">
        <v>75</v>
      </c>
      <c r="F12015" s="0" t="s">
        <v>90</v>
      </c>
      <c r="G12015" s="0" t="s">
        <v>16</v>
      </c>
      <c r="H12015" s="0" t="n">
        <v>67</v>
      </c>
      <c r="I12015" s="0" t="s">
        <v>39887</v>
      </c>
      <c r="J12015" s="0" t="s">
        <v>39888</v>
      </c>
      <c r="K12015" s="0" t="s">
        <v>39889</v>
      </c>
      <c r="L12015" s="0" t="str">
        <f aca="false">HYPERLINK("https://www.ncbi.nlm.nih.gov/nuccore/CP000058.1?report=graph&amp;tracks=[key:gene_model_track,Options:GeneOnly]&amp;mk=3782617:3782636|offset_8|444444,3782587:3782606|offset_38|444444,3782558:3782577|offset_67|00cc00,3782536:3782555|offset_89|444444&amp;v=3782416:3782755&amp;c=444444", "offset 67")</f>
        <v>offset 67</v>
      </c>
    </row>
    <row r="12016" customFormat="false" ht="12.8" hidden="false" customHeight="false" outlineLevel="0" collapsed="false">
      <c r="A12016" s="0" t="s">
        <v>12</v>
      </c>
      <c r="B12016" s="0" t="n">
        <v>3782535</v>
      </c>
      <c r="C12016" s="0" t="n">
        <v>3782555</v>
      </c>
      <c r="D12016" s="0" t="s">
        <v>39880</v>
      </c>
      <c r="E12016" s="0" t="s">
        <v>75</v>
      </c>
      <c r="F12016" s="0" t="s">
        <v>90</v>
      </c>
      <c r="G12016" s="0" t="s">
        <v>36</v>
      </c>
      <c r="H12016" s="0" t="n">
        <v>89</v>
      </c>
      <c r="I12016" s="0" t="s">
        <v>39890</v>
      </c>
      <c r="J12016" s="0" t="s">
        <v>39891</v>
      </c>
      <c r="K12016" s="0" t="s">
        <v>39892</v>
      </c>
      <c r="L12016" s="0" t="str">
        <f aca="false">HYPERLINK("https://www.ncbi.nlm.nih.gov/nuccore/CP000058.1?report=graph&amp;tracks=[key:gene_model_track,Options:GeneOnly]&amp;mk=3782617:3782636|offset_8|444444,3782587:3782606|offset_38|444444,3782558:3782577|offset_67|444444,3782536:3782555|offset_89|00cc00&amp;v=3782416:3782755&amp;c=444444", "offset 89")</f>
        <v>offset 89</v>
      </c>
    </row>
    <row r="12017" customFormat="false" ht="12.8" hidden="false" customHeight="false" outlineLevel="0" collapsed="false">
      <c r="A12017" s="0" t="s">
        <v>12</v>
      </c>
      <c r="B12017" s="0" t="n">
        <v>3783013</v>
      </c>
      <c r="C12017" s="0" t="n">
        <v>3783033</v>
      </c>
      <c r="D12017" s="0" t="s">
        <v>39893</v>
      </c>
      <c r="E12017" s="0" t="s">
        <v>75</v>
      </c>
      <c r="F12017" s="0" t="s">
        <v>15</v>
      </c>
      <c r="G12017" s="0" t="s">
        <v>16</v>
      </c>
      <c r="H12017" s="0" t="n">
        <v>15</v>
      </c>
      <c r="I12017" s="0" t="s">
        <v>39894</v>
      </c>
      <c r="J12017" s="0" t="s">
        <v>39895</v>
      </c>
      <c r="K12017" s="0" t="s">
        <v>39896</v>
      </c>
      <c r="L12017" s="0" t="str">
        <f aca="false">HYPERLINK("https://www.ncbi.nlm.nih.gov/nuccore/CP000058.1?report=graph&amp;tracks=[key:gene_model_track,Options:GeneOnly]&amp;mk=3783014:3783033|offset_15|00cc00,3783047:3783066|offset_48|444444,3783072:3783091|offset_73|444444,3783146:3783165|offset_147|444444&amp;v=3782813:3783365&amp;c=444444", "offset 15")</f>
        <v>offset 15</v>
      </c>
    </row>
    <row r="12018" customFormat="false" ht="12.8" hidden="false" customHeight="false" outlineLevel="0" collapsed="false">
      <c r="A12018" s="0" t="s">
        <v>12</v>
      </c>
      <c r="B12018" s="0" t="n">
        <v>3783046</v>
      </c>
      <c r="C12018" s="0" t="n">
        <v>3783066</v>
      </c>
      <c r="D12018" s="0" t="s">
        <v>39893</v>
      </c>
      <c r="E12018" s="0" t="s">
        <v>75</v>
      </c>
      <c r="F12018" s="0" t="s">
        <v>15</v>
      </c>
      <c r="G12018" s="0" t="s">
        <v>16</v>
      </c>
      <c r="H12018" s="0" t="n">
        <v>48</v>
      </c>
      <c r="I12018" s="0" t="s">
        <v>39897</v>
      </c>
      <c r="J12018" s="0" t="s">
        <v>39898</v>
      </c>
      <c r="K12018" s="0" t="s">
        <v>39899</v>
      </c>
      <c r="L12018" s="0" t="str">
        <f aca="false">HYPERLINK("https://www.ncbi.nlm.nih.gov/nuccore/CP000058.1?report=graph&amp;tracks=[key:gene_model_track,Options:GeneOnly]&amp;mk=3783014:3783033|offset_15|444444,3783047:3783066|offset_48|00cc00,3783072:3783091|offset_73|444444,3783146:3783165|offset_147|444444&amp;v=3782813:3783365&amp;c=444444", "offset 48")</f>
        <v>offset 48</v>
      </c>
    </row>
    <row r="12019" customFormat="false" ht="12.8" hidden="false" customHeight="false" outlineLevel="0" collapsed="false">
      <c r="A12019" s="0" t="s">
        <v>12</v>
      </c>
      <c r="B12019" s="0" t="n">
        <v>3783071</v>
      </c>
      <c r="C12019" s="0" t="n">
        <v>3783091</v>
      </c>
      <c r="D12019" s="0" t="s">
        <v>39893</v>
      </c>
      <c r="E12019" s="0" t="s">
        <v>75</v>
      </c>
      <c r="F12019" s="0" t="s">
        <v>15</v>
      </c>
      <c r="G12019" s="0" t="s">
        <v>32</v>
      </c>
      <c r="H12019" s="0" t="n">
        <v>73</v>
      </c>
      <c r="I12019" s="0" t="s">
        <v>39900</v>
      </c>
      <c r="J12019" s="0" t="s">
        <v>39901</v>
      </c>
      <c r="K12019" s="0" t="s">
        <v>39902</v>
      </c>
      <c r="L12019" s="0" t="str">
        <f aca="false">HYPERLINK("https://www.ncbi.nlm.nih.gov/nuccore/CP000058.1?report=graph&amp;tracks=[key:gene_model_track,Options:GeneOnly]&amp;mk=3783014:3783033|offset_15|444444,3783047:3783066|offset_48|444444,3783072:3783091|offset_73|00cc00,3783146:3783165|offset_147|444444&amp;v=3782813:3783365&amp;c=444444", "offset 73")</f>
        <v>offset 73</v>
      </c>
    </row>
    <row r="12020" customFormat="false" ht="12.8" hidden="false" customHeight="false" outlineLevel="0" collapsed="false">
      <c r="A12020" s="0" t="s">
        <v>12</v>
      </c>
      <c r="B12020" s="0" t="n">
        <v>3783145</v>
      </c>
      <c r="C12020" s="0" t="n">
        <v>3783165</v>
      </c>
      <c r="D12020" s="0" t="s">
        <v>39893</v>
      </c>
      <c r="E12020" s="0" t="s">
        <v>75</v>
      </c>
      <c r="F12020" s="0" t="s">
        <v>15</v>
      </c>
      <c r="G12020" s="0" t="s">
        <v>36</v>
      </c>
      <c r="H12020" s="0" t="n">
        <v>147</v>
      </c>
      <c r="I12020" s="0" t="s">
        <v>39903</v>
      </c>
      <c r="J12020" s="0" t="s">
        <v>39904</v>
      </c>
      <c r="K12020" s="0" t="s">
        <v>39905</v>
      </c>
      <c r="L12020" s="0" t="str">
        <f aca="false">HYPERLINK("https://www.ncbi.nlm.nih.gov/nuccore/CP000058.1?report=graph&amp;tracks=[key:gene_model_track,Options:GeneOnly]&amp;mk=3783014:3783033|offset_15|444444,3783047:3783066|offset_48|444444,3783072:3783091|offset_73|444444,3783146:3783165|offset_147|00cc00&amp;v=3782813:3783365&amp;c=444444", "offset 147")</f>
        <v>offset 147</v>
      </c>
    </row>
    <row r="12021" customFormat="false" ht="12.8" hidden="false" customHeight="false" outlineLevel="0" collapsed="false">
      <c r="A12021" s="0" t="s">
        <v>12</v>
      </c>
      <c r="B12021" s="0" t="n">
        <v>3784036</v>
      </c>
      <c r="C12021" s="0" t="n">
        <v>3784056</v>
      </c>
      <c r="D12021" s="0" t="s">
        <v>39906</v>
      </c>
      <c r="E12021" s="0" t="s">
        <v>75</v>
      </c>
      <c r="F12021" s="0" t="s">
        <v>15</v>
      </c>
      <c r="G12021" s="0" t="s">
        <v>16</v>
      </c>
      <c r="H12021" s="0" t="n">
        <v>30</v>
      </c>
      <c r="I12021" s="0" t="s">
        <v>39907</v>
      </c>
      <c r="J12021" s="0" t="s">
        <v>39908</v>
      </c>
      <c r="K12021" s="0" t="s">
        <v>39909</v>
      </c>
      <c r="L12021" s="0" t="str">
        <f aca="false">HYPERLINK("https://www.ncbi.nlm.nih.gov/nuccore/CP000058.1?report=graph&amp;tracks=[key:gene_model_track,Options:GeneOnly]&amp;mk=3784037:3784056|offset_30|00cc00,3784074:3784093|offset_67|444444,3784094:3784113|offset_87|444444,3784161:3784180|offset_154|444444&amp;v=3783836:3784380&amp;c=444444", "offset 30")</f>
        <v>offset 30</v>
      </c>
    </row>
    <row r="12022" customFormat="false" ht="12.8" hidden="false" customHeight="false" outlineLevel="0" collapsed="false">
      <c r="A12022" s="0" t="s">
        <v>12</v>
      </c>
      <c r="B12022" s="0" t="n">
        <v>3784073</v>
      </c>
      <c r="C12022" s="0" t="n">
        <v>3784093</v>
      </c>
      <c r="D12022" s="0" t="s">
        <v>39906</v>
      </c>
      <c r="E12022" s="0" t="s">
        <v>75</v>
      </c>
      <c r="F12022" s="0" t="s">
        <v>15</v>
      </c>
      <c r="G12022" s="0" t="s">
        <v>16</v>
      </c>
      <c r="H12022" s="0" t="n">
        <v>67</v>
      </c>
      <c r="I12022" s="0" t="s">
        <v>39910</v>
      </c>
      <c r="J12022" s="0" t="s">
        <v>39911</v>
      </c>
      <c r="K12022" s="0" t="s">
        <v>39912</v>
      </c>
      <c r="L12022" s="0" t="str">
        <f aca="false">HYPERLINK("https://www.ncbi.nlm.nih.gov/nuccore/CP000058.1?report=graph&amp;tracks=[key:gene_model_track,Options:GeneOnly]&amp;mk=3784037:3784056|offset_30|444444,3784074:3784093|offset_67|00cc00,3784094:3784113|offset_87|444444,3784161:3784180|offset_154|444444&amp;v=3783836:3784380&amp;c=444444", "offset 67")</f>
        <v>offset 67</v>
      </c>
    </row>
    <row r="12023" customFormat="false" ht="12.8" hidden="false" customHeight="false" outlineLevel="0" collapsed="false">
      <c r="A12023" s="0" t="s">
        <v>12</v>
      </c>
      <c r="B12023" s="0" t="n">
        <v>3784093</v>
      </c>
      <c r="C12023" s="0" t="n">
        <v>3784113</v>
      </c>
      <c r="D12023" s="0" t="s">
        <v>39906</v>
      </c>
      <c r="E12023" s="0" t="s">
        <v>75</v>
      </c>
      <c r="F12023" s="0" t="s">
        <v>15</v>
      </c>
      <c r="G12023" s="0" t="s">
        <v>16</v>
      </c>
      <c r="H12023" s="0" t="n">
        <v>87</v>
      </c>
      <c r="I12023" s="0" t="s">
        <v>39913</v>
      </c>
      <c r="J12023" s="0" t="s">
        <v>39914</v>
      </c>
      <c r="K12023" s="0" t="s">
        <v>39915</v>
      </c>
      <c r="L12023" s="0" t="str">
        <f aca="false">HYPERLINK("https://www.ncbi.nlm.nih.gov/nuccore/CP000058.1?report=graph&amp;tracks=[key:gene_model_track,Options:GeneOnly]&amp;mk=3784037:3784056|offset_30|444444,3784074:3784093|offset_67|444444,3784094:3784113|offset_87|00cc00,3784161:3784180|offset_154|444444&amp;v=3783836:3784380&amp;c=444444", "offset 87")</f>
        <v>offset 87</v>
      </c>
    </row>
    <row r="12024" customFormat="false" ht="12.8" hidden="false" customHeight="false" outlineLevel="0" collapsed="false">
      <c r="A12024" s="0" t="s">
        <v>12</v>
      </c>
      <c r="B12024" s="0" t="n">
        <v>3784160</v>
      </c>
      <c r="C12024" s="0" t="n">
        <v>3784180</v>
      </c>
      <c r="D12024" s="0" t="s">
        <v>39906</v>
      </c>
      <c r="E12024" s="0" t="s">
        <v>75</v>
      </c>
      <c r="F12024" s="0" t="s">
        <v>15</v>
      </c>
      <c r="G12024" s="0" t="s">
        <v>16</v>
      </c>
      <c r="H12024" s="0" t="n">
        <v>154</v>
      </c>
      <c r="I12024" s="0" t="s">
        <v>39916</v>
      </c>
      <c r="J12024" s="0" t="s">
        <v>39917</v>
      </c>
      <c r="K12024" s="0" t="s">
        <v>39918</v>
      </c>
      <c r="L12024" s="0" t="str">
        <f aca="false">HYPERLINK("https://www.ncbi.nlm.nih.gov/nuccore/CP000058.1?report=graph&amp;tracks=[key:gene_model_track,Options:GeneOnly]&amp;mk=3784037:3784056|offset_30|444444,3784074:3784093|offset_67|444444,3784094:3784113|offset_87|444444,3784161:3784180|offset_154|00cc00&amp;v=3783836:3784380&amp;c=444444", "offset 154")</f>
        <v>offset 154</v>
      </c>
    </row>
    <row r="12025" customFormat="false" ht="12.8" hidden="false" customHeight="false" outlineLevel="0" collapsed="false">
      <c r="A12025" s="0" t="s">
        <v>12</v>
      </c>
      <c r="B12025" s="0" t="n">
        <v>3784630</v>
      </c>
      <c r="C12025" s="0" t="n">
        <v>3784650</v>
      </c>
      <c r="D12025" s="0" t="s">
        <v>39919</v>
      </c>
      <c r="E12025" s="0" t="s">
        <v>75</v>
      </c>
      <c r="F12025" s="0" t="s">
        <v>15</v>
      </c>
      <c r="G12025" s="0" t="s">
        <v>32</v>
      </c>
      <c r="H12025" s="0" t="n">
        <v>10</v>
      </c>
      <c r="I12025" s="0" t="s">
        <v>39920</v>
      </c>
      <c r="J12025" s="0" t="s">
        <v>39921</v>
      </c>
      <c r="K12025" s="0" t="s">
        <v>39922</v>
      </c>
      <c r="L12025" s="0" t="str">
        <f aca="false">HYPERLINK("https://www.ncbi.nlm.nih.gov/nuccore/CP000058.1?report=graph&amp;tracks=[key:gene_model_track,Options:GeneOnly]&amp;mk=3784631:3784650|offset_10|00cc00,3784658:3784677|offset_37|444444,3784685:3784704|offset_64|444444,3784730:3784749|offset_109|444444&amp;v=3784430:3784949&amp;c=444444", "offset 10")</f>
        <v>offset 10</v>
      </c>
    </row>
    <row r="12026" customFormat="false" ht="12.8" hidden="false" customHeight="false" outlineLevel="0" collapsed="false">
      <c r="A12026" s="0" t="s">
        <v>12</v>
      </c>
      <c r="B12026" s="0" t="n">
        <v>3784657</v>
      </c>
      <c r="C12026" s="0" t="n">
        <v>3784677</v>
      </c>
      <c r="D12026" s="0" t="s">
        <v>39919</v>
      </c>
      <c r="E12026" s="0" t="s">
        <v>75</v>
      </c>
      <c r="F12026" s="0" t="s">
        <v>15</v>
      </c>
      <c r="G12026" s="0" t="s">
        <v>16</v>
      </c>
      <c r="H12026" s="0" t="n">
        <v>37</v>
      </c>
      <c r="I12026" s="0" t="s">
        <v>39923</v>
      </c>
      <c r="J12026" s="0" t="s">
        <v>39924</v>
      </c>
      <c r="K12026" s="0" t="s">
        <v>39925</v>
      </c>
      <c r="L12026" s="0" t="str">
        <f aca="false">HYPERLINK("https://www.ncbi.nlm.nih.gov/nuccore/CP000058.1?report=graph&amp;tracks=[key:gene_model_track,Options:GeneOnly]&amp;mk=3784631:3784650|offset_10|444444,3784658:3784677|offset_37|00cc00,3784685:3784704|offset_64|444444,3784730:3784749|offset_109|444444&amp;v=3784430:3784949&amp;c=444444", "offset 37")</f>
        <v>offset 37</v>
      </c>
    </row>
    <row r="12027" customFormat="false" ht="12.8" hidden="false" customHeight="false" outlineLevel="0" collapsed="false">
      <c r="A12027" s="0" t="s">
        <v>12</v>
      </c>
      <c r="B12027" s="0" t="n">
        <v>3784684</v>
      </c>
      <c r="C12027" s="0" t="n">
        <v>3784704</v>
      </c>
      <c r="D12027" s="0" t="s">
        <v>39919</v>
      </c>
      <c r="E12027" s="0" t="s">
        <v>75</v>
      </c>
      <c r="F12027" s="0" t="s">
        <v>15</v>
      </c>
      <c r="G12027" s="0" t="s">
        <v>16</v>
      </c>
      <c r="H12027" s="0" t="n">
        <v>64</v>
      </c>
      <c r="I12027" s="0" t="s">
        <v>39926</v>
      </c>
      <c r="J12027" s="0" t="s">
        <v>39927</v>
      </c>
      <c r="K12027" s="0" t="s">
        <v>39928</v>
      </c>
      <c r="L12027" s="0" t="str">
        <f aca="false">HYPERLINK("https://www.ncbi.nlm.nih.gov/nuccore/CP000058.1?report=graph&amp;tracks=[key:gene_model_track,Options:GeneOnly]&amp;mk=3784631:3784650|offset_10|444444,3784658:3784677|offset_37|444444,3784685:3784704|offset_64|00cc00,3784730:3784749|offset_109|444444&amp;v=3784430:3784949&amp;c=444444", "offset 64")</f>
        <v>offset 64</v>
      </c>
    </row>
    <row r="12028" customFormat="false" ht="12.8" hidden="false" customHeight="false" outlineLevel="0" collapsed="false">
      <c r="A12028" s="0" t="s">
        <v>12</v>
      </c>
      <c r="B12028" s="0" t="n">
        <v>3784729</v>
      </c>
      <c r="C12028" s="0" t="n">
        <v>3784749</v>
      </c>
      <c r="D12028" s="0" t="s">
        <v>39919</v>
      </c>
      <c r="E12028" s="0" t="s">
        <v>75</v>
      </c>
      <c r="F12028" s="0" t="s">
        <v>15</v>
      </c>
      <c r="G12028" s="0" t="s">
        <v>32</v>
      </c>
      <c r="H12028" s="0" t="n">
        <v>109</v>
      </c>
      <c r="I12028" s="0" t="s">
        <v>39929</v>
      </c>
      <c r="J12028" s="0" t="s">
        <v>39930</v>
      </c>
      <c r="K12028" s="0" t="s">
        <v>39931</v>
      </c>
      <c r="L12028" s="0" t="str">
        <f aca="false">HYPERLINK("https://www.ncbi.nlm.nih.gov/nuccore/CP000058.1?report=graph&amp;tracks=[key:gene_model_track,Options:GeneOnly]&amp;mk=3784631:3784650|offset_10|444444,3784658:3784677|offset_37|444444,3784685:3784704|offset_64|444444,3784730:3784749|offset_109|00cc00&amp;v=3784430:3784949&amp;c=444444", "offset 109")</f>
        <v>offset 109</v>
      </c>
    </row>
    <row r="12029" customFormat="false" ht="12.8" hidden="false" customHeight="false" outlineLevel="0" collapsed="false">
      <c r="A12029" s="0" t="s">
        <v>12</v>
      </c>
      <c r="B12029" s="0" t="n">
        <v>3787290</v>
      </c>
      <c r="C12029" s="0" t="n">
        <v>3787310</v>
      </c>
      <c r="D12029" s="0" t="s">
        <v>39932</v>
      </c>
      <c r="E12029" s="0" t="s">
        <v>75</v>
      </c>
      <c r="F12029" s="0" t="s">
        <v>90</v>
      </c>
      <c r="G12029" s="0" t="s">
        <v>16</v>
      </c>
      <c r="H12029" s="0" t="n">
        <v>11</v>
      </c>
      <c r="I12029" s="0" t="s">
        <v>39933</v>
      </c>
      <c r="J12029" s="0" t="s">
        <v>39934</v>
      </c>
      <c r="K12029" s="0" t="s">
        <v>39935</v>
      </c>
      <c r="L12029" s="0" t="str">
        <f aca="false">HYPERLINK("https://www.ncbi.nlm.nih.gov/nuccore/CP000058.1?report=graph&amp;tracks=[key:gene_model_track,Options:GeneOnly]&amp;mk=3787291:3787310|offset_11|00cc00,3787270:3787289|offset_32|444444,3787232:3787251|offset_70|444444,3787206:3787225|offset_96|444444&amp;v=3787090:3787425&amp;c=444444", "offset 11")</f>
        <v>offset 11</v>
      </c>
    </row>
    <row r="12030" customFormat="false" ht="12.8" hidden="false" customHeight="false" outlineLevel="0" collapsed="false">
      <c r="A12030" s="0" t="s">
        <v>12</v>
      </c>
      <c r="B12030" s="0" t="n">
        <v>3787269</v>
      </c>
      <c r="C12030" s="0" t="n">
        <v>3787289</v>
      </c>
      <c r="D12030" s="0" t="s">
        <v>39932</v>
      </c>
      <c r="E12030" s="0" t="s">
        <v>75</v>
      </c>
      <c r="F12030" s="0" t="s">
        <v>90</v>
      </c>
      <c r="G12030" s="0" t="s">
        <v>32</v>
      </c>
      <c r="H12030" s="0" t="n">
        <v>32</v>
      </c>
      <c r="I12030" s="0" t="s">
        <v>39936</v>
      </c>
      <c r="J12030" s="0" t="s">
        <v>39937</v>
      </c>
      <c r="K12030" s="0" t="s">
        <v>39938</v>
      </c>
      <c r="L12030" s="0" t="str">
        <f aca="false">HYPERLINK("https://www.ncbi.nlm.nih.gov/nuccore/CP000058.1?report=graph&amp;tracks=[key:gene_model_track,Options:GeneOnly]&amp;mk=3787291:3787310|offset_11|444444,3787270:3787289|offset_32|00cc00,3787232:3787251|offset_70|444444,3787206:3787225|offset_96|444444&amp;v=3787090:3787425&amp;c=444444", "offset 32")</f>
        <v>offset 32</v>
      </c>
    </row>
    <row r="12031" customFormat="false" ht="12.8" hidden="false" customHeight="false" outlineLevel="0" collapsed="false">
      <c r="A12031" s="0" t="s">
        <v>12</v>
      </c>
      <c r="B12031" s="0" t="n">
        <v>3787231</v>
      </c>
      <c r="C12031" s="0" t="n">
        <v>3787251</v>
      </c>
      <c r="D12031" s="0" t="s">
        <v>39932</v>
      </c>
      <c r="E12031" s="0" t="s">
        <v>75</v>
      </c>
      <c r="F12031" s="0" t="s">
        <v>90</v>
      </c>
      <c r="G12031" s="0" t="s">
        <v>32</v>
      </c>
      <c r="H12031" s="0" t="n">
        <v>70</v>
      </c>
      <c r="I12031" s="0" t="s">
        <v>39939</v>
      </c>
      <c r="J12031" s="0" t="s">
        <v>39940</v>
      </c>
      <c r="K12031" s="0" t="s">
        <v>39941</v>
      </c>
      <c r="L12031" s="0" t="str">
        <f aca="false">HYPERLINK("https://www.ncbi.nlm.nih.gov/nuccore/CP000058.1?report=graph&amp;tracks=[key:gene_model_track,Options:GeneOnly]&amp;mk=3787291:3787310|offset_11|444444,3787270:3787289|offset_32|444444,3787232:3787251|offset_70|00cc00,3787206:3787225|offset_96|444444&amp;v=3787090:3787425&amp;c=444444", "offset 70")</f>
        <v>offset 70</v>
      </c>
    </row>
    <row r="12032" customFormat="false" ht="12.8" hidden="false" customHeight="false" outlineLevel="0" collapsed="false">
      <c r="A12032" s="0" t="s">
        <v>12</v>
      </c>
      <c r="B12032" s="0" t="n">
        <v>3787205</v>
      </c>
      <c r="C12032" s="0" t="n">
        <v>3787225</v>
      </c>
      <c r="D12032" s="0" t="s">
        <v>39932</v>
      </c>
      <c r="E12032" s="0" t="s">
        <v>75</v>
      </c>
      <c r="F12032" s="0" t="s">
        <v>90</v>
      </c>
      <c r="G12032" s="0" t="s">
        <v>36</v>
      </c>
      <c r="H12032" s="0" t="n">
        <v>96</v>
      </c>
      <c r="I12032" s="0" t="s">
        <v>39942</v>
      </c>
      <c r="J12032" s="0" t="s">
        <v>39943</v>
      </c>
      <c r="K12032" s="0" t="s">
        <v>39944</v>
      </c>
      <c r="L12032" s="0" t="str">
        <f aca="false">HYPERLINK("https://www.ncbi.nlm.nih.gov/nuccore/CP000058.1?report=graph&amp;tracks=[key:gene_model_track,Options:GeneOnly]&amp;mk=3787291:3787310|offset_11|444444,3787270:3787289|offset_32|444444,3787232:3787251|offset_70|444444,3787206:3787225|offset_96|00cc00&amp;v=3787090:3787425&amp;c=444444", "offset 96")</f>
        <v>offset 96</v>
      </c>
    </row>
    <row r="12033" customFormat="false" ht="12.8" hidden="false" customHeight="false" outlineLevel="0" collapsed="false">
      <c r="A12033" s="0" t="s">
        <v>12</v>
      </c>
      <c r="B12033" s="0" t="n">
        <v>3787522</v>
      </c>
      <c r="C12033" s="0" t="n">
        <v>3787542</v>
      </c>
      <c r="D12033" s="0" t="s">
        <v>39945</v>
      </c>
      <c r="E12033" s="0" t="s">
        <v>75</v>
      </c>
      <c r="F12033" s="0" t="s">
        <v>15</v>
      </c>
      <c r="G12033" s="0" t="s">
        <v>16</v>
      </c>
      <c r="H12033" s="0" t="n">
        <v>46</v>
      </c>
      <c r="I12033" s="0" t="s">
        <v>39946</v>
      </c>
      <c r="J12033" s="0" t="s">
        <v>39947</v>
      </c>
      <c r="K12033" s="0" t="s">
        <v>39948</v>
      </c>
      <c r="L12033" s="0" t="str">
        <f aca="false">HYPERLINK("https://www.ncbi.nlm.nih.gov/nuccore/CP000058.1?report=graph&amp;tracks=[key:gene_model_track,Options:GeneOnly]&amp;mk=3787523:3787542|offset_46|00cc00,3787580:3787599|offset_103|444444,3787623:3787642|offset_146|444444,3787649:3787668|offset_172|444444&amp;v=3787322:3787868&amp;c=444444", "offset 46")</f>
        <v>offset 46</v>
      </c>
    </row>
    <row r="12034" customFormat="false" ht="12.8" hidden="false" customHeight="false" outlineLevel="0" collapsed="false">
      <c r="A12034" s="0" t="s">
        <v>12</v>
      </c>
      <c r="B12034" s="0" t="n">
        <v>3787579</v>
      </c>
      <c r="C12034" s="0" t="n">
        <v>3787599</v>
      </c>
      <c r="D12034" s="0" t="s">
        <v>39945</v>
      </c>
      <c r="E12034" s="0" t="s">
        <v>75</v>
      </c>
      <c r="F12034" s="0" t="s">
        <v>15</v>
      </c>
      <c r="G12034" s="0" t="s">
        <v>32</v>
      </c>
      <c r="H12034" s="0" t="n">
        <v>103</v>
      </c>
      <c r="I12034" s="0" t="s">
        <v>39949</v>
      </c>
      <c r="J12034" s="0" t="s">
        <v>39950</v>
      </c>
      <c r="K12034" s="0" t="s">
        <v>39951</v>
      </c>
      <c r="L12034" s="0" t="str">
        <f aca="false">HYPERLINK("https://www.ncbi.nlm.nih.gov/nuccore/CP000058.1?report=graph&amp;tracks=[key:gene_model_track,Options:GeneOnly]&amp;mk=3787523:3787542|offset_46|444444,3787580:3787599|offset_103|00cc00,3787623:3787642|offset_146|444444,3787649:3787668|offset_172|444444&amp;v=3787322:3787868&amp;c=444444", "offset 103")</f>
        <v>offset 103</v>
      </c>
    </row>
    <row r="12035" customFormat="false" ht="12.8" hidden="false" customHeight="false" outlineLevel="0" collapsed="false">
      <c r="A12035" s="0" t="s">
        <v>12</v>
      </c>
      <c r="B12035" s="0" t="n">
        <v>3787622</v>
      </c>
      <c r="C12035" s="0" t="n">
        <v>3787642</v>
      </c>
      <c r="D12035" s="0" t="s">
        <v>39945</v>
      </c>
      <c r="E12035" s="0" t="s">
        <v>75</v>
      </c>
      <c r="F12035" s="0" t="s">
        <v>15</v>
      </c>
      <c r="G12035" s="0" t="s">
        <v>36</v>
      </c>
      <c r="H12035" s="0" t="n">
        <v>146</v>
      </c>
      <c r="I12035" s="0" t="s">
        <v>39952</v>
      </c>
      <c r="J12035" s="0" t="s">
        <v>39953</v>
      </c>
      <c r="K12035" s="0" t="s">
        <v>39954</v>
      </c>
      <c r="L12035" s="0" t="str">
        <f aca="false">HYPERLINK("https://www.ncbi.nlm.nih.gov/nuccore/CP000058.1?report=graph&amp;tracks=[key:gene_model_track,Options:GeneOnly]&amp;mk=3787523:3787542|offset_46|444444,3787580:3787599|offset_103|444444,3787623:3787642|offset_146|00cc00,3787649:3787668|offset_172|444444&amp;v=3787322:3787868&amp;c=444444", "offset 146")</f>
        <v>offset 146</v>
      </c>
    </row>
    <row r="12036" customFormat="false" ht="12.8" hidden="false" customHeight="false" outlineLevel="0" collapsed="false">
      <c r="A12036" s="0" t="s">
        <v>12</v>
      </c>
      <c r="B12036" s="0" t="n">
        <v>3787648</v>
      </c>
      <c r="C12036" s="0" t="n">
        <v>3787668</v>
      </c>
      <c r="D12036" s="0" t="s">
        <v>39945</v>
      </c>
      <c r="E12036" s="0" t="s">
        <v>75</v>
      </c>
      <c r="F12036" s="0" t="s">
        <v>15</v>
      </c>
      <c r="G12036" s="0" t="s">
        <v>16</v>
      </c>
      <c r="H12036" s="0" t="n">
        <v>172</v>
      </c>
      <c r="I12036" s="0" t="s">
        <v>39955</v>
      </c>
      <c r="J12036" s="0" t="s">
        <v>39956</v>
      </c>
      <c r="K12036" s="0" t="s">
        <v>39957</v>
      </c>
      <c r="L12036" s="0" t="str">
        <f aca="false">HYPERLINK("https://www.ncbi.nlm.nih.gov/nuccore/CP000058.1?report=graph&amp;tracks=[key:gene_model_track,Options:GeneOnly]&amp;mk=3787523:3787542|offset_46|444444,3787580:3787599|offset_103|444444,3787623:3787642|offset_146|444444,3787649:3787668|offset_172|00cc00&amp;v=3787322:3787868&amp;c=444444", "offset 172")</f>
        <v>offset 172</v>
      </c>
    </row>
    <row r="12037" customFormat="false" ht="12.8" hidden="false" customHeight="false" outlineLevel="0" collapsed="false">
      <c r="A12037" s="0" t="s">
        <v>12</v>
      </c>
      <c r="B12037" s="0" t="n">
        <v>3788321</v>
      </c>
      <c r="C12037" s="0" t="n">
        <v>3788341</v>
      </c>
      <c r="D12037" s="0" t="s">
        <v>39958</v>
      </c>
      <c r="E12037" s="0" t="s">
        <v>75</v>
      </c>
      <c r="F12037" s="0" t="s">
        <v>15</v>
      </c>
      <c r="G12037" s="0" t="s">
        <v>16</v>
      </c>
      <c r="H12037" s="0" t="n">
        <v>30</v>
      </c>
      <c r="I12037" s="0" t="s">
        <v>39959</v>
      </c>
      <c r="J12037" s="0" t="s">
        <v>39960</v>
      </c>
      <c r="K12037" s="0" t="s">
        <v>39961</v>
      </c>
      <c r="L12037" s="0" t="str">
        <f aca="false">HYPERLINK("https://www.ncbi.nlm.nih.gov/nuccore/CP000058.1?report=graph&amp;tracks=[key:gene_model_track,Options:GeneOnly]&amp;mk=3788322:3788341|offset_30|00cc00,3788354:3788373|offset_62|444444,3788375:3788394|offset_83|444444,3788431:3788450|offset_139|444444&amp;v=3788121:3788650&amp;c=444444", "offset 30")</f>
        <v>offset 30</v>
      </c>
    </row>
    <row r="12038" customFormat="false" ht="12.8" hidden="false" customHeight="false" outlineLevel="0" collapsed="false">
      <c r="A12038" s="0" t="s">
        <v>12</v>
      </c>
      <c r="B12038" s="0" t="n">
        <v>3788353</v>
      </c>
      <c r="C12038" s="0" t="n">
        <v>3788373</v>
      </c>
      <c r="D12038" s="0" t="s">
        <v>39958</v>
      </c>
      <c r="E12038" s="0" t="s">
        <v>75</v>
      </c>
      <c r="F12038" s="0" t="s">
        <v>15</v>
      </c>
      <c r="G12038" s="0" t="s">
        <v>20</v>
      </c>
      <c r="H12038" s="0" t="n">
        <v>62</v>
      </c>
      <c r="I12038" s="0" t="s">
        <v>39962</v>
      </c>
      <c r="J12038" s="0" t="s">
        <v>39963</v>
      </c>
      <c r="K12038" s="0" t="s">
        <v>39964</v>
      </c>
      <c r="L12038" s="0" t="str">
        <f aca="false">HYPERLINK("https://www.ncbi.nlm.nih.gov/nuccore/CP000058.1?report=graph&amp;tracks=[key:gene_model_track,Options:GeneOnly]&amp;mk=3788322:3788341|offset_30|444444,3788354:3788373|offset_62|00cc00,3788375:3788394|offset_83|444444,3788431:3788450|offset_139|444444&amp;v=3788121:3788650&amp;c=444444", "offset 62")</f>
        <v>offset 62</v>
      </c>
    </row>
    <row r="12039" customFormat="false" ht="12.8" hidden="false" customHeight="false" outlineLevel="0" collapsed="false">
      <c r="A12039" s="0" t="s">
        <v>12</v>
      </c>
      <c r="B12039" s="0" t="n">
        <v>3788374</v>
      </c>
      <c r="C12039" s="0" t="n">
        <v>3788394</v>
      </c>
      <c r="D12039" s="0" t="s">
        <v>39958</v>
      </c>
      <c r="E12039" s="0" t="s">
        <v>75</v>
      </c>
      <c r="F12039" s="0" t="s">
        <v>15</v>
      </c>
      <c r="G12039" s="0" t="s">
        <v>20</v>
      </c>
      <c r="H12039" s="0" t="n">
        <v>83</v>
      </c>
      <c r="I12039" s="0" t="s">
        <v>39965</v>
      </c>
      <c r="J12039" s="0" t="s">
        <v>39966</v>
      </c>
      <c r="K12039" s="0" t="s">
        <v>39967</v>
      </c>
      <c r="L12039" s="0" t="str">
        <f aca="false">HYPERLINK("https://www.ncbi.nlm.nih.gov/nuccore/CP000058.1?report=graph&amp;tracks=[key:gene_model_track,Options:GeneOnly]&amp;mk=3788322:3788341|offset_30|444444,3788354:3788373|offset_62|444444,3788375:3788394|offset_83|00cc00,3788431:3788450|offset_139|444444&amp;v=3788121:3788650&amp;c=444444", "offset 83")</f>
        <v>offset 83</v>
      </c>
    </row>
    <row r="12040" customFormat="false" ht="12.8" hidden="false" customHeight="false" outlineLevel="0" collapsed="false">
      <c r="A12040" s="0" t="s">
        <v>12</v>
      </c>
      <c r="B12040" s="0" t="n">
        <v>3788430</v>
      </c>
      <c r="C12040" s="0" t="n">
        <v>3788450</v>
      </c>
      <c r="D12040" s="0" t="s">
        <v>39958</v>
      </c>
      <c r="E12040" s="0" t="s">
        <v>75</v>
      </c>
      <c r="F12040" s="0" t="s">
        <v>15</v>
      </c>
      <c r="G12040" s="0" t="s">
        <v>32</v>
      </c>
      <c r="H12040" s="0" t="n">
        <v>139</v>
      </c>
      <c r="I12040" s="0" t="s">
        <v>39968</v>
      </c>
      <c r="J12040" s="0" t="s">
        <v>39969</v>
      </c>
      <c r="K12040" s="0" t="s">
        <v>39970</v>
      </c>
      <c r="L12040" s="0" t="str">
        <f aca="false">HYPERLINK("https://www.ncbi.nlm.nih.gov/nuccore/CP000058.1?report=graph&amp;tracks=[key:gene_model_track,Options:GeneOnly]&amp;mk=3788322:3788341|offset_30|444444,3788354:3788373|offset_62|444444,3788375:3788394|offset_83|444444,3788431:3788450|offset_139|00cc00&amp;v=3788121:3788650&amp;c=444444", "offset 139")</f>
        <v>offset 139</v>
      </c>
    </row>
    <row r="12041" customFormat="false" ht="12.8" hidden="false" customHeight="false" outlineLevel="0" collapsed="false">
      <c r="A12041" s="0" t="s">
        <v>12</v>
      </c>
      <c r="B12041" s="0" t="n">
        <v>3790099</v>
      </c>
      <c r="C12041" s="0" t="n">
        <v>3790119</v>
      </c>
      <c r="D12041" s="0" t="s">
        <v>39971</v>
      </c>
      <c r="E12041" s="0" t="s">
        <v>75</v>
      </c>
      <c r="F12041" s="0" t="s">
        <v>15</v>
      </c>
      <c r="G12041" s="0" t="s">
        <v>20</v>
      </c>
      <c r="H12041" s="0" t="n">
        <v>38</v>
      </c>
      <c r="I12041" s="0" t="s">
        <v>39972</v>
      </c>
      <c r="J12041" s="0" t="s">
        <v>39973</v>
      </c>
      <c r="K12041" s="0" t="s">
        <v>39974</v>
      </c>
      <c r="L12041" s="0" t="str">
        <f aca="false">HYPERLINK("https://www.ncbi.nlm.nih.gov/nuccore/CP000058.1?report=graph&amp;tracks=[key:gene_model_track,Options:GeneOnly]&amp;mk=3790100:3790119|offset_38|00cc00,3790150:3790169|offset_88|444444,3790177:3790196|offset_115|444444,3790216:3790235|offset_154|444444&amp;v=3789899:3790435&amp;c=444444", "offset 38")</f>
        <v>offset 38</v>
      </c>
    </row>
    <row r="12042" customFormat="false" ht="12.8" hidden="false" customHeight="false" outlineLevel="0" collapsed="false">
      <c r="A12042" s="0" t="s">
        <v>12</v>
      </c>
      <c r="B12042" s="0" t="n">
        <v>3790149</v>
      </c>
      <c r="C12042" s="0" t="n">
        <v>3790169</v>
      </c>
      <c r="D12042" s="0" t="s">
        <v>39971</v>
      </c>
      <c r="E12042" s="0" t="s">
        <v>75</v>
      </c>
      <c r="F12042" s="0" t="s">
        <v>15</v>
      </c>
      <c r="G12042" s="0" t="s">
        <v>32</v>
      </c>
      <c r="H12042" s="0" t="n">
        <v>88</v>
      </c>
      <c r="I12042" s="0" t="s">
        <v>39975</v>
      </c>
      <c r="J12042" s="0" t="s">
        <v>39976</v>
      </c>
      <c r="K12042" s="0" t="s">
        <v>39977</v>
      </c>
      <c r="L12042" s="0" t="str">
        <f aca="false">HYPERLINK("https://www.ncbi.nlm.nih.gov/nuccore/CP000058.1?report=graph&amp;tracks=[key:gene_model_track,Options:GeneOnly]&amp;mk=3790100:3790119|offset_38|444444,3790150:3790169|offset_88|00cc00,3790177:3790196|offset_115|444444,3790216:3790235|offset_154|444444&amp;v=3789899:3790435&amp;c=444444", "offset 88")</f>
        <v>offset 88</v>
      </c>
    </row>
    <row r="12043" customFormat="false" ht="12.8" hidden="false" customHeight="false" outlineLevel="0" collapsed="false">
      <c r="A12043" s="0" t="s">
        <v>12</v>
      </c>
      <c r="B12043" s="0" t="n">
        <v>3790176</v>
      </c>
      <c r="C12043" s="0" t="n">
        <v>3790196</v>
      </c>
      <c r="D12043" s="0" t="s">
        <v>39971</v>
      </c>
      <c r="E12043" s="0" t="s">
        <v>75</v>
      </c>
      <c r="F12043" s="0" t="s">
        <v>15</v>
      </c>
      <c r="G12043" s="0" t="s">
        <v>32</v>
      </c>
      <c r="H12043" s="0" t="n">
        <v>115</v>
      </c>
      <c r="I12043" s="0" t="s">
        <v>39978</v>
      </c>
      <c r="J12043" s="0" t="s">
        <v>39979</v>
      </c>
      <c r="K12043" s="0" t="s">
        <v>39980</v>
      </c>
      <c r="L12043" s="0" t="str">
        <f aca="false">HYPERLINK("https://www.ncbi.nlm.nih.gov/nuccore/CP000058.1?report=graph&amp;tracks=[key:gene_model_track,Options:GeneOnly]&amp;mk=3790100:3790119|offset_38|444444,3790150:3790169|offset_88|444444,3790177:3790196|offset_115|00cc00,3790216:3790235|offset_154|444444&amp;v=3789899:3790435&amp;c=444444", "offset 115")</f>
        <v>offset 115</v>
      </c>
    </row>
    <row r="12044" customFormat="false" ht="12.8" hidden="false" customHeight="false" outlineLevel="0" collapsed="false">
      <c r="A12044" s="0" t="s">
        <v>12</v>
      </c>
      <c r="B12044" s="0" t="n">
        <v>3790215</v>
      </c>
      <c r="C12044" s="0" t="n">
        <v>3790235</v>
      </c>
      <c r="D12044" s="0" t="s">
        <v>39971</v>
      </c>
      <c r="E12044" s="0" t="s">
        <v>75</v>
      </c>
      <c r="F12044" s="0" t="s">
        <v>15</v>
      </c>
      <c r="G12044" s="0" t="s">
        <v>16</v>
      </c>
      <c r="H12044" s="0" t="n">
        <v>154</v>
      </c>
      <c r="I12044" s="0" t="s">
        <v>39981</v>
      </c>
      <c r="J12044" s="0" t="s">
        <v>39982</v>
      </c>
      <c r="K12044" s="0" t="s">
        <v>39983</v>
      </c>
      <c r="L12044" s="0" t="str">
        <f aca="false">HYPERLINK("https://www.ncbi.nlm.nih.gov/nuccore/CP000058.1?report=graph&amp;tracks=[key:gene_model_track,Options:GeneOnly]&amp;mk=3790100:3790119|offset_38|444444,3790150:3790169|offset_88|444444,3790177:3790196|offset_115|444444,3790216:3790235|offset_154|00cc00&amp;v=3789899:3790435&amp;c=444444", "offset 154")</f>
        <v>offset 154</v>
      </c>
    </row>
    <row r="12045" customFormat="false" ht="12.8" hidden="false" customHeight="false" outlineLevel="0" collapsed="false">
      <c r="A12045" s="0" t="s">
        <v>12</v>
      </c>
      <c r="B12045" s="0" t="n">
        <v>3791374</v>
      </c>
      <c r="C12045" s="0" t="n">
        <v>3791394</v>
      </c>
      <c r="D12045" s="0" t="s">
        <v>39984</v>
      </c>
      <c r="E12045" s="0" t="s">
        <v>75</v>
      </c>
      <c r="F12045" s="0" t="s">
        <v>90</v>
      </c>
      <c r="G12045" s="0" t="s">
        <v>20</v>
      </c>
      <c r="H12045" s="0" t="n">
        <v>6</v>
      </c>
      <c r="I12045" s="0" t="s">
        <v>39985</v>
      </c>
      <c r="J12045" s="0" t="s">
        <v>39986</v>
      </c>
      <c r="K12045" s="0" t="s">
        <v>39987</v>
      </c>
      <c r="L12045" s="0" t="str">
        <f aca="false">HYPERLINK("https://www.ncbi.nlm.nih.gov/nuccore/CP000058.1?report=graph&amp;tracks=[key:gene_model_track,Options:GeneOnly]&amp;mk=3791375:3791394|offset_6|00cc00,3791352:3791371|offset_29|444444,3791317:3791336|offset_64|444444,3791293:3791312|offset_88|444444&amp;v=3791174:3791512&amp;c=444444", "offset 6")</f>
        <v>offset 6</v>
      </c>
    </row>
    <row r="12046" customFormat="false" ht="12.8" hidden="false" customHeight="false" outlineLevel="0" collapsed="false">
      <c r="A12046" s="0" t="s">
        <v>12</v>
      </c>
      <c r="B12046" s="0" t="n">
        <v>3791351</v>
      </c>
      <c r="C12046" s="0" t="n">
        <v>3791371</v>
      </c>
      <c r="D12046" s="0" t="s">
        <v>39984</v>
      </c>
      <c r="E12046" s="0" t="s">
        <v>75</v>
      </c>
      <c r="F12046" s="0" t="s">
        <v>90</v>
      </c>
      <c r="G12046" s="0" t="s">
        <v>20</v>
      </c>
      <c r="H12046" s="0" t="n">
        <v>29</v>
      </c>
      <c r="I12046" s="0" t="s">
        <v>39988</v>
      </c>
      <c r="J12046" s="0" t="s">
        <v>39989</v>
      </c>
      <c r="K12046" s="0" t="s">
        <v>39990</v>
      </c>
      <c r="L12046" s="0" t="str">
        <f aca="false">HYPERLINK("https://www.ncbi.nlm.nih.gov/nuccore/CP000058.1?report=graph&amp;tracks=[key:gene_model_track,Options:GeneOnly]&amp;mk=3791375:3791394|offset_6|444444,3791352:3791371|offset_29|00cc00,3791317:3791336|offset_64|444444,3791293:3791312|offset_88|444444&amp;v=3791174:3791512&amp;c=444444", "offset 29")</f>
        <v>offset 29</v>
      </c>
    </row>
    <row r="12047" customFormat="false" ht="12.8" hidden="false" customHeight="false" outlineLevel="0" collapsed="false">
      <c r="A12047" s="0" t="s">
        <v>12</v>
      </c>
      <c r="B12047" s="0" t="n">
        <v>3791316</v>
      </c>
      <c r="C12047" s="0" t="n">
        <v>3791336</v>
      </c>
      <c r="D12047" s="0" t="s">
        <v>39984</v>
      </c>
      <c r="E12047" s="0" t="s">
        <v>75</v>
      </c>
      <c r="F12047" s="0" t="s">
        <v>90</v>
      </c>
      <c r="G12047" s="0" t="s">
        <v>36</v>
      </c>
      <c r="H12047" s="0" t="n">
        <v>64</v>
      </c>
      <c r="I12047" s="0" t="s">
        <v>39991</v>
      </c>
      <c r="J12047" s="0" t="s">
        <v>39992</v>
      </c>
      <c r="K12047" s="0" t="s">
        <v>39993</v>
      </c>
      <c r="L12047" s="0" t="str">
        <f aca="false">HYPERLINK("https://www.ncbi.nlm.nih.gov/nuccore/CP000058.1?report=graph&amp;tracks=[key:gene_model_track,Options:GeneOnly]&amp;mk=3791375:3791394|offset_6|444444,3791352:3791371|offset_29|444444,3791317:3791336|offset_64|00cc00,3791293:3791312|offset_88|444444&amp;v=3791174:3791512&amp;c=444444", "offset 64")</f>
        <v>offset 64</v>
      </c>
    </row>
    <row r="12048" customFormat="false" ht="12.8" hidden="false" customHeight="false" outlineLevel="0" collapsed="false">
      <c r="A12048" s="0" t="s">
        <v>12</v>
      </c>
      <c r="B12048" s="0" t="n">
        <v>3791292</v>
      </c>
      <c r="C12048" s="0" t="n">
        <v>3791312</v>
      </c>
      <c r="D12048" s="0" t="s">
        <v>39984</v>
      </c>
      <c r="E12048" s="0" t="s">
        <v>75</v>
      </c>
      <c r="F12048" s="0" t="s">
        <v>90</v>
      </c>
      <c r="G12048" s="0" t="s">
        <v>32</v>
      </c>
      <c r="H12048" s="0" t="n">
        <v>88</v>
      </c>
      <c r="I12048" s="0" t="s">
        <v>39994</v>
      </c>
      <c r="J12048" s="0" t="s">
        <v>39995</v>
      </c>
      <c r="K12048" s="0" t="s">
        <v>39996</v>
      </c>
      <c r="L12048" s="0" t="str">
        <f aca="false">HYPERLINK("https://www.ncbi.nlm.nih.gov/nuccore/CP000058.1?report=graph&amp;tracks=[key:gene_model_track,Options:GeneOnly]&amp;mk=3791375:3791394|offset_6|444444,3791352:3791371|offset_29|444444,3791317:3791336|offset_64|444444,3791293:3791312|offset_88|00cc00&amp;v=3791174:3791512&amp;c=444444", "offset 88")</f>
        <v>offset 88</v>
      </c>
    </row>
    <row r="12049" customFormat="false" ht="12.8" hidden="false" customHeight="false" outlineLevel="0" collapsed="false">
      <c r="A12049" s="0" t="s">
        <v>12</v>
      </c>
      <c r="B12049" s="0" t="n">
        <v>3793159</v>
      </c>
      <c r="C12049" s="0" t="n">
        <v>3793179</v>
      </c>
      <c r="D12049" s="0" t="s">
        <v>39997</v>
      </c>
      <c r="E12049" s="0" t="s">
        <v>75</v>
      </c>
      <c r="F12049" s="0" t="s">
        <v>90</v>
      </c>
      <c r="G12049" s="0" t="s">
        <v>36</v>
      </c>
      <c r="H12049" s="0" t="n">
        <v>0</v>
      </c>
      <c r="I12049" s="0" t="s">
        <v>39998</v>
      </c>
      <c r="J12049" s="0" t="s">
        <v>39999</v>
      </c>
      <c r="K12049" s="0" t="s">
        <v>40000</v>
      </c>
      <c r="L12049" s="0" t="str">
        <f aca="false">HYPERLINK("https://www.ncbi.nlm.nih.gov/nuccore/CP000058.1?report=graph&amp;tracks=[key:gene_model_track,Options:GeneOnly]&amp;mk=3793160:3793179|offset_0|00cc00,3793138:3793157|offset_22|444444,3793081:3793100|offset_79|444444,3793051:3793070|offset_109|444444&amp;v=3792959:3793270&amp;c=444444", "offset 0")</f>
        <v>offset 0</v>
      </c>
    </row>
    <row r="12050" customFormat="false" ht="12.8" hidden="false" customHeight="false" outlineLevel="0" collapsed="false">
      <c r="A12050" s="0" t="s">
        <v>12</v>
      </c>
      <c r="B12050" s="0" t="n">
        <v>3793137</v>
      </c>
      <c r="C12050" s="0" t="n">
        <v>3793157</v>
      </c>
      <c r="D12050" s="0" t="s">
        <v>39997</v>
      </c>
      <c r="E12050" s="0" t="s">
        <v>75</v>
      </c>
      <c r="F12050" s="0" t="s">
        <v>90</v>
      </c>
      <c r="G12050" s="0" t="s">
        <v>32</v>
      </c>
      <c r="H12050" s="0" t="n">
        <v>22</v>
      </c>
      <c r="I12050" s="0" t="s">
        <v>40001</v>
      </c>
      <c r="J12050" s="0" t="s">
        <v>40002</v>
      </c>
      <c r="K12050" s="0" t="s">
        <v>40003</v>
      </c>
      <c r="L12050" s="0" t="str">
        <f aca="false">HYPERLINK("https://www.ncbi.nlm.nih.gov/nuccore/CP000058.1?report=graph&amp;tracks=[key:gene_model_track,Options:GeneOnly]&amp;mk=3793160:3793179|offset_0|444444,3793138:3793157|offset_22|00cc00,3793081:3793100|offset_79|444444,3793051:3793070|offset_109|444444&amp;v=3792959:3793270&amp;c=444444", "offset 22")</f>
        <v>offset 22</v>
      </c>
    </row>
    <row r="12051" customFormat="false" ht="12.8" hidden="false" customHeight="false" outlineLevel="0" collapsed="false">
      <c r="A12051" s="0" t="s">
        <v>12</v>
      </c>
      <c r="B12051" s="0" t="n">
        <v>3793080</v>
      </c>
      <c r="C12051" s="0" t="n">
        <v>3793100</v>
      </c>
      <c r="D12051" s="0" t="s">
        <v>39997</v>
      </c>
      <c r="E12051" s="0" t="s">
        <v>75</v>
      </c>
      <c r="F12051" s="0" t="s">
        <v>90</v>
      </c>
      <c r="G12051" s="0" t="s">
        <v>16</v>
      </c>
      <c r="H12051" s="0" t="n">
        <v>79</v>
      </c>
      <c r="I12051" s="0" t="s">
        <v>40004</v>
      </c>
      <c r="J12051" s="0" t="s">
        <v>40005</v>
      </c>
      <c r="K12051" s="0" t="s">
        <v>40006</v>
      </c>
      <c r="L12051" s="0" t="str">
        <f aca="false">HYPERLINK("https://www.ncbi.nlm.nih.gov/nuccore/CP000058.1?report=graph&amp;tracks=[key:gene_model_track,Options:GeneOnly]&amp;mk=3793160:3793179|offset_0|444444,3793138:3793157|offset_22|444444,3793081:3793100|offset_79|00cc00,3793051:3793070|offset_109|444444&amp;v=3792959:3793270&amp;c=444444", "offset 79")</f>
        <v>offset 79</v>
      </c>
    </row>
    <row r="12052" customFormat="false" ht="12.8" hidden="false" customHeight="false" outlineLevel="0" collapsed="false">
      <c r="A12052" s="0" t="s">
        <v>12</v>
      </c>
      <c r="B12052" s="0" t="n">
        <v>3793050</v>
      </c>
      <c r="C12052" s="0" t="n">
        <v>3793070</v>
      </c>
      <c r="D12052" s="0" t="s">
        <v>39997</v>
      </c>
      <c r="E12052" s="0" t="s">
        <v>75</v>
      </c>
      <c r="F12052" s="0" t="s">
        <v>90</v>
      </c>
      <c r="G12052" s="0" t="s">
        <v>36</v>
      </c>
      <c r="H12052" s="0" t="n">
        <v>109</v>
      </c>
      <c r="I12052" s="0" t="s">
        <v>40007</v>
      </c>
      <c r="J12052" s="0" t="s">
        <v>40008</v>
      </c>
      <c r="K12052" s="0" t="s">
        <v>40009</v>
      </c>
      <c r="L12052" s="0" t="str">
        <f aca="false">HYPERLINK("https://www.ncbi.nlm.nih.gov/nuccore/CP000058.1?report=graph&amp;tracks=[key:gene_model_track,Options:GeneOnly]&amp;mk=3793160:3793179|offset_0|444444,3793138:3793157|offset_22|444444,3793081:3793100|offset_79|444444,3793051:3793070|offset_109|00cc00&amp;v=3792959:3793270&amp;c=444444", "offset 109")</f>
        <v>offset 109</v>
      </c>
    </row>
    <row r="12053" customFormat="false" ht="12.8" hidden="false" customHeight="false" outlineLevel="0" collapsed="false">
      <c r="A12053" s="0" t="s">
        <v>12</v>
      </c>
      <c r="B12053" s="0" t="n">
        <v>3794063</v>
      </c>
      <c r="C12053" s="0" t="n">
        <v>3794083</v>
      </c>
      <c r="D12053" s="0" t="s">
        <v>40010</v>
      </c>
      <c r="E12053" s="0" t="s">
        <v>75</v>
      </c>
      <c r="F12053" s="0" t="s">
        <v>90</v>
      </c>
      <c r="G12053" s="0" t="s">
        <v>36</v>
      </c>
      <c r="H12053" s="0" t="n">
        <v>6</v>
      </c>
      <c r="I12053" s="0" t="s">
        <v>40011</v>
      </c>
      <c r="J12053" s="0" t="s">
        <v>40012</v>
      </c>
      <c r="K12053" s="0" t="s">
        <v>40013</v>
      </c>
      <c r="L12053" s="0" t="str">
        <f aca="false">HYPERLINK("https://www.ncbi.nlm.nih.gov/nuccore/CP000058.1?report=graph&amp;tracks=[key:gene_model_track,Options:GeneOnly]&amp;mk=3794064:3794083|offset_6|00cc00,3794042:3794061|offset_28|444444,3794017:3794036|offset_53|444444,3793985:3794004|offset_85|444444&amp;v=3793863:3794204&amp;c=444444", "offset 6")</f>
        <v>offset 6</v>
      </c>
    </row>
    <row r="12054" customFormat="false" ht="12.8" hidden="false" customHeight="false" outlineLevel="0" collapsed="false">
      <c r="A12054" s="0" t="s">
        <v>12</v>
      </c>
      <c r="B12054" s="0" t="n">
        <v>3794041</v>
      </c>
      <c r="C12054" s="0" t="n">
        <v>3794061</v>
      </c>
      <c r="D12054" s="0" t="s">
        <v>40010</v>
      </c>
      <c r="E12054" s="0" t="s">
        <v>75</v>
      </c>
      <c r="F12054" s="0" t="s">
        <v>90</v>
      </c>
      <c r="G12054" s="0" t="s">
        <v>36</v>
      </c>
      <c r="H12054" s="0" t="n">
        <v>28</v>
      </c>
      <c r="I12054" s="0" t="s">
        <v>40014</v>
      </c>
      <c r="J12054" s="0" t="s">
        <v>40015</v>
      </c>
      <c r="K12054" s="0" t="s">
        <v>40016</v>
      </c>
      <c r="L12054" s="0" t="str">
        <f aca="false">HYPERLINK("https://www.ncbi.nlm.nih.gov/nuccore/CP000058.1?report=graph&amp;tracks=[key:gene_model_track,Options:GeneOnly]&amp;mk=3794064:3794083|offset_6|444444,3794042:3794061|offset_28|00cc00,3794017:3794036|offset_53|444444,3793985:3794004|offset_85|444444&amp;v=3793863:3794204&amp;c=444444", "offset 28")</f>
        <v>offset 28</v>
      </c>
    </row>
    <row r="12055" customFormat="false" ht="12.8" hidden="false" customHeight="false" outlineLevel="0" collapsed="false">
      <c r="A12055" s="0" t="s">
        <v>12</v>
      </c>
      <c r="B12055" s="0" t="n">
        <v>3794016</v>
      </c>
      <c r="C12055" s="0" t="n">
        <v>3794036</v>
      </c>
      <c r="D12055" s="0" t="s">
        <v>40010</v>
      </c>
      <c r="E12055" s="0" t="s">
        <v>75</v>
      </c>
      <c r="F12055" s="0" t="s">
        <v>90</v>
      </c>
      <c r="G12055" s="0" t="s">
        <v>32</v>
      </c>
      <c r="H12055" s="0" t="n">
        <v>53</v>
      </c>
      <c r="I12055" s="0" t="s">
        <v>40017</v>
      </c>
      <c r="J12055" s="0" t="s">
        <v>40018</v>
      </c>
      <c r="K12055" s="0" t="s">
        <v>40019</v>
      </c>
      <c r="L12055" s="0" t="str">
        <f aca="false">HYPERLINK("https://www.ncbi.nlm.nih.gov/nuccore/CP000058.1?report=graph&amp;tracks=[key:gene_model_track,Options:GeneOnly]&amp;mk=3794064:3794083|offset_6|444444,3794042:3794061|offset_28|444444,3794017:3794036|offset_53|00cc00,3793985:3794004|offset_85|444444&amp;v=3793863:3794204&amp;c=444444", "offset 53")</f>
        <v>offset 53</v>
      </c>
    </row>
    <row r="12056" customFormat="false" ht="12.8" hidden="false" customHeight="false" outlineLevel="0" collapsed="false">
      <c r="A12056" s="0" t="s">
        <v>12</v>
      </c>
      <c r="B12056" s="0" t="n">
        <v>3793984</v>
      </c>
      <c r="C12056" s="0" t="n">
        <v>3794004</v>
      </c>
      <c r="D12056" s="0" t="s">
        <v>40010</v>
      </c>
      <c r="E12056" s="0" t="s">
        <v>75</v>
      </c>
      <c r="F12056" s="0" t="s">
        <v>90</v>
      </c>
      <c r="G12056" s="0" t="s">
        <v>16</v>
      </c>
      <c r="H12056" s="0" t="n">
        <v>85</v>
      </c>
      <c r="I12056" s="0" t="s">
        <v>40020</v>
      </c>
      <c r="J12056" s="0" t="s">
        <v>40021</v>
      </c>
      <c r="K12056" s="0" t="s">
        <v>40022</v>
      </c>
      <c r="L12056" s="0" t="str">
        <f aca="false">HYPERLINK("https://www.ncbi.nlm.nih.gov/nuccore/CP000058.1?report=graph&amp;tracks=[key:gene_model_track,Options:GeneOnly]&amp;mk=3794064:3794083|offset_6|444444,3794042:3794061|offset_28|444444,3794017:3794036|offset_53|444444,3793985:3794004|offset_85|00cc00&amp;v=3793863:3794204&amp;c=444444", "offset 85")</f>
        <v>offset 85</v>
      </c>
    </row>
    <row r="12057" customFormat="false" ht="12.8" hidden="false" customHeight="false" outlineLevel="0" collapsed="false">
      <c r="A12057" s="0" t="s">
        <v>12</v>
      </c>
      <c r="B12057" s="0" t="n">
        <v>3794635</v>
      </c>
      <c r="C12057" s="0" t="n">
        <v>3794655</v>
      </c>
      <c r="D12057" s="0" t="s">
        <v>40023</v>
      </c>
      <c r="E12057" s="0" t="s">
        <v>40024</v>
      </c>
      <c r="F12057" s="0" t="s">
        <v>15</v>
      </c>
      <c r="G12057" s="0" t="s">
        <v>16</v>
      </c>
      <c r="H12057" s="0" t="n">
        <v>6</v>
      </c>
      <c r="I12057" s="0" t="s">
        <v>40025</v>
      </c>
      <c r="J12057" s="0" t="s">
        <v>40026</v>
      </c>
      <c r="K12057" s="0" t="s">
        <v>40027</v>
      </c>
      <c r="L12057" s="0" t="str">
        <f aca="false">HYPERLINK("https://www.ncbi.nlm.nih.gov/nuccore/CP000058.1?report=graph&amp;tracks=[key:gene_model_track,Options:GeneOnly]&amp;mk=3794636:3794655|offset_6|00cc00,3794696:3794715|offset_66|444444,3794718:3794737|offset_88|444444,3794739:3794758|offset_109|444444&amp;v=3794435:3794958&amp;c=444444", "offset 6")</f>
        <v>offset 6</v>
      </c>
    </row>
    <row r="12058" customFormat="false" ht="12.8" hidden="false" customHeight="false" outlineLevel="0" collapsed="false">
      <c r="A12058" s="0" t="s">
        <v>12</v>
      </c>
      <c r="B12058" s="0" t="n">
        <v>3794695</v>
      </c>
      <c r="C12058" s="0" t="n">
        <v>3794715</v>
      </c>
      <c r="D12058" s="0" t="s">
        <v>40023</v>
      </c>
      <c r="E12058" s="0" t="s">
        <v>40024</v>
      </c>
      <c r="F12058" s="0" t="s">
        <v>15</v>
      </c>
      <c r="G12058" s="0" t="s">
        <v>16</v>
      </c>
      <c r="H12058" s="0" t="n">
        <v>66</v>
      </c>
      <c r="I12058" s="0" t="s">
        <v>40028</v>
      </c>
      <c r="J12058" s="0" t="s">
        <v>40029</v>
      </c>
      <c r="K12058" s="0" t="s">
        <v>40030</v>
      </c>
      <c r="L12058" s="0" t="str">
        <f aca="false">HYPERLINK("https://www.ncbi.nlm.nih.gov/nuccore/CP000058.1?report=graph&amp;tracks=[key:gene_model_track,Options:GeneOnly]&amp;mk=3794636:3794655|offset_6|444444,3794696:3794715|offset_66|00cc00,3794718:3794737|offset_88|444444,3794739:3794758|offset_109|444444&amp;v=3794435:3794958&amp;c=444444", "offset 66")</f>
        <v>offset 66</v>
      </c>
    </row>
    <row r="12059" customFormat="false" ht="12.8" hidden="false" customHeight="false" outlineLevel="0" collapsed="false">
      <c r="A12059" s="0" t="s">
        <v>12</v>
      </c>
      <c r="B12059" s="0" t="n">
        <v>3794717</v>
      </c>
      <c r="C12059" s="0" t="n">
        <v>3794737</v>
      </c>
      <c r="D12059" s="0" t="s">
        <v>40023</v>
      </c>
      <c r="E12059" s="0" t="s">
        <v>40024</v>
      </c>
      <c r="F12059" s="0" t="s">
        <v>15</v>
      </c>
      <c r="G12059" s="0" t="s">
        <v>36</v>
      </c>
      <c r="H12059" s="0" t="n">
        <v>88</v>
      </c>
      <c r="I12059" s="0" t="s">
        <v>40031</v>
      </c>
      <c r="J12059" s="0" t="s">
        <v>40032</v>
      </c>
      <c r="K12059" s="0" t="s">
        <v>40033</v>
      </c>
      <c r="L12059" s="0" t="str">
        <f aca="false">HYPERLINK("https://www.ncbi.nlm.nih.gov/nuccore/CP000058.1?report=graph&amp;tracks=[key:gene_model_track,Options:GeneOnly]&amp;mk=3794636:3794655|offset_6|444444,3794696:3794715|offset_66|444444,3794718:3794737|offset_88|00cc00,3794739:3794758|offset_109|444444&amp;v=3794435:3794958&amp;c=444444", "offset 88")</f>
        <v>offset 88</v>
      </c>
    </row>
    <row r="12060" customFormat="false" ht="12.8" hidden="false" customHeight="false" outlineLevel="0" collapsed="false">
      <c r="A12060" s="0" t="s">
        <v>12</v>
      </c>
      <c r="B12060" s="0" t="n">
        <v>3794738</v>
      </c>
      <c r="C12060" s="0" t="n">
        <v>3794758</v>
      </c>
      <c r="D12060" s="0" t="s">
        <v>40023</v>
      </c>
      <c r="E12060" s="0" t="s">
        <v>40024</v>
      </c>
      <c r="F12060" s="0" t="s">
        <v>15</v>
      </c>
      <c r="G12060" s="0" t="s">
        <v>16</v>
      </c>
      <c r="H12060" s="0" t="n">
        <v>109</v>
      </c>
      <c r="I12060" s="0" t="s">
        <v>40034</v>
      </c>
      <c r="J12060" s="0" t="s">
        <v>40035</v>
      </c>
      <c r="K12060" s="0" t="s">
        <v>40036</v>
      </c>
      <c r="L12060" s="0" t="str">
        <f aca="false">HYPERLINK("https://www.ncbi.nlm.nih.gov/nuccore/CP000058.1?report=graph&amp;tracks=[key:gene_model_track,Options:GeneOnly]&amp;mk=3794636:3794655|offset_6|444444,3794696:3794715|offset_66|444444,3794718:3794737|offset_88|444444,3794739:3794758|offset_109|00cc00&amp;v=3794435:3794958&amp;c=444444", "offset 109")</f>
        <v>offset 109</v>
      </c>
    </row>
    <row r="12061" customFormat="false" ht="12.8" hidden="false" customHeight="false" outlineLevel="0" collapsed="false">
      <c r="A12061" s="0" t="s">
        <v>12</v>
      </c>
      <c r="B12061" s="0" t="n">
        <v>3796223</v>
      </c>
      <c r="C12061" s="0" t="n">
        <v>3796243</v>
      </c>
      <c r="D12061" s="0" t="s">
        <v>40037</v>
      </c>
      <c r="E12061" s="0" t="s">
        <v>75</v>
      </c>
      <c r="F12061" s="0" t="s">
        <v>15</v>
      </c>
      <c r="G12061" s="0" t="s">
        <v>20</v>
      </c>
      <c r="H12061" s="0" t="n">
        <v>0</v>
      </c>
      <c r="I12061" s="0" t="s">
        <v>40038</v>
      </c>
      <c r="J12061" s="0" t="s">
        <v>40039</v>
      </c>
      <c r="K12061" s="0" t="s">
        <v>40040</v>
      </c>
      <c r="L12061" s="0" t="str">
        <f aca="false">HYPERLINK("https://www.ncbi.nlm.nih.gov/nuccore/CP000058.1?report=graph&amp;tracks=[key:gene_model_track,Options:GeneOnly]&amp;mk=3796224:3796243|offset_0|00cc00,3796267:3796286|offset_43|444444,3796288:3796307|offset_64|444444,3796312:3796331|offset_88|444444&amp;v=3796023:3796531&amp;c=444444", "offset 0")</f>
        <v>offset 0</v>
      </c>
    </row>
    <row r="12062" customFormat="false" ht="12.8" hidden="false" customHeight="false" outlineLevel="0" collapsed="false">
      <c r="A12062" s="0" t="s">
        <v>12</v>
      </c>
      <c r="B12062" s="0" t="n">
        <v>3796266</v>
      </c>
      <c r="C12062" s="0" t="n">
        <v>3796286</v>
      </c>
      <c r="D12062" s="0" t="s">
        <v>40037</v>
      </c>
      <c r="E12062" s="0" t="s">
        <v>75</v>
      </c>
      <c r="F12062" s="0" t="s">
        <v>15</v>
      </c>
      <c r="G12062" s="0" t="s">
        <v>16</v>
      </c>
      <c r="H12062" s="0" t="n">
        <v>43</v>
      </c>
      <c r="I12062" s="0" t="s">
        <v>40041</v>
      </c>
      <c r="J12062" s="0" t="s">
        <v>40042</v>
      </c>
      <c r="K12062" s="0" t="s">
        <v>40043</v>
      </c>
      <c r="L12062" s="0" t="str">
        <f aca="false">HYPERLINK("https://www.ncbi.nlm.nih.gov/nuccore/CP000058.1?report=graph&amp;tracks=[key:gene_model_track,Options:GeneOnly]&amp;mk=3796224:3796243|offset_0|444444,3796267:3796286|offset_43|00cc00,3796288:3796307|offset_64|444444,3796312:3796331|offset_88|444444&amp;v=3796023:3796531&amp;c=444444", "offset 43")</f>
        <v>offset 43</v>
      </c>
    </row>
    <row r="12063" customFormat="false" ht="12.8" hidden="false" customHeight="false" outlineLevel="0" collapsed="false">
      <c r="A12063" s="0" t="s">
        <v>12</v>
      </c>
      <c r="B12063" s="0" t="n">
        <v>3796287</v>
      </c>
      <c r="C12063" s="0" t="n">
        <v>3796307</v>
      </c>
      <c r="D12063" s="0" t="s">
        <v>40037</v>
      </c>
      <c r="E12063" s="0" t="s">
        <v>75</v>
      </c>
      <c r="F12063" s="0" t="s">
        <v>15</v>
      </c>
      <c r="G12063" s="0" t="s">
        <v>36</v>
      </c>
      <c r="H12063" s="0" t="n">
        <v>64</v>
      </c>
      <c r="I12063" s="0" t="s">
        <v>40044</v>
      </c>
      <c r="J12063" s="0" t="s">
        <v>40045</v>
      </c>
      <c r="K12063" s="0" t="s">
        <v>40046</v>
      </c>
      <c r="L12063" s="0" t="str">
        <f aca="false">HYPERLINK("https://www.ncbi.nlm.nih.gov/nuccore/CP000058.1?report=graph&amp;tracks=[key:gene_model_track,Options:GeneOnly]&amp;mk=3796224:3796243|offset_0|444444,3796267:3796286|offset_43|444444,3796288:3796307|offset_64|00cc00,3796312:3796331|offset_88|444444&amp;v=3796023:3796531&amp;c=444444", "offset 64")</f>
        <v>offset 64</v>
      </c>
    </row>
    <row r="12064" customFormat="false" ht="12.8" hidden="false" customHeight="false" outlineLevel="0" collapsed="false">
      <c r="A12064" s="0" t="s">
        <v>12</v>
      </c>
      <c r="B12064" s="0" t="n">
        <v>3796311</v>
      </c>
      <c r="C12064" s="0" t="n">
        <v>3796331</v>
      </c>
      <c r="D12064" s="0" t="s">
        <v>40037</v>
      </c>
      <c r="E12064" s="0" t="s">
        <v>75</v>
      </c>
      <c r="F12064" s="0" t="s">
        <v>15</v>
      </c>
      <c r="G12064" s="0" t="s">
        <v>16</v>
      </c>
      <c r="H12064" s="0" t="n">
        <v>88</v>
      </c>
      <c r="I12064" s="0" t="s">
        <v>40047</v>
      </c>
      <c r="J12064" s="0" t="s">
        <v>40048</v>
      </c>
      <c r="K12064" s="0" t="s">
        <v>40049</v>
      </c>
      <c r="L12064" s="0" t="str">
        <f aca="false">HYPERLINK("https://www.ncbi.nlm.nih.gov/nuccore/CP000058.1?report=graph&amp;tracks=[key:gene_model_track,Options:GeneOnly]&amp;mk=3796224:3796243|offset_0|444444,3796267:3796286|offset_43|444444,3796288:3796307|offset_64|444444,3796312:3796331|offset_88|00cc00&amp;v=3796023:3796531&amp;c=444444", "offset 88")</f>
        <v>offset 88</v>
      </c>
    </row>
    <row r="12065" customFormat="false" ht="12.8" hidden="false" customHeight="false" outlineLevel="0" collapsed="false">
      <c r="A12065" s="0" t="s">
        <v>12</v>
      </c>
      <c r="B12065" s="0" t="n">
        <v>3798869</v>
      </c>
      <c r="C12065" s="0" t="n">
        <v>3798889</v>
      </c>
      <c r="D12065" s="0" t="s">
        <v>40050</v>
      </c>
      <c r="E12065" s="0" t="s">
        <v>75</v>
      </c>
      <c r="F12065" s="0" t="s">
        <v>90</v>
      </c>
      <c r="G12065" s="0" t="s">
        <v>16</v>
      </c>
      <c r="H12065" s="0" t="n">
        <v>1</v>
      </c>
      <c r="I12065" s="0" t="s">
        <v>40051</v>
      </c>
      <c r="J12065" s="0" t="s">
        <v>40052</v>
      </c>
      <c r="K12065" s="0" t="s">
        <v>40053</v>
      </c>
      <c r="L12065" s="0" t="str">
        <f aca="false">HYPERLINK("https://www.ncbi.nlm.nih.gov/nuccore/CP000058.1?report=graph&amp;tracks=[key:gene_model_track,Options:GeneOnly]&amp;mk=3798870:3798889|offset_1|00cc00,3798842:3798861|offset_29|444444,3798807:3798826|offset_64|444444,3798768:3798787|offset_103|444444&amp;v=3798669:3798987&amp;c=444444", "offset 1")</f>
        <v>offset 1</v>
      </c>
    </row>
    <row r="12066" customFormat="false" ht="12.8" hidden="false" customHeight="false" outlineLevel="0" collapsed="false">
      <c r="A12066" s="0" t="s">
        <v>12</v>
      </c>
      <c r="B12066" s="0" t="n">
        <v>3798841</v>
      </c>
      <c r="C12066" s="0" t="n">
        <v>3798861</v>
      </c>
      <c r="D12066" s="0" t="s">
        <v>40050</v>
      </c>
      <c r="E12066" s="0" t="s">
        <v>75</v>
      </c>
      <c r="F12066" s="0" t="s">
        <v>90</v>
      </c>
      <c r="G12066" s="0" t="s">
        <v>32</v>
      </c>
      <c r="H12066" s="0" t="n">
        <v>29</v>
      </c>
      <c r="I12066" s="0" t="s">
        <v>40054</v>
      </c>
      <c r="J12066" s="0" t="s">
        <v>40055</v>
      </c>
      <c r="K12066" s="0" t="s">
        <v>40056</v>
      </c>
      <c r="L12066" s="0" t="str">
        <f aca="false">HYPERLINK("https://www.ncbi.nlm.nih.gov/nuccore/CP000058.1?report=graph&amp;tracks=[key:gene_model_track,Options:GeneOnly]&amp;mk=3798870:3798889|offset_1|444444,3798842:3798861|offset_29|00cc00,3798807:3798826|offset_64|444444,3798768:3798787|offset_103|444444&amp;v=3798669:3798987&amp;c=444444", "offset 29")</f>
        <v>offset 29</v>
      </c>
    </row>
    <row r="12067" customFormat="false" ht="12.8" hidden="false" customHeight="false" outlineLevel="0" collapsed="false">
      <c r="A12067" s="0" t="s">
        <v>12</v>
      </c>
      <c r="B12067" s="0" t="n">
        <v>3798806</v>
      </c>
      <c r="C12067" s="0" t="n">
        <v>3798826</v>
      </c>
      <c r="D12067" s="0" t="s">
        <v>40050</v>
      </c>
      <c r="E12067" s="0" t="s">
        <v>75</v>
      </c>
      <c r="F12067" s="0" t="s">
        <v>90</v>
      </c>
      <c r="G12067" s="0" t="s">
        <v>20</v>
      </c>
      <c r="H12067" s="0" t="n">
        <v>64</v>
      </c>
      <c r="I12067" s="0" t="s">
        <v>40057</v>
      </c>
      <c r="J12067" s="0" t="s">
        <v>40058</v>
      </c>
      <c r="K12067" s="0" t="s">
        <v>40059</v>
      </c>
      <c r="L12067" s="0" t="str">
        <f aca="false">HYPERLINK("https://www.ncbi.nlm.nih.gov/nuccore/CP000058.1?report=graph&amp;tracks=[key:gene_model_track,Options:GeneOnly]&amp;mk=3798870:3798889|offset_1|444444,3798842:3798861|offset_29|444444,3798807:3798826|offset_64|00cc00,3798768:3798787|offset_103|444444&amp;v=3798669:3798987&amp;c=444444", "offset 64")</f>
        <v>offset 64</v>
      </c>
    </row>
    <row r="12068" customFormat="false" ht="12.8" hidden="false" customHeight="false" outlineLevel="0" collapsed="false">
      <c r="A12068" s="0" t="s">
        <v>12</v>
      </c>
      <c r="B12068" s="0" t="n">
        <v>3798767</v>
      </c>
      <c r="C12068" s="0" t="n">
        <v>3798787</v>
      </c>
      <c r="D12068" s="0" t="s">
        <v>40050</v>
      </c>
      <c r="E12068" s="0" t="s">
        <v>75</v>
      </c>
      <c r="F12068" s="0" t="s">
        <v>90</v>
      </c>
      <c r="G12068" s="0" t="s">
        <v>16</v>
      </c>
      <c r="H12068" s="0" t="n">
        <v>103</v>
      </c>
      <c r="I12068" s="0" t="s">
        <v>40060</v>
      </c>
      <c r="J12068" s="0" t="s">
        <v>40061</v>
      </c>
      <c r="K12068" s="0" t="s">
        <v>40062</v>
      </c>
      <c r="L12068" s="0" t="str">
        <f aca="false">HYPERLINK("https://www.ncbi.nlm.nih.gov/nuccore/CP000058.1?report=graph&amp;tracks=[key:gene_model_track,Options:GeneOnly]&amp;mk=3798870:3798889|offset_1|444444,3798842:3798861|offset_29|444444,3798807:3798826|offset_64|444444,3798768:3798787|offset_103|00cc00&amp;v=3798669:3798987&amp;c=444444", "offset 103")</f>
        <v>offset 103</v>
      </c>
    </row>
    <row r="12069" customFormat="false" ht="12.8" hidden="false" customHeight="false" outlineLevel="0" collapsed="false">
      <c r="A12069" s="0" t="s">
        <v>12</v>
      </c>
      <c r="B12069" s="0" t="n">
        <v>3799274</v>
      </c>
      <c r="C12069" s="0" t="n">
        <v>3799294</v>
      </c>
      <c r="D12069" s="0" t="s">
        <v>40063</v>
      </c>
      <c r="E12069" s="0" t="s">
        <v>75</v>
      </c>
      <c r="F12069" s="0" t="s">
        <v>90</v>
      </c>
      <c r="G12069" s="0" t="s">
        <v>16</v>
      </c>
      <c r="H12069" s="0" t="n">
        <v>22</v>
      </c>
      <c r="I12069" s="0" t="s">
        <v>40064</v>
      </c>
      <c r="J12069" s="0" t="s">
        <v>40065</v>
      </c>
      <c r="K12069" s="0" t="s">
        <v>40066</v>
      </c>
      <c r="L12069" s="0" t="str">
        <f aca="false">HYPERLINK("https://www.ncbi.nlm.nih.gov/nuccore/CP000058.1?report=graph&amp;tracks=[key:gene_model_track,Options:GeneOnly]&amp;mk=3799275:3799294|offset_22|00cc00,3799254:3799273|offset_43|444444,3799203:3799222|offset_94|444444,3799172:3799191|offset_125|444444&amp;v=3799074:3799391&amp;c=444444", "offset 22")</f>
        <v>offset 22</v>
      </c>
    </row>
    <row r="12070" customFormat="false" ht="12.8" hidden="false" customHeight="false" outlineLevel="0" collapsed="false">
      <c r="A12070" s="0" t="s">
        <v>12</v>
      </c>
      <c r="B12070" s="0" t="n">
        <v>3799253</v>
      </c>
      <c r="C12070" s="0" t="n">
        <v>3799273</v>
      </c>
      <c r="D12070" s="0" t="s">
        <v>40063</v>
      </c>
      <c r="E12070" s="0" t="s">
        <v>75</v>
      </c>
      <c r="F12070" s="0" t="s">
        <v>90</v>
      </c>
      <c r="G12070" s="0" t="s">
        <v>36</v>
      </c>
      <c r="H12070" s="0" t="n">
        <v>43</v>
      </c>
      <c r="I12070" s="0" t="s">
        <v>40067</v>
      </c>
      <c r="J12070" s="0" t="s">
        <v>40068</v>
      </c>
      <c r="K12070" s="0" t="s">
        <v>40069</v>
      </c>
      <c r="L12070" s="0" t="str">
        <f aca="false">HYPERLINK("https://www.ncbi.nlm.nih.gov/nuccore/CP000058.1?report=graph&amp;tracks=[key:gene_model_track,Options:GeneOnly]&amp;mk=3799275:3799294|offset_22|444444,3799254:3799273|offset_43|00cc00,3799203:3799222|offset_94|444444,3799172:3799191|offset_125|444444&amp;v=3799074:3799391&amp;c=444444", "offset 43")</f>
        <v>offset 43</v>
      </c>
    </row>
    <row r="12071" customFormat="false" ht="12.8" hidden="false" customHeight="false" outlineLevel="0" collapsed="false">
      <c r="A12071" s="0" t="s">
        <v>12</v>
      </c>
      <c r="B12071" s="0" t="n">
        <v>3799202</v>
      </c>
      <c r="C12071" s="0" t="n">
        <v>3799222</v>
      </c>
      <c r="D12071" s="0" t="s">
        <v>40063</v>
      </c>
      <c r="E12071" s="0" t="s">
        <v>75</v>
      </c>
      <c r="F12071" s="0" t="s">
        <v>90</v>
      </c>
      <c r="G12071" s="0" t="s">
        <v>16</v>
      </c>
      <c r="H12071" s="0" t="n">
        <v>94</v>
      </c>
      <c r="I12071" s="0" t="s">
        <v>40070</v>
      </c>
      <c r="J12071" s="0" t="s">
        <v>40071</v>
      </c>
      <c r="K12071" s="0" t="s">
        <v>40072</v>
      </c>
      <c r="L12071" s="0" t="str">
        <f aca="false">HYPERLINK("https://www.ncbi.nlm.nih.gov/nuccore/CP000058.1?report=graph&amp;tracks=[key:gene_model_track,Options:GeneOnly]&amp;mk=3799275:3799294|offset_22|444444,3799254:3799273|offset_43|444444,3799203:3799222|offset_94|00cc00,3799172:3799191|offset_125|444444&amp;v=3799074:3799391&amp;c=444444", "offset 94")</f>
        <v>offset 94</v>
      </c>
    </row>
    <row r="12072" customFormat="false" ht="12.8" hidden="false" customHeight="false" outlineLevel="0" collapsed="false">
      <c r="A12072" s="0" t="s">
        <v>12</v>
      </c>
      <c r="B12072" s="0" t="n">
        <v>3799171</v>
      </c>
      <c r="C12072" s="0" t="n">
        <v>3799191</v>
      </c>
      <c r="D12072" s="0" t="s">
        <v>40063</v>
      </c>
      <c r="E12072" s="0" t="s">
        <v>75</v>
      </c>
      <c r="F12072" s="0" t="s">
        <v>90</v>
      </c>
      <c r="G12072" s="0" t="s">
        <v>16</v>
      </c>
      <c r="H12072" s="0" t="n">
        <v>125</v>
      </c>
      <c r="I12072" s="0" t="s">
        <v>40073</v>
      </c>
      <c r="J12072" s="0" t="s">
        <v>40074</v>
      </c>
      <c r="K12072" s="0" t="s">
        <v>40075</v>
      </c>
      <c r="L12072" s="0" t="str">
        <f aca="false">HYPERLINK("https://www.ncbi.nlm.nih.gov/nuccore/CP000058.1?report=graph&amp;tracks=[key:gene_model_track,Options:GeneOnly]&amp;mk=3799275:3799294|offset_22|444444,3799254:3799273|offset_43|444444,3799203:3799222|offset_94|444444,3799172:3799191|offset_125|00cc00&amp;v=3799074:3799391&amp;c=444444", "offset 125")</f>
        <v>offset 125</v>
      </c>
    </row>
    <row r="12073" customFormat="false" ht="12.8" hidden="false" customHeight="false" outlineLevel="0" collapsed="false">
      <c r="A12073" s="0" t="s">
        <v>12</v>
      </c>
      <c r="B12073" s="0" t="n">
        <v>3800593</v>
      </c>
      <c r="C12073" s="0" t="n">
        <v>3800613</v>
      </c>
      <c r="D12073" s="0" t="s">
        <v>40076</v>
      </c>
      <c r="E12073" s="0" t="s">
        <v>75</v>
      </c>
      <c r="F12073" s="0" t="s">
        <v>90</v>
      </c>
      <c r="G12073" s="0" t="s">
        <v>20</v>
      </c>
      <c r="H12073" s="0" t="n">
        <v>6</v>
      </c>
      <c r="I12073" s="0" t="s">
        <v>40077</v>
      </c>
      <c r="J12073" s="0" t="s">
        <v>40078</v>
      </c>
      <c r="K12073" s="0" t="s">
        <v>40079</v>
      </c>
      <c r="L12073" s="0" t="str">
        <f aca="false">HYPERLINK("https://www.ncbi.nlm.nih.gov/nuccore/CP000058.1?report=graph&amp;tracks=[key:gene_model_track,Options:GeneOnly]&amp;mk=3800594:3800613|offset_6|00cc00,3800571:3800590|offset_29|444444,3800547:3800566|offset_53|444444,3800505:3800524|offset_95|444444&amp;v=3800393:3800724&amp;c=444444", "offset 6")</f>
        <v>offset 6</v>
      </c>
    </row>
    <row r="12074" customFormat="false" ht="12.8" hidden="false" customHeight="false" outlineLevel="0" collapsed="false">
      <c r="A12074" s="0" t="s">
        <v>12</v>
      </c>
      <c r="B12074" s="0" t="n">
        <v>3800570</v>
      </c>
      <c r="C12074" s="0" t="n">
        <v>3800590</v>
      </c>
      <c r="D12074" s="0" t="s">
        <v>40076</v>
      </c>
      <c r="E12074" s="0" t="s">
        <v>75</v>
      </c>
      <c r="F12074" s="0" t="s">
        <v>90</v>
      </c>
      <c r="G12074" s="0" t="s">
        <v>20</v>
      </c>
      <c r="H12074" s="0" t="n">
        <v>29</v>
      </c>
      <c r="I12074" s="0" t="s">
        <v>40080</v>
      </c>
      <c r="J12074" s="0" t="s">
        <v>40081</v>
      </c>
      <c r="K12074" s="0" t="s">
        <v>40082</v>
      </c>
      <c r="L12074" s="0" t="str">
        <f aca="false">HYPERLINK("https://www.ncbi.nlm.nih.gov/nuccore/CP000058.1?report=graph&amp;tracks=[key:gene_model_track,Options:GeneOnly]&amp;mk=3800594:3800613|offset_6|444444,3800571:3800590|offset_29|00cc00,3800547:3800566|offset_53|444444,3800505:3800524|offset_95|444444&amp;v=3800393:3800724&amp;c=444444", "offset 29")</f>
        <v>offset 29</v>
      </c>
    </row>
    <row r="12075" customFormat="false" ht="12.8" hidden="false" customHeight="false" outlineLevel="0" collapsed="false">
      <c r="A12075" s="0" t="s">
        <v>12</v>
      </c>
      <c r="B12075" s="0" t="n">
        <v>3800546</v>
      </c>
      <c r="C12075" s="0" t="n">
        <v>3800566</v>
      </c>
      <c r="D12075" s="0" t="s">
        <v>40076</v>
      </c>
      <c r="E12075" s="0" t="s">
        <v>75</v>
      </c>
      <c r="F12075" s="0" t="s">
        <v>90</v>
      </c>
      <c r="G12075" s="0" t="s">
        <v>32</v>
      </c>
      <c r="H12075" s="0" t="n">
        <v>53</v>
      </c>
      <c r="I12075" s="0" t="s">
        <v>40083</v>
      </c>
      <c r="J12075" s="0" t="s">
        <v>40084</v>
      </c>
      <c r="K12075" s="0" t="s">
        <v>40085</v>
      </c>
      <c r="L12075" s="0" t="str">
        <f aca="false">HYPERLINK("https://www.ncbi.nlm.nih.gov/nuccore/CP000058.1?report=graph&amp;tracks=[key:gene_model_track,Options:GeneOnly]&amp;mk=3800594:3800613|offset_6|444444,3800571:3800590|offset_29|444444,3800547:3800566|offset_53|00cc00,3800505:3800524|offset_95|444444&amp;v=3800393:3800724&amp;c=444444", "offset 53")</f>
        <v>offset 53</v>
      </c>
    </row>
    <row r="12076" customFormat="false" ht="12.8" hidden="false" customHeight="false" outlineLevel="0" collapsed="false">
      <c r="A12076" s="0" t="s">
        <v>12</v>
      </c>
      <c r="B12076" s="0" t="n">
        <v>3800504</v>
      </c>
      <c r="C12076" s="0" t="n">
        <v>3800524</v>
      </c>
      <c r="D12076" s="0" t="s">
        <v>40076</v>
      </c>
      <c r="E12076" s="0" t="s">
        <v>75</v>
      </c>
      <c r="F12076" s="0" t="s">
        <v>90</v>
      </c>
      <c r="G12076" s="0" t="s">
        <v>36</v>
      </c>
      <c r="H12076" s="0" t="n">
        <v>95</v>
      </c>
      <c r="I12076" s="0" t="s">
        <v>40086</v>
      </c>
      <c r="J12076" s="0" t="s">
        <v>40087</v>
      </c>
      <c r="K12076" s="0" t="s">
        <v>40088</v>
      </c>
      <c r="L12076" s="0" t="str">
        <f aca="false">HYPERLINK("https://www.ncbi.nlm.nih.gov/nuccore/CP000058.1?report=graph&amp;tracks=[key:gene_model_track,Options:GeneOnly]&amp;mk=3800594:3800613|offset_6|444444,3800571:3800590|offset_29|444444,3800547:3800566|offset_53|444444,3800505:3800524|offset_95|00cc00&amp;v=3800393:3800724&amp;c=444444", "offset 95")</f>
        <v>offset 95</v>
      </c>
    </row>
    <row r="12077" customFormat="false" ht="12.8" hidden="false" customHeight="false" outlineLevel="0" collapsed="false">
      <c r="A12077" s="0" t="s">
        <v>12</v>
      </c>
      <c r="B12077" s="0" t="n">
        <v>3800776</v>
      </c>
      <c r="C12077" s="0" t="n">
        <v>3800796</v>
      </c>
      <c r="D12077" s="0" t="s">
        <v>40089</v>
      </c>
      <c r="E12077" s="0" t="s">
        <v>75</v>
      </c>
      <c r="F12077" s="0" t="s">
        <v>15</v>
      </c>
      <c r="G12077" s="0" t="s">
        <v>36</v>
      </c>
      <c r="H12077" s="0" t="n">
        <v>59</v>
      </c>
      <c r="I12077" s="0" t="s">
        <v>40090</v>
      </c>
      <c r="J12077" s="0" t="s">
        <v>40091</v>
      </c>
      <c r="K12077" s="0" t="s">
        <v>40092</v>
      </c>
      <c r="L12077" s="0" t="str">
        <f aca="false">HYPERLINK("https://www.ncbi.nlm.nih.gov/nuccore/CP000058.1?report=graph&amp;tracks=[key:gene_model_track,Options:GeneOnly]&amp;mk=3800777:3800796|offset_59|00cc00,3800808:3800827|offset_90|444444,3800836:3800855|offset_118|444444,3800860:3800879|offset_142|444444&amp;v=3800576:3801079&amp;c=444444", "offset 59")</f>
        <v>offset 59</v>
      </c>
    </row>
    <row r="12078" customFormat="false" ht="12.8" hidden="false" customHeight="false" outlineLevel="0" collapsed="false">
      <c r="A12078" s="0" t="s">
        <v>12</v>
      </c>
      <c r="B12078" s="0" t="n">
        <v>3800807</v>
      </c>
      <c r="C12078" s="0" t="n">
        <v>3800827</v>
      </c>
      <c r="D12078" s="0" t="s">
        <v>40089</v>
      </c>
      <c r="E12078" s="0" t="s">
        <v>75</v>
      </c>
      <c r="F12078" s="0" t="s">
        <v>15</v>
      </c>
      <c r="G12078" s="0" t="s">
        <v>36</v>
      </c>
      <c r="H12078" s="0" t="n">
        <v>90</v>
      </c>
      <c r="I12078" s="0" t="s">
        <v>40093</v>
      </c>
      <c r="J12078" s="0" t="s">
        <v>40094</v>
      </c>
      <c r="K12078" s="0" t="s">
        <v>40095</v>
      </c>
      <c r="L12078" s="0" t="str">
        <f aca="false">HYPERLINK("https://www.ncbi.nlm.nih.gov/nuccore/CP000058.1?report=graph&amp;tracks=[key:gene_model_track,Options:GeneOnly]&amp;mk=3800777:3800796|offset_59|444444,3800808:3800827|offset_90|00cc00,3800836:3800855|offset_118|444444,3800860:3800879|offset_142|444444&amp;v=3800576:3801079&amp;c=444444", "offset 90")</f>
        <v>offset 90</v>
      </c>
    </row>
    <row r="12079" customFormat="false" ht="12.8" hidden="false" customHeight="false" outlineLevel="0" collapsed="false">
      <c r="A12079" s="0" t="s">
        <v>12</v>
      </c>
      <c r="B12079" s="0" t="n">
        <v>3800835</v>
      </c>
      <c r="C12079" s="0" t="n">
        <v>3800855</v>
      </c>
      <c r="D12079" s="0" t="s">
        <v>40089</v>
      </c>
      <c r="E12079" s="0" t="s">
        <v>75</v>
      </c>
      <c r="F12079" s="0" t="s">
        <v>15</v>
      </c>
      <c r="G12079" s="0" t="s">
        <v>16</v>
      </c>
      <c r="H12079" s="0" t="n">
        <v>118</v>
      </c>
      <c r="I12079" s="0" t="s">
        <v>40096</v>
      </c>
      <c r="J12079" s="0" t="s">
        <v>40097</v>
      </c>
      <c r="K12079" s="0" t="s">
        <v>40098</v>
      </c>
      <c r="L12079" s="0" t="str">
        <f aca="false">HYPERLINK("https://www.ncbi.nlm.nih.gov/nuccore/CP000058.1?report=graph&amp;tracks=[key:gene_model_track,Options:GeneOnly]&amp;mk=3800777:3800796|offset_59|444444,3800808:3800827|offset_90|444444,3800836:3800855|offset_118|00cc00,3800860:3800879|offset_142|444444&amp;v=3800576:3801079&amp;c=444444", "offset 118")</f>
        <v>offset 118</v>
      </c>
    </row>
    <row r="12080" customFormat="false" ht="12.8" hidden="false" customHeight="false" outlineLevel="0" collapsed="false">
      <c r="A12080" s="0" t="s">
        <v>12</v>
      </c>
      <c r="B12080" s="0" t="n">
        <v>3800859</v>
      </c>
      <c r="C12080" s="0" t="n">
        <v>3800879</v>
      </c>
      <c r="D12080" s="0" t="s">
        <v>40089</v>
      </c>
      <c r="E12080" s="0" t="s">
        <v>75</v>
      </c>
      <c r="F12080" s="0" t="s">
        <v>15</v>
      </c>
      <c r="G12080" s="0" t="s">
        <v>16</v>
      </c>
      <c r="H12080" s="0" t="n">
        <v>142</v>
      </c>
      <c r="I12080" s="0" t="s">
        <v>40099</v>
      </c>
      <c r="J12080" s="0" t="s">
        <v>40100</v>
      </c>
      <c r="K12080" s="0" t="s">
        <v>40101</v>
      </c>
      <c r="L12080" s="0" t="str">
        <f aca="false">HYPERLINK("https://www.ncbi.nlm.nih.gov/nuccore/CP000058.1?report=graph&amp;tracks=[key:gene_model_track,Options:GeneOnly]&amp;mk=3800777:3800796|offset_59|444444,3800808:3800827|offset_90|444444,3800836:3800855|offset_118|444444,3800860:3800879|offset_142|00cc00&amp;v=3800576:3801079&amp;c=444444", "offset 142")</f>
        <v>offset 142</v>
      </c>
    </row>
    <row r="12081" customFormat="false" ht="12.8" hidden="false" customHeight="false" outlineLevel="0" collapsed="false">
      <c r="A12081" s="0" t="s">
        <v>12</v>
      </c>
      <c r="B12081" s="0" t="n">
        <v>3802682</v>
      </c>
      <c r="C12081" s="0" t="n">
        <v>3802702</v>
      </c>
      <c r="D12081" s="0" t="s">
        <v>40102</v>
      </c>
      <c r="E12081" s="0" t="s">
        <v>75</v>
      </c>
      <c r="F12081" s="0" t="s">
        <v>90</v>
      </c>
      <c r="G12081" s="0" t="s">
        <v>20</v>
      </c>
      <c r="H12081" s="0" t="n">
        <v>7</v>
      </c>
      <c r="I12081" s="0" t="s">
        <v>40103</v>
      </c>
      <c r="J12081" s="0" t="s">
        <v>40104</v>
      </c>
      <c r="K12081" s="0" t="s">
        <v>40105</v>
      </c>
      <c r="L12081" s="0" t="str">
        <f aca="false">HYPERLINK("https://www.ncbi.nlm.nih.gov/nuccore/CP000058.1?report=graph&amp;tracks=[key:gene_model_track,Options:GeneOnly]&amp;mk=3802683:3802702|offset_7|00cc00,3802656:3802675|offset_34|444444,3802608:3802627|offset_82|444444,3802582:3802601|offset_108|444444&amp;v=3802482:3802801&amp;c=444444", "offset 7")</f>
        <v>offset 7</v>
      </c>
    </row>
    <row r="12082" customFormat="false" ht="12.8" hidden="false" customHeight="false" outlineLevel="0" collapsed="false">
      <c r="A12082" s="0" t="s">
        <v>12</v>
      </c>
      <c r="B12082" s="0" t="n">
        <v>3802655</v>
      </c>
      <c r="C12082" s="0" t="n">
        <v>3802675</v>
      </c>
      <c r="D12082" s="0" t="s">
        <v>40102</v>
      </c>
      <c r="E12082" s="0" t="s">
        <v>75</v>
      </c>
      <c r="F12082" s="0" t="s">
        <v>90</v>
      </c>
      <c r="G12082" s="0" t="s">
        <v>32</v>
      </c>
      <c r="H12082" s="0" t="n">
        <v>34</v>
      </c>
      <c r="I12082" s="0" t="s">
        <v>40106</v>
      </c>
      <c r="J12082" s="0" t="s">
        <v>40107</v>
      </c>
      <c r="K12082" s="0" t="s">
        <v>40108</v>
      </c>
      <c r="L12082" s="0" t="str">
        <f aca="false">HYPERLINK("https://www.ncbi.nlm.nih.gov/nuccore/CP000058.1?report=graph&amp;tracks=[key:gene_model_track,Options:GeneOnly]&amp;mk=3802683:3802702|offset_7|444444,3802656:3802675|offset_34|00cc00,3802608:3802627|offset_82|444444,3802582:3802601|offset_108|444444&amp;v=3802482:3802801&amp;c=444444", "offset 34")</f>
        <v>offset 34</v>
      </c>
    </row>
    <row r="12083" customFormat="false" ht="12.8" hidden="false" customHeight="false" outlineLevel="0" collapsed="false">
      <c r="A12083" s="0" t="s">
        <v>12</v>
      </c>
      <c r="B12083" s="0" t="n">
        <v>3802607</v>
      </c>
      <c r="C12083" s="0" t="n">
        <v>3802627</v>
      </c>
      <c r="D12083" s="0" t="s">
        <v>40102</v>
      </c>
      <c r="E12083" s="0" t="s">
        <v>75</v>
      </c>
      <c r="F12083" s="0" t="s">
        <v>90</v>
      </c>
      <c r="G12083" s="0" t="s">
        <v>16</v>
      </c>
      <c r="H12083" s="0" t="n">
        <v>82</v>
      </c>
      <c r="I12083" s="0" t="s">
        <v>40109</v>
      </c>
      <c r="J12083" s="0" t="s">
        <v>40110</v>
      </c>
      <c r="K12083" s="0" t="s">
        <v>40111</v>
      </c>
      <c r="L12083" s="0" t="str">
        <f aca="false">HYPERLINK("https://www.ncbi.nlm.nih.gov/nuccore/CP000058.1?report=graph&amp;tracks=[key:gene_model_track,Options:GeneOnly]&amp;mk=3802683:3802702|offset_7|444444,3802656:3802675|offset_34|444444,3802608:3802627|offset_82|00cc00,3802582:3802601|offset_108|444444&amp;v=3802482:3802801&amp;c=444444", "offset 82")</f>
        <v>offset 82</v>
      </c>
    </row>
    <row r="12084" customFormat="false" ht="12.8" hidden="false" customHeight="false" outlineLevel="0" collapsed="false">
      <c r="A12084" s="0" t="s">
        <v>12</v>
      </c>
      <c r="B12084" s="0" t="n">
        <v>3802581</v>
      </c>
      <c r="C12084" s="0" t="n">
        <v>3802601</v>
      </c>
      <c r="D12084" s="0" t="s">
        <v>40102</v>
      </c>
      <c r="E12084" s="0" t="s">
        <v>75</v>
      </c>
      <c r="F12084" s="0" t="s">
        <v>90</v>
      </c>
      <c r="G12084" s="0" t="s">
        <v>16</v>
      </c>
      <c r="H12084" s="0" t="n">
        <v>108</v>
      </c>
      <c r="I12084" s="0" t="s">
        <v>40112</v>
      </c>
      <c r="J12084" s="0" t="s">
        <v>40113</v>
      </c>
      <c r="K12084" s="0" t="s">
        <v>40114</v>
      </c>
      <c r="L12084" s="0" t="str">
        <f aca="false">HYPERLINK("https://www.ncbi.nlm.nih.gov/nuccore/CP000058.1?report=graph&amp;tracks=[key:gene_model_track,Options:GeneOnly]&amp;mk=3802683:3802702|offset_7|444444,3802656:3802675|offset_34|444444,3802608:3802627|offset_82|444444,3802582:3802601|offset_108|00cc00&amp;v=3802482:3802801&amp;c=444444", "offset 108")</f>
        <v>offset 108</v>
      </c>
    </row>
    <row r="12085" customFormat="false" ht="12.8" hidden="false" customHeight="false" outlineLevel="0" collapsed="false">
      <c r="A12085" s="0" t="s">
        <v>12</v>
      </c>
      <c r="B12085" s="0" t="n">
        <v>3804894</v>
      </c>
      <c r="C12085" s="0" t="n">
        <v>3804914</v>
      </c>
      <c r="D12085" s="0" t="s">
        <v>40115</v>
      </c>
      <c r="E12085" s="0" t="s">
        <v>75</v>
      </c>
      <c r="F12085" s="0" t="s">
        <v>90</v>
      </c>
      <c r="G12085" s="0" t="s">
        <v>16</v>
      </c>
      <c r="H12085" s="0" t="n">
        <v>10</v>
      </c>
      <c r="I12085" s="0" t="s">
        <v>40116</v>
      </c>
      <c r="J12085" s="0" t="s">
        <v>40117</v>
      </c>
      <c r="K12085" s="0" t="s">
        <v>40118</v>
      </c>
      <c r="L12085" s="0" t="str">
        <f aca="false">HYPERLINK("https://www.ncbi.nlm.nih.gov/nuccore/CP000058.1?report=graph&amp;tracks=[key:gene_model_track,Options:GeneOnly]&amp;mk=3804895:3804914|offset_10|00cc00,3804865:3804884|offset_40|444444,3804820:3804839|offset_85|444444,3804793:3804812|offset_112|444444&amp;v=3804694:3805012&amp;c=444444", "offset 10")</f>
        <v>offset 10</v>
      </c>
    </row>
    <row r="12086" customFormat="false" ht="12.8" hidden="false" customHeight="false" outlineLevel="0" collapsed="false">
      <c r="A12086" s="0" t="s">
        <v>12</v>
      </c>
      <c r="B12086" s="0" t="n">
        <v>3804864</v>
      </c>
      <c r="C12086" s="0" t="n">
        <v>3804884</v>
      </c>
      <c r="D12086" s="0" t="s">
        <v>40115</v>
      </c>
      <c r="E12086" s="0" t="s">
        <v>75</v>
      </c>
      <c r="F12086" s="0" t="s">
        <v>90</v>
      </c>
      <c r="G12086" s="0" t="s">
        <v>16</v>
      </c>
      <c r="H12086" s="0" t="n">
        <v>40</v>
      </c>
      <c r="I12086" s="0" t="s">
        <v>40119</v>
      </c>
      <c r="J12086" s="0" t="s">
        <v>40120</v>
      </c>
      <c r="K12086" s="0" t="s">
        <v>40121</v>
      </c>
      <c r="L12086" s="0" t="str">
        <f aca="false">HYPERLINK("https://www.ncbi.nlm.nih.gov/nuccore/CP000058.1?report=graph&amp;tracks=[key:gene_model_track,Options:GeneOnly]&amp;mk=3804895:3804914|offset_10|444444,3804865:3804884|offset_40|00cc00,3804820:3804839|offset_85|444444,3804793:3804812|offset_112|444444&amp;v=3804694:3805012&amp;c=444444", "offset 40")</f>
        <v>offset 40</v>
      </c>
    </row>
    <row r="12087" customFormat="false" ht="12.8" hidden="false" customHeight="false" outlineLevel="0" collapsed="false">
      <c r="A12087" s="0" t="s">
        <v>12</v>
      </c>
      <c r="B12087" s="0" t="n">
        <v>3804819</v>
      </c>
      <c r="C12087" s="0" t="n">
        <v>3804839</v>
      </c>
      <c r="D12087" s="0" t="s">
        <v>40115</v>
      </c>
      <c r="E12087" s="0" t="s">
        <v>75</v>
      </c>
      <c r="F12087" s="0" t="s">
        <v>90</v>
      </c>
      <c r="G12087" s="0" t="s">
        <v>36</v>
      </c>
      <c r="H12087" s="0" t="n">
        <v>85</v>
      </c>
      <c r="I12087" s="0" t="s">
        <v>40122</v>
      </c>
      <c r="J12087" s="0" t="s">
        <v>40123</v>
      </c>
      <c r="K12087" s="0" t="s">
        <v>40124</v>
      </c>
      <c r="L12087" s="0" t="str">
        <f aca="false">HYPERLINK("https://www.ncbi.nlm.nih.gov/nuccore/CP000058.1?report=graph&amp;tracks=[key:gene_model_track,Options:GeneOnly]&amp;mk=3804895:3804914|offset_10|444444,3804865:3804884|offset_40|444444,3804820:3804839|offset_85|00cc00,3804793:3804812|offset_112|444444&amp;v=3804694:3805012&amp;c=444444", "offset 85")</f>
        <v>offset 85</v>
      </c>
    </row>
    <row r="12088" customFormat="false" ht="12.8" hidden="false" customHeight="false" outlineLevel="0" collapsed="false">
      <c r="A12088" s="0" t="s">
        <v>12</v>
      </c>
      <c r="B12088" s="0" t="n">
        <v>3804792</v>
      </c>
      <c r="C12088" s="0" t="n">
        <v>3804812</v>
      </c>
      <c r="D12088" s="0" t="s">
        <v>40115</v>
      </c>
      <c r="E12088" s="0" t="s">
        <v>75</v>
      </c>
      <c r="F12088" s="0" t="s">
        <v>90</v>
      </c>
      <c r="G12088" s="0" t="s">
        <v>36</v>
      </c>
      <c r="H12088" s="0" t="n">
        <v>112</v>
      </c>
      <c r="I12088" s="0" t="s">
        <v>40125</v>
      </c>
      <c r="J12088" s="0" t="s">
        <v>40126</v>
      </c>
      <c r="K12088" s="0" t="s">
        <v>40127</v>
      </c>
      <c r="L12088" s="0" t="str">
        <f aca="false">HYPERLINK("https://www.ncbi.nlm.nih.gov/nuccore/CP000058.1?report=graph&amp;tracks=[key:gene_model_track,Options:GeneOnly]&amp;mk=3804895:3804914|offset_10|444444,3804865:3804884|offset_40|444444,3804820:3804839|offset_85|444444,3804793:3804812|offset_112|00cc00&amp;v=3804694:3805012&amp;c=444444", "offset 112")</f>
        <v>offset 112</v>
      </c>
    </row>
    <row r="12089" customFormat="false" ht="12.8" hidden="false" customHeight="false" outlineLevel="0" collapsed="false">
      <c r="A12089" s="0" t="s">
        <v>12</v>
      </c>
      <c r="B12089" s="0" t="n">
        <v>3806400</v>
      </c>
      <c r="C12089" s="0" t="n">
        <v>3806420</v>
      </c>
      <c r="D12089" s="0" t="s">
        <v>40128</v>
      </c>
      <c r="E12089" s="0" t="s">
        <v>75</v>
      </c>
      <c r="F12089" s="0" t="s">
        <v>90</v>
      </c>
      <c r="G12089" s="0" t="s">
        <v>36</v>
      </c>
      <c r="H12089" s="0" t="n">
        <v>0</v>
      </c>
      <c r="I12089" s="0" t="s">
        <v>40129</v>
      </c>
      <c r="J12089" s="0" t="s">
        <v>40130</v>
      </c>
      <c r="K12089" s="0" t="s">
        <v>40131</v>
      </c>
      <c r="L12089" s="0" t="str">
        <f aca="false">HYPERLINK("https://www.ncbi.nlm.nih.gov/nuccore/CP000058.1?report=graph&amp;tracks=[key:gene_model_track,Options:GeneOnly]&amp;mk=3806401:3806420|offset_0|00cc00,3806376:3806395|offset_25|444444,3806343:3806362|offset_58|444444,3806322:3806341|offset_79|444444&amp;v=3806200:3806541&amp;c=444444", "offset 0")</f>
        <v>offset 0</v>
      </c>
    </row>
    <row r="12090" customFormat="false" ht="12.8" hidden="false" customHeight="false" outlineLevel="0" collapsed="false">
      <c r="A12090" s="0" t="s">
        <v>12</v>
      </c>
      <c r="B12090" s="0" t="n">
        <v>3806375</v>
      </c>
      <c r="C12090" s="0" t="n">
        <v>3806395</v>
      </c>
      <c r="D12090" s="0" t="s">
        <v>40128</v>
      </c>
      <c r="E12090" s="0" t="s">
        <v>75</v>
      </c>
      <c r="F12090" s="0" t="s">
        <v>90</v>
      </c>
      <c r="G12090" s="0" t="s">
        <v>16</v>
      </c>
      <c r="H12090" s="0" t="n">
        <v>25</v>
      </c>
      <c r="I12090" s="0" t="s">
        <v>40132</v>
      </c>
      <c r="J12090" s="0" t="s">
        <v>40133</v>
      </c>
      <c r="K12090" s="0" t="s">
        <v>40134</v>
      </c>
      <c r="L12090" s="0" t="str">
        <f aca="false">HYPERLINK("https://www.ncbi.nlm.nih.gov/nuccore/CP000058.1?report=graph&amp;tracks=[key:gene_model_track,Options:GeneOnly]&amp;mk=3806401:3806420|offset_0|444444,3806376:3806395|offset_25|00cc00,3806343:3806362|offset_58|444444,3806322:3806341|offset_79|444444&amp;v=3806200:3806541&amp;c=444444", "offset 25")</f>
        <v>offset 25</v>
      </c>
    </row>
    <row r="12091" customFormat="false" ht="12.8" hidden="false" customHeight="false" outlineLevel="0" collapsed="false">
      <c r="A12091" s="0" t="s">
        <v>12</v>
      </c>
      <c r="B12091" s="0" t="n">
        <v>3806342</v>
      </c>
      <c r="C12091" s="0" t="n">
        <v>3806362</v>
      </c>
      <c r="D12091" s="0" t="s">
        <v>40128</v>
      </c>
      <c r="E12091" s="0" t="s">
        <v>75</v>
      </c>
      <c r="F12091" s="0" t="s">
        <v>90</v>
      </c>
      <c r="G12091" s="0" t="s">
        <v>20</v>
      </c>
      <c r="H12091" s="0" t="n">
        <v>58</v>
      </c>
      <c r="I12091" s="0" t="s">
        <v>40135</v>
      </c>
      <c r="J12091" s="0" t="s">
        <v>40136</v>
      </c>
      <c r="K12091" s="0" t="s">
        <v>40137</v>
      </c>
      <c r="L12091" s="0" t="str">
        <f aca="false">HYPERLINK("https://www.ncbi.nlm.nih.gov/nuccore/CP000058.1?report=graph&amp;tracks=[key:gene_model_track,Options:GeneOnly]&amp;mk=3806401:3806420|offset_0|444444,3806376:3806395|offset_25|444444,3806343:3806362|offset_58|00cc00,3806322:3806341|offset_79|444444&amp;v=3806200:3806541&amp;c=444444", "offset 58")</f>
        <v>offset 58</v>
      </c>
    </row>
    <row r="12092" customFormat="false" ht="12.8" hidden="false" customHeight="false" outlineLevel="0" collapsed="false">
      <c r="A12092" s="0" t="s">
        <v>12</v>
      </c>
      <c r="B12092" s="0" t="n">
        <v>3806321</v>
      </c>
      <c r="C12092" s="0" t="n">
        <v>3806341</v>
      </c>
      <c r="D12092" s="0" t="s">
        <v>40128</v>
      </c>
      <c r="E12092" s="0" t="s">
        <v>75</v>
      </c>
      <c r="F12092" s="0" t="s">
        <v>90</v>
      </c>
      <c r="G12092" s="0" t="s">
        <v>20</v>
      </c>
      <c r="H12092" s="0" t="n">
        <v>79</v>
      </c>
      <c r="I12092" s="0" t="s">
        <v>40138</v>
      </c>
      <c r="J12092" s="0" t="s">
        <v>40139</v>
      </c>
      <c r="K12092" s="0" t="s">
        <v>40140</v>
      </c>
      <c r="L12092" s="0" t="str">
        <f aca="false">HYPERLINK("https://www.ncbi.nlm.nih.gov/nuccore/CP000058.1?report=graph&amp;tracks=[key:gene_model_track,Options:GeneOnly]&amp;mk=3806401:3806420|offset_0|444444,3806376:3806395|offset_25|444444,3806343:3806362|offset_58|444444,3806322:3806341|offset_79|00cc00&amp;v=3806200:3806541&amp;c=444444", "offset 79")</f>
        <v>offset 79</v>
      </c>
    </row>
    <row r="12093" customFormat="false" ht="12.8" hidden="false" customHeight="false" outlineLevel="0" collapsed="false">
      <c r="A12093" s="0" t="s">
        <v>12</v>
      </c>
      <c r="B12093" s="0" t="n">
        <v>3806570</v>
      </c>
      <c r="C12093" s="0" t="n">
        <v>3806590</v>
      </c>
      <c r="D12093" s="0" t="s">
        <v>40141</v>
      </c>
      <c r="E12093" s="0" t="s">
        <v>75</v>
      </c>
      <c r="F12093" s="0" t="s">
        <v>15</v>
      </c>
      <c r="G12093" s="0" t="s">
        <v>32</v>
      </c>
      <c r="H12093" s="0" t="n">
        <v>6</v>
      </c>
      <c r="I12093" s="0" t="s">
        <v>40142</v>
      </c>
      <c r="J12093" s="0" t="s">
        <v>40143</v>
      </c>
      <c r="K12093" s="0" t="s">
        <v>40144</v>
      </c>
      <c r="L12093" s="0" t="str">
        <f aca="false">HYPERLINK("https://www.ncbi.nlm.nih.gov/nuccore/CP000058.1?report=graph&amp;tracks=[key:gene_model_track,Options:GeneOnly]&amp;mk=3806571:3806590|offset_6|00cc00,3806617:3806636|offset_52|444444,3806637:3806656|offset_72|444444,3806713:3806732|offset_148|444444&amp;v=3806370:3806932&amp;c=444444", "offset 6")</f>
        <v>offset 6</v>
      </c>
    </row>
    <row r="12094" customFormat="false" ht="12.8" hidden="false" customHeight="false" outlineLevel="0" collapsed="false">
      <c r="A12094" s="0" t="s">
        <v>12</v>
      </c>
      <c r="B12094" s="0" t="n">
        <v>3806616</v>
      </c>
      <c r="C12094" s="0" t="n">
        <v>3806636</v>
      </c>
      <c r="D12094" s="0" t="s">
        <v>40141</v>
      </c>
      <c r="E12094" s="0" t="s">
        <v>75</v>
      </c>
      <c r="F12094" s="0" t="s">
        <v>15</v>
      </c>
      <c r="G12094" s="0" t="s">
        <v>36</v>
      </c>
      <c r="H12094" s="0" t="n">
        <v>52</v>
      </c>
      <c r="I12094" s="0" t="s">
        <v>40145</v>
      </c>
      <c r="J12094" s="0" t="s">
        <v>40146</v>
      </c>
      <c r="K12094" s="0" t="s">
        <v>40147</v>
      </c>
      <c r="L12094" s="0" t="str">
        <f aca="false">HYPERLINK("https://www.ncbi.nlm.nih.gov/nuccore/CP000058.1?report=graph&amp;tracks=[key:gene_model_track,Options:GeneOnly]&amp;mk=3806571:3806590|offset_6|444444,3806617:3806636|offset_52|00cc00,3806637:3806656|offset_72|444444,3806713:3806732|offset_148|444444&amp;v=3806370:3806932&amp;c=444444", "offset 52")</f>
        <v>offset 52</v>
      </c>
    </row>
    <row r="12095" customFormat="false" ht="12.8" hidden="false" customHeight="false" outlineLevel="0" collapsed="false">
      <c r="A12095" s="0" t="s">
        <v>12</v>
      </c>
      <c r="B12095" s="0" t="n">
        <v>3806636</v>
      </c>
      <c r="C12095" s="0" t="n">
        <v>3806656</v>
      </c>
      <c r="D12095" s="0" t="s">
        <v>40141</v>
      </c>
      <c r="E12095" s="0" t="s">
        <v>75</v>
      </c>
      <c r="F12095" s="0" t="s">
        <v>15</v>
      </c>
      <c r="G12095" s="0" t="s">
        <v>16</v>
      </c>
      <c r="H12095" s="0" t="n">
        <v>72</v>
      </c>
      <c r="I12095" s="0" t="s">
        <v>40148</v>
      </c>
      <c r="J12095" s="0" t="s">
        <v>40149</v>
      </c>
      <c r="K12095" s="0" t="s">
        <v>40150</v>
      </c>
      <c r="L12095" s="0" t="str">
        <f aca="false">HYPERLINK("https://www.ncbi.nlm.nih.gov/nuccore/CP000058.1?report=graph&amp;tracks=[key:gene_model_track,Options:GeneOnly]&amp;mk=3806571:3806590|offset_6|444444,3806617:3806636|offset_52|444444,3806637:3806656|offset_72|00cc00,3806713:3806732|offset_148|444444&amp;v=3806370:3806932&amp;c=444444", "offset 72")</f>
        <v>offset 72</v>
      </c>
    </row>
    <row r="12096" customFormat="false" ht="12.8" hidden="false" customHeight="false" outlineLevel="0" collapsed="false">
      <c r="A12096" s="0" t="s">
        <v>12</v>
      </c>
      <c r="B12096" s="0" t="n">
        <v>3806712</v>
      </c>
      <c r="C12096" s="0" t="n">
        <v>3806732</v>
      </c>
      <c r="D12096" s="0" t="s">
        <v>40141</v>
      </c>
      <c r="E12096" s="0" t="s">
        <v>75</v>
      </c>
      <c r="F12096" s="0" t="s">
        <v>15</v>
      </c>
      <c r="G12096" s="0" t="s">
        <v>32</v>
      </c>
      <c r="H12096" s="0" t="n">
        <v>148</v>
      </c>
      <c r="I12096" s="0" t="s">
        <v>40151</v>
      </c>
      <c r="J12096" s="0" t="s">
        <v>40152</v>
      </c>
      <c r="K12096" s="0" t="s">
        <v>40153</v>
      </c>
      <c r="L12096" s="0" t="str">
        <f aca="false">HYPERLINK("https://www.ncbi.nlm.nih.gov/nuccore/CP000058.1?report=graph&amp;tracks=[key:gene_model_track,Options:GeneOnly]&amp;mk=3806571:3806590|offset_6|444444,3806617:3806636|offset_52|444444,3806637:3806656|offset_72|444444,3806713:3806732|offset_148|00cc00&amp;v=3806370:3806932&amp;c=444444", "offset 148")</f>
        <v>offset 148</v>
      </c>
    </row>
    <row r="12097" customFormat="false" ht="12.8" hidden="false" customHeight="false" outlineLevel="0" collapsed="false">
      <c r="A12097" s="0" t="s">
        <v>12</v>
      </c>
      <c r="B12097" s="0" t="n">
        <v>3808758</v>
      </c>
      <c r="C12097" s="0" t="n">
        <v>3808778</v>
      </c>
      <c r="D12097" s="0" t="s">
        <v>40154</v>
      </c>
      <c r="E12097" s="0" t="s">
        <v>40155</v>
      </c>
      <c r="F12097" s="0" t="s">
        <v>90</v>
      </c>
      <c r="G12097" s="0" t="s">
        <v>32</v>
      </c>
      <c r="H12097" s="0" t="n">
        <v>39</v>
      </c>
      <c r="I12097" s="0" t="s">
        <v>40156</v>
      </c>
      <c r="J12097" s="0" t="s">
        <v>40157</v>
      </c>
      <c r="K12097" s="0" t="s">
        <v>40158</v>
      </c>
      <c r="L12097" s="0" t="str">
        <f aca="false">HYPERLINK("https://www.ncbi.nlm.nih.gov/nuccore/CP000058.1?report=graph&amp;tracks=[key:gene_model_track,Options:GeneOnly]&amp;mk=3808759:3808778|offset_39|00cc00,3808727:3808746|offset_71|444444,3808671:3808690|offset_127|444444,3808646:3808665|offset_152|444444&amp;v=3808558:3808865&amp;c=444444", "offset 39")</f>
        <v>offset 39</v>
      </c>
    </row>
    <row r="12098" customFormat="false" ht="12.8" hidden="false" customHeight="false" outlineLevel="0" collapsed="false">
      <c r="A12098" s="0" t="s">
        <v>12</v>
      </c>
      <c r="B12098" s="0" t="n">
        <v>3808726</v>
      </c>
      <c r="C12098" s="0" t="n">
        <v>3808746</v>
      </c>
      <c r="D12098" s="0" t="s">
        <v>40154</v>
      </c>
      <c r="E12098" s="0" t="s">
        <v>40155</v>
      </c>
      <c r="F12098" s="0" t="s">
        <v>90</v>
      </c>
      <c r="G12098" s="0" t="s">
        <v>20</v>
      </c>
      <c r="H12098" s="0" t="n">
        <v>71</v>
      </c>
      <c r="I12098" s="0" t="s">
        <v>40159</v>
      </c>
      <c r="J12098" s="0" t="s">
        <v>40160</v>
      </c>
      <c r="K12098" s="0" t="s">
        <v>40161</v>
      </c>
      <c r="L12098" s="0" t="str">
        <f aca="false">HYPERLINK("https://www.ncbi.nlm.nih.gov/nuccore/CP000058.1?report=graph&amp;tracks=[key:gene_model_track,Options:GeneOnly]&amp;mk=3808759:3808778|offset_39|444444,3808727:3808746|offset_71|00cc00,3808671:3808690|offset_127|444444,3808646:3808665|offset_152|444444&amp;v=3808558:3808865&amp;c=444444", "offset 71")</f>
        <v>offset 71</v>
      </c>
    </row>
    <row r="12099" customFormat="false" ht="12.8" hidden="false" customHeight="false" outlineLevel="0" collapsed="false">
      <c r="A12099" s="0" t="s">
        <v>12</v>
      </c>
      <c r="B12099" s="0" t="n">
        <v>3808670</v>
      </c>
      <c r="C12099" s="0" t="n">
        <v>3808690</v>
      </c>
      <c r="D12099" s="0" t="s">
        <v>40154</v>
      </c>
      <c r="E12099" s="0" t="s">
        <v>40155</v>
      </c>
      <c r="F12099" s="0" t="s">
        <v>90</v>
      </c>
      <c r="G12099" s="0" t="s">
        <v>16</v>
      </c>
      <c r="H12099" s="0" t="n">
        <v>127</v>
      </c>
      <c r="I12099" s="0" t="s">
        <v>40162</v>
      </c>
      <c r="J12099" s="0" t="s">
        <v>40163</v>
      </c>
      <c r="K12099" s="0" t="s">
        <v>40164</v>
      </c>
      <c r="L12099" s="0" t="str">
        <f aca="false">HYPERLINK("https://www.ncbi.nlm.nih.gov/nuccore/CP000058.1?report=graph&amp;tracks=[key:gene_model_track,Options:GeneOnly]&amp;mk=3808759:3808778|offset_39|444444,3808727:3808746|offset_71|444444,3808671:3808690|offset_127|00cc00,3808646:3808665|offset_152|444444&amp;v=3808558:3808865&amp;c=444444", "offset 127")</f>
        <v>offset 127</v>
      </c>
    </row>
    <row r="12100" customFormat="false" ht="12.8" hidden="false" customHeight="false" outlineLevel="0" collapsed="false">
      <c r="A12100" s="0" t="s">
        <v>12</v>
      </c>
      <c r="B12100" s="0" t="n">
        <v>3808645</v>
      </c>
      <c r="C12100" s="0" t="n">
        <v>3808665</v>
      </c>
      <c r="D12100" s="0" t="s">
        <v>40154</v>
      </c>
      <c r="E12100" s="0" t="s">
        <v>40155</v>
      </c>
      <c r="F12100" s="0" t="s">
        <v>90</v>
      </c>
      <c r="G12100" s="0" t="s">
        <v>36</v>
      </c>
      <c r="H12100" s="0" t="n">
        <v>152</v>
      </c>
      <c r="I12100" s="0" t="s">
        <v>40165</v>
      </c>
      <c r="J12100" s="0" t="s">
        <v>40166</v>
      </c>
      <c r="K12100" s="0" t="s">
        <v>40167</v>
      </c>
      <c r="L12100" s="0" t="str">
        <f aca="false">HYPERLINK("https://www.ncbi.nlm.nih.gov/nuccore/CP000058.1?report=graph&amp;tracks=[key:gene_model_track,Options:GeneOnly]&amp;mk=3808759:3808778|offset_39|444444,3808727:3808746|offset_71|444444,3808671:3808690|offset_127|444444,3808646:3808665|offset_152|00cc00&amp;v=3808558:3808865&amp;c=444444", "offset 152")</f>
        <v>offset 152</v>
      </c>
    </row>
    <row r="12101" customFormat="false" ht="12.8" hidden="false" customHeight="false" outlineLevel="0" collapsed="false">
      <c r="A12101" s="0" t="s">
        <v>12</v>
      </c>
      <c r="B12101" s="0" t="n">
        <v>3809469</v>
      </c>
      <c r="C12101" s="0" t="n">
        <v>3809489</v>
      </c>
      <c r="D12101" s="0" t="s">
        <v>40168</v>
      </c>
      <c r="E12101" s="0" t="s">
        <v>75</v>
      </c>
      <c r="F12101" s="0" t="s">
        <v>90</v>
      </c>
      <c r="G12101" s="0" t="s">
        <v>32</v>
      </c>
      <c r="H12101" s="0" t="n">
        <v>13</v>
      </c>
      <c r="I12101" s="0" t="s">
        <v>40169</v>
      </c>
      <c r="J12101" s="0" t="s">
        <v>40170</v>
      </c>
      <c r="K12101" s="0" t="s">
        <v>40171</v>
      </c>
      <c r="L12101" s="0" t="str">
        <f aca="false">HYPERLINK("https://www.ncbi.nlm.nih.gov/nuccore/CP000058.1?report=graph&amp;tracks=[key:gene_model_track,Options:GeneOnly]&amp;mk=3809470:3809489|offset_13|00cc00,3809430:3809449|offset_53|444444,3809407:3809426|offset_76|444444,3809374:3809393|offset_109|444444&amp;v=3809269:3809593&amp;c=444444", "offset 13")</f>
        <v>offset 13</v>
      </c>
    </row>
    <row r="12102" customFormat="false" ht="12.8" hidden="false" customHeight="false" outlineLevel="0" collapsed="false">
      <c r="A12102" s="0" t="s">
        <v>12</v>
      </c>
      <c r="B12102" s="0" t="n">
        <v>3809429</v>
      </c>
      <c r="C12102" s="0" t="n">
        <v>3809449</v>
      </c>
      <c r="D12102" s="0" t="s">
        <v>40168</v>
      </c>
      <c r="E12102" s="0" t="s">
        <v>75</v>
      </c>
      <c r="F12102" s="0" t="s">
        <v>90</v>
      </c>
      <c r="G12102" s="0" t="s">
        <v>36</v>
      </c>
      <c r="H12102" s="0" t="n">
        <v>53</v>
      </c>
      <c r="I12102" s="0" t="s">
        <v>40172</v>
      </c>
      <c r="J12102" s="0" t="s">
        <v>40173</v>
      </c>
      <c r="K12102" s="0" t="s">
        <v>40174</v>
      </c>
      <c r="L12102" s="0" t="str">
        <f aca="false">HYPERLINK("https://www.ncbi.nlm.nih.gov/nuccore/CP000058.1?report=graph&amp;tracks=[key:gene_model_track,Options:GeneOnly]&amp;mk=3809470:3809489|offset_13|444444,3809430:3809449|offset_53|00cc00,3809407:3809426|offset_76|444444,3809374:3809393|offset_109|444444&amp;v=3809269:3809593&amp;c=444444", "offset 53")</f>
        <v>offset 53</v>
      </c>
    </row>
    <row r="12103" customFormat="false" ht="12.8" hidden="false" customHeight="false" outlineLevel="0" collapsed="false">
      <c r="A12103" s="0" t="s">
        <v>12</v>
      </c>
      <c r="B12103" s="0" t="n">
        <v>3809406</v>
      </c>
      <c r="C12103" s="0" t="n">
        <v>3809426</v>
      </c>
      <c r="D12103" s="0" t="s">
        <v>40168</v>
      </c>
      <c r="E12103" s="0" t="s">
        <v>75</v>
      </c>
      <c r="F12103" s="0" t="s">
        <v>90</v>
      </c>
      <c r="G12103" s="0" t="s">
        <v>16</v>
      </c>
      <c r="H12103" s="0" t="n">
        <v>76</v>
      </c>
      <c r="I12103" s="0" t="s">
        <v>40175</v>
      </c>
      <c r="J12103" s="0" t="s">
        <v>40176</v>
      </c>
      <c r="K12103" s="0" t="s">
        <v>40177</v>
      </c>
      <c r="L12103" s="0" t="str">
        <f aca="false">HYPERLINK("https://www.ncbi.nlm.nih.gov/nuccore/CP000058.1?report=graph&amp;tracks=[key:gene_model_track,Options:GeneOnly]&amp;mk=3809470:3809489|offset_13|444444,3809430:3809449|offset_53|444444,3809407:3809426|offset_76|00cc00,3809374:3809393|offset_109|444444&amp;v=3809269:3809593&amp;c=444444", "offset 76")</f>
        <v>offset 76</v>
      </c>
    </row>
    <row r="12104" customFormat="false" ht="12.8" hidden="false" customHeight="false" outlineLevel="0" collapsed="false">
      <c r="A12104" s="0" t="s">
        <v>12</v>
      </c>
      <c r="B12104" s="0" t="n">
        <v>3809373</v>
      </c>
      <c r="C12104" s="0" t="n">
        <v>3809393</v>
      </c>
      <c r="D12104" s="0" t="s">
        <v>40168</v>
      </c>
      <c r="E12104" s="0" t="s">
        <v>75</v>
      </c>
      <c r="F12104" s="0" t="s">
        <v>90</v>
      </c>
      <c r="G12104" s="0" t="s">
        <v>16</v>
      </c>
      <c r="H12104" s="0" t="n">
        <v>109</v>
      </c>
      <c r="I12104" s="0" t="s">
        <v>40178</v>
      </c>
      <c r="J12104" s="0" t="s">
        <v>40179</v>
      </c>
      <c r="K12104" s="0" t="s">
        <v>40180</v>
      </c>
      <c r="L12104" s="0" t="str">
        <f aca="false">HYPERLINK("https://www.ncbi.nlm.nih.gov/nuccore/CP000058.1?report=graph&amp;tracks=[key:gene_model_track,Options:GeneOnly]&amp;mk=3809470:3809489|offset_13|444444,3809430:3809449|offset_53|444444,3809407:3809426|offset_76|444444,3809374:3809393|offset_109|00cc00&amp;v=3809269:3809593&amp;c=444444", "offset 109")</f>
        <v>offset 109</v>
      </c>
    </row>
    <row r="12105" customFormat="false" ht="12.8" hidden="false" customHeight="false" outlineLevel="0" collapsed="false">
      <c r="A12105" s="0" t="s">
        <v>12</v>
      </c>
      <c r="B12105" s="0" t="n">
        <v>3809827</v>
      </c>
      <c r="C12105" s="0" t="n">
        <v>3809847</v>
      </c>
      <c r="D12105" s="0" t="s">
        <v>40181</v>
      </c>
      <c r="E12105" s="0" t="s">
        <v>75</v>
      </c>
      <c r="F12105" s="0" t="s">
        <v>15</v>
      </c>
      <c r="G12105" s="0" t="s">
        <v>16</v>
      </c>
      <c r="H12105" s="0" t="n">
        <v>12</v>
      </c>
      <c r="I12105" s="0" t="s">
        <v>40182</v>
      </c>
      <c r="J12105" s="0" t="s">
        <v>40183</v>
      </c>
      <c r="K12105" s="0" t="s">
        <v>40184</v>
      </c>
      <c r="L12105" s="0" t="str">
        <f aca="false">HYPERLINK("https://www.ncbi.nlm.nih.gov/nuccore/CP000058.1?report=graph&amp;tracks=[key:gene_model_track,Options:GeneOnly]&amp;mk=3809828:3809847|offset_12|00cc00,3809862:3809881|offset_46|444444,3809886:3809905|offset_70|444444,3809908:3809927|offset_92|444444&amp;v=3809627:3810127&amp;c=444444", "offset 12")</f>
        <v>offset 12</v>
      </c>
    </row>
    <row r="12106" customFormat="false" ht="12.8" hidden="false" customHeight="false" outlineLevel="0" collapsed="false">
      <c r="A12106" s="0" t="s">
        <v>12</v>
      </c>
      <c r="B12106" s="0" t="n">
        <v>3809861</v>
      </c>
      <c r="C12106" s="0" t="n">
        <v>3809881</v>
      </c>
      <c r="D12106" s="0" t="s">
        <v>40181</v>
      </c>
      <c r="E12106" s="0" t="s">
        <v>75</v>
      </c>
      <c r="F12106" s="0" t="s">
        <v>15</v>
      </c>
      <c r="G12106" s="0" t="s">
        <v>16</v>
      </c>
      <c r="H12106" s="0" t="n">
        <v>46</v>
      </c>
      <c r="I12106" s="0" t="s">
        <v>40185</v>
      </c>
      <c r="J12106" s="0" t="s">
        <v>40186</v>
      </c>
      <c r="K12106" s="0" t="s">
        <v>40187</v>
      </c>
      <c r="L12106" s="0" t="str">
        <f aca="false">HYPERLINK("https://www.ncbi.nlm.nih.gov/nuccore/CP000058.1?report=graph&amp;tracks=[key:gene_model_track,Options:GeneOnly]&amp;mk=3809828:3809847|offset_12|444444,3809862:3809881|offset_46|00cc00,3809886:3809905|offset_70|444444,3809908:3809927|offset_92|444444&amp;v=3809627:3810127&amp;c=444444", "offset 46")</f>
        <v>offset 46</v>
      </c>
    </row>
    <row r="12107" customFormat="false" ht="12.8" hidden="false" customHeight="false" outlineLevel="0" collapsed="false">
      <c r="A12107" s="0" t="s">
        <v>12</v>
      </c>
      <c r="B12107" s="0" t="n">
        <v>3809885</v>
      </c>
      <c r="C12107" s="0" t="n">
        <v>3809905</v>
      </c>
      <c r="D12107" s="0" t="s">
        <v>40181</v>
      </c>
      <c r="E12107" s="0" t="s">
        <v>75</v>
      </c>
      <c r="F12107" s="0" t="s">
        <v>15</v>
      </c>
      <c r="G12107" s="0" t="s">
        <v>32</v>
      </c>
      <c r="H12107" s="0" t="n">
        <v>70</v>
      </c>
      <c r="I12107" s="0" t="s">
        <v>40188</v>
      </c>
      <c r="J12107" s="0" t="s">
        <v>40189</v>
      </c>
      <c r="K12107" s="0" t="s">
        <v>40190</v>
      </c>
      <c r="L12107" s="0" t="str">
        <f aca="false">HYPERLINK("https://www.ncbi.nlm.nih.gov/nuccore/CP000058.1?report=graph&amp;tracks=[key:gene_model_track,Options:GeneOnly]&amp;mk=3809828:3809847|offset_12|444444,3809862:3809881|offset_46|444444,3809886:3809905|offset_70|00cc00,3809908:3809927|offset_92|444444&amp;v=3809627:3810127&amp;c=444444", "offset 70")</f>
        <v>offset 70</v>
      </c>
    </row>
    <row r="12108" customFormat="false" ht="12.8" hidden="false" customHeight="false" outlineLevel="0" collapsed="false">
      <c r="A12108" s="0" t="s">
        <v>12</v>
      </c>
      <c r="B12108" s="0" t="n">
        <v>3809907</v>
      </c>
      <c r="C12108" s="0" t="n">
        <v>3809927</v>
      </c>
      <c r="D12108" s="0" t="s">
        <v>40181</v>
      </c>
      <c r="E12108" s="0" t="s">
        <v>75</v>
      </c>
      <c r="F12108" s="0" t="s">
        <v>15</v>
      </c>
      <c r="G12108" s="0" t="s">
        <v>16</v>
      </c>
      <c r="H12108" s="0" t="n">
        <v>92</v>
      </c>
      <c r="I12108" s="0" t="s">
        <v>40191</v>
      </c>
      <c r="J12108" s="0" t="s">
        <v>40192</v>
      </c>
      <c r="K12108" s="0" t="s">
        <v>40193</v>
      </c>
      <c r="L12108" s="0" t="str">
        <f aca="false">HYPERLINK("https://www.ncbi.nlm.nih.gov/nuccore/CP000058.1?report=graph&amp;tracks=[key:gene_model_track,Options:GeneOnly]&amp;mk=3809828:3809847|offset_12|444444,3809862:3809881|offset_46|444444,3809886:3809905|offset_70|444444,3809908:3809927|offset_92|00cc00&amp;v=3809627:3810127&amp;c=444444", "offset 92")</f>
        <v>offset 92</v>
      </c>
    </row>
    <row r="12109" customFormat="false" ht="12.8" hidden="false" customHeight="false" outlineLevel="0" collapsed="false">
      <c r="A12109" s="0" t="s">
        <v>12</v>
      </c>
      <c r="B12109" s="0" t="n">
        <v>3810678</v>
      </c>
      <c r="C12109" s="0" t="n">
        <v>3810698</v>
      </c>
      <c r="D12109" s="0" t="s">
        <v>40194</v>
      </c>
      <c r="E12109" s="0" t="s">
        <v>75</v>
      </c>
      <c r="F12109" s="0" t="s">
        <v>15</v>
      </c>
      <c r="G12109" s="0" t="s">
        <v>36</v>
      </c>
      <c r="H12109" s="0" t="n">
        <v>0</v>
      </c>
      <c r="I12109" s="0" t="s">
        <v>40195</v>
      </c>
      <c r="J12109" s="0" t="s">
        <v>40196</v>
      </c>
      <c r="K12109" s="0" t="s">
        <v>40197</v>
      </c>
      <c r="L12109" s="0" t="str">
        <f aca="false">HYPERLINK("https://www.ncbi.nlm.nih.gov/nuccore/CP000058.1?report=graph&amp;tracks=[key:gene_model_track,Options:GeneOnly]&amp;mk=3810679:3810698|offset_0|00cc00,3810703:3810722|offset_24|444444,3810724:3810743|offset_45|444444,3810749:3810768|offset_70|444444&amp;v=3810478:3810968&amp;c=444444", "offset 0")</f>
        <v>offset 0</v>
      </c>
    </row>
    <row r="12110" customFormat="false" ht="12.8" hidden="false" customHeight="false" outlineLevel="0" collapsed="false">
      <c r="A12110" s="0" t="s">
        <v>12</v>
      </c>
      <c r="B12110" s="0" t="n">
        <v>3810702</v>
      </c>
      <c r="C12110" s="0" t="n">
        <v>3810722</v>
      </c>
      <c r="D12110" s="0" t="s">
        <v>40194</v>
      </c>
      <c r="E12110" s="0" t="s">
        <v>75</v>
      </c>
      <c r="F12110" s="0" t="s">
        <v>15</v>
      </c>
      <c r="G12110" s="0" t="s">
        <v>20</v>
      </c>
      <c r="H12110" s="0" t="n">
        <v>24</v>
      </c>
      <c r="I12110" s="0" t="s">
        <v>40198</v>
      </c>
      <c r="J12110" s="0" t="s">
        <v>40199</v>
      </c>
      <c r="K12110" s="0" t="s">
        <v>40200</v>
      </c>
      <c r="L12110" s="0" t="str">
        <f aca="false">HYPERLINK("https://www.ncbi.nlm.nih.gov/nuccore/CP000058.1?report=graph&amp;tracks=[key:gene_model_track,Options:GeneOnly]&amp;mk=3810679:3810698|offset_0|444444,3810703:3810722|offset_24|00cc00,3810724:3810743|offset_45|444444,3810749:3810768|offset_70|444444&amp;v=3810478:3810968&amp;c=444444", "offset 24")</f>
        <v>offset 24</v>
      </c>
    </row>
    <row r="12111" customFormat="false" ht="12.8" hidden="false" customHeight="false" outlineLevel="0" collapsed="false">
      <c r="A12111" s="0" t="s">
        <v>12</v>
      </c>
      <c r="B12111" s="0" t="n">
        <v>3810723</v>
      </c>
      <c r="C12111" s="0" t="n">
        <v>3810743</v>
      </c>
      <c r="D12111" s="0" t="s">
        <v>40194</v>
      </c>
      <c r="E12111" s="0" t="s">
        <v>75</v>
      </c>
      <c r="F12111" s="0" t="s">
        <v>15</v>
      </c>
      <c r="G12111" s="0" t="s">
        <v>36</v>
      </c>
      <c r="H12111" s="0" t="n">
        <v>45</v>
      </c>
      <c r="I12111" s="0" t="s">
        <v>40201</v>
      </c>
      <c r="J12111" s="0" t="s">
        <v>40202</v>
      </c>
      <c r="K12111" s="0" t="s">
        <v>40203</v>
      </c>
      <c r="L12111" s="0" t="str">
        <f aca="false">HYPERLINK("https://www.ncbi.nlm.nih.gov/nuccore/CP000058.1?report=graph&amp;tracks=[key:gene_model_track,Options:GeneOnly]&amp;mk=3810679:3810698|offset_0|444444,3810703:3810722|offset_24|444444,3810724:3810743|offset_45|00cc00,3810749:3810768|offset_70|444444&amp;v=3810478:3810968&amp;c=444444", "offset 45")</f>
        <v>offset 45</v>
      </c>
    </row>
    <row r="12112" customFormat="false" ht="12.8" hidden="false" customHeight="false" outlineLevel="0" collapsed="false">
      <c r="A12112" s="0" t="s">
        <v>12</v>
      </c>
      <c r="B12112" s="0" t="n">
        <v>3810748</v>
      </c>
      <c r="C12112" s="0" t="n">
        <v>3810768</v>
      </c>
      <c r="D12112" s="0" t="s">
        <v>40194</v>
      </c>
      <c r="E12112" s="0" t="s">
        <v>75</v>
      </c>
      <c r="F12112" s="0" t="s">
        <v>15</v>
      </c>
      <c r="G12112" s="0" t="s">
        <v>16</v>
      </c>
      <c r="H12112" s="0" t="n">
        <v>70</v>
      </c>
      <c r="I12112" s="0" t="s">
        <v>40204</v>
      </c>
      <c r="J12112" s="0" t="s">
        <v>40205</v>
      </c>
      <c r="K12112" s="0" t="s">
        <v>40206</v>
      </c>
      <c r="L12112" s="0" t="str">
        <f aca="false">HYPERLINK("https://www.ncbi.nlm.nih.gov/nuccore/CP000058.1?report=graph&amp;tracks=[key:gene_model_track,Options:GeneOnly]&amp;mk=3810679:3810698|offset_0|444444,3810703:3810722|offset_24|444444,3810724:3810743|offset_45|444444,3810749:3810768|offset_70|00cc00&amp;v=3810478:3810968&amp;c=444444", "offset 70")</f>
        <v>offset 70</v>
      </c>
    </row>
    <row r="12113" customFormat="false" ht="12.8" hidden="false" customHeight="false" outlineLevel="0" collapsed="false">
      <c r="A12113" s="0" t="s">
        <v>12</v>
      </c>
      <c r="B12113" s="0" t="n">
        <v>3811925</v>
      </c>
      <c r="C12113" s="0" t="n">
        <v>3811945</v>
      </c>
      <c r="D12113" s="0" t="s">
        <v>40207</v>
      </c>
      <c r="E12113" s="0" t="s">
        <v>75</v>
      </c>
      <c r="F12113" s="0" t="s">
        <v>15</v>
      </c>
      <c r="G12113" s="0" t="s">
        <v>36</v>
      </c>
      <c r="H12113" s="0" t="n">
        <v>11</v>
      </c>
      <c r="I12113" s="0" t="s">
        <v>40208</v>
      </c>
      <c r="J12113" s="0" t="s">
        <v>40209</v>
      </c>
      <c r="K12113" s="0" t="s">
        <v>40210</v>
      </c>
      <c r="L12113" s="0" t="str">
        <f aca="false">HYPERLINK("https://www.ncbi.nlm.nih.gov/nuccore/CP000058.1?report=graph&amp;tracks=[key:gene_model_track,Options:GeneOnly]&amp;mk=3811926:3811945|offset_11|00cc00,3811946:3811965|offset_31|444444,3811977:3811996|offset_62|444444,3812003:3812022|offset_88|444444&amp;v=3811725:3812222&amp;c=444444", "offset 11")</f>
        <v>offset 11</v>
      </c>
    </row>
    <row r="12114" customFormat="false" ht="12.8" hidden="false" customHeight="false" outlineLevel="0" collapsed="false">
      <c r="A12114" s="0" t="s">
        <v>12</v>
      </c>
      <c r="B12114" s="0" t="n">
        <v>3811945</v>
      </c>
      <c r="C12114" s="0" t="n">
        <v>3811965</v>
      </c>
      <c r="D12114" s="0" t="s">
        <v>40207</v>
      </c>
      <c r="E12114" s="0" t="s">
        <v>75</v>
      </c>
      <c r="F12114" s="0" t="s">
        <v>15</v>
      </c>
      <c r="G12114" s="0" t="s">
        <v>32</v>
      </c>
      <c r="H12114" s="0" t="n">
        <v>31</v>
      </c>
      <c r="I12114" s="0" t="s">
        <v>40211</v>
      </c>
      <c r="J12114" s="0" t="s">
        <v>40212</v>
      </c>
      <c r="K12114" s="0" t="s">
        <v>40213</v>
      </c>
      <c r="L12114" s="0" t="str">
        <f aca="false">HYPERLINK("https://www.ncbi.nlm.nih.gov/nuccore/CP000058.1?report=graph&amp;tracks=[key:gene_model_track,Options:GeneOnly]&amp;mk=3811926:3811945|offset_11|444444,3811946:3811965|offset_31|00cc00,3811977:3811996|offset_62|444444,3812003:3812022|offset_88|444444&amp;v=3811725:3812222&amp;c=444444", "offset 31")</f>
        <v>offset 31</v>
      </c>
    </row>
    <row r="12115" customFormat="false" ht="12.8" hidden="false" customHeight="false" outlineLevel="0" collapsed="false">
      <c r="A12115" s="0" t="s">
        <v>12</v>
      </c>
      <c r="B12115" s="0" t="n">
        <v>3811976</v>
      </c>
      <c r="C12115" s="0" t="n">
        <v>3811996</v>
      </c>
      <c r="D12115" s="0" t="s">
        <v>40207</v>
      </c>
      <c r="E12115" s="0" t="s">
        <v>75</v>
      </c>
      <c r="F12115" s="0" t="s">
        <v>15</v>
      </c>
      <c r="G12115" s="0" t="s">
        <v>16</v>
      </c>
      <c r="H12115" s="0" t="n">
        <v>62</v>
      </c>
      <c r="I12115" s="0" t="s">
        <v>40214</v>
      </c>
      <c r="J12115" s="0" t="s">
        <v>40215</v>
      </c>
      <c r="K12115" s="0" t="s">
        <v>40216</v>
      </c>
      <c r="L12115" s="0" t="str">
        <f aca="false">HYPERLINK("https://www.ncbi.nlm.nih.gov/nuccore/CP000058.1?report=graph&amp;tracks=[key:gene_model_track,Options:GeneOnly]&amp;mk=3811926:3811945|offset_11|444444,3811946:3811965|offset_31|444444,3811977:3811996|offset_62|00cc00,3812003:3812022|offset_88|444444&amp;v=3811725:3812222&amp;c=444444", "offset 62")</f>
        <v>offset 62</v>
      </c>
    </row>
    <row r="12116" customFormat="false" ht="12.8" hidden="false" customHeight="false" outlineLevel="0" collapsed="false">
      <c r="A12116" s="0" t="s">
        <v>12</v>
      </c>
      <c r="B12116" s="0" t="n">
        <v>3812002</v>
      </c>
      <c r="C12116" s="0" t="n">
        <v>3812022</v>
      </c>
      <c r="D12116" s="0" t="s">
        <v>40207</v>
      </c>
      <c r="E12116" s="0" t="s">
        <v>75</v>
      </c>
      <c r="F12116" s="0" t="s">
        <v>15</v>
      </c>
      <c r="G12116" s="0" t="s">
        <v>16</v>
      </c>
      <c r="H12116" s="0" t="n">
        <v>88</v>
      </c>
      <c r="I12116" s="0" t="s">
        <v>40217</v>
      </c>
      <c r="J12116" s="0" t="s">
        <v>40218</v>
      </c>
      <c r="K12116" s="0" t="s">
        <v>40219</v>
      </c>
      <c r="L12116" s="0" t="str">
        <f aca="false">HYPERLINK("https://www.ncbi.nlm.nih.gov/nuccore/CP000058.1?report=graph&amp;tracks=[key:gene_model_track,Options:GeneOnly]&amp;mk=3811926:3811945|offset_11|444444,3811946:3811965|offset_31|444444,3811977:3811996|offset_62|444444,3812003:3812022|offset_88|00cc00&amp;v=3811725:3812222&amp;c=444444", "offset 88")</f>
        <v>offset 88</v>
      </c>
    </row>
    <row r="12117" customFormat="false" ht="12.8" hidden="false" customHeight="false" outlineLevel="0" collapsed="false">
      <c r="A12117" s="0" t="s">
        <v>12</v>
      </c>
      <c r="B12117" s="0" t="n">
        <v>3813266</v>
      </c>
      <c r="C12117" s="0" t="n">
        <v>3813286</v>
      </c>
      <c r="D12117" s="0" t="s">
        <v>40220</v>
      </c>
      <c r="E12117" s="0" t="s">
        <v>75</v>
      </c>
      <c r="F12117" s="0" t="s">
        <v>15</v>
      </c>
      <c r="G12117" s="0" t="s">
        <v>36</v>
      </c>
      <c r="H12117" s="0" t="n">
        <v>0</v>
      </c>
      <c r="I12117" s="0" t="s">
        <v>40221</v>
      </c>
      <c r="J12117" s="0" t="s">
        <v>40222</v>
      </c>
      <c r="K12117" s="0" t="s">
        <v>40223</v>
      </c>
      <c r="L12117" s="0" t="str">
        <f aca="false">HYPERLINK("https://www.ncbi.nlm.nih.gov/nuccore/CP000058.1?report=graph&amp;tracks=[key:gene_model_track,Options:GeneOnly]&amp;mk=3813267:3813286|offset_0|00cc00,3813301:3813320|offset_34|444444,3813321:3813340|offset_54|444444,3813343:3813362|offset_76|444444&amp;v=3813066:3813562&amp;c=444444", "offset 0")</f>
        <v>offset 0</v>
      </c>
    </row>
    <row r="12118" customFormat="false" ht="12.8" hidden="false" customHeight="false" outlineLevel="0" collapsed="false">
      <c r="A12118" s="0" t="s">
        <v>12</v>
      </c>
      <c r="B12118" s="0" t="n">
        <v>3813300</v>
      </c>
      <c r="C12118" s="0" t="n">
        <v>3813320</v>
      </c>
      <c r="D12118" s="0" t="s">
        <v>40220</v>
      </c>
      <c r="E12118" s="0" t="s">
        <v>75</v>
      </c>
      <c r="F12118" s="0" t="s">
        <v>15</v>
      </c>
      <c r="G12118" s="0" t="s">
        <v>36</v>
      </c>
      <c r="H12118" s="0" t="n">
        <v>34</v>
      </c>
      <c r="I12118" s="0" t="s">
        <v>40224</v>
      </c>
      <c r="J12118" s="0" t="s">
        <v>40225</v>
      </c>
      <c r="K12118" s="0" t="s">
        <v>40226</v>
      </c>
      <c r="L12118" s="0" t="str">
        <f aca="false">HYPERLINK("https://www.ncbi.nlm.nih.gov/nuccore/CP000058.1?report=graph&amp;tracks=[key:gene_model_track,Options:GeneOnly]&amp;mk=3813267:3813286|offset_0|444444,3813301:3813320|offset_34|00cc00,3813321:3813340|offset_54|444444,3813343:3813362|offset_76|444444&amp;v=3813066:3813562&amp;c=444444", "offset 34")</f>
        <v>offset 34</v>
      </c>
    </row>
    <row r="12119" customFormat="false" ht="12.8" hidden="false" customHeight="false" outlineLevel="0" collapsed="false">
      <c r="A12119" s="0" t="s">
        <v>12</v>
      </c>
      <c r="B12119" s="0" t="n">
        <v>3813320</v>
      </c>
      <c r="C12119" s="0" t="n">
        <v>3813340</v>
      </c>
      <c r="D12119" s="0" t="s">
        <v>40220</v>
      </c>
      <c r="E12119" s="0" t="s">
        <v>75</v>
      </c>
      <c r="F12119" s="0" t="s">
        <v>15</v>
      </c>
      <c r="G12119" s="0" t="s">
        <v>32</v>
      </c>
      <c r="H12119" s="0" t="n">
        <v>54</v>
      </c>
      <c r="I12119" s="0" t="s">
        <v>40227</v>
      </c>
      <c r="J12119" s="0" t="s">
        <v>40228</v>
      </c>
      <c r="K12119" s="0" t="s">
        <v>40229</v>
      </c>
      <c r="L12119" s="0" t="str">
        <f aca="false">HYPERLINK("https://www.ncbi.nlm.nih.gov/nuccore/CP000058.1?report=graph&amp;tracks=[key:gene_model_track,Options:GeneOnly]&amp;mk=3813267:3813286|offset_0|444444,3813301:3813320|offset_34|444444,3813321:3813340|offset_54|00cc00,3813343:3813362|offset_76|444444&amp;v=3813066:3813562&amp;c=444444", "offset 54")</f>
        <v>offset 54</v>
      </c>
    </row>
    <row r="12120" customFormat="false" ht="12.8" hidden="false" customHeight="false" outlineLevel="0" collapsed="false">
      <c r="A12120" s="0" t="s">
        <v>12</v>
      </c>
      <c r="B12120" s="0" t="n">
        <v>3813342</v>
      </c>
      <c r="C12120" s="0" t="n">
        <v>3813362</v>
      </c>
      <c r="D12120" s="0" t="s">
        <v>40220</v>
      </c>
      <c r="E12120" s="0" t="s">
        <v>75</v>
      </c>
      <c r="F12120" s="0" t="s">
        <v>15</v>
      </c>
      <c r="G12120" s="0" t="s">
        <v>16</v>
      </c>
      <c r="H12120" s="0" t="n">
        <v>76</v>
      </c>
      <c r="I12120" s="0" t="s">
        <v>40230</v>
      </c>
      <c r="J12120" s="0" t="s">
        <v>40231</v>
      </c>
      <c r="K12120" s="0" t="s">
        <v>40232</v>
      </c>
      <c r="L12120" s="0" t="str">
        <f aca="false">HYPERLINK("https://www.ncbi.nlm.nih.gov/nuccore/CP000058.1?report=graph&amp;tracks=[key:gene_model_track,Options:GeneOnly]&amp;mk=3813267:3813286|offset_0|444444,3813301:3813320|offset_34|444444,3813321:3813340|offset_54|444444,3813343:3813362|offset_76|00cc00&amp;v=3813066:3813562&amp;c=444444", "offset 76")</f>
        <v>offset 76</v>
      </c>
    </row>
    <row r="12121" customFormat="false" ht="12.8" hidden="false" customHeight="false" outlineLevel="0" collapsed="false">
      <c r="A12121" s="0" t="s">
        <v>12</v>
      </c>
      <c r="B12121" s="0" t="n">
        <v>3816299</v>
      </c>
      <c r="C12121" s="0" t="n">
        <v>3816319</v>
      </c>
      <c r="D12121" s="0" t="s">
        <v>40233</v>
      </c>
      <c r="E12121" s="0" t="s">
        <v>75</v>
      </c>
      <c r="F12121" s="0" t="s">
        <v>90</v>
      </c>
      <c r="G12121" s="0" t="s">
        <v>16</v>
      </c>
      <c r="H12121" s="0" t="n">
        <v>10</v>
      </c>
      <c r="I12121" s="0" t="s">
        <v>40234</v>
      </c>
      <c r="J12121" s="0" t="s">
        <v>40235</v>
      </c>
      <c r="K12121" s="0" t="s">
        <v>40236</v>
      </c>
      <c r="L12121" s="0" t="str">
        <f aca="false">HYPERLINK("https://www.ncbi.nlm.nih.gov/nuccore/CP000058.1?report=graph&amp;tracks=[key:gene_model_track,Options:GeneOnly]&amp;mk=3816300:3816319|offset_10|00cc00,3816252:3816271|offset_58|444444,3816222:3816241|offset_88|444444,3816195:3816214|offset_115|444444&amp;v=3816099:3816414&amp;c=444444", "offset 10")</f>
        <v>offset 10</v>
      </c>
    </row>
    <row r="12122" customFormat="false" ht="12.8" hidden="false" customHeight="false" outlineLevel="0" collapsed="false">
      <c r="A12122" s="0" t="s">
        <v>12</v>
      </c>
      <c r="B12122" s="0" t="n">
        <v>3816251</v>
      </c>
      <c r="C12122" s="0" t="n">
        <v>3816271</v>
      </c>
      <c r="D12122" s="0" t="s">
        <v>40233</v>
      </c>
      <c r="E12122" s="0" t="s">
        <v>75</v>
      </c>
      <c r="F12122" s="0" t="s">
        <v>90</v>
      </c>
      <c r="G12122" s="0" t="s">
        <v>32</v>
      </c>
      <c r="H12122" s="0" t="n">
        <v>58</v>
      </c>
      <c r="I12122" s="0" t="s">
        <v>40237</v>
      </c>
      <c r="J12122" s="0" t="s">
        <v>40238</v>
      </c>
      <c r="K12122" s="0" t="s">
        <v>40239</v>
      </c>
      <c r="L12122" s="0" t="str">
        <f aca="false">HYPERLINK("https://www.ncbi.nlm.nih.gov/nuccore/CP000058.1?report=graph&amp;tracks=[key:gene_model_track,Options:GeneOnly]&amp;mk=3816300:3816319|offset_10|444444,3816252:3816271|offset_58|00cc00,3816222:3816241|offset_88|444444,3816195:3816214|offset_115|444444&amp;v=3816099:3816414&amp;c=444444", "offset 58")</f>
        <v>offset 58</v>
      </c>
    </row>
    <row r="12123" customFormat="false" ht="12.8" hidden="false" customHeight="false" outlineLevel="0" collapsed="false">
      <c r="A12123" s="0" t="s">
        <v>12</v>
      </c>
      <c r="B12123" s="0" t="n">
        <v>3816221</v>
      </c>
      <c r="C12123" s="0" t="n">
        <v>3816241</v>
      </c>
      <c r="D12123" s="0" t="s">
        <v>40233</v>
      </c>
      <c r="E12123" s="0" t="s">
        <v>75</v>
      </c>
      <c r="F12123" s="0" t="s">
        <v>90</v>
      </c>
      <c r="G12123" s="0" t="s">
        <v>20</v>
      </c>
      <c r="H12123" s="0" t="n">
        <v>88</v>
      </c>
      <c r="I12123" s="0" t="s">
        <v>40240</v>
      </c>
      <c r="J12123" s="0" t="s">
        <v>40241</v>
      </c>
      <c r="K12123" s="0" t="s">
        <v>40242</v>
      </c>
      <c r="L12123" s="0" t="str">
        <f aca="false">HYPERLINK("https://www.ncbi.nlm.nih.gov/nuccore/CP000058.1?report=graph&amp;tracks=[key:gene_model_track,Options:GeneOnly]&amp;mk=3816300:3816319|offset_10|444444,3816252:3816271|offset_58|444444,3816222:3816241|offset_88|00cc00,3816195:3816214|offset_115|444444&amp;v=3816099:3816414&amp;c=444444", "offset 88")</f>
        <v>offset 88</v>
      </c>
    </row>
    <row r="12124" customFormat="false" ht="12.8" hidden="false" customHeight="false" outlineLevel="0" collapsed="false">
      <c r="A12124" s="0" t="s">
        <v>12</v>
      </c>
      <c r="B12124" s="0" t="n">
        <v>3816194</v>
      </c>
      <c r="C12124" s="0" t="n">
        <v>3816214</v>
      </c>
      <c r="D12124" s="0" t="s">
        <v>40233</v>
      </c>
      <c r="E12124" s="0" t="s">
        <v>75</v>
      </c>
      <c r="F12124" s="0" t="s">
        <v>90</v>
      </c>
      <c r="G12124" s="0" t="s">
        <v>36</v>
      </c>
      <c r="H12124" s="0" t="n">
        <v>115</v>
      </c>
      <c r="I12124" s="0" t="s">
        <v>40243</v>
      </c>
      <c r="J12124" s="0" t="s">
        <v>40244</v>
      </c>
      <c r="K12124" s="0" t="s">
        <v>40245</v>
      </c>
      <c r="L12124" s="0" t="str">
        <f aca="false">HYPERLINK("https://www.ncbi.nlm.nih.gov/nuccore/CP000058.1?report=graph&amp;tracks=[key:gene_model_track,Options:GeneOnly]&amp;mk=3816300:3816319|offset_10|444444,3816252:3816271|offset_58|444444,3816222:3816241|offset_88|444444,3816195:3816214|offset_115|00cc00&amp;v=3816099:3816414&amp;c=444444", "offset 115")</f>
        <v>offset 115</v>
      </c>
    </row>
    <row r="12125" customFormat="false" ht="12.8" hidden="false" customHeight="false" outlineLevel="0" collapsed="false">
      <c r="A12125" s="0" t="s">
        <v>12</v>
      </c>
      <c r="B12125" s="0" t="n">
        <v>3817039</v>
      </c>
      <c r="C12125" s="0" t="n">
        <v>3817059</v>
      </c>
      <c r="D12125" s="0" t="s">
        <v>40246</v>
      </c>
      <c r="E12125" s="0" t="s">
        <v>75</v>
      </c>
      <c r="F12125" s="0" t="s">
        <v>90</v>
      </c>
      <c r="G12125" s="0" t="s">
        <v>36</v>
      </c>
      <c r="H12125" s="0" t="n">
        <v>10</v>
      </c>
      <c r="I12125" s="0" t="s">
        <v>40247</v>
      </c>
      <c r="J12125" s="0" t="s">
        <v>40248</v>
      </c>
      <c r="K12125" s="0" t="s">
        <v>40249</v>
      </c>
      <c r="L12125" s="0" t="str">
        <f aca="false">HYPERLINK("https://www.ncbi.nlm.nih.gov/nuccore/CP000058.1?report=graph&amp;tracks=[key:gene_model_track,Options:GeneOnly]&amp;mk=3817040:3817059|offset_10|00cc00,3817020:3817039|offset_30|444444,3816939:3816958|offset_111|444444,3816918:3816937|offset_132|444444&amp;v=3816839:3817137&amp;c=444444", "offset 10")</f>
        <v>offset 10</v>
      </c>
    </row>
    <row r="12126" customFormat="false" ht="12.8" hidden="false" customHeight="false" outlineLevel="0" collapsed="false">
      <c r="A12126" s="0" t="s">
        <v>12</v>
      </c>
      <c r="B12126" s="0" t="n">
        <v>3817019</v>
      </c>
      <c r="C12126" s="0" t="n">
        <v>3817039</v>
      </c>
      <c r="D12126" s="0" t="s">
        <v>40246</v>
      </c>
      <c r="E12126" s="0" t="s">
        <v>75</v>
      </c>
      <c r="F12126" s="0" t="s">
        <v>90</v>
      </c>
      <c r="G12126" s="0" t="s">
        <v>16</v>
      </c>
      <c r="H12126" s="0" t="n">
        <v>30</v>
      </c>
      <c r="I12126" s="0" t="s">
        <v>40250</v>
      </c>
      <c r="J12126" s="0" t="s">
        <v>40251</v>
      </c>
      <c r="K12126" s="0" t="s">
        <v>40252</v>
      </c>
      <c r="L12126" s="0" t="str">
        <f aca="false">HYPERLINK("https://www.ncbi.nlm.nih.gov/nuccore/CP000058.1?report=graph&amp;tracks=[key:gene_model_track,Options:GeneOnly]&amp;mk=3817040:3817059|offset_10|444444,3817020:3817039|offset_30|00cc00,3816939:3816958|offset_111|444444,3816918:3816937|offset_132|444444&amp;v=3816839:3817137&amp;c=444444", "offset 30")</f>
        <v>offset 30</v>
      </c>
    </row>
    <row r="12127" customFormat="false" ht="12.8" hidden="false" customHeight="false" outlineLevel="0" collapsed="false">
      <c r="A12127" s="0" t="s">
        <v>12</v>
      </c>
      <c r="B12127" s="0" t="n">
        <v>3816938</v>
      </c>
      <c r="C12127" s="0" t="n">
        <v>3816958</v>
      </c>
      <c r="D12127" s="0" t="s">
        <v>40246</v>
      </c>
      <c r="E12127" s="0" t="s">
        <v>75</v>
      </c>
      <c r="F12127" s="0" t="s">
        <v>90</v>
      </c>
      <c r="G12127" s="0" t="s">
        <v>32</v>
      </c>
      <c r="H12127" s="0" t="n">
        <v>111</v>
      </c>
      <c r="I12127" s="0" t="s">
        <v>40253</v>
      </c>
      <c r="J12127" s="0" t="s">
        <v>40254</v>
      </c>
      <c r="K12127" s="0" t="s">
        <v>40255</v>
      </c>
      <c r="L12127" s="0" t="str">
        <f aca="false">HYPERLINK("https://www.ncbi.nlm.nih.gov/nuccore/CP000058.1?report=graph&amp;tracks=[key:gene_model_track,Options:GeneOnly]&amp;mk=3817040:3817059|offset_10|444444,3817020:3817039|offset_30|444444,3816939:3816958|offset_111|00cc00,3816918:3816937|offset_132|444444&amp;v=3816839:3817137&amp;c=444444", "offset 111")</f>
        <v>offset 111</v>
      </c>
    </row>
    <row r="12128" customFormat="false" ht="12.8" hidden="false" customHeight="false" outlineLevel="0" collapsed="false">
      <c r="A12128" s="0" t="s">
        <v>12</v>
      </c>
      <c r="B12128" s="0" t="n">
        <v>3816917</v>
      </c>
      <c r="C12128" s="0" t="n">
        <v>3816937</v>
      </c>
      <c r="D12128" s="0" t="s">
        <v>40246</v>
      </c>
      <c r="E12128" s="0" t="s">
        <v>75</v>
      </c>
      <c r="F12128" s="0" t="s">
        <v>90</v>
      </c>
      <c r="G12128" s="0" t="s">
        <v>36</v>
      </c>
      <c r="H12128" s="0" t="n">
        <v>132</v>
      </c>
      <c r="I12128" s="0" t="s">
        <v>40256</v>
      </c>
      <c r="J12128" s="0" t="s">
        <v>40257</v>
      </c>
      <c r="K12128" s="0" t="s">
        <v>40258</v>
      </c>
      <c r="L12128" s="0" t="str">
        <f aca="false">HYPERLINK("https://www.ncbi.nlm.nih.gov/nuccore/CP000058.1?report=graph&amp;tracks=[key:gene_model_track,Options:GeneOnly]&amp;mk=3817040:3817059|offset_10|444444,3817020:3817039|offset_30|444444,3816939:3816958|offset_111|444444,3816918:3816937|offset_132|00cc00&amp;v=3816839:3817137&amp;c=444444", "offset 132")</f>
        <v>offset 132</v>
      </c>
    </row>
    <row r="12129" customFormat="false" ht="12.8" hidden="false" customHeight="false" outlineLevel="0" collapsed="false">
      <c r="A12129" s="0" t="s">
        <v>12</v>
      </c>
      <c r="B12129" s="0" t="n">
        <v>3817727</v>
      </c>
      <c r="C12129" s="0" t="n">
        <v>3817747</v>
      </c>
      <c r="D12129" s="0" t="s">
        <v>40259</v>
      </c>
      <c r="E12129" s="0" t="s">
        <v>75</v>
      </c>
      <c r="F12129" s="0" t="s">
        <v>90</v>
      </c>
      <c r="G12129" s="0" t="s">
        <v>16</v>
      </c>
      <c r="H12129" s="0" t="n">
        <v>0</v>
      </c>
      <c r="I12129" s="0" t="s">
        <v>40260</v>
      </c>
      <c r="J12129" s="0" t="s">
        <v>40261</v>
      </c>
      <c r="K12129" s="0" t="s">
        <v>40262</v>
      </c>
      <c r="L12129" s="0" t="str">
        <f aca="false">HYPERLINK("https://www.ncbi.nlm.nih.gov/nuccore/CP000058.1?report=graph&amp;tracks=[key:gene_model_track,Options:GeneOnly]&amp;mk=3817728:3817747|offset_0|00cc00,3817696:3817715|offset_32|444444,3817638:3817657|offset_90|444444,3817607:3817626|offset_121|444444&amp;v=3817527:3817826&amp;c=444444", "offset 0")</f>
        <v>offset 0</v>
      </c>
    </row>
    <row r="12130" customFormat="false" ht="12.8" hidden="false" customHeight="false" outlineLevel="0" collapsed="false">
      <c r="A12130" s="0" t="s">
        <v>12</v>
      </c>
      <c r="B12130" s="0" t="n">
        <v>3817695</v>
      </c>
      <c r="C12130" s="0" t="n">
        <v>3817715</v>
      </c>
      <c r="D12130" s="0" t="s">
        <v>40259</v>
      </c>
      <c r="E12130" s="0" t="s">
        <v>75</v>
      </c>
      <c r="F12130" s="0" t="s">
        <v>90</v>
      </c>
      <c r="G12130" s="0" t="s">
        <v>20</v>
      </c>
      <c r="H12130" s="0" t="n">
        <v>32</v>
      </c>
      <c r="I12130" s="0" t="s">
        <v>40263</v>
      </c>
      <c r="J12130" s="0" t="s">
        <v>40264</v>
      </c>
      <c r="K12130" s="0" t="s">
        <v>40265</v>
      </c>
      <c r="L12130" s="0" t="str">
        <f aca="false">HYPERLINK("https://www.ncbi.nlm.nih.gov/nuccore/CP000058.1?report=graph&amp;tracks=[key:gene_model_track,Options:GeneOnly]&amp;mk=3817728:3817747|offset_0|444444,3817696:3817715|offset_32|00cc00,3817638:3817657|offset_90|444444,3817607:3817626|offset_121|444444&amp;v=3817527:3817826&amp;c=444444", "offset 32")</f>
        <v>offset 32</v>
      </c>
    </row>
    <row r="12131" customFormat="false" ht="12.8" hidden="false" customHeight="false" outlineLevel="0" collapsed="false">
      <c r="A12131" s="0" t="s">
        <v>12</v>
      </c>
      <c r="B12131" s="0" t="n">
        <v>3817637</v>
      </c>
      <c r="C12131" s="0" t="n">
        <v>3817657</v>
      </c>
      <c r="D12131" s="0" t="s">
        <v>40259</v>
      </c>
      <c r="E12131" s="0" t="s">
        <v>75</v>
      </c>
      <c r="F12131" s="0" t="s">
        <v>90</v>
      </c>
      <c r="G12131" s="0" t="s">
        <v>36</v>
      </c>
      <c r="H12131" s="0" t="n">
        <v>90</v>
      </c>
      <c r="I12131" s="0" t="s">
        <v>40266</v>
      </c>
      <c r="J12131" s="0" t="s">
        <v>40267</v>
      </c>
      <c r="K12131" s="0" t="s">
        <v>40268</v>
      </c>
      <c r="L12131" s="0" t="str">
        <f aca="false">HYPERLINK("https://www.ncbi.nlm.nih.gov/nuccore/CP000058.1?report=graph&amp;tracks=[key:gene_model_track,Options:GeneOnly]&amp;mk=3817728:3817747|offset_0|444444,3817696:3817715|offset_32|444444,3817638:3817657|offset_90|00cc00,3817607:3817626|offset_121|444444&amp;v=3817527:3817826&amp;c=444444", "offset 90")</f>
        <v>offset 90</v>
      </c>
    </row>
    <row r="12132" customFormat="false" ht="12.8" hidden="false" customHeight="false" outlineLevel="0" collapsed="false">
      <c r="A12132" s="0" t="s">
        <v>12</v>
      </c>
      <c r="B12132" s="0" t="n">
        <v>3817606</v>
      </c>
      <c r="C12132" s="0" t="n">
        <v>3817626</v>
      </c>
      <c r="D12132" s="0" t="s">
        <v>40259</v>
      </c>
      <c r="E12132" s="0" t="s">
        <v>75</v>
      </c>
      <c r="F12132" s="0" t="s">
        <v>90</v>
      </c>
      <c r="G12132" s="0" t="s">
        <v>16</v>
      </c>
      <c r="H12132" s="0" t="n">
        <v>121</v>
      </c>
      <c r="I12132" s="0" t="s">
        <v>40269</v>
      </c>
      <c r="J12132" s="0" t="s">
        <v>40270</v>
      </c>
      <c r="K12132" s="0" t="s">
        <v>40271</v>
      </c>
      <c r="L12132" s="0" t="str">
        <f aca="false">HYPERLINK("https://www.ncbi.nlm.nih.gov/nuccore/CP000058.1?report=graph&amp;tracks=[key:gene_model_track,Options:GeneOnly]&amp;mk=3817728:3817747|offset_0|444444,3817696:3817715|offset_32|444444,3817638:3817657|offset_90|444444,3817607:3817626|offset_121|00cc00&amp;v=3817527:3817826&amp;c=444444", "offset 121")</f>
        <v>offset 121</v>
      </c>
    </row>
    <row r="12133" customFormat="false" ht="12.8" hidden="false" customHeight="false" outlineLevel="0" collapsed="false">
      <c r="A12133" s="0" t="s">
        <v>12</v>
      </c>
      <c r="B12133" s="0" t="n">
        <v>3817928</v>
      </c>
      <c r="C12133" s="0" t="n">
        <v>3817948</v>
      </c>
      <c r="D12133" s="0" t="s">
        <v>40272</v>
      </c>
      <c r="E12133" s="0" t="s">
        <v>75</v>
      </c>
      <c r="F12133" s="0" t="s">
        <v>15</v>
      </c>
      <c r="G12133" s="0" t="s">
        <v>20</v>
      </c>
      <c r="H12133" s="0" t="n">
        <v>11</v>
      </c>
      <c r="I12133" s="0" t="s">
        <v>40273</v>
      </c>
      <c r="J12133" s="0" t="s">
        <v>40274</v>
      </c>
      <c r="K12133" s="0" t="s">
        <v>40275</v>
      </c>
      <c r="L12133" s="0" t="str">
        <f aca="false">HYPERLINK("https://www.ncbi.nlm.nih.gov/nuccore/CP000058.1?report=graph&amp;tracks=[key:gene_model_track,Options:GeneOnly]&amp;mk=3817929:3817948|offset_11|00cc00,3817949:3817968|offset_31|444444,3817977:3817996|offset_59|444444,3818009:3818028|offset_91|444444&amp;v=3817728:3818228&amp;c=444444", "offset 11")</f>
        <v>offset 11</v>
      </c>
    </row>
    <row r="12134" customFormat="false" ht="12.8" hidden="false" customHeight="false" outlineLevel="0" collapsed="false">
      <c r="A12134" s="0" t="s">
        <v>12</v>
      </c>
      <c r="B12134" s="0" t="n">
        <v>3817948</v>
      </c>
      <c r="C12134" s="0" t="n">
        <v>3817968</v>
      </c>
      <c r="D12134" s="0" t="s">
        <v>40272</v>
      </c>
      <c r="E12134" s="0" t="s">
        <v>75</v>
      </c>
      <c r="F12134" s="0" t="s">
        <v>15</v>
      </c>
      <c r="G12134" s="0" t="s">
        <v>32</v>
      </c>
      <c r="H12134" s="0" t="n">
        <v>31</v>
      </c>
      <c r="I12134" s="0" t="s">
        <v>40276</v>
      </c>
      <c r="J12134" s="0" t="s">
        <v>40277</v>
      </c>
      <c r="K12134" s="0" t="s">
        <v>40278</v>
      </c>
      <c r="L12134" s="0" t="str">
        <f aca="false">HYPERLINK("https://www.ncbi.nlm.nih.gov/nuccore/CP000058.1?report=graph&amp;tracks=[key:gene_model_track,Options:GeneOnly]&amp;mk=3817929:3817948|offset_11|444444,3817949:3817968|offset_31|00cc00,3817977:3817996|offset_59|444444,3818009:3818028|offset_91|444444&amp;v=3817728:3818228&amp;c=444444", "offset 31")</f>
        <v>offset 31</v>
      </c>
    </row>
    <row r="12135" customFormat="false" ht="12.8" hidden="false" customHeight="false" outlineLevel="0" collapsed="false">
      <c r="A12135" s="0" t="s">
        <v>12</v>
      </c>
      <c r="B12135" s="0" t="n">
        <v>3817976</v>
      </c>
      <c r="C12135" s="0" t="n">
        <v>3817996</v>
      </c>
      <c r="D12135" s="0" t="s">
        <v>40272</v>
      </c>
      <c r="E12135" s="0" t="s">
        <v>75</v>
      </c>
      <c r="F12135" s="0" t="s">
        <v>15</v>
      </c>
      <c r="G12135" s="0" t="s">
        <v>20</v>
      </c>
      <c r="H12135" s="0" t="n">
        <v>59</v>
      </c>
      <c r="I12135" s="0" t="s">
        <v>40279</v>
      </c>
      <c r="J12135" s="0" t="s">
        <v>40280</v>
      </c>
      <c r="K12135" s="0" t="s">
        <v>40281</v>
      </c>
      <c r="L12135" s="0" t="str">
        <f aca="false">HYPERLINK("https://www.ncbi.nlm.nih.gov/nuccore/CP000058.1?report=graph&amp;tracks=[key:gene_model_track,Options:GeneOnly]&amp;mk=3817929:3817948|offset_11|444444,3817949:3817968|offset_31|444444,3817977:3817996|offset_59|00cc00,3818009:3818028|offset_91|444444&amp;v=3817728:3818228&amp;c=444444", "offset 59")</f>
        <v>offset 59</v>
      </c>
    </row>
    <row r="12136" customFormat="false" ht="12.8" hidden="false" customHeight="false" outlineLevel="0" collapsed="false">
      <c r="A12136" s="0" t="s">
        <v>12</v>
      </c>
      <c r="B12136" s="0" t="n">
        <v>3818008</v>
      </c>
      <c r="C12136" s="0" t="n">
        <v>3818028</v>
      </c>
      <c r="D12136" s="0" t="s">
        <v>40272</v>
      </c>
      <c r="E12136" s="0" t="s">
        <v>75</v>
      </c>
      <c r="F12136" s="0" t="s">
        <v>15</v>
      </c>
      <c r="G12136" s="0" t="s">
        <v>36</v>
      </c>
      <c r="H12136" s="0" t="n">
        <v>91</v>
      </c>
      <c r="I12136" s="0" t="s">
        <v>40282</v>
      </c>
      <c r="J12136" s="0" t="s">
        <v>40283</v>
      </c>
      <c r="K12136" s="0" t="s">
        <v>40284</v>
      </c>
      <c r="L12136" s="0" t="str">
        <f aca="false">HYPERLINK("https://www.ncbi.nlm.nih.gov/nuccore/CP000058.1?report=graph&amp;tracks=[key:gene_model_track,Options:GeneOnly]&amp;mk=3817929:3817948|offset_11|444444,3817949:3817968|offset_31|444444,3817977:3817996|offset_59|444444,3818009:3818028|offset_91|00cc00&amp;v=3817728:3818228&amp;c=444444", "offset 91")</f>
        <v>offset 91</v>
      </c>
    </row>
    <row r="12137" customFormat="false" ht="12.8" hidden="false" customHeight="false" outlineLevel="0" collapsed="false">
      <c r="A12137" s="0" t="s">
        <v>12</v>
      </c>
      <c r="B12137" s="0" t="n">
        <v>3818610</v>
      </c>
      <c r="C12137" s="0" t="n">
        <v>3818630</v>
      </c>
      <c r="D12137" s="0" t="s">
        <v>40285</v>
      </c>
      <c r="E12137" s="0" t="s">
        <v>75</v>
      </c>
      <c r="F12137" s="0" t="s">
        <v>15</v>
      </c>
      <c r="G12137" s="0" t="s">
        <v>36</v>
      </c>
      <c r="H12137" s="0" t="n">
        <v>25</v>
      </c>
      <c r="I12137" s="0" t="s">
        <v>40286</v>
      </c>
      <c r="J12137" s="0" t="s">
        <v>40287</v>
      </c>
      <c r="K12137" s="0" t="s">
        <v>40288</v>
      </c>
      <c r="L12137" s="0" t="str">
        <f aca="false">HYPERLINK("https://www.ncbi.nlm.nih.gov/nuccore/CP000058.1?report=graph&amp;tracks=[key:gene_model_track,Options:GeneOnly]&amp;mk=3818611:3818630|offset_25|00cc00,3818681:3818700|offset_95|444444,3818747:3818766|offset_161|444444,3818768:3818787|offset_182|444444&amp;v=3818410:3818987&amp;c=444444", "offset 25")</f>
        <v>offset 25</v>
      </c>
    </row>
    <row r="12138" customFormat="false" ht="12.8" hidden="false" customHeight="false" outlineLevel="0" collapsed="false">
      <c r="A12138" s="0" t="s">
        <v>12</v>
      </c>
      <c r="B12138" s="0" t="n">
        <v>3818680</v>
      </c>
      <c r="C12138" s="0" t="n">
        <v>3818700</v>
      </c>
      <c r="D12138" s="0" t="s">
        <v>40285</v>
      </c>
      <c r="E12138" s="0" t="s">
        <v>75</v>
      </c>
      <c r="F12138" s="0" t="s">
        <v>15</v>
      </c>
      <c r="G12138" s="0" t="s">
        <v>32</v>
      </c>
      <c r="H12138" s="0" t="n">
        <v>95</v>
      </c>
      <c r="I12138" s="0" t="s">
        <v>40289</v>
      </c>
      <c r="J12138" s="0" t="s">
        <v>40290</v>
      </c>
      <c r="K12138" s="0" t="s">
        <v>40291</v>
      </c>
      <c r="L12138" s="0" t="str">
        <f aca="false">HYPERLINK("https://www.ncbi.nlm.nih.gov/nuccore/CP000058.1?report=graph&amp;tracks=[key:gene_model_track,Options:GeneOnly]&amp;mk=3818611:3818630|offset_25|444444,3818681:3818700|offset_95|00cc00,3818747:3818766|offset_161|444444,3818768:3818787|offset_182|444444&amp;v=3818410:3818987&amp;c=444444", "offset 95")</f>
        <v>offset 95</v>
      </c>
    </row>
    <row r="12139" customFormat="false" ht="12.8" hidden="false" customHeight="false" outlineLevel="0" collapsed="false">
      <c r="A12139" s="0" t="s">
        <v>12</v>
      </c>
      <c r="B12139" s="0" t="n">
        <v>3818746</v>
      </c>
      <c r="C12139" s="0" t="n">
        <v>3818766</v>
      </c>
      <c r="D12139" s="0" t="s">
        <v>40285</v>
      </c>
      <c r="E12139" s="0" t="s">
        <v>75</v>
      </c>
      <c r="F12139" s="0" t="s">
        <v>15</v>
      </c>
      <c r="G12139" s="0" t="s">
        <v>16</v>
      </c>
      <c r="H12139" s="0" t="n">
        <v>161</v>
      </c>
      <c r="I12139" s="0" t="s">
        <v>40292</v>
      </c>
      <c r="J12139" s="0" t="s">
        <v>40293</v>
      </c>
      <c r="K12139" s="0" t="s">
        <v>40294</v>
      </c>
      <c r="L12139" s="0" t="str">
        <f aca="false">HYPERLINK("https://www.ncbi.nlm.nih.gov/nuccore/CP000058.1?report=graph&amp;tracks=[key:gene_model_track,Options:GeneOnly]&amp;mk=3818611:3818630|offset_25|444444,3818681:3818700|offset_95|444444,3818747:3818766|offset_161|00cc00,3818768:3818787|offset_182|444444&amp;v=3818410:3818987&amp;c=444444", "offset 161")</f>
        <v>offset 161</v>
      </c>
    </row>
    <row r="12140" customFormat="false" ht="12.8" hidden="false" customHeight="false" outlineLevel="0" collapsed="false">
      <c r="A12140" s="0" t="s">
        <v>12</v>
      </c>
      <c r="B12140" s="0" t="n">
        <v>3818767</v>
      </c>
      <c r="C12140" s="0" t="n">
        <v>3818787</v>
      </c>
      <c r="D12140" s="0" t="s">
        <v>40285</v>
      </c>
      <c r="E12140" s="0" t="s">
        <v>75</v>
      </c>
      <c r="F12140" s="0" t="s">
        <v>15</v>
      </c>
      <c r="G12140" s="0" t="s">
        <v>20</v>
      </c>
      <c r="H12140" s="0" t="n">
        <v>182</v>
      </c>
      <c r="I12140" s="0" t="s">
        <v>40295</v>
      </c>
      <c r="J12140" s="0" t="s">
        <v>40296</v>
      </c>
      <c r="K12140" s="0" t="s">
        <v>40297</v>
      </c>
      <c r="L12140" s="0" t="str">
        <f aca="false">HYPERLINK("https://www.ncbi.nlm.nih.gov/nuccore/CP000058.1?report=graph&amp;tracks=[key:gene_model_track,Options:GeneOnly]&amp;mk=3818611:3818630|offset_25|444444,3818681:3818700|offset_95|444444,3818747:3818766|offset_161|444444,3818768:3818787|offset_182|00cc00&amp;v=3818410:3818987&amp;c=444444", "offset 182")</f>
        <v>offset 182</v>
      </c>
    </row>
    <row r="12141" customFormat="false" ht="12.8" hidden="false" customHeight="false" outlineLevel="0" collapsed="false">
      <c r="A12141" s="0" t="s">
        <v>12</v>
      </c>
      <c r="B12141" s="0" t="n">
        <v>3820641</v>
      </c>
      <c r="C12141" s="0" t="n">
        <v>3820661</v>
      </c>
      <c r="D12141" s="0" t="s">
        <v>40298</v>
      </c>
      <c r="E12141" s="0" t="s">
        <v>75</v>
      </c>
      <c r="F12141" s="0" t="s">
        <v>90</v>
      </c>
      <c r="G12141" s="0" t="s">
        <v>32</v>
      </c>
      <c r="H12141" s="0" t="n">
        <v>1</v>
      </c>
      <c r="I12141" s="0" t="s">
        <v>40299</v>
      </c>
      <c r="J12141" s="0" t="s">
        <v>40300</v>
      </c>
      <c r="K12141" s="0" t="s">
        <v>40301</v>
      </c>
      <c r="L12141" s="0" t="str">
        <f aca="false">HYPERLINK("https://www.ncbi.nlm.nih.gov/nuccore/CP000058.1?report=graph&amp;tracks=[key:gene_model_track,Options:GeneOnly]&amp;mk=3820642:3820661|offset_1|00cc00,3820612:3820631|offset_31|444444,3820588:3820607|offset_55|444444,3820534:3820553|offset_109|444444&amp;v=3820441:3820753&amp;c=444444", "offset 1")</f>
        <v>offset 1</v>
      </c>
    </row>
    <row r="12142" customFormat="false" ht="12.8" hidden="false" customHeight="false" outlineLevel="0" collapsed="false">
      <c r="A12142" s="0" t="s">
        <v>12</v>
      </c>
      <c r="B12142" s="0" t="n">
        <v>3820611</v>
      </c>
      <c r="C12142" s="0" t="n">
        <v>3820631</v>
      </c>
      <c r="D12142" s="0" t="s">
        <v>40298</v>
      </c>
      <c r="E12142" s="0" t="s">
        <v>75</v>
      </c>
      <c r="F12142" s="0" t="s">
        <v>90</v>
      </c>
      <c r="G12142" s="0" t="s">
        <v>16</v>
      </c>
      <c r="H12142" s="0" t="n">
        <v>31</v>
      </c>
      <c r="I12142" s="0" t="s">
        <v>40302</v>
      </c>
      <c r="J12142" s="0" t="s">
        <v>40303</v>
      </c>
      <c r="K12142" s="0" t="s">
        <v>40304</v>
      </c>
      <c r="L12142" s="0" t="str">
        <f aca="false">HYPERLINK("https://www.ncbi.nlm.nih.gov/nuccore/CP000058.1?report=graph&amp;tracks=[key:gene_model_track,Options:GeneOnly]&amp;mk=3820642:3820661|offset_1|444444,3820612:3820631|offset_31|00cc00,3820588:3820607|offset_55|444444,3820534:3820553|offset_109|444444&amp;v=3820441:3820753&amp;c=444444", "offset 31")</f>
        <v>offset 31</v>
      </c>
    </row>
    <row r="12143" customFormat="false" ht="12.8" hidden="false" customHeight="false" outlineLevel="0" collapsed="false">
      <c r="A12143" s="0" t="s">
        <v>12</v>
      </c>
      <c r="B12143" s="0" t="n">
        <v>3820587</v>
      </c>
      <c r="C12143" s="0" t="n">
        <v>3820607</v>
      </c>
      <c r="D12143" s="0" t="s">
        <v>40298</v>
      </c>
      <c r="E12143" s="0" t="s">
        <v>75</v>
      </c>
      <c r="F12143" s="0" t="s">
        <v>90</v>
      </c>
      <c r="G12143" s="0" t="s">
        <v>32</v>
      </c>
      <c r="H12143" s="0" t="n">
        <v>55</v>
      </c>
      <c r="I12143" s="0" t="s">
        <v>40305</v>
      </c>
      <c r="J12143" s="0" t="s">
        <v>40306</v>
      </c>
      <c r="K12143" s="0" t="s">
        <v>40307</v>
      </c>
      <c r="L12143" s="0" t="str">
        <f aca="false">HYPERLINK("https://www.ncbi.nlm.nih.gov/nuccore/CP000058.1?report=graph&amp;tracks=[key:gene_model_track,Options:GeneOnly]&amp;mk=3820642:3820661|offset_1|444444,3820612:3820631|offset_31|444444,3820588:3820607|offset_55|00cc00,3820534:3820553|offset_109|444444&amp;v=3820441:3820753&amp;c=444444", "offset 55")</f>
        <v>offset 55</v>
      </c>
    </row>
    <row r="12144" customFormat="false" ht="12.8" hidden="false" customHeight="false" outlineLevel="0" collapsed="false">
      <c r="A12144" s="0" t="s">
        <v>12</v>
      </c>
      <c r="B12144" s="0" t="n">
        <v>3820533</v>
      </c>
      <c r="C12144" s="0" t="n">
        <v>3820553</v>
      </c>
      <c r="D12144" s="0" t="s">
        <v>40298</v>
      </c>
      <c r="E12144" s="0" t="s">
        <v>75</v>
      </c>
      <c r="F12144" s="0" t="s">
        <v>90</v>
      </c>
      <c r="G12144" s="0" t="s">
        <v>16</v>
      </c>
      <c r="H12144" s="0" t="n">
        <v>109</v>
      </c>
      <c r="I12144" s="0" t="s">
        <v>40308</v>
      </c>
      <c r="J12144" s="0" t="s">
        <v>40309</v>
      </c>
      <c r="K12144" s="0" t="s">
        <v>40310</v>
      </c>
      <c r="L12144" s="0" t="str">
        <f aca="false">HYPERLINK("https://www.ncbi.nlm.nih.gov/nuccore/CP000058.1?report=graph&amp;tracks=[key:gene_model_track,Options:GeneOnly]&amp;mk=3820642:3820661|offset_1|444444,3820612:3820631|offset_31|444444,3820588:3820607|offset_55|444444,3820534:3820553|offset_109|00cc00&amp;v=3820441:3820753&amp;c=444444", "offset 109")</f>
        <v>offset 109</v>
      </c>
    </row>
    <row r="12145" customFormat="false" ht="12.8" hidden="false" customHeight="false" outlineLevel="0" collapsed="false">
      <c r="A12145" s="0" t="s">
        <v>12</v>
      </c>
      <c r="B12145" s="0" t="n">
        <v>3821231</v>
      </c>
      <c r="C12145" s="0" t="n">
        <v>3821251</v>
      </c>
      <c r="D12145" s="0" t="s">
        <v>40311</v>
      </c>
      <c r="E12145" s="0" t="s">
        <v>75</v>
      </c>
      <c r="F12145" s="0" t="s">
        <v>15</v>
      </c>
      <c r="G12145" s="0" t="s">
        <v>36</v>
      </c>
      <c r="H12145" s="0" t="n">
        <v>14</v>
      </c>
      <c r="I12145" s="0" t="s">
        <v>40312</v>
      </c>
      <c r="J12145" s="0" t="s">
        <v>40313</v>
      </c>
      <c r="K12145" s="0" t="s">
        <v>40314</v>
      </c>
      <c r="L12145" s="0" t="str">
        <f aca="false">HYPERLINK("https://www.ncbi.nlm.nih.gov/nuccore/CP000058.1?report=graph&amp;tracks=[key:gene_model_track,Options:GeneOnly]&amp;mk=3821232:3821251|offset_14|00cc00,3821259:3821278|offset_41|444444,3821295:3821314|offset_77|444444,3821341:3821360|offset_123|444444&amp;v=3821031:3821560&amp;c=444444", "offset 14")</f>
        <v>offset 14</v>
      </c>
    </row>
    <row r="12146" customFormat="false" ht="12.8" hidden="false" customHeight="false" outlineLevel="0" collapsed="false">
      <c r="A12146" s="0" t="s">
        <v>12</v>
      </c>
      <c r="B12146" s="0" t="n">
        <v>3821258</v>
      </c>
      <c r="C12146" s="0" t="n">
        <v>3821278</v>
      </c>
      <c r="D12146" s="0" t="s">
        <v>40311</v>
      </c>
      <c r="E12146" s="0" t="s">
        <v>75</v>
      </c>
      <c r="F12146" s="0" t="s">
        <v>15</v>
      </c>
      <c r="G12146" s="0" t="s">
        <v>20</v>
      </c>
      <c r="H12146" s="0" t="n">
        <v>41</v>
      </c>
      <c r="I12146" s="0" t="s">
        <v>40315</v>
      </c>
      <c r="J12146" s="0" t="s">
        <v>40316</v>
      </c>
      <c r="K12146" s="0" t="s">
        <v>40317</v>
      </c>
      <c r="L12146" s="0" t="str">
        <f aca="false">HYPERLINK("https://www.ncbi.nlm.nih.gov/nuccore/CP000058.1?report=graph&amp;tracks=[key:gene_model_track,Options:GeneOnly]&amp;mk=3821232:3821251|offset_14|444444,3821259:3821278|offset_41|00cc00,3821295:3821314|offset_77|444444,3821341:3821360|offset_123|444444&amp;v=3821031:3821560&amp;c=444444", "offset 41")</f>
        <v>offset 41</v>
      </c>
    </row>
    <row r="12147" customFormat="false" ht="12.8" hidden="false" customHeight="false" outlineLevel="0" collapsed="false">
      <c r="A12147" s="0" t="s">
        <v>12</v>
      </c>
      <c r="B12147" s="0" t="n">
        <v>3821294</v>
      </c>
      <c r="C12147" s="0" t="n">
        <v>3821314</v>
      </c>
      <c r="D12147" s="0" t="s">
        <v>40311</v>
      </c>
      <c r="E12147" s="0" t="s">
        <v>75</v>
      </c>
      <c r="F12147" s="0" t="s">
        <v>15</v>
      </c>
      <c r="G12147" s="0" t="s">
        <v>32</v>
      </c>
      <c r="H12147" s="0" t="n">
        <v>77</v>
      </c>
      <c r="I12147" s="0" t="s">
        <v>40318</v>
      </c>
      <c r="J12147" s="0" t="s">
        <v>40319</v>
      </c>
      <c r="K12147" s="0" t="s">
        <v>40320</v>
      </c>
      <c r="L12147" s="0" t="str">
        <f aca="false">HYPERLINK("https://www.ncbi.nlm.nih.gov/nuccore/CP000058.1?report=graph&amp;tracks=[key:gene_model_track,Options:GeneOnly]&amp;mk=3821232:3821251|offset_14|444444,3821259:3821278|offset_41|444444,3821295:3821314|offset_77|00cc00,3821341:3821360|offset_123|444444&amp;v=3821031:3821560&amp;c=444444", "offset 77")</f>
        <v>offset 77</v>
      </c>
    </row>
    <row r="12148" customFormat="false" ht="12.8" hidden="false" customHeight="false" outlineLevel="0" collapsed="false">
      <c r="A12148" s="0" t="s">
        <v>12</v>
      </c>
      <c r="B12148" s="0" t="n">
        <v>3821340</v>
      </c>
      <c r="C12148" s="0" t="n">
        <v>3821360</v>
      </c>
      <c r="D12148" s="0" t="s">
        <v>40311</v>
      </c>
      <c r="E12148" s="0" t="s">
        <v>75</v>
      </c>
      <c r="F12148" s="0" t="s">
        <v>15</v>
      </c>
      <c r="G12148" s="0" t="s">
        <v>32</v>
      </c>
      <c r="H12148" s="0" t="n">
        <v>123</v>
      </c>
      <c r="I12148" s="0" t="s">
        <v>40321</v>
      </c>
      <c r="J12148" s="0" t="s">
        <v>40322</v>
      </c>
      <c r="K12148" s="0" t="s">
        <v>40323</v>
      </c>
      <c r="L12148" s="0" t="str">
        <f aca="false">HYPERLINK("https://www.ncbi.nlm.nih.gov/nuccore/CP000058.1?report=graph&amp;tracks=[key:gene_model_track,Options:GeneOnly]&amp;mk=3821232:3821251|offset_14|444444,3821259:3821278|offset_41|444444,3821295:3821314|offset_77|444444,3821341:3821360|offset_123|00cc00&amp;v=3821031:3821560&amp;c=444444", "offset 123")</f>
        <v>offset 123</v>
      </c>
    </row>
    <row r="12149" customFormat="false" ht="12.8" hidden="false" customHeight="false" outlineLevel="0" collapsed="false">
      <c r="A12149" s="0" t="s">
        <v>12</v>
      </c>
      <c r="B12149" s="0" t="n">
        <v>3821685</v>
      </c>
      <c r="C12149" s="0" t="n">
        <v>3821705</v>
      </c>
      <c r="D12149" s="0" t="s">
        <v>40324</v>
      </c>
      <c r="E12149" s="0" t="s">
        <v>75</v>
      </c>
      <c r="F12149" s="0" t="s">
        <v>15</v>
      </c>
      <c r="G12149" s="0" t="s">
        <v>32</v>
      </c>
      <c r="H12149" s="0" t="n">
        <v>19</v>
      </c>
      <c r="I12149" s="0" t="s">
        <v>40325</v>
      </c>
      <c r="J12149" s="0" t="s">
        <v>40326</v>
      </c>
      <c r="K12149" s="0" t="s">
        <v>40327</v>
      </c>
      <c r="L12149" s="0" t="str">
        <f aca="false">HYPERLINK("https://www.ncbi.nlm.nih.gov/nuccore/CP000058.1?report=graph&amp;tracks=[key:gene_model_track,Options:GeneOnly]&amp;mk=3821686:3821705|offset_19|00cc00,3821728:3821747|offset_61|444444,3821778:3821797|offset_111|444444,3821800:3821819|offset_133|444444&amp;v=3821485:3822019&amp;c=444444", "offset 19")</f>
        <v>offset 19</v>
      </c>
    </row>
    <row r="12150" customFormat="false" ht="12.8" hidden="false" customHeight="false" outlineLevel="0" collapsed="false">
      <c r="A12150" s="0" t="s">
        <v>12</v>
      </c>
      <c r="B12150" s="0" t="n">
        <v>3821727</v>
      </c>
      <c r="C12150" s="0" t="n">
        <v>3821747</v>
      </c>
      <c r="D12150" s="0" t="s">
        <v>40324</v>
      </c>
      <c r="E12150" s="0" t="s">
        <v>75</v>
      </c>
      <c r="F12150" s="0" t="s">
        <v>15</v>
      </c>
      <c r="G12150" s="0" t="s">
        <v>20</v>
      </c>
      <c r="H12150" s="0" t="n">
        <v>61</v>
      </c>
      <c r="I12150" s="0" t="s">
        <v>40328</v>
      </c>
      <c r="J12150" s="0" t="s">
        <v>40329</v>
      </c>
      <c r="K12150" s="0" t="s">
        <v>40330</v>
      </c>
      <c r="L12150" s="0" t="str">
        <f aca="false">HYPERLINK("https://www.ncbi.nlm.nih.gov/nuccore/CP000058.1?report=graph&amp;tracks=[key:gene_model_track,Options:GeneOnly]&amp;mk=3821686:3821705|offset_19|444444,3821728:3821747|offset_61|00cc00,3821778:3821797|offset_111|444444,3821800:3821819|offset_133|444444&amp;v=3821485:3822019&amp;c=444444", "offset 61")</f>
        <v>offset 61</v>
      </c>
    </row>
    <row r="12151" customFormat="false" ht="12.8" hidden="false" customHeight="false" outlineLevel="0" collapsed="false">
      <c r="A12151" s="0" t="s">
        <v>12</v>
      </c>
      <c r="B12151" s="0" t="n">
        <v>3821777</v>
      </c>
      <c r="C12151" s="0" t="n">
        <v>3821797</v>
      </c>
      <c r="D12151" s="0" t="s">
        <v>40324</v>
      </c>
      <c r="E12151" s="0" t="s">
        <v>75</v>
      </c>
      <c r="F12151" s="0" t="s">
        <v>15</v>
      </c>
      <c r="G12151" s="0" t="s">
        <v>20</v>
      </c>
      <c r="H12151" s="0" t="n">
        <v>111</v>
      </c>
      <c r="I12151" s="0" t="s">
        <v>40331</v>
      </c>
      <c r="J12151" s="0" t="s">
        <v>40332</v>
      </c>
      <c r="K12151" s="0" t="s">
        <v>40333</v>
      </c>
      <c r="L12151" s="0" t="str">
        <f aca="false">HYPERLINK("https://www.ncbi.nlm.nih.gov/nuccore/CP000058.1?report=graph&amp;tracks=[key:gene_model_track,Options:GeneOnly]&amp;mk=3821686:3821705|offset_19|444444,3821728:3821747|offset_61|444444,3821778:3821797|offset_111|00cc00,3821800:3821819|offset_133|444444&amp;v=3821485:3822019&amp;c=444444", "offset 111")</f>
        <v>offset 111</v>
      </c>
    </row>
    <row r="12152" customFormat="false" ht="12.8" hidden="false" customHeight="false" outlineLevel="0" collapsed="false">
      <c r="A12152" s="0" t="s">
        <v>12</v>
      </c>
      <c r="B12152" s="0" t="n">
        <v>3821799</v>
      </c>
      <c r="C12152" s="0" t="n">
        <v>3821819</v>
      </c>
      <c r="D12152" s="0" t="s">
        <v>40324</v>
      </c>
      <c r="E12152" s="0" t="s">
        <v>75</v>
      </c>
      <c r="F12152" s="0" t="s">
        <v>15</v>
      </c>
      <c r="G12152" s="0" t="s">
        <v>32</v>
      </c>
      <c r="H12152" s="0" t="n">
        <v>133</v>
      </c>
      <c r="I12152" s="0" t="s">
        <v>40334</v>
      </c>
      <c r="J12152" s="0" t="s">
        <v>40335</v>
      </c>
      <c r="K12152" s="0" t="s">
        <v>40336</v>
      </c>
      <c r="L12152" s="0" t="str">
        <f aca="false">HYPERLINK("https://www.ncbi.nlm.nih.gov/nuccore/CP000058.1?report=graph&amp;tracks=[key:gene_model_track,Options:GeneOnly]&amp;mk=3821686:3821705|offset_19|444444,3821728:3821747|offset_61|444444,3821778:3821797|offset_111|444444,3821800:3821819|offset_133|00cc00&amp;v=3821485:3822019&amp;c=444444", "offset 133")</f>
        <v>offset 133</v>
      </c>
    </row>
    <row r="12153" customFormat="false" ht="12.8" hidden="false" customHeight="false" outlineLevel="0" collapsed="false">
      <c r="A12153" s="0" t="s">
        <v>12</v>
      </c>
      <c r="B12153" s="0" t="n">
        <v>3823788</v>
      </c>
      <c r="C12153" s="0" t="n">
        <v>3823808</v>
      </c>
      <c r="D12153" s="0" t="s">
        <v>40337</v>
      </c>
      <c r="E12153" s="0" t="s">
        <v>75</v>
      </c>
      <c r="F12153" s="0" t="s">
        <v>15</v>
      </c>
      <c r="G12153" s="0" t="s">
        <v>36</v>
      </c>
      <c r="H12153" s="0" t="n">
        <v>38</v>
      </c>
      <c r="I12153" s="0" t="s">
        <v>40338</v>
      </c>
      <c r="J12153" s="0" t="s">
        <v>40339</v>
      </c>
      <c r="K12153" s="0" t="s">
        <v>40340</v>
      </c>
      <c r="L12153" s="0" t="str">
        <f aca="false">HYPERLINK("https://www.ncbi.nlm.nih.gov/nuccore/CP000058.1?report=graph&amp;tracks=[key:gene_model_track,Options:GeneOnly]&amp;mk=3823789:3823808|offset_38|00cc00,3823818:3823837|offset_67|444444,3823860:3823879|offset_109|444444,3823885:3823904|offset_134|444444&amp;v=3823588:3824104&amp;c=444444", "offset 38")</f>
        <v>offset 38</v>
      </c>
    </row>
    <row r="12154" customFormat="false" ht="12.8" hidden="false" customHeight="false" outlineLevel="0" collapsed="false">
      <c r="A12154" s="0" t="s">
        <v>12</v>
      </c>
      <c r="B12154" s="0" t="n">
        <v>3823817</v>
      </c>
      <c r="C12154" s="0" t="n">
        <v>3823837</v>
      </c>
      <c r="D12154" s="0" t="s">
        <v>40337</v>
      </c>
      <c r="E12154" s="0" t="s">
        <v>75</v>
      </c>
      <c r="F12154" s="0" t="s">
        <v>15</v>
      </c>
      <c r="G12154" s="0" t="s">
        <v>20</v>
      </c>
      <c r="H12154" s="0" t="n">
        <v>67</v>
      </c>
      <c r="I12154" s="0" t="s">
        <v>40341</v>
      </c>
      <c r="J12154" s="0" t="s">
        <v>40342</v>
      </c>
      <c r="K12154" s="0" t="s">
        <v>40343</v>
      </c>
      <c r="L12154" s="0" t="str">
        <f aca="false">HYPERLINK("https://www.ncbi.nlm.nih.gov/nuccore/CP000058.1?report=graph&amp;tracks=[key:gene_model_track,Options:GeneOnly]&amp;mk=3823789:3823808|offset_38|444444,3823818:3823837|offset_67|00cc00,3823860:3823879|offset_109|444444,3823885:3823904|offset_134|444444&amp;v=3823588:3824104&amp;c=444444", "offset 67")</f>
        <v>offset 67</v>
      </c>
    </row>
    <row r="12155" customFormat="false" ht="12.8" hidden="false" customHeight="false" outlineLevel="0" collapsed="false">
      <c r="A12155" s="0" t="s">
        <v>12</v>
      </c>
      <c r="B12155" s="0" t="n">
        <v>3823859</v>
      </c>
      <c r="C12155" s="0" t="n">
        <v>3823879</v>
      </c>
      <c r="D12155" s="0" t="s">
        <v>40337</v>
      </c>
      <c r="E12155" s="0" t="s">
        <v>75</v>
      </c>
      <c r="F12155" s="0" t="s">
        <v>15</v>
      </c>
      <c r="G12155" s="0" t="s">
        <v>36</v>
      </c>
      <c r="H12155" s="0" t="n">
        <v>109</v>
      </c>
      <c r="I12155" s="0" t="s">
        <v>40344</v>
      </c>
      <c r="J12155" s="0" t="s">
        <v>40345</v>
      </c>
      <c r="K12155" s="0" t="s">
        <v>40346</v>
      </c>
      <c r="L12155" s="0" t="str">
        <f aca="false">HYPERLINK("https://www.ncbi.nlm.nih.gov/nuccore/CP000058.1?report=graph&amp;tracks=[key:gene_model_track,Options:GeneOnly]&amp;mk=3823789:3823808|offset_38|444444,3823818:3823837|offset_67|444444,3823860:3823879|offset_109|00cc00,3823885:3823904|offset_134|444444&amp;v=3823588:3824104&amp;c=444444", "offset 109")</f>
        <v>offset 109</v>
      </c>
    </row>
    <row r="12156" customFormat="false" ht="12.8" hidden="false" customHeight="false" outlineLevel="0" collapsed="false">
      <c r="A12156" s="0" t="s">
        <v>12</v>
      </c>
      <c r="B12156" s="0" t="n">
        <v>3823884</v>
      </c>
      <c r="C12156" s="0" t="n">
        <v>3823904</v>
      </c>
      <c r="D12156" s="0" t="s">
        <v>40337</v>
      </c>
      <c r="E12156" s="0" t="s">
        <v>75</v>
      </c>
      <c r="F12156" s="0" t="s">
        <v>15</v>
      </c>
      <c r="G12156" s="0" t="s">
        <v>16</v>
      </c>
      <c r="H12156" s="0" t="n">
        <v>134</v>
      </c>
      <c r="I12156" s="0" t="s">
        <v>40347</v>
      </c>
      <c r="J12156" s="0" t="s">
        <v>40348</v>
      </c>
      <c r="K12156" s="0" t="s">
        <v>40349</v>
      </c>
      <c r="L12156" s="0" t="str">
        <f aca="false">HYPERLINK("https://www.ncbi.nlm.nih.gov/nuccore/CP000058.1?report=graph&amp;tracks=[key:gene_model_track,Options:GeneOnly]&amp;mk=3823789:3823808|offset_38|444444,3823818:3823837|offset_67|444444,3823860:3823879|offset_109|444444,3823885:3823904|offset_134|00cc00&amp;v=3823588:3824104&amp;c=444444", "offset 134")</f>
        <v>offset 134</v>
      </c>
    </row>
    <row r="12157" customFormat="false" ht="12.8" hidden="false" customHeight="false" outlineLevel="0" collapsed="false">
      <c r="A12157" s="0" t="s">
        <v>12</v>
      </c>
      <c r="B12157" s="0" t="n">
        <v>3823968</v>
      </c>
      <c r="C12157" s="0" t="n">
        <v>3823988</v>
      </c>
      <c r="D12157" s="0" t="s">
        <v>40350</v>
      </c>
      <c r="E12157" s="0" t="s">
        <v>75</v>
      </c>
      <c r="F12157" s="0" t="s">
        <v>15</v>
      </c>
      <c r="G12157" s="0" t="s">
        <v>16</v>
      </c>
      <c r="H12157" s="0" t="n">
        <v>12</v>
      </c>
      <c r="I12157" s="0" t="s">
        <v>40351</v>
      </c>
      <c r="J12157" s="0" t="s">
        <v>40352</v>
      </c>
      <c r="K12157" s="0" t="s">
        <v>40353</v>
      </c>
      <c r="L12157" s="0" t="str">
        <f aca="false">HYPERLINK("https://www.ncbi.nlm.nih.gov/nuccore/CP000058.1?report=graph&amp;tracks=[key:gene_model_track,Options:GeneOnly]&amp;mk=3823969:3823988|offset_12|00cc00,3823995:3824014|offset_38|444444,3824024:3824043|offset_67|444444,3824065:3824084|offset_108|444444&amp;v=3823768:3824284&amp;c=444444", "offset 12")</f>
        <v>offset 12</v>
      </c>
    </row>
    <row r="12158" customFormat="false" ht="12.8" hidden="false" customHeight="false" outlineLevel="0" collapsed="false">
      <c r="A12158" s="0" t="s">
        <v>12</v>
      </c>
      <c r="B12158" s="0" t="n">
        <v>3823994</v>
      </c>
      <c r="C12158" s="0" t="n">
        <v>3824014</v>
      </c>
      <c r="D12158" s="0" t="s">
        <v>40350</v>
      </c>
      <c r="E12158" s="0" t="s">
        <v>75</v>
      </c>
      <c r="F12158" s="0" t="s">
        <v>15</v>
      </c>
      <c r="G12158" s="0" t="s">
        <v>20</v>
      </c>
      <c r="H12158" s="0" t="n">
        <v>38</v>
      </c>
      <c r="I12158" s="0" t="s">
        <v>40354</v>
      </c>
      <c r="J12158" s="0" t="s">
        <v>40355</v>
      </c>
      <c r="K12158" s="0" t="s">
        <v>40356</v>
      </c>
      <c r="L12158" s="0" t="str">
        <f aca="false">HYPERLINK("https://www.ncbi.nlm.nih.gov/nuccore/CP000058.1?report=graph&amp;tracks=[key:gene_model_track,Options:GeneOnly]&amp;mk=3823969:3823988|offset_12|444444,3823995:3824014|offset_38|00cc00,3824024:3824043|offset_67|444444,3824065:3824084|offset_108|444444&amp;v=3823768:3824284&amp;c=444444", "offset 38")</f>
        <v>offset 38</v>
      </c>
    </row>
    <row r="12159" customFormat="false" ht="12.8" hidden="false" customHeight="false" outlineLevel="0" collapsed="false">
      <c r="A12159" s="0" t="s">
        <v>12</v>
      </c>
      <c r="B12159" s="0" t="n">
        <v>3824023</v>
      </c>
      <c r="C12159" s="0" t="n">
        <v>3824043</v>
      </c>
      <c r="D12159" s="0" t="s">
        <v>40350</v>
      </c>
      <c r="E12159" s="0" t="s">
        <v>75</v>
      </c>
      <c r="F12159" s="0" t="s">
        <v>15</v>
      </c>
      <c r="G12159" s="0" t="s">
        <v>16</v>
      </c>
      <c r="H12159" s="0" t="n">
        <v>67</v>
      </c>
      <c r="I12159" s="0" t="s">
        <v>40357</v>
      </c>
      <c r="J12159" s="0" t="s">
        <v>40358</v>
      </c>
      <c r="K12159" s="0" t="s">
        <v>40359</v>
      </c>
      <c r="L12159" s="0" t="str">
        <f aca="false">HYPERLINK("https://www.ncbi.nlm.nih.gov/nuccore/CP000058.1?report=graph&amp;tracks=[key:gene_model_track,Options:GeneOnly]&amp;mk=3823969:3823988|offset_12|444444,3823995:3824014|offset_38|444444,3824024:3824043|offset_67|00cc00,3824065:3824084|offset_108|444444&amp;v=3823768:3824284&amp;c=444444", "offset 67")</f>
        <v>offset 67</v>
      </c>
    </row>
    <row r="12160" customFormat="false" ht="12.8" hidden="false" customHeight="false" outlineLevel="0" collapsed="false">
      <c r="A12160" s="0" t="s">
        <v>12</v>
      </c>
      <c r="B12160" s="0" t="n">
        <v>3824064</v>
      </c>
      <c r="C12160" s="0" t="n">
        <v>3824084</v>
      </c>
      <c r="D12160" s="0" t="s">
        <v>40350</v>
      </c>
      <c r="E12160" s="0" t="s">
        <v>75</v>
      </c>
      <c r="F12160" s="0" t="s">
        <v>15</v>
      </c>
      <c r="G12160" s="0" t="s">
        <v>16</v>
      </c>
      <c r="H12160" s="0" t="n">
        <v>108</v>
      </c>
      <c r="I12160" s="0" t="s">
        <v>40360</v>
      </c>
      <c r="J12160" s="0" t="s">
        <v>40361</v>
      </c>
      <c r="K12160" s="0" t="s">
        <v>40362</v>
      </c>
      <c r="L12160" s="0" t="str">
        <f aca="false">HYPERLINK("https://www.ncbi.nlm.nih.gov/nuccore/CP000058.1?report=graph&amp;tracks=[key:gene_model_track,Options:GeneOnly]&amp;mk=3823969:3823988|offset_12|444444,3823995:3824014|offset_38|444444,3824024:3824043|offset_67|444444,3824065:3824084|offset_108|00cc00&amp;v=3823768:3824284&amp;c=444444", "offset 108")</f>
        <v>offset 108</v>
      </c>
    </row>
    <row r="12161" customFormat="false" ht="12.8" hidden="false" customHeight="false" outlineLevel="0" collapsed="false">
      <c r="A12161" s="0" t="s">
        <v>12</v>
      </c>
      <c r="B12161" s="0" t="n">
        <v>3824850</v>
      </c>
      <c r="C12161" s="0" t="n">
        <v>3824870</v>
      </c>
      <c r="D12161" s="0" t="s">
        <v>40363</v>
      </c>
      <c r="E12161" s="0" t="s">
        <v>75</v>
      </c>
      <c r="F12161" s="0" t="s">
        <v>15</v>
      </c>
      <c r="G12161" s="0" t="s">
        <v>20</v>
      </c>
      <c r="H12161" s="0" t="n">
        <v>13</v>
      </c>
      <c r="I12161" s="0" t="s">
        <v>40364</v>
      </c>
      <c r="J12161" s="0" t="s">
        <v>40365</v>
      </c>
      <c r="K12161" s="0" t="s">
        <v>40366</v>
      </c>
      <c r="L12161" s="0" t="str">
        <f aca="false">HYPERLINK("https://www.ncbi.nlm.nih.gov/nuccore/CP000058.1?report=graph&amp;tracks=[key:gene_model_track,Options:GeneOnly]&amp;mk=3824851:3824870|offset_13|00cc00,3824881:3824900|offset_43|444444,3824910:3824929|offset_72|444444,3824949:3824968|offset_111|444444&amp;v=3824650:3825168&amp;c=444444", "offset 13")</f>
        <v>offset 13</v>
      </c>
    </row>
    <row r="12162" customFormat="false" ht="12.8" hidden="false" customHeight="false" outlineLevel="0" collapsed="false">
      <c r="A12162" s="0" t="s">
        <v>12</v>
      </c>
      <c r="B12162" s="0" t="n">
        <v>3824880</v>
      </c>
      <c r="C12162" s="0" t="n">
        <v>3824900</v>
      </c>
      <c r="D12162" s="0" t="s">
        <v>40363</v>
      </c>
      <c r="E12162" s="0" t="s">
        <v>75</v>
      </c>
      <c r="F12162" s="0" t="s">
        <v>15</v>
      </c>
      <c r="G12162" s="0" t="s">
        <v>16</v>
      </c>
      <c r="H12162" s="0" t="n">
        <v>43</v>
      </c>
      <c r="I12162" s="0" t="s">
        <v>40367</v>
      </c>
      <c r="J12162" s="0" t="s">
        <v>40368</v>
      </c>
      <c r="K12162" s="0" t="s">
        <v>40369</v>
      </c>
      <c r="L12162" s="0" t="str">
        <f aca="false">HYPERLINK("https://www.ncbi.nlm.nih.gov/nuccore/CP000058.1?report=graph&amp;tracks=[key:gene_model_track,Options:GeneOnly]&amp;mk=3824851:3824870|offset_13|444444,3824881:3824900|offset_43|00cc00,3824910:3824929|offset_72|444444,3824949:3824968|offset_111|444444&amp;v=3824650:3825168&amp;c=444444", "offset 43")</f>
        <v>offset 43</v>
      </c>
    </row>
    <row r="12163" customFormat="false" ht="12.8" hidden="false" customHeight="false" outlineLevel="0" collapsed="false">
      <c r="A12163" s="0" t="s">
        <v>12</v>
      </c>
      <c r="B12163" s="0" t="n">
        <v>3824909</v>
      </c>
      <c r="C12163" s="0" t="n">
        <v>3824929</v>
      </c>
      <c r="D12163" s="0" t="s">
        <v>40363</v>
      </c>
      <c r="E12163" s="0" t="s">
        <v>75</v>
      </c>
      <c r="F12163" s="0" t="s">
        <v>15</v>
      </c>
      <c r="G12163" s="0" t="s">
        <v>16</v>
      </c>
      <c r="H12163" s="0" t="n">
        <v>72</v>
      </c>
      <c r="I12163" s="0" t="s">
        <v>40370</v>
      </c>
      <c r="J12163" s="0" t="s">
        <v>40371</v>
      </c>
      <c r="K12163" s="0" t="s">
        <v>40372</v>
      </c>
      <c r="L12163" s="0" t="str">
        <f aca="false">HYPERLINK("https://www.ncbi.nlm.nih.gov/nuccore/CP000058.1?report=graph&amp;tracks=[key:gene_model_track,Options:GeneOnly]&amp;mk=3824851:3824870|offset_13|444444,3824881:3824900|offset_43|444444,3824910:3824929|offset_72|00cc00,3824949:3824968|offset_111|444444&amp;v=3824650:3825168&amp;c=444444", "offset 72")</f>
        <v>offset 72</v>
      </c>
    </row>
    <row r="12164" customFormat="false" ht="12.8" hidden="false" customHeight="false" outlineLevel="0" collapsed="false">
      <c r="A12164" s="0" t="s">
        <v>12</v>
      </c>
      <c r="B12164" s="0" t="n">
        <v>3824948</v>
      </c>
      <c r="C12164" s="0" t="n">
        <v>3824968</v>
      </c>
      <c r="D12164" s="0" t="s">
        <v>40363</v>
      </c>
      <c r="E12164" s="0" t="s">
        <v>75</v>
      </c>
      <c r="F12164" s="0" t="s">
        <v>15</v>
      </c>
      <c r="G12164" s="0" t="s">
        <v>16</v>
      </c>
      <c r="H12164" s="0" t="n">
        <v>111</v>
      </c>
      <c r="I12164" s="0" t="s">
        <v>40373</v>
      </c>
      <c r="J12164" s="0" t="s">
        <v>40374</v>
      </c>
      <c r="K12164" s="0" t="s">
        <v>40375</v>
      </c>
      <c r="L12164" s="0" t="str">
        <f aca="false">HYPERLINK("https://www.ncbi.nlm.nih.gov/nuccore/CP000058.1?report=graph&amp;tracks=[key:gene_model_track,Options:GeneOnly]&amp;mk=3824851:3824870|offset_13|444444,3824881:3824900|offset_43|444444,3824910:3824929|offset_72|444444,3824949:3824968|offset_111|00cc00&amp;v=3824650:3825168&amp;c=444444", "offset 111")</f>
        <v>offset 111</v>
      </c>
    </row>
    <row r="12165" customFormat="false" ht="12.8" hidden="false" customHeight="false" outlineLevel="0" collapsed="false">
      <c r="A12165" s="0" t="s">
        <v>12</v>
      </c>
      <c r="B12165" s="0" t="n">
        <v>3826749</v>
      </c>
      <c r="C12165" s="0" t="n">
        <v>3826769</v>
      </c>
      <c r="D12165" s="0" t="s">
        <v>40376</v>
      </c>
      <c r="E12165" s="0" t="s">
        <v>40377</v>
      </c>
      <c r="F12165" s="0" t="s">
        <v>90</v>
      </c>
      <c r="G12165" s="0" t="s">
        <v>16</v>
      </c>
      <c r="H12165" s="0" t="n">
        <v>68</v>
      </c>
      <c r="I12165" s="0" t="s">
        <v>40378</v>
      </c>
      <c r="J12165" s="0" t="s">
        <v>40379</v>
      </c>
      <c r="K12165" s="0" t="s">
        <v>40380</v>
      </c>
      <c r="L12165" s="0" t="str">
        <f aca="false">HYPERLINK("https://www.ncbi.nlm.nih.gov/nuccore/CP000058.1?report=graph&amp;tracks=[key:gene_model_track,Options:GeneOnly]&amp;mk=3826750:3826769|offset_68|00cc00,3826716:3826735|offset_102|444444,3826670:3826689|offset_148|444444,3826631:3826650|offset_187|444444&amp;v=3826549:3826850&amp;c=444444", "offset 68")</f>
        <v>offset 68</v>
      </c>
    </row>
    <row r="12166" customFormat="false" ht="12.8" hidden="false" customHeight="false" outlineLevel="0" collapsed="false">
      <c r="A12166" s="0" t="s">
        <v>12</v>
      </c>
      <c r="B12166" s="0" t="n">
        <v>3826715</v>
      </c>
      <c r="C12166" s="0" t="n">
        <v>3826735</v>
      </c>
      <c r="D12166" s="0" t="s">
        <v>40376</v>
      </c>
      <c r="E12166" s="0" t="s">
        <v>40377</v>
      </c>
      <c r="F12166" s="0" t="s">
        <v>90</v>
      </c>
      <c r="G12166" s="0" t="s">
        <v>20</v>
      </c>
      <c r="H12166" s="0" t="n">
        <v>102</v>
      </c>
      <c r="I12166" s="0" t="s">
        <v>40381</v>
      </c>
      <c r="J12166" s="0" t="s">
        <v>40382</v>
      </c>
      <c r="K12166" s="0" t="s">
        <v>40383</v>
      </c>
      <c r="L12166" s="0" t="str">
        <f aca="false">HYPERLINK("https://www.ncbi.nlm.nih.gov/nuccore/CP000058.1?report=graph&amp;tracks=[key:gene_model_track,Options:GeneOnly]&amp;mk=3826750:3826769|offset_68|444444,3826716:3826735|offset_102|00cc00,3826670:3826689|offset_148|444444,3826631:3826650|offset_187|444444&amp;v=3826549:3826850&amp;c=444444", "offset 102")</f>
        <v>offset 102</v>
      </c>
    </row>
    <row r="12167" customFormat="false" ht="12.8" hidden="false" customHeight="false" outlineLevel="0" collapsed="false">
      <c r="A12167" s="0" t="s">
        <v>12</v>
      </c>
      <c r="B12167" s="0" t="n">
        <v>3826669</v>
      </c>
      <c r="C12167" s="0" t="n">
        <v>3826689</v>
      </c>
      <c r="D12167" s="0" t="s">
        <v>40376</v>
      </c>
      <c r="E12167" s="0" t="s">
        <v>40377</v>
      </c>
      <c r="F12167" s="0" t="s">
        <v>90</v>
      </c>
      <c r="G12167" s="0" t="s">
        <v>32</v>
      </c>
      <c r="H12167" s="0" t="n">
        <v>148</v>
      </c>
      <c r="I12167" s="0" t="s">
        <v>40384</v>
      </c>
      <c r="J12167" s="0" t="s">
        <v>40385</v>
      </c>
      <c r="K12167" s="0" t="s">
        <v>40386</v>
      </c>
      <c r="L12167" s="0" t="str">
        <f aca="false">HYPERLINK("https://www.ncbi.nlm.nih.gov/nuccore/CP000058.1?report=graph&amp;tracks=[key:gene_model_track,Options:GeneOnly]&amp;mk=3826750:3826769|offset_68|444444,3826716:3826735|offset_102|444444,3826670:3826689|offset_148|00cc00,3826631:3826650|offset_187|444444&amp;v=3826549:3826850&amp;c=444444", "offset 148")</f>
        <v>offset 148</v>
      </c>
    </row>
    <row r="12168" customFormat="false" ht="12.8" hidden="false" customHeight="false" outlineLevel="0" collapsed="false">
      <c r="A12168" s="0" t="s">
        <v>12</v>
      </c>
      <c r="B12168" s="0" t="n">
        <v>3826630</v>
      </c>
      <c r="C12168" s="0" t="n">
        <v>3826650</v>
      </c>
      <c r="D12168" s="0" t="s">
        <v>40376</v>
      </c>
      <c r="E12168" s="0" t="s">
        <v>40377</v>
      </c>
      <c r="F12168" s="0" t="s">
        <v>90</v>
      </c>
      <c r="G12168" s="0" t="s">
        <v>16</v>
      </c>
      <c r="H12168" s="0" t="n">
        <v>187</v>
      </c>
      <c r="I12168" s="0" t="s">
        <v>40387</v>
      </c>
      <c r="J12168" s="0" t="s">
        <v>40388</v>
      </c>
      <c r="K12168" s="0" t="s">
        <v>40389</v>
      </c>
      <c r="L12168" s="0" t="str">
        <f aca="false">HYPERLINK("https://www.ncbi.nlm.nih.gov/nuccore/CP000058.1?report=graph&amp;tracks=[key:gene_model_track,Options:GeneOnly]&amp;mk=3826750:3826769|offset_68|444444,3826716:3826735|offset_102|444444,3826670:3826689|offset_148|444444,3826631:3826650|offset_187|00cc00&amp;v=3826549:3826850&amp;c=444444", "offset 187")</f>
        <v>offset 187</v>
      </c>
    </row>
    <row r="12169" customFormat="false" ht="12.8" hidden="false" customHeight="false" outlineLevel="0" collapsed="false">
      <c r="A12169" s="0" t="s">
        <v>12</v>
      </c>
      <c r="B12169" s="0" t="n">
        <v>3827262</v>
      </c>
      <c r="C12169" s="0" t="n">
        <v>3827282</v>
      </c>
      <c r="D12169" s="0" t="s">
        <v>40390</v>
      </c>
      <c r="E12169" s="0" t="s">
        <v>75</v>
      </c>
      <c r="F12169" s="0" t="s">
        <v>15</v>
      </c>
      <c r="G12169" s="0" t="s">
        <v>32</v>
      </c>
      <c r="H12169" s="0" t="n">
        <v>1</v>
      </c>
      <c r="I12169" s="0" t="s">
        <v>40391</v>
      </c>
      <c r="J12169" s="0" t="s">
        <v>40392</v>
      </c>
      <c r="K12169" s="0" t="s">
        <v>40393</v>
      </c>
      <c r="L12169" s="0" t="str">
        <f aca="false">HYPERLINK("https://www.ncbi.nlm.nih.gov/nuccore/CP000058.1?report=graph&amp;tracks=[key:gene_model_track,Options:GeneOnly]&amp;mk=3827263:3827282|offset_1|00cc00,3827285:3827304|offset_23|444444,3827325:3827344|offset_63|444444,3827375:3827394|offset_113|444444&amp;v=3827062:3827594&amp;c=444444", "offset 1")</f>
        <v>offset 1</v>
      </c>
    </row>
    <row r="12170" customFormat="false" ht="12.8" hidden="false" customHeight="false" outlineLevel="0" collapsed="false">
      <c r="A12170" s="0" t="s">
        <v>12</v>
      </c>
      <c r="B12170" s="0" t="n">
        <v>3827284</v>
      </c>
      <c r="C12170" s="0" t="n">
        <v>3827304</v>
      </c>
      <c r="D12170" s="0" t="s">
        <v>40390</v>
      </c>
      <c r="E12170" s="0" t="s">
        <v>75</v>
      </c>
      <c r="F12170" s="0" t="s">
        <v>15</v>
      </c>
      <c r="G12170" s="0" t="s">
        <v>16</v>
      </c>
      <c r="H12170" s="0" t="n">
        <v>23</v>
      </c>
      <c r="I12170" s="0" t="s">
        <v>40394</v>
      </c>
      <c r="J12170" s="0" t="s">
        <v>40395</v>
      </c>
      <c r="K12170" s="0" t="s">
        <v>40396</v>
      </c>
      <c r="L12170" s="0" t="str">
        <f aca="false">HYPERLINK("https://www.ncbi.nlm.nih.gov/nuccore/CP000058.1?report=graph&amp;tracks=[key:gene_model_track,Options:GeneOnly]&amp;mk=3827263:3827282|offset_1|444444,3827285:3827304|offset_23|00cc00,3827325:3827344|offset_63|444444,3827375:3827394|offset_113|444444&amp;v=3827062:3827594&amp;c=444444", "offset 23")</f>
        <v>offset 23</v>
      </c>
    </row>
    <row r="12171" customFormat="false" ht="12.8" hidden="false" customHeight="false" outlineLevel="0" collapsed="false">
      <c r="A12171" s="0" t="s">
        <v>12</v>
      </c>
      <c r="B12171" s="0" t="n">
        <v>3827324</v>
      </c>
      <c r="C12171" s="0" t="n">
        <v>3827344</v>
      </c>
      <c r="D12171" s="0" t="s">
        <v>40390</v>
      </c>
      <c r="E12171" s="0" t="s">
        <v>75</v>
      </c>
      <c r="F12171" s="0" t="s">
        <v>15</v>
      </c>
      <c r="G12171" s="0" t="s">
        <v>20</v>
      </c>
      <c r="H12171" s="0" t="n">
        <v>63</v>
      </c>
      <c r="I12171" s="0" t="s">
        <v>40397</v>
      </c>
      <c r="J12171" s="0" t="s">
        <v>40398</v>
      </c>
      <c r="K12171" s="0" t="s">
        <v>40399</v>
      </c>
      <c r="L12171" s="0" t="str">
        <f aca="false">HYPERLINK("https://www.ncbi.nlm.nih.gov/nuccore/CP000058.1?report=graph&amp;tracks=[key:gene_model_track,Options:GeneOnly]&amp;mk=3827263:3827282|offset_1|444444,3827285:3827304|offset_23|444444,3827325:3827344|offset_63|00cc00,3827375:3827394|offset_113|444444&amp;v=3827062:3827594&amp;c=444444", "offset 63")</f>
        <v>offset 63</v>
      </c>
    </row>
    <row r="12172" customFormat="false" ht="12.8" hidden="false" customHeight="false" outlineLevel="0" collapsed="false">
      <c r="A12172" s="0" t="s">
        <v>12</v>
      </c>
      <c r="B12172" s="0" t="n">
        <v>3827374</v>
      </c>
      <c r="C12172" s="0" t="n">
        <v>3827394</v>
      </c>
      <c r="D12172" s="0" t="s">
        <v>40390</v>
      </c>
      <c r="E12172" s="0" t="s">
        <v>75</v>
      </c>
      <c r="F12172" s="0" t="s">
        <v>15</v>
      </c>
      <c r="G12172" s="0" t="s">
        <v>20</v>
      </c>
      <c r="H12172" s="0" t="n">
        <v>113</v>
      </c>
      <c r="I12172" s="0" t="s">
        <v>40400</v>
      </c>
      <c r="J12172" s="0" t="s">
        <v>40401</v>
      </c>
      <c r="K12172" s="0" t="s">
        <v>40402</v>
      </c>
      <c r="L12172" s="0" t="str">
        <f aca="false">HYPERLINK("https://www.ncbi.nlm.nih.gov/nuccore/CP000058.1?report=graph&amp;tracks=[key:gene_model_track,Options:GeneOnly]&amp;mk=3827263:3827282|offset_1|444444,3827285:3827304|offset_23|444444,3827325:3827344|offset_63|444444,3827375:3827394|offset_113|00cc00&amp;v=3827062:3827594&amp;c=444444", "offset 113")</f>
        <v>offset 113</v>
      </c>
    </row>
    <row r="12173" customFormat="false" ht="12.8" hidden="false" customHeight="false" outlineLevel="0" collapsed="false">
      <c r="A12173" s="0" t="s">
        <v>12</v>
      </c>
      <c r="B12173" s="0" t="n">
        <v>3828217</v>
      </c>
      <c r="C12173" s="0" t="n">
        <v>3828237</v>
      </c>
      <c r="D12173" s="0" t="s">
        <v>40403</v>
      </c>
      <c r="E12173" s="0" t="s">
        <v>75</v>
      </c>
      <c r="F12173" s="0" t="s">
        <v>15</v>
      </c>
      <c r="G12173" s="0" t="s">
        <v>16</v>
      </c>
      <c r="H12173" s="0" t="n">
        <v>19</v>
      </c>
      <c r="I12173" s="0" t="s">
        <v>40404</v>
      </c>
      <c r="J12173" s="0" t="s">
        <v>40405</v>
      </c>
      <c r="K12173" s="0" t="s">
        <v>40406</v>
      </c>
      <c r="L12173" s="0" t="str">
        <f aca="false">HYPERLINK("https://www.ncbi.nlm.nih.gov/nuccore/CP000058.1?report=graph&amp;tracks=[key:gene_model_track,Options:GeneOnly]&amp;mk=3828218:3828237|offset_19|00cc00,3828240:3828259|offset_41|444444,3828260:3828279|offset_61|444444,3828290:3828309|offset_91|444444&amp;v=3828017:3828509&amp;c=444444", "offset 19")</f>
        <v>offset 19</v>
      </c>
    </row>
    <row r="12174" customFormat="false" ht="12.8" hidden="false" customHeight="false" outlineLevel="0" collapsed="false">
      <c r="A12174" s="0" t="s">
        <v>12</v>
      </c>
      <c r="B12174" s="0" t="n">
        <v>3828239</v>
      </c>
      <c r="C12174" s="0" t="n">
        <v>3828259</v>
      </c>
      <c r="D12174" s="0" t="s">
        <v>40403</v>
      </c>
      <c r="E12174" s="0" t="s">
        <v>75</v>
      </c>
      <c r="F12174" s="0" t="s">
        <v>15</v>
      </c>
      <c r="G12174" s="0" t="s">
        <v>20</v>
      </c>
      <c r="H12174" s="0" t="n">
        <v>41</v>
      </c>
      <c r="I12174" s="0" t="s">
        <v>40407</v>
      </c>
      <c r="J12174" s="0" t="s">
        <v>40408</v>
      </c>
      <c r="K12174" s="0" t="s">
        <v>40409</v>
      </c>
      <c r="L12174" s="0" t="str">
        <f aca="false">HYPERLINK("https://www.ncbi.nlm.nih.gov/nuccore/CP000058.1?report=graph&amp;tracks=[key:gene_model_track,Options:GeneOnly]&amp;mk=3828218:3828237|offset_19|444444,3828240:3828259|offset_41|00cc00,3828260:3828279|offset_61|444444,3828290:3828309|offset_91|444444&amp;v=3828017:3828509&amp;c=444444", "offset 41")</f>
        <v>offset 41</v>
      </c>
    </row>
    <row r="12175" customFormat="false" ht="12.8" hidden="false" customHeight="false" outlineLevel="0" collapsed="false">
      <c r="A12175" s="0" t="s">
        <v>12</v>
      </c>
      <c r="B12175" s="0" t="n">
        <v>3828259</v>
      </c>
      <c r="C12175" s="0" t="n">
        <v>3828279</v>
      </c>
      <c r="D12175" s="0" t="s">
        <v>40403</v>
      </c>
      <c r="E12175" s="0" t="s">
        <v>75</v>
      </c>
      <c r="F12175" s="0" t="s">
        <v>15</v>
      </c>
      <c r="G12175" s="0" t="s">
        <v>36</v>
      </c>
      <c r="H12175" s="0" t="n">
        <v>61</v>
      </c>
      <c r="I12175" s="0" t="s">
        <v>40410</v>
      </c>
      <c r="J12175" s="0" t="s">
        <v>40411</v>
      </c>
      <c r="K12175" s="0" t="s">
        <v>40412</v>
      </c>
      <c r="L12175" s="0" t="str">
        <f aca="false">HYPERLINK("https://www.ncbi.nlm.nih.gov/nuccore/CP000058.1?report=graph&amp;tracks=[key:gene_model_track,Options:GeneOnly]&amp;mk=3828218:3828237|offset_19|444444,3828240:3828259|offset_41|444444,3828260:3828279|offset_61|00cc00,3828290:3828309|offset_91|444444&amp;v=3828017:3828509&amp;c=444444", "offset 61")</f>
        <v>offset 61</v>
      </c>
    </row>
    <row r="12176" customFormat="false" ht="12.8" hidden="false" customHeight="false" outlineLevel="0" collapsed="false">
      <c r="A12176" s="0" t="s">
        <v>12</v>
      </c>
      <c r="B12176" s="0" t="n">
        <v>3828289</v>
      </c>
      <c r="C12176" s="0" t="n">
        <v>3828309</v>
      </c>
      <c r="D12176" s="0" t="s">
        <v>40403</v>
      </c>
      <c r="E12176" s="0" t="s">
        <v>75</v>
      </c>
      <c r="F12176" s="0" t="s">
        <v>15</v>
      </c>
      <c r="G12176" s="0" t="s">
        <v>20</v>
      </c>
      <c r="H12176" s="0" t="n">
        <v>91</v>
      </c>
      <c r="I12176" s="0" t="s">
        <v>40413</v>
      </c>
      <c r="J12176" s="0" t="s">
        <v>40414</v>
      </c>
      <c r="K12176" s="0" t="s">
        <v>40415</v>
      </c>
      <c r="L12176" s="0" t="str">
        <f aca="false">HYPERLINK("https://www.ncbi.nlm.nih.gov/nuccore/CP000058.1?report=graph&amp;tracks=[key:gene_model_track,Options:GeneOnly]&amp;mk=3828218:3828237|offset_19|444444,3828240:3828259|offset_41|444444,3828260:3828279|offset_61|444444,3828290:3828309|offset_91|00cc00&amp;v=3828017:3828509&amp;c=444444", "offset 91")</f>
        <v>offset 91</v>
      </c>
    </row>
    <row r="12177" customFormat="false" ht="12.8" hidden="false" customHeight="false" outlineLevel="0" collapsed="false">
      <c r="A12177" s="0" t="s">
        <v>12</v>
      </c>
      <c r="B12177" s="0" t="n">
        <v>3829636</v>
      </c>
      <c r="C12177" s="0" t="n">
        <v>3829656</v>
      </c>
      <c r="D12177" s="0" t="s">
        <v>40416</v>
      </c>
      <c r="E12177" s="0" t="s">
        <v>75</v>
      </c>
      <c r="F12177" s="0" t="s">
        <v>90</v>
      </c>
      <c r="G12177" s="0" t="s">
        <v>16</v>
      </c>
      <c r="H12177" s="0" t="n">
        <v>8</v>
      </c>
      <c r="I12177" s="0" t="s">
        <v>40417</v>
      </c>
      <c r="J12177" s="0" t="s">
        <v>40418</v>
      </c>
      <c r="K12177" s="0" t="s">
        <v>40419</v>
      </c>
      <c r="L12177" s="0" t="str">
        <f aca="false">HYPERLINK("https://www.ncbi.nlm.nih.gov/nuccore/CP000058.1?report=graph&amp;tracks=[key:gene_model_track,Options:GeneOnly]&amp;mk=3829637:3829656|offset_8|00cc00,3829598:3829617|offset_47|444444,3829573:3829592|offset_72|444444,3829549:3829568|offset_96|444444&amp;v=3829436:3829768&amp;c=444444", "offset 8")</f>
        <v>offset 8</v>
      </c>
    </row>
    <row r="12178" customFormat="false" ht="12.8" hidden="false" customHeight="false" outlineLevel="0" collapsed="false">
      <c r="A12178" s="0" t="s">
        <v>12</v>
      </c>
      <c r="B12178" s="0" t="n">
        <v>3829597</v>
      </c>
      <c r="C12178" s="0" t="n">
        <v>3829617</v>
      </c>
      <c r="D12178" s="0" t="s">
        <v>40416</v>
      </c>
      <c r="E12178" s="0" t="s">
        <v>75</v>
      </c>
      <c r="F12178" s="0" t="s">
        <v>90</v>
      </c>
      <c r="G12178" s="0" t="s">
        <v>20</v>
      </c>
      <c r="H12178" s="0" t="n">
        <v>47</v>
      </c>
      <c r="I12178" s="0" t="s">
        <v>40420</v>
      </c>
      <c r="J12178" s="0" t="s">
        <v>40421</v>
      </c>
      <c r="K12178" s="0" t="s">
        <v>40422</v>
      </c>
      <c r="L12178" s="0" t="str">
        <f aca="false">HYPERLINK("https://www.ncbi.nlm.nih.gov/nuccore/CP000058.1?report=graph&amp;tracks=[key:gene_model_track,Options:GeneOnly]&amp;mk=3829637:3829656|offset_8|444444,3829598:3829617|offset_47|00cc00,3829573:3829592|offset_72|444444,3829549:3829568|offset_96|444444&amp;v=3829436:3829768&amp;c=444444", "offset 47")</f>
        <v>offset 47</v>
      </c>
    </row>
    <row r="12179" customFormat="false" ht="12.8" hidden="false" customHeight="false" outlineLevel="0" collapsed="false">
      <c r="A12179" s="0" t="s">
        <v>12</v>
      </c>
      <c r="B12179" s="0" t="n">
        <v>3829572</v>
      </c>
      <c r="C12179" s="0" t="n">
        <v>3829592</v>
      </c>
      <c r="D12179" s="0" t="s">
        <v>40416</v>
      </c>
      <c r="E12179" s="0" t="s">
        <v>75</v>
      </c>
      <c r="F12179" s="0" t="s">
        <v>90</v>
      </c>
      <c r="G12179" s="0" t="s">
        <v>16</v>
      </c>
      <c r="H12179" s="0" t="n">
        <v>72</v>
      </c>
      <c r="I12179" s="0" t="s">
        <v>40423</v>
      </c>
      <c r="J12179" s="0" t="s">
        <v>40424</v>
      </c>
      <c r="K12179" s="0" t="s">
        <v>40425</v>
      </c>
      <c r="L12179" s="0" t="str">
        <f aca="false">HYPERLINK("https://www.ncbi.nlm.nih.gov/nuccore/CP000058.1?report=graph&amp;tracks=[key:gene_model_track,Options:GeneOnly]&amp;mk=3829637:3829656|offset_8|444444,3829598:3829617|offset_47|444444,3829573:3829592|offset_72|00cc00,3829549:3829568|offset_96|444444&amp;v=3829436:3829768&amp;c=444444", "offset 72")</f>
        <v>offset 72</v>
      </c>
    </row>
    <row r="12180" customFormat="false" ht="12.8" hidden="false" customHeight="false" outlineLevel="0" collapsed="false">
      <c r="A12180" s="0" t="s">
        <v>12</v>
      </c>
      <c r="B12180" s="0" t="n">
        <v>3829548</v>
      </c>
      <c r="C12180" s="0" t="n">
        <v>3829568</v>
      </c>
      <c r="D12180" s="0" t="s">
        <v>40416</v>
      </c>
      <c r="E12180" s="0" t="s">
        <v>75</v>
      </c>
      <c r="F12180" s="0" t="s">
        <v>90</v>
      </c>
      <c r="G12180" s="0" t="s">
        <v>16</v>
      </c>
      <c r="H12180" s="0" t="n">
        <v>96</v>
      </c>
      <c r="I12180" s="0" t="s">
        <v>40426</v>
      </c>
      <c r="J12180" s="0" t="s">
        <v>40427</v>
      </c>
      <c r="K12180" s="0" t="s">
        <v>40428</v>
      </c>
      <c r="L12180" s="0" t="str">
        <f aca="false">HYPERLINK("https://www.ncbi.nlm.nih.gov/nuccore/CP000058.1?report=graph&amp;tracks=[key:gene_model_track,Options:GeneOnly]&amp;mk=3829637:3829656|offset_8|444444,3829598:3829617|offset_47|444444,3829573:3829592|offset_72|444444,3829549:3829568|offset_96|00cc00&amp;v=3829436:3829768&amp;c=444444", "offset 96")</f>
        <v>offset 96</v>
      </c>
    </row>
    <row r="12181" customFormat="false" ht="12.8" hidden="false" customHeight="false" outlineLevel="0" collapsed="false">
      <c r="A12181" s="0" t="s">
        <v>12</v>
      </c>
      <c r="B12181" s="0" t="n">
        <v>3830830</v>
      </c>
      <c r="C12181" s="0" t="n">
        <v>3830850</v>
      </c>
      <c r="D12181" s="0" t="s">
        <v>40429</v>
      </c>
      <c r="E12181" s="0" t="s">
        <v>40430</v>
      </c>
      <c r="F12181" s="0" t="s">
        <v>90</v>
      </c>
      <c r="G12181" s="0" t="s">
        <v>16</v>
      </c>
      <c r="H12181" s="0" t="n">
        <v>7</v>
      </c>
      <c r="I12181" s="0" t="s">
        <v>40431</v>
      </c>
      <c r="J12181" s="0" t="s">
        <v>40432</v>
      </c>
      <c r="K12181" s="0" t="s">
        <v>40433</v>
      </c>
      <c r="L12181" s="0" t="str">
        <f aca="false">HYPERLINK("https://www.ncbi.nlm.nih.gov/nuccore/CP000058.1?report=graph&amp;tracks=[key:gene_model_track,Options:GeneOnly]&amp;mk=3830831:3830850|offset_7|00cc00,3830758:3830777|offset_80|444444,3830726:3830745|offset_112|444444,3830630:3830649|offset_208|444444&amp;v=3830630:3830849&amp;c=444444", "offset 7")</f>
        <v>offset 7</v>
      </c>
    </row>
    <row r="12182" customFormat="false" ht="12.8" hidden="false" customHeight="false" outlineLevel="0" collapsed="false">
      <c r="A12182" s="0" t="s">
        <v>12</v>
      </c>
      <c r="B12182" s="0" t="n">
        <v>3830757</v>
      </c>
      <c r="C12182" s="0" t="n">
        <v>3830777</v>
      </c>
      <c r="D12182" s="0" t="s">
        <v>40429</v>
      </c>
      <c r="E12182" s="0" t="s">
        <v>40430</v>
      </c>
      <c r="F12182" s="0" t="s">
        <v>90</v>
      </c>
      <c r="G12182" s="0" t="s">
        <v>32</v>
      </c>
      <c r="H12182" s="0" t="n">
        <v>80</v>
      </c>
      <c r="I12182" s="0" t="s">
        <v>40434</v>
      </c>
      <c r="J12182" s="0" t="s">
        <v>40435</v>
      </c>
      <c r="K12182" s="0" t="s">
        <v>40436</v>
      </c>
      <c r="L12182" s="0" t="str">
        <f aca="false">HYPERLINK("https://www.ncbi.nlm.nih.gov/nuccore/CP000058.1?report=graph&amp;tracks=[key:gene_model_track,Options:GeneOnly]&amp;mk=3830831:3830850|offset_7|444444,3830758:3830777|offset_80|00cc00,3830726:3830745|offset_112|444444,3830630:3830649|offset_208|444444&amp;v=3830630:3830849&amp;c=444444", "offset 80")</f>
        <v>offset 80</v>
      </c>
    </row>
    <row r="12183" customFormat="false" ht="12.8" hidden="false" customHeight="false" outlineLevel="0" collapsed="false">
      <c r="A12183" s="0" t="s">
        <v>12</v>
      </c>
      <c r="B12183" s="0" t="n">
        <v>3830725</v>
      </c>
      <c r="C12183" s="0" t="n">
        <v>3830745</v>
      </c>
      <c r="D12183" s="0" t="s">
        <v>40429</v>
      </c>
      <c r="E12183" s="0" t="s">
        <v>40430</v>
      </c>
      <c r="F12183" s="0" t="s">
        <v>90</v>
      </c>
      <c r="G12183" s="0" t="s">
        <v>36</v>
      </c>
      <c r="H12183" s="0" t="n">
        <v>112</v>
      </c>
      <c r="I12183" s="0" t="s">
        <v>40437</v>
      </c>
      <c r="J12183" s="0" t="s">
        <v>40438</v>
      </c>
      <c r="K12183" s="0" t="s">
        <v>40439</v>
      </c>
      <c r="L12183" s="0" t="str">
        <f aca="false">HYPERLINK("https://www.ncbi.nlm.nih.gov/nuccore/CP000058.1?report=graph&amp;tracks=[key:gene_model_track,Options:GeneOnly]&amp;mk=3830831:3830850|offset_7|444444,3830758:3830777|offset_80|444444,3830726:3830745|offset_112|00cc00,3830630:3830649|offset_208|444444&amp;v=3830630:3830849&amp;c=444444", "offset 112")</f>
        <v>offset 112</v>
      </c>
    </row>
    <row r="12184" customFormat="false" ht="12.8" hidden="false" customHeight="false" outlineLevel="0" collapsed="false">
      <c r="A12184" s="0" t="s">
        <v>12</v>
      </c>
      <c r="B12184" s="0" t="n">
        <v>3830629</v>
      </c>
      <c r="C12184" s="0" t="n">
        <v>3830649</v>
      </c>
      <c r="D12184" s="0" t="s">
        <v>40429</v>
      </c>
      <c r="E12184" s="0" t="s">
        <v>40430</v>
      </c>
      <c r="F12184" s="0" t="s">
        <v>90</v>
      </c>
      <c r="G12184" s="0" t="s">
        <v>16</v>
      </c>
      <c r="H12184" s="0" t="n">
        <v>208</v>
      </c>
      <c r="I12184" s="0" t="s">
        <v>40440</v>
      </c>
      <c r="J12184" s="0" t="s">
        <v>40441</v>
      </c>
      <c r="K12184" s="0" t="s">
        <v>40442</v>
      </c>
      <c r="L12184" s="0" t="str">
        <f aca="false">HYPERLINK("https://www.ncbi.nlm.nih.gov/nuccore/CP000058.1?report=graph&amp;tracks=[key:gene_model_track,Options:GeneOnly]&amp;mk=3830831:3830850|offset_7|444444,3830758:3830777|offset_80|444444,3830726:3830745|offset_112|444444,3830630:3830649|offset_208|00cc00&amp;v=3830630:3830849&amp;c=444444", "offset 208")</f>
        <v>offset 208</v>
      </c>
    </row>
    <row r="12185" customFormat="false" ht="12.8" hidden="false" customHeight="false" outlineLevel="0" collapsed="false">
      <c r="A12185" s="0" t="s">
        <v>12</v>
      </c>
      <c r="B12185" s="0" t="n">
        <v>3831290</v>
      </c>
      <c r="C12185" s="0" t="n">
        <v>3831310</v>
      </c>
      <c r="D12185" s="0" t="s">
        <v>40443</v>
      </c>
      <c r="E12185" s="0" t="s">
        <v>40444</v>
      </c>
      <c r="F12185" s="0" t="s">
        <v>90</v>
      </c>
      <c r="G12185" s="0" t="s">
        <v>20</v>
      </c>
      <c r="H12185" s="0" t="n">
        <v>14</v>
      </c>
      <c r="I12185" s="0" t="s">
        <v>40445</v>
      </c>
      <c r="J12185" s="0" t="s">
        <v>40446</v>
      </c>
      <c r="K12185" s="0" t="s">
        <v>40447</v>
      </c>
      <c r="L12185" s="0" t="str">
        <f aca="false">HYPERLINK("https://www.ncbi.nlm.nih.gov/nuccore/CP000058.1?report=graph&amp;tracks=[key:gene_model_track,Options:GeneOnly]&amp;mk=3831291:3831310|offset_14|00cc00,3831250:3831269|offset_55|444444,3831211:3831230|offset_94|444444,3831184:3831203|offset_121|444444&amp;v=3831090:3831403&amp;c=444444", "offset 14")</f>
        <v>offset 14</v>
      </c>
    </row>
    <row r="12186" customFormat="false" ht="12.8" hidden="false" customHeight="false" outlineLevel="0" collapsed="false">
      <c r="A12186" s="0" t="s">
        <v>12</v>
      </c>
      <c r="B12186" s="0" t="n">
        <v>3831249</v>
      </c>
      <c r="C12186" s="0" t="n">
        <v>3831269</v>
      </c>
      <c r="D12186" s="0" t="s">
        <v>40443</v>
      </c>
      <c r="E12186" s="0" t="s">
        <v>40444</v>
      </c>
      <c r="F12186" s="0" t="s">
        <v>90</v>
      </c>
      <c r="G12186" s="0" t="s">
        <v>36</v>
      </c>
      <c r="H12186" s="0" t="n">
        <v>55</v>
      </c>
      <c r="I12186" s="0" t="s">
        <v>40448</v>
      </c>
      <c r="J12186" s="0" t="s">
        <v>40449</v>
      </c>
      <c r="K12186" s="0" t="s">
        <v>40450</v>
      </c>
      <c r="L12186" s="0" t="str">
        <f aca="false">HYPERLINK("https://www.ncbi.nlm.nih.gov/nuccore/CP000058.1?report=graph&amp;tracks=[key:gene_model_track,Options:GeneOnly]&amp;mk=3831291:3831310|offset_14|444444,3831250:3831269|offset_55|00cc00,3831211:3831230|offset_94|444444,3831184:3831203|offset_121|444444&amp;v=3831090:3831403&amp;c=444444", "offset 55")</f>
        <v>offset 55</v>
      </c>
    </row>
    <row r="12187" customFormat="false" ht="12.8" hidden="false" customHeight="false" outlineLevel="0" collapsed="false">
      <c r="A12187" s="0" t="s">
        <v>12</v>
      </c>
      <c r="B12187" s="0" t="n">
        <v>3831210</v>
      </c>
      <c r="C12187" s="0" t="n">
        <v>3831230</v>
      </c>
      <c r="D12187" s="0" t="s">
        <v>40443</v>
      </c>
      <c r="E12187" s="0" t="s">
        <v>40444</v>
      </c>
      <c r="F12187" s="0" t="s">
        <v>90</v>
      </c>
      <c r="G12187" s="0" t="s">
        <v>16</v>
      </c>
      <c r="H12187" s="0" t="n">
        <v>94</v>
      </c>
      <c r="I12187" s="0" t="s">
        <v>40451</v>
      </c>
      <c r="J12187" s="0" t="s">
        <v>40452</v>
      </c>
      <c r="K12187" s="0" t="s">
        <v>40453</v>
      </c>
      <c r="L12187" s="0" t="str">
        <f aca="false">HYPERLINK("https://www.ncbi.nlm.nih.gov/nuccore/CP000058.1?report=graph&amp;tracks=[key:gene_model_track,Options:GeneOnly]&amp;mk=3831291:3831310|offset_14|444444,3831250:3831269|offset_55|444444,3831211:3831230|offset_94|00cc00,3831184:3831203|offset_121|444444&amp;v=3831090:3831403&amp;c=444444", "offset 94")</f>
        <v>offset 94</v>
      </c>
    </row>
    <row r="12188" customFormat="false" ht="12.8" hidden="false" customHeight="false" outlineLevel="0" collapsed="false">
      <c r="A12188" s="0" t="s">
        <v>12</v>
      </c>
      <c r="B12188" s="0" t="n">
        <v>3831183</v>
      </c>
      <c r="C12188" s="0" t="n">
        <v>3831203</v>
      </c>
      <c r="D12188" s="0" t="s">
        <v>40443</v>
      </c>
      <c r="E12188" s="0" t="s">
        <v>40444</v>
      </c>
      <c r="F12188" s="0" t="s">
        <v>90</v>
      </c>
      <c r="G12188" s="0" t="s">
        <v>32</v>
      </c>
      <c r="H12188" s="0" t="n">
        <v>121</v>
      </c>
      <c r="I12188" s="0" t="s">
        <v>40454</v>
      </c>
      <c r="J12188" s="0" t="s">
        <v>40455</v>
      </c>
      <c r="K12188" s="0" t="s">
        <v>40456</v>
      </c>
      <c r="L12188" s="0" t="str">
        <f aca="false">HYPERLINK("https://www.ncbi.nlm.nih.gov/nuccore/CP000058.1?report=graph&amp;tracks=[key:gene_model_track,Options:GeneOnly]&amp;mk=3831291:3831310|offset_14|444444,3831250:3831269|offset_55|444444,3831211:3831230|offset_94|444444,3831184:3831203|offset_121|00cc00&amp;v=3831090:3831403&amp;c=444444", "offset 121")</f>
        <v>offset 121</v>
      </c>
    </row>
    <row r="12189" customFormat="false" ht="12.8" hidden="false" customHeight="false" outlineLevel="0" collapsed="false">
      <c r="A12189" s="0" t="s">
        <v>12</v>
      </c>
      <c r="B12189" s="0" t="n">
        <v>3831814</v>
      </c>
      <c r="C12189" s="0" t="n">
        <v>3831834</v>
      </c>
      <c r="D12189" s="0" t="s">
        <v>40457</v>
      </c>
      <c r="E12189" s="0" t="s">
        <v>40458</v>
      </c>
      <c r="F12189" s="0" t="s">
        <v>90</v>
      </c>
      <c r="G12189" s="0" t="s">
        <v>20</v>
      </c>
      <c r="H12189" s="0" t="n">
        <v>8</v>
      </c>
      <c r="I12189" s="0" t="s">
        <v>40459</v>
      </c>
      <c r="J12189" s="0" t="s">
        <v>40460</v>
      </c>
      <c r="K12189" s="0" t="s">
        <v>40461</v>
      </c>
      <c r="L12189" s="0" t="str">
        <f aca="false">HYPERLINK("https://www.ncbi.nlm.nih.gov/nuccore/CP000058.1?report=graph&amp;tracks=[key:gene_model_track,Options:GeneOnly]&amp;mk=3831815:3831834|offset_8|00cc00,3831779:3831798|offset_44|444444,3831755:3831774|offset_68|444444,3831721:3831740|offset_102|444444&amp;v=3831614:3831940&amp;c=444444", "offset 8")</f>
        <v>offset 8</v>
      </c>
    </row>
    <row r="12190" customFormat="false" ht="12.8" hidden="false" customHeight="false" outlineLevel="0" collapsed="false">
      <c r="A12190" s="0" t="s">
        <v>12</v>
      </c>
      <c r="B12190" s="0" t="n">
        <v>3831778</v>
      </c>
      <c r="C12190" s="0" t="n">
        <v>3831798</v>
      </c>
      <c r="D12190" s="0" t="s">
        <v>40457</v>
      </c>
      <c r="E12190" s="0" t="s">
        <v>40458</v>
      </c>
      <c r="F12190" s="0" t="s">
        <v>90</v>
      </c>
      <c r="G12190" s="0" t="s">
        <v>20</v>
      </c>
      <c r="H12190" s="0" t="n">
        <v>44</v>
      </c>
      <c r="I12190" s="0" t="s">
        <v>40462</v>
      </c>
      <c r="J12190" s="0" t="s">
        <v>40463</v>
      </c>
      <c r="K12190" s="0" t="s">
        <v>40464</v>
      </c>
      <c r="L12190" s="0" t="str">
        <f aca="false">HYPERLINK("https://www.ncbi.nlm.nih.gov/nuccore/CP000058.1?report=graph&amp;tracks=[key:gene_model_track,Options:GeneOnly]&amp;mk=3831815:3831834|offset_8|444444,3831779:3831798|offset_44|00cc00,3831755:3831774|offset_68|444444,3831721:3831740|offset_102|444444&amp;v=3831614:3831940&amp;c=444444", "offset 44")</f>
        <v>offset 44</v>
      </c>
    </row>
    <row r="12191" customFormat="false" ht="12.8" hidden="false" customHeight="false" outlineLevel="0" collapsed="false">
      <c r="A12191" s="0" t="s">
        <v>12</v>
      </c>
      <c r="B12191" s="0" t="n">
        <v>3831754</v>
      </c>
      <c r="C12191" s="0" t="n">
        <v>3831774</v>
      </c>
      <c r="D12191" s="0" t="s">
        <v>40457</v>
      </c>
      <c r="E12191" s="0" t="s">
        <v>40458</v>
      </c>
      <c r="F12191" s="0" t="s">
        <v>90</v>
      </c>
      <c r="G12191" s="0" t="s">
        <v>36</v>
      </c>
      <c r="H12191" s="0" t="n">
        <v>68</v>
      </c>
      <c r="I12191" s="0" t="s">
        <v>40465</v>
      </c>
      <c r="J12191" s="0" t="s">
        <v>40466</v>
      </c>
      <c r="K12191" s="0" t="s">
        <v>40467</v>
      </c>
      <c r="L12191" s="0" t="str">
        <f aca="false">HYPERLINK("https://www.ncbi.nlm.nih.gov/nuccore/CP000058.1?report=graph&amp;tracks=[key:gene_model_track,Options:GeneOnly]&amp;mk=3831815:3831834|offset_8|444444,3831779:3831798|offset_44|444444,3831755:3831774|offset_68|00cc00,3831721:3831740|offset_102|444444&amp;v=3831614:3831940&amp;c=444444", "offset 68")</f>
        <v>offset 68</v>
      </c>
    </row>
    <row r="12192" customFormat="false" ht="12.8" hidden="false" customHeight="false" outlineLevel="0" collapsed="false">
      <c r="A12192" s="0" t="s">
        <v>12</v>
      </c>
      <c r="B12192" s="0" t="n">
        <v>3831720</v>
      </c>
      <c r="C12192" s="0" t="n">
        <v>3831740</v>
      </c>
      <c r="D12192" s="0" t="s">
        <v>40457</v>
      </c>
      <c r="E12192" s="0" t="s">
        <v>40458</v>
      </c>
      <c r="F12192" s="0" t="s">
        <v>90</v>
      </c>
      <c r="G12192" s="0" t="s">
        <v>16</v>
      </c>
      <c r="H12192" s="0" t="n">
        <v>102</v>
      </c>
      <c r="I12192" s="0" t="s">
        <v>40468</v>
      </c>
      <c r="J12192" s="0" t="s">
        <v>40469</v>
      </c>
      <c r="K12192" s="0" t="s">
        <v>40470</v>
      </c>
      <c r="L12192" s="0" t="str">
        <f aca="false">HYPERLINK("https://www.ncbi.nlm.nih.gov/nuccore/CP000058.1?report=graph&amp;tracks=[key:gene_model_track,Options:GeneOnly]&amp;mk=3831815:3831834|offset_8|444444,3831779:3831798|offset_44|444444,3831755:3831774|offset_68|444444,3831721:3831740|offset_102|00cc00&amp;v=3831614:3831940&amp;c=444444", "offset 102")</f>
        <v>offset 102</v>
      </c>
    </row>
    <row r="12193" customFormat="false" ht="12.8" hidden="false" customHeight="false" outlineLevel="0" collapsed="false">
      <c r="A12193" s="0" t="s">
        <v>12</v>
      </c>
      <c r="B12193" s="0" t="n">
        <v>3833798</v>
      </c>
      <c r="C12193" s="0" t="n">
        <v>3833818</v>
      </c>
      <c r="D12193" s="0" t="s">
        <v>40471</v>
      </c>
      <c r="E12193" s="0" t="s">
        <v>40472</v>
      </c>
      <c r="F12193" s="0" t="s">
        <v>90</v>
      </c>
      <c r="G12193" s="0" t="s">
        <v>36</v>
      </c>
      <c r="H12193" s="0" t="n">
        <v>9</v>
      </c>
      <c r="I12193" s="0" t="s">
        <v>40473</v>
      </c>
      <c r="J12193" s="0" t="s">
        <v>40474</v>
      </c>
      <c r="K12193" s="0" t="s">
        <v>40475</v>
      </c>
      <c r="L12193" s="0" t="str">
        <f aca="false">HYPERLINK("https://www.ncbi.nlm.nih.gov/nuccore/CP000058.1?report=graph&amp;tracks=[key:gene_model_track,Options:GeneOnly]&amp;mk=3833799:3833818|offset_9|00cc00,3833744:3833763|offset_64|444444,3833710:3833729|offset_98|444444,3833685:3833704|offset_123|444444&amp;v=3833598:3833904&amp;c=444444", "offset 9")</f>
        <v>offset 9</v>
      </c>
    </row>
    <row r="12194" customFormat="false" ht="12.8" hidden="false" customHeight="false" outlineLevel="0" collapsed="false">
      <c r="A12194" s="0" t="s">
        <v>12</v>
      </c>
      <c r="B12194" s="0" t="n">
        <v>3833743</v>
      </c>
      <c r="C12194" s="0" t="n">
        <v>3833763</v>
      </c>
      <c r="D12194" s="0" t="s">
        <v>40471</v>
      </c>
      <c r="E12194" s="0" t="s">
        <v>40472</v>
      </c>
      <c r="F12194" s="0" t="s">
        <v>90</v>
      </c>
      <c r="G12194" s="0" t="s">
        <v>32</v>
      </c>
      <c r="H12194" s="0" t="n">
        <v>64</v>
      </c>
      <c r="I12194" s="0" t="s">
        <v>40476</v>
      </c>
      <c r="J12194" s="0" t="s">
        <v>40477</v>
      </c>
      <c r="K12194" s="0" t="s">
        <v>40478</v>
      </c>
      <c r="L12194" s="0" t="str">
        <f aca="false">HYPERLINK("https://www.ncbi.nlm.nih.gov/nuccore/CP000058.1?report=graph&amp;tracks=[key:gene_model_track,Options:GeneOnly]&amp;mk=3833799:3833818|offset_9|444444,3833744:3833763|offset_64|00cc00,3833710:3833729|offset_98|444444,3833685:3833704|offset_123|444444&amp;v=3833598:3833904&amp;c=444444", "offset 64")</f>
        <v>offset 64</v>
      </c>
    </row>
    <row r="12195" customFormat="false" ht="12.8" hidden="false" customHeight="false" outlineLevel="0" collapsed="false">
      <c r="A12195" s="0" t="s">
        <v>12</v>
      </c>
      <c r="B12195" s="0" t="n">
        <v>3833709</v>
      </c>
      <c r="C12195" s="0" t="n">
        <v>3833729</v>
      </c>
      <c r="D12195" s="0" t="s">
        <v>40471</v>
      </c>
      <c r="E12195" s="0" t="s">
        <v>40472</v>
      </c>
      <c r="F12195" s="0" t="s">
        <v>90</v>
      </c>
      <c r="G12195" s="0" t="s">
        <v>16</v>
      </c>
      <c r="H12195" s="0" t="n">
        <v>98</v>
      </c>
      <c r="I12195" s="0" t="s">
        <v>40479</v>
      </c>
      <c r="J12195" s="0" t="s">
        <v>40480</v>
      </c>
      <c r="K12195" s="0" t="s">
        <v>40481</v>
      </c>
      <c r="L12195" s="0" t="str">
        <f aca="false">HYPERLINK("https://www.ncbi.nlm.nih.gov/nuccore/CP000058.1?report=graph&amp;tracks=[key:gene_model_track,Options:GeneOnly]&amp;mk=3833799:3833818|offset_9|444444,3833744:3833763|offset_64|444444,3833710:3833729|offset_98|00cc00,3833685:3833704|offset_123|444444&amp;v=3833598:3833904&amp;c=444444", "offset 98")</f>
        <v>offset 98</v>
      </c>
    </row>
    <row r="12196" customFormat="false" ht="12.8" hidden="false" customHeight="false" outlineLevel="0" collapsed="false">
      <c r="A12196" s="0" t="s">
        <v>12</v>
      </c>
      <c r="B12196" s="0" t="n">
        <v>3833684</v>
      </c>
      <c r="C12196" s="0" t="n">
        <v>3833704</v>
      </c>
      <c r="D12196" s="0" t="s">
        <v>40471</v>
      </c>
      <c r="E12196" s="0" t="s">
        <v>40472</v>
      </c>
      <c r="F12196" s="0" t="s">
        <v>90</v>
      </c>
      <c r="G12196" s="0" t="s">
        <v>16</v>
      </c>
      <c r="H12196" s="0" t="n">
        <v>123</v>
      </c>
      <c r="I12196" s="0" t="s">
        <v>40482</v>
      </c>
      <c r="J12196" s="0" t="s">
        <v>40483</v>
      </c>
      <c r="K12196" s="0" t="s">
        <v>40484</v>
      </c>
      <c r="L12196" s="0" t="str">
        <f aca="false">HYPERLINK("https://www.ncbi.nlm.nih.gov/nuccore/CP000058.1?report=graph&amp;tracks=[key:gene_model_track,Options:GeneOnly]&amp;mk=3833799:3833818|offset_9|444444,3833744:3833763|offset_64|444444,3833710:3833729|offset_98|444444,3833685:3833704|offset_123|00cc00&amp;v=3833598:3833904&amp;c=444444", "offset 123")</f>
        <v>offset 123</v>
      </c>
    </row>
    <row r="12197" customFormat="false" ht="12.8" hidden="false" customHeight="false" outlineLevel="0" collapsed="false">
      <c r="A12197" s="0" t="s">
        <v>12</v>
      </c>
      <c r="B12197" s="0" t="n">
        <v>3834270</v>
      </c>
      <c r="C12197" s="0" t="n">
        <v>3834290</v>
      </c>
      <c r="D12197" s="0" t="s">
        <v>40485</v>
      </c>
      <c r="E12197" s="0" t="s">
        <v>40486</v>
      </c>
      <c r="F12197" s="0" t="s">
        <v>90</v>
      </c>
      <c r="G12197" s="0" t="s">
        <v>36</v>
      </c>
      <c r="H12197" s="0" t="n">
        <v>8</v>
      </c>
      <c r="I12197" s="0" t="s">
        <v>40487</v>
      </c>
      <c r="J12197" s="0" t="s">
        <v>40488</v>
      </c>
      <c r="K12197" s="0" t="s">
        <v>40489</v>
      </c>
      <c r="L12197" s="0" t="str">
        <f aca="false">HYPERLINK("https://www.ncbi.nlm.nih.gov/nuccore/CP000058.1?report=graph&amp;tracks=[key:gene_model_track,Options:GeneOnly]&amp;mk=3834271:3834290|offset_8|00cc00,3834239:3834258|offset_40|444444,3834212:3834231|offset_67|444444,3834159:3834178|offset_120|444444&amp;v=3834070:3834378&amp;c=444444", "offset 8")</f>
        <v>offset 8</v>
      </c>
    </row>
    <row r="12198" customFormat="false" ht="12.8" hidden="false" customHeight="false" outlineLevel="0" collapsed="false">
      <c r="A12198" s="0" t="s">
        <v>12</v>
      </c>
      <c r="B12198" s="0" t="n">
        <v>3834238</v>
      </c>
      <c r="C12198" s="0" t="n">
        <v>3834258</v>
      </c>
      <c r="D12198" s="0" t="s">
        <v>40485</v>
      </c>
      <c r="E12198" s="0" t="s">
        <v>40486</v>
      </c>
      <c r="F12198" s="0" t="s">
        <v>90</v>
      </c>
      <c r="G12198" s="0" t="s">
        <v>16</v>
      </c>
      <c r="H12198" s="0" t="n">
        <v>40</v>
      </c>
      <c r="I12198" s="0" t="s">
        <v>40490</v>
      </c>
      <c r="J12198" s="0" t="s">
        <v>40491</v>
      </c>
      <c r="K12198" s="0" t="s">
        <v>40492</v>
      </c>
      <c r="L12198" s="0" t="str">
        <f aca="false">HYPERLINK("https://www.ncbi.nlm.nih.gov/nuccore/CP000058.1?report=graph&amp;tracks=[key:gene_model_track,Options:GeneOnly]&amp;mk=3834271:3834290|offset_8|444444,3834239:3834258|offset_40|00cc00,3834212:3834231|offset_67|444444,3834159:3834178|offset_120|444444&amp;v=3834070:3834378&amp;c=444444", "offset 40")</f>
        <v>offset 40</v>
      </c>
    </row>
    <row r="12199" customFormat="false" ht="12.8" hidden="false" customHeight="false" outlineLevel="0" collapsed="false">
      <c r="A12199" s="0" t="s">
        <v>12</v>
      </c>
      <c r="B12199" s="0" t="n">
        <v>3834211</v>
      </c>
      <c r="C12199" s="0" t="n">
        <v>3834231</v>
      </c>
      <c r="D12199" s="0" t="s">
        <v>40485</v>
      </c>
      <c r="E12199" s="0" t="s">
        <v>40486</v>
      </c>
      <c r="F12199" s="0" t="s">
        <v>90</v>
      </c>
      <c r="G12199" s="0" t="s">
        <v>32</v>
      </c>
      <c r="H12199" s="0" t="n">
        <v>67</v>
      </c>
      <c r="I12199" s="0" t="s">
        <v>40493</v>
      </c>
      <c r="J12199" s="0" t="s">
        <v>40494</v>
      </c>
      <c r="K12199" s="0" t="s">
        <v>40495</v>
      </c>
      <c r="L12199" s="0" t="str">
        <f aca="false">HYPERLINK("https://www.ncbi.nlm.nih.gov/nuccore/CP000058.1?report=graph&amp;tracks=[key:gene_model_track,Options:GeneOnly]&amp;mk=3834271:3834290|offset_8|444444,3834239:3834258|offset_40|444444,3834212:3834231|offset_67|00cc00,3834159:3834178|offset_120|444444&amp;v=3834070:3834378&amp;c=444444", "offset 67")</f>
        <v>offset 67</v>
      </c>
    </row>
    <row r="12200" customFormat="false" ht="12.8" hidden="false" customHeight="false" outlineLevel="0" collapsed="false">
      <c r="A12200" s="0" t="s">
        <v>12</v>
      </c>
      <c r="B12200" s="0" t="n">
        <v>3834158</v>
      </c>
      <c r="C12200" s="0" t="n">
        <v>3834178</v>
      </c>
      <c r="D12200" s="0" t="s">
        <v>40485</v>
      </c>
      <c r="E12200" s="0" t="s">
        <v>40486</v>
      </c>
      <c r="F12200" s="0" t="s">
        <v>90</v>
      </c>
      <c r="G12200" s="0" t="s">
        <v>32</v>
      </c>
      <c r="H12200" s="0" t="n">
        <v>120</v>
      </c>
      <c r="I12200" s="0" t="s">
        <v>40496</v>
      </c>
      <c r="J12200" s="0" t="s">
        <v>40497</v>
      </c>
      <c r="K12200" s="0" t="s">
        <v>40498</v>
      </c>
      <c r="L12200" s="0" t="str">
        <f aca="false">HYPERLINK("https://www.ncbi.nlm.nih.gov/nuccore/CP000058.1?report=graph&amp;tracks=[key:gene_model_track,Options:GeneOnly]&amp;mk=3834271:3834290|offset_8|444444,3834239:3834258|offset_40|444444,3834212:3834231|offset_67|444444,3834159:3834178|offset_120|00cc00&amp;v=3834070:3834378&amp;c=444444", "offset 120")</f>
        <v>offset 120</v>
      </c>
    </row>
    <row r="12201" customFormat="false" ht="12.8" hidden="false" customHeight="false" outlineLevel="0" collapsed="false">
      <c r="A12201" s="0" t="s">
        <v>12</v>
      </c>
      <c r="B12201" s="0" t="n">
        <v>3834417</v>
      </c>
      <c r="C12201" s="0" t="n">
        <v>3834437</v>
      </c>
      <c r="D12201" s="0" t="s">
        <v>40499</v>
      </c>
      <c r="E12201" s="0" t="s">
        <v>40500</v>
      </c>
      <c r="F12201" s="0" t="s">
        <v>90</v>
      </c>
      <c r="G12201" s="0" t="s">
        <v>32</v>
      </c>
      <c r="H12201" s="0" t="n">
        <v>34</v>
      </c>
      <c r="I12201" s="0" t="s">
        <v>40501</v>
      </c>
      <c r="J12201" s="0" t="s">
        <v>40502</v>
      </c>
      <c r="K12201" s="0" t="s">
        <v>40503</v>
      </c>
      <c r="L12201" s="0" t="str">
        <f aca="false">HYPERLINK("https://www.ncbi.nlm.nih.gov/nuccore/CP000058.1?report=graph&amp;tracks=[key:gene_model_track,Options:GeneOnly]&amp;mk=3834418:3834437|offset_34|00cc00,3834385:3834404|offset_67|444444,3834341:3834360|offset_111|444444,3834318:3834337|offset_134|444444&amp;v=3834217:3834537&amp;c=444444", "offset 34")</f>
        <v>offset 34</v>
      </c>
    </row>
    <row r="12202" customFormat="false" ht="12.8" hidden="false" customHeight="false" outlineLevel="0" collapsed="false">
      <c r="A12202" s="0" t="s">
        <v>12</v>
      </c>
      <c r="B12202" s="0" t="n">
        <v>3834384</v>
      </c>
      <c r="C12202" s="0" t="n">
        <v>3834404</v>
      </c>
      <c r="D12202" s="0" t="s">
        <v>40499</v>
      </c>
      <c r="E12202" s="0" t="s">
        <v>40500</v>
      </c>
      <c r="F12202" s="0" t="s">
        <v>90</v>
      </c>
      <c r="G12202" s="0" t="s">
        <v>20</v>
      </c>
      <c r="H12202" s="0" t="n">
        <v>67</v>
      </c>
      <c r="I12202" s="0" t="s">
        <v>40504</v>
      </c>
      <c r="J12202" s="0" t="s">
        <v>40505</v>
      </c>
      <c r="K12202" s="0" t="s">
        <v>40506</v>
      </c>
      <c r="L12202" s="0" t="str">
        <f aca="false">HYPERLINK("https://www.ncbi.nlm.nih.gov/nuccore/CP000058.1?report=graph&amp;tracks=[key:gene_model_track,Options:GeneOnly]&amp;mk=3834418:3834437|offset_34|444444,3834385:3834404|offset_67|00cc00,3834341:3834360|offset_111|444444,3834318:3834337|offset_134|444444&amp;v=3834217:3834537&amp;c=444444", "offset 67")</f>
        <v>offset 67</v>
      </c>
    </row>
    <row r="12203" customFormat="false" ht="12.8" hidden="false" customHeight="false" outlineLevel="0" collapsed="false">
      <c r="A12203" s="0" t="s">
        <v>12</v>
      </c>
      <c r="B12203" s="0" t="n">
        <v>3834340</v>
      </c>
      <c r="C12203" s="0" t="n">
        <v>3834360</v>
      </c>
      <c r="D12203" s="0" t="s">
        <v>40499</v>
      </c>
      <c r="E12203" s="0" t="s">
        <v>40500</v>
      </c>
      <c r="F12203" s="0" t="s">
        <v>90</v>
      </c>
      <c r="G12203" s="0" t="s">
        <v>16</v>
      </c>
      <c r="H12203" s="0" t="n">
        <v>111</v>
      </c>
      <c r="I12203" s="0" t="s">
        <v>40507</v>
      </c>
      <c r="J12203" s="0" t="s">
        <v>40508</v>
      </c>
      <c r="K12203" s="0" t="s">
        <v>40509</v>
      </c>
      <c r="L12203" s="0" t="str">
        <f aca="false">HYPERLINK("https://www.ncbi.nlm.nih.gov/nuccore/CP000058.1?report=graph&amp;tracks=[key:gene_model_track,Options:GeneOnly]&amp;mk=3834418:3834437|offset_34|444444,3834385:3834404|offset_67|444444,3834341:3834360|offset_111|00cc00,3834318:3834337|offset_134|444444&amp;v=3834217:3834537&amp;c=444444", "offset 111")</f>
        <v>offset 111</v>
      </c>
    </row>
    <row r="12204" customFormat="false" ht="12.8" hidden="false" customHeight="false" outlineLevel="0" collapsed="false">
      <c r="A12204" s="0" t="s">
        <v>12</v>
      </c>
      <c r="B12204" s="0" t="n">
        <v>3834317</v>
      </c>
      <c r="C12204" s="0" t="n">
        <v>3834337</v>
      </c>
      <c r="D12204" s="0" t="s">
        <v>40499</v>
      </c>
      <c r="E12204" s="0" t="s">
        <v>40500</v>
      </c>
      <c r="F12204" s="0" t="s">
        <v>90</v>
      </c>
      <c r="G12204" s="0" t="s">
        <v>20</v>
      </c>
      <c r="H12204" s="0" t="n">
        <v>134</v>
      </c>
      <c r="I12204" s="0" t="s">
        <v>40510</v>
      </c>
      <c r="J12204" s="0" t="s">
        <v>40511</v>
      </c>
      <c r="K12204" s="0" t="s">
        <v>40512</v>
      </c>
      <c r="L12204" s="0" t="str">
        <f aca="false">HYPERLINK("https://www.ncbi.nlm.nih.gov/nuccore/CP000058.1?report=graph&amp;tracks=[key:gene_model_track,Options:GeneOnly]&amp;mk=3834418:3834437|offset_34|444444,3834385:3834404|offset_67|444444,3834341:3834360|offset_111|444444,3834318:3834337|offset_134|00cc00&amp;v=3834217:3834537&amp;c=444444", "offset 134")</f>
        <v>offset 134</v>
      </c>
    </row>
    <row r="12205" customFormat="false" ht="12.8" hidden="false" customHeight="false" outlineLevel="0" collapsed="false">
      <c r="A12205" s="0" t="s">
        <v>12</v>
      </c>
      <c r="B12205" s="0" t="n">
        <v>3835235</v>
      </c>
      <c r="C12205" s="0" t="n">
        <v>3835255</v>
      </c>
      <c r="D12205" s="0" t="s">
        <v>40513</v>
      </c>
      <c r="E12205" s="0" t="s">
        <v>40514</v>
      </c>
      <c r="F12205" s="0" t="s">
        <v>90</v>
      </c>
      <c r="G12205" s="0" t="s">
        <v>32</v>
      </c>
      <c r="H12205" s="0" t="n">
        <v>1</v>
      </c>
      <c r="I12205" s="0" t="s">
        <v>40515</v>
      </c>
      <c r="J12205" s="0" t="s">
        <v>40516</v>
      </c>
      <c r="K12205" s="0" t="s">
        <v>40517</v>
      </c>
      <c r="L12205" s="0" t="str">
        <f aca="false">HYPERLINK("https://www.ncbi.nlm.nih.gov/nuccore/CP000058.1?report=graph&amp;tracks=[key:gene_model_track,Options:GeneOnly]&amp;mk=3835236:3835255|offset_1|00cc00,3835212:3835231|offset_25|444444,3835189:3835208|offset_48|444444,3835153:3835172|offset_84|444444&amp;v=3835035:3835372&amp;c=444444", "offset 1")</f>
        <v>offset 1</v>
      </c>
    </row>
    <row r="12206" customFormat="false" ht="12.8" hidden="false" customHeight="false" outlineLevel="0" collapsed="false">
      <c r="A12206" s="0" t="s">
        <v>12</v>
      </c>
      <c r="B12206" s="0" t="n">
        <v>3835211</v>
      </c>
      <c r="C12206" s="0" t="n">
        <v>3835231</v>
      </c>
      <c r="D12206" s="0" t="s">
        <v>40513</v>
      </c>
      <c r="E12206" s="0" t="s">
        <v>40514</v>
      </c>
      <c r="F12206" s="0" t="s">
        <v>90</v>
      </c>
      <c r="G12206" s="0" t="s">
        <v>20</v>
      </c>
      <c r="H12206" s="0" t="n">
        <v>25</v>
      </c>
      <c r="I12206" s="0" t="s">
        <v>40518</v>
      </c>
      <c r="J12206" s="0" t="s">
        <v>40519</v>
      </c>
      <c r="K12206" s="0" t="s">
        <v>40520</v>
      </c>
      <c r="L12206" s="0" t="str">
        <f aca="false">HYPERLINK("https://www.ncbi.nlm.nih.gov/nuccore/CP000058.1?report=graph&amp;tracks=[key:gene_model_track,Options:GeneOnly]&amp;mk=3835236:3835255|offset_1|444444,3835212:3835231|offset_25|00cc00,3835189:3835208|offset_48|444444,3835153:3835172|offset_84|444444&amp;v=3835035:3835372&amp;c=444444", "offset 25")</f>
        <v>offset 25</v>
      </c>
    </row>
    <row r="12207" customFormat="false" ht="12.8" hidden="false" customHeight="false" outlineLevel="0" collapsed="false">
      <c r="A12207" s="0" t="s">
        <v>12</v>
      </c>
      <c r="B12207" s="0" t="n">
        <v>3835188</v>
      </c>
      <c r="C12207" s="0" t="n">
        <v>3835208</v>
      </c>
      <c r="D12207" s="0" t="s">
        <v>40513</v>
      </c>
      <c r="E12207" s="0" t="s">
        <v>40514</v>
      </c>
      <c r="F12207" s="0" t="s">
        <v>90</v>
      </c>
      <c r="G12207" s="0" t="s">
        <v>16</v>
      </c>
      <c r="H12207" s="0" t="n">
        <v>48</v>
      </c>
      <c r="I12207" s="0" t="s">
        <v>40521</v>
      </c>
      <c r="J12207" s="0" t="s">
        <v>40522</v>
      </c>
      <c r="K12207" s="0" t="s">
        <v>40523</v>
      </c>
      <c r="L12207" s="0" t="str">
        <f aca="false">HYPERLINK("https://www.ncbi.nlm.nih.gov/nuccore/CP000058.1?report=graph&amp;tracks=[key:gene_model_track,Options:GeneOnly]&amp;mk=3835236:3835255|offset_1|444444,3835212:3835231|offset_25|444444,3835189:3835208|offset_48|00cc00,3835153:3835172|offset_84|444444&amp;v=3835035:3835372&amp;c=444444", "offset 48")</f>
        <v>offset 48</v>
      </c>
    </row>
    <row r="12208" customFormat="false" ht="12.8" hidden="false" customHeight="false" outlineLevel="0" collapsed="false">
      <c r="A12208" s="0" t="s">
        <v>12</v>
      </c>
      <c r="B12208" s="0" t="n">
        <v>3835152</v>
      </c>
      <c r="C12208" s="0" t="n">
        <v>3835172</v>
      </c>
      <c r="D12208" s="0" t="s">
        <v>40513</v>
      </c>
      <c r="E12208" s="0" t="s">
        <v>40514</v>
      </c>
      <c r="F12208" s="0" t="s">
        <v>90</v>
      </c>
      <c r="G12208" s="0" t="s">
        <v>16</v>
      </c>
      <c r="H12208" s="0" t="n">
        <v>84</v>
      </c>
      <c r="I12208" s="0" t="s">
        <v>40524</v>
      </c>
      <c r="J12208" s="0" t="s">
        <v>40525</v>
      </c>
      <c r="K12208" s="0" t="s">
        <v>40526</v>
      </c>
      <c r="L12208" s="0" t="str">
        <f aca="false">HYPERLINK("https://www.ncbi.nlm.nih.gov/nuccore/CP000058.1?report=graph&amp;tracks=[key:gene_model_track,Options:GeneOnly]&amp;mk=3835236:3835255|offset_1|444444,3835212:3835231|offset_25|444444,3835189:3835208|offset_48|444444,3835153:3835172|offset_84|00cc00&amp;v=3835035:3835372&amp;c=444444", "offset 84")</f>
        <v>offset 84</v>
      </c>
    </row>
    <row r="12209" customFormat="false" ht="12.8" hidden="false" customHeight="false" outlineLevel="0" collapsed="false">
      <c r="A12209" s="0" t="s">
        <v>12</v>
      </c>
      <c r="B12209" s="0" t="n">
        <v>3835958</v>
      </c>
      <c r="C12209" s="0" t="n">
        <v>3835978</v>
      </c>
      <c r="D12209" s="0" t="s">
        <v>40527</v>
      </c>
      <c r="E12209" s="0" t="s">
        <v>40528</v>
      </c>
      <c r="F12209" s="0" t="s">
        <v>90</v>
      </c>
      <c r="G12209" s="0" t="s">
        <v>36</v>
      </c>
      <c r="H12209" s="0" t="n">
        <v>19</v>
      </c>
      <c r="I12209" s="0" t="s">
        <v>40529</v>
      </c>
      <c r="J12209" s="0" t="s">
        <v>40530</v>
      </c>
      <c r="K12209" s="0" t="s">
        <v>40531</v>
      </c>
      <c r="L12209" s="0" t="str">
        <f aca="false">HYPERLINK("https://www.ncbi.nlm.nih.gov/nuccore/CP000058.1?report=graph&amp;tracks=[key:gene_model_track,Options:GeneOnly]&amp;mk=3835959:3835978|offset_19|00cc00,3835934:3835953|offset_44|444444,3835905:3835924|offset_73|444444,3835872:3835891|offset_106|444444&amp;v=3835758:3836091&amp;c=444444", "offset 19")</f>
        <v>offset 19</v>
      </c>
    </row>
    <row r="12210" customFormat="false" ht="12.8" hidden="false" customHeight="false" outlineLevel="0" collapsed="false">
      <c r="A12210" s="0" t="s">
        <v>12</v>
      </c>
      <c r="B12210" s="0" t="n">
        <v>3835933</v>
      </c>
      <c r="C12210" s="0" t="n">
        <v>3835953</v>
      </c>
      <c r="D12210" s="0" t="s">
        <v>40527</v>
      </c>
      <c r="E12210" s="0" t="s">
        <v>40528</v>
      </c>
      <c r="F12210" s="0" t="s">
        <v>90</v>
      </c>
      <c r="G12210" s="0" t="s">
        <v>20</v>
      </c>
      <c r="H12210" s="0" t="n">
        <v>44</v>
      </c>
      <c r="I12210" s="0" t="s">
        <v>40532</v>
      </c>
      <c r="J12210" s="0" t="s">
        <v>40533</v>
      </c>
      <c r="K12210" s="0" t="s">
        <v>40534</v>
      </c>
      <c r="L12210" s="0" t="str">
        <f aca="false">HYPERLINK("https://www.ncbi.nlm.nih.gov/nuccore/CP000058.1?report=graph&amp;tracks=[key:gene_model_track,Options:GeneOnly]&amp;mk=3835959:3835978|offset_19|444444,3835934:3835953|offset_44|00cc00,3835905:3835924|offset_73|444444,3835872:3835891|offset_106|444444&amp;v=3835758:3836091&amp;c=444444", "offset 44")</f>
        <v>offset 44</v>
      </c>
    </row>
    <row r="12211" customFormat="false" ht="12.8" hidden="false" customHeight="false" outlineLevel="0" collapsed="false">
      <c r="A12211" s="0" t="s">
        <v>12</v>
      </c>
      <c r="B12211" s="0" t="n">
        <v>3835904</v>
      </c>
      <c r="C12211" s="0" t="n">
        <v>3835924</v>
      </c>
      <c r="D12211" s="0" t="s">
        <v>40527</v>
      </c>
      <c r="E12211" s="0" t="s">
        <v>40528</v>
      </c>
      <c r="F12211" s="0" t="s">
        <v>90</v>
      </c>
      <c r="G12211" s="0" t="s">
        <v>32</v>
      </c>
      <c r="H12211" s="0" t="n">
        <v>73</v>
      </c>
      <c r="I12211" s="0" t="s">
        <v>40535</v>
      </c>
      <c r="J12211" s="0" t="s">
        <v>40536</v>
      </c>
      <c r="K12211" s="0" t="s">
        <v>40537</v>
      </c>
      <c r="L12211" s="0" t="str">
        <f aca="false">HYPERLINK("https://www.ncbi.nlm.nih.gov/nuccore/CP000058.1?report=graph&amp;tracks=[key:gene_model_track,Options:GeneOnly]&amp;mk=3835959:3835978|offset_19|444444,3835934:3835953|offset_44|444444,3835905:3835924|offset_73|00cc00,3835872:3835891|offset_106|444444&amp;v=3835758:3836091&amp;c=444444", "offset 73")</f>
        <v>offset 73</v>
      </c>
    </row>
    <row r="12212" customFormat="false" ht="12.8" hidden="false" customHeight="false" outlineLevel="0" collapsed="false">
      <c r="A12212" s="0" t="s">
        <v>12</v>
      </c>
      <c r="B12212" s="0" t="n">
        <v>3835871</v>
      </c>
      <c r="C12212" s="0" t="n">
        <v>3835891</v>
      </c>
      <c r="D12212" s="0" t="s">
        <v>40527</v>
      </c>
      <c r="E12212" s="0" t="s">
        <v>40528</v>
      </c>
      <c r="F12212" s="0" t="s">
        <v>90</v>
      </c>
      <c r="G12212" s="0" t="s">
        <v>20</v>
      </c>
      <c r="H12212" s="0" t="n">
        <v>106</v>
      </c>
      <c r="I12212" s="0" t="s">
        <v>40538</v>
      </c>
      <c r="J12212" s="0" t="s">
        <v>40539</v>
      </c>
      <c r="K12212" s="0" t="s">
        <v>40540</v>
      </c>
      <c r="L12212" s="0" t="str">
        <f aca="false">HYPERLINK("https://www.ncbi.nlm.nih.gov/nuccore/CP000058.1?report=graph&amp;tracks=[key:gene_model_track,Options:GeneOnly]&amp;mk=3835959:3835978|offset_19|444444,3835934:3835953|offset_44|444444,3835905:3835924|offset_73|444444,3835872:3835891|offset_106|00cc00&amp;v=3835758:3836091&amp;c=444444", "offset 106")</f>
        <v>offset 106</v>
      </c>
    </row>
    <row r="12213" customFormat="false" ht="12.8" hidden="false" customHeight="false" outlineLevel="0" collapsed="false">
      <c r="A12213" s="0" t="s">
        <v>12</v>
      </c>
      <c r="B12213" s="0" t="n">
        <v>3836631</v>
      </c>
      <c r="C12213" s="0" t="n">
        <v>3836651</v>
      </c>
      <c r="D12213" s="0" t="s">
        <v>40541</v>
      </c>
      <c r="E12213" s="0" t="s">
        <v>40542</v>
      </c>
      <c r="F12213" s="0" t="s">
        <v>90</v>
      </c>
      <c r="G12213" s="0" t="s">
        <v>32</v>
      </c>
      <c r="H12213" s="0" t="n">
        <v>32</v>
      </c>
      <c r="I12213" s="0" t="s">
        <v>40543</v>
      </c>
      <c r="J12213" s="0" t="s">
        <v>40544</v>
      </c>
      <c r="K12213" s="0" t="s">
        <v>40545</v>
      </c>
      <c r="L12213" s="0" t="str">
        <f aca="false">HYPERLINK("https://www.ncbi.nlm.nih.gov/nuccore/CP000058.1?report=graph&amp;tracks=[key:gene_model_track,Options:GeneOnly]&amp;mk=3836632:3836651|offset_32|00cc00,3836608:3836627|offset_56|444444,3836470:3836489|offset_194|444444,3836439:3836458|offset_225|444444&amp;v=3836431:3836658&amp;c=444444", "offset 32")</f>
        <v>offset 32</v>
      </c>
    </row>
    <row r="12214" customFormat="false" ht="12.8" hidden="false" customHeight="false" outlineLevel="0" collapsed="false">
      <c r="A12214" s="0" t="s">
        <v>12</v>
      </c>
      <c r="B12214" s="0" t="n">
        <v>3836607</v>
      </c>
      <c r="C12214" s="0" t="n">
        <v>3836627</v>
      </c>
      <c r="D12214" s="0" t="s">
        <v>40541</v>
      </c>
      <c r="E12214" s="0" t="s">
        <v>40542</v>
      </c>
      <c r="F12214" s="0" t="s">
        <v>90</v>
      </c>
      <c r="G12214" s="0" t="s">
        <v>36</v>
      </c>
      <c r="H12214" s="0" t="n">
        <v>56</v>
      </c>
      <c r="I12214" s="0" t="s">
        <v>40546</v>
      </c>
      <c r="J12214" s="0" t="s">
        <v>40547</v>
      </c>
      <c r="K12214" s="0" t="s">
        <v>40548</v>
      </c>
      <c r="L12214" s="0" t="str">
        <f aca="false">HYPERLINK("https://www.ncbi.nlm.nih.gov/nuccore/CP000058.1?report=graph&amp;tracks=[key:gene_model_track,Options:GeneOnly]&amp;mk=3836632:3836651|offset_32|444444,3836608:3836627|offset_56|00cc00,3836470:3836489|offset_194|444444,3836439:3836458|offset_225|444444&amp;v=3836431:3836658&amp;c=444444", "offset 56")</f>
        <v>offset 56</v>
      </c>
    </row>
    <row r="12215" customFormat="false" ht="12.8" hidden="false" customHeight="false" outlineLevel="0" collapsed="false">
      <c r="A12215" s="0" t="s">
        <v>12</v>
      </c>
      <c r="B12215" s="0" t="n">
        <v>3836469</v>
      </c>
      <c r="C12215" s="0" t="n">
        <v>3836489</v>
      </c>
      <c r="D12215" s="0" t="s">
        <v>40541</v>
      </c>
      <c r="E12215" s="0" t="s">
        <v>40542</v>
      </c>
      <c r="F12215" s="0" t="s">
        <v>90</v>
      </c>
      <c r="G12215" s="0" t="s">
        <v>20</v>
      </c>
      <c r="H12215" s="0" t="n">
        <v>194</v>
      </c>
      <c r="I12215" s="0" t="s">
        <v>40549</v>
      </c>
      <c r="J12215" s="0" t="s">
        <v>40550</v>
      </c>
      <c r="K12215" s="0" t="s">
        <v>40551</v>
      </c>
      <c r="L12215" s="0" t="str">
        <f aca="false">HYPERLINK("https://www.ncbi.nlm.nih.gov/nuccore/CP000058.1?report=graph&amp;tracks=[key:gene_model_track,Options:GeneOnly]&amp;mk=3836632:3836651|offset_32|444444,3836608:3836627|offset_56|444444,3836470:3836489|offset_194|00cc00,3836439:3836458|offset_225|444444&amp;v=3836431:3836658&amp;c=444444", "offset 194")</f>
        <v>offset 194</v>
      </c>
    </row>
    <row r="12216" customFormat="false" ht="12.8" hidden="false" customHeight="false" outlineLevel="0" collapsed="false">
      <c r="A12216" s="0" t="s">
        <v>12</v>
      </c>
      <c r="B12216" s="0" t="n">
        <v>3836438</v>
      </c>
      <c r="C12216" s="0" t="n">
        <v>3836458</v>
      </c>
      <c r="D12216" s="0" t="s">
        <v>40541</v>
      </c>
      <c r="E12216" s="0" t="s">
        <v>40542</v>
      </c>
      <c r="F12216" s="0" t="s">
        <v>90</v>
      </c>
      <c r="G12216" s="0" t="s">
        <v>36</v>
      </c>
      <c r="H12216" s="0" t="n">
        <v>225</v>
      </c>
      <c r="I12216" s="0" t="s">
        <v>40552</v>
      </c>
      <c r="J12216" s="0" t="s">
        <v>40553</v>
      </c>
      <c r="K12216" s="0" t="s">
        <v>40554</v>
      </c>
      <c r="L12216" s="0" t="str">
        <f aca="false">HYPERLINK("https://www.ncbi.nlm.nih.gov/nuccore/CP000058.1?report=graph&amp;tracks=[key:gene_model_track,Options:GeneOnly]&amp;mk=3836632:3836651|offset_32|444444,3836608:3836627|offset_56|444444,3836470:3836489|offset_194|444444,3836439:3836458|offset_225|00cc00&amp;v=3836431:3836658&amp;c=444444", "offset 225")</f>
        <v>offset 225</v>
      </c>
    </row>
    <row r="12217" customFormat="false" ht="12.8" hidden="false" customHeight="false" outlineLevel="0" collapsed="false">
      <c r="A12217" s="0" t="s">
        <v>12</v>
      </c>
      <c r="B12217" s="0" t="n">
        <v>3836844</v>
      </c>
      <c r="C12217" s="0" t="n">
        <v>3836864</v>
      </c>
      <c r="D12217" s="0" t="s">
        <v>40555</v>
      </c>
      <c r="E12217" s="0" t="s">
        <v>75</v>
      </c>
      <c r="F12217" s="0" t="s">
        <v>15</v>
      </c>
      <c r="G12217" s="0" t="s">
        <v>32</v>
      </c>
      <c r="H12217" s="0" t="n">
        <v>19</v>
      </c>
      <c r="I12217" s="0" t="s">
        <v>40556</v>
      </c>
      <c r="J12217" s="0" t="s">
        <v>40557</v>
      </c>
      <c r="K12217" s="0" t="s">
        <v>40558</v>
      </c>
      <c r="L12217" s="0" t="str">
        <f aca="false">HYPERLINK("https://www.ncbi.nlm.nih.gov/nuccore/CP000058.1?report=graph&amp;tracks=[key:gene_model_track,Options:GeneOnly]&amp;mk=3836845:3836864|offset_19|00cc00,3836865:3836884|offset_39|444444,3836887:3836906|offset_61|444444,3836914:3836933|offset_88|444444&amp;v=3836644:3837133&amp;c=444444", "offset 19")</f>
        <v>offset 19</v>
      </c>
    </row>
    <row r="12218" customFormat="false" ht="12.8" hidden="false" customHeight="false" outlineLevel="0" collapsed="false">
      <c r="A12218" s="0" t="s">
        <v>12</v>
      </c>
      <c r="B12218" s="0" t="n">
        <v>3836864</v>
      </c>
      <c r="C12218" s="0" t="n">
        <v>3836884</v>
      </c>
      <c r="D12218" s="0" t="s">
        <v>40555</v>
      </c>
      <c r="E12218" s="0" t="s">
        <v>75</v>
      </c>
      <c r="F12218" s="0" t="s">
        <v>15</v>
      </c>
      <c r="G12218" s="0" t="s">
        <v>20</v>
      </c>
      <c r="H12218" s="0" t="n">
        <v>39</v>
      </c>
      <c r="I12218" s="0" t="s">
        <v>40559</v>
      </c>
      <c r="J12218" s="0" t="s">
        <v>40560</v>
      </c>
      <c r="K12218" s="0" t="s">
        <v>40561</v>
      </c>
      <c r="L12218" s="0" t="str">
        <f aca="false">HYPERLINK("https://www.ncbi.nlm.nih.gov/nuccore/CP000058.1?report=graph&amp;tracks=[key:gene_model_track,Options:GeneOnly]&amp;mk=3836845:3836864|offset_19|444444,3836865:3836884|offset_39|00cc00,3836887:3836906|offset_61|444444,3836914:3836933|offset_88|444444&amp;v=3836644:3837133&amp;c=444444", "offset 39")</f>
        <v>offset 39</v>
      </c>
    </row>
    <row r="12219" customFormat="false" ht="12.8" hidden="false" customHeight="false" outlineLevel="0" collapsed="false">
      <c r="A12219" s="0" t="s">
        <v>12</v>
      </c>
      <c r="B12219" s="0" t="n">
        <v>3836886</v>
      </c>
      <c r="C12219" s="0" t="n">
        <v>3836906</v>
      </c>
      <c r="D12219" s="0" t="s">
        <v>40555</v>
      </c>
      <c r="E12219" s="0" t="s">
        <v>75</v>
      </c>
      <c r="F12219" s="0" t="s">
        <v>15</v>
      </c>
      <c r="G12219" s="0" t="s">
        <v>16</v>
      </c>
      <c r="H12219" s="0" t="n">
        <v>61</v>
      </c>
      <c r="I12219" s="0" t="s">
        <v>40562</v>
      </c>
      <c r="J12219" s="0" t="s">
        <v>40563</v>
      </c>
      <c r="K12219" s="0" t="s">
        <v>40564</v>
      </c>
      <c r="L12219" s="0" t="str">
        <f aca="false">HYPERLINK("https://www.ncbi.nlm.nih.gov/nuccore/CP000058.1?report=graph&amp;tracks=[key:gene_model_track,Options:GeneOnly]&amp;mk=3836845:3836864|offset_19|444444,3836865:3836884|offset_39|444444,3836887:3836906|offset_61|00cc00,3836914:3836933|offset_88|444444&amp;v=3836644:3837133&amp;c=444444", "offset 61")</f>
        <v>offset 61</v>
      </c>
    </row>
    <row r="12220" customFormat="false" ht="12.8" hidden="false" customHeight="false" outlineLevel="0" collapsed="false">
      <c r="A12220" s="0" t="s">
        <v>12</v>
      </c>
      <c r="B12220" s="0" t="n">
        <v>3836913</v>
      </c>
      <c r="C12220" s="0" t="n">
        <v>3836933</v>
      </c>
      <c r="D12220" s="0" t="s">
        <v>40555</v>
      </c>
      <c r="E12220" s="0" t="s">
        <v>75</v>
      </c>
      <c r="F12220" s="0" t="s">
        <v>15</v>
      </c>
      <c r="G12220" s="0" t="s">
        <v>36</v>
      </c>
      <c r="H12220" s="0" t="n">
        <v>88</v>
      </c>
      <c r="I12220" s="0" t="s">
        <v>40565</v>
      </c>
      <c r="J12220" s="0" t="s">
        <v>40566</v>
      </c>
      <c r="K12220" s="0" t="s">
        <v>40567</v>
      </c>
      <c r="L12220" s="0" t="str">
        <f aca="false">HYPERLINK("https://www.ncbi.nlm.nih.gov/nuccore/CP000058.1?report=graph&amp;tracks=[key:gene_model_track,Options:GeneOnly]&amp;mk=3836845:3836864|offset_19|444444,3836865:3836884|offset_39|444444,3836887:3836906|offset_61|444444,3836914:3836933|offset_88|00cc00&amp;v=3836644:3837133&amp;c=444444", "offset 88")</f>
        <v>offset 88</v>
      </c>
    </row>
    <row r="12221" customFormat="false" ht="12.8" hidden="false" customHeight="false" outlineLevel="0" collapsed="false">
      <c r="A12221" s="0" t="s">
        <v>12</v>
      </c>
      <c r="B12221" s="0" t="n">
        <v>3838469</v>
      </c>
      <c r="C12221" s="0" t="n">
        <v>3838489</v>
      </c>
      <c r="D12221" s="0" t="s">
        <v>40568</v>
      </c>
      <c r="E12221" s="0" t="s">
        <v>75</v>
      </c>
      <c r="F12221" s="0" t="s">
        <v>15</v>
      </c>
      <c r="G12221" s="0" t="s">
        <v>36</v>
      </c>
      <c r="H12221" s="0" t="n">
        <v>7</v>
      </c>
      <c r="I12221" s="0" t="s">
        <v>40569</v>
      </c>
      <c r="J12221" s="0" t="s">
        <v>40570</v>
      </c>
      <c r="K12221" s="0" t="s">
        <v>40571</v>
      </c>
      <c r="L12221" s="0" t="str">
        <f aca="false">HYPERLINK("https://www.ncbi.nlm.nih.gov/nuccore/CP000058.1?report=graph&amp;tracks=[key:gene_model_track,Options:GeneOnly]&amp;mk=3838470:3838489|offset_7|00cc00,3838492:3838511|offset_29|444444,3838519:3838538|offset_56|444444,3838563:3838582|offset_100|444444&amp;v=3838269:3838782&amp;c=444444", "offset 7")</f>
        <v>offset 7</v>
      </c>
    </row>
    <row r="12222" customFormat="false" ht="12.8" hidden="false" customHeight="false" outlineLevel="0" collapsed="false">
      <c r="A12222" s="0" t="s">
        <v>12</v>
      </c>
      <c r="B12222" s="0" t="n">
        <v>3838491</v>
      </c>
      <c r="C12222" s="0" t="n">
        <v>3838511</v>
      </c>
      <c r="D12222" s="0" t="s">
        <v>40568</v>
      </c>
      <c r="E12222" s="0" t="s">
        <v>75</v>
      </c>
      <c r="F12222" s="0" t="s">
        <v>15</v>
      </c>
      <c r="G12222" s="0" t="s">
        <v>32</v>
      </c>
      <c r="H12222" s="0" t="n">
        <v>29</v>
      </c>
      <c r="I12222" s="0" t="s">
        <v>40572</v>
      </c>
      <c r="J12222" s="0" t="s">
        <v>40573</v>
      </c>
      <c r="K12222" s="0" t="s">
        <v>40574</v>
      </c>
      <c r="L12222" s="0" t="str">
        <f aca="false">HYPERLINK("https://www.ncbi.nlm.nih.gov/nuccore/CP000058.1?report=graph&amp;tracks=[key:gene_model_track,Options:GeneOnly]&amp;mk=3838470:3838489|offset_7|444444,3838492:3838511|offset_29|00cc00,3838519:3838538|offset_56|444444,3838563:3838582|offset_100|444444&amp;v=3838269:3838782&amp;c=444444", "offset 29")</f>
        <v>offset 29</v>
      </c>
    </row>
    <row r="12223" customFormat="false" ht="12.8" hidden="false" customHeight="false" outlineLevel="0" collapsed="false">
      <c r="A12223" s="0" t="s">
        <v>12</v>
      </c>
      <c r="B12223" s="0" t="n">
        <v>3838518</v>
      </c>
      <c r="C12223" s="0" t="n">
        <v>3838538</v>
      </c>
      <c r="D12223" s="0" t="s">
        <v>40568</v>
      </c>
      <c r="E12223" s="0" t="s">
        <v>75</v>
      </c>
      <c r="F12223" s="0" t="s">
        <v>15</v>
      </c>
      <c r="G12223" s="0" t="s">
        <v>32</v>
      </c>
      <c r="H12223" s="0" t="n">
        <v>56</v>
      </c>
      <c r="I12223" s="0" t="s">
        <v>40575</v>
      </c>
      <c r="J12223" s="0" t="s">
        <v>40576</v>
      </c>
      <c r="K12223" s="0" t="s">
        <v>40577</v>
      </c>
      <c r="L12223" s="0" t="str">
        <f aca="false">HYPERLINK("https://www.ncbi.nlm.nih.gov/nuccore/CP000058.1?report=graph&amp;tracks=[key:gene_model_track,Options:GeneOnly]&amp;mk=3838470:3838489|offset_7|444444,3838492:3838511|offset_29|444444,3838519:3838538|offset_56|00cc00,3838563:3838582|offset_100|444444&amp;v=3838269:3838782&amp;c=444444", "offset 56")</f>
        <v>offset 56</v>
      </c>
    </row>
    <row r="12224" customFormat="false" ht="12.8" hidden="false" customHeight="false" outlineLevel="0" collapsed="false">
      <c r="A12224" s="0" t="s">
        <v>12</v>
      </c>
      <c r="B12224" s="0" t="n">
        <v>3838562</v>
      </c>
      <c r="C12224" s="0" t="n">
        <v>3838582</v>
      </c>
      <c r="D12224" s="0" t="s">
        <v>40568</v>
      </c>
      <c r="E12224" s="0" t="s">
        <v>75</v>
      </c>
      <c r="F12224" s="0" t="s">
        <v>15</v>
      </c>
      <c r="G12224" s="0" t="s">
        <v>16</v>
      </c>
      <c r="H12224" s="0" t="n">
        <v>100</v>
      </c>
      <c r="I12224" s="0" t="s">
        <v>40578</v>
      </c>
      <c r="J12224" s="0" t="s">
        <v>40579</v>
      </c>
      <c r="K12224" s="0" t="s">
        <v>40580</v>
      </c>
      <c r="L12224" s="0" t="str">
        <f aca="false">HYPERLINK("https://www.ncbi.nlm.nih.gov/nuccore/CP000058.1?report=graph&amp;tracks=[key:gene_model_track,Options:GeneOnly]&amp;mk=3838470:3838489|offset_7|444444,3838492:3838511|offset_29|444444,3838519:3838538|offset_56|444444,3838563:3838582|offset_100|00cc00&amp;v=3838269:3838782&amp;c=444444", "offset 100")</f>
        <v>offset 100</v>
      </c>
    </row>
    <row r="12225" customFormat="false" ht="12.8" hidden="false" customHeight="false" outlineLevel="0" collapsed="false">
      <c r="A12225" s="0" t="s">
        <v>12</v>
      </c>
      <c r="B12225" s="0" t="n">
        <v>3838926</v>
      </c>
      <c r="C12225" s="0" t="n">
        <v>3838946</v>
      </c>
      <c r="D12225" s="0" t="s">
        <v>40581</v>
      </c>
      <c r="E12225" s="0" t="s">
        <v>75</v>
      </c>
      <c r="F12225" s="0" t="s">
        <v>15</v>
      </c>
      <c r="G12225" s="0" t="s">
        <v>16</v>
      </c>
      <c r="H12225" s="0" t="n">
        <v>21</v>
      </c>
      <c r="I12225" s="0" t="s">
        <v>40582</v>
      </c>
      <c r="J12225" s="0" t="s">
        <v>40583</v>
      </c>
      <c r="K12225" s="0" t="s">
        <v>40584</v>
      </c>
      <c r="L12225" s="0" t="str">
        <f aca="false">HYPERLINK("https://www.ncbi.nlm.nih.gov/nuccore/CP000058.1?report=graph&amp;tracks=[key:gene_model_track,Options:GeneOnly]&amp;mk=3838927:3838946|offset_21|00cc00,3838958:3838977|offset_52|444444,3838983:3839002|offset_77|444444,3839010:3839029|offset_104|444444&amp;v=3838726:3839229&amp;c=444444", "offset 21")</f>
        <v>offset 21</v>
      </c>
    </row>
    <row r="12226" customFormat="false" ht="12.8" hidden="false" customHeight="false" outlineLevel="0" collapsed="false">
      <c r="A12226" s="0" t="s">
        <v>12</v>
      </c>
      <c r="B12226" s="0" t="n">
        <v>3838957</v>
      </c>
      <c r="C12226" s="0" t="n">
        <v>3838977</v>
      </c>
      <c r="D12226" s="0" t="s">
        <v>40581</v>
      </c>
      <c r="E12226" s="0" t="s">
        <v>75</v>
      </c>
      <c r="F12226" s="0" t="s">
        <v>15</v>
      </c>
      <c r="G12226" s="0" t="s">
        <v>36</v>
      </c>
      <c r="H12226" s="0" t="n">
        <v>52</v>
      </c>
      <c r="I12226" s="0" t="s">
        <v>40585</v>
      </c>
      <c r="J12226" s="0" t="s">
        <v>40586</v>
      </c>
      <c r="K12226" s="0" t="s">
        <v>40587</v>
      </c>
      <c r="L12226" s="0" t="str">
        <f aca="false">HYPERLINK("https://www.ncbi.nlm.nih.gov/nuccore/CP000058.1?report=graph&amp;tracks=[key:gene_model_track,Options:GeneOnly]&amp;mk=3838927:3838946|offset_21|444444,3838958:3838977|offset_52|00cc00,3838983:3839002|offset_77|444444,3839010:3839029|offset_104|444444&amp;v=3838726:3839229&amp;c=444444", "offset 52")</f>
        <v>offset 52</v>
      </c>
    </row>
    <row r="12227" customFormat="false" ht="12.8" hidden="false" customHeight="false" outlineLevel="0" collapsed="false">
      <c r="A12227" s="0" t="s">
        <v>12</v>
      </c>
      <c r="B12227" s="0" t="n">
        <v>3838982</v>
      </c>
      <c r="C12227" s="0" t="n">
        <v>3839002</v>
      </c>
      <c r="D12227" s="0" t="s">
        <v>40581</v>
      </c>
      <c r="E12227" s="0" t="s">
        <v>75</v>
      </c>
      <c r="F12227" s="0" t="s">
        <v>15</v>
      </c>
      <c r="G12227" s="0" t="s">
        <v>36</v>
      </c>
      <c r="H12227" s="0" t="n">
        <v>77</v>
      </c>
      <c r="I12227" s="0" t="s">
        <v>40588</v>
      </c>
      <c r="J12227" s="0" t="s">
        <v>40589</v>
      </c>
      <c r="K12227" s="0" t="s">
        <v>40590</v>
      </c>
      <c r="L12227" s="0" t="str">
        <f aca="false">HYPERLINK("https://www.ncbi.nlm.nih.gov/nuccore/CP000058.1?report=graph&amp;tracks=[key:gene_model_track,Options:GeneOnly]&amp;mk=3838927:3838946|offset_21|444444,3838958:3838977|offset_52|444444,3838983:3839002|offset_77|00cc00,3839010:3839029|offset_104|444444&amp;v=3838726:3839229&amp;c=444444", "offset 77")</f>
        <v>offset 77</v>
      </c>
    </row>
    <row r="12228" customFormat="false" ht="12.8" hidden="false" customHeight="false" outlineLevel="0" collapsed="false">
      <c r="A12228" s="0" t="s">
        <v>12</v>
      </c>
      <c r="B12228" s="0" t="n">
        <v>3839009</v>
      </c>
      <c r="C12228" s="0" t="n">
        <v>3839029</v>
      </c>
      <c r="D12228" s="0" t="s">
        <v>40581</v>
      </c>
      <c r="E12228" s="0" t="s">
        <v>75</v>
      </c>
      <c r="F12228" s="0" t="s">
        <v>15</v>
      </c>
      <c r="G12228" s="0" t="s">
        <v>20</v>
      </c>
      <c r="H12228" s="0" t="n">
        <v>104</v>
      </c>
      <c r="I12228" s="0" t="s">
        <v>40591</v>
      </c>
      <c r="J12228" s="0" t="s">
        <v>40592</v>
      </c>
      <c r="K12228" s="0" t="s">
        <v>40593</v>
      </c>
      <c r="L12228" s="0" t="str">
        <f aca="false">HYPERLINK("https://www.ncbi.nlm.nih.gov/nuccore/CP000058.1?report=graph&amp;tracks=[key:gene_model_track,Options:GeneOnly]&amp;mk=3838927:3838946|offset_21|444444,3838958:3838977|offset_52|444444,3838983:3839002|offset_77|444444,3839010:3839029|offset_104|00cc00&amp;v=3838726:3839229&amp;c=444444", "offset 104")</f>
        <v>offset 104</v>
      </c>
    </row>
    <row r="12229" customFormat="false" ht="12.8" hidden="false" customHeight="false" outlineLevel="0" collapsed="false">
      <c r="A12229" s="0" t="s">
        <v>12</v>
      </c>
      <c r="B12229" s="0" t="n">
        <v>3840402</v>
      </c>
      <c r="C12229" s="0" t="n">
        <v>3840422</v>
      </c>
      <c r="D12229" s="0" t="s">
        <v>40594</v>
      </c>
      <c r="E12229" s="0" t="s">
        <v>40595</v>
      </c>
      <c r="F12229" s="0" t="s">
        <v>90</v>
      </c>
      <c r="G12229" s="0" t="s">
        <v>32</v>
      </c>
      <c r="H12229" s="0" t="n">
        <v>1</v>
      </c>
      <c r="I12229" s="0" t="s">
        <v>40596</v>
      </c>
      <c r="J12229" s="0" t="s">
        <v>40597</v>
      </c>
      <c r="K12229" s="0" t="s">
        <v>40598</v>
      </c>
      <c r="L12229" s="0" t="str">
        <f aca="false">HYPERLINK("https://www.ncbi.nlm.nih.gov/nuccore/CP000058.1?report=graph&amp;tracks=[key:gene_model_track,Options:GeneOnly]&amp;mk=3840403:3840422|offset_1|00cc00,3840378:3840397|offset_26|444444,3840350:3840369|offset_54|444444,3840294:3840313|offset_110|444444&amp;v=3840202:3840513&amp;c=444444", "offset 1")</f>
        <v>offset 1</v>
      </c>
    </row>
    <row r="12230" customFormat="false" ht="12.8" hidden="false" customHeight="false" outlineLevel="0" collapsed="false">
      <c r="A12230" s="0" t="s">
        <v>12</v>
      </c>
      <c r="B12230" s="0" t="n">
        <v>3840377</v>
      </c>
      <c r="C12230" s="0" t="n">
        <v>3840397</v>
      </c>
      <c r="D12230" s="0" t="s">
        <v>40594</v>
      </c>
      <c r="E12230" s="0" t="s">
        <v>40595</v>
      </c>
      <c r="F12230" s="0" t="s">
        <v>90</v>
      </c>
      <c r="G12230" s="0" t="s">
        <v>32</v>
      </c>
      <c r="H12230" s="0" t="n">
        <v>26</v>
      </c>
      <c r="I12230" s="0" t="s">
        <v>40599</v>
      </c>
      <c r="J12230" s="0" t="s">
        <v>40600</v>
      </c>
      <c r="K12230" s="0" t="s">
        <v>40601</v>
      </c>
      <c r="L12230" s="0" t="str">
        <f aca="false">HYPERLINK("https://www.ncbi.nlm.nih.gov/nuccore/CP000058.1?report=graph&amp;tracks=[key:gene_model_track,Options:GeneOnly]&amp;mk=3840403:3840422|offset_1|444444,3840378:3840397|offset_26|00cc00,3840350:3840369|offset_54|444444,3840294:3840313|offset_110|444444&amp;v=3840202:3840513&amp;c=444444", "offset 26")</f>
        <v>offset 26</v>
      </c>
    </row>
    <row r="12231" customFormat="false" ht="12.8" hidden="false" customHeight="false" outlineLevel="0" collapsed="false">
      <c r="A12231" s="0" t="s">
        <v>12</v>
      </c>
      <c r="B12231" s="0" t="n">
        <v>3840349</v>
      </c>
      <c r="C12231" s="0" t="n">
        <v>3840369</v>
      </c>
      <c r="D12231" s="0" t="s">
        <v>40594</v>
      </c>
      <c r="E12231" s="0" t="s">
        <v>40595</v>
      </c>
      <c r="F12231" s="0" t="s">
        <v>90</v>
      </c>
      <c r="G12231" s="0" t="s">
        <v>16</v>
      </c>
      <c r="H12231" s="0" t="n">
        <v>54</v>
      </c>
      <c r="I12231" s="0" t="s">
        <v>40602</v>
      </c>
      <c r="J12231" s="0" t="s">
        <v>40603</v>
      </c>
      <c r="K12231" s="0" t="s">
        <v>40604</v>
      </c>
      <c r="L12231" s="0" t="str">
        <f aca="false">HYPERLINK("https://www.ncbi.nlm.nih.gov/nuccore/CP000058.1?report=graph&amp;tracks=[key:gene_model_track,Options:GeneOnly]&amp;mk=3840403:3840422|offset_1|444444,3840378:3840397|offset_26|444444,3840350:3840369|offset_54|00cc00,3840294:3840313|offset_110|444444&amp;v=3840202:3840513&amp;c=444444", "offset 54")</f>
        <v>offset 54</v>
      </c>
    </row>
    <row r="12232" customFormat="false" ht="12.8" hidden="false" customHeight="false" outlineLevel="0" collapsed="false">
      <c r="A12232" s="0" t="s">
        <v>12</v>
      </c>
      <c r="B12232" s="0" t="n">
        <v>3840293</v>
      </c>
      <c r="C12232" s="0" t="n">
        <v>3840313</v>
      </c>
      <c r="D12232" s="0" t="s">
        <v>40594</v>
      </c>
      <c r="E12232" s="0" t="s">
        <v>40595</v>
      </c>
      <c r="F12232" s="0" t="s">
        <v>90</v>
      </c>
      <c r="G12232" s="0" t="s">
        <v>16</v>
      </c>
      <c r="H12232" s="0" t="n">
        <v>110</v>
      </c>
      <c r="I12232" s="0" t="s">
        <v>40605</v>
      </c>
      <c r="J12232" s="0" t="s">
        <v>40606</v>
      </c>
      <c r="K12232" s="0" t="s">
        <v>40607</v>
      </c>
      <c r="L12232" s="0" t="str">
        <f aca="false">HYPERLINK("https://www.ncbi.nlm.nih.gov/nuccore/CP000058.1?report=graph&amp;tracks=[key:gene_model_track,Options:GeneOnly]&amp;mk=3840403:3840422|offset_1|444444,3840378:3840397|offset_26|444444,3840350:3840369|offset_54|444444,3840294:3840313|offset_110|00cc00&amp;v=3840202:3840513&amp;c=444444", "offset 110")</f>
        <v>offset 110</v>
      </c>
    </row>
    <row r="12233" customFormat="false" ht="12.8" hidden="false" customHeight="false" outlineLevel="0" collapsed="false">
      <c r="A12233" s="0" t="s">
        <v>12</v>
      </c>
      <c r="B12233" s="0" t="n">
        <v>3841514</v>
      </c>
      <c r="C12233" s="0" t="n">
        <v>3841534</v>
      </c>
      <c r="D12233" s="0" t="s">
        <v>40608</v>
      </c>
      <c r="E12233" s="0" t="s">
        <v>75</v>
      </c>
      <c r="F12233" s="0" t="s">
        <v>15</v>
      </c>
      <c r="G12233" s="0" t="s">
        <v>32</v>
      </c>
      <c r="H12233" s="0" t="n">
        <v>1</v>
      </c>
      <c r="I12233" s="0" t="s">
        <v>40609</v>
      </c>
      <c r="J12233" s="0" t="s">
        <v>40610</v>
      </c>
      <c r="K12233" s="0" t="s">
        <v>40611</v>
      </c>
      <c r="L12233" s="0" t="str">
        <f aca="false">HYPERLINK("https://www.ncbi.nlm.nih.gov/nuccore/CP000058.1?report=graph&amp;tracks=[key:gene_model_track,Options:GeneOnly]&amp;mk=3841515:3841534|offset_1|00cc00,3841547:3841566|offset_33|444444,3841568:3841587|offset_54|444444,3841588:3841607|offset_74|444444&amp;v=3841314:3841807&amp;c=444444", "offset 1")</f>
        <v>offset 1</v>
      </c>
    </row>
    <row r="12234" customFormat="false" ht="12.8" hidden="false" customHeight="false" outlineLevel="0" collapsed="false">
      <c r="A12234" s="0" t="s">
        <v>12</v>
      </c>
      <c r="B12234" s="0" t="n">
        <v>3841546</v>
      </c>
      <c r="C12234" s="0" t="n">
        <v>3841566</v>
      </c>
      <c r="D12234" s="0" t="s">
        <v>40608</v>
      </c>
      <c r="E12234" s="0" t="s">
        <v>75</v>
      </c>
      <c r="F12234" s="0" t="s">
        <v>15</v>
      </c>
      <c r="G12234" s="0" t="s">
        <v>20</v>
      </c>
      <c r="H12234" s="0" t="n">
        <v>33</v>
      </c>
      <c r="I12234" s="0" t="s">
        <v>40612</v>
      </c>
      <c r="J12234" s="0" t="s">
        <v>40613</v>
      </c>
      <c r="K12234" s="0" t="s">
        <v>40614</v>
      </c>
      <c r="L12234" s="0" t="str">
        <f aca="false">HYPERLINK("https://www.ncbi.nlm.nih.gov/nuccore/CP000058.1?report=graph&amp;tracks=[key:gene_model_track,Options:GeneOnly]&amp;mk=3841515:3841534|offset_1|444444,3841547:3841566|offset_33|00cc00,3841568:3841587|offset_54|444444,3841588:3841607|offset_74|444444&amp;v=3841314:3841807&amp;c=444444", "offset 33")</f>
        <v>offset 33</v>
      </c>
    </row>
    <row r="12235" customFormat="false" ht="12.8" hidden="false" customHeight="false" outlineLevel="0" collapsed="false">
      <c r="A12235" s="0" t="s">
        <v>12</v>
      </c>
      <c r="B12235" s="0" t="n">
        <v>3841567</v>
      </c>
      <c r="C12235" s="0" t="n">
        <v>3841587</v>
      </c>
      <c r="D12235" s="0" t="s">
        <v>40608</v>
      </c>
      <c r="E12235" s="0" t="s">
        <v>75</v>
      </c>
      <c r="F12235" s="0" t="s">
        <v>15</v>
      </c>
      <c r="G12235" s="0" t="s">
        <v>16</v>
      </c>
      <c r="H12235" s="0" t="n">
        <v>54</v>
      </c>
      <c r="I12235" s="0" t="s">
        <v>40615</v>
      </c>
      <c r="J12235" s="0" t="s">
        <v>40616</v>
      </c>
      <c r="K12235" s="0" t="s">
        <v>40617</v>
      </c>
      <c r="L12235" s="0" t="str">
        <f aca="false">HYPERLINK("https://www.ncbi.nlm.nih.gov/nuccore/CP000058.1?report=graph&amp;tracks=[key:gene_model_track,Options:GeneOnly]&amp;mk=3841515:3841534|offset_1|444444,3841547:3841566|offset_33|444444,3841568:3841587|offset_54|00cc00,3841588:3841607|offset_74|444444&amp;v=3841314:3841807&amp;c=444444", "offset 54")</f>
        <v>offset 54</v>
      </c>
    </row>
    <row r="12236" customFormat="false" ht="12.8" hidden="false" customHeight="false" outlineLevel="0" collapsed="false">
      <c r="A12236" s="0" t="s">
        <v>12</v>
      </c>
      <c r="B12236" s="0" t="n">
        <v>3841587</v>
      </c>
      <c r="C12236" s="0" t="n">
        <v>3841607</v>
      </c>
      <c r="D12236" s="0" t="s">
        <v>40608</v>
      </c>
      <c r="E12236" s="0" t="s">
        <v>75</v>
      </c>
      <c r="F12236" s="0" t="s">
        <v>15</v>
      </c>
      <c r="G12236" s="0" t="s">
        <v>32</v>
      </c>
      <c r="H12236" s="0" t="n">
        <v>74</v>
      </c>
      <c r="I12236" s="0" t="s">
        <v>40618</v>
      </c>
      <c r="J12236" s="0" t="s">
        <v>40619</v>
      </c>
      <c r="K12236" s="0" t="s">
        <v>40620</v>
      </c>
      <c r="L12236" s="0" t="str">
        <f aca="false">HYPERLINK("https://www.ncbi.nlm.nih.gov/nuccore/CP000058.1?report=graph&amp;tracks=[key:gene_model_track,Options:GeneOnly]&amp;mk=3841515:3841534|offset_1|444444,3841547:3841566|offset_33|444444,3841568:3841587|offset_54|444444,3841588:3841607|offset_74|00cc00&amp;v=3841314:3841807&amp;c=444444", "offset 74")</f>
        <v>offset 74</v>
      </c>
    </row>
    <row r="12237" customFormat="false" ht="12.8" hidden="false" customHeight="false" outlineLevel="0" collapsed="false">
      <c r="A12237" s="0" t="s">
        <v>12</v>
      </c>
      <c r="B12237" s="0" t="n">
        <v>3842669</v>
      </c>
      <c r="C12237" s="0" t="n">
        <v>3842689</v>
      </c>
      <c r="D12237" s="0" t="s">
        <v>40621</v>
      </c>
      <c r="E12237" s="0" t="s">
        <v>75</v>
      </c>
      <c r="F12237" s="0" t="s">
        <v>15</v>
      </c>
      <c r="G12237" s="0" t="s">
        <v>36</v>
      </c>
      <c r="H12237" s="0" t="n">
        <v>33</v>
      </c>
      <c r="I12237" s="0" t="s">
        <v>40622</v>
      </c>
      <c r="J12237" s="0" t="s">
        <v>40623</v>
      </c>
      <c r="K12237" s="0" t="s">
        <v>40624</v>
      </c>
      <c r="L12237" s="0" t="str">
        <f aca="false">HYPERLINK("https://www.ncbi.nlm.nih.gov/nuccore/CP000058.1?report=graph&amp;tracks=[key:gene_model_track,Options:GeneOnly]&amp;mk=3842670:3842689|offset_33|00cc00,3842701:3842720|offset_64|444444,3842737:3842756|offset_100|444444,3842768:3842787|offset_131|444444&amp;v=3842469:3842987&amp;c=444444", "offset 33")</f>
        <v>offset 33</v>
      </c>
    </row>
    <row r="12238" customFormat="false" ht="12.8" hidden="false" customHeight="false" outlineLevel="0" collapsed="false">
      <c r="A12238" s="0" t="s">
        <v>12</v>
      </c>
      <c r="B12238" s="0" t="n">
        <v>3842700</v>
      </c>
      <c r="C12238" s="0" t="n">
        <v>3842720</v>
      </c>
      <c r="D12238" s="0" t="s">
        <v>40621</v>
      </c>
      <c r="E12238" s="0" t="s">
        <v>75</v>
      </c>
      <c r="F12238" s="0" t="s">
        <v>15</v>
      </c>
      <c r="G12238" s="0" t="s">
        <v>36</v>
      </c>
      <c r="H12238" s="0" t="n">
        <v>64</v>
      </c>
      <c r="I12238" s="0" t="s">
        <v>40625</v>
      </c>
      <c r="J12238" s="0" t="s">
        <v>40626</v>
      </c>
      <c r="K12238" s="0" t="s">
        <v>40627</v>
      </c>
      <c r="L12238" s="0" t="str">
        <f aca="false">HYPERLINK("https://www.ncbi.nlm.nih.gov/nuccore/CP000058.1?report=graph&amp;tracks=[key:gene_model_track,Options:GeneOnly]&amp;mk=3842670:3842689|offset_33|444444,3842701:3842720|offset_64|00cc00,3842737:3842756|offset_100|444444,3842768:3842787|offset_131|444444&amp;v=3842469:3842987&amp;c=444444", "offset 64")</f>
        <v>offset 64</v>
      </c>
    </row>
    <row r="12239" customFormat="false" ht="12.8" hidden="false" customHeight="false" outlineLevel="0" collapsed="false">
      <c r="A12239" s="0" t="s">
        <v>12</v>
      </c>
      <c r="B12239" s="0" t="n">
        <v>3842736</v>
      </c>
      <c r="C12239" s="0" t="n">
        <v>3842756</v>
      </c>
      <c r="D12239" s="0" t="s">
        <v>40621</v>
      </c>
      <c r="E12239" s="0" t="s">
        <v>75</v>
      </c>
      <c r="F12239" s="0" t="s">
        <v>15</v>
      </c>
      <c r="G12239" s="0" t="s">
        <v>16</v>
      </c>
      <c r="H12239" s="0" t="n">
        <v>100</v>
      </c>
      <c r="I12239" s="0" t="s">
        <v>40628</v>
      </c>
      <c r="J12239" s="0" t="s">
        <v>40629</v>
      </c>
      <c r="K12239" s="0" t="s">
        <v>40630</v>
      </c>
      <c r="L12239" s="0" t="str">
        <f aca="false">HYPERLINK("https://www.ncbi.nlm.nih.gov/nuccore/CP000058.1?report=graph&amp;tracks=[key:gene_model_track,Options:GeneOnly]&amp;mk=3842670:3842689|offset_33|444444,3842701:3842720|offset_64|444444,3842737:3842756|offset_100|00cc00,3842768:3842787|offset_131|444444&amp;v=3842469:3842987&amp;c=444444", "offset 100")</f>
        <v>offset 100</v>
      </c>
    </row>
    <row r="12240" customFormat="false" ht="12.8" hidden="false" customHeight="false" outlineLevel="0" collapsed="false">
      <c r="A12240" s="0" t="s">
        <v>12</v>
      </c>
      <c r="B12240" s="0" t="n">
        <v>3842767</v>
      </c>
      <c r="C12240" s="0" t="n">
        <v>3842787</v>
      </c>
      <c r="D12240" s="0" t="s">
        <v>40621</v>
      </c>
      <c r="E12240" s="0" t="s">
        <v>75</v>
      </c>
      <c r="F12240" s="0" t="s">
        <v>15</v>
      </c>
      <c r="G12240" s="0" t="s">
        <v>32</v>
      </c>
      <c r="H12240" s="0" t="n">
        <v>131</v>
      </c>
      <c r="I12240" s="0" t="s">
        <v>40631</v>
      </c>
      <c r="J12240" s="0" t="s">
        <v>40632</v>
      </c>
      <c r="K12240" s="0" t="s">
        <v>40633</v>
      </c>
      <c r="L12240" s="0" t="str">
        <f aca="false">HYPERLINK("https://www.ncbi.nlm.nih.gov/nuccore/CP000058.1?report=graph&amp;tracks=[key:gene_model_track,Options:GeneOnly]&amp;mk=3842670:3842689|offset_33|444444,3842701:3842720|offset_64|444444,3842737:3842756|offset_100|444444,3842768:3842787|offset_131|00cc00&amp;v=3842469:3842987&amp;c=444444", "offset 131")</f>
        <v>offset 131</v>
      </c>
    </row>
    <row r="12241" customFormat="false" ht="12.8" hidden="false" customHeight="false" outlineLevel="0" collapsed="false">
      <c r="A12241" s="0" t="s">
        <v>12</v>
      </c>
      <c r="B12241" s="0" t="n">
        <v>3843055</v>
      </c>
      <c r="C12241" s="0" t="n">
        <v>3843075</v>
      </c>
      <c r="D12241" s="0" t="s">
        <v>40634</v>
      </c>
      <c r="E12241" s="0" t="s">
        <v>75</v>
      </c>
      <c r="F12241" s="0" t="s">
        <v>15</v>
      </c>
      <c r="G12241" s="0" t="s">
        <v>36</v>
      </c>
      <c r="H12241" s="0" t="n">
        <v>7</v>
      </c>
      <c r="I12241" s="0" t="s">
        <v>40635</v>
      </c>
      <c r="J12241" s="0" t="s">
        <v>40636</v>
      </c>
      <c r="K12241" s="0" t="s">
        <v>40637</v>
      </c>
      <c r="L12241" s="0" t="str">
        <f aca="false">HYPERLINK("https://www.ncbi.nlm.nih.gov/nuccore/CP000058.1?report=graph&amp;tracks=[key:gene_model_track,Options:GeneOnly]&amp;mk=3843056:3843075|offset_7|00cc00,3843120:3843139|offset_71|444444,3843207:3843226|offset_158|444444,3843228:3843247|offset_179|444444&amp;v=3842855:3843447&amp;c=444444", "offset 7")</f>
        <v>offset 7</v>
      </c>
    </row>
    <row r="12242" customFormat="false" ht="12.8" hidden="false" customHeight="false" outlineLevel="0" collapsed="false">
      <c r="A12242" s="0" t="s">
        <v>12</v>
      </c>
      <c r="B12242" s="0" t="n">
        <v>3843119</v>
      </c>
      <c r="C12242" s="0" t="n">
        <v>3843139</v>
      </c>
      <c r="D12242" s="0" t="s">
        <v>40634</v>
      </c>
      <c r="E12242" s="0" t="s">
        <v>75</v>
      </c>
      <c r="F12242" s="0" t="s">
        <v>15</v>
      </c>
      <c r="G12242" s="0" t="s">
        <v>20</v>
      </c>
      <c r="H12242" s="0" t="n">
        <v>71</v>
      </c>
      <c r="I12242" s="0" t="s">
        <v>40638</v>
      </c>
      <c r="J12242" s="0" t="s">
        <v>40639</v>
      </c>
      <c r="K12242" s="0" t="s">
        <v>40640</v>
      </c>
      <c r="L12242" s="0" t="str">
        <f aca="false">HYPERLINK("https://www.ncbi.nlm.nih.gov/nuccore/CP000058.1?report=graph&amp;tracks=[key:gene_model_track,Options:GeneOnly]&amp;mk=3843056:3843075|offset_7|444444,3843120:3843139|offset_71|00cc00,3843207:3843226|offset_158|444444,3843228:3843247|offset_179|444444&amp;v=3842855:3843447&amp;c=444444", "offset 71")</f>
        <v>offset 71</v>
      </c>
    </row>
    <row r="12243" customFormat="false" ht="12.8" hidden="false" customHeight="false" outlineLevel="0" collapsed="false">
      <c r="A12243" s="0" t="s">
        <v>12</v>
      </c>
      <c r="B12243" s="0" t="n">
        <v>3843206</v>
      </c>
      <c r="C12243" s="0" t="n">
        <v>3843226</v>
      </c>
      <c r="D12243" s="0" t="s">
        <v>40634</v>
      </c>
      <c r="E12243" s="0" t="s">
        <v>75</v>
      </c>
      <c r="F12243" s="0" t="s">
        <v>15</v>
      </c>
      <c r="G12243" s="0" t="s">
        <v>16</v>
      </c>
      <c r="H12243" s="0" t="n">
        <v>158</v>
      </c>
      <c r="I12243" s="0" t="s">
        <v>40641</v>
      </c>
      <c r="J12243" s="0" t="s">
        <v>40642</v>
      </c>
      <c r="K12243" s="0" t="s">
        <v>40643</v>
      </c>
      <c r="L12243" s="0" t="str">
        <f aca="false">HYPERLINK("https://www.ncbi.nlm.nih.gov/nuccore/CP000058.1?report=graph&amp;tracks=[key:gene_model_track,Options:GeneOnly]&amp;mk=3843056:3843075|offset_7|444444,3843120:3843139|offset_71|444444,3843207:3843226|offset_158|00cc00,3843228:3843247|offset_179|444444&amp;v=3842855:3843447&amp;c=444444", "offset 158")</f>
        <v>offset 158</v>
      </c>
    </row>
    <row r="12244" customFormat="false" ht="12.8" hidden="false" customHeight="false" outlineLevel="0" collapsed="false">
      <c r="A12244" s="0" t="s">
        <v>12</v>
      </c>
      <c r="B12244" s="0" t="n">
        <v>3843227</v>
      </c>
      <c r="C12244" s="0" t="n">
        <v>3843247</v>
      </c>
      <c r="D12244" s="0" t="s">
        <v>40634</v>
      </c>
      <c r="E12244" s="0" t="s">
        <v>75</v>
      </c>
      <c r="F12244" s="0" t="s">
        <v>15</v>
      </c>
      <c r="G12244" s="0" t="s">
        <v>32</v>
      </c>
      <c r="H12244" s="0" t="n">
        <v>179</v>
      </c>
      <c r="I12244" s="0" t="s">
        <v>40644</v>
      </c>
      <c r="J12244" s="0" t="s">
        <v>40645</v>
      </c>
      <c r="K12244" s="0" t="s">
        <v>40646</v>
      </c>
      <c r="L12244" s="0" t="str">
        <f aca="false">HYPERLINK("https://www.ncbi.nlm.nih.gov/nuccore/CP000058.1?report=graph&amp;tracks=[key:gene_model_track,Options:GeneOnly]&amp;mk=3843056:3843075|offset_7|444444,3843120:3843139|offset_71|444444,3843207:3843226|offset_158|444444,3843228:3843247|offset_179|00cc00&amp;v=3842855:3843447&amp;c=444444", "offset 179")</f>
        <v>offset 179</v>
      </c>
    </row>
    <row r="12245" customFormat="false" ht="12.8" hidden="false" customHeight="false" outlineLevel="0" collapsed="false">
      <c r="A12245" s="0" t="s">
        <v>12</v>
      </c>
      <c r="B12245" s="0" t="n">
        <v>3844258</v>
      </c>
      <c r="C12245" s="0" t="n">
        <v>3844278</v>
      </c>
      <c r="D12245" s="0" t="s">
        <v>40647</v>
      </c>
      <c r="E12245" s="0" t="s">
        <v>75</v>
      </c>
      <c r="F12245" s="0" t="s">
        <v>15</v>
      </c>
      <c r="G12245" s="0" t="s">
        <v>32</v>
      </c>
      <c r="H12245" s="0" t="n">
        <v>1</v>
      </c>
      <c r="I12245" s="0" t="s">
        <v>40648</v>
      </c>
      <c r="J12245" s="0" t="s">
        <v>40649</v>
      </c>
      <c r="K12245" s="0" t="s">
        <v>40650</v>
      </c>
      <c r="L12245" s="0" t="str">
        <f aca="false">HYPERLINK("https://www.ncbi.nlm.nih.gov/nuccore/CP000058.1?report=graph&amp;tracks=[key:gene_model_track,Options:GeneOnly]&amp;mk=3844259:3844278|offset_1|00cc00,3844280:3844299|offset_22|444444,3844318:3844337|offset_60|444444,3844344:3844363|offset_86|444444&amp;v=3844058:3844563&amp;c=444444", "offset 1")</f>
        <v>offset 1</v>
      </c>
    </row>
    <row r="12246" customFormat="false" ht="12.8" hidden="false" customHeight="false" outlineLevel="0" collapsed="false">
      <c r="A12246" s="0" t="s">
        <v>12</v>
      </c>
      <c r="B12246" s="0" t="n">
        <v>3844279</v>
      </c>
      <c r="C12246" s="0" t="n">
        <v>3844299</v>
      </c>
      <c r="D12246" s="0" t="s">
        <v>40647</v>
      </c>
      <c r="E12246" s="0" t="s">
        <v>75</v>
      </c>
      <c r="F12246" s="0" t="s">
        <v>15</v>
      </c>
      <c r="G12246" s="0" t="s">
        <v>36</v>
      </c>
      <c r="H12246" s="0" t="n">
        <v>22</v>
      </c>
      <c r="I12246" s="0" t="s">
        <v>40651</v>
      </c>
      <c r="J12246" s="0" t="s">
        <v>40652</v>
      </c>
      <c r="K12246" s="0" t="s">
        <v>40653</v>
      </c>
      <c r="L12246" s="0" t="str">
        <f aca="false">HYPERLINK("https://www.ncbi.nlm.nih.gov/nuccore/CP000058.1?report=graph&amp;tracks=[key:gene_model_track,Options:GeneOnly]&amp;mk=3844259:3844278|offset_1|444444,3844280:3844299|offset_22|00cc00,3844318:3844337|offset_60|444444,3844344:3844363|offset_86|444444&amp;v=3844058:3844563&amp;c=444444", "offset 22")</f>
        <v>offset 22</v>
      </c>
    </row>
    <row r="12247" customFormat="false" ht="12.8" hidden="false" customHeight="false" outlineLevel="0" collapsed="false">
      <c r="A12247" s="0" t="s">
        <v>12</v>
      </c>
      <c r="B12247" s="0" t="n">
        <v>3844317</v>
      </c>
      <c r="C12247" s="0" t="n">
        <v>3844337</v>
      </c>
      <c r="D12247" s="0" t="s">
        <v>40647</v>
      </c>
      <c r="E12247" s="0" t="s">
        <v>75</v>
      </c>
      <c r="F12247" s="0" t="s">
        <v>15</v>
      </c>
      <c r="G12247" s="0" t="s">
        <v>20</v>
      </c>
      <c r="H12247" s="0" t="n">
        <v>60</v>
      </c>
      <c r="I12247" s="0" t="s">
        <v>40654</v>
      </c>
      <c r="J12247" s="0" t="s">
        <v>40655</v>
      </c>
      <c r="K12247" s="0" t="s">
        <v>40656</v>
      </c>
      <c r="L12247" s="0" t="str">
        <f aca="false">HYPERLINK("https://www.ncbi.nlm.nih.gov/nuccore/CP000058.1?report=graph&amp;tracks=[key:gene_model_track,Options:GeneOnly]&amp;mk=3844259:3844278|offset_1|444444,3844280:3844299|offset_22|444444,3844318:3844337|offset_60|00cc00,3844344:3844363|offset_86|444444&amp;v=3844058:3844563&amp;c=444444", "offset 60")</f>
        <v>offset 60</v>
      </c>
    </row>
    <row r="12248" customFormat="false" ht="12.8" hidden="false" customHeight="false" outlineLevel="0" collapsed="false">
      <c r="A12248" s="0" t="s">
        <v>12</v>
      </c>
      <c r="B12248" s="0" t="n">
        <v>3844343</v>
      </c>
      <c r="C12248" s="0" t="n">
        <v>3844363</v>
      </c>
      <c r="D12248" s="0" t="s">
        <v>40647</v>
      </c>
      <c r="E12248" s="0" t="s">
        <v>75</v>
      </c>
      <c r="F12248" s="0" t="s">
        <v>15</v>
      </c>
      <c r="G12248" s="0" t="s">
        <v>20</v>
      </c>
      <c r="H12248" s="0" t="n">
        <v>86</v>
      </c>
      <c r="I12248" s="0" t="s">
        <v>40657</v>
      </c>
      <c r="J12248" s="0" t="s">
        <v>40658</v>
      </c>
      <c r="K12248" s="0" t="s">
        <v>40659</v>
      </c>
      <c r="L12248" s="0" t="str">
        <f aca="false">HYPERLINK("https://www.ncbi.nlm.nih.gov/nuccore/CP000058.1?report=graph&amp;tracks=[key:gene_model_track,Options:GeneOnly]&amp;mk=3844259:3844278|offset_1|444444,3844280:3844299|offset_22|444444,3844318:3844337|offset_60|444444,3844344:3844363|offset_86|00cc00&amp;v=3844058:3844563&amp;c=444444", "offset 86")</f>
        <v>offset 86</v>
      </c>
    </row>
    <row r="12249" customFormat="false" ht="12.8" hidden="false" customHeight="false" outlineLevel="0" collapsed="false">
      <c r="A12249" s="0" t="s">
        <v>12</v>
      </c>
      <c r="B12249" s="0" t="n">
        <v>3845309</v>
      </c>
      <c r="C12249" s="0" t="n">
        <v>3845329</v>
      </c>
      <c r="D12249" s="0" t="s">
        <v>40660</v>
      </c>
      <c r="E12249" s="0" t="s">
        <v>75</v>
      </c>
      <c r="F12249" s="0" t="s">
        <v>15</v>
      </c>
      <c r="G12249" s="0" t="s">
        <v>20</v>
      </c>
      <c r="H12249" s="0" t="n">
        <v>7</v>
      </c>
      <c r="I12249" s="0" t="s">
        <v>40661</v>
      </c>
      <c r="J12249" s="0" t="s">
        <v>40662</v>
      </c>
      <c r="K12249" s="0" t="s">
        <v>40663</v>
      </c>
      <c r="L12249" s="0" t="str">
        <f aca="false">HYPERLINK("https://www.ncbi.nlm.nih.gov/nuccore/CP000058.1?report=graph&amp;tracks=[key:gene_model_track,Options:GeneOnly]&amp;mk=3845310:3845329|offset_7|00cc00,3845342:3845361|offset_39|444444,3845387:3845406|offset_84|444444,3845420:3845439|offset_117|444444&amp;v=3845109:3845639&amp;c=444444", "offset 7")</f>
        <v>offset 7</v>
      </c>
    </row>
    <row r="12250" customFormat="false" ht="12.8" hidden="false" customHeight="false" outlineLevel="0" collapsed="false">
      <c r="A12250" s="0" t="s">
        <v>12</v>
      </c>
      <c r="B12250" s="0" t="n">
        <v>3845341</v>
      </c>
      <c r="C12250" s="0" t="n">
        <v>3845361</v>
      </c>
      <c r="D12250" s="0" t="s">
        <v>40660</v>
      </c>
      <c r="E12250" s="0" t="s">
        <v>75</v>
      </c>
      <c r="F12250" s="0" t="s">
        <v>15</v>
      </c>
      <c r="G12250" s="0" t="s">
        <v>32</v>
      </c>
      <c r="H12250" s="0" t="n">
        <v>39</v>
      </c>
      <c r="I12250" s="0" t="s">
        <v>40664</v>
      </c>
      <c r="J12250" s="0" t="s">
        <v>40665</v>
      </c>
      <c r="K12250" s="0" t="s">
        <v>40666</v>
      </c>
      <c r="L12250" s="0" t="str">
        <f aca="false">HYPERLINK("https://www.ncbi.nlm.nih.gov/nuccore/CP000058.1?report=graph&amp;tracks=[key:gene_model_track,Options:GeneOnly]&amp;mk=3845310:3845329|offset_7|444444,3845342:3845361|offset_39|00cc00,3845387:3845406|offset_84|444444,3845420:3845439|offset_117|444444&amp;v=3845109:3845639&amp;c=444444", "offset 39")</f>
        <v>offset 39</v>
      </c>
    </row>
    <row r="12251" customFormat="false" ht="12.8" hidden="false" customHeight="false" outlineLevel="0" collapsed="false">
      <c r="A12251" s="0" t="s">
        <v>12</v>
      </c>
      <c r="B12251" s="0" t="n">
        <v>3845386</v>
      </c>
      <c r="C12251" s="0" t="n">
        <v>3845406</v>
      </c>
      <c r="D12251" s="0" t="s">
        <v>40660</v>
      </c>
      <c r="E12251" s="0" t="s">
        <v>75</v>
      </c>
      <c r="F12251" s="0" t="s">
        <v>15</v>
      </c>
      <c r="G12251" s="0" t="s">
        <v>16</v>
      </c>
      <c r="H12251" s="0" t="n">
        <v>84</v>
      </c>
      <c r="I12251" s="0" t="s">
        <v>40667</v>
      </c>
      <c r="J12251" s="0" t="s">
        <v>40668</v>
      </c>
      <c r="K12251" s="0" t="s">
        <v>40669</v>
      </c>
      <c r="L12251" s="0" t="str">
        <f aca="false">HYPERLINK("https://www.ncbi.nlm.nih.gov/nuccore/CP000058.1?report=graph&amp;tracks=[key:gene_model_track,Options:GeneOnly]&amp;mk=3845310:3845329|offset_7|444444,3845342:3845361|offset_39|444444,3845387:3845406|offset_84|00cc00,3845420:3845439|offset_117|444444&amp;v=3845109:3845639&amp;c=444444", "offset 84")</f>
        <v>offset 84</v>
      </c>
    </row>
    <row r="12252" customFormat="false" ht="12.8" hidden="false" customHeight="false" outlineLevel="0" collapsed="false">
      <c r="A12252" s="0" t="s">
        <v>12</v>
      </c>
      <c r="B12252" s="0" t="n">
        <v>3845419</v>
      </c>
      <c r="C12252" s="0" t="n">
        <v>3845439</v>
      </c>
      <c r="D12252" s="0" t="s">
        <v>40660</v>
      </c>
      <c r="E12252" s="0" t="s">
        <v>75</v>
      </c>
      <c r="F12252" s="0" t="s">
        <v>15</v>
      </c>
      <c r="G12252" s="0" t="s">
        <v>16</v>
      </c>
      <c r="H12252" s="0" t="n">
        <v>117</v>
      </c>
      <c r="I12252" s="0" t="s">
        <v>40670</v>
      </c>
      <c r="J12252" s="0" t="s">
        <v>40671</v>
      </c>
      <c r="K12252" s="0" t="s">
        <v>40672</v>
      </c>
      <c r="L12252" s="0" t="str">
        <f aca="false">HYPERLINK("https://www.ncbi.nlm.nih.gov/nuccore/CP000058.1?report=graph&amp;tracks=[key:gene_model_track,Options:GeneOnly]&amp;mk=3845310:3845329|offset_7|444444,3845342:3845361|offset_39|444444,3845387:3845406|offset_84|444444,3845420:3845439|offset_117|00cc00&amp;v=3845109:3845639&amp;c=444444", "offset 117")</f>
        <v>offset 117</v>
      </c>
    </row>
    <row r="12253" customFormat="false" ht="12.8" hidden="false" customHeight="false" outlineLevel="0" collapsed="false">
      <c r="A12253" s="0" t="s">
        <v>12</v>
      </c>
      <c r="B12253" s="0" t="n">
        <v>3848345</v>
      </c>
      <c r="C12253" s="0" t="n">
        <v>3848365</v>
      </c>
      <c r="D12253" s="0" t="s">
        <v>40673</v>
      </c>
      <c r="E12253" s="0" t="s">
        <v>75</v>
      </c>
      <c r="F12253" s="0" t="s">
        <v>90</v>
      </c>
      <c r="G12253" s="0" t="s">
        <v>36</v>
      </c>
      <c r="H12253" s="0" t="n">
        <v>0</v>
      </c>
      <c r="I12253" s="0" t="s">
        <v>40674</v>
      </c>
      <c r="J12253" s="0" t="s">
        <v>40675</v>
      </c>
      <c r="K12253" s="0" t="s">
        <v>40676</v>
      </c>
      <c r="L12253" s="0" t="str">
        <f aca="false">HYPERLINK("https://www.ncbi.nlm.nih.gov/nuccore/CP000058.1?report=graph&amp;tracks=[key:gene_model_track,Options:GeneOnly]&amp;mk=3848346:3848365|offset_0|00cc00,3848316:3848335|offset_30|444444,3848282:3848301|offset_64|444444,3848246:3848265|offset_100|444444&amp;v=3848145:3848465&amp;c=444444", "offset 0")</f>
        <v>offset 0</v>
      </c>
    </row>
    <row r="12254" customFormat="false" ht="12.8" hidden="false" customHeight="false" outlineLevel="0" collapsed="false">
      <c r="A12254" s="0" t="s">
        <v>12</v>
      </c>
      <c r="B12254" s="0" t="n">
        <v>3848315</v>
      </c>
      <c r="C12254" s="0" t="n">
        <v>3848335</v>
      </c>
      <c r="D12254" s="0" t="s">
        <v>40673</v>
      </c>
      <c r="E12254" s="0" t="s">
        <v>75</v>
      </c>
      <c r="F12254" s="0" t="s">
        <v>90</v>
      </c>
      <c r="G12254" s="0" t="s">
        <v>36</v>
      </c>
      <c r="H12254" s="0" t="n">
        <v>30</v>
      </c>
      <c r="I12254" s="0" t="s">
        <v>40677</v>
      </c>
      <c r="J12254" s="0" t="s">
        <v>40678</v>
      </c>
      <c r="K12254" s="0" t="s">
        <v>40679</v>
      </c>
      <c r="L12254" s="0" t="str">
        <f aca="false">HYPERLINK("https://www.ncbi.nlm.nih.gov/nuccore/CP000058.1?report=graph&amp;tracks=[key:gene_model_track,Options:GeneOnly]&amp;mk=3848346:3848365|offset_0|444444,3848316:3848335|offset_30|00cc00,3848282:3848301|offset_64|444444,3848246:3848265|offset_100|444444&amp;v=3848145:3848465&amp;c=444444", "offset 30")</f>
        <v>offset 30</v>
      </c>
    </row>
    <row r="12255" customFormat="false" ht="12.8" hidden="false" customHeight="false" outlineLevel="0" collapsed="false">
      <c r="A12255" s="0" t="s">
        <v>12</v>
      </c>
      <c r="B12255" s="0" t="n">
        <v>3848281</v>
      </c>
      <c r="C12255" s="0" t="n">
        <v>3848301</v>
      </c>
      <c r="D12255" s="0" t="s">
        <v>40673</v>
      </c>
      <c r="E12255" s="0" t="s">
        <v>75</v>
      </c>
      <c r="F12255" s="0" t="s">
        <v>90</v>
      </c>
      <c r="G12255" s="0" t="s">
        <v>16</v>
      </c>
      <c r="H12255" s="0" t="n">
        <v>64</v>
      </c>
      <c r="I12255" s="0" t="s">
        <v>40680</v>
      </c>
      <c r="J12255" s="0" t="s">
        <v>40681</v>
      </c>
      <c r="K12255" s="0" t="s">
        <v>40682</v>
      </c>
      <c r="L12255" s="0" t="str">
        <f aca="false">HYPERLINK("https://www.ncbi.nlm.nih.gov/nuccore/CP000058.1?report=graph&amp;tracks=[key:gene_model_track,Options:GeneOnly]&amp;mk=3848346:3848365|offset_0|444444,3848316:3848335|offset_30|444444,3848282:3848301|offset_64|00cc00,3848246:3848265|offset_100|444444&amp;v=3848145:3848465&amp;c=444444", "offset 64")</f>
        <v>offset 64</v>
      </c>
    </row>
    <row r="12256" customFormat="false" ht="12.8" hidden="false" customHeight="false" outlineLevel="0" collapsed="false">
      <c r="A12256" s="0" t="s">
        <v>12</v>
      </c>
      <c r="B12256" s="0" t="n">
        <v>3848245</v>
      </c>
      <c r="C12256" s="0" t="n">
        <v>3848265</v>
      </c>
      <c r="D12256" s="0" t="s">
        <v>40673</v>
      </c>
      <c r="E12256" s="0" t="s">
        <v>75</v>
      </c>
      <c r="F12256" s="0" t="s">
        <v>90</v>
      </c>
      <c r="G12256" s="0" t="s">
        <v>32</v>
      </c>
      <c r="H12256" s="0" t="n">
        <v>100</v>
      </c>
      <c r="I12256" s="0" t="s">
        <v>40683</v>
      </c>
      <c r="J12256" s="0" t="s">
        <v>40684</v>
      </c>
      <c r="K12256" s="0" t="s">
        <v>40685</v>
      </c>
      <c r="L12256" s="0" t="str">
        <f aca="false">HYPERLINK("https://www.ncbi.nlm.nih.gov/nuccore/CP000058.1?report=graph&amp;tracks=[key:gene_model_track,Options:GeneOnly]&amp;mk=3848346:3848365|offset_0|444444,3848316:3848335|offset_30|444444,3848282:3848301|offset_64|444444,3848246:3848265|offset_100|00cc00&amp;v=3848145:3848465&amp;c=444444", "offset 100")</f>
        <v>offset 100</v>
      </c>
    </row>
    <row r="12257" customFormat="false" ht="12.8" hidden="false" customHeight="false" outlineLevel="0" collapsed="false">
      <c r="A12257" s="0" t="s">
        <v>12</v>
      </c>
      <c r="B12257" s="0" t="n">
        <v>3848563</v>
      </c>
      <c r="C12257" s="0" t="n">
        <v>3848583</v>
      </c>
      <c r="D12257" s="0" t="s">
        <v>40686</v>
      </c>
      <c r="E12257" s="0" t="s">
        <v>40687</v>
      </c>
      <c r="F12257" s="0" t="s">
        <v>15</v>
      </c>
      <c r="G12257" s="0" t="s">
        <v>36</v>
      </c>
      <c r="H12257" s="0" t="n">
        <v>6</v>
      </c>
      <c r="I12257" s="0" t="s">
        <v>40688</v>
      </c>
      <c r="J12257" s="0" t="s">
        <v>40689</v>
      </c>
      <c r="K12257" s="0" t="s">
        <v>40690</v>
      </c>
      <c r="L12257" s="0" t="str">
        <f aca="false">HYPERLINK("https://www.ncbi.nlm.nih.gov/nuccore/CP000058.1?report=graph&amp;tracks=[key:gene_model_track,Options:GeneOnly]&amp;mk=3848564:3848583|offset_6|00cc00,3848587:3848606|offset_29|444444,3848616:3848635|offset_58|444444,3848636:3848655|offset_78|444444&amp;v=3848363:3848855&amp;c=444444", "offset 6")</f>
        <v>offset 6</v>
      </c>
    </row>
    <row r="12258" customFormat="false" ht="12.8" hidden="false" customHeight="false" outlineLevel="0" collapsed="false">
      <c r="A12258" s="0" t="s">
        <v>12</v>
      </c>
      <c r="B12258" s="0" t="n">
        <v>3848586</v>
      </c>
      <c r="C12258" s="0" t="n">
        <v>3848606</v>
      </c>
      <c r="D12258" s="0" t="s">
        <v>40686</v>
      </c>
      <c r="E12258" s="0" t="s">
        <v>40687</v>
      </c>
      <c r="F12258" s="0" t="s">
        <v>15</v>
      </c>
      <c r="G12258" s="0" t="s">
        <v>20</v>
      </c>
      <c r="H12258" s="0" t="n">
        <v>29</v>
      </c>
      <c r="I12258" s="0" t="s">
        <v>40691</v>
      </c>
      <c r="J12258" s="0" t="s">
        <v>40692</v>
      </c>
      <c r="K12258" s="0" t="s">
        <v>40693</v>
      </c>
      <c r="L12258" s="0" t="str">
        <f aca="false">HYPERLINK("https://www.ncbi.nlm.nih.gov/nuccore/CP000058.1?report=graph&amp;tracks=[key:gene_model_track,Options:GeneOnly]&amp;mk=3848564:3848583|offset_6|444444,3848587:3848606|offset_29|00cc00,3848616:3848635|offset_58|444444,3848636:3848655|offset_78|444444&amp;v=3848363:3848855&amp;c=444444", "offset 29")</f>
        <v>offset 29</v>
      </c>
    </row>
    <row r="12259" customFormat="false" ht="12.8" hidden="false" customHeight="false" outlineLevel="0" collapsed="false">
      <c r="A12259" s="0" t="s">
        <v>12</v>
      </c>
      <c r="B12259" s="0" t="n">
        <v>3848615</v>
      </c>
      <c r="C12259" s="0" t="n">
        <v>3848635</v>
      </c>
      <c r="D12259" s="0" t="s">
        <v>40686</v>
      </c>
      <c r="E12259" s="0" t="s">
        <v>40687</v>
      </c>
      <c r="F12259" s="0" t="s">
        <v>15</v>
      </c>
      <c r="G12259" s="0" t="s">
        <v>20</v>
      </c>
      <c r="H12259" s="0" t="n">
        <v>58</v>
      </c>
      <c r="I12259" s="0" t="s">
        <v>40694</v>
      </c>
      <c r="J12259" s="0" t="s">
        <v>40695</v>
      </c>
      <c r="K12259" s="0" t="s">
        <v>40696</v>
      </c>
      <c r="L12259" s="0" t="str">
        <f aca="false">HYPERLINK("https://www.ncbi.nlm.nih.gov/nuccore/CP000058.1?report=graph&amp;tracks=[key:gene_model_track,Options:GeneOnly]&amp;mk=3848564:3848583|offset_6|444444,3848587:3848606|offset_29|444444,3848616:3848635|offset_58|00cc00,3848636:3848655|offset_78|444444&amp;v=3848363:3848855&amp;c=444444", "offset 58")</f>
        <v>offset 58</v>
      </c>
    </row>
    <row r="12260" customFormat="false" ht="12.8" hidden="false" customHeight="false" outlineLevel="0" collapsed="false">
      <c r="A12260" s="0" t="s">
        <v>12</v>
      </c>
      <c r="B12260" s="0" t="n">
        <v>3848635</v>
      </c>
      <c r="C12260" s="0" t="n">
        <v>3848655</v>
      </c>
      <c r="D12260" s="0" t="s">
        <v>40686</v>
      </c>
      <c r="E12260" s="0" t="s">
        <v>40687</v>
      </c>
      <c r="F12260" s="0" t="s">
        <v>15</v>
      </c>
      <c r="G12260" s="0" t="s">
        <v>16</v>
      </c>
      <c r="H12260" s="0" t="n">
        <v>78</v>
      </c>
      <c r="I12260" s="0" t="s">
        <v>40697</v>
      </c>
      <c r="J12260" s="0" t="s">
        <v>40698</v>
      </c>
      <c r="K12260" s="0" t="s">
        <v>40699</v>
      </c>
      <c r="L12260" s="0" t="str">
        <f aca="false">HYPERLINK("https://www.ncbi.nlm.nih.gov/nuccore/CP000058.1?report=graph&amp;tracks=[key:gene_model_track,Options:GeneOnly]&amp;mk=3848564:3848583|offset_6|444444,3848587:3848606|offset_29|444444,3848616:3848635|offset_58|444444,3848636:3848655|offset_78|00cc00&amp;v=3848363:3848855&amp;c=444444", "offset 78")</f>
        <v>offset 78</v>
      </c>
    </row>
    <row r="12261" customFormat="false" ht="12.8" hidden="false" customHeight="false" outlineLevel="0" collapsed="false">
      <c r="A12261" s="0" t="s">
        <v>12</v>
      </c>
      <c r="B12261" s="0" t="n">
        <v>3851496</v>
      </c>
      <c r="C12261" s="0" t="n">
        <v>3851516</v>
      </c>
      <c r="D12261" s="0" t="s">
        <v>40700</v>
      </c>
      <c r="E12261" s="0" t="s">
        <v>75</v>
      </c>
      <c r="F12261" s="0" t="s">
        <v>15</v>
      </c>
      <c r="G12261" s="0" t="s">
        <v>20</v>
      </c>
      <c r="H12261" s="0" t="n">
        <v>64</v>
      </c>
      <c r="I12261" s="0" t="s">
        <v>40701</v>
      </c>
      <c r="J12261" s="0" t="s">
        <v>40702</v>
      </c>
      <c r="K12261" s="0" t="s">
        <v>40703</v>
      </c>
      <c r="L12261" s="0" t="str">
        <f aca="false">HYPERLINK("https://www.ncbi.nlm.nih.gov/nuccore/CP000058.1?report=graph&amp;tracks=[key:gene_model_track,Options:GeneOnly]&amp;mk=3851497:3851516|offset_64|00cc00,3851524:3851543|offset_91|444444,3851551:3851570|offset_118|444444,3851571:3851590|offset_138|444444&amp;v=3851296:3851790&amp;c=444444", "offset 64")</f>
        <v>offset 64</v>
      </c>
    </row>
    <row r="12262" customFormat="false" ht="12.8" hidden="false" customHeight="false" outlineLevel="0" collapsed="false">
      <c r="A12262" s="0" t="s">
        <v>12</v>
      </c>
      <c r="B12262" s="0" t="n">
        <v>3851523</v>
      </c>
      <c r="C12262" s="0" t="n">
        <v>3851543</v>
      </c>
      <c r="D12262" s="0" t="s">
        <v>40700</v>
      </c>
      <c r="E12262" s="0" t="s">
        <v>75</v>
      </c>
      <c r="F12262" s="0" t="s">
        <v>15</v>
      </c>
      <c r="G12262" s="0" t="s">
        <v>16</v>
      </c>
      <c r="H12262" s="0" t="n">
        <v>91</v>
      </c>
      <c r="I12262" s="0" t="s">
        <v>40704</v>
      </c>
      <c r="J12262" s="0" t="s">
        <v>40705</v>
      </c>
      <c r="K12262" s="0" t="s">
        <v>40706</v>
      </c>
      <c r="L12262" s="0" t="str">
        <f aca="false">HYPERLINK("https://www.ncbi.nlm.nih.gov/nuccore/CP000058.1?report=graph&amp;tracks=[key:gene_model_track,Options:GeneOnly]&amp;mk=3851497:3851516|offset_64|444444,3851524:3851543|offset_91|00cc00,3851551:3851570|offset_118|444444,3851571:3851590|offset_138|444444&amp;v=3851296:3851790&amp;c=444444", "offset 91")</f>
        <v>offset 91</v>
      </c>
    </row>
    <row r="12263" customFormat="false" ht="12.8" hidden="false" customHeight="false" outlineLevel="0" collapsed="false">
      <c r="A12263" s="0" t="s">
        <v>12</v>
      </c>
      <c r="B12263" s="0" t="n">
        <v>3851550</v>
      </c>
      <c r="C12263" s="0" t="n">
        <v>3851570</v>
      </c>
      <c r="D12263" s="0" t="s">
        <v>40700</v>
      </c>
      <c r="E12263" s="0" t="s">
        <v>75</v>
      </c>
      <c r="F12263" s="0" t="s">
        <v>15</v>
      </c>
      <c r="G12263" s="0" t="s">
        <v>20</v>
      </c>
      <c r="H12263" s="0" t="n">
        <v>118</v>
      </c>
      <c r="I12263" s="0" t="s">
        <v>40707</v>
      </c>
      <c r="J12263" s="0" t="s">
        <v>40708</v>
      </c>
      <c r="K12263" s="0" t="s">
        <v>40709</v>
      </c>
      <c r="L12263" s="0" t="str">
        <f aca="false">HYPERLINK("https://www.ncbi.nlm.nih.gov/nuccore/CP000058.1?report=graph&amp;tracks=[key:gene_model_track,Options:GeneOnly]&amp;mk=3851497:3851516|offset_64|444444,3851524:3851543|offset_91|444444,3851551:3851570|offset_118|00cc00,3851571:3851590|offset_138|444444&amp;v=3851296:3851790&amp;c=444444", "offset 118")</f>
        <v>offset 118</v>
      </c>
    </row>
    <row r="12264" customFormat="false" ht="12.8" hidden="false" customHeight="false" outlineLevel="0" collapsed="false">
      <c r="A12264" s="0" t="s">
        <v>12</v>
      </c>
      <c r="B12264" s="0" t="n">
        <v>3851570</v>
      </c>
      <c r="C12264" s="0" t="n">
        <v>3851590</v>
      </c>
      <c r="D12264" s="0" t="s">
        <v>40700</v>
      </c>
      <c r="E12264" s="0" t="s">
        <v>75</v>
      </c>
      <c r="F12264" s="0" t="s">
        <v>15</v>
      </c>
      <c r="G12264" s="0" t="s">
        <v>36</v>
      </c>
      <c r="H12264" s="0" t="n">
        <v>138</v>
      </c>
      <c r="I12264" s="0" t="s">
        <v>40710</v>
      </c>
      <c r="J12264" s="0" t="s">
        <v>40711</v>
      </c>
      <c r="K12264" s="0" t="s">
        <v>40712</v>
      </c>
      <c r="L12264" s="0" t="str">
        <f aca="false">HYPERLINK("https://www.ncbi.nlm.nih.gov/nuccore/CP000058.1?report=graph&amp;tracks=[key:gene_model_track,Options:GeneOnly]&amp;mk=3851497:3851516|offset_64|444444,3851524:3851543|offset_91|444444,3851551:3851570|offset_118|444444,3851571:3851590|offset_138|00cc00&amp;v=3851296:3851790&amp;c=444444", "offset 138")</f>
        <v>offset 138</v>
      </c>
    </row>
    <row r="12265" customFormat="false" ht="12.8" hidden="false" customHeight="false" outlineLevel="0" collapsed="false">
      <c r="A12265" s="0" t="s">
        <v>12</v>
      </c>
      <c r="B12265" s="0" t="n">
        <v>3852320</v>
      </c>
      <c r="C12265" s="0" t="n">
        <v>3852340</v>
      </c>
      <c r="D12265" s="0" t="s">
        <v>40713</v>
      </c>
      <c r="E12265" s="0" t="s">
        <v>40714</v>
      </c>
      <c r="F12265" s="0" t="s">
        <v>15</v>
      </c>
      <c r="G12265" s="0" t="s">
        <v>32</v>
      </c>
      <c r="H12265" s="0" t="n">
        <v>0</v>
      </c>
      <c r="I12265" s="0" t="s">
        <v>40715</v>
      </c>
      <c r="J12265" s="0" t="s">
        <v>40716</v>
      </c>
      <c r="K12265" s="0" t="s">
        <v>40717</v>
      </c>
      <c r="L12265" s="0" t="str">
        <f aca="false">HYPERLINK("https://www.ncbi.nlm.nih.gov/nuccore/CP000058.1?report=graph&amp;tracks=[key:gene_model_track,Options:GeneOnly]&amp;mk=3852321:3852340|offset_0|00cc00,3852366:3852385|offset_45|444444,3852388:3852407|offset_67|444444,3852430:3852449|offset_109|444444&amp;v=3852120:3852649&amp;c=444444", "offset 0")</f>
        <v>offset 0</v>
      </c>
    </row>
    <row r="12266" customFormat="false" ht="12.8" hidden="false" customHeight="false" outlineLevel="0" collapsed="false">
      <c r="A12266" s="0" t="s">
        <v>12</v>
      </c>
      <c r="B12266" s="0" t="n">
        <v>3852365</v>
      </c>
      <c r="C12266" s="0" t="n">
        <v>3852385</v>
      </c>
      <c r="D12266" s="0" t="s">
        <v>40713</v>
      </c>
      <c r="E12266" s="0" t="s">
        <v>40714</v>
      </c>
      <c r="F12266" s="0" t="s">
        <v>15</v>
      </c>
      <c r="G12266" s="0" t="s">
        <v>20</v>
      </c>
      <c r="H12266" s="0" t="n">
        <v>45</v>
      </c>
      <c r="I12266" s="0" t="s">
        <v>40718</v>
      </c>
      <c r="J12266" s="0" t="s">
        <v>40719</v>
      </c>
      <c r="K12266" s="0" t="s">
        <v>40720</v>
      </c>
      <c r="L12266" s="0" t="str">
        <f aca="false">HYPERLINK("https://www.ncbi.nlm.nih.gov/nuccore/CP000058.1?report=graph&amp;tracks=[key:gene_model_track,Options:GeneOnly]&amp;mk=3852321:3852340|offset_0|444444,3852366:3852385|offset_45|00cc00,3852388:3852407|offset_67|444444,3852430:3852449|offset_109|444444&amp;v=3852120:3852649&amp;c=444444", "offset 45")</f>
        <v>offset 45</v>
      </c>
    </row>
    <row r="12267" customFormat="false" ht="12.8" hidden="false" customHeight="false" outlineLevel="0" collapsed="false">
      <c r="A12267" s="0" t="s">
        <v>12</v>
      </c>
      <c r="B12267" s="0" t="n">
        <v>3852387</v>
      </c>
      <c r="C12267" s="0" t="n">
        <v>3852407</v>
      </c>
      <c r="D12267" s="0" t="s">
        <v>40713</v>
      </c>
      <c r="E12267" s="0" t="s">
        <v>40714</v>
      </c>
      <c r="F12267" s="0" t="s">
        <v>15</v>
      </c>
      <c r="G12267" s="0" t="s">
        <v>32</v>
      </c>
      <c r="H12267" s="0" t="n">
        <v>67</v>
      </c>
      <c r="I12267" s="0" t="s">
        <v>40721</v>
      </c>
      <c r="J12267" s="0" t="s">
        <v>40722</v>
      </c>
      <c r="K12267" s="0" t="s">
        <v>40723</v>
      </c>
      <c r="L12267" s="0" t="str">
        <f aca="false">HYPERLINK("https://www.ncbi.nlm.nih.gov/nuccore/CP000058.1?report=graph&amp;tracks=[key:gene_model_track,Options:GeneOnly]&amp;mk=3852321:3852340|offset_0|444444,3852366:3852385|offset_45|444444,3852388:3852407|offset_67|00cc00,3852430:3852449|offset_109|444444&amp;v=3852120:3852649&amp;c=444444", "offset 67")</f>
        <v>offset 67</v>
      </c>
    </row>
    <row r="12268" customFormat="false" ht="12.8" hidden="false" customHeight="false" outlineLevel="0" collapsed="false">
      <c r="A12268" s="0" t="s">
        <v>12</v>
      </c>
      <c r="B12268" s="0" t="n">
        <v>3852429</v>
      </c>
      <c r="C12268" s="0" t="n">
        <v>3852449</v>
      </c>
      <c r="D12268" s="0" t="s">
        <v>40713</v>
      </c>
      <c r="E12268" s="0" t="s">
        <v>40714</v>
      </c>
      <c r="F12268" s="0" t="s">
        <v>15</v>
      </c>
      <c r="G12268" s="0" t="s">
        <v>20</v>
      </c>
      <c r="H12268" s="0" t="n">
        <v>109</v>
      </c>
      <c r="I12268" s="0" t="s">
        <v>40724</v>
      </c>
      <c r="J12268" s="0" t="s">
        <v>40725</v>
      </c>
      <c r="K12268" s="0" t="s">
        <v>40726</v>
      </c>
      <c r="L12268" s="0" t="str">
        <f aca="false">HYPERLINK("https://www.ncbi.nlm.nih.gov/nuccore/CP000058.1?report=graph&amp;tracks=[key:gene_model_track,Options:GeneOnly]&amp;mk=3852321:3852340|offset_0|444444,3852366:3852385|offset_45|444444,3852388:3852407|offset_67|444444,3852430:3852449|offset_109|00cc00&amp;v=3852120:3852649&amp;c=444444", "offset 109")</f>
        <v>offset 109</v>
      </c>
    </row>
    <row r="12269" customFormat="false" ht="12.8" hidden="false" customHeight="false" outlineLevel="0" collapsed="false">
      <c r="A12269" s="0" t="s">
        <v>12</v>
      </c>
      <c r="B12269" s="0" t="n">
        <v>3857418</v>
      </c>
      <c r="C12269" s="0" t="n">
        <v>3857438</v>
      </c>
      <c r="D12269" s="0" t="s">
        <v>40727</v>
      </c>
      <c r="E12269" s="0" t="s">
        <v>75</v>
      </c>
      <c r="F12269" s="0" t="s">
        <v>15</v>
      </c>
      <c r="G12269" s="0" t="s">
        <v>32</v>
      </c>
      <c r="H12269" s="0" t="n">
        <v>19</v>
      </c>
      <c r="I12269" s="0" t="s">
        <v>40728</v>
      </c>
      <c r="J12269" s="0" t="s">
        <v>40729</v>
      </c>
      <c r="K12269" s="0" t="s">
        <v>40730</v>
      </c>
      <c r="L12269" s="0" t="str">
        <f aca="false">HYPERLINK("https://www.ncbi.nlm.nih.gov/nuccore/CP000058.1?report=graph&amp;tracks=[key:gene_model_track,Options:GeneOnly]&amp;mk=3857419:3857438|offset_19|00cc00,3857440:3857459|offset_40|444444,3857460:3857479|offset_60|444444,3857488:3857507|offset_88|444444&amp;v=3857218:3857707&amp;c=444444", "offset 19")</f>
        <v>offset 19</v>
      </c>
    </row>
    <row r="12270" customFormat="false" ht="12.8" hidden="false" customHeight="false" outlineLevel="0" collapsed="false">
      <c r="A12270" s="0" t="s">
        <v>12</v>
      </c>
      <c r="B12270" s="0" t="n">
        <v>3857439</v>
      </c>
      <c r="C12270" s="0" t="n">
        <v>3857459</v>
      </c>
      <c r="D12270" s="0" t="s">
        <v>40727</v>
      </c>
      <c r="E12270" s="0" t="s">
        <v>75</v>
      </c>
      <c r="F12270" s="0" t="s">
        <v>15</v>
      </c>
      <c r="G12270" s="0" t="s">
        <v>36</v>
      </c>
      <c r="H12270" s="0" t="n">
        <v>40</v>
      </c>
      <c r="I12270" s="0" t="s">
        <v>40731</v>
      </c>
      <c r="J12270" s="0" t="s">
        <v>40732</v>
      </c>
      <c r="K12270" s="0" t="s">
        <v>40733</v>
      </c>
      <c r="L12270" s="0" t="str">
        <f aca="false">HYPERLINK("https://www.ncbi.nlm.nih.gov/nuccore/CP000058.1?report=graph&amp;tracks=[key:gene_model_track,Options:GeneOnly]&amp;mk=3857419:3857438|offset_19|444444,3857440:3857459|offset_40|00cc00,3857460:3857479|offset_60|444444,3857488:3857507|offset_88|444444&amp;v=3857218:3857707&amp;c=444444", "offset 40")</f>
        <v>offset 40</v>
      </c>
    </row>
    <row r="12271" customFormat="false" ht="12.8" hidden="false" customHeight="false" outlineLevel="0" collapsed="false">
      <c r="A12271" s="0" t="s">
        <v>12</v>
      </c>
      <c r="B12271" s="0" t="n">
        <v>3857459</v>
      </c>
      <c r="C12271" s="0" t="n">
        <v>3857479</v>
      </c>
      <c r="D12271" s="0" t="s">
        <v>40727</v>
      </c>
      <c r="E12271" s="0" t="s">
        <v>75</v>
      </c>
      <c r="F12271" s="0" t="s">
        <v>15</v>
      </c>
      <c r="G12271" s="0" t="s">
        <v>36</v>
      </c>
      <c r="H12271" s="0" t="n">
        <v>60</v>
      </c>
      <c r="I12271" s="0" t="s">
        <v>40734</v>
      </c>
      <c r="J12271" s="0" t="s">
        <v>40735</v>
      </c>
      <c r="K12271" s="0" t="s">
        <v>40736</v>
      </c>
      <c r="L12271" s="0" t="str">
        <f aca="false">HYPERLINK("https://www.ncbi.nlm.nih.gov/nuccore/CP000058.1?report=graph&amp;tracks=[key:gene_model_track,Options:GeneOnly]&amp;mk=3857419:3857438|offset_19|444444,3857440:3857459|offset_40|444444,3857460:3857479|offset_60|00cc00,3857488:3857507|offset_88|444444&amp;v=3857218:3857707&amp;c=444444", "offset 60")</f>
        <v>offset 60</v>
      </c>
    </row>
    <row r="12272" customFormat="false" ht="12.8" hidden="false" customHeight="false" outlineLevel="0" collapsed="false">
      <c r="A12272" s="0" t="s">
        <v>12</v>
      </c>
      <c r="B12272" s="0" t="n">
        <v>3857487</v>
      </c>
      <c r="C12272" s="0" t="n">
        <v>3857507</v>
      </c>
      <c r="D12272" s="0" t="s">
        <v>40727</v>
      </c>
      <c r="E12272" s="0" t="s">
        <v>75</v>
      </c>
      <c r="F12272" s="0" t="s">
        <v>15</v>
      </c>
      <c r="G12272" s="0" t="s">
        <v>36</v>
      </c>
      <c r="H12272" s="0" t="n">
        <v>88</v>
      </c>
      <c r="I12272" s="0" t="s">
        <v>40737</v>
      </c>
      <c r="J12272" s="0" t="s">
        <v>40738</v>
      </c>
      <c r="K12272" s="0" t="s">
        <v>40739</v>
      </c>
      <c r="L12272" s="0" t="str">
        <f aca="false">HYPERLINK("https://www.ncbi.nlm.nih.gov/nuccore/CP000058.1?report=graph&amp;tracks=[key:gene_model_track,Options:GeneOnly]&amp;mk=3857419:3857438|offset_19|444444,3857440:3857459|offset_40|444444,3857460:3857479|offset_60|444444,3857488:3857507|offset_88|00cc00&amp;v=3857218:3857707&amp;c=444444", "offset 88")</f>
        <v>offset 88</v>
      </c>
    </row>
    <row r="12273" customFormat="false" ht="12.8" hidden="false" customHeight="false" outlineLevel="0" collapsed="false">
      <c r="A12273" s="0" t="s">
        <v>12</v>
      </c>
      <c r="B12273" s="0" t="n">
        <v>3860205</v>
      </c>
      <c r="C12273" s="0" t="n">
        <v>3860225</v>
      </c>
      <c r="D12273" s="0" t="s">
        <v>40740</v>
      </c>
      <c r="E12273" s="0" t="s">
        <v>75</v>
      </c>
      <c r="F12273" s="0" t="s">
        <v>90</v>
      </c>
      <c r="G12273" s="0" t="s">
        <v>16</v>
      </c>
      <c r="H12273" s="0" t="n">
        <v>58</v>
      </c>
      <c r="I12273" s="0" t="s">
        <v>40741</v>
      </c>
      <c r="J12273" s="0" t="s">
        <v>40742</v>
      </c>
      <c r="K12273" s="0" t="s">
        <v>40743</v>
      </c>
      <c r="L12273" s="0" t="str">
        <f aca="false">HYPERLINK("https://www.ncbi.nlm.nih.gov/nuccore/CP000058.1?report=graph&amp;tracks=[key:gene_model_track,Options:GeneOnly]&amp;mk=3860206:3860225|offset_58|00cc00,3860113:3860132|offset_151|444444,3860087:3860106|offset_177|444444,3860065:3860084|offset_199|444444&amp;v=3860005:3860284&amp;c=444444", "offset 58")</f>
        <v>offset 58</v>
      </c>
    </row>
    <row r="12274" customFormat="false" ht="12.8" hidden="false" customHeight="false" outlineLevel="0" collapsed="false">
      <c r="A12274" s="0" t="s">
        <v>12</v>
      </c>
      <c r="B12274" s="0" t="n">
        <v>3860112</v>
      </c>
      <c r="C12274" s="0" t="n">
        <v>3860132</v>
      </c>
      <c r="D12274" s="0" t="s">
        <v>40740</v>
      </c>
      <c r="E12274" s="0" t="s">
        <v>75</v>
      </c>
      <c r="F12274" s="0" t="s">
        <v>90</v>
      </c>
      <c r="G12274" s="0" t="s">
        <v>16</v>
      </c>
      <c r="H12274" s="0" t="n">
        <v>151</v>
      </c>
      <c r="I12274" s="0" t="s">
        <v>40744</v>
      </c>
      <c r="J12274" s="0" t="s">
        <v>40745</v>
      </c>
      <c r="K12274" s="0" t="s">
        <v>40746</v>
      </c>
      <c r="L12274" s="0" t="str">
        <f aca="false">HYPERLINK("https://www.ncbi.nlm.nih.gov/nuccore/CP000058.1?report=graph&amp;tracks=[key:gene_model_track,Options:GeneOnly]&amp;mk=3860206:3860225|offset_58|444444,3860113:3860132|offset_151|00cc00,3860087:3860106|offset_177|444444,3860065:3860084|offset_199|444444&amp;v=3860005:3860284&amp;c=444444", "offset 151")</f>
        <v>offset 151</v>
      </c>
    </row>
    <row r="12275" customFormat="false" ht="12.8" hidden="false" customHeight="false" outlineLevel="0" collapsed="false">
      <c r="A12275" s="0" t="s">
        <v>12</v>
      </c>
      <c r="B12275" s="0" t="n">
        <v>3860086</v>
      </c>
      <c r="C12275" s="0" t="n">
        <v>3860106</v>
      </c>
      <c r="D12275" s="0" t="s">
        <v>40740</v>
      </c>
      <c r="E12275" s="0" t="s">
        <v>75</v>
      </c>
      <c r="F12275" s="0" t="s">
        <v>90</v>
      </c>
      <c r="G12275" s="0" t="s">
        <v>32</v>
      </c>
      <c r="H12275" s="0" t="n">
        <v>177</v>
      </c>
      <c r="I12275" s="0" t="s">
        <v>40747</v>
      </c>
      <c r="J12275" s="0" t="s">
        <v>40748</v>
      </c>
      <c r="K12275" s="0" t="s">
        <v>40749</v>
      </c>
      <c r="L12275" s="0" t="str">
        <f aca="false">HYPERLINK("https://www.ncbi.nlm.nih.gov/nuccore/CP000058.1?report=graph&amp;tracks=[key:gene_model_track,Options:GeneOnly]&amp;mk=3860206:3860225|offset_58|444444,3860113:3860132|offset_151|444444,3860087:3860106|offset_177|00cc00,3860065:3860084|offset_199|444444&amp;v=3860005:3860284&amp;c=444444", "offset 177")</f>
        <v>offset 177</v>
      </c>
    </row>
    <row r="12276" customFormat="false" ht="12.8" hidden="false" customHeight="false" outlineLevel="0" collapsed="false">
      <c r="A12276" s="0" t="s">
        <v>12</v>
      </c>
      <c r="B12276" s="0" t="n">
        <v>3860064</v>
      </c>
      <c r="C12276" s="0" t="n">
        <v>3860084</v>
      </c>
      <c r="D12276" s="0" t="s">
        <v>40740</v>
      </c>
      <c r="E12276" s="0" t="s">
        <v>75</v>
      </c>
      <c r="F12276" s="0" t="s">
        <v>90</v>
      </c>
      <c r="G12276" s="0" t="s">
        <v>16</v>
      </c>
      <c r="H12276" s="0" t="n">
        <v>199</v>
      </c>
      <c r="I12276" s="0" t="s">
        <v>40750</v>
      </c>
      <c r="J12276" s="0" t="s">
        <v>40751</v>
      </c>
      <c r="K12276" s="0" t="s">
        <v>40752</v>
      </c>
      <c r="L12276" s="0" t="str">
        <f aca="false">HYPERLINK("https://www.ncbi.nlm.nih.gov/nuccore/CP000058.1?report=graph&amp;tracks=[key:gene_model_track,Options:GeneOnly]&amp;mk=3860206:3860225|offset_58|444444,3860113:3860132|offset_151|444444,3860087:3860106|offset_177|444444,3860065:3860084|offset_199|00cc00&amp;v=3860005:3860284&amp;c=444444", "offset 199")</f>
        <v>offset 199</v>
      </c>
    </row>
    <row r="12277" customFormat="false" ht="12.8" hidden="false" customHeight="false" outlineLevel="0" collapsed="false">
      <c r="A12277" s="0" t="s">
        <v>12</v>
      </c>
      <c r="B12277" s="0" t="n">
        <v>3860649</v>
      </c>
      <c r="C12277" s="0" t="n">
        <v>3860669</v>
      </c>
      <c r="D12277" s="0" t="s">
        <v>40753</v>
      </c>
      <c r="E12277" s="0" t="s">
        <v>75</v>
      </c>
      <c r="F12277" s="0" t="s">
        <v>15</v>
      </c>
      <c r="G12277" s="0" t="s">
        <v>36</v>
      </c>
      <c r="H12277" s="0" t="n">
        <v>29</v>
      </c>
      <c r="I12277" s="0" t="s">
        <v>40754</v>
      </c>
      <c r="J12277" s="0" t="s">
        <v>40755</v>
      </c>
      <c r="K12277" s="0" t="s">
        <v>40756</v>
      </c>
      <c r="L12277" s="0" t="str">
        <f aca="false">HYPERLINK("https://www.ncbi.nlm.nih.gov/nuccore/CP000058.1?report=graph&amp;tracks=[key:gene_model_track,Options:GeneOnly]&amp;mk=3860650:3860669|offset_29|00cc00,3860670:3860689|offset_49|444444,3860711:3860730|offset_90|444444,3860747:3860766|offset_126|444444&amp;v=3860449:3860966&amp;c=444444", "offset 29")</f>
        <v>offset 29</v>
      </c>
    </row>
    <row r="12278" customFormat="false" ht="12.8" hidden="false" customHeight="false" outlineLevel="0" collapsed="false">
      <c r="A12278" s="0" t="s">
        <v>12</v>
      </c>
      <c r="B12278" s="0" t="n">
        <v>3860669</v>
      </c>
      <c r="C12278" s="0" t="n">
        <v>3860689</v>
      </c>
      <c r="D12278" s="0" t="s">
        <v>40753</v>
      </c>
      <c r="E12278" s="0" t="s">
        <v>75</v>
      </c>
      <c r="F12278" s="0" t="s">
        <v>15</v>
      </c>
      <c r="G12278" s="0" t="s">
        <v>16</v>
      </c>
      <c r="H12278" s="0" t="n">
        <v>49</v>
      </c>
      <c r="I12278" s="0" t="s">
        <v>40757</v>
      </c>
      <c r="J12278" s="0" t="s">
        <v>40758</v>
      </c>
      <c r="K12278" s="0" t="s">
        <v>40759</v>
      </c>
      <c r="L12278" s="0" t="str">
        <f aca="false">HYPERLINK("https://www.ncbi.nlm.nih.gov/nuccore/CP000058.1?report=graph&amp;tracks=[key:gene_model_track,Options:GeneOnly]&amp;mk=3860650:3860669|offset_29|444444,3860670:3860689|offset_49|00cc00,3860711:3860730|offset_90|444444,3860747:3860766|offset_126|444444&amp;v=3860449:3860966&amp;c=444444", "offset 49")</f>
        <v>offset 49</v>
      </c>
    </row>
    <row r="12279" customFormat="false" ht="12.8" hidden="false" customHeight="false" outlineLevel="0" collapsed="false">
      <c r="A12279" s="0" t="s">
        <v>12</v>
      </c>
      <c r="B12279" s="0" t="n">
        <v>3860710</v>
      </c>
      <c r="C12279" s="0" t="n">
        <v>3860730</v>
      </c>
      <c r="D12279" s="0" t="s">
        <v>40753</v>
      </c>
      <c r="E12279" s="0" t="s">
        <v>75</v>
      </c>
      <c r="F12279" s="0" t="s">
        <v>15</v>
      </c>
      <c r="G12279" s="0" t="s">
        <v>36</v>
      </c>
      <c r="H12279" s="0" t="n">
        <v>90</v>
      </c>
      <c r="I12279" s="0" t="s">
        <v>40760</v>
      </c>
      <c r="J12279" s="0" t="s">
        <v>40761</v>
      </c>
      <c r="K12279" s="0" t="s">
        <v>40762</v>
      </c>
      <c r="L12279" s="0" t="str">
        <f aca="false">HYPERLINK("https://www.ncbi.nlm.nih.gov/nuccore/CP000058.1?report=graph&amp;tracks=[key:gene_model_track,Options:GeneOnly]&amp;mk=3860650:3860669|offset_29|444444,3860670:3860689|offset_49|444444,3860711:3860730|offset_90|00cc00,3860747:3860766|offset_126|444444&amp;v=3860449:3860966&amp;c=444444", "offset 90")</f>
        <v>offset 90</v>
      </c>
    </row>
    <row r="12280" customFormat="false" ht="12.8" hidden="false" customHeight="false" outlineLevel="0" collapsed="false">
      <c r="A12280" s="0" t="s">
        <v>12</v>
      </c>
      <c r="B12280" s="0" t="n">
        <v>3860746</v>
      </c>
      <c r="C12280" s="0" t="n">
        <v>3860766</v>
      </c>
      <c r="D12280" s="0" t="s">
        <v>40753</v>
      </c>
      <c r="E12280" s="0" t="s">
        <v>75</v>
      </c>
      <c r="F12280" s="0" t="s">
        <v>15</v>
      </c>
      <c r="G12280" s="0" t="s">
        <v>32</v>
      </c>
      <c r="H12280" s="0" t="n">
        <v>126</v>
      </c>
      <c r="I12280" s="0" t="s">
        <v>40763</v>
      </c>
      <c r="J12280" s="0" t="s">
        <v>40764</v>
      </c>
      <c r="K12280" s="0" t="s">
        <v>40765</v>
      </c>
      <c r="L12280" s="0" t="str">
        <f aca="false">HYPERLINK("https://www.ncbi.nlm.nih.gov/nuccore/CP000058.1?report=graph&amp;tracks=[key:gene_model_track,Options:GeneOnly]&amp;mk=3860650:3860669|offset_29|444444,3860670:3860689|offset_49|444444,3860711:3860730|offset_90|444444,3860747:3860766|offset_126|00cc00&amp;v=3860449:3860966&amp;c=444444", "offset 126")</f>
        <v>offset 126</v>
      </c>
    </row>
    <row r="12281" customFormat="false" ht="12.8" hidden="false" customHeight="false" outlineLevel="0" collapsed="false">
      <c r="A12281" s="0" t="s">
        <v>12</v>
      </c>
      <c r="B12281" s="0" t="n">
        <v>3862552</v>
      </c>
      <c r="C12281" s="0" t="n">
        <v>3862572</v>
      </c>
      <c r="D12281" s="0" t="s">
        <v>40766</v>
      </c>
      <c r="E12281" s="0" t="s">
        <v>75</v>
      </c>
      <c r="F12281" s="0" t="s">
        <v>15</v>
      </c>
      <c r="G12281" s="0" t="s">
        <v>36</v>
      </c>
      <c r="H12281" s="0" t="n">
        <v>0</v>
      </c>
      <c r="I12281" s="0" t="s">
        <v>40767</v>
      </c>
      <c r="J12281" s="0" t="s">
        <v>40768</v>
      </c>
      <c r="K12281" s="0" t="s">
        <v>40769</v>
      </c>
      <c r="L12281" s="0" t="str">
        <f aca="false">HYPERLINK("https://www.ncbi.nlm.nih.gov/nuccore/CP000058.1?report=graph&amp;tracks=[key:gene_model_track,Options:GeneOnly]&amp;mk=3862553:3862572|offset_0|00cc00,3862587:3862606|offset_34|444444,3862614:3862633|offset_61|444444,3862637:3862656|offset_84|444444&amp;v=3862352:3862856&amp;c=444444", "offset 0")</f>
        <v>offset 0</v>
      </c>
    </row>
    <row r="12282" customFormat="false" ht="12.8" hidden="false" customHeight="false" outlineLevel="0" collapsed="false">
      <c r="A12282" s="0" t="s">
        <v>12</v>
      </c>
      <c r="B12282" s="0" t="n">
        <v>3862586</v>
      </c>
      <c r="C12282" s="0" t="n">
        <v>3862606</v>
      </c>
      <c r="D12282" s="0" t="s">
        <v>40766</v>
      </c>
      <c r="E12282" s="0" t="s">
        <v>75</v>
      </c>
      <c r="F12282" s="0" t="s">
        <v>15</v>
      </c>
      <c r="G12282" s="0" t="s">
        <v>16</v>
      </c>
      <c r="H12282" s="0" t="n">
        <v>34</v>
      </c>
      <c r="I12282" s="0" t="s">
        <v>40770</v>
      </c>
      <c r="J12282" s="0" t="s">
        <v>40771</v>
      </c>
      <c r="K12282" s="0" t="s">
        <v>40772</v>
      </c>
      <c r="L12282" s="0" t="str">
        <f aca="false">HYPERLINK("https://www.ncbi.nlm.nih.gov/nuccore/CP000058.1?report=graph&amp;tracks=[key:gene_model_track,Options:GeneOnly]&amp;mk=3862553:3862572|offset_0|444444,3862587:3862606|offset_34|00cc00,3862614:3862633|offset_61|444444,3862637:3862656|offset_84|444444&amp;v=3862352:3862856&amp;c=444444", "offset 34")</f>
        <v>offset 34</v>
      </c>
    </row>
    <row r="12283" customFormat="false" ht="12.8" hidden="false" customHeight="false" outlineLevel="0" collapsed="false">
      <c r="A12283" s="0" t="s">
        <v>12</v>
      </c>
      <c r="B12283" s="0" t="n">
        <v>3862613</v>
      </c>
      <c r="C12283" s="0" t="n">
        <v>3862633</v>
      </c>
      <c r="D12283" s="0" t="s">
        <v>40766</v>
      </c>
      <c r="E12283" s="0" t="s">
        <v>75</v>
      </c>
      <c r="F12283" s="0" t="s">
        <v>15</v>
      </c>
      <c r="G12283" s="0" t="s">
        <v>16</v>
      </c>
      <c r="H12283" s="0" t="n">
        <v>61</v>
      </c>
      <c r="I12283" s="0" t="s">
        <v>40773</v>
      </c>
      <c r="J12283" s="0" t="s">
        <v>40774</v>
      </c>
      <c r="K12283" s="0" t="s">
        <v>40775</v>
      </c>
      <c r="L12283" s="0" t="str">
        <f aca="false">HYPERLINK("https://www.ncbi.nlm.nih.gov/nuccore/CP000058.1?report=graph&amp;tracks=[key:gene_model_track,Options:GeneOnly]&amp;mk=3862553:3862572|offset_0|444444,3862587:3862606|offset_34|444444,3862614:3862633|offset_61|00cc00,3862637:3862656|offset_84|444444&amp;v=3862352:3862856&amp;c=444444", "offset 61")</f>
        <v>offset 61</v>
      </c>
    </row>
    <row r="12284" customFormat="false" ht="12.8" hidden="false" customHeight="false" outlineLevel="0" collapsed="false">
      <c r="A12284" s="0" t="s">
        <v>12</v>
      </c>
      <c r="B12284" s="0" t="n">
        <v>3862636</v>
      </c>
      <c r="C12284" s="0" t="n">
        <v>3862656</v>
      </c>
      <c r="D12284" s="0" t="s">
        <v>40766</v>
      </c>
      <c r="E12284" s="0" t="s">
        <v>75</v>
      </c>
      <c r="F12284" s="0" t="s">
        <v>15</v>
      </c>
      <c r="G12284" s="0" t="s">
        <v>36</v>
      </c>
      <c r="H12284" s="0" t="n">
        <v>84</v>
      </c>
      <c r="I12284" s="0" t="s">
        <v>40776</v>
      </c>
      <c r="J12284" s="0" t="s">
        <v>40777</v>
      </c>
      <c r="K12284" s="0" t="s">
        <v>40778</v>
      </c>
      <c r="L12284" s="0" t="str">
        <f aca="false">HYPERLINK("https://www.ncbi.nlm.nih.gov/nuccore/CP000058.1?report=graph&amp;tracks=[key:gene_model_track,Options:GeneOnly]&amp;mk=3862553:3862572|offset_0|444444,3862587:3862606|offset_34|444444,3862614:3862633|offset_61|444444,3862637:3862656|offset_84|00cc00&amp;v=3862352:3862856&amp;c=444444", "offset 84")</f>
        <v>offset 84</v>
      </c>
    </row>
    <row r="12285" customFormat="false" ht="12.8" hidden="false" customHeight="false" outlineLevel="0" collapsed="false">
      <c r="A12285" s="0" t="s">
        <v>12</v>
      </c>
      <c r="B12285" s="0" t="n">
        <v>3864237</v>
      </c>
      <c r="C12285" s="0" t="n">
        <v>3864257</v>
      </c>
      <c r="D12285" s="0" t="s">
        <v>40779</v>
      </c>
      <c r="E12285" s="0" t="s">
        <v>75</v>
      </c>
      <c r="F12285" s="0" t="s">
        <v>15</v>
      </c>
      <c r="G12285" s="0" t="s">
        <v>32</v>
      </c>
      <c r="H12285" s="0" t="n">
        <v>1</v>
      </c>
      <c r="I12285" s="0" t="s">
        <v>40780</v>
      </c>
      <c r="J12285" s="0" t="s">
        <v>40781</v>
      </c>
      <c r="K12285" s="0" t="s">
        <v>40782</v>
      </c>
      <c r="L12285" s="0" t="str">
        <f aca="false">HYPERLINK("https://www.ncbi.nlm.nih.gov/nuccore/CP000058.1?report=graph&amp;tracks=[key:gene_model_track,Options:GeneOnly]&amp;mk=3864238:3864257|offset_1|00cc00,3864258:3864277|offset_21|444444,3864280:3864299|offset_43|444444,3864307:3864326|offset_70|444444&amp;v=3864037:3864526&amp;c=444444", "offset 1")</f>
        <v>offset 1</v>
      </c>
    </row>
    <row r="12286" customFormat="false" ht="12.8" hidden="false" customHeight="false" outlineLevel="0" collapsed="false">
      <c r="A12286" s="0" t="s">
        <v>12</v>
      </c>
      <c r="B12286" s="0" t="n">
        <v>3864257</v>
      </c>
      <c r="C12286" s="0" t="n">
        <v>3864277</v>
      </c>
      <c r="D12286" s="0" t="s">
        <v>40779</v>
      </c>
      <c r="E12286" s="0" t="s">
        <v>75</v>
      </c>
      <c r="F12286" s="0" t="s">
        <v>15</v>
      </c>
      <c r="G12286" s="0" t="s">
        <v>32</v>
      </c>
      <c r="H12286" s="0" t="n">
        <v>21</v>
      </c>
      <c r="I12286" s="0" t="s">
        <v>40783</v>
      </c>
      <c r="J12286" s="0" t="s">
        <v>40784</v>
      </c>
      <c r="K12286" s="0" t="s">
        <v>40785</v>
      </c>
      <c r="L12286" s="0" t="str">
        <f aca="false">HYPERLINK("https://www.ncbi.nlm.nih.gov/nuccore/CP000058.1?report=graph&amp;tracks=[key:gene_model_track,Options:GeneOnly]&amp;mk=3864238:3864257|offset_1|444444,3864258:3864277|offset_21|00cc00,3864280:3864299|offset_43|444444,3864307:3864326|offset_70|444444&amp;v=3864037:3864526&amp;c=444444", "offset 21")</f>
        <v>offset 21</v>
      </c>
    </row>
    <row r="12287" customFormat="false" ht="12.8" hidden="false" customHeight="false" outlineLevel="0" collapsed="false">
      <c r="A12287" s="0" t="s">
        <v>12</v>
      </c>
      <c r="B12287" s="0" t="n">
        <v>3864279</v>
      </c>
      <c r="C12287" s="0" t="n">
        <v>3864299</v>
      </c>
      <c r="D12287" s="0" t="s">
        <v>40779</v>
      </c>
      <c r="E12287" s="0" t="s">
        <v>75</v>
      </c>
      <c r="F12287" s="0" t="s">
        <v>15</v>
      </c>
      <c r="G12287" s="0" t="s">
        <v>16</v>
      </c>
      <c r="H12287" s="0" t="n">
        <v>43</v>
      </c>
      <c r="I12287" s="0" t="s">
        <v>40786</v>
      </c>
      <c r="J12287" s="0" t="s">
        <v>40787</v>
      </c>
      <c r="K12287" s="0" t="s">
        <v>40788</v>
      </c>
      <c r="L12287" s="0" t="str">
        <f aca="false">HYPERLINK("https://www.ncbi.nlm.nih.gov/nuccore/CP000058.1?report=graph&amp;tracks=[key:gene_model_track,Options:GeneOnly]&amp;mk=3864238:3864257|offset_1|444444,3864258:3864277|offset_21|444444,3864280:3864299|offset_43|00cc00,3864307:3864326|offset_70|444444&amp;v=3864037:3864526&amp;c=444444", "offset 43")</f>
        <v>offset 43</v>
      </c>
    </row>
    <row r="12288" customFormat="false" ht="12.8" hidden="false" customHeight="false" outlineLevel="0" collapsed="false">
      <c r="A12288" s="0" t="s">
        <v>12</v>
      </c>
      <c r="B12288" s="0" t="n">
        <v>3864306</v>
      </c>
      <c r="C12288" s="0" t="n">
        <v>3864326</v>
      </c>
      <c r="D12288" s="0" t="s">
        <v>40779</v>
      </c>
      <c r="E12288" s="0" t="s">
        <v>75</v>
      </c>
      <c r="F12288" s="0" t="s">
        <v>15</v>
      </c>
      <c r="G12288" s="0" t="s">
        <v>20</v>
      </c>
      <c r="H12288" s="0" t="n">
        <v>70</v>
      </c>
      <c r="I12288" s="0" t="s">
        <v>40789</v>
      </c>
      <c r="J12288" s="0" t="s">
        <v>40790</v>
      </c>
      <c r="K12288" s="0" t="s">
        <v>40791</v>
      </c>
      <c r="L12288" s="0" t="str">
        <f aca="false">HYPERLINK("https://www.ncbi.nlm.nih.gov/nuccore/CP000058.1?report=graph&amp;tracks=[key:gene_model_track,Options:GeneOnly]&amp;mk=3864238:3864257|offset_1|444444,3864258:3864277|offset_21|444444,3864280:3864299|offset_43|444444,3864307:3864326|offset_70|00cc00&amp;v=3864037:3864526&amp;c=444444", "offset 70")</f>
        <v>offset 70</v>
      </c>
    </row>
    <row r="12289" customFormat="false" ht="12.8" hidden="false" customHeight="false" outlineLevel="0" collapsed="false">
      <c r="A12289" s="0" t="s">
        <v>12</v>
      </c>
      <c r="B12289" s="0" t="n">
        <v>3865570</v>
      </c>
      <c r="C12289" s="0" t="n">
        <v>3865590</v>
      </c>
      <c r="D12289" s="0" t="s">
        <v>40792</v>
      </c>
      <c r="E12289" s="0" t="s">
        <v>75</v>
      </c>
      <c r="F12289" s="0" t="s">
        <v>90</v>
      </c>
      <c r="G12289" s="0" t="s">
        <v>16</v>
      </c>
      <c r="H12289" s="0" t="n">
        <v>9</v>
      </c>
      <c r="I12289" s="0" t="s">
        <v>40793</v>
      </c>
      <c r="J12289" s="0" t="s">
        <v>40794</v>
      </c>
      <c r="K12289" s="0" t="s">
        <v>40795</v>
      </c>
      <c r="L12289" s="0" t="str">
        <f aca="false">HYPERLINK("https://www.ncbi.nlm.nih.gov/nuccore/CP000058.1?report=graph&amp;tracks=[key:gene_model_track,Options:GeneOnly]&amp;mk=3865571:3865590|offset_9|00cc00,3865537:3865556|offset_43|444444,3865514:3865533|offset_66|444444,3865491:3865510|offset_89|444444&amp;v=3865370:3865710&amp;c=444444", "offset 9")</f>
        <v>offset 9</v>
      </c>
    </row>
    <row r="12290" customFormat="false" ht="12.8" hidden="false" customHeight="false" outlineLevel="0" collapsed="false">
      <c r="A12290" s="0" t="s">
        <v>12</v>
      </c>
      <c r="B12290" s="0" t="n">
        <v>3865536</v>
      </c>
      <c r="C12290" s="0" t="n">
        <v>3865556</v>
      </c>
      <c r="D12290" s="0" t="s">
        <v>40792</v>
      </c>
      <c r="E12290" s="0" t="s">
        <v>75</v>
      </c>
      <c r="F12290" s="0" t="s">
        <v>90</v>
      </c>
      <c r="G12290" s="0" t="s">
        <v>20</v>
      </c>
      <c r="H12290" s="0" t="n">
        <v>43</v>
      </c>
      <c r="I12290" s="0" t="s">
        <v>40796</v>
      </c>
      <c r="J12290" s="0" t="s">
        <v>40797</v>
      </c>
      <c r="K12290" s="0" t="s">
        <v>40798</v>
      </c>
      <c r="L12290" s="0" t="str">
        <f aca="false">HYPERLINK("https://www.ncbi.nlm.nih.gov/nuccore/CP000058.1?report=graph&amp;tracks=[key:gene_model_track,Options:GeneOnly]&amp;mk=3865571:3865590|offset_9|444444,3865537:3865556|offset_43|00cc00,3865514:3865533|offset_66|444444,3865491:3865510|offset_89|444444&amp;v=3865370:3865710&amp;c=444444", "offset 43")</f>
        <v>offset 43</v>
      </c>
    </row>
    <row r="12291" customFormat="false" ht="12.8" hidden="false" customHeight="false" outlineLevel="0" collapsed="false">
      <c r="A12291" s="0" t="s">
        <v>12</v>
      </c>
      <c r="B12291" s="0" t="n">
        <v>3865513</v>
      </c>
      <c r="C12291" s="0" t="n">
        <v>3865533</v>
      </c>
      <c r="D12291" s="0" t="s">
        <v>40792</v>
      </c>
      <c r="E12291" s="0" t="s">
        <v>75</v>
      </c>
      <c r="F12291" s="0" t="s">
        <v>90</v>
      </c>
      <c r="G12291" s="0" t="s">
        <v>20</v>
      </c>
      <c r="H12291" s="0" t="n">
        <v>66</v>
      </c>
      <c r="I12291" s="0" t="s">
        <v>40799</v>
      </c>
      <c r="J12291" s="0" t="s">
        <v>40800</v>
      </c>
      <c r="K12291" s="0" t="s">
        <v>40801</v>
      </c>
      <c r="L12291" s="0" t="str">
        <f aca="false">HYPERLINK("https://www.ncbi.nlm.nih.gov/nuccore/CP000058.1?report=graph&amp;tracks=[key:gene_model_track,Options:GeneOnly]&amp;mk=3865571:3865590|offset_9|444444,3865537:3865556|offset_43|444444,3865514:3865533|offset_66|00cc00,3865491:3865510|offset_89|444444&amp;v=3865370:3865710&amp;c=444444", "offset 66")</f>
        <v>offset 66</v>
      </c>
    </row>
    <row r="12292" customFormat="false" ht="12.8" hidden="false" customHeight="false" outlineLevel="0" collapsed="false">
      <c r="A12292" s="0" t="s">
        <v>12</v>
      </c>
      <c r="B12292" s="0" t="n">
        <v>3865490</v>
      </c>
      <c r="C12292" s="0" t="n">
        <v>3865510</v>
      </c>
      <c r="D12292" s="0" t="s">
        <v>40792</v>
      </c>
      <c r="E12292" s="0" t="s">
        <v>75</v>
      </c>
      <c r="F12292" s="0" t="s">
        <v>90</v>
      </c>
      <c r="G12292" s="0" t="s">
        <v>20</v>
      </c>
      <c r="H12292" s="0" t="n">
        <v>89</v>
      </c>
      <c r="I12292" s="0" t="s">
        <v>40802</v>
      </c>
      <c r="J12292" s="0" t="s">
        <v>40803</v>
      </c>
      <c r="K12292" s="0" t="s">
        <v>40804</v>
      </c>
      <c r="L12292" s="0" t="str">
        <f aca="false">HYPERLINK("https://www.ncbi.nlm.nih.gov/nuccore/CP000058.1?report=graph&amp;tracks=[key:gene_model_track,Options:GeneOnly]&amp;mk=3865571:3865590|offset_9|444444,3865537:3865556|offset_43|444444,3865514:3865533|offset_66|444444,3865491:3865510|offset_89|00cc00&amp;v=3865370:3865710&amp;c=444444", "offset 89")</f>
        <v>offset 89</v>
      </c>
    </row>
    <row r="12293" customFormat="false" ht="12.8" hidden="false" customHeight="false" outlineLevel="0" collapsed="false">
      <c r="A12293" s="0" t="s">
        <v>12</v>
      </c>
      <c r="B12293" s="0" t="n">
        <v>3866072</v>
      </c>
      <c r="C12293" s="0" t="n">
        <v>3866092</v>
      </c>
      <c r="D12293" s="0" t="s">
        <v>40805</v>
      </c>
      <c r="E12293" s="0" t="s">
        <v>40806</v>
      </c>
      <c r="F12293" s="0" t="s">
        <v>15</v>
      </c>
      <c r="G12293" s="0" t="s">
        <v>32</v>
      </c>
      <c r="H12293" s="0" t="n">
        <v>16</v>
      </c>
      <c r="I12293" s="0" t="s">
        <v>40807</v>
      </c>
      <c r="J12293" s="0" t="s">
        <v>40808</v>
      </c>
      <c r="K12293" s="0" t="s">
        <v>40809</v>
      </c>
      <c r="L12293" s="0" t="str">
        <f aca="false">HYPERLINK("https://www.ncbi.nlm.nih.gov/nuccore/CP000058.1?report=graph&amp;tracks=[key:gene_model_track,Options:GeneOnly]&amp;mk=3866073:3866092|offset_16|00cc00,3866107:3866126|offset_50|444444,3866152:3866171|offset_95|444444,3866186:3866205|offset_129|444444&amp;v=3865872:3866405&amp;c=444444", "offset 16")</f>
        <v>offset 16</v>
      </c>
    </row>
    <row r="12294" customFormat="false" ht="12.8" hidden="false" customHeight="false" outlineLevel="0" collapsed="false">
      <c r="A12294" s="0" t="s">
        <v>12</v>
      </c>
      <c r="B12294" s="0" t="n">
        <v>3866106</v>
      </c>
      <c r="C12294" s="0" t="n">
        <v>3866126</v>
      </c>
      <c r="D12294" s="0" t="s">
        <v>40805</v>
      </c>
      <c r="E12294" s="0" t="s">
        <v>40806</v>
      </c>
      <c r="F12294" s="0" t="s">
        <v>15</v>
      </c>
      <c r="G12294" s="0" t="s">
        <v>32</v>
      </c>
      <c r="H12294" s="0" t="n">
        <v>50</v>
      </c>
      <c r="I12294" s="0" t="s">
        <v>40810</v>
      </c>
      <c r="J12294" s="0" t="s">
        <v>40811</v>
      </c>
      <c r="K12294" s="0" t="s">
        <v>40812</v>
      </c>
      <c r="L12294" s="0" t="str">
        <f aca="false">HYPERLINK("https://www.ncbi.nlm.nih.gov/nuccore/CP000058.1?report=graph&amp;tracks=[key:gene_model_track,Options:GeneOnly]&amp;mk=3866073:3866092|offset_16|444444,3866107:3866126|offset_50|00cc00,3866152:3866171|offset_95|444444,3866186:3866205|offset_129|444444&amp;v=3865872:3866405&amp;c=444444", "offset 50")</f>
        <v>offset 50</v>
      </c>
    </row>
    <row r="12295" customFormat="false" ht="12.8" hidden="false" customHeight="false" outlineLevel="0" collapsed="false">
      <c r="A12295" s="0" t="s">
        <v>12</v>
      </c>
      <c r="B12295" s="0" t="n">
        <v>3866151</v>
      </c>
      <c r="C12295" s="0" t="n">
        <v>3866171</v>
      </c>
      <c r="D12295" s="0" t="s">
        <v>40805</v>
      </c>
      <c r="E12295" s="0" t="s">
        <v>40806</v>
      </c>
      <c r="F12295" s="0" t="s">
        <v>15</v>
      </c>
      <c r="G12295" s="0" t="s">
        <v>20</v>
      </c>
      <c r="H12295" s="0" t="n">
        <v>95</v>
      </c>
      <c r="I12295" s="0" t="s">
        <v>40813</v>
      </c>
      <c r="J12295" s="0" t="s">
        <v>40814</v>
      </c>
      <c r="K12295" s="0" t="s">
        <v>40815</v>
      </c>
      <c r="L12295" s="0" t="str">
        <f aca="false">HYPERLINK("https://www.ncbi.nlm.nih.gov/nuccore/CP000058.1?report=graph&amp;tracks=[key:gene_model_track,Options:GeneOnly]&amp;mk=3866073:3866092|offset_16|444444,3866107:3866126|offset_50|444444,3866152:3866171|offset_95|00cc00,3866186:3866205|offset_129|444444&amp;v=3865872:3866405&amp;c=444444", "offset 95")</f>
        <v>offset 95</v>
      </c>
    </row>
    <row r="12296" customFormat="false" ht="12.8" hidden="false" customHeight="false" outlineLevel="0" collapsed="false">
      <c r="A12296" s="0" t="s">
        <v>12</v>
      </c>
      <c r="B12296" s="0" t="n">
        <v>3866185</v>
      </c>
      <c r="C12296" s="0" t="n">
        <v>3866205</v>
      </c>
      <c r="D12296" s="0" t="s">
        <v>40805</v>
      </c>
      <c r="E12296" s="0" t="s">
        <v>40806</v>
      </c>
      <c r="F12296" s="0" t="s">
        <v>15</v>
      </c>
      <c r="G12296" s="0" t="s">
        <v>16</v>
      </c>
      <c r="H12296" s="0" t="n">
        <v>129</v>
      </c>
      <c r="I12296" s="0" t="s">
        <v>40816</v>
      </c>
      <c r="J12296" s="0" t="s">
        <v>40817</v>
      </c>
      <c r="K12296" s="0" t="s">
        <v>40818</v>
      </c>
      <c r="L12296" s="0" t="str">
        <f aca="false">HYPERLINK("https://www.ncbi.nlm.nih.gov/nuccore/CP000058.1?report=graph&amp;tracks=[key:gene_model_track,Options:GeneOnly]&amp;mk=3866073:3866092|offset_16|444444,3866107:3866126|offset_50|444444,3866152:3866171|offset_95|444444,3866186:3866205|offset_129|00cc00&amp;v=3865872:3866405&amp;c=444444", "offset 129")</f>
        <v>offset 129</v>
      </c>
    </row>
    <row r="12297" customFormat="false" ht="12.8" hidden="false" customHeight="false" outlineLevel="0" collapsed="false">
      <c r="A12297" s="0" t="s">
        <v>12</v>
      </c>
      <c r="B12297" s="0" t="n">
        <v>3867533</v>
      </c>
      <c r="C12297" s="0" t="n">
        <v>3867553</v>
      </c>
      <c r="D12297" s="0" t="s">
        <v>40819</v>
      </c>
      <c r="E12297" s="0" t="s">
        <v>40820</v>
      </c>
      <c r="F12297" s="0" t="s">
        <v>15</v>
      </c>
      <c r="G12297" s="0" t="s">
        <v>20</v>
      </c>
      <c r="H12297" s="0" t="n">
        <v>35</v>
      </c>
      <c r="I12297" s="0" t="s">
        <v>40821</v>
      </c>
      <c r="J12297" s="0" t="s">
        <v>40822</v>
      </c>
      <c r="K12297" s="0" t="s">
        <v>40823</v>
      </c>
      <c r="L12297" s="0" t="str">
        <f aca="false">HYPERLINK("https://www.ncbi.nlm.nih.gov/nuccore/CP000058.1?report=graph&amp;tracks=[key:gene_model_track,Options:GeneOnly]&amp;mk=3867534:3867553|offset_35|00cc00,3867560:3867579|offset_61|444444,3867591:3867610|offset_92|444444,3867614:3867633|offset_115|444444&amp;v=3867333:3867833&amp;c=444444", "offset 35")</f>
        <v>offset 35</v>
      </c>
    </row>
    <row r="12298" customFormat="false" ht="12.8" hidden="false" customHeight="false" outlineLevel="0" collapsed="false">
      <c r="A12298" s="0" t="s">
        <v>12</v>
      </c>
      <c r="B12298" s="0" t="n">
        <v>3867559</v>
      </c>
      <c r="C12298" s="0" t="n">
        <v>3867579</v>
      </c>
      <c r="D12298" s="0" t="s">
        <v>40819</v>
      </c>
      <c r="E12298" s="0" t="s">
        <v>40820</v>
      </c>
      <c r="F12298" s="0" t="s">
        <v>15</v>
      </c>
      <c r="G12298" s="0" t="s">
        <v>16</v>
      </c>
      <c r="H12298" s="0" t="n">
        <v>61</v>
      </c>
      <c r="I12298" s="0" t="s">
        <v>40824</v>
      </c>
      <c r="J12298" s="0" t="s">
        <v>40825</v>
      </c>
      <c r="K12298" s="0" t="s">
        <v>40826</v>
      </c>
      <c r="L12298" s="0" t="str">
        <f aca="false">HYPERLINK("https://www.ncbi.nlm.nih.gov/nuccore/CP000058.1?report=graph&amp;tracks=[key:gene_model_track,Options:GeneOnly]&amp;mk=3867534:3867553|offset_35|444444,3867560:3867579|offset_61|00cc00,3867591:3867610|offset_92|444444,3867614:3867633|offset_115|444444&amp;v=3867333:3867833&amp;c=444444", "offset 61")</f>
        <v>offset 61</v>
      </c>
    </row>
    <row r="12299" customFormat="false" ht="12.8" hidden="false" customHeight="false" outlineLevel="0" collapsed="false">
      <c r="A12299" s="0" t="s">
        <v>12</v>
      </c>
      <c r="B12299" s="0" t="n">
        <v>3867590</v>
      </c>
      <c r="C12299" s="0" t="n">
        <v>3867610</v>
      </c>
      <c r="D12299" s="0" t="s">
        <v>40819</v>
      </c>
      <c r="E12299" s="0" t="s">
        <v>40820</v>
      </c>
      <c r="F12299" s="0" t="s">
        <v>15</v>
      </c>
      <c r="G12299" s="0" t="s">
        <v>36</v>
      </c>
      <c r="H12299" s="0" t="n">
        <v>92</v>
      </c>
      <c r="I12299" s="0" t="s">
        <v>40827</v>
      </c>
      <c r="J12299" s="0" t="s">
        <v>40828</v>
      </c>
      <c r="K12299" s="0" t="s">
        <v>40829</v>
      </c>
      <c r="L12299" s="0" t="str">
        <f aca="false">HYPERLINK("https://www.ncbi.nlm.nih.gov/nuccore/CP000058.1?report=graph&amp;tracks=[key:gene_model_track,Options:GeneOnly]&amp;mk=3867534:3867553|offset_35|444444,3867560:3867579|offset_61|444444,3867591:3867610|offset_92|00cc00,3867614:3867633|offset_115|444444&amp;v=3867333:3867833&amp;c=444444", "offset 92")</f>
        <v>offset 92</v>
      </c>
    </row>
    <row r="12300" customFormat="false" ht="12.8" hidden="false" customHeight="false" outlineLevel="0" collapsed="false">
      <c r="A12300" s="0" t="s">
        <v>12</v>
      </c>
      <c r="B12300" s="0" t="n">
        <v>3867613</v>
      </c>
      <c r="C12300" s="0" t="n">
        <v>3867633</v>
      </c>
      <c r="D12300" s="0" t="s">
        <v>40819</v>
      </c>
      <c r="E12300" s="0" t="s">
        <v>40820</v>
      </c>
      <c r="F12300" s="0" t="s">
        <v>15</v>
      </c>
      <c r="G12300" s="0" t="s">
        <v>32</v>
      </c>
      <c r="H12300" s="0" t="n">
        <v>115</v>
      </c>
      <c r="I12300" s="0" t="s">
        <v>40830</v>
      </c>
      <c r="J12300" s="0" t="s">
        <v>40831</v>
      </c>
      <c r="K12300" s="0" t="s">
        <v>40832</v>
      </c>
      <c r="L12300" s="0" t="str">
        <f aca="false">HYPERLINK("https://www.ncbi.nlm.nih.gov/nuccore/CP000058.1?report=graph&amp;tracks=[key:gene_model_track,Options:GeneOnly]&amp;mk=3867534:3867553|offset_35|444444,3867560:3867579|offset_61|444444,3867591:3867610|offset_92|444444,3867614:3867633|offset_115|00cc00&amp;v=3867333:3867833&amp;c=444444", "offset 115")</f>
        <v>offset 115</v>
      </c>
    </row>
    <row r="12301" customFormat="false" ht="12.8" hidden="false" customHeight="false" outlineLevel="0" collapsed="false">
      <c r="A12301" s="0" t="s">
        <v>12</v>
      </c>
      <c r="B12301" s="0" t="n">
        <v>3868138</v>
      </c>
      <c r="C12301" s="0" t="n">
        <v>3868158</v>
      </c>
      <c r="D12301" s="0" t="s">
        <v>40833</v>
      </c>
      <c r="E12301" s="0" t="s">
        <v>40834</v>
      </c>
      <c r="F12301" s="0" t="s">
        <v>15</v>
      </c>
      <c r="G12301" s="0" t="s">
        <v>20</v>
      </c>
      <c r="H12301" s="0" t="n">
        <v>26</v>
      </c>
      <c r="I12301" s="0" t="s">
        <v>40835</v>
      </c>
      <c r="J12301" s="0" t="s">
        <v>40836</v>
      </c>
      <c r="K12301" s="0" t="s">
        <v>40837</v>
      </c>
      <c r="L12301" s="0" t="str">
        <f aca="false">HYPERLINK("https://www.ncbi.nlm.nih.gov/nuccore/CP000058.1?report=graph&amp;tracks=[key:gene_model_track,Options:GeneOnly]&amp;mk=3868139:3868158|offset_26|00cc00,3868175:3868194|offset_62|444444,3868196:3868215|offset_83|444444,3868228:3868247|offset_115|444444&amp;v=3867938:3868447&amp;c=444444", "offset 26")</f>
        <v>offset 26</v>
      </c>
    </row>
    <row r="12302" customFormat="false" ht="12.8" hidden="false" customHeight="false" outlineLevel="0" collapsed="false">
      <c r="A12302" s="0" t="s">
        <v>12</v>
      </c>
      <c r="B12302" s="0" t="n">
        <v>3868174</v>
      </c>
      <c r="C12302" s="0" t="n">
        <v>3868194</v>
      </c>
      <c r="D12302" s="0" t="s">
        <v>40833</v>
      </c>
      <c r="E12302" s="0" t="s">
        <v>40834</v>
      </c>
      <c r="F12302" s="0" t="s">
        <v>15</v>
      </c>
      <c r="G12302" s="0" t="s">
        <v>20</v>
      </c>
      <c r="H12302" s="0" t="n">
        <v>62</v>
      </c>
      <c r="I12302" s="0" t="s">
        <v>40838</v>
      </c>
      <c r="J12302" s="0" t="s">
        <v>40839</v>
      </c>
      <c r="K12302" s="0" t="s">
        <v>40840</v>
      </c>
      <c r="L12302" s="0" t="str">
        <f aca="false">HYPERLINK("https://www.ncbi.nlm.nih.gov/nuccore/CP000058.1?report=graph&amp;tracks=[key:gene_model_track,Options:GeneOnly]&amp;mk=3868139:3868158|offset_26|444444,3868175:3868194|offset_62|00cc00,3868196:3868215|offset_83|444444,3868228:3868247|offset_115|444444&amp;v=3867938:3868447&amp;c=444444", "offset 62")</f>
        <v>offset 62</v>
      </c>
    </row>
    <row r="12303" customFormat="false" ht="12.8" hidden="false" customHeight="false" outlineLevel="0" collapsed="false">
      <c r="A12303" s="0" t="s">
        <v>12</v>
      </c>
      <c r="B12303" s="0" t="n">
        <v>3868195</v>
      </c>
      <c r="C12303" s="0" t="n">
        <v>3868215</v>
      </c>
      <c r="D12303" s="0" t="s">
        <v>40833</v>
      </c>
      <c r="E12303" s="0" t="s">
        <v>40834</v>
      </c>
      <c r="F12303" s="0" t="s">
        <v>15</v>
      </c>
      <c r="G12303" s="0" t="s">
        <v>36</v>
      </c>
      <c r="H12303" s="0" t="n">
        <v>83</v>
      </c>
      <c r="I12303" s="0" t="s">
        <v>40841</v>
      </c>
      <c r="J12303" s="0" t="s">
        <v>40842</v>
      </c>
      <c r="K12303" s="0" t="s">
        <v>40843</v>
      </c>
      <c r="L12303" s="0" t="str">
        <f aca="false">HYPERLINK("https://www.ncbi.nlm.nih.gov/nuccore/CP000058.1?report=graph&amp;tracks=[key:gene_model_track,Options:GeneOnly]&amp;mk=3868139:3868158|offset_26|444444,3868175:3868194|offset_62|444444,3868196:3868215|offset_83|00cc00,3868228:3868247|offset_115|444444&amp;v=3867938:3868447&amp;c=444444", "offset 83")</f>
        <v>offset 83</v>
      </c>
    </row>
    <row r="12304" customFormat="false" ht="12.8" hidden="false" customHeight="false" outlineLevel="0" collapsed="false">
      <c r="A12304" s="0" t="s">
        <v>12</v>
      </c>
      <c r="B12304" s="0" t="n">
        <v>3868227</v>
      </c>
      <c r="C12304" s="0" t="n">
        <v>3868247</v>
      </c>
      <c r="D12304" s="0" t="s">
        <v>40833</v>
      </c>
      <c r="E12304" s="0" t="s">
        <v>40834</v>
      </c>
      <c r="F12304" s="0" t="s">
        <v>15</v>
      </c>
      <c r="G12304" s="0" t="s">
        <v>36</v>
      </c>
      <c r="H12304" s="0" t="n">
        <v>115</v>
      </c>
      <c r="I12304" s="0" t="s">
        <v>40844</v>
      </c>
      <c r="J12304" s="0" t="s">
        <v>40845</v>
      </c>
      <c r="K12304" s="0" t="s">
        <v>40846</v>
      </c>
      <c r="L12304" s="0" t="str">
        <f aca="false">HYPERLINK("https://www.ncbi.nlm.nih.gov/nuccore/CP000058.1?report=graph&amp;tracks=[key:gene_model_track,Options:GeneOnly]&amp;mk=3868139:3868158|offset_26|444444,3868175:3868194|offset_62|444444,3868196:3868215|offset_83|444444,3868228:3868247|offset_115|00cc00&amp;v=3867938:3868447&amp;c=444444", "offset 115")</f>
        <v>offset 115</v>
      </c>
    </row>
    <row r="12305" customFormat="false" ht="12.8" hidden="false" customHeight="false" outlineLevel="0" collapsed="false">
      <c r="A12305" s="0" t="s">
        <v>12</v>
      </c>
      <c r="B12305" s="0" t="n">
        <v>3868320</v>
      </c>
      <c r="C12305" s="0" t="n">
        <v>3868340</v>
      </c>
      <c r="D12305" s="0" t="s">
        <v>40847</v>
      </c>
      <c r="E12305" s="0" t="s">
        <v>40848</v>
      </c>
      <c r="F12305" s="0" t="s">
        <v>15</v>
      </c>
      <c r="G12305" s="0" t="s">
        <v>20</v>
      </c>
      <c r="H12305" s="0" t="n">
        <v>20</v>
      </c>
      <c r="I12305" s="0" t="s">
        <v>40849</v>
      </c>
      <c r="J12305" s="0" t="s">
        <v>40850</v>
      </c>
      <c r="K12305" s="0" t="s">
        <v>40851</v>
      </c>
      <c r="L12305" s="0" t="str">
        <f aca="false">HYPERLINK("https://www.ncbi.nlm.nih.gov/nuccore/CP000058.1?report=graph&amp;tracks=[key:gene_model_track,Options:GeneOnly]&amp;mk=3868321:3868340|offset_20|00cc00,3868380:3868399|offset_79|444444,3868406:3868425|offset_105|444444,3868426:3868445|offset_125|444444&amp;v=3868120:3868645&amp;c=444444", "offset 20")</f>
        <v>offset 20</v>
      </c>
    </row>
    <row r="12306" customFormat="false" ht="12.8" hidden="false" customHeight="false" outlineLevel="0" collapsed="false">
      <c r="A12306" s="0" t="s">
        <v>12</v>
      </c>
      <c r="B12306" s="0" t="n">
        <v>3868379</v>
      </c>
      <c r="C12306" s="0" t="n">
        <v>3868399</v>
      </c>
      <c r="D12306" s="0" t="s">
        <v>40847</v>
      </c>
      <c r="E12306" s="0" t="s">
        <v>40848</v>
      </c>
      <c r="F12306" s="0" t="s">
        <v>15</v>
      </c>
      <c r="G12306" s="0" t="s">
        <v>32</v>
      </c>
      <c r="H12306" s="0" t="n">
        <v>79</v>
      </c>
      <c r="I12306" s="0" t="s">
        <v>40852</v>
      </c>
      <c r="J12306" s="0" t="s">
        <v>40853</v>
      </c>
      <c r="K12306" s="0" t="s">
        <v>40854</v>
      </c>
      <c r="L12306" s="0" t="str">
        <f aca="false">HYPERLINK("https://www.ncbi.nlm.nih.gov/nuccore/CP000058.1?report=graph&amp;tracks=[key:gene_model_track,Options:GeneOnly]&amp;mk=3868321:3868340|offset_20|444444,3868380:3868399|offset_79|00cc00,3868406:3868425|offset_105|444444,3868426:3868445|offset_125|444444&amp;v=3868120:3868645&amp;c=444444", "offset 79")</f>
        <v>offset 79</v>
      </c>
    </row>
    <row r="12307" customFormat="false" ht="12.8" hidden="false" customHeight="false" outlineLevel="0" collapsed="false">
      <c r="A12307" s="0" t="s">
        <v>12</v>
      </c>
      <c r="B12307" s="0" t="n">
        <v>3868405</v>
      </c>
      <c r="C12307" s="0" t="n">
        <v>3868425</v>
      </c>
      <c r="D12307" s="0" t="s">
        <v>40847</v>
      </c>
      <c r="E12307" s="0" t="s">
        <v>40848</v>
      </c>
      <c r="F12307" s="0" t="s">
        <v>15</v>
      </c>
      <c r="G12307" s="0" t="s">
        <v>16</v>
      </c>
      <c r="H12307" s="0" t="n">
        <v>105</v>
      </c>
      <c r="I12307" s="0" t="s">
        <v>40855</v>
      </c>
      <c r="J12307" s="0" t="s">
        <v>40856</v>
      </c>
      <c r="K12307" s="0" t="s">
        <v>40857</v>
      </c>
      <c r="L12307" s="0" t="str">
        <f aca="false">HYPERLINK("https://www.ncbi.nlm.nih.gov/nuccore/CP000058.1?report=graph&amp;tracks=[key:gene_model_track,Options:GeneOnly]&amp;mk=3868321:3868340|offset_20|444444,3868380:3868399|offset_79|444444,3868406:3868425|offset_105|00cc00,3868426:3868445|offset_125|444444&amp;v=3868120:3868645&amp;c=444444", "offset 105")</f>
        <v>offset 105</v>
      </c>
    </row>
    <row r="12308" customFormat="false" ht="12.8" hidden="false" customHeight="false" outlineLevel="0" collapsed="false">
      <c r="A12308" s="0" t="s">
        <v>12</v>
      </c>
      <c r="B12308" s="0" t="n">
        <v>3868425</v>
      </c>
      <c r="C12308" s="0" t="n">
        <v>3868445</v>
      </c>
      <c r="D12308" s="0" t="s">
        <v>40847</v>
      </c>
      <c r="E12308" s="0" t="s">
        <v>40848</v>
      </c>
      <c r="F12308" s="0" t="s">
        <v>15</v>
      </c>
      <c r="G12308" s="0" t="s">
        <v>32</v>
      </c>
      <c r="H12308" s="0" t="n">
        <v>125</v>
      </c>
      <c r="I12308" s="0" t="s">
        <v>40858</v>
      </c>
      <c r="J12308" s="0" t="s">
        <v>40859</v>
      </c>
      <c r="K12308" s="0" t="s">
        <v>40860</v>
      </c>
      <c r="L12308" s="0" t="str">
        <f aca="false">HYPERLINK("https://www.ncbi.nlm.nih.gov/nuccore/CP000058.1?report=graph&amp;tracks=[key:gene_model_track,Options:GeneOnly]&amp;mk=3868321:3868340|offset_20|444444,3868380:3868399|offset_79|444444,3868406:3868425|offset_105|444444,3868426:3868445|offset_125|00cc00&amp;v=3868120:3868645&amp;c=444444", "offset 125")</f>
        <v>offset 125</v>
      </c>
    </row>
    <row r="12309" customFormat="false" ht="12.8" hidden="false" customHeight="false" outlineLevel="0" collapsed="false">
      <c r="A12309" s="0" t="s">
        <v>12</v>
      </c>
      <c r="B12309" s="0" t="n">
        <v>3870437</v>
      </c>
      <c r="C12309" s="0" t="n">
        <v>3870457</v>
      </c>
      <c r="D12309" s="0" t="s">
        <v>40861</v>
      </c>
      <c r="E12309" s="0" t="s">
        <v>75</v>
      </c>
      <c r="F12309" s="0" t="s">
        <v>90</v>
      </c>
      <c r="G12309" s="0" t="s">
        <v>20</v>
      </c>
      <c r="H12309" s="0" t="n">
        <v>11</v>
      </c>
      <c r="I12309" s="0" t="s">
        <v>40862</v>
      </c>
      <c r="J12309" s="0" t="s">
        <v>40863</v>
      </c>
      <c r="K12309" s="0" t="s">
        <v>40864</v>
      </c>
      <c r="L12309" s="0" t="str">
        <f aca="false">HYPERLINK("https://www.ncbi.nlm.nih.gov/nuccore/CP000058.1?report=graph&amp;tracks=[key:gene_model_track,Options:GeneOnly]&amp;mk=3870438:3870457|offset_11|00cc00,3870373:3870392|offset_76|444444,3870296:3870315|offset_153|444444,3870230:3870249|offset_219|444444&amp;v=3870237:3870449&amp;c=444444", "offset 11")</f>
        <v>offset 11</v>
      </c>
    </row>
    <row r="12310" customFormat="false" ht="12.8" hidden="false" customHeight="false" outlineLevel="0" collapsed="false">
      <c r="A12310" s="0" t="s">
        <v>12</v>
      </c>
      <c r="B12310" s="0" t="n">
        <v>3870372</v>
      </c>
      <c r="C12310" s="0" t="n">
        <v>3870392</v>
      </c>
      <c r="D12310" s="0" t="s">
        <v>40861</v>
      </c>
      <c r="E12310" s="0" t="s">
        <v>75</v>
      </c>
      <c r="F12310" s="0" t="s">
        <v>90</v>
      </c>
      <c r="G12310" s="0" t="s">
        <v>32</v>
      </c>
      <c r="H12310" s="0" t="n">
        <v>76</v>
      </c>
      <c r="I12310" s="0" t="s">
        <v>40865</v>
      </c>
      <c r="J12310" s="0" t="s">
        <v>40866</v>
      </c>
      <c r="K12310" s="0" t="s">
        <v>40867</v>
      </c>
      <c r="L12310" s="0" t="str">
        <f aca="false">HYPERLINK("https://www.ncbi.nlm.nih.gov/nuccore/CP000058.1?report=graph&amp;tracks=[key:gene_model_track,Options:GeneOnly]&amp;mk=3870438:3870457|offset_11|444444,3870373:3870392|offset_76|00cc00,3870296:3870315|offset_153|444444,3870230:3870249|offset_219|444444&amp;v=3870237:3870449&amp;c=444444", "offset 76")</f>
        <v>offset 76</v>
      </c>
    </row>
    <row r="12311" customFormat="false" ht="12.8" hidden="false" customHeight="false" outlineLevel="0" collapsed="false">
      <c r="A12311" s="0" t="s">
        <v>12</v>
      </c>
      <c r="B12311" s="0" t="n">
        <v>3870295</v>
      </c>
      <c r="C12311" s="0" t="n">
        <v>3870315</v>
      </c>
      <c r="D12311" s="0" t="s">
        <v>40861</v>
      </c>
      <c r="E12311" s="0" t="s">
        <v>75</v>
      </c>
      <c r="F12311" s="0" t="s">
        <v>90</v>
      </c>
      <c r="G12311" s="0" t="s">
        <v>20</v>
      </c>
      <c r="H12311" s="0" t="n">
        <v>153</v>
      </c>
      <c r="I12311" s="0" t="s">
        <v>40868</v>
      </c>
      <c r="J12311" s="0" t="s">
        <v>40869</v>
      </c>
      <c r="K12311" s="0" t="s">
        <v>40870</v>
      </c>
      <c r="L12311" s="0" t="str">
        <f aca="false">HYPERLINK("https://www.ncbi.nlm.nih.gov/nuccore/CP000058.1?report=graph&amp;tracks=[key:gene_model_track,Options:GeneOnly]&amp;mk=3870438:3870457|offset_11|444444,3870373:3870392|offset_76|444444,3870296:3870315|offset_153|00cc00,3870230:3870249|offset_219|444444&amp;v=3870237:3870449&amp;c=444444", "offset 153")</f>
        <v>offset 153</v>
      </c>
    </row>
    <row r="12312" customFormat="false" ht="12.8" hidden="false" customHeight="false" outlineLevel="0" collapsed="false">
      <c r="A12312" s="0" t="s">
        <v>12</v>
      </c>
      <c r="B12312" s="0" t="n">
        <v>3870229</v>
      </c>
      <c r="C12312" s="0" t="n">
        <v>3870249</v>
      </c>
      <c r="D12312" s="0" t="s">
        <v>40861</v>
      </c>
      <c r="E12312" s="0" t="s">
        <v>75</v>
      </c>
      <c r="F12312" s="0" t="s">
        <v>90</v>
      </c>
      <c r="G12312" s="0" t="s">
        <v>36</v>
      </c>
      <c r="H12312" s="0" t="n">
        <v>219</v>
      </c>
      <c r="I12312" s="0" t="s">
        <v>40871</v>
      </c>
      <c r="J12312" s="0" t="s">
        <v>40872</v>
      </c>
      <c r="K12312" s="0" t="s">
        <v>40873</v>
      </c>
      <c r="L12312" s="0" t="str">
        <f aca="false">HYPERLINK("https://www.ncbi.nlm.nih.gov/nuccore/CP000058.1?report=graph&amp;tracks=[key:gene_model_track,Options:GeneOnly]&amp;mk=3870438:3870457|offset_11|444444,3870373:3870392|offset_76|444444,3870296:3870315|offset_153|444444,3870230:3870249|offset_219|00cc00&amp;v=3870237:3870449&amp;c=444444", "offset 219")</f>
        <v>offset 219</v>
      </c>
    </row>
    <row r="12313" customFormat="false" ht="12.8" hidden="false" customHeight="false" outlineLevel="0" collapsed="false">
      <c r="A12313" s="0" t="s">
        <v>12</v>
      </c>
      <c r="B12313" s="0" t="n">
        <v>3871400</v>
      </c>
      <c r="C12313" s="0" t="n">
        <v>3871420</v>
      </c>
      <c r="D12313" s="0" t="s">
        <v>40874</v>
      </c>
      <c r="E12313" s="0" t="s">
        <v>75</v>
      </c>
      <c r="F12313" s="0" t="s">
        <v>15</v>
      </c>
      <c r="G12313" s="0" t="s">
        <v>16</v>
      </c>
      <c r="H12313" s="0" t="n">
        <v>26</v>
      </c>
      <c r="I12313" s="0" t="s">
        <v>40875</v>
      </c>
      <c r="J12313" s="0" t="s">
        <v>40876</v>
      </c>
      <c r="K12313" s="0" t="s">
        <v>40877</v>
      </c>
      <c r="L12313" s="0" t="str">
        <f aca="false">HYPERLINK("https://www.ncbi.nlm.nih.gov/nuccore/CP000058.1?report=graph&amp;tracks=[key:gene_model_track,Options:GeneOnly]&amp;mk=3871401:3871420|offset_26|00cc00,3871465:3871484|offset_90|444444,3871496:3871515|offset_121|444444,3871518:3871537|offset_143|444444&amp;v=3871200:3871737&amp;c=444444", "offset 26")</f>
        <v>offset 26</v>
      </c>
    </row>
    <row r="12314" customFormat="false" ht="12.8" hidden="false" customHeight="false" outlineLevel="0" collapsed="false">
      <c r="A12314" s="0" t="s">
        <v>12</v>
      </c>
      <c r="B12314" s="0" t="n">
        <v>3871464</v>
      </c>
      <c r="C12314" s="0" t="n">
        <v>3871484</v>
      </c>
      <c r="D12314" s="0" t="s">
        <v>40874</v>
      </c>
      <c r="E12314" s="0" t="s">
        <v>75</v>
      </c>
      <c r="F12314" s="0" t="s">
        <v>15</v>
      </c>
      <c r="G12314" s="0" t="s">
        <v>36</v>
      </c>
      <c r="H12314" s="0" t="n">
        <v>90</v>
      </c>
      <c r="I12314" s="0" t="s">
        <v>40878</v>
      </c>
      <c r="J12314" s="0" t="s">
        <v>40879</v>
      </c>
      <c r="K12314" s="0" t="s">
        <v>40880</v>
      </c>
      <c r="L12314" s="0" t="str">
        <f aca="false">HYPERLINK("https://www.ncbi.nlm.nih.gov/nuccore/CP000058.1?report=graph&amp;tracks=[key:gene_model_track,Options:GeneOnly]&amp;mk=3871401:3871420|offset_26|444444,3871465:3871484|offset_90|00cc00,3871496:3871515|offset_121|444444,3871518:3871537|offset_143|444444&amp;v=3871200:3871737&amp;c=444444", "offset 90")</f>
        <v>offset 90</v>
      </c>
    </row>
    <row r="12315" customFormat="false" ht="12.8" hidden="false" customHeight="false" outlineLevel="0" collapsed="false">
      <c r="A12315" s="0" t="s">
        <v>12</v>
      </c>
      <c r="B12315" s="0" t="n">
        <v>3871495</v>
      </c>
      <c r="C12315" s="0" t="n">
        <v>3871515</v>
      </c>
      <c r="D12315" s="0" t="s">
        <v>40874</v>
      </c>
      <c r="E12315" s="0" t="s">
        <v>75</v>
      </c>
      <c r="F12315" s="0" t="s">
        <v>15</v>
      </c>
      <c r="G12315" s="0" t="s">
        <v>36</v>
      </c>
      <c r="H12315" s="0" t="n">
        <v>121</v>
      </c>
      <c r="I12315" s="0" t="s">
        <v>40881</v>
      </c>
      <c r="J12315" s="0" t="s">
        <v>40882</v>
      </c>
      <c r="K12315" s="0" t="s">
        <v>40883</v>
      </c>
      <c r="L12315" s="0" t="str">
        <f aca="false">HYPERLINK("https://www.ncbi.nlm.nih.gov/nuccore/CP000058.1?report=graph&amp;tracks=[key:gene_model_track,Options:GeneOnly]&amp;mk=3871401:3871420|offset_26|444444,3871465:3871484|offset_90|444444,3871496:3871515|offset_121|00cc00,3871518:3871537|offset_143|444444&amp;v=3871200:3871737&amp;c=444444", "offset 121")</f>
        <v>offset 121</v>
      </c>
    </row>
    <row r="12316" customFormat="false" ht="12.8" hidden="false" customHeight="false" outlineLevel="0" collapsed="false">
      <c r="A12316" s="0" t="s">
        <v>12</v>
      </c>
      <c r="B12316" s="0" t="n">
        <v>3871517</v>
      </c>
      <c r="C12316" s="0" t="n">
        <v>3871537</v>
      </c>
      <c r="D12316" s="0" t="s">
        <v>40874</v>
      </c>
      <c r="E12316" s="0" t="s">
        <v>75</v>
      </c>
      <c r="F12316" s="0" t="s">
        <v>15</v>
      </c>
      <c r="G12316" s="0" t="s">
        <v>32</v>
      </c>
      <c r="H12316" s="0" t="n">
        <v>143</v>
      </c>
      <c r="I12316" s="0" t="s">
        <v>40884</v>
      </c>
      <c r="J12316" s="0" t="s">
        <v>40885</v>
      </c>
      <c r="K12316" s="0" t="s">
        <v>40886</v>
      </c>
      <c r="L12316" s="0" t="str">
        <f aca="false">HYPERLINK("https://www.ncbi.nlm.nih.gov/nuccore/CP000058.1?report=graph&amp;tracks=[key:gene_model_track,Options:GeneOnly]&amp;mk=3871401:3871420|offset_26|444444,3871465:3871484|offset_90|444444,3871496:3871515|offset_121|444444,3871518:3871537|offset_143|00cc00&amp;v=3871200:3871737&amp;c=444444", "offset 143")</f>
        <v>offset 143</v>
      </c>
    </row>
    <row r="12317" customFormat="false" ht="12.8" hidden="false" customHeight="false" outlineLevel="0" collapsed="false">
      <c r="A12317" s="0" t="s">
        <v>12</v>
      </c>
      <c r="B12317" s="0" t="n">
        <v>3871741</v>
      </c>
      <c r="C12317" s="0" t="n">
        <v>3871761</v>
      </c>
      <c r="D12317" s="0" t="s">
        <v>40887</v>
      </c>
      <c r="E12317" s="0" t="s">
        <v>75</v>
      </c>
      <c r="F12317" s="0" t="s">
        <v>15</v>
      </c>
      <c r="G12317" s="0" t="s">
        <v>20</v>
      </c>
      <c r="H12317" s="0" t="n">
        <v>8</v>
      </c>
      <c r="I12317" s="0" t="s">
        <v>40888</v>
      </c>
      <c r="J12317" s="0" t="s">
        <v>40889</v>
      </c>
      <c r="K12317" s="0" t="s">
        <v>40890</v>
      </c>
      <c r="L12317" s="0" t="str">
        <f aca="false">HYPERLINK("https://www.ncbi.nlm.nih.gov/nuccore/CP000058.1?report=graph&amp;tracks=[key:gene_model_track,Options:GeneOnly]&amp;mk=3871742:3871761|offset_8|00cc00,3871765:3871784|offset_31|444444,3871786:3871805|offset_52|444444,3871816:3871835|offset_82|444444&amp;v=3871541:3872035&amp;c=444444", "offset 8")</f>
        <v>offset 8</v>
      </c>
    </row>
    <row r="12318" customFormat="false" ht="12.8" hidden="false" customHeight="false" outlineLevel="0" collapsed="false">
      <c r="A12318" s="0" t="s">
        <v>12</v>
      </c>
      <c r="B12318" s="0" t="n">
        <v>3871764</v>
      </c>
      <c r="C12318" s="0" t="n">
        <v>3871784</v>
      </c>
      <c r="D12318" s="0" t="s">
        <v>40887</v>
      </c>
      <c r="E12318" s="0" t="s">
        <v>75</v>
      </c>
      <c r="F12318" s="0" t="s">
        <v>15</v>
      </c>
      <c r="G12318" s="0" t="s">
        <v>16</v>
      </c>
      <c r="H12318" s="0" t="n">
        <v>31</v>
      </c>
      <c r="I12318" s="0" t="s">
        <v>40891</v>
      </c>
      <c r="J12318" s="0" t="s">
        <v>40892</v>
      </c>
      <c r="K12318" s="0" t="s">
        <v>40893</v>
      </c>
      <c r="L12318" s="0" t="str">
        <f aca="false">HYPERLINK("https://www.ncbi.nlm.nih.gov/nuccore/CP000058.1?report=graph&amp;tracks=[key:gene_model_track,Options:GeneOnly]&amp;mk=3871742:3871761|offset_8|444444,3871765:3871784|offset_31|00cc00,3871786:3871805|offset_52|444444,3871816:3871835|offset_82|444444&amp;v=3871541:3872035&amp;c=444444", "offset 31")</f>
        <v>offset 31</v>
      </c>
    </row>
    <row r="12319" customFormat="false" ht="12.8" hidden="false" customHeight="false" outlineLevel="0" collapsed="false">
      <c r="A12319" s="0" t="s">
        <v>12</v>
      </c>
      <c r="B12319" s="0" t="n">
        <v>3871785</v>
      </c>
      <c r="C12319" s="0" t="n">
        <v>3871805</v>
      </c>
      <c r="D12319" s="0" t="s">
        <v>40887</v>
      </c>
      <c r="E12319" s="0" t="s">
        <v>75</v>
      </c>
      <c r="F12319" s="0" t="s">
        <v>15</v>
      </c>
      <c r="G12319" s="0" t="s">
        <v>16</v>
      </c>
      <c r="H12319" s="0" t="n">
        <v>52</v>
      </c>
      <c r="I12319" s="0" t="s">
        <v>40894</v>
      </c>
      <c r="J12319" s="0" t="s">
        <v>40895</v>
      </c>
      <c r="K12319" s="0" t="s">
        <v>40896</v>
      </c>
      <c r="L12319" s="0" t="str">
        <f aca="false">HYPERLINK("https://www.ncbi.nlm.nih.gov/nuccore/CP000058.1?report=graph&amp;tracks=[key:gene_model_track,Options:GeneOnly]&amp;mk=3871742:3871761|offset_8|444444,3871765:3871784|offset_31|444444,3871786:3871805|offset_52|00cc00,3871816:3871835|offset_82|444444&amp;v=3871541:3872035&amp;c=444444", "offset 52")</f>
        <v>offset 52</v>
      </c>
    </row>
    <row r="12320" customFormat="false" ht="12.8" hidden="false" customHeight="false" outlineLevel="0" collapsed="false">
      <c r="A12320" s="0" t="s">
        <v>12</v>
      </c>
      <c r="B12320" s="0" t="n">
        <v>3871815</v>
      </c>
      <c r="C12320" s="0" t="n">
        <v>3871835</v>
      </c>
      <c r="D12320" s="0" t="s">
        <v>40887</v>
      </c>
      <c r="E12320" s="0" t="s">
        <v>75</v>
      </c>
      <c r="F12320" s="0" t="s">
        <v>15</v>
      </c>
      <c r="G12320" s="0" t="s">
        <v>36</v>
      </c>
      <c r="H12320" s="0" t="n">
        <v>82</v>
      </c>
      <c r="I12320" s="0" t="s">
        <v>40897</v>
      </c>
      <c r="J12320" s="0" t="s">
        <v>40898</v>
      </c>
      <c r="K12320" s="0" t="s">
        <v>40899</v>
      </c>
      <c r="L12320" s="0" t="str">
        <f aca="false">HYPERLINK("https://www.ncbi.nlm.nih.gov/nuccore/CP000058.1?report=graph&amp;tracks=[key:gene_model_track,Options:GeneOnly]&amp;mk=3871742:3871761|offset_8|444444,3871765:3871784|offset_31|444444,3871786:3871805|offset_52|444444,3871816:3871835|offset_82|00cc00&amp;v=3871541:3872035&amp;c=444444", "offset 82")</f>
        <v>offset 82</v>
      </c>
    </row>
    <row r="12321" customFormat="false" ht="12.8" hidden="false" customHeight="false" outlineLevel="0" collapsed="false">
      <c r="A12321" s="0" t="s">
        <v>12</v>
      </c>
      <c r="B12321" s="0" t="n">
        <v>3872261</v>
      </c>
      <c r="C12321" s="0" t="n">
        <v>3872281</v>
      </c>
      <c r="D12321" s="0" t="s">
        <v>40900</v>
      </c>
      <c r="E12321" s="0" t="s">
        <v>75</v>
      </c>
      <c r="F12321" s="0" t="s">
        <v>15</v>
      </c>
      <c r="G12321" s="0" t="s">
        <v>32</v>
      </c>
      <c r="H12321" s="0" t="n">
        <v>11</v>
      </c>
      <c r="I12321" s="0" t="s">
        <v>40901</v>
      </c>
      <c r="J12321" s="0" t="s">
        <v>40902</v>
      </c>
      <c r="K12321" s="0" t="s">
        <v>40903</v>
      </c>
      <c r="L12321" s="0" t="str">
        <f aca="false">HYPERLINK("https://www.ncbi.nlm.nih.gov/nuccore/CP000058.1?report=graph&amp;tracks=[key:gene_model_track,Options:GeneOnly]&amp;mk=3872262:3872281|offset_11|00cc00,3872287:3872306|offset_36|444444,3872319:3872338|offset_68|444444,3872343:3872362|offset_92|444444&amp;v=3872061:3872562&amp;c=444444", "offset 11")</f>
        <v>offset 11</v>
      </c>
    </row>
    <row r="12322" customFormat="false" ht="12.8" hidden="false" customHeight="false" outlineLevel="0" collapsed="false">
      <c r="A12322" s="0" t="s">
        <v>12</v>
      </c>
      <c r="B12322" s="0" t="n">
        <v>3872286</v>
      </c>
      <c r="C12322" s="0" t="n">
        <v>3872306</v>
      </c>
      <c r="D12322" s="0" t="s">
        <v>40900</v>
      </c>
      <c r="E12322" s="0" t="s">
        <v>75</v>
      </c>
      <c r="F12322" s="0" t="s">
        <v>15</v>
      </c>
      <c r="G12322" s="0" t="s">
        <v>16</v>
      </c>
      <c r="H12322" s="0" t="n">
        <v>36</v>
      </c>
      <c r="I12322" s="0" t="s">
        <v>40904</v>
      </c>
      <c r="J12322" s="0" t="s">
        <v>40905</v>
      </c>
      <c r="K12322" s="0" t="s">
        <v>40906</v>
      </c>
      <c r="L12322" s="0" t="str">
        <f aca="false">HYPERLINK("https://www.ncbi.nlm.nih.gov/nuccore/CP000058.1?report=graph&amp;tracks=[key:gene_model_track,Options:GeneOnly]&amp;mk=3872262:3872281|offset_11|444444,3872287:3872306|offset_36|00cc00,3872319:3872338|offset_68|444444,3872343:3872362|offset_92|444444&amp;v=3872061:3872562&amp;c=444444", "offset 36")</f>
        <v>offset 36</v>
      </c>
    </row>
    <row r="12323" customFormat="false" ht="12.8" hidden="false" customHeight="false" outlineLevel="0" collapsed="false">
      <c r="A12323" s="0" t="s">
        <v>12</v>
      </c>
      <c r="B12323" s="0" t="n">
        <v>3872318</v>
      </c>
      <c r="C12323" s="0" t="n">
        <v>3872338</v>
      </c>
      <c r="D12323" s="0" t="s">
        <v>40900</v>
      </c>
      <c r="E12323" s="0" t="s">
        <v>75</v>
      </c>
      <c r="F12323" s="0" t="s">
        <v>15</v>
      </c>
      <c r="G12323" s="0" t="s">
        <v>20</v>
      </c>
      <c r="H12323" s="0" t="n">
        <v>68</v>
      </c>
      <c r="I12323" s="0" t="s">
        <v>40907</v>
      </c>
      <c r="J12323" s="0" t="s">
        <v>40908</v>
      </c>
      <c r="K12323" s="0" t="s">
        <v>40909</v>
      </c>
      <c r="L12323" s="0" t="str">
        <f aca="false">HYPERLINK("https://www.ncbi.nlm.nih.gov/nuccore/CP000058.1?report=graph&amp;tracks=[key:gene_model_track,Options:GeneOnly]&amp;mk=3872262:3872281|offset_11|444444,3872287:3872306|offset_36|444444,3872319:3872338|offset_68|00cc00,3872343:3872362|offset_92|444444&amp;v=3872061:3872562&amp;c=444444", "offset 68")</f>
        <v>offset 68</v>
      </c>
    </row>
    <row r="12324" customFormat="false" ht="12.8" hidden="false" customHeight="false" outlineLevel="0" collapsed="false">
      <c r="A12324" s="0" t="s">
        <v>12</v>
      </c>
      <c r="B12324" s="0" t="n">
        <v>3872342</v>
      </c>
      <c r="C12324" s="0" t="n">
        <v>3872362</v>
      </c>
      <c r="D12324" s="0" t="s">
        <v>40900</v>
      </c>
      <c r="E12324" s="0" t="s">
        <v>75</v>
      </c>
      <c r="F12324" s="0" t="s">
        <v>15</v>
      </c>
      <c r="G12324" s="0" t="s">
        <v>32</v>
      </c>
      <c r="H12324" s="0" t="n">
        <v>92</v>
      </c>
      <c r="I12324" s="0" t="s">
        <v>40910</v>
      </c>
      <c r="J12324" s="0" t="s">
        <v>40911</v>
      </c>
      <c r="K12324" s="0" t="s">
        <v>40912</v>
      </c>
      <c r="L12324" s="0" t="str">
        <f aca="false">HYPERLINK("https://www.ncbi.nlm.nih.gov/nuccore/CP000058.1?report=graph&amp;tracks=[key:gene_model_track,Options:GeneOnly]&amp;mk=3872262:3872281|offset_11|444444,3872287:3872306|offset_36|444444,3872319:3872338|offset_68|444444,3872343:3872362|offset_92|00cc00&amp;v=3872061:3872562&amp;c=444444", "offset 92")</f>
        <v>offset 92</v>
      </c>
    </row>
    <row r="12325" customFormat="false" ht="12.8" hidden="false" customHeight="false" outlineLevel="0" collapsed="false">
      <c r="A12325" s="0" t="s">
        <v>12</v>
      </c>
      <c r="B12325" s="0" t="n">
        <v>3873679</v>
      </c>
      <c r="C12325" s="0" t="n">
        <v>3873699</v>
      </c>
      <c r="D12325" s="0" t="s">
        <v>40913</v>
      </c>
      <c r="E12325" s="0" t="s">
        <v>75</v>
      </c>
      <c r="F12325" s="0" t="s">
        <v>15</v>
      </c>
      <c r="G12325" s="0" t="s">
        <v>36</v>
      </c>
      <c r="H12325" s="0" t="n">
        <v>6</v>
      </c>
      <c r="I12325" s="0" t="s">
        <v>40914</v>
      </c>
      <c r="J12325" s="0" t="s">
        <v>40915</v>
      </c>
      <c r="K12325" s="0" t="s">
        <v>40916</v>
      </c>
      <c r="L12325" s="0" t="str">
        <f aca="false">HYPERLINK("https://www.ncbi.nlm.nih.gov/nuccore/CP000058.1?report=graph&amp;tracks=[key:gene_model_track,Options:GeneOnly]&amp;mk=3873680:3873699|offset_6|00cc00,3873700:3873719|offset_26|444444,3873722:3873741|offset_48|444444,3873747:3873766|offset_73|444444&amp;v=3873479:3873966&amp;c=444444", "offset 6")</f>
        <v>offset 6</v>
      </c>
    </row>
    <row r="12326" customFormat="false" ht="12.8" hidden="false" customHeight="false" outlineLevel="0" collapsed="false">
      <c r="A12326" s="0" t="s">
        <v>12</v>
      </c>
      <c r="B12326" s="0" t="n">
        <v>3873699</v>
      </c>
      <c r="C12326" s="0" t="n">
        <v>3873719</v>
      </c>
      <c r="D12326" s="0" t="s">
        <v>40913</v>
      </c>
      <c r="E12326" s="0" t="s">
        <v>75</v>
      </c>
      <c r="F12326" s="0" t="s">
        <v>15</v>
      </c>
      <c r="G12326" s="0" t="s">
        <v>36</v>
      </c>
      <c r="H12326" s="0" t="n">
        <v>26</v>
      </c>
      <c r="I12326" s="0" t="s">
        <v>40917</v>
      </c>
      <c r="J12326" s="0" t="s">
        <v>40918</v>
      </c>
      <c r="K12326" s="0" t="s">
        <v>40919</v>
      </c>
      <c r="L12326" s="0" t="str">
        <f aca="false">HYPERLINK("https://www.ncbi.nlm.nih.gov/nuccore/CP000058.1?report=graph&amp;tracks=[key:gene_model_track,Options:GeneOnly]&amp;mk=3873680:3873699|offset_6|444444,3873700:3873719|offset_26|00cc00,3873722:3873741|offset_48|444444,3873747:3873766|offset_73|444444&amp;v=3873479:3873966&amp;c=444444", "offset 26")</f>
        <v>offset 26</v>
      </c>
    </row>
    <row r="12327" customFormat="false" ht="12.8" hidden="false" customHeight="false" outlineLevel="0" collapsed="false">
      <c r="A12327" s="0" t="s">
        <v>12</v>
      </c>
      <c r="B12327" s="0" t="n">
        <v>3873721</v>
      </c>
      <c r="C12327" s="0" t="n">
        <v>3873741</v>
      </c>
      <c r="D12327" s="0" t="s">
        <v>40913</v>
      </c>
      <c r="E12327" s="0" t="s">
        <v>75</v>
      </c>
      <c r="F12327" s="0" t="s">
        <v>15</v>
      </c>
      <c r="G12327" s="0" t="s">
        <v>32</v>
      </c>
      <c r="H12327" s="0" t="n">
        <v>48</v>
      </c>
      <c r="I12327" s="0" t="s">
        <v>40920</v>
      </c>
      <c r="J12327" s="0" t="s">
        <v>40921</v>
      </c>
      <c r="K12327" s="0" t="s">
        <v>40922</v>
      </c>
      <c r="L12327" s="0" t="str">
        <f aca="false">HYPERLINK("https://www.ncbi.nlm.nih.gov/nuccore/CP000058.1?report=graph&amp;tracks=[key:gene_model_track,Options:GeneOnly]&amp;mk=3873680:3873699|offset_6|444444,3873700:3873719|offset_26|444444,3873722:3873741|offset_48|00cc00,3873747:3873766|offset_73|444444&amp;v=3873479:3873966&amp;c=444444", "offset 48")</f>
        <v>offset 48</v>
      </c>
    </row>
    <row r="12328" customFormat="false" ht="12.8" hidden="false" customHeight="false" outlineLevel="0" collapsed="false">
      <c r="A12328" s="0" t="s">
        <v>12</v>
      </c>
      <c r="B12328" s="0" t="n">
        <v>3873746</v>
      </c>
      <c r="C12328" s="0" t="n">
        <v>3873766</v>
      </c>
      <c r="D12328" s="0" t="s">
        <v>40913</v>
      </c>
      <c r="E12328" s="0" t="s">
        <v>75</v>
      </c>
      <c r="F12328" s="0" t="s">
        <v>15</v>
      </c>
      <c r="G12328" s="0" t="s">
        <v>20</v>
      </c>
      <c r="H12328" s="0" t="n">
        <v>73</v>
      </c>
      <c r="I12328" s="0" t="s">
        <v>40923</v>
      </c>
      <c r="J12328" s="0" t="s">
        <v>40924</v>
      </c>
      <c r="K12328" s="0" t="s">
        <v>40925</v>
      </c>
      <c r="L12328" s="0" t="str">
        <f aca="false">HYPERLINK("https://www.ncbi.nlm.nih.gov/nuccore/CP000058.1?report=graph&amp;tracks=[key:gene_model_track,Options:GeneOnly]&amp;mk=3873680:3873699|offset_6|444444,3873700:3873719|offset_26|444444,3873722:3873741|offset_48|444444,3873747:3873766|offset_73|00cc00&amp;v=3873479:3873966&amp;c=444444", "offset 73")</f>
        <v>offset 73</v>
      </c>
    </row>
    <row r="12329" customFormat="false" ht="12.8" hidden="false" customHeight="false" outlineLevel="0" collapsed="false">
      <c r="A12329" s="0" t="s">
        <v>12</v>
      </c>
      <c r="B12329" s="0" t="n">
        <v>3874227</v>
      </c>
      <c r="C12329" s="0" t="n">
        <v>3874247</v>
      </c>
      <c r="D12329" s="0" t="s">
        <v>40926</v>
      </c>
      <c r="E12329" s="0" t="s">
        <v>75</v>
      </c>
      <c r="F12329" s="0" t="s">
        <v>15</v>
      </c>
      <c r="G12329" s="0" t="s">
        <v>36</v>
      </c>
      <c r="H12329" s="0" t="n">
        <v>15</v>
      </c>
      <c r="I12329" s="0" t="s">
        <v>40927</v>
      </c>
      <c r="J12329" s="0" t="s">
        <v>40928</v>
      </c>
      <c r="K12329" s="0" t="s">
        <v>40929</v>
      </c>
      <c r="L12329" s="0" t="str">
        <f aca="false">HYPERLINK("https://www.ncbi.nlm.nih.gov/nuccore/CP000058.1?report=graph&amp;tracks=[key:gene_model_track,Options:GeneOnly]&amp;mk=3874228:3874247|offset_15|00cc00,3874254:3874273|offset_41|444444,3874277:3874296|offset_64|444444,3874312:3874331|offset_99|444444&amp;v=3874027:3874531&amp;c=444444", "offset 15")</f>
        <v>offset 15</v>
      </c>
    </row>
    <row r="12330" customFormat="false" ht="12.8" hidden="false" customHeight="false" outlineLevel="0" collapsed="false">
      <c r="A12330" s="0" t="s">
        <v>12</v>
      </c>
      <c r="B12330" s="0" t="n">
        <v>3874253</v>
      </c>
      <c r="C12330" s="0" t="n">
        <v>3874273</v>
      </c>
      <c r="D12330" s="0" t="s">
        <v>40926</v>
      </c>
      <c r="E12330" s="0" t="s">
        <v>75</v>
      </c>
      <c r="F12330" s="0" t="s">
        <v>15</v>
      </c>
      <c r="G12330" s="0" t="s">
        <v>32</v>
      </c>
      <c r="H12330" s="0" t="n">
        <v>41</v>
      </c>
      <c r="I12330" s="0" t="s">
        <v>40930</v>
      </c>
      <c r="J12330" s="0" t="s">
        <v>40931</v>
      </c>
      <c r="K12330" s="0" t="s">
        <v>40932</v>
      </c>
      <c r="L12330" s="0" t="str">
        <f aca="false">HYPERLINK("https://www.ncbi.nlm.nih.gov/nuccore/CP000058.1?report=graph&amp;tracks=[key:gene_model_track,Options:GeneOnly]&amp;mk=3874228:3874247|offset_15|444444,3874254:3874273|offset_41|00cc00,3874277:3874296|offset_64|444444,3874312:3874331|offset_99|444444&amp;v=3874027:3874531&amp;c=444444", "offset 41")</f>
        <v>offset 41</v>
      </c>
    </row>
    <row r="12331" customFormat="false" ht="12.8" hidden="false" customHeight="false" outlineLevel="0" collapsed="false">
      <c r="A12331" s="0" t="s">
        <v>12</v>
      </c>
      <c r="B12331" s="0" t="n">
        <v>3874276</v>
      </c>
      <c r="C12331" s="0" t="n">
        <v>3874296</v>
      </c>
      <c r="D12331" s="0" t="s">
        <v>40926</v>
      </c>
      <c r="E12331" s="0" t="s">
        <v>75</v>
      </c>
      <c r="F12331" s="0" t="s">
        <v>15</v>
      </c>
      <c r="G12331" s="0" t="s">
        <v>16</v>
      </c>
      <c r="H12331" s="0" t="n">
        <v>64</v>
      </c>
      <c r="I12331" s="0" t="s">
        <v>40933</v>
      </c>
      <c r="J12331" s="0" t="s">
        <v>40934</v>
      </c>
      <c r="K12331" s="0" t="s">
        <v>40935</v>
      </c>
      <c r="L12331" s="0" t="str">
        <f aca="false">HYPERLINK("https://www.ncbi.nlm.nih.gov/nuccore/CP000058.1?report=graph&amp;tracks=[key:gene_model_track,Options:GeneOnly]&amp;mk=3874228:3874247|offset_15|444444,3874254:3874273|offset_41|444444,3874277:3874296|offset_64|00cc00,3874312:3874331|offset_99|444444&amp;v=3874027:3874531&amp;c=444444", "offset 64")</f>
        <v>offset 64</v>
      </c>
    </row>
    <row r="12332" customFormat="false" ht="12.8" hidden="false" customHeight="false" outlineLevel="0" collapsed="false">
      <c r="A12332" s="0" t="s">
        <v>12</v>
      </c>
      <c r="B12332" s="0" t="n">
        <v>3874311</v>
      </c>
      <c r="C12332" s="0" t="n">
        <v>3874331</v>
      </c>
      <c r="D12332" s="0" t="s">
        <v>40926</v>
      </c>
      <c r="E12332" s="0" t="s">
        <v>75</v>
      </c>
      <c r="F12332" s="0" t="s">
        <v>15</v>
      </c>
      <c r="G12332" s="0" t="s">
        <v>36</v>
      </c>
      <c r="H12332" s="0" t="n">
        <v>99</v>
      </c>
      <c r="I12332" s="0" t="s">
        <v>40936</v>
      </c>
      <c r="J12332" s="0" t="s">
        <v>40937</v>
      </c>
      <c r="K12332" s="0" t="s">
        <v>40938</v>
      </c>
      <c r="L12332" s="0" t="str">
        <f aca="false">HYPERLINK("https://www.ncbi.nlm.nih.gov/nuccore/CP000058.1?report=graph&amp;tracks=[key:gene_model_track,Options:GeneOnly]&amp;mk=3874228:3874247|offset_15|444444,3874254:3874273|offset_41|444444,3874277:3874296|offset_64|444444,3874312:3874331|offset_99|00cc00&amp;v=3874027:3874531&amp;c=444444", "offset 99")</f>
        <v>offset 99</v>
      </c>
    </row>
    <row r="12333" customFormat="false" ht="12.8" hidden="false" customHeight="false" outlineLevel="0" collapsed="false">
      <c r="A12333" s="0" t="s">
        <v>12</v>
      </c>
      <c r="B12333" s="0" t="n">
        <v>3876682</v>
      </c>
      <c r="C12333" s="0" t="n">
        <v>3876702</v>
      </c>
      <c r="D12333" s="0" t="s">
        <v>40939</v>
      </c>
      <c r="E12333" s="0" t="s">
        <v>40940</v>
      </c>
      <c r="F12333" s="0" t="s">
        <v>15</v>
      </c>
      <c r="G12333" s="0" t="s">
        <v>36</v>
      </c>
      <c r="H12333" s="0" t="n">
        <v>26</v>
      </c>
      <c r="I12333" s="0" t="s">
        <v>40941</v>
      </c>
      <c r="J12333" s="0" t="s">
        <v>40942</v>
      </c>
      <c r="K12333" s="0" t="s">
        <v>40943</v>
      </c>
      <c r="L12333" s="0" t="str">
        <f aca="false">HYPERLINK("https://www.ncbi.nlm.nih.gov/nuccore/CP000058.1?report=graph&amp;tracks=[key:gene_model_track,Options:GeneOnly]&amp;mk=3876683:3876702|offset_26|00cc00,3876746:3876765|offset_89|444444,3876767:3876786|offset_110|444444,3876795:3876814|offset_138|444444&amp;v=3876482:3877014&amp;c=444444", "offset 26")</f>
        <v>offset 26</v>
      </c>
    </row>
    <row r="12334" customFormat="false" ht="12.8" hidden="false" customHeight="false" outlineLevel="0" collapsed="false">
      <c r="A12334" s="0" t="s">
        <v>12</v>
      </c>
      <c r="B12334" s="0" t="n">
        <v>3876745</v>
      </c>
      <c r="C12334" s="0" t="n">
        <v>3876765</v>
      </c>
      <c r="D12334" s="0" t="s">
        <v>40939</v>
      </c>
      <c r="E12334" s="0" t="s">
        <v>40940</v>
      </c>
      <c r="F12334" s="0" t="s">
        <v>15</v>
      </c>
      <c r="G12334" s="0" t="s">
        <v>32</v>
      </c>
      <c r="H12334" s="0" t="n">
        <v>89</v>
      </c>
      <c r="I12334" s="0" t="s">
        <v>40944</v>
      </c>
      <c r="J12334" s="0" t="s">
        <v>40945</v>
      </c>
      <c r="K12334" s="0" t="s">
        <v>40946</v>
      </c>
      <c r="L12334" s="0" t="str">
        <f aca="false">HYPERLINK("https://www.ncbi.nlm.nih.gov/nuccore/CP000058.1?report=graph&amp;tracks=[key:gene_model_track,Options:GeneOnly]&amp;mk=3876683:3876702|offset_26|444444,3876746:3876765|offset_89|00cc00,3876767:3876786|offset_110|444444,3876795:3876814|offset_138|444444&amp;v=3876482:3877014&amp;c=444444", "offset 89")</f>
        <v>offset 89</v>
      </c>
    </row>
    <row r="12335" customFormat="false" ht="12.8" hidden="false" customHeight="false" outlineLevel="0" collapsed="false">
      <c r="A12335" s="0" t="s">
        <v>12</v>
      </c>
      <c r="B12335" s="0" t="n">
        <v>3876766</v>
      </c>
      <c r="C12335" s="0" t="n">
        <v>3876786</v>
      </c>
      <c r="D12335" s="0" t="s">
        <v>40939</v>
      </c>
      <c r="E12335" s="0" t="s">
        <v>40940</v>
      </c>
      <c r="F12335" s="0" t="s">
        <v>15</v>
      </c>
      <c r="G12335" s="0" t="s">
        <v>36</v>
      </c>
      <c r="H12335" s="0" t="n">
        <v>110</v>
      </c>
      <c r="I12335" s="0" t="s">
        <v>40947</v>
      </c>
      <c r="J12335" s="0" t="s">
        <v>40948</v>
      </c>
      <c r="K12335" s="0" t="s">
        <v>40949</v>
      </c>
      <c r="L12335" s="0" t="str">
        <f aca="false">HYPERLINK("https://www.ncbi.nlm.nih.gov/nuccore/CP000058.1?report=graph&amp;tracks=[key:gene_model_track,Options:GeneOnly]&amp;mk=3876683:3876702|offset_26|444444,3876746:3876765|offset_89|444444,3876767:3876786|offset_110|00cc00,3876795:3876814|offset_138|444444&amp;v=3876482:3877014&amp;c=444444", "offset 110")</f>
        <v>offset 110</v>
      </c>
    </row>
    <row r="12336" customFormat="false" ht="12.8" hidden="false" customHeight="false" outlineLevel="0" collapsed="false">
      <c r="A12336" s="0" t="s">
        <v>12</v>
      </c>
      <c r="B12336" s="0" t="n">
        <v>3876794</v>
      </c>
      <c r="C12336" s="0" t="n">
        <v>3876814</v>
      </c>
      <c r="D12336" s="0" t="s">
        <v>40939</v>
      </c>
      <c r="E12336" s="0" t="s">
        <v>40940</v>
      </c>
      <c r="F12336" s="0" t="s">
        <v>15</v>
      </c>
      <c r="G12336" s="0" t="s">
        <v>16</v>
      </c>
      <c r="H12336" s="0" t="n">
        <v>138</v>
      </c>
      <c r="I12336" s="0" t="s">
        <v>40950</v>
      </c>
      <c r="J12336" s="0" t="s">
        <v>40951</v>
      </c>
      <c r="K12336" s="0" t="s">
        <v>40952</v>
      </c>
      <c r="L12336" s="0" t="str">
        <f aca="false">HYPERLINK("https://www.ncbi.nlm.nih.gov/nuccore/CP000058.1?report=graph&amp;tracks=[key:gene_model_track,Options:GeneOnly]&amp;mk=3876683:3876702|offset_26|444444,3876746:3876765|offset_89|444444,3876767:3876786|offset_110|444444,3876795:3876814|offset_138|00cc00&amp;v=3876482:3877014&amp;c=444444", "offset 138")</f>
        <v>offset 138</v>
      </c>
    </row>
    <row r="12337" customFormat="false" ht="12.8" hidden="false" customHeight="false" outlineLevel="0" collapsed="false">
      <c r="A12337" s="0" t="s">
        <v>12</v>
      </c>
      <c r="B12337" s="0" t="n">
        <v>3876914</v>
      </c>
      <c r="C12337" s="0" t="n">
        <v>3876934</v>
      </c>
      <c r="D12337" s="0" t="s">
        <v>40953</v>
      </c>
      <c r="E12337" s="0" t="s">
        <v>75</v>
      </c>
      <c r="F12337" s="0" t="s">
        <v>15</v>
      </c>
      <c r="G12337" s="0" t="s">
        <v>32</v>
      </c>
      <c r="H12337" s="0" t="n">
        <v>62</v>
      </c>
      <c r="I12337" s="0" t="s">
        <v>40954</v>
      </c>
      <c r="J12337" s="0" t="s">
        <v>40955</v>
      </c>
      <c r="K12337" s="0" t="s">
        <v>40956</v>
      </c>
      <c r="L12337" s="0" t="str">
        <f aca="false">HYPERLINK("https://www.ncbi.nlm.nih.gov/nuccore/CP000058.1?report=graph&amp;tracks=[key:gene_model_track,Options:GeneOnly]&amp;mk=3876915:3876934|offset_62|00cc00,3876939:3876958|offset_86|444444,3876962:3876981|offset_109|444444,3876984:3877003|offset_131|444444&amp;v=3876714:3877203&amp;c=444444", "offset 62")</f>
        <v>offset 62</v>
      </c>
    </row>
    <row r="12338" customFormat="false" ht="12.8" hidden="false" customHeight="false" outlineLevel="0" collapsed="false">
      <c r="A12338" s="0" t="s">
        <v>12</v>
      </c>
      <c r="B12338" s="0" t="n">
        <v>3876938</v>
      </c>
      <c r="C12338" s="0" t="n">
        <v>3876958</v>
      </c>
      <c r="D12338" s="0" t="s">
        <v>40953</v>
      </c>
      <c r="E12338" s="0" t="s">
        <v>75</v>
      </c>
      <c r="F12338" s="0" t="s">
        <v>15</v>
      </c>
      <c r="G12338" s="0" t="s">
        <v>20</v>
      </c>
      <c r="H12338" s="0" t="n">
        <v>86</v>
      </c>
      <c r="I12338" s="0" t="s">
        <v>40957</v>
      </c>
      <c r="J12338" s="0" t="s">
        <v>40958</v>
      </c>
      <c r="K12338" s="0" t="s">
        <v>40959</v>
      </c>
      <c r="L12338" s="0" t="str">
        <f aca="false">HYPERLINK("https://www.ncbi.nlm.nih.gov/nuccore/CP000058.1?report=graph&amp;tracks=[key:gene_model_track,Options:GeneOnly]&amp;mk=3876915:3876934|offset_62|444444,3876939:3876958|offset_86|00cc00,3876962:3876981|offset_109|444444,3876984:3877003|offset_131|444444&amp;v=3876714:3877203&amp;c=444444", "offset 86")</f>
        <v>offset 86</v>
      </c>
    </row>
    <row r="12339" customFormat="false" ht="12.8" hidden="false" customHeight="false" outlineLevel="0" collapsed="false">
      <c r="A12339" s="0" t="s">
        <v>12</v>
      </c>
      <c r="B12339" s="0" t="n">
        <v>3876961</v>
      </c>
      <c r="C12339" s="0" t="n">
        <v>3876981</v>
      </c>
      <c r="D12339" s="0" t="s">
        <v>40953</v>
      </c>
      <c r="E12339" s="0" t="s">
        <v>75</v>
      </c>
      <c r="F12339" s="0" t="s">
        <v>15</v>
      </c>
      <c r="G12339" s="0" t="s">
        <v>32</v>
      </c>
      <c r="H12339" s="0" t="n">
        <v>109</v>
      </c>
      <c r="I12339" s="0" t="s">
        <v>40960</v>
      </c>
      <c r="J12339" s="0" t="s">
        <v>40961</v>
      </c>
      <c r="K12339" s="0" t="s">
        <v>40962</v>
      </c>
      <c r="L12339" s="0" t="str">
        <f aca="false">HYPERLINK("https://www.ncbi.nlm.nih.gov/nuccore/CP000058.1?report=graph&amp;tracks=[key:gene_model_track,Options:GeneOnly]&amp;mk=3876915:3876934|offset_62|444444,3876939:3876958|offset_86|444444,3876962:3876981|offset_109|00cc00,3876984:3877003|offset_131|444444&amp;v=3876714:3877203&amp;c=444444", "offset 109")</f>
        <v>offset 109</v>
      </c>
    </row>
    <row r="12340" customFormat="false" ht="12.8" hidden="false" customHeight="false" outlineLevel="0" collapsed="false">
      <c r="A12340" s="0" t="s">
        <v>12</v>
      </c>
      <c r="B12340" s="0" t="n">
        <v>3876983</v>
      </c>
      <c r="C12340" s="0" t="n">
        <v>3877003</v>
      </c>
      <c r="D12340" s="0" t="s">
        <v>40953</v>
      </c>
      <c r="E12340" s="0" t="s">
        <v>75</v>
      </c>
      <c r="F12340" s="0" t="s">
        <v>15</v>
      </c>
      <c r="G12340" s="0" t="s">
        <v>16</v>
      </c>
      <c r="H12340" s="0" t="n">
        <v>131</v>
      </c>
      <c r="I12340" s="0" t="s">
        <v>40963</v>
      </c>
      <c r="J12340" s="0" t="s">
        <v>40964</v>
      </c>
      <c r="K12340" s="0" t="s">
        <v>40965</v>
      </c>
      <c r="L12340" s="0" t="str">
        <f aca="false">HYPERLINK("https://www.ncbi.nlm.nih.gov/nuccore/CP000058.1?report=graph&amp;tracks=[key:gene_model_track,Options:GeneOnly]&amp;mk=3876915:3876934|offset_62|444444,3876939:3876958|offset_86|444444,3876962:3876981|offset_109|444444,3876984:3877003|offset_131|00cc00&amp;v=3876714:3877203&amp;c=444444", "offset 131")</f>
        <v>offset 131</v>
      </c>
    </row>
    <row r="12341" customFormat="false" ht="12.8" hidden="false" customHeight="false" outlineLevel="0" collapsed="false">
      <c r="A12341" s="0" t="s">
        <v>12</v>
      </c>
      <c r="B12341" s="0" t="n">
        <v>3877645</v>
      </c>
      <c r="C12341" s="0" t="n">
        <v>3877665</v>
      </c>
      <c r="D12341" s="0" t="s">
        <v>40966</v>
      </c>
      <c r="E12341" s="0" t="s">
        <v>40967</v>
      </c>
      <c r="F12341" s="0" t="s">
        <v>15</v>
      </c>
      <c r="G12341" s="0" t="s">
        <v>32</v>
      </c>
      <c r="H12341" s="0" t="n">
        <v>13</v>
      </c>
      <c r="I12341" s="0" t="s">
        <v>40968</v>
      </c>
      <c r="J12341" s="0" t="s">
        <v>40969</v>
      </c>
      <c r="K12341" s="0" t="s">
        <v>40970</v>
      </c>
      <c r="L12341" s="0" t="str">
        <f aca="false">HYPERLINK("https://www.ncbi.nlm.nih.gov/nuccore/CP000058.1?report=graph&amp;tracks=[key:gene_model_track,Options:GeneOnly]&amp;mk=3877646:3877665|offset_13|00cc00,3877671:3877690|offset_38|444444,3877693:3877712|offset_60|444444,3877752:3877771|offset_119|444444&amp;v=3877445:3877971&amp;c=444444", "offset 13")</f>
        <v>offset 13</v>
      </c>
    </row>
    <row r="12342" customFormat="false" ht="12.8" hidden="false" customHeight="false" outlineLevel="0" collapsed="false">
      <c r="A12342" s="0" t="s">
        <v>12</v>
      </c>
      <c r="B12342" s="0" t="n">
        <v>3877670</v>
      </c>
      <c r="C12342" s="0" t="n">
        <v>3877690</v>
      </c>
      <c r="D12342" s="0" t="s">
        <v>40966</v>
      </c>
      <c r="E12342" s="0" t="s">
        <v>40967</v>
      </c>
      <c r="F12342" s="0" t="s">
        <v>15</v>
      </c>
      <c r="G12342" s="0" t="s">
        <v>32</v>
      </c>
      <c r="H12342" s="0" t="n">
        <v>38</v>
      </c>
      <c r="I12342" s="0" t="s">
        <v>40971</v>
      </c>
      <c r="J12342" s="0" t="s">
        <v>40972</v>
      </c>
      <c r="K12342" s="0" t="s">
        <v>40973</v>
      </c>
      <c r="L12342" s="0" t="str">
        <f aca="false">HYPERLINK("https://www.ncbi.nlm.nih.gov/nuccore/CP000058.1?report=graph&amp;tracks=[key:gene_model_track,Options:GeneOnly]&amp;mk=3877646:3877665|offset_13|444444,3877671:3877690|offset_38|00cc00,3877693:3877712|offset_60|444444,3877752:3877771|offset_119|444444&amp;v=3877445:3877971&amp;c=444444", "offset 38")</f>
        <v>offset 38</v>
      </c>
    </row>
    <row r="12343" customFormat="false" ht="12.8" hidden="false" customHeight="false" outlineLevel="0" collapsed="false">
      <c r="A12343" s="0" t="s">
        <v>12</v>
      </c>
      <c r="B12343" s="0" t="n">
        <v>3877692</v>
      </c>
      <c r="C12343" s="0" t="n">
        <v>3877712</v>
      </c>
      <c r="D12343" s="0" t="s">
        <v>40966</v>
      </c>
      <c r="E12343" s="0" t="s">
        <v>40967</v>
      </c>
      <c r="F12343" s="0" t="s">
        <v>15</v>
      </c>
      <c r="G12343" s="0" t="s">
        <v>16</v>
      </c>
      <c r="H12343" s="0" t="n">
        <v>60</v>
      </c>
      <c r="I12343" s="0" t="s">
        <v>40974</v>
      </c>
      <c r="J12343" s="0" t="s">
        <v>40975</v>
      </c>
      <c r="K12343" s="0" t="s">
        <v>40976</v>
      </c>
      <c r="L12343" s="0" t="str">
        <f aca="false">HYPERLINK("https://www.ncbi.nlm.nih.gov/nuccore/CP000058.1?report=graph&amp;tracks=[key:gene_model_track,Options:GeneOnly]&amp;mk=3877646:3877665|offset_13|444444,3877671:3877690|offset_38|444444,3877693:3877712|offset_60|00cc00,3877752:3877771|offset_119|444444&amp;v=3877445:3877971&amp;c=444444", "offset 60")</f>
        <v>offset 60</v>
      </c>
    </row>
    <row r="12344" customFormat="false" ht="12.8" hidden="false" customHeight="false" outlineLevel="0" collapsed="false">
      <c r="A12344" s="0" t="s">
        <v>12</v>
      </c>
      <c r="B12344" s="0" t="n">
        <v>3877751</v>
      </c>
      <c r="C12344" s="0" t="n">
        <v>3877771</v>
      </c>
      <c r="D12344" s="0" t="s">
        <v>40966</v>
      </c>
      <c r="E12344" s="0" t="s">
        <v>40967</v>
      </c>
      <c r="F12344" s="0" t="s">
        <v>15</v>
      </c>
      <c r="G12344" s="0" t="s">
        <v>20</v>
      </c>
      <c r="H12344" s="0" t="n">
        <v>119</v>
      </c>
      <c r="I12344" s="0" t="s">
        <v>40977</v>
      </c>
      <c r="J12344" s="0" t="s">
        <v>40978</v>
      </c>
      <c r="K12344" s="0" t="s">
        <v>40979</v>
      </c>
      <c r="L12344" s="0" t="str">
        <f aca="false">HYPERLINK("https://www.ncbi.nlm.nih.gov/nuccore/CP000058.1?report=graph&amp;tracks=[key:gene_model_track,Options:GeneOnly]&amp;mk=3877646:3877665|offset_13|444444,3877671:3877690|offset_38|444444,3877693:3877712|offset_60|444444,3877752:3877771|offset_119|00cc00&amp;v=3877445:3877971&amp;c=444444", "offset 119")</f>
        <v>offset 119</v>
      </c>
    </row>
    <row r="12345" customFormat="false" ht="12.8" hidden="false" customHeight="false" outlineLevel="0" collapsed="false">
      <c r="A12345" s="0" t="s">
        <v>12</v>
      </c>
      <c r="B12345" s="0" t="n">
        <v>3879462</v>
      </c>
      <c r="C12345" s="0" t="n">
        <v>3879482</v>
      </c>
      <c r="D12345" s="0" t="s">
        <v>40980</v>
      </c>
      <c r="E12345" s="0" t="s">
        <v>75</v>
      </c>
      <c r="F12345" s="0" t="s">
        <v>90</v>
      </c>
      <c r="G12345" s="0" t="s">
        <v>16</v>
      </c>
      <c r="H12345" s="0" t="n">
        <v>18</v>
      </c>
      <c r="I12345" s="0" t="s">
        <v>40981</v>
      </c>
      <c r="J12345" s="0" t="s">
        <v>40982</v>
      </c>
      <c r="K12345" s="0" t="s">
        <v>40983</v>
      </c>
      <c r="L12345" s="0" t="str">
        <f aca="false">HYPERLINK("https://www.ncbi.nlm.nih.gov/nuccore/CP000058.1?report=graph&amp;tracks=[key:gene_model_track,Options:GeneOnly]&amp;mk=3879463:3879482|offset_18|00cc00,3879429:3879448|offset_52|444444,3879402:3879421|offset_79|444444,3879379:3879398|offset_102|444444&amp;v=3879262:3879598&amp;c=444444", "offset 18")</f>
        <v>offset 18</v>
      </c>
    </row>
    <row r="12346" customFormat="false" ht="12.8" hidden="false" customHeight="false" outlineLevel="0" collapsed="false">
      <c r="A12346" s="0" t="s">
        <v>12</v>
      </c>
      <c r="B12346" s="0" t="n">
        <v>3879428</v>
      </c>
      <c r="C12346" s="0" t="n">
        <v>3879448</v>
      </c>
      <c r="D12346" s="0" t="s">
        <v>40980</v>
      </c>
      <c r="E12346" s="0" t="s">
        <v>75</v>
      </c>
      <c r="F12346" s="0" t="s">
        <v>90</v>
      </c>
      <c r="G12346" s="0" t="s">
        <v>20</v>
      </c>
      <c r="H12346" s="0" t="n">
        <v>52</v>
      </c>
      <c r="I12346" s="0" t="s">
        <v>40984</v>
      </c>
      <c r="J12346" s="0" t="s">
        <v>40985</v>
      </c>
      <c r="K12346" s="0" t="s">
        <v>40986</v>
      </c>
      <c r="L12346" s="0" t="str">
        <f aca="false">HYPERLINK("https://www.ncbi.nlm.nih.gov/nuccore/CP000058.1?report=graph&amp;tracks=[key:gene_model_track,Options:GeneOnly]&amp;mk=3879463:3879482|offset_18|444444,3879429:3879448|offset_52|00cc00,3879402:3879421|offset_79|444444,3879379:3879398|offset_102|444444&amp;v=3879262:3879598&amp;c=444444", "offset 52")</f>
        <v>offset 52</v>
      </c>
    </row>
    <row r="12347" customFormat="false" ht="12.8" hidden="false" customHeight="false" outlineLevel="0" collapsed="false">
      <c r="A12347" s="0" t="s">
        <v>12</v>
      </c>
      <c r="B12347" s="0" t="n">
        <v>3879401</v>
      </c>
      <c r="C12347" s="0" t="n">
        <v>3879421</v>
      </c>
      <c r="D12347" s="0" t="s">
        <v>40980</v>
      </c>
      <c r="E12347" s="0" t="s">
        <v>75</v>
      </c>
      <c r="F12347" s="0" t="s">
        <v>90</v>
      </c>
      <c r="G12347" s="0" t="s">
        <v>32</v>
      </c>
      <c r="H12347" s="0" t="n">
        <v>79</v>
      </c>
      <c r="I12347" s="0" t="s">
        <v>40987</v>
      </c>
      <c r="J12347" s="0" t="s">
        <v>40988</v>
      </c>
      <c r="K12347" s="0" t="s">
        <v>40989</v>
      </c>
      <c r="L12347" s="0" t="str">
        <f aca="false">HYPERLINK("https://www.ncbi.nlm.nih.gov/nuccore/CP000058.1?report=graph&amp;tracks=[key:gene_model_track,Options:GeneOnly]&amp;mk=3879463:3879482|offset_18|444444,3879429:3879448|offset_52|444444,3879402:3879421|offset_79|00cc00,3879379:3879398|offset_102|444444&amp;v=3879262:3879598&amp;c=444444", "offset 79")</f>
        <v>offset 79</v>
      </c>
    </row>
    <row r="12348" customFormat="false" ht="12.8" hidden="false" customHeight="false" outlineLevel="0" collapsed="false">
      <c r="A12348" s="0" t="s">
        <v>12</v>
      </c>
      <c r="B12348" s="0" t="n">
        <v>3879378</v>
      </c>
      <c r="C12348" s="0" t="n">
        <v>3879398</v>
      </c>
      <c r="D12348" s="0" t="s">
        <v>40980</v>
      </c>
      <c r="E12348" s="0" t="s">
        <v>75</v>
      </c>
      <c r="F12348" s="0" t="s">
        <v>90</v>
      </c>
      <c r="G12348" s="0" t="s">
        <v>20</v>
      </c>
      <c r="H12348" s="0" t="n">
        <v>102</v>
      </c>
      <c r="I12348" s="0" t="s">
        <v>40990</v>
      </c>
      <c r="J12348" s="0" t="s">
        <v>40991</v>
      </c>
      <c r="K12348" s="0" t="s">
        <v>40992</v>
      </c>
      <c r="L12348" s="0" t="str">
        <f aca="false">HYPERLINK("https://www.ncbi.nlm.nih.gov/nuccore/CP000058.1?report=graph&amp;tracks=[key:gene_model_track,Options:GeneOnly]&amp;mk=3879463:3879482|offset_18|444444,3879429:3879448|offset_52|444444,3879402:3879421|offset_79|444444,3879379:3879398|offset_102|00cc00&amp;v=3879262:3879598&amp;c=444444", "offset 102")</f>
        <v>offset 102</v>
      </c>
    </row>
    <row r="12349" customFormat="false" ht="12.8" hidden="false" customHeight="false" outlineLevel="0" collapsed="false">
      <c r="A12349" s="0" t="s">
        <v>12</v>
      </c>
      <c r="B12349" s="0" t="n">
        <v>3879659</v>
      </c>
      <c r="C12349" s="0" t="n">
        <v>3879679</v>
      </c>
      <c r="D12349" s="0" t="s">
        <v>40993</v>
      </c>
      <c r="E12349" s="0" t="s">
        <v>40994</v>
      </c>
      <c r="F12349" s="0" t="s">
        <v>15</v>
      </c>
      <c r="G12349" s="0" t="s">
        <v>16</v>
      </c>
      <c r="H12349" s="0" t="n">
        <v>7</v>
      </c>
      <c r="I12349" s="0" t="s">
        <v>40995</v>
      </c>
      <c r="J12349" s="0" t="s">
        <v>40996</v>
      </c>
      <c r="K12349" s="0" t="s">
        <v>40997</v>
      </c>
      <c r="L12349" s="0" t="str">
        <f aca="false">HYPERLINK("https://www.ncbi.nlm.nih.gov/nuccore/CP000058.1?report=graph&amp;tracks=[key:gene_model_track,Options:GeneOnly]&amp;mk=3879660:3879679|offset_7|00cc00,3879719:3879738|offset_66|444444,3879769:3879788|offset_116|444444,3879791:3879810|offset_138|444444&amp;v=3879459:3880010&amp;c=444444", "offset 7")</f>
        <v>offset 7</v>
      </c>
    </row>
    <row r="12350" customFormat="false" ht="12.8" hidden="false" customHeight="false" outlineLevel="0" collapsed="false">
      <c r="A12350" s="0" t="s">
        <v>12</v>
      </c>
      <c r="B12350" s="0" t="n">
        <v>3879718</v>
      </c>
      <c r="C12350" s="0" t="n">
        <v>3879738</v>
      </c>
      <c r="D12350" s="0" t="s">
        <v>40993</v>
      </c>
      <c r="E12350" s="0" t="s">
        <v>40994</v>
      </c>
      <c r="F12350" s="0" t="s">
        <v>15</v>
      </c>
      <c r="G12350" s="0" t="s">
        <v>32</v>
      </c>
      <c r="H12350" s="0" t="n">
        <v>66</v>
      </c>
      <c r="I12350" s="0" t="s">
        <v>40998</v>
      </c>
      <c r="J12350" s="0" t="s">
        <v>40999</v>
      </c>
      <c r="K12350" s="0" t="s">
        <v>41000</v>
      </c>
      <c r="L12350" s="0" t="str">
        <f aca="false">HYPERLINK("https://www.ncbi.nlm.nih.gov/nuccore/CP000058.1?report=graph&amp;tracks=[key:gene_model_track,Options:GeneOnly]&amp;mk=3879660:3879679|offset_7|444444,3879719:3879738|offset_66|00cc00,3879769:3879788|offset_116|444444,3879791:3879810|offset_138|444444&amp;v=3879459:3880010&amp;c=444444", "offset 66")</f>
        <v>offset 66</v>
      </c>
    </row>
    <row r="12351" customFormat="false" ht="12.8" hidden="false" customHeight="false" outlineLevel="0" collapsed="false">
      <c r="A12351" s="0" t="s">
        <v>12</v>
      </c>
      <c r="B12351" s="0" t="n">
        <v>3879768</v>
      </c>
      <c r="C12351" s="0" t="n">
        <v>3879788</v>
      </c>
      <c r="D12351" s="0" t="s">
        <v>40993</v>
      </c>
      <c r="E12351" s="0" t="s">
        <v>40994</v>
      </c>
      <c r="F12351" s="0" t="s">
        <v>15</v>
      </c>
      <c r="G12351" s="0" t="s">
        <v>32</v>
      </c>
      <c r="H12351" s="0" t="n">
        <v>116</v>
      </c>
      <c r="I12351" s="0" t="s">
        <v>41001</v>
      </c>
      <c r="J12351" s="0" t="s">
        <v>41002</v>
      </c>
      <c r="K12351" s="0" t="s">
        <v>41003</v>
      </c>
      <c r="L12351" s="0" t="str">
        <f aca="false">HYPERLINK("https://www.ncbi.nlm.nih.gov/nuccore/CP000058.1?report=graph&amp;tracks=[key:gene_model_track,Options:GeneOnly]&amp;mk=3879660:3879679|offset_7|444444,3879719:3879738|offset_66|444444,3879769:3879788|offset_116|00cc00,3879791:3879810|offset_138|444444&amp;v=3879459:3880010&amp;c=444444", "offset 116")</f>
        <v>offset 116</v>
      </c>
    </row>
    <row r="12352" customFormat="false" ht="12.8" hidden="false" customHeight="false" outlineLevel="0" collapsed="false">
      <c r="A12352" s="0" t="s">
        <v>12</v>
      </c>
      <c r="B12352" s="0" t="n">
        <v>3879790</v>
      </c>
      <c r="C12352" s="0" t="n">
        <v>3879810</v>
      </c>
      <c r="D12352" s="0" t="s">
        <v>40993</v>
      </c>
      <c r="E12352" s="0" t="s">
        <v>40994</v>
      </c>
      <c r="F12352" s="0" t="s">
        <v>15</v>
      </c>
      <c r="G12352" s="0" t="s">
        <v>16</v>
      </c>
      <c r="H12352" s="0" t="n">
        <v>138</v>
      </c>
      <c r="I12352" s="0" t="s">
        <v>41004</v>
      </c>
      <c r="J12352" s="0" t="s">
        <v>41005</v>
      </c>
      <c r="K12352" s="0" t="s">
        <v>41006</v>
      </c>
      <c r="L12352" s="0" t="str">
        <f aca="false">HYPERLINK("https://www.ncbi.nlm.nih.gov/nuccore/CP000058.1?report=graph&amp;tracks=[key:gene_model_track,Options:GeneOnly]&amp;mk=3879660:3879679|offset_7|444444,3879719:3879738|offset_66|444444,3879769:3879788|offset_116|444444,3879791:3879810|offset_138|00cc00&amp;v=3879459:3880010&amp;c=444444", "offset 138")</f>
        <v>offset 138</v>
      </c>
    </row>
    <row r="12353" customFormat="false" ht="12.8" hidden="false" customHeight="false" outlineLevel="0" collapsed="false">
      <c r="A12353" s="0" t="s">
        <v>12</v>
      </c>
      <c r="B12353" s="0" t="n">
        <v>3880479</v>
      </c>
      <c r="C12353" s="0" t="n">
        <v>3880499</v>
      </c>
      <c r="D12353" s="0" t="s">
        <v>41007</v>
      </c>
      <c r="E12353" s="0" t="s">
        <v>41008</v>
      </c>
      <c r="F12353" s="0" t="s">
        <v>15</v>
      </c>
      <c r="G12353" s="0" t="s">
        <v>36</v>
      </c>
      <c r="H12353" s="0" t="n">
        <v>31</v>
      </c>
      <c r="I12353" s="0" t="s">
        <v>41009</v>
      </c>
      <c r="J12353" s="0" t="s">
        <v>41010</v>
      </c>
      <c r="K12353" s="0" t="s">
        <v>41011</v>
      </c>
      <c r="L12353" s="0" t="str">
        <f aca="false">HYPERLINK("https://www.ncbi.nlm.nih.gov/nuccore/CP000058.1?report=graph&amp;tracks=[key:gene_model_track,Options:GeneOnly]&amp;mk=3880480:3880499|offset_31|00cc00,3880506:3880525|offset_57|444444,3880537:3880556|offset_88|444444,3880564:3880583|offset_115|444444&amp;v=3880279:3880783&amp;c=444444", "offset 31")</f>
        <v>offset 31</v>
      </c>
    </row>
    <row r="12354" customFormat="false" ht="12.8" hidden="false" customHeight="false" outlineLevel="0" collapsed="false">
      <c r="A12354" s="0" t="s">
        <v>12</v>
      </c>
      <c r="B12354" s="0" t="n">
        <v>3880505</v>
      </c>
      <c r="C12354" s="0" t="n">
        <v>3880525</v>
      </c>
      <c r="D12354" s="0" t="s">
        <v>41007</v>
      </c>
      <c r="E12354" s="0" t="s">
        <v>41008</v>
      </c>
      <c r="F12354" s="0" t="s">
        <v>15</v>
      </c>
      <c r="G12354" s="0" t="s">
        <v>36</v>
      </c>
      <c r="H12354" s="0" t="n">
        <v>57</v>
      </c>
      <c r="I12354" s="0" t="s">
        <v>41012</v>
      </c>
      <c r="J12354" s="0" t="s">
        <v>41013</v>
      </c>
      <c r="K12354" s="0" t="s">
        <v>41014</v>
      </c>
      <c r="L12354" s="0" t="str">
        <f aca="false">HYPERLINK("https://www.ncbi.nlm.nih.gov/nuccore/CP000058.1?report=graph&amp;tracks=[key:gene_model_track,Options:GeneOnly]&amp;mk=3880480:3880499|offset_31|444444,3880506:3880525|offset_57|00cc00,3880537:3880556|offset_88|444444,3880564:3880583|offset_115|444444&amp;v=3880279:3880783&amp;c=444444", "offset 57")</f>
        <v>offset 57</v>
      </c>
    </row>
    <row r="12355" customFormat="false" ht="12.8" hidden="false" customHeight="false" outlineLevel="0" collapsed="false">
      <c r="A12355" s="0" t="s">
        <v>12</v>
      </c>
      <c r="B12355" s="0" t="n">
        <v>3880536</v>
      </c>
      <c r="C12355" s="0" t="n">
        <v>3880556</v>
      </c>
      <c r="D12355" s="0" t="s">
        <v>41007</v>
      </c>
      <c r="E12355" s="0" t="s">
        <v>41008</v>
      </c>
      <c r="F12355" s="0" t="s">
        <v>15</v>
      </c>
      <c r="G12355" s="0" t="s">
        <v>36</v>
      </c>
      <c r="H12355" s="0" t="n">
        <v>88</v>
      </c>
      <c r="I12355" s="0" t="s">
        <v>41015</v>
      </c>
      <c r="J12355" s="0" t="s">
        <v>41016</v>
      </c>
      <c r="K12355" s="0" t="s">
        <v>41017</v>
      </c>
      <c r="L12355" s="0" t="str">
        <f aca="false">HYPERLINK("https://www.ncbi.nlm.nih.gov/nuccore/CP000058.1?report=graph&amp;tracks=[key:gene_model_track,Options:GeneOnly]&amp;mk=3880480:3880499|offset_31|444444,3880506:3880525|offset_57|444444,3880537:3880556|offset_88|00cc00,3880564:3880583|offset_115|444444&amp;v=3880279:3880783&amp;c=444444", "offset 88")</f>
        <v>offset 88</v>
      </c>
    </row>
    <row r="12356" customFormat="false" ht="12.8" hidden="false" customHeight="false" outlineLevel="0" collapsed="false">
      <c r="A12356" s="0" t="s">
        <v>12</v>
      </c>
      <c r="B12356" s="0" t="n">
        <v>3880563</v>
      </c>
      <c r="C12356" s="0" t="n">
        <v>3880583</v>
      </c>
      <c r="D12356" s="0" t="s">
        <v>41007</v>
      </c>
      <c r="E12356" s="0" t="s">
        <v>41008</v>
      </c>
      <c r="F12356" s="0" t="s">
        <v>15</v>
      </c>
      <c r="G12356" s="0" t="s">
        <v>36</v>
      </c>
      <c r="H12356" s="0" t="n">
        <v>115</v>
      </c>
      <c r="I12356" s="0" t="s">
        <v>41018</v>
      </c>
      <c r="J12356" s="0" t="s">
        <v>41019</v>
      </c>
      <c r="K12356" s="0" t="s">
        <v>41020</v>
      </c>
      <c r="L12356" s="0" t="str">
        <f aca="false">HYPERLINK("https://www.ncbi.nlm.nih.gov/nuccore/CP000058.1?report=graph&amp;tracks=[key:gene_model_track,Options:GeneOnly]&amp;mk=3880480:3880499|offset_31|444444,3880506:3880525|offset_57|444444,3880537:3880556|offset_88|444444,3880564:3880583|offset_115|00cc00&amp;v=3880279:3880783&amp;c=444444", "offset 115")</f>
        <v>offset 115</v>
      </c>
    </row>
    <row r="12357" customFormat="false" ht="12.8" hidden="false" customHeight="false" outlineLevel="0" collapsed="false">
      <c r="A12357" s="0" t="s">
        <v>12</v>
      </c>
      <c r="B12357" s="0" t="n">
        <v>3881914</v>
      </c>
      <c r="C12357" s="0" t="n">
        <v>3881934</v>
      </c>
      <c r="D12357" s="0" t="s">
        <v>41021</v>
      </c>
      <c r="E12357" s="0" t="s">
        <v>75</v>
      </c>
      <c r="F12357" s="0" t="s">
        <v>90</v>
      </c>
      <c r="G12357" s="0" t="s">
        <v>20</v>
      </c>
      <c r="H12357" s="0" t="n">
        <v>29</v>
      </c>
      <c r="I12357" s="0" t="s">
        <v>41022</v>
      </c>
      <c r="J12357" s="0" t="s">
        <v>41023</v>
      </c>
      <c r="K12357" s="0" t="s">
        <v>41024</v>
      </c>
      <c r="L12357" s="0" t="str">
        <f aca="false">HYPERLINK("https://www.ncbi.nlm.nih.gov/nuccore/CP000058.1?report=graph&amp;tracks=[key:gene_model_track,Options:GeneOnly]&amp;mk=3881915:3881934|offset_29|00cc00,3881892:3881911|offset_52|444444,3881868:3881887|offset_76|444444,3881844:3881863|offset_100|444444&amp;v=3881714:3882063&amp;c=444444", "offset 29")</f>
        <v>offset 29</v>
      </c>
    </row>
    <row r="12358" customFormat="false" ht="12.8" hidden="false" customHeight="false" outlineLevel="0" collapsed="false">
      <c r="A12358" s="0" t="s">
        <v>12</v>
      </c>
      <c r="B12358" s="0" t="n">
        <v>3881891</v>
      </c>
      <c r="C12358" s="0" t="n">
        <v>3881911</v>
      </c>
      <c r="D12358" s="0" t="s">
        <v>41021</v>
      </c>
      <c r="E12358" s="0" t="s">
        <v>75</v>
      </c>
      <c r="F12358" s="0" t="s">
        <v>90</v>
      </c>
      <c r="G12358" s="0" t="s">
        <v>36</v>
      </c>
      <c r="H12358" s="0" t="n">
        <v>52</v>
      </c>
      <c r="I12358" s="0" t="s">
        <v>41025</v>
      </c>
      <c r="J12358" s="0" t="s">
        <v>41026</v>
      </c>
      <c r="K12358" s="0" t="s">
        <v>41027</v>
      </c>
      <c r="L12358" s="0" t="str">
        <f aca="false">HYPERLINK("https://www.ncbi.nlm.nih.gov/nuccore/CP000058.1?report=graph&amp;tracks=[key:gene_model_track,Options:GeneOnly]&amp;mk=3881915:3881934|offset_29|444444,3881892:3881911|offset_52|00cc00,3881868:3881887|offset_76|444444,3881844:3881863|offset_100|444444&amp;v=3881714:3882063&amp;c=444444", "offset 52")</f>
        <v>offset 52</v>
      </c>
    </row>
    <row r="12359" customFormat="false" ht="12.8" hidden="false" customHeight="false" outlineLevel="0" collapsed="false">
      <c r="A12359" s="0" t="s">
        <v>12</v>
      </c>
      <c r="B12359" s="0" t="n">
        <v>3881867</v>
      </c>
      <c r="C12359" s="0" t="n">
        <v>3881887</v>
      </c>
      <c r="D12359" s="0" t="s">
        <v>41021</v>
      </c>
      <c r="E12359" s="0" t="s">
        <v>75</v>
      </c>
      <c r="F12359" s="0" t="s">
        <v>90</v>
      </c>
      <c r="G12359" s="0" t="s">
        <v>32</v>
      </c>
      <c r="H12359" s="0" t="n">
        <v>76</v>
      </c>
      <c r="I12359" s="0" t="s">
        <v>41028</v>
      </c>
      <c r="J12359" s="0" t="s">
        <v>41029</v>
      </c>
      <c r="K12359" s="0" t="s">
        <v>41030</v>
      </c>
      <c r="L12359" s="0" t="str">
        <f aca="false">HYPERLINK("https://www.ncbi.nlm.nih.gov/nuccore/CP000058.1?report=graph&amp;tracks=[key:gene_model_track,Options:GeneOnly]&amp;mk=3881915:3881934|offset_29|444444,3881892:3881911|offset_52|444444,3881868:3881887|offset_76|00cc00,3881844:3881863|offset_100|444444&amp;v=3881714:3882063&amp;c=444444", "offset 76")</f>
        <v>offset 76</v>
      </c>
    </row>
    <row r="12360" customFormat="false" ht="12.8" hidden="false" customHeight="false" outlineLevel="0" collapsed="false">
      <c r="A12360" s="0" t="s">
        <v>12</v>
      </c>
      <c r="B12360" s="0" t="n">
        <v>3881843</v>
      </c>
      <c r="C12360" s="0" t="n">
        <v>3881863</v>
      </c>
      <c r="D12360" s="0" t="s">
        <v>41021</v>
      </c>
      <c r="E12360" s="0" t="s">
        <v>75</v>
      </c>
      <c r="F12360" s="0" t="s">
        <v>90</v>
      </c>
      <c r="G12360" s="0" t="s">
        <v>16</v>
      </c>
      <c r="H12360" s="0" t="n">
        <v>100</v>
      </c>
      <c r="I12360" s="0" t="s">
        <v>41031</v>
      </c>
      <c r="J12360" s="0" t="s">
        <v>41032</v>
      </c>
      <c r="K12360" s="0" t="s">
        <v>41033</v>
      </c>
      <c r="L12360" s="0" t="str">
        <f aca="false">HYPERLINK("https://www.ncbi.nlm.nih.gov/nuccore/CP000058.1?report=graph&amp;tracks=[key:gene_model_track,Options:GeneOnly]&amp;mk=3881915:3881934|offset_29|444444,3881892:3881911|offset_52|444444,3881868:3881887|offset_76|444444,3881844:3881863|offset_100|00cc00&amp;v=3881714:3882063&amp;c=444444", "offset 100")</f>
        <v>offset 100</v>
      </c>
    </row>
    <row r="12361" customFormat="false" ht="12.8" hidden="false" customHeight="false" outlineLevel="0" collapsed="false">
      <c r="A12361" s="0" t="s">
        <v>12</v>
      </c>
      <c r="B12361" s="0" t="n">
        <v>3882395</v>
      </c>
      <c r="C12361" s="0" t="n">
        <v>3882415</v>
      </c>
      <c r="D12361" s="0" t="s">
        <v>41034</v>
      </c>
      <c r="E12361" s="0" t="s">
        <v>41035</v>
      </c>
      <c r="F12361" s="0" t="s">
        <v>90</v>
      </c>
      <c r="G12361" s="0" t="s">
        <v>16</v>
      </c>
      <c r="H12361" s="0" t="n">
        <v>28</v>
      </c>
      <c r="I12361" s="0" t="s">
        <v>41036</v>
      </c>
      <c r="J12361" s="0" t="s">
        <v>41037</v>
      </c>
      <c r="K12361" s="0" t="s">
        <v>41038</v>
      </c>
      <c r="L12361" s="0" t="str">
        <f aca="false">HYPERLINK("https://www.ncbi.nlm.nih.gov/nuccore/CP000058.1?report=graph&amp;tracks=[key:gene_model_track,Options:GeneOnly]&amp;mk=3882396:3882415|offset_28|00cc00,3882365:3882384|offset_59|444444,3882294:3882313|offset_130|444444,3882251:3882270|offset_173|444444&amp;v=3882195:3882470&amp;c=444444", "offset 28")</f>
        <v>offset 28</v>
      </c>
    </row>
    <row r="12362" customFormat="false" ht="12.8" hidden="false" customHeight="false" outlineLevel="0" collapsed="false">
      <c r="A12362" s="0" t="s">
        <v>12</v>
      </c>
      <c r="B12362" s="0" t="n">
        <v>3882364</v>
      </c>
      <c r="C12362" s="0" t="n">
        <v>3882384</v>
      </c>
      <c r="D12362" s="0" t="s">
        <v>41034</v>
      </c>
      <c r="E12362" s="0" t="s">
        <v>41035</v>
      </c>
      <c r="F12362" s="0" t="s">
        <v>90</v>
      </c>
      <c r="G12362" s="0" t="s">
        <v>16</v>
      </c>
      <c r="H12362" s="0" t="n">
        <v>59</v>
      </c>
      <c r="I12362" s="0" t="s">
        <v>41039</v>
      </c>
      <c r="J12362" s="0" t="s">
        <v>41040</v>
      </c>
      <c r="K12362" s="0" t="s">
        <v>41041</v>
      </c>
      <c r="L12362" s="0" t="str">
        <f aca="false">HYPERLINK("https://www.ncbi.nlm.nih.gov/nuccore/CP000058.1?report=graph&amp;tracks=[key:gene_model_track,Options:GeneOnly]&amp;mk=3882396:3882415|offset_28|444444,3882365:3882384|offset_59|00cc00,3882294:3882313|offset_130|444444,3882251:3882270|offset_173|444444&amp;v=3882195:3882470&amp;c=444444", "offset 59")</f>
        <v>offset 59</v>
      </c>
    </row>
    <row r="12363" customFormat="false" ht="12.8" hidden="false" customHeight="false" outlineLevel="0" collapsed="false">
      <c r="A12363" s="0" t="s">
        <v>12</v>
      </c>
      <c r="B12363" s="0" t="n">
        <v>3882293</v>
      </c>
      <c r="C12363" s="0" t="n">
        <v>3882313</v>
      </c>
      <c r="D12363" s="0" t="s">
        <v>41034</v>
      </c>
      <c r="E12363" s="0" t="s">
        <v>41035</v>
      </c>
      <c r="F12363" s="0" t="s">
        <v>90</v>
      </c>
      <c r="G12363" s="0" t="s">
        <v>36</v>
      </c>
      <c r="H12363" s="0" t="n">
        <v>130</v>
      </c>
      <c r="I12363" s="0" t="s">
        <v>41042</v>
      </c>
      <c r="J12363" s="0" t="s">
        <v>41043</v>
      </c>
      <c r="K12363" s="0" t="s">
        <v>41044</v>
      </c>
      <c r="L12363" s="0" t="str">
        <f aca="false">HYPERLINK("https://www.ncbi.nlm.nih.gov/nuccore/CP000058.1?report=graph&amp;tracks=[key:gene_model_track,Options:GeneOnly]&amp;mk=3882396:3882415|offset_28|444444,3882365:3882384|offset_59|444444,3882294:3882313|offset_130|00cc00,3882251:3882270|offset_173|444444&amp;v=3882195:3882470&amp;c=444444", "offset 130")</f>
        <v>offset 130</v>
      </c>
    </row>
    <row r="12364" customFormat="false" ht="12.8" hidden="false" customHeight="false" outlineLevel="0" collapsed="false">
      <c r="A12364" s="0" t="s">
        <v>12</v>
      </c>
      <c r="B12364" s="0" t="n">
        <v>3882250</v>
      </c>
      <c r="C12364" s="0" t="n">
        <v>3882270</v>
      </c>
      <c r="D12364" s="0" t="s">
        <v>41034</v>
      </c>
      <c r="E12364" s="0" t="s">
        <v>41035</v>
      </c>
      <c r="F12364" s="0" t="s">
        <v>90</v>
      </c>
      <c r="G12364" s="0" t="s">
        <v>20</v>
      </c>
      <c r="H12364" s="0" t="n">
        <v>173</v>
      </c>
      <c r="I12364" s="0" t="s">
        <v>41045</v>
      </c>
      <c r="J12364" s="0" t="s">
        <v>41046</v>
      </c>
      <c r="K12364" s="0" t="s">
        <v>41047</v>
      </c>
      <c r="L12364" s="0" t="str">
        <f aca="false">HYPERLINK("https://www.ncbi.nlm.nih.gov/nuccore/CP000058.1?report=graph&amp;tracks=[key:gene_model_track,Options:GeneOnly]&amp;mk=3882396:3882415|offset_28|444444,3882365:3882384|offset_59|444444,3882294:3882313|offset_130|444444,3882251:3882270|offset_173|00cc00&amp;v=3882195:3882470&amp;c=444444", "offset 173")</f>
        <v>offset 173</v>
      </c>
    </row>
    <row r="12365" customFormat="false" ht="12.8" hidden="false" customHeight="false" outlineLevel="0" collapsed="false">
      <c r="A12365" s="0" t="s">
        <v>12</v>
      </c>
      <c r="B12365" s="0" t="n">
        <v>3883330</v>
      </c>
      <c r="C12365" s="0" t="n">
        <v>3883350</v>
      </c>
      <c r="D12365" s="0" t="s">
        <v>41048</v>
      </c>
      <c r="E12365" s="0" t="s">
        <v>75</v>
      </c>
      <c r="F12365" s="0" t="s">
        <v>90</v>
      </c>
      <c r="G12365" s="0" t="s">
        <v>16</v>
      </c>
      <c r="H12365" s="0" t="n">
        <v>8</v>
      </c>
      <c r="I12365" s="0" t="s">
        <v>41049</v>
      </c>
      <c r="J12365" s="0" t="s">
        <v>41050</v>
      </c>
      <c r="K12365" s="0" t="s">
        <v>41051</v>
      </c>
      <c r="L12365" s="0" t="str">
        <f aca="false">HYPERLINK("https://www.ncbi.nlm.nih.gov/nuccore/CP000058.1?report=graph&amp;tracks=[key:gene_model_track,Options:GeneOnly]&amp;mk=3883331:3883350|offset_8|00cc00,3883306:3883325|offset_33|444444,3883240:3883259|offset_99|444444,3883191:3883210|offset_148|444444&amp;v=3883130:3883410&amp;c=444444", "offset 8")</f>
        <v>offset 8</v>
      </c>
    </row>
    <row r="12366" customFormat="false" ht="12.8" hidden="false" customHeight="false" outlineLevel="0" collapsed="false">
      <c r="A12366" s="0" t="s">
        <v>12</v>
      </c>
      <c r="B12366" s="0" t="n">
        <v>3883305</v>
      </c>
      <c r="C12366" s="0" t="n">
        <v>3883325</v>
      </c>
      <c r="D12366" s="0" t="s">
        <v>41048</v>
      </c>
      <c r="E12366" s="0" t="s">
        <v>75</v>
      </c>
      <c r="F12366" s="0" t="s">
        <v>90</v>
      </c>
      <c r="G12366" s="0" t="s">
        <v>36</v>
      </c>
      <c r="H12366" s="0" t="n">
        <v>33</v>
      </c>
      <c r="I12366" s="0" t="s">
        <v>41052</v>
      </c>
      <c r="J12366" s="0" t="s">
        <v>41053</v>
      </c>
      <c r="K12366" s="0" t="s">
        <v>41054</v>
      </c>
      <c r="L12366" s="0" t="str">
        <f aca="false">HYPERLINK("https://www.ncbi.nlm.nih.gov/nuccore/CP000058.1?report=graph&amp;tracks=[key:gene_model_track,Options:GeneOnly]&amp;mk=3883331:3883350|offset_8|444444,3883306:3883325|offset_33|00cc00,3883240:3883259|offset_99|444444,3883191:3883210|offset_148|444444&amp;v=3883130:3883410&amp;c=444444", "offset 33")</f>
        <v>offset 33</v>
      </c>
    </row>
    <row r="12367" customFormat="false" ht="12.8" hidden="false" customHeight="false" outlineLevel="0" collapsed="false">
      <c r="A12367" s="0" t="s">
        <v>12</v>
      </c>
      <c r="B12367" s="0" t="n">
        <v>3883239</v>
      </c>
      <c r="C12367" s="0" t="n">
        <v>3883259</v>
      </c>
      <c r="D12367" s="0" t="s">
        <v>41048</v>
      </c>
      <c r="E12367" s="0" t="s">
        <v>75</v>
      </c>
      <c r="F12367" s="0" t="s">
        <v>90</v>
      </c>
      <c r="G12367" s="0" t="s">
        <v>20</v>
      </c>
      <c r="H12367" s="0" t="n">
        <v>99</v>
      </c>
      <c r="I12367" s="0" t="s">
        <v>41055</v>
      </c>
      <c r="J12367" s="0" t="s">
        <v>41056</v>
      </c>
      <c r="K12367" s="0" t="s">
        <v>41057</v>
      </c>
      <c r="L12367" s="0" t="str">
        <f aca="false">HYPERLINK("https://www.ncbi.nlm.nih.gov/nuccore/CP000058.1?report=graph&amp;tracks=[key:gene_model_track,Options:GeneOnly]&amp;mk=3883331:3883350|offset_8|444444,3883306:3883325|offset_33|444444,3883240:3883259|offset_99|00cc00,3883191:3883210|offset_148|444444&amp;v=3883130:3883410&amp;c=444444", "offset 99")</f>
        <v>offset 99</v>
      </c>
    </row>
    <row r="12368" customFormat="false" ht="12.8" hidden="false" customHeight="false" outlineLevel="0" collapsed="false">
      <c r="A12368" s="0" t="s">
        <v>12</v>
      </c>
      <c r="B12368" s="0" t="n">
        <v>3883190</v>
      </c>
      <c r="C12368" s="0" t="n">
        <v>3883210</v>
      </c>
      <c r="D12368" s="0" t="s">
        <v>41048</v>
      </c>
      <c r="E12368" s="0" t="s">
        <v>75</v>
      </c>
      <c r="F12368" s="0" t="s">
        <v>90</v>
      </c>
      <c r="G12368" s="0" t="s">
        <v>20</v>
      </c>
      <c r="H12368" s="0" t="n">
        <v>148</v>
      </c>
      <c r="I12368" s="0" t="s">
        <v>41058</v>
      </c>
      <c r="J12368" s="0" t="s">
        <v>41059</v>
      </c>
      <c r="K12368" s="0" t="s">
        <v>41060</v>
      </c>
      <c r="L12368" s="0" t="str">
        <f aca="false">HYPERLINK("https://www.ncbi.nlm.nih.gov/nuccore/CP000058.1?report=graph&amp;tracks=[key:gene_model_track,Options:GeneOnly]&amp;mk=3883331:3883350|offset_8|444444,3883306:3883325|offset_33|444444,3883240:3883259|offset_99|444444,3883191:3883210|offset_148|00cc00&amp;v=3883130:3883410&amp;c=444444", "offset 148")</f>
        <v>offset 148</v>
      </c>
    </row>
    <row r="12369" customFormat="false" ht="12.8" hidden="false" customHeight="false" outlineLevel="0" collapsed="false">
      <c r="A12369" s="0" t="s">
        <v>12</v>
      </c>
      <c r="B12369" s="0" t="n">
        <v>3884180</v>
      </c>
      <c r="C12369" s="0" t="n">
        <v>3884200</v>
      </c>
      <c r="D12369" s="0" t="s">
        <v>41061</v>
      </c>
      <c r="E12369" s="0" t="s">
        <v>75</v>
      </c>
      <c r="F12369" s="0" t="s">
        <v>90</v>
      </c>
      <c r="G12369" s="0" t="s">
        <v>32</v>
      </c>
      <c r="H12369" s="0" t="n">
        <v>49</v>
      </c>
      <c r="I12369" s="0" t="s">
        <v>41062</v>
      </c>
      <c r="J12369" s="0" t="s">
        <v>41063</v>
      </c>
      <c r="K12369" s="0" t="s">
        <v>41064</v>
      </c>
      <c r="L12369" s="0" t="str">
        <f aca="false">HYPERLINK("https://www.ncbi.nlm.nih.gov/nuccore/CP000058.1?report=graph&amp;tracks=[key:gene_model_track,Options:GeneOnly]&amp;mk=3884181:3884200|offset_49|00cc00,3884156:3884175|offset_74|444444,3884111:3884130|offset_119|444444,3884075:3884094|offset_155|444444&amp;v=3883980:3884294&amp;c=444444", "offset 49")</f>
        <v>offset 49</v>
      </c>
    </row>
    <row r="12370" customFormat="false" ht="12.8" hidden="false" customHeight="false" outlineLevel="0" collapsed="false">
      <c r="A12370" s="0" t="s">
        <v>12</v>
      </c>
      <c r="B12370" s="0" t="n">
        <v>3884155</v>
      </c>
      <c r="C12370" s="0" t="n">
        <v>3884175</v>
      </c>
      <c r="D12370" s="0" t="s">
        <v>41061</v>
      </c>
      <c r="E12370" s="0" t="s">
        <v>75</v>
      </c>
      <c r="F12370" s="0" t="s">
        <v>90</v>
      </c>
      <c r="G12370" s="0" t="s">
        <v>20</v>
      </c>
      <c r="H12370" s="0" t="n">
        <v>74</v>
      </c>
      <c r="I12370" s="0" t="s">
        <v>41065</v>
      </c>
      <c r="J12370" s="0" t="s">
        <v>41066</v>
      </c>
      <c r="K12370" s="0" t="s">
        <v>41067</v>
      </c>
      <c r="L12370" s="0" t="str">
        <f aca="false">HYPERLINK("https://www.ncbi.nlm.nih.gov/nuccore/CP000058.1?report=graph&amp;tracks=[key:gene_model_track,Options:GeneOnly]&amp;mk=3884181:3884200|offset_49|444444,3884156:3884175|offset_74|00cc00,3884111:3884130|offset_119|444444,3884075:3884094|offset_155|444444&amp;v=3883980:3884294&amp;c=444444", "offset 74")</f>
        <v>offset 74</v>
      </c>
    </row>
    <row r="12371" customFormat="false" ht="12.8" hidden="false" customHeight="false" outlineLevel="0" collapsed="false">
      <c r="A12371" s="0" t="s">
        <v>12</v>
      </c>
      <c r="B12371" s="0" t="n">
        <v>3884110</v>
      </c>
      <c r="C12371" s="0" t="n">
        <v>3884130</v>
      </c>
      <c r="D12371" s="0" t="s">
        <v>41061</v>
      </c>
      <c r="E12371" s="0" t="s">
        <v>75</v>
      </c>
      <c r="F12371" s="0" t="s">
        <v>90</v>
      </c>
      <c r="G12371" s="0" t="s">
        <v>36</v>
      </c>
      <c r="H12371" s="0" t="n">
        <v>119</v>
      </c>
      <c r="I12371" s="0" t="s">
        <v>41068</v>
      </c>
      <c r="J12371" s="0" t="s">
        <v>41069</v>
      </c>
      <c r="K12371" s="0" t="s">
        <v>41070</v>
      </c>
      <c r="L12371" s="0" t="str">
        <f aca="false">HYPERLINK("https://www.ncbi.nlm.nih.gov/nuccore/CP000058.1?report=graph&amp;tracks=[key:gene_model_track,Options:GeneOnly]&amp;mk=3884181:3884200|offset_49|444444,3884156:3884175|offset_74|444444,3884111:3884130|offset_119|00cc00,3884075:3884094|offset_155|444444&amp;v=3883980:3884294&amp;c=444444", "offset 119")</f>
        <v>offset 119</v>
      </c>
    </row>
    <row r="12372" customFormat="false" ht="12.8" hidden="false" customHeight="false" outlineLevel="0" collapsed="false">
      <c r="A12372" s="0" t="s">
        <v>12</v>
      </c>
      <c r="B12372" s="0" t="n">
        <v>3884074</v>
      </c>
      <c r="C12372" s="0" t="n">
        <v>3884094</v>
      </c>
      <c r="D12372" s="0" t="s">
        <v>41061</v>
      </c>
      <c r="E12372" s="0" t="s">
        <v>75</v>
      </c>
      <c r="F12372" s="0" t="s">
        <v>90</v>
      </c>
      <c r="G12372" s="0" t="s">
        <v>36</v>
      </c>
      <c r="H12372" s="0" t="n">
        <v>155</v>
      </c>
      <c r="I12372" s="0" t="s">
        <v>41071</v>
      </c>
      <c r="J12372" s="0" t="s">
        <v>41072</v>
      </c>
      <c r="K12372" s="0" t="s">
        <v>41073</v>
      </c>
      <c r="L12372" s="0" t="str">
        <f aca="false">HYPERLINK("https://www.ncbi.nlm.nih.gov/nuccore/CP000058.1?report=graph&amp;tracks=[key:gene_model_track,Options:GeneOnly]&amp;mk=3884181:3884200|offset_49|444444,3884156:3884175|offset_74|444444,3884111:3884130|offset_119|444444,3884075:3884094|offset_155|00cc00&amp;v=3883980:3884294&amp;c=444444", "offset 155")</f>
        <v>offset 155</v>
      </c>
    </row>
    <row r="12373" customFormat="false" ht="12.8" hidden="false" customHeight="false" outlineLevel="0" collapsed="false">
      <c r="A12373" s="0" t="s">
        <v>12</v>
      </c>
      <c r="B12373" s="0" t="n">
        <v>3885150</v>
      </c>
      <c r="C12373" s="0" t="n">
        <v>3885170</v>
      </c>
      <c r="D12373" s="0" t="s">
        <v>41074</v>
      </c>
      <c r="E12373" s="0" t="s">
        <v>41075</v>
      </c>
      <c r="F12373" s="0" t="s">
        <v>90</v>
      </c>
      <c r="G12373" s="0" t="s">
        <v>16</v>
      </c>
      <c r="H12373" s="0" t="n">
        <v>11</v>
      </c>
      <c r="I12373" s="0" t="s">
        <v>41076</v>
      </c>
      <c r="J12373" s="0" t="s">
        <v>41077</v>
      </c>
      <c r="K12373" s="0" t="s">
        <v>41078</v>
      </c>
      <c r="L12373" s="0" t="str">
        <f aca="false">HYPERLINK("https://www.ncbi.nlm.nih.gov/nuccore/CP000058.1?report=graph&amp;tracks=[key:gene_model_track,Options:GeneOnly]&amp;mk=3885151:3885170|offset_11|00cc00,3885098:3885117|offset_64|444444,3885047:3885066|offset_115|444444,3885014:3885033|offset_148|444444&amp;v=3884950:3885233&amp;c=444444", "offset 11")</f>
        <v>offset 11</v>
      </c>
    </row>
    <row r="12374" customFormat="false" ht="12.8" hidden="false" customHeight="false" outlineLevel="0" collapsed="false">
      <c r="A12374" s="0" t="s">
        <v>12</v>
      </c>
      <c r="B12374" s="0" t="n">
        <v>3885097</v>
      </c>
      <c r="C12374" s="0" t="n">
        <v>3885117</v>
      </c>
      <c r="D12374" s="0" t="s">
        <v>41074</v>
      </c>
      <c r="E12374" s="0" t="s">
        <v>41075</v>
      </c>
      <c r="F12374" s="0" t="s">
        <v>90</v>
      </c>
      <c r="G12374" s="0" t="s">
        <v>16</v>
      </c>
      <c r="H12374" s="0" t="n">
        <v>64</v>
      </c>
      <c r="I12374" s="0" t="s">
        <v>41079</v>
      </c>
      <c r="J12374" s="0" t="s">
        <v>41080</v>
      </c>
      <c r="K12374" s="0" t="s">
        <v>41081</v>
      </c>
      <c r="L12374" s="0" t="str">
        <f aca="false">HYPERLINK("https://www.ncbi.nlm.nih.gov/nuccore/CP000058.1?report=graph&amp;tracks=[key:gene_model_track,Options:GeneOnly]&amp;mk=3885151:3885170|offset_11|444444,3885098:3885117|offset_64|00cc00,3885047:3885066|offset_115|444444,3885014:3885033|offset_148|444444&amp;v=3884950:3885233&amp;c=444444", "offset 64")</f>
        <v>offset 64</v>
      </c>
    </row>
    <row r="12375" customFormat="false" ht="12.8" hidden="false" customHeight="false" outlineLevel="0" collapsed="false">
      <c r="A12375" s="0" t="s">
        <v>12</v>
      </c>
      <c r="B12375" s="0" t="n">
        <v>3885046</v>
      </c>
      <c r="C12375" s="0" t="n">
        <v>3885066</v>
      </c>
      <c r="D12375" s="0" t="s">
        <v>41074</v>
      </c>
      <c r="E12375" s="0" t="s">
        <v>41075</v>
      </c>
      <c r="F12375" s="0" t="s">
        <v>90</v>
      </c>
      <c r="G12375" s="0" t="s">
        <v>20</v>
      </c>
      <c r="H12375" s="0" t="n">
        <v>115</v>
      </c>
      <c r="I12375" s="0" t="s">
        <v>41082</v>
      </c>
      <c r="J12375" s="0" t="s">
        <v>41083</v>
      </c>
      <c r="K12375" s="0" t="s">
        <v>41084</v>
      </c>
      <c r="L12375" s="0" t="str">
        <f aca="false">HYPERLINK("https://www.ncbi.nlm.nih.gov/nuccore/CP000058.1?report=graph&amp;tracks=[key:gene_model_track,Options:GeneOnly]&amp;mk=3885151:3885170|offset_11|444444,3885098:3885117|offset_64|444444,3885047:3885066|offset_115|00cc00,3885014:3885033|offset_148|444444&amp;v=3884950:3885233&amp;c=444444", "offset 115")</f>
        <v>offset 115</v>
      </c>
    </row>
    <row r="12376" customFormat="false" ht="12.8" hidden="false" customHeight="false" outlineLevel="0" collapsed="false">
      <c r="A12376" s="0" t="s">
        <v>12</v>
      </c>
      <c r="B12376" s="0" t="n">
        <v>3885013</v>
      </c>
      <c r="C12376" s="0" t="n">
        <v>3885033</v>
      </c>
      <c r="D12376" s="0" t="s">
        <v>41074</v>
      </c>
      <c r="E12376" s="0" t="s">
        <v>41075</v>
      </c>
      <c r="F12376" s="0" t="s">
        <v>90</v>
      </c>
      <c r="G12376" s="0" t="s">
        <v>36</v>
      </c>
      <c r="H12376" s="0" t="n">
        <v>148</v>
      </c>
      <c r="I12376" s="0" t="s">
        <v>41085</v>
      </c>
      <c r="J12376" s="0" t="s">
        <v>41086</v>
      </c>
      <c r="K12376" s="0" t="s">
        <v>41087</v>
      </c>
      <c r="L12376" s="0" t="str">
        <f aca="false">HYPERLINK("https://www.ncbi.nlm.nih.gov/nuccore/CP000058.1?report=graph&amp;tracks=[key:gene_model_track,Options:GeneOnly]&amp;mk=3885151:3885170|offset_11|444444,3885098:3885117|offset_64|444444,3885047:3885066|offset_115|444444,3885014:3885033|offset_148|00cc00&amp;v=3884950:3885233&amp;c=444444", "offset 148")</f>
        <v>offset 148</v>
      </c>
    </row>
    <row r="12377" customFormat="false" ht="12.8" hidden="false" customHeight="false" outlineLevel="0" collapsed="false">
      <c r="A12377" s="0" t="s">
        <v>12</v>
      </c>
      <c r="B12377" s="0" t="n">
        <v>3885882</v>
      </c>
      <c r="C12377" s="0" t="n">
        <v>3885902</v>
      </c>
      <c r="D12377" s="0" t="s">
        <v>41088</v>
      </c>
      <c r="E12377" s="0" t="s">
        <v>41089</v>
      </c>
      <c r="F12377" s="0" t="s">
        <v>90</v>
      </c>
      <c r="G12377" s="0" t="s">
        <v>20</v>
      </c>
      <c r="H12377" s="0" t="n">
        <v>26</v>
      </c>
      <c r="I12377" s="0" t="s">
        <v>41090</v>
      </c>
      <c r="J12377" s="0" t="s">
        <v>41091</v>
      </c>
      <c r="K12377" s="0" t="s">
        <v>41092</v>
      </c>
      <c r="L12377" s="0" t="str">
        <f aca="false">HYPERLINK("https://www.ncbi.nlm.nih.gov/nuccore/CP000058.1?report=graph&amp;tracks=[key:gene_model_track,Options:GeneOnly]&amp;mk=3885883:3885902|offset_26|00cc00,3885829:3885848|offset_80|444444,3885808:3885827|offset_101|444444,3885753:3885772|offset_156|444444&amp;v=3885682:3885972&amp;c=444444", "offset 26")</f>
        <v>offset 26</v>
      </c>
    </row>
    <row r="12378" customFormat="false" ht="12.8" hidden="false" customHeight="false" outlineLevel="0" collapsed="false">
      <c r="A12378" s="0" t="s">
        <v>12</v>
      </c>
      <c r="B12378" s="0" t="n">
        <v>3885828</v>
      </c>
      <c r="C12378" s="0" t="n">
        <v>3885848</v>
      </c>
      <c r="D12378" s="0" t="s">
        <v>41088</v>
      </c>
      <c r="E12378" s="0" t="s">
        <v>41089</v>
      </c>
      <c r="F12378" s="0" t="s">
        <v>90</v>
      </c>
      <c r="G12378" s="0" t="s">
        <v>20</v>
      </c>
      <c r="H12378" s="0" t="n">
        <v>80</v>
      </c>
      <c r="I12378" s="0" t="s">
        <v>41093</v>
      </c>
      <c r="J12378" s="0" t="s">
        <v>41094</v>
      </c>
      <c r="K12378" s="0" t="s">
        <v>41095</v>
      </c>
      <c r="L12378" s="0" t="str">
        <f aca="false">HYPERLINK("https://www.ncbi.nlm.nih.gov/nuccore/CP000058.1?report=graph&amp;tracks=[key:gene_model_track,Options:GeneOnly]&amp;mk=3885883:3885902|offset_26|444444,3885829:3885848|offset_80|00cc00,3885808:3885827|offset_101|444444,3885753:3885772|offset_156|444444&amp;v=3885682:3885972&amp;c=444444", "offset 80")</f>
        <v>offset 80</v>
      </c>
    </row>
    <row r="12379" customFormat="false" ht="12.8" hidden="false" customHeight="false" outlineLevel="0" collapsed="false">
      <c r="A12379" s="0" t="s">
        <v>12</v>
      </c>
      <c r="B12379" s="0" t="n">
        <v>3885807</v>
      </c>
      <c r="C12379" s="0" t="n">
        <v>3885827</v>
      </c>
      <c r="D12379" s="0" t="s">
        <v>41088</v>
      </c>
      <c r="E12379" s="0" t="s">
        <v>41089</v>
      </c>
      <c r="F12379" s="0" t="s">
        <v>90</v>
      </c>
      <c r="G12379" s="0" t="s">
        <v>36</v>
      </c>
      <c r="H12379" s="0" t="n">
        <v>101</v>
      </c>
      <c r="I12379" s="0" t="s">
        <v>41096</v>
      </c>
      <c r="J12379" s="0" t="s">
        <v>41097</v>
      </c>
      <c r="K12379" s="0" t="s">
        <v>41098</v>
      </c>
      <c r="L12379" s="0" t="str">
        <f aca="false">HYPERLINK("https://www.ncbi.nlm.nih.gov/nuccore/CP000058.1?report=graph&amp;tracks=[key:gene_model_track,Options:GeneOnly]&amp;mk=3885883:3885902|offset_26|444444,3885829:3885848|offset_80|444444,3885808:3885827|offset_101|00cc00,3885753:3885772|offset_156|444444&amp;v=3885682:3885972&amp;c=444444", "offset 101")</f>
        <v>offset 101</v>
      </c>
    </row>
    <row r="12380" customFormat="false" ht="12.8" hidden="false" customHeight="false" outlineLevel="0" collapsed="false">
      <c r="A12380" s="0" t="s">
        <v>12</v>
      </c>
      <c r="B12380" s="0" t="n">
        <v>3885752</v>
      </c>
      <c r="C12380" s="0" t="n">
        <v>3885772</v>
      </c>
      <c r="D12380" s="0" t="s">
        <v>41088</v>
      </c>
      <c r="E12380" s="0" t="s">
        <v>41089</v>
      </c>
      <c r="F12380" s="0" t="s">
        <v>90</v>
      </c>
      <c r="G12380" s="0" t="s">
        <v>16</v>
      </c>
      <c r="H12380" s="0" t="n">
        <v>156</v>
      </c>
      <c r="I12380" s="0" t="s">
        <v>41099</v>
      </c>
      <c r="J12380" s="0" t="s">
        <v>41100</v>
      </c>
      <c r="K12380" s="0" t="s">
        <v>41101</v>
      </c>
      <c r="L12380" s="0" t="str">
        <f aca="false">HYPERLINK("https://www.ncbi.nlm.nih.gov/nuccore/CP000058.1?report=graph&amp;tracks=[key:gene_model_track,Options:GeneOnly]&amp;mk=3885883:3885902|offset_26|444444,3885829:3885848|offset_80|444444,3885808:3885827|offset_101|444444,3885753:3885772|offset_156|00cc00&amp;v=3885682:3885972&amp;c=444444", "offset 156")</f>
        <v>offset 156</v>
      </c>
    </row>
    <row r="12381" customFormat="false" ht="12.8" hidden="false" customHeight="false" outlineLevel="0" collapsed="false">
      <c r="A12381" s="0" t="s">
        <v>12</v>
      </c>
      <c r="B12381" s="0" t="n">
        <v>3887054</v>
      </c>
      <c r="C12381" s="0" t="n">
        <v>3887074</v>
      </c>
      <c r="D12381" s="0" t="s">
        <v>41102</v>
      </c>
      <c r="E12381" s="0" t="s">
        <v>41103</v>
      </c>
      <c r="F12381" s="0" t="s">
        <v>90</v>
      </c>
      <c r="G12381" s="0" t="s">
        <v>20</v>
      </c>
      <c r="H12381" s="0" t="n">
        <v>17</v>
      </c>
      <c r="I12381" s="0" t="s">
        <v>41104</v>
      </c>
      <c r="J12381" s="0" t="s">
        <v>41105</v>
      </c>
      <c r="K12381" s="0" t="s">
        <v>41106</v>
      </c>
      <c r="L12381" s="0" t="str">
        <f aca="false">HYPERLINK("https://www.ncbi.nlm.nih.gov/nuccore/CP000058.1?report=graph&amp;tracks=[key:gene_model_track,Options:GeneOnly]&amp;mk=3887055:3887074|offset_17|00cc00,3887028:3887047|offset_44|444444,3886995:3887014|offset_77|444444,3886972:3886991|offset_100|444444&amp;v=3886854:3887191&amp;c=444444", "offset 17")</f>
        <v>offset 17</v>
      </c>
    </row>
    <row r="12382" customFormat="false" ht="12.8" hidden="false" customHeight="false" outlineLevel="0" collapsed="false">
      <c r="A12382" s="0" t="s">
        <v>12</v>
      </c>
      <c r="B12382" s="0" t="n">
        <v>3887027</v>
      </c>
      <c r="C12382" s="0" t="n">
        <v>3887047</v>
      </c>
      <c r="D12382" s="0" t="s">
        <v>41102</v>
      </c>
      <c r="E12382" s="0" t="s">
        <v>41103</v>
      </c>
      <c r="F12382" s="0" t="s">
        <v>90</v>
      </c>
      <c r="G12382" s="0" t="s">
        <v>16</v>
      </c>
      <c r="H12382" s="0" t="n">
        <v>44</v>
      </c>
      <c r="I12382" s="0" t="s">
        <v>41107</v>
      </c>
      <c r="J12382" s="0" t="s">
        <v>41108</v>
      </c>
      <c r="K12382" s="0" t="s">
        <v>41109</v>
      </c>
      <c r="L12382" s="0" t="str">
        <f aca="false">HYPERLINK("https://www.ncbi.nlm.nih.gov/nuccore/CP000058.1?report=graph&amp;tracks=[key:gene_model_track,Options:GeneOnly]&amp;mk=3887055:3887074|offset_17|444444,3887028:3887047|offset_44|00cc00,3886995:3887014|offset_77|444444,3886972:3886991|offset_100|444444&amp;v=3886854:3887191&amp;c=444444", "offset 44")</f>
        <v>offset 44</v>
      </c>
    </row>
    <row r="12383" customFormat="false" ht="12.8" hidden="false" customHeight="false" outlineLevel="0" collapsed="false">
      <c r="A12383" s="0" t="s">
        <v>12</v>
      </c>
      <c r="B12383" s="0" t="n">
        <v>3886994</v>
      </c>
      <c r="C12383" s="0" t="n">
        <v>3887014</v>
      </c>
      <c r="D12383" s="0" t="s">
        <v>41102</v>
      </c>
      <c r="E12383" s="0" t="s">
        <v>41103</v>
      </c>
      <c r="F12383" s="0" t="s">
        <v>90</v>
      </c>
      <c r="G12383" s="0" t="s">
        <v>36</v>
      </c>
      <c r="H12383" s="0" t="n">
        <v>77</v>
      </c>
      <c r="I12383" s="0" t="s">
        <v>41110</v>
      </c>
      <c r="J12383" s="0" t="s">
        <v>41111</v>
      </c>
      <c r="K12383" s="0" t="s">
        <v>41112</v>
      </c>
      <c r="L12383" s="0" t="str">
        <f aca="false">HYPERLINK("https://www.ncbi.nlm.nih.gov/nuccore/CP000058.1?report=graph&amp;tracks=[key:gene_model_track,Options:GeneOnly]&amp;mk=3887055:3887074|offset_17|444444,3887028:3887047|offset_44|444444,3886995:3887014|offset_77|00cc00,3886972:3886991|offset_100|444444&amp;v=3886854:3887191&amp;c=444444", "offset 77")</f>
        <v>offset 77</v>
      </c>
    </row>
    <row r="12384" customFormat="false" ht="12.8" hidden="false" customHeight="false" outlineLevel="0" collapsed="false">
      <c r="A12384" s="0" t="s">
        <v>12</v>
      </c>
      <c r="B12384" s="0" t="n">
        <v>3886971</v>
      </c>
      <c r="C12384" s="0" t="n">
        <v>3886991</v>
      </c>
      <c r="D12384" s="0" t="s">
        <v>41102</v>
      </c>
      <c r="E12384" s="0" t="s">
        <v>41103</v>
      </c>
      <c r="F12384" s="0" t="s">
        <v>90</v>
      </c>
      <c r="G12384" s="0" t="s">
        <v>16</v>
      </c>
      <c r="H12384" s="0" t="n">
        <v>100</v>
      </c>
      <c r="I12384" s="0" t="s">
        <v>41113</v>
      </c>
      <c r="J12384" s="0" t="s">
        <v>41114</v>
      </c>
      <c r="K12384" s="0" t="s">
        <v>41115</v>
      </c>
      <c r="L12384" s="0" t="str">
        <f aca="false">HYPERLINK("https://www.ncbi.nlm.nih.gov/nuccore/CP000058.1?report=graph&amp;tracks=[key:gene_model_track,Options:GeneOnly]&amp;mk=3887055:3887074|offset_17|444444,3887028:3887047|offset_44|444444,3886995:3887014|offset_77|444444,3886972:3886991|offset_100|00cc00&amp;v=3886854:3887191&amp;c=444444", "offset 100")</f>
        <v>offset 100</v>
      </c>
    </row>
    <row r="12385" customFormat="false" ht="12.8" hidden="false" customHeight="false" outlineLevel="0" collapsed="false">
      <c r="A12385" s="0" t="s">
        <v>12</v>
      </c>
      <c r="B12385" s="0" t="n">
        <v>3889398</v>
      </c>
      <c r="C12385" s="0" t="n">
        <v>3889418</v>
      </c>
      <c r="D12385" s="0" t="s">
        <v>41116</v>
      </c>
      <c r="E12385" s="0" t="s">
        <v>41117</v>
      </c>
      <c r="F12385" s="0" t="s">
        <v>90</v>
      </c>
      <c r="G12385" s="0" t="s">
        <v>36</v>
      </c>
      <c r="H12385" s="0" t="n">
        <v>0</v>
      </c>
      <c r="I12385" s="0" t="s">
        <v>41118</v>
      </c>
      <c r="J12385" s="0" t="s">
        <v>41119</v>
      </c>
      <c r="K12385" s="0" t="s">
        <v>41120</v>
      </c>
      <c r="L12385" s="0" t="str">
        <f aca="false">HYPERLINK("https://www.ncbi.nlm.nih.gov/nuccore/CP000058.1?report=graph&amp;tracks=[key:gene_model_track,Options:GeneOnly]&amp;mk=3889399:3889418|offset_0|00cc00,3889370:3889389|offset_29|444444,3889347:3889366|offset_52|444444,3889298:3889317|offset_101|444444&amp;v=3889198:3889517&amp;c=444444", "offset 0")</f>
        <v>offset 0</v>
      </c>
    </row>
    <row r="12386" customFormat="false" ht="12.8" hidden="false" customHeight="false" outlineLevel="0" collapsed="false">
      <c r="A12386" s="0" t="s">
        <v>12</v>
      </c>
      <c r="B12386" s="0" t="n">
        <v>3889369</v>
      </c>
      <c r="C12386" s="0" t="n">
        <v>3889389</v>
      </c>
      <c r="D12386" s="0" t="s">
        <v>41116</v>
      </c>
      <c r="E12386" s="0" t="s">
        <v>41117</v>
      </c>
      <c r="F12386" s="0" t="s">
        <v>90</v>
      </c>
      <c r="G12386" s="0" t="s">
        <v>20</v>
      </c>
      <c r="H12386" s="0" t="n">
        <v>29</v>
      </c>
      <c r="I12386" s="0" t="s">
        <v>41121</v>
      </c>
      <c r="J12386" s="0" t="s">
        <v>41122</v>
      </c>
      <c r="K12386" s="0" t="s">
        <v>41123</v>
      </c>
      <c r="L12386" s="0" t="str">
        <f aca="false">HYPERLINK("https://www.ncbi.nlm.nih.gov/nuccore/CP000058.1?report=graph&amp;tracks=[key:gene_model_track,Options:GeneOnly]&amp;mk=3889399:3889418|offset_0|444444,3889370:3889389|offset_29|00cc00,3889347:3889366|offset_52|444444,3889298:3889317|offset_101|444444&amp;v=3889198:3889517&amp;c=444444", "offset 29")</f>
        <v>offset 29</v>
      </c>
    </row>
    <row r="12387" customFormat="false" ht="12.8" hidden="false" customHeight="false" outlineLevel="0" collapsed="false">
      <c r="A12387" s="0" t="s">
        <v>12</v>
      </c>
      <c r="B12387" s="0" t="n">
        <v>3889346</v>
      </c>
      <c r="C12387" s="0" t="n">
        <v>3889366</v>
      </c>
      <c r="D12387" s="0" t="s">
        <v>41116</v>
      </c>
      <c r="E12387" s="0" t="s">
        <v>41117</v>
      </c>
      <c r="F12387" s="0" t="s">
        <v>90</v>
      </c>
      <c r="G12387" s="0" t="s">
        <v>16</v>
      </c>
      <c r="H12387" s="0" t="n">
        <v>52</v>
      </c>
      <c r="I12387" s="0" t="s">
        <v>41124</v>
      </c>
      <c r="J12387" s="0" t="s">
        <v>41125</v>
      </c>
      <c r="K12387" s="0" t="s">
        <v>41126</v>
      </c>
      <c r="L12387" s="0" t="str">
        <f aca="false">HYPERLINK("https://www.ncbi.nlm.nih.gov/nuccore/CP000058.1?report=graph&amp;tracks=[key:gene_model_track,Options:GeneOnly]&amp;mk=3889399:3889418|offset_0|444444,3889370:3889389|offset_29|444444,3889347:3889366|offset_52|00cc00,3889298:3889317|offset_101|444444&amp;v=3889198:3889517&amp;c=444444", "offset 52")</f>
        <v>offset 52</v>
      </c>
    </row>
    <row r="12388" customFormat="false" ht="12.8" hidden="false" customHeight="false" outlineLevel="0" collapsed="false">
      <c r="A12388" s="0" t="s">
        <v>12</v>
      </c>
      <c r="B12388" s="0" t="n">
        <v>3889297</v>
      </c>
      <c r="C12388" s="0" t="n">
        <v>3889317</v>
      </c>
      <c r="D12388" s="0" t="s">
        <v>41116</v>
      </c>
      <c r="E12388" s="0" t="s">
        <v>41117</v>
      </c>
      <c r="F12388" s="0" t="s">
        <v>90</v>
      </c>
      <c r="G12388" s="0" t="s">
        <v>16</v>
      </c>
      <c r="H12388" s="0" t="n">
        <v>101</v>
      </c>
      <c r="I12388" s="0" t="s">
        <v>41127</v>
      </c>
      <c r="J12388" s="0" t="s">
        <v>41128</v>
      </c>
      <c r="K12388" s="0" t="s">
        <v>41129</v>
      </c>
      <c r="L12388" s="0" t="str">
        <f aca="false">HYPERLINK("https://www.ncbi.nlm.nih.gov/nuccore/CP000058.1?report=graph&amp;tracks=[key:gene_model_track,Options:GeneOnly]&amp;mk=3889399:3889418|offset_0|444444,3889370:3889389|offset_29|444444,3889347:3889366|offset_52|444444,3889298:3889317|offset_101|00cc00&amp;v=3889198:3889517&amp;c=444444", "offset 101")</f>
        <v>offset 101</v>
      </c>
    </row>
    <row r="12389" customFormat="false" ht="12.8" hidden="false" customHeight="false" outlineLevel="0" collapsed="false">
      <c r="A12389" s="0" t="s">
        <v>12</v>
      </c>
      <c r="B12389" s="0" t="n">
        <v>3890192</v>
      </c>
      <c r="C12389" s="0" t="n">
        <v>3890212</v>
      </c>
      <c r="D12389" s="0" t="s">
        <v>41130</v>
      </c>
      <c r="E12389" s="0" t="s">
        <v>41131</v>
      </c>
      <c r="F12389" s="0" t="s">
        <v>90</v>
      </c>
      <c r="G12389" s="0" t="s">
        <v>16</v>
      </c>
      <c r="H12389" s="0" t="n">
        <v>7</v>
      </c>
      <c r="I12389" s="0" t="s">
        <v>41132</v>
      </c>
      <c r="J12389" s="0" t="s">
        <v>41133</v>
      </c>
      <c r="K12389" s="0" t="s">
        <v>41134</v>
      </c>
      <c r="L12389" s="0" t="str">
        <f aca="false">HYPERLINK("https://www.ncbi.nlm.nih.gov/nuccore/CP000058.1?report=graph&amp;tracks=[key:gene_model_track,Options:GeneOnly]&amp;mk=3890193:3890212|offset_7|00cc00,3890148:3890167|offset_52|444444,3890105:3890124|offset_95|444444,3890081:3890100|offset_119|444444&amp;v=3889992:3890300&amp;c=444444", "offset 7")</f>
        <v>offset 7</v>
      </c>
    </row>
    <row r="12390" customFormat="false" ht="12.8" hidden="false" customHeight="false" outlineLevel="0" collapsed="false">
      <c r="A12390" s="0" t="s">
        <v>12</v>
      </c>
      <c r="B12390" s="0" t="n">
        <v>3890147</v>
      </c>
      <c r="C12390" s="0" t="n">
        <v>3890167</v>
      </c>
      <c r="D12390" s="0" t="s">
        <v>41130</v>
      </c>
      <c r="E12390" s="0" t="s">
        <v>41131</v>
      </c>
      <c r="F12390" s="0" t="s">
        <v>90</v>
      </c>
      <c r="G12390" s="0" t="s">
        <v>32</v>
      </c>
      <c r="H12390" s="0" t="n">
        <v>52</v>
      </c>
      <c r="I12390" s="0" t="s">
        <v>41135</v>
      </c>
      <c r="J12390" s="0" t="s">
        <v>41136</v>
      </c>
      <c r="K12390" s="0" t="s">
        <v>41137</v>
      </c>
      <c r="L12390" s="0" t="str">
        <f aca="false">HYPERLINK("https://www.ncbi.nlm.nih.gov/nuccore/CP000058.1?report=graph&amp;tracks=[key:gene_model_track,Options:GeneOnly]&amp;mk=3890193:3890212|offset_7|444444,3890148:3890167|offset_52|00cc00,3890105:3890124|offset_95|444444,3890081:3890100|offset_119|444444&amp;v=3889992:3890300&amp;c=444444", "offset 52")</f>
        <v>offset 52</v>
      </c>
    </row>
    <row r="12391" customFormat="false" ht="12.8" hidden="false" customHeight="false" outlineLevel="0" collapsed="false">
      <c r="A12391" s="0" t="s">
        <v>12</v>
      </c>
      <c r="B12391" s="0" t="n">
        <v>3890104</v>
      </c>
      <c r="C12391" s="0" t="n">
        <v>3890124</v>
      </c>
      <c r="D12391" s="0" t="s">
        <v>41130</v>
      </c>
      <c r="E12391" s="0" t="s">
        <v>41131</v>
      </c>
      <c r="F12391" s="0" t="s">
        <v>90</v>
      </c>
      <c r="G12391" s="0" t="s">
        <v>32</v>
      </c>
      <c r="H12391" s="0" t="n">
        <v>95</v>
      </c>
      <c r="I12391" s="0" t="s">
        <v>41138</v>
      </c>
      <c r="J12391" s="0" t="s">
        <v>41139</v>
      </c>
      <c r="K12391" s="0" t="s">
        <v>41140</v>
      </c>
      <c r="L12391" s="0" t="str">
        <f aca="false">HYPERLINK("https://www.ncbi.nlm.nih.gov/nuccore/CP000058.1?report=graph&amp;tracks=[key:gene_model_track,Options:GeneOnly]&amp;mk=3890193:3890212|offset_7|444444,3890148:3890167|offset_52|444444,3890105:3890124|offset_95|00cc00,3890081:3890100|offset_119|444444&amp;v=3889992:3890300&amp;c=444444", "offset 95")</f>
        <v>offset 95</v>
      </c>
    </row>
    <row r="12392" customFormat="false" ht="12.8" hidden="false" customHeight="false" outlineLevel="0" collapsed="false">
      <c r="A12392" s="0" t="s">
        <v>12</v>
      </c>
      <c r="B12392" s="0" t="n">
        <v>3890080</v>
      </c>
      <c r="C12392" s="0" t="n">
        <v>3890100</v>
      </c>
      <c r="D12392" s="0" t="s">
        <v>41130</v>
      </c>
      <c r="E12392" s="0" t="s">
        <v>41131</v>
      </c>
      <c r="F12392" s="0" t="s">
        <v>90</v>
      </c>
      <c r="G12392" s="0" t="s">
        <v>16</v>
      </c>
      <c r="H12392" s="0" t="n">
        <v>119</v>
      </c>
      <c r="I12392" s="0" t="s">
        <v>41141</v>
      </c>
      <c r="J12392" s="0" t="s">
        <v>41142</v>
      </c>
      <c r="K12392" s="0" t="s">
        <v>41143</v>
      </c>
      <c r="L12392" s="0" t="str">
        <f aca="false">HYPERLINK("https://www.ncbi.nlm.nih.gov/nuccore/CP000058.1?report=graph&amp;tracks=[key:gene_model_track,Options:GeneOnly]&amp;mk=3890193:3890212|offset_7|444444,3890148:3890167|offset_52|444444,3890105:3890124|offset_95|444444,3890081:3890100|offset_119|00cc00&amp;v=3889992:3890300&amp;c=444444", "offset 119")</f>
        <v>offset 119</v>
      </c>
    </row>
    <row r="12393" customFormat="false" ht="12.8" hidden="false" customHeight="false" outlineLevel="0" collapsed="false">
      <c r="A12393" s="0" t="s">
        <v>12</v>
      </c>
      <c r="B12393" s="0" t="n">
        <v>3890600</v>
      </c>
      <c r="C12393" s="0" t="n">
        <v>3890620</v>
      </c>
      <c r="D12393" s="0" t="s">
        <v>41144</v>
      </c>
      <c r="E12393" s="0" t="s">
        <v>41145</v>
      </c>
      <c r="F12393" s="0" t="s">
        <v>90</v>
      </c>
      <c r="G12393" s="0" t="s">
        <v>20</v>
      </c>
      <c r="H12393" s="0" t="n">
        <v>11</v>
      </c>
      <c r="I12393" s="0" t="s">
        <v>41146</v>
      </c>
      <c r="J12393" s="0" t="s">
        <v>41147</v>
      </c>
      <c r="K12393" s="0" t="s">
        <v>41148</v>
      </c>
      <c r="L12393" s="0" t="str">
        <f aca="false">HYPERLINK("https://www.ncbi.nlm.nih.gov/nuccore/CP000058.1?report=graph&amp;tracks=[key:gene_model_track,Options:GeneOnly]&amp;mk=3890601:3890620|offset_11|00cc00,3890533:3890552|offset_79|444444,3890503:3890522|offset_109|444444,3890476:3890495|offset_136|444444&amp;v=3890400:3890695&amp;c=444444", "offset 11")</f>
        <v>offset 11</v>
      </c>
    </row>
    <row r="12394" customFormat="false" ht="12.8" hidden="false" customHeight="false" outlineLevel="0" collapsed="false">
      <c r="A12394" s="0" t="s">
        <v>12</v>
      </c>
      <c r="B12394" s="0" t="n">
        <v>3890532</v>
      </c>
      <c r="C12394" s="0" t="n">
        <v>3890552</v>
      </c>
      <c r="D12394" s="0" t="s">
        <v>41144</v>
      </c>
      <c r="E12394" s="0" t="s">
        <v>41145</v>
      </c>
      <c r="F12394" s="0" t="s">
        <v>90</v>
      </c>
      <c r="G12394" s="0" t="s">
        <v>32</v>
      </c>
      <c r="H12394" s="0" t="n">
        <v>79</v>
      </c>
      <c r="I12394" s="0" t="s">
        <v>41149</v>
      </c>
      <c r="J12394" s="0" t="s">
        <v>41150</v>
      </c>
      <c r="K12394" s="0" t="s">
        <v>41151</v>
      </c>
      <c r="L12394" s="0" t="str">
        <f aca="false">HYPERLINK("https://www.ncbi.nlm.nih.gov/nuccore/CP000058.1?report=graph&amp;tracks=[key:gene_model_track,Options:GeneOnly]&amp;mk=3890601:3890620|offset_11|444444,3890533:3890552|offset_79|00cc00,3890503:3890522|offset_109|444444,3890476:3890495|offset_136|444444&amp;v=3890400:3890695&amp;c=444444", "offset 79")</f>
        <v>offset 79</v>
      </c>
    </row>
    <row r="12395" customFormat="false" ht="12.8" hidden="false" customHeight="false" outlineLevel="0" collapsed="false">
      <c r="A12395" s="0" t="s">
        <v>12</v>
      </c>
      <c r="B12395" s="0" t="n">
        <v>3890502</v>
      </c>
      <c r="C12395" s="0" t="n">
        <v>3890522</v>
      </c>
      <c r="D12395" s="0" t="s">
        <v>41144</v>
      </c>
      <c r="E12395" s="0" t="s">
        <v>41145</v>
      </c>
      <c r="F12395" s="0" t="s">
        <v>90</v>
      </c>
      <c r="G12395" s="0" t="s">
        <v>16</v>
      </c>
      <c r="H12395" s="0" t="n">
        <v>109</v>
      </c>
      <c r="I12395" s="0" t="s">
        <v>41152</v>
      </c>
      <c r="J12395" s="0" t="s">
        <v>41153</v>
      </c>
      <c r="K12395" s="0" t="s">
        <v>41154</v>
      </c>
      <c r="L12395" s="0" t="str">
        <f aca="false">HYPERLINK("https://www.ncbi.nlm.nih.gov/nuccore/CP000058.1?report=graph&amp;tracks=[key:gene_model_track,Options:GeneOnly]&amp;mk=3890601:3890620|offset_11|444444,3890533:3890552|offset_79|444444,3890503:3890522|offset_109|00cc00,3890476:3890495|offset_136|444444&amp;v=3890400:3890695&amp;c=444444", "offset 109")</f>
        <v>offset 109</v>
      </c>
    </row>
    <row r="12396" customFormat="false" ht="12.8" hidden="false" customHeight="false" outlineLevel="0" collapsed="false">
      <c r="A12396" s="0" t="s">
        <v>12</v>
      </c>
      <c r="B12396" s="0" t="n">
        <v>3890475</v>
      </c>
      <c r="C12396" s="0" t="n">
        <v>3890495</v>
      </c>
      <c r="D12396" s="0" t="s">
        <v>41144</v>
      </c>
      <c r="E12396" s="0" t="s">
        <v>41145</v>
      </c>
      <c r="F12396" s="0" t="s">
        <v>90</v>
      </c>
      <c r="G12396" s="0" t="s">
        <v>20</v>
      </c>
      <c r="H12396" s="0" t="n">
        <v>136</v>
      </c>
      <c r="I12396" s="0" t="s">
        <v>41155</v>
      </c>
      <c r="J12396" s="0" t="s">
        <v>41156</v>
      </c>
      <c r="K12396" s="0" t="s">
        <v>41157</v>
      </c>
      <c r="L12396" s="0" t="str">
        <f aca="false">HYPERLINK("https://www.ncbi.nlm.nih.gov/nuccore/CP000058.1?report=graph&amp;tracks=[key:gene_model_track,Options:GeneOnly]&amp;mk=3890601:3890620|offset_11|444444,3890533:3890552|offset_79|444444,3890503:3890522|offset_109|444444,3890476:3890495|offset_136|00cc00&amp;v=3890400:3890695&amp;c=444444", "offset 136")</f>
        <v>offset 136</v>
      </c>
    </row>
    <row r="12397" customFormat="false" ht="12.8" hidden="false" customHeight="false" outlineLevel="0" collapsed="false">
      <c r="A12397" s="0" t="s">
        <v>12</v>
      </c>
      <c r="B12397" s="0" t="n">
        <v>3891564</v>
      </c>
      <c r="C12397" s="0" t="n">
        <v>3891584</v>
      </c>
      <c r="D12397" s="0" t="s">
        <v>41158</v>
      </c>
      <c r="E12397" s="0" t="s">
        <v>41159</v>
      </c>
      <c r="F12397" s="0" t="s">
        <v>90</v>
      </c>
      <c r="G12397" s="0" t="s">
        <v>36</v>
      </c>
      <c r="H12397" s="0" t="n">
        <v>19</v>
      </c>
      <c r="I12397" s="0" t="s">
        <v>41160</v>
      </c>
      <c r="J12397" s="0" t="s">
        <v>41161</v>
      </c>
      <c r="K12397" s="0" t="s">
        <v>41162</v>
      </c>
      <c r="L12397" s="0" t="str">
        <f aca="false">HYPERLINK("https://www.ncbi.nlm.nih.gov/nuccore/CP000058.1?report=graph&amp;tracks=[key:gene_model_track,Options:GeneOnly]&amp;mk=3891565:3891584|offset_19|00cc00,3891527:3891546|offset_57|444444,3891485:3891504|offset_99|444444,3891456:3891475|offset_128|444444&amp;v=3891364:3891675&amp;c=444444", "offset 19")</f>
        <v>offset 19</v>
      </c>
    </row>
    <row r="12398" customFormat="false" ht="12.8" hidden="false" customHeight="false" outlineLevel="0" collapsed="false">
      <c r="A12398" s="0" t="s">
        <v>12</v>
      </c>
      <c r="B12398" s="0" t="n">
        <v>3891526</v>
      </c>
      <c r="C12398" s="0" t="n">
        <v>3891546</v>
      </c>
      <c r="D12398" s="0" t="s">
        <v>41158</v>
      </c>
      <c r="E12398" s="0" t="s">
        <v>41159</v>
      </c>
      <c r="F12398" s="0" t="s">
        <v>90</v>
      </c>
      <c r="G12398" s="0" t="s">
        <v>32</v>
      </c>
      <c r="H12398" s="0" t="n">
        <v>57</v>
      </c>
      <c r="I12398" s="0" t="s">
        <v>41163</v>
      </c>
      <c r="J12398" s="0" t="s">
        <v>41164</v>
      </c>
      <c r="K12398" s="0" t="s">
        <v>41165</v>
      </c>
      <c r="L12398" s="0" t="str">
        <f aca="false">HYPERLINK("https://www.ncbi.nlm.nih.gov/nuccore/CP000058.1?report=graph&amp;tracks=[key:gene_model_track,Options:GeneOnly]&amp;mk=3891565:3891584|offset_19|444444,3891527:3891546|offset_57|00cc00,3891485:3891504|offset_99|444444,3891456:3891475|offset_128|444444&amp;v=3891364:3891675&amp;c=444444", "offset 57")</f>
        <v>offset 57</v>
      </c>
    </row>
    <row r="12399" customFormat="false" ht="12.8" hidden="false" customHeight="false" outlineLevel="0" collapsed="false">
      <c r="A12399" s="0" t="s">
        <v>12</v>
      </c>
      <c r="B12399" s="0" t="n">
        <v>3891484</v>
      </c>
      <c r="C12399" s="0" t="n">
        <v>3891504</v>
      </c>
      <c r="D12399" s="0" t="s">
        <v>41158</v>
      </c>
      <c r="E12399" s="0" t="s">
        <v>41159</v>
      </c>
      <c r="F12399" s="0" t="s">
        <v>90</v>
      </c>
      <c r="G12399" s="0" t="s">
        <v>16</v>
      </c>
      <c r="H12399" s="0" t="n">
        <v>99</v>
      </c>
      <c r="I12399" s="0" t="s">
        <v>41166</v>
      </c>
      <c r="J12399" s="0" t="s">
        <v>41167</v>
      </c>
      <c r="K12399" s="0" t="s">
        <v>41168</v>
      </c>
      <c r="L12399" s="0" t="str">
        <f aca="false">HYPERLINK("https://www.ncbi.nlm.nih.gov/nuccore/CP000058.1?report=graph&amp;tracks=[key:gene_model_track,Options:GeneOnly]&amp;mk=3891565:3891584|offset_19|444444,3891527:3891546|offset_57|444444,3891485:3891504|offset_99|00cc00,3891456:3891475|offset_128|444444&amp;v=3891364:3891675&amp;c=444444", "offset 99")</f>
        <v>offset 99</v>
      </c>
    </row>
    <row r="12400" customFormat="false" ht="12.8" hidden="false" customHeight="false" outlineLevel="0" collapsed="false">
      <c r="A12400" s="0" t="s">
        <v>12</v>
      </c>
      <c r="B12400" s="0" t="n">
        <v>3891455</v>
      </c>
      <c r="C12400" s="0" t="n">
        <v>3891475</v>
      </c>
      <c r="D12400" s="0" t="s">
        <v>41158</v>
      </c>
      <c r="E12400" s="0" t="s">
        <v>41159</v>
      </c>
      <c r="F12400" s="0" t="s">
        <v>90</v>
      </c>
      <c r="G12400" s="0" t="s">
        <v>32</v>
      </c>
      <c r="H12400" s="0" t="n">
        <v>128</v>
      </c>
      <c r="I12400" s="0" t="s">
        <v>41169</v>
      </c>
      <c r="J12400" s="0" t="s">
        <v>41170</v>
      </c>
      <c r="K12400" s="0" t="s">
        <v>41171</v>
      </c>
      <c r="L12400" s="0" t="str">
        <f aca="false">HYPERLINK("https://www.ncbi.nlm.nih.gov/nuccore/CP000058.1?report=graph&amp;tracks=[key:gene_model_track,Options:GeneOnly]&amp;mk=3891565:3891584|offset_19|444444,3891527:3891546|offset_57|444444,3891485:3891504|offset_99|444444,3891456:3891475|offset_128|00cc00&amp;v=3891364:3891675&amp;c=444444", "offset 128")</f>
        <v>offset 128</v>
      </c>
    </row>
    <row r="12401" customFormat="false" ht="12.8" hidden="false" customHeight="false" outlineLevel="0" collapsed="false">
      <c r="A12401" s="0" t="s">
        <v>12</v>
      </c>
      <c r="B12401" s="0" t="n">
        <v>3892416</v>
      </c>
      <c r="C12401" s="0" t="n">
        <v>3892436</v>
      </c>
      <c r="D12401" s="0" t="s">
        <v>41172</v>
      </c>
      <c r="E12401" s="0" t="s">
        <v>41173</v>
      </c>
      <c r="F12401" s="0" t="s">
        <v>90</v>
      </c>
      <c r="G12401" s="0" t="s">
        <v>36</v>
      </c>
      <c r="H12401" s="0" t="n">
        <v>9</v>
      </c>
      <c r="I12401" s="0" t="s">
        <v>41174</v>
      </c>
      <c r="J12401" s="0" t="s">
        <v>41175</v>
      </c>
      <c r="K12401" s="0" t="s">
        <v>41176</v>
      </c>
      <c r="L12401" s="0" t="str">
        <f aca="false">HYPERLINK("https://www.ncbi.nlm.nih.gov/nuccore/CP000058.1?report=graph&amp;tracks=[key:gene_model_track,Options:GeneOnly]&amp;mk=3892417:3892436|offset_9|00cc00,3892395:3892414|offset_31|444444,3892341:3892360|offset_85|444444,3892302:3892321|offset_124|444444&amp;v=3892216:3892521&amp;c=444444", "offset 9")</f>
        <v>offset 9</v>
      </c>
    </row>
    <row r="12402" customFormat="false" ht="12.8" hidden="false" customHeight="false" outlineLevel="0" collapsed="false">
      <c r="A12402" s="0" t="s">
        <v>12</v>
      </c>
      <c r="B12402" s="0" t="n">
        <v>3892394</v>
      </c>
      <c r="C12402" s="0" t="n">
        <v>3892414</v>
      </c>
      <c r="D12402" s="0" t="s">
        <v>41172</v>
      </c>
      <c r="E12402" s="0" t="s">
        <v>41173</v>
      </c>
      <c r="F12402" s="0" t="s">
        <v>90</v>
      </c>
      <c r="G12402" s="0" t="s">
        <v>16</v>
      </c>
      <c r="H12402" s="0" t="n">
        <v>31</v>
      </c>
      <c r="I12402" s="0" t="s">
        <v>41177</v>
      </c>
      <c r="J12402" s="0" t="s">
        <v>41178</v>
      </c>
      <c r="K12402" s="0" t="s">
        <v>41179</v>
      </c>
      <c r="L12402" s="0" t="str">
        <f aca="false">HYPERLINK("https://www.ncbi.nlm.nih.gov/nuccore/CP000058.1?report=graph&amp;tracks=[key:gene_model_track,Options:GeneOnly]&amp;mk=3892417:3892436|offset_9|444444,3892395:3892414|offset_31|00cc00,3892341:3892360|offset_85|444444,3892302:3892321|offset_124|444444&amp;v=3892216:3892521&amp;c=444444", "offset 31")</f>
        <v>offset 31</v>
      </c>
    </row>
    <row r="12403" customFormat="false" ht="12.8" hidden="false" customHeight="false" outlineLevel="0" collapsed="false">
      <c r="A12403" s="0" t="s">
        <v>12</v>
      </c>
      <c r="B12403" s="0" t="n">
        <v>3892340</v>
      </c>
      <c r="C12403" s="0" t="n">
        <v>3892360</v>
      </c>
      <c r="D12403" s="0" t="s">
        <v>41172</v>
      </c>
      <c r="E12403" s="0" t="s">
        <v>41173</v>
      </c>
      <c r="F12403" s="0" t="s">
        <v>90</v>
      </c>
      <c r="G12403" s="0" t="s">
        <v>36</v>
      </c>
      <c r="H12403" s="0" t="n">
        <v>85</v>
      </c>
      <c r="I12403" s="0" t="s">
        <v>41180</v>
      </c>
      <c r="J12403" s="0" t="s">
        <v>41181</v>
      </c>
      <c r="K12403" s="0" t="s">
        <v>41182</v>
      </c>
      <c r="L12403" s="0" t="str">
        <f aca="false">HYPERLINK("https://www.ncbi.nlm.nih.gov/nuccore/CP000058.1?report=graph&amp;tracks=[key:gene_model_track,Options:GeneOnly]&amp;mk=3892417:3892436|offset_9|444444,3892395:3892414|offset_31|444444,3892341:3892360|offset_85|00cc00,3892302:3892321|offset_124|444444&amp;v=3892216:3892521&amp;c=444444", "offset 85")</f>
        <v>offset 85</v>
      </c>
    </row>
    <row r="12404" customFormat="false" ht="12.8" hidden="false" customHeight="false" outlineLevel="0" collapsed="false">
      <c r="A12404" s="0" t="s">
        <v>12</v>
      </c>
      <c r="B12404" s="0" t="n">
        <v>3892301</v>
      </c>
      <c r="C12404" s="0" t="n">
        <v>3892321</v>
      </c>
      <c r="D12404" s="0" t="s">
        <v>41172</v>
      </c>
      <c r="E12404" s="0" t="s">
        <v>41173</v>
      </c>
      <c r="F12404" s="0" t="s">
        <v>90</v>
      </c>
      <c r="G12404" s="0" t="s">
        <v>16</v>
      </c>
      <c r="H12404" s="0" t="n">
        <v>124</v>
      </c>
      <c r="I12404" s="0" t="s">
        <v>41183</v>
      </c>
      <c r="J12404" s="0" t="s">
        <v>41184</v>
      </c>
      <c r="K12404" s="0" t="s">
        <v>41185</v>
      </c>
      <c r="L12404" s="0" t="str">
        <f aca="false">HYPERLINK("https://www.ncbi.nlm.nih.gov/nuccore/CP000058.1?report=graph&amp;tracks=[key:gene_model_track,Options:GeneOnly]&amp;mk=3892417:3892436|offset_9|444444,3892395:3892414|offset_31|444444,3892341:3892360|offset_85|444444,3892302:3892321|offset_124|00cc00&amp;v=3892216:3892521&amp;c=444444", "offset 124")</f>
        <v>offset 124</v>
      </c>
    </row>
    <row r="12405" customFormat="false" ht="12.8" hidden="false" customHeight="false" outlineLevel="0" collapsed="false">
      <c r="A12405" s="0" t="s">
        <v>12</v>
      </c>
      <c r="B12405" s="0" t="n">
        <v>3893853</v>
      </c>
      <c r="C12405" s="0" t="n">
        <v>3893873</v>
      </c>
      <c r="D12405" s="0" t="s">
        <v>41186</v>
      </c>
      <c r="E12405" s="0" t="s">
        <v>41187</v>
      </c>
      <c r="F12405" s="0" t="s">
        <v>90</v>
      </c>
      <c r="G12405" s="0" t="s">
        <v>16</v>
      </c>
      <c r="H12405" s="0" t="n">
        <v>25</v>
      </c>
      <c r="I12405" s="0" t="s">
        <v>41188</v>
      </c>
      <c r="J12405" s="0" t="s">
        <v>41189</v>
      </c>
      <c r="K12405" s="0" t="s">
        <v>41190</v>
      </c>
      <c r="L12405" s="0" t="str">
        <f aca="false">HYPERLINK("https://www.ncbi.nlm.nih.gov/nuccore/CP000058.1?report=graph&amp;tracks=[key:gene_model_track,Options:GeneOnly]&amp;mk=3893854:3893873|offset_25|00cc00,3893806:3893825|offset_73|444444,3893784:3893803|offset_95|444444,3893752:3893771|offset_127|444444&amp;v=3893653:3893971&amp;c=444444", "offset 25")</f>
        <v>offset 25</v>
      </c>
    </row>
    <row r="12406" customFormat="false" ht="12.8" hidden="false" customHeight="false" outlineLevel="0" collapsed="false">
      <c r="A12406" s="0" t="s">
        <v>12</v>
      </c>
      <c r="B12406" s="0" t="n">
        <v>3893805</v>
      </c>
      <c r="C12406" s="0" t="n">
        <v>3893825</v>
      </c>
      <c r="D12406" s="0" t="s">
        <v>41186</v>
      </c>
      <c r="E12406" s="0" t="s">
        <v>41187</v>
      </c>
      <c r="F12406" s="0" t="s">
        <v>90</v>
      </c>
      <c r="G12406" s="0" t="s">
        <v>16</v>
      </c>
      <c r="H12406" s="0" t="n">
        <v>73</v>
      </c>
      <c r="I12406" s="0" t="s">
        <v>41191</v>
      </c>
      <c r="J12406" s="0" t="s">
        <v>41192</v>
      </c>
      <c r="K12406" s="0" t="s">
        <v>41193</v>
      </c>
      <c r="L12406" s="0" t="str">
        <f aca="false">HYPERLINK("https://www.ncbi.nlm.nih.gov/nuccore/CP000058.1?report=graph&amp;tracks=[key:gene_model_track,Options:GeneOnly]&amp;mk=3893854:3893873|offset_25|444444,3893806:3893825|offset_73|00cc00,3893784:3893803|offset_95|444444,3893752:3893771|offset_127|444444&amp;v=3893653:3893971&amp;c=444444", "offset 73")</f>
        <v>offset 73</v>
      </c>
    </row>
    <row r="12407" customFormat="false" ht="12.8" hidden="false" customHeight="false" outlineLevel="0" collapsed="false">
      <c r="A12407" s="0" t="s">
        <v>12</v>
      </c>
      <c r="B12407" s="0" t="n">
        <v>3893783</v>
      </c>
      <c r="C12407" s="0" t="n">
        <v>3893803</v>
      </c>
      <c r="D12407" s="0" t="s">
        <v>41186</v>
      </c>
      <c r="E12407" s="0" t="s">
        <v>41187</v>
      </c>
      <c r="F12407" s="0" t="s">
        <v>90</v>
      </c>
      <c r="G12407" s="0" t="s">
        <v>16</v>
      </c>
      <c r="H12407" s="0" t="n">
        <v>95</v>
      </c>
      <c r="I12407" s="0" t="s">
        <v>41194</v>
      </c>
      <c r="J12407" s="0" t="s">
        <v>41195</v>
      </c>
      <c r="K12407" s="0" t="s">
        <v>41196</v>
      </c>
      <c r="L12407" s="0" t="str">
        <f aca="false">HYPERLINK("https://www.ncbi.nlm.nih.gov/nuccore/CP000058.1?report=graph&amp;tracks=[key:gene_model_track,Options:GeneOnly]&amp;mk=3893854:3893873|offset_25|444444,3893806:3893825|offset_73|444444,3893784:3893803|offset_95|00cc00,3893752:3893771|offset_127|444444&amp;v=3893653:3893971&amp;c=444444", "offset 95")</f>
        <v>offset 95</v>
      </c>
    </row>
    <row r="12408" customFormat="false" ht="12.8" hidden="false" customHeight="false" outlineLevel="0" collapsed="false">
      <c r="A12408" s="0" t="s">
        <v>12</v>
      </c>
      <c r="B12408" s="0" t="n">
        <v>3893751</v>
      </c>
      <c r="C12408" s="0" t="n">
        <v>3893771</v>
      </c>
      <c r="D12408" s="0" t="s">
        <v>41186</v>
      </c>
      <c r="E12408" s="0" t="s">
        <v>41187</v>
      </c>
      <c r="F12408" s="0" t="s">
        <v>90</v>
      </c>
      <c r="G12408" s="0" t="s">
        <v>16</v>
      </c>
      <c r="H12408" s="0" t="n">
        <v>127</v>
      </c>
      <c r="I12408" s="0" t="s">
        <v>41197</v>
      </c>
      <c r="J12408" s="0" t="s">
        <v>41198</v>
      </c>
      <c r="K12408" s="0" t="s">
        <v>41199</v>
      </c>
      <c r="L12408" s="0" t="str">
        <f aca="false">HYPERLINK("https://www.ncbi.nlm.nih.gov/nuccore/CP000058.1?report=graph&amp;tracks=[key:gene_model_track,Options:GeneOnly]&amp;mk=3893854:3893873|offset_25|444444,3893806:3893825|offset_73|444444,3893784:3893803|offset_95|444444,3893752:3893771|offset_127|00cc00&amp;v=3893653:3893971&amp;c=444444", "offset 127")</f>
        <v>offset 127</v>
      </c>
    </row>
    <row r="12409" customFormat="false" ht="12.8" hidden="false" customHeight="false" outlineLevel="0" collapsed="false">
      <c r="A12409" s="0" t="s">
        <v>12</v>
      </c>
      <c r="B12409" s="0" t="n">
        <v>3895969</v>
      </c>
      <c r="C12409" s="0" t="n">
        <v>3895989</v>
      </c>
      <c r="D12409" s="0" t="s">
        <v>41200</v>
      </c>
      <c r="E12409" s="0" t="s">
        <v>41201</v>
      </c>
      <c r="F12409" s="0" t="s">
        <v>90</v>
      </c>
      <c r="G12409" s="0" t="s">
        <v>20</v>
      </c>
      <c r="H12409" s="0" t="n">
        <v>50</v>
      </c>
      <c r="I12409" s="0" t="s">
        <v>41202</v>
      </c>
      <c r="J12409" s="0" t="s">
        <v>41203</v>
      </c>
      <c r="K12409" s="0" t="s">
        <v>41204</v>
      </c>
      <c r="L12409" s="0" t="str">
        <f aca="false">HYPERLINK("https://www.ncbi.nlm.nih.gov/nuccore/CP000058.1?report=graph&amp;tracks=[key:gene_model_track,Options:GeneOnly]&amp;mk=3895970:3895989|offset_50|00cc00,3895906:3895925|offset_114|444444,3895860:3895879|offset_160|444444,3895816:3895835|offset_204|444444&amp;v=3895769:3896035&amp;c=444444", "offset 50")</f>
        <v>offset 50</v>
      </c>
    </row>
    <row r="12410" customFormat="false" ht="12.8" hidden="false" customHeight="false" outlineLevel="0" collapsed="false">
      <c r="A12410" s="0" t="s">
        <v>12</v>
      </c>
      <c r="B12410" s="0" t="n">
        <v>3895905</v>
      </c>
      <c r="C12410" s="0" t="n">
        <v>3895925</v>
      </c>
      <c r="D12410" s="0" t="s">
        <v>41200</v>
      </c>
      <c r="E12410" s="0" t="s">
        <v>41201</v>
      </c>
      <c r="F12410" s="0" t="s">
        <v>90</v>
      </c>
      <c r="G12410" s="0" t="s">
        <v>20</v>
      </c>
      <c r="H12410" s="0" t="n">
        <v>114</v>
      </c>
      <c r="I12410" s="0" t="s">
        <v>41205</v>
      </c>
      <c r="J12410" s="0" t="s">
        <v>41206</v>
      </c>
      <c r="K12410" s="0" t="s">
        <v>41207</v>
      </c>
      <c r="L12410" s="0" t="str">
        <f aca="false">HYPERLINK("https://www.ncbi.nlm.nih.gov/nuccore/CP000058.1?report=graph&amp;tracks=[key:gene_model_track,Options:GeneOnly]&amp;mk=3895970:3895989|offset_50|444444,3895906:3895925|offset_114|00cc00,3895860:3895879|offset_160|444444,3895816:3895835|offset_204|444444&amp;v=3895769:3896035&amp;c=444444", "offset 114")</f>
        <v>offset 114</v>
      </c>
    </row>
    <row r="12411" customFormat="false" ht="12.8" hidden="false" customHeight="false" outlineLevel="0" collapsed="false">
      <c r="A12411" s="0" t="s">
        <v>12</v>
      </c>
      <c r="B12411" s="0" t="n">
        <v>3895859</v>
      </c>
      <c r="C12411" s="0" t="n">
        <v>3895879</v>
      </c>
      <c r="D12411" s="0" t="s">
        <v>41200</v>
      </c>
      <c r="E12411" s="0" t="s">
        <v>41201</v>
      </c>
      <c r="F12411" s="0" t="s">
        <v>90</v>
      </c>
      <c r="G12411" s="0" t="s">
        <v>36</v>
      </c>
      <c r="H12411" s="0" t="n">
        <v>160</v>
      </c>
      <c r="I12411" s="0" t="s">
        <v>41208</v>
      </c>
      <c r="J12411" s="0" t="s">
        <v>41209</v>
      </c>
      <c r="K12411" s="0" t="s">
        <v>41210</v>
      </c>
      <c r="L12411" s="0" t="str">
        <f aca="false">HYPERLINK("https://www.ncbi.nlm.nih.gov/nuccore/CP000058.1?report=graph&amp;tracks=[key:gene_model_track,Options:GeneOnly]&amp;mk=3895970:3895989|offset_50|444444,3895906:3895925|offset_114|444444,3895860:3895879|offset_160|00cc00,3895816:3895835|offset_204|444444&amp;v=3895769:3896035&amp;c=444444", "offset 160")</f>
        <v>offset 160</v>
      </c>
    </row>
    <row r="12412" customFormat="false" ht="12.8" hidden="false" customHeight="false" outlineLevel="0" collapsed="false">
      <c r="A12412" s="0" t="s">
        <v>12</v>
      </c>
      <c r="B12412" s="0" t="n">
        <v>3895815</v>
      </c>
      <c r="C12412" s="0" t="n">
        <v>3895835</v>
      </c>
      <c r="D12412" s="0" t="s">
        <v>41200</v>
      </c>
      <c r="E12412" s="0" t="s">
        <v>41201</v>
      </c>
      <c r="F12412" s="0" t="s">
        <v>90</v>
      </c>
      <c r="G12412" s="0" t="s">
        <v>16</v>
      </c>
      <c r="H12412" s="0" t="n">
        <v>204</v>
      </c>
      <c r="I12412" s="0" t="s">
        <v>41211</v>
      </c>
      <c r="J12412" s="0" t="s">
        <v>41212</v>
      </c>
      <c r="K12412" s="0" t="s">
        <v>41213</v>
      </c>
      <c r="L12412" s="0" t="str">
        <f aca="false">HYPERLINK("https://www.ncbi.nlm.nih.gov/nuccore/CP000058.1?report=graph&amp;tracks=[key:gene_model_track,Options:GeneOnly]&amp;mk=3895970:3895989|offset_50|444444,3895906:3895925|offset_114|444444,3895860:3895879|offset_160|444444,3895816:3895835|offset_204|00cc00&amp;v=3895769:3896035&amp;c=444444", "offset 204")</f>
        <v>offset 204</v>
      </c>
    </row>
    <row r="12413" customFormat="false" ht="12.8" hidden="false" customHeight="false" outlineLevel="0" collapsed="false">
      <c r="A12413" s="0" t="s">
        <v>12</v>
      </c>
      <c r="B12413" s="0" t="n">
        <v>3897705</v>
      </c>
      <c r="C12413" s="0" t="n">
        <v>3897725</v>
      </c>
      <c r="D12413" s="0" t="s">
        <v>41214</v>
      </c>
      <c r="E12413" s="0" t="s">
        <v>41215</v>
      </c>
      <c r="F12413" s="0" t="s">
        <v>90</v>
      </c>
      <c r="G12413" s="0" t="s">
        <v>32</v>
      </c>
      <c r="H12413" s="0" t="n">
        <v>23</v>
      </c>
      <c r="I12413" s="0" t="s">
        <v>41216</v>
      </c>
      <c r="J12413" s="0" t="s">
        <v>41217</v>
      </c>
      <c r="K12413" s="0" t="s">
        <v>41218</v>
      </c>
      <c r="L12413" s="0" t="str">
        <f aca="false">HYPERLINK("https://www.ncbi.nlm.nih.gov/nuccore/CP000058.1?report=graph&amp;tracks=[key:gene_model_track,Options:GeneOnly]&amp;mk=3897706:3897725|offset_23|00cc00,3897686:3897705|offset_43|444444,3897662:3897681|offset_67|444444,3897635:3897654|offset_94|444444&amp;v=3897505:3897854&amp;c=444444", "offset 23")</f>
        <v>offset 23</v>
      </c>
    </row>
    <row r="12414" customFormat="false" ht="12.8" hidden="false" customHeight="false" outlineLevel="0" collapsed="false">
      <c r="A12414" s="0" t="s">
        <v>12</v>
      </c>
      <c r="B12414" s="0" t="n">
        <v>3897685</v>
      </c>
      <c r="C12414" s="0" t="n">
        <v>3897705</v>
      </c>
      <c r="D12414" s="0" t="s">
        <v>41214</v>
      </c>
      <c r="E12414" s="0" t="s">
        <v>41215</v>
      </c>
      <c r="F12414" s="0" t="s">
        <v>90</v>
      </c>
      <c r="G12414" s="0" t="s">
        <v>32</v>
      </c>
      <c r="H12414" s="0" t="n">
        <v>43</v>
      </c>
      <c r="I12414" s="0" t="s">
        <v>41219</v>
      </c>
      <c r="J12414" s="0" t="s">
        <v>41220</v>
      </c>
      <c r="K12414" s="0" t="s">
        <v>41221</v>
      </c>
      <c r="L12414" s="0" t="str">
        <f aca="false">HYPERLINK("https://www.ncbi.nlm.nih.gov/nuccore/CP000058.1?report=graph&amp;tracks=[key:gene_model_track,Options:GeneOnly]&amp;mk=3897706:3897725|offset_23|444444,3897686:3897705|offset_43|00cc00,3897662:3897681|offset_67|444444,3897635:3897654|offset_94|444444&amp;v=3897505:3897854&amp;c=444444", "offset 43")</f>
        <v>offset 43</v>
      </c>
    </row>
    <row r="12415" customFormat="false" ht="12.8" hidden="false" customHeight="false" outlineLevel="0" collapsed="false">
      <c r="A12415" s="0" t="s">
        <v>12</v>
      </c>
      <c r="B12415" s="0" t="n">
        <v>3897661</v>
      </c>
      <c r="C12415" s="0" t="n">
        <v>3897681</v>
      </c>
      <c r="D12415" s="0" t="s">
        <v>41214</v>
      </c>
      <c r="E12415" s="0" t="s">
        <v>41215</v>
      </c>
      <c r="F12415" s="0" t="s">
        <v>90</v>
      </c>
      <c r="G12415" s="0" t="s">
        <v>32</v>
      </c>
      <c r="H12415" s="0" t="n">
        <v>67</v>
      </c>
      <c r="I12415" s="0" t="s">
        <v>41222</v>
      </c>
      <c r="J12415" s="0" t="s">
        <v>41223</v>
      </c>
      <c r="K12415" s="0" t="s">
        <v>41224</v>
      </c>
      <c r="L12415" s="0" t="str">
        <f aca="false">HYPERLINK("https://www.ncbi.nlm.nih.gov/nuccore/CP000058.1?report=graph&amp;tracks=[key:gene_model_track,Options:GeneOnly]&amp;mk=3897706:3897725|offset_23|444444,3897686:3897705|offset_43|444444,3897662:3897681|offset_67|00cc00,3897635:3897654|offset_94|444444&amp;v=3897505:3897854&amp;c=444444", "offset 67")</f>
        <v>offset 67</v>
      </c>
    </row>
    <row r="12416" customFormat="false" ht="12.8" hidden="false" customHeight="false" outlineLevel="0" collapsed="false">
      <c r="A12416" s="0" t="s">
        <v>12</v>
      </c>
      <c r="B12416" s="0" t="n">
        <v>3897634</v>
      </c>
      <c r="C12416" s="0" t="n">
        <v>3897654</v>
      </c>
      <c r="D12416" s="0" t="s">
        <v>41214</v>
      </c>
      <c r="E12416" s="0" t="s">
        <v>41215</v>
      </c>
      <c r="F12416" s="0" t="s">
        <v>90</v>
      </c>
      <c r="G12416" s="0" t="s">
        <v>32</v>
      </c>
      <c r="H12416" s="0" t="n">
        <v>94</v>
      </c>
      <c r="I12416" s="0" t="s">
        <v>41225</v>
      </c>
      <c r="J12416" s="0" t="s">
        <v>41226</v>
      </c>
      <c r="K12416" s="0" t="s">
        <v>41227</v>
      </c>
      <c r="L12416" s="0" t="str">
        <f aca="false">HYPERLINK("https://www.ncbi.nlm.nih.gov/nuccore/CP000058.1?report=graph&amp;tracks=[key:gene_model_track,Options:GeneOnly]&amp;mk=3897706:3897725|offset_23|444444,3897686:3897705|offset_43|444444,3897662:3897681|offset_67|444444,3897635:3897654|offset_94|00cc00&amp;v=3897505:3897854&amp;c=444444", "offset 94")</f>
        <v>offset 94</v>
      </c>
    </row>
    <row r="12417" customFormat="false" ht="12.8" hidden="false" customHeight="false" outlineLevel="0" collapsed="false">
      <c r="A12417" s="0" t="s">
        <v>12</v>
      </c>
      <c r="B12417" s="0" t="n">
        <v>3898506</v>
      </c>
      <c r="C12417" s="0" t="n">
        <v>3898526</v>
      </c>
      <c r="D12417" s="0" t="s">
        <v>41228</v>
      </c>
      <c r="E12417" s="0" t="s">
        <v>41229</v>
      </c>
      <c r="F12417" s="0" t="s">
        <v>90</v>
      </c>
      <c r="G12417" s="0" t="s">
        <v>16</v>
      </c>
      <c r="H12417" s="0" t="n">
        <v>0</v>
      </c>
      <c r="I12417" s="0" t="s">
        <v>41230</v>
      </c>
      <c r="J12417" s="0" t="s">
        <v>41231</v>
      </c>
      <c r="K12417" s="0" t="s">
        <v>41232</v>
      </c>
      <c r="L12417" s="0" t="str">
        <f aca="false">HYPERLINK("https://www.ncbi.nlm.nih.gov/nuccore/CP000058.1?report=graph&amp;tracks=[key:gene_model_track,Options:GeneOnly]&amp;mk=3898507:3898526|offset_0|00cc00,3898484:3898503|offset_23|444444,3898450:3898469|offset_57|444444,3898419:3898438|offset_88|444444&amp;v=3898306:3898638&amp;c=444444", "offset 0")</f>
        <v>offset 0</v>
      </c>
    </row>
    <row r="12418" customFormat="false" ht="12.8" hidden="false" customHeight="false" outlineLevel="0" collapsed="false">
      <c r="A12418" s="0" t="s">
        <v>12</v>
      </c>
      <c r="B12418" s="0" t="n">
        <v>3898483</v>
      </c>
      <c r="C12418" s="0" t="n">
        <v>3898503</v>
      </c>
      <c r="D12418" s="0" t="s">
        <v>41228</v>
      </c>
      <c r="E12418" s="0" t="s">
        <v>41229</v>
      </c>
      <c r="F12418" s="0" t="s">
        <v>90</v>
      </c>
      <c r="G12418" s="0" t="s">
        <v>32</v>
      </c>
      <c r="H12418" s="0" t="n">
        <v>23</v>
      </c>
      <c r="I12418" s="0" t="s">
        <v>41233</v>
      </c>
      <c r="J12418" s="0" t="s">
        <v>41234</v>
      </c>
      <c r="K12418" s="0" t="s">
        <v>41235</v>
      </c>
      <c r="L12418" s="0" t="str">
        <f aca="false">HYPERLINK("https://www.ncbi.nlm.nih.gov/nuccore/CP000058.1?report=graph&amp;tracks=[key:gene_model_track,Options:GeneOnly]&amp;mk=3898507:3898526|offset_0|444444,3898484:3898503|offset_23|00cc00,3898450:3898469|offset_57|444444,3898419:3898438|offset_88|444444&amp;v=3898306:3898638&amp;c=444444", "offset 23")</f>
        <v>offset 23</v>
      </c>
    </row>
    <row r="12419" customFormat="false" ht="12.8" hidden="false" customHeight="false" outlineLevel="0" collapsed="false">
      <c r="A12419" s="0" t="s">
        <v>12</v>
      </c>
      <c r="B12419" s="0" t="n">
        <v>3898449</v>
      </c>
      <c r="C12419" s="0" t="n">
        <v>3898469</v>
      </c>
      <c r="D12419" s="0" t="s">
        <v>41228</v>
      </c>
      <c r="E12419" s="0" t="s">
        <v>41229</v>
      </c>
      <c r="F12419" s="0" t="s">
        <v>90</v>
      </c>
      <c r="G12419" s="0" t="s">
        <v>16</v>
      </c>
      <c r="H12419" s="0" t="n">
        <v>57</v>
      </c>
      <c r="I12419" s="0" t="s">
        <v>41236</v>
      </c>
      <c r="J12419" s="0" t="s">
        <v>41237</v>
      </c>
      <c r="K12419" s="0" t="s">
        <v>41238</v>
      </c>
      <c r="L12419" s="0" t="str">
        <f aca="false">HYPERLINK("https://www.ncbi.nlm.nih.gov/nuccore/CP000058.1?report=graph&amp;tracks=[key:gene_model_track,Options:GeneOnly]&amp;mk=3898507:3898526|offset_0|444444,3898484:3898503|offset_23|444444,3898450:3898469|offset_57|00cc00,3898419:3898438|offset_88|444444&amp;v=3898306:3898638&amp;c=444444", "offset 57")</f>
        <v>offset 57</v>
      </c>
    </row>
    <row r="12420" customFormat="false" ht="12.8" hidden="false" customHeight="false" outlineLevel="0" collapsed="false">
      <c r="A12420" s="0" t="s">
        <v>12</v>
      </c>
      <c r="B12420" s="0" t="n">
        <v>3898418</v>
      </c>
      <c r="C12420" s="0" t="n">
        <v>3898438</v>
      </c>
      <c r="D12420" s="0" t="s">
        <v>41228</v>
      </c>
      <c r="E12420" s="0" t="s">
        <v>41229</v>
      </c>
      <c r="F12420" s="0" t="s">
        <v>90</v>
      </c>
      <c r="G12420" s="0" t="s">
        <v>32</v>
      </c>
      <c r="H12420" s="0" t="n">
        <v>88</v>
      </c>
      <c r="I12420" s="0" t="s">
        <v>41239</v>
      </c>
      <c r="J12420" s="0" t="s">
        <v>41240</v>
      </c>
      <c r="K12420" s="0" t="s">
        <v>41241</v>
      </c>
      <c r="L12420" s="0" t="str">
        <f aca="false">HYPERLINK("https://www.ncbi.nlm.nih.gov/nuccore/CP000058.1?report=graph&amp;tracks=[key:gene_model_track,Options:GeneOnly]&amp;mk=3898507:3898526|offset_0|444444,3898484:3898503|offset_23|444444,3898450:3898469|offset_57|444444,3898419:3898438|offset_88|00cc00&amp;v=3898306:3898638&amp;c=444444", "offset 88")</f>
        <v>offset 88</v>
      </c>
    </row>
    <row r="12421" customFormat="false" ht="12.8" hidden="false" customHeight="false" outlineLevel="0" collapsed="false">
      <c r="A12421" s="0" t="s">
        <v>12</v>
      </c>
      <c r="B12421" s="0" t="n">
        <v>3898791</v>
      </c>
      <c r="C12421" s="0" t="n">
        <v>3898811</v>
      </c>
      <c r="D12421" s="0" t="s">
        <v>41242</v>
      </c>
      <c r="E12421" s="0" t="s">
        <v>41243</v>
      </c>
      <c r="F12421" s="0" t="s">
        <v>90</v>
      </c>
      <c r="G12421" s="0" t="s">
        <v>16</v>
      </c>
      <c r="H12421" s="0" t="n">
        <v>0</v>
      </c>
      <c r="I12421" s="0" t="s">
        <v>41244</v>
      </c>
      <c r="J12421" s="0" t="s">
        <v>41245</v>
      </c>
      <c r="K12421" s="0" t="s">
        <v>41246</v>
      </c>
      <c r="L12421" s="0" t="str">
        <f aca="false">HYPERLINK("https://www.ncbi.nlm.nih.gov/nuccore/CP000058.1?report=graph&amp;tracks=[key:gene_model_track,Options:GeneOnly]&amp;mk=3898792:3898811|offset_0|00cc00,3898740:3898759|offset_52|444444,3898711:3898730|offset_81|444444,3898668:3898687|offset_124|444444&amp;v=3898591:3898887&amp;c=444444", "offset 0")</f>
        <v>offset 0</v>
      </c>
    </row>
    <row r="12422" customFormat="false" ht="12.8" hidden="false" customHeight="false" outlineLevel="0" collapsed="false">
      <c r="A12422" s="0" t="s">
        <v>12</v>
      </c>
      <c r="B12422" s="0" t="n">
        <v>3898739</v>
      </c>
      <c r="C12422" s="0" t="n">
        <v>3898759</v>
      </c>
      <c r="D12422" s="0" t="s">
        <v>41242</v>
      </c>
      <c r="E12422" s="0" t="s">
        <v>41243</v>
      </c>
      <c r="F12422" s="0" t="s">
        <v>90</v>
      </c>
      <c r="G12422" s="0" t="s">
        <v>32</v>
      </c>
      <c r="H12422" s="0" t="n">
        <v>52</v>
      </c>
      <c r="I12422" s="0" t="s">
        <v>41247</v>
      </c>
      <c r="J12422" s="0" t="s">
        <v>41248</v>
      </c>
      <c r="K12422" s="0" t="s">
        <v>41249</v>
      </c>
      <c r="L12422" s="0" t="str">
        <f aca="false">HYPERLINK("https://www.ncbi.nlm.nih.gov/nuccore/CP000058.1?report=graph&amp;tracks=[key:gene_model_track,Options:GeneOnly]&amp;mk=3898792:3898811|offset_0|444444,3898740:3898759|offset_52|00cc00,3898711:3898730|offset_81|444444,3898668:3898687|offset_124|444444&amp;v=3898591:3898887&amp;c=444444", "offset 52")</f>
        <v>offset 52</v>
      </c>
    </row>
    <row r="12423" customFormat="false" ht="12.8" hidden="false" customHeight="false" outlineLevel="0" collapsed="false">
      <c r="A12423" s="0" t="s">
        <v>12</v>
      </c>
      <c r="B12423" s="0" t="n">
        <v>3898710</v>
      </c>
      <c r="C12423" s="0" t="n">
        <v>3898730</v>
      </c>
      <c r="D12423" s="0" t="s">
        <v>41242</v>
      </c>
      <c r="E12423" s="0" t="s">
        <v>41243</v>
      </c>
      <c r="F12423" s="0" t="s">
        <v>90</v>
      </c>
      <c r="G12423" s="0" t="s">
        <v>16</v>
      </c>
      <c r="H12423" s="0" t="n">
        <v>81</v>
      </c>
      <c r="I12423" s="0" t="s">
        <v>41250</v>
      </c>
      <c r="J12423" s="0" t="s">
        <v>41251</v>
      </c>
      <c r="K12423" s="0" t="s">
        <v>41252</v>
      </c>
      <c r="L12423" s="0" t="str">
        <f aca="false">HYPERLINK("https://www.ncbi.nlm.nih.gov/nuccore/CP000058.1?report=graph&amp;tracks=[key:gene_model_track,Options:GeneOnly]&amp;mk=3898792:3898811|offset_0|444444,3898740:3898759|offset_52|444444,3898711:3898730|offset_81|00cc00,3898668:3898687|offset_124|444444&amp;v=3898591:3898887&amp;c=444444", "offset 81")</f>
        <v>offset 81</v>
      </c>
    </row>
    <row r="12424" customFormat="false" ht="12.8" hidden="false" customHeight="false" outlineLevel="0" collapsed="false">
      <c r="A12424" s="0" t="s">
        <v>12</v>
      </c>
      <c r="B12424" s="0" t="n">
        <v>3898667</v>
      </c>
      <c r="C12424" s="0" t="n">
        <v>3898687</v>
      </c>
      <c r="D12424" s="0" t="s">
        <v>41242</v>
      </c>
      <c r="E12424" s="0" t="s">
        <v>41243</v>
      </c>
      <c r="F12424" s="0" t="s">
        <v>90</v>
      </c>
      <c r="G12424" s="0" t="s">
        <v>32</v>
      </c>
      <c r="H12424" s="0" t="n">
        <v>124</v>
      </c>
      <c r="I12424" s="0" t="s">
        <v>41253</v>
      </c>
      <c r="J12424" s="0" t="s">
        <v>41254</v>
      </c>
      <c r="K12424" s="0" t="s">
        <v>41255</v>
      </c>
      <c r="L12424" s="0" t="str">
        <f aca="false">HYPERLINK("https://www.ncbi.nlm.nih.gov/nuccore/CP000058.1?report=graph&amp;tracks=[key:gene_model_track,Options:GeneOnly]&amp;mk=3898792:3898811|offset_0|444444,3898740:3898759|offset_52|444444,3898711:3898730|offset_81|444444,3898668:3898687|offset_124|00cc00&amp;v=3898591:3898887&amp;c=444444", "offset 124")</f>
        <v>offset 124</v>
      </c>
    </row>
    <row r="12425" customFormat="false" ht="12.8" hidden="false" customHeight="false" outlineLevel="0" collapsed="false">
      <c r="A12425" s="0" t="s">
        <v>12</v>
      </c>
      <c r="B12425" s="0" t="n">
        <v>3899518</v>
      </c>
      <c r="C12425" s="0" t="n">
        <v>3899538</v>
      </c>
      <c r="D12425" s="0" t="s">
        <v>41256</v>
      </c>
      <c r="E12425" s="0" t="s">
        <v>41257</v>
      </c>
      <c r="F12425" s="0" t="s">
        <v>90</v>
      </c>
      <c r="G12425" s="0" t="s">
        <v>20</v>
      </c>
      <c r="H12425" s="0" t="n">
        <v>51</v>
      </c>
      <c r="I12425" s="0" t="s">
        <v>41258</v>
      </c>
      <c r="J12425" s="0" t="s">
        <v>41259</v>
      </c>
      <c r="K12425" s="0" t="s">
        <v>41260</v>
      </c>
      <c r="L12425" s="0" t="str">
        <f aca="false">HYPERLINK("https://www.ncbi.nlm.nih.gov/nuccore/CP000058.1?report=graph&amp;tracks=[key:gene_model_track,Options:GeneOnly]&amp;mk=3899519:3899538|offset_51|00cc00,3899498:3899517|offset_72|444444,3899470:3899489|offset_100|444444,3899424:3899443|offset_146|444444&amp;v=3899318:3899643&amp;c=444444", "offset 51")</f>
        <v>offset 51</v>
      </c>
    </row>
    <row r="12426" customFormat="false" ht="12.8" hidden="false" customHeight="false" outlineLevel="0" collapsed="false">
      <c r="A12426" s="0" t="s">
        <v>12</v>
      </c>
      <c r="B12426" s="0" t="n">
        <v>3899497</v>
      </c>
      <c r="C12426" s="0" t="n">
        <v>3899517</v>
      </c>
      <c r="D12426" s="0" t="s">
        <v>41256</v>
      </c>
      <c r="E12426" s="0" t="s">
        <v>41257</v>
      </c>
      <c r="F12426" s="0" t="s">
        <v>90</v>
      </c>
      <c r="G12426" s="0" t="s">
        <v>16</v>
      </c>
      <c r="H12426" s="0" t="n">
        <v>72</v>
      </c>
      <c r="I12426" s="0" t="s">
        <v>41261</v>
      </c>
      <c r="J12426" s="0" t="s">
        <v>41262</v>
      </c>
      <c r="K12426" s="0" t="s">
        <v>41263</v>
      </c>
      <c r="L12426" s="0" t="str">
        <f aca="false">HYPERLINK("https://www.ncbi.nlm.nih.gov/nuccore/CP000058.1?report=graph&amp;tracks=[key:gene_model_track,Options:GeneOnly]&amp;mk=3899519:3899538|offset_51|444444,3899498:3899517|offset_72|00cc00,3899470:3899489|offset_100|444444,3899424:3899443|offset_146|444444&amp;v=3899318:3899643&amp;c=444444", "offset 72")</f>
        <v>offset 72</v>
      </c>
    </row>
    <row r="12427" customFormat="false" ht="12.8" hidden="false" customHeight="false" outlineLevel="0" collapsed="false">
      <c r="A12427" s="0" t="s">
        <v>12</v>
      </c>
      <c r="B12427" s="0" t="n">
        <v>3899469</v>
      </c>
      <c r="C12427" s="0" t="n">
        <v>3899489</v>
      </c>
      <c r="D12427" s="0" t="s">
        <v>41256</v>
      </c>
      <c r="E12427" s="0" t="s">
        <v>41257</v>
      </c>
      <c r="F12427" s="0" t="s">
        <v>90</v>
      </c>
      <c r="G12427" s="0" t="s">
        <v>32</v>
      </c>
      <c r="H12427" s="0" t="n">
        <v>100</v>
      </c>
      <c r="I12427" s="0" t="s">
        <v>41264</v>
      </c>
      <c r="J12427" s="0" t="s">
        <v>41265</v>
      </c>
      <c r="K12427" s="0" t="s">
        <v>41266</v>
      </c>
      <c r="L12427" s="0" t="str">
        <f aca="false">HYPERLINK("https://www.ncbi.nlm.nih.gov/nuccore/CP000058.1?report=graph&amp;tracks=[key:gene_model_track,Options:GeneOnly]&amp;mk=3899519:3899538|offset_51|444444,3899498:3899517|offset_72|444444,3899470:3899489|offset_100|00cc00,3899424:3899443|offset_146|444444&amp;v=3899318:3899643&amp;c=444444", "offset 100")</f>
        <v>offset 100</v>
      </c>
    </row>
    <row r="12428" customFormat="false" ht="12.8" hidden="false" customHeight="false" outlineLevel="0" collapsed="false">
      <c r="A12428" s="0" t="s">
        <v>12</v>
      </c>
      <c r="B12428" s="0" t="n">
        <v>3899423</v>
      </c>
      <c r="C12428" s="0" t="n">
        <v>3899443</v>
      </c>
      <c r="D12428" s="0" t="s">
        <v>41256</v>
      </c>
      <c r="E12428" s="0" t="s">
        <v>41257</v>
      </c>
      <c r="F12428" s="0" t="s">
        <v>90</v>
      </c>
      <c r="G12428" s="0" t="s">
        <v>20</v>
      </c>
      <c r="H12428" s="0" t="n">
        <v>146</v>
      </c>
      <c r="I12428" s="0" t="s">
        <v>41267</v>
      </c>
      <c r="J12428" s="0" t="s">
        <v>41268</v>
      </c>
      <c r="K12428" s="0" t="s">
        <v>41269</v>
      </c>
      <c r="L12428" s="0" t="str">
        <f aca="false">HYPERLINK("https://www.ncbi.nlm.nih.gov/nuccore/CP000058.1?report=graph&amp;tracks=[key:gene_model_track,Options:GeneOnly]&amp;mk=3899519:3899538|offset_51|444444,3899498:3899517|offset_72|444444,3899470:3899489|offset_100|444444,3899424:3899443|offset_146|00cc00&amp;v=3899318:3899643&amp;c=444444", "offset 146")</f>
        <v>offset 146</v>
      </c>
    </row>
    <row r="12429" customFormat="false" ht="12.8" hidden="false" customHeight="false" outlineLevel="0" collapsed="false">
      <c r="A12429" s="0" t="s">
        <v>12</v>
      </c>
      <c r="B12429" s="0" t="n">
        <v>3899978</v>
      </c>
      <c r="C12429" s="0" t="n">
        <v>3899998</v>
      </c>
      <c r="D12429" s="0" t="s">
        <v>41270</v>
      </c>
      <c r="E12429" s="0" t="s">
        <v>41271</v>
      </c>
      <c r="F12429" s="0" t="s">
        <v>90</v>
      </c>
      <c r="G12429" s="0" t="s">
        <v>36</v>
      </c>
      <c r="H12429" s="0" t="n">
        <v>31</v>
      </c>
      <c r="I12429" s="0" t="s">
        <v>41272</v>
      </c>
      <c r="J12429" s="0" t="s">
        <v>41273</v>
      </c>
      <c r="K12429" s="0" t="s">
        <v>41274</v>
      </c>
      <c r="L12429" s="0" t="str">
        <f aca="false">HYPERLINK("https://www.ncbi.nlm.nih.gov/nuccore/CP000058.1?report=graph&amp;tracks=[key:gene_model_track,Options:GeneOnly]&amp;mk=3899979:3899998|offset_31|00cc00,3899955:3899974|offset_55|444444,3899932:3899951|offset_78|444444,3899907:3899926|offset_103|444444&amp;v=3899778:3900126&amp;c=444444", "offset 31")</f>
        <v>offset 31</v>
      </c>
    </row>
    <row r="12430" customFormat="false" ht="12.8" hidden="false" customHeight="false" outlineLevel="0" collapsed="false">
      <c r="A12430" s="0" t="s">
        <v>12</v>
      </c>
      <c r="B12430" s="0" t="n">
        <v>3899954</v>
      </c>
      <c r="C12430" s="0" t="n">
        <v>3899974</v>
      </c>
      <c r="D12430" s="0" t="s">
        <v>41270</v>
      </c>
      <c r="E12430" s="0" t="s">
        <v>41271</v>
      </c>
      <c r="F12430" s="0" t="s">
        <v>90</v>
      </c>
      <c r="G12430" s="0" t="s">
        <v>16</v>
      </c>
      <c r="H12430" s="0" t="n">
        <v>55</v>
      </c>
      <c r="I12430" s="0" t="s">
        <v>41275</v>
      </c>
      <c r="J12430" s="0" t="s">
        <v>41276</v>
      </c>
      <c r="K12430" s="0" t="s">
        <v>41277</v>
      </c>
      <c r="L12430" s="0" t="str">
        <f aca="false">HYPERLINK("https://www.ncbi.nlm.nih.gov/nuccore/CP000058.1?report=graph&amp;tracks=[key:gene_model_track,Options:GeneOnly]&amp;mk=3899979:3899998|offset_31|444444,3899955:3899974|offset_55|00cc00,3899932:3899951|offset_78|444444,3899907:3899926|offset_103|444444&amp;v=3899778:3900126&amp;c=444444", "offset 55")</f>
        <v>offset 55</v>
      </c>
    </row>
    <row r="12431" customFormat="false" ht="12.8" hidden="false" customHeight="false" outlineLevel="0" collapsed="false">
      <c r="A12431" s="0" t="s">
        <v>12</v>
      </c>
      <c r="B12431" s="0" t="n">
        <v>3899931</v>
      </c>
      <c r="C12431" s="0" t="n">
        <v>3899951</v>
      </c>
      <c r="D12431" s="0" t="s">
        <v>41270</v>
      </c>
      <c r="E12431" s="0" t="s">
        <v>41271</v>
      </c>
      <c r="F12431" s="0" t="s">
        <v>90</v>
      </c>
      <c r="G12431" s="0" t="s">
        <v>20</v>
      </c>
      <c r="H12431" s="0" t="n">
        <v>78</v>
      </c>
      <c r="I12431" s="0" t="s">
        <v>41278</v>
      </c>
      <c r="J12431" s="0" t="s">
        <v>41279</v>
      </c>
      <c r="K12431" s="0" t="s">
        <v>41280</v>
      </c>
      <c r="L12431" s="0" t="str">
        <f aca="false">HYPERLINK("https://www.ncbi.nlm.nih.gov/nuccore/CP000058.1?report=graph&amp;tracks=[key:gene_model_track,Options:GeneOnly]&amp;mk=3899979:3899998|offset_31|444444,3899955:3899974|offset_55|444444,3899932:3899951|offset_78|00cc00,3899907:3899926|offset_103|444444&amp;v=3899778:3900126&amp;c=444444", "offset 78")</f>
        <v>offset 78</v>
      </c>
    </row>
    <row r="12432" customFormat="false" ht="12.8" hidden="false" customHeight="false" outlineLevel="0" collapsed="false">
      <c r="A12432" s="0" t="s">
        <v>12</v>
      </c>
      <c r="B12432" s="0" t="n">
        <v>3899906</v>
      </c>
      <c r="C12432" s="0" t="n">
        <v>3899926</v>
      </c>
      <c r="D12432" s="0" t="s">
        <v>41270</v>
      </c>
      <c r="E12432" s="0" t="s">
        <v>41271</v>
      </c>
      <c r="F12432" s="0" t="s">
        <v>90</v>
      </c>
      <c r="G12432" s="0" t="s">
        <v>16</v>
      </c>
      <c r="H12432" s="0" t="n">
        <v>103</v>
      </c>
      <c r="I12432" s="0" t="s">
        <v>41281</v>
      </c>
      <c r="J12432" s="0" t="s">
        <v>41282</v>
      </c>
      <c r="K12432" s="0" t="s">
        <v>41283</v>
      </c>
      <c r="L12432" s="0" t="str">
        <f aca="false">HYPERLINK("https://www.ncbi.nlm.nih.gov/nuccore/CP000058.1?report=graph&amp;tracks=[key:gene_model_track,Options:GeneOnly]&amp;mk=3899979:3899998|offset_31|444444,3899955:3899974|offset_55|444444,3899932:3899951|offset_78|444444,3899907:3899926|offset_103|00cc00&amp;v=3899778:3900126&amp;c=444444", "offset 103")</f>
        <v>offset 103</v>
      </c>
    </row>
    <row r="12433" customFormat="false" ht="12.8" hidden="false" customHeight="false" outlineLevel="0" collapsed="false">
      <c r="A12433" s="0" t="s">
        <v>12</v>
      </c>
      <c r="B12433" s="0" t="n">
        <v>3900419</v>
      </c>
      <c r="C12433" s="0" t="n">
        <v>3900439</v>
      </c>
      <c r="D12433" s="0" t="s">
        <v>41284</v>
      </c>
      <c r="E12433" s="0" t="s">
        <v>41285</v>
      </c>
      <c r="F12433" s="0" t="s">
        <v>90</v>
      </c>
      <c r="G12433" s="0" t="s">
        <v>16</v>
      </c>
      <c r="H12433" s="0" t="n">
        <v>49</v>
      </c>
      <c r="I12433" s="0" t="s">
        <v>41286</v>
      </c>
      <c r="J12433" s="0" t="s">
        <v>41287</v>
      </c>
      <c r="K12433" s="0" t="s">
        <v>41288</v>
      </c>
      <c r="L12433" s="0" t="str">
        <f aca="false">HYPERLINK("https://www.ncbi.nlm.nih.gov/nuccore/CP000058.1?report=graph&amp;tracks=[key:gene_model_track,Options:GeneOnly]&amp;mk=3900420:3900439|offset_49|00cc00,3900329:3900348|offset_140|444444,3900298:3900317|offset_171|444444,3900265:3900284|offset_204|444444&amp;v=3900219:3900484&amp;c=444444", "offset 49")</f>
        <v>offset 49</v>
      </c>
    </row>
    <row r="12434" customFormat="false" ht="12.8" hidden="false" customHeight="false" outlineLevel="0" collapsed="false">
      <c r="A12434" s="0" t="s">
        <v>12</v>
      </c>
      <c r="B12434" s="0" t="n">
        <v>3900328</v>
      </c>
      <c r="C12434" s="0" t="n">
        <v>3900348</v>
      </c>
      <c r="D12434" s="0" t="s">
        <v>41284</v>
      </c>
      <c r="E12434" s="0" t="s">
        <v>41285</v>
      </c>
      <c r="F12434" s="0" t="s">
        <v>90</v>
      </c>
      <c r="G12434" s="0" t="s">
        <v>16</v>
      </c>
      <c r="H12434" s="0" t="n">
        <v>140</v>
      </c>
      <c r="I12434" s="0" t="s">
        <v>41289</v>
      </c>
      <c r="J12434" s="0" t="s">
        <v>41290</v>
      </c>
      <c r="K12434" s="0" t="s">
        <v>41291</v>
      </c>
      <c r="L12434" s="0" t="str">
        <f aca="false">HYPERLINK("https://www.ncbi.nlm.nih.gov/nuccore/CP000058.1?report=graph&amp;tracks=[key:gene_model_track,Options:GeneOnly]&amp;mk=3900420:3900439|offset_49|444444,3900329:3900348|offset_140|00cc00,3900298:3900317|offset_171|444444,3900265:3900284|offset_204|444444&amp;v=3900219:3900484&amp;c=444444", "offset 140")</f>
        <v>offset 140</v>
      </c>
    </row>
    <row r="12435" customFormat="false" ht="12.8" hidden="false" customHeight="false" outlineLevel="0" collapsed="false">
      <c r="A12435" s="0" t="s">
        <v>12</v>
      </c>
      <c r="B12435" s="0" t="n">
        <v>3900297</v>
      </c>
      <c r="C12435" s="0" t="n">
        <v>3900317</v>
      </c>
      <c r="D12435" s="0" t="s">
        <v>41284</v>
      </c>
      <c r="E12435" s="0" t="s">
        <v>41285</v>
      </c>
      <c r="F12435" s="0" t="s">
        <v>90</v>
      </c>
      <c r="G12435" s="0" t="s">
        <v>16</v>
      </c>
      <c r="H12435" s="0" t="n">
        <v>171</v>
      </c>
      <c r="I12435" s="0" t="s">
        <v>41292</v>
      </c>
      <c r="J12435" s="0" t="s">
        <v>41293</v>
      </c>
      <c r="K12435" s="0" t="s">
        <v>41294</v>
      </c>
      <c r="L12435" s="0" t="str">
        <f aca="false">HYPERLINK("https://www.ncbi.nlm.nih.gov/nuccore/CP000058.1?report=graph&amp;tracks=[key:gene_model_track,Options:GeneOnly]&amp;mk=3900420:3900439|offset_49|444444,3900329:3900348|offset_140|444444,3900298:3900317|offset_171|00cc00,3900265:3900284|offset_204|444444&amp;v=3900219:3900484&amp;c=444444", "offset 171")</f>
        <v>offset 171</v>
      </c>
    </row>
    <row r="12436" customFormat="false" ht="12.8" hidden="false" customHeight="false" outlineLevel="0" collapsed="false">
      <c r="A12436" s="0" t="s">
        <v>12</v>
      </c>
      <c r="B12436" s="0" t="n">
        <v>3900264</v>
      </c>
      <c r="C12436" s="0" t="n">
        <v>3900284</v>
      </c>
      <c r="D12436" s="0" t="s">
        <v>41284</v>
      </c>
      <c r="E12436" s="0" t="s">
        <v>41285</v>
      </c>
      <c r="F12436" s="0" t="s">
        <v>90</v>
      </c>
      <c r="G12436" s="0" t="s">
        <v>36</v>
      </c>
      <c r="H12436" s="0" t="n">
        <v>204</v>
      </c>
      <c r="I12436" s="0" t="s">
        <v>41295</v>
      </c>
      <c r="J12436" s="0" t="s">
        <v>41296</v>
      </c>
      <c r="K12436" s="0" t="s">
        <v>41297</v>
      </c>
      <c r="L12436" s="0" t="str">
        <f aca="false">HYPERLINK("https://www.ncbi.nlm.nih.gov/nuccore/CP000058.1?report=graph&amp;tracks=[key:gene_model_track,Options:GeneOnly]&amp;mk=3900420:3900439|offset_49|444444,3900329:3900348|offset_140|444444,3900298:3900317|offset_171|444444,3900265:3900284|offset_204|00cc00&amp;v=3900219:3900484&amp;c=444444", "offset 204")</f>
        <v>offset 204</v>
      </c>
    </row>
    <row r="12437" customFormat="false" ht="12.8" hidden="false" customHeight="false" outlineLevel="0" collapsed="false">
      <c r="A12437" s="0" t="s">
        <v>12</v>
      </c>
      <c r="B12437" s="0" t="n">
        <v>3901491</v>
      </c>
      <c r="C12437" s="0" t="n">
        <v>3901511</v>
      </c>
      <c r="D12437" s="0" t="s">
        <v>41298</v>
      </c>
      <c r="E12437" s="0" t="s">
        <v>41299</v>
      </c>
      <c r="F12437" s="0" t="s">
        <v>90</v>
      </c>
      <c r="G12437" s="0" t="s">
        <v>16</v>
      </c>
      <c r="H12437" s="0" t="n">
        <v>7</v>
      </c>
      <c r="I12437" s="0" t="s">
        <v>41300</v>
      </c>
      <c r="J12437" s="0" t="s">
        <v>41301</v>
      </c>
      <c r="K12437" s="0" t="s">
        <v>41302</v>
      </c>
      <c r="L12437" s="0" t="str">
        <f aca="false">HYPERLINK("https://www.ncbi.nlm.nih.gov/nuccore/CP000058.1?report=graph&amp;tracks=[key:gene_model_track,Options:GeneOnly]&amp;mk=3901492:3901511|offset_7|00cc00,3901425:3901444|offset_74|444444,3901403:3901422|offset_96|444444,3901380:3901399|offset_119|444444&amp;v=3901291:3901599&amp;c=444444", "offset 7")</f>
        <v>offset 7</v>
      </c>
    </row>
    <row r="12438" customFormat="false" ht="12.8" hidden="false" customHeight="false" outlineLevel="0" collapsed="false">
      <c r="A12438" s="0" t="s">
        <v>12</v>
      </c>
      <c r="B12438" s="0" t="n">
        <v>3901424</v>
      </c>
      <c r="C12438" s="0" t="n">
        <v>3901444</v>
      </c>
      <c r="D12438" s="0" t="s">
        <v>41298</v>
      </c>
      <c r="E12438" s="0" t="s">
        <v>41299</v>
      </c>
      <c r="F12438" s="0" t="s">
        <v>90</v>
      </c>
      <c r="G12438" s="0" t="s">
        <v>32</v>
      </c>
      <c r="H12438" s="0" t="n">
        <v>74</v>
      </c>
      <c r="I12438" s="0" t="s">
        <v>41303</v>
      </c>
      <c r="J12438" s="0" t="s">
        <v>41304</v>
      </c>
      <c r="K12438" s="0" t="s">
        <v>41305</v>
      </c>
      <c r="L12438" s="0" t="str">
        <f aca="false">HYPERLINK("https://www.ncbi.nlm.nih.gov/nuccore/CP000058.1?report=graph&amp;tracks=[key:gene_model_track,Options:GeneOnly]&amp;mk=3901492:3901511|offset_7|444444,3901425:3901444|offset_74|00cc00,3901403:3901422|offset_96|444444,3901380:3901399|offset_119|444444&amp;v=3901291:3901599&amp;c=444444", "offset 74")</f>
        <v>offset 74</v>
      </c>
    </row>
    <row r="12439" customFormat="false" ht="12.8" hidden="false" customHeight="false" outlineLevel="0" collapsed="false">
      <c r="A12439" s="0" t="s">
        <v>12</v>
      </c>
      <c r="B12439" s="0" t="n">
        <v>3901402</v>
      </c>
      <c r="C12439" s="0" t="n">
        <v>3901422</v>
      </c>
      <c r="D12439" s="0" t="s">
        <v>41298</v>
      </c>
      <c r="E12439" s="0" t="s">
        <v>41299</v>
      </c>
      <c r="F12439" s="0" t="s">
        <v>90</v>
      </c>
      <c r="G12439" s="0" t="s">
        <v>20</v>
      </c>
      <c r="H12439" s="0" t="n">
        <v>96</v>
      </c>
      <c r="I12439" s="0" t="s">
        <v>41306</v>
      </c>
      <c r="J12439" s="0" t="s">
        <v>41307</v>
      </c>
      <c r="K12439" s="0" t="s">
        <v>41308</v>
      </c>
      <c r="L12439" s="0" t="str">
        <f aca="false">HYPERLINK("https://www.ncbi.nlm.nih.gov/nuccore/CP000058.1?report=graph&amp;tracks=[key:gene_model_track,Options:GeneOnly]&amp;mk=3901492:3901511|offset_7|444444,3901425:3901444|offset_74|444444,3901403:3901422|offset_96|00cc00,3901380:3901399|offset_119|444444&amp;v=3901291:3901599&amp;c=444444", "offset 96")</f>
        <v>offset 96</v>
      </c>
    </row>
    <row r="12440" customFormat="false" ht="12.8" hidden="false" customHeight="false" outlineLevel="0" collapsed="false">
      <c r="A12440" s="0" t="s">
        <v>12</v>
      </c>
      <c r="B12440" s="0" t="n">
        <v>3901379</v>
      </c>
      <c r="C12440" s="0" t="n">
        <v>3901399</v>
      </c>
      <c r="D12440" s="0" t="s">
        <v>41298</v>
      </c>
      <c r="E12440" s="0" t="s">
        <v>41299</v>
      </c>
      <c r="F12440" s="0" t="s">
        <v>90</v>
      </c>
      <c r="G12440" s="0" t="s">
        <v>20</v>
      </c>
      <c r="H12440" s="0" t="n">
        <v>119</v>
      </c>
      <c r="I12440" s="0" t="s">
        <v>41309</v>
      </c>
      <c r="J12440" s="0" t="s">
        <v>41310</v>
      </c>
      <c r="K12440" s="0" t="s">
        <v>41311</v>
      </c>
      <c r="L12440" s="0" t="str">
        <f aca="false">HYPERLINK("https://www.ncbi.nlm.nih.gov/nuccore/CP000058.1?report=graph&amp;tracks=[key:gene_model_track,Options:GeneOnly]&amp;mk=3901492:3901511|offset_7|444444,3901425:3901444|offset_74|444444,3901403:3901422|offset_96|444444,3901380:3901399|offset_119|00cc00&amp;v=3901291:3901599&amp;c=444444", "offset 119")</f>
        <v>offset 119</v>
      </c>
    </row>
    <row r="12441" customFormat="false" ht="12.8" hidden="false" customHeight="false" outlineLevel="0" collapsed="false">
      <c r="A12441" s="0" t="s">
        <v>12</v>
      </c>
      <c r="B12441" s="0" t="n">
        <v>3901979</v>
      </c>
      <c r="C12441" s="0" t="n">
        <v>3901999</v>
      </c>
      <c r="D12441" s="0" t="s">
        <v>41312</v>
      </c>
      <c r="E12441" s="0" t="s">
        <v>41313</v>
      </c>
      <c r="F12441" s="0" t="s">
        <v>90</v>
      </c>
      <c r="G12441" s="0" t="s">
        <v>36</v>
      </c>
      <c r="H12441" s="0" t="n">
        <v>29</v>
      </c>
      <c r="I12441" s="0" t="s">
        <v>41314</v>
      </c>
      <c r="J12441" s="0" t="s">
        <v>41315</v>
      </c>
      <c r="K12441" s="0" t="s">
        <v>41316</v>
      </c>
      <c r="L12441" s="0" t="str">
        <f aca="false">HYPERLINK("https://www.ncbi.nlm.nih.gov/nuccore/CP000058.1?report=graph&amp;tracks=[key:gene_model_track,Options:GeneOnly]&amp;mk=3901980:3901999|offset_29|00cc00,3901947:3901966|offset_62|444444,3901897:3901916|offset_112|444444,3901865:3901884|offset_144|444444&amp;v=3901779:3902084&amp;c=444444", "offset 29")</f>
        <v>offset 29</v>
      </c>
    </row>
    <row r="12442" customFormat="false" ht="12.8" hidden="false" customHeight="false" outlineLevel="0" collapsed="false">
      <c r="A12442" s="0" t="s">
        <v>12</v>
      </c>
      <c r="B12442" s="0" t="n">
        <v>3901946</v>
      </c>
      <c r="C12442" s="0" t="n">
        <v>3901966</v>
      </c>
      <c r="D12442" s="0" t="s">
        <v>41312</v>
      </c>
      <c r="E12442" s="0" t="s">
        <v>41313</v>
      </c>
      <c r="F12442" s="0" t="s">
        <v>90</v>
      </c>
      <c r="G12442" s="0" t="s">
        <v>20</v>
      </c>
      <c r="H12442" s="0" t="n">
        <v>62</v>
      </c>
      <c r="I12442" s="0" t="s">
        <v>41317</v>
      </c>
      <c r="J12442" s="0" t="s">
        <v>41318</v>
      </c>
      <c r="K12442" s="0" t="s">
        <v>41319</v>
      </c>
      <c r="L12442" s="0" t="str">
        <f aca="false">HYPERLINK("https://www.ncbi.nlm.nih.gov/nuccore/CP000058.1?report=graph&amp;tracks=[key:gene_model_track,Options:GeneOnly]&amp;mk=3901980:3901999|offset_29|444444,3901947:3901966|offset_62|00cc00,3901897:3901916|offset_112|444444,3901865:3901884|offset_144|444444&amp;v=3901779:3902084&amp;c=444444", "offset 62")</f>
        <v>offset 62</v>
      </c>
    </row>
    <row r="12443" customFormat="false" ht="12.8" hidden="false" customHeight="false" outlineLevel="0" collapsed="false">
      <c r="A12443" s="0" t="s">
        <v>12</v>
      </c>
      <c r="B12443" s="0" t="n">
        <v>3901896</v>
      </c>
      <c r="C12443" s="0" t="n">
        <v>3901916</v>
      </c>
      <c r="D12443" s="0" t="s">
        <v>41312</v>
      </c>
      <c r="E12443" s="0" t="s">
        <v>41313</v>
      </c>
      <c r="F12443" s="0" t="s">
        <v>90</v>
      </c>
      <c r="G12443" s="0" t="s">
        <v>20</v>
      </c>
      <c r="H12443" s="0" t="n">
        <v>112</v>
      </c>
      <c r="I12443" s="0" t="s">
        <v>41320</v>
      </c>
      <c r="J12443" s="0" t="s">
        <v>41321</v>
      </c>
      <c r="K12443" s="0" t="s">
        <v>41322</v>
      </c>
      <c r="L12443" s="0" t="str">
        <f aca="false">HYPERLINK("https://www.ncbi.nlm.nih.gov/nuccore/CP000058.1?report=graph&amp;tracks=[key:gene_model_track,Options:GeneOnly]&amp;mk=3901980:3901999|offset_29|444444,3901947:3901966|offset_62|444444,3901897:3901916|offset_112|00cc00,3901865:3901884|offset_144|444444&amp;v=3901779:3902084&amp;c=444444", "offset 112")</f>
        <v>offset 112</v>
      </c>
    </row>
    <row r="12444" customFormat="false" ht="12.8" hidden="false" customHeight="false" outlineLevel="0" collapsed="false">
      <c r="A12444" s="0" t="s">
        <v>12</v>
      </c>
      <c r="B12444" s="0" t="n">
        <v>3901864</v>
      </c>
      <c r="C12444" s="0" t="n">
        <v>3901884</v>
      </c>
      <c r="D12444" s="0" t="s">
        <v>41312</v>
      </c>
      <c r="E12444" s="0" t="s">
        <v>41313</v>
      </c>
      <c r="F12444" s="0" t="s">
        <v>90</v>
      </c>
      <c r="G12444" s="0" t="s">
        <v>32</v>
      </c>
      <c r="H12444" s="0" t="n">
        <v>144</v>
      </c>
      <c r="I12444" s="0" t="s">
        <v>41323</v>
      </c>
      <c r="J12444" s="0" t="s">
        <v>41324</v>
      </c>
      <c r="K12444" s="0" t="s">
        <v>41325</v>
      </c>
      <c r="L12444" s="0" t="str">
        <f aca="false">HYPERLINK("https://www.ncbi.nlm.nih.gov/nuccore/CP000058.1?report=graph&amp;tracks=[key:gene_model_track,Options:GeneOnly]&amp;mk=3901980:3901999|offset_29|444444,3901947:3901966|offset_62|444444,3901897:3901916|offset_112|444444,3901865:3901884|offset_144|00cc00&amp;v=3901779:3902084&amp;c=444444", "offset 144")</f>
        <v>offset 144</v>
      </c>
    </row>
    <row r="12445" customFormat="false" ht="12.8" hidden="false" customHeight="false" outlineLevel="0" collapsed="false">
      <c r="A12445" s="0" t="s">
        <v>12</v>
      </c>
      <c r="B12445" s="0" t="n">
        <v>3903915</v>
      </c>
      <c r="C12445" s="0" t="n">
        <v>3903935</v>
      </c>
      <c r="D12445" s="0" t="s">
        <v>41326</v>
      </c>
      <c r="E12445" s="0" t="s">
        <v>41327</v>
      </c>
      <c r="F12445" s="0" t="s">
        <v>90</v>
      </c>
      <c r="G12445" s="0" t="s">
        <v>36</v>
      </c>
      <c r="H12445" s="0" t="n">
        <v>6</v>
      </c>
      <c r="I12445" s="0" t="s">
        <v>41328</v>
      </c>
      <c r="J12445" s="0" t="s">
        <v>41329</v>
      </c>
      <c r="K12445" s="0" t="s">
        <v>41330</v>
      </c>
      <c r="L12445" s="0" t="str">
        <f aca="false">HYPERLINK("https://www.ncbi.nlm.nih.gov/nuccore/CP000058.1?report=graph&amp;tracks=[key:gene_model_track,Options:GeneOnly]&amp;mk=3903916:3903935|offset_6|00cc00,3903888:3903907|offset_34|444444,3903864:3903883|offset_58|444444,3903813:3903832|offset_109|444444&amp;v=3903715:3904032&amp;c=444444", "offset 6")</f>
        <v>offset 6</v>
      </c>
    </row>
    <row r="12446" customFormat="false" ht="12.8" hidden="false" customHeight="false" outlineLevel="0" collapsed="false">
      <c r="A12446" s="0" t="s">
        <v>12</v>
      </c>
      <c r="B12446" s="0" t="n">
        <v>3903887</v>
      </c>
      <c r="C12446" s="0" t="n">
        <v>3903907</v>
      </c>
      <c r="D12446" s="0" t="s">
        <v>41326</v>
      </c>
      <c r="E12446" s="0" t="s">
        <v>41327</v>
      </c>
      <c r="F12446" s="0" t="s">
        <v>90</v>
      </c>
      <c r="G12446" s="0" t="s">
        <v>32</v>
      </c>
      <c r="H12446" s="0" t="n">
        <v>34</v>
      </c>
      <c r="I12446" s="0" t="s">
        <v>41331</v>
      </c>
      <c r="J12446" s="0" t="s">
        <v>41332</v>
      </c>
      <c r="K12446" s="0" t="s">
        <v>41333</v>
      </c>
      <c r="L12446" s="0" t="str">
        <f aca="false">HYPERLINK("https://www.ncbi.nlm.nih.gov/nuccore/CP000058.1?report=graph&amp;tracks=[key:gene_model_track,Options:GeneOnly]&amp;mk=3903916:3903935|offset_6|444444,3903888:3903907|offset_34|00cc00,3903864:3903883|offset_58|444444,3903813:3903832|offset_109|444444&amp;v=3903715:3904032&amp;c=444444", "offset 34")</f>
        <v>offset 34</v>
      </c>
    </row>
    <row r="12447" customFormat="false" ht="12.8" hidden="false" customHeight="false" outlineLevel="0" collapsed="false">
      <c r="A12447" s="0" t="s">
        <v>12</v>
      </c>
      <c r="B12447" s="0" t="n">
        <v>3903863</v>
      </c>
      <c r="C12447" s="0" t="n">
        <v>3903883</v>
      </c>
      <c r="D12447" s="0" t="s">
        <v>41326</v>
      </c>
      <c r="E12447" s="0" t="s">
        <v>41327</v>
      </c>
      <c r="F12447" s="0" t="s">
        <v>90</v>
      </c>
      <c r="G12447" s="0" t="s">
        <v>16</v>
      </c>
      <c r="H12447" s="0" t="n">
        <v>58</v>
      </c>
      <c r="I12447" s="0" t="s">
        <v>41334</v>
      </c>
      <c r="J12447" s="0" t="s">
        <v>41335</v>
      </c>
      <c r="K12447" s="0" t="s">
        <v>41336</v>
      </c>
      <c r="L12447" s="0" t="str">
        <f aca="false">HYPERLINK("https://www.ncbi.nlm.nih.gov/nuccore/CP000058.1?report=graph&amp;tracks=[key:gene_model_track,Options:GeneOnly]&amp;mk=3903916:3903935|offset_6|444444,3903888:3903907|offset_34|444444,3903864:3903883|offset_58|00cc00,3903813:3903832|offset_109|444444&amp;v=3903715:3904032&amp;c=444444", "offset 58")</f>
        <v>offset 58</v>
      </c>
    </row>
    <row r="12448" customFormat="false" ht="12.8" hidden="false" customHeight="false" outlineLevel="0" collapsed="false">
      <c r="A12448" s="0" t="s">
        <v>12</v>
      </c>
      <c r="B12448" s="0" t="n">
        <v>3903812</v>
      </c>
      <c r="C12448" s="0" t="n">
        <v>3903832</v>
      </c>
      <c r="D12448" s="0" t="s">
        <v>41326</v>
      </c>
      <c r="E12448" s="0" t="s">
        <v>41327</v>
      </c>
      <c r="F12448" s="0" t="s">
        <v>90</v>
      </c>
      <c r="G12448" s="0" t="s">
        <v>20</v>
      </c>
      <c r="H12448" s="0" t="n">
        <v>109</v>
      </c>
      <c r="I12448" s="0" t="s">
        <v>41337</v>
      </c>
      <c r="J12448" s="0" t="s">
        <v>41338</v>
      </c>
      <c r="K12448" s="0" t="s">
        <v>41339</v>
      </c>
      <c r="L12448" s="0" t="str">
        <f aca="false">HYPERLINK("https://www.ncbi.nlm.nih.gov/nuccore/CP000058.1?report=graph&amp;tracks=[key:gene_model_track,Options:GeneOnly]&amp;mk=3903916:3903935|offset_6|444444,3903888:3903907|offset_34|444444,3903864:3903883|offset_58|444444,3903813:3903832|offset_109|00cc00&amp;v=3903715:3904032&amp;c=444444", "offset 109")</f>
        <v>offset 109</v>
      </c>
    </row>
    <row r="12449" customFormat="false" ht="12.8" hidden="false" customHeight="false" outlineLevel="0" collapsed="false">
      <c r="A12449" s="0" t="s">
        <v>12</v>
      </c>
      <c r="B12449" s="0" t="n">
        <v>3904366</v>
      </c>
      <c r="C12449" s="0" t="n">
        <v>3904386</v>
      </c>
      <c r="D12449" s="0" t="s">
        <v>41340</v>
      </c>
      <c r="E12449" s="0" t="s">
        <v>75</v>
      </c>
      <c r="F12449" s="0" t="s">
        <v>90</v>
      </c>
      <c r="G12449" s="0" t="s">
        <v>20</v>
      </c>
      <c r="H12449" s="0" t="n">
        <v>37</v>
      </c>
      <c r="I12449" s="0" t="s">
        <v>41341</v>
      </c>
      <c r="J12449" s="0" t="s">
        <v>41342</v>
      </c>
      <c r="K12449" s="0" t="s">
        <v>41343</v>
      </c>
      <c r="L12449" s="0" t="str">
        <f aca="false">HYPERLINK("https://www.ncbi.nlm.nih.gov/nuccore/CP000058.1?report=graph&amp;tracks=[key:gene_model_track,Options:GeneOnly]&amp;mk=3904367:3904386|offset_37|00cc00,3904338:3904357|offset_66|444444,3904318:3904337|offset_86|444444,3904264:3904283|offset_140|444444&amp;v=3904166:3904483&amp;c=444444", "offset 37")</f>
        <v>offset 37</v>
      </c>
    </row>
    <row r="12450" customFormat="false" ht="12.8" hidden="false" customHeight="false" outlineLevel="0" collapsed="false">
      <c r="A12450" s="0" t="s">
        <v>12</v>
      </c>
      <c r="B12450" s="0" t="n">
        <v>3904337</v>
      </c>
      <c r="C12450" s="0" t="n">
        <v>3904357</v>
      </c>
      <c r="D12450" s="0" t="s">
        <v>41340</v>
      </c>
      <c r="E12450" s="0" t="s">
        <v>75</v>
      </c>
      <c r="F12450" s="0" t="s">
        <v>90</v>
      </c>
      <c r="G12450" s="0" t="s">
        <v>16</v>
      </c>
      <c r="H12450" s="0" t="n">
        <v>66</v>
      </c>
      <c r="I12450" s="0" t="s">
        <v>41344</v>
      </c>
      <c r="J12450" s="0" t="s">
        <v>41345</v>
      </c>
      <c r="K12450" s="0" t="s">
        <v>41346</v>
      </c>
      <c r="L12450" s="0" t="str">
        <f aca="false">HYPERLINK("https://www.ncbi.nlm.nih.gov/nuccore/CP000058.1?report=graph&amp;tracks=[key:gene_model_track,Options:GeneOnly]&amp;mk=3904367:3904386|offset_37|444444,3904338:3904357|offset_66|00cc00,3904318:3904337|offset_86|444444,3904264:3904283|offset_140|444444&amp;v=3904166:3904483&amp;c=444444", "offset 66")</f>
        <v>offset 66</v>
      </c>
    </row>
    <row r="12451" customFormat="false" ht="12.8" hidden="false" customHeight="false" outlineLevel="0" collapsed="false">
      <c r="A12451" s="0" t="s">
        <v>12</v>
      </c>
      <c r="B12451" s="0" t="n">
        <v>3904317</v>
      </c>
      <c r="C12451" s="0" t="n">
        <v>3904337</v>
      </c>
      <c r="D12451" s="0" t="s">
        <v>41340</v>
      </c>
      <c r="E12451" s="0" t="s">
        <v>75</v>
      </c>
      <c r="F12451" s="0" t="s">
        <v>90</v>
      </c>
      <c r="G12451" s="0" t="s">
        <v>20</v>
      </c>
      <c r="H12451" s="0" t="n">
        <v>86</v>
      </c>
      <c r="I12451" s="0" t="s">
        <v>41347</v>
      </c>
      <c r="J12451" s="0" t="s">
        <v>41348</v>
      </c>
      <c r="K12451" s="0" t="s">
        <v>41349</v>
      </c>
      <c r="L12451" s="0" t="str">
        <f aca="false">HYPERLINK("https://www.ncbi.nlm.nih.gov/nuccore/CP000058.1?report=graph&amp;tracks=[key:gene_model_track,Options:GeneOnly]&amp;mk=3904367:3904386|offset_37|444444,3904338:3904357|offset_66|444444,3904318:3904337|offset_86|00cc00,3904264:3904283|offset_140|444444&amp;v=3904166:3904483&amp;c=444444", "offset 86")</f>
        <v>offset 86</v>
      </c>
    </row>
    <row r="12452" customFormat="false" ht="12.8" hidden="false" customHeight="false" outlineLevel="0" collapsed="false">
      <c r="A12452" s="0" t="s">
        <v>12</v>
      </c>
      <c r="B12452" s="0" t="n">
        <v>3904263</v>
      </c>
      <c r="C12452" s="0" t="n">
        <v>3904283</v>
      </c>
      <c r="D12452" s="0" t="s">
        <v>41340</v>
      </c>
      <c r="E12452" s="0" t="s">
        <v>75</v>
      </c>
      <c r="F12452" s="0" t="s">
        <v>90</v>
      </c>
      <c r="G12452" s="0" t="s">
        <v>32</v>
      </c>
      <c r="H12452" s="0" t="n">
        <v>140</v>
      </c>
      <c r="I12452" s="0" t="s">
        <v>41350</v>
      </c>
      <c r="J12452" s="0" t="s">
        <v>41351</v>
      </c>
      <c r="K12452" s="0" t="s">
        <v>41352</v>
      </c>
      <c r="L12452" s="0" t="str">
        <f aca="false">HYPERLINK("https://www.ncbi.nlm.nih.gov/nuccore/CP000058.1?report=graph&amp;tracks=[key:gene_model_track,Options:GeneOnly]&amp;mk=3904367:3904386|offset_37|444444,3904338:3904357|offset_66|444444,3904318:3904337|offset_86|444444,3904264:3904283|offset_140|00cc00&amp;v=3904166:3904483&amp;c=444444", "offset 140")</f>
        <v>offset 140</v>
      </c>
    </row>
    <row r="12453" customFormat="false" ht="12.8" hidden="false" customHeight="false" outlineLevel="0" collapsed="false">
      <c r="A12453" s="0" t="s">
        <v>12</v>
      </c>
      <c r="B12453" s="0" t="n">
        <v>3906091</v>
      </c>
      <c r="C12453" s="0" t="n">
        <v>3906111</v>
      </c>
      <c r="D12453" s="0" t="s">
        <v>41353</v>
      </c>
      <c r="E12453" s="0" t="s">
        <v>75</v>
      </c>
      <c r="F12453" s="0" t="s">
        <v>90</v>
      </c>
      <c r="G12453" s="0" t="s">
        <v>32</v>
      </c>
      <c r="H12453" s="0" t="n">
        <v>52</v>
      </c>
      <c r="I12453" s="0" t="s">
        <v>41354</v>
      </c>
      <c r="J12453" s="0" t="s">
        <v>41355</v>
      </c>
      <c r="K12453" s="0" t="s">
        <v>41356</v>
      </c>
      <c r="L12453" s="0" t="str">
        <f aca="false">HYPERLINK("https://www.ncbi.nlm.nih.gov/nuccore/CP000058.1?report=graph&amp;tracks=[key:gene_model_track,Options:GeneOnly]&amp;mk=3906092:3906111|offset_52|00cc00,3906068:3906087|offset_76|444444,3906008:3906027|offset_136|444444,3905988:3906007|offset_156|444444&amp;v=3905891:3906207&amp;c=444444", "offset 52")</f>
        <v>offset 52</v>
      </c>
    </row>
    <row r="12454" customFormat="false" ht="12.8" hidden="false" customHeight="false" outlineLevel="0" collapsed="false">
      <c r="A12454" s="0" t="s">
        <v>12</v>
      </c>
      <c r="B12454" s="0" t="n">
        <v>3906067</v>
      </c>
      <c r="C12454" s="0" t="n">
        <v>3906087</v>
      </c>
      <c r="D12454" s="0" t="s">
        <v>41353</v>
      </c>
      <c r="E12454" s="0" t="s">
        <v>75</v>
      </c>
      <c r="F12454" s="0" t="s">
        <v>90</v>
      </c>
      <c r="G12454" s="0" t="s">
        <v>32</v>
      </c>
      <c r="H12454" s="0" t="n">
        <v>76</v>
      </c>
      <c r="I12454" s="0" t="s">
        <v>41357</v>
      </c>
      <c r="J12454" s="0" t="s">
        <v>41358</v>
      </c>
      <c r="K12454" s="0" t="s">
        <v>41359</v>
      </c>
      <c r="L12454" s="0" t="str">
        <f aca="false">HYPERLINK("https://www.ncbi.nlm.nih.gov/nuccore/CP000058.1?report=graph&amp;tracks=[key:gene_model_track,Options:GeneOnly]&amp;mk=3906092:3906111|offset_52|444444,3906068:3906087|offset_76|00cc00,3906008:3906027|offset_136|444444,3905988:3906007|offset_156|444444&amp;v=3905891:3906207&amp;c=444444", "offset 76")</f>
        <v>offset 76</v>
      </c>
    </row>
    <row r="12455" customFormat="false" ht="12.8" hidden="false" customHeight="false" outlineLevel="0" collapsed="false">
      <c r="A12455" s="0" t="s">
        <v>12</v>
      </c>
      <c r="B12455" s="0" t="n">
        <v>3906007</v>
      </c>
      <c r="C12455" s="0" t="n">
        <v>3906027</v>
      </c>
      <c r="D12455" s="0" t="s">
        <v>41353</v>
      </c>
      <c r="E12455" s="0" t="s">
        <v>75</v>
      </c>
      <c r="F12455" s="0" t="s">
        <v>90</v>
      </c>
      <c r="G12455" s="0" t="s">
        <v>32</v>
      </c>
      <c r="H12455" s="0" t="n">
        <v>136</v>
      </c>
      <c r="I12455" s="0" t="s">
        <v>41360</v>
      </c>
      <c r="J12455" s="0" t="s">
        <v>41361</v>
      </c>
      <c r="K12455" s="0" t="s">
        <v>41362</v>
      </c>
      <c r="L12455" s="0" t="str">
        <f aca="false">HYPERLINK("https://www.ncbi.nlm.nih.gov/nuccore/CP000058.1?report=graph&amp;tracks=[key:gene_model_track,Options:GeneOnly]&amp;mk=3906092:3906111|offset_52|444444,3906068:3906087|offset_76|444444,3906008:3906027|offset_136|00cc00,3905988:3906007|offset_156|444444&amp;v=3905891:3906207&amp;c=444444", "offset 136")</f>
        <v>offset 136</v>
      </c>
    </row>
    <row r="12456" customFormat="false" ht="12.8" hidden="false" customHeight="false" outlineLevel="0" collapsed="false">
      <c r="A12456" s="0" t="s">
        <v>12</v>
      </c>
      <c r="B12456" s="0" t="n">
        <v>3905987</v>
      </c>
      <c r="C12456" s="0" t="n">
        <v>3906007</v>
      </c>
      <c r="D12456" s="0" t="s">
        <v>41353</v>
      </c>
      <c r="E12456" s="0" t="s">
        <v>75</v>
      </c>
      <c r="F12456" s="0" t="s">
        <v>90</v>
      </c>
      <c r="G12456" s="0" t="s">
        <v>16</v>
      </c>
      <c r="H12456" s="0" t="n">
        <v>156</v>
      </c>
      <c r="I12456" s="0" t="s">
        <v>41363</v>
      </c>
      <c r="J12456" s="0" t="s">
        <v>41364</v>
      </c>
      <c r="K12456" s="0" t="s">
        <v>41365</v>
      </c>
      <c r="L12456" s="0" t="str">
        <f aca="false">HYPERLINK("https://www.ncbi.nlm.nih.gov/nuccore/CP000058.1?report=graph&amp;tracks=[key:gene_model_track,Options:GeneOnly]&amp;mk=3906092:3906111|offset_52|444444,3906068:3906087|offset_76|444444,3906008:3906027|offset_136|444444,3905988:3906007|offset_156|00cc00&amp;v=3905891:3906207&amp;c=444444", "offset 156")</f>
        <v>offset 156</v>
      </c>
    </row>
    <row r="12457" customFormat="false" ht="12.8" hidden="false" customHeight="false" outlineLevel="0" collapsed="false">
      <c r="A12457" s="0" t="s">
        <v>12</v>
      </c>
      <c r="B12457" s="0" t="n">
        <v>3906450</v>
      </c>
      <c r="C12457" s="0" t="n">
        <v>3906470</v>
      </c>
      <c r="D12457" s="0" t="s">
        <v>41366</v>
      </c>
      <c r="E12457" s="0" t="s">
        <v>75</v>
      </c>
      <c r="F12457" s="0" t="s">
        <v>90</v>
      </c>
      <c r="G12457" s="0" t="s">
        <v>36</v>
      </c>
      <c r="H12457" s="0" t="n">
        <v>0</v>
      </c>
      <c r="I12457" s="0" t="s">
        <v>41367</v>
      </c>
      <c r="J12457" s="0" t="s">
        <v>41368</v>
      </c>
      <c r="K12457" s="0" t="s">
        <v>41369</v>
      </c>
      <c r="L12457" s="0" t="str">
        <f aca="false">HYPERLINK("https://www.ncbi.nlm.nih.gov/nuccore/CP000058.1?report=graph&amp;tracks=[key:gene_model_track,Options:GeneOnly]&amp;mk=3906451:3906470|offset_0|00cc00,3906423:3906442|offset_28|444444,3906372:3906391|offset_79|444444,3906351:3906370|offset_100|444444&amp;v=3906250:3906570&amp;c=444444", "offset 0")</f>
        <v>offset 0</v>
      </c>
    </row>
    <row r="12458" customFormat="false" ht="12.8" hidden="false" customHeight="false" outlineLevel="0" collapsed="false">
      <c r="A12458" s="0" t="s">
        <v>12</v>
      </c>
      <c r="B12458" s="0" t="n">
        <v>3906422</v>
      </c>
      <c r="C12458" s="0" t="n">
        <v>3906442</v>
      </c>
      <c r="D12458" s="0" t="s">
        <v>41366</v>
      </c>
      <c r="E12458" s="0" t="s">
        <v>75</v>
      </c>
      <c r="F12458" s="0" t="s">
        <v>90</v>
      </c>
      <c r="G12458" s="0" t="s">
        <v>16</v>
      </c>
      <c r="H12458" s="0" t="n">
        <v>28</v>
      </c>
      <c r="I12458" s="0" t="s">
        <v>41370</v>
      </c>
      <c r="J12458" s="0" t="s">
        <v>41371</v>
      </c>
      <c r="K12458" s="0" t="s">
        <v>41372</v>
      </c>
      <c r="L12458" s="0" t="str">
        <f aca="false">HYPERLINK("https://www.ncbi.nlm.nih.gov/nuccore/CP000058.1?report=graph&amp;tracks=[key:gene_model_track,Options:GeneOnly]&amp;mk=3906451:3906470|offset_0|444444,3906423:3906442|offset_28|00cc00,3906372:3906391|offset_79|444444,3906351:3906370|offset_100|444444&amp;v=3906250:3906570&amp;c=444444", "offset 28")</f>
        <v>offset 28</v>
      </c>
    </row>
    <row r="12459" customFormat="false" ht="12.8" hidden="false" customHeight="false" outlineLevel="0" collapsed="false">
      <c r="A12459" s="0" t="s">
        <v>12</v>
      </c>
      <c r="B12459" s="0" t="n">
        <v>3906371</v>
      </c>
      <c r="C12459" s="0" t="n">
        <v>3906391</v>
      </c>
      <c r="D12459" s="0" t="s">
        <v>41366</v>
      </c>
      <c r="E12459" s="0" t="s">
        <v>75</v>
      </c>
      <c r="F12459" s="0" t="s">
        <v>90</v>
      </c>
      <c r="G12459" s="0" t="s">
        <v>36</v>
      </c>
      <c r="H12459" s="0" t="n">
        <v>79</v>
      </c>
      <c r="I12459" s="0" t="s">
        <v>41373</v>
      </c>
      <c r="J12459" s="0" t="s">
        <v>41374</v>
      </c>
      <c r="K12459" s="0" t="s">
        <v>41375</v>
      </c>
      <c r="L12459" s="0" t="str">
        <f aca="false">HYPERLINK("https://www.ncbi.nlm.nih.gov/nuccore/CP000058.1?report=graph&amp;tracks=[key:gene_model_track,Options:GeneOnly]&amp;mk=3906451:3906470|offset_0|444444,3906423:3906442|offset_28|444444,3906372:3906391|offset_79|00cc00,3906351:3906370|offset_100|444444&amp;v=3906250:3906570&amp;c=444444", "offset 79")</f>
        <v>offset 79</v>
      </c>
    </row>
    <row r="12460" customFormat="false" ht="12.8" hidden="false" customHeight="false" outlineLevel="0" collapsed="false">
      <c r="A12460" s="0" t="s">
        <v>12</v>
      </c>
      <c r="B12460" s="0" t="n">
        <v>3906350</v>
      </c>
      <c r="C12460" s="0" t="n">
        <v>3906370</v>
      </c>
      <c r="D12460" s="0" t="s">
        <v>41366</v>
      </c>
      <c r="E12460" s="0" t="s">
        <v>75</v>
      </c>
      <c r="F12460" s="0" t="s">
        <v>90</v>
      </c>
      <c r="G12460" s="0" t="s">
        <v>20</v>
      </c>
      <c r="H12460" s="0" t="n">
        <v>100</v>
      </c>
      <c r="I12460" s="0" t="s">
        <v>41376</v>
      </c>
      <c r="J12460" s="0" t="s">
        <v>41377</v>
      </c>
      <c r="K12460" s="0" t="s">
        <v>41378</v>
      </c>
      <c r="L12460" s="0" t="str">
        <f aca="false">HYPERLINK("https://www.ncbi.nlm.nih.gov/nuccore/CP000058.1?report=graph&amp;tracks=[key:gene_model_track,Options:GeneOnly]&amp;mk=3906451:3906470|offset_0|444444,3906423:3906442|offset_28|444444,3906372:3906391|offset_79|444444,3906351:3906370|offset_100|00cc00&amp;v=3906250:3906570&amp;c=444444", "offset 100")</f>
        <v>offset 100</v>
      </c>
    </row>
    <row r="12461" customFormat="false" ht="12.8" hidden="false" customHeight="false" outlineLevel="0" collapsed="false">
      <c r="A12461" s="0" t="s">
        <v>12</v>
      </c>
      <c r="B12461" s="0" t="n">
        <v>3906952</v>
      </c>
      <c r="C12461" s="0" t="n">
        <v>3906972</v>
      </c>
      <c r="D12461" s="0" t="s">
        <v>41379</v>
      </c>
      <c r="E12461" s="0" t="s">
        <v>41380</v>
      </c>
      <c r="F12461" s="0" t="s">
        <v>90</v>
      </c>
      <c r="G12461" s="0" t="s">
        <v>32</v>
      </c>
      <c r="H12461" s="0" t="n">
        <v>33</v>
      </c>
      <c r="I12461" s="0" t="s">
        <v>41381</v>
      </c>
      <c r="J12461" s="0" t="s">
        <v>41382</v>
      </c>
      <c r="K12461" s="0" t="s">
        <v>41383</v>
      </c>
      <c r="L12461" s="0" t="str">
        <f aca="false">HYPERLINK("https://www.ncbi.nlm.nih.gov/nuccore/CP000058.1?report=graph&amp;tracks=[key:gene_model_track,Options:GeneOnly]&amp;mk=3906953:3906972|offset_33|00cc00,3906931:3906950|offset_55|444444,3906874:3906893|offset_112|444444,3906849:3906868|offset_137|444444&amp;v=3906752:3907068&amp;c=444444", "offset 33")</f>
        <v>offset 33</v>
      </c>
    </row>
    <row r="12462" customFormat="false" ht="12.8" hidden="false" customHeight="false" outlineLevel="0" collapsed="false">
      <c r="A12462" s="0" t="s">
        <v>12</v>
      </c>
      <c r="B12462" s="0" t="n">
        <v>3906930</v>
      </c>
      <c r="C12462" s="0" t="n">
        <v>3906950</v>
      </c>
      <c r="D12462" s="0" t="s">
        <v>41379</v>
      </c>
      <c r="E12462" s="0" t="s">
        <v>41380</v>
      </c>
      <c r="F12462" s="0" t="s">
        <v>90</v>
      </c>
      <c r="G12462" s="0" t="s">
        <v>16</v>
      </c>
      <c r="H12462" s="0" t="n">
        <v>55</v>
      </c>
      <c r="I12462" s="0" t="s">
        <v>41384</v>
      </c>
      <c r="J12462" s="0" t="s">
        <v>41385</v>
      </c>
      <c r="K12462" s="0" t="s">
        <v>41386</v>
      </c>
      <c r="L12462" s="0" t="str">
        <f aca="false">HYPERLINK("https://www.ncbi.nlm.nih.gov/nuccore/CP000058.1?report=graph&amp;tracks=[key:gene_model_track,Options:GeneOnly]&amp;mk=3906953:3906972|offset_33|444444,3906931:3906950|offset_55|00cc00,3906874:3906893|offset_112|444444,3906849:3906868|offset_137|444444&amp;v=3906752:3907068&amp;c=444444", "offset 55")</f>
        <v>offset 55</v>
      </c>
    </row>
    <row r="12463" customFormat="false" ht="12.8" hidden="false" customHeight="false" outlineLevel="0" collapsed="false">
      <c r="A12463" s="0" t="s">
        <v>12</v>
      </c>
      <c r="B12463" s="0" t="n">
        <v>3906873</v>
      </c>
      <c r="C12463" s="0" t="n">
        <v>3906893</v>
      </c>
      <c r="D12463" s="0" t="s">
        <v>41379</v>
      </c>
      <c r="E12463" s="0" t="s">
        <v>41380</v>
      </c>
      <c r="F12463" s="0" t="s">
        <v>90</v>
      </c>
      <c r="G12463" s="0" t="s">
        <v>32</v>
      </c>
      <c r="H12463" s="0" t="n">
        <v>112</v>
      </c>
      <c r="I12463" s="0" t="s">
        <v>41387</v>
      </c>
      <c r="J12463" s="0" t="s">
        <v>41388</v>
      </c>
      <c r="K12463" s="0" t="s">
        <v>41389</v>
      </c>
      <c r="L12463" s="0" t="str">
        <f aca="false">HYPERLINK("https://www.ncbi.nlm.nih.gov/nuccore/CP000058.1?report=graph&amp;tracks=[key:gene_model_track,Options:GeneOnly]&amp;mk=3906953:3906972|offset_33|444444,3906931:3906950|offset_55|444444,3906874:3906893|offset_112|00cc00,3906849:3906868|offset_137|444444&amp;v=3906752:3907068&amp;c=444444", "offset 112")</f>
        <v>offset 112</v>
      </c>
    </row>
    <row r="12464" customFormat="false" ht="12.8" hidden="false" customHeight="false" outlineLevel="0" collapsed="false">
      <c r="A12464" s="0" t="s">
        <v>12</v>
      </c>
      <c r="B12464" s="0" t="n">
        <v>3906848</v>
      </c>
      <c r="C12464" s="0" t="n">
        <v>3906868</v>
      </c>
      <c r="D12464" s="0" t="s">
        <v>41379</v>
      </c>
      <c r="E12464" s="0" t="s">
        <v>41380</v>
      </c>
      <c r="F12464" s="0" t="s">
        <v>90</v>
      </c>
      <c r="G12464" s="0" t="s">
        <v>32</v>
      </c>
      <c r="H12464" s="0" t="n">
        <v>137</v>
      </c>
      <c r="I12464" s="0" t="s">
        <v>41390</v>
      </c>
      <c r="J12464" s="0" t="s">
        <v>41391</v>
      </c>
      <c r="K12464" s="0" t="s">
        <v>41392</v>
      </c>
      <c r="L12464" s="0" t="str">
        <f aca="false">HYPERLINK("https://www.ncbi.nlm.nih.gov/nuccore/CP000058.1?report=graph&amp;tracks=[key:gene_model_track,Options:GeneOnly]&amp;mk=3906953:3906972|offset_33|444444,3906931:3906950|offset_55|444444,3906874:3906893|offset_112|444444,3906849:3906868|offset_137|00cc00&amp;v=3906752:3907068&amp;c=444444", "offset 137")</f>
        <v>offset 137</v>
      </c>
    </row>
    <row r="12465" customFormat="false" ht="12.8" hidden="false" customHeight="false" outlineLevel="0" collapsed="false">
      <c r="A12465" s="0" t="s">
        <v>12</v>
      </c>
      <c r="B12465" s="0" t="n">
        <v>3908331</v>
      </c>
      <c r="C12465" s="0" t="n">
        <v>3908351</v>
      </c>
      <c r="D12465" s="0" t="s">
        <v>41393</v>
      </c>
      <c r="E12465" s="0" t="s">
        <v>41394</v>
      </c>
      <c r="F12465" s="0" t="s">
        <v>90</v>
      </c>
      <c r="G12465" s="0" t="s">
        <v>32</v>
      </c>
      <c r="H12465" s="0" t="n">
        <v>19</v>
      </c>
      <c r="I12465" s="0" t="s">
        <v>41395</v>
      </c>
      <c r="J12465" s="0" t="s">
        <v>41396</v>
      </c>
      <c r="K12465" s="0" t="s">
        <v>41397</v>
      </c>
      <c r="L12465" s="0" t="str">
        <f aca="false">HYPERLINK("https://www.ncbi.nlm.nih.gov/nuccore/CP000058.1?report=graph&amp;tracks=[key:gene_model_track,Options:GeneOnly]&amp;mk=3908332:3908351|offset_19|00cc00,3908308:3908327|offset_43|444444,3908285:3908304|offset_66|444444,3908262:3908281|offset_89|444444&amp;v=3908131:3908481&amp;c=444444", "offset 19")</f>
        <v>offset 19</v>
      </c>
    </row>
    <row r="12466" customFormat="false" ht="12.8" hidden="false" customHeight="false" outlineLevel="0" collapsed="false">
      <c r="A12466" s="0" t="s">
        <v>12</v>
      </c>
      <c r="B12466" s="0" t="n">
        <v>3908307</v>
      </c>
      <c r="C12466" s="0" t="n">
        <v>3908327</v>
      </c>
      <c r="D12466" s="0" t="s">
        <v>41393</v>
      </c>
      <c r="E12466" s="0" t="s">
        <v>41394</v>
      </c>
      <c r="F12466" s="0" t="s">
        <v>90</v>
      </c>
      <c r="G12466" s="0" t="s">
        <v>20</v>
      </c>
      <c r="H12466" s="0" t="n">
        <v>43</v>
      </c>
      <c r="I12466" s="0" t="s">
        <v>41398</v>
      </c>
      <c r="J12466" s="0" t="s">
        <v>41399</v>
      </c>
      <c r="K12466" s="0" t="s">
        <v>41400</v>
      </c>
      <c r="L12466" s="0" t="str">
        <f aca="false">HYPERLINK("https://www.ncbi.nlm.nih.gov/nuccore/CP000058.1?report=graph&amp;tracks=[key:gene_model_track,Options:GeneOnly]&amp;mk=3908332:3908351|offset_19|444444,3908308:3908327|offset_43|00cc00,3908285:3908304|offset_66|444444,3908262:3908281|offset_89|444444&amp;v=3908131:3908481&amp;c=444444", "offset 43")</f>
        <v>offset 43</v>
      </c>
    </row>
    <row r="12467" customFormat="false" ht="12.8" hidden="false" customHeight="false" outlineLevel="0" collapsed="false">
      <c r="A12467" s="0" t="s">
        <v>12</v>
      </c>
      <c r="B12467" s="0" t="n">
        <v>3908284</v>
      </c>
      <c r="C12467" s="0" t="n">
        <v>3908304</v>
      </c>
      <c r="D12467" s="0" t="s">
        <v>41393</v>
      </c>
      <c r="E12467" s="0" t="s">
        <v>41394</v>
      </c>
      <c r="F12467" s="0" t="s">
        <v>90</v>
      </c>
      <c r="G12467" s="0" t="s">
        <v>20</v>
      </c>
      <c r="H12467" s="0" t="n">
        <v>66</v>
      </c>
      <c r="I12467" s="0" t="s">
        <v>41401</v>
      </c>
      <c r="J12467" s="0" t="s">
        <v>41402</v>
      </c>
      <c r="K12467" s="0" t="s">
        <v>41403</v>
      </c>
      <c r="L12467" s="0" t="str">
        <f aca="false">HYPERLINK("https://www.ncbi.nlm.nih.gov/nuccore/CP000058.1?report=graph&amp;tracks=[key:gene_model_track,Options:GeneOnly]&amp;mk=3908332:3908351|offset_19|444444,3908308:3908327|offset_43|444444,3908285:3908304|offset_66|00cc00,3908262:3908281|offset_89|444444&amp;v=3908131:3908481&amp;c=444444", "offset 66")</f>
        <v>offset 66</v>
      </c>
    </row>
    <row r="12468" customFormat="false" ht="12.8" hidden="false" customHeight="false" outlineLevel="0" collapsed="false">
      <c r="A12468" s="0" t="s">
        <v>12</v>
      </c>
      <c r="B12468" s="0" t="n">
        <v>3908261</v>
      </c>
      <c r="C12468" s="0" t="n">
        <v>3908281</v>
      </c>
      <c r="D12468" s="0" t="s">
        <v>41393</v>
      </c>
      <c r="E12468" s="0" t="s">
        <v>41394</v>
      </c>
      <c r="F12468" s="0" t="s">
        <v>90</v>
      </c>
      <c r="G12468" s="0" t="s">
        <v>16</v>
      </c>
      <c r="H12468" s="0" t="n">
        <v>89</v>
      </c>
      <c r="I12468" s="0" t="s">
        <v>41404</v>
      </c>
      <c r="J12468" s="0" t="s">
        <v>41405</v>
      </c>
      <c r="K12468" s="0" t="s">
        <v>41406</v>
      </c>
      <c r="L12468" s="0" t="str">
        <f aca="false">HYPERLINK("https://www.ncbi.nlm.nih.gov/nuccore/CP000058.1?report=graph&amp;tracks=[key:gene_model_track,Options:GeneOnly]&amp;mk=3908332:3908351|offset_19|444444,3908308:3908327|offset_43|444444,3908285:3908304|offset_66|444444,3908262:3908281|offset_89|00cc00&amp;v=3908131:3908481&amp;c=444444", "offset 89")</f>
        <v>offset 89</v>
      </c>
    </row>
    <row r="12469" customFormat="false" ht="12.8" hidden="false" customHeight="false" outlineLevel="0" collapsed="false">
      <c r="A12469" s="0" t="s">
        <v>12</v>
      </c>
      <c r="B12469" s="0" t="n">
        <v>3909157</v>
      </c>
      <c r="C12469" s="0" t="n">
        <v>3909177</v>
      </c>
      <c r="D12469" s="0" t="s">
        <v>41407</v>
      </c>
      <c r="E12469" s="0" t="s">
        <v>41408</v>
      </c>
      <c r="F12469" s="0" t="s">
        <v>90</v>
      </c>
      <c r="G12469" s="0" t="s">
        <v>32</v>
      </c>
      <c r="H12469" s="0" t="n">
        <v>7</v>
      </c>
      <c r="I12469" s="0" t="s">
        <v>41409</v>
      </c>
      <c r="J12469" s="0" t="s">
        <v>41410</v>
      </c>
      <c r="K12469" s="0" t="s">
        <v>41411</v>
      </c>
      <c r="L12469" s="0" t="str">
        <f aca="false">HYPERLINK("https://www.ncbi.nlm.nih.gov/nuccore/CP000058.1?report=graph&amp;tracks=[key:gene_model_track,Options:GeneOnly]&amp;mk=3909158:3909177|offset_7|00cc00,3909137:3909156|offset_28|444444,3909110:3909129|offset_55|444444,3909084:3909103|offset_81|444444&amp;v=3908957:3909303&amp;c=444444", "offset 7")</f>
        <v>offset 7</v>
      </c>
    </row>
    <row r="12470" customFormat="false" ht="12.8" hidden="false" customHeight="false" outlineLevel="0" collapsed="false">
      <c r="A12470" s="0" t="s">
        <v>12</v>
      </c>
      <c r="B12470" s="0" t="n">
        <v>3909136</v>
      </c>
      <c r="C12470" s="0" t="n">
        <v>3909156</v>
      </c>
      <c r="D12470" s="0" t="s">
        <v>41407</v>
      </c>
      <c r="E12470" s="0" t="s">
        <v>41408</v>
      </c>
      <c r="F12470" s="0" t="s">
        <v>90</v>
      </c>
      <c r="G12470" s="0" t="s">
        <v>32</v>
      </c>
      <c r="H12470" s="0" t="n">
        <v>28</v>
      </c>
      <c r="I12470" s="0" t="s">
        <v>41412</v>
      </c>
      <c r="J12470" s="0" t="s">
        <v>41413</v>
      </c>
      <c r="K12470" s="0" t="s">
        <v>41414</v>
      </c>
      <c r="L12470" s="0" t="str">
        <f aca="false">HYPERLINK("https://www.ncbi.nlm.nih.gov/nuccore/CP000058.1?report=graph&amp;tracks=[key:gene_model_track,Options:GeneOnly]&amp;mk=3909158:3909177|offset_7|444444,3909137:3909156|offset_28|00cc00,3909110:3909129|offset_55|444444,3909084:3909103|offset_81|444444&amp;v=3908957:3909303&amp;c=444444", "offset 28")</f>
        <v>offset 28</v>
      </c>
    </row>
    <row r="12471" customFormat="false" ht="12.8" hidden="false" customHeight="false" outlineLevel="0" collapsed="false">
      <c r="A12471" s="0" t="s">
        <v>12</v>
      </c>
      <c r="B12471" s="0" t="n">
        <v>3909109</v>
      </c>
      <c r="C12471" s="0" t="n">
        <v>3909129</v>
      </c>
      <c r="D12471" s="0" t="s">
        <v>41407</v>
      </c>
      <c r="E12471" s="0" t="s">
        <v>41408</v>
      </c>
      <c r="F12471" s="0" t="s">
        <v>90</v>
      </c>
      <c r="G12471" s="0" t="s">
        <v>16</v>
      </c>
      <c r="H12471" s="0" t="n">
        <v>55</v>
      </c>
      <c r="I12471" s="0" t="s">
        <v>41415</v>
      </c>
      <c r="J12471" s="0" t="s">
        <v>41416</v>
      </c>
      <c r="K12471" s="0" t="s">
        <v>41417</v>
      </c>
      <c r="L12471" s="0" t="str">
        <f aca="false">HYPERLINK("https://www.ncbi.nlm.nih.gov/nuccore/CP000058.1?report=graph&amp;tracks=[key:gene_model_track,Options:GeneOnly]&amp;mk=3909158:3909177|offset_7|444444,3909137:3909156|offset_28|444444,3909110:3909129|offset_55|00cc00,3909084:3909103|offset_81|444444&amp;v=3908957:3909303&amp;c=444444", "offset 55")</f>
        <v>offset 55</v>
      </c>
    </row>
    <row r="12472" customFormat="false" ht="12.8" hidden="false" customHeight="false" outlineLevel="0" collapsed="false">
      <c r="A12472" s="0" t="s">
        <v>12</v>
      </c>
      <c r="B12472" s="0" t="n">
        <v>3909083</v>
      </c>
      <c r="C12472" s="0" t="n">
        <v>3909103</v>
      </c>
      <c r="D12472" s="0" t="s">
        <v>41407</v>
      </c>
      <c r="E12472" s="0" t="s">
        <v>41408</v>
      </c>
      <c r="F12472" s="0" t="s">
        <v>90</v>
      </c>
      <c r="G12472" s="0" t="s">
        <v>36</v>
      </c>
      <c r="H12472" s="0" t="n">
        <v>81</v>
      </c>
      <c r="I12472" s="0" t="s">
        <v>41418</v>
      </c>
      <c r="J12472" s="0" t="s">
        <v>41419</v>
      </c>
      <c r="K12472" s="0" t="s">
        <v>41420</v>
      </c>
      <c r="L12472" s="0" t="str">
        <f aca="false">HYPERLINK("https://www.ncbi.nlm.nih.gov/nuccore/CP000058.1?report=graph&amp;tracks=[key:gene_model_track,Options:GeneOnly]&amp;mk=3909158:3909177|offset_7|444444,3909137:3909156|offset_28|444444,3909110:3909129|offset_55|444444,3909084:3909103|offset_81|00cc00&amp;v=3908957:3909303&amp;c=444444", "offset 81")</f>
        <v>offset 81</v>
      </c>
    </row>
    <row r="12473" customFormat="false" ht="12.8" hidden="false" customHeight="false" outlineLevel="0" collapsed="false">
      <c r="A12473" s="0" t="s">
        <v>12</v>
      </c>
      <c r="B12473" s="0" t="n">
        <v>3910180</v>
      </c>
      <c r="C12473" s="0" t="n">
        <v>3910200</v>
      </c>
      <c r="D12473" s="0" t="s">
        <v>41421</v>
      </c>
      <c r="E12473" s="0" t="s">
        <v>41422</v>
      </c>
      <c r="F12473" s="0" t="s">
        <v>90</v>
      </c>
      <c r="G12473" s="0" t="s">
        <v>32</v>
      </c>
      <c r="H12473" s="0" t="n">
        <v>1</v>
      </c>
      <c r="I12473" s="0" t="s">
        <v>41423</v>
      </c>
      <c r="J12473" s="0" t="s">
        <v>41424</v>
      </c>
      <c r="K12473" s="0" t="s">
        <v>41425</v>
      </c>
      <c r="L12473" s="0" t="str">
        <f aca="false">HYPERLINK("https://www.ncbi.nlm.nih.gov/nuccore/CP000058.1?report=graph&amp;tracks=[key:gene_model_track,Options:GeneOnly]&amp;mk=3910181:3910200|offset_1|00cc00,3910118:3910137|offset_64|444444,3910086:3910105|offset_96|444444,3909982:3910001|offset_200|444444&amp;v=3909980:3910201&amp;c=444444", "offset 1")</f>
        <v>offset 1</v>
      </c>
    </row>
    <row r="12474" customFormat="false" ht="12.8" hidden="false" customHeight="false" outlineLevel="0" collapsed="false">
      <c r="A12474" s="0" t="s">
        <v>12</v>
      </c>
      <c r="B12474" s="0" t="n">
        <v>3910117</v>
      </c>
      <c r="C12474" s="0" t="n">
        <v>3910137</v>
      </c>
      <c r="D12474" s="0" t="s">
        <v>41421</v>
      </c>
      <c r="E12474" s="0" t="s">
        <v>41422</v>
      </c>
      <c r="F12474" s="0" t="s">
        <v>90</v>
      </c>
      <c r="G12474" s="0" t="s">
        <v>16</v>
      </c>
      <c r="H12474" s="0" t="n">
        <v>64</v>
      </c>
      <c r="I12474" s="0" t="s">
        <v>41426</v>
      </c>
      <c r="J12474" s="0" t="s">
        <v>41427</v>
      </c>
      <c r="K12474" s="0" t="s">
        <v>41428</v>
      </c>
      <c r="L12474" s="0" t="str">
        <f aca="false">HYPERLINK("https://www.ncbi.nlm.nih.gov/nuccore/CP000058.1?report=graph&amp;tracks=[key:gene_model_track,Options:GeneOnly]&amp;mk=3910181:3910200|offset_1|444444,3910118:3910137|offset_64|00cc00,3910086:3910105|offset_96|444444,3909982:3910001|offset_200|444444&amp;v=3909980:3910201&amp;c=444444", "offset 64")</f>
        <v>offset 64</v>
      </c>
    </row>
    <row r="12475" customFormat="false" ht="12.8" hidden="false" customHeight="false" outlineLevel="0" collapsed="false">
      <c r="A12475" s="0" t="s">
        <v>12</v>
      </c>
      <c r="B12475" s="0" t="n">
        <v>3910085</v>
      </c>
      <c r="C12475" s="0" t="n">
        <v>3910105</v>
      </c>
      <c r="D12475" s="0" t="s">
        <v>41421</v>
      </c>
      <c r="E12475" s="0" t="s">
        <v>41422</v>
      </c>
      <c r="F12475" s="0" t="s">
        <v>90</v>
      </c>
      <c r="G12475" s="0" t="s">
        <v>36</v>
      </c>
      <c r="H12475" s="0" t="n">
        <v>96</v>
      </c>
      <c r="I12475" s="0" t="s">
        <v>41429</v>
      </c>
      <c r="J12475" s="0" t="s">
        <v>41430</v>
      </c>
      <c r="K12475" s="0" t="s">
        <v>41431</v>
      </c>
      <c r="L12475" s="0" t="str">
        <f aca="false">HYPERLINK("https://www.ncbi.nlm.nih.gov/nuccore/CP000058.1?report=graph&amp;tracks=[key:gene_model_track,Options:GeneOnly]&amp;mk=3910181:3910200|offset_1|444444,3910118:3910137|offset_64|444444,3910086:3910105|offset_96|00cc00,3909982:3910001|offset_200|444444&amp;v=3909980:3910201&amp;c=444444", "offset 96")</f>
        <v>offset 96</v>
      </c>
    </row>
    <row r="12476" customFormat="false" ht="12.8" hidden="false" customHeight="false" outlineLevel="0" collapsed="false">
      <c r="A12476" s="0" t="s">
        <v>12</v>
      </c>
      <c r="B12476" s="0" t="n">
        <v>3909981</v>
      </c>
      <c r="C12476" s="0" t="n">
        <v>3910001</v>
      </c>
      <c r="D12476" s="0" t="s">
        <v>41421</v>
      </c>
      <c r="E12476" s="0" t="s">
        <v>41422</v>
      </c>
      <c r="F12476" s="0" t="s">
        <v>90</v>
      </c>
      <c r="G12476" s="0" t="s">
        <v>32</v>
      </c>
      <c r="H12476" s="0" t="n">
        <v>200</v>
      </c>
      <c r="I12476" s="0" t="s">
        <v>41432</v>
      </c>
      <c r="J12476" s="0" t="s">
        <v>41433</v>
      </c>
      <c r="K12476" s="0" t="s">
        <v>41434</v>
      </c>
      <c r="L12476" s="0" t="str">
        <f aca="false">HYPERLINK("https://www.ncbi.nlm.nih.gov/nuccore/CP000058.1?report=graph&amp;tracks=[key:gene_model_track,Options:GeneOnly]&amp;mk=3910181:3910200|offset_1|444444,3910118:3910137|offset_64|444444,3910086:3910105|offset_96|444444,3909982:3910001|offset_200|00cc00&amp;v=3909980:3910201&amp;c=444444", "offset 200")</f>
        <v>offset 200</v>
      </c>
    </row>
    <row r="12477" customFormat="false" ht="12.8" hidden="false" customHeight="false" outlineLevel="0" collapsed="false">
      <c r="A12477" s="0" t="s">
        <v>12</v>
      </c>
      <c r="B12477" s="0" t="n">
        <v>3911966</v>
      </c>
      <c r="C12477" s="0" t="n">
        <v>3911986</v>
      </c>
      <c r="D12477" s="0" t="s">
        <v>41435</v>
      </c>
      <c r="E12477" s="0" t="s">
        <v>41436</v>
      </c>
      <c r="F12477" s="0" t="s">
        <v>90</v>
      </c>
      <c r="G12477" s="0" t="s">
        <v>16</v>
      </c>
      <c r="H12477" s="0" t="n">
        <v>7</v>
      </c>
      <c r="I12477" s="0" t="s">
        <v>41437</v>
      </c>
      <c r="J12477" s="0" t="s">
        <v>41438</v>
      </c>
      <c r="K12477" s="0" t="s">
        <v>41439</v>
      </c>
      <c r="L12477" s="0" t="str">
        <f aca="false">HYPERLINK("https://www.ncbi.nlm.nih.gov/nuccore/CP000058.1?report=graph&amp;tracks=[key:gene_model_track,Options:GeneOnly]&amp;mk=3911967:3911986|offset_7|00cc00,3911944:3911963|offset_30|444444,3911914:3911933|offset_60|444444,3911885:3911904|offset_89|444444&amp;v=3911766:3912104&amp;c=444444", "offset 7")</f>
        <v>offset 7</v>
      </c>
    </row>
    <row r="12478" customFormat="false" ht="12.8" hidden="false" customHeight="false" outlineLevel="0" collapsed="false">
      <c r="A12478" s="0" t="s">
        <v>12</v>
      </c>
      <c r="B12478" s="0" t="n">
        <v>3911943</v>
      </c>
      <c r="C12478" s="0" t="n">
        <v>3911963</v>
      </c>
      <c r="D12478" s="0" t="s">
        <v>41435</v>
      </c>
      <c r="E12478" s="0" t="s">
        <v>41436</v>
      </c>
      <c r="F12478" s="0" t="s">
        <v>90</v>
      </c>
      <c r="G12478" s="0" t="s">
        <v>32</v>
      </c>
      <c r="H12478" s="0" t="n">
        <v>30</v>
      </c>
      <c r="I12478" s="0" t="s">
        <v>41440</v>
      </c>
      <c r="J12478" s="0" t="s">
        <v>41441</v>
      </c>
      <c r="K12478" s="0" t="s">
        <v>41442</v>
      </c>
      <c r="L12478" s="0" t="str">
        <f aca="false">HYPERLINK("https://www.ncbi.nlm.nih.gov/nuccore/CP000058.1?report=graph&amp;tracks=[key:gene_model_track,Options:GeneOnly]&amp;mk=3911967:3911986|offset_7|444444,3911944:3911963|offset_30|00cc00,3911914:3911933|offset_60|444444,3911885:3911904|offset_89|444444&amp;v=3911766:3912104&amp;c=444444", "offset 30")</f>
        <v>offset 30</v>
      </c>
    </row>
    <row r="12479" customFormat="false" ht="12.8" hidden="false" customHeight="false" outlineLevel="0" collapsed="false">
      <c r="A12479" s="0" t="s">
        <v>12</v>
      </c>
      <c r="B12479" s="0" t="n">
        <v>3911913</v>
      </c>
      <c r="C12479" s="0" t="n">
        <v>3911933</v>
      </c>
      <c r="D12479" s="0" t="s">
        <v>41435</v>
      </c>
      <c r="E12479" s="0" t="s">
        <v>41436</v>
      </c>
      <c r="F12479" s="0" t="s">
        <v>90</v>
      </c>
      <c r="G12479" s="0" t="s">
        <v>16</v>
      </c>
      <c r="H12479" s="0" t="n">
        <v>60</v>
      </c>
      <c r="I12479" s="0" t="s">
        <v>41443</v>
      </c>
      <c r="J12479" s="0" t="s">
        <v>41444</v>
      </c>
      <c r="K12479" s="0" t="s">
        <v>41445</v>
      </c>
      <c r="L12479" s="0" t="str">
        <f aca="false">HYPERLINK("https://www.ncbi.nlm.nih.gov/nuccore/CP000058.1?report=graph&amp;tracks=[key:gene_model_track,Options:GeneOnly]&amp;mk=3911967:3911986|offset_7|444444,3911944:3911963|offset_30|444444,3911914:3911933|offset_60|00cc00,3911885:3911904|offset_89|444444&amp;v=3911766:3912104&amp;c=444444", "offset 60")</f>
        <v>offset 60</v>
      </c>
    </row>
    <row r="12480" customFormat="false" ht="12.8" hidden="false" customHeight="false" outlineLevel="0" collapsed="false">
      <c r="A12480" s="0" t="s">
        <v>12</v>
      </c>
      <c r="B12480" s="0" t="n">
        <v>3911884</v>
      </c>
      <c r="C12480" s="0" t="n">
        <v>3911904</v>
      </c>
      <c r="D12480" s="0" t="s">
        <v>41435</v>
      </c>
      <c r="E12480" s="0" t="s">
        <v>41436</v>
      </c>
      <c r="F12480" s="0" t="s">
        <v>90</v>
      </c>
      <c r="G12480" s="0" t="s">
        <v>20</v>
      </c>
      <c r="H12480" s="0" t="n">
        <v>89</v>
      </c>
      <c r="I12480" s="0" t="s">
        <v>41446</v>
      </c>
      <c r="J12480" s="0" t="s">
        <v>41447</v>
      </c>
      <c r="K12480" s="0" t="s">
        <v>41448</v>
      </c>
      <c r="L12480" s="0" t="str">
        <f aca="false">HYPERLINK("https://www.ncbi.nlm.nih.gov/nuccore/CP000058.1?report=graph&amp;tracks=[key:gene_model_track,Options:GeneOnly]&amp;mk=3911967:3911986|offset_7|444444,3911944:3911963|offset_30|444444,3911914:3911933|offset_60|444444,3911885:3911904|offset_89|00cc00&amp;v=3911766:3912104&amp;c=444444", "offset 89")</f>
        <v>offset 89</v>
      </c>
    </row>
    <row r="12481" customFormat="false" ht="12.8" hidden="false" customHeight="false" outlineLevel="0" collapsed="false">
      <c r="A12481" s="0" t="s">
        <v>12</v>
      </c>
      <c r="B12481" s="0" t="n">
        <v>3912317</v>
      </c>
      <c r="C12481" s="0" t="n">
        <v>3912337</v>
      </c>
      <c r="D12481" s="0" t="s">
        <v>41449</v>
      </c>
      <c r="E12481" s="0" t="s">
        <v>41450</v>
      </c>
      <c r="F12481" s="0" t="s">
        <v>90</v>
      </c>
      <c r="G12481" s="0" t="s">
        <v>32</v>
      </c>
      <c r="H12481" s="0" t="n">
        <v>1</v>
      </c>
      <c r="I12481" s="0" t="s">
        <v>41451</v>
      </c>
      <c r="J12481" s="0" t="s">
        <v>41452</v>
      </c>
      <c r="K12481" s="0" t="s">
        <v>41453</v>
      </c>
      <c r="L12481" s="0" t="str">
        <f aca="false">HYPERLINK("https://www.ncbi.nlm.nih.gov/nuccore/CP000058.1?report=graph&amp;tracks=[key:gene_model_track,Options:GeneOnly]&amp;mk=3912318:3912337|offset_1|00cc00,3912270:3912289|offset_49|444444,3912244:3912263|offset_75|444444,3912210:3912229|offset_109|444444&amp;v=3912117:3912429&amp;c=444444", "offset 1")</f>
        <v>offset 1</v>
      </c>
    </row>
    <row r="12482" customFormat="false" ht="12.8" hidden="false" customHeight="false" outlineLevel="0" collapsed="false">
      <c r="A12482" s="0" t="s">
        <v>12</v>
      </c>
      <c r="B12482" s="0" t="n">
        <v>3912269</v>
      </c>
      <c r="C12482" s="0" t="n">
        <v>3912289</v>
      </c>
      <c r="D12482" s="0" t="s">
        <v>41449</v>
      </c>
      <c r="E12482" s="0" t="s">
        <v>41450</v>
      </c>
      <c r="F12482" s="0" t="s">
        <v>90</v>
      </c>
      <c r="G12482" s="0" t="s">
        <v>32</v>
      </c>
      <c r="H12482" s="0" t="n">
        <v>49</v>
      </c>
      <c r="I12482" s="0" t="s">
        <v>41454</v>
      </c>
      <c r="J12482" s="0" t="s">
        <v>41455</v>
      </c>
      <c r="K12482" s="0" t="s">
        <v>41456</v>
      </c>
      <c r="L12482" s="0" t="str">
        <f aca="false">HYPERLINK("https://www.ncbi.nlm.nih.gov/nuccore/CP000058.1?report=graph&amp;tracks=[key:gene_model_track,Options:GeneOnly]&amp;mk=3912318:3912337|offset_1|444444,3912270:3912289|offset_49|00cc00,3912244:3912263|offset_75|444444,3912210:3912229|offset_109|444444&amp;v=3912117:3912429&amp;c=444444", "offset 49")</f>
        <v>offset 49</v>
      </c>
    </row>
    <row r="12483" customFormat="false" ht="12.8" hidden="false" customHeight="false" outlineLevel="0" collapsed="false">
      <c r="A12483" s="0" t="s">
        <v>12</v>
      </c>
      <c r="B12483" s="0" t="n">
        <v>3912243</v>
      </c>
      <c r="C12483" s="0" t="n">
        <v>3912263</v>
      </c>
      <c r="D12483" s="0" t="s">
        <v>41449</v>
      </c>
      <c r="E12483" s="0" t="s">
        <v>41450</v>
      </c>
      <c r="F12483" s="0" t="s">
        <v>90</v>
      </c>
      <c r="G12483" s="0" t="s">
        <v>36</v>
      </c>
      <c r="H12483" s="0" t="n">
        <v>75</v>
      </c>
      <c r="I12483" s="0" t="s">
        <v>41457</v>
      </c>
      <c r="J12483" s="0" t="s">
        <v>41458</v>
      </c>
      <c r="K12483" s="0" t="s">
        <v>41459</v>
      </c>
      <c r="L12483" s="0" t="str">
        <f aca="false">HYPERLINK("https://www.ncbi.nlm.nih.gov/nuccore/CP000058.1?report=graph&amp;tracks=[key:gene_model_track,Options:GeneOnly]&amp;mk=3912318:3912337|offset_1|444444,3912270:3912289|offset_49|444444,3912244:3912263|offset_75|00cc00,3912210:3912229|offset_109|444444&amp;v=3912117:3912429&amp;c=444444", "offset 75")</f>
        <v>offset 75</v>
      </c>
    </row>
    <row r="12484" customFormat="false" ht="12.8" hidden="false" customHeight="false" outlineLevel="0" collapsed="false">
      <c r="A12484" s="0" t="s">
        <v>12</v>
      </c>
      <c r="B12484" s="0" t="n">
        <v>3912209</v>
      </c>
      <c r="C12484" s="0" t="n">
        <v>3912229</v>
      </c>
      <c r="D12484" s="0" t="s">
        <v>41449</v>
      </c>
      <c r="E12484" s="0" t="s">
        <v>41450</v>
      </c>
      <c r="F12484" s="0" t="s">
        <v>90</v>
      </c>
      <c r="G12484" s="0" t="s">
        <v>32</v>
      </c>
      <c r="H12484" s="0" t="n">
        <v>109</v>
      </c>
      <c r="I12484" s="0" t="s">
        <v>41460</v>
      </c>
      <c r="J12484" s="0" t="s">
        <v>41461</v>
      </c>
      <c r="K12484" s="0" t="s">
        <v>41462</v>
      </c>
      <c r="L12484" s="0" t="str">
        <f aca="false">HYPERLINK("https://www.ncbi.nlm.nih.gov/nuccore/CP000058.1?report=graph&amp;tracks=[key:gene_model_track,Options:GeneOnly]&amp;mk=3912318:3912337|offset_1|444444,3912270:3912289|offset_49|444444,3912244:3912263|offset_75|444444,3912210:3912229|offset_109|00cc00&amp;v=3912117:3912429&amp;c=444444", "offset 109")</f>
        <v>offset 109</v>
      </c>
    </row>
    <row r="12485" customFormat="false" ht="12.8" hidden="false" customHeight="false" outlineLevel="0" collapsed="false">
      <c r="A12485" s="0" t="s">
        <v>12</v>
      </c>
      <c r="B12485" s="0" t="n">
        <v>3913942</v>
      </c>
      <c r="C12485" s="0" t="n">
        <v>3913962</v>
      </c>
      <c r="D12485" s="0" t="s">
        <v>41463</v>
      </c>
      <c r="E12485" s="0" t="s">
        <v>41464</v>
      </c>
      <c r="F12485" s="0" t="s">
        <v>90</v>
      </c>
      <c r="G12485" s="0" t="s">
        <v>16</v>
      </c>
      <c r="H12485" s="0" t="n">
        <v>35</v>
      </c>
      <c r="I12485" s="0" t="s">
        <v>41465</v>
      </c>
      <c r="J12485" s="0" t="s">
        <v>41466</v>
      </c>
      <c r="K12485" s="0" t="s">
        <v>41467</v>
      </c>
      <c r="L12485" s="0" t="str">
        <f aca="false">HYPERLINK("https://www.ncbi.nlm.nih.gov/nuccore/CP000058.1?report=graph&amp;tracks=[key:gene_model_track,Options:GeneOnly]&amp;mk=3913943:3913962|offset_35|00cc00,3913914:3913933|offset_64|444444,3913889:3913908|offset_89|444444,3913851:3913870|offset_127|444444&amp;v=3913742:3914070&amp;c=444444", "offset 35")</f>
        <v>offset 35</v>
      </c>
    </row>
    <row r="12486" customFormat="false" ht="12.8" hidden="false" customHeight="false" outlineLevel="0" collapsed="false">
      <c r="A12486" s="0" t="s">
        <v>12</v>
      </c>
      <c r="B12486" s="0" t="n">
        <v>3913913</v>
      </c>
      <c r="C12486" s="0" t="n">
        <v>3913933</v>
      </c>
      <c r="D12486" s="0" t="s">
        <v>41463</v>
      </c>
      <c r="E12486" s="0" t="s">
        <v>41464</v>
      </c>
      <c r="F12486" s="0" t="s">
        <v>90</v>
      </c>
      <c r="G12486" s="0" t="s">
        <v>36</v>
      </c>
      <c r="H12486" s="0" t="n">
        <v>64</v>
      </c>
      <c r="I12486" s="0" t="s">
        <v>41468</v>
      </c>
      <c r="J12486" s="0" t="s">
        <v>41469</v>
      </c>
      <c r="K12486" s="0" t="s">
        <v>41470</v>
      </c>
      <c r="L12486" s="0" t="str">
        <f aca="false">HYPERLINK("https://www.ncbi.nlm.nih.gov/nuccore/CP000058.1?report=graph&amp;tracks=[key:gene_model_track,Options:GeneOnly]&amp;mk=3913943:3913962|offset_35|444444,3913914:3913933|offset_64|00cc00,3913889:3913908|offset_89|444444,3913851:3913870|offset_127|444444&amp;v=3913742:3914070&amp;c=444444", "offset 64")</f>
        <v>offset 64</v>
      </c>
    </row>
    <row r="12487" customFormat="false" ht="12.8" hidden="false" customHeight="false" outlineLevel="0" collapsed="false">
      <c r="A12487" s="0" t="s">
        <v>12</v>
      </c>
      <c r="B12487" s="0" t="n">
        <v>3913888</v>
      </c>
      <c r="C12487" s="0" t="n">
        <v>3913908</v>
      </c>
      <c r="D12487" s="0" t="s">
        <v>41463</v>
      </c>
      <c r="E12487" s="0" t="s">
        <v>41464</v>
      </c>
      <c r="F12487" s="0" t="s">
        <v>90</v>
      </c>
      <c r="G12487" s="0" t="s">
        <v>32</v>
      </c>
      <c r="H12487" s="0" t="n">
        <v>89</v>
      </c>
      <c r="I12487" s="0" t="s">
        <v>41471</v>
      </c>
      <c r="J12487" s="0" t="s">
        <v>41472</v>
      </c>
      <c r="K12487" s="0" t="s">
        <v>41473</v>
      </c>
      <c r="L12487" s="0" t="str">
        <f aca="false">HYPERLINK("https://www.ncbi.nlm.nih.gov/nuccore/CP000058.1?report=graph&amp;tracks=[key:gene_model_track,Options:GeneOnly]&amp;mk=3913943:3913962|offset_35|444444,3913914:3913933|offset_64|444444,3913889:3913908|offset_89|00cc00,3913851:3913870|offset_127|444444&amp;v=3913742:3914070&amp;c=444444", "offset 89")</f>
        <v>offset 89</v>
      </c>
    </row>
    <row r="12488" customFormat="false" ht="12.8" hidden="false" customHeight="false" outlineLevel="0" collapsed="false">
      <c r="A12488" s="0" t="s">
        <v>12</v>
      </c>
      <c r="B12488" s="0" t="n">
        <v>3913850</v>
      </c>
      <c r="C12488" s="0" t="n">
        <v>3913870</v>
      </c>
      <c r="D12488" s="0" t="s">
        <v>41463</v>
      </c>
      <c r="E12488" s="0" t="s">
        <v>41464</v>
      </c>
      <c r="F12488" s="0" t="s">
        <v>90</v>
      </c>
      <c r="G12488" s="0" t="s">
        <v>16</v>
      </c>
      <c r="H12488" s="0" t="n">
        <v>127</v>
      </c>
      <c r="I12488" s="0" t="s">
        <v>41474</v>
      </c>
      <c r="J12488" s="0" t="s">
        <v>41475</v>
      </c>
      <c r="K12488" s="0" t="s">
        <v>41476</v>
      </c>
      <c r="L12488" s="0" t="str">
        <f aca="false">HYPERLINK("https://www.ncbi.nlm.nih.gov/nuccore/CP000058.1?report=graph&amp;tracks=[key:gene_model_track,Options:GeneOnly]&amp;mk=3913943:3913962|offset_35|444444,3913914:3913933|offset_64|444444,3913889:3913908|offset_89|444444,3913851:3913870|offset_127|00cc00&amp;v=3913742:3914070&amp;c=444444", "offset 127")</f>
        <v>offset 127</v>
      </c>
    </row>
    <row r="12489" customFormat="false" ht="12.8" hidden="false" customHeight="false" outlineLevel="0" collapsed="false">
      <c r="A12489" s="0" t="s">
        <v>12</v>
      </c>
      <c r="B12489" s="0" t="n">
        <v>3915184</v>
      </c>
      <c r="C12489" s="0" t="n">
        <v>3915204</v>
      </c>
      <c r="D12489" s="0" t="s">
        <v>41477</v>
      </c>
      <c r="E12489" s="0" t="s">
        <v>41478</v>
      </c>
      <c r="F12489" s="0" t="s">
        <v>90</v>
      </c>
      <c r="G12489" s="0" t="s">
        <v>36</v>
      </c>
      <c r="H12489" s="0" t="n">
        <v>7</v>
      </c>
      <c r="I12489" s="0" t="s">
        <v>41479</v>
      </c>
      <c r="J12489" s="0" t="s">
        <v>41480</v>
      </c>
      <c r="K12489" s="0" t="s">
        <v>41481</v>
      </c>
      <c r="L12489" s="0" t="str">
        <f aca="false">HYPERLINK("https://www.ncbi.nlm.nih.gov/nuccore/CP000058.1?report=graph&amp;tracks=[key:gene_model_track,Options:GeneOnly]&amp;mk=3915185:3915204|offset_7|00cc00,3915164:3915183|offset_28|444444,3915137:3915156|offset_55|444444,3915065:3915084|offset_127|444444&amp;v=3914984:3915284&amp;c=444444", "offset 7")</f>
        <v>offset 7</v>
      </c>
    </row>
    <row r="12490" customFormat="false" ht="12.8" hidden="false" customHeight="false" outlineLevel="0" collapsed="false">
      <c r="A12490" s="0" t="s">
        <v>12</v>
      </c>
      <c r="B12490" s="0" t="n">
        <v>3915163</v>
      </c>
      <c r="C12490" s="0" t="n">
        <v>3915183</v>
      </c>
      <c r="D12490" s="0" t="s">
        <v>41477</v>
      </c>
      <c r="E12490" s="0" t="s">
        <v>41478</v>
      </c>
      <c r="F12490" s="0" t="s">
        <v>90</v>
      </c>
      <c r="G12490" s="0" t="s">
        <v>16</v>
      </c>
      <c r="H12490" s="0" t="n">
        <v>28</v>
      </c>
      <c r="I12490" s="0" t="s">
        <v>41482</v>
      </c>
      <c r="J12490" s="0" t="s">
        <v>41483</v>
      </c>
      <c r="K12490" s="0" t="s">
        <v>41484</v>
      </c>
      <c r="L12490" s="0" t="str">
        <f aca="false">HYPERLINK("https://www.ncbi.nlm.nih.gov/nuccore/CP000058.1?report=graph&amp;tracks=[key:gene_model_track,Options:GeneOnly]&amp;mk=3915185:3915204|offset_7|444444,3915164:3915183|offset_28|00cc00,3915137:3915156|offset_55|444444,3915065:3915084|offset_127|444444&amp;v=3914984:3915284&amp;c=444444", "offset 28")</f>
        <v>offset 28</v>
      </c>
    </row>
    <row r="12491" customFormat="false" ht="12.8" hidden="false" customHeight="false" outlineLevel="0" collapsed="false">
      <c r="A12491" s="0" t="s">
        <v>12</v>
      </c>
      <c r="B12491" s="0" t="n">
        <v>3915136</v>
      </c>
      <c r="C12491" s="0" t="n">
        <v>3915156</v>
      </c>
      <c r="D12491" s="0" t="s">
        <v>41477</v>
      </c>
      <c r="E12491" s="0" t="s">
        <v>41478</v>
      </c>
      <c r="F12491" s="0" t="s">
        <v>90</v>
      </c>
      <c r="G12491" s="0" t="s">
        <v>36</v>
      </c>
      <c r="H12491" s="0" t="n">
        <v>55</v>
      </c>
      <c r="I12491" s="0" t="s">
        <v>41485</v>
      </c>
      <c r="J12491" s="0" t="s">
        <v>41486</v>
      </c>
      <c r="K12491" s="0" t="s">
        <v>41487</v>
      </c>
      <c r="L12491" s="0" t="str">
        <f aca="false">HYPERLINK("https://www.ncbi.nlm.nih.gov/nuccore/CP000058.1?report=graph&amp;tracks=[key:gene_model_track,Options:GeneOnly]&amp;mk=3915185:3915204|offset_7|444444,3915164:3915183|offset_28|444444,3915137:3915156|offset_55|00cc00,3915065:3915084|offset_127|444444&amp;v=3914984:3915284&amp;c=444444", "offset 55")</f>
        <v>offset 55</v>
      </c>
    </row>
    <row r="12492" customFormat="false" ht="12.8" hidden="false" customHeight="false" outlineLevel="0" collapsed="false">
      <c r="A12492" s="0" t="s">
        <v>12</v>
      </c>
      <c r="B12492" s="0" t="n">
        <v>3915064</v>
      </c>
      <c r="C12492" s="0" t="n">
        <v>3915084</v>
      </c>
      <c r="D12492" s="0" t="s">
        <v>41477</v>
      </c>
      <c r="E12492" s="0" t="s">
        <v>41478</v>
      </c>
      <c r="F12492" s="0" t="s">
        <v>90</v>
      </c>
      <c r="G12492" s="0" t="s">
        <v>16</v>
      </c>
      <c r="H12492" s="0" t="n">
        <v>127</v>
      </c>
      <c r="I12492" s="0" t="s">
        <v>41488</v>
      </c>
      <c r="J12492" s="0" t="s">
        <v>41489</v>
      </c>
      <c r="K12492" s="0" t="s">
        <v>41490</v>
      </c>
      <c r="L12492" s="0" t="str">
        <f aca="false">HYPERLINK("https://www.ncbi.nlm.nih.gov/nuccore/CP000058.1?report=graph&amp;tracks=[key:gene_model_track,Options:GeneOnly]&amp;mk=3915185:3915204|offset_7|444444,3915164:3915183|offset_28|444444,3915137:3915156|offset_55|444444,3915065:3915084|offset_127|00cc00&amp;v=3914984:3915284&amp;c=444444", "offset 127")</f>
        <v>offset 127</v>
      </c>
    </row>
    <row r="12493" customFormat="false" ht="12.8" hidden="false" customHeight="false" outlineLevel="0" collapsed="false">
      <c r="A12493" s="0" t="s">
        <v>12</v>
      </c>
      <c r="B12493" s="0" t="n">
        <v>3916739</v>
      </c>
      <c r="C12493" s="0" t="n">
        <v>3916759</v>
      </c>
      <c r="D12493" s="0" t="s">
        <v>41491</v>
      </c>
      <c r="E12493" s="0" t="s">
        <v>41492</v>
      </c>
      <c r="F12493" s="0" t="s">
        <v>90</v>
      </c>
      <c r="G12493" s="0" t="s">
        <v>16</v>
      </c>
      <c r="H12493" s="0" t="n">
        <v>50</v>
      </c>
      <c r="I12493" s="0" t="s">
        <v>41493</v>
      </c>
      <c r="J12493" s="0" t="s">
        <v>41494</v>
      </c>
      <c r="K12493" s="0" t="s">
        <v>41495</v>
      </c>
      <c r="L12493" s="0" t="str">
        <f aca="false">HYPERLINK("https://www.ncbi.nlm.nih.gov/nuccore/CP000058.1?report=graph&amp;tracks=[key:gene_model_track,Options:GeneOnly]&amp;mk=3916740:3916759|offset_50|00cc00,3916719:3916738|offset_71|444444,3916695:3916714|offset_95|444444,3916643:3916662|offset_147|444444&amp;v=3916539:3916862&amp;c=444444", "offset 50")</f>
        <v>offset 50</v>
      </c>
    </row>
    <row r="12494" customFormat="false" ht="12.8" hidden="false" customHeight="false" outlineLevel="0" collapsed="false">
      <c r="A12494" s="0" t="s">
        <v>12</v>
      </c>
      <c r="B12494" s="0" t="n">
        <v>3916718</v>
      </c>
      <c r="C12494" s="0" t="n">
        <v>3916738</v>
      </c>
      <c r="D12494" s="0" t="s">
        <v>41491</v>
      </c>
      <c r="E12494" s="0" t="s">
        <v>41492</v>
      </c>
      <c r="F12494" s="0" t="s">
        <v>90</v>
      </c>
      <c r="G12494" s="0" t="s">
        <v>20</v>
      </c>
      <c r="H12494" s="0" t="n">
        <v>71</v>
      </c>
      <c r="I12494" s="0" t="s">
        <v>41496</v>
      </c>
      <c r="J12494" s="0" t="s">
        <v>41497</v>
      </c>
      <c r="K12494" s="0" t="s">
        <v>41498</v>
      </c>
      <c r="L12494" s="0" t="str">
        <f aca="false">HYPERLINK("https://www.ncbi.nlm.nih.gov/nuccore/CP000058.1?report=graph&amp;tracks=[key:gene_model_track,Options:GeneOnly]&amp;mk=3916740:3916759|offset_50|444444,3916719:3916738|offset_71|00cc00,3916695:3916714|offset_95|444444,3916643:3916662|offset_147|444444&amp;v=3916539:3916862&amp;c=444444", "offset 71")</f>
        <v>offset 71</v>
      </c>
    </row>
    <row r="12495" customFormat="false" ht="12.8" hidden="false" customHeight="false" outlineLevel="0" collapsed="false">
      <c r="A12495" s="0" t="s">
        <v>12</v>
      </c>
      <c r="B12495" s="0" t="n">
        <v>3916694</v>
      </c>
      <c r="C12495" s="0" t="n">
        <v>3916714</v>
      </c>
      <c r="D12495" s="0" t="s">
        <v>41491</v>
      </c>
      <c r="E12495" s="0" t="s">
        <v>41492</v>
      </c>
      <c r="F12495" s="0" t="s">
        <v>90</v>
      </c>
      <c r="G12495" s="0" t="s">
        <v>20</v>
      </c>
      <c r="H12495" s="0" t="n">
        <v>95</v>
      </c>
      <c r="I12495" s="0" t="s">
        <v>41499</v>
      </c>
      <c r="J12495" s="0" t="s">
        <v>41500</v>
      </c>
      <c r="K12495" s="0" t="s">
        <v>41501</v>
      </c>
      <c r="L12495" s="0" t="str">
        <f aca="false">HYPERLINK("https://www.ncbi.nlm.nih.gov/nuccore/CP000058.1?report=graph&amp;tracks=[key:gene_model_track,Options:GeneOnly]&amp;mk=3916740:3916759|offset_50|444444,3916719:3916738|offset_71|444444,3916695:3916714|offset_95|00cc00,3916643:3916662|offset_147|444444&amp;v=3916539:3916862&amp;c=444444", "offset 95")</f>
        <v>offset 95</v>
      </c>
    </row>
    <row r="12496" customFormat="false" ht="12.8" hidden="false" customHeight="false" outlineLevel="0" collapsed="false">
      <c r="A12496" s="0" t="s">
        <v>12</v>
      </c>
      <c r="B12496" s="0" t="n">
        <v>3916642</v>
      </c>
      <c r="C12496" s="0" t="n">
        <v>3916662</v>
      </c>
      <c r="D12496" s="0" t="s">
        <v>41491</v>
      </c>
      <c r="E12496" s="0" t="s">
        <v>41492</v>
      </c>
      <c r="F12496" s="0" t="s">
        <v>90</v>
      </c>
      <c r="G12496" s="0" t="s">
        <v>16</v>
      </c>
      <c r="H12496" s="0" t="n">
        <v>147</v>
      </c>
      <c r="I12496" s="0" t="s">
        <v>41502</v>
      </c>
      <c r="J12496" s="0" t="s">
        <v>41503</v>
      </c>
      <c r="K12496" s="0" t="s">
        <v>41504</v>
      </c>
      <c r="L12496" s="0" t="str">
        <f aca="false">HYPERLINK("https://www.ncbi.nlm.nih.gov/nuccore/CP000058.1?report=graph&amp;tracks=[key:gene_model_track,Options:GeneOnly]&amp;mk=3916740:3916759|offset_50|444444,3916719:3916738|offset_71|444444,3916695:3916714|offset_95|444444,3916643:3916662|offset_147|00cc00&amp;v=3916539:3916862&amp;c=444444", "offset 147")</f>
        <v>offset 147</v>
      </c>
    </row>
    <row r="12497" customFormat="false" ht="12.8" hidden="false" customHeight="false" outlineLevel="0" collapsed="false">
      <c r="A12497" s="0" t="s">
        <v>12</v>
      </c>
      <c r="B12497" s="0" t="n">
        <v>3917229</v>
      </c>
      <c r="C12497" s="0" t="n">
        <v>3917249</v>
      </c>
      <c r="D12497" s="0" t="s">
        <v>41505</v>
      </c>
      <c r="E12497" s="0" t="s">
        <v>41506</v>
      </c>
      <c r="F12497" s="0" t="s">
        <v>90</v>
      </c>
      <c r="G12497" s="0" t="s">
        <v>36</v>
      </c>
      <c r="H12497" s="0" t="n">
        <v>34</v>
      </c>
      <c r="I12497" s="0" t="s">
        <v>41507</v>
      </c>
      <c r="J12497" s="0" t="s">
        <v>41508</v>
      </c>
      <c r="K12497" s="0" t="s">
        <v>41509</v>
      </c>
      <c r="L12497" s="0" t="str">
        <f aca="false">HYPERLINK("https://www.ncbi.nlm.nih.gov/nuccore/CP000058.1?report=graph&amp;tracks=[key:gene_model_track,Options:GeneOnly]&amp;mk=3917230:3917249|offset_34|00cc00,3917203:3917222|offset_61|444444,3917169:3917188|offset_95|444444,3917126:3917145|offset_138|444444&amp;v=3917029:3917345&amp;c=444444", "offset 34")</f>
        <v>offset 34</v>
      </c>
    </row>
    <row r="12498" customFormat="false" ht="12.8" hidden="false" customHeight="false" outlineLevel="0" collapsed="false">
      <c r="A12498" s="0" t="s">
        <v>12</v>
      </c>
      <c r="B12498" s="0" t="n">
        <v>3917202</v>
      </c>
      <c r="C12498" s="0" t="n">
        <v>3917222</v>
      </c>
      <c r="D12498" s="0" t="s">
        <v>41505</v>
      </c>
      <c r="E12498" s="0" t="s">
        <v>41506</v>
      </c>
      <c r="F12498" s="0" t="s">
        <v>90</v>
      </c>
      <c r="G12498" s="0" t="s">
        <v>16</v>
      </c>
      <c r="H12498" s="0" t="n">
        <v>61</v>
      </c>
      <c r="I12498" s="0" t="s">
        <v>41510</v>
      </c>
      <c r="J12498" s="0" t="s">
        <v>41511</v>
      </c>
      <c r="K12498" s="0" t="s">
        <v>41512</v>
      </c>
      <c r="L12498" s="0" t="str">
        <f aca="false">HYPERLINK("https://www.ncbi.nlm.nih.gov/nuccore/CP000058.1?report=graph&amp;tracks=[key:gene_model_track,Options:GeneOnly]&amp;mk=3917230:3917249|offset_34|444444,3917203:3917222|offset_61|00cc00,3917169:3917188|offset_95|444444,3917126:3917145|offset_138|444444&amp;v=3917029:3917345&amp;c=444444", "offset 61")</f>
        <v>offset 61</v>
      </c>
    </row>
    <row r="12499" customFormat="false" ht="12.8" hidden="false" customHeight="false" outlineLevel="0" collapsed="false">
      <c r="A12499" s="0" t="s">
        <v>12</v>
      </c>
      <c r="B12499" s="0" t="n">
        <v>3917168</v>
      </c>
      <c r="C12499" s="0" t="n">
        <v>3917188</v>
      </c>
      <c r="D12499" s="0" t="s">
        <v>41505</v>
      </c>
      <c r="E12499" s="0" t="s">
        <v>41506</v>
      </c>
      <c r="F12499" s="0" t="s">
        <v>90</v>
      </c>
      <c r="G12499" s="0" t="s">
        <v>20</v>
      </c>
      <c r="H12499" s="0" t="n">
        <v>95</v>
      </c>
      <c r="I12499" s="0" t="s">
        <v>41513</v>
      </c>
      <c r="J12499" s="0" t="s">
        <v>41514</v>
      </c>
      <c r="K12499" s="0" t="s">
        <v>41515</v>
      </c>
      <c r="L12499" s="0" t="str">
        <f aca="false">HYPERLINK("https://www.ncbi.nlm.nih.gov/nuccore/CP000058.1?report=graph&amp;tracks=[key:gene_model_track,Options:GeneOnly]&amp;mk=3917230:3917249|offset_34|444444,3917203:3917222|offset_61|444444,3917169:3917188|offset_95|00cc00,3917126:3917145|offset_138|444444&amp;v=3917029:3917345&amp;c=444444", "offset 95")</f>
        <v>offset 95</v>
      </c>
    </row>
    <row r="12500" customFormat="false" ht="12.8" hidden="false" customHeight="false" outlineLevel="0" collapsed="false">
      <c r="A12500" s="0" t="s">
        <v>12</v>
      </c>
      <c r="B12500" s="0" t="n">
        <v>3917125</v>
      </c>
      <c r="C12500" s="0" t="n">
        <v>3917145</v>
      </c>
      <c r="D12500" s="0" t="s">
        <v>41505</v>
      </c>
      <c r="E12500" s="0" t="s">
        <v>41506</v>
      </c>
      <c r="F12500" s="0" t="s">
        <v>90</v>
      </c>
      <c r="G12500" s="0" t="s">
        <v>20</v>
      </c>
      <c r="H12500" s="0" t="n">
        <v>138</v>
      </c>
      <c r="I12500" s="0" t="s">
        <v>41516</v>
      </c>
      <c r="J12500" s="0" t="s">
        <v>41517</v>
      </c>
      <c r="K12500" s="0" t="s">
        <v>41518</v>
      </c>
      <c r="L12500" s="0" t="str">
        <f aca="false">HYPERLINK("https://www.ncbi.nlm.nih.gov/nuccore/CP000058.1?report=graph&amp;tracks=[key:gene_model_track,Options:GeneOnly]&amp;mk=3917230:3917249|offset_34|444444,3917203:3917222|offset_61|444444,3917169:3917188|offset_95|444444,3917126:3917145|offset_138|00cc00&amp;v=3917029:3917345&amp;c=444444", "offset 138")</f>
        <v>offset 138</v>
      </c>
    </row>
    <row r="12501" customFormat="false" ht="12.8" hidden="false" customHeight="false" outlineLevel="0" collapsed="false">
      <c r="A12501" s="0" t="s">
        <v>12</v>
      </c>
      <c r="B12501" s="0" t="n">
        <v>3917679</v>
      </c>
      <c r="C12501" s="0" t="n">
        <v>3917699</v>
      </c>
      <c r="D12501" s="0" t="s">
        <v>41519</v>
      </c>
      <c r="E12501" s="0" t="s">
        <v>41520</v>
      </c>
      <c r="F12501" s="0" t="s">
        <v>90</v>
      </c>
      <c r="G12501" s="0" t="s">
        <v>16</v>
      </c>
      <c r="H12501" s="0" t="n">
        <v>9</v>
      </c>
      <c r="I12501" s="0" t="s">
        <v>41521</v>
      </c>
      <c r="J12501" s="0" t="s">
        <v>41522</v>
      </c>
      <c r="K12501" s="0" t="s">
        <v>41523</v>
      </c>
      <c r="L12501" s="0" t="str">
        <f aca="false">HYPERLINK("https://www.ncbi.nlm.nih.gov/nuccore/CP000058.1?report=graph&amp;tracks=[key:gene_model_track,Options:GeneOnly]&amp;mk=3917680:3917699|offset_9|00cc00,3917643:3917662|offset_46|444444,3917622:3917641|offset_67|444444,3917582:3917601|offset_107|444444&amp;v=3917479:3917801&amp;c=444444", "offset 9")</f>
        <v>offset 9</v>
      </c>
    </row>
    <row r="12502" customFormat="false" ht="12.8" hidden="false" customHeight="false" outlineLevel="0" collapsed="false">
      <c r="A12502" s="0" t="s">
        <v>12</v>
      </c>
      <c r="B12502" s="0" t="n">
        <v>3917642</v>
      </c>
      <c r="C12502" s="0" t="n">
        <v>3917662</v>
      </c>
      <c r="D12502" s="0" t="s">
        <v>41519</v>
      </c>
      <c r="E12502" s="0" t="s">
        <v>41520</v>
      </c>
      <c r="F12502" s="0" t="s">
        <v>90</v>
      </c>
      <c r="G12502" s="0" t="s">
        <v>36</v>
      </c>
      <c r="H12502" s="0" t="n">
        <v>46</v>
      </c>
      <c r="I12502" s="0" t="s">
        <v>41524</v>
      </c>
      <c r="J12502" s="0" t="s">
        <v>41525</v>
      </c>
      <c r="K12502" s="0" t="s">
        <v>41526</v>
      </c>
      <c r="L12502" s="0" t="str">
        <f aca="false">HYPERLINK("https://www.ncbi.nlm.nih.gov/nuccore/CP000058.1?report=graph&amp;tracks=[key:gene_model_track,Options:GeneOnly]&amp;mk=3917680:3917699|offset_9|444444,3917643:3917662|offset_46|00cc00,3917622:3917641|offset_67|444444,3917582:3917601|offset_107|444444&amp;v=3917479:3917801&amp;c=444444", "offset 46")</f>
        <v>offset 46</v>
      </c>
    </row>
    <row r="12503" customFormat="false" ht="12.8" hidden="false" customHeight="false" outlineLevel="0" collapsed="false">
      <c r="A12503" s="0" t="s">
        <v>12</v>
      </c>
      <c r="B12503" s="0" t="n">
        <v>3917621</v>
      </c>
      <c r="C12503" s="0" t="n">
        <v>3917641</v>
      </c>
      <c r="D12503" s="0" t="s">
        <v>41519</v>
      </c>
      <c r="E12503" s="0" t="s">
        <v>41520</v>
      </c>
      <c r="F12503" s="0" t="s">
        <v>90</v>
      </c>
      <c r="G12503" s="0" t="s">
        <v>32</v>
      </c>
      <c r="H12503" s="0" t="n">
        <v>67</v>
      </c>
      <c r="I12503" s="0" t="s">
        <v>41527</v>
      </c>
      <c r="J12503" s="0" t="s">
        <v>41528</v>
      </c>
      <c r="K12503" s="0" t="s">
        <v>41529</v>
      </c>
      <c r="L12503" s="0" t="str">
        <f aca="false">HYPERLINK("https://www.ncbi.nlm.nih.gov/nuccore/CP000058.1?report=graph&amp;tracks=[key:gene_model_track,Options:GeneOnly]&amp;mk=3917680:3917699|offset_9|444444,3917643:3917662|offset_46|444444,3917622:3917641|offset_67|00cc00,3917582:3917601|offset_107|444444&amp;v=3917479:3917801&amp;c=444444", "offset 67")</f>
        <v>offset 67</v>
      </c>
    </row>
    <row r="12504" customFormat="false" ht="12.8" hidden="false" customHeight="false" outlineLevel="0" collapsed="false">
      <c r="A12504" s="0" t="s">
        <v>12</v>
      </c>
      <c r="B12504" s="0" t="n">
        <v>3917581</v>
      </c>
      <c r="C12504" s="0" t="n">
        <v>3917601</v>
      </c>
      <c r="D12504" s="0" t="s">
        <v>41519</v>
      </c>
      <c r="E12504" s="0" t="s">
        <v>41520</v>
      </c>
      <c r="F12504" s="0" t="s">
        <v>90</v>
      </c>
      <c r="G12504" s="0" t="s">
        <v>20</v>
      </c>
      <c r="H12504" s="0" t="n">
        <v>107</v>
      </c>
      <c r="I12504" s="0" t="s">
        <v>41530</v>
      </c>
      <c r="J12504" s="0" t="s">
        <v>41531</v>
      </c>
      <c r="K12504" s="0" t="s">
        <v>41532</v>
      </c>
      <c r="L12504" s="0" t="str">
        <f aca="false">HYPERLINK("https://www.ncbi.nlm.nih.gov/nuccore/CP000058.1?report=graph&amp;tracks=[key:gene_model_track,Options:GeneOnly]&amp;mk=3917680:3917699|offset_9|444444,3917643:3917662|offset_46|444444,3917622:3917641|offset_67|444444,3917582:3917601|offset_107|00cc00&amp;v=3917479:3917801&amp;c=444444", "offset 107")</f>
        <v>offset 107</v>
      </c>
    </row>
    <row r="12505" customFormat="false" ht="12.8" hidden="false" customHeight="false" outlineLevel="0" collapsed="false">
      <c r="A12505" s="0" t="s">
        <v>12</v>
      </c>
      <c r="B12505" s="0" t="n">
        <v>3919280</v>
      </c>
      <c r="C12505" s="0" t="n">
        <v>3919300</v>
      </c>
      <c r="D12505" s="0" t="s">
        <v>41533</v>
      </c>
      <c r="E12505" s="0" t="s">
        <v>41534</v>
      </c>
      <c r="F12505" s="0" t="s">
        <v>90</v>
      </c>
      <c r="G12505" s="0" t="s">
        <v>32</v>
      </c>
      <c r="H12505" s="0" t="n">
        <v>12</v>
      </c>
      <c r="I12505" s="0" t="s">
        <v>41535</v>
      </c>
      <c r="J12505" s="0" t="s">
        <v>41536</v>
      </c>
      <c r="K12505" s="0" t="s">
        <v>41537</v>
      </c>
      <c r="L12505" s="0" t="str">
        <f aca="false">HYPERLINK("https://www.ncbi.nlm.nih.gov/nuccore/CP000058.1?report=graph&amp;tracks=[key:gene_model_track,Options:GeneOnly]&amp;mk=3919281:3919300|offset_12|00cc00,3919261:3919280|offset_32|444444,3919235:3919254|offset_58|444444,3919211:3919230|offset_82|444444&amp;v=3919080:3919430&amp;c=444444", "offset 12")</f>
        <v>offset 12</v>
      </c>
    </row>
    <row r="12506" customFormat="false" ht="12.8" hidden="false" customHeight="false" outlineLevel="0" collapsed="false">
      <c r="A12506" s="0" t="s">
        <v>12</v>
      </c>
      <c r="B12506" s="0" t="n">
        <v>3919260</v>
      </c>
      <c r="C12506" s="0" t="n">
        <v>3919280</v>
      </c>
      <c r="D12506" s="0" t="s">
        <v>41533</v>
      </c>
      <c r="E12506" s="0" t="s">
        <v>41534</v>
      </c>
      <c r="F12506" s="0" t="s">
        <v>90</v>
      </c>
      <c r="G12506" s="0" t="s">
        <v>20</v>
      </c>
      <c r="H12506" s="0" t="n">
        <v>32</v>
      </c>
      <c r="I12506" s="0" t="s">
        <v>41538</v>
      </c>
      <c r="J12506" s="0" t="s">
        <v>41539</v>
      </c>
      <c r="K12506" s="0" t="s">
        <v>41540</v>
      </c>
      <c r="L12506" s="0" t="str">
        <f aca="false">HYPERLINK("https://www.ncbi.nlm.nih.gov/nuccore/CP000058.1?report=graph&amp;tracks=[key:gene_model_track,Options:GeneOnly]&amp;mk=3919281:3919300|offset_12|444444,3919261:3919280|offset_32|00cc00,3919235:3919254|offset_58|444444,3919211:3919230|offset_82|444444&amp;v=3919080:3919430&amp;c=444444", "offset 32")</f>
        <v>offset 32</v>
      </c>
    </row>
    <row r="12507" customFormat="false" ht="12.8" hidden="false" customHeight="false" outlineLevel="0" collapsed="false">
      <c r="A12507" s="0" t="s">
        <v>12</v>
      </c>
      <c r="B12507" s="0" t="n">
        <v>3919234</v>
      </c>
      <c r="C12507" s="0" t="n">
        <v>3919254</v>
      </c>
      <c r="D12507" s="0" t="s">
        <v>41533</v>
      </c>
      <c r="E12507" s="0" t="s">
        <v>41534</v>
      </c>
      <c r="F12507" s="0" t="s">
        <v>90</v>
      </c>
      <c r="G12507" s="0" t="s">
        <v>32</v>
      </c>
      <c r="H12507" s="0" t="n">
        <v>58</v>
      </c>
      <c r="I12507" s="0" t="s">
        <v>41541</v>
      </c>
      <c r="J12507" s="0" t="s">
        <v>41542</v>
      </c>
      <c r="K12507" s="0" t="s">
        <v>41543</v>
      </c>
      <c r="L12507" s="0" t="str">
        <f aca="false">HYPERLINK("https://www.ncbi.nlm.nih.gov/nuccore/CP000058.1?report=graph&amp;tracks=[key:gene_model_track,Options:GeneOnly]&amp;mk=3919281:3919300|offset_12|444444,3919261:3919280|offset_32|444444,3919235:3919254|offset_58|00cc00,3919211:3919230|offset_82|444444&amp;v=3919080:3919430&amp;c=444444", "offset 58")</f>
        <v>offset 58</v>
      </c>
    </row>
    <row r="12508" customFormat="false" ht="12.8" hidden="false" customHeight="false" outlineLevel="0" collapsed="false">
      <c r="A12508" s="0" t="s">
        <v>12</v>
      </c>
      <c r="B12508" s="0" t="n">
        <v>3919210</v>
      </c>
      <c r="C12508" s="0" t="n">
        <v>3919230</v>
      </c>
      <c r="D12508" s="0" t="s">
        <v>41533</v>
      </c>
      <c r="E12508" s="0" t="s">
        <v>41534</v>
      </c>
      <c r="F12508" s="0" t="s">
        <v>90</v>
      </c>
      <c r="G12508" s="0" t="s">
        <v>16</v>
      </c>
      <c r="H12508" s="0" t="n">
        <v>82</v>
      </c>
      <c r="I12508" s="0" t="s">
        <v>41544</v>
      </c>
      <c r="J12508" s="0" t="s">
        <v>41545</v>
      </c>
      <c r="K12508" s="0" t="s">
        <v>41546</v>
      </c>
      <c r="L12508" s="0" t="str">
        <f aca="false">HYPERLINK("https://www.ncbi.nlm.nih.gov/nuccore/CP000058.1?report=graph&amp;tracks=[key:gene_model_track,Options:GeneOnly]&amp;mk=3919281:3919300|offset_12|444444,3919261:3919280|offset_32|444444,3919235:3919254|offset_58|444444,3919211:3919230|offset_82|00cc00&amp;v=3919080:3919430&amp;c=444444", "offset 82")</f>
        <v>offset 82</v>
      </c>
    </row>
    <row r="12509" customFormat="false" ht="12.8" hidden="false" customHeight="false" outlineLevel="0" collapsed="false">
      <c r="A12509" s="0" t="s">
        <v>12</v>
      </c>
      <c r="B12509" s="0" t="n">
        <v>3919731</v>
      </c>
      <c r="C12509" s="0" t="n">
        <v>3919751</v>
      </c>
      <c r="D12509" s="0" t="s">
        <v>41547</v>
      </c>
      <c r="E12509" s="0" t="s">
        <v>41548</v>
      </c>
      <c r="F12509" s="0" t="s">
        <v>90</v>
      </c>
      <c r="G12509" s="0" t="s">
        <v>16</v>
      </c>
      <c r="H12509" s="0" t="n">
        <v>42</v>
      </c>
      <c r="I12509" s="0" t="s">
        <v>41549</v>
      </c>
      <c r="J12509" s="0" t="s">
        <v>41550</v>
      </c>
      <c r="K12509" s="0" t="s">
        <v>41551</v>
      </c>
      <c r="L12509" s="0" t="str">
        <f aca="false">HYPERLINK("https://www.ncbi.nlm.nih.gov/nuccore/CP000058.1?report=graph&amp;tracks=[key:gene_model_track,Options:GeneOnly]&amp;mk=3919732:3919751|offset_42|00cc00,3919705:3919724|offset_69|444444,3919678:3919697|offset_96|444444,3919647:3919666|offset_127|444444&amp;v=3919531:3919866&amp;c=444444", "offset 42")</f>
        <v>offset 42</v>
      </c>
    </row>
    <row r="12510" customFormat="false" ht="12.8" hidden="false" customHeight="false" outlineLevel="0" collapsed="false">
      <c r="A12510" s="0" t="s">
        <v>12</v>
      </c>
      <c r="B12510" s="0" t="n">
        <v>3919704</v>
      </c>
      <c r="C12510" s="0" t="n">
        <v>3919724</v>
      </c>
      <c r="D12510" s="0" t="s">
        <v>41547</v>
      </c>
      <c r="E12510" s="0" t="s">
        <v>41548</v>
      </c>
      <c r="F12510" s="0" t="s">
        <v>90</v>
      </c>
      <c r="G12510" s="0" t="s">
        <v>32</v>
      </c>
      <c r="H12510" s="0" t="n">
        <v>69</v>
      </c>
      <c r="I12510" s="0" t="s">
        <v>41552</v>
      </c>
      <c r="J12510" s="0" t="s">
        <v>41553</v>
      </c>
      <c r="K12510" s="0" t="s">
        <v>41554</v>
      </c>
      <c r="L12510" s="0" t="str">
        <f aca="false">HYPERLINK("https://www.ncbi.nlm.nih.gov/nuccore/CP000058.1?report=graph&amp;tracks=[key:gene_model_track,Options:GeneOnly]&amp;mk=3919732:3919751|offset_42|444444,3919705:3919724|offset_69|00cc00,3919678:3919697|offset_96|444444,3919647:3919666|offset_127|444444&amp;v=3919531:3919866&amp;c=444444", "offset 69")</f>
        <v>offset 69</v>
      </c>
    </row>
    <row r="12511" customFormat="false" ht="12.8" hidden="false" customHeight="false" outlineLevel="0" collapsed="false">
      <c r="A12511" s="0" t="s">
        <v>12</v>
      </c>
      <c r="B12511" s="0" t="n">
        <v>3919677</v>
      </c>
      <c r="C12511" s="0" t="n">
        <v>3919697</v>
      </c>
      <c r="D12511" s="0" t="s">
        <v>41547</v>
      </c>
      <c r="E12511" s="0" t="s">
        <v>41548</v>
      </c>
      <c r="F12511" s="0" t="s">
        <v>90</v>
      </c>
      <c r="G12511" s="0" t="s">
        <v>20</v>
      </c>
      <c r="H12511" s="0" t="n">
        <v>96</v>
      </c>
      <c r="I12511" s="0" t="s">
        <v>41555</v>
      </c>
      <c r="J12511" s="0" t="s">
        <v>41556</v>
      </c>
      <c r="K12511" s="0" t="s">
        <v>41557</v>
      </c>
      <c r="L12511" s="0" t="str">
        <f aca="false">HYPERLINK("https://www.ncbi.nlm.nih.gov/nuccore/CP000058.1?report=graph&amp;tracks=[key:gene_model_track,Options:GeneOnly]&amp;mk=3919732:3919751|offset_42|444444,3919705:3919724|offset_69|444444,3919678:3919697|offset_96|00cc00,3919647:3919666|offset_127|444444&amp;v=3919531:3919866&amp;c=444444", "offset 96")</f>
        <v>offset 96</v>
      </c>
    </row>
    <row r="12512" customFormat="false" ht="12.8" hidden="false" customHeight="false" outlineLevel="0" collapsed="false">
      <c r="A12512" s="0" t="s">
        <v>12</v>
      </c>
      <c r="B12512" s="0" t="n">
        <v>3919646</v>
      </c>
      <c r="C12512" s="0" t="n">
        <v>3919666</v>
      </c>
      <c r="D12512" s="0" t="s">
        <v>41547</v>
      </c>
      <c r="E12512" s="0" t="s">
        <v>41548</v>
      </c>
      <c r="F12512" s="0" t="s">
        <v>90</v>
      </c>
      <c r="G12512" s="0" t="s">
        <v>16</v>
      </c>
      <c r="H12512" s="0" t="n">
        <v>127</v>
      </c>
      <c r="I12512" s="0" t="s">
        <v>41558</v>
      </c>
      <c r="J12512" s="0" t="s">
        <v>41559</v>
      </c>
      <c r="K12512" s="0" t="s">
        <v>41560</v>
      </c>
      <c r="L12512" s="0" t="str">
        <f aca="false">HYPERLINK("https://www.ncbi.nlm.nih.gov/nuccore/CP000058.1?report=graph&amp;tracks=[key:gene_model_track,Options:GeneOnly]&amp;mk=3919732:3919751|offset_42|444444,3919705:3919724|offset_69|444444,3919678:3919697|offset_96|444444,3919647:3919666|offset_127|00cc00&amp;v=3919531:3919866&amp;c=444444", "offset 127")</f>
        <v>offset 127</v>
      </c>
    </row>
    <row r="12513" customFormat="false" ht="12.8" hidden="false" customHeight="false" outlineLevel="0" collapsed="false">
      <c r="A12513" s="0" t="s">
        <v>12</v>
      </c>
      <c r="B12513" s="0" t="n">
        <v>3920666</v>
      </c>
      <c r="C12513" s="0" t="n">
        <v>3920686</v>
      </c>
      <c r="D12513" s="0" t="s">
        <v>41561</v>
      </c>
      <c r="E12513" s="0" t="s">
        <v>41562</v>
      </c>
      <c r="F12513" s="0" t="s">
        <v>90</v>
      </c>
      <c r="G12513" s="0" t="s">
        <v>32</v>
      </c>
      <c r="H12513" s="0" t="n">
        <v>22</v>
      </c>
      <c r="I12513" s="0" t="s">
        <v>41563</v>
      </c>
      <c r="J12513" s="0" t="s">
        <v>41564</v>
      </c>
      <c r="K12513" s="0" t="s">
        <v>41565</v>
      </c>
      <c r="L12513" s="0" t="str">
        <f aca="false">HYPERLINK("https://www.ncbi.nlm.nih.gov/nuccore/CP000058.1?report=graph&amp;tracks=[key:gene_model_track,Options:GeneOnly]&amp;mk=3920667:3920686|offset_22|00cc00,3920645:3920664|offset_44|444444,3920622:3920641|offset_67|444444,3920586:3920605|offset_103|444444&amp;v=3920466:3920805&amp;c=444444", "offset 22")</f>
        <v>offset 22</v>
      </c>
    </row>
    <row r="12514" customFormat="false" ht="12.8" hidden="false" customHeight="false" outlineLevel="0" collapsed="false">
      <c r="A12514" s="0" t="s">
        <v>12</v>
      </c>
      <c r="B12514" s="0" t="n">
        <v>3920644</v>
      </c>
      <c r="C12514" s="0" t="n">
        <v>3920664</v>
      </c>
      <c r="D12514" s="0" t="s">
        <v>41561</v>
      </c>
      <c r="E12514" s="0" t="s">
        <v>41562</v>
      </c>
      <c r="F12514" s="0" t="s">
        <v>90</v>
      </c>
      <c r="G12514" s="0" t="s">
        <v>32</v>
      </c>
      <c r="H12514" s="0" t="n">
        <v>44</v>
      </c>
      <c r="I12514" s="0" t="s">
        <v>41566</v>
      </c>
      <c r="J12514" s="0" t="s">
        <v>41567</v>
      </c>
      <c r="K12514" s="0" t="s">
        <v>41568</v>
      </c>
      <c r="L12514" s="0" t="str">
        <f aca="false">HYPERLINK("https://www.ncbi.nlm.nih.gov/nuccore/CP000058.1?report=graph&amp;tracks=[key:gene_model_track,Options:GeneOnly]&amp;mk=3920667:3920686|offset_22|444444,3920645:3920664|offset_44|00cc00,3920622:3920641|offset_67|444444,3920586:3920605|offset_103|444444&amp;v=3920466:3920805&amp;c=444444", "offset 44")</f>
        <v>offset 44</v>
      </c>
    </row>
    <row r="12515" customFormat="false" ht="12.8" hidden="false" customHeight="false" outlineLevel="0" collapsed="false">
      <c r="A12515" s="0" t="s">
        <v>12</v>
      </c>
      <c r="B12515" s="0" t="n">
        <v>3920621</v>
      </c>
      <c r="C12515" s="0" t="n">
        <v>3920641</v>
      </c>
      <c r="D12515" s="0" t="s">
        <v>41561</v>
      </c>
      <c r="E12515" s="0" t="s">
        <v>41562</v>
      </c>
      <c r="F12515" s="0" t="s">
        <v>90</v>
      </c>
      <c r="G12515" s="0" t="s">
        <v>16</v>
      </c>
      <c r="H12515" s="0" t="n">
        <v>67</v>
      </c>
      <c r="I12515" s="0" t="s">
        <v>41569</v>
      </c>
      <c r="J12515" s="0" t="s">
        <v>41570</v>
      </c>
      <c r="K12515" s="0" t="s">
        <v>41571</v>
      </c>
      <c r="L12515" s="0" t="str">
        <f aca="false">HYPERLINK("https://www.ncbi.nlm.nih.gov/nuccore/CP000058.1?report=graph&amp;tracks=[key:gene_model_track,Options:GeneOnly]&amp;mk=3920667:3920686|offset_22|444444,3920645:3920664|offset_44|444444,3920622:3920641|offset_67|00cc00,3920586:3920605|offset_103|444444&amp;v=3920466:3920805&amp;c=444444", "offset 67")</f>
        <v>offset 67</v>
      </c>
    </row>
    <row r="12516" customFormat="false" ht="12.8" hidden="false" customHeight="false" outlineLevel="0" collapsed="false">
      <c r="A12516" s="0" t="s">
        <v>12</v>
      </c>
      <c r="B12516" s="0" t="n">
        <v>3920585</v>
      </c>
      <c r="C12516" s="0" t="n">
        <v>3920605</v>
      </c>
      <c r="D12516" s="0" t="s">
        <v>41561</v>
      </c>
      <c r="E12516" s="0" t="s">
        <v>41562</v>
      </c>
      <c r="F12516" s="0" t="s">
        <v>90</v>
      </c>
      <c r="G12516" s="0" t="s">
        <v>16</v>
      </c>
      <c r="H12516" s="0" t="n">
        <v>103</v>
      </c>
      <c r="I12516" s="0" t="s">
        <v>41572</v>
      </c>
      <c r="J12516" s="0" t="s">
        <v>41573</v>
      </c>
      <c r="K12516" s="0" t="s">
        <v>41574</v>
      </c>
      <c r="L12516" s="0" t="str">
        <f aca="false">HYPERLINK("https://www.ncbi.nlm.nih.gov/nuccore/CP000058.1?report=graph&amp;tracks=[key:gene_model_track,Options:GeneOnly]&amp;mk=3920667:3920686|offset_22|444444,3920645:3920664|offset_44|444444,3920622:3920641|offset_67|444444,3920586:3920605|offset_103|00cc00&amp;v=3920466:3920805&amp;c=444444", "offset 103")</f>
        <v>offset 103</v>
      </c>
    </row>
    <row r="12517" customFormat="false" ht="12.8" hidden="false" customHeight="false" outlineLevel="0" collapsed="false">
      <c r="A12517" s="0" t="s">
        <v>12</v>
      </c>
      <c r="B12517" s="0" t="n">
        <v>3921907</v>
      </c>
      <c r="C12517" s="0" t="n">
        <v>3921927</v>
      </c>
      <c r="D12517" s="0" t="s">
        <v>41575</v>
      </c>
      <c r="E12517" s="0" t="s">
        <v>75</v>
      </c>
      <c r="F12517" s="0" t="s">
        <v>90</v>
      </c>
      <c r="G12517" s="0" t="s">
        <v>36</v>
      </c>
      <c r="H12517" s="0" t="n">
        <v>36</v>
      </c>
      <c r="I12517" s="0" t="s">
        <v>41576</v>
      </c>
      <c r="J12517" s="0" t="s">
        <v>41577</v>
      </c>
      <c r="K12517" s="0" t="s">
        <v>41578</v>
      </c>
      <c r="L12517" s="0" t="str">
        <f aca="false">HYPERLINK("https://www.ncbi.nlm.nih.gov/nuccore/CP000058.1?report=graph&amp;tracks=[key:gene_model_track,Options:GeneOnly]&amp;mk=3921908:3921927|offset_36|00cc00,3921874:3921893|offset_70|444444,3921846:3921865|offset_98|444444,3921822:3921841|offset_122|444444&amp;v=3921707:3922041&amp;c=444444", "offset 36")</f>
        <v>offset 36</v>
      </c>
    </row>
    <row r="12518" customFormat="false" ht="12.8" hidden="false" customHeight="false" outlineLevel="0" collapsed="false">
      <c r="A12518" s="0" t="s">
        <v>12</v>
      </c>
      <c r="B12518" s="0" t="n">
        <v>3921873</v>
      </c>
      <c r="C12518" s="0" t="n">
        <v>3921893</v>
      </c>
      <c r="D12518" s="0" t="s">
        <v>41575</v>
      </c>
      <c r="E12518" s="0" t="s">
        <v>75</v>
      </c>
      <c r="F12518" s="0" t="s">
        <v>90</v>
      </c>
      <c r="G12518" s="0" t="s">
        <v>32</v>
      </c>
      <c r="H12518" s="0" t="n">
        <v>70</v>
      </c>
      <c r="I12518" s="0" t="s">
        <v>41579</v>
      </c>
      <c r="J12518" s="0" t="s">
        <v>41580</v>
      </c>
      <c r="K12518" s="0" t="s">
        <v>41581</v>
      </c>
      <c r="L12518" s="0" t="str">
        <f aca="false">HYPERLINK("https://www.ncbi.nlm.nih.gov/nuccore/CP000058.1?report=graph&amp;tracks=[key:gene_model_track,Options:GeneOnly]&amp;mk=3921908:3921927|offset_36|444444,3921874:3921893|offset_70|00cc00,3921846:3921865|offset_98|444444,3921822:3921841|offset_122|444444&amp;v=3921707:3922041&amp;c=444444", "offset 70")</f>
        <v>offset 70</v>
      </c>
    </row>
    <row r="12519" customFormat="false" ht="12.8" hidden="false" customHeight="false" outlineLevel="0" collapsed="false">
      <c r="A12519" s="0" t="s">
        <v>12</v>
      </c>
      <c r="B12519" s="0" t="n">
        <v>3921845</v>
      </c>
      <c r="C12519" s="0" t="n">
        <v>3921865</v>
      </c>
      <c r="D12519" s="0" t="s">
        <v>41575</v>
      </c>
      <c r="E12519" s="0" t="s">
        <v>75</v>
      </c>
      <c r="F12519" s="0" t="s">
        <v>90</v>
      </c>
      <c r="G12519" s="0" t="s">
        <v>20</v>
      </c>
      <c r="H12519" s="0" t="n">
        <v>98</v>
      </c>
      <c r="I12519" s="0" t="s">
        <v>41582</v>
      </c>
      <c r="J12519" s="0" t="s">
        <v>41583</v>
      </c>
      <c r="K12519" s="0" t="s">
        <v>41584</v>
      </c>
      <c r="L12519" s="0" t="str">
        <f aca="false">HYPERLINK("https://www.ncbi.nlm.nih.gov/nuccore/CP000058.1?report=graph&amp;tracks=[key:gene_model_track,Options:GeneOnly]&amp;mk=3921908:3921927|offset_36|444444,3921874:3921893|offset_70|444444,3921846:3921865|offset_98|00cc00,3921822:3921841|offset_122|444444&amp;v=3921707:3922041&amp;c=444444", "offset 98")</f>
        <v>offset 98</v>
      </c>
    </row>
    <row r="12520" customFormat="false" ht="12.8" hidden="false" customHeight="false" outlineLevel="0" collapsed="false">
      <c r="A12520" s="0" t="s">
        <v>12</v>
      </c>
      <c r="B12520" s="0" t="n">
        <v>3921821</v>
      </c>
      <c r="C12520" s="0" t="n">
        <v>3921841</v>
      </c>
      <c r="D12520" s="0" t="s">
        <v>41575</v>
      </c>
      <c r="E12520" s="0" t="s">
        <v>75</v>
      </c>
      <c r="F12520" s="0" t="s">
        <v>90</v>
      </c>
      <c r="G12520" s="0" t="s">
        <v>20</v>
      </c>
      <c r="H12520" s="0" t="n">
        <v>122</v>
      </c>
      <c r="I12520" s="0" t="s">
        <v>41585</v>
      </c>
      <c r="J12520" s="0" t="s">
        <v>41586</v>
      </c>
      <c r="K12520" s="0" t="s">
        <v>41587</v>
      </c>
      <c r="L12520" s="0" t="str">
        <f aca="false">HYPERLINK("https://www.ncbi.nlm.nih.gov/nuccore/CP000058.1?report=graph&amp;tracks=[key:gene_model_track,Options:GeneOnly]&amp;mk=3921908:3921927|offset_36|444444,3921874:3921893|offset_70|444444,3921846:3921865|offset_98|444444,3921822:3921841|offset_122|00cc00&amp;v=3921707:3922041&amp;c=444444", "offset 122")</f>
        <v>offset 122</v>
      </c>
    </row>
    <row r="12521" customFormat="false" ht="12.8" hidden="false" customHeight="false" outlineLevel="0" collapsed="false">
      <c r="A12521" s="0" t="s">
        <v>12</v>
      </c>
      <c r="B12521" s="0" t="n">
        <v>3925124</v>
      </c>
      <c r="C12521" s="0" t="n">
        <v>3925144</v>
      </c>
      <c r="D12521" s="0" t="s">
        <v>41588</v>
      </c>
      <c r="E12521" s="0" t="s">
        <v>75</v>
      </c>
      <c r="F12521" s="0" t="s">
        <v>90</v>
      </c>
      <c r="G12521" s="0" t="s">
        <v>32</v>
      </c>
      <c r="H12521" s="0" t="n">
        <v>11</v>
      </c>
      <c r="I12521" s="0" t="s">
        <v>41589</v>
      </c>
      <c r="J12521" s="0" t="s">
        <v>41590</v>
      </c>
      <c r="K12521" s="0" t="s">
        <v>41591</v>
      </c>
      <c r="L12521" s="0" t="str">
        <f aca="false">HYPERLINK("https://www.ncbi.nlm.nih.gov/nuccore/CP000058.1?report=graph&amp;tracks=[key:gene_model_track,Options:GeneOnly]&amp;mk=3925125:3925144|offset_11|00cc00,3925105:3925124|offset_31|444444,3925083:3925102|offset_53|444444,3925058:3925077|offset_78|444444&amp;v=3924924:3925277&amp;c=444444", "offset 11")</f>
        <v>offset 11</v>
      </c>
    </row>
    <row r="12522" customFormat="false" ht="12.8" hidden="false" customHeight="false" outlineLevel="0" collapsed="false">
      <c r="A12522" s="0" t="s">
        <v>12</v>
      </c>
      <c r="B12522" s="0" t="n">
        <v>3925104</v>
      </c>
      <c r="C12522" s="0" t="n">
        <v>3925124</v>
      </c>
      <c r="D12522" s="0" t="s">
        <v>41588</v>
      </c>
      <c r="E12522" s="0" t="s">
        <v>75</v>
      </c>
      <c r="F12522" s="0" t="s">
        <v>90</v>
      </c>
      <c r="G12522" s="0" t="s">
        <v>36</v>
      </c>
      <c r="H12522" s="0" t="n">
        <v>31</v>
      </c>
      <c r="I12522" s="0" t="s">
        <v>41592</v>
      </c>
      <c r="J12522" s="0" t="s">
        <v>41593</v>
      </c>
      <c r="K12522" s="0" t="s">
        <v>41594</v>
      </c>
      <c r="L12522" s="0" t="str">
        <f aca="false">HYPERLINK("https://www.ncbi.nlm.nih.gov/nuccore/CP000058.1?report=graph&amp;tracks=[key:gene_model_track,Options:GeneOnly]&amp;mk=3925125:3925144|offset_11|444444,3925105:3925124|offset_31|00cc00,3925083:3925102|offset_53|444444,3925058:3925077|offset_78|444444&amp;v=3924924:3925277&amp;c=444444", "offset 31")</f>
        <v>offset 31</v>
      </c>
    </row>
    <row r="12523" customFormat="false" ht="12.8" hidden="false" customHeight="false" outlineLevel="0" collapsed="false">
      <c r="A12523" s="0" t="s">
        <v>12</v>
      </c>
      <c r="B12523" s="0" t="n">
        <v>3925082</v>
      </c>
      <c r="C12523" s="0" t="n">
        <v>3925102</v>
      </c>
      <c r="D12523" s="0" t="s">
        <v>41588</v>
      </c>
      <c r="E12523" s="0" t="s">
        <v>75</v>
      </c>
      <c r="F12523" s="0" t="s">
        <v>90</v>
      </c>
      <c r="G12523" s="0" t="s">
        <v>20</v>
      </c>
      <c r="H12523" s="0" t="n">
        <v>53</v>
      </c>
      <c r="I12523" s="0" t="s">
        <v>41595</v>
      </c>
      <c r="J12523" s="0" t="s">
        <v>41596</v>
      </c>
      <c r="K12523" s="0" t="s">
        <v>41597</v>
      </c>
      <c r="L12523" s="0" t="str">
        <f aca="false">HYPERLINK("https://www.ncbi.nlm.nih.gov/nuccore/CP000058.1?report=graph&amp;tracks=[key:gene_model_track,Options:GeneOnly]&amp;mk=3925125:3925144|offset_11|444444,3925105:3925124|offset_31|444444,3925083:3925102|offset_53|00cc00,3925058:3925077|offset_78|444444&amp;v=3924924:3925277&amp;c=444444", "offset 53")</f>
        <v>offset 53</v>
      </c>
    </row>
    <row r="12524" customFormat="false" ht="12.8" hidden="false" customHeight="false" outlineLevel="0" collapsed="false">
      <c r="A12524" s="0" t="s">
        <v>12</v>
      </c>
      <c r="B12524" s="0" t="n">
        <v>3925057</v>
      </c>
      <c r="C12524" s="0" t="n">
        <v>3925077</v>
      </c>
      <c r="D12524" s="0" t="s">
        <v>41588</v>
      </c>
      <c r="E12524" s="0" t="s">
        <v>75</v>
      </c>
      <c r="F12524" s="0" t="s">
        <v>90</v>
      </c>
      <c r="G12524" s="0" t="s">
        <v>16</v>
      </c>
      <c r="H12524" s="0" t="n">
        <v>78</v>
      </c>
      <c r="I12524" s="0" t="s">
        <v>41598</v>
      </c>
      <c r="J12524" s="0" t="s">
        <v>41599</v>
      </c>
      <c r="K12524" s="0" t="s">
        <v>41600</v>
      </c>
      <c r="L12524" s="0" t="str">
        <f aca="false">HYPERLINK("https://www.ncbi.nlm.nih.gov/nuccore/CP000058.1?report=graph&amp;tracks=[key:gene_model_track,Options:GeneOnly]&amp;mk=3925125:3925144|offset_11|444444,3925105:3925124|offset_31|444444,3925083:3925102|offset_53|444444,3925058:3925077|offset_78|00cc00&amp;v=3924924:3925277&amp;c=444444", "offset 78")</f>
        <v>offset 78</v>
      </c>
    </row>
    <row r="12525" customFormat="false" ht="12.8" hidden="false" customHeight="false" outlineLevel="0" collapsed="false">
      <c r="A12525" s="0" t="s">
        <v>12</v>
      </c>
      <c r="B12525" s="0" t="n">
        <v>3928839</v>
      </c>
      <c r="C12525" s="0" t="n">
        <v>3928859</v>
      </c>
      <c r="D12525" s="0" t="s">
        <v>41601</v>
      </c>
      <c r="E12525" s="0" t="s">
        <v>75</v>
      </c>
      <c r="F12525" s="0" t="s">
        <v>90</v>
      </c>
      <c r="G12525" s="0" t="s">
        <v>36</v>
      </c>
      <c r="H12525" s="0" t="n">
        <v>13</v>
      </c>
      <c r="I12525" s="0" t="s">
        <v>41602</v>
      </c>
      <c r="J12525" s="0" t="s">
        <v>41603</v>
      </c>
      <c r="K12525" s="0" t="s">
        <v>41604</v>
      </c>
      <c r="L12525" s="0" t="str">
        <f aca="false">HYPERLINK("https://www.ncbi.nlm.nih.gov/nuccore/CP000058.1?report=graph&amp;tracks=[key:gene_model_track,Options:GeneOnly]&amp;mk=3928840:3928859|offset_13|00cc00,3928817:3928836|offset_36|444444,3928794:3928813|offset_59|444444,3928774:3928793|offset_79|444444&amp;v=3928639:3928993&amp;c=444444", "offset 13")</f>
        <v>offset 13</v>
      </c>
    </row>
    <row r="12526" customFormat="false" ht="12.8" hidden="false" customHeight="false" outlineLevel="0" collapsed="false">
      <c r="A12526" s="0" t="s">
        <v>12</v>
      </c>
      <c r="B12526" s="0" t="n">
        <v>3928816</v>
      </c>
      <c r="C12526" s="0" t="n">
        <v>3928836</v>
      </c>
      <c r="D12526" s="0" t="s">
        <v>41601</v>
      </c>
      <c r="E12526" s="0" t="s">
        <v>75</v>
      </c>
      <c r="F12526" s="0" t="s">
        <v>90</v>
      </c>
      <c r="G12526" s="0" t="s">
        <v>36</v>
      </c>
      <c r="H12526" s="0" t="n">
        <v>36</v>
      </c>
      <c r="I12526" s="0" t="s">
        <v>41605</v>
      </c>
      <c r="J12526" s="0" t="s">
        <v>41606</v>
      </c>
      <c r="K12526" s="0" t="s">
        <v>41607</v>
      </c>
      <c r="L12526" s="0" t="str">
        <f aca="false">HYPERLINK("https://www.ncbi.nlm.nih.gov/nuccore/CP000058.1?report=graph&amp;tracks=[key:gene_model_track,Options:GeneOnly]&amp;mk=3928840:3928859|offset_13|444444,3928817:3928836|offset_36|00cc00,3928794:3928813|offset_59|444444,3928774:3928793|offset_79|444444&amp;v=3928639:3928993&amp;c=444444", "offset 36")</f>
        <v>offset 36</v>
      </c>
    </row>
    <row r="12527" customFormat="false" ht="12.8" hidden="false" customHeight="false" outlineLevel="0" collapsed="false">
      <c r="A12527" s="0" t="s">
        <v>12</v>
      </c>
      <c r="B12527" s="0" t="n">
        <v>3928793</v>
      </c>
      <c r="C12527" s="0" t="n">
        <v>3928813</v>
      </c>
      <c r="D12527" s="0" t="s">
        <v>41601</v>
      </c>
      <c r="E12527" s="0" t="s">
        <v>75</v>
      </c>
      <c r="F12527" s="0" t="s">
        <v>90</v>
      </c>
      <c r="G12527" s="0" t="s">
        <v>16</v>
      </c>
      <c r="H12527" s="0" t="n">
        <v>59</v>
      </c>
      <c r="I12527" s="0" t="s">
        <v>41608</v>
      </c>
      <c r="J12527" s="0" t="s">
        <v>41609</v>
      </c>
      <c r="K12527" s="0" t="s">
        <v>41610</v>
      </c>
      <c r="L12527" s="0" t="str">
        <f aca="false">HYPERLINK("https://www.ncbi.nlm.nih.gov/nuccore/CP000058.1?report=graph&amp;tracks=[key:gene_model_track,Options:GeneOnly]&amp;mk=3928840:3928859|offset_13|444444,3928817:3928836|offset_36|444444,3928794:3928813|offset_59|00cc00,3928774:3928793|offset_79|444444&amp;v=3928639:3928993&amp;c=444444", "offset 59")</f>
        <v>offset 59</v>
      </c>
    </row>
    <row r="12528" customFormat="false" ht="12.8" hidden="false" customHeight="false" outlineLevel="0" collapsed="false">
      <c r="A12528" s="0" t="s">
        <v>12</v>
      </c>
      <c r="B12528" s="0" t="n">
        <v>3928773</v>
      </c>
      <c r="C12528" s="0" t="n">
        <v>3928793</v>
      </c>
      <c r="D12528" s="0" t="s">
        <v>41601</v>
      </c>
      <c r="E12528" s="0" t="s">
        <v>75</v>
      </c>
      <c r="F12528" s="0" t="s">
        <v>90</v>
      </c>
      <c r="G12528" s="0" t="s">
        <v>20</v>
      </c>
      <c r="H12528" s="0" t="n">
        <v>79</v>
      </c>
      <c r="I12528" s="0" t="s">
        <v>41611</v>
      </c>
      <c r="J12528" s="0" t="s">
        <v>41612</v>
      </c>
      <c r="K12528" s="0" t="s">
        <v>41613</v>
      </c>
      <c r="L12528" s="0" t="str">
        <f aca="false">HYPERLINK("https://www.ncbi.nlm.nih.gov/nuccore/CP000058.1?report=graph&amp;tracks=[key:gene_model_track,Options:GeneOnly]&amp;mk=3928840:3928859|offset_13|444444,3928817:3928836|offset_36|444444,3928794:3928813|offset_59|444444,3928774:3928793|offset_79|00cc00&amp;v=3928639:3928993&amp;c=444444", "offset 79")</f>
        <v>offset 79</v>
      </c>
    </row>
    <row r="12529" customFormat="false" ht="12.8" hidden="false" customHeight="false" outlineLevel="0" collapsed="false">
      <c r="A12529" s="0" t="s">
        <v>12</v>
      </c>
      <c r="B12529" s="0" t="n">
        <v>3930532</v>
      </c>
      <c r="C12529" s="0" t="n">
        <v>3930552</v>
      </c>
      <c r="D12529" s="0" t="s">
        <v>41614</v>
      </c>
      <c r="E12529" s="0" t="s">
        <v>41615</v>
      </c>
      <c r="F12529" s="0" t="s">
        <v>90</v>
      </c>
      <c r="G12529" s="0" t="s">
        <v>32</v>
      </c>
      <c r="H12529" s="0" t="n">
        <v>1</v>
      </c>
      <c r="I12529" s="0" t="s">
        <v>41616</v>
      </c>
      <c r="J12529" s="0" t="s">
        <v>41617</v>
      </c>
      <c r="K12529" s="0" t="s">
        <v>41618</v>
      </c>
      <c r="L12529" s="0" t="str">
        <f aca="false">HYPERLINK("https://www.ncbi.nlm.nih.gov/nuccore/CP000058.1?report=graph&amp;tracks=[key:gene_model_track,Options:GeneOnly]&amp;mk=3930533:3930552|offset_1|00cc00,3930500:3930519|offset_34|444444,3930455:3930474|offset_79|444444,3930419:3930438|offset_115|444444&amp;v=3930332:3930638&amp;c=444444", "offset 1")</f>
        <v>offset 1</v>
      </c>
    </row>
    <row r="12530" customFormat="false" ht="12.8" hidden="false" customHeight="false" outlineLevel="0" collapsed="false">
      <c r="A12530" s="0" t="s">
        <v>12</v>
      </c>
      <c r="B12530" s="0" t="n">
        <v>3930499</v>
      </c>
      <c r="C12530" s="0" t="n">
        <v>3930519</v>
      </c>
      <c r="D12530" s="0" t="s">
        <v>41614</v>
      </c>
      <c r="E12530" s="0" t="s">
        <v>41615</v>
      </c>
      <c r="F12530" s="0" t="s">
        <v>90</v>
      </c>
      <c r="G12530" s="0" t="s">
        <v>32</v>
      </c>
      <c r="H12530" s="0" t="n">
        <v>34</v>
      </c>
      <c r="I12530" s="0" t="s">
        <v>41619</v>
      </c>
      <c r="J12530" s="0" t="s">
        <v>41620</v>
      </c>
      <c r="K12530" s="0" t="s">
        <v>41621</v>
      </c>
      <c r="L12530" s="0" t="str">
        <f aca="false">HYPERLINK("https://www.ncbi.nlm.nih.gov/nuccore/CP000058.1?report=graph&amp;tracks=[key:gene_model_track,Options:GeneOnly]&amp;mk=3930533:3930552|offset_1|444444,3930500:3930519|offset_34|00cc00,3930455:3930474|offset_79|444444,3930419:3930438|offset_115|444444&amp;v=3930332:3930638&amp;c=444444", "offset 34")</f>
        <v>offset 34</v>
      </c>
    </row>
    <row r="12531" customFormat="false" ht="12.8" hidden="false" customHeight="false" outlineLevel="0" collapsed="false">
      <c r="A12531" s="0" t="s">
        <v>12</v>
      </c>
      <c r="B12531" s="0" t="n">
        <v>3930454</v>
      </c>
      <c r="C12531" s="0" t="n">
        <v>3930474</v>
      </c>
      <c r="D12531" s="0" t="s">
        <v>41614</v>
      </c>
      <c r="E12531" s="0" t="s">
        <v>41615</v>
      </c>
      <c r="F12531" s="0" t="s">
        <v>90</v>
      </c>
      <c r="G12531" s="0" t="s">
        <v>32</v>
      </c>
      <c r="H12531" s="0" t="n">
        <v>79</v>
      </c>
      <c r="I12531" s="0" t="s">
        <v>41622</v>
      </c>
      <c r="J12531" s="0" t="s">
        <v>41623</v>
      </c>
      <c r="K12531" s="0" t="s">
        <v>41624</v>
      </c>
      <c r="L12531" s="0" t="str">
        <f aca="false">HYPERLINK("https://www.ncbi.nlm.nih.gov/nuccore/CP000058.1?report=graph&amp;tracks=[key:gene_model_track,Options:GeneOnly]&amp;mk=3930533:3930552|offset_1|444444,3930500:3930519|offset_34|444444,3930455:3930474|offset_79|00cc00,3930419:3930438|offset_115|444444&amp;v=3930332:3930638&amp;c=444444", "offset 79")</f>
        <v>offset 79</v>
      </c>
    </row>
    <row r="12532" customFormat="false" ht="12.8" hidden="false" customHeight="false" outlineLevel="0" collapsed="false">
      <c r="A12532" s="0" t="s">
        <v>12</v>
      </c>
      <c r="B12532" s="0" t="n">
        <v>3930418</v>
      </c>
      <c r="C12532" s="0" t="n">
        <v>3930438</v>
      </c>
      <c r="D12532" s="0" t="s">
        <v>41614</v>
      </c>
      <c r="E12532" s="0" t="s">
        <v>41615</v>
      </c>
      <c r="F12532" s="0" t="s">
        <v>90</v>
      </c>
      <c r="G12532" s="0" t="s">
        <v>16</v>
      </c>
      <c r="H12532" s="0" t="n">
        <v>115</v>
      </c>
      <c r="I12532" s="0" t="s">
        <v>41625</v>
      </c>
      <c r="J12532" s="0" t="s">
        <v>41626</v>
      </c>
      <c r="K12532" s="0" t="s">
        <v>41627</v>
      </c>
      <c r="L12532" s="0" t="str">
        <f aca="false">HYPERLINK("https://www.ncbi.nlm.nih.gov/nuccore/CP000058.1?report=graph&amp;tracks=[key:gene_model_track,Options:GeneOnly]&amp;mk=3930533:3930552|offset_1|444444,3930500:3930519|offset_34|444444,3930455:3930474|offset_79|444444,3930419:3930438|offset_115|00cc00&amp;v=3930332:3930638&amp;c=444444", "offset 115")</f>
        <v>offset 115</v>
      </c>
    </row>
    <row r="12533" customFormat="false" ht="12.8" hidden="false" customHeight="false" outlineLevel="0" collapsed="false">
      <c r="A12533" s="0" t="s">
        <v>12</v>
      </c>
      <c r="B12533" s="0" t="n">
        <v>3932546</v>
      </c>
      <c r="C12533" s="0" t="n">
        <v>3932566</v>
      </c>
      <c r="D12533" s="0" t="s">
        <v>41628</v>
      </c>
      <c r="E12533" s="0" t="s">
        <v>41629</v>
      </c>
      <c r="F12533" s="0" t="s">
        <v>90</v>
      </c>
      <c r="G12533" s="0" t="s">
        <v>32</v>
      </c>
      <c r="H12533" s="0" t="n">
        <v>61</v>
      </c>
      <c r="I12533" s="0" t="s">
        <v>41630</v>
      </c>
      <c r="J12533" s="0" t="s">
        <v>41631</v>
      </c>
      <c r="K12533" s="0" t="s">
        <v>41632</v>
      </c>
      <c r="L12533" s="0" t="str">
        <f aca="false">HYPERLINK("https://www.ncbi.nlm.nih.gov/nuccore/CP000058.1?report=graph&amp;tracks=[key:gene_model_track,Options:GeneOnly]&amp;mk=3932547:3932566|offset_61|00cc00,3932517:3932536|offset_91|444444,3932487:3932506|offset_121|444444,3932459:3932478|offset_149|444444&amp;v=3932346:3932678&amp;c=444444", "offset 61")</f>
        <v>offset 61</v>
      </c>
    </row>
    <row r="12534" customFormat="false" ht="12.8" hidden="false" customHeight="false" outlineLevel="0" collapsed="false">
      <c r="A12534" s="0" t="s">
        <v>12</v>
      </c>
      <c r="B12534" s="0" t="n">
        <v>3932516</v>
      </c>
      <c r="C12534" s="0" t="n">
        <v>3932536</v>
      </c>
      <c r="D12534" s="0" t="s">
        <v>41628</v>
      </c>
      <c r="E12534" s="0" t="s">
        <v>41629</v>
      </c>
      <c r="F12534" s="0" t="s">
        <v>90</v>
      </c>
      <c r="G12534" s="0" t="s">
        <v>16</v>
      </c>
      <c r="H12534" s="0" t="n">
        <v>91</v>
      </c>
      <c r="I12534" s="0" t="s">
        <v>41633</v>
      </c>
      <c r="J12534" s="0" t="s">
        <v>41634</v>
      </c>
      <c r="K12534" s="0" t="s">
        <v>41635</v>
      </c>
      <c r="L12534" s="0" t="str">
        <f aca="false">HYPERLINK("https://www.ncbi.nlm.nih.gov/nuccore/CP000058.1?report=graph&amp;tracks=[key:gene_model_track,Options:GeneOnly]&amp;mk=3932547:3932566|offset_61|444444,3932517:3932536|offset_91|00cc00,3932487:3932506|offset_121|444444,3932459:3932478|offset_149|444444&amp;v=3932346:3932678&amp;c=444444", "offset 91")</f>
        <v>offset 91</v>
      </c>
    </row>
    <row r="12535" customFormat="false" ht="12.8" hidden="false" customHeight="false" outlineLevel="0" collapsed="false">
      <c r="A12535" s="0" t="s">
        <v>12</v>
      </c>
      <c r="B12535" s="0" t="n">
        <v>3932486</v>
      </c>
      <c r="C12535" s="0" t="n">
        <v>3932506</v>
      </c>
      <c r="D12535" s="0" t="s">
        <v>41628</v>
      </c>
      <c r="E12535" s="0" t="s">
        <v>41629</v>
      </c>
      <c r="F12535" s="0" t="s">
        <v>90</v>
      </c>
      <c r="G12535" s="0" t="s">
        <v>32</v>
      </c>
      <c r="H12535" s="0" t="n">
        <v>121</v>
      </c>
      <c r="I12535" s="0" t="s">
        <v>41636</v>
      </c>
      <c r="J12535" s="0" t="s">
        <v>41637</v>
      </c>
      <c r="K12535" s="0" t="s">
        <v>41638</v>
      </c>
      <c r="L12535" s="0" t="str">
        <f aca="false">HYPERLINK("https://www.ncbi.nlm.nih.gov/nuccore/CP000058.1?report=graph&amp;tracks=[key:gene_model_track,Options:GeneOnly]&amp;mk=3932547:3932566|offset_61|444444,3932517:3932536|offset_91|444444,3932487:3932506|offset_121|00cc00,3932459:3932478|offset_149|444444&amp;v=3932346:3932678&amp;c=444444", "offset 121")</f>
        <v>offset 121</v>
      </c>
    </row>
    <row r="12536" customFormat="false" ht="12.8" hidden="false" customHeight="false" outlineLevel="0" collapsed="false">
      <c r="A12536" s="0" t="s">
        <v>12</v>
      </c>
      <c r="B12536" s="0" t="n">
        <v>3932458</v>
      </c>
      <c r="C12536" s="0" t="n">
        <v>3932478</v>
      </c>
      <c r="D12536" s="0" t="s">
        <v>41628</v>
      </c>
      <c r="E12536" s="0" t="s">
        <v>41629</v>
      </c>
      <c r="F12536" s="0" t="s">
        <v>90</v>
      </c>
      <c r="G12536" s="0" t="s">
        <v>20</v>
      </c>
      <c r="H12536" s="0" t="n">
        <v>149</v>
      </c>
      <c r="I12536" s="0" t="s">
        <v>41639</v>
      </c>
      <c r="J12536" s="0" t="s">
        <v>41640</v>
      </c>
      <c r="K12536" s="0" t="s">
        <v>41641</v>
      </c>
      <c r="L12536" s="0" t="str">
        <f aca="false">HYPERLINK("https://www.ncbi.nlm.nih.gov/nuccore/CP000058.1?report=graph&amp;tracks=[key:gene_model_track,Options:GeneOnly]&amp;mk=3932547:3932566|offset_61|444444,3932517:3932536|offset_91|444444,3932487:3932506|offset_121|444444,3932459:3932478|offset_149|00cc00&amp;v=3932346:3932678&amp;c=444444", "offset 149")</f>
        <v>offset 149</v>
      </c>
    </row>
    <row r="12537" customFormat="false" ht="12.8" hidden="false" customHeight="false" outlineLevel="0" collapsed="false">
      <c r="A12537" s="0" t="s">
        <v>12</v>
      </c>
      <c r="B12537" s="0" t="n">
        <v>3933851</v>
      </c>
      <c r="C12537" s="0" t="n">
        <v>3933871</v>
      </c>
      <c r="D12537" s="0" t="s">
        <v>41642</v>
      </c>
      <c r="E12537" s="0" t="s">
        <v>41643</v>
      </c>
      <c r="F12537" s="0" t="s">
        <v>90</v>
      </c>
      <c r="G12537" s="0" t="s">
        <v>36</v>
      </c>
      <c r="H12537" s="0" t="n">
        <v>12</v>
      </c>
      <c r="I12537" s="0" t="s">
        <v>41644</v>
      </c>
      <c r="J12537" s="0" t="s">
        <v>41645</v>
      </c>
      <c r="K12537" s="0" t="s">
        <v>41646</v>
      </c>
      <c r="L12537" s="0" t="str">
        <f aca="false">HYPERLINK("https://www.ncbi.nlm.nih.gov/nuccore/CP000058.1?report=graph&amp;tracks=[key:gene_model_track,Options:GeneOnly]&amp;mk=3933852:3933871|offset_12|00cc00,3933821:3933840|offset_43|444444,3933799:3933818|offset_65|444444,3933758:3933777|offset_106|444444&amp;v=3933651:3933977&amp;c=444444", "offset 12")</f>
        <v>offset 12</v>
      </c>
    </row>
    <row r="12538" customFormat="false" ht="12.8" hidden="false" customHeight="false" outlineLevel="0" collapsed="false">
      <c r="A12538" s="0" t="s">
        <v>12</v>
      </c>
      <c r="B12538" s="0" t="n">
        <v>3933820</v>
      </c>
      <c r="C12538" s="0" t="n">
        <v>3933840</v>
      </c>
      <c r="D12538" s="0" t="s">
        <v>41642</v>
      </c>
      <c r="E12538" s="0" t="s">
        <v>41643</v>
      </c>
      <c r="F12538" s="0" t="s">
        <v>90</v>
      </c>
      <c r="G12538" s="0" t="s">
        <v>16</v>
      </c>
      <c r="H12538" s="0" t="n">
        <v>43</v>
      </c>
      <c r="I12538" s="0" t="s">
        <v>41647</v>
      </c>
      <c r="J12538" s="0" t="s">
        <v>41648</v>
      </c>
      <c r="K12538" s="0" t="s">
        <v>41649</v>
      </c>
      <c r="L12538" s="0" t="str">
        <f aca="false">HYPERLINK("https://www.ncbi.nlm.nih.gov/nuccore/CP000058.1?report=graph&amp;tracks=[key:gene_model_track,Options:GeneOnly]&amp;mk=3933852:3933871|offset_12|444444,3933821:3933840|offset_43|00cc00,3933799:3933818|offset_65|444444,3933758:3933777|offset_106|444444&amp;v=3933651:3933977&amp;c=444444", "offset 43")</f>
        <v>offset 43</v>
      </c>
    </row>
    <row r="12539" customFormat="false" ht="12.8" hidden="false" customHeight="false" outlineLevel="0" collapsed="false">
      <c r="A12539" s="0" t="s">
        <v>12</v>
      </c>
      <c r="B12539" s="0" t="n">
        <v>3933798</v>
      </c>
      <c r="C12539" s="0" t="n">
        <v>3933818</v>
      </c>
      <c r="D12539" s="0" t="s">
        <v>41642</v>
      </c>
      <c r="E12539" s="0" t="s">
        <v>41643</v>
      </c>
      <c r="F12539" s="0" t="s">
        <v>90</v>
      </c>
      <c r="G12539" s="0" t="s">
        <v>16</v>
      </c>
      <c r="H12539" s="0" t="n">
        <v>65</v>
      </c>
      <c r="I12539" s="0" t="s">
        <v>41650</v>
      </c>
      <c r="J12539" s="0" t="s">
        <v>41651</v>
      </c>
      <c r="K12539" s="0" t="s">
        <v>41652</v>
      </c>
      <c r="L12539" s="0" t="str">
        <f aca="false">HYPERLINK("https://www.ncbi.nlm.nih.gov/nuccore/CP000058.1?report=graph&amp;tracks=[key:gene_model_track,Options:GeneOnly]&amp;mk=3933852:3933871|offset_12|444444,3933821:3933840|offset_43|444444,3933799:3933818|offset_65|00cc00,3933758:3933777|offset_106|444444&amp;v=3933651:3933977&amp;c=444444", "offset 65")</f>
        <v>offset 65</v>
      </c>
    </row>
    <row r="12540" customFormat="false" ht="12.8" hidden="false" customHeight="false" outlineLevel="0" collapsed="false">
      <c r="A12540" s="0" t="s">
        <v>12</v>
      </c>
      <c r="B12540" s="0" t="n">
        <v>3933757</v>
      </c>
      <c r="C12540" s="0" t="n">
        <v>3933777</v>
      </c>
      <c r="D12540" s="0" t="s">
        <v>41642</v>
      </c>
      <c r="E12540" s="0" t="s">
        <v>41643</v>
      </c>
      <c r="F12540" s="0" t="s">
        <v>90</v>
      </c>
      <c r="G12540" s="0" t="s">
        <v>32</v>
      </c>
      <c r="H12540" s="0" t="n">
        <v>106</v>
      </c>
      <c r="I12540" s="0" t="s">
        <v>41653</v>
      </c>
      <c r="J12540" s="0" t="s">
        <v>41654</v>
      </c>
      <c r="K12540" s="0" t="s">
        <v>41655</v>
      </c>
      <c r="L12540" s="0" t="str">
        <f aca="false">HYPERLINK("https://www.ncbi.nlm.nih.gov/nuccore/CP000058.1?report=graph&amp;tracks=[key:gene_model_track,Options:GeneOnly]&amp;mk=3933852:3933871|offset_12|444444,3933821:3933840|offset_43|444444,3933799:3933818|offset_65|444444,3933758:3933777|offset_106|00cc00&amp;v=3933651:3933977&amp;c=444444", "offset 106")</f>
        <v>offset 106</v>
      </c>
    </row>
    <row r="12541" customFormat="false" ht="12.8" hidden="false" customHeight="false" outlineLevel="0" collapsed="false">
      <c r="A12541" s="0" t="s">
        <v>12</v>
      </c>
      <c r="B12541" s="0" t="n">
        <v>3934949</v>
      </c>
      <c r="C12541" s="0" t="n">
        <v>3934969</v>
      </c>
      <c r="D12541" s="0" t="s">
        <v>41656</v>
      </c>
      <c r="E12541" s="0" t="s">
        <v>41657</v>
      </c>
      <c r="F12541" s="0" t="s">
        <v>90</v>
      </c>
      <c r="G12541" s="0" t="s">
        <v>20</v>
      </c>
      <c r="H12541" s="0" t="n">
        <v>34</v>
      </c>
      <c r="I12541" s="0" t="s">
        <v>41658</v>
      </c>
      <c r="J12541" s="0" t="s">
        <v>41659</v>
      </c>
      <c r="K12541" s="0" t="s">
        <v>41660</v>
      </c>
      <c r="L12541" s="0" t="str">
        <f aca="false">HYPERLINK("https://www.ncbi.nlm.nih.gov/nuccore/CP000058.1?report=graph&amp;tracks=[key:gene_model_track,Options:GeneOnly]&amp;mk=3934950:3934969|offset_34|00cc00,3934917:3934936|offset_67|444444,3934887:3934906|offset_97|444444,3934823:3934842|offset_161|444444&amp;v=3934749:3935042&amp;c=444444", "offset 34")</f>
        <v>offset 34</v>
      </c>
    </row>
    <row r="12542" customFormat="false" ht="12.8" hidden="false" customHeight="false" outlineLevel="0" collapsed="false">
      <c r="A12542" s="0" t="s">
        <v>12</v>
      </c>
      <c r="B12542" s="0" t="n">
        <v>3934916</v>
      </c>
      <c r="C12542" s="0" t="n">
        <v>3934936</v>
      </c>
      <c r="D12542" s="0" t="s">
        <v>41656</v>
      </c>
      <c r="E12542" s="0" t="s">
        <v>41657</v>
      </c>
      <c r="F12542" s="0" t="s">
        <v>90</v>
      </c>
      <c r="G12542" s="0" t="s">
        <v>16</v>
      </c>
      <c r="H12542" s="0" t="n">
        <v>67</v>
      </c>
      <c r="I12542" s="0" t="s">
        <v>41661</v>
      </c>
      <c r="J12542" s="0" t="s">
        <v>41662</v>
      </c>
      <c r="K12542" s="0" t="s">
        <v>41663</v>
      </c>
      <c r="L12542" s="0" t="str">
        <f aca="false">HYPERLINK("https://www.ncbi.nlm.nih.gov/nuccore/CP000058.1?report=graph&amp;tracks=[key:gene_model_track,Options:GeneOnly]&amp;mk=3934950:3934969|offset_34|444444,3934917:3934936|offset_67|00cc00,3934887:3934906|offset_97|444444,3934823:3934842|offset_161|444444&amp;v=3934749:3935042&amp;c=444444", "offset 67")</f>
        <v>offset 67</v>
      </c>
    </row>
    <row r="12543" customFormat="false" ht="12.8" hidden="false" customHeight="false" outlineLevel="0" collapsed="false">
      <c r="A12543" s="0" t="s">
        <v>12</v>
      </c>
      <c r="B12543" s="0" t="n">
        <v>3934886</v>
      </c>
      <c r="C12543" s="0" t="n">
        <v>3934906</v>
      </c>
      <c r="D12543" s="0" t="s">
        <v>41656</v>
      </c>
      <c r="E12543" s="0" t="s">
        <v>41657</v>
      </c>
      <c r="F12543" s="0" t="s">
        <v>90</v>
      </c>
      <c r="G12543" s="0" t="s">
        <v>16</v>
      </c>
      <c r="H12543" s="0" t="n">
        <v>97</v>
      </c>
      <c r="I12543" s="0" t="s">
        <v>41664</v>
      </c>
      <c r="J12543" s="0" t="s">
        <v>41665</v>
      </c>
      <c r="K12543" s="0" t="s">
        <v>41666</v>
      </c>
      <c r="L12543" s="0" t="str">
        <f aca="false">HYPERLINK("https://www.ncbi.nlm.nih.gov/nuccore/CP000058.1?report=graph&amp;tracks=[key:gene_model_track,Options:GeneOnly]&amp;mk=3934950:3934969|offset_34|444444,3934917:3934936|offset_67|444444,3934887:3934906|offset_97|00cc00,3934823:3934842|offset_161|444444&amp;v=3934749:3935042&amp;c=444444", "offset 97")</f>
        <v>offset 97</v>
      </c>
    </row>
    <row r="12544" customFormat="false" ht="12.8" hidden="false" customHeight="false" outlineLevel="0" collapsed="false">
      <c r="A12544" s="0" t="s">
        <v>12</v>
      </c>
      <c r="B12544" s="0" t="n">
        <v>3934822</v>
      </c>
      <c r="C12544" s="0" t="n">
        <v>3934842</v>
      </c>
      <c r="D12544" s="0" t="s">
        <v>41656</v>
      </c>
      <c r="E12544" s="0" t="s">
        <v>41657</v>
      </c>
      <c r="F12544" s="0" t="s">
        <v>90</v>
      </c>
      <c r="G12544" s="0" t="s">
        <v>32</v>
      </c>
      <c r="H12544" s="0" t="n">
        <v>161</v>
      </c>
      <c r="I12544" s="0" t="s">
        <v>41667</v>
      </c>
      <c r="J12544" s="0" t="s">
        <v>41668</v>
      </c>
      <c r="K12544" s="0" t="s">
        <v>41669</v>
      </c>
      <c r="L12544" s="0" t="str">
        <f aca="false">HYPERLINK("https://www.ncbi.nlm.nih.gov/nuccore/CP000058.1?report=graph&amp;tracks=[key:gene_model_track,Options:GeneOnly]&amp;mk=3934950:3934969|offset_34|444444,3934917:3934936|offset_67|444444,3934887:3934906|offset_97|444444,3934823:3934842|offset_161|00cc00&amp;v=3934749:3935042&amp;c=444444", "offset 161")</f>
        <v>offset 161</v>
      </c>
    </row>
    <row r="12545" customFormat="false" ht="12.8" hidden="false" customHeight="false" outlineLevel="0" collapsed="false">
      <c r="A12545" s="0" t="s">
        <v>12</v>
      </c>
      <c r="B12545" s="0" t="n">
        <v>3935702</v>
      </c>
      <c r="C12545" s="0" t="n">
        <v>3935722</v>
      </c>
      <c r="D12545" s="0" t="s">
        <v>41670</v>
      </c>
      <c r="E12545" s="0" t="s">
        <v>41671</v>
      </c>
      <c r="F12545" s="0" t="s">
        <v>90</v>
      </c>
      <c r="G12545" s="0" t="s">
        <v>16</v>
      </c>
      <c r="H12545" s="0" t="n">
        <v>8</v>
      </c>
      <c r="I12545" s="0" t="s">
        <v>41672</v>
      </c>
      <c r="J12545" s="0" t="s">
        <v>41673</v>
      </c>
      <c r="K12545" s="0" t="s">
        <v>41674</v>
      </c>
      <c r="L12545" s="0" t="str">
        <f aca="false">HYPERLINK("https://www.ncbi.nlm.nih.gov/nuccore/CP000058.1?report=graph&amp;tracks=[key:gene_model_track,Options:GeneOnly]&amp;mk=3935703:3935722|offset_8|00cc00,3935650:3935669|offset_61|444444,3935627:3935646|offset_84|444444,3935607:3935626|offset_104|444444&amp;v=3935502:3935826&amp;c=444444", "offset 8")</f>
        <v>offset 8</v>
      </c>
    </row>
    <row r="12546" customFormat="false" ht="12.8" hidden="false" customHeight="false" outlineLevel="0" collapsed="false">
      <c r="A12546" s="0" t="s">
        <v>12</v>
      </c>
      <c r="B12546" s="0" t="n">
        <v>3935649</v>
      </c>
      <c r="C12546" s="0" t="n">
        <v>3935669</v>
      </c>
      <c r="D12546" s="0" t="s">
        <v>41670</v>
      </c>
      <c r="E12546" s="0" t="s">
        <v>41671</v>
      </c>
      <c r="F12546" s="0" t="s">
        <v>90</v>
      </c>
      <c r="G12546" s="0" t="s">
        <v>36</v>
      </c>
      <c r="H12546" s="0" t="n">
        <v>61</v>
      </c>
      <c r="I12546" s="0" t="s">
        <v>41675</v>
      </c>
      <c r="J12546" s="0" t="s">
        <v>41676</v>
      </c>
      <c r="K12546" s="0" t="s">
        <v>41677</v>
      </c>
      <c r="L12546" s="0" t="str">
        <f aca="false">HYPERLINK("https://www.ncbi.nlm.nih.gov/nuccore/CP000058.1?report=graph&amp;tracks=[key:gene_model_track,Options:GeneOnly]&amp;mk=3935703:3935722|offset_8|444444,3935650:3935669|offset_61|00cc00,3935627:3935646|offset_84|444444,3935607:3935626|offset_104|444444&amp;v=3935502:3935826&amp;c=444444", "offset 61")</f>
        <v>offset 61</v>
      </c>
    </row>
    <row r="12547" customFormat="false" ht="12.8" hidden="false" customHeight="false" outlineLevel="0" collapsed="false">
      <c r="A12547" s="0" t="s">
        <v>12</v>
      </c>
      <c r="B12547" s="0" t="n">
        <v>3935626</v>
      </c>
      <c r="C12547" s="0" t="n">
        <v>3935646</v>
      </c>
      <c r="D12547" s="0" t="s">
        <v>41670</v>
      </c>
      <c r="E12547" s="0" t="s">
        <v>41671</v>
      </c>
      <c r="F12547" s="0" t="s">
        <v>90</v>
      </c>
      <c r="G12547" s="0" t="s">
        <v>16</v>
      </c>
      <c r="H12547" s="0" t="n">
        <v>84</v>
      </c>
      <c r="I12547" s="0" t="s">
        <v>41678</v>
      </c>
      <c r="J12547" s="0" t="s">
        <v>41679</v>
      </c>
      <c r="K12547" s="0" t="s">
        <v>41680</v>
      </c>
      <c r="L12547" s="0" t="str">
        <f aca="false">HYPERLINK("https://www.ncbi.nlm.nih.gov/nuccore/CP000058.1?report=graph&amp;tracks=[key:gene_model_track,Options:GeneOnly]&amp;mk=3935703:3935722|offset_8|444444,3935650:3935669|offset_61|444444,3935627:3935646|offset_84|00cc00,3935607:3935626|offset_104|444444&amp;v=3935502:3935826&amp;c=444444", "offset 84")</f>
        <v>offset 84</v>
      </c>
    </row>
    <row r="12548" customFormat="false" ht="12.8" hidden="false" customHeight="false" outlineLevel="0" collapsed="false">
      <c r="A12548" s="0" t="s">
        <v>12</v>
      </c>
      <c r="B12548" s="0" t="n">
        <v>3935606</v>
      </c>
      <c r="C12548" s="0" t="n">
        <v>3935626</v>
      </c>
      <c r="D12548" s="0" t="s">
        <v>41670</v>
      </c>
      <c r="E12548" s="0" t="s">
        <v>41671</v>
      </c>
      <c r="F12548" s="0" t="s">
        <v>90</v>
      </c>
      <c r="G12548" s="0" t="s">
        <v>36</v>
      </c>
      <c r="H12548" s="0" t="n">
        <v>104</v>
      </c>
      <c r="I12548" s="0" t="s">
        <v>41681</v>
      </c>
      <c r="J12548" s="0" t="s">
        <v>41682</v>
      </c>
      <c r="K12548" s="0" t="s">
        <v>41683</v>
      </c>
      <c r="L12548" s="0" t="str">
        <f aca="false">HYPERLINK("https://www.ncbi.nlm.nih.gov/nuccore/CP000058.1?report=graph&amp;tracks=[key:gene_model_track,Options:GeneOnly]&amp;mk=3935703:3935722|offset_8|444444,3935650:3935669|offset_61|444444,3935627:3935646|offset_84|444444,3935607:3935626|offset_104|00cc00&amp;v=3935502:3935826&amp;c=444444", "offset 104")</f>
        <v>offset 104</v>
      </c>
    </row>
    <row r="12549" customFormat="false" ht="12.8" hidden="false" customHeight="false" outlineLevel="0" collapsed="false">
      <c r="A12549" s="0" t="s">
        <v>12</v>
      </c>
      <c r="B12549" s="0" t="n">
        <v>3936574</v>
      </c>
      <c r="C12549" s="0" t="n">
        <v>3936594</v>
      </c>
      <c r="D12549" s="0" t="s">
        <v>41684</v>
      </c>
      <c r="E12549" s="0" t="s">
        <v>41685</v>
      </c>
      <c r="F12549" s="0" t="s">
        <v>90</v>
      </c>
      <c r="G12549" s="0" t="s">
        <v>20</v>
      </c>
      <c r="H12549" s="0" t="n">
        <v>9</v>
      </c>
      <c r="I12549" s="0" t="s">
        <v>41686</v>
      </c>
      <c r="J12549" s="0" t="s">
        <v>41687</v>
      </c>
      <c r="K12549" s="0" t="s">
        <v>41688</v>
      </c>
      <c r="L12549" s="0" t="str">
        <f aca="false">HYPERLINK("https://www.ncbi.nlm.nih.gov/nuccore/CP000058.1?report=graph&amp;tracks=[key:gene_model_track,Options:GeneOnly]&amp;mk=3936575:3936594|offset_9|00cc00,3936553:3936572|offset_31|444444,3936528:3936547|offset_56|444444,3936507:3936526|offset_77|444444&amp;v=3936374:3936726&amp;c=444444", "offset 9")</f>
        <v>offset 9</v>
      </c>
    </row>
    <row r="12550" customFormat="false" ht="12.8" hidden="false" customHeight="false" outlineLevel="0" collapsed="false">
      <c r="A12550" s="0" t="s">
        <v>12</v>
      </c>
      <c r="B12550" s="0" t="n">
        <v>3936552</v>
      </c>
      <c r="C12550" s="0" t="n">
        <v>3936572</v>
      </c>
      <c r="D12550" s="0" t="s">
        <v>41684</v>
      </c>
      <c r="E12550" s="0" t="s">
        <v>41685</v>
      </c>
      <c r="F12550" s="0" t="s">
        <v>90</v>
      </c>
      <c r="G12550" s="0" t="s">
        <v>16</v>
      </c>
      <c r="H12550" s="0" t="n">
        <v>31</v>
      </c>
      <c r="I12550" s="0" t="s">
        <v>41689</v>
      </c>
      <c r="J12550" s="0" t="s">
        <v>41690</v>
      </c>
      <c r="K12550" s="0" t="s">
        <v>41691</v>
      </c>
      <c r="L12550" s="0" t="str">
        <f aca="false">HYPERLINK("https://www.ncbi.nlm.nih.gov/nuccore/CP000058.1?report=graph&amp;tracks=[key:gene_model_track,Options:GeneOnly]&amp;mk=3936575:3936594|offset_9|444444,3936553:3936572|offset_31|00cc00,3936528:3936547|offset_56|444444,3936507:3936526|offset_77|444444&amp;v=3936374:3936726&amp;c=444444", "offset 31")</f>
        <v>offset 31</v>
      </c>
    </row>
    <row r="12551" customFormat="false" ht="12.8" hidden="false" customHeight="false" outlineLevel="0" collapsed="false">
      <c r="A12551" s="0" t="s">
        <v>12</v>
      </c>
      <c r="B12551" s="0" t="n">
        <v>3936527</v>
      </c>
      <c r="C12551" s="0" t="n">
        <v>3936547</v>
      </c>
      <c r="D12551" s="0" t="s">
        <v>41684</v>
      </c>
      <c r="E12551" s="0" t="s">
        <v>41685</v>
      </c>
      <c r="F12551" s="0" t="s">
        <v>90</v>
      </c>
      <c r="G12551" s="0" t="s">
        <v>20</v>
      </c>
      <c r="H12551" s="0" t="n">
        <v>56</v>
      </c>
      <c r="I12551" s="0" t="s">
        <v>41692</v>
      </c>
      <c r="J12551" s="0" t="s">
        <v>41693</v>
      </c>
      <c r="K12551" s="0" t="s">
        <v>41694</v>
      </c>
      <c r="L12551" s="0" t="str">
        <f aca="false">HYPERLINK("https://www.ncbi.nlm.nih.gov/nuccore/CP000058.1?report=graph&amp;tracks=[key:gene_model_track,Options:GeneOnly]&amp;mk=3936575:3936594|offset_9|444444,3936553:3936572|offset_31|444444,3936528:3936547|offset_56|00cc00,3936507:3936526|offset_77|444444&amp;v=3936374:3936726&amp;c=444444", "offset 56")</f>
        <v>offset 56</v>
      </c>
    </row>
    <row r="12552" customFormat="false" ht="12.8" hidden="false" customHeight="false" outlineLevel="0" collapsed="false">
      <c r="A12552" s="0" t="s">
        <v>12</v>
      </c>
      <c r="B12552" s="0" t="n">
        <v>3936506</v>
      </c>
      <c r="C12552" s="0" t="n">
        <v>3936526</v>
      </c>
      <c r="D12552" s="0" t="s">
        <v>41684</v>
      </c>
      <c r="E12552" s="0" t="s">
        <v>41685</v>
      </c>
      <c r="F12552" s="0" t="s">
        <v>90</v>
      </c>
      <c r="G12552" s="0" t="s">
        <v>20</v>
      </c>
      <c r="H12552" s="0" t="n">
        <v>77</v>
      </c>
      <c r="I12552" s="0" t="s">
        <v>41695</v>
      </c>
      <c r="J12552" s="0" t="s">
        <v>41696</v>
      </c>
      <c r="K12552" s="0" t="s">
        <v>41697</v>
      </c>
      <c r="L12552" s="0" t="str">
        <f aca="false">HYPERLINK("https://www.ncbi.nlm.nih.gov/nuccore/CP000058.1?report=graph&amp;tracks=[key:gene_model_track,Options:GeneOnly]&amp;mk=3936575:3936594|offset_9|444444,3936553:3936572|offset_31|444444,3936528:3936547|offset_56|444444,3936507:3936526|offset_77|00cc00&amp;v=3936374:3936726&amp;c=444444", "offset 77")</f>
        <v>offset 77</v>
      </c>
    </row>
    <row r="12553" customFormat="false" ht="12.8" hidden="false" customHeight="false" outlineLevel="0" collapsed="false">
      <c r="A12553" s="0" t="s">
        <v>12</v>
      </c>
      <c r="B12553" s="0" t="n">
        <v>3937257</v>
      </c>
      <c r="C12553" s="0" t="n">
        <v>3937277</v>
      </c>
      <c r="D12553" s="0" t="s">
        <v>41698</v>
      </c>
      <c r="E12553" s="0" t="s">
        <v>41699</v>
      </c>
      <c r="F12553" s="0" t="s">
        <v>90</v>
      </c>
      <c r="G12553" s="0" t="s">
        <v>20</v>
      </c>
      <c r="H12553" s="0" t="n">
        <v>113</v>
      </c>
      <c r="I12553" s="0" t="s">
        <v>41700</v>
      </c>
      <c r="J12553" s="0" t="s">
        <v>41701</v>
      </c>
      <c r="K12553" s="0" t="s">
        <v>41702</v>
      </c>
      <c r="L12553" s="0" t="str">
        <f aca="false">HYPERLINK("https://www.ncbi.nlm.nih.gov/nuccore/CP000058.1?report=graph&amp;tracks=[key:gene_model_track,Options:GeneOnly]&amp;mk=3937258:3937277|offset_113|00cc00,3937236:3937255|offset_135|444444,3937215:3937234|offset_156|444444,3937185:3937204|offset_186|444444&amp;v=3937057:3937404&amp;c=444444", "offset 113")</f>
        <v>offset 113</v>
      </c>
    </row>
    <row r="12554" customFormat="false" ht="12.8" hidden="false" customHeight="false" outlineLevel="0" collapsed="false">
      <c r="A12554" s="0" t="s">
        <v>12</v>
      </c>
      <c r="B12554" s="0" t="n">
        <v>3937235</v>
      </c>
      <c r="C12554" s="0" t="n">
        <v>3937255</v>
      </c>
      <c r="D12554" s="0" t="s">
        <v>41698</v>
      </c>
      <c r="E12554" s="0" t="s">
        <v>41699</v>
      </c>
      <c r="F12554" s="0" t="s">
        <v>90</v>
      </c>
      <c r="G12554" s="0" t="s">
        <v>16</v>
      </c>
      <c r="H12554" s="0" t="n">
        <v>135</v>
      </c>
      <c r="I12554" s="0" t="s">
        <v>41703</v>
      </c>
      <c r="J12554" s="0" t="s">
        <v>41704</v>
      </c>
      <c r="K12554" s="0" t="s">
        <v>41705</v>
      </c>
      <c r="L12554" s="0" t="str">
        <f aca="false">HYPERLINK("https://www.ncbi.nlm.nih.gov/nuccore/CP000058.1?report=graph&amp;tracks=[key:gene_model_track,Options:GeneOnly]&amp;mk=3937258:3937277|offset_113|444444,3937236:3937255|offset_135|00cc00,3937215:3937234|offset_156|444444,3937185:3937204|offset_186|444444&amp;v=3937057:3937404&amp;c=444444", "offset 135")</f>
        <v>offset 135</v>
      </c>
    </row>
    <row r="12555" customFormat="false" ht="12.8" hidden="false" customHeight="false" outlineLevel="0" collapsed="false">
      <c r="A12555" s="0" t="s">
        <v>12</v>
      </c>
      <c r="B12555" s="0" t="n">
        <v>3937214</v>
      </c>
      <c r="C12555" s="0" t="n">
        <v>3937234</v>
      </c>
      <c r="D12555" s="0" t="s">
        <v>41698</v>
      </c>
      <c r="E12555" s="0" t="s">
        <v>41699</v>
      </c>
      <c r="F12555" s="0" t="s">
        <v>90</v>
      </c>
      <c r="G12555" s="0" t="s">
        <v>16</v>
      </c>
      <c r="H12555" s="0" t="n">
        <v>156</v>
      </c>
      <c r="I12555" s="0" t="s">
        <v>41706</v>
      </c>
      <c r="J12555" s="0" t="s">
        <v>41707</v>
      </c>
      <c r="K12555" s="0" t="s">
        <v>41708</v>
      </c>
      <c r="L12555" s="0" t="str">
        <f aca="false">HYPERLINK("https://www.ncbi.nlm.nih.gov/nuccore/CP000058.1?report=graph&amp;tracks=[key:gene_model_track,Options:GeneOnly]&amp;mk=3937258:3937277|offset_113|444444,3937236:3937255|offset_135|444444,3937215:3937234|offset_156|00cc00,3937185:3937204|offset_186|444444&amp;v=3937057:3937404&amp;c=444444", "offset 156")</f>
        <v>offset 156</v>
      </c>
    </row>
    <row r="12556" customFormat="false" ht="12.8" hidden="false" customHeight="false" outlineLevel="0" collapsed="false">
      <c r="A12556" s="0" t="s">
        <v>12</v>
      </c>
      <c r="B12556" s="0" t="n">
        <v>3937184</v>
      </c>
      <c r="C12556" s="0" t="n">
        <v>3937204</v>
      </c>
      <c r="D12556" s="0" t="s">
        <v>41698</v>
      </c>
      <c r="E12556" s="0" t="s">
        <v>41699</v>
      </c>
      <c r="F12556" s="0" t="s">
        <v>90</v>
      </c>
      <c r="G12556" s="0" t="s">
        <v>16</v>
      </c>
      <c r="H12556" s="0" t="n">
        <v>186</v>
      </c>
      <c r="I12556" s="0" t="s">
        <v>41709</v>
      </c>
      <c r="J12556" s="0" t="s">
        <v>41710</v>
      </c>
      <c r="K12556" s="0" t="s">
        <v>41711</v>
      </c>
      <c r="L12556" s="0" t="str">
        <f aca="false">HYPERLINK("https://www.ncbi.nlm.nih.gov/nuccore/CP000058.1?report=graph&amp;tracks=[key:gene_model_track,Options:GeneOnly]&amp;mk=3937258:3937277|offset_113|444444,3937236:3937255|offset_135|444444,3937215:3937234|offset_156|444444,3937185:3937204|offset_186|00cc00&amp;v=3937057:3937404&amp;c=444444", "offset 186")</f>
        <v>offset 186</v>
      </c>
    </row>
    <row r="12557" customFormat="false" ht="12.8" hidden="false" customHeight="false" outlineLevel="0" collapsed="false">
      <c r="A12557" s="0" t="s">
        <v>12</v>
      </c>
      <c r="B12557" s="0" t="n">
        <v>3937811</v>
      </c>
      <c r="C12557" s="0" t="n">
        <v>3937831</v>
      </c>
      <c r="D12557" s="0" t="s">
        <v>41712</v>
      </c>
      <c r="E12557" s="0" t="s">
        <v>75</v>
      </c>
      <c r="F12557" s="0" t="s">
        <v>90</v>
      </c>
      <c r="G12557" s="0" t="s">
        <v>20</v>
      </c>
      <c r="H12557" s="0" t="n">
        <v>7</v>
      </c>
      <c r="I12557" s="0" t="s">
        <v>41713</v>
      </c>
      <c r="J12557" s="0" t="s">
        <v>41714</v>
      </c>
      <c r="K12557" s="0" t="s">
        <v>41715</v>
      </c>
      <c r="L12557" s="0" t="str">
        <f aca="false">HYPERLINK("https://www.ncbi.nlm.nih.gov/nuccore/CP000058.1?report=graph&amp;tracks=[key:gene_model_track,Options:GeneOnly]&amp;mk=3937812:3937831|offset_7|00cc00,3937789:3937808|offset_30|444444,3937762:3937781|offset_57|444444,3937721:3937740|offset_98|444444&amp;v=3937611:3937940&amp;c=444444", "offset 7")</f>
        <v>offset 7</v>
      </c>
    </row>
    <row r="12558" customFormat="false" ht="12.8" hidden="false" customHeight="false" outlineLevel="0" collapsed="false">
      <c r="A12558" s="0" t="s">
        <v>12</v>
      </c>
      <c r="B12558" s="0" t="n">
        <v>3937788</v>
      </c>
      <c r="C12558" s="0" t="n">
        <v>3937808</v>
      </c>
      <c r="D12558" s="0" t="s">
        <v>41712</v>
      </c>
      <c r="E12558" s="0" t="s">
        <v>75</v>
      </c>
      <c r="F12558" s="0" t="s">
        <v>90</v>
      </c>
      <c r="G12558" s="0" t="s">
        <v>36</v>
      </c>
      <c r="H12558" s="0" t="n">
        <v>30</v>
      </c>
      <c r="I12558" s="0" t="s">
        <v>41716</v>
      </c>
      <c r="J12558" s="0" t="s">
        <v>41717</v>
      </c>
      <c r="K12558" s="0" t="s">
        <v>41718</v>
      </c>
      <c r="L12558" s="0" t="str">
        <f aca="false">HYPERLINK("https://www.ncbi.nlm.nih.gov/nuccore/CP000058.1?report=graph&amp;tracks=[key:gene_model_track,Options:GeneOnly]&amp;mk=3937812:3937831|offset_7|444444,3937789:3937808|offset_30|00cc00,3937762:3937781|offset_57|444444,3937721:3937740|offset_98|444444&amp;v=3937611:3937940&amp;c=444444", "offset 30")</f>
        <v>offset 30</v>
      </c>
    </row>
    <row r="12559" customFormat="false" ht="12.8" hidden="false" customHeight="false" outlineLevel="0" collapsed="false">
      <c r="A12559" s="0" t="s">
        <v>12</v>
      </c>
      <c r="B12559" s="0" t="n">
        <v>3937761</v>
      </c>
      <c r="C12559" s="0" t="n">
        <v>3937781</v>
      </c>
      <c r="D12559" s="0" t="s">
        <v>41712</v>
      </c>
      <c r="E12559" s="0" t="s">
        <v>75</v>
      </c>
      <c r="F12559" s="0" t="s">
        <v>90</v>
      </c>
      <c r="G12559" s="0" t="s">
        <v>16</v>
      </c>
      <c r="H12559" s="0" t="n">
        <v>57</v>
      </c>
      <c r="I12559" s="0" t="s">
        <v>41719</v>
      </c>
      <c r="J12559" s="0" t="s">
        <v>41720</v>
      </c>
      <c r="K12559" s="0" t="s">
        <v>41721</v>
      </c>
      <c r="L12559" s="0" t="str">
        <f aca="false">HYPERLINK("https://www.ncbi.nlm.nih.gov/nuccore/CP000058.1?report=graph&amp;tracks=[key:gene_model_track,Options:GeneOnly]&amp;mk=3937812:3937831|offset_7|444444,3937789:3937808|offset_30|444444,3937762:3937781|offset_57|00cc00,3937721:3937740|offset_98|444444&amp;v=3937611:3937940&amp;c=444444", "offset 57")</f>
        <v>offset 57</v>
      </c>
    </row>
    <row r="12560" customFormat="false" ht="12.8" hidden="false" customHeight="false" outlineLevel="0" collapsed="false">
      <c r="A12560" s="0" t="s">
        <v>12</v>
      </c>
      <c r="B12560" s="0" t="n">
        <v>3937720</v>
      </c>
      <c r="C12560" s="0" t="n">
        <v>3937740</v>
      </c>
      <c r="D12560" s="0" t="s">
        <v>41712</v>
      </c>
      <c r="E12560" s="0" t="s">
        <v>75</v>
      </c>
      <c r="F12560" s="0" t="s">
        <v>90</v>
      </c>
      <c r="G12560" s="0" t="s">
        <v>20</v>
      </c>
      <c r="H12560" s="0" t="n">
        <v>98</v>
      </c>
      <c r="I12560" s="0" t="s">
        <v>41722</v>
      </c>
      <c r="J12560" s="0" t="s">
        <v>41723</v>
      </c>
      <c r="K12560" s="0" t="s">
        <v>41724</v>
      </c>
      <c r="L12560" s="0" t="str">
        <f aca="false">HYPERLINK("https://www.ncbi.nlm.nih.gov/nuccore/CP000058.1?report=graph&amp;tracks=[key:gene_model_track,Options:GeneOnly]&amp;mk=3937812:3937831|offset_7|444444,3937789:3937808|offset_30|444444,3937762:3937781|offset_57|444444,3937721:3937740|offset_98|00cc00&amp;v=3937611:3937940&amp;c=444444", "offset 98")</f>
        <v>offset 98</v>
      </c>
    </row>
    <row r="12561" customFormat="false" ht="12.8" hidden="false" customHeight="false" outlineLevel="0" collapsed="false">
      <c r="A12561" s="0" t="s">
        <v>12</v>
      </c>
      <c r="B12561" s="0" t="n">
        <v>3939569</v>
      </c>
      <c r="C12561" s="0" t="n">
        <v>3939589</v>
      </c>
      <c r="D12561" s="0" t="s">
        <v>41725</v>
      </c>
      <c r="E12561" s="0" t="s">
        <v>75</v>
      </c>
      <c r="F12561" s="0" t="s">
        <v>90</v>
      </c>
      <c r="G12561" s="0" t="s">
        <v>16</v>
      </c>
      <c r="H12561" s="0" t="n">
        <v>37</v>
      </c>
      <c r="I12561" s="0" t="s">
        <v>41726</v>
      </c>
      <c r="J12561" s="0" t="s">
        <v>41727</v>
      </c>
      <c r="K12561" s="0" t="s">
        <v>41728</v>
      </c>
      <c r="L12561" s="0" t="str">
        <f aca="false">HYPERLINK("https://www.ncbi.nlm.nih.gov/nuccore/CP000058.1?report=graph&amp;tracks=[key:gene_model_track,Options:GeneOnly]&amp;mk=3939570:3939589|offset_37|00cc00,3939546:3939565|offset_61|444444,3939525:3939544|offset_82|444444,3939471:3939490|offset_136|444444&amp;v=3939369:3939690&amp;c=444444", "offset 37")</f>
        <v>offset 37</v>
      </c>
    </row>
    <row r="12562" customFormat="false" ht="12.8" hidden="false" customHeight="false" outlineLevel="0" collapsed="false">
      <c r="A12562" s="0" t="s">
        <v>12</v>
      </c>
      <c r="B12562" s="0" t="n">
        <v>3939545</v>
      </c>
      <c r="C12562" s="0" t="n">
        <v>3939565</v>
      </c>
      <c r="D12562" s="0" t="s">
        <v>41725</v>
      </c>
      <c r="E12562" s="0" t="s">
        <v>75</v>
      </c>
      <c r="F12562" s="0" t="s">
        <v>90</v>
      </c>
      <c r="G12562" s="0" t="s">
        <v>16</v>
      </c>
      <c r="H12562" s="0" t="n">
        <v>61</v>
      </c>
      <c r="I12562" s="0" t="s">
        <v>41729</v>
      </c>
      <c r="J12562" s="0" t="s">
        <v>41730</v>
      </c>
      <c r="K12562" s="0" t="s">
        <v>41731</v>
      </c>
      <c r="L12562" s="0" t="str">
        <f aca="false">HYPERLINK("https://www.ncbi.nlm.nih.gov/nuccore/CP000058.1?report=graph&amp;tracks=[key:gene_model_track,Options:GeneOnly]&amp;mk=3939570:3939589|offset_37|444444,3939546:3939565|offset_61|00cc00,3939525:3939544|offset_82|444444,3939471:3939490|offset_136|444444&amp;v=3939369:3939690&amp;c=444444", "offset 61")</f>
        <v>offset 61</v>
      </c>
    </row>
    <row r="12563" customFormat="false" ht="12.8" hidden="false" customHeight="false" outlineLevel="0" collapsed="false">
      <c r="A12563" s="0" t="s">
        <v>12</v>
      </c>
      <c r="B12563" s="0" t="n">
        <v>3939524</v>
      </c>
      <c r="C12563" s="0" t="n">
        <v>3939544</v>
      </c>
      <c r="D12563" s="0" t="s">
        <v>41725</v>
      </c>
      <c r="E12563" s="0" t="s">
        <v>75</v>
      </c>
      <c r="F12563" s="0" t="s">
        <v>90</v>
      </c>
      <c r="G12563" s="0" t="s">
        <v>16</v>
      </c>
      <c r="H12563" s="0" t="n">
        <v>82</v>
      </c>
      <c r="I12563" s="0" t="s">
        <v>41732</v>
      </c>
      <c r="J12563" s="0" t="s">
        <v>41733</v>
      </c>
      <c r="K12563" s="0" t="s">
        <v>41734</v>
      </c>
      <c r="L12563" s="0" t="str">
        <f aca="false">HYPERLINK("https://www.ncbi.nlm.nih.gov/nuccore/CP000058.1?report=graph&amp;tracks=[key:gene_model_track,Options:GeneOnly]&amp;mk=3939570:3939589|offset_37|444444,3939546:3939565|offset_61|444444,3939525:3939544|offset_82|00cc00,3939471:3939490|offset_136|444444&amp;v=3939369:3939690&amp;c=444444", "offset 82")</f>
        <v>offset 82</v>
      </c>
    </row>
    <row r="12564" customFormat="false" ht="12.8" hidden="false" customHeight="false" outlineLevel="0" collapsed="false">
      <c r="A12564" s="0" t="s">
        <v>12</v>
      </c>
      <c r="B12564" s="0" t="n">
        <v>3939470</v>
      </c>
      <c r="C12564" s="0" t="n">
        <v>3939490</v>
      </c>
      <c r="D12564" s="0" t="s">
        <v>41725</v>
      </c>
      <c r="E12564" s="0" t="s">
        <v>75</v>
      </c>
      <c r="F12564" s="0" t="s">
        <v>90</v>
      </c>
      <c r="G12564" s="0" t="s">
        <v>32</v>
      </c>
      <c r="H12564" s="0" t="n">
        <v>136</v>
      </c>
      <c r="I12564" s="0" t="s">
        <v>41735</v>
      </c>
      <c r="J12564" s="0" t="s">
        <v>41736</v>
      </c>
      <c r="K12564" s="0" t="s">
        <v>41737</v>
      </c>
      <c r="L12564" s="0" t="str">
        <f aca="false">HYPERLINK("https://www.ncbi.nlm.nih.gov/nuccore/CP000058.1?report=graph&amp;tracks=[key:gene_model_track,Options:GeneOnly]&amp;mk=3939570:3939589|offset_37|444444,3939546:3939565|offset_61|444444,3939525:3939544|offset_82|444444,3939471:3939490|offset_136|00cc00&amp;v=3939369:3939690&amp;c=444444", "offset 136")</f>
        <v>offset 136</v>
      </c>
    </row>
    <row r="12565" customFormat="false" ht="12.8" hidden="false" customHeight="false" outlineLevel="0" collapsed="false">
      <c r="A12565" s="0" t="s">
        <v>12</v>
      </c>
      <c r="B12565" s="0" t="n">
        <v>3941102</v>
      </c>
      <c r="C12565" s="0" t="n">
        <v>3941122</v>
      </c>
      <c r="D12565" s="0" t="s">
        <v>41738</v>
      </c>
      <c r="E12565" s="0" t="s">
        <v>41739</v>
      </c>
      <c r="F12565" s="0" t="s">
        <v>90</v>
      </c>
      <c r="G12565" s="0" t="s">
        <v>20</v>
      </c>
      <c r="H12565" s="0" t="n">
        <v>20</v>
      </c>
      <c r="I12565" s="0" t="s">
        <v>41740</v>
      </c>
      <c r="J12565" s="0" t="s">
        <v>41741</v>
      </c>
      <c r="K12565" s="0" t="s">
        <v>41742</v>
      </c>
      <c r="L12565" s="0" t="str">
        <f aca="false">HYPERLINK("https://www.ncbi.nlm.nih.gov/nuccore/CP000058.1?report=graph&amp;tracks=[key:gene_model_track,Options:GeneOnly]&amp;mk=3941103:3941122|offset_20|00cc00,3941062:3941081|offset_61|444444,3941035:3941054|offset_88|444444,3941002:3941021|offset_121|444444&amp;v=3940902:3941221&amp;c=444444", "offset 20")</f>
        <v>offset 20</v>
      </c>
    </row>
    <row r="12566" customFormat="false" ht="12.8" hidden="false" customHeight="false" outlineLevel="0" collapsed="false">
      <c r="A12566" s="0" t="s">
        <v>12</v>
      </c>
      <c r="B12566" s="0" t="n">
        <v>3941061</v>
      </c>
      <c r="C12566" s="0" t="n">
        <v>3941081</v>
      </c>
      <c r="D12566" s="0" t="s">
        <v>41738</v>
      </c>
      <c r="E12566" s="0" t="s">
        <v>41739</v>
      </c>
      <c r="F12566" s="0" t="s">
        <v>90</v>
      </c>
      <c r="G12566" s="0" t="s">
        <v>16</v>
      </c>
      <c r="H12566" s="0" t="n">
        <v>61</v>
      </c>
      <c r="I12566" s="0" t="s">
        <v>41743</v>
      </c>
      <c r="J12566" s="0" t="s">
        <v>41744</v>
      </c>
      <c r="K12566" s="0" t="s">
        <v>41745</v>
      </c>
      <c r="L12566" s="0" t="str">
        <f aca="false">HYPERLINK("https://www.ncbi.nlm.nih.gov/nuccore/CP000058.1?report=graph&amp;tracks=[key:gene_model_track,Options:GeneOnly]&amp;mk=3941103:3941122|offset_20|444444,3941062:3941081|offset_61|00cc00,3941035:3941054|offset_88|444444,3941002:3941021|offset_121|444444&amp;v=3940902:3941221&amp;c=444444", "offset 61")</f>
        <v>offset 61</v>
      </c>
    </row>
    <row r="12567" customFormat="false" ht="12.8" hidden="false" customHeight="false" outlineLevel="0" collapsed="false">
      <c r="A12567" s="0" t="s">
        <v>12</v>
      </c>
      <c r="B12567" s="0" t="n">
        <v>3941034</v>
      </c>
      <c r="C12567" s="0" t="n">
        <v>3941054</v>
      </c>
      <c r="D12567" s="0" t="s">
        <v>41738</v>
      </c>
      <c r="E12567" s="0" t="s">
        <v>41739</v>
      </c>
      <c r="F12567" s="0" t="s">
        <v>90</v>
      </c>
      <c r="G12567" s="0" t="s">
        <v>32</v>
      </c>
      <c r="H12567" s="0" t="n">
        <v>88</v>
      </c>
      <c r="I12567" s="0" t="s">
        <v>41746</v>
      </c>
      <c r="J12567" s="0" t="s">
        <v>41747</v>
      </c>
      <c r="K12567" s="0" t="s">
        <v>41748</v>
      </c>
      <c r="L12567" s="0" t="str">
        <f aca="false">HYPERLINK("https://www.ncbi.nlm.nih.gov/nuccore/CP000058.1?report=graph&amp;tracks=[key:gene_model_track,Options:GeneOnly]&amp;mk=3941103:3941122|offset_20|444444,3941062:3941081|offset_61|444444,3941035:3941054|offset_88|00cc00,3941002:3941021|offset_121|444444&amp;v=3940902:3941221&amp;c=444444", "offset 88")</f>
        <v>offset 88</v>
      </c>
    </row>
    <row r="12568" customFormat="false" ht="12.8" hidden="false" customHeight="false" outlineLevel="0" collapsed="false">
      <c r="A12568" s="0" t="s">
        <v>12</v>
      </c>
      <c r="B12568" s="0" t="n">
        <v>3941001</v>
      </c>
      <c r="C12568" s="0" t="n">
        <v>3941021</v>
      </c>
      <c r="D12568" s="0" t="s">
        <v>41738</v>
      </c>
      <c r="E12568" s="0" t="s">
        <v>41739</v>
      </c>
      <c r="F12568" s="0" t="s">
        <v>90</v>
      </c>
      <c r="G12568" s="0" t="s">
        <v>16</v>
      </c>
      <c r="H12568" s="0" t="n">
        <v>121</v>
      </c>
      <c r="I12568" s="0" t="s">
        <v>41749</v>
      </c>
      <c r="J12568" s="0" t="s">
        <v>41750</v>
      </c>
      <c r="K12568" s="0" t="s">
        <v>41751</v>
      </c>
      <c r="L12568" s="0" t="str">
        <f aca="false">HYPERLINK("https://www.ncbi.nlm.nih.gov/nuccore/CP000058.1?report=graph&amp;tracks=[key:gene_model_track,Options:GeneOnly]&amp;mk=3941103:3941122|offset_20|444444,3941062:3941081|offset_61|444444,3941035:3941054|offset_88|444444,3941002:3941021|offset_121|00cc00&amp;v=3940902:3941221&amp;c=444444", "offset 121")</f>
        <v>offset 121</v>
      </c>
    </row>
    <row r="12569" customFormat="false" ht="12.8" hidden="false" customHeight="false" outlineLevel="0" collapsed="false">
      <c r="A12569" s="0" t="s">
        <v>12</v>
      </c>
      <c r="B12569" s="0" t="n">
        <v>3941827</v>
      </c>
      <c r="C12569" s="0" t="n">
        <v>3941847</v>
      </c>
      <c r="D12569" s="0" t="s">
        <v>41752</v>
      </c>
      <c r="E12569" s="0" t="s">
        <v>41753</v>
      </c>
      <c r="F12569" s="0" t="s">
        <v>90</v>
      </c>
      <c r="G12569" s="0" t="s">
        <v>16</v>
      </c>
      <c r="H12569" s="0" t="n">
        <v>7</v>
      </c>
      <c r="I12569" s="0" t="s">
        <v>41754</v>
      </c>
      <c r="J12569" s="0" t="s">
        <v>41755</v>
      </c>
      <c r="K12569" s="0" t="s">
        <v>41756</v>
      </c>
      <c r="L12569" s="0" t="str">
        <f aca="false">HYPERLINK("https://www.ncbi.nlm.nih.gov/nuccore/CP000058.1?report=graph&amp;tracks=[key:gene_model_track,Options:GeneOnly]&amp;mk=3941828:3941847|offset_7|00cc00,3941772:3941791|offset_63|444444,3941750:3941769|offset_85|444444,3941722:3941741|offset_113|444444&amp;v=3941627:3941941&amp;c=444444", "offset 7")</f>
        <v>offset 7</v>
      </c>
    </row>
    <row r="12570" customFormat="false" ht="12.8" hidden="false" customHeight="false" outlineLevel="0" collapsed="false">
      <c r="A12570" s="0" t="s">
        <v>12</v>
      </c>
      <c r="B12570" s="0" t="n">
        <v>3941771</v>
      </c>
      <c r="C12570" s="0" t="n">
        <v>3941791</v>
      </c>
      <c r="D12570" s="0" t="s">
        <v>41752</v>
      </c>
      <c r="E12570" s="0" t="s">
        <v>41753</v>
      </c>
      <c r="F12570" s="0" t="s">
        <v>90</v>
      </c>
      <c r="G12570" s="0" t="s">
        <v>16</v>
      </c>
      <c r="H12570" s="0" t="n">
        <v>63</v>
      </c>
      <c r="I12570" s="0" t="s">
        <v>41757</v>
      </c>
      <c r="J12570" s="0" t="s">
        <v>41758</v>
      </c>
      <c r="K12570" s="0" t="s">
        <v>41759</v>
      </c>
      <c r="L12570" s="0" t="str">
        <f aca="false">HYPERLINK("https://www.ncbi.nlm.nih.gov/nuccore/CP000058.1?report=graph&amp;tracks=[key:gene_model_track,Options:GeneOnly]&amp;mk=3941828:3941847|offset_7|444444,3941772:3941791|offset_63|00cc00,3941750:3941769|offset_85|444444,3941722:3941741|offset_113|444444&amp;v=3941627:3941941&amp;c=444444", "offset 63")</f>
        <v>offset 63</v>
      </c>
    </row>
    <row r="12571" customFormat="false" ht="12.8" hidden="false" customHeight="false" outlineLevel="0" collapsed="false">
      <c r="A12571" s="0" t="s">
        <v>12</v>
      </c>
      <c r="B12571" s="0" t="n">
        <v>3941749</v>
      </c>
      <c r="C12571" s="0" t="n">
        <v>3941769</v>
      </c>
      <c r="D12571" s="0" t="s">
        <v>41752</v>
      </c>
      <c r="E12571" s="0" t="s">
        <v>41753</v>
      </c>
      <c r="F12571" s="0" t="s">
        <v>90</v>
      </c>
      <c r="G12571" s="0" t="s">
        <v>32</v>
      </c>
      <c r="H12571" s="0" t="n">
        <v>85</v>
      </c>
      <c r="I12571" s="0" t="s">
        <v>41760</v>
      </c>
      <c r="J12571" s="0" t="s">
        <v>41761</v>
      </c>
      <c r="K12571" s="0" t="s">
        <v>41762</v>
      </c>
      <c r="L12571" s="0" t="str">
        <f aca="false">HYPERLINK("https://www.ncbi.nlm.nih.gov/nuccore/CP000058.1?report=graph&amp;tracks=[key:gene_model_track,Options:GeneOnly]&amp;mk=3941828:3941847|offset_7|444444,3941772:3941791|offset_63|444444,3941750:3941769|offset_85|00cc00,3941722:3941741|offset_113|444444&amp;v=3941627:3941941&amp;c=444444", "offset 85")</f>
        <v>offset 85</v>
      </c>
    </row>
    <row r="12572" customFormat="false" ht="12.8" hidden="false" customHeight="false" outlineLevel="0" collapsed="false">
      <c r="A12572" s="0" t="s">
        <v>12</v>
      </c>
      <c r="B12572" s="0" t="n">
        <v>3941721</v>
      </c>
      <c r="C12572" s="0" t="n">
        <v>3941741</v>
      </c>
      <c r="D12572" s="0" t="s">
        <v>41752</v>
      </c>
      <c r="E12572" s="0" t="s">
        <v>41753</v>
      </c>
      <c r="F12572" s="0" t="s">
        <v>90</v>
      </c>
      <c r="G12572" s="0" t="s">
        <v>20</v>
      </c>
      <c r="H12572" s="0" t="n">
        <v>113</v>
      </c>
      <c r="I12572" s="0" t="s">
        <v>41763</v>
      </c>
      <c r="J12572" s="0" t="s">
        <v>41764</v>
      </c>
      <c r="K12572" s="0" t="s">
        <v>41765</v>
      </c>
      <c r="L12572" s="0" t="str">
        <f aca="false">HYPERLINK("https://www.ncbi.nlm.nih.gov/nuccore/CP000058.1?report=graph&amp;tracks=[key:gene_model_track,Options:GeneOnly]&amp;mk=3941828:3941847|offset_7|444444,3941772:3941791|offset_63|444444,3941750:3941769|offset_85|444444,3941722:3941741|offset_113|00cc00&amp;v=3941627:3941941&amp;c=444444", "offset 113")</f>
        <v>offset 113</v>
      </c>
    </row>
    <row r="12573" customFormat="false" ht="12.8" hidden="false" customHeight="false" outlineLevel="0" collapsed="false">
      <c r="A12573" s="0" t="s">
        <v>12</v>
      </c>
      <c r="B12573" s="0" t="n">
        <v>3942277</v>
      </c>
      <c r="C12573" s="0" t="n">
        <v>3942297</v>
      </c>
      <c r="D12573" s="0" t="s">
        <v>41766</v>
      </c>
      <c r="E12573" s="0" t="s">
        <v>41767</v>
      </c>
      <c r="F12573" s="0" t="s">
        <v>90</v>
      </c>
      <c r="G12573" s="0" t="s">
        <v>32</v>
      </c>
      <c r="H12573" s="0" t="n">
        <v>13</v>
      </c>
      <c r="I12573" s="0" t="s">
        <v>41768</v>
      </c>
      <c r="J12573" s="0" t="s">
        <v>41769</v>
      </c>
      <c r="K12573" s="0" t="s">
        <v>41770</v>
      </c>
      <c r="L12573" s="0" t="str">
        <f aca="false">HYPERLINK("https://www.ncbi.nlm.nih.gov/nuccore/CP000058.1?report=graph&amp;tracks=[key:gene_model_track,Options:GeneOnly]&amp;mk=3942278:3942297|offset_13|00cc00,3942251:3942270|offset_40|444444,3942215:3942234|offset_76|444444,3942191:3942210|offset_100|444444&amp;v=3942077:3942410&amp;c=444444", "offset 13")</f>
        <v>offset 13</v>
      </c>
    </row>
    <row r="12574" customFormat="false" ht="12.8" hidden="false" customHeight="false" outlineLevel="0" collapsed="false">
      <c r="A12574" s="0" t="s">
        <v>12</v>
      </c>
      <c r="B12574" s="0" t="n">
        <v>3942250</v>
      </c>
      <c r="C12574" s="0" t="n">
        <v>3942270</v>
      </c>
      <c r="D12574" s="0" t="s">
        <v>41766</v>
      </c>
      <c r="E12574" s="0" t="s">
        <v>41767</v>
      </c>
      <c r="F12574" s="0" t="s">
        <v>90</v>
      </c>
      <c r="G12574" s="0" t="s">
        <v>32</v>
      </c>
      <c r="H12574" s="0" t="n">
        <v>40</v>
      </c>
      <c r="I12574" s="0" t="s">
        <v>41771</v>
      </c>
      <c r="J12574" s="0" t="s">
        <v>41772</v>
      </c>
      <c r="K12574" s="0" t="s">
        <v>41773</v>
      </c>
      <c r="L12574" s="0" t="str">
        <f aca="false">HYPERLINK("https://www.ncbi.nlm.nih.gov/nuccore/CP000058.1?report=graph&amp;tracks=[key:gene_model_track,Options:GeneOnly]&amp;mk=3942278:3942297|offset_13|444444,3942251:3942270|offset_40|00cc00,3942215:3942234|offset_76|444444,3942191:3942210|offset_100|444444&amp;v=3942077:3942410&amp;c=444444", "offset 40")</f>
        <v>offset 40</v>
      </c>
    </row>
    <row r="12575" customFormat="false" ht="12.8" hidden="false" customHeight="false" outlineLevel="0" collapsed="false">
      <c r="A12575" s="0" t="s">
        <v>12</v>
      </c>
      <c r="B12575" s="0" t="n">
        <v>3942214</v>
      </c>
      <c r="C12575" s="0" t="n">
        <v>3942234</v>
      </c>
      <c r="D12575" s="0" t="s">
        <v>41766</v>
      </c>
      <c r="E12575" s="0" t="s">
        <v>41767</v>
      </c>
      <c r="F12575" s="0" t="s">
        <v>90</v>
      </c>
      <c r="G12575" s="0" t="s">
        <v>32</v>
      </c>
      <c r="H12575" s="0" t="n">
        <v>76</v>
      </c>
      <c r="I12575" s="0" t="s">
        <v>41774</v>
      </c>
      <c r="J12575" s="0" t="s">
        <v>41775</v>
      </c>
      <c r="K12575" s="0" t="s">
        <v>41776</v>
      </c>
      <c r="L12575" s="0" t="str">
        <f aca="false">HYPERLINK("https://www.ncbi.nlm.nih.gov/nuccore/CP000058.1?report=graph&amp;tracks=[key:gene_model_track,Options:GeneOnly]&amp;mk=3942278:3942297|offset_13|444444,3942251:3942270|offset_40|444444,3942215:3942234|offset_76|00cc00,3942191:3942210|offset_100|444444&amp;v=3942077:3942410&amp;c=444444", "offset 76")</f>
        <v>offset 76</v>
      </c>
    </row>
    <row r="12576" customFormat="false" ht="12.8" hidden="false" customHeight="false" outlineLevel="0" collapsed="false">
      <c r="A12576" s="0" t="s">
        <v>12</v>
      </c>
      <c r="B12576" s="0" t="n">
        <v>3942190</v>
      </c>
      <c r="C12576" s="0" t="n">
        <v>3942210</v>
      </c>
      <c r="D12576" s="0" t="s">
        <v>41766</v>
      </c>
      <c r="E12576" s="0" t="s">
        <v>41767</v>
      </c>
      <c r="F12576" s="0" t="s">
        <v>90</v>
      </c>
      <c r="G12576" s="0" t="s">
        <v>16</v>
      </c>
      <c r="H12576" s="0" t="n">
        <v>100</v>
      </c>
      <c r="I12576" s="0" t="s">
        <v>41777</v>
      </c>
      <c r="J12576" s="0" t="s">
        <v>41778</v>
      </c>
      <c r="K12576" s="0" t="s">
        <v>41779</v>
      </c>
      <c r="L12576" s="0" t="str">
        <f aca="false">HYPERLINK("https://www.ncbi.nlm.nih.gov/nuccore/CP000058.1?report=graph&amp;tracks=[key:gene_model_track,Options:GeneOnly]&amp;mk=3942278:3942297|offset_13|444444,3942251:3942270|offset_40|444444,3942215:3942234|offset_76|444444,3942191:3942210|offset_100|00cc00&amp;v=3942077:3942410&amp;c=444444", "offset 100")</f>
        <v>offset 100</v>
      </c>
    </row>
    <row r="12577" customFormat="false" ht="12.8" hidden="false" customHeight="false" outlineLevel="0" collapsed="false">
      <c r="A12577" s="0" t="s">
        <v>12</v>
      </c>
      <c r="B12577" s="0" t="n">
        <v>3942645</v>
      </c>
      <c r="C12577" s="0" t="n">
        <v>3942665</v>
      </c>
      <c r="D12577" s="0" t="s">
        <v>41780</v>
      </c>
      <c r="E12577" s="0" t="s">
        <v>41781</v>
      </c>
      <c r="F12577" s="0" t="s">
        <v>90</v>
      </c>
      <c r="G12577" s="0" t="s">
        <v>16</v>
      </c>
      <c r="H12577" s="0" t="n">
        <v>56</v>
      </c>
      <c r="I12577" s="0" t="s">
        <v>41782</v>
      </c>
      <c r="J12577" s="0" t="s">
        <v>41783</v>
      </c>
      <c r="K12577" s="0" t="s">
        <v>41784</v>
      </c>
      <c r="L12577" s="0" t="str">
        <f aca="false">HYPERLINK("https://www.ncbi.nlm.nih.gov/nuccore/CP000058.1?report=graph&amp;tracks=[key:gene_model_track,Options:GeneOnly]&amp;mk=3942646:3942665|offset_56|00cc00,3942620:3942639|offset_82|444444,3942596:3942615|offset_106|444444,3942548:3942567|offset_154|444444&amp;v=3942445:3942767&amp;c=444444", "offset 56")</f>
        <v>offset 56</v>
      </c>
    </row>
    <row r="12578" customFormat="false" ht="12.8" hidden="false" customHeight="false" outlineLevel="0" collapsed="false">
      <c r="A12578" s="0" t="s">
        <v>12</v>
      </c>
      <c r="B12578" s="0" t="n">
        <v>3942619</v>
      </c>
      <c r="C12578" s="0" t="n">
        <v>3942639</v>
      </c>
      <c r="D12578" s="0" t="s">
        <v>41780</v>
      </c>
      <c r="E12578" s="0" t="s">
        <v>41781</v>
      </c>
      <c r="F12578" s="0" t="s">
        <v>90</v>
      </c>
      <c r="G12578" s="0" t="s">
        <v>32</v>
      </c>
      <c r="H12578" s="0" t="n">
        <v>82</v>
      </c>
      <c r="I12578" s="0" t="s">
        <v>41785</v>
      </c>
      <c r="J12578" s="0" t="s">
        <v>41786</v>
      </c>
      <c r="K12578" s="0" t="s">
        <v>41787</v>
      </c>
      <c r="L12578" s="0" t="str">
        <f aca="false">HYPERLINK("https://www.ncbi.nlm.nih.gov/nuccore/CP000058.1?report=graph&amp;tracks=[key:gene_model_track,Options:GeneOnly]&amp;mk=3942646:3942665|offset_56|444444,3942620:3942639|offset_82|00cc00,3942596:3942615|offset_106|444444,3942548:3942567|offset_154|444444&amp;v=3942445:3942767&amp;c=444444", "offset 82")</f>
        <v>offset 82</v>
      </c>
    </row>
    <row r="12579" customFormat="false" ht="12.8" hidden="false" customHeight="false" outlineLevel="0" collapsed="false">
      <c r="A12579" s="0" t="s">
        <v>12</v>
      </c>
      <c r="B12579" s="0" t="n">
        <v>3942595</v>
      </c>
      <c r="C12579" s="0" t="n">
        <v>3942615</v>
      </c>
      <c r="D12579" s="0" t="s">
        <v>41780</v>
      </c>
      <c r="E12579" s="0" t="s">
        <v>41781</v>
      </c>
      <c r="F12579" s="0" t="s">
        <v>90</v>
      </c>
      <c r="G12579" s="0" t="s">
        <v>36</v>
      </c>
      <c r="H12579" s="0" t="n">
        <v>106</v>
      </c>
      <c r="I12579" s="0" t="s">
        <v>41788</v>
      </c>
      <c r="J12579" s="0" t="s">
        <v>41789</v>
      </c>
      <c r="K12579" s="0" t="s">
        <v>41790</v>
      </c>
      <c r="L12579" s="0" t="str">
        <f aca="false">HYPERLINK("https://www.ncbi.nlm.nih.gov/nuccore/CP000058.1?report=graph&amp;tracks=[key:gene_model_track,Options:GeneOnly]&amp;mk=3942646:3942665|offset_56|444444,3942620:3942639|offset_82|444444,3942596:3942615|offset_106|00cc00,3942548:3942567|offset_154|444444&amp;v=3942445:3942767&amp;c=444444", "offset 106")</f>
        <v>offset 106</v>
      </c>
    </row>
    <row r="12580" customFormat="false" ht="12.8" hidden="false" customHeight="false" outlineLevel="0" collapsed="false">
      <c r="A12580" s="0" t="s">
        <v>12</v>
      </c>
      <c r="B12580" s="0" t="n">
        <v>3942547</v>
      </c>
      <c r="C12580" s="0" t="n">
        <v>3942567</v>
      </c>
      <c r="D12580" s="0" t="s">
        <v>41780</v>
      </c>
      <c r="E12580" s="0" t="s">
        <v>41781</v>
      </c>
      <c r="F12580" s="0" t="s">
        <v>90</v>
      </c>
      <c r="G12580" s="0" t="s">
        <v>36</v>
      </c>
      <c r="H12580" s="0" t="n">
        <v>154</v>
      </c>
      <c r="I12580" s="0" t="s">
        <v>41791</v>
      </c>
      <c r="J12580" s="0" t="s">
        <v>41792</v>
      </c>
      <c r="K12580" s="0" t="s">
        <v>41793</v>
      </c>
      <c r="L12580" s="0" t="str">
        <f aca="false">HYPERLINK("https://www.ncbi.nlm.nih.gov/nuccore/CP000058.1?report=graph&amp;tracks=[key:gene_model_track,Options:GeneOnly]&amp;mk=3942646:3942665|offset_56|444444,3942620:3942639|offset_82|444444,3942596:3942615|offset_106|444444,3942548:3942567|offset_154|00cc00&amp;v=3942445:3942767&amp;c=444444", "offset 154")</f>
        <v>offset 154</v>
      </c>
    </row>
    <row r="12581" customFormat="false" ht="12.8" hidden="false" customHeight="false" outlineLevel="0" collapsed="false">
      <c r="A12581" s="0" t="s">
        <v>12</v>
      </c>
      <c r="B12581" s="0" t="n">
        <v>3943433</v>
      </c>
      <c r="C12581" s="0" t="n">
        <v>3943453</v>
      </c>
      <c r="D12581" s="0" t="s">
        <v>41794</v>
      </c>
      <c r="E12581" s="0" t="s">
        <v>75</v>
      </c>
      <c r="F12581" s="0" t="s">
        <v>90</v>
      </c>
      <c r="G12581" s="0" t="s">
        <v>16</v>
      </c>
      <c r="H12581" s="0" t="n">
        <v>21</v>
      </c>
      <c r="I12581" s="0" t="s">
        <v>41795</v>
      </c>
      <c r="J12581" s="0" t="s">
        <v>41796</v>
      </c>
      <c r="K12581" s="0" t="s">
        <v>41797</v>
      </c>
      <c r="L12581" s="0" t="str">
        <f aca="false">HYPERLINK("https://www.ncbi.nlm.nih.gov/nuccore/CP000058.1?report=graph&amp;tracks=[key:gene_model_track,Options:GeneOnly]&amp;mk=3943434:3943453|offset_21|00cc00,3943414:3943433|offset_41|444444,3943390:3943409|offset_65|444444,3943337:3943356|offset_118|444444&amp;v=3943233:3943556&amp;c=444444", "offset 21")</f>
        <v>offset 21</v>
      </c>
    </row>
    <row r="12582" customFormat="false" ht="12.8" hidden="false" customHeight="false" outlineLevel="0" collapsed="false">
      <c r="A12582" s="0" t="s">
        <v>12</v>
      </c>
      <c r="B12582" s="0" t="n">
        <v>3943413</v>
      </c>
      <c r="C12582" s="0" t="n">
        <v>3943433</v>
      </c>
      <c r="D12582" s="0" t="s">
        <v>41794</v>
      </c>
      <c r="E12582" s="0" t="s">
        <v>75</v>
      </c>
      <c r="F12582" s="0" t="s">
        <v>90</v>
      </c>
      <c r="G12582" s="0" t="s">
        <v>20</v>
      </c>
      <c r="H12582" s="0" t="n">
        <v>41</v>
      </c>
      <c r="I12582" s="0" t="s">
        <v>41798</v>
      </c>
      <c r="J12582" s="0" t="s">
        <v>41799</v>
      </c>
      <c r="K12582" s="0" t="s">
        <v>41800</v>
      </c>
      <c r="L12582" s="0" t="str">
        <f aca="false">HYPERLINK("https://www.ncbi.nlm.nih.gov/nuccore/CP000058.1?report=graph&amp;tracks=[key:gene_model_track,Options:GeneOnly]&amp;mk=3943434:3943453|offset_21|444444,3943414:3943433|offset_41|00cc00,3943390:3943409|offset_65|444444,3943337:3943356|offset_118|444444&amp;v=3943233:3943556&amp;c=444444", "offset 41")</f>
        <v>offset 41</v>
      </c>
    </row>
    <row r="12583" customFormat="false" ht="12.8" hidden="false" customHeight="false" outlineLevel="0" collapsed="false">
      <c r="A12583" s="0" t="s">
        <v>12</v>
      </c>
      <c r="B12583" s="0" t="n">
        <v>3943389</v>
      </c>
      <c r="C12583" s="0" t="n">
        <v>3943409</v>
      </c>
      <c r="D12583" s="0" t="s">
        <v>41794</v>
      </c>
      <c r="E12583" s="0" t="s">
        <v>75</v>
      </c>
      <c r="F12583" s="0" t="s">
        <v>90</v>
      </c>
      <c r="G12583" s="0" t="s">
        <v>16</v>
      </c>
      <c r="H12583" s="0" t="n">
        <v>65</v>
      </c>
      <c r="I12583" s="0" t="s">
        <v>41801</v>
      </c>
      <c r="J12583" s="0" t="s">
        <v>41802</v>
      </c>
      <c r="K12583" s="0" t="s">
        <v>41803</v>
      </c>
      <c r="L12583" s="0" t="str">
        <f aca="false">HYPERLINK("https://www.ncbi.nlm.nih.gov/nuccore/CP000058.1?report=graph&amp;tracks=[key:gene_model_track,Options:GeneOnly]&amp;mk=3943434:3943453|offset_21|444444,3943414:3943433|offset_41|444444,3943390:3943409|offset_65|00cc00,3943337:3943356|offset_118|444444&amp;v=3943233:3943556&amp;c=444444", "offset 65")</f>
        <v>offset 65</v>
      </c>
    </row>
    <row r="12584" customFormat="false" ht="12.8" hidden="false" customHeight="false" outlineLevel="0" collapsed="false">
      <c r="A12584" s="0" t="s">
        <v>12</v>
      </c>
      <c r="B12584" s="0" t="n">
        <v>3943336</v>
      </c>
      <c r="C12584" s="0" t="n">
        <v>3943356</v>
      </c>
      <c r="D12584" s="0" t="s">
        <v>41794</v>
      </c>
      <c r="E12584" s="0" t="s">
        <v>75</v>
      </c>
      <c r="F12584" s="0" t="s">
        <v>90</v>
      </c>
      <c r="G12584" s="0" t="s">
        <v>20</v>
      </c>
      <c r="H12584" s="0" t="n">
        <v>118</v>
      </c>
      <c r="I12584" s="0" t="s">
        <v>41804</v>
      </c>
      <c r="J12584" s="0" t="s">
        <v>41805</v>
      </c>
      <c r="K12584" s="0" t="s">
        <v>41806</v>
      </c>
      <c r="L12584" s="0" t="str">
        <f aca="false">HYPERLINK("https://www.ncbi.nlm.nih.gov/nuccore/CP000058.1?report=graph&amp;tracks=[key:gene_model_track,Options:GeneOnly]&amp;mk=3943434:3943453|offset_21|444444,3943414:3943433|offset_41|444444,3943390:3943409|offset_65|444444,3943337:3943356|offset_118|00cc00&amp;v=3943233:3943556&amp;c=444444", "offset 118")</f>
        <v>offset 118</v>
      </c>
    </row>
    <row r="12585" customFormat="false" ht="12.8" hidden="false" customHeight="false" outlineLevel="0" collapsed="false">
      <c r="A12585" s="0" t="s">
        <v>12</v>
      </c>
      <c r="B12585" s="0" t="n">
        <v>3943932</v>
      </c>
      <c r="C12585" s="0" t="n">
        <v>3943952</v>
      </c>
      <c r="D12585" s="0" t="s">
        <v>41807</v>
      </c>
      <c r="E12585" s="0" t="s">
        <v>41808</v>
      </c>
      <c r="F12585" s="0" t="s">
        <v>90</v>
      </c>
      <c r="G12585" s="0" t="s">
        <v>20</v>
      </c>
      <c r="H12585" s="0" t="n">
        <v>0</v>
      </c>
      <c r="I12585" s="0" t="s">
        <v>41809</v>
      </c>
      <c r="J12585" s="0" t="s">
        <v>41810</v>
      </c>
      <c r="K12585" s="0" t="s">
        <v>41811</v>
      </c>
      <c r="L12585" s="0" t="str">
        <f aca="false">HYPERLINK("https://www.ncbi.nlm.nih.gov/nuccore/CP000058.1?report=graph&amp;tracks=[key:gene_model_track,Options:GeneOnly]&amp;mk=3943933:3943952|offset_0|00cc00,3943911:3943930|offset_22|444444,3943869:3943888|offset_64|444444,3943758:3943777|offset_175|444444&amp;v=3943732:3943977&amp;c=444444", "offset 0")</f>
        <v>offset 0</v>
      </c>
    </row>
    <row r="12586" customFormat="false" ht="12.8" hidden="false" customHeight="false" outlineLevel="0" collapsed="false">
      <c r="A12586" s="0" t="s">
        <v>12</v>
      </c>
      <c r="B12586" s="0" t="n">
        <v>3943910</v>
      </c>
      <c r="C12586" s="0" t="n">
        <v>3943930</v>
      </c>
      <c r="D12586" s="0" t="s">
        <v>41807</v>
      </c>
      <c r="E12586" s="0" t="s">
        <v>41808</v>
      </c>
      <c r="F12586" s="0" t="s">
        <v>90</v>
      </c>
      <c r="G12586" s="0" t="s">
        <v>32</v>
      </c>
      <c r="H12586" s="0" t="n">
        <v>22</v>
      </c>
      <c r="I12586" s="0" t="s">
        <v>41812</v>
      </c>
      <c r="J12586" s="0" t="s">
        <v>41813</v>
      </c>
      <c r="K12586" s="0" t="s">
        <v>41814</v>
      </c>
      <c r="L12586" s="0" t="str">
        <f aca="false">HYPERLINK("https://www.ncbi.nlm.nih.gov/nuccore/CP000058.1?report=graph&amp;tracks=[key:gene_model_track,Options:GeneOnly]&amp;mk=3943933:3943952|offset_0|444444,3943911:3943930|offset_22|00cc00,3943869:3943888|offset_64|444444,3943758:3943777|offset_175|444444&amp;v=3943732:3943977&amp;c=444444", "offset 22")</f>
        <v>offset 22</v>
      </c>
    </row>
    <row r="12587" customFormat="false" ht="12.8" hidden="false" customHeight="false" outlineLevel="0" collapsed="false">
      <c r="A12587" s="0" t="s">
        <v>12</v>
      </c>
      <c r="B12587" s="0" t="n">
        <v>3943868</v>
      </c>
      <c r="C12587" s="0" t="n">
        <v>3943888</v>
      </c>
      <c r="D12587" s="0" t="s">
        <v>41807</v>
      </c>
      <c r="E12587" s="0" t="s">
        <v>41808</v>
      </c>
      <c r="F12587" s="0" t="s">
        <v>90</v>
      </c>
      <c r="G12587" s="0" t="s">
        <v>32</v>
      </c>
      <c r="H12587" s="0" t="n">
        <v>64</v>
      </c>
      <c r="I12587" s="0" t="s">
        <v>41815</v>
      </c>
      <c r="J12587" s="0" t="s">
        <v>41816</v>
      </c>
      <c r="K12587" s="0" t="s">
        <v>41817</v>
      </c>
      <c r="L12587" s="0" t="str">
        <f aca="false">HYPERLINK("https://www.ncbi.nlm.nih.gov/nuccore/CP000058.1?report=graph&amp;tracks=[key:gene_model_track,Options:GeneOnly]&amp;mk=3943933:3943952|offset_0|444444,3943911:3943930|offset_22|444444,3943869:3943888|offset_64|00cc00,3943758:3943777|offset_175|444444&amp;v=3943732:3943977&amp;c=444444", "offset 64")</f>
        <v>offset 64</v>
      </c>
    </row>
    <row r="12588" customFormat="false" ht="12.8" hidden="false" customHeight="false" outlineLevel="0" collapsed="false">
      <c r="A12588" s="0" t="s">
        <v>12</v>
      </c>
      <c r="B12588" s="0" t="n">
        <v>3943757</v>
      </c>
      <c r="C12588" s="0" t="n">
        <v>3943777</v>
      </c>
      <c r="D12588" s="0" t="s">
        <v>41807</v>
      </c>
      <c r="E12588" s="0" t="s">
        <v>41808</v>
      </c>
      <c r="F12588" s="0" t="s">
        <v>90</v>
      </c>
      <c r="G12588" s="0" t="s">
        <v>16</v>
      </c>
      <c r="H12588" s="0" t="n">
        <v>175</v>
      </c>
      <c r="I12588" s="0" t="s">
        <v>41818</v>
      </c>
      <c r="J12588" s="0" t="s">
        <v>41819</v>
      </c>
      <c r="K12588" s="0" t="s">
        <v>41820</v>
      </c>
      <c r="L12588" s="0" t="str">
        <f aca="false">HYPERLINK("https://www.ncbi.nlm.nih.gov/nuccore/CP000058.1?report=graph&amp;tracks=[key:gene_model_track,Options:GeneOnly]&amp;mk=3943933:3943952|offset_0|444444,3943911:3943930|offset_22|444444,3943869:3943888|offset_64|444444,3943758:3943777|offset_175|00cc00&amp;v=3943732:3943977&amp;c=444444", "offset 175")</f>
        <v>offset 175</v>
      </c>
    </row>
    <row r="12589" customFormat="false" ht="12.8" hidden="false" customHeight="false" outlineLevel="0" collapsed="false">
      <c r="A12589" s="0" t="s">
        <v>12</v>
      </c>
      <c r="B12589" s="0" t="n">
        <v>3944062</v>
      </c>
      <c r="C12589" s="0" t="n">
        <v>3944082</v>
      </c>
      <c r="D12589" s="0" t="s">
        <v>41821</v>
      </c>
      <c r="E12589" s="0" t="s">
        <v>75</v>
      </c>
      <c r="F12589" s="0" t="s">
        <v>15</v>
      </c>
      <c r="G12589" s="0" t="s">
        <v>16</v>
      </c>
      <c r="H12589" s="0" t="n">
        <v>1</v>
      </c>
      <c r="I12589" s="0" t="s">
        <v>41822</v>
      </c>
      <c r="J12589" s="0" t="s">
        <v>41823</v>
      </c>
      <c r="K12589" s="0" t="s">
        <v>41824</v>
      </c>
      <c r="L12589" s="0" t="str">
        <f aca="false">HYPERLINK("https://www.ncbi.nlm.nih.gov/nuccore/CP000058.1?report=graph&amp;tracks=[key:gene_model_track,Options:GeneOnly]&amp;mk=3944063:3944082|offset_1|00cc00,3944102:3944121|offset_40|444444,3944129:3944148|offset_67|444444,3944152:3944171|offset_90|444444&amp;v=3943862:3944371&amp;c=444444", "offset 1")</f>
        <v>offset 1</v>
      </c>
    </row>
    <row r="12590" customFormat="false" ht="12.8" hidden="false" customHeight="false" outlineLevel="0" collapsed="false">
      <c r="A12590" s="0" t="s">
        <v>12</v>
      </c>
      <c r="B12590" s="0" t="n">
        <v>3944101</v>
      </c>
      <c r="C12590" s="0" t="n">
        <v>3944121</v>
      </c>
      <c r="D12590" s="0" t="s">
        <v>41821</v>
      </c>
      <c r="E12590" s="0" t="s">
        <v>75</v>
      </c>
      <c r="F12590" s="0" t="s">
        <v>15</v>
      </c>
      <c r="G12590" s="0" t="s">
        <v>16</v>
      </c>
      <c r="H12590" s="0" t="n">
        <v>40</v>
      </c>
      <c r="I12590" s="0" t="s">
        <v>41825</v>
      </c>
      <c r="J12590" s="0" t="s">
        <v>41826</v>
      </c>
      <c r="K12590" s="0" t="s">
        <v>41827</v>
      </c>
      <c r="L12590" s="0" t="str">
        <f aca="false">HYPERLINK("https://www.ncbi.nlm.nih.gov/nuccore/CP000058.1?report=graph&amp;tracks=[key:gene_model_track,Options:GeneOnly]&amp;mk=3944063:3944082|offset_1|444444,3944102:3944121|offset_40|00cc00,3944129:3944148|offset_67|444444,3944152:3944171|offset_90|444444&amp;v=3943862:3944371&amp;c=444444", "offset 40")</f>
        <v>offset 40</v>
      </c>
    </row>
    <row r="12591" customFormat="false" ht="12.8" hidden="false" customHeight="false" outlineLevel="0" collapsed="false">
      <c r="A12591" s="0" t="s">
        <v>12</v>
      </c>
      <c r="B12591" s="0" t="n">
        <v>3944128</v>
      </c>
      <c r="C12591" s="0" t="n">
        <v>3944148</v>
      </c>
      <c r="D12591" s="0" t="s">
        <v>41821</v>
      </c>
      <c r="E12591" s="0" t="s">
        <v>75</v>
      </c>
      <c r="F12591" s="0" t="s">
        <v>15</v>
      </c>
      <c r="G12591" s="0" t="s">
        <v>16</v>
      </c>
      <c r="H12591" s="0" t="n">
        <v>67</v>
      </c>
      <c r="I12591" s="0" t="s">
        <v>41828</v>
      </c>
      <c r="J12591" s="0" t="s">
        <v>41829</v>
      </c>
      <c r="K12591" s="0" t="s">
        <v>41830</v>
      </c>
      <c r="L12591" s="0" t="str">
        <f aca="false">HYPERLINK("https://www.ncbi.nlm.nih.gov/nuccore/CP000058.1?report=graph&amp;tracks=[key:gene_model_track,Options:GeneOnly]&amp;mk=3944063:3944082|offset_1|444444,3944102:3944121|offset_40|444444,3944129:3944148|offset_67|00cc00,3944152:3944171|offset_90|444444&amp;v=3943862:3944371&amp;c=444444", "offset 67")</f>
        <v>offset 67</v>
      </c>
    </row>
    <row r="12592" customFormat="false" ht="12.8" hidden="false" customHeight="false" outlineLevel="0" collapsed="false">
      <c r="A12592" s="0" t="s">
        <v>12</v>
      </c>
      <c r="B12592" s="0" t="n">
        <v>3944151</v>
      </c>
      <c r="C12592" s="0" t="n">
        <v>3944171</v>
      </c>
      <c r="D12592" s="0" t="s">
        <v>41821</v>
      </c>
      <c r="E12592" s="0" t="s">
        <v>75</v>
      </c>
      <c r="F12592" s="0" t="s">
        <v>15</v>
      </c>
      <c r="G12592" s="0" t="s">
        <v>16</v>
      </c>
      <c r="H12592" s="0" t="n">
        <v>90</v>
      </c>
      <c r="I12592" s="0" t="s">
        <v>41831</v>
      </c>
      <c r="J12592" s="0" t="s">
        <v>41832</v>
      </c>
      <c r="K12592" s="0" t="s">
        <v>41833</v>
      </c>
      <c r="L12592" s="0" t="str">
        <f aca="false">HYPERLINK("https://www.ncbi.nlm.nih.gov/nuccore/CP000058.1?report=graph&amp;tracks=[key:gene_model_track,Options:GeneOnly]&amp;mk=3944063:3944082|offset_1|444444,3944102:3944121|offset_40|444444,3944129:3944148|offset_67|444444,3944152:3944171|offset_90|00cc00&amp;v=3943862:3944371&amp;c=444444", "offset 90")</f>
        <v>offset 90</v>
      </c>
    </row>
    <row r="12593" customFormat="false" ht="12.8" hidden="false" customHeight="false" outlineLevel="0" collapsed="false">
      <c r="A12593" s="0" t="s">
        <v>12</v>
      </c>
      <c r="B12593" s="0" t="n">
        <v>3945839</v>
      </c>
      <c r="C12593" s="0" t="n">
        <v>3945859</v>
      </c>
      <c r="D12593" s="0" t="s">
        <v>41834</v>
      </c>
      <c r="E12593" s="0" t="s">
        <v>41835</v>
      </c>
      <c r="F12593" s="0" t="s">
        <v>90</v>
      </c>
      <c r="G12593" s="0" t="s">
        <v>20</v>
      </c>
      <c r="H12593" s="0" t="n">
        <v>1</v>
      </c>
      <c r="I12593" s="0" t="s">
        <v>41836</v>
      </c>
      <c r="J12593" s="0" t="s">
        <v>41837</v>
      </c>
      <c r="K12593" s="0" t="s">
        <v>41838</v>
      </c>
      <c r="L12593" s="0" t="str">
        <f aca="false">HYPERLINK("https://www.ncbi.nlm.nih.gov/nuccore/CP000058.1?report=graph&amp;tracks=[key:gene_model_track,Options:GeneOnly]&amp;mk=3945840:3945859|offset_1|00cc00,3945806:3945825|offset_35|444444,3945786:3945805|offset_55|444444,3945744:3945763|offset_97|444444&amp;v=3945639:3945963&amp;c=444444", "offset 1")</f>
        <v>offset 1</v>
      </c>
    </row>
    <row r="12594" customFormat="false" ht="12.8" hidden="false" customHeight="false" outlineLevel="0" collapsed="false">
      <c r="A12594" s="0" t="s">
        <v>12</v>
      </c>
      <c r="B12594" s="0" t="n">
        <v>3945805</v>
      </c>
      <c r="C12594" s="0" t="n">
        <v>3945825</v>
      </c>
      <c r="D12594" s="0" t="s">
        <v>41834</v>
      </c>
      <c r="E12594" s="0" t="s">
        <v>41835</v>
      </c>
      <c r="F12594" s="0" t="s">
        <v>90</v>
      </c>
      <c r="G12594" s="0" t="s">
        <v>16</v>
      </c>
      <c r="H12594" s="0" t="n">
        <v>35</v>
      </c>
      <c r="I12594" s="0" t="s">
        <v>41839</v>
      </c>
      <c r="J12594" s="0" t="s">
        <v>41840</v>
      </c>
      <c r="K12594" s="0" t="s">
        <v>41841</v>
      </c>
      <c r="L12594" s="0" t="str">
        <f aca="false">HYPERLINK("https://www.ncbi.nlm.nih.gov/nuccore/CP000058.1?report=graph&amp;tracks=[key:gene_model_track,Options:GeneOnly]&amp;mk=3945840:3945859|offset_1|444444,3945806:3945825|offset_35|00cc00,3945786:3945805|offset_55|444444,3945744:3945763|offset_97|444444&amp;v=3945639:3945963&amp;c=444444", "offset 35")</f>
        <v>offset 35</v>
      </c>
    </row>
    <row r="12595" customFormat="false" ht="12.8" hidden="false" customHeight="false" outlineLevel="0" collapsed="false">
      <c r="A12595" s="0" t="s">
        <v>12</v>
      </c>
      <c r="B12595" s="0" t="n">
        <v>3945785</v>
      </c>
      <c r="C12595" s="0" t="n">
        <v>3945805</v>
      </c>
      <c r="D12595" s="0" t="s">
        <v>41834</v>
      </c>
      <c r="E12595" s="0" t="s">
        <v>41835</v>
      </c>
      <c r="F12595" s="0" t="s">
        <v>90</v>
      </c>
      <c r="G12595" s="0" t="s">
        <v>20</v>
      </c>
      <c r="H12595" s="0" t="n">
        <v>55</v>
      </c>
      <c r="I12595" s="0" t="s">
        <v>41842</v>
      </c>
      <c r="J12595" s="0" t="s">
        <v>41843</v>
      </c>
      <c r="K12595" s="0" t="s">
        <v>41844</v>
      </c>
      <c r="L12595" s="0" t="str">
        <f aca="false">HYPERLINK("https://www.ncbi.nlm.nih.gov/nuccore/CP000058.1?report=graph&amp;tracks=[key:gene_model_track,Options:GeneOnly]&amp;mk=3945840:3945859|offset_1|444444,3945806:3945825|offset_35|444444,3945786:3945805|offset_55|00cc00,3945744:3945763|offset_97|444444&amp;v=3945639:3945963&amp;c=444444", "offset 55")</f>
        <v>offset 55</v>
      </c>
    </row>
    <row r="12596" customFormat="false" ht="12.8" hidden="false" customHeight="false" outlineLevel="0" collapsed="false">
      <c r="A12596" s="0" t="s">
        <v>12</v>
      </c>
      <c r="B12596" s="0" t="n">
        <v>3945743</v>
      </c>
      <c r="C12596" s="0" t="n">
        <v>3945763</v>
      </c>
      <c r="D12596" s="0" t="s">
        <v>41834</v>
      </c>
      <c r="E12596" s="0" t="s">
        <v>41835</v>
      </c>
      <c r="F12596" s="0" t="s">
        <v>90</v>
      </c>
      <c r="G12596" s="0" t="s">
        <v>32</v>
      </c>
      <c r="H12596" s="0" t="n">
        <v>97</v>
      </c>
      <c r="I12596" s="0" t="s">
        <v>41845</v>
      </c>
      <c r="J12596" s="0" t="s">
        <v>41846</v>
      </c>
      <c r="K12596" s="0" t="s">
        <v>41847</v>
      </c>
      <c r="L12596" s="0" t="str">
        <f aca="false">HYPERLINK("https://www.ncbi.nlm.nih.gov/nuccore/CP000058.1?report=graph&amp;tracks=[key:gene_model_track,Options:GeneOnly]&amp;mk=3945840:3945859|offset_1|444444,3945806:3945825|offset_35|444444,3945786:3945805|offset_55|444444,3945744:3945763|offset_97|00cc00&amp;v=3945639:3945963&amp;c=444444", "offset 97")</f>
        <v>offset 97</v>
      </c>
    </row>
    <row r="12597" customFormat="false" ht="12.8" hidden="false" customHeight="false" outlineLevel="0" collapsed="false">
      <c r="A12597" s="0" t="s">
        <v>12</v>
      </c>
      <c r="B12597" s="0" t="n">
        <v>3946789</v>
      </c>
      <c r="C12597" s="0" t="n">
        <v>3946809</v>
      </c>
      <c r="D12597" s="0" t="s">
        <v>41848</v>
      </c>
      <c r="E12597" s="0" t="s">
        <v>75</v>
      </c>
      <c r="F12597" s="0" t="s">
        <v>90</v>
      </c>
      <c r="G12597" s="0" t="s">
        <v>32</v>
      </c>
      <c r="H12597" s="0" t="n">
        <v>29</v>
      </c>
      <c r="I12597" s="0" t="s">
        <v>41849</v>
      </c>
      <c r="J12597" s="0" t="s">
        <v>41850</v>
      </c>
      <c r="K12597" s="0" t="s">
        <v>41851</v>
      </c>
      <c r="L12597" s="0" t="str">
        <f aca="false">HYPERLINK("https://www.ncbi.nlm.nih.gov/nuccore/CP000058.1?report=graph&amp;tracks=[key:gene_model_track,Options:GeneOnly]&amp;mk=3946790:3946809|offset_29|00cc00,3946760:3946779|offset_59|444444,3946679:3946698|offset_140|444444,3946659:3946678|offset_160|444444&amp;v=3946589:3946878&amp;c=444444", "offset 29")</f>
        <v>offset 29</v>
      </c>
    </row>
    <row r="12598" customFormat="false" ht="12.8" hidden="false" customHeight="false" outlineLevel="0" collapsed="false">
      <c r="A12598" s="0" t="s">
        <v>12</v>
      </c>
      <c r="B12598" s="0" t="n">
        <v>3946759</v>
      </c>
      <c r="C12598" s="0" t="n">
        <v>3946779</v>
      </c>
      <c r="D12598" s="0" t="s">
        <v>41848</v>
      </c>
      <c r="E12598" s="0" t="s">
        <v>75</v>
      </c>
      <c r="F12598" s="0" t="s">
        <v>90</v>
      </c>
      <c r="G12598" s="0" t="s">
        <v>20</v>
      </c>
      <c r="H12598" s="0" t="n">
        <v>59</v>
      </c>
      <c r="I12598" s="0" t="s">
        <v>41852</v>
      </c>
      <c r="J12598" s="0" t="s">
        <v>41853</v>
      </c>
      <c r="K12598" s="0" t="s">
        <v>41854</v>
      </c>
      <c r="L12598" s="0" t="str">
        <f aca="false">HYPERLINK("https://www.ncbi.nlm.nih.gov/nuccore/CP000058.1?report=graph&amp;tracks=[key:gene_model_track,Options:GeneOnly]&amp;mk=3946790:3946809|offset_29|444444,3946760:3946779|offset_59|00cc00,3946679:3946698|offset_140|444444,3946659:3946678|offset_160|444444&amp;v=3946589:3946878&amp;c=444444", "offset 59")</f>
        <v>offset 59</v>
      </c>
    </row>
    <row r="12599" customFormat="false" ht="12.8" hidden="false" customHeight="false" outlineLevel="0" collapsed="false">
      <c r="A12599" s="0" t="s">
        <v>12</v>
      </c>
      <c r="B12599" s="0" t="n">
        <v>3946678</v>
      </c>
      <c r="C12599" s="0" t="n">
        <v>3946698</v>
      </c>
      <c r="D12599" s="0" t="s">
        <v>41848</v>
      </c>
      <c r="E12599" s="0" t="s">
        <v>75</v>
      </c>
      <c r="F12599" s="0" t="s">
        <v>90</v>
      </c>
      <c r="G12599" s="0" t="s">
        <v>36</v>
      </c>
      <c r="H12599" s="0" t="n">
        <v>140</v>
      </c>
      <c r="I12599" s="0" t="s">
        <v>41855</v>
      </c>
      <c r="J12599" s="0" t="s">
        <v>41856</v>
      </c>
      <c r="K12599" s="0" t="s">
        <v>41857</v>
      </c>
      <c r="L12599" s="0" t="str">
        <f aca="false">HYPERLINK("https://www.ncbi.nlm.nih.gov/nuccore/CP000058.1?report=graph&amp;tracks=[key:gene_model_track,Options:GeneOnly]&amp;mk=3946790:3946809|offset_29|444444,3946760:3946779|offset_59|444444,3946679:3946698|offset_140|00cc00,3946659:3946678|offset_160|444444&amp;v=3946589:3946878&amp;c=444444", "offset 140")</f>
        <v>offset 140</v>
      </c>
    </row>
    <row r="12600" customFormat="false" ht="12.8" hidden="false" customHeight="false" outlineLevel="0" collapsed="false">
      <c r="A12600" s="0" t="s">
        <v>12</v>
      </c>
      <c r="B12600" s="0" t="n">
        <v>3946658</v>
      </c>
      <c r="C12600" s="0" t="n">
        <v>3946678</v>
      </c>
      <c r="D12600" s="0" t="s">
        <v>41848</v>
      </c>
      <c r="E12600" s="0" t="s">
        <v>75</v>
      </c>
      <c r="F12600" s="0" t="s">
        <v>90</v>
      </c>
      <c r="G12600" s="0" t="s">
        <v>32</v>
      </c>
      <c r="H12600" s="0" t="n">
        <v>160</v>
      </c>
      <c r="I12600" s="0" t="s">
        <v>41858</v>
      </c>
      <c r="J12600" s="0" t="s">
        <v>41859</v>
      </c>
      <c r="K12600" s="0" t="s">
        <v>41860</v>
      </c>
      <c r="L12600" s="0" t="str">
        <f aca="false">HYPERLINK("https://www.ncbi.nlm.nih.gov/nuccore/CP000058.1?report=graph&amp;tracks=[key:gene_model_track,Options:GeneOnly]&amp;mk=3946790:3946809|offset_29|444444,3946760:3946779|offset_59|444444,3946679:3946698|offset_140|444444,3946659:3946678|offset_160|00cc00&amp;v=3946589:3946878&amp;c=444444", "offset 160")</f>
        <v>offset 160</v>
      </c>
    </row>
    <row r="12601" customFormat="false" ht="12.8" hidden="false" customHeight="false" outlineLevel="0" collapsed="false">
      <c r="A12601" s="0" t="s">
        <v>12</v>
      </c>
      <c r="B12601" s="0" t="n">
        <v>3946948</v>
      </c>
      <c r="C12601" s="0" t="n">
        <v>3946968</v>
      </c>
      <c r="D12601" s="0" t="s">
        <v>41861</v>
      </c>
      <c r="E12601" s="0" t="s">
        <v>75</v>
      </c>
      <c r="F12601" s="0" t="s">
        <v>15</v>
      </c>
      <c r="G12601" s="0" t="s">
        <v>20</v>
      </c>
      <c r="H12601" s="0" t="n">
        <v>32</v>
      </c>
      <c r="I12601" s="0" t="s">
        <v>41862</v>
      </c>
      <c r="J12601" s="0" t="s">
        <v>41863</v>
      </c>
      <c r="K12601" s="0" t="s">
        <v>41864</v>
      </c>
      <c r="L12601" s="0" t="str">
        <f aca="false">HYPERLINK("https://www.ncbi.nlm.nih.gov/nuccore/CP000058.1?report=graph&amp;tracks=[key:gene_model_track,Options:GeneOnly]&amp;mk=3946949:3946968|offset_32|00cc00,3946997:3947016|offset_80|444444,3947043:3947062|offset_126|444444,3947065:3947084|offset_148|444444&amp;v=3946748:3947284&amp;c=444444", "offset 32")</f>
        <v>offset 32</v>
      </c>
    </row>
    <row r="12602" customFormat="false" ht="12.8" hidden="false" customHeight="false" outlineLevel="0" collapsed="false">
      <c r="A12602" s="0" t="s">
        <v>12</v>
      </c>
      <c r="B12602" s="0" t="n">
        <v>3946996</v>
      </c>
      <c r="C12602" s="0" t="n">
        <v>3947016</v>
      </c>
      <c r="D12602" s="0" t="s">
        <v>41861</v>
      </c>
      <c r="E12602" s="0" t="s">
        <v>75</v>
      </c>
      <c r="F12602" s="0" t="s">
        <v>15</v>
      </c>
      <c r="G12602" s="0" t="s">
        <v>20</v>
      </c>
      <c r="H12602" s="0" t="n">
        <v>80</v>
      </c>
      <c r="I12602" s="0" t="s">
        <v>41865</v>
      </c>
      <c r="J12602" s="0" t="s">
        <v>41866</v>
      </c>
      <c r="K12602" s="0" t="s">
        <v>41867</v>
      </c>
      <c r="L12602" s="0" t="str">
        <f aca="false">HYPERLINK("https://www.ncbi.nlm.nih.gov/nuccore/CP000058.1?report=graph&amp;tracks=[key:gene_model_track,Options:GeneOnly]&amp;mk=3946949:3946968|offset_32|444444,3946997:3947016|offset_80|00cc00,3947043:3947062|offset_126|444444,3947065:3947084|offset_148|444444&amp;v=3946748:3947284&amp;c=444444", "offset 80")</f>
        <v>offset 80</v>
      </c>
    </row>
    <row r="12603" customFormat="false" ht="12.8" hidden="false" customHeight="false" outlineLevel="0" collapsed="false">
      <c r="A12603" s="0" t="s">
        <v>12</v>
      </c>
      <c r="B12603" s="0" t="n">
        <v>3947042</v>
      </c>
      <c r="C12603" s="0" t="n">
        <v>3947062</v>
      </c>
      <c r="D12603" s="0" t="s">
        <v>41861</v>
      </c>
      <c r="E12603" s="0" t="s">
        <v>75</v>
      </c>
      <c r="F12603" s="0" t="s">
        <v>15</v>
      </c>
      <c r="G12603" s="0" t="s">
        <v>20</v>
      </c>
      <c r="H12603" s="0" t="n">
        <v>126</v>
      </c>
      <c r="I12603" s="0" t="s">
        <v>41868</v>
      </c>
      <c r="J12603" s="0" t="s">
        <v>41869</v>
      </c>
      <c r="K12603" s="0" t="s">
        <v>41870</v>
      </c>
      <c r="L12603" s="0" t="str">
        <f aca="false">HYPERLINK("https://www.ncbi.nlm.nih.gov/nuccore/CP000058.1?report=graph&amp;tracks=[key:gene_model_track,Options:GeneOnly]&amp;mk=3946949:3946968|offset_32|444444,3946997:3947016|offset_80|444444,3947043:3947062|offset_126|00cc00,3947065:3947084|offset_148|444444&amp;v=3946748:3947284&amp;c=444444", "offset 126")</f>
        <v>offset 126</v>
      </c>
    </row>
    <row r="12604" customFormat="false" ht="12.8" hidden="false" customHeight="false" outlineLevel="0" collapsed="false">
      <c r="A12604" s="0" t="s">
        <v>12</v>
      </c>
      <c r="B12604" s="0" t="n">
        <v>3947064</v>
      </c>
      <c r="C12604" s="0" t="n">
        <v>3947084</v>
      </c>
      <c r="D12604" s="0" t="s">
        <v>41861</v>
      </c>
      <c r="E12604" s="0" t="s">
        <v>75</v>
      </c>
      <c r="F12604" s="0" t="s">
        <v>15</v>
      </c>
      <c r="G12604" s="0" t="s">
        <v>36</v>
      </c>
      <c r="H12604" s="0" t="n">
        <v>148</v>
      </c>
      <c r="I12604" s="0" t="s">
        <v>41871</v>
      </c>
      <c r="J12604" s="0" t="s">
        <v>41872</v>
      </c>
      <c r="K12604" s="0" t="s">
        <v>41873</v>
      </c>
      <c r="L12604" s="0" t="str">
        <f aca="false">HYPERLINK("https://www.ncbi.nlm.nih.gov/nuccore/CP000058.1?report=graph&amp;tracks=[key:gene_model_track,Options:GeneOnly]&amp;mk=3946949:3946968|offset_32|444444,3946997:3947016|offset_80|444444,3947043:3947062|offset_126|444444,3947065:3947084|offset_148|00cc00&amp;v=3946748:3947284&amp;c=444444", "offset 148")</f>
        <v>offset 148</v>
      </c>
    </row>
    <row r="12605" customFormat="false" ht="12.8" hidden="false" customHeight="false" outlineLevel="0" collapsed="false">
      <c r="A12605" s="0" t="s">
        <v>12</v>
      </c>
      <c r="B12605" s="0" t="n">
        <v>3947859</v>
      </c>
      <c r="C12605" s="0" t="n">
        <v>3947879</v>
      </c>
      <c r="D12605" s="0" t="s">
        <v>41874</v>
      </c>
      <c r="E12605" s="0" t="s">
        <v>75</v>
      </c>
      <c r="F12605" s="0" t="s">
        <v>15</v>
      </c>
      <c r="G12605" s="0" t="s">
        <v>20</v>
      </c>
      <c r="H12605" s="0" t="n">
        <v>23</v>
      </c>
      <c r="I12605" s="0" t="s">
        <v>41875</v>
      </c>
      <c r="J12605" s="0" t="s">
        <v>41876</v>
      </c>
      <c r="K12605" s="0" t="s">
        <v>41877</v>
      </c>
      <c r="L12605" s="0" t="str">
        <f aca="false">HYPERLINK("https://www.ncbi.nlm.nih.gov/nuccore/CP000058.1?report=graph&amp;tracks=[key:gene_model_track,Options:GeneOnly]&amp;mk=3947860:3947879|offset_23|00cc00,3947883:3947902|offset_46|444444,3947904:3947923|offset_67|444444,3947925:3947944|offset_88|444444&amp;v=3947659:3948144&amp;c=444444", "offset 23")</f>
        <v>offset 23</v>
      </c>
    </row>
    <row r="12606" customFormat="false" ht="12.8" hidden="false" customHeight="false" outlineLevel="0" collapsed="false">
      <c r="A12606" s="0" t="s">
        <v>12</v>
      </c>
      <c r="B12606" s="0" t="n">
        <v>3947882</v>
      </c>
      <c r="C12606" s="0" t="n">
        <v>3947902</v>
      </c>
      <c r="D12606" s="0" t="s">
        <v>41874</v>
      </c>
      <c r="E12606" s="0" t="s">
        <v>75</v>
      </c>
      <c r="F12606" s="0" t="s">
        <v>15</v>
      </c>
      <c r="G12606" s="0" t="s">
        <v>16</v>
      </c>
      <c r="H12606" s="0" t="n">
        <v>46</v>
      </c>
      <c r="I12606" s="0" t="s">
        <v>41878</v>
      </c>
      <c r="J12606" s="0" t="s">
        <v>41879</v>
      </c>
      <c r="K12606" s="0" t="s">
        <v>41880</v>
      </c>
      <c r="L12606" s="0" t="str">
        <f aca="false">HYPERLINK("https://www.ncbi.nlm.nih.gov/nuccore/CP000058.1?report=graph&amp;tracks=[key:gene_model_track,Options:GeneOnly]&amp;mk=3947860:3947879|offset_23|444444,3947883:3947902|offset_46|00cc00,3947904:3947923|offset_67|444444,3947925:3947944|offset_88|444444&amp;v=3947659:3948144&amp;c=444444", "offset 46")</f>
        <v>offset 46</v>
      </c>
    </row>
    <row r="12607" customFormat="false" ht="12.8" hidden="false" customHeight="false" outlineLevel="0" collapsed="false">
      <c r="A12607" s="0" t="s">
        <v>12</v>
      </c>
      <c r="B12607" s="0" t="n">
        <v>3947903</v>
      </c>
      <c r="C12607" s="0" t="n">
        <v>3947923</v>
      </c>
      <c r="D12607" s="0" t="s">
        <v>41874</v>
      </c>
      <c r="E12607" s="0" t="s">
        <v>75</v>
      </c>
      <c r="F12607" s="0" t="s">
        <v>15</v>
      </c>
      <c r="G12607" s="0" t="s">
        <v>32</v>
      </c>
      <c r="H12607" s="0" t="n">
        <v>67</v>
      </c>
      <c r="I12607" s="0" t="s">
        <v>41881</v>
      </c>
      <c r="J12607" s="0" t="s">
        <v>41882</v>
      </c>
      <c r="K12607" s="0" t="s">
        <v>41883</v>
      </c>
      <c r="L12607" s="0" t="str">
        <f aca="false">HYPERLINK("https://www.ncbi.nlm.nih.gov/nuccore/CP000058.1?report=graph&amp;tracks=[key:gene_model_track,Options:GeneOnly]&amp;mk=3947860:3947879|offset_23|444444,3947883:3947902|offset_46|444444,3947904:3947923|offset_67|00cc00,3947925:3947944|offset_88|444444&amp;v=3947659:3948144&amp;c=444444", "offset 67")</f>
        <v>offset 67</v>
      </c>
    </row>
    <row r="12608" customFormat="false" ht="12.8" hidden="false" customHeight="false" outlineLevel="0" collapsed="false">
      <c r="A12608" s="0" t="s">
        <v>12</v>
      </c>
      <c r="B12608" s="0" t="n">
        <v>3947924</v>
      </c>
      <c r="C12608" s="0" t="n">
        <v>3947944</v>
      </c>
      <c r="D12608" s="0" t="s">
        <v>41874</v>
      </c>
      <c r="E12608" s="0" t="s">
        <v>75</v>
      </c>
      <c r="F12608" s="0" t="s">
        <v>15</v>
      </c>
      <c r="G12608" s="0" t="s">
        <v>16</v>
      </c>
      <c r="H12608" s="0" t="n">
        <v>88</v>
      </c>
      <c r="I12608" s="0" t="s">
        <v>41884</v>
      </c>
      <c r="J12608" s="0" t="s">
        <v>41885</v>
      </c>
      <c r="K12608" s="0" t="s">
        <v>41886</v>
      </c>
      <c r="L12608" s="0" t="str">
        <f aca="false">HYPERLINK("https://www.ncbi.nlm.nih.gov/nuccore/CP000058.1?report=graph&amp;tracks=[key:gene_model_track,Options:GeneOnly]&amp;mk=3947860:3947879|offset_23|444444,3947883:3947902|offset_46|444444,3947904:3947923|offset_67|444444,3947925:3947944|offset_88|00cc00&amp;v=3947659:3948144&amp;c=444444", "offset 88")</f>
        <v>offset 88</v>
      </c>
    </row>
    <row r="12609" customFormat="false" ht="12.8" hidden="false" customHeight="false" outlineLevel="0" collapsed="false">
      <c r="A12609" s="0" t="s">
        <v>12</v>
      </c>
      <c r="B12609" s="0" t="n">
        <v>3948252</v>
      </c>
      <c r="C12609" s="0" t="n">
        <v>3948272</v>
      </c>
      <c r="D12609" s="0" t="s">
        <v>41887</v>
      </c>
      <c r="E12609" s="0" t="s">
        <v>75</v>
      </c>
      <c r="F12609" s="0" t="s">
        <v>15</v>
      </c>
      <c r="G12609" s="0" t="s">
        <v>36</v>
      </c>
      <c r="H12609" s="0" t="n">
        <v>52</v>
      </c>
      <c r="I12609" s="0" t="s">
        <v>41888</v>
      </c>
      <c r="J12609" s="0" t="s">
        <v>41889</v>
      </c>
      <c r="K12609" s="0" t="s">
        <v>41890</v>
      </c>
      <c r="L12609" s="0" t="str">
        <f aca="false">HYPERLINK("https://www.ncbi.nlm.nih.gov/nuccore/CP000058.1?report=graph&amp;tracks=[key:gene_model_track,Options:GeneOnly]&amp;mk=3948253:3948272|offset_52|00cc00,3948280:3948299|offset_79|444444,3948302:3948321|offset_101|444444,3948386:3948405|offset_185|444444&amp;v=3948052:3948605&amp;c=444444", "offset 52")</f>
        <v>offset 52</v>
      </c>
    </row>
    <row r="12610" customFormat="false" ht="12.8" hidden="false" customHeight="false" outlineLevel="0" collapsed="false">
      <c r="A12610" s="0" t="s">
        <v>12</v>
      </c>
      <c r="B12610" s="0" t="n">
        <v>3948279</v>
      </c>
      <c r="C12610" s="0" t="n">
        <v>3948299</v>
      </c>
      <c r="D12610" s="0" t="s">
        <v>41887</v>
      </c>
      <c r="E12610" s="0" t="s">
        <v>75</v>
      </c>
      <c r="F12610" s="0" t="s">
        <v>15</v>
      </c>
      <c r="G12610" s="0" t="s">
        <v>16</v>
      </c>
      <c r="H12610" s="0" t="n">
        <v>79</v>
      </c>
      <c r="I12610" s="0" t="s">
        <v>41891</v>
      </c>
      <c r="J12610" s="0" t="s">
        <v>41892</v>
      </c>
      <c r="K12610" s="0" t="s">
        <v>41893</v>
      </c>
      <c r="L12610" s="0" t="str">
        <f aca="false">HYPERLINK("https://www.ncbi.nlm.nih.gov/nuccore/CP000058.1?report=graph&amp;tracks=[key:gene_model_track,Options:GeneOnly]&amp;mk=3948253:3948272|offset_52|444444,3948280:3948299|offset_79|00cc00,3948302:3948321|offset_101|444444,3948386:3948405|offset_185|444444&amp;v=3948052:3948605&amp;c=444444", "offset 79")</f>
        <v>offset 79</v>
      </c>
    </row>
    <row r="12611" customFormat="false" ht="12.8" hidden="false" customHeight="false" outlineLevel="0" collapsed="false">
      <c r="A12611" s="0" t="s">
        <v>12</v>
      </c>
      <c r="B12611" s="0" t="n">
        <v>3948301</v>
      </c>
      <c r="C12611" s="0" t="n">
        <v>3948321</v>
      </c>
      <c r="D12611" s="0" t="s">
        <v>41887</v>
      </c>
      <c r="E12611" s="0" t="s">
        <v>75</v>
      </c>
      <c r="F12611" s="0" t="s">
        <v>15</v>
      </c>
      <c r="G12611" s="0" t="s">
        <v>16</v>
      </c>
      <c r="H12611" s="0" t="n">
        <v>101</v>
      </c>
      <c r="I12611" s="0" t="s">
        <v>41894</v>
      </c>
      <c r="J12611" s="0" t="s">
        <v>41895</v>
      </c>
      <c r="K12611" s="0" t="s">
        <v>41896</v>
      </c>
      <c r="L12611" s="0" t="str">
        <f aca="false">HYPERLINK("https://www.ncbi.nlm.nih.gov/nuccore/CP000058.1?report=graph&amp;tracks=[key:gene_model_track,Options:GeneOnly]&amp;mk=3948253:3948272|offset_52|444444,3948280:3948299|offset_79|444444,3948302:3948321|offset_101|00cc00,3948386:3948405|offset_185|444444&amp;v=3948052:3948605&amp;c=444444", "offset 101")</f>
        <v>offset 101</v>
      </c>
    </row>
    <row r="12612" customFormat="false" ht="12.8" hidden="false" customHeight="false" outlineLevel="0" collapsed="false">
      <c r="A12612" s="0" t="s">
        <v>12</v>
      </c>
      <c r="B12612" s="0" t="n">
        <v>3948385</v>
      </c>
      <c r="C12612" s="0" t="n">
        <v>3948405</v>
      </c>
      <c r="D12612" s="0" t="s">
        <v>41887</v>
      </c>
      <c r="E12612" s="0" t="s">
        <v>75</v>
      </c>
      <c r="F12612" s="0" t="s">
        <v>15</v>
      </c>
      <c r="G12612" s="0" t="s">
        <v>32</v>
      </c>
      <c r="H12612" s="0" t="n">
        <v>185</v>
      </c>
      <c r="I12612" s="0" t="s">
        <v>41897</v>
      </c>
      <c r="J12612" s="0" t="s">
        <v>41898</v>
      </c>
      <c r="K12612" s="0" t="s">
        <v>41899</v>
      </c>
      <c r="L12612" s="0" t="str">
        <f aca="false">HYPERLINK("https://www.ncbi.nlm.nih.gov/nuccore/CP000058.1?report=graph&amp;tracks=[key:gene_model_track,Options:GeneOnly]&amp;mk=3948253:3948272|offset_52|444444,3948280:3948299|offset_79|444444,3948302:3948321|offset_101|444444,3948386:3948405|offset_185|00cc00&amp;v=3948052:3948605&amp;c=444444", "offset 185")</f>
        <v>offset 185</v>
      </c>
    </row>
    <row r="12613" customFormat="false" ht="12.8" hidden="false" customHeight="false" outlineLevel="0" collapsed="false">
      <c r="A12613" s="0" t="s">
        <v>12</v>
      </c>
      <c r="B12613" s="0" t="n">
        <v>3948780</v>
      </c>
      <c r="C12613" s="0" t="n">
        <v>3948800</v>
      </c>
      <c r="D12613" s="0" t="s">
        <v>41900</v>
      </c>
      <c r="E12613" s="0" t="s">
        <v>75</v>
      </c>
      <c r="F12613" s="0" t="s">
        <v>15</v>
      </c>
      <c r="G12613" s="0" t="s">
        <v>16</v>
      </c>
      <c r="H12613" s="0" t="n">
        <v>30</v>
      </c>
      <c r="I12613" s="0" t="s">
        <v>41901</v>
      </c>
      <c r="J12613" s="0" t="s">
        <v>41902</v>
      </c>
      <c r="K12613" s="0" t="s">
        <v>41903</v>
      </c>
      <c r="L12613" s="0" t="str">
        <f aca="false">HYPERLINK("https://www.ncbi.nlm.nih.gov/nuccore/CP000058.1?report=graph&amp;tracks=[key:gene_model_track,Options:GeneOnly]&amp;mk=3948781:3948800|offset_30|00cc00,3948808:3948827|offset_57|444444,3948828:3948847|offset_77|444444,3948856:3948875|offset_105|444444&amp;v=3948580:3949075&amp;c=444444", "offset 30")</f>
        <v>offset 30</v>
      </c>
    </row>
    <row r="12614" customFormat="false" ht="12.8" hidden="false" customHeight="false" outlineLevel="0" collapsed="false">
      <c r="A12614" s="0" t="s">
        <v>12</v>
      </c>
      <c r="B12614" s="0" t="n">
        <v>3948807</v>
      </c>
      <c r="C12614" s="0" t="n">
        <v>3948827</v>
      </c>
      <c r="D12614" s="0" t="s">
        <v>41900</v>
      </c>
      <c r="E12614" s="0" t="s">
        <v>75</v>
      </c>
      <c r="F12614" s="0" t="s">
        <v>15</v>
      </c>
      <c r="G12614" s="0" t="s">
        <v>20</v>
      </c>
      <c r="H12614" s="0" t="n">
        <v>57</v>
      </c>
      <c r="I12614" s="0" t="s">
        <v>41904</v>
      </c>
      <c r="J12614" s="0" t="s">
        <v>41905</v>
      </c>
      <c r="K12614" s="0" t="s">
        <v>41906</v>
      </c>
      <c r="L12614" s="0" t="str">
        <f aca="false">HYPERLINK("https://www.ncbi.nlm.nih.gov/nuccore/CP000058.1?report=graph&amp;tracks=[key:gene_model_track,Options:GeneOnly]&amp;mk=3948781:3948800|offset_30|444444,3948808:3948827|offset_57|00cc00,3948828:3948847|offset_77|444444,3948856:3948875|offset_105|444444&amp;v=3948580:3949075&amp;c=444444", "offset 57")</f>
        <v>offset 57</v>
      </c>
    </row>
    <row r="12615" customFormat="false" ht="12.8" hidden="false" customHeight="false" outlineLevel="0" collapsed="false">
      <c r="A12615" s="0" t="s">
        <v>12</v>
      </c>
      <c r="B12615" s="0" t="n">
        <v>3948827</v>
      </c>
      <c r="C12615" s="0" t="n">
        <v>3948847</v>
      </c>
      <c r="D12615" s="0" t="s">
        <v>41900</v>
      </c>
      <c r="E12615" s="0" t="s">
        <v>75</v>
      </c>
      <c r="F12615" s="0" t="s">
        <v>15</v>
      </c>
      <c r="G12615" s="0" t="s">
        <v>20</v>
      </c>
      <c r="H12615" s="0" t="n">
        <v>77</v>
      </c>
      <c r="I12615" s="0" t="s">
        <v>41907</v>
      </c>
      <c r="J12615" s="0" t="s">
        <v>41908</v>
      </c>
      <c r="K12615" s="0" t="s">
        <v>41909</v>
      </c>
      <c r="L12615" s="0" t="str">
        <f aca="false">HYPERLINK("https://www.ncbi.nlm.nih.gov/nuccore/CP000058.1?report=graph&amp;tracks=[key:gene_model_track,Options:GeneOnly]&amp;mk=3948781:3948800|offset_30|444444,3948808:3948827|offset_57|444444,3948828:3948847|offset_77|00cc00,3948856:3948875|offset_105|444444&amp;v=3948580:3949075&amp;c=444444", "offset 77")</f>
        <v>offset 77</v>
      </c>
    </row>
    <row r="12616" customFormat="false" ht="12.8" hidden="false" customHeight="false" outlineLevel="0" collapsed="false">
      <c r="A12616" s="0" t="s">
        <v>12</v>
      </c>
      <c r="B12616" s="0" t="n">
        <v>3948855</v>
      </c>
      <c r="C12616" s="0" t="n">
        <v>3948875</v>
      </c>
      <c r="D12616" s="0" t="s">
        <v>41900</v>
      </c>
      <c r="E12616" s="0" t="s">
        <v>75</v>
      </c>
      <c r="F12616" s="0" t="s">
        <v>15</v>
      </c>
      <c r="G12616" s="0" t="s">
        <v>20</v>
      </c>
      <c r="H12616" s="0" t="n">
        <v>105</v>
      </c>
      <c r="I12616" s="0" t="s">
        <v>41910</v>
      </c>
      <c r="J12616" s="0" t="s">
        <v>41911</v>
      </c>
      <c r="K12616" s="0" t="s">
        <v>41912</v>
      </c>
      <c r="L12616" s="0" t="str">
        <f aca="false">HYPERLINK("https://www.ncbi.nlm.nih.gov/nuccore/CP000058.1?report=graph&amp;tracks=[key:gene_model_track,Options:GeneOnly]&amp;mk=3948781:3948800|offset_30|444444,3948808:3948827|offset_57|444444,3948828:3948847|offset_77|444444,3948856:3948875|offset_105|00cc00&amp;v=3948580:3949075&amp;c=444444", "offset 105")</f>
        <v>offset 105</v>
      </c>
    </row>
    <row r="12617" customFormat="false" ht="12.8" hidden="false" customHeight="false" outlineLevel="0" collapsed="false">
      <c r="A12617" s="0" t="s">
        <v>12</v>
      </c>
      <c r="B12617" s="0" t="n">
        <v>3950957</v>
      </c>
      <c r="C12617" s="0" t="n">
        <v>3950977</v>
      </c>
      <c r="D12617" s="0" t="s">
        <v>41913</v>
      </c>
      <c r="E12617" s="0" t="s">
        <v>75</v>
      </c>
      <c r="F12617" s="0" t="s">
        <v>90</v>
      </c>
      <c r="G12617" s="0" t="s">
        <v>32</v>
      </c>
      <c r="H12617" s="0" t="n">
        <v>8</v>
      </c>
      <c r="I12617" s="0" t="s">
        <v>41914</v>
      </c>
      <c r="J12617" s="0" t="s">
        <v>41915</v>
      </c>
      <c r="K12617" s="0" t="s">
        <v>41916</v>
      </c>
      <c r="L12617" s="0" t="str">
        <f aca="false">HYPERLINK("https://www.ncbi.nlm.nih.gov/nuccore/CP000058.1?report=graph&amp;tracks=[key:gene_model_track,Options:GeneOnly]&amp;mk=3950958:3950977|offset_8|00cc00,3950923:3950942|offset_43|444444,3950875:3950894|offset_91|444444,3950844:3950863|offset_122|444444&amp;v=3950757:3951063&amp;c=444444", "offset 8")</f>
        <v>offset 8</v>
      </c>
    </row>
    <row r="12618" customFormat="false" ht="12.8" hidden="false" customHeight="false" outlineLevel="0" collapsed="false">
      <c r="A12618" s="0" t="s">
        <v>12</v>
      </c>
      <c r="B12618" s="0" t="n">
        <v>3950922</v>
      </c>
      <c r="C12618" s="0" t="n">
        <v>3950942</v>
      </c>
      <c r="D12618" s="0" t="s">
        <v>41913</v>
      </c>
      <c r="E12618" s="0" t="s">
        <v>75</v>
      </c>
      <c r="F12618" s="0" t="s">
        <v>90</v>
      </c>
      <c r="G12618" s="0" t="s">
        <v>20</v>
      </c>
      <c r="H12618" s="0" t="n">
        <v>43</v>
      </c>
      <c r="I12618" s="0" t="s">
        <v>41917</v>
      </c>
      <c r="J12618" s="0" t="s">
        <v>41918</v>
      </c>
      <c r="K12618" s="0" t="s">
        <v>41919</v>
      </c>
      <c r="L12618" s="0" t="str">
        <f aca="false">HYPERLINK("https://www.ncbi.nlm.nih.gov/nuccore/CP000058.1?report=graph&amp;tracks=[key:gene_model_track,Options:GeneOnly]&amp;mk=3950958:3950977|offset_8|444444,3950923:3950942|offset_43|00cc00,3950875:3950894|offset_91|444444,3950844:3950863|offset_122|444444&amp;v=3950757:3951063&amp;c=444444", "offset 43")</f>
        <v>offset 43</v>
      </c>
    </row>
    <row r="12619" customFormat="false" ht="12.8" hidden="false" customHeight="false" outlineLevel="0" collapsed="false">
      <c r="A12619" s="0" t="s">
        <v>12</v>
      </c>
      <c r="B12619" s="0" t="n">
        <v>3950874</v>
      </c>
      <c r="C12619" s="0" t="n">
        <v>3950894</v>
      </c>
      <c r="D12619" s="0" t="s">
        <v>41913</v>
      </c>
      <c r="E12619" s="0" t="s">
        <v>75</v>
      </c>
      <c r="F12619" s="0" t="s">
        <v>90</v>
      </c>
      <c r="G12619" s="0" t="s">
        <v>36</v>
      </c>
      <c r="H12619" s="0" t="n">
        <v>91</v>
      </c>
      <c r="I12619" s="0" t="s">
        <v>41920</v>
      </c>
      <c r="J12619" s="0" t="s">
        <v>41921</v>
      </c>
      <c r="K12619" s="0" t="s">
        <v>41922</v>
      </c>
      <c r="L12619" s="0" t="str">
        <f aca="false">HYPERLINK("https://www.ncbi.nlm.nih.gov/nuccore/CP000058.1?report=graph&amp;tracks=[key:gene_model_track,Options:GeneOnly]&amp;mk=3950958:3950977|offset_8|444444,3950923:3950942|offset_43|444444,3950875:3950894|offset_91|00cc00,3950844:3950863|offset_122|444444&amp;v=3950757:3951063&amp;c=444444", "offset 91")</f>
        <v>offset 91</v>
      </c>
    </row>
    <row r="12620" customFormat="false" ht="12.8" hidden="false" customHeight="false" outlineLevel="0" collapsed="false">
      <c r="A12620" s="0" t="s">
        <v>12</v>
      </c>
      <c r="B12620" s="0" t="n">
        <v>3950843</v>
      </c>
      <c r="C12620" s="0" t="n">
        <v>3950863</v>
      </c>
      <c r="D12620" s="0" t="s">
        <v>41913</v>
      </c>
      <c r="E12620" s="0" t="s">
        <v>75</v>
      </c>
      <c r="F12620" s="0" t="s">
        <v>90</v>
      </c>
      <c r="G12620" s="0" t="s">
        <v>20</v>
      </c>
      <c r="H12620" s="0" t="n">
        <v>122</v>
      </c>
      <c r="I12620" s="0" t="s">
        <v>41923</v>
      </c>
      <c r="J12620" s="0" t="s">
        <v>41924</v>
      </c>
      <c r="K12620" s="0" t="s">
        <v>41925</v>
      </c>
      <c r="L12620" s="0" t="str">
        <f aca="false">HYPERLINK("https://www.ncbi.nlm.nih.gov/nuccore/CP000058.1?report=graph&amp;tracks=[key:gene_model_track,Options:GeneOnly]&amp;mk=3950958:3950977|offset_8|444444,3950923:3950942|offset_43|444444,3950875:3950894|offset_91|444444,3950844:3950863|offset_122|00cc00&amp;v=3950757:3951063&amp;c=444444", "offset 122")</f>
        <v>offset 122</v>
      </c>
    </row>
    <row r="12621" customFormat="false" ht="12.8" hidden="false" customHeight="false" outlineLevel="0" collapsed="false">
      <c r="A12621" s="0" t="s">
        <v>12</v>
      </c>
      <c r="B12621" s="0" t="n">
        <v>3952362</v>
      </c>
      <c r="C12621" s="0" t="n">
        <v>3952382</v>
      </c>
      <c r="D12621" s="0" t="s">
        <v>41926</v>
      </c>
      <c r="E12621" s="0" t="s">
        <v>75</v>
      </c>
      <c r="F12621" s="0" t="s">
        <v>90</v>
      </c>
      <c r="G12621" s="0" t="s">
        <v>32</v>
      </c>
      <c r="H12621" s="0" t="n">
        <v>1</v>
      </c>
      <c r="I12621" s="0" t="s">
        <v>41927</v>
      </c>
      <c r="J12621" s="0" t="s">
        <v>41928</v>
      </c>
      <c r="K12621" s="0" t="s">
        <v>41929</v>
      </c>
      <c r="L12621" s="0" t="str">
        <f aca="false">HYPERLINK("https://www.ncbi.nlm.nih.gov/nuccore/CP000058.1?report=graph&amp;tracks=[key:gene_model_track,Options:GeneOnly]&amp;mk=3952363:3952382|offset_1|00cc00,3952340:3952359|offset_24|444444,3952294:3952313|offset_70|444444,3952274:3952293|offset_90|444444&amp;v=3952162:3952493&amp;c=444444", "offset 1")</f>
        <v>offset 1</v>
      </c>
    </row>
    <row r="12622" customFormat="false" ht="12.8" hidden="false" customHeight="false" outlineLevel="0" collapsed="false">
      <c r="A12622" s="0" t="s">
        <v>12</v>
      </c>
      <c r="B12622" s="0" t="n">
        <v>3952339</v>
      </c>
      <c r="C12622" s="0" t="n">
        <v>3952359</v>
      </c>
      <c r="D12622" s="0" t="s">
        <v>41926</v>
      </c>
      <c r="E12622" s="0" t="s">
        <v>75</v>
      </c>
      <c r="F12622" s="0" t="s">
        <v>90</v>
      </c>
      <c r="G12622" s="0" t="s">
        <v>16</v>
      </c>
      <c r="H12622" s="0" t="n">
        <v>24</v>
      </c>
      <c r="I12622" s="0" t="s">
        <v>41930</v>
      </c>
      <c r="J12622" s="0" t="s">
        <v>41931</v>
      </c>
      <c r="K12622" s="0" t="s">
        <v>41932</v>
      </c>
      <c r="L12622" s="0" t="str">
        <f aca="false">HYPERLINK("https://www.ncbi.nlm.nih.gov/nuccore/CP000058.1?report=graph&amp;tracks=[key:gene_model_track,Options:GeneOnly]&amp;mk=3952363:3952382|offset_1|444444,3952340:3952359|offset_24|00cc00,3952294:3952313|offset_70|444444,3952274:3952293|offset_90|444444&amp;v=3952162:3952493&amp;c=444444", "offset 24")</f>
        <v>offset 24</v>
      </c>
    </row>
    <row r="12623" customFormat="false" ht="12.8" hidden="false" customHeight="false" outlineLevel="0" collapsed="false">
      <c r="A12623" s="0" t="s">
        <v>12</v>
      </c>
      <c r="B12623" s="0" t="n">
        <v>3952293</v>
      </c>
      <c r="C12623" s="0" t="n">
        <v>3952313</v>
      </c>
      <c r="D12623" s="0" t="s">
        <v>41926</v>
      </c>
      <c r="E12623" s="0" t="s">
        <v>75</v>
      </c>
      <c r="F12623" s="0" t="s">
        <v>90</v>
      </c>
      <c r="G12623" s="0" t="s">
        <v>36</v>
      </c>
      <c r="H12623" s="0" t="n">
        <v>70</v>
      </c>
      <c r="I12623" s="0" t="s">
        <v>41933</v>
      </c>
      <c r="J12623" s="0" t="s">
        <v>41934</v>
      </c>
      <c r="K12623" s="0" t="s">
        <v>41935</v>
      </c>
      <c r="L12623" s="0" t="str">
        <f aca="false">HYPERLINK("https://www.ncbi.nlm.nih.gov/nuccore/CP000058.1?report=graph&amp;tracks=[key:gene_model_track,Options:GeneOnly]&amp;mk=3952363:3952382|offset_1|444444,3952340:3952359|offset_24|444444,3952294:3952313|offset_70|00cc00,3952274:3952293|offset_90|444444&amp;v=3952162:3952493&amp;c=444444", "offset 70")</f>
        <v>offset 70</v>
      </c>
    </row>
    <row r="12624" customFormat="false" ht="12.8" hidden="false" customHeight="false" outlineLevel="0" collapsed="false">
      <c r="A12624" s="0" t="s">
        <v>12</v>
      </c>
      <c r="B12624" s="0" t="n">
        <v>3952273</v>
      </c>
      <c r="C12624" s="0" t="n">
        <v>3952293</v>
      </c>
      <c r="D12624" s="0" t="s">
        <v>41926</v>
      </c>
      <c r="E12624" s="0" t="s">
        <v>75</v>
      </c>
      <c r="F12624" s="0" t="s">
        <v>90</v>
      </c>
      <c r="G12624" s="0" t="s">
        <v>20</v>
      </c>
      <c r="H12624" s="0" t="n">
        <v>90</v>
      </c>
      <c r="I12624" s="0" t="s">
        <v>41936</v>
      </c>
      <c r="J12624" s="0" t="s">
        <v>41937</v>
      </c>
      <c r="K12624" s="0" t="s">
        <v>41938</v>
      </c>
      <c r="L12624" s="0" t="str">
        <f aca="false">HYPERLINK("https://www.ncbi.nlm.nih.gov/nuccore/CP000058.1?report=graph&amp;tracks=[key:gene_model_track,Options:GeneOnly]&amp;mk=3952363:3952382|offset_1|444444,3952340:3952359|offset_24|444444,3952294:3952313|offset_70|444444,3952274:3952293|offset_90|00cc00&amp;v=3952162:3952493&amp;c=444444", "offset 90")</f>
        <v>offset 90</v>
      </c>
    </row>
    <row r="12625" customFormat="false" ht="12.8" hidden="false" customHeight="false" outlineLevel="0" collapsed="false">
      <c r="A12625" s="0" t="s">
        <v>12</v>
      </c>
      <c r="B12625" s="0" t="n">
        <v>3952666</v>
      </c>
      <c r="C12625" s="0" t="n">
        <v>3952686</v>
      </c>
      <c r="D12625" s="0" t="s">
        <v>41939</v>
      </c>
      <c r="E12625" s="0" t="s">
        <v>75</v>
      </c>
      <c r="F12625" s="0" t="s">
        <v>15</v>
      </c>
      <c r="G12625" s="0" t="s">
        <v>32</v>
      </c>
      <c r="H12625" s="0" t="n">
        <v>1</v>
      </c>
      <c r="I12625" s="0" t="s">
        <v>41940</v>
      </c>
      <c r="J12625" s="0" t="s">
        <v>41941</v>
      </c>
      <c r="K12625" s="0" t="s">
        <v>41942</v>
      </c>
      <c r="L12625" s="0" t="str">
        <f aca="false">HYPERLINK("https://www.ncbi.nlm.nih.gov/nuccore/CP000058.1?report=graph&amp;tracks=[key:gene_model_track,Options:GeneOnly]&amp;mk=3952667:3952686|offset_1|00cc00,3952696:3952715|offset_30|444444,3952726:3952745|offset_60|444444,3952752:3952771|offset_86|444444&amp;v=3952466:3952971&amp;c=444444", "offset 1")</f>
        <v>offset 1</v>
      </c>
    </row>
    <row r="12626" customFormat="false" ht="12.8" hidden="false" customHeight="false" outlineLevel="0" collapsed="false">
      <c r="A12626" s="0" t="s">
        <v>12</v>
      </c>
      <c r="B12626" s="0" t="n">
        <v>3952695</v>
      </c>
      <c r="C12626" s="0" t="n">
        <v>3952715</v>
      </c>
      <c r="D12626" s="0" t="s">
        <v>41939</v>
      </c>
      <c r="E12626" s="0" t="s">
        <v>75</v>
      </c>
      <c r="F12626" s="0" t="s">
        <v>15</v>
      </c>
      <c r="G12626" s="0" t="s">
        <v>20</v>
      </c>
      <c r="H12626" s="0" t="n">
        <v>30</v>
      </c>
      <c r="I12626" s="0" t="s">
        <v>41943</v>
      </c>
      <c r="J12626" s="0" t="s">
        <v>41944</v>
      </c>
      <c r="K12626" s="0" t="s">
        <v>41945</v>
      </c>
      <c r="L12626" s="0" t="str">
        <f aca="false">HYPERLINK("https://www.ncbi.nlm.nih.gov/nuccore/CP000058.1?report=graph&amp;tracks=[key:gene_model_track,Options:GeneOnly]&amp;mk=3952667:3952686|offset_1|444444,3952696:3952715|offset_30|00cc00,3952726:3952745|offset_60|444444,3952752:3952771|offset_86|444444&amp;v=3952466:3952971&amp;c=444444", "offset 30")</f>
        <v>offset 30</v>
      </c>
    </row>
    <row r="12627" customFormat="false" ht="12.8" hidden="false" customHeight="false" outlineLevel="0" collapsed="false">
      <c r="A12627" s="0" t="s">
        <v>12</v>
      </c>
      <c r="B12627" s="0" t="n">
        <v>3952725</v>
      </c>
      <c r="C12627" s="0" t="n">
        <v>3952745</v>
      </c>
      <c r="D12627" s="0" t="s">
        <v>41939</v>
      </c>
      <c r="E12627" s="0" t="s">
        <v>75</v>
      </c>
      <c r="F12627" s="0" t="s">
        <v>15</v>
      </c>
      <c r="G12627" s="0" t="s">
        <v>36</v>
      </c>
      <c r="H12627" s="0" t="n">
        <v>60</v>
      </c>
      <c r="I12627" s="0" t="s">
        <v>41946</v>
      </c>
      <c r="J12627" s="0" t="s">
        <v>41947</v>
      </c>
      <c r="K12627" s="0" t="s">
        <v>41948</v>
      </c>
      <c r="L12627" s="0" t="str">
        <f aca="false">HYPERLINK("https://www.ncbi.nlm.nih.gov/nuccore/CP000058.1?report=graph&amp;tracks=[key:gene_model_track,Options:GeneOnly]&amp;mk=3952667:3952686|offset_1|444444,3952696:3952715|offset_30|444444,3952726:3952745|offset_60|00cc00,3952752:3952771|offset_86|444444&amp;v=3952466:3952971&amp;c=444444", "offset 60")</f>
        <v>offset 60</v>
      </c>
    </row>
    <row r="12628" customFormat="false" ht="12.8" hidden="false" customHeight="false" outlineLevel="0" collapsed="false">
      <c r="A12628" s="0" t="s">
        <v>12</v>
      </c>
      <c r="B12628" s="0" t="n">
        <v>3952751</v>
      </c>
      <c r="C12628" s="0" t="n">
        <v>3952771</v>
      </c>
      <c r="D12628" s="0" t="s">
        <v>41939</v>
      </c>
      <c r="E12628" s="0" t="s">
        <v>75</v>
      </c>
      <c r="F12628" s="0" t="s">
        <v>15</v>
      </c>
      <c r="G12628" s="0" t="s">
        <v>16</v>
      </c>
      <c r="H12628" s="0" t="n">
        <v>86</v>
      </c>
      <c r="I12628" s="0" t="s">
        <v>41949</v>
      </c>
      <c r="J12628" s="0" t="s">
        <v>41950</v>
      </c>
      <c r="K12628" s="0" t="s">
        <v>41951</v>
      </c>
      <c r="L12628" s="0" t="str">
        <f aca="false">HYPERLINK("https://www.ncbi.nlm.nih.gov/nuccore/CP000058.1?report=graph&amp;tracks=[key:gene_model_track,Options:GeneOnly]&amp;mk=3952667:3952686|offset_1|444444,3952696:3952715|offset_30|444444,3952726:3952745|offset_60|444444,3952752:3952771|offset_86|00cc00&amp;v=3952466:3952971&amp;c=444444", "offset 86")</f>
        <v>offset 86</v>
      </c>
    </row>
    <row r="12629" customFormat="false" ht="12.8" hidden="false" customHeight="false" outlineLevel="0" collapsed="false">
      <c r="A12629" s="0" t="s">
        <v>12</v>
      </c>
      <c r="B12629" s="0" t="n">
        <v>3953797</v>
      </c>
      <c r="C12629" s="0" t="n">
        <v>3953817</v>
      </c>
      <c r="D12629" s="0" t="s">
        <v>41952</v>
      </c>
      <c r="E12629" s="0" t="s">
        <v>75</v>
      </c>
      <c r="F12629" s="0" t="s">
        <v>15</v>
      </c>
      <c r="G12629" s="0" t="s">
        <v>36</v>
      </c>
      <c r="H12629" s="0" t="n">
        <v>14</v>
      </c>
      <c r="I12629" s="0" t="s">
        <v>41953</v>
      </c>
      <c r="J12629" s="0" t="s">
        <v>41954</v>
      </c>
      <c r="K12629" s="0" t="s">
        <v>41955</v>
      </c>
      <c r="L12629" s="0" t="str">
        <f aca="false">HYPERLINK("https://www.ncbi.nlm.nih.gov/nuccore/CP000058.1?report=graph&amp;tracks=[key:gene_model_track,Options:GeneOnly]&amp;mk=3953798:3953817|offset_14|00cc00,3953820:3953839|offset_36|444444,3953846:3953865|offset_62|444444,3953867:3953886|offset_83|444444&amp;v=3953597:3954086&amp;c=444444", "offset 14")</f>
        <v>offset 14</v>
      </c>
    </row>
    <row r="12630" customFormat="false" ht="12.8" hidden="false" customHeight="false" outlineLevel="0" collapsed="false">
      <c r="A12630" s="0" t="s">
        <v>12</v>
      </c>
      <c r="B12630" s="0" t="n">
        <v>3953819</v>
      </c>
      <c r="C12630" s="0" t="n">
        <v>3953839</v>
      </c>
      <c r="D12630" s="0" t="s">
        <v>41952</v>
      </c>
      <c r="E12630" s="0" t="s">
        <v>75</v>
      </c>
      <c r="F12630" s="0" t="s">
        <v>15</v>
      </c>
      <c r="G12630" s="0" t="s">
        <v>16</v>
      </c>
      <c r="H12630" s="0" t="n">
        <v>36</v>
      </c>
      <c r="I12630" s="0" t="s">
        <v>41956</v>
      </c>
      <c r="J12630" s="0" t="s">
        <v>41957</v>
      </c>
      <c r="K12630" s="0" t="s">
        <v>41958</v>
      </c>
      <c r="L12630" s="0" t="str">
        <f aca="false">HYPERLINK("https://www.ncbi.nlm.nih.gov/nuccore/CP000058.1?report=graph&amp;tracks=[key:gene_model_track,Options:GeneOnly]&amp;mk=3953798:3953817|offset_14|444444,3953820:3953839|offset_36|00cc00,3953846:3953865|offset_62|444444,3953867:3953886|offset_83|444444&amp;v=3953597:3954086&amp;c=444444", "offset 36")</f>
        <v>offset 36</v>
      </c>
    </row>
    <row r="12631" customFormat="false" ht="12.8" hidden="false" customHeight="false" outlineLevel="0" collapsed="false">
      <c r="A12631" s="0" t="s">
        <v>12</v>
      </c>
      <c r="B12631" s="0" t="n">
        <v>3953845</v>
      </c>
      <c r="C12631" s="0" t="n">
        <v>3953865</v>
      </c>
      <c r="D12631" s="0" t="s">
        <v>41952</v>
      </c>
      <c r="E12631" s="0" t="s">
        <v>75</v>
      </c>
      <c r="F12631" s="0" t="s">
        <v>15</v>
      </c>
      <c r="G12631" s="0" t="s">
        <v>32</v>
      </c>
      <c r="H12631" s="0" t="n">
        <v>62</v>
      </c>
      <c r="I12631" s="0" t="s">
        <v>41959</v>
      </c>
      <c r="J12631" s="0" t="s">
        <v>41960</v>
      </c>
      <c r="K12631" s="0" t="s">
        <v>41961</v>
      </c>
      <c r="L12631" s="0" t="str">
        <f aca="false">HYPERLINK("https://www.ncbi.nlm.nih.gov/nuccore/CP000058.1?report=graph&amp;tracks=[key:gene_model_track,Options:GeneOnly]&amp;mk=3953798:3953817|offset_14|444444,3953820:3953839|offset_36|444444,3953846:3953865|offset_62|00cc00,3953867:3953886|offset_83|444444&amp;v=3953597:3954086&amp;c=444444", "offset 62")</f>
        <v>offset 62</v>
      </c>
    </row>
    <row r="12632" customFormat="false" ht="12.8" hidden="false" customHeight="false" outlineLevel="0" collapsed="false">
      <c r="A12632" s="0" t="s">
        <v>12</v>
      </c>
      <c r="B12632" s="0" t="n">
        <v>3953866</v>
      </c>
      <c r="C12632" s="0" t="n">
        <v>3953886</v>
      </c>
      <c r="D12632" s="0" t="s">
        <v>41952</v>
      </c>
      <c r="E12632" s="0" t="s">
        <v>75</v>
      </c>
      <c r="F12632" s="0" t="s">
        <v>15</v>
      </c>
      <c r="G12632" s="0" t="s">
        <v>20</v>
      </c>
      <c r="H12632" s="0" t="n">
        <v>83</v>
      </c>
      <c r="I12632" s="0" t="s">
        <v>41962</v>
      </c>
      <c r="J12632" s="0" t="s">
        <v>41963</v>
      </c>
      <c r="K12632" s="0" t="s">
        <v>41964</v>
      </c>
      <c r="L12632" s="0" t="str">
        <f aca="false">HYPERLINK("https://www.ncbi.nlm.nih.gov/nuccore/CP000058.1?report=graph&amp;tracks=[key:gene_model_track,Options:GeneOnly]&amp;mk=3953798:3953817|offset_14|444444,3953820:3953839|offset_36|444444,3953846:3953865|offset_62|444444,3953867:3953886|offset_83|00cc00&amp;v=3953597:3954086&amp;c=444444", "offset 83")</f>
        <v>offset 83</v>
      </c>
    </row>
    <row r="12633" customFormat="false" ht="12.8" hidden="false" customHeight="false" outlineLevel="0" collapsed="false">
      <c r="A12633" s="0" t="s">
        <v>12</v>
      </c>
      <c r="B12633" s="0" t="n">
        <v>3954600</v>
      </c>
      <c r="C12633" s="0" t="n">
        <v>3954620</v>
      </c>
      <c r="D12633" s="0" t="s">
        <v>41965</v>
      </c>
      <c r="E12633" s="0" t="s">
        <v>75</v>
      </c>
      <c r="F12633" s="0" t="s">
        <v>15</v>
      </c>
      <c r="G12633" s="0" t="s">
        <v>20</v>
      </c>
      <c r="H12633" s="0" t="n">
        <v>17</v>
      </c>
      <c r="I12633" s="0" t="s">
        <v>41966</v>
      </c>
      <c r="J12633" s="0" t="s">
        <v>41967</v>
      </c>
      <c r="K12633" s="0" t="s">
        <v>41968</v>
      </c>
      <c r="L12633" s="0" t="str">
        <f aca="false">HYPERLINK("https://www.ncbi.nlm.nih.gov/nuccore/CP000058.1?report=graph&amp;tracks=[key:gene_model_track,Options:GeneOnly]&amp;mk=3954601:3954620|offset_17|00cc00,3954621:3954640|offset_37|444444,3954657:3954676|offset_73|444444,3954702:3954721|offset_118|444444&amp;v=3954400:3954921&amp;c=444444", "offset 17")</f>
        <v>offset 17</v>
      </c>
    </row>
    <row r="12634" customFormat="false" ht="12.8" hidden="false" customHeight="false" outlineLevel="0" collapsed="false">
      <c r="A12634" s="0" t="s">
        <v>12</v>
      </c>
      <c r="B12634" s="0" t="n">
        <v>3954620</v>
      </c>
      <c r="C12634" s="0" t="n">
        <v>3954640</v>
      </c>
      <c r="D12634" s="0" t="s">
        <v>41965</v>
      </c>
      <c r="E12634" s="0" t="s">
        <v>75</v>
      </c>
      <c r="F12634" s="0" t="s">
        <v>15</v>
      </c>
      <c r="G12634" s="0" t="s">
        <v>16</v>
      </c>
      <c r="H12634" s="0" t="n">
        <v>37</v>
      </c>
      <c r="I12634" s="0" t="s">
        <v>41969</v>
      </c>
      <c r="J12634" s="0" t="s">
        <v>41970</v>
      </c>
      <c r="K12634" s="0" t="s">
        <v>41971</v>
      </c>
      <c r="L12634" s="0" t="str">
        <f aca="false">HYPERLINK("https://www.ncbi.nlm.nih.gov/nuccore/CP000058.1?report=graph&amp;tracks=[key:gene_model_track,Options:GeneOnly]&amp;mk=3954601:3954620|offset_17|444444,3954621:3954640|offset_37|00cc00,3954657:3954676|offset_73|444444,3954702:3954721|offset_118|444444&amp;v=3954400:3954921&amp;c=444444", "offset 37")</f>
        <v>offset 37</v>
      </c>
    </row>
    <row r="12635" customFormat="false" ht="12.8" hidden="false" customHeight="false" outlineLevel="0" collapsed="false">
      <c r="A12635" s="0" t="s">
        <v>12</v>
      </c>
      <c r="B12635" s="0" t="n">
        <v>3954656</v>
      </c>
      <c r="C12635" s="0" t="n">
        <v>3954676</v>
      </c>
      <c r="D12635" s="0" t="s">
        <v>41965</v>
      </c>
      <c r="E12635" s="0" t="s">
        <v>75</v>
      </c>
      <c r="F12635" s="0" t="s">
        <v>15</v>
      </c>
      <c r="G12635" s="0" t="s">
        <v>32</v>
      </c>
      <c r="H12635" s="0" t="n">
        <v>73</v>
      </c>
      <c r="I12635" s="0" t="s">
        <v>41972</v>
      </c>
      <c r="J12635" s="0" t="s">
        <v>41973</v>
      </c>
      <c r="K12635" s="0" t="s">
        <v>41974</v>
      </c>
      <c r="L12635" s="0" t="str">
        <f aca="false">HYPERLINK("https://www.ncbi.nlm.nih.gov/nuccore/CP000058.1?report=graph&amp;tracks=[key:gene_model_track,Options:GeneOnly]&amp;mk=3954601:3954620|offset_17|444444,3954621:3954640|offset_37|444444,3954657:3954676|offset_73|00cc00,3954702:3954721|offset_118|444444&amp;v=3954400:3954921&amp;c=444444", "offset 73")</f>
        <v>offset 73</v>
      </c>
    </row>
    <row r="12636" customFormat="false" ht="12.8" hidden="false" customHeight="false" outlineLevel="0" collapsed="false">
      <c r="A12636" s="0" t="s">
        <v>12</v>
      </c>
      <c r="B12636" s="0" t="n">
        <v>3954701</v>
      </c>
      <c r="C12636" s="0" t="n">
        <v>3954721</v>
      </c>
      <c r="D12636" s="0" t="s">
        <v>41965</v>
      </c>
      <c r="E12636" s="0" t="s">
        <v>75</v>
      </c>
      <c r="F12636" s="0" t="s">
        <v>15</v>
      </c>
      <c r="G12636" s="0" t="s">
        <v>16</v>
      </c>
      <c r="H12636" s="0" t="n">
        <v>118</v>
      </c>
      <c r="I12636" s="0" t="s">
        <v>41975</v>
      </c>
      <c r="J12636" s="0" t="s">
        <v>41976</v>
      </c>
      <c r="K12636" s="0" t="s">
        <v>41977</v>
      </c>
      <c r="L12636" s="0" t="str">
        <f aca="false">HYPERLINK("https://www.ncbi.nlm.nih.gov/nuccore/CP000058.1?report=graph&amp;tracks=[key:gene_model_track,Options:GeneOnly]&amp;mk=3954601:3954620|offset_17|444444,3954621:3954640|offset_37|444444,3954657:3954676|offset_73|444444,3954702:3954721|offset_118|00cc00&amp;v=3954400:3954921&amp;c=444444", "offset 118")</f>
        <v>offset 118</v>
      </c>
    </row>
    <row r="12637" customFormat="false" ht="12.8" hidden="false" customHeight="false" outlineLevel="0" collapsed="false">
      <c r="A12637" s="0" t="s">
        <v>12</v>
      </c>
      <c r="B12637" s="0" t="n">
        <v>3959148</v>
      </c>
      <c r="C12637" s="0" t="n">
        <v>3959168</v>
      </c>
      <c r="D12637" s="0" t="s">
        <v>41978</v>
      </c>
      <c r="E12637" s="0" t="s">
        <v>75</v>
      </c>
      <c r="F12637" s="0" t="s">
        <v>90</v>
      </c>
      <c r="G12637" s="0" t="s">
        <v>32</v>
      </c>
      <c r="H12637" s="0" t="n">
        <v>16</v>
      </c>
      <c r="I12637" s="0" t="s">
        <v>41979</v>
      </c>
      <c r="J12637" s="0" t="s">
        <v>41980</v>
      </c>
      <c r="K12637" s="0" t="s">
        <v>41981</v>
      </c>
      <c r="L12637" s="0" t="str">
        <f aca="false">HYPERLINK("https://www.ncbi.nlm.nih.gov/nuccore/CP000058.1?report=graph&amp;tracks=[key:gene_model_track,Options:GeneOnly]&amp;mk=3959149:3959168|offset_16|00cc00,3959120:3959139|offset_45|444444,3959078:3959097|offset_87|444444,3959044:3959063|offset_121|444444&amp;v=3958948:3959263&amp;c=444444", "offset 16")</f>
        <v>offset 16</v>
      </c>
    </row>
    <row r="12638" customFormat="false" ht="12.8" hidden="false" customHeight="false" outlineLevel="0" collapsed="false">
      <c r="A12638" s="0" t="s">
        <v>12</v>
      </c>
      <c r="B12638" s="0" t="n">
        <v>3959119</v>
      </c>
      <c r="C12638" s="0" t="n">
        <v>3959139</v>
      </c>
      <c r="D12638" s="0" t="s">
        <v>41978</v>
      </c>
      <c r="E12638" s="0" t="s">
        <v>75</v>
      </c>
      <c r="F12638" s="0" t="s">
        <v>90</v>
      </c>
      <c r="G12638" s="0" t="s">
        <v>20</v>
      </c>
      <c r="H12638" s="0" t="n">
        <v>45</v>
      </c>
      <c r="I12638" s="0" t="s">
        <v>41982</v>
      </c>
      <c r="J12638" s="0" t="s">
        <v>41983</v>
      </c>
      <c r="K12638" s="0" t="s">
        <v>41984</v>
      </c>
      <c r="L12638" s="0" t="str">
        <f aca="false">HYPERLINK("https://www.ncbi.nlm.nih.gov/nuccore/CP000058.1?report=graph&amp;tracks=[key:gene_model_track,Options:GeneOnly]&amp;mk=3959149:3959168|offset_16|444444,3959120:3959139|offset_45|00cc00,3959078:3959097|offset_87|444444,3959044:3959063|offset_121|444444&amp;v=3958948:3959263&amp;c=444444", "offset 45")</f>
        <v>offset 45</v>
      </c>
    </row>
    <row r="12639" customFormat="false" ht="12.8" hidden="false" customHeight="false" outlineLevel="0" collapsed="false">
      <c r="A12639" s="0" t="s">
        <v>12</v>
      </c>
      <c r="B12639" s="0" t="n">
        <v>3959077</v>
      </c>
      <c r="C12639" s="0" t="n">
        <v>3959097</v>
      </c>
      <c r="D12639" s="0" t="s">
        <v>41978</v>
      </c>
      <c r="E12639" s="0" t="s">
        <v>75</v>
      </c>
      <c r="F12639" s="0" t="s">
        <v>90</v>
      </c>
      <c r="G12639" s="0" t="s">
        <v>36</v>
      </c>
      <c r="H12639" s="0" t="n">
        <v>87</v>
      </c>
      <c r="I12639" s="0" t="s">
        <v>41985</v>
      </c>
      <c r="J12639" s="0" t="s">
        <v>41986</v>
      </c>
      <c r="K12639" s="0" t="s">
        <v>41987</v>
      </c>
      <c r="L12639" s="0" t="str">
        <f aca="false">HYPERLINK("https://www.ncbi.nlm.nih.gov/nuccore/CP000058.1?report=graph&amp;tracks=[key:gene_model_track,Options:GeneOnly]&amp;mk=3959149:3959168|offset_16|444444,3959120:3959139|offset_45|444444,3959078:3959097|offset_87|00cc00,3959044:3959063|offset_121|444444&amp;v=3958948:3959263&amp;c=444444", "offset 87")</f>
        <v>offset 87</v>
      </c>
    </row>
    <row r="12640" customFormat="false" ht="12.8" hidden="false" customHeight="false" outlineLevel="0" collapsed="false">
      <c r="A12640" s="0" t="s">
        <v>12</v>
      </c>
      <c r="B12640" s="0" t="n">
        <v>3959043</v>
      </c>
      <c r="C12640" s="0" t="n">
        <v>3959063</v>
      </c>
      <c r="D12640" s="0" t="s">
        <v>41978</v>
      </c>
      <c r="E12640" s="0" t="s">
        <v>75</v>
      </c>
      <c r="F12640" s="0" t="s">
        <v>90</v>
      </c>
      <c r="G12640" s="0" t="s">
        <v>16</v>
      </c>
      <c r="H12640" s="0" t="n">
        <v>121</v>
      </c>
      <c r="I12640" s="0" t="s">
        <v>41988</v>
      </c>
      <c r="J12640" s="0" t="s">
        <v>41989</v>
      </c>
      <c r="K12640" s="0" t="s">
        <v>41990</v>
      </c>
      <c r="L12640" s="0" t="str">
        <f aca="false">HYPERLINK("https://www.ncbi.nlm.nih.gov/nuccore/CP000058.1?report=graph&amp;tracks=[key:gene_model_track,Options:GeneOnly]&amp;mk=3959149:3959168|offset_16|444444,3959120:3959139|offset_45|444444,3959078:3959097|offset_87|444444,3959044:3959063|offset_121|00cc00&amp;v=3958948:3959263&amp;c=444444", "offset 121")</f>
        <v>offset 121</v>
      </c>
    </row>
    <row r="12641" customFormat="false" ht="12.8" hidden="false" customHeight="false" outlineLevel="0" collapsed="false">
      <c r="A12641" s="0" t="s">
        <v>12</v>
      </c>
      <c r="B12641" s="0" t="n">
        <v>3959801</v>
      </c>
      <c r="C12641" s="0" t="n">
        <v>3959821</v>
      </c>
      <c r="D12641" s="0" t="s">
        <v>41991</v>
      </c>
      <c r="E12641" s="0" t="s">
        <v>75</v>
      </c>
      <c r="F12641" s="0" t="s">
        <v>90</v>
      </c>
      <c r="G12641" s="0" t="s">
        <v>32</v>
      </c>
      <c r="H12641" s="0" t="n">
        <v>10</v>
      </c>
      <c r="I12641" s="0" t="s">
        <v>41992</v>
      </c>
      <c r="J12641" s="0" t="s">
        <v>41993</v>
      </c>
      <c r="K12641" s="0" t="s">
        <v>41994</v>
      </c>
      <c r="L12641" s="0" t="str">
        <f aca="false">HYPERLINK("https://www.ncbi.nlm.nih.gov/nuccore/CP000058.1?report=graph&amp;tracks=[key:gene_model_track,Options:GeneOnly]&amp;mk=3959802:3959821|offset_10|00cc00,3959778:3959797|offset_34|444444,3959722:3959741|offset_90|444444,3959687:3959706|offset_125|444444&amp;v=3959601:3959906&amp;c=444444", "offset 10")</f>
        <v>offset 10</v>
      </c>
    </row>
    <row r="12642" customFormat="false" ht="12.8" hidden="false" customHeight="false" outlineLevel="0" collapsed="false">
      <c r="A12642" s="0" t="s">
        <v>12</v>
      </c>
      <c r="B12642" s="0" t="n">
        <v>3959777</v>
      </c>
      <c r="C12642" s="0" t="n">
        <v>3959797</v>
      </c>
      <c r="D12642" s="0" t="s">
        <v>41991</v>
      </c>
      <c r="E12642" s="0" t="s">
        <v>75</v>
      </c>
      <c r="F12642" s="0" t="s">
        <v>90</v>
      </c>
      <c r="G12642" s="0" t="s">
        <v>16</v>
      </c>
      <c r="H12642" s="0" t="n">
        <v>34</v>
      </c>
      <c r="I12642" s="0" t="s">
        <v>41995</v>
      </c>
      <c r="J12642" s="0" t="s">
        <v>41996</v>
      </c>
      <c r="K12642" s="0" t="s">
        <v>41997</v>
      </c>
      <c r="L12642" s="0" t="str">
        <f aca="false">HYPERLINK("https://www.ncbi.nlm.nih.gov/nuccore/CP000058.1?report=graph&amp;tracks=[key:gene_model_track,Options:GeneOnly]&amp;mk=3959802:3959821|offset_10|444444,3959778:3959797|offset_34|00cc00,3959722:3959741|offset_90|444444,3959687:3959706|offset_125|444444&amp;v=3959601:3959906&amp;c=444444", "offset 34")</f>
        <v>offset 34</v>
      </c>
    </row>
    <row r="12643" customFormat="false" ht="12.8" hidden="false" customHeight="false" outlineLevel="0" collapsed="false">
      <c r="A12643" s="0" t="s">
        <v>12</v>
      </c>
      <c r="B12643" s="0" t="n">
        <v>3959721</v>
      </c>
      <c r="C12643" s="0" t="n">
        <v>3959741</v>
      </c>
      <c r="D12643" s="0" t="s">
        <v>41991</v>
      </c>
      <c r="E12643" s="0" t="s">
        <v>75</v>
      </c>
      <c r="F12643" s="0" t="s">
        <v>90</v>
      </c>
      <c r="G12643" s="0" t="s">
        <v>16</v>
      </c>
      <c r="H12643" s="0" t="n">
        <v>90</v>
      </c>
      <c r="I12643" s="0" t="s">
        <v>41998</v>
      </c>
      <c r="J12643" s="0" t="s">
        <v>41999</v>
      </c>
      <c r="K12643" s="0" t="s">
        <v>42000</v>
      </c>
      <c r="L12643" s="0" t="str">
        <f aca="false">HYPERLINK("https://www.ncbi.nlm.nih.gov/nuccore/CP000058.1?report=graph&amp;tracks=[key:gene_model_track,Options:GeneOnly]&amp;mk=3959802:3959821|offset_10|444444,3959778:3959797|offset_34|444444,3959722:3959741|offset_90|00cc00,3959687:3959706|offset_125|444444&amp;v=3959601:3959906&amp;c=444444", "offset 90")</f>
        <v>offset 90</v>
      </c>
    </row>
    <row r="12644" customFormat="false" ht="12.8" hidden="false" customHeight="false" outlineLevel="0" collapsed="false">
      <c r="A12644" s="0" t="s">
        <v>12</v>
      </c>
      <c r="B12644" s="0" t="n">
        <v>3959686</v>
      </c>
      <c r="C12644" s="0" t="n">
        <v>3959706</v>
      </c>
      <c r="D12644" s="0" t="s">
        <v>41991</v>
      </c>
      <c r="E12644" s="0" t="s">
        <v>75</v>
      </c>
      <c r="F12644" s="0" t="s">
        <v>90</v>
      </c>
      <c r="G12644" s="0" t="s">
        <v>36</v>
      </c>
      <c r="H12644" s="0" t="n">
        <v>125</v>
      </c>
      <c r="I12644" s="0" t="s">
        <v>42001</v>
      </c>
      <c r="J12644" s="0" t="s">
        <v>42002</v>
      </c>
      <c r="K12644" s="0" t="s">
        <v>42003</v>
      </c>
      <c r="L12644" s="0" t="str">
        <f aca="false">HYPERLINK("https://www.ncbi.nlm.nih.gov/nuccore/CP000058.1?report=graph&amp;tracks=[key:gene_model_track,Options:GeneOnly]&amp;mk=3959802:3959821|offset_10|444444,3959778:3959797|offset_34|444444,3959722:3959741|offset_90|444444,3959687:3959706|offset_125|00cc00&amp;v=3959601:3959906&amp;c=444444", "offset 125")</f>
        <v>offset 125</v>
      </c>
    </row>
    <row r="12645" customFormat="false" ht="12.8" hidden="false" customHeight="false" outlineLevel="0" collapsed="false">
      <c r="A12645" s="0" t="s">
        <v>12</v>
      </c>
      <c r="B12645" s="0" t="n">
        <v>3960554</v>
      </c>
      <c r="C12645" s="0" t="n">
        <v>3960574</v>
      </c>
      <c r="D12645" s="0" t="s">
        <v>42004</v>
      </c>
      <c r="E12645" s="0" t="s">
        <v>75</v>
      </c>
      <c r="F12645" s="0" t="s">
        <v>90</v>
      </c>
      <c r="G12645" s="0" t="s">
        <v>16</v>
      </c>
      <c r="H12645" s="0" t="n">
        <v>15</v>
      </c>
      <c r="I12645" s="0" t="s">
        <v>42005</v>
      </c>
      <c r="J12645" s="0" t="s">
        <v>42006</v>
      </c>
      <c r="K12645" s="0" t="s">
        <v>42007</v>
      </c>
      <c r="L12645" s="0" t="str">
        <f aca="false">HYPERLINK("https://www.ncbi.nlm.nih.gov/nuccore/CP000058.1?report=graph&amp;tracks=[key:gene_model_track,Options:GeneOnly]&amp;mk=3960555:3960574|offset_15|00cc00,3960515:3960534|offset_55|444444,3960475:3960494|offset_95|444444,3960446:3960465|offset_124|444444&amp;v=3960354:3960665&amp;c=444444", "offset 15")</f>
        <v>offset 15</v>
      </c>
    </row>
    <row r="12646" customFormat="false" ht="12.8" hidden="false" customHeight="false" outlineLevel="0" collapsed="false">
      <c r="A12646" s="0" t="s">
        <v>12</v>
      </c>
      <c r="B12646" s="0" t="n">
        <v>3960514</v>
      </c>
      <c r="C12646" s="0" t="n">
        <v>3960534</v>
      </c>
      <c r="D12646" s="0" t="s">
        <v>42004</v>
      </c>
      <c r="E12646" s="0" t="s">
        <v>75</v>
      </c>
      <c r="F12646" s="0" t="s">
        <v>90</v>
      </c>
      <c r="G12646" s="0" t="s">
        <v>20</v>
      </c>
      <c r="H12646" s="0" t="n">
        <v>55</v>
      </c>
      <c r="I12646" s="0" t="s">
        <v>42008</v>
      </c>
      <c r="J12646" s="0" t="s">
        <v>42009</v>
      </c>
      <c r="K12646" s="0" t="s">
        <v>42010</v>
      </c>
      <c r="L12646" s="0" t="str">
        <f aca="false">HYPERLINK("https://www.ncbi.nlm.nih.gov/nuccore/CP000058.1?report=graph&amp;tracks=[key:gene_model_track,Options:GeneOnly]&amp;mk=3960555:3960574|offset_15|444444,3960515:3960534|offset_55|00cc00,3960475:3960494|offset_95|444444,3960446:3960465|offset_124|444444&amp;v=3960354:3960665&amp;c=444444", "offset 55")</f>
        <v>offset 55</v>
      </c>
    </row>
    <row r="12647" customFormat="false" ht="12.8" hidden="false" customHeight="false" outlineLevel="0" collapsed="false">
      <c r="A12647" s="0" t="s">
        <v>12</v>
      </c>
      <c r="B12647" s="0" t="n">
        <v>3960474</v>
      </c>
      <c r="C12647" s="0" t="n">
        <v>3960494</v>
      </c>
      <c r="D12647" s="0" t="s">
        <v>42004</v>
      </c>
      <c r="E12647" s="0" t="s">
        <v>75</v>
      </c>
      <c r="F12647" s="0" t="s">
        <v>90</v>
      </c>
      <c r="G12647" s="0" t="s">
        <v>32</v>
      </c>
      <c r="H12647" s="0" t="n">
        <v>95</v>
      </c>
      <c r="I12647" s="0" t="s">
        <v>42011</v>
      </c>
      <c r="J12647" s="0" t="s">
        <v>42012</v>
      </c>
      <c r="K12647" s="0" t="s">
        <v>42013</v>
      </c>
      <c r="L12647" s="0" t="str">
        <f aca="false">HYPERLINK("https://www.ncbi.nlm.nih.gov/nuccore/CP000058.1?report=graph&amp;tracks=[key:gene_model_track,Options:GeneOnly]&amp;mk=3960555:3960574|offset_15|444444,3960515:3960534|offset_55|444444,3960475:3960494|offset_95|00cc00,3960446:3960465|offset_124|444444&amp;v=3960354:3960665&amp;c=444444", "offset 95")</f>
        <v>offset 95</v>
      </c>
    </row>
    <row r="12648" customFormat="false" ht="12.8" hidden="false" customHeight="false" outlineLevel="0" collapsed="false">
      <c r="A12648" s="0" t="s">
        <v>12</v>
      </c>
      <c r="B12648" s="0" t="n">
        <v>3960445</v>
      </c>
      <c r="C12648" s="0" t="n">
        <v>3960465</v>
      </c>
      <c r="D12648" s="0" t="s">
        <v>42004</v>
      </c>
      <c r="E12648" s="0" t="s">
        <v>75</v>
      </c>
      <c r="F12648" s="0" t="s">
        <v>90</v>
      </c>
      <c r="G12648" s="0" t="s">
        <v>32</v>
      </c>
      <c r="H12648" s="0" t="n">
        <v>124</v>
      </c>
      <c r="I12648" s="0" t="s">
        <v>42014</v>
      </c>
      <c r="J12648" s="0" t="s">
        <v>42015</v>
      </c>
      <c r="K12648" s="0" t="s">
        <v>42016</v>
      </c>
      <c r="L12648" s="0" t="str">
        <f aca="false">HYPERLINK("https://www.ncbi.nlm.nih.gov/nuccore/CP000058.1?report=graph&amp;tracks=[key:gene_model_track,Options:GeneOnly]&amp;mk=3960555:3960574|offset_15|444444,3960515:3960534|offset_55|444444,3960475:3960494|offset_95|444444,3960446:3960465|offset_124|00cc00&amp;v=3960354:3960665&amp;c=444444", "offset 124")</f>
        <v>offset 124</v>
      </c>
    </row>
    <row r="12649" customFormat="false" ht="12.8" hidden="false" customHeight="false" outlineLevel="0" collapsed="false">
      <c r="A12649" s="0" t="s">
        <v>12</v>
      </c>
      <c r="B12649" s="0" t="n">
        <v>3960773</v>
      </c>
      <c r="C12649" s="0" t="n">
        <v>3960793</v>
      </c>
      <c r="D12649" s="0" t="s">
        <v>42017</v>
      </c>
      <c r="E12649" s="0" t="s">
        <v>75</v>
      </c>
      <c r="F12649" s="0" t="s">
        <v>90</v>
      </c>
      <c r="G12649" s="0" t="s">
        <v>20</v>
      </c>
      <c r="H12649" s="0" t="n">
        <v>58</v>
      </c>
      <c r="I12649" s="0" t="s">
        <v>42018</v>
      </c>
      <c r="J12649" s="0" t="s">
        <v>42019</v>
      </c>
      <c r="K12649" s="0" t="s">
        <v>42020</v>
      </c>
      <c r="L12649" s="0" t="str">
        <f aca="false">HYPERLINK("https://www.ncbi.nlm.nih.gov/nuccore/CP000058.1?report=graph&amp;tracks=[key:gene_model_track,Options:GeneOnly]&amp;mk=3960774:3960793|offset_58|00cc00,3960741:3960760|offset_91|444444,3960689:3960708|offset_143|444444&amp;v=3960573:3960908&amp;c=444444", "offset 58")</f>
        <v>offset 58</v>
      </c>
    </row>
    <row r="12650" customFormat="false" ht="12.8" hidden="false" customHeight="false" outlineLevel="0" collapsed="false">
      <c r="A12650" s="0" t="s">
        <v>12</v>
      </c>
      <c r="B12650" s="0" t="n">
        <v>3960740</v>
      </c>
      <c r="C12650" s="0" t="n">
        <v>3960760</v>
      </c>
      <c r="D12650" s="0" t="s">
        <v>42017</v>
      </c>
      <c r="E12650" s="0" t="s">
        <v>75</v>
      </c>
      <c r="F12650" s="0" t="s">
        <v>90</v>
      </c>
      <c r="G12650" s="0" t="s">
        <v>32</v>
      </c>
      <c r="H12650" s="0" t="n">
        <v>91</v>
      </c>
      <c r="I12650" s="0" t="s">
        <v>42021</v>
      </c>
      <c r="J12650" s="0" t="s">
        <v>42022</v>
      </c>
      <c r="K12650" s="0" t="s">
        <v>42023</v>
      </c>
      <c r="L12650" s="0" t="str">
        <f aca="false">HYPERLINK("https://www.ncbi.nlm.nih.gov/nuccore/CP000058.1?report=graph&amp;tracks=[key:gene_model_track,Options:GeneOnly]&amp;mk=3960774:3960793|offset_58|444444,3960741:3960760|offset_91|00cc00,3960689:3960708|offset_143|444444&amp;v=3960573:3960908&amp;c=444444", "offset 91")</f>
        <v>offset 91</v>
      </c>
    </row>
    <row r="12651" customFormat="false" ht="12.8" hidden="false" customHeight="false" outlineLevel="0" collapsed="false">
      <c r="A12651" s="0" t="s">
        <v>12</v>
      </c>
      <c r="B12651" s="0" t="n">
        <v>3960688</v>
      </c>
      <c r="C12651" s="0" t="n">
        <v>3960708</v>
      </c>
      <c r="D12651" s="0" t="s">
        <v>42017</v>
      </c>
      <c r="E12651" s="0" t="s">
        <v>75</v>
      </c>
      <c r="F12651" s="0" t="s">
        <v>90</v>
      </c>
      <c r="G12651" s="0" t="s">
        <v>20</v>
      </c>
      <c r="H12651" s="0" t="n">
        <v>143</v>
      </c>
      <c r="I12651" s="0" t="s">
        <v>42024</v>
      </c>
      <c r="J12651" s="0" t="s">
        <v>42025</v>
      </c>
      <c r="K12651" s="0" t="s">
        <v>42026</v>
      </c>
      <c r="L12651" s="0" t="str">
        <f aca="false">HYPERLINK("https://www.ncbi.nlm.nih.gov/nuccore/CP000058.1?report=graph&amp;tracks=[key:gene_model_track,Options:GeneOnly]&amp;mk=3960774:3960793|offset_58|444444,3960741:3960760|offset_91|444444,3960689:3960708|offset_143|00cc00&amp;v=3960573:3960908&amp;c=444444", "offset 143")</f>
        <v>offset 143</v>
      </c>
    </row>
    <row r="12652" customFormat="false" ht="12.8" hidden="false" customHeight="false" outlineLevel="0" collapsed="false">
      <c r="A12652" s="0" t="s">
        <v>12</v>
      </c>
      <c r="B12652" s="0" t="n">
        <v>3961777</v>
      </c>
      <c r="C12652" s="0" t="n">
        <v>3961797</v>
      </c>
      <c r="D12652" s="0" t="s">
        <v>42027</v>
      </c>
      <c r="E12652" s="0" t="s">
        <v>75</v>
      </c>
      <c r="F12652" s="0" t="s">
        <v>90</v>
      </c>
      <c r="G12652" s="0" t="s">
        <v>20</v>
      </c>
      <c r="H12652" s="0" t="n">
        <v>26</v>
      </c>
      <c r="I12652" s="0" t="s">
        <v>42028</v>
      </c>
      <c r="J12652" s="0" t="s">
        <v>42029</v>
      </c>
      <c r="K12652" s="0" t="s">
        <v>42030</v>
      </c>
      <c r="L12652" s="0" t="str">
        <f aca="false">HYPERLINK("https://www.ncbi.nlm.nih.gov/nuccore/CP000058.1?report=graph&amp;tracks=[key:gene_model_track,Options:GeneOnly]&amp;mk=3961778:3961797|offset_26|00cc00,3961755:3961774|offset_49|444444,3961719:3961738|offset_85|444444,3961680:3961699|offset_124|444444&amp;v=3961577:3961899&amp;c=444444", "offset 26")</f>
        <v>offset 26</v>
      </c>
    </row>
    <row r="12653" customFormat="false" ht="12.8" hidden="false" customHeight="false" outlineLevel="0" collapsed="false">
      <c r="A12653" s="0" t="s">
        <v>12</v>
      </c>
      <c r="B12653" s="0" t="n">
        <v>3961754</v>
      </c>
      <c r="C12653" s="0" t="n">
        <v>3961774</v>
      </c>
      <c r="D12653" s="0" t="s">
        <v>42027</v>
      </c>
      <c r="E12653" s="0" t="s">
        <v>75</v>
      </c>
      <c r="F12653" s="0" t="s">
        <v>90</v>
      </c>
      <c r="G12653" s="0" t="s">
        <v>20</v>
      </c>
      <c r="H12653" s="0" t="n">
        <v>49</v>
      </c>
      <c r="I12653" s="0" t="s">
        <v>42031</v>
      </c>
      <c r="J12653" s="0" t="s">
        <v>42032</v>
      </c>
      <c r="K12653" s="0" t="s">
        <v>42033</v>
      </c>
      <c r="L12653" s="0" t="str">
        <f aca="false">HYPERLINK("https://www.ncbi.nlm.nih.gov/nuccore/CP000058.1?report=graph&amp;tracks=[key:gene_model_track,Options:GeneOnly]&amp;mk=3961778:3961797|offset_26|444444,3961755:3961774|offset_49|00cc00,3961719:3961738|offset_85|444444,3961680:3961699|offset_124|444444&amp;v=3961577:3961899&amp;c=444444", "offset 49")</f>
        <v>offset 49</v>
      </c>
    </row>
    <row r="12654" customFormat="false" ht="12.8" hidden="false" customHeight="false" outlineLevel="0" collapsed="false">
      <c r="A12654" s="0" t="s">
        <v>12</v>
      </c>
      <c r="B12654" s="0" t="n">
        <v>3961718</v>
      </c>
      <c r="C12654" s="0" t="n">
        <v>3961738</v>
      </c>
      <c r="D12654" s="0" t="s">
        <v>42027</v>
      </c>
      <c r="E12654" s="0" t="s">
        <v>75</v>
      </c>
      <c r="F12654" s="0" t="s">
        <v>90</v>
      </c>
      <c r="G12654" s="0" t="s">
        <v>36</v>
      </c>
      <c r="H12654" s="0" t="n">
        <v>85</v>
      </c>
      <c r="I12654" s="0" t="s">
        <v>42034</v>
      </c>
      <c r="J12654" s="0" t="s">
        <v>42035</v>
      </c>
      <c r="K12654" s="0" t="s">
        <v>42036</v>
      </c>
      <c r="L12654" s="0" t="str">
        <f aca="false">HYPERLINK("https://www.ncbi.nlm.nih.gov/nuccore/CP000058.1?report=graph&amp;tracks=[key:gene_model_track,Options:GeneOnly]&amp;mk=3961778:3961797|offset_26|444444,3961755:3961774|offset_49|444444,3961719:3961738|offset_85|00cc00,3961680:3961699|offset_124|444444&amp;v=3961577:3961899&amp;c=444444", "offset 85")</f>
        <v>offset 85</v>
      </c>
    </row>
    <row r="12655" customFormat="false" ht="12.8" hidden="false" customHeight="false" outlineLevel="0" collapsed="false">
      <c r="A12655" s="0" t="s">
        <v>12</v>
      </c>
      <c r="B12655" s="0" t="n">
        <v>3961679</v>
      </c>
      <c r="C12655" s="0" t="n">
        <v>3961699</v>
      </c>
      <c r="D12655" s="0" t="s">
        <v>42027</v>
      </c>
      <c r="E12655" s="0" t="s">
        <v>75</v>
      </c>
      <c r="F12655" s="0" t="s">
        <v>90</v>
      </c>
      <c r="G12655" s="0" t="s">
        <v>16</v>
      </c>
      <c r="H12655" s="0" t="n">
        <v>124</v>
      </c>
      <c r="I12655" s="0" t="s">
        <v>42037</v>
      </c>
      <c r="J12655" s="0" t="s">
        <v>42038</v>
      </c>
      <c r="K12655" s="0" t="s">
        <v>42039</v>
      </c>
      <c r="L12655" s="0" t="str">
        <f aca="false">HYPERLINK("https://www.ncbi.nlm.nih.gov/nuccore/CP000058.1?report=graph&amp;tracks=[key:gene_model_track,Options:GeneOnly]&amp;mk=3961778:3961797|offset_26|444444,3961755:3961774|offset_49|444444,3961719:3961738|offset_85|444444,3961680:3961699|offset_124|00cc00&amp;v=3961577:3961899&amp;c=444444", "offset 124")</f>
        <v>offset 124</v>
      </c>
    </row>
    <row r="12656" customFormat="false" ht="12.8" hidden="false" customHeight="false" outlineLevel="0" collapsed="false">
      <c r="A12656" s="0" t="s">
        <v>12</v>
      </c>
      <c r="B12656" s="0" t="n">
        <v>3963384</v>
      </c>
      <c r="C12656" s="0" t="n">
        <v>3963404</v>
      </c>
      <c r="D12656" s="0" t="s">
        <v>42040</v>
      </c>
      <c r="E12656" s="0" t="s">
        <v>75</v>
      </c>
      <c r="F12656" s="0" t="s">
        <v>90</v>
      </c>
      <c r="G12656" s="0" t="s">
        <v>32</v>
      </c>
      <c r="H12656" s="0" t="n">
        <v>17</v>
      </c>
      <c r="I12656" s="0" t="s">
        <v>42041</v>
      </c>
      <c r="J12656" s="0" t="s">
        <v>42042</v>
      </c>
      <c r="K12656" s="0" t="s">
        <v>42043</v>
      </c>
      <c r="L12656" s="0" t="str">
        <f aca="false">HYPERLINK("https://www.ncbi.nlm.nih.gov/nuccore/CP000058.1?report=graph&amp;tracks=[key:gene_model_track,Options:GeneOnly]&amp;mk=3963385:3963404|offset_17|00cc00,3963293:3963312|offset_109|444444,3963208:3963227|offset_194|444444,3963125:3963144|offset_277|444444&amp;v=3963184:3963344&amp;c=444444", "offset 17")</f>
        <v>offset 17</v>
      </c>
    </row>
    <row r="12657" customFormat="false" ht="12.8" hidden="false" customHeight="false" outlineLevel="0" collapsed="false">
      <c r="A12657" s="0" t="s">
        <v>12</v>
      </c>
      <c r="B12657" s="0" t="n">
        <v>3963292</v>
      </c>
      <c r="C12657" s="0" t="n">
        <v>3963312</v>
      </c>
      <c r="D12657" s="0" t="s">
        <v>42040</v>
      </c>
      <c r="E12657" s="0" t="s">
        <v>75</v>
      </c>
      <c r="F12657" s="0" t="s">
        <v>90</v>
      </c>
      <c r="G12657" s="0" t="s">
        <v>16</v>
      </c>
      <c r="H12657" s="0" t="n">
        <v>109</v>
      </c>
      <c r="I12657" s="0" t="s">
        <v>42044</v>
      </c>
      <c r="J12657" s="0" t="s">
        <v>42045</v>
      </c>
      <c r="K12657" s="0" t="s">
        <v>42046</v>
      </c>
      <c r="L12657" s="0" t="str">
        <f aca="false">HYPERLINK("https://www.ncbi.nlm.nih.gov/nuccore/CP000058.1?report=graph&amp;tracks=[key:gene_model_track,Options:GeneOnly]&amp;mk=3963385:3963404|offset_17|444444,3963293:3963312|offset_109|00cc00,3963208:3963227|offset_194|444444,3963125:3963144|offset_277|444444&amp;v=3963184:3963344&amp;c=444444", "offset 109")</f>
        <v>offset 109</v>
      </c>
    </row>
    <row r="12658" customFormat="false" ht="12.8" hidden="false" customHeight="false" outlineLevel="0" collapsed="false">
      <c r="A12658" s="0" t="s">
        <v>12</v>
      </c>
      <c r="B12658" s="0" t="n">
        <v>3963207</v>
      </c>
      <c r="C12658" s="0" t="n">
        <v>3963227</v>
      </c>
      <c r="D12658" s="0" t="s">
        <v>42040</v>
      </c>
      <c r="E12658" s="0" t="s">
        <v>75</v>
      </c>
      <c r="F12658" s="0" t="s">
        <v>90</v>
      </c>
      <c r="G12658" s="0" t="s">
        <v>16</v>
      </c>
      <c r="H12658" s="0" t="n">
        <v>194</v>
      </c>
      <c r="I12658" s="0" t="s">
        <v>42047</v>
      </c>
      <c r="J12658" s="0" t="s">
        <v>42048</v>
      </c>
      <c r="K12658" s="0" t="s">
        <v>42049</v>
      </c>
      <c r="L12658" s="0" t="str">
        <f aca="false">HYPERLINK("https://www.ncbi.nlm.nih.gov/nuccore/CP000058.1?report=graph&amp;tracks=[key:gene_model_track,Options:GeneOnly]&amp;mk=3963385:3963404|offset_17|444444,3963293:3963312|offset_109|444444,3963208:3963227|offset_194|00cc00,3963125:3963144|offset_277|444444&amp;v=3963184:3963344&amp;c=444444", "offset 194")</f>
        <v>offset 194</v>
      </c>
    </row>
    <row r="12659" customFormat="false" ht="12.8" hidden="false" customHeight="false" outlineLevel="0" collapsed="false">
      <c r="A12659" s="0" t="s">
        <v>12</v>
      </c>
      <c r="B12659" s="0" t="n">
        <v>3963124</v>
      </c>
      <c r="C12659" s="0" t="n">
        <v>3963144</v>
      </c>
      <c r="D12659" s="0" t="s">
        <v>42040</v>
      </c>
      <c r="E12659" s="0" t="s">
        <v>75</v>
      </c>
      <c r="F12659" s="0" t="s">
        <v>90</v>
      </c>
      <c r="G12659" s="0" t="s">
        <v>16</v>
      </c>
      <c r="H12659" s="0" t="n">
        <v>277</v>
      </c>
      <c r="I12659" s="0" t="s">
        <v>42050</v>
      </c>
      <c r="J12659" s="0" t="s">
        <v>42051</v>
      </c>
      <c r="K12659" s="0" t="s">
        <v>42052</v>
      </c>
      <c r="L12659" s="0" t="str">
        <f aca="false">HYPERLINK("https://www.ncbi.nlm.nih.gov/nuccore/CP000058.1?report=graph&amp;tracks=[key:gene_model_track,Options:GeneOnly]&amp;mk=3963385:3963404|offset_17|444444,3963293:3963312|offset_109|444444,3963208:3963227|offset_194|444444,3963125:3963144|offset_277|00cc00&amp;v=3963184:3963344&amp;c=444444", "offset 277")</f>
        <v>offset 277</v>
      </c>
    </row>
    <row r="12660" customFormat="false" ht="12.8" hidden="false" customHeight="false" outlineLevel="0" collapsed="false">
      <c r="A12660" s="0" t="s">
        <v>12</v>
      </c>
      <c r="B12660" s="0" t="n">
        <v>3964442</v>
      </c>
      <c r="C12660" s="0" t="n">
        <v>3964462</v>
      </c>
      <c r="D12660" s="0" t="s">
        <v>42053</v>
      </c>
      <c r="E12660" s="0" t="s">
        <v>75</v>
      </c>
      <c r="F12660" s="0" t="s">
        <v>90</v>
      </c>
      <c r="G12660" s="0" t="s">
        <v>32</v>
      </c>
      <c r="H12660" s="0" t="n">
        <v>1</v>
      </c>
      <c r="I12660" s="0" t="s">
        <v>42054</v>
      </c>
      <c r="J12660" s="0" t="s">
        <v>42055</v>
      </c>
      <c r="K12660" s="0" t="s">
        <v>42056</v>
      </c>
      <c r="L12660" s="0" t="str">
        <f aca="false">HYPERLINK("https://www.ncbi.nlm.nih.gov/nuccore/CP000058.1?report=graph&amp;tracks=[key:gene_model_track,Options:GeneOnly]&amp;mk=3964443:3964462|offset_1|00cc00,3964413:3964432|offset_31|444444,3964364:3964383|offset_80|444444,3964344:3964363|offset_100|444444&amp;v=3964242:3964563&amp;c=444444", "offset 1")</f>
        <v>offset 1</v>
      </c>
    </row>
    <row r="12661" customFormat="false" ht="12.8" hidden="false" customHeight="false" outlineLevel="0" collapsed="false">
      <c r="A12661" s="0" t="s">
        <v>12</v>
      </c>
      <c r="B12661" s="0" t="n">
        <v>3964412</v>
      </c>
      <c r="C12661" s="0" t="n">
        <v>3964432</v>
      </c>
      <c r="D12661" s="0" t="s">
        <v>42053</v>
      </c>
      <c r="E12661" s="0" t="s">
        <v>75</v>
      </c>
      <c r="F12661" s="0" t="s">
        <v>90</v>
      </c>
      <c r="G12661" s="0" t="s">
        <v>36</v>
      </c>
      <c r="H12661" s="0" t="n">
        <v>31</v>
      </c>
      <c r="I12661" s="0" t="s">
        <v>42057</v>
      </c>
      <c r="J12661" s="0" t="s">
        <v>42058</v>
      </c>
      <c r="K12661" s="0" t="s">
        <v>42059</v>
      </c>
      <c r="L12661" s="0" t="str">
        <f aca="false">HYPERLINK("https://www.ncbi.nlm.nih.gov/nuccore/CP000058.1?report=graph&amp;tracks=[key:gene_model_track,Options:GeneOnly]&amp;mk=3964443:3964462|offset_1|444444,3964413:3964432|offset_31|00cc00,3964364:3964383|offset_80|444444,3964344:3964363|offset_100|444444&amp;v=3964242:3964563&amp;c=444444", "offset 31")</f>
        <v>offset 31</v>
      </c>
    </row>
    <row r="12662" customFormat="false" ht="12.8" hidden="false" customHeight="false" outlineLevel="0" collapsed="false">
      <c r="A12662" s="0" t="s">
        <v>12</v>
      </c>
      <c r="B12662" s="0" t="n">
        <v>3964363</v>
      </c>
      <c r="C12662" s="0" t="n">
        <v>3964383</v>
      </c>
      <c r="D12662" s="0" t="s">
        <v>42053</v>
      </c>
      <c r="E12662" s="0" t="s">
        <v>75</v>
      </c>
      <c r="F12662" s="0" t="s">
        <v>90</v>
      </c>
      <c r="G12662" s="0" t="s">
        <v>20</v>
      </c>
      <c r="H12662" s="0" t="n">
        <v>80</v>
      </c>
      <c r="I12662" s="0" t="s">
        <v>42060</v>
      </c>
      <c r="J12662" s="0" t="s">
        <v>42061</v>
      </c>
      <c r="K12662" s="0" t="s">
        <v>42062</v>
      </c>
      <c r="L12662" s="0" t="str">
        <f aca="false">HYPERLINK("https://www.ncbi.nlm.nih.gov/nuccore/CP000058.1?report=graph&amp;tracks=[key:gene_model_track,Options:GeneOnly]&amp;mk=3964443:3964462|offset_1|444444,3964413:3964432|offset_31|444444,3964364:3964383|offset_80|00cc00,3964344:3964363|offset_100|444444&amp;v=3964242:3964563&amp;c=444444", "offset 80")</f>
        <v>offset 80</v>
      </c>
    </row>
    <row r="12663" customFormat="false" ht="12.8" hidden="false" customHeight="false" outlineLevel="0" collapsed="false">
      <c r="A12663" s="0" t="s">
        <v>12</v>
      </c>
      <c r="B12663" s="0" t="n">
        <v>3964343</v>
      </c>
      <c r="C12663" s="0" t="n">
        <v>3964363</v>
      </c>
      <c r="D12663" s="0" t="s">
        <v>42053</v>
      </c>
      <c r="E12663" s="0" t="s">
        <v>75</v>
      </c>
      <c r="F12663" s="0" t="s">
        <v>90</v>
      </c>
      <c r="G12663" s="0" t="s">
        <v>16</v>
      </c>
      <c r="H12663" s="0" t="n">
        <v>100</v>
      </c>
      <c r="I12663" s="0" t="s">
        <v>42063</v>
      </c>
      <c r="J12663" s="0" t="s">
        <v>42064</v>
      </c>
      <c r="K12663" s="0" t="s">
        <v>42065</v>
      </c>
      <c r="L12663" s="0" t="str">
        <f aca="false">HYPERLINK("https://www.ncbi.nlm.nih.gov/nuccore/CP000058.1?report=graph&amp;tracks=[key:gene_model_track,Options:GeneOnly]&amp;mk=3964443:3964462|offset_1|444444,3964413:3964432|offset_31|444444,3964364:3964383|offset_80|444444,3964344:3964363|offset_100|00cc00&amp;v=3964242:3964563&amp;c=444444", "offset 100")</f>
        <v>offset 100</v>
      </c>
    </row>
    <row r="12664" customFormat="false" ht="12.8" hidden="false" customHeight="false" outlineLevel="0" collapsed="false">
      <c r="A12664" s="0" t="s">
        <v>12</v>
      </c>
      <c r="B12664" s="0" t="n">
        <v>3964877</v>
      </c>
      <c r="C12664" s="0" t="n">
        <v>3964897</v>
      </c>
      <c r="D12664" s="0" t="s">
        <v>42066</v>
      </c>
      <c r="E12664" s="0" t="s">
        <v>75</v>
      </c>
      <c r="F12664" s="0" t="s">
        <v>15</v>
      </c>
      <c r="G12664" s="0" t="s">
        <v>32</v>
      </c>
      <c r="H12664" s="0" t="n">
        <v>10</v>
      </c>
      <c r="I12664" s="0" t="s">
        <v>42067</v>
      </c>
      <c r="J12664" s="0" t="s">
        <v>42068</v>
      </c>
      <c r="K12664" s="0" t="s">
        <v>42069</v>
      </c>
      <c r="L12664" s="0" t="str">
        <f aca="false">HYPERLINK("https://www.ncbi.nlm.nih.gov/nuccore/CP000058.1?report=graph&amp;tracks=[key:gene_model_track,Options:GeneOnly]&amp;mk=3964878:3964897|offset_10|00cc00,3964924:3964943|offset_56|444444,3964944:3964963|offset_76|444444,3964966:3964985|offset_98|444444&amp;v=3964677:3965185&amp;c=444444", "offset 10")</f>
        <v>offset 10</v>
      </c>
    </row>
    <row r="12665" customFormat="false" ht="12.8" hidden="false" customHeight="false" outlineLevel="0" collapsed="false">
      <c r="A12665" s="0" t="s">
        <v>12</v>
      </c>
      <c r="B12665" s="0" t="n">
        <v>3964923</v>
      </c>
      <c r="C12665" s="0" t="n">
        <v>3964943</v>
      </c>
      <c r="D12665" s="0" t="s">
        <v>42066</v>
      </c>
      <c r="E12665" s="0" t="s">
        <v>75</v>
      </c>
      <c r="F12665" s="0" t="s">
        <v>15</v>
      </c>
      <c r="G12665" s="0" t="s">
        <v>36</v>
      </c>
      <c r="H12665" s="0" t="n">
        <v>56</v>
      </c>
      <c r="I12665" s="0" t="s">
        <v>42070</v>
      </c>
      <c r="J12665" s="0" t="s">
        <v>42071</v>
      </c>
      <c r="K12665" s="0" t="s">
        <v>42072</v>
      </c>
      <c r="L12665" s="0" t="str">
        <f aca="false">HYPERLINK("https://www.ncbi.nlm.nih.gov/nuccore/CP000058.1?report=graph&amp;tracks=[key:gene_model_track,Options:GeneOnly]&amp;mk=3964878:3964897|offset_10|444444,3964924:3964943|offset_56|00cc00,3964944:3964963|offset_76|444444,3964966:3964985|offset_98|444444&amp;v=3964677:3965185&amp;c=444444", "offset 56")</f>
        <v>offset 56</v>
      </c>
    </row>
    <row r="12666" customFormat="false" ht="12.8" hidden="false" customHeight="false" outlineLevel="0" collapsed="false">
      <c r="A12666" s="0" t="s">
        <v>12</v>
      </c>
      <c r="B12666" s="0" t="n">
        <v>3964943</v>
      </c>
      <c r="C12666" s="0" t="n">
        <v>3964963</v>
      </c>
      <c r="D12666" s="0" t="s">
        <v>42066</v>
      </c>
      <c r="E12666" s="0" t="s">
        <v>75</v>
      </c>
      <c r="F12666" s="0" t="s">
        <v>15</v>
      </c>
      <c r="G12666" s="0" t="s">
        <v>32</v>
      </c>
      <c r="H12666" s="0" t="n">
        <v>76</v>
      </c>
      <c r="I12666" s="0" t="s">
        <v>42073</v>
      </c>
      <c r="J12666" s="0" t="s">
        <v>42074</v>
      </c>
      <c r="K12666" s="0" t="s">
        <v>42075</v>
      </c>
      <c r="L12666" s="0" t="str">
        <f aca="false">HYPERLINK("https://www.ncbi.nlm.nih.gov/nuccore/CP000058.1?report=graph&amp;tracks=[key:gene_model_track,Options:GeneOnly]&amp;mk=3964878:3964897|offset_10|444444,3964924:3964943|offset_56|444444,3964944:3964963|offset_76|00cc00,3964966:3964985|offset_98|444444&amp;v=3964677:3965185&amp;c=444444", "offset 76")</f>
        <v>offset 76</v>
      </c>
    </row>
    <row r="12667" customFormat="false" ht="12.8" hidden="false" customHeight="false" outlineLevel="0" collapsed="false">
      <c r="A12667" s="0" t="s">
        <v>12</v>
      </c>
      <c r="B12667" s="0" t="n">
        <v>3964965</v>
      </c>
      <c r="C12667" s="0" t="n">
        <v>3964985</v>
      </c>
      <c r="D12667" s="0" t="s">
        <v>42066</v>
      </c>
      <c r="E12667" s="0" t="s">
        <v>75</v>
      </c>
      <c r="F12667" s="0" t="s">
        <v>15</v>
      </c>
      <c r="G12667" s="0" t="s">
        <v>20</v>
      </c>
      <c r="H12667" s="0" t="n">
        <v>98</v>
      </c>
      <c r="I12667" s="0" t="s">
        <v>42076</v>
      </c>
      <c r="J12667" s="0" t="s">
        <v>42077</v>
      </c>
      <c r="K12667" s="0" t="s">
        <v>42078</v>
      </c>
      <c r="L12667" s="0" t="str">
        <f aca="false">HYPERLINK("https://www.ncbi.nlm.nih.gov/nuccore/CP000058.1?report=graph&amp;tracks=[key:gene_model_track,Options:GeneOnly]&amp;mk=3964878:3964897|offset_10|444444,3964924:3964943|offset_56|444444,3964944:3964963|offset_76|444444,3964966:3964985|offset_98|00cc00&amp;v=3964677:3965185&amp;c=444444", "offset 98")</f>
        <v>offset 98</v>
      </c>
    </row>
    <row r="12668" customFormat="false" ht="12.8" hidden="false" customHeight="false" outlineLevel="0" collapsed="false">
      <c r="A12668" s="0" t="s">
        <v>12</v>
      </c>
      <c r="B12668" s="0" t="n">
        <v>3967183</v>
      </c>
      <c r="C12668" s="0" t="n">
        <v>3967203</v>
      </c>
      <c r="D12668" s="0" t="s">
        <v>42079</v>
      </c>
      <c r="E12668" s="0" t="s">
        <v>42080</v>
      </c>
      <c r="F12668" s="0" t="s">
        <v>90</v>
      </c>
      <c r="G12668" s="0" t="s">
        <v>32</v>
      </c>
      <c r="H12668" s="0" t="n">
        <v>7</v>
      </c>
      <c r="I12668" s="0" t="s">
        <v>42081</v>
      </c>
      <c r="J12668" s="0" t="s">
        <v>42082</v>
      </c>
      <c r="K12668" s="0" t="s">
        <v>42083</v>
      </c>
      <c r="L12668" s="0" t="str">
        <f aca="false">HYPERLINK("https://www.ncbi.nlm.nih.gov/nuccore/CP000058.1?report=graph&amp;tracks=[key:gene_model_track,Options:GeneOnly]&amp;mk=3967184:3967203|offset_7|00cc00,3967161:3967180|offset_30|444444,3967136:3967155|offset_55|444444,3967114:3967133|offset_77|444444&amp;v=3966983:3967333&amp;c=444444", "offset 7")</f>
        <v>offset 7</v>
      </c>
    </row>
    <row r="12669" customFormat="false" ht="12.8" hidden="false" customHeight="false" outlineLevel="0" collapsed="false">
      <c r="A12669" s="0" t="s">
        <v>12</v>
      </c>
      <c r="B12669" s="0" t="n">
        <v>3967160</v>
      </c>
      <c r="C12669" s="0" t="n">
        <v>3967180</v>
      </c>
      <c r="D12669" s="0" t="s">
        <v>42079</v>
      </c>
      <c r="E12669" s="0" t="s">
        <v>42080</v>
      </c>
      <c r="F12669" s="0" t="s">
        <v>90</v>
      </c>
      <c r="G12669" s="0" t="s">
        <v>32</v>
      </c>
      <c r="H12669" s="0" t="n">
        <v>30</v>
      </c>
      <c r="I12669" s="0" t="s">
        <v>42084</v>
      </c>
      <c r="J12669" s="0" t="s">
        <v>42085</v>
      </c>
      <c r="K12669" s="0" t="s">
        <v>42086</v>
      </c>
      <c r="L12669" s="0" t="str">
        <f aca="false">HYPERLINK("https://www.ncbi.nlm.nih.gov/nuccore/CP000058.1?report=graph&amp;tracks=[key:gene_model_track,Options:GeneOnly]&amp;mk=3967184:3967203|offset_7|444444,3967161:3967180|offset_30|00cc00,3967136:3967155|offset_55|444444,3967114:3967133|offset_77|444444&amp;v=3966983:3967333&amp;c=444444", "offset 30")</f>
        <v>offset 30</v>
      </c>
    </row>
    <row r="12670" customFormat="false" ht="12.8" hidden="false" customHeight="false" outlineLevel="0" collapsed="false">
      <c r="A12670" s="0" t="s">
        <v>12</v>
      </c>
      <c r="B12670" s="0" t="n">
        <v>3967135</v>
      </c>
      <c r="C12670" s="0" t="n">
        <v>3967155</v>
      </c>
      <c r="D12670" s="0" t="s">
        <v>42079</v>
      </c>
      <c r="E12670" s="0" t="s">
        <v>42080</v>
      </c>
      <c r="F12670" s="0" t="s">
        <v>90</v>
      </c>
      <c r="G12670" s="0" t="s">
        <v>16</v>
      </c>
      <c r="H12670" s="0" t="n">
        <v>55</v>
      </c>
      <c r="I12670" s="0" t="s">
        <v>42087</v>
      </c>
      <c r="J12670" s="0" t="s">
        <v>42088</v>
      </c>
      <c r="K12670" s="0" t="s">
        <v>42089</v>
      </c>
      <c r="L12670" s="0" t="str">
        <f aca="false">HYPERLINK("https://www.ncbi.nlm.nih.gov/nuccore/CP000058.1?report=graph&amp;tracks=[key:gene_model_track,Options:GeneOnly]&amp;mk=3967184:3967203|offset_7|444444,3967161:3967180|offset_30|444444,3967136:3967155|offset_55|00cc00,3967114:3967133|offset_77|444444&amp;v=3966983:3967333&amp;c=444444", "offset 55")</f>
        <v>offset 55</v>
      </c>
    </row>
    <row r="12671" customFormat="false" ht="12.8" hidden="false" customHeight="false" outlineLevel="0" collapsed="false">
      <c r="A12671" s="0" t="s">
        <v>12</v>
      </c>
      <c r="B12671" s="0" t="n">
        <v>3967113</v>
      </c>
      <c r="C12671" s="0" t="n">
        <v>3967133</v>
      </c>
      <c r="D12671" s="0" t="s">
        <v>42079</v>
      </c>
      <c r="E12671" s="0" t="s">
        <v>42080</v>
      </c>
      <c r="F12671" s="0" t="s">
        <v>90</v>
      </c>
      <c r="G12671" s="0" t="s">
        <v>20</v>
      </c>
      <c r="H12671" s="0" t="n">
        <v>77</v>
      </c>
      <c r="I12671" s="0" t="s">
        <v>42090</v>
      </c>
      <c r="J12671" s="0" t="s">
        <v>42091</v>
      </c>
      <c r="K12671" s="0" t="s">
        <v>42092</v>
      </c>
      <c r="L12671" s="0" t="str">
        <f aca="false">HYPERLINK("https://www.ncbi.nlm.nih.gov/nuccore/CP000058.1?report=graph&amp;tracks=[key:gene_model_track,Options:GeneOnly]&amp;mk=3967184:3967203|offset_7|444444,3967161:3967180|offset_30|444444,3967136:3967155|offset_55|444444,3967114:3967133|offset_77|00cc00&amp;v=3966983:3967333&amp;c=444444", "offset 77")</f>
        <v>offset 77</v>
      </c>
    </row>
    <row r="12672" customFormat="false" ht="12.8" hidden="false" customHeight="false" outlineLevel="0" collapsed="false">
      <c r="A12672" s="0" t="s">
        <v>12</v>
      </c>
      <c r="B12672" s="0" t="n">
        <v>3967363</v>
      </c>
      <c r="C12672" s="0" t="n">
        <v>3967383</v>
      </c>
      <c r="D12672" s="0" t="s">
        <v>42093</v>
      </c>
      <c r="E12672" s="0" t="s">
        <v>42094</v>
      </c>
      <c r="F12672" s="0" t="s">
        <v>15</v>
      </c>
      <c r="G12672" s="0" t="s">
        <v>32</v>
      </c>
      <c r="H12672" s="0" t="n">
        <v>1</v>
      </c>
      <c r="I12672" s="0" t="s">
        <v>42095</v>
      </c>
      <c r="J12672" s="0" t="s">
        <v>42096</v>
      </c>
      <c r="K12672" s="0" t="s">
        <v>42097</v>
      </c>
      <c r="L12672" s="0" t="str">
        <f aca="false">HYPERLINK("https://www.ncbi.nlm.nih.gov/nuccore/CP000058.1?report=graph&amp;tracks=[key:gene_model_track,Options:GeneOnly]&amp;mk=3967364:3967383|offset_1|00cc00,3967398:3967417|offset_35|444444,3967419:3967438|offset_56|444444,3967470:3967489|offset_107|444444&amp;v=3967163:3967689&amp;c=444444", "offset 1")</f>
        <v>offset 1</v>
      </c>
    </row>
    <row r="12673" customFormat="false" ht="12.8" hidden="false" customHeight="false" outlineLevel="0" collapsed="false">
      <c r="A12673" s="0" t="s">
        <v>12</v>
      </c>
      <c r="B12673" s="0" t="n">
        <v>3967397</v>
      </c>
      <c r="C12673" s="0" t="n">
        <v>3967417</v>
      </c>
      <c r="D12673" s="0" t="s">
        <v>42093</v>
      </c>
      <c r="E12673" s="0" t="s">
        <v>42094</v>
      </c>
      <c r="F12673" s="0" t="s">
        <v>15</v>
      </c>
      <c r="G12673" s="0" t="s">
        <v>36</v>
      </c>
      <c r="H12673" s="0" t="n">
        <v>35</v>
      </c>
      <c r="I12673" s="0" t="s">
        <v>42098</v>
      </c>
      <c r="J12673" s="0" t="s">
        <v>42099</v>
      </c>
      <c r="K12673" s="0" t="s">
        <v>42100</v>
      </c>
      <c r="L12673" s="0" t="str">
        <f aca="false">HYPERLINK("https://www.ncbi.nlm.nih.gov/nuccore/CP000058.1?report=graph&amp;tracks=[key:gene_model_track,Options:GeneOnly]&amp;mk=3967364:3967383|offset_1|444444,3967398:3967417|offset_35|00cc00,3967419:3967438|offset_56|444444,3967470:3967489|offset_107|444444&amp;v=3967163:3967689&amp;c=444444", "offset 35")</f>
        <v>offset 35</v>
      </c>
    </row>
    <row r="12674" customFormat="false" ht="12.8" hidden="false" customHeight="false" outlineLevel="0" collapsed="false">
      <c r="A12674" s="0" t="s">
        <v>12</v>
      </c>
      <c r="B12674" s="0" t="n">
        <v>3967418</v>
      </c>
      <c r="C12674" s="0" t="n">
        <v>3967438</v>
      </c>
      <c r="D12674" s="0" t="s">
        <v>42093</v>
      </c>
      <c r="E12674" s="0" t="s">
        <v>42094</v>
      </c>
      <c r="F12674" s="0" t="s">
        <v>15</v>
      </c>
      <c r="G12674" s="0" t="s">
        <v>32</v>
      </c>
      <c r="H12674" s="0" t="n">
        <v>56</v>
      </c>
      <c r="I12674" s="0" t="s">
        <v>42101</v>
      </c>
      <c r="J12674" s="0" t="s">
        <v>42102</v>
      </c>
      <c r="K12674" s="0" t="s">
        <v>42103</v>
      </c>
      <c r="L12674" s="0" t="str">
        <f aca="false">HYPERLINK("https://www.ncbi.nlm.nih.gov/nuccore/CP000058.1?report=graph&amp;tracks=[key:gene_model_track,Options:GeneOnly]&amp;mk=3967364:3967383|offset_1|444444,3967398:3967417|offset_35|444444,3967419:3967438|offset_56|00cc00,3967470:3967489|offset_107|444444&amp;v=3967163:3967689&amp;c=444444", "offset 56")</f>
        <v>offset 56</v>
      </c>
    </row>
    <row r="12675" customFormat="false" ht="12.8" hidden="false" customHeight="false" outlineLevel="0" collapsed="false">
      <c r="A12675" s="0" t="s">
        <v>12</v>
      </c>
      <c r="B12675" s="0" t="n">
        <v>3967469</v>
      </c>
      <c r="C12675" s="0" t="n">
        <v>3967489</v>
      </c>
      <c r="D12675" s="0" t="s">
        <v>42093</v>
      </c>
      <c r="E12675" s="0" t="s">
        <v>42094</v>
      </c>
      <c r="F12675" s="0" t="s">
        <v>15</v>
      </c>
      <c r="G12675" s="0" t="s">
        <v>36</v>
      </c>
      <c r="H12675" s="0" t="n">
        <v>107</v>
      </c>
      <c r="I12675" s="0" t="s">
        <v>42104</v>
      </c>
      <c r="J12675" s="0" t="s">
        <v>42105</v>
      </c>
      <c r="K12675" s="0" t="s">
        <v>42106</v>
      </c>
      <c r="L12675" s="0" t="str">
        <f aca="false">HYPERLINK("https://www.ncbi.nlm.nih.gov/nuccore/CP000058.1?report=graph&amp;tracks=[key:gene_model_track,Options:GeneOnly]&amp;mk=3967364:3967383|offset_1|444444,3967398:3967417|offset_35|444444,3967419:3967438|offset_56|444444,3967470:3967489|offset_107|00cc00&amp;v=3967163:3967689&amp;c=444444", "offset 107")</f>
        <v>offset 107</v>
      </c>
    </row>
    <row r="12676" customFormat="false" ht="12.8" hidden="false" customHeight="false" outlineLevel="0" collapsed="false">
      <c r="A12676" s="0" t="s">
        <v>12</v>
      </c>
      <c r="B12676" s="0" t="n">
        <v>3968844</v>
      </c>
      <c r="C12676" s="0" t="n">
        <v>3968864</v>
      </c>
      <c r="D12676" s="0" t="s">
        <v>42107</v>
      </c>
      <c r="E12676" s="0" t="s">
        <v>75</v>
      </c>
      <c r="F12676" s="0" t="s">
        <v>15</v>
      </c>
      <c r="G12676" s="0" t="s">
        <v>32</v>
      </c>
      <c r="H12676" s="0" t="n">
        <v>1</v>
      </c>
      <c r="I12676" s="0" t="s">
        <v>42108</v>
      </c>
      <c r="J12676" s="0" t="s">
        <v>42109</v>
      </c>
      <c r="K12676" s="0" t="s">
        <v>42110</v>
      </c>
      <c r="L12676" s="0" t="str">
        <f aca="false">HYPERLINK("https://www.ncbi.nlm.nih.gov/nuccore/CP000058.1?report=graph&amp;tracks=[key:gene_model_track,Options:GeneOnly]&amp;mk=3968845:3968864|offset_1|00cc00,3968900:3968919|offset_56|444444,3968924:3968943|offset_80|444444,3968945:3968964|offset_101|444444&amp;v=3968644:3969164&amp;c=444444", "offset 1")</f>
        <v>offset 1</v>
      </c>
    </row>
    <row r="12677" customFormat="false" ht="12.8" hidden="false" customHeight="false" outlineLevel="0" collapsed="false">
      <c r="A12677" s="0" t="s">
        <v>12</v>
      </c>
      <c r="B12677" s="0" t="n">
        <v>3968899</v>
      </c>
      <c r="C12677" s="0" t="n">
        <v>3968919</v>
      </c>
      <c r="D12677" s="0" t="s">
        <v>42107</v>
      </c>
      <c r="E12677" s="0" t="s">
        <v>75</v>
      </c>
      <c r="F12677" s="0" t="s">
        <v>15</v>
      </c>
      <c r="G12677" s="0" t="s">
        <v>16</v>
      </c>
      <c r="H12677" s="0" t="n">
        <v>56</v>
      </c>
      <c r="I12677" s="0" t="s">
        <v>42111</v>
      </c>
      <c r="J12677" s="0" t="s">
        <v>42112</v>
      </c>
      <c r="K12677" s="0" t="s">
        <v>42113</v>
      </c>
      <c r="L12677" s="0" t="str">
        <f aca="false">HYPERLINK("https://www.ncbi.nlm.nih.gov/nuccore/CP000058.1?report=graph&amp;tracks=[key:gene_model_track,Options:GeneOnly]&amp;mk=3968845:3968864|offset_1|444444,3968900:3968919|offset_56|00cc00,3968924:3968943|offset_80|444444,3968945:3968964|offset_101|444444&amp;v=3968644:3969164&amp;c=444444", "offset 56")</f>
        <v>offset 56</v>
      </c>
    </row>
    <row r="12678" customFormat="false" ht="12.8" hidden="false" customHeight="false" outlineLevel="0" collapsed="false">
      <c r="A12678" s="0" t="s">
        <v>12</v>
      </c>
      <c r="B12678" s="0" t="n">
        <v>3968923</v>
      </c>
      <c r="C12678" s="0" t="n">
        <v>3968943</v>
      </c>
      <c r="D12678" s="0" t="s">
        <v>42107</v>
      </c>
      <c r="E12678" s="0" t="s">
        <v>75</v>
      </c>
      <c r="F12678" s="0" t="s">
        <v>15</v>
      </c>
      <c r="G12678" s="0" t="s">
        <v>36</v>
      </c>
      <c r="H12678" s="0" t="n">
        <v>80</v>
      </c>
      <c r="I12678" s="0" t="s">
        <v>42114</v>
      </c>
      <c r="J12678" s="0" t="s">
        <v>42115</v>
      </c>
      <c r="K12678" s="0" t="s">
        <v>42116</v>
      </c>
      <c r="L12678" s="0" t="str">
        <f aca="false">HYPERLINK("https://www.ncbi.nlm.nih.gov/nuccore/CP000058.1?report=graph&amp;tracks=[key:gene_model_track,Options:GeneOnly]&amp;mk=3968845:3968864|offset_1|444444,3968900:3968919|offset_56|444444,3968924:3968943|offset_80|00cc00,3968945:3968964|offset_101|444444&amp;v=3968644:3969164&amp;c=444444", "offset 80")</f>
        <v>offset 80</v>
      </c>
    </row>
    <row r="12679" customFormat="false" ht="12.8" hidden="false" customHeight="false" outlineLevel="0" collapsed="false">
      <c r="A12679" s="0" t="s">
        <v>12</v>
      </c>
      <c r="B12679" s="0" t="n">
        <v>3968944</v>
      </c>
      <c r="C12679" s="0" t="n">
        <v>3968964</v>
      </c>
      <c r="D12679" s="0" t="s">
        <v>42107</v>
      </c>
      <c r="E12679" s="0" t="s">
        <v>75</v>
      </c>
      <c r="F12679" s="0" t="s">
        <v>15</v>
      </c>
      <c r="G12679" s="0" t="s">
        <v>20</v>
      </c>
      <c r="H12679" s="0" t="n">
        <v>101</v>
      </c>
      <c r="I12679" s="0" t="s">
        <v>42117</v>
      </c>
      <c r="J12679" s="0" t="s">
        <v>42118</v>
      </c>
      <c r="K12679" s="0" t="s">
        <v>42119</v>
      </c>
      <c r="L12679" s="0" t="str">
        <f aca="false">HYPERLINK("https://www.ncbi.nlm.nih.gov/nuccore/CP000058.1?report=graph&amp;tracks=[key:gene_model_track,Options:GeneOnly]&amp;mk=3968845:3968864|offset_1|444444,3968900:3968919|offset_56|444444,3968924:3968943|offset_80|444444,3968945:3968964|offset_101|00cc00&amp;v=3968644:3969164&amp;c=444444", "offset 101")</f>
        <v>offset 101</v>
      </c>
    </row>
    <row r="12680" customFormat="false" ht="12.8" hidden="false" customHeight="false" outlineLevel="0" collapsed="false">
      <c r="A12680" s="0" t="s">
        <v>12</v>
      </c>
      <c r="B12680" s="0" t="n">
        <v>3969132</v>
      </c>
      <c r="C12680" s="0" t="n">
        <v>3969152</v>
      </c>
      <c r="D12680" s="0" t="s">
        <v>42120</v>
      </c>
      <c r="E12680" s="0" t="s">
        <v>75</v>
      </c>
      <c r="F12680" s="0" t="s">
        <v>15</v>
      </c>
      <c r="G12680" s="0" t="s">
        <v>36</v>
      </c>
      <c r="H12680" s="0" t="n">
        <v>32</v>
      </c>
      <c r="I12680" s="0" t="s">
        <v>42121</v>
      </c>
      <c r="J12680" s="0" t="s">
        <v>42122</v>
      </c>
      <c r="K12680" s="0" t="s">
        <v>42123</v>
      </c>
      <c r="L12680" s="0" t="str">
        <f aca="false">HYPERLINK("https://www.ncbi.nlm.nih.gov/nuccore/CP000058.1?report=graph&amp;tracks=[key:gene_model_track,Options:GeneOnly]&amp;mk=3969133:3969152|offset_32|00cc00,3969165:3969184|offset_64|444444,3969189:3969208|offset_88|444444,3969240:3969259|offset_139|444444&amp;v=3968932:3969459&amp;c=444444", "offset 32")</f>
        <v>offset 32</v>
      </c>
    </row>
    <row r="12681" customFormat="false" ht="12.8" hidden="false" customHeight="false" outlineLevel="0" collapsed="false">
      <c r="A12681" s="0" t="s">
        <v>12</v>
      </c>
      <c r="B12681" s="0" t="n">
        <v>3969164</v>
      </c>
      <c r="C12681" s="0" t="n">
        <v>3969184</v>
      </c>
      <c r="D12681" s="0" t="s">
        <v>42120</v>
      </c>
      <c r="E12681" s="0" t="s">
        <v>75</v>
      </c>
      <c r="F12681" s="0" t="s">
        <v>15</v>
      </c>
      <c r="G12681" s="0" t="s">
        <v>32</v>
      </c>
      <c r="H12681" s="0" t="n">
        <v>64</v>
      </c>
      <c r="I12681" s="0" t="s">
        <v>42124</v>
      </c>
      <c r="J12681" s="0" t="s">
        <v>42125</v>
      </c>
      <c r="K12681" s="0" t="s">
        <v>42126</v>
      </c>
      <c r="L12681" s="0" t="str">
        <f aca="false">HYPERLINK("https://www.ncbi.nlm.nih.gov/nuccore/CP000058.1?report=graph&amp;tracks=[key:gene_model_track,Options:GeneOnly]&amp;mk=3969133:3969152|offset_32|444444,3969165:3969184|offset_64|00cc00,3969189:3969208|offset_88|444444,3969240:3969259|offset_139|444444&amp;v=3968932:3969459&amp;c=444444", "offset 64")</f>
        <v>offset 64</v>
      </c>
    </row>
    <row r="12682" customFormat="false" ht="12.8" hidden="false" customHeight="false" outlineLevel="0" collapsed="false">
      <c r="A12682" s="0" t="s">
        <v>12</v>
      </c>
      <c r="B12682" s="0" t="n">
        <v>3969188</v>
      </c>
      <c r="C12682" s="0" t="n">
        <v>3969208</v>
      </c>
      <c r="D12682" s="0" t="s">
        <v>42120</v>
      </c>
      <c r="E12682" s="0" t="s">
        <v>75</v>
      </c>
      <c r="F12682" s="0" t="s">
        <v>15</v>
      </c>
      <c r="G12682" s="0" t="s">
        <v>32</v>
      </c>
      <c r="H12682" s="0" t="n">
        <v>88</v>
      </c>
      <c r="I12682" s="0" t="s">
        <v>42127</v>
      </c>
      <c r="J12682" s="0" t="s">
        <v>42128</v>
      </c>
      <c r="K12682" s="0" t="s">
        <v>42129</v>
      </c>
      <c r="L12682" s="0" t="str">
        <f aca="false">HYPERLINK("https://www.ncbi.nlm.nih.gov/nuccore/CP000058.1?report=graph&amp;tracks=[key:gene_model_track,Options:GeneOnly]&amp;mk=3969133:3969152|offset_32|444444,3969165:3969184|offset_64|444444,3969189:3969208|offset_88|00cc00,3969240:3969259|offset_139|444444&amp;v=3968932:3969459&amp;c=444444", "offset 88")</f>
        <v>offset 88</v>
      </c>
    </row>
    <row r="12683" customFormat="false" ht="12.8" hidden="false" customHeight="false" outlineLevel="0" collapsed="false">
      <c r="A12683" s="0" t="s">
        <v>12</v>
      </c>
      <c r="B12683" s="0" t="n">
        <v>3969239</v>
      </c>
      <c r="C12683" s="0" t="n">
        <v>3969259</v>
      </c>
      <c r="D12683" s="0" t="s">
        <v>42120</v>
      </c>
      <c r="E12683" s="0" t="s">
        <v>75</v>
      </c>
      <c r="F12683" s="0" t="s">
        <v>15</v>
      </c>
      <c r="G12683" s="0" t="s">
        <v>32</v>
      </c>
      <c r="H12683" s="0" t="n">
        <v>139</v>
      </c>
      <c r="I12683" s="0" t="s">
        <v>42130</v>
      </c>
      <c r="J12683" s="0" t="s">
        <v>42131</v>
      </c>
      <c r="K12683" s="0" t="s">
        <v>42132</v>
      </c>
      <c r="L12683" s="0" t="str">
        <f aca="false">HYPERLINK("https://www.ncbi.nlm.nih.gov/nuccore/CP000058.1?report=graph&amp;tracks=[key:gene_model_track,Options:GeneOnly]&amp;mk=3969133:3969152|offset_32|444444,3969165:3969184|offset_64|444444,3969189:3969208|offset_88|444444,3969240:3969259|offset_139|00cc00&amp;v=3968932:3969459&amp;c=444444", "offset 139")</f>
        <v>offset 139</v>
      </c>
    </row>
    <row r="12684" customFormat="false" ht="12.8" hidden="false" customHeight="false" outlineLevel="0" collapsed="false">
      <c r="A12684" s="0" t="s">
        <v>12</v>
      </c>
      <c r="B12684" s="0" t="n">
        <v>3969422</v>
      </c>
      <c r="C12684" s="0" t="n">
        <v>3969442</v>
      </c>
      <c r="D12684" s="0" t="s">
        <v>42133</v>
      </c>
      <c r="E12684" s="0" t="s">
        <v>42134</v>
      </c>
      <c r="F12684" s="0" t="s">
        <v>15</v>
      </c>
      <c r="G12684" s="0" t="s">
        <v>36</v>
      </c>
      <c r="H12684" s="0" t="n">
        <v>27</v>
      </c>
      <c r="I12684" s="0" t="s">
        <v>42135</v>
      </c>
      <c r="J12684" s="0" t="s">
        <v>42136</v>
      </c>
      <c r="K12684" s="0" t="s">
        <v>42137</v>
      </c>
      <c r="L12684" s="0" t="str">
        <f aca="false">HYPERLINK("https://www.ncbi.nlm.nih.gov/nuccore/CP000058.1?report=graph&amp;tracks=[key:gene_model_track,Options:GeneOnly]&amp;mk=3969423:3969442|offset_27|00cc00,3969451:3969470|offset_55|444444,3969490:3969509|offset_94|444444,3969511:3969530|offset_115|444444&amp;v=3969222:3969730&amp;c=444444", "offset 27")</f>
        <v>offset 27</v>
      </c>
    </row>
    <row r="12685" customFormat="false" ht="12.8" hidden="false" customHeight="false" outlineLevel="0" collapsed="false">
      <c r="A12685" s="0" t="s">
        <v>12</v>
      </c>
      <c r="B12685" s="0" t="n">
        <v>3969450</v>
      </c>
      <c r="C12685" s="0" t="n">
        <v>3969470</v>
      </c>
      <c r="D12685" s="0" t="s">
        <v>42133</v>
      </c>
      <c r="E12685" s="0" t="s">
        <v>42134</v>
      </c>
      <c r="F12685" s="0" t="s">
        <v>15</v>
      </c>
      <c r="G12685" s="0" t="s">
        <v>16</v>
      </c>
      <c r="H12685" s="0" t="n">
        <v>55</v>
      </c>
      <c r="I12685" s="0" t="s">
        <v>42138</v>
      </c>
      <c r="J12685" s="0" t="s">
        <v>42139</v>
      </c>
      <c r="K12685" s="0" t="s">
        <v>42140</v>
      </c>
      <c r="L12685" s="0" t="str">
        <f aca="false">HYPERLINK("https://www.ncbi.nlm.nih.gov/nuccore/CP000058.1?report=graph&amp;tracks=[key:gene_model_track,Options:GeneOnly]&amp;mk=3969423:3969442|offset_27|444444,3969451:3969470|offset_55|00cc00,3969490:3969509|offset_94|444444,3969511:3969530|offset_115|444444&amp;v=3969222:3969730&amp;c=444444", "offset 55")</f>
        <v>offset 55</v>
      </c>
    </row>
    <row r="12686" customFormat="false" ht="12.8" hidden="false" customHeight="false" outlineLevel="0" collapsed="false">
      <c r="A12686" s="0" t="s">
        <v>12</v>
      </c>
      <c r="B12686" s="0" t="n">
        <v>3969489</v>
      </c>
      <c r="C12686" s="0" t="n">
        <v>3969509</v>
      </c>
      <c r="D12686" s="0" t="s">
        <v>42133</v>
      </c>
      <c r="E12686" s="0" t="s">
        <v>42134</v>
      </c>
      <c r="F12686" s="0" t="s">
        <v>15</v>
      </c>
      <c r="G12686" s="0" t="s">
        <v>36</v>
      </c>
      <c r="H12686" s="0" t="n">
        <v>94</v>
      </c>
      <c r="I12686" s="0" t="s">
        <v>42141</v>
      </c>
      <c r="J12686" s="0" t="s">
        <v>42142</v>
      </c>
      <c r="K12686" s="0" t="s">
        <v>42143</v>
      </c>
      <c r="L12686" s="0" t="str">
        <f aca="false">HYPERLINK("https://www.ncbi.nlm.nih.gov/nuccore/CP000058.1?report=graph&amp;tracks=[key:gene_model_track,Options:GeneOnly]&amp;mk=3969423:3969442|offset_27|444444,3969451:3969470|offset_55|444444,3969490:3969509|offset_94|00cc00,3969511:3969530|offset_115|444444&amp;v=3969222:3969730&amp;c=444444", "offset 94")</f>
        <v>offset 94</v>
      </c>
    </row>
    <row r="12687" customFormat="false" ht="12.8" hidden="false" customHeight="false" outlineLevel="0" collapsed="false">
      <c r="A12687" s="0" t="s">
        <v>12</v>
      </c>
      <c r="B12687" s="0" t="n">
        <v>3969510</v>
      </c>
      <c r="C12687" s="0" t="n">
        <v>3969530</v>
      </c>
      <c r="D12687" s="0" t="s">
        <v>42133</v>
      </c>
      <c r="E12687" s="0" t="s">
        <v>42134</v>
      </c>
      <c r="F12687" s="0" t="s">
        <v>15</v>
      </c>
      <c r="G12687" s="0" t="s">
        <v>20</v>
      </c>
      <c r="H12687" s="0" t="n">
        <v>115</v>
      </c>
      <c r="I12687" s="0" t="s">
        <v>42144</v>
      </c>
      <c r="J12687" s="0" t="s">
        <v>42145</v>
      </c>
      <c r="K12687" s="0" t="s">
        <v>42146</v>
      </c>
      <c r="L12687" s="0" t="str">
        <f aca="false">HYPERLINK("https://www.ncbi.nlm.nih.gov/nuccore/CP000058.1?report=graph&amp;tracks=[key:gene_model_track,Options:GeneOnly]&amp;mk=3969423:3969442|offset_27|444444,3969451:3969470|offset_55|444444,3969490:3969509|offset_94|444444,3969511:3969530|offset_115|00cc00&amp;v=3969222:3969730&amp;c=444444", "offset 115")</f>
        <v>offset 115</v>
      </c>
    </row>
    <row r="12688" customFormat="false" ht="12.8" hidden="false" customHeight="false" outlineLevel="0" collapsed="false">
      <c r="A12688" s="0" t="s">
        <v>12</v>
      </c>
      <c r="B12688" s="0" t="n">
        <v>3970517</v>
      </c>
      <c r="C12688" s="0" t="n">
        <v>3970537</v>
      </c>
      <c r="D12688" s="0" t="s">
        <v>42147</v>
      </c>
      <c r="E12688" s="0" t="s">
        <v>75</v>
      </c>
      <c r="F12688" s="0" t="s">
        <v>15</v>
      </c>
      <c r="G12688" s="0" t="s">
        <v>20</v>
      </c>
      <c r="H12688" s="0" t="n">
        <v>10</v>
      </c>
      <c r="I12688" s="0" t="s">
        <v>42148</v>
      </c>
      <c r="J12688" s="0" t="s">
        <v>42149</v>
      </c>
      <c r="K12688" s="0" t="s">
        <v>42150</v>
      </c>
      <c r="L12688" s="0" t="str">
        <f aca="false">HYPERLINK("https://www.ncbi.nlm.nih.gov/nuccore/CP000058.1?report=graph&amp;tracks=[key:gene_model_track,Options:GeneOnly]&amp;mk=3970518:3970537|offset_10|00cc00,3970578:3970597|offset_70|444444,3970611:3970630|offset_103|444444,3970632:3970651|offset_124|444444&amp;v=3970317:3970851&amp;c=444444", "offset 10")</f>
        <v>offset 10</v>
      </c>
    </row>
    <row r="12689" customFormat="false" ht="12.8" hidden="false" customHeight="false" outlineLevel="0" collapsed="false">
      <c r="A12689" s="0" t="s">
        <v>12</v>
      </c>
      <c r="B12689" s="0" t="n">
        <v>3970577</v>
      </c>
      <c r="C12689" s="0" t="n">
        <v>3970597</v>
      </c>
      <c r="D12689" s="0" t="s">
        <v>42147</v>
      </c>
      <c r="E12689" s="0" t="s">
        <v>75</v>
      </c>
      <c r="F12689" s="0" t="s">
        <v>15</v>
      </c>
      <c r="G12689" s="0" t="s">
        <v>32</v>
      </c>
      <c r="H12689" s="0" t="n">
        <v>70</v>
      </c>
      <c r="I12689" s="0" t="s">
        <v>42151</v>
      </c>
      <c r="J12689" s="0" t="s">
        <v>42152</v>
      </c>
      <c r="K12689" s="0" t="s">
        <v>42153</v>
      </c>
      <c r="L12689" s="0" t="str">
        <f aca="false">HYPERLINK("https://www.ncbi.nlm.nih.gov/nuccore/CP000058.1?report=graph&amp;tracks=[key:gene_model_track,Options:GeneOnly]&amp;mk=3970518:3970537|offset_10|444444,3970578:3970597|offset_70|00cc00,3970611:3970630|offset_103|444444,3970632:3970651|offset_124|444444&amp;v=3970317:3970851&amp;c=444444", "offset 70")</f>
        <v>offset 70</v>
      </c>
    </row>
    <row r="12690" customFormat="false" ht="12.8" hidden="false" customHeight="false" outlineLevel="0" collapsed="false">
      <c r="A12690" s="0" t="s">
        <v>12</v>
      </c>
      <c r="B12690" s="0" t="n">
        <v>3970610</v>
      </c>
      <c r="C12690" s="0" t="n">
        <v>3970630</v>
      </c>
      <c r="D12690" s="0" t="s">
        <v>42147</v>
      </c>
      <c r="E12690" s="0" t="s">
        <v>75</v>
      </c>
      <c r="F12690" s="0" t="s">
        <v>15</v>
      </c>
      <c r="G12690" s="0" t="s">
        <v>32</v>
      </c>
      <c r="H12690" s="0" t="n">
        <v>103</v>
      </c>
      <c r="I12690" s="0" t="s">
        <v>42154</v>
      </c>
      <c r="J12690" s="0" t="s">
        <v>42155</v>
      </c>
      <c r="K12690" s="0" t="s">
        <v>42156</v>
      </c>
      <c r="L12690" s="0" t="str">
        <f aca="false">HYPERLINK("https://www.ncbi.nlm.nih.gov/nuccore/CP000058.1?report=graph&amp;tracks=[key:gene_model_track,Options:GeneOnly]&amp;mk=3970518:3970537|offset_10|444444,3970578:3970597|offset_70|444444,3970611:3970630|offset_103|00cc00,3970632:3970651|offset_124|444444&amp;v=3970317:3970851&amp;c=444444", "offset 103")</f>
        <v>offset 103</v>
      </c>
    </row>
    <row r="12691" customFormat="false" ht="12.8" hidden="false" customHeight="false" outlineLevel="0" collapsed="false">
      <c r="A12691" s="0" t="s">
        <v>12</v>
      </c>
      <c r="B12691" s="0" t="n">
        <v>3970631</v>
      </c>
      <c r="C12691" s="0" t="n">
        <v>3970651</v>
      </c>
      <c r="D12691" s="0" t="s">
        <v>42147</v>
      </c>
      <c r="E12691" s="0" t="s">
        <v>75</v>
      </c>
      <c r="F12691" s="0" t="s">
        <v>15</v>
      </c>
      <c r="G12691" s="0" t="s">
        <v>20</v>
      </c>
      <c r="H12691" s="0" t="n">
        <v>124</v>
      </c>
      <c r="I12691" s="0" t="s">
        <v>42157</v>
      </c>
      <c r="J12691" s="0" t="s">
        <v>42158</v>
      </c>
      <c r="K12691" s="0" t="s">
        <v>42159</v>
      </c>
      <c r="L12691" s="0" t="str">
        <f aca="false">HYPERLINK("https://www.ncbi.nlm.nih.gov/nuccore/CP000058.1?report=graph&amp;tracks=[key:gene_model_track,Options:GeneOnly]&amp;mk=3970518:3970537|offset_10|444444,3970578:3970597|offset_70|444444,3970611:3970630|offset_103|444444,3970632:3970651|offset_124|00cc00&amp;v=3970317:3970851&amp;c=444444", "offset 124")</f>
        <v>offset 124</v>
      </c>
    </row>
    <row r="12692" customFormat="false" ht="12.8" hidden="false" customHeight="false" outlineLevel="0" collapsed="false">
      <c r="A12692" s="0" t="s">
        <v>12</v>
      </c>
      <c r="B12692" s="0" t="n">
        <v>3971928</v>
      </c>
      <c r="C12692" s="0" t="n">
        <v>3971948</v>
      </c>
      <c r="D12692" s="0" t="s">
        <v>42160</v>
      </c>
      <c r="E12692" s="0" t="s">
        <v>75</v>
      </c>
      <c r="F12692" s="0" t="s">
        <v>15</v>
      </c>
      <c r="G12692" s="0" t="s">
        <v>36</v>
      </c>
      <c r="H12692" s="0" t="n">
        <v>82</v>
      </c>
      <c r="I12692" s="0" t="s">
        <v>42161</v>
      </c>
      <c r="J12692" s="0" t="s">
        <v>42162</v>
      </c>
      <c r="K12692" s="0" t="s">
        <v>42163</v>
      </c>
      <c r="L12692" s="0" t="str">
        <f aca="false">HYPERLINK("https://www.ncbi.nlm.nih.gov/nuccore/CP000058.1?report=graph&amp;tracks=[key:gene_model_track,Options:GeneOnly]&amp;mk=3971929:3971948|offset_82|00cc00,3971949:3971968|offset_102|444444,3971969:3971988|offset_122|444444,3971995:3972014|offset_148|444444&amp;v=3971728:3972214&amp;c=444444", "offset 82")</f>
        <v>offset 82</v>
      </c>
    </row>
    <row r="12693" customFormat="false" ht="12.8" hidden="false" customHeight="false" outlineLevel="0" collapsed="false">
      <c r="A12693" s="0" t="s">
        <v>12</v>
      </c>
      <c r="B12693" s="0" t="n">
        <v>3971948</v>
      </c>
      <c r="C12693" s="0" t="n">
        <v>3971968</v>
      </c>
      <c r="D12693" s="0" t="s">
        <v>42160</v>
      </c>
      <c r="E12693" s="0" t="s">
        <v>75</v>
      </c>
      <c r="F12693" s="0" t="s">
        <v>15</v>
      </c>
      <c r="G12693" s="0" t="s">
        <v>32</v>
      </c>
      <c r="H12693" s="0" t="n">
        <v>102</v>
      </c>
      <c r="I12693" s="0" t="s">
        <v>42164</v>
      </c>
      <c r="J12693" s="0" t="s">
        <v>42165</v>
      </c>
      <c r="K12693" s="0" t="s">
        <v>42166</v>
      </c>
      <c r="L12693" s="0" t="str">
        <f aca="false">HYPERLINK("https://www.ncbi.nlm.nih.gov/nuccore/CP000058.1?report=graph&amp;tracks=[key:gene_model_track,Options:GeneOnly]&amp;mk=3971929:3971948|offset_82|444444,3971949:3971968|offset_102|00cc00,3971969:3971988|offset_122|444444,3971995:3972014|offset_148|444444&amp;v=3971728:3972214&amp;c=444444", "offset 102")</f>
        <v>offset 102</v>
      </c>
    </row>
    <row r="12694" customFormat="false" ht="12.8" hidden="false" customHeight="false" outlineLevel="0" collapsed="false">
      <c r="A12694" s="0" t="s">
        <v>12</v>
      </c>
      <c r="B12694" s="0" t="n">
        <v>3971968</v>
      </c>
      <c r="C12694" s="0" t="n">
        <v>3971988</v>
      </c>
      <c r="D12694" s="0" t="s">
        <v>42160</v>
      </c>
      <c r="E12694" s="0" t="s">
        <v>75</v>
      </c>
      <c r="F12694" s="0" t="s">
        <v>15</v>
      </c>
      <c r="G12694" s="0" t="s">
        <v>32</v>
      </c>
      <c r="H12694" s="0" t="n">
        <v>122</v>
      </c>
      <c r="I12694" s="0" t="s">
        <v>42167</v>
      </c>
      <c r="J12694" s="0" t="s">
        <v>42168</v>
      </c>
      <c r="K12694" s="0" t="s">
        <v>42169</v>
      </c>
      <c r="L12694" s="0" t="str">
        <f aca="false">HYPERLINK("https://www.ncbi.nlm.nih.gov/nuccore/CP000058.1?report=graph&amp;tracks=[key:gene_model_track,Options:GeneOnly]&amp;mk=3971929:3971948|offset_82|444444,3971949:3971968|offset_102|444444,3971969:3971988|offset_122|00cc00,3971995:3972014|offset_148|444444&amp;v=3971728:3972214&amp;c=444444", "offset 122")</f>
        <v>offset 122</v>
      </c>
    </row>
    <row r="12695" customFormat="false" ht="12.8" hidden="false" customHeight="false" outlineLevel="0" collapsed="false">
      <c r="A12695" s="0" t="s">
        <v>12</v>
      </c>
      <c r="B12695" s="0" t="n">
        <v>3971994</v>
      </c>
      <c r="C12695" s="0" t="n">
        <v>3972014</v>
      </c>
      <c r="D12695" s="0" t="s">
        <v>42160</v>
      </c>
      <c r="E12695" s="0" t="s">
        <v>75</v>
      </c>
      <c r="F12695" s="0" t="s">
        <v>15</v>
      </c>
      <c r="G12695" s="0" t="s">
        <v>16</v>
      </c>
      <c r="H12695" s="0" t="n">
        <v>148</v>
      </c>
      <c r="I12695" s="0" t="s">
        <v>42170</v>
      </c>
      <c r="J12695" s="0" t="s">
        <v>42171</v>
      </c>
      <c r="K12695" s="0" t="s">
        <v>42172</v>
      </c>
      <c r="L12695" s="0" t="str">
        <f aca="false">HYPERLINK("https://www.ncbi.nlm.nih.gov/nuccore/CP000058.1?report=graph&amp;tracks=[key:gene_model_track,Options:GeneOnly]&amp;mk=3971929:3971948|offset_82|444444,3971949:3971968|offset_102|444444,3971969:3971988|offset_122|444444,3971995:3972014|offset_148|00cc00&amp;v=3971728:3972214&amp;c=444444", "offset 148")</f>
        <v>offset 148</v>
      </c>
    </row>
    <row r="12696" customFormat="false" ht="12.8" hidden="false" customHeight="false" outlineLevel="0" collapsed="false">
      <c r="A12696" s="0" t="s">
        <v>12</v>
      </c>
      <c r="B12696" s="0" t="n">
        <v>3973094</v>
      </c>
      <c r="C12696" s="0" t="n">
        <v>3973114</v>
      </c>
      <c r="D12696" s="0" t="s">
        <v>42173</v>
      </c>
      <c r="E12696" s="0" t="s">
        <v>75</v>
      </c>
      <c r="F12696" s="0" t="s">
        <v>15</v>
      </c>
      <c r="G12696" s="0" t="s">
        <v>36</v>
      </c>
      <c r="H12696" s="0" t="n">
        <v>6</v>
      </c>
      <c r="I12696" s="0" t="s">
        <v>42174</v>
      </c>
      <c r="J12696" s="0" t="s">
        <v>42175</v>
      </c>
      <c r="K12696" s="0" t="s">
        <v>42176</v>
      </c>
      <c r="L12696" s="0" t="str">
        <f aca="false">HYPERLINK("https://www.ncbi.nlm.nih.gov/nuccore/CP000058.1?report=graph&amp;tracks=[key:gene_model_track,Options:GeneOnly]&amp;mk=3973095:3973114|offset_6|00cc00,3973123:3973142|offset_34|444444,3973150:3973169|offset_61|444444,3973178:3973197|offset_89|444444&amp;v=3972894:3973397&amp;c=444444", "offset 6")</f>
        <v>offset 6</v>
      </c>
    </row>
    <row r="12697" customFormat="false" ht="12.8" hidden="false" customHeight="false" outlineLevel="0" collapsed="false">
      <c r="A12697" s="0" t="s">
        <v>12</v>
      </c>
      <c r="B12697" s="0" t="n">
        <v>3973122</v>
      </c>
      <c r="C12697" s="0" t="n">
        <v>3973142</v>
      </c>
      <c r="D12697" s="0" t="s">
        <v>42173</v>
      </c>
      <c r="E12697" s="0" t="s">
        <v>75</v>
      </c>
      <c r="F12697" s="0" t="s">
        <v>15</v>
      </c>
      <c r="G12697" s="0" t="s">
        <v>16</v>
      </c>
      <c r="H12697" s="0" t="n">
        <v>34</v>
      </c>
      <c r="I12697" s="0" t="s">
        <v>42177</v>
      </c>
      <c r="J12697" s="0" t="s">
        <v>42178</v>
      </c>
      <c r="K12697" s="0" t="s">
        <v>42179</v>
      </c>
      <c r="L12697" s="0" t="str">
        <f aca="false">HYPERLINK("https://www.ncbi.nlm.nih.gov/nuccore/CP000058.1?report=graph&amp;tracks=[key:gene_model_track,Options:GeneOnly]&amp;mk=3973095:3973114|offset_6|444444,3973123:3973142|offset_34|00cc00,3973150:3973169|offset_61|444444,3973178:3973197|offset_89|444444&amp;v=3972894:3973397&amp;c=444444", "offset 34")</f>
        <v>offset 34</v>
      </c>
    </row>
    <row r="12698" customFormat="false" ht="12.8" hidden="false" customHeight="false" outlineLevel="0" collapsed="false">
      <c r="A12698" s="0" t="s">
        <v>12</v>
      </c>
      <c r="B12698" s="0" t="n">
        <v>3973149</v>
      </c>
      <c r="C12698" s="0" t="n">
        <v>3973169</v>
      </c>
      <c r="D12698" s="0" t="s">
        <v>42173</v>
      </c>
      <c r="E12698" s="0" t="s">
        <v>75</v>
      </c>
      <c r="F12698" s="0" t="s">
        <v>15</v>
      </c>
      <c r="G12698" s="0" t="s">
        <v>32</v>
      </c>
      <c r="H12698" s="0" t="n">
        <v>61</v>
      </c>
      <c r="I12698" s="0" t="s">
        <v>42180</v>
      </c>
      <c r="J12698" s="0" t="s">
        <v>42181</v>
      </c>
      <c r="K12698" s="0" t="s">
        <v>42182</v>
      </c>
      <c r="L12698" s="0" t="str">
        <f aca="false">HYPERLINK("https://www.ncbi.nlm.nih.gov/nuccore/CP000058.1?report=graph&amp;tracks=[key:gene_model_track,Options:GeneOnly]&amp;mk=3973095:3973114|offset_6|444444,3973123:3973142|offset_34|444444,3973150:3973169|offset_61|00cc00,3973178:3973197|offset_89|444444&amp;v=3972894:3973397&amp;c=444444", "offset 61")</f>
        <v>offset 61</v>
      </c>
    </row>
    <row r="12699" customFormat="false" ht="12.8" hidden="false" customHeight="false" outlineLevel="0" collapsed="false">
      <c r="A12699" s="0" t="s">
        <v>12</v>
      </c>
      <c r="B12699" s="0" t="n">
        <v>3973177</v>
      </c>
      <c r="C12699" s="0" t="n">
        <v>3973197</v>
      </c>
      <c r="D12699" s="0" t="s">
        <v>42173</v>
      </c>
      <c r="E12699" s="0" t="s">
        <v>75</v>
      </c>
      <c r="F12699" s="0" t="s">
        <v>15</v>
      </c>
      <c r="G12699" s="0" t="s">
        <v>20</v>
      </c>
      <c r="H12699" s="0" t="n">
        <v>89</v>
      </c>
      <c r="I12699" s="0" t="s">
        <v>42183</v>
      </c>
      <c r="J12699" s="0" t="s">
        <v>42184</v>
      </c>
      <c r="K12699" s="0" t="s">
        <v>42185</v>
      </c>
      <c r="L12699" s="0" t="str">
        <f aca="false">HYPERLINK("https://www.ncbi.nlm.nih.gov/nuccore/CP000058.1?report=graph&amp;tracks=[key:gene_model_track,Options:GeneOnly]&amp;mk=3973095:3973114|offset_6|444444,3973123:3973142|offset_34|444444,3973150:3973169|offset_61|444444,3973178:3973197|offset_89|00cc00&amp;v=3972894:3973397&amp;c=444444", "offset 89")</f>
        <v>offset 89</v>
      </c>
    </row>
    <row r="12700" customFormat="false" ht="12.8" hidden="false" customHeight="false" outlineLevel="0" collapsed="false">
      <c r="A12700" s="0" t="s">
        <v>12</v>
      </c>
      <c r="B12700" s="0" t="n">
        <v>3973827</v>
      </c>
      <c r="C12700" s="0" t="n">
        <v>3973847</v>
      </c>
      <c r="D12700" s="0" t="s">
        <v>42186</v>
      </c>
      <c r="E12700" s="0" t="s">
        <v>42187</v>
      </c>
      <c r="F12700" s="0" t="s">
        <v>15</v>
      </c>
      <c r="G12700" s="0" t="s">
        <v>32</v>
      </c>
      <c r="H12700" s="0" t="n">
        <v>13</v>
      </c>
      <c r="I12700" s="0" t="s">
        <v>42188</v>
      </c>
      <c r="J12700" s="0" t="s">
        <v>42189</v>
      </c>
      <c r="K12700" s="0" t="s">
        <v>42190</v>
      </c>
      <c r="L12700" s="0" t="str">
        <f aca="false">HYPERLINK("https://www.ncbi.nlm.nih.gov/nuccore/CP000058.1?report=graph&amp;tracks=[key:gene_model_track,Options:GeneOnly]&amp;mk=3973828:3973847|offset_13|00cc00,3973864:3973883|offset_49|444444,3973894:3973913|offset_79|444444,3973915:3973934|offset_100|444444&amp;v=3973627:3974134&amp;c=444444", "offset 13")</f>
        <v>offset 13</v>
      </c>
    </row>
    <row r="12701" customFormat="false" ht="12.8" hidden="false" customHeight="false" outlineLevel="0" collapsed="false">
      <c r="A12701" s="0" t="s">
        <v>12</v>
      </c>
      <c r="B12701" s="0" t="n">
        <v>3973863</v>
      </c>
      <c r="C12701" s="0" t="n">
        <v>3973883</v>
      </c>
      <c r="D12701" s="0" t="s">
        <v>42186</v>
      </c>
      <c r="E12701" s="0" t="s">
        <v>42187</v>
      </c>
      <c r="F12701" s="0" t="s">
        <v>15</v>
      </c>
      <c r="G12701" s="0" t="s">
        <v>16</v>
      </c>
      <c r="H12701" s="0" t="n">
        <v>49</v>
      </c>
      <c r="I12701" s="0" t="s">
        <v>42191</v>
      </c>
      <c r="J12701" s="0" t="s">
        <v>42192</v>
      </c>
      <c r="K12701" s="0" t="s">
        <v>42193</v>
      </c>
      <c r="L12701" s="0" t="str">
        <f aca="false">HYPERLINK("https://www.ncbi.nlm.nih.gov/nuccore/CP000058.1?report=graph&amp;tracks=[key:gene_model_track,Options:GeneOnly]&amp;mk=3973828:3973847|offset_13|444444,3973864:3973883|offset_49|00cc00,3973894:3973913|offset_79|444444,3973915:3973934|offset_100|444444&amp;v=3973627:3974134&amp;c=444444", "offset 49")</f>
        <v>offset 49</v>
      </c>
    </row>
    <row r="12702" customFormat="false" ht="12.8" hidden="false" customHeight="false" outlineLevel="0" collapsed="false">
      <c r="A12702" s="0" t="s">
        <v>12</v>
      </c>
      <c r="B12702" s="0" t="n">
        <v>3973893</v>
      </c>
      <c r="C12702" s="0" t="n">
        <v>3973913</v>
      </c>
      <c r="D12702" s="0" t="s">
        <v>42186</v>
      </c>
      <c r="E12702" s="0" t="s">
        <v>42187</v>
      </c>
      <c r="F12702" s="0" t="s">
        <v>15</v>
      </c>
      <c r="G12702" s="0" t="s">
        <v>36</v>
      </c>
      <c r="H12702" s="0" t="n">
        <v>79</v>
      </c>
      <c r="I12702" s="0" t="s">
        <v>42194</v>
      </c>
      <c r="J12702" s="0" t="s">
        <v>42195</v>
      </c>
      <c r="K12702" s="0" t="s">
        <v>42196</v>
      </c>
      <c r="L12702" s="0" t="str">
        <f aca="false">HYPERLINK("https://www.ncbi.nlm.nih.gov/nuccore/CP000058.1?report=graph&amp;tracks=[key:gene_model_track,Options:GeneOnly]&amp;mk=3973828:3973847|offset_13|444444,3973864:3973883|offset_49|444444,3973894:3973913|offset_79|00cc00,3973915:3973934|offset_100|444444&amp;v=3973627:3974134&amp;c=444444", "offset 79")</f>
        <v>offset 79</v>
      </c>
    </row>
    <row r="12703" customFormat="false" ht="12.8" hidden="false" customHeight="false" outlineLevel="0" collapsed="false">
      <c r="A12703" s="0" t="s">
        <v>12</v>
      </c>
      <c r="B12703" s="0" t="n">
        <v>3973914</v>
      </c>
      <c r="C12703" s="0" t="n">
        <v>3973934</v>
      </c>
      <c r="D12703" s="0" t="s">
        <v>42186</v>
      </c>
      <c r="E12703" s="0" t="s">
        <v>42187</v>
      </c>
      <c r="F12703" s="0" t="s">
        <v>15</v>
      </c>
      <c r="G12703" s="0" t="s">
        <v>32</v>
      </c>
      <c r="H12703" s="0" t="n">
        <v>100</v>
      </c>
      <c r="I12703" s="0" t="s">
        <v>42197</v>
      </c>
      <c r="J12703" s="0" t="s">
        <v>42198</v>
      </c>
      <c r="K12703" s="0" t="s">
        <v>42199</v>
      </c>
      <c r="L12703" s="0" t="str">
        <f aca="false">HYPERLINK("https://www.ncbi.nlm.nih.gov/nuccore/CP000058.1?report=graph&amp;tracks=[key:gene_model_track,Options:GeneOnly]&amp;mk=3973828:3973847|offset_13|444444,3973864:3973883|offset_49|444444,3973894:3973913|offset_79|444444,3973915:3973934|offset_100|00cc00&amp;v=3973627:3974134&amp;c=444444", "offset 100")</f>
        <v>offset 100</v>
      </c>
    </row>
    <row r="12704" customFormat="false" ht="12.8" hidden="false" customHeight="false" outlineLevel="0" collapsed="false">
      <c r="A12704" s="0" t="s">
        <v>12</v>
      </c>
      <c r="B12704" s="0" t="n">
        <v>3978256</v>
      </c>
      <c r="C12704" s="0" t="n">
        <v>3978276</v>
      </c>
      <c r="D12704" s="0" t="s">
        <v>42200</v>
      </c>
      <c r="E12704" s="0" t="s">
        <v>75</v>
      </c>
      <c r="F12704" s="0" t="s">
        <v>15</v>
      </c>
      <c r="G12704" s="0" t="s">
        <v>36</v>
      </c>
      <c r="H12704" s="0" t="n">
        <v>18</v>
      </c>
      <c r="I12704" s="0" t="s">
        <v>42201</v>
      </c>
      <c r="J12704" s="0" t="s">
        <v>42202</v>
      </c>
      <c r="K12704" s="0" t="s">
        <v>42203</v>
      </c>
      <c r="L12704" s="0" t="str">
        <f aca="false">HYPERLINK("https://www.ncbi.nlm.nih.gov/nuccore/CP000058.1?report=graph&amp;tracks=[key:gene_model_track,Options:GeneOnly]&amp;mk=3978257:3978276|offset_18|00cc00,3978321:3978340|offset_82|444444,3978369:3978388|offset_130|444444,3978448:3978467|offset_209|444444&amp;v=3978056:3978667&amp;c=444444", "offset 18")</f>
        <v>offset 18</v>
      </c>
    </row>
    <row r="12705" customFormat="false" ht="12.8" hidden="false" customHeight="false" outlineLevel="0" collapsed="false">
      <c r="A12705" s="0" t="s">
        <v>12</v>
      </c>
      <c r="B12705" s="0" t="n">
        <v>3978320</v>
      </c>
      <c r="C12705" s="0" t="n">
        <v>3978340</v>
      </c>
      <c r="D12705" s="0" t="s">
        <v>42200</v>
      </c>
      <c r="E12705" s="0" t="s">
        <v>75</v>
      </c>
      <c r="F12705" s="0" t="s">
        <v>15</v>
      </c>
      <c r="G12705" s="0" t="s">
        <v>32</v>
      </c>
      <c r="H12705" s="0" t="n">
        <v>82</v>
      </c>
      <c r="I12705" s="0" t="s">
        <v>42204</v>
      </c>
      <c r="J12705" s="0" t="s">
        <v>42205</v>
      </c>
      <c r="K12705" s="0" t="s">
        <v>42206</v>
      </c>
      <c r="L12705" s="0" t="str">
        <f aca="false">HYPERLINK("https://www.ncbi.nlm.nih.gov/nuccore/CP000058.1?report=graph&amp;tracks=[key:gene_model_track,Options:GeneOnly]&amp;mk=3978257:3978276|offset_18|444444,3978321:3978340|offset_82|00cc00,3978369:3978388|offset_130|444444,3978448:3978467|offset_209|444444&amp;v=3978056:3978667&amp;c=444444", "offset 82")</f>
        <v>offset 82</v>
      </c>
    </row>
    <row r="12706" customFormat="false" ht="12.8" hidden="false" customHeight="false" outlineLevel="0" collapsed="false">
      <c r="A12706" s="0" t="s">
        <v>12</v>
      </c>
      <c r="B12706" s="0" t="n">
        <v>3978368</v>
      </c>
      <c r="C12706" s="0" t="n">
        <v>3978388</v>
      </c>
      <c r="D12706" s="0" t="s">
        <v>42200</v>
      </c>
      <c r="E12706" s="0" t="s">
        <v>75</v>
      </c>
      <c r="F12706" s="0" t="s">
        <v>15</v>
      </c>
      <c r="G12706" s="0" t="s">
        <v>32</v>
      </c>
      <c r="H12706" s="0" t="n">
        <v>130</v>
      </c>
      <c r="I12706" s="0" t="s">
        <v>42207</v>
      </c>
      <c r="J12706" s="0" t="s">
        <v>42208</v>
      </c>
      <c r="K12706" s="0" t="s">
        <v>42209</v>
      </c>
      <c r="L12706" s="0" t="str">
        <f aca="false">HYPERLINK("https://www.ncbi.nlm.nih.gov/nuccore/CP000058.1?report=graph&amp;tracks=[key:gene_model_track,Options:GeneOnly]&amp;mk=3978257:3978276|offset_18|444444,3978321:3978340|offset_82|444444,3978369:3978388|offset_130|00cc00,3978448:3978467|offset_209|444444&amp;v=3978056:3978667&amp;c=444444", "offset 130")</f>
        <v>offset 130</v>
      </c>
    </row>
    <row r="12707" customFormat="false" ht="12.8" hidden="false" customHeight="false" outlineLevel="0" collapsed="false">
      <c r="A12707" s="0" t="s">
        <v>12</v>
      </c>
      <c r="B12707" s="0" t="n">
        <v>3978447</v>
      </c>
      <c r="C12707" s="0" t="n">
        <v>3978467</v>
      </c>
      <c r="D12707" s="0" t="s">
        <v>42200</v>
      </c>
      <c r="E12707" s="0" t="s">
        <v>75</v>
      </c>
      <c r="F12707" s="0" t="s">
        <v>15</v>
      </c>
      <c r="G12707" s="0" t="s">
        <v>20</v>
      </c>
      <c r="H12707" s="0" t="n">
        <v>209</v>
      </c>
      <c r="I12707" s="0" t="s">
        <v>42210</v>
      </c>
      <c r="J12707" s="0" t="s">
        <v>42211</v>
      </c>
      <c r="K12707" s="0" t="s">
        <v>42212</v>
      </c>
      <c r="L12707" s="0" t="str">
        <f aca="false">HYPERLINK("https://www.ncbi.nlm.nih.gov/nuccore/CP000058.1?report=graph&amp;tracks=[key:gene_model_track,Options:GeneOnly]&amp;mk=3978257:3978276|offset_18|444444,3978321:3978340|offset_82|444444,3978369:3978388|offset_130|444444,3978448:3978467|offset_209|00cc00&amp;v=3978056:3978667&amp;c=444444", "offset 209")</f>
        <v>offset 209</v>
      </c>
    </row>
    <row r="12708" customFormat="false" ht="12.8" hidden="false" customHeight="false" outlineLevel="0" collapsed="false">
      <c r="A12708" s="0" t="s">
        <v>12</v>
      </c>
      <c r="B12708" s="0" t="n">
        <v>3978985</v>
      </c>
      <c r="C12708" s="0" t="n">
        <v>3979005</v>
      </c>
      <c r="D12708" s="0" t="s">
        <v>42213</v>
      </c>
      <c r="E12708" s="0" t="s">
        <v>75</v>
      </c>
      <c r="F12708" s="0" t="s">
        <v>15</v>
      </c>
      <c r="G12708" s="0" t="s">
        <v>36</v>
      </c>
      <c r="H12708" s="0" t="n">
        <v>10</v>
      </c>
      <c r="I12708" s="0" t="s">
        <v>42214</v>
      </c>
      <c r="J12708" s="0" t="s">
        <v>42215</v>
      </c>
      <c r="K12708" s="0" t="s">
        <v>42216</v>
      </c>
      <c r="L12708" s="0" t="str">
        <f aca="false">HYPERLINK("https://www.ncbi.nlm.nih.gov/nuccore/CP000058.1?report=graph&amp;tracks=[key:gene_model_track,Options:GeneOnly]&amp;mk=3978986:3979005|offset_10|00cc00,3979008:3979027|offset_32|444444,3979035:3979054|offset_59|444444,3979074:3979093|offset_98|444444&amp;v=3978785:3979293&amp;c=444444", "offset 10")</f>
        <v>offset 10</v>
      </c>
    </row>
    <row r="12709" customFormat="false" ht="12.8" hidden="false" customHeight="false" outlineLevel="0" collapsed="false">
      <c r="A12709" s="0" t="s">
        <v>12</v>
      </c>
      <c r="B12709" s="0" t="n">
        <v>3979007</v>
      </c>
      <c r="C12709" s="0" t="n">
        <v>3979027</v>
      </c>
      <c r="D12709" s="0" t="s">
        <v>42213</v>
      </c>
      <c r="E12709" s="0" t="s">
        <v>75</v>
      </c>
      <c r="F12709" s="0" t="s">
        <v>15</v>
      </c>
      <c r="G12709" s="0" t="s">
        <v>36</v>
      </c>
      <c r="H12709" s="0" t="n">
        <v>32</v>
      </c>
      <c r="I12709" s="0" t="s">
        <v>42217</v>
      </c>
      <c r="J12709" s="0" t="s">
        <v>42218</v>
      </c>
      <c r="K12709" s="0" t="s">
        <v>42219</v>
      </c>
      <c r="L12709" s="0" t="str">
        <f aca="false">HYPERLINK("https://www.ncbi.nlm.nih.gov/nuccore/CP000058.1?report=graph&amp;tracks=[key:gene_model_track,Options:GeneOnly]&amp;mk=3978986:3979005|offset_10|444444,3979008:3979027|offset_32|00cc00,3979035:3979054|offset_59|444444,3979074:3979093|offset_98|444444&amp;v=3978785:3979293&amp;c=444444", "offset 32")</f>
        <v>offset 32</v>
      </c>
    </row>
    <row r="12710" customFormat="false" ht="12.8" hidden="false" customHeight="false" outlineLevel="0" collapsed="false">
      <c r="A12710" s="0" t="s">
        <v>12</v>
      </c>
      <c r="B12710" s="0" t="n">
        <v>3979034</v>
      </c>
      <c r="C12710" s="0" t="n">
        <v>3979054</v>
      </c>
      <c r="D12710" s="0" t="s">
        <v>42213</v>
      </c>
      <c r="E12710" s="0" t="s">
        <v>75</v>
      </c>
      <c r="F12710" s="0" t="s">
        <v>15</v>
      </c>
      <c r="G12710" s="0" t="s">
        <v>36</v>
      </c>
      <c r="H12710" s="0" t="n">
        <v>59</v>
      </c>
      <c r="I12710" s="0" t="s">
        <v>42220</v>
      </c>
      <c r="J12710" s="0" t="s">
        <v>42221</v>
      </c>
      <c r="K12710" s="0" t="s">
        <v>42222</v>
      </c>
      <c r="L12710" s="0" t="str">
        <f aca="false">HYPERLINK("https://www.ncbi.nlm.nih.gov/nuccore/CP000058.1?report=graph&amp;tracks=[key:gene_model_track,Options:GeneOnly]&amp;mk=3978986:3979005|offset_10|444444,3979008:3979027|offset_32|444444,3979035:3979054|offset_59|00cc00,3979074:3979093|offset_98|444444&amp;v=3978785:3979293&amp;c=444444", "offset 59")</f>
        <v>offset 59</v>
      </c>
    </row>
    <row r="12711" customFormat="false" ht="12.8" hidden="false" customHeight="false" outlineLevel="0" collapsed="false">
      <c r="A12711" s="0" t="s">
        <v>12</v>
      </c>
      <c r="B12711" s="0" t="n">
        <v>3979073</v>
      </c>
      <c r="C12711" s="0" t="n">
        <v>3979093</v>
      </c>
      <c r="D12711" s="0" t="s">
        <v>42213</v>
      </c>
      <c r="E12711" s="0" t="s">
        <v>75</v>
      </c>
      <c r="F12711" s="0" t="s">
        <v>15</v>
      </c>
      <c r="G12711" s="0" t="s">
        <v>32</v>
      </c>
      <c r="H12711" s="0" t="n">
        <v>98</v>
      </c>
      <c r="I12711" s="0" t="s">
        <v>42223</v>
      </c>
      <c r="J12711" s="0" t="s">
        <v>42224</v>
      </c>
      <c r="K12711" s="0" t="s">
        <v>42225</v>
      </c>
      <c r="L12711" s="0" t="str">
        <f aca="false">HYPERLINK("https://www.ncbi.nlm.nih.gov/nuccore/CP000058.1?report=graph&amp;tracks=[key:gene_model_track,Options:GeneOnly]&amp;mk=3978986:3979005|offset_10|444444,3979008:3979027|offset_32|444444,3979035:3979054|offset_59|444444,3979074:3979093|offset_98|00cc00&amp;v=3978785:3979293&amp;c=444444", "offset 98")</f>
        <v>offset 98</v>
      </c>
    </row>
    <row r="12712" customFormat="false" ht="12.8" hidden="false" customHeight="false" outlineLevel="0" collapsed="false">
      <c r="A12712" s="0" t="s">
        <v>12</v>
      </c>
      <c r="B12712" s="0" t="n">
        <v>3979578</v>
      </c>
      <c r="C12712" s="0" t="n">
        <v>3979598</v>
      </c>
      <c r="D12712" s="0" t="s">
        <v>42226</v>
      </c>
      <c r="E12712" s="0" t="s">
        <v>75</v>
      </c>
      <c r="F12712" s="0" t="s">
        <v>15</v>
      </c>
      <c r="G12712" s="0" t="s">
        <v>36</v>
      </c>
      <c r="H12712" s="0" t="n">
        <v>22</v>
      </c>
      <c r="I12712" s="0" t="s">
        <v>42227</v>
      </c>
      <c r="J12712" s="0" t="s">
        <v>42228</v>
      </c>
      <c r="K12712" s="0" t="s">
        <v>42229</v>
      </c>
      <c r="L12712" s="0" t="str">
        <f aca="false">HYPERLINK("https://www.ncbi.nlm.nih.gov/nuccore/CP000058.1?report=graph&amp;tracks=[key:gene_model_track,Options:GeneOnly]&amp;mk=3979579:3979598|offset_22|00cc00,3979607:3979626|offset_50|444444,3979641:3979660|offset_84|444444,3979675:3979694|offset_118|444444&amp;v=3979378:3979894&amp;c=444444", "offset 22")</f>
        <v>offset 22</v>
      </c>
    </row>
    <row r="12713" customFormat="false" ht="12.8" hidden="false" customHeight="false" outlineLevel="0" collapsed="false">
      <c r="A12713" s="0" t="s">
        <v>12</v>
      </c>
      <c r="B12713" s="0" t="n">
        <v>3979606</v>
      </c>
      <c r="C12713" s="0" t="n">
        <v>3979626</v>
      </c>
      <c r="D12713" s="0" t="s">
        <v>42226</v>
      </c>
      <c r="E12713" s="0" t="s">
        <v>75</v>
      </c>
      <c r="F12713" s="0" t="s">
        <v>15</v>
      </c>
      <c r="G12713" s="0" t="s">
        <v>20</v>
      </c>
      <c r="H12713" s="0" t="n">
        <v>50</v>
      </c>
      <c r="I12713" s="0" t="s">
        <v>42230</v>
      </c>
      <c r="J12713" s="0" t="s">
        <v>42231</v>
      </c>
      <c r="K12713" s="0" t="s">
        <v>42232</v>
      </c>
      <c r="L12713" s="0" t="str">
        <f aca="false">HYPERLINK("https://www.ncbi.nlm.nih.gov/nuccore/CP000058.1?report=graph&amp;tracks=[key:gene_model_track,Options:GeneOnly]&amp;mk=3979579:3979598|offset_22|444444,3979607:3979626|offset_50|00cc00,3979641:3979660|offset_84|444444,3979675:3979694|offset_118|444444&amp;v=3979378:3979894&amp;c=444444", "offset 50")</f>
        <v>offset 50</v>
      </c>
    </row>
    <row r="12714" customFormat="false" ht="12.8" hidden="false" customHeight="false" outlineLevel="0" collapsed="false">
      <c r="A12714" s="0" t="s">
        <v>12</v>
      </c>
      <c r="B12714" s="0" t="n">
        <v>3979640</v>
      </c>
      <c r="C12714" s="0" t="n">
        <v>3979660</v>
      </c>
      <c r="D12714" s="0" t="s">
        <v>42226</v>
      </c>
      <c r="E12714" s="0" t="s">
        <v>75</v>
      </c>
      <c r="F12714" s="0" t="s">
        <v>15</v>
      </c>
      <c r="G12714" s="0" t="s">
        <v>20</v>
      </c>
      <c r="H12714" s="0" t="n">
        <v>84</v>
      </c>
      <c r="I12714" s="0" t="s">
        <v>42233</v>
      </c>
      <c r="J12714" s="0" t="s">
        <v>42234</v>
      </c>
      <c r="K12714" s="0" t="s">
        <v>42235</v>
      </c>
      <c r="L12714" s="0" t="str">
        <f aca="false">HYPERLINK("https://www.ncbi.nlm.nih.gov/nuccore/CP000058.1?report=graph&amp;tracks=[key:gene_model_track,Options:GeneOnly]&amp;mk=3979579:3979598|offset_22|444444,3979607:3979626|offset_50|444444,3979641:3979660|offset_84|00cc00,3979675:3979694|offset_118|444444&amp;v=3979378:3979894&amp;c=444444", "offset 84")</f>
        <v>offset 84</v>
      </c>
    </row>
    <row r="12715" customFormat="false" ht="12.8" hidden="false" customHeight="false" outlineLevel="0" collapsed="false">
      <c r="A12715" s="0" t="s">
        <v>12</v>
      </c>
      <c r="B12715" s="0" t="n">
        <v>3979674</v>
      </c>
      <c r="C12715" s="0" t="n">
        <v>3979694</v>
      </c>
      <c r="D12715" s="0" t="s">
        <v>42226</v>
      </c>
      <c r="E12715" s="0" t="s">
        <v>75</v>
      </c>
      <c r="F12715" s="0" t="s">
        <v>15</v>
      </c>
      <c r="G12715" s="0" t="s">
        <v>16</v>
      </c>
      <c r="H12715" s="0" t="n">
        <v>118</v>
      </c>
      <c r="I12715" s="0" t="s">
        <v>42236</v>
      </c>
      <c r="J12715" s="0" t="s">
        <v>42237</v>
      </c>
      <c r="K12715" s="0" t="s">
        <v>42238</v>
      </c>
      <c r="L12715" s="0" t="str">
        <f aca="false">HYPERLINK("https://www.ncbi.nlm.nih.gov/nuccore/CP000058.1?report=graph&amp;tracks=[key:gene_model_track,Options:GeneOnly]&amp;mk=3979579:3979598|offset_22|444444,3979607:3979626|offset_50|444444,3979641:3979660|offset_84|444444,3979675:3979694|offset_118|00cc00&amp;v=3979378:3979894&amp;c=444444", "offset 118")</f>
        <v>offset 118</v>
      </c>
    </row>
    <row r="12716" customFormat="false" ht="12.8" hidden="false" customHeight="false" outlineLevel="0" collapsed="false">
      <c r="A12716" s="0" t="s">
        <v>12</v>
      </c>
      <c r="B12716" s="0" t="n">
        <v>3982508</v>
      </c>
      <c r="C12716" s="0" t="n">
        <v>3982528</v>
      </c>
      <c r="D12716" s="0" t="s">
        <v>42239</v>
      </c>
      <c r="E12716" s="0" t="s">
        <v>42240</v>
      </c>
      <c r="F12716" s="0" t="s">
        <v>90</v>
      </c>
      <c r="G12716" s="0" t="s">
        <v>32</v>
      </c>
      <c r="H12716" s="0" t="n">
        <v>8</v>
      </c>
      <c r="I12716" s="0" t="s">
        <v>42241</v>
      </c>
      <c r="J12716" s="0" t="s">
        <v>42242</v>
      </c>
      <c r="K12716" s="0" t="s">
        <v>42243</v>
      </c>
      <c r="L12716" s="0" t="str">
        <f aca="false">HYPERLINK("https://www.ncbi.nlm.nih.gov/nuccore/CP000058.1?report=graph&amp;tracks=[key:gene_model_track,Options:GeneOnly]&amp;mk=3982509:3982528|offset_8|00cc00,3982482:3982501|offset_35|444444,3982457:3982476|offset_60|444444,3982430:3982449|offset_87|444444&amp;v=3982308:3982649&amp;c=444444", "offset 8")</f>
        <v>offset 8</v>
      </c>
    </row>
    <row r="12717" customFormat="false" ht="12.8" hidden="false" customHeight="false" outlineLevel="0" collapsed="false">
      <c r="A12717" s="0" t="s">
        <v>12</v>
      </c>
      <c r="B12717" s="0" t="n">
        <v>3982481</v>
      </c>
      <c r="C12717" s="0" t="n">
        <v>3982501</v>
      </c>
      <c r="D12717" s="0" t="s">
        <v>42239</v>
      </c>
      <c r="E12717" s="0" t="s">
        <v>42240</v>
      </c>
      <c r="F12717" s="0" t="s">
        <v>90</v>
      </c>
      <c r="G12717" s="0" t="s">
        <v>20</v>
      </c>
      <c r="H12717" s="0" t="n">
        <v>35</v>
      </c>
      <c r="I12717" s="0" t="s">
        <v>42244</v>
      </c>
      <c r="J12717" s="0" t="s">
        <v>42245</v>
      </c>
      <c r="K12717" s="0" t="s">
        <v>42246</v>
      </c>
      <c r="L12717" s="0" t="str">
        <f aca="false">HYPERLINK("https://www.ncbi.nlm.nih.gov/nuccore/CP000058.1?report=graph&amp;tracks=[key:gene_model_track,Options:GeneOnly]&amp;mk=3982509:3982528|offset_8|444444,3982482:3982501|offset_35|00cc00,3982457:3982476|offset_60|444444,3982430:3982449|offset_87|444444&amp;v=3982308:3982649&amp;c=444444", "offset 35")</f>
        <v>offset 35</v>
      </c>
    </row>
    <row r="12718" customFormat="false" ht="12.8" hidden="false" customHeight="false" outlineLevel="0" collapsed="false">
      <c r="A12718" s="0" t="s">
        <v>12</v>
      </c>
      <c r="B12718" s="0" t="n">
        <v>3982456</v>
      </c>
      <c r="C12718" s="0" t="n">
        <v>3982476</v>
      </c>
      <c r="D12718" s="0" t="s">
        <v>42239</v>
      </c>
      <c r="E12718" s="0" t="s">
        <v>42240</v>
      </c>
      <c r="F12718" s="0" t="s">
        <v>90</v>
      </c>
      <c r="G12718" s="0" t="s">
        <v>20</v>
      </c>
      <c r="H12718" s="0" t="n">
        <v>60</v>
      </c>
      <c r="I12718" s="0" t="s">
        <v>42247</v>
      </c>
      <c r="J12718" s="0" t="s">
        <v>42248</v>
      </c>
      <c r="K12718" s="0" t="s">
        <v>42249</v>
      </c>
      <c r="L12718" s="0" t="str">
        <f aca="false">HYPERLINK("https://www.ncbi.nlm.nih.gov/nuccore/CP000058.1?report=graph&amp;tracks=[key:gene_model_track,Options:GeneOnly]&amp;mk=3982509:3982528|offset_8|444444,3982482:3982501|offset_35|444444,3982457:3982476|offset_60|00cc00,3982430:3982449|offset_87|444444&amp;v=3982308:3982649&amp;c=444444", "offset 60")</f>
        <v>offset 60</v>
      </c>
    </row>
    <row r="12719" customFormat="false" ht="12.8" hidden="false" customHeight="false" outlineLevel="0" collapsed="false">
      <c r="A12719" s="0" t="s">
        <v>12</v>
      </c>
      <c r="B12719" s="0" t="n">
        <v>3982429</v>
      </c>
      <c r="C12719" s="0" t="n">
        <v>3982449</v>
      </c>
      <c r="D12719" s="0" t="s">
        <v>42239</v>
      </c>
      <c r="E12719" s="0" t="s">
        <v>42240</v>
      </c>
      <c r="F12719" s="0" t="s">
        <v>90</v>
      </c>
      <c r="G12719" s="0" t="s">
        <v>20</v>
      </c>
      <c r="H12719" s="0" t="n">
        <v>87</v>
      </c>
      <c r="I12719" s="0" t="s">
        <v>42250</v>
      </c>
      <c r="J12719" s="0" t="s">
        <v>42251</v>
      </c>
      <c r="K12719" s="0" t="s">
        <v>42252</v>
      </c>
      <c r="L12719" s="0" t="str">
        <f aca="false">HYPERLINK("https://www.ncbi.nlm.nih.gov/nuccore/CP000058.1?report=graph&amp;tracks=[key:gene_model_track,Options:GeneOnly]&amp;mk=3982509:3982528|offset_8|444444,3982482:3982501|offset_35|444444,3982457:3982476|offset_60|444444,3982430:3982449|offset_87|00cc00&amp;v=3982308:3982649&amp;c=444444", "offset 87")</f>
        <v>offset 87</v>
      </c>
    </row>
    <row r="12720" customFormat="false" ht="12.8" hidden="false" customHeight="false" outlineLevel="0" collapsed="false">
      <c r="A12720" s="0" t="s">
        <v>12</v>
      </c>
      <c r="B12720" s="0" t="n">
        <v>3983121</v>
      </c>
      <c r="C12720" s="0" t="n">
        <v>3983141</v>
      </c>
      <c r="D12720" s="0" t="s">
        <v>42253</v>
      </c>
      <c r="E12720" s="0" t="s">
        <v>42254</v>
      </c>
      <c r="F12720" s="0" t="s">
        <v>90</v>
      </c>
      <c r="G12720" s="0" t="s">
        <v>16</v>
      </c>
      <c r="H12720" s="0" t="n">
        <v>6</v>
      </c>
      <c r="I12720" s="0" t="s">
        <v>42255</v>
      </c>
      <c r="J12720" s="0" t="s">
        <v>42256</v>
      </c>
      <c r="K12720" s="0" t="s">
        <v>42257</v>
      </c>
      <c r="L12720" s="0" t="str">
        <f aca="false">HYPERLINK("https://www.ncbi.nlm.nih.gov/nuccore/CP000058.1?report=graph&amp;tracks=[key:gene_model_track,Options:GeneOnly]&amp;mk=3983122:3983141|offset_6|00cc00,3983100:3983119|offset_28|444444,3983029:3983048|offset_99|444444,3982994:3983013|offset_134|444444&amp;v=3982921:3983213&amp;c=444444", "offset 6")</f>
        <v>offset 6</v>
      </c>
    </row>
    <row r="12721" customFormat="false" ht="12.8" hidden="false" customHeight="false" outlineLevel="0" collapsed="false">
      <c r="A12721" s="0" t="s">
        <v>12</v>
      </c>
      <c r="B12721" s="0" t="n">
        <v>3983099</v>
      </c>
      <c r="C12721" s="0" t="n">
        <v>3983119</v>
      </c>
      <c r="D12721" s="0" t="s">
        <v>42253</v>
      </c>
      <c r="E12721" s="0" t="s">
        <v>42254</v>
      </c>
      <c r="F12721" s="0" t="s">
        <v>90</v>
      </c>
      <c r="G12721" s="0" t="s">
        <v>36</v>
      </c>
      <c r="H12721" s="0" t="n">
        <v>28</v>
      </c>
      <c r="I12721" s="0" t="s">
        <v>42258</v>
      </c>
      <c r="J12721" s="0" t="s">
        <v>42259</v>
      </c>
      <c r="K12721" s="0" t="s">
        <v>42260</v>
      </c>
      <c r="L12721" s="0" t="str">
        <f aca="false">HYPERLINK("https://www.ncbi.nlm.nih.gov/nuccore/CP000058.1?report=graph&amp;tracks=[key:gene_model_track,Options:GeneOnly]&amp;mk=3983122:3983141|offset_6|444444,3983100:3983119|offset_28|00cc00,3983029:3983048|offset_99|444444,3982994:3983013|offset_134|444444&amp;v=3982921:3983213&amp;c=444444", "offset 28")</f>
        <v>offset 28</v>
      </c>
    </row>
    <row r="12722" customFormat="false" ht="12.8" hidden="false" customHeight="false" outlineLevel="0" collapsed="false">
      <c r="A12722" s="0" t="s">
        <v>12</v>
      </c>
      <c r="B12722" s="0" t="n">
        <v>3983028</v>
      </c>
      <c r="C12722" s="0" t="n">
        <v>3983048</v>
      </c>
      <c r="D12722" s="0" t="s">
        <v>42253</v>
      </c>
      <c r="E12722" s="0" t="s">
        <v>42254</v>
      </c>
      <c r="F12722" s="0" t="s">
        <v>90</v>
      </c>
      <c r="G12722" s="0" t="s">
        <v>16</v>
      </c>
      <c r="H12722" s="0" t="n">
        <v>99</v>
      </c>
      <c r="I12722" s="0" t="s">
        <v>42261</v>
      </c>
      <c r="J12722" s="0" t="s">
        <v>42262</v>
      </c>
      <c r="K12722" s="0" t="s">
        <v>42263</v>
      </c>
      <c r="L12722" s="0" t="str">
        <f aca="false">HYPERLINK("https://www.ncbi.nlm.nih.gov/nuccore/CP000058.1?report=graph&amp;tracks=[key:gene_model_track,Options:GeneOnly]&amp;mk=3983122:3983141|offset_6|444444,3983100:3983119|offset_28|444444,3983029:3983048|offset_99|00cc00,3982994:3983013|offset_134|444444&amp;v=3982921:3983213&amp;c=444444", "offset 99")</f>
        <v>offset 99</v>
      </c>
    </row>
    <row r="12723" customFormat="false" ht="12.8" hidden="false" customHeight="false" outlineLevel="0" collapsed="false">
      <c r="A12723" s="0" t="s">
        <v>12</v>
      </c>
      <c r="B12723" s="0" t="n">
        <v>3982993</v>
      </c>
      <c r="C12723" s="0" t="n">
        <v>3983013</v>
      </c>
      <c r="D12723" s="0" t="s">
        <v>42253</v>
      </c>
      <c r="E12723" s="0" t="s">
        <v>42254</v>
      </c>
      <c r="F12723" s="0" t="s">
        <v>90</v>
      </c>
      <c r="G12723" s="0" t="s">
        <v>20</v>
      </c>
      <c r="H12723" s="0" t="n">
        <v>134</v>
      </c>
      <c r="I12723" s="0" t="s">
        <v>42264</v>
      </c>
      <c r="J12723" s="0" t="s">
        <v>42265</v>
      </c>
      <c r="K12723" s="0" t="s">
        <v>42266</v>
      </c>
      <c r="L12723" s="0" t="str">
        <f aca="false">HYPERLINK("https://www.ncbi.nlm.nih.gov/nuccore/CP000058.1?report=graph&amp;tracks=[key:gene_model_track,Options:GeneOnly]&amp;mk=3983122:3983141|offset_6|444444,3983100:3983119|offset_28|444444,3983029:3983048|offset_99|444444,3982994:3983013|offset_134|00cc00&amp;v=3982921:3983213&amp;c=444444", "offset 134")</f>
        <v>offset 134</v>
      </c>
    </row>
    <row r="12724" customFormat="false" ht="12.8" hidden="false" customHeight="false" outlineLevel="0" collapsed="false">
      <c r="A12724" s="0" t="s">
        <v>12</v>
      </c>
      <c r="B12724" s="0" t="n">
        <v>3985485</v>
      </c>
      <c r="C12724" s="0" t="n">
        <v>3985505</v>
      </c>
      <c r="D12724" s="0" t="s">
        <v>42267</v>
      </c>
      <c r="E12724" s="0" t="s">
        <v>75</v>
      </c>
      <c r="F12724" s="0" t="s">
        <v>90</v>
      </c>
      <c r="G12724" s="0" t="s">
        <v>20</v>
      </c>
      <c r="H12724" s="0" t="n">
        <v>32</v>
      </c>
      <c r="I12724" s="0" t="s">
        <v>42268</v>
      </c>
      <c r="J12724" s="0" t="s">
        <v>42269</v>
      </c>
      <c r="K12724" s="0" t="s">
        <v>42270</v>
      </c>
      <c r="L12724" s="0" t="str">
        <f aca="false">HYPERLINK("https://www.ncbi.nlm.nih.gov/nuccore/CP000058.1?report=graph&amp;tracks=[key:gene_model_track,Options:GeneOnly]&amp;mk=3985486:3985505|offset_32|00cc00,3985450:3985469|offset_68|444444,3985395:3985414|offset_123|444444,3985333:3985352|offset_185|444444&amp;v=3985285:3985552&amp;c=444444", "offset 32")</f>
        <v>offset 32</v>
      </c>
    </row>
    <row r="12725" customFormat="false" ht="12.8" hidden="false" customHeight="false" outlineLevel="0" collapsed="false">
      <c r="A12725" s="0" t="s">
        <v>12</v>
      </c>
      <c r="B12725" s="0" t="n">
        <v>3985449</v>
      </c>
      <c r="C12725" s="0" t="n">
        <v>3985469</v>
      </c>
      <c r="D12725" s="0" t="s">
        <v>42267</v>
      </c>
      <c r="E12725" s="0" t="s">
        <v>75</v>
      </c>
      <c r="F12725" s="0" t="s">
        <v>90</v>
      </c>
      <c r="G12725" s="0" t="s">
        <v>20</v>
      </c>
      <c r="H12725" s="0" t="n">
        <v>68</v>
      </c>
      <c r="I12725" s="0" t="s">
        <v>42271</v>
      </c>
      <c r="J12725" s="0" t="s">
        <v>42272</v>
      </c>
      <c r="K12725" s="0" t="s">
        <v>42273</v>
      </c>
      <c r="L12725" s="0" t="str">
        <f aca="false">HYPERLINK("https://www.ncbi.nlm.nih.gov/nuccore/CP000058.1?report=graph&amp;tracks=[key:gene_model_track,Options:GeneOnly]&amp;mk=3985486:3985505|offset_32|444444,3985450:3985469|offset_68|00cc00,3985395:3985414|offset_123|444444,3985333:3985352|offset_185|444444&amp;v=3985285:3985552&amp;c=444444", "offset 68")</f>
        <v>offset 68</v>
      </c>
    </row>
    <row r="12726" customFormat="false" ht="12.8" hidden="false" customHeight="false" outlineLevel="0" collapsed="false">
      <c r="A12726" s="0" t="s">
        <v>12</v>
      </c>
      <c r="B12726" s="0" t="n">
        <v>3985394</v>
      </c>
      <c r="C12726" s="0" t="n">
        <v>3985414</v>
      </c>
      <c r="D12726" s="0" t="s">
        <v>42267</v>
      </c>
      <c r="E12726" s="0" t="s">
        <v>75</v>
      </c>
      <c r="F12726" s="0" t="s">
        <v>90</v>
      </c>
      <c r="G12726" s="0" t="s">
        <v>16</v>
      </c>
      <c r="H12726" s="0" t="n">
        <v>123</v>
      </c>
      <c r="I12726" s="0" t="s">
        <v>42274</v>
      </c>
      <c r="J12726" s="0" t="s">
        <v>42275</v>
      </c>
      <c r="K12726" s="0" t="s">
        <v>42276</v>
      </c>
      <c r="L12726" s="0" t="str">
        <f aca="false">HYPERLINK("https://www.ncbi.nlm.nih.gov/nuccore/CP000058.1?report=graph&amp;tracks=[key:gene_model_track,Options:GeneOnly]&amp;mk=3985486:3985505|offset_32|444444,3985450:3985469|offset_68|444444,3985395:3985414|offset_123|00cc00,3985333:3985352|offset_185|444444&amp;v=3985285:3985552&amp;c=444444", "offset 123")</f>
        <v>offset 123</v>
      </c>
    </row>
    <row r="12727" customFormat="false" ht="12.8" hidden="false" customHeight="false" outlineLevel="0" collapsed="false">
      <c r="A12727" s="0" t="s">
        <v>12</v>
      </c>
      <c r="B12727" s="0" t="n">
        <v>3985332</v>
      </c>
      <c r="C12727" s="0" t="n">
        <v>3985352</v>
      </c>
      <c r="D12727" s="0" t="s">
        <v>42267</v>
      </c>
      <c r="E12727" s="0" t="s">
        <v>75</v>
      </c>
      <c r="F12727" s="0" t="s">
        <v>90</v>
      </c>
      <c r="G12727" s="0" t="s">
        <v>20</v>
      </c>
      <c r="H12727" s="0" t="n">
        <v>185</v>
      </c>
      <c r="I12727" s="0" t="s">
        <v>42277</v>
      </c>
      <c r="J12727" s="0" t="s">
        <v>42278</v>
      </c>
      <c r="K12727" s="0" t="s">
        <v>42279</v>
      </c>
      <c r="L12727" s="0" t="str">
        <f aca="false">HYPERLINK("https://www.ncbi.nlm.nih.gov/nuccore/CP000058.1?report=graph&amp;tracks=[key:gene_model_track,Options:GeneOnly]&amp;mk=3985486:3985505|offset_32|444444,3985450:3985469|offset_68|444444,3985395:3985414|offset_123|444444,3985333:3985352|offset_185|00cc00&amp;v=3985285:3985552&amp;c=444444", "offset 185")</f>
        <v>offset 185</v>
      </c>
    </row>
    <row r="12728" customFormat="false" ht="12.8" hidden="false" customHeight="false" outlineLevel="0" collapsed="false">
      <c r="A12728" s="0" t="s">
        <v>12</v>
      </c>
      <c r="B12728" s="0" t="n">
        <v>3986105</v>
      </c>
      <c r="C12728" s="0" t="n">
        <v>3986125</v>
      </c>
      <c r="D12728" s="0" t="s">
        <v>42280</v>
      </c>
      <c r="E12728" s="0" t="s">
        <v>75</v>
      </c>
      <c r="F12728" s="0" t="s">
        <v>90</v>
      </c>
      <c r="G12728" s="0" t="s">
        <v>20</v>
      </c>
      <c r="H12728" s="0" t="n">
        <v>37</v>
      </c>
      <c r="I12728" s="0" t="s">
        <v>42281</v>
      </c>
      <c r="J12728" s="0" t="s">
        <v>42282</v>
      </c>
      <c r="K12728" s="0" t="s">
        <v>42283</v>
      </c>
      <c r="L12728" s="0" t="str">
        <f aca="false">HYPERLINK("https://www.ncbi.nlm.nih.gov/nuccore/CP000058.1?report=graph&amp;tracks=[key:gene_model_track,Options:GeneOnly]&amp;mk=3986106:3986125|offset_37|00cc00,3986080:3986099|offset_63|444444,3986048:3986067|offset_95|444444,3985976:3985995|offset_167|444444&amp;v=3985905:3986195&amp;c=444444", "offset 37")</f>
        <v>offset 37</v>
      </c>
    </row>
    <row r="12729" customFormat="false" ht="12.8" hidden="false" customHeight="false" outlineLevel="0" collapsed="false">
      <c r="A12729" s="0" t="s">
        <v>12</v>
      </c>
      <c r="B12729" s="0" t="n">
        <v>3986079</v>
      </c>
      <c r="C12729" s="0" t="n">
        <v>3986099</v>
      </c>
      <c r="D12729" s="0" t="s">
        <v>42280</v>
      </c>
      <c r="E12729" s="0" t="s">
        <v>75</v>
      </c>
      <c r="F12729" s="0" t="s">
        <v>90</v>
      </c>
      <c r="G12729" s="0" t="s">
        <v>16</v>
      </c>
      <c r="H12729" s="0" t="n">
        <v>63</v>
      </c>
      <c r="I12729" s="0" t="s">
        <v>42284</v>
      </c>
      <c r="J12729" s="0" t="s">
        <v>42285</v>
      </c>
      <c r="K12729" s="0" t="s">
        <v>42286</v>
      </c>
      <c r="L12729" s="0" t="str">
        <f aca="false">HYPERLINK("https://www.ncbi.nlm.nih.gov/nuccore/CP000058.1?report=graph&amp;tracks=[key:gene_model_track,Options:GeneOnly]&amp;mk=3986106:3986125|offset_37|444444,3986080:3986099|offset_63|00cc00,3986048:3986067|offset_95|444444,3985976:3985995|offset_167|444444&amp;v=3985905:3986195&amp;c=444444", "offset 63")</f>
        <v>offset 63</v>
      </c>
    </row>
    <row r="12730" customFormat="false" ht="12.8" hidden="false" customHeight="false" outlineLevel="0" collapsed="false">
      <c r="A12730" s="0" t="s">
        <v>12</v>
      </c>
      <c r="B12730" s="0" t="n">
        <v>3986047</v>
      </c>
      <c r="C12730" s="0" t="n">
        <v>3986067</v>
      </c>
      <c r="D12730" s="0" t="s">
        <v>42280</v>
      </c>
      <c r="E12730" s="0" t="s">
        <v>75</v>
      </c>
      <c r="F12730" s="0" t="s">
        <v>90</v>
      </c>
      <c r="G12730" s="0" t="s">
        <v>20</v>
      </c>
      <c r="H12730" s="0" t="n">
        <v>95</v>
      </c>
      <c r="I12730" s="0" t="s">
        <v>42287</v>
      </c>
      <c r="J12730" s="0" t="s">
        <v>42288</v>
      </c>
      <c r="K12730" s="0" t="s">
        <v>42289</v>
      </c>
      <c r="L12730" s="0" t="str">
        <f aca="false">HYPERLINK("https://www.ncbi.nlm.nih.gov/nuccore/CP000058.1?report=graph&amp;tracks=[key:gene_model_track,Options:GeneOnly]&amp;mk=3986106:3986125|offset_37|444444,3986080:3986099|offset_63|444444,3986048:3986067|offset_95|00cc00,3985976:3985995|offset_167|444444&amp;v=3985905:3986195&amp;c=444444", "offset 95")</f>
        <v>offset 95</v>
      </c>
    </row>
    <row r="12731" customFormat="false" ht="12.8" hidden="false" customHeight="false" outlineLevel="0" collapsed="false">
      <c r="A12731" s="0" t="s">
        <v>12</v>
      </c>
      <c r="B12731" s="0" t="n">
        <v>3985975</v>
      </c>
      <c r="C12731" s="0" t="n">
        <v>3985995</v>
      </c>
      <c r="D12731" s="0" t="s">
        <v>42280</v>
      </c>
      <c r="E12731" s="0" t="s">
        <v>75</v>
      </c>
      <c r="F12731" s="0" t="s">
        <v>90</v>
      </c>
      <c r="G12731" s="0" t="s">
        <v>20</v>
      </c>
      <c r="H12731" s="0" t="n">
        <v>167</v>
      </c>
      <c r="I12731" s="0" t="s">
        <v>42290</v>
      </c>
      <c r="J12731" s="0" t="s">
        <v>42291</v>
      </c>
      <c r="K12731" s="0" t="s">
        <v>42292</v>
      </c>
      <c r="L12731" s="0" t="str">
        <f aca="false">HYPERLINK("https://www.ncbi.nlm.nih.gov/nuccore/CP000058.1?report=graph&amp;tracks=[key:gene_model_track,Options:GeneOnly]&amp;mk=3986106:3986125|offset_37|444444,3986080:3986099|offset_63|444444,3986048:3986067|offset_95|444444,3985976:3985995|offset_167|00cc00&amp;v=3985905:3986195&amp;c=444444", "offset 167")</f>
        <v>offset 167</v>
      </c>
    </row>
    <row r="12732" customFormat="false" ht="12.8" hidden="false" customHeight="false" outlineLevel="0" collapsed="false">
      <c r="A12732" s="0" t="s">
        <v>12</v>
      </c>
      <c r="B12732" s="0" t="n">
        <v>3987421</v>
      </c>
      <c r="C12732" s="0" t="n">
        <v>3987441</v>
      </c>
      <c r="D12732" s="0" t="s">
        <v>42293</v>
      </c>
      <c r="E12732" s="0" t="s">
        <v>75</v>
      </c>
      <c r="F12732" s="0" t="s">
        <v>90</v>
      </c>
      <c r="G12732" s="0" t="s">
        <v>36</v>
      </c>
      <c r="H12732" s="0" t="n">
        <v>16</v>
      </c>
      <c r="I12732" s="0" t="s">
        <v>42294</v>
      </c>
      <c r="J12732" s="0" t="s">
        <v>42295</v>
      </c>
      <c r="K12732" s="0" t="s">
        <v>42296</v>
      </c>
      <c r="L12732" s="0" t="str">
        <f aca="false">HYPERLINK("https://www.ncbi.nlm.nih.gov/nuccore/CP000058.1?report=graph&amp;tracks=[key:gene_model_track,Options:GeneOnly]&amp;mk=3987422:3987441|offset_16|00cc00,3987394:3987413|offset_44|444444,3987355:3987374|offset_83|444444,3987332:3987351|offset_106|444444&amp;v=3987221:3987551&amp;c=444444", "offset 16")</f>
        <v>offset 16</v>
      </c>
    </row>
    <row r="12733" customFormat="false" ht="12.8" hidden="false" customHeight="false" outlineLevel="0" collapsed="false">
      <c r="A12733" s="0" t="s">
        <v>12</v>
      </c>
      <c r="B12733" s="0" t="n">
        <v>3987393</v>
      </c>
      <c r="C12733" s="0" t="n">
        <v>3987413</v>
      </c>
      <c r="D12733" s="0" t="s">
        <v>42293</v>
      </c>
      <c r="E12733" s="0" t="s">
        <v>75</v>
      </c>
      <c r="F12733" s="0" t="s">
        <v>90</v>
      </c>
      <c r="G12733" s="0" t="s">
        <v>20</v>
      </c>
      <c r="H12733" s="0" t="n">
        <v>44</v>
      </c>
      <c r="I12733" s="0" t="s">
        <v>42297</v>
      </c>
      <c r="J12733" s="0" t="s">
        <v>42298</v>
      </c>
      <c r="K12733" s="0" t="s">
        <v>42299</v>
      </c>
      <c r="L12733" s="0" t="str">
        <f aca="false">HYPERLINK("https://www.ncbi.nlm.nih.gov/nuccore/CP000058.1?report=graph&amp;tracks=[key:gene_model_track,Options:GeneOnly]&amp;mk=3987422:3987441|offset_16|444444,3987394:3987413|offset_44|00cc00,3987355:3987374|offset_83|444444,3987332:3987351|offset_106|444444&amp;v=3987221:3987551&amp;c=444444", "offset 44")</f>
        <v>offset 44</v>
      </c>
    </row>
    <row r="12734" customFormat="false" ht="12.8" hidden="false" customHeight="false" outlineLevel="0" collapsed="false">
      <c r="A12734" s="0" t="s">
        <v>12</v>
      </c>
      <c r="B12734" s="0" t="n">
        <v>3987354</v>
      </c>
      <c r="C12734" s="0" t="n">
        <v>3987374</v>
      </c>
      <c r="D12734" s="0" t="s">
        <v>42293</v>
      </c>
      <c r="E12734" s="0" t="s">
        <v>75</v>
      </c>
      <c r="F12734" s="0" t="s">
        <v>90</v>
      </c>
      <c r="G12734" s="0" t="s">
        <v>32</v>
      </c>
      <c r="H12734" s="0" t="n">
        <v>83</v>
      </c>
      <c r="I12734" s="0" t="s">
        <v>42300</v>
      </c>
      <c r="J12734" s="0" t="s">
        <v>42301</v>
      </c>
      <c r="K12734" s="0" t="s">
        <v>42302</v>
      </c>
      <c r="L12734" s="0" t="str">
        <f aca="false">HYPERLINK("https://www.ncbi.nlm.nih.gov/nuccore/CP000058.1?report=graph&amp;tracks=[key:gene_model_track,Options:GeneOnly]&amp;mk=3987422:3987441|offset_16|444444,3987394:3987413|offset_44|444444,3987355:3987374|offset_83|00cc00,3987332:3987351|offset_106|444444&amp;v=3987221:3987551&amp;c=444444", "offset 83")</f>
        <v>offset 83</v>
      </c>
    </row>
    <row r="12735" customFormat="false" ht="12.8" hidden="false" customHeight="false" outlineLevel="0" collapsed="false">
      <c r="A12735" s="0" t="s">
        <v>12</v>
      </c>
      <c r="B12735" s="0" t="n">
        <v>3987331</v>
      </c>
      <c r="C12735" s="0" t="n">
        <v>3987351</v>
      </c>
      <c r="D12735" s="0" t="s">
        <v>42293</v>
      </c>
      <c r="E12735" s="0" t="s">
        <v>75</v>
      </c>
      <c r="F12735" s="0" t="s">
        <v>90</v>
      </c>
      <c r="G12735" s="0" t="s">
        <v>20</v>
      </c>
      <c r="H12735" s="0" t="n">
        <v>106</v>
      </c>
      <c r="I12735" s="0" t="s">
        <v>42303</v>
      </c>
      <c r="J12735" s="0" t="s">
        <v>42304</v>
      </c>
      <c r="K12735" s="0" t="s">
        <v>42305</v>
      </c>
      <c r="L12735" s="0" t="str">
        <f aca="false">HYPERLINK("https://www.ncbi.nlm.nih.gov/nuccore/CP000058.1?report=graph&amp;tracks=[key:gene_model_track,Options:GeneOnly]&amp;mk=3987422:3987441|offset_16|444444,3987394:3987413|offset_44|444444,3987355:3987374|offset_83|444444,3987332:3987351|offset_106|00cc00&amp;v=3987221:3987551&amp;c=444444", "offset 106")</f>
        <v>offset 106</v>
      </c>
    </row>
    <row r="12736" customFormat="false" ht="12.8" hidden="false" customHeight="false" outlineLevel="0" collapsed="false">
      <c r="A12736" s="0" t="s">
        <v>12</v>
      </c>
      <c r="B12736" s="0" t="n">
        <v>3988013</v>
      </c>
      <c r="C12736" s="0" t="n">
        <v>3988033</v>
      </c>
      <c r="D12736" s="0" t="s">
        <v>42306</v>
      </c>
      <c r="E12736" s="0" t="s">
        <v>75</v>
      </c>
      <c r="F12736" s="0" t="s">
        <v>90</v>
      </c>
      <c r="G12736" s="0" t="s">
        <v>16</v>
      </c>
      <c r="H12736" s="0" t="n">
        <v>8</v>
      </c>
      <c r="I12736" s="0" t="s">
        <v>42307</v>
      </c>
      <c r="J12736" s="0" t="s">
        <v>42308</v>
      </c>
      <c r="K12736" s="0" t="s">
        <v>42309</v>
      </c>
      <c r="L12736" s="0" t="str">
        <f aca="false">HYPERLINK("https://www.ncbi.nlm.nih.gov/nuccore/CP000058.1?report=graph&amp;tracks=[key:gene_model_track,Options:GeneOnly]&amp;mk=3988014:3988033|offset_8|00cc00,3987943:3987962|offset_79|444444,3987880:3987899|offset_142|444444,3987842:3987861|offset_180|444444&amp;v=3987813:3988061&amp;c=444444", "offset 8")</f>
        <v>offset 8</v>
      </c>
    </row>
    <row r="12737" customFormat="false" ht="12.8" hidden="false" customHeight="false" outlineLevel="0" collapsed="false">
      <c r="A12737" s="0" t="s">
        <v>12</v>
      </c>
      <c r="B12737" s="0" t="n">
        <v>3987942</v>
      </c>
      <c r="C12737" s="0" t="n">
        <v>3987962</v>
      </c>
      <c r="D12737" s="0" t="s">
        <v>42306</v>
      </c>
      <c r="E12737" s="0" t="s">
        <v>75</v>
      </c>
      <c r="F12737" s="0" t="s">
        <v>90</v>
      </c>
      <c r="G12737" s="0" t="s">
        <v>32</v>
      </c>
      <c r="H12737" s="0" t="n">
        <v>79</v>
      </c>
      <c r="I12737" s="0" t="s">
        <v>42310</v>
      </c>
      <c r="J12737" s="0" t="s">
        <v>42311</v>
      </c>
      <c r="K12737" s="0" t="s">
        <v>42312</v>
      </c>
      <c r="L12737" s="0" t="str">
        <f aca="false">HYPERLINK("https://www.ncbi.nlm.nih.gov/nuccore/CP000058.1?report=graph&amp;tracks=[key:gene_model_track,Options:GeneOnly]&amp;mk=3988014:3988033|offset_8|444444,3987943:3987962|offset_79|00cc00,3987880:3987899|offset_142|444444,3987842:3987861|offset_180|444444&amp;v=3987813:3988061&amp;c=444444", "offset 79")</f>
        <v>offset 79</v>
      </c>
    </row>
    <row r="12738" customFormat="false" ht="12.8" hidden="false" customHeight="false" outlineLevel="0" collapsed="false">
      <c r="A12738" s="0" t="s">
        <v>12</v>
      </c>
      <c r="B12738" s="0" t="n">
        <v>3987879</v>
      </c>
      <c r="C12738" s="0" t="n">
        <v>3987899</v>
      </c>
      <c r="D12738" s="0" t="s">
        <v>42306</v>
      </c>
      <c r="E12738" s="0" t="s">
        <v>75</v>
      </c>
      <c r="F12738" s="0" t="s">
        <v>90</v>
      </c>
      <c r="G12738" s="0" t="s">
        <v>20</v>
      </c>
      <c r="H12738" s="0" t="n">
        <v>142</v>
      </c>
      <c r="I12738" s="0" t="s">
        <v>42313</v>
      </c>
      <c r="J12738" s="0" t="s">
        <v>42314</v>
      </c>
      <c r="K12738" s="0" t="s">
        <v>42315</v>
      </c>
      <c r="L12738" s="0" t="str">
        <f aca="false">HYPERLINK("https://www.ncbi.nlm.nih.gov/nuccore/CP000058.1?report=graph&amp;tracks=[key:gene_model_track,Options:GeneOnly]&amp;mk=3988014:3988033|offset_8|444444,3987943:3987962|offset_79|444444,3987880:3987899|offset_142|00cc00,3987842:3987861|offset_180|444444&amp;v=3987813:3988061&amp;c=444444", "offset 142")</f>
        <v>offset 142</v>
      </c>
    </row>
    <row r="12739" customFormat="false" ht="12.8" hidden="false" customHeight="false" outlineLevel="0" collapsed="false">
      <c r="A12739" s="0" t="s">
        <v>12</v>
      </c>
      <c r="B12739" s="0" t="n">
        <v>3987841</v>
      </c>
      <c r="C12739" s="0" t="n">
        <v>3987861</v>
      </c>
      <c r="D12739" s="0" t="s">
        <v>42306</v>
      </c>
      <c r="E12739" s="0" t="s">
        <v>75</v>
      </c>
      <c r="F12739" s="0" t="s">
        <v>90</v>
      </c>
      <c r="G12739" s="0" t="s">
        <v>32</v>
      </c>
      <c r="H12739" s="0" t="n">
        <v>180</v>
      </c>
      <c r="I12739" s="0" t="s">
        <v>42316</v>
      </c>
      <c r="J12739" s="0" t="s">
        <v>42317</v>
      </c>
      <c r="K12739" s="0" t="s">
        <v>42318</v>
      </c>
      <c r="L12739" s="0" t="str">
        <f aca="false">HYPERLINK("https://www.ncbi.nlm.nih.gov/nuccore/CP000058.1?report=graph&amp;tracks=[key:gene_model_track,Options:GeneOnly]&amp;mk=3988014:3988033|offset_8|444444,3987943:3987962|offset_79|444444,3987880:3987899|offset_142|444444,3987842:3987861|offset_180|00cc00&amp;v=3987813:3988061&amp;c=444444", "offset 180")</f>
        <v>offset 180</v>
      </c>
    </row>
    <row r="12740" customFormat="false" ht="12.8" hidden="false" customHeight="false" outlineLevel="0" collapsed="false">
      <c r="A12740" s="0" t="s">
        <v>12</v>
      </c>
      <c r="B12740" s="0" t="n">
        <v>3988270</v>
      </c>
      <c r="C12740" s="0" t="n">
        <v>3988290</v>
      </c>
      <c r="D12740" s="0" t="s">
        <v>42319</v>
      </c>
      <c r="E12740" s="0" t="s">
        <v>75</v>
      </c>
      <c r="F12740" s="0" t="s">
        <v>90</v>
      </c>
      <c r="G12740" s="0" t="s">
        <v>20</v>
      </c>
      <c r="H12740" s="0" t="n">
        <v>14</v>
      </c>
      <c r="I12740" s="0" t="s">
        <v>42320</v>
      </c>
      <c r="J12740" s="0" t="s">
        <v>42321</v>
      </c>
      <c r="K12740" s="0" t="s">
        <v>42322</v>
      </c>
      <c r="L12740" s="0" t="str">
        <f aca="false">HYPERLINK("https://www.ncbi.nlm.nih.gov/nuccore/CP000058.1?report=graph&amp;tracks=[key:gene_model_track,Options:GeneOnly]&amp;mk=3988271:3988290|offset_14|00cc00,3988248:3988267|offset_37|444444,3988225:3988244|offset_60|444444,3988200:3988219|offset_85|444444&amp;v=3988070:3988419&amp;c=444444", "offset 14")</f>
        <v>offset 14</v>
      </c>
    </row>
    <row r="12741" customFormat="false" ht="12.8" hidden="false" customHeight="false" outlineLevel="0" collapsed="false">
      <c r="A12741" s="0" t="s">
        <v>12</v>
      </c>
      <c r="B12741" s="0" t="n">
        <v>3988247</v>
      </c>
      <c r="C12741" s="0" t="n">
        <v>3988267</v>
      </c>
      <c r="D12741" s="0" t="s">
        <v>42319</v>
      </c>
      <c r="E12741" s="0" t="s">
        <v>75</v>
      </c>
      <c r="F12741" s="0" t="s">
        <v>90</v>
      </c>
      <c r="G12741" s="0" t="s">
        <v>32</v>
      </c>
      <c r="H12741" s="0" t="n">
        <v>37</v>
      </c>
      <c r="I12741" s="0" t="s">
        <v>42323</v>
      </c>
      <c r="J12741" s="0" t="s">
        <v>42324</v>
      </c>
      <c r="K12741" s="0" t="s">
        <v>42325</v>
      </c>
      <c r="L12741" s="0" t="str">
        <f aca="false">HYPERLINK("https://www.ncbi.nlm.nih.gov/nuccore/CP000058.1?report=graph&amp;tracks=[key:gene_model_track,Options:GeneOnly]&amp;mk=3988271:3988290|offset_14|444444,3988248:3988267|offset_37|00cc00,3988225:3988244|offset_60|444444,3988200:3988219|offset_85|444444&amp;v=3988070:3988419&amp;c=444444", "offset 37")</f>
        <v>offset 37</v>
      </c>
    </row>
    <row r="12742" customFormat="false" ht="12.8" hidden="false" customHeight="false" outlineLevel="0" collapsed="false">
      <c r="A12742" s="0" t="s">
        <v>12</v>
      </c>
      <c r="B12742" s="0" t="n">
        <v>3988224</v>
      </c>
      <c r="C12742" s="0" t="n">
        <v>3988244</v>
      </c>
      <c r="D12742" s="0" t="s">
        <v>42319</v>
      </c>
      <c r="E12742" s="0" t="s">
        <v>75</v>
      </c>
      <c r="F12742" s="0" t="s">
        <v>90</v>
      </c>
      <c r="G12742" s="0" t="s">
        <v>16</v>
      </c>
      <c r="H12742" s="0" t="n">
        <v>60</v>
      </c>
      <c r="I12742" s="0" t="s">
        <v>42326</v>
      </c>
      <c r="J12742" s="0" t="s">
        <v>42327</v>
      </c>
      <c r="K12742" s="0" t="s">
        <v>42328</v>
      </c>
      <c r="L12742" s="0" t="str">
        <f aca="false">HYPERLINK("https://www.ncbi.nlm.nih.gov/nuccore/CP000058.1?report=graph&amp;tracks=[key:gene_model_track,Options:GeneOnly]&amp;mk=3988271:3988290|offset_14|444444,3988248:3988267|offset_37|444444,3988225:3988244|offset_60|00cc00,3988200:3988219|offset_85|444444&amp;v=3988070:3988419&amp;c=444444", "offset 60")</f>
        <v>offset 60</v>
      </c>
    </row>
    <row r="12743" customFormat="false" ht="12.8" hidden="false" customHeight="false" outlineLevel="0" collapsed="false">
      <c r="A12743" s="0" t="s">
        <v>12</v>
      </c>
      <c r="B12743" s="0" t="n">
        <v>3988199</v>
      </c>
      <c r="C12743" s="0" t="n">
        <v>3988219</v>
      </c>
      <c r="D12743" s="0" t="s">
        <v>42319</v>
      </c>
      <c r="E12743" s="0" t="s">
        <v>75</v>
      </c>
      <c r="F12743" s="0" t="s">
        <v>90</v>
      </c>
      <c r="G12743" s="0" t="s">
        <v>36</v>
      </c>
      <c r="H12743" s="0" t="n">
        <v>85</v>
      </c>
      <c r="I12743" s="0" t="s">
        <v>42329</v>
      </c>
      <c r="J12743" s="0" t="s">
        <v>42330</v>
      </c>
      <c r="K12743" s="0" t="s">
        <v>42331</v>
      </c>
      <c r="L12743" s="0" t="str">
        <f aca="false">HYPERLINK("https://www.ncbi.nlm.nih.gov/nuccore/CP000058.1?report=graph&amp;tracks=[key:gene_model_track,Options:GeneOnly]&amp;mk=3988271:3988290|offset_14|444444,3988248:3988267|offset_37|444444,3988225:3988244|offset_60|444444,3988200:3988219|offset_85|00cc00&amp;v=3988070:3988419&amp;c=444444", "offset 85")</f>
        <v>offset 85</v>
      </c>
    </row>
    <row r="12744" customFormat="false" ht="12.8" hidden="false" customHeight="false" outlineLevel="0" collapsed="false">
      <c r="A12744" s="0" t="s">
        <v>12</v>
      </c>
      <c r="B12744" s="0" t="n">
        <v>3988473</v>
      </c>
      <c r="C12744" s="0" t="n">
        <v>3988493</v>
      </c>
      <c r="D12744" s="0" t="s">
        <v>42332</v>
      </c>
      <c r="E12744" s="0" t="s">
        <v>75</v>
      </c>
      <c r="F12744" s="0" t="s">
        <v>15</v>
      </c>
      <c r="G12744" s="0" t="s">
        <v>20</v>
      </c>
      <c r="H12744" s="0" t="n">
        <v>0</v>
      </c>
      <c r="I12744" s="0" t="s">
        <v>42333</v>
      </c>
      <c r="J12744" s="0" t="s">
        <v>42334</v>
      </c>
      <c r="K12744" s="0" t="s">
        <v>42335</v>
      </c>
      <c r="L12744" s="0" t="str">
        <f aca="false">HYPERLINK("https://www.ncbi.nlm.nih.gov/nuccore/CP000058.1?report=graph&amp;tracks=[key:gene_model_track,Options:GeneOnly]&amp;mk=3988474:3988493|offset_0|00cc00,3988515:3988534|offset_41|444444,3988541:3988560|offset_67|444444,3988593:3988612|offset_119|444444&amp;v=3988273:3988812&amp;c=444444", "offset 0")</f>
        <v>offset 0</v>
      </c>
    </row>
    <row r="12745" customFormat="false" ht="12.8" hidden="false" customHeight="false" outlineLevel="0" collapsed="false">
      <c r="A12745" s="0" t="s">
        <v>12</v>
      </c>
      <c r="B12745" s="0" t="n">
        <v>3988514</v>
      </c>
      <c r="C12745" s="0" t="n">
        <v>3988534</v>
      </c>
      <c r="D12745" s="0" t="s">
        <v>42332</v>
      </c>
      <c r="E12745" s="0" t="s">
        <v>75</v>
      </c>
      <c r="F12745" s="0" t="s">
        <v>15</v>
      </c>
      <c r="G12745" s="0" t="s">
        <v>32</v>
      </c>
      <c r="H12745" s="0" t="n">
        <v>41</v>
      </c>
      <c r="I12745" s="0" t="s">
        <v>42336</v>
      </c>
      <c r="J12745" s="0" t="s">
        <v>42337</v>
      </c>
      <c r="K12745" s="0" t="s">
        <v>42338</v>
      </c>
      <c r="L12745" s="0" t="str">
        <f aca="false">HYPERLINK("https://www.ncbi.nlm.nih.gov/nuccore/CP000058.1?report=graph&amp;tracks=[key:gene_model_track,Options:GeneOnly]&amp;mk=3988474:3988493|offset_0|444444,3988515:3988534|offset_41|00cc00,3988541:3988560|offset_67|444444,3988593:3988612|offset_119|444444&amp;v=3988273:3988812&amp;c=444444", "offset 41")</f>
        <v>offset 41</v>
      </c>
    </row>
    <row r="12746" customFormat="false" ht="12.8" hidden="false" customHeight="false" outlineLevel="0" collapsed="false">
      <c r="A12746" s="0" t="s">
        <v>12</v>
      </c>
      <c r="B12746" s="0" t="n">
        <v>3988540</v>
      </c>
      <c r="C12746" s="0" t="n">
        <v>3988560</v>
      </c>
      <c r="D12746" s="0" t="s">
        <v>42332</v>
      </c>
      <c r="E12746" s="0" t="s">
        <v>75</v>
      </c>
      <c r="F12746" s="0" t="s">
        <v>15</v>
      </c>
      <c r="G12746" s="0" t="s">
        <v>16</v>
      </c>
      <c r="H12746" s="0" t="n">
        <v>67</v>
      </c>
      <c r="I12746" s="0" t="s">
        <v>42339</v>
      </c>
      <c r="J12746" s="0" t="s">
        <v>42340</v>
      </c>
      <c r="K12746" s="0" t="s">
        <v>42341</v>
      </c>
      <c r="L12746" s="0" t="str">
        <f aca="false">HYPERLINK("https://www.ncbi.nlm.nih.gov/nuccore/CP000058.1?report=graph&amp;tracks=[key:gene_model_track,Options:GeneOnly]&amp;mk=3988474:3988493|offset_0|444444,3988515:3988534|offset_41|444444,3988541:3988560|offset_67|00cc00,3988593:3988612|offset_119|444444&amp;v=3988273:3988812&amp;c=444444", "offset 67")</f>
        <v>offset 67</v>
      </c>
    </row>
    <row r="12747" customFormat="false" ht="12.8" hidden="false" customHeight="false" outlineLevel="0" collapsed="false">
      <c r="A12747" s="0" t="s">
        <v>12</v>
      </c>
      <c r="B12747" s="0" t="n">
        <v>3988592</v>
      </c>
      <c r="C12747" s="0" t="n">
        <v>3988612</v>
      </c>
      <c r="D12747" s="0" t="s">
        <v>42332</v>
      </c>
      <c r="E12747" s="0" t="s">
        <v>75</v>
      </c>
      <c r="F12747" s="0" t="s">
        <v>15</v>
      </c>
      <c r="G12747" s="0" t="s">
        <v>20</v>
      </c>
      <c r="H12747" s="0" t="n">
        <v>119</v>
      </c>
      <c r="I12747" s="0" t="s">
        <v>42342</v>
      </c>
      <c r="J12747" s="0" t="s">
        <v>42343</v>
      </c>
      <c r="K12747" s="0" t="s">
        <v>42344</v>
      </c>
      <c r="L12747" s="0" t="str">
        <f aca="false">HYPERLINK("https://www.ncbi.nlm.nih.gov/nuccore/CP000058.1?report=graph&amp;tracks=[key:gene_model_track,Options:GeneOnly]&amp;mk=3988474:3988493|offset_0|444444,3988515:3988534|offset_41|444444,3988541:3988560|offset_67|444444,3988593:3988612|offset_119|00cc00&amp;v=3988273:3988812&amp;c=444444", "offset 119")</f>
        <v>offset 119</v>
      </c>
    </row>
    <row r="12748" customFormat="false" ht="12.8" hidden="false" customHeight="false" outlineLevel="0" collapsed="false">
      <c r="A12748" s="0" t="s">
        <v>12</v>
      </c>
      <c r="B12748" s="0" t="n">
        <v>3989139</v>
      </c>
      <c r="C12748" s="0" t="n">
        <v>3989159</v>
      </c>
      <c r="D12748" s="0" t="s">
        <v>42345</v>
      </c>
      <c r="E12748" s="0" t="s">
        <v>75</v>
      </c>
      <c r="F12748" s="0" t="s">
        <v>15</v>
      </c>
      <c r="G12748" s="0" t="s">
        <v>20</v>
      </c>
      <c r="H12748" s="0" t="n">
        <v>7</v>
      </c>
      <c r="I12748" s="0" t="s">
        <v>42346</v>
      </c>
      <c r="J12748" s="0" t="s">
        <v>42347</v>
      </c>
      <c r="K12748" s="0" t="s">
        <v>42348</v>
      </c>
      <c r="L12748" s="0" t="str">
        <f aca="false">HYPERLINK("https://www.ncbi.nlm.nih.gov/nuccore/CP000058.1?report=graph&amp;tracks=[key:gene_model_track,Options:GeneOnly]&amp;mk=3989140:3989159|offset_7|00cc00,3989166:3989185|offset_33|444444,3989195:3989214|offset_62|444444,3989228:3989247|offset_95|444444&amp;v=3988939:3989447&amp;c=444444", "offset 7")</f>
        <v>offset 7</v>
      </c>
    </row>
    <row r="12749" customFormat="false" ht="12.8" hidden="false" customHeight="false" outlineLevel="0" collapsed="false">
      <c r="A12749" s="0" t="s">
        <v>12</v>
      </c>
      <c r="B12749" s="0" t="n">
        <v>3989165</v>
      </c>
      <c r="C12749" s="0" t="n">
        <v>3989185</v>
      </c>
      <c r="D12749" s="0" t="s">
        <v>42345</v>
      </c>
      <c r="E12749" s="0" t="s">
        <v>75</v>
      </c>
      <c r="F12749" s="0" t="s">
        <v>15</v>
      </c>
      <c r="G12749" s="0" t="s">
        <v>16</v>
      </c>
      <c r="H12749" s="0" t="n">
        <v>33</v>
      </c>
      <c r="I12749" s="0" t="s">
        <v>42349</v>
      </c>
      <c r="J12749" s="0" t="s">
        <v>42350</v>
      </c>
      <c r="K12749" s="0" t="s">
        <v>42351</v>
      </c>
      <c r="L12749" s="0" t="str">
        <f aca="false">HYPERLINK("https://www.ncbi.nlm.nih.gov/nuccore/CP000058.1?report=graph&amp;tracks=[key:gene_model_track,Options:GeneOnly]&amp;mk=3989140:3989159|offset_7|444444,3989166:3989185|offset_33|00cc00,3989195:3989214|offset_62|444444,3989228:3989247|offset_95|444444&amp;v=3988939:3989447&amp;c=444444", "offset 33")</f>
        <v>offset 33</v>
      </c>
    </row>
    <row r="12750" customFormat="false" ht="12.8" hidden="false" customHeight="false" outlineLevel="0" collapsed="false">
      <c r="A12750" s="0" t="s">
        <v>12</v>
      </c>
      <c r="B12750" s="0" t="n">
        <v>3989194</v>
      </c>
      <c r="C12750" s="0" t="n">
        <v>3989214</v>
      </c>
      <c r="D12750" s="0" t="s">
        <v>42345</v>
      </c>
      <c r="E12750" s="0" t="s">
        <v>75</v>
      </c>
      <c r="F12750" s="0" t="s">
        <v>15</v>
      </c>
      <c r="G12750" s="0" t="s">
        <v>20</v>
      </c>
      <c r="H12750" s="0" t="n">
        <v>62</v>
      </c>
      <c r="I12750" s="0" t="s">
        <v>42352</v>
      </c>
      <c r="J12750" s="0" t="s">
        <v>42353</v>
      </c>
      <c r="K12750" s="0" t="s">
        <v>42354</v>
      </c>
      <c r="L12750" s="0" t="str">
        <f aca="false">HYPERLINK("https://www.ncbi.nlm.nih.gov/nuccore/CP000058.1?report=graph&amp;tracks=[key:gene_model_track,Options:GeneOnly]&amp;mk=3989140:3989159|offset_7|444444,3989166:3989185|offset_33|444444,3989195:3989214|offset_62|00cc00,3989228:3989247|offset_95|444444&amp;v=3988939:3989447&amp;c=444444", "offset 62")</f>
        <v>offset 62</v>
      </c>
    </row>
    <row r="12751" customFormat="false" ht="12.8" hidden="false" customHeight="false" outlineLevel="0" collapsed="false">
      <c r="A12751" s="0" t="s">
        <v>12</v>
      </c>
      <c r="B12751" s="0" t="n">
        <v>3989227</v>
      </c>
      <c r="C12751" s="0" t="n">
        <v>3989247</v>
      </c>
      <c r="D12751" s="0" t="s">
        <v>42345</v>
      </c>
      <c r="E12751" s="0" t="s">
        <v>75</v>
      </c>
      <c r="F12751" s="0" t="s">
        <v>15</v>
      </c>
      <c r="G12751" s="0" t="s">
        <v>32</v>
      </c>
      <c r="H12751" s="0" t="n">
        <v>95</v>
      </c>
      <c r="I12751" s="0" t="s">
        <v>42355</v>
      </c>
      <c r="J12751" s="0" t="s">
        <v>42356</v>
      </c>
      <c r="K12751" s="0" t="s">
        <v>42357</v>
      </c>
      <c r="L12751" s="0" t="str">
        <f aca="false">HYPERLINK("https://www.ncbi.nlm.nih.gov/nuccore/CP000058.1?report=graph&amp;tracks=[key:gene_model_track,Options:GeneOnly]&amp;mk=3989140:3989159|offset_7|444444,3989166:3989185|offset_33|444444,3989195:3989214|offset_62|444444,3989228:3989247|offset_95|00cc00&amp;v=3988939:3989447&amp;c=444444", "offset 95")</f>
        <v>offset 95</v>
      </c>
    </row>
    <row r="12752" customFormat="false" ht="12.8" hidden="false" customHeight="false" outlineLevel="0" collapsed="false">
      <c r="A12752" s="0" t="s">
        <v>12</v>
      </c>
      <c r="B12752" s="0" t="n">
        <v>3991740</v>
      </c>
      <c r="C12752" s="0" t="n">
        <v>3991760</v>
      </c>
      <c r="D12752" s="0" t="s">
        <v>42358</v>
      </c>
      <c r="E12752" s="0" t="s">
        <v>75</v>
      </c>
      <c r="F12752" s="0" t="s">
        <v>90</v>
      </c>
      <c r="G12752" s="0" t="s">
        <v>16</v>
      </c>
      <c r="H12752" s="0" t="n">
        <v>45</v>
      </c>
      <c r="I12752" s="0" t="s">
        <v>42359</v>
      </c>
      <c r="J12752" s="0" t="s">
        <v>42360</v>
      </c>
      <c r="K12752" s="0" t="s">
        <v>42361</v>
      </c>
      <c r="L12752" s="0" t="str">
        <f aca="false">HYPERLINK("https://www.ncbi.nlm.nih.gov/nuccore/CP000058.1?report=graph&amp;tracks=[key:gene_model_track,Options:GeneOnly]&amp;mk=3991741:3991760|offset_45|00cc00,3991719:3991738|offset_67|444444,3991595:3991614|offset_191|444444,3991551:3991570|offset_235|444444&amp;v=3991540:3991770&amp;c=444444", "offset 45")</f>
        <v>offset 45</v>
      </c>
    </row>
    <row r="12753" customFormat="false" ht="12.8" hidden="false" customHeight="false" outlineLevel="0" collapsed="false">
      <c r="A12753" s="0" t="s">
        <v>12</v>
      </c>
      <c r="B12753" s="0" t="n">
        <v>3991718</v>
      </c>
      <c r="C12753" s="0" t="n">
        <v>3991738</v>
      </c>
      <c r="D12753" s="0" t="s">
        <v>42358</v>
      </c>
      <c r="E12753" s="0" t="s">
        <v>75</v>
      </c>
      <c r="F12753" s="0" t="s">
        <v>90</v>
      </c>
      <c r="G12753" s="0" t="s">
        <v>20</v>
      </c>
      <c r="H12753" s="0" t="n">
        <v>67</v>
      </c>
      <c r="I12753" s="0" t="s">
        <v>42362</v>
      </c>
      <c r="J12753" s="0" t="s">
        <v>42363</v>
      </c>
      <c r="K12753" s="0" t="s">
        <v>42364</v>
      </c>
      <c r="L12753" s="0" t="str">
        <f aca="false">HYPERLINK("https://www.ncbi.nlm.nih.gov/nuccore/CP000058.1?report=graph&amp;tracks=[key:gene_model_track,Options:GeneOnly]&amp;mk=3991741:3991760|offset_45|444444,3991719:3991738|offset_67|00cc00,3991595:3991614|offset_191|444444,3991551:3991570|offset_235|444444&amp;v=3991540:3991770&amp;c=444444", "offset 67")</f>
        <v>offset 67</v>
      </c>
    </row>
    <row r="12754" customFormat="false" ht="12.8" hidden="false" customHeight="false" outlineLevel="0" collapsed="false">
      <c r="A12754" s="0" t="s">
        <v>12</v>
      </c>
      <c r="B12754" s="0" t="n">
        <v>3991594</v>
      </c>
      <c r="C12754" s="0" t="n">
        <v>3991614</v>
      </c>
      <c r="D12754" s="0" t="s">
        <v>42358</v>
      </c>
      <c r="E12754" s="0" t="s">
        <v>75</v>
      </c>
      <c r="F12754" s="0" t="s">
        <v>90</v>
      </c>
      <c r="G12754" s="0" t="s">
        <v>32</v>
      </c>
      <c r="H12754" s="0" t="n">
        <v>191</v>
      </c>
      <c r="I12754" s="0" t="s">
        <v>42365</v>
      </c>
      <c r="J12754" s="0" t="s">
        <v>42366</v>
      </c>
      <c r="K12754" s="0" t="s">
        <v>42367</v>
      </c>
      <c r="L12754" s="0" t="str">
        <f aca="false">HYPERLINK("https://www.ncbi.nlm.nih.gov/nuccore/CP000058.1?report=graph&amp;tracks=[key:gene_model_track,Options:GeneOnly]&amp;mk=3991741:3991760|offset_45|444444,3991719:3991738|offset_67|444444,3991595:3991614|offset_191|00cc00,3991551:3991570|offset_235|444444&amp;v=3991540:3991770&amp;c=444444", "offset 191")</f>
        <v>offset 191</v>
      </c>
    </row>
    <row r="12755" customFormat="false" ht="12.8" hidden="false" customHeight="false" outlineLevel="0" collapsed="false">
      <c r="A12755" s="0" t="s">
        <v>12</v>
      </c>
      <c r="B12755" s="0" t="n">
        <v>3991550</v>
      </c>
      <c r="C12755" s="0" t="n">
        <v>3991570</v>
      </c>
      <c r="D12755" s="0" t="s">
        <v>42358</v>
      </c>
      <c r="E12755" s="0" t="s">
        <v>75</v>
      </c>
      <c r="F12755" s="0" t="s">
        <v>90</v>
      </c>
      <c r="G12755" s="0" t="s">
        <v>20</v>
      </c>
      <c r="H12755" s="0" t="n">
        <v>235</v>
      </c>
      <c r="I12755" s="0" t="s">
        <v>42368</v>
      </c>
      <c r="J12755" s="0" t="s">
        <v>42369</v>
      </c>
      <c r="K12755" s="0" t="s">
        <v>42370</v>
      </c>
      <c r="L12755" s="0" t="str">
        <f aca="false">HYPERLINK("https://www.ncbi.nlm.nih.gov/nuccore/CP000058.1?report=graph&amp;tracks=[key:gene_model_track,Options:GeneOnly]&amp;mk=3991741:3991760|offset_45|444444,3991719:3991738|offset_67|444444,3991595:3991614|offset_191|444444,3991551:3991570|offset_235|00cc00&amp;v=3991540:3991770&amp;c=444444", "offset 235")</f>
        <v>offset 235</v>
      </c>
    </row>
    <row r="12756" customFormat="false" ht="12.8" hidden="false" customHeight="false" outlineLevel="0" collapsed="false">
      <c r="A12756" s="0" t="s">
        <v>12</v>
      </c>
      <c r="B12756" s="0" t="n">
        <v>3993308</v>
      </c>
      <c r="C12756" s="0" t="n">
        <v>3993328</v>
      </c>
      <c r="D12756" s="0" t="s">
        <v>42371</v>
      </c>
      <c r="E12756" s="0" t="s">
        <v>42372</v>
      </c>
      <c r="F12756" s="0" t="s">
        <v>90</v>
      </c>
      <c r="G12756" s="0" t="s">
        <v>16</v>
      </c>
      <c r="H12756" s="0" t="n">
        <v>10</v>
      </c>
      <c r="I12756" s="0" t="s">
        <v>42373</v>
      </c>
      <c r="J12756" s="0" t="s">
        <v>42374</v>
      </c>
      <c r="K12756" s="0" t="s">
        <v>42375</v>
      </c>
      <c r="L12756" s="0" t="str">
        <f aca="false">HYPERLINK("https://www.ncbi.nlm.nih.gov/nuccore/CP000058.1?report=graph&amp;tracks=[key:gene_model_track,Options:GeneOnly]&amp;mk=3993309:3993328|offset_10|00cc00,3993273:3993292|offset_46|444444,3993253:3993272|offset_66|444444,3993227:3993246|offset_92|444444&amp;v=3993108:3993446&amp;c=444444", "offset 10")</f>
        <v>offset 10</v>
      </c>
    </row>
    <row r="12757" customFormat="false" ht="12.8" hidden="false" customHeight="false" outlineLevel="0" collapsed="false">
      <c r="A12757" s="0" t="s">
        <v>12</v>
      </c>
      <c r="B12757" s="0" t="n">
        <v>3993272</v>
      </c>
      <c r="C12757" s="0" t="n">
        <v>3993292</v>
      </c>
      <c r="D12757" s="0" t="s">
        <v>42371</v>
      </c>
      <c r="E12757" s="0" t="s">
        <v>42372</v>
      </c>
      <c r="F12757" s="0" t="s">
        <v>90</v>
      </c>
      <c r="G12757" s="0" t="s">
        <v>36</v>
      </c>
      <c r="H12757" s="0" t="n">
        <v>46</v>
      </c>
      <c r="I12757" s="0" t="s">
        <v>42376</v>
      </c>
      <c r="J12757" s="0" t="s">
        <v>42377</v>
      </c>
      <c r="K12757" s="0" t="s">
        <v>42378</v>
      </c>
      <c r="L12757" s="0" t="str">
        <f aca="false">HYPERLINK("https://www.ncbi.nlm.nih.gov/nuccore/CP000058.1?report=graph&amp;tracks=[key:gene_model_track,Options:GeneOnly]&amp;mk=3993309:3993328|offset_10|444444,3993273:3993292|offset_46|00cc00,3993253:3993272|offset_66|444444,3993227:3993246|offset_92|444444&amp;v=3993108:3993446&amp;c=444444", "offset 46")</f>
        <v>offset 46</v>
      </c>
    </row>
    <row r="12758" customFormat="false" ht="12.8" hidden="false" customHeight="false" outlineLevel="0" collapsed="false">
      <c r="A12758" s="0" t="s">
        <v>12</v>
      </c>
      <c r="B12758" s="0" t="n">
        <v>3993252</v>
      </c>
      <c r="C12758" s="0" t="n">
        <v>3993272</v>
      </c>
      <c r="D12758" s="0" t="s">
        <v>42371</v>
      </c>
      <c r="E12758" s="0" t="s">
        <v>42372</v>
      </c>
      <c r="F12758" s="0" t="s">
        <v>90</v>
      </c>
      <c r="G12758" s="0" t="s">
        <v>16</v>
      </c>
      <c r="H12758" s="0" t="n">
        <v>66</v>
      </c>
      <c r="I12758" s="0" t="s">
        <v>42379</v>
      </c>
      <c r="J12758" s="0" t="s">
        <v>42380</v>
      </c>
      <c r="K12758" s="0" t="s">
        <v>42381</v>
      </c>
      <c r="L12758" s="0" t="str">
        <f aca="false">HYPERLINK("https://www.ncbi.nlm.nih.gov/nuccore/CP000058.1?report=graph&amp;tracks=[key:gene_model_track,Options:GeneOnly]&amp;mk=3993309:3993328|offset_10|444444,3993273:3993292|offset_46|444444,3993253:3993272|offset_66|00cc00,3993227:3993246|offset_92|444444&amp;v=3993108:3993446&amp;c=444444", "offset 66")</f>
        <v>offset 66</v>
      </c>
    </row>
    <row r="12759" customFormat="false" ht="12.8" hidden="false" customHeight="false" outlineLevel="0" collapsed="false">
      <c r="A12759" s="0" t="s">
        <v>12</v>
      </c>
      <c r="B12759" s="0" t="n">
        <v>3993226</v>
      </c>
      <c r="C12759" s="0" t="n">
        <v>3993246</v>
      </c>
      <c r="D12759" s="0" t="s">
        <v>42371</v>
      </c>
      <c r="E12759" s="0" t="s">
        <v>42372</v>
      </c>
      <c r="F12759" s="0" t="s">
        <v>90</v>
      </c>
      <c r="G12759" s="0" t="s">
        <v>16</v>
      </c>
      <c r="H12759" s="0" t="n">
        <v>92</v>
      </c>
      <c r="I12759" s="0" t="s">
        <v>42382</v>
      </c>
      <c r="J12759" s="0" t="s">
        <v>42383</v>
      </c>
      <c r="K12759" s="0" t="s">
        <v>42384</v>
      </c>
      <c r="L12759" s="0" t="str">
        <f aca="false">HYPERLINK("https://www.ncbi.nlm.nih.gov/nuccore/CP000058.1?report=graph&amp;tracks=[key:gene_model_track,Options:GeneOnly]&amp;mk=3993309:3993328|offset_10|444444,3993273:3993292|offset_46|444444,3993253:3993272|offset_66|444444,3993227:3993246|offset_92|00cc00&amp;v=3993108:3993446&amp;c=444444", "offset 92")</f>
        <v>offset 92</v>
      </c>
    </row>
    <row r="12760" customFormat="false" ht="12.8" hidden="false" customHeight="false" outlineLevel="0" collapsed="false">
      <c r="A12760" s="0" t="s">
        <v>12</v>
      </c>
      <c r="B12760" s="0" t="n">
        <v>3994872</v>
      </c>
      <c r="C12760" s="0" t="n">
        <v>3994892</v>
      </c>
      <c r="D12760" s="0" t="s">
        <v>42385</v>
      </c>
      <c r="E12760" s="0" t="s">
        <v>75</v>
      </c>
      <c r="F12760" s="0" t="s">
        <v>15</v>
      </c>
      <c r="G12760" s="0" t="s">
        <v>16</v>
      </c>
      <c r="H12760" s="0" t="n">
        <v>22</v>
      </c>
      <c r="I12760" s="0" t="s">
        <v>42386</v>
      </c>
      <c r="J12760" s="0" t="s">
        <v>42387</v>
      </c>
      <c r="K12760" s="0" t="s">
        <v>42388</v>
      </c>
      <c r="L12760" s="0" t="str">
        <f aca="false">HYPERLINK("https://www.ncbi.nlm.nih.gov/nuccore/CP000058.1?report=graph&amp;tracks=[key:gene_model_track,Options:GeneOnly]&amp;mk=3994873:3994892|offset_22|00cc00,3994925:3994944|offset_74|444444,3994994:3995013|offset_143|444444,3995018:3995037|offset_167|444444&amp;v=3994672:3995237&amp;c=444444", "offset 22")</f>
        <v>offset 22</v>
      </c>
    </row>
    <row r="12761" customFormat="false" ht="12.8" hidden="false" customHeight="false" outlineLevel="0" collapsed="false">
      <c r="A12761" s="0" t="s">
        <v>12</v>
      </c>
      <c r="B12761" s="0" t="n">
        <v>3994924</v>
      </c>
      <c r="C12761" s="0" t="n">
        <v>3994944</v>
      </c>
      <c r="D12761" s="0" t="s">
        <v>42385</v>
      </c>
      <c r="E12761" s="0" t="s">
        <v>75</v>
      </c>
      <c r="F12761" s="0" t="s">
        <v>15</v>
      </c>
      <c r="G12761" s="0" t="s">
        <v>32</v>
      </c>
      <c r="H12761" s="0" t="n">
        <v>74</v>
      </c>
      <c r="I12761" s="0" t="s">
        <v>42389</v>
      </c>
      <c r="J12761" s="0" t="s">
        <v>42390</v>
      </c>
      <c r="K12761" s="0" t="s">
        <v>42391</v>
      </c>
      <c r="L12761" s="0" t="str">
        <f aca="false">HYPERLINK("https://www.ncbi.nlm.nih.gov/nuccore/CP000058.1?report=graph&amp;tracks=[key:gene_model_track,Options:GeneOnly]&amp;mk=3994873:3994892|offset_22|444444,3994925:3994944|offset_74|00cc00,3994994:3995013|offset_143|444444,3995018:3995037|offset_167|444444&amp;v=3994672:3995237&amp;c=444444", "offset 74")</f>
        <v>offset 74</v>
      </c>
    </row>
    <row r="12762" customFormat="false" ht="12.8" hidden="false" customHeight="false" outlineLevel="0" collapsed="false">
      <c r="A12762" s="0" t="s">
        <v>12</v>
      </c>
      <c r="B12762" s="0" t="n">
        <v>3994993</v>
      </c>
      <c r="C12762" s="0" t="n">
        <v>3995013</v>
      </c>
      <c r="D12762" s="0" t="s">
        <v>42385</v>
      </c>
      <c r="E12762" s="0" t="s">
        <v>75</v>
      </c>
      <c r="F12762" s="0" t="s">
        <v>15</v>
      </c>
      <c r="G12762" s="0" t="s">
        <v>16</v>
      </c>
      <c r="H12762" s="0" t="n">
        <v>143</v>
      </c>
      <c r="I12762" s="0" t="s">
        <v>42392</v>
      </c>
      <c r="J12762" s="0" t="s">
        <v>42393</v>
      </c>
      <c r="K12762" s="0" t="s">
        <v>42394</v>
      </c>
      <c r="L12762" s="0" t="str">
        <f aca="false">HYPERLINK("https://www.ncbi.nlm.nih.gov/nuccore/CP000058.1?report=graph&amp;tracks=[key:gene_model_track,Options:GeneOnly]&amp;mk=3994873:3994892|offset_22|444444,3994925:3994944|offset_74|444444,3994994:3995013|offset_143|00cc00,3995018:3995037|offset_167|444444&amp;v=3994672:3995237&amp;c=444444", "offset 143")</f>
        <v>offset 143</v>
      </c>
    </row>
    <row r="12763" customFormat="false" ht="12.8" hidden="false" customHeight="false" outlineLevel="0" collapsed="false">
      <c r="A12763" s="0" t="s">
        <v>12</v>
      </c>
      <c r="B12763" s="0" t="n">
        <v>3995017</v>
      </c>
      <c r="C12763" s="0" t="n">
        <v>3995037</v>
      </c>
      <c r="D12763" s="0" t="s">
        <v>42385</v>
      </c>
      <c r="E12763" s="0" t="s">
        <v>75</v>
      </c>
      <c r="F12763" s="0" t="s">
        <v>15</v>
      </c>
      <c r="G12763" s="0" t="s">
        <v>20</v>
      </c>
      <c r="H12763" s="0" t="n">
        <v>167</v>
      </c>
      <c r="I12763" s="0" t="s">
        <v>42395</v>
      </c>
      <c r="J12763" s="0" t="s">
        <v>42396</v>
      </c>
      <c r="K12763" s="0" t="s">
        <v>42397</v>
      </c>
      <c r="L12763" s="0" t="str">
        <f aca="false">HYPERLINK("https://www.ncbi.nlm.nih.gov/nuccore/CP000058.1?report=graph&amp;tracks=[key:gene_model_track,Options:GeneOnly]&amp;mk=3994873:3994892|offset_22|444444,3994925:3994944|offset_74|444444,3994994:3995013|offset_143|444444,3995018:3995037|offset_167|00cc00&amp;v=3994672:3995237&amp;c=444444", "offset 167")</f>
        <v>offset 167</v>
      </c>
    </row>
    <row r="12764" customFormat="false" ht="12.8" hidden="false" customHeight="false" outlineLevel="0" collapsed="false">
      <c r="A12764" s="0" t="s">
        <v>12</v>
      </c>
      <c r="B12764" s="0" t="n">
        <v>3996854</v>
      </c>
      <c r="C12764" s="0" t="n">
        <v>3996874</v>
      </c>
      <c r="D12764" s="0" t="s">
        <v>42398</v>
      </c>
      <c r="E12764" s="0" t="s">
        <v>75</v>
      </c>
      <c r="F12764" s="0" t="s">
        <v>15</v>
      </c>
      <c r="G12764" s="0" t="s">
        <v>16</v>
      </c>
      <c r="H12764" s="0" t="n">
        <v>43</v>
      </c>
      <c r="I12764" s="0" t="s">
        <v>42399</v>
      </c>
      <c r="J12764" s="0" t="s">
        <v>42400</v>
      </c>
      <c r="K12764" s="0" t="s">
        <v>42401</v>
      </c>
      <c r="L12764" s="0" t="str">
        <f aca="false">HYPERLINK("https://www.ncbi.nlm.nih.gov/nuccore/CP000058.1?report=graph&amp;tracks=[key:gene_model_track,Options:GeneOnly]&amp;mk=3996855:3996874|offset_43|00cc00,3996888:3996907|offset_76|444444,3996909:3996928|offset_97|444444,3996934:3996953|offset_122|444444&amp;v=3996654:3997153&amp;c=444444", "offset 43")</f>
        <v>offset 43</v>
      </c>
    </row>
    <row r="12765" customFormat="false" ht="12.8" hidden="false" customHeight="false" outlineLevel="0" collapsed="false">
      <c r="A12765" s="0" t="s">
        <v>12</v>
      </c>
      <c r="B12765" s="0" t="n">
        <v>3996887</v>
      </c>
      <c r="C12765" s="0" t="n">
        <v>3996907</v>
      </c>
      <c r="D12765" s="0" t="s">
        <v>42398</v>
      </c>
      <c r="E12765" s="0" t="s">
        <v>75</v>
      </c>
      <c r="F12765" s="0" t="s">
        <v>15</v>
      </c>
      <c r="G12765" s="0" t="s">
        <v>16</v>
      </c>
      <c r="H12765" s="0" t="n">
        <v>76</v>
      </c>
      <c r="I12765" s="0" t="s">
        <v>42402</v>
      </c>
      <c r="J12765" s="0" t="s">
        <v>42403</v>
      </c>
      <c r="K12765" s="0" t="s">
        <v>42404</v>
      </c>
      <c r="L12765" s="0" t="str">
        <f aca="false">HYPERLINK("https://www.ncbi.nlm.nih.gov/nuccore/CP000058.1?report=graph&amp;tracks=[key:gene_model_track,Options:GeneOnly]&amp;mk=3996855:3996874|offset_43|444444,3996888:3996907|offset_76|00cc00,3996909:3996928|offset_97|444444,3996934:3996953|offset_122|444444&amp;v=3996654:3997153&amp;c=444444", "offset 76")</f>
        <v>offset 76</v>
      </c>
    </row>
    <row r="12766" customFormat="false" ht="12.8" hidden="false" customHeight="false" outlineLevel="0" collapsed="false">
      <c r="A12766" s="0" t="s">
        <v>12</v>
      </c>
      <c r="B12766" s="0" t="n">
        <v>3996908</v>
      </c>
      <c r="C12766" s="0" t="n">
        <v>3996928</v>
      </c>
      <c r="D12766" s="0" t="s">
        <v>42398</v>
      </c>
      <c r="E12766" s="0" t="s">
        <v>75</v>
      </c>
      <c r="F12766" s="0" t="s">
        <v>15</v>
      </c>
      <c r="G12766" s="0" t="s">
        <v>16</v>
      </c>
      <c r="H12766" s="0" t="n">
        <v>97</v>
      </c>
      <c r="I12766" s="0" t="s">
        <v>42405</v>
      </c>
      <c r="J12766" s="0" t="s">
        <v>42406</v>
      </c>
      <c r="K12766" s="0" t="s">
        <v>42407</v>
      </c>
      <c r="L12766" s="0" t="str">
        <f aca="false">HYPERLINK("https://www.ncbi.nlm.nih.gov/nuccore/CP000058.1?report=graph&amp;tracks=[key:gene_model_track,Options:GeneOnly]&amp;mk=3996855:3996874|offset_43|444444,3996888:3996907|offset_76|444444,3996909:3996928|offset_97|00cc00,3996934:3996953|offset_122|444444&amp;v=3996654:3997153&amp;c=444444", "offset 97")</f>
        <v>offset 97</v>
      </c>
    </row>
    <row r="12767" customFormat="false" ht="12.8" hidden="false" customHeight="false" outlineLevel="0" collapsed="false">
      <c r="A12767" s="0" t="s">
        <v>12</v>
      </c>
      <c r="B12767" s="0" t="n">
        <v>3996933</v>
      </c>
      <c r="C12767" s="0" t="n">
        <v>3996953</v>
      </c>
      <c r="D12767" s="0" t="s">
        <v>42398</v>
      </c>
      <c r="E12767" s="0" t="s">
        <v>75</v>
      </c>
      <c r="F12767" s="0" t="s">
        <v>15</v>
      </c>
      <c r="G12767" s="0" t="s">
        <v>36</v>
      </c>
      <c r="H12767" s="0" t="n">
        <v>122</v>
      </c>
      <c r="I12767" s="0" t="s">
        <v>42408</v>
      </c>
      <c r="J12767" s="0" t="s">
        <v>42409</v>
      </c>
      <c r="K12767" s="0" t="s">
        <v>42410</v>
      </c>
      <c r="L12767" s="0" t="str">
        <f aca="false">HYPERLINK("https://www.ncbi.nlm.nih.gov/nuccore/CP000058.1?report=graph&amp;tracks=[key:gene_model_track,Options:GeneOnly]&amp;mk=3996855:3996874|offset_43|444444,3996888:3996907|offset_76|444444,3996909:3996928|offset_97|444444,3996934:3996953|offset_122|00cc00&amp;v=3996654:3997153&amp;c=444444", "offset 122")</f>
        <v>offset 122</v>
      </c>
    </row>
    <row r="12768" customFormat="false" ht="12.8" hidden="false" customHeight="false" outlineLevel="0" collapsed="false">
      <c r="A12768" s="0" t="s">
        <v>12</v>
      </c>
      <c r="B12768" s="0" t="n">
        <v>3999010</v>
      </c>
      <c r="C12768" s="0" t="n">
        <v>3999030</v>
      </c>
      <c r="D12768" s="0" t="s">
        <v>42411</v>
      </c>
      <c r="E12768" s="0" t="s">
        <v>75</v>
      </c>
      <c r="F12768" s="0" t="s">
        <v>90</v>
      </c>
      <c r="G12768" s="0" t="s">
        <v>20</v>
      </c>
      <c r="H12768" s="0" t="n">
        <v>34</v>
      </c>
      <c r="I12768" s="0" t="s">
        <v>42412</v>
      </c>
      <c r="J12768" s="0" t="s">
        <v>42413</v>
      </c>
      <c r="K12768" s="0" t="s">
        <v>42414</v>
      </c>
      <c r="L12768" s="0" t="str">
        <f aca="false">HYPERLINK("https://www.ncbi.nlm.nih.gov/nuccore/CP000058.1?report=graph&amp;tracks=[key:gene_model_track,Options:GeneOnly]&amp;mk=3999011:3999030|offset_34|00cc00,3998984:3999003|offset_61|444444,3998957:3998976|offset_88|444444,3998937:3998956|offset_108|444444&amp;v=3998810:3999156&amp;c=444444", "offset 34")</f>
        <v>offset 34</v>
      </c>
    </row>
    <row r="12769" customFormat="false" ht="12.8" hidden="false" customHeight="false" outlineLevel="0" collapsed="false">
      <c r="A12769" s="0" t="s">
        <v>12</v>
      </c>
      <c r="B12769" s="0" t="n">
        <v>3998983</v>
      </c>
      <c r="C12769" s="0" t="n">
        <v>3999003</v>
      </c>
      <c r="D12769" s="0" t="s">
        <v>42411</v>
      </c>
      <c r="E12769" s="0" t="s">
        <v>75</v>
      </c>
      <c r="F12769" s="0" t="s">
        <v>90</v>
      </c>
      <c r="G12769" s="0" t="s">
        <v>36</v>
      </c>
      <c r="H12769" s="0" t="n">
        <v>61</v>
      </c>
      <c r="I12769" s="0" t="s">
        <v>42415</v>
      </c>
      <c r="J12769" s="0" t="s">
        <v>42416</v>
      </c>
      <c r="K12769" s="0" t="s">
        <v>42417</v>
      </c>
      <c r="L12769" s="0" t="str">
        <f aca="false">HYPERLINK("https://www.ncbi.nlm.nih.gov/nuccore/CP000058.1?report=graph&amp;tracks=[key:gene_model_track,Options:GeneOnly]&amp;mk=3999011:3999030|offset_34|444444,3998984:3999003|offset_61|00cc00,3998957:3998976|offset_88|444444,3998937:3998956|offset_108|444444&amp;v=3998810:3999156&amp;c=444444", "offset 61")</f>
        <v>offset 61</v>
      </c>
    </row>
    <row r="12770" customFormat="false" ht="12.8" hidden="false" customHeight="false" outlineLevel="0" collapsed="false">
      <c r="A12770" s="0" t="s">
        <v>12</v>
      </c>
      <c r="B12770" s="0" t="n">
        <v>3998956</v>
      </c>
      <c r="C12770" s="0" t="n">
        <v>3998976</v>
      </c>
      <c r="D12770" s="0" t="s">
        <v>42411</v>
      </c>
      <c r="E12770" s="0" t="s">
        <v>75</v>
      </c>
      <c r="F12770" s="0" t="s">
        <v>90</v>
      </c>
      <c r="G12770" s="0" t="s">
        <v>16</v>
      </c>
      <c r="H12770" s="0" t="n">
        <v>88</v>
      </c>
      <c r="I12770" s="0" t="s">
        <v>42418</v>
      </c>
      <c r="J12770" s="0" t="s">
        <v>42419</v>
      </c>
      <c r="K12770" s="0" t="s">
        <v>42420</v>
      </c>
      <c r="L12770" s="0" t="str">
        <f aca="false">HYPERLINK("https://www.ncbi.nlm.nih.gov/nuccore/CP000058.1?report=graph&amp;tracks=[key:gene_model_track,Options:GeneOnly]&amp;mk=3999011:3999030|offset_34|444444,3998984:3999003|offset_61|444444,3998957:3998976|offset_88|00cc00,3998937:3998956|offset_108|444444&amp;v=3998810:3999156&amp;c=444444", "offset 88")</f>
        <v>offset 88</v>
      </c>
    </row>
    <row r="12771" customFormat="false" ht="12.8" hidden="false" customHeight="false" outlineLevel="0" collapsed="false">
      <c r="A12771" s="0" t="s">
        <v>12</v>
      </c>
      <c r="B12771" s="0" t="n">
        <v>3998936</v>
      </c>
      <c r="C12771" s="0" t="n">
        <v>3998956</v>
      </c>
      <c r="D12771" s="0" t="s">
        <v>42411</v>
      </c>
      <c r="E12771" s="0" t="s">
        <v>75</v>
      </c>
      <c r="F12771" s="0" t="s">
        <v>90</v>
      </c>
      <c r="G12771" s="0" t="s">
        <v>36</v>
      </c>
      <c r="H12771" s="0" t="n">
        <v>108</v>
      </c>
      <c r="I12771" s="0" t="s">
        <v>42421</v>
      </c>
      <c r="J12771" s="0" t="s">
        <v>42422</v>
      </c>
      <c r="K12771" s="0" t="s">
        <v>42423</v>
      </c>
      <c r="L12771" s="0" t="str">
        <f aca="false">HYPERLINK("https://www.ncbi.nlm.nih.gov/nuccore/CP000058.1?report=graph&amp;tracks=[key:gene_model_track,Options:GeneOnly]&amp;mk=3999011:3999030|offset_34|444444,3998984:3999003|offset_61|444444,3998957:3998976|offset_88|444444,3998937:3998956|offset_108|00cc00&amp;v=3998810:3999156&amp;c=444444", "offset 108")</f>
        <v>offset 108</v>
      </c>
    </row>
    <row r="12772" customFormat="false" ht="12.8" hidden="false" customHeight="false" outlineLevel="0" collapsed="false">
      <c r="A12772" s="0" t="s">
        <v>12</v>
      </c>
      <c r="B12772" s="0" t="n">
        <v>3999238</v>
      </c>
      <c r="C12772" s="0" t="n">
        <v>3999258</v>
      </c>
      <c r="D12772" s="0" t="s">
        <v>42424</v>
      </c>
      <c r="E12772" s="0" t="s">
        <v>42425</v>
      </c>
      <c r="F12772" s="0" t="s">
        <v>15</v>
      </c>
      <c r="G12772" s="0" t="s">
        <v>16</v>
      </c>
      <c r="H12772" s="0" t="n">
        <v>45</v>
      </c>
      <c r="I12772" s="0" t="s">
        <v>42426</v>
      </c>
      <c r="J12772" s="0" t="s">
        <v>42427</v>
      </c>
      <c r="K12772" s="0" t="s">
        <v>42428</v>
      </c>
      <c r="L12772" s="0" t="str">
        <f aca="false">HYPERLINK("https://www.ncbi.nlm.nih.gov/nuccore/CP000058.1?report=graph&amp;tracks=[key:gene_model_track,Options:GeneOnly]&amp;mk=3999239:3999258|offset_45|00cc00,3999263:3999282|offset_69|444444,3999291:3999310|offset_97|444444,3999363:3999382|offset_169|444444&amp;v=3999038:3999582&amp;c=444444", "offset 45")</f>
        <v>offset 45</v>
      </c>
    </row>
    <row r="12773" customFormat="false" ht="12.8" hidden="false" customHeight="false" outlineLevel="0" collapsed="false">
      <c r="A12773" s="0" t="s">
        <v>12</v>
      </c>
      <c r="B12773" s="0" t="n">
        <v>3999262</v>
      </c>
      <c r="C12773" s="0" t="n">
        <v>3999282</v>
      </c>
      <c r="D12773" s="0" t="s">
        <v>42424</v>
      </c>
      <c r="E12773" s="0" t="s">
        <v>42425</v>
      </c>
      <c r="F12773" s="0" t="s">
        <v>15</v>
      </c>
      <c r="G12773" s="0" t="s">
        <v>32</v>
      </c>
      <c r="H12773" s="0" t="n">
        <v>69</v>
      </c>
      <c r="I12773" s="0" t="s">
        <v>42429</v>
      </c>
      <c r="J12773" s="0" t="s">
        <v>42430</v>
      </c>
      <c r="K12773" s="0" t="s">
        <v>42431</v>
      </c>
      <c r="L12773" s="0" t="str">
        <f aca="false">HYPERLINK("https://www.ncbi.nlm.nih.gov/nuccore/CP000058.1?report=graph&amp;tracks=[key:gene_model_track,Options:GeneOnly]&amp;mk=3999239:3999258|offset_45|444444,3999263:3999282|offset_69|00cc00,3999291:3999310|offset_97|444444,3999363:3999382|offset_169|444444&amp;v=3999038:3999582&amp;c=444444", "offset 69")</f>
        <v>offset 69</v>
      </c>
    </row>
    <row r="12774" customFormat="false" ht="12.8" hidden="false" customHeight="false" outlineLevel="0" collapsed="false">
      <c r="A12774" s="0" t="s">
        <v>12</v>
      </c>
      <c r="B12774" s="0" t="n">
        <v>3999290</v>
      </c>
      <c r="C12774" s="0" t="n">
        <v>3999310</v>
      </c>
      <c r="D12774" s="0" t="s">
        <v>42424</v>
      </c>
      <c r="E12774" s="0" t="s">
        <v>42425</v>
      </c>
      <c r="F12774" s="0" t="s">
        <v>15</v>
      </c>
      <c r="G12774" s="0" t="s">
        <v>16</v>
      </c>
      <c r="H12774" s="0" t="n">
        <v>97</v>
      </c>
      <c r="I12774" s="0" t="s">
        <v>42432</v>
      </c>
      <c r="J12774" s="0" t="s">
        <v>42433</v>
      </c>
      <c r="K12774" s="0" t="s">
        <v>42434</v>
      </c>
      <c r="L12774" s="0" t="str">
        <f aca="false">HYPERLINK("https://www.ncbi.nlm.nih.gov/nuccore/CP000058.1?report=graph&amp;tracks=[key:gene_model_track,Options:GeneOnly]&amp;mk=3999239:3999258|offset_45|444444,3999263:3999282|offset_69|444444,3999291:3999310|offset_97|00cc00,3999363:3999382|offset_169|444444&amp;v=3999038:3999582&amp;c=444444", "offset 97")</f>
        <v>offset 97</v>
      </c>
    </row>
    <row r="12775" customFormat="false" ht="12.8" hidden="false" customHeight="false" outlineLevel="0" collapsed="false">
      <c r="A12775" s="0" t="s">
        <v>12</v>
      </c>
      <c r="B12775" s="0" t="n">
        <v>3999362</v>
      </c>
      <c r="C12775" s="0" t="n">
        <v>3999382</v>
      </c>
      <c r="D12775" s="0" t="s">
        <v>42424</v>
      </c>
      <c r="E12775" s="0" t="s">
        <v>42425</v>
      </c>
      <c r="F12775" s="0" t="s">
        <v>15</v>
      </c>
      <c r="G12775" s="0" t="s">
        <v>32</v>
      </c>
      <c r="H12775" s="0" t="n">
        <v>169</v>
      </c>
      <c r="I12775" s="0" t="s">
        <v>42435</v>
      </c>
      <c r="J12775" s="0" t="s">
        <v>42436</v>
      </c>
      <c r="K12775" s="0" t="s">
        <v>42437</v>
      </c>
      <c r="L12775" s="0" t="str">
        <f aca="false">HYPERLINK("https://www.ncbi.nlm.nih.gov/nuccore/CP000058.1?report=graph&amp;tracks=[key:gene_model_track,Options:GeneOnly]&amp;mk=3999239:3999258|offset_45|444444,3999263:3999282|offset_69|444444,3999291:3999310|offset_97|444444,3999363:3999382|offset_169|00cc00&amp;v=3999038:3999582&amp;c=444444", "offset 169")</f>
        <v>offset 169</v>
      </c>
    </row>
    <row r="12776" customFormat="false" ht="12.8" hidden="false" customHeight="false" outlineLevel="0" collapsed="false">
      <c r="A12776" s="0" t="s">
        <v>12</v>
      </c>
      <c r="B12776" s="0" t="n">
        <v>4001205</v>
      </c>
      <c r="C12776" s="0" t="n">
        <v>4001225</v>
      </c>
      <c r="D12776" s="0" t="s">
        <v>42438</v>
      </c>
      <c r="E12776" s="0" t="s">
        <v>75</v>
      </c>
      <c r="F12776" s="0" t="s">
        <v>90</v>
      </c>
      <c r="G12776" s="0" t="s">
        <v>36</v>
      </c>
      <c r="H12776" s="0" t="n">
        <v>0</v>
      </c>
      <c r="I12776" s="0" t="s">
        <v>42439</v>
      </c>
      <c r="J12776" s="0" t="s">
        <v>42440</v>
      </c>
      <c r="K12776" s="0" t="s">
        <v>42441</v>
      </c>
      <c r="L12776" s="0" t="str">
        <f aca="false">HYPERLINK("https://www.ncbi.nlm.nih.gov/nuccore/CP000058.1?report=graph&amp;tracks=[key:gene_model_track,Options:GeneOnly]&amp;mk=4001206:4001225|offset_0|00cc00,4001148:4001167|offset_58|444444,4001115:4001134|offset_91|444444,4000976:4000995|offset_230|444444&amp;v=4001005:4001195&amp;c=444444", "offset 0")</f>
        <v>offset 0</v>
      </c>
    </row>
    <row r="12777" customFormat="false" ht="12.8" hidden="false" customHeight="false" outlineLevel="0" collapsed="false">
      <c r="A12777" s="0" t="s">
        <v>12</v>
      </c>
      <c r="B12777" s="0" t="n">
        <v>4001147</v>
      </c>
      <c r="C12777" s="0" t="n">
        <v>4001167</v>
      </c>
      <c r="D12777" s="0" t="s">
        <v>42438</v>
      </c>
      <c r="E12777" s="0" t="s">
        <v>75</v>
      </c>
      <c r="F12777" s="0" t="s">
        <v>90</v>
      </c>
      <c r="G12777" s="0" t="s">
        <v>36</v>
      </c>
      <c r="H12777" s="0" t="n">
        <v>58</v>
      </c>
      <c r="I12777" s="0" t="s">
        <v>42442</v>
      </c>
      <c r="J12777" s="0" t="s">
        <v>42443</v>
      </c>
      <c r="K12777" s="0" t="s">
        <v>42444</v>
      </c>
      <c r="L12777" s="0" t="str">
        <f aca="false">HYPERLINK("https://www.ncbi.nlm.nih.gov/nuccore/CP000058.1?report=graph&amp;tracks=[key:gene_model_track,Options:GeneOnly]&amp;mk=4001206:4001225|offset_0|444444,4001148:4001167|offset_58|00cc00,4001115:4001134|offset_91|444444,4000976:4000995|offset_230|444444&amp;v=4001005:4001195&amp;c=444444", "offset 58")</f>
        <v>offset 58</v>
      </c>
    </row>
    <row r="12778" customFormat="false" ht="12.8" hidden="false" customHeight="false" outlineLevel="0" collapsed="false">
      <c r="A12778" s="0" t="s">
        <v>12</v>
      </c>
      <c r="B12778" s="0" t="n">
        <v>4001114</v>
      </c>
      <c r="C12778" s="0" t="n">
        <v>4001134</v>
      </c>
      <c r="D12778" s="0" t="s">
        <v>42438</v>
      </c>
      <c r="E12778" s="0" t="s">
        <v>75</v>
      </c>
      <c r="F12778" s="0" t="s">
        <v>90</v>
      </c>
      <c r="G12778" s="0" t="s">
        <v>32</v>
      </c>
      <c r="H12778" s="0" t="n">
        <v>91</v>
      </c>
      <c r="I12778" s="0" t="s">
        <v>42445</v>
      </c>
      <c r="J12778" s="0" t="s">
        <v>42446</v>
      </c>
      <c r="K12778" s="0" t="s">
        <v>42447</v>
      </c>
      <c r="L12778" s="0" t="str">
        <f aca="false">HYPERLINK("https://www.ncbi.nlm.nih.gov/nuccore/CP000058.1?report=graph&amp;tracks=[key:gene_model_track,Options:GeneOnly]&amp;mk=4001206:4001225|offset_0|444444,4001148:4001167|offset_58|444444,4001115:4001134|offset_91|00cc00,4000976:4000995|offset_230|444444&amp;v=4001005:4001195&amp;c=444444", "offset 91")</f>
        <v>offset 91</v>
      </c>
    </row>
    <row r="12779" customFormat="false" ht="12.8" hidden="false" customHeight="false" outlineLevel="0" collapsed="false">
      <c r="A12779" s="0" t="s">
        <v>12</v>
      </c>
      <c r="B12779" s="0" t="n">
        <v>4000975</v>
      </c>
      <c r="C12779" s="0" t="n">
        <v>4000995</v>
      </c>
      <c r="D12779" s="0" t="s">
        <v>42438</v>
      </c>
      <c r="E12779" s="0" t="s">
        <v>75</v>
      </c>
      <c r="F12779" s="0" t="s">
        <v>90</v>
      </c>
      <c r="G12779" s="0" t="s">
        <v>20</v>
      </c>
      <c r="H12779" s="0" t="n">
        <v>230</v>
      </c>
      <c r="I12779" s="0" t="s">
        <v>42448</v>
      </c>
      <c r="J12779" s="0" t="s">
        <v>42449</v>
      </c>
      <c r="K12779" s="0" t="s">
        <v>42450</v>
      </c>
      <c r="L12779" s="0" t="str">
        <f aca="false">HYPERLINK("https://www.ncbi.nlm.nih.gov/nuccore/CP000058.1?report=graph&amp;tracks=[key:gene_model_track,Options:GeneOnly]&amp;mk=4001206:4001225|offset_0|444444,4001148:4001167|offset_58|444444,4001115:4001134|offset_91|444444,4000976:4000995|offset_230|00cc00&amp;v=4001005:4001195&amp;c=444444", "offset 230")</f>
        <v>offset 230</v>
      </c>
    </row>
    <row r="12780" customFormat="false" ht="12.8" hidden="false" customHeight="false" outlineLevel="0" collapsed="false">
      <c r="A12780" s="0" t="s">
        <v>12</v>
      </c>
      <c r="B12780" s="0" t="n">
        <v>4002171</v>
      </c>
      <c r="C12780" s="0" t="n">
        <v>4002191</v>
      </c>
      <c r="D12780" s="0" t="s">
        <v>42451</v>
      </c>
      <c r="E12780" s="0" t="s">
        <v>75</v>
      </c>
      <c r="F12780" s="0" t="s">
        <v>15</v>
      </c>
      <c r="G12780" s="0" t="s">
        <v>16</v>
      </c>
      <c r="H12780" s="0" t="n">
        <v>18</v>
      </c>
      <c r="I12780" s="0" t="s">
        <v>42452</v>
      </c>
      <c r="J12780" s="0" t="s">
        <v>42453</v>
      </c>
      <c r="K12780" s="0" t="s">
        <v>42454</v>
      </c>
      <c r="L12780" s="0" t="str">
        <f aca="false">HYPERLINK("https://www.ncbi.nlm.nih.gov/nuccore/CP000058.1?report=graph&amp;tracks=[key:gene_model_track,Options:GeneOnly]&amp;mk=4002172:4002191|offset_18|00cc00,4002248:4002267|offset_94|444444,4002284:4002303|offset_130|444444,4002327:4002346|offset_173|444444&amp;v=4001971:4002546&amp;c=444444", "offset 18")</f>
        <v>offset 18</v>
      </c>
    </row>
    <row r="12781" customFormat="false" ht="12.8" hidden="false" customHeight="false" outlineLevel="0" collapsed="false">
      <c r="A12781" s="0" t="s">
        <v>12</v>
      </c>
      <c r="B12781" s="0" t="n">
        <v>4002247</v>
      </c>
      <c r="C12781" s="0" t="n">
        <v>4002267</v>
      </c>
      <c r="D12781" s="0" t="s">
        <v>42451</v>
      </c>
      <c r="E12781" s="0" t="s">
        <v>75</v>
      </c>
      <c r="F12781" s="0" t="s">
        <v>15</v>
      </c>
      <c r="G12781" s="0" t="s">
        <v>36</v>
      </c>
      <c r="H12781" s="0" t="n">
        <v>94</v>
      </c>
      <c r="I12781" s="0" t="s">
        <v>42455</v>
      </c>
      <c r="J12781" s="0" t="s">
        <v>42456</v>
      </c>
      <c r="K12781" s="0" t="s">
        <v>42457</v>
      </c>
      <c r="L12781" s="0" t="str">
        <f aca="false">HYPERLINK("https://www.ncbi.nlm.nih.gov/nuccore/CP000058.1?report=graph&amp;tracks=[key:gene_model_track,Options:GeneOnly]&amp;mk=4002172:4002191|offset_18|444444,4002248:4002267|offset_94|00cc00,4002284:4002303|offset_130|444444,4002327:4002346|offset_173|444444&amp;v=4001971:4002546&amp;c=444444", "offset 94")</f>
        <v>offset 94</v>
      </c>
    </row>
    <row r="12782" customFormat="false" ht="12.8" hidden="false" customHeight="false" outlineLevel="0" collapsed="false">
      <c r="A12782" s="0" t="s">
        <v>12</v>
      </c>
      <c r="B12782" s="0" t="n">
        <v>4002283</v>
      </c>
      <c r="C12782" s="0" t="n">
        <v>4002303</v>
      </c>
      <c r="D12782" s="0" t="s">
        <v>42451</v>
      </c>
      <c r="E12782" s="0" t="s">
        <v>75</v>
      </c>
      <c r="F12782" s="0" t="s">
        <v>15</v>
      </c>
      <c r="G12782" s="0" t="s">
        <v>36</v>
      </c>
      <c r="H12782" s="0" t="n">
        <v>130</v>
      </c>
      <c r="I12782" s="0" t="s">
        <v>42458</v>
      </c>
      <c r="J12782" s="0" t="s">
        <v>42459</v>
      </c>
      <c r="K12782" s="0" t="s">
        <v>42460</v>
      </c>
      <c r="L12782" s="0" t="str">
        <f aca="false">HYPERLINK("https://www.ncbi.nlm.nih.gov/nuccore/CP000058.1?report=graph&amp;tracks=[key:gene_model_track,Options:GeneOnly]&amp;mk=4002172:4002191|offset_18|444444,4002248:4002267|offset_94|444444,4002284:4002303|offset_130|00cc00,4002327:4002346|offset_173|444444&amp;v=4001971:4002546&amp;c=444444", "offset 130")</f>
        <v>offset 130</v>
      </c>
    </row>
    <row r="12783" customFormat="false" ht="12.8" hidden="false" customHeight="false" outlineLevel="0" collapsed="false">
      <c r="A12783" s="0" t="s">
        <v>12</v>
      </c>
      <c r="B12783" s="0" t="n">
        <v>4002326</v>
      </c>
      <c r="C12783" s="0" t="n">
        <v>4002346</v>
      </c>
      <c r="D12783" s="0" t="s">
        <v>42451</v>
      </c>
      <c r="E12783" s="0" t="s">
        <v>75</v>
      </c>
      <c r="F12783" s="0" t="s">
        <v>15</v>
      </c>
      <c r="G12783" s="0" t="s">
        <v>36</v>
      </c>
      <c r="H12783" s="0" t="n">
        <v>173</v>
      </c>
      <c r="I12783" s="0" t="s">
        <v>42461</v>
      </c>
      <c r="J12783" s="0" t="s">
        <v>42462</v>
      </c>
      <c r="K12783" s="0" t="s">
        <v>42463</v>
      </c>
      <c r="L12783" s="0" t="str">
        <f aca="false">HYPERLINK("https://www.ncbi.nlm.nih.gov/nuccore/CP000058.1?report=graph&amp;tracks=[key:gene_model_track,Options:GeneOnly]&amp;mk=4002172:4002191|offset_18|444444,4002248:4002267|offset_94|444444,4002284:4002303|offset_130|444444,4002327:4002346|offset_173|00cc00&amp;v=4001971:4002546&amp;c=444444", "offset 173")</f>
        <v>offset 173</v>
      </c>
    </row>
    <row r="12784" customFormat="false" ht="12.8" hidden="false" customHeight="false" outlineLevel="0" collapsed="false">
      <c r="A12784" s="0" t="s">
        <v>12</v>
      </c>
      <c r="B12784" s="0" t="n">
        <v>4004334</v>
      </c>
      <c r="C12784" s="0" t="n">
        <v>4004354</v>
      </c>
      <c r="D12784" s="0" t="s">
        <v>42464</v>
      </c>
      <c r="E12784" s="0" t="s">
        <v>75</v>
      </c>
      <c r="F12784" s="0" t="s">
        <v>90</v>
      </c>
      <c r="G12784" s="0" t="s">
        <v>20</v>
      </c>
      <c r="H12784" s="0" t="n">
        <v>6</v>
      </c>
      <c r="I12784" s="0" t="s">
        <v>42465</v>
      </c>
      <c r="J12784" s="0" t="s">
        <v>42466</v>
      </c>
      <c r="K12784" s="0" t="s">
        <v>42467</v>
      </c>
      <c r="L12784" s="0" t="str">
        <f aca="false">HYPERLINK("https://www.ncbi.nlm.nih.gov/nuccore/CP000058.1?report=graph&amp;tracks=[key:gene_model_track,Options:GeneOnly]&amp;mk=4004335:4004354|offset_6|00cc00,4004294:4004313|offset_47|444444,4004247:4004266|offset_94|444444,4004198:4004217|offset_143|444444&amp;v=4004134:4004417&amp;c=444444", "offset 6")</f>
        <v>offset 6</v>
      </c>
    </row>
    <row r="12785" customFormat="false" ht="12.8" hidden="false" customHeight="false" outlineLevel="0" collapsed="false">
      <c r="A12785" s="0" t="s">
        <v>12</v>
      </c>
      <c r="B12785" s="0" t="n">
        <v>4004293</v>
      </c>
      <c r="C12785" s="0" t="n">
        <v>4004313</v>
      </c>
      <c r="D12785" s="0" t="s">
        <v>42464</v>
      </c>
      <c r="E12785" s="0" t="s">
        <v>75</v>
      </c>
      <c r="F12785" s="0" t="s">
        <v>90</v>
      </c>
      <c r="G12785" s="0" t="s">
        <v>16</v>
      </c>
      <c r="H12785" s="0" t="n">
        <v>47</v>
      </c>
      <c r="I12785" s="0" t="s">
        <v>42468</v>
      </c>
      <c r="J12785" s="0" t="s">
        <v>42469</v>
      </c>
      <c r="K12785" s="0" t="s">
        <v>42470</v>
      </c>
      <c r="L12785" s="0" t="str">
        <f aca="false">HYPERLINK("https://www.ncbi.nlm.nih.gov/nuccore/CP000058.1?report=graph&amp;tracks=[key:gene_model_track,Options:GeneOnly]&amp;mk=4004335:4004354|offset_6|444444,4004294:4004313|offset_47|00cc00,4004247:4004266|offset_94|444444,4004198:4004217|offset_143|444444&amp;v=4004134:4004417&amp;c=444444", "offset 47")</f>
        <v>offset 47</v>
      </c>
    </row>
    <row r="12786" customFormat="false" ht="12.8" hidden="false" customHeight="false" outlineLevel="0" collapsed="false">
      <c r="A12786" s="0" t="s">
        <v>12</v>
      </c>
      <c r="B12786" s="0" t="n">
        <v>4004246</v>
      </c>
      <c r="C12786" s="0" t="n">
        <v>4004266</v>
      </c>
      <c r="D12786" s="0" t="s">
        <v>42464</v>
      </c>
      <c r="E12786" s="0" t="s">
        <v>75</v>
      </c>
      <c r="F12786" s="0" t="s">
        <v>90</v>
      </c>
      <c r="G12786" s="0" t="s">
        <v>20</v>
      </c>
      <c r="H12786" s="0" t="n">
        <v>94</v>
      </c>
      <c r="I12786" s="0" t="s">
        <v>42471</v>
      </c>
      <c r="J12786" s="0" t="s">
        <v>42472</v>
      </c>
      <c r="K12786" s="0" t="s">
        <v>42473</v>
      </c>
      <c r="L12786" s="0" t="str">
        <f aca="false">HYPERLINK("https://www.ncbi.nlm.nih.gov/nuccore/CP000058.1?report=graph&amp;tracks=[key:gene_model_track,Options:GeneOnly]&amp;mk=4004335:4004354|offset_6|444444,4004294:4004313|offset_47|444444,4004247:4004266|offset_94|00cc00,4004198:4004217|offset_143|444444&amp;v=4004134:4004417&amp;c=444444", "offset 94")</f>
        <v>offset 94</v>
      </c>
    </row>
    <row r="12787" customFormat="false" ht="12.8" hidden="false" customHeight="false" outlineLevel="0" collapsed="false">
      <c r="A12787" s="0" t="s">
        <v>12</v>
      </c>
      <c r="B12787" s="0" t="n">
        <v>4004197</v>
      </c>
      <c r="C12787" s="0" t="n">
        <v>4004217</v>
      </c>
      <c r="D12787" s="0" t="s">
        <v>42464</v>
      </c>
      <c r="E12787" s="0" t="s">
        <v>75</v>
      </c>
      <c r="F12787" s="0" t="s">
        <v>90</v>
      </c>
      <c r="G12787" s="0" t="s">
        <v>16</v>
      </c>
      <c r="H12787" s="0" t="n">
        <v>143</v>
      </c>
      <c r="I12787" s="0" t="s">
        <v>42474</v>
      </c>
      <c r="J12787" s="0" t="s">
        <v>42475</v>
      </c>
      <c r="K12787" s="0" t="s">
        <v>42476</v>
      </c>
      <c r="L12787" s="0" t="str">
        <f aca="false">HYPERLINK("https://www.ncbi.nlm.nih.gov/nuccore/CP000058.1?report=graph&amp;tracks=[key:gene_model_track,Options:GeneOnly]&amp;mk=4004335:4004354|offset_6|444444,4004294:4004313|offset_47|444444,4004247:4004266|offset_94|444444,4004198:4004217|offset_143|00cc00&amp;v=4004134:4004417&amp;c=444444", "offset 143")</f>
        <v>offset 143</v>
      </c>
    </row>
    <row r="12788" customFormat="false" ht="12.8" hidden="false" customHeight="false" outlineLevel="0" collapsed="false">
      <c r="A12788" s="0" t="s">
        <v>12</v>
      </c>
      <c r="B12788" s="0" t="n">
        <v>4005826</v>
      </c>
      <c r="C12788" s="0" t="n">
        <v>4005846</v>
      </c>
      <c r="D12788" s="0" t="s">
        <v>42477</v>
      </c>
      <c r="E12788" s="0" t="s">
        <v>75</v>
      </c>
      <c r="F12788" s="0" t="s">
        <v>90</v>
      </c>
      <c r="G12788" s="0" t="s">
        <v>20</v>
      </c>
      <c r="H12788" s="0" t="n">
        <v>36</v>
      </c>
      <c r="I12788" s="0" t="s">
        <v>42478</v>
      </c>
      <c r="J12788" s="0" t="s">
        <v>42479</v>
      </c>
      <c r="K12788" s="0" t="s">
        <v>42480</v>
      </c>
      <c r="L12788" s="0" t="str">
        <f aca="false">HYPERLINK("https://www.ncbi.nlm.nih.gov/nuccore/CP000058.1?report=graph&amp;tracks=[key:gene_model_track,Options:GeneOnly]&amp;mk=4005827:4005846|offset_36|00cc00,4005799:4005818|offset_64|444444,4005768:4005787|offset_95|444444,4005739:4005758|offset_124|444444&amp;v=4005626:4005958&amp;c=444444", "offset 36")</f>
        <v>offset 36</v>
      </c>
    </row>
    <row r="12789" customFormat="false" ht="12.8" hidden="false" customHeight="false" outlineLevel="0" collapsed="false">
      <c r="A12789" s="0" t="s">
        <v>12</v>
      </c>
      <c r="B12789" s="0" t="n">
        <v>4005798</v>
      </c>
      <c r="C12789" s="0" t="n">
        <v>4005818</v>
      </c>
      <c r="D12789" s="0" t="s">
        <v>42477</v>
      </c>
      <c r="E12789" s="0" t="s">
        <v>75</v>
      </c>
      <c r="F12789" s="0" t="s">
        <v>90</v>
      </c>
      <c r="G12789" s="0" t="s">
        <v>32</v>
      </c>
      <c r="H12789" s="0" t="n">
        <v>64</v>
      </c>
      <c r="I12789" s="0" t="s">
        <v>42481</v>
      </c>
      <c r="J12789" s="0" t="s">
        <v>42482</v>
      </c>
      <c r="K12789" s="0" t="s">
        <v>42483</v>
      </c>
      <c r="L12789" s="0" t="str">
        <f aca="false">HYPERLINK("https://www.ncbi.nlm.nih.gov/nuccore/CP000058.1?report=graph&amp;tracks=[key:gene_model_track,Options:GeneOnly]&amp;mk=4005827:4005846|offset_36|444444,4005799:4005818|offset_64|00cc00,4005768:4005787|offset_95|444444,4005739:4005758|offset_124|444444&amp;v=4005626:4005958&amp;c=444444", "offset 64")</f>
        <v>offset 64</v>
      </c>
    </row>
    <row r="12790" customFormat="false" ht="12.8" hidden="false" customHeight="false" outlineLevel="0" collapsed="false">
      <c r="A12790" s="0" t="s">
        <v>12</v>
      </c>
      <c r="B12790" s="0" t="n">
        <v>4005767</v>
      </c>
      <c r="C12790" s="0" t="n">
        <v>4005787</v>
      </c>
      <c r="D12790" s="0" t="s">
        <v>42477</v>
      </c>
      <c r="E12790" s="0" t="s">
        <v>75</v>
      </c>
      <c r="F12790" s="0" t="s">
        <v>90</v>
      </c>
      <c r="G12790" s="0" t="s">
        <v>32</v>
      </c>
      <c r="H12790" s="0" t="n">
        <v>95</v>
      </c>
      <c r="I12790" s="0" t="s">
        <v>42484</v>
      </c>
      <c r="J12790" s="0" t="s">
        <v>42485</v>
      </c>
      <c r="K12790" s="0" t="s">
        <v>42486</v>
      </c>
      <c r="L12790" s="0" t="str">
        <f aca="false">HYPERLINK("https://www.ncbi.nlm.nih.gov/nuccore/CP000058.1?report=graph&amp;tracks=[key:gene_model_track,Options:GeneOnly]&amp;mk=4005827:4005846|offset_36|444444,4005799:4005818|offset_64|444444,4005768:4005787|offset_95|00cc00,4005739:4005758|offset_124|444444&amp;v=4005626:4005958&amp;c=444444", "offset 95")</f>
        <v>offset 95</v>
      </c>
    </row>
    <row r="12791" customFormat="false" ht="12.8" hidden="false" customHeight="false" outlineLevel="0" collapsed="false">
      <c r="A12791" s="0" t="s">
        <v>12</v>
      </c>
      <c r="B12791" s="0" t="n">
        <v>4005738</v>
      </c>
      <c r="C12791" s="0" t="n">
        <v>4005758</v>
      </c>
      <c r="D12791" s="0" t="s">
        <v>42477</v>
      </c>
      <c r="E12791" s="0" t="s">
        <v>75</v>
      </c>
      <c r="F12791" s="0" t="s">
        <v>90</v>
      </c>
      <c r="G12791" s="0" t="s">
        <v>36</v>
      </c>
      <c r="H12791" s="0" t="n">
        <v>124</v>
      </c>
      <c r="I12791" s="0" t="s">
        <v>42487</v>
      </c>
      <c r="J12791" s="0" t="s">
        <v>42488</v>
      </c>
      <c r="K12791" s="0" t="s">
        <v>42489</v>
      </c>
      <c r="L12791" s="0" t="str">
        <f aca="false">HYPERLINK("https://www.ncbi.nlm.nih.gov/nuccore/CP000058.1?report=graph&amp;tracks=[key:gene_model_track,Options:GeneOnly]&amp;mk=4005827:4005846|offset_36|444444,4005799:4005818|offset_64|444444,4005768:4005787|offset_95|444444,4005739:4005758|offset_124|00cc00&amp;v=4005626:4005958&amp;c=444444", "offset 124")</f>
        <v>offset 124</v>
      </c>
    </row>
    <row r="12792" customFormat="false" ht="12.8" hidden="false" customHeight="false" outlineLevel="0" collapsed="false">
      <c r="A12792" s="0" t="s">
        <v>12</v>
      </c>
      <c r="B12792" s="0" t="n">
        <v>4006698</v>
      </c>
      <c r="C12792" s="0" t="n">
        <v>4006718</v>
      </c>
      <c r="D12792" s="0" t="s">
        <v>42490</v>
      </c>
      <c r="E12792" s="0" t="s">
        <v>75</v>
      </c>
      <c r="F12792" s="0" t="s">
        <v>90</v>
      </c>
      <c r="G12792" s="0" t="s">
        <v>32</v>
      </c>
      <c r="H12792" s="0" t="n">
        <v>52</v>
      </c>
      <c r="I12792" s="0" t="s">
        <v>42491</v>
      </c>
      <c r="J12792" s="0" t="s">
        <v>42492</v>
      </c>
      <c r="K12792" s="0" t="s">
        <v>42493</v>
      </c>
      <c r="L12792" s="0" t="str">
        <f aca="false">HYPERLINK("https://www.ncbi.nlm.nih.gov/nuccore/CP000058.1?report=graph&amp;tracks=[key:gene_model_track,Options:GeneOnly]&amp;mk=4006699:4006718|offset_52|00cc00,4006659:4006678|offset_92|444444,4006639:4006658|offset_112|444444,4006613:4006632|offset_138|444444&amp;v=4006498:4006832&amp;c=444444", "offset 52")</f>
        <v>offset 52</v>
      </c>
    </row>
    <row r="12793" customFormat="false" ht="12.8" hidden="false" customHeight="false" outlineLevel="0" collapsed="false">
      <c r="A12793" s="0" t="s">
        <v>12</v>
      </c>
      <c r="B12793" s="0" t="n">
        <v>4006658</v>
      </c>
      <c r="C12793" s="0" t="n">
        <v>4006678</v>
      </c>
      <c r="D12793" s="0" t="s">
        <v>42490</v>
      </c>
      <c r="E12793" s="0" t="s">
        <v>75</v>
      </c>
      <c r="F12793" s="0" t="s">
        <v>90</v>
      </c>
      <c r="G12793" s="0" t="s">
        <v>20</v>
      </c>
      <c r="H12793" s="0" t="n">
        <v>92</v>
      </c>
      <c r="I12793" s="0" t="s">
        <v>42494</v>
      </c>
      <c r="J12793" s="0" t="s">
        <v>42495</v>
      </c>
      <c r="K12793" s="0" t="s">
        <v>42496</v>
      </c>
      <c r="L12793" s="0" t="str">
        <f aca="false">HYPERLINK("https://www.ncbi.nlm.nih.gov/nuccore/CP000058.1?report=graph&amp;tracks=[key:gene_model_track,Options:GeneOnly]&amp;mk=4006699:4006718|offset_52|444444,4006659:4006678|offset_92|00cc00,4006639:4006658|offset_112|444444,4006613:4006632|offset_138|444444&amp;v=4006498:4006832&amp;c=444444", "offset 92")</f>
        <v>offset 92</v>
      </c>
    </row>
    <row r="12794" customFormat="false" ht="12.8" hidden="false" customHeight="false" outlineLevel="0" collapsed="false">
      <c r="A12794" s="0" t="s">
        <v>12</v>
      </c>
      <c r="B12794" s="0" t="n">
        <v>4006638</v>
      </c>
      <c r="C12794" s="0" t="n">
        <v>4006658</v>
      </c>
      <c r="D12794" s="0" t="s">
        <v>42490</v>
      </c>
      <c r="E12794" s="0" t="s">
        <v>75</v>
      </c>
      <c r="F12794" s="0" t="s">
        <v>90</v>
      </c>
      <c r="G12794" s="0" t="s">
        <v>36</v>
      </c>
      <c r="H12794" s="0" t="n">
        <v>112</v>
      </c>
      <c r="I12794" s="0" t="s">
        <v>42497</v>
      </c>
      <c r="J12794" s="0" t="s">
        <v>42498</v>
      </c>
      <c r="K12794" s="0" t="s">
        <v>42499</v>
      </c>
      <c r="L12794" s="0" t="str">
        <f aca="false">HYPERLINK("https://www.ncbi.nlm.nih.gov/nuccore/CP000058.1?report=graph&amp;tracks=[key:gene_model_track,Options:GeneOnly]&amp;mk=4006699:4006718|offset_52|444444,4006659:4006678|offset_92|444444,4006639:4006658|offset_112|00cc00,4006613:4006632|offset_138|444444&amp;v=4006498:4006832&amp;c=444444", "offset 112")</f>
        <v>offset 112</v>
      </c>
    </row>
    <row r="12795" customFormat="false" ht="12.8" hidden="false" customHeight="false" outlineLevel="0" collapsed="false">
      <c r="A12795" s="0" t="s">
        <v>12</v>
      </c>
      <c r="B12795" s="0" t="n">
        <v>4006612</v>
      </c>
      <c r="C12795" s="0" t="n">
        <v>4006632</v>
      </c>
      <c r="D12795" s="0" t="s">
        <v>42490</v>
      </c>
      <c r="E12795" s="0" t="s">
        <v>75</v>
      </c>
      <c r="F12795" s="0" t="s">
        <v>90</v>
      </c>
      <c r="G12795" s="0" t="s">
        <v>16</v>
      </c>
      <c r="H12795" s="0" t="n">
        <v>138</v>
      </c>
      <c r="I12795" s="0" t="s">
        <v>42500</v>
      </c>
      <c r="J12795" s="0" t="s">
        <v>42501</v>
      </c>
      <c r="K12795" s="0" t="s">
        <v>42502</v>
      </c>
      <c r="L12795" s="0" t="str">
        <f aca="false">HYPERLINK("https://www.ncbi.nlm.nih.gov/nuccore/CP000058.1?report=graph&amp;tracks=[key:gene_model_track,Options:GeneOnly]&amp;mk=4006699:4006718|offset_52|444444,4006659:4006678|offset_92|444444,4006639:4006658|offset_112|444444,4006613:4006632|offset_138|00cc00&amp;v=4006498:4006832&amp;c=444444", "offset 138")</f>
        <v>offset 138</v>
      </c>
    </row>
    <row r="12796" customFormat="false" ht="12.8" hidden="false" customHeight="false" outlineLevel="0" collapsed="false">
      <c r="A12796" s="0" t="s">
        <v>12</v>
      </c>
      <c r="B12796" s="0" t="n">
        <v>4006956</v>
      </c>
      <c r="C12796" s="0" t="n">
        <v>4006976</v>
      </c>
      <c r="D12796" s="0" t="s">
        <v>42503</v>
      </c>
      <c r="E12796" s="0" t="s">
        <v>75</v>
      </c>
      <c r="F12796" s="0" t="s">
        <v>15</v>
      </c>
      <c r="G12796" s="0" t="s">
        <v>20</v>
      </c>
      <c r="H12796" s="0" t="n">
        <v>8</v>
      </c>
      <c r="I12796" s="0" t="s">
        <v>42504</v>
      </c>
      <c r="J12796" s="0" t="s">
        <v>42505</v>
      </c>
      <c r="K12796" s="0" t="s">
        <v>42506</v>
      </c>
      <c r="L12796" s="0" t="str">
        <f aca="false">HYPERLINK("https://www.ncbi.nlm.nih.gov/nuccore/CP000058.1?report=graph&amp;tracks=[key:gene_model_track,Options:GeneOnly]&amp;mk=4006957:4006976|offset_8|00cc00,4006978:4006997|offset_29|444444,4007022:4007041|offset_73|444444,4007045:4007064|offset_96|444444&amp;v=4006756:4007264&amp;c=444444", "offset 8")</f>
        <v>offset 8</v>
      </c>
    </row>
    <row r="12797" customFormat="false" ht="12.8" hidden="false" customHeight="false" outlineLevel="0" collapsed="false">
      <c r="A12797" s="0" t="s">
        <v>12</v>
      </c>
      <c r="B12797" s="0" t="n">
        <v>4006977</v>
      </c>
      <c r="C12797" s="0" t="n">
        <v>4006997</v>
      </c>
      <c r="D12797" s="0" t="s">
        <v>42503</v>
      </c>
      <c r="E12797" s="0" t="s">
        <v>75</v>
      </c>
      <c r="F12797" s="0" t="s">
        <v>15</v>
      </c>
      <c r="G12797" s="0" t="s">
        <v>20</v>
      </c>
      <c r="H12797" s="0" t="n">
        <v>29</v>
      </c>
      <c r="I12797" s="0" t="s">
        <v>42507</v>
      </c>
      <c r="J12797" s="0" t="s">
        <v>42508</v>
      </c>
      <c r="K12797" s="0" t="s">
        <v>42509</v>
      </c>
      <c r="L12797" s="0" t="str">
        <f aca="false">HYPERLINK("https://www.ncbi.nlm.nih.gov/nuccore/CP000058.1?report=graph&amp;tracks=[key:gene_model_track,Options:GeneOnly]&amp;mk=4006957:4006976|offset_8|444444,4006978:4006997|offset_29|00cc00,4007022:4007041|offset_73|444444,4007045:4007064|offset_96|444444&amp;v=4006756:4007264&amp;c=444444", "offset 29")</f>
        <v>offset 29</v>
      </c>
    </row>
    <row r="12798" customFormat="false" ht="12.8" hidden="false" customHeight="false" outlineLevel="0" collapsed="false">
      <c r="A12798" s="0" t="s">
        <v>12</v>
      </c>
      <c r="B12798" s="0" t="n">
        <v>4007021</v>
      </c>
      <c r="C12798" s="0" t="n">
        <v>4007041</v>
      </c>
      <c r="D12798" s="0" t="s">
        <v>42503</v>
      </c>
      <c r="E12798" s="0" t="s">
        <v>75</v>
      </c>
      <c r="F12798" s="0" t="s">
        <v>15</v>
      </c>
      <c r="G12798" s="0" t="s">
        <v>16</v>
      </c>
      <c r="H12798" s="0" t="n">
        <v>73</v>
      </c>
      <c r="I12798" s="0" t="s">
        <v>42510</v>
      </c>
      <c r="J12798" s="0" t="s">
        <v>42511</v>
      </c>
      <c r="K12798" s="0" t="s">
        <v>42512</v>
      </c>
      <c r="L12798" s="0" t="str">
        <f aca="false">HYPERLINK("https://www.ncbi.nlm.nih.gov/nuccore/CP000058.1?report=graph&amp;tracks=[key:gene_model_track,Options:GeneOnly]&amp;mk=4006957:4006976|offset_8|444444,4006978:4006997|offset_29|444444,4007022:4007041|offset_73|00cc00,4007045:4007064|offset_96|444444&amp;v=4006756:4007264&amp;c=444444", "offset 73")</f>
        <v>offset 73</v>
      </c>
    </row>
    <row r="12799" customFormat="false" ht="12.8" hidden="false" customHeight="false" outlineLevel="0" collapsed="false">
      <c r="A12799" s="0" t="s">
        <v>12</v>
      </c>
      <c r="B12799" s="0" t="n">
        <v>4007044</v>
      </c>
      <c r="C12799" s="0" t="n">
        <v>4007064</v>
      </c>
      <c r="D12799" s="0" t="s">
        <v>42503</v>
      </c>
      <c r="E12799" s="0" t="s">
        <v>75</v>
      </c>
      <c r="F12799" s="0" t="s">
        <v>15</v>
      </c>
      <c r="G12799" s="0" t="s">
        <v>36</v>
      </c>
      <c r="H12799" s="0" t="n">
        <v>96</v>
      </c>
      <c r="I12799" s="0" t="s">
        <v>42513</v>
      </c>
      <c r="J12799" s="0" t="s">
        <v>42514</v>
      </c>
      <c r="K12799" s="0" t="s">
        <v>42515</v>
      </c>
      <c r="L12799" s="0" t="str">
        <f aca="false">HYPERLINK("https://www.ncbi.nlm.nih.gov/nuccore/CP000058.1?report=graph&amp;tracks=[key:gene_model_track,Options:GeneOnly]&amp;mk=4006957:4006976|offset_8|444444,4006978:4006997|offset_29|444444,4007022:4007041|offset_73|444444,4007045:4007064|offset_96|00cc00&amp;v=4006756:4007264&amp;c=444444", "offset 96")</f>
        <v>offset 96</v>
      </c>
    </row>
    <row r="12800" customFormat="false" ht="12.8" hidden="false" customHeight="false" outlineLevel="0" collapsed="false">
      <c r="A12800" s="0" t="s">
        <v>12</v>
      </c>
      <c r="B12800" s="0" t="n">
        <v>4007976</v>
      </c>
      <c r="C12800" s="0" t="n">
        <v>4007996</v>
      </c>
      <c r="D12800" s="0" t="s">
        <v>42516</v>
      </c>
      <c r="E12800" s="0" t="s">
        <v>42517</v>
      </c>
      <c r="F12800" s="0" t="s">
        <v>15</v>
      </c>
      <c r="G12800" s="0" t="s">
        <v>32</v>
      </c>
      <c r="H12800" s="0" t="n">
        <v>20</v>
      </c>
      <c r="I12800" s="0" t="s">
        <v>42518</v>
      </c>
      <c r="J12800" s="0" t="s">
        <v>42519</v>
      </c>
      <c r="K12800" s="0" t="s">
        <v>42520</v>
      </c>
      <c r="L12800" s="0" t="str">
        <f aca="false">HYPERLINK("https://www.ncbi.nlm.nih.gov/nuccore/CP000058.1?report=graph&amp;tracks=[key:gene_model_track,Options:GeneOnly]&amp;mk=4007977:4007996|offset_20|00cc00,4008011:4008030|offset_54|444444,4008057:4008076|offset_100|444444,4008107:4008126|offset_150|444444&amp;v=4007776:4008326&amp;c=444444", "offset 20")</f>
        <v>offset 20</v>
      </c>
    </row>
    <row r="12801" customFormat="false" ht="12.8" hidden="false" customHeight="false" outlineLevel="0" collapsed="false">
      <c r="A12801" s="0" t="s">
        <v>12</v>
      </c>
      <c r="B12801" s="0" t="n">
        <v>4008010</v>
      </c>
      <c r="C12801" s="0" t="n">
        <v>4008030</v>
      </c>
      <c r="D12801" s="0" t="s">
        <v>42516</v>
      </c>
      <c r="E12801" s="0" t="s">
        <v>42517</v>
      </c>
      <c r="F12801" s="0" t="s">
        <v>15</v>
      </c>
      <c r="G12801" s="0" t="s">
        <v>16</v>
      </c>
      <c r="H12801" s="0" t="n">
        <v>54</v>
      </c>
      <c r="I12801" s="0" t="s">
        <v>42521</v>
      </c>
      <c r="J12801" s="0" t="s">
        <v>42522</v>
      </c>
      <c r="K12801" s="0" t="s">
        <v>42523</v>
      </c>
      <c r="L12801" s="0" t="str">
        <f aca="false">HYPERLINK("https://www.ncbi.nlm.nih.gov/nuccore/CP000058.1?report=graph&amp;tracks=[key:gene_model_track,Options:GeneOnly]&amp;mk=4007977:4007996|offset_20|444444,4008011:4008030|offset_54|00cc00,4008057:4008076|offset_100|444444,4008107:4008126|offset_150|444444&amp;v=4007776:4008326&amp;c=444444", "offset 54")</f>
        <v>offset 54</v>
      </c>
    </row>
    <row r="12802" customFormat="false" ht="12.8" hidden="false" customHeight="false" outlineLevel="0" collapsed="false">
      <c r="A12802" s="0" t="s">
        <v>12</v>
      </c>
      <c r="B12802" s="0" t="n">
        <v>4008056</v>
      </c>
      <c r="C12802" s="0" t="n">
        <v>4008076</v>
      </c>
      <c r="D12802" s="0" t="s">
        <v>42516</v>
      </c>
      <c r="E12802" s="0" t="s">
        <v>42517</v>
      </c>
      <c r="F12802" s="0" t="s">
        <v>15</v>
      </c>
      <c r="G12802" s="0" t="s">
        <v>16</v>
      </c>
      <c r="H12802" s="0" t="n">
        <v>100</v>
      </c>
      <c r="I12802" s="0" t="s">
        <v>42524</v>
      </c>
      <c r="J12802" s="0" t="s">
        <v>42525</v>
      </c>
      <c r="K12802" s="0" t="s">
        <v>42526</v>
      </c>
      <c r="L12802" s="0" t="str">
        <f aca="false">HYPERLINK("https://www.ncbi.nlm.nih.gov/nuccore/CP000058.1?report=graph&amp;tracks=[key:gene_model_track,Options:GeneOnly]&amp;mk=4007977:4007996|offset_20|444444,4008011:4008030|offset_54|444444,4008057:4008076|offset_100|00cc00,4008107:4008126|offset_150|444444&amp;v=4007776:4008326&amp;c=444444", "offset 100")</f>
        <v>offset 100</v>
      </c>
    </row>
    <row r="12803" customFormat="false" ht="12.8" hidden="false" customHeight="false" outlineLevel="0" collapsed="false">
      <c r="A12803" s="0" t="s">
        <v>12</v>
      </c>
      <c r="B12803" s="0" t="n">
        <v>4008106</v>
      </c>
      <c r="C12803" s="0" t="n">
        <v>4008126</v>
      </c>
      <c r="D12803" s="0" t="s">
        <v>42516</v>
      </c>
      <c r="E12803" s="0" t="s">
        <v>42517</v>
      </c>
      <c r="F12803" s="0" t="s">
        <v>15</v>
      </c>
      <c r="G12803" s="0" t="s">
        <v>36</v>
      </c>
      <c r="H12803" s="0" t="n">
        <v>150</v>
      </c>
      <c r="I12803" s="0" t="s">
        <v>42527</v>
      </c>
      <c r="J12803" s="0" t="s">
        <v>42528</v>
      </c>
      <c r="K12803" s="0" t="s">
        <v>42529</v>
      </c>
      <c r="L12803" s="0" t="str">
        <f aca="false">HYPERLINK("https://www.ncbi.nlm.nih.gov/nuccore/CP000058.1?report=graph&amp;tracks=[key:gene_model_track,Options:GeneOnly]&amp;mk=4007977:4007996|offset_20|444444,4008011:4008030|offset_54|444444,4008057:4008076|offset_100|444444,4008107:4008126|offset_150|00cc00&amp;v=4007776:4008326&amp;c=444444", "offset 150")</f>
        <v>offset 150</v>
      </c>
    </row>
    <row r="12804" customFormat="false" ht="12.8" hidden="false" customHeight="false" outlineLevel="0" collapsed="false">
      <c r="A12804" s="0" t="s">
        <v>12</v>
      </c>
      <c r="B12804" s="0" t="n">
        <v>4010148</v>
      </c>
      <c r="C12804" s="0" t="n">
        <v>4010168</v>
      </c>
      <c r="D12804" s="0" t="s">
        <v>42530</v>
      </c>
      <c r="E12804" s="0" t="s">
        <v>42531</v>
      </c>
      <c r="F12804" s="0" t="s">
        <v>90</v>
      </c>
      <c r="G12804" s="0" t="s">
        <v>16</v>
      </c>
      <c r="H12804" s="0" t="n">
        <v>0</v>
      </c>
      <c r="I12804" s="0" t="s">
        <v>42532</v>
      </c>
      <c r="J12804" s="0" t="s">
        <v>42533</v>
      </c>
      <c r="K12804" s="0" t="s">
        <v>42534</v>
      </c>
      <c r="L12804" s="0" t="str">
        <f aca="false">HYPERLINK("https://www.ncbi.nlm.nih.gov/nuccore/CP000058.1?report=graph&amp;tracks=[key:gene_model_track,Options:GeneOnly]&amp;mk=4010149:4010168|offset_0|00cc00,4010126:4010145|offset_23|444444,4010103:4010122|offset_46|444444,4010076:4010095|offset_73|444444&amp;v=4009948:4010295&amp;c=444444", "offset 0")</f>
        <v>offset 0</v>
      </c>
    </row>
    <row r="12805" customFormat="false" ht="12.8" hidden="false" customHeight="false" outlineLevel="0" collapsed="false">
      <c r="A12805" s="0" t="s">
        <v>12</v>
      </c>
      <c r="B12805" s="0" t="n">
        <v>4010125</v>
      </c>
      <c r="C12805" s="0" t="n">
        <v>4010145</v>
      </c>
      <c r="D12805" s="0" t="s">
        <v>42530</v>
      </c>
      <c r="E12805" s="0" t="s">
        <v>42531</v>
      </c>
      <c r="F12805" s="0" t="s">
        <v>90</v>
      </c>
      <c r="G12805" s="0" t="s">
        <v>36</v>
      </c>
      <c r="H12805" s="0" t="n">
        <v>23</v>
      </c>
      <c r="I12805" s="0" t="s">
        <v>42535</v>
      </c>
      <c r="J12805" s="0" t="s">
        <v>42536</v>
      </c>
      <c r="K12805" s="0" t="s">
        <v>42537</v>
      </c>
      <c r="L12805" s="0" t="str">
        <f aca="false">HYPERLINK("https://www.ncbi.nlm.nih.gov/nuccore/CP000058.1?report=graph&amp;tracks=[key:gene_model_track,Options:GeneOnly]&amp;mk=4010149:4010168|offset_0|444444,4010126:4010145|offset_23|00cc00,4010103:4010122|offset_46|444444,4010076:4010095|offset_73|444444&amp;v=4009948:4010295&amp;c=444444", "offset 23")</f>
        <v>offset 23</v>
      </c>
    </row>
    <row r="12806" customFormat="false" ht="12.8" hidden="false" customHeight="false" outlineLevel="0" collapsed="false">
      <c r="A12806" s="0" t="s">
        <v>12</v>
      </c>
      <c r="B12806" s="0" t="n">
        <v>4010102</v>
      </c>
      <c r="C12806" s="0" t="n">
        <v>4010122</v>
      </c>
      <c r="D12806" s="0" t="s">
        <v>42530</v>
      </c>
      <c r="E12806" s="0" t="s">
        <v>42531</v>
      </c>
      <c r="F12806" s="0" t="s">
        <v>90</v>
      </c>
      <c r="G12806" s="0" t="s">
        <v>36</v>
      </c>
      <c r="H12806" s="0" t="n">
        <v>46</v>
      </c>
      <c r="I12806" s="0" t="s">
        <v>42538</v>
      </c>
      <c r="J12806" s="0" t="s">
        <v>42539</v>
      </c>
      <c r="K12806" s="0" t="s">
        <v>42540</v>
      </c>
      <c r="L12806" s="0" t="str">
        <f aca="false">HYPERLINK("https://www.ncbi.nlm.nih.gov/nuccore/CP000058.1?report=graph&amp;tracks=[key:gene_model_track,Options:GeneOnly]&amp;mk=4010149:4010168|offset_0|444444,4010126:4010145|offset_23|444444,4010103:4010122|offset_46|00cc00,4010076:4010095|offset_73|444444&amp;v=4009948:4010295&amp;c=444444", "offset 46")</f>
        <v>offset 46</v>
      </c>
    </row>
    <row r="12807" customFormat="false" ht="12.8" hidden="false" customHeight="false" outlineLevel="0" collapsed="false">
      <c r="A12807" s="0" t="s">
        <v>12</v>
      </c>
      <c r="B12807" s="0" t="n">
        <v>4010075</v>
      </c>
      <c r="C12807" s="0" t="n">
        <v>4010095</v>
      </c>
      <c r="D12807" s="0" t="s">
        <v>42530</v>
      </c>
      <c r="E12807" s="0" t="s">
        <v>42531</v>
      </c>
      <c r="F12807" s="0" t="s">
        <v>90</v>
      </c>
      <c r="G12807" s="0" t="s">
        <v>32</v>
      </c>
      <c r="H12807" s="0" t="n">
        <v>73</v>
      </c>
      <c r="I12807" s="0" t="s">
        <v>42541</v>
      </c>
      <c r="J12807" s="0" t="s">
        <v>42542</v>
      </c>
      <c r="K12807" s="0" t="s">
        <v>42543</v>
      </c>
      <c r="L12807" s="0" t="str">
        <f aca="false">HYPERLINK("https://www.ncbi.nlm.nih.gov/nuccore/CP000058.1?report=graph&amp;tracks=[key:gene_model_track,Options:GeneOnly]&amp;mk=4010149:4010168|offset_0|444444,4010126:4010145|offset_23|444444,4010103:4010122|offset_46|444444,4010076:4010095|offset_73|00cc00&amp;v=4009948:4010295&amp;c=444444", "offset 73")</f>
        <v>offset 73</v>
      </c>
    </row>
    <row r="12808" customFormat="false" ht="12.8" hidden="false" customHeight="false" outlineLevel="0" collapsed="false">
      <c r="A12808" s="0" t="s">
        <v>12</v>
      </c>
      <c r="B12808" s="0" t="n">
        <v>4010877</v>
      </c>
      <c r="C12808" s="0" t="n">
        <v>4010897</v>
      </c>
      <c r="D12808" s="0" t="s">
        <v>42544</v>
      </c>
      <c r="E12808" s="0" t="s">
        <v>75</v>
      </c>
      <c r="F12808" s="0" t="s">
        <v>90</v>
      </c>
      <c r="G12808" s="0" t="s">
        <v>32</v>
      </c>
      <c r="H12808" s="0" t="n">
        <v>1</v>
      </c>
      <c r="I12808" s="0" t="s">
        <v>42545</v>
      </c>
      <c r="J12808" s="0" t="s">
        <v>42546</v>
      </c>
      <c r="K12808" s="0" t="s">
        <v>42547</v>
      </c>
      <c r="L12808" s="0" t="str">
        <f aca="false">HYPERLINK("https://www.ncbi.nlm.nih.gov/nuccore/CP000058.1?report=graph&amp;tracks=[key:gene_model_track,Options:GeneOnly]&amp;mk=4010878:4010897|offset_1|00cc00,4010855:4010874|offset_24|444444,4010833:4010852|offset_46|444444,4010772:4010791|offset_107|444444&amp;v=4010677:4010991&amp;c=444444", "offset 1")</f>
        <v>offset 1</v>
      </c>
    </row>
    <row r="12809" customFormat="false" ht="12.8" hidden="false" customHeight="false" outlineLevel="0" collapsed="false">
      <c r="A12809" s="0" t="s">
        <v>12</v>
      </c>
      <c r="B12809" s="0" t="n">
        <v>4010854</v>
      </c>
      <c r="C12809" s="0" t="n">
        <v>4010874</v>
      </c>
      <c r="D12809" s="0" t="s">
        <v>42544</v>
      </c>
      <c r="E12809" s="0" t="s">
        <v>75</v>
      </c>
      <c r="F12809" s="0" t="s">
        <v>90</v>
      </c>
      <c r="G12809" s="0" t="s">
        <v>36</v>
      </c>
      <c r="H12809" s="0" t="n">
        <v>24</v>
      </c>
      <c r="I12809" s="0" t="s">
        <v>42548</v>
      </c>
      <c r="J12809" s="0" t="s">
        <v>42549</v>
      </c>
      <c r="K12809" s="0" t="s">
        <v>42550</v>
      </c>
      <c r="L12809" s="0" t="str">
        <f aca="false">HYPERLINK("https://www.ncbi.nlm.nih.gov/nuccore/CP000058.1?report=graph&amp;tracks=[key:gene_model_track,Options:GeneOnly]&amp;mk=4010878:4010897|offset_1|444444,4010855:4010874|offset_24|00cc00,4010833:4010852|offset_46|444444,4010772:4010791|offset_107|444444&amp;v=4010677:4010991&amp;c=444444", "offset 24")</f>
        <v>offset 24</v>
      </c>
    </row>
    <row r="12810" customFormat="false" ht="12.8" hidden="false" customHeight="false" outlineLevel="0" collapsed="false">
      <c r="A12810" s="0" t="s">
        <v>12</v>
      </c>
      <c r="B12810" s="0" t="n">
        <v>4010832</v>
      </c>
      <c r="C12810" s="0" t="n">
        <v>4010852</v>
      </c>
      <c r="D12810" s="0" t="s">
        <v>42544</v>
      </c>
      <c r="E12810" s="0" t="s">
        <v>75</v>
      </c>
      <c r="F12810" s="0" t="s">
        <v>90</v>
      </c>
      <c r="G12810" s="0" t="s">
        <v>16</v>
      </c>
      <c r="H12810" s="0" t="n">
        <v>46</v>
      </c>
      <c r="I12810" s="0" t="s">
        <v>42551</v>
      </c>
      <c r="J12810" s="0" t="s">
        <v>42552</v>
      </c>
      <c r="K12810" s="0" t="s">
        <v>42553</v>
      </c>
      <c r="L12810" s="0" t="str">
        <f aca="false">HYPERLINK("https://www.ncbi.nlm.nih.gov/nuccore/CP000058.1?report=graph&amp;tracks=[key:gene_model_track,Options:GeneOnly]&amp;mk=4010878:4010897|offset_1|444444,4010855:4010874|offset_24|444444,4010833:4010852|offset_46|00cc00,4010772:4010791|offset_107|444444&amp;v=4010677:4010991&amp;c=444444", "offset 46")</f>
        <v>offset 46</v>
      </c>
    </row>
    <row r="12811" customFormat="false" ht="12.8" hidden="false" customHeight="false" outlineLevel="0" collapsed="false">
      <c r="A12811" s="0" t="s">
        <v>12</v>
      </c>
      <c r="B12811" s="0" t="n">
        <v>4010771</v>
      </c>
      <c r="C12811" s="0" t="n">
        <v>4010791</v>
      </c>
      <c r="D12811" s="0" t="s">
        <v>42544</v>
      </c>
      <c r="E12811" s="0" t="s">
        <v>75</v>
      </c>
      <c r="F12811" s="0" t="s">
        <v>90</v>
      </c>
      <c r="G12811" s="0" t="s">
        <v>16</v>
      </c>
      <c r="H12811" s="0" t="n">
        <v>107</v>
      </c>
      <c r="I12811" s="0" t="s">
        <v>42554</v>
      </c>
      <c r="J12811" s="0" t="s">
        <v>42555</v>
      </c>
      <c r="K12811" s="0" t="s">
        <v>42556</v>
      </c>
      <c r="L12811" s="0" t="str">
        <f aca="false">HYPERLINK("https://www.ncbi.nlm.nih.gov/nuccore/CP000058.1?report=graph&amp;tracks=[key:gene_model_track,Options:GeneOnly]&amp;mk=4010878:4010897|offset_1|444444,4010855:4010874|offset_24|444444,4010833:4010852|offset_46|444444,4010772:4010791|offset_107|00cc00&amp;v=4010677:4010991&amp;c=444444", "offset 107")</f>
        <v>offset 107</v>
      </c>
    </row>
    <row r="12812" customFormat="false" ht="12.8" hidden="false" customHeight="false" outlineLevel="0" collapsed="false">
      <c r="A12812" s="0" t="s">
        <v>12</v>
      </c>
      <c r="B12812" s="0" t="n">
        <v>4011253</v>
      </c>
      <c r="C12812" s="0" t="n">
        <v>4011273</v>
      </c>
      <c r="D12812" s="0" t="s">
        <v>42557</v>
      </c>
      <c r="E12812" s="0" t="s">
        <v>75</v>
      </c>
      <c r="F12812" s="0" t="s">
        <v>15</v>
      </c>
      <c r="G12812" s="0" t="s">
        <v>32</v>
      </c>
      <c r="H12812" s="0" t="n">
        <v>11</v>
      </c>
      <c r="I12812" s="0" t="s">
        <v>42558</v>
      </c>
      <c r="J12812" s="0" t="s">
        <v>42559</v>
      </c>
      <c r="K12812" s="0" t="s">
        <v>42560</v>
      </c>
      <c r="L12812" s="0" t="str">
        <f aca="false">HYPERLINK("https://www.ncbi.nlm.nih.gov/nuccore/CP000058.1?report=graph&amp;tracks=[key:gene_model_track,Options:GeneOnly]&amp;mk=4011254:4011273|offset_11|00cc00,4011275:4011294|offset_32|444444,4011303:4011322|offset_60|444444,4011385:4011404|offset_142|444444&amp;v=4011053:4011604&amp;c=444444", "offset 11")</f>
        <v>offset 11</v>
      </c>
    </row>
    <row r="12813" customFormat="false" ht="12.8" hidden="false" customHeight="false" outlineLevel="0" collapsed="false">
      <c r="A12813" s="0" t="s">
        <v>12</v>
      </c>
      <c r="B12813" s="0" t="n">
        <v>4011274</v>
      </c>
      <c r="C12813" s="0" t="n">
        <v>4011294</v>
      </c>
      <c r="D12813" s="0" t="s">
        <v>42557</v>
      </c>
      <c r="E12813" s="0" t="s">
        <v>75</v>
      </c>
      <c r="F12813" s="0" t="s">
        <v>15</v>
      </c>
      <c r="G12813" s="0" t="s">
        <v>36</v>
      </c>
      <c r="H12813" s="0" t="n">
        <v>32</v>
      </c>
      <c r="I12813" s="0" t="s">
        <v>42561</v>
      </c>
      <c r="J12813" s="0" t="s">
        <v>42562</v>
      </c>
      <c r="K12813" s="0" t="s">
        <v>42563</v>
      </c>
      <c r="L12813" s="0" t="str">
        <f aca="false">HYPERLINK("https://www.ncbi.nlm.nih.gov/nuccore/CP000058.1?report=graph&amp;tracks=[key:gene_model_track,Options:GeneOnly]&amp;mk=4011254:4011273|offset_11|444444,4011275:4011294|offset_32|00cc00,4011303:4011322|offset_60|444444,4011385:4011404|offset_142|444444&amp;v=4011053:4011604&amp;c=444444", "offset 32")</f>
        <v>offset 32</v>
      </c>
    </row>
    <row r="12814" customFormat="false" ht="12.8" hidden="false" customHeight="false" outlineLevel="0" collapsed="false">
      <c r="A12814" s="0" t="s">
        <v>12</v>
      </c>
      <c r="B12814" s="0" t="n">
        <v>4011302</v>
      </c>
      <c r="C12814" s="0" t="n">
        <v>4011322</v>
      </c>
      <c r="D12814" s="0" t="s">
        <v>42557</v>
      </c>
      <c r="E12814" s="0" t="s">
        <v>75</v>
      </c>
      <c r="F12814" s="0" t="s">
        <v>15</v>
      </c>
      <c r="G12814" s="0" t="s">
        <v>16</v>
      </c>
      <c r="H12814" s="0" t="n">
        <v>60</v>
      </c>
      <c r="I12814" s="0" t="s">
        <v>42564</v>
      </c>
      <c r="J12814" s="0" t="s">
        <v>42565</v>
      </c>
      <c r="K12814" s="0" t="s">
        <v>42566</v>
      </c>
      <c r="L12814" s="0" t="str">
        <f aca="false">HYPERLINK("https://www.ncbi.nlm.nih.gov/nuccore/CP000058.1?report=graph&amp;tracks=[key:gene_model_track,Options:GeneOnly]&amp;mk=4011254:4011273|offset_11|444444,4011275:4011294|offset_32|444444,4011303:4011322|offset_60|00cc00,4011385:4011404|offset_142|444444&amp;v=4011053:4011604&amp;c=444444", "offset 60")</f>
        <v>offset 60</v>
      </c>
    </row>
    <row r="12815" customFormat="false" ht="12.8" hidden="false" customHeight="false" outlineLevel="0" collapsed="false">
      <c r="A12815" s="0" t="s">
        <v>12</v>
      </c>
      <c r="B12815" s="0" t="n">
        <v>4011384</v>
      </c>
      <c r="C12815" s="0" t="n">
        <v>4011404</v>
      </c>
      <c r="D12815" s="0" t="s">
        <v>42557</v>
      </c>
      <c r="E12815" s="0" t="s">
        <v>75</v>
      </c>
      <c r="F12815" s="0" t="s">
        <v>15</v>
      </c>
      <c r="G12815" s="0" t="s">
        <v>16</v>
      </c>
      <c r="H12815" s="0" t="n">
        <v>142</v>
      </c>
      <c r="I12815" s="0" t="s">
        <v>42567</v>
      </c>
      <c r="J12815" s="0" t="s">
        <v>42568</v>
      </c>
      <c r="K12815" s="0" t="s">
        <v>42569</v>
      </c>
      <c r="L12815" s="0" t="str">
        <f aca="false">HYPERLINK("https://www.ncbi.nlm.nih.gov/nuccore/CP000058.1?report=graph&amp;tracks=[key:gene_model_track,Options:GeneOnly]&amp;mk=4011254:4011273|offset_11|444444,4011275:4011294|offset_32|444444,4011303:4011322|offset_60|444444,4011385:4011404|offset_142|00cc00&amp;v=4011053:4011604&amp;c=444444", "offset 142")</f>
        <v>offset 142</v>
      </c>
    </row>
    <row r="12816" customFormat="false" ht="12.8" hidden="false" customHeight="false" outlineLevel="0" collapsed="false">
      <c r="A12816" s="0" t="s">
        <v>12</v>
      </c>
      <c r="B12816" s="0" t="n">
        <v>4013047</v>
      </c>
      <c r="C12816" s="0" t="n">
        <v>4013067</v>
      </c>
      <c r="D12816" s="0" t="s">
        <v>42570</v>
      </c>
      <c r="E12816" s="0" t="s">
        <v>75</v>
      </c>
      <c r="F12816" s="0" t="s">
        <v>15</v>
      </c>
      <c r="G12816" s="0" t="s">
        <v>16</v>
      </c>
      <c r="H12816" s="0" t="n">
        <v>19</v>
      </c>
      <c r="I12816" s="0" t="s">
        <v>42571</v>
      </c>
      <c r="J12816" s="0" t="s">
        <v>42572</v>
      </c>
      <c r="K12816" s="0" t="s">
        <v>42573</v>
      </c>
      <c r="L12816" s="0" t="str">
        <f aca="false">HYPERLINK("https://www.ncbi.nlm.nih.gov/nuccore/CP000058.1?report=graph&amp;tracks=[key:gene_model_track,Options:GeneOnly]&amp;mk=4013048:4013067|offset_19|00cc00,4013068:4013087|offset_39|444444,4013120:4013139|offset_91|444444,4013168:4013187|offset_139|444444&amp;v=4012847:4013387&amp;c=444444", "offset 19")</f>
        <v>offset 19</v>
      </c>
    </row>
    <row r="12817" customFormat="false" ht="12.8" hidden="false" customHeight="false" outlineLevel="0" collapsed="false">
      <c r="A12817" s="0" t="s">
        <v>12</v>
      </c>
      <c r="B12817" s="0" t="n">
        <v>4013067</v>
      </c>
      <c r="C12817" s="0" t="n">
        <v>4013087</v>
      </c>
      <c r="D12817" s="0" t="s">
        <v>42570</v>
      </c>
      <c r="E12817" s="0" t="s">
        <v>75</v>
      </c>
      <c r="F12817" s="0" t="s">
        <v>15</v>
      </c>
      <c r="G12817" s="0" t="s">
        <v>36</v>
      </c>
      <c r="H12817" s="0" t="n">
        <v>39</v>
      </c>
      <c r="I12817" s="0" t="s">
        <v>42574</v>
      </c>
      <c r="J12817" s="0" t="s">
        <v>42575</v>
      </c>
      <c r="K12817" s="0" t="s">
        <v>42576</v>
      </c>
      <c r="L12817" s="0" t="str">
        <f aca="false">HYPERLINK("https://www.ncbi.nlm.nih.gov/nuccore/CP000058.1?report=graph&amp;tracks=[key:gene_model_track,Options:GeneOnly]&amp;mk=4013048:4013067|offset_19|444444,4013068:4013087|offset_39|00cc00,4013120:4013139|offset_91|444444,4013168:4013187|offset_139|444444&amp;v=4012847:4013387&amp;c=444444", "offset 39")</f>
        <v>offset 39</v>
      </c>
    </row>
    <row r="12818" customFormat="false" ht="12.8" hidden="false" customHeight="false" outlineLevel="0" collapsed="false">
      <c r="A12818" s="0" t="s">
        <v>12</v>
      </c>
      <c r="B12818" s="0" t="n">
        <v>4013119</v>
      </c>
      <c r="C12818" s="0" t="n">
        <v>4013139</v>
      </c>
      <c r="D12818" s="0" t="s">
        <v>42570</v>
      </c>
      <c r="E12818" s="0" t="s">
        <v>75</v>
      </c>
      <c r="F12818" s="0" t="s">
        <v>15</v>
      </c>
      <c r="G12818" s="0" t="s">
        <v>36</v>
      </c>
      <c r="H12818" s="0" t="n">
        <v>91</v>
      </c>
      <c r="I12818" s="0" t="s">
        <v>42577</v>
      </c>
      <c r="J12818" s="0" t="s">
        <v>42578</v>
      </c>
      <c r="K12818" s="0" t="s">
        <v>42579</v>
      </c>
      <c r="L12818" s="0" t="str">
        <f aca="false">HYPERLINK("https://www.ncbi.nlm.nih.gov/nuccore/CP000058.1?report=graph&amp;tracks=[key:gene_model_track,Options:GeneOnly]&amp;mk=4013048:4013067|offset_19|444444,4013068:4013087|offset_39|444444,4013120:4013139|offset_91|00cc00,4013168:4013187|offset_139|444444&amp;v=4012847:4013387&amp;c=444444", "offset 91")</f>
        <v>offset 91</v>
      </c>
    </row>
    <row r="12819" customFormat="false" ht="12.8" hidden="false" customHeight="false" outlineLevel="0" collapsed="false">
      <c r="A12819" s="0" t="s">
        <v>12</v>
      </c>
      <c r="B12819" s="0" t="n">
        <v>4013167</v>
      </c>
      <c r="C12819" s="0" t="n">
        <v>4013187</v>
      </c>
      <c r="D12819" s="0" t="s">
        <v>42570</v>
      </c>
      <c r="E12819" s="0" t="s">
        <v>75</v>
      </c>
      <c r="F12819" s="0" t="s">
        <v>15</v>
      </c>
      <c r="G12819" s="0" t="s">
        <v>16</v>
      </c>
      <c r="H12819" s="0" t="n">
        <v>139</v>
      </c>
      <c r="I12819" s="0" t="s">
        <v>42580</v>
      </c>
      <c r="J12819" s="0" t="s">
        <v>42581</v>
      </c>
      <c r="K12819" s="0" t="s">
        <v>42582</v>
      </c>
      <c r="L12819" s="0" t="str">
        <f aca="false">HYPERLINK("https://www.ncbi.nlm.nih.gov/nuccore/CP000058.1?report=graph&amp;tracks=[key:gene_model_track,Options:GeneOnly]&amp;mk=4013048:4013067|offset_19|444444,4013068:4013087|offset_39|444444,4013120:4013139|offset_91|444444,4013168:4013187|offset_139|00cc00&amp;v=4012847:4013387&amp;c=444444", "offset 139")</f>
        <v>offset 139</v>
      </c>
    </row>
    <row r="12820" customFormat="false" ht="12.8" hidden="false" customHeight="false" outlineLevel="0" collapsed="false">
      <c r="A12820" s="0" t="s">
        <v>12</v>
      </c>
      <c r="B12820" s="0" t="n">
        <v>4015113</v>
      </c>
      <c r="C12820" s="0" t="n">
        <v>4015133</v>
      </c>
      <c r="D12820" s="0" t="s">
        <v>42583</v>
      </c>
      <c r="E12820" s="0" t="s">
        <v>75</v>
      </c>
      <c r="F12820" s="0" t="s">
        <v>15</v>
      </c>
      <c r="G12820" s="0" t="s">
        <v>36</v>
      </c>
      <c r="H12820" s="0" t="n">
        <v>35</v>
      </c>
      <c r="I12820" s="0" t="s">
        <v>42584</v>
      </c>
      <c r="J12820" s="0" t="s">
        <v>42585</v>
      </c>
      <c r="K12820" s="0" t="s">
        <v>42586</v>
      </c>
      <c r="L12820" s="0" t="str">
        <f aca="false">HYPERLINK("https://www.ncbi.nlm.nih.gov/nuccore/CP000058.1?report=graph&amp;tracks=[key:gene_model_track,Options:GeneOnly]&amp;mk=4015114:4015133|offset_35|00cc00,4015170:4015189|offset_91|444444,4015227:4015246|offset_148|444444,4015248:4015267|offset_169|444444&amp;v=4014913:4015467&amp;c=444444", "offset 35")</f>
        <v>offset 35</v>
      </c>
    </row>
    <row r="12821" customFormat="false" ht="12.8" hidden="false" customHeight="false" outlineLevel="0" collapsed="false">
      <c r="A12821" s="0" t="s">
        <v>12</v>
      </c>
      <c r="B12821" s="0" t="n">
        <v>4015169</v>
      </c>
      <c r="C12821" s="0" t="n">
        <v>4015189</v>
      </c>
      <c r="D12821" s="0" t="s">
        <v>42583</v>
      </c>
      <c r="E12821" s="0" t="s">
        <v>75</v>
      </c>
      <c r="F12821" s="0" t="s">
        <v>15</v>
      </c>
      <c r="G12821" s="0" t="s">
        <v>32</v>
      </c>
      <c r="H12821" s="0" t="n">
        <v>91</v>
      </c>
      <c r="I12821" s="0" t="s">
        <v>42587</v>
      </c>
      <c r="J12821" s="0" t="s">
        <v>42588</v>
      </c>
      <c r="K12821" s="0" t="s">
        <v>42589</v>
      </c>
      <c r="L12821" s="0" t="str">
        <f aca="false">HYPERLINK("https://www.ncbi.nlm.nih.gov/nuccore/CP000058.1?report=graph&amp;tracks=[key:gene_model_track,Options:GeneOnly]&amp;mk=4015114:4015133|offset_35|444444,4015170:4015189|offset_91|00cc00,4015227:4015246|offset_148|444444,4015248:4015267|offset_169|444444&amp;v=4014913:4015467&amp;c=444444", "offset 91")</f>
        <v>offset 91</v>
      </c>
    </row>
    <row r="12822" customFormat="false" ht="12.8" hidden="false" customHeight="false" outlineLevel="0" collapsed="false">
      <c r="A12822" s="0" t="s">
        <v>12</v>
      </c>
      <c r="B12822" s="0" t="n">
        <v>4015226</v>
      </c>
      <c r="C12822" s="0" t="n">
        <v>4015246</v>
      </c>
      <c r="D12822" s="0" t="s">
        <v>42583</v>
      </c>
      <c r="E12822" s="0" t="s">
        <v>75</v>
      </c>
      <c r="F12822" s="0" t="s">
        <v>15</v>
      </c>
      <c r="G12822" s="0" t="s">
        <v>36</v>
      </c>
      <c r="H12822" s="0" t="n">
        <v>148</v>
      </c>
      <c r="I12822" s="0" t="s">
        <v>42590</v>
      </c>
      <c r="J12822" s="0" t="s">
        <v>42591</v>
      </c>
      <c r="K12822" s="0" t="s">
        <v>42592</v>
      </c>
      <c r="L12822" s="0" t="str">
        <f aca="false">HYPERLINK("https://www.ncbi.nlm.nih.gov/nuccore/CP000058.1?report=graph&amp;tracks=[key:gene_model_track,Options:GeneOnly]&amp;mk=4015114:4015133|offset_35|444444,4015170:4015189|offset_91|444444,4015227:4015246|offset_148|00cc00,4015248:4015267|offset_169|444444&amp;v=4014913:4015467&amp;c=444444", "offset 148")</f>
        <v>offset 148</v>
      </c>
    </row>
    <row r="12823" customFormat="false" ht="12.8" hidden="false" customHeight="false" outlineLevel="0" collapsed="false">
      <c r="A12823" s="0" t="s">
        <v>12</v>
      </c>
      <c r="B12823" s="0" t="n">
        <v>4015247</v>
      </c>
      <c r="C12823" s="0" t="n">
        <v>4015267</v>
      </c>
      <c r="D12823" s="0" t="s">
        <v>42583</v>
      </c>
      <c r="E12823" s="0" t="s">
        <v>75</v>
      </c>
      <c r="F12823" s="0" t="s">
        <v>15</v>
      </c>
      <c r="G12823" s="0" t="s">
        <v>32</v>
      </c>
      <c r="H12823" s="0" t="n">
        <v>169</v>
      </c>
      <c r="I12823" s="0" t="s">
        <v>42593</v>
      </c>
      <c r="J12823" s="0" t="s">
        <v>42594</v>
      </c>
      <c r="K12823" s="0" t="s">
        <v>42595</v>
      </c>
      <c r="L12823" s="0" t="str">
        <f aca="false">HYPERLINK("https://www.ncbi.nlm.nih.gov/nuccore/CP000058.1?report=graph&amp;tracks=[key:gene_model_track,Options:GeneOnly]&amp;mk=4015114:4015133|offset_35|444444,4015170:4015189|offset_91|444444,4015227:4015246|offset_148|444444,4015248:4015267|offset_169|00cc00&amp;v=4014913:4015467&amp;c=444444", "offset 169")</f>
        <v>offset 169</v>
      </c>
    </row>
    <row r="12824" customFormat="false" ht="12.8" hidden="false" customHeight="false" outlineLevel="0" collapsed="false">
      <c r="A12824" s="0" t="s">
        <v>12</v>
      </c>
      <c r="B12824" s="0" t="n">
        <v>4015682</v>
      </c>
      <c r="C12824" s="0" t="n">
        <v>4015702</v>
      </c>
      <c r="D12824" s="0" t="s">
        <v>42596</v>
      </c>
      <c r="E12824" s="0" t="s">
        <v>75</v>
      </c>
      <c r="F12824" s="0" t="s">
        <v>15</v>
      </c>
      <c r="G12824" s="0" t="s">
        <v>32</v>
      </c>
      <c r="H12824" s="0" t="n">
        <v>26</v>
      </c>
      <c r="I12824" s="0" t="s">
        <v>42597</v>
      </c>
      <c r="J12824" s="0" t="s">
        <v>42598</v>
      </c>
      <c r="K12824" s="0" t="s">
        <v>42599</v>
      </c>
      <c r="L12824" s="0" t="str">
        <f aca="false">HYPERLINK("https://www.ncbi.nlm.nih.gov/nuccore/CP000058.1?report=graph&amp;tracks=[key:gene_model_track,Options:GeneOnly]&amp;mk=4015683:4015702|offset_26|00cc00,4015721:4015740|offset_64|444444,4015769:4015788|offset_112|444444,4015794:4015813|offset_137|444444&amp;v=4015482:4016013&amp;c=444444", "offset 26")</f>
        <v>offset 26</v>
      </c>
    </row>
    <row r="12825" customFormat="false" ht="12.8" hidden="false" customHeight="false" outlineLevel="0" collapsed="false">
      <c r="A12825" s="0" t="s">
        <v>12</v>
      </c>
      <c r="B12825" s="0" t="n">
        <v>4015720</v>
      </c>
      <c r="C12825" s="0" t="n">
        <v>4015740</v>
      </c>
      <c r="D12825" s="0" t="s">
        <v>42596</v>
      </c>
      <c r="E12825" s="0" t="s">
        <v>75</v>
      </c>
      <c r="F12825" s="0" t="s">
        <v>15</v>
      </c>
      <c r="G12825" s="0" t="s">
        <v>16</v>
      </c>
      <c r="H12825" s="0" t="n">
        <v>64</v>
      </c>
      <c r="I12825" s="0" t="s">
        <v>42600</v>
      </c>
      <c r="J12825" s="0" t="s">
        <v>42601</v>
      </c>
      <c r="K12825" s="0" t="s">
        <v>42602</v>
      </c>
      <c r="L12825" s="0" t="str">
        <f aca="false">HYPERLINK("https://www.ncbi.nlm.nih.gov/nuccore/CP000058.1?report=graph&amp;tracks=[key:gene_model_track,Options:GeneOnly]&amp;mk=4015683:4015702|offset_26|444444,4015721:4015740|offset_64|00cc00,4015769:4015788|offset_112|444444,4015794:4015813|offset_137|444444&amp;v=4015482:4016013&amp;c=444444", "offset 64")</f>
        <v>offset 64</v>
      </c>
    </row>
    <row r="12826" customFormat="false" ht="12.8" hidden="false" customHeight="false" outlineLevel="0" collapsed="false">
      <c r="A12826" s="0" t="s">
        <v>12</v>
      </c>
      <c r="B12826" s="0" t="n">
        <v>4015768</v>
      </c>
      <c r="C12826" s="0" t="n">
        <v>4015788</v>
      </c>
      <c r="D12826" s="0" t="s">
        <v>42596</v>
      </c>
      <c r="E12826" s="0" t="s">
        <v>75</v>
      </c>
      <c r="F12826" s="0" t="s">
        <v>15</v>
      </c>
      <c r="G12826" s="0" t="s">
        <v>36</v>
      </c>
      <c r="H12826" s="0" t="n">
        <v>112</v>
      </c>
      <c r="I12826" s="0" t="s">
        <v>42603</v>
      </c>
      <c r="J12826" s="0" t="s">
        <v>42604</v>
      </c>
      <c r="K12826" s="0" t="s">
        <v>42605</v>
      </c>
      <c r="L12826" s="0" t="str">
        <f aca="false">HYPERLINK("https://www.ncbi.nlm.nih.gov/nuccore/CP000058.1?report=graph&amp;tracks=[key:gene_model_track,Options:GeneOnly]&amp;mk=4015683:4015702|offset_26|444444,4015721:4015740|offset_64|444444,4015769:4015788|offset_112|00cc00,4015794:4015813|offset_137|444444&amp;v=4015482:4016013&amp;c=444444", "offset 112")</f>
        <v>offset 112</v>
      </c>
    </row>
    <row r="12827" customFormat="false" ht="12.8" hidden="false" customHeight="false" outlineLevel="0" collapsed="false">
      <c r="A12827" s="0" t="s">
        <v>12</v>
      </c>
      <c r="B12827" s="0" t="n">
        <v>4015793</v>
      </c>
      <c r="C12827" s="0" t="n">
        <v>4015813</v>
      </c>
      <c r="D12827" s="0" t="s">
        <v>42596</v>
      </c>
      <c r="E12827" s="0" t="s">
        <v>75</v>
      </c>
      <c r="F12827" s="0" t="s">
        <v>15</v>
      </c>
      <c r="G12827" s="0" t="s">
        <v>20</v>
      </c>
      <c r="H12827" s="0" t="n">
        <v>137</v>
      </c>
      <c r="I12827" s="0" t="s">
        <v>42606</v>
      </c>
      <c r="J12827" s="0" t="s">
        <v>42607</v>
      </c>
      <c r="K12827" s="0" t="s">
        <v>42608</v>
      </c>
      <c r="L12827" s="0" t="str">
        <f aca="false">HYPERLINK("https://www.ncbi.nlm.nih.gov/nuccore/CP000058.1?report=graph&amp;tracks=[key:gene_model_track,Options:GeneOnly]&amp;mk=4015683:4015702|offset_26|444444,4015721:4015740|offset_64|444444,4015769:4015788|offset_112|444444,4015794:4015813|offset_137|00cc00&amp;v=4015482:4016013&amp;c=444444", "offset 137")</f>
        <v>offset 137</v>
      </c>
    </row>
    <row r="12828" customFormat="false" ht="12.8" hidden="false" customHeight="false" outlineLevel="0" collapsed="false">
      <c r="A12828" s="0" t="s">
        <v>12</v>
      </c>
      <c r="B12828" s="0" t="n">
        <v>4018614</v>
      </c>
      <c r="C12828" s="0" t="n">
        <v>4018634</v>
      </c>
      <c r="D12828" s="0" t="s">
        <v>42609</v>
      </c>
      <c r="E12828" s="0" t="s">
        <v>75</v>
      </c>
      <c r="F12828" s="0" t="s">
        <v>90</v>
      </c>
      <c r="G12828" s="0" t="s">
        <v>36</v>
      </c>
      <c r="H12828" s="0" t="n">
        <v>12</v>
      </c>
      <c r="I12828" s="0" t="s">
        <v>42610</v>
      </c>
      <c r="J12828" s="0" t="s">
        <v>42611</v>
      </c>
      <c r="K12828" s="0" t="s">
        <v>42612</v>
      </c>
      <c r="L12828" s="0" t="str">
        <f aca="false">HYPERLINK("https://www.ncbi.nlm.nih.gov/nuccore/CP000058.1?report=graph&amp;tracks=[key:gene_model_track,Options:GeneOnly]&amp;mk=4018615:4018634|offset_12|00cc00,4018593:4018612|offset_34|444444,4018539:4018558|offset_88|444444,4018455:4018474|offset_172|444444&amp;v=4018414:4018674&amp;c=444444", "offset 12")</f>
        <v>offset 12</v>
      </c>
    </row>
    <row r="12829" customFormat="false" ht="12.8" hidden="false" customHeight="false" outlineLevel="0" collapsed="false">
      <c r="A12829" s="0" t="s">
        <v>12</v>
      </c>
      <c r="B12829" s="0" t="n">
        <v>4018592</v>
      </c>
      <c r="C12829" s="0" t="n">
        <v>4018612</v>
      </c>
      <c r="D12829" s="0" t="s">
        <v>42609</v>
      </c>
      <c r="E12829" s="0" t="s">
        <v>75</v>
      </c>
      <c r="F12829" s="0" t="s">
        <v>90</v>
      </c>
      <c r="G12829" s="0" t="s">
        <v>36</v>
      </c>
      <c r="H12829" s="0" t="n">
        <v>34</v>
      </c>
      <c r="I12829" s="0" t="s">
        <v>42613</v>
      </c>
      <c r="J12829" s="0" t="s">
        <v>42614</v>
      </c>
      <c r="K12829" s="0" t="s">
        <v>42615</v>
      </c>
      <c r="L12829" s="0" t="str">
        <f aca="false">HYPERLINK("https://www.ncbi.nlm.nih.gov/nuccore/CP000058.1?report=graph&amp;tracks=[key:gene_model_track,Options:GeneOnly]&amp;mk=4018615:4018634|offset_12|444444,4018593:4018612|offset_34|00cc00,4018539:4018558|offset_88|444444,4018455:4018474|offset_172|444444&amp;v=4018414:4018674&amp;c=444444", "offset 34")</f>
        <v>offset 34</v>
      </c>
    </row>
    <row r="12830" customFormat="false" ht="12.8" hidden="false" customHeight="false" outlineLevel="0" collapsed="false">
      <c r="A12830" s="0" t="s">
        <v>12</v>
      </c>
      <c r="B12830" s="0" t="n">
        <v>4018538</v>
      </c>
      <c r="C12830" s="0" t="n">
        <v>4018558</v>
      </c>
      <c r="D12830" s="0" t="s">
        <v>42609</v>
      </c>
      <c r="E12830" s="0" t="s">
        <v>75</v>
      </c>
      <c r="F12830" s="0" t="s">
        <v>90</v>
      </c>
      <c r="G12830" s="0" t="s">
        <v>36</v>
      </c>
      <c r="H12830" s="0" t="n">
        <v>88</v>
      </c>
      <c r="I12830" s="0" t="s">
        <v>42616</v>
      </c>
      <c r="J12830" s="0" t="s">
        <v>42617</v>
      </c>
      <c r="K12830" s="0" t="s">
        <v>42618</v>
      </c>
      <c r="L12830" s="0" t="str">
        <f aca="false">HYPERLINK("https://www.ncbi.nlm.nih.gov/nuccore/CP000058.1?report=graph&amp;tracks=[key:gene_model_track,Options:GeneOnly]&amp;mk=4018615:4018634|offset_12|444444,4018593:4018612|offset_34|444444,4018539:4018558|offset_88|00cc00,4018455:4018474|offset_172|444444&amp;v=4018414:4018674&amp;c=444444", "offset 88")</f>
        <v>offset 88</v>
      </c>
    </row>
    <row r="12831" customFormat="false" ht="12.8" hidden="false" customHeight="false" outlineLevel="0" collapsed="false">
      <c r="A12831" s="0" t="s">
        <v>12</v>
      </c>
      <c r="B12831" s="0" t="n">
        <v>4018454</v>
      </c>
      <c r="C12831" s="0" t="n">
        <v>4018474</v>
      </c>
      <c r="D12831" s="0" t="s">
        <v>42609</v>
      </c>
      <c r="E12831" s="0" t="s">
        <v>75</v>
      </c>
      <c r="F12831" s="0" t="s">
        <v>90</v>
      </c>
      <c r="G12831" s="0" t="s">
        <v>16</v>
      </c>
      <c r="H12831" s="0" t="n">
        <v>172</v>
      </c>
      <c r="I12831" s="0" t="s">
        <v>42619</v>
      </c>
      <c r="J12831" s="0" t="s">
        <v>42620</v>
      </c>
      <c r="K12831" s="0" t="s">
        <v>42621</v>
      </c>
      <c r="L12831" s="0" t="str">
        <f aca="false">HYPERLINK("https://www.ncbi.nlm.nih.gov/nuccore/CP000058.1?report=graph&amp;tracks=[key:gene_model_track,Options:GeneOnly]&amp;mk=4018615:4018634|offset_12|444444,4018593:4018612|offset_34|444444,4018539:4018558|offset_88|444444,4018455:4018474|offset_172|00cc00&amp;v=4018414:4018674&amp;c=444444", "offset 172")</f>
        <v>offset 172</v>
      </c>
    </row>
    <row r="12832" customFormat="false" ht="12.8" hidden="false" customHeight="false" outlineLevel="0" collapsed="false">
      <c r="A12832" s="0" t="s">
        <v>12</v>
      </c>
      <c r="B12832" s="0" t="n">
        <v>4019164</v>
      </c>
      <c r="C12832" s="0" t="n">
        <v>4019184</v>
      </c>
      <c r="D12832" s="0" t="s">
        <v>42622</v>
      </c>
      <c r="E12832" s="0" t="s">
        <v>75</v>
      </c>
      <c r="F12832" s="0" t="s">
        <v>90</v>
      </c>
      <c r="G12832" s="0" t="s">
        <v>16</v>
      </c>
      <c r="H12832" s="0" t="n">
        <v>34</v>
      </c>
      <c r="I12832" s="0" t="s">
        <v>42623</v>
      </c>
      <c r="J12832" s="0" t="s">
        <v>42624</v>
      </c>
      <c r="K12832" s="0" t="s">
        <v>42625</v>
      </c>
      <c r="L12832" s="0" t="str">
        <f aca="false">HYPERLINK("https://www.ncbi.nlm.nih.gov/nuccore/CP000058.1?report=graph&amp;tracks=[key:gene_model_track,Options:GeneOnly]&amp;mk=4019165:4019184|offset_34|00cc00,4019141:4019160|offset_58|444444,4019098:4019117|offset_101|444444,4019076:4019095|offset_123|444444&amp;v=4018964:4019295&amp;c=444444", "offset 34")</f>
        <v>offset 34</v>
      </c>
    </row>
    <row r="12833" customFormat="false" ht="12.8" hidden="false" customHeight="false" outlineLevel="0" collapsed="false">
      <c r="A12833" s="0" t="s">
        <v>12</v>
      </c>
      <c r="B12833" s="0" t="n">
        <v>4019140</v>
      </c>
      <c r="C12833" s="0" t="n">
        <v>4019160</v>
      </c>
      <c r="D12833" s="0" t="s">
        <v>42622</v>
      </c>
      <c r="E12833" s="0" t="s">
        <v>75</v>
      </c>
      <c r="F12833" s="0" t="s">
        <v>90</v>
      </c>
      <c r="G12833" s="0" t="s">
        <v>36</v>
      </c>
      <c r="H12833" s="0" t="n">
        <v>58</v>
      </c>
      <c r="I12833" s="0" t="s">
        <v>42626</v>
      </c>
      <c r="J12833" s="0" t="s">
        <v>42627</v>
      </c>
      <c r="K12833" s="0" t="s">
        <v>42628</v>
      </c>
      <c r="L12833" s="0" t="str">
        <f aca="false">HYPERLINK("https://www.ncbi.nlm.nih.gov/nuccore/CP000058.1?report=graph&amp;tracks=[key:gene_model_track,Options:GeneOnly]&amp;mk=4019165:4019184|offset_34|444444,4019141:4019160|offset_58|00cc00,4019098:4019117|offset_101|444444,4019076:4019095|offset_123|444444&amp;v=4018964:4019295&amp;c=444444", "offset 58")</f>
        <v>offset 58</v>
      </c>
    </row>
    <row r="12834" customFormat="false" ht="12.8" hidden="false" customHeight="false" outlineLevel="0" collapsed="false">
      <c r="A12834" s="0" t="s">
        <v>12</v>
      </c>
      <c r="B12834" s="0" t="n">
        <v>4019097</v>
      </c>
      <c r="C12834" s="0" t="n">
        <v>4019117</v>
      </c>
      <c r="D12834" s="0" t="s">
        <v>42622</v>
      </c>
      <c r="E12834" s="0" t="s">
        <v>75</v>
      </c>
      <c r="F12834" s="0" t="s">
        <v>90</v>
      </c>
      <c r="G12834" s="0" t="s">
        <v>20</v>
      </c>
      <c r="H12834" s="0" t="n">
        <v>101</v>
      </c>
      <c r="I12834" s="0" t="s">
        <v>42629</v>
      </c>
      <c r="J12834" s="0" t="s">
        <v>42630</v>
      </c>
      <c r="K12834" s="0" t="s">
        <v>42631</v>
      </c>
      <c r="L12834" s="0" t="str">
        <f aca="false">HYPERLINK("https://www.ncbi.nlm.nih.gov/nuccore/CP000058.1?report=graph&amp;tracks=[key:gene_model_track,Options:GeneOnly]&amp;mk=4019165:4019184|offset_34|444444,4019141:4019160|offset_58|444444,4019098:4019117|offset_101|00cc00,4019076:4019095|offset_123|444444&amp;v=4018964:4019295&amp;c=444444", "offset 101")</f>
        <v>offset 101</v>
      </c>
    </row>
    <row r="12835" customFormat="false" ht="12.8" hidden="false" customHeight="false" outlineLevel="0" collapsed="false">
      <c r="A12835" s="0" t="s">
        <v>12</v>
      </c>
      <c r="B12835" s="0" t="n">
        <v>4019075</v>
      </c>
      <c r="C12835" s="0" t="n">
        <v>4019095</v>
      </c>
      <c r="D12835" s="0" t="s">
        <v>42622</v>
      </c>
      <c r="E12835" s="0" t="s">
        <v>75</v>
      </c>
      <c r="F12835" s="0" t="s">
        <v>90</v>
      </c>
      <c r="G12835" s="0" t="s">
        <v>32</v>
      </c>
      <c r="H12835" s="0" t="n">
        <v>123</v>
      </c>
      <c r="I12835" s="0" t="s">
        <v>42632</v>
      </c>
      <c r="J12835" s="0" t="s">
        <v>42633</v>
      </c>
      <c r="K12835" s="0" t="s">
        <v>42634</v>
      </c>
      <c r="L12835" s="0" t="str">
        <f aca="false">HYPERLINK("https://www.ncbi.nlm.nih.gov/nuccore/CP000058.1?report=graph&amp;tracks=[key:gene_model_track,Options:GeneOnly]&amp;mk=4019165:4019184|offset_34|444444,4019141:4019160|offset_58|444444,4019098:4019117|offset_101|444444,4019076:4019095|offset_123|00cc00&amp;v=4018964:4019295&amp;c=444444", "offset 123")</f>
        <v>offset 123</v>
      </c>
    </row>
    <row r="12836" customFormat="false" ht="12.8" hidden="false" customHeight="false" outlineLevel="0" collapsed="false">
      <c r="A12836" s="0" t="s">
        <v>12</v>
      </c>
      <c r="B12836" s="0" t="n">
        <v>4020128</v>
      </c>
      <c r="C12836" s="0" t="n">
        <v>4020148</v>
      </c>
      <c r="D12836" s="0" t="s">
        <v>42635</v>
      </c>
      <c r="E12836" s="0" t="s">
        <v>75</v>
      </c>
      <c r="F12836" s="0" t="s">
        <v>90</v>
      </c>
      <c r="G12836" s="0" t="s">
        <v>16</v>
      </c>
      <c r="H12836" s="0" t="n">
        <v>0</v>
      </c>
      <c r="I12836" s="0" t="s">
        <v>42636</v>
      </c>
      <c r="J12836" s="0" t="s">
        <v>42637</v>
      </c>
      <c r="K12836" s="0" t="s">
        <v>42638</v>
      </c>
      <c r="L12836" s="0" t="str">
        <f aca="false">HYPERLINK("https://www.ncbi.nlm.nih.gov/nuccore/CP000058.1?report=graph&amp;tracks=[key:gene_model_track,Options:GeneOnly]&amp;mk=4020129:4020148|offset_0|00cc00,4020080:4020099|offset_49|444444,4020054:4020073|offset_75|444444,4020034:4020053|offset_95|444444&amp;v=4019928:4020253&amp;c=444444", "offset 0")</f>
        <v>offset 0</v>
      </c>
    </row>
    <row r="12837" customFormat="false" ht="12.8" hidden="false" customHeight="false" outlineLevel="0" collapsed="false">
      <c r="A12837" s="0" t="s">
        <v>12</v>
      </c>
      <c r="B12837" s="0" t="n">
        <v>4020079</v>
      </c>
      <c r="C12837" s="0" t="n">
        <v>4020099</v>
      </c>
      <c r="D12837" s="0" t="s">
        <v>42635</v>
      </c>
      <c r="E12837" s="0" t="s">
        <v>75</v>
      </c>
      <c r="F12837" s="0" t="s">
        <v>90</v>
      </c>
      <c r="G12837" s="0" t="s">
        <v>20</v>
      </c>
      <c r="H12837" s="0" t="n">
        <v>49</v>
      </c>
      <c r="I12837" s="0" t="s">
        <v>42639</v>
      </c>
      <c r="J12837" s="0" t="s">
        <v>42640</v>
      </c>
      <c r="K12837" s="0" t="s">
        <v>42641</v>
      </c>
      <c r="L12837" s="0" t="str">
        <f aca="false">HYPERLINK("https://www.ncbi.nlm.nih.gov/nuccore/CP000058.1?report=graph&amp;tracks=[key:gene_model_track,Options:GeneOnly]&amp;mk=4020129:4020148|offset_0|444444,4020080:4020099|offset_49|00cc00,4020054:4020073|offset_75|444444,4020034:4020053|offset_95|444444&amp;v=4019928:4020253&amp;c=444444", "offset 49")</f>
        <v>offset 49</v>
      </c>
    </row>
    <row r="12838" customFormat="false" ht="12.8" hidden="false" customHeight="false" outlineLevel="0" collapsed="false">
      <c r="A12838" s="0" t="s">
        <v>12</v>
      </c>
      <c r="B12838" s="0" t="n">
        <v>4020053</v>
      </c>
      <c r="C12838" s="0" t="n">
        <v>4020073</v>
      </c>
      <c r="D12838" s="0" t="s">
        <v>42635</v>
      </c>
      <c r="E12838" s="0" t="s">
        <v>75</v>
      </c>
      <c r="F12838" s="0" t="s">
        <v>90</v>
      </c>
      <c r="G12838" s="0" t="s">
        <v>20</v>
      </c>
      <c r="H12838" s="0" t="n">
        <v>75</v>
      </c>
      <c r="I12838" s="0" t="s">
        <v>42642</v>
      </c>
      <c r="J12838" s="0" t="s">
        <v>42643</v>
      </c>
      <c r="K12838" s="0" t="s">
        <v>42644</v>
      </c>
      <c r="L12838" s="0" t="str">
        <f aca="false">HYPERLINK("https://www.ncbi.nlm.nih.gov/nuccore/CP000058.1?report=graph&amp;tracks=[key:gene_model_track,Options:GeneOnly]&amp;mk=4020129:4020148|offset_0|444444,4020080:4020099|offset_49|444444,4020054:4020073|offset_75|00cc00,4020034:4020053|offset_95|444444&amp;v=4019928:4020253&amp;c=444444", "offset 75")</f>
        <v>offset 75</v>
      </c>
    </row>
    <row r="12839" customFormat="false" ht="12.8" hidden="false" customHeight="false" outlineLevel="0" collapsed="false">
      <c r="A12839" s="0" t="s">
        <v>12</v>
      </c>
      <c r="B12839" s="0" t="n">
        <v>4020033</v>
      </c>
      <c r="C12839" s="0" t="n">
        <v>4020053</v>
      </c>
      <c r="D12839" s="0" t="s">
        <v>42635</v>
      </c>
      <c r="E12839" s="0" t="s">
        <v>75</v>
      </c>
      <c r="F12839" s="0" t="s">
        <v>90</v>
      </c>
      <c r="G12839" s="0" t="s">
        <v>20</v>
      </c>
      <c r="H12839" s="0" t="n">
        <v>95</v>
      </c>
      <c r="I12839" s="0" t="s">
        <v>42645</v>
      </c>
      <c r="J12839" s="0" t="s">
        <v>42646</v>
      </c>
      <c r="K12839" s="0" t="s">
        <v>42647</v>
      </c>
      <c r="L12839" s="0" t="str">
        <f aca="false">HYPERLINK("https://www.ncbi.nlm.nih.gov/nuccore/CP000058.1?report=graph&amp;tracks=[key:gene_model_track,Options:GeneOnly]&amp;mk=4020129:4020148|offset_0|444444,4020080:4020099|offset_49|444444,4020054:4020073|offset_75|444444,4020034:4020053|offset_95|00cc00&amp;v=4019928:4020253&amp;c=444444", "offset 95")</f>
        <v>offset 95</v>
      </c>
    </row>
    <row r="12840" customFormat="false" ht="12.8" hidden="false" customHeight="false" outlineLevel="0" collapsed="false">
      <c r="A12840" s="0" t="s">
        <v>12</v>
      </c>
      <c r="B12840" s="0" t="n">
        <v>4020274</v>
      </c>
      <c r="C12840" s="0" t="n">
        <v>4020294</v>
      </c>
      <c r="D12840" s="0" t="s">
        <v>42648</v>
      </c>
      <c r="E12840" s="0" t="s">
        <v>75</v>
      </c>
      <c r="F12840" s="0" t="s">
        <v>15</v>
      </c>
      <c r="G12840" s="0" t="s">
        <v>20</v>
      </c>
      <c r="H12840" s="0" t="n">
        <v>10</v>
      </c>
      <c r="I12840" s="0" t="s">
        <v>42649</v>
      </c>
      <c r="J12840" s="0" t="s">
        <v>42650</v>
      </c>
      <c r="K12840" s="0" t="s">
        <v>42651</v>
      </c>
      <c r="L12840" s="0" t="str">
        <f aca="false">HYPERLINK("https://www.ncbi.nlm.nih.gov/nuccore/CP000058.1?report=graph&amp;tracks=[key:gene_model_track,Options:GeneOnly]&amp;mk=4020275:4020294|offset_10|00cc00,4020297:4020316|offset_32|444444,4020317:4020336|offset_52|444444,4020413:4020432|offset_148|444444&amp;v=4020074:4020632&amp;c=444444", "offset 10")</f>
        <v>offset 10</v>
      </c>
    </row>
    <row r="12841" customFormat="false" ht="12.8" hidden="false" customHeight="false" outlineLevel="0" collapsed="false">
      <c r="A12841" s="0" t="s">
        <v>12</v>
      </c>
      <c r="B12841" s="0" t="n">
        <v>4020296</v>
      </c>
      <c r="C12841" s="0" t="n">
        <v>4020316</v>
      </c>
      <c r="D12841" s="0" t="s">
        <v>42648</v>
      </c>
      <c r="E12841" s="0" t="s">
        <v>75</v>
      </c>
      <c r="F12841" s="0" t="s">
        <v>15</v>
      </c>
      <c r="G12841" s="0" t="s">
        <v>32</v>
      </c>
      <c r="H12841" s="0" t="n">
        <v>32</v>
      </c>
      <c r="I12841" s="0" t="s">
        <v>42652</v>
      </c>
      <c r="J12841" s="0" t="s">
        <v>42653</v>
      </c>
      <c r="K12841" s="0" t="s">
        <v>42654</v>
      </c>
      <c r="L12841" s="0" t="str">
        <f aca="false">HYPERLINK("https://www.ncbi.nlm.nih.gov/nuccore/CP000058.1?report=graph&amp;tracks=[key:gene_model_track,Options:GeneOnly]&amp;mk=4020275:4020294|offset_10|444444,4020297:4020316|offset_32|00cc00,4020317:4020336|offset_52|444444,4020413:4020432|offset_148|444444&amp;v=4020074:4020632&amp;c=444444", "offset 32")</f>
        <v>offset 32</v>
      </c>
    </row>
    <row r="12842" customFormat="false" ht="12.8" hidden="false" customHeight="false" outlineLevel="0" collapsed="false">
      <c r="A12842" s="0" t="s">
        <v>12</v>
      </c>
      <c r="B12842" s="0" t="n">
        <v>4020316</v>
      </c>
      <c r="C12842" s="0" t="n">
        <v>4020336</v>
      </c>
      <c r="D12842" s="0" t="s">
        <v>42648</v>
      </c>
      <c r="E12842" s="0" t="s">
        <v>75</v>
      </c>
      <c r="F12842" s="0" t="s">
        <v>15</v>
      </c>
      <c r="G12842" s="0" t="s">
        <v>16</v>
      </c>
      <c r="H12842" s="0" t="n">
        <v>52</v>
      </c>
      <c r="I12842" s="0" t="s">
        <v>42655</v>
      </c>
      <c r="J12842" s="0" t="s">
        <v>42656</v>
      </c>
      <c r="K12842" s="0" t="s">
        <v>42657</v>
      </c>
      <c r="L12842" s="0" t="str">
        <f aca="false">HYPERLINK("https://www.ncbi.nlm.nih.gov/nuccore/CP000058.1?report=graph&amp;tracks=[key:gene_model_track,Options:GeneOnly]&amp;mk=4020275:4020294|offset_10|444444,4020297:4020316|offset_32|444444,4020317:4020336|offset_52|00cc00,4020413:4020432|offset_148|444444&amp;v=4020074:4020632&amp;c=444444", "offset 52")</f>
        <v>offset 52</v>
      </c>
    </row>
    <row r="12843" customFormat="false" ht="12.8" hidden="false" customHeight="false" outlineLevel="0" collapsed="false">
      <c r="A12843" s="0" t="s">
        <v>12</v>
      </c>
      <c r="B12843" s="0" t="n">
        <v>4020412</v>
      </c>
      <c r="C12843" s="0" t="n">
        <v>4020432</v>
      </c>
      <c r="D12843" s="0" t="s">
        <v>42648</v>
      </c>
      <c r="E12843" s="0" t="s">
        <v>75</v>
      </c>
      <c r="F12843" s="0" t="s">
        <v>15</v>
      </c>
      <c r="G12843" s="0" t="s">
        <v>16</v>
      </c>
      <c r="H12843" s="0" t="n">
        <v>148</v>
      </c>
      <c r="I12843" s="0" t="s">
        <v>42658</v>
      </c>
      <c r="J12843" s="0" t="s">
        <v>42659</v>
      </c>
      <c r="K12843" s="0" t="s">
        <v>42660</v>
      </c>
      <c r="L12843" s="0" t="str">
        <f aca="false">HYPERLINK("https://www.ncbi.nlm.nih.gov/nuccore/CP000058.1?report=graph&amp;tracks=[key:gene_model_track,Options:GeneOnly]&amp;mk=4020275:4020294|offset_10|444444,4020297:4020316|offset_32|444444,4020317:4020336|offset_52|444444,4020413:4020432|offset_148|00cc00&amp;v=4020074:4020632&amp;c=444444", "offset 148")</f>
        <v>offset 148</v>
      </c>
    </row>
    <row r="12844" customFormat="false" ht="12.8" hidden="false" customHeight="false" outlineLevel="0" collapsed="false">
      <c r="A12844" s="0" t="s">
        <v>12</v>
      </c>
      <c r="B12844" s="0" t="n">
        <v>4021013</v>
      </c>
      <c r="C12844" s="0" t="n">
        <v>4021033</v>
      </c>
      <c r="D12844" s="0" t="s">
        <v>42661</v>
      </c>
      <c r="E12844" s="0" t="s">
        <v>75</v>
      </c>
      <c r="F12844" s="0" t="s">
        <v>15</v>
      </c>
      <c r="G12844" s="0" t="s">
        <v>20</v>
      </c>
      <c r="H12844" s="0" t="n">
        <v>19</v>
      </c>
      <c r="I12844" s="0" t="s">
        <v>42662</v>
      </c>
      <c r="J12844" s="0" t="s">
        <v>42663</v>
      </c>
      <c r="K12844" s="0" t="s">
        <v>42664</v>
      </c>
      <c r="L12844" s="0" t="str">
        <f aca="false">HYPERLINK("https://www.ncbi.nlm.nih.gov/nuccore/CP000058.1?report=graph&amp;tracks=[key:gene_model_track,Options:GeneOnly]&amp;mk=4021014:4021033|offset_19|00cc00,4021036:4021055|offset_41|444444,4021083:4021102|offset_88|444444,4021103:4021122|offset_108|444444&amp;v=4020813:4021322&amp;c=444444", "offset 19")</f>
        <v>offset 19</v>
      </c>
    </row>
    <row r="12845" customFormat="false" ht="12.8" hidden="false" customHeight="false" outlineLevel="0" collapsed="false">
      <c r="A12845" s="0" t="s">
        <v>12</v>
      </c>
      <c r="B12845" s="0" t="n">
        <v>4021035</v>
      </c>
      <c r="C12845" s="0" t="n">
        <v>4021055</v>
      </c>
      <c r="D12845" s="0" t="s">
        <v>42661</v>
      </c>
      <c r="E12845" s="0" t="s">
        <v>75</v>
      </c>
      <c r="F12845" s="0" t="s">
        <v>15</v>
      </c>
      <c r="G12845" s="0" t="s">
        <v>32</v>
      </c>
      <c r="H12845" s="0" t="n">
        <v>41</v>
      </c>
      <c r="I12845" s="0" t="s">
        <v>42665</v>
      </c>
      <c r="J12845" s="0" t="s">
        <v>42666</v>
      </c>
      <c r="K12845" s="0" t="s">
        <v>42667</v>
      </c>
      <c r="L12845" s="0" t="str">
        <f aca="false">HYPERLINK("https://www.ncbi.nlm.nih.gov/nuccore/CP000058.1?report=graph&amp;tracks=[key:gene_model_track,Options:GeneOnly]&amp;mk=4021014:4021033|offset_19|444444,4021036:4021055|offset_41|00cc00,4021083:4021102|offset_88|444444,4021103:4021122|offset_108|444444&amp;v=4020813:4021322&amp;c=444444", "offset 41")</f>
        <v>offset 41</v>
      </c>
    </row>
    <row r="12846" customFormat="false" ht="12.8" hidden="false" customHeight="false" outlineLevel="0" collapsed="false">
      <c r="A12846" s="0" t="s">
        <v>12</v>
      </c>
      <c r="B12846" s="0" t="n">
        <v>4021082</v>
      </c>
      <c r="C12846" s="0" t="n">
        <v>4021102</v>
      </c>
      <c r="D12846" s="0" t="s">
        <v>42661</v>
      </c>
      <c r="E12846" s="0" t="s">
        <v>75</v>
      </c>
      <c r="F12846" s="0" t="s">
        <v>15</v>
      </c>
      <c r="G12846" s="0" t="s">
        <v>32</v>
      </c>
      <c r="H12846" s="0" t="n">
        <v>88</v>
      </c>
      <c r="I12846" s="0" t="s">
        <v>42668</v>
      </c>
      <c r="J12846" s="0" t="s">
        <v>42669</v>
      </c>
      <c r="K12846" s="0" t="s">
        <v>42670</v>
      </c>
      <c r="L12846" s="0" t="str">
        <f aca="false">HYPERLINK("https://www.ncbi.nlm.nih.gov/nuccore/CP000058.1?report=graph&amp;tracks=[key:gene_model_track,Options:GeneOnly]&amp;mk=4021014:4021033|offset_19|444444,4021036:4021055|offset_41|444444,4021083:4021102|offset_88|00cc00,4021103:4021122|offset_108|444444&amp;v=4020813:4021322&amp;c=444444", "offset 88")</f>
        <v>offset 88</v>
      </c>
    </row>
    <row r="12847" customFormat="false" ht="12.8" hidden="false" customHeight="false" outlineLevel="0" collapsed="false">
      <c r="A12847" s="0" t="s">
        <v>12</v>
      </c>
      <c r="B12847" s="0" t="n">
        <v>4021102</v>
      </c>
      <c r="C12847" s="0" t="n">
        <v>4021122</v>
      </c>
      <c r="D12847" s="0" t="s">
        <v>42661</v>
      </c>
      <c r="E12847" s="0" t="s">
        <v>75</v>
      </c>
      <c r="F12847" s="0" t="s">
        <v>15</v>
      </c>
      <c r="G12847" s="0" t="s">
        <v>20</v>
      </c>
      <c r="H12847" s="0" t="n">
        <v>108</v>
      </c>
      <c r="I12847" s="0" t="s">
        <v>42671</v>
      </c>
      <c r="J12847" s="0" t="s">
        <v>42672</v>
      </c>
      <c r="K12847" s="0" t="s">
        <v>42673</v>
      </c>
      <c r="L12847" s="0" t="str">
        <f aca="false">HYPERLINK("https://www.ncbi.nlm.nih.gov/nuccore/CP000058.1?report=graph&amp;tracks=[key:gene_model_track,Options:GeneOnly]&amp;mk=4021014:4021033|offset_19|444444,4021036:4021055|offset_41|444444,4021083:4021102|offset_88|444444,4021103:4021122|offset_108|00cc00&amp;v=4020813:4021322&amp;c=444444", "offset 108")</f>
        <v>offset 108</v>
      </c>
    </row>
    <row r="12848" customFormat="false" ht="12.8" hidden="false" customHeight="false" outlineLevel="0" collapsed="false">
      <c r="A12848" s="0" t="s">
        <v>12</v>
      </c>
      <c r="B12848" s="0" t="n">
        <v>4021197</v>
      </c>
      <c r="C12848" s="0" t="n">
        <v>4021217</v>
      </c>
      <c r="D12848" s="0" t="s">
        <v>42674</v>
      </c>
      <c r="E12848" s="0" t="s">
        <v>75</v>
      </c>
      <c r="F12848" s="0" t="s">
        <v>15</v>
      </c>
      <c r="G12848" s="0" t="s">
        <v>32</v>
      </c>
      <c r="H12848" s="0" t="n">
        <v>0</v>
      </c>
      <c r="I12848" s="0" t="s">
        <v>42675</v>
      </c>
      <c r="J12848" s="0" t="s">
        <v>42676</v>
      </c>
      <c r="K12848" s="0" t="s">
        <v>42677</v>
      </c>
      <c r="L12848" s="0" t="str">
        <f aca="false">HYPERLINK("https://www.ncbi.nlm.nih.gov/nuccore/CP000058.1?report=graph&amp;tracks=[key:gene_model_track,Options:GeneOnly]&amp;mk=4021198:4021217|offset_0|00cc00,4021238:4021257|offset_40|444444,4021274:4021293|offset_76|444444,4021315:4021334|offset_117|444444&amp;v=4020997:4021534&amp;c=444444", "offset 0")</f>
        <v>offset 0</v>
      </c>
    </row>
    <row r="12849" customFormat="false" ht="12.8" hidden="false" customHeight="false" outlineLevel="0" collapsed="false">
      <c r="A12849" s="0" t="s">
        <v>12</v>
      </c>
      <c r="B12849" s="0" t="n">
        <v>4021237</v>
      </c>
      <c r="C12849" s="0" t="n">
        <v>4021257</v>
      </c>
      <c r="D12849" s="0" t="s">
        <v>42674</v>
      </c>
      <c r="E12849" s="0" t="s">
        <v>75</v>
      </c>
      <c r="F12849" s="0" t="s">
        <v>15</v>
      </c>
      <c r="G12849" s="0" t="s">
        <v>32</v>
      </c>
      <c r="H12849" s="0" t="n">
        <v>40</v>
      </c>
      <c r="I12849" s="0" t="s">
        <v>42678</v>
      </c>
      <c r="J12849" s="0" t="s">
        <v>42679</v>
      </c>
      <c r="K12849" s="0" t="s">
        <v>42680</v>
      </c>
      <c r="L12849" s="0" t="str">
        <f aca="false">HYPERLINK("https://www.ncbi.nlm.nih.gov/nuccore/CP000058.1?report=graph&amp;tracks=[key:gene_model_track,Options:GeneOnly]&amp;mk=4021198:4021217|offset_0|444444,4021238:4021257|offset_40|00cc00,4021274:4021293|offset_76|444444,4021315:4021334|offset_117|444444&amp;v=4020997:4021534&amp;c=444444", "offset 40")</f>
        <v>offset 40</v>
      </c>
    </row>
    <row r="12850" customFormat="false" ht="12.8" hidden="false" customHeight="false" outlineLevel="0" collapsed="false">
      <c r="A12850" s="0" t="s">
        <v>12</v>
      </c>
      <c r="B12850" s="0" t="n">
        <v>4021273</v>
      </c>
      <c r="C12850" s="0" t="n">
        <v>4021293</v>
      </c>
      <c r="D12850" s="0" t="s">
        <v>42674</v>
      </c>
      <c r="E12850" s="0" t="s">
        <v>75</v>
      </c>
      <c r="F12850" s="0" t="s">
        <v>15</v>
      </c>
      <c r="G12850" s="0" t="s">
        <v>36</v>
      </c>
      <c r="H12850" s="0" t="n">
        <v>76</v>
      </c>
      <c r="I12850" s="0" t="s">
        <v>42681</v>
      </c>
      <c r="J12850" s="0" t="s">
        <v>42682</v>
      </c>
      <c r="K12850" s="0" t="s">
        <v>42683</v>
      </c>
      <c r="L12850" s="0" t="str">
        <f aca="false">HYPERLINK("https://www.ncbi.nlm.nih.gov/nuccore/CP000058.1?report=graph&amp;tracks=[key:gene_model_track,Options:GeneOnly]&amp;mk=4021198:4021217|offset_0|444444,4021238:4021257|offset_40|444444,4021274:4021293|offset_76|00cc00,4021315:4021334|offset_117|444444&amp;v=4020997:4021534&amp;c=444444", "offset 76")</f>
        <v>offset 76</v>
      </c>
    </row>
    <row r="12851" customFormat="false" ht="12.8" hidden="false" customHeight="false" outlineLevel="0" collapsed="false">
      <c r="A12851" s="0" t="s">
        <v>12</v>
      </c>
      <c r="B12851" s="0" t="n">
        <v>4021314</v>
      </c>
      <c r="C12851" s="0" t="n">
        <v>4021334</v>
      </c>
      <c r="D12851" s="0" t="s">
        <v>42674</v>
      </c>
      <c r="E12851" s="0" t="s">
        <v>75</v>
      </c>
      <c r="F12851" s="0" t="s">
        <v>15</v>
      </c>
      <c r="G12851" s="0" t="s">
        <v>32</v>
      </c>
      <c r="H12851" s="0" t="n">
        <v>117</v>
      </c>
      <c r="I12851" s="0" t="s">
        <v>42684</v>
      </c>
      <c r="J12851" s="0" t="s">
        <v>42685</v>
      </c>
      <c r="K12851" s="0" t="s">
        <v>42686</v>
      </c>
      <c r="L12851" s="0" t="str">
        <f aca="false">HYPERLINK("https://www.ncbi.nlm.nih.gov/nuccore/CP000058.1?report=graph&amp;tracks=[key:gene_model_track,Options:GeneOnly]&amp;mk=4021198:4021217|offset_0|444444,4021238:4021257|offset_40|444444,4021274:4021293|offset_76|444444,4021315:4021334|offset_117|00cc00&amp;v=4020997:4021534&amp;c=444444", "offset 117")</f>
        <v>offset 117</v>
      </c>
    </row>
    <row r="12852" customFormat="false" ht="12.8" hidden="false" customHeight="false" outlineLevel="0" collapsed="false">
      <c r="A12852" s="0" t="s">
        <v>12</v>
      </c>
      <c r="B12852" s="0" t="n">
        <v>4022052</v>
      </c>
      <c r="C12852" s="0" t="n">
        <v>4022072</v>
      </c>
      <c r="D12852" s="0" t="s">
        <v>42687</v>
      </c>
      <c r="E12852" s="0" t="s">
        <v>75</v>
      </c>
      <c r="F12852" s="0" t="s">
        <v>15</v>
      </c>
      <c r="G12852" s="0" t="s">
        <v>32</v>
      </c>
      <c r="H12852" s="0" t="n">
        <v>47</v>
      </c>
      <c r="I12852" s="0" t="s">
        <v>42688</v>
      </c>
      <c r="J12852" s="0" t="s">
        <v>42689</v>
      </c>
      <c r="K12852" s="0" t="s">
        <v>42690</v>
      </c>
      <c r="L12852" s="0" t="str">
        <f aca="false">HYPERLINK("https://www.ncbi.nlm.nih.gov/nuccore/CP000058.1?report=graph&amp;tracks=[key:gene_model_track,Options:GeneOnly]&amp;mk=4022053:4022072|offset_47|00cc00,4022091:4022110|offset_85|444444,4022129:4022148|offset_123|444444,4022176:4022195|offset_170|444444&amp;v=4021852:4022395&amp;c=444444", "offset 47")</f>
        <v>offset 47</v>
      </c>
    </row>
    <row r="12853" customFormat="false" ht="12.8" hidden="false" customHeight="false" outlineLevel="0" collapsed="false">
      <c r="A12853" s="0" t="s">
        <v>12</v>
      </c>
      <c r="B12853" s="0" t="n">
        <v>4022090</v>
      </c>
      <c r="C12853" s="0" t="n">
        <v>4022110</v>
      </c>
      <c r="D12853" s="0" t="s">
        <v>42687</v>
      </c>
      <c r="E12853" s="0" t="s">
        <v>75</v>
      </c>
      <c r="F12853" s="0" t="s">
        <v>15</v>
      </c>
      <c r="G12853" s="0" t="s">
        <v>20</v>
      </c>
      <c r="H12853" s="0" t="n">
        <v>85</v>
      </c>
      <c r="I12853" s="0" t="s">
        <v>42691</v>
      </c>
      <c r="J12853" s="0" t="s">
        <v>42692</v>
      </c>
      <c r="K12853" s="0" t="s">
        <v>42693</v>
      </c>
      <c r="L12853" s="0" t="str">
        <f aca="false">HYPERLINK("https://www.ncbi.nlm.nih.gov/nuccore/CP000058.1?report=graph&amp;tracks=[key:gene_model_track,Options:GeneOnly]&amp;mk=4022053:4022072|offset_47|444444,4022091:4022110|offset_85|00cc00,4022129:4022148|offset_123|444444,4022176:4022195|offset_170|444444&amp;v=4021852:4022395&amp;c=444444", "offset 85")</f>
        <v>offset 85</v>
      </c>
    </row>
    <row r="12854" customFormat="false" ht="12.8" hidden="false" customHeight="false" outlineLevel="0" collapsed="false">
      <c r="A12854" s="0" t="s">
        <v>12</v>
      </c>
      <c r="B12854" s="0" t="n">
        <v>4022128</v>
      </c>
      <c r="C12854" s="0" t="n">
        <v>4022148</v>
      </c>
      <c r="D12854" s="0" t="s">
        <v>42687</v>
      </c>
      <c r="E12854" s="0" t="s">
        <v>75</v>
      </c>
      <c r="F12854" s="0" t="s">
        <v>15</v>
      </c>
      <c r="G12854" s="0" t="s">
        <v>16</v>
      </c>
      <c r="H12854" s="0" t="n">
        <v>123</v>
      </c>
      <c r="I12854" s="0" t="s">
        <v>42694</v>
      </c>
      <c r="J12854" s="0" t="s">
        <v>42695</v>
      </c>
      <c r="K12854" s="0" t="s">
        <v>42696</v>
      </c>
      <c r="L12854" s="0" t="str">
        <f aca="false">HYPERLINK("https://www.ncbi.nlm.nih.gov/nuccore/CP000058.1?report=graph&amp;tracks=[key:gene_model_track,Options:GeneOnly]&amp;mk=4022053:4022072|offset_47|444444,4022091:4022110|offset_85|444444,4022129:4022148|offset_123|00cc00,4022176:4022195|offset_170|444444&amp;v=4021852:4022395&amp;c=444444", "offset 123")</f>
        <v>offset 123</v>
      </c>
    </row>
    <row r="12855" customFormat="false" ht="12.8" hidden="false" customHeight="false" outlineLevel="0" collapsed="false">
      <c r="A12855" s="0" t="s">
        <v>12</v>
      </c>
      <c r="B12855" s="0" t="n">
        <v>4022175</v>
      </c>
      <c r="C12855" s="0" t="n">
        <v>4022195</v>
      </c>
      <c r="D12855" s="0" t="s">
        <v>42687</v>
      </c>
      <c r="E12855" s="0" t="s">
        <v>75</v>
      </c>
      <c r="F12855" s="0" t="s">
        <v>15</v>
      </c>
      <c r="G12855" s="0" t="s">
        <v>36</v>
      </c>
      <c r="H12855" s="0" t="n">
        <v>170</v>
      </c>
      <c r="I12855" s="0" t="s">
        <v>42697</v>
      </c>
      <c r="J12855" s="0" t="s">
        <v>42698</v>
      </c>
      <c r="K12855" s="0" t="s">
        <v>42699</v>
      </c>
      <c r="L12855" s="0" t="str">
        <f aca="false">HYPERLINK("https://www.ncbi.nlm.nih.gov/nuccore/CP000058.1?report=graph&amp;tracks=[key:gene_model_track,Options:GeneOnly]&amp;mk=4022053:4022072|offset_47|444444,4022091:4022110|offset_85|444444,4022129:4022148|offset_123|444444,4022176:4022195|offset_170|00cc00&amp;v=4021852:4022395&amp;c=444444", "offset 170")</f>
        <v>offset 170</v>
      </c>
    </row>
    <row r="12856" customFormat="false" ht="12.8" hidden="false" customHeight="false" outlineLevel="0" collapsed="false">
      <c r="A12856" s="0" t="s">
        <v>12</v>
      </c>
      <c r="B12856" s="0" t="n">
        <v>4022957</v>
      </c>
      <c r="C12856" s="0" t="n">
        <v>4022977</v>
      </c>
      <c r="D12856" s="0" t="s">
        <v>42700</v>
      </c>
      <c r="E12856" s="0" t="s">
        <v>75</v>
      </c>
      <c r="F12856" s="0" t="s">
        <v>15</v>
      </c>
      <c r="G12856" s="0" t="s">
        <v>20</v>
      </c>
      <c r="H12856" s="0" t="n">
        <v>16</v>
      </c>
      <c r="I12856" s="0" t="s">
        <v>42701</v>
      </c>
      <c r="J12856" s="0" t="s">
        <v>42702</v>
      </c>
      <c r="K12856" s="0" t="s">
        <v>42703</v>
      </c>
      <c r="L12856" s="0" t="str">
        <f aca="false">HYPERLINK("https://www.ncbi.nlm.nih.gov/nuccore/CP000058.1?report=graph&amp;tracks=[key:gene_model_track,Options:GeneOnly]&amp;mk=4022958:4022977|offset_16|00cc00,4022981:4023000|offset_39|444444,4023005:4023024|offset_63|444444,4023054:4023073|offset_112|444444&amp;v=4022757:4023273&amp;c=444444", "offset 16")</f>
        <v>offset 16</v>
      </c>
    </row>
    <row r="12857" customFormat="false" ht="12.8" hidden="false" customHeight="false" outlineLevel="0" collapsed="false">
      <c r="A12857" s="0" t="s">
        <v>12</v>
      </c>
      <c r="B12857" s="0" t="n">
        <v>4022980</v>
      </c>
      <c r="C12857" s="0" t="n">
        <v>4023000</v>
      </c>
      <c r="D12857" s="0" t="s">
        <v>42700</v>
      </c>
      <c r="E12857" s="0" t="s">
        <v>75</v>
      </c>
      <c r="F12857" s="0" t="s">
        <v>15</v>
      </c>
      <c r="G12857" s="0" t="s">
        <v>20</v>
      </c>
      <c r="H12857" s="0" t="n">
        <v>39</v>
      </c>
      <c r="I12857" s="0" t="s">
        <v>42704</v>
      </c>
      <c r="J12857" s="0" t="s">
        <v>42705</v>
      </c>
      <c r="K12857" s="0" t="s">
        <v>42706</v>
      </c>
      <c r="L12857" s="0" t="str">
        <f aca="false">HYPERLINK("https://www.ncbi.nlm.nih.gov/nuccore/CP000058.1?report=graph&amp;tracks=[key:gene_model_track,Options:GeneOnly]&amp;mk=4022958:4022977|offset_16|444444,4022981:4023000|offset_39|00cc00,4023005:4023024|offset_63|444444,4023054:4023073|offset_112|444444&amp;v=4022757:4023273&amp;c=444444", "offset 39")</f>
        <v>offset 39</v>
      </c>
    </row>
    <row r="12858" customFormat="false" ht="12.8" hidden="false" customHeight="false" outlineLevel="0" collapsed="false">
      <c r="A12858" s="0" t="s">
        <v>12</v>
      </c>
      <c r="B12858" s="0" t="n">
        <v>4023004</v>
      </c>
      <c r="C12858" s="0" t="n">
        <v>4023024</v>
      </c>
      <c r="D12858" s="0" t="s">
        <v>42700</v>
      </c>
      <c r="E12858" s="0" t="s">
        <v>75</v>
      </c>
      <c r="F12858" s="0" t="s">
        <v>15</v>
      </c>
      <c r="G12858" s="0" t="s">
        <v>20</v>
      </c>
      <c r="H12858" s="0" t="n">
        <v>63</v>
      </c>
      <c r="I12858" s="0" t="s">
        <v>42707</v>
      </c>
      <c r="J12858" s="0" t="s">
        <v>42708</v>
      </c>
      <c r="K12858" s="0" t="s">
        <v>42709</v>
      </c>
      <c r="L12858" s="0" t="str">
        <f aca="false">HYPERLINK("https://www.ncbi.nlm.nih.gov/nuccore/CP000058.1?report=graph&amp;tracks=[key:gene_model_track,Options:GeneOnly]&amp;mk=4022958:4022977|offset_16|444444,4022981:4023000|offset_39|444444,4023005:4023024|offset_63|00cc00,4023054:4023073|offset_112|444444&amp;v=4022757:4023273&amp;c=444444", "offset 63")</f>
        <v>offset 63</v>
      </c>
    </row>
    <row r="12859" customFormat="false" ht="12.8" hidden="false" customHeight="false" outlineLevel="0" collapsed="false">
      <c r="A12859" s="0" t="s">
        <v>12</v>
      </c>
      <c r="B12859" s="0" t="n">
        <v>4023053</v>
      </c>
      <c r="C12859" s="0" t="n">
        <v>4023073</v>
      </c>
      <c r="D12859" s="0" t="s">
        <v>42700</v>
      </c>
      <c r="E12859" s="0" t="s">
        <v>75</v>
      </c>
      <c r="F12859" s="0" t="s">
        <v>15</v>
      </c>
      <c r="G12859" s="0" t="s">
        <v>16</v>
      </c>
      <c r="H12859" s="0" t="n">
        <v>112</v>
      </c>
      <c r="I12859" s="0" t="s">
        <v>42710</v>
      </c>
      <c r="J12859" s="0" t="s">
        <v>42711</v>
      </c>
      <c r="K12859" s="0" t="s">
        <v>42712</v>
      </c>
      <c r="L12859" s="0" t="str">
        <f aca="false">HYPERLINK("https://www.ncbi.nlm.nih.gov/nuccore/CP000058.1?report=graph&amp;tracks=[key:gene_model_track,Options:GeneOnly]&amp;mk=4022958:4022977|offset_16|444444,4022981:4023000|offset_39|444444,4023005:4023024|offset_63|444444,4023054:4023073|offset_112|00cc00&amp;v=4022757:4023273&amp;c=444444", "offset 112")</f>
        <v>offset 112</v>
      </c>
    </row>
    <row r="12860" customFormat="false" ht="12.8" hidden="false" customHeight="false" outlineLevel="0" collapsed="false">
      <c r="A12860" s="0" t="s">
        <v>12</v>
      </c>
      <c r="B12860" s="0" t="n">
        <v>4024036</v>
      </c>
      <c r="C12860" s="0" t="n">
        <v>4024056</v>
      </c>
      <c r="D12860" s="0" t="s">
        <v>42713</v>
      </c>
      <c r="E12860" s="0" t="s">
        <v>75</v>
      </c>
      <c r="F12860" s="0" t="s">
        <v>15</v>
      </c>
      <c r="G12860" s="0" t="s">
        <v>16</v>
      </c>
      <c r="H12860" s="0" t="n">
        <v>16</v>
      </c>
      <c r="I12860" s="0" t="s">
        <v>42714</v>
      </c>
      <c r="J12860" s="0" t="s">
        <v>42715</v>
      </c>
      <c r="K12860" s="0" t="s">
        <v>42716</v>
      </c>
      <c r="L12860" s="0" t="str">
        <f aca="false">HYPERLINK("https://www.ncbi.nlm.nih.gov/nuccore/CP000058.1?report=graph&amp;tracks=[key:gene_model_track,Options:GeneOnly]&amp;mk=4024037:4024056|offset_16|00cc00,4024058:4024077|offset_37|444444,4024080:4024099|offset_59|444444,4024118:4024137|offset_97|444444&amp;v=4023836:4024337&amp;c=444444", "offset 16")</f>
        <v>offset 16</v>
      </c>
    </row>
    <row r="12861" customFormat="false" ht="12.8" hidden="false" customHeight="false" outlineLevel="0" collapsed="false">
      <c r="A12861" s="0" t="s">
        <v>12</v>
      </c>
      <c r="B12861" s="0" t="n">
        <v>4024057</v>
      </c>
      <c r="C12861" s="0" t="n">
        <v>4024077</v>
      </c>
      <c r="D12861" s="0" t="s">
        <v>42713</v>
      </c>
      <c r="E12861" s="0" t="s">
        <v>75</v>
      </c>
      <c r="F12861" s="0" t="s">
        <v>15</v>
      </c>
      <c r="G12861" s="0" t="s">
        <v>16</v>
      </c>
      <c r="H12861" s="0" t="n">
        <v>37</v>
      </c>
      <c r="I12861" s="0" t="s">
        <v>42717</v>
      </c>
      <c r="J12861" s="0" t="s">
        <v>42718</v>
      </c>
      <c r="K12861" s="0" t="s">
        <v>42719</v>
      </c>
      <c r="L12861" s="0" t="str">
        <f aca="false">HYPERLINK("https://www.ncbi.nlm.nih.gov/nuccore/CP000058.1?report=graph&amp;tracks=[key:gene_model_track,Options:GeneOnly]&amp;mk=4024037:4024056|offset_16|444444,4024058:4024077|offset_37|00cc00,4024080:4024099|offset_59|444444,4024118:4024137|offset_97|444444&amp;v=4023836:4024337&amp;c=444444", "offset 37")</f>
        <v>offset 37</v>
      </c>
    </row>
    <row r="12862" customFormat="false" ht="12.8" hidden="false" customHeight="false" outlineLevel="0" collapsed="false">
      <c r="A12862" s="0" t="s">
        <v>12</v>
      </c>
      <c r="B12862" s="0" t="n">
        <v>4024079</v>
      </c>
      <c r="C12862" s="0" t="n">
        <v>4024099</v>
      </c>
      <c r="D12862" s="0" t="s">
        <v>42713</v>
      </c>
      <c r="E12862" s="0" t="s">
        <v>75</v>
      </c>
      <c r="F12862" s="0" t="s">
        <v>15</v>
      </c>
      <c r="G12862" s="0" t="s">
        <v>16</v>
      </c>
      <c r="H12862" s="0" t="n">
        <v>59</v>
      </c>
      <c r="I12862" s="0" t="s">
        <v>42720</v>
      </c>
      <c r="J12862" s="0" t="s">
        <v>42721</v>
      </c>
      <c r="K12862" s="0" t="s">
        <v>42722</v>
      </c>
      <c r="L12862" s="0" t="str">
        <f aca="false">HYPERLINK("https://www.ncbi.nlm.nih.gov/nuccore/CP000058.1?report=graph&amp;tracks=[key:gene_model_track,Options:GeneOnly]&amp;mk=4024037:4024056|offset_16|444444,4024058:4024077|offset_37|444444,4024080:4024099|offset_59|00cc00,4024118:4024137|offset_97|444444&amp;v=4023836:4024337&amp;c=444444", "offset 59")</f>
        <v>offset 59</v>
      </c>
    </row>
    <row r="12863" customFormat="false" ht="12.8" hidden="false" customHeight="false" outlineLevel="0" collapsed="false">
      <c r="A12863" s="0" t="s">
        <v>12</v>
      </c>
      <c r="B12863" s="0" t="n">
        <v>4024117</v>
      </c>
      <c r="C12863" s="0" t="n">
        <v>4024137</v>
      </c>
      <c r="D12863" s="0" t="s">
        <v>42713</v>
      </c>
      <c r="E12863" s="0" t="s">
        <v>75</v>
      </c>
      <c r="F12863" s="0" t="s">
        <v>15</v>
      </c>
      <c r="G12863" s="0" t="s">
        <v>16</v>
      </c>
      <c r="H12863" s="0" t="n">
        <v>97</v>
      </c>
      <c r="I12863" s="0" t="s">
        <v>42723</v>
      </c>
      <c r="J12863" s="0" t="s">
        <v>42724</v>
      </c>
      <c r="K12863" s="0" t="s">
        <v>42725</v>
      </c>
      <c r="L12863" s="0" t="str">
        <f aca="false">HYPERLINK("https://www.ncbi.nlm.nih.gov/nuccore/CP000058.1?report=graph&amp;tracks=[key:gene_model_track,Options:GeneOnly]&amp;mk=4024037:4024056|offset_16|444444,4024058:4024077|offset_37|444444,4024080:4024099|offset_59|444444,4024118:4024137|offset_97|00cc00&amp;v=4023836:4024337&amp;c=444444", "offset 97")</f>
        <v>offset 97</v>
      </c>
    </row>
    <row r="12864" customFormat="false" ht="12.8" hidden="false" customHeight="false" outlineLevel="0" collapsed="false">
      <c r="A12864" s="0" t="s">
        <v>12</v>
      </c>
      <c r="B12864" s="0" t="n">
        <v>4025815</v>
      </c>
      <c r="C12864" s="0" t="n">
        <v>4025835</v>
      </c>
      <c r="D12864" s="0" t="s">
        <v>42726</v>
      </c>
      <c r="E12864" s="0" t="s">
        <v>75</v>
      </c>
      <c r="F12864" s="0" t="s">
        <v>90</v>
      </c>
      <c r="G12864" s="0" t="s">
        <v>36</v>
      </c>
      <c r="H12864" s="0" t="n">
        <v>24</v>
      </c>
      <c r="I12864" s="0" t="s">
        <v>42727</v>
      </c>
      <c r="J12864" s="0" t="s">
        <v>42728</v>
      </c>
      <c r="K12864" s="0" t="s">
        <v>42729</v>
      </c>
      <c r="L12864" s="0" t="str">
        <f aca="false">HYPERLINK("https://www.ncbi.nlm.nih.gov/nuccore/CP000058.1?report=graph&amp;tracks=[key:gene_model_track,Options:GeneOnly]&amp;mk=4025816:4025835|offset_24|00cc00,4025788:4025807|offset_52|444444,4025763:4025782|offset_77|444444,4025679:4025698|offset_161|444444&amp;v=4025615:4025898&amp;c=444444", "offset 24")</f>
        <v>offset 24</v>
      </c>
    </row>
    <row r="12865" customFormat="false" ht="12.8" hidden="false" customHeight="false" outlineLevel="0" collapsed="false">
      <c r="A12865" s="0" t="s">
        <v>12</v>
      </c>
      <c r="B12865" s="0" t="n">
        <v>4025787</v>
      </c>
      <c r="C12865" s="0" t="n">
        <v>4025807</v>
      </c>
      <c r="D12865" s="0" t="s">
        <v>42726</v>
      </c>
      <c r="E12865" s="0" t="s">
        <v>75</v>
      </c>
      <c r="F12865" s="0" t="s">
        <v>90</v>
      </c>
      <c r="G12865" s="0" t="s">
        <v>16</v>
      </c>
      <c r="H12865" s="0" t="n">
        <v>52</v>
      </c>
      <c r="I12865" s="0" t="s">
        <v>42730</v>
      </c>
      <c r="J12865" s="0" t="s">
        <v>42731</v>
      </c>
      <c r="K12865" s="0" t="s">
        <v>42732</v>
      </c>
      <c r="L12865" s="0" t="str">
        <f aca="false">HYPERLINK("https://www.ncbi.nlm.nih.gov/nuccore/CP000058.1?report=graph&amp;tracks=[key:gene_model_track,Options:GeneOnly]&amp;mk=4025816:4025835|offset_24|444444,4025788:4025807|offset_52|00cc00,4025763:4025782|offset_77|444444,4025679:4025698|offset_161|444444&amp;v=4025615:4025898&amp;c=444444", "offset 52")</f>
        <v>offset 52</v>
      </c>
    </row>
    <row r="12866" customFormat="false" ht="12.8" hidden="false" customHeight="false" outlineLevel="0" collapsed="false">
      <c r="A12866" s="0" t="s">
        <v>12</v>
      </c>
      <c r="B12866" s="0" t="n">
        <v>4025762</v>
      </c>
      <c r="C12866" s="0" t="n">
        <v>4025782</v>
      </c>
      <c r="D12866" s="0" t="s">
        <v>42726</v>
      </c>
      <c r="E12866" s="0" t="s">
        <v>75</v>
      </c>
      <c r="F12866" s="0" t="s">
        <v>90</v>
      </c>
      <c r="G12866" s="0" t="s">
        <v>20</v>
      </c>
      <c r="H12866" s="0" t="n">
        <v>77</v>
      </c>
      <c r="I12866" s="0" t="s">
        <v>42733</v>
      </c>
      <c r="J12866" s="0" t="s">
        <v>42734</v>
      </c>
      <c r="K12866" s="0" t="s">
        <v>42735</v>
      </c>
      <c r="L12866" s="0" t="str">
        <f aca="false">HYPERLINK("https://www.ncbi.nlm.nih.gov/nuccore/CP000058.1?report=graph&amp;tracks=[key:gene_model_track,Options:GeneOnly]&amp;mk=4025816:4025835|offset_24|444444,4025788:4025807|offset_52|444444,4025763:4025782|offset_77|00cc00,4025679:4025698|offset_161|444444&amp;v=4025615:4025898&amp;c=444444", "offset 77")</f>
        <v>offset 77</v>
      </c>
    </row>
    <row r="12867" customFormat="false" ht="12.8" hidden="false" customHeight="false" outlineLevel="0" collapsed="false">
      <c r="A12867" s="0" t="s">
        <v>12</v>
      </c>
      <c r="B12867" s="0" t="n">
        <v>4025678</v>
      </c>
      <c r="C12867" s="0" t="n">
        <v>4025698</v>
      </c>
      <c r="D12867" s="0" t="s">
        <v>42726</v>
      </c>
      <c r="E12867" s="0" t="s">
        <v>75</v>
      </c>
      <c r="F12867" s="0" t="s">
        <v>90</v>
      </c>
      <c r="G12867" s="0" t="s">
        <v>20</v>
      </c>
      <c r="H12867" s="0" t="n">
        <v>161</v>
      </c>
      <c r="I12867" s="0" t="s">
        <v>42736</v>
      </c>
      <c r="J12867" s="0" t="s">
        <v>42737</v>
      </c>
      <c r="K12867" s="0" t="s">
        <v>42738</v>
      </c>
      <c r="L12867" s="0" t="str">
        <f aca="false">HYPERLINK("https://www.ncbi.nlm.nih.gov/nuccore/CP000058.1?report=graph&amp;tracks=[key:gene_model_track,Options:GeneOnly]&amp;mk=4025816:4025835|offset_24|444444,4025788:4025807|offset_52|444444,4025763:4025782|offset_77|444444,4025679:4025698|offset_161|00cc00&amp;v=4025615:4025898&amp;c=444444", "offset 161")</f>
        <v>offset 161</v>
      </c>
    </row>
    <row r="12868" customFormat="false" ht="12.8" hidden="false" customHeight="false" outlineLevel="0" collapsed="false">
      <c r="A12868" s="0" t="s">
        <v>12</v>
      </c>
      <c r="B12868" s="0" t="n">
        <v>4026633</v>
      </c>
      <c r="C12868" s="0" t="n">
        <v>4026653</v>
      </c>
      <c r="D12868" s="0" t="s">
        <v>42739</v>
      </c>
      <c r="E12868" s="0" t="s">
        <v>75</v>
      </c>
      <c r="F12868" s="0" t="s">
        <v>90</v>
      </c>
      <c r="G12868" s="0" t="s">
        <v>20</v>
      </c>
      <c r="H12868" s="0" t="n">
        <v>14</v>
      </c>
      <c r="I12868" s="0" t="s">
        <v>42740</v>
      </c>
      <c r="J12868" s="0" t="s">
        <v>42741</v>
      </c>
      <c r="K12868" s="0" t="s">
        <v>42742</v>
      </c>
      <c r="L12868" s="0" t="str">
        <f aca="false">HYPERLINK("https://www.ncbi.nlm.nih.gov/nuccore/CP000058.1?report=graph&amp;tracks=[key:gene_model_track,Options:GeneOnly]&amp;mk=4026634:4026653|offset_14|00cc00,4026604:4026623|offset_44|444444,4026567:4026586|offset_81|444444,4026489:4026508|offset_159|444444&amp;v=4026433:4026708&amp;c=444444", "offset 14")</f>
        <v>offset 14</v>
      </c>
    </row>
    <row r="12869" customFormat="false" ht="12.8" hidden="false" customHeight="false" outlineLevel="0" collapsed="false">
      <c r="A12869" s="0" t="s">
        <v>12</v>
      </c>
      <c r="B12869" s="0" t="n">
        <v>4026603</v>
      </c>
      <c r="C12869" s="0" t="n">
        <v>4026623</v>
      </c>
      <c r="D12869" s="0" t="s">
        <v>42739</v>
      </c>
      <c r="E12869" s="0" t="s">
        <v>75</v>
      </c>
      <c r="F12869" s="0" t="s">
        <v>90</v>
      </c>
      <c r="G12869" s="0" t="s">
        <v>36</v>
      </c>
      <c r="H12869" s="0" t="n">
        <v>44</v>
      </c>
      <c r="I12869" s="0" t="s">
        <v>42743</v>
      </c>
      <c r="J12869" s="0" t="s">
        <v>42744</v>
      </c>
      <c r="K12869" s="0" t="s">
        <v>42745</v>
      </c>
      <c r="L12869" s="0" t="str">
        <f aca="false">HYPERLINK("https://www.ncbi.nlm.nih.gov/nuccore/CP000058.1?report=graph&amp;tracks=[key:gene_model_track,Options:GeneOnly]&amp;mk=4026634:4026653|offset_14|444444,4026604:4026623|offset_44|00cc00,4026567:4026586|offset_81|444444,4026489:4026508|offset_159|444444&amp;v=4026433:4026708&amp;c=444444", "offset 44")</f>
        <v>offset 44</v>
      </c>
    </row>
    <row r="12870" customFormat="false" ht="12.8" hidden="false" customHeight="false" outlineLevel="0" collapsed="false">
      <c r="A12870" s="0" t="s">
        <v>12</v>
      </c>
      <c r="B12870" s="0" t="n">
        <v>4026566</v>
      </c>
      <c r="C12870" s="0" t="n">
        <v>4026586</v>
      </c>
      <c r="D12870" s="0" t="s">
        <v>42739</v>
      </c>
      <c r="E12870" s="0" t="s">
        <v>75</v>
      </c>
      <c r="F12870" s="0" t="s">
        <v>90</v>
      </c>
      <c r="G12870" s="0" t="s">
        <v>16</v>
      </c>
      <c r="H12870" s="0" t="n">
        <v>81</v>
      </c>
      <c r="I12870" s="0" t="s">
        <v>42746</v>
      </c>
      <c r="J12870" s="0" t="s">
        <v>42747</v>
      </c>
      <c r="K12870" s="0" t="s">
        <v>42748</v>
      </c>
      <c r="L12870" s="0" t="str">
        <f aca="false">HYPERLINK("https://www.ncbi.nlm.nih.gov/nuccore/CP000058.1?report=graph&amp;tracks=[key:gene_model_track,Options:GeneOnly]&amp;mk=4026634:4026653|offset_14|444444,4026604:4026623|offset_44|444444,4026567:4026586|offset_81|00cc00,4026489:4026508|offset_159|444444&amp;v=4026433:4026708&amp;c=444444", "offset 81")</f>
        <v>offset 81</v>
      </c>
    </row>
    <row r="12871" customFormat="false" ht="12.8" hidden="false" customHeight="false" outlineLevel="0" collapsed="false">
      <c r="A12871" s="0" t="s">
        <v>12</v>
      </c>
      <c r="B12871" s="0" t="n">
        <v>4026488</v>
      </c>
      <c r="C12871" s="0" t="n">
        <v>4026508</v>
      </c>
      <c r="D12871" s="0" t="s">
        <v>42739</v>
      </c>
      <c r="E12871" s="0" t="s">
        <v>75</v>
      </c>
      <c r="F12871" s="0" t="s">
        <v>90</v>
      </c>
      <c r="G12871" s="0" t="s">
        <v>20</v>
      </c>
      <c r="H12871" s="0" t="n">
        <v>159</v>
      </c>
      <c r="I12871" s="0" t="s">
        <v>42749</v>
      </c>
      <c r="J12871" s="0" t="s">
        <v>42750</v>
      </c>
      <c r="K12871" s="0" t="s">
        <v>42751</v>
      </c>
      <c r="L12871" s="0" t="str">
        <f aca="false">HYPERLINK("https://www.ncbi.nlm.nih.gov/nuccore/CP000058.1?report=graph&amp;tracks=[key:gene_model_track,Options:GeneOnly]&amp;mk=4026634:4026653|offset_14|444444,4026604:4026623|offset_44|444444,4026567:4026586|offset_81|444444,4026489:4026508|offset_159|00cc00&amp;v=4026433:4026708&amp;c=444444", "offset 159")</f>
        <v>offset 159</v>
      </c>
    </row>
    <row r="12872" customFormat="false" ht="12.8" hidden="false" customHeight="false" outlineLevel="0" collapsed="false">
      <c r="A12872" s="0" t="s">
        <v>12</v>
      </c>
      <c r="B12872" s="0" t="n">
        <v>4027332</v>
      </c>
      <c r="C12872" s="0" t="n">
        <v>4027352</v>
      </c>
      <c r="D12872" s="0" t="s">
        <v>42752</v>
      </c>
      <c r="E12872" s="0" t="s">
        <v>75</v>
      </c>
      <c r="F12872" s="0" t="s">
        <v>90</v>
      </c>
      <c r="G12872" s="0" t="s">
        <v>32</v>
      </c>
      <c r="H12872" s="0" t="n">
        <v>7</v>
      </c>
      <c r="I12872" s="0" t="s">
        <v>42753</v>
      </c>
      <c r="J12872" s="0" t="s">
        <v>42754</v>
      </c>
      <c r="K12872" s="0" t="s">
        <v>42755</v>
      </c>
      <c r="L12872" s="0" t="str">
        <f aca="false">HYPERLINK("https://www.ncbi.nlm.nih.gov/nuccore/CP000058.1?report=graph&amp;tracks=[key:gene_model_track,Options:GeneOnly]&amp;mk=4027333:4027352|offset_7|00cc00,4027303:4027322|offset_37|444444,4027266:4027285|offset_74|444444,4027226:4027245|offset_114|444444&amp;v=4027132:4027445&amp;c=444444", "offset 7")</f>
        <v>offset 7</v>
      </c>
    </row>
    <row r="12873" customFormat="false" ht="12.8" hidden="false" customHeight="false" outlineLevel="0" collapsed="false">
      <c r="A12873" s="0" t="s">
        <v>12</v>
      </c>
      <c r="B12873" s="0" t="n">
        <v>4027302</v>
      </c>
      <c r="C12873" s="0" t="n">
        <v>4027322</v>
      </c>
      <c r="D12873" s="0" t="s">
        <v>42752</v>
      </c>
      <c r="E12873" s="0" t="s">
        <v>75</v>
      </c>
      <c r="F12873" s="0" t="s">
        <v>90</v>
      </c>
      <c r="G12873" s="0" t="s">
        <v>16</v>
      </c>
      <c r="H12873" s="0" t="n">
        <v>37</v>
      </c>
      <c r="I12873" s="0" t="s">
        <v>42756</v>
      </c>
      <c r="J12873" s="0" t="s">
        <v>42757</v>
      </c>
      <c r="K12873" s="0" t="s">
        <v>42758</v>
      </c>
      <c r="L12873" s="0" t="str">
        <f aca="false">HYPERLINK("https://www.ncbi.nlm.nih.gov/nuccore/CP000058.1?report=graph&amp;tracks=[key:gene_model_track,Options:GeneOnly]&amp;mk=4027333:4027352|offset_7|444444,4027303:4027322|offset_37|00cc00,4027266:4027285|offset_74|444444,4027226:4027245|offset_114|444444&amp;v=4027132:4027445&amp;c=444444", "offset 37")</f>
        <v>offset 37</v>
      </c>
    </row>
    <row r="12874" customFormat="false" ht="12.8" hidden="false" customHeight="false" outlineLevel="0" collapsed="false">
      <c r="A12874" s="0" t="s">
        <v>12</v>
      </c>
      <c r="B12874" s="0" t="n">
        <v>4027265</v>
      </c>
      <c r="C12874" s="0" t="n">
        <v>4027285</v>
      </c>
      <c r="D12874" s="0" t="s">
        <v>42752</v>
      </c>
      <c r="E12874" s="0" t="s">
        <v>75</v>
      </c>
      <c r="F12874" s="0" t="s">
        <v>90</v>
      </c>
      <c r="G12874" s="0" t="s">
        <v>20</v>
      </c>
      <c r="H12874" s="0" t="n">
        <v>74</v>
      </c>
      <c r="I12874" s="0" t="s">
        <v>42759</v>
      </c>
      <c r="J12874" s="0" t="s">
        <v>42760</v>
      </c>
      <c r="K12874" s="0" t="s">
        <v>42761</v>
      </c>
      <c r="L12874" s="0" t="str">
        <f aca="false">HYPERLINK("https://www.ncbi.nlm.nih.gov/nuccore/CP000058.1?report=graph&amp;tracks=[key:gene_model_track,Options:GeneOnly]&amp;mk=4027333:4027352|offset_7|444444,4027303:4027322|offset_37|444444,4027266:4027285|offset_74|00cc00,4027226:4027245|offset_114|444444&amp;v=4027132:4027445&amp;c=444444", "offset 74")</f>
        <v>offset 74</v>
      </c>
    </row>
    <row r="12875" customFormat="false" ht="12.8" hidden="false" customHeight="false" outlineLevel="0" collapsed="false">
      <c r="A12875" s="0" t="s">
        <v>12</v>
      </c>
      <c r="B12875" s="0" t="n">
        <v>4027225</v>
      </c>
      <c r="C12875" s="0" t="n">
        <v>4027245</v>
      </c>
      <c r="D12875" s="0" t="s">
        <v>42752</v>
      </c>
      <c r="E12875" s="0" t="s">
        <v>75</v>
      </c>
      <c r="F12875" s="0" t="s">
        <v>90</v>
      </c>
      <c r="G12875" s="0" t="s">
        <v>32</v>
      </c>
      <c r="H12875" s="0" t="n">
        <v>114</v>
      </c>
      <c r="I12875" s="0" t="s">
        <v>42762</v>
      </c>
      <c r="J12875" s="0" t="s">
        <v>42763</v>
      </c>
      <c r="K12875" s="0" t="s">
        <v>42764</v>
      </c>
      <c r="L12875" s="0" t="str">
        <f aca="false">HYPERLINK("https://www.ncbi.nlm.nih.gov/nuccore/CP000058.1?report=graph&amp;tracks=[key:gene_model_track,Options:GeneOnly]&amp;mk=4027333:4027352|offset_7|444444,4027303:4027322|offset_37|444444,4027266:4027285|offset_74|444444,4027226:4027245|offset_114|00cc00&amp;v=4027132:4027445&amp;c=444444", "offset 114")</f>
        <v>offset 114</v>
      </c>
    </row>
    <row r="12876" customFormat="false" ht="12.8" hidden="false" customHeight="false" outlineLevel="0" collapsed="false">
      <c r="A12876" s="0" t="s">
        <v>12</v>
      </c>
      <c r="B12876" s="0" t="n">
        <v>4028220</v>
      </c>
      <c r="C12876" s="0" t="n">
        <v>4028240</v>
      </c>
      <c r="D12876" s="0" t="s">
        <v>42765</v>
      </c>
      <c r="E12876" s="0" t="s">
        <v>75</v>
      </c>
      <c r="F12876" s="0" t="s">
        <v>90</v>
      </c>
      <c r="G12876" s="0" t="s">
        <v>36</v>
      </c>
      <c r="H12876" s="0" t="n">
        <v>17</v>
      </c>
      <c r="I12876" s="0" t="s">
        <v>42766</v>
      </c>
      <c r="J12876" s="0" t="s">
        <v>42767</v>
      </c>
      <c r="K12876" s="0" t="s">
        <v>42768</v>
      </c>
      <c r="L12876" s="0" t="str">
        <f aca="false">HYPERLINK("https://www.ncbi.nlm.nih.gov/nuccore/CP000058.1?report=graph&amp;tracks=[key:gene_model_track,Options:GeneOnly]&amp;mk=4028221:4028240|offset_17|00cc00,4028198:4028217|offset_40|444444,4028166:4028185|offset_72|444444,4028146:4028165|offset_92|444444&amp;v=4028020:4028365&amp;c=444444", "offset 17")</f>
        <v>offset 17</v>
      </c>
    </row>
    <row r="12877" customFormat="false" ht="12.8" hidden="false" customHeight="false" outlineLevel="0" collapsed="false">
      <c r="A12877" s="0" t="s">
        <v>12</v>
      </c>
      <c r="B12877" s="0" t="n">
        <v>4028197</v>
      </c>
      <c r="C12877" s="0" t="n">
        <v>4028217</v>
      </c>
      <c r="D12877" s="0" t="s">
        <v>42765</v>
      </c>
      <c r="E12877" s="0" t="s">
        <v>75</v>
      </c>
      <c r="F12877" s="0" t="s">
        <v>90</v>
      </c>
      <c r="G12877" s="0" t="s">
        <v>32</v>
      </c>
      <c r="H12877" s="0" t="n">
        <v>40</v>
      </c>
      <c r="I12877" s="0" t="s">
        <v>42769</v>
      </c>
      <c r="J12877" s="0" t="s">
        <v>42770</v>
      </c>
      <c r="K12877" s="0" t="s">
        <v>42771</v>
      </c>
      <c r="L12877" s="0" t="str">
        <f aca="false">HYPERLINK("https://www.ncbi.nlm.nih.gov/nuccore/CP000058.1?report=graph&amp;tracks=[key:gene_model_track,Options:GeneOnly]&amp;mk=4028221:4028240|offset_17|444444,4028198:4028217|offset_40|00cc00,4028166:4028185|offset_72|444444,4028146:4028165|offset_92|444444&amp;v=4028020:4028365&amp;c=444444", "offset 40")</f>
        <v>offset 40</v>
      </c>
    </row>
    <row r="12878" customFormat="false" ht="12.8" hidden="false" customHeight="false" outlineLevel="0" collapsed="false">
      <c r="A12878" s="0" t="s">
        <v>12</v>
      </c>
      <c r="B12878" s="0" t="n">
        <v>4028165</v>
      </c>
      <c r="C12878" s="0" t="n">
        <v>4028185</v>
      </c>
      <c r="D12878" s="0" t="s">
        <v>42765</v>
      </c>
      <c r="E12878" s="0" t="s">
        <v>75</v>
      </c>
      <c r="F12878" s="0" t="s">
        <v>90</v>
      </c>
      <c r="G12878" s="0" t="s">
        <v>20</v>
      </c>
      <c r="H12878" s="0" t="n">
        <v>72</v>
      </c>
      <c r="I12878" s="0" t="s">
        <v>42772</v>
      </c>
      <c r="J12878" s="0" t="s">
        <v>42773</v>
      </c>
      <c r="K12878" s="0" t="s">
        <v>42774</v>
      </c>
      <c r="L12878" s="0" t="str">
        <f aca="false">HYPERLINK("https://www.ncbi.nlm.nih.gov/nuccore/CP000058.1?report=graph&amp;tracks=[key:gene_model_track,Options:GeneOnly]&amp;mk=4028221:4028240|offset_17|444444,4028198:4028217|offset_40|444444,4028166:4028185|offset_72|00cc00,4028146:4028165|offset_92|444444&amp;v=4028020:4028365&amp;c=444444", "offset 72")</f>
        <v>offset 72</v>
      </c>
    </row>
    <row r="12879" customFormat="false" ht="12.8" hidden="false" customHeight="false" outlineLevel="0" collapsed="false">
      <c r="A12879" s="0" t="s">
        <v>12</v>
      </c>
      <c r="B12879" s="0" t="n">
        <v>4028145</v>
      </c>
      <c r="C12879" s="0" t="n">
        <v>4028165</v>
      </c>
      <c r="D12879" s="0" t="s">
        <v>42765</v>
      </c>
      <c r="E12879" s="0" t="s">
        <v>75</v>
      </c>
      <c r="F12879" s="0" t="s">
        <v>90</v>
      </c>
      <c r="G12879" s="0" t="s">
        <v>32</v>
      </c>
      <c r="H12879" s="0" t="n">
        <v>92</v>
      </c>
      <c r="I12879" s="0" t="s">
        <v>42775</v>
      </c>
      <c r="J12879" s="0" t="s">
        <v>42776</v>
      </c>
      <c r="K12879" s="0" t="s">
        <v>42777</v>
      </c>
      <c r="L12879" s="0" t="str">
        <f aca="false">HYPERLINK("https://www.ncbi.nlm.nih.gov/nuccore/CP000058.1?report=graph&amp;tracks=[key:gene_model_track,Options:GeneOnly]&amp;mk=4028221:4028240|offset_17|444444,4028198:4028217|offset_40|444444,4028166:4028185|offset_72|444444,4028146:4028165|offset_92|00cc00&amp;v=4028020:4028365&amp;c=444444", "offset 92")</f>
        <v>offset 92</v>
      </c>
    </row>
    <row r="12880" customFormat="false" ht="12.8" hidden="false" customHeight="false" outlineLevel="0" collapsed="false">
      <c r="A12880" s="0" t="s">
        <v>12</v>
      </c>
      <c r="B12880" s="0" t="n">
        <v>4028522</v>
      </c>
      <c r="C12880" s="0" t="n">
        <v>4028542</v>
      </c>
      <c r="D12880" s="0" t="s">
        <v>42778</v>
      </c>
      <c r="E12880" s="0" t="s">
        <v>75</v>
      </c>
      <c r="F12880" s="0" t="s">
        <v>15</v>
      </c>
      <c r="G12880" s="0" t="s">
        <v>16</v>
      </c>
      <c r="H12880" s="0" t="n">
        <v>23</v>
      </c>
      <c r="I12880" s="0" t="s">
        <v>42779</v>
      </c>
      <c r="J12880" s="0" t="s">
        <v>42780</v>
      </c>
      <c r="K12880" s="0" t="s">
        <v>42781</v>
      </c>
      <c r="L12880" s="0" t="str">
        <f aca="false">HYPERLINK("https://www.ncbi.nlm.nih.gov/nuccore/CP000058.1?report=graph&amp;tracks=[key:gene_model_track,Options:GeneOnly]&amp;mk=4028523:4028542|offset_23|00cc00,4028546:4028565|offset_46|444444,4028567:4028586|offset_67|444444,4028592:4028611|offset_92|444444&amp;v=4028322:4028811&amp;c=444444", "offset 23")</f>
        <v>offset 23</v>
      </c>
    </row>
    <row r="12881" customFormat="false" ht="12.8" hidden="false" customHeight="false" outlineLevel="0" collapsed="false">
      <c r="A12881" s="0" t="s">
        <v>12</v>
      </c>
      <c r="B12881" s="0" t="n">
        <v>4028545</v>
      </c>
      <c r="C12881" s="0" t="n">
        <v>4028565</v>
      </c>
      <c r="D12881" s="0" t="s">
        <v>42778</v>
      </c>
      <c r="E12881" s="0" t="s">
        <v>75</v>
      </c>
      <c r="F12881" s="0" t="s">
        <v>15</v>
      </c>
      <c r="G12881" s="0" t="s">
        <v>20</v>
      </c>
      <c r="H12881" s="0" t="n">
        <v>46</v>
      </c>
      <c r="I12881" s="0" t="s">
        <v>42782</v>
      </c>
      <c r="J12881" s="0" t="s">
        <v>42783</v>
      </c>
      <c r="K12881" s="0" t="s">
        <v>42784</v>
      </c>
      <c r="L12881" s="0" t="str">
        <f aca="false">HYPERLINK("https://www.ncbi.nlm.nih.gov/nuccore/CP000058.1?report=graph&amp;tracks=[key:gene_model_track,Options:GeneOnly]&amp;mk=4028523:4028542|offset_23|444444,4028546:4028565|offset_46|00cc00,4028567:4028586|offset_67|444444,4028592:4028611|offset_92|444444&amp;v=4028322:4028811&amp;c=444444", "offset 46")</f>
        <v>offset 46</v>
      </c>
    </row>
    <row r="12882" customFormat="false" ht="12.8" hidden="false" customHeight="false" outlineLevel="0" collapsed="false">
      <c r="A12882" s="0" t="s">
        <v>12</v>
      </c>
      <c r="B12882" s="0" t="n">
        <v>4028566</v>
      </c>
      <c r="C12882" s="0" t="n">
        <v>4028586</v>
      </c>
      <c r="D12882" s="0" t="s">
        <v>42778</v>
      </c>
      <c r="E12882" s="0" t="s">
        <v>75</v>
      </c>
      <c r="F12882" s="0" t="s">
        <v>15</v>
      </c>
      <c r="G12882" s="0" t="s">
        <v>20</v>
      </c>
      <c r="H12882" s="0" t="n">
        <v>67</v>
      </c>
      <c r="I12882" s="0" t="s">
        <v>42785</v>
      </c>
      <c r="J12882" s="0" t="s">
        <v>42786</v>
      </c>
      <c r="K12882" s="0" t="s">
        <v>42787</v>
      </c>
      <c r="L12882" s="0" t="str">
        <f aca="false">HYPERLINK("https://www.ncbi.nlm.nih.gov/nuccore/CP000058.1?report=graph&amp;tracks=[key:gene_model_track,Options:GeneOnly]&amp;mk=4028523:4028542|offset_23|444444,4028546:4028565|offset_46|444444,4028567:4028586|offset_67|00cc00,4028592:4028611|offset_92|444444&amp;v=4028322:4028811&amp;c=444444", "offset 67")</f>
        <v>offset 67</v>
      </c>
    </row>
    <row r="12883" customFormat="false" ht="12.8" hidden="false" customHeight="false" outlineLevel="0" collapsed="false">
      <c r="A12883" s="0" t="s">
        <v>12</v>
      </c>
      <c r="B12883" s="0" t="n">
        <v>4028591</v>
      </c>
      <c r="C12883" s="0" t="n">
        <v>4028611</v>
      </c>
      <c r="D12883" s="0" t="s">
        <v>42778</v>
      </c>
      <c r="E12883" s="0" t="s">
        <v>75</v>
      </c>
      <c r="F12883" s="0" t="s">
        <v>15</v>
      </c>
      <c r="G12883" s="0" t="s">
        <v>36</v>
      </c>
      <c r="H12883" s="0" t="n">
        <v>92</v>
      </c>
      <c r="I12883" s="0" t="s">
        <v>42788</v>
      </c>
      <c r="J12883" s="0" t="s">
        <v>42789</v>
      </c>
      <c r="K12883" s="0" t="s">
        <v>42790</v>
      </c>
      <c r="L12883" s="0" t="str">
        <f aca="false">HYPERLINK("https://www.ncbi.nlm.nih.gov/nuccore/CP000058.1?report=graph&amp;tracks=[key:gene_model_track,Options:GeneOnly]&amp;mk=4028523:4028542|offset_23|444444,4028546:4028565|offset_46|444444,4028567:4028586|offset_67|444444,4028592:4028611|offset_92|00cc00&amp;v=4028322:4028811&amp;c=444444", "offset 92")</f>
        <v>offset 92</v>
      </c>
    </row>
    <row r="12884" customFormat="false" ht="12.8" hidden="false" customHeight="false" outlineLevel="0" collapsed="false">
      <c r="A12884" s="0" t="s">
        <v>12</v>
      </c>
      <c r="B12884" s="0" t="n">
        <v>4031077</v>
      </c>
      <c r="C12884" s="0" t="n">
        <v>4031097</v>
      </c>
      <c r="D12884" s="0" t="s">
        <v>42791</v>
      </c>
      <c r="E12884" s="0" t="s">
        <v>75</v>
      </c>
      <c r="F12884" s="0" t="s">
        <v>15</v>
      </c>
      <c r="G12884" s="0" t="s">
        <v>20</v>
      </c>
      <c r="H12884" s="0" t="n">
        <v>22</v>
      </c>
      <c r="I12884" s="0" t="s">
        <v>42792</v>
      </c>
      <c r="J12884" s="0" t="s">
        <v>42793</v>
      </c>
      <c r="K12884" s="0" t="s">
        <v>42794</v>
      </c>
      <c r="L12884" s="0" t="str">
        <f aca="false">HYPERLINK("https://www.ncbi.nlm.nih.gov/nuccore/CP000058.1?report=graph&amp;tracks=[key:gene_model_track,Options:GeneOnly]&amp;mk=4031078:4031097|offset_22|00cc00,4031098:4031117|offset_42|444444,4031148:4031167|offset_92|444444,4031168:4031187|offset_112|444444&amp;v=4030877:4031387&amp;c=444444", "offset 22")</f>
        <v>offset 22</v>
      </c>
    </row>
    <row r="12885" customFormat="false" ht="12.8" hidden="false" customHeight="false" outlineLevel="0" collapsed="false">
      <c r="A12885" s="0" t="s">
        <v>12</v>
      </c>
      <c r="B12885" s="0" t="n">
        <v>4031097</v>
      </c>
      <c r="C12885" s="0" t="n">
        <v>4031117</v>
      </c>
      <c r="D12885" s="0" t="s">
        <v>42791</v>
      </c>
      <c r="E12885" s="0" t="s">
        <v>75</v>
      </c>
      <c r="F12885" s="0" t="s">
        <v>15</v>
      </c>
      <c r="G12885" s="0" t="s">
        <v>20</v>
      </c>
      <c r="H12885" s="0" t="n">
        <v>42</v>
      </c>
      <c r="I12885" s="0" t="s">
        <v>42795</v>
      </c>
      <c r="J12885" s="0" t="s">
        <v>42796</v>
      </c>
      <c r="K12885" s="0" t="s">
        <v>42797</v>
      </c>
      <c r="L12885" s="0" t="str">
        <f aca="false">HYPERLINK("https://www.ncbi.nlm.nih.gov/nuccore/CP000058.1?report=graph&amp;tracks=[key:gene_model_track,Options:GeneOnly]&amp;mk=4031078:4031097|offset_22|444444,4031098:4031117|offset_42|00cc00,4031148:4031167|offset_92|444444,4031168:4031187|offset_112|444444&amp;v=4030877:4031387&amp;c=444444", "offset 42")</f>
        <v>offset 42</v>
      </c>
    </row>
    <row r="12886" customFormat="false" ht="12.8" hidden="false" customHeight="false" outlineLevel="0" collapsed="false">
      <c r="A12886" s="0" t="s">
        <v>12</v>
      </c>
      <c r="B12886" s="0" t="n">
        <v>4031147</v>
      </c>
      <c r="C12886" s="0" t="n">
        <v>4031167</v>
      </c>
      <c r="D12886" s="0" t="s">
        <v>42791</v>
      </c>
      <c r="E12886" s="0" t="s">
        <v>75</v>
      </c>
      <c r="F12886" s="0" t="s">
        <v>15</v>
      </c>
      <c r="G12886" s="0" t="s">
        <v>32</v>
      </c>
      <c r="H12886" s="0" t="n">
        <v>92</v>
      </c>
      <c r="I12886" s="0" t="s">
        <v>42798</v>
      </c>
      <c r="J12886" s="0" t="s">
        <v>42799</v>
      </c>
      <c r="K12886" s="0" t="s">
        <v>42800</v>
      </c>
      <c r="L12886" s="0" t="str">
        <f aca="false">HYPERLINK("https://www.ncbi.nlm.nih.gov/nuccore/CP000058.1?report=graph&amp;tracks=[key:gene_model_track,Options:GeneOnly]&amp;mk=4031078:4031097|offset_22|444444,4031098:4031117|offset_42|444444,4031148:4031167|offset_92|00cc00,4031168:4031187|offset_112|444444&amp;v=4030877:4031387&amp;c=444444", "offset 92")</f>
        <v>offset 92</v>
      </c>
    </row>
    <row r="12887" customFormat="false" ht="12.8" hidden="false" customHeight="false" outlineLevel="0" collapsed="false">
      <c r="A12887" s="0" t="s">
        <v>12</v>
      </c>
      <c r="B12887" s="0" t="n">
        <v>4031167</v>
      </c>
      <c r="C12887" s="0" t="n">
        <v>4031187</v>
      </c>
      <c r="D12887" s="0" t="s">
        <v>42791</v>
      </c>
      <c r="E12887" s="0" t="s">
        <v>75</v>
      </c>
      <c r="F12887" s="0" t="s">
        <v>15</v>
      </c>
      <c r="G12887" s="0" t="s">
        <v>16</v>
      </c>
      <c r="H12887" s="0" t="n">
        <v>112</v>
      </c>
      <c r="I12887" s="0" t="s">
        <v>42801</v>
      </c>
      <c r="J12887" s="0" t="s">
        <v>42802</v>
      </c>
      <c r="K12887" s="0" t="s">
        <v>42803</v>
      </c>
      <c r="L12887" s="0" t="str">
        <f aca="false">HYPERLINK("https://www.ncbi.nlm.nih.gov/nuccore/CP000058.1?report=graph&amp;tracks=[key:gene_model_track,Options:GeneOnly]&amp;mk=4031078:4031097|offset_22|444444,4031098:4031117|offset_42|444444,4031148:4031167|offset_92|444444,4031168:4031187|offset_112|00cc00&amp;v=4030877:4031387&amp;c=444444", "offset 112")</f>
        <v>offset 112</v>
      </c>
    </row>
    <row r="12888" customFormat="false" ht="12.8" hidden="false" customHeight="false" outlineLevel="0" collapsed="false">
      <c r="A12888" s="0" t="s">
        <v>12</v>
      </c>
      <c r="B12888" s="0" t="n">
        <v>4032042</v>
      </c>
      <c r="C12888" s="0" t="n">
        <v>4032062</v>
      </c>
      <c r="D12888" s="0" t="s">
        <v>42804</v>
      </c>
      <c r="E12888" s="0" t="s">
        <v>75</v>
      </c>
      <c r="F12888" s="0" t="s">
        <v>90</v>
      </c>
      <c r="G12888" s="0" t="s">
        <v>32</v>
      </c>
      <c r="H12888" s="0" t="n">
        <v>6</v>
      </c>
      <c r="I12888" s="0" t="s">
        <v>42805</v>
      </c>
      <c r="J12888" s="0" t="s">
        <v>42806</v>
      </c>
      <c r="K12888" s="0" t="s">
        <v>42807</v>
      </c>
      <c r="L12888" s="0" t="str">
        <f aca="false">HYPERLINK("https://www.ncbi.nlm.nih.gov/nuccore/CP000058.1?report=graph&amp;tracks=[key:gene_model_track,Options:GeneOnly]&amp;mk=4032043:4032062|offset_6|00cc00,4032007:4032026|offset_42|444444,4031986:4032005|offset_63|444444,4031895:4031914|offset_154|444444&amp;v=4031842:4032114&amp;c=444444", "offset 6")</f>
        <v>offset 6</v>
      </c>
    </row>
    <row r="12889" customFormat="false" ht="12.8" hidden="false" customHeight="false" outlineLevel="0" collapsed="false">
      <c r="A12889" s="0" t="s">
        <v>12</v>
      </c>
      <c r="B12889" s="0" t="n">
        <v>4032006</v>
      </c>
      <c r="C12889" s="0" t="n">
        <v>4032026</v>
      </c>
      <c r="D12889" s="0" t="s">
        <v>42804</v>
      </c>
      <c r="E12889" s="0" t="s">
        <v>75</v>
      </c>
      <c r="F12889" s="0" t="s">
        <v>90</v>
      </c>
      <c r="G12889" s="0" t="s">
        <v>32</v>
      </c>
      <c r="H12889" s="0" t="n">
        <v>42</v>
      </c>
      <c r="I12889" s="0" t="s">
        <v>42808</v>
      </c>
      <c r="J12889" s="0" t="s">
        <v>42809</v>
      </c>
      <c r="K12889" s="0" t="s">
        <v>42810</v>
      </c>
      <c r="L12889" s="0" t="str">
        <f aca="false">HYPERLINK("https://www.ncbi.nlm.nih.gov/nuccore/CP000058.1?report=graph&amp;tracks=[key:gene_model_track,Options:GeneOnly]&amp;mk=4032043:4032062|offset_6|444444,4032007:4032026|offset_42|00cc00,4031986:4032005|offset_63|444444,4031895:4031914|offset_154|444444&amp;v=4031842:4032114&amp;c=444444", "offset 42")</f>
        <v>offset 42</v>
      </c>
    </row>
    <row r="12890" customFormat="false" ht="12.8" hidden="false" customHeight="false" outlineLevel="0" collapsed="false">
      <c r="A12890" s="0" t="s">
        <v>12</v>
      </c>
      <c r="B12890" s="0" t="n">
        <v>4031985</v>
      </c>
      <c r="C12890" s="0" t="n">
        <v>4032005</v>
      </c>
      <c r="D12890" s="0" t="s">
        <v>42804</v>
      </c>
      <c r="E12890" s="0" t="s">
        <v>75</v>
      </c>
      <c r="F12890" s="0" t="s">
        <v>90</v>
      </c>
      <c r="G12890" s="0" t="s">
        <v>20</v>
      </c>
      <c r="H12890" s="0" t="n">
        <v>63</v>
      </c>
      <c r="I12890" s="0" t="s">
        <v>42811</v>
      </c>
      <c r="J12890" s="0" t="s">
        <v>42812</v>
      </c>
      <c r="K12890" s="0" t="s">
        <v>42813</v>
      </c>
      <c r="L12890" s="0" t="str">
        <f aca="false">HYPERLINK("https://www.ncbi.nlm.nih.gov/nuccore/CP000058.1?report=graph&amp;tracks=[key:gene_model_track,Options:GeneOnly]&amp;mk=4032043:4032062|offset_6|444444,4032007:4032026|offset_42|444444,4031986:4032005|offset_63|00cc00,4031895:4031914|offset_154|444444&amp;v=4031842:4032114&amp;c=444444", "offset 63")</f>
        <v>offset 63</v>
      </c>
    </row>
    <row r="12891" customFormat="false" ht="12.8" hidden="false" customHeight="false" outlineLevel="0" collapsed="false">
      <c r="A12891" s="0" t="s">
        <v>12</v>
      </c>
      <c r="B12891" s="0" t="n">
        <v>4031894</v>
      </c>
      <c r="C12891" s="0" t="n">
        <v>4031914</v>
      </c>
      <c r="D12891" s="0" t="s">
        <v>42804</v>
      </c>
      <c r="E12891" s="0" t="s">
        <v>75</v>
      </c>
      <c r="F12891" s="0" t="s">
        <v>90</v>
      </c>
      <c r="G12891" s="0" t="s">
        <v>32</v>
      </c>
      <c r="H12891" s="0" t="n">
        <v>154</v>
      </c>
      <c r="I12891" s="0" t="s">
        <v>42814</v>
      </c>
      <c r="J12891" s="0" t="s">
        <v>42815</v>
      </c>
      <c r="K12891" s="0" t="s">
        <v>42816</v>
      </c>
      <c r="L12891" s="0" t="str">
        <f aca="false">HYPERLINK("https://www.ncbi.nlm.nih.gov/nuccore/CP000058.1?report=graph&amp;tracks=[key:gene_model_track,Options:GeneOnly]&amp;mk=4032043:4032062|offset_6|444444,4032007:4032026|offset_42|444444,4031986:4032005|offset_63|444444,4031895:4031914|offset_154|00cc00&amp;v=4031842:4032114&amp;c=444444", "offset 154")</f>
        <v>offset 154</v>
      </c>
    </row>
    <row r="12892" customFormat="false" ht="12.8" hidden="false" customHeight="false" outlineLevel="0" collapsed="false">
      <c r="A12892" s="0" t="s">
        <v>12</v>
      </c>
      <c r="B12892" s="0" t="n">
        <v>4038529</v>
      </c>
      <c r="C12892" s="0" t="n">
        <v>4038549</v>
      </c>
      <c r="D12892" s="0" t="s">
        <v>42817</v>
      </c>
      <c r="E12892" s="0" t="s">
        <v>75</v>
      </c>
      <c r="F12892" s="0" t="s">
        <v>90</v>
      </c>
      <c r="G12892" s="0" t="s">
        <v>36</v>
      </c>
      <c r="H12892" s="0" t="n">
        <v>34</v>
      </c>
      <c r="I12892" s="0" t="s">
        <v>42818</v>
      </c>
      <c r="J12892" s="0" t="s">
        <v>42819</v>
      </c>
      <c r="K12892" s="0" t="s">
        <v>42820</v>
      </c>
      <c r="L12892" s="0" t="str">
        <f aca="false">HYPERLINK("https://www.ncbi.nlm.nih.gov/nuccore/CP000058.1?report=graph&amp;tracks=[key:gene_model_track,Options:GeneOnly]&amp;mk=4038530:4038549|offset_34|00cc00,4038504:4038523|offset_60|444444,4038470:4038489|offset_94|444444,4038428:4038447|offset_136|444444&amp;v=4038329:4038647&amp;c=444444", "offset 34")</f>
        <v>offset 34</v>
      </c>
    </row>
    <row r="12893" customFormat="false" ht="12.8" hidden="false" customHeight="false" outlineLevel="0" collapsed="false">
      <c r="A12893" s="0" t="s">
        <v>12</v>
      </c>
      <c r="B12893" s="0" t="n">
        <v>4038503</v>
      </c>
      <c r="C12893" s="0" t="n">
        <v>4038523</v>
      </c>
      <c r="D12893" s="0" t="s">
        <v>42817</v>
      </c>
      <c r="E12893" s="0" t="s">
        <v>75</v>
      </c>
      <c r="F12893" s="0" t="s">
        <v>90</v>
      </c>
      <c r="G12893" s="0" t="s">
        <v>20</v>
      </c>
      <c r="H12893" s="0" t="n">
        <v>60</v>
      </c>
      <c r="I12893" s="0" t="s">
        <v>42821</v>
      </c>
      <c r="J12893" s="0" t="s">
        <v>42822</v>
      </c>
      <c r="K12893" s="0" t="s">
        <v>42823</v>
      </c>
      <c r="L12893" s="0" t="str">
        <f aca="false">HYPERLINK("https://www.ncbi.nlm.nih.gov/nuccore/CP000058.1?report=graph&amp;tracks=[key:gene_model_track,Options:GeneOnly]&amp;mk=4038530:4038549|offset_34|444444,4038504:4038523|offset_60|00cc00,4038470:4038489|offset_94|444444,4038428:4038447|offset_136|444444&amp;v=4038329:4038647&amp;c=444444", "offset 60")</f>
        <v>offset 60</v>
      </c>
    </row>
    <row r="12894" customFormat="false" ht="12.8" hidden="false" customHeight="false" outlineLevel="0" collapsed="false">
      <c r="A12894" s="0" t="s">
        <v>12</v>
      </c>
      <c r="B12894" s="0" t="n">
        <v>4038469</v>
      </c>
      <c r="C12894" s="0" t="n">
        <v>4038489</v>
      </c>
      <c r="D12894" s="0" t="s">
        <v>42817</v>
      </c>
      <c r="E12894" s="0" t="s">
        <v>75</v>
      </c>
      <c r="F12894" s="0" t="s">
        <v>90</v>
      </c>
      <c r="G12894" s="0" t="s">
        <v>36</v>
      </c>
      <c r="H12894" s="0" t="n">
        <v>94</v>
      </c>
      <c r="I12894" s="0" t="s">
        <v>42824</v>
      </c>
      <c r="J12894" s="0" t="s">
        <v>42825</v>
      </c>
      <c r="K12894" s="0" t="s">
        <v>42826</v>
      </c>
      <c r="L12894" s="0" t="str">
        <f aca="false">HYPERLINK("https://www.ncbi.nlm.nih.gov/nuccore/CP000058.1?report=graph&amp;tracks=[key:gene_model_track,Options:GeneOnly]&amp;mk=4038530:4038549|offset_34|444444,4038504:4038523|offset_60|444444,4038470:4038489|offset_94|00cc00,4038428:4038447|offset_136|444444&amp;v=4038329:4038647&amp;c=444444", "offset 94")</f>
        <v>offset 94</v>
      </c>
    </row>
    <row r="12895" customFormat="false" ht="12.8" hidden="false" customHeight="false" outlineLevel="0" collapsed="false">
      <c r="A12895" s="0" t="s">
        <v>12</v>
      </c>
      <c r="B12895" s="0" t="n">
        <v>4038427</v>
      </c>
      <c r="C12895" s="0" t="n">
        <v>4038447</v>
      </c>
      <c r="D12895" s="0" t="s">
        <v>42817</v>
      </c>
      <c r="E12895" s="0" t="s">
        <v>75</v>
      </c>
      <c r="F12895" s="0" t="s">
        <v>90</v>
      </c>
      <c r="G12895" s="0" t="s">
        <v>20</v>
      </c>
      <c r="H12895" s="0" t="n">
        <v>136</v>
      </c>
      <c r="I12895" s="0" t="s">
        <v>42827</v>
      </c>
      <c r="J12895" s="0" t="s">
        <v>42828</v>
      </c>
      <c r="K12895" s="0" t="s">
        <v>42829</v>
      </c>
      <c r="L12895" s="0" t="str">
        <f aca="false">HYPERLINK("https://www.ncbi.nlm.nih.gov/nuccore/CP000058.1?report=graph&amp;tracks=[key:gene_model_track,Options:GeneOnly]&amp;mk=4038530:4038549|offset_34|444444,4038504:4038523|offset_60|444444,4038470:4038489|offset_94|444444,4038428:4038447|offset_136|00cc00&amp;v=4038329:4038647&amp;c=444444", "offset 136")</f>
        <v>offset 136</v>
      </c>
    </row>
    <row r="12896" customFormat="false" ht="12.8" hidden="false" customHeight="false" outlineLevel="0" collapsed="false">
      <c r="A12896" s="0" t="s">
        <v>12</v>
      </c>
      <c r="B12896" s="0" t="n">
        <v>4039534</v>
      </c>
      <c r="C12896" s="0" t="n">
        <v>4039554</v>
      </c>
      <c r="D12896" s="0" t="s">
        <v>42830</v>
      </c>
      <c r="E12896" s="0" t="s">
        <v>75</v>
      </c>
      <c r="F12896" s="0" t="s">
        <v>90</v>
      </c>
      <c r="G12896" s="0" t="s">
        <v>20</v>
      </c>
      <c r="H12896" s="0" t="n">
        <v>38</v>
      </c>
      <c r="I12896" s="0" t="s">
        <v>42831</v>
      </c>
      <c r="J12896" s="0" t="s">
        <v>42832</v>
      </c>
      <c r="K12896" s="0" t="s">
        <v>42833</v>
      </c>
      <c r="L12896" s="0" t="str">
        <f aca="false">HYPERLINK("https://www.ncbi.nlm.nih.gov/nuccore/CP000058.1?report=graph&amp;tracks=[key:gene_model_track,Options:GeneOnly]&amp;mk=4039535:4039554|offset_38|00cc00,4039503:4039522|offset_70|444444,4039458:4039477|offset_115|444444,4039418:4039437|offset_155|444444&amp;v=4039334:4039637&amp;c=444444", "offset 38")</f>
        <v>offset 38</v>
      </c>
    </row>
    <row r="12897" customFormat="false" ht="12.8" hidden="false" customHeight="false" outlineLevel="0" collapsed="false">
      <c r="A12897" s="0" t="s">
        <v>12</v>
      </c>
      <c r="B12897" s="0" t="n">
        <v>4039502</v>
      </c>
      <c r="C12897" s="0" t="n">
        <v>4039522</v>
      </c>
      <c r="D12897" s="0" t="s">
        <v>42830</v>
      </c>
      <c r="E12897" s="0" t="s">
        <v>75</v>
      </c>
      <c r="F12897" s="0" t="s">
        <v>90</v>
      </c>
      <c r="G12897" s="0" t="s">
        <v>32</v>
      </c>
      <c r="H12897" s="0" t="n">
        <v>70</v>
      </c>
      <c r="I12897" s="0" t="s">
        <v>42834</v>
      </c>
      <c r="J12897" s="0" t="s">
        <v>42835</v>
      </c>
      <c r="K12897" s="0" t="s">
        <v>42836</v>
      </c>
      <c r="L12897" s="0" t="str">
        <f aca="false">HYPERLINK("https://www.ncbi.nlm.nih.gov/nuccore/CP000058.1?report=graph&amp;tracks=[key:gene_model_track,Options:GeneOnly]&amp;mk=4039535:4039554|offset_38|444444,4039503:4039522|offset_70|00cc00,4039458:4039477|offset_115|444444,4039418:4039437|offset_155|444444&amp;v=4039334:4039637&amp;c=444444", "offset 70")</f>
        <v>offset 70</v>
      </c>
    </row>
    <row r="12898" customFormat="false" ht="12.8" hidden="false" customHeight="false" outlineLevel="0" collapsed="false">
      <c r="A12898" s="0" t="s">
        <v>12</v>
      </c>
      <c r="B12898" s="0" t="n">
        <v>4039457</v>
      </c>
      <c r="C12898" s="0" t="n">
        <v>4039477</v>
      </c>
      <c r="D12898" s="0" t="s">
        <v>42830</v>
      </c>
      <c r="E12898" s="0" t="s">
        <v>75</v>
      </c>
      <c r="F12898" s="0" t="s">
        <v>90</v>
      </c>
      <c r="G12898" s="0" t="s">
        <v>16</v>
      </c>
      <c r="H12898" s="0" t="n">
        <v>115</v>
      </c>
      <c r="I12898" s="0" t="s">
        <v>42837</v>
      </c>
      <c r="J12898" s="0" t="s">
        <v>42838</v>
      </c>
      <c r="K12898" s="0" t="s">
        <v>42839</v>
      </c>
      <c r="L12898" s="0" t="str">
        <f aca="false">HYPERLINK("https://www.ncbi.nlm.nih.gov/nuccore/CP000058.1?report=graph&amp;tracks=[key:gene_model_track,Options:GeneOnly]&amp;mk=4039535:4039554|offset_38|444444,4039503:4039522|offset_70|444444,4039458:4039477|offset_115|00cc00,4039418:4039437|offset_155|444444&amp;v=4039334:4039637&amp;c=444444", "offset 115")</f>
        <v>offset 115</v>
      </c>
    </row>
    <row r="12899" customFormat="false" ht="12.8" hidden="false" customHeight="false" outlineLevel="0" collapsed="false">
      <c r="A12899" s="0" t="s">
        <v>12</v>
      </c>
      <c r="B12899" s="0" t="n">
        <v>4039417</v>
      </c>
      <c r="C12899" s="0" t="n">
        <v>4039437</v>
      </c>
      <c r="D12899" s="0" t="s">
        <v>42830</v>
      </c>
      <c r="E12899" s="0" t="s">
        <v>75</v>
      </c>
      <c r="F12899" s="0" t="s">
        <v>90</v>
      </c>
      <c r="G12899" s="0" t="s">
        <v>16</v>
      </c>
      <c r="H12899" s="0" t="n">
        <v>155</v>
      </c>
      <c r="I12899" s="0" t="s">
        <v>42840</v>
      </c>
      <c r="J12899" s="0" t="s">
        <v>42841</v>
      </c>
      <c r="K12899" s="0" t="s">
        <v>42842</v>
      </c>
      <c r="L12899" s="0" t="str">
        <f aca="false">HYPERLINK("https://www.ncbi.nlm.nih.gov/nuccore/CP000058.1?report=graph&amp;tracks=[key:gene_model_track,Options:GeneOnly]&amp;mk=4039535:4039554|offset_38|444444,4039503:4039522|offset_70|444444,4039458:4039477|offset_115|444444,4039418:4039437|offset_155|00cc00&amp;v=4039334:4039637&amp;c=444444", "offset 155")</f>
        <v>offset 155</v>
      </c>
    </row>
    <row r="12900" customFormat="false" ht="12.8" hidden="false" customHeight="false" outlineLevel="0" collapsed="false">
      <c r="A12900" s="0" t="s">
        <v>12</v>
      </c>
      <c r="B12900" s="0" t="n">
        <v>4040238</v>
      </c>
      <c r="C12900" s="0" t="n">
        <v>4040258</v>
      </c>
      <c r="D12900" s="0" t="s">
        <v>42843</v>
      </c>
      <c r="E12900" s="0" t="s">
        <v>42844</v>
      </c>
      <c r="F12900" s="0" t="s">
        <v>90</v>
      </c>
      <c r="G12900" s="0" t="s">
        <v>32</v>
      </c>
      <c r="H12900" s="0" t="n">
        <v>1</v>
      </c>
      <c r="I12900" s="0" t="s">
        <v>42845</v>
      </c>
      <c r="J12900" s="0" t="s">
        <v>42846</v>
      </c>
      <c r="K12900" s="0" t="s">
        <v>42847</v>
      </c>
      <c r="L12900" s="0" t="str">
        <f aca="false">HYPERLINK("https://www.ncbi.nlm.nih.gov/nuccore/CP000058.1?report=graph&amp;tracks=[key:gene_model_track,Options:GeneOnly]&amp;mk=4040239:4040258|offset_1|00cc00,4040218:4040237|offset_22|444444,4040198:4040217|offset_42|444444,4040174:4040193|offset_66|444444&amp;v=4040038:4040393&amp;c=444444", "offset 1")</f>
        <v>offset 1</v>
      </c>
    </row>
    <row r="12901" customFormat="false" ht="12.8" hidden="false" customHeight="false" outlineLevel="0" collapsed="false">
      <c r="A12901" s="0" t="s">
        <v>12</v>
      </c>
      <c r="B12901" s="0" t="n">
        <v>4040217</v>
      </c>
      <c r="C12901" s="0" t="n">
        <v>4040237</v>
      </c>
      <c r="D12901" s="0" t="s">
        <v>42843</v>
      </c>
      <c r="E12901" s="0" t="s">
        <v>42844</v>
      </c>
      <c r="F12901" s="0" t="s">
        <v>90</v>
      </c>
      <c r="G12901" s="0" t="s">
        <v>32</v>
      </c>
      <c r="H12901" s="0" t="n">
        <v>22</v>
      </c>
      <c r="I12901" s="0" t="s">
        <v>42848</v>
      </c>
      <c r="J12901" s="0" t="s">
        <v>42849</v>
      </c>
      <c r="K12901" s="0" t="s">
        <v>42850</v>
      </c>
      <c r="L12901" s="0" t="str">
        <f aca="false">HYPERLINK("https://www.ncbi.nlm.nih.gov/nuccore/CP000058.1?report=graph&amp;tracks=[key:gene_model_track,Options:GeneOnly]&amp;mk=4040239:4040258|offset_1|444444,4040218:4040237|offset_22|00cc00,4040198:4040217|offset_42|444444,4040174:4040193|offset_66|444444&amp;v=4040038:4040393&amp;c=444444", "offset 22")</f>
        <v>offset 22</v>
      </c>
    </row>
    <row r="12902" customFormat="false" ht="12.8" hidden="false" customHeight="false" outlineLevel="0" collapsed="false">
      <c r="A12902" s="0" t="s">
        <v>12</v>
      </c>
      <c r="B12902" s="0" t="n">
        <v>4040197</v>
      </c>
      <c r="C12902" s="0" t="n">
        <v>4040217</v>
      </c>
      <c r="D12902" s="0" t="s">
        <v>42843</v>
      </c>
      <c r="E12902" s="0" t="s">
        <v>42844</v>
      </c>
      <c r="F12902" s="0" t="s">
        <v>90</v>
      </c>
      <c r="G12902" s="0" t="s">
        <v>32</v>
      </c>
      <c r="H12902" s="0" t="n">
        <v>42</v>
      </c>
      <c r="I12902" s="0" t="s">
        <v>42851</v>
      </c>
      <c r="J12902" s="0" t="s">
        <v>42852</v>
      </c>
      <c r="K12902" s="0" t="s">
        <v>42853</v>
      </c>
      <c r="L12902" s="0" t="str">
        <f aca="false">HYPERLINK("https://www.ncbi.nlm.nih.gov/nuccore/CP000058.1?report=graph&amp;tracks=[key:gene_model_track,Options:GeneOnly]&amp;mk=4040239:4040258|offset_1|444444,4040218:4040237|offset_22|444444,4040198:4040217|offset_42|00cc00,4040174:4040193|offset_66|444444&amp;v=4040038:4040393&amp;c=444444", "offset 42")</f>
        <v>offset 42</v>
      </c>
    </row>
    <row r="12903" customFormat="false" ht="12.8" hidden="false" customHeight="false" outlineLevel="0" collapsed="false">
      <c r="A12903" s="0" t="s">
        <v>12</v>
      </c>
      <c r="B12903" s="0" t="n">
        <v>4040173</v>
      </c>
      <c r="C12903" s="0" t="n">
        <v>4040193</v>
      </c>
      <c r="D12903" s="0" t="s">
        <v>42843</v>
      </c>
      <c r="E12903" s="0" t="s">
        <v>42844</v>
      </c>
      <c r="F12903" s="0" t="s">
        <v>90</v>
      </c>
      <c r="G12903" s="0" t="s">
        <v>20</v>
      </c>
      <c r="H12903" s="0" t="n">
        <v>66</v>
      </c>
      <c r="I12903" s="0" t="s">
        <v>42854</v>
      </c>
      <c r="J12903" s="0" t="s">
        <v>42855</v>
      </c>
      <c r="K12903" s="0" t="s">
        <v>42856</v>
      </c>
      <c r="L12903" s="0" t="str">
        <f aca="false">HYPERLINK("https://www.ncbi.nlm.nih.gov/nuccore/CP000058.1?report=graph&amp;tracks=[key:gene_model_track,Options:GeneOnly]&amp;mk=4040239:4040258|offset_1|444444,4040218:4040237|offset_22|444444,4040198:4040217|offset_42|444444,4040174:4040193|offset_66|00cc00&amp;v=4040038:4040393&amp;c=444444", "offset 66")</f>
        <v>offset 66</v>
      </c>
    </row>
    <row r="12904" customFormat="false" ht="12.8" hidden="false" customHeight="false" outlineLevel="0" collapsed="false">
      <c r="A12904" s="0" t="s">
        <v>12</v>
      </c>
      <c r="B12904" s="0" t="n">
        <v>4040588</v>
      </c>
      <c r="C12904" s="0" t="n">
        <v>4040608</v>
      </c>
      <c r="D12904" s="0" t="s">
        <v>42857</v>
      </c>
      <c r="E12904" s="0" t="s">
        <v>75</v>
      </c>
      <c r="F12904" s="0" t="s">
        <v>90</v>
      </c>
      <c r="G12904" s="0" t="s">
        <v>20</v>
      </c>
      <c r="H12904" s="0" t="n">
        <v>57</v>
      </c>
      <c r="I12904" s="0" t="s">
        <v>42858</v>
      </c>
      <c r="J12904" s="0" t="s">
        <v>42859</v>
      </c>
      <c r="K12904" s="0" t="s">
        <v>42860</v>
      </c>
      <c r="L12904" s="0" t="str">
        <f aca="false">HYPERLINK("https://www.ncbi.nlm.nih.gov/nuccore/CP000058.1?report=graph&amp;tracks=[key:gene_model_track,Options:GeneOnly]&amp;mk=4040589:4040608|offset_57|00cc00,4040526:4040545|offset_120|444444,4040410:4040429|offset_236|444444,4040340:4040359|offset_306|444444&amp;v=4040388:4040559&amp;c=444444", "offset 57")</f>
        <v>offset 57</v>
      </c>
    </row>
    <row r="12905" customFormat="false" ht="12.8" hidden="false" customHeight="false" outlineLevel="0" collapsed="false">
      <c r="A12905" s="0" t="s">
        <v>12</v>
      </c>
      <c r="B12905" s="0" t="n">
        <v>4040525</v>
      </c>
      <c r="C12905" s="0" t="n">
        <v>4040545</v>
      </c>
      <c r="D12905" s="0" t="s">
        <v>42857</v>
      </c>
      <c r="E12905" s="0" t="s">
        <v>75</v>
      </c>
      <c r="F12905" s="0" t="s">
        <v>90</v>
      </c>
      <c r="G12905" s="0" t="s">
        <v>36</v>
      </c>
      <c r="H12905" s="0" t="n">
        <v>120</v>
      </c>
      <c r="I12905" s="0" t="s">
        <v>42861</v>
      </c>
      <c r="J12905" s="0" t="s">
        <v>42862</v>
      </c>
      <c r="K12905" s="0" t="s">
        <v>42863</v>
      </c>
      <c r="L12905" s="0" t="str">
        <f aca="false">HYPERLINK("https://www.ncbi.nlm.nih.gov/nuccore/CP000058.1?report=graph&amp;tracks=[key:gene_model_track,Options:GeneOnly]&amp;mk=4040589:4040608|offset_57|444444,4040526:4040545|offset_120|00cc00,4040410:4040429|offset_236|444444,4040340:4040359|offset_306|444444&amp;v=4040388:4040559&amp;c=444444", "offset 120")</f>
        <v>offset 120</v>
      </c>
    </row>
    <row r="12906" customFormat="false" ht="12.8" hidden="false" customHeight="false" outlineLevel="0" collapsed="false">
      <c r="A12906" s="0" t="s">
        <v>12</v>
      </c>
      <c r="B12906" s="0" t="n">
        <v>4040409</v>
      </c>
      <c r="C12906" s="0" t="n">
        <v>4040429</v>
      </c>
      <c r="D12906" s="0" t="s">
        <v>42857</v>
      </c>
      <c r="E12906" s="0" t="s">
        <v>75</v>
      </c>
      <c r="F12906" s="0" t="s">
        <v>90</v>
      </c>
      <c r="G12906" s="0" t="s">
        <v>20</v>
      </c>
      <c r="H12906" s="0" t="n">
        <v>236</v>
      </c>
      <c r="I12906" s="0" t="s">
        <v>42864</v>
      </c>
      <c r="J12906" s="0" t="s">
        <v>42865</v>
      </c>
      <c r="K12906" s="0" t="s">
        <v>42866</v>
      </c>
      <c r="L12906" s="0" t="str">
        <f aca="false">HYPERLINK("https://www.ncbi.nlm.nih.gov/nuccore/CP000058.1?report=graph&amp;tracks=[key:gene_model_track,Options:GeneOnly]&amp;mk=4040589:4040608|offset_57|444444,4040526:4040545|offset_120|444444,4040410:4040429|offset_236|00cc00,4040340:4040359|offset_306|444444&amp;v=4040388:4040559&amp;c=444444", "offset 236")</f>
        <v>offset 236</v>
      </c>
    </row>
    <row r="12907" customFormat="false" ht="12.8" hidden="false" customHeight="false" outlineLevel="0" collapsed="false">
      <c r="A12907" s="0" t="s">
        <v>12</v>
      </c>
      <c r="B12907" s="0" t="n">
        <v>4040339</v>
      </c>
      <c r="C12907" s="0" t="n">
        <v>4040359</v>
      </c>
      <c r="D12907" s="0" t="s">
        <v>42857</v>
      </c>
      <c r="E12907" s="0" t="s">
        <v>75</v>
      </c>
      <c r="F12907" s="0" t="s">
        <v>90</v>
      </c>
      <c r="G12907" s="0" t="s">
        <v>32</v>
      </c>
      <c r="H12907" s="0" t="n">
        <v>306</v>
      </c>
      <c r="I12907" s="0" t="s">
        <v>42867</v>
      </c>
      <c r="J12907" s="0" t="s">
        <v>42868</v>
      </c>
      <c r="K12907" s="0" t="s">
        <v>42869</v>
      </c>
      <c r="L12907" s="0" t="str">
        <f aca="false">HYPERLINK("https://www.ncbi.nlm.nih.gov/nuccore/CP000058.1?report=graph&amp;tracks=[key:gene_model_track,Options:GeneOnly]&amp;mk=4040589:4040608|offset_57|444444,4040526:4040545|offset_120|444444,4040410:4040429|offset_236|444444,4040340:4040359|offset_306|00cc00&amp;v=4040388:4040559&amp;c=444444", "offset 306")</f>
        <v>offset 306</v>
      </c>
    </row>
    <row r="12908" customFormat="false" ht="12.8" hidden="false" customHeight="false" outlineLevel="0" collapsed="false">
      <c r="A12908" s="0" t="s">
        <v>12</v>
      </c>
      <c r="B12908" s="0" t="n">
        <v>4042478</v>
      </c>
      <c r="C12908" s="0" t="n">
        <v>4042498</v>
      </c>
      <c r="D12908" s="0" t="s">
        <v>42870</v>
      </c>
      <c r="E12908" s="0" t="s">
        <v>75</v>
      </c>
      <c r="F12908" s="0" t="s">
        <v>15</v>
      </c>
      <c r="G12908" s="0" t="s">
        <v>32</v>
      </c>
      <c r="H12908" s="0" t="n">
        <v>79</v>
      </c>
      <c r="I12908" s="0" t="s">
        <v>42871</v>
      </c>
      <c r="J12908" s="0" t="s">
        <v>42872</v>
      </c>
      <c r="K12908" s="0" t="s">
        <v>42873</v>
      </c>
      <c r="L12908" s="0" t="str">
        <f aca="false">HYPERLINK("https://www.ncbi.nlm.nih.gov/nuccore/CP000058.1?report=graph&amp;tracks=[key:gene_model_track,Options:GeneOnly]&amp;mk=4042479:4042498|offset_79|00cc00,4042502:4042521|offset_102|444444,4042528:4042547|offset_128|444444,4042558:4042577|offset_158|444444&amp;v=4042278:4042777&amp;c=444444", "offset 79")</f>
        <v>offset 79</v>
      </c>
    </row>
    <row r="12909" customFormat="false" ht="12.8" hidden="false" customHeight="false" outlineLevel="0" collapsed="false">
      <c r="A12909" s="0" t="s">
        <v>12</v>
      </c>
      <c r="B12909" s="0" t="n">
        <v>4042501</v>
      </c>
      <c r="C12909" s="0" t="n">
        <v>4042521</v>
      </c>
      <c r="D12909" s="0" t="s">
        <v>42870</v>
      </c>
      <c r="E12909" s="0" t="s">
        <v>75</v>
      </c>
      <c r="F12909" s="0" t="s">
        <v>15</v>
      </c>
      <c r="G12909" s="0" t="s">
        <v>20</v>
      </c>
      <c r="H12909" s="0" t="n">
        <v>102</v>
      </c>
      <c r="I12909" s="0" t="s">
        <v>42874</v>
      </c>
      <c r="J12909" s="0" t="s">
        <v>42875</v>
      </c>
      <c r="K12909" s="0" t="s">
        <v>42876</v>
      </c>
      <c r="L12909" s="0" t="str">
        <f aca="false">HYPERLINK("https://www.ncbi.nlm.nih.gov/nuccore/CP000058.1?report=graph&amp;tracks=[key:gene_model_track,Options:GeneOnly]&amp;mk=4042479:4042498|offset_79|444444,4042502:4042521|offset_102|00cc00,4042528:4042547|offset_128|444444,4042558:4042577|offset_158|444444&amp;v=4042278:4042777&amp;c=444444", "offset 102")</f>
        <v>offset 102</v>
      </c>
    </row>
    <row r="12910" customFormat="false" ht="12.8" hidden="false" customHeight="false" outlineLevel="0" collapsed="false">
      <c r="A12910" s="0" t="s">
        <v>12</v>
      </c>
      <c r="B12910" s="0" t="n">
        <v>4042527</v>
      </c>
      <c r="C12910" s="0" t="n">
        <v>4042547</v>
      </c>
      <c r="D12910" s="0" t="s">
        <v>42870</v>
      </c>
      <c r="E12910" s="0" t="s">
        <v>75</v>
      </c>
      <c r="F12910" s="0" t="s">
        <v>15</v>
      </c>
      <c r="G12910" s="0" t="s">
        <v>32</v>
      </c>
      <c r="H12910" s="0" t="n">
        <v>128</v>
      </c>
      <c r="I12910" s="0" t="s">
        <v>42877</v>
      </c>
      <c r="J12910" s="0" t="s">
        <v>42878</v>
      </c>
      <c r="K12910" s="0" t="s">
        <v>42879</v>
      </c>
      <c r="L12910" s="0" t="str">
        <f aca="false">HYPERLINK("https://www.ncbi.nlm.nih.gov/nuccore/CP000058.1?report=graph&amp;tracks=[key:gene_model_track,Options:GeneOnly]&amp;mk=4042479:4042498|offset_79|444444,4042502:4042521|offset_102|444444,4042528:4042547|offset_128|00cc00,4042558:4042577|offset_158|444444&amp;v=4042278:4042777&amp;c=444444", "offset 128")</f>
        <v>offset 128</v>
      </c>
    </row>
    <row r="12911" customFormat="false" ht="12.8" hidden="false" customHeight="false" outlineLevel="0" collapsed="false">
      <c r="A12911" s="0" t="s">
        <v>12</v>
      </c>
      <c r="B12911" s="0" t="n">
        <v>4042557</v>
      </c>
      <c r="C12911" s="0" t="n">
        <v>4042577</v>
      </c>
      <c r="D12911" s="0" t="s">
        <v>42870</v>
      </c>
      <c r="E12911" s="0" t="s">
        <v>75</v>
      </c>
      <c r="F12911" s="0" t="s">
        <v>15</v>
      </c>
      <c r="G12911" s="0" t="s">
        <v>16</v>
      </c>
      <c r="H12911" s="0" t="n">
        <v>158</v>
      </c>
      <c r="I12911" s="0" t="s">
        <v>42880</v>
      </c>
      <c r="J12911" s="0" t="s">
        <v>42881</v>
      </c>
      <c r="K12911" s="0" t="s">
        <v>42882</v>
      </c>
      <c r="L12911" s="0" t="str">
        <f aca="false">HYPERLINK("https://www.ncbi.nlm.nih.gov/nuccore/CP000058.1?report=graph&amp;tracks=[key:gene_model_track,Options:GeneOnly]&amp;mk=4042479:4042498|offset_79|444444,4042502:4042521|offset_102|444444,4042528:4042547|offset_128|444444,4042558:4042577|offset_158|00cc00&amp;v=4042278:4042777&amp;c=444444", "offset 158")</f>
        <v>offset 158</v>
      </c>
    </row>
    <row r="12912" customFormat="false" ht="12.8" hidden="false" customHeight="false" outlineLevel="0" collapsed="false">
      <c r="A12912" s="0" t="s">
        <v>12</v>
      </c>
      <c r="B12912" s="0" t="n">
        <v>4042653</v>
      </c>
      <c r="C12912" s="0" t="n">
        <v>4042673</v>
      </c>
      <c r="D12912" s="0" t="s">
        <v>42883</v>
      </c>
      <c r="E12912" s="0" t="s">
        <v>75</v>
      </c>
      <c r="F12912" s="0" t="s">
        <v>15</v>
      </c>
      <c r="G12912" s="0" t="s">
        <v>32</v>
      </c>
      <c r="H12912" s="0" t="n">
        <v>8</v>
      </c>
      <c r="I12912" s="0" t="s">
        <v>42884</v>
      </c>
      <c r="J12912" s="0" t="s">
        <v>42885</v>
      </c>
      <c r="K12912" s="0" t="s">
        <v>42886</v>
      </c>
      <c r="L12912" s="0" t="str">
        <f aca="false">HYPERLINK("https://www.ncbi.nlm.nih.gov/nuccore/CP000058.1?report=graph&amp;tracks=[key:gene_model_track,Options:GeneOnly]&amp;mk=4042654:4042673|offset_8|00cc00,4042680:4042699|offset_34|444444,4042711:4042730|offset_65|444444,4042738:4042757|offset_92|444444&amp;v=4042453:4042957&amp;c=444444", "offset 8")</f>
        <v>offset 8</v>
      </c>
    </row>
    <row r="12913" customFormat="false" ht="12.8" hidden="false" customHeight="false" outlineLevel="0" collapsed="false">
      <c r="A12913" s="0" t="s">
        <v>12</v>
      </c>
      <c r="B12913" s="0" t="n">
        <v>4042679</v>
      </c>
      <c r="C12913" s="0" t="n">
        <v>4042699</v>
      </c>
      <c r="D12913" s="0" t="s">
        <v>42883</v>
      </c>
      <c r="E12913" s="0" t="s">
        <v>75</v>
      </c>
      <c r="F12913" s="0" t="s">
        <v>15</v>
      </c>
      <c r="G12913" s="0" t="s">
        <v>32</v>
      </c>
      <c r="H12913" s="0" t="n">
        <v>34</v>
      </c>
      <c r="I12913" s="0" t="s">
        <v>42887</v>
      </c>
      <c r="J12913" s="0" t="s">
        <v>42888</v>
      </c>
      <c r="K12913" s="0" t="s">
        <v>42889</v>
      </c>
      <c r="L12913" s="0" t="str">
        <f aca="false">HYPERLINK("https://www.ncbi.nlm.nih.gov/nuccore/CP000058.1?report=graph&amp;tracks=[key:gene_model_track,Options:GeneOnly]&amp;mk=4042654:4042673|offset_8|444444,4042680:4042699|offset_34|00cc00,4042711:4042730|offset_65|444444,4042738:4042757|offset_92|444444&amp;v=4042453:4042957&amp;c=444444", "offset 34")</f>
        <v>offset 34</v>
      </c>
    </row>
    <row r="12914" customFormat="false" ht="12.8" hidden="false" customHeight="false" outlineLevel="0" collapsed="false">
      <c r="A12914" s="0" t="s">
        <v>12</v>
      </c>
      <c r="B12914" s="0" t="n">
        <v>4042710</v>
      </c>
      <c r="C12914" s="0" t="n">
        <v>4042730</v>
      </c>
      <c r="D12914" s="0" t="s">
        <v>42883</v>
      </c>
      <c r="E12914" s="0" t="s">
        <v>75</v>
      </c>
      <c r="F12914" s="0" t="s">
        <v>15</v>
      </c>
      <c r="G12914" s="0" t="s">
        <v>20</v>
      </c>
      <c r="H12914" s="0" t="n">
        <v>65</v>
      </c>
      <c r="I12914" s="0" t="s">
        <v>42890</v>
      </c>
      <c r="J12914" s="0" t="s">
        <v>42891</v>
      </c>
      <c r="K12914" s="0" t="s">
        <v>42892</v>
      </c>
      <c r="L12914" s="0" t="str">
        <f aca="false">HYPERLINK("https://www.ncbi.nlm.nih.gov/nuccore/CP000058.1?report=graph&amp;tracks=[key:gene_model_track,Options:GeneOnly]&amp;mk=4042654:4042673|offset_8|444444,4042680:4042699|offset_34|444444,4042711:4042730|offset_65|00cc00,4042738:4042757|offset_92|444444&amp;v=4042453:4042957&amp;c=444444", "offset 65")</f>
        <v>offset 65</v>
      </c>
    </row>
    <row r="12915" customFormat="false" ht="12.8" hidden="false" customHeight="false" outlineLevel="0" collapsed="false">
      <c r="A12915" s="0" t="s">
        <v>12</v>
      </c>
      <c r="B12915" s="0" t="n">
        <v>4042737</v>
      </c>
      <c r="C12915" s="0" t="n">
        <v>4042757</v>
      </c>
      <c r="D12915" s="0" t="s">
        <v>42883</v>
      </c>
      <c r="E12915" s="0" t="s">
        <v>75</v>
      </c>
      <c r="F12915" s="0" t="s">
        <v>15</v>
      </c>
      <c r="G12915" s="0" t="s">
        <v>20</v>
      </c>
      <c r="H12915" s="0" t="n">
        <v>92</v>
      </c>
      <c r="I12915" s="0" t="s">
        <v>42893</v>
      </c>
      <c r="J12915" s="0" t="s">
        <v>42894</v>
      </c>
      <c r="K12915" s="0" t="s">
        <v>42895</v>
      </c>
      <c r="L12915" s="0" t="str">
        <f aca="false">HYPERLINK("https://www.ncbi.nlm.nih.gov/nuccore/CP000058.1?report=graph&amp;tracks=[key:gene_model_track,Options:GeneOnly]&amp;mk=4042654:4042673|offset_8|444444,4042680:4042699|offset_34|444444,4042711:4042730|offset_65|444444,4042738:4042757|offset_92|00cc00&amp;v=4042453:4042957&amp;c=444444", "offset 92")</f>
        <v>offset 92</v>
      </c>
    </row>
    <row r="12916" customFormat="false" ht="12.8" hidden="false" customHeight="false" outlineLevel="0" collapsed="false">
      <c r="A12916" s="0" t="s">
        <v>12</v>
      </c>
      <c r="B12916" s="0" t="n">
        <v>4043317</v>
      </c>
      <c r="C12916" s="0" t="n">
        <v>4043337</v>
      </c>
      <c r="D12916" s="0" t="s">
        <v>42896</v>
      </c>
      <c r="E12916" s="0" t="s">
        <v>75</v>
      </c>
      <c r="F12916" s="0" t="s">
        <v>15</v>
      </c>
      <c r="G12916" s="0" t="s">
        <v>36</v>
      </c>
      <c r="H12916" s="0" t="n">
        <v>8</v>
      </c>
      <c r="I12916" s="0" t="s">
        <v>42897</v>
      </c>
      <c r="J12916" s="0" t="s">
        <v>42898</v>
      </c>
      <c r="K12916" s="0" t="s">
        <v>42899</v>
      </c>
      <c r="L12916" s="0" t="str">
        <f aca="false">HYPERLINK("https://www.ncbi.nlm.nih.gov/nuccore/CP000058.1?report=graph&amp;tracks=[key:gene_model_track,Options:GeneOnly]&amp;mk=4043318:4043337|offset_8|00cc00,4043341:4043360|offset_31|444444,4043372:4043391|offset_62|444444,4043410:4043429|offset_100|444444&amp;v=4043117:4043629&amp;c=444444", "offset 8")</f>
        <v>offset 8</v>
      </c>
    </row>
    <row r="12917" customFormat="false" ht="12.8" hidden="false" customHeight="false" outlineLevel="0" collapsed="false">
      <c r="A12917" s="0" t="s">
        <v>12</v>
      </c>
      <c r="B12917" s="0" t="n">
        <v>4043340</v>
      </c>
      <c r="C12917" s="0" t="n">
        <v>4043360</v>
      </c>
      <c r="D12917" s="0" t="s">
        <v>42896</v>
      </c>
      <c r="E12917" s="0" t="s">
        <v>75</v>
      </c>
      <c r="F12917" s="0" t="s">
        <v>15</v>
      </c>
      <c r="G12917" s="0" t="s">
        <v>32</v>
      </c>
      <c r="H12917" s="0" t="n">
        <v>31</v>
      </c>
      <c r="I12917" s="0" t="s">
        <v>42900</v>
      </c>
      <c r="J12917" s="0" t="s">
        <v>42901</v>
      </c>
      <c r="K12917" s="0" t="s">
        <v>42902</v>
      </c>
      <c r="L12917" s="0" t="str">
        <f aca="false">HYPERLINK("https://www.ncbi.nlm.nih.gov/nuccore/CP000058.1?report=graph&amp;tracks=[key:gene_model_track,Options:GeneOnly]&amp;mk=4043318:4043337|offset_8|444444,4043341:4043360|offset_31|00cc00,4043372:4043391|offset_62|444444,4043410:4043429|offset_100|444444&amp;v=4043117:4043629&amp;c=444444", "offset 31")</f>
        <v>offset 31</v>
      </c>
    </row>
    <row r="12918" customFormat="false" ht="12.8" hidden="false" customHeight="false" outlineLevel="0" collapsed="false">
      <c r="A12918" s="0" t="s">
        <v>12</v>
      </c>
      <c r="B12918" s="0" t="n">
        <v>4043371</v>
      </c>
      <c r="C12918" s="0" t="n">
        <v>4043391</v>
      </c>
      <c r="D12918" s="0" t="s">
        <v>42896</v>
      </c>
      <c r="E12918" s="0" t="s">
        <v>75</v>
      </c>
      <c r="F12918" s="0" t="s">
        <v>15</v>
      </c>
      <c r="G12918" s="0" t="s">
        <v>20</v>
      </c>
      <c r="H12918" s="0" t="n">
        <v>62</v>
      </c>
      <c r="I12918" s="0" t="s">
        <v>42903</v>
      </c>
      <c r="J12918" s="0" t="s">
        <v>42904</v>
      </c>
      <c r="K12918" s="0" t="s">
        <v>42905</v>
      </c>
      <c r="L12918" s="0" t="str">
        <f aca="false">HYPERLINK("https://www.ncbi.nlm.nih.gov/nuccore/CP000058.1?report=graph&amp;tracks=[key:gene_model_track,Options:GeneOnly]&amp;mk=4043318:4043337|offset_8|444444,4043341:4043360|offset_31|444444,4043372:4043391|offset_62|00cc00,4043410:4043429|offset_100|444444&amp;v=4043117:4043629&amp;c=444444", "offset 62")</f>
        <v>offset 62</v>
      </c>
    </row>
    <row r="12919" customFormat="false" ht="12.8" hidden="false" customHeight="false" outlineLevel="0" collapsed="false">
      <c r="A12919" s="0" t="s">
        <v>12</v>
      </c>
      <c r="B12919" s="0" t="n">
        <v>4043409</v>
      </c>
      <c r="C12919" s="0" t="n">
        <v>4043429</v>
      </c>
      <c r="D12919" s="0" t="s">
        <v>42896</v>
      </c>
      <c r="E12919" s="0" t="s">
        <v>75</v>
      </c>
      <c r="F12919" s="0" t="s">
        <v>15</v>
      </c>
      <c r="G12919" s="0" t="s">
        <v>32</v>
      </c>
      <c r="H12919" s="0" t="n">
        <v>100</v>
      </c>
      <c r="I12919" s="0" t="s">
        <v>42906</v>
      </c>
      <c r="J12919" s="0" t="s">
        <v>42907</v>
      </c>
      <c r="K12919" s="0" t="s">
        <v>42908</v>
      </c>
      <c r="L12919" s="0" t="str">
        <f aca="false">HYPERLINK("https://www.ncbi.nlm.nih.gov/nuccore/CP000058.1?report=graph&amp;tracks=[key:gene_model_track,Options:GeneOnly]&amp;mk=4043318:4043337|offset_8|444444,4043341:4043360|offset_31|444444,4043372:4043391|offset_62|444444,4043410:4043429|offset_100|00cc00&amp;v=4043117:4043629&amp;c=444444", "offset 100")</f>
        <v>offset 100</v>
      </c>
    </row>
    <row r="12920" customFormat="false" ht="12.8" hidden="false" customHeight="false" outlineLevel="0" collapsed="false">
      <c r="A12920" s="0" t="s">
        <v>12</v>
      </c>
      <c r="B12920" s="0" t="n">
        <v>4045237</v>
      </c>
      <c r="C12920" s="0" t="n">
        <v>4045257</v>
      </c>
      <c r="D12920" s="0" t="s">
        <v>42909</v>
      </c>
      <c r="E12920" s="0" t="s">
        <v>42910</v>
      </c>
      <c r="F12920" s="0" t="s">
        <v>90</v>
      </c>
      <c r="G12920" s="0" t="s">
        <v>20</v>
      </c>
      <c r="H12920" s="0" t="n">
        <v>0</v>
      </c>
      <c r="I12920" s="0" t="s">
        <v>42911</v>
      </c>
      <c r="J12920" s="0" t="s">
        <v>42912</v>
      </c>
      <c r="K12920" s="0" t="s">
        <v>42913</v>
      </c>
      <c r="L12920" s="0" t="str">
        <f aca="false">HYPERLINK("https://www.ncbi.nlm.nih.gov/nuccore/CP000058.1?report=graph&amp;tracks=[key:gene_model_track,Options:GeneOnly]&amp;mk=4045238:4045257|offset_0|00cc00,4045188:4045207|offset_50|444444,4045158:4045177|offset_80|444444,4045135:4045154|offset_103|444444&amp;v=4045037:4045354&amp;c=444444", "offset 0")</f>
        <v>offset 0</v>
      </c>
    </row>
    <row r="12921" customFormat="false" ht="12.8" hidden="false" customHeight="false" outlineLevel="0" collapsed="false">
      <c r="A12921" s="0" t="s">
        <v>12</v>
      </c>
      <c r="B12921" s="0" t="n">
        <v>4045187</v>
      </c>
      <c r="C12921" s="0" t="n">
        <v>4045207</v>
      </c>
      <c r="D12921" s="0" t="s">
        <v>42909</v>
      </c>
      <c r="E12921" s="0" t="s">
        <v>42910</v>
      </c>
      <c r="F12921" s="0" t="s">
        <v>90</v>
      </c>
      <c r="G12921" s="0" t="s">
        <v>20</v>
      </c>
      <c r="H12921" s="0" t="n">
        <v>50</v>
      </c>
      <c r="I12921" s="0" t="s">
        <v>42914</v>
      </c>
      <c r="J12921" s="0" t="s">
        <v>42915</v>
      </c>
      <c r="K12921" s="0" t="s">
        <v>42916</v>
      </c>
      <c r="L12921" s="0" t="str">
        <f aca="false">HYPERLINK("https://www.ncbi.nlm.nih.gov/nuccore/CP000058.1?report=graph&amp;tracks=[key:gene_model_track,Options:GeneOnly]&amp;mk=4045238:4045257|offset_0|444444,4045188:4045207|offset_50|00cc00,4045158:4045177|offset_80|444444,4045135:4045154|offset_103|444444&amp;v=4045037:4045354&amp;c=444444", "offset 50")</f>
        <v>offset 50</v>
      </c>
    </row>
    <row r="12922" customFormat="false" ht="12.8" hidden="false" customHeight="false" outlineLevel="0" collapsed="false">
      <c r="A12922" s="0" t="s">
        <v>12</v>
      </c>
      <c r="B12922" s="0" t="n">
        <v>4045157</v>
      </c>
      <c r="C12922" s="0" t="n">
        <v>4045177</v>
      </c>
      <c r="D12922" s="0" t="s">
        <v>42909</v>
      </c>
      <c r="E12922" s="0" t="s">
        <v>42910</v>
      </c>
      <c r="F12922" s="0" t="s">
        <v>90</v>
      </c>
      <c r="G12922" s="0" t="s">
        <v>32</v>
      </c>
      <c r="H12922" s="0" t="n">
        <v>80</v>
      </c>
      <c r="I12922" s="0" t="s">
        <v>42917</v>
      </c>
      <c r="J12922" s="0" t="s">
        <v>42918</v>
      </c>
      <c r="K12922" s="0" t="s">
        <v>42919</v>
      </c>
      <c r="L12922" s="0" t="str">
        <f aca="false">HYPERLINK("https://www.ncbi.nlm.nih.gov/nuccore/CP000058.1?report=graph&amp;tracks=[key:gene_model_track,Options:GeneOnly]&amp;mk=4045238:4045257|offset_0|444444,4045188:4045207|offset_50|444444,4045158:4045177|offset_80|00cc00,4045135:4045154|offset_103|444444&amp;v=4045037:4045354&amp;c=444444", "offset 80")</f>
        <v>offset 80</v>
      </c>
    </row>
    <row r="12923" customFormat="false" ht="12.8" hidden="false" customHeight="false" outlineLevel="0" collapsed="false">
      <c r="A12923" s="0" t="s">
        <v>12</v>
      </c>
      <c r="B12923" s="0" t="n">
        <v>4045134</v>
      </c>
      <c r="C12923" s="0" t="n">
        <v>4045154</v>
      </c>
      <c r="D12923" s="0" t="s">
        <v>42909</v>
      </c>
      <c r="E12923" s="0" t="s">
        <v>42910</v>
      </c>
      <c r="F12923" s="0" t="s">
        <v>90</v>
      </c>
      <c r="G12923" s="0" t="s">
        <v>36</v>
      </c>
      <c r="H12923" s="0" t="n">
        <v>103</v>
      </c>
      <c r="I12923" s="0" t="s">
        <v>42920</v>
      </c>
      <c r="J12923" s="0" t="s">
        <v>42921</v>
      </c>
      <c r="K12923" s="0" t="s">
        <v>42922</v>
      </c>
      <c r="L12923" s="0" t="str">
        <f aca="false">HYPERLINK("https://www.ncbi.nlm.nih.gov/nuccore/CP000058.1?report=graph&amp;tracks=[key:gene_model_track,Options:GeneOnly]&amp;mk=4045238:4045257|offset_0|444444,4045188:4045207|offset_50|444444,4045158:4045177|offset_80|444444,4045135:4045154|offset_103|00cc00&amp;v=4045037:4045354&amp;c=444444", "offset 103")</f>
        <v>offset 103</v>
      </c>
    </row>
    <row r="12924" customFormat="false" ht="12.8" hidden="false" customHeight="false" outlineLevel="0" collapsed="false">
      <c r="A12924" s="0" t="s">
        <v>12</v>
      </c>
      <c r="B12924" s="0" t="n">
        <v>4045594</v>
      </c>
      <c r="C12924" s="0" t="n">
        <v>4045614</v>
      </c>
      <c r="D12924" s="0" t="s">
        <v>42923</v>
      </c>
      <c r="E12924" s="0" t="s">
        <v>75</v>
      </c>
      <c r="F12924" s="0" t="s">
        <v>15</v>
      </c>
      <c r="G12924" s="0" t="s">
        <v>16</v>
      </c>
      <c r="H12924" s="0" t="n">
        <v>13</v>
      </c>
      <c r="I12924" s="0" t="s">
        <v>42924</v>
      </c>
      <c r="J12924" s="0" t="s">
        <v>42925</v>
      </c>
      <c r="K12924" s="0" t="s">
        <v>42926</v>
      </c>
      <c r="L12924" s="0" t="str">
        <f aca="false">HYPERLINK("https://www.ncbi.nlm.nih.gov/nuccore/CP000058.1?report=graph&amp;tracks=[key:gene_model_track,Options:GeneOnly]&amp;mk=4045595:4045614|offset_13|00cc00,4045633:4045652|offset_51|444444,4045679:4045698|offset_97|444444,4045710:4045729|offset_128|444444&amp;v=4045394:4045929&amp;c=444444", "offset 13")</f>
        <v>offset 13</v>
      </c>
    </row>
    <row r="12925" customFormat="false" ht="12.8" hidden="false" customHeight="false" outlineLevel="0" collapsed="false">
      <c r="A12925" s="0" t="s">
        <v>12</v>
      </c>
      <c r="B12925" s="0" t="n">
        <v>4045632</v>
      </c>
      <c r="C12925" s="0" t="n">
        <v>4045652</v>
      </c>
      <c r="D12925" s="0" t="s">
        <v>42923</v>
      </c>
      <c r="E12925" s="0" t="s">
        <v>75</v>
      </c>
      <c r="F12925" s="0" t="s">
        <v>15</v>
      </c>
      <c r="G12925" s="0" t="s">
        <v>20</v>
      </c>
      <c r="H12925" s="0" t="n">
        <v>51</v>
      </c>
      <c r="I12925" s="0" t="s">
        <v>42927</v>
      </c>
      <c r="J12925" s="0" t="s">
        <v>42928</v>
      </c>
      <c r="K12925" s="0" t="s">
        <v>42929</v>
      </c>
      <c r="L12925" s="0" t="str">
        <f aca="false">HYPERLINK("https://www.ncbi.nlm.nih.gov/nuccore/CP000058.1?report=graph&amp;tracks=[key:gene_model_track,Options:GeneOnly]&amp;mk=4045595:4045614|offset_13|444444,4045633:4045652|offset_51|00cc00,4045679:4045698|offset_97|444444,4045710:4045729|offset_128|444444&amp;v=4045394:4045929&amp;c=444444", "offset 51")</f>
        <v>offset 51</v>
      </c>
    </row>
    <row r="12926" customFormat="false" ht="12.8" hidden="false" customHeight="false" outlineLevel="0" collapsed="false">
      <c r="A12926" s="0" t="s">
        <v>12</v>
      </c>
      <c r="B12926" s="0" t="n">
        <v>4045678</v>
      </c>
      <c r="C12926" s="0" t="n">
        <v>4045698</v>
      </c>
      <c r="D12926" s="0" t="s">
        <v>42923</v>
      </c>
      <c r="E12926" s="0" t="s">
        <v>75</v>
      </c>
      <c r="F12926" s="0" t="s">
        <v>15</v>
      </c>
      <c r="G12926" s="0" t="s">
        <v>16</v>
      </c>
      <c r="H12926" s="0" t="n">
        <v>97</v>
      </c>
      <c r="I12926" s="0" t="s">
        <v>42930</v>
      </c>
      <c r="J12926" s="0" t="s">
        <v>42931</v>
      </c>
      <c r="K12926" s="0" t="s">
        <v>42932</v>
      </c>
      <c r="L12926" s="0" t="str">
        <f aca="false">HYPERLINK("https://www.ncbi.nlm.nih.gov/nuccore/CP000058.1?report=graph&amp;tracks=[key:gene_model_track,Options:GeneOnly]&amp;mk=4045595:4045614|offset_13|444444,4045633:4045652|offset_51|444444,4045679:4045698|offset_97|00cc00,4045710:4045729|offset_128|444444&amp;v=4045394:4045929&amp;c=444444", "offset 97")</f>
        <v>offset 97</v>
      </c>
    </row>
    <row r="12927" customFormat="false" ht="12.8" hidden="false" customHeight="false" outlineLevel="0" collapsed="false">
      <c r="A12927" s="0" t="s">
        <v>12</v>
      </c>
      <c r="B12927" s="0" t="n">
        <v>4045709</v>
      </c>
      <c r="C12927" s="0" t="n">
        <v>4045729</v>
      </c>
      <c r="D12927" s="0" t="s">
        <v>42923</v>
      </c>
      <c r="E12927" s="0" t="s">
        <v>75</v>
      </c>
      <c r="F12927" s="0" t="s">
        <v>15</v>
      </c>
      <c r="G12927" s="0" t="s">
        <v>36</v>
      </c>
      <c r="H12927" s="0" t="n">
        <v>128</v>
      </c>
      <c r="I12927" s="0" t="s">
        <v>42933</v>
      </c>
      <c r="J12927" s="0" t="s">
        <v>42934</v>
      </c>
      <c r="K12927" s="0" t="s">
        <v>42935</v>
      </c>
      <c r="L12927" s="0" t="str">
        <f aca="false">HYPERLINK("https://www.ncbi.nlm.nih.gov/nuccore/CP000058.1?report=graph&amp;tracks=[key:gene_model_track,Options:GeneOnly]&amp;mk=4045595:4045614|offset_13|444444,4045633:4045652|offset_51|444444,4045679:4045698|offset_97|444444,4045710:4045729|offset_128|00cc00&amp;v=4045394:4045929&amp;c=444444", "offset 128")</f>
        <v>offset 128</v>
      </c>
    </row>
    <row r="12928" customFormat="false" ht="12.8" hidden="false" customHeight="false" outlineLevel="0" collapsed="false">
      <c r="A12928" s="0" t="s">
        <v>12</v>
      </c>
      <c r="B12928" s="0" t="n">
        <v>4046753</v>
      </c>
      <c r="C12928" s="0" t="n">
        <v>4046773</v>
      </c>
      <c r="D12928" s="0" t="s">
        <v>42936</v>
      </c>
      <c r="E12928" s="0" t="s">
        <v>42937</v>
      </c>
      <c r="F12928" s="0" t="s">
        <v>90</v>
      </c>
      <c r="G12928" s="0" t="s">
        <v>20</v>
      </c>
      <c r="H12928" s="0" t="n">
        <v>35</v>
      </c>
      <c r="I12928" s="0" t="s">
        <v>42938</v>
      </c>
      <c r="J12928" s="0" t="s">
        <v>42939</v>
      </c>
      <c r="K12928" s="0" t="s">
        <v>42940</v>
      </c>
      <c r="L12928" s="0" t="str">
        <f aca="false">HYPERLINK("https://www.ncbi.nlm.nih.gov/nuccore/CP000058.1?report=graph&amp;tracks=[key:gene_model_track,Options:GeneOnly]&amp;mk=4046754:4046773|offset_35|00cc00,4046728:4046747|offset_61|444444,4046675:4046694|offset_114|444444,4046640:4046659|offset_149|444444&amp;v=4046553:4046859&amp;c=444444", "offset 35")</f>
        <v>offset 35</v>
      </c>
    </row>
    <row r="12929" customFormat="false" ht="12.8" hidden="false" customHeight="false" outlineLevel="0" collapsed="false">
      <c r="A12929" s="0" t="s">
        <v>12</v>
      </c>
      <c r="B12929" s="0" t="n">
        <v>4046727</v>
      </c>
      <c r="C12929" s="0" t="n">
        <v>4046747</v>
      </c>
      <c r="D12929" s="0" t="s">
        <v>42936</v>
      </c>
      <c r="E12929" s="0" t="s">
        <v>42937</v>
      </c>
      <c r="F12929" s="0" t="s">
        <v>90</v>
      </c>
      <c r="G12929" s="0" t="s">
        <v>16</v>
      </c>
      <c r="H12929" s="0" t="n">
        <v>61</v>
      </c>
      <c r="I12929" s="0" t="s">
        <v>42941</v>
      </c>
      <c r="J12929" s="0" t="s">
        <v>42942</v>
      </c>
      <c r="K12929" s="0" t="s">
        <v>42943</v>
      </c>
      <c r="L12929" s="0" t="str">
        <f aca="false">HYPERLINK("https://www.ncbi.nlm.nih.gov/nuccore/CP000058.1?report=graph&amp;tracks=[key:gene_model_track,Options:GeneOnly]&amp;mk=4046754:4046773|offset_35|444444,4046728:4046747|offset_61|00cc00,4046675:4046694|offset_114|444444,4046640:4046659|offset_149|444444&amp;v=4046553:4046859&amp;c=444444", "offset 61")</f>
        <v>offset 61</v>
      </c>
    </row>
    <row r="12930" customFormat="false" ht="12.8" hidden="false" customHeight="false" outlineLevel="0" collapsed="false">
      <c r="A12930" s="0" t="s">
        <v>12</v>
      </c>
      <c r="B12930" s="0" t="n">
        <v>4046674</v>
      </c>
      <c r="C12930" s="0" t="n">
        <v>4046694</v>
      </c>
      <c r="D12930" s="0" t="s">
        <v>42936</v>
      </c>
      <c r="E12930" s="0" t="s">
        <v>42937</v>
      </c>
      <c r="F12930" s="0" t="s">
        <v>90</v>
      </c>
      <c r="G12930" s="0" t="s">
        <v>36</v>
      </c>
      <c r="H12930" s="0" t="n">
        <v>114</v>
      </c>
      <c r="I12930" s="0" t="s">
        <v>42944</v>
      </c>
      <c r="J12930" s="0" t="s">
        <v>42945</v>
      </c>
      <c r="K12930" s="0" t="s">
        <v>42946</v>
      </c>
      <c r="L12930" s="0" t="str">
        <f aca="false">HYPERLINK("https://www.ncbi.nlm.nih.gov/nuccore/CP000058.1?report=graph&amp;tracks=[key:gene_model_track,Options:GeneOnly]&amp;mk=4046754:4046773|offset_35|444444,4046728:4046747|offset_61|444444,4046675:4046694|offset_114|00cc00,4046640:4046659|offset_149|444444&amp;v=4046553:4046859&amp;c=444444", "offset 114")</f>
        <v>offset 114</v>
      </c>
    </row>
    <row r="12931" customFormat="false" ht="12.8" hidden="false" customHeight="false" outlineLevel="0" collapsed="false">
      <c r="A12931" s="0" t="s">
        <v>12</v>
      </c>
      <c r="B12931" s="0" t="n">
        <v>4046639</v>
      </c>
      <c r="C12931" s="0" t="n">
        <v>4046659</v>
      </c>
      <c r="D12931" s="0" t="s">
        <v>42936</v>
      </c>
      <c r="E12931" s="0" t="s">
        <v>42937</v>
      </c>
      <c r="F12931" s="0" t="s">
        <v>90</v>
      </c>
      <c r="G12931" s="0" t="s">
        <v>20</v>
      </c>
      <c r="H12931" s="0" t="n">
        <v>149</v>
      </c>
      <c r="I12931" s="0" t="s">
        <v>42947</v>
      </c>
      <c r="J12931" s="0" t="s">
        <v>42948</v>
      </c>
      <c r="K12931" s="0" t="s">
        <v>42949</v>
      </c>
      <c r="L12931" s="0" t="str">
        <f aca="false">HYPERLINK("https://www.ncbi.nlm.nih.gov/nuccore/CP000058.1?report=graph&amp;tracks=[key:gene_model_track,Options:GeneOnly]&amp;mk=4046754:4046773|offset_35|444444,4046728:4046747|offset_61|444444,4046675:4046694|offset_114|444444,4046640:4046659|offset_149|00cc00&amp;v=4046553:4046859&amp;c=444444", "offset 149")</f>
        <v>offset 149</v>
      </c>
    </row>
    <row r="12932" customFormat="false" ht="12.8" hidden="false" customHeight="false" outlineLevel="0" collapsed="false">
      <c r="A12932" s="0" t="s">
        <v>12</v>
      </c>
      <c r="B12932" s="0" t="n">
        <v>4048158</v>
      </c>
      <c r="C12932" s="0" t="n">
        <v>4048178</v>
      </c>
      <c r="D12932" s="0" t="s">
        <v>42950</v>
      </c>
      <c r="E12932" s="0" t="s">
        <v>75</v>
      </c>
      <c r="F12932" s="0" t="s">
        <v>90</v>
      </c>
      <c r="G12932" s="0" t="s">
        <v>20</v>
      </c>
      <c r="H12932" s="0" t="n">
        <v>34</v>
      </c>
      <c r="I12932" s="0" t="s">
        <v>42951</v>
      </c>
      <c r="J12932" s="0" t="s">
        <v>42952</v>
      </c>
      <c r="K12932" s="0" t="s">
        <v>42953</v>
      </c>
      <c r="L12932" s="0" t="str">
        <f aca="false">HYPERLINK("https://www.ncbi.nlm.nih.gov/nuccore/CP000058.1?report=graph&amp;tracks=[key:gene_model_track,Options:GeneOnly]&amp;mk=4048159:4048178|offset_34|00cc00,4048123:4048142|offset_70|444444,4048066:4048085|offset_127|444444,4048030:4048049|offset_163|444444&amp;v=4047958:4048249&amp;c=444444", "offset 34")</f>
        <v>offset 34</v>
      </c>
    </row>
    <row r="12933" customFormat="false" ht="12.8" hidden="false" customHeight="false" outlineLevel="0" collapsed="false">
      <c r="A12933" s="0" t="s">
        <v>12</v>
      </c>
      <c r="B12933" s="0" t="n">
        <v>4048122</v>
      </c>
      <c r="C12933" s="0" t="n">
        <v>4048142</v>
      </c>
      <c r="D12933" s="0" t="s">
        <v>42950</v>
      </c>
      <c r="E12933" s="0" t="s">
        <v>75</v>
      </c>
      <c r="F12933" s="0" t="s">
        <v>90</v>
      </c>
      <c r="G12933" s="0" t="s">
        <v>16</v>
      </c>
      <c r="H12933" s="0" t="n">
        <v>70</v>
      </c>
      <c r="I12933" s="0" t="s">
        <v>42954</v>
      </c>
      <c r="J12933" s="0" t="s">
        <v>42955</v>
      </c>
      <c r="K12933" s="0" t="s">
        <v>42956</v>
      </c>
      <c r="L12933" s="0" t="str">
        <f aca="false">HYPERLINK("https://www.ncbi.nlm.nih.gov/nuccore/CP000058.1?report=graph&amp;tracks=[key:gene_model_track,Options:GeneOnly]&amp;mk=4048159:4048178|offset_34|444444,4048123:4048142|offset_70|00cc00,4048066:4048085|offset_127|444444,4048030:4048049|offset_163|444444&amp;v=4047958:4048249&amp;c=444444", "offset 70")</f>
        <v>offset 70</v>
      </c>
    </row>
    <row r="12934" customFormat="false" ht="12.8" hidden="false" customHeight="false" outlineLevel="0" collapsed="false">
      <c r="A12934" s="0" t="s">
        <v>12</v>
      </c>
      <c r="B12934" s="0" t="n">
        <v>4048065</v>
      </c>
      <c r="C12934" s="0" t="n">
        <v>4048085</v>
      </c>
      <c r="D12934" s="0" t="s">
        <v>42950</v>
      </c>
      <c r="E12934" s="0" t="s">
        <v>75</v>
      </c>
      <c r="F12934" s="0" t="s">
        <v>90</v>
      </c>
      <c r="G12934" s="0" t="s">
        <v>32</v>
      </c>
      <c r="H12934" s="0" t="n">
        <v>127</v>
      </c>
      <c r="I12934" s="0" t="s">
        <v>42957</v>
      </c>
      <c r="J12934" s="0" t="s">
        <v>42958</v>
      </c>
      <c r="K12934" s="0" t="s">
        <v>42959</v>
      </c>
      <c r="L12934" s="0" t="str">
        <f aca="false">HYPERLINK("https://www.ncbi.nlm.nih.gov/nuccore/CP000058.1?report=graph&amp;tracks=[key:gene_model_track,Options:GeneOnly]&amp;mk=4048159:4048178|offset_34|444444,4048123:4048142|offset_70|444444,4048066:4048085|offset_127|00cc00,4048030:4048049|offset_163|444444&amp;v=4047958:4048249&amp;c=444444", "offset 127")</f>
        <v>offset 127</v>
      </c>
    </row>
    <row r="12935" customFormat="false" ht="12.8" hidden="false" customHeight="false" outlineLevel="0" collapsed="false">
      <c r="A12935" s="0" t="s">
        <v>12</v>
      </c>
      <c r="B12935" s="0" t="n">
        <v>4048029</v>
      </c>
      <c r="C12935" s="0" t="n">
        <v>4048049</v>
      </c>
      <c r="D12935" s="0" t="s">
        <v>42950</v>
      </c>
      <c r="E12935" s="0" t="s">
        <v>75</v>
      </c>
      <c r="F12935" s="0" t="s">
        <v>90</v>
      </c>
      <c r="G12935" s="0" t="s">
        <v>32</v>
      </c>
      <c r="H12935" s="0" t="n">
        <v>163</v>
      </c>
      <c r="I12935" s="0" t="s">
        <v>42960</v>
      </c>
      <c r="J12935" s="0" t="s">
        <v>42961</v>
      </c>
      <c r="K12935" s="0" t="s">
        <v>42962</v>
      </c>
      <c r="L12935" s="0" t="str">
        <f aca="false">HYPERLINK("https://www.ncbi.nlm.nih.gov/nuccore/CP000058.1?report=graph&amp;tracks=[key:gene_model_track,Options:GeneOnly]&amp;mk=4048159:4048178|offset_34|444444,4048123:4048142|offset_70|444444,4048066:4048085|offset_127|444444,4048030:4048049|offset_163|00cc00&amp;v=4047958:4048249&amp;c=444444", "offset 163")</f>
        <v>offset 163</v>
      </c>
    </row>
    <row r="12936" customFormat="false" ht="12.8" hidden="false" customHeight="false" outlineLevel="0" collapsed="false">
      <c r="A12936" s="0" t="s">
        <v>12</v>
      </c>
      <c r="B12936" s="0" t="n">
        <v>4050909</v>
      </c>
      <c r="C12936" s="0" t="n">
        <v>4050929</v>
      </c>
      <c r="D12936" s="0" t="s">
        <v>42963</v>
      </c>
      <c r="E12936" s="0" t="s">
        <v>42964</v>
      </c>
      <c r="F12936" s="0" t="s">
        <v>90</v>
      </c>
      <c r="G12936" s="0" t="s">
        <v>20</v>
      </c>
      <c r="H12936" s="0" t="n">
        <v>0</v>
      </c>
      <c r="I12936" s="0" t="s">
        <v>42965</v>
      </c>
      <c r="J12936" s="0" t="s">
        <v>42966</v>
      </c>
      <c r="K12936" s="0" t="s">
        <v>42967</v>
      </c>
      <c r="L12936" s="0" t="str">
        <f aca="false">HYPERLINK("https://www.ncbi.nlm.nih.gov/nuccore/CP000058.1?report=graph&amp;tracks=[key:gene_model_track,Options:GeneOnly]&amp;mk=4050910:4050929|offset_0|00cc00,4050890:4050909|offset_20|444444,4050854:4050873|offset_56|444444,4050831:4050850|offset_79|444444&amp;v=4050709:4051050&amp;c=444444", "offset 0")</f>
        <v>offset 0</v>
      </c>
    </row>
    <row r="12937" customFormat="false" ht="12.8" hidden="false" customHeight="false" outlineLevel="0" collapsed="false">
      <c r="A12937" s="0" t="s">
        <v>12</v>
      </c>
      <c r="B12937" s="0" t="n">
        <v>4050889</v>
      </c>
      <c r="C12937" s="0" t="n">
        <v>4050909</v>
      </c>
      <c r="D12937" s="0" t="s">
        <v>42963</v>
      </c>
      <c r="E12937" s="0" t="s">
        <v>42964</v>
      </c>
      <c r="F12937" s="0" t="s">
        <v>90</v>
      </c>
      <c r="G12937" s="0" t="s">
        <v>16</v>
      </c>
      <c r="H12937" s="0" t="n">
        <v>20</v>
      </c>
      <c r="I12937" s="0" t="s">
        <v>42968</v>
      </c>
      <c r="J12937" s="0" t="s">
        <v>42969</v>
      </c>
      <c r="K12937" s="0" t="s">
        <v>42970</v>
      </c>
      <c r="L12937" s="0" t="str">
        <f aca="false">HYPERLINK("https://www.ncbi.nlm.nih.gov/nuccore/CP000058.1?report=graph&amp;tracks=[key:gene_model_track,Options:GeneOnly]&amp;mk=4050910:4050929|offset_0|444444,4050890:4050909|offset_20|00cc00,4050854:4050873|offset_56|444444,4050831:4050850|offset_79|444444&amp;v=4050709:4051050&amp;c=444444", "offset 20")</f>
        <v>offset 20</v>
      </c>
    </row>
    <row r="12938" customFormat="false" ht="12.8" hidden="false" customHeight="false" outlineLevel="0" collapsed="false">
      <c r="A12938" s="0" t="s">
        <v>12</v>
      </c>
      <c r="B12938" s="0" t="n">
        <v>4050853</v>
      </c>
      <c r="C12938" s="0" t="n">
        <v>4050873</v>
      </c>
      <c r="D12938" s="0" t="s">
        <v>42963</v>
      </c>
      <c r="E12938" s="0" t="s">
        <v>42964</v>
      </c>
      <c r="F12938" s="0" t="s">
        <v>90</v>
      </c>
      <c r="G12938" s="0" t="s">
        <v>32</v>
      </c>
      <c r="H12938" s="0" t="n">
        <v>56</v>
      </c>
      <c r="I12938" s="0" t="s">
        <v>42971</v>
      </c>
      <c r="J12938" s="0" t="s">
        <v>42972</v>
      </c>
      <c r="K12938" s="0" t="s">
        <v>42973</v>
      </c>
      <c r="L12938" s="0" t="str">
        <f aca="false">HYPERLINK("https://www.ncbi.nlm.nih.gov/nuccore/CP000058.1?report=graph&amp;tracks=[key:gene_model_track,Options:GeneOnly]&amp;mk=4050910:4050929|offset_0|444444,4050890:4050909|offset_20|444444,4050854:4050873|offset_56|00cc00,4050831:4050850|offset_79|444444&amp;v=4050709:4051050&amp;c=444444", "offset 56")</f>
        <v>offset 56</v>
      </c>
    </row>
    <row r="12939" customFormat="false" ht="12.8" hidden="false" customHeight="false" outlineLevel="0" collapsed="false">
      <c r="A12939" s="0" t="s">
        <v>12</v>
      </c>
      <c r="B12939" s="0" t="n">
        <v>4050830</v>
      </c>
      <c r="C12939" s="0" t="n">
        <v>4050850</v>
      </c>
      <c r="D12939" s="0" t="s">
        <v>42963</v>
      </c>
      <c r="E12939" s="0" t="s">
        <v>42964</v>
      </c>
      <c r="F12939" s="0" t="s">
        <v>90</v>
      </c>
      <c r="G12939" s="0" t="s">
        <v>20</v>
      </c>
      <c r="H12939" s="0" t="n">
        <v>79</v>
      </c>
      <c r="I12939" s="0" t="s">
        <v>42974</v>
      </c>
      <c r="J12939" s="0" t="s">
        <v>42975</v>
      </c>
      <c r="K12939" s="0" t="s">
        <v>42976</v>
      </c>
      <c r="L12939" s="0" t="str">
        <f aca="false">HYPERLINK("https://www.ncbi.nlm.nih.gov/nuccore/CP000058.1?report=graph&amp;tracks=[key:gene_model_track,Options:GeneOnly]&amp;mk=4050910:4050929|offset_0|444444,4050890:4050909|offset_20|444444,4050854:4050873|offset_56|444444,4050831:4050850|offset_79|00cc00&amp;v=4050709:4051050&amp;c=444444", "offset 79")</f>
        <v>offset 79</v>
      </c>
    </row>
    <row r="12940" customFormat="false" ht="12.8" hidden="false" customHeight="false" outlineLevel="0" collapsed="false">
      <c r="A12940" s="0" t="s">
        <v>12</v>
      </c>
      <c r="B12940" s="0" t="n">
        <v>4052016</v>
      </c>
      <c r="C12940" s="0" t="n">
        <v>4052036</v>
      </c>
      <c r="D12940" s="0" t="s">
        <v>42977</v>
      </c>
      <c r="E12940" s="0" t="s">
        <v>75</v>
      </c>
      <c r="F12940" s="0" t="s">
        <v>90</v>
      </c>
      <c r="G12940" s="0" t="s">
        <v>20</v>
      </c>
      <c r="H12940" s="0" t="n">
        <v>42</v>
      </c>
      <c r="I12940" s="0" t="s">
        <v>42978</v>
      </c>
      <c r="J12940" s="0" t="s">
        <v>42979</v>
      </c>
      <c r="K12940" s="0" t="s">
        <v>42980</v>
      </c>
      <c r="L12940" s="0" t="str">
        <f aca="false">HYPERLINK("https://www.ncbi.nlm.nih.gov/nuccore/CP000058.1?report=graph&amp;tracks=[key:gene_model_track,Options:GeneOnly]&amp;mk=4052017:4052036|offset_42|00cc00,4051995:4052014|offset_64|444444,4051951:4051970|offset_108|444444,4051920:4051939|offset_139|444444&amp;v=4051816:4052139&amp;c=444444", "offset 42")</f>
        <v>offset 42</v>
      </c>
    </row>
    <row r="12941" customFormat="false" ht="12.8" hidden="false" customHeight="false" outlineLevel="0" collapsed="false">
      <c r="A12941" s="0" t="s">
        <v>12</v>
      </c>
      <c r="B12941" s="0" t="n">
        <v>4051994</v>
      </c>
      <c r="C12941" s="0" t="n">
        <v>4052014</v>
      </c>
      <c r="D12941" s="0" t="s">
        <v>42977</v>
      </c>
      <c r="E12941" s="0" t="s">
        <v>75</v>
      </c>
      <c r="F12941" s="0" t="s">
        <v>90</v>
      </c>
      <c r="G12941" s="0" t="s">
        <v>32</v>
      </c>
      <c r="H12941" s="0" t="n">
        <v>64</v>
      </c>
      <c r="I12941" s="0" t="s">
        <v>42981</v>
      </c>
      <c r="J12941" s="0" t="s">
        <v>42982</v>
      </c>
      <c r="K12941" s="0" t="s">
        <v>42983</v>
      </c>
      <c r="L12941" s="0" t="str">
        <f aca="false">HYPERLINK("https://www.ncbi.nlm.nih.gov/nuccore/CP000058.1?report=graph&amp;tracks=[key:gene_model_track,Options:GeneOnly]&amp;mk=4052017:4052036|offset_42|444444,4051995:4052014|offset_64|00cc00,4051951:4051970|offset_108|444444,4051920:4051939|offset_139|444444&amp;v=4051816:4052139&amp;c=444444", "offset 64")</f>
        <v>offset 64</v>
      </c>
    </row>
    <row r="12942" customFormat="false" ht="12.8" hidden="false" customHeight="false" outlineLevel="0" collapsed="false">
      <c r="A12942" s="0" t="s">
        <v>12</v>
      </c>
      <c r="B12942" s="0" t="n">
        <v>4051950</v>
      </c>
      <c r="C12942" s="0" t="n">
        <v>4051970</v>
      </c>
      <c r="D12942" s="0" t="s">
        <v>42977</v>
      </c>
      <c r="E12942" s="0" t="s">
        <v>75</v>
      </c>
      <c r="F12942" s="0" t="s">
        <v>90</v>
      </c>
      <c r="G12942" s="0" t="s">
        <v>36</v>
      </c>
      <c r="H12942" s="0" t="n">
        <v>108</v>
      </c>
      <c r="I12942" s="0" t="s">
        <v>42984</v>
      </c>
      <c r="J12942" s="0" t="s">
        <v>42985</v>
      </c>
      <c r="K12942" s="0" t="s">
        <v>42986</v>
      </c>
      <c r="L12942" s="0" t="str">
        <f aca="false">HYPERLINK("https://www.ncbi.nlm.nih.gov/nuccore/CP000058.1?report=graph&amp;tracks=[key:gene_model_track,Options:GeneOnly]&amp;mk=4052017:4052036|offset_42|444444,4051995:4052014|offset_64|444444,4051951:4051970|offset_108|00cc00,4051920:4051939|offset_139|444444&amp;v=4051816:4052139&amp;c=444444", "offset 108")</f>
        <v>offset 108</v>
      </c>
    </row>
    <row r="12943" customFormat="false" ht="12.8" hidden="false" customHeight="false" outlineLevel="0" collapsed="false">
      <c r="A12943" s="0" t="s">
        <v>12</v>
      </c>
      <c r="B12943" s="0" t="n">
        <v>4051919</v>
      </c>
      <c r="C12943" s="0" t="n">
        <v>4051939</v>
      </c>
      <c r="D12943" s="0" t="s">
        <v>42977</v>
      </c>
      <c r="E12943" s="0" t="s">
        <v>75</v>
      </c>
      <c r="F12943" s="0" t="s">
        <v>90</v>
      </c>
      <c r="G12943" s="0" t="s">
        <v>16</v>
      </c>
      <c r="H12943" s="0" t="n">
        <v>139</v>
      </c>
      <c r="I12943" s="0" t="s">
        <v>42987</v>
      </c>
      <c r="J12943" s="0" t="s">
        <v>42988</v>
      </c>
      <c r="K12943" s="0" t="s">
        <v>42989</v>
      </c>
      <c r="L12943" s="0" t="str">
        <f aca="false">HYPERLINK("https://www.ncbi.nlm.nih.gov/nuccore/CP000058.1?report=graph&amp;tracks=[key:gene_model_track,Options:GeneOnly]&amp;mk=4052017:4052036|offset_42|444444,4051995:4052014|offset_64|444444,4051951:4051970|offset_108|444444,4051920:4051939|offset_139|00cc00&amp;v=4051816:4052139&amp;c=444444", "offset 139")</f>
        <v>offset 139</v>
      </c>
    </row>
    <row r="12944" customFormat="false" ht="12.8" hidden="false" customHeight="false" outlineLevel="0" collapsed="false">
      <c r="A12944" s="0" t="s">
        <v>12</v>
      </c>
      <c r="B12944" s="0" t="n">
        <v>4052408</v>
      </c>
      <c r="C12944" s="0" t="n">
        <v>4052428</v>
      </c>
      <c r="D12944" s="0" t="s">
        <v>42990</v>
      </c>
      <c r="E12944" s="0" t="s">
        <v>42991</v>
      </c>
      <c r="F12944" s="0" t="s">
        <v>15</v>
      </c>
      <c r="G12944" s="0" t="s">
        <v>36</v>
      </c>
      <c r="H12944" s="0" t="n">
        <v>67</v>
      </c>
      <c r="I12944" s="0" t="s">
        <v>42992</v>
      </c>
      <c r="J12944" s="0" t="s">
        <v>42993</v>
      </c>
      <c r="K12944" s="0" t="s">
        <v>42994</v>
      </c>
      <c r="L12944" s="0" t="str">
        <f aca="false">HYPERLINK("https://www.ncbi.nlm.nih.gov/nuccore/CP000058.1?report=graph&amp;tracks=[key:gene_model_track,Options:GeneOnly]&amp;mk=4052409:4052428|offset_67|00cc00,4052441:4052460|offset_99|444444,4052489:4052508|offset_147|444444,4052522:4052541|offset_180|444444&amp;v=4052208:4052741&amp;c=444444", "offset 67")</f>
        <v>offset 67</v>
      </c>
    </row>
    <row r="12945" customFormat="false" ht="12.8" hidden="false" customHeight="false" outlineLevel="0" collapsed="false">
      <c r="A12945" s="0" t="s">
        <v>12</v>
      </c>
      <c r="B12945" s="0" t="n">
        <v>4052440</v>
      </c>
      <c r="C12945" s="0" t="n">
        <v>4052460</v>
      </c>
      <c r="D12945" s="0" t="s">
        <v>42990</v>
      </c>
      <c r="E12945" s="0" t="s">
        <v>42991</v>
      </c>
      <c r="F12945" s="0" t="s">
        <v>15</v>
      </c>
      <c r="G12945" s="0" t="s">
        <v>16</v>
      </c>
      <c r="H12945" s="0" t="n">
        <v>99</v>
      </c>
      <c r="I12945" s="0" t="s">
        <v>42995</v>
      </c>
      <c r="J12945" s="0" t="s">
        <v>42996</v>
      </c>
      <c r="K12945" s="0" t="s">
        <v>42997</v>
      </c>
      <c r="L12945" s="0" t="str">
        <f aca="false">HYPERLINK("https://www.ncbi.nlm.nih.gov/nuccore/CP000058.1?report=graph&amp;tracks=[key:gene_model_track,Options:GeneOnly]&amp;mk=4052409:4052428|offset_67|444444,4052441:4052460|offset_99|00cc00,4052489:4052508|offset_147|444444,4052522:4052541|offset_180|444444&amp;v=4052208:4052741&amp;c=444444", "offset 99")</f>
        <v>offset 99</v>
      </c>
    </row>
    <row r="12946" customFormat="false" ht="12.8" hidden="false" customHeight="false" outlineLevel="0" collapsed="false">
      <c r="A12946" s="0" t="s">
        <v>12</v>
      </c>
      <c r="B12946" s="0" t="n">
        <v>4052488</v>
      </c>
      <c r="C12946" s="0" t="n">
        <v>4052508</v>
      </c>
      <c r="D12946" s="0" t="s">
        <v>42990</v>
      </c>
      <c r="E12946" s="0" t="s">
        <v>42991</v>
      </c>
      <c r="F12946" s="0" t="s">
        <v>15</v>
      </c>
      <c r="G12946" s="0" t="s">
        <v>20</v>
      </c>
      <c r="H12946" s="0" t="n">
        <v>147</v>
      </c>
      <c r="I12946" s="0" t="s">
        <v>42998</v>
      </c>
      <c r="J12946" s="0" t="s">
        <v>42999</v>
      </c>
      <c r="K12946" s="0" t="s">
        <v>43000</v>
      </c>
      <c r="L12946" s="0" t="str">
        <f aca="false">HYPERLINK("https://www.ncbi.nlm.nih.gov/nuccore/CP000058.1?report=graph&amp;tracks=[key:gene_model_track,Options:GeneOnly]&amp;mk=4052409:4052428|offset_67|444444,4052441:4052460|offset_99|444444,4052489:4052508|offset_147|00cc00,4052522:4052541|offset_180|444444&amp;v=4052208:4052741&amp;c=444444", "offset 147")</f>
        <v>offset 147</v>
      </c>
    </row>
    <row r="12947" customFormat="false" ht="12.8" hidden="false" customHeight="false" outlineLevel="0" collapsed="false">
      <c r="A12947" s="0" t="s">
        <v>12</v>
      </c>
      <c r="B12947" s="0" t="n">
        <v>4052521</v>
      </c>
      <c r="C12947" s="0" t="n">
        <v>4052541</v>
      </c>
      <c r="D12947" s="0" t="s">
        <v>42990</v>
      </c>
      <c r="E12947" s="0" t="s">
        <v>42991</v>
      </c>
      <c r="F12947" s="0" t="s">
        <v>15</v>
      </c>
      <c r="G12947" s="0" t="s">
        <v>20</v>
      </c>
      <c r="H12947" s="0" t="n">
        <v>180</v>
      </c>
      <c r="I12947" s="0" t="s">
        <v>43001</v>
      </c>
      <c r="J12947" s="0" t="s">
        <v>43002</v>
      </c>
      <c r="K12947" s="0" t="s">
        <v>43003</v>
      </c>
      <c r="L12947" s="0" t="str">
        <f aca="false">HYPERLINK("https://www.ncbi.nlm.nih.gov/nuccore/CP000058.1?report=graph&amp;tracks=[key:gene_model_track,Options:GeneOnly]&amp;mk=4052409:4052428|offset_67|444444,4052441:4052460|offset_99|444444,4052489:4052508|offset_147|444444,4052522:4052541|offset_180|00cc00&amp;v=4052208:4052741&amp;c=444444", "offset 180")</f>
        <v>offset 180</v>
      </c>
    </row>
    <row r="12948" customFormat="false" ht="12.8" hidden="false" customHeight="false" outlineLevel="0" collapsed="false">
      <c r="A12948" s="0" t="s">
        <v>12</v>
      </c>
      <c r="B12948" s="0" t="n">
        <v>4054181</v>
      </c>
      <c r="C12948" s="0" t="n">
        <v>4054201</v>
      </c>
      <c r="D12948" s="0" t="s">
        <v>43004</v>
      </c>
      <c r="E12948" s="0" t="s">
        <v>43005</v>
      </c>
      <c r="F12948" s="0" t="s">
        <v>90</v>
      </c>
      <c r="G12948" s="0" t="s">
        <v>36</v>
      </c>
      <c r="H12948" s="0" t="n">
        <v>10</v>
      </c>
      <c r="I12948" s="0" t="s">
        <v>43006</v>
      </c>
      <c r="J12948" s="0" t="s">
        <v>43007</v>
      </c>
      <c r="K12948" s="0" t="s">
        <v>43008</v>
      </c>
      <c r="L12948" s="0" t="str">
        <f aca="false">HYPERLINK("https://www.ncbi.nlm.nih.gov/nuccore/CP000058.1?report=graph&amp;tracks=[key:gene_model_track,Options:GeneOnly]&amp;mk=4054182:4054201|offset_10|00cc00,4054158:4054177|offset_34|444444,4054119:4054138|offset_73|444444,4054070:4054089|offset_122|444444&amp;v=4053981:4054289&amp;c=444444", "offset 10")</f>
        <v>offset 10</v>
      </c>
    </row>
    <row r="12949" customFormat="false" ht="12.8" hidden="false" customHeight="false" outlineLevel="0" collapsed="false">
      <c r="A12949" s="0" t="s">
        <v>12</v>
      </c>
      <c r="B12949" s="0" t="n">
        <v>4054157</v>
      </c>
      <c r="C12949" s="0" t="n">
        <v>4054177</v>
      </c>
      <c r="D12949" s="0" t="s">
        <v>43004</v>
      </c>
      <c r="E12949" s="0" t="s">
        <v>43005</v>
      </c>
      <c r="F12949" s="0" t="s">
        <v>90</v>
      </c>
      <c r="G12949" s="0" t="s">
        <v>36</v>
      </c>
      <c r="H12949" s="0" t="n">
        <v>34</v>
      </c>
      <c r="I12949" s="0" t="s">
        <v>43009</v>
      </c>
      <c r="J12949" s="0" t="s">
        <v>43010</v>
      </c>
      <c r="K12949" s="0" t="s">
        <v>43011</v>
      </c>
      <c r="L12949" s="0" t="str">
        <f aca="false">HYPERLINK("https://www.ncbi.nlm.nih.gov/nuccore/CP000058.1?report=graph&amp;tracks=[key:gene_model_track,Options:GeneOnly]&amp;mk=4054182:4054201|offset_10|444444,4054158:4054177|offset_34|00cc00,4054119:4054138|offset_73|444444,4054070:4054089|offset_122|444444&amp;v=4053981:4054289&amp;c=444444", "offset 34")</f>
        <v>offset 34</v>
      </c>
    </row>
    <row r="12950" customFormat="false" ht="12.8" hidden="false" customHeight="false" outlineLevel="0" collapsed="false">
      <c r="A12950" s="0" t="s">
        <v>12</v>
      </c>
      <c r="B12950" s="0" t="n">
        <v>4054118</v>
      </c>
      <c r="C12950" s="0" t="n">
        <v>4054138</v>
      </c>
      <c r="D12950" s="0" t="s">
        <v>43004</v>
      </c>
      <c r="E12950" s="0" t="s">
        <v>43005</v>
      </c>
      <c r="F12950" s="0" t="s">
        <v>90</v>
      </c>
      <c r="G12950" s="0" t="s">
        <v>16</v>
      </c>
      <c r="H12950" s="0" t="n">
        <v>73</v>
      </c>
      <c r="I12950" s="0" t="s">
        <v>43012</v>
      </c>
      <c r="J12950" s="0" t="s">
        <v>43013</v>
      </c>
      <c r="K12950" s="0" t="s">
        <v>43014</v>
      </c>
      <c r="L12950" s="0" t="str">
        <f aca="false">HYPERLINK("https://www.ncbi.nlm.nih.gov/nuccore/CP000058.1?report=graph&amp;tracks=[key:gene_model_track,Options:GeneOnly]&amp;mk=4054182:4054201|offset_10|444444,4054158:4054177|offset_34|444444,4054119:4054138|offset_73|00cc00,4054070:4054089|offset_122|444444&amp;v=4053981:4054289&amp;c=444444", "offset 73")</f>
        <v>offset 73</v>
      </c>
    </row>
    <row r="12951" customFormat="false" ht="12.8" hidden="false" customHeight="false" outlineLevel="0" collapsed="false">
      <c r="A12951" s="0" t="s">
        <v>12</v>
      </c>
      <c r="B12951" s="0" t="n">
        <v>4054069</v>
      </c>
      <c r="C12951" s="0" t="n">
        <v>4054089</v>
      </c>
      <c r="D12951" s="0" t="s">
        <v>43004</v>
      </c>
      <c r="E12951" s="0" t="s">
        <v>43005</v>
      </c>
      <c r="F12951" s="0" t="s">
        <v>90</v>
      </c>
      <c r="G12951" s="0" t="s">
        <v>16</v>
      </c>
      <c r="H12951" s="0" t="n">
        <v>122</v>
      </c>
      <c r="I12951" s="0" t="s">
        <v>43015</v>
      </c>
      <c r="J12951" s="0" t="s">
        <v>43016</v>
      </c>
      <c r="K12951" s="0" t="s">
        <v>43017</v>
      </c>
      <c r="L12951" s="0" t="str">
        <f aca="false">HYPERLINK("https://www.ncbi.nlm.nih.gov/nuccore/CP000058.1?report=graph&amp;tracks=[key:gene_model_track,Options:GeneOnly]&amp;mk=4054182:4054201|offset_10|444444,4054158:4054177|offset_34|444444,4054119:4054138|offset_73|444444,4054070:4054089|offset_122|00cc00&amp;v=4053981:4054289&amp;c=444444", "offset 122")</f>
        <v>offset 122</v>
      </c>
    </row>
    <row r="12952" customFormat="false" ht="12.8" hidden="false" customHeight="false" outlineLevel="0" collapsed="false">
      <c r="A12952" s="0" t="s">
        <v>12</v>
      </c>
      <c r="B12952" s="0" t="n">
        <v>4054477</v>
      </c>
      <c r="C12952" s="0" t="n">
        <v>4054497</v>
      </c>
      <c r="D12952" s="0" t="s">
        <v>43018</v>
      </c>
      <c r="E12952" s="0" t="s">
        <v>75</v>
      </c>
      <c r="F12952" s="0" t="s">
        <v>90</v>
      </c>
      <c r="G12952" s="0" t="s">
        <v>20</v>
      </c>
      <c r="H12952" s="0" t="n">
        <v>14</v>
      </c>
      <c r="I12952" s="0" t="s">
        <v>43019</v>
      </c>
      <c r="J12952" s="0" t="s">
        <v>43020</v>
      </c>
      <c r="K12952" s="0" t="s">
        <v>43021</v>
      </c>
      <c r="L12952" s="0" t="str">
        <f aca="false">HYPERLINK("https://www.ncbi.nlm.nih.gov/nuccore/CP000058.1?report=graph&amp;tracks=[key:gene_model_track,Options:GeneOnly]&amp;mk=4054478:4054497|offset_14|00cc00,4054455:4054474|offset_37|444444,4054434:4054453|offset_58|444444,4054373:4054392|offset_119|444444&amp;v=4054277:4054592&amp;c=444444", "offset 14")</f>
        <v>offset 14</v>
      </c>
    </row>
    <row r="12953" customFormat="false" ht="12.8" hidden="false" customHeight="false" outlineLevel="0" collapsed="false">
      <c r="A12953" s="0" t="s">
        <v>12</v>
      </c>
      <c r="B12953" s="0" t="n">
        <v>4054454</v>
      </c>
      <c r="C12953" s="0" t="n">
        <v>4054474</v>
      </c>
      <c r="D12953" s="0" t="s">
        <v>43018</v>
      </c>
      <c r="E12953" s="0" t="s">
        <v>75</v>
      </c>
      <c r="F12953" s="0" t="s">
        <v>90</v>
      </c>
      <c r="G12953" s="0" t="s">
        <v>16</v>
      </c>
      <c r="H12953" s="0" t="n">
        <v>37</v>
      </c>
      <c r="I12953" s="0" t="s">
        <v>43022</v>
      </c>
      <c r="J12953" s="0" t="s">
        <v>43023</v>
      </c>
      <c r="K12953" s="0" t="s">
        <v>43024</v>
      </c>
      <c r="L12953" s="0" t="str">
        <f aca="false">HYPERLINK("https://www.ncbi.nlm.nih.gov/nuccore/CP000058.1?report=graph&amp;tracks=[key:gene_model_track,Options:GeneOnly]&amp;mk=4054478:4054497|offset_14|444444,4054455:4054474|offset_37|00cc00,4054434:4054453|offset_58|444444,4054373:4054392|offset_119|444444&amp;v=4054277:4054592&amp;c=444444", "offset 37")</f>
        <v>offset 37</v>
      </c>
    </row>
    <row r="12954" customFormat="false" ht="12.8" hidden="false" customHeight="false" outlineLevel="0" collapsed="false">
      <c r="A12954" s="0" t="s">
        <v>12</v>
      </c>
      <c r="B12954" s="0" t="n">
        <v>4054433</v>
      </c>
      <c r="C12954" s="0" t="n">
        <v>4054453</v>
      </c>
      <c r="D12954" s="0" t="s">
        <v>43018</v>
      </c>
      <c r="E12954" s="0" t="s">
        <v>75</v>
      </c>
      <c r="F12954" s="0" t="s">
        <v>90</v>
      </c>
      <c r="G12954" s="0" t="s">
        <v>20</v>
      </c>
      <c r="H12954" s="0" t="n">
        <v>58</v>
      </c>
      <c r="I12954" s="0" t="s">
        <v>43025</v>
      </c>
      <c r="J12954" s="0" t="s">
        <v>43026</v>
      </c>
      <c r="K12954" s="0" t="s">
        <v>43027</v>
      </c>
      <c r="L12954" s="0" t="str">
        <f aca="false">HYPERLINK("https://www.ncbi.nlm.nih.gov/nuccore/CP000058.1?report=graph&amp;tracks=[key:gene_model_track,Options:GeneOnly]&amp;mk=4054478:4054497|offset_14|444444,4054455:4054474|offset_37|444444,4054434:4054453|offset_58|00cc00,4054373:4054392|offset_119|444444&amp;v=4054277:4054592&amp;c=444444", "offset 58")</f>
        <v>offset 58</v>
      </c>
    </row>
    <row r="12955" customFormat="false" ht="12.8" hidden="false" customHeight="false" outlineLevel="0" collapsed="false">
      <c r="A12955" s="0" t="s">
        <v>12</v>
      </c>
      <c r="B12955" s="0" t="n">
        <v>4054372</v>
      </c>
      <c r="C12955" s="0" t="n">
        <v>4054392</v>
      </c>
      <c r="D12955" s="0" t="s">
        <v>43018</v>
      </c>
      <c r="E12955" s="0" t="s">
        <v>75</v>
      </c>
      <c r="F12955" s="0" t="s">
        <v>90</v>
      </c>
      <c r="G12955" s="0" t="s">
        <v>16</v>
      </c>
      <c r="H12955" s="0" t="n">
        <v>119</v>
      </c>
      <c r="I12955" s="0" t="s">
        <v>43028</v>
      </c>
      <c r="J12955" s="0" t="s">
        <v>43029</v>
      </c>
      <c r="K12955" s="0" t="s">
        <v>43030</v>
      </c>
      <c r="L12955" s="0" t="str">
        <f aca="false">HYPERLINK("https://www.ncbi.nlm.nih.gov/nuccore/CP000058.1?report=graph&amp;tracks=[key:gene_model_track,Options:GeneOnly]&amp;mk=4054478:4054497|offset_14|444444,4054455:4054474|offset_37|444444,4054434:4054453|offset_58|444444,4054373:4054392|offset_119|00cc00&amp;v=4054277:4054592&amp;c=444444", "offset 119")</f>
        <v>offset 119</v>
      </c>
    </row>
    <row r="12956" customFormat="false" ht="12.8" hidden="false" customHeight="false" outlineLevel="0" collapsed="false">
      <c r="A12956" s="0" t="s">
        <v>12</v>
      </c>
      <c r="B12956" s="0" t="n">
        <v>4055899</v>
      </c>
      <c r="C12956" s="0" t="n">
        <v>4055919</v>
      </c>
      <c r="D12956" s="0" t="s">
        <v>43031</v>
      </c>
      <c r="E12956" s="0" t="s">
        <v>43032</v>
      </c>
      <c r="F12956" s="0" t="s">
        <v>90</v>
      </c>
      <c r="G12956" s="0" t="s">
        <v>16</v>
      </c>
      <c r="H12956" s="0" t="n">
        <v>0</v>
      </c>
      <c r="I12956" s="0" t="s">
        <v>43033</v>
      </c>
      <c r="J12956" s="0" t="s">
        <v>43034</v>
      </c>
      <c r="K12956" s="0" t="s">
        <v>43035</v>
      </c>
      <c r="L12956" s="0" t="str">
        <f aca="false">HYPERLINK("https://www.ncbi.nlm.nih.gov/nuccore/CP000058.1?report=graph&amp;tracks=[key:gene_model_track,Options:GeneOnly]&amp;mk=4055900:4055919|offset_0|00cc00,4055858:4055877|offset_42|444444,4055833:4055852|offset_67|444444,4055802:4055821|offset_98|444444&amp;v=4055699:4056021&amp;c=444444", "offset 0")</f>
        <v>offset 0</v>
      </c>
    </row>
    <row r="12957" customFormat="false" ht="12.8" hidden="false" customHeight="false" outlineLevel="0" collapsed="false">
      <c r="A12957" s="0" t="s">
        <v>12</v>
      </c>
      <c r="B12957" s="0" t="n">
        <v>4055857</v>
      </c>
      <c r="C12957" s="0" t="n">
        <v>4055877</v>
      </c>
      <c r="D12957" s="0" t="s">
        <v>43031</v>
      </c>
      <c r="E12957" s="0" t="s">
        <v>43032</v>
      </c>
      <c r="F12957" s="0" t="s">
        <v>90</v>
      </c>
      <c r="G12957" s="0" t="s">
        <v>32</v>
      </c>
      <c r="H12957" s="0" t="n">
        <v>42</v>
      </c>
      <c r="I12957" s="0" t="s">
        <v>43036</v>
      </c>
      <c r="J12957" s="0" t="s">
        <v>43037</v>
      </c>
      <c r="K12957" s="0" t="s">
        <v>43038</v>
      </c>
      <c r="L12957" s="0" t="str">
        <f aca="false">HYPERLINK("https://www.ncbi.nlm.nih.gov/nuccore/CP000058.1?report=graph&amp;tracks=[key:gene_model_track,Options:GeneOnly]&amp;mk=4055900:4055919|offset_0|444444,4055858:4055877|offset_42|00cc00,4055833:4055852|offset_67|444444,4055802:4055821|offset_98|444444&amp;v=4055699:4056021&amp;c=444444", "offset 42")</f>
        <v>offset 42</v>
      </c>
    </row>
    <row r="12958" customFormat="false" ht="12.8" hidden="false" customHeight="false" outlineLevel="0" collapsed="false">
      <c r="A12958" s="0" t="s">
        <v>12</v>
      </c>
      <c r="B12958" s="0" t="n">
        <v>4055832</v>
      </c>
      <c r="C12958" s="0" t="n">
        <v>4055852</v>
      </c>
      <c r="D12958" s="0" t="s">
        <v>43031</v>
      </c>
      <c r="E12958" s="0" t="s">
        <v>43032</v>
      </c>
      <c r="F12958" s="0" t="s">
        <v>90</v>
      </c>
      <c r="G12958" s="0" t="s">
        <v>20</v>
      </c>
      <c r="H12958" s="0" t="n">
        <v>67</v>
      </c>
      <c r="I12958" s="0" t="s">
        <v>43039</v>
      </c>
      <c r="J12958" s="0" t="s">
        <v>43040</v>
      </c>
      <c r="K12958" s="0" t="s">
        <v>43041</v>
      </c>
      <c r="L12958" s="0" t="str">
        <f aca="false">HYPERLINK("https://www.ncbi.nlm.nih.gov/nuccore/CP000058.1?report=graph&amp;tracks=[key:gene_model_track,Options:GeneOnly]&amp;mk=4055900:4055919|offset_0|444444,4055858:4055877|offset_42|444444,4055833:4055852|offset_67|00cc00,4055802:4055821|offset_98|444444&amp;v=4055699:4056021&amp;c=444444", "offset 67")</f>
        <v>offset 67</v>
      </c>
    </row>
    <row r="12959" customFormat="false" ht="12.8" hidden="false" customHeight="false" outlineLevel="0" collapsed="false">
      <c r="A12959" s="0" t="s">
        <v>12</v>
      </c>
      <c r="B12959" s="0" t="n">
        <v>4055801</v>
      </c>
      <c r="C12959" s="0" t="n">
        <v>4055821</v>
      </c>
      <c r="D12959" s="0" t="s">
        <v>43031</v>
      </c>
      <c r="E12959" s="0" t="s">
        <v>43032</v>
      </c>
      <c r="F12959" s="0" t="s">
        <v>90</v>
      </c>
      <c r="G12959" s="0" t="s">
        <v>32</v>
      </c>
      <c r="H12959" s="0" t="n">
        <v>98</v>
      </c>
      <c r="I12959" s="0" t="s">
        <v>43042</v>
      </c>
      <c r="J12959" s="0" t="s">
        <v>43043</v>
      </c>
      <c r="K12959" s="0" t="s">
        <v>43044</v>
      </c>
      <c r="L12959" s="0" t="str">
        <f aca="false">HYPERLINK("https://www.ncbi.nlm.nih.gov/nuccore/CP000058.1?report=graph&amp;tracks=[key:gene_model_track,Options:GeneOnly]&amp;mk=4055900:4055919|offset_0|444444,4055858:4055877|offset_42|444444,4055833:4055852|offset_67|444444,4055802:4055821|offset_98|00cc00&amp;v=4055699:4056021&amp;c=444444", "offset 98")</f>
        <v>offset 98</v>
      </c>
    </row>
    <row r="12960" customFormat="false" ht="12.8" hidden="false" customHeight="false" outlineLevel="0" collapsed="false">
      <c r="A12960" s="0" t="s">
        <v>12</v>
      </c>
      <c r="B12960" s="0" t="n">
        <v>4057404</v>
      </c>
      <c r="C12960" s="0" t="n">
        <v>4057424</v>
      </c>
      <c r="D12960" s="0" t="s">
        <v>43045</v>
      </c>
      <c r="E12960" s="0" t="s">
        <v>43046</v>
      </c>
      <c r="F12960" s="0" t="s">
        <v>90</v>
      </c>
      <c r="G12960" s="0" t="s">
        <v>36</v>
      </c>
      <c r="H12960" s="0" t="n">
        <v>10</v>
      </c>
      <c r="I12960" s="0" t="s">
        <v>43047</v>
      </c>
      <c r="J12960" s="0" t="s">
        <v>43048</v>
      </c>
      <c r="K12960" s="0" t="s">
        <v>43049</v>
      </c>
      <c r="L12960" s="0" t="str">
        <f aca="false">HYPERLINK("https://www.ncbi.nlm.nih.gov/nuccore/CP000058.1?report=graph&amp;tracks=[key:gene_model_track,Options:GeneOnly]&amp;mk=4057405:4057424|offset_10|00cc00,4057378:4057397|offset_37|444444,4057347:4057366|offset_68|444444,4057321:4057340|offset_94|444444&amp;v=4057204:4057540&amp;c=444444", "offset 10")</f>
        <v>offset 10</v>
      </c>
    </row>
    <row r="12961" customFormat="false" ht="12.8" hidden="false" customHeight="false" outlineLevel="0" collapsed="false">
      <c r="A12961" s="0" t="s">
        <v>12</v>
      </c>
      <c r="B12961" s="0" t="n">
        <v>4057377</v>
      </c>
      <c r="C12961" s="0" t="n">
        <v>4057397</v>
      </c>
      <c r="D12961" s="0" t="s">
        <v>43045</v>
      </c>
      <c r="E12961" s="0" t="s">
        <v>43046</v>
      </c>
      <c r="F12961" s="0" t="s">
        <v>90</v>
      </c>
      <c r="G12961" s="0" t="s">
        <v>16</v>
      </c>
      <c r="H12961" s="0" t="n">
        <v>37</v>
      </c>
      <c r="I12961" s="0" t="s">
        <v>43050</v>
      </c>
      <c r="J12961" s="0" t="s">
        <v>43051</v>
      </c>
      <c r="K12961" s="0" t="s">
        <v>43052</v>
      </c>
      <c r="L12961" s="0" t="str">
        <f aca="false">HYPERLINK("https://www.ncbi.nlm.nih.gov/nuccore/CP000058.1?report=graph&amp;tracks=[key:gene_model_track,Options:GeneOnly]&amp;mk=4057405:4057424|offset_10|444444,4057378:4057397|offset_37|00cc00,4057347:4057366|offset_68|444444,4057321:4057340|offset_94|444444&amp;v=4057204:4057540&amp;c=444444", "offset 37")</f>
        <v>offset 37</v>
      </c>
    </row>
    <row r="12962" customFormat="false" ht="12.8" hidden="false" customHeight="false" outlineLevel="0" collapsed="false">
      <c r="A12962" s="0" t="s">
        <v>12</v>
      </c>
      <c r="B12962" s="0" t="n">
        <v>4057346</v>
      </c>
      <c r="C12962" s="0" t="n">
        <v>4057366</v>
      </c>
      <c r="D12962" s="0" t="s">
        <v>43045</v>
      </c>
      <c r="E12962" s="0" t="s">
        <v>43046</v>
      </c>
      <c r="F12962" s="0" t="s">
        <v>90</v>
      </c>
      <c r="G12962" s="0" t="s">
        <v>36</v>
      </c>
      <c r="H12962" s="0" t="n">
        <v>68</v>
      </c>
      <c r="I12962" s="0" t="s">
        <v>43053</v>
      </c>
      <c r="J12962" s="0" t="s">
        <v>43054</v>
      </c>
      <c r="K12962" s="0" t="s">
        <v>43055</v>
      </c>
      <c r="L12962" s="0" t="str">
        <f aca="false">HYPERLINK("https://www.ncbi.nlm.nih.gov/nuccore/CP000058.1?report=graph&amp;tracks=[key:gene_model_track,Options:GeneOnly]&amp;mk=4057405:4057424|offset_10|444444,4057378:4057397|offset_37|444444,4057347:4057366|offset_68|00cc00,4057321:4057340|offset_94|444444&amp;v=4057204:4057540&amp;c=444444", "offset 68")</f>
        <v>offset 68</v>
      </c>
    </row>
    <row r="12963" customFormat="false" ht="12.8" hidden="false" customHeight="false" outlineLevel="0" collapsed="false">
      <c r="A12963" s="0" t="s">
        <v>12</v>
      </c>
      <c r="B12963" s="0" t="n">
        <v>4057320</v>
      </c>
      <c r="C12963" s="0" t="n">
        <v>4057340</v>
      </c>
      <c r="D12963" s="0" t="s">
        <v>43045</v>
      </c>
      <c r="E12963" s="0" t="s">
        <v>43046</v>
      </c>
      <c r="F12963" s="0" t="s">
        <v>90</v>
      </c>
      <c r="G12963" s="0" t="s">
        <v>16</v>
      </c>
      <c r="H12963" s="0" t="n">
        <v>94</v>
      </c>
      <c r="I12963" s="0" t="s">
        <v>43056</v>
      </c>
      <c r="J12963" s="0" t="s">
        <v>43057</v>
      </c>
      <c r="K12963" s="0" t="s">
        <v>43058</v>
      </c>
      <c r="L12963" s="0" t="str">
        <f aca="false">HYPERLINK("https://www.ncbi.nlm.nih.gov/nuccore/CP000058.1?report=graph&amp;tracks=[key:gene_model_track,Options:GeneOnly]&amp;mk=4057405:4057424|offset_10|444444,4057378:4057397|offset_37|444444,4057347:4057366|offset_68|444444,4057321:4057340|offset_94|00cc00&amp;v=4057204:4057540&amp;c=444444", "offset 94")</f>
        <v>offset 94</v>
      </c>
    </row>
    <row r="12964" customFormat="false" ht="12.8" hidden="false" customHeight="false" outlineLevel="0" collapsed="false">
      <c r="A12964" s="0" t="s">
        <v>12</v>
      </c>
      <c r="B12964" s="0" t="n">
        <v>4058424</v>
      </c>
      <c r="C12964" s="0" t="n">
        <v>4058444</v>
      </c>
      <c r="D12964" s="0" t="s">
        <v>43059</v>
      </c>
      <c r="E12964" s="0" t="s">
        <v>43060</v>
      </c>
      <c r="F12964" s="0" t="s">
        <v>90</v>
      </c>
      <c r="G12964" s="0" t="s">
        <v>20</v>
      </c>
      <c r="H12964" s="0" t="n">
        <v>15</v>
      </c>
      <c r="I12964" s="0" t="s">
        <v>43061</v>
      </c>
      <c r="J12964" s="0" t="s">
        <v>43062</v>
      </c>
      <c r="K12964" s="0" t="s">
        <v>43063</v>
      </c>
      <c r="L12964" s="0" t="str">
        <f aca="false">HYPERLINK("https://www.ncbi.nlm.nih.gov/nuccore/CP000058.1?report=graph&amp;tracks=[key:gene_model_track,Options:GeneOnly]&amp;mk=4058425:4058444|offset_15|00cc00,4058404:4058423|offset_36|444444,4058376:4058395|offset_64|444444,4058353:4058372|offset_87|444444&amp;v=4058224:4058572&amp;c=444444", "offset 15")</f>
        <v>offset 15</v>
      </c>
    </row>
    <row r="12965" customFormat="false" ht="12.8" hidden="false" customHeight="false" outlineLevel="0" collapsed="false">
      <c r="A12965" s="0" t="s">
        <v>12</v>
      </c>
      <c r="B12965" s="0" t="n">
        <v>4058403</v>
      </c>
      <c r="C12965" s="0" t="n">
        <v>4058423</v>
      </c>
      <c r="D12965" s="0" t="s">
        <v>43059</v>
      </c>
      <c r="E12965" s="0" t="s">
        <v>43060</v>
      </c>
      <c r="F12965" s="0" t="s">
        <v>90</v>
      </c>
      <c r="G12965" s="0" t="s">
        <v>20</v>
      </c>
      <c r="H12965" s="0" t="n">
        <v>36</v>
      </c>
      <c r="I12965" s="0" t="s">
        <v>43064</v>
      </c>
      <c r="J12965" s="0" t="s">
        <v>43065</v>
      </c>
      <c r="K12965" s="0" t="s">
        <v>43066</v>
      </c>
      <c r="L12965" s="0" t="str">
        <f aca="false">HYPERLINK("https://www.ncbi.nlm.nih.gov/nuccore/CP000058.1?report=graph&amp;tracks=[key:gene_model_track,Options:GeneOnly]&amp;mk=4058425:4058444|offset_15|444444,4058404:4058423|offset_36|00cc00,4058376:4058395|offset_64|444444,4058353:4058372|offset_87|444444&amp;v=4058224:4058572&amp;c=444444", "offset 36")</f>
        <v>offset 36</v>
      </c>
    </row>
    <row r="12966" customFormat="false" ht="12.8" hidden="false" customHeight="false" outlineLevel="0" collapsed="false">
      <c r="A12966" s="0" t="s">
        <v>12</v>
      </c>
      <c r="B12966" s="0" t="n">
        <v>4058375</v>
      </c>
      <c r="C12966" s="0" t="n">
        <v>4058395</v>
      </c>
      <c r="D12966" s="0" t="s">
        <v>43059</v>
      </c>
      <c r="E12966" s="0" t="s">
        <v>43060</v>
      </c>
      <c r="F12966" s="0" t="s">
        <v>90</v>
      </c>
      <c r="G12966" s="0" t="s">
        <v>16</v>
      </c>
      <c r="H12966" s="0" t="n">
        <v>64</v>
      </c>
      <c r="I12966" s="0" t="s">
        <v>43067</v>
      </c>
      <c r="J12966" s="0" t="s">
        <v>43068</v>
      </c>
      <c r="K12966" s="0" t="s">
        <v>43069</v>
      </c>
      <c r="L12966" s="0" t="str">
        <f aca="false">HYPERLINK("https://www.ncbi.nlm.nih.gov/nuccore/CP000058.1?report=graph&amp;tracks=[key:gene_model_track,Options:GeneOnly]&amp;mk=4058425:4058444|offset_15|444444,4058404:4058423|offset_36|444444,4058376:4058395|offset_64|00cc00,4058353:4058372|offset_87|444444&amp;v=4058224:4058572&amp;c=444444", "offset 64")</f>
        <v>offset 64</v>
      </c>
    </row>
    <row r="12967" customFormat="false" ht="12.8" hidden="false" customHeight="false" outlineLevel="0" collapsed="false">
      <c r="A12967" s="0" t="s">
        <v>12</v>
      </c>
      <c r="B12967" s="0" t="n">
        <v>4058352</v>
      </c>
      <c r="C12967" s="0" t="n">
        <v>4058372</v>
      </c>
      <c r="D12967" s="0" t="s">
        <v>43059</v>
      </c>
      <c r="E12967" s="0" t="s">
        <v>43060</v>
      </c>
      <c r="F12967" s="0" t="s">
        <v>90</v>
      </c>
      <c r="G12967" s="0" t="s">
        <v>36</v>
      </c>
      <c r="H12967" s="0" t="n">
        <v>87</v>
      </c>
      <c r="I12967" s="0" t="s">
        <v>43070</v>
      </c>
      <c r="J12967" s="0" t="s">
        <v>43071</v>
      </c>
      <c r="K12967" s="0" t="s">
        <v>43072</v>
      </c>
      <c r="L12967" s="0" t="str">
        <f aca="false">HYPERLINK("https://www.ncbi.nlm.nih.gov/nuccore/CP000058.1?report=graph&amp;tracks=[key:gene_model_track,Options:GeneOnly]&amp;mk=4058425:4058444|offset_15|444444,4058404:4058423|offset_36|444444,4058376:4058395|offset_64|444444,4058353:4058372|offset_87|00cc00&amp;v=4058224:4058572&amp;c=444444", "offset 87")</f>
        <v>offset 87</v>
      </c>
    </row>
    <row r="12968" customFormat="false" ht="12.8" hidden="false" customHeight="false" outlineLevel="0" collapsed="false">
      <c r="A12968" s="0" t="s">
        <v>12</v>
      </c>
      <c r="B12968" s="0" t="n">
        <v>4059533</v>
      </c>
      <c r="C12968" s="0" t="n">
        <v>4059553</v>
      </c>
      <c r="D12968" s="0" t="s">
        <v>43073</v>
      </c>
      <c r="E12968" s="0" t="s">
        <v>43074</v>
      </c>
      <c r="F12968" s="0" t="s">
        <v>90</v>
      </c>
      <c r="G12968" s="0" t="s">
        <v>32</v>
      </c>
      <c r="H12968" s="0" t="n">
        <v>1</v>
      </c>
      <c r="I12968" s="0" t="s">
        <v>43075</v>
      </c>
      <c r="J12968" s="0" t="s">
        <v>43076</v>
      </c>
      <c r="K12968" s="0" t="s">
        <v>43077</v>
      </c>
      <c r="L12968" s="0" t="str">
        <f aca="false">HYPERLINK("https://www.ncbi.nlm.nih.gov/nuccore/CP000058.1?report=graph&amp;tracks=[key:gene_model_track,Options:GeneOnly]&amp;mk=4059534:4059553|offset_1|00cc00,4059495:4059514|offset_40|444444,4059474:4059493|offset_61|444444,4059450:4059469|offset_85|444444&amp;v=4059333:4059669&amp;c=444444", "offset 1")</f>
        <v>offset 1</v>
      </c>
    </row>
    <row r="12969" customFormat="false" ht="12.8" hidden="false" customHeight="false" outlineLevel="0" collapsed="false">
      <c r="A12969" s="0" t="s">
        <v>12</v>
      </c>
      <c r="B12969" s="0" t="n">
        <v>4059494</v>
      </c>
      <c r="C12969" s="0" t="n">
        <v>4059514</v>
      </c>
      <c r="D12969" s="0" t="s">
        <v>43073</v>
      </c>
      <c r="E12969" s="0" t="s">
        <v>43074</v>
      </c>
      <c r="F12969" s="0" t="s">
        <v>90</v>
      </c>
      <c r="G12969" s="0" t="s">
        <v>16</v>
      </c>
      <c r="H12969" s="0" t="n">
        <v>40</v>
      </c>
      <c r="I12969" s="0" t="s">
        <v>43078</v>
      </c>
      <c r="J12969" s="0" t="s">
        <v>43079</v>
      </c>
      <c r="K12969" s="0" t="s">
        <v>43080</v>
      </c>
      <c r="L12969" s="0" t="str">
        <f aca="false">HYPERLINK("https://www.ncbi.nlm.nih.gov/nuccore/CP000058.1?report=graph&amp;tracks=[key:gene_model_track,Options:GeneOnly]&amp;mk=4059534:4059553|offset_1|444444,4059495:4059514|offset_40|00cc00,4059474:4059493|offset_61|444444,4059450:4059469|offset_85|444444&amp;v=4059333:4059669&amp;c=444444", "offset 40")</f>
        <v>offset 40</v>
      </c>
    </row>
    <row r="12970" customFormat="false" ht="12.8" hidden="false" customHeight="false" outlineLevel="0" collapsed="false">
      <c r="A12970" s="0" t="s">
        <v>12</v>
      </c>
      <c r="B12970" s="0" t="n">
        <v>4059473</v>
      </c>
      <c r="C12970" s="0" t="n">
        <v>4059493</v>
      </c>
      <c r="D12970" s="0" t="s">
        <v>43073</v>
      </c>
      <c r="E12970" s="0" t="s">
        <v>43074</v>
      </c>
      <c r="F12970" s="0" t="s">
        <v>90</v>
      </c>
      <c r="G12970" s="0" t="s">
        <v>16</v>
      </c>
      <c r="H12970" s="0" t="n">
        <v>61</v>
      </c>
      <c r="I12970" s="0" t="s">
        <v>43081</v>
      </c>
      <c r="J12970" s="0" t="s">
        <v>43082</v>
      </c>
      <c r="K12970" s="0" t="s">
        <v>43083</v>
      </c>
      <c r="L12970" s="0" t="str">
        <f aca="false">HYPERLINK("https://www.ncbi.nlm.nih.gov/nuccore/CP000058.1?report=graph&amp;tracks=[key:gene_model_track,Options:GeneOnly]&amp;mk=4059534:4059553|offset_1|444444,4059495:4059514|offset_40|444444,4059474:4059493|offset_61|00cc00,4059450:4059469|offset_85|444444&amp;v=4059333:4059669&amp;c=444444", "offset 61")</f>
        <v>offset 61</v>
      </c>
    </row>
    <row r="12971" customFormat="false" ht="12.8" hidden="false" customHeight="false" outlineLevel="0" collapsed="false">
      <c r="A12971" s="0" t="s">
        <v>12</v>
      </c>
      <c r="B12971" s="0" t="n">
        <v>4059449</v>
      </c>
      <c r="C12971" s="0" t="n">
        <v>4059469</v>
      </c>
      <c r="D12971" s="0" t="s">
        <v>43073</v>
      </c>
      <c r="E12971" s="0" t="s">
        <v>43074</v>
      </c>
      <c r="F12971" s="0" t="s">
        <v>90</v>
      </c>
      <c r="G12971" s="0" t="s">
        <v>20</v>
      </c>
      <c r="H12971" s="0" t="n">
        <v>85</v>
      </c>
      <c r="I12971" s="0" t="s">
        <v>43084</v>
      </c>
      <c r="J12971" s="0" t="s">
        <v>43085</v>
      </c>
      <c r="K12971" s="0" t="s">
        <v>43086</v>
      </c>
      <c r="L12971" s="0" t="str">
        <f aca="false">HYPERLINK("https://www.ncbi.nlm.nih.gov/nuccore/CP000058.1?report=graph&amp;tracks=[key:gene_model_track,Options:GeneOnly]&amp;mk=4059534:4059553|offset_1|444444,4059495:4059514|offset_40|444444,4059474:4059493|offset_61|444444,4059450:4059469|offset_85|00cc00&amp;v=4059333:4059669&amp;c=444444", "offset 85")</f>
        <v>offset 85</v>
      </c>
    </row>
    <row r="12972" customFormat="false" ht="12.8" hidden="false" customHeight="false" outlineLevel="0" collapsed="false">
      <c r="A12972" s="0" t="s">
        <v>12</v>
      </c>
      <c r="B12972" s="0" t="n">
        <v>4060885</v>
      </c>
      <c r="C12972" s="0" t="n">
        <v>4060905</v>
      </c>
      <c r="D12972" s="0" t="s">
        <v>43087</v>
      </c>
      <c r="E12972" s="0" t="s">
        <v>43088</v>
      </c>
      <c r="F12972" s="0" t="s">
        <v>90</v>
      </c>
      <c r="G12972" s="0" t="s">
        <v>16</v>
      </c>
      <c r="H12972" s="0" t="n">
        <v>0</v>
      </c>
      <c r="I12972" s="0" t="s">
        <v>43089</v>
      </c>
      <c r="J12972" s="0" t="s">
        <v>43090</v>
      </c>
      <c r="K12972" s="0" t="s">
        <v>43091</v>
      </c>
      <c r="L12972" s="0" t="str">
        <f aca="false">HYPERLINK("https://www.ncbi.nlm.nih.gov/nuccore/CP000058.1?report=graph&amp;tracks=[key:gene_model_track,Options:GeneOnly]&amp;mk=4060886:4060905|offset_0|00cc00,4060852:4060871|offset_34|444444,4060830:4060849|offset_56|444444,4060802:4060821|offset_84|444444&amp;v=4060685:4061021&amp;c=444444", "offset 0")</f>
        <v>offset 0</v>
      </c>
    </row>
    <row r="12973" customFormat="false" ht="12.8" hidden="false" customHeight="false" outlineLevel="0" collapsed="false">
      <c r="A12973" s="0" t="s">
        <v>12</v>
      </c>
      <c r="B12973" s="0" t="n">
        <v>4060851</v>
      </c>
      <c r="C12973" s="0" t="n">
        <v>4060871</v>
      </c>
      <c r="D12973" s="0" t="s">
        <v>43087</v>
      </c>
      <c r="E12973" s="0" t="s">
        <v>43088</v>
      </c>
      <c r="F12973" s="0" t="s">
        <v>90</v>
      </c>
      <c r="G12973" s="0" t="s">
        <v>16</v>
      </c>
      <c r="H12973" s="0" t="n">
        <v>34</v>
      </c>
      <c r="I12973" s="0" t="s">
        <v>43092</v>
      </c>
      <c r="J12973" s="0" t="s">
        <v>43093</v>
      </c>
      <c r="K12973" s="0" t="s">
        <v>43094</v>
      </c>
      <c r="L12973" s="0" t="str">
        <f aca="false">HYPERLINK("https://www.ncbi.nlm.nih.gov/nuccore/CP000058.1?report=graph&amp;tracks=[key:gene_model_track,Options:GeneOnly]&amp;mk=4060886:4060905|offset_0|444444,4060852:4060871|offset_34|00cc00,4060830:4060849|offset_56|444444,4060802:4060821|offset_84|444444&amp;v=4060685:4061021&amp;c=444444", "offset 34")</f>
        <v>offset 34</v>
      </c>
    </row>
    <row r="12974" customFormat="false" ht="12.8" hidden="false" customHeight="false" outlineLevel="0" collapsed="false">
      <c r="A12974" s="0" t="s">
        <v>12</v>
      </c>
      <c r="B12974" s="0" t="n">
        <v>4060829</v>
      </c>
      <c r="C12974" s="0" t="n">
        <v>4060849</v>
      </c>
      <c r="D12974" s="0" t="s">
        <v>43087</v>
      </c>
      <c r="E12974" s="0" t="s">
        <v>43088</v>
      </c>
      <c r="F12974" s="0" t="s">
        <v>90</v>
      </c>
      <c r="G12974" s="0" t="s">
        <v>36</v>
      </c>
      <c r="H12974" s="0" t="n">
        <v>56</v>
      </c>
      <c r="I12974" s="0" t="s">
        <v>43095</v>
      </c>
      <c r="J12974" s="0" t="s">
        <v>43096</v>
      </c>
      <c r="K12974" s="0" t="s">
        <v>43097</v>
      </c>
      <c r="L12974" s="0" t="str">
        <f aca="false">HYPERLINK("https://www.ncbi.nlm.nih.gov/nuccore/CP000058.1?report=graph&amp;tracks=[key:gene_model_track,Options:GeneOnly]&amp;mk=4060886:4060905|offset_0|444444,4060852:4060871|offset_34|444444,4060830:4060849|offset_56|00cc00,4060802:4060821|offset_84|444444&amp;v=4060685:4061021&amp;c=444444", "offset 56")</f>
        <v>offset 56</v>
      </c>
    </row>
    <row r="12975" customFormat="false" ht="12.8" hidden="false" customHeight="false" outlineLevel="0" collapsed="false">
      <c r="A12975" s="0" t="s">
        <v>12</v>
      </c>
      <c r="B12975" s="0" t="n">
        <v>4060801</v>
      </c>
      <c r="C12975" s="0" t="n">
        <v>4060821</v>
      </c>
      <c r="D12975" s="0" t="s">
        <v>43087</v>
      </c>
      <c r="E12975" s="0" t="s">
        <v>43088</v>
      </c>
      <c r="F12975" s="0" t="s">
        <v>90</v>
      </c>
      <c r="G12975" s="0" t="s">
        <v>36</v>
      </c>
      <c r="H12975" s="0" t="n">
        <v>84</v>
      </c>
      <c r="I12975" s="0" t="s">
        <v>43098</v>
      </c>
      <c r="J12975" s="0" t="s">
        <v>43099</v>
      </c>
      <c r="K12975" s="0" t="s">
        <v>43100</v>
      </c>
      <c r="L12975" s="0" t="str">
        <f aca="false">HYPERLINK("https://www.ncbi.nlm.nih.gov/nuccore/CP000058.1?report=graph&amp;tracks=[key:gene_model_track,Options:GeneOnly]&amp;mk=4060886:4060905|offset_0|444444,4060852:4060871|offset_34|444444,4060830:4060849|offset_56|444444,4060802:4060821|offset_84|00cc00&amp;v=4060685:4061021&amp;c=444444", "offset 84")</f>
        <v>offset 84</v>
      </c>
    </row>
    <row r="12976" customFormat="false" ht="12.8" hidden="false" customHeight="false" outlineLevel="0" collapsed="false">
      <c r="A12976" s="0" t="s">
        <v>12</v>
      </c>
      <c r="B12976" s="0" t="n">
        <v>4062169</v>
      </c>
      <c r="C12976" s="0" t="n">
        <v>4062189</v>
      </c>
      <c r="D12976" s="0" t="s">
        <v>43101</v>
      </c>
      <c r="E12976" s="0" t="s">
        <v>43102</v>
      </c>
      <c r="F12976" s="0" t="s">
        <v>90</v>
      </c>
      <c r="G12976" s="0" t="s">
        <v>32</v>
      </c>
      <c r="H12976" s="0" t="n">
        <v>8</v>
      </c>
      <c r="I12976" s="0" t="s">
        <v>43103</v>
      </c>
      <c r="J12976" s="0" t="s">
        <v>43104</v>
      </c>
      <c r="K12976" s="0" t="s">
        <v>43105</v>
      </c>
      <c r="L12976" s="0" t="str">
        <f aca="false">HYPERLINK("https://www.ncbi.nlm.nih.gov/nuccore/CP000058.1?report=graph&amp;tracks=[key:gene_model_track,Options:GeneOnly]&amp;mk=4062170:4062189|offset_8|00cc00,4062116:4062135|offset_62|444444,4062079:4062098|offset_99|444444,4062048:4062067|offset_130|444444&amp;v=4061969:4062267&amp;c=444444", "offset 8")</f>
        <v>offset 8</v>
      </c>
    </row>
    <row r="12977" customFormat="false" ht="12.8" hidden="false" customHeight="false" outlineLevel="0" collapsed="false">
      <c r="A12977" s="0" t="s">
        <v>12</v>
      </c>
      <c r="B12977" s="0" t="n">
        <v>4062115</v>
      </c>
      <c r="C12977" s="0" t="n">
        <v>4062135</v>
      </c>
      <c r="D12977" s="0" t="s">
        <v>43101</v>
      </c>
      <c r="E12977" s="0" t="s">
        <v>43102</v>
      </c>
      <c r="F12977" s="0" t="s">
        <v>90</v>
      </c>
      <c r="G12977" s="0" t="s">
        <v>36</v>
      </c>
      <c r="H12977" s="0" t="n">
        <v>62</v>
      </c>
      <c r="I12977" s="0" t="s">
        <v>43106</v>
      </c>
      <c r="J12977" s="0" t="s">
        <v>43107</v>
      </c>
      <c r="K12977" s="0" t="s">
        <v>43108</v>
      </c>
      <c r="L12977" s="0" t="str">
        <f aca="false">HYPERLINK("https://www.ncbi.nlm.nih.gov/nuccore/CP000058.1?report=graph&amp;tracks=[key:gene_model_track,Options:GeneOnly]&amp;mk=4062170:4062189|offset_8|444444,4062116:4062135|offset_62|00cc00,4062079:4062098|offset_99|444444,4062048:4062067|offset_130|444444&amp;v=4061969:4062267&amp;c=444444", "offset 62")</f>
        <v>offset 62</v>
      </c>
    </row>
    <row r="12978" customFormat="false" ht="12.8" hidden="false" customHeight="false" outlineLevel="0" collapsed="false">
      <c r="A12978" s="0" t="s">
        <v>12</v>
      </c>
      <c r="B12978" s="0" t="n">
        <v>4062078</v>
      </c>
      <c r="C12978" s="0" t="n">
        <v>4062098</v>
      </c>
      <c r="D12978" s="0" t="s">
        <v>43101</v>
      </c>
      <c r="E12978" s="0" t="s">
        <v>43102</v>
      </c>
      <c r="F12978" s="0" t="s">
        <v>90</v>
      </c>
      <c r="G12978" s="0" t="s">
        <v>20</v>
      </c>
      <c r="H12978" s="0" t="n">
        <v>99</v>
      </c>
      <c r="I12978" s="0" t="s">
        <v>43109</v>
      </c>
      <c r="J12978" s="0" t="s">
        <v>43110</v>
      </c>
      <c r="K12978" s="0" t="s">
        <v>43111</v>
      </c>
      <c r="L12978" s="0" t="str">
        <f aca="false">HYPERLINK("https://www.ncbi.nlm.nih.gov/nuccore/CP000058.1?report=graph&amp;tracks=[key:gene_model_track,Options:GeneOnly]&amp;mk=4062170:4062189|offset_8|444444,4062116:4062135|offset_62|444444,4062079:4062098|offset_99|00cc00,4062048:4062067|offset_130|444444&amp;v=4061969:4062267&amp;c=444444", "offset 99")</f>
        <v>offset 99</v>
      </c>
    </row>
    <row r="12979" customFormat="false" ht="12.8" hidden="false" customHeight="false" outlineLevel="0" collapsed="false">
      <c r="A12979" s="0" t="s">
        <v>12</v>
      </c>
      <c r="B12979" s="0" t="n">
        <v>4062047</v>
      </c>
      <c r="C12979" s="0" t="n">
        <v>4062067</v>
      </c>
      <c r="D12979" s="0" t="s">
        <v>43101</v>
      </c>
      <c r="E12979" s="0" t="s">
        <v>43102</v>
      </c>
      <c r="F12979" s="0" t="s">
        <v>90</v>
      </c>
      <c r="G12979" s="0" t="s">
        <v>16</v>
      </c>
      <c r="H12979" s="0" t="n">
        <v>130</v>
      </c>
      <c r="I12979" s="0" t="s">
        <v>43112</v>
      </c>
      <c r="J12979" s="0" t="s">
        <v>43113</v>
      </c>
      <c r="K12979" s="0" t="s">
        <v>43114</v>
      </c>
      <c r="L12979" s="0" t="str">
        <f aca="false">HYPERLINK("https://www.ncbi.nlm.nih.gov/nuccore/CP000058.1?report=graph&amp;tracks=[key:gene_model_track,Options:GeneOnly]&amp;mk=4062170:4062189|offset_8|444444,4062116:4062135|offset_62|444444,4062079:4062098|offset_99|444444,4062048:4062067|offset_130|00cc00&amp;v=4061969:4062267&amp;c=444444", "offset 130")</f>
        <v>offset 130</v>
      </c>
    </row>
    <row r="12980" customFormat="false" ht="12.8" hidden="false" customHeight="false" outlineLevel="0" collapsed="false">
      <c r="A12980" s="0" t="s">
        <v>12</v>
      </c>
      <c r="B12980" s="0" t="n">
        <v>4062988</v>
      </c>
      <c r="C12980" s="0" t="n">
        <v>4063008</v>
      </c>
      <c r="D12980" s="0" t="s">
        <v>43115</v>
      </c>
      <c r="E12980" s="0" t="s">
        <v>43116</v>
      </c>
      <c r="F12980" s="0" t="s">
        <v>90</v>
      </c>
      <c r="G12980" s="0" t="s">
        <v>20</v>
      </c>
      <c r="H12980" s="0" t="n">
        <v>26</v>
      </c>
      <c r="I12980" s="0" t="s">
        <v>43117</v>
      </c>
      <c r="J12980" s="0" t="s">
        <v>43118</v>
      </c>
      <c r="K12980" s="0" t="s">
        <v>43119</v>
      </c>
      <c r="L12980" s="0" t="str">
        <f aca="false">HYPERLINK("https://www.ncbi.nlm.nih.gov/nuccore/CP000058.1?report=graph&amp;tracks=[key:gene_model_track,Options:GeneOnly]&amp;mk=4062989:4063008|offset_26|00cc00,4062945:4062964|offset_70|444444,4062863:4062882|offset_152|444444,4062843:4062862|offset_172|444444&amp;v=4062788:4063062&amp;c=444444", "offset 26")</f>
        <v>offset 26</v>
      </c>
    </row>
    <row r="12981" customFormat="false" ht="12.8" hidden="false" customHeight="false" outlineLevel="0" collapsed="false">
      <c r="A12981" s="0" t="s">
        <v>12</v>
      </c>
      <c r="B12981" s="0" t="n">
        <v>4062944</v>
      </c>
      <c r="C12981" s="0" t="n">
        <v>4062964</v>
      </c>
      <c r="D12981" s="0" t="s">
        <v>43115</v>
      </c>
      <c r="E12981" s="0" t="s">
        <v>43116</v>
      </c>
      <c r="F12981" s="0" t="s">
        <v>90</v>
      </c>
      <c r="G12981" s="0" t="s">
        <v>36</v>
      </c>
      <c r="H12981" s="0" t="n">
        <v>70</v>
      </c>
      <c r="I12981" s="0" t="s">
        <v>43120</v>
      </c>
      <c r="J12981" s="0" t="s">
        <v>43121</v>
      </c>
      <c r="K12981" s="0" t="s">
        <v>43122</v>
      </c>
      <c r="L12981" s="0" t="str">
        <f aca="false">HYPERLINK("https://www.ncbi.nlm.nih.gov/nuccore/CP000058.1?report=graph&amp;tracks=[key:gene_model_track,Options:GeneOnly]&amp;mk=4062989:4063008|offset_26|444444,4062945:4062964|offset_70|00cc00,4062863:4062882|offset_152|444444,4062843:4062862|offset_172|444444&amp;v=4062788:4063062&amp;c=444444", "offset 70")</f>
        <v>offset 70</v>
      </c>
    </row>
    <row r="12982" customFormat="false" ht="12.8" hidden="false" customHeight="false" outlineLevel="0" collapsed="false">
      <c r="A12982" s="0" t="s">
        <v>12</v>
      </c>
      <c r="B12982" s="0" t="n">
        <v>4062862</v>
      </c>
      <c r="C12982" s="0" t="n">
        <v>4062882</v>
      </c>
      <c r="D12982" s="0" t="s">
        <v>43115</v>
      </c>
      <c r="E12982" s="0" t="s">
        <v>43116</v>
      </c>
      <c r="F12982" s="0" t="s">
        <v>90</v>
      </c>
      <c r="G12982" s="0" t="s">
        <v>20</v>
      </c>
      <c r="H12982" s="0" t="n">
        <v>152</v>
      </c>
      <c r="I12982" s="0" t="s">
        <v>43123</v>
      </c>
      <c r="J12982" s="0" t="s">
        <v>43124</v>
      </c>
      <c r="K12982" s="0" t="s">
        <v>43125</v>
      </c>
      <c r="L12982" s="0" t="str">
        <f aca="false">HYPERLINK("https://www.ncbi.nlm.nih.gov/nuccore/CP000058.1?report=graph&amp;tracks=[key:gene_model_track,Options:GeneOnly]&amp;mk=4062989:4063008|offset_26|444444,4062945:4062964|offset_70|444444,4062863:4062882|offset_152|00cc00,4062843:4062862|offset_172|444444&amp;v=4062788:4063062&amp;c=444444", "offset 152")</f>
        <v>offset 152</v>
      </c>
    </row>
    <row r="12983" customFormat="false" ht="12.8" hidden="false" customHeight="false" outlineLevel="0" collapsed="false">
      <c r="A12983" s="0" t="s">
        <v>12</v>
      </c>
      <c r="B12983" s="0" t="n">
        <v>4062842</v>
      </c>
      <c r="C12983" s="0" t="n">
        <v>4062862</v>
      </c>
      <c r="D12983" s="0" t="s">
        <v>43115</v>
      </c>
      <c r="E12983" s="0" t="s">
        <v>43116</v>
      </c>
      <c r="F12983" s="0" t="s">
        <v>90</v>
      </c>
      <c r="G12983" s="0" t="s">
        <v>16</v>
      </c>
      <c r="H12983" s="0" t="n">
        <v>172</v>
      </c>
      <c r="I12983" s="0" t="s">
        <v>43126</v>
      </c>
      <c r="J12983" s="0" t="s">
        <v>43127</v>
      </c>
      <c r="K12983" s="0" t="s">
        <v>43128</v>
      </c>
      <c r="L12983" s="0" t="str">
        <f aca="false">HYPERLINK("https://www.ncbi.nlm.nih.gov/nuccore/CP000058.1?report=graph&amp;tracks=[key:gene_model_track,Options:GeneOnly]&amp;mk=4062989:4063008|offset_26|444444,4062945:4062964|offset_70|444444,4062863:4062882|offset_152|444444,4062843:4062862|offset_172|00cc00&amp;v=4062788:4063062&amp;c=444444", "offset 172")</f>
        <v>offset 172</v>
      </c>
    </row>
    <row r="12984" customFormat="false" ht="12.8" hidden="false" customHeight="false" outlineLevel="0" collapsed="false">
      <c r="A12984" s="0" t="s">
        <v>12</v>
      </c>
      <c r="B12984" s="0" t="n">
        <v>4064122</v>
      </c>
      <c r="C12984" s="0" t="n">
        <v>4064142</v>
      </c>
      <c r="D12984" s="0" t="s">
        <v>43129</v>
      </c>
      <c r="E12984" s="0" t="s">
        <v>75</v>
      </c>
      <c r="F12984" s="0" t="s">
        <v>90</v>
      </c>
      <c r="G12984" s="0" t="s">
        <v>16</v>
      </c>
      <c r="H12984" s="0" t="n">
        <v>27</v>
      </c>
      <c r="I12984" s="0" t="s">
        <v>43130</v>
      </c>
      <c r="J12984" s="0" t="s">
        <v>43131</v>
      </c>
      <c r="K12984" s="0" t="s">
        <v>43132</v>
      </c>
      <c r="L12984" s="0" t="str">
        <f aca="false">HYPERLINK("https://www.ncbi.nlm.nih.gov/nuccore/CP000058.1?report=graph&amp;tracks=[key:gene_model_track,Options:GeneOnly]&amp;mk=4064123:4064142|offset_27|00cc00,4064056:4064075|offset_94|444444,4064020:4064039|offset_130|444444,4063981:4064000|offset_169|444444&amp;v=4063922:4064200&amp;c=444444", "offset 27")</f>
        <v>offset 27</v>
      </c>
    </row>
    <row r="12985" customFormat="false" ht="12.8" hidden="false" customHeight="false" outlineLevel="0" collapsed="false">
      <c r="A12985" s="0" t="s">
        <v>12</v>
      </c>
      <c r="B12985" s="0" t="n">
        <v>4064055</v>
      </c>
      <c r="C12985" s="0" t="n">
        <v>4064075</v>
      </c>
      <c r="D12985" s="0" t="s">
        <v>43129</v>
      </c>
      <c r="E12985" s="0" t="s">
        <v>75</v>
      </c>
      <c r="F12985" s="0" t="s">
        <v>90</v>
      </c>
      <c r="G12985" s="0" t="s">
        <v>20</v>
      </c>
      <c r="H12985" s="0" t="n">
        <v>94</v>
      </c>
      <c r="I12985" s="0" t="s">
        <v>43133</v>
      </c>
      <c r="J12985" s="0" t="s">
        <v>43134</v>
      </c>
      <c r="K12985" s="0" t="s">
        <v>43135</v>
      </c>
      <c r="L12985" s="0" t="str">
        <f aca="false">HYPERLINK("https://www.ncbi.nlm.nih.gov/nuccore/CP000058.1?report=graph&amp;tracks=[key:gene_model_track,Options:GeneOnly]&amp;mk=4064123:4064142|offset_27|444444,4064056:4064075|offset_94|00cc00,4064020:4064039|offset_130|444444,4063981:4064000|offset_169|444444&amp;v=4063922:4064200&amp;c=444444", "offset 94")</f>
        <v>offset 94</v>
      </c>
    </row>
    <row r="12986" customFormat="false" ht="12.8" hidden="false" customHeight="false" outlineLevel="0" collapsed="false">
      <c r="A12986" s="0" t="s">
        <v>12</v>
      </c>
      <c r="B12986" s="0" t="n">
        <v>4064019</v>
      </c>
      <c r="C12986" s="0" t="n">
        <v>4064039</v>
      </c>
      <c r="D12986" s="0" t="s">
        <v>43129</v>
      </c>
      <c r="E12986" s="0" t="s">
        <v>75</v>
      </c>
      <c r="F12986" s="0" t="s">
        <v>90</v>
      </c>
      <c r="G12986" s="0" t="s">
        <v>16</v>
      </c>
      <c r="H12986" s="0" t="n">
        <v>130</v>
      </c>
      <c r="I12986" s="0" t="s">
        <v>43136</v>
      </c>
      <c r="J12986" s="0" t="s">
        <v>43137</v>
      </c>
      <c r="K12986" s="0" t="s">
        <v>43138</v>
      </c>
      <c r="L12986" s="0" t="str">
        <f aca="false">HYPERLINK("https://www.ncbi.nlm.nih.gov/nuccore/CP000058.1?report=graph&amp;tracks=[key:gene_model_track,Options:GeneOnly]&amp;mk=4064123:4064142|offset_27|444444,4064056:4064075|offset_94|444444,4064020:4064039|offset_130|00cc00,4063981:4064000|offset_169|444444&amp;v=4063922:4064200&amp;c=444444", "offset 130")</f>
        <v>offset 130</v>
      </c>
    </row>
    <row r="12987" customFormat="false" ht="12.8" hidden="false" customHeight="false" outlineLevel="0" collapsed="false">
      <c r="A12987" s="0" t="s">
        <v>12</v>
      </c>
      <c r="B12987" s="0" t="n">
        <v>4063980</v>
      </c>
      <c r="C12987" s="0" t="n">
        <v>4064000</v>
      </c>
      <c r="D12987" s="0" t="s">
        <v>43129</v>
      </c>
      <c r="E12987" s="0" t="s">
        <v>75</v>
      </c>
      <c r="F12987" s="0" t="s">
        <v>90</v>
      </c>
      <c r="G12987" s="0" t="s">
        <v>16</v>
      </c>
      <c r="H12987" s="0" t="n">
        <v>169</v>
      </c>
      <c r="I12987" s="0" t="s">
        <v>43139</v>
      </c>
      <c r="J12987" s="0" t="s">
        <v>43140</v>
      </c>
      <c r="K12987" s="0" t="s">
        <v>43141</v>
      </c>
      <c r="L12987" s="0" t="str">
        <f aca="false">HYPERLINK("https://www.ncbi.nlm.nih.gov/nuccore/CP000058.1?report=graph&amp;tracks=[key:gene_model_track,Options:GeneOnly]&amp;mk=4064123:4064142|offset_27|444444,4064056:4064075|offset_94|444444,4064020:4064039|offset_130|444444,4063981:4064000|offset_169|00cc00&amp;v=4063922:4064200&amp;c=444444", "offset 169")</f>
        <v>offset 169</v>
      </c>
    </row>
    <row r="12988" customFormat="false" ht="12.8" hidden="false" customHeight="false" outlineLevel="0" collapsed="false">
      <c r="A12988" s="0" t="s">
        <v>12</v>
      </c>
      <c r="B12988" s="0" t="n">
        <v>4064814</v>
      </c>
      <c r="C12988" s="0" t="n">
        <v>4064834</v>
      </c>
      <c r="D12988" s="0" t="s">
        <v>43142</v>
      </c>
      <c r="E12988" s="0" t="s">
        <v>75</v>
      </c>
      <c r="F12988" s="0" t="s">
        <v>90</v>
      </c>
      <c r="G12988" s="0" t="s">
        <v>20</v>
      </c>
      <c r="H12988" s="0" t="n">
        <v>35</v>
      </c>
      <c r="I12988" s="0" t="s">
        <v>43143</v>
      </c>
      <c r="J12988" s="0" t="s">
        <v>43144</v>
      </c>
      <c r="K12988" s="0" t="s">
        <v>43145</v>
      </c>
      <c r="L12988" s="0" t="str">
        <f aca="false">HYPERLINK("https://www.ncbi.nlm.nih.gov/nuccore/CP000058.1?report=graph&amp;tracks=[key:gene_model_track,Options:GeneOnly]&amp;mk=4064815:4064834|offset_35|00cc00,4064783:4064802|offset_67|444444,4064733:4064752|offset_117|444444,4064704:4064723|offset_146|444444&amp;v=4064614:4064923&amp;c=444444", "offset 35")</f>
        <v>offset 35</v>
      </c>
    </row>
    <row r="12989" customFormat="false" ht="12.8" hidden="false" customHeight="false" outlineLevel="0" collapsed="false">
      <c r="A12989" s="0" t="s">
        <v>12</v>
      </c>
      <c r="B12989" s="0" t="n">
        <v>4064782</v>
      </c>
      <c r="C12989" s="0" t="n">
        <v>4064802</v>
      </c>
      <c r="D12989" s="0" t="s">
        <v>43142</v>
      </c>
      <c r="E12989" s="0" t="s">
        <v>75</v>
      </c>
      <c r="F12989" s="0" t="s">
        <v>90</v>
      </c>
      <c r="G12989" s="0" t="s">
        <v>36</v>
      </c>
      <c r="H12989" s="0" t="n">
        <v>67</v>
      </c>
      <c r="I12989" s="0" t="s">
        <v>43146</v>
      </c>
      <c r="J12989" s="0" t="s">
        <v>43147</v>
      </c>
      <c r="K12989" s="0" t="s">
        <v>43148</v>
      </c>
      <c r="L12989" s="0" t="str">
        <f aca="false">HYPERLINK("https://www.ncbi.nlm.nih.gov/nuccore/CP000058.1?report=graph&amp;tracks=[key:gene_model_track,Options:GeneOnly]&amp;mk=4064815:4064834|offset_35|444444,4064783:4064802|offset_67|00cc00,4064733:4064752|offset_117|444444,4064704:4064723|offset_146|444444&amp;v=4064614:4064923&amp;c=444444", "offset 67")</f>
        <v>offset 67</v>
      </c>
    </row>
    <row r="12990" customFormat="false" ht="12.8" hidden="false" customHeight="false" outlineLevel="0" collapsed="false">
      <c r="A12990" s="0" t="s">
        <v>12</v>
      </c>
      <c r="B12990" s="0" t="n">
        <v>4064732</v>
      </c>
      <c r="C12990" s="0" t="n">
        <v>4064752</v>
      </c>
      <c r="D12990" s="0" t="s">
        <v>43142</v>
      </c>
      <c r="E12990" s="0" t="s">
        <v>75</v>
      </c>
      <c r="F12990" s="0" t="s">
        <v>90</v>
      </c>
      <c r="G12990" s="0" t="s">
        <v>16</v>
      </c>
      <c r="H12990" s="0" t="n">
        <v>117</v>
      </c>
      <c r="I12990" s="0" t="s">
        <v>43149</v>
      </c>
      <c r="J12990" s="0" t="s">
        <v>43150</v>
      </c>
      <c r="K12990" s="0" t="s">
        <v>43151</v>
      </c>
      <c r="L12990" s="0" t="str">
        <f aca="false">HYPERLINK("https://www.ncbi.nlm.nih.gov/nuccore/CP000058.1?report=graph&amp;tracks=[key:gene_model_track,Options:GeneOnly]&amp;mk=4064815:4064834|offset_35|444444,4064783:4064802|offset_67|444444,4064733:4064752|offset_117|00cc00,4064704:4064723|offset_146|444444&amp;v=4064614:4064923&amp;c=444444", "offset 117")</f>
        <v>offset 117</v>
      </c>
    </row>
    <row r="12991" customFormat="false" ht="12.8" hidden="false" customHeight="false" outlineLevel="0" collapsed="false">
      <c r="A12991" s="0" t="s">
        <v>12</v>
      </c>
      <c r="B12991" s="0" t="n">
        <v>4064703</v>
      </c>
      <c r="C12991" s="0" t="n">
        <v>4064723</v>
      </c>
      <c r="D12991" s="0" t="s">
        <v>43142</v>
      </c>
      <c r="E12991" s="0" t="s">
        <v>75</v>
      </c>
      <c r="F12991" s="0" t="s">
        <v>90</v>
      </c>
      <c r="G12991" s="0" t="s">
        <v>36</v>
      </c>
      <c r="H12991" s="0" t="n">
        <v>146</v>
      </c>
      <c r="I12991" s="0" t="s">
        <v>43152</v>
      </c>
      <c r="J12991" s="0" t="s">
        <v>43153</v>
      </c>
      <c r="K12991" s="0" t="s">
        <v>43154</v>
      </c>
      <c r="L12991" s="0" t="str">
        <f aca="false">HYPERLINK("https://www.ncbi.nlm.nih.gov/nuccore/CP000058.1?report=graph&amp;tracks=[key:gene_model_track,Options:GeneOnly]&amp;mk=4064815:4064834|offset_35|444444,4064783:4064802|offset_67|444444,4064733:4064752|offset_117|444444,4064704:4064723|offset_146|00cc00&amp;v=4064614:4064923&amp;c=444444", "offset 146")</f>
        <v>offset 146</v>
      </c>
    </row>
    <row r="12992" customFormat="false" ht="12.8" hidden="false" customHeight="false" outlineLevel="0" collapsed="false">
      <c r="A12992" s="0" t="s">
        <v>12</v>
      </c>
      <c r="B12992" s="0" t="n">
        <v>4065506</v>
      </c>
      <c r="C12992" s="0" t="n">
        <v>4065526</v>
      </c>
      <c r="D12992" s="0" t="s">
        <v>43155</v>
      </c>
      <c r="E12992" s="0" t="s">
        <v>75</v>
      </c>
      <c r="F12992" s="0" t="s">
        <v>90</v>
      </c>
      <c r="G12992" s="0" t="s">
        <v>20</v>
      </c>
      <c r="H12992" s="0" t="n">
        <v>29</v>
      </c>
      <c r="I12992" s="0" t="s">
        <v>43156</v>
      </c>
      <c r="J12992" s="0" t="s">
        <v>43157</v>
      </c>
      <c r="K12992" s="0" t="s">
        <v>43158</v>
      </c>
      <c r="L12992" s="0" t="str">
        <f aca="false">HYPERLINK("https://www.ncbi.nlm.nih.gov/nuccore/CP000058.1?report=graph&amp;tracks=[key:gene_model_track,Options:GeneOnly]&amp;mk=4065507:4065526|offset_29|00cc00,4065475:4065494|offset_61|444444,4065413:4065432|offset_123|444444,4065356:4065375|offset_180|444444&amp;v=4065306:4065575&amp;c=444444", "offset 29")</f>
        <v>offset 29</v>
      </c>
    </row>
    <row r="12993" customFormat="false" ht="12.8" hidden="false" customHeight="false" outlineLevel="0" collapsed="false">
      <c r="A12993" s="0" t="s">
        <v>12</v>
      </c>
      <c r="B12993" s="0" t="n">
        <v>4065474</v>
      </c>
      <c r="C12993" s="0" t="n">
        <v>4065494</v>
      </c>
      <c r="D12993" s="0" t="s">
        <v>43155</v>
      </c>
      <c r="E12993" s="0" t="s">
        <v>75</v>
      </c>
      <c r="F12993" s="0" t="s">
        <v>90</v>
      </c>
      <c r="G12993" s="0" t="s">
        <v>36</v>
      </c>
      <c r="H12993" s="0" t="n">
        <v>61</v>
      </c>
      <c r="I12993" s="0" t="s">
        <v>43159</v>
      </c>
      <c r="J12993" s="0" t="s">
        <v>43160</v>
      </c>
      <c r="K12993" s="0" t="s">
        <v>43161</v>
      </c>
      <c r="L12993" s="0" t="str">
        <f aca="false">HYPERLINK("https://www.ncbi.nlm.nih.gov/nuccore/CP000058.1?report=graph&amp;tracks=[key:gene_model_track,Options:GeneOnly]&amp;mk=4065507:4065526|offset_29|444444,4065475:4065494|offset_61|00cc00,4065413:4065432|offset_123|444444,4065356:4065375|offset_180|444444&amp;v=4065306:4065575&amp;c=444444", "offset 61")</f>
        <v>offset 61</v>
      </c>
    </row>
    <row r="12994" customFormat="false" ht="12.8" hidden="false" customHeight="false" outlineLevel="0" collapsed="false">
      <c r="A12994" s="0" t="s">
        <v>12</v>
      </c>
      <c r="B12994" s="0" t="n">
        <v>4065412</v>
      </c>
      <c r="C12994" s="0" t="n">
        <v>4065432</v>
      </c>
      <c r="D12994" s="0" t="s">
        <v>43155</v>
      </c>
      <c r="E12994" s="0" t="s">
        <v>75</v>
      </c>
      <c r="F12994" s="0" t="s">
        <v>90</v>
      </c>
      <c r="G12994" s="0" t="s">
        <v>16</v>
      </c>
      <c r="H12994" s="0" t="n">
        <v>123</v>
      </c>
      <c r="I12994" s="0" t="s">
        <v>43162</v>
      </c>
      <c r="J12994" s="0" t="s">
        <v>43163</v>
      </c>
      <c r="K12994" s="0" t="s">
        <v>43164</v>
      </c>
      <c r="L12994" s="0" t="str">
        <f aca="false">HYPERLINK("https://www.ncbi.nlm.nih.gov/nuccore/CP000058.1?report=graph&amp;tracks=[key:gene_model_track,Options:GeneOnly]&amp;mk=4065507:4065526|offset_29|444444,4065475:4065494|offset_61|444444,4065413:4065432|offset_123|00cc00,4065356:4065375|offset_180|444444&amp;v=4065306:4065575&amp;c=444444", "offset 123")</f>
        <v>offset 123</v>
      </c>
    </row>
    <row r="12995" customFormat="false" ht="12.8" hidden="false" customHeight="false" outlineLevel="0" collapsed="false">
      <c r="A12995" s="0" t="s">
        <v>12</v>
      </c>
      <c r="B12995" s="0" t="n">
        <v>4065355</v>
      </c>
      <c r="C12995" s="0" t="n">
        <v>4065375</v>
      </c>
      <c r="D12995" s="0" t="s">
        <v>43155</v>
      </c>
      <c r="E12995" s="0" t="s">
        <v>75</v>
      </c>
      <c r="F12995" s="0" t="s">
        <v>90</v>
      </c>
      <c r="G12995" s="0" t="s">
        <v>36</v>
      </c>
      <c r="H12995" s="0" t="n">
        <v>180</v>
      </c>
      <c r="I12995" s="0" t="s">
        <v>43165</v>
      </c>
      <c r="J12995" s="0" t="s">
        <v>43166</v>
      </c>
      <c r="K12995" s="0" t="s">
        <v>43167</v>
      </c>
      <c r="L12995" s="0" t="str">
        <f aca="false">HYPERLINK("https://www.ncbi.nlm.nih.gov/nuccore/CP000058.1?report=graph&amp;tracks=[key:gene_model_track,Options:GeneOnly]&amp;mk=4065507:4065526|offset_29|444444,4065475:4065494|offset_61|444444,4065413:4065432|offset_123|444444,4065356:4065375|offset_180|00cc00&amp;v=4065306:4065575&amp;c=444444", "offset 180")</f>
        <v>offset 180</v>
      </c>
    </row>
    <row r="12996" customFormat="false" ht="12.8" hidden="false" customHeight="false" outlineLevel="0" collapsed="false">
      <c r="A12996" s="0" t="s">
        <v>12</v>
      </c>
      <c r="B12996" s="0" t="n">
        <v>4066356</v>
      </c>
      <c r="C12996" s="0" t="n">
        <v>4066376</v>
      </c>
      <c r="D12996" s="0" t="s">
        <v>43168</v>
      </c>
      <c r="E12996" s="0" t="s">
        <v>75</v>
      </c>
      <c r="F12996" s="0" t="s">
        <v>90</v>
      </c>
      <c r="G12996" s="0" t="s">
        <v>16</v>
      </c>
      <c r="H12996" s="0" t="n">
        <v>40</v>
      </c>
      <c r="I12996" s="0" t="s">
        <v>43169</v>
      </c>
      <c r="J12996" s="0" t="s">
        <v>43170</v>
      </c>
      <c r="K12996" s="0" t="s">
        <v>43171</v>
      </c>
      <c r="L12996" s="0" t="str">
        <f aca="false">HYPERLINK("https://www.ncbi.nlm.nih.gov/nuccore/CP000058.1?report=graph&amp;tracks=[key:gene_model_track,Options:GeneOnly]&amp;mk=4066357:4066376|offset_40|00cc00,4066322:4066341|offset_75|444444,4066293:4066312|offset_104|444444,4066271:4066290|offset_126|444444&amp;v=4066156:4066490&amp;c=444444", "offset 40")</f>
        <v>offset 40</v>
      </c>
    </row>
    <row r="12997" customFormat="false" ht="12.8" hidden="false" customHeight="false" outlineLevel="0" collapsed="false">
      <c r="A12997" s="0" t="s">
        <v>12</v>
      </c>
      <c r="B12997" s="0" t="n">
        <v>4066321</v>
      </c>
      <c r="C12997" s="0" t="n">
        <v>4066341</v>
      </c>
      <c r="D12997" s="0" t="s">
        <v>43168</v>
      </c>
      <c r="E12997" s="0" t="s">
        <v>75</v>
      </c>
      <c r="F12997" s="0" t="s">
        <v>90</v>
      </c>
      <c r="G12997" s="0" t="s">
        <v>16</v>
      </c>
      <c r="H12997" s="0" t="n">
        <v>75</v>
      </c>
      <c r="I12997" s="0" t="s">
        <v>43172</v>
      </c>
      <c r="J12997" s="0" t="s">
        <v>43173</v>
      </c>
      <c r="K12997" s="0" t="s">
        <v>43174</v>
      </c>
      <c r="L12997" s="0" t="str">
        <f aca="false">HYPERLINK("https://www.ncbi.nlm.nih.gov/nuccore/CP000058.1?report=graph&amp;tracks=[key:gene_model_track,Options:GeneOnly]&amp;mk=4066357:4066376|offset_40|444444,4066322:4066341|offset_75|00cc00,4066293:4066312|offset_104|444444,4066271:4066290|offset_126|444444&amp;v=4066156:4066490&amp;c=444444", "offset 75")</f>
        <v>offset 75</v>
      </c>
    </row>
    <row r="12998" customFormat="false" ht="12.8" hidden="false" customHeight="false" outlineLevel="0" collapsed="false">
      <c r="A12998" s="0" t="s">
        <v>12</v>
      </c>
      <c r="B12998" s="0" t="n">
        <v>4066292</v>
      </c>
      <c r="C12998" s="0" t="n">
        <v>4066312</v>
      </c>
      <c r="D12998" s="0" t="s">
        <v>43168</v>
      </c>
      <c r="E12998" s="0" t="s">
        <v>75</v>
      </c>
      <c r="F12998" s="0" t="s">
        <v>90</v>
      </c>
      <c r="G12998" s="0" t="s">
        <v>36</v>
      </c>
      <c r="H12998" s="0" t="n">
        <v>104</v>
      </c>
      <c r="I12998" s="0" t="s">
        <v>43175</v>
      </c>
      <c r="J12998" s="0" t="s">
        <v>43176</v>
      </c>
      <c r="K12998" s="0" t="s">
        <v>43177</v>
      </c>
      <c r="L12998" s="0" t="str">
        <f aca="false">HYPERLINK("https://www.ncbi.nlm.nih.gov/nuccore/CP000058.1?report=graph&amp;tracks=[key:gene_model_track,Options:GeneOnly]&amp;mk=4066357:4066376|offset_40|444444,4066322:4066341|offset_75|444444,4066293:4066312|offset_104|00cc00,4066271:4066290|offset_126|444444&amp;v=4066156:4066490&amp;c=444444", "offset 104")</f>
        <v>offset 104</v>
      </c>
    </row>
    <row r="12999" customFormat="false" ht="12.8" hidden="false" customHeight="false" outlineLevel="0" collapsed="false">
      <c r="A12999" s="0" t="s">
        <v>12</v>
      </c>
      <c r="B12999" s="0" t="n">
        <v>4066270</v>
      </c>
      <c r="C12999" s="0" t="n">
        <v>4066290</v>
      </c>
      <c r="D12999" s="0" t="s">
        <v>43168</v>
      </c>
      <c r="E12999" s="0" t="s">
        <v>75</v>
      </c>
      <c r="F12999" s="0" t="s">
        <v>90</v>
      </c>
      <c r="G12999" s="0" t="s">
        <v>16</v>
      </c>
      <c r="H12999" s="0" t="n">
        <v>126</v>
      </c>
      <c r="I12999" s="0" t="s">
        <v>43178</v>
      </c>
      <c r="J12999" s="0" t="s">
        <v>43179</v>
      </c>
      <c r="K12999" s="0" t="s">
        <v>43180</v>
      </c>
      <c r="L12999" s="0" t="str">
        <f aca="false">HYPERLINK("https://www.ncbi.nlm.nih.gov/nuccore/CP000058.1?report=graph&amp;tracks=[key:gene_model_track,Options:GeneOnly]&amp;mk=4066357:4066376|offset_40|444444,4066322:4066341|offset_75|444444,4066293:4066312|offset_104|444444,4066271:4066290|offset_126|00cc00&amp;v=4066156:4066490&amp;c=444444", "offset 126")</f>
        <v>offset 126</v>
      </c>
    </row>
    <row r="13000" customFormat="false" ht="12.8" hidden="false" customHeight="false" outlineLevel="0" collapsed="false">
      <c r="A13000" s="0" t="s">
        <v>12</v>
      </c>
      <c r="B13000" s="0" t="n">
        <v>4068865</v>
      </c>
      <c r="C13000" s="0" t="n">
        <v>4068885</v>
      </c>
      <c r="D13000" s="0" t="s">
        <v>43181</v>
      </c>
      <c r="E13000" s="0" t="s">
        <v>43182</v>
      </c>
      <c r="F13000" s="0" t="s">
        <v>90</v>
      </c>
      <c r="G13000" s="0" t="s">
        <v>36</v>
      </c>
      <c r="H13000" s="0" t="n">
        <v>16</v>
      </c>
      <c r="I13000" s="0" t="s">
        <v>43183</v>
      </c>
      <c r="J13000" s="0" t="s">
        <v>43184</v>
      </c>
      <c r="K13000" s="0" t="s">
        <v>43185</v>
      </c>
      <c r="L13000" s="0" t="str">
        <f aca="false">HYPERLINK("https://www.ncbi.nlm.nih.gov/nuccore/CP000058.1?report=graph&amp;tracks=[key:gene_model_track,Options:GeneOnly]&amp;mk=4068866:4068885|offset_16|00cc00,4068812:4068831|offset_70|444444,4068778:4068797|offset_104|444444,4068745:4068764|offset_137|444444&amp;v=4068665:4068964&amp;c=444444", "offset 16")</f>
        <v>offset 16</v>
      </c>
    </row>
    <row r="13001" customFormat="false" ht="12.8" hidden="false" customHeight="false" outlineLevel="0" collapsed="false">
      <c r="A13001" s="0" t="s">
        <v>12</v>
      </c>
      <c r="B13001" s="0" t="n">
        <v>4068811</v>
      </c>
      <c r="C13001" s="0" t="n">
        <v>4068831</v>
      </c>
      <c r="D13001" s="0" t="s">
        <v>43181</v>
      </c>
      <c r="E13001" s="0" t="s">
        <v>43182</v>
      </c>
      <c r="F13001" s="0" t="s">
        <v>90</v>
      </c>
      <c r="G13001" s="0" t="s">
        <v>20</v>
      </c>
      <c r="H13001" s="0" t="n">
        <v>70</v>
      </c>
      <c r="I13001" s="0" t="s">
        <v>43186</v>
      </c>
      <c r="J13001" s="0" t="s">
        <v>43187</v>
      </c>
      <c r="K13001" s="0" t="s">
        <v>43188</v>
      </c>
      <c r="L13001" s="0" t="str">
        <f aca="false">HYPERLINK("https://www.ncbi.nlm.nih.gov/nuccore/CP000058.1?report=graph&amp;tracks=[key:gene_model_track,Options:GeneOnly]&amp;mk=4068866:4068885|offset_16|444444,4068812:4068831|offset_70|00cc00,4068778:4068797|offset_104|444444,4068745:4068764|offset_137|444444&amp;v=4068665:4068964&amp;c=444444", "offset 70")</f>
        <v>offset 70</v>
      </c>
    </row>
    <row r="13002" customFormat="false" ht="12.8" hidden="false" customHeight="false" outlineLevel="0" collapsed="false">
      <c r="A13002" s="0" t="s">
        <v>12</v>
      </c>
      <c r="B13002" s="0" t="n">
        <v>4068777</v>
      </c>
      <c r="C13002" s="0" t="n">
        <v>4068797</v>
      </c>
      <c r="D13002" s="0" t="s">
        <v>43181</v>
      </c>
      <c r="E13002" s="0" t="s">
        <v>43182</v>
      </c>
      <c r="F13002" s="0" t="s">
        <v>90</v>
      </c>
      <c r="G13002" s="0" t="s">
        <v>36</v>
      </c>
      <c r="H13002" s="0" t="n">
        <v>104</v>
      </c>
      <c r="I13002" s="0" t="s">
        <v>43189</v>
      </c>
      <c r="J13002" s="0" t="s">
        <v>43190</v>
      </c>
      <c r="K13002" s="0" t="s">
        <v>43191</v>
      </c>
      <c r="L13002" s="0" t="str">
        <f aca="false">HYPERLINK("https://www.ncbi.nlm.nih.gov/nuccore/CP000058.1?report=graph&amp;tracks=[key:gene_model_track,Options:GeneOnly]&amp;mk=4068866:4068885|offset_16|444444,4068812:4068831|offset_70|444444,4068778:4068797|offset_104|00cc00,4068745:4068764|offset_137|444444&amp;v=4068665:4068964&amp;c=444444", "offset 104")</f>
        <v>offset 104</v>
      </c>
    </row>
    <row r="13003" customFormat="false" ht="12.8" hidden="false" customHeight="false" outlineLevel="0" collapsed="false">
      <c r="A13003" s="0" t="s">
        <v>12</v>
      </c>
      <c r="B13003" s="0" t="n">
        <v>4068744</v>
      </c>
      <c r="C13003" s="0" t="n">
        <v>4068764</v>
      </c>
      <c r="D13003" s="0" t="s">
        <v>43181</v>
      </c>
      <c r="E13003" s="0" t="s">
        <v>43182</v>
      </c>
      <c r="F13003" s="0" t="s">
        <v>90</v>
      </c>
      <c r="G13003" s="0" t="s">
        <v>20</v>
      </c>
      <c r="H13003" s="0" t="n">
        <v>137</v>
      </c>
      <c r="I13003" s="0" t="s">
        <v>43192</v>
      </c>
      <c r="J13003" s="0" t="s">
        <v>43193</v>
      </c>
      <c r="K13003" s="0" t="s">
        <v>43194</v>
      </c>
      <c r="L13003" s="0" t="str">
        <f aca="false">HYPERLINK("https://www.ncbi.nlm.nih.gov/nuccore/CP000058.1?report=graph&amp;tracks=[key:gene_model_track,Options:GeneOnly]&amp;mk=4068866:4068885|offset_16|444444,4068812:4068831|offset_70|444444,4068778:4068797|offset_104|444444,4068745:4068764|offset_137|00cc00&amp;v=4068665:4068964&amp;c=444444", "offset 137")</f>
        <v>offset 137</v>
      </c>
    </row>
    <row r="13004" customFormat="false" ht="12.8" hidden="false" customHeight="false" outlineLevel="0" collapsed="false">
      <c r="A13004" s="0" t="s">
        <v>12</v>
      </c>
      <c r="B13004" s="0" t="n">
        <v>4069265</v>
      </c>
      <c r="C13004" s="0" t="n">
        <v>4069285</v>
      </c>
      <c r="D13004" s="0" t="s">
        <v>43195</v>
      </c>
      <c r="E13004" s="0" t="s">
        <v>75</v>
      </c>
      <c r="F13004" s="0" t="s">
        <v>15</v>
      </c>
      <c r="G13004" s="0" t="s">
        <v>32</v>
      </c>
      <c r="H13004" s="0" t="n">
        <v>52</v>
      </c>
      <c r="I13004" s="0" t="s">
        <v>43196</v>
      </c>
      <c r="J13004" s="0" t="s">
        <v>43197</v>
      </c>
      <c r="K13004" s="0" t="s">
        <v>43198</v>
      </c>
      <c r="L13004" s="0" t="str">
        <f aca="false">HYPERLINK("https://www.ncbi.nlm.nih.gov/nuccore/CP000058.1?report=graph&amp;tracks=[key:gene_model_track,Options:GeneOnly]&amp;mk=4069266:4069285|offset_52|00cc00,4069287:4069306|offset_73|444444,4069308:4069327|offset_94|444444,4069350:4069369|offset_136|444444&amp;v=4069065:4069569&amp;c=444444", "offset 52")</f>
        <v>offset 52</v>
      </c>
    </row>
    <row r="13005" customFormat="false" ht="12.8" hidden="false" customHeight="false" outlineLevel="0" collapsed="false">
      <c r="A13005" s="0" t="s">
        <v>12</v>
      </c>
      <c r="B13005" s="0" t="n">
        <v>4069286</v>
      </c>
      <c r="C13005" s="0" t="n">
        <v>4069306</v>
      </c>
      <c r="D13005" s="0" t="s">
        <v>43195</v>
      </c>
      <c r="E13005" s="0" t="s">
        <v>75</v>
      </c>
      <c r="F13005" s="0" t="s">
        <v>15</v>
      </c>
      <c r="G13005" s="0" t="s">
        <v>32</v>
      </c>
      <c r="H13005" s="0" t="n">
        <v>73</v>
      </c>
      <c r="I13005" s="0" t="s">
        <v>43199</v>
      </c>
      <c r="J13005" s="0" t="s">
        <v>43200</v>
      </c>
      <c r="K13005" s="0" t="s">
        <v>43201</v>
      </c>
      <c r="L13005" s="0" t="str">
        <f aca="false">HYPERLINK("https://www.ncbi.nlm.nih.gov/nuccore/CP000058.1?report=graph&amp;tracks=[key:gene_model_track,Options:GeneOnly]&amp;mk=4069266:4069285|offset_52|444444,4069287:4069306|offset_73|00cc00,4069308:4069327|offset_94|444444,4069350:4069369|offset_136|444444&amp;v=4069065:4069569&amp;c=444444", "offset 73")</f>
        <v>offset 73</v>
      </c>
    </row>
    <row r="13006" customFormat="false" ht="12.8" hidden="false" customHeight="false" outlineLevel="0" collapsed="false">
      <c r="A13006" s="0" t="s">
        <v>12</v>
      </c>
      <c r="B13006" s="0" t="n">
        <v>4069307</v>
      </c>
      <c r="C13006" s="0" t="n">
        <v>4069327</v>
      </c>
      <c r="D13006" s="0" t="s">
        <v>43195</v>
      </c>
      <c r="E13006" s="0" t="s">
        <v>75</v>
      </c>
      <c r="F13006" s="0" t="s">
        <v>15</v>
      </c>
      <c r="G13006" s="0" t="s">
        <v>36</v>
      </c>
      <c r="H13006" s="0" t="n">
        <v>94</v>
      </c>
      <c r="I13006" s="0" t="s">
        <v>43202</v>
      </c>
      <c r="J13006" s="0" t="s">
        <v>43203</v>
      </c>
      <c r="K13006" s="0" t="s">
        <v>43204</v>
      </c>
      <c r="L13006" s="0" t="str">
        <f aca="false">HYPERLINK("https://www.ncbi.nlm.nih.gov/nuccore/CP000058.1?report=graph&amp;tracks=[key:gene_model_track,Options:GeneOnly]&amp;mk=4069266:4069285|offset_52|444444,4069287:4069306|offset_73|444444,4069308:4069327|offset_94|00cc00,4069350:4069369|offset_136|444444&amp;v=4069065:4069569&amp;c=444444", "offset 94")</f>
        <v>offset 94</v>
      </c>
    </row>
    <row r="13007" customFormat="false" ht="12.8" hidden="false" customHeight="false" outlineLevel="0" collapsed="false">
      <c r="A13007" s="0" t="s">
        <v>12</v>
      </c>
      <c r="B13007" s="0" t="n">
        <v>4069349</v>
      </c>
      <c r="C13007" s="0" t="n">
        <v>4069369</v>
      </c>
      <c r="D13007" s="0" t="s">
        <v>43195</v>
      </c>
      <c r="E13007" s="0" t="s">
        <v>75</v>
      </c>
      <c r="F13007" s="0" t="s">
        <v>15</v>
      </c>
      <c r="G13007" s="0" t="s">
        <v>36</v>
      </c>
      <c r="H13007" s="0" t="n">
        <v>136</v>
      </c>
      <c r="I13007" s="0" t="s">
        <v>43205</v>
      </c>
      <c r="J13007" s="0" t="s">
        <v>43206</v>
      </c>
      <c r="K13007" s="0" t="s">
        <v>43207</v>
      </c>
      <c r="L13007" s="0" t="str">
        <f aca="false">HYPERLINK("https://www.ncbi.nlm.nih.gov/nuccore/CP000058.1?report=graph&amp;tracks=[key:gene_model_track,Options:GeneOnly]&amp;mk=4069266:4069285|offset_52|444444,4069287:4069306|offset_73|444444,4069308:4069327|offset_94|444444,4069350:4069369|offset_136|00cc00&amp;v=4069065:4069569&amp;c=444444", "offset 136")</f>
        <v>offset 136</v>
      </c>
    </row>
    <row r="13008" customFormat="false" ht="12.8" hidden="false" customHeight="false" outlineLevel="0" collapsed="false">
      <c r="A13008" s="0" t="s">
        <v>12</v>
      </c>
      <c r="B13008" s="0" t="n">
        <v>4071101</v>
      </c>
      <c r="C13008" s="0" t="n">
        <v>4071121</v>
      </c>
      <c r="D13008" s="0" t="s">
        <v>43208</v>
      </c>
      <c r="E13008" s="0" t="s">
        <v>43209</v>
      </c>
      <c r="F13008" s="0" t="s">
        <v>90</v>
      </c>
      <c r="G13008" s="0" t="s">
        <v>32</v>
      </c>
      <c r="H13008" s="0" t="n">
        <v>23</v>
      </c>
      <c r="I13008" s="0" t="s">
        <v>43210</v>
      </c>
      <c r="J13008" s="0" t="s">
        <v>43211</v>
      </c>
      <c r="K13008" s="0" t="s">
        <v>43212</v>
      </c>
      <c r="L13008" s="0" t="str">
        <f aca="false">HYPERLINK("https://www.ncbi.nlm.nih.gov/nuccore/CP000058.1?report=graph&amp;tracks=[key:gene_model_track,Options:GeneOnly]&amp;mk=4071102:4071121|offset_23|00cc00,4071055:4071074|offset_70|444444,4070988:4071007|offset_137|444444,4070959:4070978|offset_166|444444&amp;v=4070901:4071178&amp;c=444444", "offset 23")</f>
        <v>offset 23</v>
      </c>
    </row>
    <row r="13009" customFormat="false" ht="12.8" hidden="false" customHeight="false" outlineLevel="0" collapsed="false">
      <c r="A13009" s="0" t="s">
        <v>12</v>
      </c>
      <c r="B13009" s="0" t="n">
        <v>4071054</v>
      </c>
      <c r="C13009" s="0" t="n">
        <v>4071074</v>
      </c>
      <c r="D13009" s="0" t="s">
        <v>43208</v>
      </c>
      <c r="E13009" s="0" t="s">
        <v>43209</v>
      </c>
      <c r="F13009" s="0" t="s">
        <v>90</v>
      </c>
      <c r="G13009" s="0" t="s">
        <v>20</v>
      </c>
      <c r="H13009" s="0" t="n">
        <v>70</v>
      </c>
      <c r="I13009" s="0" t="s">
        <v>43213</v>
      </c>
      <c r="J13009" s="0" t="s">
        <v>43214</v>
      </c>
      <c r="K13009" s="0" t="s">
        <v>43215</v>
      </c>
      <c r="L13009" s="0" t="str">
        <f aca="false">HYPERLINK("https://www.ncbi.nlm.nih.gov/nuccore/CP000058.1?report=graph&amp;tracks=[key:gene_model_track,Options:GeneOnly]&amp;mk=4071102:4071121|offset_23|444444,4071055:4071074|offset_70|00cc00,4070988:4071007|offset_137|444444,4070959:4070978|offset_166|444444&amp;v=4070901:4071178&amp;c=444444", "offset 70")</f>
        <v>offset 70</v>
      </c>
    </row>
    <row r="13010" customFormat="false" ht="12.8" hidden="false" customHeight="false" outlineLevel="0" collapsed="false">
      <c r="A13010" s="0" t="s">
        <v>12</v>
      </c>
      <c r="B13010" s="0" t="n">
        <v>4070987</v>
      </c>
      <c r="C13010" s="0" t="n">
        <v>4071007</v>
      </c>
      <c r="D13010" s="0" t="s">
        <v>43208</v>
      </c>
      <c r="E13010" s="0" t="s">
        <v>43209</v>
      </c>
      <c r="F13010" s="0" t="s">
        <v>90</v>
      </c>
      <c r="G13010" s="0" t="s">
        <v>36</v>
      </c>
      <c r="H13010" s="0" t="n">
        <v>137</v>
      </c>
      <c r="I13010" s="0" t="s">
        <v>43216</v>
      </c>
      <c r="J13010" s="0" t="s">
        <v>43217</v>
      </c>
      <c r="K13010" s="0" t="s">
        <v>43218</v>
      </c>
      <c r="L13010" s="0" t="str">
        <f aca="false">HYPERLINK("https://www.ncbi.nlm.nih.gov/nuccore/CP000058.1?report=graph&amp;tracks=[key:gene_model_track,Options:GeneOnly]&amp;mk=4071102:4071121|offset_23|444444,4071055:4071074|offset_70|444444,4070988:4071007|offset_137|00cc00,4070959:4070978|offset_166|444444&amp;v=4070901:4071178&amp;c=444444", "offset 137")</f>
        <v>offset 137</v>
      </c>
    </row>
    <row r="13011" customFormat="false" ht="12.8" hidden="false" customHeight="false" outlineLevel="0" collapsed="false">
      <c r="A13011" s="0" t="s">
        <v>12</v>
      </c>
      <c r="B13011" s="0" t="n">
        <v>4070958</v>
      </c>
      <c r="C13011" s="0" t="n">
        <v>4070978</v>
      </c>
      <c r="D13011" s="0" t="s">
        <v>43208</v>
      </c>
      <c r="E13011" s="0" t="s">
        <v>43209</v>
      </c>
      <c r="F13011" s="0" t="s">
        <v>90</v>
      </c>
      <c r="G13011" s="0" t="s">
        <v>36</v>
      </c>
      <c r="H13011" s="0" t="n">
        <v>166</v>
      </c>
      <c r="I13011" s="0" t="s">
        <v>43219</v>
      </c>
      <c r="J13011" s="0" t="s">
        <v>43220</v>
      </c>
      <c r="K13011" s="0" t="s">
        <v>43221</v>
      </c>
      <c r="L13011" s="0" t="str">
        <f aca="false">HYPERLINK("https://www.ncbi.nlm.nih.gov/nuccore/CP000058.1?report=graph&amp;tracks=[key:gene_model_track,Options:GeneOnly]&amp;mk=4071102:4071121|offset_23|444444,4071055:4071074|offset_70|444444,4070988:4071007|offset_137|444444,4070959:4070978|offset_166|00cc00&amp;v=4070901:4071178&amp;c=444444", "offset 166")</f>
        <v>offset 166</v>
      </c>
    </row>
    <row r="13012" customFormat="false" ht="12.8" hidden="false" customHeight="false" outlineLevel="0" collapsed="false">
      <c r="A13012" s="0" t="s">
        <v>12</v>
      </c>
      <c r="B13012" s="0" t="n">
        <v>4071419</v>
      </c>
      <c r="C13012" s="0" t="n">
        <v>4071439</v>
      </c>
      <c r="D13012" s="0" t="s">
        <v>43222</v>
      </c>
      <c r="E13012" s="0" t="s">
        <v>43223</v>
      </c>
      <c r="F13012" s="0" t="s">
        <v>15</v>
      </c>
      <c r="G13012" s="0" t="s">
        <v>36</v>
      </c>
      <c r="H13012" s="0" t="n">
        <v>7</v>
      </c>
      <c r="I13012" s="0" t="s">
        <v>43224</v>
      </c>
      <c r="J13012" s="0" t="s">
        <v>43225</v>
      </c>
      <c r="K13012" s="0" t="s">
        <v>43226</v>
      </c>
      <c r="L13012" s="0" t="str">
        <f aca="false">HYPERLINK("https://www.ncbi.nlm.nih.gov/nuccore/CP000058.1?report=graph&amp;tracks=[key:gene_model_track,Options:GeneOnly]&amp;mk=4071420:4071439|offset_7|00cc00,4071446:4071465|offset_33|444444,4071480:4071499|offset_67|444444,4071501:4071520|offset_88|444444&amp;v=4071219:4071720&amp;c=444444", "offset 7")</f>
        <v>offset 7</v>
      </c>
    </row>
    <row r="13013" customFormat="false" ht="12.8" hidden="false" customHeight="false" outlineLevel="0" collapsed="false">
      <c r="A13013" s="0" t="s">
        <v>12</v>
      </c>
      <c r="B13013" s="0" t="n">
        <v>4071445</v>
      </c>
      <c r="C13013" s="0" t="n">
        <v>4071465</v>
      </c>
      <c r="D13013" s="0" t="s">
        <v>43222</v>
      </c>
      <c r="E13013" s="0" t="s">
        <v>43223</v>
      </c>
      <c r="F13013" s="0" t="s">
        <v>15</v>
      </c>
      <c r="G13013" s="0" t="s">
        <v>16</v>
      </c>
      <c r="H13013" s="0" t="n">
        <v>33</v>
      </c>
      <c r="I13013" s="0" t="s">
        <v>43227</v>
      </c>
      <c r="J13013" s="0" t="s">
        <v>43228</v>
      </c>
      <c r="K13013" s="0" t="s">
        <v>43229</v>
      </c>
      <c r="L13013" s="0" t="str">
        <f aca="false">HYPERLINK("https://www.ncbi.nlm.nih.gov/nuccore/CP000058.1?report=graph&amp;tracks=[key:gene_model_track,Options:GeneOnly]&amp;mk=4071420:4071439|offset_7|444444,4071446:4071465|offset_33|00cc00,4071480:4071499|offset_67|444444,4071501:4071520|offset_88|444444&amp;v=4071219:4071720&amp;c=444444", "offset 33")</f>
        <v>offset 33</v>
      </c>
    </row>
    <row r="13014" customFormat="false" ht="12.8" hidden="false" customHeight="false" outlineLevel="0" collapsed="false">
      <c r="A13014" s="0" t="s">
        <v>12</v>
      </c>
      <c r="B13014" s="0" t="n">
        <v>4071479</v>
      </c>
      <c r="C13014" s="0" t="n">
        <v>4071499</v>
      </c>
      <c r="D13014" s="0" t="s">
        <v>43222</v>
      </c>
      <c r="E13014" s="0" t="s">
        <v>43223</v>
      </c>
      <c r="F13014" s="0" t="s">
        <v>15</v>
      </c>
      <c r="G13014" s="0" t="s">
        <v>16</v>
      </c>
      <c r="H13014" s="0" t="n">
        <v>67</v>
      </c>
      <c r="I13014" s="0" t="s">
        <v>43230</v>
      </c>
      <c r="J13014" s="0" t="s">
        <v>43231</v>
      </c>
      <c r="K13014" s="0" t="s">
        <v>43232</v>
      </c>
      <c r="L13014" s="0" t="str">
        <f aca="false">HYPERLINK("https://www.ncbi.nlm.nih.gov/nuccore/CP000058.1?report=graph&amp;tracks=[key:gene_model_track,Options:GeneOnly]&amp;mk=4071420:4071439|offset_7|444444,4071446:4071465|offset_33|444444,4071480:4071499|offset_67|00cc00,4071501:4071520|offset_88|444444&amp;v=4071219:4071720&amp;c=444444", "offset 67")</f>
        <v>offset 67</v>
      </c>
    </row>
    <row r="13015" customFormat="false" ht="12.8" hidden="false" customHeight="false" outlineLevel="0" collapsed="false">
      <c r="A13015" s="0" t="s">
        <v>12</v>
      </c>
      <c r="B13015" s="0" t="n">
        <v>4071500</v>
      </c>
      <c r="C13015" s="0" t="n">
        <v>4071520</v>
      </c>
      <c r="D13015" s="0" t="s">
        <v>43222</v>
      </c>
      <c r="E13015" s="0" t="s">
        <v>43223</v>
      </c>
      <c r="F13015" s="0" t="s">
        <v>15</v>
      </c>
      <c r="G13015" s="0" t="s">
        <v>36</v>
      </c>
      <c r="H13015" s="0" t="n">
        <v>88</v>
      </c>
      <c r="I13015" s="0" t="s">
        <v>43233</v>
      </c>
      <c r="J13015" s="0" t="s">
        <v>43234</v>
      </c>
      <c r="K13015" s="0" t="s">
        <v>43235</v>
      </c>
      <c r="L13015" s="0" t="str">
        <f aca="false">HYPERLINK("https://www.ncbi.nlm.nih.gov/nuccore/CP000058.1?report=graph&amp;tracks=[key:gene_model_track,Options:GeneOnly]&amp;mk=4071420:4071439|offset_7|444444,4071446:4071465|offset_33|444444,4071480:4071499|offset_67|444444,4071501:4071520|offset_88|00cc00&amp;v=4071219:4071720&amp;c=444444", "offset 88")</f>
        <v>offset 88</v>
      </c>
    </row>
    <row r="13016" customFormat="false" ht="12.8" hidden="false" customHeight="false" outlineLevel="0" collapsed="false">
      <c r="A13016" s="0" t="s">
        <v>12</v>
      </c>
      <c r="B13016" s="0" t="n">
        <v>4072255</v>
      </c>
      <c r="C13016" s="0" t="n">
        <v>4072275</v>
      </c>
      <c r="D13016" s="0" t="s">
        <v>43236</v>
      </c>
      <c r="E13016" s="0" t="s">
        <v>43237</v>
      </c>
      <c r="F13016" s="0" t="s">
        <v>15</v>
      </c>
      <c r="G13016" s="0" t="s">
        <v>20</v>
      </c>
      <c r="H13016" s="0" t="n">
        <v>10</v>
      </c>
      <c r="I13016" s="0" t="s">
        <v>43238</v>
      </c>
      <c r="J13016" s="0" t="s">
        <v>43239</v>
      </c>
      <c r="K13016" s="0" t="s">
        <v>43240</v>
      </c>
      <c r="L13016" s="0" t="str">
        <f aca="false">HYPERLINK("https://www.ncbi.nlm.nih.gov/nuccore/CP000058.1?report=graph&amp;tracks=[key:gene_model_track,Options:GeneOnly]&amp;mk=4072256:4072275|offset_10|00cc00,4072280:4072299|offset_34|444444,4072321:4072340|offset_75|444444,4072341:4072360|offset_95|444444&amp;v=4072055:4072560&amp;c=444444", "offset 10")</f>
        <v>offset 10</v>
      </c>
    </row>
    <row r="13017" customFormat="false" ht="12.8" hidden="false" customHeight="false" outlineLevel="0" collapsed="false">
      <c r="A13017" s="0" t="s">
        <v>12</v>
      </c>
      <c r="B13017" s="0" t="n">
        <v>4072279</v>
      </c>
      <c r="C13017" s="0" t="n">
        <v>4072299</v>
      </c>
      <c r="D13017" s="0" t="s">
        <v>43236</v>
      </c>
      <c r="E13017" s="0" t="s">
        <v>43237</v>
      </c>
      <c r="F13017" s="0" t="s">
        <v>15</v>
      </c>
      <c r="G13017" s="0" t="s">
        <v>20</v>
      </c>
      <c r="H13017" s="0" t="n">
        <v>34</v>
      </c>
      <c r="I13017" s="0" t="s">
        <v>43241</v>
      </c>
      <c r="J13017" s="0" t="s">
        <v>43242</v>
      </c>
      <c r="K13017" s="0" t="s">
        <v>43243</v>
      </c>
      <c r="L13017" s="0" t="str">
        <f aca="false">HYPERLINK("https://www.ncbi.nlm.nih.gov/nuccore/CP000058.1?report=graph&amp;tracks=[key:gene_model_track,Options:GeneOnly]&amp;mk=4072256:4072275|offset_10|444444,4072280:4072299|offset_34|00cc00,4072321:4072340|offset_75|444444,4072341:4072360|offset_95|444444&amp;v=4072055:4072560&amp;c=444444", "offset 34")</f>
        <v>offset 34</v>
      </c>
    </row>
    <row r="13018" customFormat="false" ht="12.8" hidden="false" customHeight="false" outlineLevel="0" collapsed="false">
      <c r="A13018" s="0" t="s">
        <v>12</v>
      </c>
      <c r="B13018" s="0" t="n">
        <v>4072320</v>
      </c>
      <c r="C13018" s="0" t="n">
        <v>4072340</v>
      </c>
      <c r="D13018" s="0" t="s">
        <v>43236</v>
      </c>
      <c r="E13018" s="0" t="s">
        <v>43237</v>
      </c>
      <c r="F13018" s="0" t="s">
        <v>15</v>
      </c>
      <c r="G13018" s="0" t="s">
        <v>16</v>
      </c>
      <c r="H13018" s="0" t="n">
        <v>75</v>
      </c>
      <c r="I13018" s="0" t="s">
        <v>43244</v>
      </c>
      <c r="J13018" s="0" t="s">
        <v>43245</v>
      </c>
      <c r="K13018" s="0" t="s">
        <v>43246</v>
      </c>
      <c r="L13018" s="0" t="str">
        <f aca="false">HYPERLINK("https://www.ncbi.nlm.nih.gov/nuccore/CP000058.1?report=graph&amp;tracks=[key:gene_model_track,Options:GeneOnly]&amp;mk=4072256:4072275|offset_10|444444,4072280:4072299|offset_34|444444,4072321:4072340|offset_75|00cc00,4072341:4072360|offset_95|444444&amp;v=4072055:4072560&amp;c=444444", "offset 75")</f>
        <v>offset 75</v>
      </c>
    </row>
    <row r="13019" customFormat="false" ht="12.8" hidden="false" customHeight="false" outlineLevel="0" collapsed="false">
      <c r="A13019" s="0" t="s">
        <v>12</v>
      </c>
      <c r="B13019" s="0" t="n">
        <v>4072340</v>
      </c>
      <c r="C13019" s="0" t="n">
        <v>4072360</v>
      </c>
      <c r="D13019" s="0" t="s">
        <v>43236</v>
      </c>
      <c r="E13019" s="0" t="s">
        <v>43237</v>
      </c>
      <c r="F13019" s="0" t="s">
        <v>15</v>
      </c>
      <c r="G13019" s="0" t="s">
        <v>36</v>
      </c>
      <c r="H13019" s="0" t="n">
        <v>95</v>
      </c>
      <c r="I13019" s="0" t="s">
        <v>43247</v>
      </c>
      <c r="J13019" s="0" t="s">
        <v>43248</v>
      </c>
      <c r="K13019" s="0" t="s">
        <v>43249</v>
      </c>
      <c r="L13019" s="0" t="str">
        <f aca="false">HYPERLINK("https://www.ncbi.nlm.nih.gov/nuccore/CP000058.1?report=graph&amp;tracks=[key:gene_model_track,Options:GeneOnly]&amp;mk=4072256:4072275|offset_10|444444,4072280:4072299|offset_34|444444,4072321:4072340|offset_75|444444,4072341:4072360|offset_95|00cc00&amp;v=4072055:4072560&amp;c=444444", "offset 95")</f>
        <v>offset 95</v>
      </c>
    </row>
    <row r="13020" customFormat="false" ht="12.8" hidden="false" customHeight="false" outlineLevel="0" collapsed="false">
      <c r="A13020" s="0" t="s">
        <v>12</v>
      </c>
      <c r="B13020" s="0" t="n">
        <v>4073094</v>
      </c>
      <c r="C13020" s="0" t="n">
        <v>4073114</v>
      </c>
      <c r="D13020" s="0" t="s">
        <v>43250</v>
      </c>
      <c r="E13020" s="0" t="s">
        <v>75</v>
      </c>
      <c r="F13020" s="0" t="s">
        <v>15</v>
      </c>
      <c r="G13020" s="0" t="s">
        <v>32</v>
      </c>
      <c r="H13020" s="0" t="n">
        <v>28</v>
      </c>
      <c r="I13020" s="0" t="s">
        <v>43251</v>
      </c>
      <c r="J13020" s="0" t="s">
        <v>43252</v>
      </c>
      <c r="K13020" s="0" t="s">
        <v>43253</v>
      </c>
      <c r="L13020" s="0" t="str">
        <f aca="false">HYPERLINK("https://www.ncbi.nlm.nih.gov/nuccore/CP000058.1?report=graph&amp;tracks=[key:gene_model_track,Options:GeneOnly]&amp;mk=4073095:4073114|offset_28|00cc00,4073116:4073135|offset_49|444444,4073144:4073163|offset_77|444444,4073167:4073186|offset_100|444444&amp;v=4072894:4073386&amp;c=444444", "offset 28")</f>
        <v>offset 28</v>
      </c>
    </row>
    <row r="13021" customFormat="false" ht="12.8" hidden="false" customHeight="false" outlineLevel="0" collapsed="false">
      <c r="A13021" s="0" t="s">
        <v>12</v>
      </c>
      <c r="B13021" s="0" t="n">
        <v>4073115</v>
      </c>
      <c r="C13021" s="0" t="n">
        <v>4073135</v>
      </c>
      <c r="D13021" s="0" t="s">
        <v>43250</v>
      </c>
      <c r="E13021" s="0" t="s">
        <v>75</v>
      </c>
      <c r="F13021" s="0" t="s">
        <v>15</v>
      </c>
      <c r="G13021" s="0" t="s">
        <v>16</v>
      </c>
      <c r="H13021" s="0" t="n">
        <v>49</v>
      </c>
      <c r="I13021" s="0" t="s">
        <v>43254</v>
      </c>
      <c r="J13021" s="0" t="s">
        <v>43255</v>
      </c>
      <c r="K13021" s="0" t="s">
        <v>43256</v>
      </c>
      <c r="L13021" s="0" t="str">
        <f aca="false">HYPERLINK("https://www.ncbi.nlm.nih.gov/nuccore/CP000058.1?report=graph&amp;tracks=[key:gene_model_track,Options:GeneOnly]&amp;mk=4073095:4073114|offset_28|444444,4073116:4073135|offset_49|00cc00,4073144:4073163|offset_77|444444,4073167:4073186|offset_100|444444&amp;v=4072894:4073386&amp;c=444444", "offset 49")</f>
        <v>offset 49</v>
      </c>
    </row>
    <row r="13022" customFormat="false" ht="12.8" hidden="false" customHeight="false" outlineLevel="0" collapsed="false">
      <c r="A13022" s="0" t="s">
        <v>12</v>
      </c>
      <c r="B13022" s="0" t="n">
        <v>4073143</v>
      </c>
      <c r="C13022" s="0" t="n">
        <v>4073163</v>
      </c>
      <c r="D13022" s="0" t="s">
        <v>43250</v>
      </c>
      <c r="E13022" s="0" t="s">
        <v>75</v>
      </c>
      <c r="F13022" s="0" t="s">
        <v>15</v>
      </c>
      <c r="G13022" s="0" t="s">
        <v>20</v>
      </c>
      <c r="H13022" s="0" t="n">
        <v>77</v>
      </c>
      <c r="I13022" s="0" t="s">
        <v>43257</v>
      </c>
      <c r="J13022" s="0" t="s">
        <v>43258</v>
      </c>
      <c r="K13022" s="0" t="s">
        <v>43259</v>
      </c>
      <c r="L13022" s="0" t="str">
        <f aca="false">HYPERLINK("https://www.ncbi.nlm.nih.gov/nuccore/CP000058.1?report=graph&amp;tracks=[key:gene_model_track,Options:GeneOnly]&amp;mk=4073095:4073114|offset_28|444444,4073116:4073135|offset_49|444444,4073144:4073163|offset_77|00cc00,4073167:4073186|offset_100|444444&amp;v=4072894:4073386&amp;c=444444", "offset 77")</f>
        <v>offset 77</v>
      </c>
    </row>
    <row r="13023" customFormat="false" ht="12.8" hidden="false" customHeight="false" outlineLevel="0" collapsed="false">
      <c r="A13023" s="0" t="s">
        <v>12</v>
      </c>
      <c r="B13023" s="0" t="n">
        <v>4073166</v>
      </c>
      <c r="C13023" s="0" t="n">
        <v>4073186</v>
      </c>
      <c r="D13023" s="0" t="s">
        <v>43250</v>
      </c>
      <c r="E13023" s="0" t="s">
        <v>75</v>
      </c>
      <c r="F13023" s="0" t="s">
        <v>15</v>
      </c>
      <c r="G13023" s="0" t="s">
        <v>36</v>
      </c>
      <c r="H13023" s="0" t="n">
        <v>100</v>
      </c>
      <c r="I13023" s="0" t="s">
        <v>43260</v>
      </c>
      <c r="J13023" s="0" t="s">
        <v>43261</v>
      </c>
      <c r="K13023" s="0" t="s">
        <v>43262</v>
      </c>
      <c r="L13023" s="0" t="str">
        <f aca="false">HYPERLINK("https://www.ncbi.nlm.nih.gov/nuccore/CP000058.1?report=graph&amp;tracks=[key:gene_model_track,Options:GeneOnly]&amp;mk=4073095:4073114|offset_28|444444,4073116:4073135|offset_49|444444,4073144:4073163|offset_77|444444,4073167:4073186|offset_100|00cc00&amp;v=4072894:4073386&amp;c=444444", "offset 100")</f>
        <v>offset 100</v>
      </c>
    </row>
    <row r="13024" customFormat="false" ht="12.8" hidden="false" customHeight="false" outlineLevel="0" collapsed="false">
      <c r="A13024" s="0" t="s">
        <v>12</v>
      </c>
      <c r="B13024" s="0" t="n">
        <v>4073379</v>
      </c>
      <c r="C13024" s="0" t="n">
        <v>4073399</v>
      </c>
      <c r="D13024" s="0" t="s">
        <v>43263</v>
      </c>
      <c r="E13024" s="0" t="s">
        <v>75</v>
      </c>
      <c r="F13024" s="0" t="s">
        <v>15</v>
      </c>
      <c r="G13024" s="0" t="s">
        <v>20</v>
      </c>
      <c r="H13024" s="0" t="n">
        <v>10</v>
      </c>
      <c r="I13024" s="0" t="s">
        <v>43264</v>
      </c>
      <c r="J13024" s="0" t="s">
        <v>43265</v>
      </c>
      <c r="K13024" s="0" t="s">
        <v>43266</v>
      </c>
      <c r="L13024" s="0" t="str">
        <f aca="false">HYPERLINK("https://www.ncbi.nlm.nih.gov/nuccore/CP000058.1?report=graph&amp;tracks=[key:gene_model_track,Options:GeneOnly]&amp;mk=4073380:4073399|offset_10|00cc00,4073407:4073426|offset_37|444444,4073434:4073453|offset_64|444444,4073477:4073496|offset_107|444444&amp;v=4073179:4073696&amp;c=444444", "offset 10")</f>
        <v>offset 10</v>
      </c>
    </row>
    <row r="13025" customFormat="false" ht="12.8" hidden="false" customHeight="false" outlineLevel="0" collapsed="false">
      <c r="A13025" s="0" t="s">
        <v>12</v>
      </c>
      <c r="B13025" s="0" t="n">
        <v>4073406</v>
      </c>
      <c r="C13025" s="0" t="n">
        <v>4073426</v>
      </c>
      <c r="D13025" s="0" t="s">
        <v>43263</v>
      </c>
      <c r="E13025" s="0" t="s">
        <v>75</v>
      </c>
      <c r="F13025" s="0" t="s">
        <v>15</v>
      </c>
      <c r="G13025" s="0" t="s">
        <v>32</v>
      </c>
      <c r="H13025" s="0" t="n">
        <v>37</v>
      </c>
      <c r="I13025" s="0" t="s">
        <v>43267</v>
      </c>
      <c r="J13025" s="0" t="s">
        <v>43268</v>
      </c>
      <c r="K13025" s="0" t="s">
        <v>43269</v>
      </c>
      <c r="L13025" s="0" t="str">
        <f aca="false">HYPERLINK("https://www.ncbi.nlm.nih.gov/nuccore/CP000058.1?report=graph&amp;tracks=[key:gene_model_track,Options:GeneOnly]&amp;mk=4073380:4073399|offset_10|444444,4073407:4073426|offset_37|00cc00,4073434:4073453|offset_64|444444,4073477:4073496|offset_107|444444&amp;v=4073179:4073696&amp;c=444444", "offset 37")</f>
        <v>offset 37</v>
      </c>
    </row>
    <row r="13026" customFormat="false" ht="12.8" hidden="false" customHeight="false" outlineLevel="0" collapsed="false">
      <c r="A13026" s="0" t="s">
        <v>12</v>
      </c>
      <c r="B13026" s="0" t="n">
        <v>4073433</v>
      </c>
      <c r="C13026" s="0" t="n">
        <v>4073453</v>
      </c>
      <c r="D13026" s="0" t="s">
        <v>43263</v>
      </c>
      <c r="E13026" s="0" t="s">
        <v>75</v>
      </c>
      <c r="F13026" s="0" t="s">
        <v>15</v>
      </c>
      <c r="G13026" s="0" t="s">
        <v>36</v>
      </c>
      <c r="H13026" s="0" t="n">
        <v>64</v>
      </c>
      <c r="I13026" s="0" t="s">
        <v>43270</v>
      </c>
      <c r="J13026" s="0" t="s">
        <v>43271</v>
      </c>
      <c r="K13026" s="0" t="s">
        <v>43272</v>
      </c>
      <c r="L13026" s="0" t="str">
        <f aca="false">HYPERLINK("https://www.ncbi.nlm.nih.gov/nuccore/CP000058.1?report=graph&amp;tracks=[key:gene_model_track,Options:GeneOnly]&amp;mk=4073380:4073399|offset_10|444444,4073407:4073426|offset_37|444444,4073434:4073453|offset_64|00cc00,4073477:4073496|offset_107|444444&amp;v=4073179:4073696&amp;c=444444", "offset 64")</f>
        <v>offset 64</v>
      </c>
    </row>
    <row r="13027" customFormat="false" ht="12.8" hidden="false" customHeight="false" outlineLevel="0" collapsed="false">
      <c r="A13027" s="0" t="s">
        <v>12</v>
      </c>
      <c r="B13027" s="0" t="n">
        <v>4073476</v>
      </c>
      <c r="C13027" s="0" t="n">
        <v>4073496</v>
      </c>
      <c r="D13027" s="0" t="s">
        <v>43263</v>
      </c>
      <c r="E13027" s="0" t="s">
        <v>75</v>
      </c>
      <c r="F13027" s="0" t="s">
        <v>15</v>
      </c>
      <c r="G13027" s="0" t="s">
        <v>20</v>
      </c>
      <c r="H13027" s="0" t="n">
        <v>107</v>
      </c>
      <c r="I13027" s="0" t="s">
        <v>43273</v>
      </c>
      <c r="J13027" s="0" t="s">
        <v>43274</v>
      </c>
      <c r="K13027" s="0" t="s">
        <v>43275</v>
      </c>
      <c r="L13027" s="0" t="str">
        <f aca="false">HYPERLINK("https://www.ncbi.nlm.nih.gov/nuccore/CP000058.1?report=graph&amp;tracks=[key:gene_model_track,Options:GeneOnly]&amp;mk=4073380:4073399|offset_10|444444,4073407:4073426|offset_37|444444,4073434:4073453|offset_64|444444,4073477:4073496|offset_107|00cc00&amp;v=4073179:4073696&amp;c=444444", "offset 107")</f>
        <v>offset 107</v>
      </c>
    </row>
    <row r="13028" customFormat="false" ht="12.8" hidden="false" customHeight="false" outlineLevel="0" collapsed="false">
      <c r="A13028" s="0" t="s">
        <v>12</v>
      </c>
      <c r="B13028" s="0" t="n">
        <v>4075265</v>
      </c>
      <c r="C13028" s="0" t="n">
        <v>4075285</v>
      </c>
      <c r="D13028" s="0" t="s">
        <v>43276</v>
      </c>
      <c r="E13028" s="0" t="s">
        <v>75</v>
      </c>
      <c r="F13028" s="0" t="s">
        <v>90</v>
      </c>
      <c r="G13028" s="0" t="s">
        <v>16</v>
      </c>
      <c r="H13028" s="0" t="n">
        <v>23</v>
      </c>
      <c r="I13028" s="0" t="s">
        <v>43277</v>
      </c>
      <c r="J13028" s="0" t="s">
        <v>43278</v>
      </c>
      <c r="K13028" s="0" t="s">
        <v>43279</v>
      </c>
      <c r="L13028" s="0" t="str">
        <f aca="false">HYPERLINK("https://www.ncbi.nlm.nih.gov/nuccore/CP000058.1?report=graph&amp;tracks=[key:gene_model_track,Options:GeneOnly]&amp;mk=4075266:4075285|offset_23|00cc00,4075240:4075259|offset_49|444444,4075205:4075224|offset_84|444444,4075180:4075199|offset_109|444444&amp;v=4075065:4075399&amp;c=444444", "offset 23")</f>
        <v>offset 23</v>
      </c>
    </row>
    <row r="13029" customFormat="false" ht="12.8" hidden="false" customHeight="false" outlineLevel="0" collapsed="false">
      <c r="A13029" s="0" t="s">
        <v>12</v>
      </c>
      <c r="B13029" s="0" t="n">
        <v>4075239</v>
      </c>
      <c r="C13029" s="0" t="n">
        <v>4075259</v>
      </c>
      <c r="D13029" s="0" t="s">
        <v>43276</v>
      </c>
      <c r="E13029" s="0" t="s">
        <v>75</v>
      </c>
      <c r="F13029" s="0" t="s">
        <v>90</v>
      </c>
      <c r="G13029" s="0" t="s">
        <v>36</v>
      </c>
      <c r="H13029" s="0" t="n">
        <v>49</v>
      </c>
      <c r="I13029" s="0" t="s">
        <v>43280</v>
      </c>
      <c r="J13029" s="0" t="s">
        <v>43281</v>
      </c>
      <c r="K13029" s="0" t="s">
        <v>43282</v>
      </c>
      <c r="L13029" s="0" t="str">
        <f aca="false">HYPERLINK("https://www.ncbi.nlm.nih.gov/nuccore/CP000058.1?report=graph&amp;tracks=[key:gene_model_track,Options:GeneOnly]&amp;mk=4075266:4075285|offset_23|444444,4075240:4075259|offset_49|00cc00,4075205:4075224|offset_84|444444,4075180:4075199|offset_109|444444&amp;v=4075065:4075399&amp;c=444444", "offset 49")</f>
        <v>offset 49</v>
      </c>
    </row>
    <row r="13030" customFormat="false" ht="12.8" hidden="false" customHeight="false" outlineLevel="0" collapsed="false">
      <c r="A13030" s="0" t="s">
        <v>12</v>
      </c>
      <c r="B13030" s="0" t="n">
        <v>4075204</v>
      </c>
      <c r="C13030" s="0" t="n">
        <v>4075224</v>
      </c>
      <c r="D13030" s="0" t="s">
        <v>43276</v>
      </c>
      <c r="E13030" s="0" t="s">
        <v>75</v>
      </c>
      <c r="F13030" s="0" t="s">
        <v>90</v>
      </c>
      <c r="G13030" s="0" t="s">
        <v>16</v>
      </c>
      <c r="H13030" s="0" t="n">
        <v>84</v>
      </c>
      <c r="I13030" s="0" t="s">
        <v>43283</v>
      </c>
      <c r="J13030" s="0" t="s">
        <v>43284</v>
      </c>
      <c r="K13030" s="0" t="s">
        <v>43285</v>
      </c>
      <c r="L13030" s="0" t="str">
        <f aca="false">HYPERLINK("https://www.ncbi.nlm.nih.gov/nuccore/CP000058.1?report=graph&amp;tracks=[key:gene_model_track,Options:GeneOnly]&amp;mk=4075266:4075285|offset_23|444444,4075240:4075259|offset_49|444444,4075205:4075224|offset_84|00cc00,4075180:4075199|offset_109|444444&amp;v=4075065:4075399&amp;c=444444", "offset 84")</f>
        <v>offset 84</v>
      </c>
    </row>
    <row r="13031" customFormat="false" ht="12.8" hidden="false" customHeight="false" outlineLevel="0" collapsed="false">
      <c r="A13031" s="0" t="s">
        <v>12</v>
      </c>
      <c r="B13031" s="0" t="n">
        <v>4075179</v>
      </c>
      <c r="C13031" s="0" t="n">
        <v>4075199</v>
      </c>
      <c r="D13031" s="0" t="s">
        <v>43276</v>
      </c>
      <c r="E13031" s="0" t="s">
        <v>75</v>
      </c>
      <c r="F13031" s="0" t="s">
        <v>90</v>
      </c>
      <c r="G13031" s="0" t="s">
        <v>32</v>
      </c>
      <c r="H13031" s="0" t="n">
        <v>109</v>
      </c>
      <c r="I13031" s="0" t="s">
        <v>43286</v>
      </c>
      <c r="J13031" s="0" t="s">
        <v>43287</v>
      </c>
      <c r="K13031" s="0" t="s">
        <v>43288</v>
      </c>
      <c r="L13031" s="0" t="str">
        <f aca="false">HYPERLINK("https://www.ncbi.nlm.nih.gov/nuccore/CP000058.1?report=graph&amp;tracks=[key:gene_model_track,Options:GeneOnly]&amp;mk=4075266:4075285|offset_23|444444,4075240:4075259|offset_49|444444,4075205:4075224|offset_84|444444,4075180:4075199|offset_109|00cc00&amp;v=4075065:4075399&amp;c=444444", "offset 109")</f>
        <v>offset 109</v>
      </c>
    </row>
    <row r="13032" customFormat="false" ht="12.8" hidden="false" customHeight="false" outlineLevel="0" collapsed="false">
      <c r="A13032" s="0" t="s">
        <v>12</v>
      </c>
      <c r="B13032" s="0" t="n">
        <v>4076657</v>
      </c>
      <c r="C13032" s="0" t="n">
        <v>4076677</v>
      </c>
      <c r="D13032" s="0" t="s">
        <v>43289</v>
      </c>
      <c r="E13032" s="0" t="s">
        <v>75</v>
      </c>
      <c r="F13032" s="0" t="s">
        <v>90</v>
      </c>
      <c r="G13032" s="0" t="s">
        <v>36</v>
      </c>
      <c r="H13032" s="0" t="n">
        <v>21</v>
      </c>
      <c r="I13032" s="0" t="s">
        <v>43290</v>
      </c>
      <c r="J13032" s="0" t="s">
        <v>43291</v>
      </c>
      <c r="K13032" s="0" t="s">
        <v>43292</v>
      </c>
      <c r="L13032" s="0" t="str">
        <f aca="false">HYPERLINK("https://www.ncbi.nlm.nih.gov/nuccore/CP000058.1?report=graph&amp;tracks=[key:gene_model_track,Options:GeneOnly]&amp;mk=4076658:4076677|offset_21|00cc00,4076546:4076565|offset_133|444444,4076485:4076504|offset_194|444444,4076457:4076476|offset_222|444444&amp;v=4076457:4076676&amp;c=444444", "offset 21")</f>
        <v>offset 21</v>
      </c>
    </row>
    <row r="13033" customFormat="false" ht="12.8" hidden="false" customHeight="false" outlineLevel="0" collapsed="false">
      <c r="A13033" s="0" t="s">
        <v>12</v>
      </c>
      <c r="B13033" s="0" t="n">
        <v>4076545</v>
      </c>
      <c r="C13033" s="0" t="n">
        <v>4076565</v>
      </c>
      <c r="D13033" s="0" t="s">
        <v>43289</v>
      </c>
      <c r="E13033" s="0" t="s">
        <v>75</v>
      </c>
      <c r="F13033" s="0" t="s">
        <v>90</v>
      </c>
      <c r="G13033" s="0" t="s">
        <v>16</v>
      </c>
      <c r="H13033" s="0" t="n">
        <v>133</v>
      </c>
      <c r="I13033" s="0" t="s">
        <v>43293</v>
      </c>
      <c r="J13033" s="0" t="s">
        <v>43294</v>
      </c>
      <c r="K13033" s="0" t="s">
        <v>43295</v>
      </c>
      <c r="L13033" s="0" t="str">
        <f aca="false">HYPERLINK("https://www.ncbi.nlm.nih.gov/nuccore/CP000058.1?report=graph&amp;tracks=[key:gene_model_track,Options:GeneOnly]&amp;mk=4076658:4076677|offset_21|444444,4076546:4076565|offset_133|00cc00,4076485:4076504|offset_194|444444,4076457:4076476|offset_222|444444&amp;v=4076457:4076676&amp;c=444444", "offset 133")</f>
        <v>offset 133</v>
      </c>
    </row>
    <row r="13034" customFormat="false" ht="12.8" hidden="false" customHeight="false" outlineLevel="0" collapsed="false">
      <c r="A13034" s="0" t="s">
        <v>12</v>
      </c>
      <c r="B13034" s="0" t="n">
        <v>4076484</v>
      </c>
      <c r="C13034" s="0" t="n">
        <v>4076504</v>
      </c>
      <c r="D13034" s="0" t="s">
        <v>43289</v>
      </c>
      <c r="E13034" s="0" t="s">
        <v>75</v>
      </c>
      <c r="F13034" s="0" t="s">
        <v>90</v>
      </c>
      <c r="G13034" s="0" t="s">
        <v>32</v>
      </c>
      <c r="H13034" s="0" t="n">
        <v>194</v>
      </c>
      <c r="I13034" s="0" t="s">
        <v>43296</v>
      </c>
      <c r="J13034" s="0" t="s">
        <v>43297</v>
      </c>
      <c r="K13034" s="0" t="s">
        <v>43298</v>
      </c>
      <c r="L13034" s="0" t="str">
        <f aca="false">HYPERLINK("https://www.ncbi.nlm.nih.gov/nuccore/CP000058.1?report=graph&amp;tracks=[key:gene_model_track,Options:GeneOnly]&amp;mk=4076658:4076677|offset_21|444444,4076546:4076565|offset_133|444444,4076485:4076504|offset_194|00cc00,4076457:4076476|offset_222|444444&amp;v=4076457:4076676&amp;c=444444", "offset 194")</f>
        <v>offset 194</v>
      </c>
    </row>
    <row r="13035" customFormat="false" ht="12.8" hidden="false" customHeight="false" outlineLevel="0" collapsed="false">
      <c r="A13035" s="0" t="s">
        <v>12</v>
      </c>
      <c r="B13035" s="0" t="n">
        <v>4076456</v>
      </c>
      <c r="C13035" s="0" t="n">
        <v>4076476</v>
      </c>
      <c r="D13035" s="0" t="s">
        <v>43289</v>
      </c>
      <c r="E13035" s="0" t="s">
        <v>75</v>
      </c>
      <c r="F13035" s="0" t="s">
        <v>90</v>
      </c>
      <c r="G13035" s="0" t="s">
        <v>36</v>
      </c>
      <c r="H13035" s="0" t="n">
        <v>222</v>
      </c>
      <c r="I13035" s="0" t="s">
        <v>43299</v>
      </c>
      <c r="J13035" s="0" t="s">
        <v>43300</v>
      </c>
      <c r="K13035" s="0" t="s">
        <v>43301</v>
      </c>
      <c r="L13035" s="0" t="str">
        <f aca="false">HYPERLINK("https://www.ncbi.nlm.nih.gov/nuccore/CP000058.1?report=graph&amp;tracks=[key:gene_model_track,Options:GeneOnly]&amp;mk=4076658:4076677|offset_21|444444,4076546:4076565|offset_133|444444,4076485:4076504|offset_194|444444,4076457:4076476|offset_222|00cc00&amp;v=4076457:4076676&amp;c=444444", "offset 222")</f>
        <v>offset 222</v>
      </c>
    </row>
    <row r="13036" customFormat="false" ht="12.8" hidden="false" customHeight="false" outlineLevel="0" collapsed="false">
      <c r="A13036" s="0" t="s">
        <v>12</v>
      </c>
      <c r="B13036" s="0" t="n">
        <v>4076920</v>
      </c>
      <c r="C13036" s="0" t="n">
        <v>4076940</v>
      </c>
      <c r="D13036" s="0" t="s">
        <v>43302</v>
      </c>
      <c r="E13036" s="0" t="s">
        <v>75</v>
      </c>
      <c r="F13036" s="0" t="s">
        <v>90</v>
      </c>
      <c r="G13036" s="0" t="s">
        <v>32</v>
      </c>
      <c r="H13036" s="0" t="n">
        <v>12</v>
      </c>
      <c r="I13036" s="0" t="s">
        <v>43303</v>
      </c>
      <c r="J13036" s="0" t="s">
        <v>43304</v>
      </c>
      <c r="K13036" s="0" t="s">
        <v>43305</v>
      </c>
      <c r="L13036" s="0" t="str">
        <f aca="false">HYPERLINK("https://www.ncbi.nlm.nih.gov/nuccore/CP000058.1?report=graph&amp;tracks=[key:gene_model_track,Options:GeneOnly]&amp;mk=4076921:4076940|offset_12|00cc00,4076877:4076896|offset_56|444444,4076835:4076854|offset_98|444444,4076808:4076827|offset_125|444444&amp;v=4076720:4077027&amp;c=444444", "offset 12")</f>
        <v>offset 12</v>
      </c>
    </row>
    <row r="13037" customFormat="false" ht="12.8" hidden="false" customHeight="false" outlineLevel="0" collapsed="false">
      <c r="A13037" s="0" t="s">
        <v>12</v>
      </c>
      <c r="B13037" s="0" t="n">
        <v>4076876</v>
      </c>
      <c r="C13037" s="0" t="n">
        <v>4076896</v>
      </c>
      <c r="D13037" s="0" t="s">
        <v>43302</v>
      </c>
      <c r="E13037" s="0" t="s">
        <v>75</v>
      </c>
      <c r="F13037" s="0" t="s">
        <v>90</v>
      </c>
      <c r="G13037" s="0" t="s">
        <v>20</v>
      </c>
      <c r="H13037" s="0" t="n">
        <v>56</v>
      </c>
      <c r="I13037" s="0" t="s">
        <v>43306</v>
      </c>
      <c r="J13037" s="0" t="s">
        <v>43307</v>
      </c>
      <c r="K13037" s="0" t="s">
        <v>43308</v>
      </c>
      <c r="L13037" s="0" t="str">
        <f aca="false">HYPERLINK("https://www.ncbi.nlm.nih.gov/nuccore/CP000058.1?report=graph&amp;tracks=[key:gene_model_track,Options:GeneOnly]&amp;mk=4076921:4076940|offset_12|444444,4076877:4076896|offset_56|00cc00,4076835:4076854|offset_98|444444,4076808:4076827|offset_125|444444&amp;v=4076720:4077027&amp;c=444444", "offset 56")</f>
        <v>offset 56</v>
      </c>
    </row>
    <row r="13038" customFormat="false" ht="12.8" hidden="false" customHeight="false" outlineLevel="0" collapsed="false">
      <c r="A13038" s="0" t="s">
        <v>12</v>
      </c>
      <c r="B13038" s="0" t="n">
        <v>4076834</v>
      </c>
      <c r="C13038" s="0" t="n">
        <v>4076854</v>
      </c>
      <c r="D13038" s="0" t="s">
        <v>43302</v>
      </c>
      <c r="E13038" s="0" t="s">
        <v>75</v>
      </c>
      <c r="F13038" s="0" t="s">
        <v>90</v>
      </c>
      <c r="G13038" s="0" t="s">
        <v>20</v>
      </c>
      <c r="H13038" s="0" t="n">
        <v>98</v>
      </c>
      <c r="I13038" s="0" t="s">
        <v>43309</v>
      </c>
      <c r="J13038" s="0" t="s">
        <v>43310</v>
      </c>
      <c r="K13038" s="0" t="s">
        <v>43311</v>
      </c>
      <c r="L13038" s="0" t="str">
        <f aca="false">HYPERLINK("https://www.ncbi.nlm.nih.gov/nuccore/CP000058.1?report=graph&amp;tracks=[key:gene_model_track,Options:GeneOnly]&amp;mk=4076921:4076940|offset_12|444444,4076877:4076896|offset_56|444444,4076835:4076854|offset_98|00cc00,4076808:4076827|offset_125|444444&amp;v=4076720:4077027&amp;c=444444", "offset 98")</f>
        <v>offset 98</v>
      </c>
    </row>
    <row r="13039" customFormat="false" ht="12.8" hidden="false" customHeight="false" outlineLevel="0" collapsed="false">
      <c r="A13039" s="0" t="s">
        <v>12</v>
      </c>
      <c r="B13039" s="0" t="n">
        <v>4076807</v>
      </c>
      <c r="C13039" s="0" t="n">
        <v>4076827</v>
      </c>
      <c r="D13039" s="0" t="s">
        <v>43302</v>
      </c>
      <c r="E13039" s="0" t="s">
        <v>75</v>
      </c>
      <c r="F13039" s="0" t="s">
        <v>90</v>
      </c>
      <c r="G13039" s="0" t="s">
        <v>16</v>
      </c>
      <c r="H13039" s="0" t="n">
        <v>125</v>
      </c>
      <c r="I13039" s="0" t="s">
        <v>43312</v>
      </c>
      <c r="J13039" s="0" t="s">
        <v>43313</v>
      </c>
      <c r="K13039" s="0" t="s">
        <v>43314</v>
      </c>
      <c r="L13039" s="0" t="str">
        <f aca="false">HYPERLINK("https://www.ncbi.nlm.nih.gov/nuccore/CP000058.1?report=graph&amp;tracks=[key:gene_model_track,Options:GeneOnly]&amp;mk=4076921:4076940|offset_12|444444,4076877:4076896|offset_56|444444,4076835:4076854|offset_98|444444,4076808:4076827|offset_125|00cc00&amp;v=4076720:4077027&amp;c=444444", "offset 125")</f>
        <v>offset 125</v>
      </c>
    </row>
    <row r="13040" customFormat="false" ht="12.8" hidden="false" customHeight="false" outlineLevel="0" collapsed="false">
      <c r="A13040" s="0" t="s">
        <v>12</v>
      </c>
      <c r="B13040" s="0" t="n">
        <v>4078147</v>
      </c>
      <c r="C13040" s="0" t="n">
        <v>4078167</v>
      </c>
      <c r="D13040" s="0" t="s">
        <v>43315</v>
      </c>
      <c r="E13040" s="0" t="s">
        <v>43316</v>
      </c>
      <c r="F13040" s="0" t="s">
        <v>90</v>
      </c>
      <c r="G13040" s="0" t="s">
        <v>32</v>
      </c>
      <c r="H13040" s="0" t="n">
        <v>29</v>
      </c>
      <c r="I13040" s="0" t="s">
        <v>43317</v>
      </c>
      <c r="J13040" s="0" t="s">
        <v>43318</v>
      </c>
      <c r="K13040" s="0" t="s">
        <v>43319</v>
      </c>
      <c r="L13040" s="0" t="str">
        <f aca="false">HYPERLINK("https://www.ncbi.nlm.nih.gov/nuccore/CP000058.1?report=graph&amp;tracks=[key:gene_model_track,Options:GeneOnly]&amp;mk=4078148:4078167|offset_29|00cc00,4078082:4078101|offset_95|444444,4078059:4078078|offset_118|444444,4078023:4078042|offset_154|444444&amp;v=4077947:4078242&amp;c=444444", "offset 29")</f>
        <v>offset 29</v>
      </c>
    </row>
    <row r="13041" customFormat="false" ht="12.8" hidden="false" customHeight="false" outlineLevel="0" collapsed="false">
      <c r="A13041" s="0" t="s">
        <v>12</v>
      </c>
      <c r="B13041" s="0" t="n">
        <v>4078081</v>
      </c>
      <c r="C13041" s="0" t="n">
        <v>4078101</v>
      </c>
      <c r="D13041" s="0" t="s">
        <v>43315</v>
      </c>
      <c r="E13041" s="0" t="s">
        <v>43316</v>
      </c>
      <c r="F13041" s="0" t="s">
        <v>90</v>
      </c>
      <c r="G13041" s="0" t="s">
        <v>16</v>
      </c>
      <c r="H13041" s="0" t="n">
        <v>95</v>
      </c>
      <c r="I13041" s="0" t="s">
        <v>43320</v>
      </c>
      <c r="J13041" s="0" t="s">
        <v>43321</v>
      </c>
      <c r="K13041" s="0" t="s">
        <v>43322</v>
      </c>
      <c r="L13041" s="0" t="str">
        <f aca="false">HYPERLINK("https://www.ncbi.nlm.nih.gov/nuccore/CP000058.1?report=graph&amp;tracks=[key:gene_model_track,Options:GeneOnly]&amp;mk=4078148:4078167|offset_29|444444,4078082:4078101|offset_95|00cc00,4078059:4078078|offset_118|444444,4078023:4078042|offset_154|444444&amp;v=4077947:4078242&amp;c=444444", "offset 95")</f>
        <v>offset 95</v>
      </c>
    </row>
    <row r="13042" customFormat="false" ht="12.8" hidden="false" customHeight="false" outlineLevel="0" collapsed="false">
      <c r="A13042" s="0" t="s">
        <v>12</v>
      </c>
      <c r="B13042" s="0" t="n">
        <v>4078058</v>
      </c>
      <c r="C13042" s="0" t="n">
        <v>4078078</v>
      </c>
      <c r="D13042" s="0" t="s">
        <v>43315</v>
      </c>
      <c r="E13042" s="0" t="s">
        <v>43316</v>
      </c>
      <c r="F13042" s="0" t="s">
        <v>90</v>
      </c>
      <c r="G13042" s="0" t="s">
        <v>36</v>
      </c>
      <c r="H13042" s="0" t="n">
        <v>118</v>
      </c>
      <c r="I13042" s="0" t="s">
        <v>43323</v>
      </c>
      <c r="J13042" s="0" t="s">
        <v>43324</v>
      </c>
      <c r="K13042" s="0" t="s">
        <v>43325</v>
      </c>
      <c r="L13042" s="0" t="str">
        <f aca="false">HYPERLINK("https://www.ncbi.nlm.nih.gov/nuccore/CP000058.1?report=graph&amp;tracks=[key:gene_model_track,Options:GeneOnly]&amp;mk=4078148:4078167|offset_29|444444,4078082:4078101|offset_95|444444,4078059:4078078|offset_118|00cc00,4078023:4078042|offset_154|444444&amp;v=4077947:4078242&amp;c=444444", "offset 118")</f>
        <v>offset 118</v>
      </c>
    </row>
    <row r="13043" customFormat="false" ht="12.8" hidden="false" customHeight="false" outlineLevel="0" collapsed="false">
      <c r="A13043" s="0" t="s">
        <v>12</v>
      </c>
      <c r="B13043" s="0" t="n">
        <v>4078022</v>
      </c>
      <c r="C13043" s="0" t="n">
        <v>4078042</v>
      </c>
      <c r="D13043" s="0" t="s">
        <v>43315</v>
      </c>
      <c r="E13043" s="0" t="s">
        <v>43316</v>
      </c>
      <c r="F13043" s="0" t="s">
        <v>90</v>
      </c>
      <c r="G13043" s="0" t="s">
        <v>36</v>
      </c>
      <c r="H13043" s="0" t="n">
        <v>154</v>
      </c>
      <c r="I13043" s="0" t="s">
        <v>43326</v>
      </c>
      <c r="J13043" s="0" t="s">
        <v>43327</v>
      </c>
      <c r="K13043" s="0" t="s">
        <v>43328</v>
      </c>
      <c r="L13043" s="0" t="str">
        <f aca="false">HYPERLINK("https://www.ncbi.nlm.nih.gov/nuccore/CP000058.1?report=graph&amp;tracks=[key:gene_model_track,Options:GeneOnly]&amp;mk=4078148:4078167|offset_29|444444,4078082:4078101|offset_95|444444,4078059:4078078|offset_118|444444,4078023:4078042|offset_154|00cc00&amp;v=4077947:4078242&amp;c=444444", "offset 154")</f>
        <v>offset 154</v>
      </c>
    </row>
    <row r="13044" customFormat="false" ht="12.8" hidden="false" customHeight="false" outlineLevel="0" collapsed="false">
      <c r="A13044" s="0" t="s">
        <v>12</v>
      </c>
      <c r="B13044" s="0" t="n">
        <v>4078552</v>
      </c>
      <c r="C13044" s="0" t="n">
        <v>4078572</v>
      </c>
      <c r="D13044" s="0" t="s">
        <v>43329</v>
      </c>
      <c r="E13044" s="0" t="s">
        <v>75</v>
      </c>
      <c r="F13044" s="0" t="s">
        <v>90</v>
      </c>
      <c r="G13044" s="0" t="s">
        <v>36</v>
      </c>
      <c r="H13044" s="0" t="n">
        <v>0</v>
      </c>
      <c r="I13044" s="0" t="s">
        <v>43330</v>
      </c>
      <c r="J13044" s="0" t="s">
        <v>43331</v>
      </c>
      <c r="K13044" s="0" t="s">
        <v>43332</v>
      </c>
      <c r="L13044" s="0" t="str">
        <f aca="false">HYPERLINK("https://www.ncbi.nlm.nih.gov/nuccore/CP000058.1?report=graph&amp;tracks=[key:gene_model_track,Options:GeneOnly]&amp;mk=4078553:4078572|offset_0|00cc00,4078533:4078552|offset_20|444444,4078494:4078513|offset_59|444444,4078459:4078478|offset_94|444444&amp;v=4078352:4078678&amp;c=444444", "offset 0")</f>
        <v>offset 0</v>
      </c>
    </row>
    <row r="13045" customFormat="false" ht="12.8" hidden="false" customHeight="false" outlineLevel="0" collapsed="false">
      <c r="A13045" s="0" t="s">
        <v>12</v>
      </c>
      <c r="B13045" s="0" t="n">
        <v>4078532</v>
      </c>
      <c r="C13045" s="0" t="n">
        <v>4078552</v>
      </c>
      <c r="D13045" s="0" t="s">
        <v>43329</v>
      </c>
      <c r="E13045" s="0" t="s">
        <v>75</v>
      </c>
      <c r="F13045" s="0" t="s">
        <v>90</v>
      </c>
      <c r="G13045" s="0" t="s">
        <v>36</v>
      </c>
      <c r="H13045" s="0" t="n">
        <v>20</v>
      </c>
      <c r="I13045" s="0" t="s">
        <v>43333</v>
      </c>
      <c r="J13045" s="0" t="s">
        <v>43334</v>
      </c>
      <c r="K13045" s="0" t="s">
        <v>43335</v>
      </c>
      <c r="L13045" s="0" t="str">
        <f aca="false">HYPERLINK("https://www.ncbi.nlm.nih.gov/nuccore/CP000058.1?report=graph&amp;tracks=[key:gene_model_track,Options:GeneOnly]&amp;mk=4078553:4078572|offset_0|444444,4078533:4078552|offset_20|00cc00,4078494:4078513|offset_59|444444,4078459:4078478|offset_94|444444&amp;v=4078352:4078678&amp;c=444444", "offset 20")</f>
        <v>offset 20</v>
      </c>
    </row>
    <row r="13046" customFormat="false" ht="12.8" hidden="false" customHeight="false" outlineLevel="0" collapsed="false">
      <c r="A13046" s="0" t="s">
        <v>12</v>
      </c>
      <c r="B13046" s="0" t="n">
        <v>4078493</v>
      </c>
      <c r="C13046" s="0" t="n">
        <v>4078513</v>
      </c>
      <c r="D13046" s="0" t="s">
        <v>43329</v>
      </c>
      <c r="E13046" s="0" t="s">
        <v>75</v>
      </c>
      <c r="F13046" s="0" t="s">
        <v>90</v>
      </c>
      <c r="G13046" s="0" t="s">
        <v>20</v>
      </c>
      <c r="H13046" s="0" t="n">
        <v>59</v>
      </c>
      <c r="I13046" s="0" t="s">
        <v>43336</v>
      </c>
      <c r="J13046" s="0" t="s">
        <v>43337</v>
      </c>
      <c r="K13046" s="0" t="s">
        <v>43338</v>
      </c>
      <c r="L13046" s="0" t="str">
        <f aca="false">HYPERLINK("https://www.ncbi.nlm.nih.gov/nuccore/CP000058.1?report=graph&amp;tracks=[key:gene_model_track,Options:GeneOnly]&amp;mk=4078553:4078572|offset_0|444444,4078533:4078552|offset_20|444444,4078494:4078513|offset_59|00cc00,4078459:4078478|offset_94|444444&amp;v=4078352:4078678&amp;c=444444", "offset 59")</f>
        <v>offset 59</v>
      </c>
    </row>
    <row r="13047" customFormat="false" ht="12.8" hidden="false" customHeight="false" outlineLevel="0" collapsed="false">
      <c r="A13047" s="0" t="s">
        <v>12</v>
      </c>
      <c r="B13047" s="0" t="n">
        <v>4078458</v>
      </c>
      <c r="C13047" s="0" t="n">
        <v>4078478</v>
      </c>
      <c r="D13047" s="0" t="s">
        <v>43329</v>
      </c>
      <c r="E13047" s="0" t="s">
        <v>75</v>
      </c>
      <c r="F13047" s="0" t="s">
        <v>90</v>
      </c>
      <c r="G13047" s="0" t="s">
        <v>20</v>
      </c>
      <c r="H13047" s="0" t="n">
        <v>94</v>
      </c>
      <c r="I13047" s="0" t="s">
        <v>43339</v>
      </c>
      <c r="J13047" s="0" t="s">
        <v>43340</v>
      </c>
      <c r="K13047" s="0" t="s">
        <v>43341</v>
      </c>
      <c r="L13047" s="0" t="str">
        <f aca="false">HYPERLINK("https://www.ncbi.nlm.nih.gov/nuccore/CP000058.1?report=graph&amp;tracks=[key:gene_model_track,Options:GeneOnly]&amp;mk=4078553:4078572|offset_0|444444,4078533:4078552|offset_20|444444,4078494:4078513|offset_59|444444,4078459:4078478|offset_94|00cc00&amp;v=4078352:4078678&amp;c=444444", "offset 94")</f>
        <v>offset 94</v>
      </c>
    </row>
    <row r="13048" customFormat="false" ht="12.8" hidden="false" customHeight="false" outlineLevel="0" collapsed="false">
      <c r="A13048" s="0" t="s">
        <v>12</v>
      </c>
      <c r="B13048" s="0" t="n">
        <v>4079590</v>
      </c>
      <c r="C13048" s="0" t="n">
        <v>4079610</v>
      </c>
      <c r="D13048" s="0" t="s">
        <v>43342</v>
      </c>
      <c r="E13048" s="0" t="s">
        <v>43343</v>
      </c>
      <c r="F13048" s="0" t="s">
        <v>90</v>
      </c>
      <c r="G13048" s="0" t="s">
        <v>36</v>
      </c>
      <c r="H13048" s="0" t="n">
        <v>0</v>
      </c>
      <c r="I13048" s="0" t="s">
        <v>43344</v>
      </c>
      <c r="J13048" s="0" t="s">
        <v>43345</v>
      </c>
      <c r="K13048" s="0" t="s">
        <v>43346</v>
      </c>
      <c r="L13048" s="0" t="str">
        <f aca="false">HYPERLINK("https://www.ncbi.nlm.nih.gov/nuccore/CP000058.1?report=graph&amp;tracks=[key:gene_model_track,Options:GeneOnly]&amp;mk=4079591:4079610|offset_0|00cc00,4079560:4079579|offset_31|444444,4079533:4079552|offset_58|444444,4079474:4079493|offset_117|444444&amp;v=4079390:4079693&amp;c=444444", "offset 0")</f>
        <v>offset 0</v>
      </c>
    </row>
    <row r="13049" customFormat="false" ht="12.8" hidden="false" customHeight="false" outlineLevel="0" collapsed="false">
      <c r="A13049" s="0" t="s">
        <v>12</v>
      </c>
      <c r="B13049" s="0" t="n">
        <v>4079559</v>
      </c>
      <c r="C13049" s="0" t="n">
        <v>4079579</v>
      </c>
      <c r="D13049" s="0" t="s">
        <v>43342</v>
      </c>
      <c r="E13049" s="0" t="s">
        <v>43343</v>
      </c>
      <c r="F13049" s="0" t="s">
        <v>90</v>
      </c>
      <c r="G13049" s="0" t="s">
        <v>36</v>
      </c>
      <c r="H13049" s="0" t="n">
        <v>31</v>
      </c>
      <c r="I13049" s="0" t="s">
        <v>43347</v>
      </c>
      <c r="J13049" s="0" t="s">
        <v>43348</v>
      </c>
      <c r="K13049" s="0" t="s">
        <v>43349</v>
      </c>
      <c r="L13049" s="0" t="str">
        <f aca="false">HYPERLINK("https://www.ncbi.nlm.nih.gov/nuccore/CP000058.1?report=graph&amp;tracks=[key:gene_model_track,Options:GeneOnly]&amp;mk=4079591:4079610|offset_0|444444,4079560:4079579|offset_31|00cc00,4079533:4079552|offset_58|444444,4079474:4079493|offset_117|444444&amp;v=4079390:4079693&amp;c=444444", "offset 31")</f>
        <v>offset 31</v>
      </c>
    </row>
    <row r="13050" customFormat="false" ht="12.8" hidden="false" customHeight="false" outlineLevel="0" collapsed="false">
      <c r="A13050" s="0" t="s">
        <v>12</v>
      </c>
      <c r="B13050" s="0" t="n">
        <v>4079532</v>
      </c>
      <c r="C13050" s="0" t="n">
        <v>4079552</v>
      </c>
      <c r="D13050" s="0" t="s">
        <v>43342</v>
      </c>
      <c r="E13050" s="0" t="s">
        <v>43343</v>
      </c>
      <c r="F13050" s="0" t="s">
        <v>90</v>
      </c>
      <c r="G13050" s="0" t="s">
        <v>20</v>
      </c>
      <c r="H13050" s="0" t="n">
        <v>58</v>
      </c>
      <c r="I13050" s="0" t="s">
        <v>43350</v>
      </c>
      <c r="J13050" s="0" t="s">
        <v>43351</v>
      </c>
      <c r="K13050" s="0" t="s">
        <v>43352</v>
      </c>
      <c r="L13050" s="0" t="str">
        <f aca="false">HYPERLINK("https://www.ncbi.nlm.nih.gov/nuccore/CP000058.1?report=graph&amp;tracks=[key:gene_model_track,Options:GeneOnly]&amp;mk=4079591:4079610|offset_0|444444,4079560:4079579|offset_31|444444,4079533:4079552|offset_58|00cc00,4079474:4079493|offset_117|444444&amp;v=4079390:4079693&amp;c=444444", "offset 58")</f>
        <v>offset 58</v>
      </c>
    </row>
    <row r="13051" customFormat="false" ht="12.8" hidden="false" customHeight="false" outlineLevel="0" collapsed="false">
      <c r="A13051" s="0" t="s">
        <v>12</v>
      </c>
      <c r="B13051" s="0" t="n">
        <v>4079473</v>
      </c>
      <c r="C13051" s="0" t="n">
        <v>4079493</v>
      </c>
      <c r="D13051" s="0" t="s">
        <v>43342</v>
      </c>
      <c r="E13051" s="0" t="s">
        <v>43343</v>
      </c>
      <c r="F13051" s="0" t="s">
        <v>90</v>
      </c>
      <c r="G13051" s="0" t="s">
        <v>36</v>
      </c>
      <c r="H13051" s="0" t="n">
        <v>117</v>
      </c>
      <c r="I13051" s="0" t="s">
        <v>43353</v>
      </c>
      <c r="J13051" s="0" t="s">
        <v>43354</v>
      </c>
      <c r="K13051" s="0" t="s">
        <v>43355</v>
      </c>
      <c r="L13051" s="0" t="str">
        <f aca="false">HYPERLINK("https://www.ncbi.nlm.nih.gov/nuccore/CP000058.1?report=graph&amp;tracks=[key:gene_model_track,Options:GeneOnly]&amp;mk=4079591:4079610|offset_0|444444,4079560:4079579|offset_31|444444,4079533:4079552|offset_58|444444,4079474:4079493|offset_117|00cc00&amp;v=4079390:4079693&amp;c=444444", "offset 117")</f>
        <v>offset 117</v>
      </c>
    </row>
    <row r="13052" customFormat="false" ht="12.8" hidden="false" customHeight="false" outlineLevel="0" collapsed="false">
      <c r="A13052" s="0" t="s">
        <v>12</v>
      </c>
      <c r="B13052" s="0" t="n">
        <v>4080331</v>
      </c>
      <c r="C13052" s="0" t="n">
        <v>4080351</v>
      </c>
      <c r="D13052" s="0" t="s">
        <v>43356</v>
      </c>
      <c r="E13052" s="0" t="s">
        <v>43357</v>
      </c>
      <c r="F13052" s="0" t="s">
        <v>90</v>
      </c>
      <c r="G13052" s="0" t="s">
        <v>16</v>
      </c>
      <c r="H13052" s="0" t="n">
        <v>6</v>
      </c>
      <c r="I13052" s="0" t="s">
        <v>43358</v>
      </c>
      <c r="J13052" s="0" t="s">
        <v>43359</v>
      </c>
      <c r="K13052" s="0" t="s">
        <v>43360</v>
      </c>
      <c r="L13052" s="0" t="str">
        <f aca="false">HYPERLINK("https://www.ncbi.nlm.nih.gov/nuccore/CP000058.1?report=graph&amp;tracks=[key:gene_model_track,Options:GeneOnly]&amp;mk=4080332:4080351|offset_6|00cc00,4080311:4080330|offset_27|444444,4080272:4080291|offset_66|444444,4080252:4080271|offset_86|444444&amp;v=4080131:4080471&amp;c=444444", "offset 6")</f>
        <v>offset 6</v>
      </c>
    </row>
    <row r="13053" customFormat="false" ht="12.8" hidden="false" customHeight="false" outlineLevel="0" collapsed="false">
      <c r="A13053" s="0" t="s">
        <v>12</v>
      </c>
      <c r="B13053" s="0" t="n">
        <v>4080310</v>
      </c>
      <c r="C13053" s="0" t="n">
        <v>4080330</v>
      </c>
      <c r="D13053" s="0" t="s">
        <v>43356</v>
      </c>
      <c r="E13053" s="0" t="s">
        <v>43357</v>
      </c>
      <c r="F13053" s="0" t="s">
        <v>90</v>
      </c>
      <c r="G13053" s="0" t="s">
        <v>36</v>
      </c>
      <c r="H13053" s="0" t="n">
        <v>27</v>
      </c>
      <c r="I13053" s="0" t="s">
        <v>43361</v>
      </c>
      <c r="J13053" s="0" t="s">
        <v>43362</v>
      </c>
      <c r="K13053" s="0" t="s">
        <v>43363</v>
      </c>
      <c r="L13053" s="0" t="str">
        <f aca="false">HYPERLINK("https://www.ncbi.nlm.nih.gov/nuccore/CP000058.1?report=graph&amp;tracks=[key:gene_model_track,Options:GeneOnly]&amp;mk=4080332:4080351|offset_6|444444,4080311:4080330|offset_27|00cc00,4080272:4080291|offset_66|444444,4080252:4080271|offset_86|444444&amp;v=4080131:4080471&amp;c=444444", "offset 27")</f>
        <v>offset 27</v>
      </c>
    </row>
    <row r="13054" customFormat="false" ht="12.8" hidden="false" customHeight="false" outlineLevel="0" collapsed="false">
      <c r="A13054" s="0" t="s">
        <v>12</v>
      </c>
      <c r="B13054" s="0" t="n">
        <v>4080271</v>
      </c>
      <c r="C13054" s="0" t="n">
        <v>4080291</v>
      </c>
      <c r="D13054" s="0" t="s">
        <v>43356</v>
      </c>
      <c r="E13054" s="0" t="s">
        <v>43357</v>
      </c>
      <c r="F13054" s="0" t="s">
        <v>90</v>
      </c>
      <c r="G13054" s="0" t="s">
        <v>16</v>
      </c>
      <c r="H13054" s="0" t="n">
        <v>66</v>
      </c>
      <c r="I13054" s="0" t="s">
        <v>43364</v>
      </c>
      <c r="J13054" s="0" t="s">
        <v>43365</v>
      </c>
      <c r="K13054" s="0" t="s">
        <v>43366</v>
      </c>
      <c r="L13054" s="0" t="str">
        <f aca="false">HYPERLINK("https://www.ncbi.nlm.nih.gov/nuccore/CP000058.1?report=graph&amp;tracks=[key:gene_model_track,Options:GeneOnly]&amp;mk=4080332:4080351|offset_6|444444,4080311:4080330|offset_27|444444,4080272:4080291|offset_66|00cc00,4080252:4080271|offset_86|444444&amp;v=4080131:4080471&amp;c=444444", "offset 66")</f>
        <v>offset 66</v>
      </c>
    </row>
    <row r="13055" customFormat="false" ht="12.8" hidden="false" customHeight="false" outlineLevel="0" collapsed="false">
      <c r="A13055" s="0" t="s">
        <v>12</v>
      </c>
      <c r="B13055" s="0" t="n">
        <v>4080251</v>
      </c>
      <c r="C13055" s="0" t="n">
        <v>4080271</v>
      </c>
      <c r="D13055" s="0" t="s">
        <v>43356</v>
      </c>
      <c r="E13055" s="0" t="s">
        <v>43357</v>
      </c>
      <c r="F13055" s="0" t="s">
        <v>90</v>
      </c>
      <c r="G13055" s="0" t="s">
        <v>20</v>
      </c>
      <c r="H13055" s="0" t="n">
        <v>86</v>
      </c>
      <c r="I13055" s="0" t="s">
        <v>43367</v>
      </c>
      <c r="J13055" s="0" t="s">
        <v>43368</v>
      </c>
      <c r="K13055" s="0" t="s">
        <v>43369</v>
      </c>
      <c r="L13055" s="0" t="str">
        <f aca="false">HYPERLINK("https://www.ncbi.nlm.nih.gov/nuccore/CP000058.1?report=graph&amp;tracks=[key:gene_model_track,Options:GeneOnly]&amp;mk=4080332:4080351|offset_6|444444,4080311:4080330|offset_27|444444,4080272:4080291|offset_66|444444,4080252:4080271|offset_86|00cc00&amp;v=4080131:4080471&amp;c=444444", "offset 86")</f>
        <v>offset 86</v>
      </c>
    </row>
    <row r="13056" customFormat="false" ht="12.8" hidden="false" customHeight="false" outlineLevel="0" collapsed="false">
      <c r="A13056" s="0" t="s">
        <v>12</v>
      </c>
      <c r="B13056" s="0" t="n">
        <v>4081052</v>
      </c>
      <c r="C13056" s="0" t="n">
        <v>4081072</v>
      </c>
      <c r="D13056" s="0" t="s">
        <v>43370</v>
      </c>
      <c r="E13056" s="0" t="s">
        <v>75</v>
      </c>
      <c r="F13056" s="0" t="s">
        <v>90</v>
      </c>
      <c r="G13056" s="0" t="s">
        <v>16</v>
      </c>
      <c r="H13056" s="0" t="n">
        <v>1</v>
      </c>
      <c r="I13056" s="0" t="s">
        <v>43371</v>
      </c>
      <c r="J13056" s="0" t="s">
        <v>43372</v>
      </c>
      <c r="K13056" s="0" t="s">
        <v>43373</v>
      </c>
      <c r="L13056" s="0" t="str">
        <f aca="false">HYPERLINK("https://www.ncbi.nlm.nih.gov/nuccore/CP000058.1?report=graph&amp;tracks=[key:gene_model_track,Options:GeneOnly]&amp;mk=4081053:4081072|offset_1|00cc00,4081031:4081050|offset_23|444444,4081007:4081026|offset_47|444444,4080975:4080994|offset_79|444444&amp;v=4080852:4081194&amp;c=444444", "offset 1")</f>
        <v>offset 1</v>
      </c>
    </row>
    <row r="13057" customFormat="false" ht="12.8" hidden="false" customHeight="false" outlineLevel="0" collapsed="false">
      <c r="A13057" s="0" t="s">
        <v>12</v>
      </c>
      <c r="B13057" s="0" t="n">
        <v>4081030</v>
      </c>
      <c r="C13057" s="0" t="n">
        <v>4081050</v>
      </c>
      <c r="D13057" s="0" t="s">
        <v>43370</v>
      </c>
      <c r="E13057" s="0" t="s">
        <v>75</v>
      </c>
      <c r="F13057" s="0" t="s">
        <v>90</v>
      </c>
      <c r="G13057" s="0" t="s">
        <v>32</v>
      </c>
      <c r="H13057" s="0" t="n">
        <v>23</v>
      </c>
      <c r="I13057" s="0" t="s">
        <v>43374</v>
      </c>
      <c r="J13057" s="0" t="s">
        <v>43375</v>
      </c>
      <c r="K13057" s="0" t="s">
        <v>43376</v>
      </c>
      <c r="L13057" s="0" t="str">
        <f aca="false">HYPERLINK("https://www.ncbi.nlm.nih.gov/nuccore/CP000058.1?report=graph&amp;tracks=[key:gene_model_track,Options:GeneOnly]&amp;mk=4081053:4081072|offset_1|444444,4081031:4081050|offset_23|00cc00,4081007:4081026|offset_47|444444,4080975:4080994|offset_79|444444&amp;v=4080852:4081194&amp;c=444444", "offset 23")</f>
        <v>offset 23</v>
      </c>
    </row>
    <row r="13058" customFormat="false" ht="12.8" hidden="false" customHeight="false" outlineLevel="0" collapsed="false">
      <c r="A13058" s="0" t="s">
        <v>12</v>
      </c>
      <c r="B13058" s="0" t="n">
        <v>4081006</v>
      </c>
      <c r="C13058" s="0" t="n">
        <v>4081026</v>
      </c>
      <c r="D13058" s="0" t="s">
        <v>43370</v>
      </c>
      <c r="E13058" s="0" t="s">
        <v>75</v>
      </c>
      <c r="F13058" s="0" t="s">
        <v>90</v>
      </c>
      <c r="G13058" s="0" t="s">
        <v>20</v>
      </c>
      <c r="H13058" s="0" t="n">
        <v>47</v>
      </c>
      <c r="I13058" s="0" t="s">
        <v>43377</v>
      </c>
      <c r="J13058" s="0" t="s">
        <v>43378</v>
      </c>
      <c r="K13058" s="0" t="s">
        <v>43379</v>
      </c>
      <c r="L13058" s="0" t="str">
        <f aca="false">HYPERLINK("https://www.ncbi.nlm.nih.gov/nuccore/CP000058.1?report=graph&amp;tracks=[key:gene_model_track,Options:GeneOnly]&amp;mk=4081053:4081072|offset_1|444444,4081031:4081050|offset_23|444444,4081007:4081026|offset_47|00cc00,4080975:4080994|offset_79|444444&amp;v=4080852:4081194&amp;c=444444", "offset 47")</f>
        <v>offset 47</v>
      </c>
    </row>
    <row r="13059" customFormat="false" ht="12.8" hidden="false" customHeight="false" outlineLevel="0" collapsed="false">
      <c r="A13059" s="0" t="s">
        <v>12</v>
      </c>
      <c r="B13059" s="0" t="n">
        <v>4080974</v>
      </c>
      <c r="C13059" s="0" t="n">
        <v>4080994</v>
      </c>
      <c r="D13059" s="0" t="s">
        <v>43370</v>
      </c>
      <c r="E13059" s="0" t="s">
        <v>75</v>
      </c>
      <c r="F13059" s="0" t="s">
        <v>90</v>
      </c>
      <c r="G13059" s="0" t="s">
        <v>16</v>
      </c>
      <c r="H13059" s="0" t="n">
        <v>79</v>
      </c>
      <c r="I13059" s="0" t="s">
        <v>43380</v>
      </c>
      <c r="J13059" s="0" t="s">
        <v>43381</v>
      </c>
      <c r="K13059" s="0" t="s">
        <v>43382</v>
      </c>
      <c r="L13059" s="0" t="str">
        <f aca="false">HYPERLINK("https://www.ncbi.nlm.nih.gov/nuccore/CP000058.1?report=graph&amp;tracks=[key:gene_model_track,Options:GeneOnly]&amp;mk=4081053:4081072|offset_1|444444,4081031:4081050|offset_23|444444,4081007:4081026|offset_47|444444,4080975:4080994|offset_79|00cc00&amp;v=4080852:4081194&amp;c=444444", "offset 79")</f>
        <v>offset 79</v>
      </c>
    </row>
    <row r="13060" customFormat="false" ht="12.8" hidden="false" customHeight="false" outlineLevel="0" collapsed="false">
      <c r="A13060" s="0" t="s">
        <v>12</v>
      </c>
      <c r="B13060" s="0" t="n">
        <v>4081916</v>
      </c>
      <c r="C13060" s="0" t="n">
        <v>4081936</v>
      </c>
      <c r="D13060" s="0" t="s">
        <v>43383</v>
      </c>
      <c r="E13060" s="0" t="s">
        <v>75</v>
      </c>
      <c r="F13060" s="0" t="s">
        <v>90</v>
      </c>
      <c r="G13060" s="0" t="s">
        <v>20</v>
      </c>
      <c r="H13060" s="0" t="n">
        <v>14</v>
      </c>
      <c r="I13060" s="0" t="s">
        <v>43384</v>
      </c>
      <c r="J13060" s="0" t="s">
        <v>43385</v>
      </c>
      <c r="K13060" s="0" t="s">
        <v>43386</v>
      </c>
      <c r="L13060" s="0" t="str">
        <f aca="false">HYPERLINK("https://www.ncbi.nlm.nih.gov/nuccore/CP000058.1?report=graph&amp;tracks=[key:gene_model_track,Options:GeneOnly]&amp;mk=4081917:4081936|offset_14|00cc00,4081877:4081896|offset_54|444444,4081833:4081852|offset_98|444444,4081810:4081829|offset_121|444444&amp;v=4081716:4082029&amp;c=444444", "offset 14")</f>
        <v>offset 14</v>
      </c>
    </row>
    <row r="13061" customFormat="false" ht="12.8" hidden="false" customHeight="false" outlineLevel="0" collapsed="false">
      <c r="A13061" s="0" t="s">
        <v>12</v>
      </c>
      <c r="B13061" s="0" t="n">
        <v>4081876</v>
      </c>
      <c r="C13061" s="0" t="n">
        <v>4081896</v>
      </c>
      <c r="D13061" s="0" t="s">
        <v>43383</v>
      </c>
      <c r="E13061" s="0" t="s">
        <v>75</v>
      </c>
      <c r="F13061" s="0" t="s">
        <v>90</v>
      </c>
      <c r="G13061" s="0" t="s">
        <v>36</v>
      </c>
      <c r="H13061" s="0" t="n">
        <v>54</v>
      </c>
      <c r="I13061" s="0" t="s">
        <v>43387</v>
      </c>
      <c r="J13061" s="0" t="s">
        <v>43388</v>
      </c>
      <c r="K13061" s="0" t="s">
        <v>43389</v>
      </c>
      <c r="L13061" s="0" t="str">
        <f aca="false">HYPERLINK("https://www.ncbi.nlm.nih.gov/nuccore/CP000058.1?report=graph&amp;tracks=[key:gene_model_track,Options:GeneOnly]&amp;mk=4081917:4081936|offset_14|444444,4081877:4081896|offset_54|00cc00,4081833:4081852|offset_98|444444,4081810:4081829|offset_121|444444&amp;v=4081716:4082029&amp;c=444444", "offset 54")</f>
        <v>offset 54</v>
      </c>
    </row>
    <row r="13062" customFormat="false" ht="12.8" hidden="false" customHeight="false" outlineLevel="0" collapsed="false">
      <c r="A13062" s="0" t="s">
        <v>12</v>
      </c>
      <c r="B13062" s="0" t="n">
        <v>4081832</v>
      </c>
      <c r="C13062" s="0" t="n">
        <v>4081852</v>
      </c>
      <c r="D13062" s="0" t="s">
        <v>43383</v>
      </c>
      <c r="E13062" s="0" t="s">
        <v>75</v>
      </c>
      <c r="F13062" s="0" t="s">
        <v>90</v>
      </c>
      <c r="G13062" s="0" t="s">
        <v>20</v>
      </c>
      <c r="H13062" s="0" t="n">
        <v>98</v>
      </c>
      <c r="I13062" s="0" t="s">
        <v>43390</v>
      </c>
      <c r="J13062" s="0" t="s">
        <v>43391</v>
      </c>
      <c r="K13062" s="0" t="s">
        <v>43392</v>
      </c>
      <c r="L13062" s="0" t="str">
        <f aca="false">HYPERLINK("https://www.ncbi.nlm.nih.gov/nuccore/CP000058.1?report=graph&amp;tracks=[key:gene_model_track,Options:GeneOnly]&amp;mk=4081917:4081936|offset_14|444444,4081877:4081896|offset_54|444444,4081833:4081852|offset_98|00cc00,4081810:4081829|offset_121|444444&amp;v=4081716:4082029&amp;c=444444", "offset 98")</f>
        <v>offset 98</v>
      </c>
    </row>
    <row r="13063" customFormat="false" ht="12.8" hidden="false" customHeight="false" outlineLevel="0" collapsed="false">
      <c r="A13063" s="0" t="s">
        <v>12</v>
      </c>
      <c r="B13063" s="0" t="n">
        <v>4081809</v>
      </c>
      <c r="C13063" s="0" t="n">
        <v>4081829</v>
      </c>
      <c r="D13063" s="0" t="s">
        <v>43383</v>
      </c>
      <c r="E13063" s="0" t="s">
        <v>75</v>
      </c>
      <c r="F13063" s="0" t="s">
        <v>90</v>
      </c>
      <c r="G13063" s="0" t="s">
        <v>36</v>
      </c>
      <c r="H13063" s="0" t="n">
        <v>121</v>
      </c>
      <c r="I13063" s="0" t="s">
        <v>43393</v>
      </c>
      <c r="J13063" s="0" t="s">
        <v>43394</v>
      </c>
      <c r="K13063" s="0" t="s">
        <v>43395</v>
      </c>
      <c r="L13063" s="0" t="str">
        <f aca="false">HYPERLINK("https://www.ncbi.nlm.nih.gov/nuccore/CP000058.1?report=graph&amp;tracks=[key:gene_model_track,Options:GeneOnly]&amp;mk=4081917:4081936|offset_14|444444,4081877:4081896|offset_54|444444,4081833:4081852|offset_98|444444,4081810:4081829|offset_121|00cc00&amp;v=4081716:4082029&amp;c=444444", "offset 121")</f>
        <v>offset 121</v>
      </c>
    </row>
    <row r="13064" customFormat="false" ht="12.8" hidden="false" customHeight="false" outlineLevel="0" collapsed="false">
      <c r="A13064" s="0" t="s">
        <v>12</v>
      </c>
      <c r="B13064" s="0" t="n">
        <v>4082041</v>
      </c>
      <c r="C13064" s="0" t="n">
        <v>4082061</v>
      </c>
      <c r="D13064" s="0" t="s">
        <v>43396</v>
      </c>
      <c r="E13064" s="0" t="s">
        <v>43397</v>
      </c>
      <c r="F13064" s="0" t="s">
        <v>15</v>
      </c>
      <c r="G13064" s="0" t="s">
        <v>36</v>
      </c>
      <c r="H13064" s="0" t="n">
        <v>26</v>
      </c>
      <c r="I13064" s="0" t="s">
        <v>43398</v>
      </c>
      <c r="J13064" s="0" t="s">
        <v>43399</v>
      </c>
      <c r="K13064" s="0" t="s">
        <v>43400</v>
      </c>
      <c r="L13064" s="0" t="str">
        <f aca="false">HYPERLINK("https://www.ncbi.nlm.nih.gov/nuccore/CP000058.1?report=graph&amp;tracks=[key:gene_model_track,Options:GeneOnly]&amp;mk=4082042:4082061|offset_26|00cc00,4082074:4082093|offset_58|444444,4082096:4082115|offset_80|444444,4082183:4082202|offset_167|444444&amp;v=4081841:4082402&amp;c=444444", "offset 26")</f>
        <v>offset 26</v>
      </c>
    </row>
    <row r="13065" customFormat="false" ht="12.8" hidden="false" customHeight="false" outlineLevel="0" collapsed="false">
      <c r="A13065" s="0" t="s">
        <v>12</v>
      </c>
      <c r="B13065" s="0" t="n">
        <v>4082073</v>
      </c>
      <c r="C13065" s="0" t="n">
        <v>4082093</v>
      </c>
      <c r="D13065" s="0" t="s">
        <v>43396</v>
      </c>
      <c r="E13065" s="0" t="s">
        <v>43397</v>
      </c>
      <c r="F13065" s="0" t="s">
        <v>15</v>
      </c>
      <c r="G13065" s="0" t="s">
        <v>16</v>
      </c>
      <c r="H13065" s="0" t="n">
        <v>58</v>
      </c>
      <c r="I13065" s="0" t="s">
        <v>43401</v>
      </c>
      <c r="J13065" s="0" t="s">
        <v>43402</v>
      </c>
      <c r="K13065" s="0" t="s">
        <v>43403</v>
      </c>
      <c r="L13065" s="0" t="str">
        <f aca="false">HYPERLINK("https://www.ncbi.nlm.nih.gov/nuccore/CP000058.1?report=graph&amp;tracks=[key:gene_model_track,Options:GeneOnly]&amp;mk=4082042:4082061|offset_26|444444,4082074:4082093|offset_58|00cc00,4082096:4082115|offset_80|444444,4082183:4082202|offset_167|444444&amp;v=4081841:4082402&amp;c=444444", "offset 58")</f>
        <v>offset 58</v>
      </c>
    </row>
    <row r="13066" customFormat="false" ht="12.8" hidden="false" customHeight="false" outlineLevel="0" collapsed="false">
      <c r="A13066" s="0" t="s">
        <v>12</v>
      </c>
      <c r="B13066" s="0" t="n">
        <v>4082095</v>
      </c>
      <c r="C13066" s="0" t="n">
        <v>4082115</v>
      </c>
      <c r="D13066" s="0" t="s">
        <v>43396</v>
      </c>
      <c r="E13066" s="0" t="s">
        <v>43397</v>
      </c>
      <c r="F13066" s="0" t="s">
        <v>15</v>
      </c>
      <c r="G13066" s="0" t="s">
        <v>20</v>
      </c>
      <c r="H13066" s="0" t="n">
        <v>80</v>
      </c>
      <c r="I13066" s="0" t="s">
        <v>43404</v>
      </c>
      <c r="J13066" s="0" t="s">
        <v>43405</v>
      </c>
      <c r="K13066" s="0" t="s">
        <v>43406</v>
      </c>
      <c r="L13066" s="0" t="str">
        <f aca="false">HYPERLINK("https://www.ncbi.nlm.nih.gov/nuccore/CP000058.1?report=graph&amp;tracks=[key:gene_model_track,Options:GeneOnly]&amp;mk=4082042:4082061|offset_26|444444,4082074:4082093|offset_58|444444,4082096:4082115|offset_80|00cc00,4082183:4082202|offset_167|444444&amp;v=4081841:4082402&amp;c=444444", "offset 80")</f>
        <v>offset 80</v>
      </c>
    </row>
    <row r="13067" customFormat="false" ht="12.8" hidden="false" customHeight="false" outlineLevel="0" collapsed="false">
      <c r="A13067" s="0" t="s">
        <v>12</v>
      </c>
      <c r="B13067" s="0" t="n">
        <v>4082182</v>
      </c>
      <c r="C13067" s="0" t="n">
        <v>4082202</v>
      </c>
      <c r="D13067" s="0" t="s">
        <v>43396</v>
      </c>
      <c r="E13067" s="0" t="s">
        <v>43397</v>
      </c>
      <c r="F13067" s="0" t="s">
        <v>15</v>
      </c>
      <c r="G13067" s="0" t="s">
        <v>20</v>
      </c>
      <c r="H13067" s="0" t="n">
        <v>167</v>
      </c>
      <c r="I13067" s="0" t="s">
        <v>43407</v>
      </c>
      <c r="J13067" s="0" t="s">
        <v>43408</v>
      </c>
      <c r="K13067" s="0" t="s">
        <v>43409</v>
      </c>
      <c r="L13067" s="0" t="str">
        <f aca="false">HYPERLINK("https://www.ncbi.nlm.nih.gov/nuccore/CP000058.1?report=graph&amp;tracks=[key:gene_model_track,Options:GeneOnly]&amp;mk=4082042:4082061|offset_26|444444,4082074:4082093|offset_58|444444,4082096:4082115|offset_80|444444,4082183:4082202|offset_167|00cc00&amp;v=4081841:4082402&amp;c=444444", "offset 167")</f>
        <v>offset 167</v>
      </c>
    </row>
    <row r="13068" customFormat="false" ht="12.8" hidden="false" customHeight="false" outlineLevel="0" collapsed="false">
      <c r="A13068" s="0" t="s">
        <v>12</v>
      </c>
      <c r="B13068" s="0" t="n">
        <v>4082635</v>
      </c>
      <c r="C13068" s="0" t="n">
        <v>4082655</v>
      </c>
      <c r="D13068" s="0" t="s">
        <v>43410</v>
      </c>
      <c r="E13068" s="0" t="s">
        <v>75</v>
      </c>
      <c r="F13068" s="0" t="s">
        <v>15</v>
      </c>
      <c r="G13068" s="0" t="s">
        <v>32</v>
      </c>
      <c r="H13068" s="0" t="n">
        <v>22</v>
      </c>
      <c r="I13068" s="0" t="s">
        <v>43411</v>
      </c>
      <c r="J13068" s="0" t="s">
        <v>43412</v>
      </c>
      <c r="K13068" s="0" t="s">
        <v>43413</v>
      </c>
      <c r="L13068" s="0" t="str">
        <f aca="false">HYPERLINK("https://www.ncbi.nlm.nih.gov/nuccore/CP000058.1?report=graph&amp;tracks=[key:gene_model_track,Options:GeneOnly]&amp;mk=4082636:4082655|offset_22|00cc00,4082667:4082686|offset_53|444444,4082688:4082707|offset_74|444444,4082721:4082740|offset_107|444444&amp;v=4082435:4082940&amp;c=444444", "offset 22")</f>
        <v>offset 22</v>
      </c>
    </row>
    <row r="13069" customFormat="false" ht="12.8" hidden="false" customHeight="false" outlineLevel="0" collapsed="false">
      <c r="A13069" s="0" t="s">
        <v>12</v>
      </c>
      <c r="B13069" s="0" t="n">
        <v>4082666</v>
      </c>
      <c r="C13069" s="0" t="n">
        <v>4082686</v>
      </c>
      <c r="D13069" s="0" t="s">
        <v>43410</v>
      </c>
      <c r="E13069" s="0" t="s">
        <v>75</v>
      </c>
      <c r="F13069" s="0" t="s">
        <v>15</v>
      </c>
      <c r="G13069" s="0" t="s">
        <v>20</v>
      </c>
      <c r="H13069" s="0" t="n">
        <v>53</v>
      </c>
      <c r="I13069" s="0" t="s">
        <v>43414</v>
      </c>
      <c r="J13069" s="0" t="s">
        <v>43415</v>
      </c>
      <c r="K13069" s="0" t="s">
        <v>43416</v>
      </c>
      <c r="L13069" s="0" t="str">
        <f aca="false">HYPERLINK("https://www.ncbi.nlm.nih.gov/nuccore/CP000058.1?report=graph&amp;tracks=[key:gene_model_track,Options:GeneOnly]&amp;mk=4082636:4082655|offset_22|444444,4082667:4082686|offset_53|00cc00,4082688:4082707|offset_74|444444,4082721:4082740|offset_107|444444&amp;v=4082435:4082940&amp;c=444444", "offset 53")</f>
        <v>offset 53</v>
      </c>
    </row>
    <row r="13070" customFormat="false" ht="12.8" hidden="false" customHeight="false" outlineLevel="0" collapsed="false">
      <c r="A13070" s="0" t="s">
        <v>12</v>
      </c>
      <c r="B13070" s="0" t="n">
        <v>4082687</v>
      </c>
      <c r="C13070" s="0" t="n">
        <v>4082707</v>
      </c>
      <c r="D13070" s="0" t="s">
        <v>43410</v>
      </c>
      <c r="E13070" s="0" t="s">
        <v>75</v>
      </c>
      <c r="F13070" s="0" t="s">
        <v>15</v>
      </c>
      <c r="G13070" s="0" t="s">
        <v>20</v>
      </c>
      <c r="H13070" s="0" t="n">
        <v>74</v>
      </c>
      <c r="I13070" s="0" t="s">
        <v>43417</v>
      </c>
      <c r="J13070" s="0" t="s">
        <v>43418</v>
      </c>
      <c r="K13070" s="0" t="s">
        <v>43419</v>
      </c>
      <c r="L13070" s="0" t="str">
        <f aca="false">HYPERLINK("https://www.ncbi.nlm.nih.gov/nuccore/CP000058.1?report=graph&amp;tracks=[key:gene_model_track,Options:GeneOnly]&amp;mk=4082636:4082655|offset_22|444444,4082667:4082686|offset_53|444444,4082688:4082707|offset_74|00cc00,4082721:4082740|offset_107|444444&amp;v=4082435:4082940&amp;c=444444", "offset 74")</f>
        <v>offset 74</v>
      </c>
    </row>
    <row r="13071" customFormat="false" ht="12.8" hidden="false" customHeight="false" outlineLevel="0" collapsed="false">
      <c r="A13071" s="0" t="s">
        <v>12</v>
      </c>
      <c r="B13071" s="0" t="n">
        <v>4082720</v>
      </c>
      <c r="C13071" s="0" t="n">
        <v>4082740</v>
      </c>
      <c r="D13071" s="0" t="s">
        <v>43410</v>
      </c>
      <c r="E13071" s="0" t="s">
        <v>75</v>
      </c>
      <c r="F13071" s="0" t="s">
        <v>15</v>
      </c>
      <c r="G13071" s="0" t="s">
        <v>16</v>
      </c>
      <c r="H13071" s="0" t="n">
        <v>107</v>
      </c>
      <c r="I13071" s="0" t="s">
        <v>43420</v>
      </c>
      <c r="J13071" s="0" t="s">
        <v>43421</v>
      </c>
      <c r="K13071" s="0" t="s">
        <v>43422</v>
      </c>
      <c r="L13071" s="0" t="str">
        <f aca="false">HYPERLINK("https://www.ncbi.nlm.nih.gov/nuccore/CP000058.1?report=graph&amp;tracks=[key:gene_model_track,Options:GeneOnly]&amp;mk=4082636:4082655|offset_22|444444,4082667:4082686|offset_53|444444,4082688:4082707|offset_74|444444,4082721:4082740|offset_107|00cc00&amp;v=4082435:4082940&amp;c=444444", "offset 107")</f>
        <v>offset 107</v>
      </c>
    </row>
    <row r="13072" customFormat="false" ht="12.8" hidden="false" customHeight="false" outlineLevel="0" collapsed="false">
      <c r="A13072" s="0" t="s">
        <v>12</v>
      </c>
      <c r="B13072" s="0" t="n">
        <v>4083119</v>
      </c>
      <c r="C13072" s="0" t="n">
        <v>4083139</v>
      </c>
      <c r="D13072" s="0" t="s">
        <v>43423</v>
      </c>
      <c r="E13072" s="0" t="s">
        <v>75</v>
      </c>
      <c r="F13072" s="0" t="s">
        <v>15</v>
      </c>
      <c r="G13072" s="0" t="s">
        <v>16</v>
      </c>
      <c r="H13072" s="0" t="n">
        <v>64</v>
      </c>
      <c r="I13072" s="0" t="s">
        <v>43424</v>
      </c>
      <c r="J13072" s="0" t="s">
        <v>43425</v>
      </c>
      <c r="K13072" s="0" t="s">
        <v>43426</v>
      </c>
      <c r="L13072" s="0" t="str">
        <f aca="false">HYPERLINK("https://www.ncbi.nlm.nih.gov/nuccore/CP000058.1?report=graph&amp;tracks=[key:gene_model_track,Options:GeneOnly]&amp;mk=4083120:4083139|offset_64|00cc00,4083152:4083171|offset_96|444444,4083174:4083193|offset_118|444444,4083260:4083279|offset_204|444444&amp;v=4082919:4083479&amp;c=444444", "offset 64")</f>
        <v>offset 64</v>
      </c>
    </row>
    <row r="13073" customFormat="false" ht="12.8" hidden="false" customHeight="false" outlineLevel="0" collapsed="false">
      <c r="A13073" s="0" t="s">
        <v>12</v>
      </c>
      <c r="B13073" s="0" t="n">
        <v>4083151</v>
      </c>
      <c r="C13073" s="0" t="n">
        <v>4083171</v>
      </c>
      <c r="D13073" s="0" t="s">
        <v>43423</v>
      </c>
      <c r="E13073" s="0" t="s">
        <v>75</v>
      </c>
      <c r="F13073" s="0" t="s">
        <v>15</v>
      </c>
      <c r="G13073" s="0" t="s">
        <v>20</v>
      </c>
      <c r="H13073" s="0" t="n">
        <v>96</v>
      </c>
      <c r="I13073" s="0" t="s">
        <v>43427</v>
      </c>
      <c r="J13073" s="0" t="s">
        <v>43428</v>
      </c>
      <c r="K13073" s="0" t="s">
        <v>43429</v>
      </c>
      <c r="L13073" s="0" t="str">
        <f aca="false">HYPERLINK("https://www.ncbi.nlm.nih.gov/nuccore/CP000058.1?report=graph&amp;tracks=[key:gene_model_track,Options:GeneOnly]&amp;mk=4083120:4083139|offset_64|444444,4083152:4083171|offset_96|00cc00,4083174:4083193|offset_118|444444,4083260:4083279|offset_204|444444&amp;v=4082919:4083479&amp;c=444444", "offset 96")</f>
        <v>offset 96</v>
      </c>
    </row>
    <row r="13074" customFormat="false" ht="12.8" hidden="false" customHeight="false" outlineLevel="0" collapsed="false">
      <c r="A13074" s="0" t="s">
        <v>12</v>
      </c>
      <c r="B13074" s="0" t="n">
        <v>4083173</v>
      </c>
      <c r="C13074" s="0" t="n">
        <v>4083193</v>
      </c>
      <c r="D13074" s="0" t="s">
        <v>43423</v>
      </c>
      <c r="E13074" s="0" t="s">
        <v>75</v>
      </c>
      <c r="F13074" s="0" t="s">
        <v>15</v>
      </c>
      <c r="G13074" s="0" t="s">
        <v>32</v>
      </c>
      <c r="H13074" s="0" t="n">
        <v>118</v>
      </c>
      <c r="I13074" s="0" t="s">
        <v>43430</v>
      </c>
      <c r="J13074" s="0" t="s">
        <v>43431</v>
      </c>
      <c r="K13074" s="0" t="s">
        <v>43432</v>
      </c>
      <c r="L13074" s="0" t="str">
        <f aca="false">HYPERLINK("https://www.ncbi.nlm.nih.gov/nuccore/CP000058.1?report=graph&amp;tracks=[key:gene_model_track,Options:GeneOnly]&amp;mk=4083120:4083139|offset_64|444444,4083152:4083171|offset_96|444444,4083174:4083193|offset_118|00cc00,4083260:4083279|offset_204|444444&amp;v=4082919:4083479&amp;c=444444", "offset 118")</f>
        <v>offset 118</v>
      </c>
    </row>
    <row r="13075" customFormat="false" ht="12.8" hidden="false" customHeight="false" outlineLevel="0" collapsed="false">
      <c r="A13075" s="0" t="s">
        <v>12</v>
      </c>
      <c r="B13075" s="0" t="n">
        <v>4083259</v>
      </c>
      <c r="C13075" s="0" t="n">
        <v>4083279</v>
      </c>
      <c r="D13075" s="0" t="s">
        <v>43423</v>
      </c>
      <c r="E13075" s="0" t="s">
        <v>75</v>
      </c>
      <c r="F13075" s="0" t="s">
        <v>15</v>
      </c>
      <c r="G13075" s="0" t="s">
        <v>16</v>
      </c>
      <c r="H13075" s="0" t="n">
        <v>204</v>
      </c>
      <c r="I13075" s="0" t="s">
        <v>43433</v>
      </c>
      <c r="J13075" s="0" t="s">
        <v>43434</v>
      </c>
      <c r="K13075" s="0" t="s">
        <v>43435</v>
      </c>
      <c r="L13075" s="0" t="str">
        <f aca="false">HYPERLINK("https://www.ncbi.nlm.nih.gov/nuccore/CP000058.1?report=graph&amp;tracks=[key:gene_model_track,Options:GeneOnly]&amp;mk=4083120:4083139|offset_64|444444,4083152:4083171|offset_96|444444,4083174:4083193|offset_118|444444,4083260:4083279|offset_204|00cc00&amp;v=4082919:4083479&amp;c=444444", "offset 204")</f>
        <v>offset 204</v>
      </c>
    </row>
    <row r="13076" customFormat="false" ht="12.8" hidden="false" customHeight="false" outlineLevel="0" collapsed="false">
      <c r="A13076" s="0" t="s">
        <v>12</v>
      </c>
      <c r="B13076" s="0" t="n">
        <v>4083544</v>
      </c>
      <c r="C13076" s="0" t="n">
        <v>4083564</v>
      </c>
      <c r="D13076" s="0" t="s">
        <v>43436</v>
      </c>
      <c r="E13076" s="0" t="s">
        <v>75</v>
      </c>
      <c r="F13076" s="0" t="s">
        <v>15</v>
      </c>
      <c r="G13076" s="0" t="s">
        <v>32</v>
      </c>
      <c r="H13076" s="0" t="n">
        <v>68</v>
      </c>
      <c r="I13076" s="0" t="s">
        <v>43437</v>
      </c>
      <c r="J13076" s="0" t="s">
        <v>43438</v>
      </c>
      <c r="K13076" s="0" t="s">
        <v>43439</v>
      </c>
      <c r="L13076" s="0" t="str">
        <f aca="false">HYPERLINK("https://www.ncbi.nlm.nih.gov/nuccore/CP000058.1?report=graph&amp;tracks=[key:gene_model_track,Options:GeneOnly]&amp;mk=4083545:4083564|offset_68|00cc00,4083568:4083587|offset_91|444444,4083604:4083623|offset_127|444444,4083645:4083664|offset_168|444444&amp;v=4083344:4083864&amp;c=444444", "offset 68")</f>
        <v>offset 68</v>
      </c>
    </row>
    <row r="13077" customFormat="false" ht="12.8" hidden="false" customHeight="false" outlineLevel="0" collapsed="false">
      <c r="A13077" s="0" t="s">
        <v>12</v>
      </c>
      <c r="B13077" s="0" t="n">
        <v>4083567</v>
      </c>
      <c r="C13077" s="0" t="n">
        <v>4083587</v>
      </c>
      <c r="D13077" s="0" t="s">
        <v>43436</v>
      </c>
      <c r="E13077" s="0" t="s">
        <v>75</v>
      </c>
      <c r="F13077" s="0" t="s">
        <v>15</v>
      </c>
      <c r="G13077" s="0" t="s">
        <v>20</v>
      </c>
      <c r="H13077" s="0" t="n">
        <v>91</v>
      </c>
      <c r="I13077" s="0" t="s">
        <v>43440</v>
      </c>
      <c r="J13077" s="0" t="s">
        <v>43441</v>
      </c>
      <c r="K13077" s="0" t="s">
        <v>43442</v>
      </c>
      <c r="L13077" s="0" t="str">
        <f aca="false">HYPERLINK("https://www.ncbi.nlm.nih.gov/nuccore/CP000058.1?report=graph&amp;tracks=[key:gene_model_track,Options:GeneOnly]&amp;mk=4083545:4083564|offset_68|444444,4083568:4083587|offset_91|00cc00,4083604:4083623|offset_127|444444,4083645:4083664|offset_168|444444&amp;v=4083344:4083864&amp;c=444444", "offset 91")</f>
        <v>offset 91</v>
      </c>
    </row>
    <row r="13078" customFormat="false" ht="12.8" hidden="false" customHeight="false" outlineLevel="0" collapsed="false">
      <c r="A13078" s="0" t="s">
        <v>12</v>
      </c>
      <c r="B13078" s="0" t="n">
        <v>4083603</v>
      </c>
      <c r="C13078" s="0" t="n">
        <v>4083623</v>
      </c>
      <c r="D13078" s="0" t="s">
        <v>43436</v>
      </c>
      <c r="E13078" s="0" t="s">
        <v>75</v>
      </c>
      <c r="F13078" s="0" t="s">
        <v>15</v>
      </c>
      <c r="G13078" s="0" t="s">
        <v>16</v>
      </c>
      <c r="H13078" s="0" t="n">
        <v>127</v>
      </c>
      <c r="I13078" s="0" t="s">
        <v>43443</v>
      </c>
      <c r="J13078" s="0" t="s">
        <v>43444</v>
      </c>
      <c r="K13078" s="0" t="s">
        <v>43445</v>
      </c>
      <c r="L13078" s="0" t="str">
        <f aca="false">HYPERLINK("https://www.ncbi.nlm.nih.gov/nuccore/CP000058.1?report=graph&amp;tracks=[key:gene_model_track,Options:GeneOnly]&amp;mk=4083545:4083564|offset_68|444444,4083568:4083587|offset_91|444444,4083604:4083623|offset_127|00cc00,4083645:4083664|offset_168|444444&amp;v=4083344:4083864&amp;c=444444", "offset 127")</f>
        <v>offset 127</v>
      </c>
    </row>
    <row r="13079" customFormat="false" ht="12.8" hidden="false" customHeight="false" outlineLevel="0" collapsed="false">
      <c r="A13079" s="0" t="s">
        <v>12</v>
      </c>
      <c r="B13079" s="0" t="n">
        <v>4083644</v>
      </c>
      <c r="C13079" s="0" t="n">
        <v>4083664</v>
      </c>
      <c r="D13079" s="0" t="s">
        <v>43436</v>
      </c>
      <c r="E13079" s="0" t="s">
        <v>75</v>
      </c>
      <c r="F13079" s="0" t="s">
        <v>15</v>
      </c>
      <c r="G13079" s="0" t="s">
        <v>20</v>
      </c>
      <c r="H13079" s="0" t="n">
        <v>168</v>
      </c>
      <c r="I13079" s="0" t="s">
        <v>43446</v>
      </c>
      <c r="J13079" s="0" t="s">
        <v>43447</v>
      </c>
      <c r="K13079" s="0" t="s">
        <v>43448</v>
      </c>
      <c r="L13079" s="0" t="str">
        <f aca="false">HYPERLINK("https://www.ncbi.nlm.nih.gov/nuccore/CP000058.1?report=graph&amp;tracks=[key:gene_model_track,Options:GeneOnly]&amp;mk=4083545:4083564|offset_68|444444,4083568:4083587|offset_91|444444,4083604:4083623|offset_127|444444,4083645:4083664|offset_168|00cc00&amp;v=4083344:4083864&amp;c=444444", "offset 168")</f>
        <v>offset 168</v>
      </c>
    </row>
    <row r="13080" customFormat="false" ht="12.8" hidden="false" customHeight="false" outlineLevel="0" collapsed="false">
      <c r="A13080" s="0" t="s">
        <v>12</v>
      </c>
      <c r="B13080" s="0" t="n">
        <v>4084264</v>
      </c>
      <c r="C13080" s="0" t="n">
        <v>4084284</v>
      </c>
      <c r="D13080" s="0" t="s">
        <v>43449</v>
      </c>
      <c r="E13080" s="0" t="s">
        <v>75</v>
      </c>
      <c r="F13080" s="0" t="s">
        <v>15</v>
      </c>
      <c r="G13080" s="0" t="s">
        <v>32</v>
      </c>
      <c r="H13080" s="0" t="n">
        <v>1</v>
      </c>
      <c r="I13080" s="0" t="s">
        <v>43450</v>
      </c>
      <c r="J13080" s="0" t="s">
        <v>43451</v>
      </c>
      <c r="K13080" s="0" t="s">
        <v>43452</v>
      </c>
      <c r="L13080" s="0" t="str">
        <f aca="false">HYPERLINK("https://www.ncbi.nlm.nih.gov/nuccore/CP000058.1?report=graph&amp;tracks=[key:gene_model_track,Options:GeneOnly]&amp;mk=4084265:4084284|offset_1|00cc00,4084298:4084317|offset_34|444444,4084319:4084338|offset_55|444444,4084339:4084358|offset_75|444444&amp;v=4084064:4084558&amp;c=444444", "offset 1")</f>
        <v>offset 1</v>
      </c>
    </row>
    <row r="13081" customFormat="false" ht="12.8" hidden="false" customHeight="false" outlineLevel="0" collapsed="false">
      <c r="A13081" s="0" t="s">
        <v>12</v>
      </c>
      <c r="B13081" s="0" t="n">
        <v>4084297</v>
      </c>
      <c r="C13081" s="0" t="n">
        <v>4084317</v>
      </c>
      <c r="D13081" s="0" t="s">
        <v>43449</v>
      </c>
      <c r="E13081" s="0" t="s">
        <v>75</v>
      </c>
      <c r="F13081" s="0" t="s">
        <v>15</v>
      </c>
      <c r="G13081" s="0" t="s">
        <v>32</v>
      </c>
      <c r="H13081" s="0" t="n">
        <v>34</v>
      </c>
      <c r="I13081" s="0" t="s">
        <v>43453</v>
      </c>
      <c r="J13081" s="0" t="s">
        <v>43454</v>
      </c>
      <c r="K13081" s="0" t="s">
        <v>43455</v>
      </c>
      <c r="L13081" s="0" t="str">
        <f aca="false">HYPERLINK("https://www.ncbi.nlm.nih.gov/nuccore/CP000058.1?report=graph&amp;tracks=[key:gene_model_track,Options:GeneOnly]&amp;mk=4084265:4084284|offset_1|444444,4084298:4084317|offset_34|00cc00,4084319:4084338|offset_55|444444,4084339:4084358|offset_75|444444&amp;v=4084064:4084558&amp;c=444444", "offset 34")</f>
        <v>offset 34</v>
      </c>
    </row>
    <row r="13082" customFormat="false" ht="12.8" hidden="false" customHeight="false" outlineLevel="0" collapsed="false">
      <c r="A13082" s="0" t="s">
        <v>12</v>
      </c>
      <c r="B13082" s="0" t="n">
        <v>4084318</v>
      </c>
      <c r="C13082" s="0" t="n">
        <v>4084338</v>
      </c>
      <c r="D13082" s="0" t="s">
        <v>43449</v>
      </c>
      <c r="E13082" s="0" t="s">
        <v>75</v>
      </c>
      <c r="F13082" s="0" t="s">
        <v>15</v>
      </c>
      <c r="G13082" s="0" t="s">
        <v>32</v>
      </c>
      <c r="H13082" s="0" t="n">
        <v>55</v>
      </c>
      <c r="I13082" s="0" t="s">
        <v>43456</v>
      </c>
      <c r="J13082" s="0" t="s">
        <v>43457</v>
      </c>
      <c r="K13082" s="0" t="s">
        <v>43458</v>
      </c>
      <c r="L13082" s="0" t="str">
        <f aca="false">HYPERLINK("https://www.ncbi.nlm.nih.gov/nuccore/CP000058.1?report=graph&amp;tracks=[key:gene_model_track,Options:GeneOnly]&amp;mk=4084265:4084284|offset_1|444444,4084298:4084317|offset_34|444444,4084319:4084338|offset_55|00cc00,4084339:4084358|offset_75|444444&amp;v=4084064:4084558&amp;c=444444", "offset 55")</f>
        <v>offset 55</v>
      </c>
    </row>
    <row r="13083" customFormat="false" ht="12.8" hidden="false" customHeight="false" outlineLevel="0" collapsed="false">
      <c r="A13083" s="0" t="s">
        <v>12</v>
      </c>
      <c r="B13083" s="0" t="n">
        <v>4084338</v>
      </c>
      <c r="C13083" s="0" t="n">
        <v>4084358</v>
      </c>
      <c r="D13083" s="0" t="s">
        <v>43449</v>
      </c>
      <c r="E13083" s="0" t="s">
        <v>75</v>
      </c>
      <c r="F13083" s="0" t="s">
        <v>15</v>
      </c>
      <c r="G13083" s="0" t="s">
        <v>32</v>
      </c>
      <c r="H13083" s="0" t="n">
        <v>75</v>
      </c>
      <c r="I13083" s="0" t="s">
        <v>43459</v>
      </c>
      <c r="J13083" s="0" t="s">
        <v>43460</v>
      </c>
      <c r="K13083" s="0" t="s">
        <v>43461</v>
      </c>
      <c r="L13083" s="0" t="str">
        <f aca="false">HYPERLINK("https://www.ncbi.nlm.nih.gov/nuccore/CP000058.1?report=graph&amp;tracks=[key:gene_model_track,Options:GeneOnly]&amp;mk=4084265:4084284|offset_1|444444,4084298:4084317|offset_34|444444,4084319:4084338|offset_55|444444,4084339:4084358|offset_75|00cc00&amp;v=4084064:4084558&amp;c=444444", "offset 75")</f>
        <v>offset 75</v>
      </c>
    </row>
    <row r="13084" customFormat="false" ht="12.8" hidden="false" customHeight="false" outlineLevel="0" collapsed="false">
      <c r="A13084" s="0" t="s">
        <v>12</v>
      </c>
      <c r="B13084" s="0" t="n">
        <v>4084799</v>
      </c>
      <c r="C13084" s="0" t="n">
        <v>4084819</v>
      </c>
      <c r="D13084" s="0" t="s">
        <v>43462</v>
      </c>
      <c r="E13084" s="0" t="s">
        <v>75</v>
      </c>
      <c r="F13084" s="0" t="s">
        <v>90</v>
      </c>
      <c r="G13084" s="0" t="s">
        <v>20</v>
      </c>
      <c r="H13084" s="0" t="n">
        <v>20</v>
      </c>
      <c r="I13084" s="0" t="s">
        <v>43463</v>
      </c>
      <c r="J13084" s="0" t="s">
        <v>43464</v>
      </c>
      <c r="K13084" s="0" t="s">
        <v>43465</v>
      </c>
      <c r="L13084" s="0" t="str">
        <f aca="false">HYPERLINK("https://www.ncbi.nlm.nih.gov/nuccore/CP000058.1?report=graph&amp;tracks=[key:gene_model_track,Options:GeneOnly]&amp;mk=4084800:4084819|offset_20|00cc00,4084761:4084780|offset_59|444444&amp;v=4084599:4084980&amp;c=444444", "offset 20")</f>
        <v>offset 20</v>
      </c>
    </row>
    <row r="13085" customFormat="false" ht="12.8" hidden="false" customHeight="false" outlineLevel="0" collapsed="false">
      <c r="A13085" s="0" t="s">
        <v>12</v>
      </c>
      <c r="B13085" s="0" t="n">
        <v>4084760</v>
      </c>
      <c r="C13085" s="0" t="n">
        <v>4084780</v>
      </c>
      <c r="D13085" s="0" t="s">
        <v>43462</v>
      </c>
      <c r="E13085" s="0" t="s">
        <v>75</v>
      </c>
      <c r="F13085" s="0" t="s">
        <v>90</v>
      </c>
      <c r="G13085" s="0" t="s">
        <v>16</v>
      </c>
      <c r="H13085" s="0" t="n">
        <v>59</v>
      </c>
      <c r="I13085" s="0" t="s">
        <v>43466</v>
      </c>
      <c r="J13085" s="0" t="s">
        <v>43467</v>
      </c>
      <c r="K13085" s="0" t="s">
        <v>43468</v>
      </c>
      <c r="L13085" s="0" t="str">
        <f aca="false">HYPERLINK("https://www.ncbi.nlm.nih.gov/nuccore/CP000058.1?report=graph&amp;tracks=[key:gene_model_track,Options:GeneOnly]&amp;mk=4084800:4084819|offset_20|444444,4084761:4084780|offset_59|00cc00&amp;v=4084599:4084980&amp;c=444444", "offset 59")</f>
        <v>offset 59</v>
      </c>
    </row>
    <row r="13086" customFormat="false" ht="12.8" hidden="false" customHeight="false" outlineLevel="0" collapsed="false">
      <c r="A13086" s="0" t="s">
        <v>12</v>
      </c>
      <c r="B13086" s="0" t="n">
        <v>4084939</v>
      </c>
      <c r="C13086" s="0" t="n">
        <v>4084959</v>
      </c>
      <c r="D13086" s="0" t="s">
        <v>43469</v>
      </c>
      <c r="E13086" s="0" t="s">
        <v>75</v>
      </c>
      <c r="F13086" s="0" t="s">
        <v>15</v>
      </c>
      <c r="G13086" s="0" t="s">
        <v>20</v>
      </c>
      <c r="H13086" s="0" t="n">
        <v>35</v>
      </c>
      <c r="I13086" s="0" t="s">
        <v>43470</v>
      </c>
      <c r="J13086" s="0" t="s">
        <v>43471</v>
      </c>
      <c r="K13086" s="0" t="s">
        <v>43472</v>
      </c>
      <c r="L13086" s="0" t="str">
        <f aca="false">HYPERLINK("https://www.ncbi.nlm.nih.gov/nuccore/CP000058.1?report=graph&amp;tracks=[key:gene_model_track,Options:GeneOnly]&amp;mk=4084940:4084959|offset_35|00cc00,4084971:4084990|offset_66|444444,4085088:4085107|offset_183|444444,4085108:4085127|offset_203|444444&amp;v=4084739:4085327&amp;c=444444", "offset 35")</f>
        <v>offset 35</v>
      </c>
    </row>
    <row r="13087" customFormat="false" ht="12.8" hidden="false" customHeight="false" outlineLevel="0" collapsed="false">
      <c r="A13087" s="0" t="s">
        <v>12</v>
      </c>
      <c r="B13087" s="0" t="n">
        <v>4084970</v>
      </c>
      <c r="C13087" s="0" t="n">
        <v>4084990</v>
      </c>
      <c r="D13087" s="0" t="s">
        <v>43469</v>
      </c>
      <c r="E13087" s="0" t="s">
        <v>75</v>
      </c>
      <c r="F13087" s="0" t="s">
        <v>15</v>
      </c>
      <c r="G13087" s="0" t="s">
        <v>36</v>
      </c>
      <c r="H13087" s="0" t="n">
        <v>66</v>
      </c>
      <c r="I13087" s="0" t="s">
        <v>43473</v>
      </c>
      <c r="J13087" s="0" t="s">
        <v>43474</v>
      </c>
      <c r="K13087" s="0" t="s">
        <v>43475</v>
      </c>
      <c r="L13087" s="0" t="str">
        <f aca="false">HYPERLINK("https://www.ncbi.nlm.nih.gov/nuccore/CP000058.1?report=graph&amp;tracks=[key:gene_model_track,Options:GeneOnly]&amp;mk=4084940:4084959|offset_35|444444,4084971:4084990|offset_66|00cc00,4085088:4085107|offset_183|444444,4085108:4085127|offset_203|444444&amp;v=4084739:4085327&amp;c=444444", "offset 66")</f>
        <v>offset 66</v>
      </c>
    </row>
    <row r="13088" customFormat="false" ht="12.8" hidden="false" customHeight="false" outlineLevel="0" collapsed="false">
      <c r="A13088" s="0" t="s">
        <v>12</v>
      </c>
      <c r="B13088" s="0" t="n">
        <v>4085087</v>
      </c>
      <c r="C13088" s="0" t="n">
        <v>4085107</v>
      </c>
      <c r="D13088" s="0" t="s">
        <v>43469</v>
      </c>
      <c r="E13088" s="0" t="s">
        <v>75</v>
      </c>
      <c r="F13088" s="0" t="s">
        <v>15</v>
      </c>
      <c r="G13088" s="0" t="s">
        <v>20</v>
      </c>
      <c r="H13088" s="0" t="n">
        <v>183</v>
      </c>
      <c r="I13088" s="0" t="s">
        <v>43476</v>
      </c>
      <c r="J13088" s="0" t="s">
        <v>43477</v>
      </c>
      <c r="K13088" s="0" t="s">
        <v>43478</v>
      </c>
      <c r="L13088" s="0" t="str">
        <f aca="false">HYPERLINK("https://www.ncbi.nlm.nih.gov/nuccore/CP000058.1?report=graph&amp;tracks=[key:gene_model_track,Options:GeneOnly]&amp;mk=4084940:4084959|offset_35|444444,4084971:4084990|offset_66|444444,4085088:4085107|offset_183|00cc00,4085108:4085127|offset_203|444444&amp;v=4084739:4085327&amp;c=444444", "offset 183")</f>
        <v>offset 183</v>
      </c>
    </row>
    <row r="13089" customFormat="false" ht="12.8" hidden="false" customHeight="false" outlineLevel="0" collapsed="false">
      <c r="A13089" s="0" t="s">
        <v>12</v>
      </c>
      <c r="B13089" s="0" t="n">
        <v>4085107</v>
      </c>
      <c r="C13089" s="0" t="n">
        <v>4085127</v>
      </c>
      <c r="D13089" s="0" t="s">
        <v>43469</v>
      </c>
      <c r="E13089" s="0" t="s">
        <v>75</v>
      </c>
      <c r="F13089" s="0" t="s">
        <v>15</v>
      </c>
      <c r="G13089" s="0" t="s">
        <v>36</v>
      </c>
      <c r="H13089" s="0" t="n">
        <v>203</v>
      </c>
      <c r="I13089" s="0" t="s">
        <v>43479</v>
      </c>
      <c r="J13089" s="0" t="s">
        <v>43480</v>
      </c>
      <c r="K13089" s="0" t="s">
        <v>43481</v>
      </c>
      <c r="L13089" s="0" t="str">
        <f aca="false">HYPERLINK("https://www.ncbi.nlm.nih.gov/nuccore/CP000058.1?report=graph&amp;tracks=[key:gene_model_track,Options:GeneOnly]&amp;mk=4084940:4084959|offset_35|444444,4084971:4084990|offset_66|444444,4085088:4085107|offset_183|444444,4085108:4085127|offset_203|00cc00&amp;v=4084739:4085327&amp;c=444444", "offset 203")</f>
        <v>offset 203</v>
      </c>
    </row>
    <row r="13090" customFormat="false" ht="12.8" hidden="false" customHeight="false" outlineLevel="0" collapsed="false">
      <c r="A13090" s="0" t="s">
        <v>12</v>
      </c>
      <c r="B13090" s="0" t="n">
        <v>4086720</v>
      </c>
      <c r="C13090" s="0" t="n">
        <v>4086740</v>
      </c>
      <c r="D13090" s="0" t="s">
        <v>43482</v>
      </c>
      <c r="E13090" s="0" t="s">
        <v>75</v>
      </c>
      <c r="F13090" s="0" t="s">
        <v>90</v>
      </c>
      <c r="G13090" s="0" t="s">
        <v>36</v>
      </c>
      <c r="H13090" s="0" t="n">
        <v>0</v>
      </c>
      <c r="I13090" s="0" t="s">
        <v>43483</v>
      </c>
      <c r="J13090" s="0" t="s">
        <v>43484</v>
      </c>
      <c r="K13090" s="0" t="s">
        <v>43485</v>
      </c>
      <c r="L13090" s="0" t="str">
        <f aca="false">HYPERLINK("https://www.ncbi.nlm.nih.gov/nuccore/CP000058.1?report=graph&amp;tracks=[key:gene_model_track,Options:GeneOnly]&amp;mk=4086721:4086740|offset_0|00cc00,4086679:4086698|offset_42|444444,4086659:4086678|offset_62|444444,4086610:4086629|offset_111|444444&amp;v=4086520:4086829&amp;c=444444", "offset 0")</f>
        <v>offset 0</v>
      </c>
    </row>
    <row r="13091" customFormat="false" ht="12.8" hidden="false" customHeight="false" outlineLevel="0" collapsed="false">
      <c r="A13091" s="0" t="s">
        <v>12</v>
      </c>
      <c r="B13091" s="0" t="n">
        <v>4086678</v>
      </c>
      <c r="C13091" s="0" t="n">
        <v>4086698</v>
      </c>
      <c r="D13091" s="0" t="s">
        <v>43482</v>
      </c>
      <c r="E13091" s="0" t="s">
        <v>75</v>
      </c>
      <c r="F13091" s="0" t="s">
        <v>90</v>
      </c>
      <c r="G13091" s="0" t="s">
        <v>16</v>
      </c>
      <c r="H13091" s="0" t="n">
        <v>42</v>
      </c>
      <c r="I13091" s="0" t="s">
        <v>43486</v>
      </c>
      <c r="J13091" s="0" t="s">
        <v>43487</v>
      </c>
      <c r="K13091" s="0" t="s">
        <v>43488</v>
      </c>
      <c r="L13091" s="0" t="str">
        <f aca="false">HYPERLINK("https://www.ncbi.nlm.nih.gov/nuccore/CP000058.1?report=graph&amp;tracks=[key:gene_model_track,Options:GeneOnly]&amp;mk=4086721:4086740|offset_0|444444,4086679:4086698|offset_42|00cc00,4086659:4086678|offset_62|444444,4086610:4086629|offset_111|444444&amp;v=4086520:4086829&amp;c=444444", "offset 42")</f>
        <v>offset 42</v>
      </c>
    </row>
    <row r="13092" customFormat="false" ht="12.8" hidden="false" customHeight="false" outlineLevel="0" collapsed="false">
      <c r="A13092" s="0" t="s">
        <v>12</v>
      </c>
      <c r="B13092" s="0" t="n">
        <v>4086658</v>
      </c>
      <c r="C13092" s="0" t="n">
        <v>4086678</v>
      </c>
      <c r="D13092" s="0" t="s">
        <v>43482</v>
      </c>
      <c r="E13092" s="0" t="s">
        <v>75</v>
      </c>
      <c r="F13092" s="0" t="s">
        <v>90</v>
      </c>
      <c r="G13092" s="0" t="s">
        <v>36</v>
      </c>
      <c r="H13092" s="0" t="n">
        <v>62</v>
      </c>
      <c r="I13092" s="0" t="s">
        <v>43489</v>
      </c>
      <c r="J13092" s="0" t="s">
        <v>43490</v>
      </c>
      <c r="K13092" s="0" t="s">
        <v>43491</v>
      </c>
      <c r="L13092" s="0" t="str">
        <f aca="false">HYPERLINK("https://www.ncbi.nlm.nih.gov/nuccore/CP000058.1?report=graph&amp;tracks=[key:gene_model_track,Options:GeneOnly]&amp;mk=4086721:4086740|offset_0|444444,4086679:4086698|offset_42|444444,4086659:4086678|offset_62|00cc00,4086610:4086629|offset_111|444444&amp;v=4086520:4086829&amp;c=444444", "offset 62")</f>
        <v>offset 62</v>
      </c>
    </row>
    <row r="13093" customFormat="false" ht="12.8" hidden="false" customHeight="false" outlineLevel="0" collapsed="false">
      <c r="A13093" s="0" t="s">
        <v>12</v>
      </c>
      <c r="B13093" s="0" t="n">
        <v>4086609</v>
      </c>
      <c r="C13093" s="0" t="n">
        <v>4086629</v>
      </c>
      <c r="D13093" s="0" t="s">
        <v>43482</v>
      </c>
      <c r="E13093" s="0" t="s">
        <v>75</v>
      </c>
      <c r="F13093" s="0" t="s">
        <v>90</v>
      </c>
      <c r="G13093" s="0" t="s">
        <v>16</v>
      </c>
      <c r="H13093" s="0" t="n">
        <v>111</v>
      </c>
      <c r="I13093" s="0" t="s">
        <v>43492</v>
      </c>
      <c r="J13093" s="0" t="s">
        <v>43493</v>
      </c>
      <c r="K13093" s="0" t="s">
        <v>43494</v>
      </c>
      <c r="L13093" s="0" t="str">
        <f aca="false">HYPERLINK("https://www.ncbi.nlm.nih.gov/nuccore/CP000058.1?report=graph&amp;tracks=[key:gene_model_track,Options:GeneOnly]&amp;mk=4086721:4086740|offset_0|444444,4086679:4086698|offset_42|444444,4086659:4086678|offset_62|444444,4086610:4086629|offset_111|00cc00&amp;v=4086520:4086829&amp;c=444444", "offset 111")</f>
        <v>offset 111</v>
      </c>
    </row>
    <row r="13094" customFormat="false" ht="12.8" hidden="false" customHeight="false" outlineLevel="0" collapsed="false">
      <c r="A13094" s="0" t="s">
        <v>12</v>
      </c>
      <c r="B13094" s="0" t="n">
        <v>4086925</v>
      </c>
      <c r="C13094" s="0" t="n">
        <v>4086945</v>
      </c>
      <c r="D13094" s="0" t="s">
        <v>43495</v>
      </c>
      <c r="E13094" s="0" t="s">
        <v>43496</v>
      </c>
      <c r="F13094" s="0" t="s">
        <v>15</v>
      </c>
      <c r="G13094" s="0" t="s">
        <v>16</v>
      </c>
      <c r="H13094" s="0" t="n">
        <v>12</v>
      </c>
      <c r="I13094" s="0" t="s">
        <v>43497</v>
      </c>
      <c r="J13094" s="0" t="s">
        <v>43498</v>
      </c>
      <c r="K13094" s="0" t="s">
        <v>43499</v>
      </c>
      <c r="L13094" s="0" t="str">
        <f aca="false">HYPERLINK("https://www.ncbi.nlm.nih.gov/nuccore/CP000058.1?report=graph&amp;tracks=[key:gene_model_track,Options:GeneOnly]&amp;mk=4086926:4086945|offset_12|00cc00,4086964:4086983|offset_50|444444,4086984:4087003|offset_70|444444,4087021:4087040|offset_107|444444&amp;v=4086725:4087240&amp;c=444444", "offset 12")</f>
        <v>offset 12</v>
      </c>
    </row>
    <row r="13095" customFormat="false" ht="12.8" hidden="false" customHeight="false" outlineLevel="0" collapsed="false">
      <c r="A13095" s="0" t="s">
        <v>12</v>
      </c>
      <c r="B13095" s="0" t="n">
        <v>4086963</v>
      </c>
      <c r="C13095" s="0" t="n">
        <v>4086983</v>
      </c>
      <c r="D13095" s="0" t="s">
        <v>43495</v>
      </c>
      <c r="E13095" s="0" t="s">
        <v>43496</v>
      </c>
      <c r="F13095" s="0" t="s">
        <v>15</v>
      </c>
      <c r="G13095" s="0" t="s">
        <v>20</v>
      </c>
      <c r="H13095" s="0" t="n">
        <v>50</v>
      </c>
      <c r="I13095" s="0" t="s">
        <v>43500</v>
      </c>
      <c r="J13095" s="0" t="s">
        <v>43501</v>
      </c>
      <c r="K13095" s="0" t="s">
        <v>43502</v>
      </c>
      <c r="L13095" s="0" t="str">
        <f aca="false">HYPERLINK("https://www.ncbi.nlm.nih.gov/nuccore/CP000058.1?report=graph&amp;tracks=[key:gene_model_track,Options:GeneOnly]&amp;mk=4086926:4086945|offset_12|444444,4086964:4086983|offset_50|00cc00,4086984:4087003|offset_70|444444,4087021:4087040|offset_107|444444&amp;v=4086725:4087240&amp;c=444444", "offset 50")</f>
        <v>offset 50</v>
      </c>
    </row>
    <row r="13096" customFormat="false" ht="12.8" hidden="false" customHeight="false" outlineLevel="0" collapsed="false">
      <c r="A13096" s="0" t="s">
        <v>12</v>
      </c>
      <c r="B13096" s="0" t="n">
        <v>4086983</v>
      </c>
      <c r="C13096" s="0" t="n">
        <v>4087003</v>
      </c>
      <c r="D13096" s="0" t="s">
        <v>43495</v>
      </c>
      <c r="E13096" s="0" t="s">
        <v>43496</v>
      </c>
      <c r="F13096" s="0" t="s">
        <v>15</v>
      </c>
      <c r="G13096" s="0" t="s">
        <v>32</v>
      </c>
      <c r="H13096" s="0" t="n">
        <v>70</v>
      </c>
      <c r="I13096" s="0" t="s">
        <v>43503</v>
      </c>
      <c r="J13096" s="0" t="s">
        <v>43504</v>
      </c>
      <c r="K13096" s="0" t="s">
        <v>43505</v>
      </c>
      <c r="L13096" s="0" t="str">
        <f aca="false">HYPERLINK("https://www.ncbi.nlm.nih.gov/nuccore/CP000058.1?report=graph&amp;tracks=[key:gene_model_track,Options:GeneOnly]&amp;mk=4086926:4086945|offset_12|444444,4086964:4086983|offset_50|444444,4086984:4087003|offset_70|00cc00,4087021:4087040|offset_107|444444&amp;v=4086725:4087240&amp;c=444444", "offset 70")</f>
        <v>offset 70</v>
      </c>
    </row>
    <row r="13097" customFormat="false" ht="12.8" hidden="false" customHeight="false" outlineLevel="0" collapsed="false">
      <c r="A13097" s="0" t="s">
        <v>12</v>
      </c>
      <c r="B13097" s="0" t="n">
        <v>4087020</v>
      </c>
      <c r="C13097" s="0" t="n">
        <v>4087040</v>
      </c>
      <c r="D13097" s="0" t="s">
        <v>43495</v>
      </c>
      <c r="E13097" s="0" t="s">
        <v>43496</v>
      </c>
      <c r="F13097" s="0" t="s">
        <v>15</v>
      </c>
      <c r="G13097" s="0" t="s">
        <v>16</v>
      </c>
      <c r="H13097" s="0" t="n">
        <v>107</v>
      </c>
      <c r="I13097" s="0" t="s">
        <v>43506</v>
      </c>
      <c r="J13097" s="0" t="s">
        <v>43507</v>
      </c>
      <c r="K13097" s="0" t="s">
        <v>43508</v>
      </c>
      <c r="L13097" s="0" t="str">
        <f aca="false">HYPERLINK("https://www.ncbi.nlm.nih.gov/nuccore/CP000058.1?report=graph&amp;tracks=[key:gene_model_track,Options:GeneOnly]&amp;mk=4086926:4086945|offset_12|444444,4086964:4086983|offset_50|444444,4086984:4087003|offset_70|444444,4087021:4087040|offset_107|00cc00&amp;v=4086725:4087240&amp;c=444444", "offset 107")</f>
        <v>offset 107</v>
      </c>
    </row>
    <row r="13098" customFormat="false" ht="12.8" hidden="false" customHeight="false" outlineLevel="0" collapsed="false">
      <c r="A13098" s="0" t="s">
        <v>12</v>
      </c>
      <c r="B13098" s="0" t="n">
        <v>4090055</v>
      </c>
      <c r="C13098" s="0" t="n">
        <v>4090075</v>
      </c>
      <c r="D13098" s="0" t="s">
        <v>43509</v>
      </c>
      <c r="E13098" s="0" t="s">
        <v>75</v>
      </c>
      <c r="F13098" s="0" t="s">
        <v>90</v>
      </c>
      <c r="G13098" s="0" t="s">
        <v>36</v>
      </c>
      <c r="H13098" s="0" t="n">
        <v>16</v>
      </c>
      <c r="I13098" s="0" t="s">
        <v>43510</v>
      </c>
      <c r="J13098" s="0" t="s">
        <v>43511</v>
      </c>
      <c r="K13098" s="0" t="s">
        <v>43512</v>
      </c>
      <c r="L13098" s="0" t="str">
        <f aca="false">HYPERLINK("https://www.ncbi.nlm.nih.gov/nuccore/CP000058.1?report=graph&amp;tracks=[key:gene_model_track,Options:GeneOnly]&amp;mk=4090056:4090075|offset_16|00cc00,4090036:4090055|offset_36|444444,4089996:4090015|offset_76|444444,4089966:4089985|offset_106|444444&amp;v=4089855:4090185&amp;c=444444", "offset 16")</f>
        <v>offset 16</v>
      </c>
    </row>
    <row r="13099" customFormat="false" ht="12.8" hidden="false" customHeight="false" outlineLevel="0" collapsed="false">
      <c r="A13099" s="0" t="s">
        <v>12</v>
      </c>
      <c r="B13099" s="0" t="n">
        <v>4090035</v>
      </c>
      <c r="C13099" s="0" t="n">
        <v>4090055</v>
      </c>
      <c r="D13099" s="0" t="s">
        <v>43509</v>
      </c>
      <c r="E13099" s="0" t="s">
        <v>75</v>
      </c>
      <c r="F13099" s="0" t="s">
        <v>90</v>
      </c>
      <c r="G13099" s="0" t="s">
        <v>32</v>
      </c>
      <c r="H13099" s="0" t="n">
        <v>36</v>
      </c>
      <c r="I13099" s="0" t="s">
        <v>43513</v>
      </c>
      <c r="J13099" s="0" t="s">
        <v>43514</v>
      </c>
      <c r="K13099" s="0" t="s">
        <v>43515</v>
      </c>
      <c r="L13099" s="0" t="str">
        <f aca="false">HYPERLINK("https://www.ncbi.nlm.nih.gov/nuccore/CP000058.1?report=graph&amp;tracks=[key:gene_model_track,Options:GeneOnly]&amp;mk=4090056:4090075|offset_16|444444,4090036:4090055|offset_36|00cc00,4089996:4090015|offset_76|444444,4089966:4089985|offset_106|444444&amp;v=4089855:4090185&amp;c=444444", "offset 36")</f>
        <v>offset 36</v>
      </c>
    </row>
    <row r="13100" customFormat="false" ht="12.8" hidden="false" customHeight="false" outlineLevel="0" collapsed="false">
      <c r="A13100" s="0" t="s">
        <v>12</v>
      </c>
      <c r="B13100" s="0" t="n">
        <v>4089995</v>
      </c>
      <c r="C13100" s="0" t="n">
        <v>4090015</v>
      </c>
      <c r="D13100" s="0" t="s">
        <v>43509</v>
      </c>
      <c r="E13100" s="0" t="s">
        <v>75</v>
      </c>
      <c r="F13100" s="0" t="s">
        <v>90</v>
      </c>
      <c r="G13100" s="0" t="s">
        <v>20</v>
      </c>
      <c r="H13100" s="0" t="n">
        <v>76</v>
      </c>
      <c r="I13100" s="0" t="s">
        <v>43516</v>
      </c>
      <c r="J13100" s="0" t="s">
        <v>43517</v>
      </c>
      <c r="K13100" s="0" t="s">
        <v>43518</v>
      </c>
      <c r="L13100" s="0" t="str">
        <f aca="false">HYPERLINK("https://www.ncbi.nlm.nih.gov/nuccore/CP000058.1?report=graph&amp;tracks=[key:gene_model_track,Options:GeneOnly]&amp;mk=4090056:4090075|offset_16|444444,4090036:4090055|offset_36|444444,4089996:4090015|offset_76|00cc00,4089966:4089985|offset_106|444444&amp;v=4089855:4090185&amp;c=444444", "offset 76")</f>
        <v>offset 76</v>
      </c>
    </row>
    <row r="13101" customFormat="false" ht="12.8" hidden="false" customHeight="false" outlineLevel="0" collapsed="false">
      <c r="A13101" s="0" t="s">
        <v>12</v>
      </c>
      <c r="B13101" s="0" t="n">
        <v>4089965</v>
      </c>
      <c r="C13101" s="0" t="n">
        <v>4089985</v>
      </c>
      <c r="D13101" s="0" t="s">
        <v>43509</v>
      </c>
      <c r="E13101" s="0" t="s">
        <v>75</v>
      </c>
      <c r="F13101" s="0" t="s">
        <v>90</v>
      </c>
      <c r="G13101" s="0" t="s">
        <v>32</v>
      </c>
      <c r="H13101" s="0" t="n">
        <v>106</v>
      </c>
      <c r="I13101" s="0" t="s">
        <v>43519</v>
      </c>
      <c r="J13101" s="0" t="s">
        <v>43520</v>
      </c>
      <c r="K13101" s="0" t="s">
        <v>43521</v>
      </c>
      <c r="L13101" s="0" t="str">
        <f aca="false">HYPERLINK("https://www.ncbi.nlm.nih.gov/nuccore/CP000058.1?report=graph&amp;tracks=[key:gene_model_track,Options:GeneOnly]&amp;mk=4090056:4090075|offset_16|444444,4090036:4090055|offset_36|444444,4089996:4090015|offset_76|444444,4089966:4089985|offset_106|00cc00&amp;v=4089855:4090185&amp;c=444444", "offset 106")</f>
        <v>offset 106</v>
      </c>
    </row>
    <row r="13102" customFormat="false" ht="12.8" hidden="false" customHeight="false" outlineLevel="0" collapsed="false">
      <c r="A13102" s="0" t="s">
        <v>12</v>
      </c>
      <c r="B13102" s="0" t="n">
        <v>4091342</v>
      </c>
      <c r="C13102" s="0" t="n">
        <v>4091362</v>
      </c>
      <c r="D13102" s="0" t="s">
        <v>43522</v>
      </c>
      <c r="E13102" s="0" t="s">
        <v>75</v>
      </c>
      <c r="F13102" s="0" t="s">
        <v>90</v>
      </c>
      <c r="G13102" s="0" t="s">
        <v>32</v>
      </c>
      <c r="H13102" s="0" t="n">
        <v>1</v>
      </c>
      <c r="I13102" s="0" t="s">
        <v>43523</v>
      </c>
      <c r="J13102" s="0" t="s">
        <v>43524</v>
      </c>
      <c r="K13102" s="0" t="s">
        <v>43525</v>
      </c>
      <c r="L13102" s="0" t="str">
        <f aca="false">HYPERLINK("https://www.ncbi.nlm.nih.gov/nuccore/CP000058.1?report=graph&amp;tracks=[key:gene_model_track,Options:GeneOnly]&amp;mk=4091343:4091362|offset_1|00cc00,4091310:4091329|offset_34|444444,4091290:4091309|offset_54|444444,4091267:4091286|offset_77|444444&amp;v=4091142:4091486&amp;c=444444", "offset 1")</f>
        <v>offset 1</v>
      </c>
    </row>
    <row r="13103" customFormat="false" ht="12.8" hidden="false" customHeight="false" outlineLevel="0" collapsed="false">
      <c r="A13103" s="0" t="s">
        <v>12</v>
      </c>
      <c r="B13103" s="0" t="n">
        <v>4091309</v>
      </c>
      <c r="C13103" s="0" t="n">
        <v>4091329</v>
      </c>
      <c r="D13103" s="0" t="s">
        <v>43522</v>
      </c>
      <c r="E13103" s="0" t="s">
        <v>75</v>
      </c>
      <c r="F13103" s="0" t="s">
        <v>90</v>
      </c>
      <c r="G13103" s="0" t="s">
        <v>36</v>
      </c>
      <c r="H13103" s="0" t="n">
        <v>34</v>
      </c>
      <c r="I13103" s="0" t="s">
        <v>43526</v>
      </c>
      <c r="J13103" s="0" t="s">
        <v>43527</v>
      </c>
      <c r="K13103" s="0" t="s">
        <v>43528</v>
      </c>
      <c r="L13103" s="0" t="str">
        <f aca="false">HYPERLINK("https://www.ncbi.nlm.nih.gov/nuccore/CP000058.1?report=graph&amp;tracks=[key:gene_model_track,Options:GeneOnly]&amp;mk=4091343:4091362|offset_1|444444,4091310:4091329|offset_34|00cc00,4091290:4091309|offset_54|444444,4091267:4091286|offset_77|444444&amp;v=4091142:4091486&amp;c=444444", "offset 34")</f>
        <v>offset 34</v>
      </c>
    </row>
    <row r="13104" customFormat="false" ht="12.8" hidden="false" customHeight="false" outlineLevel="0" collapsed="false">
      <c r="A13104" s="0" t="s">
        <v>12</v>
      </c>
      <c r="B13104" s="0" t="n">
        <v>4091289</v>
      </c>
      <c r="C13104" s="0" t="n">
        <v>4091309</v>
      </c>
      <c r="D13104" s="0" t="s">
        <v>43522</v>
      </c>
      <c r="E13104" s="0" t="s">
        <v>75</v>
      </c>
      <c r="F13104" s="0" t="s">
        <v>90</v>
      </c>
      <c r="G13104" s="0" t="s">
        <v>16</v>
      </c>
      <c r="H13104" s="0" t="n">
        <v>54</v>
      </c>
      <c r="I13104" s="0" t="s">
        <v>43529</v>
      </c>
      <c r="J13104" s="0" t="s">
        <v>43530</v>
      </c>
      <c r="K13104" s="0" t="s">
        <v>43531</v>
      </c>
      <c r="L13104" s="0" t="str">
        <f aca="false">HYPERLINK("https://www.ncbi.nlm.nih.gov/nuccore/CP000058.1?report=graph&amp;tracks=[key:gene_model_track,Options:GeneOnly]&amp;mk=4091343:4091362|offset_1|444444,4091310:4091329|offset_34|444444,4091290:4091309|offset_54|00cc00,4091267:4091286|offset_77|444444&amp;v=4091142:4091486&amp;c=444444", "offset 54")</f>
        <v>offset 54</v>
      </c>
    </row>
    <row r="13105" customFormat="false" ht="12.8" hidden="false" customHeight="false" outlineLevel="0" collapsed="false">
      <c r="A13105" s="0" t="s">
        <v>12</v>
      </c>
      <c r="B13105" s="0" t="n">
        <v>4091266</v>
      </c>
      <c r="C13105" s="0" t="n">
        <v>4091286</v>
      </c>
      <c r="D13105" s="0" t="s">
        <v>43522</v>
      </c>
      <c r="E13105" s="0" t="s">
        <v>75</v>
      </c>
      <c r="F13105" s="0" t="s">
        <v>90</v>
      </c>
      <c r="G13105" s="0" t="s">
        <v>20</v>
      </c>
      <c r="H13105" s="0" t="n">
        <v>77</v>
      </c>
      <c r="I13105" s="0" t="s">
        <v>43532</v>
      </c>
      <c r="J13105" s="0" t="s">
        <v>43533</v>
      </c>
      <c r="K13105" s="0" t="s">
        <v>43534</v>
      </c>
      <c r="L13105" s="0" t="str">
        <f aca="false">HYPERLINK("https://www.ncbi.nlm.nih.gov/nuccore/CP000058.1?report=graph&amp;tracks=[key:gene_model_track,Options:GeneOnly]&amp;mk=4091343:4091362|offset_1|444444,4091310:4091329|offset_34|444444,4091290:4091309|offset_54|444444,4091267:4091286|offset_77|00cc00&amp;v=4091142:4091486&amp;c=444444", "offset 77")</f>
        <v>offset 77</v>
      </c>
    </row>
    <row r="13106" customFormat="false" ht="12.8" hidden="false" customHeight="false" outlineLevel="0" collapsed="false">
      <c r="A13106" s="0" t="s">
        <v>12</v>
      </c>
      <c r="B13106" s="0" t="n">
        <v>4091891</v>
      </c>
      <c r="C13106" s="0" t="n">
        <v>4091911</v>
      </c>
      <c r="D13106" s="0" t="s">
        <v>43535</v>
      </c>
      <c r="E13106" s="0" t="s">
        <v>43536</v>
      </c>
      <c r="F13106" s="0" t="s">
        <v>90</v>
      </c>
      <c r="G13106" s="0" t="s">
        <v>36</v>
      </c>
      <c r="H13106" s="0" t="n">
        <v>17</v>
      </c>
      <c r="I13106" s="0" t="s">
        <v>43537</v>
      </c>
      <c r="J13106" s="0" t="s">
        <v>43538</v>
      </c>
      <c r="K13106" s="0" t="s">
        <v>43539</v>
      </c>
      <c r="L13106" s="0" t="str">
        <f aca="false">HYPERLINK("https://www.ncbi.nlm.nih.gov/nuccore/CP000058.1?report=graph&amp;tracks=[key:gene_model_track,Options:GeneOnly]&amp;mk=4091892:4091911|offset_17|00cc00,4091871:4091890|offset_38|444444,4091845:4091864|offset_64|444444,4091811:4091830|offset_98|444444&amp;v=4091691:4092030&amp;c=444444", "offset 17")</f>
        <v>offset 17</v>
      </c>
    </row>
    <row r="13107" customFormat="false" ht="12.8" hidden="false" customHeight="false" outlineLevel="0" collapsed="false">
      <c r="A13107" s="0" t="s">
        <v>12</v>
      </c>
      <c r="B13107" s="0" t="n">
        <v>4091870</v>
      </c>
      <c r="C13107" s="0" t="n">
        <v>4091890</v>
      </c>
      <c r="D13107" s="0" t="s">
        <v>43535</v>
      </c>
      <c r="E13107" s="0" t="s">
        <v>43536</v>
      </c>
      <c r="F13107" s="0" t="s">
        <v>90</v>
      </c>
      <c r="G13107" s="0" t="s">
        <v>20</v>
      </c>
      <c r="H13107" s="0" t="n">
        <v>38</v>
      </c>
      <c r="I13107" s="0" t="s">
        <v>43540</v>
      </c>
      <c r="J13107" s="0" t="s">
        <v>43541</v>
      </c>
      <c r="K13107" s="0" t="s">
        <v>43542</v>
      </c>
      <c r="L13107" s="0" t="str">
        <f aca="false">HYPERLINK("https://www.ncbi.nlm.nih.gov/nuccore/CP000058.1?report=graph&amp;tracks=[key:gene_model_track,Options:GeneOnly]&amp;mk=4091892:4091911|offset_17|444444,4091871:4091890|offset_38|00cc00,4091845:4091864|offset_64|444444,4091811:4091830|offset_98|444444&amp;v=4091691:4092030&amp;c=444444", "offset 38")</f>
        <v>offset 38</v>
      </c>
    </row>
    <row r="13108" customFormat="false" ht="12.8" hidden="false" customHeight="false" outlineLevel="0" collapsed="false">
      <c r="A13108" s="0" t="s">
        <v>12</v>
      </c>
      <c r="B13108" s="0" t="n">
        <v>4091844</v>
      </c>
      <c r="C13108" s="0" t="n">
        <v>4091864</v>
      </c>
      <c r="D13108" s="0" t="s">
        <v>43535</v>
      </c>
      <c r="E13108" s="0" t="s">
        <v>43536</v>
      </c>
      <c r="F13108" s="0" t="s">
        <v>90</v>
      </c>
      <c r="G13108" s="0" t="s">
        <v>32</v>
      </c>
      <c r="H13108" s="0" t="n">
        <v>64</v>
      </c>
      <c r="I13108" s="0" t="s">
        <v>43543</v>
      </c>
      <c r="J13108" s="0" t="s">
        <v>43544</v>
      </c>
      <c r="K13108" s="0" t="s">
        <v>43545</v>
      </c>
      <c r="L13108" s="0" t="str">
        <f aca="false">HYPERLINK("https://www.ncbi.nlm.nih.gov/nuccore/CP000058.1?report=graph&amp;tracks=[key:gene_model_track,Options:GeneOnly]&amp;mk=4091892:4091911|offset_17|444444,4091871:4091890|offset_38|444444,4091845:4091864|offset_64|00cc00,4091811:4091830|offset_98|444444&amp;v=4091691:4092030&amp;c=444444", "offset 64")</f>
        <v>offset 64</v>
      </c>
    </row>
    <row r="13109" customFormat="false" ht="12.8" hidden="false" customHeight="false" outlineLevel="0" collapsed="false">
      <c r="A13109" s="0" t="s">
        <v>12</v>
      </c>
      <c r="B13109" s="0" t="n">
        <v>4091810</v>
      </c>
      <c r="C13109" s="0" t="n">
        <v>4091830</v>
      </c>
      <c r="D13109" s="0" t="s">
        <v>43535</v>
      </c>
      <c r="E13109" s="0" t="s">
        <v>43536</v>
      </c>
      <c r="F13109" s="0" t="s">
        <v>90</v>
      </c>
      <c r="G13109" s="0" t="s">
        <v>20</v>
      </c>
      <c r="H13109" s="0" t="n">
        <v>98</v>
      </c>
      <c r="I13109" s="0" t="s">
        <v>43546</v>
      </c>
      <c r="J13109" s="0" t="s">
        <v>43547</v>
      </c>
      <c r="K13109" s="0" t="s">
        <v>43548</v>
      </c>
      <c r="L13109" s="0" t="str">
        <f aca="false">HYPERLINK("https://www.ncbi.nlm.nih.gov/nuccore/CP000058.1?report=graph&amp;tracks=[key:gene_model_track,Options:GeneOnly]&amp;mk=4091892:4091911|offset_17|444444,4091871:4091890|offset_38|444444,4091845:4091864|offset_64|444444,4091811:4091830|offset_98|00cc00&amp;v=4091691:4092030&amp;c=444444", "offset 98")</f>
        <v>offset 98</v>
      </c>
    </row>
    <row r="13110" customFormat="false" ht="12.8" hidden="false" customHeight="false" outlineLevel="0" collapsed="false">
      <c r="A13110" s="0" t="s">
        <v>12</v>
      </c>
      <c r="B13110" s="0" t="n">
        <v>4092699</v>
      </c>
      <c r="C13110" s="0" t="n">
        <v>4092719</v>
      </c>
      <c r="D13110" s="0" t="s">
        <v>43549</v>
      </c>
      <c r="E13110" s="0" t="s">
        <v>43550</v>
      </c>
      <c r="F13110" s="0" t="s">
        <v>90</v>
      </c>
      <c r="G13110" s="0" t="s">
        <v>16</v>
      </c>
      <c r="H13110" s="0" t="n">
        <v>6</v>
      </c>
      <c r="I13110" s="0" t="s">
        <v>43551</v>
      </c>
      <c r="J13110" s="0" t="s">
        <v>43552</v>
      </c>
      <c r="K13110" s="0" t="s">
        <v>43553</v>
      </c>
      <c r="L13110" s="0" t="str">
        <f aca="false">HYPERLINK("https://www.ncbi.nlm.nih.gov/nuccore/CP000058.1?report=graph&amp;tracks=[key:gene_model_track,Options:GeneOnly]&amp;mk=4092700:4092719|offset_6|00cc00,4092662:4092681|offset_44|444444,4092642:4092661|offset_64|444444,4092621:4092640|offset_85|444444&amp;v=4092499:4092840&amp;c=444444", "offset 6")</f>
        <v>offset 6</v>
      </c>
    </row>
    <row r="13111" customFormat="false" ht="12.8" hidden="false" customHeight="false" outlineLevel="0" collapsed="false">
      <c r="A13111" s="0" t="s">
        <v>12</v>
      </c>
      <c r="B13111" s="0" t="n">
        <v>4092661</v>
      </c>
      <c r="C13111" s="0" t="n">
        <v>4092681</v>
      </c>
      <c r="D13111" s="0" t="s">
        <v>43549</v>
      </c>
      <c r="E13111" s="0" t="s">
        <v>43550</v>
      </c>
      <c r="F13111" s="0" t="s">
        <v>90</v>
      </c>
      <c r="G13111" s="0" t="s">
        <v>36</v>
      </c>
      <c r="H13111" s="0" t="n">
        <v>44</v>
      </c>
      <c r="I13111" s="0" t="s">
        <v>43554</v>
      </c>
      <c r="J13111" s="0" t="s">
        <v>43555</v>
      </c>
      <c r="K13111" s="0" t="s">
        <v>43556</v>
      </c>
      <c r="L13111" s="0" t="str">
        <f aca="false">HYPERLINK("https://www.ncbi.nlm.nih.gov/nuccore/CP000058.1?report=graph&amp;tracks=[key:gene_model_track,Options:GeneOnly]&amp;mk=4092700:4092719|offset_6|444444,4092662:4092681|offset_44|00cc00,4092642:4092661|offset_64|444444,4092621:4092640|offset_85|444444&amp;v=4092499:4092840&amp;c=444444", "offset 44")</f>
        <v>offset 44</v>
      </c>
    </row>
    <row r="13112" customFormat="false" ht="12.8" hidden="false" customHeight="false" outlineLevel="0" collapsed="false">
      <c r="A13112" s="0" t="s">
        <v>12</v>
      </c>
      <c r="B13112" s="0" t="n">
        <v>4092641</v>
      </c>
      <c r="C13112" s="0" t="n">
        <v>4092661</v>
      </c>
      <c r="D13112" s="0" t="s">
        <v>43549</v>
      </c>
      <c r="E13112" s="0" t="s">
        <v>43550</v>
      </c>
      <c r="F13112" s="0" t="s">
        <v>90</v>
      </c>
      <c r="G13112" s="0" t="s">
        <v>20</v>
      </c>
      <c r="H13112" s="0" t="n">
        <v>64</v>
      </c>
      <c r="I13112" s="0" t="s">
        <v>43557</v>
      </c>
      <c r="J13112" s="0" t="s">
        <v>43558</v>
      </c>
      <c r="K13112" s="0" t="s">
        <v>43559</v>
      </c>
      <c r="L13112" s="0" t="str">
        <f aca="false">HYPERLINK("https://www.ncbi.nlm.nih.gov/nuccore/CP000058.1?report=graph&amp;tracks=[key:gene_model_track,Options:GeneOnly]&amp;mk=4092700:4092719|offset_6|444444,4092662:4092681|offset_44|444444,4092642:4092661|offset_64|00cc00,4092621:4092640|offset_85|444444&amp;v=4092499:4092840&amp;c=444444", "offset 64")</f>
        <v>offset 64</v>
      </c>
    </row>
    <row r="13113" customFormat="false" ht="12.8" hidden="false" customHeight="false" outlineLevel="0" collapsed="false">
      <c r="A13113" s="0" t="s">
        <v>12</v>
      </c>
      <c r="B13113" s="0" t="n">
        <v>4092620</v>
      </c>
      <c r="C13113" s="0" t="n">
        <v>4092640</v>
      </c>
      <c r="D13113" s="0" t="s">
        <v>43549</v>
      </c>
      <c r="E13113" s="0" t="s">
        <v>43550</v>
      </c>
      <c r="F13113" s="0" t="s">
        <v>90</v>
      </c>
      <c r="G13113" s="0" t="s">
        <v>16</v>
      </c>
      <c r="H13113" s="0" t="n">
        <v>85</v>
      </c>
      <c r="I13113" s="0" t="s">
        <v>43560</v>
      </c>
      <c r="J13113" s="0" t="s">
        <v>43561</v>
      </c>
      <c r="K13113" s="0" t="s">
        <v>43562</v>
      </c>
      <c r="L13113" s="0" t="str">
        <f aca="false">HYPERLINK("https://www.ncbi.nlm.nih.gov/nuccore/CP000058.1?report=graph&amp;tracks=[key:gene_model_track,Options:GeneOnly]&amp;mk=4092700:4092719|offset_6|444444,4092662:4092681|offset_44|444444,4092642:4092661|offset_64|444444,4092621:4092640|offset_85|00cc00&amp;v=4092499:4092840&amp;c=444444", "offset 85")</f>
        <v>offset 85</v>
      </c>
    </row>
    <row r="13114" customFormat="false" ht="12.8" hidden="false" customHeight="false" outlineLevel="0" collapsed="false">
      <c r="A13114" s="0" t="s">
        <v>12</v>
      </c>
      <c r="B13114" s="0" t="n">
        <v>4093230</v>
      </c>
      <c r="C13114" s="0" t="n">
        <v>4093250</v>
      </c>
      <c r="D13114" s="0" t="s">
        <v>43563</v>
      </c>
      <c r="E13114" s="0" t="s">
        <v>75</v>
      </c>
      <c r="F13114" s="0" t="s">
        <v>90</v>
      </c>
      <c r="G13114" s="0" t="s">
        <v>20</v>
      </c>
      <c r="H13114" s="0" t="n">
        <v>6</v>
      </c>
      <c r="I13114" s="0" t="s">
        <v>43564</v>
      </c>
      <c r="J13114" s="0" t="s">
        <v>43565</v>
      </c>
      <c r="K13114" s="0" t="s">
        <v>43566</v>
      </c>
      <c r="L13114" s="0" t="str">
        <f aca="false">HYPERLINK("https://www.ncbi.nlm.nih.gov/nuccore/CP000058.1?report=graph&amp;tracks=[key:gene_model_track,Options:GeneOnly]&amp;mk=4093231:4093250|offset_6|00cc00,4093211:4093230|offset_26|444444,4093191:4093210|offset_46|444444,4093166:4093185|offset_71|444444&amp;v=4093030:4093385&amp;c=444444", "offset 6")</f>
        <v>offset 6</v>
      </c>
    </row>
    <row r="13115" customFormat="false" ht="12.8" hidden="false" customHeight="false" outlineLevel="0" collapsed="false">
      <c r="A13115" s="0" t="s">
        <v>12</v>
      </c>
      <c r="B13115" s="0" t="n">
        <v>4093210</v>
      </c>
      <c r="C13115" s="0" t="n">
        <v>4093230</v>
      </c>
      <c r="D13115" s="0" t="s">
        <v>43563</v>
      </c>
      <c r="E13115" s="0" t="s">
        <v>75</v>
      </c>
      <c r="F13115" s="0" t="s">
        <v>90</v>
      </c>
      <c r="G13115" s="0" t="s">
        <v>36</v>
      </c>
      <c r="H13115" s="0" t="n">
        <v>26</v>
      </c>
      <c r="I13115" s="0" t="s">
        <v>43567</v>
      </c>
      <c r="J13115" s="0" t="s">
        <v>43568</v>
      </c>
      <c r="K13115" s="0" t="s">
        <v>43569</v>
      </c>
      <c r="L13115" s="0" t="str">
        <f aca="false">HYPERLINK("https://www.ncbi.nlm.nih.gov/nuccore/CP000058.1?report=graph&amp;tracks=[key:gene_model_track,Options:GeneOnly]&amp;mk=4093231:4093250|offset_6|444444,4093211:4093230|offset_26|00cc00,4093191:4093210|offset_46|444444,4093166:4093185|offset_71|444444&amp;v=4093030:4093385&amp;c=444444", "offset 26")</f>
        <v>offset 26</v>
      </c>
    </row>
    <row r="13116" customFormat="false" ht="12.8" hidden="false" customHeight="false" outlineLevel="0" collapsed="false">
      <c r="A13116" s="0" t="s">
        <v>12</v>
      </c>
      <c r="B13116" s="0" t="n">
        <v>4093190</v>
      </c>
      <c r="C13116" s="0" t="n">
        <v>4093210</v>
      </c>
      <c r="D13116" s="0" t="s">
        <v>43563</v>
      </c>
      <c r="E13116" s="0" t="s">
        <v>75</v>
      </c>
      <c r="F13116" s="0" t="s">
        <v>90</v>
      </c>
      <c r="G13116" s="0" t="s">
        <v>32</v>
      </c>
      <c r="H13116" s="0" t="n">
        <v>46</v>
      </c>
      <c r="I13116" s="0" t="s">
        <v>43570</v>
      </c>
      <c r="J13116" s="0" t="s">
        <v>43571</v>
      </c>
      <c r="K13116" s="0" t="s">
        <v>43572</v>
      </c>
      <c r="L13116" s="0" t="str">
        <f aca="false">HYPERLINK("https://www.ncbi.nlm.nih.gov/nuccore/CP000058.1?report=graph&amp;tracks=[key:gene_model_track,Options:GeneOnly]&amp;mk=4093231:4093250|offset_6|444444,4093211:4093230|offset_26|444444,4093191:4093210|offset_46|00cc00,4093166:4093185|offset_71|444444&amp;v=4093030:4093385&amp;c=444444", "offset 46")</f>
        <v>offset 46</v>
      </c>
    </row>
    <row r="13117" customFormat="false" ht="12.8" hidden="false" customHeight="false" outlineLevel="0" collapsed="false">
      <c r="A13117" s="0" t="s">
        <v>12</v>
      </c>
      <c r="B13117" s="0" t="n">
        <v>4093165</v>
      </c>
      <c r="C13117" s="0" t="n">
        <v>4093185</v>
      </c>
      <c r="D13117" s="0" t="s">
        <v>43563</v>
      </c>
      <c r="E13117" s="0" t="s">
        <v>75</v>
      </c>
      <c r="F13117" s="0" t="s">
        <v>90</v>
      </c>
      <c r="G13117" s="0" t="s">
        <v>16</v>
      </c>
      <c r="H13117" s="0" t="n">
        <v>71</v>
      </c>
      <c r="I13117" s="0" t="s">
        <v>43573</v>
      </c>
      <c r="J13117" s="0" t="s">
        <v>43574</v>
      </c>
      <c r="K13117" s="0" t="s">
        <v>43575</v>
      </c>
      <c r="L13117" s="0" t="str">
        <f aca="false">HYPERLINK("https://www.ncbi.nlm.nih.gov/nuccore/CP000058.1?report=graph&amp;tracks=[key:gene_model_track,Options:GeneOnly]&amp;mk=4093231:4093250|offset_6|444444,4093211:4093230|offset_26|444444,4093191:4093210|offset_46|444444,4093166:4093185|offset_71|00cc00&amp;v=4093030:4093385&amp;c=444444", "offset 71")</f>
        <v>offset 71</v>
      </c>
    </row>
    <row r="13118" customFormat="false" ht="12.8" hidden="false" customHeight="false" outlineLevel="0" collapsed="false">
      <c r="A13118" s="0" t="s">
        <v>12</v>
      </c>
      <c r="B13118" s="0" t="n">
        <v>4093671</v>
      </c>
      <c r="C13118" s="0" t="n">
        <v>4093691</v>
      </c>
      <c r="D13118" s="0" t="s">
        <v>43576</v>
      </c>
      <c r="E13118" s="0" t="s">
        <v>43577</v>
      </c>
      <c r="F13118" s="0" t="s">
        <v>15</v>
      </c>
      <c r="G13118" s="0" t="s">
        <v>20</v>
      </c>
      <c r="H13118" s="0" t="n">
        <v>13</v>
      </c>
      <c r="I13118" s="0" t="s">
        <v>43578</v>
      </c>
      <c r="J13118" s="0" t="s">
        <v>43579</v>
      </c>
      <c r="K13118" s="0" t="s">
        <v>43580</v>
      </c>
      <c r="L13118" s="0" t="str">
        <f aca="false">HYPERLINK("https://www.ncbi.nlm.nih.gov/nuccore/CP000058.1?report=graph&amp;tracks=[key:gene_model_track,Options:GeneOnly]&amp;mk=4093672:4093691|offset_13|00cc00,4093699:4093718|offset_40|444444,4093722:4093741|offset_63|444444,4093748:4093767|offset_89|444444&amp;v=4093471:4093967&amp;c=444444", "offset 13")</f>
        <v>offset 13</v>
      </c>
    </row>
    <row r="13119" customFormat="false" ht="12.8" hidden="false" customHeight="false" outlineLevel="0" collapsed="false">
      <c r="A13119" s="0" t="s">
        <v>12</v>
      </c>
      <c r="B13119" s="0" t="n">
        <v>4093698</v>
      </c>
      <c r="C13119" s="0" t="n">
        <v>4093718</v>
      </c>
      <c r="D13119" s="0" t="s">
        <v>43576</v>
      </c>
      <c r="E13119" s="0" t="s">
        <v>43577</v>
      </c>
      <c r="F13119" s="0" t="s">
        <v>15</v>
      </c>
      <c r="G13119" s="0" t="s">
        <v>16</v>
      </c>
      <c r="H13119" s="0" t="n">
        <v>40</v>
      </c>
      <c r="I13119" s="0" t="s">
        <v>43581</v>
      </c>
      <c r="J13119" s="0" t="s">
        <v>43582</v>
      </c>
      <c r="K13119" s="0" t="s">
        <v>43583</v>
      </c>
      <c r="L13119" s="0" t="str">
        <f aca="false">HYPERLINK("https://www.ncbi.nlm.nih.gov/nuccore/CP000058.1?report=graph&amp;tracks=[key:gene_model_track,Options:GeneOnly]&amp;mk=4093672:4093691|offset_13|444444,4093699:4093718|offset_40|00cc00,4093722:4093741|offset_63|444444,4093748:4093767|offset_89|444444&amp;v=4093471:4093967&amp;c=444444", "offset 40")</f>
        <v>offset 40</v>
      </c>
    </row>
    <row r="13120" customFormat="false" ht="12.8" hidden="false" customHeight="false" outlineLevel="0" collapsed="false">
      <c r="A13120" s="0" t="s">
        <v>12</v>
      </c>
      <c r="B13120" s="0" t="n">
        <v>4093721</v>
      </c>
      <c r="C13120" s="0" t="n">
        <v>4093741</v>
      </c>
      <c r="D13120" s="0" t="s">
        <v>43576</v>
      </c>
      <c r="E13120" s="0" t="s">
        <v>43577</v>
      </c>
      <c r="F13120" s="0" t="s">
        <v>15</v>
      </c>
      <c r="G13120" s="0" t="s">
        <v>16</v>
      </c>
      <c r="H13120" s="0" t="n">
        <v>63</v>
      </c>
      <c r="I13120" s="0" t="s">
        <v>43584</v>
      </c>
      <c r="J13120" s="0" t="s">
        <v>43585</v>
      </c>
      <c r="K13120" s="0" t="s">
        <v>43586</v>
      </c>
      <c r="L13120" s="0" t="str">
        <f aca="false">HYPERLINK("https://www.ncbi.nlm.nih.gov/nuccore/CP000058.1?report=graph&amp;tracks=[key:gene_model_track,Options:GeneOnly]&amp;mk=4093672:4093691|offset_13|444444,4093699:4093718|offset_40|444444,4093722:4093741|offset_63|00cc00,4093748:4093767|offset_89|444444&amp;v=4093471:4093967&amp;c=444444", "offset 63")</f>
        <v>offset 63</v>
      </c>
    </row>
    <row r="13121" customFormat="false" ht="12.8" hidden="false" customHeight="false" outlineLevel="0" collapsed="false">
      <c r="A13121" s="0" t="s">
        <v>12</v>
      </c>
      <c r="B13121" s="0" t="n">
        <v>4093747</v>
      </c>
      <c r="C13121" s="0" t="n">
        <v>4093767</v>
      </c>
      <c r="D13121" s="0" t="s">
        <v>43576</v>
      </c>
      <c r="E13121" s="0" t="s">
        <v>43577</v>
      </c>
      <c r="F13121" s="0" t="s">
        <v>15</v>
      </c>
      <c r="G13121" s="0" t="s">
        <v>20</v>
      </c>
      <c r="H13121" s="0" t="n">
        <v>89</v>
      </c>
      <c r="I13121" s="0" t="s">
        <v>43587</v>
      </c>
      <c r="J13121" s="0" t="s">
        <v>43588</v>
      </c>
      <c r="K13121" s="0" t="s">
        <v>43589</v>
      </c>
      <c r="L13121" s="0" t="str">
        <f aca="false">HYPERLINK("https://www.ncbi.nlm.nih.gov/nuccore/CP000058.1?report=graph&amp;tracks=[key:gene_model_track,Options:GeneOnly]&amp;mk=4093672:4093691|offset_13|444444,4093699:4093718|offset_40|444444,4093722:4093741|offset_63|444444,4093748:4093767|offset_89|00cc00&amp;v=4093471:4093967&amp;c=444444", "offset 89")</f>
        <v>offset 89</v>
      </c>
    </row>
    <row r="13122" customFormat="false" ht="12.8" hidden="false" customHeight="false" outlineLevel="0" collapsed="false">
      <c r="A13122" s="0" t="s">
        <v>12</v>
      </c>
      <c r="B13122" s="0" t="n">
        <v>4096538</v>
      </c>
      <c r="C13122" s="0" t="n">
        <v>4096558</v>
      </c>
      <c r="D13122" s="0" t="s">
        <v>43590</v>
      </c>
      <c r="E13122" s="0" t="s">
        <v>75</v>
      </c>
      <c r="F13122" s="0" t="s">
        <v>15</v>
      </c>
      <c r="G13122" s="0" t="s">
        <v>16</v>
      </c>
      <c r="H13122" s="0" t="n">
        <v>1</v>
      </c>
      <c r="I13122" s="0" t="s">
        <v>43591</v>
      </c>
      <c r="J13122" s="0" t="s">
        <v>43592</v>
      </c>
      <c r="K13122" s="0" t="s">
        <v>43593</v>
      </c>
      <c r="L13122" s="0" t="str">
        <f aca="false">HYPERLINK("https://www.ncbi.nlm.nih.gov/nuccore/CP000058.1?report=graph&amp;tracks=[key:gene_model_track,Options:GeneOnly]&amp;mk=4096539:4096558|offset_1|00cc00,4096575:4096594|offset_37|444444,4096602:4096621|offset_64|444444,4096631:4096650|offset_93|444444&amp;v=4096338:4096850&amp;c=444444", "offset 1")</f>
        <v>offset 1</v>
      </c>
    </row>
    <row r="13123" customFormat="false" ht="12.8" hidden="false" customHeight="false" outlineLevel="0" collapsed="false">
      <c r="A13123" s="0" t="s">
        <v>12</v>
      </c>
      <c r="B13123" s="0" t="n">
        <v>4096574</v>
      </c>
      <c r="C13123" s="0" t="n">
        <v>4096594</v>
      </c>
      <c r="D13123" s="0" t="s">
        <v>43590</v>
      </c>
      <c r="E13123" s="0" t="s">
        <v>75</v>
      </c>
      <c r="F13123" s="0" t="s">
        <v>15</v>
      </c>
      <c r="G13123" s="0" t="s">
        <v>32</v>
      </c>
      <c r="H13123" s="0" t="n">
        <v>37</v>
      </c>
      <c r="I13123" s="0" t="s">
        <v>43594</v>
      </c>
      <c r="J13123" s="0" t="s">
        <v>43595</v>
      </c>
      <c r="K13123" s="0" t="s">
        <v>43596</v>
      </c>
      <c r="L13123" s="0" t="str">
        <f aca="false">HYPERLINK("https://www.ncbi.nlm.nih.gov/nuccore/CP000058.1?report=graph&amp;tracks=[key:gene_model_track,Options:GeneOnly]&amp;mk=4096539:4096558|offset_1|444444,4096575:4096594|offset_37|00cc00,4096602:4096621|offset_64|444444,4096631:4096650|offset_93|444444&amp;v=4096338:4096850&amp;c=444444", "offset 37")</f>
        <v>offset 37</v>
      </c>
    </row>
    <row r="13124" customFormat="false" ht="12.8" hidden="false" customHeight="false" outlineLevel="0" collapsed="false">
      <c r="A13124" s="0" t="s">
        <v>12</v>
      </c>
      <c r="B13124" s="0" t="n">
        <v>4096601</v>
      </c>
      <c r="C13124" s="0" t="n">
        <v>4096621</v>
      </c>
      <c r="D13124" s="0" t="s">
        <v>43590</v>
      </c>
      <c r="E13124" s="0" t="s">
        <v>75</v>
      </c>
      <c r="F13124" s="0" t="s">
        <v>15</v>
      </c>
      <c r="G13124" s="0" t="s">
        <v>36</v>
      </c>
      <c r="H13124" s="0" t="n">
        <v>64</v>
      </c>
      <c r="I13124" s="0" t="s">
        <v>43597</v>
      </c>
      <c r="J13124" s="0" t="s">
        <v>43598</v>
      </c>
      <c r="K13124" s="0" t="s">
        <v>43599</v>
      </c>
      <c r="L13124" s="0" t="str">
        <f aca="false">HYPERLINK("https://www.ncbi.nlm.nih.gov/nuccore/CP000058.1?report=graph&amp;tracks=[key:gene_model_track,Options:GeneOnly]&amp;mk=4096539:4096558|offset_1|444444,4096575:4096594|offset_37|444444,4096602:4096621|offset_64|00cc00,4096631:4096650|offset_93|444444&amp;v=4096338:4096850&amp;c=444444", "offset 64")</f>
        <v>offset 64</v>
      </c>
    </row>
    <row r="13125" customFormat="false" ht="12.8" hidden="false" customHeight="false" outlineLevel="0" collapsed="false">
      <c r="A13125" s="0" t="s">
        <v>12</v>
      </c>
      <c r="B13125" s="0" t="n">
        <v>4096630</v>
      </c>
      <c r="C13125" s="0" t="n">
        <v>4096650</v>
      </c>
      <c r="D13125" s="0" t="s">
        <v>43590</v>
      </c>
      <c r="E13125" s="0" t="s">
        <v>75</v>
      </c>
      <c r="F13125" s="0" t="s">
        <v>15</v>
      </c>
      <c r="G13125" s="0" t="s">
        <v>16</v>
      </c>
      <c r="H13125" s="0" t="n">
        <v>93</v>
      </c>
      <c r="I13125" s="0" t="s">
        <v>43600</v>
      </c>
      <c r="J13125" s="0" t="s">
        <v>43601</v>
      </c>
      <c r="K13125" s="0" t="s">
        <v>43602</v>
      </c>
      <c r="L13125" s="0" t="str">
        <f aca="false">HYPERLINK("https://www.ncbi.nlm.nih.gov/nuccore/CP000058.1?report=graph&amp;tracks=[key:gene_model_track,Options:GeneOnly]&amp;mk=4096539:4096558|offset_1|444444,4096575:4096594|offset_37|444444,4096602:4096621|offset_64|444444,4096631:4096650|offset_93|00cc00&amp;v=4096338:4096850&amp;c=444444", "offset 93")</f>
        <v>offset 93</v>
      </c>
    </row>
    <row r="13126" customFormat="false" ht="12.8" hidden="false" customHeight="false" outlineLevel="0" collapsed="false">
      <c r="A13126" s="0" t="s">
        <v>12</v>
      </c>
      <c r="B13126" s="0" t="n">
        <v>4102011</v>
      </c>
      <c r="C13126" s="0" t="n">
        <v>4102031</v>
      </c>
      <c r="D13126" s="0" t="s">
        <v>43603</v>
      </c>
      <c r="E13126" s="0" t="s">
        <v>75</v>
      </c>
      <c r="F13126" s="0" t="s">
        <v>90</v>
      </c>
      <c r="G13126" s="0" t="s">
        <v>32</v>
      </c>
      <c r="H13126" s="0" t="n">
        <v>22</v>
      </c>
      <c r="I13126" s="0" t="s">
        <v>43604</v>
      </c>
      <c r="J13126" s="0" t="s">
        <v>43605</v>
      </c>
      <c r="K13126" s="0" t="s">
        <v>43606</v>
      </c>
      <c r="L13126" s="0" t="str">
        <f aca="false">HYPERLINK("https://www.ncbi.nlm.nih.gov/nuccore/CP000058.1?report=graph&amp;tracks=[key:gene_model_track,Options:GeneOnly]&amp;mk=4102012:4102031|offset_22|00cc00,4101925:4101944|offset_109|444444,4101901:4101920|offset_133|444444,4101867:4101886|offset_167|444444&amp;v=4101811:4102086&amp;c=444444", "offset 22")</f>
        <v>offset 22</v>
      </c>
    </row>
    <row r="13127" customFormat="false" ht="12.8" hidden="false" customHeight="false" outlineLevel="0" collapsed="false">
      <c r="A13127" s="0" t="s">
        <v>12</v>
      </c>
      <c r="B13127" s="0" t="n">
        <v>4101924</v>
      </c>
      <c r="C13127" s="0" t="n">
        <v>4101944</v>
      </c>
      <c r="D13127" s="0" t="s">
        <v>43603</v>
      </c>
      <c r="E13127" s="0" t="s">
        <v>75</v>
      </c>
      <c r="F13127" s="0" t="s">
        <v>90</v>
      </c>
      <c r="G13127" s="0" t="s">
        <v>16</v>
      </c>
      <c r="H13127" s="0" t="n">
        <v>109</v>
      </c>
      <c r="I13127" s="0" t="s">
        <v>43607</v>
      </c>
      <c r="J13127" s="0" t="s">
        <v>43608</v>
      </c>
      <c r="K13127" s="0" t="s">
        <v>43609</v>
      </c>
      <c r="L13127" s="0" t="str">
        <f aca="false">HYPERLINK("https://www.ncbi.nlm.nih.gov/nuccore/CP000058.1?report=graph&amp;tracks=[key:gene_model_track,Options:GeneOnly]&amp;mk=4102012:4102031|offset_22|444444,4101925:4101944|offset_109|00cc00,4101901:4101920|offset_133|444444,4101867:4101886|offset_167|444444&amp;v=4101811:4102086&amp;c=444444", "offset 109")</f>
        <v>offset 109</v>
      </c>
    </row>
    <row r="13128" customFormat="false" ht="12.8" hidden="false" customHeight="false" outlineLevel="0" collapsed="false">
      <c r="A13128" s="0" t="s">
        <v>12</v>
      </c>
      <c r="B13128" s="0" t="n">
        <v>4101900</v>
      </c>
      <c r="C13128" s="0" t="n">
        <v>4101920</v>
      </c>
      <c r="D13128" s="0" t="s">
        <v>43603</v>
      </c>
      <c r="E13128" s="0" t="s">
        <v>75</v>
      </c>
      <c r="F13128" s="0" t="s">
        <v>90</v>
      </c>
      <c r="G13128" s="0" t="s">
        <v>36</v>
      </c>
      <c r="H13128" s="0" t="n">
        <v>133</v>
      </c>
      <c r="I13128" s="0" t="s">
        <v>43610</v>
      </c>
      <c r="J13128" s="0" t="s">
        <v>43611</v>
      </c>
      <c r="K13128" s="0" t="s">
        <v>43612</v>
      </c>
      <c r="L13128" s="0" t="str">
        <f aca="false">HYPERLINK("https://www.ncbi.nlm.nih.gov/nuccore/CP000058.1?report=graph&amp;tracks=[key:gene_model_track,Options:GeneOnly]&amp;mk=4102012:4102031|offset_22|444444,4101925:4101944|offset_109|444444,4101901:4101920|offset_133|00cc00,4101867:4101886|offset_167|444444&amp;v=4101811:4102086&amp;c=444444", "offset 133")</f>
        <v>offset 133</v>
      </c>
    </row>
    <row r="13129" customFormat="false" ht="12.8" hidden="false" customHeight="false" outlineLevel="0" collapsed="false">
      <c r="A13129" s="0" t="s">
        <v>12</v>
      </c>
      <c r="B13129" s="0" t="n">
        <v>4101866</v>
      </c>
      <c r="C13129" s="0" t="n">
        <v>4101886</v>
      </c>
      <c r="D13129" s="0" t="s">
        <v>43603</v>
      </c>
      <c r="E13129" s="0" t="s">
        <v>75</v>
      </c>
      <c r="F13129" s="0" t="s">
        <v>90</v>
      </c>
      <c r="G13129" s="0" t="s">
        <v>20</v>
      </c>
      <c r="H13129" s="0" t="n">
        <v>167</v>
      </c>
      <c r="I13129" s="0" t="s">
        <v>43613</v>
      </c>
      <c r="J13129" s="0" t="s">
        <v>43614</v>
      </c>
      <c r="K13129" s="0" t="s">
        <v>43615</v>
      </c>
      <c r="L13129" s="0" t="str">
        <f aca="false">HYPERLINK("https://www.ncbi.nlm.nih.gov/nuccore/CP000058.1?report=graph&amp;tracks=[key:gene_model_track,Options:GeneOnly]&amp;mk=4102012:4102031|offset_22|444444,4101925:4101944|offset_109|444444,4101901:4101920|offset_133|444444,4101867:4101886|offset_167|00cc00&amp;v=4101811:4102086&amp;c=444444", "offset 167")</f>
        <v>offset 167</v>
      </c>
    </row>
    <row r="13130" customFormat="false" ht="12.8" hidden="false" customHeight="false" outlineLevel="0" collapsed="false">
      <c r="A13130" s="0" t="s">
        <v>12</v>
      </c>
      <c r="B13130" s="0" t="n">
        <v>4102437</v>
      </c>
      <c r="C13130" s="0" t="n">
        <v>4102457</v>
      </c>
      <c r="D13130" s="0" t="s">
        <v>43616</v>
      </c>
      <c r="E13130" s="0" t="s">
        <v>75</v>
      </c>
      <c r="F13130" s="0" t="s">
        <v>15</v>
      </c>
      <c r="G13130" s="0" t="s">
        <v>16</v>
      </c>
      <c r="H13130" s="0" t="n">
        <v>16</v>
      </c>
      <c r="I13130" s="0" t="s">
        <v>43617</v>
      </c>
      <c r="J13130" s="0" t="s">
        <v>43618</v>
      </c>
      <c r="K13130" s="0" t="s">
        <v>43619</v>
      </c>
      <c r="L13130" s="0" t="str">
        <f aca="false">HYPERLINK("https://www.ncbi.nlm.nih.gov/nuccore/CP000058.1?report=graph&amp;tracks=[key:gene_model_track,Options:GeneOnly]&amp;mk=4102438:4102457|offset_16|00cc00,4102458:4102477|offset_36|444444,4102499:4102518|offset_77|444444,4102525:4102544|offset_103|444444&amp;v=4102237:4102744&amp;c=444444", "offset 16")</f>
        <v>offset 16</v>
      </c>
    </row>
    <row r="13131" customFormat="false" ht="12.8" hidden="false" customHeight="false" outlineLevel="0" collapsed="false">
      <c r="A13131" s="0" t="s">
        <v>12</v>
      </c>
      <c r="B13131" s="0" t="n">
        <v>4102457</v>
      </c>
      <c r="C13131" s="0" t="n">
        <v>4102477</v>
      </c>
      <c r="D13131" s="0" t="s">
        <v>43616</v>
      </c>
      <c r="E13131" s="0" t="s">
        <v>75</v>
      </c>
      <c r="F13131" s="0" t="s">
        <v>15</v>
      </c>
      <c r="G13131" s="0" t="s">
        <v>16</v>
      </c>
      <c r="H13131" s="0" t="n">
        <v>36</v>
      </c>
      <c r="I13131" s="0" t="s">
        <v>43620</v>
      </c>
      <c r="J13131" s="0" t="s">
        <v>43621</v>
      </c>
      <c r="K13131" s="0" t="s">
        <v>43622</v>
      </c>
      <c r="L13131" s="0" t="str">
        <f aca="false">HYPERLINK("https://www.ncbi.nlm.nih.gov/nuccore/CP000058.1?report=graph&amp;tracks=[key:gene_model_track,Options:GeneOnly]&amp;mk=4102438:4102457|offset_16|444444,4102458:4102477|offset_36|00cc00,4102499:4102518|offset_77|444444,4102525:4102544|offset_103|444444&amp;v=4102237:4102744&amp;c=444444", "offset 36")</f>
        <v>offset 36</v>
      </c>
    </row>
    <row r="13132" customFormat="false" ht="12.8" hidden="false" customHeight="false" outlineLevel="0" collapsed="false">
      <c r="A13132" s="0" t="s">
        <v>12</v>
      </c>
      <c r="B13132" s="0" t="n">
        <v>4102498</v>
      </c>
      <c r="C13132" s="0" t="n">
        <v>4102518</v>
      </c>
      <c r="D13132" s="0" t="s">
        <v>43616</v>
      </c>
      <c r="E13132" s="0" t="s">
        <v>75</v>
      </c>
      <c r="F13132" s="0" t="s">
        <v>15</v>
      </c>
      <c r="G13132" s="0" t="s">
        <v>32</v>
      </c>
      <c r="H13132" s="0" t="n">
        <v>77</v>
      </c>
      <c r="I13132" s="0" t="s">
        <v>43623</v>
      </c>
      <c r="J13132" s="0" t="s">
        <v>43624</v>
      </c>
      <c r="K13132" s="0" t="s">
        <v>43625</v>
      </c>
      <c r="L13132" s="0" t="str">
        <f aca="false">HYPERLINK("https://www.ncbi.nlm.nih.gov/nuccore/CP000058.1?report=graph&amp;tracks=[key:gene_model_track,Options:GeneOnly]&amp;mk=4102438:4102457|offset_16|444444,4102458:4102477|offset_36|444444,4102499:4102518|offset_77|00cc00,4102525:4102544|offset_103|444444&amp;v=4102237:4102744&amp;c=444444", "offset 77")</f>
        <v>offset 77</v>
      </c>
    </row>
    <row r="13133" customFormat="false" ht="12.8" hidden="false" customHeight="false" outlineLevel="0" collapsed="false">
      <c r="A13133" s="0" t="s">
        <v>12</v>
      </c>
      <c r="B13133" s="0" t="n">
        <v>4102524</v>
      </c>
      <c r="C13133" s="0" t="n">
        <v>4102544</v>
      </c>
      <c r="D13133" s="0" t="s">
        <v>43616</v>
      </c>
      <c r="E13133" s="0" t="s">
        <v>75</v>
      </c>
      <c r="F13133" s="0" t="s">
        <v>15</v>
      </c>
      <c r="G13133" s="0" t="s">
        <v>36</v>
      </c>
      <c r="H13133" s="0" t="n">
        <v>103</v>
      </c>
      <c r="I13133" s="0" t="s">
        <v>43626</v>
      </c>
      <c r="J13133" s="0" t="s">
        <v>43627</v>
      </c>
      <c r="K13133" s="0" t="s">
        <v>43628</v>
      </c>
      <c r="L13133" s="0" t="str">
        <f aca="false">HYPERLINK("https://www.ncbi.nlm.nih.gov/nuccore/CP000058.1?report=graph&amp;tracks=[key:gene_model_track,Options:GeneOnly]&amp;mk=4102438:4102457|offset_16|444444,4102458:4102477|offset_36|444444,4102499:4102518|offset_77|444444,4102525:4102544|offset_103|00cc00&amp;v=4102237:4102744&amp;c=444444", "offset 103")</f>
        <v>offset 103</v>
      </c>
    </row>
    <row r="13134" customFormat="false" ht="12.8" hidden="false" customHeight="false" outlineLevel="0" collapsed="false">
      <c r="A13134" s="0" t="s">
        <v>12</v>
      </c>
      <c r="B13134" s="0" t="n">
        <v>4102835</v>
      </c>
      <c r="C13134" s="0" t="n">
        <v>4102855</v>
      </c>
      <c r="D13134" s="0" t="s">
        <v>43629</v>
      </c>
      <c r="E13134" s="0" t="s">
        <v>75</v>
      </c>
      <c r="F13134" s="0" t="s">
        <v>15</v>
      </c>
      <c r="G13134" s="0" t="s">
        <v>16</v>
      </c>
      <c r="H13134" s="0" t="n">
        <v>8</v>
      </c>
      <c r="I13134" s="0" t="s">
        <v>43630</v>
      </c>
      <c r="J13134" s="0" t="s">
        <v>43631</v>
      </c>
      <c r="K13134" s="0" t="s">
        <v>43632</v>
      </c>
      <c r="L13134" s="0" t="str">
        <f aca="false">HYPERLINK("https://www.ncbi.nlm.nih.gov/nuccore/CP000058.1?report=graph&amp;tracks=[key:gene_model_track,Options:GeneOnly]&amp;mk=4102836:4102855|offset_8|00cc00,4102857:4102876|offset_29|444444,4102878:4102897|offset_50|444444,4102902:4102921|offset_74|444444&amp;v=4102635:4103121&amp;c=444444", "offset 8")</f>
        <v>offset 8</v>
      </c>
    </row>
    <row r="13135" customFormat="false" ht="12.8" hidden="false" customHeight="false" outlineLevel="0" collapsed="false">
      <c r="A13135" s="0" t="s">
        <v>12</v>
      </c>
      <c r="B13135" s="0" t="n">
        <v>4102856</v>
      </c>
      <c r="C13135" s="0" t="n">
        <v>4102876</v>
      </c>
      <c r="D13135" s="0" t="s">
        <v>43629</v>
      </c>
      <c r="E13135" s="0" t="s">
        <v>75</v>
      </c>
      <c r="F13135" s="0" t="s">
        <v>15</v>
      </c>
      <c r="G13135" s="0" t="s">
        <v>32</v>
      </c>
      <c r="H13135" s="0" t="n">
        <v>29</v>
      </c>
      <c r="I13135" s="0" t="s">
        <v>43633</v>
      </c>
      <c r="J13135" s="0" t="s">
        <v>43634</v>
      </c>
      <c r="K13135" s="0" t="s">
        <v>43635</v>
      </c>
      <c r="L13135" s="0" t="str">
        <f aca="false">HYPERLINK("https://www.ncbi.nlm.nih.gov/nuccore/CP000058.1?report=graph&amp;tracks=[key:gene_model_track,Options:GeneOnly]&amp;mk=4102836:4102855|offset_8|444444,4102857:4102876|offset_29|00cc00,4102878:4102897|offset_50|444444,4102902:4102921|offset_74|444444&amp;v=4102635:4103121&amp;c=444444", "offset 29")</f>
        <v>offset 29</v>
      </c>
    </row>
    <row r="13136" customFormat="false" ht="12.8" hidden="false" customHeight="false" outlineLevel="0" collapsed="false">
      <c r="A13136" s="0" t="s">
        <v>12</v>
      </c>
      <c r="B13136" s="0" t="n">
        <v>4102877</v>
      </c>
      <c r="C13136" s="0" t="n">
        <v>4102897</v>
      </c>
      <c r="D13136" s="0" t="s">
        <v>43629</v>
      </c>
      <c r="E13136" s="0" t="s">
        <v>75</v>
      </c>
      <c r="F13136" s="0" t="s">
        <v>15</v>
      </c>
      <c r="G13136" s="0" t="s">
        <v>36</v>
      </c>
      <c r="H13136" s="0" t="n">
        <v>50</v>
      </c>
      <c r="I13136" s="0" t="s">
        <v>43636</v>
      </c>
      <c r="J13136" s="0" t="s">
        <v>43637</v>
      </c>
      <c r="K13136" s="0" t="s">
        <v>43638</v>
      </c>
      <c r="L13136" s="0" t="str">
        <f aca="false">HYPERLINK("https://www.ncbi.nlm.nih.gov/nuccore/CP000058.1?report=graph&amp;tracks=[key:gene_model_track,Options:GeneOnly]&amp;mk=4102836:4102855|offset_8|444444,4102857:4102876|offset_29|444444,4102878:4102897|offset_50|00cc00,4102902:4102921|offset_74|444444&amp;v=4102635:4103121&amp;c=444444", "offset 50")</f>
        <v>offset 50</v>
      </c>
    </row>
    <row r="13137" customFormat="false" ht="12.8" hidden="false" customHeight="false" outlineLevel="0" collapsed="false">
      <c r="A13137" s="0" t="s">
        <v>12</v>
      </c>
      <c r="B13137" s="0" t="n">
        <v>4102901</v>
      </c>
      <c r="C13137" s="0" t="n">
        <v>4102921</v>
      </c>
      <c r="D13137" s="0" t="s">
        <v>43629</v>
      </c>
      <c r="E13137" s="0" t="s">
        <v>75</v>
      </c>
      <c r="F13137" s="0" t="s">
        <v>15</v>
      </c>
      <c r="G13137" s="0" t="s">
        <v>20</v>
      </c>
      <c r="H13137" s="0" t="n">
        <v>74</v>
      </c>
      <c r="I13137" s="0" t="s">
        <v>43639</v>
      </c>
      <c r="J13137" s="0" t="s">
        <v>43640</v>
      </c>
      <c r="K13137" s="0" t="s">
        <v>43641</v>
      </c>
      <c r="L13137" s="0" t="str">
        <f aca="false">HYPERLINK("https://www.ncbi.nlm.nih.gov/nuccore/CP000058.1?report=graph&amp;tracks=[key:gene_model_track,Options:GeneOnly]&amp;mk=4102836:4102855|offset_8|444444,4102857:4102876|offset_29|444444,4102878:4102897|offset_50|444444,4102902:4102921|offset_74|00cc00&amp;v=4102635:4103121&amp;c=444444", "offset 74")</f>
        <v>offset 74</v>
      </c>
    </row>
    <row r="13138" customFormat="false" ht="12.8" hidden="false" customHeight="false" outlineLevel="0" collapsed="false">
      <c r="A13138" s="0" t="s">
        <v>12</v>
      </c>
      <c r="B13138" s="0" t="n">
        <v>4103784</v>
      </c>
      <c r="C13138" s="0" t="n">
        <v>4103804</v>
      </c>
      <c r="D13138" s="0" t="s">
        <v>43642</v>
      </c>
      <c r="E13138" s="0" t="s">
        <v>43643</v>
      </c>
      <c r="F13138" s="0" t="s">
        <v>15</v>
      </c>
      <c r="G13138" s="0" t="s">
        <v>16</v>
      </c>
      <c r="H13138" s="0" t="n">
        <v>0</v>
      </c>
      <c r="I13138" s="0" t="s">
        <v>43644</v>
      </c>
      <c r="J13138" s="0" t="s">
        <v>43645</v>
      </c>
      <c r="K13138" s="0" t="s">
        <v>43646</v>
      </c>
      <c r="L13138" s="0" t="str">
        <f aca="false">HYPERLINK("https://www.ncbi.nlm.nih.gov/nuccore/CP000058.1?report=graph&amp;tracks=[key:gene_model_track,Options:GeneOnly]&amp;mk=4103785:4103804|offset_0|00cc00,4103822:4103841|offset_37|444444,4103847:4103866|offset_62|444444,4103879:4103898|offset_94|444444&amp;v=4103584:4104098&amp;c=444444", "offset 0")</f>
        <v>offset 0</v>
      </c>
    </row>
    <row r="13139" customFormat="false" ht="12.8" hidden="false" customHeight="false" outlineLevel="0" collapsed="false">
      <c r="A13139" s="0" t="s">
        <v>12</v>
      </c>
      <c r="B13139" s="0" t="n">
        <v>4103821</v>
      </c>
      <c r="C13139" s="0" t="n">
        <v>4103841</v>
      </c>
      <c r="D13139" s="0" t="s">
        <v>43642</v>
      </c>
      <c r="E13139" s="0" t="s">
        <v>43643</v>
      </c>
      <c r="F13139" s="0" t="s">
        <v>15</v>
      </c>
      <c r="G13139" s="0" t="s">
        <v>20</v>
      </c>
      <c r="H13139" s="0" t="n">
        <v>37</v>
      </c>
      <c r="I13139" s="0" t="s">
        <v>43647</v>
      </c>
      <c r="J13139" s="0" t="s">
        <v>43648</v>
      </c>
      <c r="K13139" s="0" t="s">
        <v>43649</v>
      </c>
      <c r="L13139" s="0" t="str">
        <f aca="false">HYPERLINK("https://www.ncbi.nlm.nih.gov/nuccore/CP000058.1?report=graph&amp;tracks=[key:gene_model_track,Options:GeneOnly]&amp;mk=4103785:4103804|offset_0|444444,4103822:4103841|offset_37|00cc00,4103847:4103866|offset_62|444444,4103879:4103898|offset_94|444444&amp;v=4103584:4104098&amp;c=444444", "offset 37")</f>
        <v>offset 37</v>
      </c>
    </row>
    <row r="13140" customFormat="false" ht="12.8" hidden="false" customHeight="false" outlineLevel="0" collapsed="false">
      <c r="A13140" s="0" t="s">
        <v>12</v>
      </c>
      <c r="B13140" s="0" t="n">
        <v>4103846</v>
      </c>
      <c r="C13140" s="0" t="n">
        <v>4103866</v>
      </c>
      <c r="D13140" s="0" t="s">
        <v>43642</v>
      </c>
      <c r="E13140" s="0" t="s">
        <v>43643</v>
      </c>
      <c r="F13140" s="0" t="s">
        <v>15</v>
      </c>
      <c r="G13140" s="0" t="s">
        <v>32</v>
      </c>
      <c r="H13140" s="0" t="n">
        <v>62</v>
      </c>
      <c r="I13140" s="0" t="s">
        <v>43650</v>
      </c>
      <c r="J13140" s="0" t="s">
        <v>43651</v>
      </c>
      <c r="K13140" s="0" t="s">
        <v>43652</v>
      </c>
      <c r="L13140" s="0" t="str">
        <f aca="false">HYPERLINK("https://www.ncbi.nlm.nih.gov/nuccore/CP000058.1?report=graph&amp;tracks=[key:gene_model_track,Options:GeneOnly]&amp;mk=4103785:4103804|offset_0|444444,4103822:4103841|offset_37|444444,4103847:4103866|offset_62|00cc00,4103879:4103898|offset_94|444444&amp;v=4103584:4104098&amp;c=444444", "offset 62")</f>
        <v>offset 62</v>
      </c>
    </row>
    <row r="13141" customFormat="false" ht="12.8" hidden="false" customHeight="false" outlineLevel="0" collapsed="false">
      <c r="A13141" s="0" t="s">
        <v>12</v>
      </c>
      <c r="B13141" s="0" t="n">
        <v>4103878</v>
      </c>
      <c r="C13141" s="0" t="n">
        <v>4103898</v>
      </c>
      <c r="D13141" s="0" t="s">
        <v>43642</v>
      </c>
      <c r="E13141" s="0" t="s">
        <v>43643</v>
      </c>
      <c r="F13141" s="0" t="s">
        <v>15</v>
      </c>
      <c r="G13141" s="0" t="s">
        <v>36</v>
      </c>
      <c r="H13141" s="0" t="n">
        <v>94</v>
      </c>
      <c r="I13141" s="0" t="s">
        <v>43653</v>
      </c>
      <c r="J13141" s="0" t="s">
        <v>43654</v>
      </c>
      <c r="K13141" s="0" t="s">
        <v>43655</v>
      </c>
      <c r="L13141" s="0" t="str">
        <f aca="false">HYPERLINK("https://www.ncbi.nlm.nih.gov/nuccore/CP000058.1?report=graph&amp;tracks=[key:gene_model_track,Options:GeneOnly]&amp;mk=4103785:4103804|offset_0|444444,4103822:4103841|offset_37|444444,4103847:4103866|offset_62|444444,4103879:4103898|offset_94|00cc00&amp;v=4103584:4104098&amp;c=444444", "offset 94")</f>
        <v>offset 94</v>
      </c>
    </row>
    <row r="13142" customFormat="false" ht="12.8" hidden="false" customHeight="false" outlineLevel="0" collapsed="false">
      <c r="A13142" s="0" t="s">
        <v>12</v>
      </c>
      <c r="B13142" s="0" t="n">
        <v>4104748</v>
      </c>
      <c r="C13142" s="0" t="n">
        <v>4104768</v>
      </c>
      <c r="D13142" s="0" t="s">
        <v>43656</v>
      </c>
      <c r="E13142" s="0" t="s">
        <v>75</v>
      </c>
      <c r="F13142" s="0" t="s">
        <v>15</v>
      </c>
      <c r="G13142" s="0" t="s">
        <v>36</v>
      </c>
      <c r="H13142" s="0" t="n">
        <v>0</v>
      </c>
      <c r="I13142" s="0" t="s">
        <v>43657</v>
      </c>
      <c r="J13142" s="0" t="s">
        <v>43658</v>
      </c>
      <c r="K13142" s="0" t="s">
        <v>43659</v>
      </c>
      <c r="L13142" s="0" t="str">
        <f aca="false">HYPERLINK("https://www.ncbi.nlm.nih.gov/nuccore/CP000058.1?report=graph&amp;tracks=[key:gene_model_track,Options:GeneOnly]&amp;mk=4104749:4104768|offset_0|00cc00,4104770:4104789|offset_21|444444,4104793:4104812|offset_44|444444,4104846:4104865|offset_97|444444&amp;v=4104548:4105065&amp;c=444444", "offset 0")</f>
        <v>offset 0</v>
      </c>
    </row>
    <row r="13143" customFormat="false" ht="12.8" hidden="false" customHeight="false" outlineLevel="0" collapsed="false">
      <c r="A13143" s="0" t="s">
        <v>12</v>
      </c>
      <c r="B13143" s="0" t="n">
        <v>4104769</v>
      </c>
      <c r="C13143" s="0" t="n">
        <v>4104789</v>
      </c>
      <c r="D13143" s="0" t="s">
        <v>43656</v>
      </c>
      <c r="E13143" s="0" t="s">
        <v>75</v>
      </c>
      <c r="F13143" s="0" t="s">
        <v>15</v>
      </c>
      <c r="G13143" s="0" t="s">
        <v>36</v>
      </c>
      <c r="H13143" s="0" t="n">
        <v>21</v>
      </c>
      <c r="I13143" s="0" t="s">
        <v>43660</v>
      </c>
      <c r="J13143" s="0" t="s">
        <v>43661</v>
      </c>
      <c r="K13143" s="0" t="s">
        <v>43662</v>
      </c>
      <c r="L13143" s="0" t="str">
        <f aca="false">HYPERLINK("https://www.ncbi.nlm.nih.gov/nuccore/CP000058.1?report=graph&amp;tracks=[key:gene_model_track,Options:GeneOnly]&amp;mk=4104749:4104768|offset_0|444444,4104770:4104789|offset_21|00cc00,4104793:4104812|offset_44|444444,4104846:4104865|offset_97|444444&amp;v=4104548:4105065&amp;c=444444", "offset 21")</f>
        <v>offset 21</v>
      </c>
    </row>
    <row r="13144" customFormat="false" ht="12.8" hidden="false" customHeight="false" outlineLevel="0" collapsed="false">
      <c r="A13144" s="0" t="s">
        <v>12</v>
      </c>
      <c r="B13144" s="0" t="n">
        <v>4104792</v>
      </c>
      <c r="C13144" s="0" t="n">
        <v>4104812</v>
      </c>
      <c r="D13144" s="0" t="s">
        <v>43656</v>
      </c>
      <c r="E13144" s="0" t="s">
        <v>75</v>
      </c>
      <c r="F13144" s="0" t="s">
        <v>15</v>
      </c>
      <c r="G13144" s="0" t="s">
        <v>20</v>
      </c>
      <c r="H13144" s="0" t="n">
        <v>44</v>
      </c>
      <c r="I13144" s="0" t="s">
        <v>43663</v>
      </c>
      <c r="J13144" s="0" t="s">
        <v>43664</v>
      </c>
      <c r="K13144" s="0" t="s">
        <v>43665</v>
      </c>
      <c r="L13144" s="0" t="str">
        <f aca="false">HYPERLINK("https://www.ncbi.nlm.nih.gov/nuccore/CP000058.1?report=graph&amp;tracks=[key:gene_model_track,Options:GeneOnly]&amp;mk=4104749:4104768|offset_0|444444,4104770:4104789|offset_21|444444,4104793:4104812|offset_44|00cc00,4104846:4104865|offset_97|444444&amp;v=4104548:4105065&amp;c=444444", "offset 44")</f>
        <v>offset 44</v>
      </c>
    </row>
    <row r="13145" customFormat="false" ht="12.8" hidden="false" customHeight="false" outlineLevel="0" collapsed="false">
      <c r="A13145" s="0" t="s">
        <v>12</v>
      </c>
      <c r="B13145" s="0" t="n">
        <v>4104845</v>
      </c>
      <c r="C13145" s="0" t="n">
        <v>4104865</v>
      </c>
      <c r="D13145" s="0" t="s">
        <v>43656</v>
      </c>
      <c r="E13145" s="0" t="s">
        <v>75</v>
      </c>
      <c r="F13145" s="0" t="s">
        <v>15</v>
      </c>
      <c r="G13145" s="0" t="s">
        <v>32</v>
      </c>
      <c r="H13145" s="0" t="n">
        <v>97</v>
      </c>
      <c r="I13145" s="0" t="s">
        <v>43666</v>
      </c>
      <c r="J13145" s="0" t="s">
        <v>43667</v>
      </c>
      <c r="K13145" s="0" t="s">
        <v>43668</v>
      </c>
      <c r="L13145" s="0" t="str">
        <f aca="false">HYPERLINK("https://www.ncbi.nlm.nih.gov/nuccore/CP000058.1?report=graph&amp;tracks=[key:gene_model_track,Options:GeneOnly]&amp;mk=4104749:4104768|offset_0|444444,4104770:4104789|offset_21|444444,4104793:4104812|offset_44|444444,4104846:4104865|offset_97|00cc00&amp;v=4104548:4105065&amp;c=444444", "offset 97")</f>
        <v>offset 97</v>
      </c>
    </row>
    <row r="13146" customFormat="false" ht="12.8" hidden="false" customHeight="false" outlineLevel="0" collapsed="false">
      <c r="A13146" s="0" t="s">
        <v>12</v>
      </c>
      <c r="B13146" s="0" t="n">
        <v>4105698</v>
      </c>
      <c r="C13146" s="0" t="n">
        <v>4105718</v>
      </c>
      <c r="D13146" s="0" t="s">
        <v>43669</v>
      </c>
      <c r="E13146" s="0" t="s">
        <v>75</v>
      </c>
      <c r="F13146" s="0" t="s">
        <v>15</v>
      </c>
      <c r="G13146" s="0" t="s">
        <v>16</v>
      </c>
      <c r="H13146" s="0" t="n">
        <v>9</v>
      </c>
      <c r="I13146" s="0" t="s">
        <v>43670</v>
      </c>
      <c r="J13146" s="0" t="s">
        <v>43671</v>
      </c>
      <c r="K13146" s="0" t="s">
        <v>43672</v>
      </c>
      <c r="L13146" s="0" t="str">
        <f aca="false">HYPERLINK("https://www.ncbi.nlm.nih.gov/nuccore/CP000058.1?report=graph&amp;tracks=[key:gene_model_track,Options:GeneOnly]&amp;mk=4105699:4105718|offset_9|00cc00,4105729:4105748|offset_39|444444,4105750:4105769|offset_60|444444,4105788:4105807|offset_98|444444&amp;v=4105498:4106007&amp;c=444444", "offset 9")</f>
        <v>offset 9</v>
      </c>
    </row>
    <row r="13147" customFormat="false" ht="12.8" hidden="false" customHeight="false" outlineLevel="0" collapsed="false">
      <c r="A13147" s="0" t="s">
        <v>12</v>
      </c>
      <c r="B13147" s="0" t="n">
        <v>4105728</v>
      </c>
      <c r="C13147" s="0" t="n">
        <v>4105748</v>
      </c>
      <c r="D13147" s="0" t="s">
        <v>43669</v>
      </c>
      <c r="E13147" s="0" t="s">
        <v>75</v>
      </c>
      <c r="F13147" s="0" t="s">
        <v>15</v>
      </c>
      <c r="G13147" s="0" t="s">
        <v>36</v>
      </c>
      <c r="H13147" s="0" t="n">
        <v>39</v>
      </c>
      <c r="I13147" s="0" t="s">
        <v>43673</v>
      </c>
      <c r="J13147" s="0" t="s">
        <v>43674</v>
      </c>
      <c r="K13147" s="0" t="s">
        <v>43675</v>
      </c>
      <c r="L13147" s="0" t="str">
        <f aca="false">HYPERLINK("https://www.ncbi.nlm.nih.gov/nuccore/CP000058.1?report=graph&amp;tracks=[key:gene_model_track,Options:GeneOnly]&amp;mk=4105699:4105718|offset_9|444444,4105729:4105748|offset_39|00cc00,4105750:4105769|offset_60|444444,4105788:4105807|offset_98|444444&amp;v=4105498:4106007&amp;c=444444", "offset 39")</f>
        <v>offset 39</v>
      </c>
    </row>
    <row r="13148" customFormat="false" ht="12.8" hidden="false" customHeight="false" outlineLevel="0" collapsed="false">
      <c r="A13148" s="0" t="s">
        <v>12</v>
      </c>
      <c r="B13148" s="0" t="n">
        <v>4105749</v>
      </c>
      <c r="C13148" s="0" t="n">
        <v>4105769</v>
      </c>
      <c r="D13148" s="0" t="s">
        <v>43669</v>
      </c>
      <c r="E13148" s="0" t="s">
        <v>75</v>
      </c>
      <c r="F13148" s="0" t="s">
        <v>15</v>
      </c>
      <c r="G13148" s="0" t="s">
        <v>16</v>
      </c>
      <c r="H13148" s="0" t="n">
        <v>60</v>
      </c>
      <c r="I13148" s="0" t="s">
        <v>43676</v>
      </c>
      <c r="J13148" s="0" t="s">
        <v>43677</v>
      </c>
      <c r="K13148" s="0" t="s">
        <v>43678</v>
      </c>
      <c r="L13148" s="0" t="str">
        <f aca="false">HYPERLINK("https://www.ncbi.nlm.nih.gov/nuccore/CP000058.1?report=graph&amp;tracks=[key:gene_model_track,Options:GeneOnly]&amp;mk=4105699:4105718|offset_9|444444,4105729:4105748|offset_39|444444,4105750:4105769|offset_60|00cc00,4105788:4105807|offset_98|444444&amp;v=4105498:4106007&amp;c=444444", "offset 60")</f>
        <v>offset 60</v>
      </c>
    </row>
    <row r="13149" customFormat="false" ht="12.8" hidden="false" customHeight="false" outlineLevel="0" collapsed="false">
      <c r="A13149" s="0" t="s">
        <v>12</v>
      </c>
      <c r="B13149" s="0" t="n">
        <v>4105787</v>
      </c>
      <c r="C13149" s="0" t="n">
        <v>4105807</v>
      </c>
      <c r="D13149" s="0" t="s">
        <v>43669</v>
      </c>
      <c r="E13149" s="0" t="s">
        <v>75</v>
      </c>
      <c r="F13149" s="0" t="s">
        <v>15</v>
      </c>
      <c r="G13149" s="0" t="s">
        <v>36</v>
      </c>
      <c r="H13149" s="0" t="n">
        <v>98</v>
      </c>
      <c r="I13149" s="0" t="s">
        <v>43679</v>
      </c>
      <c r="J13149" s="0" t="s">
        <v>43680</v>
      </c>
      <c r="K13149" s="0" t="s">
        <v>43681</v>
      </c>
      <c r="L13149" s="0" t="str">
        <f aca="false">HYPERLINK("https://www.ncbi.nlm.nih.gov/nuccore/CP000058.1?report=graph&amp;tracks=[key:gene_model_track,Options:GeneOnly]&amp;mk=4105699:4105718|offset_9|444444,4105729:4105748|offset_39|444444,4105750:4105769|offset_60|444444,4105788:4105807|offset_98|00cc00&amp;v=4105498:4106007&amp;c=444444", "offset 98")</f>
        <v>offset 98</v>
      </c>
    </row>
    <row r="13150" customFormat="false" ht="12.8" hidden="false" customHeight="false" outlineLevel="0" collapsed="false">
      <c r="A13150" s="0" t="s">
        <v>12</v>
      </c>
      <c r="B13150" s="0" t="n">
        <v>4106197</v>
      </c>
      <c r="C13150" s="0" t="n">
        <v>4106217</v>
      </c>
      <c r="D13150" s="0" t="s">
        <v>43682</v>
      </c>
      <c r="E13150" s="0" t="s">
        <v>43683</v>
      </c>
      <c r="F13150" s="0" t="s">
        <v>15</v>
      </c>
      <c r="G13150" s="0" t="s">
        <v>36</v>
      </c>
      <c r="H13150" s="0" t="n">
        <v>21</v>
      </c>
      <c r="I13150" s="0" t="s">
        <v>43684</v>
      </c>
      <c r="J13150" s="0" t="s">
        <v>43685</v>
      </c>
      <c r="K13150" s="0" t="s">
        <v>43686</v>
      </c>
      <c r="L13150" s="0" t="str">
        <f aca="false">HYPERLINK("https://www.ncbi.nlm.nih.gov/nuccore/CP000058.1?report=graph&amp;tracks=[key:gene_model_track,Options:GeneOnly]&amp;mk=4106198:4106217|offset_21|00cc00,4106219:4106238|offset_42|444444,4106241:4106260|offset_64|444444,4106270:4106289|offset_93|444444&amp;v=4105997:4106489&amp;c=444444", "offset 21")</f>
        <v>offset 21</v>
      </c>
    </row>
    <row r="13151" customFormat="false" ht="12.8" hidden="false" customHeight="false" outlineLevel="0" collapsed="false">
      <c r="A13151" s="0" t="s">
        <v>12</v>
      </c>
      <c r="B13151" s="0" t="n">
        <v>4106218</v>
      </c>
      <c r="C13151" s="0" t="n">
        <v>4106238</v>
      </c>
      <c r="D13151" s="0" t="s">
        <v>43682</v>
      </c>
      <c r="E13151" s="0" t="s">
        <v>43683</v>
      </c>
      <c r="F13151" s="0" t="s">
        <v>15</v>
      </c>
      <c r="G13151" s="0" t="s">
        <v>16</v>
      </c>
      <c r="H13151" s="0" t="n">
        <v>42</v>
      </c>
      <c r="I13151" s="0" t="s">
        <v>43687</v>
      </c>
      <c r="J13151" s="0" t="s">
        <v>43688</v>
      </c>
      <c r="K13151" s="0" t="s">
        <v>43689</v>
      </c>
      <c r="L13151" s="0" t="str">
        <f aca="false">HYPERLINK("https://www.ncbi.nlm.nih.gov/nuccore/CP000058.1?report=graph&amp;tracks=[key:gene_model_track,Options:GeneOnly]&amp;mk=4106198:4106217|offset_21|444444,4106219:4106238|offset_42|00cc00,4106241:4106260|offset_64|444444,4106270:4106289|offset_93|444444&amp;v=4105997:4106489&amp;c=444444", "offset 42")</f>
        <v>offset 42</v>
      </c>
    </row>
    <row r="13152" customFormat="false" ht="12.8" hidden="false" customHeight="false" outlineLevel="0" collapsed="false">
      <c r="A13152" s="0" t="s">
        <v>12</v>
      </c>
      <c r="B13152" s="0" t="n">
        <v>4106240</v>
      </c>
      <c r="C13152" s="0" t="n">
        <v>4106260</v>
      </c>
      <c r="D13152" s="0" t="s">
        <v>43682</v>
      </c>
      <c r="E13152" s="0" t="s">
        <v>43683</v>
      </c>
      <c r="F13152" s="0" t="s">
        <v>15</v>
      </c>
      <c r="G13152" s="0" t="s">
        <v>36</v>
      </c>
      <c r="H13152" s="0" t="n">
        <v>64</v>
      </c>
      <c r="I13152" s="0" t="s">
        <v>43690</v>
      </c>
      <c r="J13152" s="0" t="s">
        <v>43691</v>
      </c>
      <c r="K13152" s="0" t="s">
        <v>43692</v>
      </c>
      <c r="L13152" s="0" t="str">
        <f aca="false">HYPERLINK("https://www.ncbi.nlm.nih.gov/nuccore/CP000058.1?report=graph&amp;tracks=[key:gene_model_track,Options:GeneOnly]&amp;mk=4106198:4106217|offset_21|444444,4106219:4106238|offset_42|444444,4106241:4106260|offset_64|00cc00,4106270:4106289|offset_93|444444&amp;v=4105997:4106489&amp;c=444444", "offset 64")</f>
        <v>offset 64</v>
      </c>
    </row>
    <row r="13153" customFormat="false" ht="12.8" hidden="false" customHeight="false" outlineLevel="0" collapsed="false">
      <c r="A13153" s="0" t="s">
        <v>12</v>
      </c>
      <c r="B13153" s="0" t="n">
        <v>4106269</v>
      </c>
      <c r="C13153" s="0" t="n">
        <v>4106289</v>
      </c>
      <c r="D13153" s="0" t="s">
        <v>43682</v>
      </c>
      <c r="E13153" s="0" t="s">
        <v>43683</v>
      </c>
      <c r="F13153" s="0" t="s">
        <v>15</v>
      </c>
      <c r="G13153" s="0" t="s">
        <v>16</v>
      </c>
      <c r="H13153" s="0" t="n">
        <v>93</v>
      </c>
      <c r="I13153" s="0" t="s">
        <v>43693</v>
      </c>
      <c r="J13153" s="0" t="s">
        <v>43694</v>
      </c>
      <c r="K13153" s="0" t="s">
        <v>43695</v>
      </c>
      <c r="L13153" s="0" t="str">
        <f aca="false">HYPERLINK("https://www.ncbi.nlm.nih.gov/nuccore/CP000058.1?report=graph&amp;tracks=[key:gene_model_track,Options:GeneOnly]&amp;mk=4106198:4106217|offset_21|444444,4106219:4106238|offset_42|444444,4106241:4106260|offset_64|444444,4106270:4106289|offset_93|00cc00&amp;v=4105997:4106489&amp;c=444444", "offset 93")</f>
        <v>offset 93</v>
      </c>
    </row>
    <row r="13154" customFormat="false" ht="12.8" hidden="false" customHeight="false" outlineLevel="0" collapsed="false">
      <c r="A13154" s="0" t="s">
        <v>12</v>
      </c>
      <c r="B13154" s="0" t="n">
        <v>4107241</v>
      </c>
      <c r="C13154" s="0" t="n">
        <v>4107261</v>
      </c>
      <c r="D13154" s="0" t="s">
        <v>43696</v>
      </c>
      <c r="E13154" s="0" t="s">
        <v>75</v>
      </c>
      <c r="F13154" s="0" t="s">
        <v>15</v>
      </c>
      <c r="G13154" s="0" t="s">
        <v>20</v>
      </c>
      <c r="H13154" s="0" t="n">
        <v>10</v>
      </c>
      <c r="I13154" s="0" t="s">
        <v>43697</v>
      </c>
      <c r="J13154" s="0" t="s">
        <v>43698</v>
      </c>
      <c r="K13154" s="0" t="s">
        <v>43699</v>
      </c>
      <c r="L13154" s="0" t="str">
        <f aca="false">HYPERLINK("https://www.ncbi.nlm.nih.gov/nuccore/CP000058.1?report=graph&amp;tracks=[key:gene_model_track,Options:GeneOnly]&amp;mk=4107242:4107261|offset_10|00cc00,4107267:4107286|offset_35|444444,4107289:4107308|offset_57|444444,4107338:4107357|offset_106|444444&amp;v=4107041:4107557&amp;c=444444", "offset 10")</f>
        <v>offset 10</v>
      </c>
    </row>
    <row r="13155" customFormat="false" ht="12.8" hidden="false" customHeight="false" outlineLevel="0" collapsed="false">
      <c r="A13155" s="0" t="s">
        <v>12</v>
      </c>
      <c r="B13155" s="0" t="n">
        <v>4107266</v>
      </c>
      <c r="C13155" s="0" t="n">
        <v>4107286</v>
      </c>
      <c r="D13155" s="0" t="s">
        <v>43696</v>
      </c>
      <c r="E13155" s="0" t="s">
        <v>75</v>
      </c>
      <c r="F13155" s="0" t="s">
        <v>15</v>
      </c>
      <c r="G13155" s="0" t="s">
        <v>36</v>
      </c>
      <c r="H13155" s="0" t="n">
        <v>35</v>
      </c>
      <c r="I13155" s="0" t="s">
        <v>43700</v>
      </c>
      <c r="J13155" s="0" t="s">
        <v>43701</v>
      </c>
      <c r="K13155" s="0" t="s">
        <v>43702</v>
      </c>
      <c r="L13155" s="0" t="str">
        <f aca="false">HYPERLINK("https://www.ncbi.nlm.nih.gov/nuccore/CP000058.1?report=graph&amp;tracks=[key:gene_model_track,Options:GeneOnly]&amp;mk=4107242:4107261|offset_10|444444,4107267:4107286|offset_35|00cc00,4107289:4107308|offset_57|444444,4107338:4107357|offset_106|444444&amp;v=4107041:4107557&amp;c=444444", "offset 35")</f>
        <v>offset 35</v>
      </c>
    </row>
    <row r="13156" customFormat="false" ht="12.8" hidden="false" customHeight="false" outlineLevel="0" collapsed="false">
      <c r="A13156" s="0" t="s">
        <v>12</v>
      </c>
      <c r="B13156" s="0" t="n">
        <v>4107288</v>
      </c>
      <c r="C13156" s="0" t="n">
        <v>4107308</v>
      </c>
      <c r="D13156" s="0" t="s">
        <v>43696</v>
      </c>
      <c r="E13156" s="0" t="s">
        <v>75</v>
      </c>
      <c r="F13156" s="0" t="s">
        <v>15</v>
      </c>
      <c r="G13156" s="0" t="s">
        <v>16</v>
      </c>
      <c r="H13156" s="0" t="n">
        <v>57</v>
      </c>
      <c r="I13156" s="0" t="s">
        <v>43703</v>
      </c>
      <c r="J13156" s="0" t="s">
        <v>43704</v>
      </c>
      <c r="K13156" s="0" t="s">
        <v>43705</v>
      </c>
      <c r="L13156" s="0" t="str">
        <f aca="false">HYPERLINK("https://www.ncbi.nlm.nih.gov/nuccore/CP000058.1?report=graph&amp;tracks=[key:gene_model_track,Options:GeneOnly]&amp;mk=4107242:4107261|offset_10|444444,4107267:4107286|offset_35|444444,4107289:4107308|offset_57|00cc00,4107338:4107357|offset_106|444444&amp;v=4107041:4107557&amp;c=444444", "offset 57")</f>
        <v>offset 57</v>
      </c>
    </row>
    <row r="13157" customFormat="false" ht="12.8" hidden="false" customHeight="false" outlineLevel="0" collapsed="false">
      <c r="A13157" s="0" t="s">
        <v>12</v>
      </c>
      <c r="B13157" s="0" t="n">
        <v>4107337</v>
      </c>
      <c r="C13157" s="0" t="n">
        <v>4107357</v>
      </c>
      <c r="D13157" s="0" t="s">
        <v>43696</v>
      </c>
      <c r="E13157" s="0" t="s">
        <v>75</v>
      </c>
      <c r="F13157" s="0" t="s">
        <v>15</v>
      </c>
      <c r="G13157" s="0" t="s">
        <v>16</v>
      </c>
      <c r="H13157" s="0" t="n">
        <v>106</v>
      </c>
      <c r="I13157" s="0" t="s">
        <v>43706</v>
      </c>
      <c r="J13157" s="0" t="s">
        <v>43707</v>
      </c>
      <c r="K13157" s="0" t="s">
        <v>43708</v>
      </c>
      <c r="L13157" s="0" t="str">
        <f aca="false">HYPERLINK("https://www.ncbi.nlm.nih.gov/nuccore/CP000058.1?report=graph&amp;tracks=[key:gene_model_track,Options:GeneOnly]&amp;mk=4107242:4107261|offset_10|444444,4107267:4107286|offset_35|444444,4107289:4107308|offset_57|444444,4107338:4107357|offset_106|00cc00&amp;v=4107041:4107557&amp;c=444444", "offset 106")</f>
        <v>offset 106</v>
      </c>
    </row>
    <row r="13158" customFormat="false" ht="12.8" hidden="false" customHeight="false" outlineLevel="0" collapsed="false">
      <c r="A13158" s="0" t="s">
        <v>12</v>
      </c>
      <c r="B13158" s="0" t="n">
        <v>4108965</v>
      </c>
      <c r="C13158" s="0" t="n">
        <v>4108985</v>
      </c>
      <c r="D13158" s="0" t="s">
        <v>43709</v>
      </c>
      <c r="E13158" s="0" t="s">
        <v>75</v>
      </c>
      <c r="F13158" s="0" t="s">
        <v>15</v>
      </c>
      <c r="G13158" s="0" t="s">
        <v>20</v>
      </c>
      <c r="H13158" s="0" t="n">
        <v>19</v>
      </c>
      <c r="I13158" s="0" t="s">
        <v>43710</v>
      </c>
      <c r="J13158" s="0" t="s">
        <v>43711</v>
      </c>
      <c r="K13158" s="0" t="s">
        <v>43712</v>
      </c>
      <c r="L13158" s="0" t="str">
        <f aca="false">HYPERLINK("https://www.ncbi.nlm.nih.gov/nuccore/CP000058.1?report=graph&amp;tracks=[key:gene_model_track,Options:GeneOnly]&amp;mk=4108966:4108985|offset_19|00cc00,4108991:4109010|offset_44|444444,4109026:4109045|offset_79|444444,4109048:4109067|offset_101|444444&amp;v=4108765:4109267&amp;c=444444", "offset 19")</f>
        <v>offset 19</v>
      </c>
    </row>
    <row r="13159" customFormat="false" ht="12.8" hidden="false" customHeight="false" outlineLevel="0" collapsed="false">
      <c r="A13159" s="0" t="s">
        <v>12</v>
      </c>
      <c r="B13159" s="0" t="n">
        <v>4108990</v>
      </c>
      <c r="C13159" s="0" t="n">
        <v>4109010</v>
      </c>
      <c r="D13159" s="0" t="s">
        <v>43709</v>
      </c>
      <c r="E13159" s="0" t="s">
        <v>75</v>
      </c>
      <c r="F13159" s="0" t="s">
        <v>15</v>
      </c>
      <c r="G13159" s="0" t="s">
        <v>20</v>
      </c>
      <c r="H13159" s="0" t="n">
        <v>44</v>
      </c>
      <c r="I13159" s="0" t="s">
        <v>43713</v>
      </c>
      <c r="J13159" s="0" t="s">
        <v>43714</v>
      </c>
      <c r="K13159" s="0" t="s">
        <v>43715</v>
      </c>
      <c r="L13159" s="0" t="str">
        <f aca="false">HYPERLINK("https://www.ncbi.nlm.nih.gov/nuccore/CP000058.1?report=graph&amp;tracks=[key:gene_model_track,Options:GeneOnly]&amp;mk=4108966:4108985|offset_19|444444,4108991:4109010|offset_44|00cc00,4109026:4109045|offset_79|444444,4109048:4109067|offset_101|444444&amp;v=4108765:4109267&amp;c=444444", "offset 44")</f>
        <v>offset 44</v>
      </c>
    </row>
    <row r="13160" customFormat="false" ht="12.8" hidden="false" customHeight="false" outlineLevel="0" collapsed="false">
      <c r="A13160" s="0" t="s">
        <v>12</v>
      </c>
      <c r="B13160" s="0" t="n">
        <v>4109025</v>
      </c>
      <c r="C13160" s="0" t="n">
        <v>4109045</v>
      </c>
      <c r="D13160" s="0" t="s">
        <v>43709</v>
      </c>
      <c r="E13160" s="0" t="s">
        <v>75</v>
      </c>
      <c r="F13160" s="0" t="s">
        <v>15</v>
      </c>
      <c r="G13160" s="0" t="s">
        <v>16</v>
      </c>
      <c r="H13160" s="0" t="n">
        <v>79</v>
      </c>
      <c r="I13160" s="0" t="s">
        <v>43716</v>
      </c>
      <c r="J13160" s="0" t="s">
        <v>43717</v>
      </c>
      <c r="K13160" s="0" t="s">
        <v>43718</v>
      </c>
      <c r="L13160" s="0" t="str">
        <f aca="false">HYPERLINK("https://www.ncbi.nlm.nih.gov/nuccore/CP000058.1?report=graph&amp;tracks=[key:gene_model_track,Options:GeneOnly]&amp;mk=4108966:4108985|offset_19|444444,4108991:4109010|offset_44|444444,4109026:4109045|offset_79|00cc00,4109048:4109067|offset_101|444444&amp;v=4108765:4109267&amp;c=444444", "offset 79")</f>
        <v>offset 79</v>
      </c>
    </row>
    <row r="13161" customFormat="false" ht="12.8" hidden="false" customHeight="false" outlineLevel="0" collapsed="false">
      <c r="A13161" s="0" t="s">
        <v>12</v>
      </c>
      <c r="B13161" s="0" t="n">
        <v>4109047</v>
      </c>
      <c r="C13161" s="0" t="n">
        <v>4109067</v>
      </c>
      <c r="D13161" s="0" t="s">
        <v>43709</v>
      </c>
      <c r="E13161" s="0" t="s">
        <v>75</v>
      </c>
      <c r="F13161" s="0" t="s">
        <v>15</v>
      </c>
      <c r="G13161" s="0" t="s">
        <v>20</v>
      </c>
      <c r="H13161" s="0" t="n">
        <v>101</v>
      </c>
      <c r="I13161" s="0" t="s">
        <v>43719</v>
      </c>
      <c r="J13161" s="0" t="s">
        <v>43720</v>
      </c>
      <c r="K13161" s="0" t="s">
        <v>43721</v>
      </c>
      <c r="L13161" s="0" t="str">
        <f aca="false">HYPERLINK("https://www.ncbi.nlm.nih.gov/nuccore/CP000058.1?report=graph&amp;tracks=[key:gene_model_track,Options:GeneOnly]&amp;mk=4108966:4108985|offset_19|444444,4108991:4109010|offset_44|444444,4109026:4109045|offset_79|444444,4109048:4109067|offset_101|00cc00&amp;v=4108765:4109267&amp;c=444444", "offset 101")</f>
        <v>offset 101</v>
      </c>
    </row>
    <row r="13162" customFormat="false" ht="12.8" hidden="false" customHeight="false" outlineLevel="0" collapsed="false">
      <c r="A13162" s="0" t="s">
        <v>12</v>
      </c>
      <c r="B13162" s="0" t="n">
        <v>4110647</v>
      </c>
      <c r="C13162" s="0" t="n">
        <v>4110667</v>
      </c>
      <c r="D13162" s="0" t="s">
        <v>43722</v>
      </c>
      <c r="E13162" s="0" t="s">
        <v>43723</v>
      </c>
      <c r="F13162" s="0" t="s">
        <v>15</v>
      </c>
      <c r="G13162" s="0" t="s">
        <v>32</v>
      </c>
      <c r="H13162" s="0" t="n">
        <v>0</v>
      </c>
      <c r="I13162" s="0" t="s">
        <v>43724</v>
      </c>
      <c r="J13162" s="0" t="s">
        <v>43725</v>
      </c>
      <c r="K13162" s="0" t="s">
        <v>43726</v>
      </c>
      <c r="L13162" s="0" t="str">
        <f aca="false">HYPERLINK("https://www.ncbi.nlm.nih.gov/nuccore/CP000058.1?report=graph&amp;tracks=[key:gene_model_track,Options:GeneOnly]&amp;mk=4110648:4110667|offset_0|00cc00,4110692:4110711|offset_44|444444,4110724:4110743|offset_76|444444,4110748:4110767|offset_100|444444&amp;v=4110447:4110967&amp;c=444444", "offset 0")</f>
        <v>offset 0</v>
      </c>
    </row>
    <row r="13163" customFormat="false" ht="12.8" hidden="false" customHeight="false" outlineLevel="0" collapsed="false">
      <c r="A13163" s="0" t="s">
        <v>12</v>
      </c>
      <c r="B13163" s="0" t="n">
        <v>4110691</v>
      </c>
      <c r="C13163" s="0" t="n">
        <v>4110711</v>
      </c>
      <c r="D13163" s="0" t="s">
        <v>43722</v>
      </c>
      <c r="E13163" s="0" t="s">
        <v>43723</v>
      </c>
      <c r="F13163" s="0" t="s">
        <v>15</v>
      </c>
      <c r="G13163" s="0" t="s">
        <v>20</v>
      </c>
      <c r="H13163" s="0" t="n">
        <v>44</v>
      </c>
      <c r="I13163" s="0" t="s">
        <v>43727</v>
      </c>
      <c r="J13163" s="0" t="s">
        <v>43728</v>
      </c>
      <c r="K13163" s="0" t="s">
        <v>43729</v>
      </c>
      <c r="L13163" s="0" t="str">
        <f aca="false">HYPERLINK("https://www.ncbi.nlm.nih.gov/nuccore/CP000058.1?report=graph&amp;tracks=[key:gene_model_track,Options:GeneOnly]&amp;mk=4110648:4110667|offset_0|444444,4110692:4110711|offset_44|00cc00,4110724:4110743|offset_76|444444,4110748:4110767|offset_100|444444&amp;v=4110447:4110967&amp;c=444444", "offset 44")</f>
        <v>offset 44</v>
      </c>
    </row>
    <row r="13164" customFormat="false" ht="12.8" hidden="false" customHeight="false" outlineLevel="0" collapsed="false">
      <c r="A13164" s="0" t="s">
        <v>12</v>
      </c>
      <c r="B13164" s="0" t="n">
        <v>4110723</v>
      </c>
      <c r="C13164" s="0" t="n">
        <v>4110743</v>
      </c>
      <c r="D13164" s="0" t="s">
        <v>43722</v>
      </c>
      <c r="E13164" s="0" t="s">
        <v>43723</v>
      </c>
      <c r="F13164" s="0" t="s">
        <v>15</v>
      </c>
      <c r="G13164" s="0" t="s">
        <v>20</v>
      </c>
      <c r="H13164" s="0" t="n">
        <v>76</v>
      </c>
      <c r="I13164" s="0" t="s">
        <v>43730</v>
      </c>
      <c r="J13164" s="0" t="s">
        <v>43731</v>
      </c>
      <c r="K13164" s="0" t="s">
        <v>43732</v>
      </c>
      <c r="L13164" s="0" t="str">
        <f aca="false">HYPERLINK("https://www.ncbi.nlm.nih.gov/nuccore/CP000058.1?report=graph&amp;tracks=[key:gene_model_track,Options:GeneOnly]&amp;mk=4110648:4110667|offset_0|444444,4110692:4110711|offset_44|444444,4110724:4110743|offset_76|00cc00,4110748:4110767|offset_100|444444&amp;v=4110447:4110967&amp;c=444444", "offset 76")</f>
        <v>offset 76</v>
      </c>
    </row>
    <row r="13165" customFormat="false" ht="12.8" hidden="false" customHeight="false" outlineLevel="0" collapsed="false">
      <c r="A13165" s="0" t="s">
        <v>12</v>
      </c>
      <c r="B13165" s="0" t="n">
        <v>4110747</v>
      </c>
      <c r="C13165" s="0" t="n">
        <v>4110767</v>
      </c>
      <c r="D13165" s="0" t="s">
        <v>43722</v>
      </c>
      <c r="E13165" s="0" t="s">
        <v>43723</v>
      </c>
      <c r="F13165" s="0" t="s">
        <v>15</v>
      </c>
      <c r="G13165" s="0" t="s">
        <v>36</v>
      </c>
      <c r="H13165" s="0" t="n">
        <v>100</v>
      </c>
      <c r="I13165" s="0" t="s">
        <v>43733</v>
      </c>
      <c r="J13165" s="0" t="s">
        <v>43734</v>
      </c>
      <c r="K13165" s="0" t="s">
        <v>43735</v>
      </c>
      <c r="L13165" s="0" t="str">
        <f aca="false">HYPERLINK("https://www.ncbi.nlm.nih.gov/nuccore/CP000058.1?report=graph&amp;tracks=[key:gene_model_track,Options:GeneOnly]&amp;mk=4110648:4110667|offset_0|444444,4110692:4110711|offset_44|444444,4110724:4110743|offset_76|444444,4110748:4110767|offset_100|00cc00&amp;v=4110447:4110967&amp;c=444444", "offset 100")</f>
        <v>offset 100</v>
      </c>
    </row>
    <row r="13166" customFormat="false" ht="12.8" hidden="false" customHeight="false" outlineLevel="0" collapsed="false">
      <c r="A13166" s="0" t="s">
        <v>12</v>
      </c>
      <c r="B13166" s="0" t="n">
        <v>4111899</v>
      </c>
      <c r="C13166" s="0" t="n">
        <v>4111919</v>
      </c>
      <c r="D13166" s="0" t="s">
        <v>43736</v>
      </c>
      <c r="E13166" s="0" t="s">
        <v>43737</v>
      </c>
      <c r="F13166" s="0" t="s">
        <v>15</v>
      </c>
      <c r="G13166" s="0" t="s">
        <v>20</v>
      </c>
      <c r="H13166" s="0" t="n">
        <v>11</v>
      </c>
      <c r="I13166" s="0" t="s">
        <v>43738</v>
      </c>
      <c r="J13166" s="0" t="s">
        <v>43739</v>
      </c>
      <c r="K13166" s="0" t="s">
        <v>43740</v>
      </c>
      <c r="L13166" s="0" t="str">
        <f aca="false">HYPERLINK("https://www.ncbi.nlm.nih.gov/nuccore/CP000058.1?report=graph&amp;tracks=[key:gene_model_track,Options:GeneOnly]&amp;mk=4111900:4111919|offset_11|00cc00,4111921:4111940|offset_32|444444,4111962:4111981|offset_73|444444,4111992:4112011|offset_103|444444&amp;v=4111699:4112211&amp;c=444444", "offset 11")</f>
        <v>offset 11</v>
      </c>
    </row>
    <row r="13167" customFormat="false" ht="12.8" hidden="false" customHeight="false" outlineLevel="0" collapsed="false">
      <c r="A13167" s="0" t="s">
        <v>12</v>
      </c>
      <c r="B13167" s="0" t="n">
        <v>4111920</v>
      </c>
      <c r="C13167" s="0" t="n">
        <v>4111940</v>
      </c>
      <c r="D13167" s="0" t="s">
        <v>43736</v>
      </c>
      <c r="E13167" s="0" t="s">
        <v>43737</v>
      </c>
      <c r="F13167" s="0" t="s">
        <v>15</v>
      </c>
      <c r="G13167" s="0" t="s">
        <v>20</v>
      </c>
      <c r="H13167" s="0" t="n">
        <v>32</v>
      </c>
      <c r="I13167" s="0" t="s">
        <v>43741</v>
      </c>
      <c r="J13167" s="0" t="s">
        <v>43742</v>
      </c>
      <c r="K13167" s="0" t="s">
        <v>43743</v>
      </c>
      <c r="L13167" s="0" t="str">
        <f aca="false">HYPERLINK("https://www.ncbi.nlm.nih.gov/nuccore/CP000058.1?report=graph&amp;tracks=[key:gene_model_track,Options:GeneOnly]&amp;mk=4111900:4111919|offset_11|444444,4111921:4111940|offset_32|00cc00,4111962:4111981|offset_73|444444,4111992:4112011|offset_103|444444&amp;v=4111699:4112211&amp;c=444444", "offset 32")</f>
        <v>offset 32</v>
      </c>
    </row>
    <row r="13168" customFormat="false" ht="12.8" hidden="false" customHeight="false" outlineLevel="0" collapsed="false">
      <c r="A13168" s="0" t="s">
        <v>12</v>
      </c>
      <c r="B13168" s="0" t="n">
        <v>4111961</v>
      </c>
      <c r="C13168" s="0" t="n">
        <v>4111981</v>
      </c>
      <c r="D13168" s="0" t="s">
        <v>43736</v>
      </c>
      <c r="E13168" s="0" t="s">
        <v>43737</v>
      </c>
      <c r="F13168" s="0" t="s">
        <v>15</v>
      </c>
      <c r="G13168" s="0" t="s">
        <v>16</v>
      </c>
      <c r="H13168" s="0" t="n">
        <v>73</v>
      </c>
      <c r="I13168" s="0" t="s">
        <v>43744</v>
      </c>
      <c r="J13168" s="0" t="s">
        <v>43745</v>
      </c>
      <c r="K13168" s="0" t="s">
        <v>43746</v>
      </c>
      <c r="L13168" s="0" t="str">
        <f aca="false">HYPERLINK("https://www.ncbi.nlm.nih.gov/nuccore/CP000058.1?report=graph&amp;tracks=[key:gene_model_track,Options:GeneOnly]&amp;mk=4111900:4111919|offset_11|444444,4111921:4111940|offset_32|444444,4111962:4111981|offset_73|00cc00,4111992:4112011|offset_103|444444&amp;v=4111699:4112211&amp;c=444444", "offset 73")</f>
        <v>offset 73</v>
      </c>
    </row>
    <row r="13169" customFormat="false" ht="12.8" hidden="false" customHeight="false" outlineLevel="0" collapsed="false">
      <c r="A13169" s="0" t="s">
        <v>12</v>
      </c>
      <c r="B13169" s="0" t="n">
        <v>4111991</v>
      </c>
      <c r="C13169" s="0" t="n">
        <v>4112011</v>
      </c>
      <c r="D13169" s="0" t="s">
        <v>43736</v>
      </c>
      <c r="E13169" s="0" t="s">
        <v>43737</v>
      </c>
      <c r="F13169" s="0" t="s">
        <v>15</v>
      </c>
      <c r="G13169" s="0" t="s">
        <v>32</v>
      </c>
      <c r="H13169" s="0" t="n">
        <v>103</v>
      </c>
      <c r="I13169" s="0" t="s">
        <v>43747</v>
      </c>
      <c r="J13169" s="0" t="s">
        <v>43748</v>
      </c>
      <c r="K13169" s="0" t="s">
        <v>43749</v>
      </c>
      <c r="L13169" s="0" t="str">
        <f aca="false">HYPERLINK("https://www.ncbi.nlm.nih.gov/nuccore/CP000058.1?report=graph&amp;tracks=[key:gene_model_track,Options:GeneOnly]&amp;mk=4111900:4111919|offset_11|444444,4111921:4111940|offset_32|444444,4111962:4111981|offset_73|444444,4111992:4112011|offset_103|00cc00&amp;v=4111699:4112211&amp;c=444444", "offset 103")</f>
        <v>offset 103</v>
      </c>
    </row>
    <row r="13170" customFormat="false" ht="12.8" hidden="false" customHeight="false" outlineLevel="0" collapsed="false">
      <c r="A13170" s="0" t="s">
        <v>12</v>
      </c>
      <c r="B13170" s="0" t="n">
        <v>4115937</v>
      </c>
      <c r="C13170" s="0" t="n">
        <v>4115957</v>
      </c>
      <c r="D13170" s="0" t="s">
        <v>43750</v>
      </c>
      <c r="E13170" s="0" t="s">
        <v>75</v>
      </c>
      <c r="F13170" s="0" t="s">
        <v>90</v>
      </c>
      <c r="G13170" s="0" t="s">
        <v>16</v>
      </c>
      <c r="H13170" s="0" t="n">
        <v>46</v>
      </c>
      <c r="I13170" s="0" t="s">
        <v>43751</v>
      </c>
      <c r="J13170" s="0" t="s">
        <v>43752</v>
      </c>
      <c r="K13170" s="0" t="s">
        <v>43753</v>
      </c>
      <c r="L13170" s="0" t="str">
        <f aca="false">HYPERLINK("https://www.ncbi.nlm.nih.gov/nuccore/CP000058.1?report=graph&amp;tracks=[key:gene_model_track,Options:GeneOnly]&amp;mk=4115938:4115957|offset_46|00cc00,4115917:4115936|offset_67|444444,4115884:4115903|offset_100|444444,4115863:4115882|offset_121|444444&amp;v=4115737:4116082&amp;c=444444", "offset 46")</f>
        <v>offset 46</v>
      </c>
    </row>
    <row r="13171" customFormat="false" ht="12.8" hidden="false" customHeight="false" outlineLevel="0" collapsed="false">
      <c r="A13171" s="0" t="s">
        <v>12</v>
      </c>
      <c r="B13171" s="0" t="n">
        <v>4115916</v>
      </c>
      <c r="C13171" s="0" t="n">
        <v>4115936</v>
      </c>
      <c r="D13171" s="0" t="s">
        <v>43750</v>
      </c>
      <c r="E13171" s="0" t="s">
        <v>75</v>
      </c>
      <c r="F13171" s="0" t="s">
        <v>90</v>
      </c>
      <c r="G13171" s="0" t="s">
        <v>32</v>
      </c>
      <c r="H13171" s="0" t="n">
        <v>67</v>
      </c>
      <c r="I13171" s="0" t="s">
        <v>43754</v>
      </c>
      <c r="J13171" s="0" t="s">
        <v>43755</v>
      </c>
      <c r="K13171" s="0" t="s">
        <v>43756</v>
      </c>
      <c r="L13171" s="0" t="str">
        <f aca="false">HYPERLINK("https://www.ncbi.nlm.nih.gov/nuccore/CP000058.1?report=graph&amp;tracks=[key:gene_model_track,Options:GeneOnly]&amp;mk=4115938:4115957|offset_46|444444,4115917:4115936|offset_67|00cc00,4115884:4115903|offset_100|444444,4115863:4115882|offset_121|444444&amp;v=4115737:4116082&amp;c=444444", "offset 67")</f>
        <v>offset 67</v>
      </c>
    </row>
    <row r="13172" customFormat="false" ht="12.8" hidden="false" customHeight="false" outlineLevel="0" collapsed="false">
      <c r="A13172" s="0" t="s">
        <v>12</v>
      </c>
      <c r="B13172" s="0" t="n">
        <v>4115883</v>
      </c>
      <c r="C13172" s="0" t="n">
        <v>4115903</v>
      </c>
      <c r="D13172" s="0" t="s">
        <v>43750</v>
      </c>
      <c r="E13172" s="0" t="s">
        <v>75</v>
      </c>
      <c r="F13172" s="0" t="s">
        <v>90</v>
      </c>
      <c r="G13172" s="0" t="s">
        <v>36</v>
      </c>
      <c r="H13172" s="0" t="n">
        <v>100</v>
      </c>
      <c r="I13172" s="0" t="s">
        <v>43757</v>
      </c>
      <c r="J13172" s="0" t="s">
        <v>43758</v>
      </c>
      <c r="K13172" s="0" t="s">
        <v>43759</v>
      </c>
      <c r="L13172" s="0" t="str">
        <f aca="false">HYPERLINK("https://www.ncbi.nlm.nih.gov/nuccore/CP000058.1?report=graph&amp;tracks=[key:gene_model_track,Options:GeneOnly]&amp;mk=4115938:4115957|offset_46|444444,4115917:4115936|offset_67|444444,4115884:4115903|offset_100|00cc00,4115863:4115882|offset_121|444444&amp;v=4115737:4116082&amp;c=444444", "offset 100")</f>
        <v>offset 100</v>
      </c>
    </row>
    <row r="13173" customFormat="false" ht="12.8" hidden="false" customHeight="false" outlineLevel="0" collapsed="false">
      <c r="A13173" s="0" t="s">
        <v>12</v>
      </c>
      <c r="B13173" s="0" t="n">
        <v>4115862</v>
      </c>
      <c r="C13173" s="0" t="n">
        <v>4115882</v>
      </c>
      <c r="D13173" s="0" t="s">
        <v>43750</v>
      </c>
      <c r="E13173" s="0" t="s">
        <v>75</v>
      </c>
      <c r="F13173" s="0" t="s">
        <v>90</v>
      </c>
      <c r="G13173" s="0" t="s">
        <v>20</v>
      </c>
      <c r="H13173" s="0" t="n">
        <v>121</v>
      </c>
      <c r="I13173" s="0" t="s">
        <v>43760</v>
      </c>
      <c r="J13173" s="0" t="s">
        <v>43761</v>
      </c>
      <c r="K13173" s="0" t="s">
        <v>43762</v>
      </c>
      <c r="L13173" s="0" t="str">
        <f aca="false">HYPERLINK("https://www.ncbi.nlm.nih.gov/nuccore/CP000058.1?report=graph&amp;tracks=[key:gene_model_track,Options:GeneOnly]&amp;mk=4115938:4115957|offset_46|444444,4115917:4115936|offset_67|444444,4115884:4115903|offset_100|444444,4115863:4115882|offset_121|00cc00&amp;v=4115737:4116082&amp;c=444444", "offset 121")</f>
        <v>offset 121</v>
      </c>
    </row>
    <row r="13174" customFormat="false" ht="12.8" hidden="false" customHeight="false" outlineLevel="0" collapsed="false">
      <c r="A13174" s="0" t="s">
        <v>12</v>
      </c>
      <c r="B13174" s="0" t="n">
        <v>4117331</v>
      </c>
      <c r="C13174" s="0" t="n">
        <v>4117351</v>
      </c>
      <c r="D13174" s="0" t="s">
        <v>43763</v>
      </c>
      <c r="E13174" s="0" t="s">
        <v>75</v>
      </c>
      <c r="F13174" s="0" t="s">
        <v>90</v>
      </c>
      <c r="G13174" s="0" t="s">
        <v>36</v>
      </c>
      <c r="H13174" s="0" t="n">
        <v>0</v>
      </c>
      <c r="I13174" s="0" t="s">
        <v>43764</v>
      </c>
      <c r="J13174" s="0" t="s">
        <v>43765</v>
      </c>
      <c r="K13174" s="0" t="s">
        <v>43766</v>
      </c>
      <c r="L13174" s="0" t="str">
        <f aca="false">HYPERLINK("https://www.ncbi.nlm.nih.gov/nuccore/CP000058.1?report=graph&amp;tracks=[key:gene_model_track,Options:GeneOnly]&amp;mk=4117332:4117351|offset_0|00cc00,4117311:4117330|offset_21|444444,4117289:4117308|offset_43|444444,4117265:4117284|offset_67|444444&amp;v=4117131:4117484&amp;c=444444", "offset 0")</f>
        <v>offset 0</v>
      </c>
    </row>
    <row r="13175" customFormat="false" ht="12.8" hidden="false" customHeight="false" outlineLevel="0" collapsed="false">
      <c r="A13175" s="0" t="s">
        <v>12</v>
      </c>
      <c r="B13175" s="0" t="n">
        <v>4117310</v>
      </c>
      <c r="C13175" s="0" t="n">
        <v>4117330</v>
      </c>
      <c r="D13175" s="0" t="s">
        <v>43763</v>
      </c>
      <c r="E13175" s="0" t="s">
        <v>75</v>
      </c>
      <c r="F13175" s="0" t="s">
        <v>90</v>
      </c>
      <c r="G13175" s="0" t="s">
        <v>16</v>
      </c>
      <c r="H13175" s="0" t="n">
        <v>21</v>
      </c>
      <c r="I13175" s="0" t="s">
        <v>43767</v>
      </c>
      <c r="J13175" s="0" t="s">
        <v>43768</v>
      </c>
      <c r="K13175" s="0" t="s">
        <v>43769</v>
      </c>
      <c r="L13175" s="0" t="str">
        <f aca="false">HYPERLINK("https://www.ncbi.nlm.nih.gov/nuccore/CP000058.1?report=graph&amp;tracks=[key:gene_model_track,Options:GeneOnly]&amp;mk=4117332:4117351|offset_0|444444,4117311:4117330|offset_21|00cc00,4117289:4117308|offset_43|444444,4117265:4117284|offset_67|444444&amp;v=4117131:4117484&amp;c=444444", "offset 21")</f>
        <v>offset 21</v>
      </c>
    </row>
    <row r="13176" customFormat="false" ht="12.8" hidden="false" customHeight="false" outlineLevel="0" collapsed="false">
      <c r="A13176" s="0" t="s">
        <v>12</v>
      </c>
      <c r="B13176" s="0" t="n">
        <v>4117288</v>
      </c>
      <c r="C13176" s="0" t="n">
        <v>4117308</v>
      </c>
      <c r="D13176" s="0" t="s">
        <v>43763</v>
      </c>
      <c r="E13176" s="0" t="s">
        <v>75</v>
      </c>
      <c r="F13176" s="0" t="s">
        <v>90</v>
      </c>
      <c r="G13176" s="0" t="s">
        <v>32</v>
      </c>
      <c r="H13176" s="0" t="n">
        <v>43</v>
      </c>
      <c r="I13176" s="0" t="s">
        <v>43770</v>
      </c>
      <c r="J13176" s="0" t="s">
        <v>43771</v>
      </c>
      <c r="K13176" s="0" t="s">
        <v>43772</v>
      </c>
      <c r="L13176" s="0" t="str">
        <f aca="false">HYPERLINK("https://www.ncbi.nlm.nih.gov/nuccore/CP000058.1?report=graph&amp;tracks=[key:gene_model_track,Options:GeneOnly]&amp;mk=4117332:4117351|offset_0|444444,4117311:4117330|offset_21|444444,4117289:4117308|offset_43|00cc00,4117265:4117284|offset_67|444444&amp;v=4117131:4117484&amp;c=444444", "offset 43")</f>
        <v>offset 43</v>
      </c>
    </row>
    <row r="13177" customFormat="false" ht="12.8" hidden="false" customHeight="false" outlineLevel="0" collapsed="false">
      <c r="A13177" s="0" t="s">
        <v>12</v>
      </c>
      <c r="B13177" s="0" t="n">
        <v>4117264</v>
      </c>
      <c r="C13177" s="0" t="n">
        <v>4117284</v>
      </c>
      <c r="D13177" s="0" t="s">
        <v>43763</v>
      </c>
      <c r="E13177" s="0" t="s">
        <v>75</v>
      </c>
      <c r="F13177" s="0" t="s">
        <v>90</v>
      </c>
      <c r="G13177" s="0" t="s">
        <v>36</v>
      </c>
      <c r="H13177" s="0" t="n">
        <v>67</v>
      </c>
      <c r="I13177" s="0" t="s">
        <v>43773</v>
      </c>
      <c r="J13177" s="0" t="s">
        <v>43774</v>
      </c>
      <c r="K13177" s="0" t="s">
        <v>43775</v>
      </c>
      <c r="L13177" s="0" t="str">
        <f aca="false">HYPERLINK("https://www.ncbi.nlm.nih.gov/nuccore/CP000058.1?report=graph&amp;tracks=[key:gene_model_track,Options:GeneOnly]&amp;mk=4117332:4117351|offset_0|444444,4117311:4117330|offset_21|444444,4117289:4117308|offset_43|444444,4117265:4117284|offset_67|00cc00&amp;v=4117131:4117484&amp;c=444444", "offset 67")</f>
        <v>offset 67</v>
      </c>
    </row>
    <row r="13178" customFormat="false" ht="12.8" hidden="false" customHeight="false" outlineLevel="0" collapsed="false">
      <c r="A13178" s="0" t="s">
        <v>12</v>
      </c>
      <c r="B13178" s="0" t="n">
        <v>4117795</v>
      </c>
      <c r="C13178" s="0" t="n">
        <v>4117815</v>
      </c>
      <c r="D13178" s="0" t="s">
        <v>43776</v>
      </c>
      <c r="E13178" s="0" t="s">
        <v>75</v>
      </c>
      <c r="F13178" s="0" t="s">
        <v>90</v>
      </c>
      <c r="G13178" s="0" t="s">
        <v>16</v>
      </c>
      <c r="H13178" s="0" t="n">
        <v>14</v>
      </c>
      <c r="I13178" s="0" t="s">
        <v>43777</v>
      </c>
      <c r="J13178" s="0" t="s">
        <v>43778</v>
      </c>
      <c r="K13178" s="0" t="s">
        <v>43779</v>
      </c>
      <c r="L13178" s="0" t="str">
        <f aca="false">HYPERLINK("https://www.ncbi.nlm.nih.gov/nuccore/CP000058.1?report=graph&amp;tracks=[key:gene_model_track,Options:GeneOnly]&amp;mk=4117796:4117815|offset_14|00cc00,4117756:4117775|offset_54|444444,4117730:4117749|offset_80|444444,4117706:4117725|offset_104|444444&amp;v=4117595:4117925&amp;c=444444", "offset 14")</f>
        <v>offset 14</v>
      </c>
    </row>
    <row r="13179" customFormat="false" ht="12.8" hidden="false" customHeight="false" outlineLevel="0" collapsed="false">
      <c r="A13179" s="0" t="s">
        <v>12</v>
      </c>
      <c r="B13179" s="0" t="n">
        <v>4117755</v>
      </c>
      <c r="C13179" s="0" t="n">
        <v>4117775</v>
      </c>
      <c r="D13179" s="0" t="s">
        <v>43776</v>
      </c>
      <c r="E13179" s="0" t="s">
        <v>75</v>
      </c>
      <c r="F13179" s="0" t="s">
        <v>90</v>
      </c>
      <c r="G13179" s="0" t="s">
        <v>16</v>
      </c>
      <c r="H13179" s="0" t="n">
        <v>54</v>
      </c>
      <c r="I13179" s="0" t="s">
        <v>43780</v>
      </c>
      <c r="J13179" s="0" t="s">
        <v>43781</v>
      </c>
      <c r="K13179" s="0" t="s">
        <v>43782</v>
      </c>
      <c r="L13179" s="0" t="str">
        <f aca="false">HYPERLINK("https://www.ncbi.nlm.nih.gov/nuccore/CP000058.1?report=graph&amp;tracks=[key:gene_model_track,Options:GeneOnly]&amp;mk=4117796:4117815|offset_14|444444,4117756:4117775|offset_54|00cc00,4117730:4117749|offset_80|444444,4117706:4117725|offset_104|444444&amp;v=4117595:4117925&amp;c=444444", "offset 54")</f>
        <v>offset 54</v>
      </c>
    </row>
    <row r="13180" customFormat="false" ht="12.8" hidden="false" customHeight="false" outlineLevel="0" collapsed="false">
      <c r="A13180" s="0" t="s">
        <v>12</v>
      </c>
      <c r="B13180" s="0" t="n">
        <v>4117729</v>
      </c>
      <c r="C13180" s="0" t="n">
        <v>4117749</v>
      </c>
      <c r="D13180" s="0" t="s">
        <v>43776</v>
      </c>
      <c r="E13180" s="0" t="s">
        <v>75</v>
      </c>
      <c r="F13180" s="0" t="s">
        <v>90</v>
      </c>
      <c r="G13180" s="0" t="s">
        <v>36</v>
      </c>
      <c r="H13180" s="0" t="n">
        <v>80</v>
      </c>
      <c r="I13180" s="0" t="s">
        <v>43783</v>
      </c>
      <c r="J13180" s="0" t="s">
        <v>43784</v>
      </c>
      <c r="K13180" s="0" t="s">
        <v>43785</v>
      </c>
      <c r="L13180" s="0" t="str">
        <f aca="false">HYPERLINK("https://www.ncbi.nlm.nih.gov/nuccore/CP000058.1?report=graph&amp;tracks=[key:gene_model_track,Options:GeneOnly]&amp;mk=4117796:4117815|offset_14|444444,4117756:4117775|offset_54|444444,4117730:4117749|offset_80|00cc00,4117706:4117725|offset_104|444444&amp;v=4117595:4117925&amp;c=444444", "offset 80")</f>
        <v>offset 80</v>
      </c>
    </row>
    <row r="13181" customFormat="false" ht="12.8" hidden="false" customHeight="false" outlineLevel="0" collapsed="false">
      <c r="A13181" s="0" t="s">
        <v>12</v>
      </c>
      <c r="B13181" s="0" t="n">
        <v>4117705</v>
      </c>
      <c r="C13181" s="0" t="n">
        <v>4117725</v>
      </c>
      <c r="D13181" s="0" t="s">
        <v>43776</v>
      </c>
      <c r="E13181" s="0" t="s">
        <v>75</v>
      </c>
      <c r="F13181" s="0" t="s">
        <v>90</v>
      </c>
      <c r="G13181" s="0" t="s">
        <v>16</v>
      </c>
      <c r="H13181" s="0" t="n">
        <v>104</v>
      </c>
      <c r="I13181" s="0" t="s">
        <v>43786</v>
      </c>
      <c r="J13181" s="0" t="s">
        <v>43787</v>
      </c>
      <c r="K13181" s="0" t="s">
        <v>43788</v>
      </c>
      <c r="L13181" s="0" t="str">
        <f aca="false">HYPERLINK("https://www.ncbi.nlm.nih.gov/nuccore/CP000058.1?report=graph&amp;tracks=[key:gene_model_track,Options:GeneOnly]&amp;mk=4117796:4117815|offset_14|444444,4117756:4117775|offset_54|444444,4117730:4117749|offset_80|444444,4117706:4117725|offset_104|00cc00&amp;v=4117595:4117925&amp;c=444444", "offset 104")</f>
        <v>offset 104</v>
      </c>
    </row>
    <row r="13182" customFormat="false" ht="12.8" hidden="false" customHeight="false" outlineLevel="0" collapsed="false">
      <c r="A13182" s="0" t="s">
        <v>12</v>
      </c>
      <c r="B13182" s="0" t="n">
        <v>4118774</v>
      </c>
      <c r="C13182" s="0" t="n">
        <v>4118794</v>
      </c>
      <c r="D13182" s="0" t="s">
        <v>43789</v>
      </c>
      <c r="E13182" s="0" t="s">
        <v>75</v>
      </c>
      <c r="F13182" s="0" t="s">
        <v>90</v>
      </c>
      <c r="G13182" s="0" t="s">
        <v>16</v>
      </c>
      <c r="H13182" s="0" t="n">
        <v>41</v>
      </c>
      <c r="I13182" s="0" t="s">
        <v>43790</v>
      </c>
      <c r="J13182" s="0" t="s">
        <v>43791</v>
      </c>
      <c r="K13182" s="0" t="s">
        <v>43792</v>
      </c>
      <c r="L13182" s="0" t="str">
        <f aca="false">HYPERLINK("https://www.ncbi.nlm.nih.gov/nuccore/CP000058.1?report=graph&amp;tracks=[key:gene_model_track,Options:GeneOnly]&amp;mk=4118775:4118794|offset_41|00cc00,4118736:4118755|offset_80|444444,4118670:4118689|offset_146|444444,4118604:4118623|offset_212|444444&amp;v=4118574:4118823&amp;c=444444", "offset 41")</f>
        <v>offset 41</v>
      </c>
    </row>
    <row r="13183" customFormat="false" ht="12.8" hidden="false" customHeight="false" outlineLevel="0" collapsed="false">
      <c r="A13183" s="0" t="s">
        <v>12</v>
      </c>
      <c r="B13183" s="0" t="n">
        <v>4118735</v>
      </c>
      <c r="C13183" s="0" t="n">
        <v>4118755</v>
      </c>
      <c r="D13183" s="0" t="s">
        <v>43789</v>
      </c>
      <c r="E13183" s="0" t="s">
        <v>75</v>
      </c>
      <c r="F13183" s="0" t="s">
        <v>90</v>
      </c>
      <c r="G13183" s="0" t="s">
        <v>32</v>
      </c>
      <c r="H13183" s="0" t="n">
        <v>80</v>
      </c>
      <c r="I13183" s="0" t="s">
        <v>43793</v>
      </c>
      <c r="J13183" s="0" t="s">
        <v>43794</v>
      </c>
      <c r="K13183" s="0" t="s">
        <v>43795</v>
      </c>
      <c r="L13183" s="0" t="str">
        <f aca="false">HYPERLINK("https://www.ncbi.nlm.nih.gov/nuccore/CP000058.1?report=graph&amp;tracks=[key:gene_model_track,Options:GeneOnly]&amp;mk=4118775:4118794|offset_41|444444,4118736:4118755|offset_80|00cc00,4118670:4118689|offset_146|444444,4118604:4118623|offset_212|444444&amp;v=4118574:4118823&amp;c=444444", "offset 80")</f>
        <v>offset 80</v>
      </c>
    </row>
    <row r="13184" customFormat="false" ht="12.8" hidden="false" customHeight="false" outlineLevel="0" collapsed="false">
      <c r="A13184" s="0" t="s">
        <v>12</v>
      </c>
      <c r="B13184" s="0" t="n">
        <v>4118669</v>
      </c>
      <c r="C13184" s="0" t="n">
        <v>4118689</v>
      </c>
      <c r="D13184" s="0" t="s">
        <v>43789</v>
      </c>
      <c r="E13184" s="0" t="s">
        <v>75</v>
      </c>
      <c r="F13184" s="0" t="s">
        <v>90</v>
      </c>
      <c r="G13184" s="0" t="s">
        <v>32</v>
      </c>
      <c r="H13184" s="0" t="n">
        <v>146</v>
      </c>
      <c r="I13184" s="0" t="s">
        <v>43796</v>
      </c>
      <c r="J13184" s="0" t="s">
        <v>43797</v>
      </c>
      <c r="K13184" s="0" t="s">
        <v>43798</v>
      </c>
      <c r="L13184" s="0" t="str">
        <f aca="false">HYPERLINK("https://www.ncbi.nlm.nih.gov/nuccore/CP000058.1?report=graph&amp;tracks=[key:gene_model_track,Options:GeneOnly]&amp;mk=4118775:4118794|offset_41|444444,4118736:4118755|offset_80|444444,4118670:4118689|offset_146|00cc00,4118604:4118623|offset_212|444444&amp;v=4118574:4118823&amp;c=444444", "offset 146")</f>
        <v>offset 146</v>
      </c>
    </row>
    <row r="13185" customFormat="false" ht="12.8" hidden="false" customHeight="false" outlineLevel="0" collapsed="false">
      <c r="A13185" s="0" t="s">
        <v>12</v>
      </c>
      <c r="B13185" s="0" t="n">
        <v>4118603</v>
      </c>
      <c r="C13185" s="0" t="n">
        <v>4118623</v>
      </c>
      <c r="D13185" s="0" t="s">
        <v>43789</v>
      </c>
      <c r="E13185" s="0" t="s">
        <v>75</v>
      </c>
      <c r="F13185" s="0" t="s">
        <v>90</v>
      </c>
      <c r="G13185" s="0" t="s">
        <v>20</v>
      </c>
      <c r="H13185" s="0" t="n">
        <v>212</v>
      </c>
      <c r="I13185" s="0" t="s">
        <v>43799</v>
      </c>
      <c r="J13185" s="0" t="s">
        <v>43800</v>
      </c>
      <c r="K13185" s="0" t="s">
        <v>43801</v>
      </c>
      <c r="L13185" s="0" t="str">
        <f aca="false">HYPERLINK("https://www.ncbi.nlm.nih.gov/nuccore/CP000058.1?report=graph&amp;tracks=[key:gene_model_track,Options:GeneOnly]&amp;mk=4118775:4118794|offset_41|444444,4118736:4118755|offset_80|444444,4118670:4118689|offset_146|444444,4118604:4118623|offset_212|00cc00&amp;v=4118574:4118823&amp;c=444444", "offset 212")</f>
        <v>offset 212</v>
      </c>
    </row>
    <row r="13186" customFormat="false" ht="12.8" hidden="false" customHeight="false" outlineLevel="0" collapsed="false">
      <c r="A13186" s="0" t="s">
        <v>12</v>
      </c>
      <c r="B13186" s="0" t="n">
        <v>4120156</v>
      </c>
      <c r="C13186" s="0" t="n">
        <v>4120176</v>
      </c>
      <c r="D13186" s="0" t="s">
        <v>43802</v>
      </c>
      <c r="E13186" s="0" t="s">
        <v>75</v>
      </c>
      <c r="F13186" s="0" t="s">
        <v>90</v>
      </c>
      <c r="G13186" s="0" t="s">
        <v>32</v>
      </c>
      <c r="H13186" s="0" t="n">
        <v>8</v>
      </c>
      <c r="I13186" s="0" t="s">
        <v>43803</v>
      </c>
      <c r="J13186" s="0" t="s">
        <v>43804</v>
      </c>
      <c r="K13186" s="0" t="s">
        <v>43805</v>
      </c>
      <c r="L13186" s="0" t="str">
        <f aca="false">HYPERLINK("https://www.ncbi.nlm.nih.gov/nuccore/CP000058.1?report=graph&amp;tracks=[key:gene_model_track,Options:GeneOnly]&amp;mk=4120157:4120176|offset_8|00cc00,4120136:4120155|offset_29|444444,4120114:4120133|offset_51|444444,4120094:4120113|offset_71|444444&amp;v=4119956:4120313&amp;c=444444", "offset 8")</f>
        <v>offset 8</v>
      </c>
    </row>
    <row r="13187" customFormat="false" ht="12.8" hidden="false" customHeight="false" outlineLevel="0" collapsed="false">
      <c r="A13187" s="0" t="s">
        <v>12</v>
      </c>
      <c r="B13187" s="0" t="n">
        <v>4120135</v>
      </c>
      <c r="C13187" s="0" t="n">
        <v>4120155</v>
      </c>
      <c r="D13187" s="0" t="s">
        <v>43802</v>
      </c>
      <c r="E13187" s="0" t="s">
        <v>75</v>
      </c>
      <c r="F13187" s="0" t="s">
        <v>90</v>
      </c>
      <c r="G13187" s="0" t="s">
        <v>16</v>
      </c>
      <c r="H13187" s="0" t="n">
        <v>29</v>
      </c>
      <c r="I13187" s="0" t="s">
        <v>43806</v>
      </c>
      <c r="J13187" s="0" t="s">
        <v>43807</v>
      </c>
      <c r="K13187" s="0" t="s">
        <v>43808</v>
      </c>
      <c r="L13187" s="0" t="str">
        <f aca="false">HYPERLINK("https://www.ncbi.nlm.nih.gov/nuccore/CP000058.1?report=graph&amp;tracks=[key:gene_model_track,Options:GeneOnly]&amp;mk=4120157:4120176|offset_8|444444,4120136:4120155|offset_29|00cc00,4120114:4120133|offset_51|444444,4120094:4120113|offset_71|444444&amp;v=4119956:4120313&amp;c=444444", "offset 29")</f>
        <v>offset 29</v>
      </c>
    </row>
    <row r="13188" customFormat="false" ht="12.8" hidden="false" customHeight="false" outlineLevel="0" collapsed="false">
      <c r="A13188" s="0" t="s">
        <v>12</v>
      </c>
      <c r="B13188" s="0" t="n">
        <v>4120113</v>
      </c>
      <c r="C13188" s="0" t="n">
        <v>4120133</v>
      </c>
      <c r="D13188" s="0" t="s">
        <v>43802</v>
      </c>
      <c r="E13188" s="0" t="s">
        <v>75</v>
      </c>
      <c r="F13188" s="0" t="s">
        <v>90</v>
      </c>
      <c r="G13188" s="0" t="s">
        <v>32</v>
      </c>
      <c r="H13188" s="0" t="n">
        <v>51</v>
      </c>
      <c r="I13188" s="0" t="s">
        <v>43809</v>
      </c>
      <c r="J13188" s="0" t="s">
        <v>43810</v>
      </c>
      <c r="K13188" s="0" t="s">
        <v>43811</v>
      </c>
      <c r="L13188" s="0" t="str">
        <f aca="false">HYPERLINK("https://www.ncbi.nlm.nih.gov/nuccore/CP000058.1?report=graph&amp;tracks=[key:gene_model_track,Options:GeneOnly]&amp;mk=4120157:4120176|offset_8|444444,4120136:4120155|offset_29|444444,4120114:4120133|offset_51|00cc00,4120094:4120113|offset_71|444444&amp;v=4119956:4120313&amp;c=444444", "offset 51")</f>
        <v>offset 51</v>
      </c>
    </row>
    <row r="13189" customFormat="false" ht="12.8" hidden="false" customHeight="false" outlineLevel="0" collapsed="false">
      <c r="A13189" s="0" t="s">
        <v>12</v>
      </c>
      <c r="B13189" s="0" t="n">
        <v>4120093</v>
      </c>
      <c r="C13189" s="0" t="n">
        <v>4120113</v>
      </c>
      <c r="D13189" s="0" t="s">
        <v>43802</v>
      </c>
      <c r="E13189" s="0" t="s">
        <v>75</v>
      </c>
      <c r="F13189" s="0" t="s">
        <v>90</v>
      </c>
      <c r="G13189" s="0" t="s">
        <v>20</v>
      </c>
      <c r="H13189" s="0" t="n">
        <v>71</v>
      </c>
      <c r="I13189" s="0" t="s">
        <v>43812</v>
      </c>
      <c r="J13189" s="0" t="s">
        <v>43813</v>
      </c>
      <c r="K13189" s="0" t="s">
        <v>43814</v>
      </c>
      <c r="L13189" s="0" t="str">
        <f aca="false">HYPERLINK("https://www.ncbi.nlm.nih.gov/nuccore/CP000058.1?report=graph&amp;tracks=[key:gene_model_track,Options:GeneOnly]&amp;mk=4120157:4120176|offset_8|444444,4120136:4120155|offset_29|444444,4120114:4120133|offset_51|444444,4120094:4120113|offset_71|00cc00&amp;v=4119956:4120313&amp;c=444444", "offset 71")</f>
        <v>offset 71</v>
      </c>
    </row>
    <row r="13190" customFormat="false" ht="12.8" hidden="false" customHeight="false" outlineLevel="0" collapsed="false">
      <c r="A13190" s="0" t="s">
        <v>12</v>
      </c>
      <c r="B13190" s="0" t="n">
        <v>4120411</v>
      </c>
      <c r="C13190" s="0" t="n">
        <v>4120431</v>
      </c>
      <c r="D13190" s="0" t="s">
        <v>43815</v>
      </c>
      <c r="E13190" s="0" t="s">
        <v>75</v>
      </c>
      <c r="F13190" s="0" t="s">
        <v>15</v>
      </c>
      <c r="G13190" s="0" t="s">
        <v>16</v>
      </c>
      <c r="H13190" s="0" t="n">
        <v>13</v>
      </c>
      <c r="I13190" s="0" t="s">
        <v>43816</v>
      </c>
      <c r="J13190" s="0" t="s">
        <v>43817</v>
      </c>
      <c r="K13190" s="0" t="s">
        <v>43818</v>
      </c>
      <c r="L13190" s="0" t="str">
        <f aca="false">HYPERLINK("https://www.ncbi.nlm.nih.gov/nuccore/CP000058.1?report=graph&amp;tracks=[key:gene_model_track,Options:GeneOnly]&amp;mk=4120412:4120431|offset_13|00cc00,4120439:4120458|offset_40|444444,4120479:4120498|offset_80|444444,4120508:4120527|offset_109|444444&amp;v=4120211:4120727&amp;c=444444", "offset 13")</f>
        <v>offset 13</v>
      </c>
    </row>
    <row r="13191" customFormat="false" ht="12.8" hidden="false" customHeight="false" outlineLevel="0" collapsed="false">
      <c r="A13191" s="0" t="s">
        <v>12</v>
      </c>
      <c r="B13191" s="0" t="n">
        <v>4120438</v>
      </c>
      <c r="C13191" s="0" t="n">
        <v>4120458</v>
      </c>
      <c r="D13191" s="0" t="s">
        <v>43815</v>
      </c>
      <c r="E13191" s="0" t="s">
        <v>75</v>
      </c>
      <c r="F13191" s="0" t="s">
        <v>15</v>
      </c>
      <c r="G13191" s="0" t="s">
        <v>36</v>
      </c>
      <c r="H13191" s="0" t="n">
        <v>40</v>
      </c>
      <c r="I13191" s="0" t="s">
        <v>43819</v>
      </c>
      <c r="J13191" s="0" t="s">
        <v>43820</v>
      </c>
      <c r="K13191" s="0" t="s">
        <v>43821</v>
      </c>
      <c r="L13191" s="0" t="str">
        <f aca="false">HYPERLINK("https://www.ncbi.nlm.nih.gov/nuccore/CP000058.1?report=graph&amp;tracks=[key:gene_model_track,Options:GeneOnly]&amp;mk=4120412:4120431|offset_13|444444,4120439:4120458|offset_40|00cc00,4120479:4120498|offset_80|444444,4120508:4120527|offset_109|444444&amp;v=4120211:4120727&amp;c=444444", "offset 40")</f>
        <v>offset 40</v>
      </c>
    </row>
    <row r="13192" customFormat="false" ht="12.8" hidden="false" customHeight="false" outlineLevel="0" collapsed="false">
      <c r="A13192" s="0" t="s">
        <v>12</v>
      </c>
      <c r="B13192" s="0" t="n">
        <v>4120478</v>
      </c>
      <c r="C13192" s="0" t="n">
        <v>4120498</v>
      </c>
      <c r="D13192" s="0" t="s">
        <v>43815</v>
      </c>
      <c r="E13192" s="0" t="s">
        <v>75</v>
      </c>
      <c r="F13192" s="0" t="s">
        <v>15</v>
      </c>
      <c r="G13192" s="0" t="s">
        <v>16</v>
      </c>
      <c r="H13192" s="0" t="n">
        <v>80</v>
      </c>
      <c r="I13192" s="0" t="s">
        <v>43822</v>
      </c>
      <c r="J13192" s="0" t="s">
        <v>43823</v>
      </c>
      <c r="K13192" s="0" t="s">
        <v>43824</v>
      </c>
      <c r="L13192" s="0" t="str">
        <f aca="false">HYPERLINK("https://www.ncbi.nlm.nih.gov/nuccore/CP000058.1?report=graph&amp;tracks=[key:gene_model_track,Options:GeneOnly]&amp;mk=4120412:4120431|offset_13|444444,4120439:4120458|offset_40|444444,4120479:4120498|offset_80|00cc00,4120508:4120527|offset_109|444444&amp;v=4120211:4120727&amp;c=444444", "offset 80")</f>
        <v>offset 80</v>
      </c>
    </row>
    <row r="13193" customFormat="false" ht="12.8" hidden="false" customHeight="false" outlineLevel="0" collapsed="false">
      <c r="A13193" s="0" t="s">
        <v>12</v>
      </c>
      <c r="B13193" s="0" t="n">
        <v>4120507</v>
      </c>
      <c r="C13193" s="0" t="n">
        <v>4120527</v>
      </c>
      <c r="D13193" s="0" t="s">
        <v>43815</v>
      </c>
      <c r="E13193" s="0" t="s">
        <v>75</v>
      </c>
      <c r="F13193" s="0" t="s">
        <v>15</v>
      </c>
      <c r="G13193" s="0" t="s">
        <v>16</v>
      </c>
      <c r="H13193" s="0" t="n">
        <v>109</v>
      </c>
      <c r="I13193" s="0" t="s">
        <v>43825</v>
      </c>
      <c r="J13193" s="0" t="s">
        <v>43826</v>
      </c>
      <c r="K13193" s="0" t="s">
        <v>43827</v>
      </c>
      <c r="L13193" s="0" t="str">
        <f aca="false">HYPERLINK("https://www.ncbi.nlm.nih.gov/nuccore/CP000058.1?report=graph&amp;tracks=[key:gene_model_track,Options:GeneOnly]&amp;mk=4120412:4120431|offset_13|444444,4120439:4120458|offset_40|444444,4120479:4120498|offset_80|444444,4120508:4120527|offset_109|00cc00&amp;v=4120211:4120727&amp;c=444444", "offset 109")</f>
        <v>offset 109</v>
      </c>
    </row>
    <row r="13194" customFormat="false" ht="12.8" hidden="false" customHeight="false" outlineLevel="0" collapsed="false">
      <c r="A13194" s="0" t="s">
        <v>12</v>
      </c>
      <c r="B13194" s="0" t="n">
        <v>4122202</v>
      </c>
      <c r="C13194" s="0" t="n">
        <v>4122222</v>
      </c>
      <c r="D13194" s="0" t="s">
        <v>43828</v>
      </c>
      <c r="E13194" s="0" t="s">
        <v>75</v>
      </c>
      <c r="F13194" s="0" t="s">
        <v>15</v>
      </c>
      <c r="G13194" s="0" t="s">
        <v>36</v>
      </c>
      <c r="H13194" s="0" t="n">
        <v>19</v>
      </c>
      <c r="I13194" s="0" t="s">
        <v>43829</v>
      </c>
      <c r="J13194" s="0" t="s">
        <v>43830</v>
      </c>
      <c r="K13194" s="0" t="s">
        <v>43831</v>
      </c>
      <c r="L13194" s="0" t="str">
        <f aca="false">HYPERLINK("https://www.ncbi.nlm.nih.gov/nuccore/CP000058.1?report=graph&amp;tracks=[key:gene_model_track,Options:GeneOnly]&amp;mk=4122203:4122222|offset_19|00cc00,4122223:4122242|offset_39|444444,4122253:4122272|offset_69|444444,4122288:4122307|offset_104|444444&amp;v=4122002:4122507&amp;c=444444", "offset 19")</f>
        <v>offset 19</v>
      </c>
    </row>
    <row r="13195" customFormat="false" ht="12.8" hidden="false" customHeight="false" outlineLevel="0" collapsed="false">
      <c r="A13195" s="0" t="s">
        <v>12</v>
      </c>
      <c r="B13195" s="0" t="n">
        <v>4122222</v>
      </c>
      <c r="C13195" s="0" t="n">
        <v>4122242</v>
      </c>
      <c r="D13195" s="0" t="s">
        <v>43828</v>
      </c>
      <c r="E13195" s="0" t="s">
        <v>75</v>
      </c>
      <c r="F13195" s="0" t="s">
        <v>15</v>
      </c>
      <c r="G13195" s="0" t="s">
        <v>36</v>
      </c>
      <c r="H13195" s="0" t="n">
        <v>39</v>
      </c>
      <c r="I13195" s="0" t="s">
        <v>43832</v>
      </c>
      <c r="J13195" s="0" t="s">
        <v>43833</v>
      </c>
      <c r="K13195" s="0" t="s">
        <v>43834</v>
      </c>
      <c r="L13195" s="0" t="str">
        <f aca="false">HYPERLINK("https://www.ncbi.nlm.nih.gov/nuccore/CP000058.1?report=graph&amp;tracks=[key:gene_model_track,Options:GeneOnly]&amp;mk=4122203:4122222|offset_19|444444,4122223:4122242|offset_39|00cc00,4122253:4122272|offset_69|444444,4122288:4122307|offset_104|444444&amp;v=4122002:4122507&amp;c=444444", "offset 39")</f>
        <v>offset 39</v>
      </c>
    </row>
    <row r="13196" customFormat="false" ht="12.8" hidden="false" customHeight="false" outlineLevel="0" collapsed="false">
      <c r="A13196" s="0" t="s">
        <v>12</v>
      </c>
      <c r="B13196" s="0" t="n">
        <v>4122252</v>
      </c>
      <c r="C13196" s="0" t="n">
        <v>4122272</v>
      </c>
      <c r="D13196" s="0" t="s">
        <v>43828</v>
      </c>
      <c r="E13196" s="0" t="s">
        <v>75</v>
      </c>
      <c r="F13196" s="0" t="s">
        <v>15</v>
      </c>
      <c r="G13196" s="0" t="s">
        <v>20</v>
      </c>
      <c r="H13196" s="0" t="n">
        <v>69</v>
      </c>
      <c r="I13196" s="0" t="s">
        <v>43835</v>
      </c>
      <c r="J13196" s="0" t="s">
        <v>43836</v>
      </c>
      <c r="K13196" s="0" t="s">
        <v>43837</v>
      </c>
      <c r="L13196" s="0" t="str">
        <f aca="false">HYPERLINK("https://www.ncbi.nlm.nih.gov/nuccore/CP000058.1?report=graph&amp;tracks=[key:gene_model_track,Options:GeneOnly]&amp;mk=4122203:4122222|offset_19|444444,4122223:4122242|offset_39|444444,4122253:4122272|offset_69|00cc00,4122288:4122307|offset_104|444444&amp;v=4122002:4122507&amp;c=444444", "offset 69")</f>
        <v>offset 69</v>
      </c>
    </row>
    <row r="13197" customFormat="false" ht="12.8" hidden="false" customHeight="false" outlineLevel="0" collapsed="false">
      <c r="A13197" s="0" t="s">
        <v>12</v>
      </c>
      <c r="B13197" s="0" t="n">
        <v>4122287</v>
      </c>
      <c r="C13197" s="0" t="n">
        <v>4122307</v>
      </c>
      <c r="D13197" s="0" t="s">
        <v>43828</v>
      </c>
      <c r="E13197" s="0" t="s">
        <v>75</v>
      </c>
      <c r="F13197" s="0" t="s">
        <v>15</v>
      </c>
      <c r="G13197" s="0" t="s">
        <v>32</v>
      </c>
      <c r="H13197" s="0" t="n">
        <v>104</v>
      </c>
      <c r="I13197" s="0" t="s">
        <v>43838</v>
      </c>
      <c r="J13197" s="0" t="s">
        <v>43839</v>
      </c>
      <c r="K13197" s="0" t="s">
        <v>43840</v>
      </c>
      <c r="L13197" s="0" t="str">
        <f aca="false">HYPERLINK("https://www.ncbi.nlm.nih.gov/nuccore/CP000058.1?report=graph&amp;tracks=[key:gene_model_track,Options:GeneOnly]&amp;mk=4122203:4122222|offset_19|444444,4122223:4122242|offset_39|444444,4122253:4122272|offset_69|444444,4122288:4122307|offset_104|00cc00&amp;v=4122002:4122507&amp;c=444444", "offset 104")</f>
        <v>offset 104</v>
      </c>
    </row>
    <row r="13198" customFormat="false" ht="12.8" hidden="false" customHeight="false" outlineLevel="0" collapsed="false">
      <c r="A13198" s="0" t="s">
        <v>12</v>
      </c>
      <c r="B13198" s="0" t="n">
        <v>4123319</v>
      </c>
      <c r="C13198" s="0" t="n">
        <v>4123339</v>
      </c>
      <c r="D13198" s="0" t="s">
        <v>43841</v>
      </c>
      <c r="E13198" s="0" t="s">
        <v>75</v>
      </c>
      <c r="F13198" s="0" t="s">
        <v>15</v>
      </c>
      <c r="G13198" s="0" t="s">
        <v>32</v>
      </c>
      <c r="H13198" s="0" t="n">
        <v>59</v>
      </c>
      <c r="I13198" s="0" t="s">
        <v>43842</v>
      </c>
      <c r="J13198" s="0" t="s">
        <v>43843</v>
      </c>
      <c r="K13198" s="0" t="s">
        <v>43844</v>
      </c>
      <c r="L13198" s="0" t="str">
        <f aca="false">HYPERLINK("https://www.ncbi.nlm.nih.gov/nuccore/CP000058.1?report=graph&amp;tracks=[key:gene_model_track,Options:GeneOnly]&amp;mk=4123320:4123339|offset_59|00cc00,4123371:4123390|offset_110|444444,4123404:4123423|offset_143|444444,4123485:4123504|offset_224|444444&amp;v=4123119:4123704&amp;c=444444", "offset 59")</f>
        <v>offset 59</v>
      </c>
    </row>
    <row r="13199" customFormat="false" ht="12.8" hidden="false" customHeight="false" outlineLevel="0" collapsed="false">
      <c r="A13199" s="0" t="s">
        <v>12</v>
      </c>
      <c r="B13199" s="0" t="n">
        <v>4123370</v>
      </c>
      <c r="C13199" s="0" t="n">
        <v>4123390</v>
      </c>
      <c r="D13199" s="0" t="s">
        <v>43841</v>
      </c>
      <c r="E13199" s="0" t="s">
        <v>75</v>
      </c>
      <c r="F13199" s="0" t="s">
        <v>15</v>
      </c>
      <c r="G13199" s="0" t="s">
        <v>36</v>
      </c>
      <c r="H13199" s="0" t="n">
        <v>110</v>
      </c>
      <c r="I13199" s="0" t="s">
        <v>43845</v>
      </c>
      <c r="J13199" s="0" t="s">
        <v>43846</v>
      </c>
      <c r="K13199" s="0" t="s">
        <v>43847</v>
      </c>
      <c r="L13199" s="0" t="str">
        <f aca="false">HYPERLINK("https://www.ncbi.nlm.nih.gov/nuccore/CP000058.1?report=graph&amp;tracks=[key:gene_model_track,Options:GeneOnly]&amp;mk=4123320:4123339|offset_59|444444,4123371:4123390|offset_110|00cc00,4123404:4123423|offset_143|444444,4123485:4123504|offset_224|444444&amp;v=4123119:4123704&amp;c=444444", "offset 110")</f>
        <v>offset 110</v>
      </c>
    </row>
    <row r="13200" customFormat="false" ht="12.8" hidden="false" customHeight="false" outlineLevel="0" collapsed="false">
      <c r="A13200" s="0" t="s">
        <v>12</v>
      </c>
      <c r="B13200" s="0" t="n">
        <v>4123403</v>
      </c>
      <c r="C13200" s="0" t="n">
        <v>4123423</v>
      </c>
      <c r="D13200" s="0" t="s">
        <v>43841</v>
      </c>
      <c r="E13200" s="0" t="s">
        <v>75</v>
      </c>
      <c r="F13200" s="0" t="s">
        <v>15</v>
      </c>
      <c r="G13200" s="0" t="s">
        <v>36</v>
      </c>
      <c r="H13200" s="0" t="n">
        <v>143</v>
      </c>
      <c r="I13200" s="0" t="s">
        <v>43848</v>
      </c>
      <c r="J13200" s="0" t="s">
        <v>43849</v>
      </c>
      <c r="K13200" s="0" t="s">
        <v>43850</v>
      </c>
      <c r="L13200" s="0" t="str">
        <f aca="false">HYPERLINK("https://www.ncbi.nlm.nih.gov/nuccore/CP000058.1?report=graph&amp;tracks=[key:gene_model_track,Options:GeneOnly]&amp;mk=4123320:4123339|offset_59|444444,4123371:4123390|offset_110|444444,4123404:4123423|offset_143|00cc00,4123485:4123504|offset_224|444444&amp;v=4123119:4123704&amp;c=444444", "offset 143")</f>
        <v>offset 143</v>
      </c>
    </row>
    <row r="13201" customFormat="false" ht="12.8" hidden="false" customHeight="false" outlineLevel="0" collapsed="false">
      <c r="A13201" s="0" t="s">
        <v>12</v>
      </c>
      <c r="B13201" s="0" t="n">
        <v>4123484</v>
      </c>
      <c r="C13201" s="0" t="n">
        <v>4123504</v>
      </c>
      <c r="D13201" s="0" t="s">
        <v>43841</v>
      </c>
      <c r="E13201" s="0" t="s">
        <v>75</v>
      </c>
      <c r="F13201" s="0" t="s">
        <v>15</v>
      </c>
      <c r="G13201" s="0" t="s">
        <v>20</v>
      </c>
      <c r="H13201" s="0" t="n">
        <v>224</v>
      </c>
      <c r="I13201" s="0" t="s">
        <v>43851</v>
      </c>
      <c r="J13201" s="0" t="s">
        <v>43852</v>
      </c>
      <c r="K13201" s="0" t="s">
        <v>43853</v>
      </c>
      <c r="L13201" s="0" t="str">
        <f aca="false">HYPERLINK("https://www.ncbi.nlm.nih.gov/nuccore/CP000058.1?report=graph&amp;tracks=[key:gene_model_track,Options:GeneOnly]&amp;mk=4123320:4123339|offset_59|444444,4123371:4123390|offset_110|444444,4123404:4123423|offset_143|444444,4123485:4123504|offset_224|00cc00&amp;v=4123119:4123704&amp;c=444444", "offset 224")</f>
        <v>offset 224</v>
      </c>
    </row>
    <row r="13202" customFormat="false" ht="12.8" hidden="false" customHeight="false" outlineLevel="0" collapsed="false">
      <c r="A13202" s="0" t="s">
        <v>12</v>
      </c>
      <c r="B13202" s="0" t="n">
        <v>4125217</v>
      </c>
      <c r="C13202" s="0" t="n">
        <v>4125237</v>
      </c>
      <c r="D13202" s="0" t="s">
        <v>43854</v>
      </c>
      <c r="E13202" s="0" t="s">
        <v>75</v>
      </c>
      <c r="F13202" s="0" t="s">
        <v>15</v>
      </c>
      <c r="G13202" s="0" t="s">
        <v>32</v>
      </c>
      <c r="H13202" s="0" t="n">
        <v>59</v>
      </c>
      <c r="I13202" s="0" t="s">
        <v>43855</v>
      </c>
      <c r="J13202" s="0" t="s">
        <v>43856</v>
      </c>
      <c r="K13202" s="0" t="s">
        <v>43857</v>
      </c>
      <c r="L13202" s="0" t="str">
        <f aca="false">HYPERLINK("https://www.ncbi.nlm.nih.gov/nuccore/CP000058.1?report=graph&amp;tracks=[key:gene_model_track,Options:GeneOnly]&amp;mk=4125218:4125237|offset_59|00cc00,4125247:4125266|offset_88|444444,4125269:4125288|offset_110|444444,4125291:4125310|offset_132|444444&amp;v=4125017:4125510&amp;c=444444", "offset 59")</f>
        <v>offset 59</v>
      </c>
    </row>
    <row r="13203" customFormat="false" ht="12.8" hidden="false" customHeight="false" outlineLevel="0" collapsed="false">
      <c r="A13203" s="0" t="s">
        <v>12</v>
      </c>
      <c r="B13203" s="0" t="n">
        <v>4125246</v>
      </c>
      <c r="C13203" s="0" t="n">
        <v>4125266</v>
      </c>
      <c r="D13203" s="0" t="s">
        <v>43854</v>
      </c>
      <c r="E13203" s="0" t="s">
        <v>75</v>
      </c>
      <c r="F13203" s="0" t="s">
        <v>15</v>
      </c>
      <c r="G13203" s="0" t="s">
        <v>20</v>
      </c>
      <c r="H13203" s="0" t="n">
        <v>88</v>
      </c>
      <c r="I13203" s="0" t="s">
        <v>43858</v>
      </c>
      <c r="J13203" s="0" t="s">
        <v>43859</v>
      </c>
      <c r="K13203" s="0" t="s">
        <v>43860</v>
      </c>
      <c r="L13203" s="0" t="str">
        <f aca="false">HYPERLINK("https://www.ncbi.nlm.nih.gov/nuccore/CP000058.1?report=graph&amp;tracks=[key:gene_model_track,Options:GeneOnly]&amp;mk=4125218:4125237|offset_59|444444,4125247:4125266|offset_88|00cc00,4125269:4125288|offset_110|444444,4125291:4125310|offset_132|444444&amp;v=4125017:4125510&amp;c=444444", "offset 88")</f>
        <v>offset 88</v>
      </c>
    </row>
    <row r="13204" customFormat="false" ht="12.8" hidden="false" customHeight="false" outlineLevel="0" collapsed="false">
      <c r="A13204" s="0" t="s">
        <v>12</v>
      </c>
      <c r="B13204" s="0" t="n">
        <v>4125268</v>
      </c>
      <c r="C13204" s="0" t="n">
        <v>4125288</v>
      </c>
      <c r="D13204" s="0" t="s">
        <v>43854</v>
      </c>
      <c r="E13204" s="0" t="s">
        <v>75</v>
      </c>
      <c r="F13204" s="0" t="s">
        <v>15</v>
      </c>
      <c r="G13204" s="0" t="s">
        <v>32</v>
      </c>
      <c r="H13204" s="0" t="n">
        <v>110</v>
      </c>
      <c r="I13204" s="0" t="s">
        <v>43861</v>
      </c>
      <c r="J13204" s="0" t="s">
        <v>43862</v>
      </c>
      <c r="K13204" s="0" t="s">
        <v>43863</v>
      </c>
      <c r="L13204" s="0" t="str">
        <f aca="false">HYPERLINK("https://www.ncbi.nlm.nih.gov/nuccore/CP000058.1?report=graph&amp;tracks=[key:gene_model_track,Options:GeneOnly]&amp;mk=4125218:4125237|offset_59|444444,4125247:4125266|offset_88|444444,4125269:4125288|offset_110|00cc00,4125291:4125310|offset_132|444444&amp;v=4125017:4125510&amp;c=444444", "offset 110")</f>
        <v>offset 110</v>
      </c>
    </row>
    <row r="13205" customFormat="false" ht="12.8" hidden="false" customHeight="false" outlineLevel="0" collapsed="false">
      <c r="A13205" s="0" t="s">
        <v>12</v>
      </c>
      <c r="B13205" s="0" t="n">
        <v>4125290</v>
      </c>
      <c r="C13205" s="0" t="n">
        <v>4125310</v>
      </c>
      <c r="D13205" s="0" t="s">
        <v>43854</v>
      </c>
      <c r="E13205" s="0" t="s">
        <v>75</v>
      </c>
      <c r="F13205" s="0" t="s">
        <v>15</v>
      </c>
      <c r="G13205" s="0" t="s">
        <v>36</v>
      </c>
      <c r="H13205" s="0" t="n">
        <v>132</v>
      </c>
      <c r="I13205" s="0" t="s">
        <v>43864</v>
      </c>
      <c r="J13205" s="0" t="s">
        <v>43865</v>
      </c>
      <c r="K13205" s="0" t="s">
        <v>43866</v>
      </c>
      <c r="L13205" s="0" t="str">
        <f aca="false">HYPERLINK("https://www.ncbi.nlm.nih.gov/nuccore/CP000058.1?report=graph&amp;tracks=[key:gene_model_track,Options:GeneOnly]&amp;mk=4125218:4125237|offset_59|444444,4125247:4125266|offset_88|444444,4125269:4125288|offset_110|444444,4125291:4125310|offset_132|00cc00&amp;v=4125017:4125510&amp;c=444444", "offset 132")</f>
        <v>offset 132</v>
      </c>
    </row>
    <row r="13206" customFormat="false" ht="12.8" hidden="false" customHeight="false" outlineLevel="0" collapsed="false">
      <c r="A13206" s="0" t="s">
        <v>12</v>
      </c>
      <c r="B13206" s="0" t="n">
        <v>4128552</v>
      </c>
      <c r="C13206" s="0" t="n">
        <v>4128572</v>
      </c>
      <c r="D13206" s="0" t="s">
        <v>43867</v>
      </c>
      <c r="E13206" s="0" t="s">
        <v>75</v>
      </c>
      <c r="F13206" s="0" t="s">
        <v>15</v>
      </c>
      <c r="G13206" s="0" t="s">
        <v>20</v>
      </c>
      <c r="H13206" s="0" t="n">
        <v>1</v>
      </c>
      <c r="I13206" s="0" t="s">
        <v>43868</v>
      </c>
      <c r="J13206" s="0" t="s">
        <v>43869</v>
      </c>
      <c r="K13206" s="0" t="s">
        <v>43870</v>
      </c>
      <c r="L13206" s="0" t="str">
        <f aca="false">HYPERLINK("https://www.ncbi.nlm.nih.gov/nuccore/CP000058.1?report=graph&amp;tracks=[key:gene_model_track,Options:GeneOnly]&amp;mk=4128553:4128572|offset_1|00cc00,4128625:4128644|offset_73|444444,4128652:4128671|offset_100|444444,4128681:4128700|offset_129|444444&amp;v=4128352:4128900&amp;c=444444", "offset 1")</f>
        <v>offset 1</v>
      </c>
    </row>
    <row r="13207" customFormat="false" ht="12.8" hidden="false" customHeight="false" outlineLevel="0" collapsed="false">
      <c r="A13207" s="0" t="s">
        <v>12</v>
      </c>
      <c r="B13207" s="0" t="n">
        <v>4128624</v>
      </c>
      <c r="C13207" s="0" t="n">
        <v>4128644</v>
      </c>
      <c r="D13207" s="0" t="s">
        <v>43867</v>
      </c>
      <c r="E13207" s="0" t="s">
        <v>75</v>
      </c>
      <c r="F13207" s="0" t="s">
        <v>15</v>
      </c>
      <c r="G13207" s="0" t="s">
        <v>20</v>
      </c>
      <c r="H13207" s="0" t="n">
        <v>73</v>
      </c>
      <c r="I13207" s="0" t="s">
        <v>43871</v>
      </c>
      <c r="J13207" s="0" t="s">
        <v>43872</v>
      </c>
      <c r="K13207" s="0" t="s">
        <v>43873</v>
      </c>
      <c r="L13207" s="0" t="str">
        <f aca="false">HYPERLINK("https://www.ncbi.nlm.nih.gov/nuccore/CP000058.1?report=graph&amp;tracks=[key:gene_model_track,Options:GeneOnly]&amp;mk=4128553:4128572|offset_1|444444,4128625:4128644|offset_73|00cc00,4128652:4128671|offset_100|444444,4128681:4128700|offset_129|444444&amp;v=4128352:4128900&amp;c=444444", "offset 73")</f>
        <v>offset 73</v>
      </c>
    </row>
    <row r="13208" customFormat="false" ht="12.8" hidden="false" customHeight="false" outlineLevel="0" collapsed="false">
      <c r="A13208" s="0" t="s">
        <v>12</v>
      </c>
      <c r="B13208" s="0" t="n">
        <v>4128651</v>
      </c>
      <c r="C13208" s="0" t="n">
        <v>4128671</v>
      </c>
      <c r="D13208" s="0" t="s">
        <v>43867</v>
      </c>
      <c r="E13208" s="0" t="s">
        <v>75</v>
      </c>
      <c r="F13208" s="0" t="s">
        <v>15</v>
      </c>
      <c r="G13208" s="0" t="s">
        <v>32</v>
      </c>
      <c r="H13208" s="0" t="n">
        <v>100</v>
      </c>
      <c r="I13208" s="0" t="s">
        <v>43874</v>
      </c>
      <c r="J13208" s="0" t="s">
        <v>43875</v>
      </c>
      <c r="K13208" s="0" t="s">
        <v>43876</v>
      </c>
      <c r="L13208" s="0" t="str">
        <f aca="false">HYPERLINK("https://www.ncbi.nlm.nih.gov/nuccore/CP000058.1?report=graph&amp;tracks=[key:gene_model_track,Options:GeneOnly]&amp;mk=4128553:4128572|offset_1|444444,4128625:4128644|offset_73|444444,4128652:4128671|offset_100|00cc00,4128681:4128700|offset_129|444444&amp;v=4128352:4128900&amp;c=444444", "offset 100")</f>
        <v>offset 100</v>
      </c>
    </row>
    <row r="13209" customFormat="false" ht="12.8" hidden="false" customHeight="false" outlineLevel="0" collapsed="false">
      <c r="A13209" s="0" t="s">
        <v>12</v>
      </c>
      <c r="B13209" s="0" t="n">
        <v>4128680</v>
      </c>
      <c r="C13209" s="0" t="n">
        <v>4128700</v>
      </c>
      <c r="D13209" s="0" t="s">
        <v>43867</v>
      </c>
      <c r="E13209" s="0" t="s">
        <v>75</v>
      </c>
      <c r="F13209" s="0" t="s">
        <v>15</v>
      </c>
      <c r="G13209" s="0" t="s">
        <v>36</v>
      </c>
      <c r="H13209" s="0" t="n">
        <v>129</v>
      </c>
      <c r="I13209" s="0" t="s">
        <v>43877</v>
      </c>
      <c r="J13209" s="0" t="s">
        <v>43878</v>
      </c>
      <c r="K13209" s="0" t="s">
        <v>43879</v>
      </c>
      <c r="L13209" s="0" t="str">
        <f aca="false">HYPERLINK("https://www.ncbi.nlm.nih.gov/nuccore/CP000058.1?report=graph&amp;tracks=[key:gene_model_track,Options:GeneOnly]&amp;mk=4128553:4128572|offset_1|444444,4128625:4128644|offset_73|444444,4128652:4128671|offset_100|444444,4128681:4128700|offset_129|00cc00&amp;v=4128352:4128900&amp;c=444444", "offset 129")</f>
        <v>offset 129</v>
      </c>
    </row>
    <row r="13210" customFormat="false" ht="12.8" hidden="false" customHeight="false" outlineLevel="0" collapsed="false">
      <c r="A13210" s="0" t="s">
        <v>12</v>
      </c>
      <c r="B13210" s="0" t="n">
        <v>4129028</v>
      </c>
      <c r="C13210" s="0" t="n">
        <v>4129048</v>
      </c>
      <c r="D13210" s="0" t="s">
        <v>43880</v>
      </c>
      <c r="E13210" s="0" t="s">
        <v>75</v>
      </c>
      <c r="F13210" s="0" t="s">
        <v>15</v>
      </c>
      <c r="G13210" s="0" t="s">
        <v>20</v>
      </c>
      <c r="H13210" s="0" t="n">
        <v>40</v>
      </c>
      <c r="I13210" s="0" t="s">
        <v>43881</v>
      </c>
      <c r="J13210" s="0" t="s">
        <v>43882</v>
      </c>
      <c r="K13210" s="0" t="s">
        <v>43883</v>
      </c>
      <c r="L13210" s="0" t="str">
        <f aca="false">HYPERLINK("https://www.ncbi.nlm.nih.gov/nuccore/CP000058.1?report=graph&amp;tracks=[key:gene_model_track,Options:GeneOnly]&amp;mk=4129029:4129048|offset_40|00cc00,4129062:4129081|offset_73|444444,4129106:4129125|offset_117|444444,4129151:4129170|offset_162|444444&amp;v=4128828:4129370&amp;c=444444", "offset 40")</f>
        <v>offset 40</v>
      </c>
    </row>
    <row r="13211" customFormat="false" ht="12.8" hidden="false" customHeight="false" outlineLevel="0" collapsed="false">
      <c r="A13211" s="0" t="s">
        <v>12</v>
      </c>
      <c r="B13211" s="0" t="n">
        <v>4129061</v>
      </c>
      <c r="C13211" s="0" t="n">
        <v>4129081</v>
      </c>
      <c r="D13211" s="0" t="s">
        <v>43880</v>
      </c>
      <c r="E13211" s="0" t="s">
        <v>75</v>
      </c>
      <c r="F13211" s="0" t="s">
        <v>15</v>
      </c>
      <c r="G13211" s="0" t="s">
        <v>20</v>
      </c>
      <c r="H13211" s="0" t="n">
        <v>73</v>
      </c>
      <c r="I13211" s="0" t="s">
        <v>43884</v>
      </c>
      <c r="J13211" s="0" t="s">
        <v>43885</v>
      </c>
      <c r="K13211" s="0" t="s">
        <v>43886</v>
      </c>
      <c r="L13211" s="0" t="str">
        <f aca="false">HYPERLINK("https://www.ncbi.nlm.nih.gov/nuccore/CP000058.1?report=graph&amp;tracks=[key:gene_model_track,Options:GeneOnly]&amp;mk=4129029:4129048|offset_40|444444,4129062:4129081|offset_73|00cc00,4129106:4129125|offset_117|444444,4129151:4129170|offset_162|444444&amp;v=4128828:4129370&amp;c=444444", "offset 73")</f>
        <v>offset 73</v>
      </c>
    </row>
    <row r="13212" customFormat="false" ht="12.8" hidden="false" customHeight="false" outlineLevel="0" collapsed="false">
      <c r="A13212" s="0" t="s">
        <v>12</v>
      </c>
      <c r="B13212" s="0" t="n">
        <v>4129105</v>
      </c>
      <c r="C13212" s="0" t="n">
        <v>4129125</v>
      </c>
      <c r="D13212" s="0" t="s">
        <v>43880</v>
      </c>
      <c r="E13212" s="0" t="s">
        <v>75</v>
      </c>
      <c r="F13212" s="0" t="s">
        <v>15</v>
      </c>
      <c r="G13212" s="0" t="s">
        <v>20</v>
      </c>
      <c r="H13212" s="0" t="n">
        <v>117</v>
      </c>
      <c r="I13212" s="0" t="s">
        <v>43887</v>
      </c>
      <c r="J13212" s="0" t="s">
        <v>43888</v>
      </c>
      <c r="K13212" s="0" t="s">
        <v>43889</v>
      </c>
      <c r="L13212" s="0" t="str">
        <f aca="false">HYPERLINK("https://www.ncbi.nlm.nih.gov/nuccore/CP000058.1?report=graph&amp;tracks=[key:gene_model_track,Options:GeneOnly]&amp;mk=4129029:4129048|offset_40|444444,4129062:4129081|offset_73|444444,4129106:4129125|offset_117|00cc00,4129151:4129170|offset_162|444444&amp;v=4128828:4129370&amp;c=444444", "offset 117")</f>
        <v>offset 117</v>
      </c>
    </row>
    <row r="13213" customFormat="false" ht="12.8" hidden="false" customHeight="false" outlineLevel="0" collapsed="false">
      <c r="A13213" s="0" t="s">
        <v>12</v>
      </c>
      <c r="B13213" s="0" t="n">
        <v>4129150</v>
      </c>
      <c r="C13213" s="0" t="n">
        <v>4129170</v>
      </c>
      <c r="D13213" s="0" t="s">
        <v>43880</v>
      </c>
      <c r="E13213" s="0" t="s">
        <v>75</v>
      </c>
      <c r="F13213" s="0" t="s">
        <v>15</v>
      </c>
      <c r="G13213" s="0" t="s">
        <v>32</v>
      </c>
      <c r="H13213" s="0" t="n">
        <v>162</v>
      </c>
      <c r="I13213" s="0" t="s">
        <v>43890</v>
      </c>
      <c r="J13213" s="0" t="s">
        <v>43891</v>
      </c>
      <c r="K13213" s="0" t="s">
        <v>43892</v>
      </c>
      <c r="L13213" s="0" t="str">
        <f aca="false">HYPERLINK("https://www.ncbi.nlm.nih.gov/nuccore/CP000058.1?report=graph&amp;tracks=[key:gene_model_track,Options:GeneOnly]&amp;mk=4129029:4129048|offset_40|444444,4129062:4129081|offset_73|444444,4129106:4129125|offset_117|444444,4129151:4129170|offset_162|00cc00&amp;v=4128828:4129370&amp;c=444444", "offset 162")</f>
        <v>offset 162</v>
      </c>
    </row>
    <row r="13214" customFormat="false" ht="12.8" hidden="false" customHeight="false" outlineLevel="0" collapsed="false">
      <c r="A13214" s="0" t="s">
        <v>12</v>
      </c>
      <c r="B13214" s="0" t="n">
        <v>4131933</v>
      </c>
      <c r="C13214" s="0" t="n">
        <v>4131953</v>
      </c>
      <c r="D13214" s="0" t="s">
        <v>43893</v>
      </c>
      <c r="E13214" s="0" t="s">
        <v>75</v>
      </c>
      <c r="F13214" s="0" t="s">
        <v>90</v>
      </c>
      <c r="G13214" s="0" t="s">
        <v>20</v>
      </c>
      <c r="H13214" s="0" t="n">
        <v>46</v>
      </c>
      <c r="I13214" s="0" t="s">
        <v>43894</v>
      </c>
      <c r="J13214" s="0" t="s">
        <v>43895</v>
      </c>
      <c r="K13214" s="0" t="s">
        <v>43896</v>
      </c>
      <c r="L13214" s="0" t="str">
        <f aca="false">HYPERLINK("https://www.ncbi.nlm.nih.gov/nuccore/CP000058.1?report=graph&amp;tracks=[key:gene_model_track,Options:GeneOnly]&amp;mk=4131934:4131953|offset_46|00cc00,4131903:4131922|offset_77|444444,4131850:4131869|offset_130|444444,4131829:4131848|offset_151|444444&amp;v=4131733:4132048&amp;c=444444", "offset 46")</f>
        <v>offset 46</v>
      </c>
    </row>
    <row r="13215" customFormat="false" ht="12.8" hidden="false" customHeight="false" outlineLevel="0" collapsed="false">
      <c r="A13215" s="0" t="s">
        <v>12</v>
      </c>
      <c r="B13215" s="0" t="n">
        <v>4131902</v>
      </c>
      <c r="C13215" s="0" t="n">
        <v>4131922</v>
      </c>
      <c r="D13215" s="0" t="s">
        <v>43893</v>
      </c>
      <c r="E13215" s="0" t="s">
        <v>75</v>
      </c>
      <c r="F13215" s="0" t="s">
        <v>90</v>
      </c>
      <c r="G13215" s="0" t="s">
        <v>36</v>
      </c>
      <c r="H13215" s="0" t="n">
        <v>77</v>
      </c>
      <c r="I13215" s="0" t="s">
        <v>43897</v>
      </c>
      <c r="J13215" s="0" t="s">
        <v>43898</v>
      </c>
      <c r="K13215" s="0" t="s">
        <v>43899</v>
      </c>
      <c r="L13215" s="0" t="str">
        <f aca="false">HYPERLINK("https://www.ncbi.nlm.nih.gov/nuccore/CP000058.1?report=graph&amp;tracks=[key:gene_model_track,Options:GeneOnly]&amp;mk=4131934:4131953|offset_46|444444,4131903:4131922|offset_77|00cc00,4131850:4131869|offset_130|444444,4131829:4131848|offset_151|444444&amp;v=4131733:4132048&amp;c=444444", "offset 77")</f>
        <v>offset 77</v>
      </c>
    </row>
    <row r="13216" customFormat="false" ht="12.8" hidden="false" customHeight="false" outlineLevel="0" collapsed="false">
      <c r="A13216" s="0" t="s">
        <v>12</v>
      </c>
      <c r="B13216" s="0" t="n">
        <v>4131849</v>
      </c>
      <c r="C13216" s="0" t="n">
        <v>4131869</v>
      </c>
      <c r="D13216" s="0" t="s">
        <v>43893</v>
      </c>
      <c r="E13216" s="0" t="s">
        <v>75</v>
      </c>
      <c r="F13216" s="0" t="s">
        <v>90</v>
      </c>
      <c r="G13216" s="0" t="s">
        <v>32</v>
      </c>
      <c r="H13216" s="0" t="n">
        <v>130</v>
      </c>
      <c r="I13216" s="0" t="s">
        <v>43900</v>
      </c>
      <c r="J13216" s="0" t="s">
        <v>43901</v>
      </c>
      <c r="K13216" s="0" t="s">
        <v>43902</v>
      </c>
      <c r="L13216" s="0" t="str">
        <f aca="false">HYPERLINK("https://www.ncbi.nlm.nih.gov/nuccore/CP000058.1?report=graph&amp;tracks=[key:gene_model_track,Options:GeneOnly]&amp;mk=4131934:4131953|offset_46|444444,4131903:4131922|offset_77|444444,4131850:4131869|offset_130|00cc00,4131829:4131848|offset_151|444444&amp;v=4131733:4132048&amp;c=444444", "offset 130")</f>
        <v>offset 130</v>
      </c>
    </row>
    <row r="13217" customFormat="false" ht="12.8" hidden="false" customHeight="false" outlineLevel="0" collapsed="false">
      <c r="A13217" s="0" t="s">
        <v>12</v>
      </c>
      <c r="B13217" s="0" t="n">
        <v>4131828</v>
      </c>
      <c r="C13217" s="0" t="n">
        <v>4131848</v>
      </c>
      <c r="D13217" s="0" t="s">
        <v>43893</v>
      </c>
      <c r="E13217" s="0" t="s">
        <v>75</v>
      </c>
      <c r="F13217" s="0" t="s">
        <v>90</v>
      </c>
      <c r="G13217" s="0" t="s">
        <v>32</v>
      </c>
      <c r="H13217" s="0" t="n">
        <v>151</v>
      </c>
      <c r="I13217" s="0" t="s">
        <v>43903</v>
      </c>
      <c r="J13217" s="0" t="s">
        <v>43904</v>
      </c>
      <c r="K13217" s="0" t="s">
        <v>43905</v>
      </c>
      <c r="L13217" s="0" t="str">
        <f aca="false">HYPERLINK("https://www.ncbi.nlm.nih.gov/nuccore/CP000058.1?report=graph&amp;tracks=[key:gene_model_track,Options:GeneOnly]&amp;mk=4131934:4131953|offset_46|444444,4131903:4131922|offset_77|444444,4131850:4131869|offset_130|444444,4131829:4131848|offset_151|00cc00&amp;v=4131733:4132048&amp;c=444444", "offset 151")</f>
        <v>offset 151</v>
      </c>
    </row>
    <row r="13218" customFormat="false" ht="12.8" hidden="false" customHeight="false" outlineLevel="0" collapsed="false">
      <c r="A13218" s="0" t="s">
        <v>12</v>
      </c>
      <c r="B13218" s="0" t="n">
        <v>4133046</v>
      </c>
      <c r="C13218" s="0" t="n">
        <v>4133066</v>
      </c>
      <c r="D13218" s="0" t="s">
        <v>43906</v>
      </c>
      <c r="E13218" s="0" t="s">
        <v>75</v>
      </c>
      <c r="F13218" s="0" t="s">
        <v>90</v>
      </c>
      <c r="G13218" s="0" t="s">
        <v>36</v>
      </c>
      <c r="H13218" s="0" t="n">
        <v>10</v>
      </c>
      <c r="I13218" s="0" t="s">
        <v>43907</v>
      </c>
      <c r="J13218" s="0" t="s">
        <v>43908</v>
      </c>
      <c r="K13218" s="0" t="s">
        <v>43909</v>
      </c>
      <c r="L13218" s="0" t="str">
        <f aca="false">HYPERLINK("https://www.ncbi.nlm.nih.gov/nuccore/CP000058.1?report=graph&amp;tracks=[key:gene_model_track,Options:GeneOnly]&amp;mk=4133047:4133066|offset_10|00cc00,4133013:4133032|offset_44|444444,4132978:4132997|offset_79|444444,4132957:4132976|offset_100|444444&amp;v=4132846:4133176&amp;c=444444", "offset 10")</f>
        <v>offset 10</v>
      </c>
    </row>
    <row r="13219" customFormat="false" ht="12.8" hidden="false" customHeight="false" outlineLevel="0" collapsed="false">
      <c r="A13219" s="0" t="s">
        <v>12</v>
      </c>
      <c r="B13219" s="0" t="n">
        <v>4133012</v>
      </c>
      <c r="C13219" s="0" t="n">
        <v>4133032</v>
      </c>
      <c r="D13219" s="0" t="s">
        <v>43906</v>
      </c>
      <c r="E13219" s="0" t="s">
        <v>75</v>
      </c>
      <c r="F13219" s="0" t="s">
        <v>90</v>
      </c>
      <c r="G13219" s="0" t="s">
        <v>20</v>
      </c>
      <c r="H13219" s="0" t="n">
        <v>44</v>
      </c>
      <c r="I13219" s="0" t="s">
        <v>43910</v>
      </c>
      <c r="J13219" s="0" t="s">
        <v>43911</v>
      </c>
      <c r="K13219" s="0" t="s">
        <v>43912</v>
      </c>
      <c r="L13219" s="0" t="str">
        <f aca="false">HYPERLINK("https://www.ncbi.nlm.nih.gov/nuccore/CP000058.1?report=graph&amp;tracks=[key:gene_model_track,Options:GeneOnly]&amp;mk=4133047:4133066|offset_10|444444,4133013:4133032|offset_44|00cc00,4132978:4132997|offset_79|444444,4132957:4132976|offset_100|444444&amp;v=4132846:4133176&amp;c=444444", "offset 44")</f>
        <v>offset 44</v>
      </c>
    </row>
    <row r="13220" customFormat="false" ht="12.8" hidden="false" customHeight="false" outlineLevel="0" collapsed="false">
      <c r="A13220" s="0" t="s">
        <v>12</v>
      </c>
      <c r="B13220" s="0" t="n">
        <v>4132977</v>
      </c>
      <c r="C13220" s="0" t="n">
        <v>4132997</v>
      </c>
      <c r="D13220" s="0" t="s">
        <v>43906</v>
      </c>
      <c r="E13220" s="0" t="s">
        <v>75</v>
      </c>
      <c r="F13220" s="0" t="s">
        <v>90</v>
      </c>
      <c r="G13220" s="0" t="s">
        <v>16</v>
      </c>
      <c r="H13220" s="0" t="n">
        <v>79</v>
      </c>
      <c r="I13220" s="0" t="s">
        <v>43913</v>
      </c>
      <c r="J13220" s="0" t="s">
        <v>43914</v>
      </c>
      <c r="K13220" s="0" t="s">
        <v>43915</v>
      </c>
      <c r="L13220" s="0" t="str">
        <f aca="false">HYPERLINK("https://www.ncbi.nlm.nih.gov/nuccore/CP000058.1?report=graph&amp;tracks=[key:gene_model_track,Options:GeneOnly]&amp;mk=4133047:4133066|offset_10|444444,4133013:4133032|offset_44|444444,4132978:4132997|offset_79|00cc00,4132957:4132976|offset_100|444444&amp;v=4132846:4133176&amp;c=444444", "offset 79")</f>
        <v>offset 79</v>
      </c>
    </row>
    <row r="13221" customFormat="false" ht="12.8" hidden="false" customHeight="false" outlineLevel="0" collapsed="false">
      <c r="A13221" s="0" t="s">
        <v>12</v>
      </c>
      <c r="B13221" s="0" t="n">
        <v>4132956</v>
      </c>
      <c r="C13221" s="0" t="n">
        <v>4132976</v>
      </c>
      <c r="D13221" s="0" t="s">
        <v>43906</v>
      </c>
      <c r="E13221" s="0" t="s">
        <v>75</v>
      </c>
      <c r="F13221" s="0" t="s">
        <v>90</v>
      </c>
      <c r="G13221" s="0" t="s">
        <v>16</v>
      </c>
      <c r="H13221" s="0" t="n">
        <v>100</v>
      </c>
      <c r="I13221" s="0" t="s">
        <v>43916</v>
      </c>
      <c r="J13221" s="0" t="s">
        <v>43917</v>
      </c>
      <c r="K13221" s="0" t="s">
        <v>43918</v>
      </c>
      <c r="L13221" s="0" t="str">
        <f aca="false">HYPERLINK("https://www.ncbi.nlm.nih.gov/nuccore/CP000058.1?report=graph&amp;tracks=[key:gene_model_track,Options:GeneOnly]&amp;mk=4133047:4133066|offset_10|444444,4133013:4133032|offset_44|444444,4132978:4132997|offset_79|444444,4132957:4132976|offset_100|00cc00&amp;v=4132846:4133176&amp;c=444444", "offset 100")</f>
        <v>offset 100</v>
      </c>
    </row>
    <row r="13222" customFormat="false" ht="12.8" hidden="false" customHeight="false" outlineLevel="0" collapsed="false">
      <c r="A13222" s="0" t="s">
        <v>12</v>
      </c>
      <c r="B13222" s="0" t="n">
        <v>4134623</v>
      </c>
      <c r="C13222" s="0" t="n">
        <v>4134643</v>
      </c>
      <c r="D13222" s="0" t="s">
        <v>43919</v>
      </c>
      <c r="E13222" s="0" t="s">
        <v>75</v>
      </c>
      <c r="F13222" s="0" t="s">
        <v>90</v>
      </c>
      <c r="G13222" s="0" t="s">
        <v>16</v>
      </c>
      <c r="H13222" s="0" t="n">
        <v>21</v>
      </c>
      <c r="I13222" s="0" t="s">
        <v>43920</v>
      </c>
      <c r="J13222" s="0" t="s">
        <v>43921</v>
      </c>
      <c r="K13222" s="0" t="s">
        <v>43922</v>
      </c>
      <c r="L13222" s="0" t="str">
        <f aca="false">HYPERLINK("https://www.ncbi.nlm.nih.gov/nuccore/CP000058.1?report=graph&amp;tracks=[key:gene_model_track,Options:GeneOnly]&amp;mk=4134624:4134643|offset_21|00cc00,4134587:4134606|offset_58|444444,4134553:4134572|offset_92|444444,4134506:4134525|offset_139|444444&amp;v=4134423:4134725&amp;c=444444", "offset 21")</f>
        <v>offset 21</v>
      </c>
    </row>
    <row r="13223" customFormat="false" ht="12.8" hidden="false" customHeight="false" outlineLevel="0" collapsed="false">
      <c r="A13223" s="0" t="s">
        <v>12</v>
      </c>
      <c r="B13223" s="0" t="n">
        <v>4134586</v>
      </c>
      <c r="C13223" s="0" t="n">
        <v>4134606</v>
      </c>
      <c r="D13223" s="0" t="s">
        <v>43919</v>
      </c>
      <c r="E13223" s="0" t="s">
        <v>75</v>
      </c>
      <c r="F13223" s="0" t="s">
        <v>90</v>
      </c>
      <c r="G13223" s="0" t="s">
        <v>32</v>
      </c>
      <c r="H13223" s="0" t="n">
        <v>58</v>
      </c>
      <c r="I13223" s="0" t="s">
        <v>43923</v>
      </c>
      <c r="J13223" s="0" t="s">
        <v>43924</v>
      </c>
      <c r="K13223" s="0" t="s">
        <v>43925</v>
      </c>
      <c r="L13223" s="0" t="str">
        <f aca="false">HYPERLINK("https://www.ncbi.nlm.nih.gov/nuccore/CP000058.1?report=graph&amp;tracks=[key:gene_model_track,Options:GeneOnly]&amp;mk=4134624:4134643|offset_21|444444,4134587:4134606|offset_58|00cc00,4134553:4134572|offset_92|444444,4134506:4134525|offset_139|444444&amp;v=4134423:4134725&amp;c=444444", "offset 58")</f>
        <v>offset 58</v>
      </c>
    </row>
    <row r="13224" customFormat="false" ht="12.8" hidden="false" customHeight="false" outlineLevel="0" collapsed="false">
      <c r="A13224" s="0" t="s">
        <v>12</v>
      </c>
      <c r="B13224" s="0" t="n">
        <v>4134552</v>
      </c>
      <c r="C13224" s="0" t="n">
        <v>4134572</v>
      </c>
      <c r="D13224" s="0" t="s">
        <v>43919</v>
      </c>
      <c r="E13224" s="0" t="s">
        <v>75</v>
      </c>
      <c r="F13224" s="0" t="s">
        <v>90</v>
      </c>
      <c r="G13224" s="0" t="s">
        <v>16</v>
      </c>
      <c r="H13224" s="0" t="n">
        <v>92</v>
      </c>
      <c r="I13224" s="0" t="s">
        <v>43926</v>
      </c>
      <c r="J13224" s="0" t="s">
        <v>43927</v>
      </c>
      <c r="K13224" s="0" t="s">
        <v>43928</v>
      </c>
      <c r="L13224" s="0" t="str">
        <f aca="false">HYPERLINK("https://www.ncbi.nlm.nih.gov/nuccore/CP000058.1?report=graph&amp;tracks=[key:gene_model_track,Options:GeneOnly]&amp;mk=4134624:4134643|offset_21|444444,4134587:4134606|offset_58|444444,4134553:4134572|offset_92|00cc00,4134506:4134525|offset_139|444444&amp;v=4134423:4134725&amp;c=444444", "offset 92")</f>
        <v>offset 92</v>
      </c>
    </row>
    <row r="13225" customFormat="false" ht="12.8" hidden="false" customHeight="false" outlineLevel="0" collapsed="false">
      <c r="A13225" s="0" t="s">
        <v>12</v>
      </c>
      <c r="B13225" s="0" t="n">
        <v>4134505</v>
      </c>
      <c r="C13225" s="0" t="n">
        <v>4134525</v>
      </c>
      <c r="D13225" s="0" t="s">
        <v>43919</v>
      </c>
      <c r="E13225" s="0" t="s">
        <v>75</v>
      </c>
      <c r="F13225" s="0" t="s">
        <v>90</v>
      </c>
      <c r="G13225" s="0" t="s">
        <v>32</v>
      </c>
      <c r="H13225" s="0" t="n">
        <v>139</v>
      </c>
      <c r="I13225" s="0" t="s">
        <v>43929</v>
      </c>
      <c r="J13225" s="0" t="s">
        <v>43930</v>
      </c>
      <c r="K13225" s="0" t="s">
        <v>43931</v>
      </c>
      <c r="L13225" s="0" t="str">
        <f aca="false">HYPERLINK("https://www.ncbi.nlm.nih.gov/nuccore/CP000058.1?report=graph&amp;tracks=[key:gene_model_track,Options:GeneOnly]&amp;mk=4134624:4134643|offset_21|444444,4134587:4134606|offset_58|444444,4134553:4134572|offset_92|444444,4134506:4134525|offset_139|00cc00&amp;v=4134423:4134725&amp;c=444444", "offset 139")</f>
        <v>offset 139</v>
      </c>
    </row>
    <row r="13226" customFormat="false" ht="12.8" hidden="false" customHeight="false" outlineLevel="0" collapsed="false">
      <c r="A13226" s="0" t="s">
        <v>12</v>
      </c>
      <c r="B13226" s="0" t="n">
        <v>4136306</v>
      </c>
      <c r="C13226" s="0" t="n">
        <v>4136326</v>
      </c>
      <c r="D13226" s="0" t="s">
        <v>43932</v>
      </c>
      <c r="E13226" s="0" t="s">
        <v>75</v>
      </c>
      <c r="F13226" s="0" t="s">
        <v>90</v>
      </c>
      <c r="G13226" s="0" t="s">
        <v>32</v>
      </c>
      <c r="H13226" s="0" t="n">
        <v>1</v>
      </c>
      <c r="I13226" s="0" t="s">
        <v>43933</v>
      </c>
      <c r="J13226" s="0" t="s">
        <v>43934</v>
      </c>
      <c r="K13226" s="0" t="s">
        <v>43935</v>
      </c>
      <c r="L13226" s="0" t="str">
        <f aca="false">HYPERLINK("https://www.ncbi.nlm.nih.gov/nuccore/CP000058.1?report=graph&amp;tracks=[key:gene_model_track,Options:GeneOnly]&amp;mk=4136307:4136326|offset_1|00cc00,4136279:4136298|offset_29|444444,4136232:4136251|offset_76|444444,4136184:4136203|offset_124|444444&amp;v=4136106:4136403&amp;c=444444", "offset 1")</f>
        <v>offset 1</v>
      </c>
    </row>
    <row r="13227" customFormat="false" ht="12.8" hidden="false" customHeight="false" outlineLevel="0" collapsed="false">
      <c r="A13227" s="0" t="s">
        <v>12</v>
      </c>
      <c r="B13227" s="0" t="n">
        <v>4136278</v>
      </c>
      <c r="C13227" s="0" t="n">
        <v>4136298</v>
      </c>
      <c r="D13227" s="0" t="s">
        <v>43932</v>
      </c>
      <c r="E13227" s="0" t="s">
        <v>75</v>
      </c>
      <c r="F13227" s="0" t="s">
        <v>90</v>
      </c>
      <c r="G13227" s="0" t="s">
        <v>36</v>
      </c>
      <c r="H13227" s="0" t="n">
        <v>29</v>
      </c>
      <c r="I13227" s="0" t="s">
        <v>43936</v>
      </c>
      <c r="J13227" s="0" t="s">
        <v>43937</v>
      </c>
      <c r="K13227" s="0" t="s">
        <v>43938</v>
      </c>
      <c r="L13227" s="0" t="str">
        <f aca="false">HYPERLINK("https://www.ncbi.nlm.nih.gov/nuccore/CP000058.1?report=graph&amp;tracks=[key:gene_model_track,Options:GeneOnly]&amp;mk=4136307:4136326|offset_1|444444,4136279:4136298|offset_29|00cc00,4136232:4136251|offset_76|444444,4136184:4136203|offset_124|444444&amp;v=4136106:4136403&amp;c=444444", "offset 29")</f>
        <v>offset 29</v>
      </c>
    </row>
    <row r="13228" customFormat="false" ht="12.8" hidden="false" customHeight="false" outlineLevel="0" collapsed="false">
      <c r="A13228" s="0" t="s">
        <v>12</v>
      </c>
      <c r="B13228" s="0" t="n">
        <v>4136231</v>
      </c>
      <c r="C13228" s="0" t="n">
        <v>4136251</v>
      </c>
      <c r="D13228" s="0" t="s">
        <v>43932</v>
      </c>
      <c r="E13228" s="0" t="s">
        <v>75</v>
      </c>
      <c r="F13228" s="0" t="s">
        <v>90</v>
      </c>
      <c r="G13228" s="0" t="s">
        <v>32</v>
      </c>
      <c r="H13228" s="0" t="n">
        <v>76</v>
      </c>
      <c r="I13228" s="0" t="s">
        <v>43939</v>
      </c>
      <c r="J13228" s="0" t="s">
        <v>43940</v>
      </c>
      <c r="K13228" s="0" t="s">
        <v>43941</v>
      </c>
      <c r="L13228" s="0" t="str">
        <f aca="false">HYPERLINK("https://www.ncbi.nlm.nih.gov/nuccore/CP000058.1?report=graph&amp;tracks=[key:gene_model_track,Options:GeneOnly]&amp;mk=4136307:4136326|offset_1|444444,4136279:4136298|offset_29|444444,4136232:4136251|offset_76|00cc00,4136184:4136203|offset_124|444444&amp;v=4136106:4136403&amp;c=444444", "offset 76")</f>
        <v>offset 76</v>
      </c>
    </row>
    <row r="13229" customFormat="false" ht="12.8" hidden="false" customHeight="false" outlineLevel="0" collapsed="false">
      <c r="A13229" s="0" t="s">
        <v>12</v>
      </c>
      <c r="B13229" s="0" t="n">
        <v>4136183</v>
      </c>
      <c r="C13229" s="0" t="n">
        <v>4136203</v>
      </c>
      <c r="D13229" s="0" t="s">
        <v>43932</v>
      </c>
      <c r="E13229" s="0" t="s">
        <v>75</v>
      </c>
      <c r="F13229" s="0" t="s">
        <v>90</v>
      </c>
      <c r="G13229" s="0" t="s">
        <v>16</v>
      </c>
      <c r="H13229" s="0" t="n">
        <v>124</v>
      </c>
      <c r="I13229" s="0" t="s">
        <v>43942</v>
      </c>
      <c r="J13229" s="0" t="s">
        <v>43943</v>
      </c>
      <c r="K13229" s="0" t="s">
        <v>43944</v>
      </c>
      <c r="L13229" s="0" t="str">
        <f aca="false">HYPERLINK("https://www.ncbi.nlm.nih.gov/nuccore/CP000058.1?report=graph&amp;tracks=[key:gene_model_track,Options:GeneOnly]&amp;mk=4136307:4136326|offset_1|444444,4136279:4136298|offset_29|444444,4136232:4136251|offset_76|444444,4136184:4136203|offset_124|00cc00&amp;v=4136106:4136403&amp;c=444444", "offset 124")</f>
        <v>offset 124</v>
      </c>
    </row>
    <row r="13230" customFormat="false" ht="12.8" hidden="false" customHeight="false" outlineLevel="0" collapsed="false">
      <c r="A13230" s="0" t="s">
        <v>12</v>
      </c>
      <c r="B13230" s="0" t="n">
        <v>4137031</v>
      </c>
      <c r="C13230" s="0" t="n">
        <v>4137051</v>
      </c>
      <c r="D13230" s="0" t="s">
        <v>43945</v>
      </c>
      <c r="E13230" s="0" t="s">
        <v>75</v>
      </c>
      <c r="F13230" s="0" t="s">
        <v>90</v>
      </c>
      <c r="G13230" s="0" t="s">
        <v>32</v>
      </c>
      <c r="H13230" s="0" t="n">
        <v>34</v>
      </c>
      <c r="I13230" s="0" t="s">
        <v>43946</v>
      </c>
      <c r="J13230" s="0" t="s">
        <v>43947</v>
      </c>
      <c r="K13230" s="0" t="s">
        <v>43948</v>
      </c>
      <c r="L13230" s="0" t="str">
        <f aca="false">HYPERLINK("https://www.ncbi.nlm.nih.gov/nuccore/CP000058.1?report=graph&amp;tracks=[key:gene_model_track,Options:GeneOnly]&amp;mk=4137032:4137051|offset_34|00cc00,4137008:4137027|offset_58|444444,4136963:4136982|offset_103|444444,4136930:4136949|offset_136|444444&amp;v=4136831:4137149&amp;c=444444", "offset 34")</f>
        <v>offset 34</v>
      </c>
    </row>
    <row r="13231" customFormat="false" ht="12.8" hidden="false" customHeight="false" outlineLevel="0" collapsed="false">
      <c r="A13231" s="0" t="s">
        <v>12</v>
      </c>
      <c r="B13231" s="0" t="n">
        <v>4137007</v>
      </c>
      <c r="C13231" s="0" t="n">
        <v>4137027</v>
      </c>
      <c r="D13231" s="0" t="s">
        <v>43945</v>
      </c>
      <c r="E13231" s="0" t="s">
        <v>75</v>
      </c>
      <c r="F13231" s="0" t="s">
        <v>90</v>
      </c>
      <c r="G13231" s="0" t="s">
        <v>16</v>
      </c>
      <c r="H13231" s="0" t="n">
        <v>58</v>
      </c>
      <c r="I13231" s="0" t="s">
        <v>43949</v>
      </c>
      <c r="J13231" s="0" t="s">
        <v>43950</v>
      </c>
      <c r="K13231" s="0" t="s">
        <v>43951</v>
      </c>
      <c r="L13231" s="0" t="str">
        <f aca="false">HYPERLINK("https://www.ncbi.nlm.nih.gov/nuccore/CP000058.1?report=graph&amp;tracks=[key:gene_model_track,Options:GeneOnly]&amp;mk=4137032:4137051|offset_34|444444,4137008:4137027|offset_58|00cc00,4136963:4136982|offset_103|444444,4136930:4136949|offset_136|444444&amp;v=4136831:4137149&amp;c=444444", "offset 58")</f>
        <v>offset 58</v>
      </c>
    </row>
    <row r="13232" customFormat="false" ht="12.8" hidden="false" customHeight="false" outlineLevel="0" collapsed="false">
      <c r="A13232" s="0" t="s">
        <v>12</v>
      </c>
      <c r="B13232" s="0" t="n">
        <v>4136962</v>
      </c>
      <c r="C13232" s="0" t="n">
        <v>4136982</v>
      </c>
      <c r="D13232" s="0" t="s">
        <v>43945</v>
      </c>
      <c r="E13232" s="0" t="s">
        <v>75</v>
      </c>
      <c r="F13232" s="0" t="s">
        <v>90</v>
      </c>
      <c r="G13232" s="0" t="s">
        <v>32</v>
      </c>
      <c r="H13232" s="0" t="n">
        <v>103</v>
      </c>
      <c r="I13232" s="0" t="s">
        <v>43952</v>
      </c>
      <c r="J13232" s="0" t="s">
        <v>43953</v>
      </c>
      <c r="K13232" s="0" t="s">
        <v>43954</v>
      </c>
      <c r="L13232" s="0" t="str">
        <f aca="false">HYPERLINK("https://www.ncbi.nlm.nih.gov/nuccore/CP000058.1?report=graph&amp;tracks=[key:gene_model_track,Options:GeneOnly]&amp;mk=4137032:4137051|offset_34|444444,4137008:4137027|offset_58|444444,4136963:4136982|offset_103|00cc00,4136930:4136949|offset_136|444444&amp;v=4136831:4137149&amp;c=444444", "offset 103")</f>
        <v>offset 103</v>
      </c>
    </row>
    <row r="13233" customFormat="false" ht="12.8" hidden="false" customHeight="false" outlineLevel="0" collapsed="false">
      <c r="A13233" s="0" t="s">
        <v>12</v>
      </c>
      <c r="B13233" s="0" t="n">
        <v>4136929</v>
      </c>
      <c r="C13233" s="0" t="n">
        <v>4136949</v>
      </c>
      <c r="D13233" s="0" t="s">
        <v>43945</v>
      </c>
      <c r="E13233" s="0" t="s">
        <v>75</v>
      </c>
      <c r="F13233" s="0" t="s">
        <v>90</v>
      </c>
      <c r="G13233" s="0" t="s">
        <v>32</v>
      </c>
      <c r="H13233" s="0" t="n">
        <v>136</v>
      </c>
      <c r="I13233" s="0" t="s">
        <v>43955</v>
      </c>
      <c r="J13233" s="0" t="s">
        <v>43956</v>
      </c>
      <c r="K13233" s="0" t="s">
        <v>43957</v>
      </c>
      <c r="L13233" s="0" t="str">
        <f aca="false">HYPERLINK("https://www.ncbi.nlm.nih.gov/nuccore/CP000058.1?report=graph&amp;tracks=[key:gene_model_track,Options:GeneOnly]&amp;mk=4137032:4137051|offset_34|444444,4137008:4137027|offset_58|444444,4136963:4136982|offset_103|444444,4136930:4136949|offset_136|00cc00&amp;v=4136831:4137149&amp;c=444444", "offset 136")</f>
        <v>offset 136</v>
      </c>
    </row>
    <row r="13234" customFormat="false" ht="12.8" hidden="false" customHeight="false" outlineLevel="0" collapsed="false">
      <c r="A13234" s="0" t="s">
        <v>12</v>
      </c>
      <c r="B13234" s="0" t="n">
        <v>4137484</v>
      </c>
      <c r="C13234" s="0" t="n">
        <v>4137504</v>
      </c>
      <c r="D13234" s="0" t="s">
        <v>43958</v>
      </c>
      <c r="E13234" s="0" t="s">
        <v>75</v>
      </c>
      <c r="F13234" s="0" t="s">
        <v>90</v>
      </c>
      <c r="G13234" s="0" t="s">
        <v>36</v>
      </c>
      <c r="H13234" s="0" t="n">
        <v>34</v>
      </c>
      <c r="I13234" s="0" t="s">
        <v>43959</v>
      </c>
      <c r="J13234" s="0" t="s">
        <v>43960</v>
      </c>
      <c r="K13234" s="0" t="s">
        <v>43961</v>
      </c>
      <c r="L13234" s="0" t="str">
        <f aca="false">HYPERLINK("https://www.ncbi.nlm.nih.gov/nuccore/CP000058.1?report=graph&amp;tracks=[key:gene_model_track,Options:GeneOnly]&amp;mk=4137485:4137504|offset_34|00cc00,4137443:4137462|offset_76|444444,4137399:4137418|offset_120|444444,4137376:4137395|offset_143|444444&amp;v=4137284:4137595&amp;c=444444", "offset 34")</f>
        <v>offset 34</v>
      </c>
    </row>
    <row r="13235" customFormat="false" ht="12.8" hidden="false" customHeight="false" outlineLevel="0" collapsed="false">
      <c r="A13235" s="0" t="s">
        <v>12</v>
      </c>
      <c r="B13235" s="0" t="n">
        <v>4137442</v>
      </c>
      <c r="C13235" s="0" t="n">
        <v>4137462</v>
      </c>
      <c r="D13235" s="0" t="s">
        <v>43958</v>
      </c>
      <c r="E13235" s="0" t="s">
        <v>75</v>
      </c>
      <c r="F13235" s="0" t="s">
        <v>90</v>
      </c>
      <c r="G13235" s="0" t="s">
        <v>32</v>
      </c>
      <c r="H13235" s="0" t="n">
        <v>76</v>
      </c>
      <c r="I13235" s="0" t="s">
        <v>43962</v>
      </c>
      <c r="J13235" s="0" t="s">
        <v>43963</v>
      </c>
      <c r="K13235" s="0" t="s">
        <v>43964</v>
      </c>
      <c r="L13235" s="0" t="str">
        <f aca="false">HYPERLINK("https://www.ncbi.nlm.nih.gov/nuccore/CP000058.1?report=graph&amp;tracks=[key:gene_model_track,Options:GeneOnly]&amp;mk=4137485:4137504|offset_34|444444,4137443:4137462|offset_76|00cc00,4137399:4137418|offset_120|444444,4137376:4137395|offset_143|444444&amp;v=4137284:4137595&amp;c=444444", "offset 76")</f>
        <v>offset 76</v>
      </c>
    </row>
    <row r="13236" customFormat="false" ht="12.8" hidden="false" customHeight="false" outlineLevel="0" collapsed="false">
      <c r="A13236" s="0" t="s">
        <v>12</v>
      </c>
      <c r="B13236" s="0" t="n">
        <v>4137398</v>
      </c>
      <c r="C13236" s="0" t="n">
        <v>4137418</v>
      </c>
      <c r="D13236" s="0" t="s">
        <v>43958</v>
      </c>
      <c r="E13236" s="0" t="s">
        <v>75</v>
      </c>
      <c r="F13236" s="0" t="s">
        <v>90</v>
      </c>
      <c r="G13236" s="0" t="s">
        <v>16</v>
      </c>
      <c r="H13236" s="0" t="n">
        <v>120</v>
      </c>
      <c r="I13236" s="0" t="s">
        <v>43965</v>
      </c>
      <c r="J13236" s="0" t="s">
        <v>43966</v>
      </c>
      <c r="K13236" s="0" t="s">
        <v>43967</v>
      </c>
      <c r="L13236" s="0" t="str">
        <f aca="false">HYPERLINK("https://www.ncbi.nlm.nih.gov/nuccore/CP000058.1?report=graph&amp;tracks=[key:gene_model_track,Options:GeneOnly]&amp;mk=4137485:4137504|offset_34|444444,4137443:4137462|offset_76|444444,4137399:4137418|offset_120|00cc00,4137376:4137395|offset_143|444444&amp;v=4137284:4137595&amp;c=444444", "offset 120")</f>
        <v>offset 120</v>
      </c>
    </row>
    <row r="13237" customFormat="false" ht="12.8" hidden="false" customHeight="false" outlineLevel="0" collapsed="false">
      <c r="A13237" s="0" t="s">
        <v>12</v>
      </c>
      <c r="B13237" s="0" t="n">
        <v>4137375</v>
      </c>
      <c r="C13237" s="0" t="n">
        <v>4137395</v>
      </c>
      <c r="D13237" s="0" t="s">
        <v>43958</v>
      </c>
      <c r="E13237" s="0" t="s">
        <v>75</v>
      </c>
      <c r="F13237" s="0" t="s">
        <v>90</v>
      </c>
      <c r="G13237" s="0" t="s">
        <v>16</v>
      </c>
      <c r="H13237" s="0" t="n">
        <v>143</v>
      </c>
      <c r="I13237" s="0" t="s">
        <v>43968</v>
      </c>
      <c r="J13237" s="0" t="s">
        <v>43969</v>
      </c>
      <c r="K13237" s="0" t="s">
        <v>43970</v>
      </c>
      <c r="L13237" s="0" t="str">
        <f aca="false">HYPERLINK("https://www.ncbi.nlm.nih.gov/nuccore/CP000058.1?report=graph&amp;tracks=[key:gene_model_track,Options:GeneOnly]&amp;mk=4137485:4137504|offset_34|444444,4137443:4137462|offset_76|444444,4137399:4137418|offset_120|444444,4137376:4137395|offset_143|00cc00&amp;v=4137284:4137595&amp;c=444444", "offset 143")</f>
        <v>offset 143</v>
      </c>
    </row>
    <row r="13238" customFormat="false" ht="12.8" hidden="false" customHeight="false" outlineLevel="0" collapsed="false">
      <c r="A13238" s="0" t="s">
        <v>12</v>
      </c>
      <c r="B13238" s="0" t="n">
        <v>4138175</v>
      </c>
      <c r="C13238" s="0" t="n">
        <v>4138195</v>
      </c>
      <c r="D13238" s="0" t="s">
        <v>43971</v>
      </c>
      <c r="E13238" s="0" t="s">
        <v>75</v>
      </c>
      <c r="F13238" s="0" t="s">
        <v>90</v>
      </c>
      <c r="G13238" s="0" t="s">
        <v>32</v>
      </c>
      <c r="H13238" s="0" t="n">
        <v>22</v>
      </c>
      <c r="I13238" s="0" t="s">
        <v>43972</v>
      </c>
      <c r="J13238" s="0" t="s">
        <v>43973</v>
      </c>
      <c r="K13238" s="0" t="s">
        <v>43974</v>
      </c>
      <c r="L13238" s="0" t="str">
        <f aca="false">HYPERLINK("https://www.ncbi.nlm.nih.gov/nuccore/CP000058.1?report=graph&amp;tracks=[key:gene_model_track,Options:GeneOnly]&amp;mk=4138176:4138195|offset_22|00cc00,4138128:4138147|offset_70|444444,4138095:4138114|offset_103|444444,4138005:4138024|offset_193|444444&amp;v=4137975:4138224&amp;c=444444", "offset 22")</f>
        <v>offset 22</v>
      </c>
    </row>
    <row r="13239" customFormat="false" ht="12.8" hidden="false" customHeight="false" outlineLevel="0" collapsed="false">
      <c r="A13239" s="0" t="s">
        <v>12</v>
      </c>
      <c r="B13239" s="0" t="n">
        <v>4138127</v>
      </c>
      <c r="C13239" s="0" t="n">
        <v>4138147</v>
      </c>
      <c r="D13239" s="0" t="s">
        <v>43971</v>
      </c>
      <c r="E13239" s="0" t="s">
        <v>75</v>
      </c>
      <c r="F13239" s="0" t="s">
        <v>90</v>
      </c>
      <c r="G13239" s="0" t="s">
        <v>16</v>
      </c>
      <c r="H13239" s="0" t="n">
        <v>70</v>
      </c>
      <c r="I13239" s="0" t="s">
        <v>43975</v>
      </c>
      <c r="J13239" s="0" t="s">
        <v>43976</v>
      </c>
      <c r="K13239" s="0" t="s">
        <v>43977</v>
      </c>
      <c r="L13239" s="0" t="str">
        <f aca="false">HYPERLINK("https://www.ncbi.nlm.nih.gov/nuccore/CP000058.1?report=graph&amp;tracks=[key:gene_model_track,Options:GeneOnly]&amp;mk=4138176:4138195|offset_22|444444,4138128:4138147|offset_70|00cc00,4138095:4138114|offset_103|444444,4138005:4138024|offset_193|444444&amp;v=4137975:4138224&amp;c=444444", "offset 70")</f>
        <v>offset 70</v>
      </c>
    </row>
    <row r="13240" customFormat="false" ht="12.8" hidden="false" customHeight="false" outlineLevel="0" collapsed="false">
      <c r="A13240" s="0" t="s">
        <v>12</v>
      </c>
      <c r="B13240" s="0" t="n">
        <v>4138094</v>
      </c>
      <c r="C13240" s="0" t="n">
        <v>4138114</v>
      </c>
      <c r="D13240" s="0" t="s">
        <v>43971</v>
      </c>
      <c r="E13240" s="0" t="s">
        <v>75</v>
      </c>
      <c r="F13240" s="0" t="s">
        <v>90</v>
      </c>
      <c r="G13240" s="0" t="s">
        <v>16</v>
      </c>
      <c r="H13240" s="0" t="n">
        <v>103</v>
      </c>
      <c r="I13240" s="0" t="s">
        <v>43978</v>
      </c>
      <c r="J13240" s="0" t="s">
        <v>43979</v>
      </c>
      <c r="K13240" s="0" t="s">
        <v>43980</v>
      </c>
      <c r="L13240" s="0" t="str">
        <f aca="false">HYPERLINK("https://www.ncbi.nlm.nih.gov/nuccore/CP000058.1?report=graph&amp;tracks=[key:gene_model_track,Options:GeneOnly]&amp;mk=4138176:4138195|offset_22|444444,4138128:4138147|offset_70|444444,4138095:4138114|offset_103|00cc00,4138005:4138024|offset_193|444444&amp;v=4137975:4138224&amp;c=444444", "offset 103")</f>
        <v>offset 103</v>
      </c>
    </row>
    <row r="13241" customFormat="false" ht="12.8" hidden="false" customHeight="false" outlineLevel="0" collapsed="false">
      <c r="A13241" s="0" t="s">
        <v>12</v>
      </c>
      <c r="B13241" s="0" t="n">
        <v>4138004</v>
      </c>
      <c r="C13241" s="0" t="n">
        <v>4138024</v>
      </c>
      <c r="D13241" s="0" t="s">
        <v>43971</v>
      </c>
      <c r="E13241" s="0" t="s">
        <v>75</v>
      </c>
      <c r="F13241" s="0" t="s">
        <v>90</v>
      </c>
      <c r="G13241" s="0" t="s">
        <v>16</v>
      </c>
      <c r="H13241" s="0" t="n">
        <v>193</v>
      </c>
      <c r="I13241" s="0" t="s">
        <v>43981</v>
      </c>
      <c r="J13241" s="0" t="s">
        <v>43982</v>
      </c>
      <c r="K13241" s="0" t="s">
        <v>43983</v>
      </c>
      <c r="L13241" s="0" t="str">
        <f aca="false">HYPERLINK("https://www.ncbi.nlm.nih.gov/nuccore/CP000058.1?report=graph&amp;tracks=[key:gene_model_track,Options:GeneOnly]&amp;mk=4138176:4138195|offset_22|444444,4138128:4138147|offset_70|444444,4138095:4138114|offset_103|444444,4138005:4138024|offset_193|00cc00&amp;v=4137975:4138224&amp;c=444444", "offset 193")</f>
        <v>offset 193</v>
      </c>
    </row>
    <row r="13242" customFormat="false" ht="12.8" hidden="false" customHeight="false" outlineLevel="0" collapsed="false">
      <c r="A13242" s="0" t="s">
        <v>12</v>
      </c>
      <c r="B13242" s="0" t="n">
        <v>4138819</v>
      </c>
      <c r="C13242" s="0" t="n">
        <v>4138839</v>
      </c>
      <c r="D13242" s="0" t="s">
        <v>43984</v>
      </c>
      <c r="E13242" s="0" t="s">
        <v>75</v>
      </c>
      <c r="F13242" s="0" t="s">
        <v>90</v>
      </c>
      <c r="G13242" s="0" t="s">
        <v>32</v>
      </c>
      <c r="H13242" s="0" t="n">
        <v>13</v>
      </c>
      <c r="I13242" s="0" t="s">
        <v>43985</v>
      </c>
      <c r="J13242" s="0" t="s">
        <v>43986</v>
      </c>
      <c r="K13242" s="0" t="s">
        <v>43987</v>
      </c>
      <c r="L13242" s="0" t="str">
        <f aca="false">HYPERLINK("https://www.ncbi.nlm.nih.gov/nuccore/CP000058.1?report=graph&amp;tracks=[key:gene_model_track,Options:GeneOnly]&amp;mk=4138820:4138839|offset_13|00cc00,4138796:4138815|offset_37|444444,4138751:4138770|offset_82|444444,4138719:4138738|offset_114|444444&amp;v=4138619:4138938&amp;c=444444", "offset 13")</f>
        <v>offset 13</v>
      </c>
    </row>
    <row r="13243" customFormat="false" ht="12.8" hidden="false" customHeight="false" outlineLevel="0" collapsed="false">
      <c r="A13243" s="0" t="s">
        <v>12</v>
      </c>
      <c r="B13243" s="0" t="n">
        <v>4138795</v>
      </c>
      <c r="C13243" s="0" t="n">
        <v>4138815</v>
      </c>
      <c r="D13243" s="0" t="s">
        <v>43984</v>
      </c>
      <c r="E13243" s="0" t="s">
        <v>75</v>
      </c>
      <c r="F13243" s="0" t="s">
        <v>90</v>
      </c>
      <c r="G13243" s="0" t="s">
        <v>36</v>
      </c>
      <c r="H13243" s="0" t="n">
        <v>37</v>
      </c>
      <c r="I13243" s="0" t="s">
        <v>43988</v>
      </c>
      <c r="J13243" s="0" t="s">
        <v>43989</v>
      </c>
      <c r="K13243" s="0" t="s">
        <v>43990</v>
      </c>
      <c r="L13243" s="0" t="str">
        <f aca="false">HYPERLINK("https://www.ncbi.nlm.nih.gov/nuccore/CP000058.1?report=graph&amp;tracks=[key:gene_model_track,Options:GeneOnly]&amp;mk=4138820:4138839|offset_13|444444,4138796:4138815|offset_37|00cc00,4138751:4138770|offset_82|444444,4138719:4138738|offset_114|444444&amp;v=4138619:4138938&amp;c=444444", "offset 37")</f>
        <v>offset 37</v>
      </c>
    </row>
    <row r="13244" customFormat="false" ht="12.8" hidden="false" customHeight="false" outlineLevel="0" collapsed="false">
      <c r="A13244" s="0" t="s">
        <v>12</v>
      </c>
      <c r="B13244" s="0" t="n">
        <v>4138750</v>
      </c>
      <c r="C13244" s="0" t="n">
        <v>4138770</v>
      </c>
      <c r="D13244" s="0" t="s">
        <v>43984</v>
      </c>
      <c r="E13244" s="0" t="s">
        <v>75</v>
      </c>
      <c r="F13244" s="0" t="s">
        <v>90</v>
      </c>
      <c r="G13244" s="0" t="s">
        <v>16</v>
      </c>
      <c r="H13244" s="0" t="n">
        <v>82</v>
      </c>
      <c r="I13244" s="0" t="s">
        <v>43991</v>
      </c>
      <c r="J13244" s="0" t="s">
        <v>43992</v>
      </c>
      <c r="K13244" s="0" t="s">
        <v>43993</v>
      </c>
      <c r="L13244" s="0" t="str">
        <f aca="false">HYPERLINK("https://www.ncbi.nlm.nih.gov/nuccore/CP000058.1?report=graph&amp;tracks=[key:gene_model_track,Options:GeneOnly]&amp;mk=4138820:4138839|offset_13|444444,4138796:4138815|offset_37|444444,4138751:4138770|offset_82|00cc00,4138719:4138738|offset_114|444444&amp;v=4138619:4138938&amp;c=444444", "offset 82")</f>
        <v>offset 82</v>
      </c>
    </row>
    <row r="13245" customFormat="false" ht="12.8" hidden="false" customHeight="false" outlineLevel="0" collapsed="false">
      <c r="A13245" s="0" t="s">
        <v>12</v>
      </c>
      <c r="B13245" s="0" t="n">
        <v>4138718</v>
      </c>
      <c r="C13245" s="0" t="n">
        <v>4138738</v>
      </c>
      <c r="D13245" s="0" t="s">
        <v>43984</v>
      </c>
      <c r="E13245" s="0" t="s">
        <v>75</v>
      </c>
      <c r="F13245" s="0" t="s">
        <v>90</v>
      </c>
      <c r="G13245" s="0" t="s">
        <v>16</v>
      </c>
      <c r="H13245" s="0" t="n">
        <v>114</v>
      </c>
      <c r="I13245" s="0" t="s">
        <v>43994</v>
      </c>
      <c r="J13245" s="0" t="s">
        <v>43995</v>
      </c>
      <c r="K13245" s="0" t="s">
        <v>43996</v>
      </c>
      <c r="L13245" s="0" t="str">
        <f aca="false">HYPERLINK("https://www.ncbi.nlm.nih.gov/nuccore/CP000058.1?report=graph&amp;tracks=[key:gene_model_track,Options:GeneOnly]&amp;mk=4138820:4138839|offset_13|444444,4138796:4138815|offset_37|444444,4138751:4138770|offset_82|444444,4138719:4138738|offset_114|00cc00&amp;v=4138619:4138938&amp;c=444444", "offset 114")</f>
        <v>offset 114</v>
      </c>
    </row>
    <row r="13246" customFormat="false" ht="12.8" hidden="false" customHeight="false" outlineLevel="0" collapsed="false">
      <c r="A13246" s="0" t="s">
        <v>12</v>
      </c>
      <c r="B13246" s="0" t="n">
        <v>4139536</v>
      </c>
      <c r="C13246" s="0" t="n">
        <v>4139556</v>
      </c>
      <c r="D13246" s="0" t="s">
        <v>43997</v>
      </c>
      <c r="E13246" s="0" t="s">
        <v>75</v>
      </c>
      <c r="F13246" s="0" t="s">
        <v>90</v>
      </c>
      <c r="G13246" s="0" t="s">
        <v>16</v>
      </c>
      <c r="H13246" s="0" t="n">
        <v>34</v>
      </c>
      <c r="I13246" s="0" t="s">
        <v>43998</v>
      </c>
      <c r="J13246" s="0" t="s">
        <v>43999</v>
      </c>
      <c r="K13246" s="0" t="s">
        <v>44000</v>
      </c>
      <c r="L13246" s="0" t="str">
        <f aca="false">HYPERLINK("https://www.ncbi.nlm.nih.gov/nuccore/CP000058.1?report=graph&amp;tracks=[key:gene_model_track,Options:GeneOnly]&amp;mk=4139537:4139556|offset_34|00cc00,4139516:4139535|offset_55|444444,4139495:4139514|offset_76|444444,4139450:4139469|offset_121|444444&amp;v=4139336:4139669&amp;c=444444", "offset 34")</f>
        <v>offset 34</v>
      </c>
    </row>
    <row r="13247" customFormat="false" ht="12.8" hidden="false" customHeight="false" outlineLevel="0" collapsed="false">
      <c r="A13247" s="0" t="s">
        <v>12</v>
      </c>
      <c r="B13247" s="0" t="n">
        <v>4139515</v>
      </c>
      <c r="C13247" s="0" t="n">
        <v>4139535</v>
      </c>
      <c r="D13247" s="0" t="s">
        <v>43997</v>
      </c>
      <c r="E13247" s="0" t="s">
        <v>75</v>
      </c>
      <c r="F13247" s="0" t="s">
        <v>90</v>
      </c>
      <c r="G13247" s="0" t="s">
        <v>16</v>
      </c>
      <c r="H13247" s="0" t="n">
        <v>55</v>
      </c>
      <c r="I13247" s="0" t="s">
        <v>44001</v>
      </c>
      <c r="J13247" s="0" t="s">
        <v>44002</v>
      </c>
      <c r="K13247" s="0" t="s">
        <v>44003</v>
      </c>
      <c r="L13247" s="0" t="str">
        <f aca="false">HYPERLINK("https://www.ncbi.nlm.nih.gov/nuccore/CP000058.1?report=graph&amp;tracks=[key:gene_model_track,Options:GeneOnly]&amp;mk=4139537:4139556|offset_34|444444,4139516:4139535|offset_55|00cc00,4139495:4139514|offset_76|444444,4139450:4139469|offset_121|444444&amp;v=4139336:4139669&amp;c=444444", "offset 55")</f>
        <v>offset 55</v>
      </c>
    </row>
    <row r="13248" customFormat="false" ht="12.8" hidden="false" customHeight="false" outlineLevel="0" collapsed="false">
      <c r="A13248" s="0" t="s">
        <v>12</v>
      </c>
      <c r="B13248" s="0" t="n">
        <v>4139494</v>
      </c>
      <c r="C13248" s="0" t="n">
        <v>4139514</v>
      </c>
      <c r="D13248" s="0" t="s">
        <v>43997</v>
      </c>
      <c r="E13248" s="0" t="s">
        <v>75</v>
      </c>
      <c r="F13248" s="0" t="s">
        <v>90</v>
      </c>
      <c r="G13248" s="0" t="s">
        <v>16</v>
      </c>
      <c r="H13248" s="0" t="n">
        <v>76</v>
      </c>
      <c r="I13248" s="0" t="s">
        <v>44004</v>
      </c>
      <c r="J13248" s="0" t="s">
        <v>44005</v>
      </c>
      <c r="K13248" s="0" t="s">
        <v>44006</v>
      </c>
      <c r="L13248" s="0" t="str">
        <f aca="false">HYPERLINK("https://www.ncbi.nlm.nih.gov/nuccore/CP000058.1?report=graph&amp;tracks=[key:gene_model_track,Options:GeneOnly]&amp;mk=4139537:4139556|offset_34|444444,4139516:4139535|offset_55|444444,4139495:4139514|offset_76|00cc00,4139450:4139469|offset_121|444444&amp;v=4139336:4139669&amp;c=444444", "offset 76")</f>
        <v>offset 76</v>
      </c>
    </row>
    <row r="13249" customFormat="false" ht="12.8" hidden="false" customHeight="false" outlineLevel="0" collapsed="false">
      <c r="A13249" s="0" t="s">
        <v>12</v>
      </c>
      <c r="B13249" s="0" t="n">
        <v>4139449</v>
      </c>
      <c r="C13249" s="0" t="n">
        <v>4139469</v>
      </c>
      <c r="D13249" s="0" t="s">
        <v>43997</v>
      </c>
      <c r="E13249" s="0" t="s">
        <v>75</v>
      </c>
      <c r="F13249" s="0" t="s">
        <v>90</v>
      </c>
      <c r="G13249" s="0" t="s">
        <v>16</v>
      </c>
      <c r="H13249" s="0" t="n">
        <v>121</v>
      </c>
      <c r="I13249" s="0" t="s">
        <v>44007</v>
      </c>
      <c r="J13249" s="0" t="s">
        <v>44008</v>
      </c>
      <c r="K13249" s="0" t="s">
        <v>44009</v>
      </c>
      <c r="L13249" s="0" t="str">
        <f aca="false">HYPERLINK("https://www.ncbi.nlm.nih.gov/nuccore/CP000058.1?report=graph&amp;tracks=[key:gene_model_track,Options:GeneOnly]&amp;mk=4139537:4139556|offset_34|444444,4139516:4139535|offset_55|444444,4139495:4139514|offset_76|444444,4139450:4139469|offset_121|00cc00&amp;v=4139336:4139669&amp;c=444444", "offset 121")</f>
        <v>offset 121</v>
      </c>
    </row>
    <row r="13250" customFormat="false" ht="12.8" hidden="false" customHeight="false" outlineLevel="0" collapsed="false">
      <c r="A13250" s="0" t="s">
        <v>12</v>
      </c>
      <c r="B13250" s="0" t="n">
        <v>4140250</v>
      </c>
      <c r="C13250" s="0" t="n">
        <v>4140270</v>
      </c>
      <c r="D13250" s="0" t="s">
        <v>44010</v>
      </c>
      <c r="E13250" s="0" t="s">
        <v>75</v>
      </c>
      <c r="F13250" s="0" t="s">
        <v>90</v>
      </c>
      <c r="G13250" s="0" t="s">
        <v>32</v>
      </c>
      <c r="H13250" s="0" t="n">
        <v>0</v>
      </c>
      <c r="I13250" s="0" t="s">
        <v>44011</v>
      </c>
      <c r="J13250" s="0" t="s">
        <v>44012</v>
      </c>
      <c r="K13250" s="0" t="s">
        <v>44013</v>
      </c>
      <c r="L13250" s="0" t="str">
        <f aca="false">HYPERLINK("https://www.ncbi.nlm.nih.gov/nuccore/CP000058.1?report=graph&amp;tracks=[key:gene_model_track,Options:GeneOnly]&amp;mk=4140251:4140270|offset_0|00cc00,4140213:4140232|offset_38|444444,4140190:4140209|offset_61|444444,4140120:4140139|offset_131|444444&amp;v=4140050:4140339&amp;c=444444", "offset 0")</f>
        <v>offset 0</v>
      </c>
    </row>
    <row r="13251" customFormat="false" ht="12.8" hidden="false" customHeight="false" outlineLevel="0" collapsed="false">
      <c r="A13251" s="0" t="s">
        <v>12</v>
      </c>
      <c r="B13251" s="0" t="n">
        <v>4140212</v>
      </c>
      <c r="C13251" s="0" t="n">
        <v>4140232</v>
      </c>
      <c r="D13251" s="0" t="s">
        <v>44010</v>
      </c>
      <c r="E13251" s="0" t="s">
        <v>75</v>
      </c>
      <c r="F13251" s="0" t="s">
        <v>90</v>
      </c>
      <c r="G13251" s="0" t="s">
        <v>36</v>
      </c>
      <c r="H13251" s="0" t="n">
        <v>38</v>
      </c>
      <c r="I13251" s="0" t="s">
        <v>44014</v>
      </c>
      <c r="J13251" s="0" t="s">
        <v>44015</v>
      </c>
      <c r="K13251" s="0" t="s">
        <v>44016</v>
      </c>
      <c r="L13251" s="0" t="str">
        <f aca="false">HYPERLINK("https://www.ncbi.nlm.nih.gov/nuccore/CP000058.1?report=graph&amp;tracks=[key:gene_model_track,Options:GeneOnly]&amp;mk=4140251:4140270|offset_0|444444,4140213:4140232|offset_38|00cc00,4140190:4140209|offset_61|444444,4140120:4140139|offset_131|444444&amp;v=4140050:4140339&amp;c=444444", "offset 38")</f>
        <v>offset 38</v>
      </c>
    </row>
    <row r="13252" customFormat="false" ht="12.8" hidden="false" customHeight="false" outlineLevel="0" collapsed="false">
      <c r="A13252" s="0" t="s">
        <v>12</v>
      </c>
      <c r="B13252" s="0" t="n">
        <v>4140189</v>
      </c>
      <c r="C13252" s="0" t="n">
        <v>4140209</v>
      </c>
      <c r="D13252" s="0" t="s">
        <v>44010</v>
      </c>
      <c r="E13252" s="0" t="s">
        <v>75</v>
      </c>
      <c r="F13252" s="0" t="s">
        <v>90</v>
      </c>
      <c r="G13252" s="0" t="s">
        <v>32</v>
      </c>
      <c r="H13252" s="0" t="n">
        <v>61</v>
      </c>
      <c r="I13252" s="0" t="s">
        <v>44017</v>
      </c>
      <c r="J13252" s="0" t="s">
        <v>44018</v>
      </c>
      <c r="K13252" s="0" t="s">
        <v>44019</v>
      </c>
      <c r="L13252" s="0" t="str">
        <f aca="false">HYPERLINK("https://www.ncbi.nlm.nih.gov/nuccore/CP000058.1?report=graph&amp;tracks=[key:gene_model_track,Options:GeneOnly]&amp;mk=4140251:4140270|offset_0|444444,4140213:4140232|offset_38|444444,4140190:4140209|offset_61|00cc00,4140120:4140139|offset_131|444444&amp;v=4140050:4140339&amp;c=444444", "offset 61")</f>
        <v>offset 61</v>
      </c>
    </row>
    <row r="13253" customFormat="false" ht="12.8" hidden="false" customHeight="false" outlineLevel="0" collapsed="false">
      <c r="A13253" s="0" t="s">
        <v>12</v>
      </c>
      <c r="B13253" s="0" t="n">
        <v>4140119</v>
      </c>
      <c r="C13253" s="0" t="n">
        <v>4140139</v>
      </c>
      <c r="D13253" s="0" t="s">
        <v>44010</v>
      </c>
      <c r="E13253" s="0" t="s">
        <v>75</v>
      </c>
      <c r="F13253" s="0" t="s">
        <v>90</v>
      </c>
      <c r="G13253" s="0" t="s">
        <v>16</v>
      </c>
      <c r="H13253" s="0" t="n">
        <v>131</v>
      </c>
      <c r="I13253" s="0" t="s">
        <v>44020</v>
      </c>
      <c r="J13253" s="0" t="s">
        <v>44021</v>
      </c>
      <c r="K13253" s="0" t="s">
        <v>44022</v>
      </c>
      <c r="L13253" s="0" t="str">
        <f aca="false">HYPERLINK("https://www.ncbi.nlm.nih.gov/nuccore/CP000058.1?report=graph&amp;tracks=[key:gene_model_track,Options:GeneOnly]&amp;mk=4140251:4140270|offset_0|444444,4140213:4140232|offset_38|444444,4140190:4140209|offset_61|444444,4140120:4140139|offset_131|00cc00&amp;v=4140050:4140339&amp;c=444444", "offset 131")</f>
        <v>offset 131</v>
      </c>
    </row>
    <row r="13254" customFormat="false" ht="12.8" hidden="false" customHeight="false" outlineLevel="0" collapsed="false">
      <c r="A13254" s="0" t="s">
        <v>12</v>
      </c>
      <c r="B13254" s="0" t="n">
        <v>4143266</v>
      </c>
      <c r="C13254" s="0" t="n">
        <v>4143286</v>
      </c>
      <c r="D13254" s="0" t="s">
        <v>44023</v>
      </c>
      <c r="E13254" s="0" t="s">
        <v>44024</v>
      </c>
      <c r="F13254" s="0" t="s">
        <v>90</v>
      </c>
      <c r="G13254" s="0" t="s">
        <v>16</v>
      </c>
      <c r="H13254" s="0" t="n">
        <v>10</v>
      </c>
      <c r="I13254" s="0" t="s">
        <v>44025</v>
      </c>
      <c r="J13254" s="0" t="s">
        <v>44026</v>
      </c>
      <c r="K13254" s="0" t="s">
        <v>44027</v>
      </c>
      <c r="L13254" s="0" t="str">
        <f aca="false">HYPERLINK("https://www.ncbi.nlm.nih.gov/nuccore/CP000058.1?report=graph&amp;tracks=[key:gene_model_track,Options:GeneOnly]&amp;mk=4143267:4143286|offset_10|00cc00,4143245:4143264|offset_32|444444,4143225:4143244|offset_52|444444,4143200:4143219|offset_77|444444&amp;v=4143066:4143419&amp;c=444444", "offset 10")</f>
        <v>offset 10</v>
      </c>
    </row>
    <row r="13255" customFormat="false" ht="12.8" hidden="false" customHeight="false" outlineLevel="0" collapsed="false">
      <c r="A13255" s="0" t="s">
        <v>12</v>
      </c>
      <c r="B13255" s="0" t="n">
        <v>4143244</v>
      </c>
      <c r="C13255" s="0" t="n">
        <v>4143264</v>
      </c>
      <c r="D13255" s="0" t="s">
        <v>44023</v>
      </c>
      <c r="E13255" s="0" t="s">
        <v>44024</v>
      </c>
      <c r="F13255" s="0" t="s">
        <v>90</v>
      </c>
      <c r="G13255" s="0" t="s">
        <v>20</v>
      </c>
      <c r="H13255" s="0" t="n">
        <v>32</v>
      </c>
      <c r="I13255" s="0" t="s">
        <v>44028</v>
      </c>
      <c r="J13255" s="0" t="s">
        <v>44029</v>
      </c>
      <c r="K13255" s="0" t="s">
        <v>44030</v>
      </c>
      <c r="L13255" s="0" t="str">
        <f aca="false">HYPERLINK("https://www.ncbi.nlm.nih.gov/nuccore/CP000058.1?report=graph&amp;tracks=[key:gene_model_track,Options:GeneOnly]&amp;mk=4143267:4143286|offset_10|444444,4143245:4143264|offset_32|00cc00,4143225:4143244|offset_52|444444,4143200:4143219|offset_77|444444&amp;v=4143066:4143419&amp;c=444444", "offset 32")</f>
        <v>offset 32</v>
      </c>
    </row>
    <row r="13256" customFormat="false" ht="12.8" hidden="false" customHeight="false" outlineLevel="0" collapsed="false">
      <c r="A13256" s="0" t="s">
        <v>12</v>
      </c>
      <c r="B13256" s="0" t="n">
        <v>4143224</v>
      </c>
      <c r="C13256" s="0" t="n">
        <v>4143244</v>
      </c>
      <c r="D13256" s="0" t="s">
        <v>44023</v>
      </c>
      <c r="E13256" s="0" t="s">
        <v>44024</v>
      </c>
      <c r="F13256" s="0" t="s">
        <v>90</v>
      </c>
      <c r="G13256" s="0" t="s">
        <v>16</v>
      </c>
      <c r="H13256" s="0" t="n">
        <v>52</v>
      </c>
      <c r="I13256" s="0" t="s">
        <v>44031</v>
      </c>
      <c r="J13256" s="0" t="s">
        <v>44032</v>
      </c>
      <c r="K13256" s="0" t="s">
        <v>44033</v>
      </c>
      <c r="L13256" s="0" t="str">
        <f aca="false">HYPERLINK("https://www.ncbi.nlm.nih.gov/nuccore/CP000058.1?report=graph&amp;tracks=[key:gene_model_track,Options:GeneOnly]&amp;mk=4143267:4143286|offset_10|444444,4143245:4143264|offset_32|444444,4143225:4143244|offset_52|00cc00,4143200:4143219|offset_77|444444&amp;v=4143066:4143419&amp;c=444444", "offset 52")</f>
        <v>offset 52</v>
      </c>
    </row>
    <row r="13257" customFormat="false" ht="12.8" hidden="false" customHeight="false" outlineLevel="0" collapsed="false">
      <c r="A13257" s="0" t="s">
        <v>12</v>
      </c>
      <c r="B13257" s="0" t="n">
        <v>4143199</v>
      </c>
      <c r="C13257" s="0" t="n">
        <v>4143219</v>
      </c>
      <c r="D13257" s="0" t="s">
        <v>44023</v>
      </c>
      <c r="E13257" s="0" t="s">
        <v>44024</v>
      </c>
      <c r="F13257" s="0" t="s">
        <v>90</v>
      </c>
      <c r="G13257" s="0" t="s">
        <v>20</v>
      </c>
      <c r="H13257" s="0" t="n">
        <v>77</v>
      </c>
      <c r="I13257" s="0" t="s">
        <v>44034</v>
      </c>
      <c r="J13257" s="0" t="s">
        <v>44035</v>
      </c>
      <c r="K13257" s="0" t="s">
        <v>44036</v>
      </c>
      <c r="L13257" s="0" t="str">
        <f aca="false">HYPERLINK("https://www.ncbi.nlm.nih.gov/nuccore/CP000058.1?report=graph&amp;tracks=[key:gene_model_track,Options:GeneOnly]&amp;mk=4143267:4143286|offset_10|444444,4143245:4143264|offset_32|444444,4143225:4143244|offset_52|444444,4143200:4143219|offset_77|00cc00&amp;v=4143066:4143419&amp;c=444444", "offset 77")</f>
        <v>offset 77</v>
      </c>
    </row>
    <row r="13258" customFormat="false" ht="12.8" hidden="false" customHeight="false" outlineLevel="0" collapsed="false">
      <c r="A13258" s="0" t="s">
        <v>12</v>
      </c>
      <c r="B13258" s="0" t="n">
        <v>4144039</v>
      </c>
      <c r="C13258" s="0" t="n">
        <v>4144059</v>
      </c>
      <c r="D13258" s="0" t="s">
        <v>44037</v>
      </c>
      <c r="E13258" s="0" t="s">
        <v>75</v>
      </c>
      <c r="F13258" s="0" t="s">
        <v>90</v>
      </c>
      <c r="G13258" s="0" t="s">
        <v>20</v>
      </c>
      <c r="H13258" s="0" t="n">
        <v>50</v>
      </c>
      <c r="I13258" s="0" t="s">
        <v>44038</v>
      </c>
      <c r="J13258" s="0" t="s">
        <v>44039</v>
      </c>
      <c r="K13258" s="0" t="s">
        <v>44040</v>
      </c>
      <c r="L13258" s="0" t="str">
        <f aca="false">HYPERLINK("https://www.ncbi.nlm.nih.gov/nuccore/CP000058.1?report=graph&amp;tracks=[key:gene_model_track,Options:GeneOnly]&amp;mk=4144040:4144059|offset_50|00cc00,4144013:4144032|offset_77|444444,4143972:4143991|offset_118|444444,4143942:4143961|offset_148|444444&amp;v=4143839:4144161&amp;c=444444", "offset 50")</f>
        <v>offset 50</v>
      </c>
    </row>
    <row r="13259" customFormat="false" ht="12.8" hidden="false" customHeight="false" outlineLevel="0" collapsed="false">
      <c r="A13259" s="0" t="s">
        <v>12</v>
      </c>
      <c r="B13259" s="0" t="n">
        <v>4144012</v>
      </c>
      <c r="C13259" s="0" t="n">
        <v>4144032</v>
      </c>
      <c r="D13259" s="0" t="s">
        <v>44037</v>
      </c>
      <c r="E13259" s="0" t="s">
        <v>75</v>
      </c>
      <c r="F13259" s="0" t="s">
        <v>90</v>
      </c>
      <c r="G13259" s="0" t="s">
        <v>36</v>
      </c>
      <c r="H13259" s="0" t="n">
        <v>77</v>
      </c>
      <c r="I13259" s="0" t="s">
        <v>44041</v>
      </c>
      <c r="J13259" s="0" t="s">
        <v>44042</v>
      </c>
      <c r="K13259" s="0" t="s">
        <v>44043</v>
      </c>
      <c r="L13259" s="0" t="str">
        <f aca="false">HYPERLINK("https://www.ncbi.nlm.nih.gov/nuccore/CP000058.1?report=graph&amp;tracks=[key:gene_model_track,Options:GeneOnly]&amp;mk=4144040:4144059|offset_50|444444,4144013:4144032|offset_77|00cc00,4143972:4143991|offset_118|444444,4143942:4143961|offset_148|444444&amp;v=4143839:4144161&amp;c=444444", "offset 77")</f>
        <v>offset 77</v>
      </c>
    </row>
    <row r="13260" customFormat="false" ht="12.8" hidden="false" customHeight="false" outlineLevel="0" collapsed="false">
      <c r="A13260" s="0" t="s">
        <v>12</v>
      </c>
      <c r="B13260" s="0" t="n">
        <v>4143971</v>
      </c>
      <c r="C13260" s="0" t="n">
        <v>4143991</v>
      </c>
      <c r="D13260" s="0" t="s">
        <v>44037</v>
      </c>
      <c r="E13260" s="0" t="s">
        <v>75</v>
      </c>
      <c r="F13260" s="0" t="s">
        <v>90</v>
      </c>
      <c r="G13260" s="0" t="s">
        <v>32</v>
      </c>
      <c r="H13260" s="0" t="n">
        <v>118</v>
      </c>
      <c r="I13260" s="0" t="s">
        <v>44044</v>
      </c>
      <c r="J13260" s="0" t="s">
        <v>44045</v>
      </c>
      <c r="K13260" s="0" t="s">
        <v>44046</v>
      </c>
      <c r="L13260" s="0" t="str">
        <f aca="false">HYPERLINK("https://www.ncbi.nlm.nih.gov/nuccore/CP000058.1?report=graph&amp;tracks=[key:gene_model_track,Options:GeneOnly]&amp;mk=4144040:4144059|offset_50|444444,4144013:4144032|offset_77|444444,4143972:4143991|offset_118|00cc00,4143942:4143961|offset_148|444444&amp;v=4143839:4144161&amp;c=444444", "offset 118")</f>
        <v>offset 118</v>
      </c>
    </row>
    <row r="13261" customFormat="false" ht="12.8" hidden="false" customHeight="false" outlineLevel="0" collapsed="false">
      <c r="A13261" s="0" t="s">
        <v>12</v>
      </c>
      <c r="B13261" s="0" t="n">
        <v>4143941</v>
      </c>
      <c r="C13261" s="0" t="n">
        <v>4143961</v>
      </c>
      <c r="D13261" s="0" t="s">
        <v>44037</v>
      </c>
      <c r="E13261" s="0" t="s">
        <v>75</v>
      </c>
      <c r="F13261" s="0" t="s">
        <v>90</v>
      </c>
      <c r="G13261" s="0" t="s">
        <v>32</v>
      </c>
      <c r="H13261" s="0" t="n">
        <v>148</v>
      </c>
      <c r="I13261" s="0" t="s">
        <v>44047</v>
      </c>
      <c r="J13261" s="0" t="s">
        <v>44048</v>
      </c>
      <c r="K13261" s="0" t="s">
        <v>44049</v>
      </c>
      <c r="L13261" s="0" t="str">
        <f aca="false">HYPERLINK("https://www.ncbi.nlm.nih.gov/nuccore/CP000058.1?report=graph&amp;tracks=[key:gene_model_track,Options:GeneOnly]&amp;mk=4144040:4144059|offset_50|444444,4144013:4144032|offset_77|444444,4143972:4143991|offset_118|444444,4143942:4143961|offset_148|00cc00&amp;v=4143839:4144161&amp;c=444444", "offset 148")</f>
        <v>offset 148</v>
      </c>
    </row>
    <row r="13262" customFormat="false" ht="12.8" hidden="false" customHeight="false" outlineLevel="0" collapsed="false">
      <c r="A13262" s="0" t="s">
        <v>12</v>
      </c>
      <c r="B13262" s="0" t="n">
        <v>4144378</v>
      </c>
      <c r="C13262" s="0" t="n">
        <v>4144398</v>
      </c>
      <c r="D13262" s="0" t="s">
        <v>44050</v>
      </c>
      <c r="E13262" s="0" t="s">
        <v>75</v>
      </c>
      <c r="F13262" s="0" t="s">
        <v>90</v>
      </c>
      <c r="G13262" s="0" t="s">
        <v>32</v>
      </c>
      <c r="H13262" s="0" t="n">
        <v>1</v>
      </c>
      <c r="I13262" s="0" t="s">
        <v>44051</v>
      </c>
      <c r="J13262" s="0" t="s">
        <v>44052</v>
      </c>
      <c r="K13262" s="0" t="s">
        <v>44053</v>
      </c>
      <c r="L13262" s="0" t="str">
        <f aca="false">HYPERLINK("https://www.ncbi.nlm.nih.gov/nuccore/CP000058.1?report=graph&amp;tracks=[key:gene_model_track,Options:GeneOnly]&amp;mk=4144379:4144398|offset_1|00cc00,4144343:4144362|offset_37|444444,4144313:4144332|offset_67|444444,4144292:4144311|offset_88|444444&amp;v=4144178:4144511&amp;c=444444", "offset 1")</f>
        <v>offset 1</v>
      </c>
    </row>
    <row r="13263" customFormat="false" ht="12.8" hidden="false" customHeight="false" outlineLevel="0" collapsed="false">
      <c r="A13263" s="0" t="s">
        <v>12</v>
      </c>
      <c r="B13263" s="0" t="n">
        <v>4144342</v>
      </c>
      <c r="C13263" s="0" t="n">
        <v>4144362</v>
      </c>
      <c r="D13263" s="0" t="s">
        <v>44050</v>
      </c>
      <c r="E13263" s="0" t="s">
        <v>75</v>
      </c>
      <c r="F13263" s="0" t="s">
        <v>90</v>
      </c>
      <c r="G13263" s="0" t="s">
        <v>36</v>
      </c>
      <c r="H13263" s="0" t="n">
        <v>37</v>
      </c>
      <c r="I13263" s="0" t="s">
        <v>44054</v>
      </c>
      <c r="J13263" s="0" t="s">
        <v>44055</v>
      </c>
      <c r="K13263" s="0" t="s">
        <v>44056</v>
      </c>
      <c r="L13263" s="0" t="str">
        <f aca="false">HYPERLINK("https://www.ncbi.nlm.nih.gov/nuccore/CP000058.1?report=graph&amp;tracks=[key:gene_model_track,Options:GeneOnly]&amp;mk=4144379:4144398|offset_1|444444,4144343:4144362|offset_37|00cc00,4144313:4144332|offset_67|444444,4144292:4144311|offset_88|444444&amp;v=4144178:4144511&amp;c=444444", "offset 37")</f>
        <v>offset 37</v>
      </c>
    </row>
    <row r="13264" customFormat="false" ht="12.8" hidden="false" customHeight="false" outlineLevel="0" collapsed="false">
      <c r="A13264" s="0" t="s">
        <v>12</v>
      </c>
      <c r="B13264" s="0" t="n">
        <v>4144312</v>
      </c>
      <c r="C13264" s="0" t="n">
        <v>4144332</v>
      </c>
      <c r="D13264" s="0" t="s">
        <v>44050</v>
      </c>
      <c r="E13264" s="0" t="s">
        <v>75</v>
      </c>
      <c r="F13264" s="0" t="s">
        <v>90</v>
      </c>
      <c r="G13264" s="0" t="s">
        <v>16</v>
      </c>
      <c r="H13264" s="0" t="n">
        <v>67</v>
      </c>
      <c r="I13264" s="0" t="s">
        <v>44057</v>
      </c>
      <c r="J13264" s="0" t="s">
        <v>44058</v>
      </c>
      <c r="K13264" s="0" t="s">
        <v>44059</v>
      </c>
      <c r="L13264" s="0" t="str">
        <f aca="false">HYPERLINK("https://www.ncbi.nlm.nih.gov/nuccore/CP000058.1?report=graph&amp;tracks=[key:gene_model_track,Options:GeneOnly]&amp;mk=4144379:4144398|offset_1|444444,4144343:4144362|offset_37|444444,4144313:4144332|offset_67|00cc00,4144292:4144311|offset_88|444444&amp;v=4144178:4144511&amp;c=444444", "offset 67")</f>
        <v>offset 67</v>
      </c>
    </row>
    <row r="13265" customFormat="false" ht="12.8" hidden="false" customHeight="false" outlineLevel="0" collapsed="false">
      <c r="A13265" s="0" t="s">
        <v>12</v>
      </c>
      <c r="B13265" s="0" t="n">
        <v>4144291</v>
      </c>
      <c r="C13265" s="0" t="n">
        <v>4144311</v>
      </c>
      <c r="D13265" s="0" t="s">
        <v>44050</v>
      </c>
      <c r="E13265" s="0" t="s">
        <v>75</v>
      </c>
      <c r="F13265" s="0" t="s">
        <v>90</v>
      </c>
      <c r="G13265" s="0" t="s">
        <v>16</v>
      </c>
      <c r="H13265" s="0" t="n">
        <v>88</v>
      </c>
      <c r="I13265" s="0" t="s">
        <v>44060</v>
      </c>
      <c r="J13265" s="0" t="s">
        <v>44061</v>
      </c>
      <c r="K13265" s="0" t="s">
        <v>44062</v>
      </c>
      <c r="L13265" s="0" t="str">
        <f aca="false">HYPERLINK("https://www.ncbi.nlm.nih.gov/nuccore/CP000058.1?report=graph&amp;tracks=[key:gene_model_track,Options:GeneOnly]&amp;mk=4144379:4144398|offset_1|444444,4144343:4144362|offset_37|444444,4144313:4144332|offset_67|444444,4144292:4144311|offset_88|00cc00&amp;v=4144178:4144511&amp;c=444444", "offset 88")</f>
        <v>offset 88</v>
      </c>
    </row>
    <row r="13266" customFormat="false" ht="12.8" hidden="false" customHeight="false" outlineLevel="0" collapsed="false">
      <c r="A13266" s="0" t="s">
        <v>12</v>
      </c>
      <c r="B13266" s="0" t="n">
        <v>4145260</v>
      </c>
      <c r="C13266" s="0" t="n">
        <v>4145280</v>
      </c>
      <c r="D13266" s="0" t="s">
        <v>44063</v>
      </c>
      <c r="E13266" s="0" t="s">
        <v>75</v>
      </c>
      <c r="F13266" s="0" t="s">
        <v>90</v>
      </c>
      <c r="G13266" s="0" t="s">
        <v>20</v>
      </c>
      <c r="H13266" s="0" t="n">
        <v>20</v>
      </c>
      <c r="I13266" s="0" t="s">
        <v>44064</v>
      </c>
      <c r="J13266" s="0" t="s">
        <v>44065</v>
      </c>
      <c r="K13266" s="0" t="s">
        <v>44066</v>
      </c>
      <c r="L13266" s="0" t="str">
        <f aca="false">HYPERLINK("https://www.ncbi.nlm.nih.gov/nuccore/CP000058.1?report=graph&amp;tracks=[key:gene_model_track,Options:GeneOnly]&amp;mk=4145261:4145280|offset_20|00cc00,4145241:4145260|offset_40|444444,4145219:4145238|offset_62|444444,4145197:4145216|offset_84|444444&amp;v=4145060:4145416&amp;c=444444", "offset 20")</f>
        <v>offset 20</v>
      </c>
    </row>
    <row r="13267" customFormat="false" ht="12.8" hidden="false" customHeight="false" outlineLevel="0" collapsed="false">
      <c r="A13267" s="0" t="s">
        <v>12</v>
      </c>
      <c r="B13267" s="0" t="n">
        <v>4145240</v>
      </c>
      <c r="C13267" s="0" t="n">
        <v>4145260</v>
      </c>
      <c r="D13267" s="0" t="s">
        <v>44063</v>
      </c>
      <c r="E13267" s="0" t="s">
        <v>75</v>
      </c>
      <c r="F13267" s="0" t="s">
        <v>90</v>
      </c>
      <c r="G13267" s="0" t="s">
        <v>32</v>
      </c>
      <c r="H13267" s="0" t="n">
        <v>40</v>
      </c>
      <c r="I13267" s="0" t="s">
        <v>44067</v>
      </c>
      <c r="J13267" s="0" t="s">
        <v>44068</v>
      </c>
      <c r="K13267" s="0" t="s">
        <v>44069</v>
      </c>
      <c r="L13267" s="0" t="str">
        <f aca="false">HYPERLINK("https://www.ncbi.nlm.nih.gov/nuccore/CP000058.1?report=graph&amp;tracks=[key:gene_model_track,Options:GeneOnly]&amp;mk=4145261:4145280|offset_20|444444,4145241:4145260|offset_40|00cc00,4145219:4145238|offset_62|444444,4145197:4145216|offset_84|444444&amp;v=4145060:4145416&amp;c=444444", "offset 40")</f>
        <v>offset 40</v>
      </c>
    </row>
    <row r="13268" customFormat="false" ht="12.8" hidden="false" customHeight="false" outlineLevel="0" collapsed="false">
      <c r="A13268" s="0" t="s">
        <v>12</v>
      </c>
      <c r="B13268" s="0" t="n">
        <v>4145218</v>
      </c>
      <c r="C13268" s="0" t="n">
        <v>4145238</v>
      </c>
      <c r="D13268" s="0" t="s">
        <v>44063</v>
      </c>
      <c r="E13268" s="0" t="s">
        <v>75</v>
      </c>
      <c r="F13268" s="0" t="s">
        <v>90</v>
      </c>
      <c r="G13268" s="0" t="s">
        <v>20</v>
      </c>
      <c r="H13268" s="0" t="n">
        <v>62</v>
      </c>
      <c r="I13268" s="0" t="s">
        <v>44070</v>
      </c>
      <c r="J13268" s="0" t="s">
        <v>44071</v>
      </c>
      <c r="K13268" s="0" t="s">
        <v>44072</v>
      </c>
      <c r="L13268" s="0" t="str">
        <f aca="false">HYPERLINK("https://www.ncbi.nlm.nih.gov/nuccore/CP000058.1?report=graph&amp;tracks=[key:gene_model_track,Options:GeneOnly]&amp;mk=4145261:4145280|offset_20|444444,4145241:4145260|offset_40|444444,4145219:4145238|offset_62|00cc00,4145197:4145216|offset_84|444444&amp;v=4145060:4145416&amp;c=444444", "offset 62")</f>
        <v>offset 62</v>
      </c>
    </row>
    <row r="13269" customFormat="false" ht="12.8" hidden="false" customHeight="false" outlineLevel="0" collapsed="false">
      <c r="A13269" s="0" t="s">
        <v>12</v>
      </c>
      <c r="B13269" s="0" t="n">
        <v>4145196</v>
      </c>
      <c r="C13269" s="0" t="n">
        <v>4145216</v>
      </c>
      <c r="D13269" s="0" t="s">
        <v>44063</v>
      </c>
      <c r="E13269" s="0" t="s">
        <v>75</v>
      </c>
      <c r="F13269" s="0" t="s">
        <v>90</v>
      </c>
      <c r="G13269" s="0" t="s">
        <v>36</v>
      </c>
      <c r="H13269" s="0" t="n">
        <v>84</v>
      </c>
      <c r="I13269" s="0" t="s">
        <v>44073</v>
      </c>
      <c r="J13269" s="0" t="s">
        <v>44074</v>
      </c>
      <c r="K13269" s="0" t="s">
        <v>44075</v>
      </c>
      <c r="L13269" s="0" t="str">
        <f aca="false">HYPERLINK("https://www.ncbi.nlm.nih.gov/nuccore/CP000058.1?report=graph&amp;tracks=[key:gene_model_track,Options:GeneOnly]&amp;mk=4145261:4145280|offset_20|444444,4145241:4145260|offset_40|444444,4145219:4145238|offset_62|444444,4145197:4145216|offset_84|00cc00&amp;v=4145060:4145416&amp;c=444444", "offset 84")</f>
        <v>offset 84</v>
      </c>
    </row>
    <row r="13270" customFormat="false" ht="12.8" hidden="false" customHeight="false" outlineLevel="0" collapsed="false">
      <c r="A13270" s="0" t="s">
        <v>12</v>
      </c>
      <c r="B13270" s="0" t="n">
        <v>4146236</v>
      </c>
      <c r="C13270" s="0" t="n">
        <v>4146256</v>
      </c>
      <c r="D13270" s="0" t="s">
        <v>44076</v>
      </c>
      <c r="E13270" s="0" t="s">
        <v>75</v>
      </c>
      <c r="F13270" s="0" t="s">
        <v>90</v>
      </c>
      <c r="G13270" s="0" t="s">
        <v>16</v>
      </c>
      <c r="H13270" s="0" t="n">
        <v>12</v>
      </c>
      <c r="I13270" s="0" t="s">
        <v>44077</v>
      </c>
      <c r="J13270" s="0" t="s">
        <v>44078</v>
      </c>
      <c r="K13270" s="0" t="s">
        <v>44079</v>
      </c>
      <c r="L13270" s="0" t="str">
        <f aca="false">HYPERLINK("https://www.ncbi.nlm.nih.gov/nuccore/CP000058.1?report=graph&amp;tracks=[key:gene_model_track,Options:GeneOnly]&amp;mk=4146237:4146256|offset_12|00cc00,4146194:4146213|offset_55|444444,4146157:4146176|offset_92|444444,4146130:4146149|offset_119|444444&amp;v=4146036:4146349&amp;c=444444", "offset 12")</f>
        <v>offset 12</v>
      </c>
    </row>
    <row r="13271" customFormat="false" ht="12.8" hidden="false" customHeight="false" outlineLevel="0" collapsed="false">
      <c r="A13271" s="0" t="s">
        <v>12</v>
      </c>
      <c r="B13271" s="0" t="n">
        <v>4146193</v>
      </c>
      <c r="C13271" s="0" t="n">
        <v>4146213</v>
      </c>
      <c r="D13271" s="0" t="s">
        <v>44076</v>
      </c>
      <c r="E13271" s="0" t="s">
        <v>75</v>
      </c>
      <c r="F13271" s="0" t="s">
        <v>90</v>
      </c>
      <c r="G13271" s="0" t="s">
        <v>36</v>
      </c>
      <c r="H13271" s="0" t="n">
        <v>55</v>
      </c>
      <c r="I13271" s="0" t="s">
        <v>44080</v>
      </c>
      <c r="J13271" s="0" t="s">
        <v>44081</v>
      </c>
      <c r="K13271" s="0" t="s">
        <v>44082</v>
      </c>
      <c r="L13271" s="0" t="str">
        <f aca="false">HYPERLINK("https://www.ncbi.nlm.nih.gov/nuccore/CP000058.1?report=graph&amp;tracks=[key:gene_model_track,Options:GeneOnly]&amp;mk=4146237:4146256|offset_12|444444,4146194:4146213|offset_55|00cc00,4146157:4146176|offset_92|444444,4146130:4146149|offset_119|444444&amp;v=4146036:4146349&amp;c=444444", "offset 55")</f>
        <v>offset 55</v>
      </c>
    </row>
    <row r="13272" customFormat="false" ht="12.8" hidden="false" customHeight="false" outlineLevel="0" collapsed="false">
      <c r="A13272" s="0" t="s">
        <v>12</v>
      </c>
      <c r="B13272" s="0" t="n">
        <v>4146156</v>
      </c>
      <c r="C13272" s="0" t="n">
        <v>4146176</v>
      </c>
      <c r="D13272" s="0" t="s">
        <v>44076</v>
      </c>
      <c r="E13272" s="0" t="s">
        <v>75</v>
      </c>
      <c r="F13272" s="0" t="s">
        <v>90</v>
      </c>
      <c r="G13272" s="0" t="s">
        <v>16</v>
      </c>
      <c r="H13272" s="0" t="n">
        <v>92</v>
      </c>
      <c r="I13272" s="0" t="s">
        <v>44083</v>
      </c>
      <c r="J13272" s="0" t="s">
        <v>44084</v>
      </c>
      <c r="K13272" s="0" t="s">
        <v>44085</v>
      </c>
      <c r="L13272" s="0" t="str">
        <f aca="false">HYPERLINK("https://www.ncbi.nlm.nih.gov/nuccore/CP000058.1?report=graph&amp;tracks=[key:gene_model_track,Options:GeneOnly]&amp;mk=4146237:4146256|offset_12|444444,4146194:4146213|offset_55|444444,4146157:4146176|offset_92|00cc00,4146130:4146149|offset_119|444444&amp;v=4146036:4146349&amp;c=444444", "offset 92")</f>
        <v>offset 92</v>
      </c>
    </row>
    <row r="13273" customFormat="false" ht="12.8" hidden="false" customHeight="false" outlineLevel="0" collapsed="false">
      <c r="A13273" s="0" t="s">
        <v>12</v>
      </c>
      <c r="B13273" s="0" t="n">
        <v>4146129</v>
      </c>
      <c r="C13273" s="0" t="n">
        <v>4146149</v>
      </c>
      <c r="D13273" s="0" t="s">
        <v>44076</v>
      </c>
      <c r="E13273" s="0" t="s">
        <v>75</v>
      </c>
      <c r="F13273" s="0" t="s">
        <v>90</v>
      </c>
      <c r="G13273" s="0" t="s">
        <v>36</v>
      </c>
      <c r="H13273" s="0" t="n">
        <v>119</v>
      </c>
      <c r="I13273" s="0" t="s">
        <v>44086</v>
      </c>
      <c r="J13273" s="0" t="s">
        <v>44087</v>
      </c>
      <c r="K13273" s="0" t="s">
        <v>44088</v>
      </c>
      <c r="L13273" s="0" t="str">
        <f aca="false">HYPERLINK("https://www.ncbi.nlm.nih.gov/nuccore/CP000058.1?report=graph&amp;tracks=[key:gene_model_track,Options:GeneOnly]&amp;mk=4146237:4146256|offset_12|444444,4146194:4146213|offset_55|444444,4146157:4146176|offset_92|444444,4146130:4146149|offset_119|00cc00&amp;v=4146036:4146349&amp;c=444444", "offset 119")</f>
        <v>offset 119</v>
      </c>
    </row>
    <row r="13274" customFormat="false" ht="12.8" hidden="false" customHeight="false" outlineLevel="0" collapsed="false">
      <c r="A13274" s="0" t="s">
        <v>12</v>
      </c>
      <c r="B13274" s="0" t="n">
        <v>4147100</v>
      </c>
      <c r="C13274" s="0" t="n">
        <v>4147120</v>
      </c>
      <c r="D13274" s="0" t="s">
        <v>44089</v>
      </c>
      <c r="E13274" s="0" t="s">
        <v>44090</v>
      </c>
      <c r="F13274" s="0" t="s">
        <v>90</v>
      </c>
      <c r="G13274" s="0" t="s">
        <v>20</v>
      </c>
      <c r="H13274" s="0" t="n">
        <v>38</v>
      </c>
      <c r="I13274" s="0" t="s">
        <v>44091</v>
      </c>
      <c r="J13274" s="0" t="s">
        <v>44092</v>
      </c>
      <c r="K13274" s="0" t="s">
        <v>44093</v>
      </c>
      <c r="L13274" s="0" t="str">
        <f aca="false">HYPERLINK("https://www.ncbi.nlm.nih.gov/nuccore/CP000058.1?report=graph&amp;tracks=[key:gene_model_track,Options:GeneOnly]&amp;mk=4147101:4147120|offset_38|00cc00,4147075:4147094|offset_64|444444,4147053:4147072|offset_86|444444,4147009:4147028|offset_130|444444&amp;v=4146900:4147228&amp;c=444444", "offset 38")</f>
        <v>offset 38</v>
      </c>
    </row>
    <row r="13275" customFormat="false" ht="12.8" hidden="false" customHeight="false" outlineLevel="0" collapsed="false">
      <c r="A13275" s="0" t="s">
        <v>12</v>
      </c>
      <c r="B13275" s="0" t="n">
        <v>4147074</v>
      </c>
      <c r="C13275" s="0" t="n">
        <v>4147094</v>
      </c>
      <c r="D13275" s="0" t="s">
        <v>44089</v>
      </c>
      <c r="E13275" s="0" t="s">
        <v>44090</v>
      </c>
      <c r="F13275" s="0" t="s">
        <v>90</v>
      </c>
      <c r="G13275" s="0" t="s">
        <v>16</v>
      </c>
      <c r="H13275" s="0" t="n">
        <v>64</v>
      </c>
      <c r="I13275" s="0" t="s">
        <v>44094</v>
      </c>
      <c r="J13275" s="0" t="s">
        <v>44095</v>
      </c>
      <c r="K13275" s="0" t="s">
        <v>44096</v>
      </c>
      <c r="L13275" s="0" t="str">
        <f aca="false">HYPERLINK("https://www.ncbi.nlm.nih.gov/nuccore/CP000058.1?report=graph&amp;tracks=[key:gene_model_track,Options:GeneOnly]&amp;mk=4147101:4147120|offset_38|444444,4147075:4147094|offset_64|00cc00,4147053:4147072|offset_86|444444,4147009:4147028|offset_130|444444&amp;v=4146900:4147228&amp;c=444444", "offset 64")</f>
        <v>offset 64</v>
      </c>
    </row>
    <row r="13276" customFormat="false" ht="12.8" hidden="false" customHeight="false" outlineLevel="0" collapsed="false">
      <c r="A13276" s="0" t="s">
        <v>12</v>
      </c>
      <c r="B13276" s="0" t="n">
        <v>4147052</v>
      </c>
      <c r="C13276" s="0" t="n">
        <v>4147072</v>
      </c>
      <c r="D13276" s="0" t="s">
        <v>44089</v>
      </c>
      <c r="E13276" s="0" t="s">
        <v>44090</v>
      </c>
      <c r="F13276" s="0" t="s">
        <v>90</v>
      </c>
      <c r="G13276" s="0" t="s">
        <v>20</v>
      </c>
      <c r="H13276" s="0" t="n">
        <v>86</v>
      </c>
      <c r="I13276" s="0" t="s">
        <v>44097</v>
      </c>
      <c r="J13276" s="0" t="s">
        <v>44098</v>
      </c>
      <c r="K13276" s="0" t="s">
        <v>44099</v>
      </c>
      <c r="L13276" s="0" t="str">
        <f aca="false">HYPERLINK("https://www.ncbi.nlm.nih.gov/nuccore/CP000058.1?report=graph&amp;tracks=[key:gene_model_track,Options:GeneOnly]&amp;mk=4147101:4147120|offset_38|444444,4147075:4147094|offset_64|444444,4147053:4147072|offset_86|00cc00,4147009:4147028|offset_130|444444&amp;v=4146900:4147228&amp;c=444444", "offset 86")</f>
        <v>offset 86</v>
      </c>
    </row>
    <row r="13277" customFormat="false" ht="12.8" hidden="false" customHeight="false" outlineLevel="0" collapsed="false">
      <c r="A13277" s="0" t="s">
        <v>12</v>
      </c>
      <c r="B13277" s="0" t="n">
        <v>4147008</v>
      </c>
      <c r="C13277" s="0" t="n">
        <v>4147028</v>
      </c>
      <c r="D13277" s="0" t="s">
        <v>44089</v>
      </c>
      <c r="E13277" s="0" t="s">
        <v>44090</v>
      </c>
      <c r="F13277" s="0" t="s">
        <v>90</v>
      </c>
      <c r="G13277" s="0" t="s">
        <v>16</v>
      </c>
      <c r="H13277" s="0" t="n">
        <v>130</v>
      </c>
      <c r="I13277" s="0" t="s">
        <v>44100</v>
      </c>
      <c r="J13277" s="0" t="s">
        <v>44101</v>
      </c>
      <c r="K13277" s="0" t="s">
        <v>44102</v>
      </c>
      <c r="L13277" s="0" t="str">
        <f aca="false">HYPERLINK("https://www.ncbi.nlm.nih.gov/nuccore/CP000058.1?report=graph&amp;tracks=[key:gene_model_track,Options:GeneOnly]&amp;mk=4147101:4147120|offset_38|444444,4147075:4147094|offset_64|444444,4147053:4147072|offset_86|444444,4147009:4147028|offset_130|00cc00&amp;v=4146900:4147228&amp;c=444444", "offset 130")</f>
        <v>offset 130</v>
      </c>
    </row>
    <row r="13278" customFormat="false" ht="12.8" hidden="false" customHeight="false" outlineLevel="0" collapsed="false">
      <c r="A13278" s="0" t="s">
        <v>12</v>
      </c>
      <c r="B13278" s="0" t="n">
        <v>4147403</v>
      </c>
      <c r="C13278" s="0" t="n">
        <v>4147423</v>
      </c>
      <c r="D13278" s="0" t="s">
        <v>44103</v>
      </c>
      <c r="E13278" s="0" t="s">
        <v>75</v>
      </c>
      <c r="F13278" s="0" t="s">
        <v>15</v>
      </c>
      <c r="G13278" s="0" t="s">
        <v>36</v>
      </c>
      <c r="H13278" s="0" t="n">
        <v>9</v>
      </c>
      <c r="I13278" s="0" t="s">
        <v>44104</v>
      </c>
      <c r="J13278" s="0" t="s">
        <v>44105</v>
      </c>
      <c r="K13278" s="0" t="s">
        <v>44106</v>
      </c>
      <c r="L13278" s="0" t="str">
        <f aca="false">HYPERLINK("https://www.ncbi.nlm.nih.gov/nuccore/CP000058.1?report=graph&amp;tracks=[key:gene_model_track,Options:GeneOnly]&amp;mk=4147404:4147423|offset_9|00cc00,4147430:4147449|offset_35|444444,4147459:4147478|offset_64|444444,4147480:4147499|offset_85|444444&amp;v=4147203:4147699&amp;c=444444", "offset 9")</f>
        <v>offset 9</v>
      </c>
    </row>
    <row r="13279" customFormat="false" ht="12.8" hidden="false" customHeight="false" outlineLevel="0" collapsed="false">
      <c r="A13279" s="0" t="s">
        <v>12</v>
      </c>
      <c r="B13279" s="0" t="n">
        <v>4147429</v>
      </c>
      <c r="C13279" s="0" t="n">
        <v>4147449</v>
      </c>
      <c r="D13279" s="0" t="s">
        <v>44103</v>
      </c>
      <c r="E13279" s="0" t="s">
        <v>75</v>
      </c>
      <c r="F13279" s="0" t="s">
        <v>15</v>
      </c>
      <c r="G13279" s="0" t="s">
        <v>20</v>
      </c>
      <c r="H13279" s="0" t="n">
        <v>35</v>
      </c>
      <c r="I13279" s="0" t="s">
        <v>44107</v>
      </c>
      <c r="J13279" s="0" t="s">
        <v>44108</v>
      </c>
      <c r="K13279" s="0" t="s">
        <v>44109</v>
      </c>
      <c r="L13279" s="0" t="str">
        <f aca="false">HYPERLINK("https://www.ncbi.nlm.nih.gov/nuccore/CP000058.1?report=graph&amp;tracks=[key:gene_model_track,Options:GeneOnly]&amp;mk=4147404:4147423|offset_9|444444,4147430:4147449|offset_35|00cc00,4147459:4147478|offset_64|444444,4147480:4147499|offset_85|444444&amp;v=4147203:4147699&amp;c=444444", "offset 35")</f>
        <v>offset 35</v>
      </c>
    </row>
    <row r="13280" customFormat="false" ht="12.8" hidden="false" customHeight="false" outlineLevel="0" collapsed="false">
      <c r="A13280" s="0" t="s">
        <v>12</v>
      </c>
      <c r="B13280" s="0" t="n">
        <v>4147458</v>
      </c>
      <c r="C13280" s="0" t="n">
        <v>4147478</v>
      </c>
      <c r="D13280" s="0" t="s">
        <v>44103</v>
      </c>
      <c r="E13280" s="0" t="s">
        <v>75</v>
      </c>
      <c r="F13280" s="0" t="s">
        <v>15</v>
      </c>
      <c r="G13280" s="0" t="s">
        <v>36</v>
      </c>
      <c r="H13280" s="0" t="n">
        <v>64</v>
      </c>
      <c r="I13280" s="0" t="s">
        <v>44110</v>
      </c>
      <c r="J13280" s="0" t="s">
        <v>44111</v>
      </c>
      <c r="K13280" s="0" t="s">
        <v>44112</v>
      </c>
      <c r="L13280" s="0" t="str">
        <f aca="false">HYPERLINK("https://www.ncbi.nlm.nih.gov/nuccore/CP000058.1?report=graph&amp;tracks=[key:gene_model_track,Options:GeneOnly]&amp;mk=4147404:4147423|offset_9|444444,4147430:4147449|offset_35|444444,4147459:4147478|offset_64|00cc00,4147480:4147499|offset_85|444444&amp;v=4147203:4147699&amp;c=444444", "offset 64")</f>
        <v>offset 64</v>
      </c>
    </row>
    <row r="13281" customFormat="false" ht="12.8" hidden="false" customHeight="false" outlineLevel="0" collapsed="false">
      <c r="A13281" s="0" t="s">
        <v>12</v>
      </c>
      <c r="B13281" s="0" t="n">
        <v>4147479</v>
      </c>
      <c r="C13281" s="0" t="n">
        <v>4147499</v>
      </c>
      <c r="D13281" s="0" t="s">
        <v>44103</v>
      </c>
      <c r="E13281" s="0" t="s">
        <v>75</v>
      </c>
      <c r="F13281" s="0" t="s">
        <v>15</v>
      </c>
      <c r="G13281" s="0" t="s">
        <v>16</v>
      </c>
      <c r="H13281" s="0" t="n">
        <v>85</v>
      </c>
      <c r="I13281" s="0" t="s">
        <v>44113</v>
      </c>
      <c r="J13281" s="0" t="s">
        <v>44114</v>
      </c>
      <c r="K13281" s="0" t="s">
        <v>44115</v>
      </c>
      <c r="L13281" s="0" t="str">
        <f aca="false">HYPERLINK("https://www.ncbi.nlm.nih.gov/nuccore/CP000058.1?report=graph&amp;tracks=[key:gene_model_track,Options:GeneOnly]&amp;mk=4147404:4147423|offset_9|444444,4147430:4147449|offset_35|444444,4147459:4147478|offset_64|444444,4147480:4147499|offset_85|00cc00&amp;v=4147203:4147699&amp;c=444444", "offset 85")</f>
        <v>offset 85</v>
      </c>
    </row>
    <row r="13282" customFormat="false" ht="12.8" hidden="false" customHeight="false" outlineLevel="0" collapsed="false">
      <c r="A13282" s="0" t="s">
        <v>12</v>
      </c>
      <c r="B13282" s="0" t="n">
        <v>4148485</v>
      </c>
      <c r="C13282" s="0" t="n">
        <v>4148505</v>
      </c>
      <c r="D13282" s="0" t="s">
        <v>44116</v>
      </c>
      <c r="E13282" s="0" t="s">
        <v>75</v>
      </c>
      <c r="F13282" s="0" t="s">
        <v>15</v>
      </c>
      <c r="G13282" s="0" t="s">
        <v>36</v>
      </c>
      <c r="H13282" s="0" t="n">
        <v>7</v>
      </c>
      <c r="I13282" s="0" t="s">
        <v>44117</v>
      </c>
      <c r="J13282" s="0" t="s">
        <v>44118</v>
      </c>
      <c r="K13282" s="0" t="s">
        <v>44119</v>
      </c>
      <c r="L13282" s="0" t="str">
        <f aca="false">HYPERLINK("https://www.ncbi.nlm.nih.gov/nuccore/CP000058.1?report=graph&amp;tracks=[key:gene_model_track,Options:GeneOnly]&amp;mk=4148486:4148505|offset_7|00cc00,4148508:4148527|offset_29|444444,4148531:4148550|offset_52|444444,4148559:4148578|offset_80|444444&amp;v=4148285:4148778&amp;c=444444", "offset 7")</f>
        <v>offset 7</v>
      </c>
    </row>
    <row r="13283" customFormat="false" ht="12.8" hidden="false" customHeight="false" outlineLevel="0" collapsed="false">
      <c r="A13283" s="0" t="s">
        <v>12</v>
      </c>
      <c r="B13283" s="0" t="n">
        <v>4148507</v>
      </c>
      <c r="C13283" s="0" t="n">
        <v>4148527</v>
      </c>
      <c r="D13283" s="0" t="s">
        <v>44116</v>
      </c>
      <c r="E13283" s="0" t="s">
        <v>75</v>
      </c>
      <c r="F13283" s="0" t="s">
        <v>15</v>
      </c>
      <c r="G13283" s="0" t="s">
        <v>20</v>
      </c>
      <c r="H13283" s="0" t="n">
        <v>29</v>
      </c>
      <c r="I13283" s="0" t="s">
        <v>44120</v>
      </c>
      <c r="J13283" s="0" t="s">
        <v>44121</v>
      </c>
      <c r="K13283" s="0" t="s">
        <v>44122</v>
      </c>
      <c r="L13283" s="0" t="str">
        <f aca="false">HYPERLINK("https://www.ncbi.nlm.nih.gov/nuccore/CP000058.1?report=graph&amp;tracks=[key:gene_model_track,Options:GeneOnly]&amp;mk=4148486:4148505|offset_7|444444,4148508:4148527|offset_29|00cc00,4148531:4148550|offset_52|444444,4148559:4148578|offset_80|444444&amp;v=4148285:4148778&amp;c=444444", "offset 29")</f>
        <v>offset 29</v>
      </c>
    </row>
    <row r="13284" customFormat="false" ht="12.8" hidden="false" customHeight="false" outlineLevel="0" collapsed="false">
      <c r="A13284" s="0" t="s">
        <v>12</v>
      </c>
      <c r="B13284" s="0" t="n">
        <v>4148530</v>
      </c>
      <c r="C13284" s="0" t="n">
        <v>4148550</v>
      </c>
      <c r="D13284" s="0" t="s">
        <v>44116</v>
      </c>
      <c r="E13284" s="0" t="s">
        <v>75</v>
      </c>
      <c r="F13284" s="0" t="s">
        <v>15</v>
      </c>
      <c r="G13284" s="0" t="s">
        <v>16</v>
      </c>
      <c r="H13284" s="0" t="n">
        <v>52</v>
      </c>
      <c r="I13284" s="0" t="s">
        <v>44123</v>
      </c>
      <c r="J13284" s="0" t="s">
        <v>44124</v>
      </c>
      <c r="K13284" s="0" t="s">
        <v>44125</v>
      </c>
      <c r="L13284" s="0" t="str">
        <f aca="false">HYPERLINK("https://www.ncbi.nlm.nih.gov/nuccore/CP000058.1?report=graph&amp;tracks=[key:gene_model_track,Options:GeneOnly]&amp;mk=4148486:4148505|offset_7|444444,4148508:4148527|offset_29|444444,4148531:4148550|offset_52|00cc00,4148559:4148578|offset_80|444444&amp;v=4148285:4148778&amp;c=444444", "offset 52")</f>
        <v>offset 52</v>
      </c>
    </row>
    <row r="13285" customFormat="false" ht="12.8" hidden="false" customHeight="false" outlineLevel="0" collapsed="false">
      <c r="A13285" s="0" t="s">
        <v>12</v>
      </c>
      <c r="B13285" s="0" t="n">
        <v>4148558</v>
      </c>
      <c r="C13285" s="0" t="n">
        <v>4148578</v>
      </c>
      <c r="D13285" s="0" t="s">
        <v>44116</v>
      </c>
      <c r="E13285" s="0" t="s">
        <v>75</v>
      </c>
      <c r="F13285" s="0" t="s">
        <v>15</v>
      </c>
      <c r="G13285" s="0" t="s">
        <v>20</v>
      </c>
      <c r="H13285" s="0" t="n">
        <v>80</v>
      </c>
      <c r="I13285" s="0" t="s">
        <v>44126</v>
      </c>
      <c r="J13285" s="0" t="s">
        <v>44127</v>
      </c>
      <c r="K13285" s="0" t="s">
        <v>44128</v>
      </c>
      <c r="L13285" s="0" t="str">
        <f aca="false">HYPERLINK("https://www.ncbi.nlm.nih.gov/nuccore/CP000058.1?report=graph&amp;tracks=[key:gene_model_track,Options:GeneOnly]&amp;mk=4148486:4148505|offset_7|444444,4148508:4148527|offset_29|444444,4148531:4148550|offset_52|444444,4148559:4148578|offset_80|00cc00&amp;v=4148285:4148778&amp;c=444444", "offset 80")</f>
        <v>offset 80</v>
      </c>
    </row>
    <row r="13286" customFormat="false" ht="12.8" hidden="false" customHeight="false" outlineLevel="0" collapsed="false">
      <c r="A13286" s="0" t="s">
        <v>12</v>
      </c>
      <c r="B13286" s="0" t="n">
        <v>4150662</v>
      </c>
      <c r="C13286" s="0" t="n">
        <v>4150682</v>
      </c>
      <c r="D13286" s="0" t="s">
        <v>44129</v>
      </c>
      <c r="E13286" s="0" t="s">
        <v>44130</v>
      </c>
      <c r="F13286" s="0" t="s">
        <v>90</v>
      </c>
      <c r="G13286" s="0" t="s">
        <v>20</v>
      </c>
      <c r="H13286" s="0" t="n">
        <v>26</v>
      </c>
      <c r="I13286" s="0" t="s">
        <v>44131</v>
      </c>
      <c r="J13286" s="0" t="s">
        <v>44132</v>
      </c>
      <c r="K13286" s="0" t="s">
        <v>44133</v>
      </c>
      <c r="L13286" s="0" t="str">
        <f aca="false">HYPERLINK("https://www.ncbi.nlm.nih.gov/nuccore/CP000058.1?report=graph&amp;tracks=[key:gene_model_track,Options:GeneOnly]&amp;mk=4150663:4150682|offset_26|00cc00,4150632:4150651|offset_57|444444,4150561:4150580|offset_128|444444,4150520:4150539|offset_169|444444&amp;v=4150462:4150739&amp;c=444444", "offset 26")</f>
        <v>offset 26</v>
      </c>
    </row>
    <row r="13287" customFormat="false" ht="12.8" hidden="false" customHeight="false" outlineLevel="0" collapsed="false">
      <c r="A13287" s="0" t="s">
        <v>12</v>
      </c>
      <c r="B13287" s="0" t="n">
        <v>4150631</v>
      </c>
      <c r="C13287" s="0" t="n">
        <v>4150651</v>
      </c>
      <c r="D13287" s="0" t="s">
        <v>44129</v>
      </c>
      <c r="E13287" s="0" t="s">
        <v>44130</v>
      </c>
      <c r="F13287" s="0" t="s">
        <v>90</v>
      </c>
      <c r="G13287" s="0" t="s">
        <v>36</v>
      </c>
      <c r="H13287" s="0" t="n">
        <v>57</v>
      </c>
      <c r="I13287" s="0" t="s">
        <v>44134</v>
      </c>
      <c r="J13287" s="0" t="s">
        <v>44135</v>
      </c>
      <c r="K13287" s="0" t="s">
        <v>44136</v>
      </c>
      <c r="L13287" s="0" t="str">
        <f aca="false">HYPERLINK("https://www.ncbi.nlm.nih.gov/nuccore/CP000058.1?report=graph&amp;tracks=[key:gene_model_track,Options:GeneOnly]&amp;mk=4150663:4150682|offset_26|444444,4150632:4150651|offset_57|00cc00,4150561:4150580|offset_128|444444,4150520:4150539|offset_169|444444&amp;v=4150462:4150739&amp;c=444444", "offset 57")</f>
        <v>offset 57</v>
      </c>
    </row>
    <row r="13288" customFormat="false" ht="12.8" hidden="false" customHeight="false" outlineLevel="0" collapsed="false">
      <c r="A13288" s="0" t="s">
        <v>12</v>
      </c>
      <c r="B13288" s="0" t="n">
        <v>4150560</v>
      </c>
      <c r="C13288" s="0" t="n">
        <v>4150580</v>
      </c>
      <c r="D13288" s="0" t="s">
        <v>44129</v>
      </c>
      <c r="E13288" s="0" t="s">
        <v>44130</v>
      </c>
      <c r="F13288" s="0" t="s">
        <v>90</v>
      </c>
      <c r="G13288" s="0" t="s">
        <v>20</v>
      </c>
      <c r="H13288" s="0" t="n">
        <v>128</v>
      </c>
      <c r="I13288" s="0" t="s">
        <v>44137</v>
      </c>
      <c r="J13288" s="0" t="s">
        <v>44138</v>
      </c>
      <c r="K13288" s="0" t="s">
        <v>44139</v>
      </c>
      <c r="L13288" s="0" t="str">
        <f aca="false">HYPERLINK("https://www.ncbi.nlm.nih.gov/nuccore/CP000058.1?report=graph&amp;tracks=[key:gene_model_track,Options:GeneOnly]&amp;mk=4150663:4150682|offset_26|444444,4150632:4150651|offset_57|444444,4150561:4150580|offset_128|00cc00,4150520:4150539|offset_169|444444&amp;v=4150462:4150739&amp;c=444444", "offset 128")</f>
        <v>offset 128</v>
      </c>
    </row>
    <row r="13289" customFormat="false" ht="12.8" hidden="false" customHeight="false" outlineLevel="0" collapsed="false">
      <c r="A13289" s="0" t="s">
        <v>12</v>
      </c>
      <c r="B13289" s="0" t="n">
        <v>4150519</v>
      </c>
      <c r="C13289" s="0" t="n">
        <v>4150539</v>
      </c>
      <c r="D13289" s="0" t="s">
        <v>44129</v>
      </c>
      <c r="E13289" s="0" t="s">
        <v>44130</v>
      </c>
      <c r="F13289" s="0" t="s">
        <v>90</v>
      </c>
      <c r="G13289" s="0" t="s">
        <v>32</v>
      </c>
      <c r="H13289" s="0" t="n">
        <v>169</v>
      </c>
      <c r="I13289" s="0" t="s">
        <v>44140</v>
      </c>
      <c r="J13289" s="0" t="s">
        <v>44141</v>
      </c>
      <c r="K13289" s="0" t="s">
        <v>44142</v>
      </c>
      <c r="L13289" s="0" t="str">
        <f aca="false">HYPERLINK("https://www.ncbi.nlm.nih.gov/nuccore/CP000058.1?report=graph&amp;tracks=[key:gene_model_track,Options:GeneOnly]&amp;mk=4150663:4150682|offset_26|444444,4150632:4150651|offset_57|444444,4150561:4150580|offset_128|444444,4150520:4150539|offset_169|00cc00&amp;v=4150462:4150739&amp;c=444444", "offset 169")</f>
        <v>offset 169</v>
      </c>
    </row>
    <row r="13290" customFormat="false" ht="12.8" hidden="false" customHeight="false" outlineLevel="0" collapsed="false">
      <c r="A13290" s="0" t="s">
        <v>12</v>
      </c>
      <c r="B13290" s="0" t="n">
        <v>4152284</v>
      </c>
      <c r="C13290" s="0" t="n">
        <v>4152304</v>
      </c>
      <c r="D13290" s="0" t="s">
        <v>44143</v>
      </c>
      <c r="E13290" s="0" t="s">
        <v>75</v>
      </c>
      <c r="F13290" s="0" t="s">
        <v>15</v>
      </c>
      <c r="G13290" s="0" t="s">
        <v>16</v>
      </c>
      <c r="H13290" s="0" t="n">
        <v>1</v>
      </c>
      <c r="I13290" s="0" t="s">
        <v>44144</v>
      </c>
      <c r="J13290" s="0" t="s">
        <v>44145</v>
      </c>
      <c r="K13290" s="0" t="s">
        <v>44146</v>
      </c>
      <c r="L13290" s="0" t="str">
        <f aca="false">HYPERLINK("https://www.ncbi.nlm.nih.gov/nuccore/CP000058.1?report=graph&amp;tracks=[key:gene_model_track,Options:GeneOnly]&amp;mk=4152285:4152304|offset_1|00cc00,4152318:4152337|offset_34|444444,4152342:4152361|offset_58|444444,4152370:4152389|offset_86|444444&amp;v=4152084:4152589&amp;c=444444", "offset 1")</f>
        <v>offset 1</v>
      </c>
    </row>
    <row r="13291" customFormat="false" ht="12.8" hidden="false" customHeight="false" outlineLevel="0" collapsed="false">
      <c r="A13291" s="0" t="s">
        <v>12</v>
      </c>
      <c r="B13291" s="0" t="n">
        <v>4152317</v>
      </c>
      <c r="C13291" s="0" t="n">
        <v>4152337</v>
      </c>
      <c r="D13291" s="0" t="s">
        <v>44143</v>
      </c>
      <c r="E13291" s="0" t="s">
        <v>75</v>
      </c>
      <c r="F13291" s="0" t="s">
        <v>15</v>
      </c>
      <c r="G13291" s="0" t="s">
        <v>16</v>
      </c>
      <c r="H13291" s="0" t="n">
        <v>34</v>
      </c>
      <c r="I13291" s="0" t="s">
        <v>44147</v>
      </c>
      <c r="J13291" s="0" t="s">
        <v>44148</v>
      </c>
      <c r="K13291" s="0" t="s">
        <v>44149</v>
      </c>
      <c r="L13291" s="0" t="str">
        <f aca="false">HYPERLINK("https://www.ncbi.nlm.nih.gov/nuccore/CP000058.1?report=graph&amp;tracks=[key:gene_model_track,Options:GeneOnly]&amp;mk=4152285:4152304|offset_1|444444,4152318:4152337|offset_34|00cc00,4152342:4152361|offset_58|444444,4152370:4152389|offset_86|444444&amp;v=4152084:4152589&amp;c=444444", "offset 34")</f>
        <v>offset 34</v>
      </c>
    </row>
    <row r="13292" customFormat="false" ht="12.8" hidden="false" customHeight="false" outlineLevel="0" collapsed="false">
      <c r="A13292" s="0" t="s">
        <v>12</v>
      </c>
      <c r="B13292" s="0" t="n">
        <v>4152341</v>
      </c>
      <c r="C13292" s="0" t="n">
        <v>4152361</v>
      </c>
      <c r="D13292" s="0" t="s">
        <v>44143</v>
      </c>
      <c r="E13292" s="0" t="s">
        <v>75</v>
      </c>
      <c r="F13292" s="0" t="s">
        <v>15</v>
      </c>
      <c r="G13292" s="0" t="s">
        <v>16</v>
      </c>
      <c r="H13292" s="0" t="n">
        <v>58</v>
      </c>
      <c r="I13292" s="0" t="s">
        <v>44150</v>
      </c>
      <c r="J13292" s="0" t="s">
        <v>44151</v>
      </c>
      <c r="K13292" s="0" t="s">
        <v>44152</v>
      </c>
      <c r="L13292" s="0" t="str">
        <f aca="false">HYPERLINK("https://www.ncbi.nlm.nih.gov/nuccore/CP000058.1?report=graph&amp;tracks=[key:gene_model_track,Options:GeneOnly]&amp;mk=4152285:4152304|offset_1|444444,4152318:4152337|offset_34|444444,4152342:4152361|offset_58|00cc00,4152370:4152389|offset_86|444444&amp;v=4152084:4152589&amp;c=444444", "offset 58")</f>
        <v>offset 58</v>
      </c>
    </row>
    <row r="13293" customFormat="false" ht="12.8" hidden="false" customHeight="false" outlineLevel="0" collapsed="false">
      <c r="A13293" s="0" t="s">
        <v>12</v>
      </c>
      <c r="B13293" s="0" t="n">
        <v>4152369</v>
      </c>
      <c r="C13293" s="0" t="n">
        <v>4152389</v>
      </c>
      <c r="D13293" s="0" t="s">
        <v>44143</v>
      </c>
      <c r="E13293" s="0" t="s">
        <v>75</v>
      </c>
      <c r="F13293" s="0" t="s">
        <v>15</v>
      </c>
      <c r="G13293" s="0" t="s">
        <v>20</v>
      </c>
      <c r="H13293" s="0" t="n">
        <v>86</v>
      </c>
      <c r="I13293" s="0" t="s">
        <v>44153</v>
      </c>
      <c r="J13293" s="0" t="s">
        <v>44154</v>
      </c>
      <c r="K13293" s="0" t="s">
        <v>44155</v>
      </c>
      <c r="L13293" s="0" t="str">
        <f aca="false">HYPERLINK("https://www.ncbi.nlm.nih.gov/nuccore/CP000058.1?report=graph&amp;tracks=[key:gene_model_track,Options:GeneOnly]&amp;mk=4152285:4152304|offset_1|444444,4152318:4152337|offset_34|444444,4152342:4152361|offset_58|444444,4152370:4152389|offset_86|00cc00&amp;v=4152084:4152589&amp;c=444444", "offset 86")</f>
        <v>offset 86</v>
      </c>
    </row>
    <row r="13294" customFormat="false" ht="12.8" hidden="false" customHeight="false" outlineLevel="0" collapsed="false">
      <c r="A13294" s="0" t="s">
        <v>12</v>
      </c>
      <c r="B13294" s="0" t="n">
        <v>4153406</v>
      </c>
      <c r="C13294" s="0" t="n">
        <v>4153426</v>
      </c>
      <c r="D13294" s="0" t="s">
        <v>44156</v>
      </c>
      <c r="E13294" s="0" t="s">
        <v>75</v>
      </c>
      <c r="F13294" s="0" t="s">
        <v>90</v>
      </c>
      <c r="G13294" s="0" t="s">
        <v>36</v>
      </c>
      <c r="H13294" s="0" t="n">
        <v>0</v>
      </c>
      <c r="I13294" s="0" t="s">
        <v>44157</v>
      </c>
      <c r="J13294" s="0" t="s">
        <v>44158</v>
      </c>
      <c r="K13294" s="0" t="s">
        <v>44159</v>
      </c>
      <c r="L13294" s="0" t="str">
        <f aca="false">HYPERLINK("https://www.ncbi.nlm.nih.gov/nuccore/CP000058.1?report=graph&amp;tracks=[key:gene_model_track,Options:GeneOnly]&amp;mk=4153407:4153426|offset_0|00cc00,4153385:4153404|offset_22|444444,4153355:4153374|offset_52|444444,4153333:4153352|offset_74|444444&amp;v=4153206:4153552&amp;c=444444", "offset 0")</f>
        <v>offset 0</v>
      </c>
    </row>
    <row r="13295" customFormat="false" ht="12.8" hidden="false" customHeight="false" outlineLevel="0" collapsed="false">
      <c r="A13295" s="0" t="s">
        <v>12</v>
      </c>
      <c r="B13295" s="0" t="n">
        <v>4153384</v>
      </c>
      <c r="C13295" s="0" t="n">
        <v>4153404</v>
      </c>
      <c r="D13295" s="0" t="s">
        <v>44156</v>
      </c>
      <c r="E13295" s="0" t="s">
        <v>75</v>
      </c>
      <c r="F13295" s="0" t="s">
        <v>90</v>
      </c>
      <c r="G13295" s="0" t="s">
        <v>32</v>
      </c>
      <c r="H13295" s="0" t="n">
        <v>22</v>
      </c>
      <c r="I13295" s="0" t="s">
        <v>44160</v>
      </c>
      <c r="J13295" s="0" t="s">
        <v>44161</v>
      </c>
      <c r="K13295" s="0" t="s">
        <v>44162</v>
      </c>
      <c r="L13295" s="0" t="str">
        <f aca="false">HYPERLINK("https://www.ncbi.nlm.nih.gov/nuccore/CP000058.1?report=graph&amp;tracks=[key:gene_model_track,Options:GeneOnly]&amp;mk=4153407:4153426|offset_0|444444,4153385:4153404|offset_22|00cc00,4153355:4153374|offset_52|444444,4153333:4153352|offset_74|444444&amp;v=4153206:4153552&amp;c=444444", "offset 22")</f>
        <v>offset 22</v>
      </c>
    </row>
    <row r="13296" customFormat="false" ht="12.8" hidden="false" customHeight="false" outlineLevel="0" collapsed="false">
      <c r="A13296" s="0" t="s">
        <v>12</v>
      </c>
      <c r="B13296" s="0" t="n">
        <v>4153354</v>
      </c>
      <c r="C13296" s="0" t="n">
        <v>4153374</v>
      </c>
      <c r="D13296" s="0" t="s">
        <v>44156</v>
      </c>
      <c r="E13296" s="0" t="s">
        <v>75</v>
      </c>
      <c r="F13296" s="0" t="s">
        <v>90</v>
      </c>
      <c r="G13296" s="0" t="s">
        <v>20</v>
      </c>
      <c r="H13296" s="0" t="n">
        <v>52</v>
      </c>
      <c r="I13296" s="0" t="s">
        <v>44163</v>
      </c>
      <c r="J13296" s="0" t="s">
        <v>44164</v>
      </c>
      <c r="K13296" s="0" t="s">
        <v>44165</v>
      </c>
      <c r="L13296" s="0" t="str">
        <f aca="false">HYPERLINK("https://www.ncbi.nlm.nih.gov/nuccore/CP000058.1?report=graph&amp;tracks=[key:gene_model_track,Options:GeneOnly]&amp;mk=4153407:4153426|offset_0|444444,4153385:4153404|offset_22|444444,4153355:4153374|offset_52|00cc00,4153333:4153352|offset_74|444444&amp;v=4153206:4153552&amp;c=444444", "offset 52")</f>
        <v>offset 52</v>
      </c>
    </row>
    <row r="13297" customFormat="false" ht="12.8" hidden="false" customHeight="false" outlineLevel="0" collapsed="false">
      <c r="A13297" s="0" t="s">
        <v>12</v>
      </c>
      <c r="B13297" s="0" t="n">
        <v>4153332</v>
      </c>
      <c r="C13297" s="0" t="n">
        <v>4153352</v>
      </c>
      <c r="D13297" s="0" t="s">
        <v>44156</v>
      </c>
      <c r="E13297" s="0" t="s">
        <v>75</v>
      </c>
      <c r="F13297" s="0" t="s">
        <v>90</v>
      </c>
      <c r="G13297" s="0" t="s">
        <v>20</v>
      </c>
      <c r="H13297" s="0" t="n">
        <v>74</v>
      </c>
      <c r="I13297" s="0" t="s">
        <v>44166</v>
      </c>
      <c r="J13297" s="0" t="s">
        <v>44167</v>
      </c>
      <c r="K13297" s="0" t="s">
        <v>44168</v>
      </c>
      <c r="L13297" s="0" t="str">
        <f aca="false">HYPERLINK("https://www.ncbi.nlm.nih.gov/nuccore/CP000058.1?report=graph&amp;tracks=[key:gene_model_track,Options:GeneOnly]&amp;mk=4153407:4153426|offset_0|444444,4153385:4153404|offset_22|444444,4153355:4153374|offset_52|444444,4153333:4153352|offset_74|00cc00&amp;v=4153206:4153552&amp;c=444444", "offset 74")</f>
        <v>offset 74</v>
      </c>
    </row>
    <row r="13298" customFormat="false" ht="12.8" hidden="false" customHeight="false" outlineLevel="0" collapsed="false">
      <c r="A13298" s="0" t="s">
        <v>12</v>
      </c>
      <c r="B13298" s="0" t="n">
        <v>4153800</v>
      </c>
      <c r="C13298" s="0" t="n">
        <v>4153820</v>
      </c>
      <c r="D13298" s="0" t="s">
        <v>44169</v>
      </c>
      <c r="E13298" s="0" t="s">
        <v>75</v>
      </c>
      <c r="F13298" s="0" t="s">
        <v>90</v>
      </c>
      <c r="G13298" s="0" t="s">
        <v>32</v>
      </c>
      <c r="H13298" s="0" t="n">
        <v>1</v>
      </c>
      <c r="I13298" s="0" t="s">
        <v>44170</v>
      </c>
      <c r="J13298" s="0" t="s">
        <v>44171</v>
      </c>
      <c r="K13298" s="0" t="s">
        <v>44172</v>
      </c>
      <c r="L13298" s="0" t="str">
        <f aca="false">HYPERLINK("https://www.ncbi.nlm.nih.gov/nuccore/CP000058.1?report=graph&amp;tracks=[key:gene_model_track,Options:GeneOnly]&amp;mk=4153801:4153820|offset_1|00cc00,4153768:4153787|offset_34|444444,4153735:4153754|offset_67|444444,4153692:4153711|offset_110|444444&amp;v=4153600:4153911&amp;c=444444", "offset 1")</f>
        <v>offset 1</v>
      </c>
    </row>
    <row r="13299" customFormat="false" ht="12.8" hidden="false" customHeight="false" outlineLevel="0" collapsed="false">
      <c r="A13299" s="0" t="s">
        <v>12</v>
      </c>
      <c r="B13299" s="0" t="n">
        <v>4153767</v>
      </c>
      <c r="C13299" s="0" t="n">
        <v>4153787</v>
      </c>
      <c r="D13299" s="0" t="s">
        <v>44169</v>
      </c>
      <c r="E13299" s="0" t="s">
        <v>75</v>
      </c>
      <c r="F13299" s="0" t="s">
        <v>90</v>
      </c>
      <c r="G13299" s="0" t="s">
        <v>20</v>
      </c>
      <c r="H13299" s="0" t="n">
        <v>34</v>
      </c>
      <c r="I13299" s="0" t="s">
        <v>44173</v>
      </c>
      <c r="J13299" s="0" t="s">
        <v>44174</v>
      </c>
      <c r="K13299" s="0" t="s">
        <v>44175</v>
      </c>
      <c r="L13299" s="0" t="str">
        <f aca="false">HYPERLINK("https://www.ncbi.nlm.nih.gov/nuccore/CP000058.1?report=graph&amp;tracks=[key:gene_model_track,Options:GeneOnly]&amp;mk=4153801:4153820|offset_1|444444,4153768:4153787|offset_34|00cc00,4153735:4153754|offset_67|444444,4153692:4153711|offset_110|444444&amp;v=4153600:4153911&amp;c=444444", "offset 34")</f>
        <v>offset 34</v>
      </c>
    </row>
    <row r="13300" customFormat="false" ht="12.8" hidden="false" customHeight="false" outlineLevel="0" collapsed="false">
      <c r="A13300" s="0" t="s">
        <v>12</v>
      </c>
      <c r="B13300" s="0" t="n">
        <v>4153734</v>
      </c>
      <c r="C13300" s="0" t="n">
        <v>4153754</v>
      </c>
      <c r="D13300" s="0" t="s">
        <v>44169</v>
      </c>
      <c r="E13300" s="0" t="s">
        <v>75</v>
      </c>
      <c r="F13300" s="0" t="s">
        <v>90</v>
      </c>
      <c r="G13300" s="0" t="s">
        <v>16</v>
      </c>
      <c r="H13300" s="0" t="n">
        <v>67</v>
      </c>
      <c r="I13300" s="0" t="s">
        <v>44176</v>
      </c>
      <c r="J13300" s="0" t="s">
        <v>44177</v>
      </c>
      <c r="K13300" s="0" t="s">
        <v>44178</v>
      </c>
      <c r="L13300" s="0" t="str">
        <f aca="false">HYPERLINK("https://www.ncbi.nlm.nih.gov/nuccore/CP000058.1?report=graph&amp;tracks=[key:gene_model_track,Options:GeneOnly]&amp;mk=4153801:4153820|offset_1|444444,4153768:4153787|offset_34|444444,4153735:4153754|offset_67|00cc00,4153692:4153711|offset_110|444444&amp;v=4153600:4153911&amp;c=444444", "offset 67")</f>
        <v>offset 67</v>
      </c>
    </row>
    <row r="13301" customFormat="false" ht="12.8" hidden="false" customHeight="false" outlineLevel="0" collapsed="false">
      <c r="A13301" s="0" t="s">
        <v>12</v>
      </c>
      <c r="B13301" s="0" t="n">
        <v>4153691</v>
      </c>
      <c r="C13301" s="0" t="n">
        <v>4153711</v>
      </c>
      <c r="D13301" s="0" t="s">
        <v>44169</v>
      </c>
      <c r="E13301" s="0" t="s">
        <v>75</v>
      </c>
      <c r="F13301" s="0" t="s">
        <v>90</v>
      </c>
      <c r="G13301" s="0" t="s">
        <v>20</v>
      </c>
      <c r="H13301" s="0" t="n">
        <v>110</v>
      </c>
      <c r="I13301" s="0" t="s">
        <v>44179</v>
      </c>
      <c r="J13301" s="0" t="s">
        <v>44180</v>
      </c>
      <c r="K13301" s="0" t="s">
        <v>44181</v>
      </c>
      <c r="L13301" s="0" t="str">
        <f aca="false">HYPERLINK("https://www.ncbi.nlm.nih.gov/nuccore/CP000058.1?report=graph&amp;tracks=[key:gene_model_track,Options:GeneOnly]&amp;mk=4153801:4153820|offset_1|444444,4153768:4153787|offset_34|444444,4153735:4153754|offset_67|444444,4153692:4153711|offset_110|00cc00&amp;v=4153600:4153911&amp;c=444444", "offset 110")</f>
        <v>offset 110</v>
      </c>
    </row>
    <row r="13302" customFormat="false" ht="12.8" hidden="false" customHeight="false" outlineLevel="0" collapsed="false">
      <c r="A13302" s="0" t="s">
        <v>12</v>
      </c>
      <c r="B13302" s="0" t="n">
        <v>4154649</v>
      </c>
      <c r="C13302" s="0" t="n">
        <v>4154669</v>
      </c>
      <c r="D13302" s="0" t="s">
        <v>44182</v>
      </c>
      <c r="E13302" s="0" t="s">
        <v>75</v>
      </c>
      <c r="F13302" s="0" t="s">
        <v>90</v>
      </c>
      <c r="G13302" s="0" t="s">
        <v>36</v>
      </c>
      <c r="H13302" s="0" t="n">
        <v>10</v>
      </c>
      <c r="I13302" s="0" t="s">
        <v>44183</v>
      </c>
      <c r="J13302" s="0" t="s">
        <v>44184</v>
      </c>
      <c r="K13302" s="0" t="s">
        <v>44185</v>
      </c>
      <c r="L13302" s="0" t="str">
        <f aca="false">HYPERLINK("https://www.ncbi.nlm.nih.gov/nuccore/CP000058.1?report=graph&amp;tracks=[key:gene_model_track,Options:GeneOnly]&amp;mk=4154650:4154669|offset_10|00cc00,4154618:4154637|offset_42|444444,4154589:4154608|offset_71|444444,4154553:4154572|offset_107|444444&amp;v=4154449:4154772&amp;c=444444", "offset 10")</f>
        <v>offset 10</v>
      </c>
    </row>
    <row r="13303" customFormat="false" ht="12.8" hidden="false" customHeight="false" outlineLevel="0" collapsed="false">
      <c r="A13303" s="0" t="s">
        <v>12</v>
      </c>
      <c r="B13303" s="0" t="n">
        <v>4154617</v>
      </c>
      <c r="C13303" s="0" t="n">
        <v>4154637</v>
      </c>
      <c r="D13303" s="0" t="s">
        <v>44182</v>
      </c>
      <c r="E13303" s="0" t="s">
        <v>75</v>
      </c>
      <c r="F13303" s="0" t="s">
        <v>90</v>
      </c>
      <c r="G13303" s="0" t="s">
        <v>36</v>
      </c>
      <c r="H13303" s="0" t="n">
        <v>42</v>
      </c>
      <c r="I13303" s="0" t="s">
        <v>44186</v>
      </c>
      <c r="J13303" s="0" t="s">
        <v>44187</v>
      </c>
      <c r="K13303" s="0" t="s">
        <v>44188</v>
      </c>
      <c r="L13303" s="0" t="str">
        <f aca="false">HYPERLINK("https://www.ncbi.nlm.nih.gov/nuccore/CP000058.1?report=graph&amp;tracks=[key:gene_model_track,Options:GeneOnly]&amp;mk=4154650:4154669|offset_10|444444,4154618:4154637|offset_42|00cc00,4154589:4154608|offset_71|444444,4154553:4154572|offset_107|444444&amp;v=4154449:4154772&amp;c=444444", "offset 42")</f>
        <v>offset 42</v>
      </c>
    </row>
    <row r="13304" customFormat="false" ht="12.8" hidden="false" customHeight="false" outlineLevel="0" collapsed="false">
      <c r="A13304" s="0" t="s">
        <v>12</v>
      </c>
      <c r="B13304" s="0" t="n">
        <v>4154588</v>
      </c>
      <c r="C13304" s="0" t="n">
        <v>4154608</v>
      </c>
      <c r="D13304" s="0" t="s">
        <v>44182</v>
      </c>
      <c r="E13304" s="0" t="s">
        <v>75</v>
      </c>
      <c r="F13304" s="0" t="s">
        <v>90</v>
      </c>
      <c r="G13304" s="0" t="s">
        <v>32</v>
      </c>
      <c r="H13304" s="0" t="n">
        <v>71</v>
      </c>
      <c r="I13304" s="0" t="s">
        <v>44189</v>
      </c>
      <c r="J13304" s="0" t="s">
        <v>44190</v>
      </c>
      <c r="K13304" s="0" t="s">
        <v>44191</v>
      </c>
      <c r="L13304" s="0" t="str">
        <f aca="false">HYPERLINK("https://www.ncbi.nlm.nih.gov/nuccore/CP000058.1?report=graph&amp;tracks=[key:gene_model_track,Options:GeneOnly]&amp;mk=4154650:4154669|offset_10|444444,4154618:4154637|offset_42|444444,4154589:4154608|offset_71|00cc00,4154553:4154572|offset_107|444444&amp;v=4154449:4154772&amp;c=444444", "offset 71")</f>
        <v>offset 71</v>
      </c>
    </row>
    <row r="13305" customFormat="false" ht="12.8" hidden="false" customHeight="false" outlineLevel="0" collapsed="false">
      <c r="A13305" s="0" t="s">
        <v>12</v>
      </c>
      <c r="B13305" s="0" t="n">
        <v>4154552</v>
      </c>
      <c r="C13305" s="0" t="n">
        <v>4154572</v>
      </c>
      <c r="D13305" s="0" t="s">
        <v>44182</v>
      </c>
      <c r="E13305" s="0" t="s">
        <v>75</v>
      </c>
      <c r="F13305" s="0" t="s">
        <v>90</v>
      </c>
      <c r="G13305" s="0" t="s">
        <v>20</v>
      </c>
      <c r="H13305" s="0" t="n">
        <v>107</v>
      </c>
      <c r="I13305" s="0" t="s">
        <v>44192</v>
      </c>
      <c r="J13305" s="0" t="s">
        <v>44193</v>
      </c>
      <c r="K13305" s="0" t="s">
        <v>44194</v>
      </c>
      <c r="L13305" s="0" t="str">
        <f aca="false">HYPERLINK("https://www.ncbi.nlm.nih.gov/nuccore/CP000058.1?report=graph&amp;tracks=[key:gene_model_track,Options:GeneOnly]&amp;mk=4154650:4154669|offset_10|444444,4154618:4154637|offset_42|444444,4154589:4154608|offset_71|444444,4154553:4154572|offset_107|00cc00&amp;v=4154449:4154772&amp;c=444444", "offset 107")</f>
        <v>offset 107</v>
      </c>
    </row>
    <row r="13306" customFormat="false" ht="12.8" hidden="false" customHeight="false" outlineLevel="0" collapsed="false">
      <c r="A13306" s="0" t="s">
        <v>12</v>
      </c>
      <c r="B13306" s="0" t="n">
        <v>4155519</v>
      </c>
      <c r="C13306" s="0" t="n">
        <v>4155539</v>
      </c>
      <c r="D13306" s="0" t="s">
        <v>44195</v>
      </c>
      <c r="E13306" s="0" t="s">
        <v>75</v>
      </c>
      <c r="F13306" s="0" t="s">
        <v>90</v>
      </c>
      <c r="G13306" s="0" t="s">
        <v>36</v>
      </c>
      <c r="H13306" s="0" t="n">
        <v>0</v>
      </c>
      <c r="I13306" s="0" t="s">
        <v>44196</v>
      </c>
      <c r="J13306" s="0" t="s">
        <v>44197</v>
      </c>
      <c r="K13306" s="0" t="s">
        <v>44198</v>
      </c>
      <c r="L13306" s="0" t="str">
        <f aca="false">HYPERLINK("https://www.ncbi.nlm.nih.gov/nuccore/CP000058.1?report=graph&amp;tracks=[key:gene_model_track,Options:GeneOnly]&amp;mk=4155520:4155539|offset_0|00cc00,4155497:4155516|offset_23|444444,4155463:4155482|offset_57|444444,4155431:4155450|offset_89|444444&amp;v=4155319:4155650&amp;c=444444", "offset 0")</f>
        <v>offset 0</v>
      </c>
    </row>
    <row r="13307" customFormat="false" ht="12.8" hidden="false" customHeight="false" outlineLevel="0" collapsed="false">
      <c r="A13307" s="0" t="s">
        <v>12</v>
      </c>
      <c r="B13307" s="0" t="n">
        <v>4155496</v>
      </c>
      <c r="C13307" s="0" t="n">
        <v>4155516</v>
      </c>
      <c r="D13307" s="0" t="s">
        <v>44195</v>
      </c>
      <c r="E13307" s="0" t="s">
        <v>75</v>
      </c>
      <c r="F13307" s="0" t="s">
        <v>90</v>
      </c>
      <c r="G13307" s="0" t="s">
        <v>36</v>
      </c>
      <c r="H13307" s="0" t="n">
        <v>23</v>
      </c>
      <c r="I13307" s="0" t="s">
        <v>44199</v>
      </c>
      <c r="J13307" s="0" t="s">
        <v>44200</v>
      </c>
      <c r="K13307" s="0" t="s">
        <v>44201</v>
      </c>
      <c r="L13307" s="0" t="str">
        <f aca="false">HYPERLINK("https://www.ncbi.nlm.nih.gov/nuccore/CP000058.1?report=graph&amp;tracks=[key:gene_model_track,Options:GeneOnly]&amp;mk=4155520:4155539|offset_0|444444,4155497:4155516|offset_23|00cc00,4155463:4155482|offset_57|444444,4155431:4155450|offset_89|444444&amp;v=4155319:4155650&amp;c=444444", "offset 23")</f>
        <v>offset 23</v>
      </c>
    </row>
    <row r="13308" customFormat="false" ht="12.8" hidden="false" customHeight="false" outlineLevel="0" collapsed="false">
      <c r="A13308" s="0" t="s">
        <v>12</v>
      </c>
      <c r="B13308" s="0" t="n">
        <v>4155462</v>
      </c>
      <c r="C13308" s="0" t="n">
        <v>4155482</v>
      </c>
      <c r="D13308" s="0" t="s">
        <v>44195</v>
      </c>
      <c r="E13308" s="0" t="s">
        <v>75</v>
      </c>
      <c r="F13308" s="0" t="s">
        <v>90</v>
      </c>
      <c r="G13308" s="0" t="s">
        <v>20</v>
      </c>
      <c r="H13308" s="0" t="n">
        <v>57</v>
      </c>
      <c r="I13308" s="0" t="s">
        <v>44202</v>
      </c>
      <c r="J13308" s="0" t="s">
        <v>44203</v>
      </c>
      <c r="K13308" s="0" t="s">
        <v>44204</v>
      </c>
      <c r="L13308" s="0" t="str">
        <f aca="false">HYPERLINK("https://www.ncbi.nlm.nih.gov/nuccore/CP000058.1?report=graph&amp;tracks=[key:gene_model_track,Options:GeneOnly]&amp;mk=4155520:4155539|offset_0|444444,4155497:4155516|offset_23|444444,4155463:4155482|offset_57|00cc00,4155431:4155450|offset_89|444444&amp;v=4155319:4155650&amp;c=444444", "offset 57")</f>
        <v>offset 57</v>
      </c>
    </row>
    <row r="13309" customFormat="false" ht="12.8" hidden="false" customHeight="false" outlineLevel="0" collapsed="false">
      <c r="A13309" s="0" t="s">
        <v>12</v>
      </c>
      <c r="B13309" s="0" t="n">
        <v>4155430</v>
      </c>
      <c r="C13309" s="0" t="n">
        <v>4155450</v>
      </c>
      <c r="D13309" s="0" t="s">
        <v>44195</v>
      </c>
      <c r="E13309" s="0" t="s">
        <v>75</v>
      </c>
      <c r="F13309" s="0" t="s">
        <v>90</v>
      </c>
      <c r="G13309" s="0" t="s">
        <v>32</v>
      </c>
      <c r="H13309" s="0" t="n">
        <v>89</v>
      </c>
      <c r="I13309" s="0" t="s">
        <v>44205</v>
      </c>
      <c r="J13309" s="0" t="s">
        <v>44206</v>
      </c>
      <c r="K13309" s="0" t="s">
        <v>44207</v>
      </c>
      <c r="L13309" s="0" t="str">
        <f aca="false">HYPERLINK("https://www.ncbi.nlm.nih.gov/nuccore/CP000058.1?report=graph&amp;tracks=[key:gene_model_track,Options:GeneOnly]&amp;mk=4155520:4155539|offset_0|444444,4155497:4155516|offset_23|444444,4155463:4155482|offset_57|444444,4155431:4155450|offset_89|00cc00&amp;v=4155319:4155650&amp;c=444444", "offset 89")</f>
        <v>offset 89</v>
      </c>
    </row>
    <row r="13310" customFormat="false" ht="12.8" hidden="false" customHeight="false" outlineLevel="0" collapsed="false">
      <c r="A13310" s="0" t="s">
        <v>12</v>
      </c>
      <c r="B13310" s="0" t="n">
        <v>4155827</v>
      </c>
      <c r="C13310" s="0" t="n">
        <v>4155847</v>
      </c>
      <c r="D13310" s="0" t="s">
        <v>44208</v>
      </c>
      <c r="E13310" s="0" t="s">
        <v>75</v>
      </c>
      <c r="F13310" s="0" t="s">
        <v>15</v>
      </c>
      <c r="G13310" s="0" t="s">
        <v>32</v>
      </c>
      <c r="H13310" s="0" t="n">
        <v>31</v>
      </c>
      <c r="I13310" s="0" t="s">
        <v>44209</v>
      </c>
      <c r="J13310" s="0" t="s">
        <v>44210</v>
      </c>
      <c r="K13310" s="0" t="s">
        <v>44211</v>
      </c>
      <c r="L13310" s="0" t="str">
        <f aca="false">HYPERLINK("https://www.ncbi.nlm.nih.gov/nuccore/CP000058.1?report=graph&amp;tracks=[key:gene_model_track,Options:GeneOnly]&amp;mk=4155828:4155847|offset_31|00cc00,4155850:4155869|offset_53|444444,4155870:4155889|offset_73|444444,4155900:4155919|offset_103|444444&amp;v=4155627:4156119&amp;c=444444", "offset 31")</f>
        <v>offset 31</v>
      </c>
    </row>
    <row r="13311" customFormat="false" ht="12.8" hidden="false" customHeight="false" outlineLevel="0" collapsed="false">
      <c r="A13311" s="0" t="s">
        <v>12</v>
      </c>
      <c r="B13311" s="0" t="n">
        <v>4155849</v>
      </c>
      <c r="C13311" s="0" t="n">
        <v>4155869</v>
      </c>
      <c r="D13311" s="0" t="s">
        <v>44208</v>
      </c>
      <c r="E13311" s="0" t="s">
        <v>75</v>
      </c>
      <c r="F13311" s="0" t="s">
        <v>15</v>
      </c>
      <c r="G13311" s="0" t="s">
        <v>32</v>
      </c>
      <c r="H13311" s="0" t="n">
        <v>53</v>
      </c>
      <c r="I13311" s="0" t="s">
        <v>44212</v>
      </c>
      <c r="J13311" s="0" t="s">
        <v>44213</v>
      </c>
      <c r="K13311" s="0" t="s">
        <v>44214</v>
      </c>
      <c r="L13311" s="0" t="str">
        <f aca="false">HYPERLINK("https://www.ncbi.nlm.nih.gov/nuccore/CP000058.1?report=graph&amp;tracks=[key:gene_model_track,Options:GeneOnly]&amp;mk=4155828:4155847|offset_31|444444,4155850:4155869|offset_53|00cc00,4155870:4155889|offset_73|444444,4155900:4155919|offset_103|444444&amp;v=4155627:4156119&amp;c=444444", "offset 53")</f>
        <v>offset 53</v>
      </c>
    </row>
    <row r="13312" customFormat="false" ht="12.8" hidden="false" customHeight="false" outlineLevel="0" collapsed="false">
      <c r="A13312" s="0" t="s">
        <v>12</v>
      </c>
      <c r="B13312" s="0" t="n">
        <v>4155869</v>
      </c>
      <c r="C13312" s="0" t="n">
        <v>4155889</v>
      </c>
      <c r="D13312" s="0" t="s">
        <v>44208</v>
      </c>
      <c r="E13312" s="0" t="s">
        <v>75</v>
      </c>
      <c r="F13312" s="0" t="s">
        <v>15</v>
      </c>
      <c r="G13312" s="0" t="s">
        <v>32</v>
      </c>
      <c r="H13312" s="0" t="n">
        <v>73</v>
      </c>
      <c r="I13312" s="0" t="s">
        <v>44215</v>
      </c>
      <c r="J13312" s="0" t="s">
        <v>44216</v>
      </c>
      <c r="K13312" s="0" t="s">
        <v>44217</v>
      </c>
      <c r="L13312" s="0" t="str">
        <f aca="false">HYPERLINK("https://www.ncbi.nlm.nih.gov/nuccore/CP000058.1?report=graph&amp;tracks=[key:gene_model_track,Options:GeneOnly]&amp;mk=4155828:4155847|offset_31|444444,4155850:4155869|offset_53|444444,4155870:4155889|offset_73|00cc00,4155900:4155919|offset_103|444444&amp;v=4155627:4156119&amp;c=444444", "offset 73")</f>
        <v>offset 73</v>
      </c>
    </row>
    <row r="13313" customFormat="false" ht="12.8" hidden="false" customHeight="false" outlineLevel="0" collapsed="false">
      <c r="A13313" s="0" t="s">
        <v>12</v>
      </c>
      <c r="B13313" s="0" t="n">
        <v>4155899</v>
      </c>
      <c r="C13313" s="0" t="n">
        <v>4155919</v>
      </c>
      <c r="D13313" s="0" t="s">
        <v>44208</v>
      </c>
      <c r="E13313" s="0" t="s">
        <v>75</v>
      </c>
      <c r="F13313" s="0" t="s">
        <v>15</v>
      </c>
      <c r="G13313" s="0" t="s">
        <v>32</v>
      </c>
      <c r="H13313" s="0" t="n">
        <v>103</v>
      </c>
      <c r="I13313" s="0" t="s">
        <v>44218</v>
      </c>
      <c r="J13313" s="0" t="s">
        <v>44219</v>
      </c>
      <c r="K13313" s="0" t="s">
        <v>44220</v>
      </c>
      <c r="L13313" s="0" t="str">
        <f aca="false">HYPERLINK("https://www.ncbi.nlm.nih.gov/nuccore/CP000058.1?report=graph&amp;tracks=[key:gene_model_track,Options:GeneOnly]&amp;mk=4155828:4155847|offset_31|444444,4155850:4155869|offset_53|444444,4155870:4155889|offset_73|444444,4155900:4155919|offset_103|00cc00&amp;v=4155627:4156119&amp;c=444444", "offset 103")</f>
        <v>offset 103</v>
      </c>
    </row>
    <row r="13314" customFormat="false" ht="12.8" hidden="false" customHeight="false" outlineLevel="0" collapsed="false">
      <c r="A13314" s="0" t="s">
        <v>12</v>
      </c>
      <c r="B13314" s="0" t="n">
        <v>4157791</v>
      </c>
      <c r="C13314" s="0" t="n">
        <v>4157811</v>
      </c>
      <c r="D13314" s="0" t="s">
        <v>44221</v>
      </c>
      <c r="E13314" s="0" t="s">
        <v>75</v>
      </c>
      <c r="F13314" s="0" t="s">
        <v>90</v>
      </c>
      <c r="G13314" s="0" t="s">
        <v>16</v>
      </c>
      <c r="H13314" s="0" t="n">
        <v>41</v>
      </c>
      <c r="I13314" s="0" t="s">
        <v>44222</v>
      </c>
      <c r="J13314" s="0" t="s">
        <v>44223</v>
      </c>
      <c r="K13314" s="0" t="s">
        <v>44224</v>
      </c>
      <c r="L13314" s="0" t="str">
        <f aca="false">HYPERLINK("https://www.ncbi.nlm.nih.gov/nuccore/CP000058.1?report=graph&amp;tracks=[key:gene_model_track,Options:GeneOnly]&amp;mk=4157792:4157811|offset_41|00cc00,4157769:4157788|offset_64|444444,4157748:4157767|offset_85|444444,4157706:4157725|offset_127|444444&amp;v=4157591:4157925&amp;c=444444", "offset 41")</f>
        <v>offset 41</v>
      </c>
    </row>
    <row r="13315" customFormat="false" ht="12.8" hidden="false" customHeight="false" outlineLevel="0" collapsed="false">
      <c r="A13315" s="0" t="s">
        <v>12</v>
      </c>
      <c r="B13315" s="0" t="n">
        <v>4157768</v>
      </c>
      <c r="C13315" s="0" t="n">
        <v>4157788</v>
      </c>
      <c r="D13315" s="0" t="s">
        <v>44221</v>
      </c>
      <c r="E13315" s="0" t="s">
        <v>75</v>
      </c>
      <c r="F13315" s="0" t="s">
        <v>90</v>
      </c>
      <c r="G13315" s="0" t="s">
        <v>16</v>
      </c>
      <c r="H13315" s="0" t="n">
        <v>64</v>
      </c>
      <c r="I13315" s="0" t="s">
        <v>44225</v>
      </c>
      <c r="J13315" s="0" t="s">
        <v>44226</v>
      </c>
      <c r="K13315" s="0" t="s">
        <v>44227</v>
      </c>
      <c r="L13315" s="0" t="str">
        <f aca="false">HYPERLINK("https://www.ncbi.nlm.nih.gov/nuccore/CP000058.1?report=graph&amp;tracks=[key:gene_model_track,Options:GeneOnly]&amp;mk=4157792:4157811|offset_41|444444,4157769:4157788|offset_64|00cc00,4157748:4157767|offset_85|444444,4157706:4157725|offset_127|444444&amp;v=4157591:4157925&amp;c=444444", "offset 64")</f>
        <v>offset 64</v>
      </c>
    </row>
    <row r="13316" customFormat="false" ht="12.8" hidden="false" customHeight="false" outlineLevel="0" collapsed="false">
      <c r="A13316" s="0" t="s">
        <v>12</v>
      </c>
      <c r="B13316" s="0" t="n">
        <v>4157747</v>
      </c>
      <c r="C13316" s="0" t="n">
        <v>4157767</v>
      </c>
      <c r="D13316" s="0" t="s">
        <v>44221</v>
      </c>
      <c r="E13316" s="0" t="s">
        <v>75</v>
      </c>
      <c r="F13316" s="0" t="s">
        <v>90</v>
      </c>
      <c r="G13316" s="0" t="s">
        <v>36</v>
      </c>
      <c r="H13316" s="0" t="n">
        <v>85</v>
      </c>
      <c r="I13316" s="0" t="s">
        <v>44228</v>
      </c>
      <c r="J13316" s="0" t="s">
        <v>44229</v>
      </c>
      <c r="K13316" s="0" t="s">
        <v>44230</v>
      </c>
      <c r="L13316" s="0" t="str">
        <f aca="false">HYPERLINK("https://www.ncbi.nlm.nih.gov/nuccore/CP000058.1?report=graph&amp;tracks=[key:gene_model_track,Options:GeneOnly]&amp;mk=4157792:4157811|offset_41|444444,4157769:4157788|offset_64|444444,4157748:4157767|offset_85|00cc00,4157706:4157725|offset_127|444444&amp;v=4157591:4157925&amp;c=444444", "offset 85")</f>
        <v>offset 85</v>
      </c>
    </row>
    <row r="13317" customFormat="false" ht="12.8" hidden="false" customHeight="false" outlineLevel="0" collapsed="false">
      <c r="A13317" s="0" t="s">
        <v>12</v>
      </c>
      <c r="B13317" s="0" t="n">
        <v>4157705</v>
      </c>
      <c r="C13317" s="0" t="n">
        <v>4157725</v>
      </c>
      <c r="D13317" s="0" t="s">
        <v>44221</v>
      </c>
      <c r="E13317" s="0" t="s">
        <v>75</v>
      </c>
      <c r="F13317" s="0" t="s">
        <v>90</v>
      </c>
      <c r="G13317" s="0" t="s">
        <v>36</v>
      </c>
      <c r="H13317" s="0" t="n">
        <v>127</v>
      </c>
      <c r="I13317" s="0" t="s">
        <v>44231</v>
      </c>
      <c r="J13317" s="0" t="s">
        <v>44232</v>
      </c>
      <c r="K13317" s="0" t="s">
        <v>44233</v>
      </c>
      <c r="L13317" s="0" t="str">
        <f aca="false">HYPERLINK("https://www.ncbi.nlm.nih.gov/nuccore/CP000058.1?report=graph&amp;tracks=[key:gene_model_track,Options:GeneOnly]&amp;mk=4157792:4157811|offset_41|444444,4157769:4157788|offset_64|444444,4157748:4157767|offset_85|444444,4157706:4157725|offset_127|00cc00&amp;v=4157591:4157925&amp;c=444444", "offset 127")</f>
        <v>offset 127</v>
      </c>
    </row>
    <row r="13318" customFormat="false" ht="12.8" hidden="false" customHeight="false" outlineLevel="0" collapsed="false">
      <c r="A13318" s="0" t="s">
        <v>12</v>
      </c>
      <c r="B13318" s="0" t="n">
        <v>4158202</v>
      </c>
      <c r="C13318" s="0" t="n">
        <v>4158222</v>
      </c>
      <c r="D13318" s="0" t="s">
        <v>44234</v>
      </c>
      <c r="E13318" s="0" t="s">
        <v>75</v>
      </c>
      <c r="F13318" s="0" t="s">
        <v>15</v>
      </c>
      <c r="G13318" s="0" t="s">
        <v>32</v>
      </c>
      <c r="H13318" s="0" t="n">
        <v>41</v>
      </c>
      <c r="I13318" s="0" t="s">
        <v>44235</v>
      </c>
      <c r="J13318" s="0" t="s">
        <v>44236</v>
      </c>
      <c r="K13318" s="0" t="s">
        <v>44237</v>
      </c>
      <c r="L13318" s="0" t="str">
        <f aca="false">HYPERLINK("https://www.ncbi.nlm.nih.gov/nuccore/CP000058.1?report=graph&amp;tracks=[key:gene_model_track,Options:GeneOnly]&amp;mk=4158203:4158222|offset_41|00cc00,4158232:4158251|offset_70|444444,4158274:4158293|offset_112|444444,4158318:4158337|offset_156|444444&amp;v=4158002:4158537&amp;c=444444", "offset 41")</f>
        <v>offset 41</v>
      </c>
    </row>
    <row r="13319" customFormat="false" ht="12.8" hidden="false" customHeight="false" outlineLevel="0" collapsed="false">
      <c r="A13319" s="0" t="s">
        <v>12</v>
      </c>
      <c r="B13319" s="0" t="n">
        <v>4158231</v>
      </c>
      <c r="C13319" s="0" t="n">
        <v>4158251</v>
      </c>
      <c r="D13319" s="0" t="s">
        <v>44234</v>
      </c>
      <c r="E13319" s="0" t="s">
        <v>75</v>
      </c>
      <c r="F13319" s="0" t="s">
        <v>15</v>
      </c>
      <c r="G13319" s="0" t="s">
        <v>16</v>
      </c>
      <c r="H13319" s="0" t="n">
        <v>70</v>
      </c>
      <c r="I13319" s="0" t="s">
        <v>44238</v>
      </c>
      <c r="J13319" s="0" t="s">
        <v>44239</v>
      </c>
      <c r="K13319" s="0" t="s">
        <v>44240</v>
      </c>
      <c r="L13319" s="0" t="str">
        <f aca="false">HYPERLINK("https://www.ncbi.nlm.nih.gov/nuccore/CP000058.1?report=graph&amp;tracks=[key:gene_model_track,Options:GeneOnly]&amp;mk=4158203:4158222|offset_41|444444,4158232:4158251|offset_70|00cc00,4158274:4158293|offset_112|444444,4158318:4158337|offset_156|444444&amp;v=4158002:4158537&amp;c=444444", "offset 70")</f>
        <v>offset 70</v>
      </c>
    </row>
    <row r="13320" customFormat="false" ht="12.8" hidden="false" customHeight="false" outlineLevel="0" collapsed="false">
      <c r="A13320" s="0" t="s">
        <v>12</v>
      </c>
      <c r="B13320" s="0" t="n">
        <v>4158273</v>
      </c>
      <c r="C13320" s="0" t="n">
        <v>4158293</v>
      </c>
      <c r="D13320" s="0" t="s">
        <v>44234</v>
      </c>
      <c r="E13320" s="0" t="s">
        <v>75</v>
      </c>
      <c r="F13320" s="0" t="s">
        <v>15</v>
      </c>
      <c r="G13320" s="0" t="s">
        <v>16</v>
      </c>
      <c r="H13320" s="0" t="n">
        <v>112</v>
      </c>
      <c r="I13320" s="0" t="s">
        <v>44241</v>
      </c>
      <c r="J13320" s="0" t="s">
        <v>44242</v>
      </c>
      <c r="K13320" s="0" t="s">
        <v>44243</v>
      </c>
      <c r="L13320" s="0" t="str">
        <f aca="false">HYPERLINK("https://www.ncbi.nlm.nih.gov/nuccore/CP000058.1?report=graph&amp;tracks=[key:gene_model_track,Options:GeneOnly]&amp;mk=4158203:4158222|offset_41|444444,4158232:4158251|offset_70|444444,4158274:4158293|offset_112|00cc00,4158318:4158337|offset_156|444444&amp;v=4158002:4158537&amp;c=444444", "offset 112")</f>
        <v>offset 112</v>
      </c>
    </row>
    <row r="13321" customFormat="false" ht="12.8" hidden="false" customHeight="false" outlineLevel="0" collapsed="false">
      <c r="A13321" s="0" t="s">
        <v>12</v>
      </c>
      <c r="B13321" s="0" t="n">
        <v>4158317</v>
      </c>
      <c r="C13321" s="0" t="n">
        <v>4158337</v>
      </c>
      <c r="D13321" s="0" t="s">
        <v>44234</v>
      </c>
      <c r="E13321" s="0" t="s">
        <v>75</v>
      </c>
      <c r="F13321" s="0" t="s">
        <v>15</v>
      </c>
      <c r="G13321" s="0" t="s">
        <v>16</v>
      </c>
      <c r="H13321" s="0" t="n">
        <v>156</v>
      </c>
      <c r="I13321" s="0" t="s">
        <v>44244</v>
      </c>
      <c r="J13321" s="0" t="s">
        <v>44245</v>
      </c>
      <c r="K13321" s="0" t="s">
        <v>44246</v>
      </c>
      <c r="L13321" s="0" t="str">
        <f aca="false">HYPERLINK("https://www.ncbi.nlm.nih.gov/nuccore/CP000058.1?report=graph&amp;tracks=[key:gene_model_track,Options:GeneOnly]&amp;mk=4158203:4158222|offset_41|444444,4158232:4158251|offset_70|444444,4158274:4158293|offset_112|444444,4158318:4158337|offset_156|00cc00&amp;v=4158002:4158537&amp;c=444444", "offset 156")</f>
        <v>offset 156</v>
      </c>
    </row>
    <row r="13322" customFormat="false" ht="12.8" hidden="false" customHeight="false" outlineLevel="0" collapsed="false">
      <c r="A13322" s="0" t="s">
        <v>12</v>
      </c>
      <c r="B13322" s="0" t="n">
        <v>4158689</v>
      </c>
      <c r="C13322" s="0" t="n">
        <v>4158709</v>
      </c>
      <c r="D13322" s="0" t="s">
        <v>44247</v>
      </c>
      <c r="E13322" s="0" t="s">
        <v>75</v>
      </c>
      <c r="F13322" s="0" t="s">
        <v>15</v>
      </c>
      <c r="G13322" s="0" t="s">
        <v>32</v>
      </c>
      <c r="H13322" s="0" t="n">
        <v>7</v>
      </c>
      <c r="I13322" s="0" t="s">
        <v>44248</v>
      </c>
      <c r="J13322" s="0" t="s">
        <v>44249</v>
      </c>
      <c r="K13322" s="0" t="s">
        <v>44250</v>
      </c>
      <c r="L13322" s="0" t="str">
        <f aca="false">HYPERLINK("https://www.ncbi.nlm.nih.gov/nuccore/CP000058.1?report=graph&amp;tracks=[key:gene_model_track,Options:GeneOnly]&amp;mk=4158690:4158709|offset_7|00cc00,4158714:4158733|offset_31|444444,4158739:4158758|offset_56|444444,4158766:4158785|offset_83|444444&amp;v=4158489:4158985&amp;c=444444", "offset 7")</f>
        <v>offset 7</v>
      </c>
    </row>
    <row r="13323" customFormat="false" ht="12.8" hidden="false" customHeight="false" outlineLevel="0" collapsed="false">
      <c r="A13323" s="0" t="s">
        <v>12</v>
      </c>
      <c r="B13323" s="0" t="n">
        <v>4158713</v>
      </c>
      <c r="C13323" s="0" t="n">
        <v>4158733</v>
      </c>
      <c r="D13323" s="0" t="s">
        <v>44247</v>
      </c>
      <c r="E13323" s="0" t="s">
        <v>75</v>
      </c>
      <c r="F13323" s="0" t="s">
        <v>15</v>
      </c>
      <c r="G13323" s="0" t="s">
        <v>16</v>
      </c>
      <c r="H13323" s="0" t="n">
        <v>31</v>
      </c>
      <c r="I13323" s="0" t="s">
        <v>44251</v>
      </c>
      <c r="J13323" s="0" t="s">
        <v>44252</v>
      </c>
      <c r="K13323" s="0" t="s">
        <v>44253</v>
      </c>
      <c r="L13323" s="0" t="str">
        <f aca="false">HYPERLINK("https://www.ncbi.nlm.nih.gov/nuccore/CP000058.1?report=graph&amp;tracks=[key:gene_model_track,Options:GeneOnly]&amp;mk=4158690:4158709|offset_7|444444,4158714:4158733|offset_31|00cc00,4158739:4158758|offset_56|444444,4158766:4158785|offset_83|444444&amp;v=4158489:4158985&amp;c=444444", "offset 31")</f>
        <v>offset 31</v>
      </c>
    </row>
    <row r="13324" customFormat="false" ht="12.8" hidden="false" customHeight="false" outlineLevel="0" collapsed="false">
      <c r="A13324" s="0" t="s">
        <v>12</v>
      </c>
      <c r="B13324" s="0" t="n">
        <v>4158738</v>
      </c>
      <c r="C13324" s="0" t="n">
        <v>4158758</v>
      </c>
      <c r="D13324" s="0" t="s">
        <v>44247</v>
      </c>
      <c r="E13324" s="0" t="s">
        <v>75</v>
      </c>
      <c r="F13324" s="0" t="s">
        <v>15</v>
      </c>
      <c r="G13324" s="0" t="s">
        <v>16</v>
      </c>
      <c r="H13324" s="0" t="n">
        <v>56</v>
      </c>
      <c r="I13324" s="0" t="s">
        <v>44254</v>
      </c>
      <c r="J13324" s="0" t="s">
        <v>44255</v>
      </c>
      <c r="K13324" s="0" t="s">
        <v>44256</v>
      </c>
      <c r="L13324" s="0" t="str">
        <f aca="false">HYPERLINK("https://www.ncbi.nlm.nih.gov/nuccore/CP000058.1?report=graph&amp;tracks=[key:gene_model_track,Options:GeneOnly]&amp;mk=4158690:4158709|offset_7|444444,4158714:4158733|offset_31|444444,4158739:4158758|offset_56|00cc00,4158766:4158785|offset_83|444444&amp;v=4158489:4158985&amp;c=444444", "offset 56")</f>
        <v>offset 56</v>
      </c>
    </row>
    <row r="13325" customFormat="false" ht="12.8" hidden="false" customHeight="false" outlineLevel="0" collapsed="false">
      <c r="A13325" s="0" t="s">
        <v>12</v>
      </c>
      <c r="B13325" s="0" t="n">
        <v>4158765</v>
      </c>
      <c r="C13325" s="0" t="n">
        <v>4158785</v>
      </c>
      <c r="D13325" s="0" t="s">
        <v>44247</v>
      </c>
      <c r="E13325" s="0" t="s">
        <v>75</v>
      </c>
      <c r="F13325" s="0" t="s">
        <v>15</v>
      </c>
      <c r="G13325" s="0" t="s">
        <v>16</v>
      </c>
      <c r="H13325" s="0" t="n">
        <v>83</v>
      </c>
      <c r="I13325" s="0" t="s">
        <v>44257</v>
      </c>
      <c r="J13325" s="0" t="s">
        <v>44258</v>
      </c>
      <c r="K13325" s="0" t="s">
        <v>44259</v>
      </c>
      <c r="L13325" s="0" t="str">
        <f aca="false">HYPERLINK("https://www.ncbi.nlm.nih.gov/nuccore/CP000058.1?report=graph&amp;tracks=[key:gene_model_track,Options:GeneOnly]&amp;mk=4158690:4158709|offset_7|444444,4158714:4158733|offset_31|444444,4158739:4158758|offset_56|444444,4158766:4158785|offset_83|00cc00&amp;v=4158489:4158985&amp;c=444444", "offset 83")</f>
        <v>offset 83</v>
      </c>
    </row>
    <row r="13326" customFormat="false" ht="12.8" hidden="false" customHeight="false" outlineLevel="0" collapsed="false">
      <c r="A13326" s="0" t="s">
        <v>12</v>
      </c>
      <c r="B13326" s="0" t="n">
        <v>4160331</v>
      </c>
      <c r="C13326" s="0" t="n">
        <v>4160351</v>
      </c>
      <c r="D13326" s="0" t="s">
        <v>44260</v>
      </c>
      <c r="E13326" s="0" t="s">
        <v>75</v>
      </c>
      <c r="F13326" s="0" t="s">
        <v>15</v>
      </c>
      <c r="G13326" s="0" t="s">
        <v>20</v>
      </c>
      <c r="H13326" s="0" t="n">
        <v>9</v>
      </c>
      <c r="I13326" s="0" t="s">
        <v>44261</v>
      </c>
      <c r="J13326" s="0" t="s">
        <v>44262</v>
      </c>
      <c r="K13326" s="0" t="s">
        <v>44263</v>
      </c>
      <c r="L13326" s="0" t="str">
        <f aca="false">HYPERLINK("https://www.ncbi.nlm.nih.gov/nuccore/CP000058.1?report=graph&amp;tracks=[key:gene_model_track,Options:GeneOnly]&amp;mk=4160332:4160351|offset_9|00cc00,4160353:4160372|offset_30|444444,4160400:4160419|offset_77|444444,4160428:4160447|offset_105|444444&amp;v=4160131:4160647&amp;c=444444", "offset 9")</f>
        <v>offset 9</v>
      </c>
    </row>
    <row r="13327" customFormat="false" ht="12.8" hidden="false" customHeight="false" outlineLevel="0" collapsed="false">
      <c r="A13327" s="0" t="s">
        <v>12</v>
      </c>
      <c r="B13327" s="0" t="n">
        <v>4160352</v>
      </c>
      <c r="C13327" s="0" t="n">
        <v>4160372</v>
      </c>
      <c r="D13327" s="0" t="s">
        <v>44260</v>
      </c>
      <c r="E13327" s="0" t="s">
        <v>75</v>
      </c>
      <c r="F13327" s="0" t="s">
        <v>15</v>
      </c>
      <c r="G13327" s="0" t="s">
        <v>16</v>
      </c>
      <c r="H13327" s="0" t="n">
        <v>30</v>
      </c>
      <c r="I13327" s="0" t="s">
        <v>44264</v>
      </c>
      <c r="J13327" s="0" t="s">
        <v>44265</v>
      </c>
      <c r="K13327" s="0" t="s">
        <v>44266</v>
      </c>
      <c r="L13327" s="0" t="str">
        <f aca="false">HYPERLINK("https://www.ncbi.nlm.nih.gov/nuccore/CP000058.1?report=graph&amp;tracks=[key:gene_model_track,Options:GeneOnly]&amp;mk=4160332:4160351|offset_9|444444,4160353:4160372|offset_30|00cc00,4160400:4160419|offset_77|444444,4160428:4160447|offset_105|444444&amp;v=4160131:4160647&amp;c=444444", "offset 30")</f>
        <v>offset 30</v>
      </c>
    </row>
    <row r="13328" customFormat="false" ht="12.8" hidden="false" customHeight="false" outlineLevel="0" collapsed="false">
      <c r="A13328" s="0" t="s">
        <v>12</v>
      </c>
      <c r="B13328" s="0" t="n">
        <v>4160399</v>
      </c>
      <c r="C13328" s="0" t="n">
        <v>4160419</v>
      </c>
      <c r="D13328" s="0" t="s">
        <v>44260</v>
      </c>
      <c r="E13328" s="0" t="s">
        <v>75</v>
      </c>
      <c r="F13328" s="0" t="s">
        <v>15</v>
      </c>
      <c r="G13328" s="0" t="s">
        <v>32</v>
      </c>
      <c r="H13328" s="0" t="n">
        <v>77</v>
      </c>
      <c r="I13328" s="0" t="s">
        <v>44267</v>
      </c>
      <c r="J13328" s="0" t="s">
        <v>44268</v>
      </c>
      <c r="K13328" s="0" t="s">
        <v>44269</v>
      </c>
      <c r="L13328" s="0" t="str">
        <f aca="false">HYPERLINK("https://www.ncbi.nlm.nih.gov/nuccore/CP000058.1?report=graph&amp;tracks=[key:gene_model_track,Options:GeneOnly]&amp;mk=4160332:4160351|offset_9|444444,4160353:4160372|offset_30|444444,4160400:4160419|offset_77|00cc00,4160428:4160447|offset_105|444444&amp;v=4160131:4160647&amp;c=444444", "offset 77")</f>
        <v>offset 77</v>
      </c>
    </row>
    <row r="13329" customFormat="false" ht="12.8" hidden="false" customHeight="false" outlineLevel="0" collapsed="false">
      <c r="A13329" s="0" t="s">
        <v>12</v>
      </c>
      <c r="B13329" s="0" t="n">
        <v>4160427</v>
      </c>
      <c r="C13329" s="0" t="n">
        <v>4160447</v>
      </c>
      <c r="D13329" s="0" t="s">
        <v>44260</v>
      </c>
      <c r="E13329" s="0" t="s">
        <v>75</v>
      </c>
      <c r="F13329" s="0" t="s">
        <v>15</v>
      </c>
      <c r="G13329" s="0" t="s">
        <v>16</v>
      </c>
      <c r="H13329" s="0" t="n">
        <v>105</v>
      </c>
      <c r="I13329" s="0" t="s">
        <v>44270</v>
      </c>
      <c r="J13329" s="0" t="s">
        <v>44271</v>
      </c>
      <c r="K13329" s="0" t="s">
        <v>44272</v>
      </c>
      <c r="L13329" s="0" t="str">
        <f aca="false">HYPERLINK("https://www.ncbi.nlm.nih.gov/nuccore/CP000058.1?report=graph&amp;tracks=[key:gene_model_track,Options:GeneOnly]&amp;mk=4160332:4160351|offset_9|444444,4160353:4160372|offset_30|444444,4160400:4160419|offset_77|444444,4160428:4160447|offset_105|00cc00&amp;v=4160131:4160647&amp;c=444444", "offset 105")</f>
        <v>offset 105</v>
      </c>
    </row>
    <row r="13330" customFormat="false" ht="12.8" hidden="false" customHeight="false" outlineLevel="0" collapsed="false">
      <c r="A13330" s="0" t="s">
        <v>12</v>
      </c>
      <c r="B13330" s="0" t="n">
        <v>4161360</v>
      </c>
      <c r="C13330" s="0" t="n">
        <v>4161380</v>
      </c>
      <c r="D13330" s="0" t="s">
        <v>44273</v>
      </c>
      <c r="E13330" s="0" t="s">
        <v>75</v>
      </c>
      <c r="F13330" s="0" t="s">
        <v>15</v>
      </c>
      <c r="G13330" s="0" t="s">
        <v>36</v>
      </c>
      <c r="H13330" s="0" t="n">
        <v>16</v>
      </c>
      <c r="I13330" s="0" t="s">
        <v>44274</v>
      </c>
      <c r="J13330" s="0" t="s">
        <v>44275</v>
      </c>
      <c r="K13330" s="0" t="s">
        <v>44276</v>
      </c>
      <c r="L13330" s="0" t="str">
        <f aca="false">HYPERLINK("https://www.ncbi.nlm.nih.gov/nuccore/CP000058.1?report=graph&amp;tracks=[key:gene_model_track,Options:GeneOnly]&amp;mk=4161361:4161380|offset_16|00cc00,4161390:4161409|offset_45|444444,4161439:4161458|offset_94|444444,4161460:4161479|offset_115|444444&amp;v=4161160:4161679&amp;c=444444", "offset 16")</f>
        <v>offset 16</v>
      </c>
    </row>
    <row r="13331" customFormat="false" ht="12.8" hidden="false" customHeight="false" outlineLevel="0" collapsed="false">
      <c r="A13331" s="0" t="s">
        <v>12</v>
      </c>
      <c r="B13331" s="0" t="n">
        <v>4161389</v>
      </c>
      <c r="C13331" s="0" t="n">
        <v>4161409</v>
      </c>
      <c r="D13331" s="0" t="s">
        <v>44273</v>
      </c>
      <c r="E13331" s="0" t="s">
        <v>75</v>
      </c>
      <c r="F13331" s="0" t="s">
        <v>15</v>
      </c>
      <c r="G13331" s="0" t="s">
        <v>16</v>
      </c>
      <c r="H13331" s="0" t="n">
        <v>45</v>
      </c>
      <c r="I13331" s="0" t="s">
        <v>44277</v>
      </c>
      <c r="J13331" s="0" t="s">
        <v>44278</v>
      </c>
      <c r="K13331" s="0" t="s">
        <v>44279</v>
      </c>
      <c r="L13331" s="0" t="str">
        <f aca="false">HYPERLINK("https://www.ncbi.nlm.nih.gov/nuccore/CP000058.1?report=graph&amp;tracks=[key:gene_model_track,Options:GeneOnly]&amp;mk=4161361:4161380|offset_16|444444,4161390:4161409|offset_45|00cc00,4161439:4161458|offset_94|444444,4161460:4161479|offset_115|444444&amp;v=4161160:4161679&amp;c=444444", "offset 45")</f>
        <v>offset 45</v>
      </c>
    </row>
    <row r="13332" customFormat="false" ht="12.8" hidden="false" customHeight="false" outlineLevel="0" collapsed="false">
      <c r="A13332" s="0" t="s">
        <v>12</v>
      </c>
      <c r="B13332" s="0" t="n">
        <v>4161438</v>
      </c>
      <c r="C13332" s="0" t="n">
        <v>4161458</v>
      </c>
      <c r="D13332" s="0" t="s">
        <v>44273</v>
      </c>
      <c r="E13332" s="0" t="s">
        <v>75</v>
      </c>
      <c r="F13332" s="0" t="s">
        <v>15</v>
      </c>
      <c r="G13332" s="0" t="s">
        <v>16</v>
      </c>
      <c r="H13332" s="0" t="n">
        <v>94</v>
      </c>
      <c r="I13332" s="0" t="s">
        <v>44280</v>
      </c>
      <c r="J13332" s="0" t="s">
        <v>44281</v>
      </c>
      <c r="K13332" s="0" t="s">
        <v>44282</v>
      </c>
      <c r="L13332" s="0" t="str">
        <f aca="false">HYPERLINK("https://www.ncbi.nlm.nih.gov/nuccore/CP000058.1?report=graph&amp;tracks=[key:gene_model_track,Options:GeneOnly]&amp;mk=4161361:4161380|offset_16|444444,4161390:4161409|offset_45|444444,4161439:4161458|offset_94|00cc00,4161460:4161479|offset_115|444444&amp;v=4161160:4161679&amp;c=444444", "offset 94")</f>
        <v>offset 94</v>
      </c>
    </row>
    <row r="13333" customFormat="false" ht="12.8" hidden="false" customHeight="false" outlineLevel="0" collapsed="false">
      <c r="A13333" s="0" t="s">
        <v>12</v>
      </c>
      <c r="B13333" s="0" t="n">
        <v>4161459</v>
      </c>
      <c r="C13333" s="0" t="n">
        <v>4161479</v>
      </c>
      <c r="D13333" s="0" t="s">
        <v>44273</v>
      </c>
      <c r="E13333" s="0" t="s">
        <v>75</v>
      </c>
      <c r="F13333" s="0" t="s">
        <v>15</v>
      </c>
      <c r="G13333" s="0" t="s">
        <v>16</v>
      </c>
      <c r="H13333" s="0" t="n">
        <v>115</v>
      </c>
      <c r="I13333" s="0" t="s">
        <v>44283</v>
      </c>
      <c r="J13333" s="0" t="s">
        <v>44284</v>
      </c>
      <c r="K13333" s="0" t="s">
        <v>44285</v>
      </c>
      <c r="L13333" s="0" t="str">
        <f aca="false">HYPERLINK("https://www.ncbi.nlm.nih.gov/nuccore/CP000058.1?report=graph&amp;tracks=[key:gene_model_track,Options:GeneOnly]&amp;mk=4161361:4161380|offset_16|444444,4161390:4161409|offset_45|444444,4161439:4161458|offset_94|444444,4161460:4161479|offset_115|00cc00&amp;v=4161160:4161679&amp;c=444444", "offset 115")</f>
        <v>offset 115</v>
      </c>
    </row>
    <row r="13334" customFormat="false" ht="12.8" hidden="false" customHeight="false" outlineLevel="0" collapsed="false">
      <c r="A13334" s="0" t="s">
        <v>12</v>
      </c>
      <c r="B13334" s="0" t="n">
        <v>4164795</v>
      </c>
      <c r="C13334" s="0" t="n">
        <v>4164815</v>
      </c>
      <c r="D13334" s="0" t="s">
        <v>44286</v>
      </c>
      <c r="E13334" s="0" t="s">
        <v>75</v>
      </c>
      <c r="F13334" s="0" t="s">
        <v>90</v>
      </c>
      <c r="G13334" s="0" t="s">
        <v>32</v>
      </c>
      <c r="H13334" s="0" t="n">
        <v>1</v>
      </c>
      <c r="I13334" s="0" t="s">
        <v>44287</v>
      </c>
      <c r="J13334" s="0" t="s">
        <v>44288</v>
      </c>
      <c r="K13334" s="0" t="s">
        <v>44289</v>
      </c>
      <c r="L13334" s="0" t="str">
        <f aca="false">HYPERLINK("https://www.ncbi.nlm.nih.gov/nuccore/CP000058.1?report=graph&amp;tracks=[key:gene_model_track,Options:GeneOnly]&amp;mk=4164796:4164815|offset_1|00cc00,4164758:4164777|offset_39|444444,4164730:4164749|offset_67|444444,4164702:4164721|offset_95|444444&amp;v=4164595:4164921&amp;c=444444", "offset 1")</f>
        <v>offset 1</v>
      </c>
    </row>
    <row r="13335" customFormat="false" ht="12.8" hidden="false" customHeight="false" outlineLevel="0" collapsed="false">
      <c r="A13335" s="0" t="s">
        <v>12</v>
      </c>
      <c r="B13335" s="0" t="n">
        <v>4164757</v>
      </c>
      <c r="C13335" s="0" t="n">
        <v>4164777</v>
      </c>
      <c r="D13335" s="0" t="s">
        <v>44286</v>
      </c>
      <c r="E13335" s="0" t="s">
        <v>75</v>
      </c>
      <c r="F13335" s="0" t="s">
        <v>90</v>
      </c>
      <c r="G13335" s="0" t="s">
        <v>16</v>
      </c>
      <c r="H13335" s="0" t="n">
        <v>39</v>
      </c>
      <c r="I13335" s="0" t="s">
        <v>44290</v>
      </c>
      <c r="J13335" s="0" t="s">
        <v>44291</v>
      </c>
      <c r="K13335" s="0" t="s">
        <v>44292</v>
      </c>
      <c r="L13335" s="0" t="str">
        <f aca="false">HYPERLINK("https://www.ncbi.nlm.nih.gov/nuccore/CP000058.1?report=graph&amp;tracks=[key:gene_model_track,Options:GeneOnly]&amp;mk=4164796:4164815|offset_1|444444,4164758:4164777|offset_39|00cc00,4164730:4164749|offset_67|444444,4164702:4164721|offset_95|444444&amp;v=4164595:4164921&amp;c=444444", "offset 39")</f>
        <v>offset 39</v>
      </c>
    </row>
    <row r="13336" customFormat="false" ht="12.8" hidden="false" customHeight="false" outlineLevel="0" collapsed="false">
      <c r="A13336" s="0" t="s">
        <v>12</v>
      </c>
      <c r="B13336" s="0" t="n">
        <v>4164729</v>
      </c>
      <c r="C13336" s="0" t="n">
        <v>4164749</v>
      </c>
      <c r="D13336" s="0" t="s">
        <v>44286</v>
      </c>
      <c r="E13336" s="0" t="s">
        <v>75</v>
      </c>
      <c r="F13336" s="0" t="s">
        <v>90</v>
      </c>
      <c r="G13336" s="0" t="s">
        <v>36</v>
      </c>
      <c r="H13336" s="0" t="n">
        <v>67</v>
      </c>
      <c r="I13336" s="0" t="s">
        <v>44293</v>
      </c>
      <c r="J13336" s="0" t="s">
        <v>44294</v>
      </c>
      <c r="K13336" s="0" t="s">
        <v>44295</v>
      </c>
      <c r="L13336" s="0" t="str">
        <f aca="false">HYPERLINK("https://www.ncbi.nlm.nih.gov/nuccore/CP000058.1?report=graph&amp;tracks=[key:gene_model_track,Options:GeneOnly]&amp;mk=4164796:4164815|offset_1|444444,4164758:4164777|offset_39|444444,4164730:4164749|offset_67|00cc00,4164702:4164721|offset_95|444444&amp;v=4164595:4164921&amp;c=444444", "offset 67")</f>
        <v>offset 67</v>
      </c>
    </row>
    <row r="13337" customFormat="false" ht="12.8" hidden="false" customHeight="false" outlineLevel="0" collapsed="false">
      <c r="A13337" s="0" t="s">
        <v>12</v>
      </c>
      <c r="B13337" s="0" t="n">
        <v>4164701</v>
      </c>
      <c r="C13337" s="0" t="n">
        <v>4164721</v>
      </c>
      <c r="D13337" s="0" t="s">
        <v>44286</v>
      </c>
      <c r="E13337" s="0" t="s">
        <v>75</v>
      </c>
      <c r="F13337" s="0" t="s">
        <v>90</v>
      </c>
      <c r="G13337" s="0" t="s">
        <v>36</v>
      </c>
      <c r="H13337" s="0" t="n">
        <v>95</v>
      </c>
      <c r="I13337" s="0" t="s">
        <v>44296</v>
      </c>
      <c r="J13337" s="0" t="s">
        <v>44297</v>
      </c>
      <c r="K13337" s="0" t="s">
        <v>44298</v>
      </c>
      <c r="L13337" s="0" t="str">
        <f aca="false">HYPERLINK("https://www.ncbi.nlm.nih.gov/nuccore/CP000058.1?report=graph&amp;tracks=[key:gene_model_track,Options:GeneOnly]&amp;mk=4164796:4164815|offset_1|444444,4164758:4164777|offset_39|444444,4164730:4164749|offset_67|444444,4164702:4164721|offset_95|00cc00&amp;v=4164595:4164921&amp;c=444444", "offset 95")</f>
        <v>offset 95</v>
      </c>
    </row>
    <row r="13338" customFormat="false" ht="12.8" hidden="false" customHeight="false" outlineLevel="0" collapsed="false">
      <c r="A13338" s="0" t="s">
        <v>12</v>
      </c>
      <c r="B13338" s="0" t="n">
        <v>4165817</v>
      </c>
      <c r="C13338" s="0" t="n">
        <v>4165837</v>
      </c>
      <c r="D13338" s="0" t="s">
        <v>44299</v>
      </c>
      <c r="E13338" s="0" t="s">
        <v>75</v>
      </c>
      <c r="F13338" s="0" t="s">
        <v>90</v>
      </c>
      <c r="G13338" s="0" t="s">
        <v>16</v>
      </c>
      <c r="H13338" s="0" t="n">
        <v>0</v>
      </c>
      <c r="I13338" s="0" t="s">
        <v>44300</v>
      </c>
      <c r="J13338" s="0" t="s">
        <v>44301</v>
      </c>
      <c r="K13338" s="0" t="s">
        <v>44302</v>
      </c>
      <c r="L13338" s="0" t="str">
        <f aca="false">HYPERLINK("https://www.ncbi.nlm.nih.gov/nuccore/CP000058.1?report=graph&amp;tracks=[key:gene_model_track,Options:GeneOnly]&amp;mk=4165818:4165837|offset_0|00cc00,4165797:4165816|offset_21|444444,4165768:4165787|offset_50|444444,4165738:4165757|offset_80|444444&amp;v=4165617:4165957&amp;c=444444", "offset 0")</f>
        <v>offset 0</v>
      </c>
    </row>
    <row r="13339" customFormat="false" ht="12.8" hidden="false" customHeight="false" outlineLevel="0" collapsed="false">
      <c r="A13339" s="0" t="s">
        <v>12</v>
      </c>
      <c r="B13339" s="0" t="n">
        <v>4165796</v>
      </c>
      <c r="C13339" s="0" t="n">
        <v>4165816</v>
      </c>
      <c r="D13339" s="0" t="s">
        <v>44299</v>
      </c>
      <c r="E13339" s="0" t="s">
        <v>75</v>
      </c>
      <c r="F13339" s="0" t="s">
        <v>90</v>
      </c>
      <c r="G13339" s="0" t="s">
        <v>20</v>
      </c>
      <c r="H13339" s="0" t="n">
        <v>21</v>
      </c>
      <c r="I13339" s="0" t="s">
        <v>44303</v>
      </c>
      <c r="J13339" s="0" t="s">
        <v>44304</v>
      </c>
      <c r="K13339" s="0" t="s">
        <v>44305</v>
      </c>
      <c r="L13339" s="0" t="str">
        <f aca="false">HYPERLINK("https://www.ncbi.nlm.nih.gov/nuccore/CP000058.1?report=graph&amp;tracks=[key:gene_model_track,Options:GeneOnly]&amp;mk=4165818:4165837|offset_0|444444,4165797:4165816|offset_21|00cc00,4165768:4165787|offset_50|444444,4165738:4165757|offset_80|444444&amp;v=4165617:4165957&amp;c=444444", "offset 21")</f>
        <v>offset 21</v>
      </c>
    </row>
    <row r="13340" customFormat="false" ht="12.8" hidden="false" customHeight="false" outlineLevel="0" collapsed="false">
      <c r="A13340" s="0" t="s">
        <v>12</v>
      </c>
      <c r="B13340" s="0" t="n">
        <v>4165767</v>
      </c>
      <c r="C13340" s="0" t="n">
        <v>4165787</v>
      </c>
      <c r="D13340" s="0" t="s">
        <v>44299</v>
      </c>
      <c r="E13340" s="0" t="s">
        <v>75</v>
      </c>
      <c r="F13340" s="0" t="s">
        <v>90</v>
      </c>
      <c r="G13340" s="0" t="s">
        <v>32</v>
      </c>
      <c r="H13340" s="0" t="n">
        <v>50</v>
      </c>
      <c r="I13340" s="0" t="s">
        <v>44306</v>
      </c>
      <c r="J13340" s="0" t="s">
        <v>44307</v>
      </c>
      <c r="K13340" s="0" t="s">
        <v>44308</v>
      </c>
      <c r="L13340" s="0" t="str">
        <f aca="false">HYPERLINK("https://www.ncbi.nlm.nih.gov/nuccore/CP000058.1?report=graph&amp;tracks=[key:gene_model_track,Options:GeneOnly]&amp;mk=4165818:4165837|offset_0|444444,4165797:4165816|offset_21|444444,4165768:4165787|offset_50|00cc00,4165738:4165757|offset_80|444444&amp;v=4165617:4165957&amp;c=444444", "offset 50")</f>
        <v>offset 50</v>
      </c>
    </row>
    <row r="13341" customFormat="false" ht="12.8" hidden="false" customHeight="false" outlineLevel="0" collapsed="false">
      <c r="A13341" s="0" t="s">
        <v>12</v>
      </c>
      <c r="B13341" s="0" t="n">
        <v>4165737</v>
      </c>
      <c r="C13341" s="0" t="n">
        <v>4165757</v>
      </c>
      <c r="D13341" s="0" t="s">
        <v>44299</v>
      </c>
      <c r="E13341" s="0" t="s">
        <v>75</v>
      </c>
      <c r="F13341" s="0" t="s">
        <v>90</v>
      </c>
      <c r="G13341" s="0" t="s">
        <v>20</v>
      </c>
      <c r="H13341" s="0" t="n">
        <v>80</v>
      </c>
      <c r="I13341" s="0" t="s">
        <v>44309</v>
      </c>
      <c r="J13341" s="0" t="s">
        <v>44310</v>
      </c>
      <c r="K13341" s="0" t="s">
        <v>44311</v>
      </c>
      <c r="L13341" s="0" t="str">
        <f aca="false">HYPERLINK("https://www.ncbi.nlm.nih.gov/nuccore/CP000058.1?report=graph&amp;tracks=[key:gene_model_track,Options:GeneOnly]&amp;mk=4165818:4165837|offset_0|444444,4165797:4165816|offset_21|444444,4165768:4165787|offset_50|444444,4165738:4165757|offset_80|00cc00&amp;v=4165617:4165957&amp;c=444444", "offset 80")</f>
        <v>offset 80</v>
      </c>
    </row>
    <row r="13342" customFormat="false" ht="12.8" hidden="false" customHeight="false" outlineLevel="0" collapsed="false">
      <c r="A13342" s="0" t="s">
        <v>12</v>
      </c>
      <c r="B13342" s="0" t="n">
        <v>4166833</v>
      </c>
      <c r="C13342" s="0" t="n">
        <v>4166853</v>
      </c>
      <c r="D13342" s="0" t="s">
        <v>44312</v>
      </c>
      <c r="E13342" s="0" t="s">
        <v>75</v>
      </c>
      <c r="F13342" s="0" t="s">
        <v>90</v>
      </c>
      <c r="G13342" s="0" t="s">
        <v>36</v>
      </c>
      <c r="H13342" s="0" t="n">
        <v>8</v>
      </c>
      <c r="I13342" s="0" t="s">
        <v>44313</v>
      </c>
      <c r="J13342" s="0" t="s">
        <v>44314</v>
      </c>
      <c r="K13342" s="0" t="s">
        <v>44315</v>
      </c>
      <c r="L13342" s="0" t="str">
        <f aca="false">HYPERLINK("https://www.ncbi.nlm.nih.gov/nuccore/CP000058.1?report=graph&amp;tracks=[key:gene_model_track,Options:GeneOnly]&amp;mk=4166834:4166853|offset_8|00cc00,4166807:4166826|offset_35|444444,4166772:4166791|offset_70|444444,4166732:4166751|offset_110|444444&amp;v=4166633:4166951&amp;c=444444", "offset 8")</f>
        <v>offset 8</v>
      </c>
    </row>
    <row r="13343" customFormat="false" ht="12.8" hidden="false" customHeight="false" outlineLevel="0" collapsed="false">
      <c r="A13343" s="0" t="s">
        <v>12</v>
      </c>
      <c r="B13343" s="0" t="n">
        <v>4166806</v>
      </c>
      <c r="C13343" s="0" t="n">
        <v>4166826</v>
      </c>
      <c r="D13343" s="0" t="s">
        <v>44312</v>
      </c>
      <c r="E13343" s="0" t="s">
        <v>75</v>
      </c>
      <c r="F13343" s="0" t="s">
        <v>90</v>
      </c>
      <c r="G13343" s="0" t="s">
        <v>32</v>
      </c>
      <c r="H13343" s="0" t="n">
        <v>35</v>
      </c>
      <c r="I13343" s="0" t="s">
        <v>44316</v>
      </c>
      <c r="J13343" s="0" t="s">
        <v>44317</v>
      </c>
      <c r="K13343" s="0" t="s">
        <v>44318</v>
      </c>
      <c r="L13343" s="0" t="str">
        <f aca="false">HYPERLINK("https://www.ncbi.nlm.nih.gov/nuccore/CP000058.1?report=graph&amp;tracks=[key:gene_model_track,Options:GeneOnly]&amp;mk=4166834:4166853|offset_8|444444,4166807:4166826|offset_35|00cc00,4166772:4166791|offset_70|444444,4166732:4166751|offset_110|444444&amp;v=4166633:4166951&amp;c=444444", "offset 35")</f>
        <v>offset 35</v>
      </c>
    </row>
    <row r="13344" customFormat="false" ht="12.8" hidden="false" customHeight="false" outlineLevel="0" collapsed="false">
      <c r="A13344" s="0" t="s">
        <v>12</v>
      </c>
      <c r="B13344" s="0" t="n">
        <v>4166771</v>
      </c>
      <c r="C13344" s="0" t="n">
        <v>4166791</v>
      </c>
      <c r="D13344" s="0" t="s">
        <v>44312</v>
      </c>
      <c r="E13344" s="0" t="s">
        <v>75</v>
      </c>
      <c r="F13344" s="0" t="s">
        <v>90</v>
      </c>
      <c r="G13344" s="0" t="s">
        <v>16</v>
      </c>
      <c r="H13344" s="0" t="n">
        <v>70</v>
      </c>
      <c r="I13344" s="0" t="s">
        <v>44319</v>
      </c>
      <c r="J13344" s="0" t="s">
        <v>44320</v>
      </c>
      <c r="K13344" s="0" t="s">
        <v>44321</v>
      </c>
      <c r="L13344" s="0" t="str">
        <f aca="false">HYPERLINK("https://www.ncbi.nlm.nih.gov/nuccore/CP000058.1?report=graph&amp;tracks=[key:gene_model_track,Options:GeneOnly]&amp;mk=4166834:4166853|offset_8|444444,4166807:4166826|offset_35|444444,4166772:4166791|offset_70|00cc00,4166732:4166751|offset_110|444444&amp;v=4166633:4166951&amp;c=444444", "offset 70")</f>
        <v>offset 70</v>
      </c>
    </row>
    <row r="13345" customFormat="false" ht="12.8" hidden="false" customHeight="false" outlineLevel="0" collapsed="false">
      <c r="A13345" s="0" t="s">
        <v>12</v>
      </c>
      <c r="B13345" s="0" t="n">
        <v>4166731</v>
      </c>
      <c r="C13345" s="0" t="n">
        <v>4166751</v>
      </c>
      <c r="D13345" s="0" t="s">
        <v>44312</v>
      </c>
      <c r="E13345" s="0" t="s">
        <v>75</v>
      </c>
      <c r="F13345" s="0" t="s">
        <v>90</v>
      </c>
      <c r="G13345" s="0" t="s">
        <v>20</v>
      </c>
      <c r="H13345" s="0" t="n">
        <v>110</v>
      </c>
      <c r="I13345" s="0" t="s">
        <v>44322</v>
      </c>
      <c r="J13345" s="0" t="s">
        <v>44323</v>
      </c>
      <c r="K13345" s="0" t="s">
        <v>44324</v>
      </c>
      <c r="L13345" s="0" t="str">
        <f aca="false">HYPERLINK("https://www.ncbi.nlm.nih.gov/nuccore/CP000058.1?report=graph&amp;tracks=[key:gene_model_track,Options:GeneOnly]&amp;mk=4166834:4166853|offset_8|444444,4166807:4166826|offset_35|444444,4166772:4166791|offset_70|444444,4166732:4166751|offset_110|00cc00&amp;v=4166633:4166951&amp;c=444444", "offset 110")</f>
        <v>offset 110</v>
      </c>
    </row>
    <row r="13346" customFormat="false" ht="12.8" hidden="false" customHeight="false" outlineLevel="0" collapsed="false">
      <c r="A13346" s="0" t="s">
        <v>12</v>
      </c>
      <c r="B13346" s="0" t="n">
        <v>4167074</v>
      </c>
      <c r="C13346" s="0" t="n">
        <v>4167094</v>
      </c>
      <c r="D13346" s="0" t="s">
        <v>44325</v>
      </c>
      <c r="E13346" s="0" t="s">
        <v>75</v>
      </c>
      <c r="F13346" s="0" t="s">
        <v>15</v>
      </c>
      <c r="G13346" s="0" t="s">
        <v>16</v>
      </c>
      <c r="H13346" s="0" t="n">
        <v>25</v>
      </c>
      <c r="I13346" s="0" t="s">
        <v>44326</v>
      </c>
      <c r="J13346" s="0" t="s">
        <v>44327</v>
      </c>
      <c r="K13346" s="0" t="s">
        <v>44328</v>
      </c>
      <c r="L13346" s="0" t="str">
        <f aca="false">HYPERLINK("https://www.ncbi.nlm.nih.gov/nuccore/CP000058.1?report=graph&amp;tracks=[key:gene_model_track,Options:GeneOnly]&amp;mk=4167075:4167094|offset_25|00cc00,4167111:4167130|offset_61|444444,4167132:4167151|offset_82|444444,4167190:4167209|offset_140|444444&amp;v=4166874:4167409&amp;c=444444", "offset 25")</f>
        <v>offset 25</v>
      </c>
    </row>
    <row r="13347" customFormat="false" ht="12.8" hidden="false" customHeight="false" outlineLevel="0" collapsed="false">
      <c r="A13347" s="0" t="s">
        <v>12</v>
      </c>
      <c r="B13347" s="0" t="n">
        <v>4167110</v>
      </c>
      <c r="C13347" s="0" t="n">
        <v>4167130</v>
      </c>
      <c r="D13347" s="0" t="s">
        <v>44325</v>
      </c>
      <c r="E13347" s="0" t="s">
        <v>75</v>
      </c>
      <c r="F13347" s="0" t="s">
        <v>15</v>
      </c>
      <c r="G13347" s="0" t="s">
        <v>20</v>
      </c>
      <c r="H13347" s="0" t="n">
        <v>61</v>
      </c>
      <c r="I13347" s="0" t="s">
        <v>44329</v>
      </c>
      <c r="J13347" s="0" t="s">
        <v>44330</v>
      </c>
      <c r="K13347" s="0" t="s">
        <v>44331</v>
      </c>
      <c r="L13347" s="0" t="str">
        <f aca="false">HYPERLINK("https://www.ncbi.nlm.nih.gov/nuccore/CP000058.1?report=graph&amp;tracks=[key:gene_model_track,Options:GeneOnly]&amp;mk=4167075:4167094|offset_25|444444,4167111:4167130|offset_61|00cc00,4167132:4167151|offset_82|444444,4167190:4167209|offset_140|444444&amp;v=4166874:4167409&amp;c=444444", "offset 61")</f>
        <v>offset 61</v>
      </c>
    </row>
    <row r="13348" customFormat="false" ht="12.8" hidden="false" customHeight="false" outlineLevel="0" collapsed="false">
      <c r="A13348" s="0" t="s">
        <v>12</v>
      </c>
      <c r="B13348" s="0" t="n">
        <v>4167131</v>
      </c>
      <c r="C13348" s="0" t="n">
        <v>4167151</v>
      </c>
      <c r="D13348" s="0" t="s">
        <v>44325</v>
      </c>
      <c r="E13348" s="0" t="s">
        <v>75</v>
      </c>
      <c r="F13348" s="0" t="s">
        <v>15</v>
      </c>
      <c r="G13348" s="0" t="s">
        <v>16</v>
      </c>
      <c r="H13348" s="0" t="n">
        <v>82</v>
      </c>
      <c r="I13348" s="0" t="s">
        <v>44332</v>
      </c>
      <c r="J13348" s="0" t="s">
        <v>44333</v>
      </c>
      <c r="K13348" s="0" t="s">
        <v>44334</v>
      </c>
      <c r="L13348" s="0" t="str">
        <f aca="false">HYPERLINK("https://www.ncbi.nlm.nih.gov/nuccore/CP000058.1?report=graph&amp;tracks=[key:gene_model_track,Options:GeneOnly]&amp;mk=4167075:4167094|offset_25|444444,4167111:4167130|offset_61|444444,4167132:4167151|offset_82|00cc00,4167190:4167209|offset_140|444444&amp;v=4166874:4167409&amp;c=444444", "offset 82")</f>
        <v>offset 82</v>
      </c>
    </row>
    <row r="13349" customFormat="false" ht="12.8" hidden="false" customHeight="false" outlineLevel="0" collapsed="false">
      <c r="A13349" s="0" t="s">
        <v>12</v>
      </c>
      <c r="B13349" s="0" t="n">
        <v>4167189</v>
      </c>
      <c r="C13349" s="0" t="n">
        <v>4167209</v>
      </c>
      <c r="D13349" s="0" t="s">
        <v>44325</v>
      </c>
      <c r="E13349" s="0" t="s">
        <v>75</v>
      </c>
      <c r="F13349" s="0" t="s">
        <v>15</v>
      </c>
      <c r="G13349" s="0" t="s">
        <v>16</v>
      </c>
      <c r="H13349" s="0" t="n">
        <v>140</v>
      </c>
      <c r="I13349" s="0" t="s">
        <v>44335</v>
      </c>
      <c r="J13349" s="0" t="s">
        <v>44336</v>
      </c>
      <c r="K13349" s="0" t="s">
        <v>44337</v>
      </c>
      <c r="L13349" s="0" t="str">
        <f aca="false">HYPERLINK("https://www.ncbi.nlm.nih.gov/nuccore/CP000058.1?report=graph&amp;tracks=[key:gene_model_track,Options:GeneOnly]&amp;mk=4167075:4167094|offset_25|444444,4167111:4167130|offset_61|444444,4167132:4167151|offset_82|444444,4167190:4167209|offset_140|00cc00&amp;v=4166874:4167409&amp;c=444444", "offset 140")</f>
        <v>offset 140</v>
      </c>
    </row>
    <row r="13350" customFormat="false" ht="12.8" hidden="false" customHeight="false" outlineLevel="0" collapsed="false">
      <c r="A13350" s="0" t="s">
        <v>12</v>
      </c>
      <c r="B13350" s="0" t="n">
        <v>4167930</v>
      </c>
      <c r="C13350" s="0" t="n">
        <v>4167950</v>
      </c>
      <c r="D13350" s="0" t="s">
        <v>44338</v>
      </c>
      <c r="E13350" s="0" t="s">
        <v>75</v>
      </c>
      <c r="F13350" s="0" t="s">
        <v>15</v>
      </c>
      <c r="G13350" s="0" t="s">
        <v>16</v>
      </c>
      <c r="H13350" s="0" t="n">
        <v>1</v>
      </c>
      <c r="I13350" s="0" t="s">
        <v>44339</v>
      </c>
      <c r="J13350" s="0" t="s">
        <v>44340</v>
      </c>
      <c r="K13350" s="0" t="s">
        <v>44341</v>
      </c>
      <c r="L13350" s="0" t="str">
        <f aca="false">HYPERLINK("https://www.ncbi.nlm.nih.gov/nuccore/CP000058.1?report=graph&amp;tracks=[key:gene_model_track,Options:GeneOnly]&amp;mk=4167931:4167950|offset_1|00cc00,4167959:4167978|offset_29|444444,4167979:4167998|offset_49|444444,4168021:4168040|offset_91|444444&amp;v=4167730:4168240&amp;c=444444", "offset 1")</f>
        <v>offset 1</v>
      </c>
    </row>
    <row r="13351" customFormat="false" ht="12.8" hidden="false" customHeight="false" outlineLevel="0" collapsed="false">
      <c r="A13351" s="0" t="s">
        <v>12</v>
      </c>
      <c r="B13351" s="0" t="n">
        <v>4167958</v>
      </c>
      <c r="C13351" s="0" t="n">
        <v>4167978</v>
      </c>
      <c r="D13351" s="0" t="s">
        <v>44338</v>
      </c>
      <c r="E13351" s="0" t="s">
        <v>75</v>
      </c>
      <c r="F13351" s="0" t="s">
        <v>15</v>
      </c>
      <c r="G13351" s="0" t="s">
        <v>20</v>
      </c>
      <c r="H13351" s="0" t="n">
        <v>29</v>
      </c>
      <c r="I13351" s="0" t="s">
        <v>44342</v>
      </c>
      <c r="J13351" s="0" t="s">
        <v>44343</v>
      </c>
      <c r="K13351" s="0" t="s">
        <v>44344</v>
      </c>
      <c r="L13351" s="0" t="str">
        <f aca="false">HYPERLINK("https://www.ncbi.nlm.nih.gov/nuccore/CP000058.1?report=graph&amp;tracks=[key:gene_model_track,Options:GeneOnly]&amp;mk=4167931:4167950|offset_1|444444,4167959:4167978|offset_29|00cc00,4167979:4167998|offset_49|444444,4168021:4168040|offset_91|444444&amp;v=4167730:4168240&amp;c=444444", "offset 29")</f>
        <v>offset 29</v>
      </c>
    </row>
    <row r="13352" customFormat="false" ht="12.8" hidden="false" customHeight="false" outlineLevel="0" collapsed="false">
      <c r="A13352" s="0" t="s">
        <v>12</v>
      </c>
      <c r="B13352" s="0" t="n">
        <v>4167978</v>
      </c>
      <c r="C13352" s="0" t="n">
        <v>4167998</v>
      </c>
      <c r="D13352" s="0" t="s">
        <v>44338</v>
      </c>
      <c r="E13352" s="0" t="s">
        <v>75</v>
      </c>
      <c r="F13352" s="0" t="s">
        <v>15</v>
      </c>
      <c r="G13352" s="0" t="s">
        <v>20</v>
      </c>
      <c r="H13352" s="0" t="n">
        <v>49</v>
      </c>
      <c r="I13352" s="0" t="s">
        <v>44345</v>
      </c>
      <c r="J13352" s="0" t="s">
        <v>44346</v>
      </c>
      <c r="K13352" s="0" t="s">
        <v>44347</v>
      </c>
      <c r="L13352" s="0" t="str">
        <f aca="false">HYPERLINK("https://www.ncbi.nlm.nih.gov/nuccore/CP000058.1?report=graph&amp;tracks=[key:gene_model_track,Options:GeneOnly]&amp;mk=4167931:4167950|offset_1|444444,4167959:4167978|offset_29|444444,4167979:4167998|offset_49|00cc00,4168021:4168040|offset_91|444444&amp;v=4167730:4168240&amp;c=444444", "offset 49")</f>
        <v>offset 49</v>
      </c>
    </row>
    <row r="13353" customFormat="false" ht="12.8" hidden="false" customHeight="false" outlineLevel="0" collapsed="false">
      <c r="A13353" s="0" t="s">
        <v>12</v>
      </c>
      <c r="B13353" s="0" t="n">
        <v>4168020</v>
      </c>
      <c r="C13353" s="0" t="n">
        <v>4168040</v>
      </c>
      <c r="D13353" s="0" t="s">
        <v>44338</v>
      </c>
      <c r="E13353" s="0" t="s">
        <v>75</v>
      </c>
      <c r="F13353" s="0" t="s">
        <v>15</v>
      </c>
      <c r="G13353" s="0" t="s">
        <v>16</v>
      </c>
      <c r="H13353" s="0" t="n">
        <v>91</v>
      </c>
      <c r="I13353" s="0" t="s">
        <v>44348</v>
      </c>
      <c r="J13353" s="0" t="s">
        <v>44349</v>
      </c>
      <c r="K13353" s="0" t="s">
        <v>44350</v>
      </c>
      <c r="L13353" s="0" t="str">
        <f aca="false">HYPERLINK("https://www.ncbi.nlm.nih.gov/nuccore/CP000058.1?report=graph&amp;tracks=[key:gene_model_track,Options:GeneOnly]&amp;mk=4167931:4167950|offset_1|444444,4167959:4167978|offset_29|444444,4167979:4167998|offset_49|444444,4168021:4168040|offset_91|00cc00&amp;v=4167730:4168240&amp;c=444444", "offset 91")</f>
        <v>offset 91</v>
      </c>
    </row>
    <row r="13354" customFormat="false" ht="12.8" hidden="false" customHeight="false" outlineLevel="0" collapsed="false">
      <c r="A13354" s="0" t="s">
        <v>12</v>
      </c>
      <c r="B13354" s="0" t="n">
        <v>4169143</v>
      </c>
      <c r="C13354" s="0" t="n">
        <v>4169163</v>
      </c>
      <c r="D13354" s="0" t="s">
        <v>44351</v>
      </c>
      <c r="E13354" s="0" t="s">
        <v>75</v>
      </c>
      <c r="F13354" s="0" t="s">
        <v>15</v>
      </c>
      <c r="G13354" s="0" t="s">
        <v>32</v>
      </c>
      <c r="H13354" s="0" t="n">
        <v>9</v>
      </c>
      <c r="I13354" s="0" t="s">
        <v>44352</v>
      </c>
      <c r="J13354" s="0" t="s">
        <v>44353</v>
      </c>
      <c r="K13354" s="0" t="s">
        <v>44354</v>
      </c>
      <c r="L13354" s="0" t="str">
        <f aca="false">HYPERLINK("https://www.ncbi.nlm.nih.gov/nuccore/CP000058.1?report=graph&amp;tracks=[key:gene_model_track,Options:GeneOnly]&amp;mk=4169144:4169163|offset_9|00cc00,4169203:4169222|offset_68|444444,4169241:4169260|offset_106|444444,4169292:4169311|offset_157|444444&amp;v=4168943:4169511&amp;c=444444", "offset 9")</f>
        <v>offset 9</v>
      </c>
    </row>
    <row r="13355" customFormat="false" ht="12.8" hidden="false" customHeight="false" outlineLevel="0" collapsed="false">
      <c r="A13355" s="0" t="s">
        <v>12</v>
      </c>
      <c r="B13355" s="0" t="n">
        <v>4169202</v>
      </c>
      <c r="C13355" s="0" t="n">
        <v>4169222</v>
      </c>
      <c r="D13355" s="0" t="s">
        <v>44351</v>
      </c>
      <c r="E13355" s="0" t="s">
        <v>75</v>
      </c>
      <c r="F13355" s="0" t="s">
        <v>15</v>
      </c>
      <c r="G13355" s="0" t="s">
        <v>20</v>
      </c>
      <c r="H13355" s="0" t="n">
        <v>68</v>
      </c>
      <c r="I13355" s="0" t="s">
        <v>44355</v>
      </c>
      <c r="J13355" s="0" t="s">
        <v>44356</v>
      </c>
      <c r="K13355" s="0" t="s">
        <v>44357</v>
      </c>
      <c r="L13355" s="0" t="str">
        <f aca="false">HYPERLINK("https://www.ncbi.nlm.nih.gov/nuccore/CP000058.1?report=graph&amp;tracks=[key:gene_model_track,Options:GeneOnly]&amp;mk=4169144:4169163|offset_9|444444,4169203:4169222|offset_68|00cc00,4169241:4169260|offset_106|444444,4169292:4169311|offset_157|444444&amp;v=4168943:4169511&amp;c=444444", "offset 68")</f>
        <v>offset 68</v>
      </c>
    </row>
    <row r="13356" customFormat="false" ht="12.8" hidden="false" customHeight="false" outlineLevel="0" collapsed="false">
      <c r="A13356" s="0" t="s">
        <v>12</v>
      </c>
      <c r="B13356" s="0" t="n">
        <v>4169240</v>
      </c>
      <c r="C13356" s="0" t="n">
        <v>4169260</v>
      </c>
      <c r="D13356" s="0" t="s">
        <v>44351</v>
      </c>
      <c r="E13356" s="0" t="s">
        <v>75</v>
      </c>
      <c r="F13356" s="0" t="s">
        <v>15</v>
      </c>
      <c r="G13356" s="0" t="s">
        <v>36</v>
      </c>
      <c r="H13356" s="0" t="n">
        <v>106</v>
      </c>
      <c r="I13356" s="0" t="s">
        <v>44358</v>
      </c>
      <c r="J13356" s="0" t="s">
        <v>44359</v>
      </c>
      <c r="K13356" s="0" t="s">
        <v>44360</v>
      </c>
      <c r="L13356" s="0" t="str">
        <f aca="false">HYPERLINK("https://www.ncbi.nlm.nih.gov/nuccore/CP000058.1?report=graph&amp;tracks=[key:gene_model_track,Options:GeneOnly]&amp;mk=4169144:4169163|offset_9|444444,4169203:4169222|offset_68|444444,4169241:4169260|offset_106|00cc00,4169292:4169311|offset_157|444444&amp;v=4168943:4169511&amp;c=444444", "offset 106")</f>
        <v>offset 106</v>
      </c>
    </row>
    <row r="13357" customFormat="false" ht="12.8" hidden="false" customHeight="false" outlineLevel="0" collapsed="false">
      <c r="A13357" s="0" t="s">
        <v>12</v>
      </c>
      <c r="B13357" s="0" t="n">
        <v>4169291</v>
      </c>
      <c r="C13357" s="0" t="n">
        <v>4169311</v>
      </c>
      <c r="D13357" s="0" t="s">
        <v>44351</v>
      </c>
      <c r="E13357" s="0" t="s">
        <v>75</v>
      </c>
      <c r="F13357" s="0" t="s">
        <v>15</v>
      </c>
      <c r="G13357" s="0" t="s">
        <v>16</v>
      </c>
      <c r="H13357" s="0" t="n">
        <v>157</v>
      </c>
      <c r="I13357" s="0" t="s">
        <v>44361</v>
      </c>
      <c r="J13357" s="0" t="s">
        <v>44362</v>
      </c>
      <c r="K13357" s="0" t="s">
        <v>44363</v>
      </c>
      <c r="L13357" s="0" t="str">
        <f aca="false">HYPERLINK("https://www.ncbi.nlm.nih.gov/nuccore/CP000058.1?report=graph&amp;tracks=[key:gene_model_track,Options:GeneOnly]&amp;mk=4169144:4169163|offset_9|444444,4169203:4169222|offset_68|444444,4169241:4169260|offset_106|444444,4169292:4169311|offset_157|00cc00&amp;v=4168943:4169511&amp;c=444444", "offset 157")</f>
        <v>offset 157</v>
      </c>
    </row>
    <row r="13358" customFormat="false" ht="12.8" hidden="false" customHeight="false" outlineLevel="0" collapsed="false">
      <c r="A13358" s="0" t="s">
        <v>12</v>
      </c>
      <c r="B13358" s="0" t="n">
        <v>4170400</v>
      </c>
      <c r="C13358" s="0" t="n">
        <v>4170420</v>
      </c>
      <c r="D13358" s="0" t="s">
        <v>44364</v>
      </c>
      <c r="E13358" s="0" t="s">
        <v>75</v>
      </c>
      <c r="F13358" s="0" t="s">
        <v>90</v>
      </c>
      <c r="G13358" s="0" t="s">
        <v>16</v>
      </c>
      <c r="H13358" s="0" t="n">
        <v>22</v>
      </c>
      <c r="I13358" s="0" t="s">
        <v>44365</v>
      </c>
      <c r="J13358" s="0" t="s">
        <v>44366</v>
      </c>
      <c r="K13358" s="0" t="s">
        <v>44367</v>
      </c>
      <c r="L13358" s="0" t="str">
        <f aca="false">HYPERLINK("https://www.ncbi.nlm.nih.gov/nuccore/CP000058.1?report=graph&amp;tracks=[key:gene_model_track,Options:GeneOnly]&amp;mk=4170401:4170420|offset_22|00cc00,4170368:4170387|offset_55|444444,4170344:4170363|offset_79|444444,4170323:4170342|offset_100|444444&amp;v=4170200:4170542&amp;c=444444", "offset 22")</f>
        <v>offset 22</v>
      </c>
    </row>
    <row r="13359" customFormat="false" ht="12.8" hidden="false" customHeight="false" outlineLevel="0" collapsed="false">
      <c r="A13359" s="0" t="s">
        <v>12</v>
      </c>
      <c r="B13359" s="0" t="n">
        <v>4170367</v>
      </c>
      <c r="C13359" s="0" t="n">
        <v>4170387</v>
      </c>
      <c r="D13359" s="0" t="s">
        <v>44364</v>
      </c>
      <c r="E13359" s="0" t="s">
        <v>75</v>
      </c>
      <c r="F13359" s="0" t="s">
        <v>90</v>
      </c>
      <c r="G13359" s="0" t="s">
        <v>16</v>
      </c>
      <c r="H13359" s="0" t="n">
        <v>55</v>
      </c>
      <c r="I13359" s="0" t="s">
        <v>44368</v>
      </c>
      <c r="J13359" s="0" t="s">
        <v>44369</v>
      </c>
      <c r="K13359" s="0" t="s">
        <v>44370</v>
      </c>
      <c r="L13359" s="0" t="str">
        <f aca="false">HYPERLINK("https://www.ncbi.nlm.nih.gov/nuccore/CP000058.1?report=graph&amp;tracks=[key:gene_model_track,Options:GeneOnly]&amp;mk=4170401:4170420|offset_22|444444,4170368:4170387|offset_55|00cc00,4170344:4170363|offset_79|444444,4170323:4170342|offset_100|444444&amp;v=4170200:4170542&amp;c=444444", "offset 55")</f>
        <v>offset 55</v>
      </c>
    </row>
    <row r="13360" customFormat="false" ht="12.8" hidden="false" customHeight="false" outlineLevel="0" collapsed="false">
      <c r="A13360" s="0" t="s">
        <v>12</v>
      </c>
      <c r="B13360" s="0" t="n">
        <v>4170343</v>
      </c>
      <c r="C13360" s="0" t="n">
        <v>4170363</v>
      </c>
      <c r="D13360" s="0" t="s">
        <v>44364</v>
      </c>
      <c r="E13360" s="0" t="s">
        <v>75</v>
      </c>
      <c r="F13360" s="0" t="s">
        <v>90</v>
      </c>
      <c r="G13360" s="0" t="s">
        <v>16</v>
      </c>
      <c r="H13360" s="0" t="n">
        <v>79</v>
      </c>
      <c r="I13360" s="0" t="s">
        <v>44371</v>
      </c>
      <c r="J13360" s="0" t="s">
        <v>44372</v>
      </c>
      <c r="K13360" s="0" t="s">
        <v>44373</v>
      </c>
      <c r="L13360" s="0" t="str">
        <f aca="false">HYPERLINK("https://www.ncbi.nlm.nih.gov/nuccore/CP000058.1?report=graph&amp;tracks=[key:gene_model_track,Options:GeneOnly]&amp;mk=4170401:4170420|offset_22|444444,4170368:4170387|offset_55|444444,4170344:4170363|offset_79|00cc00,4170323:4170342|offset_100|444444&amp;v=4170200:4170542&amp;c=444444", "offset 79")</f>
        <v>offset 79</v>
      </c>
    </row>
    <row r="13361" customFormat="false" ht="12.8" hidden="false" customHeight="false" outlineLevel="0" collapsed="false">
      <c r="A13361" s="0" t="s">
        <v>12</v>
      </c>
      <c r="B13361" s="0" t="n">
        <v>4170322</v>
      </c>
      <c r="C13361" s="0" t="n">
        <v>4170342</v>
      </c>
      <c r="D13361" s="0" t="s">
        <v>44364</v>
      </c>
      <c r="E13361" s="0" t="s">
        <v>75</v>
      </c>
      <c r="F13361" s="0" t="s">
        <v>90</v>
      </c>
      <c r="G13361" s="0" t="s">
        <v>32</v>
      </c>
      <c r="H13361" s="0" t="n">
        <v>100</v>
      </c>
      <c r="I13361" s="0" t="s">
        <v>44374</v>
      </c>
      <c r="J13361" s="0" t="s">
        <v>44375</v>
      </c>
      <c r="K13361" s="0" t="s">
        <v>44376</v>
      </c>
      <c r="L13361" s="0" t="str">
        <f aca="false">HYPERLINK("https://www.ncbi.nlm.nih.gov/nuccore/CP000058.1?report=graph&amp;tracks=[key:gene_model_track,Options:GeneOnly]&amp;mk=4170401:4170420|offset_22|444444,4170368:4170387|offset_55|444444,4170344:4170363|offset_79|444444,4170323:4170342|offset_100|00cc00&amp;v=4170200:4170542&amp;c=444444", "offset 100")</f>
        <v>offset 100</v>
      </c>
    </row>
    <row r="13362" customFormat="false" ht="12.8" hidden="false" customHeight="false" outlineLevel="0" collapsed="false">
      <c r="A13362" s="0" t="s">
        <v>12</v>
      </c>
      <c r="B13362" s="0" t="n">
        <v>4171309</v>
      </c>
      <c r="C13362" s="0" t="n">
        <v>4171329</v>
      </c>
      <c r="D13362" s="0" t="s">
        <v>44377</v>
      </c>
      <c r="E13362" s="0" t="s">
        <v>75</v>
      </c>
      <c r="F13362" s="0" t="s">
        <v>90</v>
      </c>
      <c r="G13362" s="0" t="s">
        <v>36</v>
      </c>
      <c r="H13362" s="0" t="n">
        <v>0</v>
      </c>
      <c r="I13362" s="0" t="s">
        <v>44378</v>
      </c>
      <c r="J13362" s="0" t="s">
        <v>44379</v>
      </c>
      <c r="K13362" s="0" t="s">
        <v>44380</v>
      </c>
      <c r="L13362" s="0" t="str">
        <f aca="false">HYPERLINK("https://www.ncbi.nlm.nih.gov/nuccore/CP000058.1?report=graph&amp;tracks=[key:gene_model_track,Options:GeneOnly]&amp;mk=4171310:4171329|offset_0|00cc00,4171273:4171292|offset_37|444444,4171247:4171266|offset_63|444444,4171223:4171242|offset_87|444444&amp;v=4171109:4171442&amp;c=444444", "offset 0")</f>
        <v>offset 0</v>
      </c>
    </row>
    <row r="13363" customFormat="false" ht="12.8" hidden="false" customHeight="false" outlineLevel="0" collapsed="false">
      <c r="A13363" s="0" t="s">
        <v>12</v>
      </c>
      <c r="B13363" s="0" t="n">
        <v>4171272</v>
      </c>
      <c r="C13363" s="0" t="n">
        <v>4171292</v>
      </c>
      <c r="D13363" s="0" t="s">
        <v>44377</v>
      </c>
      <c r="E13363" s="0" t="s">
        <v>75</v>
      </c>
      <c r="F13363" s="0" t="s">
        <v>90</v>
      </c>
      <c r="G13363" s="0" t="s">
        <v>16</v>
      </c>
      <c r="H13363" s="0" t="n">
        <v>37</v>
      </c>
      <c r="I13363" s="0" t="s">
        <v>44381</v>
      </c>
      <c r="J13363" s="0" t="s">
        <v>44382</v>
      </c>
      <c r="K13363" s="0" t="s">
        <v>44383</v>
      </c>
      <c r="L13363" s="0" t="str">
        <f aca="false">HYPERLINK("https://www.ncbi.nlm.nih.gov/nuccore/CP000058.1?report=graph&amp;tracks=[key:gene_model_track,Options:GeneOnly]&amp;mk=4171310:4171329|offset_0|444444,4171273:4171292|offset_37|00cc00,4171247:4171266|offset_63|444444,4171223:4171242|offset_87|444444&amp;v=4171109:4171442&amp;c=444444", "offset 37")</f>
        <v>offset 37</v>
      </c>
    </row>
    <row r="13364" customFormat="false" ht="12.8" hidden="false" customHeight="false" outlineLevel="0" collapsed="false">
      <c r="A13364" s="0" t="s">
        <v>12</v>
      </c>
      <c r="B13364" s="0" t="n">
        <v>4171246</v>
      </c>
      <c r="C13364" s="0" t="n">
        <v>4171266</v>
      </c>
      <c r="D13364" s="0" t="s">
        <v>44377</v>
      </c>
      <c r="E13364" s="0" t="s">
        <v>75</v>
      </c>
      <c r="F13364" s="0" t="s">
        <v>90</v>
      </c>
      <c r="G13364" s="0" t="s">
        <v>16</v>
      </c>
      <c r="H13364" s="0" t="n">
        <v>63</v>
      </c>
      <c r="I13364" s="0" t="s">
        <v>44384</v>
      </c>
      <c r="J13364" s="0" t="s">
        <v>44385</v>
      </c>
      <c r="K13364" s="0" t="s">
        <v>44386</v>
      </c>
      <c r="L13364" s="0" t="str">
        <f aca="false">HYPERLINK("https://www.ncbi.nlm.nih.gov/nuccore/CP000058.1?report=graph&amp;tracks=[key:gene_model_track,Options:GeneOnly]&amp;mk=4171310:4171329|offset_0|444444,4171273:4171292|offset_37|444444,4171247:4171266|offset_63|00cc00,4171223:4171242|offset_87|444444&amp;v=4171109:4171442&amp;c=444444", "offset 63")</f>
        <v>offset 63</v>
      </c>
    </row>
    <row r="13365" customFormat="false" ht="12.8" hidden="false" customHeight="false" outlineLevel="0" collapsed="false">
      <c r="A13365" s="0" t="s">
        <v>12</v>
      </c>
      <c r="B13365" s="0" t="n">
        <v>4171222</v>
      </c>
      <c r="C13365" s="0" t="n">
        <v>4171242</v>
      </c>
      <c r="D13365" s="0" t="s">
        <v>44377</v>
      </c>
      <c r="E13365" s="0" t="s">
        <v>75</v>
      </c>
      <c r="F13365" s="0" t="s">
        <v>90</v>
      </c>
      <c r="G13365" s="0" t="s">
        <v>16</v>
      </c>
      <c r="H13365" s="0" t="n">
        <v>87</v>
      </c>
      <c r="I13365" s="0" t="s">
        <v>44387</v>
      </c>
      <c r="J13365" s="0" t="s">
        <v>44388</v>
      </c>
      <c r="K13365" s="0" t="s">
        <v>44389</v>
      </c>
      <c r="L13365" s="0" t="str">
        <f aca="false">HYPERLINK("https://www.ncbi.nlm.nih.gov/nuccore/CP000058.1?report=graph&amp;tracks=[key:gene_model_track,Options:GeneOnly]&amp;mk=4171310:4171329|offset_0|444444,4171273:4171292|offset_37|444444,4171247:4171266|offset_63|444444,4171223:4171242|offset_87|00cc00&amp;v=4171109:4171442&amp;c=444444", "offset 87")</f>
        <v>offset 87</v>
      </c>
    </row>
    <row r="13366" customFormat="false" ht="12.8" hidden="false" customHeight="false" outlineLevel="0" collapsed="false">
      <c r="A13366" s="0" t="s">
        <v>12</v>
      </c>
      <c r="B13366" s="0" t="n">
        <v>4171456</v>
      </c>
      <c r="C13366" s="0" t="n">
        <v>4171476</v>
      </c>
      <c r="D13366" s="0" t="s">
        <v>44390</v>
      </c>
      <c r="E13366" s="0" t="s">
        <v>75</v>
      </c>
      <c r="F13366" s="0" t="s">
        <v>15</v>
      </c>
      <c r="G13366" s="0" t="s">
        <v>20</v>
      </c>
      <c r="H13366" s="0" t="n">
        <v>47</v>
      </c>
      <c r="I13366" s="0" t="s">
        <v>44391</v>
      </c>
      <c r="J13366" s="0" t="s">
        <v>44392</v>
      </c>
      <c r="K13366" s="0" t="s">
        <v>44393</v>
      </c>
      <c r="L13366" s="0" t="str">
        <f aca="false">HYPERLINK("https://www.ncbi.nlm.nih.gov/nuccore/CP000058.1?report=graph&amp;tracks=[key:gene_model_track,Options:GeneOnly]&amp;mk=4171457:4171476|offset_47|00cc00,4171489:4171508|offset_79|444444,4171525:4171544|offset_115|444444,4171577:4171596|offset_167|444444&amp;v=4171256:4171796&amp;c=444444", "offset 47")</f>
        <v>offset 47</v>
      </c>
    </row>
    <row r="13367" customFormat="false" ht="12.8" hidden="false" customHeight="false" outlineLevel="0" collapsed="false">
      <c r="A13367" s="0" t="s">
        <v>12</v>
      </c>
      <c r="B13367" s="0" t="n">
        <v>4171488</v>
      </c>
      <c r="C13367" s="0" t="n">
        <v>4171508</v>
      </c>
      <c r="D13367" s="0" t="s">
        <v>44390</v>
      </c>
      <c r="E13367" s="0" t="s">
        <v>75</v>
      </c>
      <c r="F13367" s="0" t="s">
        <v>15</v>
      </c>
      <c r="G13367" s="0" t="s">
        <v>20</v>
      </c>
      <c r="H13367" s="0" t="n">
        <v>79</v>
      </c>
      <c r="I13367" s="0" t="s">
        <v>44394</v>
      </c>
      <c r="J13367" s="0" t="s">
        <v>44395</v>
      </c>
      <c r="K13367" s="0" t="s">
        <v>44396</v>
      </c>
      <c r="L13367" s="0" t="str">
        <f aca="false">HYPERLINK("https://www.ncbi.nlm.nih.gov/nuccore/CP000058.1?report=graph&amp;tracks=[key:gene_model_track,Options:GeneOnly]&amp;mk=4171457:4171476|offset_47|444444,4171489:4171508|offset_79|00cc00,4171525:4171544|offset_115|444444,4171577:4171596|offset_167|444444&amp;v=4171256:4171796&amp;c=444444", "offset 79")</f>
        <v>offset 79</v>
      </c>
    </row>
    <row r="13368" customFormat="false" ht="12.8" hidden="false" customHeight="false" outlineLevel="0" collapsed="false">
      <c r="A13368" s="0" t="s">
        <v>12</v>
      </c>
      <c r="B13368" s="0" t="n">
        <v>4171524</v>
      </c>
      <c r="C13368" s="0" t="n">
        <v>4171544</v>
      </c>
      <c r="D13368" s="0" t="s">
        <v>44390</v>
      </c>
      <c r="E13368" s="0" t="s">
        <v>75</v>
      </c>
      <c r="F13368" s="0" t="s">
        <v>15</v>
      </c>
      <c r="G13368" s="0" t="s">
        <v>32</v>
      </c>
      <c r="H13368" s="0" t="n">
        <v>115</v>
      </c>
      <c r="I13368" s="0" t="s">
        <v>44397</v>
      </c>
      <c r="J13368" s="0" t="s">
        <v>44398</v>
      </c>
      <c r="K13368" s="0" t="s">
        <v>44399</v>
      </c>
      <c r="L13368" s="0" t="str">
        <f aca="false">HYPERLINK("https://www.ncbi.nlm.nih.gov/nuccore/CP000058.1?report=graph&amp;tracks=[key:gene_model_track,Options:GeneOnly]&amp;mk=4171457:4171476|offset_47|444444,4171489:4171508|offset_79|444444,4171525:4171544|offset_115|00cc00,4171577:4171596|offset_167|444444&amp;v=4171256:4171796&amp;c=444444", "offset 115")</f>
        <v>offset 115</v>
      </c>
    </row>
    <row r="13369" customFormat="false" ht="12.8" hidden="false" customHeight="false" outlineLevel="0" collapsed="false">
      <c r="A13369" s="0" t="s">
        <v>12</v>
      </c>
      <c r="B13369" s="0" t="n">
        <v>4171576</v>
      </c>
      <c r="C13369" s="0" t="n">
        <v>4171596</v>
      </c>
      <c r="D13369" s="0" t="s">
        <v>44390</v>
      </c>
      <c r="E13369" s="0" t="s">
        <v>75</v>
      </c>
      <c r="F13369" s="0" t="s">
        <v>15</v>
      </c>
      <c r="G13369" s="0" t="s">
        <v>32</v>
      </c>
      <c r="H13369" s="0" t="n">
        <v>167</v>
      </c>
      <c r="I13369" s="0" t="s">
        <v>44400</v>
      </c>
      <c r="J13369" s="0" t="s">
        <v>44401</v>
      </c>
      <c r="K13369" s="0" t="s">
        <v>44402</v>
      </c>
      <c r="L13369" s="0" t="str">
        <f aca="false">HYPERLINK("https://www.ncbi.nlm.nih.gov/nuccore/CP000058.1?report=graph&amp;tracks=[key:gene_model_track,Options:GeneOnly]&amp;mk=4171457:4171476|offset_47|444444,4171489:4171508|offset_79|444444,4171525:4171544|offset_115|444444,4171577:4171596|offset_167|00cc00&amp;v=4171256:4171796&amp;c=444444", "offset 167")</f>
        <v>offset 167</v>
      </c>
    </row>
    <row r="13370" customFormat="false" ht="12.8" hidden="false" customHeight="false" outlineLevel="0" collapsed="false">
      <c r="A13370" s="0" t="s">
        <v>12</v>
      </c>
      <c r="B13370" s="0" t="n">
        <v>4174301</v>
      </c>
      <c r="C13370" s="0" t="n">
        <v>4174321</v>
      </c>
      <c r="D13370" s="0" t="s">
        <v>44403</v>
      </c>
      <c r="E13370" s="0" t="s">
        <v>75</v>
      </c>
      <c r="F13370" s="0" t="s">
        <v>90</v>
      </c>
      <c r="G13370" s="0" t="s">
        <v>16</v>
      </c>
      <c r="H13370" s="0" t="n">
        <v>13</v>
      </c>
      <c r="I13370" s="0" t="s">
        <v>44404</v>
      </c>
      <c r="J13370" s="0" t="s">
        <v>44405</v>
      </c>
      <c r="K13370" s="0" t="s">
        <v>44406</v>
      </c>
      <c r="L13370" s="0" t="str">
        <f aca="false">HYPERLINK("https://www.ncbi.nlm.nih.gov/nuccore/CP000058.1?report=graph&amp;tracks=[key:gene_model_track,Options:GeneOnly]&amp;mk=4174302:4174321|offset_13|00cc00,4174265:4174284|offset_50|444444,4174237:4174256|offset_78|444444,4174217:4174236|offset_98|444444&amp;v=4174101:4174436&amp;c=444444", "offset 13")</f>
        <v>offset 13</v>
      </c>
    </row>
    <row r="13371" customFormat="false" ht="12.8" hidden="false" customHeight="false" outlineLevel="0" collapsed="false">
      <c r="A13371" s="0" t="s">
        <v>12</v>
      </c>
      <c r="B13371" s="0" t="n">
        <v>4174264</v>
      </c>
      <c r="C13371" s="0" t="n">
        <v>4174284</v>
      </c>
      <c r="D13371" s="0" t="s">
        <v>44403</v>
      </c>
      <c r="E13371" s="0" t="s">
        <v>75</v>
      </c>
      <c r="F13371" s="0" t="s">
        <v>90</v>
      </c>
      <c r="G13371" s="0" t="s">
        <v>16</v>
      </c>
      <c r="H13371" s="0" t="n">
        <v>50</v>
      </c>
      <c r="I13371" s="0" t="s">
        <v>44407</v>
      </c>
      <c r="J13371" s="0" t="s">
        <v>44408</v>
      </c>
      <c r="K13371" s="0" t="s">
        <v>44409</v>
      </c>
      <c r="L13371" s="0" t="str">
        <f aca="false">HYPERLINK("https://www.ncbi.nlm.nih.gov/nuccore/CP000058.1?report=graph&amp;tracks=[key:gene_model_track,Options:GeneOnly]&amp;mk=4174302:4174321|offset_13|444444,4174265:4174284|offset_50|00cc00,4174237:4174256|offset_78|444444,4174217:4174236|offset_98|444444&amp;v=4174101:4174436&amp;c=444444", "offset 50")</f>
        <v>offset 50</v>
      </c>
    </row>
    <row r="13372" customFormat="false" ht="12.8" hidden="false" customHeight="false" outlineLevel="0" collapsed="false">
      <c r="A13372" s="0" t="s">
        <v>12</v>
      </c>
      <c r="B13372" s="0" t="n">
        <v>4174236</v>
      </c>
      <c r="C13372" s="0" t="n">
        <v>4174256</v>
      </c>
      <c r="D13372" s="0" t="s">
        <v>44403</v>
      </c>
      <c r="E13372" s="0" t="s">
        <v>75</v>
      </c>
      <c r="F13372" s="0" t="s">
        <v>90</v>
      </c>
      <c r="G13372" s="0" t="s">
        <v>20</v>
      </c>
      <c r="H13372" s="0" t="n">
        <v>78</v>
      </c>
      <c r="I13372" s="0" t="s">
        <v>44410</v>
      </c>
      <c r="J13372" s="0" t="s">
        <v>44411</v>
      </c>
      <c r="K13372" s="0" t="s">
        <v>44412</v>
      </c>
      <c r="L13372" s="0" t="str">
        <f aca="false">HYPERLINK("https://www.ncbi.nlm.nih.gov/nuccore/CP000058.1?report=graph&amp;tracks=[key:gene_model_track,Options:GeneOnly]&amp;mk=4174302:4174321|offset_13|444444,4174265:4174284|offset_50|444444,4174237:4174256|offset_78|00cc00,4174217:4174236|offset_98|444444&amp;v=4174101:4174436&amp;c=444444", "offset 78")</f>
        <v>offset 78</v>
      </c>
    </row>
    <row r="13373" customFormat="false" ht="12.8" hidden="false" customHeight="false" outlineLevel="0" collapsed="false">
      <c r="A13373" s="0" t="s">
        <v>12</v>
      </c>
      <c r="B13373" s="0" t="n">
        <v>4174216</v>
      </c>
      <c r="C13373" s="0" t="n">
        <v>4174236</v>
      </c>
      <c r="D13373" s="0" t="s">
        <v>44403</v>
      </c>
      <c r="E13373" s="0" t="s">
        <v>75</v>
      </c>
      <c r="F13373" s="0" t="s">
        <v>90</v>
      </c>
      <c r="G13373" s="0" t="s">
        <v>20</v>
      </c>
      <c r="H13373" s="0" t="n">
        <v>98</v>
      </c>
      <c r="I13373" s="0" t="s">
        <v>44413</v>
      </c>
      <c r="J13373" s="0" t="s">
        <v>44414</v>
      </c>
      <c r="K13373" s="0" t="s">
        <v>44415</v>
      </c>
      <c r="L13373" s="0" t="str">
        <f aca="false">HYPERLINK("https://www.ncbi.nlm.nih.gov/nuccore/CP000058.1?report=graph&amp;tracks=[key:gene_model_track,Options:GeneOnly]&amp;mk=4174302:4174321|offset_13|444444,4174265:4174284|offset_50|444444,4174237:4174256|offset_78|444444,4174217:4174236|offset_98|00cc00&amp;v=4174101:4174436&amp;c=444444", "offset 98")</f>
        <v>offset 98</v>
      </c>
    </row>
    <row r="13374" customFormat="false" ht="12.8" hidden="false" customHeight="false" outlineLevel="0" collapsed="false">
      <c r="A13374" s="0" t="s">
        <v>12</v>
      </c>
      <c r="B13374" s="0" t="n">
        <v>4174776</v>
      </c>
      <c r="C13374" s="0" t="n">
        <v>4174796</v>
      </c>
      <c r="D13374" s="0" t="s">
        <v>44416</v>
      </c>
      <c r="E13374" s="0" t="s">
        <v>44417</v>
      </c>
      <c r="F13374" s="0" t="s">
        <v>90</v>
      </c>
      <c r="G13374" s="0" t="s">
        <v>20</v>
      </c>
      <c r="H13374" s="0" t="n">
        <v>0</v>
      </c>
      <c r="I13374" s="0" t="s">
        <v>44418</v>
      </c>
      <c r="J13374" s="0" t="s">
        <v>44419</v>
      </c>
      <c r="K13374" s="0" t="s">
        <v>44420</v>
      </c>
      <c r="L13374" s="0" t="str">
        <f aca="false">HYPERLINK("https://www.ncbi.nlm.nih.gov/nuccore/CP000058.1?report=graph&amp;tracks=[key:gene_model_track,Options:GeneOnly]&amp;mk=4174777:4174796|offset_0|00cc00,4174727:4174746|offset_50|444444,4174706:4174725|offset_71|444444,4174684:4174703|offset_93|444444&amp;v=4174576:4174903&amp;c=444444", "offset 0")</f>
        <v>offset 0</v>
      </c>
    </row>
    <row r="13375" customFormat="false" ht="12.8" hidden="false" customHeight="false" outlineLevel="0" collapsed="false">
      <c r="A13375" s="0" t="s">
        <v>12</v>
      </c>
      <c r="B13375" s="0" t="n">
        <v>4174726</v>
      </c>
      <c r="C13375" s="0" t="n">
        <v>4174746</v>
      </c>
      <c r="D13375" s="0" t="s">
        <v>44416</v>
      </c>
      <c r="E13375" s="0" t="s">
        <v>44417</v>
      </c>
      <c r="F13375" s="0" t="s">
        <v>90</v>
      </c>
      <c r="G13375" s="0" t="s">
        <v>36</v>
      </c>
      <c r="H13375" s="0" t="n">
        <v>50</v>
      </c>
      <c r="I13375" s="0" t="s">
        <v>44421</v>
      </c>
      <c r="J13375" s="0" t="s">
        <v>44422</v>
      </c>
      <c r="K13375" s="0" t="s">
        <v>44423</v>
      </c>
      <c r="L13375" s="0" t="str">
        <f aca="false">HYPERLINK("https://www.ncbi.nlm.nih.gov/nuccore/CP000058.1?report=graph&amp;tracks=[key:gene_model_track,Options:GeneOnly]&amp;mk=4174777:4174796|offset_0|444444,4174727:4174746|offset_50|00cc00,4174706:4174725|offset_71|444444,4174684:4174703|offset_93|444444&amp;v=4174576:4174903&amp;c=444444", "offset 50")</f>
        <v>offset 50</v>
      </c>
    </row>
    <row r="13376" customFormat="false" ht="12.8" hidden="false" customHeight="false" outlineLevel="0" collapsed="false">
      <c r="A13376" s="0" t="s">
        <v>12</v>
      </c>
      <c r="B13376" s="0" t="n">
        <v>4174705</v>
      </c>
      <c r="C13376" s="0" t="n">
        <v>4174725</v>
      </c>
      <c r="D13376" s="0" t="s">
        <v>44416</v>
      </c>
      <c r="E13376" s="0" t="s">
        <v>44417</v>
      </c>
      <c r="F13376" s="0" t="s">
        <v>90</v>
      </c>
      <c r="G13376" s="0" t="s">
        <v>16</v>
      </c>
      <c r="H13376" s="0" t="n">
        <v>71</v>
      </c>
      <c r="I13376" s="0" t="s">
        <v>44424</v>
      </c>
      <c r="J13376" s="0" t="s">
        <v>44425</v>
      </c>
      <c r="K13376" s="0" t="s">
        <v>44426</v>
      </c>
      <c r="L13376" s="0" t="str">
        <f aca="false">HYPERLINK("https://www.ncbi.nlm.nih.gov/nuccore/CP000058.1?report=graph&amp;tracks=[key:gene_model_track,Options:GeneOnly]&amp;mk=4174777:4174796|offset_0|444444,4174727:4174746|offset_50|444444,4174706:4174725|offset_71|00cc00,4174684:4174703|offset_93|444444&amp;v=4174576:4174903&amp;c=444444", "offset 71")</f>
        <v>offset 71</v>
      </c>
    </row>
    <row r="13377" customFormat="false" ht="12.8" hidden="false" customHeight="false" outlineLevel="0" collapsed="false">
      <c r="A13377" s="0" t="s">
        <v>12</v>
      </c>
      <c r="B13377" s="0" t="n">
        <v>4174683</v>
      </c>
      <c r="C13377" s="0" t="n">
        <v>4174703</v>
      </c>
      <c r="D13377" s="0" t="s">
        <v>44416</v>
      </c>
      <c r="E13377" s="0" t="s">
        <v>44417</v>
      </c>
      <c r="F13377" s="0" t="s">
        <v>90</v>
      </c>
      <c r="G13377" s="0" t="s">
        <v>16</v>
      </c>
      <c r="H13377" s="0" t="n">
        <v>93</v>
      </c>
      <c r="I13377" s="0" t="s">
        <v>44427</v>
      </c>
      <c r="J13377" s="0" t="s">
        <v>44428</v>
      </c>
      <c r="K13377" s="0" t="s">
        <v>44429</v>
      </c>
      <c r="L13377" s="0" t="str">
        <f aca="false">HYPERLINK("https://www.ncbi.nlm.nih.gov/nuccore/CP000058.1?report=graph&amp;tracks=[key:gene_model_track,Options:GeneOnly]&amp;mk=4174777:4174796|offset_0|444444,4174727:4174746|offset_50|444444,4174706:4174725|offset_71|444444,4174684:4174703|offset_93|00cc00&amp;v=4174576:4174903&amp;c=444444", "offset 93")</f>
        <v>offset 93</v>
      </c>
    </row>
    <row r="13378" customFormat="false" ht="12.8" hidden="false" customHeight="false" outlineLevel="0" collapsed="false">
      <c r="A13378" s="0" t="s">
        <v>12</v>
      </c>
      <c r="B13378" s="0" t="n">
        <v>4174987</v>
      </c>
      <c r="C13378" s="0" t="n">
        <v>4175007</v>
      </c>
      <c r="D13378" s="0" t="s">
        <v>44430</v>
      </c>
      <c r="E13378" s="0" t="s">
        <v>75</v>
      </c>
      <c r="F13378" s="0" t="s">
        <v>15</v>
      </c>
      <c r="G13378" s="0" t="s">
        <v>32</v>
      </c>
      <c r="H13378" s="0" t="n">
        <v>1</v>
      </c>
      <c r="I13378" s="0" t="s">
        <v>44431</v>
      </c>
      <c r="J13378" s="0" t="s">
        <v>44432</v>
      </c>
      <c r="K13378" s="0" t="s">
        <v>44433</v>
      </c>
      <c r="L13378" s="0" t="str">
        <f aca="false">HYPERLINK("https://www.ncbi.nlm.nih.gov/nuccore/CP000058.1?report=graph&amp;tracks=[key:gene_model_track,Options:GeneOnly]&amp;mk=4174988:4175007|offset_1|00cc00,4175044:4175063|offset_57|444444,4175067:4175086|offset_80|444444,4175091:4175110|offset_104|444444&amp;v=4174787:4175310&amp;c=444444", "offset 1")</f>
        <v>offset 1</v>
      </c>
    </row>
    <row r="13379" customFormat="false" ht="12.8" hidden="false" customHeight="false" outlineLevel="0" collapsed="false">
      <c r="A13379" s="0" t="s">
        <v>12</v>
      </c>
      <c r="B13379" s="0" t="n">
        <v>4175043</v>
      </c>
      <c r="C13379" s="0" t="n">
        <v>4175063</v>
      </c>
      <c r="D13379" s="0" t="s">
        <v>44430</v>
      </c>
      <c r="E13379" s="0" t="s">
        <v>75</v>
      </c>
      <c r="F13379" s="0" t="s">
        <v>15</v>
      </c>
      <c r="G13379" s="0" t="s">
        <v>16</v>
      </c>
      <c r="H13379" s="0" t="n">
        <v>57</v>
      </c>
      <c r="I13379" s="0" t="s">
        <v>44434</v>
      </c>
      <c r="J13379" s="0" t="s">
        <v>44435</v>
      </c>
      <c r="K13379" s="0" t="s">
        <v>44436</v>
      </c>
      <c r="L13379" s="0" t="str">
        <f aca="false">HYPERLINK("https://www.ncbi.nlm.nih.gov/nuccore/CP000058.1?report=graph&amp;tracks=[key:gene_model_track,Options:GeneOnly]&amp;mk=4174988:4175007|offset_1|444444,4175044:4175063|offset_57|00cc00,4175067:4175086|offset_80|444444,4175091:4175110|offset_104|444444&amp;v=4174787:4175310&amp;c=444444", "offset 57")</f>
        <v>offset 57</v>
      </c>
    </row>
    <row r="13380" customFormat="false" ht="12.8" hidden="false" customHeight="false" outlineLevel="0" collapsed="false">
      <c r="A13380" s="0" t="s">
        <v>12</v>
      </c>
      <c r="B13380" s="0" t="n">
        <v>4175066</v>
      </c>
      <c r="C13380" s="0" t="n">
        <v>4175086</v>
      </c>
      <c r="D13380" s="0" t="s">
        <v>44430</v>
      </c>
      <c r="E13380" s="0" t="s">
        <v>75</v>
      </c>
      <c r="F13380" s="0" t="s">
        <v>15</v>
      </c>
      <c r="G13380" s="0" t="s">
        <v>20</v>
      </c>
      <c r="H13380" s="0" t="n">
        <v>80</v>
      </c>
      <c r="I13380" s="0" t="s">
        <v>44437</v>
      </c>
      <c r="J13380" s="0" t="s">
        <v>44438</v>
      </c>
      <c r="K13380" s="0" t="s">
        <v>44439</v>
      </c>
      <c r="L13380" s="0" t="str">
        <f aca="false">HYPERLINK("https://www.ncbi.nlm.nih.gov/nuccore/CP000058.1?report=graph&amp;tracks=[key:gene_model_track,Options:GeneOnly]&amp;mk=4174988:4175007|offset_1|444444,4175044:4175063|offset_57|444444,4175067:4175086|offset_80|00cc00,4175091:4175110|offset_104|444444&amp;v=4174787:4175310&amp;c=444444", "offset 80")</f>
        <v>offset 80</v>
      </c>
    </row>
    <row r="13381" customFormat="false" ht="12.8" hidden="false" customHeight="false" outlineLevel="0" collapsed="false">
      <c r="A13381" s="0" t="s">
        <v>12</v>
      </c>
      <c r="B13381" s="0" t="n">
        <v>4175090</v>
      </c>
      <c r="C13381" s="0" t="n">
        <v>4175110</v>
      </c>
      <c r="D13381" s="0" t="s">
        <v>44430</v>
      </c>
      <c r="E13381" s="0" t="s">
        <v>75</v>
      </c>
      <c r="F13381" s="0" t="s">
        <v>15</v>
      </c>
      <c r="G13381" s="0" t="s">
        <v>20</v>
      </c>
      <c r="H13381" s="0" t="n">
        <v>104</v>
      </c>
      <c r="I13381" s="0" t="s">
        <v>44440</v>
      </c>
      <c r="J13381" s="0" t="s">
        <v>44441</v>
      </c>
      <c r="K13381" s="0" t="s">
        <v>44442</v>
      </c>
      <c r="L13381" s="0" t="str">
        <f aca="false">HYPERLINK("https://www.ncbi.nlm.nih.gov/nuccore/CP000058.1?report=graph&amp;tracks=[key:gene_model_track,Options:GeneOnly]&amp;mk=4174988:4175007|offset_1|444444,4175044:4175063|offset_57|444444,4175067:4175086|offset_80|444444,4175091:4175110|offset_104|00cc00&amp;v=4174787:4175310&amp;c=444444", "offset 104")</f>
        <v>offset 104</v>
      </c>
    </row>
    <row r="13382" customFormat="false" ht="12.8" hidden="false" customHeight="false" outlineLevel="0" collapsed="false">
      <c r="A13382" s="0" t="s">
        <v>12</v>
      </c>
      <c r="B13382" s="0" t="n">
        <v>4176466</v>
      </c>
      <c r="C13382" s="0" t="n">
        <v>4176486</v>
      </c>
      <c r="D13382" s="0" t="s">
        <v>44443</v>
      </c>
      <c r="E13382" s="0" t="s">
        <v>44444</v>
      </c>
      <c r="F13382" s="0" t="s">
        <v>15</v>
      </c>
      <c r="G13382" s="0" t="s">
        <v>32</v>
      </c>
      <c r="H13382" s="0" t="n">
        <v>1</v>
      </c>
      <c r="I13382" s="0" t="s">
        <v>44445</v>
      </c>
      <c r="J13382" s="0" t="s">
        <v>44446</v>
      </c>
      <c r="K13382" s="0" t="s">
        <v>44447</v>
      </c>
      <c r="L13382" s="0" t="str">
        <f aca="false">HYPERLINK("https://www.ncbi.nlm.nih.gov/nuccore/CP000058.1?report=graph&amp;tracks=[key:gene_model_track,Options:GeneOnly]&amp;mk=4176467:4176486|offset_1|00cc00,4176494:4176513|offset_28|444444,4176521:4176540|offset_55|444444,4176566:4176585|offset_100|444444&amp;v=4176266:4176785&amp;c=444444", "offset 1")</f>
        <v>offset 1</v>
      </c>
    </row>
    <row r="13383" customFormat="false" ht="12.8" hidden="false" customHeight="false" outlineLevel="0" collapsed="false">
      <c r="A13383" s="0" t="s">
        <v>12</v>
      </c>
      <c r="B13383" s="0" t="n">
        <v>4176493</v>
      </c>
      <c r="C13383" s="0" t="n">
        <v>4176513</v>
      </c>
      <c r="D13383" s="0" t="s">
        <v>44443</v>
      </c>
      <c r="E13383" s="0" t="s">
        <v>44444</v>
      </c>
      <c r="F13383" s="0" t="s">
        <v>15</v>
      </c>
      <c r="G13383" s="0" t="s">
        <v>32</v>
      </c>
      <c r="H13383" s="0" t="n">
        <v>28</v>
      </c>
      <c r="I13383" s="0" t="s">
        <v>44448</v>
      </c>
      <c r="J13383" s="0" t="s">
        <v>44449</v>
      </c>
      <c r="K13383" s="0" t="s">
        <v>44450</v>
      </c>
      <c r="L13383" s="0" t="str">
        <f aca="false">HYPERLINK("https://www.ncbi.nlm.nih.gov/nuccore/CP000058.1?report=graph&amp;tracks=[key:gene_model_track,Options:GeneOnly]&amp;mk=4176467:4176486|offset_1|444444,4176494:4176513|offset_28|00cc00,4176521:4176540|offset_55|444444,4176566:4176585|offset_100|444444&amp;v=4176266:4176785&amp;c=444444", "offset 28")</f>
        <v>offset 28</v>
      </c>
    </row>
    <row r="13384" customFormat="false" ht="12.8" hidden="false" customHeight="false" outlineLevel="0" collapsed="false">
      <c r="A13384" s="0" t="s">
        <v>12</v>
      </c>
      <c r="B13384" s="0" t="n">
        <v>4176520</v>
      </c>
      <c r="C13384" s="0" t="n">
        <v>4176540</v>
      </c>
      <c r="D13384" s="0" t="s">
        <v>44443</v>
      </c>
      <c r="E13384" s="0" t="s">
        <v>44444</v>
      </c>
      <c r="F13384" s="0" t="s">
        <v>15</v>
      </c>
      <c r="G13384" s="0" t="s">
        <v>32</v>
      </c>
      <c r="H13384" s="0" t="n">
        <v>55</v>
      </c>
      <c r="I13384" s="0" t="s">
        <v>44451</v>
      </c>
      <c r="J13384" s="0" t="s">
        <v>44452</v>
      </c>
      <c r="K13384" s="0" t="s">
        <v>44453</v>
      </c>
      <c r="L13384" s="0" t="str">
        <f aca="false">HYPERLINK("https://www.ncbi.nlm.nih.gov/nuccore/CP000058.1?report=graph&amp;tracks=[key:gene_model_track,Options:GeneOnly]&amp;mk=4176467:4176486|offset_1|444444,4176494:4176513|offset_28|444444,4176521:4176540|offset_55|00cc00,4176566:4176585|offset_100|444444&amp;v=4176266:4176785&amp;c=444444", "offset 55")</f>
        <v>offset 55</v>
      </c>
    </row>
    <row r="13385" customFormat="false" ht="12.8" hidden="false" customHeight="false" outlineLevel="0" collapsed="false">
      <c r="A13385" s="0" t="s">
        <v>12</v>
      </c>
      <c r="B13385" s="0" t="n">
        <v>4176565</v>
      </c>
      <c r="C13385" s="0" t="n">
        <v>4176585</v>
      </c>
      <c r="D13385" s="0" t="s">
        <v>44443</v>
      </c>
      <c r="E13385" s="0" t="s">
        <v>44444</v>
      </c>
      <c r="F13385" s="0" t="s">
        <v>15</v>
      </c>
      <c r="G13385" s="0" t="s">
        <v>32</v>
      </c>
      <c r="H13385" s="0" t="n">
        <v>100</v>
      </c>
      <c r="I13385" s="0" t="s">
        <v>44454</v>
      </c>
      <c r="J13385" s="0" t="s">
        <v>44455</v>
      </c>
      <c r="K13385" s="0" t="s">
        <v>44456</v>
      </c>
      <c r="L13385" s="0" t="str">
        <f aca="false">HYPERLINK("https://www.ncbi.nlm.nih.gov/nuccore/CP000058.1?report=graph&amp;tracks=[key:gene_model_track,Options:GeneOnly]&amp;mk=4176467:4176486|offset_1|444444,4176494:4176513|offset_28|444444,4176521:4176540|offset_55|444444,4176566:4176585|offset_100|00cc00&amp;v=4176266:4176785&amp;c=444444", "offset 100")</f>
        <v>offset 100</v>
      </c>
    </row>
    <row r="13386" customFormat="false" ht="12.8" hidden="false" customHeight="false" outlineLevel="0" collapsed="false">
      <c r="A13386" s="0" t="s">
        <v>12</v>
      </c>
      <c r="B13386" s="0" t="n">
        <v>4177685</v>
      </c>
      <c r="C13386" s="0" t="n">
        <v>4177705</v>
      </c>
      <c r="D13386" s="0" t="s">
        <v>44457</v>
      </c>
      <c r="E13386" s="0" t="s">
        <v>75</v>
      </c>
      <c r="F13386" s="0" t="s">
        <v>15</v>
      </c>
      <c r="G13386" s="0" t="s">
        <v>36</v>
      </c>
      <c r="H13386" s="0" t="n">
        <v>8</v>
      </c>
      <c r="I13386" s="0" t="s">
        <v>44458</v>
      </c>
      <c r="J13386" s="0" t="s">
        <v>44459</v>
      </c>
      <c r="K13386" s="0" t="s">
        <v>44460</v>
      </c>
      <c r="L13386" s="0" t="str">
        <f aca="false">HYPERLINK("https://www.ncbi.nlm.nih.gov/nuccore/CP000058.1?report=graph&amp;tracks=[key:gene_model_track,Options:GeneOnly]&amp;mk=4177686:4177705|offset_8|00cc00,4177714:4177733|offset_36|444444,4177746:4177765|offset_68|444444,4177766:4177785|offset_88|444444&amp;v=4177485:4177985&amp;c=444444", "offset 8")</f>
        <v>offset 8</v>
      </c>
    </row>
    <row r="13387" customFormat="false" ht="12.8" hidden="false" customHeight="false" outlineLevel="0" collapsed="false">
      <c r="A13387" s="0" t="s">
        <v>12</v>
      </c>
      <c r="B13387" s="0" t="n">
        <v>4177713</v>
      </c>
      <c r="C13387" s="0" t="n">
        <v>4177733</v>
      </c>
      <c r="D13387" s="0" t="s">
        <v>44457</v>
      </c>
      <c r="E13387" s="0" t="s">
        <v>75</v>
      </c>
      <c r="F13387" s="0" t="s">
        <v>15</v>
      </c>
      <c r="G13387" s="0" t="s">
        <v>36</v>
      </c>
      <c r="H13387" s="0" t="n">
        <v>36</v>
      </c>
      <c r="I13387" s="0" t="s">
        <v>44461</v>
      </c>
      <c r="J13387" s="0" t="s">
        <v>44462</v>
      </c>
      <c r="K13387" s="0" t="s">
        <v>44463</v>
      </c>
      <c r="L13387" s="0" t="str">
        <f aca="false">HYPERLINK("https://www.ncbi.nlm.nih.gov/nuccore/CP000058.1?report=graph&amp;tracks=[key:gene_model_track,Options:GeneOnly]&amp;mk=4177686:4177705|offset_8|444444,4177714:4177733|offset_36|00cc00,4177746:4177765|offset_68|444444,4177766:4177785|offset_88|444444&amp;v=4177485:4177985&amp;c=444444", "offset 36")</f>
        <v>offset 36</v>
      </c>
    </row>
    <row r="13388" customFormat="false" ht="12.8" hidden="false" customHeight="false" outlineLevel="0" collapsed="false">
      <c r="A13388" s="0" t="s">
        <v>12</v>
      </c>
      <c r="B13388" s="0" t="n">
        <v>4177745</v>
      </c>
      <c r="C13388" s="0" t="n">
        <v>4177765</v>
      </c>
      <c r="D13388" s="0" t="s">
        <v>44457</v>
      </c>
      <c r="E13388" s="0" t="s">
        <v>75</v>
      </c>
      <c r="F13388" s="0" t="s">
        <v>15</v>
      </c>
      <c r="G13388" s="0" t="s">
        <v>36</v>
      </c>
      <c r="H13388" s="0" t="n">
        <v>68</v>
      </c>
      <c r="I13388" s="0" t="s">
        <v>44464</v>
      </c>
      <c r="J13388" s="0" t="s">
        <v>44465</v>
      </c>
      <c r="K13388" s="0" t="s">
        <v>44466</v>
      </c>
      <c r="L13388" s="0" t="str">
        <f aca="false">HYPERLINK("https://www.ncbi.nlm.nih.gov/nuccore/CP000058.1?report=graph&amp;tracks=[key:gene_model_track,Options:GeneOnly]&amp;mk=4177686:4177705|offset_8|444444,4177714:4177733|offset_36|444444,4177746:4177765|offset_68|00cc00,4177766:4177785|offset_88|444444&amp;v=4177485:4177985&amp;c=444444", "offset 68")</f>
        <v>offset 68</v>
      </c>
    </row>
    <row r="13389" customFormat="false" ht="12.8" hidden="false" customHeight="false" outlineLevel="0" collapsed="false">
      <c r="A13389" s="0" t="s">
        <v>12</v>
      </c>
      <c r="B13389" s="0" t="n">
        <v>4177765</v>
      </c>
      <c r="C13389" s="0" t="n">
        <v>4177785</v>
      </c>
      <c r="D13389" s="0" t="s">
        <v>44457</v>
      </c>
      <c r="E13389" s="0" t="s">
        <v>75</v>
      </c>
      <c r="F13389" s="0" t="s">
        <v>15</v>
      </c>
      <c r="G13389" s="0" t="s">
        <v>16</v>
      </c>
      <c r="H13389" s="0" t="n">
        <v>88</v>
      </c>
      <c r="I13389" s="0" t="s">
        <v>44467</v>
      </c>
      <c r="J13389" s="0" t="s">
        <v>44468</v>
      </c>
      <c r="K13389" s="0" t="s">
        <v>44469</v>
      </c>
      <c r="L13389" s="0" t="str">
        <f aca="false">HYPERLINK("https://www.ncbi.nlm.nih.gov/nuccore/CP000058.1?report=graph&amp;tracks=[key:gene_model_track,Options:GeneOnly]&amp;mk=4177686:4177705|offset_8|444444,4177714:4177733|offset_36|444444,4177746:4177765|offset_68|444444,4177766:4177785|offset_88|00cc00&amp;v=4177485:4177985&amp;c=444444", "offset 88")</f>
        <v>offset 88</v>
      </c>
    </row>
    <row r="13390" customFormat="false" ht="12.8" hidden="false" customHeight="false" outlineLevel="0" collapsed="false">
      <c r="A13390" s="0" t="s">
        <v>12</v>
      </c>
      <c r="B13390" s="0" t="n">
        <v>4180195</v>
      </c>
      <c r="C13390" s="0" t="n">
        <v>4180215</v>
      </c>
      <c r="D13390" s="0" t="s">
        <v>44470</v>
      </c>
      <c r="E13390" s="0" t="s">
        <v>75</v>
      </c>
      <c r="F13390" s="0" t="s">
        <v>90</v>
      </c>
      <c r="G13390" s="0" t="s">
        <v>36</v>
      </c>
      <c r="H13390" s="0" t="n">
        <v>33</v>
      </c>
      <c r="I13390" s="0" t="s">
        <v>44471</v>
      </c>
      <c r="J13390" s="0" t="s">
        <v>44472</v>
      </c>
      <c r="K13390" s="0" t="s">
        <v>44473</v>
      </c>
      <c r="L13390" s="0" t="str">
        <f aca="false">HYPERLINK("https://www.ncbi.nlm.nih.gov/nuccore/CP000058.1?report=graph&amp;tracks=[key:gene_model_track,Options:GeneOnly]&amp;mk=4180196:4180215|offset_33|00cc00,4180168:4180187|offset_61|444444,4180126:4180145|offset_103|444444,4180102:4180121|offset_127|444444&amp;v=4179995:4180321&amp;c=444444", "offset 33")</f>
        <v>offset 33</v>
      </c>
    </row>
    <row r="13391" customFormat="false" ht="12.8" hidden="false" customHeight="false" outlineLevel="0" collapsed="false">
      <c r="A13391" s="0" t="s">
        <v>12</v>
      </c>
      <c r="B13391" s="0" t="n">
        <v>4180167</v>
      </c>
      <c r="C13391" s="0" t="n">
        <v>4180187</v>
      </c>
      <c r="D13391" s="0" t="s">
        <v>44470</v>
      </c>
      <c r="E13391" s="0" t="s">
        <v>75</v>
      </c>
      <c r="F13391" s="0" t="s">
        <v>90</v>
      </c>
      <c r="G13391" s="0" t="s">
        <v>16</v>
      </c>
      <c r="H13391" s="0" t="n">
        <v>61</v>
      </c>
      <c r="I13391" s="0" t="s">
        <v>44474</v>
      </c>
      <c r="J13391" s="0" t="s">
        <v>44475</v>
      </c>
      <c r="K13391" s="0" t="s">
        <v>44476</v>
      </c>
      <c r="L13391" s="0" t="str">
        <f aca="false">HYPERLINK("https://www.ncbi.nlm.nih.gov/nuccore/CP000058.1?report=graph&amp;tracks=[key:gene_model_track,Options:GeneOnly]&amp;mk=4180196:4180215|offset_33|444444,4180168:4180187|offset_61|00cc00,4180126:4180145|offset_103|444444,4180102:4180121|offset_127|444444&amp;v=4179995:4180321&amp;c=444444", "offset 61")</f>
        <v>offset 61</v>
      </c>
    </row>
    <row r="13392" customFormat="false" ht="12.8" hidden="false" customHeight="false" outlineLevel="0" collapsed="false">
      <c r="A13392" s="0" t="s">
        <v>12</v>
      </c>
      <c r="B13392" s="0" t="n">
        <v>4180125</v>
      </c>
      <c r="C13392" s="0" t="n">
        <v>4180145</v>
      </c>
      <c r="D13392" s="0" t="s">
        <v>44470</v>
      </c>
      <c r="E13392" s="0" t="s">
        <v>75</v>
      </c>
      <c r="F13392" s="0" t="s">
        <v>90</v>
      </c>
      <c r="G13392" s="0" t="s">
        <v>32</v>
      </c>
      <c r="H13392" s="0" t="n">
        <v>103</v>
      </c>
      <c r="I13392" s="0" t="s">
        <v>44477</v>
      </c>
      <c r="J13392" s="0" t="s">
        <v>44478</v>
      </c>
      <c r="K13392" s="0" t="s">
        <v>44479</v>
      </c>
      <c r="L13392" s="0" t="str">
        <f aca="false">HYPERLINK("https://www.ncbi.nlm.nih.gov/nuccore/CP000058.1?report=graph&amp;tracks=[key:gene_model_track,Options:GeneOnly]&amp;mk=4180196:4180215|offset_33|444444,4180168:4180187|offset_61|444444,4180126:4180145|offset_103|00cc00,4180102:4180121|offset_127|444444&amp;v=4179995:4180321&amp;c=444444", "offset 103")</f>
        <v>offset 103</v>
      </c>
    </row>
    <row r="13393" customFormat="false" ht="12.8" hidden="false" customHeight="false" outlineLevel="0" collapsed="false">
      <c r="A13393" s="0" t="s">
        <v>12</v>
      </c>
      <c r="B13393" s="0" t="n">
        <v>4180101</v>
      </c>
      <c r="C13393" s="0" t="n">
        <v>4180121</v>
      </c>
      <c r="D13393" s="0" t="s">
        <v>44470</v>
      </c>
      <c r="E13393" s="0" t="s">
        <v>75</v>
      </c>
      <c r="F13393" s="0" t="s">
        <v>90</v>
      </c>
      <c r="G13393" s="0" t="s">
        <v>32</v>
      </c>
      <c r="H13393" s="0" t="n">
        <v>127</v>
      </c>
      <c r="I13393" s="0" t="s">
        <v>44480</v>
      </c>
      <c r="J13393" s="0" t="s">
        <v>44481</v>
      </c>
      <c r="K13393" s="0" t="s">
        <v>44482</v>
      </c>
      <c r="L13393" s="0" t="str">
        <f aca="false">HYPERLINK("https://www.ncbi.nlm.nih.gov/nuccore/CP000058.1?report=graph&amp;tracks=[key:gene_model_track,Options:GeneOnly]&amp;mk=4180196:4180215|offset_33|444444,4180168:4180187|offset_61|444444,4180126:4180145|offset_103|444444,4180102:4180121|offset_127|00cc00&amp;v=4179995:4180321&amp;c=444444", "offset 127")</f>
        <v>offset 127</v>
      </c>
    </row>
    <row r="13394" customFormat="false" ht="12.8" hidden="false" customHeight="false" outlineLevel="0" collapsed="false">
      <c r="A13394" s="0" t="s">
        <v>12</v>
      </c>
      <c r="B13394" s="0" t="n">
        <v>4181370</v>
      </c>
      <c r="C13394" s="0" t="n">
        <v>4181390</v>
      </c>
      <c r="D13394" s="0" t="s">
        <v>44483</v>
      </c>
      <c r="E13394" s="0" t="s">
        <v>75</v>
      </c>
      <c r="F13394" s="0" t="s">
        <v>90</v>
      </c>
      <c r="G13394" s="0" t="s">
        <v>16</v>
      </c>
      <c r="H13394" s="0" t="n">
        <v>40</v>
      </c>
      <c r="I13394" s="0" t="s">
        <v>44484</v>
      </c>
      <c r="J13394" s="0" t="s">
        <v>44485</v>
      </c>
      <c r="K13394" s="0" t="s">
        <v>44486</v>
      </c>
      <c r="L13394" s="0" t="str">
        <f aca="false">HYPERLINK("https://www.ncbi.nlm.nih.gov/nuccore/CP000058.1?report=graph&amp;tracks=[key:gene_model_track,Options:GeneOnly]&amp;mk=4181371:4181390|offset_40|00cc00,4181343:4181362|offset_68|444444,4181296:4181315|offset_115|444444,4181265:4181284|offset_146|444444&amp;v=4181170:4181484&amp;c=444444", "offset 40")</f>
        <v>offset 40</v>
      </c>
    </row>
    <row r="13395" customFormat="false" ht="12.8" hidden="false" customHeight="false" outlineLevel="0" collapsed="false">
      <c r="A13395" s="0" t="s">
        <v>12</v>
      </c>
      <c r="B13395" s="0" t="n">
        <v>4181342</v>
      </c>
      <c r="C13395" s="0" t="n">
        <v>4181362</v>
      </c>
      <c r="D13395" s="0" t="s">
        <v>44483</v>
      </c>
      <c r="E13395" s="0" t="s">
        <v>75</v>
      </c>
      <c r="F13395" s="0" t="s">
        <v>90</v>
      </c>
      <c r="G13395" s="0" t="s">
        <v>16</v>
      </c>
      <c r="H13395" s="0" t="n">
        <v>68</v>
      </c>
      <c r="I13395" s="0" t="s">
        <v>44487</v>
      </c>
      <c r="J13395" s="0" t="s">
        <v>44488</v>
      </c>
      <c r="K13395" s="0" t="s">
        <v>44489</v>
      </c>
      <c r="L13395" s="0" t="str">
        <f aca="false">HYPERLINK("https://www.ncbi.nlm.nih.gov/nuccore/CP000058.1?report=graph&amp;tracks=[key:gene_model_track,Options:GeneOnly]&amp;mk=4181371:4181390|offset_40|444444,4181343:4181362|offset_68|00cc00,4181296:4181315|offset_115|444444,4181265:4181284|offset_146|444444&amp;v=4181170:4181484&amp;c=444444", "offset 68")</f>
        <v>offset 68</v>
      </c>
    </row>
    <row r="13396" customFormat="false" ht="12.8" hidden="false" customHeight="false" outlineLevel="0" collapsed="false">
      <c r="A13396" s="0" t="s">
        <v>12</v>
      </c>
      <c r="B13396" s="0" t="n">
        <v>4181295</v>
      </c>
      <c r="C13396" s="0" t="n">
        <v>4181315</v>
      </c>
      <c r="D13396" s="0" t="s">
        <v>44483</v>
      </c>
      <c r="E13396" s="0" t="s">
        <v>75</v>
      </c>
      <c r="F13396" s="0" t="s">
        <v>90</v>
      </c>
      <c r="G13396" s="0" t="s">
        <v>32</v>
      </c>
      <c r="H13396" s="0" t="n">
        <v>115</v>
      </c>
      <c r="I13396" s="0" t="s">
        <v>44490</v>
      </c>
      <c r="J13396" s="0" t="s">
        <v>44491</v>
      </c>
      <c r="K13396" s="0" t="s">
        <v>44492</v>
      </c>
      <c r="L13396" s="0" t="str">
        <f aca="false">HYPERLINK("https://www.ncbi.nlm.nih.gov/nuccore/CP000058.1?report=graph&amp;tracks=[key:gene_model_track,Options:GeneOnly]&amp;mk=4181371:4181390|offset_40|444444,4181343:4181362|offset_68|444444,4181296:4181315|offset_115|00cc00,4181265:4181284|offset_146|444444&amp;v=4181170:4181484&amp;c=444444", "offset 115")</f>
        <v>offset 115</v>
      </c>
    </row>
    <row r="13397" customFormat="false" ht="12.8" hidden="false" customHeight="false" outlineLevel="0" collapsed="false">
      <c r="A13397" s="0" t="s">
        <v>12</v>
      </c>
      <c r="B13397" s="0" t="n">
        <v>4181264</v>
      </c>
      <c r="C13397" s="0" t="n">
        <v>4181284</v>
      </c>
      <c r="D13397" s="0" t="s">
        <v>44483</v>
      </c>
      <c r="E13397" s="0" t="s">
        <v>75</v>
      </c>
      <c r="F13397" s="0" t="s">
        <v>90</v>
      </c>
      <c r="G13397" s="0" t="s">
        <v>36</v>
      </c>
      <c r="H13397" s="0" t="n">
        <v>146</v>
      </c>
      <c r="I13397" s="0" t="s">
        <v>44493</v>
      </c>
      <c r="J13397" s="0" t="s">
        <v>44494</v>
      </c>
      <c r="K13397" s="0" t="s">
        <v>44495</v>
      </c>
      <c r="L13397" s="0" t="str">
        <f aca="false">HYPERLINK("https://www.ncbi.nlm.nih.gov/nuccore/CP000058.1?report=graph&amp;tracks=[key:gene_model_track,Options:GeneOnly]&amp;mk=4181371:4181390|offset_40|444444,4181343:4181362|offset_68|444444,4181296:4181315|offset_115|444444,4181265:4181284|offset_146|00cc00&amp;v=4181170:4181484&amp;c=444444", "offset 146")</f>
        <v>offset 146</v>
      </c>
    </row>
    <row r="13398" customFormat="false" ht="12.8" hidden="false" customHeight="false" outlineLevel="0" collapsed="false">
      <c r="A13398" s="0" t="s">
        <v>12</v>
      </c>
      <c r="B13398" s="0" t="n">
        <v>4181609</v>
      </c>
      <c r="C13398" s="0" t="n">
        <v>4181629</v>
      </c>
      <c r="D13398" s="0" t="s">
        <v>44496</v>
      </c>
      <c r="E13398" s="0" t="s">
        <v>75</v>
      </c>
      <c r="F13398" s="0" t="s">
        <v>15</v>
      </c>
      <c r="G13398" s="0" t="s">
        <v>32</v>
      </c>
      <c r="H13398" s="0" t="n">
        <v>8</v>
      </c>
      <c r="I13398" s="0" t="s">
        <v>44497</v>
      </c>
      <c r="J13398" s="0" t="s">
        <v>44498</v>
      </c>
      <c r="K13398" s="0" t="s">
        <v>44499</v>
      </c>
      <c r="L13398" s="0" t="str">
        <f aca="false">HYPERLINK("https://www.ncbi.nlm.nih.gov/nuccore/CP000058.1?report=graph&amp;tracks=[key:gene_model_track,Options:GeneOnly]&amp;mk=4181610:4181629|offset_8|00cc00,4181644:4181663|offset_42|444444,4181667:4181686|offset_65|444444,4181702:4181721|offset_100|444444&amp;v=4181409:4181921&amp;c=444444", "offset 8")</f>
        <v>offset 8</v>
      </c>
    </row>
    <row r="13399" customFormat="false" ht="12.8" hidden="false" customHeight="false" outlineLevel="0" collapsed="false">
      <c r="A13399" s="0" t="s">
        <v>12</v>
      </c>
      <c r="B13399" s="0" t="n">
        <v>4181643</v>
      </c>
      <c r="C13399" s="0" t="n">
        <v>4181663</v>
      </c>
      <c r="D13399" s="0" t="s">
        <v>44496</v>
      </c>
      <c r="E13399" s="0" t="s">
        <v>75</v>
      </c>
      <c r="F13399" s="0" t="s">
        <v>15</v>
      </c>
      <c r="G13399" s="0" t="s">
        <v>16</v>
      </c>
      <c r="H13399" s="0" t="n">
        <v>42</v>
      </c>
      <c r="I13399" s="0" t="s">
        <v>44500</v>
      </c>
      <c r="J13399" s="0" t="s">
        <v>44501</v>
      </c>
      <c r="K13399" s="0" t="s">
        <v>44502</v>
      </c>
      <c r="L13399" s="0" t="str">
        <f aca="false">HYPERLINK("https://www.ncbi.nlm.nih.gov/nuccore/CP000058.1?report=graph&amp;tracks=[key:gene_model_track,Options:GeneOnly]&amp;mk=4181610:4181629|offset_8|444444,4181644:4181663|offset_42|00cc00,4181667:4181686|offset_65|444444,4181702:4181721|offset_100|444444&amp;v=4181409:4181921&amp;c=444444", "offset 42")</f>
        <v>offset 42</v>
      </c>
    </row>
    <row r="13400" customFormat="false" ht="12.8" hidden="false" customHeight="false" outlineLevel="0" collapsed="false">
      <c r="A13400" s="0" t="s">
        <v>12</v>
      </c>
      <c r="B13400" s="0" t="n">
        <v>4181666</v>
      </c>
      <c r="C13400" s="0" t="n">
        <v>4181686</v>
      </c>
      <c r="D13400" s="0" t="s">
        <v>44496</v>
      </c>
      <c r="E13400" s="0" t="s">
        <v>75</v>
      </c>
      <c r="F13400" s="0" t="s">
        <v>15</v>
      </c>
      <c r="G13400" s="0" t="s">
        <v>36</v>
      </c>
      <c r="H13400" s="0" t="n">
        <v>65</v>
      </c>
      <c r="I13400" s="0" t="s">
        <v>44503</v>
      </c>
      <c r="J13400" s="0" t="s">
        <v>44504</v>
      </c>
      <c r="K13400" s="0" t="s">
        <v>44505</v>
      </c>
      <c r="L13400" s="0" t="str">
        <f aca="false">HYPERLINK("https://www.ncbi.nlm.nih.gov/nuccore/CP000058.1?report=graph&amp;tracks=[key:gene_model_track,Options:GeneOnly]&amp;mk=4181610:4181629|offset_8|444444,4181644:4181663|offset_42|444444,4181667:4181686|offset_65|00cc00,4181702:4181721|offset_100|444444&amp;v=4181409:4181921&amp;c=444444", "offset 65")</f>
        <v>offset 65</v>
      </c>
    </row>
    <row r="13401" customFormat="false" ht="12.8" hidden="false" customHeight="false" outlineLevel="0" collapsed="false">
      <c r="A13401" s="0" t="s">
        <v>12</v>
      </c>
      <c r="B13401" s="0" t="n">
        <v>4181701</v>
      </c>
      <c r="C13401" s="0" t="n">
        <v>4181721</v>
      </c>
      <c r="D13401" s="0" t="s">
        <v>44496</v>
      </c>
      <c r="E13401" s="0" t="s">
        <v>75</v>
      </c>
      <c r="F13401" s="0" t="s">
        <v>15</v>
      </c>
      <c r="G13401" s="0" t="s">
        <v>36</v>
      </c>
      <c r="H13401" s="0" t="n">
        <v>100</v>
      </c>
      <c r="I13401" s="0" t="s">
        <v>44506</v>
      </c>
      <c r="J13401" s="0" t="s">
        <v>44507</v>
      </c>
      <c r="K13401" s="0" t="s">
        <v>44508</v>
      </c>
      <c r="L13401" s="0" t="str">
        <f aca="false">HYPERLINK("https://www.ncbi.nlm.nih.gov/nuccore/CP000058.1?report=graph&amp;tracks=[key:gene_model_track,Options:GeneOnly]&amp;mk=4181610:4181629|offset_8|444444,4181644:4181663|offset_42|444444,4181667:4181686|offset_65|444444,4181702:4181721|offset_100|00cc00&amp;v=4181409:4181921&amp;c=444444", "offset 100")</f>
        <v>offset 100</v>
      </c>
    </row>
    <row r="13402" customFormat="false" ht="12.8" hidden="false" customHeight="false" outlineLevel="0" collapsed="false">
      <c r="A13402" s="0" t="s">
        <v>12</v>
      </c>
      <c r="B13402" s="0" t="n">
        <v>4183138</v>
      </c>
      <c r="C13402" s="0" t="n">
        <v>4183158</v>
      </c>
      <c r="D13402" s="0" t="s">
        <v>44509</v>
      </c>
      <c r="E13402" s="0" t="s">
        <v>75</v>
      </c>
      <c r="F13402" s="0" t="s">
        <v>90</v>
      </c>
      <c r="G13402" s="0" t="s">
        <v>20</v>
      </c>
      <c r="H13402" s="0" t="n">
        <v>42</v>
      </c>
      <c r="I13402" s="0" t="s">
        <v>44510</v>
      </c>
      <c r="J13402" s="0" t="s">
        <v>44511</v>
      </c>
      <c r="K13402" s="0" t="s">
        <v>44512</v>
      </c>
      <c r="L13402" s="0" t="str">
        <f aca="false">HYPERLINK("https://www.ncbi.nlm.nih.gov/nuccore/CP000058.1?report=graph&amp;tracks=[key:gene_model_track,Options:GeneOnly]&amp;mk=4183139:4183158|offset_42|00cc00,4183092:4183111|offset_89|444444,4183065:4183084|offset_116|444444,4183017:4183036|offset_164|444444&amp;v=4182938:4183236&amp;c=444444", "offset 42")</f>
        <v>offset 42</v>
      </c>
    </row>
    <row r="13403" customFormat="false" ht="12.8" hidden="false" customHeight="false" outlineLevel="0" collapsed="false">
      <c r="A13403" s="0" t="s">
        <v>12</v>
      </c>
      <c r="B13403" s="0" t="n">
        <v>4183091</v>
      </c>
      <c r="C13403" s="0" t="n">
        <v>4183111</v>
      </c>
      <c r="D13403" s="0" t="s">
        <v>44509</v>
      </c>
      <c r="E13403" s="0" t="s">
        <v>75</v>
      </c>
      <c r="F13403" s="0" t="s">
        <v>90</v>
      </c>
      <c r="G13403" s="0" t="s">
        <v>32</v>
      </c>
      <c r="H13403" s="0" t="n">
        <v>89</v>
      </c>
      <c r="I13403" s="0" t="s">
        <v>44513</v>
      </c>
      <c r="J13403" s="0" t="s">
        <v>44514</v>
      </c>
      <c r="K13403" s="0" t="s">
        <v>44515</v>
      </c>
      <c r="L13403" s="0" t="str">
        <f aca="false">HYPERLINK("https://www.ncbi.nlm.nih.gov/nuccore/CP000058.1?report=graph&amp;tracks=[key:gene_model_track,Options:GeneOnly]&amp;mk=4183139:4183158|offset_42|444444,4183092:4183111|offset_89|00cc00,4183065:4183084|offset_116|444444,4183017:4183036|offset_164|444444&amp;v=4182938:4183236&amp;c=444444", "offset 89")</f>
        <v>offset 89</v>
      </c>
    </row>
    <row r="13404" customFormat="false" ht="12.8" hidden="false" customHeight="false" outlineLevel="0" collapsed="false">
      <c r="A13404" s="0" t="s">
        <v>12</v>
      </c>
      <c r="B13404" s="0" t="n">
        <v>4183064</v>
      </c>
      <c r="C13404" s="0" t="n">
        <v>4183084</v>
      </c>
      <c r="D13404" s="0" t="s">
        <v>44509</v>
      </c>
      <c r="E13404" s="0" t="s">
        <v>75</v>
      </c>
      <c r="F13404" s="0" t="s">
        <v>90</v>
      </c>
      <c r="G13404" s="0" t="s">
        <v>16</v>
      </c>
      <c r="H13404" s="0" t="n">
        <v>116</v>
      </c>
      <c r="I13404" s="0" t="s">
        <v>44516</v>
      </c>
      <c r="J13404" s="0" t="s">
        <v>44517</v>
      </c>
      <c r="K13404" s="0" t="s">
        <v>44518</v>
      </c>
      <c r="L13404" s="0" t="str">
        <f aca="false">HYPERLINK("https://www.ncbi.nlm.nih.gov/nuccore/CP000058.1?report=graph&amp;tracks=[key:gene_model_track,Options:GeneOnly]&amp;mk=4183139:4183158|offset_42|444444,4183092:4183111|offset_89|444444,4183065:4183084|offset_116|00cc00,4183017:4183036|offset_164|444444&amp;v=4182938:4183236&amp;c=444444", "offset 116")</f>
        <v>offset 116</v>
      </c>
    </row>
    <row r="13405" customFormat="false" ht="12.8" hidden="false" customHeight="false" outlineLevel="0" collapsed="false">
      <c r="A13405" s="0" t="s">
        <v>12</v>
      </c>
      <c r="B13405" s="0" t="n">
        <v>4183016</v>
      </c>
      <c r="C13405" s="0" t="n">
        <v>4183036</v>
      </c>
      <c r="D13405" s="0" t="s">
        <v>44509</v>
      </c>
      <c r="E13405" s="0" t="s">
        <v>75</v>
      </c>
      <c r="F13405" s="0" t="s">
        <v>90</v>
      </c>
      <c r="G13405" s="0" t="s">
        <v>20</v>
      </c>
      <c r="H13405" s="0" t="n">
        <v>164</v>
      </c>
      <c r="I13405" s="0" t="s">
        <v>44519</v>
      </c>
      <c r="J13405" s="0" t="s">
        <v>44520</v>
      </c>
      <c r="K13405" s="0" t="s">
        <v>44521</v>
      </c>
      <c r="L13405" s="0" t="str">
        <f aca="false">HYPERLINK("https://www.ncbi.nlm.nih.gov/nuccore/CP000058.1?report=graph&amp;tracks=[key:gene_model_track,Options:GeneOnly]&amp;mk=4183139:4183158|offset_42|444444,4183092:4183111|offset_89|444444,4183065:4183084|offset_116|444444,4183017:4183036|offset_164|00cc00&amp;v=4182938:4183236&amp;c=444444", "offset 164")</f>
        <v>offset 164</v>
      </c>
    </row>
    <row r="13406" customFormat="false" ht="12.8" hidden="false" customHeight="false" outlineLevel="0" collapsed="false">
      <c r="A13406" s="0" t="s">
        <v>12</v>
      </c>
      <c r="B13406" s="0" t="n">
        <v>4186305</v>
      </c>
      <c r="C13406" s="0" t="n">
        <v>4186325</v>
      </c>
      <c r="D13406" s="0" t="s">
        <v>44522</v>
      </c>
      <c r="E13406" s="0" t="s">
        <v>75</v>
      </c>
      <c r="F13406" s="0" t="s">
        <v>15</v>
      </c>
      <c r="G13406" s="0" t="s">
        <v>16</v>
      </c>
      <c r="H13406" s="0" t="n">
        <v>32</v>
      </c>
      <c r="I13406" s="0" t="s">
        <v>44523</v>
      </c>
      <c r="J13406" s="0" t="s">
        <v>44524</v>
      </c>
      <c r="K13406" s="0" t="s">
        <v>44525</v>
      </c>
      <c r="L13406" s="0" t="str">
        <f aca="false">HYPERLINK("https://www.ncbi.nlm.nih.gov/nuccore/CP000058.1?report=graph&amp;tracks=[key:gene_model_track,Options:GeneOnly]&amp;mk=4186306:4186325|offset_32|00cc00,4186336:4186355|offset_62|444444,4186359:4186378|offset_85|444444,4186423:4186442|offset_149|444444&amp;v=4186105:4186642&amp;c=444444", "offset 32")</f>
        <v>offset 32</v>
      </c>
    </row>
    <row r="13407" customFormat="false" ht="12.8" hidden="false" customHeight="false" outlineLevel="0" collapsed="false">
      <c r="A13407" s="0" t="s">
        <v>12</v>
      </c>
      <c r="B13407" s="0" t="n">
        <v>4186335</v>
      </c>
      <c r="C13407" s="0" t="n">
        <v>4186355</v>
      </c>
      <c r="D13407" s="0" t="s">
        <v>44522</v>
      </c>
      <c r="E13407" s="0" t="s">
        <v>75</v>
      </c>
      <c r="F13407" s="0" t="s">
        <v>15</v>
      </c>
      <c r="G13407" s="0" t="s">
        <v>16</v>
      </c>
      <c r="H13407" s="0" t="n">
        <v>62</v>
      </c>
      <c r="I13407" s="0" t="s">
        <v>44526</v>
      </c>
      <c r="J13407" s="0" t="s">
        <v>44527</v>
      </c>
      <c r="K13407" s="0" t="s">
        <v>44528</v>
      </c>
      <c r="L13407" s="0" t="str">
        <f aca="false">HYPERLINK("https://www.ncbi.nlm.nih.gov/nuccore/CP000058.1?report=graph&amp;tracks=[key:gene_model_track,Options:GeneOnly]&amp;mk=4186306:4186325|offset_32|444444,4186336:4186355|offset_62|00cc00,4186359:4186378|offset_85|444444,4186423:4186442|offset_149|444444&amp;v=4186105:4186642&amp;c=444444", "offset 62")</f>
        <v>offset 62</v>
      </c>
    </row>
    <row r="13408" customFormat="false" ht="12.8" hidden="false" customHeight="false" outlineLevel="0" collapsed="false">
      <c r="A13408" s="0" t="s">
        <v>12</v>
      </c>
      <c r="B13408" s="0" t="n">
        <v>4186358</v>
      </c>
      <c r="C13408" s="0" t="n">
        <v>4186378</v>
      </c>
      <c r="D13408" s="0" t="s">
        <v>44522</v>
      </c>
      <c r="E13408" s="0" t="s">
        <v>75</v>
      </c>
      <c r="F13408" s="0" t="s">
        <v>15</v>
      </c>
      <c r="G13408" s="0" t="s">
        <v>36</v>
      </c>
      <c r="H13408" s="0" t="n">
        <v>85</v>
      </c>
      <c r="I13408" s="0" t="s">
        <v>44529</v>
      </c>
      <c r="J13408" s="0" t="s">
        <v>44530</v>
      </c>
      <c r="K13408" s="0" t="s">
        <v>44531</v>
      </c>
      <c r="L13408" s="0" t="str">
        <f aca="false">HYPERLINK("https://www.ncbi.nlm.nih.gov/nuccore/CP000058.1?report=graph&amp;tracks=[key:gene_model_track,Options:GeneOnly]&amp;mk=4186306:4186325|offset_32|444444,4186336:4186355|offset_62|444444,4186359:4186378|offset_85|00cc00,4186423:4186442|offset_149|444444&amp;v=4186105:4186642&amp;c=444444", "offset 85")</f>
        <v>offset 85</v>
      </c>
    </row>
    <row r="13409" customFormat="false" ht="12.8" hidden="false" customHeight="false" outlineLevel="0" collapsed="false">
      <c r="A13409" s="0" t="s">
        <v>12</v>
      </c>
      <c r="B13409" s="0" t="n">
        <v>4186422</v>
      </c>
      <c r="C13409" s="0" t="n">
        <v>4186442</v>
      </c>
      <c r="D13409" s="0" t="s">
        <v>44522</v>
      </c>
      <c r="E13409" s="0" t="s">
        <v>75</v>
      </c>
      <c r="F13409" s="0" t="s">
        <v>15</v>
      </c>
      <c r="G13409" s="0" t="s">
        <v>36</v>
      </c>
      <c r="H13409" s="0" t="n">
        <v>149</v>
      </c>
      <c r="I13409" s="0" t="s">
        <v>44532</v>
      </c>
      <c r="J13409" s="0" t="s">
        <v>44533</v>
      </c>
      <c r="K13409" s="0" t="s">
        <v>44534</v>
      </c>
      <c r="L13409" s="0" t="str">
        <f aca="false">HYPERLINK("https://www.ncbi.nlm.nih.gov/nuccore/CP000058.1?report=graph&amp;tracks=[key:gene_model_track,Options:GeneOnly]&amp;mk=4186306:4186325|offset_32|444444,4186336:4186355|offset_62|444444,4186359:4186378|offset_85|444444,4186423:4186442|offset_149|00cc00&amp;v=4186105:4186642&amp;c=444444", "offset 149")</f>
        <v>offset 149</v>
      </c>
    </row>
    <row r="13410" customFormat="false" ht="12.8" hidden="false" customHeight="false" outlineLevel="0" collapsed="false">
      <c r="A13410" s="0" t="s">
        <v>12</v>
      </c>
      <c r="B13410" s="0" t="n">
        <v>4187113</v>
      </c>
      <c r="C13410" s="0" t="n">
        <v>4187133</v>
      </c>
      <c r="D13410" s="0" t="s">
        <v>44535</v>
      </c>
      <c r="E13410" s="0" t="s">
        <v>75</v>
      </c>
      <c r="F13410" s="0" t="s">
        <v>15</v>
      </c>
      <c r="G13410" s="0" t="s">
        <v>36</v>
      </c>
      <c r="H13410" s="0" t="n">
        <v>13</v>
      </c>
      <c r="I13410" s="0" t="s">
        <v>44536</v>
      </c>
      <c r="J13410" s="0" t="s">
        <v>44537</v>
      </c>
      <c r="K13410" s="0" t="s">
        <v>44538</v>
      </c>
      <c r="L13410" s="0" t="str">
        <f aca="false">HYPERLINK("https://www.ncbi.nlm.nih.gov/nuccore/CP000058.1?report=graph&amp;tracks=[key:gene_model_track,Options:GeneOnly]&amp;mk=4187114:4187133|offset_13|00cc00,4187142:4187161|offset_41|444444,4187180:4187199|offset_79|444444,4187211:4187230|offset_110|444444&amp;v=4186913:4187430&amp;c=444444", "offset 13")</f>
        <v>offset 13</v>
      </c>
    </row>
    <row r="13411" customFormat="false" ht="12.8" hidden="false" customHeight="false" outlineLevel="0" collapsed="false">
      <c r="A13411" s="0" t="s">
        <v>12</v>
      </c>
      <c r="B13411" s="0" t="n">
        <v>4187141</v>
      </c>
      <c r="C13411" s="0" t="n">
        <v>4187161</v>
      </c>
      <c r="D13411" s="0" t="s">
        <v>44535</v>
      </c>
      <c r="E13411" s="0" t="s">
        <v>75</v>
      </c>
      <c r="F13411" s="0" t="s">
        <v>15</v>
      </c>
      <c r="G13411" s="0" t="s">
        <v>36</v>
      </c>
      <c r="H13411" s="0" t="n">
        <v>41</v>
      </c>
      <c r="I13411" s="0" t="s">
        <v>44539</v>
      </c>
      <c r="J13411" s="0" t="s">
        <v>44540</v>
      </c>
      <c r="K13411" s="0" t="s">
        <v>44541</v>
      </c>
      <c r="L13411" s="0" t="str">
        <f aca="false">HYPERLINK("https://www.ncbi.nlm.nih.gov/nuccore/CP000058.1?report=graph&amp;tracks=[key:gene_model_track,Options:GeneOnly]&amp;mk=4187114:4187133|offset_13|444444,4187142:4187161|offset_41|00cc00,4187180:4187199|offset_79|444444,4187211:4187230|offset_110|444444&amp;v=4186913:4187430&amp;c=444444", "offset 41")</f>
        <v>offset 41</v>
      </c>
    </row>
    <row r="13412" customFormat="false" ht="12.8" hidden="false" customHeight="false" outlineLevel="0" collapsed="false">
      <c r="A13412" s="0" t="s">
        <v>12</v>
      </c>
      <c r="B13412" s="0" t="n">
        <v>4187179</v>
      </c>
      <c r="C13412" s="0" t="n">
        <v>4187199</v>
      </c>
      <c r="D13412" s="0" t="s">
        <v>44535</v>
      </c>
      <c r="E13412" s="0" t="s">
        <v>75</v>
      </c>
      <c r="F13412" s="0" t="s">
        <v>15</v>
      </c>
      <c r="G13412" s="0" t="s">
        <v>20</v>
      </c>
      <c r="H13412" s="0" t="n">
        <v>79</v>
      </c>
      <c r="I13412" s="0" t="s">
        <v>44542</v>
      </c>
      <c r="J13412" s="0" t="s">
        <v>44543</v>
      </c>
      <c r="K13412" s="0" t="s">
        <v>44544</v>
      </c>
      <c r="L13412" s="0" t="str">
        <f aca="false">HYPERLINK("https://www.ncbi.nlm.nih.gov/nuccore/CP000058.1?report=graph&amp;tracks=[key:gene_model_track,Options:GeneOnly]&amp;mk=4187114:4187133|offset_13|444444,4187142:4187161|offset_41|444444,4187180:4187199|offset_79|00cc00,4187211:4187230|offset_110|444444&amp;v=4186913:4187430&amp;c=444444", "offset 79")</f>
        <v>offset 79</v>
      </c>
    </row>
    <row r="13413" customFormat="false" ht="12.8" hidden="false" customHeight="false" outlineLevel="0" collapsed="false">
      <c r="A13413" s="0" t="s">
        <v>12</v>
      </c>
      <c r="B13413" s="0" t="n">
        <v>4187210</v>
      </c>
      <c r="C13413" s="0" t="n">
        <v>4187230</v>
      </c>
      <c r="D13413" s="0" t="s">
        <v>44535</v>
      </c>
      <c r="E13413" s="0" t="s">
        <v>75</v>
      </c>
      <c r="F13413" s="0" t="s">
        <v>15</v>
      </c>
      <c r="G13413" s="0" t="s">
        <v>32</v>
      </c>
      <c r="H13413" s="0" t="n">
        <v>110</v>
      </c>
      <c r="I13413" s="0" t="s">
        <v>44545</v>
      </c>
      <c r="J13413" s="0" t="s">
        <v>44546</v>
      </c>
      <c r="K13413" s="0" t="s">
        <v>44547</v>
      </c>
      <c r="L13413" s="0" t="str">
        <f aca="false">HYPERLINK("https://www.ncbi.nlm.nih.gov/nuccore/CP000058.1?report=graph&amp;tracks=[key:gene_model_track,Options:GeneOnly]&amp;mk=4187114:4187133|offset_13|444444,4187142:4187161|offset_41|444444,4187180:4187199|offset_79|444444,4187211:4187230|offset_110|00cc00&amp;v=4186913:4187430&amp;c=444444", "offset 110")</f>
        <v>offset 110</v>
      </c>
    </row>
    <row r="13414" customFormat="false" ht="12.8" hidden="false" customHeight="false" outlineLevel="0" collapsed="false">
      <c r="A13414" s="0" t="s">
        <v>12</v>
      </c>
      <c r="B13414" s="0" t="n">
        <v>4188230</v>
      </c>
      <c r="C13414" s="0" t="n">
        <v>4188250</v>
      </c>
      <c r="D13414" s="0" t="s">
        <v>44548</v>
      </c>
      <c r="E13414" s="0" t="s">
        <v>75</v>
      </c>
      <c r="F13414" s="0" t="s">
        <v>15</v>
      </c>
      <c r="G13414" s="0" t="s">
        <v>32</v>
      </c>
      <c r="H13414" s="0" t="n">
        <v>7</v>
      </c>
      <c r="I13414" s="0" t="s">
        <v>44549</v>
      </c>
      <c r="J13414" s="0" t="s">
        <v>44550</v>
      </c>
      <c r="K13414" s="0" t="s">
        <v>44551</v>
      </c>
      <c r="L13414" s="0" t="str">
        <f aca="false">HYPERLINK("https://www.ncbi.nlm.nih.gov/nuccore/CP000058.1?report=graph&amp;tracks=[key:gene_model_track,Options:GeneOnly]&amp;mk=4188231:4188250|offset_7|00cc00,4188267:4188286|offset_43|444444,4188300:4188319|offset_76|444444,4188322:4188341|offset_98|444444&amp;v=4188030:4188541&amp;c=444444", "offset 7")</f>
        <v>offset 7</v>
      </c>
    </row>
    <row r="13415" customFormat="false" ht="12.8" hidden="false" customHeight="false" outlineLevel="0" collapsed="false">
      <c r="A13415" s="0" t="s">
        <v>12</v>
      </c>
      <c r="B13415" s="0" t="n">
        <v>4188266</v>
      </c>
      <c r="C13415" s="0" t="n">
        <v>4188286</v>
      </c>
      <c r="D13415" s="0" t="s">
        <v>44548</v>
      </c>
      <c r="E13415" s="0" t="s">
        <v>75</v>
      </c>
      <c r="F13415" s="0" t="s">
        <v>15</v>
      </c>
      <c r="G13415" s="0" t="s">
        <v>20</v>
      </c>
      <c r="H13415" s="0" t="n">
        <v>43</v>
      </c>
      <c r="I13415" s="0" t="s">
        <v>44552</v>
      </c>
      <c r="J13415" s="0" t="s">
        <v>44553</v>
      </c>
      <c r="K13415" s="0" t="s">
        <v>44554</v>
      </c>
      <c r="L13415" s="0" t="str">
        <f aca="false">HYPERLINK("https://www.ncbi.nlm.nih.gov/nuccore/CP000058.1?report=graph&amp;tracks=[key:gene_model_track,Options:GeneOnly]&amp;mk=4188231:4188250|offset_7|444444,4188267:4188286|offset_43|00cc00,4188300:4188319|offset_76|444444,4188322:4188341|offset_98|444444&amp;v=4188030:4188541&amp;c=444444", "offset 43")</f>
        <v>offset 43</v>
      </c>
    </row>
    <row r="13416" customFormat="false" ht="12.8" hidden="false" customHeight="false" outlineLevel="0" collapsed="false">
      <c r="A13416" s="0" t="s">
        <v>12</v>
      </c>
      <c r="B13416" s="0" t="n">
        <v>4188299</v>
      </c>
      <c r="C13416" s="0" t="n">
        <v>4188319</v>
      </c>
      <c r="D13416" s="0" t="s">
        <v>44548</v>
      </c>
      <c r="E13416" s="0" t="s">
        <v>75</v>
      </c>
      <c r="F13416" s="0" t="s">
        <v>15</v>
      </c>
      <c r="G13416" s="0" t="s">
        <v>36</v>
      </c>
      <c r="H13416" s="0" t="n">
        <v>76</v>
      </c>
      <c r="I13416" s="0" t="s">
        <v>44555</v>
      </c>
      <c r="J13416" s="0" t="s">
        <v>44556</v>
      </c>
      <c r="K13416" s="0" t="s">
        <v>44557</v>
      </c>
      <c r="L13416" s="0" t="str">
        <f aca="false">HYPERLINK("https://www.ncbi.nlm.nih.gov/nuccore/CP000058.1?report=graph&amp;tracks=[key:gene_model_track,Options:GeneOnly]&amp;mk=4188231:4188250|offset_7|444444,4188267:4188286|offset_43|444444,4188300:4188319|offset_76|00cc00,4188322:4188341|offset_98|444444&amp;v=4188030:4188541&amp;c=444444", "offset 76")</f>
        <v>offset 76</v>
      </c>
    </row>
    <row r="13417" customFormat="false" ht="12.8" hidden="false" customHeight="false" outlineLevel="0" collapsed="false">
      <c r="A13417" s="0" t="s">
        <v>12</v>
      </c>
      <c r="B13417" s="0" t="n">
        <v>4188321</v>
      </c>
      <c r="C13417" s="0" t="n">
        <v>4188341</v>
      </c>
      <c r="D13417" s="0" t="s">
        <v>44548</v>
      </c>
      <c r="E13417" s="0" t="s">
        <v>75</v>
      </c>
      <c r="F13417" s="0" t="s">
        <v>15</v>
      </c>
      <c r="G13417" s="0" t="s">
        <v>16</v>
      </c>
      <c r="H13417" s="0" t="n">
        <v>98</v>
      </c>
      <c r="I13417" s="0" t="s">
        <v>44558</v>
      </c>
      <c r="J13417" s="0" t="s">
        <v>44559</v>
      </c>
      <c r="K13417" s="0" t="s">
        <v>44560</v>
      </c>
      <c r="L13417" s="0" t="str">
        <f aca="false">HYPERLINK("https://www.ncbi.nlm.nih.gov/nuccore/CP000058.1?report=graph&amp;tracks=[key:gene_model_track,Options:GeneOnly]&amp;mk=4188231:4188250|offset_7|444444,4188267:4188286|offset_43|444444,4188300:4188319|offset_76|444444,4188322:4188341|offset_98|00cc00&amp;v=4188030:4188541&amp;c=444444", "offset 98")</f>
        <v>offset 98</v>
      </c>
    </row>
    <row r="13418" customFormat="false" ht="12.8" hidden="false" customHeight="false" outlineLevel="0" collapsed="false">
      <c r="A13418" s="0" t="s">
        <v>12</v>
      </c>
      <c r="B13418" s="0" t="n">
        <v>4189745</v>
      </c>
      <c r="C13418" s="0" t="n">
        <v>4189765</v>
      </c>
      <c r="D13418" s="0" t="s">
        <v>44561</v>
      </c>
      <c r="E13418" s="0" t="s">
        <v>75</v>
      </c>
      <c r="F13418" s="0" t="s">
        <v>90</v>
      </c>
      <c r="G13418" s="0" t="s">
        <v>36</v>
      </c>
      <c r="H13418" s="0" t="n">
        <v>49</v>
      </c>
      <c r="I13418" s="0" t="s">
        <v>44562</v>
      </c>
      <c r="J13418" s="0" t="s">
        <v>44563</v>
      </c>
      <c r="K13418" s="0" t="s">
        <v>44564</v>
      </c>
      <c r="L13418" s="0" t="str">
        <f aca="false">HYPERLINK("https://www.ncbi.nlm.nih.gov/nuccore/CP000058.1?report=graph&amp;tracks=[key:gene_model_track,Options:GeneOnly]&amp;mk=4189746:4189765|offset_49|00cc00,4189702:4189721|offset_93|444444,4189633:4189652|offset_162|444444,4189601:4189620|offset_194|444444&amp;v=4189545:4189820&amp;c=444444", "offset 49")</f>
        <v>offset 49</v>
      </c>
    </row>
    <row r="13419" customFormat="false" ht="12.8" hidden="false" customHeight="false" outlineLevel="0" collapsed="false">
      <c r="A13419" s="0" t="s">
        <v>12</v>
      </c>
      <c r="B13419" s="0" t="n">
        <v>4189701</v>
      </c>
      <c r="C13419" s="0" t="n">
        <v>4189721</v>
      </c>
      <c r="D13419" s="0" t="s">
        <v>44561</v>
      </c>
      <c r="E13419" s="0" t="s">
        <v>75</v>
      </c>
      <c r="F13419" s="0" t="s">
        <v>90</v>
      </c>
      <c r="G13419" s="0" t="s">
        <v>36</v>
      </c>
      <c r="H13419" s="0" t="n">
        <v>93</v>
      </c>
      <c r="I13419" s="0" t="s">
        <v>44565</v>
      </c>
      <c r="J13419" s="0" t="s">
        <v>44566</v>
      </c>
      <c r="K13419" s="0" t="s">
        <v>44567</v>
      </c>
      <c r="L13419" s="0" t="str">
        <f aca="false">HYPERLINK("https://www.ncbi.nlm.nih.gov/nuccore/CP000058.1?report=graph&amp;tracks=[key:gene_model_track,Options:GeneOnly]&amp;mk=4189746:4189765|offset_49|444444,4189702:4189721|offset_93|00cc00,4189633:4189652|offset_162|444444,4189601:4189620|offset_194|444444&amp;v=4189545:4189820&amp;c=444444", "offset 93")</f>
        <v>offset 93</v>
      </c>
    </row>
    <row r="13420" customFormat="false" ht="12.8" hidden="false" customHeight="false" outlineLevel="0" collapsed="false">
      <c r="A13420" s="0" t="s">
        <v>12</v>
      </c>
      <c r="B13420" s="0" t="n">
        <v>4189632</v>
      </c>
      <c r="C13420" s="0" t="n">
        <v>4189652</v>
      </c>
      <c r="D13420" s="0" t="s">
        <v>44561</v>
      </c>
      <c r="E13420" s="0" t="s">
        <v>75</v>
      </c>
      <c r="F13420" s="0" t="s">
        <v>90</v>
      </c>
      <c r="G13420" s="0" t="s">
        <v>20</v>
      </c>
      <c r="H13420" s="0" t="n">
        <v>162</v>
      </c>
      <c r="I13420" s="0" t="s">
        <v>44568</v>
      </c>
      <c r="J13420" s="0" t="s">
        <v>44569</v>
      </c>
      <c r="K13420" s="0" t="s">
        <v>44570</v>
      </c>
      <c r="L13420" s="0" t="str">
        <f aca="false">HYPERLINK("https://www.ncbi.nlm.nih.gov/nuccore/CP000058.1?report=graph&amp;tracks=[key:gene_model_track,Options:GeneOnly]&amp;mk=4189746:4189765|offset_49|444444,4189702:4189721|offset_93|444444,4189633:4189652|offset_162|00cc00,4189601:4189620|offset_194|444444&amp;v=4189545:4189820&amp;c=444444", "offset 162")</f>
        <v>offset 162</v>
      </c>
    </row>
    <row r="13421" customFormat="false" ht="12.8" hidden="false" customHeight="false" outlineLevel="0" collapsed="false">
      <c r="A13421" s="0" t="s">
        <v>12</v>
      </c>
      <c r="B13421" s="0" t="n">
        <v>4189600</v>
      </c>
      <c r="C13421" s="0" t="n">
        <v>4189620</v>
      </c>
      <c r="D13421" s="0" t="s">
        <v>44561</v>
      </c>
      <c r="E13421" s="0" t="s">
        <v>75</v>
      </c>
      <c r="F13421" s="0" t="s">
        <v>90</v>
      </c>
      <c r="G13421" s="0" t="s">
        <v>32</v>
      </c>
      <c r="H13421" s="0" t="n">
        <v>194</v>
      </c>
      <c r="I13421" s="0" t="s">
        <v>44571</v>
      </c>
      <c r="J13421" s="0" t="s">
        <v>44572</v>
      </c>
      <c r="K13421" s="0" t="s">
        <v>44573</v>
      </c>
      <c r="L13421" s="0" t="str">
        <f aca="false">HYPERLINK("https://www.ncbi.nlm.nih.gov/nuccore/CP000058.1?report=graph&amp;tracks=[key:gene_model_track,Options:GeneOnly]&amp;mk=4189746:4189765|offset_49|444444,4189702:4189721|offset_93|444444,4189633:4189652|offset_162|444444,4189601:4189620|offset_194|00cc00&amp;v=4189545:4189820&amp;c=444444", "offset 194")</f>
        <v>offset 194</v>
      </c>
    </row>
    <row r="13422" customFormat="false" ht="12.8" hidden="false" customHeight="false" outlineLevel="0" collapsed="false">
      <c r="A13422" s="0" t="s">
        <v>12</v>
      </c>
      <c r="B13422" s="0" t="n">
        <v>4190013</v>
      </c>
      <c r="C13422" s="0" t="n">
        <v>4190033</v>
      </c>
      <c r="D13422" s="0" t="s">
        <v>44574</v>
      </c>
      <c r="E13422" s="0" t="s">
        <v>75</v>
      </c>
      <c r="F13422" s="0" t="s">
        <v>15</v>
      </c>
      <c r="G13422" s="0" t="s">
        <v>16</v>
      </c>
      <c r="H13422" s="0" t="n">
        <v>10</v>
      </c>
      <c r="I13422" s="0" t="s">
        <v>44575</v>
      </c>
      <c r="J13422" s="0" t="s">
        <v>44576</v>
      </c>
      <c r="K13422" s="0" t="s">
        <v>44577</v>
      </c>
      <c r="L13422" s="0" t="str">
        <f aca="false">HYPERLINK("https://www.ncbi.nlm.nih.gov/nuccore/CP000058.1?report=graph&amp;tracks=[key:gene_model_track,Options:GeneOnly]&amp;mk=4190014:4190033|offset_10|00cc00,4190040:4190059|offset_36|444444,4190072:4190091|offset_68|444444,4190095:4190114|offset_91|444444&amp;v=4189813:4190314&amp;c=444444", "offset 10")</f>
        <v>offset 10</v>
      </c>
    </row>
    <row r="13423" customFormat="false" ht="12.8" hidden="false" customHeight="false" outlineLevel="0" collapsed="false">
      <c r="A13423" s="0" t="s">
        <v>12</v>
      </c>
      <c r="B13423" s="0" t="n">
        <v>4190039</v>
      </c>
      <c r="C13423" s="0" t="n">
        <v>4190059</v>
      </c>
      <c r="D13423" s="0" t="s">
        <v>44574</v>
      </c>
      <c r="E13423" s="0" t="s">
        <v>75</v>
      </c>
      <c r="F13423" s="0" t="s">
        <v>15</v>
      </c>
      <c r="G13423" s="0" t="s">
        <v>20</v>
      </c>
      <c r="H13423" s="0" t="n">
        <v>36</v>
      </c>
      <c r="I13423" s="0" t="s">
        <v>44578</v>
      </c>
      <c r="J13423" s="0" t="s">
        <v>44579</v>
      </c>
      <c r="K13423" s="0" t="s">
        <v>44580</v>
      </c>
      <c r="L13423" s="0" t="str">
        <f aca="false">HYPERLINK("https://www.ncbi.nlm.nih.gov/nuccore/CP000058.1?report=graph&amp;tracks=[key:gene_model_track,Options:GeneOnly]&amp;mk=4190014:4190033|offset_10|444444,4190040:4190059|offset_36|00cc00,4190072:4190091|offset_68|444444,4190095:4190114|offset_91|444444&amp;v=4189813:4190314&amp;c=444444", "offset 36")</f>
        <v>offset 36</v>
      </c>
    </row>
    <row r="13424" customFormat="false" ht="12.8" hidden="false" customHeight="false" outlineLevel="0" collapsed="false">
      <c r="A13424" s="0" t="s">
        <v>12</v>
      </c>
      <c r="B13424" s="0" t="n">
        <v>4190071</v>
      </c>
      <c r="C13424" s="0" t="n">
        <v>4190091</v>
      </c>
      <c r="D13424" s="0" t="s">
        <v>44574</v>
      </c>
      <c r="E13424" s="0" t="s">
        <v>75</v>
      </c>
      <c r="F13424" s="0" t="s">
        <v>15</v>
      </c>
      <c r="G13424" s="0" t="s">
        <v>32</v>
      </c>
      <c r="H13424" s="0" t="n">
        <v>68</v>
      </c>
      <c r="I13424" s="0" t="s">
        <v>44581</v>
      </c>
      <c r="J13424" s="0" t="s">
        <v>44582</v>
      </c>
      <c r="K13424" s="0" t="s">
        <v>44583</v>
      </c>
      <c r="L13424" s="0" t="str">
        <f aca="false">HYPERLINK("https://www.ncbi.nlm.nih.gov/nuccore/CP000058.1?report=graph&amp;tracks=[key:gene_model_track,Options:GeneOnly]&amp;mk=4190014:4190033|offset_10|444444,4190040:4190059|offset_36|444444,4190072:4190091|offset_68|00cc00,4190095:4190114|offset_91|444444&amp;v=4189813:4190314&amp;c=444444", "offset 68")</f>
        <v>offset 68</v>
      </c>
    </row>
    <row r="13425" customFormat="false" ht="12.8" hidden="false" customHeight="false" outlineLevel="0" collapsed="false">
      <c r="A13425" s="0" t="s">
        <v>12</v>
      </c>
      <c r="B13425" s="0" t="n">
        <v>4190094</v>
      </c>
      <c r="C13425" s="0" t="n">
        <v>4190114</v>
      </c>
      <c r="D13425" s="0" t="s">
        <v>44574</v>
      </c>
      <c r="E13425" s="0" t="s">
        <v>75</v>
      </c>
      <c r="F13425" s="0" t="s">
        <v>15</v>
      </c>
      <c r="G13425" s="0" t="s">
        <v>32</v>
      </c>
      <c r="H13425" s="0" t="n">
        <v>91</v>
      </c>
      <c r="I13425" s="0" t="s">
        <v>44584</v>
      </c>
      <c r="J13425" s="0" t="s">
        <v>44585</v>
      </c>
      <c r="K13425" s="0" t="s">
        <v>44586</v>
      </c>
      <c r="L13425" s="0" t="str">
        <f aca="false">HYPERLINK("https://www.ncbi.nlm.nih.gov/nuccore/CP000058.1?report=graph&amp;tracks=[key:gene_model_track,Options:GeneOnly]&amp;mk=4190014:4190033|offset_10|444444,4190040:4190059|offset_36|444444,4190072:4190091|offset_68|444444,4190095:4190114|offset_91|00cc00&amp;v=4189813:4190314&amp;c=444444", "offset 91")</f>
        <v>offset 91</v>
      </c>
    </row>
    <row r="13426" customFormat="false" ht="12.8" hidden="false" customHeight="false" outlineLevel="0" collapsed="false">
      <c r="A13426" s="0" t="s">
        <v>12</v>
      </c>
      <c r="B13426" s="0" t="n">
        <v>4190641</v>
      </c>
      <c r="C13426" s="0" t="n">
        <v>4190661</v>
      </c>
      <c r="D13426" s="0" t="s">
        <v>44587</v>
      </c>
      <c r="E13426" s="0" t="s">
        <v>44588</v>
      </c>
      <c r="F13426" s="0" t="s">
        <v>15</v>
      </c>
      <c r="G13426" s="0" t="s">
        <v>20</v>
      </c>
      <c r="H13426" s="0" t="n">
        <v>18</v>
      </c>
      <c r="I13426" s="0" t="s">
        <v>44589</v>
      </c>
      <c r="J13426" s="0" t="s">
        <v>44590</v>
      </c>
      <c r="K13426" s="0" t="s">
        <v>44591</v>
      </c>
      <c r="L13426" s="0" t="str">
        <f aca="false">HYPERLINK("https://www.ncbi.nlm.nih.gov/nuccore/CP000058.1?report=graph&amp;tracks=[key:gene_model_track,Options:GeneOnly]&amp;mk=4190642:4190661|offset_18|00cc00,4190698:4190717|offset_74|444444,4190736:4190755|offset_112|444444,4190761:4190780|offset_137|444444&amp;v=4190441:4190980&amp;c=444444", "offset 18")</f>
        <v>offset 18</v>
      </c>
    </row>
    <row r="13427" customFormat="false" ht="12.8" hidden="false" customHeight="false" outlineLevel="0" collapsed="false">
      <c r="A13427" s="0" t="s">
        <v>12</v>
      </c>
      <c r="B13427" s="0" t="n">
        <v>4190697</v>
      </c>
      <c r="C13427" s="0" t="n">
        <v>4190717</v>
      </c>
      <c r="D13427" s="0" t="s">
        <v>44587</v>
      </c>
      <c r="E13427" s="0" t="s">
        <v>44588</v>
      </c>
      <c r="F13427" s="0" t="s">
        <v>15</v>
      </c>
      <c r="G13427" s="0" t="s">
        <v>36</v>
      </c>
      <c r="H13427" s="0" t="n">
        <v>74</v>
      </c>
      <c r="I13427" s="0" t="s">
        <v>44592</v>
      </c>
      <c r="J13427" s="0" t="s">
        <v>44593</v>
      </c>
      <c r="K13427" s="0" t="s">
        <v>44594</v>
      </c>
      <c r="L13427" s="0" t="str">
        <f aca="false">HYPERLINK("https://www.ncbi.nlm.nih.gov/nuccore/CP000058.1?report=graph&amp;tracks=[key:gene_model_track,Options:GeneOnly]&amp;mk=4190642:4190661|offset_18|444444,4190698:4190717|offset_74|00cc00,4190736:4190755|offset_112|444444,4190761:4190780|offset_137|444444&amp;v=4190441:4190980&amp;c=444444", "offset 74")</f>
        <v>offset 74</v>
      </c>
    </row>
    <row r="13428" customFormat="false" ht="12.8" hidden="false" customHeight="false" outlineLevel="0" collapsed="false">
      <c r="A13428" s="0" t="s">
        <v>12</v>
      </c>
      <c r="B13428" s="0" t="n">
        <v>4190735</v>
      </c>
      <c r="C13428" s="0" t="n">
        <v>4190755</v>
      </c>
      <c r="D13428" s="0" t="s">
        <v>44587</v>
      </c>
      <c r="E13428" s="0" t="s">
        <v>44588</v>
      </c>
      <c r="F13428" s="0" t="s">
        <v>15</v>
      </c>
      <c r="G13428" s="0" t="s">
        <v>16</v>
      </c>
      <c r="H13428" s="0" t="n">
        <v>112</v>
      </c>
      <c r="I13428" s="0" t="s">
        <v>44595</v>
      </c>
      <c r="J13428" s="0" t="s">
        <v>44596</v>
      </c>
      <c r="K13428" s="0" t="s">
        <v>44597</v>
      </c>
      <c r="L13428" s="0" t="str">
        <f aca="false">HYPERLINK("https://www.ncbi.nlm.nih.gov/nuccore/CP000058.1?report=graph&amp;tracks=[key:gene_model_track,Options:GeneOnly]&amp;mk=4190642:4190661|offset_18|444444,4190698:4190717|offset_74|444444,4190736:4190755|offset_112|00cc00,4190761:4190780|offset_137|444444&amp;v=4190441:4190980&amp;c=444444", "offset 112")</f>
        <v>offset 112</v>
      </c>
    </row>
    <row r="13429" customFormat="false" ht="12.8" hidden="false" customHeight="false" outlineLevel="0" collapsed="false">
      <c r="A13429" s="0" t="s">
        <v>12</v>
      </c>
      <c r="B13429" s="0" t="n">
        <v>4190760</v>
      </c>
      <c r="C13429" s="0" t="n">
        <v>4190780</v>
      </c>
      <c r="D13429" s="0" t="s">
        <v>44587</v>
      </c>
      <c r="E13429" s="0" t="s">
        <v>44588</v>
      </c>
      <c r="F13429" s="0" t="s">
        <v>15</v>
      </c>
      <c r="G13429" s="0" t="s">
        <v>16</v>
      </c>
      <c r="H13429" s="0" t="n">
        <v>137</v>
      </c>
      <c r="I13429" s="0" t="s">
        <v>44598</v>
      </c>
      <c r="J13429" s="0" t="s">
        <v>44599</v>
      </c>
      <c r="K13429" s="0" t="s">
        <v>44600</v>
      </c>
      <c r="L13429" s="0" t="str">
        <f aca="false">HYPERLINK("https://www.ncbi.nlm.nih.gov/nuccore/CP000058.1?report=graph&amp;tracks=[key:gene_model_track,Options:GeneOnly]&amp;mk=4190642:4190661|offset_18|444444,4190698:4190717|offset_74|444444,4190736:4190755|offset_112|444444,4190761:4190780|offset_137|00cc00&amp;v=4190441:4190980&amp;c=444444", "offset 137")</f>
        <v>offset 137</v>
      </c>
    </row>
    <row r="13430" customFormat="false" ht="12.8" hidden="false" customHeight="false" outlineLevel="0" collapsed="false">
      <c r="A13430" s="0" t="s">
        <v>12</v>
      </c>
      <c r="B13430" s="0" t="n">
        <v>4191186</v>
      </c>
      <c r="C13430" s="0" t="n">
        <v>4191206</v>
      </c>
      <c r="D13430" s="0" t="s">
        <v>44601</v>
      </c>
      <c r="E13430" s="0" t="s">
        <v>75</v>
      </c>
      <c r="F13430" s="0" t="s">
        <v>15</v>
      </c>
      <c r="G13430" s="0" t="s">
        <v>20</v>
      </c>
      <c r="H13430" s="0" t="n">
        <v>10</v>
      </c>
      <c r="I13430" s="0" t="s">
        <v>44602</v>
      </c>
      <c r="J13430" s="0" t="s">
        <v>44603</v>
      </c>
      <c r="K13430" s="0" t="s">
        <v>44604</v>
      </c>
      <c r="L13430" s="0" t="str">
        <f aca="false">HYPERLINK("https://www.ncbi.nlm.nih.gov/nuccore/CP000058.1?report=graph&amp;tracks=[key:gene_model_track,Options:GeneOnly]&amp;mk=4191187:4191206|offset_10|00cc00,4191244:4191263|offset_67|444444,4191292:4191311|offset_115|444444,4191315:4191334|offset_138|444444&amp;v=4190986:4191534&amp;c=444444", "offset 10")</f>
        <v>offset 10</v>
      </c>
    </row>
    <row r="13431" customFormat="false" ht="12.8" hidden="false" customHeight="false" outlineLevel="0" collapsed="false">
      <c r="A13431" s="0" t="s">
        <v>12</v>
      </c>
      <c r="B13431" s="0" t="n">
        <v>4191243</v>
      </c>
      <c r="C13431" s="0" t="n">
        <v>4191263</v>
      </c>
      <c r="D13431" s="0" t="s">
        <v>44601</v>
      </c>
      <c r="E13431" s="0" t="s">
        <v>75</v>
      </c>
      <c r="F13431" s="0" t="s">
        <v>15</v>
      </c>
      <c r="G13431" s="0" t="s">
        <v>16</v>
      </c>
      <c r="H13431" s="0" t="n">
        <v>67</v>
      </c>
      <c r="I13431" s="0" t="s">
        <v>44605</v>
      </c>
      <c r="J13431" s="0" t="s">
        <v>44606</v>
      </c>
      <c r="K13431" s="0" t="s">
        <v>44607</v>
      </c>
      <c r="L13431" s="0" t="str">
        <f aca="false">HYPERLINK("https://www.ncbi.nlm.nih.gov/nuccore/CP000058.1?report=graph&amp;tracks=[key:gene_model_track,Options:GeneOnly]&amp;mk=4191187:4191206|offset_10|444444,4191244:4191263|offset_67|00cc00,4191292:4191311|offset_115|444444,4191315:4191334|offset_138|444444&amp;v=4190986:4191534&amp;c=444444", "offset 67")</f>
        <v>offset 67</v>
      </c>
    </row>
    <row r="13432" customFormat="false" ht="12.8" hidden="false" customHeight="false" outlineLevel="0" collapsed="false">
      <c r="A13432" s="0" t="s">
        <v>12</v>
      </c>
      <c r="B13432" s="0" t="n">
        <v>4191291</v>
      </c>
      <c r="C13432" s="0" t="n">
        <v>4191311</v>
      </c>
      <c r="D13432" s="0" t="s">
        <v>44601</v>
      </c>
      <c r="E13432" s="0" t="s">
        <v>75</v>
      </c>
      <c r="F13432" s="0" t="s">
        <v>15</v>
      </c>
      <c r="G13432" s="0" t="s">
        <v>20</v>
      </c>
      <c r="H13432" s="0" t="n">
        <v>115</v>
      </c>
      <c r="I13432" s="0" t="s">
        <v>44608</v>
      </c>
      <c r="J13432" s="0" t="s">
        <v>44609</v>
      </c>
      <c r="K13432" s="0" t="s">
        <v>44610</v>
      </c>
      <c r="L13432" s="0" t="str">
        <f aca="false">HYPERLINK("https://www.ncbi.nlm.nih.gov/nuccore/CP000058.1?report=graph&amp;tracks=[key:gene_model_track,Options:GeneOnly]&amp;mk=4191187:4191206|offset_10|444444,4191244:4191263|offset_67|444444,4191292:4191311|offset_115|00cc00,4191315:4191334|offset_138|444444&amp;v=4190986:4191534&amp;c=444444", "offset 115")</f>
        <v>offset 115</v>
      </c>
    </row>
    <row r="13433" customFormat="false" ht="12.8" hidden="false" customHeight="false" outlineLevel="0" collapsed="false">
      <c r="A13433" s="0" t="s">
        <v>12</v>
      </c>
      <c r="B13433" s="0" t="n">
        <v>4191314</v>
      </c>
      <c r="C13433" s="0" t="n">
        <v>4191334</v>
      </c>
      <c r="D13433" s="0" t="s">
        <v>44601</v>
      </c>
      <c r="E13433" s="0" t="s">
        <v>75</v>
      </c>
      <c r="F13433" s="0" t="s">
        <v>15</v>
      </c>
      <c r="G13433" s="0" t="s">
        <v>36</v>
      </c>
      <c r="H13433" s="0" t="n">
        <v>138</v>
      </c>
      <c r="I13433" s="0" t="s">
        <v>44611</v>
      </c>
      <c r="J13433" s="0" t="s">
        <v>44612</v>
      </c>
      <c r="K13433" s="0" t="s">
        <v>44613</v>
      </c>
      <c r="L13433" s="0" t="str">
        <f aca="false">HYPERLINK("https://www.ncbi.nlm.nih.gov/nuccore/CP000058.1?report=graph&amp;tracks=[key:gene_model_track,Options:GeneOnly]&amp;mk=4191187:4191206|offset_10|444444,4191244:4191263|offset_67|444444,4191292:4191311|offset_115|444444,4191315:4191334|offset_138|00cc00&amp;v=4190986:4191534&amp;c=444444", "offset 138")</f>
        <v>offset 138</v>
      </c>
    </row>
    <row r="13434" customFormat="false" ht="12.8" hidden="false" customHeight="false" outlineLevel="0" collapsed="false">
      <c r="A13434" s="0" t="s">
        <v>12</v>
      </c>
      <c r="B13434" s="0" t="n">
        <v>4192798</v>
      </c>
      <c r="C13434" s="0" t="n">
        <v>4192818</v>
      </c>
      <c r="D13434" s="0" t="s">
        <v>44614</v>
      </c>
      <c r="E13434" s="0" t="s">
        <v>44615</v>
      </c>
      <c r="F13434" s="0" t="s">
        <v>90</v>
      </c>
      <c r="G13434" s="0" t="s">
        <v>36</v>
      </c>
      <c r="H13434" s="0" t="n">
        <v>27</v>
      </c>
      <c r="I13434" s="0" t="s">
        <v>44616</v>
      </c>
      <c r="J13434" s="0" t="s">
        <v>44617</v>
      </c>
      <c r="K13434" s="0" t="s">
        <v>44618</v>
      </c>
      <c r="L13434" s="0" t="str">
        <f aca="false">HYPERLINK("https://www.ncbi.nlm.nih.gov/nuccore/CP000058.1?report=graph&amp;tracks=[key:gene_model_track,Options:GeneOnly]&amp;mk=4192799:4192818|offset_27|00cc00,4192769:4192788|offset_57|444444,4192741:4192760|offset_85|444444,4192708:4192727|offset_118|444444&amp;v=4192598:4192927&amp;c=444444", "offset 27")</f>
        <v>offset 27</v>
      </c>
    </row>
    <row r="13435" customFormat="false" ht="12.8" hidden="false" customHeight="false" outlineLevel="0" collapsed="false">
      <c r="A13435" s="0" t="s">
        <v>12</v>
      </c>
      <c r="B13435" s="0" t="n">
        <v>4192768</v>
      </c>
      <c r="C13435" s="0" t="n">
        <v>4192788</v>
      </c>
      <c r="D13435" s="0" t="s">
        <v>44614</v>
      </c>
      <c r="E13435" s="0" t="s">
        <v>44615</v>
      </c>
      <c r="F13435" s="0" t="s">
        <v>90</v>
      </c>
      <c r="G13435" s="0" t="s">
        <v>20</v>
      </c>
      <c r="H13435" s="0" t="n">
        <v>57</v>
      </c>
      <c r="I13435" s="0" t="s">
        <v>44619</v>
      </c>
      <c r="J13435" s="0" t="s">
        <v>44620</v>
      </c>
      <c r="K13435" s="0" t="s">
        <v>44621</v>
      </c>
      <c r="L13435" s="0" t="str">
        <f aca="false">HYPERLINK("https://www.ncbi.nlm.nih.gov/nuccore/CP000058.1?report=graph&amp;tracks=[key:gene_model_track,Options:GeneOnly]&amp;mk=4192799:4192818|offset_27|444444,4192769:4192788|offset_57|00cc00,4192741:4192760|offset_85|444444,4192708:4192727|offset_118|444444&amp;v=4192598:4192927&amp;c=444444", "offset 57")</f>
        <v>offset 57</v>
      </c>
    </row>
    <row r="13436" customFormat="false" ht="12.8" hidden="false" customHeight="false" outlineLevel="0" collapsed="false">
      <c r="A13436" s="0" t="s">
        <v>12</v>
      </c>
      <c r="B13436" s="0" t="n">
        <v>4192740</v>
      </c>
      <c r="C13436" s="0" t="n">
        <v>4192760</v>
      </c>
      <c r="D13436" s="0" t="s">
        <v>44614</v>
      </c>
      <c r="E13436" s="0" t="s">
        <v>44615</v>
      </c>
      <c r="F13436" s="0" t="s">
        <v>90</v>
      </c>
      <c r="G13436" s="0" t="s">
        <v>32</v>
      </c>
      <c r="H13436" s="0" t="n">
        <v>85</v>
      </c>
      <c r="I13436" s="0" t="s">
        <v>44622</v>
      </c>
      <c r="J13436" s="0" t="s">
        <v>44623</v>
      </c>
      <c r="K13436" s="0" t="s">
        <v>44624</v>
      </c>
      <c r="L13436" s="0" t="str">
        <f aca="false">HYPERLINK("https://www.ncbi.nlm.nih.gov/nuccore/CP000058.1?report=graph&amp;tracks=[key:gene_model_track,Options:GeneOnly]&amp;mk=4192799:4192818|offset_27|444444,4192769:4192788|offset_57|444444,4192741:4192760|offset_85|00cc00,4192708:4192727|offset_118|444444&amp;v=4192598:4192927&amp;c=444444", "offset 85")</f>
        <v>offset 85</v>
      </c>
    </row>
    <row r="13437" customFormat="false" ht="12.8" hidden="false" customHeight="false" outlineLevel="0" collapsed="false">
      <c r="A13437" s="0" t="s">
        <v>12</v>
      </c>
      <c r="B13437" s="0" t="n">
        <v>4192707</v>
      </c>
      <c r="C13437" s="0" t="n">
        <v>4192727</v>
      </c>
      <c r="D13437" s="0" t="s">
        <v>44614</v>
      </c>
      <c r="E13437" s="0" t="s">
        <v>44615</v>
      </c>
      <c r="F13437" s="0" t="s">
        <v>90</v>
      </c>
      <c r="G13437" s="0" t="s">
        <v>32</v>
      </c>
      <c r="H13437" s="0" t="n">
        <v>118</v>
      </c>
      <c r="I13437" s="0" t="s">
        <v>44625</v>
      </c>
      <c r="J13437" s="0" t="s">
        <v>44626</v>
      </c>
      <c r="K13437" s="0" t="s">
        <v>44627</v>
      </c>
      <c r="L13437" s="0" t="str">
        <f aca="false">HYPERLINK("https://www.ncbi.nlm.nih.gov/nuccore/CP000058.1?report=graph&amp;tracks=[key:gene_model_track,Options:GeneOnly]&amp;mk=4192799:4192818|offset_27|444444,4192769:4192788|offset_57|444444,4192741:4192760|offset_85|444444,4192708:4192727|offset_118|00cc00&amp;v=4192598:4192927&amp;c=444444", "offset 118")</f>
        <v>offset 118</v>
      </c>
    </row>
    <row r="13438" customFormat="false" ht="12.8" hidden="false" customHeight="false" outlineLevel="0" collapsed="false">
      <c r="A13438" s="0" t="s">
        <v>12</v>
      </c>
      <c r="B13438" s="0" t="n">
        <v>4194006</v>
      </c>
      <c r="C13438" s="0" t="n">
        <v>4194026</v>
      </c>
      <c r="D13438" s="0" t="s">
        <v>44628</v>
      </c>
      <c r="E13438" s="0" t="s">
        <v>75</v>
      </c>
      <c r="F13438" s="0" t="s">
        <v>90</v>
      </c>
      <c r="G13438" s="0" t="s">
        <v>16</v>
      </c>
      <c r="H13438" s="0" t="n">
        <v>55</v>
      </c>
      <c r="I13438" s="0" t="s">
        <v>44629</v>
      </c>
      <c r="J13438" s="0" t="s">
        <v>44630</v>
      </c>
      <c r="K13438" s="0" t="s">
        <v>44631</v>
      </c>
      <c r="L13438" s="0" t="str">
        <f aca="false">HYPERLINK("https://www.ncbi.nlm.nih.gov/nuccore/CP000058.1?report=graph&amp;tracks=[key:gene_model_track,Options:GeneOnly]&amp;mk=4194007:4194026|offset_55|00cc00,4193982:4194001|offset_80|444444,4193934:4193953|offset_128|444444,4193910:4193929|offset_152|444444&amp;v=4193806:4194129&amp;c=444444", "offset 55")</f>
        <v>offset 55</v>
      </c>
    </row>
    <row r="13439" customFormat="false" ht="12.8" hidden="false" customHeight="false" outlineLevel="0" collapsed="false">
      <c r="A13439" s="0" t="s">
        <v>12</v>
      </c>
      <c r="B13439" s="0" t="n">
        <v>4193981</v>
      </c>
      <c r="C13439" s="0" t="n">
        <v>4194001</v>
      </c>
      <c r="D13439" s="0" t="s">
        <v>44628</v>
      </c>
      <c r="E13439" s="0" t="s">
        <v>75</v>
      </c>
      <c r="F13439" s="0" t="s">
        <v>90</v>
      </c>
      <c r="G13439" s="0" t="s">
        <v>32</v>
      </c>
      <c r="H13439" s="0" t="n">
        <v>80</v>
      </c>
      <c r="I13439" s="0" t="s">
        <v>44632</v>
      </c>
      <c r="J13439" s="0" t="s">
        <v>44633</v>
      </c>
      <c r="K13439" s="0" t="s">
        <v>44634</v>
      </c>
      <c r="L13439" s="0" t="str">
        <f aca="false">HYPERLINK("https://www.ncbi.nlm.nih.gov/nuccore/CP000058.1?report=graph&amp;tracks=[key:gene_model_track,Options:GeneOnly]&amp;mk=4194007:4194026|offset_55|444444,4193982:4194001|offset_80|00cc00,4193934:4193953|offset_128|444444,4193910:4193929|offset_152|444444&amp;v=4193806:4194129&amp;c=444444", "offset 80")</f>
        <v>offset 80</v>
      </c>
    </row>
    <row r="13440" customFormat="false" ht="12.8" hidden="false" customHeight="false" outlineLevel="0" collapsed="false">
      <c r="A13440" s="0" t="s">
        <v>12</v>
      </c>
      <c r="B13440" s="0" t="n">
        <v>4193933</v>
      </c>
      <c r="C13440" s="0" t="n">
        <v>4193953</v>
      </c>
      <c r="D13440" s="0" t="s">
        <v>44628</v>
      </c>
      <c r="E13440" s="0" t="s">
        <v>75</v>
      </c>
      <c r="F13440" s="0" t="s">
        <v>90</v>
      </c>
      <c r="G13440" s="0" t="s">
        <v>20</v>
      </c>
      <c r="H13440" s="0" t="n">
        <v>128</v>
      </c>
      <c r="I13440" s="0" t="s">
        <v>44635</v>
      </c>
      <c r="J13440" s="0" t="s">
        <v>44636</v>
      </c>
      <c r="K13440" s="0" t="s">
        <v>44637</v>
      </c>
      <c r="L13440" s="0" t="str">
        <f aca="false">HYPERLINK("https://www.ncbi.nlm.nih.gov/nuccore/CP000058.1?report=graph&amp;tracks=[key:gene_model_track,Options:GeneOnly]&amp;mk=4194007:4194026|offset_55|444444,4193982:4194001|offset_80|444444,4193934:4193953|offset_128|00cc00,4193910:4193929|offset_152|444444&amp;v=4193806:4194129&amp;c=444444", "offset 128")</f>
        <v>offset 128</v>
      </c>
    </row>
    <row r="13441" customFormat="false" ht="12.8" hidden="false" customHeight="false" outlineLevel="0" collapsed="false">
      <c r="A13441" s="0" t="s">
        <v>12</v>
      </c>
      <c r="B13441" s="0" t="n">
        <v>4193909</v>
      </c>
      <c r="C13441" s="0" t="n">
        <v>4193929</v>
      </c>
      <c r="D13441" s="0" t="s">
        <v>44628</v>
      </c>
      <c r="E13441" s="0" t="s">
        <v>75</v>
      </c>
      <c r="F13441" s="0" t="s">
        <v>90</v>
      </c>
      <c r="G13441" s="0" t="s">
        <v>36</v>
      </c>
      <c r="H13441" s="0" t="n">
        <v>152</v>
      </c>
      <c r="I13441" s="0" t="s">
        <v>44638</v>
      </c>
      <c r="J13441" s="0" t="s">
        <v>44639</v>
      </c>
      <c r="K13441" s="0" t="s">
        <v>44640</v>
      </c>
      <c r="L13441" s="0" t="str">
        <f aca="false">HYPERLINK("https://www.ncbi.nlm.nih.gov/nuccore/CP000058.1?report=graph&amp;tracks=[key:gene_model_track,Options:GeneOnly]&amp;mk=4194007:4194026|offset_55|444444,4193982:4194001|offset_80|444444,4193934:4193953|offset_128|444444,4193910:4193929|offset_152|00cc00&amp;v=4193806:4194129&amp;c=444444", "offset 152")</f>
        <v>offset 152</v>
      </c>
    </row>
    <row r="13442" customFormat="false" ht="12.8" hidden="false" customHeight="false" outlineLevel="0" collapsed="false">
      <c r="A13442" s="0" t="s">
        <v>12</v>
      </c>
      <c r="B13442" s="0" t="n">
        <v>4194232</v>
      </c>
      <c r="C13442" s="0" t="n">
        <v>4194252</v>
      </c>
      <c r="D13442" s="0" t="s">
        <v>44641</v>
      </c>
      <c r="E13442" s="0" t="s">
        <v>75</v>
      </c>
      <c r="F13442" s="0" t="s">
        <v>15</v>
      </c>
      <c r="G13442" s="0" t="s">
        <v>32</v>
      </c>
      <c r="H13442" s="0" t="n">
        <v>1</v>
      </c>
      <c r="I13442" s="0" t="s">
        <v>44642</v>
      </c>
      <c r="J13442" s="0" t="s">
        <v>44643</v>
      </c>
      <c r="K13442" s="0" t="s">
        <v>44644</v>
      </c>
      <c r="L13442" s="0" t="str">
        <f aca="false">HYPERLINK("https://www.ncbi.nlm.nih.gov/nuccore/CP000058.1?report=graph&amp;tracks=[key:gene_model_track,Options:GeneOnly]&amp;mk=4194233:4194252|offset_1|00cc00,4194261:4194280|offset_29|444444,4194296:4194315|offset_64|444444,4194335:4194354|offset_103|444444&amp;v=4194032:4194554&amp;c=444444", "offset 1")</f>
        <v>offset 1</v>
      </c>
    </row>
    <row r="13443" customFormat="false" ht="12.8" hidden="false" customHeight="false" outlineLevel="0" collapsed="false">
      <c r="A13443" s="0" t="s">
        <v>12</v>
      </c>
      <c r="B13443" s="0" t="n">
        <v>4194260</v>
      </c>
      <c r="C13443" s="0" t="n">
        <v>4194280</v>
      </c>
      <c r="D13443" s="0" t="s">
        <v>44641</v>
      </c>
      <c r="E13443" s="0" t="s">
        <v>75</v>
      </c>
      <c r="F13443" s="0" t="s">
        <v>15</v>
      </c>
      <c r="G13443" s="0" t="s">
        <v>20</v>
      </c>
      <c r="H13443" s="0" t="n">
        <v>29</v>
      </c>
      <c r="I13443" s="0" t="s">
        <v>44645</v>
      </c>
      <c r="J13443" s="0" t="s">
        <v>44646</v>
      </c>
      <c r="K13443" s="0" t="s">
        <v>44647</v>
      </c>
      <c r="L13443" s="0" t="str">
        <f aca="false">HYPERLINK("https://www.ncbi.nlm.nih.gov/nuccore/CP000058.1?report=graph&amp;tracks=[key:gene_model_track,Options:GeneOnly]&amp;mk=4194233:4194252|offset_1|444444,4194261:4194280|offset_29|00cc00,4194296:4194315|offset_64|444444,4194335:4194354|offset_103|444444&amp;v=4194032:4194554&amp;c=444444", "offset 29")</f>
        <v>offset 29</v>
      </c>
    </row>
    <row r="13444" customFormat="false" ht="12.8" hidden="false" customHeight="false" outlineLevel="0" collapsed="false">
      <c r="A13444" s="0" t="s">
        <v>12</v>
      </c>
      <c r="B13444" s="0" t="n">
        <v>4194295</v>
      </c>
      <c r="C13444" s="0" t="n">
        <v>4194315</v>
      </c>
      <c r="D13444" s="0" t="s">
        <v>44641</v>
      </c>
      <c r="E13444" s="0" t="s">
        <v>75</v>
      </c>
      <c r="F13444" s="0" t="s">
        <v>15</v>
      </c>
      <c r="G13444" s="0" t="s">
        <v>36</v>
      </c>
      <c r="H13444" s="0" t="n">
        <v>64</v>
      </c>
      <c r="I13444" s="0" t="s">
        <v>44648</v>
      </c>
      <c r="J13444" s="0" t="s">
        <v>44649</v>
      </c>
      <c r="K13444" s="0" t="s">
        <v>44650</v>
      </c>
      <c r="L13444" s="0" t="str">
        <f aca="false">HYPERLINK("https://www.ncbi.nlm.nih.gov/nuccore/CP000058.1?report=graph&amp;tracks=[key:gene_model_track,Options:GeneOnly]&amp;mk=4194233:4194252|offset_1|444444,4194261:4194280|offset_29|444444,4194296:4194315|offset_64|00cc00,4194335:4194354|offset_103|444444&amp;v=4194032:4194554&amp;c=444444", "offset 64")</f>
        <v>offset 64</v>
      </c>
    </row>
    <row r="13445" customFormat="false" ht="12.8" hidden="false" customHeight="false" outlineLevel="0" collapsed="false">
      <c r="A13445" s="0" t="s">
        <v>12</v>
      </c>
      <c r="B13445" s="0" t="n">
        <v>4194334</v>
      </c>
      <c r="C13445" s="0" t="n">
        <v>4194354</v>
      </c>
      <c r="D13445" s="0" t="s">
        <v>44641</v>
      </c>
      <c r="E13445" s="0" t="s">
        <v>75</v>
      </c>
      <c r="F13445" s="0" t="s">
        <v>15</v>
      </c>
      <c r="G13445" s="0" t="s">
        <v>16</v>
      </c>
      <c r="H13445" s="0" t="n">
        <v>103</v>
      </c>
      <c r="I13445" s="0" t="s">
        <v>44651</v>
      </c>
      <c r="J13445" s="0" t="s">
        <v>44652</v>
      </c>
      <c r="K13445" s="0" t="s">
        <v>44653</v>
      </c>
      <c r="L13445" s="0" t="str">
        <f aca="false">HYPERLINK("https://www.ncbi.nlm.nih.gov/nuccore/CP000058.1?report=graph&amp;tracks=[key:gene_model_track,Options:GeneOnly]&amp;mk=4194233:4194252|offset_1|444444,4194261:4194280|offset_29|444444,4194296:4194315|offset_64|444444,4194335:4194354|offset_103|00cc00&amp;v=4194032:4194554&amp;c=444444", "offset 103")</f>
        <v>offset 103</v>
      </c>
    </row>
    <row r="13446" customFormat="false" ht="12.8" hidden="false" customHeight="false" outlineLevel="0" collapsed="false">
      <c r="A13446" s="0" t="s">
        <v>12</v>
      </c>
      <c r="B13446" s="0" t="n">
        <v>4194634</v>
      </c>
      <c r="C13446" s="0" t="n">
        <v>4194654</v>
      </c>
      <c r="D13446" s="0" t="s">
        <v>44654</v>
      </c>
      <c r="E13446" s="0" t="s">
        <v>75</v>
      </c>
      <c r="F13446" s="0" t="s">
        <v>15</v>
      </c>
      <c r="G13446" s="0" t="s">
        <v>32</v>
      </c>
      <c r="H13446" s="0" t="n">
        <v>1</v>
      </c>
      <c r="I13446" s="0" t="s">
        <v>44655</v>
      </c>
      <c r="J13446" s="0" t="s">
        <v>44656</v>
      </c>
      <c r="K13446" s="0" t="s">
        <v>44657</v>
      </c>
      <c r="L13446" s="0" t="str">
        <f aca="false">HYPERLINK("https://www.ncbi.nlm.nih.gov/nuccore/CP000058.1?report=graph&amp;tracks=[key:gene_model_track,Options:GeneOnly]&amp;mk=4194635:4194654|offset_1|00cc00,4194716:4194735|offset_82|444444,4194752:4194771|offset_118|444444,4194804:4194823|offset_170|444444&amp;v=4194434:4195023&amp;c=444444", "offset 1")</f>
        <v>offset 1</v>
      </c>
    </row>
    <row r="13447" customFormat="false" ht="12.8" hidden="false" customHeight="false" outlineLevel="0" collapsed="false">
      <c r="A13447" s="0" t="s">
        <v>12</v>
      </c>
      <c r="B13447" s="0" t="n">
        <v>4194715</v>
      </c>
      <c r="C13447" s="0" t="n">
        <v>4194735</v>
      </c>
      <c r="D13447" s="0" t="s">
        <v>44654</v>
      </c>
      <c r="E13447" s="0" t="s">
        <v>75</v>
      </c>
      <c r="F13447" s="0" t="s">
        <v>15</v>
      </c>
      <c r="G13447" s="0" t="s">
        <v>16</v>
      </c>
      <c r="H13447" s="0" t="n">
        <v>82</v>
      </c>
      <c r="I13447" s="0" t="s">
        <v>44658</v>
      </c>
      <c r="J13447" s="0" t="s">
        <v>44659</v>
      </c>
      <c r="K13447" s="0" t="s">
        <v>44660</v>
      </c>
      <c r="L13447" s="0" t="str">
        <f aca="false">HYPERLINK("https://www.ncbi.nlm.nih.gov/nuccore/CP000058.1?report=graph&amp;tracks=[key:gene_model_track,Options:GeneOnly]&amp;mk=4194635:4194654|offset_1|444444,4194716:4194735|offset_82|00cc00,4194752:4194771|offset_118|444444,4194804:4194823|offset_170|444444&amp;v=4194434:4195023&amp;c=444444", "offset 82")</f>
        <v>offset 82</v>
      </c>
    </row>
    <row r="13448" customFormat="false" ht="12.8" hidden="false" customHeight="false" outlineLevel="0" collapsed="false">
      <c r="A13448" s="0" t="s">
        <v>12</v>
      </c>
      <c r="B13448" s="0" t="n">
        <v>4194751</v>
      </c>
      <c r="C13448" s="0" t="n">
        <v>4194771</v>
      </c>
      <c r="D13448" s="0" t="s">
        <v>44654</v>
      </c>
      <c r="E13448" s="0" t="s">
        <v>75</v>
      </c>
      <c r="F13448" s="0" t="s">
        <v>15</v>
      </c>
      <c r="G13448" s="0" t="s">
        <v>16</v>
      </c>
      <c r="H13448" s="0" t="n">
        <v>118</v>
      </c>
      <c r="I13448" s="0" t="s">
        <v>44661</v>
      </c>
      <c r="J13448" s="0" t="s">
        <v>44662</v>
      </c>
      <c r="K13448" s="0" t="s">
        <v>44663</v>
      </c>
      <c r="L13448" s="0" t="str">
        <f aca="false">HYPERLINK("https://www.ncbi.nlm.nih.gov/nuccore/CP000058.1?report=graph&amp;tracks=[key:gene_model_track,Options:GeneOnly]&amp;mk=4194635:4194654|offset_1|444444,4194716:4194735|offset_82|444444,4194752:4194771|offset_118|00cc00,4194804:4194823|offset_170|444444&amp;v=4194434:4195023&amp;c=444444", "offset 118")</f>
        <v>offset 118</v>
      </c>
    </row>
    <row r="13449" customFormat="false" ht="12.8" hidden="false" customHeight="false" outlineLevel="0" collapsed="false">
      <c r="A13449" s="0" t="s">
        <v>12</v>
      </c>
      <c r="B13449" s="0" t="n">
        <v>4194803</v>
      </c>
      <c r="C13449" s="0" t="n">
        <v>4194823</v>
      </c>
      <c r="D13449" s="0" t="s">
        <v>44654</v>
      </c>
      <c r="E13449" s="0" t="s">
        <v>75</v>
      </c>
      <c r="F13449" s="0" t="s">
        <v>15</v>
      </c>
      <c r="G13449" s="0" t="s">
        <v>32</v>
      </c>
      <c r="H13449" s="0" t="n">
        <v>170</v>
      </c>
      <c r="I13449" s="0" t="s">
        <v>44664</v>
      </c>
      <c r="J13449" s="0" t="s">
        <v>44665</v>
      </c>
      <c r="K13449" s="0" t="s">
        <v>44666</v>
      </c>
      <c r="L13449" s="0" t="str">
        <f aca="false">HYPERLINK("https://www.ncbi.nlm.nih.gov/nuccore/CP000058.1?report=graph&amp;tracks=[key:gene_model_track,Options:GeneOnly]&amp;mk=4194635:4194654|offset_1|444444,4194716:4194735|offset_82|444444,4194752:4194771|offset_118|444444,4194804:4194823|offset_170|00cc00&amp;v=4194434:4195023&amp;c=444444", "offset 170")</f>
        <v>offset 170</v>
      </c>
    </row>
    <row r="13450" customFormat="false" ht="12.8" hidden="false" customHeight="false" outlineLevel="0" collapsed="false">
      <c r="A13450" s="0" t="s">
        <v>12</v>
      </c>
      <c r="B13450" s="0" t="n">
        <v>4195262</v>
      </c>
      <c r="C13450" s="0" t="n">
        <v>4195282</v>
      </c>
      <c r="D13450" s="0" t="s">
        <v>44667</v>
      </c>
      <c r="E13450" s="0" t="s">
        <v>75</v>
      </c>
      <c r="F13450" s="0" t="s">
        <v>15</v>
      </c>
      <c r="G13450" s="0" t="s">
        <v>36</v>
      </c>
      <c r="H13450" s="0" t="n">
        <v>23</v>
      </c>
      <c r="I13450" s="0" t="s">
        <v>44668</v>
      </c>
      <c r="J13450" s="0" t="s">
        <v>44669</v>
      </c>
      <c r="K13450" s="0" t="s">
        <v>44670</v>
      </c>
      <c r="L13450" s="0" t="str">
        <f aca="false">HYPERLINK("https://www.ncbi.nlm.nih.gov/nuccore/CP000058.1?report=graph&amp;tracks=[key:gene_model_track,Options:GeneOnly]&amp;mk=4195263:4195282|offset_23|00cc00,4195287:4195306|offset_47|444444,4195320:4195339|offset_80|444444,4195350:4195369|offset_110|444444&amp;v=4195062:4195569&amp;c=444444", "offset 23")</f>
        <v>offset 23</v>
      </c>
    </row>
    <row r="13451" customFormat="false" ht="12.8" hidden="false" customHeight="false" outlineLevel="0" collapsed="false">
      <c r="A13451" s="0" t="s">
        <v>12</v>
      </c>
      <c r="B13451" s="0" t="n">
        <v>4195286</v>
      </c>
      <c r="C13451" s="0" t="n">
        <v>4195306</v>
      </c>
      <c r="D13451" s="0" t="s">
        <v>44667</v>
      </c>
      <c r="E13451" s="0" t="s">
        <v>75</v>
      </c>
      <c r="F13451" s="0" t="s">
        <v>15</v>
      </c>
      <c r="G13451" s="0" t="s">
        <v>20</v>
      </c>
      <c r="H13451" s="0" t="n">
        <v>47</v>
      </c>
      <c r="I13451" s="0" t="s">
        <v>44671</v>
      </c>
      <c r="J13451" s="0" t="s">
        <v>44672</v>
      </c>
      <c r="K13451" s="0" t="s">
        <v>44673</v>
      </c>
      <c r="L13451" s="0" t="str">
        <f aca="false">HYPERLINK("https://www.ncbi.nlm.nih.gov/nuccore/CP000058.1?report=graph&amp;tracks=[key:gene_model_track,Options:GeneOnly]&amp;mk=4195263:4195282|offset_23|444444,4195287:4195306|offset_47|00cc00,4195320:4195339|offset_80|444444,4195350:4195369|offset_110|444444&amp;v=4195062:4195569&amp;c=444444", "offset 47")</f>
        <v>offset 47</v>
      </c>
    </row>
    <row r="13452" customFormat="false" ht="12.8" hidden="false" customHeight="false" outlineLevel="0" collapsed="false">
      <c r="A13452" s="0" t="s">
        <v>12</v>
      </c>
      <c r="B13452" s="0" t="n">
        <v>4195319</v>
      </c>
      <c r="C13452" s="0" t="n">
        <v>4195339</v>
      </c>
      <c r="D13452" s="0" t="s">
        <v>44667</v>
      </c>
      <c r="E13452" s="0" t="s">
        <v>75</v>
      </c>
      <c r="F13452" s="0" t="s">
        <v>15</v>
      </c>
      <c r="G13452" s="0" t="s">
        <v>20</v>
      </c>
      <c r="H13452" s="0" t="n">
        <v>80</v>
      </c>
      <c r="I13452" s="0" t="s">
        <v>44674</v>
      </c>
      <c r="J13452" s="0" t="s">
        <v>44675</v>
      </c>
      <c r="K13452" s="0" t="s">
        <v>44676</v>
      </c>
      <c r="L13452" s="0" t="str">
        <f aca="false">HYPERLINK("https://www.ncbi.nlm.nih.gov/nuccore/CP000058.1?report=graph&amp;tracks=[key:gene_model_track,Options:GeneOnly]&amp;mk=4195263:4195282|offset_23|444444,4195287:4195306|offset_47|444444,4195320:4195339|offset_80|00cc00,4195350:4195369|offset_110|444444&amp;v=4195062:4195569&amp;c=444444", "offset 80")</f>
        <v>offset 80</v>
      </c>
    </row>
    <row r="13453" customFormat="false" ht="12.8" hidden="false" customHeight="false" outlineLevel="0" collapsed="false">
      <c r="A13453" s="0" t="s">
        <v>12</v>
      </c>
      <c r="B13453" s="0" t="n">
        <v>4195349</v>
      </c>
      <c r="C13453" s="0" t="n">
        <v>4195369</v>
      </c>
      <c r="D13453" s="0" t="s">
        <v>44667</v>
      </c>
      <c r="E13453" s="0" t="s">
        <v>75</v>
      </c>
      <c r="F13453" s="0" t="s">
        <v>15</v>
      </c>
      <c r="G13453" s="0" t="s">
        <v>32</v>
      </c>
      <c r="H13453" s="0" t="n">
        <v>110</v>
      </c>
      <c r="I13453" s="0" t="s">
        <v>44677</v>
      </c>
      <c r="J13453" s="0" t="s">
        <v>44678</v>
      </c>
      <c r="K13453" s="0" t="s">
        <v>44679</v>
      </c>
      <c r="L13453" s="0" t="str">
        <f aca="false">HYPERLINK("https://www.ncbi.nlm.nih.gov/nuccore/CP000058.1?report=graph&amp;tracks=[key:gene_model_track,Options:GeneOnly]&amp;mk=4195263:4195282|offset_23|444444,4195287:4195306|offset_47|444444,4195320:4195339|offset_80|444444,4195350:4195369|offset_110|00cc00&amp;v=4195062:4195569&amp;c=444444", "offset 110")</f>
        <v>offset 110</v>
      </c>
    </row>
    <row r="13454" customFormat="false" ht="12.8" hidden="false" customHeight="false" outlineLevel="0" collapsed="false">
      <c r="A13454" s="0" t="s">
        <v>12</v>
      </c>
      <c r="B13454" s="0" t="n">
        <v>4196741</v>
      </c>
      <c r="C13454" s="0" t="n">
        <v>4196761</v>
      </c>
      <c r="D13454" s="0" t="s">
        <v>44680</v>
      </c>
      <c r="E13454" s="0" t="s">
        <v>75</v>
      </c>
      <c r="F13454" s="0" t="s">
        <v>90</v>
      </c>
      <c r="G13454" s="0" t="s">
        <v>20</v>
      </c>
      <c r="H13454" s="0" t="n">
        <v>35</v>
      </c>
      <c r="I13454" s="0" t="s">
        <v>44681</v>
      </c>
      <c r="J13454" s="0" t="s">
        <v>44682</v>
      </c>
      <c r="K13454" s="0" t="s">
        <v>44683</v>
      </c>
      <c r="L13454" s="0" t="str">
        <f aca="false">HYPERLINK("https://www.ncbi.nlm.nih.gov/nuccore/CP000058.1?report=graph&amp;tracks=[key:gene_model_track,Options:GeneOnly]&amp;mk=4196742:4196761|offset_35|00cc00,4196716:4196735|offset_61|444444,4196695:4196714|offset_82|444444,4196665:4196684|offset_112|444444&amp;v=4196541:4196884&amp;c=444444", "offset 35")</f>
        <v>offset 35</v>
      </c>
    </row>
    <row r="13455" customFormat="false" ht="12.8" hidden="false" customHeight="false" outlineLevel="0" collapsed="false">
      <c r="A13455" s="0" t="s">
        <v>12</v>
      </c>
      <c r="B13455" s="0" t="n">
        <v>4196715</v>
      </c>
      <c r="C13455" s="0" t="n">
        <v>4196735</v>
      </c>
      <c r="D13455" s="0" t="s">
        <v>44680</v>
      </c>
      <c r="E13455" s="0" t="s">
        <v>75</v>
      </c>
      <c r="F13455" s="0" t="s">
        <v>90</v>
      </c>
      <c r="G13455" s="0" t="s">
        <v>20</v>
      </c>
      <c r="H13455" s="0" t="n">
        <v>61</v>
      </c>
      <c r="I13455" s="0" t="s">
        <v>44684</v>
      </c>
      <c r="J13455" s="0" t="s">
        <v>44685</v>
      </c>
      <c r="K13455" s="0" t="s">
        <v>44686</v>
      </c>
      <c r="L13455" s="0" t="str">
        <f aca="false">HYPERLINK("https://www.ncbi.nlm.nih.gov/nuccore/CP000058.1?report=graph&amp;tracks=[key:gene_model_track,Options:GeneOnly]&amp;mk=4196742:4196761|offset_35|444444,4196716:4196735|offset_61|00cc00,4196695:4196714|offset_82|444444,4196665:4196684|offset_112|444444&amp;v=4196541:4196884&amp;c=444444", "offset 61")</f>
        <v>offset 61</v>
      </c>
    </row>
    <row r="13456" customFormat="false" ht="12.8" hidden="false" customHeight="false" outlineLevel="0" collapsed="false">
      <c r="A13456" s="0" t="s">
        <v>12</v>
      </c>
      <c r="B13456" s="0" t="n">
        <v>4196694</v>
      </c>
      <c r="C13456" s="0" t="n">
        <v>4196714</v>
      </c>
      <c r="D13456" s="0" t="s">
        <v>44680</v>
      </c>
      <c r="E13456" s="0" t="s">
        <v>75</v>
      </c>
      <c r="F13456" s="0" t="s">
        <v>90</v>
      </c>
      <c r="G13456" s="0" t="s">
        <v>32</v>
      </c>
      <c r="H13456" s="0" t="n">
        <v>82</v>
      </c>
      <c r="I13456" s="0" t="s">
        <v>44687</v>
      </c>
      <c r="J13456" s="0" t="s">
        <v>44688</v>
      </c>
      <c r="K13456" s="0" t="s">
        <v>44689</v>
      </c>
      <c r="L13456" s="0" t="str">
        <f aca="false">HYPERLINK("https://www.ncbi.nlm.nih.gov/nuccore/CP000058.1?report=graph&amp;tracks=[key:gene_model_track,Options:GeneOnly]&amp;mk=4196742:4196761|offset_35|444444,4196716:4196735|offset_61|444444,4196695:4196714|offset_82|00cc00,4196665:4196684|offset_112|444444&amp;v=4196541:4196884&amp;c=444444", "offset 82")</f>
        <v>offset 82</v>
      </c>
    </row>
    <row r="13457" customFormat="false" ht="12.8" hidden="false" customHeight="false" outlineLevel="0" collapsed="false">
      <c r="A13457" s="0" t="s">
        <v>12</v>
      </c>
      <c r="B13457" s="0" t="n">
        <v>4196664</v>
      </c>
      <c r="C13457" s="0" t="n">
        <v>4196684</v>
      </c>
      <c r="D13457" s="0" t="s">
        <v>44680</v>
      </c>
      <c r="E13457" s="0" t="s">
        <v>75</v>
      </c>
      <c r="F13457" s="0" t="s">
        <v>90</v>
      </c>
      <c r="G13457" s="0" t="s">
        <v>32</v>
      </c>
      <c r="H13457" s="0" t="n">
        <v>112</v>
      </c>
      <c r="I13457" s="0" t="s">
        <v>44690</v>
      </c>
      <c r="J13457" s="0" t="s">
        <v>44691</v>
      </c>
      <c r="K13457" s="0" t="s">
        <v>44692</v>
      </c>
      <c r="L13457" s="0" t="str">
        <f aca="false">HYPERLINK("https://www.ncbi.nlm.nih.gov/nuccore/CP000058.1?report=graph&amp;tracks=[key:gene_model_track,Options:GeneOnly]&amp;mk=4196742:4196761|offset_35|444444,4196716:4196735|offset_61|444444,4196695:4196714|offset_82|444444,4196665:4196684|offset_112|00cc00&amp;v=4196541:4196884&amp;c=444444", "offset 112")</f>
        <v>offset 112</v>
      </c>
    </row>
    <row r="13458" customFormat="false" ht="12.8" hidden="false" customHeight="false" outlineLevel="0" collapsed="false">
      <c r="A13458" s="0" t="s">
        <v>12</v>
      </c>
      <c r="B13458" s="0" t="n">
        <v>4197267</v>
      </c>
      <c r="C13458" s="0" t="n">
        <v>4197287</v>
      </c>
      <c r="D13458" s="0" t="s">
        <v>44693</v>
      </c>
      <c r="E13458" s="0" t="s">
        <v>75</v>
      </c>
      <c r="F13458" s="0" t="s">
        <v>15</v>
      </c>
      <c r="G13458" s="0" t="s">
        <v>36</v>
      </c>
      <c r="H13458" s="0" t="n">
        <v>28</v>
      </c>
      <c r="I13458" s="0" t="s">
        <v>44694</v>
      </c>
      <c r="J13458" s="0" t="s">
        <v>44695</v>
      </c>
      <c r="K13458" s="0" t="s">
        <v>44696</v>
      </c>
      <c r="L13458" s="0" t="str">
        <f aca="false">HYPERLINK("https://www.ncbi.nlm.nih.gov/nuccore/CP000058.1?report=graph&amp;tracks=[key:gene_model_track,Options:GeneOnly]&amp;mk=4197268:4197287|offset_28|00cc00,4197301:4197320|offset_61|444444,4197345:4197364|offset_105|444444,4197370:4197389|offset_130|444444&amp;v=4197067:4197589&amp;c=444444", "offset 28")</f>
        <v>offset 28</v>
      </c>
    </row>
    <row r="13459" customFormat="false" ht="12.8" hidden="false" customHeight="false" outlineLevel="0" collapsed="false">
      <c r="A13459" s="0" t="s">
        <v>12</v>
      </c>
      <c r="B13459" s="0" t="n">
        <v>4197300</v>
      </c>
      <c r="C13459" s="0" t="n">
        <v>4197320</v>
      </c>
      <c r="D13459" s="0" t="s">
        <v>44693</v>
      </c>
      <c r="E13459" s="0" t="s">
        <v>75</v>
      </c>
      <c r="F13459" s="0" t="s">
        <v>15</v>
      </c>
      <c r="G13459" s="0" t="s">
        <v>32</v>
      </c>
      <c r="H13459" s="0" t="n">
        <v>61</v>
      </c>
      <c r="I13459" s="0" t="s">
        <v>44697</v>
      </c>
      <c r="J13459" s="0" t="s">
        <v>44698</v>
      </c>
      <c r="K13459" s="0" t="s">
        <v>44699</v>
      </c>
      <c r="L13459" s="0" t="str">
        <f aca="false">HYPERLINK("https://www.ncbi.nlm.nih.gov/nuccore/CP000058.1?report=graph&amp;tracks=[key:gene_model_track,Options:GeneOnly]&amp;mk=4197268:4197287|offset_28|444444,4197301:4197320|offset_61|00cc00,4197345:4197364|offset_105|444444,4197370:4197389|offset_130|444444&amp;v=4197067:4197589&amp;c=444444", "offset 61")</f>
        <v>offset 61</v>
      </c>
    </row>
    <row r="13460" customFormat="false" ht="12.8" hidden="false" customHeight="false" outlineLevel="0" collapsed="false">
      <c r="A13460" s="0" t="s">
        <v>12</v>
      </c>
      <c r="B13460" s="0" t="n">
        <v>4197344</v>
      </c>
      <c r="C13460" s="0" t="n">
        <v>4197364</v>
      </c>
      <c r="D13460" s="0" t="s">
        <v>44693</v>
      </c>
      <c r="E13460" s="0" t="s">
        <v>75</v>
      </c>
      <c r="F13460" s="0" t="s">
        <v>15</v>
      </c>
      <c r="G13460" s="0" t="s">
        <v>20</v>
      </c>
      <c r="H13460" s="0" t="n">
        <v>105</v>
      </c>
      <c r="I13460" s="0" t="s">
        <v>44700</v>
      </c>
      <c r="J13460" s="0" t="s">
        <v>44701</v>
      </c>
      <c r="K13460" s="0" t="s">
        <v>44702</v>
      </c>
      <c r="L13460" s="0" t="str">
        <f aca="false">HYPERLINK("https://www.ncbi.nlm.nih.gov/nuccore/CP000058.1?report=graph&amp;tracks=[key:gene_model_track,Options:GeneOnly]&amp;mk=4197268:4197287|offset_28|444444,4197301:4197320|offset_61|444444,4197345:4197364|offset_105|00cc00,4197370:4197389|offset_130|444444&amp;v=4197067:4197589&amp;c=444444", "offset 105")</f>
        <v>offset 105</v>
      </c>
    </row>
    <row r="13461" customFormat="false" ht="12.8" hidden="false" customHeight="false" outlineLevel="0" collapsed="false">
      <c r="A13461" s="0" t="s">
        <v>12</v>
      </c>
      <c r="B13461" s="0" t="n">
        <v>4197369</v>
      </c>
      <c r="C13461" s="0" t="n">
        <v>4197389</v>
      </c>
      <c r="D13461" s="0" t="s">
        <v>44693</v>
      </c>
      <c r="E13461" s="0" t="s">
        <v>75</v>
      </c>
      <c r="F13461" s="0" t="s">
        <v>15</v>
      </c>
      <c r="G13461" s="0" t="s">
        <v>36</v>
      </c>
      <c r="H13461" s="0" t="n">
        <v>130</v>
      </c>
      <c r="I13461" s="0" t="s">
        <v>44703</v>
      </c>
      <c r="J13461" s="0" t="s">
        <v>44704</v>
      </c>
      <c r="K13461" s="0" t="s">
        <v>44705</v>
      </c>
      <c r="L13461" s="0" t="str">
        <f aca="false">HYPERLINK("https://www.ncbi.nlm.nih.gov/nuccore/CP000058.1?report=graph&amp;tracks=[key:gene_model_track,Options:GeneOnly]&amp;mk=4197268:4197287|offset_28|444444,4197301:4197320|offset_61|444444,4197345:4197364|offset_105|444444,4197370:4197389|offset_130|00cc00&amp;v=4197067:4197589&amp;c=444444", "offset 130")</f>
        <v>offset 130</v>
      </c>
    </row>
    <row r="13462" customFormat="false" ht="12.8" hidden="false" customHeight="false" outlineLevel="0" collapsed="false">
      <c r="A13462" s="0" t="s">
        <v>12</v>
      </c>
      <c r="B13462" s="0" t="n">
        <v>4198231</v>
      </c>
      <c r="C13462" s="0" t="n">
        <v>4198251</v>
      </c>
      <c r="D13462" s="0" t="s">
        <v>44706</v>
      </c>
      <c r="E13462" s="0" t="s">
        <v>75</v>
      </c>
      <c r="F13462" s="0" t="s">
        <v>90</v>
      </c>
      <c r="G13462" s="0" t="s">
        <v>36</v>
      </c>
      <c r="H13462" s="0" t="n">
        <v>10</v>
      </c>
      <c r="I13462" s="0" t="s">
        <v>44707</v>
      </c>
      <c r="J13462" s="0" t="s">
        <v>44708</v>
      </c>
      <c r="K13462" s="0" t="s">
        <v>44709</v>
      </c>
      <c r="L13462" s="0" t="str">
        <f aca="false">HYPERLINK("https://www.ncbi.nlm.nih.gov/nuccore/CP000058.1?report=graph&amp;tracks=[key:gene_model_track,Options:GeneOnly]&amp;mk=4198232:4198251|offset_10|00cc00,4198205:4198224|offset_37|444444,4198172:4198191|offset_70|444444,4198151:4198170|offset_91|444444&amp;v=4198031:4198370&amp;c=444444", "offset 10")</f>
        <v>offset 10</v>
      </c>
    </row>
    <row r="13463" customFormat="false" ht="12.8" hidden="false" customHeight="false" outlineLevel="0" collapsed="false">
      <c r="A13463" s="0" t="s">
        <v>12</v>
      </c>
      <c r="B13463" s="0" t="n">
        <v>4198204</v>
      </c>
      <c r="C13463" s="0" t="n">
        <v>4198224</v>
      </c>
      <c r="D13463" s="0" t="s">
        <v>44706</v>
      </c>
      <c r="E13463" s="0" t="s">
        <v>75</v>
      </c>
      <c r="F13463" s="0" t="s">
        <v>90</v>
      </c>
      <c r="G13463" s="0" t="s">
        <v>20</v>
      </c>
      <c r="H13463" s="0" t="n">
        <v>37</v>
      </c>
      <c r="I13463" s="0" t="s">
        <v>44710</v>
      </c>
      <c r="J13463" s="0" t="s">
        <v>44711</v>
      </c>
      <c r="K13463" s="0" t="s">
        <v>44712</v>
      </c>
      <c r="L13463" s="0" t="str">
        <f aca="false">HYPERLINK("https://www.ncbi.nlm.nih.gov/nuccore/CP000058.1?report=graph&amp;tracks=[key:gene_model_track,Options:GeneOnly]&amp;mk=4198232:4198251|offset_10|444444,4198205:4198224|offset_37|00cc00,4198172:4198191|offset_70|444444,4198151:4198170|offset_91|444444&amp;v=4198031:4198370&amp;c=444444", "offset 37")</f>
        <v>offset 37</v>
      </c>
    </row>
    <row r="13464" customFormat="false" ht="12.8" hidden="false" customHeight="false" outlineLevel="0" collapsed="false">
      <c r="A13464" s="0" t="s">
        <v>12</v>
      </c>
      <c r="B13464" s="0" t="n">
        <v>4198171</v>
      </c>
      <c r="C13464" s="0" t="n">
        <v>4198191</v>
      </c>
      <c r="D13464" s="0" t="s">
        <v>44706</v>
      </c>
      <c r="E13464" s="0" t="s">
        <v>75</v>
      </c>
      <c r="F13464" s="0" t="s">
        <v>90</v>
      </c>
      <c r="G13464" s="0" t="s">
        <v>32</v>
      </c>
      <c r="H13464" s="0" t="n">
        <v>70</v>
      </c>
      <c r="I13464" s="0" t="s">
        <v>44713</v>
      </c>
      <c r="J13464" s="0" t="s">
        <v>44714</v>
      </c>
      <c r="K13464" s="0" t="s">
        <v>44715</v>
      </c>
      <c r="L13464" s="0" t="str">
        <f aca="false">HYPERLINK("https://www.ncbi.nlm.nih.gov/nuccore/CP000058.1?report=graph&amp;tracks=[key:gene_model_track,Options:GeneOnly]&amp;mk=4198232:4198251|offset_10|444444,4198205:4198224|offset_37|444444,4198172:4198191|offset_70|00cc00,4198151:4198170|offset_91|444444&amp;v=4198031:4198370&amp;c=444444", "offset 70")</f>
        <v>offset 70</v>
      </c>
    </row>
    <row r="13465" customFormat="false" ht="12.8" hidden="false" customHeight="false" outlineLevel="0" collapsed="false">
      <c r="A13465" s="0" t="s">
        <v>12</v>
      </c>
      <c r="B13465" s="0" t="n">
        <v>4198150</v>
      </c>
      <c r="C13465" s="0" t="n">
        <v>4198170</v>
      </c>
      <c r="D13465" s="0" t="s">
        <v>44706</v>
      </c>
      <c r="E13465" s="0" t="s">
        <v>75</v>
      </c>
      <c r="F13465" s="0" t="s">
        <v>90</v>
      </c>
      <c r="G13465" s="0" t="s">
        <v>16</v>
      </c>
      <c r="H13465" s="0" t="n">
        <v>91</v>
      </c>
      <c r="I13465" s="0" t="s">
        <v>44716</v>
      </c>
      <c r="J13465" s="0" t="s">
        <v>44717</v>
      </c>
      <c r="K13465" s="0" t="s">
        <v>44718</v>
      </c>
      <c r="L13465" s="0" t="str">
        <f aca="false">HYPERLINK("https://www.ncbi.nlm.nih.gov/nuccore/CP000058.1?report=graph&amp;tracks=[key:gene_model_track,Options:GeneOnly]&amp;mk=4198232:4198251|offset_10|444444,4198205:4198224|offset_37|444444,4198172:4198191|offset_70|444444,4198151:4198170|offset_91|00cc00&amp;v=4198031:4198370&amp;c=444444", "offset 91")</f>
        <v>offset 91</v>
      </c>
    </row>
    <row r="13466" customFormat="false" ht="12.8" hidden="false" customHeight="false" outlineLevel="0" collapsed="false">
      <c r="A13466" s="0" t="s">
        <v>12</v>
      </c>
      <c r="B13466" s="0" t="n">
        <v>4200376</v>
      </c>
      <c r="C13466" s="0" t="n">
        <v>4200396</v>
      </c>
      <c r="D13466" s="0" t="s">
        <v>44719</v>
      </c>
      <c r="E13466" s="0" t="s">
        <v>75</v>
      </c>
      <c r="F13466" s="0" t="s">
        <v>90</v>
      </c>
      <c r="G13466" s="0" t="s">
        <v>32</v>
      </c>
      <c r="H13466" s="0" t="n">
        <v>19</v>
      </c>
      <c r="I13466" s="0" t="s">
        <v>44720</v>
      </c>
      <c r="J13466" s="0" t="s">
        <v>44721</v>
      </c>
      <c r="K13466" s="0" t="s">
        <v>44722</v>
      </c>
      <c r="L13466" s="0" t="str">
        <f aca="false">HYPERLINK("https://www.ncbi.nlm.nih.gov/nuccore/CP000058.1?report=graph&amp;tracks=[key:gene_model_track,Options:GeneOnly]&amp;mk=4200377:4200396|offset_19|00cc00,4200355:4200374|offset_41|444444,4200252:4200271|offset_144|444444,4200216:4200235|offset_180|444444&amp;v=4200176:4200435&amp;c=444444", "offset 19")</f>
        <v>offset 19</v>
      </c>
    </row>
    <row r="13467" customFormat="false" ht="12.8" hidden="false" customHeight="false" outlineLevel="0" collapsed="false">
      <c r="A13467" s="0" t="s">
        <v>12</v>
      </c>
      <c r="B13467" s="0" t="n">
        <v>4200354</v>
      </c>
      <c r="C13467" s="0" t="n">
        <v>4200374</v>
      </c>
      <c r="D13467" s="0" t="s">
        <v>44719</v>
      </c>
      <c r="E13467" s="0" t="s">
        <v>75</v>
      </c>
      <c r="F13467" s="0" t="s">
        <v>90</v>
      </c>
      <c r="G13467" s="0" t="s">
        <v>16</v>
      </c>
      <c r="H13467" s="0" t="n">
        <v>41</v>
      </c>
      <c r="I13467" s="0" t="s">
        <v>44723</v>
      </c>
      <c r="J13467" s="0" t="s">
        <v>44724</v>
      </c>
      <c r="K13467" s="0" t="s">
        <v>44725</v>
      </c>
      <c r="L13467" s="0" t="str">
        <f aca="false">HYPERLINK("https://www.ncbi.nlm.nih.gov/nuccore/CP000058.1?report=graph&amp;tracks=[key:gene_model_track,Options:GeneOnly]&amp;mk=4200377:4200396|offset_19|444444,4200355:4200374|offset_41|00cc00,4200252:4200271|offset_144|444444,4200216:4200235|offset_180|444444&amp;v=4200176:4200435&amp;c=444444", "offset 41")</f>
        <v>offset 41</v>
      </c>
    </row>
    <row r="13468" customFormat="false" ht="12.8" hidden="false" customHeight="false" outlineLevel="0" collapsed="false">
      <c r="A13468" s="0" t="s">
        <v>12</v>
      </c>
      <c r="B13468" s="0" t="n">
        <v>4200251</v>
      </c>
      <c r="C13468" s="0" t="n">
        <v>4200271</v>
      </c>
      <c r="D13468" s="0" t="s">
        <v>44719</v>
      </c>
      <c r="E13468" s="0" t="s">
        <v>75</v>
      </c>
      <c r="F13468" s="0" t="s">
        <v>90</v>
      </c>
      <c r="G13468" s="0" t="s">
        <v>20</v>
      </c>
      <c r="H13468" s="0" t="n">
        <v>144</v>
      </c>
      <c r="I13468" s="0" t="s">
        <v>44726</v>
      </c>
      <c r="J13468" s="0" t="s">
        <v>44727</v>
      </c>
      <c r="K13468" s="0" t="s">
        <v>44728</v>
      </c>
      <c r="L13468" s="0" t="str">
        <f aca="false">HYPERLINK("https://www.ncbi.nlm.nih.gov/nuccore/CP000058.1?report=graph&amp;tracks=[key:gene_model_track,Options:GeneOnly]&amp;mk=4200377:4200396|offset_19|444444,4200355:4200374|offset_41|444444,4200252:4200271|offset_144|00cc00,4200216:4200235|offset_180|444444&amp;v=4200176:4200435&amp;c=444444", "offset 144")</f>
        <v>offset 144</v>
      </c>
    </row>
    <row r="13469" customFormat="false" ht="12.8" hidden="false" customHeight="false" outlineLevel="0" collapsed="false">
      <c r="A13469" s="0" t="s">
        <v>12</v>
      </c>
      <c r="B13469" s="0" t="n">
        <v>4200215</v>
      </c>
      <c r="C13469" s="0" t="n">
        <v>4200235</v>
      </c>
      <c r="D13469" s="0" t="s">
        <v>44719</v>
      </c>
      <c r="E13469" s="0" t="s">
        <v>75</v>
      </c>
      <c r="F13469" s="0" t="s">
        <v>90</v>
      </c>
      <c r="G13469" s="0" t="s">
        <v>16</v>
      </c>
      <c r="H13469" s="0" t="n">
        <v>180</v>
      </c>
      <c r="I13469" s="0" t="s">
        <v>44729</v>
      </c>
      <c r="J13469" s="0" t="s">
        <v>44730</v>
      </c>
      <c r="K13469" s="0" t="s">
        <v>44731</v>
      </c>
      <c r="L13469" s="0" t="str">
        <f aca="false">HYPERLINK("https://www.ncbi.nlm.nih.gov/nuccore/CP000058.1?report=graph&amp;tracks=[key:gene_model_track,Options:GeneOnly]&amp;mk=4200377:4200396|offset_19|444444,4200355:4200374|offset_41|444444,4200252:4200271|offset_144|444444,4200216:4200235|offset_180|00cc00&amp;v=4200176:4200435&amp;c=444444", "offset 180")</f>
        <v>offset 180</v>
      </c>
    </row>
    <row r="13470" customFormat="false" ht="12.8" hidden="false" customHeight="false" outlineLevel="0" collapsed="false">
      <c r="A13470" s="0" t="s">
        <v>12</v>
      </c>
      <c r="B13470" s="0" t="n">
        <v>4201477</v>
      </c>
      <c r="C13470" s="0" t="n">
        <v>4201497</v>
      </c>
      <c r="D13470" s="0" t="s">
        <v>44732</v>
      </c>
      <c r="E13470" s="0" t="s">
        <v>75</v>
      </c>
      <c r="F13470" s="0" t="s">
        <v>90</v>
      </c>
      <c r="G13470" s="0" t="s">
        <v>20</v>
      </c>
      <c r="H13470" s="0" t="n">
        <v>34</v>
      </c>
      <c r="I13470" s="0" t="s">
        <v>44733</v>
      </c>
      <c r="J13470" s="0" t="s">
        <v>44734</v>
      </c>
      <c r="K13470" s="0" t="s">
        <v>44735</v>
      </c>
      <c r="L13470" s="0" t="str">
        <f aca="false">HYPERLINK("https://www.ncbi.nlm.nih.gov/nuccore/CP000058.1?report=graph&amp;tracks=[key:gene_model_track,Options:GeneOnly]&amp;mk=4201478:4201497|offset_34|00cc00,4201436:4201455|offset_76|444444,4201410:4201429|offset_102|444444,4201388:4201407|offset_124|444444&amp;v=4201277:4201607&amp;c=444444", "offset 34")</f>
        <v>offset 34</v>
      </c>
    </row>
    <row r="13471" customFormat="false" ht="12.8" hidden="false" customHeight="false" outlineLevel="0" collapsed="false">
      <c r="A13471" s="0" t="s">
        <v>12</v>
      </c>
      <c r="B13471" s="0" t="n">
        <v>4201435</v>
      </c>
      <c r="C13471" s="0" t="n">
        <v>4201455</v>
      </c>
      <c r="D13471" s="0" t="s">
        <v>44732</v>
      </c>
      <c r="E13471" s="0" t="s">
        <v>75</v>
      </c>
      <c r="F13471" s="0" t="s">
        <v>90</v>
      </c>
      <c r="G13471" s="0" t="s">
        <v>36</v>
      </c>
      <c r="H13471" s="0" t="n">
        <v>76</v>
      </c>
      <c r="I13471" s="0" t="s">
        <v>44736</v>
      </c>
      <c r="J13471" s="0" t="s">
        <v>44737</v>
      </c>
      <c r="K13471" s="0" t="s">
        <v>44738</v>
      </c>
      <c r="L13471" s="0" t="str">
        <f aca="false">HYPERLINK("https://www.ncbi.nlm.nih.gov/nuccore/CP000058.1?report=graph&amp;tracks=[key:gene_model_track,Options:GeneOnly]&amp;mk=4201478:4201497|offset_34|444444,4201436:4201455|offset_76|00cc00,4201410:4201429|offset_102|444444,4201388:4201407|offset_124|444444&amp;v=4201277:4201607&amp;c=444444", "offset 76")</f>
        <v>offset 76</v>
      </c>
    </row>
    <row r="13472" customFormat="false" ht="12.8" hidden="false" customHeight="false" outlineLevel="0" collapsed="false">
      <c r="A13472" s="0" t="s">
        <v>12</v>
      </c>
      <c r="B13472" s="0" t="n">
        <v>4201409</v>
      </c>
      <c r="C13472" s="0" t="n">
        <v>4201429</v>
      </c>
      <c r="D13472" s="0" t="s">
        <v>44732</v>
      </c>
      <c r="E13472" s="0" t="s">
        <v>75</v>
      </c>
      <c r="F13472" s="0" t="s">
        <v>90</v>
      </c>
      <c r="G13472" s="0" t="s">
        <v>32</v>
      </c>
      <c r="H13472" s="0" t="n">
        <v>102</v>
      </c>
      <c r="I13472" s="0" t="s">
        <v>44739</v>
      </c>
      <c r="J13472" s="0" t="s">
        <v>44740</v>
      </c>
      <c r="K13472" s="0" t="s">
        <v>44741</v>
      </c>
      <c r="L13472" s="0" t="str">
        <f aca="false">HYPERLINK("https://www.ncbi.nlm.nih.gov/nuccore/CP000058.1?report=graph&amp;tracks=[key:gene_model_track,Options:GeneOnly]&amp;mk=4201478:4201497|offset_34|444444,4201436:4201455|offset_76|444444,4201410:4201429|offset_102|00cc00,4201388:4201407|offset_124|444444&amp;v=4201277:4201607&amp;c=444444", "offset 102")</f>
        <v>offset 102</v>
      </c>
    </row>
    <row r="13473" customFormat="false" ht="12.8" hidden="false" customHeight="false" outlineLevel="0" collapsed="false">
      <c r="A13473" s="0" t="s">
        <v>12</v>
      </c>
      <c r="B13473" s="0" t="n">
        <v>4201387</v>
      </c>
      <c r="C13473" s="0" t="n">
        <v>4201407</v>
      </c>
      <c r="D13473" s="0" t="s">
        <v>44732</v>
      </c>
      <c r="E13473" s="0" t="s">
        <v>75</v>
      </c>
      <c r="F13473" s="0" t="s">
        <v>90</v>
      </c>
      <c r="G13473" s="0" t="s">
        <v>32</v>
      </c>
      <c r="H13473" s="0" t="n">
        <v>124</v>
      </c>
      <c r="I13473" s="0" t="s">
        <v>44742</v>
      </c>
      <c r="J13473" s="0" t="s">
        <v>44743</v>
      </c>
      <c r="K13473" s="0" t="s">
        <v>44744</v>
      </c>
      <c r="L13473" s="0" t="str">
        <f aca="false">HYPERLINK("https://www.ncbi.nlm.nih.gov/nuccore/CP000058.1?report=graph&amp;tracks=[key:gene_model_track,Options:GeneOnly]&amp;mk=4201478:4201497|offset_34|444444,4201436:4201455|offset_76|444444,4201410:4201429|offset_102|444444,4201388:4201407|offset_124|00cc00&amp;v=4201277:4201607&amp;c=444444", "offset 124")</f>
        <v>offset 124</v>
      </c>
    </row>
    <row r="13474" customFormat="false" ht="12.8" hidden="false" customHeight="false" outlineLevel="0" collapsed="false">
      <c r="A13474" s="0" t="s">
        <v>12</v>
      </c>
      <c r="B13474" s="0" t="n">
        <v>4202413</v>
      </c>
      <c r="C13474" s="0" t="n">
        <v>4202433</v>
      </c>
      <c r="D13474" s="0" t="s">
        <v>44745</v>
      </c>
      <c r="E13474" s="0" t="s">
        <v>75</v>
      </c>
      <c r="F13474" s="0" t="s">
        <v>90</v>
      </c>
      <c r="G13474" s="0" t="s">
        <v>16</v>
      </c>
      <c r="H13474" s="0" t="n">
        <v>71</v>
      </c>
      <c r="I13474" s="0" t="s">
        <v>44746</v>
      </c>
      <c r="J13474" s="0" t="s">
        <v>44747</v>
      </c>
      <c r="K13474" s="0" t="s">
        <v>44748</v>
      </c>
      <c r="L13474" s="0" t="str">
        <f aca="false">HYPERLINK("https://www.ncbi.nlm.nih.gov/nuccore/CP000058.1?report=graph&amp;tracks=[key:gene_model_track,Options:GeneOnly]&amp;mk=4202414:4202433|offset_71|00cc00,4202364:4202383|offset_121|444444,4202313:4202332|offset_172|444444,4202283:4202302|offset_202|444444&amp;v=4202213:4202502&amp;c=444444", "offset 71")</f>
        <v>offset 71</v>
      </c>
    </row>
    <row r="13475" customFormat="false" ht="12.8" hidden="false" customHeight="false" outlineLevel="0" collapsed="false">
      <c r="A13475" s="0" t="s">
        <v>12</v>
      </c>
      <c r="B13475" s="0" t="n">
        <v>4202363</v>
      </c>
      <c r="C13475" s="0" t="n">
        <v>4202383</v>
      </c>
      <c r="D13475" s="0" t="s">
        <v>44745</v>
      </c>
      <c r="E13475" s="0" t="s">
        <v>75</v>
      </c>
      <c r="F13475" s="0" t="s">
        <v>90</v>
      </c>
      <c r="G13475" s="0" t="s">
        <v>20</v>
      </c>
      <c r="H13475" s="0" t="n">
        <v>121</v>
      </c>
      <c r="I13475" s="0" t="s">
        <v>44749</v>
      </c>
      <c r="J13475" s="0" t="s">
        <v>44750</v>
      </c>
      <c r="K13475" s="0" t="s">
        <v>44751</v>
      </c>
      <c r="L13475" s="0" t="str">
        <f aca="false">HYPERLINK("https://www.ncbi.nlm.nih.gov/nuccore/CP000058.1?report=graph&amp;tracks=[key:gene_model_track,Options:GeneOnly]&amp;mk=4202414:4202433|offset_71|444444,4202364:4202383|offset_121|00cc00,4202313:4202332|offset_172|444444,4202283:4202302|offset_202|444444&amp;v=4202213:4202502&amp;c=444444", "offset 121")</f>
        <v>offset 121</v>
      </c>
    </row>
    <row r="13476" customFormat="false" ht="12.8" hidden="false" customHeight="false" outlineLevel="0" collapsed="false">
      <c r="A13476" s="0" t="s">
        <v>12</v>
      </c>
      <c r="B13476" s="0" t="n">
        <v>4202312</v>
      </c>
      <c r="C13476" s="0" t="n">
        <v>4202332</v>
      </c>
      <c r="D13476" s="0" t="s">
        <v>44745</v>
      </c>
      <c r="E13476" s="0" t="s">
        <v>75</v>
      </c>
      <c r="F13476" s="0" t="s">
        <v>90</v>
      </c>
      <c r="G13476" s="0" t="s">
        <v>36</v>
      </c>
      <c r="H13476" s="0" t="n">
        <v>172</v>
      </c>
      <c r="I13476" s="0" t="s">
        <v>44752</v>
      </c>
      <c r="J13476" s="0" t="s">
        <v>44753</v>
      </c>
      <c r="K13476" s="0" t="s">
        <v>44754</v>
      </c>
      <c r="L13476" s="0" t="str">
        <f aca="false">HYPERLINK("https://www.ncbi.nlm.nih.gov/nuccore/CP000058.1?report=graph&amp;tracks=[key:gene_model_track,Options:GeneOnly]&amp;mk=4202414:4202433|offset_71|444444,4202364:4202383|offset_121|444444,4202313:4202332|offset_172|00cc00,4202283:4202302|offset_202|444444&amp;v=4202213:4202502&amp;c=444444", "offset 172")</f>
        <v>offset 172</v>
      </c>
    </row>
    <row r="13477" customFormat="false" ht="12.8" hidden="false" customHeight="false" outlineLevel="0" collapsed="false">
      <c r="A13477" s="0" t="s">
        <v>12</v>
      </c>
      <c r="B13477" s="0" t="n">
        <v>4202282</v>
      </c>
      <c r="C13477" s="0" t="n">
        <v>4202302</v>
      </c>
      <c r="D13477" s="0" t="s">
        <v>44745</v>
      </c>
      <c r="E13477" s="0" t="s">
        <v>75</v>
      </c>
      <c r="F13477" s="0" t="s">
        <v>90</v>
      </c>
      <c r="G13477" s="0" t="s">
        <v>16</v>
      </c>
      <c r="H13477" s="0" t="n">
        <v>202</v>
      </c>
      <c r="I13477" s="0" t="s">
        <v>44755</v>
      </c>
      <c r="J13477" s="0" t="s">
        <v>44756</v>
      </c>
      <c r="K13477" s="0" t="s">
        <v>44757</v>
      </c>
      <c r="L13477" s="0" t="str">
        <f aca="false">HYPERLINK("https://www.ncbi.nlm.nih.gov/nuccore/CP000058.1?report=graph&amp;tracks=[key:gene_model_track,Options:GeneOnly]&amp;mk=4202414:4202433|offset_71|444444,4202364:4202383|offset_121|444444,4202313:4202332|offset_172|444444,4202283:4202302|offset_202|00cc00&amp;v=4202213:4202502&amp;c=444444", "offset 202")</f>
        <v>offset 202</v>
      </c>
    </row>
    <row r="13478" customFormat="false" ht="12.8" hidden="false" customHeight="false" outlineLevel="0" collapsed="false">
      <c r="A13478" s="0" t="s">
        <v>12</v>
      </c>
      <c r="B13478" s="0" t="n">
        <v>4204166</v>
      </c>
      <c r="C13478" s="0" t="n">
        <v>4204186</v>
      </c>
      <c r="D13478" s="0" t="s">
        <v>44758</v>
      </c>
      <c r="E13478" s="0" t="s">
        <v>75</v>
      </c>
      <c r="F13478" s="0" t="s">
        <v>90</v>
      </c>
      <c r="G13478" s="0" t="s">
        <v>16</v>
      </c>
      <c r="H13478" s="0" t="n">
        <v>12</v>
      </c>
      <c r="I13478" s="0" t="s">
        <v>44759</v>
      </c>
      <c r="J13478" s="0" t="s">
        <v>44760</v>
      </c>
      <c r="K13478" s="0" t="s">
        <v>44761</v>
      </c>
      <c r="L13478" s="0" t="str">
        <f aca="false">HYPERLINK("https://www.ncbi.nlm.nih.gov/nuccore/CP000058.1?report=graph&amp;tracks=[key:gene_model_track,Options:GeneOnly]&amp;mk=4204167:4204186|offset_12|00cc00,4204120:4204139|offset_59|444444,4204090:4204109|offset_89|444444,4204046:4204065|offset_133|444444&amp;v=4203966:4204265&amp;c=444444", "offset 12")</f>
        <v>offset 12</v>
      </c>
    </row>
    <row r="13479" customFormat="false" ht="12.8" hidden="false" customHeight="false" outlineLevel="0" collapsed="false">
      <c r="A13479" s="0" t="s">
        <v>12</v>
      </c>
      <c r="B13479" s="0" t="n">
        <v>4204119</v>
      </c>
      <c r="C13479" s="0" t="n">
        <v>4204139</v>
      </c>
      <c r="D13479" s="0" t="s">
        <v>44758</v>
      </c>
      <c r="E13479" s="0" t="s">
        <v>75</v>
      </c>
      <c r="F13479" s="0" t="s">
        <v>90</v>
      </c>
      <c r="G13479" s="0" t="s">
        <v>32</v>
      </c>
      <c r="H13479" s="0" t="n">
        <v>59</v>
      </c>
      <c r="I13479" s="0" t="s">
        <v>44762</v>
      </c>
      <c r="J13479" s="0" t="s">
        <v>44763</v>
      </c>
      <c r="K13479" s="0" t="s">
        <v>44764</v>
      </c>
      <c r="L13479" s="0" t="str">
        <f aca="false">HYPERLINK("https://www.ncbi.nlm.nih.gov/nuccore/CP000058.1?report=graph&amp;tracks=[key:gene_model_track,Options:GeneOnly]&amp;mk=4204167:4204186|offset_12|444444,4204120:4204139|offset_59|00cc00,4204090:4204109|offset_89|444444,4204046:4204065|offset_133|444444&amp;v=4203966:4204265&amp;c=444444", "offset 59")</f>
        <v>offset 59</v>
      </c>
    </row>
    <row r="13480" customFormat="false" ht="12.8" hidden="false" customHeight="false" outlineLevel="0" collapsed="false">
      <c r="A13480" s="0" t="s">
        <v>12</v>
      </c>
      <c r="B13480" s="0" t="n">
        <v>4204089</v>
      </c>
      <c r="C13480" s="0" t="n">
        <v>4204109</v>
      </c>
      <c r="D13480" s="0" t="s">
        <v>44758</v>
      </c>
      <c r="E13480" s="0" t="s">
        <v>75</v>
      </c>
      <c r="F13480" s="0" t="s">
        <v>90</v>
      </c>
      <c r="G13480" s="0" t="s">
        <v>20</v>
      </c>
      <c r="H13480" s="0" t="n">
        <v>89</v>
      </c>
      <c r="I13480" s="0" t="s">
        <v>44765</v>
      </c>
      <c r="J13480" s="0" t="s">
        <v>44766</v>
      </c>
      <c r="K13480" s="0" t="s">
        <v>44767</v>
      </c>
      <c r="L13480" s="0" t="str">
        <f aca="false">HYPERLINK("https://www.ncbi.nlm.nih.gov/nuccore/CP000058.1?report=graph&amp;tracks=[key:gene_model_track,Options:GeneOnly]&amp;mk=4204167:4204186|offset_12|444444,4204120:4204139|offset_59|444444,4204090:4204109|offset_89|00cc00,4204046:4204065|offset_133|444444&amp;v=4203966:4204265&amp;c=444444", "offset 89")</f>
        <v>offset 89</v>
      </c>
    </row>
    <row r="13481" customFormat="false" ht="12.8" hidden="false" customHeight="false" outlineLevel="0" collapsed="false">
      <c r="A13481" s="0" t="s">
        <v>12</v>
      </c>
      <c r="B13481" s="0" t="n">
        <v>4204045</v>
      </c>
      <c r="C13481" s="0" t="n">
        <v>4204065</v>
      </c>
      <c r="D13481" s="0" t="s">
        <v>44758</v>
      </c>
      <c r="E13481" s="0" t="s">
        <v>75</v>
      </c>
      <c r="F13481" s="0" t="s">
        <v>90</v>
      </c>
      <c r="G13481" s="0" t="s">
        <v>16</v>
      </c>
      <c r="H13481" s="0" t="n">
        <v>133</v>
      </c>
      <c r="I13481" s="0" t="s">
        <v>44768</v>
      </c>
      <c r="J13481" s="0" t="s">
        <v>44769</v>
      </c>
      <c r="K13481" s="0" t="s">
        <v>44770</v>
      </c>
      <c r="L13481" s="0" t="str">
        <f aca="false">HYPERLINK("https://www.ncbi.nlm.nih.gov/nuccore/CP000058.1?report=graph&amp;tracks=[key:gene_model_track,Options:GeneOnly]&amp;mk=4204167:4204186|offset_12|444444,4204120:4204139|offset_59|444444,4204090:4204109|offset_89|444444,4204046:4204065|offset_133|00cc00&amp;v=4203966:4204265&amp;c=444444", "offset 133")</f>
        <v>offset 133</v>
      </c>
    </row>
    <row r="13482" customFormat="false" ht="12.8" hidden="false" customHeight="false" outlineLevel="0" collapsed="false">
      <c r="A13482" s="0" t="s">
        <v>12</v>
      </c>
      <c r="B13482" s="0" t="n">
        <v>4204781</v>
      </c>
      <c r="C13482" s="0" t="n">
        <v>4204801</v>
      </c>
      <c r="D13482" s="0" t="s">
        <v>44771</v>
      </c>
      <c r="E13482" s="0" t="s">
        <v>75</v>
      </c>
      <c r="F13482" s="0" t="s">
        <v>15</v>
      </c>
      <c r="G13482" s="0" t="s">
        <v>16</v>
      </c>
      <c r="H13482" s="0" t="n">
        <v>6</v>
      </c>
      <c r="I13482" s="0" t="s">
        <v>44772</v>
      </c>
      <c r="J13482" s="0" t="s">
        <v>44773</v>
      </c>
      <c r="K13482" s="0" t="s">
        <v>44774</v>
      </c>
      <c r="L13482" s="0" t="str">
        <f aca="false">HYPERLINK("https://www.ncbi.nlm.nih.gov/nuccore/CP000058.1?report=graph&amp;tracks=[key:gene_model_track,Options:GeneOnly]&amp;mk=4204782:4204801|offset_6|00cc00,4204811:4204830|offset_35|444444&amp;v=4204581:4205030&amp;c=444444", "offset 6")</f>
        <v>offset 6</v>
      </c>
    </row>
    <row r="13483" customFormat="false" ht="12.8" hidden="false" customHeight="false" outlineLevel="0" collapsed="false">
      <c r="A13483" s="0" t="s">
        <v>12</v>
      </c>
      <c r="B13483" s="0" t="n">
        <v>4204810</v>
      </c>
      <c r="C13483" s="0" t="n">
        <v>4204830</v>
      </c>
      <c r="D13483" s="0" t="s">
        <v>44771</v>
      </c>
      <c r="E13483" s="0" t="s">
        <v>75</v>
      </c>
      <c r="F13483" s="0" t="s">
        <v>15</v>
      </c>
      <c r="G13483" s="0" t="s">
        <v>32</v>
      </c>
      <c r="H13483" s="0" t="n">
        <v>35</v>
      </c>
      <c r="I13483" s="0" t="s">
        <v>44775</v>
      </c>
      <c r="J13483" s="0" t="s">
        <v>44776</v>
      </c>
      <c r="K13483" s="0" t="s">
        <v>44777</v>
      </c>
      <c r="L13483" s="0" t="str">
        <f aca="false">HYPERLINK("https://www.ncbi.nlm.nih.gov/nuccore/CP000058.1?report=graph&amp;tracks=[key:gene_model_track,Options:GeneOnly]&amp;mk=4204782:4204801|offset_6|444444,4204811:4204830|offset_35|00cc00&amp;v=4204581:4205030&amp;c=444444", "offset 35")</f>
        <v>offset 35</v>
      </c>
    </row>
    <row r="13484" customFormat="false" ht="12.8" hidden="false" customHeight="false" outlineLevel="0" collapsed="false">
      <c r="A13484" s="0" t="s">
        <v>12</v>
      </c>
      <c r="B13484" s="0" t="n">
        <v>4205126</v>
      </c>
      <c r="C13484" s="0" t="n">
        <v>4205146</v>
      </c>
      <c r="D13484" s="0" t="s">
        <v>44778</v>
      </c>
      <c r="E13484" s="0" t="s">
        <v>44779</v>
      </c>
      <c r="F13484" s="0" t="s">
        <v>90</v>
      </c>
      <c r="G13484" s="0" t="s">
        <v>36</v>
      </c>
      <c r="H13484" s="0" t="n">
        <v>37</v>
      </c>
      <c r="I13484" s="0" t="s">
        <v>44780</v>
      </c>
      <c r="J13484" s="0" t="s">
        <v>44781</v>
      </c>
      <c r="K13484" s="0" t="s">
        <v>44782</v>
      </c>
      <c r="L13484" s="0" t="str">
        <f aca="false">HYPERLINK("https://www.ncbi.nlm.nih.gov/nuccore/CP000058.1?report=graph&amp;tracks=[key:gene_model_track,Options:GeneOnly]&amp;mk=4205127:4205146|offset_37|00cc00,4205106:4205125|offset_58|444444,4205079:4205098|offset_85|444444,4205054:4205073|offset_110|444444&amp;v=4204926:4205273&amp;c=444444", "offset 37")</f>
        <v>offset 37</v>
      </c>
    </row>
    <row r="13485" customFormat="false" ht="12.8" hidden="false" customHeight="false" outlineLevel="0" collapsed="false">
      <c r="A13485" s="0" t="s">
        <v>12</v>
      </c>
      <c r="B13485" s="0" t="n">
        <v>4205105</v>
      </c>
      <c r="C13485" s="0" t="n">
        <v>4205125</v>
      </c>
      <c r="D13485" s="0" t="s">
        <v>44778</v>
      </c>
      <c r="E13485" s="0" t="s">
        <v>44779</v>
      </c>
      <c r="F13485" s="0" t="s">
        <v>90</v>
      </c>
      <c r="G13485" s="0" t="s">
        <v>32</v>
      </c>
      <c r="H13485" s="0" t="n">
        <v>58</v>
      </c>
      <c r="I13485" s="0" t="s">
        <v>44783</v>
      </c>
      <c r="J13485" s="0" t="s">
        <v>44784</v>
      </c>
      <c r="K13485" s="0" t="s">
        <v>44785</v>
      </c>
      <c r="L13485" s="0" t="str">
        <f aca="false">HYPERLINK("https://www.ncbi.nlm.nih.gov/nuccore/CP000058.1?report=graph&amp;tracks=[key:gene_model_track,Options:GeneOnly]&amp;mk=4205127:4205146|offset_37|444444,4205106:4205125|offset_58|00cc00,4205079:4205098|offset_85|444444,4205054:4205073|offset_110|444444&amp;v=4204926:4205273&amp;c=444444", "offset 58")</f>
        <v>offset 58</v>
      </c>
    </row>
    <row r="13486" customFormat="false" ht="12.8" hidden="false" customHeight="false" outlineLevel="0" collapsed="false">
      <c r="A13486" s="0" t="s">
        <v>12</v>
      </c>
      <c r="B13486" s="0" t="n">
        <v>4205078</v>
      </c>
      <c r="C13486" s="0" t="n">
        <v>4205098</v>
      </c>
      <c r="D13486" s="0" t="s">
        <v>44778</v>
      </c>
      <c r="E13486" s="0" t="s">
        <v>44779</v>
      </c>
      <c r="F13486" s="0" t="s">
        <v>90</v>
      </c>
      <c r="G13486" s="0" t="s">
        <v>32</v>
      </c>
      <c r="H13486" s="0" t="n">
        <v>85</v>
      </c>
      <c r="I13486" s="0" t="s">
        <v>44786</v>
      </c>
      <c r="J13486" s="0" t="s">
        <v>44787</v>
      </c>
      <c r="K13486" s="0" t="s">
        <v>44788</v>
      </c>
      <c r="L13486" s="0" t="str">
        <f aca="false">HYPERLINK("https://www.ncbi.nlm.nih.gov/nuccore/CP000058.1?report=graph&amp;tracks=[key:gene_model_track,Options:GeneOnly]&amp;mk=4205127:4205146|offset_37|444444,4205106:4205125|offset_58|444444,4205079:4205098|offset_85|00cc00,4205054:4205073|offset_110|444444&amp;v=4204926:4205273&amp;c=444444", "offset 85")</f>
        <v>offset 85</v>
      </c>
    </row>
    <row r="13487" customFormat="false" ht="12.8" hidden="false" customHeight="false" outlineLevel="0" collapsed="false">
      <c r="A13487" s="0" t="s">
        <v>12</v>
      </c>
      <c r="B13487" s="0" t="n">
        <v>4205053</v>
      </c>
      <c r="C13487" s="0" t="n">
        <v>4205073</v>
      </c>
      <c r="D13487" s="0" t="s">
        <v>44778</v>
      </c>
      <c r="E13487" s="0" t="s">
        <v>44779</v>
      </c>
      <c r="F13487" s="0" t="s">
        <v>90</v>
      </c>
      <c r="G13487" s="0" t="s">
        <v>20</v>
      </c>
      <c r="H13487" s="0" t="n">
        <v>110</v>
      </c>
      <c r="I13487" s="0" t="s">
        <v>44789</v>
      </c>
      <c r="J13487" s="0" t="s">
        <v>44790</v>
      </c>
      <c r="K13487" s="0" t="s">
        <v>44791</v>
      </c>
      <c r="L13487" s="0" t="str">
        <f aca="false">HYPERLINK("https://www.ncbi.nlm.nih.gov/nuccore/CP000058.1?report=graph&amp;tracks=[key:gene_model_track,Options:GeneOnly]&amp;mk=4205127:4205146|offset_37|444444,4205106:4205125|offset_58|444444,4205079:4205098|offset_85|444444,4205054:4205073|offset_110|00cc00&amp;v=4204926:4205273&amp;c=444444", "offset 110")</f>
        <v>offset 110</v>
      </c>
    </row>
    <row r="13488" customFormat="false" ht="12.8" hidden="false" customHeight="false" outlineLevel="0" collapsed="false">
      <c r="A13488" s="0" t="s">
        <v>12</v>
      </c>
      <c r="B13488" s="0" t="n">
        <v>4207137</v>
      </c>
      <c r="C13488" s="0" t="n">
        <v>4207157</v>
      </c>
      <c r="D13488" s="0" t="s">
        <v>44792</v>
      </c>
      <c r="E13488" s="0" t="s">
        <v>44793</v>
      </c>
      <c r="F13488" s="0" t="s">
        <v>90</v>
      </c>
      <c r="G13488" s="0" t="s">
        <v>20</v>
      </c>
      <c r="H13488" s="0" t="n">
        <v>38</v>
      </c>
      <c r="I13488" s="0" t="s">
        <v>44794</v>
      </c>
      <c r="J13488" s="0" t="s">
        <v>44795</v>
      </c>
      <c r="K13488" s="0" t="s">
        <v>44796</v>
      </c>
      <c r="L13488" s="0" t="str">
        <f aca="false">HYPERLINK("https://www.ncbi.nlm.nih.gov/nuccore/CP000058.1?report=graph&amp;tracks=[key:gene_model_track,Options:GeneOnly]&amp;mk=4207138:4207157|offset_38|00cc00,4207100:4207119|offset_76|444444,4207075:4207094|offset_101|444444,4207049:4207068|offset_127|444444&amp;v=4206937:4207268&amp;c=444444", "offset 38")</f>
        <v>offset 38</v>
      </c>
    </row>
    <row r="13489" customFormat="false" ht="12.8" hidden="false" customHeight="false" outlineLevel="0" collapsed="false">
      <c r="A13489" s="0" t="s">
        <v>12</v>
      </c>
      <c r="B13489" s="0" t="n">
        <v>4207099</v>
      </c>
      <c r="C13489" s="0" t="n">
        <v>4207119</v>
      </c>
      <c r="D13489" s="0" t="s">
        <v>44792</v>
      </c>
      <c r="E13489" s="0" t="s">
        <v>44793</v>
      </c>
      <c r="F13489" s="0" t="s">
        <v>90</v>
      </c>
      <c r="G13489" s="0" t="s">
        <v>16</v>
      </c>
      <c r="H13489" s="0" t="n">
        <v>76</v>
      </c>
      <c r="I13489" s="0" t="s">
        <v>44797</v>
      </c>
      <c r="J13489" s="0" t="s">
        <v>44798</v>
      </c>
      <c r="K13489" s="0" t="s">
        <v>44799</v>
      </c>
      <c r="L13489" s="0" t="str">
        <f aca="false">HYPERLINK("https://www.ncbi.nlm.nih.gov/nuccore/CP000058.1?report=graph&amp;tracks=[key:gene_model_track,Options:GeneOnly]&amp;mk=4207138:4207157|offset_38|444444,4207100:4207119|offset_76|00cc00,4207075:4207094|offset_101|444444,4207049:4207068|offset_127|444444&amp;v=4206937:4207268&amp;c=444444", "offset 76")</f>
        <v>offset 76</v>
      </c>
    </row>
    <row r="13490" customFormat="false" ht="12.8" hidden="false" customHeight="false" outlineLevel="0" collapsed="false">
      <c r="A13490" s="0" t="s">
        <v>12</v>
      </c>
      <c r="B13490" s="0" t="n">
        <v>4207074</v>
      </c>
      <c r="C13490" s="0" t="n">
        <v>4207094</v>
      </c>
      <c r="D13490" s="0" t="s">
        <v>44792</v>
      </c>
      <c r="E13490" s="0" t="s">
        <v>44793</v>
      </c>
      <c r="F13490" s="0" t="s">
        <v>90</v>
      </c>
      <c r="G13490" s="0" t="s">
        <v>32</v>
      </c>
      <c r="H13490" s="0" t="n">
        <v>101</v>
      </c>
      <c r="I13490" s="0" t="s">
        <v>44800</v>
      </c>
      <c r="J13490" s="0" t="s">
        <v>44801</v>
      </c>
      <c r="K13490" s="0" t="s">
        <v>44802</v>
      </c>
      <c r="L13490" s="0" t="str">
        <f aca="false">HYPERLINK("https://www.ncbi.nlm.nih.gov/nuccore/CP000058.1?report=graph&amp;tracks=[key:gene_model_track,Options:GeneOnly]&amp;mk=4207138:4207157|offset_38|444444,4207100:4207119|offset_76|444444,4207075:4207094|offset_101|00cc00,4207049:4207068|offset_127|444444&amp;v=4206937:4207268&amp;c=444444", "offset 101")</f>
        <v>offset 101</v>
      </c>
    </row>
    <row r="13491" customFormat="false" ht="12.8" hidden="false" customHeight="false" outlineLevel="0" collapsed="false">
      <c r="A13491" s="0" t="s">
        <v>12</v>
      </c>
      <c r="B13491" s="0" t="n">
        <v>4207048</v>
      </c>
      <c r="C13491" s="0" t="n">
        <v>4207068</v>
      </c>
      <c r="D13491" s="0" t="s">
        <v>44792</v>
      </c>
      <c r="E13491" s="0" t="s">
        <v>44793</v>
      </c>
      <c r="F13491" s="0" t="s">
        <v>90</v>
      </c>
      <c r="G13491" s="0" t="s">
        <v>16</v>
      </c>
      <c r="H13491" s="0" t="n">
        <v>127</v>
      </c>
      <c r="I13491" s="0" t="s">
        <v>44803</v>
      </c>
      <c r="J13491" s="0" t="s">
        <v>44804</v>
      </c>
      <c r="K13491" s="0" t="s">
        <v>44805</v>
      </c>
      <c r="L13491" s="0" t="str">
        <f aca="false">HYPERLINK("https://www.ncbi.nlm.nih.gov/nuccore/CP000058.1?report=graph&amp;tracks=[key:gene_model_track,Options:GeneOnly]&amp;mk=4207138:4207157|offset_38|444444,4207100:4207119|offset_76|444444,4207075:4207094|offset_101|444444,4207049:4207068|offset_127|00cc00&amp;v=4206937:4207268&amp;c=444444", "offset 127")</f>
        <v>offset 127</v>
      </c>
    </row>
    <row r="13492" customFormat="false" ht="12.8" hidden="false" customHeight="false" outlineLevel="0" collapsed="false">
      <c r="A13492" s="0" t="s">
        <v>12</v>
      </c>
      <c r="B13492" s="0" t="n">
        <v>4207968</v>
      </c>
      <c r="C13492" s="0" t="n">
        <v>4207988</v>
      </c>
      <c r="D13492" s="0" t="s">
        <v>44806</v>
      </c>
      <c r="E13492" s="0" t="s">
        <v>44807</v>
      </c>
      <c r="F13492" s="0" t="s">
        <v>90</v>
      </c>
      <c r="G13492" s="0" t="s">
        <v>36</v>
      </c>
      <c r="H13492" s="0" t="n">
        <v>18</v>
      </c>
      <c r="I13492" s="0" t="s">
        <v>44808</v>
      </c>
      <c r="J13492" s="0" t="s">
        <v>44809</v>
      </c>
      <c r="K13492" s="0" t="s">
        <v>44810</v>
      </c>
      <c r="L13492" s="0" t="str">
        <f aca="false">HYPERLINK("https://www.ncbi.nlm.nih.gov/nuccore/CP000058.1?report=graph&amp;tracks=[key:gene_model_track,Options:GeneOnly]&amp;mk=4207969:4207988|offset_18|00cc00,4207948:4207967|offset_39|444444,4207920:4207939|offset_67|444444,4207889:4207908|offset_98|444444&amp;v=4207768:4208108&amp;c=444444", "offset 18")</f>
        <v>offset 18</v>
      </c>
    </row>
    <row r="13493" customFormat="false" ht="12.8" hidden="false" customHeight="false" outlineLevel="0" collapsed="false">
      <c r="A13493" s="0" t="s">
        <v>12</v>
      </c>
      <c r="B13493" s="0" t="n">
        <v>4207947</v>
      </c>
      <c r="C13493" s="0" t="n">
        <v>4207967</v>
      </c>
      <c r="D13493" s="0" t="s">
        <v>44806</v>
      </c>
      <c r="E13493" s="0" t="s">
        <v>44807</v>
      </c>
      <c r="F13493" s="0" t="s">
        <v>90</v>
      </c>
      <c r="G13493" s="0" t="s">
        <v>36</v>
      </c>
      <c r="H13493" s="0" t="n">
        <v>39</v>
      </c>
      <c r="I13493" s="0" t="s">
        <v>44811</v>
      </c>
      <c r="J13493" s="0" t="s">
        <v>44812</v>
      </c>
      <c r="K13493" s="0" t="s">
        <v>44813</v>
      </c>
      <c r="L13493" s="0" t="str">
        <f aca="false">HYPERLINK("https://www.ncbi.nlm.nih.gov/nuccore/CP000058.1?report=graph&amp;tracks=[key:gene_model_track,Options:GeneOnly]&amp;mk=4207969:4207988|offset_18|444444,4207948:4207967|offset_39|00cc00,4207920:4207939|offset_67|444444,4207889:4207908|offset_98|444444&amp;v=4207768:4208108&amp;c=444444", "offset 39")</f>
        <v>offset 39</v>
      </c>
    </row>
    <row r="13494" customFormat="false" ht="12.8" hidden="false" customHeight="false" outlineLevel="0" collapsed="false">
      <c r="A13494" s="0" t="s">
        <v>12</v>
      </c>
      <c r="B13494" s="0" t="n">
        <v>4207919</v>
      </c>
      <c r="C13494" s="0" t="n">
        <v>4207939</v>
      </c>
      <c r="D13494" s="0" t="s">
        <v>44806</v>
      </c>
      <c r="E13494" s="0" t="s">
        <v>44807</v>
      </c>
      <c r="F13494" s="0" t="s">
        <v>90</v>
      </c>
      <c r="G13494" s="0" t="s">
        <v>16</v>
      </c>
      <c r="H13494" s="0" t="n">
        <v>67</v>
      </c>
      <c r="I13494" s="0" t="s">
        <v>44814</v>
      </c>
      <c r="J13494" s="0" t="s">
        <v>44815</v>
      </c>
      <c r="K13494" s="0" t="s">
        <v>44816</v>
      </c>
      <c r="L13494" s="0" t="str">
        <f aca="false">HYPERLINK("https://www.ncbi.nlm.nih.gov/nuccore/CP000058.1?report=graph&amp;tracks=[key:gene_model_track,Options:GeneOnly]&amp;mk=4207969:4207988|offset_18|444444,4207948:4207967|offset_39|444444,4207920:4207939|offset_67|00cc00,4207889:4207908|offset_98|444444&amp;v=4207768:4208108&amp;c=444444", "offset 67")</f>
        <v>offset 67</v>
      </c>
    </row>
    <row r="13495" customFormat="false" ht="12.8" hidden="false" customHeight="false" outlineLevel="0" collapsed="false">
      <c r="A13495" s="0" t="s">
        <v>12</v>
      </c>
      <c r="B13495" s="0" t="n">
        <v>4207888</v>
      </c>
      <c r="C13495" s="0" t="n">
        <v>4207908</v>
      </c>
      <c r="D13495" s="0" t="s">
        <v>44806</v>
      </c>
      <c r="E13495" s="0" t="s">
        <v>44807</v>
      </c>
      <c r="F13495" s="0" t="s">
        <v>90</v>
      </c>
      <c r="G13495" s="0" t="s">
        <v>20</v>
      </c>
      <c r="H13495" s="0" t="n">
        <v>98</v>
      </c>
      <c r="I13495" s="0" t="s">
        <v>44817</v>
      </c>
      <c r="J13495" s="0" t="s">
        <v>44818</v>
      </c>
      <c r="K13495" s="0" t="s">
        <v>44819</v>
      </c>
      <c r="L13495" s="0" t="str">
        <f aca="false">HYPERLINK("https://www.ncbi.nlm.nih.gov/nuccore/CP000058.1?report=graph&amp;tracks=[key:gene_model_track,Options:GeneOnly]&amp;mk=4207969:4207988|offset_18|444444,4207948:4207967|offset_39|444444,4207920:4207939|offset_67|444444,4207889:4207908|offset_98|00cc00&amp;v=4207768:4208108&amp;c=444444", "offset 98")</f>
        <v>offset 98</v>
      </c>
    </row>
    <row r="13496" customFormat="false" ht="12.8" hidden="false" customHeight="false" outlineLevel="0" collapsed="false">
      <c r="A13496" s="0" t="s">
        <v>12</v>
      </c>
      <c r="B13496" s="0" t="n">
        <v>4209066</v>
      </c>
      <c r="C13496" s="0" t="n">
        <v>4209086</v>
      </c>
      <c r="D13496" s="0" t="s">
        <v>44820</v>
      </c>
      <c r="E13496" s="0" t="s">
        <v>75</v>
      </c>
      <c r="F13496" s="0" t="s">
        <v>90</v>
      </c>
      <c r="G13496" s="0" t="s">
        <v>16</v>
      </c>
      <c r="H13496" s="0" t="n">
        <v>17</v>
      </c>
      <c r="I13496" s="0" t="s">
        <v>44821</v>
      </c>
      <c r="J13496" s="0" t="s">
        <v>44822</v>
      </c>
      <c r="K13496" s="0" t="s">
        <v>44823</v>
      </c>
      <c r="L13496" s="0" t="str">
        <f aca="false">HYPERLINK("https://www.ncbi.nlm.nih.gov/nuccore/CP000058.1?report=graph&amp;tracks=[key:gene_model_track,Options:GeneOnly]&amp;mk=4209067:4209086|offset_17|00cc00,4209044:4209063|offset_40|444444,4208993:4209012|offset_91|444444,4208945:4208964|offset_139|444444&amp;v=4208866:4209164&amp;c=444444", "offset 17")</f>
        <v>offset 17</v>
      </c>
    </row>
    <row r="13497" customFormat="false" ht="12.8" hidden="false" customHeight="false" outlineLevel="0" collapsed="false">
      <c r="A13497" s="0" t="s">
        <v>12</v>
      </c>
      <c r="B13497" s="0" t="n">
        <v>4209043</v>
      </c>
      <c r="C13497" s="0" t="n">
        <v>4209063</v>
      </c>
      <c r="D13497" s="0" t="s">
        <v>44820</v>
      </c>
      <c r="E13497" s="0" t="s">
        <v>75</v>
      </c>
      <c r="F13497" s="0" t="s">
        <v>90</v>
      </c>
      <c r="G13497" s="0" t="s">
        <v>16</v>
      </c>
      <c r="H13497" s="0" t="n">
        <v>40</v>
      </c>
      <c r="I13497" s="0" t="s">
        <v>44824</v>
      </c>
      <c r="J13497" s="0" t="s">
        <v>44825</v>
      </c>
      <c r="K13497" s="0" t="s">
        <v>44826</v>
      </c>
      <c r="L13497" s="0" t="str">
        <f aca="false">HYPERLINK("https://www.ncbi.nlm.nih.gov/nuccore/CP000058.1?report=graph&amp;tracks=[key:gene_model_track,Options:GeneOnly]&amp;mk=4209067:4209086|offset_17|444444,4209044:4209063|offset_40|00cc00,4208993:4209012|offset_91|444444,4208945:4208964|offset_139|444444&amp;v=4208866:4209164&amp;c=444444", "offset 40")</f>
        <v>offset 40</v>
      </c>
    </row>
    <row r="13498" customFormat="false" ht="12.8" hidden="false" customHeight="false" outlineLevel="0" collapsed="false">
      <c r="A13498" s="0" t="s">
        <v>12</v>
      </c>
      <c r="B13498" s="0" t="n">
        <v>4208992</v>
      </c>
      <c r="C13498" s="0" t="n">
        <v>4209012</v>
      </c>
      <c r="D13498" s="0" t="s">
        <v>44820</v>
      </c>
      <c r="E13498" s="0" t="s">
        <v>75</v>
      </c>
      <c r="F13498" s="0" t="s">
        <v>90</v>
      </c>
      <c r="G13498" s="0" t="s">
        <v>32</v>
      </c>
      <c r="H13498" s="0" t="n">
        <v>91</v>
      </c>
      <c r="I13498" s="0" t="s">
        <v>44827</v>
      </c>
      <c r="J13498" s="0" t="s">
        <v>44828</v>
      </c>
      <c r="K13498" s="0" t="s">
        <v>44829</v>
      </c>
      <c r="L13498" s="0" t="str">
        <f aca="false">HYPERLINK("https://www.ncbi.nlm.nih.gov/nuccore/CP000058.1?report=graph&amp;tracks=[key:gene_model_track,Options:GeneOnly]&amp;mk=4209067:4209086|offset_17|444444,4209044:4209063|offset_40|444444,4208993:4209012|offset_91|00cc00,4208945:4208964|offset_139|444444&amp;v=4208866:4209164&amp;c=444444", "offset 91")</f>
        <v>offset 91</v>
      </c>
    </row>
    <row r="13499" customFormat="false" ht="12.8" hidden="false" customHeight="false" outlineLevel="0" collapsed="false">
      <c r="A13499" s="0" t="s">
        <v>12</v>
      </c>
      <c r="B13499" s="0" t="n">
        <v>4208944</v>
      </c>
      <c r="C13499" s="0" t="n">
        <v>4208964</v>
      </c>
      <c r="D13499" s="0" t="s">
        <v>44820</v>
      </c>
      <c r="E13499" s="0" t="s">
        <v>75</v>
      </c>
      <c r="F13499" s="0" t="s">
        <v>90</v>
      </c>
      <c r="G13499" s="0" t="s">
        <v>32</v>
      </c>
      <c r="H13499" s="0" t="n">
        <v>139</v>
      </c>
      <c r="I13499" s="0" t="s">
        <v>44830</v>
      </c>
      <c r="J13499" s="0" t="s">
        <v>44831</v>
      </c>
      <c r="K13499" s="0" t="s">
        <v>44832</v>
      </c>
      <c r="L13499" s="0" t="str">
        <f aca="false">HYPERLINK("https://www.ncbi.nlm.nih.gov/nuccore/CP000058.1?report=graph&amp;tracks=[key:gene_model_track,Options:GeneOnly]&amp;mk=4209067:4209086|offset_17|444444,4209044:4209063|offset_40|444444,4208993:4209012|offset_91|444444,4208945:4208964|offset_139|00cc00&amp;v=4208866:4209164&amp;c=444444", "offset 139")</f>
        <v>offset 139</v>
      </c>
    </row>
    <row r="13500" customFormat="false" ht="12.8" hidden="false" customHeight="false" outlineLevel="0" collapsed="false">
      <c r="A13500" s="0" t="s">
        <v>12</v>
      </c>
      <c r="B13500" s="0" t="n">
        <v>4210732</v>
      </c>
      <c r="C13500" s="0" t="n">
        <v>4210752</v>
      </c>
      <c r="D13500" s="0" t="s">
        <v>44833</v>
      </c>
      <c r="E13500" s="0" t="s">
        <v>44834</v>
      </c>
      <c r="F13500" s="0" t="s">
        <v>90</v>
      </c>
      <c r="G13500" s="0" t="s">
        <v>16</v>
      </c>
      <c r="H13500" s="0" t="n">
        <v>7</v>
      </c>
      <c r="I13500" s="0" t="s">
        <v>44835</v>
      </c>
      <c r="J13500" s="0" t="s">
        <v>44836</v>
      </c>
      <c r="K13500" s="0" t="s">
        <v>44837</v>
      </c>
      <c r="L13500" s="0" t="str">
        <f aca="false">HYPERLINK("https://www.ncbi.nlm.nih.gov/nuccore/CP000058.1?report=graph&amp;tracks=[key:gene_model_track,Options:GeneOnly]&amp;mk=4210733:4210752|offset_7|00cc00,4210705:4210724|offset_35|444444,4210655:4210674|offset_85|444444,4210619:4210638|offset_121|444444&amp;v=4210532:4210838&amp;c=444444", "offset 7")</f>
        <v>offset 7</v>
      </c>
    </row>
    <row r="13501" customFormat="false" ht="12.8" hidden="false" customHeight="false" outlineLevel="0" collapsed="false">
      <c r="A13501" s="0" t="s">
        <v>12</v>
      </c>
      <c r="B13501" s="0" t="n">
        <v>4210704</v>
      </c>
      <c r="C13501" s="0" t="n">
        <v>4210724</v>
      </c>
      <c r="D13501" s="0" t="s">
        <v>44833</v>
      </c>
      <c r="E13501" s="0" t="s">
        <v>44834</v>
      </c>
      <c r="F13501" s="0" t="s">
        <v>90</v>
      </c>
      <c r="G13501" s="0" t="s">
        <v>16</v>
      </c>
      <c r="H13501" s="0" t="n">
        <v>35</v>
      </c>
      <c r="I13501" s="0" t="s">
        <v>44838</v>
      </c>
      <c r="J13501" s="0" t="s">
        <v>44839</v>
      </c>
      <c r="K13501" s="0" t="s">
        <v>44840</v>
      </c>
      <c r="L13501" s="0" t="str">
        <f aca="false">HYPERLINK("https://www.ncbi.nlm.nih.gov/nuccore/CP000058.1?report=graph&amp;tracks=[key:gene_model_track,Options:GeneOnly]&amp;mk=4210733:4210752|offset_7|444444,4210705:4210724|offset_35|00cc00,4210655:4210674|offset_85|444444,4210619:4210638|offset_121|444444&amp;v=4210532:4210838&amp;c=444444", "offset 35")</f>
        <v>offset 35</v>
      </c>
    </row>
    <row r="13502" customFormat="false" ht="12.8" hidden="false" customHeight="false" outlineLevel="0" collapsed="false">
      <c r="A13502" s="0" t="s">
        <v>12</v>
      </c>
      <c r="B13502" s="0" t="n">
        <v>4210654</v>
      </c>
      <c r="C13502" s="0" t="n">
        <v>4210674</v>
      </c>
      <c r="D13502" s="0" t="s">
        <v>44833</v>
      </c>
      <c r="E13502" s="0" t="s">
        <v>44834</v>
      </c>
      <c r="F13502" s="0" t="s">
        <v>90</v>
      </c>
      <c r="G13502" s="0" t="s">
        <v>36</v>
      </c>
      <c r="H13502" s="0" t="n">
        <v>85</v>
      </c>
      <c r="I13502" s="0" t="s">
        <v>44841</v>
      </c>
      <c r="J13502" s="0" t="s">
        <v>44842</v>
      </c>
      <c r="K13502" s="0" t="s">
        <v>44843</v>
      </c>
      <c r="L13502" s="0" t="str">
        <f aca="false">HYPERLINK("https://www.ncbi.nlm.nih.gov/nuccore/CP000058.1?report=graph&amp;tracks=[key:gene_model_track,Options:GeneOnly]&amp;mk=4210733:4210752|offset_7|444444,4210705:4210724|offset_35|444444,4210655:4210674|offset_85|00cc00,4210619:4210638|offset_121|444444&amp;v=4210532:4210838&amp;c=444444", "offset 85")</f>
        <v>offset 85</v>
      </c>
    </row>
    <row r="13503" customFormat="false" ht="12.8" hidden="false" customHeight="false" outlineLevel="0" collapsed="false">
      <c r="A13503" s="0" t="s">
        <v>12</v>
      </c>
      <c r="B13503" s="0" t="n">
        <v>4210618</v>
      </c>
      <c r="C13503" s="0" t="n">
        <v>4210638</v>
      </c>
      <c r="D13503" s="0" t="s">
        <v>44833</v>
      </c>
      <c r="E13503" s="0" t="s">
        <v>44834</v>
      </c>
      <c r="F13503" s="0" t="s">
        <v>90</v>
      </c>
      <c r="G13503" s="0" t="s">
        <v>20</v>
      </c>
      <c r="H13503" s="0" t="n">
        <v>121</v>
      </c>
      <c r="I13503" s="0" t="s">
        <v>44844</v>
      </c>
      <c r="J13503" s="0" t="s">
        <v>44845</v>
      </c>
      <c r="K13503" s="0" t="s">
        <v>44846</v>
      </c>
      <c r="L13503" s="0" t="str">
        <f aca="false">HYPERLINK("https://www.ncbi.nlm.nih.gov/nuccore/CP000058.1?report=graph&amp;tracks=[key:gene_model_track,Options:GeneOnly]&amp;mk=4210733:4210752|offset_7|444444,4210705:4210724|offset_35|444444,4210655:4210674|offset_85|444444,4210619:4210638|offset_121|00cc00&amp;v=4210532:4210838&amp;c=444444", "offset 121")</f>
        <v>offset 121</v>
      </c>
    </row>
    <row r="13504" customFormat="false" ht="12.8" hidden="false" customHeight="false" outlineLevel="0" collapsed="false">
      <c r="A13504" s="0" t="s">
        <v>12</v>
      </c>
      <c r="B13504" s="0" t="n">
        <v>4211867</v>
      </c>
      <c r="C13504" s="0" t="n">
        <v>4211887</v>
      </c>
      <c r="D13504" s="0" t="s">
        <v>44847</v>
      </c>
      <c r="E13504" s="0" t="s">
        <v>44848</v>
      </c>
      <c r="F13504" s="0" t="s">
        <v>90</v>
      </c>
      <c r="G13504" s="0" t="s">
        <v>32</v>
      </c>
      <c r="H13504" s="0" t="n">
        <v>14</v>
      </c>
      <c r="I13504" s="0" t="s">
        <v>44849</v>
      </c>
      <c r="J13504" s="0" t="s">
        <v>44850</v>
      </c>
      <c r="K13504" s="0" t="s">
        <v>44851</v>
      </c>
      <c r="L13504" s="0" t="str">
        <f aca="false">HYPERLINK("https://www.ncbi.nlm.nih.gov/nuccore/CP000058.1?report=graph&amp;tracks=[key:gene_model_track,Options:GeneOnly]&amp;mk=4211868:4211887|offset_14|00cc00,4211847:4211866|offset_35|444444,4211809:4211828|offset_73|444444,4211755:4211774|offset_127|444444&amp;v=4211667:4211974&amp;c=444444", "offset 14")</f>
        <v>offset 14</v>
      </c>
    </row>
    <row r="13505" customFormat="false" ht="12.8" hidden="false" customHeight="false" outlineLevel="0" collapsed="false">
      <c r="A13505" s="0" t="s">
        <v>12</v>
      </c>
      <c r="B13505" s="0" t="n">
        <v>4211846</v>
      </c>
      <c r="C13505" s="0" t="n">
        <v>4211866</v>
      </c>
      <c r="D13505" s="0" t="s">
        <v>44847</v>
      </c>
      <c r="E13505" s="0" t="s">
        <v>44848</v>
      </c>
      <c r="F13505" s="0" t="s">
        <v>90</v>
      </c>
      <c r="G13505" s="0" t="s">
        <v>36</v>
      </c>
      <c r="H13505" s="0" t="n">
        <v>35</v>
      </c>
      <c r="I13505" s="0" t="s">
        <v>44852</v>
      </c>
      <c r="J13505" s="0" t="s">
        <v>44853</v>
      </c>
      <c r="K13505" s="0" t="s">
        <v>44854</v>
      </c>
      <c r="L13505" s="0" t="str">
        <f aca="false">HYPERLINK("https://www.ncbi.nlm.nih.gov/nuccore/CP000058.1?report=graph&amp;tracks=[key:gene_model_track,Options:GeneOnly]&amp;mk=4211868:4211887|offset_14|444444,4211847:4211866|offset_35|00cc00,4211809:4211828|offset_73|444444,4211755:4211774|offset_127|444444&amp;v=4211667:4211974&amp;c=444444", "offset 35")</f>
        <v>offset 35</v>
      </c>
    </row>
    <row r="13506" customFormat="false" ht="12.8" hidden="false" customHeight="false" outlineLevel="0" collapsed="false">
      <c r="A13506" s="0" t="s">
        <v>12</v>
      </c>
      <c r="B13506" s="0" t="n">
        <v>4211808</v>
      </c>
      <c r="C13506" s="0" t="n">
        <v>4211828</v>
      </c>
      <c r="D13506" s="0" t="s">
        <v>44847</v>
      </c>
      <c r="E13506" s="0" t="s">
        <v>44848</v>
      </c>
      <c r="F13506" s="0" t="s">
        <v>90</v>
      </c>
      <c r="G13506" s="0" t="s">
        <v>20</v>
      </c>
      <c r="H13506" s="0" t="n">
        <v>73</v>
      </c>
      <c r="I13506" s="0" t="s">
        <v>44855</v>
      </c>
      <c r="J13506" s="0" t="s">
        <v>44856</v>
      </c>
      <c r="K13506" s="0" t="s">
        <v>44857</v>
      </c>
      <c r="L13506" s="0" t="str">
        <f aca="false">HYPERLINK("https://www.ncbi.nlm.nih.gov/nuccore/CP000058.1?report=graph&amp;tracks=[key:gene_model_track,Options:GeneOnly]&amp;mk=4211868:4211887|offset_14|444444,4211847:4211866|offset_35|444444,4211809:4211828|offset_73|00cc00,4211755:4211774|offset_127|444444&amp;v=4211667:4211974&amp;c=444444", "offset 73")</f>
        <v>offset 73</v>
      </c>
    </row>
    <row r="13507" customFormat="false" ht="12.8" hidden="false" customHeight="false" outlineLevel="0" collapsed="false">
      <c r="A13507" s="0" t="s">
        <v>12</v>
      </c>
      <c r="B13507" s="0" t="n">
        <v>4211754</v>
      </c>
      <c r="C13507" s="0" t="n">
        <v>4211774</v>
      </c>
      <c r="D13507" s="0" t="s">
        <v>44847</v>
      </c>
      <c r="E13507" s="0" t="s">
        <v>44848</v>
      </c>
      <c r="F13507" s="0" t="s">
        <v>90</v>
      </c>
      <c r="G13507" s="0" t="s">
        <v>36</v>
      </c>
      <c r="H13507" s="0" t="n">
        <v>127</v>
      </c>
      <c r="I13507" s="0" t="s">
        <v>44858</v>
      </c>
      <c r="J13507" s="0" t="s">
        <v>44859</v>
      </c>
      <c r="K13507" s="0" t="s">
        <v>44860</v>
      </c>
      <c r="L13507" s="0" t="str">
        <f aca="false">HYPERLINK("https://www.ncbi.nlm.nih.gov/nuccore/CP000058.1?report=graph&amp;tracks=[key:gene_model_track,Options:GeneOnly]&amp;mk=4211868:4211887|offset_14|444444,4211847:4211866|offset_35|444444,4211809:4211828|offset_73|444444,4211755:4211774|offset_127|00cc00&amp;v=4211667:4211974&amp;c=444444", "offset 127")</f>
        <v>offset 127</v>
      </c>
    </row>
    <row r="13508" customFormat="false" ht="12.8" hidden="false" customHeight="false" outlineLevel="0" collapsed="false">
      <c r="A13508" s="0" t="s">
        <v>12</v>
      </c>
      <c r="B13508" s="0" t="n">
        <v>4214799</v>
      </c>
      <c r="C13508" s="0" t="n">
        <v>4214819</v>
      </c>
      <c r="D13508" s="0" t="s">
        <v>44861</v>
      </c>
      <c r="E13508" s="0" t="s">
        <v>44862</v>
      </c>
      <c r="F13508" s="0" t="s">
        <v>90</v>
      </c>
      <c r="G13508" s="0" t="s">
        <v>32</v>
      </c>
      <c r="H13508" s="0" t="n">
        <v>16</v>
      </c>
      <c r="I13508" s="0" t="s">
        <v>44863</v>
      </c>
      <c r="J13508" s="0" t="s">
        <v>44864</v>
      </c>
      <c r="K13508" s="0" t="s">
        <v>44865</v>
      </c>
      <c r="L13508" s="0" t="str">
        <f aca="false">HYPERLINK("https://www.ncbi.nlm.nih.gov/nuccore/CP000058.1?report=graph&amp;tracks=[key:gene_model_track,Options:GeneOnly]&amp;mk=4214800:4214819|offset_16|00cc00,4214755:4214774|offset_61|444444,4214710:4214729|offset_106|444444,4214687:4214706|offset_129|444444&amp;v=4214599:4214906&amp;c=444444", "offset 16")</f>
        <v>offset 16</v>
      </c>
    </row>
    <row r="13509" customFormat="false" ht="12.8" hidden="false" customHeight="false" outlineLevel="0" collapsed="false">
      <c r="A13509" s="0" t="s">
        <v>12</v>
      </c>
      <c r="B13509" s="0" t="n">
        <v>4214754</v>
      </c>
      <c r="C13509" s="0" t="n">
        <v>4214774</v>
      </c>
      <c r="D13509" s="0" t="s">
        <v>44861</v>
      </c>
      <c r="E13509" s="0" t="s">
        <v>44862</v>
      </c>
      <c r="F13509" s="0" t="s">
        <v>90</v>
      </c>
      <c r="G13509" s="0" t="s">
        <v>20</v>
      </c>
      <c r="H13509" s="0" t="n">
        <v>61</v>
      </c>
      <c r="I13509" s="0" t="s">
        <v>44866</v>
      </c>
      <c r="J13509" s="0" t="s">
        <v>44867</v>
      </c>
      <c r="K13509" s="0" t="s">
        <v>44868</v>
      </c>
      <c r="L13509" s="0" t="str">
        <f aca="false">HYPERLINK("https://www.ncbi.nlm.nih.gov/nuccore/CP000058.1?report=graph&amp;tracks=[key:gene_model_track,Options:GeneOnly]&amp;mk=4214800:4214819|offset_16|444444,4214755:4214774|offset_61|00cc00,4214710:4214729|offset_106|444444,4214687:4214706|offset_129|444444&amp;v=4214599:4214906&amp;c=444444", "offset 61")</f>
        <v>offset 61</v>
      </c>
    </row>
    <row r="13510" customFormat="false" ht="12.8" hidden="false" customHeight="false" outlineLevel="0" collapsed="false">
      <c r="A13510" s="0" t="s">
        <v>12</v>
      </c>
      <c r="B13510" s="0" t="n">
        <v>4214709</v>
      </c>
      <c r="C13510" s="0" t="n">
        <v>4214729</v>
      </c>
      <c r="D13510" s="0" t="s">
        <v>44861</v>
      </c>
      <c r="E13510" s="0" t="s">
        <v>44862</v>
      </c>
      <c r="F13510" s="0" t="s">
        <v>90</v>
      </c>
      <c r="G13510" s="0" t="s">
        <v>16</v>
      </c>
      <c r="H13510" s="0" t="n">
        <v>106</v>
      </c>
      <c r="I13510" s="0" t="s">
        <v>44869</v>
      </c>
      <c r="J13510" s="0" t="s">
        <v>44870</v>
      </c>
      <c r="K13510" s="0" t="s">
        <v>44871</v>
      </c>
      <c r="L13510" s="0" t="str">
        <f aca="false">HYPERLINK("https://www.ncbi.nlm.nih.gov/nuccore/CP000058.1?report=graph&amp;tracks=[key:gene_model_track,Options:GeneOnly]&amp;mk=4214800:4214819|offset_16|444444,4214755:4214774|offset_61|444444,4214710:4214729|offset_106|00cc00,4214687:4214706|offset_129|444444&amp;v=4214599:4214906&amp;c=444444", "offset 106")</f>
        <v>offset 106</v>
      </c>
    </row>
    <row r="13511" customFormat="false" ht="12.8" hidden="false" customHeight="false" outlineLevel="0" collapsed="false">
      <c r="A13511" s="0" t="s">
        <v>12</v>
      </c>
      <c r="B13511" s="0" t="n">
        <v>4214686</v>
      </c>
      <c r="C13511" s="0" t="n">
        <v>4214706</v>
      </c>
      <c r="D13511" s="0" t="s">
        <v>44861</v>
      </c>
      <c r="E13511" s="0" t="s">
        <v>44862</v>
      </c>
      <c r="F13511" s="0" t="s">
        <v>90</v>
      </c>
      <c r="G13511" s="0" t="s">
        <v>36</v>
      </c>
      <c r="H13511" s="0" t="n">
        <v>129</v>
      </c>
      <c r="I13511" s="0" t="s">
        <v>44872</v>
      </c>
      <c r="J13511" s="0" t="s">
        <v>44873</v>
      </c>
      <c r="K13511" s="0" t="s">
        <v>44874</v>
      </c>
      <c r="L13511" s="0" t="str">
        <f aca="false">HYPERLINK("https://www.ncbi.nlm.nih.gov/nuccore/CP000058.1?report=graph&amp;tracks=[key:gene_model_track,Options:GeneOnly]&amp;mk=4214800:4214819|offset_16|444444,4214755:4214774|offset_61|444444,4214710:4214729|offset_106|444444,4214687:4214706|offset_129|00cc00&amp;v=4214599:4214906&amp;c=444444", "offset 129")</f>
        <v>offset 129</v>
      </c>
    </row>
    <row r="13512" customFormat="false" ht="12.8" hidden="false" customHeight="false" outlineLevel="0" collapsed="false">
      <c r="A13512" s="0" t="s">
        <v>12</v>
      </c>
      <c r="B13512" s="0" t="n">
        <v>4216156</v>
      </c>
      <c r="C13512" s="0" t="n">
        <v>4216176</v>
      </c>
      <c r="D13512" s="0" t="s">
        <v>44875</v>
      </c>
      <c r="E13512" s="0" t="s">
        <v>75</v>
      </c>
      <c r="F13512" s="0" t="s">
        <v>90</v>
      </c>
      <c r="G13512" s="0" t="s">
        <v>32</v>
      </c>
      <c r="H13512" s="0" t="n">
        <v>40</v>
      </c>
      <c r="I13512" s="0" t="s">
        <v>44876</v>
      </c>
      <c r="J13512" s="0" t="s">
        <v>44877</v>
      </c>
      <c r="K13512" s="0" t="s">
        <v>44878</v>
      </c>
      <c r="L13512" s="0" t="str">
        <f aca="false">HYPERLINK("https://www.ncbi.nlm.nih.gov/nuccore/CP000058.1?report=graph&amp;tracks=[key:gene_model_track,Options:GeneOnly]&amp;mk=4216157:4216176|offset_40|00cc00,4216129:4216148|offset_68|444444,4216107:4216126|offset_90|444444,4216087:4216106|offset_110|444444&amp;v=4215956:4216306&amp;c=444444", "offset 40")</f>
        <v>offset 40</v>
      </c>
    </row>
    <row r="13513" customFormat="false" ht="12.8" hidden="false" customHeight="false" outlineLevel="0" collapsed="false">
      <c r="A13513" s="0" t="s">
        <v>12</v>
      </c>
      <c r="B13513" s="0" t="n">
        <v>4216128</v>
      </c>
      <c r="C13513" s="0" t="n">
        <v>4216148</v>
      </c>
      <c r="D13513" s="0" t="s">
        <v>44875</v>
      </c>
      <c r="E13513" s="0" t="s">
        <v>75</v>
      </c>
      <c r="F13513" s="0" t="s">
        <v>90</v>
      </c>
      <c r="G13513" s="0" t="s">
        <v>20</v>
      </c>
      <c r="H13513" s="0" t="n">
        <v>68</v>
      </c>
      <c r="I13513" s="0" t="s">
        <v>44879</v>
      </c>
      <c r="J13513" s="0" t="s">
        <v>44880</v>
      </c>
      <c r="K13513" s="0" t="s">
        <v>44881</v>
      </c>
      <c r="L13513" s="0" t="str">
        <f aca="false">HYPERLINK("https://www.ncbi.nlm.nih.gov/nuccore/CP000058.1?report=graph&amp;tracks=[key:gene_model_track,Options:GeneOnly]&amp;mk=4216157:4216176|offset_40|444444,4216129:4216148|offset_68|00cc00,4216107:4216126|offset_90|444444,4216087:4216106|offset_110|444444&amp;v=4215956:4216306&amp;c=444444", "offset 68")</f>
        <v>offset 68</v>
      </c>
    </row>
    <row r="13514" customFormat="false" ht="12.8" hidden="false" customHeight="false" outlineLevel="0" collapsed="false">
      <c r="A13514" s="0" t="s">
        <v>12</v>
      </c>
      <c r="B13514" s="0" t="n">
        <v>4216106</v>
      </c>
      <c r="C13514" s="0" t="n">
        <v>4216126</v>
      </c>
      <c r="D13514" s="0" t="s">
        <v>44875</v>
      </c>
      <c r="E13514" s="0" t="s">
        <v>75</v>
      </c>
      <c r="F13514" s="0" t="s">
        <v>90</v>
      </c>
      <c r="G13514" s="0" t="s">
        <v>16</v>
      </c>
      <c r="H13514" s="0" t="n">
        <v>90</v>
      </c>
      <c r="I13514" s="0" t="s">
        <v>44882</v>
      </c>
      <c r="J13514" s="0" t="s">
        <v>44883</v>
      </c>
      <c r="K13514" s="0" t="s">
        <v>44884</v>
      </c>
      <c r="L13514" s="0" t="str">
        <f aca="false">HYPERLINK("https://www.ncbi.nlm.nih.gov/nuccore/CP000058.1?report=graph&amp;tracks=[key:gene_model_track,Options:GeneOnly]&amp;mk=4216157:4216176|offset_40|444444,4216129:4216148|offset_68|444444,4216107:4216126|offset_90|00cc00,4216087:4216106|offset_110|444444&amp;v=4215956:4216306&amp;c=444444", "offset 90")</f>
        <v>offset 90</v>
      </c>
    </row>
    <row r="13515" customFormat="false" ht="12.8" hidden="false" customHeight="false" outlineLevel="0" collapsed="false">
      <c r="A13515" s="0" t="s">
        <v>12</v>
      </c>
      <c r="B13515" s="0" t="n">
        <v>4216086</v>
      </c>
      <c r="C13515" s="0" t="n">
        <v>4216106</v>
      </c>
      <c r="D13515" s="0" t="s">
        <v>44875</v>
      </c>
      <c r="E13515" s="0" t="s">
        <v>75</v>
      </c>
      <c r="F13515" s="0" t="s">
        <v>90</v>
      </c>
      <c r="G13515" s="0" t="s">
        <v>16</v>
      </c>
      <c r="H13515" s="0" t="n">
        <v>110</v>
      </c>
      <c r="I13515" s="0" t="s">
        <v>44885</v>
      </c>
      <c r="J13515" s="0" t="s">
        <v>44886</v>
      </c>
      <c r="K13515" s="0" t="s">
        <v>44887</v>
      </c>
      <c r="L13515" s="0" t="str">
        <f aca="false">HYPERLINK("https://www.ncbi.nlm.nih.gov/nuccore/CP000058.1?report=graph&amp;tracks=[key:gene_model_track,Options:GeneOnly]&amp;mk=4216157:4216176|offset_40|444444,4216129:4216148|offset_68|444444,4216107:4216126|offset_90|444444,4216087:4216106|offset_110|00cc00&amp;v=4215956:4216306&amp;c=444444", "offset 110")</f>
        <v>offset 110</v>
      </c>
    </row>
    <row r="13516" customFormat="false" ht="12.8" hidden="false" customHeight="false" outlineLevel="0" collapsed="false">
      <c r="A13516" s="0" t="s">
        <v>12</v>
      </c>
      <c r="B13516" s="0" t="n">
        <v>4216357</v>
      </c>
      <c r="C13516" s="0" t="n">
        <v>4216377</v>
      </c>
      <c r="D13516" s="0" t="s">
        <v>44888</v>
      </c>
      <c r="E13516" s="0" t="s">
        <v>75</v>
      </c>
      <c r="F13516" s="0" t="s">
        <v>15</v>
      </c>
      <c r="G13516" s="0" t="s">
        <v>16</v>
      </c>
      <c r="H13516" s="0" t="n">
        <v>21</v>
      </c>
      <c r="I13516" s="0" t="s">
        <v>44889</v>
      </c>
      <c r="J13516" s="0" t="s">
        <v>44890</v>
      </c>
      <c r="K13516" s="0" t="s">
        <v>44891</v>
      </c>
      <c r="L13516" s="0" t="str">
        <f aca="false">HYPERLINK("https://www.ncbi.nlm.nih.gov/nuccore/CP000058.1?report=graph&amp;tracks=[key:gene_model_track,Options:GeneOnly]&amp;mk=4216358:4216377|offset_21|00cc00,4216379:4216398|offset_42|444444,4216403:4216422|offset_66|444444,4216426:4216445|offset_89|444444&amp;v=4216157:4216645&amp;c=444444", "offset 21")</f>
        <v>offset 21</v>
      </c>
    </row>
    <row r="13517" customFormat="false" ht="12.8" hidden="false" customHeight="false" outlineLevel="0" collapsed="false">
      <c r="A13517" s="0" t="s">
        <v>12</v>
      </c>
      <c r="B13517" s="0" t="n">
        <v>4216378</v>
      </c>
      <c r="C13517" s="0" t="n">
        <v>4216398</v>
      </c>
      <c r="D13517" s="0" t="s">
        <v>44888</v>
      </c>
      <c r="E13517" s="0" t="s">
        <v>75</v>
      </c>
      <c r="F13517" s="0" t="s">
        <v>15</v>
      </c>
      <c r="G13517" s="0" t="s">
        <v>36</v>
      </c>
      <c r="H13517" s="0" t="n">
        <v>42</v>
      </c>
      <c r="I13517" s="0" t="s">
        <v>44892</v>
      </c>
      <c r="J13517" s="0" t="s">
        <v>44893</v>
      </c>
      <c r="K13517" s="0" t="s">
        <v>44894</v>
      </c>
      <c r="L13517" s="0" t="str">
        <f aca="false">HYPERLINK("https://www.ncbi.nlm.nih.gov/nuccore/CP000058.1?report=graph&amp;tracks=[key:gene_model_track,Options:GeneOnly]&amp;mk=4216358:4216377|offset_21|444444,4216379:4216398|offset_42|00cc00,4216403:4216422|offset_66|444444,4216426:4216445|offset_89|444444&amp;v=4216157:4216645&amp;c=444444", "offset 42")</f>
        <v>offset 42</v>
      </c>
    </row>
    <row r="13518" customFormat="false" ht="12.8" hidden="false" customHeight="false" outlineLevel="0" collapsed="false">
      <c r="A13518" s="0" t="s">
        <v>12</v>
      </c>
      <c r="B13518" s="0" t="n">
        <v>4216402</v>
      </c>
      <c r="C13518" s="0" t="n">
        <v>4216422</v>
      </c>
      <c r="D13518" s="0" t="s">
        <v>44888</v>
      </c>
      <c r="E13518" s="0" t="s">
        <v>75</v>
      </c>
      <c r="F13518" s="0" t="s">
        <v>15</v>
      </c>
      <c r="G13518" s="0" t="s">
        <v>36</v>
      </c>
      <c r="H13518" s="0" t="n">
        <v>66</v>
      </c>
      <c r="I13518" s="0" t="s">
        <v>44895</v>
      </c>
      <c r="J13518" s="0" t="s">
        <v>44896</v>
      </c>
      <c r="K13518" s="0" t="s">
        <v>44897</v>
      </c>
      <c r="L13518" s="0" t="str">
        <f aca="false">HYPERLINK("https://www.ncbi.nlm.nih.gov/nuccore/CP000058.1?report=graph&amp;tracks=[key:gene_model_track,Options:GeneOnly]&amp;mk=4216358:4216377|offset_21|444444,4216379:4216398|offset_42|444444,4216403:4216422|offset_66|00cc00,4216426:4216445|offset_89|444444&amp;v=4216157:4216645&amp;c=444444", "offset 66")</f>
        <v>offset 66</v>
      </c>
    </row>
    <row r="13519" customFormat="false" ht="12.8" hidden="false" customHeight="false" outlineLevel="0" collapsed="false">
      <c r="A13519" s="0" t="s">
        <v>12</v>
      </c>
      <c r="B13519" s="0" t="n">
        <v>4216425</v>
      </c>
      <c r="C13519" s="0" t="n">
        <v>4216445</v>
      </c>
      <c r="D13519" s="0" t="s">
        <v>44888</v>
      </c>
      <c r="E13519" s="0" t="s">
        <v>75</v>
      </c>
      <c r="F13519" s="0" t="s">
        <v>15</v>
      </c>
      <c r="G13519" s="0" t="s">
        <v>32</v>
      </c>
      <c r="H13519" s="0" t="n">
        <v>89</v>
      </c>
      <c r="I13519" s="0" t="s">
        <v>44898</v>
      </c>
      <c r="J13519" s="0" t="s">
        <v>44899</v>
      </c>
      <c r="K13519" s="0" t="s">
        <v>44900</v>
      </c>
      <c r="L13519" s="0" t="str">
        <f aca="false">HYPERLINK("https://www.ncbi.nlm.nih.gov/nuccore/CP000058.1?report=graph&amp;tracks=[key:gene_model_track,Options:GeneOnly]&amp;mk=4216358:4216377|offset_21|444444,4216379:4216398|offset_42|444444,4216403:4216422|offset_66|444444,4216426:4216445|offset_89|00cc00&amp;v=4216157:4216645&amp;c=444444", "offset 89")</f>
        <v>offset 89</v>
      </c>
    </row>
    <row r="13520" customFormat="false" ht="12.8" hidden="false" customHeight="false" outlineLevel="0" collapsed="false">
      <c r="A13520" s="0" t="s">
        <v>12</v>
      </c>
      <c r="B13520" s="0" t="n">
        <v>4217753</v>
      </c>
      <c r="C13520" s="0" t="n">
        <v>4217773</v>
      </c>
      <c r="D13520" s="0" t="s">
        <v>44901</v>
      </c>
      <c r="E13520" s="0" t="s">
        <v>44902</v>
      </c>
      <c r="F13520" s="0" t="s">
        <v>15</v>
      </c>
      <c r="G13520" s="0" t="s">
        <v>36</v>
      </c>
      <c r="H13520" s="0" t="n">
        <v>0</v>
      </c>
      <c r="I13520" s="0" t="s">
        <v>44903</v>
      </c>
      <c r="J13520" s="0" t="s">
        <v>44904</v>
      </c>
      <c r="K13520" s="0" t="s">
        <v>44905</v>
      </c>
      <c r="L13520" s="0" t="str">
        <f aca="false">HYPERLINK("https://www.ncbi.nlm.nih.gov/nuccore/CP000058.1?report=graph&amp;tracks=[key:gene_model_track,Options:GeneOnly]&amp;mk=4217754:4217773|offset_0|00cc00,4217797:4217816|offset_43|444444,4217819:4217838|offset_65|444444,4217856:4217875|offset_102|444444&amp;v=4217553:4218075&amp;c=444444", "offset 0")</f>
        <v>offset 0</v>
      </c>
    </row>
    <row r="13521" customFormat="false" ht="12.8" hidden="false" customHeight="false" outlineLevel="0" collapsed="false">
      <c r="A13521" s="0" t="s">
        <v>12</v>
      </c>
      <c r="B13521" s="0" t="n">
        <v>4217796</v>
      </c>
      <c r="C13521" s="0" t="n">
        <v>4217816</v>
      </c>
      <c r="D13521" s="0" t="s">
        <v>44901</v>
      </c>
      <c r="E13521" s="0" t="s">
        <v>44902</v>
      </c>
      <c r="F13521" s="0" t="s">
        <v>15</v>
      </c>
      <c r="G13521" s="0" t="s">
        <v>36</v>
      </c>
      <c r="H13521" s="0" t="n">
        <v>43</v>
      </c>
      <c r="I13521" s="0" t="s">
        <v>44906</v>
      </c>
      <c r="J13521" s="0" t="s">
        <v>44907</v>
      </c>
      <c r="K13521" s="0" t="s">
        <v>44908</v>
      </c>
      <c r="L13521" s="0" t="str">
        <f aca="false">HYPERLINK("https://www.ncbi.nlm.nih.gov/nuccore/CP000058.1?report=graph&amp;tracks=[key:gene_model_track,Options:GeneOnly]&amp;mk=4217754:4217773|offset_0|444444,4217797:4217816|offset_43|00cc00,4217819:4217838|offset_65|444444,4217856:4217875|offset_102|444444&amp;v=4217553:4218075&amp;c=444444", "offset 43")</f>
        <v>offset 43</v>
      </c>
    </row>
    <row r="13522" customFormat="false" ht="12.8" hidden="false" customHeight="false" outlineLevel="0" collapsed="false">
      <c r="A13522" s="0" t="s">
        <v>12</v>
      </c>
      <c r="B13522" s="0" t="n">
        <v>4217818</v>
      </c>
      <c r="C13522" s="0" t="n">
        <v>4217838</v>
      </c>
      <c r="D13522" s="0" t="s">
        <v>44901</v>
      </c>
      <c r="E13522" s="0" t="s">
        <v>44902</v>
      </c>
      <c r="F13522" s="0" t="s">
        <v>15</v>
      </c>
      <c r="G13522" s="0" t="s">
        <v>16</v>
      </c>
      <c r="H13522" s="0" t="n">
        <v>65</v>
      </c>
      <c r="I13522" s="0" t="s">
        <v>44909</v>
      </c>
      <c r="J13522" s="0" t="s">
        <v>44910</v>
      </c>
      <c r="K13522" s="0" t="s">
        <v>44911</v>
      </c>
      <c r="L13522" s="0" t="str">
        <f aca="false">HYPERLINK("https://www.ncbi.nlm.nih.gov/nuccore/CP000058.1?report=graph&amp;tracks=[key:gene_model_track,Options:GeneOnly]&amp;mk=4217754:4217773|offset_0|444444,4217797:4217816|offset_43|444444,4217819:4217838|offset_65|00cc00,4217856:4217875|offset_102|444444&amp;v=4217553:4218075&amp;c=444444", "offset 65")</f>
        <v>offset 65</v>
      </c>
    </row>
    <row r="13523" customFormat="false" ht="12.8" hidden="false" customHeight="false" outlineLevel="0" collapsed="false">
      <c r="A13523" s="0" t="s">
        <v>12</v>
      </c>
      <c r="B13523" s="0" t="n">
        <v>4217855</v>
      </c>
      <c r="C13523" s="0" t="n">
        <v>4217875</v>
      </c>
      <c r="D13523" s="0" t="s">
        <v>44901</v>
      </c>
      <c r="E13523" s="0" t="s">
        <v>44902</v>
      </c>
      <c r="F13523" s="0" t="s">
        <v>15</v>
      </c>
      <c r="G13523" s="0" t="s">
        <v>16</v>
      </c>
      <c r="H13523" s="0" t="n">
        <v>102</v>
      </c>
      <c r="I13523" s="0" t="s">
        <v>44912</v>
      </c>
      <c r="J13523" s="0" t="s">
        <v>44913</v>
      </c>
      <c r="K13523" s="0" t="s">
        <v>44914</v>
      </c>
      <c r="L13523" s="0" t="str">
        <f aca="false">HYPERLINK("https://www.ncbi.nlm.nih.gov/nuccore/CP000058.1?report=graph&amp;tracks=[key:gene_model_track,Options:GeneOnly]&amp;mk=4217754:4217773|offset_0|444444,4217797:4217816|offset_43|444444,4217819:4217838|offset_65|444444,4217856:4217875|offset_102|00cc00&amp;v=4217553:4218075&amp;c=444444", "offset 102")</f>
        <v>offset 102</v>
      </c>
    </row>
    <row r="13524" customFormat="false" ht="12.8" hidden="false" customHeight="false" outlineLevel="0" collapsed="false">
      <c r="A13524" s="0" t="s">
        <v>12</v>
      </c>
      <c r="B13524" s="0" t="n">
        <v>4218463</v>
      </c>
      <c r="C13524" s="0" t="n">
        <v>4218483</v>
      </c>
      <c r="D13524" s="0" t="s">
        <v>44915</v>
      </c>
      <c r="E13524" s="0" t="s">
        <v>44916</v>
      </c>
      <c r="F13524" s="0" t="s">
        <v>15</v>
      </c>
      <c r="G13524" s="0" t="s">
        <v>20</v>
      </c>
      <c r="H13524" s="0" t="n">
        <v>8</v>
      </c>
      <c r="I13524" s="0" t="s">
        <v>44917</v>
      </c>
      <c r="J13524" s="0" t="s">
        <v>44918</v>
      </c>
      <c r="K13524" s="0" t="s">
        <v>44919</v>
      </c>
      <c r="L13524" s="0" t="str">
        <f aca="false">HYPERLINK("https://www.ncbi.nlm.nih.gov/nuccore/CP000058.1?report=graph&amp;tracks=[key:gene_model_track,Options:GeneOnly]&amp;mk=4218464:4218483|offset_8|00cc00,4218496:4218515|offset_40|444444,4218526:4218545|offset_70|444444,4218547:4218566|offset_91|444444&amp;v=4218263:4218766&amp;c=444444", "offset 8")</f>
        <v>offset 8</v>
      </c>
    </row>
    <row r="13525" customFormat="false" ht="12.8" hidden="false" customHeight="false" outlineLevel="0" collapsed="false">
      <c r="A13525" s="0" t="s">
        <v>12</v>
      </c>
      <c r="B13525" s="0" t="n">
        <v>4218495</v>
      </c>
      <c r="C13525" s="0" t="n">
        <v>4218515</v>
      </c>
      <c r="D13525" s="0" t="s">
        <v>44915</v>
      </c>
      <c r="E13525" s="0" t="s">
        <v>44916</v>
      </c>
      <c r="F13525" s="0" t="s">
        <v>15</v>
      </c>
      <c r="G13525" s="0" t="s">
        <v>36</v>
      </c>
      <c r="H13525" s="0" t="n">
        <v>40</v>
      </c>
      <c r="I13525" s="0" t="s">
        <v>44920</v>
      </c>
      <c r="J13525" s="0" t="s">
        <v>44921</v>
      </c>
      <c r="K13525" s="0" t="s">
        <v>44922</v>
      </c>
      <c r="L13525" s="0" t="str">
        <f aca="false">HYPERLINK("https://www.ncbi.nlm.nih.gov/nuccore/CP000058.1?report=graph&amp;tracks=[key:gene_model_track,Options:GeneOnly]&amp;mk=4218464:4218483|offset_8|444444,4218496:4218515|offset_40|00cc00,4218526:4218545|offset_70|444444,4218547:4218566|offset_91|444444&amp;v=4218263:4218766&amp;c=444444", "offset 40")</f>
        <v>offset 40</v>
      </c>
    </row>
    <row r="13526" customFormat="false" ht="12.8" hidden="false" customHeight="false" outlineLevel="0" collapsed="false">
      <c r="A13526" s="0" t="s">
        <v>12</v>
      </c>
      <c r="B13526" s="0" t="n">
        <v>4218525</v>
      </c>
      <c r="C13526" s="0" t="n">
        <v>4218545</v>
      </c>
      <c r="D13526" s="0" t="s">
        <v>44915</v>
      </c>
      <c r="E13526" s="0" t="s">
        <v>44916</v>
      </c>
      <c r="F13526" s="0" t="s">
        <v>15</v>
      </c>
      <c r="G13526" s="0" t="s">
        <v>32</v>
      </c>
      <c r="H13526" s="0" t="n">
        <v>70</v>
      </c>
      <c r="I13526" s="0" t="s">
        <v>44923</v>
      </c>
      <c r="J13526" s="0" t="s">
        <v>44924</v>
      </c>
      <c r="K13526" s="0" t="s">
        <v>44925</v>
      </c>
      <c r="L13526" s="0" t="str">
        <f aca="false">HYPERLINK("https://www.ncbi.nlm.nih.gov/nuccore/CP000058.1?report=graph&amp;tracks=[key:gene_model_track,Options:GeneOnly]&amp;mk=4218464:4218483|offset_8|444444,4218496:4218515|offset_40|444444,4218526:4218545|offset_70|00cc00,4218547:4218566|offset_91|444444&amp;v=4218263:4218766&amp;c=444444", "offset 70")</f>
        <v>offset 70</v>
      </c>
    </row>
    <row r="13527" customFormat="false" ht="12.8" hidden="false" customHeight="false" outlineLevel="0" collapsed="false">
      <c r="A13527" s="0" t="s">
        <v>12</v>
      </c>
      <c r="B13527" s="0" t="n">
        <v>4218546</v>
      </c>
      <c r="C13527" s="0" t="n">
        <v>4218566</v>
      </c>
      <c r="D13527" s="0" t="s">
        <v>44915</v>
      </c>
      <c r="E13527" s="0" t="s">
        <v>44916</v>
      </c>
      <c r="F13527" s="0" t="s">
        <v>15</v>
      </c>
      <c r="G13527" s="0" t="s">
        <v>16</v>
      </c>
      <c r="H13527" s="0" t="n">
        <v>91</v>
      </c>
      <c r="I13527" s="0" t="s">
        <v>44926</v>
      </c>
      <c r="J13527" s="0" t="s">
        <v>44927</v>
      </c>
      <c r="K13527" s="0" t="s">
        <v>44928</v>
      </c>
      <c r="L13527" s="0" t="str">
        <f aca="false">HYPERLINK("https://www.ncbi.nlm.nih.gov/nuccore/CP000058.1?report=graph&amp;tracks=[key:gene_model_track,Options:GeneOnly]&amp;mk=4218464:4218483|offset_8|444444,4218496:4218515|offset_40|444444,4218526:4218545|offset_70|444444,4218547:4218566|offset_91|00cc00&amp;v=4218263:4218766&amp;c=444444", "offset 91")</f>
        <v>offset 91</v>
      </c>
    </row>
    <row r="13528" customFormat="false" ht="12.8" hidden="false" customHeight="false" outlineLevel="0" collapsed="false">
      <c r="A13528" s="0" t="s">
        <v>12</v>
      </c>
      <c r="B13528" s="0" t="n">
        <v>4219162</v>
      </c>
      <c r="C13528" s="0" t="n">
        <v>4219182</v>
      </c>
      <c r="D13528" s="0" t="s">
        <v>44929</v>
      </c>
      <c r="E13528" s="0" t="s">
        <v>75</v>
      </c>
      <c r="F13528" s="0" t="s">
        <v>15</v>
      </c>
      <c r="G13528" s="0" t="s">
        <v>36</v>
      </c>
      <c r="H13528" s="0" t="n">
        <v>23</v>
      </c>
      <c r="I13528" s="0" t="s">
        <v>44930</v>
      </c>
      <c r="J13528" s="0" t="s">
        <v>44931</v>
      </c>
      <c r="K13528" s="0" t="s">
        <v>44932</v>
      </c>
      <c r="L13528" s="0" t="str">
        <f aca="false">HYPERLINK("https://www.ncbi.nlm.nih.gov/nuccore/CP000058.1?report=graph&amp;tracks=[key:gene_model_track,Options:GeneOnly]&amp;mk=4219163:4219182|offset_23|00cc00,4219204:4219223|offset_64|444444,4219228:4219247|offset_88|444444,4219285:4219304|offset_145|444444&amp;v=4218962:4219504&amp;c=444444", "offset 23")</f>
        <v>offset 23</v>
      </c>
    </row>
    <row r="13529" customFormat="false" ht="12.8" hidden="false" customHeight="false" outlineLevel="0" collapsed="false">
      <c r="A13529" s="0" t="s">
        <v>12</v>
      </c>
      <c r="B13529" s="0" t="n">
        <v>4219203</v>
      </c>
      <c r="C13529" s="0" t="n">
        <v>4219223</v>
      </c>
      <c r="D13529" s="0" t="s">
        <v>44929</v>
      </c>
      <c r="E13529" s="0" t="s">
        <v>75</v>
      </c>
      <c r="F13529" s="0" t="s">
        <v>15</v>
      </c>
      <c r="G13529" s="0" t="s">
        <v>16</v>
      </c>
      <c r="H13529" s="0" t="n">
        <v>64</v>
      </c>
      <c r="I13529" s="0" t="s">
        <v>44933</v>
      </c>
      <c r="J13529" s="0" t="s">
        <v>44934</v>
      </c>
      <c r="K13529" s="0" t="s">
        <v>44935</v>
      </c>
      <c r="L13529" s="0" t="str">
        <f aca="false">HYPERLINK("https://www.ncbi.nlm.nih.gov/nuccore/CP000058.1?report=graph&amp;tracks=[key:gene_model_track,Options:GeneOnly]&amp;mk=4219163:4219182|offset_23|444444,4219204:4219223|offset_64|00cc00,4219228:4219247|offset_88|444444,4219285:4219304|offset_145|444444&amp;v=4218962:4219504&amp;c=444444", "offset 64")</f>
        <v>offset 64</v>
      </c>
    </row>
    <row r="13530" customFormat="false" ht="12.8" hidden="false" customHeight="false" outlineLevel="0" collapsed="false">
      <c r="A13530" s="0" t="s">
        <v>12</v>
      </c>
      <c r="B13530" s="0" t="n">
        <v>4219227</v>
      </c>
      <c r="C13530" s="0" t="n">
        <v>4219247</v>
      </c>
      <c r="D13530" s="0" t="s">
        <v>44929</v>
      </c>
      <c r="E13530" s="0" t="s">
        <v>75</v>
      </c>
      <c r="F13530" s="0" t="s">
        <v>15</v>
      </c>
      <c r="G13530" s="0" t="s">
        <v>16</v>
      </c>
      <c r="H13530" s="0" t="n">
        <v>88</v>
      </c>
      <c r="I13530" s="0" t="s">
        <v>44936</v>
      </c>
      <c r="J13530" s="0" t="s">
        <v>44937</v>
      </c>
      <c r="K13530" s="0" t="s">
        <v>44938</v>
      </c>
      <c r="L13530" s="0" t="str">
        <f aca="false">HYPERLINK("https://www.ncbi.nlm.nih.gov/nuccore/CP000058.1?report=graph&amp;tracks=[key:gene_model_track,Options:GeneOnly]&amp;mk=4219163:4219182|offset_23|444444,4219204:4219223|offset_64|444444,4219228:4219247|offset_88|00cc00,4219285:4219304|offset_145|444444&amp;v=4218962:4219504&amp;c=444444", "offset 88")</f>
        <v>offset 88</v>
      </c>
    </row>
    <row r="13531" customFormat="false" ht="12.8" hidden="false" customHeight="false" outlineLevel="0" collapsed="false">
      <c r="A13531" s="0" t="s">
        <v>12</v>
      </c>
      <c r="B13531" s="0" t="n">
        <v>4219284</v>
      </c>
      <c r="C13531" s="0" t="n">
        <v>4219304</v>
      </c>
      <c r="D13531" s="0" t="s">
        <v>44929</v>
      </c>
      <c r="E13531" s="0" t="s">
        <v>75</v>
      </c>
      <c r="F13531" s="0" t="s">
        <v>15</v>
      </c>
      <c r="G13531" s="0" t="s">
        <v>32</v>
      </c>
      <c r="H13531" s="0" t="n">
        <v>145</v>
      </c>
      <c r="I13531" s="0" t="s">
        <v>44939</v>
      </c>
      <c r="J13531" s="0" t="s">
        <v>44940</v>
      </c>
      <c r="K13531" s="0" t="s">
        <v>44941</v>
      </c>
      <c r="L13531" s="0" t="str">
        <f aca="false">HYPERLINK("https://www.ncbi.nlm.nih.gov/nuccore/CP000058.1?report=graph&amp;tracks=[key:gene_model_track,Options:GeneOnly]&amp;mk=4219163:4219182|offset_23|444444,4219204:4219223|offset_64|444444,4219228:4219247|offset_88|444444,4219285:4219304|offset_145|00cc00&amp;v=4218962:4219504&amp;c=444444", "offset 145")</f>
        <v>offset 145</v>
      </c>
    </row>
    <row r="13532" customFormat="false" ht="12.8" hidden="false" customHeight="false" outlineLevel="0" collapsed="false">
      <c r="A13532" s="0" t="s">
        <v>12</v>
      </c>
      <c r="B13532" s="0" t="n">
        <v>4220106</v>
      </c>
      <c r="C13532" s="0" t="n">
        <v>4220126</v>
      </c>
      <c r="D13532" s="0" t="s">
        <v>44942</v>
      </c>
      <c r="E13532" s="0" t="s">
        <v>75</v>
      </c>
      <c r="F13532" s="0" t="s">
        <v>15</v>
      </c>
      <c r="G13532" s="0" t="s">
        <v>20</v>
      </c>
      <c r="H13532" s="0" t="n">
        <v>12</v>
      </c>
      <c r="I13532" s="0" t="s">
        <v>44943</v>
      </c>
      <c r="J13532" s="0" t="s">
        <v>44944</v>
      </c>
      <c r="K13532" s="0" t="s">
        <v>44945</v>
      </c>
      <c r="L13532" s="0" t="str">
        <f aca="false">HYPERLINK("https://www.ncbi.nlm.nih.gov/nuccore/CP000058.1?report=graph&amp;tracks=[key:gene_model_track,Options:GeneOnly]&amp;mk=4220107:4220126|offset_12|00cc00,4220154:4220173|offset_59|444444,4220174:4220193|offset_79|444444,4220194:4220213|offset_99|444444&amp;v=4219906:4220413&amp;c=444444", "offset 12")</f>
        <v>offset 12</v>
      </c>
    </row>
    <row r="13533" customFormat="false" ht="12.8" hidden="false" customHeight="false" outlineLevel="0" collapsed="false">
      <c r="A13533" s="0" t="s">
        <v>12</v>
      </c>
      <c r="B13533" s="0" t="n">
        <v>4220153</v>
      </c>
      <c r="C13533" s="0" t="n">
        <v>4220173</v>
      </c>
      <c r="D13533" s="0" t="s">
        <v>44942</v>
      </c>
      <c r="E13533" s="0" t="s">
        <v>75</v>
      </c>
      <c r="F13533" s="0" t="s">
        <v>15</v>
      </c>
      <c r="G13533" s="0" t="s">
        <v>20</v>
      </c>
      <c r="H13533" s="0" t="n">
        <v>59</v>
      </c>
      <c r="I13533" s="0" t="s">
        <v>44946</v>
      </c>
      <c r="J13533" s="0" t="s">
        <v>44947</v>
      </c>
      <c r="K13533" s="0" t="s">
        <v>44948</v>
      </c>
      <c r="L13533" s="0" t="str">
        <f aca="false">HYPERLINK("https://www.ncbi.nlm.nih.gov/nuccore/CP000058.1?report=graph&amp;tracks=[key:gene_model_track,Options:GeneOnly]&amp;mk=4220107:4220126|offset_12|444444,4220154:4220173|offset_59|00cc00,4220174:4220193|offset_79|444444,4220194:4220213|offset_99|444444&amp;v=4219906:4220413&amp;c=444444", "offset 59")</f>
        <v>offset 59</v>
      </c>
    </row>
    <row r="13534" customFormat="false" ht="12.8" hidden="false" customHeight="false" outlineLevel="0" collapsed="false">
      <c r="A13534" s="0" t="s">
        <v>12</v>
      </c>
      <c r="B13534" s="0" t="n">
        <v>4220173</v>
      </c>
      <c r="C13534" s="0" t="n">
        <v>4220193</v>
      </c>
      <c r="D13534" s="0" t="s">
        <v>44942</v>
      </c>
      <c r="E13534" s="0" t="s">
        <v>75</v>
      </c>
      <c r="F13534" s="0" t="s">
        <v>15</v>
      </c>
      <c r="G13534" s="0" t="s">
        <v>16</v>
      </c>
      <c r="H13534" s="0" t="n">
        <v>79</v>
      </c>
      <c r="I13534" s="0" t="s">
        <v>44949</v>
      </c>
      <c r="J13534" s="0" t="s">
        <v>44950</v>
      </c>
      <c r="K13534" s="0" t="s">
        <v>44951</v>
      </c>
      <c r="L13534" s="0" t="str">
        <f aca="false">HYPERLINK("https://www.ncbi.nlm.nih.gov/nuccore/CP000058.1?report=graph&amp;tracks=[key:gene_model_track,Options:GeneOnly]&amp;mk=4220107:4220126|offset_12|444444,4220154:4220173|offset_59|444444,4220174:4220193|offset_79|00cc00,4220194:4220213|offset_99|444444&amp;v=4219906:4220413&amp;c=444444", "offset 79")</f>
        <v>offset 79</v>
      </c>
    </row>
    <row r="13535" customFormat="false" ht="12.8" hidden="false" customHeight="false" outlineLevel="0" collapsed="false">
      <c r="A13535" s="0" t="s">
        <v>12</v>
      </c>
      <c r="B13535" s="0" t="n">
        <v>4220193</v>
      </c>
      <c r="C13535" s="0" t="n">
        <v>4220213</v>
      </c>
      <c r="D13535" s="0" t="s">
        <v>44942</v>
      </c>
      <c r="E13535" s="0" t="s">
        <v>75</v>
      </c>
      <c r="F13535" s="0" t="s">
        <v>15</v>
      </c>
      <c r="G13535" s="0" t="s">
        <v>16</v>
      </c>
      <c r="H13535" s="0" t="n">
        <v>99</v>
      </c>
      <c r="I13535" s="0" t="s">
        <v>44952</v>
      </c>
      <c r="J13535" s="0" t="s">
        <v>44953</v>
      </c>
      <c r="K13535" s="0" t="s">
        <v>44954</v>
      </c>
      <c r="L13535" s="0" t="str">
        <f aca="false">HYPERLINK("https://www.ncbi.nlm.nih.gov/nuccore/CP000058.1?report=graph&amp;tracks=[key:gene_model_track,Options:GeneOnly]&amp;mk=4220107:4220126|offset_12|444444,4220154:4220173|offset_59|444444,4220174:4220193|offset_79|444444,4220194:4220213|offset_99|00cc00&amp;v=4219906:4220413&amp;c=444444", "offset 99")</f>
        <v>offset 99</v>
      </c>
    </row>
    <row r="13536" customFormat="false" ht="12.8" hidden="false" customHeight="false" outlineLevel="0" collapsed="false">
      <c r="A13536" s="0" t="s">
        <v>12</v>
      </c>
      <c r="B13536" s="0" t="n">
        <v>4221816</v>
      </c>
      <c r="C13536" s="0" t="n">
        <v>4221836</v>
      </c>
      <c r="D13536" s="0" t="s">
        <v>44955</v>
      </c>
      <c r="E13536" s="0" t="s">
        <v>75</v>
      </c>
      <c r="F13536" s="0" t="s">
        <v>90</v>
      </c>
      <c r="G13536" s="0" t="s">
        <v>32</v>
      </c>
      <c r="H13536" s="0" t="n">
        <v>0</v>
      </c>
      <c r="I13536" s="0" t="s">
        <v>44956</v>
      </c>
      <c r="J13536" s="0" t="s">
        <v>44957</v>
      </c>
      <c r="K13536" s="0" t="s">
        <v>44958</v>
      </c>
      <c r="L13536" s="0" t="str">
        <f aca="false">HYPERLINK("https://www.ncbi.nlm.nih.gov/nuccore/CP000058.1?report=graph&amp;tracks=[key:gene_model_track,Options:GeneOnly]&amp;mk=4221817:4221836|offset_0|00cc00,4221787:4221806|offset_30|444444,4221763:4221782|offset_54|444444,4221692:4221711|offset_125|444444&amp;v=4221616:4221911&amp;c=444444", "offset 0")</f>
        <v>offset 0</v>
      </c>
    </row>
    <row r="13537" customFormat="false" ht="12.8" hidden="false" customHeight="false" outlineLevel="0" collapsed="false">
      <c r="A13537" s="0" t="s">
        <v>12</v>
      </c>
      <c r="B13537" s="0" t="n">
        <v>4221786</v>
      </c>
      <c r="C13537" s="0" t="n">
        <v>4221806</v>
      </c>
      <c r="D13537" s="0" t="s">
        <v>44955</v>
      </c>
      <c r="E13537" s="0" t="s">
        <v>75</v>
      </c>
      <c r="F13537" s="0" t="s">
        <v>90</v>
      </c>
      <c r="G13537" s="0" t="s">
        <v>16</v>
      </c>
      <c r="H13537" s="0" t="n">
        <v>30</v>
      </c>
      <c r="I13537" s="0" t="s">
        <v>44959</v>
      </c>
      <c r="J13537" s="0" t="s">
        <v>44960</v>
      </c>
      <c r="K13537" s="0" t="s">
        <v>44961</v>
      </c>
      <c r="L13537" s="0" t="str">
        <f aca="false">HYPERLINK("https://www.ncbi.nlm.nih.gov/nuccore/CP000058.1?report=graph&amp;tracks=[key:gene_model_track,Options:GeneOnly]&amp;mk=4221817:4221836|offset_0|444444,4221787:4221806|offset_30|00cc00,4221763:4221782|offset_54|444444,4221692:4221711|offset_125|444444&amp;v=4221616:4221911&amp;c=444444", "offset 30")</f>
        <v>offset 30</v>
      </c>
    </row>
    <row r="13538" customFormat="false" ht="12.8" hidden="false" customHeight="false" outlineLevel="0" collapsed="false">
      <c r="A13538" s="0" t="s">
        <v>12</v>
      </c>
      <c r="B13538" s="0" t="n">
        <v>4221762</v>
      </c>
      <c r="C13538" s="0" t="n">
        <v>4221782</v>
      </c>
      <c r="D13538" s="0" t="s">
        <v>44955</v>
      </c>
      <c r="E13538" s="0" t="s">
        <v>75</v>
      </c>
      <c r="F13538" s="0" t="s">
        <v>90</v>
      </c>
      <c r="G13538" s="0" t="s">
        <v>16</v>
      </c>
      <c r="H13538" s="0" t="n">
        <v>54</v>
      </c>
      <c r="I13538" s="0" t="s">
        <v>44962</v>
      </c>
      <c r="J13538" s="0" t="s">
        <v>44963</v>
      </c>
      <c r="K13538" s="0" t="s">
        <v>44964</v>
      </c>
      <c r="L13538" s="0" t="str">
        <f aca="false">HYPERLINK("https://www.ncbi.nlm.nih.gov/nuccore/CP000058.1?report=graph&amp;tracks=[key:gene_model_track,Options:GeneOnly]&amp;mk=4221817:4221836|offset_0|444444,4221787:4221806|offset_30|444444,4221763:4221782|offset_54|00cc00,4221692:4221711|offset_125|444444&amp;v=4221616:4221911&amp;c=444444", "offset 54")</f>
        <v>offset 54</v>
      </c>
    </row>
    <row r="13539" customFormat="false" ht="12.8" hidden="false" customHeight="false" outlineLevel="0" collapsed="false">
      <c r="A13539" s="0" t="s">
        <v>12</v>
      </c>
      <c r="B13539" s="0" t="n">
        <v>4221691</v>
      </c>
      <c r="C13539" s="0" t="n">
        <v>4221711</v>
      </c>
      <c r="D13539" s="0" t="s">
        <v>44955</v>
      </c>
      <c r="E13539" s="0" t="s">
        <v>75</v>
      </c>
      <c r="F13539" s="0" t="s">
        <v>90</v>
      </c>
      <c r="G13539" s="0" t="s">
        <v>32</v>
      </c>
      <c r="H13539" s="0" t="n">
        <v>125</v>
      </c>
      <c r="I13539" s="0" t="s">
        <v>44965</v>
      </c>
      <c r="J13539" s="0" t="s">
        <v>44966</v>
      </c>
      <c r="K13539" s="0" t="s">
        <v>44967</v>
      </c>
      <c r="L13539" s="0" t="str">
        <f aca="false">HYPERLINK("https://www.ncbi.nlm.nih.gov/nuccore/CP000058.1?report=graph&amp;tracks=[key:gene_model_track,Options:GeneOnly]&amp;mk=4221817:4221836|offset_0|444444,4221787:4221806|offset_30|444444,4221763:4221782|offset_54|444444,4221692:4221711|offset_125|00cc00&amp;v=4221616:4221911&amp;c=444444", "offset 125")</f>
        <v>offset 125</v>
      </c>
    </row>
    <row r="13540" customFormat="false" ht="12.8" hidden="false" customHeight="false" outlineLevel="0" collapsed="false">
      <c r="A13540" s="0" t="s">
        <v>12</v>
      </c>
      <c r="B13540" s="0" t="n">
        <v>4224308</v>
      </c>
      <c r="C13540" s="0" t="n">
        <v>4224328</v>
      </c>
      <c r="D13540" s="0" t="s">
        <v>44968</v>
      </c>
      <c r="E13540" s="0" t="s">
        <v>75</v>
      </c>
      <c r="F13540" s="0" t="s">
        <v>90</v>
      </c>
      <c r="G13540" s="0" t="s">
        <v>36</v>
      </c>
      <c r="H13540" s="0" t="n">
        <v>0</v>
      </c>
      <c r="I13540" s="0" t="s">
        <v>44969</v>
      </c>
      <c r="J13540" s="0" t="s">
        <v>44970</v>
      </c>
      <c r="K13540" s="0" t="s">
        <v>44971</v>
      </c>
      <c r="L13540" s="0" t="str">
        <f aca="false">HYPERLINK("https://www.ncbi.nlm.nih.gov/nuccore/CP000058.1?report=graph&amp;tracks=[key:gene_model_track,Options:GeneOnly]&amp;mk=4224309:4224328|offset_0|00cc00,4224284:4224303|offset_25|444444,4224255:4224274|offset_54|444444,4224208:4224227|offset_101|444444&amp;v=4224108:4224427&amp;c=444444", "offset 0")</f>
        <v>offset 0</v>
      </c>
    </row>
    <row r="13541" customFormat="false" ht="12.8" hidden="false" customHeight="false" outlineLevel="0" collapsed="false">
      <c r="A13541" s="0" t="s">
        <v>12</v>
      </c>
      <c r="B13541" s="0" t="n">
        <v>4224283</v>
      </c>
      <c r="C13541" s="0" t="n">
        <v>4224303</v>
      </c>
      <c r="D13541" s="0" t="s">
        <v>44968</v>
      </c>
      <c r="E13541" s="0" t="s">
        <v>75</v>
      </c>
      <c r="F13541" s="0" t="s">
        <v>90</v>
      </c>
      <c r="G13541" s="0" t="s">
        <v>32</v>
      </c>
      <c r="H13541" s="0" t="n">
        <v>25</v>
      </c>
      <c r="I13541" s="0" t="s">
        <v>44972</v>
      </c>
      <c r="J13541" s="0" t="s">
        <v>44973</v>
      </c>
      <c r="K13541" s="0" t="s">
        <v>44974</v>
      </c>
      <c r="L13541" s="0" t="str">
        <f aca="false">HYPERLINK("https://www.ncbi.nlm.nih.gov/nuccore/CP000058.1?report=graph&amp;tracks=[key:gene_model_track,Options:GeneOnly]&amp;mk=4224309:4224328|offset_0|444444,4224284:4224303|offset_25|00cc00,4224255:4224274|offset_54|444444,4224208:4224227|offset_101|444444&amp;v=4224108:4224427&amp;c=444444", "offset 25")</f>
        <v>offset 25</v>
      </c>
    </row>
    <row r="13542" customFormat="false" ht="12.8" hidden="false" customHeight="false" outlineLevel="0" collapsed="false">
      <c r="A13542" s="0" t="s">
        <v>12</v>
      </c>
      <c r="B13542" s="0" t="n">
        <v>4224254</v>
      </c>
      <c r="C13542" s="0" t="n">
        <v>4224274</v>
      </c>
      <c r="D13542" s="0" t="s">
        <v>44968</v>
      </c>
      <c r="E13542" s="0" t="s">
        <v>75</v>
      </c>
      <c r="F13542" s="0" t="s">
        <v>90</v>
      </c>
      <c r="G13542" s="0" t="s">
        <v>32</v>
      </c>
      <c r="H13542" s="0" t="n">
        <v>54</v>
      </c>
      <c r="I13542" s="0" t="s">
        <v>44975</v>
      </c>
      <c r="J13542" s="0" t="s">
        <v>44976</v>
      </c>
      <c r="K13542" s="0" t="s">
        <v>44977</v>
      </c>
      <c r="L13542" s="0" t="str">
        <f aca="false">HYPERLINK("https://www.ncbi.nlm.nih.gov/nuccore/CP000058.1?report=graph&amp;tracks=[key:gene_model_track,Options:GeneOnly]&amp;mk=4224309:4224328|offset_0|444444,4224284:4224303|offset_25|444444,4224255:4224274|offset_54|00cc00,4224208:4224227|offset_101|444444&amp;v=4224108:4224427&amp;c=444444", "offset 54")</f>
        <v>offset 54</v>
      </c>
    </row>
    <row r="13543" customFormat="false" ht="12.8" hidden="false" customHeight="false" outlineLevel="0" collapsed="false">
      <c r="A13543" s="0" t="s">
        <v>12</v>
      </c>
      <c r="B13543" s="0" t="n">
        <v>4224207</v>
      </c>
      <c r="C13543" s="0" t="n">
        <v>4224227</v>
      </c>
      <c r="D13543" s="0" t="s">
        <v>44968</v>
      </c>
      <c r="E13543" s="0" t="s">
        <v>75</v>
      </c>
      <c r="F13543" s="0" t="s">
        <v>90</v>
      </c>
      <c r="G13543" s="0" t="s">
        <v>20</v>
      </c>
      <c r="H13543" s="0" t="n">
        <v>101</v>
      </c>
      <c r="I13543" s="0" t="s">
        <v>44978</v>
      </c>
      <c r="J13543" s="0" t="s">
        <v>44979</v>
      </c>
      <c r="K13543" s="0" t="s">
        <v>44980</v>
      </c>
      <c r="L13543" s="0" t="str">
        <f aca="false">HYPERLINK("https://www.ncbi.nlm.nih.gov/nuccore/CP000058.1?report=graph&amp;tracks=[key:gene_model_track,Options:GeneOnly]&amp;mk=4224309:4224328|offset_0|444444,4224284:4224303|offset_25|444444,4224255:4224274|offset_54|444444,4224208:4224227|offset_101|00cc00&amp;v=4224108:4224427&amp;c=444444", "offset 101")</f>
        <v>offset 101</v>
      </c>
    </row>
    <row r="13544" customFormat="false" ht="12.8" hidden="false" customHeight="false" outlineLevel="0" collapsed="false">
      <c r="A13544" s="0" t="s">
        <v>12</v>
      </c>
      <c r="B13544" s="0" t="n">
        <v>4226240</v>
      </c>
      <c r="C13544" s="0" t="n">
        <v>4226260</v>
      </c>
      <c r="D13544" s="0" t="s">
        <v>44981</v>
      </c>
      <c r="E13544" s="0" t="s">
        <v>75</v>
      </c>
      <c r="F13544" s="0" t="s">
        <v>90</v>
      </c>
      <c r="G13544" s="0" t="s">
        <v>36</v>
      </c>
      <c r="H13544" s="0" t="n">
        <v>18</v>
      </c>
      <c r="I13544" s="0" t="s">
        <v>44982</v>
      </c>
      <c r="J13544" s="0" t="s">
        <v>44983</v>
      </c>
      <c r="K13544" s="0" t="s">
        <v>44984</v>
      </c>
      <c r="L13544" s="0" t="str">
        <f aca="false">HYPERLINK("https://www.ncbi.nlm.nih.gov/nuccore/CP000058.1?report=graph&amp;tracks=[key:gene_model_track,Options:GeneOnly]&amp;mk=4226241:4226260|offset_18|00cc00,4226216:4226235|offset_43|444444,4226189:4226208|offset_70|444444,4226153:4226172|offset_106|444444&amp;v=4226040:4226372&amp;c=444444", "offset 18")</f>
        <v>offset 18</v>
      </c>
    </row>
    <row r="13545" customFormat="false" ht="12.8" hidden="false" customHeight="false" outlineLevel="0" collapsed="false">
      <c r="A13545" s="0" t="s">
        <v>12</v>
      </c>
      <c r="B13545" s="0" t="n">
        <v>4226215</v>
      </c>
      <c r="C13545" s="0" t="n">
        <v>4226235</v>
      </c>
      <c r="D13545" s="0" t="s">
        <v>44981</v>
      </c>
      <c r="E13545" s="0" t="s">
        <v>75</v>
      </c>
      <c r="F13545" s="0" t="s">
        <v>90</v>
      </c>
      <c r="G13545" s="0" t="s">
        <v>32</v>
      </c>
      <c r="H13545" s="0" t="n">
        <v>43</v>
      </c>
      <c r="I13545" s="0" t="s">
        <v>44985</v>
      </c>
      <c r="J13545" s="0" t="s">
        <v>44986</v>
      </c>
      <c r="K13545" s="0" t="s">
        <v>44987</v>
      </c>
      <c r="L13545" s="0" t="str">
        <f aca="false">HYPERLINK("https://www.ncbi.nlm.nih.gov/nuccore/CP000058.1?report=graph&amp;tracks=[key:gene_model_track,Options:GeneOnly]&amp;mk=4226241:4226260|offset_18|444444,4226216:4226235|offset_43|00cc00,4226189:4226208|offset_70|444444,4226153:4226172|offset_106|444444&amp;v=4226040:4226372&amp;c=444444", "offset 43")</f>
        <v>offset 43</v>
      </c>
    </row>
    <row r="13546" customFormat="false" ht="12.8" hidden="false" customHeight="false" outlineLevel="0" collapsed="false">
      <c r="A13546" s="0" t="s">
        <v>12</v>
      </c>
      <c r="B13546" s="0" t="n">
        <v>4226188</v>
      </c>
      <c r="C13546" s="0" t="n">
        <v>4226208</v>
      </c>
      <c r="D13546" s="0" t="s">
        <v>44981</v>
      </c>
      <c r="E13546" s="0" t="s">
        <v>75</v>
      </c>
      <c r="F13546" s="0" t="s">
        <v>90</v>
      </c>
      <c r="G13546" s="0" t="s">
        <v>16</v>
      </c>
      <c r="H13546" s="0" t="n">
        <v>70</v>
      </c>
      <c r="I13546" s="0" t="s">
        <v>44988</v>
      </c>
      <c r="J13546" s="0" t="s">
        <v>44989</v>
      </c>
      <c r="K13546" s="0" t="s">
        <v>44990</v>
      </c>
      <c r="L13546" s="0" t="str">
        <f aca="false">HYPERLINK("https://www.ncbi.nlm.nih.gov/nuccore/CP000058.1?report=graph&amp;tracks=[key:gene_model_track,Options:GeneOnly]&amp;mk=4226241:4226260|offset_18|444444,4226216:4226235|offset_43|444444,4226189:4226208|offset_70|00cc00,4226153:4226172|offset_106|444444&amp;v=4226040:4226372&amp;c=444444", "offset 70")</f>
        <v>offset 70</v>
      </c>
    </row>
    <row r="13547" customFormat="false" ht="12.8" hidden="false" customHeight="false" outlineLevel="0" collapsed="false">
      <c r="A13547" s="0" t="s">
        <v>12</v>
      </c>
      <c r="B13547" s="0" t="n">
        <v>4226152</v>
      </c>
      <c r="C13547" s="0" t="n">
        <v>4226172</v>
      </c>
      <c r="D13547" s="0" t="s">
        <v>44981</v>
      </c>
      <c r="E13547" s="0" t="s">
        <v>75</v>
      </c>
      <c r="F13547" s="0" t="s">
        <v>90</v>
      </c>
      <c r="G13547" s="0" t="s">
        <v>36</v>
      </c>
      <c r="H13547" s="0" t="n">
        <v>106</v>
      </c>
      <c r="I13547" s="0" t="s">
        <v>44991</v>
      </c>
      <c r="J13547" s="0" t="s">
        <v>44992</v>
      </c>
      <c r="K13547" s="0" t="s">
        <v>44993</v>
      </c>
      <c r="L13547" s="0" t="str">
        <f aca="false">HYPERLINK("https://www.ncbi.nlm.nih.gov/nuccore/CP000058.1?report=graph&amp;tracks=[key:gene_model_track,Options:GeneOnly]&amp;mk=4226241:4226260|offset_18|444444,4226216:4226235|offset_43|444444,4226189:4226208|offset_70|444444,4226153:4226172|offset_106|00cc00&amp;v=4226040:4226372&amp;c=444444", "offset 106")</f>
        <v>offset 106</v>
      </c>
    </row>
    <row r="13548" customFormat="false" ht="12.8" hidden="false" customHeight="false" outlineLevel="0" collapsed="false">
      <c r="A13548" s="0" t="s">
        <v>12</v>
      </c>
      <c r="B13548" s="0" t="n">
        <v>4226882</v>
      </c>
      <c r="C13548" s="0" t="n">
        <v>4226902</v>
      </c>
      <c r="D13548" s="0" t="s">
        <v>44994</v>
      </c>
      <c r="E13548" s="0" t="s">
        <v>75</v>
      </c>
      <c r="F13548" s="0" t="s">
        <v>90</v>
      </c>
      <c r="G13548" s="0" t="s">
        <v>32</v>
      </c>
      <c r="H13548" s="0" t="n">
        <v>1</v>
      </c>
      <c r="I13548" s="0" t="s">
        <v>44995</v>
      </c>
      <c r="J13548" s="0" t="s">
        <v>44996</v>
      </c>
      <c r="K13548" s="0" t="s">
        <v>44997</v>
      </c>
      <c r="L13548" s="0" t="str">
        <f aca="false">HYPERLINK("https://www.ncbi.nlm.nih.gov/nuccore/CP000058.1?report=graph&amp;tracks=[key:gene_model_track,Options:GeneOnly]&amp;mk=4226883:4226902|offset_1|00cc00,4226852:4226871|offset_32|444444,4226821:4226840|offset_63|444444,4226776:4226795|offset_108|444444&amp;v=4226682:4226995&amp;c=444444", "offset 1")</f>
        <v>offset 1</v>
      </c>
    </row>
    <row r="13549" customFormat="false" ht="12.8" hidden="false" customHeight="false" outlineLevel="0" collapsed="false">
      <c r="A13549" s="0" t="s">
        <v>12</v>
      </c>
      <c r="B13549" s="0" t="n">
        <v>4226851</v>
      </c>
      <c r="C13549" s="0" t="n">
        <v>4226871</v>
      </c>
      <c r="D13549" s="0" t="s">
        <v>44994</v>
      </c>
      <c r="E13549" s="0" t="s">
        <v>75</v>
      </c>
      <c r="F13549" s="0" t="s">
        <v>90</v>
      </c>
      <c r="G13549" s="0" t="s">
        <v>36</v>
      </c>
      <c r="H13549" s="0" t="n">
        <v>32</v>
      </c>
      <c r="I13549" s="0" t="s">
        <v>44998</v>
      </c>
      <c r="J13549" s="0" t="s">
        <v>44999</v>
      </c>
      <c r="K13549" s="0" t="s">
        <v>45000</v>
      </c>
      <c r="L13549" s="0" t="str">
        <f aca="false">HYPERLINK("https://www.ncbi.nlm.nih.gov/nuccore/CP000058.1?report=graph&amp;tracks=[key:gene_model_track,Options:GeneOnly]&amp;mk=4226883:4226902|offset_1|444444,4226852:4226871|offset_32|00cc00,4226821:4226840|offset_63|444444,4226776:4226795|offset_108|444444&amp;v=4226682:4226995&amp;c=444444", "offset 32")</f>
        <v>offset 32</v>
      </c>
    </row>
    <row r="13550" customFormat="false" ht="12.8" hidden="false" customHeight="false" outlineLevel="0" collapsed="false">
      <c r="A13550" s="0" t="s">
        <v>12</v>
      </c>
      <c r="B13550" s="0" t="n">
        <v>4226820</v>
      </c>
      <c r="C13550" s="0" t="n">
        <v>4226840</v>
      </c>
      <c r="D13550" s="0" t="s">
        <v>44994</v>
      </c>
      <c r="E13550" s="0" t="s">
        <v>75</v>
      </c>
      <c r="F13550" s="0" t="s">
        <v>90</v>
      </c>
      <c r="G13550" s="0" t="s">
        <v>16</v>
      </c>
      <c r="H13550" s="0" t="n">
        <v>63</v>
      </c>
      <c r="I13550" s="0" t="s">
        <v>45001</v>
      </c>
      <c r="J13550" s="0" t="s">
        <v>45002</v>
      </c>
      <c r="K13550" s="0" t="s">
        <v>45003</v>
      </c>
      <c r="L13550" s="0" t="str">
        <f aca="false">HYPERLINK("https://www.ncbi.nlm.nih.gov/nuccore/CP000058.1?report=graph&amp;tracks=[key:gene_model_track,Options:GeneOnly]&amp;mk=4226883:4226902|offset_1|444444,4226852:4226871|offset_32|444444,4226821:4226840|offset_63|00cc00,4226776:4226795|offset_108|444444&amp;v=4226682:4226995&amp;c=444444", "offset 63")</f>
        <v>offset 63</v>
      </c>
    </row>
    <row r="13551" customFormat="false" ht="12.8" hidden="false" customHeight="false" outlineLevel="0" collapsed="false">
      <c r="A13551" s="0" t="s">
        <v>12</v>
      </c>
      <c r="B13551" s="0" t="n">
        <v>4226775</v>
      </c>
      <c r="C13551" s="0" t="n">
        <v>4226795</v>
      </c>
      <c r="D13551" s="0" t="s">
        <v>44994</v>
      </c>
      <c r="E13551" s="0" t="s">
        <v>75</v>
      </c>
      <c r="F13551" s="0" t="s">
        <v>90</v>
      </c>
      <c r="G13551" s="0" t="s">
        <v>16</v>
      </c>
      <c r="H13551" s="0" t="n">
        <v>108</v>
      </c>
      <c r="I13551" s="0" t="s">
        <v>45004</v>
      </c>
      <c r="J13551" s="0" t="s">
        <v>45005</v>
      </c>
      <c r="K13551" s="0" t="s">
        <v>45006</v>
      </c>
      <c r="L13551" s="0" t="str">
        <f aca="false">HYPERLINK("https://www.ncbi.nlm.nih.gov/nuccore/CP000058.1?report=graph&amp;tracks=[key:gene_model_track,Options:GeneOnly]&amp;mk=4226883:4226902|offset_1|444444,4226852:4226871|offset_32|444444,4226821:4226840|offset_63|444444,4226776:4226795|offset_108|00cc00&amp;v=4226682:4226995&amp;c=444444", "offset 108")</f>
        <v>offset 108</v>
      </c>
    </row>
    <row r="13552" customFormat="false" ht="12.8" hidden="false" customHeight="false" outlineLevel="0" collapsed="false">
      <c r="A13552" s="0" t="s">
        <v>12</v>
      </c>
      <c r="B13552" s="0" t="n">
        <v>4227825</v>
      </c>
      <c r="C13552" s="0" t="n">
        <v>4227845</v>
      </c>
      <c r="D13552" s="0" t="s">
        <v>45007</v>
      </c>
      <c r="E13552" s="0" t="s">
        <v>75</v>
      </c>
      <c r="F13552" s="0" t="s">
        <v>90</v>
      </c>
      <c r="G13552" s="0" t="s">
        <v>16</v>
      </c>
      <c r="H13552" s="0" t="n">
        <v>15</v>
      </c>
      <c r="I13552" s="0" t="s">
        <v>45008</v>
      </c>
      <c r="J13552" s="0" t="s">
        <v>45009</v>
      </c>
      <c r="K13552" s="0" t="s">
        <v>45010</v>
      </c>
      <c r="L13552" s="0" t="str">
        <f aca="false">HYPERLINK("https://www.ncbi.nlm.nih.gov/nuccore/CP000058.1?report=graph&amp;tracks=[key:gene_model_track,Options:GeneOnly]&amp;mk=4227826:4227845|offset_15|00cc00,4227801:4227820|offset_40|444444,4227780:4227799|offset_61|444444,4227751:4227770|offset_90|444444&amp;v=4227625:4227970&amp;c=444444", "offset 15")</f>
        <v>offset 15</v>
      </c>
    </row>
    <row r="13553" customFormat="false" ht="12.8" hidden="false" customHeight="false" outlineLevel="0" collapsed="false">
      <c r="A13553" s="0" t="s">
        <v>12</v>
      </c>
      <c r="B13553" s="0" t="n">
        <v>4227800</v>
      </c>
      <c r="C13553" s="0" t="n">
        <v>4227820</v>
      </c>
      <c r="D13553" s="0" t="s">
        <v>45007</v>
      </c>
      <c r="E13553" s="0" t="s">
        <v>75</v>
      </c>
      <c r="F13553" s="0" t="s">
        <v>90</v>
      </c>
      <c r="G13553" s="0" t="s">
        <v>16</v>
      </c>
      <c r="H13553" s="0" t="n">
        <v>40</v>
      </c>
      <c r="I13553" s="0" t="s">
        <v>45011</v>
      </c>
      <c r="J13553" s="0" t="s">
        <v>45012</v>
      </c>
      <c r="K13553" s="0" t="s">
        <v>45013</v>
      </c>
      <c r="L13553" s="0" t="str">
        <f aca="false">HYPERLINK("https://www.ncbi.nlm.nih.gov/nuccore/CP000058.1?report=graph&amp;tracks=[key:gene_model_track,Options:GeneOnly]&amp;mk=4227826:4227845|offset_15|444444,4227801:4227820|offset_40|00cc00,4227780:4227799|offset_61|444444,4227751:4227770|offset_90|444444&amp;v=4227625:4227970&amp;c=444444", "offset 40")</f>
        <v>offset 40</v>
      </c>
    </row>
    <row r="13554" customFormat="false" ht="12.8" hidden="false" customHeight="false" outlineLevel="0" collapsed="false">
      <c r="A13554" s="0" t="s">
        <v>12</v>
      </c>
      <c r="B13554" s="0" t="n">
        <v>4227779</v>
      </c>
      <c r="C13554" s="0" t="n">
        <v>4227799</v>
      </c>
      <c r="D13554" s="0" t="s">
        <v>45007</v>
      </c>
      <c r="E13554" s="0" t="s">
        <v>75</v>
      </c>
      <c r="F13554" s="0" t="s">
        <v>90</v>
      </c>
      <c r="G13554" s="0" t="s">
        <v>36</v>
      </c>
      <c r="H13554" s="0" t="n">
        <v>61</v>
      </c>
      <c r="I13554" s="0" t="s">
        <v>45014</v>
      </c>
      <c r="J13554" s="0" t="s">
        <v>45015</v>
      </c>
      <c r="K13554" s="0" t="s">
        <v>45016</v>
      </c>
      <c r="L13554" s="0" t="str">
        <f aca="false">HYPERLINK("https://www.ncbi.nlm.nih.gov/nuccore/CP000058.1?report=graph&amp;tracks=[key:gene_model_track,Options:GeneOnly]&amp;mk=4227826:4227845|offset_15|444444,4227801:4227820|offset_40|444444,4227780:4227799|offset_61|00cc00,4227751:4227770|offset_90|444444&amp;v=4227625:4227970&amp;c=444444", "offset 61")</f>
        <v>offset 61</v>
      </c>
    </row>
    <row r="13555" customFormat="false" ht="12.8" hidden="false" customHeight="false" outlineLevel="0" collapsed="false">
      <c r="A13555" s="0" t="s">
        <v>12</v>
      </c>
      <c r="B13555" s="0" t="n">
        <v>4227750</v>
      </c>
      <c r="C13555" s="0" t="n">
        <v>4227770</v>
      </c>
      <c r="D13555" s="0" t="s">
        <v>45007</v>
      </c>
      <c r="E13555" s="0" t="s">
        <v>75</v>
      </c>
      <c r="F13555" s="0" t="s">
        <v>90</v>
      </c>
      <c r="G13555" s="0" t="s">
        <v>36</v>
      </c>
      <c r="H13555" s="0" t="n">
        <v>90</v>
      </c>
      <c r="I13555" s="0" t="s">
        <v>45017</v>
      </c>
      <c r="J13555" s="0" t="s">
        <v>45018</v>
      </c>
      <c r="K13555" s="0" t="s">
        <v>45019</v>
      </c>
      <c r="L13555" s="0" t="str">
        <f aca="false">HYPERLINK("https://www.ncbi.nlm.nih.gov/nuccore/CP000058.1?report=graph&amp;tracks=[key:gene_model_track,Options:GeneOnly]&amp;mk=4227826:4227845|offset_15|444444,4227801:4227820|offset_40|444444,4227780:4227799|offset_61|444444,4227751:4227770|offset_90|00cc00&amp;v=4227625:4227970&amp;c=444444", "offset 90")</f>
        <v>offset 90</v>
      </c>
    </row>
    <row r="13556" customFormat="false" ht="12.8" hidden="false" customHeight="false" outlineLevel="0" collapsed="false">
      <c r="A13556" s="0" t="s">
        <v>12</v>
      </c>
      <c r="B13556" s="0" t="n">
        <v>4228305</v>
      </c>
      <c r="C13556" s="0" t="n">
        <v>4228325</v>
      </c>
      <c r="D13556" s="0" t="s">
        <v>45020</v>
      </c>
      <c r="E13556" s="0" t="s">
        <v>45021</v>
      </c>
      <c r="F13556" s="0" t="s">
        <v>90</v>
      </c>
      <c r="G13556" s="0" t="s">
        <v>32</v>
      </c>
      <c r="H13556" s="0" t="n">
        <v>1</v>
      </c>
      <c r="I13556" s="0" t="s">
        <v>45022</v>
      </c>
      <c r="J13556" s="0" t="s">
        <v>45023</v>
      </c>
      <c r="K13556" s="0" t="s">
        <v>45024</v>
      </c>
      <c r="L13556" s="0" t="str">
        <f aca="false">HYPERLINK("https://www.ncbi.nlm.nih.gov/nuccore/CP000058.1?report=graph&amp;tracks=[key:gene_model_track,Options:GeneOnly]&amp;mk=4228306:4228325|offset_1|00cc00,4228259:4228278|offset_48|444444,4228230:4228249|offset_77|444444,4228204:4228223|offset_103|444444&amp;v=4228105:4228423&amp;c=444444", "offset 1")</f>
        <v>offset 1</v>
      </c>
    </row>
    <row r="13557" customFormat="false" ht="12.8" hidden="false" customHeight="false" outlineLevel="0" collapsed="false">
      <c r="A13557" s="0" t="s">
        <v>12</v>
      </c>
      <c r="B13557" s="0" t="n">
        <v>4228258</v>
      </c>
      <c r="C13557" s="0" t="n">
        <v>4228278</v>
      </c>
      <c r="D13557" s="0" t="s">
        <v>45020</v>
      </c>
      <c r="E13557" s="0" t="s">
        <v>45021</v>
      </c>
      <c r="F13557" s="0" t="s">
        <v>90</v>
      </c>
      <c r="G13557" s="0" t="s">
        <v>16</v>
      </c>
      <c r="H13557" s="0" t="n">
        <v>48</v>
      </c>
      <c r="I13557" s="0" t="s">
        <v>45025</v>
      </c>
      <c r="J13557" s="0" t="s">
        <v>45026</v>
      </c>
      <c r="K13557" s="0" t="s">
        <v>45027</v>
      </c>
      <c r="L13557" s="0" t="str">
        <f aca="false">HYPERLINK("https://www.ncbi.nlm.nih.gov/nuccore/CP000058.1?report=graph&amp;tracks=[key:gene_model_track,Options:GeneOnly]&amp;mk=4228306:4228325|offset_1|444444,4228259:4228278|offset_48|00cc00,4228230:4228249|offset_77|444444,4228204:4228223|offset_103|444444&amp;v=4228105:4228423&amp;c=444444", "offset 48")</f>
        <v>offset 48</v>
      </c>
    </row>
    <row r="13558" customFormat="false" ht="12.8" hidden="false" customHeight="false" outlineLevel="0" collapsed="false">
      <c r="A13558" s="0" t="s">
        <v>12</v>
      </c>
      <c r="B13558" s="0" t="n">
        <v>4228229</v>
      </c>
      <c r="C13558" s="0" t="n">
        <v>4228249</v>
      </c>
      <c r="D13558" s="0" t="s">
        <v>45020</v>
      </c>
      <c r="E13558" s="0" t="s">
        <v>45021</v>
      </c>
      <c r="F13558" s="0" t="s">
        <v>90</v>
      </c>
      <c r="G13558" s="0" t="s">
        <v>32</v>
      </c>
      <c r="H13558" s="0" t="n">
        <v>77</v>
      </c>
      <c r="I13558" s="0" t="s">
        <v>45028</v>
      </c>
      <c r="J13558" s="0" t="s">
        <v>45029</v>
      </c>
      <c r="K13558" s="0" t="s">
        <v>45030</v>
      </c>
      <c r="L13558" s="0" t="str">
        <f aca="false">HYPERLINK("https://www.ncbi.nlm.nih.gov/nuccore/CP000058.1?report=graph&amp;tracks=[key:gene_model_track,Options:GeneOnly]&amp;mk=4228306:4228325|offset_1|444444,4228259:4228278|offset_48|444444,4228230:4228249|offset_77|00cc00,4228204:4228223|offset_103|444444&amp;v=4228105:4228423&amp;c=444444", "offset 77")</f>
        <v>offset 77</v>
      </c>
    </row>
    <row r="13559" customFormat="false" ht="12.8" hidden="false" customHeight="false" outlineLevel="0" collapsed="false">
      <c r="A13559" s="0" t="s">
        <v>12</v>
      </c>
      <c r="B13559" s="0" t="n">
        <v>4228203</v>
      </c>
      <c r="C13559" s="0" t="n">
        <v>4228223</v>
      </c>
      <c r="D13559" s="0" t="s">
        <v>45020</v>
      </c>
      <c r="E13559" s="0" t="s">
        <v>45021</v>
      </c>
      <c r="F13559" s="0" t="s">
        <v>90</v>
      </c>
      <c r="G13559" s="0" t="s">
        <v>36</v>
      </c>
      <c r="H13559" s="0" t="n">
        <v>103</v>
      </c>
      <c r="I13559" s="0" t="s">
        <v>45031</v>
      </c>
      <c r="J13559" s="0" t="s">
        <v>45032</v>
      </c>
      <c r="K13559" s="0" t="s">
        <v>45033</v>
      </c>
      <c r="L13559" s="0" t="str">
        <f aca="false">HYPERLINK("https://www.ncbi.nlm.nih.gov/nuccore/CP000058.1?report=graph&amp;tracks=[key:gene_model_track,Options:GeneOnly]&amp;mk=4228306:4228325|offset_1|444444,4228259:4228278|offset_48|444444,4228230:4228249|offset_77|444444,4228204:4228223|offset_103|00cc00&amp;v=4228105:4228423&amp;c=444444", "offset 103")</f>
        <v>offset 103</v>
      </c>
    </row>
    <row r="13560" customFormat="false" ht="12.8" hidden="false" customHeight="false" outlineLevel="0" collapsed="false">
      <c r="A13560" s="0" t="s">
        <v>12</v>
      </c>
      <c r="B13560" s="0" t="n">
        <v>4228842</v>
      </c>
      <c r="C13560" s="0" t="n">
        <v>4228862</v>
      </c>
      <c r="D13560" s="0" t="s">
        <v>45034</v>
      </c>
      <c r="E13560" s="0" t="s">
        <v>75</v>
      </c>
      <c r="F13560" s="0" t="s">
        <v>90</v>
      </c>
      <c r="G13560" s="0" t="s">
        <v>36</v>
      </c>
      <c r="H13560" s="0" t="n">
        <v>7</v>
      </c>
      <c r="I13560" s="0" t="s">
        <v>45035</v>
      </c>
      <c r="J13560" s="0" t="s">
        <v>45036</v>
      </c>
      <c r="K13560" s="0" t="s">
        <v>45037</v>
      </c>
      <c r="L13560" s="0" t="str">
        <f aca="false">HYPERLINK("https://www.ncbi.nlm.nih.gov/nuccore/CP000058.1?report=graph&amp;tracks=[key:gene_model_track,Options:GeneOnly]&amp;mk=4228843:4228862|offset_7|00cc00,4228822:4228841|offset_28|444444,4228801:4228820|offset_49|444444,4228777:4228796|offset_73|444444&amp;v=4228642:4228996&amp;c=444444", "offset 7")</f>
        <v>offset 7</v>
      </c>
    </row>
    <row r="13561" customFormat="false" ht="12.8" hidden="false" customHeight="false" outlineLevel="0" collapsed="false">
      <c r="A13561" s="0" t="s">
        <v>12</v>
      </c>
      <c r="B13561" s="0" t="n">
        <v>4228821</v>
      </c>
      <c r="C13561" s="0" t="n">
        <v>4228841</v>
      </c>
      <c r="D13561" s="0" t="s">
        <v>45034</v>
      </c>
      <c r="E13561" s="0" t="s">
        <v>75</v>
      </c>
      <c r="F13561" s="0" t="s">
        <v>90</v>
      </c>
      <c r="G13561" s="0" t="s">
        <v>16</v>
      </c>
      <c r="H13561" s="0" t="n">
        <v>28</v>
      </c>
      <c r="I13561" s="0" t="s">
        <v>45038</v>
      </c>
      <c r="J13561" s="0" t="s">
        <v>45039</v>
      </c>
      <c r="K13561" s="0" t="s">
        <v>45040</v>
      </c>
      <c r="L13561" s="0" t="str">
        <f aca="false">HYPERLINK("https://www.ncbi.nlm.nih.gov/nuccore/CP000058.1?report=graph&amp;tracks=[key:gene_model_track,Options:GeneOnly]&amp;mk=4228843:4228862|offset_7|444444,4228822:4228841|offset_28|00cc00,4228801:4228820|offset_49|444444,4228777:4228796|offset_73|444444&amp;v=4228642:4228996&amp;c=444444", "offset 28")</f>
        <v>offset 28</v>
      </c>
    </row>
    <row r="13562" customFormat="false" ht="12.8" hidden="false" customHeight="false" outlineLevel="0" collapsed="false">
      <c r="A13562" s="0" t="s">
        <v>12</v>
      </c>
      <c r="B13562" s="0" t="n">
        <v>4228800</v>
      </c>
      <c r="C13562" s="0" t="n">
        <v>4228820</v>
      </c>
      <c r="D13562" s="0" t="s">
        <v>45034</v>
      </c>
      <c r="E13562" s="0" t="s">
        <v>75</v>
      </c>
      <c r="F13562" s="0" t="s">
        <v>90</v>
      </c>
      <c r="G13562" s="0" t="s">
        <v>32</v>
      </c>
      <c r="H13562" s="0" t="n">
        <v>49</v>
      </c>
      <c r="I13562" s="0" t="s">
        <v>45041</v>
      </c>
      <c r="J13562" s="0" t="s">
        <v>45042</v>
      </c>
      <c r="K13562" s="0" t="s">
        <v>45043</v>
      </c>
      <c r="L13562" s="0" t="str">
        <f aca="false">HYPERLINK("https://www.ncbi.nlm.nih.gov/nuccore/CP000058.1?report=graph&amp;tracks=[key:gene_model_track,Options:GeneOnly]&amp;mk=4228843:4228862|offset_7|444444,4228822:4228841|offset_28|444444,4228801:4228820|offset_49|00cc00,4228777:4228796|offset_73|444444&amp;v=4228642:4228996&amp;c=444444", "offset 49")</f>
        <v>offset 49</v>
      </c>
    </row>
    <row r="13563" customFormat="false" ht="12.8" hidden="false" customHeight="false" outlineLevel="0" collapsed="false">
      <c r="A13563" s="0" t="s">
        <v>12</v>
      </c>
      <c r="B13563" s="0" t="n">
        <v>4228776</v>
      </c>
      <c r="C13563" s="0" t="n">
        <v>4228796</v>
      </c>
      <c r="D13563" s="0" t="s">
        <v>45034</v>
      </c>
      <c r="E13563" s="0" t="s">
        <v>75</v>
      </c>
      <c r="F13563" s="0" t="s">
        <v>90</v>
      </c>
      <c r="G13563" s="0" t="s">
        <v>16</v>
      </c>
      <c r="H13563" s="0" t="n">
        <v>73</v>
      </c>
      <c r="I13563" s="0" t="s">
        <v>45044</v>
      </c>
      <c r="J13563" s="0" t="s">
        <v>45045</v>
      </c>
      <c r="K13563" s="0" t="s">
        <v>45046</v>
      </c>
      <c r="L13563" s="0" t="str">
        <f aca="false">HYPERLINK("https://www.ncbi.nlm.nih.gov/nuccore/CP000058.1?report=graph&amp;tracks=[key:gene_model_track,Options:GeneOnly]&amp;mk=4228843:4228862|offset_7|444444,4228822:4228841|offset_28|444444,4228801:4228820|offset_49|444444,4228777:4228796|offset_73|00cc00&amp;v=4228642:4228996&amp;c=444444", "offset 73")</f>
        <v>offset 73</v>
      </c>
    </row>
    <row r="13564" customFormat="false" ht="12.8" hidden="false" customHeight="false" outlineLevel="0" collapsed="false">
      <c r="A13564" s="0" t="s">
        <v>12</v>
      </c>
      <c r="B13564" s="0" t="n">
        <v>4229046</v>
      </c>
      <c r="C13564" s="0" t="n">
        <v>4229066</v>
      </c>
      <c r="D13564" s="0" t="s">
        <v>45047</v>
      </c>
      <c r="E13564" s="0" t="s">
        <v>45048</v>
      </c>
      <c r="F13564" s="0" t="s">
        <v>15</v>
      </c>
      <c r="G13564" s="0" t="s">
        <v>16</v>
      </c>
      <c r="H13564" s="0" t="n">
        <v>8</v>
      </c>
      <c r="I13564" s="0" t="s">
        <v>45049</v>
      </c>
      <c r="J13564" s="0" t="s">
        <v>45050</v>
      </c>
      <c r="K13564" s="0" t="s">
        <v>45051</v>
      </c>
      <c r="L13564" s="0" t="str">
        <f aca="false">HYPERLINK("https://www.ncbi.nlm.nih.gov/nuccore/CP000058.1?report=graph&amp;tracks=[key:gene_model_track,Options:GeneOnly]&amp;mk=4229047:4229066|offset_8|00cc00,4229071:4229090|offset_32|444444,4229094:4229113|offset_55|444444,4229156:4229175|offset_117|444444&amp;v=4228846:4229375&amp;c=444444", "offset 8")</f>
        <v>offset 8</v>
      </c>
    </row>
    <row r="13565" customFormat="false" ht="12.8" hidden="false" customHeight="false" outlineLevel="0" collapsed="false">
      <c r="A13565" s="0" t="s">
        <v>12</v>
      </c>
      <c r="B13565" s="0" t="n">
        <v>4229070</v>
      </c>
      <c r="C13565" s="0" t="n">
        <v>4229090</v>
      </c>
      <c r="D13565" s="0" t="s">
        <v>45047</v>
      </c>
      <c r="E13565" s="0" t="s">
        <v>45048</v>
      </c>
      <c r="F13565" s="0" t="s">
        <v>15</v>
      </c>
      <c r="G13565" s="0" t="s">
        <v>36</v>
      </c>
      <c r="H13565" s="0" t="n">
        <v>32</v>
      </c>
      <c r="I13565" s="0" t="s">
        <v>45052</v>
      </c>
      <c r="J13565" s="0" t="s">
        <v>45053</v>
      </c>
      <c r="K13565" s="0" t="s">
        <v>45054</v>
      </c>
      <c r="L13565" s="0" t="str">
        <f aca="false">HYPERLINK("https://www.ncbi.nlm.nih.gov/nuccore/CP000058.1?report=graph&amp;tracks=[key:gene_model_track,Options:GeneOnly]&amp;mk=4229047:4229066|offset_8|444444,4229071:4229090|offset_32|00cc00,4229094:4229113|offset_55|444444,4229156:4229175|offset_117|444444&amp;v=4228846:4229375&amp;c=444444", "offset 32")</f>
        <v>offset 32</v>
      </c>
    </row>
    <row r="13566" customFormat="false" ht="12.8" hidden="false" customHeight="false" outlineLevel="0" collapsed="false">
      <c r="A13566" s="0" t="s">
        <v>12</v>
      </c>
      <c r="B13566" s="0" t="n">
        <v>4229093</v>
      </c>
      <c r="C13566" s="0" t="n">
        <v>4229113</v>
      </c>
      <c r="D13566" s="0" t="s">
        <v>45047</v>
      </c>
      <c r="E13566" s="0" t="s">
        <v>45048</v>
      </c>
      <c r="F13566" s="0" t="s">
        <v>15</v>
      </c>
      <c r="G13566" s="0" t="s">
        <v>20</v>
      </c>
      <c r="H13566" s="0" t="n">
        <v>55</v>
      </c>
      <c r="I13566" s="0" t="s">
        <v>45055</v>
      </c>
      <c r="J13566" s="0" t="s">
        <v>45056</v>
      </c>
      <c r="K13566" s="0" t="s">
        <v>45057</v>
      </c>
      <c r="L13566" s="0" t="str">
        <f aca="false">HYPERLINK("https://www.ncbi.nlm.nih.gov/nuccore/CP000058.1?report=graph&amp;tracks=[key:gene_model_track,Options:GeneOnly]&amp;mk=4229047:4229066|offset_8|444444,4229071:4229090|offset_32|444444,4229094:4229113|offset_55|00cc00,4229156:4229175|offset_117|444444&amp;v=4228846:4229375&amp;c=444444", "offset 55")</f>
        <v>offset 55</v>
      </c>
    </row>
    <row r="13567" customFormat="false" ht="12.8" hidden="false" customHeight="false" outlineLevel="0" collapsed="false">
      <c r="A13567" s="0" t="s">
        <v>12</v>
      </c>
      <c r="B13567" s="0" t="n">
        <v>4229155</v>
      </c>
      <c r="C13567" s="0" t="n">
        <v>4229175</v>
      </c>
      <c r="D13567" s="0" t="s">
        <v>45047</v>
      </c>
      <c r="E13567" s="0" t="s">
        <v>45048</v>
      </c>
      <c r="F13567" s="0" t="s">
        <v>15</v>
      </c>
      <c r="G13567" s="0" t="s">
        <v>32</v>
      </c>
      <c r="H13567" s="0" t="n">
        <v>117</v>
      </c>
      <c r="I13567" s="0" t="s">
        <v>45058</v>
      </c>
      <c r="J13567" s="0" t="s">
        <v>45059</v>
      </c>
      <c r="K13567" s="0" t="s">
        <v>45060</v>
      </c>
      <c r="L13567" s="0" t="str">
        <f aca="false">HYPERLINK("https://www.ncbi.nlm.nih.gov/nuccore/CP000058.1?report=graph&amp;tracks=[key:gene_model_track,Options:GeneOnly]&amp;mk=4229047:4229066|offset_8|444444,4229071:4229090|offset_32|444444,4229094:4229113|offset_55|444444,4229156:4229175|offset_117|00cc00&amp;v=4228846:4229375&amp;c=444444", "offset 117")</f>
        <v>offset 117</v>
      </c>
    </row>
    <row r="13568" customFormat="false" ht="12.8" hidden="false" customHeight="false" outlineLevel="0" collapsed="false">
      <c r="A13568" s="0" t="s">
        <v>12</v>
      </c>
      <c r="B13568" s="0" t="n">
        <v>4230438</v>
      </c>
      <c r="C13568" s="0" t="n">
        <v>4230458</v>
      </c>
      <c r="D13568" s="0" t="s">
        <v>45061</v>
      </c>
      <c r="E13568" s="0" t="s">
        <v>75</v>
      </c>
      <c r="F13568" s="0" t="s">
        <v>15</v>
      </c>
      <c r="G13568" s="0" t="s">
        <v>32</v>
      </c>
      <c r="H13568" s="0" t="n">
        <v>13</v>
      </c>
      <c r="I13568" s="0" t="s">
        <v>45062</v>
      </c>
      <c r="J13568" s="0" t="s">
        <v>45063</v>
      </c>
      <c r="K13568" s="0" t="s">
        <v>45064</v>
      </c>
      <c r="L13568" s="0" t="str">
        <f aca="false">HYPERLINK("https://www.ncbi.nlm.nih.gov/nuccore/CP000058.1?report=graph&amp;tracks=[key:gene_model_track,Options:GeneOnly]&amp;mk=4230439:4230458|offset_13|00cc00,4230501:4230520|offset_75|444444,4230521:4230540|offset_95|444444,4230609:4230628|offset_183|444444&amp;v=4230238:4230828&amp;c=444444", "offset 13")</f>
        <v>offset 13</v>
      </c>
    </row>
    <row r="13569" customFormat="false" ht="12.8" hidden="false" customHeight="false" outlineLevel="0" collapsed="false">
      <c r="A13569" s="0" t="s">
        <v>12</v>
      </c>
      <c r="B13569" s="0" t="n">
        <v>4230500</v>
      </c>
      <c r="C13569" s="0" t="n">
        <v>4230520</v>
      </c>
      <c r="D13569" s="0" t="s">
        <v>45061</v>
      </c>
      <c r="E13569" s="0" t="s">
        <v>75</v>
      </c>
      <c r="F13569" s="0" t="s">
        <v>15</v>
      </c>
      <c r="G13569" s="0" t="s">
        <v>16</v>
      </c>
      <c r="H13569" s="0" t="n">
        <v>75</v>
      </c>
      <c r="I13569" s="0" t="s">
        <v>45065</v>
      </c>
      <c r="J13569" s="0" t="s">
        <v>45066</v>
      </c>
      <c r="K13569" s="0" t="s">
        <v>45067</v>
      </c>
      <c r="L13569" s="0" t="str">
        <f aca="false">HYPERLINK("https://www.ncbi.nlm.nih.gov/nuccore/CP000058.1?report=graph&amp;tracks=[key:gene_model_track,Options:GeneOnly]&amp;mk=4230439:4230458|offset_13|444444,4230501:4230520|offset_75|00cc00,4230521:4230540|offset_95|444444,4230609:4230628|offset_183|444444&amp;v=4230238:4230828&amp;c=444444", "offset 75")</f>
        <v>offset 75</v>
      </c>
    </row>
    <row r="13570" customFormat="false" ht="12.8" hidden="false" customHeight="false" outlineLevel="0" collapsed="false">
      <c r="A13570" s="0" t="s">
        <v>12</v>
      </c>
      <c r="B13570" s="0" t="n">
        <v>4230520</v>
      </c>
      <c r="C13570" s="0" t="n">
        <v>4230540</v>
      </c>
      <c r="D13570" s="0" t="s">
        <v>45061</v>
      </c>
      <c r="E13570" s="0" t="s">
        <v>75</v>
      </c>
      <c r="F13570" s="0" t="s">
        <v>15</v>
      </c>
      <c r="G13570" s="0" t="s">
        <v>32</v>
      </c>
      <c r="H13570" s="0" t="n">
        <v>95</v>
      </c>
      <c r="I13570" s="0" t="s">
        <v>45068</v>
      </c>
      <c r="J13570" s="0" t="s">
        <v>45069</v>
      </c>
      <c r="K13570" s="0" t="s">
        <v>45070</v>
      </c>
      <c r="L13570" s="0" t="str">
        <f aca="false">HYPERLINK("https://www.ncbi.nlm.nih.gov/nuccore/CP000058.1?report=graph&amp;tracks=[key:gene_model_track,Options:GeneOnly]&amp;mk=4230439:4230458|offset_13|444444,4230501:4230520|offset_75|444444,4230521:4230540|offset_95|00cc00,4230609:4230628|offset_183|444444&amp;v=4230238:4230828&amp;c=444444", "offset 95")</f>
        <v>offset 95</v>
      </c>
    </row>
    <row r="13571" customFormat="false" ht="12.8" hidden="false" customHeight="false" outlineLevel="0" collapsed="false">
      <c r="A13571" s="0" t="s">
        <v>12</v>
      </c>
      <c r="B13571" s="0" t="n">
        <v>4230608</v>
      </c>
      <c r="C13571" s="0" t="n">
        <v>4230628</v>
      </c>
      <c r="D13571" s="0" t="s">
        <v>45061</v>
      </c>
      <c r="E13571" s="0" t="s">
        <v>75</v>
      </c>
      <c r="F13571" s="0" t="s">
        <v>15</v>
      </c>
      <c r="G13571" s="0" t="s">
        <v>20</v>
      </c>
      <c r="H13571" s="0" t="n">
        <v>183</v>
      </c>
      <c r="I13571" s="0" t="s">
        <v>45071</v>
      </c>
      <c r="J13571" s="0" t="s">
        <v>45072</v>
      </c>
      <c r="K13571" s="0" t="s">
        <v>45073</v>
      </c>
      <c r="L13571" s="0" t="str">
        <f aca="false">HYPERLINK("https://www.ncbi.nlm.nih.gov/nuccore/CP000058.1?report=graph&amp;tracks=[key:gene_model_track,Options:GeneOnly]&amp;mk=4230439:4230458|offset_13|444444,4230501:4230520|offset_75|444444,4230521:4230540|offset_95|444444,4230609:4230628|offset_183|00cc00&amp;v=4230238:4230828&amp;c=444444", "offset 183")</f>
        <v>offset 183</v>
      </c>
    </row>
    <row r="13572" customFormat="false" ht="12.8" hidden="false" customHeight="false" outlineLevel="0" collapsed="false">
      <c r="A13572" s="0" t="s">
        <v>12</v>
      </c>
      <c r="B13572" s="0" t="n">
        <v>4231963</v>
      </c>
      <c r="C13572" s="0" t="n">
        <v>4231983</v>
      </c>
      <c r="D13572" s="0" t="s">
        <v>45074</v>
      </c>
      <c r="E13572" s="0" t="s">
        <v>75</v>
      </c>
      <c r="F13572" s="0" t="s">
        <v>90</v>
      </c>
      <c r="G13572" s="0" t="s">
        <v>20</v>
      </c>
      <c r="H13572" s="0" t="n">
        <v>35</v>
      </c>
      <c r="I13572" s="0" t="s">
        <v>45075</v>
      </c>
      <c r="J13572" s="0" t="s">
        <v>45076</v>
      </c>
      <c r="K13572" s="0" t="s">
        <v>45077</v>
      </c>
      <c r="L13572" s="0" t="str">
        <f aca="false">HYPERLINK("https://www.ncbi.nlm.nih.gov/nuccore/CP000058.1?report=graph&amp;tracks=[key:gene_model_track,Options:GeneOnly]&amp;mk=4231964:4231983|offset_35|00cc00,4231921:4231940|offset_78|444444,4231886:4231905|offset_113|444444,4231862:4231881|offset_137|444444&amp;v=4231763:4232081&amp;c=444444", "offset 35")</f>
        <v>offset 35</v>
      </c>
    </row>
    <row r="13573" customFormat="false" ht="12.8" hidden="false" customHeight="false" outlineLevel="0" collapsed="false">
      <c r="A13573" s="0" t="s">
        <v>12</v>
      </c>
      <c r="B13573" s="0" t="n">
        <v>4231920</v>
      </c>
      <c r="C13573" s="0" t="n">
        <v>4231940</v>
      </c>
      <c r="D13573" s="0" t="s">
        <v>45074</v>
      </c>
      <c r="E13573" s="0" t="s">
        <v>75</v>
      </c>
      <c r="F13573" s="0" t="s">
        <v>90</v>
      </c>
      <c r="G13573" s="0" t="s">
        <v>32</v>
      </c>
      <c r="H13573" s="0" t="n">
        <v>78</v>
      </c>
      <c r="I13573" s="0" t="s">
        <v>45078</v>
      </c>
      <c r="J13573" s="0" t="s">
        <v>45079</v>
      </c>
      <c r="K13573" s="0" t="s">
        <v>45080</v>
      </c>
      <c r="L13573" s="0" t="str">
        <f aca="false">HYPERLINK("https://www.ncbi.nlm.nih.gov/nuccore/CP000058.1?report=graph&amp;tracks=[key:gene_model_track,Options:GeneOnly]&amp;mk=4231964:4231983|offset_35|444444,4231921:4231940|offset_78|00cc00,4231886:4231905|offset_113|444444,4231862:4231881|offset_137|444444&amp;v=4231763:4232081&amp;c=444444", "offset 78")</f>
        <v>offset 78</v>
      </c>
    </row>
    <row r="13574" customFormat="false" ht="12.8" hidden="false" customHeight="false" outlineLevel="0" collapsed="false">
      <c r="A13574" s="0" t="s">
        <v>12</v>
      </c>
      <c r="B13574" s="0" t="n">
        <v>4231885</v>
      </c>
      <c r="C13574" s="0" t="n">
        <v>4231905</v>
      </c>
      <c r="D13574" s="0" t="s">
        <v>45074</v>
      </c>
      <c r="E13574" s="0" t="s">
        <v>75</v>
      </c>
      <c r="F13574" s="0" t="s">
        <v>90</v>
      </c>
      <c r="G13574" s="0" t="s">
        <v>36</v>
      </c>
      <c r="H13574" s="0" t="n">
        <v>113</v>
      </c>
      <c r="I13574" s="0" t="s">
        <v>45081</v>
      </c>
      <c r="J13574" s="0" t="s">
        <v>45082</v>
      </c>
      <c r="K13574" s="0" t="s">
        <v>45083</v>
      </c>
      <c r="L13574" s="0" t="str">
        <f aca="false">HYPERLINK("https://www.ncbi.nlm.nih.gov/nuccore/CP000058.1?report=graph&amp;tracks=[key:gene_model_track,Options:GeneOnly]&amp;mk=4231964:4231983|offset_35|444444,4231921:4231940|offset_78|444444,4231886:4231905|offset_113|00cc00,4231862:4231881|offset_137|444444&amp;v=4231763:4232081&amp;c=444444", "offset 113")</f>
        <v>offset 113</v>
      </c>
    </row>
    <row r="13575" customFormat="false" ht="12.8" hidden="false" customHeight="false" outlineLevel="0" collapsed="false">
      <c r="A13575" s="0" t="s">
        <v>12</v>
      </c>
      <c r="B13575" s="0" t="n">
        <v>4231861</v>
      </c>
      <c r="C13575" s="0" t="n">
        <v>4231881</v>
      </c>
      <c r="D13575" s="0" t="s">
        <v>45074</v>
      </c>
      <c r="E13575" s="0" t="s">
        <v>75</v>
      </c>
      <c r="F13575" s="0" t="s">
        <v>90</v>
      </c>
      <c r="G13575" s="0" t="s">
        <v>20</v>
      </c>
      <c r="H13575" s="0" t="n">
        <v>137</v>
      </c>
      <c r="I13575" s="0" t="s">
        <v>45084</v>
      </c>
      <c r="J13575" s="0" t="s">
        <v>45085</v>
      </c>
      <c r="K13575" s="0" t="s">
        <v>45086</v>
      </c>
      <c r="L13575" s="0" t="str">
        <f aca="false">HYPERLINK("https://www.ncbi.nlm.nih.gov/nuccore/CP000058.1?report=graph&amp;tracks=[key:gene_model_track,Options:GeneOnly]&amp;mk=4231964:4231983|offset_35|444444,4231921:4231940|offset_78|444444,4231886:4231905|offset_113|444444,4231862:4231881|offset_137|00cc00&amp;v=4231763:4232081&amp;c=444444", "offset 137")</f>
        <v>offset 137</v>
      </c>
    </row>
    <row r="13576" customFormat="false" ht="12.8" hidden="false" customHeight="false" outlineLevel="0" collapsed="false">
      <c r="A13576" s="0" t="s">
        <v>12</v>
      </c>
      <c r="B13576" s="0" t="n">
        <v>4232692</v>
      </c>
      <c r="C13576" s="0" t="n">
        <v>4232712</v>
      </c>
      <c r="D13576" s="0" t="s">
        <v>45087</v>
      </c>
      <c r="E13576" s="0" t="s">
        <v>75</v>
      </c>
      <c r="F13576" s="0" t="s">
        <v>90</v>
      </c>
      <c r="G13576" s="0" t="s">
        <v>36</v>
      </c>
      <c r="H13576" s="0" t="n">
        <v>6</v>
      </c>
      <c r="I13576" s="0" t="s">
        <v>45088</v>
      </c>
      <c r="J13576" s="0" t="s">
        <v>45089</v>
      </c>
      <c r="K13576" s="0" t="s">
        <v>45090</v>
      </c>
      <c r="L13576" s="0" t="str">
        <f aca="false">HYPERLINK("https://www.ncbi.nlm.nih.gov/nuccore/CP000058.1?report=graph&amp;tracks=[key:gene_model_track,Options:GeneOnly]&amp;mk=4232693:4232712|offset_6|00cc00,4232670:4232689|offset_29|444444,4232641:4232660|offset_58|444444,4232619:4232638|offset_80|444444&amp;v=4232492:4232838&amp;c=444444", "offset 6")</f>
        <v>offset 6</v>
      </c>
    </row>
    <row r="13577" customFormat="false" ht="12.8" hidden="false" customHeight="false" outlineLevel="0" collapsed="false">
      <c r="A13577" s="0" t="s">
        <v>12</v>
      </c>
      <c r="B13577" s="0" t="n">
        <v>4232669</v>
      </c>
      <c r="C13577" s="0" t="n">
        <v>4232689</v>
      </c>
      <c r="D13577" s="0" t="s">
        <v>45087</v>
      </c>
      <c r="E13577" s="0" t="s">
        <v>75</v>
      </c>
      <c r="F13577" s="0" t="s">
        <v>90</v>
      </c>
      <c r="G13577" s="0" t="s">
        <v>20</v>
      </c>
      <c r="H13577" s="0" t="n">
        <v>29</v>
      </c>
      <c r="I13577" s="0" t="s">
        <v>45091</v>
      </c>
      <c r="J13577" s="0" t="s">
        <v>45092</v>
      </c>
      <c r="K13577" s="0" t="s">
        <v>45093</v>
      </c>
      <c r="L13577" s="0" t="str">
        <f aca="false">HYPERLINK("https://www.ncbi.nlm.nih.gov/nuccore/CP000058.1?report=graph&amp;tracks=[key:gene_model_track,Options:GeneOnly]&amp;mk=4232693:4232712|offset_6|444444,4232670:4232689|offset_29|00cc00,4232641:4232660|offset_58|444444,4232619:4232638|offset_80|444444&amp;v=4232492:4232838&amp;c=444444", "offset 29")</f>
        <v>offset 29</v>
      </c>
    </row>
    <row r="13578" customFormat="false" ht="12.8" hidden="false" customHeight="false" outlineLevel="0" collapsed="false">
      <c r="A13578" s="0" t="s">
        <v>12</v>
      </c>
      <c r="B13578" s="0" t="n">
        <v>4232640</v>
      </c>
      <c r="C13578" s="0" t="n">
        <v>4232660</v>
      </c>
      <c r="D13578" s="0" t="s">
        <v>45087</v>
      </c>
      <c r="E13578" s="0" t="s">
        <v>75</v>
      </c>
      <c r="F13578" s="0" t="s">
        <v>90</v>
      </c>
      <c r="G13578" s="0" t="s">
        <v>20</v>
      </c>
      <c r="H13578" s="0" t="n">
        <v>58</v>
      </c>
      <c r="I13578" s="0" t="s">
        <v>45094</v>
      </c>
      <c r="J13578" s="0" t="s">
        <v>45095</v>
      </c>
      <c r="K13578" s="0" t="s">
        <v>45096</v>
      </c>
      <c r="L13578" s="0" t="str">
        <f aca="false">HYPERLINK("https://www.ncbi.nlm.nih.gov/nuccore/CP000058.1?report=graph&amp;tracks=[key:gene_model_track,Options:GeneOnly]&amp;mk=4232693:4232712|offset_6|444444,4232670:4232689|offset_29|444444,4232641:4232660|offset_58|00cc00,4232619:4232638|offset_80|444444&amp;v=4232492:4232838&amp;c=444444", "offset 58")</f>
        <v>offset 58</v>
      </c>
    </row>
    <row r="13579" customFormat="false" ht="12.8" hidden="false" customHeight="false" outlineLevel="0" collapsed="false">
      <c r="A13579" s="0" t="s">
        <v>12</v>
      </c>
      <c r="B13579" s="0" t="n">
        <v>4232618</v>
      </c>
      <c r="C13579" s="0" t="n">
        <v>4232638</v>
      </c>
      <c r="D13579" s="0" t="s">
        <v>45087</v>
      </c>
      <c r="E13579" s="0" t="s">
        <v>75</v>
      </c>
      <c r="F13579" s="0" t="s">
        <v>90</v>
      </c>
      <c r="G13579" s="0" t="s">
        <v>16</v>
      </c>
      <c r="H13579" s="0" t="n">
        <v>80</v>
      </c>
      <c r="I13579" s="0" t="s">
        <v>45097</v>
      </c>
      <c r="J13579" s="0" t="s">
        <v>45098</v>
      </c>
      <c r="K13579" s="0" t="s">
        <v>45099</v>
      </c>
      <c r="L13579" s="0" t="str">
        <f aca="false">HYPERLINK("https://www.ncbi.nlm.nih.gov/nuccore/CP000058.1?report=graph&amp;tracks=[key:gene_model_track,Options:GeneOnly]&amp;mk=4232693:4232712|offset_6|444444,4232670:4232689|offset_29|444444,4232641:4232660|offset_58|444444,4232619:4232638|offset_80|00cc00&amp;v=4232492:4232838&amp;c=444444", "offset 80")</f>
        <v>offset 80</v>
      </c>
    </row>
    <row r="13580" customFormat="false" ht="12.8" hidden="false" customHeight="false" outlineLevel="0" collapsed="false">
      <c r="A13580" s="0" t="s">
        <v>12</v>
      </c>
      <c r="B13580" s="0" t="n">
        <v>4233028</v>
      </c>
      <c r="C13580" s="0" t="n">
        <v>4233048</v>
      </c>
      <c r="D13580" s="0" t="s">
        <v>45100</v>
      </c>
      <c r="E13580" s="0" t="s">
        <v>75</v>
      </c>
      <c r="F13580" s="0" t="s">
        <v>15</v>
      </c>
      <c r="G13580" s="0" t="s">
        <v>32</v>
      </c>
      <c r="H13580" s="0" t="n">
        <v>85</v>
      </c>
      <c r="I13580" s="0" t="s">
        <v>45101</v>
      </c>
      <c r="J13580" s="0" t="s">
        <v>45102</v>
      </c>
      <c r="K13580" s="0" t="s">
        <v>45103</v>
      </c>
      <c r="L13580" s="0" t="str">
        <f aca="false">HYPERLINK("https://www.ncbi.nlm.nih.gov/nuccore/CP000058.1?report=graph&amp;tracks=[key:gene_model_track,Options:GeneOnly]&amp;mk=4233029:4233048|offset_85|00cc00,4233072:4233091|offset_128|444444,4233112:4233131|offset_168|444444,4233134:4233153|offset_190|444444&amp;v=4232828:4233353&amp;c=444444", "offset 85")</f>
        <v>offset 85</v>
      </c>
    </row>
    <row r="13581" customFormat="false" ht="12.8" hidden="false" customHeight="false" outlineLevel="0" collapsed="false">
      <c r="A13581" s="0" t="s">
        <v>12</v>
      </c>
      <c r="B13581" s="0" t="n">
        <v>4233071</v>
      </c>
      <c r="C13581" s="0" t="n">
        <v>4233091</v>
      </c>
      <c r="D13581" s="0" t="s">
        <v>45100</v>
      </c>
      <c r="E13581" s="0" t="s">
        <v>75</v>
      </c>
      <c r="F13581" s="0" t="s">
        <v>15</v>
      </c>
      <c r="G13581" s="0" t="s">
        <v>20</v>
      </c>
      <c r="H13581" s="0" t="n">
        <v>128</v>
      </c>
      <c r="I13581" s="0" t="s">
        <v>45104</v>
      </c>
      <c r="J13581" s="0" t="s">
        <v>45105</v>
      </c>
      <c r="K13581" s="0" t="s">
        <v>45106</v>
      </c>
      <c r="L13581" s="0" t="str">
        <f aca="false">HYPERLINK("https://www.ncbi.nlm.nih.gov/nuccore/CP000058.1?report=graph&amp;tracks=[key:gene_model_track,Options:GeneOnly]&amp;mk=4233029:4233048|offset_85|444444,4233072:4233091|offset_128|00cc00,4233112:4233131|offset_168|444444,4233134:4233153|offset_190|444444&amp;v=4232828:4233353&amp;c=444444", "offset 128")</f>
        <v>offset 128</v>
      </c>
    </row>
    <row r="13582" customFormat="false" ht="12.8" hidden="false" customHeight="false" outlineLevel="0" collapsed="false">
      <c r="A13582" s="0" t="s">
        <v>12</v>
      </c>
      <c r="B13582" s="0" t="n">
        <v>4233111</v>
      </c>
      <c r="C13582" s="0" t="n">
        <v>4233131</v>
      </c>
      <c r="D13582" s="0" t="s">
        <v>45100</v>
      </c>
      <c r="E13582" s="0" t="s">
        <v>75</v>
      </c>
      <c r="F13582" s="0" t="s">
        <v>15</v>
      </c>
      <c r="G13582" s="0" t="s">
        <v>20</v>
      </c>
      <c r="H13582" s="0" t="n">
        <v>168</v>
      </c>
      <c r="I13582" s="0" t="s">
        <v>45107</v>
      </c>
      <c r="J13582" s="0" t="s">
        <v>45108</v>
      </c>
      <c r="K13582" s="0" t="s">
        <v>45109</v>
      </c>
      <c r="L13582" s="0" t="str">
        <f aca="false">HYPERLINK("https://www.ncbi.nlm.nih.gov/nuccore/CP000058.1?report=graph&amp;tracks=[key:gene_model_track,Options:GeneOnly]&amp;mk=4233029:4233048|offset_85|444444,4233072:4233091|offset_128|444444,4233112:4233131|offset_168|00cc00,4233134:4233153|offset_190|444444&amp;v=4232828:4233353&amp;c=444444", "offset 168")</f>
        <v>offset 168</v>
      </c>
    </row>
    <row r="13583" customFormat="false" ht="12.8" hidden="false" customHeight="false" outlineLevel="0" collapsed="false">
      <c r="A13583" s="0" t="s">
        <v>12</v>
      </c>
      <c r="B13583" s="0" t="n">
        <v>4233133</v>
      </c>
      <c r="C13583" s="0" t="n">
        <v>4233153</v>
      </c>
      <c r="D13583" s="0" t="s">
        <v>45100</v>
      </c>
      <c r="E13583" s="0" t="s">
        <v>75</v>
      </c>
      <c r="F13583" s="0" t="s">
        <v>15</v>
      </c>
      <c r="G13583" s="0" t="s">
        <v>32</v>
      </c>
      <c r="H13583" s="0" t="n">
        <v>190</v>
      </c>
      <c r="I13583" s="0" t="s">
        <v>45110</v>
      </c>
      <c r="J13583" s="0" t="s">
        <v>45111</v>
      </c>
      <c r="K13583" s="0" t="s">
        <v>45112</v>
      </c>
      <c r="L13583" s="0" t="str">
        <f aca="false">HYPERLINK("https://www.ncbi.nlm.nih.gov/nuccore/CP000058.1?report=graph&amp;tracks=[key:gene_model_track,Options:GeneOnly]&amp;mk=4233029:4233048|offset_85|444444,4233072:4233091|offset_128|444444,4233112:4233131|offset_168|444444,4233134:4233153|offset_190|00cc00&amp;v=4232828:4233353&amp;c=444444", "offset 190")</f>
        <v>offset 190</v>
      </c>
    </row>
    <row r="13584" customFormat="false" ht="12.8" hidden="false" customHeight="false" outlineLevel="0" collapsed="false">
      <c r="A13584" s="0" t="s">
        <v>12</v>
      </c>
      <c r="B13584" s="0" t="n">
        <v>4235081</v>
      </c>
      <c r="C13584" s="0" t="n">
        <v>4235101</v>
      </c>
      <c r="D13584" s="0" t="s">
        <v>45113</v>
      </c>
      <c r="E13584" s="0" t="s">
        <v>75</v>
      </c>
      <c r="F13584" s="0" t="s">
        <v>90</v>
      </c>
      <c r="G13584" s="0" t="s">
        <v>20</v>
      </c>
      <c r="H13584" s="0" t="n">
        <v>23</v>
      </c>
      <c r="I13584" s="0" t="s">
        <v>45114</v>
      </c>
      <c r="J13584" s="0" t="s">
        <v>45115</v>
      </c>
      <c r="K13584" s="0" t="s">
        <v>45116</v>
      </c>
      <c r="L13584" s="0" t="str">
        <f aca="false">HYPERLINK("https://www.ncbi.nlm.nih.gov/nuccore/CP000058.1?report=graph&amp;tracks=[key:gene_model_track,Options:GeneOnly]&amp;mk=4235082:4235101|offset_23|00cc00,4235051:4235070|offset_54|444444,4234999:4235018|offset_106|444444,4234974:4234993|offset_131|444444&amp;v=4234881:4235193&amp;c=444444", "offset 23")</f>
        <v>offset 23</v>
      </c>
    </row>
    <row r="13585" customFormat="false" ht="12.8" hidden="false" customHeight="false" outlineLevel="0" collapsed="false">
      <c r="A13585" s="0" t="s">
        <v>12</v>
      </c>
      <c r="B13585" s="0" t="n">
        <v>4235050</v>
      </c>
      <c r="C13585" s="0" t="n">
        <v>4235070</v>
      </c>
      <c r="D13585" s="0" t="s">
        <v>45113</v>
      </c>
      <c r="E13585" s="0" t="s">
        <v>75</v>
      </c>
      <c r="F13585" s="0" t="s">
        <v>90</v>
      </c>
      <c r="G13585" s="0" t="s">
        <v>36</v>
      </c>
      <c r="H13585" s="0" t="n">
        <v>54</v>
      </c>
      <c r="I13585" s="0" t="s">
        <v>45117</v>
      </c>
      <c r="J13585" s="0" t="s">
        <v>45118</v>
      </c>
      <c r="K13585" s="0" t="s">
        <v>45119</v>
      </c>
      <c r="L13585" s="0" t="str">
        <f aca="false">HYPERLINK("https://www.ncbi.nlm.nih.gov/nuccore/CP000058.1?report=graph&amp;tracks=[key:gene_model_track,Options:GeneOnly]&amp;mk=4235082:4235101|offset_23|444444,4235051:4235070|offset_54|00cc00,4234999:4235018|offset_106|444444,4234974:4234993|offset_131|444444&amp;v=4234881:4235193&amp;c=444444", "offset 54")</f>
        <v>offset 54</v>
      </c>
    </row>
    <row r="13586" customFormat="false" ht="12.8" hidden="false" customHeight="false" outlineLevel="0" collapsed="false">
      <c r="A13586" s="0" t="s">
        <v>12</v>
      </c>
      <c r="B13586" s="0" t="n">
        <v>4234998</v>
      </c>
      <c r="C13586" s="0" t="n">
        <v>4235018</v>
      </c>
      <c r="D13586" s="0" t="s">
        <v>45113</v>
      </c>
      <c r="E13586" s="0" t="s">
        <v>75</v>
      </c>
      <c r="F13586" s="0" t="s">
        <v>90</v>
      </c>
      <c r="G13586" s="0" t="s">
        <v>16</v>
      </c>
      <c r="H13586" s="0" t="n">
        <v>106</v>
      </c>
      <c r="I13586" s="0" t="s">
        <v>45120</v>
      </c>
      <c r="J13586" s="0" t="s">
        <v>45121</v>
      </c>
      <c r="K13586" s="0" t="s">
        <v>45122</v>
      </c>
      <c r="L13586" s="0" t="str">
        <f aca="false">HYPERLINK("https://www.ncbi.nlm.nih.gov/nuccore/CP000058.1?report=graph&amp;tracks=[key:gene_model_track,Options:GeneOnly]&amp;mk=4235082:4235101|offset_23|444444,4235051:4235070|offset_54|444444,4234999:4235018|offset_106|00cc00,4234974:4234993|offset_131|444444&amp;v=4234881:4235193&amp;c=444444", "offset 106")</f>
        <v>offset 106</v>
      </c>
    </row>
    <row r="13587" customFormat="false" ht="12.8" hidden="false" customHeight="false" outlineLevel="0" collapsed="false">
      <c r="A13587" s="0" t="s">
        <v>12</v>
      </c>
      <c r="B13587" s="0" t="n">
        <v>4234973</v>
      </c>
      <c r="C13587" s="0" t="n">
        <v>4234993</v>
      </c>
      <c r="D13587" s="0" t="s">
        <v>45113</v>
      </c>
      <c r="E13587" s="0" t="s">
        <v>75</v>
      </c>
      <c r="F13587" s="0" t="s">
        <v>90</v>
      </c>
      <c r="G13587" s="0" t="s">
        <v>20</v>
      </c>
      <c r="H13587" s="0" t="n">
        <v>131</v>
      </c>
      <c r="I13587" s="0" t="s">
        <v>45123</v>
      </c>
      <c r="J13587" s="0" t="s">
        <v>45124</v>
      </c>
      <c r="K13587" s="0" t="s">
        <v>45125</v>
      </c>
      <c r="L13587" s="0" t="str">
        <f aca="false">HYPERLINK("https://www.ncbi.nlm.nih.gov/nuccore/CP000058.1?report=graph&amp;tracks=[key:gene_model_track,Options:GeneOnly]&amp;mk=4235082:4235101|offset_23|444444,4235051:4235070|offset_54|444444,4234999:4235018|offset_106|444444,4234974:4234993|offset_131|00cc00&amp;v=4234881:4235193&amp;c=444444", "offset 131")</f>
        <v>offset 131</v>
      </c>
    </row>
    <row r="13588" customFormat="false" ht="12.8" hidden="false" customHeight="false" outlineLevel="0" collapsed="false">
      <c r="A13588" s="0" t="s">
        <v>12</v>
      </c>
      <c r="B13588" s="0" t="n">
        <v>4235616</v>
      </c>
      <c r="C13588" s="0" t="n">
        <v>4235636</v>
      </c>
      <c r="D13588" s="0" t="s">
        <v>45126</v>
      </c>
      <c r="E13588" s="0" t="s">
        <v>75</v>
      </c>
      <c r="F13588" s="0" t="s">
        <v>15</v>
      </c>
      <c r="G13588" s="0" t="s">
        <v>32</v>
      </c>
      <c r="H13588" s="0" t="n">
        <v>60</v>
      </c>
      <c r="I13588" s="0" t="s">
        <v>45127</v>
      </c>
      <c r="J13588" s="0" t="s">
        <v>45128</v>
      </c>
      <c r="K13588" s="0" t="s">
        <v>45129</v>
      </c>
      <c r="L13588" s="0" t="str">
        <f aca="false">HYPERLINK("https://www.ncbi.nlm.nih.gov/nuccore/CP000058.1?report=graph&amp;tracks=[key:gene_model_track,Options:GeneOnly]&amp;mk=4235617:4235636|offset_60|00cc00,4235637:4235656|offset_80|444444,4235657:4235676|offset_100|444444,4235705:4235724|offset_148|444444&amp;v=4235416:4235924&amp;c=444444", "offset 60")</f>
        <v>offset 60</v>
      </c>
    </row>
    <row r="13589" customFormat="false" ht="12.8" hidden="false" customHeight="false" outlineLevel="0" collapsed="false">
      <c r="A13589" s="0" t="s">
        <v>12</v>
      </c>
      <c r="B13589" s="0" t="n">
        <v>4235636</v>
      </c>
      <c r="C13589" s="0" t="n">
        <v>4235656</v>
      </c>
      <c r="D13589" s="0" t="s">
        <v>45126</v>
      </c>
      <c r="E13589" s="0" t="s">
        <v>75</v>
      </c>
      <c r="F13589" s="0" t="s">
        <v>15</v>
      </c>
      <c r="G13589" s="0" t="s">
        <v>16</v>
      </c>
      <c r="H13589" s="0" t="n">
        <v>80</v>
      </c>
      <c r="I13589" s="0" t="s">
        <v>45130</v>
      </c>
      <c r="J13589" s="0" t="s">
        <v>45131</v>
      </c>
      <c r="K13589" s="0" t="s">
        <v>45132</v>
      </c>
      <c r="L13589" s="0" t="str">
        <f aca="false">HYPERLINK("https://www.ncbi.nlm.nih.gov/nuccore/CP000058.1?report=graph&amp;tracks=[key:gene_model_track,Options:GeneOnly]&amp;mk=4235617:4235636|offset_60|444444,4235637:4235656|offset_80|00cc00,4235657:4235676|offset_100|444444,4235705:4235724|offset_148|444444&amp;v=4235416:4235924&amp;c=444444", "offset 80")</f>
        <v>offset 80</v>
      </c>
    </row>
    <row r="13590" customFormat="false" ht="12.8" hidden="false" customHeight="false" outlineLevel="0" collapsed="false">
      <c r="A13590" s="0" t="s">
        <v>12</v>
      </c>
      <c r="B13590" s="0" t="n">
        <v>4235656</v>
      </c>
      <c r="C13590" s="0" t="n">
        <v>4235676</v>
      </c>
      <c r="D13590" s="0" t="s">
        <v>45126</v>
      </c>
      <c r="E13590" s="0" t="s">
        <v>75</v>
      </c>
      <c r="F13590" s="0" t="s">
        <v>15</v>
      </c>
      <c r="G13590" s="0" t="s">
        <v>32</v>
      </c>
      <c r="H13590" s="0" t="n">
        <v>100</v>
      </c>
      <c r="I13590" s="0" t="s">
        <v>45133</v>
      </c>
      <c r="J13590" s="0" t="s">
        <v>45134</v>
      </c>
      <c r="K13590" s="0" t="s">
        <v>45135</v>
      </c>
      <c r="L13590" s="0" t="str">
        <f aca="false">HYPERLINK("https://www.ncbi.nlm.nih.gov/nuccore/CP000058.1?report=graph&amp;tracks=[key:gene_model_track,Options:GeneOnly]&amp;mk=4235617:4235636|offset_60|444444,4235637:4235656|offset_80|444444,4235657:4235676|offset_100|00cc00,4235705:4235724|offset_148|444444&amp;v=4235416:4235924&amp;c=444444", "offset 100")</f>
        <v>offset 100</v>
      </c>
    </row>
    <row r="13591" customFormat="false" ht="12.8" hidden="false" customHeight="false" outlineLevel="0" collapsed="false">
      <c r="A13591" s="0" t="s">
        <v>12</v>
      </c>
      <c r="B13591" s="0" t="n">
        <v>4235704</v>
      </c>
      <c r="C13591" s="0" t="n">
        <v>4235724</v>
      </c>
      <c r="D13591" s="0" t="s">
        <v>45126</v>
      </c>
      <c r="E13591" s="0" t="s">
        <v>75</v>
      </c>
      <c r="F13591" s="0" t="s">
        <v>15</v>
      </c>
      <c r="G13591" s="0" t="s">
        <v>32</v>
      </c>
      <c r="H13591" s="0" t="n">
        <v>148</v>
      </c>
      <c r="I13591" s="0" t="s">
        <v>45136</v>
      </c>
      <c r="J13591" s="0" t="s">
        <v>45137</v>
      </c>
      <c r="K13591" s="0" t="s">
        <v>45138</v>
      </c>
      <c r="L13591" s="0" t="str">
        <f aca="false">HYPERLINK("https://www.ncbi.nlm.nih.gov/nuccore/CP000058.1?report=graph&amp;tracks=[key:gene_model_track,Options:GeneOnly]&amp;mk=4235617:4235636|offset_60|444444,4235637:4235656|offset_80|444444,4235657:4235676|offset_100|444444,4235705:4235724|offset_148|00cc00&amp;v=4235416:4235924&amp;c=444444", "offset 148")</f>
        <v>offset 148</v>
      </c>
    </row>
    <row r="13592" customFormat="false" ht="12.8" hidden="false" customHeight="false" outlineLevel="0" collapsed="false">
      <c r="A13592" s="0" t="s">
        <v>12</v>
      </c>
      <c r="B13592" s="0" t="n">
        <v>4236478</v>
      </c>
      <c r="C13592" s="0" t="n">
        <v>4236498</v>
      </c>
      <c r="D13592" s="0" t="s">
        <v>45139</v>
      </c>
      <c r="E13592" s="0" t="s">
        <v>75</v>
      </c>
      <c r="F13592" s="0" t="s">
        <v>15</v>
      </c>
      <c r="G13592" s="0" t="s">
        <v>36</v>
      </c>
      <c r="H13592" s="0" t="n">
        <v>19</v>
      </c>
      <c r="I13592" s="0" t="s">
        <v>45140</v>
      </c>
      <c r="J13592" s="0" t="s">
        <v>45141</v>
      </c>
      <c r="K13592" s="0" t="s">
        <v>45142</v>
      </c>
      <c r="L13592" s="0" t="str">
        <f aca="false">HYPERLINK("https://www.ncbi.nlm.nih.gov/nuccore/CP000058.1?report=graph&amp;tracks=[key:gene_model_track,Options:GeneOnly]&amp;mk=4236479:4236498|offset_19|00cc00,4236519:4236538|offset_59|444444,4236539:4236558|offset_79|444444,4236560:4236579|offset_100|444444&amp;v=4236278:4236779&amp;c=444444", "offset 19")</f>
        <v>offset 19</v>
      </c>
    </row>
    <row r="13593" customFormat="false" ht="12.8" hidden="false" customHeight="false" outlineLevel="0" collapsed="false">
      <c r="A13593" s="0" t="s">
        <v>12</v>
      </c>
      <c r="B13593" s="0" t="n">
        <v>4236518</v>
      </c>
      <c r="C13593" s="0" t="n">
        <v>4236538</v>
      </c>
      <c r="D13593" s="0" t="s">
        <v>45139</v>
      </c>
      <c r="E13593" s="0" t="s">
        <v>75</v>
      </c>
      <c r="F13593" s="0" t="s">
        <v>15</v>
      </c>
      <c r="G13593" s="0" t="s">
        <v>16</v>
      </c>
      <c r="H13593" s="0" t="n">
        <v>59</v>
      </c>
      <c r="I13593" s="0" t="s">
        <v>45143</v>
      </c>
      <c r="J13593" s="0" t="s">
        <v>45144</v>
      </c>
      <c r="K13593" s="0" t="s">
        <v>45145</v>
      </c>
      <c r="L13593" s="0" t="str">
        <f aca="false">HYPERLINK("https://www.ncbi.nlm.nih.gov/nuccore/CP000058.1?report=graph&amp;tracks=[key:gene_model_track,Options:GeneOnly]&amp;mk=4236479:4236498|offset_19|444444,4236519:4236538|offset_59|00cc00,4236539:4236558|offset_79|444444,4236560:4236579|offset_100|444444&amp;v=4236278:4236779&amp;c=444444", "offset 59")</f>
        <v>offset 59</v>
      </c>
    </row>
    <row r="13594" customFormat="false" ht="12.8" hidden="false" customHeight="false" outlineLevel="0" collapsed="false">
      <c r="A13594" s="0" t="s">
        <v>12</v>
      </c>
      <c r="B13594" s="0" t="n">
        <v>4236538</v>
      </c>
      <c r="C13594" s="0" t="n">
        <v>4236558</v>
      </c>
      <c r="D13594" s="0" t="s">
        <v>45139</v>
      </c>
      <c r="E13594" s="0" t="s">
        <v>75</v>
      </c>
      <c r="F13594" s="0" t="s">
        <v>15</v>
      </c>
      <c r="G13594" s="0" t="s">
        <v>20</v>
      </c>
      <c r="H13594" s="0" t="n">
        <v>79</v>
      </c>
      <c r="I13594" s="0" t="s">
        <v>45146</v>
      </c>
      <c r="J13594" s="0" t="s">
        <v>45147</v>
      </c>
      <c r="K13594" s="0" t="s">
        <v>45148</v>
      </c>
      <c r="L13594" s="0" t="str">
        <f aca="false">HYPERLINK("https://www.ncbi.nlm.nih.gov/nuccore/CP000058.1?report=graph&amp;tracks=[key:gene_model_track,Options:GeneOnly]&amp;mk=4236479:4236498|offset_19|444444,4236519:4236538|offset_59|444444,4236539:4236558|offset_79|00cc00,4236560:4236579|offset_100|444444&amp;v=4236278:4236779&amp;c=444444", "offset 79")</f>
        <v>offset 79</v>
      </c>
    </row>
    <row r="13595" customFormat="false" ht="12.8" hidden="false" customHeight="false" outlineLevel="0" collapsed="false">
      <c r="A13595" s="0" t="s">
        <v>12</v>
      </c>
      <c r="B13595" s="0" t="n">
        <v>4236559</v>
      </c>
      <c r="C13595" s="0" t="n">
        <v>4236579</v>
      </c>
      <c r="D13595" s="0" t="s">
        <v>45139</v>
      </c>
      <c r="E13595" s="0" t="s">
        <v>75</v>
      </c>
      <c r="F13595" s="0" t="s">
        <v>15</v>
      </c>
      <c r="G13595" s="0" t="s">
        <v>36</v>
      </c>
      <c r="H13595" s="0" t="n">
        <v>100</v>
      </c>
      <c r="I13595" s="0" t="s">
        <v>45149</v>
      </c>
      <c r="J13595" s="0" t="s">
        <v>45150</v>
      </c>
      <c r="K13595" s="0" t="s">
        <v>45151</v>
      </c>
      <c r="L13595" s="0" t="str">
        <f aca="false">HYPERLINK("https://www.ncbi.nlm.nih.gov/nuccore/CP000058.1?report=graph&amp;tracks=[key:gene_model_track,Options:GeneOnly]&amp;mk=4236479:4236498|offset_19|444444,4236519:4236538|offset_59|444444,4236539:4236558|offset_79|444444,4236560:4236579|offset_100|00cc00&amp;v=4236278:4236779&amp;c=444444", "offset 100")</f>
        <v>offset 100</v>
      </c>
    </row>
    <row r="13596" customFormat="false" ht="12.8" hidden="false" customHeight="false" outlineLevel="0" collapsed="false">
      <c r="A13596" s="0" t="s">
        <v>12</v>
      </c>
      <c r="B13596" s="0" t="n">
        <v>4237033</v>
      </c>
      <c r="C13596" s="0" t="n">
        <v>4237053</v>
      </c>
      <c r="D13596" s="0" t="s">
        <v>45152</v>
      </c>
      <c r="E13596" s="0" t="s">
        <v>75</v>
      </c>
      <c r="F13596" s="0" t="s">
        <v>15</v>
      </c>
      <c r="G13596" s="0" t="s">
        <v>16</v>
      </c>
      <c r="H13596" s="0" t="n">
        <v>29</v>
      </c>
      <c r="I13596" s="0" t="s">
        <v>45153</v>
      </c>
      <c r="J13596" s="0" t="s">
        <v>45154</v>
      </c>
      <c r="K13596" s="0" t="s">
        <v>45155</v>
      </c>
      <c r="L13596" s="0" t="str">
        <f aca="false">HYPERLINK("https://www.ncbi.nlm.nih.gov/nuccore/CP000058.1?report=graph&amp;tracks=[key:gene_model_track,Options:GeneOnly]&amp;mk=4237034:4237053|offset_29|00cc00,4237054:4237073|offset_49|444444,4237087:4237106|offset_82|444444,4237147:4237166|offset_142|444444&amp;v=4236833:4237366&amp;c=444444", "offset 29")</f>
        <v>offset 29</v>
      </c>
    </row>
    <row r="13597" customFormat="false" ht="12.8" hidden="false" customHeight="false" outlineLevel="0" collapsed="false">
      <c r="A13597" s="0" t="s">
        <v>12</v>
      </c>
      <c r="B13597" s="0" t="n">
        <v>4237053</v>
      </c>
      <c r="C13597" s="0" t="n">
        <v>4237073</v>
      </c>
      <c r="D13597" s="0" t="s">
        <v>45152</v>
      </c>
      <c r="E13597" s="0" t="s">
        <v>75</v>
      </c>
      <c r="F13597" s="0" t="s">
        <v>15</v>
      </c>
      <c r="G13597" s="0" t="s">
        <v>36</v>
      </c>
      <c r="H13597" s="0" t="n">
        <v>49</v>
      </c>
      <c r="I13597" s="0" t="s">
        <v>45156</v>
      </c>
      <c r="J13597" s="0" t="s">
        <v>45157</v>
      </c>
      <c r="K13597" s="0" t="s">
        <v>45158</v>
      </c>
      <c r="L13597" s="0" t="str">
        <f aca="false">HYPERLINK("https://www.ncbi.nlm.nih.gov/nuccore/CP000058.1?report=graph&amp;tracks=[key:gene_model_track,Options:GeneOnly]&amp;mk=4237034:4237053|offset_29|444444,4237054:4237073|offset_49|00cc00,4237087:4237106|offset_82|444444,4237147:4237166|offset_142|444444&amp;v=4236833:4237366&amp;c=444444", "offset 49")</f>
        <v>offset 49</v>
      </c>
    </row>
    <row r="13598" customFormat="false" ht="12.8" hidden="false" customHeight="false" outlineLevel="0" collapsed="false">
      <c r="A13598" s="0" t="s">
        <v>12</v>
      </c>
      <c r="B13598" s="0" t="n">
        <v>4237086</v>
      </c>
      <c r="C13598" s="0" t="n">
        <v>4237106</v>
      </c>
      <c r="D13598" s="0" t="s">
        <v>45152</v>
      </c>
      <c r="E13598" s="0" t="s">
        <v>75</v>
      </c>
      <c r="F13598" s="0" t="s">
        <v>15</v>
      </c>
      <c r="G13598" s="0" t="s">
        <v>16</v>
      </c>
      <c r="H13598" s="0" t="n">
        <v>82</v>
      </c>
      <c r="I13598" s="0" t="s">
        <v>45159</v>
      </c>
      <c r="J13598" s="0" t="s">
        <v>45160</v>
      </c>
      <c r="K13598" s="0" t="s">
        <v>45161</v>
      </c>
      <c r="L13598" s="0" t="str">
        <f aca="false">HYPERLINK("https://www.ncbi.nlm.nih.gov/nuccore/CP000058.1?report=graph&amp;tracks=[key:gene_model_track,Options:GeneOnly]&amp;mk=4237034:4237053|offset_29|444444,4237054:4237073|offset_49|444444,4237087:4237106|offset_82|00cc00,4237147:4237166|offset_142|444444&amp;v=4236833:4237366&amp;c=444444", "offset 82")</f>
        <v>offset 82</v>
      </c>
    </row>
    <row r="13599" customFormat="false" ht="12.8" hidden="false" customHeight="false" outlineLevel="0" collapsed="false">
      <c r="A13599" s="0" t="s">
        <v>12</v>
      </c>
      <c r="B13599" s="0" t="n">
        <v>4237146</v>
      </c>
      <c r="C13599" s="0" t="n">
        <v>4237166</v>
      </c>
      <c r="D13599" s="0" t="s">
        <v>45152</v>
      </c>
      <c r="E13599" s="0" t="s">
        <v>75</v>
      </c>
      <c r="F13599" s="0" t="s">
        <v>15</v>
      </c>
      <c r="G13599" s="0" t="s">
        <v>20</v>
      </c>
      <c r="H13599" s="0" t="n">
        <v>142</v>
      </c>
      <c r="I13599" s="0" t="s">
        <v>45162</v>
      </c>
      <c r="J13599" s="0" t="s">
        <v>45163</v>
      </c>
      <c r="K13599" s="0" t="s">
        <v>45164</v>
      </c>
      <c r="L13599" s="0" t="str">
        <f aca="false">HYPERLINK("https://www.ncbi.nlm.nih.gov/nuccore/CP000058.1?report=graph&amp;tracks=[key:gene_model_track,Options:GeneOnly]&amp;mk=4237034:4237053|offset_29|444444,4237054:4237073|offset_49|444444,4237087:4237106|offset_82|444444,4237147:4237166|offset_142|00cc00&amp;v=4236833:4237366&amp;c=444444", "offset 142")</f>
        <v>offset 142</v>
      </c>
    </row>
    <row r="13600" customFormat="false" ht="12.8" hidden="false" customHeight="false" outlineLevel="0" collapsed="false">
      <c r="A13600" s="0" t="s">
        <v>12</v>
      </c>
      <c r="B13600" s="0" t="n">
        <v>4239069</v>
      </c>
      <c r="C13600" s="0" t="n">
        <v>4239089</v>
      </c>
      <c r="D13600" s="0" t="s">
        <v>45165</v>
      </c>
      <c r="E13600" s="0" t="s">
        <v>75</v>
      </c>
      <c r="F13600" s="0" t="s">
        <v>90</v>
      </c>
      <c r="G13600" s="0" t="s">
        <v>20</v>
      </c>
      <c r="H13600" s="0" t="n">
        <v>27</v>
      </c>
      <c r="I13600" s="0" t="s">
        <v>45166</v>
      </c>
      <c r="J13600" s="0" t="s">
        <v>45167</v>
      </c>
      <c r="K13600" s="0" t="s">
        <v>45168</v>
      </c>
      <c r="L13600" s="0" t="str">
        <f aca="false">HYPERLINK("https://www.ncbi.nlm.nih.gov/nuccore/CP000058.1?report=graph&amp;tracks=[key:gene_model_track,Options:GeneOnly]&amp;mk=4239070:4239089|offset_27|00cc00,4239030:4239049|offset_67|444444,4238998:4239017|offset_99|444444,4238969:4238988|offset_128|444444&amp;v=4238869:4239188&amp;c=444444", "offset 27")</f>
        <v>offset 27</v>
      </c>
    </row>
    <row r="13601" customFormat="false" ht="12.8" hidden="false" customHeight="false" outlineLevel="0" collapsed="false">
      <c r="A13601" s="0" t="s">
        <v>12</v>
      </c>
      <c r="B13601" s="0" t="n">
        <v>4239029</v>
      </c>
      <c r="C13601" s="0" t="n">
        <v>4239049</v>
      </c>
      <c r="D13601" s="0" t="s">
        <v>45165</v>
      </c>
      <c r="E13601" s="0" t="s">
        <v>75</v>
      </c>
      <c r="F13601" s="0" t="s">
        <v>90</v>
      </c>
      <c r="G13601" s="0" t="s">
        <v>16</v>
      </c>
      <c r="H13601" s="0" t="n">
        <v>67</v>
      </c>
      <c r="I13601" s="0" t="s">
        <v>45169</v>
      </c>
      <c r="J13601" s="0" t="s">
        <v>45170</v>
      </c>
      <c r="K13601" s="0" t="s">
        <v>45171</v>
      </c>
      <c r="L13601" s="0" t="str">
        <f aca="false">HYPERLINK("https://www.ncbi.nlm.nih.gov/nuccore/CP000058.1?report=graph&amp;tracks=[key:gene_model_track,Options:GeneOnly]&amp;mk=4239070:4239089|offset_27|444444,4239030:4239049|offset_67|00cc00,4238998:4239017|offset_99|444444,4238969:4238988|offset_128|444444&amp;v=4238869:4239188&amp;c=444444", "offset 67")</f>
        <v>offset 67</v>
      </c>
    </row>
    <row r="13602" customFormat="false" ht="12.8" hidden="false" customHeight="false" outlineLevel="0" collapsed="false">
      <c r="A13602" s="0" t="s">
        <v>12</v>
      </c>
      <c r="B13602" s="0" t="n">
        <v>4238997</v>
      </c>
      <c r="C13602" s="0" t="n">
        <v>4239017</v>
      </c>
      <c r="D13602" s="0" t="s">
        <v>45165</v>
      </c>
      <c r="E13602" s="0" t="s">
        <v>75</v>
      </c>
      <c r="F13602" s="0" t="s">
        <v>90</v>
      </c>
      <c r="G13602" s="0" t="s">
        <v>36</v>
      </c>
      <c r="H13602" s="0" t="n">
        <v>99</v>
      </c>
      <c r="I13602" s="0" t="s">
        <v>45172</v>
      </c>
      <c r="J13602" s="0" t="s">
        <v>45173</v>
      </c>
      <c r="K13602" s="0" t="s">
        <v>45174</v>
      </c>
      <c r="L13602" s="0" t="str">
        <f aca="false">HYPERLINK("https://www.ncbi.nlm.nih.gov/nuccore/CP000058.1?report=graph&amp;tracks=[key:gene_model_track,Options:GeneOnly]&amp;mk=4239070:4239089|offset_27|444444,4239030:4239049|offset_67|444444,4238998:4239017|offset_99|00cc00,4238969:4238988|offset_128|444444&amp;v=4238869:4239188&amp;c=444444", "offset 99")</f>
        <v>offset 99</v>
      </c>
    </row>
    <row r="13603" customFormat="false" ht="12.8" hidden="false" customHeight="false" outlineLevel="0" collapsed="false">
      <c r="A13603" s="0" t="s">
        <v>12</v>
      </c>
      <c r="B13603" s="0" t="n">
        <v>4238968</v>
      </c>
      <c r="C13603" s="0" t="n">
        <v>4238988</v>
      </c>
      <c r="D13603" s="0" t="s">
        <v>45165</v>
      </c>
      <c r="E13603" s="0" t="s">
        <v>75</v>
      </c>
      <c r="F13603" s="0" t="s">
        <v>90</v>
      </c>
      <c r="G13603" s="0" t="s">
        <v>20</v>
      </c>
      <c r="H13603" s="0" t="n">
        <v>128</v>
      </c>
      <c r="I13603" s="0" t="s">
        <v>45175</v>
      </c>
      <c r="J13603" s="0" t="s">
        <v>45176</v>
      </c>
      <c r="K13603" s="0" t="s">
        <v>45177</v>
      </c>
      <c r="L13603" s="0" t="str">
        <f aca="false">HYPERLINK("https://www.ncbi.nlm.nih.gov/nuccore/CP000058.1?report=graph&amp;tracks=[key:gene_model_track,Options:GeneOnly]&amp;mk=4239070:4239089|offset_27|444444,4239030:4239049|offset_67|444444,4238998:4239017|offset_99|444444,4238969:4238988|offset_128|00cc00&amp;v=4238869:4239188&amp;c=444444", "offset 128")</f>
        <v>offset 128</v>
      </c>
    </row>
    <row r="13604" customFormat="false" ht="12.8" hidden="false" customHeight="false" outlineLevel="0" collapsed="false">
      <c r="A13604" s="0" t="s">
        <v>12</v>
      </c>
      <c r="B13604" s="0" t="n">
        <v>4239272</v>
      </c>
      <c r="C13604" s="0" t="n">
        <v>4239292</v>
      </c>
      <c r="D13604" s="0" t="s">
        <v>45178</v>
      </c>
      <c r="E13604" s="0" t="s">
        <v>75</v>
      </c>
      <c r="F13604" s="0" t="s">
        <v>90</v>
      </c>
      <c r="G13604" s="0" t="s">
        <v>16</v>
      </c>
      <c r="H13604" s="0" t="n">
        <v>8</v>
      </c>
      <c r="I13604" s="0" t="s">
        <v>45179</v>
      </c>
      <c r="J13604" s="0" t="s">
        <v>45180</v>
      </c>
      <c r="K13604" s="0" t="s">
        <v>45181</v>
      </c>
      <c r="L13604" s="0" t="str">
        <f aca="false">HYPERLINK("https://www.ncbi.nlm.nih.gov/nuccore/CP000058.1?report=graph&amp;tracks=[key:gene_model_track,Options:GeneOnly]&amp;mk=4239273:4239292|offset_8|00cc00&amp;v=4239072:4239492&amp;c=444444", "offset 8")</f>
        <v>offset 8</v>
      </c>
    </row>
    <row r="13605" customFormat="false" ht="12.8" hidden="false" customHeight="false" outlineLevel="0" collapsed="false">
      <c r="A13605" s="0" t="s">
        <v>12</v>
      </c>
      <c r="B13605" s="0" t="n">
        <v>4240484</v>
      </c>
      <c r="C13605" s="0" t="n">
        <v>4240504</v>
      </c>
      <c r="D13605" s="0" t="s">
        <v>45182</v>
      </c>
      <c r="E13605" s="0" t="s">
        <v>75</v>
      </c>
      <c r="F13605" s="0" t="s">
        <v>90</v>
      </c>
      <c r="G13605" s="0" t="s">
        <v>32</v>
      </c>
      <c r="H13605" s="0" t="n">
        <v>1</v>
      </c>
      <c r="I13605" s="0" t="s">
        <v>45183</v>
      </c>
      <c r="J13605" s="0" t="s">
        <v>45184</v>
      </c>
      <c r="K13605" s="0" t="s">
        <v>45185</v>
      </c>
      <c r="L13605" s="0" t="str">
        <f aca="false">HYPERLINK("https://www.ncbi.nlm.nih.gov/nuccore/CP000058.1?report=graph&amp;tracks=[key:gene_model_track,Options:GeneOnly]&amp;mk=4240485:4240504|offset_1|00cc00,4240464:4240483|offset_22|444444,4240430:4240449|offset_56|444444,4240381:4240400|offset_105|444444&amp;v=4240284:4240600&amp;c=444444", "offset 1")</f>
        <v>offset 1</v>
      </c>
    </row>
    <row r="13606" customFormat="false" ht="12.8" hidden="false" customHeight="false" outlineLevel="0" collapsed="false">
      <c r="A13606" s="0" t="s">
        <v>12</v>
      </c>
      <c r="B13606" s="0" t="n">
        <v>4240463</v>
      </c>
      <c r="C13606" s="0" t="n">
        <v>4240483</v>
      </c>
      <c r="D13606" s="0" t="s">
        <v>45182</v>
      </c>
      <c r="E13606" s="0" t="s">
        <v>75</v>
      </c>
      <c r="F13606" s="0" t="s">
        <v>90</v>
      </c>
      <c r="G13606" s="0" t="s">
        <v>32</v>
      </c>
      <c r="H13606" s="0" t="n">
        <v>22</v>
      </c>
      <c r="I13606" s="0" t="s">
        <v>45186</v>
      </c>
      <c r="J13606" s="0" t="s">
        <v>45187</v>
      </c>
      <c r="K13606" s="0" t="s">
        <v>45188</v>
      </c>
      <c r="L13606" s="0" t="str">
        <f aca="false">HYPERLINK("https://www.ncbi.nlm.nih.gov/nuccore/CP000058.1?report=graph&amp;tracks=[key:gene_model_track,Options:GeneOnly]&amp;mk=4240485:4240504|offset_1|444444,4240464:4240483|offset_22|00cc00,4240430:4240449|offset_56|444444,4240381:4240400|offset_105|444444&amp;v=4240284:4240600&amp;c=444444", "offset 22")</f>
        <v>offset 22</v>
      </c>
    </row>
    <row r="13607" customFormat="false" ht="12.8" hidden="false" customHeight="false" outlineLevel="0" collapsed="false">
      <c r="A13607" s="0" t="s">
        <v>12</v>
      </c>
      <c r="B13607" s="0" t="n">
        <v>4240429</v>
      </c>
      <c r="C13607" s="0" t="n">
        <v>4240449</v>
      </c>
      <c r="D13607" s="0" t="s">
        <v>45182</v>
      </c>
      <c r="E13607" s="0" t="s">
        <v>75</v>
      </c>
      <c r="F13607" s="0" t="s">
        <v>90</v>
      </c>
      <c r="G13607" s="0" t="s">
        <v>20</v>
      </c>
      <c r="H13607" s="0" t="n">
        <v>56</v>
      </c>
      <c r="I13607" s="0" t="s">
        <v>45189</v>
      </c>
      <c r="J13607" s="0" t="s">
        <v>45190</v>
      </c>
      <c r="K13607" s="0" t="s">
        <v>45191</v>
      </c>
      <c r="L13607" s="0" t="str">
        <f aca="false">HYPERLINK("https://www.ncbi.nlm.nih.gov/nuccore/CP000058.1?report=graph&amp;tracks=[key:gene_model_track,Options:GeneOnly]&amp;mk=4240485:4240504|offset_1|444444,4240464:4240483|offset_22|444444,4240430:4240449|offset_56|00cc00,4240381:4240400|offset_105|444444&amp;v=4240284:4240600&amp;c=444444", "offset 56")</f>
        <v>offset 56</v>
      </c>
    </row>
    <row r="13608" customFormat="false" ht="12.8" hidden="false" customHeight="false" outlineLevel="0" collapsed="false">
      <c r="A13608" s="0" t="s">
        <v>12</v>
      </c>
      <c r="B13608" s="0" t="n">
        <v>4240380</v>
      </c>
      <c r="C13608" s="0" t="n">
        <v>4240400</v>
      </c>
      <c r="D13608" s="0" t="s">
        <v>45182</v>
      </c>
      <c r="E13608" s="0" t="s">
        <v>75</v>
      </c>
      <c r="F13608" s="0" t="s">
        <v>90</v>
      </c>
      <c r="G13608" s="0" t="s">
        <v>36</v>
      </c>
      <c r="H13608" s="0" t="n">
        <v>105</v>
      </c>
      <c r="I13608" s="0" t="s">
        <v>45192</v>
      </c>
      <c r="J13608" s="0" t="s">
        <v>45193</v>
      </c>
      <c r="K13608" s="0" t="s">
        <v>45194</v>
      </c>
      <c r="L13608" s="0" t="str">
        <f aca="false">HYPERLINK("https://www.ncbi.nlm.nih.gov/nuccore/CP000058.1?report=graph&amp;tracks=[key:gene_model_track,Options:GeneOnly]&amp;mk=4240485:4240504|offset_1|444444,4240464:4240483|offset_22|444444,4240430:4240449|offset_56|444444,4240381:4240400|offset_105|00cc00&amp;v=4240284:4240600&amp;c=444444", "offset 105")</f>
        <v>offset 105</v>
      </c>
    </row>
    <row r="13609" customFormat="false" ht="12.8" hidden="false" customHeight="false" outlineLevel="0" collapsed="false">
      <c r="A13609" s="0" t="s">
        <v>12</v>
      </c>
      <c r="B13609" s="0" t="n">
        <v>4241304</v>
      </c>
      <c r="C13609" s="0" t="n">
        <v>4241324</v>
      </c>
      <c r="D13609" s="0" t="s">
        <v>45195</v>
      </c>
      <c r="E13609" s="0" t="s">
        <v>45196</v>
      </c>
      <c r="F13609" s="0" t="s">
        <v>90</v>
      </c>
      <c r="G13609" s="0" t="s">
        <v>16</v>
      </c>
      <c r="H13609" s="0" t="n">
        <v>9</v>
      </c>
      <c r="I13609" s="0" t="s">
        <v>45197</v>
      </c>
      <c r="J13609" s="0" t="s">
        <v>45198</v>
      </c>
      <c r="K13609" s="0" t="s">
        <v>45199</v>
      </c>
      <c r="L13609" s="0" t="str">
        <f aca="false">HYPERLINK("https://www.ncbi.nlm.nih.gov/nuccore/CP000058.1?report=graph&amp;tracks=[key:gene_model_track,Options:GeneOnly]&amp;mk=4241305:4241324|offset_9|00cc00,4241273:4241292|offset_41|444444,4241248:4241267|offset_66|444444,4241210:4241229|offset_104|444444&amp;v=4241104:4241429&amp;c=444444", "offset 9")</f>
        <v>offset 9</v>
      </c>
    </row>
    <row r="13610" customFormat="false" ht="12.8" hidden="false" customHeight="false" outlineLevel="0" collapsed="false">
      <c r="A13610" s="0" t="s">
        <v>12</v>
      </c>
      <c r="B13610" s="0" t="n">
        <v>4241272</v>
      </c>
      <c r="C13610" s="0" t="n">
        <v>4241292</v>
      </c>
      <c r="D13610" s="0" t="s">
        <v>45195</v>
      </c>
      <c r="E13610" s="0" t="s">
        <v>45196</v>
      </c>
      <c r="F13610" s="0" t="s">
        <v>90</v>
      </c>
      <c r="G13610" s="0" t="s">
        <v>20</v>
      </c>
      <c r="H13610" s="0" t="n">
        <v>41</v>
      </c>
      <c r="I13610" s="0" t="s">
        <v>45200</v>
      </c>
      <c r="J13610" s="0" t="s">
        <v>45201</v>
      </c>
      <c r="K13610" s="0" t="s">
        <v>45202</v>
      </c>
      <c r="L13610" s="0" t="str">
        <f aca="false">HYPERLINK("https://www.ncbi.nlm.nih.gov/nuccore/CP000058.1?report=graph&amp;tracks=[key:gene_model_track,Options:GeneOnly]&amp;mk=4241305:4241324|offset_9|444444,4241273:4241292|offset_41|00cc00,4241248:4241267|offset_66|444444,4241210:4241229|offset_104|444444&amp;v=4241104:4241429&amp;c=444444", "offset 41")</f>
        <v>offset 41</v>
      </c>
    </row>
    <row r="13611" customFormat="false" ht="12.8" hidden="false" customHeight="false" outlineLevel="0" collapsed="false">
      <c r="A13611" s="0" t="s">
        <v>12</v>
      </c>
      <c r="B13611" s="0" t="n">
        <v>4241247</v>
      </c>
      <c r="C13611" s="0" t="n">
        <v>4241267</v>
      </c>
      <c r="D13611" s="0" t="s">
        <v>45195</v>
      </c>
      <c r="E13611" s="0" t="s">
        <v>45196</v>
      </c>
      <c r="F13611" s="0" t="s">
        <v>90</v>
      </c>
      <c r="G13611" s="0" t="s">
        <v>16</v>
      </c>
      <c r="H13611" s="0" t="n">
        <v>66</v>
      </c>
      <c r="I13611" s="0" t="s">
        <v>45203</v>
      </c>
      <c r="J13611" s="0" t="s">
        <v>45204</v>
      </c>
      <c r="K13611" s="0" t="s">
        <v>45205</v>
      </c>
      <c r="L13611" s="0" t="str">
        <f aca="false">HYPERLINK("https://www.ncbi.nlm.nih.gov/nuccore/CP000058.1?report=graph&amp;tracks=[key:gene_model_track,Options:GeneOnly]&amp;mk=4241305:4241324|offset_9|444444,4241273:4241292|offset_41|444444,4241248:4241267|offset_66|00cc00,4241210:4241229|offset_104|444444&amp;v=4241104:4241429&amp;c=444444", "offset 66")</f>
        <v>offset 66</v>
      </c>
    </row>
    <row r="13612" customFormat="false" ht="12.8" hidden="false" customHeight="false" outlineLevel="0" collapsed="false">
      <c r="A13612" s="0" t="s">
        <v>12</v>
      </c>
      <c r="B13612" s="0" t="n">
        <v>4241209</v>
      </c>
      <c r="C13612" s="0" t="n">
        <v>4241229</v>
      </c>
      <c r="D13612" s="0" t="s">
        <v>45195</v>
      </c>
      <c r="E13612" s="0" t="s">
        <v>45196</v>
      </c>
      <c r="F13612" s="0" t="s">
        <v>90</v>
      </c>
      <c r="G13612" s="0" t="s">
        <v>36</v>
      </c>
      <c r="H13612" s="0" t="n">
        <v>104</v>
      </c>
      <c r="I13612" s="0" t="s">
        <v>45206</v>
      </c>
      <c r="J13612" s="0" t="s">
        <v>45207</v>
      </c>
      <c r="K13612" s="0" t="s">
        <v>45208</v>
      </c>
      <c r="L13612" s="0" t="str">
        <f aca="false">HYPERLINK("https://www.ncbi.nlm.nih.gov/nuccore/CP000058.1?report=graph&amp;tracks=[key:gene_model_track,Options:GeneOnly]&amp;mk=4241305:4241324|offset_9|444444,4241273:4241292|offset_41|444444,4241248:4241267|offset_66|444444,4241210:4241229|offset_104|00cc00&amp;v=4241104:4241429&amp;c=444444", "offset 104")</f>
        <v>offset 104</v>
      </c>
    </row>
    <row r="13613" customFormat="false" ht="12.8" hidden="false" customHeight="false" outlineLevel="0" collapsed="false">
      <c r="A13613" s="0" t="s">
        <v>12</v>
      </c>
      <c r="B13613" s="0" t="n">
        <v>4241880</v>
      </c>
      <c r="C13613" s="0" t="n">
        <v>4241900</v>
      </c>
      <c r="D13613" s="0" t="s">
        <v>45209</v>
      </c>
      <c r="E13613" s="0" t="s">
        <v>75</v>
      </c>
      <c r="F13613" s="0" t="s">
        <v>90</v>
      </c>
      <c r="G13613" s="0" t="s">
        <v>20</v>
      </c>
      <c r="H13613" s="0" t="n">
        <v>7</v>
      </c>
      <c r="I13613" s="0" t="s">
        <v>45210</v>
      </c>
      <c r="J13613" s="0" t="s">
        <v>45211</v>
      </c>
      <c r="K13613" s="0" t="s">
        <v>45212</v>
      </c>
      <c r="L13613" s="0" t="str">
        <f aca="false">HYPERLINK("https://www.ncbi.nlm.nih.gov/nuccore/CP000058.1?report=graph&amp;tracks=[key:gene_model_track,Options:GeneOnly]&amp;mk=4241881:4241900|offset_7|00cc00,4241820:4241839|offset_68|444444,4241767:4241786|offset_121|444444,4241732:4241751|offset_156|444444&amp;v=4241680:4241951&amp;c=444444", "offset 7")</f>
        <v>offset 7</v>
      </c>
    </row>
    <row r="13614" customFormat="false" ht="12.8" hidden="false" customHeight="false" outlineLevel="0" collapsed="false">
      <c r="A13614" s="0" t="s">
        <v>12</v>
      </c>
      <c r="B13614" s="0" t="n">
        <v>4241819</v>
      </c>
      <c r="C13614" s="0" t="n">
        <v>4241839</v>
      </c>
      <c r="D13614" s="0" t="s">
        <v>45209</v>
      </c>
      <c r="E13614" s="0" t="s">
        <v>75</v>
      </c>
      <c r="F13614" s="0" t="s">
        <v>90</v>
      </c>
      <c r="G13614" s="0" t="s">
        <v>20</v>
      </c>
      <c r="H13614" s="0" t="n">
        <v>68</v>
      </c>
      <c r="I13614" s="0" t="s">
        <v>45213</v>
      </c>
      <c r="J13614" s="0" t="s">
        <v>45214</v>
      </c>
      <c r="K13614" s="0" t="s">
        <v>45215</v>
      </c>
      <c r="L13614" s="0" t="str">
        <f aca="false">HYPERLINK("https://www.ncbi.nlm.nih.gov/nuccore/CP000058.1?report=graph&amp;tracks=[key:gene_model_track,Options:GeneOnly]&amp;mk=4241881:4241900|offset_7|444444,4241820:4241839|offset_68|00cc00,4241767:4241786|offset_121|444444,4241732:4241751|offset_156|444444&amp;v=4241680:4241951&amp;c=444444", "offset 68")</f>
        <v>offset 68</v>
      </c>
    </row>
    <row r="13615" customFormat="false" ht="12.8" hidden="false" customHeight="false" outlineLevel="0" collapsed="false">
      <c r="A13615" s="0" t="s">
        <v>12</v>
      </c>
      <c r="B13615" s="0" t="n">
        <v>4241766</v>
      </c>
      <c r="C13615" s="0" t="n">
        <v>4241786</v>
      </c>
      <c r="D13615" s="0" t="s">
        <v>45209</v>
      </c>
      <c r="E13615" s="0" t="s">
        <v>75</v>
      </c>
      <c r="F13615" s="0" t="s">
        <v>90</v>
      </c>
      <c r="G13615" s="0" t="s">
        <v>16</v>
      </c>
      <c r="H13615" s="0" t="n">
        <v>121</v>
      </c>
      <c r="I13615" s="0" t="s">
        <v>45216</v>
      </c>
      <c r="J13615" s="0" t="s">
        <v>45217</v>
      </c>
      <c r="K13615" s="0" t="s">
        <v>45218</v>
      </c>
      <c r="L13615" s="0" t="str">
        <f aca="false">HYPERLINK("https://www.ncbi.nlm.nih.gov/nuccore/CP000058.1?report=graph&amp;tracks=[key:gene_model_track,Options:GeneOnly]&amp;mk=4241881:4241900|offset_7|444444,4241820:4241839|offset_68|444444,4241767:4241786|offset_121|00cc00,4241732:4241751|offset_156|444444&amp;v=4241680:4241951&amp;c=444444", "offset 121")</f>
        <v>offset 121</v>
      </c>
    </row>
    <row r="13616" customFormat="false" ht="12.8" hidden="false" customHeight="false" outlineLevel="0" collapsed="false">
      <c r="A13616" s="0" t="s">
        <v>12</v>
      </c>
      <c r="B13616" s="0" t="n">
        <v>4241731</v>
      </c>
      <c r="C13616" s="0" t="n">
        <v>4241751</v>
      </c>
      <c r="D13616" s="0" t="s">
        <v>45209</v>
      </c>
      <c r="E13616" s="0" t="s">
        <v>75</v>
      </c>
      <c r="F13616" s="0" t="s">
        <v>90</v>
      </c>
      <c r="G13616" s="0" t="s">
        <v>20</v>
      </c>
      <c r="H13616" s="0" t="n">
        <v>156</v>
      </c>
      <c r="I13616" s="0" t="s">
        <v>45219</v>
      </c>
      <c r="J13616" s="0" t="s">
        <v>45220</v>
      </c>
      <c r="K13616" s="0" t="s">
        <v>45221</v>
      </c>
      <c r="L13616" s="0" t="str">
        <f aca="false">HYPERLINK("https://www.ncbi.nlm.nih.gov/nuccore/CP000058.1?report=graph&amp;tracks=[key:gene_model_track,Options:GeneOnly]&amp;mk=4241881:4241900|offset_7|444444,4241820:4241839|offset_68|444444,4241767:4241786|offset_121|444444,4241732:4241751|offset_156|00cc00&amp;v=4241680:4241951&amp;c=444444", "offset 156")</f>
        <v>offset 156</v>
      </c>
    </row>
    <row r="13617" customFormat="false" ht="12.8" hidden="false" customHeight="false" outlineLevel="0" collapsed="false">
      <c r="A13617" s="0" t="s">
        <v>12</v>
      </c>
      <c r="B13617" s="0" t="n">
        <v>4242923</v>
      </c>
      <c r="C13617" s="0" t="n">
        <v>4242943</v>
      </c>
      <c r="D13617" s="0" t="s">
        <v>45222</v>
      </c>
      <c r="E13617" s="0" t="s">
        <v>45223</v>
      </c>
      <c r="F13617" s="0" t="s">
        <v>90</v>
      </c>
      <c r="G13617" s="0" t="s">
        <v>20</v>
      </c>
      <c r="H13617" s="0" t="n">
        <v>13</v>
      </c>
      <c r="I13617" s="0" t="s">
        <v>45224</v>
      </c>
      <c r="J13617" s="0" t="s">
        <v>45225</v>
      </c>
      <c r="K13617" s="0" t="s">
        <v>45226</v>
      </c>
      <c r="L13617" s="0" t="str">
        <f aca="false">HYPERLINK("https://www.ncbi.nlm.nih.gov/nuccore/CP000058.1?report=graph&amp;tracks=[key:gene_model_track,Options:GeneOnly]&amp;mk=4242924:4242943|offset_13|00cc00,4242889:4242908|offset_48|444444,4242867:4242886|offset_70|444444,4242844:4242863|offset_93|444444&amp;v=4242723:4243063&amp;c=444444", "offset 13")</f>
        <v>offset 13</v>
      </c>
    </row>
    <row r="13618" customFormat="false" ht="12.8" hidden="false" customHeight="false" outlineLevel="0" collapsed="false">
      <c r="A13618" s="0" t="s">
        <v>12</v>
      </c>
      <c r="B13618" s="0" t="n">
        <v>4242888</v>
      </c>
      <c r="C13618" s="0" t="n">
        <v>4242908</v>
      </c>
      <c r="D13618" s="0" t="s">
        <v>45222</v>
      </c>
      <c r="E13618" s="0" t="s">
        <v>45223</v>
      </c>
      <c r="F13618" s="0" t="s">
        <v>90</v>
      </c>
      <c r="G13618" s="0" t="s">
        <v>32</v>
      </c>
      <c r="H13618" s="0" t="n">
        <v>48</v>
      </c>
      <c r="I13618" s="0" t="s">
        <v>45227</v>
      </c>
      <c r="J13618" s="0" t="s">
        <v>45228</v>
      </c>
      <c r="K13618" s="0" t="s">
        <v>45229</v>
      </c>
      <c r="L13618" s="0" t="str">
        <f aca="false">HYPERLINK("https://www.ncbi.nlm.nih.gov/nuccore/CP000058.1?report=graph&amp;tracks=[key:gene_model_track,Options:GeneOnly]&amp;mk=4242924:4242943|offset_13|444444,4242889:4242908|offset_48|00cc00,4242867:4242886|offset_70|444444,4242844:4242863|offset_93|444444&amp;v=4242723:4243063&amp;c=444444", "offset 48")</f>
        <v>offset 48</v>
      </c>
    </row>
    <row r="13619" customFormat="false" ht="12.8" hidden="false" customHeight="false" outlineLevel="0" collapsed="false">
      <c r="A13619" s="0" t="s">
        <v>12</v>
      </c>
      <c r="B13619" s="0" t="n">
        <v>4242866</v>
      </c>
      <c r="C13619" s="0" t="n">
        <v>4242886</v>
      </c>
      <c r="D13619" s="0" t="s">
        <v>45222</v>
      </c>
      <c r="E13619" s="0" t="s">
        <v>45223</v>
      </c>
      <c r="F13619" s="0" t="s">
        <v>90</v>
      </c>
      <c r="G13619" s="0" t="s">
        <v>36</v>
      </c>
      <c r="H13619" s="0" t="n">
        <v>70</v>
      </c>
      <c r="I13619" s="0" t="s">
        <v>45230</v>
      </c>
      <c r="J13619" s="0" t="s">
        <v>45231</v>
      </c>
      <c r="K13619" s="0" t="s">
        <v>45232</v>
      </c>
      <c r="L13619" s="0" t="str">
        <f aca="false">HYPERLINK("https://www.ncbi.nlm.nih.gov/nuccore/CP000058.1?report=graph&amp;tracks=[key:gene_model_track,Options:GeneOnly]&amp;mk=4242924:4242943|offset_13|444444,4242889:4242908|offset_48|444444,4242867:4242886|offset_70|00cc00,4242844:4242863|offset_93|444444&amp;v=4242723:4243063&amp;c=444444", "offset 70")</f>
        <v>offset 70</v>
      </c>
    </row>
    <row r="13620" customFormat="false" ht="12.8" hidden="false" customHeight="false" outlineLevel="0" collapsed="false">
      <c r="A13620" s="0" t="s">
        <v>12</v>
      </c>
      <c r="B13620" s="0" t="n">
        <v>4242843</v>
      </c>
      <c r="C13620" s="0" t="n">
        <v>4242863</v>
      </c>
      <c r="D13620" s="0" t="s">
        <v>45222</v>
      </c>
      <c r="E13620" s="0" t="s">
        <v>45223</v>
      </c>
      <c r="F13620" s="0" t="s">
        <v>90</v>
      </c>
      <c r="G13620" s="0" t="s">
        <v>16</v>
      </c>
      <c r="H13620" s="0" t="n">
        <v>93</v>
      </c>
      <c r="I13620" s="0" t="s">
        <v>45233</v>
      </c>
      <c r="J13620" s="0" t="s">
        <v>45234</v>
      </c>
      <c r="K13620" s="0" t="s">
        <v>45235</v>
      </c>
      <c r="L13620" s="0" t="str">
        <f aca="false">HYPERLINK("https://www.ncbi.nlm.nih.gov/nuccore/CP000058.1?report=graph&amp;tracks=[key:gene_model_track,Options:GeneOnly]&amp;mk=4242924:4242943|offset_13|444444,4242889:4242908|offset_48|444444,4242867:4242886|offset_70|444444,4242844:4242863|offset_93|00cc00&amp;v=4242723:4243063&amp;c=444444", "offset 93")</f>
        <v>offset 93</v>
      </c>
    </row>
    <row r="13621" customFormat="false" ht="12.8" hidden="false" customHeight="false" outlineLevel="0" collapsed="false">
      <c r="A13621" s="0" t="s">
        <v>12</v>
      </c>
      <c r="B13621" s="0" t="n">
        <v>4243437</v>
      </c>
      <c r="C13621" s="0" t="n">
        <v>4243457</v>
      </c>
      <c r="D13621" s="0" t="s">
        <v>45236</v>
      </c>
      <c r="E13621" s="0" t="s">
        <v>45237</v>
      </c>
      <c r="F13621" s="0" t="s">
        <v>90</v>
      </c>
      <c r="G13621" s="0" t="s">
        <v>20</v>
      </c>
      <c r="H13621" s="0" t="n">
        <v>17</v>
      </c>
      <c r="I13621" s="0" t="s">
        <v>45238</v>
      </c>
      <c r="J13621" s="0" t="s">
        <v>45239</v>
      </c>
      <c r="K13621" s="0" t="s">
        <v>45240</v>
      </c>
      <c r="L13621" s="0" t="str">
        <f aca="false">HYPERLINK("https://www.ncbi.nlm.nih.gov/nuccore/CP000058.1?report=graph&amp;tracks=[key:gene_model_track,Options:GeneOnly]&amp;mk=4243438:4243457|offset_17|00cc00,4243408:4243427|offset_47|444444,4243388:4243407|offset_67|444444,4243358:4243377|offset_97|444444&amp;v=4243237:4243577&amp;c=444444", "offset 17")</f>
        <v>offset 17</v>
      </c>
    </row>
    <row r="13622" customFormat="false" ht="12.8" hidden="false" customHeight="false" outlineLevel="0" collapsed="false">
      <c r="A13622" s="0" t="s">
        <v>12</v>
      </c>
      <c r="B13622" s="0" t="n">
        <v>4243407</v>
      </c>
      <c r="C13622" s="0" t="n">
        <v>4243427</v>
      </c>
      <c r="D13622" s="0" t="s">
        <v>45236</v>
      </c>
      <c r="E13622" s="0" t="s">
        <v>45237</v>
      </c>
      <c r="F13622" s="0" t="s">
        <v>90</v>
      </c>
      <c r="G13622" s="0" t="s">
        <v>20</v>
      </c>
      <c r="H13622" s="0" t="n">
        <v>47</v>
      </c>
      <c r="I13622" s="0" t="s">
        <v>45241</v>
      </c>
      <c r="J13622" s="0" t="s">
        <v>45242</v>
      </c>
      <c r="K13622" s="0" t="s">
        <v>45243</v>
      </c>
      <c r="L13622" s="0" t="str">
        <f aca="false">HYPERLINK("https://www.ncbi.nlm.nih.gov/nuccore/CP000058.1?report=graph&amp;tracks=[key:gene_model_track,Options:GeneOnly]&amp;mk=4243438:4243457|offset_17|444444,4243408:4243427|offset_47|00cc00,4243388:4243407|offset_67|444444,4243358:4243377|offset_97|444444&amp;v=4243237:4243577&amp;c=444444", "offset 47")</f>
        <v>offset 47</v>
      </c>
    </row>
    <row r="13623" customFormat="false" ht="12.8" hidden="false" customHeight="false" outlineLevel="0" collapsed="false">
      <c r="A13623" s="0" t="s">
        <v>12</v>
      </c>
      <c r="B13623" s="0" t="n">
        <v>4243387</v>
      </c>
      <c r="C13623" s="0" t="n">
        <v>4243407</v>
      </c>
      <c r="D13623" s="0" t="s">
        <v>45236</v>
      </c>
      <c r="E13623" s="0" t="s">
        <v>45237</v>
      </c>
      <c r="F13623" s="0" t="s">
        <v>90</v>
      </c>
      <c r="G13623" s="0" t="s">
        <v>16</v>
      </c>
      <c r="H13623" s="0" t="n">
        <v>67</v>
      </c>
      <c r="I13623" s="0" t="s">
        <v>45244</v>
      </c>
      <c r="J13623" s="0" t="s">
        <v>45245</v>
      </c>
      <c r="K13623" s="0" t="s">
        <v>45246</v>
      </c>
      <c r="L13623" s="0" t="str">
        <f aca="false">HYPERLINK("https://www.ncbi.nlm.nih.gov/nuccore/CP000058.1?report=graph&amp;tracks=[key:gene_model_track,Options:GeneOnly]&amp;mk=4243438:4243457|offset_17|444444,4243408:4243427|offset_47|444444,4243388:4243407|offset_67|00cc00,4243358:4243377|offset_97|444444&amp;v=4243237:4243577&amp;c=444444", "offset 67")</f>
        <v>offset 67</v>
      </c>
    </row>
    <row r="13624" customFormat="false" ht="12.8" hidden="false" customHeight="false" outlineLevel="0" collapsed="false">
      <c r="A13624" s="0" t="s">
        <v>12</v>
      </c>
      <c r="B13624" s="0" t="n">
        <v>4243357</v>
      </c>
      <c r="C13624" s="0" t="n">
        <v>4243377</v>
      </c>
      <c r="D13624" s="0" t="s">
        <v>45236</v>
      </c>
      <c r="E13624" s="0" t="s">
        <v>45237</v>
      </c>
      <c r="F13624" s="0" t="s">
        <v>90</v>
      </c>
      <c r="G13624" s="0" t="s">
        <v>32</v>
      </c>
      <c r="H13624" s="0" t="n">
        <v>97</v>
      </c>
      <c r="I13624" s="0" t="s">
        <v>45247</v>
      </c>
      <c r="J13624" s="0" t="s">
        <v>45248</v>
      </c>
      <c r="K13624" s="0" t="s">
        <v>45249</v>
      </c>
      <c r="L13624" s="0" t="str">
        <f aca="false">HYPERLINK("https://www.ncbi.nlm.nih.gov/nuccore/CP000058.1?report=graph&amp;tracks=[key:gene_model_track,Options:GeneOnly]&amp;mk=4243438:4243457|offset_17|444444,4243408:4243427|offset_47|444444,4243388:4243407|offset_67|444444,4243358:4243377|offset_97|00cc00&amp;v=4243237:4243577&amp;c=444444", "offset 97")</f>
        <v>offset 97</v>
      </c>
    </row>
    <row r="13625" customFormat="false" ht="12.8" hidden="false" customHeight="false" outlineLevel="0" collapsed="false">
      <c r="A13625" s="0" t="s">
        <v>12</v>
      </c>
      <c r="B13625" s="0" t="n">
        <v>4244908</v>
      </c>
      <c r="C13625" s="0" t="n">
        <v>4244928</v>
      </c>
      <c r="D13625" s="0" t="s">
        <v>45250</v>
      </c>
      <c r="E13625" s="0" t="s">
        <v>45251</v>
      </c>
      <c r="F13625" s="0" t="s">
        <v>90</v>
      </c>
      <c r="G13625" s="0" t="s">
        <v>32</v>
      </c>
      <c r="H13625" s="0" t="n">
        <v>7</v>
      </c>
      <c r="I13625" s="0" t="s">
        <v>45252</v>
      </c>
      <c r="J13625" s="0" t="s">
        <v>45253</v>
      </c>
      <c r="K13625" s="0" t="s">
        <v>45254</v>
      </c>
      <c r="L13625" s="0" t="str">
        <f aca="false">HYPERLINK("https://www.ncbi.nlm.nih.gov/nuccore/CP000058.1?report=graph&amp;tracks=[key:gene_model_track,Options:GeneOnly]&amp;mk=4244909:4244928|offset_7|00cc00,4244888:4244907|offset_28|444444,4244852:4244871|offset_64|444444,4244811:4244830|offset_105|444444&amp;v=4244708:4245030&amp;c=444444", "offset 7")</f>
        <v>offset 7</v>
      </c>
    </row>
    <row r="13626" customFormat="false" ht="12.8" hidden="false" customHeight="false" outlineLevel="0" collapsed="false">
      <c r="A13626" s="0" t="s">
        <v>12</v>
      </c>
      <c r="B13626" s="0" t="n">
        <v>4244887</v>
      </c>
      <c r="C13626" s="0" t="n">
        <v>4244907</v>
      </c>
      <c r="D13626" s="0" t="s">
        <v>45250</v>
      </c>
      <c r="E13626" s="0" t="s">
        <v>45251</v>
      </c>
      <c r="F13626" s="0" t="s">
        <v>90</v>
      </c>
      <c r="G13626" s="0" t="s">
        <v>32</v>
      </c>
      <c r="H13626" s="0" t="n">
        <v>28</v>
      </c>
      <c r="I13626" s="0" t="s">
        <v>45255</v>
      </c>
      <c r="J13626" s="0" t="s">
        <v>45256</v>
      </c>
      <c r="K13626" s="0" t="s">
        <v>45257</v>
      </c>
      <c r="L13626" s="0" t="str">
        <f aca="false">HYPERLINK("https://www.ncbi.nlm.nih.gov/nuccore/CP000058.1?report=graph&amp;tracks=[key:gene_model_track,Options:GeneOnly]&amp;mk=4244909:4244928|offset_7|444444,4244888:4244907|offset_28|00cc00,4244852:4244871|offset_64|444444,4244811:4244830|offset_105|444444&amp;v=4244708:4245030&amp;c=444444", "offset 28")</f>
        <v>offset 28</v>
      </c>
    </row>
    <row r="13627" customFormat="false" ht="12.8" hidden="false" customHeight="false" outlineLevel="0" collapsed="false">
      <c r="A13627" s="0" t="s">
        <v>12</v>
      </c>
      <c r="B13627" s="0" t="n">
        <v>4244851</v>
      </c>
      <c r="C13627" s="0" t="n">
        <v>4244871</v>
      </c>
      <c r="D13627" s="0" t="s">
        <v>45250</v>
      </c>
      <c r="E13627" s="0" t="s">
        <v>45251</v>
      </c>
      <c r="F13627" s="0" t="s">
        <v>90</v>
      </c>
      <c r="G13627" s="0" t="s">
        <v>36</v>
      </c>
      <c r="H13627" s="0" t="n">
        <v>64</v>
      </c>
      <c r="I13627" s="0" t="s">
        <v>45258</v>
      </c>
      <c r="J13627" s="0" t="s">
        <v>45259</v>
      </c>
      <c r="K13627" s="0" t="s">
        <v>45260</v>
      </c>
      <c r="L13627" s="0" t="str">
        <f aca="false">HYPERLINK("https://www.ncbi.nlm.nih.gov/nuccore/CP000058.1?report=graph&amp;tracks=[key:gene_model_track,Options:GeneOnly]&amp;mk=4244909:4244928|offset_7|444444,4244888:4244907|offset_28|444444,4244852:4244871|offset_64|00cc00,4244811:4244830|offset_105|444444&amp;v=4244708:4245030&amp;c=444444", "offset 64")</f>
        <v>offset 64</v>
      </c>
    </row>
    <row r="13628" customFormat="false" ht="12.8" hidden="false" customHeight="false" outlineLevel="0" collapsed="false">
      <c r="A13628" s="0" t="s">
        <v>12</v>
      </c>
      <c r="B13628" s="0" t="n">
        <v>4244810</v>
      </c>
      <c r="C13628" s="0" t="n">
        <v>4244830</v>
      </c>
      <c r="D13628" s="0" t="s">
        <v>45250</v>
      </c>
      <c r="E13628" s="0" t="s">
        <v>45251</v>
      </c>
      <c r="F13628" s="0" t="s">
        <v>90</v>
      </c>
      <c r="G13628" s="0" t="s">
        <v>16</v>
      </c>
      <c r="H13628" s="0" t="n">
        <v>105</v>
      </c>
      <c r="I13628" s="0" t="s">
        <v>45261</v>
      </c>
      <c r="J13628" s="0" t="s">
        <v>45262</v>
      </c>
      <c r="K13628" s="0" t="s">
        <v>45263</v>
      </c>
      <c r="L13628" s="0" t="str">
        <f aca="false">HYPERLINK("https://www.ncbi.nlm.nih.gov/nuccore/CP000058.1?report=graph&amp;tracks=[key:gene_model_track,Options:GeneOnly]&amp;mk=4244909:4244928|offset_7|444444,4244888:4244907|offset_28|444444,4244852:4244871|offset_64|444444,4244811:4244830|offset_105|00cc00&amp;v=4244708:4245030&amp;c=444444", "offset 105")</f>
        <v>offset 105</v>
      </c>
    </row>
    <row r="13629" customFormat="false" ht="12.8" hidden="false" customHeight="false" outlineLevel="0" collapsed="false">
      <c r="A13629" s="0" t="s">
        <v>12</v>
      </c>
      <c r="B13629" s="0" t="n">
        <v>4245885</v>
      </c>
      <c r="C13629" s="0" t="n">
        <v>4245905</v>
      </c>
      <c r="D13629" s="0" t="s">
        <v>45264</v>
      </c>
      <c r="E13629" s="0" t="s">
        <v>75</v>
      </c>
      <c r="F13629" s="0" t="s">
        <v>90</v>
      </c>
      <c r="G13629" s="0" t="s">
        <v>16</v>
      </c>
      <c r="H13629" s="0" t="n">
        <v>31</v>
      </c>
      <c r="I13629" s="0" t="s">
        <v>45265</v>
      </c>
      <c r="J13629" s="0" t="s">
        <v>45266</v>
      </c>
      <c r="K13629" s="0" t="s">
        <v>45267</v>
      </c>
      <c r="L13629" s="0" t="str">
        <f aca="false">HYPERLINK("https://www.ncbi.nlm.nih.gov/nuccore/CP000058.1?report=graph&amp;tracks=[key:gene_model_track,Options:GeneOnly]&amp;mk=4245886:4245905|offset_31|00cc00,4245843:4245862|offset_74|444444,4245823:4245842|offset_94|444444,4245797:4245816|offset_120|444444&amp;v=4245685:4246016&amp;c=444444", "offset 31")</f>
        <v>offset 31</v>
      </c>
    </row>
    <row r="13630" customFormat="false" ht="12.8" hidden="false" customHeight="false" outlineLevel="0" collapsed="false">
      <c r="A13630" s="0" t="s">
        <v>12</v>
      </c>
      <c r="B13630" s="0" t="n">
        <v>4245842</v>
      </c>
      <c r="C13630" s="0" t="n">
        <v>4245862</v>
      </c>
      <c r="D13630" s="0" t="s">
        <v>45264</v>
      </c>
      <c r="E13630" s="0" t="s">
        <v>75</v>
      </c>
      <c r="F13630" s="0" t="s">
        <v>90</v>
      </c>
      <c r="G13630" s="0" t="s">
        <v>20</v>
      </c>
      <c r="H13630" s="0" t="n">
        <v>74</v>
      </c>
      <c r="I13630" s="0" t="s">
        <v>45268</v>
      </c>
      <c r="J13630" s="0" t="s">
        <v>45269</v>
      </c>
      <c r="K13630" s="0" t="s">
        <v>45270</v>
      </c>
      <c r="L13630" s="0" t="str">
        <f aca="false">HYPERLINK("https://www.ncbi.nlm.nih.gov/nuccore/CP000058.1?report=graph&amp;tracks=[key:gene_model_track,Options:GeneOnly]&amp;mk=4245886:4245905|offset_31|444444,4245843:4245862|offset_74|00cc00,4245823:4245842|offset_94|444444,4245797:4245816|offset_120|444444&amp;v=4245685:4246016&amp;c=444444", "offset 74")</f>
        <v>offset 74</v>
      </c>
    </row>
    <row r="13631" customFormat="false" ht="12.8" hidden="false" customHeight="false" outlineLevel="0" collapsed="false">
      <c r="A13631" s="0" t="s">
        <v>12</v>
      </c>
      <c r="B13631" s="0" t="n">
        <v>4245822</v>
      </c>
      <c r="C13631" s="0" t="n">
        <v>4245842</v>
      </c>
      <c r="D13631" s="0" t="s">
        <v>45264</v>
      </c>
      <c r="E13631" s="0" t="s">
        <v>75</v>
      </c>
      <c r="F13631" s="0" t="s">
        <v>90</v>
      </c>
      <c r="G13631" s="0" t="s">
        <v>20</v>
      </c>
      <c r="H13631" s="0" t="n">
        <v>94</v>
      </c>
      <c r="I13631" s="0" t="s">
        <v>45271</v>
      </c>
      <c r="J13631" s="0" t="s">
        <v>45272</v>
      </c>
      <c r="K13631" s="0" t="s">
        <v>45273</v>
      </c>
      <c r="L13631" s="0" t="str">
        <f aca="false">HYPERLINK("https://www.ncbi.nlm.nih.gov/nuccore/CP000058.1?report=graph&amp;tracks=[key:gene_model_track,Options:GeneOnly]&amp;mk=4245886:4245905|offset_31|444444,4245843:4245862|offset_74|444444,4245823:4245842|offset_94|00cc00,4245797:4245816|offset_120|444444&amp;v=4245685:4246016&amp;c=444444", "offset 94")</f>
        <v>offset 94</v>
      </c>
    </row>
    <row r="13632" customFormat="false" ht="12.8" hidden="false" customHeight="false" outlineLevel="0" collapsed="false">
      <c r="A13632" s="0" t="s">
        <v>12</v>
      </c>
      <c r="B13632" s="0" t="n">
        <v>4245796</v>
      </c>
      <c r="C13632" s="0" t="n">
        <v>4245816</v>
      </c>
      <c r="D13632" s="0" t="s">
        <v>45264</v>
      </c>
      <c r="E13632" s="0" t="s">
        <v>75</v>
      </c>
      <c r="F13632" s="0" t="s">
        <v>90</v>
      </c>
      <c r="G13632" s="0" t="s">
        <v>16</v>
      </c>
      <c r="H13632" s="0" t="n">
        <v>120</v>
      </c>
      <c r="I13632" s="0" t="s">
        <v>45274</v>
      </c>
      <c r="J13632" s="0" t="s">
        <v>45275</v>
      </c>
      <c r="K13632" s="0" t="s">
        <v>45276</v>
      </c>
      <c r="L13632" s="0" t="str">
        <f aca="false">HYPERLINK("https://www.ncbi.nlm.nih.gov/nuccore/CP000058.1?report=graph&amp;tracks=[key:gene_model_track,Options:GeneOnly]&amp;mk=4245886:4245905|offset_31|444444,4245843:4245862|offset_74|444444,4245823:4245842|offset_94|444444,4245797:4245816|offset_120|00cc00&amp;v=4245685:4246016&amp;c=444444", "offset 120")</f>
        <v>offset 120</v>
      </c>
    </row>
    <row r="13633" customFormat="false" ht="12.8" hidden="false" customHeight="false" outlineLevel="0" collapsed="false">
      <c r="A13633" s="0" t="s">
        <v>12</v>
      </c>
      <c r="B13633" s="0" t="n">
        <v>4246789</v>
      </c>
      <c r="C13633" s="0" t="n">
        <v>4246809</v>
      </c>
      <c r="D13633" s="0" t="s">
        <v>45277</v>
      </c>
      <c r="E13633" s="0" t="s">
        <v>45278</v>
      </c>
      <c r="F13633" s="0" t="s">
        <v>90</v>
      </c>
      <c r="G13633" s="0" t="s">
        <v>16</v>
      </c>
      <c r="H13633" s="0" t="n">
        <v>28</v>
      </c>
      <c r="I13633" s="0" t="s">
        <v>45279</v>
      </c>
      <c r="J13633" s="0" t="s">
        <v>45280</v>
      </c>
      <c r="K13633" s="0" t="s">
        <v>45281</v>
      </c>
      <c r="L13633" s="0" t="str">
        <f aca="false">HYPERLINK("https://www.ncbi.nlm.nih.gov/nuccore/CP000058.1?report=graph&amp;tracks=[key:gene_model_track,Options:GeneOnly]&amp;mk=4246790:4246809|offset_28|00cc00,4246758:4246777|offset_60|444444,4246718:4246737|offset_100|444444,4246684:4246703|offset_134|444444&amp;v=4246589:4246903&amp;c=444444", "offset 28")</f>
        <v>offset 28</v>
      </c>
    </row>
    <row r="13634" customFormat="false" ht="12.8" hidden="false" customHeight="false" outlineLevel="0" collapsed="false">
      <c r="A13634" s="0" t="s">
        <v>12</v>
      </c>
      <c r="B13634" s="0" t="n">
        <v>4246757</v>
      </c>
      <c r="C13634" s="0" t="n">
        <v>4246777</v>
      </c>
      <c r="D13634" s="0" t="s">
        <v>45277</v>
      </c>
      <c r="E13634" s="0" t="s">
        <v>45278</v>
      </c>
      <c r="F13634" s="0" t="s">
        <v>90</v>
      </c>
      <c r="G13634" s="0" t="s">
        <v>32</v>
      </c>
      <c r="H13634" s="0" t="n">
        <v>60</v>
      </c>
      <c r="I13634" s="0" t="s">
        <v>45282</v>
      </c>
      <c r="J13634" s="0" t="s">
        <v>45283</v>
      </c>
      <c r="K13634" s="0" t="s">
        <v>45284</v>
      </c>
      <c r="L13634" s="0" t="str">
        <f aca="false">HYPERLINK("https://www.ncbi.nlm.nih.gov/nuccore/CP000058.1?report=graph&amp;tracks=[key:gene_model_track,Options:GeneOnly]&amp;mk=4246790:4246809|offset_28|444444,4246758:4246777|offset_60|00cc00,4246718:4246737|offset_100|444444,4246684:4246703|offset_134|444444&amp;v=4246589:4246903&amp;c=444444", "offset 60")</f>
        <v>offset 60</v>
      </c>
    </row>
    <row r="13635" customFormat="false" ht="12.8" hidden="false" customHeight="false" outlineLevel="0" collapsed="false">
      <c r="A13635" s="0" t="s">
        <v>12</v>
      </c>
      <c r="B13635" s="0" t="n">
        <v>4246717</v>
      </c>
      <c r="C13635" s="0" t="n">
        <v>4246737</v>
      </c>
      <c r="D13635" s="0" t="s">
        <v>45277</v>
      </c>
      <c r="E13635" s="0" t="s">
        <v>45278</v>
      </c>
      <c r="F13635" s="0" t="s">
        <v>90</v>
      </c>
      <c r="G13635" s="0" t="s">
        <v>32</v>
      </c>
      <c r="H13635" s="0" t="n">
        <v>100</v>
      </c>
      <c r="I13635" s="0" t="s">
        <v>45285</v>
      </c>
      <c r="J13635" s="0" t="s">
        <v>45286</v>
      </c>
      <c r="K13635" s="0" t="s">
        <v>45287</v>
      </c>
      <c r="L13635" s="0" t="str">
        <f aca="false">HYPERLINK("https://www.ncbi.nlm.nih.gov/nuccore/CP000058.1?report=graph&amp;tracks=[key:gene_model_track,Options:GeneOnly]&amp;mk=4246790:4246809|offset_28|444444,4246758:4246777|offset_60|444444,4246718:4246737|offset_100|00cc00,4246684:4246703|offset_134|444444&amp;v=4246589:4246903&amp;c=444444", "offset 100")</f>
        <v>offset 100</v>
      </c>
    </row>
    <row r="13636" customFormat="false" ht="12.8" hidden="false" customHeight="false" outlineLevel="0" collapsed="false">
      <c r="A13636" s="0" t="s">
        <v>12</v>
      </c>
      <c r="B13636" s="0" t="n">
        <v>4246683</v>
      </c>
      <c r="C13636" s="0" t="n">
        <v>4246703</v>
      </c>
      <c r="D13636" s="0" t="s">
        <v>45277</v>
      </c>
      <c r="E13636" s="0" t="s">
        <v>45278</v>
      </c>
      <c r="F13636" s="0" t="s">
        <v>90</v>
      </c>
      <c r="G13636" s="0" t="s">
        <v>16</v>
      </c>
      <c r="H13636" s="0" t="n">
        <v>134</v>
      </c>
      <c r="I13636" s="0" t="s">
        <v>45288</v>
      </c>
      <c r="J13636" s="0" t="s">
        <v>45289</v>
      </c>
      <c r="K13636" s="0" t="s">
        <v>45290</v>
      </c>
      <c r="L13636" s="0" t="str">
        <f aca="false">HYPERLINK("https://www.ncbi.nlm.nih.gov/nuccore/CP000058.1?report=graph&amp;tracks=[key:gene_model_track,Options:GeneOnly]&amp;mk=4246790:4246809|offset_28|444444,4246758:4246777|offset_60|444444,4246718:4246737|offset_100|444444,4246684:4246703|offset_134|00cc00&amp;v=4246589:4246903&amp;c=444444", "offset 134")</f>
        <v>offset 134</v>
      </c>
    </row>
    <row r="13637" customFormat="false" ht="12.8" hidden="false" customHeight="false" outlineLevel="0" collapsed="false">
      <c r="A13637" s="0" t="s">
        <v>12</v>
      </c>
      <c r="B13637" s="0" t="n">
        <v>4247457</v>
      </c>
      <c r="C13637" s="0" t="n">
        <v>4247477</v>
      </c>
      <c r="D13637" s="0" t="s">
        <v>45291</v>
      </c>
      <c r="E13637" s="0" t="s">
        <v>75</v>
      </c>
      <c r="F13637" s="0" t="s">
        <v>90</v>
      </c>
      <c r="G13637" s="0" t="s">
        <v>16</v>
      </c>
      <c r="H13637" s="0" t="n">
        <v>7</v>
      </c>
      <c r="I13637" s="0" t="s">
        <v>45292</v>
      </c>
      <c r="J13637" s="0" t="s">
        <v>45293</v>
      </c>
      <c r="K13637" s="0" t="s">
        <v>45294</v>
      </c>
      <c r="L13637" s="0" t="str">
        <f aca="false">HYPERLINK("https://www.ncbi.nlm.nih.gov/nuccore/CP000058.1?report=graph&amp;tracks=[key:gene_model_track,Options:GeneOnly]&amp;mk=4247458:4247477|offset_7|00cc00,4247413:4247432|offset_52|444444,4247388:4247407|offset_77|444444,4247363:4247382|offset_102|444444&amp;v=4247257:4247582&amp;c=444444", "offset 7")</f>
        <v>offset 7</v>
      </c>
    </row>
    <row r="13638" customFormat="false" ht="12.8" hidden="false" customHeight="false" outlineLevel="0" collapsed="false">
      <c r="A13638" s="0" t="s">
        <v>12</v>
      </c>
      <c r="B13638" s="0" t="n">
        <v>4247412</v>
      </c>
      <c r="C13638" s="0" t="n">
        <v>4247432</v>
      </c>
      <c r="D13638" s="0" t="s">
        <v>45291</v>
      </c>
      <c r="E13638" s="0" t="s">
        <v>75</v>
      </c>
      <c r="F13638" s="0" t="s">
        <v>90</v>
      </c>
      <c r="G13638" s="0" t="s">
        <v>32</v>
      </c>
      <c r="H13638" s="0" t="n">
        <v>52</v>
      </c>
      <c r="I13638" s="0" t="s">
        <v>45295</v>
      </c>
      <c r="J13638" s="0" t="s">
        <v>45296</v>
      </c>
      <c r="K13638" s="0" t="s">
        <v>45297</v>
      </c>
      <c r="L13638" s="0" t="str">
        <f aca="false">HYPERLINK("https://www.ncbi.nlm.nih.gov/nuccore/CP000058.1?report=graph&amp;tracks=[key:gene_model_track,Options:GeneOnly]&amp;mk=4247458:4247477|offset_7|444444,4247413:4247432|offset_52|00cc00,4247388:4247407|offset_77|444444,4247363:4247382|offset_102|444444&amp;v=4247257:4247582&amp;c=444444", "offset 52")</f>
        <v>offset 52</v>
      </c>
    </row>
    <row r="13639" customFormat="false" ht="12.8" hidden="false" customHeight="false" outlineLevel="0" collapsed="false">
      <c r="A13639" s="0" t="s">
        <v>12</v>
      </c>
      <c r="B13639" s="0" t="n">
        <v>4247387</v>
      </c>
      <c r="C13639" s="0" t="n">
        <v>4247407</v>
      </c>
      <c r="D13639" s="0" t="s">
        <v>45291</v>
      </c>
      <c r="E13639" s="0" t="s">
        <v>75</v>
      </c>
      <c r="F13639" s="0" t="s">
        <v>90</v>
      </c>
      <c r="G13639" s="0" t="s">
        <v>32</v>
      </c>
      <c r="H13639" s="0" t="n">
        <v>77</v>
      </c>
      <c r="I13639" s="0" t="s">
        <v>45298</v>
      </c>
      <c r="J13639" s="0" t="s">
        <v>45299</v>
      </c>
      <c r="K13639" s="0" t="s">
        <v>45300</v>
      </c>
      <c r="L13639" s="0" t="str">
        <f aca="false">HYPERLINK("https://www.ncbi.nlm.nih.gov/nuccore/CP000058.1?report=graph&amp;tracks=[key:gene_model_track,Options:GeneOnly]&amp;mk=4247458:4247477|offset_7|444444,4247413:4247432|offset_52|444444,4247388:4247407|offset_77|00cc00,4247363:4247382|offset_102|444444&amp;v=4247257:4247582&amp;c=444444", "offset 77")</f>
        <v>offset 77</v>
      </c>
    </row>
    <row r="13640" customFormat="false" ht="12.8" hidden="false" customHeight="false" outlineLevel="0" collapsed="false">
      <c r="A13640" s="0" t="s">
        <v>12</v>
      </c>
      <c r="B13640" s="0" t="n">
        <v>4247362</v>
      </c>
      <c r="C13640" s="0" t="n">
        <v>4247382</v>
      </c>
      <c r="D13640" s="0" t="s">
        <v>45291</v>
      </c>
      <c r="E13640" s="0" t="s">
        <v>75</v>
      </c>
      <c r="F13640" s="0" t="s">
        <v>90</v>
      </c>
      <c r="G13640" s="0" t="s">
        <v>36</v>
      </c>
      <c r="H13640" s="0" t="n">
        <v>102</v>
      </c>
      <c r="I13640" s="0" t="s">
        <v>45301</v>
      </c>
      <c r="J13640" s="0" t="s">
        <v>45302</v>
      </c>
      <c r="K13640" s="0" t="s">
        <v>45303</v>
      </c>
      <c r="L13640" s="0" t="str">
        <f aca="false">HYPERLINK("https://www.ncbi.nlm.nih.gov/nuccore/CP000058.1?report=graph&amp;tracks=[key:gene_model_track,Options:GeneOnly]&amp;mk=4247458:4247477|offset_7|444444,4247413:4247432|offset_52|444444,4247388:4247407|offset_77|444444,4247363:4247382|offset_102|00cc00&amp;v=4247257:4247582&amp;c=444444", "offset 102")</f>
        <v>offset 102</v>
      </c>
    </row>
    <row r="13641" customFormat="false" ht="12.8" hidden="false" customHeight="false" outlineLevel="0" collapsed="false">
      <c r="A13641" s="0" t="s">
        <v>12</v>
      </c>
      <c r="B13641" s="0" t="n">
        <v>4248744</v>
      </c>
      <c r="C13641" s="0" t="n">
        <v>4248764</v>
      </c>
      <c r="D13641" s="0" t="s">
        <v>45304</v>
      </c>
      <c r="E13641" s="0" t="s">
        <v>75</v>
      </c>
      <c r="F13641" s="0" t="s">
        <v>90</v>
      </c>
      <c r="G13641" s="0" t="s">
        <v>16</v>
      </c>
      <c r="H13641" s="0" t="n">
        <v>12</v>
      </c>
      <c r="I13641" s="0" t="s">
        <v>45305</v>
      </c>
      <c r="J13641" s="0" t="s">
        <v>45306</v>
      </c>
      <c r="K13641" s="0" t="s">
        <v>45307</v>
      </c>
      <c r="L13641" s="0" t="str">
        <f aca="false">HYPERLINK("https://www.ncbi.nlm.nih.gov/nuccore/CP000058.1?report=graph&amp;tracks=[key:gene_model_track,Options:GeneOnly]&amp;mk=4248745:4248764|offset_12|00cc00,4248717:4248736|offset_40|444444,4248687:4248706|offset_70|444444,4248659:4248678|offset_98|444444&amp;v=4248544:4248878&amp;c=444444", "offset 12")</f>
        <v>offset 12</v>
      </c>
    </row>
    <row r="13642" customFormat="false" ht="12.8" hidden="false" customHeight="false" outlineLevel="0" collapsed="false">
      <c r="A13642" s="0" t="s">
        <v>12</v>
      </c>
      <c r="B13642" s="0" t="n">
        <v>4248716</v>
      </c>
      <c r="C13642" s="0" t="n">
        <v>4248736</v>
      </c>
      <c r="D13642" s="0" t="s">
        <v>45304</v>
      </c>
      <c r="E13642" s="0" t="s">
        <v>75</v>
      </c>
      <c r="F13642" s="0" t="s">
        <v>90</v>
      </c>
      <c r="G13642" s="0" t="s">
        <v>16</v>
      </c>
      <c r="H13642" s="0" t="n">
        <v>40</v>
      </c>
      <c r="I13642" s="0" t="s">
        <v>45308</v>
      </c>
      <c r="J13642" s="0" t="s">
        <v>45309</v>
      </c>
      <c r="K13642" s="0" t="s">
        <v>45310</v>
      </c>
      <c r="L13642" s="0" t="str">
        <f aca="false">HYPERLINK("https://www.ncbi.nlm.nih.gov/nuccore/CP000058.1?report=graph&amp;tracks=[key:gene_model_track,Options:GeneOnly]&amp;mk=4248745:4248764|offset_12|444444,4248717:4248736|offset_40|00cc00,4248687:4248706|offset_70|444444,4248659:4248678|offset_98|444444&amp;v=4248544:4248878&amp;c=444444", "offset 40")</f>
        <v>offset 40</v>
      </c>
    </row>
    <row r="13643" customFormat="false" ht="12.8" hidden="false" customHeight="false" outlineLevel="0" collapsed="false">
      <c r="A13643" s="0" t="s">
        <v>12</v>
      </c>
      <c r="B13643" s="0" t="n">
        <v>4248686</v>
      </c>
      <c r="C13643" s="0" t="n">
        <v>4248706</v>
      </c>
      <c r="D13643" s="0" t="s">
        <v>45304</v>
      </c>
      <c r="E13643" s="0" t="s">
        <v>75</v>
      </c>
      <c r="F13643" s="0" t="s">
        <v>90</v>
      </c>
      <c r="G13643" s="0" t="s">
        <v>16</v>
      </c>
      <c r="H13643" s="0" t="n">
        <v>70</v>
      </c>
      <c r="I13643" s="0" t="s">
        <v>45311</v>
      </c>
      <c r="J13643" s="0" t="s">
        <v>45312</v>
      </c>
      <c r="K13643" s="0" t="s">
        <v>45313</v>
      </c>
      <c r="L13643" s="0" t="str">
        <f aca="false">HYPERLINK("https://www.ncbi.nlm.nih.gov/nuccore/CP000058.1?report=graph&amp;tracks=[key:gene_model_track,Options:GeneOnly]&amp;mk=4248745:4248764|offset_12|444444,4248717:4248736|offset_40|444444,4248687:4248706|offset_70|00cc00,4248659:4248678|offset_98|444444&amp;v=4248544:4248878&amp;c=444444", "offset 70")</f>
        <v>offset 70</v>
      </c>
    </row>
    <row r="13644" customFormat="false" ht="12.8" hidden="false" customHeight="false" outlineLevel="0" collapsed="false">
      <c r="A13644" s="0" t="s">
        <v>12</v>
      </c>
      <c r="B13644" s="0" t="n">
        <v>4248658</v>
      </c>
      <c r="C13644" s="0" t="n">
        <v>4248678</v>
      </c>
      <c r="D13644" s="0" t="s">
        <v>45304</v>
      </c>
      <c r="E13644" s="0" t="s">
        <v>75</v>
      </c>
      <c r="F13644" s="0" t="s">
        <v>90</v>
      </c>
      <c r="G13644" s="0" t="s">
        <v>16</v>
      </c>
      <c r="H13644" s="0" t="n">
        <v>98</v>
      </c>
      <c r="I13644" s="0" t="s">
        <v>45314</v>
      </c>
      <c r="J13644" s="0" t="s">
        <v>45315</v>
      </c>
      <c r="K13644" s="0" t="s">
        <v>45316</v>
      </c>
      <c r="L13644" s="0" t="str">
        <f aca="false">HYPERLINK("https://www.ncbi.nlm.nih.gov/nuccore/CP000058.1?report=graph&amp;tracks=[key:gene_model_track,Options:GeneOnly]&amp;mk=4248745:4248764|offset_12|444444,4248717:4248736|offset_40|444444,4248687:4248706|offset_70|444444,4248659:4248678|offset_98|00cc00&amp;v=4248544:4248878&amp;c=444444", "offset 98")</f>
        <v>offset 98</v>
      </c>
    </row>
    <row r="13645" customFormat="false" ht="12.8" hidden="false" customHeight="false" outlineLevel="0" collapsed="false">
      <c r="A13645" s="0" t="s">
        <v>12</v>
      </c>
      <c r="B13645" s="0" t="n">
        <v>4249394</v>
      </c>
      <c r="C13645" s="0" t="n">
        <v>4249414</v>
      </c>
      <c r="D13645" s="0" t="s">
        <v>45317</v>
      </c>
      <c r="E13645" s="0" t="s">
        <v>45318</v>
      </c>
      <c r="F13645" s="0" t="s">
        <v>90</v>
      </c>
      <c r="G13645" s="0" t="s">
        <v>36</v>
      </c>
      <c r="H13645" s="0" t="n">
        <v>13</v>
      </c>
      <c r="I13645" s="0" t="s">
        <v>45319</v>
      </c>
      <c r="J13645" s="0" t="s">
        <v>45320</v>
      </c>
      <c r="K13645" s="0" t="s">
        <v>45321</v>
      </c>
      <c r="L13645" s="0" t="str">
        <f aca="false">HYPERLINK("https://www.ncbi.nlm.nih.gov/nuccore/CP000058.1?report=graph&amp;tracks=[key:gene_model_track,Options:GeneOnly]&amp;mk=4249395:4249414|offset_13|00cc00,4249347:4249366|offset_61|444444,4249326:4249345|offset_82|444444,4249304:4249323|offset_104|444444&amp;v=4249194:4249523&amp;c=444444", "offset 13")</f>
        <v>offset 13</v>
      </c>
    </row>
    <row r="13646" customFormat="false" ht="12.8" hidden="false" customHeight="false" outlineLevel="0" collapsed="false">
      <c r="A13646" s="0" t="s">
        <v>12</v>
      </c>
      <c r="B13646" s="0" t="n">
        <v>4249346</v>
      </c>
      <c r="C13646" s="0" t="n">
        <v>4249366</v>
      </c>
      <c r="D13646" s="0" t="s">
        <v>45317</v>
      </c>
      <c r="E13646" s="0" t="s">
        <v>45318</v>
      </c>
      <c r="F13646" s="0" t="s">
        <v>90</v>
      </c>
      <c r="G13646" s="0" t="s">
        <v>16</v>
      </c>
      <c r="H13646" s="0" t="n">
        <v>61</v>
      </c>
      <c r="I13646" s="0" t="s">
        <v>45322</v>
      </c>
      <c r="J13646" s="0" t="s">
        <v>45323</v>
      </c>
      <c r="K13646" s="0" t="s">
        <v>45324</v>
      </c>
      <c r="L13646" s="0" t="str">
        <f aca="false">HYPERLINK("https://www.ncbi.nlm.nih.gov/nuccore/CP000058.1?report=graph&amp;tracks=[key:gene_model_track,Options:GeneOnly]&amp;mk=4249395:4249414|offset_13|444444,4249347:4249366|offset_61|00cc00,4249326:4249345|offset_82|444444,4249304:4249323|offset_104|444444&amp;v=4249194:4249523&amp;c=444444", "offset 61")</f>
        <v>offset 61</v>
      </c>
    </row>
    <row r="13647" customFormat="false" ht="12.8" hidden="false" customHeight="false" outlineLevel="0" collapsed="false">
      <c r="A13647" s="0" t="s">
        <v>12</v>
      </c>
      <c r="B13647" s="0" t="n">
        <v>4249325</v>
      </c>
      <c r="C13647" s="0" t="n">
        <v>4249345</v>
      </c>
      <c r="D13647" s="0" t="s">
        <v>45317</v>
      </c>
      <c r="E13647" s="0" t="s">
        <v>45318</v>
      </c>
      <c r="F13647" s="0" t="s">
        <v>90</v>
      </c>
      <c r="G13647" s="0" t="s">
        <v>32</v>
      </c>
      <c r="H13647" s="0" t="n">
        <v>82</v>
      </c>
      <c r="I13647" s="0" t="s">
        <v>45325</v>
      </c>
      <c r="J13647" s="0" t="s">
        <v>45326</v>
      </c>
      <c r="K13647" s="0" t="s">
        <v>45327</v>
      </c>
      <c r="L13647" s="0" t="str">
        <f aca="false">HYPERLINK("https://www.ncbi.nlm.nih.gov/nuccore/CP000058.1?report=graph&amp;tracks=[key:gene_model_track,Options:GeneOnly]&amp;mk=4249395:4249414|offset_13|444444,4249347:4249366|offset_61|444444,4249326:4249345|offset_82|00cc00,4249304:4249323|offset_104|444444&amp;v=4249194:4249523&amp;c=444444", "offset 82")</f>
        <v>offset 82</v>
      </c>
    </row>
    <row r="13648" customFormat="false" ht="12.8" hidden="false" customHeight="false" outlineLevel="0" collapsed="false">
      <c r="A13648" s="0" t="s">
        <v>12</v>
      </c>
      <c r="B13648" s="0" t="n">
        <v>4249303</v>
      </c>
      <c r="C13648" s="0" t="n">
        <v>4249323</v>
      </c>
      <c r="D13648" s="0" t="s">
        <v>45317</v>
      </c>
      <c r="E13648" s="0" t="s">
        <v>45318</v>
      </c>
      <c r="F13648" s="0" t="s">
        <v>90</v>
      </c>
      <c r="G13648" s="0" t="s">
        <v>20</v>
      </c>
      <c r="H13648" s="0" t="n">
        <v>104</v>
      </c>
      <c r="I13648" s="0" t="s">
        <v>45328</v>
      </c>
      <c r="J13648" s="0" t="s">
        <v>45329</v>
      </c>
      <c r="K13648" s="0" t="s">
        <v>45330</v>
      </c>
      <c r="L13648" s="0" t="str">
        <f aca="false">HYPERLINK("https://www.ncbi.nlm.nih.gov/nuccore/CP000058.1?report=graph&amp;tracks=[key:gene_model_track,Options:GeneOnly]&amp;mk=4249395:4249414|offset_13|444444,4249347:4249366|offset_61|444444,4249326:4249345|offset_82|444444,4249304:4249323|offset_104|00cc00&amp;v=4249194:4249523&amp;c=444444", "offset 104")</f>
        <v>offset 104</v>
      </c>
    </row>
    <row r="13649" customFormat="false" ht="12.8" hidden="false" customHeight="false" outlineLevel="0" collapsed="false">
      <c r="A13649" s="0" t="s">
        <v>12</v>
      </c>
      <c r="B13649" s="0" t="n">
        <v>4249852</v>
      </c>
      <c r="C13649" s="0" t="n">
        <v>4249872</v>
      </c>
      <c r="D13649" s="0" t="s">
        <v>45331</v>
      </c>
      <c r="E13649" s="0" t="s">
        <v>75</v>
      </c>
      <c r="F13649" s="0" t="s">
        <v>15</v>
      </c>
      <c r="G13649" s="0" t="s">
        <v>32</v>
      </c>
      <c r="H13649" s="0" t="n">
        <v>1</v>
      </c>
      <c r="I13649" s="0" t="s">
        <v>45332</v>
      </c>
      <c r="J13649" s="0" t="s">
        <v>45333</v>
      </c>
      <c r="K13649" s="0" t="s">
        <v>45334</v>
      </c>
      <c r="L13649" s="0" t="str">
        <f aca="false">HYPERLINK("https://www.ncbi.nlm.nih.gov/nuccore/CP000058.1?report=graph&amp;tracks=[key:gene_model_track,Options:GeneOnly]&amp;mk=4249853:4249872|offset_1|00cc00,4249898:4249917|offset_46|444444,4249931:4249950|offset_79|444444,4249956:4249975|offset_104|444444&amp;v=4249652:4250175&amp;c=444444", "offset 1")</f>
        <v>offset 1</v>
      </c>
    </row>
    <row r="13650" customFormat="false" ht="12.8" hidden="false" customHeight="false" outlineLevel="0" collapsed="false">
      <c r="A13650" s="0" t="s">
        <v>12</v>
      </c>
      <c r="B13650" s="0" t="n">
        <v>4249897</v>
      </c>
      <c r="C13650" s="0" t="n">
        <v>4249917</v>
      </c>
      <c r="D13650" s="0" t="s">
        <v>45331</v>
      </c>
      <c r="E13650" s="0" t="s">
        <v>75</v>
      </c>
      <c r="F13650" s="0" t="s">
        <v>15</v>
      </c>
      <c r="G13650" s="0" t="s">
        <v>16</v>
      </c>
      <c r="H13650" s="0" t="n">
        <v>46</v>
      </c>
      <c r="I13650" s="0" t="s">
        <v>45335</v>
      </c>
      <c r="J13650" s="0" t="s">
        <v>45336</v>
      </c>
      <c r="K13650" s="0" t="s">
        <v>45337</v>
      </c>
      <c r="L13650" s="0" t="str">
        <f aca="false">HYPERLINK("https://www.ncbi.nlm.nih.gov/nuccore/CP000058.1?report=graph&amp;tracks=[key:gene_model_track,Options:GeneOnly]&amp;mk=4249853:4249872|offset_1|444444,4249898:4249917|offset_46|00cc00,4249931:4249950|offset_79|444444,4249956:4249975|offset_104|444444&amp;v=4249652:4250175&amp;c=444444", "offset 46")</f>
        <v>offset 46</v>
      </c>
    </row>
    <row r="13651" customFormat="false" ht="12.8" hidden="false" customHeight="false" outlineLevel="0" collapsed="false">
      <c r="A13651" s="0" t="s">
        <v>12</v>
      </c>
      <c r="B13651" s="0" t="n">
        <v>4249930</v>
      </c>
      <c r="C13651" s="0" t="n">
        <v>4249950</v>
      </c>
      <c r="D13651" s="0" t="s">
        <v>45331</v>
      </c>
      <c r="E13651" s="0" t="s">
        <v>75</v>
      </c>
      <c r="F13651" s="0" t="s">
        <v>15</v>
      </c>
      <c r="G13651" s="0" t="s">
        <v>36</v>
      </c>
      <c r="H13651" s="0" t="n">
        <v>79</v>
      </c>
      <c r="I13651" s="0" t="s">
        <v>45338</v>
      </c>
      <c r="J13651" s="0" t="s">
        <v>45339</v>
      </c>
      <c r="K13651" s="0" t="s">
        <v>45340</v>
      </c>
      <c r="L13651" s="0" t="str">
        <f aca="false">HYPERLINK("https://www.ncbi.nlm.nih.gov/nuccore/CP000058.1?report=graph&amp;tracks=[key:gene_model_track,Options:GeneOnly]&amp;mk=4249853:4249872|offset_1|444444,4249898:4249917|offset_46|444444,4249931:4249950|offset_79|00cc00,4249956:4249975|offset_104|444444&amp;v=4249652:4250175&amp;c=444444", "offset 79")</f>
        <v>offset 79</v>
      </c>
    </row>
    <row r="13652" customFormat="false" ht="12.8" hidden="false" customHeight="false" outlineLevel="0" collapsed="false">
      <c r="A13652" s="0" t="s">
        <v>12</v>
      </c>
      <c r="B13652" s="0" t="n">
        <v>4249955</v>
      </c>
      <c r="C13652" s="0" t="n">
        <v>4249975</v>
      </c>
      <c r="D13652" s="0" t="s">
        <v>45331</v>
      </c>
      <c r="E13652" s="0" t="s">
        <v>75</v>
      </c>
      <c r="F13652" s="0" t="s">
        <v>15</v>
      </c>
      <c r="G13652" s="0" t="s">
        <v>36</v>
      </c>
      <c r="H13652" s="0" t="n">
        <v>104</v>
      </c>
      <c r="I13652" s="0" t="s">
        <v>45341</v>
      </c>
      <c r="J13652" s="0" t="s">
        <v>45342</v>
      </c>
      <c r="K13652" s="0" t="s">
        <v>45343</v>
      </c>
      <c r="L13652" s="0" t="str">
        <f aca="false">HYPERLINK("https://www.ncbi.nlm.nih.gov/nuccore/CP000058.1?report=graph&amp;tracks=[key:gene_model_track,Options:GeneOnly]&amp;mk=4249853:4249872|offset_1|444444,4249898:4249917|offset_46|444444,4249931:4249950|offset_79|444444,4249956:4249975|offset_104|00cc00&amp;v=4249652:4250175&amp;c=444444", "offset 104")</f>
        <v>offset 104</v>
      </c>
    </row>
    <row r="13653" customFormat="false" ht="12.8" hidden="false" customHeight="false" outlineLevel="0" collapsed="false">
      <c r="A13653" s="0" t="s">
        <v>12</v>
      </c>
      <c r="B13653" s="0" t="n">
        <v>4251927</v>
      </c>
      <c r="C13653" s="0" t="n">
        <v>4251947</v>
      </c>
      <c r="D13653" s="0" t="s">
        <v>45344</v>
      </c>
      <c r="E13653" s="0" t="s">
        <v>75</v>
      </c>
      <c r="F13653" s="0" t="s">
        <v>90</v>
      </c>
      <c r="G13653" s="0" t="s">
        <v>20</v>
      </c>
      <c r="H13653" s="0" t="n">
        <v>20</v>
      </c>
      <c r="I13653" s="0" t="s">
        <v>45345</v>
      </c>
      <c r="J13653" s="0" t="s">
        <v>45346</v>
      </c>
      <c r="K13653" s="0" t="s">
        <v>45347</v>
      </c>
      <c r="L13653" s="0" t="str">
        <f aca="false">HYPERLINK("https://www.ncbi.nlm.nih.gov/nuccore/CP000058.1?report=graph&amp;tracks=[key:gene_model_track,Options:GeneOnly]&amp;mk=4251928:4251947|offset_20|00cc00,4251893:4251912|offset_55|444444,4251873:4251892|offset_75|444444,4251843:4251862|offset_105|444444&amp;v=4251727:4252062&amp;c=444444", "offset 20")</f>
        <v>offset 20</v>
      </c>
    </row>
    <row r="13654" customFormat="false" ht="12.8" hidden="false" customHeight="false" outlineLevel="0" collapsed="false">
      <c r="A13654" s="0" t="s">
        <v>12</v>
      </c>
      <c r="B13654" s="0" t="n">
        <v>4251892</v>
      </c>
      <c r="C13654" s="0" t="n">
        <v>4251912</v>
      </c>
      <c r="D13654" s="0" t="s">
        <v>45344</v>
      </c>
      <c r="E13654" s="0" t="s">
        <v>75</v>
      </c>
      <c r="F13654" s="0" t="s">
        <v>90</v>
      </c>
      <c r="G13654" s="0" t="s">
        <v>20</v>
      </c>
      <c r="H13654" s="0" t="n">
        <v>55</v>
      </c>
      <c r="I13654" s="0" t="s">
        <v>45348</v>
      </c>
      <c r="J13654" s="0" t="s">
        <v>45349</v>
      </c>
      <c r="K13654" s="0" t="s">
        <v>45350</v>
      </c>
      <c r="L13654" s="0" t="str">
        <f aca="false">HYPERLINK("https://www.ncbi.nlm.nih.gov/nuccore/CP000058.1?report=graph&amp;tracks=[key:gene_model_track,Options:GeneOnly]&amp;mk=4251928:4251947|offset_20|444444,4251893:4251912|offset_55|00cc00,4251873:4251892|offset_75|444444,4251843:4251862|offset_105|444444&amp;v=4251727:4252062&amp;c=444444", "offset 55")</f>
        <v>offset 55</v>
      </c>
    </row>
    <row r="13655" customFormat="false" ht="12.8" hidden="false" customHeight="false" outlineLevel="0" collapsed="false">
      <c r="A13655" s="0" t="s">
        <v>12</v>
      </c>
      <c r="B13655" s="0" t="n">
        <v>4251872</v>
      </c>
      <c r="C13655" s="0" t="n">
        <v>4251892</v>
      </c>
      <c r="D13655" s="0" t="s">
        <v>45344</v>
      </c>
      <c r="E13655" s="0" t="s">
        <v>75</v>
      </c>
      <c r="F13655" s="0" t="s">
        <v>90</v>
      </c>
      <c r="G13655" s="0" t="s">
        <v>16</v>
      </c>
      <c r="H13655" s="0" t="n">
        <v>75</v>
      </c>
      <c r="I13655" s="0" t="s">
        <v>45351</v>
      </c>
      <c r="J13655" s="0" t="s">
        <v>45352</v>
      </c>
      <c r="K13655" s="0" t="s">
        <v>45353</v>
      </c>
      <c r="L13655" s="0" t="str">
        <f aca="false">HYPERLINK("https://www.ncbi.nlm.nih.gov/nuccore/CP000058.1?report=graph&amp;tracks=[key:gene_model_track,Options:GeneOnly]&amp;mk=4251928:4251947|offset_20|444444,4251893:4251912|offset_55|444444,4251873:4251892|offset_75|00cc00,4251843:4251862|offset_105|444444&amp;v=4251727:4252062&amp;c=444444", "offset 75")</f>
        <v>offset 75</v>
      </c>
    </row>
    <row r="13656" customFormat="false" ht="12.8" hidden="false" customHeight="false" outlineLevel="0" collapsed="false">
      <c r="A13656" s="0" t="s">
        <v>12</v>
      </c>
      <c r="B13656" s="0" t="n">
        <v>4251842</v>
      </c>
      <c r="C13656" s="0" t="n">
        <v>4251862</v>
      </c>
      <c r="D13656" s="0" t="s">
        <v>45344</v>
      </c>
      <c r="E13656" s="0" t="s">
        <v>75</v>
      </c>
      <c r="F13656" s="0" t="s">
        <v>90</v>
      </c>
      <c r="G13656" s="0" t="s">
        <v>16</v>
      </c>
      <c r="H13656" s="0" t="n">
        <v>105</v>
      </c>
      <c r="I13656" s="0" t="s">
        <v>45354</v>
      </c>
      <c r="J13656" s="0" t="s">
        <v>45355</v>
      </c>
      <c r="K13656" s="0" t="s">
        <v>45356</v>
      </c>
      <c r="L13656" s="0" t="str">
        <f aca="false">HYPERLINK("https://www.ncbi.nlm.nih.gov/nuccore/CP000058.1?report=graph&amp;tracks=[key:gene_model_track,Options:GeneOnly]&amp;mk=4251928:4251947|offset_20|444444,4251893:4251912|offset_55|444444,4251873:4251892|offset_75|444444,4251843:4251862|offset_105|00cc00&amp;v=4251727:4252062&amp;c=444444", "offset 105")</f>
        <v>offset 105</v>
      </c>
    </row>
    <row r="13657" customFormat="false" ht="12.8" hidden="false" customHeight="false" outlineLevel="0" collapsed="false">
      <c r="A13657" s="0" t="s">
        <v>12</v>
      </c>
      <c r="B13657" s="0" t="n">
        <v>4252760</v>
      </c>
      <c r="C13657" s="0" t="n">
        <v>4252780</v>
      </c>
      <c r="D13657" s="0" t="s">
        <v>45357</v>
      </c>
      <c r="E13657" s="0" t="s">
        <v>75</v>
      </c>
      <c r="F13657" s="0" t="s">
        <v>90</v>
      </c>
      <c r="G13657" s="0" t="s">
        <v>36</v>
      </c>
      <c r="H13657" s="0" t="n">
        <v>6</v>
      </c>
      <c r="I13657" s="0" t="s">
        <v>45358</v>
      </c>
      <c r="J13657" s="0" t="s">
        <v>45359</v>
      </c>
      <c r="K13657" s="0" t="s">
        <v>45360</v>
      </c>
      <c r="L13657" s="0" t="str">
        <f aca="false">HYPERLINK("https://www.ncbi.nlm.nih.gov/nuccore/CP000058.1?report=graph&amp;tracks=[key:gene_model_track,Options:GeneOnly]&amp;mk=4252761:4252780|offset_6|00cc00,4252737:4252756|offset_30|444444,4252708:4252727|offset_59|444444,4252683:4252702|offset_84|444444&amp;v=4252560:4252902&amp;c=444444", "offset 6")</f>
        <v>offset 6</v>
      </c>
    </row>
    <row r="13658" customFormat="false" ht="12.8" hidden="false" customHeight="false" outlineLevel="0" collapsed="false">
      <c r="A13658" s="0" t="s">
        <v>12</v>
      </c>
      <c r="B13658" s="0" t="n">
        <v>4252736</v>
      </c>
      <c r="C13658" s="0" t="n">
        <v>4252756</v>
      </c>
      <c r="D13658" s="0" t="s">
        <v>45357</v>
      </c>
      <c r="E13658" s="0" t="s">
        <v>75</v>
      </c>
      <c r="F13658" s="0" t="s">
        <v>90</v>
      </c>
      <c r="G13658" s="0" t="s">
        <v>36</v>
      </c>
      <c r="H13658" s="0" t="n">
        <v>30</v>
      </c>
      <c r="I13658" s="0" t="s">
        <v>45361</v>
      </c>
      <c r="J13658" s="0" t="s">
        <v>45362</v>
      </c>
      <c r="K13658" s="0" t="s">
        <v>45363</v>
      </c>
      <c r="L13658" s="0" t="str">
        <f aca="false">HYPERLINK("https://www.ncbi.nlm.nih.gov/nuccore/CP000058.1?report=graph&amp;tracks=[key:gene_model_track,Options:GeneOnly]&amp;mk=4252761:4252780|offset_6|444444,4252737:4252756|offset_30|00cc00,4252708:4252727|offset_59|444444,4252683:4252702|offset_84|444444&amp;v=4252560:4252902&amp;c=444444", "offset 30")</f>
        <v>offset 30</v>
      </c>
    </row>
    <row r="13659" customFormat="false" ht="12.8" hidden="false" customHeight="false" outlineLevel="0" collapsed="false">
      <c r="A13659" s="0" t="s">
        <v>12</v>
      </c>
      <c r="B13659" s="0" t="n">
        <v>4252707</v>
      </c>
      <c r="C13659" s="0" t="n">
        <v>4252727</v>
      </c>
      <c r="D13659" s="0" t="s">
        <v>45357</v>
      </c>
      <c r="E13659" s="0" t="s">
        <v>75</v>
      </c>
      <c r="F13659" s="0" t="s">
        <v>90</v>
      </c>
      <c r="G13659" s="0" t="s">
        <v>20</v>
      </c>
      <c r="H13659" s="0" t="n">
        <v>59</v>
      </c>
      <c r="I13659" s="0" t="s">
        <v>45364</v>
      </c>
      <c r="J13659" s="0" t="s">
        <v>45365</v>
      </c>
      <c r="K13659" s="0" t="s">
        <v>45366</v>
      </c>
      <c r="L13659" s="0" t="str">
        <f aca="false">HYPERLINK("https://www.ncbi.nlm.nih.gov/nuccore/CP000058.1?report=graph&amp;tracks=[key:gene_model_track,Options:GeneOnly]&amp;mk=4252761:4252780|offset_6|444444,4252737:4252756|offset_30|444444,4252708:4252727|offset_59|00cc00,4252683:4252702|offset_84|444444&amp;v=4252560:4252902&amp;c=444444", "offset 59")</f>
        <v>offset 59</v>
      </c>
    </row>
    <row r="13660" customFormat="false" ht="12.8" hidden="false" customHeight="false" outlineLevel="0" collapsed="false">
      <c r="A13660" s="0" t="s">
        <v>12</v>
      </c>
      <c r="B13660" s="0" t="n">
        <v>4252682</v>
      </c>
      <c r="C13660" s="0" t="n">
        <v>4252702</v>
      </c>
      <c r="D13660" s="0" t="s">
        <v>45357</v>
      </c>
      <c r="E13660" s="0" t="s">
        <v>75</v>
      </c>
      <c r="F13660" s="0" t="s">
        <v>90</v>
      </c>
      <c r="G13660" s="0" t="s">
        <v>16</v>
      </c>
      <c r="H13660" s="0" t="n">
        <v>84</v>
      </c>
      <c r="I13660" s="0" t="s">
        <v>45367</v>
      </c>
      <c r="J13660" s="0" t="s">
        <v>45368</v>
      </c>
      <c r="K13660" s="0" t="s">
        <v>45369</v>
      </c>
      <c r="L13660" s="0" t="str">
        <f aca="false">HYPERLINK("https://www.ncbi.nlm.nih.gov/nuccore/CP000058.1?report=graph&amp;tracks=[key:gene_model_track,Options:GeneOnly]&amp;mk=4252761:4252780|offset_6|444444,4252737:4252756|offset_30|444444,4252708:4252727|offset_59|444444,4252683:4252702|offset_84|00cc00&amp;v=4252560:4252902&amp;c=444444", "offset 84")</f>
        <v>offset 84</v>
      </c>
    </row>
    <row r="13661" customFormat="false" ht="12.8" hidden="false" customHeight="false" outlineLevel="0" collapsed="false">
      <c r="A13661" s="0" t="s">
        <v>12</v>
      </c>
      <c r="B13661" s="0" t="n">
        <v>4253553</v>
      </c>
      <c r="C13661" s="0" t="n">
        <v>4253573</v>
      </c>
      <c r="D13661" s="0" t="s">
        <v>45370</v>
      </c>
      <c r="E13661" s="0" t="s">
        <v>75</v>
      </c>
      <c r="F13661" s="0" t="s">
        <v>90</v>
      </c>
      <c r="G13661" s="0" t="s">
        <v>32</v>
      </c>
      <c r="H13661" s="0" t="n">
        <v>26</v>
      </c>
      <c r="I13661" s="0" t="s">
        <v>45371</v>
      </c>
      <c r="J13661" s="0" t="s">
        <v>45372</v>
      </c>
      <c r="K13661" s="0" t="s">
        <v>45373</v>
      </c>
      <c r="L13661" s="0" t="str">
        <f aca="false">HYPERLINK("https://www.ncbi.nlm.nih.gov/nuccore/CP000058.1?report=graph&amp;tracks=[key:gene_model_track,Options:GeneOnly]&amp;mk=4253554:4253573|offset_26|00cc00,4253528:4253547|offset_52|444444,4253500:4253519|offset_80|444444,4253456:4253475|offset_124|444444&amp;v=4253353:4253675&amp;c=444444", "offset 26")</f>
        <v>offset 26</v>
      </c>
    </row>
    <row r="13662" customFormat="false" ht="12.8" hidden="false" customHeight="false" outlineLevel="0" collapsed="false">
      <c r="A13662" s="0" t="s">
        <v>12</v>
      </c>
      <c r="B13662" s="0" t="n">
        <v>4253527</v>
      </c>
      <c r="C13662" s="0" t="n">
        <v>4253547</v>
      </c>
      <c r="D13662" s="0" t="s">
        <v>45370</v>
      </c>
      <c r="E13662" s="0" t="s">
        <v>75</v>
      </c>
      <c r="F13662" s="0" t="s">
        <v>90</v>
      </c>
      <c r="G13662" s="0" t="s">
        <v>16</v>
      </c>
      <c r="H13662" s="0" t="n">
        <v>52</v>
      </c>
      <c r="I13662" s="0" t="s">
        <v>45374</v>
      </c>
      <c r="J13662" s="0" t="s">
        <v>45375</v>
      </c>
      <c r="K13662" s="0" t="s">
        <v>45376</v>
      </c>
      <c r="L13662" s="0" t="str">
        <f aca="false">HYPERLINK("https://www.ncbi.nlm.nih.gov/nuccore/CP000058.1?report=graph&amp;tracks=[key:gene_model_track,Options:GeneOnly]&amp;mk=4253554:4253573|offset_26|444444,4253528:4253547|offset_52|00cc00,4253500:4253519|offset_80|444444,4253456:4253475|offset_124|444444&amp;v=4253353:4253675&amp;c=444444", "offset 52")</f>
        <v>offset 52</v>
      </c>
    </row>
    <row r="13663" customFormat="false" ht="12.8" hidden="false" customHeight="false" outlineLevel="0" collapsed="false">
      <c r="A13663" s="0" t="s">
        <v>12</v>
      </c>
      <c r="B13663" s="0" t="n">
        <v>4253499</v>
      </c>
      <c r="C13663" s="0" t="n">
        <v>4253519</v>
      </c>
      <c r="D13663" s="0" t="s">
        <v>45370</v>
      </c>
      <c r="E13663" s="0" t="s">
        <v>75</v>
      </c>
      <c r="F13663" s="0" t="s">
        <v>90</v>
      </c>
      <c r="G13663" s="0" t="s">
        <v>20</v>
      </c>
      <c r="H13663" s="0" t="n">
        <v>80</v>
      </c>
      <c r="I13663" s="0" t="s">
        <v>45377</v>
      </c>
      <c r="J13663" s="0" t="s">
        <v>45378</v>
      </c>
      <c r="K13663" s="0" t="s">
        <v>45379</v>
      </c>
      <c r="L13663" s="0" t="str">
        <f aca="false">HYPERLINK("https://www.ncbi.nlm.nih.gov/nuccore/CP000058.1?report=graph&amp;tracks=[key:gene_model_track,Options:GeneOnly]&amp;mk=4253554:4253573|offset_26|444444,4253528:4253547|offset_52|444444,4253500:4253519|offset_80|00cc00,4253456:4253475|offset_124|444444&amp;v=4253353:4253675&amp;c=444444", "offset 80")</f>
        <v>offset 80</v>
      </c>
    </row>
    <row r="13664" customFormat="false" ht="12.8" hidden="false" customHeight="false" outlineLevel="0" collapsed="false">
      <c r="A13664" s="0" t="s">
        <v>12</v>
      </c>
      <c r="B13664" s="0" t="n">
        <v>4253455</v>
      </c>
      <c r="C13664" s="0" t="n">
        <v>4253475</v>
      </c>
      <c r="D13664" s="0" t="s">
        <v>45370</v>
      </c>
      <c r="E13664" s="0" t="s">
        <v>75</v>
      </c>
      <c r="F13664" s="0" t="s">
        <v>90</v>
      </c>
      <c r="G13664" s="0" t="s">
        <v>16</v>
      </c>
      <c r="H13664" s="0" t="n">
        <v>124</v>
      </c>
      <c r="I13664" s="0" t="s">
        <v>45380</v>
      </c>
      <c r="J13664" s="0" t="s">
        <v>45381</v>
      </c>
      <c r="K13664" s="0" t="s">
        <v>45382</v>
      </c>
      <c r="L13664" s="0" t="str">
        <f aca="false">HYPERLINK("https://www.ncbi.nlm.nih.gov/nuccore/CP000058.1?report=graph&amp;tracks=[key:gene_model_track,Options:GeneOnly]&amp;mk=4253554:4253573|offset_26|444444,4253528:4253547|offset_52|444444,4253500:4253519|offset_80|444444,4253456:4253475|offset_124|00cc00&amp;v=4253353:4253675&amp;c=444444", "offset 124")</f>
        <v>offset 124</v>
      </c>
    </row>
    <row r="13665" customFormat="false" ht="12.8" hidden="false" customHeight="false" outlineLevel="0" collapsed="false">
      <c r="A13665" s="0" t="s">
        <v>12</v>
      </c>
      <c r="B13665" s="0" t="n">
        <v>4254289</v>
      </c>
      <c r="C13665" s="0" t="n">
        <v>4254309</v>
      </c>
      <c r="D13665" s="0" t="s">
        <v>45383</v>
      </c>
      <c r="E13665" s="0" t="s">
        <v>75</v>
      </c>
      <c r="F13665" s="0" t="s">
        <v>90</v>
      </c>
      <c r="G13665" s="0" t="s">
        <v>16</v>
      </c>
      <c r="H13665" s="0" t="n">
        <v>9</v>
      </c>
      <c r="I13665" s="0" t="s">
        <v>45384</v>
      </c>
      <c r="J13665" s="0" t="s">
        <v>45385</v>
      </c>
      <c r="K13665" s="0" t="s">
        <v>45386</v>
      </c>
      <c r="L13665" s="0" t="str">
        <f aca="false">HYPERLINK("https://www.ncbi.nlm.nih.gov/nuccore/CP000058.1?report=graph&amp;tracks=[key:gene_model_track,Options:GeneOnly]&amp;mk=4254290:4254309|offset_9|00cc00,4254250:4254269|offset_49|444444,4254230:4254249|offset_69|444444,4254181:4254200|offset_118|444444&amp;v=4254089:4254400&amp;c=444444", "offset 9")</f>
        <v>offset 9</v>
      </c>
    </row>
    <row r="13666" customFormat="false" ht="12.8" hidden="false" customHeight="false" outlineLevel="0" collapsed="false">
      <c r="A13666" s="0" t="s">
        <v>12</v>
      </c>
      <c r="B13666" s="0" t="n">
        <v>4254249</v>
      </c>
      <c r="C13666" s="0" t="n">
        <v>4254269</v>
      </c>
      <c r="D13666" s="0" t="s">
        <v>45383</v>
      </c>
      <c r="E13666" s="0" t="s">
        <v>75</v>
      </c>
      <c r="F13666" s="0" t="s">
        <v>90</v>
      </c>
      <c r="G13666" s="0" t="s">
        <v>32</v>
      </c>
      <c r="H13666" s="0" t="n">
        <v>49</v>
      </c>
      <c r="I13666" s="0" t="s">
        <v>45387</v>
      </c>
      <c r="J13666" s="0" t="s">
        <v>45388</v>
      </c>
      <c r="K13666" s="0" t="s">
        <v>45389</v>
      </c>
      <c r="L13666" s="0" t="str">
        <f aca="false">HYPERLINK("https://www.ncbi.nlm.nih.gov/nuccore/CP000058.1?report=graph&amp;tracks=[key:gene_model_track,Options:GeneOnly]&amp;mk=4254290:4254309|offset_9|444444,4254250:4254269|offset_49|00cc00,4254230:4254249|offset_69|444444,4254181:4254200|offset_118|444444&amp;v=4254089:4254400&amp;c=444444", "offset 49")</f>
        <v>offset 49</v>
      </c>
    </row>
    <row r="13667" customFormat="false" ht="12.8" hidden="false" customHeight="false" outlineLevel="0" collapsed="false">
      <c r="A13667" s="0" t="s">
        <v>12</v>
      </c>
      <c r="B13667" s="0" t="n">
        <v>4254229</v>
      </c>
      <c r="C13667" s="0" t="n">
        <v>4254249</v>
      </c>
      <c r="D13667" s="0" t="s">
        <v>45383</v>
      </c>
      <c r="E13667" s="0" t="s">
        <v>75</v>
      </c>
      <c r="F13667" s="0" t="s">
        <v>90</v>
      </c>
      <c r="G13667" s="0" t="s">
        <v>32</v>
      </c>
      <c r="H13667" s="0" t="n">
        <v>69</v>
      </c>
      <c r="I13667" s="0" t="s">
        <v>45390</v>
      </c>
      <c r="J13667" s="0" t="s">
        <v>45391</v>
      </c>
      <c r="K13667" s="0" t="s">
        <v>45392</v>
      </c>
      <c r="L13667" s="0" t="str">
        <f aca="false">HYPERLINK("https://www.ncbi.nlm.nih.gov/nuccore/CP000058.1?report=graph&amp;tracks=[key:gene_model_track,Options:GeneOnly]&amp;mk=4254290:4254309|offset_9|444444,4254250:4254269|offset_49|444444,4254230:4254249|offset_69|00cc00,4254181:4254200|offset_118|444444&amp;v=4254089:4254400&amp;c=444444", "offset 69")</f>
        <v>offset 69</v>
      </c>
    </row>
    <row r="13668" customFormat="false" ht="12.8" hidden="false" customHeight="false" outlineLevel="0" collapsed="false">
      <c r="A13668" s="0" t="s">
        <v>12</v>
      </c>
      <c r="B13668" s="0" t="n">
        <v>4254180</v>
      </c>
      <c r="C13668" s="0" t="n">
        <v>4254200</v>
      </c>
      <c r="D13668" s="0" t="s">
        <v>45383</v>
      </c>
      <c r="E13668" s="0" t="s">
        <v>75</v>
      </c>
      <c r="F13668" s="0" t="s">
        <v>90</v>
      </c>
      <c r="G13668" s="0" t="s">
        <v>16</v>
      </c>
      <c r="H13668" s="0" t="n">
        <v>118</v>
      </c>
      <c r="I13668" s="0" t="s">
        <v>45393</v>
      </c>
      <c r="J13668" s="0" t="s">
        <v>45394</v>
      </c>
      <c r="K13668" s="0" t="s">
        <v>45395</v>
      </c>
      <c r="L13668" s="0" t="str">
        <f aca="false">HYPERLINK("https://www.ncbi.nlm.nih.gov/nuccore/CP000058.1?report=graph&amp;tracks=[key:gene_model_track,Options:GeneOnly]&amp;mk=4254290:4254309|offset_9|444444,4254250:4254269|offset_49|444444,4254230:4254249|offset_69|444444,4254181:4254200|offset_118|00cc00&amp;v=4254089:4254400&amp;c=444444", "offset 118")</f>
        <v>offset 118</v>
      </c>
    </row>
    <row r="13669" customFormat="false" ht="12.8" hidden="false" customHeight="false" outlineLevel="0" collapsed="false">
      <c r="A13669" s="0" t="s">
        <v>12</v>
      </c>
      <c r="B13669" s="0" t="n">
        <v>4255551</v>
      </c>
      <c r="C13669" s="0" t="n">
        <v>4255571</v>
      </c>
      <c r="D13669" s="0" t="s">
        <v>45396</v>
      </c>
      <c r="E13669" s="0" t="s">
        <v>75</v>
      </c>
      <c r="F13669" s="0" t="s">
        <v>90</v>
      </c>
      <c r="G13669" s="0" t="s">
        <v>20</v>
      </c>
      <c r="H13669" s="0" t="n">
        <v>38</v>
      </c>
      <c r="I13669" s="0" t="s">
        <v>45397</v>
      </c>
      <c r="J13669" s="0" t="s">
        <v>45398</v>
      </c>
      <c r="K13669" s="0" t="s">
        <v>45399</v>
      </c>
      <c r="L13669" s="0" t="str">
        <f aca="false">HYPERLINK("https://www.ncbi.nlm.nih.gov/nuccore/CP000058.1?report=graph&amp;tracks=[key:gene_model_track,Options:GeneOnly]&amp;mk=4255552:4255571|offset_38|00cc00,4255510:4255529|offset_80|444444,4255478:4255497|offset_112|444444,4255439:4255458|offset_151|444444&amp;v=4255351:4255658&amp;c=444444", "offset 38")</f>
        <v>offset 38</v>
      </c>
    </row>
    <row r="13670" customFormat="false" ht="12.8" hidden="false" customHeight="false" outlineLevel="0" collapsed="false">
      <c r="A13670" s="0" t="s">
        <v>12</v>
      </c>
      <c r="B13670" s="0" t="n">
        <v>4255509</v>
      </c>
      <c r="C13670" s="0" t="n">
        <v>4255529</v>
      </c>
      <c r="D13670" s="0" t="s">
        <v>45396</v>
      </c>
      <c r="E13670" s="0" t="s">
        <v>75</v>
      </c>
      <c r="F13670" s="0" t="s">
        <v>90</v>
      </c>
      <c r="G13670" s="0" t="s">
        <v>20</v>
      </c>
      <c r="H13670" s="0" t="n">
        <v>80</v>
      </c>
      <c r="I13670" s="0" t="s">
        <v>45400</v>
      </c>
      <c r="J13670" s="0" t="s">
        <v>45401</v>
      </c>
      <c r="K13670" s="0" t="s">
        <v>45402</v>
      </c>
      <c r="L13670" s="0" t="str">
        <f aca="false">HYPERLINK("https://www.ncbi.nlm.nih.gov/nuccore/CP000058.1?report=graph&amp;tracks=[key:gene_model_track,Options:GeneOnly]&amp;mk=4255552:4255571|offset_38|444444,4255510:4255529|offset_80|00cc00,4255478:4255497|offset_112|444444,4255439:4255458|offset_151|444444&amp;v=4255351:4255658&amp;c=444444", "offset 80")</f>
        <v>offset 80</v>
      </c>
    </row>
    <row r="13671" customFormat="false" ht="12.8" hidden="false" customHeight="false" outlineLevel="0" collapsed="false">
      <c r="A13671" s="0" t="s">
        <v>12</v>
      </c>
      <c r="B13671" s="0" t="n">
        <v>4255477</v>
      </c>
      <c r="C13671" s="0" t="n">
        <v>4255497</v>
      </c>
      <c r="D13671" s="0" t="s">
        <v>45396</v>
      </c>
      <c r="E13671" s="0" t="s">
        <v>75</v>
      </c>
      <c r="F13671" s="0" t="s">
        <v>90</v>
      </c>
      <c r="G13671" s="0" t="s">
        <v>20</v>
      </c>
      <c r="H13671" s="0" t="n">
        <v>112</v>
      </c>
      <c r="I13671" s="0" t="s">
        <v>45403</v>
      </c>
      <c r="J13671" s="0" t="s">
        <v>45404</v>
      </c>
      <c r="K13671" s="0" t="s">
        <v>45405</v>
      </c>
      <c r="L13671" s="0" t="str">
        <f aca="false">HYPERLINK("https://www.ncbi.nlm.nih.gov/nuccore/CP000058.1?report=graph&amp;tracks=[key:gene_model_track,Options:GeneOnly]&amp;mk=4255552:4255571|offset_38|444444,4255510:4255529|offset_80|444444,4255478:4255497|offset_112|00cc00,4255439:4255458|offset_151|444444&amp;v=4255351:4255658&amp;c=444444", "offset 112")</f>
        <v>offset 112</v>
      </c>
    </row>
    <row r="13672" customFormat="false" ht="12.8" hidden="false" customHeight="false" outlineLevel="0" collapsed="false">
      <c r="A13672" s="0" t="s">
        <v>12</v>
      </c>
      <c r="B13672" s="0" t="n">
        <v>4255438</v>
      </c>
      <c r="C13672" s="0" t="n">
        <v>4255458</v>
      </c>
      <c r="D13672" s="0" t="s">
        <v>45396</v>
      </c>
      <c r="E13672" s="0" t="s">
        <v>75</v>
      </c>
      <c r="F13672" s="0" t="s">
        <v>90</v>
      </c>
      <c r="G13672" s="0" t="s">
        <v>16</v>
      </c>
      <c r="H13672" s="0" t="n">
        <v>151</v>
      </c>
      <c r="I13672" s="0" t="s">
        <v>45406</v>
      </c>
      <c r="J13672" s="0" t="s">
        <v>45407</v>
      </c>
      <c r="K13672" s="0" t="s">
        <v>45408</v>
      </c>
      <c r="L13672" s="0" t="str">
        <f aca="false">HYPERLINK("https://www.ncbi.nlm.nih.gov/nuccore/CP000058.1?report=graph&amp;tracks=[key:gene_model_track,Options:GeneOnly]&amp;mk=4255552:4255571|offset_38|444444,4255510:4255529|offset_80|444444,4255478:4255497|offset_112|444444,4255439:4255458|offset_151|00cc00&amp;v=4255351:4255658&amp;c=444444", "offset 151")</f>
        <v>offset 151</v>
      </c>
    </row>
    <row r="13673" customFormat="false" ht="12.8" hidden="false" customHeight="false" outlineLevel="0" collapsed="false">
      <c r="A13673" s="0" t="s">
        <v>12</v>
      </c>
      <c r="B13673" s="0" t="n">
        <v>4256730</v>
      </c>
      <c r="C13673" s="0" t="n">
        <v>4256750</v>
      </c>
      <c r="D13673" s="0" t="s">
        <v>45409</v>
      </c>
      <c r="E13673" s="0" t="s">
        <v>75</v>
      </c>
      <c r="F13673" s="0" t="s">
        <v>90</v>
      </c>
      <c r="G13673" s="0" t="s">
        <v>32</v>
      </c>
      <c r="H13673" s="0" t="n">
        <v>1</v>
      </c>
      <c r="I13673" s="0" t="s">
        <v>45410</v>
      </c>
      <c r="J13673" s="0" t="s">
        <v>45411</v>
      </c>
      <c r="K13673" s="0" t="s">
        <v>45412</v>
      </c>
      <c r="L13673" s="0" t="str">
        <f aca="false">HYPERLINK("https://www.ncbi.nlm.nih.gov/nuccore/CP000058.1?report=graph&amp;tracks=[key:gene_model_track,Options:GeneOnly]&amp;mk=4256731:4256750|offset_1|00cc00,4256691:4256710|offset_41|444444,4256668:4256687|offset_64|444444,4256640:4256659|offset_92|444444&amp;v=4256530:4256859&amp;c=444444", "offset 1")</f>
        <v>offset 1</v>
      </c>
    </row>
    <row r="13674" customFormat="false" ht="12.8" hidden="false" customHeight="false" outlineLevel="0" collapsed="false">
      <c r="A13674" s="0" t="s">
        <v>12</v>
      </c>
      <c r="B13674" s="0" t="n">
        <v>4256690</v>
      </c>
      <c r="C13674" s="0" t="n">
        <v>4256710</v>
      </c>
      <c r="D13674" s="0" t="s">
        <v>45409</v>
      </c>
      <c r="E13674" s="0" t="s">
        <v>75</v>
      </c>
      <c r="F13674" s="0" t="s">
        <v>90</v>
      </c>
      <c r="G13674" s="0" t="s">
        <v>20</v>
      </c>
      <c r="H13674" s="0" t="n">
        <v>41</v>
      </c>
      <c r="I13674" s="0" t="s">
        <v>45413</v>
      </c>
      <c r="J13674" s="0" t="s">
        <v>45414</v>
      </c>
      <c r="K13674" s="0" t="s">
        <v>45415</v>
      </c>
      <c r="L13674" s="0" t="str">
        <f aca="false">HYPERLINK("https://www.ncbi.nlm.nih.gov/nuccore/CP000058.1?report=graph&amp;tracks=[key:gene_model_track,Options:GeneOnly]&amp;mk=4256731:4256750|offset_1|444444,4256691:4256710|offset_41|00cc00,4256668:4256687|offset_64|444444,4256640:4256659|offset_92|444444&amp;v=4256530:4256859&amp;c=444444", "offset 41")</f>
        <v>offset 41</v>
      </c>
    </row>
    <row r="13675" customFormat="false" ht="12.8" hidden="false" customHeight="false" outlineLevel="0" collapsed="false">
      <c r="A13675" s="0" t="s">
        <v>12</v>
      </c>
      <c r="B13675" s="0" t="n">
        <v>4256667</v>
      </c>
      <c r="C13675" s="0" t="n">
        <v>4256687</v>
      </c>
      <c r="D13675" s="0" t="s">
        <v>45409</v>
      </c>
      <c r="E13675" s="0" t="s">
        <v>75</v>
      </c>
      <c r="F13675" s="0" t="s">
        <v>90</v>
      </c>
      <c r="G13675" s="0" t="s">
        <v>16</v>
      </c>
      <c r="H13675" s="0" t="n">
        <v>64</v>
      </c>
      <c r="I13675" s="0" t="s">
        <v>45416</v>
      </c>
      <c r="J13675" s="0" t="s">
        <v>45417</v>
      </c>
      <c r="K13675" s="0" t="s">
        <v>45418</v>
      </c>
      <c r="L13675" s="0" t="str">
        <f aca="false">HYPERLINK("https://www.ncbi.nlm.nih.gov/nuccore/CP000058.1?report=graph&amp;tracks=[key:gene_model_track,Options:GeneOnly]&amp;mk=4256731:4256750|offset_1|444444,4256691:4256710|offset_41|444444,4256668:4256687|offset_64|00cc00,4256640:4256659|offset_92|444444&amp;v=4256530:4256859&amp;c=444444", "offset 64")</f>
        <v>offset 64</v>
      </c>
    </row>
    <row r="13676" customFormat="false" ht="12.8" hidden="false" customHeight="false" outlineLevel="0" collapsed="false">
      <c r="A13676" s="0" t="s">
        <v>12</v>
      </c>
      <c r="B13676" s="0" t="n">
        <v>4256639</v>
      </c>
      <c r="C13676" s="0" t="n">
        <v>4256659</v>
      </c>
      <c r="D13676" s="0" t="s">
        <v>45409</v>
      </c>
      <c r="E13676" s="0" t="s">
        <v>75</v>
      </c>
      <c r="F13676" s="0" t="s">
        <v>90</v>
      </c>
      <c r="G13676" s="0" t="s">
        <v>16</v>
      </c>
      <c r="H13676" s="0" t="n">
        <v>92</v>
      </c>
      <c r="I13676" s="0" t="s">
        <v>45419</v>
      </c>
      <c r="J13676" s="0" t="s">
        <v>45420</v>
      </c>
      <c r="K13676" s="0" t="s">
        <v>45421</v>
      </c>
      <c r="L13676" s="0" t="str">
        <f aca="false">HYPERLINK("https://www.ncbi.nlm.nih.gov/nuccore/CP000058.1?report=graph&amp;tracks=[key:gene_model_track,Options:GeneOnly]&amp;mk=4256731:4256750|offset_1|444444,4256691:4256710|offset_41|444444,4256668:4256687|offset_64|444444,4256640:4256659|offset_92|00cc00&amp;v=4256530:4256859&amp;c=444444", "offset 92")</f>
        <v>offset 92</v>
      </c>
    </row>
    <row r="13677" customFormat="false" ht="12.8" hidden="false" customHeight="false" outlineLevel="0" collapsed="false">
      <c r="A13677" s="0" t="s">
        <v>12</v>
      </c>
      <c r="B13677" s="0" t="n">
        <v>4257107</v>
      </c>
      <c r="C13677" s="0" t="n">
        <v>4257127</v>
      </c>
      <c r="D13677" s="0" t="s">
        <v>45422</v>
      </c>
      <c r="E13677" s="0" t="s">
        <v>45423</v>
      </c>
      <c r="F13677" s="0" t="s">
        <v>15</v>
      </c>
      <c r="G13677" s="0" t="s">
        <v>36</v>
      </c>
      <c r="H13677" s="0" t="n">
        <v>15</v>
      </c>
      <c r="I13677" s="0" t="s">
        <v>45424</v>
      </c>
      <c r="J13677" s="0" t="s">
        <v>45425</v>
      </c>
      <c r="K13677" s="0" t="s">
        <v>45426</v>
      </c>
      <c r="L13677" s="0" t="str">
        <f aca="false">HYPERLINK("https://www.ncbi.nlm.nih.gov/nuccore/CP000058.1?report=graph&amp;tracks=[key:gene_model_track,Options:GeneOnly]&amp;mk=4257108:4257127|offset_15|00cc00,4257130:4257149|offset_37|444444,4257184:4257203|offset_91|444444,4257218:4257237|offset_125|444444&amp;v=4256907:4257437&amp;c=444444", "offset 15")</f>
        <v>offset 15</v>
      </c>
    </row>
    <row r="13678" customFormat="false" ht="12.8" hidden="false" customHeight="false" outlineLevel="0" collapsed="false">
      <c r="A13678" s="0" t="s">
        <v>12</v>
      </c>
      <c r="B13678" s="0" t="n">
        <v>4257129</v>
      </c>
      <c r="C13678" s="0" t="n">
        <v>4257149</v>
      </c>
      <c r="D13678" s="0" t="s">
        <v>45422</v>
      </c>
      <c r="E13678" s="0" t="s">
        <v>45423</v>
      </c>
      <c r="F13678" s="0" t="s">
        <v>15</v>
      </c>
      <c r="G13678" s="0" t="s">
        <v>16</v>
      </c>
      <c r="H13678" s="0" t="n">
        <v>37</v>
      </c>
      <c r="I13678" s="0" t="s">
        <v>45427</v>
      </c>
      <c r="J13678" s="0" t="s">
        <v>45428</v>
      </c>
      <c r="K13678" s="0" t="s">
        <v>45429</v>
      </c>
      <c r="L13678" s="0" t="str">
        <f aca="false">HYPERLINK("https://www.ncbi.nlm.nih.gov/nuccore/CP000058.1?report=graph&amp;tracks=[key:gene_model_track,Options:GeneOnly]&amp;mk=4257108:4257127|offset_15|444444,4257130:4257149|offset_37|00cc00,4257184:4257203|offset_91|444444,4257218:4257237|offset_125|444444&amp;v=4256907:4257437&amp;c=444444", "offset 37")</f>
        <v>offset 37</v>
      </c>
    </row>
    <row r="13679" customFormat="false" ht="12.8" hidden="false" customHeight="false" outlineLevel="0" collapsed="false">
      <c r="A13679" s="0" t="s">
        <v>12</v>
      </c>
      <c r="B13679" s="0" t="n">
        <v>4257183</v>
      </c>
      <c r="C13679" s="0" t="n">
        <v>4257203</v>
      </c>
      <c r="D13679" s="0" t="s">
        <v>45422</v>
      </c>
      <c r="E13679" s="0" t="s">
        <v>45423</v>
      </c>
      <c r="F13679" s="0" t="s">
        <v>15</v>
      </c>
      <c r="G13679" s="0" t="s">
        <v>32</v>
      </c>
      <c r="H13679" s="0" t="n">
        <v>91</v>
      </c>
      <c r="I13679" s="0" t="s">
        <v>45430</v>
      </c>
      <c r="J13679" s="0" t="s">
        <v>45431</v>
      </c>
      <c r="K13679" s="0" t="s">
        <v>45432</v>
      </c>
      <c r="L13679" s="0" t="str">
        <f aca="false">HYPERLINK("https://www.ncbi.nlm.nih.gov/nuccore/CP000058.1?report=graph&amp;tracks=[key:gene_model_track,Options:GeneOnly]&amp;mk=4257108:4257127|offset_15|444444,4257130:4257149|offset_37|444444,4257184:4257203|offset_91|00cc00,4257218:4257237|offset_125|444444&amp;v=4256907:4257437&amp;c=444444", "offset 91")</f>
        <v>offset 91</v>
      </c>
    </row>
    <row r="13680" customFormat="false" ht="12.8" hidden="false" customHeight="false" outlineLevel="0" collapsed="false">
      <c r="A13680" s="0" t="s">
        <v>12</v>
      </c>
      <c r="B13680" s="0" t="n">
        <v>4257217</v>
      </c>
      <c r="C13680" s="0" t="n">
        <v>4257237</v>
      </c>
      <c r="D13680" s="0" t="s">
        <v>45422</v>
      </c>
      <c r="E13680" s="0" t="s">
        <v>45423</v>
      </c>
      <c r="F13680" s="0" t="s">
        <v>15</v>
      </c>
      <c r="G13680" s="0" t="s">
        <v>20</v>
      </c>
      <c r="H13680" s="0" t="n">
        <v>125</v>
      </c>
      <c r="I13680" s="0" t="s">
        <v>45433</v>
      </c>
      <c r="J13680" s="0" t="s">
        <v>45434</v>
      </c>
      <c r="K13680" s="0" t="s">
        <v>45435</v>
      </c>
      <c r="L13680" s="0" t="str">
        <f aca="false">HYPERLINK("https://www.ncbi.nlm.nih.gov/nuccore/CP000058.1?report=graph&amp;tracks=[key:gene_model_track,Options:GeneOnly]&amp;mk=4257108:4257127|offset_15|444444,4257130:4257149|offset_37|444444,4257184:4257203|offset_91|444444,4257218:4257237|offset_125|00cc00&amp;v=4256907:4257437&amp;c=444444", "offset 125")</f>
        <v>offset 125</v>
      </c>
    </row>
    <row r="13681" customFormat="false" ht="12.8" hidden="false" customHeight="false" outlineLevel="0" collapsed="false">
      <c r="A13681" s="0" t="s">
        <v>12</v>
      </c>
      <c r="B13681" s="0" t="n">
        <v>4258156</v>
      </c>
      <c r="C13681" s="0" t="n">
        <v>4258176</v>
      </c>
      <c r="D13681" s="0" t="s">
        <v>45436</v>
      </c>
      <c r="E13681" s="0" t="s">
        <v>45437</v>
      </c>
      <c r="F13681" s="0" t="s">
        <v>15</v>
      </c>
      <c r="G13681" s="0" t="s">
        <v>32</v>
      </c>
      <c r="H13681" s="0" t="n">
        <v>6</v>
      </c>
      <c r="I13681" s="0" t="s">
        <v>45438</v>
      </c>
      <c r="J13681" s="0" t="s">
        <v>45439</v>
      </c>
      <c r="K13681" s="0" t="s">
        <v>45440</v>
      </c>
      <c r="L13681" s="0" t="str">
        <f aca="false">HYPERLINK("https://www.ncbi.nlm.nih.gov/nuccore/CP000058.1?report=graph&amp;tracks=[key:gene_model_track,Options:GeneOnly]&amp;mk=4258157:4258176|offset_6|00cc00,4258188:4258207|offset_37|444444,4258239:4258258|offset_88|444444,4258269:4258288|offset_118|444444&amp;v=4257956:4258488&amp;c=444444", "offset 6")</f>
        <v>offset 6</v>
      </c>
    </row>
    <row r="13682" customFormat="false" ht="12.8" hidden="false" customHeight="false" outlineLevel="0" collapsed="false">
      <c r="A13682" s="0" t="s">
        <v>12</v>
      </c>
      <c r="B13682" s="0" t="n">
        <v>4258187</v>
      </c>
      <c r="C13682" s="0" t="n">
        <v>4258207</v>
      </c>
      <c r="D13682" s="0" t="s">
        <v>45436</v>
      </c>
      <c r="E13682" s="0" t="s">
        <v>45437</v>
      </c>
      <c r="F13682" s="0" t="s">
        <v>15</v>
      </c>
      <c r="G13682" s="0" t="s">
        <v>16</v>
      </c>
      <c r="H13682" s="0" t="n">
        <v>37</v>
      </c>
      <c r="I13682" s="0" t="s">
        <v>45441</v>
      </c>
      <c r="J13682" s="0" t="s">
        <v>45442</v>
      </c>
      <c r="K13682" s="0" t="s">
        <v>45443</v>
      </c>
      <c r="L13682" s="0" t="str">
        <f aca="false">HYPERLINK("https://www.ncbi.nlm.nih.gov/nuccore/CP000058.1?report=graph&amp;tracks=[key:gene_model_track,Options:GeneOnly]&amp;mk=4258157:4258176|offset_6|444444,4258188:4258207|offset_37|00cc00,4258239:4258258|offset_88|444444,4258269:4258288|offset_118|444444&amp;v=4257956:4258488&amp;c=444444", "offset 37")</f>
        <v>offset 37</v>
      </c>
    </row>
    <row r="13683" customFormat="false" ht="12.8" hidden="false" customHeight="false" outlineLevel="0" collapsed="false">
      <c r="A13683" s="0" t="s">
        <v>12</v>
      </c>
      <c r="B13683" s="0" t="n">
        <v>4258238</v>
      </c>
      <c r="C13683" s="0" t="n">
        <v>4258258</v>
      </c>
      <c r="D13683" s="0" t="s">
        <v>45436</v>
      </c>
      <c r="E13683" s="0" t="s">
        <v>45437</v>
      </c>
      <c r="F13683" s="0" t="s">
        <v>15</v>
      </c>
      <c r="G13683" s="0" t="s">
        <v>32</v>
      </c>
      <c r="H13683" s="0" t="n">
        <v>88</v>
      </c>
      <c r="I13683" s="0" t="s">
        <v>45444</v>
      </c>
      <c r="J13683" s="0" t="s">
        <v>45445</v>
      </c>
      <c r="K13683" s="0" t="s">
        <v>45446</v>
      </c>
      <c r="L13683" s="0" t="str">
        <f aca="false">HYPERLINK("https://www.ncbi.nlm.nih.gov/nuccore/CP000058.1?report=graph&amp;tracks=[key:gene_model_track,Options:GeneOnly]&amp;mk=4258157:4258176|offset_6|444444,4258188:4258207|offset_37|444444,4258239:4258258|offset_88|00cc00,4258269:4258288|offset_118|444444&amp;v=4257956:4258488&amp;c=444444", "offset 88")</f>
        <v>offset 88</v>
      </c>
    </row>
    <row r="13684" customFormat="false" ht="12.8" hidden="false" customHeight="false" outlineLevel="0" collapsed="false">
      <c r="A13684" s="0" t="s">
        <v>12</v>
      </c>
      <c r="B13684" s="0" t="n">
        <v>4258268</v>
      </c>
      <c r="C13684" s="0" t="n">
        <v>4258288</v>
      </c>
      <c r="D13684" s="0" t="s">
        <v>45436</v>
      </c>
      <c r="E13684" s="0" t="s">
        <v>45437</v>
      </c>
      <c r="F13684" s="0" t="s">
        <v>15</v>
      </c>
      <c r="G13684" s="0" t="s">
        <v>32</v>
      </c>
      <c r="H13684" s="0" t="n">
        <v>118</v>
      </c>
      <c r="I13684" s="0" t="s">
        <v>45447</v>
      </c>
      <c r="J13684" s="0" t="s">
        <v>45448</v>
      </c>
      <c r="K13684" s="0" t="s">
        <v>45449</v>
      </c>
      <c r="L13684" s="0" t="str">
        <f aca="false">HYPERLINK("https://www.ncbi.nlm.nih.gov/nuccore/CP000058.1?report=graph&amp;tracks=[key:gene_model_track,Options:GeneOnly]&amp;mk=4258157:4258176|offset_6|444444,4258188:4258207|offset_37|444444,4258239:4258258|offset_88|444444,4258269:4258288|offset_118|00cc00&amp;v=4257956:4258488&amp;c=444444", "offset 118")</f>
        <v>offset 118</v>
      </c>
    </row>
    <row r="13685" customFormat="false" ht="12.8" hidden="false" customHeight="false" outlineLevel="0" collapsed="false">
      <c r="A13685" s="0" t="s">
        <v>12</v>
      </c>
      <c r="B13685" s="0" t="n">
        <v>4258849</v>
      </c>
      <c r="C13685" s="0" t="n">
        <v>4258869</v>
      </c>
      <c r="D13685" s="0" t="s">
        <v>45450</v>
      </c>
      <c r="E13685" s="0" t="s">
        <v>75</v>
      </c>
      <c r="F13685" s="0" t="s">
        <v>15</v>
      </c>
      <c r="G13685" s="0" t="s">
        <v>20</v>
      </c>
      <c r="H13685" s="0" t="n">
        <v>40</v>
      </c>
      <c r="I13685" s="0" t="s">
        <v>45451</v>
      </c>
      <c r="J13685" s="0" t="s">
        <v>45452</v>
      </c>
      <c r="K13685" s="0" t="s">
        <v>45453</v>
      </c>
      <c r="L13685" s="0" t="str">
        <f aca="false">HYPERLINK("https://www.ncbi.nlm.nih.gov/nuccore/CP000058.1?report=graph&amp;tracks=[key:gene_model_track,Options:GeneOnly]&amp;mk=4258850:4258869|offset_40|00cc00,4258875:4258894|offset_65|444444,4258901:4258920|offset_91|444444,4258921:4258940|offset_111|444444&amp;v=4258649:4259140&amp;c=444444", "offset 40")</f>
        <v>offset 40</v>
      </c>
    </row>
    <row r="13686" customFormat="false" ht="12.8" hidden="false" customHeight="false" outlineLevel="0" collapsed="false">
      <c r="A13686" s="0" t="s">
        <v>12</v>
      </c>
      <c r="B13686" s="0" t="n">
        <v>4258874</v>
      </c>
      <c r="C13686" s="0" t="n">
        <v>4258894</v>
      </c>
      <c r="D13686" s="0" t="s">
        <v>45450</v>
      </c>
      <c r="E13686" s="0" t="s">
        <v>75</v>
      </c>
      <c r="F13686" s="0" t="s">
        <v>15</v>
      </c>
      <c r="G13686" s="0" t="s">
        <v>20</v>
      </c>
      <c r="H13686" s="0" t="n">
        <v>65</v>
      </c>
      <c r="I13686" s="0" t="s">
        <v>45454</v>
      </c>
      <c r="J13686" s="0" t="s">
        <v>45455</v>
      </c>
      <c r="K13686" s="0" t="s">
        <v>45456</v>
      </c>
      <c r="L13686" s="0" t="str">
        <f aca="false">HYPERLINK("https://www.ncbi.nlm.nih.gov/nuccore/CP000058.1?report=graph&amp;tracks=[key:gene_model_track,Options:GeneOnly]&amp;mk=4258850:4258869|offset_40|444444,4258875:4258894|offset_65|00cc00,4258901:4258920|offset_91|444444,4258921:4258940|offset_111|444444&amp;v=4258649:4259140&amp;c=444444", "offset 65")</f>
        <v>offset 65</v>
      </c>
    </row>
    <row r="13687" customFormat="false" ht="12.8" hidden="false" customHeight="false" outlineLevel="0" collapsed="false">
      <c r="A13687" s="0" t="s">
        <v>12</v>
      </c>
      <c r="B13687" s="0" t="n">
        <v>4258900</v>
      </c>
      <c r="C13687" s="0" t="n">
        <v>4258920</v>
      </c>
      <c r="D13687" s="0" t="s">
        <v>45450</v>
      </c>
      <c r="E13687" s="0" t="s">
        <v>75</v>
      </c>
      <c r="F13687" s="0" t="s">
        <v>15</v>
      </c>
      <c r="G13687" s="0" t="s">
        <v>16</v>
      </c>
      <c r="H13687" s="0" t="n">
        <v>91</v>
      </c>
      <c r="I13687" s="0" t="s">
        <v>45457</v>
      </c>
      <c r="J13687" s="0" t="s">
        <v>45458</v>
      </c>
      <c r="K13687" s="0" t="s">
        <v>45459</v>
      </c>
      <c r="L13687" s="0" t="str">
        <f aca="false">HYPERLINK("https://www.ncbi.nlm.nih.gov/nuccore/CP000058.1?report=graph&amp;tracks=[key:gene_model_track,Options:GeneOnly]&amp;mk=4258850:4258869|offset_40|444444,4258875:4258894|offset_65|444444,4258901:4258920|offset_91|00cc00,4258921:4258940|offset_111|444444&amp;v=4258649:4259140&amp;c=444444", "offset 91")</f>
        <v>offset 91</v>
      </c>
    </row>
    <row r="13688" customFormat="false" ht="12.8" hidden="false" customHeight="false" outlineLevel="0" collapsed="false">
      <c r="A13688" s="0" t="s">
        <v>12</v>
      </c>
      <c r="B13688" s="0" t="n">
        <v>4258920</v>
      </c>
      <c r="C13688" s="0" t="n">
        <v>4258940</v>
      </c>
      <c r="D13688" s="0" t="s">
        <v>45450</v>
      </c>
      <c r="E13688" s="0" t="s">
        <v>75</v>
      </c>
      <c r="F13688" s="0" t="s">
        <v>15</v>
      </c>
      <c r="G13688" s="0" t="s">
        <v>36</v>
      </c>
      <c r="H13688" s="0" t="n">
        <v>111</v>
      </c>
      <c r="I13688" s="0" t="s">
        <v>45460</v>
      </c>
      <c r="J13688" s="0" t="s">
        <v>45461</v>
      </c>
      <c r="K13688" s="0" t="s">
        <v>45462</v>
      </c>
      <c r="L13688" s="0" t="str">
        <f aca="false">HYPERLINK("https://www.ncbi.nlm.nih.gov/nuccore/CP000058.1?report=graph&amp;tracks=[key:gene_model_track,Options:GeneOnly]&amp;mk=4258850:4258869|offset_40|444444,4258875:4258894|offset_65|444444,4258901:4258920|offset_91|444444,4258921:4258940|offset_111|00cc00&amp;v=4258649:4259140&amp;c=444444", "offset 111")</f>
        <v>offset 111</v>
      </c>
    </row>
    <row r="13689" customFormat="false" ht="12.8" hidden="false" customHeight="false" outlineLevel="0" collapsed="false">
      <c r="A13689" s="0" t="s">
        <v>12</v>
      </c>
      <c r="B13689" s="0" t="n">
        <v>4260047</v>
      </c>
      <c r="C13689" s="0" t="n">
        <v>4260067</v>
      </c>
      <c r="D13689" s="0" t="s">
        <v>45463</v>
      </c>
      <c r="E13689" s="0" t="s">
        <v>75</v>
      </c>
      <c r="F13689" s="0" t="s">
        <v>15</v>
      </c>
      <c r="G13689" s="0" t="s">
        <v>36</v>
      </c>
      <c r="H13689" s="0" t="n">
        <v>34</v>
      </c>
      <c r="I13689" s="0" t="s">
        <v>45464</v>
      </c>
      <c r="J13689" s="0" t="s">
        <v>45465</v>
      </c>
      <c r="K13689" s="0" t="s">
        <v>45466</v>
      </c>
      <c r="L13689" s="0" t="str">
        <f aca="false">HYPERLINK("https://www.ncbi.nlm.nih.gov/nuccore/CP000058.1?report=graph&amp;tracks=[key:gene_model_track,Options:GeneOnly]&amp;mk=4260048:4260067|offset_34|00cc00,4260072:4260091|offset_58|444444,4260109:4260128|offset_95|444444,4260138:4260157|offset_124|444444&amp;v=4259847:4260357&amp;c=444444", "offset 34")</f>
        <v>offset 34</v>
      </c>
    </row>
    <row r="13690" customFormat="false" ht="12.8" hidden="false" customHeight="false" outlineLevel="0" collapsed="false">
      <c r="A13690" s="0" t="s">
        <v>12</v>
      </c>
      <c r="B13690" s="0" t="n">
        <v>4260071</v>
      </c>
      <c r="C13690" s="0" t="n">
        <v>4260091</v>
      </c>
      <c r="D13690" s="0" t="s">
        <v>45463</v>
      </c>
      <c r="E13690" s="0" t="s">
        <v>75</v>
      </c>
      <c r="F13690" s="0" t="s">
        <v>15</v>
      </c>
      <c r="G13690" s="0" t="s">
        <v>16</v>
      </c>
      <c r="H13690" s="0" t="n">
        <v>58</v>
      </c>
      <c r="I13690" s="0" t="s">
        <v>45467</v>
      </c>
      <c r="J13690" s="0" t="s">
        <v>45468</v>
      </c>
      <c r="K13690" s="0" t="s">
        <v>45469</v>
      </c>
      <c r="L13690" s="0" t="str">
        <f aca="false">HYPERLINK("https://www.ncbi.nlm.nih.gov/nuccore/CP000058.1?report=graph&amp;tracks=[key:gene_model_track,Options:GeneOnly]&amp;mk=4260048:4260067|offset_34|444444,4260072:4260091|offset_58|00cc00,4260109:4260128|offset_95|444444,4260138:4260157|offset_124|444444&amp;v=4259847:4260357&amp;c=444444", "offset 58")</f>
        <v>offset 58</v>
      </c>
    </row>
    <row r="13691" customFormat="false" ht="12.8" hidden="false" customHeight="false" outlineLevel="0" collapsed="false">
      <c r="A13691" s="0" t="s">
        <v>12</v>
      </c>
      <c r="B13691" s="0" t="n">
        <v>4260108</v>
      </c>
      <c r="C13691" s="0" t="n">
        <v>4260128</v>
      </c>
      <c r="D13691" s="0" t="s">
        <v>45463</v>
      </c>
      <c r="E13691" s="0" t="s">
        <v>75</v>
      </c>
      <c r="F13691" s="0" t="s">
        <v>15</v>
      </c>
      <c r="G13691" s="0" t="s">
        <v>32</v>
      </c>
      <c r="H13691" s="0" t="n">
        <v>95</v>
      </c>
      <c r="I13691" s="0" t="s">
        <v>45470</v>
      </c>
      <c r="J13691" s="0" t="s">
        <v>45471</v>
      </c>
      <c r="K13691" s="0" t="s">
        <v>45472</v>
      </c>
      <c r="L13691" s="0" t="str">
        <f aca="false">HYPERLINK("https://www.ncbi.nlm.nih.gov/nuccore/CP000058.1?report=graph&amp;tracks=[key:gene_model_track,Options:GeneOnly]&amp;mk=4260048:4260067|offset_34|444444,4260072:4260091|offset_58|444444,4260109:4260128|offset_95|00cc00,4260138:4260157|offset_124|444444&amp;v=4259847:4260357&amp;c=444444", "offset 95")</f>
        <v>offset 95</v>
      </c>
    </row>
    <row r="13692" customFormat="false" ht="12.8" hidden="false" customHeight="false" outlineLevel="0" collapsed="false">
      <c r="A13692" s="0" t="s">
        <v>12</v>
      </c>
      <c r="B13692" s="0" t="n">
        <v>4260137</v>
      </c>
      <c r="C13692" s="0" t="n">
        <v>4260157</v>
      </c>
      <c r="D13692" s="0" t="s">
        <v>45463</v>
      </c>
      <c r="E13692" s="0" t="s">
        <v>75</v>
      </c>
      <c r="F13692" s="0" t="s">
        <v>15</v>
      </c>
      <c r="G13692" s="0" t="s">
        <v>16</v>
      </c>
      <c r="H13692" s="0" t="n">
        <v>124</v>
      </c>
      <c r="I13692" s="0" t="s">
        <v>45473</v>
      </c>
      <c r="J13692" s="0" t="s">
        <v>45474</v>
      </c>
      <c r="K13692" s="0" t="s">
        <v>45475</v>
      </c>
      <c r="L13692" s="0" t="str">
        <f aca="false">HYPERLINK("https://www.ncbi.nlm.nih.gov/nuccore/CP000058.1?report=graph&amp;tracks=[key:gene_model_track,Options:GeneOnly]&amp;mk=4260048:4260067|offset_34|444444,4260072:4260091|offset_58|444444,4260109:4260128|offset_95|444444,4260138:4260157|offset_124|00cc00&amp;v=4259847:4260357&amp;c=444444", "offset 124")</f>
        <v>offset 124</v>
      </c>
    </row>
    <row r="13693" customFormat="false" ht="12.8" hidden="false" customHeight="false" outlineLevel="0" collapsed="false">
      <c r="A13693" s="0" t="s">
        <v>12</v>
      </c>
      <c r="B13693" s="0" t="n">
        <v>4260788</v>
      </c>
      <c r="C13693" s="0" t="n">
        <v>4260808</v>
      </c>
      <c r="D13693" s="0" t="s">
        <v>45476</v>
      </c>
      <c r="E13693" s="0" t="s">
        <v>75</v>
      </c>
      <c r="F13693" s="0" t="s">
        <v>90</v>
      </c>
      <c r="G13693" s="0" t="s">
        <v>20</v>
      </c>
      <c r="H13693" s="0" t="n">
        <v>8</v>
      </c>
      <c r="I13693" s="0" t="s">
        <v>45477</v>
      </c>
      <c r="J13693" s="0" t="s">
        <v>45478</v>
      </c>
      <c r="K13693" s="0" t="s">
        <v>45479</v>
      </c>
      <c r="L13693" s="0" t="str">
        <f aca="false">HYPERLINK("https://www.ncbi.nlm.nih.gov/nuccore/CP000058.1?report=graph&amp;tracks=[key:gene_model_track,Options:GeneOnly]&amp;mk=4260789:4260808|offset_8|00cc00,4260747:4260766|offset_50|444444,4260679:4260698|offset_118|444444,4260640:4260659|offset_157|444444&amp;v=4260588:4260859&amp;c=444444", "offset 8")</f>
        <v>offset 8</v>
      </c>
    </row>
    <row r="13694" customFormat="false" ht="12.8" hidden="false" customHeight="false" outlineLevel="0" collapsed="false">
      <c r="A13694" s="0" t="s">
        <v>12</v>
      </c>
      <c r="B13694" s="0" t="n">
        <v>4260746</v>
      </c>
      <c r="C13694" s="0" t="n">
        <v>4260766</v>
      </c>
      <c r="D13694" s="0" t="s">
        <v>45476</v>
      </c>
      <c r="E13694" s="0" t="s">
        <v>75</v>
      </c>
      <c r="F13694" s="0" t="s">
        <v>90</v>
      </c>
      <c r="G13694" s="0" t="s">
        <v>32</v>
      </c>
      <c r="H13694" s="0" t="n">
        <v>50</v>
      </c>
      <c r="I13694" s="0" t="s">
        <v>45480</v>
      </c>
      <c r="J13694" s="0" t="s">
        <v>45481</v>
      </c>
      <c r="K13694" s="0" t="s">
        <v>45482</v>
      </c>
      <c r="L13694" s="0" t="str">
        <f aca="false">HYPERLINK("https://www.ncbi.nlm.nih.gov/nuccore/CP000058.1?report=graph&amp;tracks=[key:gene_model_track,Options:GeneOnly]&amp;mk=4260789:4260808|offset_8|444444,4260747:4260766|offset_50|00cc00,4260679:4260698|offset_118|444444,4260640:4260659|offset_157|444444&amp;v=4260588:4260859&amp;c=444444", "offset 50")</f>
        <v>offset 50</v>
      </c>
    </row>
    <row r="13695" customFormat="false" ht="12.8" hidden="false" customHeight="false" outlineLevel="0" collapsed="false">
      <c r="A13695" s="0" t="s">
        <v>12</v>
      </c>
      <c r="B13695" s="0" t="n">
        <v>4260678</v>
      </c>
      <c r="C13695" s="0" t="n">
        <v>4260698</v>
      </c>
      <c r="D13695" s="0" t="s">
        <v>45476</v>
      </c>
      <c r="E13695" s="0" t="s">
        <v>75</v>
      </c>
      <c r="F13695" s="0" t="s">
        <v>90</v>
      </c>
      <c r="G13695" s="0" t="s">
        <v>36</v>
      </c>
      <c r="H13695" s="0" t="n">
        <v>118</v>
      </c>
      <c r="I13695" s="0" t="s">
        <v>45483</v>
      </c>
      <c r="J13695" s="0" t="s">
        <v>45484</v>
      </c>
      <c r="K13695" s="0" t="s">
        <v>45485</v>
      </c>
      <c r="L13695" s="0" t="str">
        <f aca="false">HYPERLINK("https://www.ncbi.nlm.nih.gov/nuccore/CP000058.1?report=graph&amp;tracks=[key:gene_model_track,Options:GeneOnly]&amp;mk=4260789:4260808|offset_8|444444,4260747:4260766|offset_50|444444,4260679:4260698|offset_118|00cc00,4260640:4260659|offset_157|444444&amp;v=4260588:4260859&amp;c=444444", "offset 118")</f>
        <v>offset 118</v>
      </c>
    </row>
    <row r="13696" customFormat="false" ht="12.8" hidden="false" customHeight="false" outlineLevel="0" collapsed="false">
      <c r="A13696" s="0" t="s">
        <v>12</v>
      </c>
      <c r="B13696" s="0" t="n">
        <v>4260639</v>
      </c>
      <c r="C13696" s="0" t="n">
        <v>4260659</v>
      </c>
      <c r="D13696" s="0" t="s">
        <v>45476</v>
      </c>
      <c r="E13696" s="0" t="s">
        <v>75</v>
      </c>
      <c r="F13696" s="0" t="s">
        <v>90</v>
      </c>
      <c r="G13696" s="0" t="s">
        <v>32</v>
      </c>
      <c r="H13696" s="0" t="n">
        <v>157</v>
      </c>
      <c r="I13696" s="0" t="s">
        <v>45486</v>
      </c>
      <c r="J13696" s="0" t="s">
        <v>45487</v>
      </c>
      <c r="K13696" s="0" t="s">
        <v>45488</v>
      </c>
      <c r="L13696" s="0" t="str">
        <f aca="false">HYPERLINK("https://www.ncbi.nlm.nih.gov/nuccore/CP000058.1?report=graph&amp;tracks=[key:gene_model_track,Options:GeneOnly]&amp;mk=4260789:4260808|offset_8|444444,4260747:4260766|offset_50|444444,4260679:4260698|offset_118|444444,4260640:4260659|offset_157|00cc00&amp;v=4260588:4260859&amp;c=444444", "offset 157")</f>
        <v>offset 157</v>
      </c>
    </row>
    <row r="13697" customFormat="false" ht="12.8" hidden="false" customHeight="false" outlineLevel="0" collapsed="false">
      <c r="A13697" s="0" t="s">
        <v>12</v>
      </c>
      <c r="B13697" s="0" t="n">
        <v>4261660</v>
      </c>
      <c r="C13697" s="0" t="n">
        <v>4261680</v>
      </c>
      <c r="D13697" s="0" t="s">
        <v>45489</v>
      </c>
      <c r="E13697" s="0" t="s">
        <v>45490</v>
      </c>
      <c r="F13697" s="0" t="s">
        <v>90</v>
      </c>
      <c r="G13697" s="0" t="s">
        <v>36</v>
      </c>
      <c r="H13697" s="0" t="n">
        <v>0</v>
      </c>
      <c r="I13697" s="0" t="s">
        <v>45491</v>
      </c>
      <c r="J13697" s="0" t="s">
        <v>45492</v>
      </c>
      <c r="K13697" s="0" t="s">
        <v>45493</v>
      </c>
      <c r="L13697" s="0" t="str">
        <f aca="false">HYPERLINK("https://www.ncbi.nlm.nih.gov/nuccore/CP000058.1?report=graph&amp;tracks=[key:gene_model_track,Options:GeneOnly]&amp;mk=4261661:4261680|offset_0|00cc00,4261641:4261660|offset_20|444444,4261610:4261629|offset_51|444444,4261587:4261606|offset_74|444444&amp;v=4261460:4261806&amp;c=444444", "offset 0")</f>
        <v>offset 0</v>
      </c>
    </row>
    <row r="13698" customFormat="false" ht="12.8" hidden="false" customHeight="false" outlineLevel="0" collapsed="false">
      <c r="A13698" s="0" t="s">
        <v>12</v>
      </c>
      <c r="B13698" s="0" t="n">
        <v>4261640</v>
      </c>
      <c r="C13698" s="0" t="n">
        <v>4261660</v>
      </c>
      <c r="D13698" s="0" t="s">
        <v>45489</v>
      </c>
      <c r="E13698" s="0" t="s">
        <v>45490</v>
      </c>
      <c r="F13698" s="0" t="s">
        <v>90</v>
      </c>
      <c r="G13698" s="0" t="s">
        <v>20</v>
      </c>
      <c r="H13698" s="0" t="n">
        <v>20</v>
      </c>
      <c r="I13698" s="0" t="s">
        <v>45494</v>
      </c>
      <c r="J13698" s="0" t="s">
        <v>45495</v>
      </c>
      <c r="K13698" s="0" t="s">
        <v>45496</v>
      </c>
      <c r="L13698" s="0" t="str">
        <f aca="false">HYPERLINK("https://www.ncbi.nlm.nih.gov/nuccore/CP000058.1?report=graph&amp;tracks=[key:gene_model_track,Options:GeneOnly]&amp;mk=4261661:4261680|offset_0|444444,4261641:4261660|offset_20|00cc00,4261610:4261629|offset_51|444444,4261587:4261606|offset_74|444444&amp;v=4261460:4261806&amp;c=444444", "offset 20")</f>
        <v>offset 20</v>
      </c>
    </row>
    <row r="13699" customFormat="false" ht="12.8" hidden="false" customHeight="false" outlineLevel="0" collapsed="false">
      <c r="A13699" s="0" t="s">
        <v>12</v>
      </c>
      <c r="B13699" s="0" t="n">
        <v>4261609</v>
      </c>
      <c r="C13699" s="0" t="n">
        <v>4261629</v>
      </c>
      <c r="D13699" s="0" t="s">
        <v>45489</v>
      </c>
      <c r="E13699" s="0" t="s">
        <v>45490</v>
      </c>
      <c r="F13699" s="0" t="s">
        <v>90</v>
      </c>
      <c r="G13699" s="0" t="s">
        <v>16</v>
      </c>
      <c r="H13699" s="0" t="n">
        <v>51</v>
      </c>
      <c r="I13699" s="0" t="s">
        <v>45497</v>
      </c>
      <c r="J13699" s="0" t="s">
        <v>45498</v>
      </c>
      <c r="K13699" s="0" t="s">
        <v>45499</v>
      </c>
      <c r="L13699" s="0" t="str">
        <f aca="false">HYPERLINK("https://www.ncbi.nlm.nih.gov/nuccore/CP000058.1?report=graph&amp;tracks=[key:gene_model_track,Options:GeneOnly]&amp;mk=4261661:4261680|offset_0|444444,4261641:4261660|offset_20|444444,4261610:4261629|offset_51|00cc00,4261587:4261606|offset_74|444444&amp;v=4261460:4261806&amp;c=444444", "offset 51")</f>
        <v>offset 51</v>
      </c>
    </row>
    <row r="13700" customFormat="false" ht="12.8" hidden="false" customHeight="false" outlineLevel="0" collapsed="false">
      <c r="A13700" s="0" t="s">
        <v>12</v>
      </c>
      <c r="B13700" s="0" t="n">
        <v>4261586</v>
      </c>
      <c r="C13700" s="0" t="n">
        <v>4261606</v>
      </c>
      <c r="D13700" s="0" t="s">
        <v>45489</v>
      </c>
      <c r="E13700" s="0" t="s">
        <v>45490</v>
      </c>
      <c r="F13700" s="0" t="s">
        <v>90</v>
      </c>
      <c r="G13700" s="0" t="s">
        <v>20</v>
      </c>
      <c r="H13700" s="0" t="n">
        <v>74</v>
      </c>
      <c r="I13700" s="0" t="s">
        <v>45500</v>
      </c>
      <c r="J13700" s="0" t="s">
        <v>45501</v>
      </c>
      <c r="K13700" s="0" t="s">
        <v>45502</v>
      </c>
      <c r="L13700" s="0" t="str">
        <f aca="false">HYPERLINK("https://www.ncbi.nlm.nih.gov/nuccore/CP000058.1?report=graph&amp;tracks=[key:gene_model_track,Options:GeneOnly]&amp;mk=4261661:4261680|offset_0|444444,4261641:4261660|offset_20|444444,4261610:4261629|offset_51|444444,4261587:4261606|offset_74|00cc00&amp;v=4261460:4261806&amp;c=444444", "offset 74")</f>
        <v>offset 74</v>
      </c>
    </row>
    <row r="13701" customFormat="false" ht="12.8" hidden="false" customHeight="false" outlineLevel="0" collapsed="false">
      <c r="A13701" s="0" t="s">
        <v>12</v>
      </c>
      <c r="B13701" s="0" t="n">
        <v>4263908</v>
      </c>
      <c r="C13701" s="0" t="n">
        <v>4263928</v>
      </c>
      <c r="D13701" s="0" t="s">
        <v>45503</v>
      </c>
      <c r="E13701" s="0" t="s">
        <v>45504</v>
      </c>
      <c r="F13701" s="0" t="s">
        <v>90</v>
      </c>
      <c r="G13701" s="0" t="s">
        <v>32</v>
      </c>
      <c r="H13701" s="0" t="n">
        <v>14</v>
      </c>
      <c r="I13701" s="0" t="s">
        <v>45505</v>
      </c>
      <c r="J13701" s="0" t="s">
        <v>45506</v>
      </c>
      <c r="K13701" s="0" t="s">
        <v>45507</v>
      </c>
      <c r="L13701" s="0" t="str">
        <f aca="false">HYPERLINK("https://www.ncbi.nlm.nih.gov/nuccore/CP000058.1?report=graph&amp;tracks=[key:gene_model_track,Options:GeneOnly]&amp;mk=4263909:4263928|offset_14|00cc00,4263843:4263862|offset_80|444444,4263811:4263830|offset_112|444444,4263790:4263809|offset_133|444444&amp;v=4263708:4264009&amp;c=444444", "offset 14")</f>
        <v>offset 14</v>
      </c>
    </row>
    <row r="13702" customFormat="false" ht="12.8" hidden="false" customHeight="false" outlineLevel="0" collapsed="false">
      <c r="A13702" s="0" t="s">
        <v>12</v>
      </c>
      <c r="B13702" s="0" t="n">
        <v>4263842</v>
      </c>
      <c r="C13702" s="0" t="n">
        <v>4263862</v>
      </c>
      <c r="D13702" s="0" t="s">
        <v>45503</v>
      </c>
      <c r="E13702" s="0" t="s">
        <v>45504</v>
      </c>
      <c r="F13702" s="0" t="s">
        <v>90</v>
      </c>
      <c r="G13702" s="0" t="s">
        <v>20</v>
      </c>
      <c r="H13702" s="0" t="n">
        <v>80</v>
      </c>
      <c r="I13702" s="0" t="s">
        <v>45508</v>
      </c>
      <c r="J13702" s="0" t="s">
        <v>45509</v>
      </c>
      <c r="K13702" s="0" t="s">
        <v>45510</v>
      </c>
      <c r="L13702" s="0" t="str">
        <f aca="false">HYPERLINK("https://www.ncbi.nlm.nih.gov/nuccore/CP000058.1?report=graph&amp;tracks=[key:gene_model_track,Options:GeneOnly]&amp;mk=4263909:4263928|offset_14|444444,4263843:4263862|offset_80|00cc00,4263811:4263830|offset_112|444444,4263790:4263809|offset_133|444444&amp;v=4263708:4264009&amp;c=444444", "offset 80")</f>
        <v>offset 80</v>
      </c>
    </row>
    <row r="13703" customFormat="false" ht="12.8" hidden="false" customHeight="false" outlineLevel="0" collapsed="false">
      <c r="A13703" s="0" t="s">
        <v>12</v>
      </c>
      <c r="B13703" s="0" t="n">
        <v>4263810</v>
      </c>
      <c r="C13703" s="0" t="n">
        <v>4263830</v>
      </c>
      <c r="D13703" s="0" t="s">
        <v>45503</v>
      </c>
      <c r="E13703" s="0" t="s">
        <v>45504</v>
      </c>
      <c r="F13703" s="0" t="s">
        <v>90</v>
      </c>
      <c r="G13703" s="0" t="s">
        <v>20</v>
      </c>
      <c r="H13703" s="0" t="n">
        <v>112</v>
      </c>
      <c r="I13703" s="0" t="s">
        <v>45511</v>
      </c>
      <c r="J13703" s="0" t="s">
        <v>45512</v>
      </c>
      <c r="K13703" s="0" t="s">
        <v>45513</v>
      </c>
      <c r="L13703" s="0" t="str">
        <f aca="false">HYPERLINK("https://www.ncbi.nlm.nih.gov/nuccore/CP000058.1?report=graph&amp;tracks=[key:gene_model_track,Options:GeneOnly]&amp;mk=4263909:4263928|offset_14|444444,4263843:4263862|offset_80|444444,4263811:4263830|offset_112|00cc00,4263790:4263809|offset_133|444444&amp;v=4263708:4264009&amp;c=444444", "offset 112")</f>
        <v>offset 112</v>
      </c>
    </row>
    <row r="13704" customFormat="false" ht="12.8" hidden="false" customHeight="false" outlineLevel="0" collapsed="false">
      <c r="A13704" s="0" t="s">
        <v>12</v>
      </c>
      <c r="B13704" s="0" t="n">
        <v>4263789</v>
      </c>
      <c r="C13704" s="0" t="n">
        <v>4263809</v>
      </c>
      <c r="D13704" s="0" t="s">
        <v>45503</v>
      </c>
      <c r="E13704" s="0" t="s">
        <v>45504</v>
      </c>
      <c r="F13704" s="0" t="s">
        <v>90</v>
      </c>
      <c r="G13704" s="0" t="s">
        <v>16</v>
      </c>
      <c r="H13704" s="0" t="n">
        <v>133</v>
      </c>
      <c r="I13704" s="0" t="s">
        <v>45514</v>
      </c>
      <c r="J13704" s="0" t="s">
        <v>45515</v>
      </c>
      <c r="K13704" s="0" t="s">
        <v>45516</v>
      </c>
      <c r="L13704" s="0" t="str">
        <f aca="false">HYPERLINK("https://www.ncbi.nlm.nih.gov/nuccore/CP000058.1?report=graph&amp;tracks=[key:gene_model_track,Options:GeneOnly]&amp;mk=4263909:4263928|offset_14|444444,4263843:4263862|offset_80|444444,4263811:4263830|offset_112|444444,4263790:4263809|offset_133|00cc00&amp;v=4263708:4264009&amp;c=444444", "offset 133")</f>
        <v>offset 133</v>
      </c>
    </row>
    <row r="13705" customFormat="false" ht="12.8" hidden="false" customHeight="false" outlineLevel="0" collapsed="false">
      <c r="A13705" s="0" t="s">
        <v>12</v>
      </c>
      <c r="B13705" s="0" t="n">
        <v>4265436</v>
      </c>
      <c r="C13705" s="0" t="n">
        <v>4265456</v>
      </c>
      <c r="D13705" s="0" t="s">
        <v>45517</v>
      </c>
      <c r="E13705" s="0" t="s">
        <v>45518</v>
      </c>
      <c r="F13705" s="0" t="s">
        <v>90</v>
      </c>
      <c r="G13705" s="0" t="s">
        <v>32</v>
      </c>
      <c r="H13705" s="0" t="n">
        <v>7</v>
      </c>
      <c r="I13705" s="0" t="s">
        <v>45519</v>
      </c>
      <c r="J13705" s="0" t="s">
        <v>45520</v>
      </c>
      <c r="K13705" s="0" t="s">
        <v>45521</v>
      </c>
      <c r="L13705" s="0" t="str">
        <f aca="false">HYPERLINK("https://www.ncbi.nlm.nih.gov/nuccore/CP000058.1?report=graph&amp;tracks=[key:gene_model_track,Options:GeneOnly]&amp;mk=4265437:4265456|offset_7|00cc00,4265408:4265427|offset_36|444444,4265374:4265393|offset_70|444444,4265353:4265372|offset_91|444444&amp;v=4265236:4265572&amp;c=444444", "offset 7")</f>
        <v>offset 7</v>
      </c>
    </row>
    <row r="13706" customFormat="false" ht="12.8" hidden="false" customHeight="false" outlineLevel="0" collapsed="false">
      <c r="A13706" s="0" t="s">
        <v>12</v>
      </c>
      <c r="B13706" s="0" t="n">
        <v>4265407</v>
      </c>
      <c r="C13706" s="0" t="n">
        <v>4265427</v>
      </c>
      <c r="D13706" s="0" t="s">
        <v>45517</v>
      </c>
      <c r="E13706" s="0" t="s">
        <v>45518</v>
      </c>
      <c r="F13706" s="0" t="s">
        <v>90</v>
      </c>
      <c r="G13706" s="0" t="s">
        <v>20</v>
      </c>
      <c r="H13706" s="0" t="n">
        <v>36</v>
      </c>
      <c r="I13706" s="0" t="s">
        <v>45522</v>
      </c>
      <c r="J13706" s="0" t="s">
        <v>45523</v>
      </c>
      <c r="K13706" s="0" t="s">
        <v>45524</v>
      </c>
      <c r="L13706" s="0" t="str">
        <f aca="false">HYPERLINK("https://www.ncbi.nlm.nih.gov/nuccore/CP000058.1?report=graph&amp;tracks=[key:gene_model_track,Options:GeneOnly]&amp;mk=4265437:4265456|offset_7|444444,4265408:4265427|offset_36|00cc00,4265374:4265393|offset_70|444444,4265353:4265372|offset_91|444444&amp;v=4265236:4265572&amp;c=444444", "offset 36")</f>
        <v>offset 36</v>
      </c>
    </row>
    <row r="13707" customFormat="false" ht="12.8" hidden="false" customHeight="false" outlineLevel="0" collapsed="false">
      <c r="A13707" s="0" t="s">
        <v>12</v>
      </c>
      <c r="B13707" s="0" t="n">
        <v>4265373</v>
      </c>
      <c r="C13707" s="0" t="n">
        <v>4265393</v>
      </c>
      <c r="D13707" s="0" t="s">
        <v>45517</v>
      </c>
      <c r="E13707" s="0" t="s">
        <v>45518</v>
      </c>
      <c r="F13707" s="0" t="s">
        <v>90</v>
      </c>
      <c r="G13707" s="0" t="s">
        <v>16</v>
      </c>
      <c r="H13707" s="0" t="n">
        <v>70</v>
      </c>
      <c r="I13707" s="0" t="s">
        <v>45525</v>
      </c>
      <c r="J13707" s="0" t="s">
        <v>45526</v>
      </c>
      <c r="K13707" s="0" t="s">
        <v>45527</v>
      </c>
      <c r="L13707" s="0" t="str">
        <f aca="false">HYPERLINK("https://www.ncbi.nlm.nih.gov/nuccore/CP000058.1?report=graph&amp;tracks=[key:gene_model_track,Options:GeneOnly]&amp;mk=4265437:4265456|offset_7|444444,4265408:4265427|offset_36|444444,4265374:4265393|offset_70|00cc00,4265353:4265372|offset_91|444444&amp;v=4265236:4265572&amp;c=444444", "offset 70")</f>
        <v>offset 70</v>
      </c>
    </row>
    <row r="13708" customFormat="false" ht="12.8" hidden="false" customHeight="false" outlineLevel="0" collapsed="false">
      <c r="A13708" s="0" t="s">
        <v>12</v>
      </c>
      <c r="B13708" s="0" t="n">
        <v>4265352</v>
      </c>
      <c r="C13708" s="0" t="n">
        <v>4265372</v>
      </c>
      <c r="D13708" s="0" t="s">
        <v>45517</v>
      </c>
      <c r="E13708" s="0" t="s">
        <v>45518</v>
      </c>
      <c r="F13708" s="0" t="s">
        <v>90</v>
      </c>
      <c r="G13708" s="0" t="s">
        <v>32</v>
      </c>
      <c r="H13708" s="0" t="n">
        <v>91</v>
      </c>
      <c r="I13708" s="0" t="s">
        <v>45528</v>
      </c>
      <c r="J13708" s="0" t="s">
        <v>45529</v>
      </c>
      <c r="K13708" s="0" t="s">
        <v>45530</v>
      </c>
      <c r="L13708" s="0" t="str">
        <f aca="false">HYPERLINK("https://www.ncbi.nlm.nih.gov/nuccore/CP000058.1?report=graph&amp;tracks=[key:gene_model_track,Options:GeneOnly]&amp;mk=4265437:4265456|offset_7|444444,4265408:4265427|offset_36|444444,4265374:4265393|offset_70|444444,4265353:4265372|offset_91|00cc00&amp;v=4265236:4265572&amp;c=444444", "offset 91")</f>
        <v>offset 91</v>
      </c>
    </row>
    <row r="13709" customFormat="false" ht="12.8" hidden="false" customHeight="false" outlineLevel="0" collapsed="false">
      <c r="A13709" s="0" t="s">
        <v>12</v>
      </c>
      <c r="B13709" s="0" t="n">
        <v>4266371</v>
      </c>
      <c r="C13709" s="0" t="n">
        <v>4266391</v>
      </c>
      <c r="D13709" s="0" t="s">
        <v>45531</v>
      </c>
      <c r="E13709" s="0" t="s">
        <v>45532</v>
      </c>
      <c r="F13709" s="0" t="s">
        <v>90</v>
      </c>
      <c r="G13709" s="0" t="s">
        <v>36</v>
      </c>
      <c r="H13709" s="0" t="n">
        <v>13</v>
      </c>
      <c r="I13709" s="0" t="s">
        <v>45533</v>
      </c>
      <c r="J13709" s="0" t="s">
        <v>45534</v>
      </c>
      <c r="K13709" s="0" t="s">
        <v>45535</v>
      </c>
      <c r="L13709" s="0" t="str">
        <f aca="false">HYPERLINK("https://www.ncbi.nlm.nih.gov/nuccore/CP000058.1?report=graph&amp;tracks=[key:gene_model_track,Options:GeneOnly]&amp;mk=4266372:4266391|offset_13|00cc00,4266345:4266364|offset_40|444444,4266324:4266343|offset_61|444444,4266300:4266319|offset_85|444444&amp;v=4266171:4266519&amp;c=444444", "offset 13")</f>
        <v>offset 13</v>
      </c>
    </row>
    <row r="13710" customFormat="false" ht="12.8" hidden="false" customHeight="false" outlineLevel="0" collapsed="false">
      <c r="A13710" s="0" t="s">
        <v>12</v>
      </c>
      <c r="B13710" s="0" t="n">
        <v>4266344</v>
      </c>
      <c r="C13710" s="0" t="n">
        <v>4266364</v>
      </c>
      <c r="D13710" s="0" t="s">
        <v>45531</v>
      </c>
      <c r="E13710" s="0" t="s">
        <v>45532</v>
      </c>
      <c r="F13710" s="0" t="s">
        <v>90</v>
      </c>
      <c r="G13710" s="0" t="s">
        <v>32</v>
      </c>
      <c r="H13710" s="0" t="n">
        <v>40</v>
      </c>
      <c r="I13710" s="0" t="s">
        <v>45536</v>
      </c>
      <c r="J13710" s="0" t="s">
        <v>45537</v>
      </c>
      <c r="K13710" s="0" t="s">
        <v>45538</v>
      </c>
      <c r="L13710" s="0" t="str">
        <f aca="false">HYPERLINK("https://www.ncbi.nlm.nih.gov/nuccore/CP000058.1?report=graph&amp;tracks=[key:gene_model_track,Options:GeneOnly]&amp;mk=4266372:4266391|offset_13|444444,4266345:4266364|offset_40|00cc00,4266324:4266343|offset_61|444444,4266300:4266319|offset_85|444444&amp;v=4266171:4266519&amp;c=444444", "offset 40")</f>
        <v>offset 40</v>
      </c>
    </row>
    <row r="13711" customFormat="false" ht="12.8" hidden="false" customHeight="false" outlineLevel="0" collapsed="false">
      <c r="A13711" s="0" t="s">
        <v>12</v>
      </c>
      <c r="B13711" s="0" t="n">
        <v>4266323</v>
      </c>
      <c r="C13711" s="0" t="n">
        <v>4266343</v>
      </c>
      <c r="D13711" s="0" t="s">
        <v>45531</v>
      </c>
      <c r="E13711" s="0" t="s">
        <v>45532</v>
      </c>
      <c r="F13711" s="0" t="s">
        <v>90</v>
      </c>
      <c r="G13711" s="0" t="s">
        <v>32</v>
      </c>
      <c r="H13711" s="0" t="n">
        <v>61</v>
      </c>
      <c r="I13711" s="0" t="s">
        <v>45539</v>
      </c>
      <c r="J13711" s="0" t="s">
        <v>45540</v>
      </c>
      <c r="K13711" s="0" t="s">
        <v>45541</v>
      </c>
      <c r="L13711" s="0" t="str">
        <f aca="false">HYPERLINK("https://www.ncbi.nlm.nih.gov/nuccore/CP000058.1?report=graph&amp;tracks=[key:gene_model_track,Options:GeneOnly]&amp;mk=4266372:4266391|offset_13|444444,4266345:4266364|offset_40|444444,4266324:4266343|offset_61|00cc00,4266300:4266319|offset_85|444444&amp;v=4266171:4266519&amp;c=444444", "offset 61")</f>
        <v>offset 61</v>
      </c>
    </row>
    <row r="13712" customFormat="false" ht="12.8" hidden="false" customHeight="false" outlineLevel="0" collapsed="false">
      <c r="A13712" s="0" t="s">
        <v>12</v>
      </c>
      <c r="B13712" s="0" t="n">
        <v>4266299</v>
      </c>
      <c r="C13712" s="0" t="n">
        <v>4266319</v>
      </c>
      <c r="D13712" s="0" t="s">
        <v>45531</v>
      </c>
      <c r="E13712" s="0" t="s">
        <v>45532</v>
      </c>
      <c r="F13712" s="0" t="s">
        <v>90</v>
      </c>
      <c r="G13712" s="0" t="s">
        <v>36</v>
      </c>
      <c r="H13712" s="0" t="n">
        <v>85</v>
      </c>
      <c r="I13712" s="0" t="s">
        <v>45542</v>
      </c>
      <c r="J13712" s="0" t="s">
        <v>45543</v>
      </c>
      <c r="K13712" s="0" t="s">
        <v>45544</v>
      </c>
      <c r="L13712" s="0" t="str">
        <f aca="false">HYPERLINK("https://www.ncbi.nlm.nih.gov/nuccore/CP000058.1?report=graph&amp;tracks=[key:gene_model_track,Options:GeneOnly]&amp;mk=4266372:4266391|offset_13|444444,4266345:4266364|offset_40|444444,4266324:4266343|offset_61|444444,4266300:4266319|offset_85|00cc00&amp;v=4266171:4266519&amp;c=444444", "offset 85")</f>
        <v>offset 85</v>
      </c>
    </row>
    <row r="13713" customFormat="false" ht="12.8" hidden="false" customHeight="false" outlineLevel="0" collapsed="false">
      <c r="A13713" s="0" t="s">
        <v>12</v>
      </c>
      <c r="B13713" s="0" t="n">
        <v>4266625</v>
      </c>
      <c r="C13713" s="0" t="n">
        <v>4266645</v>
      </c>
      <c r="D13713" s="0" t="s">
        <v>45545</v>
      </c>
      <c r="E13713" s="0" t="s">
        <v>45546</v>
      </c>
      <c r="F13713" s="0" t="s">
        <v>15</v>
      </c>
      <c r="G13713" s="0" t="s">
        <v>32</v>
      </c>
      <c r="H13713" s="0" t="n">
        <v>10</v>
      </c>
      <c r="I13713" s="0" t="s">
        <v>45547</v>
      </c>
      <c r="J13713" s="0" t="s">
        <v>45548</v>
      </c>
      <c r="K13713" s="0" t="s">
        <v>45549</v>
      </c>
      <c r="L13713" s="0" t="str">
        <f aca="false">HYPERLINK("https://www.ncbi.nlm.nih.gov/nuccore/CP000058.1?report=graph&amp;tracks=[key:gene_model_track,Options:GeneOnly]&amp;mk=4266626:4266645|offset_10|00cc00,4266670:4266689|offset_54|444444,4266710:4266729|offset_94|444444,4266738:4266757|offset_122|444444&amp;v=4266425:4266957&amp;c=444444", "offset 10")</f>
        <v>offset 10</v>
      </c>
    </row>
    <row r="13714" customFormat="false" ht="12.8" hidden="false" customHeight="false" outlineLevel="0" collapsed="false">
      <c r="A13714" s="0" t="s">
        <v>12</v>
      </c>
      <c r="B13714" s="0" t="n">
        <v>4266669</v>
      </c>
      <c r="C13714" s="0" t="n">
        <v>4266689</v>
      </c>
      <c r="D13714" s="0" t="s">
        <v>45545</v>
      </c>
      <c r="E13714" s="0" t="s">
        <v>45546</v>
      </c>
      <c r="F13714" s="0" t="s">
        <v>15</v>
      </c>
      <c r="G13714" s="0" t="s">
        <v>20</v>
      </c>
      <c r="H13714" s="0" t="n">
        <v>54</v>
      </c>
      <c r="I13714" s="0" t="s">
        <v>45550</v>
      </c>
      <c r="J13714" s="0" t="s">
        <v>45551</v>
      </c>
      <c r="K13714" s="0" t="s">
        <v>45552</v>
      </c>
      <c r="L13714" s="0" t="str">
        <f aca="false">HYPERLINK("https://www.ncbi.nlm.nih.gov/nuccore/CP000058.1?report=graph&amp;tracks=[key:gene_model_track,Options:GeneOnly]&amp;mk=4266626:4266645|offset_10|444444,4266670:4266689|offset_54|00cc00,4266710:4266729|offset_94|444444,4266738:4266757|offset_122|444444&amp;v=4266425:4266957&amp;c=444444", "offset 54")</f>
        <v>offset 54</v>
      </c>
    </row>
    <row r="13715" customFormat="false" ht="12.8" hidden="false" customHeight="false" outlineLevel="0" collapsed="false">
      <c r="A13715" s="0" t="s">
        <v>12</v>
      </c>
      <c r="B13715" s="0" t="n">
        <v>4266709</v>
      </c>
      <c r="C13715" s="0" t="n">
        <v>4266729</v>
      </c>
      <c r="D13715" s="0" t="s">
        <v>45545</v>
      </c>
      <c r="E13715" s="0" t="s">
        <v>45546</v>
      </c>
      <c r="F13715" s="0" t="s">
        <v>15</v>
      </c>
      <c r="G13715" s="0" t="s">
        <v>20</v>
      </c>
      <c r="H13715" s="0" t="n">
        <v>94</v>
      </c>
      <c r="I13715" s="0" t="s">
        <v>45553</v>
      </c>
      <c r="J13715" s="0" t="s">
        <v>45554</v>
      </c>
      <c r="K13715" s="0" t="s">
        <v>45555</v>
      </c>
      <c r="L13715" s="0" t="str">
        <f aca="false">HYPERLINK("https://www.ncbi.nlm.nih.gov/nuccore/CP000058.1?report=graph&amp;tracks=[key:gene_model_track,Options:GeneOnly]&amp;mk=4266626:4266645|offset_10|444444,4266670:4266689|offset_54|444444,4266710:4266729|offset_94|00cc00,4266738:4266757|offset_122|444444&amp;v=4266425:4266957&amp;c=444444", "offset 94")</f>
        <v>offset 94</v>
      </c>
    </row>
    <row r="13716" customFormat="false" ht="12.8" hidden="false" customHeight="false" outlineLevel="0" collapsed="false">
      <c r="A13716" s="0" t="s">
        <v>12</v>
      </c>
      <c r="B13716" s="0" t="n">
        <v>4266737</v>
      </c>
      <c r="C13716" s="0" t="n">
        <v>4266757</v>
      </c>
      <c r="D13716" s="0" t="s">
        <v>45545</v>
      </c>
      <c r="E13716" s="0" t="s">
        <v>45546</v>
      </c>
      <c r="F13716" s="0" t="s">
        <v>15</v>
      </c>
      <c r="G13716" s="0" t="s">
        <v>32</v>
      </c>
      <c r="H13716" s="0" t="n">
        <v>122</v>
      </c>
      <c r="I13716" s="0" t="s">
        <v>45556</v>
      </c>
      <c r="J13716" s="0" t="s">
        <v>45557</v>
      </c>
      <c r="K13716" s="0" t="s">
        <v>45558</v>
      </c>
      <c r="L13716" s="0" t="str">
        <f aca="false">HYPERLINK("https://www.ncbi.nlm.nih.gov/nuccore/CP000058.1?report=graph&amp;tracks=[key:gene_model_track,Options:GeneOnly]&amp;mk=4266626:4266645|offset_10|444444,4266670:4266689|offset_54|444444,4266710:4266729|offset_94|444444,4266738:4266757|offset_122|00cc00&amp;v=4266425:4266957&amp;c=444444", "offset 122")</f>
        <v>offset 122</v>
      </c>
    </row>
    <row r="13717" customFormat="false" ht="12.8" hidden="false" customHeight="false" outlineLevel="0" collapsed="false">
      <c r="A13717" s="0" t="s">
        <v>12</v>
      </c>
      <c r="B13717" s="0" t="n">
        <v>4269478</v>
      </c>
      <c r="C13717" s="0" t="n">
        <v>4269498</v>
      </c>
      <c r="D13717" s="0" t="s">
        <v>45559</v>
      </c>
      <c r="E13717" s="0" t="s">
        <v>75</v>
      </c>
      <c r="F13717" s="0" t="s">
        <v>15</v>
      </c>
      <c r="G13717" s="0" t="s">
        <v>36</v>
      </c>
      <c r="H13717" s="0" t="n">
        <v>0</v>
      </c>
      <c r="I13717" s="0" t="s">
        <v>45560</v>
      </c>
      <c r="J13717" s="0" t="s">
        <v>45561</v>
      </c>
      <c r="K13717" s="0" t="s">
        <v>45562</v>
      </c>
      <c r="L13717" s="0" t="str">
        <f aca="false">HYPERLINK("https://www.ncbi.nlm.nih.gov/nuccore/CP000058.1?report=graph&amp;tracks=[key:gene_model_track,Options:GeneOnly]&amp;mk=4269479:4269498|offset_0|00cc00,4269517:4269536|offset_38|444444,4269541:4269560|offset_62|444444,4269573:4269592|offset_94|444444&amp;v=4269278:4269792&amp;c=444444", "offset 0")</f>
        <v>offset 0</v>
      </c>
    </row>
    <row r="13718" customFormat="false" ht="12.8" hidden="false" customHeight="false" outlineLevel="0" collapsed="false">
      <c r="A13718" s="0" t="s">
        <v>12</v>
      </c>
      <c r="B13718" s="0" t="n">
        <v>4269516</v>
      </c>
      <c r="C13718" s="0" t="n">
        <v>4269536</v>
      </c>
      <c r="D13718" s="0" t="s">
        <v>45559</v>
      </c>
      <c r="E13718" s="0" t="s">
        <v>75</v>
      </c>
      <c r="F13718" s="0" t="s">
        <v>15</v>
      </c>
      <c r="G13718" s="0" t="s">
        <v>36</v>
      </c>
      <c r="H13718" s="0" t="n">
        <v>38</v>
      </c>
      <c r="I13718" s="0" t="s">
        <v>45563</v>
      </c>
      <c r="J13718" s="0" t="s">
        <v>45564</v>
      </c>
      <c r="K13718" s="0" t="s">
        <v>45565</v>
      </c>
      <c r="L13718" s="0" t="str">
        <f aca="false">HYPERLINK("https://www.ncbi.nlm.nih.gov/nuccore/CP000058.1?report=graph&amp;tracks=[key:gene_model_track,Options:GeneOnly]&amp;mk=4269479:4269498|offset_0|444444,4269517:4269536|offset_38|00cc00,4269541:4269560|offset_62|444444,4269573:4269592|offset_94|444444&amp;v=4269278:4269792&amp;c=444444", "offset 38")</f>
        <v>offset 38</v>
      </c>
    </row>
    <row r="13719" customFormat="false" ht="12.8" hidden="false" customHeight="false" outlineLevel="0" collapsed="false">
      <c r="A13719" s="0" t="s">
        <v>12</v>
      </c>
      <c r="B13719" s="0" t="n">
        <v>4269540</v>
      </c>
      <c r="C13719" s="0" t="n">
        <v>4269560</v>
      </c>
      <c r="D13719" s="0" t="s">
        <v>45559</v>
      </c>
      <c r="E13719" s="0" t="s">
        <v>75</v>
      </c>
      <c r="F13719" s="0" t="s">
        <v>15</v>
      </c>
      <c r="G13719" s="0" t="s">
        <v>16</v>
      </c>
      <c r="H13719" s="0" t="n">
        <v>62</v>
      </c>
      <c r="I13719" s="0" t="s">
        <v>45566</v>
      </c>
      <c r="J13719" s="0" t="s">
        <v>45567</v>
      </c>
      <c r="K13719" s="0" t="s">
        <v>45568</v>
      </c>
      <c r="L13719" s="0" t="str">
        <f aca="false">HYPERLINK("https://www.ncbi.nlm.nih.gov/nuccore/CP000058.1?report=graph&amp;tracks=[key:gene_model_track,Options:GeneOnly]&amp;mk=4269479:4269498|offset_0|444444,4269517:4269536|offset_38|444444,4269541:4269560|offset_62|00cc00,4269573:4269592|offset_94|444444&amp;v=4269278:4269792&amp;c=444444", "offset 62")</f>
        <v>offset 62</v>
      </c>
    </row>
    <row r="13720" customFormat="false" ht="12.8" hidden="false" customHeight="false" outlineLevel="0" collapsed="false">
      <c r="A13720" s="0" t="s">
        <v>12</v>
      </c>
      <c r="B13720" s="0" t="n">
        <v>4269572</v>
      </c>
      <c r="C13720" s="0" t="n">
        <v>4269592</v>
      </c>
      <c r="D13720" s="0" t="s">
        <v>45559</v>
      </c>
      <c r="E13720" s="0" t="s">
        <v>75</v>
      </c>
      <c r="F13720" s="0" t="s">
        <v>15</v>
      </c>
      <c r="G13720" s="0" t="s">
        <v>16</v>
      </c>
      <c r="H13720" s="0" t="n">
        <v>94</v>
      </c>
      <c r="I13720" s="0" t="s">
        <v>45569</v>
      </c>
      <c r="J13720" s="0" t="s">
        <v>45570</v>
      </c>
      <c r="K13720" s="0" t="s">
        <v>45571</v>
      </c>
      <c r="L13720" s="0" t="str">
        <f aca="false">HYPERLINK("https://www.ncbi.nlm.nih.gov/nuccore/CP000058.1?report=graph&amp;tracks=[key:gene_model_track,Options:GeneOnly]&amp;mk=4269479:4269498|offset_0|444444,4269517:4269536|offset_38|444444,4269541:4269560|offset_62|444444,4269573:4269592|offset_94|00cc00&amp;v=4269278:4269792&amp;c=444444", "offset 94")</f>
        <v>offset 94</v>
      </c>
    </row>
    <row r="13721" customFormat="false" ht="12.8" hidden="false" customHeight="false" outlineLevel="0" collapsed="false">
      <c r="A13721" s="0" t="s">
        <v>12</v>
      </c>
      <c r="B13721" s="0" t="n">
        <v>4269932</v>
      </c>
      <c r="C13721" s="0" t="n">
        <v>4269952</v>
      </c>
      <c r="D13721" s="0" t="s">
        <v>45572</v>
      </c>
      <c r="E13721" s="0" t="s">
        <v>75</v>
      </c>
      <c r="F13721" s="0" t="s">
        <v>15</v>
      </c>
      <c r="G13721" s="0" t="s">
        <v>20</v>
      </c>
      <c r="H13721" s="0" t="n">
        <v>20</v>
      </c>
      <c r="I13721" s="0" t="s">
        <v>45573</v>
      </c>
      <c r="J13721" s="0" t="s">
        <v>45574</v>
      </c>
      <c r="K13721" s="0" t="s">
        <v>45575</v>
      </c>
      <c r="L13721" s="0" t="str">
        <f aca="false">HYPERLINK("https://www.ncbi.nlm.nih.gov/nuccore/CP000058.1?report=graph&amp;tracks=[key:gene_model_track,Options:GeneOnly]&amp;mk=4269933:4269952|offset_20|00cc00,4269962:4269981|offset_49|444444,4269985:4270004|offset_72|444444,4270033:4270052|offset_120|444444&amp;v=4269732:4270252&amp;c=444444", "offset 20")</f>
        <v>offset 20</v>
      </c>
    </row>
    <row r="13722" customFormat="false" ht="12.8" hidden="false" customHeight="false" outlineLevel="0" collapsed="false">
      <c r="A13722" s="0" t="s">
        <v>12</v>
      </c>
      <c r="B13722" s="0" t="n">
        <v>4269961</v>
      </c>
      <c r="C13722" s="0" t="n">
        <v>4269981</v>
      </c>
      <c r="D13722" s="0" t="s">
        <v>45572</v>
      </c>
      <c r="E13722" s="0" t="s">
        <v>75</v>
      </c>
      <c r="F13722" s="0" t="s">
        <v>15</v>
      </c>
      <c r="G13722" s="0" t="s">
        <v>16</v>
      </c>
      <c r="H13722" s="0" t="n">
        <v>49</v>
      </c>
      <c r="I13722" s="0" t="s">
        <v>45576</v>
      </c>
      <c r="J13722" s="0" t="s">
        <v>45577</v>
      </c>
      <c r="K13722" s="0" t="s">
        <v>45578</v>
      </c>
      <c r="L13722" s="0" t="str">
        <f aca="false">HYPERLINK("https://www.ncbi.nlm.nih.gov/nuccore/CP000058.1?report=graph&amp;tracks=[key:gene_model_track,Options:GeneOnly]&amp;mk=4269933:4269952|offset_20|444444,4269962:4269981|offset_49|00cc00,4269985:4270004|offset_72|444444,4270033:4270052|offset_120|444444&amp;v=4269732:4270252&amp;c=444444", "offset 49")</f>
        <v>offset 49</v>
      </c>
    </row>
    <row r="13723" customFormat="false" ht="12.8" hidden="false" customHeight="false" outlineLevel="0" collapsed="false">
      <c r="A13723" s="0" t="s">
        <v>12</v>
      </c>
      <c r="B13723" s="0" t="n">
        <v>4269984</v>
      </c>
      <c r="C13723" s="0" t="n">
        <v>4270004</v>
      </c>
      <c r="D13723" s="0" t="s">
        <v>45572</v>
      </c>
      <c r="E13723" s="0" t="s">
        <v>75</v>
      </c>
      <c r="F13723" s="0" t="s">
        <v>15</v>
      </c>
      <c r="G13723" s="0" t="s">
        <v>20</v>
      </c>
      <c r="H13723" s="0" t="n">
        <v>72</v>
      </c>
      <c r="I13723" s="0" t="s">
        <v>45579</v>
      </c>
      <c r="J13723" s="0" t="s">
        <v>45580</v>
      </c>
      <c r="K13723" s="0" t="s">
        <v>45581</v>
      </c>
      <c r="L13723" s="0" t="str">
        <f aca="false">HYPERLINK("https://www.ncbi.nlm.nih.gov/nuccore/CP000058.1?report=graph&amp;tracks=[key:gene_model_track,Options:GeneOnly]&amp;mk=4269933:4269952|offset_20|444444,4269962:4269981|offset_49|444444,4269985:4270004|offset_72|00cc00,4270033:4270052|offset_120|444444&amp;v=4269732:4270252&amp;c=444444", "offset 72")</f>
        <v>offset 72</v>
      </c>
    </row>
    <row r="13724" customFormat="false" ht="12.8" hidden="false" customHeight="false" outlineLevel="0" collapsed="false">
      <c r="A13724" s="0" t="s">
        <v>12</v>
      </c>
      <c r="B13724" s="0" t="n">
        <v>4270032</v>
      </c>
      <c r="C13724" s="0" t="n">
        <v>4270052</v>
      </c>
      <c r="D13724" s="0" t="s">
        <v>45572</v>
      </c>
      <c r="E13724" s="0" t="s">
        <v>75</v>
      </c>
      <c r="F13724" s="0" t="s">
        <v>15</v>
      </c>
      <c r="G13724" s="0" t="s">
        <v>32</v>
      </c>
      <c r="H13724" s="0" t="n">
        <v>120</v>
      </c>
      <c r="I13724" s="0" t="s">
        <v>45582</v>
      </c>
      <c r="J13724" s="0" t="s">
        <v>45583</v>
      </c>
      <c r="K13724" s="0" t="s">
        <v>45584</v>
      </c>
      <c r="L13724" s="0" t="str">
        <f aca="false">HYPERLINK("https://www.ncbi.nlm.nih.gov/nuccore/CP000058.1?report=graph&amp;tracks=[key:gene_model_track,Options:GeneOnly]&amp;mk=4269933:4269952|offset_20|444444,4269962:4269981|offset_49|444444,4269985:4270004|offset_72|444444,4270033:4270052|offset_120|00cc00&amp;v=4269732:4270252&amp;c=444444", "offset 120")</f>
        <v>offset 120</v>
      </c>
    </row>
    <row r="13725" customFormat="false" ht="12.8" hidden="false" customHeight="false" outlineLevel="0" collapsed="false">
      <c r="A13725" s="0" t="s">
        <v>12</v>
      </c>
      <c r="B13725" s="0" t="n">
        <v>4271535</v>
      </c>
      <c r="C13725" s="0" t="n">
        <v>4271555</v>
      </c>
      <c r="D13725" s="0" t="s">
        <v>45585</v>
      </c>
      <c r="E13725" s="0" t="s">
        <v>75</v>
      </c>
      <c r="F13725" s="0" t="s">
        <v>90</v>
      </c>
      <c r="G13725" s="0" t="s">
        <v>20</v>
      </c>
      <c r="H13725" s="0" t="n">
        <v>71</v>
      </c>
      <c r="I13725" s="0" t="s">
        <v>45586</v>
      </c>
      <c r="J13725" s="0" t="s">
        <v>45587</v>
      </c>
      <c r="K13725" s="0" t="s">
        <v>45588</v>
      </c>
      <c r="L13725" s="0" t="str">
        <f aca="false">HYPERLINK("https://www.ncbi.nlm.nih.gov/nuccore/CP000058.1?report=graph&amp;tracks=[key:gene_model_track,Options:GeneOnly]&amp;mk=4271536:4271555|offset_71|00cc00,4271515:4271534|offset_92|444444,4271459:4271478|offset_148|444444,4271435:4271454|offset_172|444444&amp;v=4271335:4271654&amp;c=444444", "offset 71")</f>
        <v>offset 71</v>
      </c>
    </row>
    <row r="13726" customFormat="false" ht="12.8" hidden="false" customHeight="false" outlineLevel="0" collapsed="false">
      <c r="A13726" s="0" t="s">
        <v>12</v>
      </c>
      <c r="B13726" s="0" t="n">
        <v>4271514</v>
      </c>
      <c r="C13726" s="0" t="n">
        <v>4271534</v>
      </c>
      <c r="D13726" s="0" t="s">
        <v>45585</v>
      </c>
      <c r="E13726" s="0" t="s">
        <v>75</v>
      </c>
      <c r="F13726" s="0" t="s">
        <v>90</v>
      </c>
      <c r="G13726" s="0" t="s">
        <v>32</v>
      </c>
      <c r="H13726" s="0" t="n">
        <v>92</v>
      </c>
      <c r="I13726" s="0" t="s">
        <v>45589</v>
      </c>
      <c r="J13726" s="0" t="s">
        <v>45590</v>
      </c>
      <c r="K13726" s="0" t="s">
        <v>45591</v>
      </c>
      <c r="L13726" s="0" t="str">
        <f aca="false">HYPERLINK("https://www.ncbi.nlm.nih.gov/nuccore/CP000058.1?report=graph&amp;tracks=[key:gene_model_track,Options:GeneOnly]&amp;mk=4271536:4271555|offset_71|444444,4271515:4271534|offset_92|00cc00,4271459:4271478|offset_148|444444,4271435:4271454|offset_172|444444&amp;v=4271335:4271654&amp;c=444444", "offset 92")</f>
        <v>offset 92</v>
      </c>
    </row>
    <row r="13727" customFormat="false" ht="12.8" hidden="false" customHeight="false" outlineLevel="0" collapsed="false">
      <c r="A13727" s="0" t="s">
        <v>12</v>
      </c>
      <c r="B13727" s="0" t="n">
        <v>4271458</v>
      </c>
      <c r="C13727" s="0" t="n">
        <v>4271478</v>
      </c>
      <c r="D13727" s="0" t="s">
        <v>45585</v>
      </c>
      <c r="E13727" s="0" t="s">
        <v>75</v>
      </c>
      <c r="F13727" s="0" t="s">
        <v>90</v>
      </c>
      <c r="G13727" s="0" t="s">
        <v>16</v>
      </c>
      <c r="H13727" s="0" t="n">
        <v>148</v>
      </c>
      <c r="I13727" s="0" t="s">
        <v>45592</v>
      </c>
      <c r="J13727" s="0" t="s">
        <v>45593</v>
      </c>
      <c r="K13727" s="0" t="s">
        <v>45594</v>
      </c>
      <c r="L13727" s="0" t="str">
        <f aca="false">HYPERLINK("https://www.ncbi.nlm.nih.gov/nuccore/CP000058.1?report=graph&amp;tracks=[key:gene_model_track,Options:GeneOnly]&amp;mk=4271536:4271555|offset_71|444444,4271515:4271534|offset_92|444444,4271459:4271478|offset_148|00cc00,4271435:4271454|offset_172|444444&amp;v=4271335:4271654&amp;c=444444", "offset 148")</f>
        <v>offset 148</v>
      </c>
    </row>
    <row r="13728" customFormat="false" ht="12.8" hidden="false" customHeight="false" outlineLevel="0" collapsed="false">
      <c r="A13728" s="0" t="s">
        <v>12</v>
      </c>
      <c r="B13728" s="0" t="n">
        <v>4271434</v>
      </c>
      <c r="C13728" s="0" t="n">
        <v>4271454</v>
      </c>
      <c r="D13728" s="0" t="s">
        <v>45585</v>
      </c>
      <c r="E13728" s="0" t="s">
        <v>75</v>
      </c>
      <c r="F13728" s="0" t="s">
        <v>90</v>
      </c>
      <c r="G13728" s="0" t="s">
        <v>16</v>
      </c>
      <c r="H13728" s="0" t="n">
        <v>172</v>
      </c>
      <c r="I13728" s="0" t="s">
        <v>45595</v>
      </c>
      <c r="J13728" s="0" t="s">
        <v>45596</v>
      </c>
      <c r="K13728" s="0" t="s">
        <v>45597</v>
      </c>
      <c r="L13728" s="0" t="str">
        <f aca="false">HYPERLINK("https://www.ncbi.nlm.nih.gov/nuccore/CP000058.1?report=graph&amp;tracks=[key:gene_model_track,Options:GeneOnly]&amp;mk=4271536:4271555|offset_71|444444,4271515:4271534|offset_92|444444,4271459:4271478|offset_148|444444,4271435:4271454|offset_172|00cc00&amp;v=4271335:4271654&amp;c=444444", "offset 172")</f>
        <v>offset 172</v>
      </c>
    </row>
    <row r="13729" customFormat="false" ht="12.8" hidden="false" customHeight="false" outlineLevel="0" collapsed="false">
      <c r="A13729" s="0" t="s">
        <v>12</v>
      </c>
      <c r="B13729" s="0" t="n">
        <v>4271762</v>
      </c>
      <c r="C13729" s="0" t="n">
        <v>4271782</v>
      </c>
      <c r="D13729" s="0" t="s">
        <v>45598</v>
      </c>
      <c r="E13729" s="0" t="s">
        <v>45599</v>
      </c>
      <c r="F13729" s="0" t="s">
        <v>15</v>
      </c>
      <c r="G13729" s="0" t="s">
        <v>16</v>
      </c>
      <c r="H13729" s="0" t="n">
        <v>13</v>
      </c>
      <c r="I13729" s="0" t="s">
        <v>45600</v>
      </c>
      <c r="J13729" s="0" t="s">
        <v>45601</v>
      </c>
      <c r="K13729" s="0" t="s">
        <v>45602</v>
      </c>
      <c r="L13729" s="0" t="str">
        <f aca="false">HYPERLINK("https://www.ncbi.nlm.nih.gov/nuccore/CP000058.1?report=graph&amp;tracks=[key:gene_model_track,Options:GeneOnly]&amp;mk=4271763:4271782|offset_13|00cc00,4271785:4271804|offset_35|444444,4271829:4271848|offset_79|444444,4271854:4271873|offset_104|444444&amp;v=4271562:4272073&amp;c=444444", "offset 13")</f>
        <v>offset 13</v>
      </c>
    </row>
    <row r="13730" customFormat="false" ht="12.8" hidden="false" customHeight="false" outlineLevel="0" collapsed="false">
      <c r="A13730" s="0" t="s">
        <v>12</v>
      </c>
      <c r="B13730" s="0" t="n">
        <v>4271784</v>
      </c>
      <c r="C13730" s="0" t="n">
        <v>4271804</v>
      </c>
      <c r="D13730" s="0" t="s">
        <v>45598</v>
      </c>
      <c r="E13730" s="0" t="s">
        <v>45599</v>
      </c>
      <c r="F13730" s="0" t="s">
        <v>15</v>
      </c>
      <c r="G13730" s="0" t="s">
        <v>36</v>
      </c>
      <c r="H13730" s="0" t="n">
        <v>35</v>
      </c>
      <c r="I13730" s="0" t="s">
        <v>45603</v>
      </c>
      <c r="J13730" s="0" t="s">
        <v>45604</v>
      </c>
      <c r="K13730" s="0" t="s">
        <v>45605</v>
      </c>
      <c r="L13730" s="0" t="str">
        <f aca="false">HYPERLINK("https://www.ncbi.nlm.nih.gov/nuccore/CP000058.1?report=graph&amp;tracks=[key:gene_model_track,Options:GeneOnly]&amp;mk=4271763:4271782|offset_13|444444,4271785:4271804|offset_35|00cc00,4271829:4271848|offset_79|444444,4271854:4271873|offset_104|444444&amp;v=4271562:4272073&amp;c=444444", "offset 35")</f>
        <v>offset 35</v>
      </c>
    </row>
    <row r="13731" customFormat="false" ht="12.8" hidden="false" customHeight="false" outlineLevel="0" collapsed="false">
      <c r="A13731" s="0" t="s">
        <v>12</v>
      </c>
      <c r="B13731" s="0" t="n">
        <v>4271828</v>
      </c>
      <c r="C13731" s="0" t="n">
        <v>4271848</v>
      </c>
      <c r="D13731" s="0" t="s">
        <v>45598</v>
      </c>
      <c r="E13731" s="0" t="s">
        <v>45599</v>
      </c>
      <c r="F13731" s="0" t="s">
        <v>15</v>
      </c>
      <c r="G13731" s="0" t="s">
        <v>36</v>
      </c>
      <c r="H13731" s="0" t="n">
        <v>79</v>
      </c>
      <c r="I13731" s="0" t="s">
        <v>45606</v>
      </c>
      <c r="J13731" s="0" t="s">
        <v>45607</v>
      </c>
      <c r="K13731" s="0" t="s">
        <v>45608</v>
      </c>
      <c r="L13731" s="0" t="str">
        <f aca="false">HYPERLINK("https://www.ncbi.nlm.nih.gov/nuccore/CP000058.1?report=graph&amp;tracks=[key:gene_model_track,Options:GeneOnly]&amp;mk=4271763:4271782|offset_13|444444,4271785:4271804|offset_35|444444,4271829:4271848|offset_79|00cc00,4271854:4271873|offset_104|444444&amp;v=4271562:4272073&amp;c=444444", "offset 79")</f>
        <v>offset 79</v>
      </c>
    </row>
    <row r="13732" customFormat="false" ht="12.8" hidden="false" customHeight="false" outlineLevel="0" collapsed="false">
      <c r="A13732" s="0" t="s">
        <v>12</v>
      </c>
      <c r="B13732" s="0" t="n">
        <v>4271853</v>
      </c>
      <c r="C13732" s="0" t="n">
        <v>4271873</v>
      </c>
      <c r="D13732" s="0" t="s">
        <v>45598</v>
      </c>
      <c r="E13732" s="0" t="s">
        <v>45599</v>
      </c>
      <c r="F13732" s="0" t="s">
        <v>15</v>
      </c>
      <c r="G13732" s="0" t="s">
        <v>20</v>
      </c>
      <c r="H13732" s="0" t="n">
        <v>104</v>
      </c>
      <c r="I13732" s="0" t="s">
        <v>45609</v>
      </c>
      <c r="J13732" s="0" t="s">
        <v>45610</v>
      </c>
      <c r="K13732" s="0" t="s">
        <v>45611</v>
      </c>
      <c r="L13732" s="0" t="str">
        <f aca="false">HYPERLINK("https://www.ncbi.nlm.nih.gov/nuccore/CP000058.1?report=graph&amp;tracks=[key:gene_model_track,Options:GeneOnly]&amp;mk=4271763:4271782|offset_13|444444,4271785:4271804|offset_35|444444,4271829:4271848|offset_79|444444,4271854:4271873|offset_104|00cc00&amp;v=4271562:4272073&amp;c=444444", "offset 104")</f>
        <v>offset 104</v>
      </c>
    </row>
    <row r="13733" customFormat="false" ht="12.8" hidden="false" customHeight="false" outlineLevel="0" collapsed="false">
      <c r="A13733" s="0" t="s">
        <v>12</v>
      </c>
      <c r="B13733" s="0" t="n">
        <v>4272117</v>
      </c>
      <c r="C13733" s="0" t="n">
        <v>4272137</v>
      </c>
      <c r="D13733" s="0" t="s">
        <v>45612</v>
      </c>
      <c r="E13733" s="0" t="s">
        <v>75</v>
      </c>
      <c r="F13733" s="0" t="s">
        <v>15</v>
      </c>
      <c r="G13733" s="0" t="s">
        <v>20</v>
      </c>
      <c r="H13733" s="0" t="n">
        <v>12</v>
      </c>
      <c r="I13733" s="0" t="s">
        <v>45613</v>
      </c>
      <c r="J13733" s="0" t="s">
        <v>45614</v>
      </c>
      <c r="K13733" s="0" t="s">
        <v>45615</v>
      </c>
      <c r="L13733" s="0" t="str">
        <f aca="false">HYPERLINK("https://www.ncbi.nlm.nih.gov/nuccore/CP000058.1?report=graph&amp;tracks=[key:gene_model_track,Options:GeneOnly]&amp;mk=4272118:4272137|offset_12|00cc00,4272144:4272163|offset_38|444444,4272170:4272189|offset_64|444444,4272229:4272248|offset_123|444444&amp;v=4271917:4272448&amp;c=444444", "offset 12")</f>
        <v>offset 12</v>
      </c>
    </row>
    <row r="13734" customFormat="false" ht="12.8" hidden="false" customHeight="false" outlineLevel="0" collapsed="false">
      <c r="A13734" s="0" t="s">
        <v>12</v>
      </c>
      <c r="B13734" s="0" t="n">
        <v>4272143</v>
      </c>
      <c r="C13734" s="0" t="n">
        <v>4272163</v>
      </c>
      <c r="D13734" s="0" t="s">
        <v>45612</v>
      </c>
      <c r="E13734" s="0" t="s">
        <v>75</v>
      </c>
      <c r="F13734" s="0" t="s">
        <v>15</v>
      </c>
      <c r="G13734" s="0" t="s">
        <v>16</v>
      </c>
      <c r="H13734" s="0" t="n">
        <v>38</v>
      </c>
      <c r="I13734" s="0" t="s">
        <v>45616</v>
      </c>
      <c r="J13734" s="0" t="s">
        <v>45617</v>
      </c>
      <c r="K13734" s="0" t="s">
        <v>45618</v>
      </c>
      <c r="L13734" s="0" t="str">
        <f aca="false">HYPERLINK("https://www.ncbi.nlm.nih.gov/nuccore/CP000058.1?report=graph&amp;tracks=[key:gene_model_track,Options:GeneOnly]&amp;mk=4272118:4272137|offset_12|444444,4272144:4272163|offset_38|00cc00,4272170:4272189|offset_64|444444,4272229:4272248|offset_123|444444&amp;v=4271917:4272448&amp;c=444444", "offset 38")</f>
        <v>offset 38</v>
      </c>
    </row>
    <row r="13735" customFormat="false" ht="12.8" hidden="false" customHeight="false" outlineLevel="0" collapsed="false">
      <c r="A13735" s="0" t="s">
        <v>12</v>
      </c>
      <c r="B13735" s="0" t="n">
        <v>4272169</v>
      </c>
      <c r="C13735" s="0" t="n">
        <v>4272189</v>
      </c>
      <c r="D13735" s="0" t="s">
        <v>45612</v>
      </c>
      <c r="E13735" s="0" t="s">
        <v>75</v>
      </c>
      <c r="F13735" s="0" t="s">
        <v>15</v>
      </c>
      <c r="G13735" s="0" t="s">
        <v>36</v>
      </c>
      <c r="H13735" s="0" t="n">
        <v>64</v>
      </c>
      <c r="I13735" s="0" t="s">
        <v>45619</v>
      </c>
      <c r="J13735" s="0" t="s">
        <v>45620</v>
      </c>
      <c r="K13735" s="0" t="s">
        <v>45621</v>
      </c>
      <c r="L13735" s="0" t="str">
        <f aca="false">HYPERLINK("https://www.ncbi.nlm.nih.gov/nuccore/CP000058.1?report=graph&amp;tracks=[key:gene_model_track,Options:GeneOnly]&amp;mk=4272118:4272137|offset_12|444444,4272144:4272163|offset_38|444444,4272170:4272189|offset_64|00cc00,4272229:4272248|offset_123|444444&amp;v=4271917:4272448&amp;c=444444", "offset 64")</f>
        <v>offset 64</v>
      </c>
    </row>
    <row r="13736" customFormat="false" ht="12.8" hidden="false" customHeight="false" outlineLevel="0" collapsed="false">
      <c r="A13736" s="0" t="s">
        <v>12</v>
      </c>
      <c r="B13736" s="0" t="n">
        <v>4272228</v>
      </c>
      <c r="C13736" s="0" t="n">
        <v>4272248</v>
      </c>
      <c r="D13736" s="0" t="s">
        <v>45612</v>
      </c>
      <c r="E13736" s="0" t="s">
        <v>75</v>
      </c>
      <c r="F13736" s="0" t="s">
        <v>15</v>
      </c>
      <c r="G13736" s="0" t="s">
        <v>20</v>
      </c>
      <c r="H13736" s="0" t="n">
        <v>123</v>
      </c>
      <c r="I13736" s="0" t="s">
        <v>45622</v>
      </c>
      <c r="J13736" s="0" t="s">
        <v>45623</v>
      </c>
      <c r="K13736" s="0" t="s">
        <v>45624</v>
      </c>
      <c r="L13736" s="0" t="str">
        <f aca="false">HYPERLINK("https://www.ncbi.nlm.nih.gov/nuccore/CP000058.1?report=graph&amp;tracks=[key:gene_model_track,Options:GeneOnly]&amp;mk=4272118:4272137|offset_12|444444,4272144:4272163|offset_38|444444,4272170:4272189|offset_64|444444,4272229:4272248|offset_123|00cc00&amp;v=4271917:4272448&amp;c=444444", "offset 123")</f>
        <v>offset 123</v>
      </c>
    </row>
    <row r="13737" customFormat="false" ht="12.8" hidden="false" customHeight="false" outlineLevel="0" collapsed="false">
      <c r="A13737" s="0" t="s">
        <v>12</v>
      </c>
      <c r="B13737" s="0" t="n">
        <v>4272813</v>
      </c>
      <c r="C13737" s="0" t="n">
        <v>4272833</v>
      </c>
      <c r="D13737" s="0" t="s">
        <v>45625</v>
      </c>
      <c r="E13737" s="0" t="s">
        <v>75</v>
      </c>
      <c r="F13737" s="0" t="s">
        <v>15</v>
      </c>
      <c r="G13737" s="0" t="s">
        <v>16</v>
      </c>
      <c r="H13737" s="0" t="n">
        <v>0</v>
      </c>
      <c r="I13737" s="0" t="s">
        <v>45626</v>
      </c>
      <c r="J13737" s="0" t="s">
        <v>45627</v>
      </c>
      <c r="K13737" s="0" t="s">
        <v>45628</v>
      </c>
      <c r="L13737" s="0" t="str">
        <f aca="false">HYPERLINK("https://www.ncbi.nlm.nih.gov/nuccore/CP000058.1?report=graph&amp;tracks=[key:gene_model_track,Options:GeneOnly]&amp;mk=4272814:4272833|offset_0|00cc00,4272849:4272868|offset_35|444444,4272869:4272888|offset_55|444444,4272892:4272911|offset_78|444444&amp;v=4272613:4273111&amp;c=444444", "offset 0")</f>
        <v>offset 0</v>
      </c>
    </row>
    <row r="13738" customFormat="false" ht="12.8" hidden="false" customHeight="false" outlineLevel="0" collapsed="false">
      <c r="A13738" s="0" t="s">
        <v>12</v>
      </c>
      <c r="B13738" s="0" t="n">
        <v>4272848</v>
      </c>
      <c r="C13738" s="0" t="n">
        <v>4272868</v>
      </c>
      <c r="D13738" s="0" t="s">
        <v>45625</v>
      </c>
      <c r="E13738" s="0" t="s">
        <v>75</v>
      </c>
      <c r="F13738" s="0" t="s">
        <v>15</v>
      </c>
      <c r="G13738" s="0" t="s">
        <v>20</v>
      </c>
      <c r="H13738" s="0" t="n">
        <v>35</v>
      </c>
      <c r="I13738" s="0" t="s">
        <v>45629</v>
      </c>
      <c r="J13738" s="0" t="s">
        <v>45630</v>
      </c>
      <c r="K13738" s="0" t="s">
        <v>45631</v>
      </c>
      <c r="L13738" s="0" t="str">
        <f aca="false">HYPERLINK("https://www.ncbi.nlm.nih.gov/nuccore/CP000058.1?report=graph&amp;tracks=[key:gene_model_track,Options:GeneOnly]&amp;mk=4272814:4272833|offset_0|444444,4272849:4272868|offset_35|00cc00,4272869:4272888|offset_55|444444,4272892:4272911|offset_78|444444&amp;v=4272613:4273111&amp;c=444444", "offset 35")</f>
        <v>offset 35</v>
      </c>
    </row>
    <row r="13739" customFormat="false" ht="12.8" hidden="false" customHeight="false" outlineLevel="0" collapsed="false">
      <c r="A13739" s="0" t="s">
        <v>12</v>
      </c>
      <c r="B13739" s="0" t="n">
        <v>4272868</v>
      </c>
      <c r="C13739" s="0" t="n">
        <v>4272888</v>
      </c>
      <c r="D13739" s="0" t="s">
        <v>45625</v>
      </c>
      <c r="E13739" s="0" t="s">
        <v>75</v>
      </c>
      <c r="F13739" s="0" t="s">
        <v>15</v>
      </c>
      <c r="G13739" s="0" t="s">
        <v>32</v>
      </c>
      <c r="H13739" s="0" t="n">
        <v>55</v>
      </c>
      <c r="I13739" s="0" t="s">
        <v>45632</v>
      </c>
      <c r="J13739" s="0" t="s">
        <v>45633</v>
      </c>
      <c r="K13739" s="0" t="s">
        <v>45634</v>
      </c>
      <c r="L13739" s="0" t="str">
        <f aca="false">HYPERLINK("https://www.ncbi.nlm.nih.gov/nuccore/CP000058.1?report=graph&amp;tracks=[key:gene_model_track,Options:GeneOnly]&amp;mk=4272814:4272833|offset_0|444444,4272849:4272868|offset_35|444444,4272869:4272888|offset_55|00cc00,4272892:4272911|offset_78|444444&amp;v=4272613:4273111&amp;c=444444", "offset 55")</f>
        <v>offset 55</v>
      </c>
    </row>
    <row r="13740" customFormat="false" ht="12.8" hidden="false" customHeight="false" outlineLevel="0" collapsed="false">
      <c r="A13740" s="0" t="s">
        <v>12</v>
      </c>
      <c r="B13740" s="0" t="n">
        <v>4272891</v>
      </c>
      <c r="C13740" s="0" t="n">
        <v>4272911</v>
      </c>
      <c r="D13740" s="0" t="s">
        <v>45625</v>
      </c>
      <c r="E13740" s="0" t="s">
        <v>75</v>
      </c>
      <c r="F13740" s="0" t="s">
        <v>15</v>
      </c>
      <c r="G13740" s="0" t="s">
        <v>36</v>
      </c>
      <c r="H13740" s="0" t="n">
        <v>78</v>
      </c>
      <c r="I13740" s="0" t="s">
        <v>45635</v>
      </c>
      <c r="J13740" s="0" t="s">
        <v>45636</v>
      </c>
      <c r="K13740" s="0" t="s">
        <v>45637</v>
      </c>
      <c r="L13740" s="0" t="str">
        <f aca="false">HYPERLINK("https://www.ncbi.nlm.nih.gov/nuccore/CP000058.1?report=graph&amp;tracks=[key:gene_model_track,Options:GeneOnly]&amp;mk=4272814:4272833|offset_0|444444,4272849:4272868|offset_35|444444,4272869:4272888|offset_55|444444,4272892:4272911|offset_78|00cc00&amp;v=4272613:4273111&amp;c=444444", "offset 78")</f>
        <v>offset 78</v>
      </c>
    </row>
    <row r="13741" customFormat="false" ht="12.8" hidden="false" customHeight="false" outlineLevel="0" collapsed="false">
      <c r="A13741" s="0" t="s">
        <v>12</v>
      </c>
      <c r="B13741" s="0" t="n">
        <v>4274286</v>
      </c>
      <c r="C13741" s="0" t="n">
        <v>4274306</v>
      </c>
      <c r="D13741" s="0" t="s">
        <v>45638</v>
      </c>
      <c r="E13741" s="0" t="s">
        <v>75</v>
      </c>
      <c r="F13741" s="0" t="s">
        <v>90</v>
      </c>
      <c r="G13741" s="0" t="s">
        <v>36</v>
      </c>
      <c r="H13741" s="0" t="n">
        <v>10</v>
      </c>
      <c r="I13741" s="0" t="s">
        <v>45639</v>
      </c>
      <c r="J13741" s="0" t="s">
        <v>45640</v>
      </c>
      <c r="K13741" s="0" t="s">
        <v>45641</v>
      </c>
      <c r="L13741" s="0" t="str">
        <f aca="false">HYPERLINK("https://www.ncbi.nlm.nih.gov/nuccore/CP000058.1?report=graph&amp;tracks=[key:gene_model_track,Options:GeneOnly]&amp;mk=4274287:4274306|offset_10|00cc00,4274239:4274258|offset_58|444444,4274181:4274200|offset_116|444444,4274155:4274174|offset_142|444444&amp;v=4274086:4274374&amp;c=444444", "offset 10")</f>
        <v>offset 10</v>
      </c>
    </row>
    <row r="13742" customFormat="false" ht="12.8" hidden="false" customHeight="false" outlineLevel="0" collapsed="false">
      <c r="A13742" s="0" t="s">
        <v>12</v>
      </c>
      <c r="B13742" s="0" t="n">
        <v>4274238</v>
      </c>
      <c r="C13742" s="0" t="n">
        <v>4274258</v>
      </c>
      <c r="D13742" s="0" t="s">
        <v>45638</v>
      </c>
      <c r="E13742" s="0" t="s">
        <v>75</v>
      </c>
      <c r="F13742" s="0" t="s">
        <v>90</v>
      </c>
      <c r="G13742" s="0" t="s">
        <v>16</v>
      </c>
      <c r="H13742" s="0" t="n">
        <v>58</v>
      </c>
      <c r="I13742" s="0" t="s">
        <v>45642</v>
      </c>
      <c r="J13742" s="0" t="s">
        <v>45643</v>
      </c>
      <c r="K13742" s="0" t="s">
        <v>45644</v>
      </c>
      <c r="L13742" s="0" t="str">
        <f aca="false">HYPERLINK("https://www.ncbi.nlm.nih.gov/nuccore/CP000058.1?report=graph&amp;tracks=[key:gene_model_track,Options:GeneOnly]&amp;mk=4274287:4274306|offset_10|444444,4274239:4274258|offset_58|00cc00,4274181:4274200|offset_116|444444,4274155:4274174|offset_142|444444&amp;v=4274086:4274374&amp;c=444444", "offset 58")</f>
        <v>offset 58</v>
      </c>
    </row>
    <row r="13743" customFormat="false" ht="12.8" hidden="false" customHeight="false" outlineLevel="0" collapsed="false">
      <c r="A13743" s="0" t="s">
        <v>12</v>
      </c>
      <c r="B13743" s="0" t="n">
        <v>4274180</v>
      </c>
      <c r="C13743" s="0" t="n">
        <v>4274200</v>
      </c>
      <c r="D13743" s="0" t="s">
        <v>45638</v>
      </c>
      <c r="E13743" s="0" t="s">
        <v>75</v>
      </c>
      <c r="F13743" s="0" t="s">
        <v>90</v>
      </c>
      <c r="G13743" s="0" t="s">
        <v>20</v>
      </c>
      <c r="H13743" s="0" t="n">
        <v>116</v>
      </c>
      <c r="I13743" s="0" t="s">
        <v>45645</v>
      </c>
      <c r="J13743" s="0" t="s">
        <v>45646</v>
      </c>
      <c r="K13743" s="0" t="s">
        <v>45647</v>
      </c>
      <c r="L13743" s="0" t="str">
        <f aca="false">HYPERLINK("https://www.ncbi.nlm.nih.gov/nuccore/CP000058.1?report=graph&amp;tracks=[key:gene_model_track,Options:GeneOnly]&amp;mk=4274287:4274306|offset_10|444444,4274239:4274258|offset_58|444444,4274181:4274200|offset_116|00cc00,4274155:4274174|offset_142|444444&amp;v=4274086:4274374&amp;c=444444", "offset 116")</f>
        <v>offset 116</v>
      </c>
    </row>
    <row r="13744" customFormat="false" ht="12.8" hidden="false" customHeight="false" outlineLevel="0" collapsed="false">
      <c r="A13744" s="0" t="s">
        <v>12</v>
      </c>
      <c r="B13744" s="0" t="n">
        <v>4274154</v>
      </c>
      <c r="C13744" s="0" t="n">
        <v>4274174</v>
      </c>
      <c r="D13744" s="0" t="s">
        <v>45638</v>
      </c>
      <c r="E13744" s="0" t="s">
        <v>75</v>
      </c>
      <c r="F13744" s="0" t="s">
        <v>90</v>
      </c>
      <c r="G13744" s="0" t="s">
        <v>32</v>
      </c>
      <c r="H13744" s="0" t="n">
        <v>142</v>
      </c>
      <c r="I13744" s="0" t="s">
        <v>45648</v>
      </c>
      <c r="J13744" s="0" t="s">
        <v>45649</v>
      </c>
      <c r="K13744" s="0" t="s">
        <v>45650</v>
      </c>
      <c r="L13744" s="0" t="str">
        <f aca="false">HYPERLINK("https://www.ncbi.nlm.nih.gov/nuccore/CP000058.1?report=graph&amp;tracks=[key:gene_model_track,Options:GeneOnly]&amp;mk=4274287:4274306|offset_10|444444,4274239:4274258|offset_58|444444,4274181:4274200|offset_116|444444,4274155:4274174|offset_142|00cc00&amp;v=4274086:4274374&amp;c=444444", "offset 142")</f>
        <v>offset 142</v>
      </c>
    </row>
    <row r="13745" customFormat="false" ht="12.8" hidden="false" customHeight="false" outlineLevel="0" collapsed="false">
      <c r="A13745" s="0" t="s">
        <v>12</v>
      </c>
      <c r="B13745" s="0" t="n">
        <v>4274516</v>
      </c>
      <c r="C13745" s="0" t="n">
        <v>4274536</v>
      </c>
      <c r="D13745" s="0" t="s">
        <v>45651</v>
      </c>
      <c r="E13745" s="0" t="s">
        <v>75</v>
      </c>
      <c r="F13745" s="0" t="s">
        <v>15</v>
      </c>
      <c r="G13745" s="0" t="s">
        <v>36</v>
      </c>
      <c r="H13745" s="0" t="n">
        <v>6</v>
      </c>
      <c r="I13745" s="0" t="s">
        <v>45652</v>
      </c>
      <c r="J13745" s="0" t="s">
        <v>45653</v>
      </c>
      <c r="K13745" s="0" t="s">
        <v>45654</v>
      </c>
      <c r="L13745" s="0" t="str">
        <f aca="false">HYPERLINK("https://www.ncbi.nlm.nih.gov/nuccore/CP000058.1?report=graph&amp;tracks=[key:gene_model_track,Options:GeneOnly]&amp;mk=4274517:4274536|offset_6|00cc00,4274545:4274564|offset_34|444444,4274566:4274585|offset_55|444444,4274591:4274610|offset_80|444444&amp;v=4274316:4274810&amp;c=444444", "offset 6")</f>
        <v>offset 6</v>
      </c>
    </row>
    <row r="13746" customFormat="false" ht="12.8" hidden="false" customHeight="false" outlineLevel="0" collapsed="false">
      <c r="A13746" s="0" t="s">
        <v>12</v>
      </c>
      <c r="B13746" s="0" t="n">
        <v>4274544</v>
      </c>
      <c r="C13746" s="0" t="n">
        <v>4274564</v>
      </c>
      <c r="D13746" s="0" t="s">
        <v>45651</v>
      </c>
      <c r="E13746" s="0" t="s">
        <v>75</v>
      </c>
      <c r="F13746" s="0" t="s">
        <v>15</v>
      </c>
      <c r="G13746" s="0" t="s">
        <v>20</v>
      </c>
      <c r="H13746" s="0" t="n">
        <v>34</v>
      </c>
      <c r="I13746" s="0" t="s">
        <v>45655</v>
      </c>
      <c r="J13746" s="0" t="s">
        <v>45656</v>
      </c>
      <c r="K13746" s="0" t="s">
        <v>45657</v>
      </c>
      <c r="L13746" s="0" t="str">
        <f aca="false">HYPERLINK("https://www.ncbi.nlm.nih.gov/nuccore/CP000058.1?report=graph&amp;tracks=[key:gene_model_track,Options:GeneOnly]&amp;mk=4274517:4274536|offset_6|444444,4274545:4274564|offset_34|00cc00,4274566:4274585|offset_55|444444,4274591:4274610|offset_80|444444&amp;v=4274316:4274810&amp;c=444444", "offset 34")</f>
        <v>offset 34</v>
      </c>
    </row>
    <row r="13747" customFormat="false" ht="12.8" hidden="false" customHeight="false" outlineLevel="0" collapsed="false">
      <c r="A13747" s="0" t="s">
        <v>12</v>
      </c>
      <c r="B13747" s="0" t="n">
        <v>4274565</v>
      </c>
      <c r="C13747" s="0" t="n">
        <v>4274585</v>
      </c>
      <c r="D13747" s="0" t="s">
        <v>45651</v>
      </c>
      <c r="E13747" s="0" t="s">
        <v>75</v>
      </c>
      <c r="F13747" s="0" t="s">
        <v>15</v>
      </c>
      <c r="G13747" s="0" t="s">
        <v>20</v>
      </c>
      <c r="H13747" s="0" t="n">
        <v>55</v>
      </c>
      <c r="I13747" s="0" t="s">
        <v>45658</v>
      </c>
      <c r="J13747" s="0" t="s">
        <v>45659</v>
      </c>
      <c r="K13747" s="0" t="s">
        <v>45660</v>
      </c>
      <c r="L13747" s="0" t="str">
        <f aca="false">HYPERLINK("https://www.ncbi.nlm.nih.gov/nuccore/CP000058.1?report=graph&amp;tracks=[key:gene_model_track,Options:GeneOnly]&amp;mk=4274517:4274536|offset_6|444444,4274545:4274564|offset_34|444444,4274566:4274585|offset_55|00cc00,4274591:4274610|offset_80|444444&amp;v=4274316:4274810&amp;c=444444", "offset 55")</f>
        <v>offset 55</v>
      </c>
    </row>
    <row r="13748" customFormat="false" ht="12.8" hidden="false" customHeight="false" outlineLevel="0" collapsed="false">
      <c r="A13748" s="0" t="s">
        <v>12</v>
      </c>
      <c r="B13748" s="0" t="n">
        <v>4274590</v>
      </c>
      <c r="C13748" s="0" t="n">
        <v>4274610</v>
      </c>
      <c r="D13748" s="0" t="s">
        <v>45651</v>
      </c>
      <c r="E13748" s="0" t="s">
        <v>75</v>
      </c>
      <c r="F13748" s="0" t="s">
        <v>15</v>
      </c>
      <c r="G13748" s="0" t="s">
        <v>36</v>
      </c>
      <c r="H13748" s="0" t="n">
        <v>80</v>
      </c>
      <c r="I13748" s="0" t="s">
        <v>45661</v>
      </c>
      <c r="J13748" s="0" t="s">
        <v>45662</v>
      </c>
      <c r="K13748" s="0" t="s">
        <v>45663</v>
      </c>
      <c r="L13748" s="0" t="str">
        <f aca="false">HYPERLINK("https://www.ncbi.nlm.nih.gov/nuccore/CP000058.1?report=graph&amp;tracks=[key:gene_model_track,Options:GeneOnly]&amp;mk=4274517:4274536|offset_6|444444,4274545:4274564|offset_34|444444,4274566:4274585|offset_55|444444,4274591:4274610|offset_80|00cc00&amp;v=4274316:4274810&amp;c=444444", "offset 80")</f>
        <v>offset 80</v>
      </c>
    </row>
    <row r="13749" customFormat="false" ht="12.8" hidden="false" customHeight="false" outlineLevel="0" collapsed="false">
      <c r="A13749" s="0" t="s">
        <v>12</v>
      </c>
      <c r="B13749" s="0" t="n">
        <v>4276429</v>
      </c>
      <c r="C13749" s="0" t="n">
        <v>4276449</v>
      </c>
      <c r="D13749" s="0" t="s">
        <v>45664</v>
      </c>
      <c r="E13749" s="0" t="s">
        <v>45665</v>
      </c>
      <c r="F13749" s="0" t="s">
        <v>90</v>
      </c>
      <c r="G13749" s="0" t="s">
        <v>16</v>
      </c>
      <c r="H13749" s="0" t="n">
        <v>6</v>
      </c>
      <c r="I13749" s="0" t="s">
        <v>45666</v>
      </c>
      <c r="J13749" s="0" t="s">
        <v>45667</v>
      </c>
      <c r="K13749" s="0" t="s">
        <v>45668</v>
      </c>
      <c r="L13749" s="0" t="str">
        <f aca="false">HYPERLINK("https://www.ncbi.nlm.nih.gov/nuccore/CP000058.1?report=graph&amp;tracks=[key:gene_model_track,Options:GeneOnly]&amp;mk=4276430:4276449|offset_6|00cc00,4276388:4276407|offset_48|444444,4276335:4276354|offset_101|444444,4276309:4276328|offset_127|444444&amp;v=4276229:4276528&amp;c=444444", "offset 6")</f>
        <v>offset 6</v>
      </c>
    </row>
    <row r="13750" customFormat="false" ht="12.8" hidden="false" customHeight="false" outlineLevel="0" collapsed="false">
      <c r="A13750" s="0" t="s">
        <v>12</v>
      </c>
      <c r="B13750" s="0" t="n">
        <v>4276387</v>
      </c>
      <c r="C13750" s="0" t="n">
        <v>4276407</v>
      </c>
      <c r="D13750" s="0" t="s">
        <v>45664</v>
      </c>
      <c r="E13750" s="0" t="s">
        <v>45665</v>
      </c>
      <c r="F13750" s="0" t="s">
        <v>90</v>
      </c>
      <c r="G13750" s="0" t="s">
        <v>36</v>
      </c>
      <c r="H13750" s="0" t="n">
        <v>48</v>
      </c>
      <c r="I13750" s="0" t="s">
        <v>45669</v>
      </c>
      <c r="J13750" s="0" t="s">
        <v>45670</v>
      </c>
      <c r="K13750" s="0" t="s">
        <v>45671</v>
      </c>
      <c r="L13750" s="0" t="str">
        <f aca="false">HYPERLINK("https://www.ncbi.nlm.nih.gov/nuccore/CP000058.1?report=graph&amp;tracks=[key:gene_model_track,Options:GeneOnly]&amp;mk=4276430:4276449|offset_6|444444,4276388:4276407|offset_48|00cc00,4276335:4276354|offset_101|444444,4276309:4276328|offset_127|444444&amp;v=4276229:4276528&amp;c=444444", "offset 48")</f>
        <v>offset 48</v>
      </c>
    </row>
    <row r="13751" customFormat="false" ht="12.8" hidden="false" customHeight="false" outlineLevel="0" collapsed="false">
      <c r="A13751" s="0" t="s">
        <v>12</v>
      </c>
      <c r="B13751" s="0" t="n">
        <v>4276334</v>
      </c>
      <c r="C13751" s="0" t="n">
        <v>4276354</v>
      </c>
      <c r="D13751" s="0" t="s">
        <v>45664</v>
      </c>
      <c r="E13751" s="0" t="s">
        <v>45665</v>
      </c>
      <c r="F13751" s="0" t="s">
        <v>90</v>
      </c>
      <c r="G13751" s="0" t="s">
        <v>20</v>
      </c>
      <c r="H13751" s="0" t="n">
        <v>101</v>
      </c>
      <c r="I13751" s="0" t="s">
        <v>45672</v>
      </c>
      <c r="J13751" s="0" t="s">
        <v>45673</v>
      </c>
      <c r="K13751" s="0" t="s">
        <v>45674</v>
      </c>
      <c r="L13751" s="0" t="str">
        <f aca="false">HYPERLINK("https://www.ncbi.nlm.nih.gov/nuccore/CP000058.1?report=graph&amp;tracks=[key:gene_model_track,Options:GeneOnly]&amp;mk=4276430:4276449|offset_6|444444,4276388:4276407|offset_48|444444,4276335:4276354|offset_101|00cc00,4276309:4276328|offset_127|444444&amp;v=4276229:4276528&amp;c=444444", "offset 101")</f>
        <v>offset 101</v>
      </c>
    </row>
    <row r="13752" customFormat="false" ht="12.8" hidden="false" customHeight="false" outlineLevel="0" collapsed="false">
      <c r="A13752" s="0" t="s">
        <v>12</v>
      </c>
      <c r="B13752" s="0" t="n">
        <v>4276308</v>
      </c>
      <c r="C13752" s="0" t="n">
        <v>4276328</v>
      </c>
      <c r="D13752" s="0" t="s">
        <v>45664</v>
      </c>
      <c r="E13752" s="0" t="s">
        <v>45665</v>
      </c>
      <c r="F13752" s="0" t="s">
        <v>90</v>
      </c>
      <c r="G13752" s="0" t="s">
        <v>16</v>
      </c>
      <c r="H13752" s="0" t="n">
        <v>127</v>
      </c>
      <c r="I13752" s="0" t="s">
        <v>45675</v>
      </c>
      <c r="J13752" s="0" t="s">
        <v>45676</v>
      </c>
      <c r="K13752" s="0" t="s">
        <v>45677</v>
      </c>
      <c r="L13752" s="0" t="str">
        <f aca="false">HYPERLINK("https://www.ncbi.nlm.nih.gov/nuccore/CP000058.1?report=graph&amp;tracks=[key:gene_model_track,Options:GeneOnly]&amp;mk=4276430:4276449|offset_6|444444,4276388:4276407|offset_48|444444,4276335:4276354|offset_101|444444,4276309:4276328|offset_127|00cc00&amp;v=4276229:4276528&amp;c=444444", "offset 127")</f>
        <v>offset 127</v>
      </c>
    </row>
    <row r="13753" customFormat="false" ht="12.8" hidden="false" customHeight="false" outlineLevel="0" collapsed="false">
      <c r="A13753" s="0" t="s">
        <v>12</v>
      </c>
      <c r="B13753" s="0" t="n">
        <v>4278186</v>
      </c>
      <c r="C13753" s="0" t="n">
        <v>4278206</v>
      </c>
      <c r="D13753" s="0" t="s">
        <v>45678</v>
      </c>
      <c r="E13753" s="0" t="s">
        <v>75</v>
      </c>
      <c r="F13753" s="0" t="s">
        <v>90</v>
      </c>
      <c r="G13753" s="0" t="s">
        <v>20</v>
      </c>
      <c r="H13753" s="0" t="n">
        <v>26</v>
      </c>
      <c r="I13753" s="0" t="s">
        <v>45679</v>
      </c>
      <c r="J13753" s="0" t="s">
        <v>45680</v>
      </c>
      <c r="K13753" s="0" t="s">
        <v>45681</v>
      </c>
      <c r="L13753" s="0" t="str">
        <f aca="false">HYPERLINK("https://www.ncbi.nlm.nih.gov/nuccore/CP000058.1?report=graph&amp;tracks=[key:gene_model_track,Options:GeneOnly]&amp;mk=4278187:4278206|offset_26|00cc00,4278135:4278154|offset_78|444444,4278112:4278131|offset_101|444444,4278082:4278101|offset_131|444444&amp;v=4277986:4278301&amp;c=444444", "offset 26")</f>
        <v>offset 26</v>
      </c>
    </row>
    <row r="13754" customFormat="false" ht="12.8" hidden="false" customHeight="false" outlineLevel="0" collapsed="false">
      <c r="A13754" s="0" t="s">
        <v>12</v>
      </c>
      <c r="B13754" s="0" t="n">
        <v>4278134</v>
      </c>
      <c r="C13754" s="0" t="n">
        <v>4278154</v>
      </c>
      <c r="D13754" s="0" t="s">
        <v>45678</v>
      </c>
      <c r="E13754" s="0" t="s">
        <v>75</v>
      </c>
      <c r="F13754" s="0" t="s">
        <v>90</v>
      </c>
      <c r="G13754" s="0" t="s">
        <v>20</v>
      </c>
      <c r="H13754" s="0" t="n">
        <v>78</v>
      </c>
      <c r="I13754" s="0" t="s">
        <v>45682</v>
      </c>
      <c r="J13754" s="0" t="s">
        <v>45683</v>
      </c>
      <c r="K13754" s="0" t="s">
        <v>45684</v>
      </c>
      <c r="L13754" s="0" t="str">
        <f aca="false">HYPERLINK("https://www.ncbi.nlm.nih.gov/nuccore/CP000058.1?report=graph&amp;tracks=[key:gene_model_track,Options:GeneOnly]&amp;mk=4278187:4278206|offset_26|444444,4278135:4278154|offset_78|00cc00,4278112:4278131|offset_101|444444,4278082:4278101|offset_131|444444&amp;v=4277986:4278301&amp;c=444444", "offset 78")</f>
        <v>offset 78</v>
      </c>
    </row>
    <row r="13755" customFormat="false" ht="12.8" hidden="false" customHeight="false" outlineLevel="0" collapsed="false">
      <c r="A13755" s="0" t="s">
        <v>12</v>
      </c>
      <c r="B13755" s="0" t="n">
        <v>4278111</v>
      </c>
      <c r="C13755" s="0" t="n">
        <v>4278131</v>
      </c>
      <c r="D13755" s="0" t="s">
        <v>45678</v>
      </c>
      <c r="E13755" s="0" t="s">
        <v>75</v>
      </c>
      <c r="F13755" s="0" t="s">
        <v>90</v>
      </c>
      <c r="G13755" s="0" t="s">
        <v>20</v>
      </c>
      <c r="H13755" s="0" t="n">
        <v>101</v>
      </c>
      <c r="I13755" s="0" t="s">
        <v>45685</v>
      </c>
      <c r="J13755" s="0" t="s">
        <v>45686</v>
      </c>
      <c r="K13755" s="0" t="s">
        <v>45687</v>
      </c>
      <c r="L13755" s="0" t="str">
        <f aca="false">HYPERLINK("https://www.ncbi.nlm.nih.gov/nuccore/CP000058.1?report=graph&amp;tracks=[key:gene_model_track,Options:GeneOnly]&amp;mk=4278187:4278206|offset_26|444444,4278135:4278154|offset_78|444444,4278112:4278131|offset_101|00cc00,4278082:4278101|offset_131|444444&amp;v=4277986:4278301&amp;c=444444", "offset 101")</f>
        <v>offset 101</v>
      </c>
    </row>
    <row r="13756" customFormat="false" ht="12.8" hidden="false" customHeight="false" outlineLevel="0" collapsed="false">
      <c r="A13756" s="0" t="s">
        <v>12</v>
      </c>
      <c r="B13756" s="0" t="n">
        <v>4278081</v>
      </c>
      <c r="C13756" s="0" t="n">
        <v>4278101</v>
      </c>
      <c r="D13756" s="0" t="s">
        <v>45678</v>
      </c>
      <c r="E13756" s="0" t="s">
        <v>75</v>
      </c>
      <c r="F13756" s="0" t="s">
        <v>90</v>
      </c>
      <c r="G13756" s="0" t="s">
        <v>20</v>
      </c>
      <c r="H13756" s="0" t="n">
        <v>131</v>
      </c>
      <c r="I13756" s="0" t="s">
        <v>45688</v>
      </c>
      <c r="J13756" s="0" t="s">
        <v>45689</v>
      </c>
      <c r="K13756" s="0" t="s">
        <v>45690</v>
      </c>
      <c r="L13756" s="0" t="str">
        <f aca="false">HYPERLINK("https://www.ncbi.nlm.nih.gov/nuccore/CP000058.1?report=graph&amp;tracks=[key:gene_model_track,Options:GeneOnly]&amp;mk=4278187:4278206|offset_26|444444,4278135:4278154|offset_78|444444,4278112:4278131|offset_101|444444,4278082:4278101|offset_131|00cc00&amp;v=4277986:4278301&amp;c=444444", "offset 131")</f>
        <v>offset 131</v>
      </c>
    </row>
    <row r="13757" customFormat="false" ht="12.8" hidden="false" customHeight="false" outlineLevel="0" collapsed="false">
      <c r="A13757" s="0" t="s">
        <v>12</v>
      </c>
      <c r="B13757" s="0" t="n">
        <v>4278845</v>
      </c>
      <c r="C13757" s="0" t="n">
        <v>4278865</v>
      </c>
      <c r="D13757" s="0" t="s">
        <v>45691</v>
      </c>
      <c r="E13757" s="0" t="s">
        <v>45692</v>
      </c>
      <c r="F13757" s="0" t="s">
        <v>90</v>
      </c>
      <c r="G13757" s="0" t="s">
        <v>32</v>
      </c>
      <c r="H13757" s="0" t="n">
        <v>41</v>
      </c>
      <c r="I13757" s="0" t="s">
        <v>45693</v>
      </c>
      <c r="J13757" s="0" t="s">
        <v>45694</v>
      </c>
      <c r="K13757" s="0" t="s">
        <v>45695</v>
      </c>
      <c r="L13757" s="0" t="str">
        <f aca="false">HYPERLINK("https://www.ncbi.nlm.nih.gov/nuccore/CP000058.1?report=graph&amp;tracks=[key:gene_model_track,Options:GeneOnly]&amp;mk=4278846:4278865|offset_41|00cc00,4278823:4278842|offset_64|444444,4278793:4278812|offset_94|444444,4278747:4278766|offset_140|444444&amp;v=4278645:4278966&amp;c=444444", "offset 41")</f>
        <v>offset 41</v>
      </c>
    </row>
    <row r="13758" customFormat="false" ht="12.8" hidden="false" customHeight="false" outlineLevel="0" collapsed="false">
      <c r="A13758" s="0" t="s">
        <v>12</v>
      </c>
      <c r="B13758" s="0" t="n">
        <v>4278822</v>
      </c>
      <c r="C13758" s="0" t="n">
        <v>4278842</v>
      </c>
      <c r="D13758" s="0" t="s">
        <v>45691</v>
      </c>
      <c r="E13758" s="0" t="s">
        <v>45692</v>
      </c>
      <c r="F13758" s="0" t="s">
        <v>90</v>
      </c>
      <c r="G13758" s="0" t="s">
        <v>16</v>
      </c>
      <c r="H13758" s="0" t="n">
        <v>64</v>
      </c>
      <c r="I13758" s="0" t="s">
        <v>45696</v>
      </c>
      <c r="J13758" s="0" t="s">
        <v>45697</v>
      </c>
      <c r="K13758" s="0" t="s">
        <v>45698</v>
      </c>
      <c r="L13758" s="0" t="str">
        <f aca="false">HYPERLINK("https://www.ncbi.nlm.nih.gov/nuccore/CP000058.1?report=graph&amp;tracks=[key:gene_model_track,Options:GeneOnly]&amp;mk=4278846:4278865|offset_41|444444,4278823:4278842|offset_64|00cc00,4278793:4278812|offset_94|444444,4278747:4278766|offset_140|444444&amp;v=4278645:4278966&amp;c=444444", "offset 64")</f>
        <v>offset 64</v>
      </c>
    </row>
    <row r="13759" customFormat="false" ht="12.8" hidden="false" customHeight="false" outlineLevel="0" collapsed="false">
      <c r="A13759" s="0" t="s">
        <v>12</v>
      </c>
      <c r="B13759" s="0" t="n">
        <v>4278792</v>
      </c>
      <c r="C13759" s="0" t="n">
        <v>4278812</v>
      </c>
      <c r="D13759" s="0" t="s">
        <v>45691</v>
      </c>
      <c r="E13759" s="0" t="s">
        <v>45692</v>
      </c>
      <c r="F13759" s="0" t="s">
        <v>90</v>
      </c>
      <c r="G13759" s="0" t="s">
        <v>32</v>
      </c>
      <c r="H13759" s="0" t="n">
        <v>94</v>
      </c>
      <c r="I13759" s="0" t="s">
        <v>45699</v>
      </c>
      <c r="J13759" s="0" t="s">
        <v>45700</v>
      </c>
      <c r="K13759" s="0" t="s">
        <v>45701</v>
      </c>
      <c r="L13759" s="0" t="str">
        <f aca="false">HYPERLINK("https://www.ncbi.nlm.nih.gov/nuccore/CP000058.1?report=graph&amp;tracks=[key:gene_model_track,Options:GeneOnly]&amp;mk=4278846:4278865|offset_41|444444,4278823:4278842|offset_64|444444,4278793:4278812|offset_94|00cc00,4278747:4278766|offset_140|444444&amp;v=4278645:4278966&amp;c=444444", "offset 94")</f>
        <v>offset 94</v>
      </c>
    </row>
    <row r="13760" customFormat="false" ht="12.8" hidden="false" customHeight="false" outlineLevel="0" collapsed="false">
      <c r="A13760" s="0" t="s">
        <v>12</v>
      </c>
      <c r="B13760" s="0" t="n">
        <v>4278746</v>
      </c>
      <c r="C13760" s="0" t="n">
        <v>4278766</v>
      </c>
      <c r="D13760" s="0" t="s">
        <v>45691</v>
      </c>
      <c r="E13760" s="0" t="s">
        <v>45692</v>
      </c>
      <c r="F13760" s="0" t="s">
        <v>90</v>
      </c>
      <c r="G13760" s="0" t="s">
        <v>20</v>
      </c>
      <c r="H13760" s="0" t="n">
        <v>140</v>
      </c>
      <c r="I13760" s="0" t="s">
        <v>45702</v>
      </c>
      <c r="J13760" s="0" t="s">
        <v>45703</v>
      </c>
      <c r="K13760" s="0" t="s">
        <v>45704</v>
      </c>
      <c r="L13760" s="0" t="str">
        <f aca="false">HYPERLINK("https://www.ncbi.nlm.nih.gov/nuccore/CP000058.1?report=graph&amp;tracks=[key:gene_model_track,Options:GeneOnly]&amp;mk=4278846:4278865|offset_41|444444,4278823:4278842|offset_64|444444,4278793:4278812|offset_94|444444,4278747:4278766|offset_140|00cc00&amp;v=4278645:4278966&amp;c=444444", "offset 140")</f>
        <v>offset 140</v>
      </c>
    </row>
    <row r="13761" customFormat="false" ht="12.8" hidden="false" customHeight="false" outlineLevel="0" collapsed="false">
      <c r="A13761" s="0" t="s">
        <v>12</v>
      </c>
      <c r="B13761" s="0" t="n">
        <v>4279238</v>
      </c>
      <c r="C13761" s="0" t="n">
        <v>4279258</v>
      </c>
      <c r="D13761" s="0" t="s">
        <v>45705</v>
      </c>
      <c r="E13761" s="0" t="s">
        <v>75</v>
      </c>
      <c r="F13761" s="0" t="s">
        <v>90</v>
      </c>
      <c r="G13761" s="0" t="s">
        <v>20</v>
      </c>
      <c r="H13761" s="0" t="n">
        <v>26</v>
      </c>
      <c r="I13761" s="0" t="s">
        <v>45706</v>
      </c>
      <c r="J13761" s="0" t="s">
        <v>45707</v>
      </c>
      <c r="K13761" s="0" t="s">
        <v>45708</v>
      </c>
      <c r="L13761" s="0" t="str">
        <f aca="false">HYPERLINK("https://www.ncbi.nlm.nih.gov/nuccore/CP000058.1?report=graph&amp;tracks=[key:gene_model_track,Options:GeneOnly]&amp;mk=4279239:4279258|offset_26|00cc00,4279210:4279229|offset_55|444444,4279153:4279172|offset_112|444444,4279132:4279151|offset_133|444444&amp;v=4279038:4279351&amp;c=444444", "offset 26")</f>
        <v>offset 26</v>
      </c>
    </row>
    <row r="13762" customFormat="false" ht="12.8" hidden="false" customHeight="false" outlineLevel="0" collapsed="false">
      <c r="A13762" s="0" t="s">
        <v>12</v>
      </c>
      <c r="B13762" s="0" t="n">
        <v>4279209</v>
      </c>
      <c r="C13762" s="0" t="n">
        <v>4279229</v>
      </c>
      <c r="D13762" s="0" t="s">
        <v>45705</v>
      </c>
      <c r="E13762" s="0" t="s">
        <v>75</v>
      </c>
      <c r="F13762" s="0" t="s">
        <v>90</v>
      </c>
      <c r="G13762" s="0" t="s">
        <v>16</v>
      </c>
      <c r="H13762" s="0" t="n">
        <v>55</v>
      </c>
      <c r="I13762" s="0" t="s">
        <v>45709</v>
      </c>
      <c r="J13762" s="0" t="s">
        <v>45710</v>
      </c>
      <c r="K13762" s="0" t="s">
        <v>45711</v>
      </c>
      <c r="L13762" s="0" t="str">
        <f aca="false">HYPERLINK("https://www.ncbi.nlm.nih.gov/nuccore/CP000058.1?report=graph&amp;tracks=[key:gene_model_track,Options:GeneOnly]&amp;mk=4279239:4279258|offset_26|444444,4279210:4279229|offset_55|00cc00,4279153:4279172|offset_112|444444,4279132:4279151|offset_133|444444&amp;v=4279038:4279351&amp;c=444444", "offset 55")</f>
        <v>offset 55</v>
      </c>
    </row>
    <row r="13763" customFormat="false" ht="12.8" hidden="false" customHeight="false" outlineLevel="0" collapsed="false">
      <c r="A13763" s="0" t="s">
        <v>12</v>
      </c>
      <c r="B13763" s="0" t="n">
        <v>4279152</v>
      </c>
      <c r="C13763" s="0" t="n">
        <v>4279172</v>
      </c>
      <c r="D13763" s="0" t="s">
        <v>45705</v>
      </c>
      <c r="E13763" s="0" t="s">
        <v>75</v>
      </c>
      <c r="F13763" s="0" t="s">
        <v>90</v>
      </c>
      <c r="G13763" s="0" t="s">
        <v>32</v>
      </c>
      <c r="H13763" s="0" t="n">
        <v>112</v>
      </c>
      <c r="I13763" s="0" t="s">
        <v>45712</v>
      </c>
      <c r="J13763" s="0" t="s">
        <v>45713</v>
      </c>
      <c r="K13763" s="0" t="s">
        <v>45714</v>
      </c>
      <c r="L13763" s="0" t="str">
        <f aca="false">HYPERLINK("https://www.ncbi.nlm.nih.gov/nuccore/CP000058.1?report=graph&amp;tracks=[key:gene_model_track,Options:GeneOnly]&amp;mk=4279239:4279258|offset_26|444444,4279210:4279229|offset_55|444444,4279153:4279172|offset_112|00cc00,4279132:4279151|offset_133|444444&amp;v=4279038:4279351&amp;c=444444", "offset 112")</f>
        <v>offset 112</v>
      </c>
    </row>
    <row r="13764" customFormat="false" ht="12.8" hidden="false" customHeight="false" outlineLevel="0" collapsed="false">
      <c r="A13764" s="0" t="s">
        <v>12</v>
      </c>
      <c r="B13764" s="0" t="n">
        <v>4279131</v>
      </c>
      <c r="C13764" s="0" t="n">
        <v>4279151</v>
      </c>
      <c r="D13764" s="0" t="s">
        <v>45705</v>
      </c>
      <c r="E13764" s="0" t="s">
        <v>75</v>
      </c>
      <c r="F13764" s="0" t="s">
        <v>90</v>
      </c>
      <c r="G13764" s="0" t="s">
        <v>32</v>
      </c>
      <c r="H13764" s="0" t="n">
        <v>133</v>
      </c>
      <c r="I13764" s="0" t="s">
        <v>45715</v>
      </c>
      <c r="J13764" s="0" t="s">
        <v>45716</v>
      </c>
      <c r="K13764" s="0" t="s">
        <v>45717</v>
      </c>
      <c r="L13764" s="0" t="str">
        <f aca="false">HYPERLINK("https://www.ncbi.nlm.nih.gov/nuccore/CP000058.1?report=graph&amp;tracks=[key:gene_model_track,Options:GeneOnly]&amp;mk=4279239:4279258|offset_26|444444,4279210:4279229|offset_55|444444,4279153:4279172|offset_112|444444,4279132:4279151|offset_133|00cc00&amp;v=4279038:4279351&amp;c=444444", "offset 133")</f>
        <v>offset 133</v>
      </c>
    </row>
    <row r="13765" customFormat="false" ht="12.8" hidden="false" customHeight="false" outlineLevel="0" collapsed="false">
      <c r="A13765" s="0" t="s">
        <v>12</v>
      </c>
      <c r="B13765" s="0" t="n">
        <v>4279491</v>
      </c>
      <c r="C13765" s="0" t="n">
        <v>4279511</v>
      </c>
      <c r="D13765" s="0" t="s">
        <v>45718</v>
      </c>
      <c r="E13765" s="0" t="s">
        <v>75</v>
      </c>
      <c r="F13765" s="0" t="s">
        <v>15</v>
      </c>
      <c r="G13765" s="0" t="s">
        <v>20</v>
      </c>
      <c r="H13765" s="0" t="n">
        <v>8</v>
      </c>
      <c r="I13765" s="0" t="s">
        <v>45719</v>
      </c>
      <c r="J13765" s="0" t="s">
        <v>45720</v>
      </c>
      <c r="K13765" s="0" t="s">
        <v>45721</v>
      </c>
      <c r="L13765" s="0" t="str">
        <f aca="false">HYPERLINK("https://www.ncbi.nlm.nih.gov/nuccore/CP000058.1?report=graph&amp;tracks=[key:gene_model_track,Options:GeneOnly]&amp;mk=4279492:4279511|offset_8|00cc00,4279524:4279543|offset_40|444444,4279548:4279567|offset_64|444444,4279601:4279620|offset_117|444444&amp;v=4279291:4279820&amp;c=444444", "offset 8")</f>
        <v>offset 8</v>
      </c>
    </row>
    <row r="13766" customFormat="false" ht="12.8" hidden="false" customHeight="false" outlineLevel="0" collapsed="false">
      <c r="A13766" s="0" t="s">
        <v>12</v>
      </c>
      <c r="B13766" s="0" t="n">
        <v>4279523</v>
      </c>
      <c r="C13766" s="0" t="n">
        <v>4279543</v>
      </c>
      <c r="D13766" s="0" t="s">
        <v>45718</v>
      </c>
      <c r="E13766" s="0" t="s">
        <v>75</v>
      </c>
      <c r="F13766" s="0" t="s">
        <v>15</v>
      </c>
      <c r="G13766" s="0" t="s">
        <v>16</v>
      </c>
      <c r="H13766" s="0" t="n">
        <v>40</v>
      </c>
      <c r="I13766" s="0" t="s">
        <v>45722</v>
      </c>
      <c r="J13766" s="0" t="s">
        <v>45723</v>
      </c>
      <c r="K13766" s="0" t="s">
        <v>45724</v>
      </c>
      <c r="L13766" s="0" t="str">
        <f aca="false">HYPERLINK("https://www.ncbi.nlm.nih.gov/nuccore/CP000058.1?report=graph&amp;tracks=[key:gene_model_track,Options:GeneOnly]&amp;mk=4279492:4279511|offset_8|444444,4279524:4279543|offset_40|00cc00,4279548:4279567|offset_64|444444,4279601:4279620|offset_117|444444&amp;v=4279291:4279820&amp;c=444444", "offset 40")</f>
        <v>offset 40</v>
      </c>
    </row>
    <row r="13767" customFormat="false" ht="12.8" hidden="false" customHeight="false" outlineLevel="0" collapsed="false">
      <c r="A13767" s="0" t="s">
        <v>12</v>
      </c>
      <c r="B13767" s="0" t="n">
        <v>4279547</v>
      </c>
      <c r="C13767" s="0" t="n">
        <v>4279567</v>
      </c>
      <c r="D13767" s="0" t="s">
        <v>45718</v>
      </c>
      <c r="E13767" s="0" t="s">
        <v>75</v>
      </c>
      <c r="F13767" s="0" t="s">
        <v>15</v>
      </c>
      <c r="G13767" s="0" t="s">
        <v>16</v>
      </c>
      <c r="H13767" s="0" t="n">
        <v>64</v>
      </c>
      <c r="I13767" s="0" t="s">
        <v>45725</v>
      </c>
      <c r="J13767" s="0" t="s">
        <v>45726</v>
      </c>
      <c r="K13767" s="0" t="s">
        <v>45727</v>
      </c>
      <c r="L13767" s="0" t="str">
        <f aca="false">HYPERLINK("https://www.ncbi.nlm.nih.gov/nuccore/CP000058.1?report=graph&amp;tracks=[key:gene_model_track,Options:GeneOnly]&amp;mk=4279492:4279511|offset_8|444444,4279524:4279543|offset_40|444444,4279548:4279567|offset_64|00cc00,4279601:4279620|offset_117|444444&amp;v=4279291:4279820&amp;c=444444", "offset 64")</f>
        <v>offset 64</v>
      </c>
    </row>
    <row r="13768" customFormat="false" ht="12.8" hidden="false" customHeight="false" outlineLevel="0" collapsed="false">
      <c r="A13768" s="0" t="s">
        <v>12</v>
      </c>
      <c r="B13768" s="0" t="n">
        <v>4279600</v>
      </c>
      <c r="C13768" s="0" t="n">
        <v>4279620</v>
      </c>
      <c r="D13768" s="0" t="s">
        <v>45718</v>
      </c>
      <c r="E13768" s="0" t="s">
        <v>75</v>
      </c>
      <c r="F13768" s="0" t="s">
        <v>15</v>
      </c>
      <c r="G13768" s="0" t="s">
        <v>32</v>
      </c>
      <c r="H13768" s="0" t="n">
        <v>117</v>
      </c>
      <c r="I13768" s="0" t="s">
        <v>45728</v>
      </c>
      <c r="J13768" s="0" t="s">
        <v>45729</v>
      </c>
      <c r="K13768" s="0" t="s">
        <v>45730</v>
      </c>
      <c r="L13768" s="0" t="str">
        <f aca="false">HYPERLINK("https://www.ncbi.nlm.nih.gov/nuccore/CP000058.1?report=graph&amp;tracks=[key:gene_model_track,Options:GeneOnly]&amp;mk=4279492:4279511|offset_8|444444,4279524:4279543|offset_40|444444,4279548:4279567|offset_64|444444,4279601:4279620|offset_117|00cc00&amp;v=4279291:4279820&amp;c=444444", "offset 117")</f>
        <v>offset 117</v>
      </c>
    </row>
    <row r="13769" customFormat="false" ht="12.8" hidden="false" customHeight="false" outlineLevel="0" collapsed="false">
      <c r="A13769" s="0" t="s">
        <v>12</v>
      </c>
      <c r="B13769" s="0" t="n">
        <v>4280870</v>
      </c>
      <c r="C13769" s="0" t="n">
        <v>4280890</v>
      </c>
      <c r="D13769" s="0" t="s">
        <v>45731</v>
      </c>
      <c r="E13769" s="0" t="s">
        <v>75</v>
      </c>
      <c r="F13769" s="0" t="s">
        <v>90</v>
      </c>
      <c r="G13769" s="0" t="s">
        <v>16</v>
      </c>
      <c r="H13769" s="0" t="n">
        <v>8</v>
      </c>
      <c r="I13769" s="0" t="s">
        <v>45732</v>
      </c>
      <c r="J13769" s="0" t="s">
        <v>45733</v>
      </c>
      <c r="K13769" s="0" t="s">
        <v>45734</v>
      </c>
      <c r="L13769" s="0" t="str">
        <f aca="false">HYPERLINK("https://www.ncbi.nlm.nih.gov/nuccore/CP000058.1?report=graph&amp;tracks=[key:gene_model_track,Options:GeneOnly]&amp;mk=4280871:4280890|offset_8|00cc00,4280851:4280870|offset_28|444444,4280824:4280843|offset_55|444444,4280801:4280820|offset_78|444444&amp;v=4280670:4281020&amp;c=444444", "offset 8")</f>
        <v>offset 8</v>
      </c>
    </row>
    <row r="13770" customFormat="false" ht="12.8" hidden="false" customHeight="false" outlineLevel="0" collapsed="false">
      <c r="A13770" s="0" t="s">
        <v>12</v>
      </c>
      <c r="B13770" s="0" t="n">
        <v>4280850</v>
      </c>
      <c r="C13770" s="0" t="n">
        <v>4280870</v>
      </c>
      <c r="D13770" s="0" t="s">
        <v>45731</v>
      </c>
      <c r="E13770" s="0" t="s">
        <v>75</v>
      </c>
      <c r="F13770" s="0" t="s">
        <v>90</v>
      </c>
      <c r="G13770" s="0" t="s">
        <v>16</v>
      </c>
      <c r="H13770" s="0" t="n">
        <v>28</v>
      </c>
      <c r="I13770" s="0" t="s">
        <v>45735</v>
      </c>
      <c r="J13770" s="0" t="s">
        <v>45736</v>
      </c>
      <c r="K13770" s="0" t="s">
        <v>45737</v>
      </c>
      <c r="L13770" s="0" t="str">
        <f aca="false">HYPERLINK("https://www.ncbi.nlm.nih.gov/nuccore/CP000058.1?report=graph&amp;tracks=[key:gene_model_track,Options:GeneOnly]&amp;mk=4280871:4280890|offset_8|444444,4280851:4280870|offset_28|00cc00,4280824:4280843|offset_55|444444,4280801:4280820|offset_78|444444&amp;v=4280670:4281020&amp;c=444444", "offset 28")</f>
        <v>offset 28</v>
      </c>
    </row>
    <row r="13771" customFormat="false" ht="12.8" hidden="false" customHeight="false" outlineLevel="0" collapsed="false">
      <c r="A13771" s="0" t="s">
        <v>12</v>
      </c>
      <c r="B13771" s="0" t="n">
        <v>4280823</v>
      </c>
      <c r="C13771" s="0" t="n">
        <v>4280843</v>
      </c>
      <c r="D13771" s="0" t="s">
        <v>45731</v>
      </c>
      <c r="E13771" s="0" t="s">
        <v>75</v>
      </c>
      <c r="F13771" s="0" t="s">
        <v>90</v>
      </c>
      <c r="G13771" s="0" t="s">
        <v>20</v>
      </c>
      <c r="H13771" s="0" t="n">
        <v>55</v>
      </c>
      <c r="I13771" s="0" t="s">
        <v>45738</v>
      </c>
      <c r="J13771" s="0" t="s">
        <v>45739</v>
      </c>
      <c r="K13771" s="0" t="s">
        <v>45740</v>
      </c>
      <c r="L13771" s="0" t="str">
        <f aca="false">HYPERLINK("https://www.ncbi.nlm.nih.gov/nuccore/CP000058.1?report=graph&amp;tracks=[key:gene_model_track,Options:GeneOnly]&amp;mk=4280871:4280890|offset_8|444444,4280851:4280870|offset_28|444444,4280824:4280843|offset_55|00cc00,4280801:4280820|offset_78|444444&amp;v=4280670:4281020&amp;c=444444", "offset 55")</f>
        <v>offset 55</v>
      </c>
    </row>
    <row r="13772" customFormat="false" ht="12.8" hidden="false" customHeight="false" outlineLevel="0" collapsed="false">
      <c r="A13772" s="0" t="s">
        <v>12</v>
      </c>
      <c r="B13772" s="0" t="n">
        <v>4280800</v>
      </c>
      <c r="C13772" s="0" t="n">
        <v>4280820</v>
      </c>
      <c r="D13772" s="0" t="s">
        <v>45731</v>
      </c>
      <c r="E13772" s="0" t="s">
        <v>75</v>
      </c>
      <c r="F13772" s="0" t="s">
        <v>90</v>
      </c>
      <c r="G13772" s="0" t="s">
        <v>16</v>
      </c>
      <c r="H13772" s="0" t="n">
        <v>78</v>
      </c>
      <c r="I13772" s="0" t="s">
        <v>45741</v>
      </c>
      <c r="J13772" s="0" t="s">
        <v>45742</v>
      </c>
      <c r="K13772" s="0" t="s">
        <v>45743</v>
      </c>
      <c r="L13772" s="0" t="str">
        <f aca="false">HYPERLINK("https://www.ncbi.nlm.nih.gov/nuccore/CP000058.1?report=graph&amp;tracks=[key:gene_model_track,Options:GeneOnly]&amp;mk=4280871:4280890|offset_8|444444,4280851:4280870|offset_28|444444,4280824:4280843|offset_55|444444,4280801:4280820|offset_78|00cc00&amp;v=4280670:4281020&amp;c=444444", "offset 78")</f>
        <v>offset 78</v>
      </c>
    </row>
    <row r="13773" customFormat="false" ht="12.8" hidden="false" customHeight="false" outlineLevel="0" collapsed="false">
      <c r="A13773" s="0" t="s">
        <v>12</v>
      </c>
      <c r="B13773" s="0" t="n">
        <v>4281505</v>
      </c>
      <c r="C13773" s="0" t="n">
        <v>4281525</v>
      </c>
      <c r="D13773" s="0" t="s">
        <v>45744</v>
      </c>
      <c r="E13773" s="0" t="s">
        <v>75</v>
      </c>
      <c r="F13773" s="0" t="s">
        <v>15</v>
      </c>
      <c r="G13773" s="0" t="s">
        <v>16</v>
      </c>
      <c r="H13773" s="0" t="n">
        <v>27</v>
      </c>
      <c r="I13773" s="0" t="s">
        <v>45745</v>
      </c>
      <c r="J13773" s="0" t="s">
        <v>45746</v>
      </c>
      <c r="K13773" s="0" t="s">
        <v>45747</v>
      </c>
      <c r="L13773" s="0" t="str">
        <f aca="false">HYPERLINK("https://www.ncbi.nlm.nih.gov/nuccore/CP000058.1?report=graph&amp;tracks=[key:gene_model_track,Options:GeneOnly]&amp;mk=4281506:4281525|offset_27|00cc00,4281554:4281573|offset_75|444444,4281579:4281598|offset_100|444444,4281603:4281622|offset_124|444444&amp;v=4281305:4281822&amp;c=444444", "offset 27")</f>
        <v>offset 27</v>
      </c>
    </row>
    <row r="13774" customFormat="false" ht="12.8" hidden="false" customHeight="false" outlineLevel="0" collapsed="false">
      <c r="A13774" s="0" t="s">
        <v>12</v>
      </c>
      <c r="B13774" s="0" t="n">
        <v>4281553</v>
      </c>
      <c r="C13774" s="0" t="n">
        <v>4281573</v>
      </c>
      <c r="D13774" s="0" t="s">
        <v>45744</v>
      </c>
      <c r="E13774" s="0" t="s">
        <v>75</v>
      </c>
      <c r="F13774" s="0" t="s">
        <v>15</v>
      </c>
      <c r="G13774" s="0" t="s">
        <v>20</v>
      </c>
      <c r="H13774" s="0" t="n">
        <v>75</v>
      </c>
      <c r="I13774" s="0" t="s">
        <v>45748</v>
      </c>
      <c r="J13774" s="0" t="s">
        <v>45749</v>
      </c>
      <c r="K13774" s="0" t="s">
        <v>45750</v>
      </c>
      <c r="L13774" s="0" t="str">
        <f aca="false">HYPERLINK("https://www.ncbi.nlm.nih.gov/nuccore/CP000058.1?report=graph&amp;tracks=[key:gene_model_track,Options:GeneOnly]&amp;mk=4281506:4281525|offset_27|444444,4281554:4281573|offset_75|00cc00,4281579:4281598|offset_100|444444,4281603:4281622|offset_124|444444&amp;v=4281305:4281822&amp;c=444444", "offset 75")</f>
        <v>offset 75</v>
      </c>
    </row>
    <row r="13775" customFormat="false" ht="12.8" hidden="false" customHeight="false" outlineLevel="0" collapsed="false">
      <c r="A13775" s="0" t="s">
        <v>12</v>
      </c>
      <c r="B13775" s="0" t="n">
        <v>4281578</v>
      </c>
      <c r="C13775" s="0" t="n">
        <v>4281598</v>
      </c>
      <c r="D13775" s="0" t="s">
        <v>45744</v>
      </c>
      <c r="E13775" s="0" t="s">
        <v>75</v>
      </c>
      <c r="F13775" s="0" t="s">
        <v>15</v>
      </c>
      <c r="G13775" s="0" t="s">
        <v>32</v>
      </c>
      <c r="H13775" s="0" t="n">
        <v>100</v>
      </c>
      <c r="I13775" s="0" t="s">
        <v>45751</v>
      </c>
      <c r="J13775" s="0" t="s">
        <v>45752</v>
      </c>
      <c r="K13775" s="0" t="s">
        <v>45753</v>
      </c>
      <c r="L13775" s="0" t="str">
        <f aca="false">HYPERLINK("https://www.ncbi.nlm.nih.gov/nuccore/CP000058.1?report=graph&amp;tracks=[key:gene_model_track,Options:GeneOnly]&amp;mk=4281506:4281525|offset_27|444444,4281554:4281573|offset_75|444444,4281579:4281598|offset_100|00cc00,4281603:4281622|offset_124|444444&amp;v=4281305:4281822&amp;c=444444", "offset 100")</f>
        <v>offset 100</v>
      </c>
    </row>
    <row r="13776" customFormat="false" ht="12.8" hidden="false" customHeight="false" outlineLevel="0" collapsed="false">
      <c r="A13776" s="0" t="s">
        <v>12</v>
      </c>
      <c r="B13776" s="0" t="n">
        <v>4281602</v>
      </c>
      <c r="C13776" s="0" t="n">
        <v>4281622</v>
      </c>
      <c r="D13776" s="0" t="s">
        <v>45744</v>
      </c>
      <c r="E13776" s="0" t="s">
        <v>75</v>
      </c>
      <c r="F13776" s="0" t="s">
        <v>15</v>
      </c>
      <c r="G13776" s="0" t="s">
        <v>16</v>
      </c>
      <c r="H13776" s="0" t="n">
        <v>124</v>
      </c>
      <c r="I13776" s="0" t="s">
        <v>45754</v>
      </c>
      <c r="J13776" s="0" t="s">
        <v>45755</v>
      </c>
      <c r="K13776" s="0" t="s">
        <v>45756</v>
      </c>
      <c r="L13776" s="0" t="str">
        <f aca="false">HYPERLINK("https://www.ncbi.nlm.nih.gov/nuccore/CP000058.1?report=graph&amp;tracks=[key:gene_model_track,Options:GeneOnly]&amp;mk=4281506:4281525|offset_27|444444,4281554:4281573|offset_75|444444,4281579:4281598|offset_100|444444,4281603:4281622|offset_124|00cc00&amp;v=4281305:4281822&amp;c=444444", "offset 124")</f>
        <v>offset 124</v>
      </c>
    </row>
    <row r="13777" customFormat="false" ht="12.8" hidden="false" customHeight="false" outlineLevel="0" collapsed="false">
      <c r="A13777" s="0" t="s">
        <v>12</v>
      </c>
      <c r="B13777" s="0" t="n">
        <v>4282796</v>
      </c>
      <c r="C13777" s="0" t="n">
        <v>4282816</v>
      </c>
      <c r="D13777" s="0" t="s">
        <v>45757</v>
      </c>
      <c r="E13777" s="0" t="s">
        <v>75</v>
      </c>
      <c r="F13777" s="0" t="s">
        <v>90</v>
      </c>
      <c r="G13777" s="0" t="s">
        <v>16</v>
      </c>
      <c r="H13777" s="0" t="n">
        <v>66</v>
      </c>
      <c r="I13777" s="0" t="s">
        <v>45758</v>
      </c>
      <c r="J13777" s="0" t="s">
        <v>45759</v>
      </c>
      <c r="K13777" s="0" t="s">
        <v>45760</v>
      </c>
      <c r="L13777" s="0" t="str">
        <f aca="false">HYPERLINK("https://www.ncbi.nlm.nih.gov/nuccore/CP000058.1?report=graph&amp;tracks=[key:gene_model_track,Options:GeneOnly]&amp;mk=4282797:4282816|offset_66|00cc00,4282750:4282769|offset_113|444444,4282722:4282741|offset_141|444444,4282668:4282687|offset_195|444444&amp;v=4282596:4282887&amp;c=444444", "offset 66")</f>
        <v>offset 66</v>
      </c>
    </row>
    <row r="13778" customFormat="false" ht="12.8" hidden="false" customHeight="false" outlineLevel="0" collapsed="false">
      <c r="A13778" s="0" t="s">
        <v>12</v>
      </c>
      <c r="B13778" s="0" t="n">
        <v>4282749</v>
      </c>
      <c r="C13778" s="0" t="n">
        <v>4282769</v>
      </c>
      <c r="D13778" s="0" t="s">
        <v>45757</v>
      </c>
      <c r="E13778" s="0" t="s">
        <v>75</v>
      </c>
      <c r="F13778" s="0" t="s">
        <v>90</v>
      </c>
      <c r="G13778" s="0" t="s">
        <v>36</v>
      </c>
      <c r="H13778" s="0" t="n">
        <v>113</v>
      </c>
      <c r="I13778" s="0" t="s">
        <v>45761</v>
      </c>
      <c r="J13778" s="0" t="s">
        <v>45762</v>
      </c>
      <c r="K13778" s="0" t="s">
        <v>45763</v>
      </c>
      <c r="L13778" s="0" t="str">
        <f aca="false">HYPERLINK("https://www.ncbi.nlm.nih.gov/nuccore/CP000058.1?report=graph&amp;tracks=[key:gene_model_track,Options:GeneOnly]&amp;mk=4282797:4282816|offset_66|444444,4282750:4282769|offset_113|00cc00,4282722:4282741|offset_141|444444,4282668:4282687|offset_195|444444&amp;v=4282596:4282887&amp;c=444444", "offset 113")</f>
        <v>offset 113</v>
      </c>
    </row>
    <row r="13779" customFormat="false" ht="12.8" hidden="false" customHeight="false" outlineLevel="0" collapsed="false">
      <c r="A13779" s="0" t="s">
        <v>12</v>
      </c>
      <c r="B13779" s="0" t="n">
        <v>4282721</v>
      </c>
      <c r="C13779" s="0" t="n">
        <v>4282741</v>
      </c>
      <c r="D13779" s="0" t="s">
        <v>45757</v>
      </c>
      <c r="E13779" s="0" t="s">
        <v>75</v>
      </c>
      <c r="F13779" s="0" t="s">
        <v>90</v>
      </c>
      <c r="G13779" s="0" t="s">
        <v>20</v>
      </c>
      <c r="H13779" s="0" t="n">
        <v>141</v>
      </c>
      <c r="I13779" s="0" t="s">
        <v>45764</v>
      </c>
      <c r="J13779" s="0" t="s">
        <v>45765</v>
      </c>
      <c r="K13779" s="0" t="s">
        <v>45766</v>
      </c>
      <c r="L13779" s="0" t="str">
        <f aca="false">HYPERLINK("https://www.ncbi.nlm.nih.gov/nuccore/CP000058.1?report=graph&amp;tracks=[key:gene_model_track,Options:GeneOnly]&amp;mk=4282797:4282816|offset_66|444444,4282750:4282769|offset_113|444444,4282722:4282741|offset_141|00cc00,4282668:4282687|offset_195|444444&amp;v=4282596:4282887&amp;c=444444", "offset 141")</f>
        <v>offset 141</v>
      </c>
    </row>
    <row r="13780" customFormat="false" ht="12.8" hidden="false" customHeight="false" outlineLevel="0" collapsed="false">
      <c r="A13780" s="0" t="s">
        <v>12</v>
      </c>
      <c r="B13780" s="0" t="n">
        <v>4282667</v>
      </c>
      <c r="C13780" s="0" t="n">
        <v>4282687</v>
      </c>
      <c r="D13780" s="0" t="s">
        <v>45757</v>
      </c>
      <c r="E13780" s="0" t="s">
        <v>75</v>
      </c>
      <c r="F13780" s="0" t="s">
        <v>90</v>
      </c>
      <c r="G13780" s="0" t="s">
        <v>16</v>
      </c>
      <c r="H13780" s="0" t="n">
        <v>195</v>
      </c>
      <c r="I13780" s="0" t="s">
        <v>45767</v>
      </c>
      <c r="J13780" s="0" t="s">
        <v>45768</v>
      </c>
      <c r="K13780" s="0" t="s">
        <v>45769</v>
      </c>
      <c r="L13780" s="0" t="str">
        <f aca="false">HYPERLINK("https://www.ncbi.nlm.nih.gov/nuccore/CP000058.1?report=graph&amp;tracks=[key:gene_model_track,Options:GeneOnly]&amp;mk=4282797:4282816|offset_66|444444,4282750:4282769|offset_113|444444,4282722:4282741|offset_141|444444,4282668:4282687|offset_195|00cc00&amp;v=4282596:4282887&amp;c=444444", "offset 195")</f>
        <v>offset 195</v>
      </c>
    </row>
    <row r="13781" customFormat="false" ht="12.8" hidden="false" customHeight="false" outlineLevel="0" collapsed="false">
      <c r="A13781" s="0" t="s">
        <v>12</v>
      </c>
      <c r="B13781" s="0" t="n">
        <v>4284350</v>
      </c>
      <c r="C13781" s="0" t="n">
        <v>4284370</v>
      </c>
      <c r="D13781" s="0" t="s">
        <v>45770</v>
      </c>
      <c r="E13781" s="0" t="s">
        <v>75</v>
      </c>
      <c r="F13781" s="0" t="s">
        <v>90</v>
      </c>
      <c r="G13781" s="0" t="s">
        <v>20</v>
      </c>
      <c r="H13781" s="0" t="n">
        <v>80</v>
      </c>
      <c r="I13781" s="0" t="s">
        <v>45771</v>
      </c>
      <c r="J13781" s="0" t="s">
        <v>45772</v>
      </c>
      <c r="K13781" s="0" t="s">
        <v>45773</v>
      </c>
      <c r="L13781" s="0" t="str">
        <f aca="false">HYPERLINK("https://www.ncbi.nlm.nih.gov/nuccore/CP000058.1?report=graph&amp;tracks=[key:gene_model_track,Options:GeneOnly]&amp;mk=4284351:4284370|offset_80|00cc00,4284315:4284334|offset_116|444444,4284292:4284311|offset_139|444444,4284263:4284282|offset_168|444444&amp;v=4284150:4284482&amp;c=444444", "offset 80")</f>
        <v>offset 80</v>
      </c>
    </row>
    <row r="13782" customFormat="false" ht="12.8" hidden="false" customHeight="false" outlineLevel="0" collapsed="false">
      <c r="A13782" s="0" t="s">
        <v>12</v>
      </c>
      <c r="B13782" s="0" t="n">
        <v>4284314</v>
      </c>
      <c r="C13782" s="0" t="n">
        <v>4284334</v>
      </c>
      <c r="D13782" s="0" t="s">
        <v>45770</v>
      </c>
      <c r="E13782" s="0" t="s">
        <v>75</v>
      </c>
      <c r="F13782" s="0" t="s">
        <v>90</v>
      </c>
      <c r="G13782" s="0" t="s">
        <v>16</v>
      </c>
      <c r="H13782" s="0" t="n">
        <v>116</v>
      </c>
      <c r="I13782" s="0" t="s">
        <v>45774</v>
      </c>
      <c r="J13782" s="0" t="s">
        <v>45775</v>
      </c>
      <c r="K13782" s="0" t="s">
        <v>45776</v>
      </c>
      <c r="L13782" s="0" t="str">
        <f aca="false">HYPERLINK("https://www.ncbi.nlm.nih.gov/nuccore/CP000058.1?report=graph&amp;tracks=[key:gene_model_track,Options:GeneOnly]&amp;mk=4284351:4284370|offset_80|444444,4284315:4284334|offset_116|00cc00,4284292:4284311|offset_139|444444,4284263:4284282|offset_168|444444&amp;v=4284150:4284482&amp;c=444444", "offset 116")</f>
        <v>offset 116</v>
      </c>
    </row>
    <row r="13783" customFormat="false" ht="12.8" hidden="false" customHeight="false" outlineLevel="0" collapsed="false">
      <c r="A13783" s="0" t="s">
        <v>12</v>
      </c>
      <c r="B13783" s="0" t="n">
        <v>4284291</v>
      </c>
      <c r="C13783" s="0" t="n">
        <v>4284311</v>
      </c>
      <c r="D13783" s="0" t="s">
        <v>45770</v>
      </c>
      <c r="E13783" s="0" t="s">
        <v>75</v>
      </c>
      <c r="F13783" s="0" t="s">
        <v>90</v>
      </c>
      <c r="G13783" s="0" t="s">
        <v>20</v>
      </c>
      <c r="H13783" s="0" t="n">
        <v>139</v>
      </c>
      <c r="I13783" s="0" t="s">
        <v>45777</v>
      </c>
      <c r="J13783" s="0" t="s">
        <v>45778</v>
      </c>
      <c r="K13783" s="0" t="s">
        <v>45779</v>
      </c>
      <c r="L13783" s="0" t="str">
        <f aca="false">HYPERLINK("https://www.ncbi.nlm.nih.gov/nuccore/CP000058.1?report=graph&amp;tracks=[key:gene_model_track,Options:GeneOnly]&amp;mk=4284351:4284370|offset_80|444444,4284315:4284334|offset_116|444444,4284292:4284311|offset_139|00cc00,4284263:4284282|offset_168|444444&amp;v=4284150:4284482&amp;c=444444", "offset 139")</f>
        <v>offset 139</v>
      </c>
    </row>
    <row r="13784" customFormat="false" ht="12.8" hidden="false" customHeight="false" outlineLevel="0" collapsed="false">
      <c r="A13784" s="0" t="s">
        <v>12</v>
      </c>
      <c r="B13784" s="0" t="n">
        <v>4284262</v>
      </c>
      <c r="C13784" s="0" t="n">
        <v>4284282</v>
      </c>
      <c r="D13784" s="0" t="s">
        <v>45770</v>
      </c>
      <c r="E13784" s="0" t="s">
        <v>75</v>
      </c>
      <c r="F13784" s="0" t="s">
        <v>90</v>
      </c>
      <c r="G13784" s="0" t="s">
        <v>16</v>
      </c>
      <c r="H13784" s="0" t="n">
        <v>168</v>
      </c>
      <c r="I13784" s="0" t="s">
        <v>45780</v>
      </c>
      <c r="J13784" s="0" t="s">
        <v>45781</v>
      </c>
      <c r="K13784" s="0" t="s">
        <v>45782</v>
      </c>
      <c r="L13784" s="0" t="str">
        <f aca="false">HYPERLINK("https://www.ncbi.nlm.nih.gov/nuccore/CP000058.1?report=graph&amp;tracks=[key:gene_model_track,Options:GeneOnly]&amp;mk=4284351:4284370|offset_80|444444,4284315:4284334|offset_116|444444,4284292:4284311|offset_139|444444,4284263:4284282|offset_168|00cc00&amp;v=4284150:4284482&amp;c=444444", "offset 168")</f>
        <v>offset 168</v>
      </c>
    </row>
    <row r="13785" customFormat="false" ht="12.8" hidden="false" customHeight="false" outlineLevel="0" collapsed="false">
      <c r="A13785" s="0" t="s">
        <v>12</v>
      </c>
      <c r="B13785" s="0" t="n">
        <v>4285163</v>
      </c>
      <c r="C13785" s="0" t="n">
        <v>4285183</v>
      </c>
      <c r="D13785" s="0" t="s">
        <v>45783</v>
      </c>
      <c r="E13785" s="0" t="s">
        <v>45784</v>
      </c>
      <c r="F13785" s="0" t="s">
        <v>90</v>
      </c>
      <c r="G13785" s="0" t="s">
        <v>32</v>
      </c>
      <c r="H13785" s="0" t="n">
        <v>9</v>
      </c>
      <c r="I13785" s="0" t="s">
        <v>45785</v>
      </c>
      <c r="J13785" s="0" t="s">
        <v>45786</v>
      </c>
      <c r="K13785" s="0" t="s">
        <v>45787</v>
      </c>
      <c r="L13785" s="0" t="str">
        <f aca="false">HYPERLINK("https://www.ncbi.nlm.nih.gov/nuccore/CP000058.1?report=graph&amp;tracks=[key:gene_model_track,Options:GeneOnly]&amp;mk=4285164:4285183|offset_9|00cc00,4285129:4285148|offset_44|444444,4285109:4285128|offset_64|444444,4285084:4285103|offset_89|444444&amp;v=4284963:4285303&amp;c=444444", "offset 9")</f>
        <v>offset 9</v>
      </c>
    </row>
    <row r="13786" customFormat="false" ht="12.8" hidden="false" customHeight="false" outlineLevel="0" collapsed="false">
      <c r="A13786" s="0" t="s">
        <v>12</v>
      </c>
      <c r="B13786" s="0" t="n">
        <v>4285128</v>
      </c>
      <c r="C13786" s="0" t="n">
        <v>4285148</v>
      </c>
      <c r="D13786" s="0" t="s">
        <v>45783</v>
      </c>
      <c r="E13786" s="0" t="s">
        <v>45784</v>
      </c>
      <c r="F13786" s="0" t="s">
        <v>90</v>
      </c>
      <c r="G13786" s="0" t="s">
        <v>32</v>
      </c>
      <c r="H13786" s="0" t="n">
        <v>44</v>
      </c>
      <c r="I13786" s="0" t="s">
        <v>45788</v>
      </c>
      <c r="J13786" s="0" t="s">
        <v>45789</v>
      </c>
      <c r="K13786" s="0" t="s">
        <v>45790</v>
      </c>
      <c r="L13786" s="0" t="str">
        <f aca="false">HYPERLINK("https://www.ncbi.nlm.nih.gov/nuccore/CP000058.1?report=graph&amp;tracks=[key:gene_model_track,Options:GeneOnly]&amp;mk=4285164:4285183|offset_9|444444,4285129:4285148|offset_44|00cc00,4285109:4285128|offset_64|444444,4285084:4285103|offset_89|444444&amp;v=4284963:4285303&amp;c=444444", "offset 44")</f>
        <v>offset 44</v>
      </c>
    </row>
    <row r="13787" customFormat="false" ht="12.8" hidden="false" customHeight="false" outlineLevel="0" collapsed="false">
      <c r="A13787" s="0" t="s">
        <v>12</v>
      </c>
      <c r="B13787" s="0" t="n">
        <v>4285108</v>
      </c>
      <c r="C13787" s="0" t="n">
        <v>4285128</v>
      </c>
      <c r="D13787" s="0" t="s">
        <v>45783</v>
      </c>
      <c r="E13787" s="0" t="s">
        <v>45784</v>
      </c>
      <c r="F13787" s="0" t="s">
        <v>90</v>
      </c>
      <c r="G13787" s="0" t="s">
        <v>32</v>
      </c>
      <c r="H13787" s="0" t="n">
        <v>64</v>
      </c>
      <c r="I13787" s="0" t="s">
        <v>45791</v>
      </c>
      <c r="J13787" s="0" t="s">
        <v>45792</v>
      </c>
      <c r="K13787" s="0" t="s">
        <v>45793</v>
      </c>
      <c r="L13787" s="0" t="str">
        <f aca="false">HYPERLINK("https://www.ncbi.nlm.nih.gov/nuccore/CP000058.1?report=graph&amp;tracks=[key:gene_model_track,Options:GeneOnly]&amp;mk=4285164:4285183|offset_9|444444,4285129:4285148|offset_44|444444,4285109:4285128|offset_64|00cc00,4285084:4285103|offset_89|444444&amp;v=4284963:4285303&amp;c=444444", "offset 64")</f>
        <v>offset 64</v>
      </c>
    </row>
    <row r="13788" customFormat="false" ht="12.8" hidden="false" customHeight="false" outlineLevel="0" collapsed="false">
      <c r="A13788" s="0" t="s">
        <v>12</v>
      </c>
      <c r="B13788" s="0" t="n">
        <v>4285083</v>
      </c>
      <c r="C13788" s="0" t="n">
        <v>4285103</v>
      </c>
      <c r="D13788" s="0" t="s">
        <v>45783</v>
      </c>
      <c r="E13788" s="0" t="s">
        <v>45784</v>
      </c>
      <c r="F13788" s="0" t="s">
        <v>90</v>
      </c>
      <c r="G13788" s="0" t="s">
        <v>20</v>
      </c>
      <c r="H13788" s="0" t="n">
        <v>89</v>
      </c>
      <c r="I13788" s="0" t="s">
        <v>45794</v>
      </c>
      <c r="J13788" s="0" t="s">
        <v>45795</v>
      </c>
      <c r="K13788" s="0" t="s">
        <v>45796</v>
      </c>
      <c r="L13788" s="0" t="str">
        <f aca="false">HYPERLINK("https://www.ncbi.nlm.nih.gov/nuccore/CP000058.1?report=graph&amp;tracks=[key:gene_model_track,Options:GeneOnly]&amp;mk=4285164:4285183|offset_9|444444,4285129:4285148|offset_44|444444,4285109:4285128|offset_64|444444,4285084:4285103|offset_89|00cc00&amp;v=4284963:4285303&amp;c=444444", "offset 89")</f>
        <v>offset 89</v>
      </c>
    </row>
    <row r="13789" customFormat="false" ht="12.8" hidden="false" customHeight="false" outlineLevel="0" collapsed="false">
      <c r="A13789" s="0" t="s">
        <v>12</v>
      </c>
      <c r="B13789" s="0" t="n">
        <v>4285941</v>
      </c>
      <c r="C13789" s="0" t="n">
        <v>4285961</v>
      </c>
      <c r="D13789" s="0" t="s">
        <v>45797</v>
      </c>
      <c r="E13789" s="0" t="s">
        <v>45798</v>
      </c>
      <c r="F13789" s="0" t="s">
        <v>15</v>
      </c>
      <c r="G13789" s="0" t="s">
        <v>16</v>
      </c>
      <c r="H13789" s="0" t="n">
        <v>33</v>
      </c>
      <c r="I13789" s="0" t="s">
        <v>45799</v>
      </c>
      <c r="J13789" s="0" t="s">
        <v>45800</v>
      </c>
      <c r="K13789" s="0" t="s">
        <v>45801</v>
      </c>
      <c r="L13789" s="0" t="str">
        <f aca="false">HYPERLINK("https://www.ncbi.nlm.nih.gov/nuccore/CP000058.1?report=graph&amp;tracks=[key:gene_model_track,Options:GeneOnly]&amp;mk=4285942:4285961|offset_33|00cc00,4285965:4285984|offset_56|444444,4285988:4286007|offset_79|444444,4286038:4286057|offset_129|444444&amp;v=4285741:4286257&amp;c=444444", "offset 33")</f>
        <v>offset 33</v>
      </c>
    </row>
    <row r="13790" customFormat="false" ht="12.8" hidden="false" customHeight="false" outlineLevel="0" collapsed="false">
      <c r="A13790" s="0" t="s">
        <v>12</v>
      </c>
      <c r="B13790" s="0" t="n">
        <v>4285964</v>
      </c>
      <c r="C13790" s="0" t="n">
        <v>4285984</v>
      </c>
      <c r="D13790" s="0" t="s">
        <v>45797</v>
      </c>
      <c r="E13790" s="0" t="s">
        <v>45798</v>
      </c>
      <c r="F13790" s="0" t="s">
        <v>15</v>
      </c>
      <c r="G13790" s="0" t="s">
        <v>32</v>
      </c>
      <c r="H13790" s="0" t="n">
        <v>56</v>
      </c>
      <c r="I13790" s="0" t="s">
        <v>45802</v>
      </c>
      <c r="J13790" s="0" t="s">
        <v>45803</v>
      </c>
      <c r="K13790" s="0" t="s">
        <v>45804</v>
      </c>
      <c r="L13790" s="0" t="str">
        <f aca="false">HYPERLINK("https://www.ncbi.nlm.nih.gov/nuccore/CP000058.1?report=graph&amp;tracks=[key:gene_model_track,Options:GeneOnly]&amp;mk=4285942:4285961|offset_33|444444,4285965:4285984|offset_56|00cc00,4285988:4286007|offset_79|444444,4286038:4286057|offset_129|444444&amp;v=4285741:4286257&amp;c=444444", "offset 56")</f>
        <v>offset 56</v>
      </c>
    </row>
    <row r="13791" customFormat="false" ht="12.8" hidden="false" customHeight="false" outlineLevel="0" collapsed="false">
      <c r="A13791" s="0" t="s">
        <v>12</v>
      </c>
      <c r="B13791" s="0" t="n">
        <v>4285987</v>
      </c>
      <c r="C13791" s="0" t="n">
        <v>4286007</v>
      </c>
      <c r="D13791" s="0" t="s">
        <v>45797</v>
      </c>
      <c r="E13791" s="0" t="s">
        <v>45798</v>
      </c>
      <c r="F13791" s="0" t="s">
        <v>15</v>
      </c>
      <c r="G13791" s="0" t="s">
        <v>32</v>
      </c>
      <c r="H13791" s="0" t="n">
        <v>79</v>
      </c>
      <c r="I13791" s="0" t="s">
        <v>45805</v>
      </c>
      <c r="J13791" s="0" t="s">
        <v>45806</v>
      </c>
      <c r="K13791" s="0" t="s">
        <v>45807</v>
      </c>
      <c r="L13791" s="0" t="str">
        <f aca="false">HYPERLINK("https://www.ncbi.nlm.nih.gov/nuccore/CP000058.1?report=graph&amp;tracks=[key:gene_model_track,Options:GeneOnly]&amp;mk=4285942:4285961|offset_33|444444,4285965:4285984|offset_56|444444,4285988:4286007|offset_79|00cc00,4286038:4286057|offset_129|444444&amp;v=4285741:4286257&amp;c=444444", "offset 79")</f>
        <v>offset 79</v>
      </c>
    </row>
    <row r="13792" customFormat="false" ht="12.8" hidden="false" customHeight="false" outlineLevel="0" collapsed="false">
      <c r="A13792" s="0" t="s">
        <v>12</v>
      </c>
      <c r="B13792" s="0" t="n">
        <v>4286037</v>
      </c>
      <c r="C13792" s="0" t="n">
        <v>4286057</v>
      </c>
      <c r="D13792" s="0" t="s">
        <v>45797</v>
      </c>
      <c r="E13792" s="0" t="s">
        <v>45798</v>
      </c>
      <c r="F13792" s="0" t="s">
        <v>15</v>
      </c>
      <c r="G13792" s="0" t="s">
        <v>20</v>
      </c>
      <c r="H13792" s="0" t="n">
        <v>129</v>
      </c>
      <c r="I13792" s="0" t="s">
        <v>45808</v>
      </c>
      <c r="J13792" s="0" t="s">
        <v>45809</v>
      </c>
      <c r="K13792" s="0" t="s">
        <v>45810</v>
      </c>
      <c r="L13792" s="0" t="str">
        <f aca="false">HYPERLINK("https://www.ncbi.nlm.nih.gov/nuccore/CP000058.1?report=graph&amp;tracks=[key:gene_model_track,Options:GeneOnly]&amp;mk=4285942:4285961|offset_33|444444,4285965:4285984|offset_56|444444,4285988:4286007|offset_79|444444,4286038:4286057|offset_129|00cc00&amp;v=4285741:4286257&amp;c=444444", "offset 129")</f>
        <v>offset 129</v>
      </c>
    </row>
    <row r="13793" customFormat="false" ht="12.8" hidden="false" customHeight="false" outlineLevel="0" collapsed="false">
      <c r="A13793" s="0" t="s">
        <v>12</v>
      </c>
      <c r="B13793" s="0" t="n">
        <v>4290470</v>
      </c>
      <c r="C13793" s="0" t="n">
        <v>4290490</v>
      </c>
      <c r="D13793" s="0" t="s">
        <v>45811</v>
      </c>
      <c r="E13793" s="0" t="s">
        <v>75</v>
      </c>
      <c r="F13793" s="0" t="s">
        <v>15</v>
      </c>
      <c r="G13793" s="0" t="s">
        <v>20</v>
      </c>
      <c r="H13793" s="0" t="n">
        <v>25</v>
      </c>
      <c r="I13793" s="0" t="s">
        <v>45812</v>
      </c>
      <c r="J13793" s="0" t="s">
        <v>45813</v>
      </c>
      <c r="K13793" s="0" t="s">
        <v>45814</v>
      </c>
      <c r="L13793" s="0" t="str">
        <f aca="false">HYPERLINK("https://www.ncbi.nlm.nih.gov/nuccore/CP000058.1?report=graph&amp;tracks=[key:gene_model_track,Options:GeneOnly]&amp;mk=4290471:4290490|offset_25|00cc00,4290519:4290538|offset_73|444444,4290579:4290598|offset_133|444444,4290606:4290625|offset_160|444444&amp;v=4290270:4290825&amp;c=444444", "offset 25")</f>
        <v>offset 25</v>
      </c>
    </row>
    <row r="13794" customFormat="false" ht="12.8" hidden="false" customHeight="false" outlineLevel="0" collapsed="false">
      <c r="A13794" s="0" t="s">
        <v>12</v>
      </c>
      <c r="B13794" s="0" t="n">
        <v>4290518</v>
      </c>
      <c r="C13794" s="0" t="n">
        <v>4290538</v>
      </c>
      <c r="D13794" s="0" t="s">
        <v>45811</v>
      </c>
      <c r="E13794" s="0" t="s">
        <v>75</v>
      </c>
      <c r="F13794" s="0" t="s">
        <v>15</v>
      </c>
      <c r="G13794" s="0" t="s">
        <v>20</v>
      </c>
      <c r="H13794" s="0" t="n">
        <v>73</v>
      </c>
      <c r="I13794" s="0" t="s">
        <v>45815</v>
      </c>
      <c r="J13794" s="0" t="s">
        <v>45816</v>
      </c>
      <c r="K13794" s="0" t="s">
        <v>45817</v>
      </c>
      <c r="L13794" s="0" t="str">
        <f aca="false">HYPERLINK("https://www.ncbi.nlm.nih.gov/nuccore/CP000058.1?report=graph&amp;tracks=[key:gene_model_track,Options:GeneOnly]&amp;mk=4290471:4290490|offset_25|444444,4290519:4290538|offset_73|00cc00,4290579:4290598|offset_133|444444,4290606:4290625|offset_160|444444&amp;v=4290270:4290825&amp;c=444444", "offset 73")</f>
        <v>offset 73</v>
      </c>
    </row>
    <row r="13795" customFormat="false" ht="12.8" hidden="false" customHeight="false" outlineLevel="0" collapsed="false">
      <c r="A13795" s="0" t="s">
        <v>12</v>
      </c>
      <c r="B13795" s="0" t="n">
        <v>4290578</v>
      </c>
      <c r="C13795" s="0" t="n">
        <v>4290598</v>
      </c>
      <c r="D13795" s="0" t="s">
        <v>45811</v>
      </c>
      <c r="E13795" s="0" t="s">
        <v>75</v>
      </c>
      <c r="F13795" s="0" t="s">
        <v>15</v>
      </c>
      <c r="G13795" s="0" t="s">
        <v>36</v>
      </c>
      <c r="H13795" s="0" t="n">
        <v>133</v>
      </c>
      <c r="I13795" s="0" t="s">
        <v>45818</v>
      </c>
      <c r="J13795" s="0" t="s">
        <v>45819</v>
      </c>
      <c r="K13795" s="0" t="s">
        <v>45820</v>
      </c>
      <c r="L13795" s="0" t="str">
        <f aca="false">HYPERLINK("https://www.ncbi.nlm.nih.gov/nuccore/CP000058.1?report=graph&amp;tracks=[key:gene_model_track,Options:GeneOnly]&amp;mk=4290471:4290490|offset_25|444444,4290519:4290538|offset_73|444444,4290579:4290598|offset_133|00cc00,4290606:4290625|offset_160|444444&amp;v=4290270:4290825&amp;c=444444", "offset 133")</f>
        <v>offset 133</v>
      </c>
    </row>
    <row r="13796" customFormat="false" ht="12.8" hidden="false" customHeight="false" outlineLevel="0" collapsed="false">
      <c r="A13796" s="0" t="s">
        <v>12</v>
      </c>
      <c r="B13796" s="0" t="n">
        <v>4290605</v>
      </c>
      <c r="C13796" s="0" t="n">
        <v>4290625</v>
      </c>
      <c r="D13796" s="0" t="s">
        <v>45811</v>
      </c>
      <c r="E13796" s="0" t="s">
        <v>75</v>
      </c>
      <c r="F13796" s="0" t="s">
        <v>15</v>
      </c>
      <c r="G13796" s="0" t="s">
        <v>16</v>
      </c>
      <c r="H13796" s="0" t="n">
        <v>160</v>
      </c>
      <c r="I13796" s="0" t="s">
        <v>45821</v>
      </c>
      <c r="J13796" s="0" t="s">
        <v>45822</v>
      </c>
      <c r="K13796" s="0" t="s">
        <v>45823</v>
      </c>
      <c r="L13796" s="0" t="str">
        <f aca="false">HYPERLINK("https://www.ncbi.nlm.nih.gov/nuccore/CP000058.1?report=graph&amp;tracks=[key:gene_model_track,Options:GeneOnly]&amp;mk=4290471:4290490|offset_25|444444,4290519:4290538|offset_73|444444,4290579:4290598|offset_133|444444,4290606:4290625|offset_160|00cc00&amp;v=4290270:4290825&amp;c=444444", "offset 160")</f>
        <v>offset 160</v>
      </c>
    </row>
    <row r="13797" customFormat="false" ht="12.8" hidden="false" customHeight="false" outlineLevel="0" collapsed="false">
      <c r="A13797" s="0" t="s">
        <v>12</v>
      </c>
      <c r="B13797" s="0" t="n">
        <v>4291558</v>
      </c>
      <c r="C13797" s="0" t="n">
        <v>4291578</v>
      </c>
      <c r="D13797" s="0" t="s">
        <v>45824</v>
      </c>
      <c r="E13797" s="0" t="s">
        <v>75</v>
      </c>
      <c r="F13797" s="0" t="s">
        <v>15</v>
      </c>
      <c r="G13797" s="0" t="s">
        <v>32</v>
      </c>
      <c r="H13797" s="0" t="n">
        <v>64</v>
      </c>
      <c r="I13797" s="0" t="s">
        <v>45825</v>
      </c>
      <c r="J13797" s="0" t="s">
        <v>45826</v>
      </c>
      <c r="K13797" s="0" t="s">
        <v>45827</v>
      </c>
      <c r="L13797" s="0" t="str">
        <f aca="false">HYPERLINK("https://www.ncbi.nlm.nih.gov/nuccore/CP000058.1?report=graph&amp;tracks=[key:gene_model_track,Options:GeneOnly]&amp;mk=4291559:4291578|offset_64|00cc00,4291586:4291605|offset_91|444444,4291615:4291634|offset_120|444444,4291677:4291696|offset_182|444444&amp;v=4291358:4291896&amp;c=444444", "offset 64")</f>
        <v>offset 64</v>
      </c>
    </row>
    <row r="13798" customFormat="false" ht="12.8" hidden="false" customHeight="false" outlineLevel="0" collapsed="false">
      <c r="A13798" s="0" t="s">
        <v>12</v>
      </c>
      <c r="B13798" s="0" t="n">
        <v>4291585</v>
      </c>
      <c r="C13798" s="0" t="n">
        <v>4291605</v>
      </c>
      <c r="D13798" s="0" t="s">
        <v>45824</v>
      </c>
      <c r="E13798" s="0" t="s">
        <v>75</v>
      </c>
      <c r="F13798" s="0" t="s">
        <v>15</v>
      </c>
      <c r="G13798" s="0" t="s">
        <v>32</v>
      </c>
      <c r="H13798" s="0" t="n">
        <v>91</v>
      </c>
      <c r="I13798" s="0" t="s">
        <v>45828</v>
      </c>
      <c r="J13798" s="0" t="s">
        <v>45829</v>
      </c>
      <c r="K13798" s="0" t="s">
        <v>45830</v>
      </c>
      <c r="L13798" s="0" t="str">
        <f aca="false">HYPERLINK("https://www.ncbi.nlm.nih.gov/nuccore/CP000058.1?report=graph&amp;tracks=[key:gene_model_track,Options:GeneOnly]&amp;mk=4291559:4291578|offset_64|444444,4291586:4291605|offset_91|00cc00,4291615:4291634|offset_120|444444,4291677:4291696|offset_182|444444&amp;v=4291358:4291896&amp;c=444444", "offset 91")</f>
        <v>offset 91</v>
      </c>
    </row>
    <row r="13799" customFormat="false" ht="12.8" hidden="false" customHeight="false" outlineLevel="0" collapsed="false">
      <c r="A13799" s="0" t="s">
        <v>12</v>
      </c>
      <c r="B13799" s="0" t="n">
        <v>4291614</v>
      </c>
      <c r="C13799" s="0" t="n">
        <v>4291634</v>
      </c>
      <c r="D13799" s="0" t="s">
        <v>45824</v>
      </c>
      <c r="E13799" s="0" t="s">
        <v>75</v>
      </c>
      <c r="F13799" s="0" t="s">
        <v>15</v>
      </c>
      <c r="G13799" s="0" t="s">
        <v>20</v>
      </c>
      <c r="H13799" s="0" t="n">
        <v>120</v>
      </c>
      <c r="I13799" s="0" t="s">
        <v>45831</v>
      </c>
      <c r="J13799" s="0" t="s">
        <v>45832</v>
      </c>
      <c r="K13799" s="0" t="s">
        <v>45833</v>
      </c>
      <c r="L13799" s="0" t="str">
        <f aca="false">HYPERLINK("https://www.ncbi.nlm.nih.gov/nuccore/CP000058.1?report=graph&amp;tracks=[key:gene_model_track,Options:GeneOnly]&amp;mk=4291559:4291578|offset_64|444444,4291586:4291605|offset_91|444444,4291615:4291634|offset_120|00cc00,4291677:4291696|offset_182|444444&amp;v=4291358:4291896&amp;c=444444", "offset 120")</f>
        <v>offset 120</v>
      </c>
    </row>
    <row r="13800" customFormat="false" ht="12.8" hidden="false" customHeight="false" outlineLevel="0" collapsed="false">
      <c r="A13800" s="0" t="s">
        <v>12</v>
      </c>
      <c r="B13800" s="0" t="n">
        <v>4291676</v>
      </c>
      <c r="C13800" s="0" t="n">
        <v>4291696</v>
      </c>
      <c r="D13800" s="0" t="s">
        <v>45824</v>
      </c>
      <c r="E13800" s="0" t="s">
        <v>75</v>
      </c>
      <c r="F13800" s="0" t="s">
        <v>15</v>
      </c>
      <c r="G13800" s="0" t="s">
        <v>20</v>
      </c>
      <c r="H13800" s="0" t="n">
        <v>182</v>
      </c>
      <c r="I13800" s="0" t="s">
        <v>45834</v>
      </c>
      <c r="J13800" s="0" t="s">
        <v>45835</v>
      </c>
      <c r="K13800" s="0" t="s">
        <v>45836</v>
      </c>
      <c r="L13800" s="0" t="str">
        <f aca="false">HYPERLINK("https://www.ncbi.nlm.nih.gov/nuccore/CP000058.1?report=graph&amp;tracks=[key:gene_model_track,Options:GeneOnly]&amp;mk=4291559:4291578|offset_64|444444,4291586:4291605|offset_91|444444,4291615:4291634|offset_120|444444,4291677:4291696|offset_182|00cc00&amp;v=4291358:4291896&amp;c=444444", "offset 182")</f>
        <v>offset 182</v>
      </c>
    </row>
    <row r="13801" customFormat="false" ht="12.8" hidden="false" customHeight="false" outlineLevel="0" collapsed="false">
      <c r="A13801" s="0" t="s">
        <v>12</v>
      </c>
      <c r="B13801" s="0" t="n">
        <v>4292558</v>
      </c>
      <c r="C13801" s="0" t="n">
        <v>4292578</v>
      </c>
      <c r="D13801" s="0" t="s">
        <v>45837</v>
      </c>
      <c r="E13801" s="0" t="s">
        <v>75</v>
      </c>
      <c r="F13801" s="0" t="s">
        <v>15</v>
      </c>
      <c r="G13801" s="0" t="s">
        <v>20</v>
      </c>
      <c r="H13801" s="0" t="n">
        <v>56</v>
      </c>
      <c r="I13801" s="0" t="s">
        <v>45838</v>
      </c>
      <c r="J13801" s="0" t="s">
        <v>45839</v>
      </c>
      <c r="K13801" s="0" t="s">
        <v>45840</v>
      </c>
      <c r="L13801" s="0" t="str">
        <f aca="false">HYPERLINK("https://www.ncbi.nlm.nih.gov/nuccore/CP000058.1?report=graph&amp;tracks=[key:gene_model_track,Options:GeneOnly]&amp;mk=4292559:4292578|offset_56|00cc00,4292596:4292615|offset_93|444444,4292642:4292661|offset_139|444444,4292684:4292703|offset_181|444444&amp;v=4292358:4292903&amp;c=444444", "offset 56")</f>
        <v>offset 56</v>
      </c>
    </row>
    <row r="13802" customFormat="false" ht="12.8" hidden="false" customHeight="false" outlineLevel="0" collapsed="false">
      <c r="A13802" s="0" t="s">
        <v>12</v>
      </c>
      <c r="B13802" s="0" t="n">
        <v>4292595</v>
      </c>
      <c r="C13802" s="0" t="n">
        <v>4292615</v>
      </c>
      <c r="D13802" s="0" t="s">
        <v>45837</v>
      </c>
      <c r="E13802" s="0" t="s">
        <v>75</v>
      </c>
      <c r="F13802" s="0" t="s">
        <v>15</v>
      </c>
      <c r="G13802" s="0" t="s">
        <v>32</v>
      </c>
      <c r="H13802" s="0" t="n">
        <v>93</v>
      </c>
      <c r="I13802" s="0" t="s">
        <v>45841</v>
      </c>
      <c r="J13802" s="0" t="s">
        <v>45842</v>
      </c>
      <c r="K13802" s="0" t="s">
        <v>45843</v>
      </c>
      <c r="L13802" s="0" t="str">
        <f aca="false">HYPERLINK("https://www.ncbi.nlm.nih.gov/nuccore/CP000058.1?report=graph&amp;tracks=[key:gene_model_track,Options:GeneOnly]&amp;mk=4292559:4292578|offset_56|444444,4292596:4292615|offset_93|00cc00,4292642:4292661|offset_139|444444,4292684:4292703|offset_181|444444&amp;v=4292358:4292903&amp;c=444444", "offset 93")</f>
        <v>offset 93</v>
      </c>
    </row>
    <row r="13803" customFormat="false" ht="12.8" hidden="false" customHeight="false" outlineLevel="0" collapsed="false">
      <c r="A13803" s="0" t="s">
        <v>12</v>
      </c>
      <c r="B13803" s="0" t="n">
        <v>4292641</v>
      </c>
      <c r="C13803" s="0" t="n">
        <v>4292661</v>
      </c>
      <c r="D13803" s="0" t="s">
        <v>45837</v>
      </c>
      <c r="E13803" s="0" t="s">
        <v>75</v>
      </c>
      <c r="F13803" s="0" t="s">
        <v>15</v>
      </c>
      <c r="G13803" s="0" t="s">
        <v>20</v>
      </c>
      <c r="H13803" s="0" t="n">
        <v>139</v>
      </c>
      <c r="I13803" s="0" t="s">
        <v>45844</v>
      </c>
      <c r="J13803" s="0" t="s">
        <v>45845</v>
      </c>
      <c r="K13803" s="0" t="s">
        <v>45846</v>
      </c>
      <c r="L13803" s="0" t="str">
        <f aca="false">HYPERLINK("https://www.ncbi.nlm.nih.gov/nuccore/CP000058.1?report=graph&amp;tracks=[key:gene_model_track,Options:GeneOnly]&amp;mk=4292559:4292578|offset_56|444444,4292596:4292615|offset_93|444444,4292642:4292661|offset_139|00cc00,4292684:4292703|offset_181|444444&amp;v=4292358:4292903&amp;c=444444", "offset 139")</f>
        <v>offset 139</v>
      </c>
    </row>
    <row r="13804" customFormat="false" ht="12.8" hidden="false" customHeight="false" outlineLevel="0" collapsed="false">
      <c r="A13804" s="0" t="s">
        <v>12</v>
      </c>
      <c r="B13804" s="0" t="n">
        <v>4292683</v>
      </c>
      <c r="C13804" s="0" t="n">
        <v>4292703</v>
      </c>
      <c r="D13804" s="0" t="s">
        <v>45837</v>
      </c>
      <c r="E13804" s="0" t="s">
        <v>75</v>
      </c>
      <c r="F13804" s="0" t="s">
        <v>15</v>
      </c>
      <c r="G13804" s="0" t="s">
        <v>20</v>
      </c>
      <c r="H13804" s="0" t="n">
        <v>181</v>
      </c>
      <c r="I13804" s="0" t="s">
        <v>45847</v>
      </c>
      <c r="J13804" s="0" t="s">
        <v>45848</v>
      </c>
      <c r="K13804" s="0" t="s">
        <v>45849</v>
      </c>
      <c r="L13804" s="0" t="str">
        <f aca="false">HYPERLINK("https://www.ncbi.nlm.nih.gov/nuccore/CP000058.1?report=graph&amp;tracks=[key:gene_model_track,Options:GeneOnly]&amp;mk=4292559:4292578|offset_56|444444,4292596:4292615|offset_93|444444,4292642:4292661|offset_139|444444,4292684:4292703|offset_181|00cc00&amp;v=4292358:4292903&amp;c=444444", "offset 181")</f>
        <v>offset 181</v>
      </c>
    </row>
    <row r="13805" customFormat="false" ht="12.8" hidden="false" customHeight="false" outlineLevel="0" collapsed="false">
      <c r="A13805" s="0" t="s">
        <v>12</v>
      </c>
      <c r="B13805" s="0" t="n">
        <v>4294566</v>
      </c>
      <c r="C13805" s="0" t="n">
        <v>4294586</v>
      </c>
      <c r="D13805" s="0" t="s">
        <v>45850</v>
      </c>
      <c r="E13805" s="0" t="s">
        <v>75</v>
      </c>
      <c r="F13805" s="0" t="s">
        <v>15</v>
      </c>
      <c r="G13805" s="0" t="s">
        <v>36</v>
      </c>
      <c r="H13805" s="0" t="n">
        <v>121</v>
      </c>
      <c r="I13805" s="0" t="s">
        <v>45851</v>
      </c>
      <c r="J13805" s="0" t="s">
        <v>45852</v>
      </c>
      <c r="K13805" s="0" t="s">
        <v>45853</v>
      </c>
      <c r="L13805" s="0" t="str">
        <f aca="false">HYPERLINK("https://www.ncbi.nlm.nih.gov/nuccore/CP000058.1?report=graph&amp;tracks=[key:gene_model_track,Options:GeneOnly]&amp;mk=4294567:4294586|offset_121|00cc00,4294592:4294611|offset_146|444444&amp;v=4294366:4294811&amp;c=444444", "offset 121")</f>
        <v>offset 121</v>
      </c>
    </row>
    <row r="13806" customFormat="false" ht="12.8" hidden="false" customHeight="false" outlineLevel="0" collapsed="false">
      <c r="A13806" s="0" t="s">
        <v>12</v>
      </c>
      <c r="B13806" s="0" t="n">
        <v>4294591</v>
      </c>
      <c r="C13806" s="0" t="n">
        <v>4294611</v>
      </c>
      <c r="D13806" s="0" t="s">
        <v>45850</v>
      </c>
      <c r="E13806" s="0" t="s">
        <v>75</v>
      </c>
      <c r="F13806" s="0" t="s">
        <v>15</v>
      </c>
      <c r="G13806" s="0" t="s">
        <v>16</v>
      </c>
      <c r="H13806" s="0" t="n">
        <v>146</v>
      </c>
      <c r="I13806" s="0" t="s">
        <v>45854</v>
      </c>
      <c r="J13806" s="0" t="s">
        <v>45855</v>
      </c>
      <c r="K13806" s="0" t="s">
        <v>45856</v>
      </c>
      <c r="L13806" s="0" t="str">
        <f aca="false">HYPERLINK("https://www.ncbi.nlm.nih.gov/nuccore/CP000058.1?report=graph&amp;tracks=[key:gene_model_track,Options:GeneOnly]&amp;mk=4294567:4294586|offset_121|444444,4294592:4294611|offset_146|00cc00&amp;v=4294366:4294811&amp;c=444444", "offset 146")</f>
        <v>offset 146</v>
      </c>
    </row>
    <row r="13807" customFormat="false" ht="12.8" hidden="false" customHeight="false" outlineLevel="0" collapsed="false">
      <c r="A13807" s="0" t="s">
        <v>12</v>
      </c>
      <c r="B13807" s="0" t="n">
        <v>4295151</v>
      </c>
      <c r="C13807" s="0" t="n">
        <v>4295171</v>
      </c>
      <c r="D13807" s="0" t="s">
        <v>45857</v>
      </c>
      <c r="E13807" s="0" t="s">
        <v>45858</v>
      </c>
      <c r="F13807" s="0" t="s">
        <v>15</v>
      </c>
      <c r="G13807" s="0" t="s">
        <v>32</v>
      </c>
      <c r="H13807" s="0" t="n">
        <v>1</v>
      </c>
      <c r="I13807" s="0" t="s">
        <v>45859</v>
      </c>
      <c r="J13807" s="0" t="s">
        <v>45860</v>
      </c>
      <c r="K13807" s="0" t="s">
        <v>45861</v>
      </c>
      <c r="L13807" s="0" t="str">
        <f aca="false">HYPERLINK("https://www.ncbi.nlm.nih.gov/nuccore/CP000058.1?report=graph&amp;tracks=[key:gene_model_track,Options:GeneOnly]&amp;mk=4295152:4295171|offset_1|00cc00,4295209:4295228|offset_58|444444,4295233:4295252|offset_82|444444,4295257:4295276|offset_106|444444&amp;v=4294951:4295476&amp;c=444444", "offset 1")</f>
        <v>offset 1</v>
      </c>
    </row>
    <row r="13808" customFormat="false" ht="12.8" hidden="false" customHeight="false" outlineLevel="0" collapsed="false">
      <c r="A13808" s="0" t="s">
        <v>12</v>
      </c>
      <c r="B13808" s="0" t="n">
        <v>4295208</v>
      </c>
      <c r="C13808" s="0" t="n">
        <v>4295228</v>
      </c>
      <c r="D13808" s="0" t="s">
        <v>45857</v>
      </c>
      <c r="E13808" s="0" t="s">
        <v>45858</v>
      </c>
      <c r="F13808" s="0" t="s">
        <v>15</v>
      </c>
      <c r="G13808" s="0" t="s">
        <v>32</v>
      </c>
      <c r="H13808" s="0" t="n">
        <v>58</v>
      </c>
      <c r="I13808" s="0" t="s">
        <v>45862</v>
      </c>
      <c r="J13808" s="0" t="s">
        <v>45863</v>
      </c>
      <c r="K13808" s="0" t="s">
        <v>45864</v>
      </c>
      <c r="L13808" s="0" t="str">
        <f aca="false">HYPERLINK("https://www.ncbi.nlm.nih.gov/nuccore/CP000058.1?report=graph&amp;tracks=[key:gene_model_track,Options:GeneOnly]&amp;mk=4295152:4295171|offset_1|444444,4295209:4295228|offset_58|00cc00,4295233:4295252|offset_82|444444,4295257:4295276|offset_106|444444&amp;v=4294951:4295476&amp;c=444444", "offset 58")</f>
        <v>offset 58</v>
      </c>
    </row>
    <row r="13809" customFormat="false" ht="12.8" hidden="false" customHeight="false" outlineLevel="0" collapsed="false">
      <c r="A13809" s="0" t="s">
        <v>12</v>
      </c>
      <c r="B13809" s="0" t="n">
        <v>4295232</v>
      </c>
      <c r="C13809" s="0" t="n">
        <v>4295252</v>
      </c>
      <c r="D13809" s="0" t="s">
        <v>45857</v>
      </c>
      <c r="E13809" s="0" t="s">
        <v>45858</v>
      </c>
      <c r="F13809" s="0" t="s">
        <v>15</v>
      </c>
      <c r="G13809" s="0" t="s">
        <v>32</v>
      </c>
      <c r="H13809" s="0" t="n">
        <v>82</v>
      </c>
      <c r="I13809" s="0" t="s">
        <v>45865</v>
      </c>
      <c r="J13809" s="0" t="s">
        <v>45866</v>
      </c>
      <c r="K13809" s="0" t="s">
        <v>45867</v>
      </c>
      <c r="L13809" s="0" t="str">
        <f aca="false">HYPERLINK("https://www.ncbi.nlm.nih.gov/nuccore/CP000058.1?report=graph&amp;tracks=[key:gene_model_track,Options:GeneOnly]&amp;mk=4295152:4295171|offset_1|444444,4295209:4295228|offset_58|444444,4295233:4295252|offset_82|00cc00,4295257:4295276|offset_106|444444&amp;v=4294951:4295476&amp;c=444444", "offset 82")</f>
        <v>offset 82</v>
      </c>
    </row>
    <row r="13810" customFormat="false" ht="12.8" hidden="false" customHeight="false" outlineLevel="0" collapsed="false">
      <c r="A13810" s="0" t="s">
        <v>12</v>
      </c>
      <c r="B13810" s="0" t="n">
        <v>4295256</v>
      </c>
      <c r="C13810" s="0" t="n">
        <v>4295276</v>
      </c>
      <c r="D13810" s="0" t="s">
        <v>45857</v>
      </c>
      <c r="E13810" s="0" t="s">
        <v>45858</v>
      </c>
      <c r="F13810" s="0" t="s">
        <v>15</v>
      </c>
      <c r="G13810" s="0" t="s">
        <v>16</v>
      </c>
      <c r="H13810" s="0" t="n">
        <v>106</v>
      </c>
      <c r="I13810" s="0" t="s">
        <v>45868</v>
      </c>
      <c r="J13810" s="0" t="s">
        <v>45869</v>
      </c>
      <c r="K13810" s="0" t="s">
        <v>45870</v>
      </c>
      <c r="L13810" s="0" t="str">
        <f aca="false">HYPERLINK("https://www.ncbi.nlm.nih.gov/nuccore/CP000058.1?report=graph&amp;tracks=[key:gene_model_track,Options:GeneOnly]&amp;mk=4295152:4295171|offset_1|444444,4295209:4295228|offset_58|444444,4295233:4295252|offset_82|444444,4295257:4295276|offset_106|00cc00&amp;v=4294951:4295476&amp;c=444444", "offset 106")</f>
        <v>offset 106</v>
      </c>
    </row>
    <row r="13811" customFormat="false" ht="12.8" hidden="false" customHeight="false" outlineLevel="0" collapsed="false">
      <c r="A13811" s="0" t="s">
        <v>12</v>
      </c>
      <c r="B13811" s="0" t="n">
        <v>4298956</v>
      </c>
      <c r="C13811" s="0" t="n">
        <v>4298976</v>
      </c>
      <c r="D13811" s="0" t="s">
        <v>45871</v>
      </c>
      <c r="E13811" s="0" t="s">
        <v>75</v>
      </c>
      <c r="F13811" s="0" t="s">
        <v>90</v>
      </c>
      <c r="G13811" s="0" t="s">
        <v>32</v>
      </c>
      <c r="H13811" s="0" t="n">
        <v>36</v>
      </c>
      <c r="I13811" s="0" t="s">
        <v>45872</v>
      </c>
      <c r="J13811" s="0" t="s">
        <v>45873</v>
      </c>
      <c r="K13811" s="0" t="s">
        <v>45874</v>
      </c>
      <c r="L13811" s="0" t="str">
        <f aca="false">HYPERLINK("https://www.ncbi.nlm.nih.gov/nuccore/CP000058.1?report=graph&amp;tracks=[key:gene_model_track,Options:GeneOnly]&amp;mk=4298957:4298976|offset_36|00cc00,4298914:4298933|offset_79|444444,4298849:4298868|offset_144|444444,4298821:4298840|offset_172|444444&amp;v=4298756:4299040&amp;c=444444", "offset 36")</f>
        <v>offset 36</v>
      </c>
    </row>
    <row r="13812" customFormat="false" ht="12.8" hidden="false" customHeight="false" outlineLevel="0" collapsed="false">
      <c r="A13812" s="0" t="s">
        <v>12</v>
      </c>
      <c r="B13812" s="0" t="n">
        <v>4298913</v>
      </c>
      <c r="C13812" s="0" t="n">
        <v>4298933</v>
      </c>
      <c r="D13812" s="0" t="s">
        <v>45871</v>
      </c>
      <c r="E13812" s="0" t="s">
        <v>75</v>
      </c>
      <c r="F13812" s="0" t="s">
        <v>90</v>
      </c>
      <c r="G13812" s="0" t="s">
        <v>32</v>
      </c>
      <c r="H13812" s="0" t="n">
        <v>79</v>
      </c>
      <c r="I13812" s="0" t="s">
        <v>45875</v>
      </c>
      <c r="J13812" s="0" t="s">
        <v>45876</v>
      </c>
      <c r="K13812" s="0" t="s">
        <v>45877</v>
      </c>
      <c r="L13812" s="0" t="str">
        <f aca="false">HYPERLINK("https://www.ncbi.nlm.nih.gov/nuccore/CP000058.1?report=graph&amp;tracks=[key:gene_model_track,Options:GeneOnly]&amp;mk=4298957:4298976|offset_36|444444,4298914:4298933|offset_79|00cc00,4298849:4298868|offset_144|444444,4298821:4298840|offset_172|444444&amp;v=4298756:4299040&amp;c=444444", "offset 79")</f>
        <v>offset 79</v>
      </c>
    </row>
    <row r="13813" customFormat="false" ht="12.8" hidden="false" customHeight="false" outlineLevel="0" collapsed="false">
      <c r="A13813" s="0" t="s">
        <v>12</v>
      </c>
      <c r="B13813" s="0" t="n">
        <v>4298848</v>
      </c>
      <c r="C13813" s="0" t="n">
        <v>4298868</v>
      </c>
      <c r="D13813" s="0" t="s">
        <v>45871</v>
      </c>
      <c r="E13813" s="0" t="s">
        <v>75</v>
      </c>
      <c r="F13813" s="0" t="s">
        <v>90</v>
      </c>
      <c r="G13813" s="0" t="s">
        <v>20</v>
      </c>
      <c r="H13813" s="0" t="n">
        <v>144</v>
      </c>
      <c r="I13813" s="0" t="s">
        <v>45878</v>
      </c>
      <c r="J13813" s="0" t="s">
        <v>45879</v>
      </c>
      <c r="K13813" s="0" t="s">
        <v>45880</v>
      </c>
      <c r="L13813" s="0" t="str">
        <f aca="false">HYPERLINK("https://www.ncbi.nlm.nih.gov/nuccore/CP000058.1?report=graph&amp;tracks=[key:gene_model_track,Options:GeneOnly]&amp;mk=4298957:4298976|offset_36|444444,4298914:4298933|offset_79|444444,4298849:4298868|offset_144|00cc00,4298821:4298840|offset_172|444444&amp;v=4298756:4299040&amp;c=444444", "offset 144")</f>
        <v>offset 144</v>
      </c>
    </row>
    <row r="13814" customFormat="false" ht="12.8" hidden="false" customHeight="false" outlineLevel="0" collapsed="false">
      <c r="A13814" s="0" t="s">
        <v>12</v>
      </c>
      <c r="B13814" s="0" t="n">
        <v>4298820</v>
      </c>
      <c r="C13814" s="0" t="n">
        <v>4298840</v>
      </c>
      <c r="D13814" s="0" t="s">
        <v>45871</v>
      </c>
      <c r="E13814" s="0" t="s">
        <v>75</v>
      </c>
      <c r="F13814" s="0" t="s">
        <v>90</v>
      </c>
      <c r="G13814" s="0" t="s">
        <v>16</v>
      </c>
      <c r="H13814" s="0" t="n">
        <v>172</v>
      </c>
      <c r="I13814" s="0" t="s">
        <v>45881</v>
      </c>
      <c r="J13814" s="0" t="s">
        <v>45882</v>
      </c>
      <c r="K13814" s="0" t="s">
        <v>45883</v>
      </c>
      <c r="L13814" s="0" t="str">
        <f aca="false">HYPERLINK("https://www.ncbi.nlm.nih.gov/nuccore/CP000058.1?report=graph&amp;tracks=[key:gene_model_track,Options:GeneOnly]&amp;mk=4298957:4298976|offset_36|444444,4298914:4298933|offset_79|444444,4298849:4298868|offset_144|444444,4298821:4298840|offset_172|00cc00&amp;v=4298756:4299040&amp;c=444444", "offset 172")</f>
        <v>offset 172</v>
      </c>
    </row>
    <row r="13815" customFormat="false" ht="12.8" hidden="false" customHeight="false" outlineLevel="0" collapsed="false">
      <c r="A13815" s="0" t="s">
        <v>12</v>
      </c>
      <c r="B13815" s="0" t="n">
        <v>4300561</v>
      </c>
      <c r="C13815" s="0" t="n">
        <v>4300581</v>
      </c>
      <c r="D13815" s="0" t="s">
        <v>45884</v>
      </c>
      <c r="E13815" s="0" t="s">
        <v>75</v>
      </c>
      <c r="F13815" s="0" t="s">
        <v>15</v>
      </c>
      <c r="G13815" s="0" t="s">
        <v>20</v>
      </c>
      <c r="H13815" s="0" t="n">
        <v>61</v>
      </c>
      <c r="I13815" s="0" t="s">
        <v>45885</v>
      </c>
      <c r="J13815" s="0" t="s">
        <v>45886</v>
      </c>
      <c r="K13815" s="0" t="s">
        <v>45887</v>
      </c>
      <c r="L13815" s="0" t="str">
        <f aca="false">HYPERLINK("https://www.ncbi.nlm.nih.gov/nuccore/CP000058.1?report=graph&amp;tracks=[key:gene_model_track,Options:GeneOnly]&amp;mk=4300562:4300581|offset_61|00cc00,4300594:4300613|offset_93|444444,4300630:4300649|offset_129|444444,4300657:4300676|offset_156|444444&amp;v=4300361:4300876&amp;c=444444", "offset 61")</f>
        <v>offset 61</v>
      </c>
    </row>
    <row r="13816" customFormat="false" ht="12.8" hidden="false" customHeight="false" outlineLevel="0" collapsed="false">
      <c r="A13816" s="0" t="s">
        <v>12</v>
      </c>
      <c r="B13816" s="0" t="n">
        <v>4300593</v>
      </c>
      <c r="C13816" s="0" t="n">
        <v>4300613</v>
      </c>
      <c r="D13816" s="0" t="s">
        <v>45884</v>
      </c>
      <c r="E13816" s="0" t="s">
        <v>75</v>
      </c>
      <c r="F13816" s="0" t="s">
        <v>15</v>
      </c>
      <c r="G13816" s="0" t="s">
        <v>20</v>
      </c>
      <c r="H13816" s="0" t="n">
        <v>93</v>
      </c>
      <c r="I13816" s="0" t="s">
        <v>45888</v>
      </c>
      <c r="J13816" s="0" t="s">
        <v>45889</v>
      </c>
      <c r="K13816" s="0" t="s">
        <v>45890</v>
      </c>
      <c r="L13816" s="0" t="str">
        <f aca="false">HYPERLINK("https://www.ncbi.nlm.nih.gov/nuccore/CP000058.1?report=graph&amp;tracks=[key:gene_model_track,Options:GeneOnly]&amp;mk=4300562:4300581|offset_61|444444,4300594:4300613|offset_93|00cc00,4300630:4300649|offset_129|444444,4300657:4300676|offset_156|444444&amp;v=4300361:4300876&amp;c=444444", "offset 93")</f>
        <v>offset 93</v>
      </c>
    </row>
    <row r="13817" customFormat="false" ht="12.8" hidden="false" customHeight="false" outlineLevel="0" collapsed="false">
      <c r="A13817" s="0" t="s">
        <v>12</v>
      </c>
      <c r="B13817" s="0" t="n">
        <v>4300629</v>
      </c>
      <c r="C13817" s="0" t="n">
        <v>4300649</v>
      </c>
      <c r="D13817" s="0" t="s">
        <v>45884</v>
      </c>
      <c r="E13817" s="0" t="s">
        <v>75</v>
      </c>
      <c r="F13817" s="0" t="s">
        <v>15</v>
      </c>
      <c r="G13817" s="0" t="s">
        <v>20</v>
      </c>
      <c r="H13817" s="0" t="n">
        <v>129</v>
      </c>
      <c r="I13817" s="0" t="s">
        <v>45891</v>
      </c>
      <c r="J13817" s="0" t="s">
        <v>45892</v>
      </c>
      <c r="K13817" s="0" t="s">
        <v>45893</v>
      </c>
      <c r="L13817" s="0" t="str">
        <f aca="false">HYPERLINK("https://www.ncbi.nlm.nih.gov/nuccore/CP000058.1?report=graph&amp;tracks=[key:gene_model_track,Options:GeneOnly]&amp;mk=4300562:4300581|offset_61|444444,4300594:4300613|offset_93|444444,4300630:4300649|offset_129|00cc00,4300657:4300676|offset_156|444444&amp;v=4300361:4300876&amp;c=444444", "offset 129")</f>
        <v>offset 129</v>
      </c>
    </row>
    <row r="13818" customFormat="false" ht="12.8" hidden="false" customHeight="false" outlineLevel="0" collapsed="false">
      <c r="A13818" s="0" t="s">
        <v>12</v>
      </c>
      <c r="B13818" s="0" t="n">
        <v>4300656</v>
      </c>
      <c r="C13818" s="0" t="n">
        <v>4300676</v>
      </c>
      <c r="D13818" s="0" t="s">
        <v>45884</v>
      </c>
      <c r="E13818" s="0" t="s">
        <v>75</v>
      </c>
      <c r="F13818" s="0" t="s">
        <v>15</v>
      </c>
      <c r="G13818" s="0" t="s">
        <v>32</v>
      </c>
      <c r="H13818" s="0" t="n">
        <v>156</v>
      </c>
      <c r="I13818" s="0" t="s">
        <v>45894</v>
      </c>
      <c r="J13818" s="0" t="s">
        <v>45895</v>
      </c>
      <c r="K13818" s="0" t="s">
        <v>45896</v>
      </c>
      <c r="L13818" s="0" t="str">
        <f aca="false">HYPERLINK("https://www.ncbi.nlm.nih.gov/nuccore/CP000058.1?report=graph&amp;tracks=[key:gene_model_track,Options:GeneOnly]&amp;mk=4300562:4300581|offset_61|444444,4300594:4300613|offset_93|444444,4300630:4300649|offset_129|444444,4300657:4300676|offset_156|00cc00&amp;v=4300361:4300876&amp;c=444444", "offset 156")</f>
        <v>offset 156</v>
      </c>
    </row>
    <row r="13819" customFormat="false" ht="12.8" hidden="false" customHeight="false" outlineLevel="0" collapsed="false">
      <c r="A13819" s="0" t="s">
        <v>12</v>
      </c>
      <c r="B13819" s="0" t="n">
        <v>4301193</v>
      </c>
      <c r="C13819" s="0" t="n">
        <v>4301213</v>
      </c>
      <c r="D13819" s="0" t="s">
        <v>45897</v>
      </c>
      <c r="E13819" s="0" t="s">
        <v>75</v>
      </c>
      <c r="F13819" s="0" t="s">
        <v>15</v>
      </c>
      <c r="G13819" s="0" t="s">
        <v>32</v>
      </c>
      <c r="H13819" s="0" t="n">
        <v>1</v>
      </c>
      <c r="I13819" s="0" t="s">
        <v>45898</v>
      </c>
      <c r="J13819" s="0" t="s">
        <v>45899</v>
      </c>
      <c r="K13819" s="0" t="s">
        <v>45900</v>
      </c>
      <c r="L13819" s="0" t="str">
        <f aca="false">HYPERLINK("https://www.ncbi.nlm.nih.gov/nuccore/CP000058.1?report=graph&amp;tracks=[key:gene_model_track,Options:GeneOnly]&amp;mk=4301194:4301213|offset_1|00cc00,4301216:4301235|offset_23|444444,4301261:4301280|offset_68|444444,4301290:4301309|offset_97|444444&amp;v=4300993:4301509&amp;c=444444", "offset 1")</f>
        <v>offset 1</v>
      </c>
    </row>
    <row r="13820" customFormat="false" ht="12.8" hidden="false" customHeight="false" outlineLevel="0" collapsed="false">
      <c r="A13820" s="0" t="s">
        <v>12</v>
      </c>
      <c r="B13820" s="0" t="n">
        <v>4301215</v>
      </c>
      <c r="C13820" s="0" t="n">
        <v>4301235</v>
      </c>
      <c r="D13820" s="0" t="s">
        <v>45897</v>
      </c>
      <c r="E13820" s="0" t="s">
        <v>75</v>
      </c>
      <c r="F13820" s="0" t="s">
        <v>15</v>
      </c>
      <c r="G13820" s="0" t="s">
        <v>20</v>
      </c>
      <c r="H13820" s="0" t="n">
        <v>23</v>
      </c>
      <c r="I13820" s="0" t="s">
        <v>45901</v>
      </c>
      <c r="J13820" s="0" t="s">
        <v>45902</v>
      </c>
      <c r="K13820" s="0" t="s">
        <v>45903</v>
      </c>
      <c r="L13820" s="0" t="str">
        <f aca="false">HYPERLINK("https://www.ncbi.nlm.nih.gov/nuccore/CP000058.1?report=graph&amp;tracks=[key:gene_model_track,Options:GeneOnly]&amp;mk=4301194:4301213|offset_1|444444,4301216:4301235|offset_23|00cc00,4301261:4301280|offset_68|444444,4301290:4301309|offset_97|444444&amp;v=4300993:4301509&amp;c=444444", "offset 23")</f>
        <v>offset 23</v>
      </c>
    </row>
    <row r="13821" customFormat="false" ht="12.8" hidden="false" customHeight="false" outlineLevel="0" collapsed="false">
      <c r="A13821" s="0" t="s">
        <v>12</v>
      </c>
      <c r="B13821" s="0" t="n">
        <v>4301260</v>
      </c>
      <c r="C13821" s="0" t="n">
        <v>4301280</v>
      </c>
      <c r="D13821" s="0" t="s">
        <v>45897</v>
      </c>
      <c r="E13821" s="0" t="s">
        <v>75</v>
      </c>
      <c r="F13821" s="0" t="s">
        <v>15</v>
      </c>
      <c r="G13821" s="0" t="s">
        <v>36</v>
      </c>
      <c r="H13821" s="0" t="n">
        <v>68</v>
      </c>
      <c r="I13821" s="0" t="s">
        <v>45904</v>
      </c>
      <c r="J13821" s="0" t="s">
        <v>45905</v>
      </c>
      <c r="K13821" s="0" t="s">
        <v>45906</v>
      </c>
      <c r="L13821" s="0" t="str">
        <f aca="false">HYPERLINK("https://www.ncbi.nlm.nih.gov/nuccore/CP000058.1?report=graph&amp;tracks=[key:gene_model_track,Options:GeneOnly]&amp;mk=4301194:4301213|offset_1|444444,4301216:4301235|offset_23|444444,4301261:4301280|offset_68|00cc00,4301290:4301309|offset_97|444444&amp;v=4300993:4301509&amp;c=444444", "offset 68")</f>
        <v>offset 68</v>
      </c>
    </row>
    <row r="13822" customFormat="false" ht="12.8" hidden="false" customHeight="false" outlineLevel="0" collapsed="false">
      <c r="A13822" s="0" t="s">
        <v>12</v>
      </c>
      <c r="B13822" s="0" t="n">
        <v>4301289</v>
      </c>
      <c r="C13822" s="0" t="n">
        <v>4301309</v>
      </c>
      <c r="D13822" s="0" t="s">
        <v>45897</v>
      </c>
      <c r="E13822" s="0" t="s">
        <v>75</v>
      </c>
      <c r="F13822" s="0" t="s">
        <v>15</v>
      </c>
      <c r="G13822" s="0" t="s">
        <v>20</v>
      </c>
      <c r="H13822" s="0" t="n">
        <v>97</v>
      </c>
      <c r="I13822" s="0" t="s">
        <v>45907</v>
      </c>
      <c r="J13822" s="0" t="s">
        <v>45908</v>
      </c>
      <c r="K13822" s="0" t="s">
        <v>45909</v>
      </c>
      <c r="L13822" s="0" t="str">
        <f aca="false">HYPERLINK("https://www.ncbi.nlm.nih.gov/nuccore/CP000058.1?report=graph&amp;tracks=[key:gene_model_track,Options:GeneOnly]&amp;mk=4301194:4301213|offset_1|444444,4301216:4301235|offset_23|444444,4301261:4301280|offset_68|444444,4301290:4301309|offset_97|00cc00&amp;v=4300993:4301509&amp;c=444444", "offset 97")</f>
        <v>offset 97</v>
      </c>
    </row>
    <row r="13823" customFormat="false" ht="12.8" hidden="false" customHeight="false" outlineLevel="0" collapsed="false">
      <c r="A13823" s="0" t="s">
        <v>12</v>
      </c>
      <c r="B13823" s="0" t="n">
        <v>4302058</v>
      </c>
      <c r="C13823" s="0" t="n">
        <v>4302078</v>
      </c>
      <c r="D13823" s="0" t="s">
        <v>45910</v>
      </c>
      <c r="E13823" s="0" t="s">
        <v>75</v>
      </c>
      <c r="F13823" s="0" t="s">
        <v>15</v>
      </c>
      <c r="G13823" s="0" t="s">
        <v>20</v>
      </c>
      <c r="H13823" s="0" t="n">
        <v>0</v>
      </c>
      <c r="I13823" s="0" t="s">
        <v>45911</v>
      </c>
      <c r="J13823" s="0" t="s">
        <v>45912</v>
      </c>
      <c r="K13823" s="0" t="s">
        <v>45913</v>
      </c>
      <c r="L13823" s="0" t="str">
        <f aca="false">HYPERLINK("https://www.ncbi.nlm.nih.gov/nuccore/CP000058.1?report=graph&amp;tracks=[key:gene_model_track,Options:GeneOnly]&amp;mk=4302059:4302078|offset_0|00cc00,4302093:4302112|offset_34|444444,4302129:4302148|offset_70|444444,4302153:4302172|offset_94|444444&amp;v=4301858:4302372&amp;c=444444", "offset 0")</f>
        <v>offset 0</v>
      </c>
    </row>
    <row r="13824" customFormat="false" ht="12.8" hidden="false" customHeight="false" outlineLevel="0" collapsed="false">
      <c r="A13824" s="0" t="s">
        <v>12</v>
      </c>
      <c r="B13824" s="0" t="n">
        <v>4302092</v>
      </c>
      <c r="C13824" s="0" t="n">
        <v>4302112</v>
      </c>
      <c r="D13824" s="0" t="s">
        <v>45910</v>
      </c>
      <c r="E13824" s="0" t="s">
        <v>75</v>
      </c>
      <c r="F13824" s="0" t="s">
        <v>15</v>
      </c>
      <c r="G13824" s="0" t="s">
        <v>16</v>
      </c>
      <c r="H13824" s="0" t="n">
        <v>34</v>
      </c>
      <c r="I13824" s="0" t="s">
        <v>45914</v>
      </c>
      <c r="J13824" s="0" t="s">
        <v>45915</v>
      </c>
      <c r="K13824" s="0" t="s">
        <v>45916</v>
      </c>
      <c r="L13824" s="0" t="str">
        <f aca="false">HYPERLINK("https://www.ncbi.nlm.nih.gov/nuccore/CP000058.1?report=graph&amp;tracks=[key:gene_model_track,Options:GeneOnly]&amp;mk=4302059:4302078|offset_0|444444,4302093:4302112|offset_34|00cc00,4302129:4302148|offset_70|444444,4302153:4302172|offset_94|444444&amp;v=4301858:4302372&amp;c=444444", "offset 34")</f>
        <v>offset 34</v>
      </c>
    </row>
    <row r="13825" customFormat="false" ht="12.8" hidden="false" customHeight="false" outlineLevel="0" collapsed="false">
      <c r="A13825" s="0" t="s">
        <v>12</v>
      </c>
      <c r="B13825" s="0" t="n">
        <v>4302128</v>
      </c>
      <c r="C13825" s="0" t="n">
        <v>4302148</v>
      </c>
      <c r="D13825" s="0" t="s">
        <v>45910</v>
      </c>
      <c r="E13825" s="0" t="s">
        <v>75</v>
      </c>
      <c r="F13825" s="0" t="s">
        <v>15</v>
      </c>
      <c r="G13825" s="0" t="s">
        <v>36</v>
      </c>
      <c r="H13825" s="0" t="n">
        <v>70</v>
      </c>
      <c r="I13825" s="0" t="s">
        <v>45917</v>
      </c>
      <c r="J13825" s="0" t="s">
        <v>45918</v>
      </c>
      <c r="K13825" s="0" t="s">
        <v>45919</v>
      </c>
      <c r="L13825" s="0" t="str">
        <f aca="false">HYPERLINK("https://www.ncbi.nlm.nih.gov/nuccore/CP000058.1?report=graph&amp;tracks=[key:gene_model_track,Options:GeneOnly]&amp;mk=4302059:4302078|offset_0|444444,4302093:4302112|offset_34|444444,4302129:4302148|offset_70|00cc00,4302153:4302172|offset_94|444444&amp;v=4301858:4302372&amp;c=444444", "offset 70")</f>
        <v>offset 70</v>
      </c>
    </row>
    <row r="13826" customFormat="false" ht="12.8" hidden="false" customHeight="false" outlineLevel="0" collapsed="false">
      <c r="A13826" s="0" t="s">
        <v>12</v>
      </c>
      <c r="B13826" s="0" t="n">
        <v>4302152</v>
      </c>
      <c r="C13826" s="0" t="n">
        <v>4302172</v>
      </c>
      <c r="D13826" s="0" t="s">
        <v>45910</v>
      </c>
      <c r="E13826" s="0" t="s">
        <v>75</v>
      </c>
      <c r="F13826" s="0" t="s">
        <v>15</v>
      </c>
      <c r="G13826" s="0" t="s">
        <v>16</v>
      </c>
      <c r="H13826" s="0" t="n">
        <v>94</v>
      </c>
      <c r="I13826" s="0" t="s">
        <v>45920</v>
      </c>
      <c r="J13826" s="0" t="s">
        <v>45921</v>
      </c>
      <c r="K13826" s="0" t="s">
        <v>45922</v>
      </c>
      <c r="L13826" s="0" t="str">
        <f aca="false">HYPERLINK("https://www.ncbi.nlm.nih.gov/nuccore/CP000058.1?report=graph&amp;tracks=[key:gene_model_track,Options:GeneOnly]&amp;mk=4302059:4302078|offset_0|444444,4302093:4302112|offset_34|444444,4302129:4302148|offset_70|444444,4302153:4302172|offset_94|00cc00&amp;v=4301858:4302372&amp;c=444444", "offset 94")</f>
        <v>offset 94</v>
      </c>
    </row>
    <row r="13827" customFormat="false" ht="12.8" hidden="false" customHeight="false" outlineLevel="0" collapsed="false">
      <c r="A13827" s="0" t="s">
        <v>12</v>
      </c>
      <c r="B13827" s="0" t="n">
        <v>4303761</v>
      </c>
      <c r="C13827" s="0" t="n">
        <v>4303781</v>
      </c>
      <c r="D13827" s="0" t="s">
        <v>45923</v>
      </c>
      <c r="E13827" s="0" t="s">
        <v>75</v>
      </c>
      <c r="F13827" s="0" t="s">
        <v>15</v>
      </c>
      <c r="G13827" s="0" t="s">
        <v>36</v>
      </c>
      <c r="H13827" s="0" t="n">
        <v>13</v>
      </c>
      <c r="I13827" s="0" t="s">
        <v>45924</v>
      </c>
      <c r="J13827" s="0" t="s">
        <v>45925</v>
      </c>
      <c r="K13827" s="0" t="s">
        <v>45926</v>
      </c>
      <c r="L13827" s="0" t="str">
        <f aca="false">HYPERLINK("https://www.ncbi.nlm.nih.gov/nuccore/CP000058.1?report=graph&amp;tracks=[key:gene_model_track,Options:GeneOnly]&amp;mk=4303762:4303781|offset_13|00cc00,4303783:4303802|offset_34|444444,4303804:4303823|offset_55|444444,4303831:4303850|offset_82|444444&amp;v=4303561:4304050&amp;c=444444", "offset 13")</f>
        <v>offset 13</v>
      </c>
    </row>
    <row r="13828" customFormat="false" ht="12.8" hidden="false" customHeight="false" outlineLevel="0" collapsed="false">
      <c r="A13828" s="0" t="s">
        <v>12</v>
      </c>
      <c r="B13828" s="0" t="n">
        <v>4303782</v>
      </c>
      <c r="C13828" s="0" t="n">
        <v>4303802</v>
      </c>
      <c r="D13828" s="0" t="s">
        <v>45923</v>
      </c>
      <c r="E13828" s="0" t="s">
        <v>75</v>
      </c>
      <c r="F13828" s="0" t="s">
        <v>15</v>
      </c>
      <c r="G13828" s="0" t="s">
        <v>16</v>
      </c>
      <c r="H13828" s="0" t="n">
        <v>34</v>
      </c>
      <c r="I13828" s="0" t="s">
        <v>45927</v>
      </c>
      <c r="J13828" s="0" t="s">
        <v>45928</v>
      </c>
      <c r="K13828" s="0" t="s">
        <v>45929</v>
      </c>
      <c r="L13828" s="0" t="str">
        <f aca="false">HYPERLINK("https://www.ncbi.nlm.nih.gov/nuccore/CP000058.1?report=graph&amp;tracks=[key:gene_model_track,Options:GeneOnly]&amp;mk=4303762:4303781|offset_13|444444,4303783:4303802|offset_34|00cc00,4303804:4303823|offset_55|444444,4303831:4303850|offset_82|444444&amp;v=4303561:4304050&amp;c=444444", "offset 34")</f>
        <v>offset 34</v>
      </c>
    </row>
    <row r="13829" customFormat="false" ht="12.8" hidden="false" customHeight="false" outlineLevel="0" collapsed="false">
      <c r="A13829" s="0" t="s">
        <v>12</v>
      </c>
      <c r="B13829" s="0" t="n">
        <v>4303803</v>
      </c>
      <c r="C13829" s="0" t="n">
        <v>4303823</v>
      </c>
      <c r="D13829" s="0" t="s">
        <v>45923</v>
      </c>
      <c r="E13829" s="0" t="s">
        <v>75</v>
      </c>
      <c r="F13829" s="0" t="s">
        <v>15</v>
      </c>
      <c r="G13829" s="0" t="s">
        <v>36</v>
      </c>
      <c r="H13829" s="0" t="n">
        <v>55</v>
      </c>
      <c r="I13829" s="0" t="s">
        <v>45930</v>
      </c>
      <c r="J13829" s="0" t="s">
        <v>45931</v>
      </c>
      <c r="K13829" s="0" t="s">
        <v>45932</v>
      </c>
      <c r="L13829" s="0" t="str">
        <f aca="false">HYPERLINK("https://www.ncbi.nlm.nih.gov/nuccore/CP000058.1?report=graph&amp;tracks=[key:gene_model_track,Options:GeneOnly]&amp;mk=4303762:4303781|offset_13|444444,4303783:4303802|offset_34|444444,4303804:4303823|offset_55|00cc00,4303831:4303850|offset_82|444444&amp;v=4303561:4304050&amp;c=444444", "offset 55")</f>
        <v>offset 55</v>
      </c>
    </row>
    <row r="13830" customFormat="false" ht="12.8" hidden="false" customHeight="false" outlineLevel="0" collapsed="false">
      <c r="A13830" s="0" t="s">
        <v>12</v>
      </c>
      <c r="B13830" s="0" t="n">
        <v>4303830</v>
      </c>
      <c r="C13830" s="0" t="n">
        <v>4303850</v>
      </c>
      <c r="D13830" s="0" t="s">
        <v>45923</v>
      </c>
      <c r="E13830" s="0" t="s">
        <v>75</v>
      </c>
      <c r="F13830" s="0" t="s">
        <v>15</v>
      </c>
      <c r="G13830" s="0" t="s">
        <v>16</v>
      </c>
      <c r="H13830" s="0" t="n">
        <v>82</v>
      </c>
      <c r="I13830" s="0" t="s">
        <v>45933</v>
      </c>
      <c r="J13830" s="0" t="s">
        <v>45934</v>
      </c>
      <c r="K13830" s="0" t="s">
        <v>45935</v>
      </c>
      <c r="L13830" s="0" t="str">
        <f aca="false">HYPERLINK("https://www.ncbi.nlm.nih.gov/nuccore/CP000058.1?report=graph&amp;tracks=[key:gene_model_track,Options:GeneOnly]&amp;mk=4303762:4303781|offset_13|444444,4303783:4303802|offset_34|444444,4303804:4303823|offset_55|444444,4303831:4303850|offset_82|00cc00&amp;v=4303561:4304050&amp;c=444444", "offset 82")</f>
        <v>offset 82</v>
      </c>
    </row>
    <row r="13831" customFormat="false" ht="12.8" hidden="false" customHeight="false" outlineLevel="0" collapsed="false">
      <c r="A13831" s="0" t="s">
        <v>12</v>
      </c>
      <c r="B13831" s="0" t="n">
        <v>4304230</v>
      </c>
      <c r="C13831" s="0" t="n">
        <v>4304250</v>
      </c>
      <c r="D13831" s="0" t="s">
        <v>45936</v>
      </c>
      <c r="E13831" s="0" t="s">
        <v>75</v>
      </c>
      <c r="F13831" s="0" t="s">
        <v>15</v>
      </c>
      <c r="G13831" s="0" t="s">
        <v>20</v>
      </c>
      <c r="H13831" s="0" t="n">
        <v>32</v>
      </c>
      <c r="I13831" s="0" t="s">
        <v>45937</v>
      </c>
      <c r="J13831" s="0" t="s">
        <v>45938</v>
      </c>
      <c r="K13831" s="0" t="s">
        <v>45939</v>
      </c>
      <c r="L13831" s="0" t="str">
        <f aca="false">HYPERLINK("https://www.ncbi.nlm.nih.gov/nuccore/CP000058.1?report=graph&amp;tracks=[key:gene_model_track,Options:GeneOnly]&amp;mk=4304231:4304250|offset_32|00cc00,4304264:4304283|offset_65|444444,4304284:4304303|offset_85|444444,4304320:4304339|offset_121|444444&amp;v=4304030:4304539&amp;c=444444", "offset 32")</f>
        <v>offset 32</v>
      </c>
    </row>
    <row r="13832" customFormat="false" ht="12.8" hidden="false" customHeight="false" outlineLevel="0" collapsed="false">
      <c r="A13832" s="0" t="s">
        <v>12</v>
      </c>
      <c r="B13832" s="0" t="n">
        <v>4304263</v>
      </c>
      <c r="C13832" s="0" t="n">
        <v>4304283</v>
      </c>
      <c r="D13832" s="0" t="s">
        <v>45936</v>
      </c>
      <c r="E13832" s="0" t="s">
        <v>75</v>
      </c>
      <c r="F13832" s="0" t="s">
        <v>15</v>
      </c>
      <c r="G13832" s="0" t="s">
        <v>16</v>
      </c>
      <c r="H13832" s="0" t="n">
        <v>65</v>
      </c>
      <c r="I13832" s="0" t="s">
        <v>45940</v>
      </c>
      <c r="J13832" s="0" t="s">
        <v>45941</v>
      </c>
      <c r="K13832" s="0" t="s">
        <v>45942</v>
      </c>
      <c r="L13832" s="0" t="str">
        <f aca="false">HYPERLINK("https://www.ncbi.nlm.nih.gov/nuccore/CP000058.1?report=graph&amp;tracks=[key:gene_model_track,Options:GeneOnly]&amp;mk=4304231:4304250|offset_32|444444,4304264:4304283|offset_65|00cc00,4304284:4304303|offset_85|444444,4304320:4304339|offset_121|444444&amp;v=4304030:4304539&amp;c=444444", "offset 65")</f>
        <v>offset 65</v>
      </c>
    </row>
    <row r="13833" customFormat="false" ht="12.8" hidden="false" customHeight="false" outlineLevel="0" collapsed="false">
      <c r="A13833" s="0" t="s">
        <v>12</v>
      </c>
      <c r="B13833" s="0" t="n">
        <v>4304283</v>
      </c>
      <c r="C13833" s="0" t="n">
        <v>4304303</v>
      </c>
      <c r="D13833" s="0" t="s">
        <v>45936</v>
      </c>
      <c r="E13833" s="0" t="s">
        <v>75</v>
      </c>
      <c r="F13833" s="0" t="s">
        <v>15</v>
      </c>
      <c r="G13833" s="0" t="s">
        <v>16</v>
      </c>
      <c r="H13833" s="0" t="n">
        <v>85</v>
      </c>
      <c r="I13833" s="0" t="s">
        <v>45943</v>
      </c>
      <c r="J13833" s="0" t="s">
        <v>45944</v>
      </c>
      <c r="K13833" s="0" t="s">
        <v>45945</v>
      </c>
      <c r="L13833" s="0" t="str">
        <f aca="false">HYPERLINK("https://www.ncbi.nlm.nih.gov/nuccore/CP000058.1?report=graph&amp;tracks=[key:gene_model_track,Options:GeneOnly]&amp;mk=4304231:4304250|offset_32|444444,4304264:4304283|offset_65|444444,4304284:4304303|offset_85|00cc00,4304320:4304339|offset_121|444444&amp;v=4304030:4304539&amp;c=444444", "offset 85")</f>
        <v>offset 85</v>
      </c>
    </row>
    <row r="13834" customFormat="false" ht="12.8" hidden="false" customHeight="false" outlineLevel="0" collapsed="false">
      <c r="A13834" s="0" t="s">
        <v>12</v>
      </c>
      <c r="B13834" s="0" t="n">
        <v>4304319</v>
      </c>
      <c r="C13834" s="0" t="n">
        <v>4304339</v>
      </c>
      <c r="D13834" s="0" t="s">
        <v>45936</v>
      </c>
      <c r="E13834" s="0" t="s">
        <v>75</v>
      </c>
      <c r="F13834" s="0" t="s">
        <v>15</v>
      </c>
      <c r="G13834" s="0" t="s">
        <v>32</v>
      </c>
      <c r="H13834" s="0" t="n">
        <v>121</v>
      </c>
      <c r="I13834" s="0" t="s">
        <v>45946</v>
      </c>
      <c r="J13834" s="0" t="s">
        <v>45947</v>
      </c>
      <c r="K13834" s="0" t="s">
        <v>45948</v>
      </c>
      <c r="L13834" s="0" t="str">
        <f aca="false">HYPERLINK("https://www.ncbi.nlm.nih.gov/nuccore/CP000058.1?report=graph&amp;tracks=[key:gene_model_track,Options:GeneOnly]&amp;mk=4304231:4304250|offset_32|444444,4304264:4304283|offset_65|444444,4304284:4304303|offset_85|444444,4304320:4304339|offset_121|00cc00&amp;v=4304030:4304539&amp;c=444444", "offset 121")</f>
        <v>offset 121</v>
      </c>
    </row>
    <row r="13835" customFormat="false" ht="12.8" hidden="false" customHeight="false" outlineLevel="0" collapsed="false">
      <c r="A13835" s="0" t="s">
        <v>12</v>
      </c>
      <c r="B13835" s="0" t="n">
        <v>4304777</v>
      </c>
      <c r="C13835" s="0" t="n">
        <v>4304797</v>
      </c>
      <c r="D13835" s="0" t="s">
        <v>45949</v>
      </c>
      <c r="E13835" s="0" t="s">
        <v>45950</v>
      </c>
      <c r="F13835" s="0" t="s">
        <v>15</v>
      </c>
      <c r="G13835" s="0" t="s">
        <v>36</v>
      </c>
      <c r="H13835" s="0" t="n">
        <v>53</v>
      </c>
      <c r="I13835" s="0" t="s">
        <v>45951</v>
      </c>
      <c r="J13835" s="0" t="s">
        <v>45952</v>
      </c>
      <c r="K13835" s="0" t="s">
        <v>45953</v>
      </c>
      <c r="L13835" s="0" t="str">
        <f aca="false">HYPERLINK("https://www.ncbi.nlm.nih.gov/nuccore/CP000058.1?report=graph&amp;tracks=[key:gene_model_track,Options:GeneOnly]&amp;mk=4304778:4304797|offset_53|00cc00,4304812:4304831|offset_87|444444,4304832:4304851|offset_107|444444,4304905:4304924|offset_180|444444&amp;v=4304577:4305124&amp;c=444444", "offset 53")</f>
        <v>offset 53</v>
      </c>
    </row>
    <row r="13836" customFormat="false" ht="12.8" hidden="false" customHeight="false" outlineLevel="0" collapsed="false">
      <c r="A13836" s="0" t="s">
        <v>12</v>
      </c>
      <c r="B13836" s="0" t="n">
        <v>4304811</v>
      </c>
      <c r="C13836" s="0" t="n">
        <v>4304831</v>
      </c>
      <c r="D13836" s="0" t="s">
        <v>45949</v>
      </c>
      <c r="E13836" s="0" t="s">
        <v>45950</v>
      </c>
      <c r="F13836" s="0" t="s">
        <v>15</v>
      </c>
      <c r="G13836" s="0" t="s">
        <v>20</v>
      </c>
      <c r="H13836" s="0" t="n">
        <v>87</v>
      </c>
      <c r="I13836" s="0" t="s">
        <v>45954</v>
      </c>
      <c r="J13836" s="0" t="s">
        <v>45955</v>
      </c>
      <c r="K13836" s="0" t="s">
        <v>45956</v>
      </c>
      <c r="L13836" s="0" t="str">
        <f aca="false">HYPERLINK("https://www.ncbi.nlm.nih.gov/nuccore/CP000058.1?report=graph&amp;tracks=[key:gene_model_track,Options:GeneOnly]&amp;mk=4304778:4304797|offset_53|444444,4304812:4304831|offset_87|00cc00,4304832:4304851|offset_107|444444,4304905:4304924|offset_180|444444&amp;v=4304577:4305124&amp;c=444444", "offset 87")</f>
        <v>offset 87</v>
      </c>
    </row>
    <row r="13837" customFormat="false" ht="12.8" hidden="false" customHeight="false" outlineLevel="0" collapsed="false">
      <c r="A13837" s="0" t="s">
        <v>12</v>
      </c>
      <c r="B13837" s="0" t="n">
        <v>4304831</v>
      </c>
      <c r="C13837" s="0" t="n">
        <v>4304851</v>
      </c>
      <c r="D13837" s="0" t="s">
        <v>45949</v>
      </c>
      <c r="E13837" s="0" t="s">
        <v>45950</v>
      </c>
      <c r="F13837" s="0" t="s">
        <v>15</v>
      </c>
      <c r="G13837" s="0" t="s">
        <v>20</v>
      </c>
      <c r="H13837" s="0" t="n">
        <v>107</v>
      </c>
      <c r="I13837" s="0" t="s">
        <v>45957</v>
      </c>
      <c r="J13837" s="0" t="s">
        <v>45958</v>
      </c>
      <c r="K13837" s="0" t="s">
        <v>45959</v>
      </c>
      <c r="L13837" s="0" t="str">
        <f aca="false">HYPERLINK("https://www.ncbi.nlm.nih.gov/nuccore/CP000058.1?report=graph&amp;tracks=[key:gene_model_track,Options:GeneOnly]&amp;mk=4304778:4304797|offset_53|444444,4304812:4304831|offset_87|444444,4304832:4304851|offset_107|00cc00,4304905:4304924|offset_180|444444&amp;v=4304577:4305124&amp;c=444444", "offset 107")</f>
        <v>offset 107</v>
      </c>
    </row>
    <row r="13838" customFormat="false" ht="12.8" hidden="false" customHeight="false" outlineLevel="0" collapsed="false">
      <c r="A13838" s="0" t="s">
        <v>12</v>
      </c>
      <c r="B13838" s="0" t="n">
        <v>4304904</v>
      </c>
      <c r="C13838" s="0" t="n">
        <v>4304924</v>
      </c>
      <c r="D13838" s="0" t="s">
        <v>45949</v>
      </c>
      <c r="E13838" s="0" t="s">
        <v>45950</v>
      </c>
      <c r="F13838" s="0" t="s">
        <v>15</v>
      </c>
      <c r="G13838" s="0" t="s">
        <v>20</v>
      </c>
      <c r="H13838" s="0" t="n">
        <v>180</v>
      </c>
      <c r="I13838" s="0" t="s">
        <v>45960</v>
      </c>
      <c r="J13838" s="0" t="s">
        <v>45961</v>
      </c>
      <c r="K13838" s="0" t="s">
        <v>45962</v>
      </c>
      <c r="L13838" s="0" t="str">
        <f aca="false">HYPERLINK("https://www.ncbi.nlm.nih.gov/nuccore/CP000058.1?report=graph&amp;tracks=[key:gene_model_track,Options:GeneOnly]&amp;mk=4304778:4304797|offset_53|444444,4304812:4304831|offset_87|444444,4304832:4304851|offset_107|444444,4304905:4304924|offset_180|00cc00&amp;v=4304577:4305124&amp;c=444444", "offset 180")</f>
        <v>offset 180</v>
      </c>
    </row>
    <row r="13839" customFormat="false" ht="12.8" hidden="false" customHeight="false" outlineLevel="0" collapsed="false">
      <c r="A13839" s="0" t="s">
        <v>12</v>
      </c>
      <c r="B13839" s="0" t="n">
        <v>4306152</v>
      </c>
      <c r="C13839" s="0" t="n">
        <v>4306172</v>
      </c>
      <c r="D13839" s="0" t="s">
        <v>45963</v>
      </c>
      <c r="E13839" s="0" t="s">
        <v>75</v>
      </c>
      <c r="F13839" s="0" t="s">
        <v>15</v>
      </c>
      <c r="G13839" s="0" t="s">
        <v>32</v>
      </c>
      <c r="H13839" s="0" t="n">
        <v>15</v>
      </c>
      <c r="I13839" s="0" t="s">
        <v>45964</v>
      </c>
      <c r="J13839" s="0" t="s">
        <v>45965</v>
      </c>
      <c r="K13839" s="0" t="s">
        <v>45966</v>
      </c>
      <c r="L13839" s="0" t="str">
        <f aca="false">HYPERLINK("https://www.ncbi.nlm.nih.gov/nuccore/CP000058.1?report=graph&amp;tracks=[key:gene_model_track,Options:GeneOnly]&amp;mk=4306153:4306172|offset_15|00cc00,4306207:4306226|offset_69|444444,4306254:4306273|offset_116|444444,4306278:4306297|offset_140|444444&amp;v=4305952:4306497&amp;c=444444", "offset 15")</f>
        <v>offset 15</v>
      </c>
    </row>
    <row r="13840" customFormat="false" ht="12.8" hidden="false" customHeight="false" outlineLevel="0" collapsed="false">
      <c r="A13840" s="0" t="s">
        <v>12</v>
      </c>
      <c r="B13840" s="0" t="n">
        <v>4306206</v>
      </c>
      <c r="C13840" s="0" t="n">
        <v>4306226</v>
      </c>
      <c r="D13840" s="0" t="s">
        <v>45963</v>
      </c>
      <c r="E13840" s="0" t="s">
        <v>75</v>
      </c>
      <c r="F13840" s="0" t="s">
        <v>15</v>
      </c>
      <c r="G13840" s="0" t="s">
        <v>36</v>
      </c>
      <c r="H13840" s="0" t="n">
        <v>69</v>
      </c>
      <c r="I13840" s="0" t="s">
        <v>45967</v>
      </c>
      <c r="J13840" s="0" t="s">
        <v>45968</v>
      </c>
      <c r="K13840" s="0" t="s">
        <v>45969</v>
      </c>
      <c r="L13840" s="0" t="str">
        <f aca="false">HYPERLINK("https://www.ncbi.nlm.nih.gov/nuccore/CP000058.1?report=graph&amp;tracks=[key:gene_model_track,Options:GeneOnly]&amp;mk=4306153:4306172|offset_15|444444,4306207:4306226|offset_69|00cc00,4306254:4306273|offset_116|444444,4306278:4306297|offset_140|444444&amp;v=4305952:4306497&amp;c=444444", "offset 69")</f>
        <v>offset 69</v>
      </c>
    </row>
    <row r="13841" customFormat="false" ht="12.8" hidden="false" customHeight="false" outlineLevel="0" collapsed="false">
      <c r="A13841" s="0" t="s">
        <v>12</v>
      </c>
      <c r="B13841" s="0" t="n">
        <v>4306253</v>
      </c>
      <c r="C13841" s="0" t="n">
        <v>4306273</v>
      </c>
      <c r="D13841" s="0" t="s">
        <v>45963</v>
      </c>
      <c r="E13841" s="0" t="s">
        <v>75</v>
      </c>
      <c r="F13841" s="0" t="s">
        <v>15</v>
      </c>
      <c r="G13841" s="0" t="s">
        <v>20</v>
      </c>
      <c r="H13841" s="0" t="n">
        <v>116</v>
      </c>
      <c r="I13841" s="0" t="s">
        <v>45970</v>
      </c>
      <c r="J13841" s="0" t="s">
        <v>45971</v>
      </c>
      <c r="K13841" s="0" t="s">
        <v>45972</v>
      </c>
      <c r="L13841" s="0" t="str">
        <f aca="false">HYPERLINK("https://www.ncbi.nlm.nih.gov/nuccore/CP000058.1?report=graph&amp;tracks=[key:gene_model_track,Options:GeneOnly]&amp;mk=4306153:4306172|offset_15|444444,4306207:4306226|offset_69|444444,4306254:4306273|offset_116|00cc00,4306278:4306297|offset_140|444444&amp;v=4305952:4306497&amp;c=444444", "offset 116")</f>
        <v>offset 116</v>
      </c>
    </row>
    <row r="13842" customFormat="false" ht="12.8" hidden="false" customHeight="false" outlineLevel="0" collapsed="false">
      <c r="A13842" s="0" t="s">
        <v>12</v>
      </c>
      <c r="B13842" s="0" t="n">
        <v>4306277</v>
      </c>
      <c r="C13842" s="0" t="n">
        <v>4306297</v>
      </c>
      <c r="D13842" s="0" t="s">
        <v>45963</v>
      </c>
      <c r="E13842" s="0" t="s">
        <v>75</v>
      </c>
      <c r="F13842" s="0" t="s">
        <v>15</v>
      </c>
      <c r="G13842" s="0" t="s">
        <v>36</v>
      </c>
      <c r="H13842" s="0" t="n">
        <v>140</v>
      </c>
      <c r="I13842" s="0" t="s">
        <v>45973</v>
      </c>
      <c r="J13842" s="0" t="s">
        <v>45974</v>
      </c>
      <c r="K13842" s="0" t="s">
        <v>45975</v>
      </c>
      <c r="L13842" s="0" t="str">
        <f aca="false">HYPERLINK("https://www.ncbi.nlm.nih.gov/nuccore/CP000058.1?report=graph&amp;tracks=[key:gene_model_track,Options:GeneOnly]&amp;mk=4306153:4306172|offset_15|444444,4306207:4306226|offset_69|444444,4306254:4306273|offset_116|444444,4306278:4306297|offset_140|00cc00&amp;v=4305952:4306497&amp;c=444444", "offset 140")</f>
        <v>offset 140</v>
      </c>
    </row>
    <row r="13843" customFormat="false" ht="12.8" hidden="false" customHeight="false" outlineLevel="0" collapsed="false">
      <c r="A13843" s="0" t="s">
        <v>12</v>
      </c>
      <c r="B13843" s="0" t="n">
        <v>4307564</v>
      </c>
      <c r="C13843" s="0" t="n">
        <v>4307584</v>
      </c>
      <c r="D13843" s="0" t="s">
        <v>45976</v>
      </c>
      <c r="E13843" s="0" t="s">
        <v>75</v>
      </c>
      <c r="F13843" s="0" t="s">
        <v>15</v>
      </c>
      <c r="G13843" s="0" t="s">
        <v>20</v>
      </c>
      <c r="H13843" s="0" t="n">
        <v>13</v>
      </c>
      <c r="I13843" s="0" t="s">
        <v>45977</v>
      </c>
      <c r="J13843" s="0" t="s">
        <v>45978</v>
      </c>
      <c r="K13843" s="0" t="s">
        <v>45979</v>
      </c>
      <c r="L13843" s="0" t="str">
        <f aca="false">HYPERLINK("https://www.ncbi.nlm.nih.gov/nuccore/CP000058.1?report=graph&amp;tracks=[key:gene_model_track,Options:GeneOnly]&amp;mk=4307565:4307584|offset_13|00cc00,4307588:4307607|offset_36|444444,4307649:4307668|offset_97|444444,4307670:4307689|offset_118|444444&amp;v=4307364:4307889&amp;c=444444", "offset 13")</f>
        <v>offset 13</v>
      </c>
    </row>
    <row r="13844" customFormat="false" ht="12.8" hidden="false" customHeight="false" outlineLevel="0" collapsed="false">
      <c r="A13844" s="0" t="s">
        <v>12</v>
      </c>
      <c r="B13844" s="0" t="n">
        <v>4307587</v>
      </c>
      <c r="C13844" s="0" t="n">
        <v>4307607</v>
      </c>
      <c r="D13844" s="0" t="s">
        <v>45976</v>
      </c>
      <c r="E13844" s="0" t="s">
        <v>75</v>
      </c>
      <c r="F13844" s="0" t="s">
        <v>15</v>
      </c>
      <c r="G13844" s="0" t="s">
        <v>16</v>
      </c>
      <c r="H13844" s="0" t="n">
        <v>36</v>
      </c>
      <c r="I13844" s="0" t="s">
        <v>45980</v>
      </c>
      <c r="J13844" s="0" t="s">
        <v>45981</v>
      </c>
      <c r="K13844" s="0" t="s">
        <v>45982</v>
      </c>
      <c r="L13844" s="0" t="str">
        <f aca="false">HYPERLINK("https://www.ncbi.nlm.nih.gov/nuccore/CP000058.1?report=graph&amp;tracks=[key:gene_model_track,Options:GeneOnly]&amp;mk=4307565:4307584|offset_13|444444,4307588:4307607|offset_36|00cc00,4307649:4307668|offset_97|444444,4307670:4307689|offset_118|444444&amp;v=4307364:4307889&amp;c=444444", "offset 36")</f>
        <v>offset 36</v>
      </c>
    </row>
    <row r="13845" customFormat="false" ht="12.8" hidden="false" customHeight="false" outlineLevel="0" collapsed="false">
      <c r="A13845" s="0" t="s">
        <v>12</v>
      </c>
      <c r="B13845" s="0" t="n">
        <v>4307648</v>
      </c>
      <c r="C13845" s="0" t="n">
        <v>4307668</v>
      </c>
      <c r="D13845" s="0" t="s">
        <v>45976</v>
      </c>
      <c r="E13845" s="0" t="s">
        <v>75</v>
      </c>
      <c r="F13845" s="0" t="s">
        <v>15</v>
      </c>
      <c r="G13845" s="0" t="s">
        <v>36</v>
      </c>
      <c r="H13845" s="0" t="n">
        <v>97</v>
      </c>
      <c r="I13845" s="0" t="s">
        <v>45983</v>
      </c>
      <c r="J13845" s="0" t="s">
        <v>45984</v>
      </c>
      <c r="K13845" s="0" t="s">
        <v>45985</v>
      </c>
      <c r="L13845" s="0" t="str">
        <f aca="false">HYPERLINK("https://www.ncbi.nlm.nih.gov/nuccore/CP000058.1?report=graph&amp;tracks=[key:gene_model_track,Options:GeneOnly]&amp;mk=4307565:4307584|offset_13|444444,4307588:4307607|offset_36|444444,4307649:4307668|offset_97|00cc00,4307670:4307689|offset_118|444444&amp;v=4307364:4307889&amp;c=444444", "offset 97")</f>
        <v>offset 97</v>
      </c>
    </row>
    <row r="13846" customFormat="false" ht="12.8" hidden="false" customHeight="false" outlineLevel="0" collapsed="false">
      <c r="A13846" s="0" t="s">
        <v>12</v>
      </c>
      <c r="B13846" s="0" t="n">
        <v>4307669</v>
      </c>
      <c r="C13846" s="0" t="n">
        <v>4307689</v>
      </c>
      <c r="D13846" s="0" t="s">
        <v>45976</v>
      </c>
      <c r="E13846" s="0" t="s">
        <v>75</v>
      </c>
      <c r="F13846" s="0" t="s">
        <v>15</v>
      </c>
      <c r="G13846" s="0" t="s">
        <v>16</v>
      </c>
      <c r="H13846" s="0" t="n">
        <v>118</v>
      </c>
      <c r="I13846" s="0" t="s">
        <v>45986</v>
      </c>
      <c r="J13846" s="0" t="s">
        <v>45987</v>
      </c>
      <c r="K13846" s="0" t="s">
        <v>45988</v>
      </c>
      <c r="L13846" s="0" t="str">
        <f aca="false">HYPERLINK("https://www.ncbi.nlm.nih.gov/nuccore/CP000058.1?report=graph&amp;tracks=[key:gene_model_track,Options:GeneOnly]&amp;mk=4307565:4307584|offset_13|444444,4307588:4307607|offset_36|444444,4307649:4307668|offset_97|444444,4307670:4307689|offset_118|00cc00&amp;v=4307364:4307889&amp;c=444444", "offset 118")</f>
        <v>offset 118</v>
      </c>
    </row>
    <row r="13847" customFormat="false" ht="12.8" hidden="false" customHeight="false" outlineLevel="0" collapsed="false">
      <c r="A13847" s="0" t="s">
        <v>12</v>
      </c>
      <c r="B13847" s="0" t="n">
        <v>4309503</v>
      </c>
      <c r="C13847" s="0" t="n">
        <v>4309523</v>
      </c>
      <c r="D13847" s="0" t="s">
        <v>45989</v>
      </c>
      <c r="E13847" s="0" t="s">
        <v>75</v>
      </c>
      <c r="F13847" s="0" t="s">
        <v>90</v>
      </c>
      <c r="G13847" s="0" t="s">
        <v>16</v>
      </c>
      <c r="H13847" s="0" t="n">
        <v>22</v>
      </c>
      <c r="I13847" s="0" t="s">
        <v>45990</v>
      </c>
      <c r="J13847" s="0" t="s">
        <v>45991</v>
      </c>
      <c r="K13847" s="0" t="s">
        <v>45992</v>
      </c>
      <c r="L13847" s="0" t="str">
        <f aca="false">HYPERLINK("https://www.ncbi.nlm.nih.gov/nuccore/CP000058.1?report=graph&amp;tracks=[key:gene_model_track,Options:GeneOnly]&amp;mk=4309504:4309523|offset_22|00cc00,4309481:4309500|offset_45|444444,4309443:4309462|offset_83|444444,4309408:4309427|offset_118|444444&amp;v=4309303:4309627&amp;c=444444", "offset 22")</f>
        <v>offset 22</v>
      </c>
    </row>
    <row r="13848" customFormat="false" ht="12.8" hidden="false" customHeight="false" outlineLevel="0" collapsed="false">
      <c r="A13848" s="0" t="s">
        <v>12</v>
      </c>
      <c r="B13848" s="0" t="n">
        <v>4309480</v>
      </c>
      <c r="C13848" s="0" t="n">
        <v>4309500</v>
      </c>
      <c r="D13848" s="0" t="s">
        <v>45989</v>
      </c>
      <c r="E13848" s="0" t="s">
        <v>75</v>
      </c>
      <c r="F13848" s="0" t="s">
        <v>90</v>
      </c>
      <c r="G13848" s="0" t="s">
        <v>20</v>
      </c>
      <c r="H13848" s="0" t="n">
        <v>45</v>
      </c>
      <c r="I13848" s="0" t="s">
        <v>45993</v>
      </c>
      <c r="J13848" s="0" t="s">
        <v>45994</v>
      </c>
      <c r="K13848" s="0" t="s">
        <v>45995</v>
      </c>
      <c r="L13848" s="0" t="str">
        <f aca="false">HYPERLINK("https://www.ncbi.nlm.nih.gov/nuccore/CP000058.1?report=graph&amp;tracks=[key:gene_model_track,Options:GeneOnly]&amp;mk=4309504:4309523|offset_22|444444,4309481:4309500|offset_45|00cc00,4309443:4309462|offset_83|444444,4309408:4309427|offset_118|444444&amp;v=4309303:4309627&amp;c=444444", "offset 45")</f>
        <v>offset 45</v>
      </c>
    </row>
    <row r="13849" customFormat="false" ht="12.8" hidden="false" customHeight="false" outlineLevel="0" collapsed="false">
      <c r="A13849" s="0" t="s">
        <v>12</v>
      </c>
      <c r="B13849" s="0" t="n">
        <v>4309442</v>
      </c>
      <c r="C13849" s="0" t="n">
        <v>4309462</v>
      </c>
      <c r="D13849" s="0" t="s">
        <v>45989</v>
      </c>
      <c r="E13849" s="0" t="s">
        <v>75</v>
      </c>
      <c r="F13849" s="0" t="s">
        <v>90</v>
      </c>
      <c r="G13849" s="0" t="s">
        <v>32</v>
      </c>
      <c r="H13849" s="0" t="n">
        <v>83</v>
      </c>
      <c r="I13849" s="0" t="s">
        <v>45996</v>
      </c>
      <c r="J13849" s="0" t="s">
        <v>45997</v>
      </c>
      <c r="K13849" s="0" t="s">
        <v>45998</v>
      </c>
      <c r="L13849" s="0" t="str">
        <f aca="false">HYPERLINK("https://www.ncbi.nlm.nih.gov/nuccore/CP000058.1?report=graph&amp;tracks=[key:gene_model_track,Options:GeneOnly]&amp;mk=4309504:4309523|offset_22|444444,4309481:4309500|offset_45|444444,4309443:4309462|offset_83|00cc00,4309408:4309427|offset_118|444444&amp;v=4309303:4309627&amp;c=444444", "offset 83")</f>
        <v>offset 83</v>
      </c>
    </row>
    <row r="13850" customFormat="false" ht="12.8" hidden="false" customHeight="false" outlineLevel="0" collapsed="false">
      <c r="A13850" s="0" t="s">
        <v>12</v>
      </c>
      <c r="B13850" s="0" t="n">
        <v>4309407</v>
      </c>
      <c r="C13850" s="0" t="n">
        <v>4309427</v>
      </c>
      <c r="D13850" s="0" t="s">
        <v>45989</v>
      </c>
      <c r="E13850" s="0" t="s">
        <v>75</v>
      </c>
      <c r="F13850" s="0" t="s">
        <v>90</v>
      </c>
      <c r="G13850" s="0" t="s">
        <v>20</v>
      </c>
      <c r="H13850" s="0" t="n">
        <v>118</v>
      </c>
      <c r="I13850" s="0" t="s">
        <v>45999</v>
      </c>
      <c r="J13850" s="0" t="s">
        <v>46000</v>
      </c>
      <c r="K13850" s="0" t="s">
        <v>46001</v>
      </c>
      <c r="L13850" s="0" t="str">
        <f aca="false">HYPERLINK("https://www.ncbi.nlm.nih.gov/nuccore/CP000058.1?report=graph&amp;tracks=[key:gene_model_track,Options:GeneOnly]&amp;mk=4309504:4309523|offset_22|444444,4309481:4309500|offset_45|444444,4309443:4309462|offset_83|444444,4309408:4309427|offset_118|00cc00&amp;v=4309303:4309627&amp;c=444444", "offset 118")</f>
        <v>offset 118</v>
      </c>
    </row>
    <row r="13851" customFormat="false" ht="12.8" hidden="false" customHeight="false" outlineLevel="0" collapsed="false">
      <c r="A13851" s="0" t="s">
        <v>12</v>
      </c>
      <c r="B13851" s="0" t="n">
        <v>4310092</v>
      </c>
      <c r="C13851" s="0" t="n">
        <v>4310112</v>
      </c>
      <c r="D13851" s="0" t="s">
        <v>46002</v>
      </c>
      <c r="E13851" s="0" t="s">
        <v>75</v>
      </c>
      <c r="F13851" s="0" t="s">
        <v>90</v>
      </c>
      <c r="G13851" s="0" t="s">
        <v>20</v>
      </c>
      <c r="H13851" s="0" t="n">
        <v>22</v>
      </c>
      <c r="I13851" s="0" t="s">
        <v>46003</v>
      </c>
      <c r="J13851" s="0" t="s">
        <v>46004</v>
      </c>
      <c r="K13851" s="0" t="s">
        <v>46005</v>
      </c>
      <c r="L13851" s="0" t="str">
        <f aca="false">HYPERLINK("https://www.ncbi.nlm.nih.gov/nuccore/CP000058.1?report=graph&amp;tracks=[key:gene_model_track,Options:GeneOnly]&amp;mk=4310093:4310112|offset_22|00cc00,4310072:4310091|offset_43|444444,4309982:4310001|offset_133|444444,4309913:4309932|offset_202|444444&amp;v=4309892:4310132&amp;c=444444", "offset 22")</f>
        <v>offset 22</v>
      </c>
    </row>
    <row r="13852" customFormat="false" ht="12.8" hidden="false" customHeight="false" outlineLevel="0" collapsed="false">
      <c r="A13852" s="0" t="s">
        <v>12</v>
      </c>
      <c r="B13852" s="0" t="n">
        <v>4310071</v>
      </c>
      <c r="C13852" s="0" t="n">
        <v>4310091</v>
      </c>
      <c r="D13852" s="0" t="s">
        <v>46002</v>
      </c>
      <c r="E13852" s="0" t="s">
        <v>75</v>
      </c>
      <c r="F13852" s="0" t="s">
        <v>90</v>
      </c>
      <c r="G13852" s="0" t="s">
        <v>36</v>
      </c>
      <c r="H13852" s="0" t="n">
        <v>43</v>
      </c>
      <c r="I13852" s="0" t="s">
        <v>46006</v>
      </c>
      <c r="J13852" s="0" t="s">
        <v>46007</v>
      </c>
      <c r="K13852" s="0" t="s">
        <v>46008</v>
      </c>
      <c r="L13852" s="0" t="str">
        <f aca="false">HYPERLINK("https://www.ncbi.nlm.nih.gov/nuccore/CP000058.1?report=graph&amp;tracks=[key:gene_model_track,Options:GeneOnly]&amp;mk=4310093:4310112|offset_22|444444,4310072:4310091|offset_43|00cc00,4309982:4310001|offset_133|444444,4309913:4309932|offset_202|444444&amp;v=4309892:4310132&amp;c=444444", "offset 43")</f>
        <v>offset 43</v>
      </c>
    </row>
    <row r="13853" customFormat="false" ht="12.8" hidden="false" customHeight="false" outlineLevel="0" collapsed="false">
      <c r="A13853" s="0" t="s">
        <v>12</v>
      </c>
      <c r="B13853" s="0" t="n">
        <v>4309981</v>
      </c>
      <c r="C13853" s="0" t="n">
        <v>4310001</v>
      </c>
      <c r="D13853" s="0" t="s">
        <v>46002</v>
      </c>
      <c r="E13853" s="0" t="s">
        <v>75</v>
      </c>
      <c r="F13853" s="0" t="s">
        <v>90</v>
      </c>
      <c r="G13853" s="0" t="s">
        <v>32</v>
      </c>
      <c r="H13853" s="0" t="n">
        <v>133</v>
      </c>
      <c r="I13853" s="0" t="s">
        <v>46009</v>
      </c>
      <c r="J13853" s="0" t="s">
        <v>46010</v>
      </c>
      <c r="K13853" s="0" t="s">
        <v>46011</v>
      </c>
      <c r="L13853" s="0" t="str">
        <f aca="false">HYPERLINK("https://www.ncbi.nlm.nih.gov/nuccore/CP000058.1?report=graph&amp;tracks=[key:gene_model_track,Options:GeneOnly]&amp;mk=4310093:4310112|offset_22|444444,4310072:4310091|offset_43|444444,4309982:4310001|offset_133|00cc00,4309913:4309932|offset_202|444444&amp;v=4309892:4310132&amp;c=444444", "offset 133")</f>
        <v>offset 133</v>
      </c>
    </row>
    <row r="13854" customFormat="false" ht="12.8" hidden="false" customHeight="false" outlineLevel="0" collapsed="false">
      <c r="A13854" s="0" t="s">
        <v>12</v>
      </c>
      <c r="B13854" s="0" t="n">
        <v>4309912</v>
      </c>
      <c r="C13854" s="0" t="n">
        <v>4309932</v>
      </c>
      <c r="D13854" s="0" t="s">
        <v>46002</v>
      </c>
      <c r="E13854" s="0" t="s">
        <v>75</v>
      </c>
      <c r="F13854" s="0" t="s">
        <v>90</v>
      </c>
      <c r="G13854" s="0" t="s">
        <v>32</v>
      </c>
      <c r="H13854" s="0" t="n">
        <v>202</v>
      </c>
      <c r="I13854" s="0" t="s">
        <v>46012</v>
      </c>
      <c r="J13854" s="0" t="s">
        <v>46013</v>
      </c>
      <c r="K13854" s="0" t="s">
        <v>46014</v>
      </c>
      <c r="L13854" s="0" t="str">
        <f aca="false">HYPERLINK("https://www.ncbi.nlm.nih.gov/nuccore/CP000058.1?report=graph&amp;tracks=[key:gene_model_track,Options:GeneOnly]&amp;mk=4310093:4310112|offset_22|444444,4310072:4310091|offset_43|444444,4309982:4310001|offset_133|444444,4309913:4309932|offset_202|00cc00&amp;v=4309892:4310132&amp;c=444444", "offset 202")</f>
        <v>offset 202</v>
      </c>
    </row>
    <row r="13855" customFormat="false" ht="12.8" hidden="false" customHeight="false" outlineLevel="0" collapsed="false">
      <c r="A13855" s="0" t="s">
        <v>12</v>
      </c>
      <c r="B13855" s="0" t="n">
        <v>4310787</v>
      </c>
      <c r="C13855" s="0" t="n">
        <v>4310807</v>
      </c>
      <c r="D13855" s="0" t="s">
        <v>46015</v>
      </c>
      <c r="E13855" s="0" t="s">
        <v>75</v>
      </c>
      <c r="F13855" s="0" t="s">
        <v>90</v>
      </c>
      <c r="G13855" s="0" t="s">
        <v>32</v>
      </c>
      <c r="H13855" s="0" t="n">
        <v>67</v>
      </c>
      <c r="I13855" s="0" t="s">
        <v>46016</v>
      </c>
      <c r="J13855" s="0" t="s">
        <v>46017</v>
      </c>
      <c r="K13855" s="0" t="s">
        <v>46018</v>
      </c>
      <c r="L13855" s="0" t="str">
        <f aca="false">HYPERLINK("https://www.ncbi.nlm.nih.gov/nuccore/CP000058.1?report=graph&amp;tracks=[key:gene_model_track,Options:GeneOnly]&amp;mk=4310788:4310807|offset_67|00cc00,4310739:4310758|offset_116|444444,4310675:4310694|offset_180|444444,4310640:4310659|offset_215|444444&amp;v=4310587:4310859&amp;c=444444", "offset 67")</f>
        <v>offset 67</v>
      </c>
    </row>
    <row r="13856" customFormat="false" ht="12.8" hidden="false" customHeight="false" outlineLevel="0" collapsed="false">
      <c r="A13856" s="0" t="s">
        <v>12</v>
      </c>
      <c r="B13856" s="0" t="n">
        <v>4310738</v>
      </c>
      <c r="C13856" s="0" t="n">
        <v>4310758</v>
      </c>
      <c r="D13856" s="0" t="s">
        <v>46015</v>
      </c>
      <c r="E13856" s="0" t="s">
        <v>75</v>
      </c>
      <c r="F13856" s="0" t="s">
        <v>90</v>
      </c>
      <c r="G13856" s="0" t="s">
        <v>32</v>
      </c>
      <c r="H13856" s="0" t="n">
        <v>116</v>
      </c>
      <c r="I13856" s="0" t="s">
        <v>46019</v>
      </c>
      <c r="J13856" s="0" t="s">
        <v>46020</v>
      </c>
      <c r="K13856" s="0" t="s">
        <v>46021</v>
      </c>
      <c r="L13856" s="0" t="str">
        <f aca="false">HYPERLINK("https://www.ncbi.nlm.nih.gov/nuccore/CP000058.1?report=graph&amp;tracks=[key:gene_model_track,Options:GeneOnly]&amp;mk=4310788:4310807|offset_67|444444,4310739:4310758|offset_116|00cc00,4310675:4310694|offset_180|444444,4310640:4310659|offset_215|444444&amp;v=4310587:4310859&amp;c=444444", "offset 116")</f>
        <v>offset 116</v>
      </c>
    </row>
    <row r="13857" customFormat="false" ht="12.8" hidden="false" customHeight="false" outlineLevel="0" collapsed="false">
      <c r="A13857" s="0" t="s">
        <v>12</v>
      </c>
      <c r="B13857" s="0" t="n">
        <v>4310674</v>
      </c>
      <c r="C13857" s="0" t="n">
        <v>4310694</v>
      </c>
      <c r="D13857" s="0" t="s">
        <v>46015</v>
      </c>
      <c r="E13857" s="0" t="s">
        <v>75</v>
      </c>
      <c r="F13857" s="0" t="s">
        <v>90</v>
      </c>
      <c r="G13857" s="0" t="s">
        <v>32</v>
      </c>
      <c r="H13857" s="0" t="n">
        <v>180</v>
      </c>
      <c r="I13857" s="0" t="s">
        <v>46022</v>
      </c>
      <c r="J13857" s="0" t="s">
        <v>46023</v>
      </c>
      <c r="K13857" s="0" t="s">
        <v>46024</v>
      </c>
      <c r="L13857" s="0" t="str">
        <f aca="false">HYPERLINK("https://www.ncbi.nlm.nih.gov/nuccore/CP000058.1?report=graph&amp;tracks=[key:gene_model_track,Options:GeneOnly]&amp;mk=4310788:4310807|offset_67|444444,4310739:4310758|offset_116|444444,4310675:4310694|offset_180|00cc00,4310640:4310659|offset_215|444444&amp;v=4310587:4310859&amp;c=444444", "offset 180")</f>
        <v>offset 180</v>
      </c>
    </row>
    <row r="13858" customFormat="false" ht="12.8" hidden="false" customHeight="false" outlineLevel="0" collapsed="false">
      <c r="A13858" s="0" t="s">
        <v>12</v>
      </c>
      <c r="B13858" s="0" t="n">
        <v>4310639</v>
      </c>
      <c r="C13858" s="0" t="n">
        <v>4310659</v>
      </c>
      <c r="D13858" s="0" t="s">
        <v>46015</v>
      </c>
      <c r="E13858" s="0" t="s">
        <v>75</v>
      </c>
      <c r="F13858" s="0" t="s">
        <v>90</v>
      </c>
      <c r="G13858" s="0" t="s">
        <v>36</v>
      </c>
      <c r="H13858" s="0" t="n">
        <v>215</v>
      </c>
      <c r="I13858" s="0" t="s">
        <v>46025</v>
      </c>
      <c r="J13858" s="0" t="s">
        <v>46026</v>
      </c>
      <c r="K13858" s="0" t="s">
        <v>46027</v>
      </c>
      <c r="L13858" s="0" t="str">
        <f aca="false">HYPERLINK("https://www.ncbi.nlm.nih.gov/nuccore/CP000058.1?report=graph&amp;tracks=[key:gene_model_track,Options:GeneOnly]&amp;mk=4310788:4310807|offset_67|444444,4310739:4310758|offset_116|444444,4310675:4310694|offset_180|444444,4310640:4310659|offset_215|00cc00&amp;v=4310587:4310859&amp;c=444444", "offset 215")</f>
        <v>offset 215</v>
      </c>
    </row>
    <row r="13859" customFormat="false" ht="12.8" hidden="false" customHeight="false" outlineLevel="0" collapsed="false">
      <c r="A13859" s="0" t="s">
        <v>12</v>
      </c>
      <c r="B13859" s="0" t="n">
        <v>4311925</v>
      </c>
      <c r="C13859" s="0" t="n">
        <v>4311945</v>
      </c>
      <c r="D13859" s="0" t="s">
        <v>46028</v>
      </c>
      <c r="E13859" s="0" t="s">
        <v>75</v>
      </c>
      <c r="F13859" s="0" t="s">
        <v>90</v>
      </c>
      <c r="G13859" s="0" t="s">
        <v>32</v>
      </c>
      <c r="H13859" s="0" t="n">
        <v>29</v>
      </c>
      <c r="I13859" s="0" t="s">
        <v>46029</v>
      </c>
      <c r="J13859" s="0" t="s">
        <v>46030</v>
      </c>
      <c r="K13859" s="0" t="s">
        <v>46031</v>
      </c>
      <c r="L13859" s="0" t="str">
        <f aca="false">HYPERLINK("https://www.ncbi.nlm.nih.gov/nuccore/CP000058.1?report=graph&amp;tracks=[key:gene_model_track,Options:GeneOnly]&amp;mk=4311926:4311945|offset_29|00cc00,4311895:4311914|offset_60|444444,4311812:4311831|offset_143|444444,4311731:4311750|offset_224|444444&amp;v=4311725:4311950&amp;c=444444", "offset 29")</f>
        <v>offset 29</v>
      </c>
    </row>
    <row r="13860" customFormat="false" ht="12.8" hidden="false" customHeight="false" outlineLevel="0" collapsed="false">
      <c r="A13860" s="0" t="s">
        <v>12</v>
      </c>
      <c r="B13860" s="0" t="n">
        <v>4311894</v>
      </c>
      <c r="C13860" s="0" t="n">
        <v>4311914</v>
      </c>
      <c r="D13860" s="0" t="s">
        <v>46028</v>
      </c>
      <c r="E13860" s="0" t="s">
        <v>75</v>
      </c>
      <c r="F13860" s="0" t="s">
        <v>90</v>
      </c>
      <c r="G13860" s="0" t="s">
        <v>20</v>
      </c>
      <c r="H13860" s="0" t="n">
        <v>60</v>
      </c>
      <c r="I13860" s="0" t="s">
        <v>46032</v>
      </c>
      <c r="J13860" s="0" t="s">
        <v>46033</v>
      </c>
      <c r="K13860" s="0" t="s">
        <v>46034</v>
      </c>
      <c r="L13860" s="0" t="str">
        <f aca="false">HYPERLINK("https://www.ncbi.nlm.nih.gov/nuccore/CP000058.1?report=graph&amp;tracks=[key:gene_model_track,Options:GeneOnly]&amp;mk=4311926:4311945|offset_29|444444,4311895:4311914|offset_60|00cc00,4311812:4311831|offset_143|444444,4311731:4311750|offset_224|444444&amp;v=4311725:4311950&amp;c=444444", "offset 60")</f>
        <v>offset 60</v>
      </c>
    </row>
    <row r="13861" customFormat="false" ht="12.8" hidden="false" customHeight="false" outlineLevel="0" collapsed="false">
      <c r="A13861" s="0" t="s">
        <v>12</v>
      </c>
      <c r="B13861" s="0" t="n">
        <v>4311811</v>
      </c>
      <c r="C13861" s="0" t="n">
        <v>4311831</v>
      </c>
      <c r="D13861" s="0" t="s">
        <v>46028</v>
      </c>
      <c r="E13861" s="0" t="s">
        <v>75</v>
      </c>
      <c r="F13861" s="0" t="s">
        <v>90</v>
      </c>
      <c r="G13861" s="0" t="s">
        <v>16</v>
      </c>
      <c r="H13861" s="0" t="n">
        <v>143</v>
      </c>
      <c r="I13861" s="0" t="s">
        <v>46035</v>
      </c>
      <c r="J13861" s="0" t="s">
        <v>46036</v>
      </c>
      <c r="K13861" s="0" t="s">
        <v>46037</v>
      </c>
      <c r="L13861" s="0" t="str">
        <f aca="false">HYPERLINK("https://www.ncbi.nlm.nih.gov/nuccore/CP000058.1?report=graph&amp;tracks=[key:gene_model_track,Options:GeneOnly]&amp;mk=4311926:4311945|offset_29|444444,4311895:4311914|offset_60|444444,4311812:4311831|offset_143|00cc00,4311731:4311750|offset_224|444444&amp;v=4311725:4311950&amp;c=444444", "offset 143")</f>
        <v>offset 143</v>
      </c>
    </row>
    <row r="13862" customFormat="false" ht="12.8" hidden="false" customHeight="false" outlineLevel="0" collapsed="false">
      <c r="A13862" s="0" t="s">
        <v>12</v>
      </c>
      <c r="B13862" s="0" t="n">
        <v>4311730</v>
      </c>
      <c r="C13862" s="0" t="n">
        <v>4311750</v>
      </c>
      <c r="D13862" s="0" t="s">
        <v>46028</v>
      </c>
      <c r="E13862" s="0" t="s">
        <v>75</v>
      </c>
      <c r="F13862" s="0" t="s">
        <v>90</v>
      </c>
      <c r="G13862" s="0" t="s">
        <v>20</v>
      </c>
      <c r="H13862" s="0" t="n">
        <v>224</v>
      </c>
      <c r="I13862" s="0" t="s">
        <v>46038</v>
      </c>
      <c r="J13862" s="0" t="s">
        <v>46039</v>
      </c>
      <c r="K13862" s="0" t="s">
        <v>46040</v>
      </c>
      <c r="L13862" s="0" t="str">
        <f aca="false">HYPERLINK("https://www.ncbi.nlm.nih.gov/nuccore/CP000058.1?report=graph&amp;tracks=[key:gene_model_track,Options:GeneOnly]&amp;mk=4311926:4311945|offset_29|444444,4311895:4311914|offset_60|444444,4311812:4311831|offset_143|444444,4311731:4311750|offset_224|00cc00&amp;v=4311725:4311950&amp;c=444444", "offset 224")</f>
        <v>offset 224</v>
      </c>
    </row>
    <row r="13863" customFormat="false" ht="12.8" hidden="false" customHeight="false" outlineLevel="0" collapsed="false">
      <c r="A13863" s="0" t="s">
        <v>12</v>
      </c>
      <c r="B13863" s="0" t="n">
        <v>4312648</v>
      </c>
      <c r="C13863" s="0" t="n">
        <v>4312668</v>
      </c>
      <c r="D13863" s="0" t="s">
        <v>46041</v>
      </c>
      <c r="E13863" s="0" t="s">
        <v>75</v>
      </c>
      <c r="F13863" s="0" t="s">
        <v>15</v>
      </c>
      <c r="G13863" s="0" t="s">
        <v>16</v>
      </c>
      <c r="H13863" s="0" t="n">
        <v>36</v>
      </c>
      <c r="I13863" s="0" t="s">
        <v>46042</v>
      </c>
      <c r="J13863" s="0" t="s">
        <v>46043</v>
      </c>
      <c r="K13863" s="0" t="s">
        <v>46044</v>
      </c>
      <c r="L13863" s="0" t="str">
        <f aca="false">HYPERLINK("https://www.ncbi.nlm.nih.gov/nuccore/CP000058.1?report=graph&amp;tracks=[key:gene_model_track,Options:GeneOnly]&amp;mk=4312649:4312668|offset_36|00cc00,4312685:4312704|offset_72|444444,4312726:4312745|offset_113|444444,4312755:4312774|offset_142|444444&amp;v=4312448:4312974&amp;c=444444", "offset 36")</f>
        <v>offset 36</v>
      </c>
    </row>
    <row r="13864" customFormat="false" ht="12.8" hidden="false" customHeight="false" outlineLevel="0" collapsed="false">
      <c r="A13864" s="0" t="s">
        <v>12</v>
      </c>
      <c r="B13864" s="0" t="n">
        <v>4312684</v>
      </c>
      <c r="C13864" s="0" t="n">
        <v>4312704</v>
      </c>
      <c r="D13864" s="0" t="s">
        <v>46041</v>
      </c>
      <c r="E13864" s="0" t="s">
        <v>75</v>
      </c>
      <c r="F13864" s="0" t="s">
        <v>15</v>
      </c>
      <c r="G13864" s="0" t="s">
        <v>36</v>
      </c>
      <c r="H13864" s="0" t="n">
        <v>72</v>
      </c>
      <c r="I13864" s="0" t="s">
        <v>46045</v>
      </c>
      <c r="J13864" s="0" t="s">
        <v>46046</v>
      </c>
      <c r="K13864" s="0" t="s">
        <v>46047</v>
      </c>
      <c r="L13864" s="0" t="str">
        <f aca="false">HYPERLINK("https://www.ncbi.nlm.nih.gov/nuccore/CP000058.1?report=graph&amp;tracks=[key:gene_model_track,Options:GeneOnly]&amp;mk=4312649:4312668|offset_36|444444,4312685:4312704|offset_72|00cc00,4312726:4312745|offset_113|444444,4312755:4312774|offset_142|444444&amp;v=4312448:4312974&amp;c=444444", "offset 72")</f>
        <v>offset 72</v>
      </c>
    </row>
    <row r="13865" customFormat="false" ht="12.8" hidden="false" customHeight="false" outlineLevel="0" collapsed="false">
      <c r="A13865" s="0" t="s">
        <v>12</v>
      </c>
      <c r="B13865" s="0" t="n">
        <v>4312725</v>
      </c>
      <c r="C13865" s="0" t="n">
        <v>4312745</v>
      </c>
      <c r="D13865" s="0" t="s">
        <v>46041</v>
      </c>
      <c r="E13865" s="0" t="s">
        <v>75</v>
      </c>
      <c r="F13865" s="0" t="s">
        <v>15</v>
      </c>
      <c r="G13865" s="0" t="s">
        <v>32</v>
      </c>
      <c r="H13865" s="0" t="n">
        <v>113</v>
      </c>
      <c r="I13865" s="0" t="s">
        <v>46048</v>
      </c>
      <c r="J13865" s="0" t="s">
        <v>46049</v>
      </c>
      <c r="K13865" s="0" t="s">
        <v>46050</v>
      </c>
      <c r="L13865" s="0" t="str">
        <f aca="false">HYPERLINK("https://www.ncbi.nlm.nih.gov/nuccore/CP000058.1?report=graph&amp;tracks=[key:gene_model_track,Options:GeneOnly]&amp;mk=4312649:4312668|offset_36|444444,4312685:4312704|offset_72|444444,4312726:4312745|offset_113|00cc00,4312755:4312774|offset_142|444444&amp;v=4312448:4312974&amp;c=444444", "offset 113")</f>
        <v>offset 113</v>
      </c>
    </row>
    <row r="13866" customFormat="false" ht="12.8" hidden="false" customHeight="false" outlineLevel="0" collapsed="false">
      <c r="A13866" s="0" t="s">
        <v>12</v>
      </c>
      <c r="B13866" s="0" t="n">
        <v>4312754</v>
      </c>
      <c r="C13866" s="0" t="n">
        <v>4312774</v>
      </c>
      <c r="D13866" s="0" t="s">
        <v>46041</v>
      </c>
      <c r="E13866" s="0" t="s">
        <v>75</v>
      </c>
      <c r="F13866" s="0" t="s">
        <v>15</v>
      </c>
      <c r="G13866" s="0" t="s">
        <v>20</v>
      </c>
      <c r="H13866" s="0" t="n">
        <v>142</v>
      </c>
      <c r="I13866" s="0" t="s">
        <v>46051</v>
      </c>
      <c r="J13866" s="0" t="s">
        <v>46052</v>
      </c>
      <c r="K13866" s="0" t="s">
        <v>46053</v>
      </c>
      <c r="L13866" s="0" t="str">
        <f aca="false">HYPERLINK("https://www.ncbi.nlm.nih.gov/nuccore/CP000058.1?report=graph&amp;tracks=[key:gene_model_track,Options:GeneOnly]&amp;mk=4312649:4312668|offset_36|444444,4312685:4312704|offset_72|444444,4312726:4312745|offset_113|444444,4312755:4312774|offset_142|00cc00&amp;v=4312448:4312974&amp;c=444444", "offset 142")</f>
        <v>offset 142</v>
      </c>
    </row>
    <row r="13867" customFormat="false" ht="12.8" hidden="false" customHeight="false" outlineLevel="0" collapsed="false">
      <c r="A13867" s="0" t="s">
        <v>12</v>
      </c>
      <c r="B13867" s="0" t="n">
        <v>4315402</v>
      </c>
      <c r="C13867" s="0" t="n">
        <v>4315422</v>
      </c>
      <c r="D13867" s="0" t="s">
        <v>46054</v>
      </c>
      <c r="E13867" s="0" t="s">
        <v>75</v>
      </c>
      <c r="F13867" s="0" t="s">
        <v>90</v>
      </c>
      <c r="G13867" s="0" t="s">
        <v>32</v>
      </c>
      <c r="H13867" s="0" t="n">
        <v>16</v>
      </c>
      <c r="I13867" s="0" t="s">
        <v>46055</v>
      </c>
      <c r="J13867" s="0" t="s">
        <v>46056</v>
      </c>
      <c r="K13867" s="0" t="s">
        <v>46057</v>
      </c>
      <c r="L13867" s="0" t="str">
        <f aca="false">HYPERLINK("https://www.ncbi.nlm.nih.gov/nuccore/CP000058.1?report=graph&amp;tracks=[key:gene_model_track,Options:GeneOnly]&amp;mk=4315403:4315422|offset_16|00cc00,4315378:4315397|offset_41|444444,4315349:4315368|offset_70|444444,4315316:4315335|offset_103|444444&amp;v=4315202:4315535&amp;c=444444", "offset 16")</f>
        <v>offset 16</v>
      </c>
    </row>
    <row r="13868" customFormat="false" ht="12.8" hidden="false" customHeight="false" outlineLevel="0" collapsed="false">
      <c r="A13868" s="0" t="s">
        <v>12</v>
      </c>
      <c r="B13868" s="0" t="n">
        <v>4315377</v>
      </c>
      <c r="C13868" s="0" t="n">
        <v>4315397</v>
      </c>
      <c r="D13868" s="0" t="s">
        <v>46054</v>
      </c>
      <c r="E13868" s="0" t="s">
        <v>75</v>
      </c>
      <c r="F13868" s="0" t="s">
        <v>90</v>
      </c>
      <c r="G13868" s="0" t="s">
        <v>20</v>
      </c>
      <c r="H13868" s="0" t="n">
        <v>41</v>
      </c>
      <c r="I13868" s="0" t="s">
        <v>46058</v>
      </c>
      <c r="J13868" s="0" t="s">
        <v>46059</v>
      </c>
      <c r="K13868" s="0" t="s">
        <v>46060</v>
      </c>
      <c r="L13868" s="0" t="str">
        <f aca="false">HYPERLINK("https://www.ncbi.nlm.nih.gov/nuccore/CP000058.1?report=graph&amp;tracks=[key:gene_model_track,Options:GeneOnly]&amp;mk=4315403:4315422|offset_16|444444,4315378:4315397|offset_41|00cc00,4315349:4315368|offset_70|444444,4315316:4315335|offset_103|444444&amp;v=4315202:4315535&amp;c=444444", "offset 41")</f>
        <v>offset 41</v>
      </c>
    </row>
    <row r="13869" customFormat="false" ht="12.8" hidden="false" customHeight="false" outlineLevel="0" collapsed="false">
      <c r="A13869" s="0" t="s">
        <v>12</v>
      </c>
      <c r="B13869" s="0" t="n">
        <v>4315348</v>
      </c>
      <c r="C13869" s="0" t="n">
        <v>4315368</v>
      </c>
      <c r="D13869" s="0" t="s">
        <v>46054</v>
      </c>
      <c r="E13869" s="0" t="s">
        <v>75</v>
      </c>
      <c r="F13869" s="0" t="s">
        <v>90</v>
      </c>
      <c r="G13869" s="0" t="s">
        <v>16</v>
      </c>
      <c r="H13869" s="0" t="n">
        <v>70</v>
      </c>
      <c r="I13869" s="0" t="s">
        <v>46061</v>
      </c>
      <c r="J13869" s="0" t="s">
        <v>46062</v>
      </c>
      <c r="K13869" s="0" t="s">
        <v>46063</v>
      </c>
      <c r="L13869" s="0" t="str">
        <f aca="false">HYPERLINK("https://www.ncbi.nlm.nih.gov/nuccore/CP000058.1?report=graph&amp;tracks=[key:gene_model_track,Options:GeneOnly]&amp;mk=4315403:4315422|offset_16|444444,4315378:4315397|offset_41|444444,4315349:4315368|offset_70|00cc00,4315316:4315335|offset_103|444444&amp;v=4315202:4315535&amp;c=444444", "offset 70")</f>
        <v>offset 70</v>
      </c>
    </row>
    <row r="13870" customFormat="false" ht="12.8" hidden="false" customHeight="false" outlineLevel="0" collapsed="false">
      <c r="A13870" s="0" t="s">
        <v>12</v>
      </c>
      <c r="B13870" s="0" t="n">
        <v>4315315</v>
      </c>
      <c r="C13870" s="0" t="n">
        <v>4315335</v>
      </c>
      <c r="D13870" s="0" t="s">
        <v>46054</v>
      </c>
      <c r="E13870" s="0" t="s">
        <v>75</v>
      </c>
      <c r="F13870" s="0" t="s">
        <v>90</v>
      </c>
      <c r="G13870" s="0" t="s">
        <v>20</v>
      </c>
      <c r="H13870" s="0" t="n">
        <v>103</v>
      </c>
      <c r="I13870" s="0" t="s">
        <v>46064</v>
      </c>
      <c r="J13870" s="0" t="s">
        <v>46065</v>
      </c>
      <c r="K13870" s="0" t="s">
        <v>46066</v>
      </c>
      <c r="L13870" s="0" t="str">
        <f aca="false">HYPERLINK("https://www.ncbi.nlm.nih.gov/nuccore/CP000058.1?report=graph&amp;tracks=[key:gene_model_track,Options:GeneOnly]&amp;mk=4315403:4315422|offset_16|444444,4315378:4315397|offset_41|444444,4315349:4315368|offset_70|444444,4315316:4315335|offset_103|00cc00&amp;v=4315202:4315535&amp;c=444444", "offset 103")</f>
        <v>offset 103</v>
      </c>
    </row>
    <row r="13871" customFormat="false" ht="12.8" hidden="false" customHeight="false" outlineLevel="0" collapsed="false">
      <c r="A13871" s="0" t="s">
        <v>12</v>
      </c>
      <c r="B13871" s="0" t="n">
        <v>4316042</v>
      </c>
      <c r="C13871" s="0" t="n">
        <v>4316062</v>
      </c>
      <c r="D13871" s="0" t="s">
        <v>46067</v>
      </c>
      <c r="E13871" s="0" t="s">
        <v>75</v>
      </c>
      <c r="F13871" s="0" t="s">
        <v>90</v>
      </c>
      <c r="G13871" s="0" t="s">
        <v>16</v>
      </c>
      <c r="H13871" s="0" t="n">
        <v>25</v>
      </c>
      <c r="I13871" s="0" t="s">
        <v>46068</v>
      </c>
      <c r="J13871" s="0" t="s">
        <v>46069</v>
      </c>
      <c r="K13871" s="0" t="s">
        <v>46070</v>
      </c>
      <c r="L13871" s="0" t="str">
        <f aca="false">HYPERLINK("https://www.ncbi.nlm.nih.gov/nuccore/CP000058.1?report=graph&amp;tracks=[key:gene_model_track,Options:GeneOnly]&amp;mk=4316043:4316062|offset_25|00cc00,4316013:4316032|offset_55|444444,4315992:4316011|offset_76|444444,4315967:4315986|offset_101|444444&amp;v=4315842:4316186&amp;c=444444", "offset 25")</f>
        <v>offset 25</v>
      </c>
    </row>
    <row r="13872" customFormat="false" ht="12.8" hidden="false" customHeight="false" outlineLevel="0" collapsed="false">
      <c r="A13872" s="0" t="s">
        <v>12</v>
      </c>
      <c r="B13872" s="0" t="n">
        <v>4316012</v>
      </c>
      <c r="C13872" s="0" t="n">
        <v>4316032</v>
      </c>
      <c r="D13872" s="0" t="s">
        <v>46067</v>
      </c>
      <c r="E13872" s="0" t="s">
        <v>75</v>
      </c>
      <c r="F13872" s="0" t="s">
        <v>90</v>
      </c>
      <c r="G13872" s="0" t="s">
        <v>36</v>
      </c>
      <c r="H13872" s="0" t="n">
        <v>55</v>
      </c>
      <c r="I13872" s="0" t="s">
        <v>46071</v>
      </c>
      <c r="J13872" s="0" t="s">
        <v>46072</v>
      </c>
      <c r="K13872" s="0" t="s">
        <v>46073</v>
      </c>
      <c r="L13872" s="0" t="str">
        <f aca="false">HYPERLINK("https://www.ncbi.nlm.nih.gov/nuccore/CP000058.1?report=graph&amp;tracks=[key:gene_model_track,Options:GeneOnly]&amp;mk=4316043:4316062|offset_25|444444,4316013:4316032|offset_55|00cc00,4315992:4316011|offset_76|444444,4315967:4315986|offset_101|444444&amp;v=4315842:4316186&amp;c=444444", "offset 55")</f>
        <v>offset 55</v>
      </c>
    </row>
    <row r="13873" customFormat="false" ht="12.8" hidden="false" customHeight="false" outlineLevel="0" collapsed="false">
      <c r="A13873" s="0" t="s">
        <v>12</v>
      </c>
      <c r="B13873" s="0" t="n">
        <v>4315991</v>
      </c>
      <c r="C13873" s="0" t="n">
        <v>4316011</v>
      </c>
      <c r="D13873" s="0" t="s">
        <v>46067</v>
      </c>
      <c r="E13873" s="0" t="s">
        <v>75</v>
      </c>
      <c r="F13873" s="0" t="s">
        <v>90</v>
      </c>
      <c r="G13873" s="0" t="s">
        <v>16</v>
      </c>
      <c r="H13873" s="0" t="n">
        <v>76</v>
      </c>
      <c r="I13873" s="0" t="s">
        <v>46074</v>
      </c>
      <c r="J13873" s="0" t="s">
        <v>46075</v>
      </c>
      <c r="K13873" s="0" t="s">
        <v>46076</v>
      </c>
      <c r="L13873" s="0" t="str">
        <f aca="false">HYPERLINK("https://www.ncbi.nlm.nih.gov/nuccore/CP000058.1?report=graph&amp;tracks=[key:gene_model_track,Options:GeneOnly]&amp;mk=4316043:4316062|offset_25|444444,4316013:4316032|offset_55|444444,4315992:4316011|offset_76|00cc00,4315967:4315986|offset_101|444444&amp;v=4315842:4316186&amp;c=444444", "offset 76")</f>
        <v>offset 76</v>
      </c>
    </row>
    <row r="13874" customFormat="false" ht="12.8" hidden="false" customHeight="false" outlineLevel="0" collapsed="false">
      <c r="A13874" s="0" t="s">
        <v>12</v>
      </c>
      <c r="B13874" s="0" t="n">
        <v>4315966</v>
      </c>
      <c r="C13874" s="0" t="n">
        <v>4315986</v>
      </c>
      <c r="D13874" s="0" t="s">
        <v>46067</v>
      </c>
      <c r="E13874" s="0" t="s">
        <v>75</v>
      </c>
      <c r="F13874" s="0" t="s">
        <v>90</v>
      </c>
      <c r="G13874" s="0" t="s">
        <v>36</v>
      </c>
      <c r="H13874" s="0" t="n">
        <v>101</v>
      </c>
      <c r="I13874" s="0" t="s">
        <v>46077</v>
      </c>
      <c r="J13874" s="0" t="s">
        <v>46078</v>
      </c>
      <c r="K13874" s="0" t="s">
        <v>46079</v>
      </c>
      <c r="L13874" s="0" t="str">
        <f aca="false">HYPERLINK("https://www.ncbi.nlm.nih.gov/nuccore/CP000058.1?report=graph&amp;tracks=[key:gene_model_track,Options:GeneOnly]&amp;mk=4316043:4316062|offset_25|444444,4316013:4316032|offset_55|444444,4315992:4316011|offset_76|444444,4315967:4315986|offset_101|00cc00&amp;v=4315842:4316186&amp;c=444444", "offset 101")</f>
        <v>offset 101</v>
      </c>
    </row>
    <row r="13875" customFormat="false" ht="12.8" hidden="false" customHeight="false" outlineLevel="0" collapsed="false">
      <c r="A13875" s="0" t="s">
        <v>12</v>
      </c>
      <c r="B13875" s="0" t="n">
        <v>4317043</v>
      </c>
      <c r="C13875" s="0" t="n">
        <v>4317063</v>
      </c>
      <c r="D13875" s="0" t="s">
        <v>46080</v>
      </c>
      <c r="E13875" s="0" t="s">
        <v>75</v>
      </c>
      <c r="F13875" s="0" t="s">
        <v>90</v>
      </c>
      <c r="G13875" s="0" t="s">
        <v>16</v>
      </c>
      <c r="H13875" s="0" t="n">
        <v>14</v>
      </c>
      <c r="I13875" s="0" t="s">
        <v>46081</v>
      </c>
      <c r="J13875" s="0" t="s">
        <v>46082</v>
      </c>
      <c r="K13875" s="0" t="s">
        <v>46083</v>
      </c>
      <c r="L13875" s="0" t="str">
        <f aca="false">HYPERLINK("https://www.ncbi.nlm.nih.gov/nuccore/CP000058.1?report=graph&amp;tracks=[key:gene_model_track,Options:GeneOnly]&amp;mk=4317044:4317063|offset_14|00cc00,4317021:4317040|offset_37|444444,4316986:4317005|offset_72|444444,4316944:4316963|offset_114|444444&amp;v=4316843:4317163&amp;c=444444", "offset 14")</f>
        <v>offset 14</v>
      </c>
    </row>
    <row r="13876" customFormat="false" ht="12.8" hidden="false" customHeight="false" outlineLevel="0" collapsed="false">
      <c r="A13876" s="0" t="s">
        <v>12</v>
      </c>
      <c r="B13876" s="0" t="n">
        <v>4317020</v>
      </c>
      <c r="C13876" s="0" t="n">
        <v>4317040</v>
      </c>
      <c r="D13876" s="0" t="s">
        <v>46080</v>
      </c>
      <c r="E13876" s="0" t="s">
        <v>75</v>
      </c>
      <c r="F13876" s="0" t="s">
        <v>90</v>
      </c>
      <c r="G13876" s="0" t="s">
        <v>36</v>
      </c>
      <c r="H13876" s="0" t="n">
        <v>37</v>
      </c>
      <c r="I13876" s="0" t="s">
        <v>46084</v>
      </c>
      <c r="J13876" s="0" t="s">
        <v>46085</v>
      </c>
      <c r="K13876" s="0" t="s">
        <v>46086</v>
      </c>
      <c r="L13876" s="0" t="str">
        <f aca="false">HYPERLINK("https://www.ncbi.nlm.nih.gov/nuccore/CP000058.1?report=graph&amp;tracks=[key:gene_model_track,Options:GeneOnly]&amp;mk=4317044:4317063|offset_14|444444,4317021:4317040|offset_37|00cc00,4316986:4317005|offset_72|444444,4316944:4316963|offset_114|444444&amp;v=4316843:4317163&amp;c=444444", "offset 37")</f>
        <v>offset 37</v>
      </c>
    </row>
    <row r="13877" customFormat="false" ht="12.8" hidden="false" customHeight="false" outlineLevel="0" collapsed="false">
      <c r="A13877" s="0" t="s">
        <v>12</v>
      </c>
      <c r="B13877" s="0" t="n">
        <v>4316985</v>
      </c>
      <c r="C13877" s="0" t="n">
        <v>4317005</v>
      </c>
      <c r="D13877" s="0" t="s">
        <v>46080</v>
      </c>
      <c r="E13877" s="0" t="s">
        <v>75</v>
      </c>
      <c r="F13877" s="0" t="s">
        <v>90</v>
      </c>
      <c r="G13877" s="0" t="s">
        <v>20</v>
      </c>
      <c r="H13877" s="0" t="n">
        <v>72</v>
      </c>
      <c r="I13877" s="0" t="s">
        <v>46087</v>
      </c>
      <c r="J13877" s="0" t="s">
        <v>46088</v>
      </c>
      <c r="K13877" s="0" t="s">
        <v>46089</v>
      </c>
      <c r="L13877" s="0" t="str">
        <f aca="false">HYPERLINK("https://www.ncbi.nlm.nih.gov/nuccore/CP000058.1?report=graph&amp;tracks=[key:gene_model_track,Options:GeneOnly]&amp;mk=4317044:4317063|offset_14|444444,4317021:4317040|offset_37|444444,4316986:4317005|offset_72|00cc00,4316944:4316963|offset_114|444444&amp;v=4316843:4317163&amp;c=444444", "offset 72")</f>
        <v>offset 72</v>
      </c>
    </row>
    <row r="13878" customFormat="false" ht="12.8" hidden="false" customHeight="false" outlineLevel="0" collapsed="false">
      <c r="A13878" s="0" t="s">
        <v>12</v>
      </c>
      <c r="B13878" s="0" t="n">
        <v>4316943</v>
      </c>
      <c r="C13878" s="0" t="n">
        <v>4316963</v>
      </c>
      <c r="D13878" s="0" t="s">
        <v>46080</v>
      </c>
      <c r="E13878" s="0" t="s">
        <v>75</v>
      </c>
      <c r="F13878" s="0" t="s">
        <v>90</v>
      </c>
      <c r="G13878" s="0" t="s">
        <v>16</v>
      </c>
      <c r="H13878" s="0" t="n">
        <v>114</v>
      </c>
      <c r="I13878" s="0" t="s">
        <v>46090</v>
      </c>
      <c r="J13878" s="0" t="s">
        <v>46091</v>
      </c>
      <c r="K13878" s="0" t="s">
        <v>46092</v>
      </c>
      <c r="L13878" s="0" t="str">
        <f aca="false">HYPERLINK("https://www.ncbi.nlm.nih.gov/nuccore/CP000058.1?report=graph&amp;tracks=[key:gene_model_track,Options:GeneOnly]&amp;mk=4317044:4317063|offset_14|444444,4317021:4317040|offset_37|444444,4316986:4317005|offset_72|444444,4316944:4316963|offset_114|00cc00&amp;v=4316843:4317163&amp;c=444444", "offset 114")</f>
        <v>offset 114</v>
      </c>
    </row>
    <row r="13879" customFormat="false" ht="12.8" hidden="false" customHeight="false" outlineLevel="0" collapsed="false">
      <c r="A13879" s="0" t="s">
        <v>12</v>
      </c>
      <c r="B13879" s="0" t="n">
        <v>4317518</v>
      </c>
      <c r="C13879" s="0" t="n">
        <v>4317538</v>
      </c>
      <c r="D13879" s="0" t="s">
        <v>46093</v>
      </c>
      <c r="E13879" s="0" t="s">
        <v>46094</v>
      </c>
      <c r="F13879" s="0" t="s">
        <v>90</v>
      </c>
      <c r="G13879" s="0" t="s">
        <v>32</v>
      </c>
      <c r="H13879" s="0" t="n">
        <v>46</v>
      </c>
      <c r="I13879" s="0" t="s">
        <v>46095</v>
      </c>
      <c r="J13879" s="0" t="s">
        <v>46096</v>
      </c>
      <c r="K13879" s="0" t="s">
        <v>46097</v>
      </c>
      <c r="L13879" s="0" t="str">
        <f aca="false">HYPERLINK("https://www.ncbi.nlm.nih.gov/nuccore/CP000058.1?report=graph&amp;tracks=[key:gene_model_track,Options:GeneOnly]&amp;mk=4317519:4317538|offset_46|00cc00,4317492:4317511|offset_73|444444,4317452:4317471|offset_113|444444,4317432:4317451|offset_133|444444&amp;v=4317318:4317651&amp;c=444444", "offset 46")</f>
        <v>offset 46</v>
      </c>
    </row>
    <row r="13880" customFormat="false" ht="12.8" hidden="false" customHeight="false" outlineLevel="0" collapsed="false">
      <c r="A13880" s="0" t="s">
        <v>12</v>
      </c>
      <c r="B13880" s="0" t="n">
        <v>4317491</v>
      </c>
      <c r="C13880" s="0" t="n">
        <v>4317511</v>
      </c>
      <c r="D13880" s="0" t="s">
        <v>46093</v>
      </c>
      <c r="E13880" s="0" t="s">
        <v>46094</v>
      </c>
      <c r="F13880" s="0" t="s">
        <v>90</v>
      </c>
      <c r="G13880" s="0" t="s">
        <v>32</v>
      </c>
      <c r="H13880" s="0" t="n">
        <v>73</v>
      </c>
      <c r="I13880" s="0" t="s">
        <v>46098</v>
      </c>
      <c r="J13880" s="0" t="s">
        <v>46099</v>
      </c>
      <c r="K13880" s="0" t="s">
        <v>46100</v>
      </c>
      <c r="L13880" s="0" t="str">
        <f aca="false">HYPERLINK("https://www.ncbi.nlm.nih.gov/nuccore/CP000058.1?report=graph&amp;tracks=[key:gene_model_track,Options:GeneOnly]&amp;mk=4317519:4317538|offset_46|444444,4317492:4317511|offset_73|00cc00,4317452:4317471|offset_113|444444,4317432:4317451|offset_133|444444&amp;v=4317318:4317651&amp;c=444444", "offset 73")</f>
        <v>offset 73</v>
      </c>
    </row>
    <row r="13881" customFormat="false" ht="12.8" hidden="false" customHeight="false" outlineLevel="0" collapsed="false">
      <c r="A13881" s="0" t="s">
        <v>12</v>
      </c>
      <c r="B13881" s="0" t="n">
        <v>4317451</v>
      </c>
      <c r="C13881" s="0" t="n">
        <v>4317471</v>
      </c>
      <c r="D13881" s="0" t="s">
        <v>46093</v>
      </c>
      <c r="E13881" s="0" t="s">
        <v>46094</v>
      </c>
      <c r="F13881" s="0" t="s">
        <v>90</v>
      </c>
      <c r="G13881" s="0" t="s">
        <v>36</v>
      </c>
      <c r="H13881" s="0" t="n">
        <v>113</v>
      </c>
      <c r="I13881" s="0" t="s">
        <v>46101</v>
      </c>
      <c r="J13881" s="0" t="s">
        <v>46102</v>
      </c>
      <c r="K13881" s="0" t="s">
        <v>46103</v>
      </c>
      <c r="L13881" s="0" t="str">
        <f aca="false">HYPERLINK("https://www.ncbi.nlm.nih.gov/nuccore/CP000058.1?report=graph&amp;tracks=[key:gene_model_track,Options:GeneOnly]&amp;mk=4317519:4317538|offset_46|444444,4317492:4317511|offset_73|444444,4317452:4317471|offset_113|00cc00,4317432:4317451|offset_133|444444&amp;v=4317318:4317651&amp;c=444444", "offset 113")</f>
        <v>offset 113</v>
      </c>
    </row>
    <row r="13882" customFormat="false" ht="12.8" hidden="false" customHeight="false" outlineLevel="0" collapsed="false">
      <c r="A13882" s="0" t="s">
        <v>12</v>
      </c>
      <c r="B13882" s="0" t="n">
        <v>4317431</v>
      </c>
      <c r="C13882" s="0" t="n">
        <v>4317451</v>
      </c>
      <c r="D13882" s="0" t="s">
        <v>46093</v>
      </c>
      <c r="E13882" s="0" t="s">
        <v>46094</v>
      </c>
      <c r="F13882" s="0" t="s">
        <v>90</v>
      </c>
      <c r="G13882" s="0" t="s">
        <v>32</v>
      </c>
      <c r="H13882" s="0" t="n">
        <v>133</v>
      </c>
      <c r="I13882" s="0" t="s">
        <v>46104</v>
      </c>
      <c r="J13882" s="0" t="s">
        <v>46105</v>
      </c>
      <c r="K13882" s="0" t="s">
        <v>46106</v>
      </c>
      <c r="L13882" s="0" t="str">
        <f aca="false">HYPERLINK("https://www.ncbi.nlm.nih.gov/nuccore/CP000058.1?report=graph&amp;tracks=[key:gene_model_track,Options:GeneOnly]&amp;mk=4317519:4317538|offset_46|444444,4317492:4317511|offset_73|444444,4317452:4317471|offset_113|444444,4317432:4317451|offset_133|00cc00&amp;v=4317318:4317651&amp;c=444444", "offset 133")</f>
        <v>offset 133</v>
      </c>
    </row>
    <row r="13883" customFormat="false" ht="12.8" hidden="false" customHeight="false" outlineLevel="0" collapsed="false">
      <c r="A13883" s="0" t="s">
        <v>12</v>
      </c>
      <c r="B13883" s="0" t="n">
        <v>4318907</v>
      </c>
      <c r="C13883" s="0" t="n">
        <v>4318927</v>
      </c>
      <c r="D13883" s="0" t="s">
        <v>46107</v>
      </c>
      <c r="E13883" s="0" t="s">
        <v>46108</v>
      </c>
      <c r="F13883" s="0" t="s">
        <v>90</v>
      </c>
      <c r="G13883" s="0" t="s">
        <v>20</v>
      </c>
      <c r="H13883" s="0" t="n">
        <v>11</v>
      </c>
      <c r="I13883" s="0" t="s">
        <v>46109</v>
      </c>
      <c r="J13883" s="0" t="s">
        <v>46110</v>
      </c>
      <c r="K13883" s="0" t="s">
        <v>46111</v>
      </c>
      <c r="L13883" s="0" t="str">
        <f aca="false">HYPERLINK("https://www.ncbi.nlm.nih.gov/nuccore/CP000058.1?report=graph&amp;tracks=[key:gene_model_track,Options:GeneOnly]&amp;mk=4318908:4318927|offset_11|00cc00,4318870:4318889|offset_49|444444,4318831:4318850|offset_88|444444,4318808:4318827|offset_111|444444&amp;v=4318707:4319027&amp;c=444444", "offset 11")</f>
        <v>offset 11</v>
      </c>
    </row>
    <row r="13884" customFormat="false" ht="12.8" hidden="false" customHeight="false" outlineLevel="0" collapsed="false">
      <c r="A13884" s="0" t="s">
        <v>12</v>
      </c>
      <c r="B13884" s="0" t="n">
        <v>4318869</v>
      </c>
      <c r="C13884" s="0" t="n">
        <v>4318889</v>
      </c>
      <c r="D13884" s="0" t="s">
        <v>46107</v>
      </c>
      <c r="E13884" s="0" t="s">
        <v>46108</v>
      </c>
      <c r="F13884" s="0" t="s">
        <v>90</v>
      </c>
      <c r="G13884" s="0" t="s">
        <v>16</v>
      </c>
      <c r="H13884" s="0" t="n">
        <v>49</v>
      </c>
      <c r="I13884" s="0" t="s">
        <v>46112</v>
      </c>
      <c r="J13884" s="0" t="s">
        <v>46113</v>
      </c>
      <c r="K13884" s="0" t="s">
        <v>46114</v>
      </c>
      <c r="L13884" s="0" t="str">
        <f aca="false">HYPERLINK("https://www.ncbi.nlm.nih.gov/nuccore/CP000058.1?report=graph&amp;tracks=[key:gene_model_track,Options:GeneOnly]&amp;mk=4318908:4318927|offset_11|444444,4318870:4318889|offset_49|00cc00,4318831:4318850|offset_88|444444,4318808:4318827|offset_111|444444&amp;v=4318707:4319027&amp;c=444444", "offset 49")</f>
        <v>offset 49</v>
      </c>
    </row>
    <row r="13885" customFormat="false" ht="12.8" hidden="false" customHeight="false" outlineLevel="0" collapsed="false">
      <c r="A13885" s="0" t="s">
        <v>12</v>
      </c>
      <c r="B13885" s="0" t="n">
        <v>4318830</v>
      </c>
      <c r="C13885" s="0" t="n">
        <v>4318850</v>
      </c>
      <c r="D13885" s="0" t="s">
        <v>46107</v>
      </c>
      <c r="E13885" s="0" t="s">
        <v>46108</v>
      </c>
      <c r="F13885" s="0" t="s">
        <v>90</v>
      </c>
      <c r="G13885" s="0" t="s">
        <v>32</v>
      </c>
      <c r="H13885" s="0" t="n">
        <v>88</v>
      </c>
      <c r="I13885" s="0" t="s">
        <v>46115</v>
      </c>
      <c r="J13885" s="0" t="s">
        <v>46116</v>
      </c>
      <c r="K13885" s="0" t="s">
        <v>46117</v>
      </c>
      <c r="L13885" s="0" t="str">
        <f aca="false">HYPERLINK("https://www.ncbi.nlm.nih.gov/nuccore/CP000058.1?report=graph&amp;tracks=[key:gene_model_track,Options:GeneOnly]&amp;mk=4318908:4318927|offset_11|444444,4318870:4318889|offset_49|444444,4318831:4318850|offset_88|00cc00,4318808:4318827|offset_111|444444&amp;v=4318707:4319027&amp;c=444444", "offset 88")</f>
        <v>offset 88</v>
      </c>
    </row>
    <row r="13886" customFormat="false" ht="12.8" hidden="false" customHeight="false" outlineLevel="0" collapsed="false">
      <c r="A13886" s="0" t="s">
        <v>12</v>
      </c>
      <c r="B13886" s="0" t="n">
        <v>4318807</v>
      </c>
      <c r="C13886" s="0" t="n">
        <v>4318827</v>
      </c>
      <c r="D13886" s="0" t="s">
        <v>46107</v>
      </c>
      <c r="E13886" s="0" t="s">
        <v>46108</v>
      </c>
      <c r="F13886" s="0" t="s">
        <v>90</v>
      </c>
      <c r="G13886" s="0" t="s">
        <v>16</v>
      </c>
      <c r="H13886" s="0" t="n">
        <v>111</v>
      </c>
      <c r="I13886" s="0" t="s">
        <v>46118</v>
      </c>
      <c r="J13886" s="0" t="s">
        <v>46119</v>
      </c>
      <c r="K13886" s="0" t="s">
        <v>46120</v>
      </c>
      <c r="L13886" s="0" t="str">
        <f aca="false">HYPERLINK("https://www.ncbi.nlm.nih.gov/nuccore/CP000058.1?report=graph&amp;tracks=[key:gene_model_track,Options:GeneOnly]&amp;mk=4318908:4318927|offset_11|444444,4318870:4318889|offset_49|444444,4318831:4318850|offset_88|444444,4318808:4318827|offset_111|00cc00&amp;v=4318707:4319027&amp;c=444444", "offset 111")</f>
        <v>offset 111</v>
      </c>
    </row>
    <row r="13887" customFormat="false" ht="12.8" hidden="false" customHeight="false" outlineLevel="0" collapsed="false">
      <c r="A13887" s="0" t="s">
        <v>12</v>
      </c>
      <c r="B13887" s="0" t="n">
        <v>4319976</v>
      </c>
      <c r="C13887" s="0" t="n">
        <v>4319996</v>
      </c>
      <c r="D13887" s="0" t="s">
        <v>46121</v>
      </c>
      <c r="E13887" s="0" t="s">
        <v>46122</v>
      </c>
      <c r="F13887" s="0" t="s">
        <v>90</v>
      </c>
      <c r="G13887" s="0" t="s">
        <v>16</v>
      </c>
      <c r="H13887" s="0" t="n">
        <v>9</v>
      </c>
      <c r="I13887" s="0" t="s">
        <v>46123</v>
      </c>
      <c r="J13887" s="0" t="s">
        <v>46124</v>
      </c>
      <c r="K13887" s="0" t="s">
        <v>46125</v>
      </c>
      <c r="L13887" s="0" t="str">
        <f aca="false">HYPERLINK("https://www.ncbi.nlm.nih.gov/nuccore/CP000058.1?report=graph&amp;tracks=[key:gene_model_track,Options:GeneOnly]&amp;mk=4319977:4319996|offset_9|00cc00,4319938:4319957|offset_48|444444,4319877:4319896|offset_109|444444,4319853:4319872|offset_133|444444&amp;v=4319776:4320072&amp;c=444444", "offset 9")</f>
        <v>offset 9</v>
      </c>
    </row>
    <row r="13888" customFormat="false" ht="12.8" hidden="false" customHeight="false" outlineLevel="0" collapsed="false">
      <c r="A13888" s="0" t="s">
        <v>12</v>
      </c>
      <c r="B13888" s="0" t="n">
        <v>4319937</v>
      </c>
      <c r="C13888" s="0" t="n">
        <v>4319957</v>
      </c>
      <c r="D13888" s="0" t="s">
        <v>46121</v>
      </c>
      <c r="E13888" s="0" t="s">
        <v>46122</v>
      </c>
      <c r="F13888" s="0" t="s">
        <v>90</v>
      </c>
      <c r="G13888" s="0" t="s">
        <v>36</v>
      </c>
      <c r="H13888" s="0" t="n">
        <v>48</v>
      </c>
      <c r="I13888" s="0" t="s">
        <v>46126</v>
      </c>
      <c r="J13888" s="0" t="s">
        <v>46127</v>
      </c>
      <c r="K13888" s="0" t="s">
        <v>46128</v>
      </c>
      <c r="L13888" s="0" t="str">
        <f aca="false">HYPERLINK("https://www.ncbi.nlm.nih.gov/nuccore/CP000058.1?report=graph&amp;tracks=[key:gene_model_track,Options:GeneOnly]&amp;mk=4319977:4319996|offset_9|444444,4319938:4319957|offset_48|00cc00,4319877:4319896|offset_109|444444,4319853:4319872|offset_133|444444&amp;v=4319776:4320072&amp;c=444444", "offset 48")</f>
        <v>offset 48</v>
      </c>
    </row>
    <row r="13889" customFormat="false" ht="12.8" hidden="false" customHeight="false" outlineLevel="0" collapsed="false">
      <c r="A13889" s="0" t="s">
        <v>12</v>
      </c>
      <c r="B13889" s="0" t="n">
        <v>4319876</v>
      </c>
      <c r="C13889" s="0" t="n">
        <v>4319896</v>
      </c>
      <c r="D13889" s="0" t="s">
        <v>46121</v>
      </c>
      <c r="E13889" s="0" t="s">
        <v>46122</v>
      </c>
      <c r="F13889" s="0" t="s">
        <v>90</v>
      </c>
      <c r="G13889" s="0" t="s">
        <v>32</v>
      </c>
      <c r="H13889" s="0" t="n">
        <v>109</v>
      </c>
      <c r="I13889" s="0" t="s">
        <v>46129</v>
      </c>
      <c r="J13889" s="0" t="s">
        <v>46130</v>
      </c>
      <c r="K13889" s="0" t="s">
        <v>46131</v>
      </c>
      <c r="L13889" s="0" t="str">
        <f aca="false">HYPERLINK("https://www.ncbi.nlm.nih.gov/nuccore/CP000058.1?report=graph&amp;tracks=[key:gene_model_track,Options:GeneOnly]&amp;mk=4319977:4319996|offset_9|444444,4319938:4319957|offset_48|444444,4319877:4319896|offset_109|00cc00,4319853:4319872|offset_133|444444&amp;v=4319776:4320072&amp;c=444444", "offset 109")</f>
        <v>offset 109</v>
      </c>
    </row>
    <row r="13890" customFormat="false" ht="12.8" hidden="false" customHeight="false" outlineLevel="0" collapsed="false">
      <c r="A13890" s="0" t="s">
        <v>12</v>
      </c>
      <c r="B13890" s="0" t="n">
        <v>4319852</v>
      </c>
      <c r="C13890" s="0" t="n">
        <v>4319872</v>
      </c>
      <c r="D13890" s="0" t="s">
        <v>46121</v>
      </c>
      <c r="E13890" s="0" t="s">
        <v>46122</v>
      </c>
      <c r="F13890" s="0" t="s">
        <v>90</v>
      </c>
      <c r="G13890" s="0" t="s">
        <v>32</v>
      </c>
      <c r="H13890" s="0" t="n">
        <v>133</v>
      </c>
      <c r="I13890" s="0" t="s">
        <v>46132</v>
      </c>
      <c r="J13890" s="0" t="s">
        <v>46133</v>
      </c>
      <c r="K13890" s="0" t="s">
        <v>46134</v>
      </c>
      <c r="L13890" s="0" t="str">
        <f aca="false">HYPERLINK("https://www.ncbi.nlm.nih.gov/nuccore/CP000058.1?report=graph&amp;tracks=[key:gene_model_track,Options:GeneOnly]&amp;mk=4319977:4319996|offset_9|444444,4319938:4319957|offset_48|444444,4319877:4319896|offset_109|444444,4319853:4319872|offset_133|00cc00&amp;v=4319776:4320072&amp;c=444444", "offset 133")</f>
        <v>offset 133</v>
      </c>
    </row>
    <row r="13891" customFormat="false" ht="12.8" hidden="false" customHeight="false" outlineLevel="0" collapsed="false">
      <c r="A13891" s="0" t="s">
        <v>12</v>
      </c>
      <c r="B13891" s="0" t="n">
        <v>4320449</v>
      </c>
      <c r="C13891" s="0" t="n">
        <v>4320469</v>
      </c>
      <c r="D13891" s="0" t="s">
        <v>46135</v>
      </c>
      <c r="E13891" s="0" t="s">
        <v>46136</v>
      </c>
      <c r="F13891" s="0" t="s">
        <v>90</v>
      </c>
      <c r="G13891" s="0" t="s">
        <v>36</v>
      </c>
      <c r="H13891" s="0" t="n">
        <v>0</v>
      </c>
      <c r="I13891" s="0" t="s">
        <v>46137</v>
      </c>
      <c r="J13891" s="0" t="s">
        <v>46138</v>
      </c>
      <c r="K13891" s="0" t="s">
        <v>46139</v>
      </c>
      <c r="L13891" s="0" t="str">
        <f aca="false">HYPERLINK("https://www.ncbi.nlm.nih.gov/nuccore/CP000058.1?report=graph&amp;tracks=[key:gene_model_track,Options:GeneOnly]&amp;mk=4320450:4320469|offset_0|00cc00,4320408:4320427|offset_42|444444,4320333:4320352|offset_117|444444,4320300:4320319|offset_150|444444&amp;v=4320249:4320519&amp;c=444444", "offset 0")</f>
        <v>offset 0</v>
      </c>
    </row>
    <row r="13892" customFormat="false" ht="12.8" hidden="false" customHeight="false" outlineLevel="0" collapsed="false">
      <c r="A13892" s="0" t="s">
        <v>12</v>
      </c>
      <c r="B13892" s="0" t="n">
        <v>4320407</v>
      </c>
      <c r="C13892" s="0" t="n">
        <v>4320427</v>
      </c>
      <c r="D13892" s="0" t="s">
        <v>46135</v>
      </c>
      <c r="E13892" s="0" t="s">
        <v>46136</v>
      </c>
      <c r="F13892" s="0" t="s">
        <v>90</v>
      </c>
      <c r="G13892" s="0" t="s">
        <v>16</v>
      </c>
      <c r="H13892" s="0" t="n">
        <v>42</v>
      </c>
      <c r="I13892" s="0" t="s">
        <v>46140</v>
      </c>
      <c r="J13892" s="0" t="s">
        <v>46141</v>
      </c>
      <c r="K13892" s="0" t="s">
        <v>46142</v>
      </c>
      <c r="L13892" s="0" t="str">
        <f aca="false">HYPERLINK("https://www.ncbi.nlm.nih.gov/nuccore/CP000058.1?report=graph&amp;tracks=[key:gene_model_track,Options:GeneOnly]&amp;mk=4320450:4320469|offset_0|444444,4320408:4320427|offset_42|00cc00,4320333:4320352|offset_117|444444,4320300:4320319|offset_150|444444&amp;v=4320249:4320519&amp;c=444444", "offset 42")</f>
        <v>offset 42</v>
      </c>
    </row>
    <row r="13893" customFormat="false" ht="12.8" hidden="false" customHeight="false" outlineLevel="0" collapsed="false">
      <c r="A13893" s="0" t="s">
        <v>12</v>
      </c>
      <c r="B13893" s="0" t="n">
        <v>4320332</v>
      </c>
      <c r="C13893" s="0" t="n">
        <v>4320352</v>
      </c>
      <c r="D13893" s="0" t="s">
        <v>46135</v>
      </c>
      <c r="E13893" s="0" t="s">
        <v>46136</v>
      </c>
      <c r="F13893" s="0" t="s">
        <v>90</v>
      </c>
      <c r="G13893" s="0" t="s">
        <v>36</v>
      </c>
      <c r="H13893" s="0" t="n">
        <v>117</v>
      </c>
      <c r="I13893" s="0" t="s">
        <v>46143</v>
      </c>
      <c r="J13893" s="0" t="s">
        <v>46144</v>
      </c>
      <c r="K13893" s="0" t="s">
        <v>46145</v>
      </c>
      <c r="L13893" s="0" t="str">
        <f aca="false">HYPERLINK("https://www.ncbi.nlm.nih.gov/nuccore/CP000058.1?report=graph&amp;tracks=[key:gene_model_track,Options:GeneOnly]&amp;mk=4320450:4320469|offset_0|444444,4320408:4320427|offset_42|444444,4320333:4320352|offset_117|00cc00,4320300:4320319|offset_150|444444&amp;v=4320249:4320519&amp;c=444444", "offset 117")</f>
        <v>offset 117</v>
      </c>
    </row>
    <row r="13894" customFormat="false" ht="12.8" hidden="false" customHeight="false" outlineLevel="0" collapsed="false">
      <c r="A13894" s="0" t="s">
        <v>12</v>
      </c>
      <c r="B13894" s="0" t="n">
        <v>4320299</v>
      </c>
      <c r="C13894" s="0" t="n">
        <v>4320319</v>
      </c>
      <c r="D13894" s="0" t="s">
        <v>46135</v>
      </c>
      <c r="E13894" s="0" t="s">
        <v>46136</v>
      </c>
      <c r="F13894" s="0" t="s">
        <v>90</v>
      </c>
      <c r="G13894" s="0" t="s">
        <v>36</v>
      </c>
      <c r="H13894" s="0" t="n">
        <v>150</v>
      </c>
      <c r="I13894" s="0" t="s">
        <v>46146</v>
      </c>
      <c r="J13894" s="0" t="s">
        <v>46147</v>
      </c>
      <c r="K13894" s="0" t="s">
        <v>46148</v>
      </c>
      <c r="L13894" s="0" t="str">
        <f aca="false">HYPERLINK("https://www.ncbi.nlm.nih.gov/nuccore/CP000058.1?report=graph&amp;tracks=[key:gene_model_track,Options:GeneOnly]&amp;mk=4320450:4320469|offset_0|444444,4320408:4320427|offset_42|444444,4320333:4320352|offset_117|444444,4320300:4320319|offset_150|00cc00&amp;v=4320249:4320519&amp;c=444444", "offset 150")</f>
        <v>offset 150</v>
      </c>
    </row>
    <row r="13895" customFormat="false" ht="12.8" hidden="false" customHeight="false" outlineLevel="0" collapsed="false">
      <c r="A13895" s="0" t="s">
        <v>12</v>
      </c>
      <c r="B13895" s="0" t="n">
        <v>4321136</v>
      </c>
      <c r="C13895" s="0" t="n">
        <v>4321156</v>
      </c>
      <c r="D13895" s="0" t="s">
        <v>46149</v>
      </c>
      <c r="E13895" s="0" t="s">
        <v>46150</v>
      </c>
      <c r="F13895" s="0" t="s">
        <v>90</v>
      </c>
      <c r="G13895" s="0" t="s">
        <v>32</v>
      </c>
      <c r="H13895" s="0" t="n">
        <v>23</v>
      </c>
      <c r="I13895" s="0" t="s">
        <v>46151</v>
      </c>
      <c r="J13895" s="0" t="s">
        <v>46152</v>
      </c>
      <c r="K13895" s="0" t="s">
        <v>46153</v>
      </c>
      <c r="L13895" s="0" t="str">
        <f aca="false">HYPERLINK("https://www.ncbi.nlm.nih.gov/nuccore/CP000058.1?report=graph&amp;tracks=[key:gene_model_track,Options:GeneOnly]&amp;mk=4321137:4321156|offset_23|00cc00,4321105:4321124|offset_55|444444,4320955:4320974|offset_205|444444,4320926:4320945|offset_234|444444&amp;v=4320936:4321145&amp;c=444444", "offset 23")</f>
        <v>offset 23</v>
      </c>
    </row>
    <row r="13896" customFormat="false" ht="12.8" hidden="false" customHeight="false" outlineLevel="0" collapsed="false">
      <c r="A13896" s="0" t="s">
        <v>12</v>
      </c>
      <c r="B13896" s="0" t="n">
        <v>4321104</v>
      </c>
      <c r="C13896" s="0" t="n">
        <v>4321124</v>
      </c>
      <c r="D13896" s="0" t="s">
        <v>46149</v>
      </c>
      <c r="E13896" s="0" t="s">
        <v>46150</v>
      </c>
      <c r="F13896" s="0" t="s">
        <v>90</v>
      </c>
      <c r="G13896" s="0" t="s">
        <v>32</v>
      </c>
      <c r="H13896" s="0" t="n">
        <v>55</v>
      </c>
      <c r="I13896" s="0" t="s">
        <v>46154</v>
      </c>
      <c r="J13896" s="0" t="s">
        <v>46155</v>
      </c>
      <c r="K13896" s="0" t="s">
        <v>46156</v>
      </c>
      <c r="L13896" s="0" t="str">
        <f aca="false">HYPERLINK("https://www.ncbi.nlm.nih.gov/nuccore/CP000058.1?report=graph&amp;tracks=[key:gene_model_track,Options:GeneOnly]&amp;mk=4321137:4321156|offset_23|444444,4321105:4321124|offset_55|00cc00,4320955:4320974|offset_205|444444,4320926:4320945|offset_234|444444&amp;v=4320936:4321145&amp;c=444444", "offset 55")</f>
        <v>offset 55</v>
      </c>
    </row>
    <row r="13897" customFormat="false" ht="12.8" hidden="false" customHeight="false" outlineLevel="0" collapsed="false">
      <c r="A13897" s="0" t="s">
        <v>12</v>
      </c>
      <c r="B13897" s="0" t="n">
        <v>4320954</v>
      </c>
      <c r="C13897" s="0" t="n">
        <v>4320974</v>
      </c>
      <c r="D13897" s="0" t="s">
        <v>46149</v>
      </c>
      <c r="E13897" s="0" t="s">
        <v>46150</v>
      </c>
      <c r="F13897" s="0" t="s">
        <v>90</v>
      </c>
      <c r="G13897" s="0" t="s">
        <v>32</v>
      </c>
      <c r="H13897" s="0" t="n">
        <v>205</v>
      </c>
      <c r="I13897" s="0" t="s">
        <v>46157</v>
      </c>
      <c r="J13897" s="0" t="s">
        <v>46158</v>
      </c>
      <c r="K13897" s="0" t="s">
        <v>46159</v>
      </c>
      <c r="L13897" s="0" t="str">
        <f aca="false">HYPERLINK("https://www.ncbi.nlm.nih.gov/nuccore/CP000058.1?report=graph&amp;tracks=[key:gene_model_track,Options:GeneOnly]&amp;mk=4321137:4321156|offset_23|444444,4321105:4321124|offset_55|444444,4320955:4320974|offset_205|00cc00,4320926:4320945|offset_234|444444&amp;v=4320936:4321145&amp;c=444444", "offset 205")</f>
        <v>offset 205</v>
      </c>
    </row>
    <row r="13898" customFormat="false" ht="12.8" hidden="false" customHeight="false" outlineLevel="0" collapsed="false">
      <c r="A13898" s="0" t="s">
        <v>12</v>
      </c>
      <c r="B13898" s="0" t="n">
        <v>4320925</v>
      </c>
      <c r="C13898" s="0" t="n">
        <v>4320945</v>
      </c>
      <c r="D13898" s="0" t="s">
        <v>46149</v>
      </c>
      <c r="E13898" s="0" t="s">
        <v>46150</v>
      </c>
      <c r="F13898" s="0" t="s">
        <v>90</v>
      </c>
      <c r="G13898" s="0" t="s">
        <v>36</v>
      </c>
      <c r="H13898" s="0" t="n">
        <v>234</v>
      </c>
      <c r="I13898" s="0" t="s">
        <v>46160</v>
      </c>
      <c r="J13898" s="0" t="s">
        <v>46161</v>
      </c>
      <c r="K13898" s="0" t="s">
        <v>46162</v>
      </c>
      <c r="L13898" s="0" t="str">
        <f aca="false">HYPERLINK("https://www.ncbi.nlm.nih.gov/nuccore/CP000058.1?report=graph&amp;tracks=[key:gene_model_track,Options:GeneOnly]&amp;mk=4321137:4321156|offset_23|444444,4321105:4321124|offset_55|444444,4320955:4320974|offset_205|444444,4320926:4320945|offset_234|00cc00&amp;v=4320936:4321145&amp;c=444444", "offset 234")</f>
        <v>offset 234</v>
      </c>
    </row>
    <row r="13899" customFormat="false" ht="12.8" hidden="false" customHeight="false" outlineLevel="0" collapsed="false">
      <c r="A13899" s="0" t="s">
        <v>12</v>
      </c>
      <c r="B13899" s="0" t="n">
        <v>4321552</v>
      </c>
      <c r="C13899" s="0" t="n">
        <v>4321572</v>
      </c>
      <c r="D13899" s="0" t="s">
        <v>46163</v>
      </c>
      <c r="E13899" s="0" t="s">
        <v>75</v>
      </c>
      <c r="F13899" s="0" t="s">
        <v>90</v>
      </c>
      <c r="G13899" s="0" t="s">
        <v>16</v>
      </c>
      <c r="H13899" s="0" t="n">
        <v>64</v>
      </c>
      <c r="I13899" s="0" t="s">
        <v>46164</v>
      </c>
      <c r="J13899" s="0" t="s">
        <v>46165</v>
      </c>
      <c r="K13899" s="0" t="s">
        <v>46166</v>
      </c>
      <c r="L13899" s="0" t="str">
        <f aca="false">HYPERLINK("https://www.ncbi.nlm.nih.gov/nuccore/CP000058.1?report=graph&amp;tracks=[key:gene_model_track,Options:GeneOnly]&amp;mk=4321553:4321572|offset_64|00cc00,4321493:4321512|offset_124|444444,4321466:4321485|offset_151|444444,4321441:4321460|offset_176|444444&amp;v=4321352:4321660&amp;c=444444", "offset 64")</f>
        <v>offset 64</v>
      </c>
    </row>
    <row r="13900" customFormat="false" ht="12.8" hidden="false" customHeight="false" outlineLevel="0" collapsed="false">
      <c r="A13900" s="0" t="s">
        <v>12</v>
      </c>
      <c r="B13900" s="0" t="n">
        <v>4321492</v>
      </c>
      <c r="C13900" s="0" t="n">
        <v>4321512</v>
      </c>
      <c r="D13900" s="0" t="s">
        <v>46163</v>
      </c>
      <c r="E13900" s="0" t="s">
        <v>75</v>
      </c>
      <c r="F13900" s="0" t="s">
        <v>90</v>
      </c>
      <c r="G13900" s="0" t="s">
        <v>16</v>
      </c>
      <c r="H13900" s="0" t="n">
        <v>124</v>
      </c>
      <c r="I13900" s="0" t="s">
        <v>46167</v>
      </c>
      <c r="J13900" s="0" t="s">
        <v>46168</v>
      </c>
      <c r="K13900" s="0" t="s">
        <v>46169</v>
      </c>
      <c r="L13900" s="0" t="str">
        <f aca="false">HYPERLINK("https://www.ncbi.nlm.nih.gov/nuccore/CP000058.1?report=graph&amp;tracks=[key:gene_model_track,Options:GeneOnly]&amp;mk=4321553:4321572|offset_64|444444,4321493:4321512|offset_124|00cc00,4321466:4321485|offset_151|444444,4321441:4321460|offset_176|444444&amp;v=4321352:4321660&amp;c=444444", "offset 124")</f>
        <v>offset 124</v>
      </c>
    </row>
    <row r="13901" customFormat="false" ht="12.8" hidden="false" customHeight="false" outlineLevel="0" collapsed="false">
      <c r="A13901" s="0" t="s">
        <v>12</v>
      </c>
      <c r="B13901" s="0" t="n">
        <v>4321465</v>
      </c>
      <c r="C13901" s="0" t="n">
        <v>4321485</v>
      </c>
      <c r="D13901" s="0" t="s">
        <v>46163</v>
      </c>
      <c r="E13901" s="0" t="s">
        <v>75</v>
      </c>
      <c r="F13901" s="0" t="s">
        <v>90</v>
      </c>
      <c r="G13901" s="0" t="s">
        <v>36</v>
      </c>
      <c r="H13901" s="0" t="n">
        <v>151</v>
      </c>
      <c r="I13901" s="0" t="s">
        <v>46170</v>
      </c>
      <c r="J13901" s="0" t="s">
        <v>46171</v>
      </c>
      <c r="K13901" s="0" t="s">
        <v>46172</v>
      </c>
      <c r="L13901" s="0" t="str">
        <f aca="false">HYPERLINK("https://www.ncbi.nlm.nih.gov/nuccore/CP000058.1?report=graph&amp;tracks=[key:gene_model_track,Options:GeneOnly]&amp;mk=4321553:4321572|offset_64|444444,4321493:4321512|offset_124|444444,4321466:4321485|offset_151|00cc00,4321441:4321460|offset_176|444444&amp;v=4321352:4321660&amp;c=444444", "offset 151")</f>
        <v>offset 151</v>
      </c>
    </row>
    <row r="13902" customFormat="false" ht="12.8" hidden="false" customHeight="false" outlineLevel="0" collapsed="false">
      <c r="A13902" s="0" t="s">
        <v>12</v>
      </c>
      <c r="B13902" s="0" t="n">
        <v>4321440</v>
      </c>
      <c r="C13902" s="0" t="n">
        <v>4321460</v>
      </c>
      <c r="D13902" s="0" t="s">
        <v>46163</v>
      </c>
      <c r="E13902" s="0" t="s">
        <v>75</v>
      </c>
      <c r="F13902" s="0" t="s">
        <v>90</v>
      </c>
      <c r="G13902" s="0" t="s">
        <v>20</v>
      </c>
      <c r="H13902" s="0" t="n">
        <v>176</v>
      </c>
      <c r="I13902" s="0" t="s">
        <v>46173</v>
      </c>
      <c r="J13902" s="0" t="s">
        <v>46174</v>
      </c>
      <c r="K13902" s="0" t="s">
        <v>46175</v>
      </c>
      <c r="L13902" s="0" t="str">
        <f aca="false">HYPERLINK("https://www.ncbi.nlm.nih.gov/nuccore/CP000058.1?report=graph&amp;tracks=[key:gene_model_track,Options:GeneOnly]&amp;mk=4321553:4321572|offset_64|444444,4321493:4321512|offset_124|444444,4321466:4321485|offset_151|444444,4321441:4321460|offset_176|00cc00&amp;v=4321352:4321660&amp;c=444444", "offset 176")</f>
        <v>offset 176</v>
      </c>
    </row>
    <row r="13903" customFormat="false" ht="12.8" hidden="false" customHeight="false" outlineLevel="0" collapsed="false">
      <c r="A13903" s="0" t="s">
        <v>12</v>
      </c>
      <c r="B13903" s="0" t="n">
        <v>4322798</v>
      </c>
      <c r="C13903" s="0" t="n">
        <v>4322818</v>
      </c>
      <c r="D13903" s="0" t="s">
        <v>46176</v>
      </c>
      <c r="E13903" s="0" t="s">
        <v>46177</v>
      </c>
      <c r="F13903" s="0" t="s">
        <v>90</v>
      </c>
      <c r="G13903" s="0" t="s">
        <v>16</v>
      </c>
      <c r="H13903" s="0" t="n">
        <v>13</v>
      </c>
      <c r="I13903" s="0" t="s">
        <v>46178</v>
      </c>
      <c r="J13903" s="0" t="s">
        <v>46179</v>
      </c>
      <c r="K13903" s="0" t="s">
        <v>46180</v>
      </c>
      <c r="L13903" s="0" t="str">
        <f aca="false">HYPERLINK("https://www.ncbi.nlm.nih.gov/nuccore/CP000058.1?report=graph&amp;tracks=[key:gene_model_track,Options:GeneOnly]&amp;mk=4322799:4322818|offset_13|00cc00,4322771:4322790|offset_41|444444,4322747:4322766|offset_65|444444,4322726:4322745|offset_86|444444&amp;v=4322598:4322945&amp;c=444444", "offset 13")</f>
        <v>offset 13</v>
      </c>
    </row>
    <row r="13904" customFormat="false" ht="12.8" hidden="false" customHeight="false" outlineLevel="0" collapsed="false">
      <c r="A13904" s="0" t="s">
        <v>12</v>
      </c>
      <c r="B13904" s="0" t="n">
        <v>4322770</v>
      </c>
      <c r="C13904" s="0" t="n">
        <v>4322790</v>
      </c>
      <c r="D13904" s="0" t="s">
        <v>46176</v>
      </c>
      <c r="E13904" s="0" t="s">
        <v>46177</v>
      </c>
      <c r="F13904" s="0" t="s">
        <v>90</v>
      </c>
      <c r="G13904" s="0" t="s">
        <v>16</v>
      </c>
      <c r="H13904" s="0" t="n">
        <v>41</v>
      </c>
      <c r="I13904" s="0" t="s">
        <v>46181</v>
      </c>
      <c r="J13904" s="0" t="s">
        <v>46182</v>
      </c>
      <c r="K13904" s="0" t="s">
        <v>46183</v>
      </c>
      <c r="L13904" s="0" t="str">
        <f aca="false">HYPERLINK("https://www.ncbi.nlm.nih.gov/nuccore/CP000058.1?report=graph&amp;tracks=[key:gene_model_track,Options:GeneOnly]&amp;mk=4322799:4322818|offset_13|444444,4322771:4322790|offset_41|00cc00,4322747:4322766|offset_65|444444,4322726:4322745|offset_86|444444&amp;v=4322598:4322945&amp;c=444444", "offset 41")</f>
        <v>offset 41</v>
      </c>
    </row>
    <row r="13905" customFormat="false" ht="12.8" hidden="false" customHeight="false" outlineLevel="0" collapsed="false">
      <c r="A13905" s="0" t="s">
        <v>12</v>
      </c>
      <c r="B13905" s="0" t="n">
        <v>4322746</v>
      </c>
      <c r="C13905" s="0" t="n">
        <v>4322766</v>
      </c>
      <c r="D13905" s="0" t="s">
        <v>46176</v>
      </c>
      <c r="E13905" s="0" t="s">
        <v>46177</v>
      </c>
      <c r="F13905" s="0" t="s">
        <v>90</v>
      </c>
      <c r="G13905" s="0" t="s">
        <v>16</v>
      </c>
      <c r="H13905" s="0" t="n">
        <v>65</v>
      </c>
      <c r="I13905" s="0" t="s">
        <v>46184</v>
      </c>
      <c r="J13905" s="0" t="s">
        <v>46185</v>
      </c>
      <c r="K13905" s="0" t="s">
        <v>46186</v>
      </c>
      <c r="L13905" s="0" t="str">
        <f aca="false">HYPERLINK("https://www.ncbi.nlm.nih.gov/nuccore/CP000058.1?report=graph&amp;tracks=[key:gene_model_track,Options:GeneOnly]&amp;mk=4322799:4322818|offset_13|444444,4322771:4322790|offset_41|444444,4322747:4322766|offset_65|00cc00,4322726:4322745|offset_86|444444&amp;v=4322598:4322945&amp;c=444444", "offset 65")</f>
        <v>offset 65</v>
      </c>
    </row>
    <row r="13906" customFormat="false" ht="12.8" hidden="false" customHeight="false" outlineLevel="0" collapsed="false">
      <c r="A13906" s="0" t="s">
        <v>12</v>
      </c>
      <c r="B13906" s="0" t="n">
        <v>4322725</v>
      </c>
      <c r="C13906" s="0" t="n">
        <v>4322745</v>
      </c>
      <c r="D13906" s="0" t="s">
        <v>46176</v>
      </c>
      <c r="E13906" s="0" t="s">
        <v>46177</v>
      </c>
      <c r="F13906" s="0" t="s">
        <v>90</v>
      </c>
      <c r="G13906" s="0" t="s">
        <v>20</v>
      </c>
      <c r="H13906" s="0" t="n">
        <v>86</v>
      </c>
      <c r="I13906" s="0" t="s">
        <v>46187</v>
      </c>
      <c r="J13906" s="0" t="s">
        <v>46188</v>
      </c>
      <c r="K13906" s="0" t="s">
        <v>46189</v>
      </c>
      <c r="L13906" s="0" t="str">
        <f aca="false">HYPERLINK("https://www.ncbi.nlm.nih.gov/nuccore/CP000058.1?report=graph&amp;tracks=[key:gene_model_track,Options:GeneOnly]&amp;mk=4322799:4322818|offset_13|444444,4322771:4322790|offset_41|444444,4322747:4322766|offset_65|444444,4322726:4322745|offset_86|00cc00&amp;v=4322598:4322945&amp;c=444444", "offset 86")</f>
        <v>offset 86</v>
      </c>
    </row>
    <row r="13907" customFormat="false" ht="12.8" hidden="false" customHeight="false" outlineLevel="0" collapsed="false">
      <c r="A13907" s="0" t="s">
        <v>12</v>
      </c>
      <c r="B13907" s="0" t="n">
        <v>4323389</v>
      </c>
      <c r="C13907" s="0" t="n">
        <v>4323409</v>
      </c>
      <c r="D13907" s="0" t="s">
        <v>46190</v>
      </c>
      <c r="E13907" s="0" t="s">
        <v>46191</v>
      </c>
      <c r="F13907" s="0" t="s">
        <v>90</v>
      </c>
      <c r="G13907" s="0" t="s">
        <v>16</v>
      </c>
      <c r="H13907" s="0" t="n">
        <v>31</v>
      </c>
      <c r="I13907" s="0" t="s">
        <v>46192</v>
      </c>
      <c r="J13907" s="0" t="s">
        <v>46193</v>
      </c>
      <c r="K13907" s="0" t="s">
        <v>46194</v>
      </c>
      <c r="L13907" s="0" t="str">
        <f aca="false">HYPERLINK("https://www.ncbi.nlm.nih.gov/nuccore/CP000058.1?report=graph&amp;tracks=[key:gene_model_track,Options:GeneOnly]&amp;mk=4323390:4323409|offset_31|00cc00,4323328:4323347|offset_93|444444,4323304:4323323|offset_117|444444,4323273:4323292|offset_148|444444&amp;v=4323189:4323492&amp;c=444444", "offset 31")</f>
        <v>offset 31</v>
      </c>
    </row>
    <row r="13908" customFormat="false" ht="12.8" hidden="false" customHeight="false" outlineLevel="0" collapsed="false">
      <c r="A13908" s="0" t="s">
        <v>12</v>
      </c>
      <c r="B13908" s="0" t="n">
        <v>4323327</v>
      </c>
      <c r="C13908" s="0" t="n">
        <v>4323347</v>
      </c>
      <c r="D13908" s="0" t="s">
        <v>46190</v>
      </c>
      <c r="E13908" s="0" t="s">
        <v>46191</v>
      </c>
      <c r="F13908" s="0" t="s">
        <v>90</v>
      </c>
      <c r="G13908" s="0" t="s">
        <v>16</v>
      </c>
      <c r="H13908" s="0" t="n">
        <v>93</v>
      </c>
      <c r="I13908" s="0" t="s">
        <v>46195</v>
      </c>
      <c r="J13908" s="0" t="s">
        <v>46196</v>
      </c>
      <c r="K13908" s="0" t="s">
        <v>46197</v>
      </c>
      <c r="L13908" s="0" t="str">
        <f aca="false">HYPERLINK("https://www.ncbi.nlm.nih.gov/nuccore/CP000058.1?report=graph&amp;tracks=[key:gene_model_track,Options:GeneOnly]&amp;mk=4323390:4323409|offset_31|444444,4323328:4323347|offset_93|00cc00,4323304:4323323|offset_117|444444,4323273:4323292|offset_148|444444&amp;v=4323189:4323492&amp;c=444444", "offset 93")</f>
        <v>offset 93</v>
      </c>
    </row>
    <row r="13909" customFormat="false" ht="12.8" hidden="false" customHeight="false" outlineLevel="0" collapsed="false">
      <c r="A13909" s="0" t="s">
        <v>12</v>
      </c>
      <c r="B13909" s="0" t="n">
        <v>4323303</v>
      </c>
      <c r="C13909" s="0" t="n">
        <v>4323323</v>
      </c>
      <c r="D13909" s="0" t="s">
        <v>46190</v>
      </c>
      <c r="E13909" s="0" t="s">
        <v>46191</v>
      </c>
      <c r="F13909" s="0" t="s">
        <v>90</v>
      </c>
      <c r="G13909" s="0" t="s">
        <v>16</v>
      </c>
      <c r="H13909" s="0" t="n">
        <v>117</v>
      </c>
      <c r="I13909" s="0" t="s">
        <v>46198</v>
      </c>
      <c r="J13909" s="0" t="s">
        <v>46199</v>
      </c>
      <c r="K13909" s="0" t="s">
        <v>46200</v>
      </c>
      <c r="L13909" s="0" t="str">
        <f aca="false">HYPERLINK("https://www.ncbi.nlm.nih.gov/nuccore/CP000058.1?report=graph&amp;tracks=[key:gene_model_track,Options:GeneOnly]&amp;mk=4323390:4323409|offset_31|444444,4323328:4323347|offset_93|444444,4323304:4323323|offset_117|00cc00,4323273:4323292|offset_148|444444&amp;v=4323189:4323492&amp;c=444444", "offset 117")</f>
        <v>offset 117</v>
      </c>
    </row>
    <row r="13910" customFormat="false" ht="12.8" hidden="false" customHeight="false" outlineLevel="0" collapsed="false">
      <c r="A13910" s="0" t="s">
        <v>12</v>
      </c>
      <c r="B13910" s="0" t="n">
        <v>4323272</v>
      </c>
      <c r="C13910" s="0" t="n">
        <v>4323292</v>
      </c>
      <c r="D13910" s="0" t="s">
        <v>46190</v>
      </c>
      <c r="E13910" s="0" t="s">
        <v>46191</v>
      </c>
      <c r="F13910" s="0" t="s">
        <v>90</v>
      </c>
      <c r="G13910" s="0" t="s">
        <v>36</v>
      </c>
      <c r="H13910" s="0" t="n">
        <v>148</v>
      </c>
      <c r="I13910" s="0" t="s">
        <v>46201</v>
      </c>
      <c r="J13910" s="0" t="s">
        <v>46202</v>
      </c>
      <c r="K13910" s="0" t="s">
        <v>46203</v>
      </c>
      <c r="L13910" s="0" t="str">
        <f aca="false">HYPERLINK("https://www.ncbi.nlm.nih.gov/nuccore/CP000058.1?report=graph&amp;tracks=[key:gene_model_track,Options:GeneOnly]&amp;mk=4323390:4323409|offset_31|444444,4323328:4323347|offset_93|444444,4323304:4323323|offset_117|444444,4323273:4323292|offset_148|00cc00&amp;v=4323189:4323492&amp;c=444444", "offset 148")</f>
        <v>offset 148</v>
      </c>
    </row>
    <row r="13911" customFormat="false" ht="12.8" hidden="false" customHeight="false" outlineLevel="0" collapsed="false">
      <c r="A13911" s="0" t="s">
        <v>12</v>
      </c>
      <c r="B13911" s="0" t="n">
        <v>4324004</v>
      </c>
      <c r="C13911" s="0" t="n">
        <v>4324024</v>
      </c>
      <c r="D13911" s="0" t="s">
        <v>46204</v>
      </c>
      <c r="E13911" s="0" t="s">
        <v>46205</v>
      </c>
      <c r="F13911" s="0" t="s">
        <v>90</v>
      </c>
      <c r="G13911" s="0" t="s">
        <v>36</v>
      </c>
      <c r="H13911" s="0" t="n">
        <v>26</v>
      </c>
      <c r="I13911" s="0" t="s">
        <v>46206</v>
      </c>
      <c r="J13911" s="0" t="s">
        <v>46207</v>
      </c>
      <c r="K13911" s="0" t="s">
        <v>46208</v>
      </c>
      <c r="L13911" s="0" t="str">
        <f aca="false">HYPERLINK("https://www.ncbi.nlm.nih.gov/nuccore/CP000058.1?report=graph&amp;tracks=[key:gene_model_track,Options:GeneOnly]&amp;mk=4324005:4324024|offset_26|00cc00,4323964:4323983|offset_67|444444,4323937:4323956|offset_94|444444,4323856:4323875|offset_175|444444&amp;v=4323804:4324075&amp;c=444444", "offset 26")</f>
        <v>offset 26</v>
      </c>
    </row>
    <row r="13912" customFormat="false" ht="12.8" hidden="false" customHeight="false" outlineLevel="0" collapsed="false">
      <c r="A13912" s="0" t="s">
        <v>12</v>
      </c>
      <c r="B13912" s="0" t="n">
        <v>4323963</v>
      </c>
      <c r="C13912" s="0" t="n">
        <v>4323983</v>
      </c>
      <c r="D13912" s="0" t="s">
        <v>46204</v>
      </c>
      <c r="E13912" s="0" t="s">
        <v>46205</v>
      </c>
      <c r="F13912" s="0" t="s">
        <v>90</v>
      </c>
      <c r="G13912" s="0" t="s">
        <v>16</v>
      </c>
      <c r="H13912" s="0" t="n">
        <v>67</v>
      </c>
      <c r="I13912" s="0" t="s">
        <v>46209</v>
      </c>
      <c r="J13912" s="0" t="s">
        <v>46210</v>
      </c>
      <c r="K13912" s="0" t="s">
        <v>46211</v>
      </c>
      <c r="L13912" s="0" t="str">
        <f aca="false">HYPERLINK("https://www.ncbi.nlm.nih.gov/nuccore/CP000058.1?report=graph&amp;tracks=[key:gene_model_track,Options:GeneOnly]&amp;mk=4324005:4324024|offset_26|444444,4323964:4323983|offset_67|00cc00,4323937:4323956|offset_94|444444,4323856:4323875|offset_175|444444&amp;v=4323804:4324075&amp;c=444444", "offset 67")</f>
        <v>offset 67</v>
      </c>
    </row>
    <row r="13913" customFormat="false" ht="12.8" hidden="false" customHeight="false" outlineLevel="0" collapsed="false">
      <c r="A13913" s="0" t="s">
        <v>12</v>
      </c>
      <c r="B13913" s="0" t="n">
        <v>4323936</v>
      </c>
      <c r="C13913" s="0" t="n">
        <v>4323956</v>
      </c>
      <c r="D13913" s="0" t="s">
        <v>46204</v>
      </c>
      <c r="E13913" s="0" t="s">
        <v>46205</v>
      </c>
      <c r="F13913" s="0" t="s">
        <v>90</v>
      </c>
      <c r="G13913" s="0" t="s">
        <v>16</v>
      </c>
      <c r="H13913" s="0" t="n">
        <v>94</v>
      </c>
      <c r="I13913" s="0" t="s">
        <v>46212</v>
      </c>
      <c r="J13913" s="0" t="s">
        <v>46213</v>
      </c>
      <c r="K13913" s="0" t="s">
        <v>46214</v>
      </c>
      <c r="L13913" s="0" t="str">
        <f aca="false">HYPERLINK("https://www.ncbi.nlm.nih.gov/nuccore/CP000058.1?report=graph&amp;tracks=[key:gene_model_track,Options:GeneOnly]&amp;mk=4324005:4324024|offset_26|444444,4323964:4323983|offset_67|444444,4323937:4323956|offset_94|00cc00,4323856:4323875|offset_175|444444&amp;v=4323804:4324075&amp;c=444444", "offset 94")</f>
        <v>offset 94</v>
      </c>
    </row>
    <row r="13914" customFormat="false" ht="12.8" hidden="false" customHeight="false" outlineLevel="0" collapsed="false">
      <c r="A13914" s="0" t="s">
        <v>12</v>
      </c>
      <c r="B13914" s="0" t="n">
        <v>4323855</v>
      </c>
      <c r="C13914" s="0" t="n">
        <v>4323875</v>
      </c>
      <c r="D13914" s="0" t="s">
        <v>46204</v>
      </c>
      <c r="E13914" s="0" t="s">
        <v>46205</v>
      </c>
      <c r="F13914" s="0" t="s">
        <v>90</v>
      </c>
      <c r="G13914" s="0" t="s">
        <v>20</v>
      </c>
      <c r="H13914" s="0" t="n">
        <v>175</v>
      </c>
      <c r="I13914" s="0" t="s">
        <v>46215</v>
      </c>
      <c r="J13914" s="0" t="s">
        <v>46216</v>
      </c>
      <c r="K13914" s="0" t="s">
        <v>46217</v>
      </c>
      <c r="L13914" s="0" t="str">
        <f aca="false">HYPERLINK("https://www.ncbi.nlm.nih.gov/nuccore/CP000058.1?report=graph&amp;tracks=[key:gene_model_track,Options:GeneOnly]&amp;mk=4324005:4324024|offset_26|444444,4323964:4323983|offset_67|444444,4323937:4323956|offset_94|444444,4323856:4323875|offset_175|00cc00&amp;v=4323804:4324075&amp;c=444444", "offset 175")</f>
        <v>offset 175</v>
      </c>
    </row>
    <row r="13915" customFormat="false" ht="12.8" hidden="false" customHeight="false" outlineLevel="0" collapsed="false">
      <c r="A13915" s="0" t="s">
        <v>12</v>
      </c>
      <c r="B13915" s="0" t="n">
        <v>4324869</v>
      </c>
      <c r="C13915" s="0" t="n">
        <v>4324889</v>
      </c>
      <c r="D13915" s="0" t="s">
        <v>46218</v>
      </c>
      <c r="E13915" s="0" t="s">
        <v>75</v>
      </c>
      <c r="F13915" s="0" t="s">
        <v>90</v>
      </c>
      <c r="G13915" s="0" t="s">
        <v>16</v>
      </c>
      <c r="H13915" s="0" t="n">
        <v>38</v>
      </c>
      <c r="I13915" s="0" t="s">
        <v>46219</v>
      </c>
      <c r="J13915" s="0" t="s">
        <v>46220</v>
      </c>
      <c r="K13915" s="0" t="s">
        <v>46221</v>
      </c>
      <c r="L13915" s="0" t="str">
        <f aca="false">HYPERLINK("https://www.ncbi.nlm.nih.gov/nuccore/CP000058.1?report=graph&amp;tracks=[key:gene_model_track,Options:GeneOnly]&amp;mk=4324870:4324889|offset_38|00cc00,4324850:4324869|offset_58|444444,4324829:4324848|offset_79|444444,4324779:4324798|offset_129|444444&amp;v=4324669:4324998&amp;c=444444", "offset 38")</f>
        <v>offset 38</v>
      </c>
    </row>
    <row r="13916" customFormat="false" ht="12.8" hidden="false" customHeight="false" outlineLevel="0" collapsed="false">
      <c r="A13916" s="0" t="s">
        <v>12</v>
      </c>
      <c r="B13916" s="0" t="n">
        <v>4324849</v>
      </c>
      <c r="C13916" s="0" t="n">
        <v>4324869</v>
      </c>
      <c r="D13916" s="0" t="s">
        <v>46218</v>
      </c>
      <c r="E13916" s="0" t="s">
        <v>75</v>
      </c>
      <c r="F13916" s="0" t="s">
        <v>90</v>
      </c>
      <c r="G13916" s="0" t="s">
        <v>32</v>
      </c>
      <c r="H13916" s="0" t="n">
        <v>58</v>
      </c>
      <c r="I13916" s="0" t="s">
        <v>46222</v>
      </c>
      <c r="J13916" s="0" t="s">
        <v>46223</v>
      </c>
      <c r="K13916" s="0" t="s">
        <v>46224</v>
      </c>
      <c r="L13916" s="0" t="str">
        <f aca="false">HYPERLINK("https://www.ncbi.nlm.nih.gov/nuccore/CP000058.1?report=graph&amp;tracks=[key:gene_model_track,Options:GeneOnly]&amp;mk=4324870:4324889|offset_38|444444,4324850:4324869|offset_58|00cc00,4324829:4324848|offset_79|444444,4324779:4324798|offset_129|444444&amp;v=4324669:4324998&amp;c=444444", "offset 58")</f>
        <v>offset 58</v>
      </c>
    </row>
    <row r="13917" customFormat="false" ht="12.8" hidden="false" customHeight="false" outlineLevel="0" collapsed="false">
      <c r="A13917" s="0" t="s">
        <v>12</v>
      </c>
      <c r="B13917" s="0" t="n">
        <v>4324828</v>
      </c>
      <c r="C13917" s="0" t="n">
        <v>4324848</v>
      </c>
      <c r="D13917" s="0" t="s">
        <v>46218</v>
      </c>
      <c r="E13917" s="0" t="s">
        <v>75</v>
      </c>
      <c r="F13917" s="0" t="s">
        <v>90</v>
      </c>
      <c r="G13917" s="0" t="s">
        <v>32</v>
      </c>
      <c r="H13917" s="0" t="n">
        <v>79</v>
      </c>
      <c r="I13917" s="0" t="s">
        <v>46225</v>
      </c>
      <c r="J13917" s="0" t="s">
        <v>46226</v>
      </c>
      <c r="K13917" s="0" t="s">
        <v>46227</v>
      </c>
      <c r="L13917" s="0" t="str">
        <f aca="false">HYPERLINK("https://www.ncbi.nlm.nih.gov/nuccore/CP000058.1?report=graph&amp;tracks=[key:gene_model_track,Options:GeneOnly]&amp;mk=4324870:4324889|offset_38|444444,4324850:4324869|offset_58|444444,4324829:4324848|offset_79|00cc00,4324779:4324798|offset_129|444444&amp;v=4324669:4324998&amp;c=444444", "offset 79")</f>
        <v>offset 79</v>
      </c>
    </row>
    <row r="13918" customFormat="false" ht="12.8" hidden="false" customHeight="false" outlineLevel="0" collapsed="false">
      <c r="A13918" s="0" t="s">
        <v>12</v>
      </c>
      <c r="B13918" s="0" t="n">
        <v>4324778</v>
      </c>
      <c r="C13918" s="0" t="n">
        <v>4324798</v>
      </c>
      <c r="D13918" s="0" t="s">
        <v>46218</v>
      </c>
      <c r="E13918" s="0" t="s">
        <v>75</v>
      </c>
      <c r="F13918" s="0" t="s">
        <v>90</v>
      </c>
      <c r="G13918" s="0" t="s">
        <v>20</v>
      </c>
      <c r="H13918" s="0" t="n">
        <v>129</v>
      </c>
      <c r="I13918" s="0" t="s">
        <v>46228</v>
      </c>
      <c r="J13918" s="0" t="s">
        <v>46229</v>
      </c>
      <c r="K13918" s="0" t="s">
        <v>46230</v>
      </c>
      <c r="L13918" s="0" t="str">
        <f aca="false">HYPERLINK("https://www.ncbi.nlm.nih.gov/nuccore/CP000058.1?report=graph&amp;tracks=[key:gene_model_track,Options:GeneOnly]&amp;mk=4324870:4324889|offset_38|444444,4324850:4324869|offset_58|444444,4324829:4324848|offset_79|444444,4324779:4324798|offset_129|00cc00&amp;v=4324669:4324998&amp;c=444444", "offset 129")</f>
        <v>offset 129</v>
      </c>
    </row>
    <row r="13919" customFormat="false" ht="12.8" hidden="false" customHeight="false" outlineLevel="0" collapsed="false">
      <c r="A13919" s="0" t="s">
        <v>12</v>
      </c>
      <c r="B13919" s="0" t="n">
        <v>4326785</v>
      </c>
      <c r="C13919" s="0" t="n">
        <v>4326805</v>
      </c>
      <c r="D13919" s="0" t="s">
        <v>46231</v>
      </c>
      <c r="E13919" s="0" t="s">
        <v>46232</v>
      </c>
      <c r="F13919" s="0" t="s">
        <v>90</v>
      </c>
      <c r="G13919" s="0" t="s">
        <v>32</v>
      </c>
      <c r="H13919" s="0" t="n">
        <v>14</v>
      </c>
      <c r="I13919" s="0" t="s">
        <v>46233</v>
      </c>
      <c r="J13919" s="0" t="s">
        <v>46234</v>
      </c>
      <c r="K13919" s="0" t="s">
        <v>46235</v>
      </c>
      <c r="L13919" s="0" t="str">
        <f aca="false">HYPERLINK("https://www.ncbi.nlm.nih.gov/nuccore/CP000058.1?report=graph&amp;tracks=[key:gene_model_track,Options:GeneOnly]&amp;mk=4326786:4326805|offset_14|00cc00,4326750:4326769|offset_50|444444,4326723:4326742|offset_77|444444,4326690:4326709|offset_110|444444&amp;v=4326585:4326909&amp;c=444444", "offset 14")</f>
        <v>offset 14</v>
      </c>
    </row>
    <row r="13920" customFormat="false" ht="12.8" hidden="false" customHeight="false" outlineLevel="0" collapsed="false">
      <c r="A13920" s="0" t="s">
        <v>12</v>
      </c>
      <c r="B13920" s="0" t="n">
        <v>4326749</v>
      </c>
      <c r="C13920" s="0" t="n">
        <v>4326769</v>
      </c>
      <c r="D13920" s="0" t="s">
        <v>46231</v>
      </c>
      <c r="E13920" s="0" t="s">
        <v>46232</v>
      </c>
      <c r="F13920" s="0" t="s">
        <v>90</v>
      </c>
      <c r="G13920" s="0" t="s">
        <v>32</v>
      </c>
      <c r="H13920" s="0" t="n">
        <v>50</v>
      </c>
      <c r="I13920" s="0" t="s">
        <v>46236</v>
      </c>
      <c r="J13920" s="0" t="s">
        <v>46237</v>
      </c>
      <c r="K13920" s="0" t="s">
        <v>46238</v>
      </c>
      <c r="L13920" s="0" t="str">
        <f aca="false">HYPERLINK("https://www.ncbi.nlm.nih.gov/nuccore/CP000058.1?report=graph&amp;tracks=[key:gene_model_track,Options:GeneOnly]&amp;mk=4326786:4326805|offset_14|444444,4326750:4326769|offset_50|00cc00,4326723:4326742|offset_77|444444,4326690:4326709|offset_110|444444&amp;v=4326585:4326909&amp;c=444444", "offset 50")</f>
        <v>offset 50</v>
      </c>
    </row>
    <row r="13921" customFormat="false" ht="12.8" hidden="false" customHeight="false" outlineLevel="0" collapsed="false">
      <c r="A13921" s="0" t="s">
        <v>12</v>
      </c>
      <c r="B13921" s="0" t="n">
        <v>4326722</v>
      </c>
      <c r="C13921" s="0" t="n">
        <v>4326742</v>
      </c>
      <c r="D13921" s="0" t="s">
        <v>46231</v>
      </c>
      <c r="E13921" s="0" t="s">
        <v>46232</v>
      </c>
      <c r="F13921" s="0" t="s">
        <v>90</v>
      </c>
      <c r="G13921" s="0" t="s">
        <v>32</v>
      </c>
      <c r="H13921" s="0" t="n">
        <v>77</v>
      </c>
      <c r="I13921" s="0" t="s">
        <v>46239</v>
      </c>
      <c r="J13921" s="0" t="s">
        <v>46240</v>
      </c>
      <c r="K13921" s="0" t="s">
        <v>46241</v>
      </c>
      <c r="L13921" s="0" t="str">
        <f aca="false">HYPERLINK("https://www.ncbi.nlm.nih.gov/nuccore/CP000058.1?report=graph&amp;tracks=[key:gene_model_track,Options:GeneOnly]&amp;mk=4326786:4326805|offset_14|444444,4326750:4326769|offset_50|444444,4326723:4326742|offset_77|00cc00,4326690:4326709|offset_110|444444&amp;v=4326585:4326909&amp;c=444444", "offset 77")</f>
        <v>offset 77</v>
      </c>
    </row>
    <row r="13922" customFormat="false" ht="12.8" hidden="false" customHeight="false" outlineLevel="0" collapsed="false">
      <c r="A13922" s="0" t="s">
        <v>12</v>
      </c>
      <c r="B13922" s="0" t="n">
        <v>4326689</v>
      </c>
      <c r="C13922" s="0" t="n">
        <v>4326709</v>
      </c>
      <c r="D13922" s="0" t="s">
        <v>46231</v>
      </c>
      <c r="E13922" s="0" t="s">
        <v>46232</v>
      </c>
      <c r="F13922" s="0" t="s">
        <v>90</v>
      </c>
      <c r="G13922" s="0" t="s">
        <v>20</v>
      </c>
      <c r="H13922" s="0" t="n">
        <v>110</v>
      </c>
      <c r="I13922" s="0" t="s">
        <v>46242</v>
      </c>
      <c r="J13922" s="0" t="s">
        <v>46243</v>
      </c>
      <c r="K13922" s="0" t="s">
        <v>46244</v>
      </c>
      <c r="L13922" s="0" t="str">
        <f aca="false">HYPERLINK("https://www.ncbi.nlm.nih.gov/nuccore/CP000058.1?report=graph&amp;tracks=[key:gene_model_track,Options:GeneOnly]&amp;mk=4326786:4326805|offset_14|444444,4326750:4326769|offset_50|444444,4326723:4326742|offset_77|444444,4326690:4326709|offset_110|00cc00&amp;v=4326585:4326909&amp;c=444444", "offset 110")</f>
        <v>offset 110</v>
      </c>
    </row>
    <row r="13923" customFormat="false" ht="12.8" hidden="false" customHeight="false" outlineLevel="0" collapsed="false">
      <c r="A13923" s="0" t="s">
        <v>12</v>
      </c>
      <c r="B13923" s="0" t="n">
        <v>4327362</v>
      </c>
      <c r="C13923" s="0" t="n">
        <v>4327382</v>
      </c>
      <c r="D13923" s="0" t="s">
        <v>46245</v>
      </c>
      <c r="E13923" s="0" t="s">
        <v>75</v>
      </c>
      <c r="F13923" s="0" t="s">
        <v>90</v>
      </c>
      <c r="G13923" s="0" t="s">
        <v>32</v>
      </c>
      <c r="H13923" s="0" t="n">
        <v>95</v>
      </c>
      <c r="I13923" s="0" t="s">
        <v>46246</v>
      </c>
      <c r="J13923" s="0" t="s">
        <v>46247</v>
      </c>
      <c r="K13923" s="0" t="s">
        <v>46248</v>
      </c>
      <c r="L13923" s="0" t="str">
        <f aca="false">HYPERLINK("https://www.ncbi.nlm.nih.gov/nuccore/CP000058.1?report=graph&amp;tracks=[key:gene_model_track,Options:GeneOnly]&amp;mk=4327363:4327382|offset_95|00cc00,4327331:4327350|offset_127|444444,4327307:4327326|offset_151|444444,4327279:4327298|offset_179|444444&amp;v=4327162:4327498&amp;c=444444", "offset 95")</f>
        <v>offset 95</v>
      </c>
    </row>
    <row r="13924" customFormat="false" ht="12.8" hidden="false" customHeight="false" outlineLevel="0" collapsed="false">
      <c r="A13924" s="0" t="s">
        <v>12</v>
      </c>
      <c r="B13924" s="0" t="n">
        <v>4327330</v>
      </c>
      <c r="C13924" s="0" t="n">
        <v>4327350</v>
      </c>
      <c r="D13924" s="0" t="s">
        <v>46245</v>
      </c>
      <c r="E13924" s="0" t="s">
        <v>75</v>
      </c>
      <c r="F13924" s="0" t="s">
        <v>90</v>
      </c>
      <c r="G13924" s="0" t="s">
        <v>36</v>
      </c>
      <c r="H13924" s="0" t="n">
        <v>127</v>
      </c>
      <c r="I13924" s="0" t="s">
        <v>46249</v>
      </c>
      <c r="J13924" s="0" t="s">
        <v>46250</v>
      </c>
      <c r="K13924" s="0" t="s">
        <v>46251</v>
      </c>
      <c r="L13924" s="0" t="str">
        <f aca="false">HYPERLINK("https://www.ncbi.nlm.nih.gov/nuccore/CP000058.1?report=graph&amp;tracks=[key:gene_model_track,Options:GeneOnly]&amp;mk=4327363:4327382|offset_95|444444,4327331:4327350|offset_127|00cc00,4327307:4327326|offset_151|444444,4327279:4327298|offset_179|444444&amp;v=4327162:4327498&amp;c=444444", "offset 127")</f>
        <v>offset 127</v>
      </c>
    </row>
    <row r="13925" customFormat="false" ht="12.8" hidden="false" customHeight="false" outlineLevel="0" collapsed="false">
      <c r="A13925" s="0" t="s">
        <v>12</v>
      </c>
      <c r="B13925" s="0" t="n">
        <v>4327306</v>
      </c>
      <c r="C13925" s="0" t="n">
        <v>4327326</v>
      </c>
      <c r="D13925" s="0" t="s">
        <v>46245</v>
      </c>
      <c r="E13925" s="0" t="s">
        <v>75</v>
      </c>
      <c r="F13925" s="0" t="s">
        <v>90</v>
      </c>
      <c r="G13925" s="0" t="s">
        <v>16</v>
      </c>
      <c r="H13925" s="0" t="n">
        <v>151</v>
      </c>
      <c r="I13925" s="0" t="s">
        <v>46252</v>
      </c>
      <c r="J13925" s="0" t="s">
        <v>46253</v>
      </c>
      <c r="K13925" s="0" t="s">
        <v>46254</v>
      </c>
      <c r="L13925" s="0" t="str">
        <f aca="false">HYPERLINK("https://www.ncbi.nlm.nih.gov/nuccore/CP000058.1?report=graph&amp;tracks=[key:gene_model_track,Options:GeneOnly]&amp;mk=4327363:4327382|offset_95|444444,4327331:4327350|offset_127|444444,4327307:4327326|offset_151|00cc00,4327279:4327298|offset_179|444444&amp;v=4327162:4327498&amp;c=444444", "offset 151")</f>
        <v>offset 151</v>
      </c>
    </row>
    <row r="13926" customFormat="false" ht="12.8" hidden="false" customHeight="false" outlineLevel="0" collapsed="false">
      <c r="A13926" s="0" t="s">
        <v>12</v>
      </c>
      <c r="B13926" s="0" t="n">
        <v>4327278</v>
      </c>
      <c r="C13926" s="0" t="n">
        <v>4327298</v>
      </c>
      <c r="D13926" s="0" t="s">
        <v>46245</v>
      </c>
      <c r="E13926" s="0" t="s">
        <v>75</v>
      </c>
      <c r="F13926" s="0" t="s">
        <v>90</v>
      </c>
      <c r="G13926" s="0" t="s">
        <v>20</v>
      </c>
      <c r="H13926" s="0" t="n">
        <v>179</v>
      </c>
      <c r="I13926" s="0" t="s">
        <v>46255</v>
      </c>
      <c r="J13926" s="0" t="s">
        <v>46256</v>
      </c>
      <c r="K13926" s="0" t="s">
        <v>46257</v>
      </c>
      <c r="L13926" s="0" t="str">
        <f aca="false">HYPERLINK("https://www.ncbi.nlm.nih.gov/nuccore/CP000058.1?report=graph&amp;tracks=[key:gene_model_track,Options:GeneOnly]&amp;mk=4327363:4327382|offset_95|444444,4327331:4327350|offset_127|444444,4327307:4327326|offset_151|444444,4327279:4327298|offset_179|00cc00&amp;v=4327162:4327498&amp;c=444444", "offset 179")</f>
        <v>offset 179</v>
      </c>
    </row>
    <row r="13927" customFormat="false" ht="12.8" hidden="false" customHeight="false" outlineLevel="0" collapsed="false">
      <c r="A13927" s="0" t="s">
        <v>12</v>
      </c>
      <c r="B13927" s="0" t="n">
        <v>4328156</v>
      </c>
      <c r="C13927" s="0" t="n">
        <v>4328176</v>
      </c>
      <c r="D13927" s="0" t="s">
        <v>46258</v>
      </c>
      <c r="E13927" s="0" t="s">
        <v>75</v>
      </c>
      <c r="F13927" s="0" t="s">
        <v>90</v>
      </c>
      <c r="G13927" s="0" t="s">
        <v>20</v>
      </c>
      <c r="H13927" s="0" t="n">
        <v>92</v>
      </c>
      <c r="I13927" s="0" t="s">
        <v>46259</v>
      </c>
      <c r="J13927" s="0" t="s">
        <v>46260</v>
      </c>
      <c r="K13927" s="0" t="s">
        <v>46261</v>
      </c>
      <c r="L13927" s="0" t="str">
        <f aca="false">HYPERLINK("https://www.ncbi.nlm.nih.gov/nuccore/CP000058.1?report=graph&amp;tracks=[key:gene_model_track,Options:GeneOnly]&amp;mk=4328157:4328176|offset_92|00cc00,4328120:4328139|offset_129|444444,4328047:4328066|offset_202|444444,4328021:4328040|offset_228|444444&amp;v=4327956:4328240&amp;c=444444", "offset 92")</f>
        <v>offset 92</v>
      </c>
    </row>
    <row r="13928" customFormat="false" ht="12.8" hidden="false" customHeight="false" outlineLevel="0" collapsed="false">
      <c r="A13928" s="0" t="s">
        <v>12</v>
      </c>
      <c r="B13928" s="0" t="n">
        <v>4328119</v>
      </c>
      <c r="C13928" s="0" t="n">
        <v>4328139</v>
      </c>
      <c r="D13928" s="0" t="s">
        <v>46258</v>
      </c>
      <c r="E13928" s="0" t="s">
        <v>75</v>
      </c>
      <c r="F13928" s="0" t="s">
        <v>90</v>
      </c>
      <c r="G13928" s="0" t="s">
        <v>16</v>
      </c>
      <c r="H13928" s="0" t="n">
        <v>129</v>
      </c>
      <c r="I13928" s="0" t="s">
        <v>46262</v>
      </c>
      <c r="J13928" s="0" t="s">
        <v>46263</v>
      </c>
      <c r="K13928" s="0" t="s">
        <v>46264</v>
      </c>
      <c r="L13928" s="0" t="str">
        <f aca="false">HYPERLINK("https://www.ncbi.nlm.nih.gov/nuccore/CP000058.1?report=graph&amp;tracks=[key:gene_model_track,Options:GeneOnly]&amp;mk=4328157:4328176|offset_92|444444,4328120:4328139|offset_129|00cc00,4328047:4328066|offset_202|444444,4328021:4328040|offset_228|444444&amp;v=4327956:4328240&amp;c=444444", "offset 129")</f>
        <v>offset 129</v>
      </c>
    </row>
    <row r="13929" customFormat="false" ht="12.8" hidden="false" customHeight="false" outlineLevel="0" collapsed="false">
      <c r="A13929" s="0" t="s">
        <v>12</v>
      </c>
      <c r="B13929" s="0" t="n">
        <v>4328046</v>
      </c>
      <c r="C13929" s="0" t="n">
        <v>4328066</v>
      </c>
      <c r="D13929" s="0" t="s">
        <v>46258</v>
      </c>
      <c r="E13929" s="0" t="s">
        <v>75</v>
      </c>
      <c r="F13929" s="0" t="s">
        <v>90</v>
      </c>
      <c r="G13929" s="0" t="s">
        <v>16</v>
      </c>
      <c r="H13929" s="0" t="n">
        <v>202</v>
      </c>
      <c r="I13929" s="0" t="s">
        <v>46265</v>
      </c>
      <c r="J13929" s="0" t="s">
        <v>46266</v>
      </c>
      <c r="K13929" s="0" t="s">
        <v>46267</v>
      </c>
      <c r="L13929" s="0" t="str">
        <f aca="false">HYPERLINK("https://www.ncbi.nlm.nih.gov/nuccore/CP000058.1?report=graph&amp;tracks=[key:gene_model_track,Options:GeneOnly]&amp;mk=4328157:4328176|offset_92|444444,4328120:4328139|offset_129|444444,4328047:4328066|offset_202|00cc00,4328021:4328040|offset_228|444444&amp;v=4327956:4328240&amp;c=444444", "offset 202")</f>
        <v>offset 202</v>
      </c>
    </row>
    <row r="13930" customFormat="false" ht="12.8" hidden="false" customHeight="false" outlineLevel="0" collapsed="false">
      <c r="A13930" s="0" t="s">
        <v>12</v>
      </c>
      <c r="B13930" s="0" t="n">
        <v>4328020</v>
      </c>
      <c r="C13930" s="0" t="n">
        <v>4328040</v>
      </c>
      <c r="D13930" s="0" t="s">
        <v>46258</v>
      </c>
      <c r="E13930" s="0" t="s">
        <v>75</v>
      </c>
      <c r="F13930" s="0" t="s">
        <v>90</v>
      </c>
      <c r="G13930" s="0" t="s">
        <v>20</v>
      </c>
      <c r="H13930" s="0" t="n">
        <v>228</v>
      </c>
      <c r="I13930" s="0" t="s">
        <v>46268</v>
      </c>
      <c r="J13930" s="0" t="s">
        <v>46269</v>
      </c>
      <c r="K13930" s="0" t="s">
        <v>46270</v>
      </c>
      <c r="L13930" s="0" t="str">
        <f aca="false">HYPERLINK("https://www.ncbi.nlm.nih.gov/nuccore/CP000058.1?report=graph&amp;tracks=[key:gene_model_track,Options:GeneOnly]&amp;mk=4328157:4328176|offset_92|444444,4328120:4328139|offset_129|444444,4328047:4328066|offset_202|444444,4328021:4328040|offset_228|00cc00&amp;v=4327956:4328240&amp;c=444444", "offset 228")</f>
        <v>offset 228</v>
      </c>
    </row>
    <row r="13931" customFormat="false" ht="12.8" hidden="false" customHeight="false" outlineLevel="0" collapsed="false">
      <c r="A13931" s="0" t="s">
        <v>12</v>
      </c>
      <c r="B13931" s="0" t="n">
        <v>4329138</v>
      </c>
      <c r="C13931" s="0" t="n">
        <v>4329158</v>
      </c>
      <c r="D13931" s="0" t="s">
        <v>46271</v>
      </c>
      <c r="E13931" s="0" t="s">
        <v>75</v>
      </c>
      <c r="F13931" s="0" t="s">
        <v>15</v>
      </c>
      <c r="G13931" s="0" t="s">
        <v>16</v>
      </c>
      <c r="H13931" s="0" t="n">
        <v>25</v>
      </c>
      <c r="I13931" s="0" t="s">
        <v>46272</v>
      </c>
      <c r="J13931" s="0" t="s">
        <v>46273</v>
      </c>
      <c r="K13931" s="0" t="s">
        <v>46274</v>
      </c>
      <c r="L13931" s="0" t="str">
        <f aca="false">HYPERLINK("https://www.ncbi.nlm.nih.gov/nuccore/CP000058.1?report=graph&amp;tracks=[key:gene_model_track,Options:GeneOnly]&amp;mk=4329139:4329158|offset_25|00cc00,4329160:4329179|offset_46|444444,4329181:4329200|offset_67|444444,4329220:4329239|offset_106|444444&amp;v=4328938:4329439&amp;c=444444", "offset 25")</f>
        <v>offset 25</v>
      </c>
    </row>
    <row r="13932" customFormat="false" ht="12.8" hidden="false" customHeight="false" outlineLevel="0" collapsed="false">
      <c r="A13932" s="0" t="s">
        <v>12</v>
      </c>
      <c r="B13932" s="0" t="n">
        <v>4329159</v>
      </c>
      <c r="C13932" s="0" t="n">
        <v>4329179</v>
      </c>
      <c r="D13932" s="0" t="s">
        <v>46271</v>
      </c>
      <c r="E13932" s="0" t="s">
        <v>75</v>
      </c>
      <c r="F13932" s="0" t="s">
        <v>15</v>
      </c>
      <c r="G13932" s="0" t="s">
        <v>32</v>
      </c>
      <c r="H13932" s="0" t="n">
        <v>46</v>
      </c>
      <c r="I13932" s="0" t="s">
        <v>46275</v>
      </c>
      <c r="J13932" s="0" t="s">
        <v>46276</v>
      </c>
      <c r="K13932" s="0" t="s">
        <v>46277</v>
      </c>
      <c r="L13932" s="0" t="str">
        <f aca="false">HYPERLINK("https://www.ncbi.nlm.nih.gov/nuccore/CP000058.1?report=graph&amp;tracks=[key:gene_model_track,Options:GeneOnly]&amp;mk=4329139:4329158|offset_25|444444,4329160:4329179|offset_46|00cc00,4329181:4329200|offset_67|444444,4329220:4329239|offset_106|444444&amp;v=4328938:4329439&amp;c=444444", "offset 46")</f>
        <v>offset 46</v>
      </c>
    </row>
    <row r="13933" customFormat="false" ht="12.8" hidden="false" customHeight="false" outlineLevel="0" collapsed="false">
      <c r="A13933" s="0" t="s">
        <v>12</v>
      </c>
      <c r="B13933" s="0" t="n">
        <v>4329180</v>
      </c>
      <c r="C13933" s="0" t="n">
        <v>4329200</v>
      </c>
      <c r="D13933" s="0" t="s">
        <v>46271</v>
      </c>
      <c r="E13933" s="0" t="s">
        <v>75</v>
      </c>
      <c r="F13933" s="0" t="s">
        <v>15</v>
      </c>
      <c r="G13933" s="0" t="s">
        <v>36</v>
      </c>
      <c r="H13933" s="0" t="n">
        <v>67</v>
      </c>
      <c r="I13933" s="0" t="s">
        <v>46278</v>
      </c>
      <c r="J13933" s="0" t="s">
        <v>46279</v>
      </c>
      <c r="K13933" s="0" t="s">
        <v>46280</v>
      </c>
      <c r="L13933" s="0" t="str">
        <f aca="false">HYPERLINK("https://www.ncbi.nlm.nih.gov/nuccore/CP000058.1?report=graph&amp;tracks=[key:gene_model_track,Options:GeneOnly]&amp;mk=4329139:4329158|offset_25|444444,4329160:4329179|offset_46|444444,4329181:4329200|offset_67|00cc00,4329220:4329239|offset_106|444444&amp;v=4328938:4329439&amp;c=444444", "offset 67")</f>
        <v>offset 67</v>
      </c>
    </row>
    <row r="13934" customFormat="false" ht="12.8" hidden="false" customHeight="false" outlineLevel="0" collapsed="false">
      <c r="A13934" s="0" t="s">
        <v>12</v>
      </c>
      <c r="B13934" s="0" t="n">
        <v>4329219</v>
      </c>
      <c r="C13934" s="0" t="n">
        <v>4329239</v>
      </c>
      <c r="D13934" s="0" t="s">
        <v>46271</v>
      </c>
      <c r="E13934" s="0" t="s">
        <v>75</v>
      </c>
      <c r="F13934" s="0" t="s">
        <v>15</v>
      </c>
      <c r="G13934" s="0" t="s">
        <v>32</v>
      </c>
      <c r="H13934" s="0" t="n">
        <v>106</v>
      </c>
      <c r="I13934" s="0" t="s">
        <v>46281</v>
      </c>
      <c r="J13934" s="0" t="s">
        <v>46282</v>
      </c>
      <c r="K13934" s="0" t="s">
        <v>46283</v>
      </c>
      <c r="L13934" s="0" t="str">
        <f aca="false">HYPERLINK("https://www.ncbi.nlm.nih.gov/nuccore/CP000058.1?report=graph&amp;tracks=[key:gene_model_track,Options:GeneOnly]&amp;mk=4329139:4329158|offset_25|444444,4329160:4329179|offset_46|444444,4329181:4329200|offset_67|444444,4329220:4329239|offset_106|00cc00&amp;v=4328938:4329439&amp;c=444444", "offset 106")</f>
        <v>offset 106</v>
      </c>
    </row>
    <row r="13935" customFormat="false" ht="12.8" hidden="false" customHeight="false" outlineLevel="0" collapsed="false">
      <c r="A13935" s="0" t="s">
        <v>12</v>
      </c>
      <c r="B13935" s="0" t="n">
        <v>4329579</v>
      </c>
      <c r="C13935" s="0" t="n">
        <v>4329599</v>
      </c>
      <c r="D13935" s="0" t="s">
        <v>46284</v>
      </c>
      <c r="E13935" s="0" t="s">
        <v>75</v>
      </c>
      <c r="F13935" s="0" t="s">
        <v>90</v>
      </c>
      <c r="G13935" s="0" t="s">
        <v>20</v>
      </c>
      <c r="H13935" s="0" t="n">
        <v>8</v>
      </c>
      <c r="I13935" s="0" t="s">
        <v>46285</v>
      </c>
      <c r="J13935" s="0" t="s">
        <v>46286</v>
      </c>
      <c r="K13935" s="0" t="s">
        <v>46287</v>
      </c>
      <c r="L13935" s="0" t="str">
        <f aca="false">HYPERLINK("https://www.ncbi.nlm.nih.gov/nuccore/CP000058.1?report=graph&amp;tracks=[key:gene_model_track,Options:GeneOnly]&amp;mk=4329580:4329599|offset_8|00cc00,4329550:4329569|offset_38|444444,4329413:4329432|offset_175|444444&amp;v=4329379:4329632&amp;c=444444", "offset 8")</f>
        <v>offset 8</v>
      </c>
    </row>
    <row r="13936" customFormat="false" ht="12.8" hidden="false" customHeight="false" outlineLevel="0" collapsed="false">
      <c r="A13936" s="0" t="s">
        <v>12</v>
      </c>
      <c r="B13936" s="0" t="n">
        <v>4329549</v>
      </c>
      <c r="C13936" s="0" t="n">
        <v>4329569</v>
      </c>
      <c r="D13936" s="0" t="s">
        <v>46284</v>
      </c>
      <c r="E13936" s="0" t="s">
        <v>75</v>
      </c>
      <c r="F13936" s="0" t="s">
        <v>90</v>
      </c>
      <c r="G13936" s="0" t="s">
        <v>16</v>
      </c>
      <c r="H13936" s="0" t="n">
        <v>38</v>
      </c>
      <c r="I13936" s="0" t="s">
        <v>46288</v>
      </c>
      <c r="J13936" s="0" t="s">
        <v>46289</v>
      </c>
      <c r="K13936" s="0" t="s">
        <v>46290</v>
      </c>
      <c r="L13936" s="0" t="str">
        <f aca="false">HYPERLINK("https://www.ncbi.nlm.nih.gov/nuccore/CP000058.1?report=graph&amp;tracks=[key:gene_model_track,Options:GeneOnly]&amp;mk=4329580:4329599|offset_8|444444,4329550:4329569|offset_38|00cc00,4329413:4329432|offset_175|444444&amp;v=4329379:4329632&amp;c=444444", "offset 38")</f>
        <v>offset 38</v>
      </c>
    </row>
    <row r="13937" customFormat="false" ht="12.8" hidden="false" customHeight="false" outlineLevel="0" collapsed="false">
      <c r="A13937" s="0" t="s">
        <v>12</v>
      </c>
      <c r="B13937" s="0" t="n">
        <v>4329412</v>
      </c>
      <c r="C13937" s="0" t="n">
        <v>4329432</v>
      </c>
      <c r="D13937" s="0" t="s">
        <v>46284</v>
      </c>
      <c r="E13937" s="0" t="s">
        <v>75</v>
      </c>
      <c r="F13937" s="0" t="s">
        <v>90</v>
      </c>
      <c r="G13937" s="0" t="s">
        <v>20</v>
      </c>
      <c r="H13937" s="0" t="n">
        <v>175</v>
      </c>
      <c r="I13937" s="0" t="s">
        <v>46291</v>
      </c>
      <c r="J13937" s="0" t="s">
        <v>46292</v>
      </c>
      <c r="K13937" s="0" t="s">
        <v>46293</v>
      </c>
      <c r="L13937" s="0" t="str">
        <f aca="false">HYPERLINK("https://www.ncbi.nlm.nih.gov/nuccore/CP000058.1?report=graph&amp;tracks=[key:gene_model_track,Options:GeneOnly]&amp;mk=4329580:4329599|offset_8|444444,4329550:4329569|offset_38|444444,4329413:4329432|offset_175|00cc00&amp;v=4329379:4329632&amp;c=444444", "offset 175")</f>
        <v>offset 175</v>
      </c>
    </row>
    <row r="13938" customFormat="false" ht="12.8" hidden="false" customHeight="false" outlineLevel="0" collapsed="false">
      <c r="A13938" s="0" t="s">
        <v>12</v>
      </c>
      <c r="B13938" s="0" t="n">
        <v>4329978</v>
      </c>
      <c r="C13938" s="0" t="n">
        <v>4329998</v>
      </c>
      <c r="D13938" s="0" t="s">
        <v>46294</v>
      </c>
      <c r="E13938" s="0" t="s">
        <v>75</v>
      </c>
      <c r="F13938" s="0" t="s">
        <v>90</v>
      </c>
      <c r="G13938" s="0" t="s">
        <v>20</v>
      </c>
      <c r="H13938" s="0" t="n">
        <v>37</v>
      </c>
      <c r="I13938" s="0" t="s">
        <v>46295</v>
      </c>
      <c r="J13938" s="0" t="s">
        <v>46296</v>
      </c>
      <c r="K13938" s="0" t="s">
        <v>46297</v>
      </c>
      <c r="L13938" s="0" t="str">
        <f aca="false">HYPERLINK("https://www.ncbi.nlm.nih.gov/nuccore/CP000058.1?report=graph&amp;tracks=[key:gene_model_track,Options:GeneOnly]&amp;mk=4329979:4329998|offset_37|00cc00,4329959:4329978|offset_57|444444,4329937:4329956|offset_79|444444,4329902:4329921|offset_114|444444&amp;v=4329778:4330121&amp;c=444444", "offset 37")</f>
        <v>offset 37</v>
      </c>
    </row>
    <row r="13939" customFormat="false" ht="12.8" hidden="false" customHeight="false" outlineLevel="0" collapsed="false">
      <c r="A13939" s="0" t="s">
        <v>12</v>
      </c>
      <c r="B13939" s="0" t="n">
        <v>4329958</v>
      </c>
      <c r="C13939" s="0" t="n">
        <v>4329978</v>
      </c>
      <c r="D13939" s="0" t="s">
        <v>46294</v>
      </c>
      <c r="E13939" s="0" t="s">
        <v>75</v>
      </c>
      <c r="F13939" s="0" t="s">
        <v>90</v>
      </c>
      <c r="G13939" s="0" t="s">
        <v>16</v>
      </c>
      <c r="H13939" s="0" t="n">
        <v>57</v>
      </c>
      <c r="I13939" s="0" t="s">
        <v>46298</v>
      </c>
      <c r="J13939" s="0" t="s">
        <v>46299</v>
      </c>
      <c r="K13939" s="0" t="s">
        <v>46300</v>
      </c>
      <c r="L13939" s="0" t="str">
        <f aca="false">HYPERLINK("https://www.ncbi.nlm.nih.gov/nuccore/CP000058.1?report=graph&amp;tracks=[key:gene_model_track,Options:GeneOnly]&amp;mk=4329979:4329998|offset_37|444444,4329959:4329978|offset_57|00cc00,4329937:4329956|offset_79|444444,4329902:4329921|offset_114|444444&amp;v=4329778:4330121&amp;c=444444", "offset 57")</f>
        <v>offset 57</v>
      </c>
    </row>
    <row r="13940" customFormat="false" ht="12.8" hidden="false" customHeight="false" outlineLevel="0" collapsed="false">
      <c r="A13940" s="0" t="s">
        <v>12</v>
      </c>
      <c r="B13940" s="0" t="n">
        <v>4329936</v>
      </c>
      <c r="C13940" s="0" t="n">
        <v>4329956</v>
      </c>
      <c r="D13940" s="0" t="s">
        <v>46294</v>
      </c>
      <c r="E13940" s="0" t="s">
        <v>75</v>
      </c>
      <c r="F13940" s="0" t="s">
        <v>90</v>
      </c>
      <c r="G13940" s="0" t="s">
        <v>32</v>
      </c>
      <c r="H13940" s="0" t="n">
        <v>79</v>
      </c>
      <c r="I13940" s="0" t="s">
        <v>46301</v>
      </c>
      <c r="J13940" s="0" t="s">
        <v>46302</v>
      </c>
      <c r="K13940" s="0" t="s">
        <v>46303</v>
      </c>
      <c r="L13940" s="0" t="str">
        <f aca="false">HYPERLINK("https://www.ncbi.nlm.nih.gov/nuccore/CP000058.1?report=graph&amp;tracks=[key:gene_model_track,Options:GeneOnly]&amp;mk=4329979:4329998|offset_37|444444,4329959:4329978|offset_57|444444,4329937:4329956|offset_79|00cc00,4329902:4329921|offset_114|444444&amp;v=4329778:4330121&amp;c=444444", "offset 79")</f>
        <v>offset 79</v>
      </c>
    </row>
    <row r="13941" customFormat="false" ht="12.8" hidden="false" customHeight="false" outlineLevel="0" collapsed="false">
      <c r="A13941" s="0" t="s">
        <v>12</v>
      </c>
      <c r="B13941" s="0" t="n">
        <v>4329901</v>
      </c>
      <c r="C13941" s="0" t="n">
        <v>4329921</v>
      </c>
      <c r="D13941" s="0" t="s">
        <v>46294</v>
      </c>
      <c r="E13941" s="0" t="s">
        <v>75</v>
      </c>
      <c r="F13941" s="0" t="s">
        <v>90</v>
      </c>
      <c r="G13941" s="0" t="s">
        <v>16</v>
      </c>
      <c r="H13941" s="0" t="n">
        <v>114</v>
      </c>
      <c r="I13941" s="0" t="s">
        <v>46304</v>
      </c>
      <c r="J13941" s="0" t="s">
        <v>46305</v>
      </c>
      <c r="K13941" s="0" t="s">
        <v>46306</v>
      </c>
      <c r="L13941" s="0" t="str">
        <f aca="false">HYPERLINK("https://www.ncbi.nlm.nih.gov/nuccore/CP000058.1?report=graph&amp;tracks=[key:gene_model_track,Options:GeneOnly]&amp;mk=4329979:4329998|offset_37|444444,4329959:4329978|offset_57|444444,4329937:4329956|offset_79|444444,4329902:4329921|offset_114|00cc00&amp;v=4329778:4330121&amp;c=444444", "offset 114")</f>
        <v>offset 114</v>
      </c>
    </row>
    <row r="13942" customFormat="false" ht="12.8" hidden="false" customHeight="false" outlineLevel="0" collapsed="false">
      <c r="A13942" s="0" t="s">
        <v>12</v>
      </c>
      <c r="B13942" s="0" t="n">
        <v>4330936</v>
      </c>
      <c r="C13942" s="0" t="n">
        <v>4330956</v>
      </c>
      <c r="D13942" s="0" t="s">
        <v>46307</v>
      </c>
      <c r="E13942" s="0" t="s">
        <v>75</v>
      </c>
      <c r="F13942" s="0" t="s">
        <v>15</v>
      </c>
      <c r="G13942" s="0" t="s">
        <v>16</v>
      </c>
      <c r="H13942" s="0" t="n">
        <v>37</v>
      </c>
      <c r="I13942" s="0" t="s">
        <v>46308</v>
      </c>
      <c r="J13942" s="0" t="s">
        <v>46309</v>
      </c>
      <c r="K13942" s="0" t="s">
        <v>46310</v>
      </c>
      <c r="L13942" s="0" t="str">
        <f aca="false">HYPERLINK("https://www.ncbi.nlm.nih.gov/nuccore/CP000058.1?report=graph&amp;tracks=[key:gene_model_track,Options:GeneOnly]&amp;mk=4330937:4330956|offset_37|00cc00,4330975:4330994|offset_75|444444,4331000:4331019|offset_100|444444,4331031:4331050|offset_131|444444&amp;v=4330736:4331250&amp;c=444444", "offset 37")</f>
        <v>offset 37</v>
      </c>
    </row>
    <row r="13943" customFormat="false" ht="12.8" hidden="false" customHeight="false" outlineLevel="0" collapsed="false">
      <c r="A13943" s="0" t="s">
        <v>12</v>
      </c>
      <c r="B13943" s="0" t="n">
        <v>4330974</v>
      </c>
      <c r="C13943" s="0" t="n">
        <v>4330994</v>
      </c>
      <c r="D13943" s="0" t="s">
        <v>46307</v>
      </c>
      <c r="E13943" s="0" t="s">
        <v>75</v>
      </c>
      <c r="F13943" s="0" t="s">
        <v>15</v>
      </c>
      <c r="G13943" s="0" t="s">
        <v>20</v>
      </c>
      <c r="H13943" s="0" t="n">
        <v>75</v>
      </c>
      <c r="I13943" s="0" t="s">
        <v>46311</v>
      </c>
      <c r="J13943" s="0" t="s">
        <v>46312</v>
      </c>
      <c r="K13943" s="0" t="s">
        <v>46313</v>
      </c>
      <c r="L13943" s="0" t="str">
        <f aca="false">HYPERLINK("https://www.ncbi.nlm.nih.gov/nuccore/CP000058.1?report=graph&amp;tracks=[key:gene_model_track,Options:GeneOnly]&amp;mk=4330937:4330956|offset_37|444444,4330975:4330994|offset_75|00cc00,4331000:4331019|offset_100|444444,4331031:4331050|offset_131|444444&amp;v=4330736:4331250&amp;c=444444", "offset 75")</f>
        <v>offset 75</v>
      </c>
    </row>
    <row r="13944" customFormat="false" ht="12.8" hidden="false" customHeight="false" outlineLevel="0" collapsed="false">
      <c r="A13944" s="0" t="s">
        <v>12</v>
      </c>
      <c r="B13944" s="0" t="n">
        <v>4330999</v>
      </c>
      <c r="C13944" s="0" t="n">
        <v>4331019</v>
      </c>
      <c r="D13944" s="0" t="s">
        <v>46307</v>
      </c>
      <c r="E13944" s="0" t="s">
        <v>75</v>
      </c>
      <c r="F13944" s="0" t="s">
        <v>15</v>
      </c>
      <c r="G13944" s="0" t="s">
        <v>32</v>
      </c>
      <c r="H13944" s="0" t="n">
        <v>100</v>
      </c>
      <c r="I13944" s="0" t="s">
        <v>46314</v>
      </c>
      <c r="J13944" s="0" t="s">
        <v>46315</v>
      </c>
      <c r="K13944" s="0" t="s">
        <v>46316</v>
      </c>
      <c r="L13944" s="0" t="str">
        <f aca="false">HYPERLINK("https://www.ncbi.nlm.nih.gov/nuccore/CP000058.1?report=graph&amp;tracks=[key:gene_model_track,Options:GeneOnly]&amp;mk=4330937:4330956|offset_37|444444,4330975:4330994|offset_75|444444,4331000:4331019|offset_100|00cc00,4331031:4331050|offset_131|444444&amp;v=4330736:4331250&amp;c=444444", "offset 100")</f>
        <v>offset 100</v>
      </c>
    </row>
    <row r="13945" customFormat="false" ht="12.8" hidden="false" customHeight="false" outlineLevel="0" collapsed="false">
      <c r="A13945" s="0" t="s">
        <v>12</v>
      </c>
      <c r="B13945" s="0" t="n">
        <v>4331030</v>
      </c>
      <c r="C13945" s="0" t="n">
        <v>4331050</v>
      </c>
      <c r="D13945" s="0" t="s">
        <v>46307</v>
      </c>
      <c r="E13945" s="0" t="s">
        <v>75</v>
      </c>
      <c r="F13945" s="0" t="s">
        <v>15</v>
      </c>
      <c r="G13945" s="0" t="s">
        <v>20</v>
      </c>
      <c r="H13945" s="0" t="n">
        <v>131</v>
      </c>
      <c r="I13945" s="0" t="s">
        <v>46317</v>
      </c>
      <c r="J13945" s="0" t="s">
        <v>46318</v>
      </c>
      <c r="K13945" s="0" t="s">
        <v>46319</v>
      </c>
      <c r="L13945" s="0" t="str">
        <f aca="false">HYPERLINK("https://www.ncbi.nlm.nih.gov/nuccore/CP000058.1?report=graph&amp;tracks=[key:gene_model_track,Options:GeneOnly]&amp;mk=4330937:4330956|offset_37|444444,4330975:4330994|offset_75|444444,4331000:4331019|offset_100|444444,4331031:4331050|offset_131|00cc00&amp;v=4330736:4331250&amp;c=444444", "offset 131")</f>
        <v>offset 131</v>
      </c>
    </row>
    <row r="13946" customFormat="false" ht="12.8" hidden="false" customHeight="false" outlineLevel="0" collapsed="false">
      <c r="A13946" s="0" t="s">
        <v>12</v>
      </c>
      <c r="B13946" s="0" t="n">
        <v>4332394</v>
      </c>
      <c r="C13946" s="0" t="n">
        <v>4332414</v>
      </c>
      <c r="D13946" s="0" t="s">
        <v>46320</v>
      </c>
      <c r="E13946" s="0" t="s">
        <v>46321</v>
      </c>
      <c r="F13946" s="0" t="s">
        <v>15</v>
      </c>
      <c r="G13946" s="0" t="s">
        <v>32</v>
      </c>
      <c r="H13946" s="0" t="n">
        <v>1</v>
      </c>
      <c r="I13946" s="0" t="s">
        <v>46322</v>
      </c>
      <c r="J13946" s="0" t="s">
        <v>46323</v>
      </c>
      <c r="K13946" s="0" t="s">
        <v>46324</v>
      </c>
      <c r="L13946" s="0" t="str">
        <f aca="false">HYPERLINK("https://www.ncbi.nlm.nih.gov/nuccore/CP000058.1?report=graph&amp;tracks=[key:gene_model_track,Options:GeneOnly]&amp;mk=4332395:4332414|offset_1|00cc00,4332422:4332441|offset_28|444444,4332443:4332462|offset_49|444444,4332506:4332525|offset_112|444444&amp;v=4332194:4332725&amp;c=444444", "offset 1")</f>
        <v>offset 1</v>
      </c>
    </row>
    <row r="13947" customFormat="false" ht="12.8" hidden="false" customHeight="false" outlineLevel="0" collapsed="false">
      <c r="A13947" s="0" t="s">
        <v>12</v>
      </c>
      <c r="B13947" s="0" t="n">
        <v>4332421</v>
      </c>
      <c r="C13947" s="0" t="n">
        <v>4332441</v>
      </c>
      <c r="D13947" s="0" t="s">
        <v>46320</v>
      </c>
      <c r="E13947" s="0" t="s">
        <v>46321</v>
      </c>
      <c r="F13947" s="0" t="s">
        <v>15</v>
      </c>
      <c r="G13947" s="0" t="s">
        <v>32</v>
      </c>
      <c r="H13947" s="0" t="n">
        <v>28</v>
      </c>
      <c r="I13947" s="0" t="s">
        <v>46325</v>
      </c>
      <c r="J13947" s="0" t="s">
        <v>46326</v>
      </c>
      <c r="K13947" s="0" t="s">
        <v>46327</v>
      </c>
      <c r="L13947" s="0" t="str">
        <f aca="false">HYPERLINK("https://www.ncbi.nlm.nih.gov/nuccore/CP000058.1?report=graph&amp;tracks=[key:gene_model_track,Options:GeneOnly]&amp;mk=4332395:4332414|offset_1|444444,4332422:4332441|offset_28|00cc00,4332443:4332462|offset_49|444444,4332506:4332525|offset_112|444444&amp;v=4332194:4332725&amp;c=444444", "offset 28")</f>
        <v>offset 28</v>
      </c>
    </row>
    <row r="13948" customFormat="false" ht="12.8" hidden="false" customHeight="false" outlineLevel="0" collapsed="false">
      <c r="A13948" s="0" t="s">
        <v>12</v>
      </c>
      <c r="B13948" s="0" t="n">
        <v>4332442</v>
      </c>
      <c r="C13948" s="0" t="n">
        <v>4332462</v>
      </c>
      <c r="D13948" s="0" t="s">
        <v>46320</v>
      </c>
      <c r="E13948" s="0" t="s">
        <v>46321</v>
      </c>
      <c r="F13948" s="0" t="s">
        <v>15</v>
      </c>
      <c r="G13948" s="0" t="s">
        <v>16</v>
      </c>
      <c r="H13948" s="0" t="n">
        <v>49</v>
      </c>
      <c r="I13948" s="0" t="s">
        <v>46328</v>
      </c>
      <c r="J13948" s="0" t="s">
        <v>46329</v>
      </c>
      <c r="K13948" s="0" t="s">
        <v>46330</v>
      </c>
      <c r="L13948" s="0" t="str">
        <f aca="false">HYPERLINK("https://www.ncbi.nlm.nih.gov/nuccore/CP000058.1?report=graph&amp;tracks=[key:gene_model_track,Options:GeneOnly]&amp;mk=4332395:4332414|offset_1|444444,4332422:4332441|offset_28|444444,4332443:4332462|offset_49|00cc00,4332506:4332525|offset_112|444444&amp;v=4332194:4332725&amp;c=444444", "offset 49")</f>
        <v>offset 49</v>
      </c>
    </row>
    <row r="13949" customFormat="false" ht="12.8" hidden="false" customHeight="false" outlineLevel="0" collapsed="false">
      <c r="A13949" s="0" t="s">
        <v>12</v>
      </c>
      <c r="B13949" s="0" t="n">
        <v>4332505</v>
      </c>
      <c r="C13949" s="0" t="n">
        <v>4332525</v>
      </c>
      <c r="D13949" s="0" t="s">
        <v>46320</v>
      </c>
      <c r="E13949" s="0" t="s">
        <v>46321</v>
      </c>
      <c r="F13949" s="0" t="s">
        <v>15</v>
      </c>
      <c r="G13949" s="0" t="s">
        <v>16</v>
      </c>
      <c r="H13949" s="0" t="n">
        <v>112</v>
      </c>
      <c r="I13949" s="0" t="s">
        <v>46331</v>
      </c>
      <c r="J13949" s="0" t="s">
        <v>46332</v>
      </c>
      <c r="K13949" s="0" t="s">
        <v>46333</v>
      </c>
      <c r="L13949" s="0" t="str">
        <f aca="false">HYPERLINK("https://www.ncbi.nlm.nih.gov/nuccore/CP000058.1?report=graph&amp;tracks=[key:gene_model_track,Options:GeneOnly]&amp;mk=4332395:4332414|offset_1|444444,4332422:4332441|offset_28|444444,4332443:4332462|offset_49|444444,4332506:4332525|offset_112|00cc00&amp;v=4332194:4332725&amp;c=444444", "offset 112")</f>
        <v>offset 112</v>
      </c>
    </row>
    <row r="13950" customFormat="false" ht="12.8" hidden="false" customHeight="false" outlineLevel="0" collapsed="false">
      <c r="A13950" s="0" t="s">
        <v>12</v>
      </c>
      <c r="B13950" s="0" t="n">
        <v>4334179</v>
      </c>
      <c r="C13950" s="0" t="n">
        <v>4334199</v>
      </c>
      <c r="D13950" s="0" t="s">
        <v>46334</v>
      </c>
      <c r="E13950" s="0" t="s">
        <v>75</v>
      </c>
      <c r="F13950" s="0" t="s">
        <v>15</v>
      </c>
      <c r="G13950" s="0" t="s">
        <v>36</v>
      </c>
      <c r="H13950" s="0" t="n">
        <v>0</v>
      </c>
      <c r="I13950" s="0" t="s">
        <v>46335</v>
      </c>
      <c r="J13950" s="0" t="s">
        <v>46336</v>
      </c>
      <c r="K13950" s="0" t="s">
        <v>46337</v>
      </c>
      <c r="L13950" s="0" t="str">
        <f aca="false">HYPERLINK("https://www.ncbi.nlm.nih.gov/nuccore/CP000058.1?report=graph&amp;tracks=[key:gene_model_track,Options:GeneOnly]&amp;mk=4334180:4334199|offset_0|00cc00,4334206:4334225|offset_26|444444,4334253:4334272|offset_73|444444,4334339:4334358|offset_159|444444&amp;v=4333979:4334558&amp;c=444444", "offset 0")</f>
        <v>offset 0</v>
      </c>
    </row>
    <row r="13951" customFormat="false" ht="12.8" hidden="false" customHeight="false" outlineLevel="0" collapsed="false">
      <c r="A13951" s="0" t="s">
        <v>12</v>
      </c>
      <c r="B13951" s="0" t="n">
        <v>4334205</v>
      </c>
      <c r="C13951" s="0" t="n">
        <v>4334225</v>
      </c>
      <c r="D13951" s="0" t="s">
        <v>46334</v>
      </c>
      <c r="E13951" s="0" t="s">
        <v>75</v>
      </c>
      <c r="F13951" s="0" t="s">
        <v>15</v>
      </c>
      <c r="G13951" s="0" t="s">
        <v>20</v>
      </c>
      <c r="H13951" s="0" t="n">
        <v>26</v>
      </c>
      <c r="I13951" s="0" t="s">
        <v>46338</v>
      </c>
      <c r="J13951" s="0" t="s">
        <v>46339</v>
      </c>
      <c r="K13951" s="0" t="s">
        <v>46340</v>
      </c>
      <c r="L13951" s="0" t="str">
        <f aca="false">HYPERLINK("https://www.ncbi.nlm.nih.gov/nuccore/CP000058.1?report=graph&amp;tracks=[key:gene_model_track,Options:GeneOnly]&amp;mk=4334180:4334199|offset_0|444444,4334206:4334225|offset_26|00cc00,4334253:4334272|offset_73|444444,4334339:4334358|offset_159|444444&amp;v=4333979:4334558&amp;c=444444", "offset 26")</f>
        <v>offset 26</v>
      </c>
    </row>
    <row r="13952" customFormat="false" ht="12.8" hidden="false" customHeight="false" outlineLevel="0" collapsed="false">
      <c r="A13952" s="0" t="s">
        <v>12</v>
      </c>
      <c r="B13952" s="0" t="n">
        <v>4334252</v>
      </c>
      <c r="C13952" s="0" t="n">
        <v>4334272</v>
      </c>
      <c r="D13952" s="0" t="s">
        <v>46334</v>
      </c>
      <c r="E13952" s="0" t="s">
        <v>75</v>
      </c>
      <c r="F13952" s="0" t="s">
        <v>15</v>
      </c>
      <c r="G13952" s="0" t="s">
        <v>32</v>
      </c>
      <c r="H13952" s="0" t="n">
        <v>73</v>
      </c>
      <c r="I13952" s="0" t="s">
        <v>46341</v>
      </c>
      <c r="J13952" s="0" t="s">
        <v>46342</v>
      </c>
      <c r="K13952" s="0" t="s">
        <v>46343</v>
      </c>
      <c r="L13952" s="0" t="str">
        <f aca="false">HYPERLINK("https://www.ncbi.nlm.nih.gov/nuccore/CP000058.1?report=graph&amp;tracks=[key:gene_model_track,Options:GeneOnly]&amp;mk=4334180:4334199|offset_0|444444,4334206:4334225|offset_26|444444,4334253:4334272|offset_73|00cc00,4334339:4334358|offset_159|444444&amp;v=4333979:4334558&amp;c=444444", "offset 73")</f>
        <v>offset 73</v>
      </c>
    </row>
    <row r="13953" customFormat="false" ht="12.8" hidden="false" customHeight="false" outlineLevel="0" collapsed="false">
      <c r="A13953" s="0" t="s">
        <v>12</v>
      </c>
      <c r="B13953" s="0" t="n">
        <v>4334338</v>
      </c>
      <c r="C13953" s="0" t="n">
        <v>4334358</v>
      </c>
      <c r="D13953" s="0" t="s">
        <v>46334</v>
      </c>
      <c r="E13953" s="0" t="s">
        <v>75</v>
      </c>
      <c r="F13953" s="0" t="s">
        <v>15</v>
      </c>
      <c r="G13953" s="0" t="s">
        <v>36</v>
      </c>
      <c r="H13953" s="0" t="n">
        <v>159</v>
      </c>
      <c r="I13953" s="0" t="s">
        <v>46344</v>
      </c>
      <c r="J13953" s="0" t="s">
        <v>46345</v>
      </c>
      <c r="K13953" s="0" t="s">
        <v>46346</v>
      </c>
      <c r="L13953" s="0" t="str">
        <f aca="false">HYPERLINK("https://www.ncbi.nlm.nih.gov/nuccore/CP000058.1?report=graph&amp;tracks=[key:gene_model_track,Options:GeneOnly]&amp;mk=4334180:4334199|offset_0|444444,4334206:4334225|offset_26|444444,4334253:4334272|offset_73|444444,4334339:4334358|offset_159|00cc00&amp;v=4333979:4334558&amp;c=444444", "offset 159")</f>
        <v>offset 159</v>
      </c>
    </row>
    <row r="13954" customFormat="false" ht="12.8" hidden="false" customHeight="false" outlineLevel="0" collapsed="false">
      <c r="A13954" s="0" t="s">
        <v>12</v>
      </c>
      <c r="B13954" s="0" t="n">
        <v>4336194</v>
      </c>
      <c r="C13954" s="0" t="n">
        <v>4336214</v>
      </c>
      <c r="D13954" s="0" t="s">
        <v>46347</v>
      </c>
      <c r="E13954" s="0" t="s">
        <v>46348</v>
      </c>
      <c r="F13954" s="0" t="s">
        <v>90</v>
      </c>
      <c r="G13954" s="0" t="s">
        <v>32</v>
      </c>
      <c r="H13954" s="0" t="n">
        <v>23</v>
      </c>
      <c r="I13954" s="0" t="s">
        <v>46349</v>
      </c>
      <c r="J13954" s="0" t="s">
        <v>46350</v>
      </c>
      <c r="K13954" s="0" t="s">
        <v>46351</v>
      </c>
      <c r="L13954" s="0" t="str">
        <f aca="false">HYPERLINK("https://www.ncbi.nlm.nih.gov/nuccore/CP000058.1?report=graph&amp;tracks=[key:gene_model_track,Options:GeneOnly]&amp;mk=4336195:4336214|offset_23|00cc00,4336166:4336185|offset_52|444444,4336146:4336165|offset_72|444444,4336082:4336101|offset_136|444444&amp;v=4335994:4336301&amp;c=444444", "offset 23")</f>
        <v>offset 23</v>
      </c>
    </row>
    <row r="13955" customFormat="false" ht="12.8" hidden="false" customHeight="false" outlineLevel="0" collapsed="false">
      <c r="A13955" s="0" t="s">
        <v>12</v>
      </c>
      <c r="B13955" s="0" t="n">
        <v>4336165</v>
      </c>
      <c r="C13955" s="0" t="n">
        <v>4336185</v>
      </c>
      <c r="D13955" s="0" t="s">
        <v>46347</v>
      </c>
      <c r="E13955" s="0" t="s">
        <v>46348</v>
      </c>
      <c r="F13955" s="0" t="s">
        <v>90</v>
      </c>
      <c r="G13955" s="0" t="s">
        <v>32</v>
      </c>
      <c r="H13955" s="0" t="n">
        <v>52</v>
      </c>
      <c r="I13955" s="0" t="s">
        <v>46352</v>
      </c>
      <c r="J13955" s="0" t="s">
        <v>46353</v>
      </c>
      <c r="K13955" s="0" t="s">
        <v>46354</v>
      </c>
      <c r="L13955" s="0" t="str">
        <f aca="false">HYPERLINK("https://www.ncbi.nlm.nih.gov/nuccore/CP000058.1?report=graph&amp;tracks=[key:gene_model_track,Options:GeneOnly]&amp;mk=4336195:4336214|offset_23|444444,4336166:4336185|offset_52|00cc00,4336146:4336165|offset_72|444444,4336082:4336101|offset_136|444444&amp;v=4335994:4336301&amp;c=444444", "offset 52")</f>
        <v>offset 52</v>
      </c>
    </row>
    <row r="13956" customFormat="false" ht="12.8" hidden="false" customHeight="false" outlineLevel="0" collapsed="false">
      <c r="A13956" s="0" t="s">
        <v>12</v>
      </c>
      <c r="B13956" s="0" t="n">
        <v>4336145</v>
      </c>
      <c r="C13956" s="0" t="n">
        <v>4336165</v>
      </c>
      <c r="D13956" s="0" t="s">
        <v>46347</v>
      </c>
      <c r="E13956" s="0" t="s">
        <v>46348</v>
      </c>
      <c r="F13956" s="0" t="s">
        <v>90</v>
      </c>
      <c r="G13956" s="0" t="s">
        <v>36</v>
      </c>
      <c r="H13956" s="0" t="n">
        <v>72</v>
      </c>
      <c r="I13956" s="0" t="s">
        <v>46355</v>
      </c>
      <c r="J13956" s="0" t="s">
        <v>46356</v>
      </c>
      <c r="K13956" s="0" t="s">
        <v>46357</v>
      </c>
      <c r="L13956" s="0" t="str">
        <f aca="false">HYPERLINK("https://www.ncbi.nlm.nih.gov/nuccore/CP000058.1?report=graph&amp;tracks=[key:gene_model_track,Options:GeneOnly]&amp;mk=4336195:4336214|offset_23|444444,4336166:4336185|offset_52|444444,4336146:4336165|offset_72|00cc00,4336082:4336101|offset_136|444444&amp;v=4335994:4336301&amp;c=444444", "offset 72")</f>
        <v>offset 72</v>
      </c>
    </row>
    <row r="13957" customFormat="false" ht="12.8" hidden="false" customHeight="false" outlineLevel="0" collapsed="false">
      <c r="A13957" s="0" t="s">
        <v>12</v>
      </c>
      <c r="B13957" s="0" t="n">
        <v>4336081</v>
      </c>
      <c r="C13957" s="0" t="n">
        <v>4336101</v>
      </c>
      <c r="D13957" s="0" t="s">
        <v>46347</v>
      </c>
      <c r="E13957" s="0" t="s">
        <v>46348</v>
      </c>
      <c r="F13957" s="0" t="s">
        <v>90</v>
      </c>
      <c r="G13957" s="0" t="s">
        <v>20</v>
      </c>
      <c r="H13957" s="0" t="n">
        <v>136</v>
      </c>
      <c r="I13957" s="0" t="s">
        <v>46358</v>
      </c>
      <c r="J13957" s="0" t="s">
        <v>46359</v>
      </c>
      <c r="K13957" s="0" t="s">
        <v>46360</v>
      </c>
      <c r="L13957" s="0" t="str">
        <f aca="false">HYPERLINK("https://www.ncbi.nlm.nih.gov/nuccore/CP000058.1?report=graph&amp;tracks=[key:gene_model_track,Options:GeneOnly]&amp;mk=4336195:4336214|offset_23|444444,4336166:4336185|offset_52|444444,4336146:4336165|offset_72|444444,4336082:4336101|offset_136|00cc00&amp;v=4335994:4336301&amp;c=444444", "offset 136")</f>
        <v>offset 136</v>
      </c>
    </row>
    <row r="13958" customFormat="false" ht="12.8" hidden="false" customHeight="false" outlineLevel="0" collapsed="false">
      <c r="A13958" s="0" t="s">
        <v>12</v>
      </c>
      <c r="B13958" s="0" t="n">
        <v>4337248</v>
      </c>
      <c r="C13958" s="0" t="n">
        <v>4337268</v>
      </c>
      <c r="D13958" s="0" t="s">
        <v>46361</v>
      </c>
      <c r="E13958" s="0" t="s">
        <v>75</v>
      </c>
      <c r="F13958" s="0" t="s">
        <v>15</v>
      </c>
      <c r="G13958" s="0" t="s">
        <v>16</v>
      </c>
      <c r="H13958" s="0" t="n">
        <v>19</v>
      </c>
      <c r="I13958" s="0" t="s">
        <v>46362</v>
      </c>
      <c r="J13958" s="0" t="s">
        <v>46363</v>
      </c>
      <c r="K13958" s="0" t="s">
        <v>46364</v>
      </c>
      <c r="L13958" s="0" t="str">
        <f aca="false">HYPERLINK("https://www.ncbi.nlm.nih.gov/nuccore/CP000058.1?report=graph&amp;tracks=[key:gene_model_track,Options:GeneOnly]&amp;mk=4337249:4337268|offset_19|00cc00,4337281:4337300|offset_51|444444,4337328:4337347|offset_98|444444,4337370:4337389|offset_140|444444&amp;v=4337048:4337589&amp;c=444444", "offset 19")</f>
        <v>offset 19</v>
      </c>
    </row>
    <row r="13959" customFormat="false" ht="12.8" hidden="false" customHeight="false" outlineLevel="0" collapsed="false">
      <c r="A13959" s="0" t="s">
        <v>12</v>
      </c>
      <c r="B13959" s="0" t="n">
        <v>4337280</v>
      </c>
      <c r="C13959" s="0" t="n">
        <v>4337300</v>
      </c>
      <c r="D13959" s="0" t="s">
        <v>46361</v>
      </c>
      <c r="E13959" s="0" t="s">
        <v>75</v>
      </c>
      <c r="F13959" s="0" t="s">
        <v>15</v>
      </c>
      <c r="G13959" s="0" t="s">
        <v>36</v>
      </c>
      <c r="H13959" s="0" t="n">
        <v>51</v>
      </c>
      <c r="I13959" s="0" t="s">
        <v>46365</v>
      </c>
      <c r="J13959" s="0" t="s">
        <v>46366</v>
      </c>
      <c r="K13959" s="0" t="s">
        <v>46367</v>
      </c>
      <c r="L13959" s="0" t="str">
        <f aca="false">HYPERLINK("https://www.ncbi.nlm.nih.gov/nuccore/CP000058.1?report=graph&amp;tracks=[key:gene_model_track,Options:GeneOnly]&amp;mk=4337249:4337268|offset_19|444444,4337281:4337300|offset_51|00cc00,4337328:4337347|offset_98|444444,4337370:4337389|offset_140|444444&amp;v=4337048:4337589&amp;c=444444", "offset 51")</f>
        <v>offset 51</v>
      </c>
    </row>
    <row r="13960" customFormat="false" ht="12.8" hidden="false" customHeight="false" outlineLevel="0" collapsed="false">
      <c r="A13960" s="0" t="s">
        <v>12</v>
      </c>
      <c r="B13960" s="0" t="n">
        <v>4337327</v>
      </c>
      <c r="C13960" s="0" t="n">
        <v>4337347</v>
      </c>
      <c r="D13960" s="0" t="s">
        <v>46361</v>
      </c>
      <c r="E13960" s="0" t="s">
        <v>75</v>
      </c>
      <c r="F13960" s="0" t="s">
        <v>15</v>
      </c>
      <c r="G13960" s="0" t="s">
        <v>16</v>
      </c>
      <c r="H13960" s="0" t="n">
        <v>98</v>
      </c>
      <c r="I13960" s="0" t="s">
        <v>46368</v>
      </c>
      <c r="J13960" s="0" t="s">
        <v>46369</v>
      </c>
      <c r="K13960" s="0" t="s">
        <v>46370</v>
      </c>
      <c r="L13960" s="0" t="str">
        <f aca="false">HYPERLINK("https://www.ncbi.nlm.nih.gov/nuccore/CP000058.1?report=graph&amp;tracks=[key:gene_model_track,Options:GeneOnly]&amp;mk=4337249:4337268|offset_19|444444,4337281:4337300|offset_51|444444,4337328:4337347|offset_98|00cc00,4337370:4337389|offset_140|444444&amp;v=4337048:4337589&amp;c=444444", "offset 98")</f>
        <v>offset 98</v>
      </c>
    </row>
    <row r="13961" customFormat="false" ht="12.8" hidden="false" customHeight="false" outlineLevel="0" collapsed="false">
      <c r="A13961" s="0" t="s">
        <v>12</v>
      </c>
      <c r="B13961" s="0" t="n">
        <v>4337369</v>
      </c>
      <c r="C13961" s="0" t="n">
        <v>4337389</v>
      </c>
      <c r="D13961" s="0" t="s">
        <v>46361</v>
      </c>
      <c r="E13961" s="0" t="s">
        <v>75</v>
      </c>
      <c r="F13961" s="0" t="s">
        <v>15</v>
      </c>
      <c r="G13961" s="0" t="s">
        <v>20</v>
      </c>
      <c r="H13961" s="0" t="n">
        <v>140</v>
      </c>
      <c r="I13961" s="0" t="s">
        <v>46371</v>
      </c>
      <c r="J13961" s="0" t="s">
        <v>46372</v>
      </c>
      <c r="K13961" s="0" t="s">
        <v>46373</v>
      </c>
      <c r="L13961" s="0" t="str">
        <f aca="false">HYPERLINK("https://www.ncbi.nlm.nih.gov/nuccore/CP000058.1?report=graph&amp;tracks=[key:gene_model_track,Options:GeneOnly]&amp;mk=4337249:4337268|offset_19|444444,4337281:4337300|offset_51|444444,4337328:4337347|offset_98|444444,4337370:4337389|offset_140|00cc00&amp;v=4337048:4337589&amp;c=444444", "offset 140")</f>
        <v>offset 140</v>
      </c>
    </row>
    <row r="13962" customFormat="false" ht="12.8" hidden="false" customHeight="false" outlineLevel="0" collapsed="false">
      <c r="A13962" s="0" t="s">
        <v>12</v>
      </c>
      <c r="B13962" s="0" t="n">
        <v>4339887</v>
      </c>
      <c r="C13962" s="0" t="n">
        <v>4339907</v>
      </c>
      <c r="D13962" s="0" t="s">
        <v>46374</v>
      </c>
      <c r="E13962" s="0" t="s">
        <v>75</v>
      </c>
      <c r="F13962" s="0" t="s">
        <v>15</v>
      </c>
      <c r="G13962" s="0" t="s">
        <v>20</v>
      </c>
      <c r="H13962" s="0" t="n">
        <v>16</v>
      </c>
      <c r="I13962" s="0" t="s">
        <v>46375</v>
      </c>
      <c r="J13962" s="0" t="s">
        <v>46376</v>
      </c>
      <c r="K13962" s="0" t="s">
        <v>46377</v>
      </c>
      <c r="L13962" s="0" t="str">
        <f aca="false">HYPERLINK("https://www.ncbi.nlm.nih.gov/nuccore/CP000058.1?report=graph&amp;tracks=[key:gene_model_track,Options:GeneOnly]&amp;mk=4339888:4339907|offset_16|00cc00,4339958:4339977|offset_86|444444,4339994:4340013|offset_122|444444,4340017:4340036|offset_145|444444&amp;v=4339687:4340236&amp;c=444444", "offset 16")</f>
        <v>offset 16</v>
      </c>
    </row>
    <row r="13963" customFormat="false" ht="12.8" hidden="false" customHeight="false" outlineLevel="0" collapsed="false">
      <c r="A13963" s="0" t="s">
        <v>12</v>
      </c>
      <c r="B13963" s="0" t="n">
        <v>4339957</v>
      </c>
      <c r="C13963" s="0" t="n">
        <v>4339977</v>
      </c>
      <c r="D13963" s="0" t="s">
        <v>46374</v>
      </c>
      <c r="E13963" s="0" t="s">
        <v>75</v>
      </c>
      <c r="F13963" s="0" t="s">
        <v>15</v>
      </c>
      <c r="G13963" s="0" t="s">
        <v>16</v>
      </c>
      <c r="H13963" s="0" t="n">
        <v>86</v>
      </c>
      <c r="I13963" s="0" t="s">
        <v>46378</v>
      </c>
      <c r="J13963" s="0" t="s">
        <v>46379</v>
      </c>
      <c r="K13963" s="0" t="s">
        <v>46380</v>
      </c>
      <c r="L13963" s="0" t="str">
        <f aca="false">HYPERLINK("https://www.ncbi.nlm.nih.gov/nuccore/CP000058.1?report=graph&amp;tracks=[key:gene_model_track,Options:GeneOnly]&amp;mk=4339888:4339907|offset_16|444444,4339958:4339977|offset_86|00cc00,4339994:4340013|offset_122|444444,4340017:4340036|offset_145|444444&amp;v=4339687:4340236&amp;c=444444", "offset 86")</f>
        <v>offset 86</v>
      </c>
    </row>
    <row r="13964" customFormat="false" ht="12.8" hidden="false" customHeight="false" outlineLevel="0" collapsed="false">
      <c r="A13964" s="0" t="s">
        <v>12</v>
      </c>
      <c r="B13964" s="0" t="n">
        <v>4339993</v>
      </c>
      <c r="C13964" s="0" t="n">
        <v>4340013</v>
      </c>
      <c r="D13964" s="0" t="s">
        <v>46374</v>
      </c>
      <c r="E13964" s="0" t="s">
        <v>75</v>
      </c>
      <c r="F13964" s="0" t="s">
        <v>15</v>
      </c>
      <c r="G13964" s="0" t="s">
        <v>20</v>
      </c>
      <c r="H13964" s="0" t="n">
        <v>122</v>
      </c>
      <c r="I13964" s="0" t="s">
        <v>46381</v>
      </c>
      <c r="J13964" s="0" t="s">
        <v>46382</v>
      </c>
      <c r="K13964" s="0" t="s">
        <v>46383</v>
      </c>
      <c r="L13964" s="0" t="str">
        <f aca="false">HYPERLINK("https://www.ncbi.nlm.nih.gov/nuccore/CP000058.1?report=graph&amp;tracks=[key:gene_model_track,Options:GeneOnly]&amp;mk=4339888:4339907|offset_16|444444,4339958:4339977|offset_86|444444,4339994:4340013|offset_122|00cc00,4340017:4340036|offset_145|444444&amp;v=4339687:4340236&amp;c=444444", "offset 122")</f>
        <v>offset 122</v>
      </c>
    </row>
    <row r="13965" customFormat="false" ht="12.8" hidden="false" customHeight="false" outlineLevel="0" collapsed="false">
      <c r="A13965" s="0" t="s">
        <v>12</v>
      </c>
      <c r="B13965" s="0" t="n">
        <v>4340016</v>
      </c>
      <c r="C13965" s="0" t="n">
        <v>4340036</v>
      </c>
      <c r="D13965" s="0" t="s">
        <v>46374</v>
      </c>
      <c r="E13965" s="0" t="s">
        <v>75</v>
      </c>
      <c r="F13965" s="0" t="s">
        <v>15</v>
      </c>
      <c r="G13965" s="0" t="s">
        <v>32</v>
      </c>
      <c r="H13965" s="0" t="n">
        <v>145</v>
      </c>
      <c r="I13965" s="0" t="s">
        <v>46384</v>
      </c>
      <c r="J13965" s="0" t="s">
        <v>46385</v>
      </c>
      <c r="K13965" s="0" t="s">
        <v>46386</v>
      </c>
      <c r="L13965" s="0" t="str">
        <f aca="false">HYPERLINK("https://www.ncbi.nlm.nih.gov/nuccore/CP000058.1?report=graph&amp;tracks=[key:gene_model_track,Options:GeneOnly]&amp;mk=4339888:4339907|offset_16|444444,4339958:4339977|offset_86|444444,4339994:4340013|offset_122|444444,4340017:4340036|offset_145|00cc00&amp;v=4339687:4340236&amp;c=444444", "offset 145")</f>
        <v>offset 145</v>
      </c>
    </row>
    <row r="13966" customFormat="false" ht="12.8" hidden="false" customHeight="false" outlineLevel="0" collapsed="false">
      <c r="A13966" s="0" t="s">
        <v>12</v>
      </c>
      <c r="B13966" s="0" t="n">
        <v>4343148</v>
      </c>
      <c r="C13966" s="0" t="n">
        <v>4343168</v>
      </c>
      <c r="D13966" s="0" t="s">
        <v>46387</v>
      </c>
      <c r="E13966" s="0" t="s">
        <v>46388</v>
      </c>
      <c r="F13966" s="0" t="s">
        <v>90</v>
      </c>
      <c r="G13966" s="0" t="s">
        <v>16</v>
      </c>
      <c r="H13966" s="0" t="n">
        <v>31</v>
      </c>
      <c r="I13966" s="0" t="s">
        <v>46389</v>
      </c>
      <c r="J13966" s="0" t="s">
        <v>46390</v>
      </c>
      <c r="K13966" s="0" t="s">
        <v>46391</v>
      </c>
      <c r="L13966" s="0" t="str">
        <f aca="false">HYPERLINK("https://www.ncbi.nlm.nih.gov/nuccore/CP000058.1?report=graph&amp;tracks=[key:gene_model_track,Options:GeneOnly]&amp;mk=4343149:4343168|offset_31|00cc00,4343076:4343095|offset_104|444444,4342926:4342945|offset_254|444444,4342873:4342892|offset_307|444444&amp;v=4342948:4343092&amp;c=444444", "offset 31")</f>
        <v>offset 31</v>
      </c>
    </row>
    <row r="13967" customFormat="false" ht="12.8" hidden="false" customHeight="false" outlineLevel="0" collapsed="false">
      <c r="A13967" s="0" t="s">
        <v>12</v>
      </c>
      <c r="B13967" s="0" t="n">
        <v>4343075</v>
      </c>
      <c r="C13967" s="0" t="n">
        <v>4343095</v>
      </c>
      <c r="D13967" s="0" t="s">
        <v>46387</v>
      </c>
      <c r="E13967" s="0" t="s">
        <v>46388</v>
      </c>
      <c r="F13967" s="0" t="s">
        <v>90</v>
      </c>
      <c r="G13967" s="0" t="s">
        <v>36</v>
      </c>
      <c r="H13967" s="0" t="n">
        <v>104</v>
      </c>
      <c r="I13967" s="0" t="s">
        <v>46392</v>
      </c>
      <c r="J13967" s="0" t="s">
        <v>46393</v>
      </c>
      <c r="K13967" s="0" t="s">
        <v>46394</v>
      </c>
      <c r="L13967" s="0" t="str">
        <f aca="false">HYPERLINK("https://www.ncbi.nlm.nih.gov/nuccore/CP000058.1?report=graph&amp;tracks=[key:gene_model_track,Options:GeneOnly]&amp;mk=4343149:4343168|offset_31|444444,4343076:4343095|offset_104|00cc00,4342926:4342945|offset_254|444444,4342873:4342892|offset_307|444444&amp;v=4342948:4343092&amp;c=444444", "offset 104")</f>
        <v>offset 104</v>
      </c>
    </row>
    <row r="13968" customFormat="false" ht="12.8" hidden="false" customHeight="false" outlineLevel="0" collapsed="false">
      <c r="A13968" s="0" t="s">
        <v>12</v>
      </c>
      <c r="B13968" s="0" t="n">
        <v>4342925</v>
      </c>
      <c r="C13968" s="0" t="n">
        <v>4342945</v>
      </c>
      <c r="D13968" s="0" t="s">
        <v>46387</v>
      </c>
      <c r="E13968" s="0" t="s">
        <v>46388</v>
      </c>
      <c r="F13968" s="0" t="s">
        <v>90</v>
      </c>
      <c r="G13968" s="0" t="s">
        <v>32</v>
      </c>
      <c r="H13968" s="0" t="n">
        <v>254</v>
      </c>
      <c r="I13968" s="0" t="s">
        <v>46395</v>
      </c>
      <c r="J13968" s="0" t="s">
        <v>46396</v>
      </c>
      <c r="K13968" s="0" t="s">
        <v>46397</v>
      </c>
      <c r="L13968" s="0" t="str">
        <f aca="false">HYPERLINK("https://www.ncbi.nlm.nih.gov/nuccore/CP000058.1?report=graph&amp;tracks=[key:gene_model_track,Options:GeneOnly]&amp;mk=4343149:4343168|offset_31|444444,4343076:4343095|offset_104|444444,4342926:4342945|offset_254|00cc00,4342873:4342892|offset_307|444444&amp;v=4342948:4343092&amp;c=444444", "offset 254")</f>
        <v>offset 254</v>
      </c>
    </row>
    <row r="13969" customFormat="false" ht="12.8" hidden="false" customHeight="false" outlineLevel="0" collapsed="false">
      <c r="A13969" s="0" t="s">
        <v>12</v>
      </c>
      <c r="B13969" s="0" t="n">
        <v>4342872</v>
      </c>
      <c r="C13969" s="0" t="n">
        <v>4342892</v>
      </c>
      <c r="D13969" s="0" t="s">
        <v>46387</v>
      </c>
      <c r="E13969" s="0" t="s">
        <v>46388</v>
      </c>
      <c r="F13969" s="0" t="s">
        <v>90</v>
      </c>
      <c r="G13969" s="0" t="s">
        <v>32</v>
      </c>
      <c r="H13969" s="0" t="n">
        <v>307</v>
      </c>
      <c r="I13969" s="0" t="s">
        <v>46398</v>
      </c>
      <c r="J13969" s="0" t="s">
        <v>46399</v>
      </c>
      <c r="K13969" s="0" t="s">
        <v>46400</v>
      </c>
      <c r="L13969" s="0" t="str">
        <f aca="false">HYPERLINK("https://www.ncbi.nlm.nih.gov/nuccore/CP000058.1?report=graph&amp;tracks=[key:gene_model_track,Options:GeneOnly]&amp;mk=4343149:4343168|offset_31|444444,4343076:4343095|offset_104|444444,4342926:4342945|offset_254|444444,4342873:4342892|offset_307|00cc00&amp;v=4342948:4343092&amp;c=444444", "offset 307")</f>
        <v>offset 307</v>
      </c>
    </row>
    <row r="13970" customFormat="false" ht="12.8" hidden="false" customHeight="false" outlineLevel="0" collapsed="false">
      <c r="A13970" s="0" t="s">
        <v>12</v>
      </c>
      <c r="B13970" s="0" t="n">
        <v>4343548</v>
      </c>
      <c r="C13970" s="0" t="n">
        <v>4343568</v>
      </c>
      <c r="D13970" s="0" t="s">
        <v>46401</v>
      </c>
      <c r="E13970" s="0" t="s">
        <v>75</v>
      </c>
      <c r="F13970" s="0" t="s">
        <v>15</v>
      </c>
      <c r="G13970" s="0" t="s">
        <v>32</v>
      </c>
      <c r="H13970" s="0" t="n">
        <v>30</v>
      </c>
      <c r="I13970" s="0" t="s">
        <v>46402</v>
      </c>
      <c r="J13970" s="0" t="s">
        <v>46403</v>
      </c>
      <c r="K13970" s="0" t="s">
        <v>46404</v>
      </c>
      <c r="L13970" s="0" t="str">
        <f aca="false">HYPERLINK("https://www.ncbi.nlm.nih.gov/nuccore/CP000058.1?report=graph&amp;tracks=[key:gene_model_track,Options:GeneOnly]&amp;mk=4343549:4343568|offset_30|00cc00,4343582:4343601|offset_63|444444,4343622:4343641|offset_103|444444,4343643:4343662|offset_124|444444&amp;v=4343348:4343862&amp;c=444444", "offset 30")</f>
        <v>offset 30</v>
      </c>
    </row>
    <row r="13971" customFormat="false" ht="12.8" hidden="false" customHeight="false" outlineLevel="0" collapsed="false">
      <c r="A13971" s="0" t="s">
        <v>12</v>
      </c>
      <c r="B13971" s="0" t="n">
        <v>4343581</v>
      </c>
      <c r="C13971" s="0" t="n">
        <v>4343601</v>
      </c>
      <c r="D13971" s="0" t="s">
        <v>46401</v>
      </c>
      <c r="E13971" s="0" t="s">
        <v>75</v>
      </c>
      <c r="F13971" s="0" t="s">
        <v>15</v>
      </c>
      <c r="G13971" s="0" t="s">
        <v>36</v>
      </c>
      <c r="H13971" s="0" t="n">
        <v>63</v>
      </c>
      <c r="I13971" s="0" t="s">
        <v>46405</v>
      </c>
      <c r="J13971" s="0" t="s">
        <v>46406</v>
      </c>
      <c r="K13971" s="0" t="s">
        <v>46407</v>
      </c>
      <c r="L13971" s="0" t="str">
        <f aca="false">HYPERLINK("https://www.ncbi.nlm.nih.gov/nuccore/CP000058.1?report=graph&amp;tracks=[key:gene_model_track,Options:GeneOnly]&amp;mk=4343549:4343568|offset_30|444444,4343582:4343601|offset_63|00cc00,4343622:4343641|offset_103|444444,4343643:4343662|offset_124|444444&amp;v=4343348:4343862&amp;c=444444", "offset 63")</f>
        <v>offset 63</v>
      </c>
    </row>
    <row r="13972" customFormat="false" ht="12.8" hidden="false" customHeight="false" outlineLevel="0" collapsed="false">
      <c r="A13972" s="0" t="s">
        <v>12</v>
      </c>
      <c r="B13972" s="0" t="n">
        <v>4343621</v>
      </c>
      <c r="C13972" s="0" t="n">
        <v>4343641</v>
      </c>
      <c r="D13972" s="0" t="s">
        <v>46401</v>
      </c>
      <c r="E13972" s="0" t="s">
        <v>75</v>
      </c>
      <c r="F13972" s="0" t="s">
        <v>15</v>
      </c>
      <c r="G13972" s="0" t="s">
        <v>32</v>
      </c>
      <c r="H13972" s="0" t="n">
        <v>103</v>
      </c>
      <c r="I13972" s="0" t="s">
        <v>46408</v>
      </c>
      <c r="J13972" s="0" t="s">
        <v>46409</v>
      </c>
      <c r="K13972" s="0" t="s">
        <v>46410</v>
      </c>
      <c r="L13972" s="0" t="str">
        <f aca="false">HYPERLINK("https://www.ncbi.nlm.nih.gov/nuccore/CP000058.1?report=graph&amp;tracks=[key:gene_model_track,Options:GeneOnly]&amp;mk=4343549:4343568|offset_30|444444,4343582:4343601|offset_63|444444,4343622:4343641|offset_103|00cc00,4343643:4343662|offset_124|444444&amp;v=4343348:4343862&amp;c=444444", "offset 103")</f>
        <v>offset 103</v>
      </c>
    </row>
    <row r="13973" customFormat="false" ht="12.8" hidden="false" customHeight="false" outlineLevel="0" collapsed="false">
      <c r="A13973" s="0" t="s">
        <v>12</v>
      </c>
      <c r="B13973" s="0" t="n">
        <v>4343642</v>
      </c>
      <c r="C13973" s="0" t="n">
        <v>4343662</v>
      </c>
      <c r="D13973" s="0" t="s">
        <v>46401</v>
      </c>
      <c r="E13973" s="0" t="s">
        <v>75</v>
      </c>
      <c r="F13973" s="0" t="s">
        <v>15</v>
      </c>
      <c r="G13973" s="0" t="s">
        <v>32</v>
      </c>
      <c r="H13973" s="0" t="n">
        <v>124</v>
      </c>
      <c r="I13973" s="0" t="s">
        <v>46411</v>
      </c>
      <c r="J13973" s="0" t="s">
        <v>46412</v>
      </c>
      <c r="K13973" s="0" t="s">
        <v>46413</v>
      </c>
      <c r="L13973" s="0" t="str">
        <f aca="false">HYPERLINK("https://www.ncbi.nlm.nih.gov/nuccore/CP000058.1?report=graph&amp;tracks=[key:gene_model_track,Options:GeneOnly]&amp;mk=4343549:4343568|offset_30|444444,4343582:4343601|offset_63|444444,4343622:4343641|offset_103|444444,4343643:4343662|offset_124|00cc00&amp;v=4343348:4343862&amp;c=444444", "offset 124")</f>
        <v>offset 124</v>
      </c>
    </row>
    <row r="13974" customFormat="false" ht="12.8" hidden="false" customHeight="false" outlineLevel="0" collapsed="false">
      <c r="A13974" s="0" t="s">
        <v>12</v>
      </c>
      <c r="B13974" s="0" t="n">
        <v>4345006</v>
      </c>
      <c r="C13974" s="0" t="n">
        <v>4345026</v>
      </c>
      <c r="D13974" s="0" t="s">
        <v>46414</v>
      </c>
      <c r="E13974" s="0" t="s">
        <v>75</v>
      </c>
      <c r="F13974" s="0" t="s">
        <v>15</v>
      </c>
      <c r="G13974" s="0" t="s">
        <v>32</v>
      </c>
      <c r="H13974" s="0" t="n">
        <v>1</v>
      </c>
      <c r="I13974" s="0" t="s">
        <v>46415</v>
      </c>
      <c r="J13974" s="0" t="s">
        <v>46416</v>
      </c>
      <c r="K13974" s="0" t="s">
        <v>46417</v>
      </c>
      <c r="L13974" s="0" t="str">
        <f aca="false">HYPERLINK("https://www.ncbi.nlm.nih.gov/nuccore/CP000058.1?report=graph&amp;tracks=[key:gene_model_track,Options:GeneOnly]&amp;mk=4345007:4345026|offset_1|00cc00,4345027:4345046|offset_21|444444,4345065:4345084|offset_59|444444,4345085:4345104|offset_79|444444&amp;v=4344806:4345304&amp;c=444444", "offset 1")</f>
        <v>offset 1</v>
      </c>
    </row>
    <row r="13975" customFormat="false" ht="12.8" hidden="false" customHeight="false" outlineLevel="0" collapsed="false">
      <c r="A13975" s="0" t="s">
        <v>12</v>
      </c>
      <c r="B13975" s="0" t="n">
        <v>4345026</v>
      </c>
      <c r="C13975" s="0" t="n">
        <v>4345046</v>
      </c>
      <c r="D13975" s="0" t="s">
        <v>46414</v>
      </c>
      <c r="E13975" s="0" t="s">
        <v>75</v>
      </c>
      <c r="F13975" s="0" t="s">
        <v>15</v>
      </c>
      <c r="G13975" s="0" t="s">
        <v>16</v>
      </c>
      <c r="H13975" s="0" t="n">
        <v>21</v>
      </c>
      <c r="I13975" s="0" t="s">
        <v>46418</v>
      </c>
      <c r="J13975" s="0" t="s">
        <v>46419</v>
      </c>
      <c r="K13975" s="0" t="s">
        <v>46420</v>
      </c>
      <c r="L13975" s="0" t="str">
        <f aca="false">HYPERLINK("https://www.ncbi.nlm.nih.gov/nuccore/CP000058.1?report=graph&amp;tracks=[key:gene_model_track,Options:GeneOnly]&amp;mk=4345007:4345026|offset_1|444444,4345027:4345046|offset_21|00cc00,4345065:4345084|offset_59|444444,4345085:4345104|offset_79|444444&amp;v=4344806:4345304&amp;c=444444", "offset 21")</f>
        <v>offset 21</v>
      </c>
    </row>
    <row r="13976" customFormat="false" ht="12.8" hidden="false" customHeight="false" outlineLevel="0" collapsed="false">
      <c r="A13976" s="0" t="s">
        <v>12</v>
      </c>
      <c r="B13976" s="0" t="n">
        <v>4345064</v>
      </c>
      <c r="C13976" s="0" t="n">
        <v>4345084</v>
      </c>
      <c r="D13976" s="0" t="s">
        <v>46414</v>
      </c>
      <c r="E13976" s="0" t="s">
        <v>75</v>
      </c>
      <c r="F13976" s="0" t="s">
        <v>15</v>
      </c>
      <c r="G13976" s="0" t="s">
        <v>36</v>
      </c>
      <c r="H13976" s="0" t="n">
        <v>59</v>
      </c>
      <c r="I13976" s="0" t="s">
        <v>46421</v>
      </c>
      <c r="J13976" s="0" t="s">
        <v>46422</v>
      </c>
      <c r="K13976" s="0" t="s">
        <v>46423</v>
      </c>
      <c r="L13976" s="0" t="str">
        <f aca="false">HYPERLINK("https://www.ncbi.nlm.nih.gov/nuccore/CP000058.1?report=graph&amp;tracks=[key:gene_model_track,Options:GeneOnly]&amp;mk=4345007:4345026|offset_1|444444,4345027:4345046|offset_21|444444,4345065:4345084|offset_59|00cc00,4345085:4345104|offset_79|444444&amp;v=4344806:4345304&amp;c=444444", "offset 59")</f>
        <v>offset 59</v>
      </c>
    </row>
    <row r="13977" customFormat="false" ht="12.8" hidden="false" customHeight="false" outlineLevel="0" collapsed="false">
      <c r="A13977" s="0" t="s">
        <v>12</v>
      </c>
      <c r="B13977" s="0" t="n">
        <v>4345084</v>
      </c>
      <c r="C13977" s="0" t="n">
        <v>4345104</v>
      </c>
      <c r="D13977" s="0" t="s">
        <v>46414</v>
      </c>
      <c r="E13977" s="0" t="s">
        <v>75</v>
      </c>
      <c r="F13977" s="0" t="s">
        <v>15</v>
      </c>
      <c r="G13977" s="0" t="s">
        <v>16</v>
      </c>
      <c r="H13977" s="0" t="n">
        <v>79</v>
      </c>
      <c r="I13977" s="0" t="s">
        <v>46424</v>
      </c>
      <c r="J13977" s="0" t="s">
        <v>46425</v>
      </c>
      <c r="K13977" s="0" t="s">
        <v>46426</v>
      </c>
      <c r="L13977" s="0" t="str">
        <f aca="false">HYPERLINK("https://www.ncbi.nlm.nih.gov/nuccore/CP000058.1?report=graph&amp;tracks=[key:gene_model_track,Options:GeneOnly]&amp;mk=4345007:4345026|offset_1|444444,4345027:4345046|offset_21|444444,4345065:4345084|offset_59|444444,4345085:4345104|offset_79|00cc00&amp;v=4344806:4345304&amp;c=444444", "offset 79")</f>
        <v>offset 79</v>
      </c>
    </row>
    <row r="13978" customFormat="false" ht="12.8" hidden="false" customHeight="false" outlineLevel="0" collapsed="false">
      <c r="A13978" s="0" t="s">
        <v>12</v>
      </c>
      <c r="B13978" s="0" t="n">
        <v>4346467</v>
      </c>
      <c r="C13978" s="0" t="n">
        <v>4346487</v>
      </c>
      <c r="D13978" s="0" t="s">
        <v>46427</v>
      </c>
      <c r="E13978" s="0" t="s">
        <v>75</v>
      </c>
      <c r="F13978" s="0" t="s">
        <v>15</v>
      </c>
      <c r="G13978" s="0" t="s">
        <v>36</v>
      </c>
      <c r="H13978" s="0" t="n">
        <v>16</v>
      </c>
      <c r="I13978" s="0" t="s">
        <v>46428</v>
      </c>
      <c r="J13978" s="0" t="s">
        <v>46429</v>
      </c>
      <c r="K13978" s="0" t="s">
        <v>46430</v>
      </c>
      <c r="L13978" s="0" t="str">
        <f aca="false">HYPERLINK("https://www.ncbi.nlm.nih.gov/nuccore/CP000058.1?report=graph&amp;tracks=[key:gene_model_track,Options:GeneOnly]&amp;mk=4346468:4346487|offset_16|00cc00,4346488:4346507|offset_36|444444,4346525:4346544|offset_73|444444,4346612:4346631|offset_160|444444&amp;v=4346267:4346831&amp;c=444444", "offset 16")</f>
        <v>offset 16</v>
      </c>
    </row>
    <row r="13979" customFormat="false" ht="12.8" hidden="false" customHeight="false" outlineLevel="0" collapsed="false">
      <c r="A13979" s="0" t="s">
        <v>12</v>
      </c>
      <c r="B13979" s="0" t="n">
        <v>4346487</v>
      </c>
      <c r="C13979" s="0" t="n">
        <v>4346507</v>
      </c>
      <c r="D13979" s="0" t="s">
        <v>46427</v>
      </c>
      <c r="E13979" s="0" t="s">
        <v>75</v>
      </c>
      <c r="F13979" s="0" t="s">
        <v>15</v>
      </c>
      <c r="G13979" s="0" t="s">
        <v>16</v>
      </c>
      <c r="H13979" s="0" t="n">
        <v>36</v>
      </c>
      <c r="I13979" s="0" t="s">
        <v>46431</v>
      </c>
      <c r="J13979" s="0" t="s">
        <v>46432</v>
      </c>
      <c r="K13979" s="0" t="s">
        <v>46433</v>
      </c>
      <c r="L13979" s="0" t="str">
        <f aca="false">HYPERLINK("https://www.ncbi.nlm.nih.gov/nuccore/CP000058.1?report=graph&amp;tracks=[key:gene_model_track,Options:GeneOnly]&amp;mk=4346468:4346487|offset_16|444444,4346488:4346507|offset_36|00cc00,4346525:4346544|offset_73|444444,4346612:4346631|offset_160|444444&amp;v=4346267:4346831&amp;c=444444", "offset 36")</f>
        <v>offset 36</v>
      </c>
    </row>
    <row r="13980" customFormat="false" ht="12.8" hidden="false" customHeight="false" outlineLevel="0" collapsed="false">
      <c r="A13980" s="0" t="s">
        <v>12</v>
      </c>
      <c r="B13980" s="0" t="n">
        <v>4346524</v>
      </c>
      <c r="C13980" s="0" t="n">
        <v>4346544</v>
      </c>
      <c r="D13980" s="0" t="s">
        <v>46427</v>
      </c>
      <c r="E13980" s="0" t="s">
        <v>75</v>
      </c>
      <c r="F13980" s="0" t="s">
        <v>15</v>
      </c>
      <c r="G13980" s="0" t="s">
        <v>32</v>
      </c>
      <c r="H13980" s="0" t="n">
        <v>73</v>
      </c>
      <c r="I13980" s="0" t="s">
        <v>46434</v>
      </c>
      <c r="J13980" s="0" t="s">
        <v>46435</v>
      </c>
      <c r="K13980" s="0" t="s">
        <v>46436</v>
      </c>
      <c r="L13980" s="0" t="str">
        <f aca="false">HYPERLINK("https://www.ncbi.nlm.nih.gov/nuccore/CP000058.1?report=graph&amp;tracks=[key:gene_model_track,Options:GeneOnly]&amp;mk=4346468:4346487|offset_16|444444,4346488:4346507|offset_36|444444,4346525:4346544|offset_73|00cc00,4346612:4346631|offset_160|444444&amp;v=4346267:4346831&amp;c=444444", "offset 73")</f>
        <v>offset 73</v>
      </c>
    </row>
    <row r="13981" customFormat="false" ht="12.8" hidden="false" customHeight="false" outlineLevel="0" collapsed="false">
      <c r="A13981" s="0" t="s">
        <v>12</v>
      </c>
      <c r="B13981" s="0" t="n">
        <v>4346611</v>
      </c>
      <c r="C13981" s="0" t="n">
        <v>4346631</v>
      </c>
      <c r="D13981" s="0" t="s">
        <v>46427</v>
      </c>
      <c r="E13981" s="0" t="s">
        <v>75</v>
      </c>
      <c r="F13981" s="0" t="s">
        <v>15</v>
      </c>
      <c r="G13981" s="0" t="s">
        <v>36</v>
      </c>
      <c r="H13981" s="0" t="n">
        <v>160</v>
      </c>
      <c r="I13981" s="0" t="s">
        <v>46437</v>
      </c>
      <c r="J13981" s="0" t="s">
        <v>46438</v>
      </c>
      <c r="K13981" s="0" t="s">
        <v>46439</v>
      </c>
      <c r="L13981" s="0" t="str">
        <f aca="false">HYPERLINK("https://www.ncbi.nlm.nih.gov/nuccore/CP000058.1?report=graph&amp;tracks=[key:gene_model_track,Options:GeneOnly]&amp;mk=4346468:4346487|offset_16|444444,4346488:4346507|offset_36|444444,4346525:4346544|offset_73|444444,4346612:4346631|offset_160|00cc00&amp;v=4346267:4346831&amp;c=444444", "offset 160")</f>
        <v>offset 160</v>
      </c>
    </row>
    <row r="13982" customFormat="false" ht="12.8" hidden="false" customHeight="false" outlineLevel="0" collapsed="false">
      <c r="A13982" s="0" t="s">
        <v>12</v>
      </c>
      <c r="B13982" s="0" t="n">
        <v>4346995</v>
      </c>
      <c r="C13982" s="0" t="n">
        <v>4347015</v>
      </c>
      <c r="D13982" s="0" t="s">
        <v>46440</v>
      </c>
      <c r="E13982" s="0" t="s">
        <v>75</v>
      </c>
      <c r="F13982" s="0" t="s">
        <v>15</v>
      </c>
      <c r="G13982" s="0" t="s">
        <v>36</v>
      </c>
      <c r="H13982" s="0" t="n">
        <v>11</v>
      </c>
      <c r="I13982" s="0" t="s">
        <v>46441</v>
      </c>
      <c r="J13982" s="0" t="s">
        <v>46442</v>
      </c>
      <c r="K13982" s="0" t="s">
        <v>46443</v>
      </c>
      <c r="L13982" s="0" t="str">
        <f aca="false">HYPERLINK("https://www.ncbi.nlm.nih.gov/nuccore/CP000058.1?report=graph&amp;tracks=[key:gene_model_track,Options:GeneOnly]&amp;mk=4346996:4347015|offset_11|00cc00,4347017:4347036|offset_32|444444,4347040:4347059|offset_55|444444,4347108:4347127|offset_123|444444&amp;v=4346795:4347327&amp;c=444444", "offset 11")</f>
        <v>offset 11</v>
      </c>
    </row>
    <row r="13983" customFormat="false" ht="12.8" hidden="false" customHeight="false" outlineLevel="0" collapsed="false">
      <c r="A13983" s="0" t="s">
        <v>12</v>
      </c>
      <c r="B13983" s="0" t="n">
        <v>4347016</v>
      </c>
      <c r="C13983" s="0" t="n">
        <v>4347036</v>
      </c>
      <c r="D13983" s="0" t="s">
        <v>46440</v>
      </c>
      <c r="E13983" s="0" t="s">
        <v>75</v>
      </c>
      <c r="F13983" s="0" t="s">
        <v>15</v>
      </c>
      <c r="G13983" s="0" t="s">
        <v>20</v>
      </c>
      <c r="H13983" s="0" t="n">
        <v>32</v>
      </c>
      <c r="I13983" s="0" t="s">
        <v>46444</v>
      </c>
      <c r="J13983" s="0" t="s">
        <v>46445</v>
      </c>
      <c r="K13983" s="0" t="s">
        <v>46446</v>
      </c>
      <c r="L13983" s="0" t="str">
        <f aca="false">HYPERLINK("https://www.ncbi.nlm.nih.gov/nuccore/CP000058.1?report=graph&amp;tracks=[key:gene_model_track,Options:GeneOnly]&amp;mk=4346996:4347015|offset_11|444444,4347017:4347036|offset_32|00cc00,4347040:4347059|offset_55|444444,4347108:4347127|offset_123|444444&amp;v=4346795:4347327&amp;c=444444", "offset 32")</f>
        <v>offset 32</v>
      </c>
    </row>
    <row r="13984" customFormat="false" ht="12.8" hidden="false" customHeight="false" outlineLevel="0" collapsed="false">
      <c r="A13984" s="0" t="s">
        <v>12</v>
      </c>
      <c r="B13984" s="0" t="n">
        <v>4347039</v>
      </c>
      <c r="C13984" s="0" t="n">
        <v>4347059</v>
      </c>
      <c r="D13984" s="0" t="s">
        <v>46440</v>
      </c>
      <c r="E13984" s="0" t="s">
        <v>75</v>
      </c>
      <c r="F13984" s="0" t="s">
        <v>15</v>
      </c>
      <c r="G13984" s="0" t="s">
        <v>36</v>
      </c>
      <c r="H13984" s="0" t="n">
        <v>55</v>
      </c>
      <c r="I13984" s="0" t="s">
        <v>46447</v>
      </c>
      <c r="J13984" s="0" t="s">
        <v>46448</v>
      </c>
      <c r="K13984" s="0" t="s">
        <v>46449</v>
      </c>
      <c r="L13984" s="0" t="str">
        <f aca="false">HYPERLINK("https://www.ncbi.nlm.nih.gov/nuccore/CP000058.1?report=graph&amp;tracks=[key:gene_model_track,Options:GeneOnly]&amp;mk=4346996:4347015|offset_11|444444,4347017:4347036|offset_32|444444,4347040:4347059|offset_55|00cc00,4347108:4347127|offset_123|444444&amp;v=4346795:4347327&amp;c=444444", "offset 55")</f>
        <v>offset 55</v>
      </c>
    </row>
    <row r="13985" customFormat="false" ht="12.8" hidden="false" customHeight="false" outlineLevel="0" collapsed="false">
      <c r="A13985" s="0" t="s">
        <v>12</v>
      </c>
      <c r="B13985" s="0" t="n">
        <v>4347107</v>
      </c>
      <c r="C13985" s="0" t="n">
        <v>4347127</v>
      </c>
      <c r="D13985" s="0" t="s">
        <v>46440</v>
      </c>
      <c r="E13985" s="0" t="s">
        <v>75</v>
      </c>
      <c r="F13985" s="0" t="s">
        <v>15</v>
      </c>
      <c r="G13985" s="0" t="s">
        <v>16</v>
      </c>
      <c r="H13985" s="0" t="n">
        <v>123</v>
      </c>
      <c r="I13985" s="0" t="s">
        <v>46450</v>
      </c>
      <c r="J13985" s="0" t="s">
        <v>46451</v>
      </c>
      <c r="K13985" s="0" t="s">
        <v>46452</v>
      </c>
      <c r="L13985" s="0" t="str">
        <f aca="false">HYPERLINK("https://www.ncbi.nlm.nih.gov/nuccore/CP000058.1?report=graph&amp;tracks=[key:gene_model_track,Options:GeneOnly]&amp;mk=4346996:4347015|offset_11|444444,4347017:4347036|offset_32|444444,4347040:4347059|offset_55|444444,4347108:4347127|offset_123|00cc00&amp;v=4346795:4347327&amp;c=444444", "offset 123")</f>
        <v>offset 123</v>
      </c>
    </row>
    <row r="13986" customFormat="false" ht="12.8" hidden="false" customHeight="false" outlineLevel="0" collapsed="false">
      <c r="A13986" s="0" t="s">
        <v>12</v>
      </c>
      <c r="B13986" s="0" t="n">
        <v>4347860</v>
      </c>
      <c r="C13986" s="0" t="n">
        <v>4347880</v>
      </c>
      <c r="D13986" s="0" t="s">
        <v>46453</v>
      </c>
      <c r="E13986" s="0" t="s">
        <v>75</v>
      </c>
      <c r="F13986" s="0" t="s">
        <v>15</v>
      </c>
      <c r="G13986" s="0" t="s">
        <v>16</v>
      </c>
      <c r="H13986" s="0" t="n">
        <v>85</v>
      </c>
      <c r="I13986" s="0" t="s">
        <v>46454</v>
      </c>
      <c r="J13986" s="0" t="s">
        <v>46455</v>
      </c>
      <c r="K13986" s="0" t="s">
        <v>46456</v>
      </c>
      <c r="L13986" s="0" t="str">
        <f aca="false">HYPERLINK("https://www.ncbi.nlm.nih.gov/nuccore/CP000058.1?report=graph&amp;tracks=[key:gene_model_track,Options:GeneOnly]&amp;mk=4347861:4347880|offset_85|00cc00,4347967:4347986|offset_191|444444,4348000:4348019|offset_224|444444,4348025:4348044|offset_249|444444&amp;v=4347660:4348244&amp;c=444444", "offset 85")</f>
        <v>offset 85</v>
      </c>
    </row>
    <row r="13987" customFormat="false" ht="12.8" hidden="false" customHeight="false" outlineLevel="0" collapsed="false">
      <c r="A13987" s="0" t="s">
        <v>12</v>
      </c>
      <c r="B13987" s="0" t="n">
        <v>4347966</v>
      </c>
      <c r="C13987" s="0" t="n">
        <v>4347986</v>
      </c>
      <c r="D13987" s="0" t="s">
        <v>46453</v>
      </c>
      <c r="E13987" s="0" t="s">
        <v>75</v>
      </c>
      <c r="F13987" s="0" t="s">
        <v>15</v>
      </c>
      <c r="G13987" s="0" t="s">
        <v>20</v>
      </c>
      <c r="H13987" s="0" t="n">
        <v>191</v>
      </c>
      <c r="I13987" s="0" t="s">
        <v>46457</v>
      </c>
      <c r="J13987" s="0" t="s">
        <v>46458</v>
      </c>
      <c r="K13987" s="0" t="s">
        <v>46459</v>
      </c>
      <c r="L13987" s="0" t="str">
        <f aca="false">HYPERLINK("https://www.ncbi.nlm.nih.gov/nuccore/CP000058.1?report=graph&amp;tracks=[key:gene_model_track,Options:GeneOnly]&amp;mk=4347861:4347880|offset_85|444444,4347967:4347986|offset_191|00cc00,4348000:4348019|offset_224|444444,4348025:4348044|offset_249|444444&amp;v=4347660:4348244&amp;c=444444", "offset 191")</f>
        <v>offset 191</v>
      </c>
    </row>
    <row r="13988" customFormat="false" ht="12.8" hidden="false" customHeight="false" outlineLevel="0" collapsed="false">
      <c r="A13988" s="0" t="s">
        <v>12</v>
      </c>
      <c r="B13988" s="0" t="n">
        <v>4347999</v>
      </c>
      <c r="C13988" s="0" t="n">
        <v>4348019</v>
      </c>
      <c r="D13988" s="0" t="s">
        <v>46453</v>
      </c>
      <c r="E13988" s="0" t="s">
        <v>75</v>
      </c>
      <c r="F13988" s="0" t="s">
        <v>15</v>
      </c>
      <c r="G13988" s="0" t="s">
        <v>16</v>
      </c>
      <c r="H13988" s="0" t="n">
        <v>224</v>
      </c>
      <c r="I13988" s="0" t="s">
        <v>46460</v>
      </c>
      <c r="J13988" s="0" t="s">
        <v>46461</v>
      </c>
      <c r="K13988" s="0" t="s">
        <v>46462</v>
      </c>
      <c r="L13988" s="0" t="str">
        <f aca="false">HYPERLINK("https://www.ncbi.nlm.nih.gov/nuccore/CP000058.1?report=graph&amp;tracks=[key:gene_model_track,Options:GeneOnly]&amp;mk=4347861:4347880|offset_85|444444,4347967:4347986|offset_191|444444,4348000:4348019|offset_224|00cc00,4348025:4348044|offset_249|444444&amp;v=4347660:4348244&amp;c=444444", "offset 224")</f>
        <v>offset 224</v>
      </c>
    </row>
    <row r="13989" customFormat="false" ht="12.8" hidden="false" customHeight="false" outlineLevel="0" collapsed="false">
      <c r="A13989" s="0" t="s">
        <v>12</v>
      </c>
      <c r="B13989" s="0" t="n">
        <v>4348024</v>
      </c>
      <c r="C13989" s="0" t="n">
        <v>4348044</v>
      </c>
      <c r="D13989" s="0" t="s">
        <v>46453</v>
      </c>
      <c r="E13989" s="0" t="s">
        <v>75</v>
      </c>
      <c r="F13989" s="0" t="s">
        <v>15</v>
      </c>
      <c r="G13989" s="0" t="s">
        <v>16</v>
      </c>
      <c r="H13989" s="0" t="n">
        <v>249</v>
      </c>
      <c r="I13989" s="0" t="s">
        <v>46463</v>
      </c>
      <c r="J13989" s="0" t="s">
        <v>46464</v>
      </c>
      <c r="K13989" s="0" t="s">
        <v>46465</v>
      </c>
      <c r="L13989" s="0" t="str">
        <f aca="false">HYPERLINK("https://www.ncbi.nlm.nih.gov/nuccore/CP000058.1?report=graph&amp;tracks=[key:gene_model_track,Options:GeneOnly]&amp;mk=4347861:4347880|offset_85|444444,4347967:4347986|offset_191|444444,4348000:4348019|offset_224|444444,4348025:4348044|offset_249|00cc00&amp;v=4347660:4348244&amp;c=444444", "offset 249")</f>
        <v>offset 249</v>
      </c>
    </row>
    <row r="13990" customFormat="false" ht="12.8" hidden="false" customHeight="false" outlineLevel="0" collapsed="false">
      <c r="A13990" s="0" t="s">
        <v>12</v>
      </c>
      <c r="B13990" s="0" t="n">
        <v>4348251</v>
      </c>
      <c r="C13990" s="0" t="n">
        <v>4348271</v>
      </c>
      <c r="D13990" s="0" t="s">
        <v>46466</v>
      </c>
      <c r="E13990" s="0" t="s">
        <v>75</v>
      </c>
      <c r="F13990" s="0" t="s">
        <v>15</v>
      </c>
      <c r="G13990" s="0" t="s">
        <v>32</v>
      </c>
      <c r="H13990" s="0" t="n">
        <v>1</v>
      </c>
      <c r="I13990" s="0" t="s">
        <v>46467</v>
      </c>
      <c r="J13990" s="0" t="s">
        <v>46468</v>
      </c>
      <c r="K13990" s="0" t="s">
        <v>46469</v>
      </c>
      <c r="L13990" s="0" t="str">
        <f aca="false">HYPERLINK("https://www.ncbi.nlm.nih.gov/nuccore/CP000058.1?report=graph&amp;tracks=[key:gene_model_track,Options:GeneOnly]&amp;mk=4348252:4348271|offset_1|00cc00,4348272:4348291|offset_21|444444,4348312:4348331|offset_61|444444,4348336:4348355|offset_85|444444&amp;v=4348051:4348555&amp;c=444444", "offset 1")</f>
        <v>offset 1</v>
      </c>
    </row>
    <row r="13991" customFormat="false" ht="12.8" hidden="false" customHeight="false" outlineLevel="0" collapsed="false">
      <c r="A13991" s="0" t="s">
        <v>12</v>
      </c>
      <c r="B13991" s="0" t="n">
        <v>4348271</v>
      </c>
      <c r="C13991" s="0" t="n">
        <v>4348291</v>
      </c>
      <c r="D13991" s="0" t="s">
        <v>46466</v>
      </c>
      <c r="E13991" s="0" t="s">
        <v>75</v>
      </c>
      <c r="F13991" s="0" t="s">
        <v>15</v>
      </c>
      <c r="G13991" s="0" t="s">
        <v>20</v>
      </c>
      <c r="H13991" s="0" t="n">
        <v>21</v>
      </c>
      <c r="I13991" s="0" t="s">
        <v>46470</v>
      </c>
      <c r="J13991" s="0" t="s">
        <v>46471</v>
      </c>
      <c r="K13991" s="0" t="s">
        <v>46472</v>
      </c>
      <c r="L13991" s="0" t="str">
        <f aca="false">HYPERLINK("https://www.ncbi.nlm.nih.gov/nuccore/CP000058.1?report=graph&amp;tracks=[key:gene_model_track,Options:GeneOnly]&amp;mk=4348252:4348271|offset_1|444444,4348272:4348291|offset_21|00cc00,4348312:4348331|offset_61|444444,4348336:4348355|offset_85|444444&amp;v=4348051:4348555&amp;c=444444", "offset 21")</f>
        <v>offset 21</v>
      </c>
    </row>
    <row r="13992" customFormat="false" ht="12.8" hidden="false" customHeight="false" outlineLevel="0" collapsed="false">
      <c r="A13992" s="0" t="s">
        <v>12</v>
      </c>
      <c r="B13992" s="0" t="n">
        <v>4348311</v>
      </c>
      <c r="C13992" s="0" t="n">
        <v>4348331</v>
      </c>
      <c r="D13992" s="0" t="s">
        <v>46466</v>
      </c>
      <c r="E13992" s="0" t="s">
        <v>75</v>
      </c>
      <c r="F13992" s="0" t="s">
        <v>15</v>
      </c>
      <c r="G13992" s="0" t="s">
        <v>32</v>
      </c>
      <c r="H13992" s="0" t="n">
        <v>61</v>
      </c>
      <c r="I13992" s="0" t="s">
        <v>46473</v>
      </c>
      <c r="J13992" s="0" t="s">
        <v>46474</v>
      </c>
      <c r="K13992" s="0" t="s">
        <v>46475</v>
      </c>
      <c r="L13992" s="0" t="str">
        <f aca="false">HYPERLINK("https://www.ncbi.nlm.nih.gov/nuccore/CP000058.1?report=graph&amp;tracks=[key:gene_model_track,Options:GeneOnly]&amp;mk=4348252:4348271|offset_1|444444,4348272:4348291|offset_21|444444,4348312:4348331|offset_61|00cc00,4348336:4348355|offset_85|444444&amp;v=4348051:4348555&amp;c=444444", "offset 61")</f>
        <v>offset 61</v>
      </c>
    </row>
    <row r="13993" customFormat="false" ht="12.8" hidden="false" customHeight="false" outlineLevel="0" collapsed="false">
      <c r="A13993" s="0" t="s">
        <v>12</v>
      </c>
      <c r="B13993" s="0" t="n">
        <v>4348335</v>
      </c>
      <c r="C13993" s="0" t="n">
        <v>4348355</v>
      </c>
      <c r="D13993" s="0" t="s">
        <v>46466</v>
      </c>
      <c r="E13993" s="0" t="s">
        <v>75</v>
      </c>
      <c r="F13993" s="0" t="s">
        <v>15</v>
      </c>
      <c r="G13993" s="0" t="s">
        <v>36</v>
      </c>
      <c r="H13993" s="0" t="n">
        <v>85</v>
      </c>
      <c r="I13993" s="0" t="s">
        <v>46476</v>
      </c>
      <c r="J13993" s="0" t="s">
        <v>46477</v>
      </c>
      <c r="K13993" s="0" t="s">
        <v>46478</v>
      </c>
      <c r="L13993" s="0" t="str">
        <f aca="false">HYPERLINK("https://www.ncbi.nlm.nih.gov/nuccore/CP000058.1?report=graph&amp;tracks=[key:gene_model_track,Options:GeneOnly]&amp;mk=4348252:4348271|offset_1|444444,4348272:4348291|offset_21|444444,4348312:4348331|offset_61|444444,4348336:4348355|offset_85|00cc00&amp;v=4348051:4348555&amp;c=444444", "offset 85")</f>
        <v>offset 85</v>
      </c>
    </row>
    <row r="13994" customFormat="false" ht="12.8" hidden="false" customHeight="false" outlineLevel="0" collapsed="false">
      <c r="A13994" s="0" t="s">
        <v>12</v>
      </c>
      <c r="B13994" s="0" t="n">
        <v>4349765</v>
      </c>
      <c r="C13994" s="0" t="n">
        <v>4349785</v>
      </c>
      <c r="D13994" s="0" t="s">
        <v>46479</v>
      </c>
      <c r="E13994" s="0" t="s">
        <v>46480</v>
      </c>
      <c r="F13994" s="0" t="s">
        <v>90</v>
      </c>
      <c r="G13994" s="0" t="s">
        <v>32</v>
      </c>
      <c r="H13994" s="0" t="n">
        <v>17</v>
      </c>
      <c r="I13994" s="0" t="s">
        <v>46481</v>
      </c>
      <c r="J13994" s="0" t="s">
        <v>46482</v>
      </c>
      <c r="K13994" s="0" t="s">
        <v>46483</v>
      </c>
      <c r="L13994" s="0" t="str">
        <f aca="false">HYPERLINK("https://www.ncbi.nlm.nih.gov/nuccore/CP000058.1?report=graph&amp;tracks=[key:gene_model_track,Options:GeneOnly]&amp;mk=4349766:4349785|offset_17|00cc00,4349745:4349764|offset_38|444444,4349707:4349726|offset_76|444444,4349648:4349667|offset_135|444444&amp;v=4349565:4349867&amp;c=444444", "offset 17")</f>
        <v>offset 17</v>
      </c>
    </row>
    <row r="13995" customFormat="false" ht="12.8" hidden="false" customHeight="false" outlineLevel="0" collapsed="false">
      <c r="A13995" s="0" t="s">
        <v>12</v>
      </c>
      <c r="B13995" s="0" t="n">
        <v>4349744</v>
      </c>
      <c r="C13995" s="0" t="n">
        <v>4349764</v>
      </c>
      <c r="D13995" s="0" t="s">
        <v>46479</v>
      </c>
      <c r="E13995" s="0" t="s">
        <v>46480</v>
      </c>
      <c r="F13995" s="0" t="s">
        <v>90</v>
      </c>
      <c r="G13995" s="0" t="s">
        <v>32</v>
      </c>
      <c r="H13995" s="0" t="n">
        <v>38</v>
      </c>
      <c r="I13995" s="0" t="s">
        <v>46484</v>
      </c>
      <c r="J13995" s="0" t="s">
        <v>46485</v>
      </c>
      <c r="K13995" s="0" t="s">
        <v>46486</v>
      </c>
      <c r="L13995" s="0" t="str">
        <f aca="false">HYPERLINK("https://www.ncbi.nlm.nih.gov/nuccore/CP000058.1?report=graph&amp;tracks=[key:gene_model_track,Options:GeneOnly]&amp;mk=4349766:4349785|offset_17|444444,4349745:4349764|offset_38|00cc00,4349707:4349726|offset_76|444444,4349648:4349667|offset_135|444444&amp;v=4349565:4349867&amp;c=444444", "offset 38")</f>
        <v>offset 38</v>
      </c>
    </row>
    <row r="13996" customFormat="false" ht="12.8" hidden="false" customHeight="false" outlineLevel="0" collapsed="false">
      <c r="A13996" s="0" t="s">
        <v>12</v>
      </c>
      <c r="B13996" s="0" t="n">
        <v>4349706</v>
      </c>
      <c r="C13996" s="0" t="n">
        <v>4349726</v>
      </c>
      <c r="D13996" s="0" t="s">
        <v>46479</v>
      </c>
      <c r="E13996" s="0" t="s">
        <v>46480</v>
      </c>
      <c r="F13996" s="0" t="s">
        <v>90</v>
      </c>
      <c r="G13996" s="0" t="s">
        <v>36</v>
      </c>
      <c r="H13996" s="0" t="n">
        <v>76</v>
      </c>
      <c r="I13996" s="0" t="s">
        <v>46487</v>
      </c>
      <c r="J13996" s="0" t="s">
        <v>46488</v>
      </c>
      <c r="K13996" s="0" t="s">
        <v>46489</v>
      </c>
      <c r="L13996" s="0" t="str">
        <f aca="false">HYPERLINK("https://www.ncbi.nlm.nih.gov/nuccore/CP000058.1?report=graph&amp;tracks=[key:gene_model_track,Options:GeneOnly]&amp;mk=4349766:4349785|offset_17|444444,4349745:4349764|offset_38|444444,4349707:4349726|offset_76|00cc00,4349648:4349667|offset_135|444444&amp;v=4349565:4349867&amp;c=444444", "offset 76")</f>
        <v>offset 76</v>
      </c>
    </row>
    <row r="13997" customFormat="false" ht="12.8" hidden="false" customHeight="false" outlineLevel="0" collapsed="false">
      <c r="A13997" s="0" t="s">
        <v>12</v>
      </c>
      <c r="B13997" s="0" t="n">
        <v>4349647</v>
      </c>
      <c r="C13997" s="0" t="n">
        <v>4349667</v>
      </c>
      <c r="D13997" s="0" t="s">
        <v>46479</v>
      </c>
      <c r="E13997" s="0" t="s">
        <v>46480</v>
      </c>
      <c r="F13997" s="0" t="s">
        <v>90</v>
      </c>
      <c r="G13997" s="0" t="s">
        <v>32</v>
      </c>
      <c r="H13997" s="0" t="n">
        <v>135</v>
      </c>
      <c r="I13997" s="0" t="s">
        <v>46490</v>
      </c>
      <c r="J13997" s="0" t="s">
        <v>46491</v>
      </c>
      <c r="K13997" s="0" t="s">
        <v>46492</v>
      </c>
      <c r="L13997" s="0" t="str">
        <f aca="false">HYPERLINK("https://www.ncbi.nlm.nih.gov/nuccore/CP000058.1?report=graph&amp;tracks=[key:gene_model_track,Options:GeneOnly]&amp;mk=4349766:4349785|offset_17|444444,4349745:4349764|offset_38|444444,4349707:4349726|offset_76|444444,4349648:4349667|offset_135|00cc00&amp;v=4349565:4349867&amp;c=444444", "offset 135")</f>
        <v>offset 135</v>
      </c>
    </row>
    <row r="13998" customFormat="false" ht="12.8" hidden="false" customHeight="false" outlineLevel="0" collapsed="false">
      <c r="A13998" s="0" t="s">
        <v>12</v>
      </c>
      <c r="B13998" s="0" t="n">
        <v>4349942</v>
      </c>
      <c r="C13998" s="0" t="n">
        <v>4349962</v>
      </c>
      <c r="D13998" s="0" t="s">
        <v>46493</v>
      </c>
      <c r="E13998" s="0" t="s">
        <v>75</v>
      </c>
      <c r="F13998" s="0" t="s">
        <v>15</v>
      </c>
      <c r="G13998" s="0" t="s">
        <v>16</v>
      </c>
      <c r="H13998" s="0" t="n">
        <v>17</v>
      </c>
      <c r="I13998" s="0" t="s">
        <v>46494</v>
      </c>
      <c r="J13998" s="0" t="s">
        <v>46495</v>
      </c>
      <c r="K13998" s="0" t="s">
        <v>46496</v>
      </c>
      <c r="L13998" s="0" t="str">
        <f aca="false">HYPERLINK("https://www.ncbi.nlm.nih.gov/nuccore/CP000058.1?report=graph&amp;tracks=[key:gene_model_track,Options:GeneOnly]&amp;mk=4349943:4349962|offset_17|00cc00,4349966:4349985|offset_40|444444,4349990:4350009|offset_64|444444,4350029:4350048|offset_103|444444&amp;v=4349742:4350248&amp;c=444444", "offset 17")</f>
        <v>offset 17</v>
      </c>
    </row>
    <row r="13999" customFormat="false" ht="12.8" hidden="false" customHeight="false" outlineLevel="0" collapsed="false">
      <c r="A13999" s="0" t="s">
        <v>12</v>
      </c>
      <c r="B13999" s="0" t="n">
        <v>4349965</v>
      </c>
      <c r="C13999" s="0" t="n">
        <v>4349985</v>
      </c>
      <c r="D13999" s="0" t="s">
        <v>46493</v>
      </c>
      <c r="E13999" s="0" t="s">
        <v>75</v>
      </c>
      <c r="F13999" s="0" t="s">
        <v>15</v>
      </c>
      <c r="G13999" s="0" t="s">
        <v>16</v>
      </c>
      <c r="H13999" s="0" t="n">
        <v>40</v>
      </c>
      <c r="I13999" s="0" t="s">
        <v>46497</v>
      </c>
      <c r="J13999" s="0" t="s">
        <v>46498</v>
      </c>
      <c r="K13999" s="0" t="s">
        <v>46499</v>
      </c>
      <c r="L13999" s="0" t="str">
        <f aca="false">HYPERLINK("https://www.ncbi.nlm.nih.gov/nuccore/CP000058.1?report=graph&amp;tracks=[key:gene_model_track,Options:GeneOnly]&amp;mk=4349943:4349962|offset_17|444444,4349966:4349985|offset_40|00cc00,4349990:4350009|offset_64|444444,4350029:4350048|offset_103|444444&amp;v=4349742:4350248&amp;c=444444", "offset 40")</f>
        <v>offset 40</v>
      </c>
    </row>
    <row r="14000" customFormat="false" ht="12.8" hidden="false" customHeight="false" outlineLevel="0" collapsed="false">
      <c r="A14000" s="0" t="s">
        <v>12</v>
      </c>
      <c r="B14000" s="0" t="n">
        <v>4349989</v>
      </c>
      <c r="C14000" s="0" t="n">
        <v>4350009</v>
      </c>
      <c r="D14000" s="0" t="s">
        <v>46493</v>
      </c>
      <c r="E14000" s="0" t="s">
        <v>75</v>
      </c>
      <c r="F14000" s="0" t="s">
        <v>15</v>
      </c>
      <c r="G14000" s="0" t="s">
        <v>32</v>
      </c>
      <c r="H14000" s="0" t="n">
        <v>64</v>
      </c>
      <c r="I14000" s="0" t="s">
        <v>46500</v>
      </c>
      <c r="J14000" s="0" t="s">
        <v>46501</v>
      </c>
      <c r="K14000" s="0" t="s">
        <v>46502</v>
      </c>
      <c r="L14000" s="0" t="str">
        <f aca="false">HYPERLINK("https://www.ncbi.nlm.nih.gov/nuccore/CP000058.1?report=graph&amp;tracks=[key:gene_model_track,Options:GeneOnly]&amp;mk=4349943:4349962|offset_17|444444,4349966:4349985|offset_40|444444,4349990:4350009|offset_64|00cc00,4350029:4350048|offset_103|444444&amp;v=4349742:4350248&amp;c=444444", "offset 64")</f>
        <v>offset 64</v>
      </c>
    </row>
    <row r="14001" customFormat="false" ht="12.8" hidden="false" customHeight="false" outlineLevel="0" collapsed="false">
      <c r="A14001" s="0" t="s">
        <v>12</v>
      </c>
      <c r="B14001" s="0" t="n">
        <v>4350028</v>
      </c>
      <c r="C14001" s="0" t="n">
        <v>4350048</v>
      </c>
      <c r="D14001" s="0" t="s">
        <v>46493</v>
      </c>
      <c r="E14001" s="0" t="s">
        <v>75</v>
      </c>
      <c r="F14001" s="0" t="s">
        <v>15</v>
      </c>
      <c r="G14001" s="0" t="s">
        <v>32</v>
      </c>
      <c r="H14001" s="0" t="n">
        <v>103</v>
      </c>
      <c r="I14001" s="0" t="s">
        <v>46503</v>
      </c>
      <c r="J14001" s="0" t="s">
        <v>46504</v>
      </c>
      <c r="K14001" s="0" t="s">
        <v>46505</v>
      </c>
      <c r="L14001" s="0" t="str">
        <f aca="false">HYPERLINK("https://www.ncbi.nlm.nih.gov/nuccore/CP000058.1?report=graph&amp;tracks=[key:gene_model_track,Options:GeneOnly]&amp;mk=4349943:4349962|offset_17|444444,4349966:4349985|offset_40|444444,4349990:4350009|offset_64|444444,4350029:4350048|offset_103|00cc00&amp;v=4349742:4350248&amp;c=444444", "offset 103")</f>
        <v>offset 103</v>
      </c>
    </row>
    <row r="14002" customFormat="false" ht="12.8" hidden="false" customHeight="false" outlineLevel="0" collapsed="false">
      <c r="A14002" s="0" t="s">
        <v>12</v>
      </c>
      <c r="B14002" s="0" t="n">
        <v>4351196</v>
      </c>
      <c r="C14002" s="0" t="n">
        <v>4351216</v>
      </c>
      <c r="D14002" s="0" t="s">
        <v>46506</v>
      </c>
      <c r="E14002" s="0" t="s">
        <v>46507</v>
      </c>
      <c r="F14002" s="0" t="s">
        <v>90</v>
      </c>
      <c r="G14002" s="0" t="s">
        <v>36</v>
      </c>
      <c r="H14002" s="0" t="n">
        <v>9</v>
      </c>
      <c r="I14002" s="0" t="s">
        <v>46508</v>
      </c>
      <c r="J14002" s="0" t="s">
        <v>46509</v>
      </c>
      <c r="K14002" s="0" t="s">
        <v>46510</v>
      </c>
      <c r="L14002" s="0" t="str">
        <f aca="false">HYPERLINK("https://www.ncbi.nlm.nih.gov/nuccore/CP000058.1?report=graph&amp;tracks=[key:gene_model_track,Options:GeneOnly]&amp;mk=4351197:4351216|offset_9|00cc00,4351165:4351184|offset_41|444444,4351109:4351128|offset_97|444444,4351069:4351088|offset_137|444444&amp;v=4350996:4351288&amp;c=444444", "offset 9")</f>
        <v>offset 9</v>
      </c>
    </row>
    <row r="14003" customFormat="false" ht="12.8" hidden="false" customHeight="false" outlineLevel="0" collapsed="false">
      <c r="A14003" s="0" t="s">
        <v>12</v>
      </c>
      <c r="B14003" s="0" t="n">
        <v>4351164</v>
      </c>
      <c r="C14003" s="0" t="n">
        <v>4351184</v>
      </c>
      <c r="D14003" s="0" t="s">
        <v>46506</v>
      </c>
      <c r="E14003" s="0" t="s">
        <v>46507</v>
      </c>
      <c r="F14003" s="0" t="s">
        <v>90</v>
      </c>
      <c r="G14003" s="0" t="s">
        <v>20</v>
      </c>
      <c r="H14003" s="0" t="n">
        <v>41</v>
      </c>
      <c r="I14003" s="0" t="s">
        <v>46511</v>
      </c>
      <c r="J14003" s="0" t="s">
        <v>46512</v>
      </c>
      <c r="K14003" s="0" t="s">
        <v>46513</v>
      </c>
      <c r="L14003" s="0" t="str">
        <f aca="false">HYPERLINK("https://www.ncbi.nlm.nih.gov/nuccore/CP000058.1?report=graph&amp;tracks=[key:gene_model_track,Options:GeneOnly]&amp;mk=4351197:4351216|offset_9|444444,4351165:4351184|offset_41|00cc00,4351109:4351128|offset_97|444444,4351069:4351088|offset_137|444444&amp;v=4350996:4351288&amp;c=444444", "offset 41")</f>
        <v>offset 41</v>
      </c>
    </row>
    <row r="14004" customFormat="false" ht="12.8" hidden="false" customHeight="false" outlineLevel="0" collapsed="false">
      <c r="A14004" s="0" t="s">
        <v>12</v>
      </c>
      <c r="B14004" s="0" t="n">
        <v>4351108</v>
      </c>
      <c r="C14004" s="0" t="n">
        <v>4351128</v>
      </c>
      <c r="D14004" s="0" t="s">
        <v>46506</v>
      </c>
      <c r="E14004" s="0" t="s">
        <v>46507</v>
      </c>
      <c r="F14004" s="0" t="s">
        <v>90</v>
      </c>
      <c r="G14004" s="0" t="s">
        <v>16</v>
      </c>
      <c r="H14004" s="0" t="n">
        <v>97</v>
      </c>
      <c r="I14004" s="0" t="s">
        <v>46514</v>
      </c>
      <c r="J14004" s="0" t="s">
        <v>46515</v>
      </c>
      <c r="K14004" s="0" t="s">
        <v>46516</v>
      </c>
      <c r="L14004" s="0" t="str">
        <f aca="false">HYPERLINK("https://www.ncbi.nlm.nih.gov/nuccore/CP000058.1?report=graph&amp;tracks=[key:gene_model_track,Options:GeneOnly]&amp;mk=4351197:4351216|offset_9|444444,4351165:4351184|offset_41|444444,4351109:4351128|offset_97|00cc00,4351069:4351088|offset_137|444444&amp;v=4350996:4351288&amp;c=444444", "offset 97")</f>
        <v>offset 97</v>
      </c>
    </row>
    <row r="14005" customFormat="false" ht="12.8" hidden="false" customHeight="false" outlineLevel="0" collapsed="false">
      <c r="A14005" s="0" t="s">
        <v>12</v>
      </c>
      <c r="B14005" s="0" t="n">
        <v>4351068</v>
      </c>
      <c r="C14005" s="0" t="n">
        <v>4351088</v>
      </c>
      <c r="D14005" s="0" t="s">
        <v>46506</v>
      </c>
      <c r="E14005" s="0" t="s">
        <v>46507</v>
      </c>
      <c r="F14005" s="0" t="s">
        <v>90</v>
      </c>
      <c r="G14005" s="0" t="s">
        <v>36</v>
      </c>
      <c r="H14005" s="0" t="n">
        <v>137</v>
      </c>
      <c r="I14005" s="0" t="s">
        <v>46517</v>
      </c>
      <c r="J14005" s="0" t="s">
        <v>46518</v>
      </c>
      <c r="K14005" s="0" t="s">
        <v>46519</v>
      </c>
      <c r="L14005" s="0" t="str">
        <f aca="false">HYPERLINK("https://www.ncbi.nlm.nih.gov/nuccore/CP000058.1?report=graph&amp;tracks=[key:gene_model_track,Options:GeneOnly]&amp;mk=4351197:4351216|offset_9|444444,4351165:4351184|offset_41|444444,4351109:4351128|offset_97|444444,4351069:4351088|offset_137|00cc00&amp;v=4350996:4351288&amp;c=444444", "offset 137")</f>
        <v>offset 137</v>
      </c>
    </row>
    <row r="14006" customFormat="false" ht="12.8" hidden="false" customHeight="false" outlineLevel="0" collapsed="false">
      <c r="A14006" s="0" t="s">
        <v>12</v>
      </c>
      <c r="B14006" s="0" t="n">
        <v>4351929</v>
      </c>
      <c r="C14006" s="0" t="n">
        <v>4351949</v>
      </c>
      <c r="D14006" s="0" t="s">
        <v>46520</v>
      </c>
      <c r="E14006" s="0" t="s">
        <v>75</v>
      </c>
      <c r="F14006" s="0" t="s">
        <v>90</v>
      </c>
      <c r="G14006" s="0" t="s">
        <v>20</v>
      </c>
      <c r="H14006" s="0" t="n">
        <v>7</v>
      </c>
      <c r="I14006" s="0" t="s">
        <v>46521</v>
      </c>
      <c r="J14006" s="0" t="s">
        <v>46522</v>
      </c>
      <c r="K14006" s="0" t="s">
        <v>46523</v>
      </c>
      <c r="L14006" s="0" t="str">
        <f aca="false">HYPERLINK("https://www.ncbi.nlm.nih.gov/nuccore/CP000058.1?report=graph&amp;tracks=[key:gene_model_track,Options:GeneOnly]&amp;mk=4351930:4351949|offset_7|00cc00,4351901:4351920|offset_36|444444,4351860:4351879|offset_77|444444,4351819:4351838|offset_118|444444&amp;v=4351729:4352038&amp;c=444444", "offset 7")</f>
        <v>offset 7</v>
      </c>
    </row>
    <row r="14007" customFormat="false" ht="12.8" hidden="false" customHeight="false" outlineLevel="0" collapsed="false">
      <c r="A14007" s="0" t="s">
        <v>12</v>
      </c>
      <c r="B14007" s="0" t="n">
        <v>4351900</v>
      </c>
      <c r="C14007" s="0" t="n">
        <v>4351920</v>
      </c>
      <c r="D14007" s="0" t="s">
        <v>46520</v>
      </c>
      <c r="E14007" s="0" t="s">
        <v>75</v>
      </c>
      <c r="F14007" s="0" t="s">
        <v>90</v>
      </c>
      <c r="G14007" s="0" t="s">
        <v>36</v>
      </c>
      <c r="H14007" s="0" t="n">
        <v>36</v>
      </c>
      <c r="I14007" s="0" t="s">
        <v>46524</v>
      </c>
      <c r="J14007" s="0" t="s">
        <v>46525</v>
      </c>
      <c r="K14007" s="0" t="s">
        <v>46526</v>
      </c>
      <c r="L14007" s="0" t="str">
        <f aca="false">HYPERLINK("https://www.ncbi.nlm.nih.gov/nuccore/CP000058.1?report=graph&amp;tracks=[key:gene_model_track,Options:GeneOnly]&amp;mk=4351930:4351949|offset_7|444444,4351901:4351920|offset_36|00cc00,4351860:4351879|offset_77|444444,4351819:4351838|offset_118|444444&amp;v=4351729:4352038&amp;c=444444", "offset 36")</f>
        <v>offset 36</v>
      </c>
    </row>
    <row r="14008" customFormat="false" ht="12.8" hidden="false" customHeight="false" outlineLevel="0" collapsed="false">
      <c r="A14008" s="0" t="s">
        <v>12</v>
      </c>
      <c r="B14008" s="0" t="n">
        <v>4351859</v>
      </c>
      <c r="C14008" s="0" t="n">
        <v>4351879</v>
      </c>
      <c r="D14008" s="0" t="s">
        <v>46520</v>
      </c>
      <c r="E14008" s="0" t="s">
        <v>75</v>
      </c>
      <c r="F14008" s="0" t="s">
        <v>90</v>
      </c>
      <c r="G14008" s="0" t="s">
        <v>20</v>
      </c>
      <c r="H14008" s="0" t="n">
        <v>77</v>
      </c>
      <c r="I14008" s="0" t="s">
        <v>46527</v>
      </c>
      <c r="J14008" s="0" t="s">
        <v>46528</v>
      </c>
      <c r="K14008" s="0" t="s">
        <v>46529</v>
      </c>
      <c r="L14008" s="0" t="str">
        <f aca="false">HYPERLINK("https://www.ncbi.nlm.nih.gov/nuccore/CP000058.1?report=graph&amp;tracks=[key:gene_model_track,Options:GeneOnly]&amp;mk=4351930:4351949|offset_7|444444,4351901:4351920|offset_36|444444,4351860:4351879|offset_77|00cc00,4351819:4351838|offset_118|444444&amp;v=4351729:4352038&amp;c=444444", "offset 77")</f>
        <v>offset 77</v>
      </c>
    </row>
    <row r="14009" customFormat="false" ht="12.8" hidden="false" customHeight="false" outlineLevel="0" collapsed="false">
      <c r="A14009" s="0" t="s">
        <v>12</v>
      </c>
      <c r="B14009" s="0" t="n">
        <v>4351818</v>
      </c>
      <c r="C14009" s="0" t="n">
        <v>4351838</v>
      </c>
      <c r="D14009" s="0" t="s">
        <v>46520</v>
      </c>
      <c r="E14009" s="0" t="s">
        <v>75</v>
      </c>
      <c r="F14009" s="0" t="s">
        <v>90</v>
      </c>
      <c r="G14009" s="0" t="s">
        <v>36</v>
      </c>
      <c r="H14009" s="0" t="n">
        <v>118</v>
      </c>
      <c r="I14009" s="0" t="s">
        <v>46530</v>
      </c>
      <c r="J14009" s="0" t="s">
        <v>46531</v>
      </c>
      <c r="K14009" s="0" t="s">
        <v>46532</v>
      </c>
      <c r="L14009" s="0" t="str">
        <f aca="false">HYPERLINK("https://www.ncbi.nlm.nih.gov/nuccore/CP000058.1?report=graph&amp;tracks=[key:gene_model_track,Options:GeneOnly]&amp;mk=4351930:4351949|offset_7|444444,4351901:4351920|offset_36|444444,4351860:4351879|offset_77|444444,4351819:4351838|offset_118|00cc00&amp;v=4351729:4352038&amp;c=444444", "offset 118")</f>
        <v>offset 118</v>
      </c>
    </row>
    <row r="14010" customFormat="false" ht="12.8" hidden="false" customHeight="false" outlineLevel="0" collapsed="false">
      <c r="A14010" s="0" t="s">
        <v>12</v>
      </c>
      <c r="B14010" s="0" t="n">
        <v>4352879</v>
      </c>
      <c r="C14010" s="0" t="n">
        <v>4352899</v>
      </c>
      <c r="D14010" s="0" t="s">
        <v>46533</v>
      </c>
      <c r="E14010" s="0" t="s">
        <v>75</v>
      </c>
      <c r="F14010" s="0" t="s">
        <v>90</v>
      </c>
      <c r="G14010" s="0" t="s">
        <v>16</v>
      </c>
      <c r="H14010" s="0" t="n">
        <v>13</v>
      </c>
      <c r="I14010" s="0" t="s">
        <v>46534</v>
      </c>
      <c r="J14010" s="0" t="s">
        <v>46535</v>
      </c>
      <c r="K14010" s="0" t="s">
        <v>46536</v>
      </c>
      <c r="L14010" s="0" t="str">
        <f aca="false">HYPERLINK("https://www.ncbi.nlm.nih.gov/nuccore/CP000058.1?report=graph&amp;tracks=[key:gene_model_track,Options:GeneOnly]&amp;mk=4352880:4352899|offset_13|00cc00,4352850:4352869|offset_43|444444,4352809:4352828|offset_84|444444,4352781:4352800|offset_112|444444&amp;v=4352679:4353000&amp;c=444444", "offset 13")</f>
        <v>offset 13</v>
      </c>
    </row>
    <row r="14011" customFormat="false" ht="12.8" hidden="false" customHeight="false" outlineLevel="0" collapsed="false">
      <c r="A14011" s="0" t="s">
        <v>12</v>
      </c>
      <c r="B14011" s="0" t="n">
        <v>4352849</v>
      </c>
      <c r="C14011" s="0" t="n">
        <v>4352869</v>
      </c>
      <c r="D14011" s="0" t="s">
        <v>46533</v>
      </c>
      <c r="E14011" s="0" t="s">
        <v>75</v>
      </c>
      <c r="F14011" s="0" t="s">
        <v>90</v>
      </c>
      <c r="G14011" s="0" t="s">
        <v>36</v>
      </c>
      <c r="H14011" s="0" t="n">
        <v>43</v>
      </c>
      <c r="I14011" s="0" t="s">
        <v>46537</v>
      </c>
      <c r="J14011" s="0" t="s">
        <v>46538</v>
      </c>
      <c r="K14011" s="0" t="s">
        <v>46539</v>
      </c>
      <c r="L14011" s="0" t="str">
        <f aca="false">HYPERLINK("https://www.ncbi.nlm.nih.gov/nuccore/CP000058.1?report=graph&amp;tracks=[key:gene_model_track,Options:GeneOnly]&amp;mk=4352880:4352899|offset_13|444444,4352850:4352869|offset_43|00cc00,4352809:4352828|offset_84|444444,4352781:4352800|offset_112|444444&amp;v=4352679:4353000&amp;c=444444", "offset 43")</f>
        <v>offset 43</v>
      </c>
    </row>
    <row r="14012" customFormat="false" ht="12.8" hidden="false" customHeight="false" outlineLevel="0" collapsed="false">
      <c r="A14012" s="0" t="s">
        <v>12</v>
      </c>
      <c r="B14012" s="0" t="n">
        <v>4352808</v>
      </c>
      <c r="C14012" s="0" t="n">
        <v>4352828</v>
      </c>
      <c r="D14012" s="0" t="s">
        <v>46533</v>
      </c>
      <c r="E14012" s="0" t="s">
        <v>75</v>
      </c>
      <c r="F14012" s="0" t="s">
        <v>90</v>
      </c>
      <c r="G14012" s="0" t="s">
        <v>16</v>
      </c>
      <c r="H14012" s="0" t="n">
        <v>84</v>
      </c>
      <c r="I14012" s="0" t="s">
        <v>46540</v>
      </c>
      <c r="J14012" s="0" t="s">
        <v>46541</v>
      </c>
      <c r="K14012" s="0" t="s">
        <v>46542</v>
      </c>
      <c r="L14012" s="0" t="str">
        <f aca="false">HYPERLINK("https://www.ncbi.nlm.nih.gov/nuccore/CP000058.1?report=graph&amp;tracks=[key:gene_model_track,Options:GeneOnly]&amp;mk=4352880:4352899|offset_13|444444,4352850:4352869|offset_43|444444,4352809:4352828|offset_84|00cc00,4352781:4352800|offset_112|444444&amp;v=4352679:4353000&amp;c=444444", "offset 84")</f>
        <v>offset 84</v>
      </c>
    </row>
    <row r="14013" customFormat="false" ht="12.8" hidden="false" customHeight="false" outlineLevel="0" collapsed="false">
      <c r="A14013" s="0" t="s">
        <v>12</v>
      </c>
      <c r="B14013" s="0" t="n">
        <v>4352780</v>
      </c>
      <c r="C14013" s="0" t="n">
        <v>4352800</v>
      </c>
      <c r="D14013" s="0" t="s">
        <v>46533</v>
      </c>
      <c r="E14013" s="0" t="s">
        <v>75</v>
      </c>
      <c r="F14013" s="0" t="s">
        <v>90</v>
      </c>
      <c r="G14013" s="0" t="s">
        <v>32</v>
      </c>
      <c r="H14013" s="0" t="n">
        <v>112</v>
      </c>
      <c r="I14013" s="0" t="s">
        <v>46543</v>
      </c>
      <c r="J14013" s="0" t="s">
        <v>46544</v>
      </c>
      <c r="K14013" s="0" t="s">
        <v>46545</v>
      </c>
      <c r="L14013" s="0" t="str">
        <f aca="false">HYPERLINK("https://www.ncbi.nlm.nih.gov/nuccore/CP000058.1?report=graph&amp;tracks=[key:gene_model_track,Options:GeneOnly]&amp;mk=4352880:4352899|offset_13|444444,4352850:4352869|offset_43|444444,4352809:4352828|offset_84|444444,4352781:4352800|offset_112|00cc00&amp;v=4352679:4353000&amp;c=444444", "offset 112")</f>
        <v>offset 112</v>
      </c>
    </row>
    <row r="14014" customFormat="false" ht="12.8" hidden="false" customHeight="false" outlineLevel="0" collapsed="false">
      <c r="A14014" s="0" t="s">
        <v>12</v>
      </c>
      <c r="B14014" s="0" t="n">
        <v>4353202</v>
      </c>
      <c r="C14014" s="0" t="n">
        <v>4353222</v>
      </c>
      <c r="D14014" s="0" t="s">
        <v>46546</v>
      </c>
      <c r="E14014" s="0" t="s">
        <v>75</v>
      </c>
      <c r="F14014" s="0" t="s">
        <v>15</v>
      </c>
      <c r="G14014" s="0" t="s">
        <v>20</v>
      </c>
      <c r="H14014" s="0" t="n">
        <v>11</v>
      </c>
      <c r="I14014" s="0" t="s">
        <v>46547</v>
      </c>
      <c r="J14014" s="0" t="s">
        <v>46548</v>
      </c>
      <c r="K14014" s="0" t="s">
        <v>46549</v>
      </c>
      <c r="L14014" s="0" t="str">
        <f aca="false">HYPERLINK("https://www.ncbi.nlm.nih.gov/nuccore/CP000058.1?report=graph&amp;tracks=[key:gene_model_track,Options:GeneOnly]&amp;mk=4353203:4353222|offset_11|00cc00,4353240:4353259|offset_48|444444,4353327:4353346|offset_135|444444,4353350:4353369|offset_158|444444&amp;v=4353002:4353569&amp;c=444444", "offset 11")</f>
        <v>offset 11</v>
      </c>
    </row>
    <row r="14015" customFormat="false" ht="12.8" hidden="false" customHeight="false" outlineLevel="0" collapsed="false">
      <c r="A14015" s="0" t="s">
        <v>12</v>
      </c>
      <c r="B14015" s="0" t="n">
        <v>4353239</v>
      </c>
      <c r="C14015" s="0" t="n">
        <v>4353259</v>
      </c>
      <c r="D14015" s="0" t="s">
        <v>46546</v>
      </c>
      <c r="E14015" s="0" t="s">
        <v>75</v>
      </c>
      <c r="F14015" s="0" t="s">
        <v>15</v>
      </c>
      <c r="G14015" s="0" t="s">
        <v>16</v>
      </c>
      <c r="H14015" s="0" t="n">
        <v>48</v>
      </c>
      <c r="I14015" s="0" t="s">
        <v>46550</v>
      </c>
      <c r="J14015" s="0" t="s">
        <v>46551</v>
      </c>
      <c r="K14015" s="0" t="s">
        <v>46552</v>
      </c>
      <c r="L14015" s="0" t="str">
        <f aca="false">HYPERLINK("https://www.ncbi.nlm.nih.gov/nuccore/CP000058.1?report=graph&amp;tracks=[key:gene_model_track,Options:GeneOnly]&amp;mk=4353203:4353222|offset_11|444444,4353240:4353259|offset_48|00cc00,4353327:4353346|offset_135|444444,4353350:4353369|offset_158|444444&amp;v=4353002:4353569&amp;c=444444", "offset 48")</f>
        <v>offset 48</v>
      </c>
    </row>
    <row r="14016" customFormat="false" ht="12.8" hidden="false" customHeight="false" outlineLevel="0" collapsed="false">
      <c r="A14016" s="0" t="s">
        <v>12</v>
      </c>
      <c r="B14016" s="0" t="n">
        <v>4353326</v>
      </c>
      <c r="C14016" s="0" t="n">
        <v>4353346</v>
      </c>
      <c r="D14016" s="0" t="s">
        <v>46546</v>
      </c>
      <c r="E14016" s="0" t="s">
        <v>75</v>
      </c>
      <c r="F14016" s="0" t="s">
        <v>15</v>
      </c>
      <c r="G14016" s="0" t="s">
        <v>32</v>
      </c>
      <c r="H14016" s="0" t="n">
        <v>135</v>
      </c>
      <c r="I14016" s="0" t="s">
        <v>46553</v>
      </c>
      <c r="J14016" s="0" t="s">
        <v>46554</v>
      </c>
      <c r="K14016" s="0" t="s">
        <v>46555</v>
      </c>
      <c r="L14016" s="0" t="str">
        <f aca="false">HYPERLINK("https://www.ncbi.nlm.nih.gov/nuccore/CP000058.1?report=graph&amp;tracks=[key:gene_model_track,Options:GeneOnly]&amp;mk=4353203:4353222|offset_11|444444,4353240:4353259|offset_48|444444,4353327:4353346|offset_135|00cc00,4353350:4353369|offset_158|444444&amp;v=4353002:4353569&amp;c=444444", "offset 135")</f>
        <v>offset 135</v>
      </c>
    </row>
    <row r="14017" customFormat="false" ht="12.8" hidden="false" customHeight="false" outlineLevel="0" collapsed="false">
      <c r="A14017" s="0" t="s">
        <v>12</v>
      </c>
      <c r="B14017" s="0" t="n">
        <v>4353349</v>
      </c>
      <c r="C14017" s="0" t="n">
        <v>4353369</v>
      </c>
      <c r="D14017" s="0" t="s">
        <v>46546</v>
      </c>
      <c r="E14017" s="0" t="s">
        <v>75</v>
      </c>
      <c r="F14017" s="0" t="s">
        <v>15</v>
      </c>
      <c r="G14017" s="0" t="s">
        <v>20</v>
      </c>
      <c r="H14017" s="0" t="n">
        <v>158</v>
      </c>
      <c r="I14017" s="0" t="s">
        <v>46556</v>
      </c>
      <c r="J14017" s="0" t="s">
        <v>46557</v>
      </c>
      <c r="K14017" s="0" t="s">
        <v>46558</v>
      </c>
      <c r="L14017" s="0" t="str">
        <f aca="false">HYPERLINK("https://www.ncbi.nlm.nih.gov/nuccore/CP000058.1?report=graph&amp;tracks=[key:gene_model_track,Options:GeneOnly]&amp;mk=4353203:4353222|offset_11|444444,4353240:4353259|offset_48|444444,4353327:4353346|offset_135|444444,4353350:4353369|offset_158|00cc00&amp;v=4353002:4353569&amp;c=444444", "offset 158")</f>
        <v>offset 158</v>
      </c>
    </row>
    <row r="14018" customFormat="false" ht="12.8" hidden="false" customHeight="false" outlineLevel="0" collapsed="false">
      <c r="A14018" s="0" t="s">
        <v>12</v>
      </c>
      <c r="B14018" s="0" t="n">
        <v>4353807</v>
      </c>
      <c r="C14018" s="0" t="n">
        <v>4353827</v>
      </c>
      <c r="D14018" s="0" t="s">
        <v>46559</v>
      </c>
      <c r="E14018" s="0" t="s">
        <v>75</v>
      </c>
      <c r="F14018" s="0" t="s">
        <v>15</v>
      </c>
      <c r="G14018" s="0" t="s">
        <v>16</v>
      </c>
      <c r="H14018" s="0" t="n">
        <v>6</v>
      </c>
      <c r="I14018" s="0" t="s">
        <v>46560</v>
      </c>
      <c r="J14018" s="0" t="s">
        <v>46561</v>
      </c>
      <c r="K14018" s="0" t="s">
        <v>46562</v>
      </c>
      <c r="L14018" s="0" t="str">
        <f aca="false">HYPERLINK("https://www.ncbi.nlm.nih.gov/nuccore/CP000058.1?report=graph&amp;tracks=[key:gene_model_track,Options:GeneOnly]&amp;mk=4353808:4353827|offset_6|00cc00,4353833:4353852|offset_31|444444,4353861:4353880|offset_59|444444,4353901:4353920|offset_99|444444&amp;v=4353607:4354120&amp;c=444444", "offset 6")</f>
        <v>offset 6</v>
      </c>
    </row>
    <row r="14019" customFormat="false" ht="12.8" hidden="false" customHeight="false" outlineLevel="0" collapsed="false">
      <c r="A14019" s="0" t="s">
        <v>12</v>
      </c>
      <c r="B14019" s="0" t="n">
        <v>4353832</v>
      </c>
      <c r="C14019" s="0" t="n">
        <v>4353852</v>
      </c>
      <c r="D14019" s="0" t="s">
        <v>46559</v>
      </c>
      <c r="E14019" s="0" t="s">
        <v>75</v>
      </c>
      <c r="F14019" s="0" t="s">
        <v>15</v>
      </c>
      <c r="G14019" s="0" t="s">
        <v>36</v>
      </c>
      <c r="H14019" s="0" t="n">
        <v>31</v>
      </c>
      <c r="I14019" s="0" t="s">
        <v>46563</v>
      </c>
      <c r="J14019" s="0" t="s">
        <v>46564</v>
      </c>
      <c r="K14019" s="0" t="s">
        <v>46565</v>
      </c>
      <c r="L14019" s="0" t="str">
        <f aca="false">HYPERLINK("https://www.ncbi.nlm.nih.gov/nuccore/CP000058.1?report=graph&amp;tracks=[key:gene_model_track,Options:GeneOnly]&amp;mk=4353808:4353827|offset_6|444444,4353833:4353852|offset_31|00cc00,4353861:4353880|offset_59|444444,4353901:4353920|offset_99|444444&amp;v=4353607:4354120&amp;c=444444", "offset 31")</f>
        <v>offset 31</v>
      </c>
    </row>
    <row r="14020" customFormat="false" ht="12.8" hidden="false" customHeight="false" outlineLevel="0" collapsed="false">
      <c r="A14020" s="0" t="s">
        <v>12</v>
      </c>
      <c r="B14020" s="0" t="n">
        <v>4353860</v>
      </c>
      <c r="C14020" s="0" t="n">
        <v>4353880</v>
      </c>
      <c r="D14020" s="0" t="s">
        <v>46559</v>
      </c>
      <c r="E14020" s="0" t="s">
        <v>75</v>
      </c>
      <c r="F14020" s="0" t="s">
        <v>15</v>
      </c>
      <c r="G14020" s="0" t="s">
        <v>20</v>
      </c>
      <c r="H14020" s="0" t="n">
        <v>59</v>
      </c>
      <c r="I14020" s="0" t="s">
        <v>46566</v>
      </c>
      <c r="J14020" s="0" t="s">
        <v>46567</v>
      </c>
      <c r="K14020" s="0" t="s">
        <v>46568</v>
      </c>
      <c r="L14020" s="0" t="str">
        <f aca="false">HYPERLINK("https://www.ncbi.nlm.nih.gov/nuccore/CP000058.1?report=graph&amp;tracks=[key:gene_model_track,Options:GeneOnly]&amp;mk=4353808:4353827|offset_6|444444,4353833:4353852|offset_31|444444,4353861:4353880|offset_59|00cc00,4353901:4353920|offset_99|444444&amp;v=4353607:4354120&amp;c=444444", "offset 59")</f>
        <v>offset 59</v>
      </c>
    </row>
    <row r="14021" customFormat="false" ht="12.8" hidden="false" customHeight="false" outlineLevel="0" collapsed="false">
      <c r="A14021" s="0" t="s">
        <v>12</v>
      </c>
      <c r="B14021" s="0" t="n">
        <v>4353900</v>
      </c>
      <c r="C14021" s="0" t="n">
        <v>4353920</v>
      </c>
      <c r="D14021" s="0" t="s">
        <v>46559</v>
      </c>
      <c r="E14021" s="0" t="s">
        <v>75</v>
      </c>
      <c r="F14021" s="0" t="s">
        <v>15</v>
      </c>
      <c r="G14021" s="0" t="s">
        <v>36</v>
      </c>
      <c r="H14021" s="0" t="n">
        <v>99</v>
      </c>
      <c r="I14021" s="0" t="s">
        <v>46569</v>
      </c>
      <c r="J14021" s="0" t="s">
        <v>46570</v>
      </c>
      <c r="K14021" s="0" t="s">
        <v>46571</v>
      </c>
      <c r="L14021" s="0" t="str">
        <f aca="false">HYPERLINK("https://www.ncbi.nlm.nih.gov/nuccore/CP000058.1?report=graph&amp;tracks=[key:gene_model_track,Options:GeneOnly]&amp;mk=4353808:4353827|offset_6|444444,4353833:4353852|offset_31|444444,4353861:4353880|offset_59|444444,4353901:4353920|offset_99|00cc00&amp;v=4353607:4354120&amp;c=444444", "offset 99")</f>
        <v>offset 99</v>
      </c>
    </row>
    <row r="14022" customFormat="false" ht="12.8" hidden="false" customHeight="false" outlineLevel="0" collapsed="false">
      <c r="A14022" s="0" t="s">
        <v>12</v>
      </c>
      <c r="B14022" s="0" t="n">
        <v>4355369</v>
      </c>
      <c r="C14022" s="0" t="n">
        <v>4355389</v>
      </c>
      <c r="D14022" s="0" t="s">
        <v>46572</v>
      </c>
      <c r="E14022" s="0" t="s">
        <v>46573</v>
      </c>
      <c r="F14022" s="0" t="s">
        <v>90</v>
      </c>
      <c r="G14022" s="0" t="s">
        <v>20</v>
      </c>
      <c r="H14022" s="0" t="n">
        <v>6</v>
      </c>
      <c r="I14022" s="0" t="s">
        <v>46574</v>
      </c>
      <c r="J14022" s="0" t="s">
        <v>46575</v>
      </c>
      <c r="K14022" s="0" t="s">
        <v>46576</v>
      </c>
      <c r="L14022" s="0" t="str">
        <f aca="false">HYPERLINK("https://www.ncbi.nlm.nih.gov/nuccore/CP000058.1?report=graph&amp;tracks=[key:gene_model_track,Options:GeneOnly]&amp;mk=4355370:4355389|offset_6|00cc00,4355345:4355364|offset_31|444444,4355323:4355342|offset_53|444444,4355259:4355278|offset_117|444444&amp;v=4355169:4355478&amp;c=444444", "offset 6")</f>
        <v>offset 6</v>
      </c>
    </row>
    <row r="14023" customFormat="false" ht="12.8" hidden="false" customHeight="false" outlineLevel="0" collapsed="false">
      <c r="A14023" s="0" t="s">
        <v>12</v>
      </c>
      <c r="B14023" s="0" t="n">
        <v>4355344</v>
      </c>
      <c r="C14023" s="0" t="n">
        <v>4355364</v>
      </c>
      <c r="D14023" s="0" t="s">
        <v>46572</v>
      </c>
      <c r="E14023" s="0" t="s">
        <v>46573</v>
      </c>
      <c r="F14023" s="0" t="s">
        <v>90</v>
      </c>
      <c r="G14023" s="0" t="s">
        <v>16</v>
      </c>
      <c r="H14023" s="0" t="n">
        <v>31</v>
      </c>
      <c r="I14023" s="0" t="s">
        <v>46577</v>
      </c>
      <c r="J14023" s="0" t="s">
        <v>46578</v>
      </c>
      <c r="K14023" s="0" t="s">
        <v>46579</v>
      </c>
      <c r="L14023" s="0" t="str">
        <f aca="false">HYPERLINK("https://www.ncbi.nlm.nih.gov/nuccore/CP000058.1?report=graph&amp;tracks=[key:gene_model_track,Options:GeneOnly]&amp;mk=4355370:4355389|offset_6|444444,4355345:4355364|offset_31|00cc00,4355323:4355342|offset_53|444444,4355259:4355278|offset_117|444444&amp;v=4355169:4355478&amp;c=444444", "offset 31")</f>
        <v>offset 31</v>
      </c>
    </row>
    <row r="14024" customFormat="false" ht="12.8" hidden="false" customHeight="false" outlineLevel="0" collapsed="false">
      <c r="A14024" s="0" t="s">
        <v>12</v>
      </c>
      <c r="B14024" s="0" t="n">
        <v>4355322</v>
      </c>
      <c r="C14024" s="0" t="n">
        <v>4355342</v>
      </c>
      <c r="D14024" s="0" t="s">
        <v>46572</v>
      </c>
      <c r="E14024" s="0" t="s">
        <v>46573</v>
      </c>
      <c r="F14024" s="0" t="s">
        <v>90</v>
      </c>
      <c r="G14024" s="0" t="s">
        <v>20</v>
      </c>
      <c r="H14024" s="0" t="n">
        <v>53</v>
      </c>
      <c r="I14024" s="0" t="s">
        <v>46580</v>
      </c>
      <c r="J14024" s="0" t="s">
        <v>46581</v>
      </c>
      <c r="K14024" s="0" t="s">
        <v>46582</v>
      </c>
      <c r="L14024" s="0" t="str">
        <f aca="false">HYPERLINK("https://www.ncbi.nlm.nih.gov/nuccore/CP000058.1?report=graph&amp;tracks=[key:gene_model_track,Options:GeneOnly]&amp;mk=4355370:4355389|offset_6|444444,4355345:4355364|offset_31|444444,4355323:4355342|offset_53|00cc00,4355259:4355278|offset_117|444444&amp;v=4355169:4355478&amp;c=444444", "offset 53")</f>
        <v>offset 53</v>
      </c>
    </row>
    <row r="14025" customFormat="false" ht="12.8" hidden="false" customHeight="false" outlineLevel="0" collapsed="false">
      <c r="A14025" s="0" t="s">
        <v>12</v>
      </c>
      <c r="B14025" s="0" t="n">
        <v>4355258</v>
      </c>
      <c r="C14025" s="0" t="n">
        <v>4355278</v>
      </c>
      <c r="D14025" s="0" t="s">
        <v>46572</v>
      </c>
      <c r="E14025" s="0" t="s">
        <v>46573</v>
      </c>
      <c r="F14025" s="0" t="s">
        <v>90</v>
      </c>
      <c r="G14025" s="0" t="s">
        <v>36</v>
      </c>
      <c r="H14025" s="0" t="n">
        <v>117</v>
      </c>
      <c r="I14025" s="0" t="s">
        <v>46583</v>
      </c>
      <c r="J14025" s="0" t="s">
        <v>46584</v>
      </c>
      <c r="K14025" s="0" t="s">
        <v>46585</v>
      </c>
      <c r="L14025" s="0" t="str">
        <f aca="false">HYPERLINK("https://www.ncbi.nlm.nih.gov/nuccore/CP000058.1?report=graph&amp;tracks=[key:gene_model_track,Options:GeneOnly]&amp;mk=4355370:4355389|offset_6|444444,4355345:4355364|offset_31|444444,4355323:4355342|offset_53|444444,4355259:4355278|offset_117|00cc00&amp;v=4355169:4355478&amp;c=444444", "offset 117")</f>
        <v>offset 117</v>
      </c>
    </row>
    <row r="14026" customFormat="false" ht="12.8" hidden="false" customHeight="false" outlineLevel="0" collapsed="false">
      <c r="A14026" s="0" t="s">
        <v>12</v>
      </c>
      <c r="B14026" s="0" t="n">
        <v>4356420</v>
      </c>
      <c r="C14026" s="0" t="n">
        <v>4356440</v>
      </c>
      <c r="D14026" s="0" t="s">
        <v>46586</v>
      </c>
      <c r="E14026" s="0" t="s">
        <v>46587</v>
      </c>
      <c r="F14026" s="0" t="s">
        <v>90</v>
      </c>
      <c r="G14026" s="0" t="s">
        <v>20</v>
      </c>
      <c r="H14026" s="0" t="n">
        <v>25</v>
      </c>
      <c r="I14026" s="0" t="s">
        <v>46588</v>
      </c>
      <c r="J14026" s="0" t="s">
        <v>46589</v>
      </c>
      <c r="K14026" s="0" t="s">
        <v>46590</v>
      </c>
      <c r="L14026" s="0" t="str">
        <f aca="false">HYPERLINK("https://www.ncbi.nlm.nih.gov/nuccore/CP000058.1?report=graph&amp;tracks=[key:gene_model_track,Options:GeneOnly]&amp;mk=4356421:4356440|offset_25|00cc00,4356373:4356392|offset_73|444444,4356345:4356364|offset_101|444444,4356325:4356344|offset_121|444444&amp;v=4356220:4356544&amp;c=444444", "offset 25")</f>
        <v>offset 25</v>
      </c>
    </row>
    <row r="14027" customFormat="false" ht="12.8" hidden="false" customHeight="false" outlineLevel="0" collapsed="false">
      <c r="A14027" s="0" t="s">
        <v>12</v>
      </c>
      <c r="B14027" s="0" t="n">
        <v>4356372</v>
      </c>
      <c r="C14027" s="0" t="n">
        <v>4356392</v>
      </c>
      <c r="D14027" s="0" t="s">
        <v>46586</v>
      </c>
      <c r="E14027" s="0" t="s">
        <v>46587</v>
      </c>
      <c r="F14027" s="0" t="s">
        <v>90</v>
      </c>
      <c r="G14027" s="0" t="s">
        <v>16</v>
      </c>
      <c r="H14027" s="0" t="n">
        <v>73</v>
      </c>
      <c r="I14027" s="0" t="s">
        <v>46591</v>
      </c>
      <c r="J14027" s="0" t="s">
        <v>46592</v>
      </c>
      <c r="K14027" s="0" t="s">
        <v>46593</v>
      </c>
      <c r="L14027" s="0" t="str">
        <f aca="false">HYPERLINK("https://www.ncbi.nlm.nih.gov/nuccore/CP000058.1?report=graph&amp;tracks=[key:gene_model_track,Options:GeneOnly]&amp;mk=4356421:4356440|offset_25|444444,4356373:4356392|offset_73|00cc00,4356345:4356364|offset_101|444444,4356325:4356344|offset_121|444444&amp;v=4356220:4356544&amp;c=444444", "offset 73")</f>
        <v>offset 73</v>
      </c>
    </row>
    <row r="14028" customFormat="false" ht="12.8" hidden="false" customHeight="false" outlineLevel="0" collapsed="false">
      <c r="A14028" s="0" t="s">
        <v>12</v>
      </c>
      <c r="B14028" s="0" t="n">
        <v>4356344</v>
      </c>
      <c r="C14028" s="0" t="n">
        <v>4356364</v>
      </c>
      <c r="D14028" s="0" t="s">
        <v>46586</v>
      </c>
      <c r="E14028" s="0" t="s">
        <v>46587</v>
      </c>
      <c r="F14028" s="0" t="s">
        <v>90</v>
      </c>
      <c r="G14028" s="0" t="s">
        <v>32</v>
      </c>
      <c r="H14028" s="0" t="n">
        <v>101</v>
      </c>
      <c r="I14028" s="0" t="s">
        <v>46594</v>
      </c>
      <c r="J14028" s="0" t="s">
        <v>46595</v>
      </c>
      <c r="K14028" s="0" t="s">
        <v>46596</v>
      </c>
      <c r="L14028" s="0" t="str">
        <f aca="false">HYPERLINK("https://www.ncbi.nlm.nih.gov/nuccore/CP000058.1?report=graph&amp;tracks=[key:gene_model_track,Options:GeneOnly]&amp;mk=4356421:4356440|offset_25|444444,4356373:4356392|offset_73|444444,4356345:4356364|offset_101|00cc00,4356325:4356344|offset_121|444444&amp;v=4356220:4356544&amp;c=444444", "offset 101")</f>
        <v>offset 101</v>
      </c>
    </row>
    <row r="14029" customFormat="false" ht="12.8" hidden="false" customHeight="false" outlineLevel="0" collapsed="false">
      <c r="A14029" s="0" t="s">
        <v>12</v>
      </c>
      <c r="B14029" s="0" t="n">
        <v>4356324</v>
      </c>
      <c r="C14029" s="0" t="n">
        <v>4356344</v>
      </c>
      <c r="D14029" s="0" t="s">
        <v>46586</v>
      </c>
      <c r="E14029" s="0" t="s">
        <v>46587</v>
      </c>
      <c r="F14029" s="0" t="s">
        <v>90</v>
      </c>
      <c r="G14029" s="0" t="s">
        <v>32</v>
      </c>
      <c r="H14029" s="0" t="n">
        <v>121</v>
      </c>
      <c r="I14029" s="0" t="s">
        <v>46597</v>
      </c>
      <c r="J14029" s="0" t="s">
        <v>46598</v>
      </c>
      <c r="K14029" s="0" t="s">
        <v>46599</v>
      </c>
      <c r="L14029" s="0" t="str">
        <f aca="false">HYPERLINK("https://www.ncbi.nlm.nih.gov/nuccore/CP000058.1?report=graph&amp;tracks=[key:gene_model_track,Options:GeneOnly]&amp;mk=4356421:4356440|offset_25|444444,4356373:4356392|offset_73|444444,4356345:4356364|offset_101|444444,4356325:4356344|offset_121|00cc00&amp;v=4356220:4356544&amp;c=444444", "offset 121")</f>
        <v>offset 121</v>
      </c>
    </row>
    <row r="14030" customFormat="false" ht="12.8" hidden="false" customHeight="false" outlineLevel="0" collapsed="false">
      <c r="A14030" s="0" t="s">
        <v>12</v>
      </c>
      <c r="B14030" s="0" t="n">
        <v>4357365</v>
      </c>
      <c r="C14030" s="0" t="n">
        <v>4357385</v>
      </c>
      <c r="D14030" s="0" t="s">
        <v>46600</v>
      </c>
      <c r="E14030" s="0" t="s">
        <v>75</v>
      </c>
      <c r="F14030" s="0" t="s">
        <v>90</v>
      </c>
      <c r="G14030" s="0" t="s">
        <v>20</v>
      </c>
      <c r="H14030" s="0" t="n">
        <v>58</v>
      </c>
      <c r="I14030" s="0" t="s">
        <v>46601</v>
      </c>
      <c r="J14030" s="0" t="s">
        <v>46602</v>
      </c>
      <c r="K14030" s="0" t="s">
        <v>46603</v>
      </c>
      <c r="L14030" s="0" t="str">
        <f aca="false">HYPERLINK("https://www.ncbi.nlm.nih.gov/nuccore/CP000058.1?report=graph&amp;tracks=[key:gene_model_track,Options:GeneOnly]&amp;mk=4357366:4357385|offset_58|00cc00,4357338:4357357|offset_86|444444,4357281:4357300|offset_143|444444,4357224:4357243|offset_200|444444&amp;v=4357165:4357443&amp;c=444444", "offset 58")</f>
        <v>offset 58</v>
      </c>
    </row>
    <row r="14031" customFormat="false" ht="12.8" hidden="false" customHeight="false" outlineLevel="0" collapsed="false">
      <c r="A14031" s="0" t="s">
        <v>12</v>
      </c>
      <c r="B14031" s="0" t="n">
        <v>4357337</v>
      </c>
      <c r="C14031" s="0" t="n">
        <v>4357357</v>
      </c>
      <c r="D14031" s="0" t="s">
        <v>46600</v>
      </c>
      <c r="E14031" s="0" t="s">
        <v>75</v>
      </c>
      <c r="F14031" s="0" t="s">
        <v>90</v>
      </c>
      <c r="G14031" s="0" t="s">
        <v>20</v>
      </c>
      <c r="H14031" s="0" t="n">
        <v>86</v>
      </c>
      <c r="I14031" s="0" t="s">
        <v>46604</v>
      </c>
      <c r="J14031" s="0" t="s">
        <v>46605</v>
      </c>
      <c r="K14031" s="0" t="s">
        <v>46606</v>
      </c>
      <c r="L14031" s="0" t="str">
        <f aca="false">HYPERLINK("https://www.ncbi.nlm.nih.gov/nuccore/CP000058.1?report=graph&amp;tracks=[key:gene_model_track,Options:GeneOnly]&amp;mk=4357366:4357385|offset_58|444444,4357338:4357357|offset_86|00cc00,4357281:4357300|offset_143|444444,4357224:4357243|offset_200|444444&amp;v=4357165:4357443&amp;c=444444", "offset 86")</f>
        <v>offset 86</v>
      </c>
    </row>
    <row r="14032" customFormat="false" ht="12.8" hidden="false" customHeight="false" outlineLevel="0" collapsed="false">
      <c r="A14032" s="0" t="s">
        <v>12</v>
      </c>
      <c r="B14032" s="0" t="n">
        <v>4357280</v>
      </c>
      <c r="C14032" s="0" t="n">
        <v>4357300</v>
      </c>
      <c r="D14032" s="0" t="s">
        <v>46600</v>
      </c>
      <c r="E14032" s="0" t="s">
        <v>75</v>
      </c>
      <c r="F14032" s="0" t="s">
        <v>90</v>
      </c>
      <c r="G14032" s="0" t="s">
        <v>16</v>
      </c>
      <c r="H14032" s="0" t="n">
        <v>143</v>
      </c>
      <c r="I14032" s="0" t="s">
        <v>46607</v>
      </c>
      <c r="J14032" s="0" t="s">
        <v>46608</v>
      </c>
      <c r="K14032" s="0" t="s">
        <v>46609</v>
      </c>
      <c r="L14032" s="0" t="str">
        <f aca="false">HYPERLINK("https://www.ncbi.nlm.nih.gov/nuccore/CP000058.1?report=graph&amp;tracks=[key:gene_model_track,Options:GeneOnly]&amp;mk=4357366:4357385|offset_58|444444,4357338:4357357|offset_86|444444,4357281:4357300|offset_143|00cc00,4357224:4357243|offset_200|444444&amp;v=4357165:4357443&amp;c=444444", "offset 143")</f>
        <v>offset 143</v>
      </c>
    </row>
    <row r="14033" customFormat="false" ht="12.8" hidden="false" customHeight="false" outlineLevel="0" collapsed="false">
      <c r="A14033" s="0" t="s">
        <v>12</v>
      </c>
      <c r="B14033" s="0" t="n">
        <v>4357223</v>
      </c>
      <c r="C14033" s="0" t="n">
        <v>4357243</v>
      </c>
      <c r="D14033" s="0" t="s">
        <v>46600</v>
      </c>
      <c r="E14033" s="0" t="s">
        <v>75</v>
      </c>
      <c r="F14033" s="0" t="s">
        <v>90</v>
      </c>
      <c r="G14033" s="0" t="s">
        <v>16</v>
      </c>
      <c r="H14033" s="0" t="n">
        <v>200</v>
      </c>
      <c r="I14033" s="0" t="s">
        <v>46610</v>
      </c>
      <c r="J14033" s="0" t="s">
        <v>46611</v>
      </c>
      <c r="K14033" s="0" t="s">
        <v>46612</v>
      </c>
      <c r="L14033" s="0" t="str">
        <f aca="false">HYPERLINK("https://www.ncbi.nlm.nih.gov/nuccore/CP000058.1?report=graph&amp;tracks=[key:gene_model_track,Options:GeneOnly]&amp;mk=4357366:4357385|offset_58|444444,4357338:4357357|offset_86|444444,4357281:4357300|offset_143|444444,4357224:4357243|offset_200|00cc00&amp;v=4357165:4357443&amp;c=444444", "offset 200")</f>
        <v>offset 200</v>
      </c>
    </row>
    <row r="14034" customFormat="false" ht="12.8" hidden="false" customHeight="false" outlineLevel="0" collapsed="false">
      <c r="A14034" s="0" t="s">
        <v>12</v>
      </c>
      <c r="B14034" s="0" t="n">
        <v>4357551</v>
      </c>
      <c r="C14034" s="0" t="n">
        <v>4357571</v>
      </c>
      <c r="D14034" s="0" t="s">
        <v>46613</v>
      </c>
      <c r="E14034" s="0" t="s">
        <v>46614</v>
      </c>
      <c r="F14034" s="0" t="s">
        <v>15</v>
      </c>
      <c r="G14034" s="0" t="s">
        <v>16</v>
      </c>
      <c r="H14034" s="0" t="n">
        <v>19</v>
      </c>
      <c r="I14034" s="0" t="s">
        <v>46615</v>
      </c>
      <c r="J14034" s="0" t="s">
        <v>46616</v>
      </c>
      <c r="K14034" s="0" t="s">
        <v>46617</v>
      </c>
      <c r="L14034" s="0" t="str">
        <f aca="false">HYPERLINK("https://www.ncbi.nlm.nih.gov/nuccore/CP000058.1?report=graph&amp;tracks=[key:gene_model_track,Options:GeneOnly]&amp;mk=4357552:4357571|offset_19|00cc00,4357572:4357591|offset_39|444444,4357604:4357623|offset_71|444444,4357678:4357697|offset_145|444444&amp;v=4357351:4357897&amp;c=444444", "offset 19")</f>
        <v>offset 19</v>
      </c>
    </row>
    <row r="14035" customFormat="false" ht="12.8" hidden="false" customHeight="false" outlineLevel="0" collapsed="false">
      <c r="A14035" s="0" t="s">
        <v>12</v>
      </c>
      <c r="B14035" s="0" t="n">
        <v>4357571</v>
      </c>
      <c r="C14035" s="0" t="n">
        <v>4357591</v>
      </c>
      <c r="D14035" s="0" t="s">
        <v>46613</v>
      </c>
      <c r="E14035" s="0" t="s">
        <v>46614</v>
      </c>
      <c r="F14035" s="0" t="s">
        <v>15</v>
      </c>
      <c r="G14035" s="0" t="s">
        <v>36</v>
      </c>
      <c r="H14035" s="0" t="n">
        <v>39</v>
      </c>
      <c r="I14035" s="0" t="s">
        <v>46618</v>
      </c>
      <c r="J14035" s="0" t="s">
        <v>46619</v>
      </c>
      <c r="K14035" s="0" t="s">
        <v>46620</v>
      </c>
      <c r="L14035" s="0" t="str">
        <f aca="false">HYPERLINK("https://www.ncbi.nlm.nih.gov/nuccore/CP000058.1?report=graph&amp;tracks=[key:gene_model_track,Options:GeneOnly]&amp;mk=4357552:4357571|offset_19|444444,4357572:4357591|offset_39|00cc00,4357604:4357623|offset_71|444444,4357678:4357697|offset_145|444444&amp;v=4357351:4357897&amp;c=444444", "offset 39")</f>
        <v>offset 39</v>
      </c>
    </row>
    <row r="14036" customFormat="false" ht="12.8" hidden="false" customHeight="false" outlineLevel="0" collapsed="false">
      <c r="A14036" s="0" t="s">
        <v>12</v>
      </c>
      <c r="B14036" s="0" t="n">
        <v>4357603</v>
      </c>
      <c r="C14036" s="0" t="n">
        <v>4357623</v>
      </c>
      <c r="D14036" s="0" t="s">
        <v>46613</v>
      </c>
      <c r="E14036" s="0" t="s">
        <v>46614</v>
      </c>
      <c r="F14036" s="0" t="s">
        <v>15</v>
      </c>
      <c r="G14036" s="0" t="s">
        <v>32</v>
      </c>
      <c r="H14036" s="0" t="n">
        <v>71</v>
      </c>
      <c r="I14036" s="0" t="s">
        <v>46621</v>
      </c>
      <c r="J14036" s="0" t="s">
        <v>46622</v>
      </c>
      <c r="K14036" s="0" t="s">
        <v>46623</v>
      </c>
      <c r="L14036" s="0" t="str">
        <f aca="false">HYPERLINK("https://www.ncbi.nlm.nih.gov/nuccore/CP000058.1?report=graph&amp;tracks=[key:gene_model_track,Options:GeneOnly]&amp;mk=4357552:4357571|offset_19|444444,4357572:4357591|offset_39|444444,4357604:4357623|offset_71|00cc00,4357678:4357697|offset_145|444444&amp;v=4357351:4357897&amp;c=444444", "offset 71")</f>
        <v>offset 71</v>
      </c>
    </row>
    <row r="14037" customFormat="false" ht="12.8" hidden="false" customHeight="false" outlineLevel="0" collapsed="false">
      <c r="A14037" s="0" t="s">
        <v>12</v>
      </c>
      <c r="B14037" s="0" t="n">
        <v>4357677</v>
      </c>
      <c r="C14037" s="0" t="n">
        <v>4357697</v>
      </c>
      <c r="D14037" s="0" t="s">
        <v>46613</v>
      </c>
      <c r="E14037" s="0" t="s">
        <v>46614</v>
      </c>
      <c r="F14037" s="0" t="s">
        <v>15</v>
      </c>
      <c r="G14037" s="0" t="s">
        <v>16</v>
      </c>
      <c r="H14037" s="0" t="n">
        <v>145</v>
      </c>
      <c r="I14037" s="0" t="s">
        <v>46624</v>
      </c>
      <c r="J14037" s="0" t="s">
        <v>46625</v>
      </c>
      <c r="K14037" s="0" t="s">
        <v>46626</v>
      </c>
      <c r="L14037" s="0" t="str">
        <f aca="false">HYPERLINK("https://www.ncbi.nlm.nih.gov/nuccore/CP000058.1?report=graph&amp;tracks=[key:gene_model_track,Options:GeneOnly]&amp;mk=4357552:4357571|offset_19|444444,4357572:4357591|offset_39|444444,4357604:4357623|offset_71|444444,4357678:4357697|offset_145|00cc00&amp;v=4357351:4357897&amp;c=444444", "offset 145")</f>
        <v>offset 145</v>
      </c>
    </row>
    <row r="14038" customFormat="false" ht="12.8" hidden="false" customHeight="false" outlineLevel="0" collapsed="false">
      <c r="A14038" s="0" t="s">
        <v>12</v>
      </c>
      <c r="B14038" s="0" t="n">
        <v>4360378</v>
      </c>
      <c r="C14038" s="0" t="n">
        <v>4360398</v>
      </c>
      <c r="D14038" s="0" t="s">
        <v>46627</v>
      </c>
      <c r="E14038" s="0" t="s">
        <v>46628</v>
      </c>
      <c r="F14038" s="0" t="s">
        <v>15</v>
      </c>
      <c r="G14038" s="0" t="s">
        <v>20</v>
      </c>
      <c r="H14038" s="0" t="n">
        <v>7</v>
      </c>
      <c r="I14038" s="0" t="s">
        <v>46629</v>
      </c>
      <c r="J14038" s="0" t="s">
        <v>46630</v>
      </c>
      <c r="K14038" s="0" t="s">
        <v>46631</v>
      </c>
      <c r="L14038" s="0" t="str">
        <f aca="false">HYPERLINK("https://www.ncbi.nlm.nih.gov/nuccore/CP000058.1?report=graph&amp;tracks=[key:gene_model_track,Options:GeneOnly]&amp;mk=4360379:4360398|offset_7|00cc00,4360418:4360437|offset_46|444444,4360438:4360457|offset_66|444444,4360461:4360480|offset_89|444444&amp;v=4360178:4360680&amp;c=444444", "offset 7")</f>
        <v>offset 7</v>
      </c>
    </row>
    <row r="14039" customFormat="false" ht="12.8" hidden="false" customHeight="false" outlineLevel="0" collapsed="false">
      <c r="A14039" s="0" t="s">
        <v>12</v>
      </c>
      <c r="B14039" s="0" t="n">
        <v>4360417</v>
      </c>
      <c r="C14039" s="0" t="n">
        <v>4360437</v>
      </c>
      <c r="D14039" s="0" t="s">
        <v>46627</v>
      </c>
      <c r="E14039" s="0" t="s">
        <v>46628</v>
      </c>
      <c r="F14039" s="0" t="s">
        <v>15</v>
      </c>
      <c r="G14039" s="0" t="s">
        <v>16</v>
      </c>
      <c r="H14039" s="0" t="n">
        <v>46</v>
      </c>
      <c r="I14039" s="0" t="s">
        <v>46632</v>
      </c>
      <c r="J14039" s="0" t="s">
        <v>46633</v>
      </c>
      <c r="K14039" s="0" t="s">
        <v>46634</v>
      </c>
      <c r="L14039" s="0" t="str">
        <f aca="false">HYPERLINK("https://www.ncbi.nlm.nih.gov/nuccore/CP000058.1?report=graph&amp;tracks=[key:gene_model_track,Options:GeneOnly]&amp;mk=4360379:4360398|offset_7|444444,4360418:4360437|offset_46|00cc00,4360438:4360457|offset_66|444444,4360461:4360480|offset_89|444444&amp;v=4360178:4360680&amp;c=444444", "offset 46")</f>
        <v>offset 46</v>
      </c>
    </row>
    <row r="14040" customFormat="false" ht="12.8" hidden="false" customHeight="false" outlineLevel="0" collapsed="false">
      <c r="A14040" s="0" t="s">
        <v>12</v>
      </c>
      <c r="B14040" s="0" t="n">
        <v>4360437</v>
      </c>
      <c r="C14040" s="0" t="n">
        <v>4360457</v>
      </c>
      <c r="D14040" s="0" t="s">
        <v>46627</v>
      </c>
      <c r="E14040" s="0" t="s">
        <v>46628</v>
      </c>
      <c r="F14040" s="0" t="s">
        <v>15</v>
      </c>
      <c r="G14040" s="0" t="s">
        <v>16</v>
      </c>
      <c r="H14040" s="0" t="n">
        <v>66</v>
      </c>
      <c r="I14040" s="0" t="s">
        <v>46635</v>
      </c>
      <c r="J14040" s="0" t="s">
        <v>46636</v>
      </c>
      <c r="K14040" s="0" t="s">
        <v>46637</v>
      </c>
      <c r="L14040" s="0" t="str">
        <f aca="false">HYPERLINK("https://www.ncbi.nlm.nih.gov/nuccore/CP000058.1?report=graph&amp;tracks=[key:gene_model_track,Options:GeneOnly]&amp;mk=4360379:4360398|offset_7|444444,4360418:4360437|offset_46|444444,4360438:4360457|offset_66|00cc00,4360461:4360480|offset_89|444444&amp;v=4360178:4360680&amp;c=444444", "offset 66")</f>
        <v>offset 66</v>
      </c>
    </row>
    <row r="14041" customFormat="false" ht="12.8" hidden="false" customHeight="false" outlineLevel="0" collapsed="false">
      <c r="A14041" s="0" t="s">
        <v>12</v>
      </c>
      <c r="B14041" s="0" t="n">
        <v>4360460</v>
      </c>
      <c r="C14041" s="0" t="n">
        <v>4360480</v>
      </c>
      <c r="D14041" s="0" t="s">
        <v>46627</v>
      </c>
      <c r="E14041" s="0" t="s">
        <v>46628</v>
      </c>
      <c r="F14041" s="0" t="s">
        <v>15</v>
      </c>
      <c r="G14041" s="0" t="s">
        <v>36</v>
      </c>
      <c r="H14041" s="0" t="n">
        <v>89</v>
      </c>
      <c r="I14041" s="0" t="s">
        <v>46638</v>
      </c>
      <c r="J14041" s="0" t="s">
        <v>46639</v>
      </c>
      <c r="K14041" s="0" t="s">
        <v>46640</v>
      </c>
      <c r="L14041" s="0" t="str">
        <f aca="false">HYPERLINK("https://www.ncbi.nlm.nih.gov/nuccore/CP000058.1?report=graph&amp;tracks=[key:gene_model_track,Options:GeneOnly]&amp;mk=4360379:4360398|offset_7|444444,4360418:4360437|offset_46|444444,4360438:4360457|offset_66|444444,4360461:4360480|offset_89|00cc00&amp;v=4360178:4360680&amp;c=444444", "offset 89")</f>
        <v>offset 89</v>
      </c>
    </row>
    <row r="14042" customFormat="false" ht="12.8" hidden="false" customHeight="false" outlineLevel="0" collapsed="false">
      <c r="A14042" s="0" t="s">
        <v>12</v>
      </c>
      <c r="B14042" s="0" t="n">
        <v>4362175</v>
      </c>
      <c r="C14042" s="0" t="n">
        <v>4362195</v>
      </c>
      <c r="D14042" s="0" t="s">
        <v>46641</v>
      </c>
      <c r="E14042" s="0" t="s">
        <v>46642</v>
      </c>
      <c r="F14042" s="0" t="s">
        <v>90</v>
      </c>
      <c r="G14042" s="0" t="s">
        <v>16</v>
      </c>
      <c r="H14042" s="0" t="n">
        <v>24</v>
      </c>
      <c r="I14042" s="0" t="s">
        <v>46643</v>
      </c>
      <c r="J14042" s="0" t="s">
        <v>46644</v>
      </c>
      <c r="K14042" s="0" t="s">
        <v>46645</v>
      </c>
      <c r="L14042" s="0" t="str">
        <f aca="false">HYPERLINK("https://www.ncbi.nlm.nih.gov/nuccore/CP000058.1?report=graph&amp;tracks=[key:gene_model_track,Options:GeneOnly]&amp;mk=4362176:4362195|offset_24|00cc00,4362147:4362166|offset_53|444444,4362126:4362145|offset_74|444444,4362098:4362117|offset_102|444444&amp;v=4361975:4362317&amp;c=444444", "offset 24")</f>
        <v>offset 24</v>
      </c>
    </row>
    <row r="14043" customFormat="false" ht="12.8" hidden="false" customHeight="false" outlineLevel="0" collapsed="false">
      <c r="A14043" s="0" t="s">
        <v>12</v>
      </c>
      <c r="B14043" s="0" t="n">
        <v>4362146</v>
      </c>
      <c r="C14043" s="0" t="n">
        <v>4362166</v>
      </c>
      <c r="D14043" s="0" t="s">
        <v>46641</v>
      </c>
      <c r="E14043" s="0" t="s">
        <v>46642</v>
      </c>
      <c r="F14043" s="0" t="s">
        <v>90</v>
      </c>
      <c r="G14043" s="0" t="s">
        <v>20</v>
      </c>
      <c r="H14043" s="0" t="n">
        <v>53</v>
      </c>
      <c r="I14043" s="0" t="s">
        <v>46646</v>
      </c>
      <c r="J14043" s="0" t="s">
        <v>46647</v>
      </c>
      <c r="K14043" s="0" t="s">
        <v>46648</v>
      </c>
      <c r="L14043" s="0" t="str">
        <f aca="false">HYPERLINK("https://www.ncbi.nlm.nih.gov/nuccore/CP000058.1?report=graph&amp;tracks=[key:gene_model_track,Options:GeneOnly]&amp;mk=4362176:4362195|offset_24|444444,4362147:4362166|offset_53|00cc00,4362126:4362145|offset_74|444444,4362098:4362117|offset_102|444444&amp;v=4361975:4362317&amp;c=444444", "offset 53")</f>
        <v>offset 53</v>
      </c>
    </row>
    <row r="14044" customFormat="false" ht="12.8" hidden="false" customHeight="false" outlineLevel="0" collapsed="false">
      <c r="A14044" s="0" t="s">
        <v>12</v>
      </c>
      <c r="B14044" s="0" t="n">
        <v>4362125</v>
      </c>
      <c r="C14044" s="0" t="n">
        <v>4362145</v>
      </c>
      <c r="D14044" s="0" t="s">
        <v>46641</v>
      </c>
      <c r="E14044" s="0" t="s">
        <v>46642</v>
      </c>
      <c r="F14044" s="0" t="s">
        <v>90</v>
      </c>
      <c r="G14044" s="0" t="s">
        <v>20</v>
      </c>
      <c r="H14044" s="0" t="n">
        <v>74</v>
      </c>
      <c r="I14044" s="0" t="s">
        <v>46649</v>
      </c>
      <c r="J14044" s="0" t="s">
        <v>46650</v>
      </c>
      <c r="K14044" s="0" t="s">
        <v>46651</v>
      </c>
      <c r="L14044" s="0" t="str">
        <f aca="false">HYPERLINK("https://www.ncbi.nlm.nih.gov/nuccore/CP000058.1?report=graph&amp;tracks=[key:gene_model_track,Options:GeneOnly]&amp;mk=4362176:4362195|offset_24|444444,4362147:4362166|offset_53|444444,4362126:4362145|offset_74|00cc00,4362098:4362117|offset_102|444444&amp;v=4361975:4362317&amp;c=444444", "offset 74")</f>
        <v>offset 74</v>
      </c>
    </row>
    <row r="14045" customFormat="false" ht="12.8" hidden="false" customHeight="false" outlineLevel="0" collapsed="false">
      <c r="A14045" s="0" t="s">
        <v>12</v>
      </c>
      <c r="B14045" s="0" t="n">
        <v>4362097</v>
      </c>
      <c r="C14045" s="0" t="n">
        <v>4362117</v>
      </c>
      <c r="D14045" s="0" t="s">
        <v>46641</v>
      </c>
      <c r="E14045" s="0" t="s">
        <v>46642</v>
      </c>
      <c r="F14045" s="0" t="s">
        <v>90</v>
      </c>
      <c r="G14045" s="0" t="s">
        <v>32</v>
      </c>
      <c r="H14045" s="0" t="n">
        <v>102</v>
      </c>
      <c r="I14045" s="0" t="s">
        <v>46652</v>
      </c>
      <c r="J14045" s="0" t="s">
        <v>46653</v>
      </c>
      <c r="K14045" s="0" t="s">
        <v>46654</v>
      </c>
      <c r="L14045" s="0" t="str">
        <f aca="false">HYPERLINK("https://www.ncbi.nlm.nih.gov/nuccore/CP000058.1?report=graph&amp;tracks=[key:gene_model_track,Options:GeneOnly]&amp;mk=4362176:4362195|offset_24|444444,4362147:4362166|offset_53|444444,4362126:4362145|offset_74|444444,4362098:4362117|offset_102|00cc00&amp;v=4361975:4362317&amp;c=444444", "offset 102")</f>
        <v>offset 102</v>
      </c>
    </row>
    <row r="14046" customFormat="false" ht="12.8" hidden="false" customHeight="false" outlineLevel="0" collapsed="false">
      <c r="A14046" s="0" t="s">
        <v>12</v>
      </c>
      <c r="B14046" s="0" t="n">
        <v>4363089</v>
      </c>
      <c r="C14046" s="0" t="n">
        <v>4363109</v>
      </c>
      <c r="D14046" s="0" t="s">
        <v>46655</v>
      </c>
      <c r="E14046" s="0" t="s">
        <v>75</v>
      </c>
      <c r="F14046" s="0" t="s">
        <v>90</v>
      </c>
      <c r="G14046" s="0" t="s">
        <v>20</v>
      </c>
      <c r="H14046" s="0" t="n">
        <v>80</v>
      </c>
      <c r="I14046" s="0" t="s">
        <v>46656</v>
      </c>
      <c r="J14046" s="0" t="s">
        <v>46657</v>
      </c>
      <c r="K14046" s="0" t="s">
        <v>46658</v>
      </c>
      <c r="L14046" s="0" t="str">
        <f aca="false">HYPERLINK("https://www.ncbi.nlm.nih.gov/nuccore/CP000058.1?report=graph&amp;tracks=[key:gene_model_track,Options:GeneOnly]&amp;mk=4363090:4363109|offset_80|00cc00,4363065:4363084|offset_105|444444,4363025:4363044|offset_145|444444,4363001:4363020|offset_169|444444&amp;v=4362889:4363220&amp;c=444444", "offset 80")</f>
        <v>offset 80</v>
      </c>
    </row>
    <row r="14047" customFormat="false" ht="12.8" hidden="false" customHeight="false" outlineLevel="0" collapsed="false">
      <c r="A14047" s="0" t="s">
        <v>12</v>
      </c>
      <c r="B14047" s="0" t="n">
        <v>4363064</v>
      </c>
      <c r="C14047" s="0" t="n">
        <v>4363084</v>
      </c>
      <c r="D14047" s="0" t="s">
        <v>46655</v>
      </c>
      <c r="E14047" s="0" t="s">
        <v>75</v>
      </c>
      <c r="F14047" s="0" t="s">
        <v>90</v>
      </c>
      <c r="G14047" s="0" t="s">
        <v>20</v>
      </c>
      <c r="H14047" s="0" t="n">
        <v>105</v>
      </c>
      <c r="I14047" s="0" t="s">
        <v>46659</v>
      </c>
      <c r="J14047" s="0" t="s">
        <v>46660</v>
      </c>
      <c r="K14047" s="0" t="s">
        <v>46661</v>
      </c>
      <c r="L14047" s="0" t="str">
        <f aca="false">HYPERLINK("https://www.ncbi.nlm.nih.gov/nuccore/CP000058.1?report=graph&amp;tracks=[key:gene_model_track,Options:GeneOnly]&amp;mk=4363090:4363109|offset_80|444444,4363065:4363084|offset_105|00cc00,4363025:4363044|offset_145|444444,4363001:4363020|offset_169|444444&amp;v=4362889:4363220&amp;c=444444", "offset 105")</f>
        <v>offset 105</v>
      </c>
    </row>
    <row r="14048" customFormat="false" ht="12.8" hidden="false" customHeight="false" outlineLevel="0" collapsed="false">
      <c r="A14048" s="0" t="s">
        <v>12</v>
      </c>
      <c r="B14048" s="0" t="n">
        <v>4363024</v>
      </c>
      <c r="C14048" s="0" t="n">
        <v>4363044</v>
      </c>
      <c r="D14048" s="0" t="s">
        <v>46655</v>
      </c>
      <c r="E14048" s="0" t="s">
        <v>75</v>
      </c>
      <c r="F14048" s="0" t="s">
        <v>90</v>
      </c>
      <c r="G14048" s="0" t="s">
        <v>16</v>
      </c>
      <c r="H14048" s="0" t="n">
        <v>145</v>
      </c>
      <c r="I14048" s="0" t="s">
        <v>46662</v>
      </c>
      <c r="J14048" s="0" t="s">
        <v>46663</v>
      </c>
      <c r="K14048" s="0" t="s">
        <v>46664</v>
      </c>
      <c r="L14048" s="0" t="str">
        <f aca="false">HYPERLINK("https://www.ncbi.nlm.nih.gov/nuccore/CP000058.1?report=graph&amp;tracks=[key:gene_model_track,Options:GeneOnly]&amp;mk=4363090:4363109|offset_80|444444,4363065:4363084|offset_105|444444,4363025:4363044|offset_145|00cc00,4363001:4363020|offset_169|444444&amp;v=4362889:4363220&amp;c=444444", "offset 145")</f>
        <v>offset 145</v>
      </c>
    </row>
    <row r="14049" customFormat="false" ht="12.8" hidden="false" customHeight="false" outlineLevel="0" collapsed="false">
      <c r="A14049" s="0" t="s">
        <v>12</v>
      </c>
      <c r="B14049" s="0" t="n">
        <v>4363000</v>
      </c>
      <c r="C14049" s="0" t="n">
        <v>4363020</v>
      </c>
      <c r="D14049" s="0" t="s">
        <v>46655</v>
      </c>
      <c r="E14049" s="0" t="s">
        <v>75</v>
      </c>
      <c r="F14049" s="0" t="s">
        <v>90</v>
      </c>
      <c r="G14049" s="0" t="s">
        <v>32</v>
      </c>
      <c r="H14049" s="0" t="n">
        <v>169</v>
      </c>
      <c r="I14049" s="0" t="s">
        <v>46665</v>
      </c>
      <c r="J14049" s="0" t="s">
        <v>46666</v>
      </c>
      <c r="K14049" s="0" t="s">
        <v>46667</v>
      </c>
      <c r="L14049" s="0" t="str">
        <f aca="false">HYPERLINK("https://www.ncbi.nlm.nih.gov/nuccore/CP000058.1?report=graph&amp;tracks=[key:gene_model_track,Options:GeneOnly]&amp;mk=4363090:4363109|offset_80|444444,4363065:4363084|offset_105|444444,4363025:4363044|offset_145|444444,4363001:4363020|offset_169|00cc00&amp;v=4362889:4363220&amp;c=444444", "offset 169")</f>
        <v>offset 169</v>
      </c>
    </row>
    <row r="14050" customFormat="false" ht="12.8" hidden="false" customHeight="false" outlineLevel="0" collapsed="false">
      <c r="A14050" s="0" t="s">
        <v>12</v>
      </c>
      <c r="B14050" s="0" t="n">
        <v>4364006</v>
      </c>
      <c r="C14050" s="0" t="n">
        <v>4364026</v>
      </c>
      <c r="D14050" s="0" t="s">
        <v>46668</v>
      </c>
      <c r="E14050" s="0" t="s">
        <v>46669</v>
      </c>
      <c r="F14050" s="0" t="s">
        <v>90</v>
      </c>
      <c r="G14050" s="0" t="s">
        <v>20</v>
      </c>
      <c r="H14050" s="0" t="n">
        <v>49</v>
      </c>
      <c r="I14050" s="0" t="s">
        <v>46670</v>
      </c>
      <c r="J14050" s="0" t="s">
        <v>46671</v>
      </c>
      <c r="K14050" s="0" t="s">
        <v>46672</v>
      </c>
      <c r="L14050" s="0" t="str">
        <f aca="false">HYPERLINK("https://www.ncbi.nlm.nih.gov/nuccore/CP000058.1?report=graph&amp;tracks=[key:gene_model_track,Options:GeneOnly]&amp;mk=4364007:4364026|offset_49|00cc00,4363979:4363998|offset_77|444444,4363953:4363972|offset_103|444444,4363918:4363937|offset_138|444444&amp;v=4363806:4364137&amp;c=444444", "offset 49")</f>
        <v>offset 49</v>
      </c>
    </row>
    <row r="14051" customFormat="false" ht="12.8" hidden="false" customHeight="false" outlineLevel="0" collapsed="false">
      <c r="A14051" s="0" t="s">
        <v>12</v>
      </c>
      <c r="B14051" s="0" t="n">
        <v>4363978</v>
      </c>
      <c r="C14051" s="0" t="n">
        <v>4363998</v>
      </c>
      <c r="D14051" s="0" t="s">
        <v>46668</v>
      </c>
      <c r="E14051" s="0" t="s">
        <v>46669</v>
      </c>
      <c r="F14051" s="0" t="s">
        <v>90</v>
      </c>
      <c r="G14051" s="0" t="s">
        <v>32</v>
      </c>
      <c r="H14051" s="0" t="n">
        <v>77</v>
      </c>
      <c r="I14051" s="0" t="s">
        <v>46673</v>
      </c>
      <c r="J14051" s="0" t="s">
        <v>46674</v>
      </c>
      <c r="K14051" s="0" t="s">
        <v>46675</v>
      </c>
      <c r="L14051" s="0" t="str">
        <f aca="false">HYPERLINK("https://www.ncbi.nlm.nih.gov/nuccore/CP000058.1?report=graph&amp;tracks=[key:gene_model_track,Options:GeneOnly]&amp;mk=4364007:4364026|offset_49|444444,4363979:4363998|offset_77|00cc00,4363953:4363972|offset_103|444444,4363918:4363937|offset_138|444444&amp;v=4363806:4364137&amp;c=444444", "offset 77")</f>
        <v>offset 77</v>
      </c>
    </row>
    <row r="14052" customFormat="false" ht="12.8" hidden="false" customHeight="false" outlineLevel="0" collapsed="false">
      <c r="A14052" s="0" t="s">
        <v>12</v>
      </c>
      <c r="B14052" s="0" t="n">
        <v>4363952</v>
      </c>
      <c r="C14052" s="0" t="n">
        <v>4363972</v>
      </c>
      <c r="D14052" s="0" t="s">
        <v>46668</v>
      </c>
      <c r="E14052" s="0" t="s">
        <v>46669</v>
      </c>
      <c r="F14052" s="0" t="s">
        <v>90</v>
      </c>
      <c r="G14052" s="0" t="s">
        <v>32</v>
      </c>
      <c r="H14052" s="0" t="n">
        <v>103</v>
      </c>
      <c r="I14052" s="0" t="s">
        <v>46676</v>
      </c>
      <c r="J14052" s="0" t="s">
        <v>46677</v>
      </c>
      <c r="K14052" s="0" t="s">
        <v>46678</v>
      </c>
      <c r="L14052" s="0" t="str">
        <f aca="false">HYPERLINK("https://www.ncbi.nlm.nih.gov/nuccore/CP000058.1?report=graph&amp;tracks=[key:gene_model_track,Options:GeneOnly]&amp;mk=4364007:4364026|offset_49|444444,4363979:4363998|offset_77|444444,4363953:4363972|offset_103|00cc00,4363918:4363937|offset_138|444444&amp;v=4363806:4364137&amp;c=444444", "offset 103")</f>
        <v>offset 103</v>
      </c>
    </row>
    <row r="14053" customFormat="false" ht="12.8" hidden="false" customHeight="false" outlineLevel="0" collapsed="false">
      <c r="A14053" s="0" t="s">
        <v>12</v>
      </c>
      <c r="B14053" s="0" t="n">
        <v>4363917</v>
      </c>
      <c r="C14053" s="0" t="n">
        <v>4363937</v>
      </c>
      <c r="D14053" s="0" t="s">
        <v>46668</v>
      </c>
      <c r="E14053" s="0" t="s">
        <v>46669</v>
      </c>
      <c r="F14053" s="0" t="s">
        <v>90</v>
      </c>
      <c r="G14053" s="0" t="s">
        <v>36</v>
      </c>
      <c r="H14053" s="0" t="n">
        <v>138</v>
      </c>
      <c r="I14053" s="0" t="s">
        <v>46679</v>
      </c>
      <c r="J14053" s="0" t="s">
        <v>46680</v>
      </c>
      <c r="K14053" s="0" t="s">
        <v>46681</v>
      </c>
      <c r="L14053" s="0" t="str">
        <f aca="false">HYPERLINK("https://www.ncbi.nlm.nih.gov/nuccore/CP000058.1?report=graph&amp;tracks=[key:gene_model_track,Options:GeneOnly]&amp;mk=4364007:4364026|offset_49|444444,4363979:4363998|offset_77|444444,4363953:4363972|offset_103|444444,4363918:4363937|offset_138|00cc00&amp;v=4363806:4364137&amp;c=444444", "offset 138")</f>
        <v>offset 138</v>
      </c>
    </row>
    <row r="14054" customFormat="false" ht="12.8" hidden="false" customHeight="false" outlineLevel="0" collapsed="false">
      <c r="A14054" s="0" t="s">
        <v>12</v>
      </c>
      <c r="B14054" s="0" t="n">
        <v>4364762</v>
      </c>
      <c r="C14054" s="0" t="n">
        <v>4364782</v>
      </c>
      <c r="D14054" s="0" t="s">
        <v>46682</v>
      </c>
      <c r="E14054" s="0" t="s">
        <v>46683</v>
      </c>
      <c r="F14054" s="0" t="s">
        <v>90</v>
      </c>
      <c r="G14054" s="0" t="s">
        <v>36</v>
      </c>
      <c r="H14054" s="0" t="n">
        <v>42</v>
      </c>
      <c r="I14054" s="0" t="s">
        <v>46684</v>
      </c>
      <c r="J14054" s="0" t="s">
        <v>46685</v>
      </c>
      <c r="K14054" s="0" t="s">
        <v>46686</v>
      </c>
      <c r="L14054" s="0" t="str">
        <f aca="false">HYPERLINK("https://www.ncbi.nlm.nih.gov/nuccore/CP000058.1?report=graph&amp;tracks=[key:gene_model_track,Options:GeneOnly]&amp;mk=4364763:4364782|offset_42|00cc00,4364723:4364742|offset_82|444444,4364703:4364722|offset_102|444444,4364681:4364700|offset_124|444444&amp;v=4364562:4364900&amp;c=444444", "offset 42")</f>
        <v>offset 42</v>
      </c>
    </row>
    <row r="14055" customFormat="false" ht="12.8" hidden="false" customHeight="false" outlineLevel="0" collapsed="false">
      <c r="A14055" s="0" t="s">
        <v>12</v>
      </c>
      <c r="B14055" s="0" t="n">
        <v>4364722</v>
      </c>
      <c r="C14055" s="0" t="n">
        <v>4364742</v>
      </c>
      <c r="D14055" s="0" t="s">
        <v>46682</v>
      </c>
      <c r="E14055" s="0" t="s">
        <v>46683</v>
      </c>
      <c r="F14055" s="0" t="s">
        <v>90</v>
      </c>
      <c r="G14055" s="0" t="s">
        <v>16</v>
      </c>
      <c r="H14055" s="0" t="n">
        <v>82</v>
      </c>
      <c r="I14055" s="0" t="s">
        <v>46687</v>
      </c>
      <c r="J14055" s="0" t="s">
        <v>46688</v>
      </c>
      <c r="K14055" s="0" t="s">
        <v>46689</v>
      </c>
      <c r="L14055" s="0" t="str">
        <f aca="false">HYPERLINK("https://www.ncbi.nlm.nih.gov/nuccore/CP000058.1?report=graph&amp;tracks=[key:gene_model_track,Options:GeneOnly]&amp;mk=4364763:4364782|offset_42|444444,4364723:4364742|offset_82|00cc00,4364703:4364722|offset_102|444444,4364681:4364700|offset_124|444444&amp;v=4364562:4364900&amp;c=444444", "offset 82")</f>
        <v>offset 82</v>
      </c>
    </row>
    <row r="14056" customFormat="false" ht="12.8" hidden="false" customHeight="false" outlineLevel="0" collapsed="false">
      <c r="A14056" s="0" t="s">
        <v>12</v>
      </c>
      <c r="B14056" s="0" t="n">
        <v>4364702</v>
      </c>
      <c r="C14056" s="0" t="n">
        <v>4364722</v>
      </c>
      <c r="D14056" s="0" t="s">
        <v>46682</v>
      </c>
      <c r="E14056" s="0" t="s">
        <v>46683</v>
      </c>
      <c r="F14056" s="0" t="s">
        <v>90</v>
      </c>
      <c r="G14056" s="0" t="s">
        <v>20</v>
      </c>
      <c r="H14056" s="0" t="n">
        <v>102</v>
      </c>
      <c r="I14056" s="0" t="s">
        <v>46690</v>
      </c>
      <c r="J14056" s="0" t="s">
        <v>46691</v>
      </c>
      <c r="K14056" s="0" t="s">
        <v>46692</v>
      </c>
      <c r="L14056" s="0" t="str">
        <f aca="false">HYPERLINK("https://www.ncbi.nlm.nih.gov/nuccore/CP000058.1?report=graph&amp;tracks=[key:gene_model_track,Options:GeneOnly]&amp;mk=4364763:4364782|offset_42|444444,4364723:4364742|offset_82|444444,4364703:4364722|offset_102|00cc00,4364681:4364700|offset_124|444444&amp;v=4364562:4364900&amp;c=444444", "offset 102")</f>
        <v>offset 102</v>
      </c>
    </row>
    <row r="14057" customFormat="false" ht="12.8" hidden="false" customHeight="false" outlineLevel="0" collapsed="false">
      <c r="A14057" s="0" t="s">
        <v>12</v>
      </c>
      <c r="B14057" s="0" t="n">
        <v>4364680</v>
      </c>
      <c r="C14057" s="0" t="n">
        <v>4364700</v>
      </c>
      <c r="D14057" s="0" t="s">
        <v>46682</v>
      </c>
      <c r="E14057" s="0" t="s">
        <v>46683</v>
      </c>
      <c r="F14057" s="0" t="s">
        <v>90</v>
      </c>
      <c r="G14057" s="0" t="s">
        <v>32</v>
      </c>
      <c r="H14057" s="0" t="n">
        <v>124</v>
      </c>
      <c r="I14057" s="0" t="s">
        <v>46693</v>
      </c>
      <c r="J14057" s="0" t="s">
        <v>46694</v>
      </c>
      <c r="K14057" s="0" t="s">
        <v>46695</v>
      </c>
      <c r="L14057" s="0" t="str">
        <f aca="false">HYPERLINK("https://www.ncbi.nlm.nih.gov/nuccore/CP000058.1?report=graph&amp;tracks=[key:gene_model_track,Options:GeneOnly]&amp;mk=4364763:4364782|offset_42|444444,4364723:4364742|offset_82|444444,4364703:4364722|offset_102|444444,4364681:4364700|offset_124|00cc00&amp;v=4364562:4364900&amp;c=444444", "offset 124")</f>
        <v>offset 124</v>
      </c>
    </row>
    <row r="14058" customFormat="false" ht="12.8" hidden="false" customHeight="false" outlineLevel="0" collapsed="false">
      <c r="A14058" s="0" t="s">
        <v>12</v>
      </c>
      <c r="B14058" s="0" t="n">
        <v>4365824</v>
      </c>
      <c r="C14058" s="0" t="n">
        <v>4365844</v>
      </c>
      <c r="D14058" s="0" t="s">
        <v>46696</v>
      </c>
      <c r="E14058" s="0" t="s">
        <v>46697</v>
      </c>
      <c r="F14058" s="0" t="s">
        <v>90</v>
      </c>
      <c r="G14058" s="0" t="s">
        <v>36</v>
      </c>
      <c r="H14058" s="0" t="n">
        <v>26</v>
      </c>
      <c r="I14058" s="0" t="s">
        <v>46698</v>
      </c>
      <c r="J14058" s="0" t="s">
        <v>46699</v>
      </c>
      <c r="K14058" s="0" t="s">
        <v>46700</v>
      </c>
      <c r="L14058" s="0" t="str">
        <f aca="false">HYPERLINK("https://www.ncbi.nlm.nih.gov/nuccore/CP000058.1?report=graph&amp;tracks=[key:gene_model_track,Options:GeneOnly]&amp;mk=4365825:4365844|offset_26|00cc00,4365790:4365809|offset_61|444444,4365740:4365759|offset_111|444444,4365682:4365701|offset_169|444444&amp;v=4365624:4365901&amp;c=444444", "offset 26")</f>
        <v>offset 26</v>
      </c>
    </row>
    <row r="14059" customFormat="false" ht="12.8" hidden="false" customHeight="false" outlineLevel="0" collapsed="false">
      <c r="A14059" s="0" t="s">
        <v>12</v>
      </c>
      <c r="B14059" s="0" t="n">
        <v>4365789</v>
      </c>
      <c r="C14059" s="0" t="n">
        <v>4365809</v>
      </c>
      <c r="D14059" s="0" t="s">
        <v>46696</v>
      </c>
      <c r="E14059" s="0" t="s">
        <v>46697</v>
      </c>
      <c r="F14059" s="0" t="s">
        <v>90</v>
      </c>
      <c r="G14059" s="0" t="s">
        <v>36</v>
      </c>
      <c r="H14059" s="0" t="n">
        <v>61</v>
      </c>
      <c r="I14059" s="0" t="s">
        <v>46701</v>
      </c>
      <c r="J14059" s="0" t="s">
        <v>46702</v>
      </c>
      <c r="K14059" s="0" t="s">
        <v>46703</v>
      </c>
      <c r="L14059" s="0" t="str">
        <f aca="false">HYPERLINK("https://www.ncbi.nlm.nih.gov/nuccore/CP000058.1?report=graph&amp;tracks=[key:gene_model_track,Options:GeneOnly]&amp;mk=4365825:4365844|offset_26|444444,4365790:4365809|offset_61|00cc00,4365740:4365759|offset_111|444444,4365682:4365701|offset_169|444444&amp;v=4365624:4365901&amp;c=444444", "offset 61")</f>
        <v>offset 61</v>
      </c>
    </row>
    <row r="14060" customFormat="false" ht="12.8" hidden="false" customHeight="false" outlineLevel="0" collapsed="false">
      <c r="A14060" s="0" t="s">
        <v>12</v>
      </c>
      <c r="B14060" s="0" t="n">
        <v>4365739</v>
      </c>
      <c r="C14060" s="0" t="n">
        <v>4365759</v>
      </c>
      <c r="D14060" s="0" t="s">
        <v>46696</v>
      </c>
      <c r="E14060" s="0" t="s">
        <v>46697</v>
      </c>
      <c r="F14060" s="0" t="s">
        <v>90</v>
      </c>
      <c r="G14060" s="0" t="s">
        <v>16</v>
      </c>
      <c r="H14060" s="0" t="n">
        <v>111</v>
      </c>
      <c r="I14060" s="0" t="s">
        <v>46704</v>
      </c>
      <c r="J14060" s="0" t="s">
        <v>46705</v>
      </c>
      <c r="K14060" s="0" t="s">
        <v>46706</v>
      </c>
      <c r="L14060" s="0" t="str">
        <f aca="false">HYPERLINK("https://www.ncbi.nlm.nih.gov/nuccore/CP000058.1?report=graph&amp;tracks=[key:gene_model_track,Options:GeneOnly]&amp;mk=4365825:4365844|offset_26|444444,4365790:4365809|offset_61|444444,4365740:4365759|offset_111|00cc00,4365682:4365701|offset_169|444444&amp;v=4365624:4365901&amp;c=444444", "offset 111")</f>
        <v>offset 111</v>
      </c>
    </row>
    <row r="14061" customFormat="false" ht="12.8" hidden="false" customHeight="false" outlineLevel="0" collapsed="false">
      <c r="A14061" s="0" t="s">
        <v>12</v>
      </c>
      <c r="B14061" s="0" t="n">
        <v>4365681</v>
      </c>
      <c r="C14061" s="0" t="n">
        <v>4365701</v>
      </c>
      <c r="D14061" s="0" t="s">
        <v>46696</v>
      </c>
      <c r="E14061" s="0" t="s">
        <v>46697</v>
      </c>
      <c r="F14061" s="0" t="s">
        <v>90</v>
      </c>
      <c r="G14061" s="0" t="s">
        <v>16</v>
      </c>
      <c r="H14061" s="0" t="n">
        <v>169</v>
      </c>
      <c r="I14061" s="0" t="s">
        <v>46707</v>
      </c>
      <c r="J14061" s="0" t="s">
        <v>46708</v>
      </c>
      <c r="K14061" s="0" t="s">
        <v>46709</v>
      </c>
      <c r="L14061" s="0" t="str">
        <f aca="false">HYPERLINK("https://www.ncbi.nlm.nih.gov/nuccore/CP000058.1?report=graph&amp;tracks=[key:gene_model_track,Options:GeneOnly]&amp;mk=4365825:4365844|offset_26|444444,4365790:4365809|offset_61|444444,4365740:4365759|offset_111|444444,4365682:4365701|offset_169|00cc00&amp;v=4365624:4365901&amp;c=444444", "offset 169")</f>
        <v>offset 169</v>
      </c>
    </row>
    <row r="14062" customFormat="false" ht="12.8" hidden="false" customHeight="false" outlineLevel="0" collapsed="false">
      <c r="A14062" s="0" t="s">
        <v>12</v>
      </c>
      <c r="B14062" s="0" t="n">
        <v>4366306</v>
      </c>
      <c r="C14062" s="0" t="n">
        <v>4366326</v>
      </c>
      <c r="D14062" s="0" t="s">
        <v>46710</v>
      </c>
      <c r="E14062" s="0" t="s">
        <v>46711</v>
      </c>
      <c r="F14062" s="0" t="s">
        <v>90</v>
      </c>
      <c r="G14062" s="0" t="s">
        <v>32</v>
      </c>
      <c r="H14062" s="0" t="n">
        <v>14</v>
      </c>
      <c r="I14062" s="0" t="s">
        <v>46712</v>
      </c>
      <c r="J14062" s="0" t="s">
        <v>46713</v>
      </c>
      <c r="K14062" s="0" t="s">
        <v>46714</v>
      </c>
      <c r="L14062" s="0" t="str">
        <f aca="false">HYPERLINK("https://www.ncbi.nlm.nih.gov/nuccore/CP000058.1?report=graph&amp;tracks=[key:gene_model_track,Options:GeneOnly]&amp;mk=4366307:4366326|offset_14|00cc00,4366263:4366282|offset_58|444444,4366229:4366248|offset_92|444444,4366202:4366221|offset_119|444444&amp;v=4366106:4366421&amp;c=444444", "offset 14")</f>
        <v>offset 14</v>
      </c>
    </row>
    <row r="14063" customFormat="false" ht="12.8" hidden="false" customHeight="false" outlineLevel="0" collapsed="false">
      <c r="A14063" s="0" t="s">
        <v>12</v>
      </c>
      <c r="B14063" s="0" t="n">
        <v>4366262</v>
      </c>
      <c r="C14063" s="0" t="n">
        <v>4366282</v>
      </c>
      <c r="D14063" s="0" t="s">
        <v>46710</v>
      </c>
      <c r="E14063" s="0" t="s">
        <v>46711</v>
      </c>
      <c r="F14063" s="0" t="s">
        <v>90</v>
      </c>
      <c r="G14063" s="0" t="s">
        <v>20</v>
      </c>
      <c r="H14063" s="0" t="n">
        <v>58</v>
      </c>
      <c r="I14063" s="0" t="s">
        <v>46715</v>
      </c>
      <c r="J14063" s="0" t="s">
        <v>46716</v>
      </c>
      <c r="K14063" s="0" t="s">
        <v>46717</v>
      </c>
      <c r="L14063" s="0" t="str">
        <f aca="false">HYPERLINK("https://www.ncbi.nlm.nih.gov/nuccore/CP000058.1?report=graph&amp;tracks=[key:gene_model_track,Options:GeneOnly]&amp;mk=4366307:4366326|offset_14|444444,4366263:4366282|offset_58|00cc00,4366229:4366248|offset_92|444444,4366202:4366221|offset_119|444444&amp;v=4366106:4366421&amp;c=444444", "offset 58")</f>
        <v>offset 58</v>
      </c>
    </row>
    <row r="14064" customFormat="false" ht="12.8" hidden="false" customHeight="false" outlineLevel="0" collapsed="false">
      <c r="A14064" s="0" t="s">
        <v>12</v>
      </c>
      <c r="B14064" s="0" t="n">
        <v>4366228</v>
      </c>
      <c r="C14064" s="0" t="n">
        <v>4366248</v>
      </c>
      <c r="D14064" s="0" t="s">
        <v>46710</v>
      </c>
      <c r="E14064" s="0" t="s">
        <v>46711</v>
      </c>
      <c r="F14064" s="0" t="s">
        <v>90</v>
      </c>
      <c r="G14064" s="0" t="s">
        <v>20</v>
      </c>
      <c r="H14064" s="0" t="n">
        <v>92</v>
      </c>
      <c r="I14064" s="0" t="s">
        <v>46718</v>
      </c>
      <c r="J14064" s="0" t="s">
        <v>46719</v>
      </c>
      <c r="K14064" s="0" t="s">
        <v>46720</v>
      </c>
      <c r="L14064" s="0" t="str">
        <f aca="false">HYPERLINK("https://www.ncbi.nlm.nih.gov/nuccore/CP000058.1?report=graph&amp;tracks=[key:gene_model_track,Options:GeneOnly]&amp;mk=4366307:4366326|offset_14|444444,4366263:4366282|offset_58|444444,4366229:4366248|offset_92|00cc00,4366202:4366221|offset_119|444444&amp;v=4366106:4366421&amp;c=444444", "offset 92")</f>
        <v>offset 92</v>
      </c>
    </row>
    <row r="14065" customFormat="false" ht="12.8" hidden="false" customHeight="false" outlineLevel="0" collapsed="false">
      <c r="A14065" s="0" t="s">
        <v>12</v>
      </c>
      <c r="B14065" s="0" t="n">
        <v>4366201</v>
      </c>
      <c r="C14065" s="0" t="n">
        <v>4366221</v>
      </c>
      <c r="D14065" s="0" t="s">
        <v>46710</v>
      </c>
      <c r="E14065" s="0" t="s">
        <v>46711</v>
      </c>
      <c r="F14065" s="0" t="s">
        <v>90</v>
      </c>
      <c r="G14065" s="0" t="s">
        <v>20</v>
      </c>
      <c r="H14065" s="0" t="n">
        <v>119</v>
      </c>
      <c r="I14065" s="0" t="s">
        <v>46721</v>
      </c>
      <c r="J14065" s="0" t="s">
        <v>46722</v>
      </c>
      <c r="K14065" s="0" t="s">
        <v>46723</v>
      </c>
      <c r="L14065" s="0" t="str">
        <f aca="false">HYPERLINK("https://www.ncbi.nlm.nih.gov/nuccore/CP000058.1?report=graph&amp;tracks=[key:gene_model_track,Options:GeneOnly]&amp;mk=4366307:4366326|offset_14|444444,4366263:4366282|offset_58|444444,4366229:4366248|offset_92|444444,4366202:4366221|offset_119|00cc00&amp;v=4366106:4366421&amp;c=444444", "offset 119")</f>
        <v>offset 119</v>
      </c>
    </row>
    <row r="14066" customFormat="false" ht="12.8" hidden="false" customHeight="false" outlineLevel="0" collapsed="false">
      <c r="A14066" s="0" t="s">
        <v>12</v>
      </c>
      <c r="B14066" s="0" t="n">
        <v>4367213</v>
      </c>
      <c r="C14066" s="0" t="n">
        <v>4367233</v>
      </c>
      <c r="D14066" s="0" t="s">
        <v>46724</v>
      </c>
      <c r="E14066" s="0" t="s">
        <v>75</v>
      </c>
      <c r="F14066" s="0" t="s">
        <v>90</v>
      </c>
      <c r="G14066" s="0" t="s">
        <v>20</v>
      </c>
      <c r="H14066" s="0" t="n">
        <v>6</v>
      </c>
      <c r="I14066" s="0" t="s">
        <v>46725</v>
      </c>
      <c r="J14066" s="0" t="s">
        <v>46726</v>
      </c>
      <c r="K14066" s="0" t="s">
        <v>46727</v>
      </c>
      <c r="L14066" s="0" t="str">
        <f aca="false">HYPERLINK("https://www.ncbi.nlm.nih.gov/nuccore/CP000058.1?report=graph&amp;tracks=[key:gene_model_track,Options:GeneOnly]&amp;mk=4367214:4367233|offset_6|00cc00,4367194:4367213|offset_26|444444,4367155:4367174|offset_65|444444,4367109:4367128|offset_111|444444&amp;v=4367013:4367328&amp;c=444444", "offset 6")</f>
        <v>offset 6</v>
      </c>
    </row>
    <row r="14067" customFormat="false" ht="12.8" hidden="false" customHeight="false" outlineLevel="0" collapsed="false">
      <c r="A14067" s="0" t="s">
        <v>12</v>
      </c>
      <c r="B14067" s="0" t="n">
        <v>4367193</v>
      </c>
      <c r="C14067" s="0" t="n">
        <v>4367213</v>
      </c>
      <c r="D14067" s="0" t="s">
        <v>46724</v>
      </c>
      <c r="E14067" s="0" t="s">
        <v>75</v>
      </c>
      <c r="F14067" s="0" t="s">
        <v>90</v>
      </c>
      <c r="G14067" s="0" t="s">
        <v>32</v>
      </c>
      <c r="H14067" s="0" t="n">
        <v>26</v>
      </c>
      <c r="I14067" s="0" t="s">
        <v>46728</v>
      </c>
      <c r="J14067" s="0" t="s">
        <v>46729</v>
      </c>
      <c r="K14067" s="0" t="s">
        <v>46730</v>
      </c>
      <c r="L14067" s="0" t="str">
        <f aca="false">HYPERLINK("https://www.ncbi.nlm.nih.gov/nuccore/CP000058.1?report=graph&amp;tracks=[key:gene_model_track,Options:GeneOnly]&amp;mk=4367214:4367233|offset_6|444444,4367194:4367213|offset_26|00cc00,4367155:4367174|offset_65|444444,4367109:4367128|offset_111|444444&amp;v=4367013:4367328&amp;c=444444", "offset 26")</f>
        <v>offset 26</v>
      </c>
    </row>
    <row r="14068" customFormat="false" ht="12.8" hidden="false" customHeight="false" outlineLevel="0" collapsed="false">
      <c r="A14068" s="0" t="s">
        <v>12</v>
      </c>
      <c r="B14068" s="0" t="n">
        <v>4367154</v>
      </c>
      <c r="C14068" s="0" t="n">
        <v>4367174</v>
      </c>
      <c r="D14068" s="0" t="s">
        <v>46724</v>
      </c>
      <c r="E14068" s="0" t="s">
        <v>75</v>
      </c>
      <c r="F14068" s="0" t="s">
        <v>90</v>
      </c>
      <c r="G14068" s="0" t="s">
        <v>32</v>
      </c>
      <c r="H14068" s="0" t="n">
        <v>65</v>
      </c>
      <c r="I14068" s="0" t="s">
        <v>46731</v>
      </c>
      <c r="J14068" s="0" t="s">
        <v>46732</v>
      </c>
      <c r="K14068" s="0" t="s">
        <v>46733</v>
      </c>
      <c r="L14068" s="0" t="str">
        <f aca="false">HYPERLINK("https://www.ncbi.nlm.nih.gov/nuccore/CP000058.1?report=graph&amp;tracks=[key:gene_model_track,Options:GeneOnly]&amp;mk=4367214:4367233|offset_6|444444,4367194:4367213|offset_26|444444,4367155:4367174|offset_65|00cc00,4367109:4367128|offset_111|444444&amp;v=4367013:4367328&amp;c=444444", "offset 65")</f>
        <v>offset 65</v>
      </c>
    </row>
    <row r="14069" customFormat="false" ht="12.8" hidden="false" customHeight="false" outlineLevel="0" collapsed="false">
      <c r="A14069" s="0" t="s">
        <v>12</v>
      </c>
      <c r="B14069" s="0" t="n">
        <v>4367108</v>
      </c>
      <c r="C14069" s="0" t="n">
        <v>4367128</v>
      </c>
      <c r="D14069" s="0" t="s">
        <v>46724</v>
      </c>
      <c r="E14069" s="0" t="s">
        <v>75</v>
      </c>
      <c r="F14069" s="0" t="s">
        <v>90</v>
      </c>
      <c r="G14069" s="0" t="s">
        <v>16</v>
      </c>
      <c r="H14069" s="0" t="n">
        <v>111</v>
      </c>
      <c r="I14069" s="0" t="s">
        <v>46734</v>
      </c>
      <c r="J14069" s="0" t="s">
        <v>46735</v>
      </c>
      <c r="K14069" s="0" t="s">
        <v>46736</v>
      </c>
      <c r="L14069" s="0" t="str">
        <f aca="false">HYPERLINK("https://www.ncbi.nlm.nih.gov/nuccore/CP000058.1?report=graph&amp;tracks=[key:gene_model_track,Options:GeneOnly]&amp;mk=4367214:4367233|offset_6|444444,4367194:4367213|offset_26|444444,4367155:4367174|offset_65|444444,4367109:4367128|offset_111|00cc00&amp;v=4367013:4367328&amp;c=444444", "offset 111")</f>
        <v>offset 111</v>
      </c>
    </row>
    <row r="14070" customFormat="false" ht="12.8" hidden="false" customHeight="false" outlineLevel="0" collapsed="false">
      <c r="A14070" s="0" t="s">
        <v>12</v>
      </c>
      <c r="B14070" s="0" t="n">
        <v>4368363</v>
      </c>
      <c r="C14070" s="0" t="n">
        <v>4368383</v>
      </c>
      <c r="D14070" s="0" t="s">
        <v>46737</v>
      </c>
      <c r="E14070" s="0" t="s">
        <v>46738</v>
      </c>
      <c r="F14070" s="0" t="s">
        <v>90</v>
      </c>
      <c r="G14070" s="0" t="s">
        <v>32</v>
      </c>
      <c r="H14070" s="0" t="n">
        <v>37</v>
      </c>
      <c r="I14070" s="0" t="s">
        <v>46739</v>
      </c>
      <c r="J14070" s="0" t="s">
        <v>46740</v>
      </c>
      <c r="K14070" s="0" t="s">
        <v>46741</v>
      </c>
      <c r="L14070" s="0" t="str">
        <f aca="false">HYPERLINK("https://www.ncbi.nlm.nih.gov/nuccore/CP000058.1?report=graph&amp;tracks=[key:gene_model_track,Options:GeneOnly]&amp;mk=4368364:4368383|offset_37|00cc00,4368328:4368347|offset_73|444444,4368289:4368308|offset_112|444444,4368265:4368284|offset_136|444444&amp;v=4368163:4368484&amp;c=444444", "offset 37")</f>
        <v>offset 37</v>
      </c>
    </row>
    <row r="14071" customFormat="false" ht="12.8" hidden="false" customHeight="false" outlineLevel="0" collapsed="false">
      <c r="A14071" s="0" t="s">
        <v>12</v>
      </c>
      <c r="B14071" s="0" t="n">
        <v>4368327</v>
      </c>
      <c r="C14071" s="0" t="n">
        <v>4368347</v>
      </c>
      <c r="D14071" s="0" t="s">
        <v>46737</v>
      </c>
      <c r="E14071" s="0" t="s">
        <v>46738</v>
      </c>
      <c r="F14071" s="0" t="s">
        <v>90</v>
      </c>
      <c r="G14071" s="0" t="s">
        <v>32</v>
      </c>
      <c r="H14071" s="0" t="n">
        <v>73</v>
      </c>
      <c r="I14071" s="0" t="s">
        <v>46742</v>
      </c>
      <c r="J14071" s="0" t="s">
        <v>46743</v>
      </c>
      <c r="K14071" s="0" t="s">
        <v>46744</v>
      </c>
      <c r="L14071" s="0" t="str">
        <f aca="false">HYPERLINK("https://www.ncbi.nlm.nih.gov/nuccore/CP000058.1?report=graph&amp;tracks=[key:gene_model_track,Options:GeneOnly]&amp;mk=4368364:4368383|offset_37|444444,4368328:4368347|offset_73|00cc00,4368289:4368308|offset_112|444444,4368265:4368284|offset_136|444444&amp;v=4368163:4368484&amp;c=444444", "offset 73")</f>
        <v>offset 73</v>
      </c>
    </row>
    <row r="14072" customFormat="false" ht="12.8" hidden="false" customHeight="false" outlineLevel="0" collapsed="false">
      <c r="A14072" s="0" t="s">
        <v>12</v>
      </c>
      <c r="B14072" s="0" t="n">
        <v>4368288</v>
      </c>
      <c r="C14072" s="0" t="n">
        <v>4368308</v>
      </c>
      <c r="D14072" s="0" t="s">
        <v>46737</v>
      </c>
      <c r="E14072" s="0" t="s">
        <v>46738</v>
      </c>
      <c r="F14072" s="0" t="s">
        <v>90</v>
      </c>
      <c r="G14072" s="0" t="s">
        <v>20</v>
      </c>
      <c r="H14072" s="0" t="n">
        <v>112</v>
      </c>
      <c r="I14072" s="0" t="s">
        <v>46745</v>
      </c>
      <c r="J14072" s="0" t="s">
        <v>46746</v>
      </c>
      <c r="K14072" s="0" t="s">
        <v>46747</v>
      </c>
      <c r="L14072" s="0" t="str">
        <f aca="false">HYPERLINK("https://www.ncbi.nlm.nih.gov/nuccore/CP000058.1?report=graph&amp;tracks=[key:gene_model_track,Options:GeneOnly]&amp;mk=4368364:4368383|offset_37|444444,4368328:4368347|offset_73|444444,4368289:4368308|offset_112|00cc00,4368265:4368284|offset_136|444444&amp;v=4368163:4368484&amp;c=444444", "offset 112")</f>
        <v>offset 112</v>
      </c>
    </row>
    <row r="14073" customFormat="false" ht="12.8" hidden="false" customHeight="false" outlineLevel="0" collapsed="false">
      <c r="A14073" s="0" t="s">
        <v>12</v>
      </c>
      <c r="B14073" s="0" t="n">
        <v>4368264</v>
      </c>
      <c r="C14073" s="0" t="n">
        <v>4368284</v>
      </c>
      <c r="D14073" s="0" t="s">
        <v>46737</v>
      </c>
      <c r="E14073" s="0" t="s">
        <v>46738</v>
      </c>
      <c r="F14073" s="0" t="s">
        <v>90</v>
      </c>
      <c r="G14073" s="0" t="s">
        <v>20</v>
      </c>
      <c r="H14073" s="0" t="n">
        <v>136</v>
      </c>
      <c r="I14073" s="0" t="s">
        <v>46748</v>
      </c>
      <c r="J14073" s="0" t="s">
        <v>46749</v>
      </c>
      <c r="K14073" s="0" t="s">
        <v>46750</v>
      </c>
      <c r="L14073" s="0" t="str">
        <f aca="false">HYPERLINK("https://www.ncbi.nlm.nih.gov/nuccore/CP000058.1?report=graph&amp;tracks=[key:gene_model_track,Options:GeneOnly]&amp;mk=4368364:4368383|offset_37|444444,4368328:4368347|offset_73|444444,4368289:4368308|offset_112|444444,4368265:4368284|offset_136|00cc00&amp;v=4368163:4368484&amp;c=444444", "offset 136")</f>
        <v>offset 136</v>
      </c>
    </row>
    <row r="14074" customFormat="false" ht="12.8" hidden="false" customHeight="false" outlineLevel="0" collapsed="false">
      <c r="A14074" s="0" t="s">
        <v>12</v>
      </c>
      <c r="B14074" s="0" t="n">
        <v>4368525</v>
      </c>
      <c r="C14074" s="0" t="n">
        <v>4368545</v>
      </c>
      <c r="D14074" s="0" t="s">
        <v>46751</v>
      </c>
      <c r="E14074" s="0" t="s">
        <v>75</v>
      </c>
      <c r="F14074" s="0" t="s">
        <v>15</v>
      </c>
      <c r="G14074" s="0" t="s">
        <v>32</v>
      </c>
      <c r="H14074" s="0" t="n">
        <v>1</v>
      </c>
      <c r="I14074" s="0" t="s">
        <v>46752</v>
      </c>
      <c r="J14074" s="0" t="s">
        <v>46753</v>
      </c>
      <c r="K14074" s="0" t="s">
        <v>46754</v>
      </c>
      <c r="L14074" s="0" t="str">
        <f aca="false">HYPERLINK("https://www.ncbi.nlm.nih.gov/nuccore/CP000058.1?report=graph&amp;tracks=[key:gene_model_track,Options:GeneOnly]&amp;mk=4368526:4368545|offset_1|00cc00,4368568:4368587|offset_43|444444,4368619:4368638|offset_94|444444,4368650:4368669|offset_125|444444&amp;v=4368325:4368869&amp;c=444444", "offset 1")</f>
        <v>offset 1</v>
      </c>
    </row>
    <row r="14075" customFormat="false" ht="12.8" hidden="false" customHeight="false" outlineLevel="0" collapsed="false">
      <c r="A14075" s="0" t="s">
        <v>12</v>
      </c>
      <c r="B14075" s="0" t="n">
        <v>4368567</v>
      </c>
      <c r="C14075" s="0" t="n">
        <v>4368587</v>
      </c>
      <c r="D14075" s="0" t="s">
        <v>46751</v>
      </c>
      <c r="E14075" s="0" t="s">
        <v>75</v>
      </c>
      <c r="F14075" s="0" t="s">
        <v>15</v>
      </c>
      <c r="G14075" s="0" t="s">
        <v>16</v>
      </c>
      <c r="H14075" s="0" t="n">
        <v>43</v>
      </c>
      <c r="I14075" s="0" t="s">
        <v>46755</v>
      </c>
      <c r="J14075" s="0" t="s">
        <v>46756</v>
      </c>
      <c r="K14075" s="0" t="s">
        <v>46757</v>
      </c>
      <c r="L14075" s="0" t="str">
        <f aca="false">HYPERLINK("https://www.ncbi.nlm.nih.gov/nuccore/CP000058.1?report=graph&amp;tracks=[key:gene_model_track,Options:GeneOnly]&amp;mk=4368526:4368545|offset_1|444444,4368568:4368587|offset_43|00cc00,4368619:4368638|offset_94|444444,4368650:4368669|offset_125|444444&amp;v=4368325:4368869&amp;c=444444", "offset 43")</f>
        <v>offset 43</v>
      </c>
    </row>
    <row r="14076" customFormat="false" ht="12.8" hidden="false" customHeight="false" outlineLevel="0" collapsed="false">
      <c r="A14076" s="0" t="s">
        <v>12</v>
      </c>
      <c r="B14076" s="0" t="n">
        <v>4368618</v>
      </c>
      <c r="C14076" s="0" t="n">
        <v>4368638</v>
      </c>
      <c r="D14076" s="0" t="s">
        <v>46751</v>
      </c>
      <c r="E14076" s="0" t="s">
        <v>75</v>
      </c>
      <c r="F14076" s="0" t="s">
        <v>15</v>
      </c>
      <c r="G14076" s="0" t="s">
        <v>20</v>
      </c>
      <c r="H14076" s="0" t="n">
        <v>94</v>
      </c>
      <c r="I14076" s="0" t="s">
        <v>46758</v>
      </c>
      <c r="J14076" s="0" t="s">
        <v>46759</v>
      </c>
      <c r="K14076" s="0" t="s">
        <v>46760</v>
      </c>
      <c r="L14076" s="0" t="str">
        <f aca="false">HYPERLINK("https://www.ncbi.nlm.nih.gov/nuccore/CP000058.1?report=graph&amp;tracks=[key:gene_model_track,Options:GeneOnly]&amp;mk=4368526:4368545|offset_1|444444,4368568:4368587|offset_43|444444,4368619:4368638|offset_94|00cc00,4368650:4368669|offset_125|444444&amp;v=4368325:4368869&amp;c=444444", "offset 94")</f>
        <v>offset 94</v>
      </c>
    </row>
    <row r="14077" customFormat="false" ht="12.8" hidden="false" customHeight="false" outlineLevel="0" collapsed="false">
      <c r="A14077" s="0" t="s">
        <v>12</v>
      </c>
      <c r="B14077" s="0" t="n">
        <v>4368649</v>
      </c>
      <c r="C14077" s="0" t="n">
        <v>4368669</v>
      </c>
      <c r="D14077" s="0" t="s">
        <v>46751</v>
      </c>
      <c r="E14077" s="0" t="s">
        <v>75</v>
      </c>
      <c r="F14077" s="0" t="s">
        <v>15</v>
      </c>
      <c r="G14077" s="0" t="s">
        <v>20</v>
      </c>
      <c r="H14077" s="0" t="n">
        <v>125</v>
      </c>
      <c r="I14077" s="0" t="s">
        <v>46761</v>
      </c>
      <c r="J14077" s="0" t="s">
        <v>46762</v>
      </c>
      <c r="K14077" s="0" t="s">
        <v>46763</v>
      </c>
      <c r="L14077" s="0" t="str">
        <f aca="false">HYPERLINK("https://www.ncbi.nlm.nih.gov/nuccore/CP000058.1?report=graph&amp;tracks=[key:gene_model_track,Options:GeneOnly]&amp;mk=4368526:4368545|offset_1|444444,4368568:4368587|offset_43|444444,4368619:4368638|offset_94|444444,4368650:4368669|offset_125|00cc00&amp;v=4368325:4368869&amp;c=444444", "offset 125")</f>
        <v>offset 125</v>
      </c>
    </row>
    <row r="14078" customFormat="false" ht="12.8" hidden="false" customHeight="false" outlineLevel="0" collapsed="false">
      <c r="A14078" s="0" t="s">
        <v>12</v>
      </c>
      <c r="B14078" s="0" t="n">
        <v>4370111</v>
      </c>
      <c r="C14078" s="0" t="n">
        <v>4370131</v>
      </c>
      <c r="D14078" s="0" t="s">
        <v>46764</v>
      </c>
      <c r="E14078" s="0" t="s">
        <v>46765</v>
      </c>
      <c r="F14078" s="0" t="s">
        <v>90</v>
      </c>
      <c r="G14078" s="0" t="s">
        <v>32</v>
      </c>
      <c r="H14078" s="0" t="n">
        <v>1</v>
      </c>
      <c r="I14078" s="0" t="s">
        <v>46766</v>
      </c>
      <c r="J14078" s="0" t="s">
        <v>46767</v>
      </c>
      <c r="K14078" s="0" t="s">
        <v>46768</v>
      </c>
      <c r="L14078" s="0" t="str">
        <f aca="false">HYPERLINK("https://www.ncbi.nlm.nih.gov/nuccore/CP000058.1?report=graph&amp;tracks=[key:gene_model_track,Options:GeneOnly]&amp;mk=4370112:4370131|offset_1|00cc00,4370091:4370110|offset_22|444444,4370039:4370058|offset_74|444444,4370009:4370028|offset_104|444444&amp;v=4369911:4370228&amp;c=444444", "offset 1")</f>
        <v>offset 1</v>
      </c>
    </row>
    <row r="14079" customFormat="false" ht="12.8" hidden="false" customHeight="false" outlineLevel="0" collapsed="false">
      <c r="A14079" s="0" t="s">
        <v>12</v>
      </c>
      <c r="B14079" s="0" t="n">
        <v>4370090</v>
      </c>
      <c r="C14079" s="0" t="n">
        <v>4370110</v>
      </c>
      <c r="D14079" s="0" t="s">
        <v>46764</v>
      </c>
      <c r="E14079" s="0" t="s">
        <v>46765</v>
      </c>
      <c r="F14079" s="0" t="s">
        <v>90</v>
      </c>
      <c r="G14079" s="0" t="s">
        <v>20</v>
      </c>
      <c r="H14079" s="0" t="n">
        <v>22</v>
      </c>
      <c r="I14079" s="0" t="s">
        <v>46769</v>
      </c>
      <c r="J14079" s="0" t="s">
        <v>46770</v>
      </c>
      <c r="K14079" s="0" t="s">
        <v>46771</v>
      </c>
      <c r="L14079" s="0" t="str">
        <f aca="false">HYPERLINK("https://www.ncbi.nlm.nih.gov/nuccore/CP000058.1?report=graph&amp;tracks=[key:gene_model_track,Options:GeneOnly]&amp;mk=4370112:4370131|offset_1|444444,4370091:4370110|offset_22|00cc00,4370039:4370058|offset_74|444444,4370009:4370028|offset_104|444444&amp;v=4369911:4370228&amp;c=444444", "offset 22")</f>
        <v>offset 22</v>
      </c>
    </row>
    <row r="14080" customFormat="false" ht="12.8" hidden="false" customHeight="false" outlineLevel="0" collapsed="false">
      <c r="A14080" s="0" t="s">
        <v>12</v>
      </c>
      <c r="B14080" s="0" t="n">
        <v>4370038</v>
      </c>
      <c r="C14080" s="0" t="n">
        <v>4370058</v>
      </c>
      <c r="D14080" s="0" t="s">
        <v>46764</v>
      </c>
      <c r="E14080" s="0" t="s">
        <v>46765</v>
      </c>
      <c r="F14080" s="0" t="s">
        <v>90</v>
      </c>
      <c r="G14080" s="0" t="s">
        <v>16</v>
      </c>
      <c r="H14080" s="0" t="n">
        <v>74</v>
      </c>
      <c r="I14080" s="0" t="s">
        <v>46772</v>
      </c>
      <c r="J14080" s="0" t="s">
        <v>46773</v>
      </c>
      <c r="K14080" s="0" t="s">
        <v>46774</v>
      </c>
      <c r="L14080" s="0" t="str">
        <f aca="false">HYPERLINK("https://www.ncbi.nlm.nih.gov/nuccore/CP000058.1?report=graph&amp;tracks=[key:gene_model_track,Options:GeneOnly]&amp;mk=4370112:4370131|offset_1|444444,4370091:4370110|offset_22|444444,4370039:4370058|offset_74|00cc00,4370009:4370028|offset_104|444444&amp;v=4369911:4370228&amp;c=444444", "offset 74")</f>
        <v>offset 74</v>
      </c>
    </row>
    <row r="14081" customFormat="false" ht="12.8" hidden="false" customHeight="false" outlineLevel="0" collapsed="false">
      <c r="A14081" s="0" t="s">
        <v>12</v>
      </c>
      <c r="B14081" s="0" t="n">
        <v>4370008</v>
      </c>
      <c r="C14081" s="0" t="n">
        <v>4370028</v>
      </c>
      <c r="D14081" s="0" t="s">
        <v>46764</v>
      </c>
      <c r="E14081" s="0" t="s">
        <v>46765</v>
      </c>
      <c r="F14081" s="0" t="s">
        <v>90</v>
      </c>
      <c r="G14081" s="0" t="s">
        <v>20</v>
      </c>
      <c r="H14081" s="0" t="n">
        <v>104</v>
      </c>
      <c r="I14081" s="0" t="s">
        <v>46775</v>
      </c>
      <c r="J14081" s="0" t="s">
        <v>46776</v>
      </c>
      <c r="K14081" s="0" t="s">
        <v>46777</v>
      </c>
      <c r="L14081" s="0" t="str">
        <f aca="false">HYPERLINK("https://www.ncbi.nlm.nih.gov/nuccore/CP000058.1?report=graph&amp;tracks=[key:gene_model_track,Options:GeneOnly]&amp;mk=4370112:4370131|offset_1|444444,4370091:4370110|offset_22|444444,4370039:4370058|offset_74|444444,4370009:4370028|offset_104|00cc00&amp;v=4369911:4370228&amp;c=444444", "offset 104")</f>
        <v>offset 104</v>
      </c>
    </row>
    <row r="14082" customFormat="false" ht="12.8" hidden="false" customHeight="false" outlineLevel="0" collapsed="false">
      <c r="A14082" s="0" t="s">
        <v>12</v>
      </c>
      <c r="B14082" s="0" t="n">
        <v>4370392</v>
      </c>
      <c r="C14082" s="0" t="n">
        <v>4370412</v>
      </c>
      <c r="D14082" s="0" t="s">
        <v>46778</v>
      </c>
      <c r="E14082" s="0" t="s">
        <v>46779</v>
      </c>
      <c r="F14082" s="0" t="s">
        <v>90</v>
      </c>
      <c r="G14082" s="0" t="s">
        <v>20</v>
      </c>
      <c r="H14082" s="0" t="n">
        <v>12</v>
      </c>
      <c r="I14082" s="0" t="s">
        <v>46780</v>
      </c>
      <c r="J14082" s="0" t="s">
        <v>46781</v>
      </c>
      <c r="K14082" s="0" t="s">
        <v>46782</v>
      </c>
      <c r="L14082" s="0" t="str">
        <f aca="false">HYPERLINK("https://www.ncbi.nlm.nih.gov/nuccore/CP000058.1?report=graph&amp;tracks=[key:gene_model_track,Options:GeneOnly]&amp;mk=4370393:4370412|offset_12|00cc00,4370373:4370392|offset_32|444444,4370343:4370362|offset_62|444444,4370319:4370338|offset_86|444444&amp;v=4370192:4370538&amp;c=444444", "offset 12")</f>
        <v>offset 12</v>
      </c>
    </row>
    <row r="14083" customFormat="false" ht="12.8" hidden="false" customHeight="false" outlineLevel="0" collapsed="false">
      <c r="A14083" s="0" t="s">
        <v>12</v>
      </c>
      <c r="B14083" s="0" t="n">
        <v>4370372</v>
      </c>
      <c r="C14083" s="0" t="n">
        <v>4370392</v>
      </c>
      <c r="D14083" s="0" t="s">
        <v>46778</v>
      </c>
      <c r="E14083" s="0" t="s">
        <v>46779</v>
      </c>
      <c r="F14083" s="0" t="s">
        <v>90</v>
      </c>
      <c r="G14083" s="0" t="s">
        <v>20</v>
      </c>
      <c r="H14083" s="0" t="n">
        <v>32</v>
      </c>
      <c r="I14083" s="0" t="s">
        <v>46783</v>
      </c>
      <c r="J14083" s="0" t="s">
        <v>46784</v>
      </c>
      <c r="K14083" s="0" t="s">
        <v>46785</v>
      </c>
      <c r="L14083" s="0" t="str">
        <f aca="false">HYPERLINK("https://www.ncbi.nlm.nih.gov/nuccore/CP000058.1?report=graph&amp;tracks=[key:gene_model_track,Options:GeneOnly]&amp;mk=4370393:4370412|offset_12|444444,4370373:4370392|offset_32|00cc00,4370343:4370362|offset_62|444444,4370319:4370338|offset_86|444444&amp;v=4370192:4370538&amp;c=444444", "offset 32")</f>
        <v>offset 32</v>
      </c>
    </row>
    <row r="14084" customFormat="false" ht="12.8" hidden="false" customHeight="false" outlineLevel="0" collapsed="false">
      <c r="A14084" s="0" t="s">
        <v>12</v>
      </c>
      <c r="B14084" s="0" t="n">
        <v>4370342</v>
      </c>
      <c r="C14084" s="0" t="n">
        <v>4370362</v>
      </c>
      <c r="D14084" s="0" t="s">
        <v>46778</v>
      </c>
      <c r="E14084" s="0" t="s">
        <v>46779</v>
      </c>
      <c r="F14084" s="0" t="s">
        <v>90</v>
      </c>
      <c r="G14084" s="0" t="s">
        <v>16</v>
      </c>
      <c r="H14084" s="0" t="n">
        <v>62</v>
      </c>
      <c r="I14084" s="0" t="s">
        <v>46786</v>
      </c>
      <c r="J14084" s="0" t="s">
        <v>46787</v>
      </c>
      <c r="K14084" s="0" t="s">
        <v>46788</v>
      </c>
      <c r="L14084" s="0" t="str">
        <f aca="false">HYPERLINK("https://www.ncbi.nlm.nih.gov/nuccore/CP000058.1?report=graph&amp;tracks=[key:gene_model_track,Options:GeneOnly]&amp;mk=4370393:4370412|offset_12|444444,4370373:4370392|offset_32|444444,4370343:4370362|offset_62|00cc00,4370319:4370338|offset_86|444444&amp;v=4370192:4370538&amp;c=444444", "offset 62")</f>
        <v>offset 62</v>
      </c>
    </row>
    <row r="14085" customFormat="false" ht="12.8" hidden="false" customHeight="false" outlineLevel="0" collapsed="false">
      <c r="A14085" s="0" t="s">
        <v>12</v>
      </c>
      <c r="B14085" s="0" t="n">
        <v>4370318</v>
      </c>
      <c r="C14085" s="0" t="n">
        <v>4370338</v>
      </c>
      <c r="D14085" s="0" t="s">
        <v>46778</v>
      </c>
      <c r="E14085" s="0" t="s">
        <v>46779</v>
      </c>
      <c r="F14085" s="0" t="s">
        <v>90</v>
      </c>
      <c r="G14085" s="0" t="s">
        <v>20</v>
      </c>
      <c r="H14085" s="0" t="n">
        <v>86</v>
      </c>
      <c r="I14085" s="0" t="s">
        <v>46789</v>
      </c>
      <c r="J14085" s="0" t="s">
        <v>46790</v>
      </c>
      <c r="K14085" s="0" t="s">
        <v>46791</v>
      </c>
      <c r="L14085" s="0" t="str">
        <f aca="false">HYPERLINK("https://www.ncbi.nlm.nih.gov/nuccore/CP000058.1?report=graph&amp;tracks=[key:gene_model_track,Options:GeneOnly]&amp;mk=4370393:4370412|offset_12|444444,4370373:4370392|offset_32|444444,4370343:4370362|offset_62|444444,4370319:4370338|offset_86|00cc00&amp;v=4370192:4370538&amp;c=444444", "offset 86")</f>
        <v>offset 86</v>
      </c>
    </row>
    <row r="14086" customFormat="false" ht="12.8" hidden="false" customHeight="false" outlineLevel="0" collapsed="false">
      <c r="A14086" s="0" t="s">
        <v>12</v>
      </c>
      <c r="B14086" s="0" t="n">
        <v>4371835</v>
      </c>
      <c r="C14086" s="0" t="n">
        <v>4371855</v>
      </c>
      <c r="D14086" s="0" t="s">
        <v>46792</v>
      </c>
      <c r="E14086" s="0" t="s">
        <v>46793</v>
      </c>
      <c r="F14086" s="0" t="s">
        <v>90</v>
      </c>
      <c r="G14086" s="0" t="s">
        <v>36</v>
      </c>
      <c r="H14086" s="0" t="n">
        <v>46</v>
      </c>
      <c r="I14086" s="0" t="s">
        <v>46794</v>
      </c>
      <c r="J14086" s="0" t="s">
        <v>46795</v>
      </c>
      <c r="K14086" s="0" t="s">
        <v>46796</v>
      </c>
      <c r="L14086" s="0" t="str">
        <f aca="false">HYPERLINK("https://www.ncbi.nlm.nih.gov/nuccore/CP000058.1?report=graph&amp;tracks=[key:gene_model_track,Options:GeneOnly]&amp;mk=4371836:4371855|offset_46|00cc00,4371802:4371821|offset_80|444444,4371776:4371795|offset_106|444444,4371752:4371771|offset_130|444444&amp;v=4371635:4371971&amp;c=444444", "offset 46")</f>
        <v>offset 46</v>
      </c>
    </row>
    <row r="14087" customFormat="false" ht="12.8" hidden="false" customHeight="false" outlineLevel="0" collapsed="false">
      <c r="A14087" s="0" t="s">
        <v>12</v>
      </c>
      <c r="B14087" s="0" t="n">
        <v>4371801</v>
      </c>
      <c r="C14087" s="0" t="n">
        <v>4371821</v>
      </c>
      <c r="D14087" s="0" t="s">
        <v>46792</v>
      </c>
      <c r="E14087" s="0" t="s">
        <v>46793</v>
      </c>
      <c r="F14087" s="0" t="s">
        <v>90</v>
      </c>
      <c r="G14087" s="0" t="s">
        <v>20</v>
      </c>
      <c r="H14087" s="0" t="n">
        <v>80</v>
      </c>
      <c r="I14087" s="0" t="s">
        <v>46797</v>
      </c>
      <c r="J14087" s="0" t="s">
        <v>46798</v>
      </c>
      <c r="K14087" s="0" t="s">
        <v>46799</v>
      </c>
      <c r="L14087" s="0" t="str">
        <f aca="false">HYPERLINK("https://www.ncbi.nlm.nih.gov/nuccore/CP000058.1?report=graph&amp;tracks=[key:gene_model_track,Options:GeneOnly]&amp;mk=4371836:4371855|offset_46|444444,4371802:4371821|offset_80|00cc00,4371776:4371795|offset_106|444444,4371752:4371771|offset_130|444444&amp;v=4371635:4371971&amp;c=444444", "offset 80")</f>
        <v>offset 80</v>
      </c>
    </row>
    <row r="14088" customFormat="false" ht="12.8" hidden="false" customHeight="false" outlineLevel="0" collapsed="false">
      <c r="A14088" s="0" t="s">
        <v>12</v>
      </c>
      <c r="B14088" s="0" t="n">
        <v>4371775</v>
      </c>
      <c r="C14088" s="0" t="n">
        <v>4371795</v>
      </c>
      <c r="D14088" s="0" t="s">
        <v>46792</v>
      </c>
      <c r="E14088" s="0" t="s">
        <v>46793</v>
      </c>
      <c r="F14088" s="0" t="s">
        <v>90</v>
      </c>
      <c r="G14088" s="0" t="s">
        <v>20</v>
      </c>
      <c r="H14088" s="0" t="n">
        <v>106</v>
      </c>
      <c r="I14088" s="0" t="s">
        <v>46800</v>
      </c>
      <c r="J14088" s="0" t="s">
        <v>46801</v>
      </c>
      <c r="K14088" s="0" t="s">
        <v>46802</v>
      </c>
      <c r="L14088" s="0" t="str">
        <f aca="false">HYPERLINK("https://www.ncbi.nlm.nih.gov/nuccore/CP000058.1?report=graph&amp;tracks=[key:gene_model_track,Options:GeneOnly]&amp;mk=4371836:4371855|offset_46|444444,4371802:4371821|offset_80|444444,4371776:4371795|offset_106|00cc00,4371752:4371771|offset_130|444444&amp;v=4371635:4371971&amp;c=444444", "offset 106")</f>
        <v>offset 106</v>
      </c>
    </row>
    <row r="14089" customFormat="false" ht="12.8" hidden="false" customHeight="false" outlineLevel="0" collapsed="false">
      <c r="A14089" s="0" t="s">
        <v>12</v>
      </c>
      <c r="B14089" s="0" t="n">
        <v>4371751</v>
      </c>
      <c r="C14089" s="0" t="n">
        <v>4371771</v>
      </c>
      <c r="D14089" s="0" t="s">
        <v>46792</v>
      </c>
      <c r="E14089" s="0" t="s">
        <v>46793</v>
      </c>
      <c r="F14089" s="0" t="s">
        <v>90</v>
      </c>
      <c r="G14089" s="0" t="s">
        <v>16</v>
      </c>
      <c r="H14089" s="0" t="n">
        <v>130</v>
      </c>
      <c r="I14089" s="0" t="s">
        <v>46803</v>
      </c>
      <c r="J14089" s="0" t="s">
        <v>46804</v>
      </c>
      <c r="K14089" s="0" t="s">
        <v>46805</v>
      </c>
      <c r="L14089" s="0" t="str">
        <f aca="false">HYPERLINK("https://www.ncbi.nlm.nih.gov/nuccore/CP000058.1?report=graph&amp;tracks=[key:gene_model_track,Options:GeneOnly]&amp;mk=4371836:4371855|offset_46|444444,4371802:4371821|offset_80|444444,4371776:4371795|offset_106|444444,4371752:4371771|offset_130|00cc00&amp;v=4371635:4371971&amp;c=444444", "offset 130")</f>
        <v>offset 130</v>
      </c>
    </row>
    <row r="14090" customFormat="false" ht="12.8" hidden="false" customHeight="false" outlineLevel="0" collapsed="false">
      <c r="A14090" s="0" t="s">
        <v>12</v>
      </c>
      <c r="B14090" s="0" t="n">
        <v>4372774</v>
      </c>
      <c r="C14090" s="0" t="n">
        <v>4372794</v>
      </c>
      <c r="D14090" s="0" t="s">
        <v>46806</v>
      </c>
      <c r="E14090" s="0" t="s">
        <v>46807</v>
      </c>
      <c r="F14090" s="0" t="s">
        <v>90</v>
      </c>
      <c r="G14090" s="0" t="s">
        <v>16</v>
      </c>
      <c r="H14090" s="0" t="n">
        <v>92</v>
      </c>
      <c r="I14090" s="0" t="s">
        <v>46808</v>
      </c>
      <c r="J14090" s="0" t="s">
        <v>46809</v>
      </c>
      <c r="K14090" s="0" t="s">
        <v>46810</v>
      </c>
      <c r="L14090" s="0" t="str">
        <f aca="false">HYPERLINK("https://www.ncbi.nlm.nih.gov/nuccore/CP000058.1?report=graph&amp;tracks=[key:gene_model_track,Options:GeneOnly]&amp;mk=4372775:4372794|offset_92|00cc00,4372731:4372750|offset_136|444444,4372698:4372717|offset_169|444444,4372662:4372681|offset_205|444444&amp;v=4372574:4372881&amp;c=444444", "offset 92")</f>
        <v>offset 92</v>
      </c>
    </row>
    <row r="14091" customFormat="false" ht="12.8" hidden="false" customHeight="false" outlineLevel="0" collapsed="false">
      <c r="A14091" s="0" t="s">
        <v>12</v>
      </c>
      <c r="B14091" s="0" t="n">
        <v>4372730</v>
      </c>
      <c r="C14091" s="0" t="n">
        <v>4372750</v>
      </c>
      <c r="D14091" s="0" t="s">
        <v>46806</v>
      </c>
      <c r="E14091" s="0" t="s">
        <v>46807</v>
      </c>
      <c r="F14091" s="0" t="s">
        <v>90</v>
      </c>
      <c r="G14091" s="0" t="s">
        <v>16</v>
      </c>
      <c r="H14091" s="0" t="n">
        <v>136</v>
      </c>
      <c r="I14091" s="0" t="s">
        <v>46811</v>
      </c>
      <c r="J14091" s="0" t="s">
        <v>46812</v>
      </c>
      <c r="K14091" s="0" t="s">
        <v>46813</v>
      </c>
      <c r="L14091" s="0" t="str">
        <f aca="false">HYPERLINK("https://www.ncbi.nlm.nih.gov/nuccore/CP000058.1?report=graph&amp;tracks=[key:gene_model_track,Options:GeneOnly]&amp;mk=4372775:4372794|offset_92|444444,4372731:4372750|offset_136|00cc00,4372698:4372717|offset_169|444444,4372662:4372681|offset_205|444444&amp;v=4372574:4372881&amp;c=444444", "offset 136")</f>
        <v>offset 136</v>
      </c>
    </row>
    <row r="14092" customFormat="false" ht="12.8" hidden="false" customHeight="false" outlineLevel="0" collapsed="false">
      <c r="A14092" s="0" t="s">
        <v>12</v>
      </c>
      <c r="B14092" s="0" t="n">
        <v>4372697</v>
      </c>
      <c r="C14092" s="0" t="n">
        <v>4372717</v>
      </c>
      <c r="D14092" s="0" t="s">
        <v>46806</v>
      </c>
      <c r="E14092" s="0" t="s">
        <v>46807</v>
      </c>
      <c r="F14092" s="0" t="s">
        <v>90</v>
      </c>
      <c r="G14092" s="0" t="s">
        <v>32</v>
      </c>
      <c r="H14092" s="0" t="n">
        <v>169</v>
      </c>
      <c r="I14092" s="0" t="s">
        <v>46814</v>
      </c>
      <c r="J14092" s="0" t="s">
        <v>46815</v>
      </c>
      <c r="K14092" s="0" t="s">
        <v>46816</v>
      </c>
      <c r="L14092" s="0" t="str">
        <f aca="false">HYPERLINK("https://www.ncbi.nlm.nih.gov/nuccore/CP000058.1?report=graph&amp;tracks=[key:gene_model_track,Options:GeneOnly]&amp;mk=4372775:4372794|offset_92|444444,4372731:4372750|offset_136|444444,4372698:4372717|offset_169|00cc00,4372662:4372681|offset_205|444444&amp;v=4372574:4372881&amp;c=444444", "offset 169")</f>
        <v>offset 169</v>
      </c>
    </row>
    <row r="14093" customFormat="false" ht="12.8" hidden="false" customHeight="false" outlineLevel="0" collapsed="false">
      <c r="A14093" s="0" t="s">
        <v>12</v>
      </c>
      <c r="B14093" s="0" t="n">
        <v>4372661</v>
      </c>
      <c r="C14093" s="0" t="n">
        <v>4372681</v>
      </c>
      <c r="D14093" s="0" t="s">
        <v>46806</v>
      </c>
      <c r="E14093" s="0" t="s">
        <v>46807</v>
      </c>
      <c r="F14093" s="0" t="s">
        <v>90</v>
      </c>
      <c r="G14093" s="0" t="s">
        <v>20</v>
      </c>
      <c r="H14093" s="0" t="n">
        <v>205</v>
      </c>
      <c r="I14093" s="0" t="s">
        <v>46817</v>
      </c>
      <c r="J14093" s="0" t="s">
        <v>46818</v>
      </c>
      <c r="K14093" s="0" t="s">
        <v>46819</v>
      </c>
      <c r="L14093" s="0" t="str">
        <f aca="false">HYPERLINK("https://www.ncbi.nlm.nih.gov/nuccore/CP000058.1?report=graph&amp;tracks=[key:gene_model_track,Options:GeneOnly]&amp;mk=4372775:4372794|offset_92|444444,4372731:4372750|offset_136|444444,4372698:4372717|offset_169|444444,4372662:4372681|offset_205|00cc00&amp;v=4372574:4372881&amp;c=444444", "offset 205")</f>
        <v>offset 205</v>
      </c>
    </row>
    <row r="14094" customFormat="false" ht="12.8" hidden="false" customHeight="false" outlineLevel="0" collapsed="false">
      <c r="A14094" s="0" t="s">
        <v>12</v>
      </c>
      <c r="B14094" s="0" t="n">
        <v>4374451</v>
      </c>
      <c r="C14094" s="0" t="n">
        <v>4374471</v>
      </c>
      <c r="D14094" s="0" t="s">
        <v>46820</v>
      </c>
      <c r="E14094" s="0" t="s">
        <v>46821</v>
      </c>
      <c r="F14094" s="0" t="s">
        <v>90</v>
      </c>
      <c r="G14094" s="0" t="s">
        <v>20</v>
      </c>
      <c r="H14094" s="0" t="n">
        <v>61</v>
      </c>
      <c r="I14094" s="0" t="s">
        <v>46822</v>
      </c>
      <c r="J14094" s="0" t="s">
        <v>46823</v>
      </c>
      <c r="K14094" s="0" t="s">
        <v>46824</v>
      </c>
      <c r="L14094" s="0" t="str">
        <f aca="false">HYPERLINK("https://www.ncbi.nlm.nih.gov/nuccore/CP000058.1?report=graph&amp;tracks=[key:gene_model_track,Options:GeneOnly]&amp;mk=4374452:4374471|offset_61|00cc00,4374430:4374449|offset_83|444444,4374404:4374423|offset_109|444444,4374369:4374388|offset_144|444444&amp;v=4374251:4374588&amp;c=444444", "offset 61")</f>
        <v>offset 61</v>
      </c>
    </row>
    <row r="14095" customFormat="false" ht="12.8" hidden="false" customHeight="false" outlineLevel="0" collapsed="false">
      <c r="A14095" s="0" t="s">
        <v>12</v>
      </c>
      <c r="B14095" s="0" t="n">
        <v>4374429</v>
      </c>
      <c r="C14095" s="0" t="n">
        <v>4374449</v>
      </c>
      <c r="D14095" s="0" t="s">
        <v>46820</v>
      </c>
      <c r="E14095" s="0" t="s">
        <v>46821</v>
      </c>
      <c r="F14095" s="0" t="s">
        <v>90</v>
      </c>
      <c r="G14095" s="0" t="s">
        <v>20</v>
      </c>
      <c r="H14095" s="0" t="n">
        <v>83</v>
      </c>
      <c r="I14095" s="0" t="s">
        <v>46825</v>
      </c>
      <c r="J14095" s="0" t="s">
        <v>46826</v>
      </c>
      <c r="K14095" s="0" t="s">
        <v>46827</v>
      </c>
      <c r="L14095" s="0" t="str">
        <f aca="false">HYPERLINK("https://www.ncbi.nlm.nih.gov/nuccore/CP000058.1?report=graph&amp;tracks=[key:gene_model_track,Options:GeneOnly]&amp;mk=4374452:4374471|offset_61|444444,4374430:4374449|offset_83|00cc00,4374404:4374423|offset_109|444444,4374369:4374388|offset_144|444444&amp;v=4374251:4374588&amp;c=444444", "offset 83")</f>
        <v>offset 83</v>
      </c>
    </row>
    <row r="14096" customFormat="false" ht="12.8" hidden="false" customHeight="false" outlineLevel="0" collapsed="false">
      <c r="A14096" s="0" t="s">
        <v>12</v>
      </c>
      <c r="B14096" s="0" t="n">
        <v>4374403</v>
      </c>
      <c r="C14096" s="0" t="n">
        <v>4374423</v>
      </c>
      <c r="D14096" s="0" t="s">
        <v>46820</v>
      </c>
      <c r="E14096" s="0" t="s">
        <v>46821</v>
      </c>
      <c r="F14096" s="0" t="s">
        <v>90</v>
      </c>
      <c r="G14096" s="0" t="s">
        <v>32</v>
      </c>
      <c r="H14096" s="0" t="n">
        <v>109</v>
      </c>
      <c r="I14096" s="0" t="s">
        <v>46828</v>
      </c>
      <c r="J14096" s="0" t="s">
        <v>46829</v>
      </c>
      <c r="K14096" s="0" t="s">
        <v>46830</v>
      </c>
      <c r="L14096" s="0" t="str">
        <f aca="false">HYPERLINK("https://www.ncbi.nlm.nih.gov/nuccore/CP000058.1?report=graph&amp;tracks=[key:gene_model_track,Options:GeneOnly]&amp;mk=4374452:4374471|offset_61|444444,4374430:4374449|offset_83|444444,4374404:4374423|offset_109|00cc00,4374369:4374388|offset_144|444444&amp;v=4374251:4374588&amp;c=444444", "offset 109")</f>
        <v>offset 109</v>
      </c>
    </row>
    <row r="14097" customFormat="false" ht="12.8" hidden="false" customHeight="false" outlineLevel="0" collapsed="false">
      <c r="A14097" s="0" t="s">
        <v>12</v>
      </c>
      <c r="B14097" s="0" t="n">
        <v>4374368</v>
      </c>
      <c r="C14097" s="0" t="n">
        <v>4374388</v>
      </c>
      <c r="D14097" s="0" t="s">
        <v>46820</v>
      </c>
      <c r="E14097" s="0" t="s">
        <v>46821</v>
      </c>
      <c r="F14097" s="0" t="s">
        <v>90</v>
      </c>
      <c r="G14097" s="0" t="s">
        <v>32</v>
      </c>
      <c r="H14097" s="0" t="n">
        <v>144</v>
      </c>
      <c r="I14097" s="0" t="s">
        <v>46831</v>
      </c>
      <c r="J14097" s="0" t="s">
        <v>46832</v>
      </c>
      <c r="K14097" s="0" t="s">
        <v>46833</v>
      </c>
      <c r="L14097" s="0" t="str">
        <f aca="false">HYPERLINK("https://www.ncbi.nlm.nih.gov/nuccore/CP000058.1?report=graph&amp;tracks=[key:gene_model_track,Options:GeneOnly]&amp;mk=4374452:4374471|offset_61|444444,4374430:4374449|offset_83|444444,4374404:4374423|offset_109|444444,4374369:4374388|offset_144|00cc00&amp;v=4374251:4374588&amp;c=444444", "offset 144")</f>
        <v>offset 144</v>
      </c>
    </row>
    <row r="14098" customFormat="false" ht="12.8" hidden="false" customHeight="false" outlineLevel="0" collapsed="false">
      <c r="A14098" s="0" t="s">
        <v>12</v>
      </c>
      <c r="B14098" s="0" t="n">
        <v>4376113</v>
      </c>
      <c r="C14098" s="0" t="n">
        <v>4376133</v>
      </c>
      <c r="D14098" s="0" t="s">
        <v>46834</v>
      </c>
      <c r="E14098" s="0" t="s">
        <v>46835</v>
      </c>
      <c r="F14098" s="0" t="s">
        <v>90</v>
      </c>
      <c r="G14098" s="0" t="s">
        <v>32</v>
      </c>
      <c r="H14098" s="0" t="n">
        <v>0</v>
      </c>
      <c r="I14098" s="0" t="s">
        <v>46836</v>
      </c>
      <c r="J14098" s="0" t="s">
        <v>46837</v>
      </c>
      <c r="K14098" s="0" t="s">
        <v>46838</v>
      </c>
      <c r="L14098" s="0" t="str">
        <f aca="false">HYPERLINK("https://www.ncbi.nlm.nih.gov/nuccore/CP000058.1?report=graph&amp;tracks=[key:gene_model_track,Options:GeneOnly]&amp;mk=4376114:4376133|offset_0|00cc00,4376082:4376101|offset_32|444444,4376050:4376069|offset_64|444444,4376014:4376033|offset_100|444444&amp;v=4375913:4376233&amp;c=444444", "offset 0")</f>
        <v>offset 0</v>
      </c>
    </row>
    <row r="14099" customFormat="false" ht="12.8" hidden="false" customHeight="false" outlineLevel="0" collapsed="false">
      <c r="A14099" s="0" t="s">
        <v>12</v>
      </c>
      <c r="B14099" s="0" t="n">
        <v>4376081</v>
      </c>
      <c r="C14099" s="0" t="n">
        <v>4376101</v>
      </c>
      <c r="D14099" s="0" t="s">
        <v>46834</v>
      </c>
      <c r="E14099" s="0" t="s">
        <v>46835</v>
      </c>
      <c r="F14099" s="0" t="s">
        <v>90</v>
      </c>
      <c r="G14099" s="0" t="s">
        <v>20</v>
      </c>
      <c r="H14099" s="0" t="n">
        <v>32</v>
      </c>
      <c r="I14099" s="0" t="s">
        <v>46839</v>
      </c>
      <c r="J14099" s="0" t="s">
        <v>46840</v>
      </c>
      <c r="K14099" s="0" t="s">
        <v>46841</v>
      </c>
      <c r="L14099" s="0" t="str">
        <f aca="false">HYPERLINK("https://www.ncbi.nlm.nih.gov/nuccore/CP000058.1?report=graph&amp;tracks=[key:gene_model_track,Options:GeneOnly]&amp;mk=4376114:4376133|offset_0|444444,4376082:4376101|offset_32|00cc00,4376050:4376069|offset_64|444444,4376014:4376033|offset_100|444444&amp;v=4375913:4376233&amp;c=444444", "offset 32")</f>
        <v>offset 32</v>
      </c>
    </row>
    <row r="14100" customFormat="false" ht="12.8" hidden="false" customHeight="false" outlineLevel="0" collapsed="false">
      <c r="A14100" s="0" t="s">
        <v>12</v>
      </c>
      <c r="B14100" s="0" t="n">
        <v>4376049</v>
      </c>
      <c r="C14100" s="0" t="n">
        <v>4376069</v>
      </c>
      <c r="D14100" s="0" t="s">
        <v>46834</v>
      </c>
      <c r="E14100" s="0" t="s">
        <v>46835</v>
      </c>
      <c r="F14100" s="0" t="s">
        <v>90</v>
      </c>
      <c r="G14100" s="0" t="s">
        <v>20</v>
      </c>
      <c r="H14100" s="0" t="n">
        <v>64</v>
      </c>
      <c r="I14100" s="0" t="s">
        <v>46842</v>
      </c>
      <c r="J14100" s="0" t="s">
        <v>46843</v>
      </c>
      <c r="K14100" s="0" t="s">
        <v>46844</v>
      </c>
      <c r="L14100" s="0" t="str">
        <f aca="false">HYPERLINK("https://www.ncbi.nlm.nih.gov/nuccore/CP000058.1?report=graph&amp;tracks=[key:gene_model_track,Options:GeneOnly]&amp;mk=4376114:4376133|offset_0|444444,4376082:4376101|offset_32|444444,4376050:4376069|offset_64|00cc00,4376014:4376033|offset_100|444444&amp;v=4375913:4376233&amp;c=444444", "offset 64")</f>
        <v>offset 64</v>
      </c>
    </row>
    <row r="14101" customFormat="false" ht="12.8" hidden="false" customHeight="false" outlineLevel="0" collapsed="false">
      <c r="A14101" s="0" t="s">
        <v>12</v>
      </c>
      <c r="B14101" s="0" t="n">
        <v>4376013</v>
      </c>
      <c r="C14101" s="0" t="n">
        <v>4376033</v>
      </c>
      <c r="D14101" s="0" t="s">
        <v>46834</v>
      </c>
      <c r="E14101" s="0" t="s">
        <v>46835</v>
      </c>
      <c r="F14101" s="0" t="s">
        <v>90</v>
      </c>
      <c r="G14101" s="0" t="s">
        <v>16</v>
      </c>
      <c r="H14101" s="0" t="n">
        <v>100</v>
      </c>
      <c r="I14101" s="0" t="s">
        <v>46845</v>
      </c>
      <c r="J14101" s="0" t="s">
        <v>46846</v>
      </c>
      <c r="K14101" s="0" t="s">
        <v>46847</v>
      </c>
      <c r="L14101" s="0" t="str">
        <f aca="false">HYPERLINK("https://www.ncbi.nlm.nih.gov/nuccore/CP000058.1?report=graph&amp;tracks=[key:gene_model_track,Options:GeneOnly]&amp;mk=4376114:4376133|offset_0|444444,4376082:4376101|offset_32|444444,4376050:4376069|offset_64|444444,4376014:4376033|offset_100|00cc00&amp;v=4375913:4376233&amp;c=444444", "offset 100")</f>
        <v>offset 100</v>
      </c>
    </row>
    <row r="14102" customFormat="false" ht="12.8" hidden="false" customHeight="false" outlineLevel="0" collapsed="false">
      <c r="A14102" s="0" t="s">
        <v>12</v>
      </c>
      <c r="B14102" s="0" t="n">
        <v>4377213</v>
      </c>
      <c r="C14102" s="0" t="n">
        <v>4377233</v>
      </c>
      <c r="D14102" s="0" t="s">
        <v>46848</v>
      </c>
      <c r="E14102" s="0" t="s">
        <v>46849</v>
      </c>
      <c r="F14102" s="0" t="s">
        <v>90</v>
      </c>
      <c r="G14102" s="0" t="s">
        <v>20</v>
      </c>
      <c r="H14102" s="0" t="n">
        <v>6</v>
      </c>
      <c r="I14102" s="0" t="s">
        <v>46850</v>
      </c>
      <c r="J14102" s="0" t="s">
        <v>46851</v>
      </c>
      <c r="K14102" s="0" t="s">
        <v>46852</v>
      </c>
      <c r="L14102" s="0" t="str">
        <f aca="false">HYPERLINK("https://www.ncbi.nlm.nih.gov/nuccore/CP000058.1?report=graph&amp;tracks=[key:gene_model_track,Options:GeneOnly]&amp;mk=4377214:4377233|offset_6|00cc00,4377181:4377200|offset_39|444444,4377099:4377118|offset_121|444444,4377069:4377088|offset_151|444444&amp;v=4377013:4377288&amp;c=444444", "offset 6")</f>
        <v>offset 6</v>
      </c>
    </row>
    <row r="14103" customFormat="false" ht="12.8" hidden="false" customHeight="false" outlineLevel="0" collapsed="false">
      <c r="A14103" s="0" t="s">
        <v>12</v>
      </c>
      <c r="B14103" s="0" t="n">
        <v>4377180</v>
      </c>
      <c r="C14103" s="0" t="n">
        <v>4377200</v>
      </c>
      <c r="D14103" s="0" t="s">
        <v>46848</v>
      </c>
      <c r="E14103" s="0" t="s">
        <v>46849</v>
      </c>
      <c r="F14103" s="0" t="s">
        <v>90</v>
      </c>
      <c r="G14103" s="0" t="s">
        <v>20</v>
      </c>
      <c r="H14103" s="0" t="n">
        <v>39</v>
      </c>
      <c r="I14103" s="0" t="s">
        <v>46853</v>
      </c>
      <c r="J14103" s="0" t="s">
        <v>46854</v>
      </c>
      <c r="K14103" s="0" t="s">
        <v>46855</v>
      </c>
      <c r="L14103" s="0" t="str">
        <f aca="false">HYPERLINK("https://www.ncbi.nlm.nih.gov/nuccore/CP000058.1?report=graph&amp;tracks=[key:gene_model_track,Options:GeneOnly]&amp;mk=4377214:4377233|offset_6|444444,4377181:4377200|offset_39|00cc00,4377099:4377118|offset_121|444444,4377069:4377088|offset_151|444444&amp;v=4377013:4377288&amp;c=444444", "offset 39")</f>
        <v>offset 39</v>
      </c>
    </row>
    <row r="14104" customFormat="false" ht="12.8" hidden="false" customHeight="false" outlineLevel="0" collapsed="false">
      <c r="A14104" s="0" t="s">
        <v>12</v>
      </c>
      <c r="B14104" s="0" t="n">
        <v>4377098</v>
      </c>
      <c r="C14104" s="0" t="n">
        <v>4377118</v>
      </c>
      <c r="D14104" s="0" t="s">
        <v>46848</v>
      </c>
      <c r="E14104" s="0" t="s">
        <v>46849</v>
      </c>
      <c r="F14104" s="0" t="s">
        <v>90</v>
      </c>
      <c r="G14104" s="0" t="s">
        <v>36</v>
      </c>
      <c r="H14104" s="0" t="n">
        <v>121</v>
      </c>
      <c r="I14104" s="0" t="s">
        <v>46856</v>
      </c>
      <c r="J14104" s="0" t="s">
        <v>46857</v>
      </c>
      <c r="K14104" s="0" t="s">
        <v>46858</v>
      </c>
      <c r="L14104" s="0" t="str">
        <f aca="false">HYPERLINK("https://www.ncbi.nlm.nih.gov/nuccore/CP000058.1?report=graph&amp;tracks=[key:gene_model_track,Options:GeneOnly]&amp;mk=4377214:4377233|offset_6|444444,4377181:4377200|offset_39|444444,4377099:4377118|offset_121|00cc00,4377069:4377088|offset_151|444444&amp;v=4377013:4377288&amp;c=444444", "offset 121")</f>
        <v>offset 121</v>
      </c>
    </row>
    <row r="14105" customFormat="false" ht="12.8" hidden="false" customHeight="false" outlineLevel="0" collapsed="false">
      <c r="A14105" s="0" t="s">
        <v>12</v>
      </c>
      <c r="B14105" s="0" t="n">
        <v>4377068</v>
      </c>
      <c r="C14105" s="0" t="n">
        <v>4377088</v>
      </c>
      <c r="D14105" s="0" t="s">
        <v>46848</v>
      </c>
      <c r="E14105" s="0" t="s">
        <v>46849</v>
      </c>
      <c r="F14105" s="0" t="s">
        <v>90</v>
      </c>
      <c r="G14105" s="0" t="s">
        <v>16</v>
      </c>
      <c r="H14105" s="0" t="n">
        <v>151</v>
      </c>
      <c r="I14105" s="0" t="s">
        <v>46859</v>
      </c>
      <c r="J14105" s="0" t="s">
        <v>46860</v>
      </c>
      <c r="K14105" s="0" t="s">
        <v>46861</v>
      </c>
      <c r="L14105" s="0" t="str">
        <f aca="false">HYPERLINK("https://www.ncbi.nlm.nih.gov/nuccore/CP000058.1?report=graph&amp;tracks=[key:gene_model_track,Options:GeneOnly]&amp;mk=4377214:4377233|offset_6|444444,4377181:4377200|offset_39|444444,4377099:4377118|offset_121|444444,4377069:4377088|offset_151|00cc00&amp;v=4377013:4377288&amp;c=444444", "offset 151")</f>
        <v>offset 151</v>
      </c>
    </row>
    <row r="14106" customFormat="false" ht="12.8" hidden="false" customHeight="false" outlineLevel="0" collapsed="false">
      <c r="A14106" s="0" t="s">
        <v>12</v>
      </c>
      <c r="B14106" s="0" t="n">
        <v>4380862</v>
      </c>
      <c r="C14106" s="0" t="n">
        <v>4380882</v>
      </c>
      <c r="D14106" s="0" t="s">
        <v>46862</v>
      </c>
      <c r="E14106" s="0" t="s">
        <v>46863</v>
      </c>
      <c r="F14106" s="0" t="s">
        <v>90</v>
      </c>
      <c r="G14106" s="0" t="s">
        <v>32</v>
      </c>
      <c r="H14106" s="0" t="n">
        <v>1</v>
      </c>
      <c r="I14106" s="0" t="s">
        <v>46864</v>
      </c>
      <c r="J14106" s="0" t="s">
        <v>46865</v>
      </c>
      <c r="K14106" s="0" t="s">
        <v>46866</v>
      </c>
      <c r="L14106" s="0" t="str">
        <f aca="false">HYPERLINK("https://www.ncbi.nlm.nih.gov/nuccore/CP000058.1?report=graph&amp;tracks=[key:gene_model_track,Options:GeneOnly]&amp;mk=4380863:4380882|offset_1|00cc00,4380827:4380846|offset_37|444444,4380799:4380818|offset_65|444444,4380770:4380789|offset_94|444444&amp;v=4380662:4380989&amp;c=444444", "offset 1")</f>
        <v>offset 1</v>
      </c>
    </row>
    <row r="14107" customFormat="false" ht="12.8" hidden="false" customHeight="false" outlineLevel="0" collapsed="false">
      <c r="A14107" s="0" t="s">
        <v>12</v>
      </c>
      <c r="B14107" s="0" t="n">
        <v>4380826</v>
      </c>
      <c r="C14107" s="0" t="n">
        <v>4380846</v>
      </c>
      <c r="D14107" s="0" t="s">
        <v>46862</v>
      </c>
      <c r="E14107" s="0" t="s">
        <v>46863</v>
      </c>
      <c r="F14107" s="0" t="s">
        <v>90</v>
      </c>
      <c r="G14107" s="0" t="s">
        <v>16</v>
      </c>
      <c r="H14107" s="0" t="n">
        <v>37</v>
      </c>
      <c r="I14107" s="0" t="s">
        <v>46867</v>
      </c>
      <c r="J14107" s="0" t="s">
        <v>46868</v>
      </c>
      <c r="K14107" s="0" t="s">
        <v>46869</v>
      </c>
      <c r="L14107" s="0" t="str">
        <f aca="false">HYPERLINK("https://www.ncbi.nlm.nih.gov/nuccore/CP000058.1?report=graph&amp;tracks=[key:gene_model_track,Options:GeneOnly]&amp;mk=4380863:4380882|offset_1|444444,4380827:4380846|offset_37|00cc00,4380799:4380818|offset_65|444444,4380770:4380789|offset_94|444444&amp;v=4380662:4380989&amp;c=444444", "offset 37")</f>
        <v>offset 37</v>
      </c>
    </row>
    <row r="14108" customFormat="false" ht="12.8" hidden="false" customHeight="false" outlineLevel="0" collapsed="false">
      <c r="A14108" s="0" t="s">
        <v>12</v>
      </c>
      <c r="B14108" s="0" t="n">
        <v>4380798</v>
      </c>
      <c r="C14108" s="0" t="n">
        <v>4380818</v>
      </c>
      <c r="D14108" s="0" t="s">
        <v>46862</v>
      </c>
      <c r="E14108" s="0" t="s">
        <v>46863</v>
      </c>
      <c r="F14108" s="0" t="s">
        <v>90</v>
      </c>
      <c r="G14108" s="0" t="s">
        <v>16</v>
      </c>
      <c r="H14108" s="0" t="n">
        <v>65</v>
      </c>
      <c r="I14108" s="0" t="s">
        <v>46870</v>
      </c>
      <c r="J14108" s="0" t="s">
        <v>46871</v>
      </c>
      <c r="K14108" s="0" t="s">
        <v>46872</v>
      </c>
      <c r="L14108" s="0" t="str">
        <f aca="false">HYPERLINK("https://www.ncbi.nlm.nih.gov/nuccore/CP000058.1?report=graph&amp;tracks=[key:gene_model_track,Options:GeneOnly]&amp;mk=4380863:4380882|offset_1|444444,4380827:4380846|offset_37|444444,4380799:4380818|offset_65|00cc00,4380770:4380789|offset_94|444444&amp;v=4380662:4380989&amp;c=444444", "offset 65")</f>
        <v>offset 65</v>
      </c>
    </row>
    <row r="14109" customFormat="false" ht="12.8" hidden="false" customHeight="false" outlineLevel="0" collapsed="false">
      <c r="A14109" s="0" t="s">
        <v>12</v>
      </c>
      <c r="B14109" s="0" t="n">
        <v>4380769</v>
      </c>
      <c r="C14109" s="0" t="n">
        <v>4380789</v>
      </c>
      <c r="D14109" s="0" t="s">
        <v>46862</v>
      </c>
      <c r="E14109" s="0" t="s">
        <v>46863</v>
      </c>
      <c r="F14109" s="0" t="s">
        <v>90</v>
      </c>
      <c r="G14109" s="0" t="s">
        <v>16</v>
      </c>
      <c r="H14109" s="0" t="n">
        <v>94</v>
      </c>
      <c r="I14109" s="0" t="s">
        <v>46873</v>
      </c>
      <c r="J14109" s="0" t="s">
        <v>46874</v>
      </c>
      <c r="K14109" s="0" t="s">
        <v>46875</v>
      </c>
      <c r="L14109" s="0" t="str">
        <f aca="false">HYPERLINK("https://www.ncbi.nlm.nih.gov/nuccore/CP000058.1?report=graph&amp;tracks=[key:gene_model_track,Options:GeneOnly]&amp;mk=4380863:4380882|offset_1|444444,4380827:4380846|offset_37|444444,4380799:4380818|offset_65|444444,4380770:4380789|offset_94|00cc00&amp;v=4380662:4380989&amp;c=444444", "offset 94")</f>
        <v>offset 94</v>
      </c>
    </row>
    <row r="14110" customFormat="false" ht="12.8" hidden="false" customHeight="false" outlineLevel="0" collapsed="false">
      <c r="A14110" s="0" t="s">
        <v>12</v>
      </c>
      <c r="B14110" s="0" t="n">
        <v>4381589</v>
      </c>
      <c r="C14110" s="0" t="n">
        <v>4381609</v>
      </c>
      <c r="D14110" s="0" t="s">
        <v>46876</v>
      </c>
      <c r="E14110" s="0" t="s">
        <v>46877</v>
      </c>
      <c r="F14110" s="0" t="s">
        <v>90</v>
      </c>
      <c r="G14110" s="0" t="s">
        <v>36</v>
      </c>
      <c r="H14110" s="0" t="n">
        <v>12</v>
      </c>
      <c r="I14110" s="0" t="s">
        <v>46878</v>
      </c>
      <c r="J14110" s="0" t="s">
        <v>46879</v>
      </c>
      <c r="K14110" s="0" t="s">
        <v>46880</v>
      </c>
      <c r="L14110" s="0" t="str">
        <f aca="false">HYPERLINK("https://www.ncbi.nlm.nih.gov/nuccore/CP000058.1?report=graph&amp;tracks=[key:gene_model_track,Options:GeneOnly]&amp;mk=4381590:4381609|offset_12|00cc00,4381522:4381541|offset_80|444444,4381474:4381493|offset_128|444444,4381424:4381443|offset_178|444444&amp;v=4381389:4381643&amp;c=444444", "offset 12")</f>
        <v>offset 12</v>
      </c>
    </row>
    <row r="14111" customFormat="false" ht="12.8" hidden="false" customHeight="false" outlineLevel="0" collapsed="false">
      <c r="A14111" s="0" t="s">
        <v>12</v>
      </c>
      <c r="B14111" s="0" t="n">
        <v>4381521</v>
      </c>
      <c r="C14111" s="0" t="n">
        <v>4381541</v>
      </c>
      <c r="D14111" s="0" t="s">
        <v>46876</v>
      </c>
      <c r="E14111" s="0" t="s">
        <v>46877</v>
      </c>
      <c r="F14111" s="0" t="s">
        <v>90</v>
      </c>
      <c r="G14111" s="0" t="s">
        <v>16</v>
      </c>
      <c r="H14111" s="0" t="n">
        <v>80</v>
      </c>
      <c r="I14111" s="0" t="s">
        <v>46881</v>
      </c>
      <c r="J14111" s="0" t="s">
        <v>46882</v>
      </c>
      <c r="K14111" s="0" t="s">
        <v>46883</v>
      </c>
      <c r="L14111" s="0" t="str">
        <f aca="false">HYPERLINK("https://www.ncbi.nlm.nih.gov/nuccore/CP000058.1?report=graph&amp;tracks=[key:gene_model_track,Options:GeneOnly]&amp;mk=4381590:4381609|offset_12|444444,4381522:4381541|offset_80|00cc00,4381474:4381493|offset_128|444444,4381424:4381443|offset_178|444444&amp;v=4381389:4381643&amp;c=444444", "offset 80")</f>
        <v>offset 80</v>
      </c>
    </row>
    <row r="14112" customFormat="false" ht="12.8" hidden="false" customHeight="false" outlineLevel="0" collapsed="false">
      <c r="A14112" s="0" t="s">
        <v>12</v>
      </c>
      <c r="B14112" s="0" t="n">
        <v>4381473</v>
      </c>
      <c r="C14112" s="0" t="n">
        <v>4381493</v>
      </c>
      <c r="D14112" s="0" t="s">
        <v>46876</v>
      </c>
      <c r="E14112" s="0" t="s">
        <v>46877</v>
      </c>
      <c r="F14112" s="0" t="s">
        <v>90</v>
      </c>
      <c r="G14112" s="0" t="s">
        <v>36</v>
      </c>
      <c r="H14112" s="0" t="n">
        <v>128</v>
      </c>
      <c r="I14112" s="0" t="s">
        <v>46884</v>
      </c>
      <c r="J14112" s="0" t="s">
        <v>46885</v>
      </c>
      <c r="K14112" s="0" t="s">
        <v>46886</v>
      </c>
      <c r="L14112" s="0" t="str">
        <f aca="false">HYPERLINK("https://www.ncbi.nlm.nih.gov/nuccore/CP000058.1?report=graph&amp;tracks=[key:gene_model_track,Options:GeneOnly]&amp;mk=4381590:4381609|offset_12|444444,4381522:4381541|offset_80|444444,4381474:4381493|offset_128|00cc00,4381424:4381443|offset_178|444444&amp;v=4381389:4381643&amp;c=444444", "offset 128")</f>
        <v>offset 128</v>
      </c>
    </row>
    <row r="14113" customFormat="false" ht="12.8" hidden="false" customHeight="false" outlineLevel="0" collapsed="false">
      <c r="A14113" s="0" t="s">
        <v>12</v>
      </c>
      <c r="B14113" s="0" t="n">
        <v>4381423</v>
      </c>
      <c r="C14113" s="0" t="n">
        <v>4381443</v>
      </c>
      <c r="D14113" s="0" t="s">
        <v>46876</v>
      </c>
      <c r="E14113" s="0" t="s">
        <v>46877</v>
      </c>
      <c r="F14113" s="0" t="s">
        <v>90</v>
      </c>
      <c r="G14113" s="0" t="s">
        <v>36</v>
      </c>
      <c r="H14113" s="0" t="n">
        <v>178</v>
      </c>
      <c r="I14113" s="0" t="s">
        <v>46887</v>
      </c>
      <c r="J14113" s="0" t="s">
        <v>46888</v>
      </c>
      <c r="K14113" s="0" t="s">
        <v>46889</v>
      </c>
      <c r="L14113" s="0" t="str">
        <f aca="false">HYPERLINK("https://www.ncbi.nlm.nih.gov/nuccore/CP000058.1?report=graph&amp;tracks=[key:gene_model_track,Options:GeneOnly]&amp;mk=4381590:4381609|offset_12|444444,4381522:4381541|offset_80|444444,4381474:4381493|offset_128|444444,4381424:4381443|offset_178|00cc00&amp;v=4381389:4381643&amp;c=444444", "offset 178")</f>
        <v>offset 178</v>
      </c>
    </row>
    <row r="14114" customFormat="false" ht="12.8" hidden="false" customHeight="false" outlineLevel="0" collapsed="false">
      <c r="A14114" s="0" t="s">
        <v>12</v>
      </c>
      <c r="B14114" s="0" t="n">
        <v>4382733</v>
      </c>
      <c r="C14114" s="0" t="n">
        <v>4382753</v>
      </c>
      <c r="D14114" s="0" t="s">
        <v>46890</v>
      </c>
      <c r="E14114" s="0" t="s">
        <v>46891</v>
      </c>
      <c r="F14114" s="0" t="s">
        <v>90</v>
      </c>
      <c r="G14114" s="0" t="s">
        <v>32</v>
      </c>
      <c r="H14114" s="0" t="n">
        <v>7</v>
      </c>
      <c r="I14114" s="0" t="s">
        <v>46892</v>
      </c>
      <c r="J14114" s="0" t="s">
        <v>46893</v>
      </c>
      <c r="K14114" s="0" t="s">
        <v>46894</v>
      </c>
      <c r="L14114" s="0" t="str">
        <f aca="false">HYPERLINK("https://www.ncbi.nlm.nih.gov/nuccore/CP000058.1?report=graph&amp;tracks=[key:gene_model_track,Options:GeneOnly]&amp;mk=4382734:4382753|offset_7|00cc00,4382695:4382714|offset_46|444444,4382673:4382692|offset_68|444444,4382649:4382668|offset_92|444444&amp;v=4382533:4382868&amp;c=444444", "offset 7")</f>
        <v>offset 7</v>
      </c>
    </row>
    <row r="14115" customFormat="false" ht="12.8" hidden="false" customHeight="false" outlineLevel="0" collapsed="false">
      <c r="A14115" s="0" t="s">
        <v>12</v>
      </c>
      <c r="B14115" s="0" t="n">
        <v>4382694</v>
      </c>
      <c r="C14115" s="0" t="n">
        <v>4382714</v>
      </c>
      <c r="D14115" s="0" t="s">
        <v>46890</v>
      </c>
      <c r="E14115" s="0" t="s">
        <v>46891</v>
      </c>
      <c r="F14115" s="0" t="s">
        <v>90</v>
      </c>
      <c r="G14115" s="0" t="s">
        <v>16</v>
      </c>
      <c r="H14115" s="0" t="n">
        <v>46</v>
      </c>
      <c r="I14115" s="0" t="s">
        <v>46895</v>
      </c>
      <c r="J14115" s="0" t="s">
        <v>46896</v>
      </c>
      <c r="K14115" s="0" t="s">
        <v>46897</v>
      </c>
      <c r="L14115" s="0" t="str">
        <f aca="false">HYPERLINK("https://www.ncbi.nlm.nih.gov/nuccore/CP000058.1?report=graph&amp;tracks=[key:gene_model_track,Options:GeneOnly]&amp;mk=4382734:4382753|offset_7|444444,4382695:4382714|offset_46|00cc00,4382673:4382692|offset_68|444444,4382649:4382668|offset_92|444444&amp;v=4382533:4382868&amp;c=444444", "offset 46")</f>
        <v>offset 46</v>
      </c>
    </row>
    <row r="14116" customFormat="false" ht="12.8" hidden="false" customHeight="false" outlineLevel="0" collapsed="false">
      <c r="A14116" s="0" t="s">
        <v>12</v>
      </c>
      <c r="B14116" s="0" t="n">
        <v>4382672</v>
      </c>
      <c r="C14116" s="0" t="n">
        <v>4382692</v>
      </c>
      <c r="D14116" s="0" t="s">
        <v>46890</v>
      </c>
      <c r="E14116" s="0" t="s">
        <v>46891</v>
      </c>
      <c r="F14116" s="0" t="s">
        <v>90</v>
      </c>
      <c r="G14116" s="0" t="s">
        <v>20</v>
      </c>
      <c r="H14116" s="0" t="n">
        <v>68</v>
      </c>
      <c r="I14116" s="0" t="s">
        <v>46898</v>
      </c>
      <c r="J14116" s="0" t="s">
        <v>46899</v>
      </c>
      <c r="K14116" s="0" t="s">
        <v>46900</v>
      </c>
      <c r="L14116" s="0" t="str">
        <f aca="false">HYPERLINK("https://www.ncbi.nlm.nih.gov/nuccore/CP000058.1?report=graph&amp;tracks=[key:gene_model_track,Options:GeneOnly]&amp;mk=4382734:4382753|offset_7|444444,4382695:4382714|offset_46|444444,4382673:4382692|offset_68|00cc00,4382649:4382668|offset_92|444444&amp;v=4382533:4382868&amp;c=444444", "offset 68")</f>
        <v>offset 68</v>
      </c>
    </row>
    <row r="14117" customFormat="false" ht="12.8" hidden="false" customHeight="false" outlineLevel="0" collapsed="false">
      <c r="A14117" s="0" t="s">
        <v>12</v>
      </c>
      <c r="B14117" s="0" t="n">
        <v>4382648</v>
      </c>
      <c r="C14117" s="0" t="n">
        <v>4382668</v>
      </c>
      <c r="D14117" s="0" t="s">
        <v>46890</v>
      </c>
      <c r="E14117" s="0" t="s">
        <v>46891</v>
      </c>
      <c r="F14117" s="0" t="s">
        <v>90</v>
      </c>
      <c r="G14117" s="0" t="s">
        <v>32</v>
      </c>
      <c r="H14117" s="0" t="n">
        <v>92</v>
      </c>
      <c r="I14117" s="0" t="s">
        <v>46901</v>
      </c>
      <c r="J14117" s="0" t="s">
        <v>46902</v>
      </c>
      <c r="K14117" s="0" t="s">
        <v>46903</v>
      </c>
      <c r="L14117" s="0" t="str">
        <f aca="false">HYPERLINK("https://www.ncbi.nlm.nih.gov/nuccore/CP000058.1?report=graph&amp;tracks=[key:gene_model_track,Options:GeneOnly]&amp;mk=4382734:4382753|offset_7|444444,4382695:4382714|offset_46|444444,4382673:4382692|offset_68|444444,4382649:4382668|offset_92|00cc00&amp;v=4382533:4382868&amp;c=444444", "offset 92")</f>
        <v>offset 92</v>
      </c>
    </row>
    <row r="14118" customFormat="false" ht="12.8" hidden="false" customHeight="false" outlineLevel="0" collapsed="false">
      <c r="A14118" s="0" t="s">
        <v>12</v>
      </c>
      <c r="B14118" s="0" t="n">
        <v>4383502</v>
      </c>
      <c r="C14118" s="0" t="n">
        <v>4383522</v>
      </c>
      <c r="D14118" s="0" t="s">
        <v>46904</v>
      </c>
      <c r="E14118" s="0" t="s">
        <v>46905</v>
      </c>
      <c r="F14118" s="0" t="s">
        <v>90</v>
      </c>
      <c r="G14118" s="0" t="s">
        <v>36</v>
      </c>
      <c r="H14118" s="0" t="n">
        <v>17</v>
      </c>
      <c r="I14118" s="0" t="s">
        <v>46906</v>
      </c>
      <c r="J14118" s="0" t="s">
        <v>46907</v>
      </c>
      <c r="K14118" s="0" t="s">
        <v>46908</v>
      </c>
      <c r="L14118" s="0" t="str">
        <f aca="false">HYPERLINK("https://www.ncbi.nlm.nih.gov/nuccore/CP000058.1?report=graph&amp;tracks=[key:gene_model_track,Options:GeneOnly]&amp;mk=4383503:4383522|offset_17|00cc00,4383468:4383487|offset_52|444444,4383448:4383467|offset_72|444444,4383394:4383413|offset_126|444444&amp;v=4383302:4383613&amp;c=444444", "offset 17")</f>
        <v>offset 17</v>
      </c>
    </row>
    <row r="14119" customFormat="false" ht="12.8" hidden="false" customHeight="false" outlineLevel="0" collapsed="false">
      <c r="A14119" s="0" t="s">
        <v>12</v>
      </c>
      <c r="B14119" s="0" t="n">
        <v>4383467</v>
      </c>
      <c r="C14119" s="0" t="n">
        <v>4383487</v>
      </c>
      <c r="D14119" s="0" t="s">
        <v>46904</v>
      </c>
      <c r="E14119" s="0" t="s">
        <v>46905</v>
      </c>
      <c r="F14119" s="0" t="s">
        <v>90</v>
      </c>
      <c r="G14119" s="0" t="s">
        <v>16</v>
      </c>
      <c r="H14119" s="0" t="n">
        <v>52</v>
      </c>
      <c r="I14119" s="0" t="s">
        <v>46909</v>
      </c>
      <c r="J14119" s="0" t="s">
        <v>46910</v>
      </c>
      <c r="K14119" s="0" t="s">
        <v>46911</v>
      </c>
      <c r="L14119" s="0" t="str">
        <f aca="false">HYPERLINK("https://www.ncbi.nlm.nih.gov/nuccore/CP000058.1?report=graph&amp;tracks=[key:gene_model_track,Options:GeneOnly]&amp;mk=4383503:4383522|offset_17|444444,4383468:4383487|offset_52|00cc00,4383448:4383467|offset_72|444444,4383394:4383413|offset_126|444444&amp;v=4383302:4383613&amp;c=444444", "offset 52")</f>
        <v>offset 52</v>
      </c>
    </row>
    <row r="14120" customFormat="false" ht="12.8" hidden="false" customHeight="false" outlineLevel="0" collapsed="false">
      <c r="A14120" s="0" t="s">
        <v>12</v>
      </c>
      <c r="B14120" s="0" t="n">
        <v>4383447</v>
      </c>
      <c r="C14120" s="0" t="n">
        <v>4383467</v>
      </c>
      <c r="D14120" s="0" t="s">
        <v>46904</v>
      </c>
      <c r="E14120" s="0" t="s">
        <v>46905</v>
      </c>
      <c r="F14120" s="0" t="s">
        <v>90</v>
      </c>
      <c r="G14120" s="0" t="s">
        <v>36</v>
      </c>
      <c r="H14120" s="0" t="n">
        <v>72</v>
      </c>
      <c r="I14120" s="0" t="s">
        <v>46912</v>
      </c>
      <c r="J14120" s="0" t="s">
        <v>46913</v>
      </c>
      <c r="K14120" s="0" t="s">
        <v>46914</v>
      </c>
      <c r="L14120" s="0" t="str">
        <f aca="false">HYPERLINK("https://www.ncbi.nlm.nih.gov/nuccore/CP000058.1?report=graph&amp;tracks=[key:gene_model_track,Options:GeneOnly]&amp;mk=4383503:4383522|offset_17|444444,4383468:4383487|offset_52|444444,4383448:4383467|offset_72|00cc00,4383394:4383413|offset_126|444444&amp;v=4383302:4383613&amp;c=444444", "offset 72")</f>
        <v>offset 72</v>
      </c>
    </row>
    <row r="14121" customFormat="false" ht="12.8" hidden="false" customHeight="false" outlineLevel="0" collapsed="false">
      <c r="A14121" s="0" t="s">
        <v>12</v>
      </c>
      <c r="B14121" s="0" t="n">
        <v>4383393</v>
      </c>
      <c r="C14121" s="0" t="n">
        <v>4383413</v>
      </c>
      <c r="D14121" s="0" t="s">
        <v>46904</v>
      </c>
      <c r="E14121" s="0" t="s">
        <v>46905</v>
      </c>
      <c r="F14121" s="0" t="s">
        <v>90</v>
      </c>
      <c r="G14121" s="0" t="s">
        <v>20</v>
      </c>
      <c r="H14121" s="0" t="n">
        <v>126</v>
      </c>
      <c r="I14121" s="0" t="s">
        <v>46915</v>
      </c>
      <c r="J14121" s="0" t="s">
        <v>46916</v>
      </c>
      <c r="K14121" s="0" t="s">
        <v>46917</v>
      </c>
      <c r="L14121" s="0" t="str">
        <f aca="false">HYPERLINK("https://www.ncbi.nlm.nih.gov/nuccore/CP000058.1?report=graph&amp;tracks=[key:gene_model_track,Options:GeneOnly]&amp;mk=4383503:4383522|offset_17|444444,4383468:4383487|offset_52|444444,4383448:4383467|offset_72|444444,4383394:4383413|offset_126|00cc00&amp;v=4383302:4383613&amp;c=444444", "offset 126")</f>
        <v>offset 126</v>
      </c>
    </row>
    <row r="14122" customFormat="false" ht="12.8" hidden="false" customHeight="false" outlineLevel="0" collapsed="false">
      <c r="A14122" s="0" t="s">
        <v>12</v>
      </c>
      <c r="B14122" s="0" t="n">
        <v>4383924</v>
      </c>
      <c r="C14122" s="0" t="n">
        <v>4383944</v>
      </c>
      <c r="D14122" s="0" t="s">
        <v>46918</v>
      </c>
      <c r="E14122" s="0" t="s">
        <v>46919</v>
      </c>
      <c r="F14122" s="0" t="s">
        <v>90</v>
      </c>
      <c r="G14122" s="0" t="s">
        <v>20</v>
      </c>
      <c r="H14122" s="0" t="n">
        <v>32</v>
      </c>
      <c r="I14122" s="0" t="s">
        <v>46920</v>
      </c>
      <c r="J14122" s="0" t="s">
        <v>46921</v>
      </c>
      <c r="K14122" s="0" t="s">
        <v>46922</v>
      </c>
      <c r="L14122" s="0" t="str">
        <f aca="false">HYPERLINK("https://www.ncbi.nlm.nih.gov/nuccore/CP000058.1?report=graph&amp;tracks=[key:gene_model_track,Options:GeneOnly]&amp;mk=4383925:4383944|offset_32|00cc00,4383904:4383923|offset_53|444444,4383884:4383903|offset_73|444444,4383851:4383870|offset_106|444444&amp;v=4383724:4384070&amp;c=444444", "offset 32")</f>
        <v>offset 32</v>
      </c>
    </row>
    <row r="14123" customFormat="false" ht="12.8" hidden="false" customHeight="false" outlineLevel="0" collapsed="false">
      <c r="A14123" s="0" t="s">
        <v>12</v>
      </c>
      <c r="B14123" s="0" t="n">
        <v>4383903</v>
      </c>
      <c r="C14123" s="0" t="n">
        <v>4383923</v>
      </c>
      <c r="D14123" s="0" t="s">
        <v>46918</v>
      </c>
      <c r="E14123" s="0" t="s">
        <v>46919</v>
      </c>
      <c r="F14123" s="0" t="s">
        <v>90</v>
      </c>
      <c r="G14123" s="0" t="s">
        <v>20</v>
      </c>
      <c r="H14123" s="0" t="n">
        <v>53</v>
      </c>
      <c r="I14123" s="0" t="s">
        <v>46923</v>
      </c>
      <c r="J14123" s="0" t="s">
        <v>46924</v>
      </c>
      <c r="K14123" s="0" t="s">
        <v>46925</v>
      </c>
      <c r="L14123" s="0" t="str">
        <f aca="false">HYPERLINK("https://www.ncbi.nlm.nih.gov/nuccore/CP000058.1?report=graph&amp;tracks=[key:gene_model_track,Options:GeneOnly]&amp;mk=4383925:4383944|offset_32|444444,4383904:4383923|offset_53|00cc00,4383884:4383903|offset_73|444444,4383851:4383870|offset_106|444444&amp;v=4383724:4384070&amp;c=444444", "offset 53")</f>
        <v>offset 53</v>
      </c>
    </row>
    <row r="14124" customFormat="false" ht="12.8" hidden="false" customHeight="false" outlineLevel="0" collapsed="false">
      <c r="A14124" s="0" t="s">
        <v>12</v>
      </c>
      <c r="B14124" s="0" t="n">
        <v>4383883</v>
      </c>
      <c r="C14124" s="0" t="n">
        <v>4383903</v>
      </c>
      <c r="D14124" s="0" t="s">
        <v>46918</v>
      </c>
      <c r="E14124" s="0" t="s">
        <v>46919</v>
      </c>
      <c r="F14124" s="0" t="s">
        <v>90</v>
      </c>
      <c r="G14124" s="0" t="s">
        <v>16</v>
      </c>
      <c r="H14124" s="0" t="n">
        <v>73</v>
      </c>
      <c r="I14124" s="0" t="s">
        <v>46926</v>
      </c>
      <c r="J14124" s="0" t="s">
        <v>46927</v>
      </c>
      <c r="K14124" s="0" t="s">
        <v>46928</v>
      </c>
      <c r="L14124" s="0" t="str">
        <f aca="false">HYPERLINK("https://www.ncbi.nlm.nih.gov/nuccore/CP000058.1?report=graph&amp;tracks=[key:gene_model_track,Options:GeneOnly]&amp;mk=4383925:4383944|offset_32|444444,4383904:4383923|offset_53|444444,4383884:4383903|offset_73|00cc00,4383851:4383870|offset_106|444444&amp;v=4383724:4384070&amp;c=444444", "offset 73")</f>
        <v>offset 73</v>
      </c>
    </row>
    <row r="14125" customFormat="false" ht="12.8" hidden="false" customHeight="false" outlineLevel="0" collapsed="false">
      <c r="A14125" s="0" t="s">
        <v>12</v>
      </c>
      <c r="B14125" s="0" t="n">
        <v>4383850</v>
      </c>
      <c r="C14125" s="0" t="n">
        <v>4383870</v>
      </c>
      <c r="D14125" s="0" t="s">
        <v>46918</v>
      </c>
      <c r="E14125" s="0" t="s">
        <v>46919</v>
      </c>
      <c r="F14125" s="0" t="s">
        <v>90</v>
      </c>
      <c r="G14125" s="0" t="s">
        <v>20</v>
      </c>
      <c r="H14125" s="0" t="n">
        <v>106</v>
      </c>
      <c r="I14125" s="0" t="s">
        <v>46929</v>
      </c>
      <c r="J14125" s="0" t="s">
        <v>46930</v>
      </c>
      <c r="K14125" s="0" t="s">
        <v>46931</v>
      </c>
      <c r="L14125" s="0" t="str">
        <f aca="false">HYPERLINK("https://www.ncbi.nlm.nih.gov/nuccore/CP000058.1?report=graph&amp;tracks=[key:gene_model_track,Options:GeneOnly]&amp;mk=4383925:4383944|offset_32|444444,4383904:4383923|offset_53|444444,4383884:4383903|offset_73|444444,4383851:4383870|offset_106|00cc00&amp;v=4383724:4384070&amp;c=444444", "offset 106")</f>
        <v>offset 106</v>
      </c>
    </row>
    <row r="14126" customFormat="false" ht="12.8" hidden="false" customHeight="false" outlineLevel="0" collapsed="false">
      <c r="A14126" s="0" t="s">
        <v>12</v>
      </c>
      <c r="B14126" s="0" t="n">
        <v>4385120</v>
      </c>
      <c r="C14126" s="0" t="n">
        <v>4385140</v>
      </c>
      <c r="D14126" s="0" t="s">
        <v>46932</v>
      </c>
      <c r="E14126" s="0" t="s">
        <v>46933</v>
      </c>
      <c r="F14126" s="0" t="s">
        <v>90</v>
      </c>
      <c r="G14126" s="0" t="s">
        <v>32</v>
      </c>
      <c r="H14126" s="0" t="n">
        <v>1</v>
      </c>
      <c r="I14126" s="0" t="s">
        <v>46934</v>
      </c>
      <c r="J14126" s="0" t="s">
        <v>46935</v>
      </c>
      <c r="K14126" s="0" t="s">
        <v>46936</v>
      </c>
      <c r="L14126" s="0" t="str">
        <f aca="false">HYPERLINK("https://www.ncbi.nlm.nih.gov/nuccore/CP000058.1?report=graph&amp;tracks=[key:gene_model_track,Options:GeneOnly]&amp;mk=4385121:4385140|offset_1|00cc00,4385096:4385115|offset_26|444444,4385040:4385059|offset_82|444444,4385016:4385035|offset_106|444444&amp;v=4384920:4385235&amp;c=444444", "offset 1")</f>
        <v>offset 1</v>
      </c>
    </row>
    <row r="14127" customFormat="false" ht="12.8" hidden="false" customHeight="false" outlineLevel="0" collapsed="false">
      <c r="A14127" s="0" t="s">
        <v>12</v>
      </c>
      <c r="B14127" s="0" t="n">
        <v>4385095</v>
      </c>
      <c r="C14127" s="0" t="n">
        <v>4385115</v>
      </c>
      <c r="D14127" s="0" t="s">
        <v>46932</v>
      </c>
      <c r="E14127" s="0" t="s">
        <v>46933</v>
      </c>
      <c r="F14127" s="0" t="s">
        <v>90</v>
      </c>
      <c r="G14127" s="0" t="s">
        <v>32</v>
      </c>
      <c r="H14127" s="0" t="n">
        <v>26</v>
      </c>
      <c r="I14127" s="0" t="s">
        <v>46937</v>
      </c>
      <c r="J14127" s="0" t="s">
        <v>46938</v>
      </c>
      <c r="K14127" s="0" t="s">
        <v>46939</v>
      </c>
      <c r="L14127" s="0" t="str">
        <f aca="false">HYPERLINK("https://www.ncbi.nlm.nih.gov/nuccore/CP000058.1?report=graph&amp;tracks=[key:gene_model_track,Options:GeneOnly]&amp;mk=4385121:4385140|offset_1|444444,4385096:4385115|offset_26|00cc00,4385040:4385059|offset_82|444444,4385016:4385035|offset_106|444444&amp;v=4384920:4385235&amp;c=444444", "offset 26")</f>
        <v>offset 26</v>
      </c>
    </row>
    <row r="14128" customFormat="false" ht="12.8" hidden="false" customHeight="false" outlineLevel="0" collapsed="false">
      <c r="A14128" s="0" t="s">
        <v>12</v>
      </c>
      <c r="B14128" s="0" t="n">
        <v>4385039</v>
      </c>
      <c r="C14128" s="0" t="n">
        <v>4385059</v>
      </c>
      <c r="D14128" s="0" t="s">
        <v>46932</v>
      </c>
      <c r="E14128" s="0" t="s">
        <v>46933</v>
      </c>
      <c r="F14128" s="0" t="s">
        <v>90</v>
      </c>
      <c r="G14128" s="0" t="s">
        <v>16</v>
      </c>
      <c r="H14128" s="0" t="n">
        <v>82</v>
      </c>
      <c r="I14128" s="0" t="s">
        <v>46940</v>
      </c>
      <c r="J14128" s="0" t="s">
        <v>46941</v>
      </c>
      <c r="K14128" s="0" t="s">
        <v>46942</v>
      </c>
      <c r="L14128" s="0" t="str">
        <f aca="false">HYPERLINK("https://www.ncbi.nlm.nih.gov/nuccore/CP000058.1?report=graph&amp;tracks=[key:gene_model_track,Options:GeneOnly]&amp;mk=4385121:4385140|offset_1|444444,4385096:4385115|offset_26|444444,4385040:4385059|offset_82|00cc00,4385016:4385035|offset_106|444444&amp;v=4384920:4385235&amp;c=444444", "offset 82")</f>
        <v>offset 82</v>
      </c>
    </row>
    <row r="14129" customFormat="false" ht="12.8" hidden="false" customHeight="false" outlineLevel="0" collapsed="false">
      <c r="A14129" s="0" t="s">
        <v>12</v>
      </c>
      <c r="B14129" s="0" t="n">
        <v>4385015</v>
      </c>
      <c r="C14129" s="0" t="n">
        <v>4385035</v>
      </c>
      <c r="D14129" s="0" t="s">
        <v>46932</v>
      </c>
      <c r="E14129" s="0" t="s">
        <v>46933</v>
      </c>
      <c r="F14129" s="0" t="s">
        <v>90</v>
      </c>
      <c r="G14129" s="0" t="s">
        <v>16</v>
      </c>
      <c r="H14129" s="0" t="n">
        <v>106</v>
      </c>
      <c r="I14129" s="0" t="s">
        <v>46943</v>
      </c>
      <c r="J14129" s="0" t="s">
        <v>46944</v>
      </c>
      <c r="K14129" s="0" t="s">
        <v>46945</v>
      </c>
      <c r="L14129" s="0" t="str">
        <f aca="false">HYPERLINK("https://www.ncbi.nlm.nih.gov/nuccore/CP000058.1?report=graph&amp;tracks=[key:gene_model_track,Options:GeneOnly]&amp;mk=4385121:4385140|offset_1|444444,4385096:4385115|offset_26|444444,4385040:4385059|offset_82|444444,4385016:4385035|offset_106|00cc00&amp;v=4384920:4385235&amp;c=444444", "offset 106")</f>
        <v>offset 106</v>
      </c>
    </row>
    <row r="14130" customFormat="false" ht="12.8" hidden="false" customHeight="false" outlineLevel="0" collapsed="false">
      <c r="A14130" s="0" t="s">
        <v>12</v>
      </c>
      <c r="B14130" s="0" t="n">
        <v>4385590</v>
      </c>
      <c r="C14130" s="0" t="n">
        <v>4385610</v>
      </c>
      <c r="D14130" s="0" t="s">
        <v>46946</v>
      </c>
      <c r="E14130" s="0" t="s">
        <v>75</v>
      </c>
      <c r="F14130" s="0" t="s">
        <v>90</v>
      </c>
      <c r="G14130" s="0" t="s">
        <v>16</v>
      </c>
      <c r="H14130" s="0" t="n">
        <v>37</v>
      </c>
      <c r="I14130" s="0" t="s">
        <v>46947</v>
      </c>
      <c r="J14130" s="0" t="s">
        <v>46948</v>
      </c>
      <c r="K14130" s="0" t="s">
        <v>46949</v>
      </c>
      <c r="L14130" s="0" t="str">
        <f aca="false">HYPERLINK("https://www.ncbi.nlm.nih.gov/nuccore/CP000058.1?report=graph&amp;tracks=[key:gene_model_track,Options:GeneOnly]&amp;mk=4385591:4385610|offset_37|00cc00,4385564:4385583|offset_64|444444,4385528:4385547|offset_100|444444,4385507:4385526|offset_121|444444&amp;v=4385390:4385726&amp;c=444444", "offset 37")</f>
        <v>offset 37</v>
      </c>
    </row>
    <row r="14131" customFormat="false" ht="12.8" hidden="false" customHeight="false" outlineLevel="0" collapsed="false">
      <c r="A14131" s="0" t="s">
        <v>12</v>
      </c>
      <c r="B14131" s="0" t="n">
        <v>4385563</v>
      </c>
      <c r="C14131" s="0" t="n">
        <v>4385583</v>
      </c>
      <c r="D14131" s="0" t="s">
        <v>46946</v>
      </c>
      <c r="E14131" s="0" t="s">
        <v>75</v>
      </c>
      <c r="F14131" s="0" t="s">
        <v>90</v>
      </c>
      <c r="G14131" s="0" t="s">
        <v>16</v>
      </c>
      <c r="H14131" s="0" t="n">
        <v>64</v>
      </c>
      <c r="I14131" s="0" t="s">
        <v>46950</v>
      </c>
      <c r="J14131" s="0" t="s">
        <v>46951</v>
      </c>
      <c r="K14131" s="0" t="s">
        <v>46952</v>
      </c>
      <c r="L14131" s="0" t="str">
        <f aca="false">HYPERLINK("https://www.ncbi.nlm.nih.gov/nuccore/CP000058.1?report=graph&amp;tracks=[key:gene_model_track,Options:GeneOnly]&amp;mk=4385591:4385610|offset_37|444444,4385564:4385583|offset_64|00cc00,4385528:4385547|offset_100|444444,4385507:4385526|offset_121|444444&amp;v=4385390:4385726&amp;c=444444", "offset 64")</f>
        <v>offset 64</v>
      </c>
    </row>
    <row r="14132" customFormat="false" ht="12.8" hidden="false" customHeight="false" outlineLevel="0" collapsed="false">
      <c r="A14132" s="0" t="s">
        <v>12</v>
      </c>
      <c r="B14132" s="0" t="n">
        <v>4385527</v>
      </c>
      <c r="C14132" s="0" t="n">
        <v>4385547</v>
      </c>
      <c r="D14132" s="0" t="s">
        <v>46946</v>
      </c>
      <c r="E14132" s="0" t="s">
        <v>75</v>
      </c>
      <c r="F14132" s="0" t="s">
        <v>90</v>
      </c>
      <c r="G14132" s="0" t="s">
        <v>20</v>
      </c>
      <c r="H14132" s="0" t="n">
        <v>100</v>
      </c>
      <c r="I14132" s="0" t="s">
        <v>46953</v>
      </c>
      <c r="J14132" s="0" t="s">
        <v>46954</v>
      </c>
      <c r="K14132" s="0" t="s">
        <v>46955</v>
      </c>
      <c r="L14132" s="0" t="str">
        <f aca="false">HYPERLINK("https://www.ncbi.nlm.nih.gov/nuccore/CP000058.1?report=graph&amp;tracks=[key:gene_model_track,Options:GeneOnly]&amp;mk=4385591:4385610|offset_37|444444,4385564:4385583|offset_64|444444,4385528:4385547|offset_100|00cc00,4385507:4385526|offset_121|444444&amp;v=4385390:4385726&amp;c=444444", "offset 100")</f>
        <v>offset 100</v>
      </c>
    </row>
    <row r="14133" customFormat="false" ht="12.8" hidden="false" customHeight="false" outlineLevel="0" collapsed="false">
      <c r="A14133" s="0" t="s">
        <v>12</v>
      </c>
      <c r="B14133" s="0" t="n">
        <v>4385506</v>
      </c>
      <c r="C14133" s="0" t="n">
        <v>4385526</v>
      </c>
      <c r="D14133" s="0" t="s">
        <v>46946</v>
      </c>
      <c r="E14133" s="0" t="s">
        <v>75</v>
      </c>
      <c r="F14133" s="0" t="s">
        <v>90</v>
      </c>
      <c r="G14133" s="0" t="s">
        <v>32</v>
      </c>
      <c r="H14133" s="0" t="n">
        <v>121</v>
      </c>
      <c r="I14133" s="0" t="s">
        <v>46956</v>
      </c>
      <c r="J14133" s="0" t="s">
        <v>46957</v>
      </c>
      <c r="K14133" s="0" t="s">
        <v>46958</v>
      </c>
      <c r="L14133" s="0" t="str">
        <f aca="false">HYPERLINK("https://www.ncbi.nlm.nih.gov/nuccore/CP000058.1?report=graph&amp;tracks=[key:gene_model_track,Options:GeneOnly]&amp;mk=4385591:4385610|offset_37|444444,4385564:4385583|offset_64|444444,4385528:4385547|offset_100|444444,4385507:4385526|offset_121|00cc00&amp;v=4385390:4385726&amp;c=444444", "offset 121")</f>
        <v>offset 121</v>
      </c>
    </row>
    <row r="14134" customFormat="false" ht="12.8" hidden="false" customHeight="false" outlineLevel="0" collapsed="false">
      <c r="A14134" s="0" t="s">
        <v>12</v>
      </c>
      <c r="B14134" s="0" t="n">
        <v>4388014</v>
      </c>
      <c r="C14134" s="0" t="n">
        <v>4388034</v>
      </c>
      <c r="D14134" s="0" t="s">
        <v>46959</v>
      </c>
      <c r="E14134" s="0" t="s">
        <v>75</v>
      </c>
      <c r="F14134" s="0" t="s">
        <v>90</v>
      </c>
      <c r="G14134" s="0" t="s">
        <v>16</v>
      </c>
      <c r="H14134" s="0" t="n">
        <v>34</v>
      </c>
      <c r="I14134" s="0" t="s">
        <v>46960</v>
      </c>
      <c r="J14134" s="0" t="s">
        <v>46961</v>
      </c>
      <c r="K14134" s="0" t="s">
        <v>46962</v>
      </c>
      <c r="L14134" s="0" t="str">
        <f aca="false">HYPERLINK("https://www.ncbi.nlm.nih.gov/nuccore/CP000058.1?report=graph&amp;tracks=[key:gene_model_track,Options:GeneOnly]&amp;mk=4388015:4388034|offset_34|00cc00,4387988:4388007|offset_61|444444,4387951:4387970|offset_98|444444,4387911:4387930|offset_138|444444&amp;v=4387814:4388130&amp;c=444444", "offset 34")</f>
        <v>offset 34</v>
      </c>
    </row>
    <row r="14135" customFormat="false" ht="12.8" hidden="false" customHeight="false" outlineLevel="0" collapsed="false">
      <c r="A14135" s="0" t="s">
        <v>12</v>
      </c>
      <c r="B14135" s="0" t="n">
        <v>4387987</v>
      </c>
      <c r="C14135" s="0" t="n">
        <v>4388007</v>
      </c>
      <c r="D14135" s="0" t="s">
        <v>46959</v>
      </c>
      <c r="E14135" s="0" t="s">
        <v>75</v>
      </c>
      <c r="F14135" s="0" t="s">
        <v>90</v>
      </c>
      <c r="G14135" s="0" t="s">
        <v>16</v>
      </c>
      <c r="H14135" s="0" t="n">
        <v>61</v>
      </c>
      <c r="I14135" s="0" t="s">
        <v>46963</v>
      </c>
      <c r="J14135" s="0" t="s">
        <v>46964</v>
      </c>
      <c r="K14135" s="0" t="s">
        <v>46965</v>
      </c>
      <c r="L14135" s="0" t="str">
        <f aca="false">HYPERLINK("https://www.ncbi.nlm.nih.gov/nuccore/CP000058.1?report=graph&amp;tracks=[key:gene_model_track,Options:GeneOnly]&amp;mk=4388015:4388034|offset_34|444444,4387988:4388007|offset_61|00cc00,4387951:4387970|offset_98|444444,4387911:4387930|offset_138|444444&amp;v=4387814:4388130&amp;c=444444", "offset 61")</f>
        <v>offset 61</v>
      </c>
    </row>
    <row r="14136" customFormat="false" ht="12.8" hidden="false" customHeight="false" outlineLevel="0" collapsed="false">
      <c r="A14136" s="0" t="s">
        <v>12</v>
      </c>
      <c r="B14136" s="0" t="n">
        <v>4387950</v>
      </c>
      <c r="C14136" s="0" t="n">
        <v>4387970</v>
      </c>
      <c r="D14136" s="0" t="s">
        <v>46959</v>
      </c>
      <c r="E14136" s="0" t="s">
        <v>75</v>
      </c>
      <c r="F14136" s="0" t="s">
        <v>90</v>
      </c>
      <c r="G14136" s="0" t="s">
        <v>20</v>
      </c>
      <c r="H14136" s="0" t="n">
        <v>98</v>
      </c>
      <c r="I14136" s="0" t="s">
        <v>46966</v>
      </c>
      <c r="J14136" s="0" t="s">
        <v>46967</v>
      </c>
      <c r="K14136" s="0" t="s">
        <v>46968</v>
      </c>
      <c r="L14136" s="0" t="str">
        <f aca="false">HYPERLINK("https://www.ncbi.nlm.nih.gov/nuccore/CP000058.1?report=graph&amp;tracks=[key:gene_model_track,Options:GeneOnly]&amp;mk=4388015:4388034|offset_34|444444,4387988:4388007|offset_61|444444,4387951:4387970|offset_98|00cc00,4387911:4387930|offset_138|444444&amp;v=4387814:4388130&amp;c=444444", "offset 98")</f>
        <v>offset 98</v>
      </c>
    </row>
    <row r="14137" customFormat="false" ht="12.8" hidden="false" customHeight="false" outlineLevel="0" collapsed="false">
      <c r="A14137" s="0" t="s">
        <v>12</v>
      </c>
      <c r="B14137" s="0" t="n">
        <v>4387910</v>
      </c>
      <c r="C14137" s="0" t="n">
        <v>4387930</v>
      </c>
      <c r="D14137" s="0" t="s">
        <v>46959</v>
      </c>
      <c r="E14137" s="0" t="s">
        <v>75</v>
      </c>
      <c r="F14137" s="0" t="s">
        <v>90</v>
      </c>
      <c r="G14137" s="0" t="s">
        <v>16</v>
      </c>
      <c r="H14137" s="0" t="n">
        <v>138</v>
      </c>
      <c r="I14137" s="0" t="s">
        <v>46969</v>
      </c>
      <c r="J14137" s="0" t="s">
        <v>46970</v>
      </c>
      <c r="K14137" s="0" t="s">
        <v>46971</v>
      </c>
      <c r="L14137" s="0" t="str">
        <f aca="false">HYPERLINK("https://www.ncbi.nlm.nih.gov/nuccore/CP000058.1?report=graph&amp;tracks=[key:gene_model_track,Options:GeneOnly]&amp;mk=4388015:4388034|offset_34|444444,4387988:4388007|offset_61|444444,4387951:4387970|offset_98|444444,4387911:4387930|offset_138|00cc00&amp;v=4387814:4388130&amp;c=444444", "offset 138")</f>
        <v>offset 138</v>
      </c>
    </row>
    <row r="14138" customFormat="false" ht="12.8" hidden="false" customHeight="false" outlineLevel="0" collapsed="false">
      <c r="A14138" s="0" t="s">
        <v>12</v>
      </c>
      <c r="B14138" s="0" t="n">
        <v>4389444</v>
      </c>
      <c r="C14138" s="0" t="n">
        <v>4389464</v>
      </c>
      <c r="D14138" s="0" t="s">
        <v>46972</v>
      </c>
      <c r="E14138" s="0" t="s">
        <v>75</v>
      </c>
      <c r="F14138" s="0" t="s">
        <v>90</v>
      </c>
      <c r="G14138" s="0" t="s">
        <v>36</v>
      </c>
      <c r="H14138" s="0" t="n">
        <v>31</v>
      </c>
      <c r="I14138" s="0" t="s">
        <v>46973</v>
      </c>
      <c r="J14138" s="0" t="s">
        <v>46974</v>
      </c>
      <c r="K14138" s="0" t="s">
        <v>46975</v>
      </c>
      <c r="L14138" s="0" t="str">
        <f aca="false">HYPERLINK("https://www.ncbi.nlm.nih.gov/nuccore/CP000058.1?report=graph&amp;tracks=[key:gene_model_track,Options:GeneOnly]&amp;mk=4389445:4389464|offset_31|00cc00,4389418:4389437|offset_58|444444,4389388:4389407|offset_88|444444,4389338:4389357|offset_138|444444&amp;v=4389244:4389557&amp;c=444444", "offset 31")</f>
        <v>offset 31</v>
      </c>
    </row>
    <row r="14139" customFormat="false" ht="12.8" hidden="false" customHeight="false" outlineLevel="0" collapsed="false">
      <c r="A14139" s="0" t="s">
        <v>12</v>
      </c>
      <c r="B14139" s="0" t="n">
        <v>4389417</v>
      </c>
      <c r="C14139" s="0" t="n">
        <v>4389437</v>
      </c>
      <c r="D14139" s="0" t="s">
        <v>46972</v>
      </c>
      <c r="E14139" s="0" t="s">
        <v>75</v>
      </c>
      <c r="F14139" s="0" t="s">
        <v>90</v>
      </c>
      <c r="G14139" s="0" t="s">
        <v>20</v>
      </c>
      <c r="H14139" s="0" t="n">
        <v>58</v>
      </c>
      <c r="I14139" s="0" t="s">
        <v>46976</v>
      </c>
      <c r="J14139" s="0" t="s">
        <v>46977</v>
      </c>
      <c r="K14139" s="0" t="s">
        <v>46978</v>
      </c>
      <c r="L14139" s="0" t="str">
        <f aca="false">HYPERLINK("https://www.ncbi.nlm.nih.gov/nuccore/CP000058.1?report=graph&amp;tracks=[key:gene_model_track,Options:GeneOnly]&amp;mk=4389445:4389464|offset_31|444444,4389418:4389437|offset_58|00cc00,4389388:4389407|offset_88|444444,4389338:4389357|offset_138|444444&amp;v=4389244:4389557&amp;c=444444", "offset 58")</f>
        <v>offset 58</v>
      </c>
    </row>
    <row r="14140" customFormat="false" ht="12.8" hidden="false" customHeight="false" outlineLevel="0" collapsed="false">
      <c r="A14140" s="0" t="s">
        <v>12</v>
      </c>
      <c r="B14140" s="0" t="n">
        <v>4389387</v>
      </c>
      <c r="C14140" s="0" t="n">
        <v>4389407</v>
      </c>
      <c r="D14140" s="0" t="s">
        <v>46972</v>
      </c>
      <c r="E14140" s="0" t="s">
        <v>75</v>
      </c>
      <c r="F14140" s="0" t="s">
        <v>90</v>
      </c>
      <c r="G14140" s="0" t="s">
        <v>32</v>
      </c>
      <c r="H14140" s="0" t="n">
        <v>88</v>
      </c>
      <c r="I14140" s="0" t="s">
        <v>46979</v>
      </c>
      <c r="J14140" s="0" t="s">
        <v>46980</v>
      </c>
      <c r="K14140" s="0" t="s">
        <v>46981</v>
      </c>
      <c r="L14140" s="0" t="str">
        <f aca="false">HYPERLINK("https://www.ncbi.nlm.nih.gov/nuccore/CP000058.1?report=graph&amp;tracks=[key:gene_model_track,Options:GeneOnly]&amp;mk=4389445:4389464|offset_31|444444,4389418:4389437|offset_58|444444,4389388:4389407|offset_88|00cc00,4389338:4389357|offset_138|444444&amp;v=4389244:4389557&amp;c=444444", "offset 88")</f>
        <v>offset 88</v>
      </c>
    </row>
    <row r="14141" customFormat="false" ht="12.8" hidden="false" customHeight="false" outlineLevel="0" collapsed="false">
      <c r="A14141" s="0" t="s">
        <v>12</v>
      </c>
      <c r="B14141" s="0" t="n">
        <v>4389337</v>
      </c>
      <c r="C14141" s="0" t="n">
        <v>4389357</v>
      </c>
      <c r="D14141" s="0" t="s">
        <v>46972</v>
      </c>
      <c r="E14141" s="0" t="s">
        <v>75</v>
      </c>
      <c r="F14141" s="0" t="s">
        <v>90</v>
      </c>
      <c r="G14141" s="0" t="s">
        <v>20</v>
      </c>
      <c r="H14141" s="0" t="n">
        <v>138</v>
      </c>
      <c r="I14141" s="0" t="s">
        <v>46982</v>
      </c>
      <c r="J14141" s="0" t="s">
        <v>46983</v>
      </c>
      <c r="K14141" s="0" t="s">
        <v>46984</v>
      </c>
      <c r="L14141" s="0" t="str">
        <f aca="false">HYPERLINK("https://www.ncbi.nlm.nih.gov/nuccore/CP000058.1?report=graph&amp;tracks=[key:gene_model_track,Options:GeneOnly]&amp;mk=4389445:4389464|offset_31|444444,4389418:4389437|offset_58|444444,4389388:4389407|offset_88|444444,4389338:4389357|offset_138|00cc00&amp;v=4389244:4389557&amp;c=444444", "offset 138")</f>
        <v>offset 138</v>
      </c>
    </row>
    <row r="14142" customFormat="false" ht="12.8" hidden="false" customHeight="false" outlineLevel="0" collapsed="false">
      <c r="A14142" s="0" t="s">
        <v>12</v>
      </c>
      <c r="B14142" s="0" t="n">
        <v>4390771</v>
      </c>
      <c r="C14142" s="0" t="n">
        <v>4390791</v>
      </c>
      <c r="D14142" s="0" t="s">
        <v>46985</v>
      </c>
      <c r="E14142" s="0" t="s">
        <v>46986</v>
      </c>
      <c r="F14142" s="0" t="s">
        <v>90</v>
      </c>
      <c r="G14142" s="0" t="s">
        <v>16</v>
      </c>
      <c r="H14142" s="0" t="n">
        <v>12</v>
      </c>
      <c r="I14142" s="0" t="s">
        <v>46987</v>
      </c>
      <c r="J14142" s="0" t="s">
        <v>46988</v>
      </c>
      <c r="K14142" s="0" t="s">
        <v>46989</v>
      </c>
      <c r="L14142" s="0" t="str">
        <f aca="false">HYPERLINK("https://www.ncbi.nlm.nih.gov/nuccore/CP000058.1?report=graph&amp;tracks=[key:gene_model_track,Options:GeneOnly]&amp;mk=4390772:4390791|offset_12|00cc00,4390747:4390766|offset_37|444444,4390700:4390719|offset_84|444444,4390642:4390661|offset_142|444444&amp;v=4390571:4390861&amp;c=444444", "offset 12")</f>
        <v>offset 12</v>
      </c>
    </row>
    <row r="14143" customFormat="false" ht="12.8" hidden="false" customHeight="false" outlineLevel="0" collapsed="false">
      <c r="A14143" s="0" t="s">
        <v>12</v>
      </c>
      <c r="B14143" s="0" t="n">
        <v>4390746</v>
      </c>
      <c r="C14143" s="0" t="n">
        <v>4390766</v>
      </c>
      <c r="D14143" s="0" t="s">
        <v>46985</v>
      </c>
      <c r="E14143" s="0" t="s">
        <v>46986</v>
      </c>
      <c r="F14143" s="0" t="s">
        <v>90</v>
      </c>
      <c r="G14143" s="0" t="s">
        <v>32</v>
      </c>
      <c r="H14143" s="0" t="n">
        <v>37</v>
      </c>
      <c r="I14143" s="0" t="s">
        <v>46990</v>
      </c>
      <c r="J14143" s="0" t="s">
        <v>46991</v>
      </c>
      <c r="K14143" s="0" t="s">
        <v>46992</v>
      </c>
      <c r="L14143" s="0" t="str">
        <f aca="false">HYPERLINK("https://www.ncbi.nlm.nih.gov/nuccore/CP000058.1?report=graph&amp;tracks=[key:gene_model_track,Options:GeneOnly]&amp;mk=4390772:4390791|offset_12|444444,4390747:4390766|offset_37|00cc00,4390700:4390719|offset_84|444444,4390642:4390661|offset_142|444444&amp;v=4390571:4390861&amp;c=444444", "offset 37")</f>
        <v>offset 37</v>
      </c>
    </row>
    <row r="14144" customFormat="false" ht="12.8" hidden="false" customHeight="false" outlineLevel="0" collapsed="false">
      <c r="A14144" s="0" t="s">
        <v>12</v>
      </c>
      <c r="B14144" s="0" t="n">
        <v>4390699</v>
      </c>
      <c r="C14144" s="0" t="n">
        <v>4390719</v>
      </c>
      <c r="D14144" s="0" t="s">
        <v>46985</v>
      </c>
      <c r="E14144" s="0" t="s">
        <v>46986</v>
      </c>
      <c r="F14144" s="0" t="s">
        <v>90</v>
      </c>
      <c r="G14144" s="0" t="s">
        <v>20</v>
      </c>
      <c r="H14144" s="0" t="n">
        <v>84</v>
      </c>
      <c r="I14144" s="0" t="s">
        <v>46993</v>
      </c>
      <c r="J14144" s="0" t="s">
        <v>46994</v>
      </c>
      <c r="K14144" s="0" t="s">
        <v>46995</v>
      </c>
      <c r="L14144" s="0" t="str">
        <f aca="false">HYPERLINK("https://www.ncbi.nlm.nih.gov/nuccore/CP000058.1?report=graph&amp;tracks=[key:gene_model_track,Options:GeneOnly]&amp;mk=4390772:4390791|offset_12|444444,4390747:4390766|offset_37|444444,4390700:4390719|offset_84|00cc00,4390642:4390661|offset_142|444444&amp;v=4390571:4390861&amp;c=444444", "offset 84")</f>
        <v>offset 84</v>
      </c>
    </row>
    <row r="14145" customFormat="false" ht="12.8" hidden="false" customHeight="false" outlineLevel="0" collapsed="false">
      <c r="A14145" s="0" t="s">
        <v>12</v>
      </c>
      <c r="B14145" s="0" t="n">
        <v>4390641</v>
      </c>
      <c r="C14145" s="0" t="n">
        <v>4390661</v>
      </c>
      <c r="D14145" s="0" t="s">
        <v>46985</v>
      </c>
      <c r="E14145" s="0" t="s">
        <v>46986</v>
      </c>
      <c r="F14145" s="0" t="s">
        <v>90</v>
      </c>
      <c r="G14145" s="0" t="s">
        <v>36</v>
      </c>
      <c r="H14145" s="0" t="n">
        <v>142</v>
      </c>
      <c r="I14145" s="0" t="s">
        <v>46996</v>
      </c>
      <c r="J14145" s="0" t="s">
        <v>46997</v>
      </c>
      <c r="K14145" s="0" t="s">
        <v>46998</v>
      </c>
      <c r="L14145" s="0" t="str">
        <f aca="false">HYPERLINK("https://www.ncbi.nlm.nih.gov/nuccore/CP000058.1?report=graph&amp;tracks=[key:gene_model_track,Options:GeneOnly]&amp;mk=4390772:4390791|offset_12|444444,4390747:4390766|offset_37|444444,4390700:4390719|offset_84|444444,4390642:4390661|offset_142|00cc00&amp;v=4390571:4390861&amp;c=444444", "offset 142")</f>
        <v>offset 142</v>
      </c>
    </row>
    <row r="14146" customFormat="false" ht="12.8" hidden="false" customHeight="false" outlineLevel="0" collapsed="false">
      <c r="A14146" s="0" t="s">
        <v>12</v>
      </c>
      <c r="B14146" s="0" t="n">
        <v>4391553</v>
      </c>
      <c r="C14146" s="0" t="n">
        <v>4391573</v>
      </c>
      <c r="D14146" s="0" t="s">
        <v>46999</v>
      </c>
      <c r="E14146" s="0" t="s">
        <v>47000</v>
      </c>
      <c r="F14146" s="0" t="s">
        <v>90</v>
      </c>
      <c r="G14146" s="0" t="s">
        <v>16</v>
      </c>
      <c r="H14146" s="0" t="n">
        <v>42</v>
      </c>
      <c r="I14146" s="0" t="s">
        <v>47001</v>
      </c>
      <c r="J14146" s="0" t="s">
        <v>47002</v>
      </c>
      <c r="K14146" s="0" t="s">
        <v>47003</v>
      </c>
      <c r="L14146" s="0" t="str">
        <f aca="false">HYPERLINK("https://www.ncbi.nlm.nih.gov/nuccore/CP000058.1?report=graph&amp;tracks=[key:gene_model_track,Options:GeneOnly]&amp;mk=4391554:4391573|offset_42|00cc00,4391531:4391550|offset_65|444444,4391508:4391527|offset_88|444444,4391475:4391494|offset_121|444444&amp;v=4391353:4391694&amp;c=444444", "offset 42")</f>
        <v>offset 42</v>
      </c>
    </row>
    <row r="14147" customFormat="false" ht="12.8" hidden="false" customHeight="false" outlineLevel="0" collapsed="false">
      <c r="A14147" s="0" t="s">
        <v>12</v>
      </c>
      <c r="B14147" s="0" t="n">
        <v>4391530</v>
      </c>
      <c r="C14147" s="0" t="n">
        <v>4391550</v>
      </c>
      <c r="D14147" s="0" t="s">
        <v>46999</v>
      </c>
      <c r="E14147" s="0" t="s">
        <v>47000</v>
      </c>
      <c r="F14147" s="0" t="s">
        <v>90</v>
      </c>
      <c r="G14147" s="0" t="s">
        <v>20</v>
      </c>
      <c r="H14147" s="0" t="n">
        <v>65</v>
      </c>
      <c r="I14147" s="0" t="s">
        <v>47004</v>
      </c>
      <c r="J14147" s="0" t="s">
        <v>47005</v>
      </c>
      <c r="K14147" s="0" t="s">
        <v>47006</v>
      </c>
      <c r="L14147" s="0" t="str">
        <f aca="false">HYPERLINK("https://www.ncbi.nlm.nih.gov/nuccore/CP000058.1?report=graph&amp;tracks=[key:gene_model_track,Options:GeneOnly]&amp;mk=4391554:4391573|offset_42|444444,4391531:4391550|offset_65|00cc00,4391508:4391527|offset_88|444444,4391475:4391494|offset_121|444444&amp;v=4391353:4391694&amp;c=444444", "offset 65")</f>
        <v>offset 65</v>
      </c>
    </row>
    <row r="14148" customFormat="false" ht="12.8" hidden="false" customHeight="false" outlineLevel="0" collapsed="false">
      <c r="A14148" s="0" t="s">
        <v>12</v>
      </c>
      <c r="B14148" s="0" t="n">
        <v>4391507</v>
      </c>
      <c r="C14148" s="0" t="n">
        <v>4391527</v>
      </c>
      <c r="D14148" s="0" t="s">
        <v>46999</v>
      </c>
      <c r="E14148" s="0" t="s">
        <v>47000</v>
      </c>
      <c r="F14148" s="0" t="s">
        <v>90</v>
      </c>
      <c r="G14148" s="0" t="s">
        <v>36</v>
      </c>
      <c r="H14148" s="0" t="n">
        <v>88</v>
      </c>
      <c r="I14148" s="0" t="s">
        <v>47007</v>
      </c>
      <c r="J14148" s="0" t="s">
        <v>47008</v>
      </c>
      <c r="K14148" s="0" t="s">
        <v>47009</v>
      </c>
      <c r="L14148" s="0" t="str">
        <f aca="false">HYPERLINK("https://www.ncbi.nlm.nih.gov/nuccore/CP000058.1?report=graph&amp;tracks=[key:gene_model_track,Options:GeneOnly]&amp;mk=4391554:4391573|offset_42|444444,4391531:4391550|offset_65|444444,4391508:4391527|offset_88|00cc00,4391475:4391494|offset_121|444444&amp;v=4391353:4391694&amp;c=444444", "offset 88")</f>
        <v>offset 88</v>
      </c>
    </row>
    <row r="14149" customFormat="false" ht="12.8" hidden="false" customHeight="false" outlineLevel="0" collapsed="false">
      <c r="A14149" s="0" t="s">
        <v>12</v>
      </c>
      <c r="B14149" s="0" t="n">
        <v>4391474</v>
      </c>
      <c r="C14149" s="0" t="n">
        <v>4391494</v>
      </c>
      <c r="D14149" s="0" t="s">
        <v>46999</v>
      </c>
      <c r="E14149" s="0" t="s">
        <v>47000</v>
      </c>
      <c r="F14149" s="0" t="s">
        <v>90</v>
      </c>
      <c r="G14149" s="0" t="s">
        <v>20</v>
      </c>
      <c r="H14149" s="0" t="n">
        <v>121</v>
      </c>
      <c r="I14149" s="0" t="s">
        <v>47010</v>
      </c>
      <c r="J14149" s="0" t="s">
        <v>47011</v>
      </c>
      <c r="K14149" s="0" t="s">
        <v>47012</v>
      </c>
      <c r="L14149" s="0" t="str">
        <f aca="false">HYPERLINK("https://www.ncbi.nlm.nih.gov/nuccore/CP000058.1?report=graph&amp;tracks=[key:gene_model_track,Options:GeneOnly]&amp;mk=4391554:4391573|offset_42|444444,4391531:4391550|offset_65|444444,4391508:4391527|offset_88|444444,4391475:4391494|offset_121|00cc00&amp;v=4391353:4391694&amp;c=444444", "offset 121")</f>
        <v>offset 121</v>
      </c>
    </row>
    <row r="14150" customFormat="false" ht="12.8" hidden="false" customHeight="false" outlineLevel="0" collapsed="false">
      <c r="A14150" s="0" t="s">
        <v>12</v>
      </c>
      <c r="B14150" s="0" t="n">
        <v>4392332</v>
      </c>
      <c r="C14150" s="0" t="n">
        <v>4392352</v>
      </c>
      <c r="D14150" s="0" t="s">
        <v>47013</v>
      </c>
      <c r="E14150" s="0" t="s">
        <v>47014</v>
      </c>
      <c r="F14150" s="0" t="s">
        <v>90</v>
      </c>
      <c r="G14150" s="0" t="s">
        <v>16</v>
      </c>
      <c r="H14150" s="0" t="n">
        <v>18</v>
      </c>
      <c r="I14150" s="0" t="s">
        <v>47015</v>
      </c>
      <c r="J14150" s="0" t="s">
        <v>47016</v>
      </c>
      <c r="K14150" s="0" t="s">
        <v>47017</v>
      </c>
      <c r="L14150" s="0" t="str">
        <f aca="false">HYPERLINK("https://www.ncbi.nlm.nih.gov/nuccore/CP000058.1?report=graph&amp;tracks=[key:gene_model_track,Options:GeneOnly]&amp;mk=4392333:4392352|offset_18|00cc00,4392312:4392331|offset_39|444444,4392269:4392288|offset_82|444444,4392238:4392257|offset_113|444444&amp;v=4392132:4392457&amp;c=444444", "offset 18")</f>
        <v>offset 18</v>
      </c>
    </row>
    <row r="14151" customFormat="false" ht="12.8" hidden="false" customHeight="false" outlineLevel="0" collapsed="false">
      <c r="A14151" s="0" t="s">
        <v>12</v>
      </c>
      <c r="B14151" s="0" t="n">
        <v>4392311</v>
      </c>
      <c r="C14151" s="0" t="n">
        <v>4392331</v>
      </c>
      <c r="D14151" s="0" t="s">
        <v>47013</v>
      </c>
      <c r="E14151" s="0" t="s">
        <v>47014</v>
      </c>
      <c r="F14151" s="0" t="s">
        <v>90</v>
      </c>
      <c r="G14151" s="0" t="s">
        <v>16</v>
      </c>
      <c r="H14151" s="0" t="n">
        <v>39</v>
      </c>
      <c r="I14151" s="0" t="s">
        <v>47018</v>
      </c>
      <c r="J14151" s="0" t="s">
        <v>47019</v>
      </c>
      <c r="K14151" s="0" t="s">
        <v>47020</v>
      </c>
      <c r="L14151" s="0" t="str">
        <f aca="false">HYPERLINK("https://www.ncbi.nlm.nih.gov/nuccore/CP000058.1?report=graph&amp;tracks=[key:gene_model_track,Options:GeneOnly]&amp;mk=4392333:4392352|offset_18|444444,4392312:4392331|offset_39|00cc00,4392269:4392288|offset_82|444444,4392238:4392257|offset_113|444444&amp;v=4392132:4392457&amp;c=444444", "offset 39")</f>
        <v>offset 39</v>
      </c>
    </row>
    <row r="14152" customFormat="false" ht="12.8" hidden="false" customHeight="false" outlineLevel="0" collapsed="false">
      <c r="A14152" s="0" t="s">
        <v>12</v>
      </c>
      <c r="B14152" s="0" t="n">
        <v>4392268</v>
      </c>
      <c r="C14152" s="0" t="n">
        <v>4392288</v>
      </c>
      <c r="D14152" s="0" t="s">
        <v>47013</v>
      </c>
      <c r="E14152" s="0" t="s">
        <v>47014</v>
      </c>
      <c r="F14152" s="0" t="s">
        <v>90</v>
      </c>
      <c r="G14152" s="0" t="s">
        <v>32</v>
      </c>
      <c r="H14152" s="0" t="n">
        <v>82</v>
      </c>
      <c r="I14152" s="0" t="s">
        <v>47021</v>
      </c>
      <c r="J14152" s="0" t="s">
        <v>47022</v>
      </c>
      <c r="K14152" s="0" t="s">
        <v>47023</v>
      </c>
      <c r="L14152" s="0" t="str">
        <f aca="false">HYPERLINK("https://www.ncbi.nlm.nih.gov/nuccore/CP000058.1?report=graph&amp;tracks=[key:gene_model_track,Options:GeneOnly]&amp;mk=4392333:4392352|offset_18|444444,4392312:4392331|offset_39|444444,4392269:4392288|offset_82|00cc00,4392238:4392257|offset_113|444444&amp;v=4392132:4392457&amp;c=444444", "offset 82")</f>
        <v>offset 82</v>
      </c>
    </row>
    <row r="14153" customFormat="false" ht="12.8" hidden="false" customHeight="false" outlineLevel="0" collapsed="false">
      <c r="A14153" s="0" t="s">
        <v>12</v>
      </c>
      <c r="B14153" s="0" t="n">
        <v>4392237</v>
      </c>
      <c r="C14153" s="0" t="n">
        <v>4392257</v>
      </c>
      <c r="D14153" s="0" t="s">
        <v>47013</v>
      </c>
      <c r="E14153" s="0" t="s">
        <v>47014</v>
      </c>
      <c r="F14153" s="0" t="s">
        <v>90</v>
      </c>
      <c r="G14153" s="0" t="s">
        <v>32</v>
      </c>
      <c r="H14153" s="0" t="n">
        <v>113</v>
      </c>
      <c r="I14153" s="0" t="s">
        <v>47024</v>
      </c>
      <c r="J14153" s="0" t="s">
        <v>47025</v>
      </c>
      <c r="K14153" s="0" t="s">
        <v>47026</v>
      </c>
      <c r="L14153" s="0" t="str">
        <f aca="false">HYPERLINK("https://www.ncbi.nlm.nih.gov/nuccore/CP000058.1?report=graph&amp;tracks=[key:gene_model_track,Options:GeneOnly]&amp;mk=4392333:4392352|offset_18|444444,4392312:4392331|offset_39|444444,4392269:4392288|offset_82|444444,4392238:4392257|offset_113|00cc00&amp;v=4392132:4392457&amp;c=444444", "offset 113")</f>
        <v>offset 113</v>
      </c>
    </row>
    <row r="14154" customFormat="false" ht="12.8" hidden="false" customHeight="false" outlineLevel="0" collapsed="false">
      <c r="A14154" s="0" t="s">
        <v>12</v>
      </c>
      <c r="B14154" s="0" t="n">
        <v>4392890</v>
      </c>
      <c r="C14154" s="0" t="n">
        <v>4392910</v>
      </c>
      <c r="D14154" s="0" t="s">
        <v>47027</v>
      </c>
      <c r="E14154" s="0" t="s">
        <v>47028</v>
      </c>
      <c r="F14154" s="0" t="s">
        <v>90</v>
      </c>
      <c r="G14154" s="0" t="s">
        <v>36</v>
      </c>
      <c r="H14154" s="0" t="n">
        <v>34</v>
      </c>
      <c r="I14154" s="0" t="s">
        <v>47029</v>
      </c>
      <c r="J14154" s="0" t="s">
        <v>47030</v>
      </c>
      <c r="K14154" s="0" t="s">
        <v>47031</v>
      </c>
      <c r="L14154" s="0" t="str">
        <f aca="false">HYPERLINK("https://www.ncbi.nlm.nih.gov/nuccore/CP000058.1?report=graph&amp;tracks=[key:gene_model_track,Options:GeneOnly]&amp;mk=4392891:4392910|offset_34|00cc00,4392849:4392868|offset_76|444444,4392824:4392843|offset_101|444444,4392797:4392816|offset_128|444444&amp;v=4392690:4393016&amp;c=444444", "offset 34")</f>
        <v>offset 34</v>
      </c>
    </row>
    <row r="14155" customFormat="false" ht="12.8" hidden="false" customHeight="false" outlineLevel="0" collapsed="false">
      <c r="A14155" s="0" t="s">
        <v>12</v>
      </c>
      <c r="B14155" s="0" t="n">
        <v>4392848</v>
      </c>
      <c r="C14155" s="0" t="n">
        <v>4392868</v>
      </c>
      <c r="D14155" s="0" t="s">
        <v>47027</v>
      </c>
      <c r="E14155" s="0" t="s">
        <v>47028</v>
      </c>
      <c r="F14155" s="0" t="s">
        <v>90</v>
      </c>
      <c r="G14155" s="0" t="s">
        <v>36</v>
      </c>
      <c r="H14155" s="0" t="n">
        <v>76</v>
      </c>
      <c r="I14155" s="0" t="s">
        <v>47032</v>
      </c>
      <c r="J14155" s="0" t="s">
        <v>47033</v>
      </c>
      <c r="K14155" s="0" t="s">
        <v>47034</v>
      </c>
      <c r="L14155" s="0" t="str">
        <f aca="false">HYPERLINK("https://www.ncbi.nlm.nih.gov/nuccore/CP000058.1?report=graph&amp;tracks=[key:gene_model_track,Options:GeneOnly]&amp;mk=4392891:4392910|offset_34|444444,4392849:4392868|offset_76|00cc00,4392824:4392843|offset_101|444444,4392797:4392816|offset_128|444444&amp;v=4392690:4393016&amp;c=444444", "offset 76")</f>
        <v>offset 76</v>
      </c>
    </row>
    <row r="14156" customFormat="false" ht="12.8" hidden="false" customHeight="false" outlineLevel="0" collapsed="false">
      <c r="A14156" s="0" t="s">
        <v>12</v>
      </c>
      <c r="B14156" s="0" t="n">
        <v>4392823</v>
      </c>
      <c r="C14156" s="0" t="n">
        <v>4392843</v>
      </c>
      <c r="D14156" s="0" t="s">
        <v>47027</v>
      </c>
      <c r="E14156" s="0" t="s">
        <v>47028</v>
      </c>
      <c r="F14156" s="0" t="s">
        <v>90</v>
      </c>
      <c r="G14156" s="0" t="s">
        <v>36</v>
      </c>
      <c r="H14156" s="0" t="n">
        <v>101</v>
      </c>
      <c r="I14156" s="0" t="s">
        <v>47035</v>
      </c>
      <c r="J14156" s="0" t="s">
        <v>47036</v>
      </c>
      <c r="K14156" s="0" t="s">
        <v>47037</v>
      </c>
      <c r="L14156" s="0" t="str">
        <f aca="false">HYPERLINK("https://www.ncbi.nlm.nih.gov/nuccore/CP000058.1?report=graph&amp;tracks=[key:gene_model_track,Options:GeneOnly]&amp;mk=4392891:4392910|offset_34|444444,4392849:4392868|offset_76|444444,4392824:4392843|offset_101|00cc00,4392797:4392816|offset_128|444444&amp;v=4392690:4393016&amp;c=444444", "offset 101")</f>
        <v>offset 101</v>
      </c>
    </row>
    <row r="14157" customFormat="false" ht="12.8" hidden="false" customHeight="false" outlineLevel="0" collapsed="false">
      <c r="A14157" s="0" t="s">
        <v>12</v>
      </c>
      <c r="B14157" s="0" t="n">
        <v>4392796</v>
      </c>
      <c r="C14157" s="0" t="n">
        <v>4392816</v>
      </c>
      <c r="D14157" s="0" t="s">
        <v>47027</v>
      </c>
      <c r="E14157" s="0" t="s">
        <v>47028</v>
      </c>
      <c r="F14157" s="0" t="s">
        <v>90</v>
      </c>
      <c r="G14157" s="0" t="s">
        <v>36</v>
      </c>
      <c r="H14157" s="0" t="n">
        <v>128</v>
      </c>
      <c r="I14157" s="0" t="s">
        <v>47038</v>
      </c>
      <c r="J14157" s="0" t="s">
        <v>47039</v>
      </c>
      <c r="K14157" s="0" t="s">
        <v>47040</v>
      </c>
      <c r="L14157" s="0" t="str">
        <f aca="false">HYPERLINK("https://www.ncbi.nlm.nih.gov/nuccore/CP000058.1?report=graph&amp;tracks=[key:gene_model_track,Options:GeneOnly]&amp;mk=4392891:4392910|offset_34|444444,4392849:4392868|offset_76|444444,4392824:4392843|offset_101|444444,4392797:4392816|offset_128|00cc00&amp;v=4392690:4393016&amp;c=444444", "offset 128")</f>
        <v>offset 128</v>
      </c>
    </row>
    <row r="14158" customFormat="false" ht="12.8" hidden="false" customHeight="false" outlineLevel="0" collapsed="false">
      <c r="A14158" s="0" t="s">
        <v>12</v>
      </c>
      <c r="B14158" s="0" t="n">
        <v>4393594</v>
      </c>
      <c r="C14158" s="0" t="n">
        <v>4393614</v>
      </c>
      <c r="D14158" s="0" t="s">
        <v>47041</v>
      </c>
      <c r="E14158" s="0" t="s">
        <v>47042</v>
      </c>
      <c r="F14158" s="0" t="s">
        <v>90</v>
      </c>
      <c r="G14158" s="0" t="s">
        <v>36</v>
      </c>
      <c r="H14158" s="0" t="n">
        <v>70</v>
      </c>
      <c r="I14158" s="0" t="s">
        <v>47043</v>
      </c>
      <c r="J14158" s="0" t="s">
        <v>47044</v>
      </c>
      <c r="K14158" s="0" t="s">
        <v>47045</v>
      </c>
      <c r="L14158" s="0" t="str">
        <f aca="false">HYPERLINK("https://www.ncbi.nlm.nih.gov/nuccore/CP000058.1?report=graph&amp;tracks=[key:gene_model_track,Options:GeneOnly]&amp;mk=4393595:4393614|offset_70|00cc00,4393563:4393582|offset_102|444444,4393528:4393547|offset_137|444444,4393477:4393496|offset_188|444444&amp;v=4393394:4393696&amp;c=444444", "offset 70")</f>
        <v>offset 70</v>
      </c>
    </row>
    <row r="14159" customFormat="false" ht="12.8" hidden="false" customHeight="false" outlineLevel="0" collapsed="false">
      <c r="A14159" s="0" t="s">
        <v>12</v>
      </c>
      <c r="B14159" s="0" t="n">
        <v>4393562</v>
      </c>
      <c r="C14159" s="0" t="n">
        <v>4393582</v>
      </c>
      <c r="D14159" s="0" t="s">
        <v>47041</v>
      </c>
      <c r="E14159" s="0" t="s">
        <v>47042</v>
      </c>
      <c r="F14159" s="0" t="s">
        <v>90</v>
      </c>
      <c r="G14159" s="0" t="s">
        <v>36</v>
      </c>
      <c r="H14159" s="0" t="n">
        <v>102</v>
      </c>
      <c r="I14159" s="0" t="s">
        <v>47046</v>
      </c>
      <c r="J14159" s="0" t="s">
        <v>47047</v>
      </c>
      <c r="K14159" s="0" t="s">
        <v>47048</v>
      </c>
      <c r="L14159" s="0" t="str">
        <f aca="false">HYPERLINK("https://www.ncbi.nlm.nih.gov/nuccore/CP000058.1?report=graph&amp;tracks=[key:gene_model_track,Options:GeneOnly]&amp;mk=4393595:4393614|offset_70|444444,4393563:4393582|offset_102|00cc00,4393528:4393547|offset_137|444444,4393477:4393496|offset_188|444444&amp;v=4393394:4393696&amp;c=444444", "offset 102")</f>
        <v>offset 102</v>
      </c>
    </row>
    <row r="14160" customFormat="false" ht="12.8" hidden="false" customHeight="false" outlineLevel="0" collapsed="false">
      <c r="A14160" s="0" t="s">
        <v>12</v>
      </c>
      <c r="B14160" s="0" t="n">
        <v>4393527</v>
      </c>
      <c r="C14160" s="0" t="n">
        <v>4393547</v>
      </c>
      <c r="D14160" s="0" t="s">
        <v>47041</v>
      </c>
      <c r="E14160" s="0" t="s">
        <v>47042</v>
      </c>
      <c r="F14160" s="0" t="s">
        <v>90</v>
      </c>
      <c r="G14160" s="0" t="s">
        <v>32</v>
      </c>
      <c r="H14160" s="0" t="n">
        <v>137</v>
      </c>
      <c r="I14160" s="0" t="s">
        <v>47049</v>
      </c>
      <c r="J14160" s="0" t="s">
        <v>47050</v>
      </c>
      <c r="K14160" s="0" t="s">
        <v>47051</v>
      </c>
      <c r="L14160" s="0" t="str">
        <f aca="false">HYPERLINK("https://www.ncbi.nlm.nih.gov/nuccore/CP000058.1?report=graph&amp;tracks=[key:gene_model_track,Options:GeneOnly]&amp;mk=4393595:4393614|offset_70|444444,4393563:4393582|offset_102|444444,4393528:4393547|offset_137|00cc00,4393477:4393496|offset_188|444444&amp;v=4393394:4393696&amp;c=444444", "offset 137")</f>
        <v>offset 137</v>
      </c>
    </row>
    <row r="14161" customFormat="false" ht="12.8" hidden="false" customHeight="false" outlineLevel="0" collapsed="false">
      <c r="A14161" s="0" t="s">
        <v>12</v>
      </c>
      <c r="B14161" s="0" t="n">
        <v>4393476</v>
      </c>
      <c r="C14161" s="0" t="n">
        <v>4393496</v>
      </c>
      <c r="D14161" s="0" t="s">
        <v>47041</v>
      </c>
      <c r="E14161" s="0" t="s">
        <v>47042</v>
      </c>
      <c r="F14161" s="0" t="s">
        <v>90</v>
      </c>
      <c r="G14161" s="0" t="s">
        <v>20</v>
      </c>
      <c r="H14161" s="0" t="n">
        <v>188</v>
      </c>
      <c r="I14161" s="0" t="s">
        <v>47052</v>
      </c>
      <c r="J14161" s="0" t="s">
        <v>47053</v>
      </c>
      <c r="K14161" s="0" t="s">
        <v>47054</v>
      </c>
      <c r="L14161" s="0" t="str">
        <f aca="false">HYPERLINK("https://www.ncbi.nlm.nih.gov/nuccore/CP000058.1?report=graph&amp;tracks=[key:gene_model_track,Options:GeneOnly]&amp;mk=4393595:4393614|offset_70|444444,4393563:4393582|offset_102|444444,4393528:4393547|offset_137|444444,4393477:4393496|offset_188|00cc00&amp;v=4393394:4393696&amp;c=444444", "offset 188")</f>
        <v>offset 188</v>
      </c>
    </row>
    <row r="14162" customFormat="false" ht="12.8" hidden="false" customHeight="false" outlineLevel="0" collapsed="false">
      <c r="A14162" s="0" t="s">
        <v>12</v>
      </c>
      <c r="B14162" s="0" t="n">
        <v>4394684</v>
      </c>
      <c r="C14162" s="0" t="n">
        <v>4394704</v>
      </c>
      <c r="D14162" s="0" t="s">
        <v>47055</v>
      </c>
      <c r="E14162" s="0" t="s">
        <v>47056</v>
      </c>
      <c r="F14162" s="0" t="s">
        <v>90</v>
      </c>
      <c r="G14162" s="0" t="s">
        <v>16</v>
      </c>
      <c r="H14162" s="0" t="n">
        <v>49</v>
      </c>
      <c r="I14162" s="0" t="s">
        <v>47057</v>
      </c>
      <c r="J14162" s="0" t="s">
        <v>47058</v>
      </c>
      <c r="K14162" s="0" t="s">
        <v>47059</v>
      </c>
      <c r="L14162" s="0" t="str">
        <f aca="false">HYPERLINK("https://www.ncbi.nlm.nih.gov/nuccore/CP000058.1?report=graph&amp;tracks=[key:gene_model_track,Options:GeneOnly]&amp;mk=4394685:4394704|offset_49|00cc00,4394649:4394668|offset_85|444444,4394601:4394620|offset_133|444444,4394544:4394563|offset_190|444444&amp;v=4394484:4394763&amp;c=444444", "offset 49")</f>
        <v>offset 49</v>
      </c>
    </row>
    <row r="14163" customFormat="false" ht="12.8" hidden="false" customHeight="false" outlineLevel="0" collapsed="false">
      <c r="A14163" s="0" t="s">
        <v>12</v>
      </c>
      <c r="B14163" s="0" t="n">
        <v>4394648</v>
      </c>
      <c r="C14163" s="0" t="n">
        <v>4394668</v>
      </c>
      <c r="D14163" s="0" t="s">
        <v>47055</v>
      </c>
      <c r="E14163" s="0" t="s">
        <v>47056</v>
      </c>
      <c r="F14163" s="0" t="s">
        <v>90</v>
      </c>
      <c r="G14163" s="0" t="s">
        <v>32</v>
      </c>
      <c r="H14163" s="0" t="n">
        <v>85</v>
      </c>
      <c r="I14163" s="0" t="s">
        <v>47060</v>
      </c>
      <c r="J14163" s="0" t="s">
        <v>47061</v>
      </c>
      <c r="K14163" s="0" t="s">
        <v>47062</v>
      </c>
      <c r="L14163" s="0" t="str">
        <f aca="false">HYPERLINK("https://www.ncbi.nlm.nih.gov/nuccore/CP000058.1?report=graph&amp;tracks=[key:gene_model_track,Options:GeneOnly]&amp;mk=4394685:4394704|offset_49|444444,4394649:4394668|offset_85|00cc00,4394601:4394620|offset_133|444444,4394544:4394563|offset_190|444444&amp;v=4394484:4394763&amp;c=444444", "offset 85")</f>
        <v>offset 85</v>
      </c>
    </row>
    <row r="14164" customFormat="false" ht="12.8" hidden="false" customHeight="false" outlineLevel="0" collapsed="false">
      <c r="A14164" s="0" t="s">
        <v>12</v>
      </c>
      <c r="B14164" s="0" t="n">
        <v>4394600</v>
      </c>
      <c r="C14164" s="0" t="n">
        <v>4394620</v>
      </c>
      <c r="D14164" s="0" t="s">
        <v>47055</v>
      </c>
      <c r="E14164" s="0" t="s">
        <v>47056</v>
      </c>
      <c r="F14164" s="0" t="s">
        <v>90</v>
      </c>
      <c r="G14164" s="0" t="s">
        <v>16</v>
      </c>
      <c r="H14164" s="0" t="n">
        <v>133</v>
      </c>
      <c r="I14164" s="0" t="s">
        <v>47063</v>
      </c>
      <c r="J14164" s="0" t="s">
        <v>47064</v>
      </c>
      <c r="K14164" s="0" t="s">
        <v>47065</v>
      </c>
      <c r="L14164" s="0" t="str">
        <f aca="false">HYPERLINK("https://www.ncbi.nlm.nih.gov/nuccore/CP000058.1?report=graph&amp;tracks=[key:gene_model_track,Options:GeneOnly]&amp;mk=4394685:4394704|offset_49|444444,4394649:4394668|offset_85|444444,4394601:4394620|offset_133|00cc00,4394544:4394563|offset_190|444444&amp;v=4394484:4394763&amp;c=444444", "offset 133")</f>
        <v>offset 133</v>
      </c>
    </row>
    <row r="14165" customFormat="false" ht="12.8" hidden="false" customHeight="false" outlineLevel="0" collapsed="false">
      <c r="A14165" s="0" t="s">
        <v>12</v>
      </c>
      <c r="B14165" s="0" t="n">
        <v>4394543</v>
      </c>
      <c r="C14165" s="0" t="n">
        <v>4394563</v>
      </c>
      <c r="D14165" s="0" t="s">
        <v>47055</v>
      </c>
      <c r="E14165" s="0" t="s">
        <v>47056</v>
      </c>
      <c r="F14165" s="0" t="s">
        <v>90</v>
      </c>
      <c r="G14165" s="0" t="s">
        <v>32</v>
      </c>
      <c r="H14165" s="0" t="n">
        <v>190</v>
      </c>
      <c r="I14165" s="0" t="s">
        <v>47066</v>
      </c>
      <c r="J14165" s="0" t="s">
        <v>47067</v>
      </c>
      <c r="K14165" s="0" t="s">
        <v>47068</v>
      </c>
      <c r="L14165" s="0" t="str">
        <f aca="false">HYPERLINK("https://www.ncbi.nlm.nih.gov/nuccore/CP000058.1?report=graph&amp;tracks=[key:gene_model_track,Options:GeneOnly]&amp;mk=4394685:4394704|offset_49|444444,4394649:4394668|offset_85|444444,4394601:4394620|offset_133|444444,4394544:4394563|offset_190|00cc00&amp;v=4394484:4394763&amp;c=444444", "offset 190")</f>
        <v>offset 190</v>
      </c>
    </row>
    <row r="14166" customFormat="false" ht="12.8" hidden="false" customHeight="false" outlineLevel="0" collapsed="false">
      <c r="A14166" s="0" t="s">
        <v>12</v>
      </c>
      <c r="B14166" s="0" t="n">
        <v>4395660</v>
      </c>
      <c r="C14166" s="0" t="n">
        <v>4395680</v>
      </c>
      <c r="D14166" s="0" t="s">
        <v>47069</v>
      </c>
      <c r="E14166" s="0" t="s">
        <v>47070</v>
      </c>
      <c r="F14166" s="0" t="s">
        <v>90</v>
      </c>
      <c r="G14166" s="0" t="s">
        <v>36</v>
      </c>
      <c r="H14166" s="0" t="n">
        <v>7</v>
      </c>
      <c r="I14166" s="0" t="s">
        <v>47071</v>
      </c>
      <c r="J14166" s="0" t="s">
        <v>47072</v>
      </c>
      <c r="K14166" s="0" t="s">
        <v>47073</v>
      </c>
      <c r="L14166" s="0" t="str">
        <f aca="false">HYPERLINK("https://www.ncbi.nlm.nih.gov/nuccore/CP000058.1?report=graph&amp;tracks=[key:gene_model_track,Options:GeneOnly]&amp;mk=4395661:4395680|offset_7|00cc00,4395631:4395650|offset_37|444444,4395607:4395626|offset_61|444444,4395540:4395559|offset_128|444444&amp;v=4395460:4395759&amp;c=444444", "offset 7")</f>
        <v>offset 7</v>
      </c>
    </row>
    <row r="14167" customFormat="false" ht="12.8" hidden="false" customHeight="false" outlineLevel="0" collapsed="false">
      <c r="A14167" s="0" t="s">
        <v>12</v>
      </c>
      <c r="B14167" s="0" t="n">
        <v>4395630</v>
      </c>
      <c r="C14167" s="0" t="n">
        <v>4395650</v>
      </c>
      <c r="D14167" s="0" t="s">
        <v>47069</v>
      </c>
      <c r="E14167" s="0" t="s">
        <v>47070</v>
      </c>
      <c r="F14167" s="0" t="s">
        <v>90</v>
      </c>
      <c r="G14167" s="0" t="s">
        <v>16</v>
      </c>
      <c r="H14167" s="0" t="n">
        <v>37</v>
      </c>
      <c r="I14167" s="0" t="s">
        <v>47074</v>
      </c>
      <c r="J14167" s="0" t="s">
        <v>47075</v>
      </c>
      <c r="K14167" s="0" t="s">
        <v>47076</v>
      </c>
      <c r="L14167" s="0" t="str">
        <f aca="false">HYPERLINK("https://www.ncbi.nlm.nih.gov/nuccore/CP000058.1?report=graph&amp;tracks=[key:gene_model_track,Options:GeneOnly]&amp;mk=4395661:4395680|offset_7|444444,4395631:4395650|offset_37|00cc00,4395607:4395626|offset_61|444444,4395540:4395559|offset_128|444444&amp;v=4395460:4395759&amp;c=444444", "offset 37")</f>
        <v>offset 37</v>
      </c>
    </row>
    <row r="14168" customFormat="false" ht="12.8" hidden="false" customHeight="false" outlineLevel="0" collapsed="false">
      <c r="A14168" s="0" t="s">
        <v>12</v>
      </c>
      <c r="B14168" s="0" t="n">
        <v>4395606</v>
      </c>
      <c r="C14168" s="0" t="n">
        <v>4395626</v>
      </c>
      <c r="D14168" s="0" t="s">
        <v>47069</v>
      </c>
      <c r="E14168" s="0" t="s">
        <v>47070</v>
      </c>
      <c r="F14168" s="0" t="s">
        <v>90</v>
      </c>
      <c r="G14168" s="0" t="s">
        <v>36</v>
      </c>
      <c r="H14168" s="0" t="n">
        <v>61</v>
      </c>
      <c r="I14168" s="0" t="s">
        <v>47077</v>
      </c>
      <c r="J14168" s="0" t="s">
        <v>47078</v>
      </c>
      <c r="K14168" s="0" t="s">
        <v>47079</v>
      </c>
      <c r="L14168" s="0" t="str">
        <f aca="false">HYPERLINK("https://www.ncbi.nlm.nih.gov/nuccore/CP000058.1?report=graph&amp;tracks=[key:gene_model_track,Options:GeneOnly]&amp;mk=4395661:4395680|offset_7|444444,4395631:4395650|offset_37|444444,4395607:4395626|offset_61|00cc00,4395540:4395559|offset_128|444444&amp;v=4395460:4395759&amp;c=444444", "offset 61")</f>
        <v>offset 61</v>
      </c>
    </row>
    <row r="14169" customFormat="false" ht="12.8" hidden="false" customHeight="false" outlineLevel="0" collapsed="false">
      <c r="A14169" s="0" t="s">
        <v>12</v>
      </c>
      <c r="B14169" s="0" t="n">
        <v>4395539</v>
      </c>
      <c r="C14169" s="0" t="n">
        <v>4395559</v>
      </c>
      <c r="D14169" s="0" t="s">
        <v>47069</v>
      </c>
      <c r="E14169" s="0" t="s">
        <v>47070</v>
      </c>
      <c r="F14169" s="0" t="s">
        <v>90</v>
      </c>
      <c r="G14169" s="0" t="s">
        <v>20</v>
      </c>
      <c r="H14169" s="0" t="n">
        <v>128</v>
      </c>
      <c r="I14169" s="0" t="s">
        <v>47080</v>
      </c>
      <c r="J14169" s="0" t="s">
        <v>47081</v>
      </c>
      <c r="K14169" s="0" t="s">
        <v>47082</v>
      </c>
      <c r="L14169" s="0" t="str">
        <f aca="false">HYPERLINK("https://www.ncbi.nlm.nih.gov/nuccore/CP000058.1?report=graph&amp;tracks=[key:gene_model_track,Options:GeneOnly]&amp;mk=4395661:4395680|offset_7|444444,4395631:4395650|offset_37|444444,4395607:4395626|offset_61|444444,4395540:4395559|offset_128|00cc00&amp;v=4395460:4395759&amp;c=444444", "offset 128")</f>
        <v>offset 128</v>
      </c>
    </row>
    <row r="14170" customFormat="false" ht="12.8" hidden="false" customHeight="false" outlineLevel="0" collapsed="false">
      <c r="A14170" s="0" t="s">
        <v>12</v>
      </c>
      <c r="B14170" s="0" t="n">
        <v>4396006</v>
      </c>
      <c r="C14170" s="0" t="n">
        <v>4396026</v>
      </c>
      <c r="D14170" s="0" t="s">
        <v>47083</v>
      </c>
      <c r="E14170" s="0" t="s">
        <v>47084</v>
      </c>
      <c r="F14170" s="0" t="s">
        <v>15</v>
      </c>
      <c r="G14170" s="0" t="s">
        <v>32</v>
      </c>
      <c r="H14170" s="0" t="n">
        <v>7</v>
      </c>
      <c r="I14170" s="0" t="s">
        <v>47085</v>
      </c>
      <c r="J14170" s="0" t="s">
        <v>47086</v>
      </c>
      <c r="K14170" s="0" t="s">
        <v>47087</v>
      </c>
      <c r="L14170" s="0" t="str">
        <f aca="false">HYPERLINK("https://www.ncbi.nlm.nih.gov/nuccore/CP000058.1?report=graph&amp;tracks=[key:gene_model_track,Options:GeneOnly]&amp;mk=4396007:4396026|offset_7|00cc00,4396059:4396078|offset_59|444444,4396090:4396109|offset_90|444444,4396112:4396131|offset_112|444444&amp;v=4395806:4396331&amp;c=444444", "offset 7")</f>
        <v>offset 7</v>
      </c>
    </row>
    <row r="14171" customFormat="false" ht="12.8" hidden="false" customHeight="false" outlineLevel="0" collapsed="false">
      <c r="A14171" s="0" t="s">
        <v>12</v>
      </c>
      <c r="B14171" s="0" t="n">
        <v>4396058</v>
      </c>
      <c r="C14171" s="0" t="n">
        <v>4396078</v>
      </c>
      <c r="D14171" s="0" t="s">
        <v>47083</v>
      </c>
      <c r="E14171" s="0" t="s">
        <v>47084</v>
      </c>
      <c r="F14171" s="0" t="s">
        <v>15</v>
      </c>
      <c r="G14171" s="0" t="s">
        <v>20</v>
      </c>
      <c r="H14171" s="0" t="n">
        <v>59</v>
      </c>
      <c r="I14171" s="0" t="s">
        <v>47088</v>
      </c>
      <c r="J14171" s="0" t="s">
        <v>47089</v>
      </c>
      <c r="K14171" s="0" t="s">
        <v>47090</v>
      </c>
      <c r="L14171" s="0" t="str">
        <f aca="false">HYPERLINK("https://www.ncbi.nlm.nih.gov/nuccore/CP000058.1?report=graph&amp;tracks=[key:gene_model_track,Options:GeneOnly]&amp;mk=4396007:4396026|offset_7|444444,4396059:4396078|offset_59|00cc00,4396090:4396109|offset_90|444444,4396112:4396131|offset_112|444444&amp;v=4395806:4396331&amp;c=444444", "offset 59")</f>
        <v>offset 59</v>
      </c>
    </row>
    <row r="14172" customFormat="false" ht="12.8" hidden="false" customHeight="false" outlineLevel="0" collapsed="false">
      <c r="A14172" s="0" t="s">
        <v>12</v>
      </c>
      <c r="B14172" s="0" t="n">
        <v>4396089</v>
      </c>
      <c r="C14172" s="0" t="n">
        <v>4396109</v>
      </c>
      <c r="D14172" s="0" t="s">
        <v>47083</v>
      </c>
      <c r="E14172" s="0" t="s">
        <v>47084</v>
      </c>
      <c r="F14172" s="0" t="s">
        <v>15</v>
      </c>
      <c r="G14172" s="0" t="s">
        <v>20</v>
      </c>
      <c r="H14172" s="0" t="n">
        <v>90</v>
      </c>
      <c r="I14172" s="0" t="s">
        <v>47091</v>
      </c>
      <c r="J14172" s="0" t="s">
        <v>47092</v>
      </c>
      <c r="K14172" s="0" t="s">
        <v>47093</v>
      </c>
      <c r="L14172" s="0" t="str">
        <f aca="false">HYPERLINK("https://www.ncbi.nlm.nih.gov/nuccore/CP000058.1?report=graph&amp;tracks=[key:gene_model_track,Options:GeneOnly]&amp;mk=4396007:4396026|offset_7|444444,4396059:4396078|offset_59|444444,4396090:4396109|offset_90|00cc00,4396112:4396131|offset_112|444444&amp;v=4395806:4396331&amp;c=444444", "offset 90")</f>
        <v>offset 90</v>
      </c>
    </row>
    <row r="14173" customFormat="false" ht="12.8" hidden="false" customHeight="false" outlineLevel="0" collapsed="false">
      <c r="A14173" s="0" t="s">
        <v>12</v>
      </c>
      <c r="B14173" s="0" t="n">
        <v>4396111</v>
      </c>
      <c r="C14173" s="0" t="n">
        <v>4396131</v>
      </c>
      <c r="D14173" s="0" t="s">
        <v>47083</v>
      </c>
      <c r="E14173" s="0" t="s">
        <v>47084</v>
      </c>
      <c r="F14173" s="0" t="s">
        <v>15</v>
      </c>
      <c r="G14173" s="0" t="s">
        <v>32</v>
      </c>
      <c r="H14173" s="0" t="n">
        <v>112</v>
      </c>
      <c r="I14173" s="0" t="s">
        <v>47094</v>
      </c>
      <c r="J14173" s="0" t="s">
        <v>47095</v>
      </c>
      <c r="K14173" s="0" t="s">
        <v>47096</v>
      </c>
      <c r="L14173" s="0" t="str">
        <f aca="false">HYPERLINK("https://www.ncbi.nlm.nih.gov/nuccore/CP000058.1?report=graph&amp;tracks=[key:gene_model_track,Options:GeneOnly]&amp;mk=4396007:4396026|offset_7|444444,4396059:4396078|offset_59|444444,4396090:4396109|offset_90|444444,4396112:4396131|offset_112|00cc00&amp;v=4395806:4396331&amp;c=444444", "offset 112")</f>
        <v>offset 112</v>
      </c>
    </row>
    <row r="14174" customFormat="false" ht="12.8" hidden="false" customHeight="false" outlineLevel="0" collapsed="false">
      <c r="A14174" s="0" t="s">
        <v>12</v>
      </c>
      <c r="B14174" s="0" t="n">
        <v>4396833</v>
      </c>
      <c r="C14174" s="0" t="n">
        <v>4396853</v>
      </c>
      <c r="D14174" s="0" t="s">
        <v>47097</v>
      </c>
      <c r="E14174" s="0" t="s">
        <v>47098</v>
      </c>
      <c r="F14174" s="0" t="s">
        <v>15</v>
      </c>
      <c r="G14174" s="0" t="s">
        <v>32</v>
      </c>
      <c r="H14174" s="0" t="n">
        <v>1</v>
      </c>
      <c r="I14174" s="0" t="s">
        <v>47099</v>
      </c>
      <c r="J14174" s="0" t="s">
        <v>47100</v>
      </c>
      <c r="K14174" s="0" t="s">
        <v>47101</v>
      </c>
      <c r="L14174" s="0" t="str">
        <f aca="false">HYPERLINK("https://www.ncbi.nlm.nih.gov/nuccore/CP000058.1?report=graph&amp;tracks=[key:gene_model_track,Options:GeneOnly]&amp;mk=4396834:4396853|offset_1|00cc00,4396871:4396890|offset_38|444444,4396891:4396910|offset_58|444444,4396931:4396950|offset_98|444444&amp;v=4396633:4397150&amp;c=444444", "offset 1")</f>
        <v>offset 1</v>
      </c>
    </row>
    <row r="14175" customFormat="false" ht="12.8" hidden="false" customHeight="false" outlineLevel="0" collapsed="false">
      <c r="A14175" s="0" t="s">
        <v>12</v>
      </c>
      <c r="B14175" s="0" t="n">
        <v>4396870</v>
      </c>
      <c r="C14175" s="0" t="n">
        <v>4396890</v>
      </c>
      <c r="D14175" s="0" t="s">
        <v>47097</v>
      </c>
      <c r="E14175" s="0" t="s">
        <v>47098</v>
      </c>
      <c r="F14175" s="0" t="s">
        <v>15</v>
      </c>
      <c r="G14175" s="0" t="s">
        <v>32</v>
      </c>
      <c r="H14175" s="0" t="n">
        <v>38</v>
      </c>
      <c r="I14175" s="0" t="s">
        <v>47102</v>
      </c>
      <c r="J14175" s="0" t="s">
        <v>47103</v>
      </c>
      <c r="K14175" s="0" t="s">
        <v>47104</v>
      </c>
      <c r="L14175" s="0" t="str">
        <f aca="false">HYPERLINK("https://www.ncbi.nlm.nih.gov/nuccore/CP000058.1?report=graph&amp;tracks=[key:gene_model_track,Options:GeneOnly]&amp;mk=4396834:4396853|offset_1|444444,4396871:4396890|offset_38|00cc00,4396891:4396910|offset_58|444444,4396931:4396950|offset_98|444444&amp;v=4396633:4397150&amp;c=444444", "offset 38")</f>
        <v>offset 38</v>
      </c>
    </row>
    <row r="14176" customFormat="false" ht="12.8" hidden="false" customHeight="false" outlineLevel="0" collapsed="false">
      <c r="A14176" s="0" t="s">
        <v>12</v>
      </c>
      <c r="B14176" s="0" t="n">
        <v>4396890</v>
      </c>
      <c r="C14176" s="0" t="n">
        <v>4396910</v>
      </c>
      <c r="D14176" s="0" t="s">
        <v>47097</v>
      </c>
      <c r="E14176" s="0" t="s">
        <v>47098</v>
      </c>
      <c r="F14176" s="0" t="s">
        <v>15</v>
      </c>
      <c r="G14176" s="0" t="s">
        <v>20</v>
      </c>
      <c r="H14176" s="0" t="n">
        <v>58</v>
      </c>
      <c r="I14176" s="0" t="s">
        <v>47105</v>
      </c>
      <c r="J14176" s="0" t="s">
        <v>47106</v>
      </c>
      <c r="K14176" s="0" t="s">
        <v>47107</v>
      </c>
      <c r="L14176" s="0" t="str">
        <f aca="false">HYPERLINK("https://www.ncbi.nlm.nih.gov/nuccore/CP000058.1?report=graph&amp;tracks=[key:gene_model_track,Options:GeneOnly]&amp;mk=4396834:4396853|offset_1|444444,4396871:4396890|offset_38|444444,4396891:4396910|offset_58|00cc00,4396931:4396950|offset_98|444444&amp;v=4396633:4397150&amp;c=444444", "offset 58")</f>
        <v>offset 58</v>
      </c>
    </row>
    <row r="14177" customFormat="false" ht="12.8" hidden="false" customHeight="false" outlineLevel="0" collapsed="false">
      <c r="A14177" s="0" t="s">
        <v>12</v>
      </c>
      <c r="B14177" s="0" t="n">
        <v>4396930</v>
      </c>
      <c r="C14177" s="0" t="n">
        <v>4396950</v>
      </c>
      <c r="D14177" s="0" t="s">
        <v>47097</v>
      </c>
      <c r="E14177" s="0" t="s">
        <v>47098</v>
      </c>
      <c r="F14177" s="0" t="s">
        <v>15</v>
      </c>
      <c r="G14177" s="0" t="s">
        <v>16</v>
      </c>
      <c r="H14177" s="0" t="n">
        <v>98</v>
      </c>
      <c r="I14177" s="0" t="s">
        <v>47108</v>
      </c>
      <c r="J14177" s="0" t="s">
        <v>47109</v>
      </c>
      <c r="K14177" s="0" t="s">
        <v>47110</v>
      </c>
      <c r="L14177" s="0" t="str">
        <f aca="false">HYPERLINK("https://www.ncbi.nlm.nih.gov/nuccore/CP000058.1?report=graph&amp;tracks=[key:gene_model_track,Options:GeneOnly]&amp;mk=4396834:4396853|offset_1|444444,4396871:4396890|offset_38|444444,4396891:4396910|offset_58|444444,4396931:4396950|offset_98|00cc00&amp;v=4396633:4397150&amp;c=444444", "offset 98")</f>
        <v>offset 98</v>
      </c>
    </row>
    <row r="14178" customFormat="false" ht="12.8" hidden="false" customHeight="false" outlineLevel="0" collapsed="false">
      <c r="A14178" s="0" t="s">
        <v>12</v>
      </c>
      <c r="B14178" s="0" t="n">
        <v>4399580</v>
      </c>
      <c r="C14178" s="0" t="n">
        <v>4399600</v>
      </c>
      <c r="D14178" s="0" t="s">
        <v>47111</v>
      </c>
      <c r="E14178" s="0" t="s">
        <v>47112</v>
      </c>
      <c r="F14178" s="0" t="s">
        <v>15</v>
      </c>
      <c r="G14178" s="0" t="s">
        <v>36</v>
      </c>
      <c r="H14178" s="0" t="n">
        <v>0</v>
      </c>
      <c r="I14178" s="0" t="s">
        <v>47113</v>
      </c>
      <c r="J14178" s="0" t="s">
        <v>47114</v>
      </c>
      <c r="K14178" s="0" t="s">
        <v>47115</v>
      </c>
      <c r="L14178" s="0" t="str">
        <f aca="false">HYPERLINK("https://www.ncbi.nlm.nih.gov/nuccore/CP000058.1?report=graph&amp;tracks=[key:gene_model_track,Options:GeneOnly]&amp;mk=4399581:4399600|offset_0|00cc00,4399611:4399630|offset_30|444444,4399636:4399655|offset_55|444444,4399656:4399675|offset_75|444444&amp;v=4399380:4399875&amp;c=444444", "offset 0")</f>
        <v>offset 0</v>
      </c>
    </row>
    <row r="14179" customFormat="false" ht="12.8" hidden="false" customHeight="false" outlineLevel="0" collapsed="false">
      <c r="A14179" s="0" t="s">
        <v>12</v>
      </c>
      <c r="B14179" s="0" t="n">
        <v>4399610</v>
      </c>
      <c r="C14179" s="0" t="n">
        <v>4399630</v>
      </c>
      <c r="D14179" s="0" t="s">
        <v>47111</v>
      </c>
      <c r="E14179" s="0" t="s">
        <v>47112</v>
      </c>
      <c r="F14179" s="0" t="s">
        <v>15</v>
      </c>
      <c r="G14179" s="0" t="s">
        <v>20</v>
      </c>
      <c r="H14179" s="0" t="n">
        <v>30</v>
      </c>
      <c r="I14179" s="0" t="s">
        <v>47116</v>
      </c>
      <c r="J14179" s="0" t="s">
        <v>47117</v>
      </c>
      <c r="K14179" s="0" t="s">
        <v>47118</v>
      </c>
      <c r="L14179" s="0" t="str">
        <f aca="false">HYPERLINK("https://www.ncbi.nlm.nih.gov/nuccore/CP000058.1?report=graph&amp;tracks=[key:gene_model_track,Options:GeneOnly]&amp;mk=4399581:4399600|offset_0|444444,4399611:4399630|offset_30|00cc00,4399636:4399655|offset_55|444444,4399656:4399675|offset_75|444444&amp;v=4399380:4399875&amp;c=444444", "offset 30")</f>
        <v>offset 30</v>
      </c>
    </row>
    <row r="14180" customFormat="false" ht="12.8" hidden="false" customHeight="false" outlineLevel="0" collapsed="false">
      <c r="A14180" s="0" t="s">
        <v>12</v>
      </c>
      <c r="B14180" s="0" t="n">
        <v>4399635</v>
      </c>
      <c r="C14180" s="0" t="n">
        <v>4399655</v>
      </c>
      <c r="D14180" s="0" t="s">
        <v>47111</v>
      </c>
      <c r="E14180" s="0" t="s">
        <v>47112</v>
      </c>
      <c r="F14180" s="0" t="s">
        <v>15</v>
      </c>
      <c r="G14180" s="0" t="s">
        <v>20</v>
      </c>
      <c r="H14180" s="0" t="n">
        <v>55</v>
      </c>
      <c r="I14180" s="0" t="s">
        <v>47119</v>
      </c>
      <c r="J14180" s="0" t="s">
        <v>47120</v>
      </c>
      <c r="K14180" s="0" t="s">
        <v>47121</v>
      </c>
      <c r="L14180" s="0" t="str">
        <f aca="false">HYPERLINK("https://www.ncbi.nlm.nih.gov/nuccore/CP000058.1?report=graph&amp;tracks=[key:gene_model_track,Options:GeneOnly]&amp;mk=4399581:4399600|offset_0|444444,4399611:4399630|offset_30|444444,4399636:4399655|offset_55|00cc00,4399656:4399675|offset_75|444444&amp;v=4399380:4399875&amp;c=444444", "offset 55")</f>
        <v>offset 55</v>
      </c>
    </row>
    <row r="14181" customFormat="false" ht="12.8" hidden="false" customHeight="false" outlineLevel="0" collapsed="false">
      <c r="A14181" s="0" t="s">
        <v>12</v>
      </c>
      <c r="B14181" s="0" t="n">
        <v>4399655</v>
      </c>
      <c r="C14181" s="0" t="n">
        <v>4399675</v>
      </c>
      <c r="D14181" s="0" t="s">
        <v>47111</v>
      </c>
      <c r="E14181" s="0" t="s">
        <v>47112</v>
      </c>
      <c r="F14181" s="0" t="s">
        <v>15</v>
      </c>
      <c r="G14181" s="0" t="s">
        <v>36</v>
      </c>
      <c r="H14181" s="0" t="n">
        <v>75</v>
      </c>
      <c r="I14181" s="0" t="s">
        <v>47122</v>
      </c>
      <c r="J14181" s="0" t="s">
        <v>47123</v>
      </c>
      <c r="K14181" s="0" t="s">
        <v>47124</v>
      </c>
      <c r="L14181" s="0" t="str">
        <f aca="false">HYPERLINK("https://www.ncbi.nlm.nih.gov/nuccore/CP000058.1?report=graph&amp;tracks=[key:gene_model_track,Options:GeneOnly]&amp;mk=4399581:4399600|offset_0|444444,4399611:4399630|offset_30|444444,4399636:4399655|offset_55|444444,4399656:4399675|offset_75|00cc00&amp;v=4399380:4399875&amp;c=444444", "offset 75")</f>
        <v>offset 75</v>
      </c>
    </row>
    <row r="14182" customFormat="false" ht="12.8" hidden="false" customHeight="false" outlineLevel="0" collapsed="false">
      <c r="A14182" s="0" t="s">
        <v>12</v>
      </c>
      <c r="B14182" s="0" t="n">
        <v>4400838</v>
      </c>
      <c r="C14182" s="0" t="n">
        <v>4400858</v>
      </c>
      <c r="D14182" s="0" t="s">
        <v>47125</v>
      </c>
      <c r="E14182" s="0" t="s">
        <v>75</v>
      </c>
      <c r="F14182" s="0" t="s">
        <v>15</v>
      </c>
      <c r="G14182" s="0" t="s">
        <v>32</v>
      </c>
      <c r="H14182" s="0" t="n">
        <v>23</v>
      </c>
      <c r="I14182" s="0" t="s">
        <v>47126</v>
      </c>
      <c r="J14182" s="0" t="s">
        <v>47127</v>
      </c>
      <c r="K14182" s="0" t="s">
        <v>47128</v>
      </c>
      <c r="L14182" s="0" t="str">
        <f aca="false">HYPERLINK("https://www.ncbi.nlm.nih.gov/nuccore/CP000058.1?report=graph&amp;tracks=[key:gene_model_track,Options:GeneOnly]&amp;mk=4400839:4400858|offset_23|00cc00,4400866:4400885|offset_50|444444,4400887:4400906|offset_71|444444,4400931:4400950|offset_115|444444&amp;v=4400638:4401150&amp;c=444444", "offset 23")</f>
        <v>offset 23</v>
      </c>
    </row>
    <row r="14183" customFormat="false" ht="12.8" hidden="false" customHeight="false" outlineLevel="0" collapsed="false">
      <c r="A14183" s="0" t="s">
        <v>12</v>
      </c>
      <c r="B14183" s="0" t="n">
        <v>4400865</v>
      </c>
      <c r="C14183" s="0" t="n">
        <v>4400885</v>
      </c>
      <c r="D14183" s="0" t="s">
        <v>47125</v>
      </c>
      <c r="E14183" s="0" t="s">
        <v>75</v>
      </c>
      <c r="F14183" s="0" t="s">
        <v>15</v>
      </c>
      <c r="G14183" s="0" t="s">
        <v>20</v>
      </c>
      <c r="H14183" s="0" t="n">
        <v>50</v>
      </c>
      <c r="I14183" s="0" t="s">
        <v>47129</v>
      </c>
      <c r="J14183" s="0" t="s">
        <v>47130</v>
      </c>
      <c r="K14183" s="0" t="s">
        <v>47131</v>
      </c>
      <c r="L14183" s="0" t="str">
        <f aca="false">HYPERLINK("https://www.ncbi.nlm.nih.gov/nuccore/CP000058.1?report=graph&amp;tracks=[key:gene_model_track,Options:GeneOnly]&amp;mk=4400839:4400858|offset_23|444444,4400866:4400885|offset_50|00cc00,4400887:4400906|offset_71|444444,4400931:4400950|offset_115|444444&amp;v=4400638:4401150&amp;c=444444", "offset 50")</f>
        <v>offset 50</v>
      </c>
    </row>
    <row r="14184" customFormat="false" ht="12.8" hidden="false" customHeight="false" outlineLevel="0" collapsed="false">
      <c r="A14184" s="0" t="s">
        <v>12</v>
      </c>
      <c r="B14184" s="0" t="n">
        <v>4400886</v>
      </c>
      <c r="C14184" s="0" t="n">
        <v>4400906</v>
      </c>
      <c r="D14184" s="0" t="s">
        <v>47125</v>
      </c>
      <c r="E14184" s="0" t="s">
        <v>75</v>
      </c>
      <c r="F14184" s="0" t="s">
        <v>15</v>
      </c>
      <c r="G14184" s="0" t="s">
        <v>20</v>
      </c>
      <c r="H14184" s="0" t="n">
        <v>71</v>
      </c>
      <c r="I14184" s="0" t="s">
        <v>47132</v>
      </c>
      <c r="J14184" s="0" t="s">
        <v>47133</v>
      </c>
      <c r="K14184" s="0" t="s">
        <v>47134</v>
      </c>
      <c r="L14184" s="0" t="str">
        <f aca="false">HYPERLINK("https://www.ncbi.nlm.nih.gov/nuccore/CP000058.1?report=graph&amp;tracks=[key:gene_model_track,Options:GeneOnly]&amp;mk=4400839:4400858|offset_23|444444,4400866:4400885|offset_50|444444,4400887:4400906|offset_71|00cc00,4400931:4400950|offset_115|444444&amp;v=4400638:4401150&amp;c=444444", "offset 71")</f>
        <v>offset 71</v>
      </c>
    </row>
    <row r="14185" customFormat="false" ht="12.8" hidden="false" customHeight="false" outlineLevel="0" collapsed="false">
      <c r="A14185" s="0" t="s">
        <v>12</v>
      </c>
      <c r="B14185" s="0" t="n">
        <v>4400930</v>
      </c>
      <c r="C14185" s="0" t="n">
        <v>4400950</v>
      </c>
      <c r="D14185" s="0" t="s">
        <v>47125</v>
      </c>
      <c r="E14185" s="0" t="s">
        <v>75</v>
      </c>
      <c r="F14185" s="0" t="s">
        <v>15</v>
      </c>
      <c r="G14185" s="0" t="s">
        <v>16</v>
      </c>
      <c r="H14185" s="0" t="n">
        <v>115</v>
      </c>
      <c r="I14185" s="0" t="s">
        <v>47135</v>
      </c>
      <c r="J14185" s="0" t="s">
        <v>47136</v>
      </c>
      <c r="K14185" s="0" t="s">
        <v>47137</v>
      </c>
      <c r="L14185" s="0" t="str">
        <f aca="false">HYPERLINK("https://www.ncbi.nlm.nih.gov/nuccore/CP000058.1?report=graph&amp;tracks=[key:gene_model_track,Options:GeneOnly]&amp;mk=4400839:4400858|offset_23|444444,4400866:4400885|offset_50|444444,4400887:4400906|offset_71|444444,4400931:4400950|offset_115|00cc00&amp;v=4400638:4401150&amp;c=444444", "offset 115")</f>
        <v>offset 115</v>
      </c>
    </row>
    <row r="14186" customFormat="false" ht="12.8" hidden="false" customHeight="false" outlineLevel="0" collapsed="false">
      <c r="A14186" s="0" t="s">
        <v>12</v>
      </c>
      <c r="B14186" s="0" t="n">
        <v>4402408</v>
      </c>
      <c r="C14186" s="0" t="n">
        <v>4402428</v>
      </c>
      <c r="D14186" s="0" t="s">
        <v>47138</v>
      </c>
      <c r="E14186" s="0" t="s">
        <v>75</v>
      </c>
      <c r="F14186" s="0" t="s">
        <v>15</v>
      </c>
      <c r="G14186" s="0" t="s">
        <v>20</v>
      </c>
      <c r="H14186" s="0" t="n">
        <v>31</v>
      </c>
      <c r="I14186" s="0" t="s">
        <v>47139</v>
      </c>
      <c r="J14186" s="0" t="s">
        <v>47140</v>
      </c>
      <c r="K14186" s="0" t="s">
        <v>47141</v>
      </c>
      <c r="L14186" s="0" t="str">
        <f aca="false">HYPERLINK("https://www.ncbi.nlm.nih.gov/nuccore/CP000058.1?report=graph&amp;tracks=[key:gene_model_track,Options:GeneOnly]&amp;mk=4402409:4402428|offset_31|00cc00,4402430:4402449|offset_52|444444,4402454:4402473|offset_76|444444,4402497:4402516|offset_119|444444&amp;v=4402208:4402716&amp;c=444444", "offset 31")</f>
        <v>offset 31</v>
      </c>
    </row>
    <row r="14187" customFormat="false" ht="12.8" hidden="false" customHeight="false" outlineLevel="0" collapsed="false">
      <c r="A14187" s="0" t="s">
        <v>12</v>
      </c>
      <c r="B14187" s="0" t="n">
        <v>4402429</v>
      </c>
      <c r="C14187" s="0" t="n">
        <v>4402449</v>
      </c>
      <c r="D14187" s="0" t="s">
        <v>47138</v>
      </c>
      <c r="E14187" s="0" t="s">
        <v>75</v>
      </c>
      <c r="F14187" s="0" t="s">
        <v>15</v>
      </c>
      <c r="G14187" s="0" t="s">
        <v>36</v>
      </c>
      <c r="H14187" s="0" t="n">
        <v>52</v>
      </c>
      <c r="I14187" s="0" t="s">
        <v>47142</v>
      </c>
      <c r="J14187" s="0" t="s">
        <v>47143</v>
      </c>
      <c r="K14187" s="0" t="s">
        <v>47144</v>
      </c>
      <c r="L14187" s="0" t="str">
        <f aca="false">HYPERLINK("https://www.ncbi.nlm.nih.gov/nuccore/CP000058.1?report=graph&amp;tracks=[key:gene_model_track,Options:GeneOnly]&amp;mk=4402409:4402428|offset_31|444444,4402430:4402449|offset_52|00cc00,4402454:4402473|offset_76|444444,4402497:4402516|offset_119|444444&amp;v=4402208:4402716&amp;c=444444", "offset 52")</f>
        <v>offset 52</v>
      </c>
    </row>
    <row r="14188" customFormat="false" ht="12.8" hidden="false" customHeight="false" outlineLevel="0" collapsed="false">
      <c r="A14188" s="0" t="s">
        <v>12</v>
      </c>
      <c r="B14188" s="0" t="n">
        <v>4402453</v>
      </c>
      <c r="C14188" s="0" t="n">
        <v>4402473</v>
      </c>
      <c r="D14188" s="0" t="s">
        <v>47138</v>
      </c>
      <c r="E14188" s="0" t="s">
        <v>75</v>
      </c>
      <c r="F14188" s="0" t="s">
        <v>15</v>
      </c>
      <c r="G14188" s="0" t="s">
        <v>16</v>
      </c>
      <c r="H14188" s="0" t="n">
        <v>76</v>
      </c>
      <c r="I14188" s="0" t="s">
        <v>47145</v>
      </c>
      <c r="J14188" s="0" t="s">
        <v>47146</v>
      </c>
      <c r="K14188" s="0" t="s">
        <v>47147</v>
      </c>
      <c r="L14188" s="0" t="str">
        <f aca="false">HYPERLINK("https://www.ncbi.nlm.nih.gov/nuccore/CP000058.1?report=graph&amp;tracks=[key:gene_model_track,Options:GeneOnly]&amp;mk=4402409:4402428|offset_31|444444,4402430:4402449|offset_52|444444,4402454:4402473|offset_76|00cc00,4402497:4402516|offset_119|444444&amp;v=4402208:4402716&amp;c=444444", "offset 76")</f>
        <v>offset 76</v>
      </c>
    </row>
    <row r="14189" customFormat="false" ht="12.8" hidden="false" customHeight="false" outlineLevel="0" collapsed="false">
      <c r="A14189" s="0" t="s">
        <v>12</v>
      </c>
      <c r="B14189" s="0" t="n">
        <v>4402496</v>
      </c>
      <c r="C14189" s="0" t="n">
        <v>4402516</v>
      </c>
      <c r="D14189" s="0" t="s">
        <v>47138</v>
      </c>
      <c r="E14189" s="0" t="s">
        <v>75</v>
      </c>
      <c r="F14189" s="0" t="s">
        <v>15</v>
      </c>
      <c r="G14189" s="0" t="s">
        <v>16</v>
      </c>
      <c r="H14189" s="0" t="n">
        <v>119</v>
      </c>
      <c r="I14189" s="0" t="s">
        <v>47148</v>
      </c>
      <c r="J14189" s="0" t="s">
        <v>47149</v>
      </c>
      <c r="K14189" s="0" t="s">
        <v>47150</v>
      </c>
      <c r="L14189" s="0" t="str">
        <f aca="false">HYPERLINK("https://www.ncbi.nlm.nih.gov/nuccore/CP000058.1?report=graph&amp;tracks=[key:gene_model_track,Options:GeneOnly]&amp;mk=4402409:4402428|offset_31|444444,4402430:4402449|offset_52|444444,4402454:4402473|offset_76|444444,4402497:4402516|offset_119|00cc00&amp;v=4402208:4402716&amp;c=444444", "offset 119")</f>
        <v>offset 119</v>
      </c>
    </row>
    <row r="14190" customFormat="false" ht="12.8" hidden="false" customHeight="false" outlineLevel="0" collapsed="false">
      <c r="A14190" s="0" t="s">
        <v>12</v>
      </c>
      <c r="B14190" s="0" t="n">
        <v>4402779</v>
      </c>
      <c r="C14190" s="0" t="n">
        <v>4402799</v>
      </c>
      <c r="D14190" s="0" t="s">
        <v>47151</v>
      </c>
      <c r="E14190" s="0" t="s">
        <v>75</v>
      </c>
      <c r="F14190" s="0" t="s">
        <v>15</v>
      </c>
      <c r="G14190" s="0" t="s">
        <v>32</v>
      </c>
      <c r="H14190" s="0" t="n">
        <v>7</v>
      </c>
      <c r="I14190" s="0" t="s">
        <v>47152</v>
      </c>
      <c r="J14190" s="0" t="s">
        <v>47153</v>
      </c>
      <c r="K14190" s="0" t="s">
        <v>47154</v>
      </c>
      <c r="L14190" s="0" t="str">
        <f aca="false">HYPERLINK("https://www.ncbi.nlm.nih.gov/nuccore/CP000058.1?report=graph&amp;tracks=[key:gene_model_track,Options:GeneOnly]&amp;mk=4402780:4402799|offset_7|00cc00,4402801:4402820|offset_28|444444,4402860:4402879|offset_87|444444,4402894:4402913|offset_121|444444&amp;v=4402579:4403113&amp;c=444444", "offset 7")</f>
        <v>offset 7</v>
      </c>
    </row>
    <row r="14191" customFormat="false" ht="12.8" hidden="false" customHeight="false" outlineLevel="0" collapsed="false">
      <c r="A14191" s="0" t="s">
        <v>12</v>
      </c>
      <c r="B14191" s="0" t="n">
        <v>4402800</v>
      </c>
      <c r="C14191" s="0" t="n">
        <v>4402820</v>
      </c>
      <c r="D14191" s="0" t="s">
        <v>47151</v>
      </c>
      <c r="E14191" s="0" t="s">
        <v>75</v>
      </c>
      <c r="F14191" s="0" t="s">
        <v>15</v>
      </c>
      <c r="G14191" s="0" t="s">
        <v>20</v>
      </c>
      <c r="H14191" s="0" t="n">
        <v>28</v>
      </c>
      <c r="I14191" s="0" t="s">
        <v>47155</v>
      </c>
      <c r="J14191" s="0" t="s">
        <v>47156</v>
      </c>
      <c r="K14191" s="0" t="s">
        <v>47157</v>
      </c>
      <c r="L14191" s="0" t="str">
        <f aca="false">HYPERLINK("https://www.ncbi.nlm.nih.gov/nuccore/CP000058.1?report=graph&amp;tracks=[key:gene_model_track,Options:GeneOnly]&amp;mk=4402780:4402799|offset_7|444444,4402801:4402820|offset_28|00cc00,4402860:4402879|offset_87|444444,4402894:4402913|offset_121|444444&amp;v=4402579:4403113&amp;c=444444", "offset 28")</f>
        <v>offset 28</v>
      </c>
    </row>
    <row r="14192" customFormat="false" ht="12.8" hidden="false" customHeight="false" outlineLevel="0" collapsed="false">
      <c r="A14192" s="0" t="s">
        <v>12</v>
      </c>
      <c r="B14192" s="0" t="n">
        <v>4402859</v>
      </c>
      <c r="C14192" s="0" t="n">
        <v>4402879</v>
      </c>
      <c r="D14192" s="0" t="s">
        <v>47151</v>
      </c>
      <c r="E14192" s="0" t="s">
        <v>75</v>
      </c>
      <c r="F14192" s="0" t="s">
        <v>15</v>
      </c>
      <c r="G14192" s="0" t="s">
        <v>16</v>
      </c>
      <c r="H14192" s="0" t="n">
        <v>87</v>
      </c>
      <c r="I14192" s="0" t="s">
        <v>47158</v>
      </c>
      <c r="J14192" s="0" t="s">
        <v>47159</v>
      </c>
      <c r="K14192" s="0" t="s">
        <v>47160</v>
      </c>
      <c r="L14192" s="0" t="str">
        <f aca="false">HYPERLINK("https://www.ncbi.nlm.nih.gov/nuccore/CP000058.1?report=graph&amp;tracks=[key:gene_model_track,Options:GeneOnly]&amp;mk=4402780:4402799|offset_7|444444,4402801:4402820|offset_28|444444,4402860:4402879|offset_87|00cc00,4402894:4402913|offset_121|444444&amp;v=4402579:4403113&amp;c=444444", "offset 87")</f>
        <v>offset 87</v>
      </c>
    </row>
    <row r="14193" customFormat="false" ht="12.8" hidden="false" customHeight="false" outlineLevel="0" collapsed="false">
      <c r="A14193" s="0" t="s">
        <v>12</v>
      </c>
      <c r="B14193" s="0" t="n">
        <v>4402893</v>
      </c>
      <c r="C14193" s="0" t="n">
        <v>4402913</v>
      </c>
      <c r="D14193" s="0" t="s">
        <v>47151</v>
      </c>
      <c r="E14193" s="0" t="s">
        <v>75</v>
      </c>
      <c r="F14193" s="0" t="s">
        <v>15</v>
      </c>
      <c r="G14193" s="0" t="s">
        <v>32</v>
      </c>
      <c r="H14193" s="0" t="n">
        <v>121</v>
      </c>
      <c r="I14193" s="0" t="s">
        <v>47161</v>
      </c>
      <c r="J14193" s="0" t="s">
        <v>47162</v>
      </c>
      <c r="K14193" s="0" t="s">
        <v>47163</v>
      </c>
      <c r="L14193" s="0" t="str">
        <f aca="false">HYPERLINK("https://www.ncbi.nlm.nih.gov/nuccore/CP000058.1?report=graph&amp;tracks=[key:gene_model_track,Options:GeneOnly]&amp;mk=4402780:4402799|offset_7|444444,4402801:4402820|offset_28|444444,4402860:4402879|offset_87|444444,4402894:4402913|offset_121|00cc00&amp;v=4402579:4403113&amp;c=444444", "offset 121")</f>
        <v>offset 121</v>
      </c>
    </row>
    <row r="14194" customFormat="false" ht="12.8" hidden="false" customHeight="false" outlineLevel="0" collapsed="false">
      <c r="A14194" s="0" t="s">
        <v>12</v>
      </c>
      <c r="B14194" s="0" t="n">
        <v>4403836</v>
      </c>
      <c r="C14194" s="0" t="n">
        <v>4403856</v>
      </c>
      <c r="D14194" s="0" t="s">
        <v>47164</v>
      </c>
      <c r="E14194" s="0" t="s">
        <v>75</v>
      </c>
      <c r="F14194" s="0" t="s">
        <v>15</v>
      </c>
      <c r="G14194" s="0" t="s">
        <v>20</v>
      </c>
      <c r="H14194" s="0" t="n">
        <v>25</v>
      </c>
      <c r="I14194" s="0" t="s">
        <v>47165</v>
      </c>
      <c r="J14194" s="0" t="s">
        <v>47166</v>
      </c>
      <c r="K14194" s="0" t="s">
        <v>47167</v>
      </c>
      <c r="L14194" s="0" t="str">
        <f aca="false">HYPERLINK("https://www.ncbi.nlm.nih.gov/nuccore/CP000058.1?report=graph&amp;tracks=[key:gene_model_track,Options:GeneOnly]&amp;mk=4403837:4403856|offset_25|00cc00,4403872:4403891|offset_60|444444,4403901:4403920|offset_89|444444,4403931:4403950|offset_119|444444&amp;v=4403636:4404150&amp;c=444444", "offset 25")</f>
        <v>offset 25</v>
      </c>
    </row>
    <row r="14195" customFormat="false" ht="12.8" hidden="false" customHeight="false" outlineLevel="0" collapsed="false">
      <c r="A14195" s="0" t="s">
        <v>12</v>
      </c>
      <c r="B14195" s="0" t="n">
        <v>4403871</v>
      </c>
      <c r="C14195" s="0" t="n">
        <v>4403891</v>
      </c>
      <c r="D14195" s="0" t="s">
        <v>47164</v>
      </c>
      <c r="E14195" s="0" t="s">
        <v>75</v>
      </c>
      <c r="F14195" s="0" t="s">
        <v>15</v>
      </c>
      <c r="G14195" s="0" t="s">
        <v>36</v>
      </c>
      <c r="H14195" s="0" t="n">
        <v>60</v>
      </c>
      <c r="I14195" s="0" t="s">
        <v>47168</v>
      </c>
      <c r="J14195" s="0" t="s">
        <v>47169</v>
      </c>
      <c r="K14195" s="0" t="s">
        <v>47170</v>
      </c>
      <c r="L14195" s="0" t="str">
        <f aca="false">HYPERLINK("https://www.ncbi.nlm.nih.gov/nuccore/CP000058.1?report=graph&amp;tracks=[key:gene_model_track,Options:GeneOnly]&amp;mk=4403837:4403856|offset_25|444444,4403872:4403891|offset_60|00cc00,4403901:4403920|offset_89|444444,4403931:4403950|offset_119|444444&amp;v=4403636:4404150&amp;c=444444", "offset 60")</f>
        <v>offset 60</v>
      </c>
    </row>
    <row r="14196" customFormat="false" ht="12.8" hidden="false" customHeight="false" outlineLevel="0" collapsed="false">
      <c r="A14196" s="0" t="s">
        <v>12</v>
      </c>
      <c r="B14196" s="0" t="n">
        <v>4403900</v>
      </c>
      <c r="C14196" s="0" t="n">
        <v>4403920</v>
      </c>
      <c r="D14196" s="0" t="s">
        <v>47164</v>
      </c>
      <c r="E14196" s="0" t="s">
        <v>75</v>
      </c>
      <c r="F14196" s="0" t="s">
        <v>15</v>
      </c>
      <c r="G14196" s="0" t="s">
        <v>36</v>
      </c>
      <c r="H14196" s="0" t="n">
        <v>89</v>
      </c>
      <c r="I14196" s="0" t="s">
        <v>47171</v>
      </c>
      <c r="J14196" s="0" t="s">
        <v>47172</v>
      </c>
      <c r="K14196" s="0" t="s">
        <v>47173</v>
      </c>
      <c r="L14196" s="0" t="str">
        <f aca="false">HYPERLINK("https://www.ncbi.nlm.nih.gov/nuccore/CP000058.1?report=graph&amp;tracks=[key:gene_model_track,Options:GeneOnly]&amp;mk=4403837:4403856|offset_25|444444,4403872:4403891|offset_60|444444,4403901:4403920|offset_89|00cc00,4403931:4403950|offset_119|444444&amp;v=4403636:4404150&amp;c=444444", "offset 89")</f>
        <v>offset 89</v>
      </c>
    </row>
    <row r="14197" customFormat="false" ht="12.8" hidden="false" customHeight="false" outlineLevel="0" collapsed="false">
      <c r="A14197" s="0" t="s">
        <v>12</v>
      </c>
      <c r="B14197" s="0" t="n">
        <v>4403930</v>
      </c>
      <c r="C14197" s="0" t="n">
        <v>4403950</v>
      </c>
      <c r="D14197" s="0" t="s">
        <v>47164</v>
      </c>
      <c r="E14197" s="0" t="s">
        <v>75</v>
      </c>
      <c r="F14197" s="0" t="s">
        <v>15</v>
      </c>
      <c r="G14197" s="0" t="s">
        <v>32</v>
      </c>
      <c r="H14197" s="0" t="n">
        <v>119</v>
      </c>
      <c r="I14197" s="0" t="s">
        <v>47174</v>
      </c>
      <c r="J14197" s="0" t="s">
        <v>47175</v>
      </c>
      <c r="K14197" s="0" t="s">
        <v>47176</v>
      </c>
      <c r="L14197" s="0" t="str">
        <f aca="false">HYPERLINK("https://www.ncbi.nlm.nih.gov/nuccore/CP000058.1?report=graph&amp;tracks=[key:gene_model_track,Options:GeneOnly]&amp;mk=4403837:4403856|offset_25|444444,4403872:4403891|offset_60|444444,4403901:4403920|offset_89|444444,4403931:4403950|offset_119|00cc00&amp;v=4403636:4404150&amp;c=444444", "offset 119")</f>
        <v>offset 119</v>
      </c>
    </row>
    <row r="14198" customFormat="false" ht="12.8" hidden="false" customHeight="false" outlineLevel="0" collapsed="false">
      <c r="A14198" s="0" t="s">
        <v>12</v>
      </c>
      <c r="B14198" s="0" t="n">
        <v>4405079</v>
      </c>
      <c r="C14198" s="0" t="n">
        <v>4405099</v>
      </c>
      <c r="D14198" s="0" t="s">
        <v>47177</v>
      </c>
      <c r="E14198" s="0" t="s">
        <v>75</v>
      </c>
      <c r="F14198" s="0" t="s">
        <v>15</v>
      </c>
      <c r="G14198" s="0" t="s">
        <v>36</v>
      </c>
      <c r="H14198" s="0" t="n">
        <v>12</v>
      </c>
      <c r="I14198" s="0" t="s">
        <v>47178</v>
      </c>
      <c r="J14198" s="0" t="s">
        <v>47179</v>
      </c>
      <c r="K14198" s="0" t="s">
        <v>47180</v>
      </c>
      <c r="L14198" s="0" t="str">
        <f aca="false">HYPERLINK("https://www.ncbi.nlm.nih.gov/nuccore/CP000058.1?report=graph&amp;tracks=[key:gene_model_track,Options:GeneOnly]&amp;mk=4405080:4405099|offset_12|00cc00,4405114:4405133|offset_46|444444,4405145:4405164|offset_77|444444,4405169:4405188|offset_101|444444&amp;v=4404879:4405388&amp;c=444444", "offset 12")</f>
        <v>offset 12</v>
      </c>
    </row>
    <row r="14199" customFormat="false" ht="12.8" hidden="false" customHeight="false" outlineLevel="0" collapsed="false">
      <c r="A14199" s="0" t="s">
        <v>12</v>
      </c>
      <c r="B14199" s="0" t="n">
        <v>4405113</v>
      </c>
      <c r="C14199" s="0" t="n">
        <v>4405133</v>
      </c>
      <c r="D14199" s="0" t="s">
        <v>47177</v>
      </c>
      <c r="E14199" s="0" t="s">
        <v>75</v>
      </c>
      <c r="F14199" s="0" t="s">
        <v>15</v>
      </c>
      <c r="G14199" s="0" t="s">
        <v>36</v>
      </c>
      <c r="H14199" s="0" t="n">
        <v>46</v>
      </c>
      <c r="I14199" s="0" t="s">
        <v>47181</v>
      </c>
      <c r="J14199" s="0" t="s">
        <v>47182</v>
      </c>
      <c r="K14199" s="0" t="s">
        <v>47183</v>
      </c>
      <c r="L14199" s="0" t="str">
        <f aca="false">HYPERLINK("https://www.ncbi.nlm.nih.gov/nuccore/CP000058.1?report=graph&amp;tracks=[key:gene_model_track,Options:GeneOnly]&amp;mk=4405080:4405099|offset_12|444444,4405114:4405133|offset_46|00cc00,4405145:4405164|offset_77|444444,4405169:4405188|offset_101|444444&amp;v=4404879:4405388&amp;c=444444", "offset 46")</f>
        <v>offset 46</v>
      </c>
    </row>
    <row r="14200" customFormat="false" ht="12.8" hidden="false" customHeight="false" outlineLevel="0" collapsed="false">
      <c r="A14200" s="0" t="s">
        <v>12</v>
      </c>
      <c r="B14200" s="0" t="n">
        <v>4405144</v>
      </c>
      <c r="C14200" s="0" t="n">
        <v>4405164</v>
      </c>
      <c r="D14200" s="0" t="s">
        <v>47177</v>
      </c>
      <c r="E14200" s="0" t="s">
        <v>75</v>
      </c>
      <c r="F14200" s="0" t="s">
        <v>15</v>
      </c>
      <c r="G14200" s="0" t="s">
        <v>20</v>
      </c>
      <c r="H14200" s="0" t="n">
        <v>77</v>
      </c>
      <c r="I14200" s="0" t="s">
        <v>47184</v>
      </c>
      <c r="J14200" s="0" t="s">
        <v>47185</v>
      </c>
      <c r="K14200" s="0" t="s">
        <v>47186</v>
      </c>
      <c r="L14200" s="0" t="str">
        <f aca="false">HYPERLINK("https://www.ncbi.nlm.nih.gov/nuccore/CP000058.1?report=graph&amp;tracks=[key:gene_model_track,Options:GeneOnly]&amp;mk=4405080:4405099|offset_12|444444,4405114:4405133|offset_46|444444,4405145:4405164|offset_77|00cc00,4405169:4405188|offset_101|444444&amp;v=4404879:4405388&amp;c=444444", "offset 77")</f>
        <v>offset 77</v>
      </c>
    </row>
    <row r="14201" customFormat="false" ht="12.8" hidden="false" customHeight="false" outlineLevel="0" collapsed="false">
      <c r="A14201" s="0" t="s">
        <v>12</v>
      </c>
      <c r="B14201" s="0" t="n">
        <v>4405168</v>
      </c>
      <c r="C14201" s="0" t="n">
        <v>4405188</v>
      </c>
      <c r="D14201" s="0" t="s">
        <v>47177</v>
      </c>
      <c r="E14201" s="0" t="s">
        <v>75</v>
      </c>
      <c r="F14201" s="0" t="s">
        <v>15</v>
      </c>
      <c r="G14201" s="0" t="s">
        <v>20</v>
      </c>
      <c r="H14201" s="0" t="n">
        <v>101</v>
      </c>
      <c r="I14201" s="0" t="s">
        <v>47187</v>
      </c>
      <c r="J14201" s="0" t="s">
        <v>47188</v>
      </c>
      <c r="K14201" s="0" t="s">
        <v>47189</v>
      </c>
      <c r="L14201" s="0" t="str">
        <f aca="false">HYPERLINK("https://www.ncbi.nlm.nih.gov/nuccore/CP000058.1?report=graph&amp;tracks=[key:gene_model_track,Options:GeneOnly]&amp;mk=4405080:4405099|offset_12|444444,4405114:4405133|offset_46|444444,4405145:4405164|offset_77|444444,4405169:4405188|offset_101|00cc00&amp;v=4404879:4405388&amp;c=444444", "offset 101")</f>
        <v>offset 101</v>
      </c>
    </row>
    <row r="14202" customFormat="false" ht="12.8" hidden="false" customHeight="false" outlineLevel="0" collapsed="false">
      <c r="A14202" s="0" t="s">
        <v>12</v>
      </c>
      <c r="B14202" s="0" t="n">
        <v>4406258</v>
      </c>
      <c r="C14202" s="0" t="n">
        <v>4406278</v>
      </c>
      <c r="D14202" s="0" t="s">
        <v>47190</v>
      </c>
      <c r="E14202" s="0" t="s">
        <v>75</v>
      </c>
      <c r="F14202" s="0" t="s">
        <v>90</v>
      </c>
      <c r="G14202" s="0" t="s">
        <v>32</v>
      </c>
      <c r="H14202" s="0" t="n">
        <v>24</v>
      </c>
      <c r="I14202" s="0" t="s">
        <v>47191</v>
      </c>
      <c r="J14202" s="0" t="s">
        <v>47192</v>
      </c>
      <c r="K14202" s="0" t="s">
        <v>47193</v>
      </c>
      <c r="L14202" s="0" t="str">
        <f aca="false">HYPERLINK("https://www.ncbi.nlm.nih.gov/nuccore/CP000058.1?report=graph&amp;tracks=[key:gene_model_track,Options:GeneOnly]&amp;mk=4406259:4406278|offset_24|00cc00,4406239:4406258|offset_44|444444,4406218:4406237|offset_65|444444,4406147:4406166|offset_136|444444&amp;v=4406058:4406366&amp;c=444444", "offset 24")</f>
        <v>offset 24</v>
      </c>
    </row>
    <row r="14203" customFormat="false" ht="12.8" hidden="false" customHeight="false" outlineLevel="0" collapsed="false">
      <c r="A14203" s="0" t="s">
        <v>12</v>
      </c>
      <c r="B14203" s="0" t="n">
        <v>4406238</v>
      </c>
      <c r="C14203" s="0" t="n">
        <v>4406258</v>
      </c>
      <c r="D14203" s="0" t="s">
        <v>47190</v>
      </c>
      <c r="E14203" s="0" t="s">
        <v>75</v>
      </c>
      <c r="F14203" s="0" t="s">
        <v>90</v>
      </c>
      <c r="G14203" s="0" t="s">
        <v>16</v>
      </c>
      <c r="H14203" s="0" t="n">
        <v>44</v>
      </c>
      <c r="I14203" s="0" t="s">
        <v>47194</v>
      </c>
      <c r="J14203" s="0" t="s">
        <v>47195</v>
      </c>
      <c r="K14203" s="0" t="s">
        <v>47196</v>
      </c>
      <c r="L14203" s="0" t="str">
        <f aca="false">HYPERLINK("https://www.ncbi.nlm.nih.gov/nuccore/CP000058.1?report=graph&amp;tracks=[key:gene_model_track,Options:GeneOnly]&amp;mk=4406259:4406278|offset_24|444444,4406239:4406258|offset_44|00cc00,4406218:4406237|offset_65|444444,4406147:4406166|offset_136|444444&amp;v=4406058:4406366&amp;c=444444", "offset 44")</f>
        <v>offset 44</v>
      </c>
    </row>
    <row r="14204" customFormat="false" ht="12.8" hidden="false" customHeight="false" outlineLevel="0" collapsed="false">
      <c r="A14204" s="0" t="s">
        <v>12</v>
      </c>
      <c r="B14204" s="0" t="n">
        <v>4406217</v>
      </c>
      <c r="C14204" s="0" t="n">
        <v>4406237</v>
      </c>
      <c r="D14204" s="0" t="s">
        <v>47190</v>
      </c>
      <c r="E14204" s="0" t="s">
        <v>75</v>
      </c>
      <c r="F14204" s="0" t="s">
        <v>90</v>
      </c>
      <c r="G14204" s="0" t="s">
        <v>20</v>
      </c>
      <c r="H14204" s="0" t="n">
        <v>65</v>
      </c>
      <c r="I14204" s="0" t="s">
        <v>47197</v>
      </c>
      <c r="J14204" s="0" t="s">
        <v>47198</v>
      </c>
      <c r="K14204" s="0" t="s">
        <v>47199</v>
      </c>
      <c r="L14204" s="0" t="str">
        <f aca="false">HYPERLINK("https://www.ncbi.nlm.nih.gov/nuccore/CP000058.1?report=graph&amp;tracks=[key:gene_model_track,Options:GeneOnly]&amp;mk=4406259:4406278|offset_24|444444,4406239:4406258|offset_44|444444,4406218:4406237|offset_65|00cc00,4406147:4406166|offset_136|444444&amp;v=4406058:4406366&amp;c=444444", "offset 65")</f>
        <v>offset 65</v>
      </c>
    </row>
    <row r="14205" customFormat="false" ht="12.8" hidden="false" customHeight="false" outlineLevel="0" collapsed="false">
      <c r="A14205" s="0" t="s">
        <v>12</v>
      </c>
      <c r="B14205" s="0" t="n">
        <v>4406146</v>
      </c>
      <c r="C14205" s="0" t="n">
        <v>4406166</v>
      </c>
      <c r="D14205" s="0" t="s">
        <v>47190</v>
      </c>
      <c r="E14205" s="0" t="s">
        <v>75</v>
      </c>
      <c r="F14205" s="0" t="s">
        <v>90</v>
      </c>
      <c r="G14205" s="0" t="s">
        <v>32</v>
      </c>
      <c r="H14205" s="0" t="n">
        <v>136</v>
      </c>
      <c r="I14205" s="0" t="s">
        <v>47200</v>
      </c>
      <c r="J14205" s="0" t="s">
        <v>47201</v>
      </c>
      <c r="K14205" s="0" t="s">
        <v>47202</v>
      </c>
      <c r="L14205" s="0" t="str">
        <f aca="false">HYPERLINK("https://www.ncbi.nlm.nih.gov/nuccore/CP000058.1?report=graph&amp;tracks=[key:gene_model_track,Options:GeneOnly]&amp;mk=4406259:4406278|offset_24|444444,4406239:4406258|offset_44|444444,4406218:4406237|offset_65|444444,4406147:4406166|offset_136|00cc00&amp;v=4406058:4406366&amp;c=444444", "offset 136")</f>
        <v>offset 136</v>
      </c>
    </row>
    <row r="14206" customFormat="false" ht="12.8" hidden="false" customHeight="false" outlineLevel="0" collapsed="false">
      <c r="A14206" s="0" t="s">
        <v>12</v>
      </c>
      <c r="B14206" s="0" t="n">
        <v>4406719</v>
      </c>
      <c r="C14206" s="0" t="n">
        <v>4406739</v>
      </c>
      <c r="D14206" s="0" t="s">
        <v>47203</v>
      </c>
      <c r="E14206" s="0" t="s">
        <v>47204</v>
      </c>
      <c r="F14206" s="0" t="s">
        <v>15</v>
      </c>
      <c r="G14206" s="0" t="s">
        <v>36</v>
      </c>
      <c r="H14206" s="0" t="n">
        <v>10</v>
      </c>
      <c r="I14206" s="0" t="s">
        <v>47205</v>
      </c>
      <c r="J14206" s="0" t="s">
        <v>47206</v>
      </c>
      <c r="K14206" s="0" t="s">
        <v>47207</v>
      </c>
      <c r="L14206" s="0" t="str">
        <f aca="false">HYPERLINK("https://www.ncbi.nlm.nih.gov/nuccore/CP000058.1?report=graph&amp;tracks=[key:gene_model_track,Options:GeneOnly]&amp;mk=4406720:4406739|offset_10|00cc00,4406741:4406760|offset_31|444444,4406766:4406785|offset_56|444444,4406795:4406814|offset_85|444444&amp;v=4406519:4407014&amp;c=444444", "offset 10")</f>
        <v>offset 10</v>
      </c>
    </row>
    <row r="14207" customFormat="false" ht="12.8" hidden="false" customHeight="false" outlineLevel="0" collapsed="false">
      <c r="A14207" s="0" t="s">
        <v>12</v>
      </c>
      <c r="B14207" s="0" t="n">
        <v>4406740</v>
      </c>
      <c r="C14207" s="0" t="n">
        <v>4406760</v>
      </c>
      <c r="D14207" s="0" t="s">
        <v>47203</v>
      </c>
      <c r="E14207" s="0" t="s">
        <v>47204</v>
      </c>
      <c r="F14207" s="0" t="s">
        <v>15</v>
      </c>
      <c r="G14207" s="0" t="s">
        <v>36</v>
      </c>
      <c r="H14207" s="0" t="n">
        <v>31</v>
      </c>
      <c r="I14207" s="0" t="s">
        <v>47208</v>
      </c>
      <c r="J14207" s="0" t="s">
        <v>47209</v>
      </c>
      <c r="K14207" s="0" t="s">
        <v>47210</v>
      </c>
      <c r="L14207" s="0" t="str">
        <f aca="false">HYPERLINK("https://www.ncbi.nlm.nih.gov/nuccore/CP000058.1?report=graph&amp;tracks=[key:gene_model_track,Options:GeneOnly]&amp;mk=4406720:4406739|offset_10|444444,4406741:4406760|offset_31|00cc00,4406766:4406785|offset_56|444444,4406795:4406814|offset_85|444444&amp;v=4406519:4407014&amp;c=444444", "offset 31")</f>
        <v>offset 31</v>
      </c>
    </row>
    <row r="14208" customFormat="false" ht="12.8" hidden="false" customHeight="false" outlineLevel="0" collapsed="false">
      <c r="A14208" s="0" t="s">
        <v>12</v>
      </c>
      <c r="B14208" s="0" t="n">
        <v>4406765</v>
      </c>
      <c r="C14208" s="0" t="n">
        <v>4406785</v>
      </c>
      <c r="D14208" s="0" t="s">
        <v>47203</v>
      </c>
      <c r="E14208" s="0" t="s">
        <v>47204</v>
      </c>
      <c r="F14208" s="0" t="s">
        <v>15</v>
      </c>
      <c r="G14208" s="0" t="s">
        <v>16</v>
      </c>
      <c r="H14208" s="0" t="n">
        <v>56</v>
      </c>
      <c r="I14208" s="0" t="s">
        <v>47211</v>
      </c>
      <c r="J14208" s="0" t="s">
        <v>47212</v>
      </c>
      <c r="K14208" s="0" t="s">
        <v>47213</v>
      </c>
      <c r="L14208" s="0" t="str">
        <f aca="false">HYPERLINK("https://www.ncbi.nlm.nih.gov/nuccore/CP000058.1?report=graph&amp;tracks=[key:gene_model_track,Options:GeneOnly]&amp;mk=4406720:4406739|offset_10|444444,4406741:4406760|offset_31|444444,4406766:4406785|offset_56|00cc00,4406795:4406814|offset_85|444444&amp;v=4406519:4407014&amp;c=444444", "offset 56")</f>
        <v>offset 56</v>
      </c>
    </row>
    <row r="14209" customFormat="false" ht="12.8" hidden="false" customHeight="false" outlineLevel="0" collapsed="false">
      <c r="A14209" s="0" t="s">
        <v>12</v>
      </c>
      <c r="B14209" s="0" t="n">
        <v>4406794</v>
      </c>
      <c r="C14209" s="0" t="n">
        <v>4406814</v>
      </c>
      <c r="D14209" s="0" t="s">
        <v>47203</v>
      </c>
      <c r="E14209" s="0" t="s">
        <v>47204</v>
      </c>
      <c r="F14209" s="0" t="s">
        <v>15</v>
      </c>
      <c r="G14209" s="0" t="s">
        <v>16</v>
      </c>
      <c r="H14209" s="0" t="n">
        <v>85</v>
      </c>
      <c r="I14209" s="0" t="s">
        <v>47214</v>
      </c>
      <c r="J14209" s="0" t="s">
        <v>47215</v>
      </c>
      <c r="K14209" s="0" t="s">
        <v>47216</v>
      </c>
      <c r="L14209" s="0" t="str">
        <f aca="false">HYPERLINK("https://www.ncbi.nlm.nih.gov/nuccore/CP000058.1?report=graph&amp;tracks=[key:gene_model_track,Options:GeneOnly]&amp;mk=4406720:4406739|offset_10|444444,4406741:4406760|offset_31|444444,4406766:4406785|offset_56|444444,4406795:4406814|offset_85|00cc00&amp;v=4406519:4407014&amp;c=444444", "offset 85")</f>
        <v>offset 85</v>
      </c>
    </row>
    <row r="14210" customFormat="false" ht="12.8" hidden="false" customHeight="false" outlineLevel="0" collapsed="false">
      <c r="A14210" s="0" t="s">
        <v>12</v>
      </c>
      <c r="B14210" s="0" t="n">
        <v>4407870</v>
      </c>
      <c r="C14210" s="0" t="n">
        <v>4407890</v>
      </c>
      <c r="D14210" s="0" t="s">
        <v>47217</v>
      </c>
      <c r="E14210" s="0" t="s">
        <v>47218</v>
      </c>
      <c r="F14210" s="0" t="s">
        <v>15</v>
      </c>
      <c r="G14210" s="0" t="s">
        <v>20</v>
      </c>
      <c r="H14210" s="0" t="n">
        <v>10</v>
      </c>
      <c r="I14210" s="0" t="s">
        <v>47219</v>
      </c>
      <c r="J14210" s="0" t="s">
        <v>47220</v>
      </c>
      <c r="K14210" s="0" t="s">
        <v>47221</v>
      </c>
      <c r="L14210" s="0" t="str">
        <f aca="false">HYPERLINK("https://www.ncbi.nlm.nih.gov/nuccore/CP000058.1?report=graph&amp;tracks=[key:gene_model_track,Options:GeneOnly]&amp;mk=4407871:4407890|offset_10|00cc00,4407901:4407920|offset_40|444444,4407923:4407942|offset_62|444444,4407944:4407963|offset_83|444444&amp;v=4407670:4408163&amp;c=444444", "offset 10")</f>
        <v>offset 10</v>
      </c>
    </row>
    <row r="14211" customFormat="false" ht="12.8" hidden="false" customHeight="false" outlineLevel="0" collapsed="false">
      <c r="A14211" s="0" t="s">
        <v>12</v>
      </c>
      <c r="B14211" s="0" t="n">
        <v>4407900</v>
      </c>
      <c r="C14211" s="0" t="n">
        <v>4407920</v>
      </c>
      <c r="D14211" s="0" t="s">
        <v>47217</v>
      </c>
      <c r="E14211" s="0" t="s">
        <v>47218</v>
      </c>
      <c r="F14211" s="0" t="s">
        <v>15</v>
      </c>
      <c r="G14211" s="0" t="s">
        <v>16</v>
      </c>
      <c r="H14211" s="0" t="n">
        <v>40</v>
      </c>
      <c r="I14211" s="0" t="s">
        <v>47222</v>
      </c>
      <c r="J14211" s="0" t="s">
        <v>47223</v>
      </c>
      <c r="K14211" s="0" t="s">
        <v>47224</v>
      </c>
      <c r="L14211" s="0" t="str">
        <f aca="false">HYPERLINK("https://www.ncbi.nlm.nih.gov/nuccore/CP000058.1?report=graph&amp;tracks=[key:gene_model_track,Options:GeneOnly]&amp;mk=4407871:4407890|offset_10|444444,4407901:4407920|offset_40|00cc00,4407923:4407942|offset_62|444444,4407944:4407963|offset_83|444444&amp;v=4407670:4408163&amp;c=444444", "offset 40")</f>
        <v>offset 40</v>
      </c>
    </row>
    <row r="14212" customFormat="false" ht="12.8" hidden="false" customHeight="false" outlineLevel="0" collapsed="false">
      <c r="A14212" s="0" t="s">
        <v>12</v>
      </c>
      <c r="B14212" s="0" t="n">
        <v>4407922</v>
      </c>
      <c r="C14212" s="0" t="n">
        <v>4407942</v>
      </c>
      <c r="D14212" s="0" t="s">
        <v>47217</v>
      </c>
      <c r="E14212" s="0" t="s">
        <v>47218</v>
      </c>
      <c r="F14212" s="0" t="s">
        <v>15</v>
      </c>
      <c r="G14212" s="0" t="s">
        <v>36</v>
      </c>
      <c r="H14212" s="0" t="n">
        <v>62</v>
      </c>
      <c r="I14212" s="0" t="s">
        <v>47225</v>
      </c>
      <c r="J14212" s="0" t="s">
        <v>47226</v>
      </c>
      <c r="K14212" s="0" t="s">
        <v>47227</v>
      </c>
      <c r="L14212" s="0" t="str">
        <f aca="false">HYPERLINK("https://www.ncbi.nlm.nih.gov/nuccore/CP000058.1?report=graph&amp;tracks=[key:gene_model_track,Options:GeneOnly]&amp;mk=4407871:4407890|offset_10|444444,4407901:4407920|offset_40|444444,4407923:4407942|offset_62|00cc00,4407944:4407963|offset_83|444444&amp;v=4407670:4408163&amp;c=444444", "offset 62")</f>
        <v>offset 62</v>
      </c>
    </row>
    <row r="14213" customFormat="false" ht="12.8" hidden="false" customHeight="false" outlineLevel="0" collapsed="false">
      <c r="A14213" s="0" t="s">
        <v>12</v>
      </c>
      <c r="B14213" s="0" t="n">
        <v>4407943</v>
      </c>
      <c r="C14213" s="0" t="n">
        <v>4407963</v>
      </c>
      <c r="D14213" s="0" t="s">
        <v>47217</v>
      </c>
      <c r="E14213" s="0" t="s">
        <v>47218</v>
      </c>
      <c r="F14213" s="0" t="s">
        <v>15</v>
      </c>
      <c r="G14213" s="0" t="s">
        <v>16</v>
      </c>
      <c r="H14213" s="0" t="n">
        <v>83</v>
      </c>
      <c r="I14213" s="0" t="s">
        <v>47228</v>
      </c>
      <c r="J14213" s="0" t="s">
        <v>47229</v>
      </c>
      <c r="K14213" s="0" t="s">
        <v>47230</v>
      </c>
      <c r="L14213" s="0" t="str">
        <f aca="false">HYPERLINK("https://www.ncbi.nlm.nih.gov/nuccore/CP000058.1?report=graph&amp;tracks=[key:gene_model_track,Options:GeneOnly]&amp;mk=4407871:4407890|offset_10|444444,4407901:4407920|offset_40|444444,4407923:4407942|offset_62|444444,4407944:4407963|offset_83|00cc00&amp;v=4407670:4408163&amp;c=444444", "offset 83")</f>
        <v>offset 83</v>
      </c>
    </row>
    <row r="14214" customFormat="false" ht="12.8" hidden="false" customHeight="false" outlineLevel="0" collapsed="false">
      <c r="A14214" s="0" t="s">
        <v>12</v>
      </c>
      <c r="B14214" s="0" t="n">
        <v>4408689</v>
      </c>
      <c r="C14214" s="0" t="n">
        <v>4408709</v>
      </c>
      <c r="D14214" s="0" t="s">
        <v>47231</v>
      </c>
      <c r="E14214" s="0" t="s">
        <v>75</v>
      </c>
      <c r="F14214" s="0" t="s">
        <v>15</v>
      </c>
      <c r="G14214" s="0" t="s">
        <v>36</v>
      </c>
      <c r="H14214" s="0" t="n">
        <v>0</v>
      </c>
      <c r="I14214" s="0" t="s">
        <v>47232</v>
      </c>
      <c r="J14214" s="0" t="s">
        <v>47233</v>
      </c>
      <c r="K14214" s="0" t="s">
        <v>47234</v>
      </c>
      <c r="L14214" s="0" t="str">
        <f aca="false">HYPERLINK("https://www.ncbi.nlm.nih.gov/nuccore/CP000058.1?report=graph&amp;tracks=[key:gene_model_track,Options:GeneOnly]&amp;mk=4408690:4408709|offset_0|00cc00,4408719:4408738|offset_29|444444,4408740:4408759|offset_50|444444,4408772:4408791|offset_82|444444&amp;v=4408489:4408991&amp;c=444444", "offset 0")</f>
        <v>offset 0</v>
      </c>
    </row>
    <row r="14215" customFormat="false" ht="12.8" hidden="false" customHeight="false" outlineLevel="0" collapsed="false">
      <c r="A14215" s="0" t="s">
        <v>12</v>
      </c>
      <c r="B14215" s="0" t="n">
        <v>4408718</v>
      </c>
      <c r="C14215" s="0" t="n">
        <v>4408738</v>
      </c>
      <c r="D14215" s="0" t="s">
        <v>47231</v>
      </c>
      <c r="E14215" s="0" t="s">
        <v>75</v>
      </c>
      <c r="F14215" s="0" t="s">
        <v>15</v>
      </c>
      <c r="G14215" s="0" t="s">
        <v>20</v>
      </c>
      <c r="H14215" s="0" t="n">
        <v>29</v>
      </c>
      <c r="I14215" s="0" t="s">
        <v>47235</v>
      </c>
      <c r="J14215" s="0" t="s">
        <v>47236</v>
      </c>
      <c r="K14215" s="0" t="s">
        <v>47237</v>
      </c>
      <c r="L14215" s="0" t="str">
        <f aca="false">HYPERLINK("https://www.ncbi.nlm.nih.gov/nuccore/CP000058.1?report=graph&amp;tracks=[key:gene_model_track,Options:GeneOnly]&amp;mk=4408690:4408709|offset_0|444444,4408719:4408738|offset_29|00cc00,4408740:4408759|offset_50|444444,4408772:4408791|offset_82|444444&amp;v=4408489:4408991&amp;c=444444", "offset 29")</f>
        <v>offset 29</v>
      </c>
    </row>
    <row r="14216" customFormat="false" ht="12.8" hidden="false" customHeight="false" outlineLevel="0" collapsed="false">
      <c r="A14216" s="0" t="s">
        <v>12</v>
      </c>
      <c r="B14216" s="0" t="n">
        <v>4408739</v>
      </c>
      <c r="C14216" s="0" t="n">
        <v>4408759</v>
      </c>
      <c r="D14216" s="0" t="s">
        <v>47231</v>
      </c>
      <c r="E14216" s="0" t="s">
        <v>75</v>
      </c>
      <c r="F14216" s="0" t="s">
        <v>15</v>
      </c>
      <c r="G14216" s="0" t="s">
        <v>32</v>
      </c>
      <c r="H14216" s="0" t="n">
        <v>50</v>
      </c>
      <c r="I14216" s="0" t="s">
        <v>47238</v>
      </c>
      <c r="J14216" s="0" t="s">
        <v>47239</v>
      </c>
      <c r="K14216" s="0" t="s">
        <v>47240</v>
      </c>
      <c r="L14216" s="0" t="str">
        <f aca="false">HYPERLINK("https://www.ncbi.nlm.nih.gov/nuccore/CP000058.1?report=graph&amp;tracks=[key:gene_model_track,Options:GeneOnly]&amp;mk=4408690:4408709|offset_0|444444,4408719:4408738|offset_29|444444,4408740:4408759|offset_50|00cc00,4408772:4408791|offset_82|444444&amp;v=4408489:4408991&amp;c=444444", "offset 50")</f>
        <v>offset 50</v>
      </c>
    </row>
    <row r="14217" customFormat="false" ht="12.8" hidden="false" customHeight="false" outlineLevel="0" collapsed="false">
      <c r="A14217" s="0" t="s">
        <v>12</v>
      </c>
      <c r="B14217" s="0" t="n">
        <v>4408771</v>
      </c>
      <c r="C14217" s="0" t="n">
        <v>4408791</v>
      </c>
      <c r="D14217" s="0" t="s">
        <v>47231</v>
      </c>
      <c r="E14217" s="0" t="s">
        <v>75</v>
      </c>
      <c r="F14217" s="0" t="s">
        <v>15</v>
      </c>
      <c r="G14217" s="0" t="s">
        <v>36</v>
      </c>
      <c r="H14217" s="0" t="n">
        <v>82</v>
      </c>
      <c r="I14217" s="0" t="s">
        <v>47241</v>
      </c>
      <c r="J14217" s="0" t="s">
        <v>47242</v>
      </c>
      <c r="K14217" s="0" t="s">
        <v>47243</v>
      </c>
      <c r="L14217" s="0" t="str">
        <f aca="false">HYPERLINK("https://www.ncbi.nlm.nih.gov/nuccore/CP000058.1?report=graph&amp;tracks=[key:gene_model_track,Options:GeneOnly]&amp;mk=4408690:4408709|offset_0|444444,4408719:4408738|offset_29|444444,4408740:4408759|offset_50|444444,4408772:4408791|offset_82|00cc00&amp;v=4408489:4408991&amp;c=444444", "offset 82")</f>
        <v>offset 82</v>
      </c>
    </row>
    <row r="14218" customFormat="false" ht="12.8" hidden="false" customHeight="false" outlineLevel="0" collapsed="false">
      <c r="A14218" s="0" t="s">
        <v>12</v>
      </c>
      <c r="B14218" s="0" t="n">
        <v>4409238</v>
      </c>
      <c r="C14218" s="0" t="n">
        <v>4409258</v>
      </c>
      <c r="D14218" s="0" t="s">
        <v>47244</v>
      </c>
      <c r="E14218" s="0" t="s">
        <v>47245</v>
      </c>
      <c r="F14218" s="0" t="s">
        <v>15</v>
      </c>
      <c r="G14218" s="0" t="s">
        <v>36</v>
      </c>
      <c r="H14218" s="0" t="n">
        <v>7</v>
      </c>
      <c r="I14218" s="0" t="s">
        <v>47246</v>
      </c>
      <c r="J14218" s="0" t="s">
        <v>47247</v>
      </c>
      <c r="K14218" s="0" t="s">
        <v>47248</v>
      </c>
      <c r="L14218" s="0" t="str">
        <f aca="false">HYPERLINK("https://www.ncbi.nlm.nih.gov/nuccore/CP000058.1?report=graph&amp;tracks=[key:gene_model_track,Options:GeneOnly]&amp;mk=4409239:4409258|offset_7|00cc00,4409272:4409291|offset_40|444444,4409311:4409330|offset_79|444444,4409339:4409358|offset_107|444444&amp;v=4409038:4409558&amp;c=444444", "offset 7")</f>
        <v>offset 7</v>
      </c>
    </row>
    <row r="14219" customFormat="false" ht="12.8" hidden="false" customHeight="false" outlineLevel="0" collapsed="false">
      <c r="A14219" s="0" t="s">
        <v>12</v>
      </c>
      <c r="B14219" s="0" t="n">
        <v>4409271</v>
      </c>
      <c r="C14219" s="0" t="n">
        <v>4409291</v>
      </c>
      <c r="D14219" s="0" t="s">
        <v>47244</v>
      </c>
      <c r="E14219" s="0" t="s">
        <v>47245</v>
      </c>
      <c r="F14219" s="0" t="s">
        <v>15</v>
      </c>
      <c r="G14219" s="0" t="s">
        <v>36</v>
      </c>
      <c r="H14219" s="0" t="n">
        <v>40</v>
      </c>
      <c r="I14219" s="0" t="s">
        <v>47249</v>
      </c>
      <c r="J14219" s="0" t="s">
        <v>47250</v>
      </c>
      <c r="K14219" s="0" t="s">
        <v>47251</v>
      </c>
      <c r="L14219" s="0" t="str">
        <f aca="false">HYPERLINK("https://www.ncbi.nlm.nih.gov/nuccore/CP000058.1?report=graph&amp;tracks=[key:gene_model_track,Options:GeneOnly]&amp;mk=4409239:4409258|offset_7|444444,4409272:4409291|offset_40|00cc00,4409311:4409330|offset_79|444444,4409339:4409358|offset_107|444444&amp;v=4409038:4409558&amp;c=444444", "offset 40")</f>
        <v>offset 40</v>
      </c>
    </row>
    <row r="14220" customFormat="false" ht="12.8" hidden="false" customHeight="false" outlineLevel="0" collapsed="false">
      <c r="A14220" s="0" t="s">
        <v>12</v>
      </c>
      <c r="B14220" s="0" t="n">
        <v>4409310</v>
      </c>
      <c r="C14220" s="0" t="n">
        <v>4409330</v>
      </c>
      <c r="D14220" s="0" t="s">
        <v>47244</v>
      </c>
      <c r="E14220" s="0" t="s">
        <v>47245</v>
      </c>
      <c r="F14220" s="0" t="s">
        <v>15</v>
      </c>
      <c r="G14220" s="0" t="s">
        <v>32</v>
      </c>
      <c r="H14220" s="0" t="n">
        <v>79</v>
      </c>
      <c r="I14220" s="0" t="s">
        <v>47252</v>
      </c>
      <c r="J14220" s="0" t="s">
        <v>47253</v>
      </c>
      <c r="K14220" s="0" t="s">
        <v>47254</v>
      </c>
      <c r="L14220" s="0" t="str">
        <f aca="false">HYPERLINK("https://www.ncbi.nlm.nih.gov/nuccore/CP000058.1?report=graph&amp;tracks=[key:gene_model_track,Options:GeneOnly]&amp;mk=4409239:4409258|offset_7|444444,4409272:4409291|offset_40|444444,4409311:4409330|offset_79|00cc00,4409339:4409358|offset_107|444444&amp;v=4409038:4409558&amp;c=444444", "offset 79")</f>
        <v>offset 79</v>
      </c>
    </row>
    <row r="14221" customFormat="false" ht="12.8" hidden="false" customHeight="false" outlineLevel="0" collapsed="false">
      <c r="A14221" s="0" t="s">
        <v>12</v>
      </c>
      <c r="B14221" s="0" t="n">
        <v>4409338</v>
      </c>
      <c r="C14221" s="0" t="n">
        <v>4409358</v>
      </c>
      <c r="D14221" s="0" t="s">
        <v>47244</v>
      </c>
      <c r="E14221" s="0" t="s">
        <v>47245</v>
      </c>
      <c r="F14221" s="0" t="s">
        <v>15</v>
      </c>
      <c r="G14221" s="0" t="s">
        <v>20</v>
      </c>
      <c r="H14221" s="0" t="n">
        <v>107</v>
      </c>
      <c r="I14221" s="0" t="s">
        <v>47255</v>
      </c>
      <c r="J14221" s="0" t="s">
        <v>47256</v>
      </c>
      <c r="K14221" s="0" t="s">
        <v>47257</v>
      </c>
      <c r="L14221" s="0" t="str">
        <f aca="false">HYPERLINK("https://www.ncbi.nlm.nih.gov/nuccore/CP000058.1?report=graph&amp;tracks=[key:gene_model_track,Options:GeneOnly]&amp;mk=4409239:4409258|offset_7|444444,4409272:4409291|offset_40|444444,4409311:4409330|offset_79|444444,4409339:4409358|offset_107|00cc00&amp;v=4409038:4409558&amp;c=444444", "offset 107")</f>
        <v>offset 107</v>
      </c>
    </row>
    <row r="14222" customFormat="false" ht="12.8" hidden="false" customHeight="false" outlineLevel="0" collapsed="false">
      <c r="A14222" s="0" t="s">
        <v>12</v>
      </c>
      <c r="B14222" s="0" t="n">
        <v>4411856</v>
      </c>
      <c r="C14222" s="0" t="n">
        <v>4411876</v>
      </c>
      <c r="D14222" s="0" t="s">
        <v>47258</v>
      </c>
      <c r="E14222" s="0" t="s">
        <v>75</v>
      </c>
      <c r="F14222" s="0" t="s">
        <v>15</v>
      </c>
      <c r="G14222" s="0" t="s">
        <v>32</v>
      </c>
      <c r="H14222" s="0" t="n">
        <v>7</v>
      </c>
      <c r="I14222" s="0" t="s">
        <v>47259</v>
      </c>
      <c r="J14222" s="0" t="s">
        <v>47260</v>
      </c>
      <c r="K14222" s="0" t="s">
        <v>47261</v>
      </c>
      <c r="L14222" s="0" t="str">
        <f aca="false">HYPERLINK("https://www.ncbi.nlm.nih.gov/nuccore/CP000058.1?report=graph&amp;tracks=[key:gene_model_track,Options:GeneOnly]&amp;mk=4411857:4411876|offset_7|00cc00,4411897:4411916|offset_47|444444,4411941:4411960|offset_91|444444,4411970:4411989|offset_120|444444&amp;v=4411656:4412189&amp;c=444444", "offset 7")</f>
        <v>offset 7</v>
      </c>
    </row>
    <row r="14223" customFormat="false" ht="12.8" hidden="false" customHeight="false" outlineLevel="0" collapsed="false">
      <c r="A14223" s="0" t="s">
        <v>12</v>
      </c>
      <c r="B14223" s="0" t="n">
        <v>4411896</v>
      </c>
      <c r="C14223" s="0" t="n">
        <v>4411916</v>
      </c>
      <c r="D14223" s="0" t="s">
        <v>47258</v>
      </c>
      <c r="E14223" s="0" t="s">
        <v>75</v>
      </c>
      <c r="F14223" s="0" t="s">
        <v>15</v>
      </c>
      <c r="G14223" s="0" t="s">
        <v>20</v>
      </c>
      <c r="H14223" s="0" t="n">
        <v>47</v>
      </c>
      <c r="I14223" s="0" t="s">
        <v>47262</v>
      </c>
      <c r="J14223" s="0" t="s">
        <v>47263</v>
      </c>
      <c r="K14223" s="0" t="s">
        <v>47264</v>
      </c>
      <c r="L14223" s="0" t="str">
        <f aca="false">HYPERLINK("https://www.ncbi.nlm.nih.gov/nuccore/CP000058.1?report=graph&amp;tracks=[key:gene_model_track,Options:GeneOnly]&amp;mk=4411857:4411876|offset_7|444444,4411897:4411916|offset_47|00cc00,4411941:4411960|offset_91|444444,4411970:4411989|offset_120|444444&amp;v=4411656:4412189&amp;c=444444", "offset 47")</f>
        <v>offset 47</v>
      </c>
    </row>
    <row r="14224" customFormat="false" ht="12.8" hidden="false" customHeight="false" outlineLevel="0" collapsed="false">
      <c r="A14224" s="0" t="s">
        <v>12</v>
      </c>
      <c r="B14224" s="0" t="n">
        <v>4411940</v>
      </c>
      <c r="C14224" s="0" t="n">
        <v>4411960</v>
      </c>
      <c r="D14224" s="0" t="s">
        <v>47258</v>
      </c>
      <c r="E14224" s="0" t="s">
        <v>75</v>
      </c>
      <c r="F14224" s="0" t="s">
        <v>15</v>
      </c>
      <c r="G14224" s="0" t="s">
        <v>36</v>
      </c>
      <c r="H14224" s="0" t="n">
        <v>91</v>
      </c>
      <c r="I14224" s="0" t="s">
        <v>47265</v>
      </c>
      <c r="J14224" s="0" t="s">
        <v>47266</v>
      </c>
      <c r="K14224" s="0" t="s">
        <v>47267</v>
      </c>
      <c r="L14224" s="0" t="str">
        <f aca="false">HYPERLINK("https://www.ncbi.nlm.nih.gov/nuccore/CP000058.1?report=graph&amp;tracks=[key:gene_model_track,Options:GeneOnly]&amp;mk=4411857:4411876|offset_7|444444,4411897:4411916|offset_47|444444,4411941:4411960|offset_91|00cc00,4411970:4411989|offset_120|444444&amp;v=4411656:4412189&amp;c=444444", "offset 91")</f>
        <v>offset 91</v>
      </c>
    </row>
    <row r="14225" customFormat="false" ht="12.8" hidden="false" customHeight="false" outlineLevel="0" collapsed="false">
      <c r="A14225" s="0" t="s">
        <v>12</v>
      </c>
      <c r="B14225" s="0" t="n">
        <v>4411969</v>
      </c>
      <c r="C14225" s="0" t="n">
        <v>4411989</v>
      </c>
      <c r="D14225" s="0" t="s">
        <v>47258</v>
      </c>
      <c r="E14225" s="0" t="s">
        <v>75</v>
      </c>
      <c r="F14225" s="0" t="s">
        <v>15</v>
      </c>
      <c r="G14225" s="0" t="s">
        <v>32</v>
      </c>
      <c r="H14225" s="0" t="n">
        <v>120</v>
      </c>
      <c r="I14225" s="0" t="s">
        <v>47268</v>
      </c>
      <c r="J14225" s="0" t="s">
        <v>47269</v>
      </c>
      <c r="K14225" s="0" t="s">
        <v>47270</v>
      </c>
      <c r="L14225" s="0" t="str">
        <f aca="false">HYPERLINK("https://www.ncbi.nlm.nih.gov/nuccore/CP000058.1?report=graph&amp;tracks=[key:gene_model_track,Options:GeneOnly]&amp;mk=4411857:4411876|offset_7|444444,4411897:4411916|offset_47|444444,4411941:4411960|offset_91|444444,4411970:4411989|offset_120|00cc00&amp;v=4411656:4412189&amp;c=444444", "offset 120")</f>
        <v>offset 120</v>
      </c>
    </row>
    <row r="14226" customFormat="false" ht="12.8" hidden="false" customHeight="false" outlineLevel="0" collapsed="false">
      <c r="A14226" s="0" t="s">
        <v>12</v>
      </c>
      <c r="B14226" s="0" t="n">
        <v>4412247</v>
      </c>
      <c r="C14226" s="0" t="n">
        <v>4412267</v>
      </c>
      <c r="D14226" s="0" t="s">
        <v>47271</v>
      </c>
      <c r="E14226" s="0" t="s">
        <v>75</v>
      </c>
      <c r="F14226" s="0" t="s">
        <v>90</v>
      </c>
      <c r="G14226" s="0" t="s">
        <v>16</v>
      </c>
      <c r="H14226" s="0" t="n">
        <v>16</v>
      </c>
      <c r="I14226" s="0" t="s">
        <v>47272</v>
      </c>
      <c r="J14226" s="0" t="s">
        <v>47273</v>
      </c>
      <c r="K14226" s="0" t="s">
        <v>47274</v>
      </c>
      <c r="L14226" s="0" t="str">
        <f aca="false">HYPERLINK("https://www.ncbi.nlm.nih.gov/nuccore/CP000058.1?report=graph&amp;tracks=[key:gene_model_track,Options:GeneOnly]&amp;mk=4412248:4412267|offset_16|00cc00,4412210:4412229|offset_54|444444&amp;v=4412047:4412429&amp;c=444444", "offset 16")</f>
        <v>offset 16</v>
      </c>
    </row>
    <row r="14227" customFormat="false" ht="12.8" hidden="false" customHeight="false" outlineLevel="0" collapsed="false">
      <c r="A14227" s="0" t="s">
        <v>12</v>
      </c>
      <c r="B14227" s="0" t="n">
        <v>4412209</v>
      </c>
      <c r="C14227" s="0" t="n">
        <v>4412229</v>
      </c>
      <c r="D14227" s="0" t="s">
        <v>47271</v>
      </c>
      <c r="E14227" s="0" t="s">
        <v>75</v>
      </c>
      <c r="F14227" s="0" t="s">
        <v>90</v>
      </c>
      <c r="G14227" s="0" t="s">
        <v>16</v>
      </c>
      <c r="H14227" s="0" t="n">
        <v>54</v>
      </c>
      <c r="I14227" s="0" t="s">
        <v>47275</v>
      </c>
      <c r="J14227" s="0" t="s">
        <v>47276</v>
      </c>
      <c r="K14227" s="0" t="s">
        <v>47277</v>
      </c>
      <c r="L14227" s="0" t="str">
        <f aca="false">HYPERLINK("https://www.ncbi.nlm.nih.gov/nuccore/CP000058.1?report=graph&amp;tracks=[key:gene_model_track,Options:GeneOnly]&amp;mk=4412248:4412267|offset_16|444444,4412210:4412229|offset_54|00cc00&amp;v=4412047:4412429&amp;c=444444", "offset 54")</f>
        <v>offset 54</v>
      </c>
    </row>
    <row r="14228" customFormat="false" ht="12.8" hidden="false" customHeight="false" outlineLevel="0" collapsed="false">
      <c r="A14228" s="0" t="s">
        <v>12</v>
      </c>
      <c r="B14228" s="0" t="n">
        <v>4412369</v>
      </c>
      <c r="C14228" s="0" t="n">
        <v>4412389</v>
      </c>
      <c r="D14228" s="0" t="s">
        <v>47278</v>
      </c>
      <c r="E14228" s="0" t="s">
        <v>75</v>
      </c>
      <c r="F14228" s="0" t="s">
        <v>15</v>
      </c>
      <c r="G14228" s="0" t="s">
        <v>20</v>
      </c>
      <c r="H14228" s="0" t="n">
        <v>6</v>
      </c>
      <c r="I14228" s="0" t="s">
        <v>47279</v>
      </c>
      <c r="J14228" s="0" t="s">
        <v>47280</v>
      </c>
      <c r="K14228" s="0" t="s">
        <v>47281</v>
      </c>
      <c r="L14228" s="0" t="str">
        <f aca="false">HYPERLINK("https://www.ncbi.nlm.nih.gov/nuccore/CP000058.1?report=graph&amp;tracks=[key:gene_model_track,Options:GeneOnly]&amp;mk=4412370:4412389|offset_6|00cc00,4412404:4412423|offset_40|444444,4412434:4412453|offset_70|444444,4412470:4412489|offset_106|444444&amp;v=4412169:4412689&amp;c=444444", "offset 6")</f>
        <v>offset 6</v>
      </c>
    </row>
    <row r="14229" customFormat="false" ht="12.8" hidden="false" customHeight="false" outlineLevel="0" collapsed="false">
      <c r="A14229" s="0" t="s">
        <v>12</v>
      </c>
      <c r="B14229" s="0" t="n">
        <v>4412403</v>
      </c>
      <c r="C14229" s="0" t="n">
        <v>4412423</v>
      </c>
      <c r="D14229" s="0" t="s">
        <v>47278</v>
      </c>
      <c r="E14229" s="0" t="s">
        <v>75</v>
      </c>
      <c r="F14229" s="0" t="s">
        <v>15</v>
      </c>
      <c r="G14229" s="0" t="s">
        <v>16</v>
      </c>
      <c r="H14229" s="0" t="n">
        <v>40</v>
      </c>
      <c r="I14229" s="0" t="s">
        <v>47282</v>
      </c>
      <c r="J14229" s="0" t="s">
        <v>47283</v>
      </c>
      <c r="K14229" s="0" t="s">
        <v>47284</v>
      </c>
      <c r="L14229" s="0" t="str">
        <f aca="false">HYPERLINK("https://www.ncbi.nlm.nih.gov/nuccore/CP000058.1?report=graph&amp;tracks=[key:gene_model_track,Options:GeneOnly]&amp;mk=4412370:4412389|offset_6|444444,4412404:4412423|offset_40|00cc00,4412434:4412453|offset_70|444444,4412470:4412489|offset_106|444444&amp;v=4412169:4412689&amp;c=444444", "offset 40")</f>
        <v>offset 40</v>
      </c>
    </row>
    <row r="14230" customFormat="false" ht="12.8" hidden="false" customHeight="false" outlineLevel="0" collapsed="false">
      <c r="A14230" s="0" t="s">
        <v>12</v>
      </c>
      <c r="B14230" s="0" t="n">
        <v>4412433</v>
      </c>
      <c r="C14230" s="0" t="n">
        <v>4412453</v>
      </c>
      <c r="D14230" s="0" t="s">
        <v>47278</v>
      </c>
      <c r="E14230" s="0" t="s">
        <v>75</v>
      </c>
      <c r="F14230" s="0" t="s">
        <v>15</v>
      </c>
      <c r="G14230" s="0" t="s">
        <v>36</v>
      </c>
      <c r="H14230" s="0" t="n">
        <v>70</v>
      </c>
      <c r="I14230" s="0" t="s">
        <v>47285</v>
      </c>
      <c r="J14230" s="0" t="s">
        <v>47286</v>
      </c>
      <c r="K14230" s="0" t="s">
        <v>47287</v>
      </c>
      <c r="L14230" s="0" t="str">
        <f aca="false">HYPERLINK("https://www.ncbi.nlm.nih.gov/nuccore/CP000058.1?report=graph&amp;tracks=[key:gene_model_track,Options:GeneOnly]&amp;mk=4412370:4412389|offset_6|444444,4412404:4412423|offset_40|444444,4412434:4412453|offset_70|00cc00,4412470:4412489|offset_106|444444&amp;v=4412169:4412689&amp;c=444444", "offset 70")</f>
        <v>offset 70</v>
      </c>
    </row>
    <row r="14231" customFormat="false" ht="12.8" hidden="false" customHeight="false" outlineLevel="0" collapsed="false">
      <c r="A14231" s="0" t="s">
        <v>12</v>
      </c>
      <c r="B14231" s="0" t="n">
        <v>4412469</v>
      </c>
      <c r="C14231" s="0" t="n">
        <v>4412489</v>
      </c>
      <c r="D14231" s="0" t="s">
        <v>47278</v>
      </c>
      <c r="E14231" s="0" t="s">
        <v>75</v>
      </c>
      <c r="F14231" s="0" t="s">
        <v>15</v>
      </c>
      <c r="G14231" s="0" t="s">
        <v>16</v>
      </c>
      <c r="H14231" s="0" t="n">
        <v>106</v>
      </c>
      <c r="I14231" s="0" t="s">
        <v>47288</v>
      </c>
      <c r="J14231" s="0" t="s">
        <v>47289</v>
      </c>
      <c r="K14231" s="0" t="s">
        <v>47290</v>
      </c>
      <c r="L14231" s="0" t="str">
        <f aca="false">HYPERLINK("https://www.ncbi.nlm.nih.gov/nuccore/CP000058.1?report=graph&amp;tracks=[key:gene_model_track,Options:GeneOnly]&amp;mk=4412370:4412389|offset_6|444444,4412404:4412423|offset_40|444444,4412434:4412453|offset_70|444444,4412470:4412489|offset_106|00cc00&amp;v=4412169:4412689&amp;c=444444", "offset 106")</f>
        <v>offset 106</v>
      </c>
    </row>
    <row r="14232" customFormat="false" ht="12.8" hidden="false" customHeight="false" outlineLevel="0" collapsed="false">
      <c r="A14232" s="0" t="s">
        <v>12</v>
      </c>
      <c r="B14232" s="0" t="n">
        <v>4413884</v>
      </c>
      <c r="C14232" s="0" t="n">
        <v>4413904</v>
      </c>
      <c r="D14232" s="0" t="s">
        <v>47291</v>
      </c>
      <c r="E14232" s="0" t="s">
        <v>75</v>
      </c>
      <c r="F14232" s="0" t="s">
        <v>90</v>
      </c>
      <c r="G14232" s="0" t="s">
        <v>16</v>
      </c>
      <c r="H14232" s="0" t="n">
        <v>32</v>
      </c>
      <c r="I14232" s="0" t="s">
        <v>47292</v>
      </c>
      <c r="J14232" s="0" t="s">
        <v>47293</v>
      </c>
      <c r="K14232" s="0" t="s">
        <v>47294</v>
      </c>
      <c r="L14232" s="0" t="str">
        <f aca="false">HYPERLINK("https://www.ncbi.nlm.nih.gov/nuccore/CP000058.1?report=graph&amp;tracks=[key:gene_model_track,Options:GeneOnly]&amp;mk=4413885:4413904|offset_32|00cc00,4413818:4413837|offset_99|444444,4413778:4413797|offset_139|444444,4413655:4413674|offset_262|444444&amp;v=4413684:4413874&amp;c=444444", "offset 32")</f>
        <v>offset 32</v>
      </c>
    </row>
    <row r="14233" customFormat="false" ht="12.8" hidden="false" customHeight="false" outlineLevel="0" collapsed="false">
      <c r="A14233" s="0" t="s">
        <v>12</v>
      </c>
      <c r="B14233" s="0" t="n">
        <v>4413817</v>
      </c>
      <c r="C14233" s="0" t="n">
        <v>4413837</v>
      </c>
      <c r="D14233" s="0" t="s">
        <v>47291</v>
      </c>
      <c r="E14233" s="0" t="s">
        <v>75</v>
      </c>
      <c r="F14233" s="0" t="s">
        <v>90</v>
      </c>
      <c r="G14233" s="0" t="s">
        <v>16</v>
      </c>
      <c r="H14233" s="0" t="n">
        <v>99</v>
      </c>
      <c r="I14233" s="0" t="s">
        <v>47295</v>
      </c>
      <c r="J14233" s="0" t="s">
        <v>47296</v>
      </c>
      <c r="K14233" s="0" t="s">
        <v>47297</v>
      </c>
      <c r="L14233" s="0" t="str">
        <f aca="false">HYPERLINK("https://www.ncbi.nlm.nih.gov/nuccore/CP000058.1?report=graph&amp;tracks=[key:gene_model_track,Options:GeneOnly]&amp;mk=4413885:4413904|offset_32|444444,4413818:4413837|offset_99|00cc00,4413778:4413797|offset_139|444444,4413655:4413674|offset_262|444444&amp;v=4413684:4413874&amp;c=444444", "offset 99")</f>
        <v>offset 99</v>
      </c>
    </row>
    <row r="14234" customFormat="false" ht="12.8" hidden="false" customHeight="false" outlineLevel="0" collapsed="false">
      <c r="A14234" s="0" t="s">
        <v>12</v>
      </c>
      <c r="B14234" s="0" t="n">
        <v>4413777</v>
      </c>
      <c r="C14234" s="0" t="n">
        <v>4413797</v>
      </c>
      <c r="D14234" s="0" t="s">
        <v>47291</v>
      </c>
      <c r="E14234" s="0" t="s">
        <v>75</v>
      </c>
      <c r="F14234" s="0" t="s">
        <v>90</v>
      </c>
      <c r="G14234" s="0" t="s">
        <v>16</v>
      </c>
      <c r="H14234" s="0" t="n">
        <v>139</v>
      </c>
      <c r="I14234" s="0" t="s">
        <v>47298</v>
      </c>
      <c r="J14234" s="0" t="s">
        <v>47299</v>
      </c>
      <c r="K14234" s="0" t="s">
        <v>47300</v>
      </c>
      <c r="L14234" s="0" t="str">
        <f aca="false">HYPERLINK("https://www.ncbi.nlm.nih.gov/nuccore/CP000058.1?report=graph&amp;tracks=[key:gene_model_track,Options:GeneOnly]&amp;mk=4413885:4413904|offset_32|444444,4413818:4413837|offset_99|444444,4413778:4413797|offset_139|00cc00,4413655:4413674|offset_262|444444&amp;v=4413684:4413874&amp;c=444444", "offset 139")</f>
        <v>offset 139</v>
      </c>
    </row>
    <row r="14235" customFormat="false" ht="12.8" hidden="false" customHeight="false" outlineLevel="0" collapsed="false">
      <c r="A14235" s="0" t="s">
        <v>12</v>
      </c>
      <c r="B14235" s="0" t="n">
        <v>4413654</v>
      </c>
      <c r="C14235" s="0" t="n">
        <v>4413674</v>
      </c>
      <c r="D14235" s="0" t="s">
        <v>47291</v>
      </c>
      <c r="E14235" s="0" t="s">
        <v>75</v>
      </c>
      <c r="F14235" s="0" t="s">
        <v>90</v>
      </c>
      <c r="G14235" s="0" t="s">
        <v>32</v>
      </c>
      <c r="H14235" s="0" t="n">
        <v>262</v>
      </c>
      <c r="I14235" s="0" t="s">
        <v>47301</v>
      </c>
      <c r="J14235" s="0" t="s">
        <v>47302</v>
      </c>
      <c r="K14235" s="0" t="s">
        <v>47303</v>
      </c>
      <c r="L14235" s="0" t="str">
        <f aca="false">HYPERLINK("https://www.ncbi.nlm.nih.gov/nuccore/CP000058.1?report=graph&amp;tracks=[key:gene_model_track,Options:GeneOnly]&amp;mk=4413885:4413904|offset_32|444444,4413818:4413837|offset_99|444444,4413778:4413797|offset_139|444444,4413655:4413674|offset_262|00cc00&amp;v=4413684:4413874&amp;c=444444", "offset 262")</f>
        <v>offset 262</v>
      </c>
    </row>
    <row r="14236" customFormat="false" ht="12.8" hidden="false" customHeight="false" outlineLevel="0" collapsed="false">
      <c r="A14236" s="0" t="s">
        <v>12</v>
      </c>
      <c r="B14236" s="0" t="n">
        <v>4414008</v>
      </c>
      <c r="C14236" s="0" t="n">
        <v>4414028</v>
      </c>
      <c r="D14236" s="0" t="s">
        <v>47304</v>
      </c>
      <c r="E14236" s="0" t="s">
        <v>75</v>
      </c>
      <c r="F14236" s="0" t="s">
        <v>15</v>
      </c>
      <c r="G14236" s="0" t="s">
        <v>32</v>
      </c>
      <c r="H14236" s="0" t="n">
        <v>6</v>
      </c>
      <c r="I14236" s="0" t="s">
        <v>47305</v>
      </c>
      <c r="J14236" s="0" t="s">
        <v>47306</v>
      </c>
      <c r="K14236" s="0" t="s">
        <v>47307</v>
      </c>
      <c r="L14236" s="0" t="str">
        <f aca="false">HYPERLINK("https://www.ncbi.nlm.nih.gov/nuccore/CP000058.1?report=graph&amp;tracks=[key:gene_model_track,Options:GeneOnly]&amp;mk=4414009:4414028|offset_6|00cc00,4414058:4414077|offset_55|444444,4414104:4414123|offset_101|444444,4414148:4414167|offset_145|444444&amp;v=4413808:4414367&amp;c=444444", "offset 6")</f>
        <v>offset 6</v>
      </c>
    </row>
    <row r="14237" customFormat="false" ht="12.8" hidden="false" customHeight="false" outlineLevel="0" collapsed="false">
      <c r="A14237" s="0" t="s">
        <v>12</v>
      </c>
      <c r="B14237" s="0" t="n">
        <v>4414057</v>
      </c>
      <c r="C14237" s="0" t="n">
        <v>4414077</v>
      </c>
      <c r="D14237" s="0" t="s">
        <v>47304</v>
      </c>
      <c r="E14237" s="0" t="s">
        <v>75</v>
      </c>
      <c r="F14237" s="0" t="s">
        <v>15</v>
      </c>
      <c r="G14237" s="0" t="s">
        <v>32</v>
      </c>
      <c r="H14237" s="0" t="n">
        <v>55</v>
      </c>
      <c r="I14237" s="0" t="s">
        <v>47308</v>
      </c>
      <c r="J14237" s="0" t="s">
        <v>47309</v>
      </c>
      <c r="K14237" s="0" t="s">
        <v>47310</v>
      </c>
      <c r="L14237" s="0" t="str">
        <f aca="false">HYPERLINK("https://www.ncbi.nlm.nih.gov/nuccore/CP000058.1?report=graph&amp;tracks=[key:gene_model_track,Options:GeneOnly]&amp;mk=4414009:4414028|offset_6|444444,4414058:4414077|offset_55|00cc00,4414104:4414123|offset_101|444444,4414148:4414167|offset_145|444444&amp;v=4413808:4414367&amp;c=444444", "offset 55")</f>
        <v>offset 55</v>
      </c>
    </row>
    <row r="14238" customFormat="false" ht="12.8" hidden="false" customHeight="false" outlineLevel="0" collapsed="false">
      <c r="A14238" s="0" t="s">
        <v>12</v>
      </c>
      <c r="B14238" s="0" t="n">
        <v>4414103</v>
      </c>
      <c r="C14238" s="0" t="n">
        <v>4414123</v>
      </c>
      <c r="D14238" s="0" t="s">
        <v>47304</v>
      </c>
      <c r="E14238" s="0" t="s">
        <v>75</v>
      </c>
      <c r="F14238" s="0" t="s">
        <v>15</v>
      </c>
      <c r="G14238" s="0" t="s">
        <v>16</v>
      </c>
      <c r="H14238" s="0" t="n">
        <v>101</v>
      </c>
      <c r="I14238" s="0" t="s">
        <v>47311</v>
      </c>
      <c r="J14238" s="0" t="s">
        <v>47312</v>
      </c>
      <c r="K14238" s="0" t="s">
        <v>47313</v>
      </c>
      <c r="L14238" s="0" t="str">
        <f aca="false">HYPERLINK("https://www.ncbi.nlm.nih.gov/nuccore/CP000058.1?report=graph&amp;tracks=[key:gene_model_track,Options:GeneOnly]&amp;mk=4414009:4414028|offset_6|444444,4414058:4414077|offset_55|444444,4414104:4414123|offset_101|00cc00,4414148:4414167|offset_145|444444&amp;v=4413808:4414367&amp;c=444444", "offset 101")</f>
        <v>offset 101</v>
      </c>
    </row>
    <row r="14239" customFormat="false" ht="12.8" hidden="false" customHeight="false" outlineLevel="0" collapsed="false">
      <c r="A14239" s="0" t="s">
        <v>12</v>
      </c>
      <c r="B14239" s="0" t="n">
        <v>4414147</v>
      </c>
      <c r="C14239" s="0" t="n">
        <v>4414167</v>
      </c>
      <c r="D14239" s="0" t="s">
        <v>47304</v>
      </c>
      <c r="E14239" s="0" t="s">
        <v>75</v>
      </c>
      <c r="F14239" s="0" t="s">
        <v>15</v>
      </c>
      <c r="G14239" s="0" t="s">
        <v>36</v>
      </c>
      <c r="H14239" s="0" t="n">
        <v>145</v>
      </c>
      <c r="I14239" s="0" t="s">
        <v>47314</v>
      </c>
      <c r="J14239" s="0" t="s">
        <v>47315</v>
      </c>
      <c r="K14239" s="0" t="s">
        <v>47316</v>
      </c>
      <c r="L14239" s="0" t="str">
        <f aca="false">HYPERLINK("https://www.ncbi.nlm.nih.gov/nuccore/CP000058.1?report=graph&amp;tracks=[key:gene_model_track,Options:GeneOnly]&amp;mk=4414009:4414028|offset_6|444444,4414058:4414077|offset_55|444444,4414104:4414123|offset_101|444444,4414148:4414167|offset_145|00cc00&amp;v=4413808:4414367&amp;c=444444", "offset 145")</f>
        <v>offset 145</v>
      </c>
    </row>
    <row r="14240" customFormat="false" ht="12.8" hidden="false" customHeight="false" outlineLevel="0" collapsed="false">
      <c r="A14240" s="0" t="s">
        <v>12</v>
      </c>
      <c r="B14240" s="0" t="n">
        <v>4415369</v>
      </c>
      <c r="C14240" s="0" t="n">
        <v>4415389</v>
      </c>
      <c r="D14240" s="0" t="s">
        <v>47317</v>
      </c>
      <c r="E14240" s="0" t="s">
        <v>75</v>
      </c>
      <c r="F14240" s="0" t="s">
        <v>90</v>
      </c>
      <c r="G14240" s="0" t="s">
        <v>20</v>
      </c>
      <c r="H14240" s="0" t="n">
        <v>9</v>
      </c>
      <c r="I14240" s="0" t="s">
        <v>47318</v>
      </c>
      <c r="J14240" s="0" t="s">
        <v>47319</v>
      </c>
      <c r="K14240" s="0" t="s">
        <v>47320</v>
      </c>
      <c r="L14240" s="0" t="str">
        <f aca="false">HYPERLINK("https://www.ncbi.nlm.nih.gov/nuccore/CP000058.1?report=graph&amp;tracks=[key:gene_model_track,Options:GeneOnly]&amp;mk=4415370:4415389|offset_9|00cc00,4415338:4415357|offset_41|444444,4415283:4415302|offset_96|444444,4415259:4415278|offset_120|444444&amp;v=4415169:4415478&amp;c=444444", "offset 9")</f>
        <v>offset 9</v>
      </c>
    </row>
    <row r="14241" customFormat="false" ht="12.8" hidden="false" customHeight="false" outlineLevel="0" collapsed="false">
      <c r="A14241" s="0" t="s">
        <v>12</v>
      </c>
      <c r="B14241" s="0" t="n">
        <v>4415337</v>
      </c>
      <c r="C14241" s="0" t="n">
        <v>4415357</v>
      </c>
      <c r="D14241" s="0" t="s">
        <v>47317</v>
      </c>
      <c r="E14241" s="0" t="s">
        <v>75</v>
      </c>
      <c r="F14241" s="0" t="s">
        <v>90</v>
      </c>
      <c r="G14241" s="0" t="s">
        <v>20</v>
      </c>
      <c r="H14241" s="0" t="n">
        <v>41</v>
      </c>
      <c r="I14241" s="0" t="s">
        <v>47321</v>
      </c>
      <c r="J14241" s="0" t="s">
        <v>47322</v>
      </c>
      <c r="K14241" s="0" t="s">
        <v>47323</v>
      </c>
      <c r="L14241" s="0" t="str">
        <f aca="false">HYPERLINK("https://www.ncbi.nlm.nih.gov/nuccore/CP000058.1?report=graph&amp;tracks=[key:gene_model_track,Options:GeneOnly]&amp;mk=4415370:4415389|offset_9|444444,4415338:4415357|offset_41|00cc00,4415283:4415302|offset_96|444444,4415259:4415278|offset_120|444444&amp;v=4415169:4415478&amp;c=444444", "offset 41")</f>
        <v>offset 41</v>
      </c>
    </row>
    <row r="14242" customFormat="false" ht="12.8" hidden="false" customHeight="false" outlineLevel="0" collapsed="false">
      <c r="A14242" s="0" t="s">
        <v>12</v>
      </c>
      <c r="B14242" s="0" t="n">
        <v>4415282</v>
      </c>
      <c r="C14242" s="0" t="n">
        <v>4415302</v>
      </c>
      <c r="D14242" s="0" t="s">
        <v>47317</v>
      </c>
      <c r="E14242" s="0" t="s">
        <v>75</v>
      </c>
      <c r="F14242" s="0" t="s">
        <v>90</v>
      </c>
      <c r="G14242" s="0" t="s">
        <v>20</v>
      </c>
      <c r="H14242" s="0" t="n">
        <v>96</v>
      </c>
      <c r="I14242" s="0" t="s">
        <v>47324</v>
      </c>
      <c r="J14242" s="0" t="s">
        <v>47325</v>
      </c>
      <c r="K14242" s="0" t="s">
        <v>47326</v>
      </c>
      <c r="L14242" s="0" t="str">
        <f aca="false">HYPERLINK("https://www.ncbi.nlm.nih.gov/nuccore/CP000058.1?report=graph&amp;tracks=[key:gene_model_track,Options:GeneOnly]&amp;mk=4415370:4415389|offset_9|444444,4415338:4415357|offset_41|444444,4415283:4415302|offset_96|00cc00,4415259:4415278|offset_120|444444&amp;v=4415169:4415478&amp;c=444444", "offset 96")</f>
        <v>offset 96</v>
      </c>
    </row>
    <row r="14243" customFormat="false" ht="12.8" hidden="false" customHeight="false" outlineLevel="0" collapsed="false">
      <c r="A14243" s="0" t="s">
        <v>12</v>
      </c>
      <c r="B14243" s="0" t="n">
        <v>4415258</v>
      </c>
      <c r="C14243" s="0" t="n">
        <v>4415278</v>
      </c>
      <c r="D14243" s="0" t="s">
        <v>47317</v>
      </c>
      <c r="E14243" s="0" t="s">
        <v>75</v>
      </c>
      <c r="F14243" s="0" t="s">
        <v>90</v>
      </c>
      <c r="G14243" s="0" t="s">
        <v>16</v>
      </c>
      <c r="H14243" s="0" t="n">
        <v>120</v>
      </c>
      <c r="I14243" s="0" t="s">
        <v>47327</v>
      </c>
      <c r="J14243" s="0" t="s">
        <v>47328</v>
      </c>
      <c r="K14243" s="0" t="s">
        <v>47329</v>
      </c>
      <c r="L14243" s="0" t="str">
        <f aca="false">HYPERLINK("https://www.ncbi.nlm.nih.gov/nuccore/CP000058.1?report=graph&amp;tracks=[key:gene_model_track,Options:GeneOnly]&amp;mk=4415370:4415389|offset_9|444444,4415338:4415357|offset_41|444444,4415283:4415302|offset_96|444444,4415259:4415278|offset_120|00cc00&amp;v=4415169:4415478&amp;c=444444", "offset 120")</f>
        <v>offset 120</v>
      </c>
    </row>
    <row r="14244" customFormat="false" ht="12.8" hidden="false" customHeight="false" outlineLevel="0" collapsed="false">
      <c r="A14244" s="0" t="s">
        <v>12</v>
      </c>
      <c r="B14244" s="0" t="n">
        <v>4416345</v>
      </c>
      <c r="C14244" s="0" t="n">
        <v>4416365</v>
      </c>
      <c r="D14244" s="0" t="s">
        <v>47330</v>
      </c>
      <c r="E14244" s="0" t="s">
        <v>75</v>
      </c>
      <c r="F14244" s="0" t="s">
        <v>90</v>
      </c>
      <c r="G14244" s="0" t="s">
        <v>20</v>
      </c>
      <c r="H14244" s="0" t="n">
        <v>11</v>
      </c>
      <c r="I14244" s="0" t="s">
        <v>47331</v>
      </c>
      <c r="J14244" s="0" t="s">
        <v>47332</v>
      </c>
      <c r="K14244" s="0" t="s">
        <v>47333</v>
      </c>
      <c r="L14244" s="0" t="str">
        <f aca="false">HYPERLINK("https://www.ncbi.nlm.nih.gov/nuccore/CP000058.1?report=graph&amp;tracks=[key:gene_model_track,Options:GeneOnly]&amp;mk=4416346:4416365|offset_11|00cc00,4416324:4416343|offset_33|444444,4416286:4416305|offset_71|444444,4416259:4416278|offset_98|444444&amp;v=4416145:4416478&amp;c=444444", "offset 11")</f>
        <v>offset 11</v>
      </c>
    </row>
    <row r="14245" customFormat="false" ht="12.8" hidden="false" customHeight="false" outlineLevel="0" collapsed="false">
      <c r="A14245" s="0" t="s">
        <v>12</v>
      </c>
      <c r="B14245" s="0" t="n">
        <v>4416323</v>
      </c>
      <c r="C14245" s="0" t="n">
        <v>4416343</v>
      </c>
      <c r="D14245" s="0" t="s">
        <v>47330</v>
      </c>
      <c r="E14245" s="0" t="s">
        <v>75</v>
      </c>
      <c r="F14245" s="0" t="s">
        <v>90</v>
      </c>
      <c r="G14245" s="0" t="s">
        <v>16</v>
      </c>
      <c r="H14245" s="0" t="n">
        <v>33</v>
      </c>
      <c r="I14245" s="0" t="s">
        <v>47334</v>
      </c>
      <c r="J14245" s="0" t="s">
        <v>47335</v>
      </c>
      <c r="K14245" s="0" t="s">
        <v>47336</v>
      </c>
      <c r="L14245" s="0" t="str">
        <f aca="false">HYPERLINK("https://www.ncbi.nlm.nih.gov/nuccore/CP000058.1?report=graph&amp;tracks=[key:gene_model_track,Options:GeneOnly]&amp;mk=4416346:4416365|offset_11|444444,4416324:4416343|offset_33|00cc00,4416286:4416305|offset_71|444444,4416259:4416278|offset_98|444444&amp;v=4416145:4416478&amp;c=444444", "offset 33")</f>
        <v>offset 33</v>
      </c>
    </row>
    <row r="14246" customFormat="false" ht="12.8" hidden="false" customHeight="false" outlineLevel="0" collapsed="false">
      <c r="A14246" s="0" t="s">
        <v>12</v>
      </c>
      <c r="B14246" s="0" t="n">
        <v>4416285</v>
      </c>
      <c r="C14246" s="0" t="n">
        <v>4416305</v>
      </c>
      <c r="D14246" s="0" t="s">
        <v>47330</v>
      </c>
      <c r="E14246" s="0" t="s">
        <v>75</v>
      </c>
      <c r="F14246" s="0" t="s">
        <v>90</v>
      </c>
      <c r="G14246" s="0" t="s">
        <v>36</v>
      </c>
      <c r="H14246" s="0" t="n">
        <v>71</v>
      </c>
      <c r="I14246" s="0" t="s">
        <v>47337</v>
      </c>
      <c r="J14246" s="0" t="s">
        <v>47338</v>
      </c>
      <c r="K14246" s="0" t="s">
        <v>47339</v>
      </c>
      <c r="L14246" s="0" t="str">
        <f aca="false">HYPERLINK("https://www.ncbi.nlm.nih.gov/nuccore/CP000058.1?report=graph&amp;tracks=[key:gene_model_track,Options:GeneOnly]&amp;mk=4416346:4416365|offset_11|444444,4416324:4416343|offset_33|444444,4416286:4416305|offset_71|00cc00,4416259:4416278|offset_98|444444&amp;v=4416145:4416478&amp;c=444444", "offset 71")</f>
        <v>offset 71</v>
      </c>
    </row>
    <row r="14247" customFormat="false" ht="12.8" hidden="false" customHeight="false" outlineLevel="0" collapsed="false">
      <c r="A14247" s="0" t="s">
        <v>12</v>
      </c>
      <c r="B14247" s="0" t="n">
        <v>4416258</v>
      </c>
      <c r="C14247" s="0" t="n">
        <v>4416278</v>
      </c>
      <c r="D14247" s="0" t="s">
        <v>47330</v>
      </c>
      <c r="E14247" s="0" t="s">
        <v>75</v>
      </c>
      <c r="F14247" s="0" t="s">
        <v>90</v>
      </c>
      <c r="G14247" s="0" t="s">
        <v>20</v>
      </c>
      <c r="H14247" s="0" t="n">
        <v>98</v>
      </c>
      <c r="I14247" s="0" t="s">
        <v>47340</v>
      </c>
      <c r="J14247" s="0" t="s">
        <v>47341</v>
      </c>
      <c r="K14247" s="0" t="s">
        <v>47342</v>
      </c>
      <c r="L14247" s="0" t="str">
        <f aca="false">HYPERLINK("https://www.ncbi.nlm.nih.gov/nuccore/CP000058.1?report=graph&amp;tracks=[key:gene_model_track,Options:GeneOnly]&amp;mk=4416346:4416365|offset_11|444444,4416324:4416343|offset_33|444444,4416286:4416305|offset_71|444444,4416259:4416278|offset_98|00cc00&amp;v=4416145:4416478&amp;c=444444", "offset 98")</f>
        <v>offset 98</v>
      </c>
    </row>
    <row r="14248" customFormat="false" ht="12.8" hidden="false" customHeight="false" outlineLevel="0" collapsed="false">
      <c r="A14248" s="0" t="s">
        <v>12</v>
      </c>
      <c r="B14248" s="0" t="n">
        <v>4416651</v>
      </c>
      <c r="C14248" s="0" t="n">
        <v>4416671</v>
      </c>
      <c r="D14248" s="0" t="s">
        <v>47343</v>
      </c>
      <c r="E14248" s="0" t="s">
        <v>75</v>
      </c>
      <c r="F14248" s="0" t="s">
        <v>90</v>
      </c>
      <c r="G14248" s="0" t="s">
        <v>20</v>
      </c>
      <c r="H14248" s="0" t="n">
        <v>19</v>
      </c>
      <c r="I14248" s="0" t="s">
        <v>47344</v>
      </c>
      <c r="J14248" s="0" t="s">
        <v>47345</v>
      </c>
      <c r="K14248" s="0" t="s">
        <v>47346</v>
      </c>
      <c r="L14248" s="0" t="str">
        <f aca="false">HYPERLINK("https://www.ncbi.nlm.nih.gov/nuccore/CP000058.1?report=graph&amp;tracks=[key:gene_model_track,Options:GeneOnly]&amp;mk=4416652:4416671|offset_19|00cc00,4416620:4416639|offset_51|444444,4416565:4416584|offset_106|444444,4416515:4416534|offset_156|444444&amp;v=4416451:4416734&amp;c=444444", "offset 19")</f>
        <v>offset 19</v>
      </c>
    </row>
    <row r="14249" customFormat="false" ht="12.8" hidden="false" customHeight="false" outlineLevel="0" collapsed="false">
      <c r="A14249" s="0" t="s">
        <v>12</v>
      </c>
      <c r="B14249" s="0" t="n">
        <v>4416619</v>
      </c>
      <c r="C14249" s="0" t="n">
        <v>4416639</v>
      </c>
      <c r="D14249" s="0" t="s">
        <v>47343</v>
      </c>
      <c r="E14249" s="0" t="s">
        <v>75</v>
      </c>
      <c r="F14249" s="0" t="s">
        <v>90</v>
      </c>
      <c r="G14249" s="0" t="s">
        <v>16</v>
      </c>
      <c r="H14249" s="0" t="n">
        <v>51</v>
      </c>
      <c r="I14249" s="0" t="s">
        <v>47347</v>
      </c>
      <c r="J14249" s="0" t="s">
        <v>47348</v>
      </c>
      <c r="K14249" s="0" t="s">
        <v>47349</v>
      </c>
      <c r="L14249" s="0" t="str">
        <f aca="false">HYPERLINK("https://www.ncbi.nlm.nih.gov/nuccore/CP000058.1?report=graph&amp;tracks=[key:gene_model_track,Options:GeneOnly]&amp;mk=4416652:4416671|offset_19|444444,4416620:4416639|offset_51|00cc00,4416565:4416584|offset_106|444444,4416515:4416534|offset_156|444444&amp;v=4416451:4416734&amp;c=444444", "offset 51")</f>
        <v>offset 51</v>
      </c>
    </row>
    <row r="14250" customFormat="false" ht="12.8" hidden="false" customHeight="false" outlineLevel="0" collapsed="false">
      <c r="A14250" s="0" t="s">
        <v>12</v>
      </c>
      <c r="B14250" s="0" t="n">
        <v>4416564</v>
      </c>
      <c r="C14250" s="0" t="n">
        <v>4416584</v>
      </c>
      <c r="D14250" s="0" t="s">
        <v>47343</v>
      </c>
      <c r="E14250" s="0" t="s">
        <v>75</v>
      </c>
      <c r="F14250" s="0" t="s">
        <v>90</v>
      </c>
      <c r="G14250" s="0" t="s">
        <v>16</v>
      </c>
      <c r="H14250" s="0" t="n">
        <v>106</v>
      </c>
      <c r="I14250" s="0" t="s">
        <v>47350</v>
      </c>
      <c r="J14250" s="0" t="s">
        <v>47351</v>
      </c>
      <c r="K14250" s="0" t="s">
        <v>47352</v>
      </c>
      <c r="L14250" s="0" t="str">
        <f aca="false">HYPERLINK("https://www.ncbi.nlm.nih.gov/nuccore/CP000058.1?report=graph&amp;tracks=[key:gene_model_track,Options:GeneOnly]&amp;mk=4416652:4416671|offset_19|444444,4416620:4416639|offset_51|444444,4416565:4416584|offset_106|00cc00,4416515:4416534|offset_156|444444&amp;v=4416451:4416734&amp;c=444444", "offset 106")</f>
        <v>offset 106</v>
      </c>
    </row>
    <row r="14251" customFormat="false" ht="12.8" hidden="false" customHeight="false" outlineLevel="0" collapsed="false">
      <c r="A14251" s="0" t="s">
        <v>12</v>
      </c>
      <c r="B14251" s="0" t="n">
        <v>4416514</v>
      </c>
      <c r="C14251" s="0" t="n">
        <v>4416534</v>
      </c>
      <c r="D14251" s="0" t="s">
        <v>47343</v>
      </c>
      <c r="E14251" s="0" t="s">
        <v>75</v>
      </c>
      <c r="F14251" s="0" t="s">
        <v>90</v>
      </c>
      <c r="G14251" s="0" t="s">
        <v>16</v>
      </c>
      <c r="H14251" s="0" t="n">
        <v>156</v>
      </c>
      <c r="I14251" s="0" t="s">
        <v>47353</v>
      </c>
      <c r="J14251" s="0" t="s">
        <v>47354</v>
      </c>
      <c r="K14251" s="0" t="s">
        <v>47355</v>
      </c>
      <c r="L14251" s="0" t="str">
        <f aca="false">HYPERLINK("https://www.ncbi.nlm.nih.gov/nuccore/CP000058.1?report=graph&amp;tracks=[key:gene_model_track,Options:GeneOnly]&amp;mk=4416652:4416671|offset_19|444444,4416620:4416639|offset_51|444444,4416565:4416584|offset_106|444444,4416515:4416534|offset_156|00cc00&amp;v=4416451:4416734&amp;c=444444", "offset 156")</f>
        <v>offset 156</v>
      </c>
    </row>
    <row r="14252" customFormat="false" ht="12.8" hidden="false" customHeight="false" outlineLevel="0" collapsed="false">
      <c r="A14252" s="0" t="s">
        <v>12</v>
      </c>
      <c r="B14252" s="0" t="n">
        <v>4417602</v>
      </c>
      <c r="C14252" s="0" t="n">
        <v>4417622</v>
      </c>
      <c r="D14252" s="0" t="s">
        <v>47356</v>
      </c>
      <c r="E14252" s="0" t="s">
        <v>75</v>
      </c>
      <c r="F14252" s="0" t="s">
        <v>90</v>
      </c>
      <c r="G14252" s="0" t="s">
        <v>36</v>
      </c>
      <c r="H14252" s="0" t="n">
        <v>31</v>
      </c>
      <c r="I14252" s="0" t="s">
        <v>47357</v>
      </c>
      <c r="J14252" s="0" t="s">
        <v>47358</v>
      </c>
      <c r="K14252" s="0" t="s">
        <v>47359</v>
      </c>
      <c r="L14252" s="0" t="str">
        <f aca="false">HYPERLINK("https://www.ncbi.nlm.nih.gov/nuccore/CP000058.1?report=graph&amp;tracks=[key:gene_model_track,Options:GeneOnly]&amp;mk=4417603:4417622|offset_31|00cc00,4417583:4417602|offset_51|444444,4417563:4417582|offset_71|444444,4417503:4417522|offset_131|444444&amp;v=4417402:4417722&amp;c=444444", "offset 31")</f>
        <v>offset 31</v>
      </c>
    </row>
    <row r="14253" customFormat="false" ht="12.8" hidden="false" customHeight="false" outlineLevel="0" collapsed="false">
      <c r="A14253" s="0" t="s">
        <v>12</v>
      </c>
      <c r="B14253" s="0" t="n">
        <v>4417582</v>
      </c>
      <c r="C14253" s="0" t="n">
        <v>4417602</v>
      </c>
      <c r="D14253" s="0" t="s">
        <v>47356</v>
      </c>
      <c r="E14253" s="0" t="s">
        <v>75</v>
      </c>
      <c r="F14253" s="0" t="s">
        <v>90</v>
      </c>
      <c r="G14253" s="0" t="s">
        <v>16</v>
      </c>
      <c r="H14253" s="0" t="n">
        <v>51</v>
      </c>
      <c r="I14253" s="0" t="s">
        <v>47360</v>
      </c>
      <c r="J14253" s="0" t="s">
        <v>47361</v>
      </c>
      <c r="K14253" s="0" t="s">
        <v>47362</v>
      </c>
      <c r="L14253" s="0" t="str">
        <f aca="false">HYPERLINK("https://www.ncbi.nlm.nih.gov/nuccore/CP000058.1?report=graph&amp;tracks=[key:gene_model_track,Options:GeneOnly]&amp;mk=4417603:4417622|offset_31|444444,4417583:4417602|offset_51|00cc00,4417563:4417582|offset_71|444444,4417503:4417522|offset_131|444444&amp;v=4417402:4417722&amp;c=444444", "offset 51")</f>
        <v>offset 51</v>
      </c>
    </row>
    <row r="14254" customFormat="false" ht="12.8" hidden="false" customHeight="false" outlineLevel="0" collapsed="false">
      <c r="A14254" s="0" t="s">
        <v>12</v>
      </c>
      <c r="B14254" s="0" t="n">
        <v>4417562</v>
      </c>
      <c r="C14254" s="0" t="n">
        <v>4417582</v>
      </c>
      <c r="D14254" s="0" t="s">
        <v>47356</v>
      </c>
      <c r="E14254" s="0" t="s">
        <v>75</v>
      </c>
      <c r="F14254" s="0" t="s">
        <v>90</v>
      </c>
      <c r="G14254" s="0" t="s">
        <v>20</v>
      </c>
      <c r="H14254" s="0" t="n">
        <v>71</v>
      </c>
      <c r="I14254" s="0" t="s">
        <v>47363</v>
      </c>
      <c r="J14254" s="0" t="s">
        <v>47364</v>
      </c>
      <c r="K14254" s="0" t="s">
        <v>47365</v>
      </c>
      <c r="L14254" s="0" t="str">
        <f aca="false">HYPERLINK("https://www.ncbi.nlm.nih.gov/nuccore/CP000058.1?report=graph&amp;tracks=[key:gene_model_track,Options:GeneOnly]&amp;mk=4417603:4417622|offset_31|444444,4417583:4417602|offset_51|444444,4417563:4417582|offset_71|00cc00,4417503:4417522|offset_131|444444&amp;v=4417402:4417722&amp;c=444444", "offset 71")</f>
        <v>offset 71</v>
      </c>
    </row>
    <row r="14255" customFormat="false" ht="12.8" hidden="false" customHeight="false" outlineLevel="0" collapsed="false">
      <c r="A14255" s="0" t="s">
        <v>12</v>
      </c>
      <c r="B14255" s="0" t="n">
        <v>4417502</v>
      </c>
      <c r="C14255" s="0" t="n">
        <v>4417522</v>
      </c>
      <c r="D14255" s="0" t="s">
        <v>47356</v>
      </c>
      <c r="E14255" s="0" t="s">
        <v>75</v>
      </c>
      <c r="F14255" s="0" t="s">
        <v>90</v>
      </c>
      <c r="G14255" s="0" t="s">
        <v>32</v>
      </c>
      <c r="H14255" s="0" t="n">
        <v>131</v>
      </c>
      <c r="I14255" s="0" t="s">
        <v>47366</v>
      </c>
      <c r="J14255" s="0" t="s">
        <v>47367</v>
      </c>
      <c r="K14255" s="0" t="s">
        <v>47368</v>
      </c>
      <c r="L14255" s="0" t="str">
        <f aca="false">HYPERLINK("https://www.ncbi.nlm.nih.gov/nuccore/CP000058.1?report=graph&amp;tracks=[key:gene_model_track,Options:GeneOnly]&amp;mk=4417603:4417622|offset_31|444444,4417583:4417602|offset_51|444444,4417563:4417582|offset_71|444444,4417503:4417522|offset_131|00cc00&amp;v=4417402:4417722&amp;c=444444", "offset 131")</f>
        <v>offset 131</v>
      </c>
    </row>
    <row r="14256" customFormat="false" ht="12.8" hidden="false" customHeight="false" outlineLevel="0" collapsed="false">
      <c r="A14256" s="0" t="s">
        <v>12</v>
      </c>
      <c r="B14256" s="0" t="n">
        <v>4418295</v>
      </c>
      <c r="C14256" s="0" t="n">
        <v>4418315</v>
      </c>
      <c r="D14256" s="0" t="s">
        <v>47369</v>
      </c>
      <c r="E14256" s="0" t="s">
        <v>47370</v>
      </c>
      <c r="F14256" s="0" t="s">
        <v>90</v>
      </c>
      <c r="G14256" s="0" t="s">
        <v>36</v>
      </c>
      <c r="H14256" s="0" t="n">
        <v>27</v>
      </c>
      <c r="I14256" s="0" t="s">
        <v>47371</v>
      </c>
      <c r="J14256" s="0" t="s">
        <v>47372</v>
      </c>
      <c r="K14256" s="0" t="s">
        <v>47373</v>
      </c>
      <c r="L14256" s="0" t="str">
        <f aca="false">HYPERLINK("https://www.ncbi.nlm.nih.gov/nuccore/CP000058.1?report=graph&amp;tracks=[key:gene_model_track,Options:GeneOnly]&amp;mk=4418296:4418315|offset_27|00cc00,4418243:4418262|offset_80|444444,4418193:4418212|offset_130|444444,4418142:4418161|offset_181|444444&amp;v=4418095:4418361&amp;c=444444", "offset 27")</f>
        <v>offset 27</v>
      </c>
    </row>
    <row r="14257" customFormat="false" ht="12.8" hidden="false" customHeight="false" outlineLevel="0" collapsed="false">
      <c r="A14257" s="0" t="s">
        <v>12</v>
      </c>
      <c r="B14257" s="0" t="n">
        <v>4418242</v>
      </c>
      <c r="C14257" s="0" t="n">
        <v>4418262</v>
      </c>
      <c r="D14257" s="0" t="s">
        <v>47369</v>
      </c>
      <c r="E14257" s="0" t="s">
        <v>47370</v>
      </c>
      <c r="F14257" s="0" t="s">
        <v>90</v>
      </c>
      <c r="G14257" s="0" t="s">
        <v>36</v>
      </c>
      <c r="H14257" s="0" t="n">
        <v>80</v>
      </c>
      <c r="I14257" s="0" t="s">
        <v>47374</v>
      </c>
      <c r="J14257" s="0" t="s">
        <v>47375</v>
      </c>
      <c r="K14257" s="0" t="s">
        <v>47376</v>
      </c>
      <c r="L14257" s="0" t="str">
        <f aca="false">HYPERLINK("https://www.ncbi.nlm.nih.gov/nuccore/CP000058.1?report=graph&amp;tracks=[key:gene_model_track,Options:GeneOnly]&amp;mk=4418296:4418315|offset_27|444444,4418243:4418262|offset_80|00cc00,4418193:4418212|offset_130|444444,4418142:4418161|offset_181|444444&amp;v=4418095:4418361&amp;c=444444", "offset 80")</f>
        <v>offset 80</v>
      </c>
    </row>
    <row r="14258" customFormat="false" ht="12.8" hidden="false" customHeight="false" outlineLevel="0" collapsed="false">
      <c r="A14258" s="0" t="s">
        <v>12</v>
      </c>
      <c r="B14258" s="0" t="n">
        <v>4418192</v>
      </c>
      <c r="C14258" s="0" t="n">
        <v>4418212</v>
      </c>
      <c r="D14258" s="0" t="s">
        <v>47369</v>
      </c>
      <c r="E14258" s="0" t="s">
        <v>47370</v>
      </c>
      <c r="F14258" s="0" t="s">
        <v>90</v>
      </c>
      <c r="G14258" s="0" t="s">
        <v>16</v>
      </c>
      <c r="H14258" s="0" t="n">
        <v>130</v>
      </c>
      <c r="I14258" s="0" t="s">
        <v>47377</v>
      </c>
      <c r="J14258" s="0" t="s">
        <v>47378</v>
      </c>
      <c r="K14258" s="0" t="s">
        <v>47379</v>
      </c>
      <c r="L14258" s="0" t="str">
        <f aca="false">HYPERLINK("https://www.ncbi.nlm.nih.gov/nuccore/CP000058.1?report=graph&amp;tracks=[key:gene_model_track,Options:GeneOnly]&amp;mk=4418296:4418315|offset_27|444444,4418243:4418262|offset_80|444444,4418193:4418212|offset_130|00cc00,4418142:4418161|offset_181|444444&amp;v=4418095:4418361&amp;c=444444", "offset 130")</f>
        <v>offset 130</v>
      </c>
    </row>
    <row r="14259" customFormat="false" ht="12.8" hidden="false" customHeight="false" outlineLevel="0" collapsed="false">
      <c r="A14259" s="0" t="s">
        <v>12</v>
      </c>
      <c r="B14259" s="0" t="n">
        <v>4418141</v>
      </c>
      <c r="C14259" s="0" t="n">
        <v>4418161</v>
      </c>
      <c r="D14259" s="0" t="s">
        <v>47369</v>
      </c>
      <c r="E14259" s="0" t="s">
        <v>47370</v>
      </c>
      <c r="F14259" s="0" t="s">
        <v>90</v>
      </c>
      <c r="G14259" s="0" t="s">
        <v>16</v>
      </c>
      <c r="H14259" s="0" t="n">
        <v>181</v>
      </c>
      <c r="I14259" s="0" t="s">
        <v>47380</v>
      </c>
      <c r="J14259" s="0" t="s">
        <v>47381</v>
      </c>
      <c r="K14259" s="0" t="s">
        <v>47382</v>
      </c>
      <c r="L14259" s="0" t="str">
        <f aca="false">HYPERLINK("https://www.ncbi.nlm.nih.gov/nuccore/CP000058.1?report=graph&amp;tracks=[key:gene_model_track,Options:GeneOnly]&amp;mk=4418296:4418315|offset_27|444444,4418243:4418262|offset_80|444444,4418193:4418212|offset_130|444444,4418142:4418161|offset_181|00cc00&amp;v=4418095:4418361&amp;c=444444", "offset 181")</f>
        <v>offset 181</v>
      </c>
    </row>
    <row r="14260" customFormat="false" ht="12.8" hidden="false" customHeight="false" outlineLevel="0" collapsed="false">
      <c r="A14260" s="0" t="s">
        <v>12</v>
      </c>
      <c r="B14260" s="0" t="n">
        <v>4418499</v>
      </c>
      <c r="C14260" s="0" t="n">
        <v>4418519</v>
      </c>
      <c r="D14260" s="0" t="s">
        <v>47383</v>
      </c>
      <c r="E14260" s="0" t="s">
        <v>75</v>
      </c>
      <c r="F14260" s="0" t="s">
        <v>15</v>
      </c>
      <c r="G14260" s="0" t="s">
        <v>16</v>
      </c>
      <c r="H14260" s="0" t="n">
        <v>10</v>
      </c>
      <c r="I14260" s="0" t="s">
        <v>47384</v>
      </c>
      <c r="J14260" s="0" t="s">
        <v>47385</v>
      </c>
      <c r="K14260" s="0" t="s">
        <v>47386</v>
      </c>
      <c r="L14260" s="0" t="str">
        <f aca="false">HYPERLINK("https://www.ncbi.nlm.nih.gov/nuccore/CP000058.1?report=graph&amp;tracks=[key:gene_model_track,Options:GeneOnly]&amp;mk=4418500:4418519|offset_10|00cc00,4418549:4418568|offset_59|444444,4418569:4418588|offset_79|444444,4418590:4418609|offset_100|444444&amp;v=4418299:4418809&amp;c=444444", "offset 10")</f>
        <v>offset 10</v>
      </c>
    </row>
    <row r="14261" customFormat="false" ht="12.8" hidden="false" customHeight="false" outlineLevel="0" collapsed="false">
      <c r="A14261" s="0" t="s">
        <v>12</v>
      </c>
      <c r="B14261" s="0" t="n">
        <v>4418548</v>
      </c>
      <c r="C14261" s="0" t="n">
        <v>4418568</v>
      </c>
      <c r="D14261" s="0" t="s">
        <v>47383</v>
      </c>
      <c r="E14261" s="0" t="s">
        <v>75</v>
      </c>
      <c r="F14261" s="0" t="s">
        <v>15</v>
      </c>
      <c r="G14261" s="0" t="s">
        <v>16</v>
      </c>
      <c r="H14261" s="0" t="n">
        <v>59</v>
      </c>
      <c r="I14261" s="0" t="s">
        <v>47387</v>
      </c>
      <c r="J14261" s="0" t="s">
        <v>47388</v>
      </c>
      <c r="K14261" s="0" t="s">
        <v>47389</v>
      </c>
      <c r="L14261" s="0" t="str">
        <f aca="false">HYPERLINK("https://www.ncbi.nlm.nih.gov/nuccore/CP000058.1?report=graph&amp;tracks=[key:gene_model_track,Options:GeneOnly]&amp;mk=4418500:4418519|offset_10|444444,4418549:4418568|offset_59|00cc00,4418569:4418588|offset_79|444444,4418590:4418609|offset_100|444444&amp;v=4418299:4418809&amp;c=444444", "offset 59")</f>
        <v>offset 59</v>
      </c>
    </row>
    <row r="14262" customFormat="false" ht="12.8" hidden="false" customHeight="false" outlineLevel="0" collapsed="false">
      <c r="A14262" s="0" t="s">
        <v>12</v>
      </c>
      <c r="B14262" s="0" t="n">
        <v>4418568</v>
      </c>
      <c r="C14262" s="0" t="n">
        <v>4418588</v>
      </c>
      <c r="D14262" s="0" t="s">
        <v>47383</v>
      </c>
      <c r="E14262" s="0" t="s">
        <v>75</v>
      </c>
      <c r="F14262" s="0" t="s">
        <v>15</v>
      </c>
      <c r="G14262" s="0" t="s">
        <v>36</v>
      </c>
      <c r="H14262" s="0" t="n">
        <v>79</v>
      </c>
      <c r="I14262" s="0" t="s">
        <v>47390</v>
      </c>
      <c r="J14262" s="0" t="s">
        <v>47391</v>
      </c>
      <c r="K14262" s="0" t="s">
        <v>47392</v>
      </c>
      <c r="L14262" s="0" t="str">
        <f aca="false">HYPERLINK("https://www.ncbi.nlm.nih.gov/nuccore/CP000058.1?report=graph&amp;tracks=[key:gene_model_track,Options:GeneOnly]&amp;mk=4418500:4418519|offset_10|444444,4418549:4418568|offset_59|444444,4418569:4418588|offset_79|00cc00,4418590:4418609|offset_100|444444&amp;v=4418299:4418809&amp;c=444444", "offset 79")</f>
        <v>offset 79</v>
      </c>
    </row>
    <row r="14263" customFormat="false" ht="12.8" hidden="false" customHeight="false" outlineLevel="0" collapsed="false">
      <c r="A14263" s="0" t="s">
        <v>12</v>
      </c>
      <c r="B14263" s="0" t="n">
        <v>4418589</v>
      </c>
      <c r="C14263" s="0" t="n">
        <v>4418609</v>
      </c>
      <c r="D14263" s="0" t="s">
        <v>47383</v>
      </c>
      <c r="E14263" s="0" t="s">
        <v>75</v>
      </c>
      <c r="F14263" s="0" t="s">
        <v>15</v>
      </c>
      <c r="G14263" s="0" t="s">
        <v>32</v>
      </c>
      <c r="H14263" s="0" t="n">
        <v>100</v>
      </c>
      <c r="I14263" s="0" t="s">
        <v>47393</v>
      </c>
      <c r="J14263" s="0" t="s">
        <v>47394</v>
      </c>
      <c r="K14263" s="0" t="s">
        <v>47395</v>
      </c>
      <c r="L14263" s="0" t="str">
        <f aca="false">HYPERLINK("https://www.ncbi.nlm.nih.gov/nuccore/CP000058.1?report=graph&amp;tracks=[key:gene_model_track,Options:GeneOnly]&amp;mk=4418500:4418519|offset_10|444444,4418549:4418568|offset_59|444444,4418569:4418588|offset_79|444444,4418590:4418609|offset_100|00cc00&amp;v=4418299:4418809&amp;c=444444", "offset 100")</f>
        <v>offset 100</v>
      </c>
    </row>
    <row r="14264" customFormat="false" ht="12.8" hidden="false" customHeight="false" outlineLevel="0" collapsed="false">
      <c r="A14264" s="0" t="s">
        <v>12</v>
      </c>
      <c r="B14264" s="0" t="n">
        <v>4421231</v>
      </c>
      <c r="C14264" s="0" t="n">
        <v>4421251</v>
      </c>
      <c r="D14264" s="0" t="s">
        <v>47396</v>
      </c>
      <c r="E14264" s="0" t="s">
        <v>47397</v>
      </c>
      <c r="F14264" s="0" t="s">
        <v>90</v>
      </c>
      <c r="G14264" s="0" t="s">
        <v>16</v>
      </c>
      <c r="H14264" s="0" t="n">
        <v>7</v>
      </c>
      <c r="I14264" s="0" t="s">
        <v>47398</v>
      </c>
      <c r="J14264" s="0" t="s">
        <v>47399</v>
      </c>
      <c r="K14264" s="0" t="s">
        <v>47400</v>
      </c>
      <c r="L14264" s="0" t="str">
        <f aca="false">HYPERLINK("https://www.ncbi.nlm.nih.gov/nuccore/CP000058.1?report=graph&amp;tracks=[key:gene_model_track,Options:GeneOnly]&amp;mk=4421232:4421251|offset_7|00cc00,4421198:4421217|offset_41|444444,4421144:4421163|offset_95|444444,4421112:4421131|offset_127|444444&amp;v=4421031:4421331&amp;c=444444", "offset 7")</f>
        <v>offset 7</v>
      </c>
    </row>
    <row r="14265" customFormat="false" ht="12.8" hidden="false" customHeight="false" outlineLevel="0" collapsed="false">
      <c r="A14265" s="0" t="s">
        <v>12</v>
      </c>
      <c r="B14265" s="0" t="n">
        <v>4421197</v>
      </c>
      <c r="C14265" s="0" t="n">
        <v>4421217</v>
      </c>
      <c r="D14265" s="0" t="s">
        <v>47396</v>
      </c>
      <c r="E14265" s="0" t="s">
        <v>47397</v>
      </c>
      <c r="F14265" s="0" t="s">
        <v>90</v>
      </c>
      <c r="G14265" s="0" t="s">
        <v>20</v>
      </c>
      <c r="H14265" s="0" t="n">
        <v>41</v>
      </c>
      <c r="I14265" s="0" t="s">
        <v>47401</v>
      </c>
      <c r="J14265" s="0" t="s">
        <v>47402</v>
      </c>
      <c r="K14265" s="0" t="s">
        <v>47403</v>
      </c>
      <c r="L14265" s="0" t="str">
        <f aca="false">HYPERLINK("https://www.ncbi.nlm.nih.gov/nuccore/CP000058.1?report=graph&amp;tracks=[key:gene_model_track,Options:GeneOnly]&amp;mk=4421232:4421251|offset_7|444444,4421198:4421217|offset_41|00cc00,4421144:4421163|offset_95|444444,4421112:4421131|offset_127|444444&amp;v=4421031:4421331&amp;c=444444", "offset 41")</f>
        <v>offset 41</v>
      </c>
    </row>
    <row r="14266" customFormat="false" ht="12.8" hidden="false" customHeight="false" outlineLevel="0" collapsed="false">
      <c r="A14266" s="0" t="s">
        <v>12</v>
      </c>
      <c r="B14266" s="0" t="n">
        <v>4421143</v>
      </c>
      <c r="C14266" s="0" t="n">
        <v>4421163</v>
      </c>
      <c r="D14266" s="0" t="s">
        <v>47396</v>
      </c>
      <c r="E14266" s="0" t="s">
        <v>47397</v>
      </c>
      <c r="F14266" s="0" t="s">
        <v>90</v>
      </c>
      <c r="G14266" s="0" t="s">
        <v>20</v>
      </c>
      <c r="H14266" s="0" t="n">
        <v>95</v>
      </c>
      <c r="I14266" s="0" t="s">
        <v>47404</v>
      </c>
      <c r="J14266" s="0" t="s">
        <v>47405</v>
      </c>
      <c r="K14266" s="0" t="s">
        <v>47406</v>
      </c>
      <c r="L14266" s="0" t="str">
        <f aca="false">HYPERLINK("https://www.ncbi.nlm.nih.gov/nuccore/CP000058.1?report=graph&amp;tracks=[key:gene_model_track,Options:GeneOnly]&amp;mk=4421232:4421251|offset_7|444444,4421198:4421217|offset_41|444444,4421144:4421163|offset_95|00cc00,4421112:4421131|offset_127|444444&amp;v=4421031:4421331&amp;c=444444", "offset 95")</f>
        <v>offset 95</v>
      </c>
    </row>
    <row r="14267" customFormat="false" ht="12.8" hidden="false" customHeight="false" outlineLevel="0" collapsed="false">
      <c r="A14267" s="0" t="s">
        <v>12</v>
      </c>
      <c r="B14267" s="0" t="n">
        <v>4421111</v>
      </c>
      <c r="C14267" s="0" t="n">
        <v>4421131</v>
      </c>
      <c r="D14267" s="0" t="s">
        <v>47396</v>
      </c>
      <c r="E14267" s="0" t="s">
        <v>47397</v>
      </c>
      <c r="F14267" s="0" t="s">
        <v>90</v>
      </c>
      <c r="G14267" s="0" t="s">
        <v>32</v>
      </c>
      <c r="H14267" s="0" t="n">
        <v>127</v>
      </c>
      <c r="I14267" s="0" t="s">
        <v>47407</v>
      </c>
      <c r="J14267" s="0" t="s">
        <v>47408</v>
      </c>
      <c r="K14267" s="0" t="s">
        <v>47409</v>
      </c>
      <c r="L14267" s="0" t="str">
        <f aca="false">HYPERLINK("https://www.ncbi.nlm.nih.gov/nuccore/CP000058.1?report=graph&amp;tracks=[key:gene_model_track,Options:GeneOnly]&amp;mk=4421232:4421251|offset_7|444444,4421198:4421217|offset_41|444444,4421144:4421163|offset_95|444444,4421112:4421131|offset_127|00cc00&amp;v=4421031:4421331&amp;c=444444", "offset 127")</f>
        <v>offset 127</v>
      </c>
    </row>
    <row r="14268" customFormat="false" ht="12.8" hidden="false" customHeight="false" outlineLevel="0" collapsed="false">
      <c r="A14268" s="0" t="s">
        <v>12</v>
      </c>
      <c r="B14268" s="0" t="n">
        <v>4421299</v>
      </c>
      <c r="C14268" s="0" t="n">
        <v>4421319</v>
      </c>
      <c r="D14268" s="0" t="s">
        <v>47410</v>
      </c>
      <c r="E14268" s="0" t="s">
        <v>75</v>
      </c>
      <c r="F14268" s="0" t="s">
        <v>15</v>
      </c>
      <c r="G14268" s="0" t="s">
        <v>36</v>
      </c>
      <c r="H14268" s="0" t="n">
        <v>10</v>
      </c>
      <c r="I14268" s="0" t="s">
        <v>47411</v>
      </c>
      <c r="J14268" s="0" t="s">
        <v>47412</v>
      </c>
      <c r="K14268" s="0" t="s">
        <v>47413</v>
      </c>
      <c r="L14268" s="0" t="str">
        <f aca="false">HYPERLINK("https://www.ncbi.nlm.nih.gov/nuccore/CP000058.1?report=graph&amp;tracks=[key:gene_model_track,Options:GeneOnly]&amp;mk=4421300:4421319|offset_10|00cc00,4421335:4421354|offset_45|444444,4421361:4421380|offset_71|444444&amp;v=4421099:4421580&amp;c=444444", "offset 10")</f>
        <v>offset 10</v>
      </c>
    </row>
    <row r="14269" customFormat="false" ht="12.8" hidden="false" customHeight="false" outlineLevel="0" collapsed="false">
      <c r="A14269" s="0" t="s">
        <v>12</v>
      </c>
      <c r="B14269" s="0" t="n">
        <v>4421334</v>
      </c>
      <c r="C14269" s="0" t="n">
        <v>4421354</v>
      </c>
      <c r="D14269" s="0" t="s">
        <v>47410</v>
      </c>
      <c r="E14269" s="0" t="s">
        <v>75</v>
      </c>
      <c r="F14269" s="0" t="s">
        <v>15</v>
      </c>
      <c r="G14269" s="0" t="s">
        <v>16</v>
      </c>
      <c r="H14269" s="0" t="n">
        <v>45</v>
      </c>
      <c r="I14269" s="0" t="s">
        <v>47414</v>
      </c>
      <c r="J14269" s="0" t="s">
        <v>47415</v>
      </c>
      <c r="K14269" s="0" t="s">
        <v>47416</v>
      </c>
      <c r="L14269" s="0" t="str">
        <f aca="false">HYPERLINK("https://www.ncbi.nlm.nih.gov/nuccore/CP000058.1?report=graph&amp;tracks=[key:gene_model_track,Options:GeneOnly]&amp;mk=4421300:4421319|offset_10|444444,4421335:4421354|offset_45|00cc00,4421361:4421380|offset_71|444444&amp;v=4421099:4421580&amp;c=444444", "offset 45")</f>
        <v>offset 45</v>
      </c>
    </row>
    <row r="14270" customFormat="false" ht="12.8" hidden="false" customHeight="false" outlineLevel="0" collapsed="false">
      <c r="A14270" s="0" t="s">
        <v>12</v>
      </c>
      <c r="B14270" s="0" t="n">
        <v>4421360</v>
      </c>
      <c r="C14270" s="0" t="n">
        <v>4421380</v>
      </c>
      <c r="D14270" s="0" t="s">
        <v>47410</v>
      </c>
      <c r="E14270" s="0" t="s">
        <v>75</v>
      </c>
      <c r="F14270" s="0" t="s">
        <v>15</v>
      </c>
      <c r="G14270" s="0" t="s">
        <v>20</v>
      </c>
      <c r="H14270" s="0" t="n">
        <v>71</v>
      </c>
      <c r="I14270" s="0" t="s">
        <v>47417</v>
      </c>
      <c r="J14270" s="0" t="s">
        <v>47418</v>
      </c>
      <c r="K14270" s="0" t="s">
        <v>47419</v>
      </c>
      <c r="L14270" s="0" t="str">
        <f aca="false">HYPERLINK("https://www.ncbi.nlm.nih.gov/nuccore/CP000058.1?report=graph&amp;tracks=[key:gene_model_track,Options:GeneOnly]&amp;mk=4421300:4421319|offset_10|444444,4421335:4421354|offset_45|444444,4421361:4421380|offset_71|00cc00&amp;v=4421099:4421580&amp;c=444444", "offset 71")</f>
        <v>offset 71</v>
      </c>
    </row>
    <row r="14271" customFormat="false" ht="12.8" hidden="false" customHeight="false" outlineLevel="0" collapsed="false">
      <c r="A14271" s="0" t="s">
        <v>12</v>
      </c>
      <c r="B14271" s="0" t="n">
        <v>4421654</v>
      </c>
      <c r="C14271" s="0" t="n">
        <v>4421674</v>
      </c>
      <c r="D14271" s="0" t="s">
        <v>47420</v>
      </c>
      <c r="E14271" s="0" t="s">
        <v>75</v>
      </c>
      <c r="F14271" s="0" t="s">
        <v>15</v>
      </c>
      <c r="G14271" s="0" t="s">
        <v>32</v>
      </c>
      <c r="H14271" s="0" t="n">
        <v>16</v>
      </c>
      <c r="I14271" s="0" t="s">
        <v>47421</v>
      </c>
      <c r="J14271" s="0" t="s">
        <v>47422</v>
      </c>
      <c r="K14271" s="0" t="s">
        <v>47423</v>
      </c>
      <c r="L14271" s="0" t="str">
        <f aca="false">HYPERLINK("https://www.ncbi.nlm.nih.gov/nuccore/CP000058.1?report=graph&amp;tracks=[key:gene_model_track,Options:GeneOnly]&amp;mk=4421655:4421674|offset_16|00cc00,4421679:4421698|offset_40|444444,4421733:4421752|offset_94|444444,4421761:4421780|offset_122|444444&amp;v=4421454:4421980&amp;c=444444", "offset 16")</f>
        <v>offset 16</v>
      </c>
    </row>
    <row r="14272" customFormat="false" ht="12.8" hidden="false" customHeight="false" outlineLevel="0" collapsed="false">
      <c r="A14272" s="0" t="s">
        <v>12</v>
      </c>
      <c r="B14272" s="0" t="n">
        <v>4421678</v>
      </c>
      <c r="C14272" s="0" t="n">
        <v>4421698</v>
      </c>
      <c r="D14272" s="0" t="s">
        <v>47420</v>
      </c>
      <c r="E14272" s="0" t="s">
        <v>75</v>
      </c>
      <c r="F14272" s="0" t="s">
        <v>15</v>
      </c>
      <c r="G14272" s="0" t="s">
        <v>32</v>
      </c>
      <c r="H14272" s="0" t="n">
        <v>40</v>
      </c>
      <c r="I14272" s="0" t="s">
        <v>47424</v>
      </c>
      <c r="J14272" s="0" t="s">
        <v>47425</v>
      </c>
      <c r="K14272" s="0" t="s">
        <v>47426</v>
      </c>
      <c r="L14272" s="0" t="str">
        <f aca="false">HYPERLINK("https://www.ncbi.nlm.nih.gov/nuccore/CP000058.1?report=graph&amp;tracks=[key:gene_model_track,Options:GeneOnly]&amp;mk=4421655:4421674|offset_16|444444,4421679:4421698|offset_40|00cc00,4421733:4421752|offset_94|444444,4421761:4421780|offset_122|444444&amp;v=4421454:4421980&amp;c=444444", "offset 40")</f>
        <v>offset 40</v>
      </c>
    </row>
    <row r="14273" customFormat="false" ht="12.8" hidden="false" customHeight="false" outlineLevel="0" collapsed="false">
      <c r="A14273" s="0" t="s">
        <v>12</v>
      </c>
      <c r="B14273" s="0" t="n">
        <v>4421732</v>
      </c>
      <c r="C14273" s="0" t="n">
        <v>4421752</v>
      </c>
      <c r="D14273" s="0" t="s">
        <v>47420</v>
      </c>
      <c r="E14273" s="0" t="s">
        <v>75</v>
      </c>
      <c r="F14273" s="0" t="s">
        <v>15</v>
      </c>
      <c r="G14273" s="0" t="s">
        <v>20</v>
      </c>
      <c r="H14273" s="0" t="n">
        <v>94</v>
      </c>
      <c r="I14273" s="0" t="s">
        <v>47427</v>
      </c>
      <c r="J14273" s="0" t="s">
        <v>47428</v>
      </c>
      <c r="K14273" s="0" t="s">
        <v>47429</v>
      </c>
      <c r="L14273" s="0" t="str">
        <f aca="false">HYPERLINK("https://www.ncbi.nlm.nih.gov/nuccore/CP000058.1?report=graph&amp;tracks=[key:gene_model_track,Options:GeneOnly]&amp;mk=4421655:4421674|offset_16|444444,4421679:4421698|offset_40|444444,4421733:4421752|offset_94|00cc00,4421761:4421780|offset_122|444444&amp;v=4421454:4421980&amp;c=444444", "offset 94")</f>
        <v>offset 94</v>
      </c>
    </row>
    <row r="14274" customFormat="false" ht="12.8" hidden="false" customHeight="false" outlineLevel="0" collapsed="false">
      <c r="A14274" s="0" t="s">
        <v>12</v>
      </c>
      <c r="B14274" s="0" t="n">
        <v>4421760</v>
      </c>
      <c r="C14274" s="0" t="n">
        <v>4421780</v>
      </c>
      <c r="D14274" s="0" t="s">
        <v>47420</v>
      </c>
      <c r="E14274" s="0" t="s">
        <v>75</v>
      </c>
      <c r="F14274" s="0" t="s">
        <v>15</v>
      </c>
      <c r="G14274" s="0" t="s">
        <v>36</v>
      </c>
      <c r="H14274" s="0" t="n">
        <v>122</v>
      </c>
      <c r="I14274" s="0" t="s">
        <v>47430</v>
      </c>
      <c r="J14274" s="0" t="s">
        <v>47431</v>
      </c>
      <c r="K14274" s="0" t="s">
        <v>47432</v>
      </c>
      <c r="L14274" s="0" t="str">
        <f aca="false">HYPERLINK("https://www.ncbi.nlm.nih.gov/nuccore/CP000058.1?report=graph&amp;tracks=[key:gene_model_track,Options:GeneOnly]&amp;mk=4421655:4421674|offset_16|444444,4421679:4421698|offset_40|444444,4421733:4421752|offset_94|444444,4421761:4421780|offset_122|00cc00&amp;v=4421454:4421980&amp;c=444444", "offset 122")</f>
        <v>offset 122</v>
      </c>
    </row>
    <row r="14275" customFormat="false" ht="12.8" hidden="false" customHeight="false" outlineLevel="0" collapsed="false">
      <c r="A14275" s="0" t="s">
        <v>12</v>
      </c>
      <c r="B14275" s="0" t="n">
        <v>4422133</v>
      </c>
      <c r="C14275" s="0" t="n">
        <v>4422153</v>
      </c>
      <c r="D14275" s="0" t="s">
        <v>47433</v>
      </c>
      <c r="E14275" s="0" t="s">
        <v>75</v>
      </c>
      <c r="F14275" s="0" t="s">
        <v>15</v>
      </c>
      <c r="G14275" s="0" t="s">
        <v>36</v>
      </c>
      <c r="H14275" s="0" t="n">
        <v>23</v>
      </c>
      <c r="I14275" s="0" t="s">
        <v>47434</v>
      </c>
      <c r="J14275" s="0" t="s">
        <v>47435</v>
      </c>
      <c r="K14275" s="0" t="s">
        <v>47436</v>
      </c>
      <c r="L14275" s="0" t="str">
        <f aca="false">HYPERLINK("https://www.ncbi.nlm.nih.gov/nuccore/CP000058.1?report=graph&amp;tracks=[key:gene_model_track,Options:GeneOnly]&amp;mk=4422134:4422153|offset_23|00cc00,4422160:4422179|offset_49|444444,4422183:4422202|offset_72|444444,4422205:4422224|offset_94|444444&amp;v=4421933:4422424&amp;c=444444", "offset 23")</f>
        <v>offset 23</v>
      </c>
    </row>
    <row r="14276" customFormat="false" ht="12.8" hidden="false" customHeight="false" outlineLevel="0" collapsed="false">
      <c r="A14276" s="0" t="s">
        <v>12</v>
      </c>
      <c r="B14276" s="0" t="n">
        <v>4422159</v>
      </c>
      <c r="C14276" s="0" t="n">
        <v>4422179</v>
      </c>
      <c r="D14276" s="0" t="s">
        <v>47433</v>
      </c>
      <c r="E14276" s="0" t="s">
        <v>75</v>
      </c>
      <c r="F14276" s="0" t="s">
        <v>15</v>
      </c>
      <c r="G14276" s="0" t="s">
        <v>20</v>
      </c>
      <c r="H14276" s="0" t="n">
        <v>49</v>
      </c>
      <c r="I14276" s="0" t="s">
        <v>47437</v>
      </c>
      <c r="J14276" s="0" t="s">
        <v>47438</v>
      </c>
      <c r="K14276" s="0" t="s">
        <v>47439</v>
      </c>
      <c r="L14276" s="0" t="str">
        <f aca="false">HYPERLINK("https://www.ncbi.nlm.nih.gov/nuccore/CP000058.1?report=graph&amp;tracks=[key:gene_model_track,Options:GeneOnly]&amp;mk=4422134:4422153|offset_23|444444,4422160:4422179|offset_49|00cc00,4422183:4422202|offset_72|444444,4422205:4422224|offset_94|444444&amp;v=4421933:4422424&amp;c=444444", "offset 49")</f>
        <v>offset 49</v>
      </c>
    </row>
    <row r="14277" customFormat="false" ht="12.8" hidden="false" customHeight="false" outlineLevel="0" collapsed="false">
      <c r="A14277" s="0" t="s">
        <v>12</v>
      </c>
      <c r="B14277" s="0" t="n">
        <v>4422182</v>
      </c>
      <c r="C14277" s="0" t="n">
        <v>4422202</v>
      </c>
      <c r="D14277" s="0" t="s">
        <v>47433</v>
      </c>
      <c r="E14277" s="0" t="s">
        <v>75</v>
      </c>
      <c r="F14277" s="0" t="s">
        <v>15</v>
      </c>
      <c r="G14277" s="0" t="s">
        <v>20</v>
      </c>
      <c r="H14277" s="0" t="n">
        <v>72</v>
      </c>
      <c r="I14277" s="0" t="s">
        <v>47440</v>
      </c>
      <c r="J14277" s="0" t="s">
        <v>47441</v>
      </c>
      <c r="K14277" s="0" t="s">
        <v>47442</v>
      </c>
      <c r="L14277" s="0" t="str">
        <f aca="false">HYPERLINK("https://www.ncbi.nlm.nih.gov/nuccore/CP000058.1?report=graph&amp;tracks=[key:gene_model_track,Options:GeneOnly]&amp;mk=4422134:4422153|offset_23|444444,4422160:4422179|offset_49|444444,4422183:4422202|offset_72|00cc00,4422205:4422224|offset_94|444444&amp;v=4421933:4422424&amp;c=444444", "offset 72")</f>
        <v>offset 72</v>
      </c>
    </row>
    <row r="14278" customFormat="false" ht="12.8" hidden="false" customHeight="false" outlineLevel="0" collapsed="false">
      <c r="A14278" s="0" t="s">
        <v>12</v>
      </c>
      <c r="B14278" s="0" t="n">
        <v>4422204</v>
      </c>
      <c r="C14278" s="0" t="n">
        <v>4422224</v>
      </c>
      <c r="D14278" s="0" t="s">
        <v>47433</v>
      </c>
      <c r="E14278" s="0" t="s">
        <v>75</v>
      </c>
      <c r="F14278" s="0" t="s">
        <v>15</v>
      </c>
      <c r="G14278" s="0" t="s">
        <v>36</v>
      </c>
      <c r="H14278" s="0" t="n">
        <v>94</v>
      </c>
      <c r="I14278" s="0" t="s">
        <v>47443</v>
      </c>
      <c r="J14278" s="0" t="s">
        <v>47444</v>
      </c>
      <c r="K14278" s="0" t="s">
        <v>47445</v>
      </c>
      <c r="L14278" s="0" t="str">
        <f aca="false">HYPERLINK("https://www.ncbi.nlm.nih.gov/nuccore/CP000058.1?report=graph&amp;tracks=[key:gene_model_track,Options:GeneOnly]&amp;mk=4422134:4422153|offset_23|444444,4422160:4422179|offset_49|444444,4422183:4422202|offset_72|444444,4422205:4422224|offset_94|00cc00&amp;v=4421933:4422424&amp;c=444444", "offset 94")</f>
        <v>offset 94</v>
      </c>
    </row>
    <row r="14279" customFormat="false" ht="12.8" hidden="false" customHeight="false" outlineLevel="0" collapsed="false">
      <c r="A14279" s="0" t="s">
        <v>12</v>
      </c>
      <c r="B14279" s="0" t="n">
        <v>4423263</v>
      </c>
      <c r="C14279" s="0" t="n">
        <v>4423283</v>
      </c>
      <c r="D14279" s="0" t="s">
        <v>47446</v>
      </c>
      <c r="E14279" s="0" t="s">
        <v>75</v>
      </c>
      <c r="F14279" s="0" t="s">
        <v>90</v>
      </c>
      <c r="G14279" s="0" t="s">
        <v>16</v>
      </c>
      <c r="H14279" s="0" t="n">
        <v>8</v>
      </c>
      <c r="I14279" s="0" t="s">
        <v>47447</v>
      </c>
      <c r="J14279" s="0" t="s">
        <v>47448</v>
      </c>
      <c r="K14279" s="0" t="s">
        <v>47449</v>
      </c>
      <c r="L14279" s="0" t="str">
        <f aca="false">HYPERLINK("https://www.ncbi.nlm.nih.gov/nuccore/CP000058.1?report=graph&amp;tracks=[key:gene_model_track,Options:GeneOnly]&amp;mk=4423264:4423283|offset_8|00cc00,4423229:4423248|offset_43|444444,4423208:4423227|offset_64|444444,4423180:4423199|offset_92|444444&amp;v=4423063:4423399&amp;c=444444", "offset 8")</f>
        <v>offset 8</v>
      </c>
    </row>
    <row r="14280" customFormat="false" ht="12.8" hidden="false" customHeight="false" outlineLevel="0" collapsed="false">
      <c r="A14280" s="0" t="s">
        <v>12</v>
      </c>
      <c r="B14280" s="0" t="n">
        <v>4423228</v>
      </c>
      <c r="C14280" s="0" t="n">
        <v>4423248</v>
      </c>
      <c r="D14280" s="0" t="s">
        <v>47446</v>
      </c>
      <c r="E14280" s="0" t="s">
        <v>75</v>
      </c>
      <c r="F14280" s="0" t="s">
        <v>90</v>
      </c>
      <c r="G14280" s="0" t="s">
        <v>16</v>
      </c>
      <c r="H14280" s="0" t="n">
        <v>43</v>
      </c>
      <c r="I14280" s="0" t="s">
        <v>47450</v>
      </c>
      <c r="J14280" s="0" t="s">
        <v>47451</v>
      </c>
      <c r="K14280" s="0" t="s">
        <v>47452</v>
      </c>
      <c r="L14280" s="0" t="str">
        <f aca="false">HYPERLINK("https://www.ncbi.nlm.nih.gov/nuccore/CP000058.1?report=graph&amp;tracks=[key:gene_model_track,Options:GeneOnly]&amp;mk=4423264:4423283|offset_8|444444,4423229:4423248|offset_43|00cc00,4423208:4423227|offset_64|444444,4423180:4423199|offset_92|444444&amp;v=4423063:4423399&amp;c=444444", "offset 43")</f>
        <v>offset 43</v>
      </c>
    </row>
    <row r="14281" customFormat="false" ht="12.8" hidden="false" customHeight="false" outlineLevel="0" collapsed="false">
      <c r="A14281" s="0" t="s">
        <v>12</v>
      </c>
      <c r="B14281" s="0" t="n">
        <v>4423207</v>
      </c>
      <c r="C14281" s="0" t="n">
        <v>4423227</v>
      </c>
      <c r="D14281" s="0" t="s">
        <v>47446</v>
      </c>
      <c r="E14281" s="0" t="s">
        <v>75</v>
      </c>
      <c r="F14281" s="0" t="s">
        <v>90</v>
      </c>
      <c r="G14281" s="0" t="s">
        <v>16</v>
      </c>
      <c r="H14281" s="0" t="n">
        <v>64</v>
      </c>
      <c r="I14281" s="0" t="s">
        <v>47453</v>
      </c>
      <c r="J14281" s="0" t="s">
        <v>47454</v>
      </c>
      <c r="K14281" s="0" t="s">
        <v>47455</v>
      </c>
      <c r="L14281" s="0" t="str">
        <f aca="false">HYPERLINK("https://www.ncbi.nlm.nih.gov/nuccore/CP000058.1?report=graph&amp;tracks=[key:gene_model_track,Options:GeneOnly]&amp;mk=4423264:4423283|offset_8|444444,4423229:4423248|offset_43|444444,4423208:4423227|offset_64|00cc00,4423180:4423199|offset_92|444444&amp;v=4423063:4423399&amp;c=444444", "offset 64")</f>
        <v>offset 64</v>
      </c>
    </row>
    <row r="14282" customFormat="false" ht="12.8" hidden="false" customHeight="false" outlineLevel="0" collapsed="false">
      <c r="A14282" s="0" t="s">
        <v>12</v>
      </c>
      <c r="B14282" s="0" t="n">
        <v>4423179</v>
      </c>
      <c r="C14282" s="0" t="n">
        <v>4423199</v>
      </c>
      <c r="D14282" s="0" t="s">
        <v>47446</v>
      </c>
      <c r="E14282" s="0" t="s">
        <v>75</v>
      </c>
      <c r="F14282" s="0" t="s">
        <v>90</v>
      </c>
      <c r="G14282" s="0" t="s">
        <v>20</v>
      </c>
      <c r="H14282" s="0" t="n">
        <v>92</v>
      </c>
      <c r="I14282" s="0" t="s">
        <v>47456</v>
      </c>
      <c r="J14282" s="0" t="s">
        <v>47457</v>
      </c>
      <c r="K14282" s="0" t="s">
        <v>47458</v>
      </c>
      <c r="L14282" s="0" t="str">
        <f aca="false">HYPERLINK("https://www.ncbi.nlm.nih.gov/nuccore/CP000058.1?report=graph&amp;tracks=[key:gene_model_track,Options:GeneOnly]&amp;mk=4423264:4423283|offset_8|444444,4423229:4423248|offset_43|444444,4423208:4423227|offset_64|444444,4423180:4423199|offset_92|00cc00&amp;v=4423063:4423399&amp;c=444444", "offset 92")</f>
        <v>offset 92</v>
      </c>
    </row>
    <row r="14283" customFormat="false" ht="12.8" hidden="false" customHeight="false" outlineLevel="0" collapsed="false">
      <c r="A14283" s="0" t="s">
        <v>12</v>
      </c>
      <c r="B14283" s="0" t="n">
        <v>4424167</v>
      </c>
      <c r="C14283" s="0" t="n">
        <v>4424187</v>
      </c>
      <c r="D14283" s="0" t="s">
        <v>47459</v>
      </c>
      <c r="E14283" s="0" t="s">
        <v>75</v>
      </c>
      <c r="F14283" s="0" t="s">
        <v>90</v>
      </c>
      <c r="G14283" s="0" t="s">
        <v>36</v>
      </c>
      <c r="H14283" s="0" t="n">
        <v>21</v>
      </c>
      <c r="I14283" s="0" t="s">
        <v>47460</v>
      </c>
      <c r="J14283" s="0" t="s">
        <v>47461</v>
      </c>
      <c r="K14283" s="0" t="s">
        <v>47462</v>
      </c>
      <c r="L14283" s="0" t="str">
        <f aca="false">HYPERLINK("https://www.ncbi.nlm.nih.gov/nuccore/CP000058.1?report=graph&amp;tracks=[key:gene_model_track,Options:GeneOnly]&amp;mk=4424168:4424187|offset_21|00cc00,4424140:4424159|offset_49|444444,4424096:4424115|offset_93|444444,4424072:4424091|offset_117|444444&amp;v=4423967:4424291&amp;c=444444", "offset 21")</f>
        <v>offset 21</v>
      </c>
    </row>
    <row r="14284" customFormat="false" ht="12.8" hidden="false" customHeight="false" outlineLevel="0" collapsed="false">
      <c r="A14284" s="0" t="s">
        <v>12</v>
      </c>
      <c r="B14284" s="0" t="n">
        <v>4424139</v>
      </c>
      <c r="C14284" s="0" t="n">
        <v>4424159</v>
      </c>
      <c r="D14284" s="0" t="s">
        <v>47459</v>
      </c>
      <c r="E14284" s="0" t="s">
        <v>75</v>
      </c>
      <c r="F14284" s="0" t="s">
        <v>90</v>
      </c>
      <c r="G14284" s="0" t="s">
        <v>36</v>
      </c>
      <c r="H14284" s="0" t="n">
        <v>49</v>
      </c>
      <c r="I14284" s="0" t="s">
        <v>47463</v>
      </c>
      <c r="J14284" s="0" t="s">
        <v>47464</v>
      </c>
      <c r="K14284" s="0" t="s">
        <v>47465</v>
      </c>
      <c r="L14284" s="0" t="str">
        <f aca="false">HYPERLINK("https://www.ncbi.nlm.nih.gov/nuccore/CP000058.1?report=graph&amp;tracks=[key:gene_model_track,Options:GeneOnly]&amp;mk=4424168:4424187|offset_21|444444,4424140:4424159|offset_49|00cc00,4424096:4424115|offset_93|444444,4424072:4424091|offset_117|444444&amp;v=4423967:4424291&amp;c=444444", "offset 49")</f>
        <v>offset 49</v>
      </c>
    </row>
    <row r="14285" customFormat="false" ht="12.8" hidden="false" customHeight="false" outlineLevel="0" collapsed="false">
      <c r="A14285" s="0" t="s">
        <v>12</v>
      </c>
      <c r="B14285" s="0" t="n">
        <v>4424095</v>
      </c>
      <c r="C14285" s="0" t="n">
        <v>4424115</v>
      </c>
      <c r="D14285" s="0" t="s">
        <v>47459</v>
      </c>
      <c r="E14285" s="0" t="s">
        <v>75</v>
      </c>
      <c r="F14285" s="0" t="s">
        <v>90</v>
      </c>
      <c r="G14285" s="0" t="s">
        <v>36</v>
      </c>
      <c r="H14285" s="0" t="n">
        <v>93</v>
      </c>
      <c r="I14285" s="0" t="s">
        <v>47466</v>
      </c>
      <c r="J14285" s="0" t="s">
        <v>47467</v>
      </c>
      <c r="K14285" s="0" t="s">
        <v>47468</v>
      </c>
      <c r="L14285" s="0" t="str">
        <f aca="false">HYPERLINK("https://www.ncbi.nlm.nih.gov/nuccore/CP000058.1?report=graph&amp;tracks=[key:gene_model_track,Options:GeneOnly]&amp;mk=4424168:4424187|offset_21|444444,4424140:4424159|offset_49|444444,4424096:4424115|offset_93|00cc00,4424072:4424091|offset_117|444444&amp;v=4423967:4424291&amp;c=444444", "offset 93")</f>
        <v>offset 93</v>
      </c>
    </row>
    <row r="14286" customFormat="false" ht="12.8" hidden="false" customHeight="false" outlineLevel="0" collapsed="false">
      <c r="A14286" s="0" t="s">
        <v>12</v>
      </c>
      <c r="B14286" s="0" t="n">
        <v>4424071</v>
      </c>
      <c r="C14286" s="0" t="n">
        <v>4424091</v>
      </c>
      <c r="D14286" s="0" t="s">
        <v>47459</v>
      </c>
      <c r="E14286" s="0" t="s">
        <v>75</v>
      </c>
      <c r="F14286" s="0" t="s">
        <v>90</v>
      </c>
      <c r="G14286" s="0" t="s">
        <v>32</v>
      </c>
      <c r="H14286" s="0" t="n">
        <v>117</v>
      </c>
      <c r="I14286" s="0" t="s">
        <v>47469</v>
      </c>
      <c r="J14286" s="0" t="s">
        <v>47470</v>
      </c>
      <c r="K14286" s="0" t="s">
        <v>47471</v>
      </c>
      <c r="L14286" s="0" t="str">
        <f aca="false">HYPERLINK("https://www.ncbi.nlm.nih.gov/nuccore/CP000058.1?report=graph&amp;tracks=[key:gene_model_track,Options:GeneOnly]&amp;mk=4424168:4424187|offset_21|444444,4424140:4424159|offset_49|444444,4424096:4424115|offset_93|444444,4424072:4424091|offset_117|00cc00&amp;v=4423967:4424291&amp;c=444444", "offset 117")</f>
        <v>offset 117</v>
      </c>
    </row>
    <row r="14287" customFormat="false" ht="12.8" hidden="false" customHeight="false" outlineLevel="0" collapsed="false">
      <c r="A14287" s="0" t="s">
        <v>12</v>
      </c>
      <c r="B14287" s="0" t="n">
        <v>4425698</v>
      </c>
      <c r="C14287" s="0" t="n">
        <v>4425718</v>
      </c>
      <c r="D14287" s="0" t="s">
        <v>47472</v>
      </c>
      <c r="E14287" s="0" t="s">
        <v>75</v>
      </c>
      <c r="F14287" s="0" t="s">
        <v>90</v>
      </c>
      <c r="G14287" s="0" t="s">
        <v>16</v>
      </c>
      <c r="H14287" s="0" t="n">
        <v>6</v>
      </c>
      <c r="I14287" s="0" t="s">
        <v>47473</v>
      </c>
      <c r="J14287" s="0" t="s">
        <v>47474</v>
      </c>
      <c r="K14287" s="0" t="s">
        <v>47475</v>
      </c>
      <c r="L14287" s="0" t="str">
        <f aca="false">HYPERLINK("https://www.ncbi.nlm.nih.gov/nuccore/CP000058.1?report=graph&amp;tracks=[key:gene_model_track,Options:GeneOnly]&amp;mk=4425699:4425718|offset_6|00cc00,4425677:4425696|offset_28|444444,4425600:4425619|offset_105|444444,4425542:4425561|offset_163|444444&amp;v=4425498:4425761&amp;c=444444", "offset 6")</f>
        <v>offset 6</v>
      </c>
    </row>
    <row r="14288" customFormat="false" ht="12.8" hidden="false" customHeight="false" outlineLevel="0" collapsed="false">
      <c r="A14288" s="0" t="s">
        <v>12</v>
      </c>
      <c r="B14288" s="0" t="n">
        <v>4425676</v>
      </c>
      <c r="C14288" s="0" t="n">
        <v>4425696</v>
      </c>
      <c r="D14288" s="0" t="s">
        <v>47472</v>
      </c>
      <c r="E14288" s="0" t="s">
        <v>75</v>
      </c>
      <c r="F14288" s="0" t="s">
        <v>90</v>
      </c>
      <c r="G14288" s="0" t="s">
        <v>32</v>
      </c>
      <c r="H14288" s="0" t="n">
        <v>28</v>
      </c>
      <c r="I14288" s="0" t="s">
        <v>47476</v>
      </c>
      <c r="J14288" s="0" t="s">
        <v>47477</v>
      </c>
      <c r="K14288" s="0" t="s">
        <v>47478</v>
      </c>
      <c r="L14288" s="0" t="str">
        <f aca="false">HYPERLINK("https://www.ncbi.nlm.nih.gov/nuccore/CP000058.1?report=graph&amp;tracks=[key:gene_model_track,Options:GeneOnly]&amp;mk=4425699:4425718|offset_6|444444,4425677:4425696|offset_28|00cc00,4425600:4425619|offset_105|444444,4425542:4425561|offset_163|444444&amp;v=4425498:4425761&amp;c=444444", "offset 28")</f>
        <v>offset 28</v>
      </c>
    </row>
    <row r="14289" customFormat="false" ht="12.8" hidden="false" customHeight="false" outlineLevel="0" collapsed="false">
      <c r="A14289" s="0" t="s">
        <v>12</v>
      </c>
      <c r="B14289" s="0" t="n">
        <v>4425599</v>
      </c>
      <c r="C14289" s="0" t="n">
        <v>4425619</v>
      </c>
      <c r="D14289" s="0" t="s">
        <v>47472</v>
      </c>
      <c r="E14289" s="0" t="s">
        <v>75</v>
      </c>
      <c r="F14289" s="0" t="s">
        <v>90</v>
      </c>
      <c r="G14289" s="0" t="s">
        <v>16</v>
      </c>
      <c r="H14289" s="0" t="n">
        <v>105</v>
      </c>
      <c r="I14289" s="0" t="s">
        <v>47479</v>
      </c>
      <c r="J14289" s="0" t="s">
        <v>47480</v>
      </c>
      <c r="K14289" s="0" t="s">
        <v>47481</v>
      </c>
      <c r="L14289" s="0" t="str">
        <f aca="false">HYPERLINK("https://www.ncbi.nlm.nih.gov/nuccore/CP000058.1?report=graph&amp;tracks=[key:gene_model_track,Options:GeneOnly]&amp;mk=4425699:4425718|offset_6|444444,4425677:4425696|offset_28|444444,4425600:4425619|offset_105|00cc00,4425542:4425561|offset_163|444444&amp;v=4425498:4425761&amp;c=444444", "offset 105")</f>
        <v>offset 105</v>
      </c>
    </row>
    <row r="14290" customFormat="false" ht="12.8" hidden="false" customHeight="false" outlineLevel="0" collapsed="false">
      <c r="A14290" s="0" t="s">
        <v>12</v>
      </c>
      <c r="B14290" s="0" t="n">
        <v>4425541</v>
      </c>
      <c r="C14290" s="0" t="n">
        <v>4425561</v>
      </c>
      <c r="D14290" s="0" t="s">
        <v>47472</v>
      </c>
      <c r="E14290" s="0" t="s">
        <v>75</v>
      </c>
      <c r="F14290" s="0" t="s">
        <v>90</v>
      </c>
      <c r="G14290" s="0" t="s">
        <v>16</v>
      </c>
      <c r="H14290" s="0" t="n">
        <v>163</v>
      </c>
      <c r="I14290" s="0" t="s">
        <v>47482</v>
      </c>
      <c r="J14290" s="0" t="s">
        <v>47483</v>
      </c>
      <c r="K14290" s="0" t="s">
        <v>47484</v>
      </c>
      <c r="L14290" s="0" t="str">
        <f aca="false">HYPERLINK("https://www.ncbi.nlm.nih.gov/nuccore/CP000058.1?report=graph&amp;tracks=[key:gene_model_track,Options:GeneOnly]&amp;mk=4425699:4425718|offset_6|444444,4425677:4425696|offset_28|444444,4425600:4425619|offset_105|444444,4425542:4425561|offset_163|00cc00&amp;v=4425498:4425761&amp;c=444444", "offset 163")</f>
        <v>offset 163</v>
      </c>
    </row>
    <row r="14291" customFormat="false" ht="12.8" hidden="false" customHeight="false" outlineLevel="0" collapsed="false">
      <c r="A14291" s="0" t="s">
        <v>12</v>
      </c>
      <c r="B14291" s="0" t="n">
        <v>4426507</v>
      </c>
      <c r="C14291" s="0" t="n">
        <v>4426527</v>
      </c>
      <c r="D14291" s="0" t="s">
        <v>47485</v>
      </c>
      <c r="E14291" s="0" t="s">
        <v>75</v>
      </c>
      <c r="F14291" s="0" t="s">
        <v>90</v>
      </c>
      <c r="G14291" s="0" t="s">
        <v>32</v>
      </c>
      <c r="H14291" s="0" t="n">
        <v>13</v>
      </c>
      <c r="I14291" s="0" t="s">
        <v>47486</v>
      </c>
      <c r="J14291" s="0" t="s">
        <v>47487</v>
      </c>
      <c r="K14291" s="0" t="s">
        <v>47488</v>
      </c>
      <c r="L14291" s="0" t="str">
        <f aca="false">HYPERLINK("https://www.ncbi.nlm.nih.gov/nuccore/CP000058.1?report=graph&amp;tracks=[key:gene_model_track,Options:GeneOnly]&amp;mk=4426508:4426527|offset_13|00cc00,4426472:4426491|offset_49|444444,4426450:4426469|offset_71|444444,4426394:4426413|offset_127|444444&amp;v=4426307:4426613&amp;c=444444", "offset 13")</f>
        <v>offset 13</v>
      </c>
    </row>
    <row r="14292" customFormat="false" ht="12.8" hidden="false" customHeight="false" outlineLevel="0" collapsed="false">
      <c r="A14292" s="0" t="s">
        <v>12</v>
      </c>
      <c r="B14292" s="0" t="n">
        <v>4426471</v>
      </c>
      <c r="C14292" s="0" t="n">
        <v>4426491</v>
      </c>
      <c r="D14292" s="0" t="s">
        <v>47485</v>
      </c>
      <c r="E14292" s="0" t="s">
        <v>75</v>
      </c>
      <c r="F14292" s="0" t="s">
        <v>90</v>
      </c>
      <c r="G14292" s="0" t="s">
        <v>32</v>
      </c>
      <c r="H14292" s="0" t="n">
        <v>49</v>
      </c>
      <c r="I14292" s="0" t="s">
        <v>47489</v>
      </c>
      <c r="J14292" s="0" t="s">
        <v>47490</v>
      </c>
      <c r="K14292" s="0" t="s">
        <v>47491</v>
      </c>
      <c r="L14292" s="0" t="str">
        <f aca="false">HYPERLINK("https://www.ncbi.nlm.nih.gov/nuccore/CP000058.1?report=graph&amp;tracks=[key:gene_model_track,Options:GeneOnly]&amp;mk=4426508:4426527|offset_13|444444,4426472:4426491|offset_49|00cc00,4426450:4426469|offset_71|444444,4426394:4426413|offset_127|444444&amp;v=4426307:4426613&amp;c=444444", "offset 49")</f>
        <v>offset 49</v>
      </c>
    </row>
    <row r="14293" customFormat="false" ht="12.8" hidden="false" customHeight="false" outlineLevel="0" collapsed="false">
      <c r="A14293" s="0" t="s">
        <v>12</v>
      </c>
      <c r="B14293" s="0" t="n">
        <v>4426449</v>
      </c>
      <c r="C14293" s="0" t="n">
        <v>4426469</v>
      </c>
      <c r="D14293" s="0" t="s">
        <v>47485</v>
      </c>
      <c r="E14293" s="0" t="s">
        <v>75</v>
      </c>
      <c r="F14293" s="0" t="s">
        <v>90</v>
      </c>
      <c r="G14293" s="0" t="s">
        <v>16</v>
      </c>
      <c r="H14293" s="0" t="n">
        <v>71</v>
      </c>
      <c r="I14293" s="0" t="s">
        <v>47492</v>
      </c>
      <c r="J14293" s="0" t="s">
        <v>47493</v>
      </c>
      <c r="K14293" s="0" t="s">
        <v>47494</v>
      </c>
      <c r="L14293" s="0" t="str">
        <f aca="false">HYPERLINK("https://www.ncbi.nlm.nih.gov/nuccore/CP000058.1?report=graph&amp;tracks=[key:gene_model_track,Options:GeneOnly]&amp;mk=4426508:4426527|offset_13|444444,4426472:4426491|offset_49|444444,4426450:4426469|offset_71|00cc00,4426394:4426413|offset_127|444444&amp;v=4426307:4426613&amp;c=444444", "offset 71")</f>
        <v>offset 71</v>
      </c>
    </row>
    <row r="14294" customFormat="false" ht="12.8" hidden="false" customHeight="false" outlineLevel="0" collapsed="false">
      <c r="A14294" s="0" t="s">
        <v>12</v>
      </c>
      <c r="B14294" s="0" t="n">
        <v>4426393</v>
      </c>
      <c r="C14294" s="0" t="n">
        <v>4426413</v>
      </c>
      <c r="D14294" s="0" t="s">
        <v>47485</v>
      </c>
      <c r="E14294" s="0" t="s">
        <v>75</v>
      </c>
      <c r="F14294" s="0" t="s">
        <v>90</v>
      </c>
      <c r="G14294" s="0" t="s">
        <v>32</v>
      </c>
      <c r="H14294" s="0" t="n">
        <v>127</v>
      </c>
      <c r="I14294" s="0" t="s">
        <v>47495</v>
      </c>
      <c r="J14294" s="0" t="s">
        <v>47496</v>
      </c>
      <c r="K14294" s="0" t="s">
        <v>47497</v>
      </c>
      <c r="L14294" s="0" t="str">
        <f aca="false">HYPERLINK("https://www.ncbi.nlm.nih.gov/nuccore/CP000058.1?report=graph&amp;tracks=[key:gene_model_track,Options:GeneOnly]&amp;mk=4426508:4426527|offset_13|444444,4426472:4426491|offset_49|444444,4426450:4426469|offset_71|444444,4426394:4426413|offset_127|00cc00&amp;v=4426307:4426613&amp;c=444444", "offset 127")</f>
        <v>offset 127</v>
      </c>
    </row>
    <row r="14295" customFormat="false" ht="12.8" hidden="false" customHeight="false" outlineLevel="0" collapsed="false">
      <c r="A14295" s="0" t="s">
        <v>12</v>
      </c>
      <c r="B14295" s="0" t="n">
        <v>4428089</v>
      </c>
      <c r="C14295" s="0" t="n">
        <v>4428109</v>
      </c>
      <c r="D14295" s="0" t="s">
        <v>47498</v>
      </c>
      <c r="E14295" s="0" t="s">
        <v>47499</v>
      </c>
      <c r="F14295" s="0" t="s">
        <v>90</v>
      </c>
      <c r="G14295" s="0" t="s">
        <v>32</v>
      </c>
      <c r="H14295" s="0" t="n">
        <v>11</v>
      </c>
      <c r="I14295" s="0" t="s">
        <v>47500</v>
      </c>
      <c r="J14295" s="0" t="s">
        <v>47501</v>
      </c>
      <c r="K14295" s="0" t="s">
        <v>47502</v>
      </c>
      <c r="L14295" s="0" t="str">
        <f aca="false">HYPERLINK("https://www.ncbi.nlm.nih.gov/nuccore/CP000058.1?report=graph&amp;tracks=[key:gene_model_track,Options:GeneOnly]&amp;mk=4428090:4428109|offset_11|00cc00,4428070:4428089|offset_31|444444,4428049:4428068|offset_52|444444,4428012:4428031|offset_89|444444&amp;v=4427889:4428231&amp;c=444444", "offset 11")</f>
        <v>offset 11</v>
      </c>
    </row>
    <row r="14296" customFormat="false" ht="12.8" hidden="false" customHeight="false" outlineLevel="0" collapsed="false">
      <c r="A14296" s="0" t="s">
        <v>12</v>
      </c>
      <c r="B14296" s="0" t="n">
        <v>4428069</v>
      </c>
      <c r="C14296" s="0" t="n">
        <v>4428089</v>
      </c>
      <c r="D14296" s="0" t="s">
        <v>47498</v>
      </c>
      <c r="E14296" s="0" t="s">
        <v>47499</v>
      </c>
      <c r="F14296" s="0" t="s">
        <v>90</v>
      </c>
      <c r="G14296" s="0" t="s">
        <v>36</v>
      </c>
      <c r="H14296" s="0" t="n">
        <v>31</v>
      </c>
      <c r="I14296" s="0" t="s">
        <v>47503</v>
      </c>
      <c r="J14296" s="0" t="s">
        <v>47504</v>
      </c>
      <c r="K14296" s="0" t="s">
        <v>47505</v>
      </c>
      <c r="L14296" s="0" t="str">
        <f aca="false">HYPERLINK("https://www.ncbi.nlm.nih.gov/nuccore/CP000058.1?report=graph&amp;tracks=[key:gene_model_track,Options:GeneOnly]&amp;mk=4428090:4428109|offset_11|444444,4428070:4428089|offset_31|00cc00,4428049:4428068|offset_52|444444,4428012:4428031|offset_89|444444&amp;v=4427889:4428231&amp;c=444444", "offset 31")</f>
        <v>offset 31</v>
      </c>
    </row>
    <row r="14297" customFormat="false" ht="12.8" hidden="false" customHeight="false" outlineLevel="0" collapsed="false">
      <c r="A14297" s="0" t="s">
        <v>12</v>
      </c>
      <c r="B14297" s="0" t="n">
        <v>4428048</v>
      </c>
      <c r="C14297" s="0" t="n">
        <v>4428068</v>
      </c>
      <c r="D14297" s="0" t="s">
        <v>47498</v>
      </c>
      <c r="E14297" s="0" t="s">
        <v>47499</v>
      </c>
      <c r="F14297" s="0" t="s">
        <v>90</v>
      </c>
      <c r="G14297" s="0" t="s">
        <v>36</v>
      </c>
      <c r="H14297" s="0" t="n">
        <v>52</v>
      </c>
      <c r="I14297" s="0" t="s">
        <v>47506</v>
      </c>
      <c r="J14297" s="0" t="s">
        <v>47507</v>
      </c>
      <c r="K14297" s="0" t="s">
        <v>47508</v>
      </c>
      <c r="L14297" s="0" t="str">
        <f aca="false">HYPERLINK("https://www.ncbi.nlm.nih.gov/nuccore/CP000058.1?report=graph&amp;tracks=[key:gene_model_track,Options:GeneOnly]&amp;mk=4428090:4428109|offset_11|444444,4428070:4428089|offset_31|444444,4428049:4428068|offset_52|00cc00,4428012:4428031|offset_89|444444&amp;v=4427889:4428231&amp;c=444444", "offset 52")</f>
        <v>offset 52</v>
      </c>
    </row>
    <row r="14298" customFormat="false" ht="12.8" hidden="false" customHeight="false" outlineLevel="0" collapsed="false">
      <c r="A14298" s="0" t="s">
        <v>12</v>
      </c>
      <c r="B14298" s="0" t="n">
        <v>4428011</v>
      </c>
      <c r="C14298" s="0" t="n">
        <v>4428031</v>
      </c>
      <c r="D14298" s="0" t="s">
        <v>47498</v>
      </c>
      <c r="E14298" s="0" t="s">
        <v>47499</v>
      </c>
      <c r="F14298" s="0" t="s">
        <v>90</v>
      </c>
      <c r="G14298" s="0" t="s">
        <v>16</v>
      </c>
      <c r="H14298" s="0" t="n">
        <v>89</v>
      </c>
      <c r="I14298" s="0" t="s">
        <v>47509</v>
      </c>
      <c r="J14298" s="0" t="s">
        <v>47510</v>
      </c>
      <c r="K14298" s="0" t="s">
        <v>47511</v>
      </c>
      <c r="L14298" s="0" t="str">
        <f aca="false">HYPERLINK("https://www.ncbi.nlm.nih.gov/nuccore/CP000058.1?report=graph&amp;tracks=[key:gene_model_track,Options:GeneOnly]&amp;mk=4428090:4428109|offset_11|444444,4428070:4428089|offset_31|444444,4428049:4428068|offset_52|444444,4428012:4428031|offset_89|00cc00&amp;v=4427889:4428231&amp;c=444444", "offset 89")</f>
        <v>offset 89</v>
      </c>
    </row>
    <row r="14299" customFormat="false" ht="12.8" hidden="false" customHeight="false" outlineLevel="0" collapsed="false">
      <c r="A14299" s="0" t="s">
        <v>12</v>
      </c>
      <c r="B14299" s="0" t="n">
        <v>4429161</v>
      </c>
      <c r="C14299" s="0" t="n">
        <v>4429181</v>
      </c>
      <c r="D14299" s="0" t="s">
        <v>47512</v>
      </c>
      <c r="E14299" s="0" t="s">
        <v>47513</v>
      </c>
      <c r="F14299" s="0" t="s">
        <v>90</v>
      </c>
      <c r="G14299" s="0" t="s">
        <v>16</v>
      </c>
      <c r="H14299" s="0" t="n">
        <v>31</v>
      </c>
      <c r="I14299" s="0" t="s">
        <v>47514</v>
      </c>
      <c r="J14299" s="0" t="s">
        <v>47515</v>
      </c>
      <c r="K14299" s="0" t="s">
        <v>47516</v>
      </c>
      <c r="L14299" s="0" t="str">
        <f aca="false">HYPERLINK("https://www.ncbi.nlm.nih.gov/nuccore/CP000058.1?report=graph&amp;tracks=[key:gene_model_track,Options:GeneOnly]&amp;mk=4429162:4429181|offset_31|00cc00,4429136:4429155|offset_57|444444,4429114:4429133|offset_79|444444,4429084:4429103|offset_109|444444&amp;v=4428961:4429303&amp;c=444444", "offset 31")</f>
        <v>offset 31</v>
      </c>
    </row>
    <row r="14300" customFormat="false" ht="12.8" hidden="false" customHeight="false" outlineLevel="0" collapsed="false">
      <c r="A14300" s="0" t="s">
        <v>12</v>
      </c>
      <c r="B14300" s="0" t="n">
        <v>4429135</v>
      </c>
      <c r="C14300" s="0" t="n">
        <v>4429155</v>
      </c>
      <c r="D14300" s="0" t="s">
        <v>47512</v>
      </c>
      <c r="E14300" s="0" t="s">
        <v>47513</v>
      </c>
      <c r="F14300" s="0" t="s">
        <v>90</v>
      </c>
      <c r="G14300" s="0" t="s">
        <v>32</v>
      </c>
      <c r="H14300" s="0" t="n">
        <v>57</v>
      </c>
      <c r="I14300" s="0" t="s">
        <v>47517</v>
      </c>
      <c r="J14300" s="0" t="s">
        <v>47518</v>
      </c>
      <c r="K14300" s="0" t="s">
        <v>47519</v>
      </c>
      <c r="L14300" s="0" t="str">
        <f aca="false">HYPERLINK("https://www.ncbi.nlm.nih.gov/nuccore/CP000058.1?report=graph&amp;tracks=[key:gene_model_track,Options:GeneOnly]&amp;mk=4429162:4429181|offset_31|444444,4429136:4429155|offset_57|00cc00,4429114:4429133|offset_79|444444,4429084:4429103|offset_109|444444&amp;v=4428961:4429303&amp;c=444444", "offset 57")</f>
        <v>offset 57</v>
      </c>
    </row>
    <row r="14301" customFormat="false" ht="12.8" hidden="false" customHeight="false" outlineLevel="0" collapsed="false">
      <c r="A14301" s="0" t="s">
        <v>12</v>
      </c>
      <c r="B14301" s="0" t="n">
        <v>4429113</v>
      </c>
      <c r="C14301" s="0" t="n">
        <v>4429133</v>
      </c>
      <c r="D14301" s="0" t="s">
        <v>47512</v>
      </c>
      <c r="E14301" s="0" t="s">
        <v>47513</v>
      </c>
      <c r="F14301" s="0" t="s">
        <v>90</v>
      </c>
      <c r="G14301" s="0" t="s">
        <v>20</v>
      </c>
      <c r="H14301" s="0" t="n">
        <v>79</v>
      </c>
      <c r="I14301" s="0" t="s">
        <v>47520</v>
      </c>
      <c r="J14301" s="0" t="s">
        <v>47521</v>
      </c>
      <c r="K14301" s="0" t="s">
        <v>47522</v>
      </c>
      <c r="L14301" s="0" t="str">
        <f aca="false">HYPERLINK("https://www.ncbi.nlm.nih.gov/nuccore/CP000058.1?report=graph&amp;tracks=[key:gene_model_track,Options:GeneOnly]&amp;mk=4429162:4429181|offset_31|444444,4429136:4429155|offset_57|444444,4429114:4429133|offset_79|00cc00,4429084:4429103|offset_109|444444&amp;v=4428961:4429303&amp;c=444444", "offset 79")</f>
        <v>offset 79</v>
      </c>
    </row>
    <row r="14302" customFormat="false" ht="12.8" hidden="false" customHeight="false" outlineLevel="0" collapsed="false">
      <c r="A14302" s="0" t="s">
        <v>12</v>
      </c>
      <c r="B14302" s="0" t="n">
        <v>4429083</v>
      </c>
      <c r="C14302" s="0" t="n">
        <v>4429103</v>
      </c>
      <c r="D14302" s="0" t="s">
        <v>47512</v>
      </c>
      <c r="E14302" s="0" t="s">
        <v>47513</v>
      </c>
      <c r="F14302" s="0" t="s">
        <v>90</v>
      </c>
      <c r="G14302" s="0" t="s">
        <v>36</v>
      </c>
      <c r="H14302" s="0" t="n">
        <v>109</v>
      </c>
      <c r="I14302" s="0" t="s">
        <v>47523</v>
      </c>
      <c r="J14302" s="0" t="s">
        <v>47524</v>
      </c>
      <c r="K14302" s="0" t="s">
        <v>47525</v>
      </c>
      <c r="L14302" s="0" t="str">
        <f aca="false">HYPERLINK("https://www.ncbi.nlm.nih.gov/nuccore/CP000058.1?report=graph&amp;tracks=[key:gene_model_track,Options:GeneOnly]&amp;mk=4429162:4429181|offset_31|444444,4429136:4429155|offset_57|444444,4429114:4429133|offset_79|444444,4429084:4429103|offset_109|00cc00&amp;v=4428961:4429303&amp;c=444444", "offset 109")</f>
        <v>offset 109</v>
      </c>
    </row>
    <row r="14303" customFormat="false" ht="12.8" hidden="false" customHeight="false" outlineLevel="0" collapsed="false">
      <c r="A14303" s="0" t="s">
        <v>12</v>
      </c>
      <c r="B14303" s="0" t="n">
        <v>4430376</v>
      </c>
      <c r="C14303" s="0" t="n">
        <v>4430396</v>
      </c>
      <c r="D14303" s="0" t="s">
        <v>47526</v>
      </c>
      <c r="E14303" s="0" t="s">
        <v>47527</v>
      </c>
      <c r="F14303" s="0" t="s">
        <v>90</v>
      </c>
      <c r="G14303" s="0" t="s">
        <v>20</v>
      </c>
      <c r="H14303" s="0" t="n">
        <v>11</v>
      </c>
      <c r="I14303" s="0" t="s">
        <v>47528</v>
      </c>
      <c r="J14303" s="0" t="s">
        <v>47529</v>
      </c>
      <c r="K14303" s="0" t="s">
        <v>47530</v>
      </c>
      <c r="L14303" s="0" t="str">
        <f aca="false">HYPERLINK("https://www.ncbi.nlm.nih.gov/nuccore/CP000058.1?report=graph&amp;tracks=[key:gene_model_track,Options:GeneOnly]&amp;mk=4430377:4430396|offset_11|00cc00,4430354:4430373|offset_34|444444,4430309:4430328|offset_79|444444,4430272:4430291|offset_116|444444&amp;v=4430176:4430491&amp;c=444444", "offset 11")</f>
        <v>offset 11</v>
      </c>
    </row>
    <row r="14304" customFormat="false" ht="12.8" hidden="false" customHeight="false" outlineLevel="0" collapsed="false">
      <c r="A14304" s="0" t="s">
        <v>12</v>
      </c>
      <c r="B14304" s="0" t="n">
        <v>4430353</v>
      </c>
      <c r="C14304" s="0" t="n">
        <v>4430373</v>
      </c>
      <c r="D14304" s="0" t="s">
        <v>47526</v>
      </c>
      <c r="E14304" s="0" t="s">
        <v>47527</v>
      </c>
      <c r="F14304" s="0" t="s">
        <v>90</v>
      </c>
      <c r="G14304" s="0" t="s">
        <v>36</v>
      </c>
      <c r="H14304" s="0" t="n">
        <v>34</v>
      </c>
      <c r="I14304" s="0" t="s">
        <v>47531</v>
      </c>
      <c r="J14304" s="0" t="s">
        <v>47532</v>
      </c>
      <c r="K14304" s="0" t="s">
        <v>47533</v>
      </c>
      <c r="L14304" s="0" t="str">
        <f aca="false">HYPERLINK("https://www.ncbi.nlm.nih.gov/nuccore/CP000058.1?report=graph&amp;tracks=[key:gene_model_track,Options:GeneOnly]&amp;mk=4430377:4430396|offset_11|444444,4430354:4430373|offset_34|00cc00,4430309:4430328|offset_79|444444,4430272:4430291|offset_116|444444&amp;v=4430176:4430491&amp;c=444444", "offset 34")</f>
        <v>offset 34</v>
      </c>
    </row>
    <row r="14305" customFormat="false" ht="12.8" hidden="false" customHeight="false" outlineLevel="0" collapsed="false">
      <c r="A14305" s="0" t="s">
        <v>12</v>
      </c>
      <c r="B14305" s="0" t="n">
        <v>4430308</v>
      </c>
      <c r="C14305" s="0" t="n">
        <v>4430328</v>
      </c>
      <c r="D14305" s="0" t="s">
        <v>47526</v>
      </c>
      <c r="E14305" s="0" t="s">
        <v>47527</v>
      </c>
      <c r="F14305" s="0" t="s">
        <v>90</v>
      </c>
      <c r="G14305" s="0" t="s">
        <v>32</v>
      </c>
      <c r="H14305" s="0" t="n">
        <v>79</v>
      </c>
      <c r="I14305" s="0" t="s">
        <v>47534</v>
      </c>
      <c r="J14305" s="0" t="s">
        <v>47535</v>
      </c>
      <c r="K14305" s="0" t="s">
        <v>47536</v>
      </c>
      <c r="L14305" s="0" t="str">
        <f aca="false">HYPERLINK("https://www.ncbi.nlm.nih.gov/nuccore/CP000058.1?report=graph&amp;tracks=[key:gene_model_track,Options:GeneOnly]&amp;mk=4430377:4430396|offset_11|444444,4430354:4430373|offset_34|444444,4430309:4430328|offset_79|00cc00,4430272:4430291|offset_116|444444&amp;v=4430176:4430491&amp;c=444444", "offset 79")</f>
        <v>offset 79</v>
      </c>
    </row>
    <row r="14306" customFormat="false" ht="12.8" hidden="false" customHeight="false" outlineLevel="0" collapsed="false">
      <c r="A14306" s="0" t="s">
        <v>12</v>
      </c>
      <c r="B14306" s="0" t="n">
        <v>4430271</v>
      </c>
      <c r="C14306" s="0" t="n">
        <v>4430291</v>
      </c>
      <c r="D14306" s="0" t="s">
        <v>47526</v>
      </c>
      <c r="E14306" s="0" t="s">
        <v>47527</v>
      </c>
      <c r="F14306" s="0" t="s">
        <v>90</v>
      </c>
      <c r="G14306" s="0" t="s">
        <v>32</v>
      </c>
      <c r="H14306" s="0" t="n">
        <v>116</v>
      </c>
      <c r="I14306" s="0" t="s">
        <v>47537</v>
      </c>
      <c r="J14306" s="0" t="s">
        <v>47538</v>
      </c>
      <c r="K14306" s="0" t="s">
        <v>47539</v>
      </c>
      <c r="L14306" s="0" t="str">
        <f aca="false">HYPERLINK("https://www.ncbi.nlm.nih.gov/nuccore/CP000058.1?report=graph&amp;tracks=[key:gene_model_track,Options:GeneOnly]&amp;mk=4430377:4430396|offset_11|444444,4430354:4430373|offset_34|444444,4430309:4430328|offset_79|444444,4430272:4430291|offset_116|00cc00&amp;v=4430176:4430491&amp;c=444444", "offset 116")</f>
        <v>offset 116</v>
      </c>
    </row>
    <row r="14307" customFormat="false" ht="12.8" hidden="false" customHeight="false" outlineLevel="0" collapsed="false">
      <c r="A14307" s="0" t="s">
        <v>12</v>
      </c>
      <c r="B14307" s="0" t="n">
        <v>4431430</v>
      </c>
      <c r="C14307" s="0" t="n">
        <v>4431450</v>
      </c>
      <c r="D14307" s="0" t="s">
        <v>47540</v>
      </c>
      <c r="E14307" s="0" t="s">
        <v>75</v>
      </c>
      <c r="F14307" s="0" t="s">
        <v>90</v>
      </c>
      <c r="G14307" s="0" t="s">
        <v>32</v>
      </c>
      <c r="H14307" s="0" t="n">
        <v>13</v>
      </c>
      <c r="I14307" s="0" t="s">
        <v>47541</v>
      </c>
      <c r="J14307" s="0" t="s">
        <v>47542</v>
      </c>
      <c r="K14307" s="0" t="s">
        <v>47543</v>
      </c>
      <c r="L14307" s="0" t="str">
        <f aca="false">HYPERLINK("https://www.ncbi.nlm.nih.gov/nuccore/CP000058.1?report=graph&amp;tracks=[key:gene_model_track,Options:GeneOnly]&amp;mk=4431431:4431450|offset_13|00cc00,4431407:4431426|offset_37|444444,4431380:4431399|offset_64|444444,4431344:4431363|offset_100|444444&amp;v=4431230:4431563&amp;c=444444", "offset 13")</f>
        <v>offset 13</v>
      </c>
    </row>
    <row r="14308" customFormat="false" ht="12.8" hidden="false" customHeight="false" outlineLevel="0" collapsed="false">
      <c r="A14308" s="0" t="s">
        <v>12</v>
      </c>
      <c r="B14308" s="0" t="n">
        <v>4431406</v>
      </c>
      <c r="C14308" s="0" t="n">
        <v>4431426</v>
      </c>
      <c r="D14308" s="0" t="s">
        <v>47540</v>
      </c>
      <c r="E14308" s="0" t="s">
        <v>75</v>
      </c>
      <c r="F14308" s="0" t="s">
        <v>90</v>
      </c>
      <c r="G14308" s="0" t="s">
        <v>32</v>
      </c>
      <c r="H14308" s="0" t="n">
        <v>37</v>
      </c>
      <c r="I14308" s="0" t="s">
        <v>47544</v>
      </c>
      <c r="J14308" s="0" t="s">
        <v>47545</v>
      </c>
      <c r="K14308" s="0" t="s">
        <v>47546</v>
      </c>
      <c r="L14308" s="0" t="str">
        <f aca="false">HYPERLINK("https://www.ncbi.nlm.nih.gov/nuccore/CP000058.1?report=graph&amp;tracks=[key:gene_model_track,Options:GeneOnly]&amp;mk=4431431:4431450|offset_13|444444,4431407:4431426|offset_37|00cc00,4431380:4431399|offset_64|444444,4431344:4431363|offset_100|444444&amp;v=4431230:4431563&amp;c=444444", "offset 37")</f>
        <v>offset 37</v>
      </c>
    </row>
    <row r="14309" customFormat="false" ht="12.8" hidden="false" customHeight="false" outlineLevel="0" collapsed="false">
      <c r="A14309" s="0" t="s">
        <v>12</v>
      </c>
      <c r="B14309" s="0" t="n">
        <v>4431379</v>
      </c>
      <c r="C14309" s="0" t="n">
        <v>4431399</v>
      </c>
      <c r="D14309" s="0" t="s">
        <v>47540</v>
      </c>
      <c r="E14309" s="0" t="s">
        <v>75</v>
      </c>
      <c r="F14309" s="0" t="s">
        <v>90</v>
      </c>
      <c r="G14309" s="0" t="s">
        <v>20</v>
      </c>
      <c r="H14309" s="0" t="n">
        <v>64</v>
      </c>
      <c r="I14309" s="0" t="s">
        <v>47547</v>
      </c>
      <c r="J14309" s="0" t="s">
        <v>47548</v>
      </c>
      <c r="K14309" s="0" t="s">
        <v>47549</v>
      </c>
      <c r="L14309" s="0" t="str">
        <f aca="false">HYPERLINK("https://www.ncbi.nlm.nih.gov/nuccore/CP000058.1?report=graph&amp;tracks=[key:gene_model_track,Options:GeneOnly]&amp;mk=4431431:4431450|offset_13|444444,4431407:4431426|offset_37|444444,4431380:4431399|offset_64|00cc00,4431344:4431363|offset_100|444444&amp;v=4431230:4431563&amp;c=444444", "offset 64")</f>
        <v>offset 64</v>
      </c>
    </row>
    <row r="14310" customFormat="false" ht="12.8" hidden="false" customHeight="false" outlineLevel="0" collapsed="false">
      <c r="A14310" s="0" t="s">
        <v>12</v>
      </c>
      <c r="B14310" s="0" t="n">
        <v>4431343</v>
      </c>
      <c r="C14310" s="0" t="n">
        <v>4431363</v>
      </c>
      <c r="D14310" s="0" t="s">
        <v>47540</v>
      </c>
      <c r="E14310" s="0" t="s">
        <v>75</v>
      </c>
      <c r="F14310" s="0" t="s">
        <v>90</v>
      </c>
      <c r="G14310" s="0" t="s">
        <v>32</v>
      </c>
      <c r="H14310" s="0" t="n">
        <v>100</v>
      </c>
      <c r="I14310" s="0" t="s">
        <v>47550</v>
      </c>
      <c r="J14310" s="0" t="s">
        <v>47551</v>
      </c>
      <c r="K14310" s="0" t="s">
        <v>47552</v>
      </c>
      <c r="L14310" s="0" t="str">
        <f aca="false">HYPERLINK("https://www.ncbi.nlm.nih.gov/nuccore/CP000058.1?report=graph&amp;tracks=[key:gene_model_track,Options:GeneOnly]&amp;mk=4431431:4431450|offset_13|444444,4431407:4431426|offset_37|444444,4431380:4431399|offset_64|444444,4431344:4431363|offset_100|00cc00&amp;v=4431230:4431563&amp;c=444444", "offset 100")</f>
        <v>offset 100</v>
      </c>
    </row>
    <row r="14311" customFormat="false" ht="12.8" hidden="false" customHeight="false" outlineLevel="0" collapsed="false">
      <c r="A14311" s="0" t="s">
        <v>12</v>
      </c>
      <c r="B14311" s="0" t="n">
        <v>4433812</v>
      </c>
      <c r="C14311" s="0" t="n">
        <v>4433832</v>
      </c>
      <c r="D14311" s="0" t="s">
        <v>47553</v>
      </c>
      <c r="E14311" s="0" t="s">
        <v>75</v>
      </c>
      <c r="F14311" s="0" t="s">
        <v>90</v>
      </c>
      <c r="G14311" s="0" t="s">
        <v>32</v>
      </c>
      <c r="H14311" s="0" t="n">
        <v>9</v>
      </c>
      <c r="I14311" s="0" t="s">
        <v>47554</v>
      </c>
      <c r="J14311" s="0" t="s">
        <v>47555</v>
      </c>
      <c r="K14311" s="0" t="s">
        <v>47556</v>
      </c>
      <c r="L14311" s="0" t="str">
        <f aca="false">HYPERLINK("https://www.ncbi.nlm.nih.gov/nuccore/CP000058.1?report=graph&amp;tracks=[key:gene_model_track,Options:GeneOnly]&amp;mk=4433813:4433832|offset_9|00cc00,4433764:4433783|offset_58|444444,4433733:4433752|offset_89|444444,4433712:4433731|offset_110|444444&amp;v=4433612:4433931&amp;c=444444", "offset 9")</f>
        <v>offset 9</v>
      </c>
    </row>
    <row r="14312" customFormat="false" ht="12.8" hidden="false" customHeight="false" outlineLevel="0" collapsed="false">
      <c r="A14312" s="0" t="s">
        <v>12</v>
      </c>
      <c r="B14312" s="0" t="n">
        <v>4433763</v>
      </c>
      <c r="C14312" s="0" t="n">
        <v>4433783</v>
      </c>
      <c r="D14312" s="0" t="s">
        <v>47553</v>
      </c>
      <c r="E14312" s="0" t="s">
        <v>75</v>
      </c>
      <c r="F14312" s="0" t="s">
        <v>90</v>
      </c>
      <c r="G14312" s="0" t="s">
        <v>16</v>
      </c>
      <c r="H14312" s="0" t="n">
        <v>58</v>
      </c>
      <c r="I14312" s="0" t="s">
        <v>47557</v>
      </c>
      <c r="J14312" s="0" t="s">
        <v>47558</v>
      </c>
      <c r="K14312" s="0" t="s">
        <v>47559</v>
      </c>
      <c r="L14312" s="0" t="str">
        <f aca="false">HYPERLINK("https://www.ncbi.nlm.nih.gov/nuccore/CP000058.1?report=graph&amp;tracks=[key:gene_model_track,Options:GeneOnly]&amp;mk=4433813:4433832|offset_9|444444,4433764:4433783|offset_58|00cc00,4433733:4433752|offset_89|444444,4433712:4433731|offset_110|444444&amp;v=4433612:4433931&amp;c=444444", "offset 58")</f>
        <v>offset 58</v>
      </c>
    </row>
    <row r="14313" customFormat="false" ht="12.8" hidden="false" customHeight="false" outlineLevel="0" collapsed="false">
      <c r="A14313" s="0" t="s">
        <v>12</v>
      </c>
      <c r="B14313" s="0" t="n">
        <v>4433732</v>
      </c>
      <c r="C14313" s="0" t="n">
        <v>4433752</v>
      </c>
      <c r="D14313" s="0" t="s">
        <v>47553</v>
      </c>
      <c r="E14313" s="0" t="s">
        <v>75</v>
      </c>
      <c r="F14313" s="0" t="s">
        <v>90</v>
      </c>
      <c r="G14313" s="0" t="s">
        <v>20</v>
      </c>
      <c r="H14313" s="0" t="n">
        <v>89</v>
      </c>
      <c r="I14313" s="0" t="s">
        <v>47560</v>
      </c>
      <c r="J14313" s="0" t="s">
        <v>47561</v>
      </c>
      <c r="K14313" s="0" t="s">
        <v>47562</v>
      </c>
      <c r="L14313" s="0" t="str">
        <f aca="false">HYPERLINK("https://www.ncbi.nlm.nih.gov/nuccore/CP000058.1?report=graph&amp;tracks=[key:gene_model_track,Options:GeneOnly]&amp;mk=4433813:4433832|offset_9|444444,4433764:4433783|offset_58|444444,4433733:4433752|offset_89|00cc00,4433712:4433731|offset_110|444444&amp;v=4433612:4433931&amp;c=444444", "offset 89")</f>
        <v>offset 89</v>
      </c>
    </row>
    <row r="14314" customFormat="false" ht="12.8" hidden="false" customHeight="false" outlineLevel="0" collapsed="false">
      <c r="A14314" s="0" t="s">
        <v>12</v>
      </c>
      <c r="B14314" s="0" t="n">
        <v>4433711</v>
      </c>
      <c r="C14314" s="0" t="n">
        <v>4433731</v>
      </c>
      <c r="D14314" s="0" t="s">
        <v>47553</v>
      </c>
      <c r="E14314" s="0" t="s">
        <v>75</v>
      </c>
      <c r="F14314" s="0" t="s">
        <v>90</v>
      </c>
      <c r="G14314" s="0" t="s">
        <v>36</v>
      </c>
      <c r="H14314" s="0" t="n">
        <v>110</v>
      </c>
      <c r="I14314" s="0" t="s">
        <v>47563</v>
      </c>
      <c r="J14314" s="0" t="s">
        <v>47564</v>
      </c>
      <c r="K14314" s="0" t="s">
        <v>47565</v>
      </c>
      <c r="L14314" s="0" t="str">
        <f aca="false">HYPERLINK("https://www.ncbi.nlm.nih.gov/nuccore/CP000058.1?report=graph&amp;tracks=[key:gene_model_track,Options:GeneOnly]&amp;mk=4433813:4433832|offset_9|444444,4433764:4433783|offset_58|444444,4433733:4433752|offset_89|444444,4433712:4433731|offset_110|00cc00&amp;v=4433612:4433931&amp;c=444444", "offset 110")</f>
        <v>offset 110</v>
      </c>
    </row>
    <row r="14315" customFormat="false" ht="12.8" hidden="false" customHeight="false" outlineLevel="0" collapsed="false">
      <c r="A14315" s="0" t="s">
        <v>12</v>
      </c>
      <c r="B14315" s="0" t="n">
        <v>4434491</v>
      </c>
      <c r="C14315" s="0" t="n">
        <v>4434511</v>
      </c>
      <c r="D14315" s="0" t="s">
        <v>47566</v>
      </c>
      <c r="E14315" s="0" t="s">
        <v>47567</v>
      </c>
      <c r="F14315" s="0" t="s">
        <v>90</v>
      </c>
      <c r="G14315" s="0" t="s">
        <v>16</v>
      </c>
      <c r="H14315" s="0" t="n">
        <v>16</v>
      </c>
      <c r="I14315" s="0" t="s">
        <v>47568</v>
      </c>
      <c r="J14315" s="0" t="s">
        <v>47569</v>
      </c>
      <c r="K14315" s="0" t="s">
        <v>47570</v>
      </c>
      <c r="L14315" s="0" t="str">
        <f aca="false">HYPERLINK("https://www.ncbi.nlm.nih.gov/nuccore/CP000058.1?report=graph&amp;tracks=[key:gene_model_track,Options:GeneOnly]&amp;mk=4434492:4434511|offset_16|00cc00,4434467:4434486|offset_41|444444,4434437:4434456|offset_71|444444,4434411:4434430|offset_97|444444&amp;v=4434291:4434630&amp;c=444444", "offset 16")</f>
        <v>offset 16</v>
      </c>
    </row>
    <row r="14316" customFormat="false" ht="12.8" hidden="false" customHeight="false" outlineLevel="0" collapsed="false">
      <c r="A14316" s="0" t="s">
        <v>12</v>
      </c>
      <c r="B14316" s="0" t="n">
        <v>4434466</v>
      </c>
      <c r="C14316" s="0" t="n">
        <v>4434486</v>
      </c>
      <c r="D14316" s="0" t="s">
        <v>47566</v>
      </c>
      <c r="E14316" s="0" t="s">
        <v>47567</v>
      </c>
      <c r="F14316" s="0" t="s">
        <v>90</v>
      </c>
      <c r="G14316" s="0" t="s">
        <v>32</v>
      </c>
      <c r="H14316" s="0" t="n">
        <v>41</v>
      </c>
      <c r="I14316" s="0" t="s">
        <v>47571</v>
      </c>
      <c r="J14316" s="0" t="s">
        <v>47572</v>
      </c>
      <c r="K14316" s="0" t="s">
        <v>47573</v>
      </c>
      <c r="L14316" s="0" t="str">
        <f aca="false">HYPERLINK("https://www.ncbi.nlm.nih.gov/nuccore/CP000058.1?report=graph&amp;tracks=[key:gene_model_track,Options:GeneOnly]&amp;mk=4434492:4434511|offset_16|444444,4434467:4434486|offset_41|00cc00,4434437:4434456|offset_71|444444,4434411:4434430|offset_97|444444&amp;v=4434291:4434630&amp;c=444444", "offset 41")</f>
        <v>offset 41</v>
      </c>
    </row>
    <row r="14317" customFormat="false" ht="12.8" hidden="false" customHeight="false" outlineLevel="0" collapsed="false">
      <c r="A14317" s="0" t="s">
        <v>12</v>
      </c>
      <c r="B14317" s="0" t="n">
        <v>4434436</v>
      </c>
      <c r="C14317" s="0" t="n">
        <v>4434456</v>
      </c>
      <c r="D14317" s="0" t="s">
        <v>47566</v>
      </c>
      <c r="E14317" s="0" t="s">
        <v>47567</v>
      </c>
      <c r="F14317" s="0" t="s">
        <v>90</v>
      </c>
      <c r="G14317" s="0" t="s">
        <v>16</v>
      </c>
      <c r="H14317" s="0" t="n">
        <v>71</v>
      </c>
      <c r="I14317" s="0" t="s">
        <v>47574</v>
      </c>
      <c r="J14317" s="0" t="s">
        <v>47575</v>
      </c>
      <c r="K14317" s="0" t="s">
        <v>47576</v>
      </c>
      <c r="L14317" s="0" t="str">
        <f aca="false">HYPERLINK("https://www.ncbi.nlm.nih.gov/nuccore/CP000058.1?report=graph&amp;tracks=[key:gene_model_track,Options:GeneOnly]&amp;mk=4434492:4434511|offset_16|444444,4434467:4434486|offset_41|444444,4434437:4434456|offset_71|00cc00,4434411:4434430|offset_97|444444&amp;v=4434291:4434630&amp;c=444444", "offset 71")</f>
        <v>offset 71</v>
      </c>
    </row>
    <row r="14318" customFormat="false" ht="12.8" hidden="false" customHeight="false" outlineLevel="0" collapsed="false">
      <c r="A14318" s="0" t="s">
        <v>12</v>
      </c>
      <c r="B14318" s="0" t="n">
        <v>4434410</v>
      </c>
      <c r="C14318" s="0" t="n">
        <v>4434430</v>
      </c>
      <c r="D14318" s="0" t="s">
        <v>47566</v>
      </c>
      <c r="E14318" s="0" t="s">
        <v>47567</v>
      </c>
      <c r="F14318" s="0" t="s">
        <v>90</v>
      </c>
      <c r="G14318" s="0" t="s">
        <v>20</v>
      </c>
      <c r="H14318" s="0" t="n">
        <v>97</v>
      </c>
      <c r="I14318" s="0" t="s">
        <v>47577</v>
      </c>
      <c r="J14318" s="0" t="s">
        <v>47578</v>
      </c>
      <c r="K14318" s="0" t="s">
        <v>47579</v>
      </c>
      <c r="L14318" s="0" t="str">
        <f aca="false">HYPERLINK("https://www.ncbi.nlm.nih.gov/nuccore/CP000058.1?report=graph&amp;tracks=[key:gene_model_track,Options:GeneOnly]&amp;mk=4434492:4434511|offset_16|444444,4434467:4434486|offset_41|444444,4434437:4434456|offset_71|444444,4434411:4434430|offset_97|00cc00&amp;v=4434291:4434630&amp;c=444444", "offset 97")</f>
        <v>offset 97</v>
      </c>
    </row>
    <row r="14319" customFormat="false" ht="12.8" hidden="false" customHeight="false" outlineLevel="0" collapsed="false">
      <c r="A14319" s="0" t="s">
        <v>12</v>
      </c>
      <c r="B14319" s="0" t="n">
        <v>4435699</v>
      </c>
      <c r="C14319" s="0" t="n">
        <v>4435719</v>
      </c>
      <c r="D14319" s="0" t="s">
        <v>47580</v>
      </c>
      <c r="E14319" s="0" t="s">
        <v>47581</v>
      </c>
      <c r="F14319" s="0" t="s">
        <v>90</v>
      </c>
      <c r="G14319" s="0" t="s">
        <v>20</v>
      </c>
      <c r="H14319" s="0" t="n">
        <v>94</v>
      </c>
      <c r="I14319" s="0" t="s">
        <v>47582</v>
      </c>
      <c r="J14319" s="0" t="s">
        <v>47583</v>
      </c>
      <c r="K14319" s="0" t="s">
        <v>47584</v>
      </c>
      <c r="L14319" s="0" t="str">
        <f aca="false">HYPERLINK("https://www.ncbi.nlm.nih.gov/nuccore/CP000058.1?report=graph&amp;tracks=[key:gene_model_track,Options:GeneOnly]&amp;mk=4435700:4435719|offset_94|00cc00,4435679:4435698|offset_115|444444,4435629:4435648|offset_165|444444,4435590:4435609|offset_204|444444&amp;v=4435499:4435809&amp;c=444444", "offset 94")</f>
        <v>offset 94</v>
      </c>
    </row>
    <row r="14320" customFormat="false" ht="12.8" hidden="false" customHeight="false" outlineLevel="0" collapsed="false">
      <c r="A14320" s="0" t="s">
        <v>12</v>
      </c>
      <c r="B14320" s="0" t="n">
        <v>4435678</v>
      </c>
      <c r="C14320" s="0" t="n">
        <v>4435698</v>
      </c>
      <c r="D14320" s="0" t="s">
        <v>47580</v>
      </c>
      <c r="E14320" s="0" t="s">
        <v>47581</v>
      </c>
      <c r="F14320" s="0" t="s">
        <v>90</v>
      </c>
      <c r="G14320" s="0" t="s">
        <v>16</v>
      </c>
      <c r="H14320" s="0" t="n">
        <v>115</v>
      </c>
      <c r="I14320" s="0" t="s">
        <v>47585</v>
      </c>
      <c r="J14320" s="0" t="s">
        <v>47586</v>
      </c>
      <c r="K14320" s="0" t="s">
        <v>47587</v>
      </c>
      <c r="L14320" s="0" t="str">
        <f aca="false">HYPERLINK("https://www.ncbi.nlm.nih.gov/nuccore/CP000058.1?report=graph&amp;tracks=[key:gene_model_track,Options:GeneOnly]&amp;mk=4435700:4435719|offset_94|444444,4435679:4435698|offset_115|00cc00,4435629:4435648|offset_165|444444,4435590:4435609|offset_204|444444&amp;v=4435499:4435809&amp;c=444444", "offset 115")</f>
        <v>offset 115</v>
      </c>
    </row>
    <row r="14321" customFormat="false" ht="12.8" hidden="false" customHeight="false" outlineLevel="0" collapsed="false">
      <c r="A14321" s="0" t="s">
        <v>12</v>
      </c>
      <c r="B14321" s="0" t="n">
        <v>4435628</v>
      </c>
      <c r="C14321" s="0" t="n">
        <v>4435648</v>
      </c>
      <c r="D14321" s="0" t="s">
        <v>47580</v>
      </c>
      <c r="E14321" s="0" t="s">
        <v>47581</v>
      </c>
      <c r="F14321" s="0" t="s">
        <v>90</v>
      </c>
      <c r="G14321" s="0" t="s">
        <v>20</v>
      </c>
      <c r="H14321" s="0" t="n">
        <v>165</v>
      </c>
      <c r="I14321" s="0" t="s">
        <v>47588</v>
      </c>
      <c r="J14321" s="0" t="s">
        <v>47589</v>
      </c>
      <c r="K14321" s="0" t="s">
        <v>47590</v>
      </c>
      <c r="L14321" s="0" t="str">
        <f aca="false">HYPERLINK("https://www.ncbi.nlm.nih.gov/nuccore/CP000058.1?report=graph&amp;tracks=[key:gene_model_track,Options:GeneOnly]&amp;mk=4435700:4435719|offset_94|444444,4435679:4435698|offset_115|444444,4435629:4435648|offset_165|00cc00,4435590:4435609|offset_204|444444&amp;v=4435499:4435809&amp;c=444444", "offset 165")</f>
        <v>offset 165</v>
      </c>
    </row>
    <row r="14322" customFormat="false" ht="12.8" hidden="false" customHeight="false" outlineLevel="0" collapsed="false">
      <c r="A14322" s="0" t="s">
        <v>12</v>
      </c>
      <c r="B14322" s="0" t="n">
        <v>4435589</v>
      </c>
      <c r="C14322" s="0" t="n">
        <v>4435609</v>
      </c>
      <c r="D14322" s="0" t="s">
        <v>47580</v>
      </c>
      <c r="E14322" s="0" t="s">
        <v>47581</v>
      </c>
      <c r="F14322" s="0" t="s">
        <v>90</v>
      </c>
      <c r="G14322" s="0" t="s">
        <v>36</v>
      </c>
      <c r="H14322" s="0" t="n">
        <v>204</v>
      </c>
      <c r="I14322" s="0" t="s">
        <v>47591</v>
      </c>
      <c r="J14322" s="0" t="s">
        <v>47592</v>
      </c>
      <c r="K14322" s="0" t="s">
        <v>47593</v>
      </c>
      <c r="L14322" s="0" t="str">
        <f aca="false">HYPERLINK("https://www.ncbi.nlm.nih.gov/nuccore/CP000058.1?report=graph&amp;tracks=[key:gene_model_track,Options:GeneOnly]&amp;mk=4435700:4435719|offset_94|444444,4435679:4435698|offset_115|444444,4435629:4435648|offset_165|444444,4435590:4435609|offset_204|00cc00&amp;v=4435499:4435809&amp;c=444444", "offset 204")</f>
        <v>offset 204</v>
      </c>
    </row>
    <row r="14323" customFormat="false" ht="12.8" hidden="false" customHeight="false" outlineLevel="0" collapsed="false">
      <c r="A14323" s="0" t="s">
        <v>12</v>
      </c>
      <c r="B14323" s="0" t="n">
        <v>4436290</v>
      </c>
      <c r="C14323" s="0" t="n">
        <v>4436310</v>
      </c>
      <c r="D14323" s="0" t="s">
        <v>47594</v>
      </c>
      <c r="E14323" s="0" t="s">
        <v>47595</v>
      </c>
      <c r="F14323" s="0" t="s">
        <v>90</v>
      </c>
      <c r="G14323" s="0" t="s">
        <v>32</v>
      </c>
      <c r="H14323" s="0" t="n">
        <v>36</v>
      </c>
      <c r="I14323" s="0" t="s">
        <v>47596</v>
      </c>
      <c r="J14323" s="0" t="s">
        <v>47597</v>
      </c>
      <c r="K14323" s="0" t="s">
        <v>47598</v>
      </c>
      <c r="L14323" s="0" t="str">
        <f aca="false">HYPERLINK("https://www.ncbi.nlm.nih.gov/nuccore/CP000058.1?report=graph&amp;tracks=[key:gene_model_track,Options:GeneOnly]&amp;mk=4436291:4436310|offset_36|00cc00,4436244:4436263|offset_83|444444,4436215:4436234|offset_112|444444,4436179:4436198|offset_148|444444&amp;v=4436090:4436398&amp;c=444444", "offset 36")</f>
        <v>offset 36</v>
      </c>
    </row>
    <row r="14324" customFormat="false" ht="12.8" hidden="false" customHeight="false" outlineLevel="0" collapsed="false">
      <c r="A14324" s="0" t="s">
        <v>12</v>
      </c>
      <c r="B14324" s="0" t="n">
        <v>4436243</v>
      </c>
      <c r="C14324" s="0" t="n">
        <v>4436263</v>
      </c>
      <c r="D14324" s="0" t="s">
        <v>47594</v>
      </c>
      <c r="E14324" s="0" t="s">
        <v>47595</v>
      </c>
      <c r="F14324" s="0" t="s">
        <v>90</v>
      </c>
      <c r="G14324" s="0" t="s">
        <v>16</v>
      </c>
      <c r="H14324" s="0" t="n">
        <v>83</v>
      </c>
      <c r="I14324" s="0" t="s">
        <v>47599</v>
      </c>
      <c r="J14324" s="0" t="s">
        <v>47600</v>
      </c>
      <c r="K14324" s="0" t="s">
        <v>47601</v>
      </c>
      <c r="L14324" s="0" t="str">
        <f aca="false">HYPERLINK("https://www.ncbi.nlm.nih.gov/nuccore/CP000058.1?report=graph&amp;tracks=[key:gene_model_track,Options:GeneOnly]&amp;mk=4436291:4436310|offset_36|444444,4436244:4436263|offset_83|00cc00,4436215:4436234|offset_112|444444,4436179:4436198|offset_148|444444&amp;v=4436090:4436398&amp;c=444444", "offset 83")</f>
        <v>offset 83</v>
      </c>
    </row>
    <row r="14325" customFormat="false" ht="12.8" hidden="false" customHeight="false" outlineLevel="0" collapsed="false">
      <c r="A14325" s="0" t="s">
        <v>12</v>
      </c>
      <c r="B14325" s="0" t="n">
        <v>4436214</v>
      </c>
      <c r="C14325" s="0" t="n">
        <v>4436234</v>
      </c>
      <c r="D14325" s="0" t="s">
        <v>47594</v>
      </c>
      <c r="E14325" s="0" t="s">
        <v>47595</v>
      </c>
      <c r="F14325" s="0" t="s">
        <v>90</v>
      </c>
      <c r="G14325" s="0" t="s">
        <v>16</v>
      </c>
      <c r="H14325" s="0" t="n">
        <v>112</v>
      </c>
      <c r="I14325" s="0" t="s">
        <v>47602</v>
      </c>
      <c r="J14325" s="0" t="s">
        <v>47603</v>
      </c>
      <c r="K14325" s="0" t="s">
        <v>47604</v>
      </c>
      <c r="L14325" s="0" t="str">
        <f aca="false">HYPERLINK("https://www.ncbi.nlm.nih.gov/nuccore/CP000058.1?report=graph&amp;tracks=[key:gene_model_track,Options:GeneOnly]&amp;mk=4436291:4436310|offset_36|444444,4436244:4436263|offset_83|444444,4436215:4436234|offset_112|00cc00,4436179:4436198|offset_148|444444&amp;v=4436090:4436398&amp;c=444444", "offset 112")</f>
        <v>offset 112</v>
      </c>
    </row>
    <row r="14326" customFormat="false" ht="12.8" hidden="false" customHeight="false" outlineLevel="0" collapsed="false">
      <c r="A14326" s="0" t="s">
        <v>12</v>
      </c>
      <c r="B14326" s="0" t="n">
        <v>4436178</v>
      </c>
      <c r="C14326" s="0" t="n">
        <v>4436198</v>
      </c>
      <c r="D14326" s="0" t="s">
        <v>47594</v>
      </c>
      <c r="E14326" s="0" t="s">
        <v>47595</v>
      </c>
      <c r="F14326" s="0" t="s">
        <v>90</v>
      </c>
      <c r="G14326" s="0" t="s">
        <v>36</v>
      </c>
      <c r="H14326" s="0" t="n">
        <v>148</v>
      </c>
      <c r="I14326" s="0" t="s">
        <v>47605</v>
      </c>
      <c r="J14326" s="0" t="s">
        <v>47606</v>
      </c>
      <c r="K14326" s="0" t="s">
        <v>47607</v>
      </c>
      <c r="L14326" s="0" t="str">
        <f aca="false">HYPERLINK("https://www.ncbi.nlm.nih.gov/nuccore/CP000058.1?report=graph&amp;tracks=[key:gene_model_track,Options:GeneOnly]&amp;mk=4436291:4436310|offset_36|444444,4436244:4436263|offset_83|444444,4436215:4436234|offset_112|444444,4436179:4436198|offset_148|00cc00&amp;v=4436090:4436398&amp;c=444444", "offset 148")</f>
        <v>offset 148</v>
      </c>
    </row>
    <row r="14327" customFormat="false" ht="12.8" hidden="false" customHeight="false" outlineLevel="0" collapsed="false">
      <c r="A14327" s="0" t="s">
        <v>12</v>
      </c>
      <c r="B14327" s="0" t="n">
        <v>4437934</v>
      </c>
      <c r="C14327" s="0" t="n">
        <v>4437954</v>
      </c>
      <c r="D14327" s="0" t="s">
        <v>47608</v>
      </c>
      <c r="E14327" s="0" t="s">
        <v>47609</v>
      </c>
      <c r="F14327" s="0" t="s">
        <v>90</v>
      </c>
      <c r="G14327" s="0" t="s">
        <v>32</v>
      </c>
      <c r="H14327" s="0" t="n">
        <v>23</v>
      </c>
      <c r="I14327" s="0" t="s">
        <v>47610</v>
      </c>
      <c r="J14327" s="0" t="s">
        <v>47611</v>
      </c>
      <c r="K14327" s="0" t="s">
        <v>47612</v>
      </c>
      <c r="L14327" s="0" t="str">
        <f aca="false">HYPERLINK("https://www.ncbi.nlm.nih.gov/nuccore/CP000058.1?report=graph&amp;tracks=[key:gene_model_track,Options:GeneOnly]&amp;mk=4437935:4437954|offset_23|00cc00,4437912:4437931|offset_46|444444,4437855:4437874|offset_103|444444,4437830:4437849|offset_128|444444&amp;v=4437734:4438049&amp;c=444444", "offset 23")</f>
        <v>offset 23</v>
      </c>
    </row>
    <row r="14328" customFormat="false" ht="12.8" hidden="false" customHeight="false" outlineLevel="0" collapsed="false">
      <c r="A14328" s="0" t="s">
        <v>12</v>
      </c>
      <c r="B14328" s="0" t="n">
        <v>4437911</v>
      </c>
      <c r="C14328" s="0" t="n">
        <v>4437931</v>
      </c>
      <c r="D14328" s="0" t="s">
        <v>47608</v>
      </c>
      <c r="E14328" s="0" t="s">
        <v>47609</v>
      </c>
      <c r="F14328" s="0" t="s">
        <v>90</v>
      </c>
      <c r="G14328" s="0" t="s">
        <v>16</v>
      </c>
      <c r="H14328" s="0" t="n">
        <v>46</v>
      </c>
      <c r="I14328" s="0" t="s">
        <v>47613</v>
      </c>
      <c r="J14328" s="0" t="s">
        <v>47614</v>
      </c>
      <c r="K14328" s="0" t="s">
        <v>47615</v>
      </c>
      <c r="L14328" s="0" t="str">
        <f aca="false">HYPERLINK("https://www.ncbi.nlm.nih.gov/nuccore/CP000058.1?report=graph&amp;tracks=[key:gene_model_track,Options:GeneOnly]&amp;mk=4437935:4437954|offset_23|444444,4437912:4437931|offset_46|00cc00,4437855:4437874|offset_103|444444,4437830:4437849|offset_128|444444&amp;v=4437734:4438049&amp;c=444444", "offset 46")</f>
        <v>offset 46</v>
      </c>
    </row>
    <row r="14329" customFormat="false" ht="12.8" hidden="false" customHeight="false" outlineLevel="0" collapsed="false">
      <c r="A14329" s="0" t="s">
        <v>12</v>
      </c>
      <c r="B14329" s="0" t="n">
        <v>4437854</v>
      </c>
      <c r="C14329" s="0" t="n">
        <v>4437874</v>
      </c>
      <c r="D14329" s="0" t="s">
        <v>47608</v>
      </c>
      <c r="E14329" s="0" t="s">
        <v>47609</v>
      </c>
      <c r="F14329" s="0" t="s">
        <v>90</v>
      </c>
      <c r="G14329" s="0" t="s">
        <v>32</v>
      </c>
      <c r="H14329" s="0" t="n">
        <v>103</v>
      </c>
      <c r="I14329" s="0" t="s">
        <v>47616</v>
      </c>
      <c r="J14329" s="0" t="s">
        <v>47617</v>
      </c>
      <c r="K14329" s="0" t="s">
        <v>47618</v>
      </c>
      <c r="L14329" s="0" t="str">
        <f aca="false">HYPERLINK("https://www.ncbi.nlm.nih.gov/nuccore/CP000058.1?report=graph&amp;tracks=[key:gene_model_track,Options:GeneOnly]&amp;mk=4437935:4437954|offset_23|444444,4437912:4437931|offset_46|444444,4437855:4437874|offset_103|00cc00,4437830:4437849|offset_128|444444&amp;v=4437734:4438049&amp;c=444444", "offset 103")</f>
        <v>offset 103</v>
      </c>
    </row>
    <row r="14330" customFormat="false" ht="12.8" hidden="false" customHeight="false" outlineLevel="0" collapsed="false">
      <c r="A14330" s="0" t="s">
        <v>12</v>
      </c>
      <c r="B14330" s="0" t="n">
        <v>4437829</v>
      </c>
      <c r="C14330" s="0" t="n">
        <v>4437849</v>
      </c>
      <c r="D14330" s="0" t="s">
        <v>47608</v>
      </c>
      <c r="E14330" s="0" t="s">
        <v>47609</v>
      </c>
      <c r="F14330" s="0" t="s">
        <v>90</v>
      </c>
      <c r="G14330" s="0" t="s">
        <v>16</v>
      </c>
      <c r="H14330" s="0" t="n">
        <v>128</v>
      </c>
      <c r="I14330" s="0" t="s">
        <v>47619</v>
      </c>
      <c r="J14330" s="0" t="s">
        <v>47620</v>
      </c>
      <c r="K14330" s="0" t="s">
        <v>47621</v>
      </c>
      <c r="L14330" s="0" t="str">
        <f aca="false">HYPERLINK("https://www.ncbi.nlm.nih.gov/nuccore/CP000058.1?report=graph&amp;tracks=[key:gene_model_track,Options:GeneOnly]&amp;mk=4437935:4437954|offset_23|444444,4437912:4437931|offset_46|444444,4437855:4437874|offset_103|444444,4437830:4437849|offset_128|00cc00&amp;v=4437734:4438049&amp;c=444444", "offset 128")</f>
        <v>offset 128</v>
      </c>
    </row>
    <row r="14331" customFormat="false" ht="12.8" hidden="false" customHeight="false" outlineLevel="0" collapsed="false">
      <c r="A14331" s="0" t="s">
        <v>12</v>
      </c>
      <c r="B14331" s="0" t="n">
        <v>4442028</v>
      </c>
      <c r="C14331" s="0" t="n">
        <v>4442048</v>
      </c>
      <c r="D14331" s="0" t="s">
        <v>47622</v>
      </c>
      <c r="E14331" s="0" t="s">
        <v>75</v>
      </c>
      <c r="F14331" s="0" t="s">
        <v>90</v>
      </c>
      <c r="G14331" s="0" t="s">
        <v>16</v>
      </c>
      <c r="H14331" s="0" t="n">
        <v>40</v>
      </c>
      <c r="I14331" s="0" t="s">
        <v>47623</v>
      </c>
      <c r="J14331" s="0" t="s">
        <v>47624</v>
      </c>
      <c r="K14331" s="0" t="s">
        <v>47625</v>
      </c>
      <c r="L14331" s="0" t="str">
        <f aca="false">HYPERLINK("https://www.ncbi.nlm.nih.gov/nuccore/CP000058.1?report=graph&amp;tracks=[key:gene_model_track,Options:GeneOnly]&amp;mk=4442029:4442048|offset_40|00cc00,4441990:4442009|offset_79|444444,4441920:4441939|offset_149|444444,4441876:4441895|offset_193|444444&amp;v=4441828:4442095&amp;c=444444", "offset 40")</f>
        <v>offset 40</v>
      </c>
    </row>
    <row r="14332" customFormat="false" ht="12.8" hidden="false" customHeight="false" outlineLevel="0" collapsed="false">
      <c r="A14332" s="0" t="s">
        <v>12</v>
      </c>
      <c r="B14332" s="0" t="n">
        <v>4441989</v>
      </c>
      <c r="C14332" s="0" t="n">
        <v>4442009</v>
      </c>
      <c r="D14332" s="0" t="s">
        <v>47622</v>
      </c>
      <c r="E14332" s="0" t="s">
        <v>75</v>
      </c>
      <c r="F14332" s="0" t="s">
        <v>90</v>
      </c>
      <c r="G14332" s="0" t="s">
        <v>16</v>
      </c>
      <c r="H14332" s="0" t="n">
        <v>79</v>
      </c>
      <c r="I14332" s="0" t="s">
        <v>47626</v>
      </c>
      <c r="J14332" s="0" t="s">
        <v>47627</v>
      </c>
      <c r="K14332" s="0" t="s">
        <v>47628</v>
      </c>
      <c r="L14332" s="0" t="str">
        <f aca="false">HYPERLINK("https://www.ncbi.nlm.nih.gov/nuccore/CP000058.1?report=graph&amp;tracks=[key:gene_model_track,Options:GeneOnly]&amp;mk=4442029:4442048|offset_40|444444,4441990:4442009|offset_79|00cc00,4441920:4441939|offset_149|444444,4441876:4441895|offset_193|444444&amp;v=4441828:4442095&amp;c=444444", "offset 79")</f>
        <v>offset 79</v>
      </c>
    </row>
    <row r="14333" customFormat="false" ht="12.8" hidden="false" customHeight="false" outlineLevel="0" collapsed="false">
      <c r="A14333" s="0" t="s">
        <v>12</v>
      </c>
      <c r="B14333" s="0" t="n">
        <v>4441919</v>
      </c>
      <c r="C14333" s="0" t="n">
        <v>4441939</v>
      </c>
      <c r="D14333" s="0" t="s">
        <v>47622</v>
      </c>
      <c r="E14333" s="0" t="s">
        <v>75</v>
      </c>
      <c r="F14333" s="0" t="s">
        <v>90</v>
      </c>
      <c r="G14333" s="0" t="s">
        <v>32</v>
      </c>
      <c r="H14333" s="0" t="n">
        <v>149</v>
      </c>
      <c r="I14333" s="0" t="s">
        <v>47629</v>
      </c>
      <c r="J14333" s="0" t="s">
        <v>47630</v>
      </c>
      <c r="K14333" s="0" t="s">
        <v>47631</v>
      </c>
      <c r="L14333" s="0" t="str">
        <f aca="false">HYPERLINK("https://www.ncbi.nlm.nih.gov/nuccore/CP000058.1?report=graph&amp;tracks=[key:gene_model_track,Options:GeneOnly]&amp;mk=4442029:4442048|offset_40|444444,4441990:4442009|offset_79|444444,4441920:4441939|offset_149|00cc00,4441876:4441895|offset_193|444444&amp;v=4441828:4442095&amp;c=444444", "offset 149")</f>
        <v>offset 149</v>
      </c>
    </row>
    <row r="14334" customFormat="false" ht="12.8" hidden="false" customHeight="false" outlineLevel="0" collapsed="false">
      <c r="A14334" s="0" t="s">
        <v>12</v>
      </c>
      <c r="B14334" s="0" t="n">
        <v>4441875</v>
      </c>
      <c r="C14334" s="0" t="n">
        <v>4441895</v>
      </c>
      <c r="D14334" s="0" t="s">
        <v>47622</v>
      </c>
      <c r="E14334" s="0" t="s">
        <v>75</v>
      </c>
      <c r="F14334" s="0" t="s">
        <v>90</v>
      </c>
      <c r="G14334" s="0" t="s">
        <v>16</v>
      </c>
      <c r="H14334" s="0" t="n">
        <v>193</v>
      </c>
      <c r="I14334" s="0" t="s">
        <v>47632</v>
      </c>
      <c r="J14334" s="0" t="s">
        <v>47633</v>
      </c>
      <c r="K14334" s="0" t="s">
        <v>47634</v>
      </c>
      <c r="L14334" s="0" t="str">
        <f aca="false">HYPERLINK("https://www.ncbi.nlm.nih.gov/nuccore/CP000058.1?report=graph&amp;tracks=[key:gene_model_track,Options:GeneOnly]&amp;mk=4442029:4442048|offset_40|444444,4441990:4442009|offset_79|444444,4441920:4441939|offset_149|444444,4441876:4441895|offset_193|00cc00&amp;v=4441828:4442095&amp;c=444444", "offset 193")</f>
        <v>offset 193</v>
      </c>
    </row>
    <row r="14335" customFormat="false" ht="12.8" hidden="false" customHeight="false" outlineLevel="0" collapsed="false">
      <c r="A14335" s="0" t="s">
        <v>12</v>
      </c>
      <c r="B14335" s="0" t="n">
        <v>4443684</v>
      </c>
      <c r="C14335" s="0" t="n">
        <v>4443704</v>
      </c>
      <c r="D14335" s="0" t="s">
        <v>47635</v>
      </c>
      <c r="E14335" s="0" t="s">
        <v>75</v>
      </c>
      <c r="F14335" s="0" t="s">
        <v>15</v>
      </c>
      <c r="G14335" s="0" t="s">
        <v>32</v>
      </c>
      <c r="H14335" s="0" t="n">
        <v>19</v>
      </c>
      <c r="I14335" s="0" t="s">
        <v>47636</v>
      </c>
      <c r="J14335" s="0" t="s">
        <v>47637</v>
      </c>
      <c r="K14335" s="0" t="s">
        <v>47638</v>
      </c>
      <c r="L14335" s="0" t="str">
        <f aca="false">HYPERLINK("https://www.ncbi.nlm.nih.gov/nuccore/CP000058.1?report=graph&amp;tracks=[key:gene_model_track,Options:GeneOnly]&amp;mk=4443685:4443704|offset_19|00cc00,4443711:4443730|offset_45|444444,4443740:4443759|offset_74|444444,4443762:4443781|offset_96|444444&amp;v=4443484:4443981&amp;c=444444", "offset 19")</f>
        <v>offset 19</v>
      </c>
    </row>
    <row r="14336" customFormat="false" ht="12.8" hidden="false" customHeight="false" outlineLevel="0" collapsed="false">
      <c r="A14336" s="0" t="s">
        <v>12</v>
      </c>
      <c r="B14336" s="0" t="n">
        <v>4443710</v>
      </c>
      <c r="C14336" s="0" t="n">
        <v>4443730</v>
      </c>
      <c r="D14336" s="0" t="s">
        <v>47635</v>
      </c>
      <c r="E14336" s="0" t="s">
        <v>75</v>
      </c>
      <c r="F14336" s="0" t="s">
        <v>15</v>
      </c>
      <c r="G14336" s="0" t="s">
        <v>36</v>
      </c>
      <c r="H14336" s="0" t="n">
        <v>45</v>
      </c>
      <c r="I14336" s="0" t="s">
        <v>47639</v>
      </c>
      <c r="J14336" s="0" t="s">
        <v>47640</v>
      </c>
      <c r="K14336" s="0" t="s">
        <v>47641</v>
      </c>
      <c r="L14336" s="0" t="str">
        <f aca="false">HYPERLINK("https://www.ncbi.nlm.nih.gov/nuccore/CP000058.1?report=graph&amp;tracks=[key:gene_model_track,Options:GeneOnly]&amp;mk=4443685:4443704|offset_19|444444,4443711:4443730|offset_45|00cc00,4443740:4443759|offset_74|444444,4443762:4443781|offset_96|444444&amp;v=4443484:4443981&amp;c=444444", "offset 45")</f>
        <v>offset 45</v>
      </c>
    </row>
    <row r="14337" customFormat="false" ht="12.8" hidden="false" customHeight="false" outlineLevel="0" collapsed="false">
      <c r="A14337" s="0" t="s">
        <v>12</v>
      </c>
      <c r="B14337" s="0" t="n">
        <v>4443739</v>
      </c>
      <c r="C14337" s="0" t="n">
        <v>4443759</v>
      </c>
      <c r="D14337" s="0" t="s">
        <v>47635</v>
      </c>
      <c r="E14337" s="0" t="s">
        <v>75</v>
      </c>
      <c r="F14337" s="0" t="s">
        <v>15</v>
      </c>
      <c r="G14337" s="0" t="s">
        <v>36</v>
      </c>
      <c r="H14337" s="0" t="n">
        <v>74</v>
      </c>
      <c r="I14337" s="0" t="s">
        <v>47642</v>
      </c>
      <c r="J14337" s="0" t="s">
        <v>47643</v>
      </c>
      <c r="K14337" s="0" t="s">
        <v>47644</v>
      </c>
      <c r="L14337" s="0" t="str">
        <f aca="false">HYPERLINK("https://www.ncbi.nlm.nih.gov/nuccore/CP000058.1?report=graph&amp;tracks=[key:gene_model_track,Options:GeneOnly]&amp;mk=4443685:4443704|offset_19|444444,4443711:4443730|offset_45|444444,4443740:4443759|offset_74|00cc00,4443762:4443781|offset_96|444444&amp;v=4443484:4443981&amp;c=444444", "offset 74")</f>
        <v>offset 74</v>
      </c>
    </row>
    <row r="14338" customFormat="false" ht="12.8" hidden="false" customHeight="false" outlineLevel="0" collapsed="false">
      <c r="A14338" s="0" t="s">
        <v>12</v>
      </c>
      <c r="B14338" s="0" t="n">
        <v>4443761</v>
      </c>
      <c r="C14338" s="0" t="n">
        <v>4443781</v>
      </c>
      <c r="D14338" s="0" t="s">
        <v>47635</v>
      </c>
      <c r="E14338" s="0" t="s">
        <v>75</v>
      </c>
      <c r="F14338" s="0" t="s">
        <v>15</v>
      </c>
      <c r="G14338" s="0" t="s">
        <v>32</v>
      </c>
      <c r="H14338" s="0" t="n">
        <v>96</v>
      </c>
      <c r="I14338" s="0" t="s">
        <v>47645</v>
      </c>
      <c r="J14338" s="0" t="s">
        <v>47646</v>
      </c>
      <c r="K14338" s="0" t="s">
        <v>47647</v>
      </c>
      <c r="L14338" s="0" t="str">
        <f aca="false">HYPERLINK("https://www.ncbi.nlm.nih.gov/nuccore/CP000058.1?report=graph&amp;tracks=[key:gene_model_track,Options:GeneOnly]&amp;mk=4443685:4443704|offset_19|444444,4443711:4443730|offset_45|444444,4443740:4443759|offset_74|444444,4443762:4443781|offset_96|00cc00&amp;v=4443484:4443981&amp;c=444444", "offset 96")</f>
        <v>offset 96</v>
      </c>
    </row>
    <row r="14339" customFormat="false" ht="12.8" hidden="false" customHeight="false" outlineLevel="0" collapsed="false">
      <c r="A14339" s="0" t="s">
        <v>12</v>
      </c>
      <c r="B14339" s="0" t="n">
        <v>4445725</v>
      </c>
      <c r="C14339" s="0" t="n">
        <v>4445745</v>
      </c>
      <c r="D14339" s="0" t="s">
        <v>47648</v>
      </c>
      <c r="E14339" s="0" t="s">
        <v>47649</v>
      </c>
      <c r="F14339" s="0" t="s">
        <v>90</v>
      </c>
      <c r="G14339" s="0" t="s">
        <v>16</v>
      </c>
      <c r="H14339" s="0" t="n">
        <v>37</v>
      </c>
      <c r="I14339" s="0" t="s">
        <v>47650</v>
      </c>
      <c r="J14339" s="0" t="s">
        <v>47651</v>
      </c>
      <c r="K14339" s="0" t="s">
        <v>47652</v>
      </c>
      <c r="L14339" s="0" t="str">
        <f aca="false">HYPERLINK("https://www.ncbi.nlm.nih.gov/nuccore/CP000058.1?report=graph&amp;tracks=[key:gene_model_track,Options:GeneOnly]&amp;mk=4445726:4445745|offset_37|00cc00,4445701:4445720|offset_62|444444,4445660:4445679|offset_103|444444,4445622:4445641|offset_141|444444&amp;v=4445525:4445841&amp;c=444444", "offset 37")</f>
        <v>offset 37</v>
      </c>
    </row>
    <row r="14340" customFormat="false" ht="12.8" hidden="false" customHeight="false" outlineLevel="0" collapsed="false">
      <c r="A14340" s="0" t="s">
        <v>12</v>
      </c>
      <c r="B14340" s="0" t="n">
        <v>4445700</v>
      </c>
      <c r="C14340" s="0" t="n">
        <v>4445720</v>
      </c>
      <c r="D14340" s="0" t="s">
        <v>47648</v>
      </c>
      <c r="E14340" s="0" t="s">
        <v>47649</v>
      </c>
      <c r="F14340" s="0" t="s">
        <v>90</v>
      </c>
      <c r="G14340" s="0" t="s">
        <v>20</v>
      </c>
      <c r="H14340" s="0" t="n">
        <v>62</v>
      </c>
      <c r="I14340" s="0" t="s">
        <v>47653</v>
      </c>
      <c r="J14340" s="0" t="s">
        <v>47654</v>
      </c>
      <c r="K14340" s="0" t="s">
        <v>47655</v>
      </c>
      <c r="L14340" s="0" t="str">
        <f aca="false">HYPERLINK("https://www.ncbi.nlm.nih.gov/nuccore/CP000058.1?report=graph&amp;tracks=[key:gene_model_track,Options:GeneOnly]&amp;mk=4445726:4445745|offset_37|444444,4445701:4445720|offset_62|00cc00,4445660:4445679|offset_103|444444,4445622:4445641|offset_141|444444&amp;v=4445525:4445841&amp;c=444444", "offset 62")</f>
        <v>offset 62</v>
      </c>
    </row>
    <row r="14341" customFormat="false" ht="12.8" hidden="false" customHeight="false" outlineLevel="0" collapsed="false">
      <c r="A14341" s="0" t="s">
        <v>12</v>
      </c>
      <c r="B14341" s="0" t="n">
        <v>4445659</v>
      </c>
      <c r="C14341" s="0" t="n">
        <v>4445679</v>
      </c>
      <c r="D14341" s="0" t="s">
        <v>47648</v>
      </c>
      <c r="E14341" s="0" t="s">
        <v>47649</v>
      </c>
      <c r="F14341" s="0" t="s">
        <v>90</v>
      </c>
      <c r="G14341" s="0" t="s">
        <v>20</v>
      </c>
      <c r="H14341" s="0" t="n">
        <v>103</v>
      </c>
      <c r="I14341" s="0" t="s">
        <v>47656</v>
      </c>
      <c r="J14341" s="0" t="s">
        <v>47657</v>
      </c>
      <c r="K14341" s="0" t="s">
        <v>47658</v>
      </c>
      <c r="L14341" s="0" t="str">
        <f aca="false">HYPERLINK("https://www.ncbi.nlm.nih.gov/nuccore/CP000058.1?report=graph&amp;tracks=[key:gene_model_track,Options:GeneOnly]&amp;mk=4445726:4445745|offset_37|444444,4445701:4445720|offset_62|444444,4445660:4445679|offset_103|00cc00,4445622:4445641|offset_141|444444&amp;v=4445525:4445841&amp;c=444444", "offset 103")</f>
        <v>offset 103</v>
      </c>
    </row>
    <row r="14342" customFormat="false" ht="12.8" hidden="false" customHeight="false" outlineLevel="0" collapsed="false">
      <c r="A14342" s="0" t="s">
        <v>12</v>
      </c>
      <c r="B14342" s="0" t="n">
        <v>4445621</v>
      </c>
      <c r="C14342" s="0" t="n">
        <v>4445641</v>
      </c>
      <c r="D14342" s="0" t="s">
        <v>47648</v>
      </c>
      <c r="E14342" s="0" t="s">
        <v>47649</v>
      </c>
      <c r="F14342" s="0" t="s">
        <v>90</v>
      </c>
      <c r="G14342" s="0" t="s">
        <v>16</v>
      </c>
      <c r="H14342" s="0" t="n">
        <v>141</v>
      </c>
      <c r="I14342" s="0" t="s">
        <v>47659</v>
      </c>
      <c r="J14342" s="0" t="s">
        <v>47660</v>
      </c>
      <c r="K14342" s="0" t="s">
        <v>47661</v>
      </c>
      <c r="L14342" s="0" t="str">
        <f aca="false">HYPERLINK("https://www.ncbi.nlm.nih.gov/nuccore/CP000058.1?report=graph&amp;tracks=[key:gene_model_track,Options:GeneOnly]&amp;mk=4445726:4445745|offset_37|444444,4445701:4445720|offset_62|444444,4445660:4445679|offset_103|444444,4445622:4445641|offset_141|00cc00&amp;v=4445525:4445841&amp;c=444444", "offset 141")</f>
        <v>offset 141</v>
      </c>
    </row>
    <row r="14343" customFormat="false" ht="12.8" hidden="false" customHeight="false" outlineLevel="0" collapsed="false">
      <c r="A14343" s="0" t="s">
        <v>12</v>
      </c>
      <c r="B14343" s="0" t="n">
        <v>4446788</v>
      </c>
      <c r="C14343" s="0" t="n">
        <v>4446808</v>
      </c>
      <c r="D14343" s="0" t="s">
        <v>47662</v>
      </c>
      <c r="E14343" s="0" t="s">
        <v>75</v>
      </c>
      <c r="F14343" s="0" t="s">
        <v>90</v>
      </c>
      <c r="G14343" s="0" t="s">
        <v>36</v>
      </c>
      <c r="H14343" s="0" t="n">
        <v>0</v>
      </c>
      <c r="I14343" s="0" t="s">
        <v>47663</v>
      </c>
      <c r="J14343" s="0" t="s">
        <v>47664</v>
      </c>
      <c r="K14343" s="0" t="s">
        <v>47665</v>
      </c>
      <c r="L14343" s="0" t="str">
        <f aca="false">HYPERLINK("https://www.ncbi.nlm.nih.gov/nuccore/CP000058.1?report=graph&amp;tracks=[key:gene_model_track,Options:GeneOnly]&amp;mk=4446789:4446808|offset_0|00cc00,4446767:4446786|offset_22|444444,4446745:4446764|offset_44|444444,4446721:4446740|offset_68|444444&amp;v=4446588:4446940&amp;c=444444", "offset 0")</f>
        <v>offset 0</v>
      </c>
    </row>
    <row r="14344" customFormat="false" ht="12.8" hidden="false" customHeight="false" outlineLevel="0" collapsed="false">
      <c r="A14344" s="0" t="s">
        <v>12</v>
      </c>
      <c r="B14344" s="0" t="n">
        <v>4446766</v>
      </c>
      <c r="C14344" s="0" t="n">
        <v>4446786</v>
      </c>
      <c r="D14344" s="0" t="s">
        <v>47662</v>
      </c>
      <c r="E14344" s="0" t="s">
        <v>75</v>
      </c>
      <c r="F14344" s="0" t="s">
        <v>90</v>
      </c>
      <c r="G14344" s="0" t="s">
        <v>36</v>
      </c>
      <c r="H14344" s="0" t="n">
        <v>22</v>
      </c>
      <c r="I14344" s="0" t="s">
        <v>47666</v>
      </c>
      <c r="J14344" s="0" t="s">
        <v>47667</v>
      </c>
      <c r="K14344" s="0" t="s">
        <v>47668</v>
      </c>
      <c r="L14344" s="0" t="str">
        <f aca="false">HYPERLINK("https://www.ncbi.nlm.nih.gov/nuccore/CP000058.1?report=graph&amp;tracks=[key:gene_model_track,Options:GeneOnly]&amp;mk=4446789:4446808|offset_0|444444,4446767:4446786|offset_22|00cc00,4446745:4446764|offset_44|444444,4446721:4446740|offset_68|444444&amp;v=4446588:4446940&amp;c=444444", "offset 22")</f>
        <v>offset 22</v>
      </c>
    </row>
    <row r="14345" customFormat="false" ht="12.8" hidden="false" customHeight="false" outlineLevel="0" collapsed="false">
      <c r="A14345" s="0" t="s">
        <v>12</v>
      </c>
      <c r="B14345" s="0" t="n">
        <v>4446744</v>
      </c>
      <c r="C14345" s="0" t="n">
        <v>4446764</v>
      </c>
      <c r="D14345" s="0" t="s">
        <v>47662</v>
      </c>
      <c r="E14345" s="0" t="s">
        <v>75</v>
      </c>
      <c r="F14345" s="0" t="s">
        <v>90</v>
      </c>
      <c r="G14345" s="0" t="s">
        <v>20</v>
      </c>
      <c r="H14345" s="0" t="n">
        <v>44</v>
      </c>
      <c r="I14345" s="0" t="s">
        <v>47669</v>
      </c>
      <c r="J14345" s="0" t="s">
        <v>47670</v>
      </c>
      <c r="K14345" s="0" t="s">
        <v>47671</v>
      </c>
      <c r="L14345" s="0" t="str">
        <f aca="false">HYPERLINK("https://www.ncbi.nlm.nih.gov/nuccore/CP000058.1?report=graph&amp;tracks=[key:gene_model_track,Options:GeneOnly]&amp;mk=4446789:4446808|offset_0|444444,4446767:4446786|offset_22|444444,4446745:4446764|offset_44|00cc00,4446721:4446740|offset_68|444444&amp;v=4446588:4446940&amp;c=444444", "offset 44")</f>
        <v>offset 44</v>
      </c>
    </row>
    <row r="14346" customFormat="false" ht="12.8" hidden="false" customHeight="false" outlineLevel="0" collapsed="false">
      <c r="A14346" s="0" t="s">
        <v>12</v>
      </c>
      <c r="B14346" s="0" t="n">
        <v>4446720</v>
      </c>
      <c r="C14346" s="0" t="n">
        <v>4446740</v>
      </c>
      <c r="D14346" s="0" t="s">
        <v>47662</v>
      </c>
      <c r="E14346" s="0" t="s">
        <v>75</v>
      </c>
      <c r="F14346" s="0" t="s">
        <v>90</v>
      </c>
      <c r="G14346" s="0" t="s">
        <v>32</v>
      </c>
      <c r="H14346" s="0" t="n">
        <v>68</v>
      </c>
      <c r="I14346" s="0" t="s">
        <v>47672</v>
      </c>
      <c r="J14346" s="0" t="s">
        <v>47673</v>
      </c>
      <c r="K14346" s="0" t="s">
        <v>47674</v>
      </c>
      <c r="L14346" s="0" t="str">
        <f aca="false">HYPERLINK("https://www.ncbi.nlm.nih.gov/nuccore/CP000058.1?report=graph&amp;tracks=[key:gene_model_track,Options:GeneOnly]&amp;mk=4446789:4446808|offset_0|444444,4446767:4446786|offset_22|444444,4446745:4446764|offset_44|444444,4446721:4446740|offset_68|00cc00&amp;v=4446588:4446940&amp;c=444444", "offset 68")</f>
        <v>offset 68</v>
      </c>
    </row>
    <row r="14347" customFormat="false" ht="12.8" hidden="false" customHeight="false" outlineLevel="0" collapsed="false">
      <c r="A14347" s="0" t="s">
        <v>12</v>
      </c>
      <c r="B14347" s="0" t="n">
        <v>4446957</v>
      </c>
      <c r="C14347" s="0" t="n">
        <v>4446977</v>
      </c>
      <c r="D14347" s="0" t="s">
        <v>47675</v>
      </c>
      <c r="E14347" s="0" t="s">
        <v>47676</v>
      </c>
      <c r="F14347" s="0" t="s">
        <v>15</v>
      </c>
      <c r="G14347" s="0" t="s">
        <v>32</v>
      </c>
      <c r="H14347" s="0" t="n">
        <v>0</v>
      </c>
      <c r="I14347" s="0" t="s">
        <v>47677</v>
      </c>
      <c r="J14347" s="0" t="s">
        <v>47678</v>
      </c>
      <c r="K14347" s="0" t="s">
        <v>47679</v>
      </c>
      <c r="L14347" s="0" t="str">
        <f aca="false">HYPERLINK("https://www.ncbi.nlm.nih.gov/nuccore/CP000058.1?report=graph&amp;tracks=[key:gene_model_track,Options:GeneOnly]&amp;mk=4446958:4446977|offset_0|00cc00,4446978:4446997|offset_20|444444,4447008:4447027|offset_50|444444,4447030:4447049|offset_72|444444&amp;v=4446757:4447249&amp;c=444444", "offset 0")</f>
        <v>offset 0</v>
      </c>
    </row>
    <row r="14348" customFormat="false" ht="12.8" hidden="false" customHeight="false" outlineLevel="0" collapsed="false">
      <c r="A14348" s="0" t="s">
        <v>12</v>
      </c>
      <c r="B14348" s="0" t="n">
        <v>4446977</v>
      </c>
      <c r="C14348" s="0" t="n">
        <v>4446997</v>
      </c>
      <c r="D14348" s="0" t="s">
        <v>47675</v>
      </c>
      <c r="E14348" s="0" t="s">
        <v>47676</v>
      </c>
      <c r="F14348" s="0" t="s">
        <v>15</v>
      </c>
      <c r="G14348" s="0" t="s">
        <v>20</v>
      </c>
      <c r="H14348" s="0" t="n">
        <v>20</v>
      </c>
      <c r="I14348" s="0" t="s">
        <v>47680</v>
      </c>
      <c r="J14348" s="0" t="s">
        <v>47681</v>
      </c>
      <c r="K14348" s="0" t="s">
        <v>47682</v>
      </c>
      <c r="L14348" s="0" t="str">
        <f aca="false">HYPERLINK("https://www.ncbi.nlm.nih.gov/nuccore/CP000058.1?report=graph&amp;tracks=[key:gene_model_track,Options:GeneOnly]&amp;mk=4446958:4446977|offset_0|444444,4446978:4446997|offset_20|00cc00,4447008:4447027|offset_50|444444,4447030:4447049|offset_72|444444&amp;v=4446757:4447249&amp;c=444444", "offset 20")</f>
        <v>offset 20</v>
      </c>
    </row>
    <row r="14349" customFormat="false" ht="12.8" hidden="false" customHeight="false" outlineLevel="0" collapsed="false">
      <c r="A14349" s="0" t="s">
        <v>12</v>
      </c>
      <c r="B14349" s="0" t="n">
        <v>4447007</v>
      </c>
      <c r="C14349" s="0" t="n">
        <v>4447027</v>
      </c>
      <c r="D14349" s="0" t="s">
        <v>47675</v>
      </c>
      <c r="E14349" s="0" t="s">
        <v>47676</v>
      </c>
      <c r="F14349" s="0" t="s">
        <v>15</v>
      </c>
      <c r="G14349" s="0" t="s">
        <v>20</v>
      </c>
      <c r="H14349" s="0" t="n">
        <v>50</v>
      </c>
      <c r="I14349" s="0" t="s">
        <v>47683</v>
      </c>
      <c r="J14349" s="0" t="s">
        <v>47684</v>
      </c>
      <c r="K14349" s="0" t="s">
        <v>47685</v>
      </c>
      <c r="L14349" s="0" t="str">
        <f aca="false">HYPERLINK("https://www.ncbi.nlm.nih.gov/nuccore/CP000058.1?report=graph&amp;tracks=[key:gene_model_track,Options:GeneOnly]&amp;mk=4446958:4446977|offset_0|444444,4446978:4446997|offset_20|444444,4447008:4447027|offset_50|00cc00,4447030:4447049|offset_72|444444&amp;v=4446757:4447249&amp;c=444444", "offset 50")</f>
        <v>offset 50</v>
      </c>
    </row>
    <row r="14350" customFormat="false" ht="12.8" hidden="false" customHeight="false" outlineLevel="0" collapsed="false">
      <c r="A14350" s="0" t="s">
        <v>12</v>
      </c>
      <c r="B14350" s="0" t="n">
        <v>4447029</v>
      </c>
      <c r="C14350" s="0" t="n">
        <v>4447049</v>
      </c>
      <c r="D14350" s="0" t="s">
        <v>47675</v>
      </c>
      <c r="E14350" s="0" t="s">
        <v>47676</v>
      </c>
      <c r="F14350" s="0" t="s">
        <v>15</v>
      </c>
      <c r="G14350" s="0" t="s">
        <v>20</v>
      </c>
      <c r="H14350" s="0" t="n">
        <v>72</v>
      </c>
      <c r="I14350" s="0" t="s">
        <v>47686</v>
      </c>
      <c r="J14350" s="0" t="s">
        <v>47687</v>
      </c>
      <c r="K14350" s="0" t="s">
        <v>47688</v>
      </c>
      <c r="L14350" s="0" t="str">
        <f aca="false">HYPERLINK("https://www.ncbi.nlm.nih.gov/nuccore/CP000058.1?report=graph&amp;tracks=[key:gene_model_track,Options:GeneOnly]&amp;mk=4446958:4446977|offset_0|444444,4446978:4446997|offset_20|444444,4447008:4447027|offset_50|444444,4447030:4447049|offset_72|00cc00&amp;v=4446757:4447249&amp;c=444444", "offset 72")</f>
        <v>offset 72</v>
      </c>
    </row>
    <row r="14351" customFormat="false" ht="12.8" hidden="false" customHeight="false" outlineLevel="0" collapsed="false">
      <c r="A14351" s="0" t="s">
        <v>12</v>
      </c>
      <c r="B14351" s="0" t="n">
        <v>4448035</v>
      </c>
      <c r="C14351" s="0" t="n">
        <v>4448055</v>
      </c>
      <c r="D14351" s="0" t="s">
        <v>47689</v>
      </c>
      <c r="E14351" s="0" t="s">
        <v>47690</v>
      </c>
      <c r="F14351" s="0" t="s">
        <v>15</v>
      </c>
      <c r="G14351" s="0" t="s">
        <v>32</v>
      </c>
      <c r="H14351" s="0" t="n">
        <v>38</v>
      </c>
      <c r="I14351" s="0" t="s">
        <v>47691</v>
      </c>
      <c r="J14351" s="0" t="s">
        <v>47692</v>
      </c>
      <c r="K14351" s="0" t="s">
        <v>47693</v>
      </c>
      <c r="L14351" s="0" t="str">
        <f aca="false">HYPERLINK("https://www.ncbi.nlm.nih.gov/nuccore/CP000058.1?report=graph&amp;tracks=[key:gene_model_track,Options:GeneOnly]&amp;mk=4448036:4448055|offset_38|00cc00,4448063:4448082|offset_65|444444,4448090:4448109|offset_92|444444,4448116:4448135|offset_118|444444&amp;v=4447835:4448335&amp;c=444444", "offset 38")</f>
        <v>offset 38</v>
      </c>
    </row>
    <row r="14352" customFormat="false" ht="12.8" hidden="false" customHeight="false" outlineLevel="0" collapsed="false">
      <c r="A14352" s="0" t="s">
        <v>12</v>
      </c>
      <c r="B14352" s="0" t="n">
        <v>4448062</v>
      </c>
      <c r="C14352" s="0" t="n">
        <v>4448082</v>
      </c>
      <c r="D14352" s="0" t="s">
        <v>47689</v>
      </c>
      <c r="E14352" s="0" t="s">
        <v>47690</v>
      </c>
      <c r="F14352" s="0" t="s">
        <v>15</v>
      </c>
      <c r="G14352" s="0" t="s">
        <v>36</v>
      </c>
      <c r="H14352" s="0" t="n">
        <v>65</v>
      </c>
      <c r="I14352" s="0" t="s">
        <v>47694</v>
      </c>
      <c r="J14352" s="0" t="s">
        <v>47695</v>
      </c>
      <c r="K14352" s="0" t="s">
        <v>47696</v>
      </c>
      <c r="L14352" s="0" t="str">
        <f aca="false">HYPERLINK("https://www.ncbi.nlm.nih.gov/nuccore/CP000058.1?report=graph&amp;tracks=[key:gene_model_track,Options:GeneOnly]&amp;mk=4448036:4448055|offset_38|444444,4448063:4448082|offset_65|00cc00,4448090:4448109|offset_92|444444,4448116:4448135|offset_118|444444&amp;v=4447835:4448335&amp;c=444444", "offset 65")</f>
        <v>offset 65</v>
      </c>
    </row>
    <row r="14353" customFormat="false" ht="12.8" hidden="false" customHeight="false" outlineLevel="0" collapsed="false">
      <c r="A14353" s="0" t="s">
        <v>12</v>
      </c>
      <c r="B14353" s="0" t="n">
        <v>4448089</v>
      </c>
      <c r="C14353" s="0" t="n">
        <v>4448109</v>
      </c>
      <c r="D14353" s="0" t="s">
        <v>47689</v>
      </c>
      <c r="E14353" s="0" t="s">
        <v>47690</v>
      </c>
      <c r="F14353" s="0" t="s">
        <v>15</v>
      </c>
      <c r="G14353" s="0" t="s">
        <v>20</v>
      </c>
      <c r="H14353" s="0" t="n">
        <v>92</v>
      </c>
      <c r="I14353" s="0" t="s">
        <v>47697</v>
      </c>
      <c r="J14353" s="0" t="s">
        <v>47698</v>
      </c>
      <c r="K14353" s="0" t="s">
        <v>47699</v>
      </c>
      <c r="L14353" s="0" t="str">
        <f aca="false">HYPERLINK("https://www.ncbi.nlm.nih.gov/nuccore/CP000058.1?report=graph&amp;tracks=[key:gene_model_track,Options:GeneOnly]&amp;mk=4448036:4448055|offset_38|444444,4448063:4448082|offset_65|444444,4448090:4448109|offset_92|00cc00,4448116:4448135|offset_118|444444&amp;v=4447835:4448335&amp;c=444444", "offset 92")</f>
        <v>offset 92</v>
      </c>
    </row>
    <row r="14354" customFormat="false" ht="12.8" hidden="false" customHeight="false" outlineLevel="0" collapsed="false">
      <c r="A14354" s="0" t="s">
        <v>12</v>
      </c>
      <c r="B14354" s="0" t="n">
        <v>4448115</v>
      </c>
      <c r="C14354" s="0" t="n">
        <v>4448135</v>
      </c>
      <c r="D14354" s="0" t="s">
        <v>47689</v>
      </c>
      <c r="E14354" s="0" t="s">
        <v>47690</v>
      </c>
      <c r="F14354" s="0" t="s">
        <v>15</v>
      </c>
      <c r="G14354" s="0" t="s">
        <v>16</v>
      </c>
      <c r="H14354" s="0" t="n">
        <v>118</v>
      </c>
      <c r="I14354" s="0" t="s">
        <v>47700</v>
      </c>
      <c r="J14354" s="0" t="s">
        <v>47701</v>
      </c>
      <c r="K14354" s="0" t="s">
        <v>47702</v>
      </c>
      <c r="L14354" s="0" t="str">
        <f aca="false">HYPERLINK("https://www.ncbi.nlm.nih.gov/nuccore/CP000058.1?report=graph&amp;tracks=[key:gene_model_track,Options:GeneOnly]&amp;mk=4448036:4448055|offset_38|444444,4448063:4448082|offset_65|444444,4448090:4448109|offset_92|444444,4448116:4448135|offset_118|00cc00&amp;v=4447835:4448335&amp;c=444444", "offset 118")</f>
        <v>offset 118</v>
      </c>
    </row>
    <row r="14355" customFormat="false" ht="12.8" hidden="false" customHeight="false" outlineLevel="0" collapsed="false">
      <c r="A14355" s="0" t="s">
        <v>12</v>
      </c>
      <c r="B14355" s="0" t="n">
        <v>4448893</v>
      </c>
      <c r="C14355" s="0" t="n">
        <v>4448913</v>
      </c>
      <c r="D14355" s="0" t="s">
        <v>47703</v>
      </c>
      <c r="E14355" s="0" t="s">
        <v>75</v>
      </c>
      <c r="F14355" s="0" t="s">
        <v>15</v>
      </c>
      <c r="G14355" s="0" t="s">
        <v>32</v>
      </c>
      <c r="H14355" s="0" t="n">
        <v>20</v>
      </c>
      <c r="I14355" s="0" t="s">
        <v>47704</v>
      </c>
      <c r="J14355" s="0" t="s">
        <v>47705</v>
      </c>
      <c r="K14355" s="0" t="s">
        <v>47706</v>
      </c>
      <c r="L14355" s="0" t="str">
        <f aca="false">HYPERLINK("https://www.ncbi.nlm.nih.gov/nuccore/CP000058.1?report=graph&amp;tracks=[key:gene_model_track,Options:GeneOnly]&amp;mk=4448894:4448913|offset_20|00cc00,4448918:4448937|offset_44|444444,4448960:4448979|offset_86|444444,4449001:4449020|offset_127|444444&amp;v=4448693:4449220&amp;c=444444", "offset 20")</f>
        <v>offset 20</v>
      </c>
    </row>
    <row r="14356" customFormat="false" ht="12.8" hidden="false" customHeight="false" outlineLevel="0" collapsed="false">
      <c r="A14356" s="0" t="s">
        <v>12</v>
      </c>
      <c r="B14356" s="0" t="n">
        <v>4448917</v>
      </c>
      <c r="C14356" s="0" t="n">
        <v>4448937</v>
      </c>
      <c r="D14356" s="0" t="s">
        <v>47703</v>
      </c>
      <c r="E14356" s="0" t="s">
        <v>75</v>
      </c>
      <c r="F14356" s="0" t="s">
        <v>15</v>
      </c>
      <c r="G14356" s="0" t="s">
        <v>16</v>
      </c>
      <c r="H14356" s="0" t="n">
        <v>44</v>
      </c>
      <c r="I14356" s="0" t="s">
        <v>47707</v>
      </c>
      <c r="J14356" s="0" t="s">
        <v>47708</v>
      </c>
      <c r="K14356" s="0" t="s">
        <v>47709</v>
      </c>
      <c r="L14356" s="0" t="str">
        <f aca="false">HYPERLINK("https://www.ncbi.nlm.nih.gov/nuccore/CP000058.1?report=graph&amp;tracks=[key:gene_model_track,Options:GeneOnly]&amp;mk=4448894:4448913|offset_20|444444,4448918:4448937|offset_44|00cc00,4448960:4448979|offset_86|444444,4449001:4449020|offset_127|444444&amp;v=4448693:4449220&amp;c=444444", "offset 44")</f>
        <v>offset 44</v>
      </c>
    </row>
    <row r="14357" customFormat="false" ht="12.8" hidden="false" customHeight="false" outlineLevel="0" collapsed="false">
      <c r="A14357" s="0" t="s">
        <v>12</v>
      </c>
      <c r="B14357" s="0" t="n">
        <v>4448959</v>
      </c>
      <c r="C14357" s="0" t="n">
        <v>4448979</v>
      </c>
      <c r="D14357" s="0" t="s">
        <v>47703</v>
      </c>
      <c r="E14357" s="0" t="s">
        <v>75</v>
      </c>
      <c r="F14357" s="0" t="s">
        <v>15</v>
      </c>
      <c r="G14357" s="0" t="s">
        <v>16</v>
      </c>
      <c r="H14357" s="0" t="n">
        <v>86</v>
      </c>
      <c r="I14357" s="0" t="s">
        <v>47710</v>
      </c>
      <c r="J14357" s="0" t="s">
        <v>47711</v>
      </c>
      <c r="K14357" s="0" t="s">
        <v>47712</v>
      </c>
      <c r="L14357" s="0" t="str">
        <f aca="false">HYPERLINK("https://www.ncbi.nlm.nih.gov/nuccore/CP000058.1?report=graph&amp;tracks=[key:gene_model_track,Options:GeneOnly]&amp;mk=4448894:4448913|offset_20|444444,4448918:4448937|offset_44|444444,4448960:4448979|offset_86|00cc00,4449001:4449020|offset_127|444444&amp;v=4448693:4449220&amp;c=444444", "offset 86")</f>
        <v>offset 86</v>
      </c>
    </row>
    <row r="14358" customFormat="false" ht="12.8" hidden="false" customHeight="false" outlineLevel="0" collapsed="false">
      <c r="A14358" s="0" t="s">
        <v>12</v>
      </c>
      <c r="B14358" s="0" t="n">
        <v>4449000</v>
      </c>
      <c r="C14358" s="0" t="n">
        <v>4449020</v>
      </c>
      <c r="D14358" s="0" t="s">
        <v>47703</v>
      </c>
      <c r="E14358" s="0" t="s">
        <v>75</v>
      </c>
      <c r="F14358" s="0" t="s">
        <v>15</v>
      </c>
      <c r="G14358" s="0" t="s">
        <v>20</v>
      </c>
      <c r="H14358" s="0" t="n">
        <v>127</v>
      </c>
      <c r="I14358" s="0" t="s">
        <v>47713</v>
      </c>
      <c r="J14358" s="0" t="s">
        <v>47714</v>
      </c>
      <c r="K14358" s="0" t="s">
        <v>47715</v>
      </c>
      <c r="L14358" s="0" t="str">
        <f aca="false">HYPERLINK("https://www.ncbi.nlm.nih.gov/nuccore/CP000058.1?report=graph&amp;tracks=[key:gene_model_track,Options:GeneOnly]&amp;mk=4448894:4448913|offset_20|444444,4448918:4448937|offset_44|444444,4448960:4448979|offset_86|444444,4449001:4449020|offset_127|00cc00&amp;v=4448693:4449220&amp;c=444444", "offset 127")</f>
        <v>offset 127</v>
      </c>
    </row>
    <row r="14359" customFormat="false" ht="12.8" hidden="false" customHeight="false" outlineLevel="0" collapsed="false">
      <c r="A14359" s="0" t="s">
        <v>12</v>
      </c>
      <c r="B14359" s="0" t="n">
        <v>4449319</v>
      </c>
      <c r="C14359" s="0" t="n">
        <v>4449339</v>
      </c>
      <c r="D14359" s="0" t="s">
        <v>47716</v>
      </c>
      <c r="E14359" s="0" t="s">
        <v>47717</v>
      </c>
      <c r="F14359" s="0" t="s">
        <v>15</v>
      </c>
      <c r="G14359" s="0" t="s">
        <v>32</v>
      </c>
      <c r="H14359" s="0" t="n">
        <v>26</v>
      </c>
      <c r="I14359" s="0" t="s">
        <v>47718</v>
      </c>
      <c r="J14359" s="0" t="s">
        <v>47719</v>
      </c>
      <c r="K14359" s="0" t="s">
        <v>47720</v>
      </c>
      <c r="L14359" s="0" t="str">
        <f aca="false">HYPERLINK("https://www.ncbi.nlm.nih.gov/nuccore/CP000058.1?report=graph&amp;tracks=[key:gene_model_track,Options:GeneOnly]&amp;mk=4449320:4449339|offset_26|00cc00,4449358:4449377|offset_64|444444,4449422:4449441|offset_128|444444,4449443:4449462|offset_149|444444&amp;v=4449119:4449662&amp;c=444444", "offset 26")</f>
        <v>offset 26</v>
      </c>
    </row>
    <row r="14360" customFormat="false" ht="12.8" hidden="false" customHeight="false" outlineLevel="0" collapsed="false">
      <c r="A14360" s="0" t="s">
        <v>12</v>
      </c>
      <c r="B14360" s="0" t="n">
        <v>4449357</v>
      </c>
      <c r="C14360" s="0" t="n">
        <v>4449377</v>
      </c>
      <c r="D14360" s="0" t="s">
        <v>47716</v>
      </c>
      <c r="E14360" s="0" t="s">
        <v>47717</v>
      </c>
      <c r="F14360" s="0" t="s">
        <v>15</v>
      </c>
      <c r="G14360" s="0" t="s">
        <v>32</v>
      </c>
      <c r="H14360" s="0" t="n">
        <v>64</v>
      </c>
      <c r="I14360" s="0" t="s">
        <v>47721</v>
      </c>
      <c r="J14360" s="0" t="s">
        <v>47722</v>
      </c>
      <c r="K14360" s="0" t="s">
        <v>47723</v>
      </c>
      <c r="L14360" s="0" t="str">
        <f aca="false">HYPERLINK("https://www.ncbi.nlm.nih.gov/nuccore/CP000058.1?report=graph&amp;tracks=[key:gene_model_track,Options:GeneOnly]&amp;mk=4449320:4449339|offset_26|444444,4449358:4449377|offset_64|00cc00,4449422:4449441|offset_128|444444,4449443:4449462|offset_149|444444&amp;v=4449119:4449662&amp;c=444444", "offset 64")</f>
        <v>offset 64</v>
      </c>
    </row>
    <row r="14361" customFormat="false" ht="12.8" hidden="false" customHeight="false" outlineLevel="0" collapsed="false">
      <c r="A14361" s="0" t="s">
        <v>12</v>
      </c>
      <c r="B14361" s="0" t="n">
        <v>4449421</v>
      </c>
      <c r="C14361" s="0" t="n">
        <v>4449441</v>
      </c>
      <c r="D14361" s="0" t="s">
        <v>47716</v>
      </c>
      <c r="E14361" s="0" t="s">
        <v>47717</v>
      </c>
      <c r="F14361" s="0" t="s">
        <v>15</v>
      </c>
      <c r="G14361" s="0" t="s">
        <v>32</v>
      </c>
      <c r="H14361" s="0" t="n">
        <v>128</v>
      </c>
      <c r="I14361" s="0" t="s">
        <v>47724</v>
      </c>
      <c r="J14361" s="0" t="s">
        <v>47725</v>
      </c>
      <c r="K14361" s="0" t="s">
        <v>47726</v>
      </c>
      <c r="L14361" s="0" t="str">
        <f aca="false">HYPERLINK("https://www.ncbi.nlm.nih.gov/nuccore/CP000058.1?report=graph&amp;tracks=[key:gene_model_track,Options:GeneOnly]&amp;mk=4449320:4449339|offset_26|444444,4449358:4449377|offset_64|444444,4449422:4449441|offset_128|00cc00,4449443:4449462|offset_149|444444&amp;v=4449119:4449662&amp;c=444444", "offset 128")</f>
        <v>offset 128</v>
      </c>
    </row>
    <row r="14362" customFormat="false" ht="12.8" hidden="false" customHeight="false" outlineLevel="0" collapsed="false">
      <c r="A14362" s="0" t="s">
        <v>12</v>
      </c>
      <c r="B14362" s="0" t="n">
        <v>4449442</v>
      </c>
      <c r="C14362" s="0" t="n">
        <v>4449462</v>
      </c>
      <c r="D14362" s="0" t="s">
        <v>47716</v>
      </c>
      <c r="E14362" s="0" t="s">
        <v>47717</v>
      </c>
      <c r="F14362" s="0" t="s">
        <v>15</v>
      </c>
      <c r="G14362" s="0" t="s">
        <v>32</v>
      </c>
      <c r="H14362" s="0" t="n">
        <v>149</v>
      </c>
      <c r="I14362" s="0" t="s">
        <v>47727</v>
      </c>
      <c r="J14362" s="0" t="s">
        <v>47728</v>
      </c>
      <c r="K14362" s="0" t="s">
        <v>47729</v>
      </c>
      <c r="L14362" s="0" t="str">
        <f aca="false">HYPERLINK("https://www.ncbi.nlm.nih.gov/nuccore/CP000058.1?report=graph&amp;tracks=[key:gene_model_track,Options:GeneOnly]&amp;mk=4449320:4449339|offset_26|444444,4449358:4449377|offset_64|444444,4449422:4449441|offset_128|444444,4449443:4449462|offset_149|00cc00&amp;v=4449119:4449662&amp;c=444444", "offset 149")</f>
        <v>offset 149</v>
      </c>
    </row>
    <row r="14363" customFormat="false" ht="12.8" hidden="false" customHeight="false" outlineLevel="0" collapsed="false">
      <c r="A14363" s="0" t="s">
        <v>12</v>
      </c>
      <c r="B14363" s="0" t="n">
        <v>4450199</v>
      </c>
      <c r="C14363" s="0" t="n">
        <v>4450219</v>
      </c>
      <c r="D14363" s="0" t="s">
        <v>47730</v>
      </c>
      <c r="E14363" s="0" t="s">
        <v>75</v>
      </c>
      <c r="F14363" s="0" t="s">
        <v>90</v>
      </c>
      <c r="G14363" s="0" t="s">
        <v>32</v>
      </c>
      <c r="H14363" s="0" t="n">
        <v>1</v>
      </c>
      <c r="I14363" s="0" t="s">
        <v>47731</v>
      </c>
      <c r="J14363" s="0" t="s">
        <v>47732</v>
      </c>
      <c r="K14363" s="0" t="s">
        <v>47733</v>
      </c>
      <c r="L14363" s="0" t="str">
        <f aca="false">HYPERLINK("https://www.ncbi.nlm.nih.gov/nuccore/CP000058.1?report=graph&amp;tracks=[key:gene_model_track,Options:GeneOnly]&amp;mk=4450200:4450219|offset_1|00cc00,4450164:4450183|offset_37|444444,4450129:4450148|offset_72|444444,4450101:4450120|offset_100|444444&amp;v=4449999:4450320&amp;c=444444", "offset 1")</f>
        <v>offset 1</v>
      </c>
    </row>
    <row r="14364" customFormat="false" ht="12.8" hidden="false" customHeight="false" outlineLevel="0" collapsed="false">
      <c r="A14364" s="0" t="s">
        <v>12</v>
      </c>
      <c r="B14364" s="0" t="n">
        <v>4450163</v>
      </c>
      <c r="C14364" s="0" t="n">
        <v>4450183</v>
      </c>
      <c r="D14364" s="0" t="s">
        <v>47730</v>
      </c>
      <c r="E14364" s="0" t="s">
        <v>75</v>
      </c>
      <c r="F14364" s="0" t="s">
        <v>90</v>
      </c>
      <c r="G14364" s="0" t="s">
        <v>32</v>
      </c>
      <c r="H14364" s="0" t="n">
        <v>37</v>
      </c>
      <c r="I14364" s="0" t="s">
        <v>47734</v>
      </c>
      <c r="J14364" s="0" t="s">
        <v>47735</v>
      </c>
      <c r="K14364" s="0" t="s">
        <v>47736</v>
      </c>
      <c r="L14364" s="0" t="str">
        <f aca="false">HYPERLINK("https://www.ncbi.nlm.nih.gov/nuccore/CP000058.1?report=graph&amp;tracks=[key:gene_model_track,Options:GeneOnly]&amp;mk=4450200:4450219|offset_1|444444,4450164:4450183|offset_37|00cc00,4450129:4450148|offset_72|444444,4450101:4450120|offset_100|444444&amp;v=4449999:4450320&amp;c=444444", "offset 37")</f>
        <v>offset 37</v>
      </c>
    </row>
    <row r="14365" customFormat="false" ht="12.8" hidden="false" customHeight="false" outlineLevel="0" collapsed="false">
      <c r="A14365" s="0" t="s">
        <v>12</v>
      </c>
      <c r="B14365" s="0" t="n">
        <v>4450128</v>
      </c>
      <c r="C14365" s="0" t="n">
        <v>4450148</v>
      </c>
      <c r="D14365" s="0" t="s">
        <v>47730</v>
      </c>
      <c r="E14365" s="0" t="s">
        <v>75</v>
      </c>
      <c r="F14365" s="0" t="s">
        <v>90</v>
      </c>
      <c r="G14365" s="0" t="s">
        <v>16</v>
      </c>
      <c r="H14365" s="0" t="n">
        <v>72</v>
      </c>
      <c r="I14365" s="0" t="s">
        <v>47737</v>
      </c>
      <c r="J14365" s="0" t="s">
        <v>47738</v>
      </c>
      <c r="K14365" s="0" t="s">
        <v>47739</v>
      </c>
      <c r="L14365" s="0" t="str">
        <f aca="false">HYPERLINK("https://www.ncbi.nlm.nih.gov/nuccore/CP000058.1?report=graph&amp;tracks=[key:gene_model_track,Options:GeneOnly]&amp;mk=4450200:4450219|offset_1|444444,4450164:4450183|offset_37|444444,4450129:4450148|offset_72|00cc00,4450101:4450120|offset_100|444444&amp;v=4449999:4450320&amp;c=444444", "offset 72")</f>
        <v>offset 72</v>
      </c>
    </row>
    <row r="14366" customFormat="false" ht="12.8" hidden="false" customHeight="false" outlineLevel="0" collapsed="false">
      <c r="A14366" s="0" t="s">
        <v>12</v>
      </c>
      <c r="B14366" s="0" t="n">
        <v>4450100</v>
      </c>
      <c r="C14366" s="0" t="n">
        <v>4450120</v>
      </c>
      <c r="D14366" s="0" t="s">
        <v>47730</v>
      </c>
      <c r="E14366" s="0" t="s">
        <v>75</v>
      </c>
      <c r="F14366" s="0" t="s">
        <v>90</v>
      </c>
      <c r="G14366" s="0" t="s">
        <v>32</v>
      </c>
      <c r="H14366" s="0" t="n">
        <v>100</v>
      </c>
      <c r="I14366" s="0" t="s">
        <v>47740</v>
      </c>
      <c r="J14366" s="0" t="s">
        <v>47741</v>
      </c>
      <c r="K14366" s="0" t="s">
        <v>47742</v>
      </c>
      <c r="L14366" s="0" t="str">
        <f aca="false">HYPERLINK("https://www.ncbi.nlm.nih.gov/nuccore/CP000058.1?report=graph&amp;tracks=[key:gene_model_track,Options:GeneOnly]&amp;mk=4450200:4450219|offset_1|444444,4450164:4450183|offset_37|444444,4450129:4450148|offset_72|444444,4450101:4450120|offset_100|00cc00&amp;v=4449999:4450320&amp;c=444444", "offset 100")</f>
        <v>offset 100</v>
      </c>
    </row>
    <row r="14367" customFormat="false" ht="12.8" hidden="false" customHeight="false" outlineLevel="0" collapsed="false">
      <c r="A14367" s="0" t="s">
        <v>12</v>
      </c>
      <c r="B14367" s="0" t="n">
        <v>4452449</v>
      </c>
      <c r="C14367" s="0" t="n">
        <v>4452469</v>
      </c>
      <c r="D14367" s="0" t="s">
        <v>47743</v>
      </c>
      <c r="E14367" s="0" t="s">
        <v>75</v>
      </c>
      <c r="F14367" s="0" t="s">
        <v>90</v>
      </c>
      <c r="G14367" s="0" t="s">
        <v>32</v>
      </c>
      <c r="H14367" s="0" t="n">
        <v>26</v>
      </c>
      <c r="I14367" s="0" t="s">
        <v>47744</v>
      </c>
      <c r="J14367" s="0" t="s">
        <v>47745</v>
      </c>
      <c r="K14367" s="0" t="s">
        <v>47746</v>
      </c>
      <c r="L14367" s="0" t="str">
        <f aca="false">HYPERLINK("https://www.ncbi.nlm.nih.gov/nuccore/CP000058.1?report=graph&amp;tracks=[key:gene_model_track,Options:GeneOnly]&amp;mk=4452450:4452469|offset_26|00cc00,4452426:4452445|offset_50|444444,4452391:4452410|offset_85|444444,4452370:4452389|offset_106|444444&amp;v=4452249:4452589&amp;c=444444", "offset 26")</f>
        <v>offset 26</v>
      </c>
    </row>
    <row r="14368" customFormat="false" ht="12.8" hidden="false" customHeight="false" outlineLevel="0" collapsed="false">
      <c r="A14368" s="0" t="s">
        <v>12</v>
      </c>
      <c r="B14368" s="0" t="n">
        <v>4452425</v>
      </c>
      <c r="C14368" s="0" t="n">
        <v>4452445</v>
      </c>
      <c r="D14368" s="0" t="s">
        <v>47743</v>
      </c>
      <c r="E14368" s="0" t="s">
        <v>75</v>
      </c>
      <c r="F14368" s="0" t="s">
        <v>90</v>
      </c>
      <c r="G14368" s="0" t="s">
        <v>16</v>
      </c>
      <c r="H14368" s="0" t="n">
        <v>50</v>
      </c>
      <c r="I14368" s="0" t="s">
        <v>47747</v>
      </c>
      <c r="J14368" s="0" t="s">
        <v>47748</v>
      </c>
      <c r="K14368" s="0" t="s">
        <v>47749</v>
      </c>
      <c r="L14368" s="0" t="str">
        <f aca="false">HYPERLINK("https://www.ncbi.nlm.nih.gov/nuccore/CP000058.1?report=graph&amp;tracks=[key:gene_model_track,Options:GeneOnly]&amp;mk=4452450:4452469|offset_26|444444,4452426:4452445|offset_50|00cc00,4452391:4452410|offset_85|444444,4452370:4452389|offset_106|444444&amp;v=4452249:4452589&amp;c=444444", "offset 50")</f>
        <v>offset 50</v>
      </c>
    </row>
    <row r="14369" customFormat="false" ht="12.8" hidden="false" customHeight="false" outlineLevel="0" collapsed="false">
      <c r="A14369" s="0" t="s">
        <v>12</v>
      </c>
      <c r="B14369" s="0" t="n">
        <v>4452390</v>
      </c>
      <c r="C14369" s="0" t="n">
        <v>4452410</v>
      </c>
      <c r="D14369" s="0" t="s">
        <v>47743</v>
      </c>
      <c r="E14369" s="0" t="s">
        <v>75</v>
      </c>
      <c r="F14369" s="0" t="s">
        <v>90</v>
      </c>
      <c r="G14369" s="0" t="s">
        <v>36</v>
      </c>
      <c r="H14369" s="0" t="n">
        <v>85</v>
      </c>
      <c r="I14369" s="0" t="s">
        <v>47750</v>
      </c>
      <c r="J14369" s="0" t="s">
        <v>47751</v>
      </c>
      <c r="K14369" s="0" t="s">
        <v>47752</v>
      </c>
      <c r="L14369" s="0" t="str">
        <f aca="false">HYPERLINK("https://www.ncbi.nlm.nih.gov/nuccore/CP000058.1?report=graph&amp;tracks=[key:gene_model_track,Options:GeneOnly]&amp;mk=4452450:4452469|offset_26|444444,4452426:4452445|offset_50|444444,4452391:4452410|offset_85|00cc00,4452370:4452389|offset_106|444444&amp;v=4452249:4452589&amp;c=444444", "offset 85")</f>
        <v>offset 85</v>
      </c>
    </row>
    <row r="14370" customFormat="false" ht="12.8" hidden="false" customHeight="false" outlineLevel="0" collapsed="false">
      <c r="A14370" s="0" t="s">
        <v>12</v>
      </c>
      <c r="B14370" s="0" t="n">
        <v>4452369</v>
      </c>
      <c r="C14370" s="0" t="n">
        <v>4452389</v>
      </c>
      <c r="D14370" s="0" t="s">
        <v>47743</v>
      </c>
      <c r="E14370" s="0" t="s">
        <v>75</v>
      </c>
      <c r="F14370" s="0" t="s">
        <v>90</v>
      </c>
      <c r="G14370" s="0" t="s">
        <v>20</v>
      </c>
      <c r="H14370" s="0" t="n">
        <v>106</v>
      </c>
      <c r="I14370" s="0" t="s">
        <v>47753</v>
      </c>
      <c r="J14370" s="0" t="s">
        <v>47754</v>
      </c>
      <c r="K14370" s="0" t="s">
        <v>47755</v>
      </c>
      <c r="L14370" s="0" t="str">
        <f aca="false">HYPERLINK("https://www.ncbi.nlm.nih.gov/nuccore/CP000058.1?report=graph&amp;tracks=[key:gene_model_track,Options:GeneOnly]&amp;mk=4452450:4452469|offset_26|444444,4452426:4452445|offset_50|444444,4452391:4452410|offset_85|444444,4452370:4452389|offset_106|00cc00&amp;v=4452249:4452589&amp;c=444444", "offset 106")</f>
        <v>offset 106</v>
      </c>
    </row>
    <row r="14371" customFormat="false" ht="12.8" hidden="false" customHeight="false" outlineLevel="0" collapsed="false">
      <c r="A14371" s="0" t="s">
        <v>12</v>
      </c>
      <c r="B14371" s="0" t="n">
        <v>4452777</v>
      </c>
      <c r="C14371" s="0" t="n">
        <v>4452797</v>
      </c>
      <c r="D14371" s="0" t="s">
        <v>47756</v>
      </c>
      <c r="E14371" s="0" t="s">
        <v>75</v>
      </c>
      <c r="F14371" s="0" t="s">
        <v>90</v>
      </c>
      <c r="G14371" s="0" t="s">
        <v>16</v>
      </c>
      <c r="H14371" s="0" t="n">
        <v>46</v>
      </c>
      <c r="I14371" s="0" t="s">
        <v>47757</v>
      </c>
      <c r="J14371" s="0" t="s">
        <v>47758</v>
      </c>
      <c r="K14371" s="0" t="s">
        <v>47759</v>
      </c>
      <c r="L14371" s="0" t="str">
        <f aca="false">HYPERLINK("https://www.ncbi.nlm.nih.gov/nuccore/CP000058.1?report=graph&amp;tracks=[key:gene_model_track,Options:GeneOnly]&amp;mk=4452778:4452797|offset_46|00cc00,4452754:4452773|offset_70|444444,4452733:4452752|offset_91|444444,4452661:4452680|offset_163|444444&amp;v=4452577:4452880&amp;c=444444", "offset 46")</f>
        <v>offset 46</v>
      </c>
    </row>
    <row r="14372" customFormat="false" ht="12.8" hidden="false" customHeight="false" outlineLevel="0" collapsed="false">
      <c r="A14372" s="0" t="s">
        <v>12</v>
      </c>
      <c r="B14372" s="0" t="n">
        <v>4452753</v>
      </c>
      <c r="C14372" s="0" t="n">
        <v>4452773</v>
      </c>
      <c r="D14372" s="0" t="s">
        <v>47756</v>
      </c>
      <c r="E14372" s="0" t="s">
        <v>75</v>
      </c>
      <c r="F14372" s="0" t="s">
        <v>90</v>
      </c>
      <c r="G14372" s="0" t="s">
        <v>16</v>
      </c>
      <c r="H14372" s="0" t="n">
        <v>70</v>
      </c>
      <c r="I14372" s="0" t="s">
        <v>47760</v>
      </c>
      <c r="J14372" s="0" t="s">
        <v>47761</v>
      </c>
      <c r="K14372" s="0" t="s">
        <v>47762</v>
      </c>
      <c r="L14372" s="0" t="str">
        <f aca="false">HYPERLINK("https://www.ncbi.nlm.nih.gov/nuccore/CP000058.1?report=graph&amp;tracks=[key:gene_model_track,Options:GeneOnly]&amp;mk=4452778:4452797|offset_46|444444,4452754:4452773|offset_70|00cc00,4452733:4452752|offset_91|444444,4452661:4452680|offset_163|444444&amp;v=4452577:4452880&amp;c=444444", "offset 70")</f>
        <v>offset 70</v>
      </c>
    </row>
    <row r="14373" customFormat="false" ht="12.8" hidden="false" customHeight="false" outlineLevel="0" collapsed="false">
      <c r="A14373" s="0" t="s">
        <v>12</v>
      </c>
      <c r="B14373" s="0" t="n">
        <v>4452732</v>
      </c>
      <c r="C14373" s="0" t="n">
        <v>4452752</v>
      </c>
      <c r="D14373" s="0" t="s">
        <v>47756</v>
      </c>
      <c r="E14373" s="0" t="s">
        <v>75</v>
      </c>
      <c r="F14373" s="0" t="s">
        <v>90</v>
      </c>
      <c r="G14373" s="0" t="s">
        <v>20</v>
      </c>
      <c r="H14373" s="0" t="n">
        <v>91</v>
      </c>
      <c r="I14373" s="0" t="s">
        <v>47763</v>
      </c>
      <c r="J14373" s="0" t="s">
        <v>47764</v>
      </c>
      <c r="K14373" s="0" t="s">
        <v>47765</v>
      </c>
      <c r="L14373" s="0" t="str">
        <f aca="false">HYPERLINK("https://www.ncbi.nlm.nih.gov/nuccore/CP000058.1?report=graph&amp;tracks=[key:gene_model_track,Options:GeneOnly]&amp;mk=4452778:4452797|offset_46|444444,4452754:4452773|offset_70|444444,4452733:4452752|offset_91|00cc00,4452661:4452680|offset_163|444444&amp;v=4452577:4452880&amp;c=444444", "offset 91")</f>
        <v>offset 91</v>
      </c>
    </row>
    <row r="14374" customFormat="false" ht="12.8" hidden="false" customHeight="false" outlineLevel="0" collapsed="false">
      <c r="A14374" s="0" t="s">
        <v>12</v>
      </c>
      <c r="B14374" s="0" t="n">
        <v>4452660</v>
      </c>
      <c r="C14374" s="0" t="n">
        <v>4452680</v>
      </c>
      <c r="D14374" s="0" t="s">
        <v>47756</v>
      </c>
      <c r="E14374" s="0" t="s">
        <v>75</v>
      </c>
      <c r="F14374" s="0" t="s">
        <v>90</v>
      </c>
      <c r="G14374" s="0" t="s">
        <v>32</v>
      </c>
      <c r="H14374" s="0" t="n">
        <v>163</v>
      </c>
      <c r="I14374" s="0" t="s">
        <v>47766</v>
      </c>
      <c r="J14374" s="0" t="s">
        <v>47767</v>
      </c>
      <c r="K14374" s="0" t="s">
        <v>47768</v>
      </c>
      <c r="L14374" s="0" t="str">
        <f aca="false">HYPERLINK("https://www.ncbi.nlm.nih.gov/nuccore/CP000058.1?report=graph&amp;tracks=[key:gene_model_track,Options:GeneOnly]&amp;mk=4452778:4452797|offset_46|444444,4452754:4452773|offset_70|444444,4452733:4452752|offset_91|444444,4452661:4452680|offset_163|00cc00&amp;v=4452577:4452880&amp;c=444444", "offset 163")</f>
        <v>offset 163</v>
      </c>
    </row>
    <row r="14375" customFormat="false" ht="12.8" hidden="false" customHeight="false" outlineLevel="0" collapsed="false">
      <c r="A14375" s="0" t="s">
        <v>12</v>
      </c>
      <c r="B14375" s="0" t="n">
        <v>4453303</v>
      </c>
      <c r="C14375" s="0" t="n">
        <v>4453323</v>
      </c>
      <c r="D14375" s="0" t="s">
        <v>47769</v>
      </c>
      <c r="E14375" s="0" t="s">
        <v>47770</v>
      </c>
      <c r="F14375" s="0" t="s">
        <v>15</v>
      </c>
      <c r="G14375" s="0" t="s">
        <v>32</v>
      </c>
      <c r="H14375" s="0" t="n">
        <v>10</v>
      </c>
      <c r="I14375" s="0" t="s">
        <v>47771</v>
      </c>
      <c r="J14375" s="0" t="s">
        <v>47772</v>
      </c>
      <c r="K14375" s="0" t="s">
        <v>47773</v>
      </c>
      <c r="L14375" s="0" t="str">
        <f aca="false">HYPERLINK("https://www.ncbi.nlm.nih.gov/nuccore/CP000058.1?report=graph&amp;tracks=[key:gene_model_track,Options:GeneOnly]&amp;mk=4453304:4453323|offset_10|00cc00,4453334:4453353|offset_40|444444,4453359:4453378|offset_65|444444,4453383:4453402|offset_89|444444&amp;v=4453103:4453602&amp;c=444444", "offset 10")</f>
        <v>offset 10</v>
      </c>
    </row>
    <row r="14376" customFormat="false" ht="12.8" hidden="false" customHeight="false" outlineLevel="0" collapsed="false">
      <c r="A14376" s="0" t="s">
        <v>12</v>
      </c>
      <c r="B14376" s="0" t="n">
        <v>4453333</v>
      </c>
      <c r="C14376" s="0" t="n">
        <v>4453353</v>
      </c>
      <c r="D14376" s="0" t="s">
        <v>47769</v>
      </c>
      <c r="E14376" s="0" t="s">
        <v>47770</v>
      </c>
      <c r="F14376" s="0" t="s">
        <v>15</v>
      </c>
      <c r="G14376" s="0" t="s">
        <v>36</v>
      </c>
      <c r="H14376" s="0" t="n">
        <v>40</v>
      </c>
      <c r="I14376" s="0" t="s">
        <v>47774</v>
      </c>
      <c r="J14376" s="0" t="s">
        <v>47775</v>
      </c>
      <c r="K14376" s="0" t="s">
        <v>47776</v>
      </c>
      <c r="L14376" s="0" t="str">
        <f aca="false">HYPERLINK("https://www.ncbi.nlm.nih.gov/nuccore/CP000058.1?report=graph&amp;tracks=[key:gene_model_track,Options:GeneOnly]&amp;mk=4453304:4453323|offset_10|444444,4453334:4453353|offset_40|00cc00,4453359:4453378|offset_65|444444,4453383:4453402|offset_89|444444&amp;v=4453103:4453602&amp;c=444444", "offset 40")</f>
        <v>offset 40</v>
      </c>
    </row>
    <row r="14377" customFormat="false" ht="12.8" hidden="false" customHeight="false" outlineLevel="0" collapsed="false">
      <c r="A14377" s="0" t="s">
        <v>12</v>
      </c>
      <c r="B14377" s="0" t="n">
        <v>4453358</v>
      </c>
      <c r="C14377" s="0" t="n">
        <v>4453378</v>
      </c>
      <c r="D14377" s="0" t="s">
        <v>47769</v>
      </c>
      <c r="E14377" s="0" t="s">
        <v>47770</v>
      </c>
      <c r="F14377" s="0" t="s">
        <v>15</v>
      </c>
      <c r="G14377" s="0" t="s">
        <v>16</v>
      </c>
      <c r="H14377" s="0" t="n">
        <v>65</v>
      </c>
      <c r="I14377" s="0" t="s">
        <v>47777</v>
      </c>
      <c r="J14377" s="0" t="s">
        <v>47778</v>
      </c>
      <c r="K14377" s="0" t="s">
        <v>47779</v>
      </c>
      <c r="L14377" s="0" t="str">
        <f aca="false">HYPERLINK("https://www.ncbi.nlm.nih.gov/nuccore/CP000058.1?report=graph&amp;tracks=[key:gene_model_track,Options:GeneOnly]&amp;mk=4453304:4453323|offset_10|444444,4453334:4453353|offset_40|444444,4453359:4453378|offset_65|00cc00,4453383:4453402|offset_89|444444&amp;v=4453103:4453602&amp;c=444444", "offset 65")</f>
        <v>offset 65</v>
      </c>
    </row>
    <row r="14378" customFormat="false" ht="12.8" hidden="false" customHeight="false" outlineLevel="0" collapsed="false">
      <c r="A14378" s="0" t="s">
        <v>12</v>
      </c>
      <c r="B14378" s="0" t="n">
        <v>4453382</v>
      </c>
      <c r="C14378" s="0" t="n">
        <v>4453402</v>
      </c>
      <c r="D14378" s="0" t="s">
        <v>47769</v>
      </c>
      <c r="E14378" s="0" t="s">
        <v>47770</v>
      </c>
      <c r="F14378" s="0" t="s">
        <v>15</v>
      </c>
      <c r="G14378" s="0" t="s">
        <v>20</v>
      </c>
      <c r="H14378" s="0" t="n">
        <v>89</v>
      </c>
      <c r="I14378" s="0" t="s">
        <v>47780</v>
      </c>
      <c r="J14378" s="0" t="s">
        <v>47781</v>
      </c>
      <c r="K14378" s="0" t="s">
        <v>47782</v>
      </c>
      <c r="L14378" s="0" t="str">
        <f aca="false">HYPERLINK("https://www.ncbi.nlm.nih.gov/nuccore/CP000058.1?report=graph&amp;tracks=[key:gene_model_track,Options:GeneOnly]&amp;mk=4453304:4453323|offset_10|444444,4453334:4453353|offset_40|444444,4453359:4453378|offset_65|444444,4453383:4453402|offset_89|00cc00&amp;v=4453103:4453602&amp;c=444444", "offset 89")</f>
        <v>offset 89</v>
      </c>
    </row>
    <row r="14379" customFormat="false" ht="12.8" hidden="false" customHeight="false" outlineLevel="0" collapsed="false">
      <c r="A14379" s="0" t="s">
        <v>12</v>
      </c>
      <c r="B14379" s="0" t="n">
        <v>4454233</v>
      </c>
      <c r="C14379" s="0" t="n">
        <v>4454253</v>
      </c>
      <c r="D14379" s="0" t="s">
        <v>47783</v>
      </c>
      <c r="E14379" s="0" t="s">
        <v>75</v>
      </c>
      <c r="F14379" s="0" t="s">
        <v>15</v>
      </c>
      <c r="G14379" s="0" t="s">
        <v>20</v>
      </c>
      <c r="H14379" s="0" t="n">
        <v>14</v>
      </c>
      <c r="I14379" s="0" t="s">
        <v>47784</v>
      </c>
      <c r="J14379" s="0" t="s">
        <v>47785</v>
      </c>
      <c r="K14379" s="0" t="s">
        <v>47786</v>
      </c>
      <c r="L14379" s="0" t="str">
        <f aca="false">HYPERLINK("https://www.ncbi.nlm.nih.gov/nuccore/CP000058.1?report=graph&amp;tracks=[key:gene_model_track,Options:GeneOnly]&amp;mk=4454234:4454253|offset_14|00cc00,4454288:4454307|offset_68|444444,4454318:4454337|offset_98|444444,4454347:4454366|offset_127|444444&amp;v=4454033:4454566&amp;c=444444", "offset 14")</f>
        <v>offset 14</v>
      </c>
    </row>
    <row r="14380" customFormat="false" ht="12.8" hidden="false" customHeight="false" outlineLevel="0" collapsed="false">
      <c r="A14380" s="0" t="s">
        <v>12</v>
      </c>
      <c r="B14380" s="0" t="n">
        <v>4454287</v>
      </c>
      <c r="C14380" s="0" t="n">
        <v>4454307</v>
      </c>
      <c r="D14380" s="0" t="s">
        <v>47783</v>
      </c>
      <c r="E14380" s="0" t="s">
        <v>75</v>
      </c>
      <c r="F14380" s="0" t="s">
        <v>15</v>
      </c>
      <c r="G14380" s="0" t="s">
        <v>20</v>
      </c>
      <c r="H14380" s="0" t="n">
        <v>68</v>
      </c>
      <c r="I14380" s="0" t="s">
        <v>47787</v>
      </c>
      <c r="J14380" s="0" t="s">
        <v>47788</v>
      </c>
      <c r="K14380" s="0" t="s">
        <v>47789</v>
      </c>
      <c r="L14380" s="0" t="str">
        <f aca="false">HYPERLINK("https://www.ncbi.nlm.nih.gov/nuccore/CP000058.1?report=graph&amp;tracks=[key:gene_model_track,Options:GeneOnly]&amp;mk=4454234:4454253|offset_14|444444,4454288:4454307|offset_68|00cc00,4454318:4454337|offset_98|444444,4454347:4454366|offset_127|444444&amp;v=4454033:4454566&amp;c=444444", "offset 68")</f>
        <v>offset 68</v>
      </c>
    </row>
    <row r="14381" customFormat="false" ht="12.8" hidden="false" customHeight="false" outlineLevel="0" collapsed="false">
      <c r="A14381" s="0" t="s">
        <v>12</v>
      </c>
      <c r="B14381" s="0" t="n">
        <v>4454317</v>
      </c>
      <c r="C14381" s="0" t="n">
        <v>4454337</v>
      </c>
      <c r="D14381" s="0" t="s">
        <v>47783</v>
      </c>
      <c r="E14381" s="0" t="s">
        <v>75</v>
      </c>
      <c r="F14381" s="0" t="s">
        <v>15</v>
      </c>
      <c r="G14381" s="0" t="s">
        <v>20</v>
      </c>
      <c r="H14381" s="0" t="n">
        <v>98</v>
      </c>
      <c r="I14381" s="0" t="s">
        <v>47790</v>
      </c>
      <c r="J14381" s="0" t="s">
        <v>47791</v>
      </c>
      <c r="K14381" s="0" t="s">
        <v>47792</v>
      </c>
      <c r="L14381" s="0" t="str">
        <f aca="false">HYPERLINK("https://www.ncbi.nlm.nih.gov/nuccore/CP000058.1?report=graph&amp;tracks=[key:gene_model_track,Options:GeneOnly]&amp;mk=4454234:4454253|offset_14|444444,4454288:4454307|offset_68|444444,4454318:4454337|offset_98|00cc00,4454347:4454366|offset_127|444444&amp;v=4454033:4454566&amp;c=444444", "offset 98")</f>
        <v>offset 98</v>
      </c>
    </row>
    <row r="14382" customFormat="false" ht="12.8" hidden="false" customHeight="false" outlineLevel="0" collapsed="false">
      <c r="A14382" s="0" t="s">
        <v>12</v>
      </c>
      <c r="B14382" s="0" t="n">
        <v>4454346</v>
      </c>
      <c r="C14382" s="0" t="n">
        <v>4454366</v>
      </c>
      <c r="D14382" s="0" t="s">
        <v>47783</v>
      </c>
      <c r="E14382" s="0" t="s">
        <v>75</v>
      </c>
      <c r="F14382" s="0" t="s">
        <v>15</v>
      </c>
      <c r="G14382" s="0" t="s">
        <v>32</v>
      </c>
      <c r="H14382" s="0" t="n">
        <v>127</v>
      </c>
      <c r="I14382" s="0" t="s">
        <v>47793</v>
      </c>
      <c r="J14382" s="0" t="s">
        <v>47794</v>
      </c>
      <c r="K14382" s="0" t="s">
        <v>47795</v>
      </c>
      <c r="L14382" s="0" t="str">
        <f aca="false">HYPERLINK("https://www.ncbi.nlm.nih.gov/nuccore/CP000058.1?report=graph&amp;tracks=[key:gene_model_track,Options:GeneOnly]&amp;mk=4454234:4454253|offset_14|444444,4454288:4454307|offset_68|444444,4454318:4454337|offset_98|444444,4454347:4454366|offset_127|00cc00&amp;v=4454033:4454566&amp;c=444444", "offset 127")</f>
        <v>offset 127</v>
      </c>
    </row>
    <row r="14383" customFormat="false" ht="12.8" hidden="false" customHeight="false" outlineLevel="0" collapsed="false">
      <c r="A14383" s="0" t="s">
        <v>12</v>
      </c>
      <c r="B14383" s="0" t="n">
        <v>4455736</v>
      </c>
      <c r="C14383" s="0" t="n">
        <v>4455756</v>
      </c>
      <c r="D14383" s="0" t="s">
        <v>47796</v>
      </c>
      <c r="E14383" s="0" t="s">
        <v>47797</v>
      </c>
      <c r="F14383" s="0" t="s">
        <v>90</v>
      </c>
      <c r="G14383" s="0" t="s">
        <v>36</v>
      </c>
      <c r="H14383" s="0" t="n">
        <v>7</v>
      </c>
      <c r="I14383" s="0" t="s">
        <v>47798</v>
      </c>
      <c r="J14383" s="0" t="s">
        <v>47799</v>
      </c>
      <c r="K14383" s="0" t="s">
        <v>47800</v>
      </c>
      <c r="L14383" s="0" t="str">
        <f aca="false">HYPERLINK("https://www.ncbi.nlm.nih.gov/nuccore/CP000058.1?report=graph&amp;tracks=[key:gene_model_track,Options:GeneOnly]&amp;mk=4455737:4455756|offset_7|00cc00,4455704:4455723|offset_40|444444,4455672:4455691|offset_72|444444,4455621:4455640|offset_123|444444&amp;v=4455536:4455840&amp;c=444444", "offset 7")</f>
        <v>offset 7</v>
      </c>
    </row>
    <row r="14384" customFormat="false" ht="12.8" hidden="false" customHeight="false" outlineLevel="0" collapsed="false">
      <c r="A14384" s="0" t="s">
        <v>12</v>
      </c>
      <c r="B14384" s="0" t="n">
        <v>4455703</v>
      </c>
      <c r="C14384" s="0" t="n">
        <v>4455723</v>
      </c>
      <c r="D14384" s="0" t="s">
        <v>47796</v>
      </c>
      <c r="E14384" s="0" t="s">
        <v>47797</v>
      </c>
      <c r="F14384" s="0" t="s">
        <v>90</v>
      </c>
      <c r="G14384" s="0" t="s">
        <v>16</v>
      </c>
      <c r="H14384" s="0" t="n">
        <v>40</v>
      </c>
      <c r="I14384" s="0" t="s">
        <v>47801</v>
      </c>
      <c r="J14384" s="0" t="s">
        <v>47802</v>
      </c>
      <c r="K14384" s="0" t="s">
        <v>47803</v>
      </c>
      <c r="L14384" s="0" t="str">
        <f aca="false">HYPERLINK("https://www.ncbi.nlm.nih.gov/nuccore/CP000058.1?report=graph&amp;tracks=[key:gene_model_track,Options:GeneOnly]&amp;mk=4455737:4455756|offset_7|444444,4455704:4455723|offset_40|00cc00,4455672:4455691|offset_72|444444,4455621:4455640|offset_123|444444&amp;v=4455536:4455840&amp;c=444444", "offset 40")</f>
        <v>offset 40</v>
      </c>
    </row>
    <row r="14385" customFormat="false" ht="12.8" hidden="false" customHeight="false" outlineLevel="0" collapsed="false">
      <c r="A14385" s="0" t="s">
        <v>12</v>
      </c>
      <c r="B14385" s="0" t="n">
        <v>4455671</v>
      </c>
      <c r="C14385" s="0" t="n">
        <v>4455691</v>
      </c>
      <c r="D14385" s="0" t="s">
        <v>47796</v>
      </c>
      <c r="E14385" s="0" t="s">
        <v>47797</v>
      </c>
      <c r="F14385" s="0" t="s">
        <v>90</v>
      </c>
      <c r="G14385" s="0" t="s">
        <v>36</v>
      </c>
      <c r="H14385" s="0" t="n">
        <v>72</v>
      </c>
      <c r="I14385" s="0" t="s">
        <v>47804</v>
      </c>
      <c r="J14385" s="0" t="s">
        <v>47805</v>
      </c>
      <c r="K14385" s="0" t="s">
        <v>47806</v>
      </c>
      <c r="L14385" s="0" t="str">
        <f aca="false">HYPERLINK("https://www.ncbi.nlm.nih.gov/nuccore/CP000058.1?report=graph&amp;tracks=[key:gene_model_track,Options:GeneOnly]&amp;mk=4455737:4455756|offset_7|444444,4455704:4455723|offset_40|444444,4455672:4455691|offset_72|00cc00,4455621:4455640|offset_123|444444&amp;v=4455536:4455840&amp;c=444444", "offset 72")</f>
        <v>offset 72</v>
      </c>
    </row>
    <row r="14386" customFormat="false" ht="12.8" hidden="false" customHeight="false" outlineLevel="0" collapsed="false">
      <c r="A14386" s="0" t="s">
        <v>12</v>
      </c>
      <c r="B14386" s="0" t="n">
        <v>4455620</v>
      </c>
      <c r="C14386" s="0" t="n">
        <v>4455640</v>
      </c>
      <c r="D14386" s="0" t="s">
        <v>47796</v>
      </c>
      <c r="E14386" s="0" t="s">
        <v>47797</v>
      </c>
      <c r="F14386" s="0" t="s">
        <v>90</v>
      </c>
      <c r="G14386" s="0" t="s">
        <v>36</v>
      </c>
      <c r="H14386" s="0" t="n">
        <v>123</v>
      </c>
      <c r="I14386" s="0" t="s">
        <v>47807</v>
      </c>
      <c r="J14386" s="0" t="s">
        <v>47808</v>
      </c>
      <c r="K14386" s="0" t="s">
        <v>47809</v>
      </c>
      <c r="L14386" s="0" t="str">
        <f aca="false">HYPERLINK("https://www.ncbi.nlm.nih.gov/nuccore/CP000058.1?report=graph&amp;tracks=[key:gene_model_track,Options:GeneOnly]&amp;mk=4455737:4455756|offset_7|444444,4455704:4455723|offset_40|444444,4455672:4455691|offset_72|444444,4455621:4455640|offset_123|00cc00&amp;v=4455536:4455840&amp;c=444444", "offset 123")</f>
        <v>offset 123</v>
      </c>
    </row>
    <row r="14387" customFormat="false" ht="12.8" hidden="false" customHeight="false" outlineLevel="0" collapsed="false">
      <c r="A14387" s="0" t="s">
        <v>12</v>
      </c>
      <c r="B14387" s="0" t="n">
        <v>4456058</v>
      </c>
      <c r="C14387" s="0" t="n">
        <v>4456078</v>
      </c>
      <c r="D14387" s="0" t="s">
        <v>47810</v>
      </c>
      <c r="E14387" s="0" t="s">
        <v>47811</v>
      </c>
      <c r="F14387" s="0" t="s">
        <v>15</v>
      </c>
      <c r="G14387" s="0" t="s">
        <v>36</v>
      </c>
      <c r="H14387" s="0" t="n">
        <v>0</v>
      </c>
      <c r="I14387" s="0" t="s">
        <v>47812</v>
      </c>
      <c r="J14387" s="0" t="s">
        <v>47813</v>
      </c>
      <c r="K14387" s="0" t="s">
        <v>47814</v>
      </c>
      <c r="L14387" s="0" t="str">
        <f aca="false">HYPERLINK("https://www.ncbi.nlm.nih.gov/nuccore/CP000058.1?report=graph&amp;tracks=[key:gene_model_track,Options:GeneOnly]&amp;mk=4456059:4456078|offset_0|00cc00,4456079:4456098|offset_20|444444,4456105:4456124|offset_46|444444,4456128:4456147|offset_69|444444&amp;v=4455858:4456347&amp;c=444444", "offset 0")</f>
        <v>offset 0</v>
      </c>
    </row>
    <row r="14388" customFormat="false" ht="12.8" hidden="false" customHeight="false" outlineLevel="0" collapsed="false">
      <c r="A14388" s="0" t="s">
        <v>12</v>
      </c>
      <c r="B14388" s="0" t="n">
        <v>4456078</v>
      </c>
      <c r="C14388" s="0" t="n">
        <v>4456098</v>
      </c>
      <c r="D14388" s="0" t="s">
        <v>47810</v>
      </c>
      <c r="E14388" s="0" t="s">
        <v>47811</v>
      </c>
      <c r="F14388" s="0" t="s">
        <v>15</v>
      </c>
      <c r="G14388" s="0" t="s">
        <v>16</v>
      </c>
      <c r="H14388" s="0" t="n">
        <v>20</v>
      </c>
      <c r="I14388" s="0" t="s">
        <v>47815</v>
      </c>
      <c r="J14388" s="0" t="s">
        <v>47816</v>
      </c>
      <c r="K14388" s="0" t="s">
        <v>47817</v>
      </c>
      <c r="L14388" s="0" t="str">
        <f aca="false">HYPERLINK("https://www.ncbi.nlm.nih.gov/nuccore/CP000058.1?report=graph&amp;tracks=[key:gene_model_track,Options:GeneOnly]&amp;mk=4456059:4456078|offset_0|444444,4456079:4456098|offset_20|00cc00,4456105:4456124|offset_46|444444,4456128:4456147|offset_69|444444&amp;v=4455858:4456347&amp;c=444444", "offset 20")</f>
        <v>offset 20</v>
      </c>
    </row>
    <row r="14389" customFormat="false" ht="12.8" hidden="false" customHeight="false" outlineLevel="0" collapsed="false">
      <c r="A14389" s="0" t="s">
        <v>12</v>
      </c>
      <c r="B14389" s="0" t="n">
        <v>4456104</v>
      </c>
      <c r="C14389" s="0" t="n">
        <v>4456124</v>
      </c>
      <c r="D14389" s="0" t="s">
        <v>47810</v>
      </c>
      <c r="E14389" s="0" t="s">
        <v>47811</v>
      </c>
      <c r="F14389" s="0" t="s">
        <v>15</v>
      </c>
      <c r="G14389" s="0" t="s">
        <v>32</v>
      </c>
      <c r="H14389" s="0" t="n">
        <v>46</v>
      </c>
      <c r="I14389" s="0" t="s">
        <v>47818</v>
      </c>
      <c r="J14389" s="0" t="s">
        <v>47819</v>
      </c>
      <c r="K14389" s="0" t="s">
        <v>47820</v>
      </c>
      <c r="L14389" s="0" t="str">
        <f aca="false">HYPERLINK("https://www.ncbi.nlm.nih.gov/nuccore/CP000058.1?report=graph&amp;tracks=[key:gene_model_track,Options:GeneOnly]&amp;mk=4456059:4456078|offset_0|444444,4456079:4456098|offset_20|444444,4456105:4456124|offset_46|00cc00,4456128:4456147|offset_69|444444&amp;v=4455858:4456347&amp;c=444444", "offset 46")</f>
        <v>offset 46</v>
      </c>
    </row>
    <row r="14390" customFormat="false" ht="12.8" hidden="false" customHeight="false" outlineLevel="0" collapsed="false">
      <c r="A14390" s="0" t="s">
        <v>12</v>
      </c>
      <c r="B14390" s="0" t="n">
        <v>4456127</v>
      </c>
      <c r="C14390" s="0" t="n">
        <v>4456147</v>
      </c>
      <c r="D14390" s="0" t="s">
        <v>47810</v>
      </c>
      <c r="E14390" s="0" t="s">
        <v>47811</v>
      </c>
      <c r="F14390" s="0" t="s">
        <v>15</v>
      </c>
      <c r="G14390" s="0" t="s">
        <v>16</v>
      </c>
      <c r="H14390" s="0" t="n">
        <v>69</v>
      </c>
      <c r="I14390" s="0" t="s">
        <v>47821</v>
      </c>
      <c r="J14390" s="0" t="s">
        <v>47822</v>
      </c>
      <c r="K14390" s="0" t="s">
        <v>47823</v>
      </c>
      <c r="L14390" s="0" t="str">
        <f aca="false">HYPERLINK("https://www.ncbi.nlm.nih.gov/nuccore/CP000058.1?report=graph&amp;tracks=[key:gene_model_track,Options:GeneOnly]&amp;mk=4456059:4456078|offset_0|444444,4456079:4456098|offset_20|444444,4456105:4456124|offset_46|444444,4456128:4456147|offset_69|00cc00&amp;v=4455858:4456347&amp;c=444444", "offset 69")</f>
        <v>offset 69</v>
      </c>
    </row>
    <row r="14391" customFormat="false" ht="12.8" hidden="false" customHeight="false" outlineLevel="0" collapsed="false">
      <c r="A14391" s="0" t="s">
        <v>12</v>
      </c>
      <c r="B14391" s="0" t="n">
        <v>4457065</v>
      </c>
      <c r="C14391" s="0" t="n">
        <v>4457085</v>
      </c>
      <c r="D14391" s="0" t="s">
        <v>47824</v>
      </c>
      <c r="E14391" s="0" t="s">
        <v>47825</v>
      </c>
      <c r="F14391" s="0" t="s">
        <v>15</v>
      </c>
      <c r="G14391" s="0" t="s">
        <v>32</v>
      </c>
      <c r="H14391" s="0" t="n">
        <v>44</v>
      </c>
      <c r="I14391" s="0" t="s">
        <v>47826</v>
      </c>
      <c r="J14391" s="0" t="s">
        <v>47827</v>
      </c>
      <c r="K14391" s="0" t="s">
        <v>47828</v>
      </c>
      <c r="L14391" s="0" t="str">
        <f aca="false">HYPERLINK("https://www.ncbi.nlm.nih.gov/nuccore/CP000058.1?report=graph&amp;tracks=[key:gene_model_track,Options:GeneOnly]&amp;mk=4457066:4457085|offset_44|00cc00,4457089:4457108|offset_67|444444,4457110:4457129|offset_88|444444,4457154:4457173|offset_132|444444&amp;v=4456865:4457373&amp;c=444444", "offset 44")</f>
        <v>offset 44</v>
      </c>
    </row>
    <row r="14392" customFormat="false" ht="12.8" hidden="false" customHeight="false" outlineLevel="0" collapsed="false">
      <c r="A14392" s="0" t="s">
        <v>12</v>
      </c>
      <c r="B14392" s="0" t="n">
        <v>4457088</v>
      </c>
      <c r="C14392" s="0" t="n">
        <v>4457108</v>
      </c>
      <c r="D14392" s="0" t="s">
        <v>47824</v>
      </c>
      <c r="E14392" s="0" t="s">
        <v>47825</v>
      </c>
      <c r="F14392" s="0" t="s">
        <v>15</v>
      </c>
      <c r="G14392" s="0" t="s">
        <v>32</v>
      </c>
      <c r="H14392" s="0" t="n">
        <v>67</v>
      </c>
      <c r="I14392" s="0" t="s">
        <v>47829</v>
      </c>
      <c r="J14392" s="0" t="s">
        <v>47830</v>
      </c>
      <c r="K14392" s="0" t="s">
        <v>47831</v>
      </c>
      <c r="L14392" s="0" t="str">
        <f aca="false">HYPERLINK("https://www.ncbi.nlm.nih.gov/nuccore/CP000058.1?report=graph&amp;tracks=[key:gene_model_track,Options:GeneOnly]&amp;mk=4457066:4457085|offset_44|444444,4457089:4457108|offset_67|00cc00,4457110:4457129|offset_88|444444,4457154:4457173|offset_132|444444&amp;v=4456865:4457373&amp;c=444444", "offset 67")</f>
        <v>offset 67</v>
      </c>
    </row>
    <row r="14393" customFormat="false" ht="12.8" hidden="false" customHeight="false" outlineLevel="0" collapsed="false">
      <c r="A14393" s="0" t="s">
        <v>12</v>
      </c>
      <c r="B14393" s="0" t="n">
        <v>4457109</v>
      </c>
      <c r="C14393" s="0" t="n">
        <v>4457129</v>
      </c>
      <c r="D14393" s="0" t="s">
        <v>47824</v>
      </c>
      <c r="E14393" s="0" t="s">
        <v>47825</v>
      </c>
      <c r="F14393" s="0" t="s">
        <v>15</v>
      </c>
      <c r="G14393" s="0" t="s">
        <v>32</v>
      </c>
      <c r="H14393" s="0" t="n">
        <v>88</v>
      </c>
      <c r="I14393" s="0" t="s">
        <v>47832</v>
      </c>
      <c r="J14393" s="0" t="s">
        <v>47833</v>
      </c>
      <c r="K14393" s="0" t="s">
        <v>47834</v>
      </c>
      <c r="L14393" s="0" t="str">
        <f aca="false">HYPERLINK("https://www.ncbi.nlm.nih.gov/nuccore/CP000058.1?report=graph&amp;tracks=[key:gene_model_track,Options:GeneOnly]&amp;mk=4457066:4457085|offset_44|444444,4457089:4457108|offset_67|444444,4457110:4457129|offset_88|00cc00,4457154:4457173|offset_132|444444&amp;v=4456865:4457373&amp;c=444444", "offset 88")</f>
        <v>offset 88</v>
      </c>
    </row>
    <row r="14394" customFormat="false" ht="12.8" hidden="false" customHeight="false" outlineLevel="0" collapsed="false">
      <c r="A14394" s="0" t="s">
        <v>12</v>
      </c>
      <c r="B14394" s="0" t="n">
        <v>4457153</v>
      </c>
      <c r="C14394" s="0" t="n">
        <v>4457173</v>
      </c>
      <c r="D14394" s="0" t="s">
        <v>47824</v>
      </c>
      <c r="E14394" s="0" t="s">
        <v>47825</v>
      </c>
      <c r="F14394" s="0" t="s">
        <v>15</v>
      </c>
      <c r="G14394" s="0" t="s">
        <v>16</v>
      </c>
      <c r="H14394" s="0" t="n">
        <v>132</v>
      </c>
      <c r="I14394" s="0" t="s">
        <v>47835</v>
      </c>
      <c r="J14394" s="0" t="s">
        <v>47836</v>
      </c>
      <c r="K14394" s="0" t="s">
        <v>47837</v>
      </c>
      <c r="L14394" s="0" t="str">
        <f aca="false">HYPERLINK("https://www.ncbi.nlm.nih.gov/nuccore/CP000058.1?report=graph&amp;tracks=[key:gene_model_track,Options:GeneOnly]&amp;mk=4457066:4457085|offset_44|444444,4457089:4457108|offset_67|444444,4457110:4457129|offset_88|444444,4457154:4457173|offset_132|00cc00&amp;v=4456865:4457373&amp;c=444444", "offset 132")</f>
        <v>offset 132</v>
      </c>
    </row>
    <row r="14395" customFormat="false" ht="12.8" hidden="false" customHeight="false" outlineLevel="0" collapsed="false">
      <c r="A14395" s="0" t="s">
        <v>12</v>
      </c>
      <c r="B14395" s="0" t="n">
        <v>4458634</v>
      </c>
      <c r="C14395" s="0" t="n">
        <v>4458654</v>
      </c>
      <c r="D14395" s="0" t="s">
        <v>47838</v>
      </c>
      <c r="E14395" s="0" t="s">
        <v>47839</v>
      </c>
      <c r="F14395" s="0" t="s">
        <v>15</v>
      </c>
      <c r="G14395" s="0" t="s">
        <v>20</v>
      </c>
      <c r="H14395" s="0" t="n">
        <v>8</v>
      </c>
      <c r="I14395" s="0" t="s">
        <v>47840</v>
      </c>
      <c r="J14395" s="0" t="s">
        <v>47841</v>
      </c>
      <c r="K14395" s="0" t="s">
        <v>47842</v>
      </c>
      <c r="L14395" s="0" t="str">
        <f aca="false">HYPERLINK("https://www.ncbi.nlm.nih.gov/nuccore/CP000058.1?report=graph&amp;tracks=[key:gene_model_track,Options:GeneOnly]&amp;mk=4458635:4458654|offset_8|00cc00,4458659:4458678|offset_32|444444,4458724:4458743|offset_97|444444,4458785:4458804|offset_158|444444&amp;v=4458434:4459004&amp;c=444444", "offset 8")</f>
        <v>offset 8</v>
      </c>
    </row>
    <row r="14396" customFormat="false" ht="12.8" hidden="false" customHeight="false" outlineLevel="0" collapsed="false">
      <c r="A14396" s="0" t="s">
        <v>12</v>
      </c>
      <c r="B14396" s="0" t="n">
        <v>4458658</v>
      </c>
      <c r="C14396" s="0" t="n">
        <v>4458678</v>
      </c>
      <c r="D14396" s="0" t="s">
        <v>47838</v>
      </c>
      <c r="E14396" s="0" t="s">
        <v>47839</v>
      </c>
      <c r="F14396" s="0" t="s">
        <v>15</v>
      </c>
      <c r="G14396" s="0" t="s">
        <v>20</v>
      </c>
      <c r="H14396" s="0" t="n">
        <v>32</v>
      </c>
      <c r="I14396" s="0" t="s">
        <v>47843</v>
      </c>
      <c r="J14396" s="0" t="s">
        <v>47844</v>
      </c>
      <c r="K14396" s="0" t="s">
        <v>47845</v>
      </c>
      <c r="L14396" s="0" t="str">
        <f aca="false">HYPERLINK("https://www.ncbi.nlm.nih.gov/nuccore/CP000058.1?report=graph&amp;tracks=[key:gene_model_track,Options:GeneOnly]&amp;mk=4458635:4458654|offset_8|444444,4458659:4458678|offset_32|00cc00,4458724:4458743|offset_97|444444,4458785:4458804|offset_158|444444&amp;v=4458434:4459004&amp;c=444444", "offset 32")</f>
        <v>offset 32</v>
      </c>
    </row>
    <row r="14397" customFormat="false" ht="12.8" hidden="false" customHeight="false" outlineLevel="0" collapsed="false">
      <c r="A14397" s="0" t="s">
        <v>12</v>
      </c>
      <c r="B14397" s="0" t="n">
        <v>4458723</v>
      </c>
      <c r="C14397" s="0" t="n">
        <v>4458743</v>
      </c>
      <c r="D14397" s="0" t="s">
        <v>47838</v>
      </c>
      <c r="E14397" s="0" t="s">
        <v>47839</v>
      </c>
      <c r="F14397" s="0" t="s">
        <v>15</v>
      </c>
      <c r="G14397" s="0" t="s">
        <v>36</v>
      </c>
      <c r="H14397" s="0" t="n">
        <v>97</v>
      </c>
      <c r="I14397" s="0" t="s">
        <v>47846</v>
      </c>
      <c r="J14397" s="0" t="s">
        <v>47847</v>
      </c>
      <c r="K14397" s="0" t="s">
        <v>47848</v>
      </c>
      <c r="L14397" s="0" t="str">
        <f aca="false">HYPERLINK("https://www.ncbi.nlm.nih.gov/nuccore/CP000058.1?report=graph&amp;tracks=[key:gene_model_track,Options:GeneOnly]&amp;mk=4458635:4458654|offset_8|444444,4458659:4458678|offset_32|444444,4458724:4458743|offset_97|00cc00,4458785:4458804|offset_158|444444&amp;v=4458434:4459004&amp;c=444444", "offset 97")</f>
        <v>offset 97</v>
      </c>
    </row>
    <row r="14398" customFormat="false" ht="12.8" hidden="false" customHeight="false" outlineLevel="0" collapsed="false">
      <c r="A14398" s="0" t="s">
        <v>12</v>
      </c>
      <c r="B14398" s="0" t="n">
        <v>4458784</v>
      </c>
      <c r="C14398" s="0" t="n">
        <v>4458804</v>
      </c>
      <c r="D14398" s="0" t="s">
        <v>47838</v>
      </c>
      <c r="E14398" s="0" t="s">
        <v>47839</v>
      </c>
      <c r="F14398" s="0" t="s">
        <v>15</v>
      </c>
      <c r="G14398" s="0" t="s">
        <v>32</v>
      </c>
      <c r="H14398" s="0" t="n">
        <v>158</v>
      </c>
      <c r="I14398" s="0" t="s">
        <v>47849</v>
      </c>
      <c r="J14398" s="0" t="s">
        <v>47850</v>
      </c>
      <c r="K14398" s="0" t="s">
        <v>47851</v>
      </c>
      <c r="L14398" s="0" t="str">
        <f aca="false">HYPERLINK("https://www.ncbi.nlm.nih.gov/nuccore/CP000058.1?report=graph&amp;tracks=[key:gene_model_track,Options:GeneOnly]&amp;mk=4458635:4458654|offset_8|444444,4458659:4458678|offset_32|444444,4458724:4458743|offset_97|444444,4458785:4458804|offset_158|00cc00&amp;v=4458434:4459004&amp;c=444444", "offset 158")</f>
        <v>offset 158</v>
      </c>
    </row>
    <row r="14399" customFormat="false" ht="12.8" hidden="false" customHeight="false" outlineLevel="0" collapsed="false">
      <c r="A14399" s="0" t="s">
        <v>12</v>
      </c>
      <c r="B14399" s="0" t="n">
        <v>4459822</v>
      </c>
      <c r="C14399" s="0" t="n">
        <v>4459842</v>
      </c>
      <c r="D14399" s="0" t="s">
        <v>47852</v>
      </c>
      <c r="E14399" s="0" t="s">
        <v>47853</v>
      </c>
      <c r="F14399" s="0" t="s">
        <v>15</v>
      </c>
      <c r="G14399" s="0" t="s">
        <v>32</v>
      </c>
      <c r="H14399" s="0" t="n">
        <v>0</v>
      </c>
      <c r="I14399" s="0" t="s">
        <v>47854</v>
      </c>
      <c r="J14399" s="0" t="s">
        <v>47855</v>
      </c>
      <c r="K14399" s="0" t="s">
        <v>47856</v>
      </c>
      <c r="L14399" s="0" t="str">
        <f aca="false">HYPERLINK("https://www.ncbi.nlm.nih.gov/nuccore/CP000058.1?report=graph&amp;tracks=[key:gene_model_track,Options:GeneOnly]&amp;mk=4459823:4459842|offset_0|00cc00,4459844:4459863|offset_21|444444,4459878:4459897|offset_55|444444,4459923:4459942|offset_100|444444&amp;v=4459622:4460142&amp;c=444444", "offset 0")</f>
        <v>offset 0</v>
      </c>
    </row>
    <row r="14400" customFormat="false" ht="12.8" hidden="false" customHeight="false" outlineLevel="0" collapsed="false">
      <c r="A14400" s="0" t="s">
        <v>12</v>
      </c>
      <c r="B14400" s="0" t="n">
        <v>4459843</v>
      </c>
      <c r="C14400" s="0" t="n">
        <v>4459863</v>
      </c>
      <c r="D14400" s="0" t="s">
        <v>47852</v>
      </c>
      <c r="E14400" s="0" t="s">
        <v>47853</v>
      </c>
      <c r="F14400" s="0" t="s">
        <v>15</v>
      </c>
      <c r="G14400" s="0" t="s">
        <v>32</v>
      </c>
      <c r="H14400" s="0" t="n">
        <v>21</v>
      </c>
      <c r="I14400" s="0" t="s">
        <v>47857</v>
      </c>
      <c r="J14400" s="0" t="s">
        <v>47858</v>
      </c>
      <c r="K14400" s="0" t="s">
        <v>47859</v>
      </c>
      <c r="L14400" s="0" t="str">
        <f aca="false">HYPERLINK("https://www.ncbi.nlm.nih.gov/nuccore/CP000058.1?report=graph&amp;tracks=[key:gene_model_track,Options:GeneOnly]&amp;mk=4459823:4459842|offset_0|444444,4459844:4459863|offset_21|00cc00,4459878:4459897|offset_55|444444,4459923:4459942|offset_100|444444&amp;v=4459622:4460142&amp;c=444444", "offset 21")</f>
        <v>offset 21</v>
      </c>
    </row>
    <row r="14401" customFormat="false" ht="12.8" hidden="false" customHeight="false" outlineLevel="0" collapsed="false">
      <c r="A14401" s="0" t="s">
        <v>12</v>
      </c>
      <c r="B14401" s="0" t="n">
        <v>4459877</v>
      </c>
      <c r="C14401" s="0" t="n">
        <v>4459897</v>
      </c>
      <c r="D14401" s="0" t="s">
        <v>47852</v>
      </c>
      <c r="E14401" s="0" t="s">
        <v>47853</v>
      </c>
      <c r="F14401" s="0" t="s">
        <v>15</v>
      </c>
      <c r="G14401" s="0" t="s">
        <v>16</v>
      </c>
      <c r="H14401" s="0" t="n">
        <v>55</v>
      </c>
      <c r="I14401" s="0" t="s">
        <v>47860</v>
      </c>
      <c r="J14401" s="0" t="s">
        <v>47861</v>
      </c>
      <c r="K14401" s="0" t="s">
        <v>47862</v>
      </c>
      <c r="L14401" s="0" t="str">
        <f aca="false">HYPERLINK("https://www.ncbi.nlm.nih.gov/nuccore/CP000058.1?report=graph&amp;tracks=[key:gene_model_track,Options:GeneOnly]&amp;mk=4459823:4459842|offset_0|444444,4459844:4459863|offset_21|444444,4459878:4459897|offset_55|00cc00,4459923:4459942|offset_100|444444&amp;v=4459622:4460142&amp;c=444444", "offset 55")</f>
        <v>offset 55</v>
      </c>
    </row>
    <row r="14402" customFormat="false" ht="12.8" hidden="false" customHeight="false" outlineLevel="0" collapsed="false">
      <c r="A14402" s="0" t="s">
        <v>12</v>
      </c>
      <c r="B14402" s="0" t="n">
        <v>4459922</v>
      </c>
      <c r="C14402" s="0" t="n">
        <v>4459942</v>
      </c>
      <c r="D14402" s="0" t="s">
        <v>47852</v>
      </c>
      <c r="E14402" s="0" t="s">
        <v>47853</v>
      </c>
      <c r="F14402" s="0" t="s">
        <v>15</v>
      </c>
      <c r="G14402" s="0" t="s">
        <v>20</v>
      </c>
      <c r="H14402" s="0" t="n">
        <v>100</v>
      </c>
      <c r="I14402" s="0" t="s">
        <v>47863</v>
      </c>
      <c r="J14402" s="0" t="s">
        <v>47864</v>
      </c>
      <c r="K14402" s="0" t="s">
        <v>47865</v>
      </c>
      <c r="L14402" s="0" t="str">
        <f aca="false">HYPERLINK("https://www.ncbi.nlm.nih.gov/nuccore/CP000058.1?report=graph&amp;tracks=[key:gene_model_track,Options:GeneOnly]&amp;mk=4459823:4459842|offset_0|444444,4459844:4459863|offset_21|444444,4459878:4459897|offset_55|444444,4459923:4459942|offset_100|00cc00&amp;v=4459622:4460142&amp;c=444444", "offset 100")</f>
        <v>offset 100</v>
      </c>
    </row>
    <row r="14403" customFormat="false" ht="12.8" hidden="false" customHeight="false" outlineLevel="0" collapsed="false">
      <c r="A14403" s="0" t="s">
        <v>12</v>
      </c>
      <c r="B14403" s="0" t="n">
        <v>4461548</v>
      </c>
      <c r="C14403" s="0" t="n">
        <v>4461568</v>
      </c>
      <c r="D14403" s="0" t="s">
        <v>47866</v>
      </c>
      <c r="E14403" s="0" t="s">
        <v>75</v>
      </c>
      <c r="F14403" s="0" t="s">
        <v>15</v>
      </c>
      <c r="G14403" s="0" t="s">
        <v>20</v>
      </c>
      <c r="H14403" s="0" t="n">
        <v>1</v>
      </c>
      <c r="I14403" s="0" t="s">
        <v>47867</v>
      </c>
      <c r="J14403" s="0" t="s">
        <v>47868</v>
      </c>
      <c r="K14403" s="0" t="s">
        <v>47869</v>
      </c>
      <c r="L14403" s="0" t="str">
        <f aca="false">HYPERLINK("https://www.ncbi.nlm.nih.gov/nuccore/CP000058.1?report=graph&amp;tracks=[key:gene_model_track,Options:GeneOnly]&amp;mk=4461549:4461568|offset_1|00cc00,4461598:4461617|offset_50|444444,4461636:4461655|offset_88|444444,4461666:4461685|offset_118|444444&amp;v=4461348:4461885&amp;c=444444", "offset 1")</f>
        <v>offset 1</v>
      </c>
    </row>
    <row r="14404" customFormat="false" ht="12.8" hidden="false" customHeight="false" outlineLevel="0" collapsed="false">
      <c r="A14404" s="0" t="s">
        <v>12</v>
      </c>
      <c r="B14404" s="0" t="n">
        <v>4461597</v>
      </c>
      <c r="C14404" s="0" t="n">
        <v>4461617</v>
      </c>
      <c r="D14404" s="0" t="s">
        <v>47866</v>
      </c>
      <c r="E14404" s="0" t="s">
        <v>75</v>
      </c>
      <c r="F14404" s="0" t="s">
        <v>15</v>
      </c>
      <c r="G14404" s="0" t="s">
        <v>16</v>
      </c>
      <c r="H14404" s="0" t="n">
        <v>50</v>
      </c>
      <c r="I14404" s="0" t="s">
        <v>47870</v>
      </c>
      <c r="J14404" s="0" t="s">
        <v>47871</v>
      </c>
      <c r="K14404" s="0" t="s">
        <v>47872</v>
      </c>
      <c r="L14404" s="0" t="str">
        <f aca="false">HYPERLINK("https://www.ncbi.nlm.nih.gov/nuccore/CP000058.1?report=graph&amp;tracks=[key:gene_model_track,Options:GeneOnly]&amp;mk=4461549:4461568|offset_1|444444,4461598:4461617|offset_50|00cc00,4461636:4461655|offset_88|444444,4461666:4461685|offset_118|444444&amp;v=4461348:4461885&amp;c=444444", "offset 50")</f>
        <v>offset 50</v>
      </c>
    </row>
    <row r="14405" customFormat="false" ht="12.8" hidden="false" customHeight="false" outlineLevel="0" collapsed="false">
      <c r="A14405" s="0" t="s">
        <v>12</v>
      </c>
      <c r="B14405" s="0" t="n">
        <v>4461635</v>
      </c>
      <c r="C14405" s="0" t="n">
        <v>4461655</v>
      </c>
      <c r="D14405" s="0" t="s">
        <v>47866</v>
      </c>
      <c r="E14405" s="0" t="s">
        <v>75</v>
      </c>
      <c r="F14405" s="0" t="s">
        <v>15</v>
      </c>
      <c r="G14405" s="0" t="s">
        <v>16</v>
      </c>
      <c r="H14405" s="0" t="n">
        <v>88</v>
      </c>
      <c r="I14405" s="0" t="s">
        <v>47873</v>
      </c>
      <c r="J14405" s="0" t="s">
        <v>47874</v>
      </c>
      <c r="K14405" s="0" t="s">
        <v>47875</v>
      </c>
      <c r="L14405" s="0" t="str">
        <f aca="false">HYPERLINK("https://www.ncbi.nlm.nih.gov/nuccore/CP000058.1?report=graph&amp;tracks=[key:gene_model_track,Options:GeneOnly]&amp;mk=4461549:4461568|offset_1|444444,4461598:4461617|offset_50|444444,4461636:4461655|offset_88|00cc00,4461666:4461685|offset_118|444444&amp;v=4461348:4461885&amp;c=444444", "offset 88")</f>
        <v>offset 88</v>
      </c>
    </row>
    <row r="14406" customFormat="false" ht="12.8" hidden="false" customHeight="false" outlineLevel="0" collapsed="false">
      <c r="A14406" s="0" t="s">
        <v>12</v>
      </c>
      <c r="B14406" s="0" t="n">
        <v>4461665</v>
      </c>
      <c r="C14406" s="0" t="n">
        <v>4461685</v>
      </c>
      <c r="D14406" s="0" t="s">
        <v>47866</v>
      </c>
      <c r="E14406" s="0" t="s">
        <v>75</v>
      </c>
      <c r="F14406" s="0" t="s">
        <v>15</v>
      </c>
      <c r="G14406" s="0" t="s">
        <v>20</v>
      </c>
      <c r="H14406" s="0" t="n">
        <v>118</v>
      </c>
      <c r="I14406" s="0" t="s">
        <v>47876</v>
      </c>
      <c r="J14406" s="0" t="s">
        <v>47877</v>
      </c>
      <c r="K14406" s="0" t="s">
        <v>47878</v>
      </c>
      <c r="L14406" s="0" t="str">
        <f aca="false">HYPERLINK("https://www.ncbi.nlm.nih.gov/nuccore/CP000058.1?report=graph&amp;tracks=[key:gene_model_track,Options:GeneOnly]&amp;mk=4461549:4461568|offset_1|444444,4461598:4461617|offset_50|444444,4461636:4461655|offset_88|444444,4461666:4461685|offset_118|00cc00&amp;v=4461348:4461885&amp;c=444444", "offset 118")</f>
        <v>offset 118</v>
      </c>
    </row>
    <row r="14407" customFormat="false" ht="12.8" hidden="false" customHeight="false" outlineLevel="0" collapsed="false">
      <c r="A14407" s="0" t="s">
        <v>12</v>
      </c>
      <c r="B14407" s="0" t="n">
        <v>4462798</v>
      </c>
      <c r="C14407" s="0" t="n">
        <v>4462818</v>
      </c>
      <c r="D14407" s="0" t="s">
        <v>47879</v>
      </c>
      <c r="E14407" s="0" t="s">
        <v>75</v>
      </c>
      <c r="F14407" s="0" t="s">
        <v>15</v>
      </c>
      <c r="G14407" s="0" t="s">
        <v>16</v>
      </c>
      <c r="H14407" s="0" t="n">
        <v>43</v>
      </c>
      <c r="I14407" s="0" t="s">
        <v>47880</v>
      </c>
      <c r="J14407" s="0" t="s">
        <v>47881</v>
      </c>
      <c r="K14407" s="0" t="s">
        <v>47882</v>
      </c>
      <c r="L14407" s="0" t="str">
        <f aca="false">HYPERLINK("https://www.ncbi.nlm.nih.gov/nuccore/CP000058.1?report=graph&amp;tracks=[key:gene_model_track,Options:GeneOnly]&amp;mk=4462799:4462818|offset_43|00cc00,4462838:4462857|offset_82|444444,4462859:4462878|offset_103|444444,4462886:4462905|offset_130|444444&amp;v=4462598:4463105&amp;c=444444", "offset 43")</f>
        <v>offset 43</v>
      </c>
    </row>
    <row r="14408" customFormat="false" ht="12.8" hidden="false" customHeight="false" outlineLevel="0" collapsed="false">
      <c r="A14408" s="0" t="s">
        <v>12</v>
      </c>
      <c r="B14408" s="0" t="n">
        <v>4462837</v>
      </c>
      <c r="C14408" s="0" t="n">
        <v>4462857</v>
      </c>
      <c r="D14408" s="0" t="s">
        <v>47879</v>
      </c>
      <c r="E14408" s="0" t="s">
        <v>75</v>
      </c>
      <c r="F14408" s="0" t="s">
        <v>15</v>
      </c>
      <c r="G14408" s="0" t="s">
        <v>16</v>
      </c>
      <c r="H14408" s="0" t="n">
        <v>82</v>
      </c>
      <c r="I14408" s="0" t="s">
        <v>47883</v>
      </c>
      <c r="J14408" s="0" t="s">
        <v>47884</v>
      </c>
      <c r="K14408" s="0" t="s">
        <v>47885</v>
      </c>
      <c r="L14408" s="0" t="str">
        <f aca="false">HYPERLINK("https://www.ncbi.nlm.nih.gov/nuccore/CP000058.1?report=graph&amp;tracks=[key:gene_model_track,Options:GeneOnly]&amp;mk=4462799:4462818|offset_43|444444,4462838:4462857|offset_82|00cc00,4462859:4462878|offset_103|444444,4462886:4462905|offset_130|444444&amp;v=4462598:4463105&amp;c=444444", "offset 82")</f>
        <v>offset 82</v>
      </c>
    </row>
    <row r="14409" customFormat="false" ht="12.8" hidden="false" customHeight="false" outlineLevel="0" collapsed="false">
      <c r="A14409" s="0" t="s">
        <v>12</v>
      </c>
      <c r="B14409" s="0" t="n">
        <v>4462858</v>
      </c>
      <c r="C14409" s="0" t="n">
        <v>4462878</v>
      </c>
      <c r="D14409" s="0" t="s">
        <v>47879</v>
      </c>
      <c r="E14409" s="0" t="s">
        <v>75</v>
      </c>
      <c r="F14409" s="0" t="s">
        <v>15</v>
      </c>
      <c r="G14409" s="0" t="s">
        <v>32</v>
      </c>
      <c r="H14409" s="0" t="n">
        <v>103</v>
      </c>
      <c r="I14409" s="0" t="s">
        <v>47886</v>
      </c>
      <c r="J14409" s="0" t="s">
        <v>47887</v>
      </c>
      <c r="K14409" s="0" t="s">
        <v>47888</v>
      </c>
      <c r="L14409" s="0" t="str">
        <f aca="false">HYPERLINK("https://www.ncbi.nlm.nih.gov/nuccore/CP000058.1?report=graph&amp;tracks=[key:gene_model_track,Options:GeneOnly]&amp;mk=4462799:4462818|offset_43|444444,4462838:4462857|offset_82|444444,4462859:4462878|offset_103|00cc00,4462886:4462905|offset_130|444444&amp;v=4462598:4463105&amp;c=444444", "offset 103")</f>
        <v>offset 103</v>
      </c>
    </row>
    <row r="14410" customFormat="false" ht="12.8" hidden="false" customHeight="false" outlineLevel="0" collapsed="false">
      <c r="A14410" s="0" t="s">
        <v>12</v>
      </c>
      <c r="B14410" s="0" t="n">
        <v>4462885</v>
      </c>
      <c r="C14410" s="0" t="n">
        <v>4462905</v>
      </c>
      <c r="D14410" s="0" t="s">
        <v>47879</v>
      </c>
      <c r="E14410" s="0" t="s">
        <v>75</v>
      </c>
      <c r="F14410" s="0" t="s">
        <v>15</v>
      </c>
      <c r="G14410" s="0" t="s">
        <v>36</v>
      </c>
      <c r="H14410" s="0" t="n">
        <v>130</v>
      </c>
      <c r="I14410" s="0" t="s">
        <v>47889</v>
      </c>
      <c r="J14410" s="0" t="s">
        <v>47890</v>
      </c>
      <c r="K14410" s="0" t="s">
        <v>47891</v>
      </c>
      <c r="L14410" s="0" t="str">
        <f aca="false">HYPERLINK("https://www.ncbi.nlm.nih.gov/nuccore/CP000058.1?report=graph&amp;tracks=[key:gene_model_track,Options:GeneOnly]&amp;mk=4462799:4462818|offset_43|444444,4462838:4462857|offset_82|444444,4462859:4462878|offset_103|444444,4462886:4462905|offset_130|00cc00&amp;v=4462598:4463105&amp;c=444444", "offset 130")</f>
        <v>offset 130</v>
      </c>
    </row>
    <row r="14411" customFormat="false" ht="12.8" hidden="false" customHeight="false" outlineLevel="0" collapsed="false">
      <c r="A14411" s="0" t="s">
        <v>12</v>
      </c>
      <c r="B14411" s="0" t="n">
        <v>4463525</v>
      </c>
      <c r="C14411" s="0" t="n">
        <v>4463545</v>
      </c>
      <c r="D14411" s="0" t="s">
        <v>47892</v>
      </c>
      <c r="E14411" s="0" t="s">
        <v>75</v>
      </c>
      <c r="F14411" s="0" t="s">
        <v>15</v>
      </c>
      <c r="G14411" s="0" t="s">
        <v>16</v>
      </c>
      <c r="H14411" s="0" t="n">
        <v>24</v>
      </c>
      <c r="I14411" s="0" t="s">
        <v>47893</v>
      </c>
      <c r="J14411" s="0" t="s">
        <v>47894</v>
      </c>
      <c r="K14411" s="0" t="s">
        <v>47895</v>
      </c>
      <c r="L14411" s="0" t="str">
        <f aca="false">HYPERLINK("https://www.ncbi.nlm.nih.gov/nuccore/CP000058.1?report=graph&amp;tracks=[key:gene_model_track,Options:GeneOnly]&amp;mk=4463526:4463545|offset_24|00cc00,4463563:4463582|offset_61|444444,4463597:4463616|offset_95|444444,4463630:4463649|offset_128|444444&amp;v=4463325:4463849&amp;c=444444", "offset 24")</f>
        <v>offset 24</v>
      </c>
    </row>
    <row r="14412" customFormat="false" ht="12.8" hidden="false" customHeight="false" outlineLevel="0" collapsed="false">
      <c r="A14412" s="0" t="s">
        <v>12</v>
      </c>
      <c r="B14412" s="0" t="n">
        <v>4463562</v>
      </c>
      <c r="C14412" s="0" t="n">
        <v>4463582</v>
      </c>
      <c r="D14412" s="0" t="s">
        <v>47892</v>
      </c>
      <c r="E14412" s="0" t="s">
        <v>75</v>
      </c>
      <c r="F14412" s="0" t="s">
        <v>15</v>
      </c>
      <c r="G14412" s="0" t="s">
        <v>36</v>
      </c>
      <c r="H14412" s="0" t="n">
        <v>61</v>
      </c>
      <c r="I14412" s="0" t="s">
        <v>47896</v>
      </c>
      <c r="J14412" s="0" t="s">
        <v>47897</v>
      </c>
      <c r="K14412" s="0" t="s">
        <v>47898</v>
      </c>
      <c r="L14412" s="0" t="str">
        <f aca="false">HYPERLINK("https://www.ncbi.nlm.nih.gov/nuccore/CP000058.1?report=graph&amp;tracks=[key:gene_model_track,Options:GeneOnly]&amp;mk=4463526:4463545|offset_24|444444,4463563:4463582|offset_61|00cc00,4463597:4463616|offset_95|444444,4463630:4463649|offset_128|444444&amp;v=4463325:4463849&amp;c=444444", "offset 61")</f>
        <v>offset 61</v>
      </c>
    </row>
    <row r="14413" customFormat="false" ht="12.8" hidden="false" customHeight="false" outlineLevel="0" collapsed="false">
      <c r="A14413" s="0" t="s">
        <v>12</v>
      </c>
      <c r="B14413" s="0" t="n">
        <v>4463596</v>
      </c>
      <c r="C14413" s="0" t="n">
        <v>4463616</v>
      </c>
      <c r="D14413" s="0" t="s">
        <v>47892</v>
      </c>
      <c r="E14413" s="0" t="s">
        <v>75</v>
      </c>
      <c r="F14413" s="0" t="s">
        <v>15</v>
      </c>
      <c r="G14413" s="0" t="s">
        <v>20</v>
      </c>
      <c r="H14413" s="0" t="n">
        <v>95</v>
      </c>
      <c r="I14413" s="0" t="s">
        <v>47899</v>
      </c>
      <c r="J14413" s="0" t="s">
        <v>47900</v>
      </c>
      <c r="K14413" s="0" t="s">
        <v>47901</v>
      </c>
      <c r="L14413" s="0" t="str">
        <f aca="false">HYPERLINK("https://www.ncbi.nlm.nih.gov/nuccore/CP000058.1?report=graph&amp;tracks=[key:gene_model_track,Options:GeneOnly]&amp;mk=4463526:4463545|offset_24|444444,4463563:4463582|offset_61|444444,4463597:4463616|offset_95|00cc00,4463630:4463649|offset_128|444444&amp;v=4463325:4463849&amp;c=444444", "offset 95")</f>
        <v>offset 95</v>
      </c>
    </row>
    <row r="14414" customFormat="false" ht="12.8" hidden="false" customHeight="false" outlineLevel="0" collapsed="false">
      <c r="A14414" s="0" t="s">
        <v>12</v>
      </c>
      <c r="B14414" s="0" t="n">
        <v>4463629</v>
      </c>
      <c r="C14414" s="0" t="n">
        <v>4463649</v>
      </c>
      <c r="D14414" s="0" t="s">
        <v>47892</v>
      </c>
      <c r="E14414" s="0" t="s">
        <v>75</v>
      </c>
      <c r="F14414" s="0" t="s">
        <v>15</v>
      </c>
      <c r="G14414" s="0" t="s">
        <v>20</v>
      </c>
      <c r="H14414" s="0" t="n">
        <v>128</v>
      </c>
      <c r="I14414" s="0" t="s">
        <v>47902</v>
      </c>
      <c r="J14414" s="0" t="s">
        <v>47903</v>
      </c>
      <c r="K14414" s="0" t="s">
        <v>47904</v>
      </c>
      <c r="L14414" s="0" t="str">
        <f aca="false">HYPERLINK("https://www.ncbi.nlm.nih.gov/nuccore/CP000058.1?report=graph&amp;tracks=[key:gene_model_track,Options:GeneOnly]&amp;mk=4463526:4463545|offset_24|444444,4463563:4463582|offset_61|444444,4463597:4463616|offset_95|444444,4463630:4463649|offset_128|00cc00&amp;v=4463325:4463849&amp;c=444444", "offset 128")</f>
        <v>offset 128</v>
      </c>
    </row>
    <row r="14415" customFormat="false" ht="12.8" hidden="false" customHeight="false" outlineLevel="0" collapsed="false">
      <c r="A14415" s="0" t="s">
        <v>12</v>
      </c>
      <c r="B14415" s="0" t="n">
        <v>4464173</v>
      </c>
      <c r="C14415" s="0" t="n">
        <v>4464193</v>
      </c>
      <c r="D14415" s="0" t="s">
        <v>47905</v>
      </c>
      <c r="E14415" s="0" t="s">
        <v>75</v>
      </c>
      <c r="F14415" s="0" t="s">
        <v>15</v>
      </c>
      <c r="G14415" s="0" t="s">
        <v>32</v>
      </c>
      <c r="H14415" s="0" t="n">
        <v>10</v>
      </c>
      <c r="I14415" s="0" t="s">
        <v>47906</v>
      </c>
      <c r="J14415" s="0" t="s">
        <v>47907</v>
      </c>
      <c r="K14415" s="0" t="s">
        <v>47908</v>
      </c>
      <c r="L14415" s="0" t="str">
        <f aca="false">HYPERLINK("https://www.ncbi.nlm.nih.gov/nuccore/CP000058.1?report=graph&amp;tracks=[key:gene_model_track,Options:GeneOnly]&amp;mk=4464174:4464193|offset_10|00cc00,4464208:4464227|offset_44|444444,4464231:4464250|offset_67|444444,4464291:4464310|offset_127|444444&amp;v=4463973:4464510&amp;c=444444", "offset 10")</f>
        <v>offset 10</v>
      </c>
    </row>
    <row r="14416" customFormat="false" ht="12.8" hidden="false" customHeight="false" outlineLevel="0" collapsed="false">
      <c r="A14416" s="0" t="s">
        <v>12</v>
      </c>
      <c r="B14416" s="0" t="n">
        <v>4464207</v>
      </c>
      <c r="C14416" s="0" t="n">
        <v>4464227</v>
      </c>
      <c r="D14416" s="0" t="s">
        <v>47905</v>
      </c>
      <c r="E14416" s="0" t="s">
        <v>75</v>
      </c>
      <c r="F14416" s="0" t="s">
        <v>15</v>
      </c>
      <c r="G14416" s="0" t="s">
        <v>32</v>
      </c>
      <c r="H14416" s="0" t="n">
        <v>44</v>
      </c>
      <c r="I14416" s="0" t="s">
        <v>47909</v>
      </c>
      <c r="J14416" s="0" t="s">
        <v>47910</v>
      </c>
      <c r="K14416" s="0" t="s">
        <v>47911</v>
      </c>
      <c r="L14416" s="0" t="str">
        <f aca="false">HYPERLINK("https://www.ncbi.nlm.nih.gov/nuccore/CP000058.1?report=graph&amp;tracks=[key:gene_model_track,Options:GeneOnly]&amp;mk=4464174:4464193|offset_10|444444,4464208:4464227|offset_44|00cc00,4464231:4464250|offset_67|444444,4464291:4464310|offset_127|444444&amp;v=4463973:4464510&amp;c=444444", "offset 44")</f>
        <v>offset 44</v>
      </c>
    </row>
    <row r="14417" customFormat="false" ht="12.8" hidden="false" customHeight="false" outlineLevel="0" collapsed="false">
      <c r="A14417" s="0" t="s">
        <v>12</v>
      </c>
      <c r="B14417" s="0" t="n">
        <v>4464230</v>
      </c>
      <c r="C14417" s="0" t="n">
        <v>4464250</v>
      </c>
      <c r="D14417" s="0" t="s">
        <v>47905</v>
      </c>
      <c r="E14417" s="0" t="s">
        <v>75</v>
      </c>
      <c r="F14417" s="0" t="s">
        <v>15</v>
      </c>
      <c r="G14417" s="0" t="s">
        <v>16</v>
      </c>
      <c r="H14417" s="0" t="n">
        <v>67</v>
      </c>
      <c r="I14417" s="0" t="s">
        <v>47912</v>
      </c>
      <c r="J14417" s="0" t="s">
        <v>47913</v>
      </c>
      <c r="K14417" s="0" t="s">
        <v>47914</v>
      </c>
      <c r="L14417" s="0" t="str">
        <f aca="false">HYPERLINK("https://www.ncbi.nlm.nih.gov/nuccore/CP000058.1?report=graph&amp;tracks=[key:gene_model_track,Options:GeneOnly]&amp;mk=4464174:4464193|offset_10|444444,4464208:4464227|offset_44|444444,4464231:4464250|offset_67|00cc00,4464291:4464310|offset_127|444444&amp;v=4463973:4464510&amp;c=444444", "offset 67")</f>
        <v>offset 67</v>
      </c>
    </row>
    <row r="14418" customFormat="false" ht="12.8" hidden="false" customHeight="false" outlineLevel="0" collapsed="false">
      <c r="A14418" s="0" t="s">
        <v>12</v>
      </c>
      <c r="B14418" s="0" t="n">
        <v>4464290</v>
      </c>
      <c r="C14418" s="0" t="n">
        <v>4464310</v>
      </c>
      <c r="D14418" s="0" t="s">
        <v>47905</v>
      </c>
      <c r="E14418" s="0" t="s">
        <v>75</v>
      </c>
      <c r="F14418" s="0" t="s">
        <v>15</v>
      </c>
      <c r="G14418" s="0" t="s">
        <v>36</v>
      </c>
      <c r="H14418" s="0" t="n">
        <v>127</v>
      </c>
      <c r="I14418" s="0" t="s">
        <v>47915</v>
      </c>
      <c r="J14418" s="0" t="s">
        <v>47916</v>
      </c>
      <c r="K14418" s="0" t="s">
        <v>47917</v>
      </c>
      <c r="L14418" s="0" t="str">
        <f aca="false">HYPERLINK("https://www.ncbi.nlm.nih.gov/nuccore/CP000058.1?report=graph&amp;tracks=[key:gene_model_track,Options:GeneOnly]&amp;mk=4464174:4464193|offset_10|444444,4464208:4464227|offset_44|444444,4464231:4464250|offset_67|444444,4464291:4464310|offset_127|00cc00&amp;v=4463973:4464510&amp;c=444444", "offset 127")</f>
        <v>offset 127</v>
      </c>
    </row>
    <row r="14419" customFormat="false" ht="12.8" hidden="false" customHeight="false" outlineLevel="0" collapsed="false">
      <c r="A14419" s="0" t="s">
        <v>12</v>
      </c>
      <c r="B14419" s="0" t="n">
        <v>4464967</v>
      </c>
      <c r="C14419" s="0" t="n">
        <v>4464987</v>
      </c>
      <c r="D14419" s="0" t="s">
        <v>47918</v>
      </c>
      <c r="E14419" s="0" t="s">
        <v>75</v>
      </c>
      <c r="F14419" s="0" t="s">
        <v>15</v>
      </c>
      <c r="G14419" s="0" t="s">
        <v>36</v>
      </c>
      <c r="H14419" s="0" t="n">
        <v>14</v>
      </c>
      <c r="I14419" s="0" t="s">
        <v>47919</v>
      </c>
      <c r="J14419" s="0" t="s">
        <v>47920</v>
      </c>
      <c r="K14419" s="0" t="s">
        <v>47921</v>
      </c>
      <c r="L14419" s="0" t="str">
        <f aca="false">HYPERLINK("https://www.ncbi.nlm.nih.gov/nuccore/CP000058.1?report=graph&amp;tracks=[key:gene_model_track,Options:GeneOnly]&amp;mk=4464968:4464987|offset_14|00cc00,4464990:4465009|offset_36|444444,4465011:4465030|offset_57|444444,4465038:4465057|offset_84|444444&amp;v=4464767:4465257&amp;c=444444", "offset 14")</f>
        <v>offset 14</v>
      </c>
    </row>
    <row r="14420" customFormat="false" ht="12.8" hidden="false" customHeight="false" outlineLevel="0" collapsed="false">
      <c r="A14420" s="0" t="s">
        <v>12</v>
      </c>
      <c r="B14420" s="0" t="n">
        <v>4464989</v>
      </c>
      <c r="C14420" s="0" t="n">
        <v>4465009</v>
      </c>
      <c r="D14420" s="0" t="s">
        <v>47918</v>
      </c>
      <c r="E14420" s="0" t="s">
        <v>75</v>
      </c>
      <c r="F14420" s="0" t="s">
        <v>15</v>
      </c>
      <c r="G14420" s="0" t="s">
        <v>16</v>
      </c>
      <c r="H14420" s="0" t="n">
        <v>36</v>
      </c>
      <c r="I14420" s="0" t="s">
        <v>47922</v>
      </c>
      <c r="J14420" s="0" t="s">
        <v>47923</v>
      </c>
      <c r="K14420" s="0" t="s">
        <v>47924</v>
      </c>
      <c r="L14420" s="0" t="str">
        <f aca="false">HYPERLINK("https://www.ncbi.nlm.nih.gov/nuccore/CP000058.1?report=graph&amp;tracks=[key:gene_model_track,Options:GeneOnly]&amp;mk=4464968:4464987|offset_14|444444,4464990:4465009|offset_36|00cc00,4465011:4465030|offset_57|444444,4465038:4465057|offset_84|444444&amp;v=4464767:4465257&amp;c=444444", "offset 36")</f>
        <v>offset 36</v>
      </c>
    </row>
    <row r="14421" customFormat="false" ht="12.8" hidden="false" customHeight="false" outlineLevel="0" collapsed="false">
      <c r="A14421" s="0" t="s">
        <v>12</v>
      </c>
      <c r="B14421" s="0" t="n">
        <v>4465010</v>
      </c>
      <c r="C14421" s="0" t="n">
        <v>4465030</v>
      </c>
      <c r="D14421" s="0" t="s">
        <v>47918</v>
      </c>
      <c r="E14421" s="0" t="s">
        <v>75</v>
      </c>
      <c r="F14421" s="0" t="s">
        <v>15</v>
      </c>
      <c r="G14421" s="0" t="s">
        <v>20</v>
      </c>
      <c r="H14421" s="0" t="n">
        <v>57</v>
      </c>
      <c r="I14421" s="0" t="s">
        <v>47925</v>
      </c>
      <c r="J14421" s="0" t="s">
        <v>47926</v>
      </c>
      <c r="K14421" s="0" t="s">
        <v>47927</v>
      </c>
      <c r="L14421" s="0" t="str">
        <f aca="false">HYPERLINK("https://www.ncbi.nlm.nih.gov/nuccore/CP000058.1?report=graph&amp;tracks=[key:gene_model_track,Options:GeneOnly]&amp;mk=4464968:4464987|offset_14|444444,4464990:4465009|offset_36|444444,4465011:4465030|offset_57|00cc00,4465038:4465057|offset_84|444444&amp;v=4464767:4465257&amp;c=444444", "offset 57")</f>
        <v>offset 57</v>
      </c>
    </row>
    <row r="14422" customFormat="false" ht="12.8" hidden="false" customHeight="false" outlineLevel="0" collapsed="false">
      <c r="A14422" s="0" t="s">
        <v>12</v>
      </c>
      <c r="B14422" s="0" t="n">
        <v>4465037</v>
      </c>
      <c r="C14422" s="0" t="n">
        <v>4465057</v>
      </c>
      <c r="D14422" s="0" t="s">
        <v>47918</v>
      </c>
      <c r="E14422" s="0" t="s">
        <v>75</v>
      </c>
      <c r="F14422" s="0" t="s">
        <v>15</v>
      </c>
      <c r="G14422" s="0" t="s">
        <v>16</v>
      </c>
      <c r="H14422" s="0" t="n">
        <v>84</v>
      </c>
      <c r="I14422" s="0" t="s">
        <v>47928</v>
      </c>
      <c r="J14422" s="0" t="s">
        <v>47929</v>
      </c>
      <c r="K14422" s="0" t="s">
        <v>47930</v>
      </c>
      <c r="L14422" s="0" t="str">
        <f aca="false">HYPERLINK("https://www.ncbi.nlm.nih.gov/nuccore/CP000058.1?report=graph&amp;tracks=[key:gene_model_track,Options:GeneOnly]&amp;mk=4464968:4464987|offset_14|444444,4464990:4465009|offset_36|444444,4465011:4465030|offset_57|444444,4465038:4465057|offset_84|00cc00&amp;v=4464767:4465257&amp;c=444444", "offset 84")</f>
        <v>offset 84</v>
      </c>
    </row>
    <row r="14423" customFormat="false" ht="12.8" hidden="false" customHeight="false" outlineLevel="0" collapsed="false">
      <c r="A14423" s="0" t="s">
        <v>12</v>
      </c>
      <c r="B14423" s="0" t="n">
        <v>4466895</v>
      </c>
      <c r="C14423" s="0" t="n">
        <v>4466915</v>
      </c>
      <c r="D14423" s="0" t="s">
        <v>47931</v>
      </c>
      <c r="E14423" s="0" t="s">
        <v>75</v>
      </c>
      <c r="F14423" s="0" t="s">
        <v>15</v>
      </c>
      <c r="G14423" s="0" t="s">
        <v>36</v>
      </c>
      <c r="H14423" s="0" t="n">
        <v>0</v>
      </c>
      <c r="I14423" s="0" t="s">
        <v>47932</v>
      </c>
      <c r="J14423" s="0" t="s">
        <v>47933</v>
      </c>
      <c r="K14423" s="0" t="s">
        <v>47934</v>
      </c>
      <c r="L14423" s="0" t="str">
        <f aca="false">HYPERLINK("https://www.ncbi.nlm.nih.gov/nuccore/CP000058.1?report=graph&amp;tracks=[key:gene_model_track,Options:GeneOnly]&amp;mk=4466896:4466915|offset_0|00cc00,4466916:4466935|offset_20|444444,4466943:4466962|offset_47|444444,4466964:4466983|offset_68|444444&amp;v=4466695:4467183&amp;c=444444", "offset 0")</f>
        <v>offset 0</v>
      </c>
    </row>
    <row r="14424" customFormat="false" ht="12.8" hidden="false" customHeight="false" outlineLevel="0" collapsed="false">
      <c r="A14424" s="0" t="s">
        <v>12</v>
      </c>
      <c r="B14424" s="0" t="n">
        <v>4466915</v>
      </c>
      <c r="C14424" s="0" t="n">
        <v>4466935</v>
      </c>
      <c r="D14424" s="0" t="s">
        <v>47931</v>
      </c>
      <c r="E14424" s="0" t="s">
        <v>75</v>
      </c>
      <c r="F14424" s="0" t="s">
        <v>15</v>
      </c>
      <c r="G14424" s="0" t="s">
        <v>20</v>
      </c>
      <c r="H14424" s="0" t="n">
        <v>20</v>
      </c>
      <c r="I14424" s="0" t="s">
        <v>47935</v>
      </c>
      <c r="J14424" s="0" t="s">
        <v>47936</v>
      </c>
      <c r="K14424" s="0" t="s">
        <v>47937</v>
      </c>
      <c r="L14424" s="0" t="str">
        <f aca="false">HYPERLINK("https://www.ncbi.nlm.nih.gov/nuccore/CP000058.1?report=graph&amp;tracks=[key:gene_model_track,Options:GeneOnly]&amp;mk=4466896:4466915|offset_0|444444,4466916:4466935|offset_20|00cc00,4466943:4466962|offset_47|444444,4466964:4466983|offset_68|444444&amp;v=4466695:4467183&amp;c=444444", "offset 20")</f>
        <v>offset 20</v>
      </c>
    </row>
    <row r="14425" customFormat="false" ht="12.8" hidden="false" customHeight="false" outlineLevel="0" collapsed="false">
      <c r="A14425" s="0" t="s">
        <v>12</v>
      </c>
      <c r="B14425" s="0" t="n">
        <v>4466942</v>
      </c>
      <c r="C14425" s="0" t="n">
        <v>4466962</v>
      </c>
      <c r="D14425" s="0" t="s">
        <v>47931</v>
      </c>
      <c r="E14425" s="0" t="s">
        <v>75</v>
      </c>
      <c r="F14425" s="0" t="s">
        <v>15</v>
      </c>
      <c r="G14425" s="0" t="s">
        <v>36</v>
      </c>
      <c r="H14425" s="0" t="n">
        <v>47</v>
      </c>
      <c r="I14425" s="0" t="s">
        <v>47938</v>
      </c>
      <c r="J14425" s="0" t="s">
        <v>47939</v>
      </c>
      <c r="K14425" s="0" t="s">
        <v>47940</v>
      </c>
      <c r="L14425" s="0" t="str">
        <f aca="false">HYPERLINK("https://www.ncbi.nlm.nih.gov/nuccore/CP000058.1?report=graph&amp;tracks=[key:gene_model_track,Options:GeneOnly]&amp;mk=4466896:4466915|offset_0|444444,4466916:4466935|offset_20|444444,4466943:4466962|offset_47|00cc00,4466964:4466983|offset_68|444444&amp;v=4466695:4467183&amp;c=444444", "offset 47")</f>
        <v>offset 47</v>
      </c>
    </row>
    <row r="14426" customFormat="false" ht="12.8" hidden="false" customHeight="false" outlineLevel="0" collapsed="false">
      <c r="A14426" s="0" t="s">
        <v>12</v>
      </c>
      <c r="B14426" s="0" t="n">
        <v>4466963</v>
      </c>
      <c r="C14426" s="0" t="n">
        <v>4466983</v>
      </c>
      <c r="D14426" s="0" t="s">
        <v>47931</v>
      </c>
      <c r="E14426" s="0" t="s">
        <v>75</v>
      </c>
      <c r="F14426" s="0" t="s">
        <v>15</v>
      </c>
      <c r="G14426" s="0" t="s">
        <v>32</v>
      </c>
      <c r="H14426" s="0" t="n">
        <v>68</v>
      </c>
      <c r="I14426" s="0" t="s">
        <v>47941</v>
      </c>
      <c r="J14426" s="0" t="s">
        <v>47942</v>
      </c>
      <c r="K14426" s="0" t="s">
        <v>47943</v>
      </c>
      <c r="L14426" s="0" t="str">
        <f aca="false">HYPERLINK("https://www.ncbi.nlm.nih.gov/nuccore/CP000058.1?report=graph&amp;tracks=[key:gene_model_track,Options:GeneOnly]&amp;mk=4466896:4466915|offset_0|444444,4466916:4466935|offset_20|444444,4466943:4466962|offset_47|444444,4466964:4466983|offset_68|00cc00&amp;v=4466695:4467183&amp;c=444444", "offset 68")</f>
        <v>offset 68</v>
      </c>
    </row>
    <row r="14427" customFormat="false" ht="12.8" hidden="false" customHeight="false" outlineLevel="0" collapsed="false">
      <c r="A14427" s="0" t="s">
        <v>12</v>
      </c>
      <c r="B14427" s="0" t="n">
        <v>4468949</v>
      </c>
      <c r="C14427" s="0" t="n">
        <v>4468969</v>
      </c>
      <c r="D14427" s="0" t="s">
        <v>47944</v>
      </c>
      <c r="E14427" s="0" t="s">
        <v>75</v>
      </c>
      <c r="F14427" s="0" t="s">
        <v>90</v>
      </c>
      <c r="G14427" s="0" t="s">
        <v>16</v>
      </c>
      <c r="H14427" s="0" t="n">
        <v>34</v>
      </c>
      <c r="I14427" s="0" t="s">
        <v>47945</v>
      </c>
      <c r="J14427" s="0" t="s">
        <v>47946</v>
      </c>
      <c r="K14427" s="0" t="s">
        <v>47947</v>
      </c>
      <c r="L14427" s="0" t="str">
        <f aca="false">HYPERLINK("https://www.ncbi.nlm.nih.gov/nuccore/CP000058.1?report=graph&amp;tracks=[key:gene_model_track,Options:GeneOnly]&amp;mk=4468950:4468969|offset_34|00cc00,4468919:4468938|offset_65|444444,4468862:4468881|offset_122|444444,4468838:4468857|offset_146|444444&amp;v=4468749:4469057&amp;c=444444", "offset 34")</f>
        <v>offset 34</v>
      </c>
    </row>
    <row r="14428" customFormat="false" ht="12.8" hidden="false" customHeight="false" outlineLevel="0" collapsed="false">
      <c r="A14428" s="0" t="s">
        <v>12</v>
      </c>
      <c r="B14428" s="0" t="n">
        <v>4468918</v>
      </c>
      <c r="C14428" s="0" t="n">
        <v>4468938</v>
      </c>
      <c r="D14428" s="0" t="s">
        <v>47944</v>
      </c>
      <c r="E14428" s="0" t="s">
        <v>75</v>
      </c>
      <c r="F14428" s="0" t="s">
        <v>90</v>
      </c>
      <c r="G14428" s="0" t="s">
        <v>20</v>
      </c>
      <c r="H14428" s="0" t="n">
        <v>65</v>
      </c>
      <c r="I14428" s="0" t="s">
        <v>47948</v>
      </c>
      <c r="J14428" s="0" t="s">
        <v>47949</v>
      </c>
      <c r="K14428" s="0" t="s">
        <v>47950</v>
      </c>
      <c r="L14428" s="0" t="str">
        <f aca="false">HYPERLINK("https://www.ncbi.nlm.nih.gov/nuccore/CP000058.1?report=graph&amp;tracks=[key:gene_model_track,Options:GeneOnly]&amp;mk=4468950:4468969|offset_34|444444,4468919:4468938|offset_65|00cc00,4468862:4468881|offset_122|444444,4468838:4468857|offset_146|444444&amp;v=4468749:4469057&amp;c=444444", "offset 65")</f>
        <v>offset 65</v>
      </c>
    </row>
    <row r="14429" customFormat="false" ht="12.8" hidden="false" customHeight="false" outlineLevel="0" collapsed="false">
      <c r="A14429" s="0" t="s">
        <v>12</v>
      </c>
      <c r="B14429" s="0" t="n">
        <v>4468861</v>
      </c>
      <c r="C14429" s="0" t="n">
        <v>4468881</v>
      </c>
      <c r="D14429" s="0" t="s">
        <v>47944</v>
      </c>
      <c r="E14429" s="0" t="s">
        <v>75</v>
      </c>
      <c r="F14429" s="0" t="s">
        <v>90</v>
      </c>
      <c r="G14429" s="0" t="s">
        <v>32</v>
      </c>
      <c r="H14429" s="0" t="n">
        <v>122</v>
      </c>
      <c r="I14429" s="0" t="s">
        <v>47951</v>
      </c>
      <c r="J14429" s="0" t="s">
        <v>47952</v>
      </c>
      <c r="K14429" s="0" t="s">
        <v>47953</v>
      </c>
      <c r="L14429" s="0" t="str">
        <f aca="false">HYPERLINK("https://www.ncbi.nlm.nih.gov/nuccore/CP000058.1?report=graph&amp;tracks=[key:gene_model_track,Options:GeneOnly]&amp;mk=4468950:4468969|offset_34|444444,4468919:4468938|offset_65|444444,4468862:4468881|offset_122|00cc00,4468838:4468857|offset_146|444444&amp;v=4468749:4469057&amp;c=444444", "offset 122")</f>
        <v>offset 122</v>
      </c>
    </row>
    <row r="14430" customFormat="false" ht="12.8" hidden="false" customHeight="false" outlineLevel="0" collapsed="false">
      <c r="A14430" s="0" t="s">
        <v>12</v>
      </c>
      <c r="B14430" s="0" t="n">
        <v>4468837</v>
      </c>
      <c r="C14430" s="0" t="n">
        <v>4468857</v>
      </c>
      <c r="D14430" s="0" t="s">
        <v>47944</v>
      </c>
      <c r="E14430" s="0" t="s">
        <v>75</v>
      </c>
      <c r="F14430" s="0" t="s">
        <v>90</v>
      </c>
      <c r="G14430" s="0" t="s">
        <v>36</v>
      </c>
      <c r="H14430" s="0" t="n">
        <v>146</v>
      </c>
      <c r="I14430" s="0" t="s">
        <v>47954</v>
      </c>
      <c r="J14430" s="0" t="s">
        <v>47955</v>
      </c>
      <c r="K14430" s="0" t="s">
        <v>47956</v>
      </c>
      <c r="L14430" s="0" t="str">
        <f aca="false">HYPERLINK("https://www.ncbi.nlm.nih.gov/nuccore/CP000058.1?report=graph&amp;tracks=[key:gene_model_track,Options:GeneOnly]&amp;mk=4468950:4468969|offset_34|444444,4468919:4468938|offset_65|444444,4468862:4468881|offset_122|444444,4468838:4468857|offset_146|00cc00&amp;v=4468749:4469057&amp;c=444444", "offset 146")</f>
        <v>offset 146</v>
      </c>
    </row>
    <row r="14431" customFormat="false" ht="12.8" hidden="false" customHeight="false" outlineLevel="0" collapsed="false">
      <c r="A14431" s="0" t="s">
        <v>12</v>
      </c>
      <c r="B14431" s="0" t="n">
        <v>4470931</v>
      </c>
      <c r="C14431" s="0" t="n">
        <v>4470951</v>
      </c>
      <c r="D14431" s="0" t="s">
        <v>47957</v>
      </c>
      <c r="E14431" s="0" t="s">
        <v>75</v>
      </c>
      <c r="F14431" s="0" t="s">
        <v>90</v>
      </c>
      <c r="G14431" s="0" t="s">
        <v>36</v>
      </c>
      <c r="H14431" s="0" t="n">
        <v>42</v>
      </c>
      <c r="I14431" s="0" t="s">
        <v>47958</v>
      </c>
      <c r="J14431" s="0" t="s">
        <v>47959</v>
      </c>
      <c r="K14431" s="0" t="s">
        <v>47960</v>
      </c>
      <c r="L14431" s="0" t="str">
        <f aca="false">HYPERLINK("https://www.ncbi.nlm.nih.gov/nuccore/CP000058.1?report=graph&amp;tracks=[key:gene_model_track,Options:GeneOnly]&amp;mk=4470932:4470951|offset_42|00cc00,4470904:4470923|offset_70|444444,4470864:4470883|offset_110|444444,4470799:4470818|offset_175|444444&amp;v=4470731:4471018&amp;c=444444", "offset 42")</f>
        <v>offset 42</v>
      </c>
    </row>
    <row r="14432" customFormat="false" ht="12.8" hidden="false" customHeight="false" outlineLevel="0" collapsed="false">
      <c r="A14432" s="0" t="s">
        <v>12</v>
      </c>
      <c r="B14432" s="0" t="n">
        <v>4470903</v>
      </c>
      <c r="C14432" s="0" t="n">
        <v>4470923</v>
      </c>
      <c r="D14432" s="0" t="s">
        <v>47957</v>
      </c>
      <c r="E14432" s="0" t="s">
        <v>75</v>
      </c>
      <c r="F14432" s="0" t="s">
        <v>90</v>
      </c>
      <c r="G14432" s="0" t="s">
        <v>36</v>
      </c>
      <c r="H14432" s="0" t="n">
        <v>70</v>
      </c>
      <c r="I14432" s="0" t="s">
        <v>47961</v>
      </c>
      <c r="J14432" s="0" t="s">
        <v>47962</v>
      </c>
      <c r="K14432" s="0" t="s">
        <v>47963</v>
      </c>
      <c r="L14432" s="0" t="str">
        <f aca="false">HYPERLINK("https://www.ncbi.nlm.nih.gov/nuccore/CP000058.1?report=graph&amp;tracks=[key:gene_model_track,Options:GeneOnly]&amp;mk=4470932:4470951|offset_42|444444,4470904:4470923|offset_70|00cc00,4470864:4470883|offset_110|444444,4470799:4470818|offset_175|444444&amp;v=4470731:4471018&amp;c=444444", "offset 70")</f>
        <v>offset 70</v>
      </c>
    </row>
    <row r="14433" customFormat="false" ht="12.8" hidden="false" customHeight="false" outlineLevel="0" collapsed="false">
      <c r="A14433" s="0" t="s">
        <v>12</v>
      </c>
      <c r="B14433" s="0" t="n">
        <v>4470863</v>
      </c>
      <c r="C14433" s="0" t="n">
        <v>4470883</v>
      </c>
      <c r="D14433" s="0" t="s">
        <v>47957</v>
      </c>
      <c r="E14433" s="0" t="s">
        <v>75</v>
      </c>
      <c r="F14433" s="0" t="s">
        <v>90</v>
      </c>
      <c r="G14433" s="0" t="s">
        <v>16</v>
      </c>
      <c r="H14433" s="0" t="n">
        <v>110</v>
      </c>
      <c r="I14433" s="0" t="s">
        <v>47964</v>
      </c>
      <c r="J14433" s="0" t="s">
        <v>47965</v>
      </c>
      <c r="K14433" s="0" t="s">
        <v>47966</v>
      </c>
      <c r="L14433" s="0" t="str">
        <f aca="false">HYPERLINK("https://www.ncbi.nlm.nih.gov/nuccore/CP000058.1?report=graph&amp;tracks=[key:gene_model_track,Options:GeneOnly]&amp;mk=4470932:4470951|offset_42|444444,4470904:4470923|offset_70|444444,4470864:4470883|offset_110|00cc00,4470799:4470818|offset_175|444444&amp;v=4470731:4471018&amp;c=444444", "offset 110")</f>
        <v>offset 110</v>
      </c>
    </row>
    <row r="14434" customFormat="false" ht="12.8" hidden="false" customHeight="false" outlineLevel="0" collapsed="false">
      <c r="A14434" s="0" t="s">
        <v>12</v>
      </c>
      <c r="B14434" s="0" t="n">
        <v>4470798</v>
      </c>
      <c r="C14434" s="0" t="n">
        <v>4470818</v>
      </c>
      <c r="D14434" s="0" t="s">
        <v>47957</v>
      </c>
      <c r="E14434" s="0" t="s">
        <v>75</v>
      </c>
      <c r="F14434" s="0" t="s">
        <v>90</v>
      </c>
      <c r="G14434" s="0" t="s">
        <v>16</v>
      </c>
      <c r="H14434" s="0" t="n">
        <v>175</v>
      </c>
      <c r="I14434" s="0" t="s">
        <v>47967</v>
      </c>
      <c r="J14434" s="0" t="s">
        <v>47968</v>
      </c>
      <c r="K14434" s="0" t="s">
        <v>47969</v>
      </c>
      <c r="L14434" s="0" t="str">
        <f aca="false">HYPERLINK("https://www.ncbi.nlm.nih.gov/nuccore/CP000058.1?report=graph&amp;tracks=[key:gene_model_track,Options:GeneOnly]&amp;mk=4470932:4470951|offset_42|444444,4470904:4470923|offset_70|444444,4470864:4470883|offset_110|444444,4470799:4470818|offset_175|00cc00&amp;v=4470731:4471018&amp;c=444444", "offset 175")</f>
        <v>offset 175</v>
      </c>
    </row>
    <row r="14435" customFormat="false" ht="12.8" hidden="false" customHeight="false" outlineLevel="0" collapsed="false">
      <c r="A14435" s="0" t="s">
        <v>12</v>
      </c>
      <c r="B14435" s="0" t="n">
        <v>4471053</v>
      </c>
      <c r="C14435" s="0" t="n">
        <v>4471073</v>
      </c>
      <c r="D14435" s="0" t="s">
        <v>47970</v>
      </c>
      <c r="E14435" s="0" t="s">
        <v>47971</v>
      </c>
      <c r="F14435" s="0" t="s">
        <v>15</v>
      </c>
      <c r="G14435" s="0" t="s">
        <v>32</v>
      </c>
      <c r="H14435" s="0" t="n">
        <v>17</v>
      </c>
      <c r="I14435" s="0" t="s">
        <v>47972</v>
      </c>
      <c r="J14435" s="0" t="s">
        <v>47973</v>
      </c>
      <c r="K14435" s="0" t="s">
        <v>47974</v>
      </c>
      <c r="L14435" s="0" t="str">
        <f aca="false">HYPERLINK("https://www.ncbi.nlm.nih.gov/nuccore/CP000058.1?report=graph&amp;tracks=[key:gene_model_track,Options:GeneOnly]&amp;mk=4471054:4471073|offset_17|00cc00,4471074:4471093|offset_37|444444,4471104:4471123|offset_67|444444,4471140:4471159|offset_103|444444&amp;v=4470853:4471359&amp;c=444444", "offset 17")</f>
        <v>offset 17</v>
      </c>
    </row>
    <row r="14436" customFormat="false" ht="12.8" hidden="false" customHeight="false" outlineLevel="0" collapsed="false">
      <c r="A14436" s="0" t="s">
        <v>12</v>
      </c>
      <c r="B14436" s="0" t="n">
        <v>4471073</v>
      </c>
      <c r="C14436" s="0" t="n">
        <v>4471093</v>
      </c>
      <c r="D14436" s="0" t="s">
        <v>47970</v>
      </c>
      <c r="E14436" s="0" t="s">
        <v>47971</v>
      </c>
      <c r="F14436" s="0" t="s">
        <v>15</v>
      </c>
      <c r="G14436" s="0" t="s">
        <v>36</v>
      </c>
      <c r="H14436" s="0" t="n">
        <v>37</v>
      </c>
      <c r="I14436" s="0" t="s">
        <v>47975</v>
      </c>
      <c r="J14436" s="0" t="s">
        <v>47976</v>
      </c>
      <c r="K14436" s="0" t="s">
        <v>47977</v>
      </c>
      <c r="L14436" s="0" t="str">
        <f aca="false">HYPERLINK("https://www.ncbi.nlm.nih.gov/nuccore/CP000058.1?report=graph&amp;tracks=[key:gene_model_track,Options:GeneOnly]&amp;mk=4471054:4471073|offset_17|444444,4471074:4471093|offset_37|00cc00,4471104:4471123|offset_67|444444,4471140:4471159|offset_103|444444&amp;v=4470853:4471359&amp;c=444444", "offset 37")</f>
        <v>offset 37</v>
      </c>
    </row>
    <row r="14437" customFormat="false" ht="12.8" hidden="false" customHeight="false" outlineLevel="0" collapsed="false">
      <c r="A14437" s="0" t="s">
        <v>12</v>
      </c>
      <c r="B14437" s="0" t="n">
        <v>4471103</v>
      </c>
      <c r="C14437" s="0" t="n">
        <v>4471123</v>
      </c>
      <c r="D14437" s="0" t="s">
        <v>47970</v>
      </c>
      <c r="E14437" s="0" t="s">
        <v>47971</v>
      </c>
      <c r="F14437" s="0" t="s">
        <v>15</v>
      </c>
      <c r="G14437" s="0" t="s">
        <v>16</v>
      </c>
      <c r="H14437" s="0" t="n">
        <v>67</v>
      </c>
      <c r="I14437" s="0" t="s">
        <v>47978</v>
      </c>
      <c r="J14437" s="0" t="s">
        <v>47979</v>
      </c>
      <c r="K14437" s="0" t="s">
        <v>47980</v>
      </c>
      <c r="L14437" s="0" t="str">
        <f aca="false">HYPERLINK("https://www.ncbi.nlm.nih.gov/nuccore/CP000058.1?report=graph&amp;tracks=[key:gene_model_track,Options:GeneOnly]&amp;mk=4471054:4471073|offset_17|444444,4471074:4471093|offset_37|444444,4471104:4471123|offset_67|00cc00,4471140:4471159|offset_103|444444&amp;v=4470853:4471359&amp;c=444444", "offset 67")</f>
        <v>offset 67</v>
      </c>
    </row>
    <row r="14438" customFormat="false" ht="12.8" hidden="false" customHeight="false" outlineLevel="0" collapsed="false">
      <c r="A14438" s="0" t="s">
        <v>12</v>
      </c>
      <c r="B14438" s="0" t="n">
        <v>4471139</v>
      </c>
      <c r="C14438" s="0" t="n">
        <v>4471159</v>
      </c>
      <c r="D14438" s="0" t="s">
        <v>47970</v>
      </c>
      <c r="E14438" s="0" t="s">
        <v>47971</v>
      </c>
      <c r="F14438" s="0" t="s">
        <v>15</v>
      </c>
      <c r="G14438" s="0" t="s">
        <v>36</v>
      </c>
      <c r="H14438" s="0" t="n">
        <v>103</v>
      </c>
      <c r="I14438" s="0" t="s">
        <v>47981</v>
      </c>
      <c r="J14438" s="0" t="s">
        <v>47982</v>
      </c>
      <c r="K14438" s="0" t="s">
        <v>47983</v>
      </c>
      <c r="L14438" s="0" t="str">
        <f aca="false">HYPERLINK("https://www.ncbi.nlm.nih.gov/nuccore/CP000058.1?report=graph&amp;tracks=[key:gene_model_track,Options:GeneOnly]&amp;mk=4471054:4471073|offset_17|444444,4471074:4471093|offset_37|444444,4471104:4471123|offset_67|444444,4471140:4471159|offset_103|00cc00&amp;v=4470853:4471359&amp;c=444444", "offset 103")</f>
        <v>offset 103</v>
      </c>
    </row>
    <row r="14439" customFormat="false" ht="12.8" hidden="false" customHeight="false" outlineLevel="0" collapsed="false">
      <c r="A14439" s="0" t="s">
        <v>12</v>
      </c>
      <c r="B14439" s="0" t="n">
        <v>4472369</v>
      </c>
      <c r="C14439" s="0" t="n">
        <v>4472389</v>
      </c>
      <c r="D14439" s="0" t="s">
        <v>47984</v>
      </c>
      <c r="E14439" s="0" t="s">
        <v>75</v>
      </c>
      <c r="F14439" s="0" t="s">
        <v>90</v>
      </c>
      <c r="G14439" s="0" t="s">
        <v>16</v>
      </c>
      <c r="H14439" s="0" t="n">
        <v>14</v>
      </c>
      <c r="I14439" s="0" t="s">
        <v>47985</v>
      </c>
      <c r="J14439" s="0" t="s">
        <v>47986</v>
      </c>
      <c r="K14439" s="0" t="s">
        <v>47987</v>
      </c>
      <c r="L14439" s="0" t="str">
        <f aca="false">HYPERLINK("https://www.ncbi.nlm.nih.gov/nuccore/CP000058.1?report=graph&amp;tracks=[key:gene_model_track,Options:GeneOnly]&amp;mk=4472370:4472389|offset_14|00cc00,4472334:4472353|offset_50|444444,4472288:4472307|offset_96|444444,4472261:4472280|offset_123|444444&amp;v=4472169:4472480&amp;c=444444", "offset 14")</f>
        <v>offset 14</v>
      </c>
    </row>
    <row r="14440" customFormat="false" ht="12.8" hidden="false" customHeight="false" outlineLevel="0" collapsed="false">
      <c r="A14440" s="0" t="s">
        <v>12</v>
      </c>
      <c r="B14440" s="0" t="n">
        <v>4472333</v>
      </c>
      <c r="C14440" s="0" t="n">
        <v>4472353</v>
      </c>
      <c r="D14440" s="0" t="s">
        <v>47984</v>
      </c>
      <c r="E14440" s="0" t="s">
        <v>75</v>
      </c>
      <c r="F14440" s="0" t="s">
        <v>90</v>
      </c>
      <c r="G14440" s="0" t="s">
        <v>16</v>
      </c>
      <c r="H14440" s="0" t="n">
        <v>50</v>
      </c>
      <c r="I14440" s="0" t="s">
        <v>47988</v>
      </c>
      <c r="J14440" s="0" t="s">
        <v>47989</v>
      </c>
      <c r="K14440" s="0" t="s">
        <v>47990</v>
      </c>
      <c r="L14440" s="0" t="str">
        <f aca="false">HYPERLINK("https://www.ncbi.nlm.nih.gov/nuccore/CP000058.1?report=graph&amp;tracks=[key:gene_model_track,Options:GeneOnly]&amp;mk=4472370:4472389|offset_14|444444,4472334:4472353|offset_50|00cc00,4472288:4472307|offset_96|444444,4472261:4472280|offset_123|444444&amp;v=4472169:4472480&amp;c=444444", "offset 50")</f>
        <v>offset 50</v>
      </c>
    </row>
    <row r="14441" customFormat="false" ht="12.8" hidden="false" customHeight="false" outlineLevel="0" collapsed="false">
      <c r="A14441" s="0" t="s">
        <v>12</v>
      </c>
      <c r="B14441" s="0" t="n">
        <v>4472287</v>
      </c>
      <c r="C14441" s="0" t="n">
        <v>4472307</v>
      </c>
      <c r="D14441" s="0" t="s">
        <v>47984</v>
      </c>
      <c r="E14441" s="0" t="s">
        <v>75</v>
      </c>
      <c r="F14441" s="0" t="s">
        <v>90</v>
      </c>
      <c r="G14441" s="0" t="s">
        <v>16</v>
      </c>
      <c r="H14441" s="0" t="n">
        <v>96</v>
      </c>
      <c r="I14441" s="0" t="s">
        <v>47991</v>
      </c>
      <c r="J14441" s="0" t="s">
        <v>47992</v>
      </c>
      <c r="K14441" s="0" t="s">
        <v>47993</v>
      </c>
      <c r="L14441" s="0" t="str">
        <f aca="false">HYPERLINK("https://www.ncbi.nlm.nih.gov/nuccore/CP000058.1?report=graph&amp;tracks=[key:gene_model_track,Options:GeneOnly]&amp;mk=4472370:4472389|offset_14|444444,4472334:4472353|offset_50|444444,4472288:4472307|offset_96|00cc00,4472261:4472280|offset_123|444444&amp;v=4472169:4472480&amp;c=444444", "offset 96")</f>
        <v>offset 96</v>
      </c>
    </row>
    <row r="14442" customFormat="false" ht="12.8" hidden="false" customHeight="false" outlineLevel="0" collapsed="false">
      <c r="A14442" s="0" t="s">
        <v>12</v>
      </c>
      <c r="B14442" s="0" t="n">
        <v>4472260</v>
      </c>
      <c r="C14442" s="0" t="n">
        <v>4472280</v>
      </c>
      <c r="D14442" s="0" t="s">
        <v>47984</v>
      </c>
      <c r="E14442" s="0" t="s">
        <v>75</v>
      </c>
      <c r="F14442" s="0" t="s">
        <v>90</v>
      </c>
      <c r="G14442" s="0" t="s">
        <v>16</v>
      </c>
      <c r="H14442" s="0" t="n">
        <v>123</v>
      </c>
      <c r="I14442" s="0" t="s">
        <v>47994</v>
      </c>
      <c r="J14442" s="0" t="s">
        <v>47995</v>
      </c>
      <c r="K14442" s="0" t="s">
        <v>47996</v>
      </c>
      <c r="L14442" s="0" t="str">
        <f aca="false">HYPERLINK("https://www.ncbi.nlm.nih.gov/nuccore/CP000058.1?report=graph&amp;tracks=[key:gene_model_track,Options:GeneOnly]&amp;mk=4472370:4472389|offset_14|444444,4472334:4472353|offset_50|444444,4472288:4472307|offset_96|444444,4472261:4472280|offset_123|00cc00&amp;v=4472169:4472480&amp;c=444444", "offset 123")</f>
        <v>offset 123</v>
      </c>
    </row>
    <row r="14443" customFormat="false" ht="12.8" hidden="false" customHeight="false" outlineLevel="0" collapsed="false">
      <c r="A14443" s="0" t="s">
        <v>12</v>
      </c>
      <c r="B14443" s="0" t="n">
        <v>4473452</v>
      </c>
      <c r="C14443" s="0" t="n">
        <v>4473472</v>
      </c>
      <c r="D14443" s="0" t="s">
        <v>47997</v>
      </c>
      <c r="E14443" s="0" t="s">
        <v>47998</v>
      </c>
      <c r="F14443" s="0" t="s">
        <v>90</v>
      </c>
      <c r="G14443" s="0" t="s">
        <v>32</v>
      </c>
      <c r="H14443" s="0" t="n">
        <v>19</v>
      </c>
      <c r="I14443" s="0" t="s">
        <v>47999</v>
      </c>
      <c r="J14443" s="0" t="s">
        <v>48000</v>
      </c>
      <c r="K14443" s="0" t="s">
        <v>48001</v>
      </c>
      <c r="L14443" s="0" t="str">
        <f aca="false">HYPERLINK("https://www.ncbi.nlm.nih.gov/nuccore/CP000058.1?report=graph&amp;tracks=[key:gene_model_track,Options:GeneOnly]&amp;mk=4473453:4473472|offset_19|00cc00,4473432:4473451|offset_40|444444,4473357:4473376|offset_115|444444,4473332:4473351|offset_140|444444&amp;v=4473252:4473551&amp;c=444444", "offset 19")</f>
        <v>offset 19</v>
      </c>
    </row>
    <row r="14444" customFormat="false" ht="12.8" hidden="false" customHeight="false" outlineLevel="0" collapsed="false">
      <c r="A14444" s="0" t="s">
        <v>12</v>
      </c>
      <c r="B14444" s="0" t="n">
        <v>4473431</v>
      </c>
      <c r="C14444" s="0" t="n">
        <v>4473451</v>
      </c>
      <c r="D14444" s="0" t="s">
        <v>47997</v>
      </c>
      <c r="E14444" s="0" t="s">
        <v>47998</v>
      </c>
      <c r="F14444" s="0" t="s">
        <v>90</v>
      </c>
      <c r="G14444" s="0" t="s">
        <v>32</v>
      </c>
      <c r="H14444" s="0" t="n">
        <v>40</v>
      </c>
      <c r="I14444" s="0" t="s">
        <v>48002</v>
      </c>
      <c r="J14444" s="0" t="s">
        <v>48003</v>
      </c>
      <c r="K14444" s="0" t="s">
        <v>48004</v>
      </c>
      <c r="L14444" s="0" t="str">
        <f aca="false">HYPERLINK("https://www.ncbi.nlm.nih.gov/nuccore/CP000058.1?report=graph&amp;tracks=[key:gene_model_track,Options:GeneOnly]&amp;mk=4473453:4473472|offset_19|444444,4473432:4473451|offset_40|00cc00,4473357:4473376|offset_115|444444,4473332:4473351|offset_140|444444&amp;v=4473252:4473551&amp;c=444444", "offset 40")</f>
        <v>offset 40</v>
      </c>
    </row>
    <row r="14445" customFormat="false" ht="12.8" hidden="false" customHeight="false" outlineLevel="0" collapsed="false">
      <c r="A14445" s="0" t="s">
        <v>12</v>
      </c>
      <c r="B14445" s="0" t="n">
        <v>4473356</v>
      </c>
      <c r="C14445" s="0" t="n">
        <v>4473376</v>
      </c>
      <c r="D14445" s="0" t="s">
        <v>47997</v>
      </c>
      <c r="E14445" s="0" t="s">
        <v>47998</v>
      </c>
      <c r="F14445" s="0" t="s">
        <v>90</v>
      </c>
      <c r="G14445" s="0" t="s">
        <v>36</v>
      </c>
      <c r="H14445" s="0" t="n">
        <v>115</v>
      </c>
      <c r="I14445" s="0" t="s">
        <v>48005</v>
      </c>
      <c r="J14445" s="0" t="s">
        <v>48006</v>
      </c>
      <c r="K14445" s="0" t="s">
        <v>48007</v>
      </c>
      <c r="L14445" s="0" t="str">
        <f aca="false">HYPERLINK("https://www.ncbi.nlm.nih.gov/nuccore/CP000058.1?report=graph&amp;tracks=[key:gene_model_track,Options:GeneOnly]&amp;mk=4473453:4473472|offset_19|444444,4473432:4473451|offset_40|444444,4473357:4473376|offset_115|00cc00,4473332:4473351|offset_140|444444&amp;v=4473252:4473551&amp;c=444444", "offset 115")</f>
        <v>offset 115</v>
      </c>
    </row>
    <row r="14446" customFormat="false" ht="12.8" hidden="false" customHeight="false" outlineLevel="0" collapsed="false">
      <c r="A14446" s="0" t="s">
        <v>12</v>
      </c>
      <c r="B14446" s="0" t="n">
        <v>4473331</v>
      </c>
      <c r="C14446" s="0" t="n">
        <v>4473351</v>
      </c>
      <c r="D14446" s="0" t="s">
        <v>47997</v>
      </c>
      <c r="E14446" s="0" t="s">
        <v>47998</v>
      </c>
      <c r="F14446" s="0" t="s">
        <v>90</v>
      </c>
      <c r="G14446" s="0" t="s">
        <v>16</v>
      </c>
      <c r="H14446" s="0" t="n">
        <v>140</v>
      </c>
      <c r="I14446" s="0" t="s">
        <v>48008</v>
      </c>
      <c r="J14446" s="0" t="s">
        <v>48009</v>
      </c>
      <c r="K14446" s="0" t="s">
        <v>48010</v>
      </c>
      <c r="L14446" s="0" t="str">
        <f aca="false">HYPERLINK("https://www.ncbi.nlm.nih.gov/nuccore/CP000058.1?report=graph&amp;tracks=[key:gene_model_track,Options:GeneOnly]&amp;mk=4473453:4473472|offset_19|444444,4473432:4473451|offset_40|444444,4473357:4473376|offset_115|444444,4473332:4473351|offset_140|00cc00&amp;v=4473252:4473551&amp;c=444444", "offset 140")</f>
        <v>offset 140</v>
      </c>
    </row>
    <row r="14447" customFormat="false" ht="12.8" hidden="false" customHeight="false" outlineLevel="0" collapsed="false">
      <c r="A14447" s="0" t="s">
        <v>12</v>
      </c>
      <c r="B14447" s="0" t="n">
        <v>4473606</v>
      </c>
      <c r="C14447" s="0" t="n">
        <v>4473626</v>
      </c>
      <c r="D14447" s="0" t="s">
        <v>48011</v>
      </c>
      <c r="E14447" s="0" t="s">
        <v>75</v>
      </c>
      <c r="F14447" s="0" t="s">
        <v>90</v>
      </c>
      <c r="G14447" s="0" t="s">
        <v>16</v>
      </c>
      <c r="H14447" s="0" t="n">
        <v>0</v>
      </c>
      <c r="I14447" s="0" t="s">
        <v>48012</v>
      </c>
      <c r="J14447" s="0" t="s">
        <v>48013</v>
      </c>
      <c r="K14447" s="0" t="s">
        <v>48014</v>
      </c>
      <c r="L14447" s="0" t="str">
        <f aca="false">HYPERLINK("https://www.ncbi.nlm.nih.gov/nuccore/CP000058.1?report=graph&amp;tracks=[key:gene_model_track,Options:GeneOnly]&amp;mk=4473607:4473626|offset_0|00cc00,4473580:4473599|offset_27|444444,4473559:4473578|offset_48|444444,4473539:4473558|offset_68|444444&amp;v=4473406:4473758&amp;c=444444", "offset 0")</f>
        <v>offset 0</v>
      </c>
    </row>
    <row r="14448" customFormat="false" ht="12.8" hidden="false" customHeight="false" outlineLevel="0" collapsed="false">
      <c r="A14448" s="0" t="s">
        <v>12</v>
      </c>
      <c r="B14448" s="0" t="n">
        <v>4473579</v>
      </c>
      <c r="C14448" s="0" t="n">
        <v>4473599</v>
      </c>
      <c r="D14448" s="0" t="s">
        <v>48011</v>
      </c>
      <c r="E14448" s="0" t="s">
        <v>75</v>
      </c>
      <c r="F14448" s="0" t="s">
        <v>90</v>
      </c>
      <c r="G14448" s="0" t="s">
        <v>36</v>
      </c>
      <c r="H14448" s="0" t="n">
        <v>27</v>
      </c>
      <c r="I14448" s="0" t="s">
        <v>48015</v>
      </c>
      <c r="J14448" s="0" t="s">
        <v>48016</v>
      </c>
      <c r="K14448" s="0" t="s">
        <v>48017</v>
      </c>
      <c r="L14448" s="0" t="str">
        <f aca="false">HYPERLINK("https://www.ncbi.nlm.nih.gov/nuccore/CP000058.1?report=graph&amp;tracks=[key:gene_model_track,Options:GeneOnly]&amp;mk=4473607:4473626|offset_0|444444,4473580:4473599|offset_27|00cc00,4473559:4473578|offset_48|444444,4473539:4473558|offset_68|444444&amp;v=4473406:4473758&amp;c=444444", "offset 27")</f>
        <v>offset 27</v>
      </c>
    </row>
    <row r="14449" customFormat="false" ht="12.8" hidden="false" customHeight="false" outlineLevel="0" collapsed="false">
      <c r="A14449" s="0" t="s">
        <v>12</v>
      </c>
      <c r="B14449" s="0" t="n">
        <v>4473558</v>
      </c>
      <c r="C14449" s="0" t="n">
        <v>4473578</v>
      </c>
      <c r="D14449" s="0" t="s">
        <v>48011</v>
      </c>
      <c r="E14449" s="0" t="s">
        <v>75</v>
      </c>
      <c r="F14449" s="0" t="s">
        <v>90</v>
      </c>
      <c r="G14449" s="0" t="s">
        <v>20</v>
      </c>
      <c r="H14449" s="0" t="n">
        <v>48</v>
      </c>
      <c r="I14449" s="0" t="s">
        <v>48018</v>
      </c>
      <c r="J14449" s="0" t="s">
        <v>48019</v>
      </c>
      <c r="K14449" s="0" t="s">
        <v>48020</v>
      </c>
      <c r="L14449" s="0" t="str">
        <f aca="false">HYPERLINK("https://www.ncbi.nlm.nih.gov/nuccore/CP000058.1?report=graph&amp;tracks=[key:gene_model_track,Options:GeneOnly]&amp;mk=4473607:4473626|offset_0|444444,4473580:4473599|offset_27|444444,4473559:4473578|offset_48|00cc00,4473539:4473558|offset_68|444444&amp;v=4473406:4473758&amp;c=444444", "offset 48")</f>
        <v>offset 48</v>
      </c>
    </row>
    <row r="14450" customFormat="false" ht="12.8" hidden="false" customHeight="false" outlineLevel="0" collapsed="false">
      <c r="A14450" s="0" t="s">
        <v>12</v>
      </c>
      <c r="B14450" s="0" t="n">
        <v>4473538</v>
      </c>
      <c r="C14450" s="0" t="n">
        <v>4473558</v>
      </c>
      <c r="D14450" s="0" t="s">
        <v>48011</v>
      </c>
      <c r="E14450" s="0" t="s">
        <v>75</v>
      </c>
      <c r="F14450" s="0" t="s">
        <v>90</v>
      </c>
      <c r="G14450" s="0" t="s">
        <v>32</v>
      </c>
      <c r="H14450" s="0" t="n">
        <v>68</v>
      </c>
      <c r="I14450" s="0" t="s">
        <v>48021</v>
      </c>
      <c r="J14450" s="0" t="s">
        <v>48022</v>
      </c>
      <c r="K14450" s="0" t="s">
        <v>48023</v>
      </c>
      <c r="L14450" s="0" t="str">
        <f aca="false">HYPERLINK("https://www.ncbi.nlm.nih.gov/nuccore/CP000058.1?report=graph&amp;tracks=[key:gene_model_track,Options:GeneOnly]&amp;mk=4473607:4473626|offset_0|444444,4473580:4473599|offset_27|444444,4473559:4473578|offset_48|444444,4473539:4473558|offset_68|00cc00&amp;v=4473406:4473758&amp;c=444444", "offset 68")</f>
        <v>offset 68</v>
      </c>
    </row>
    <row r="14451" customFormat="false" ht="12.8" hidden="false" customHeight="false" outlineLevel="0" collapsed="false">
      <c r="A14451" s="0" t="s">
        <v>12</v>
      </c>
      <c r="B14451" s="0" t="n">
        <v>4473750</v>
      </c>
      <c r="C14451" s="0" t="n">
        <v>4473770</v>
      </c>
      <c r="D14451" s="0" t="s">
        <v>48024</v>
      </c>
      <c r="E14451" s="0" t="s">
        <v>75</v>
      </c>
      <c r="F14451" s="0" t="s">
        <v>90</v>
      </c>
      <c r="G14451" s="0" t="s">
        <v>32</v>
      </c>
      <c r="H14451" s="0" t="n">
        <v>7</v>
      </c>
      <c r="I14451" s="0" t="s">
        <v>48025</v>
      </c>
      <c r="J14451" s="0" t="s">
        <v>48026</v>
      </c>
      <c r="K14451" s="0" t="s">
        <v>48027</v>
      </c>
      <c r="L14451" s="0" t="str">
        <f aca="false">HYPERLINK("https://www.ncbi.nlm.nih.gov/nuccore/CP000058.1?report=graph&amp;tracks=[key:gene_model_track,Options:GeneOnly]&amp;mk=4473751:4473770|offset_7|00cc00,4473727:4473746|offset_31|444444,4473706:4473725|offset_52|444444,4473667:4473686|offset_91|444444&amp;v=4473550:4473886&amp;c=444444", "offset 7")</f>
        <v>offset 7</v>
      </c>
    </row>
    <row r="14452" customFormat="false" ht="12.8" hidden="false" customHeight="false" outlineLevel="0" collapsed="false">
      <c r="A14452" s="0" t="s">
        <v>12</v>
      </c>
      <c r="B14452" s="0" t="n">
        <v>4473726</v>
      </c>
      <c r="C14452" s="0" t="n">
        <v>4473746</v>
      </c>
      <c r="D14452" s="0" t="s">
        <v>48024</v>
      </c>
      <c r="E14452" s="0" t="s">
        <v>75</v>
      </c>
      <c r="F14452" s="0" t="s">
        <v>90</v>
      </c>
      <c r="G14452" s="0" t="s">
        <v>16</v>
      </c>
      <c r="H14452" s="0" t="n">
        <v>31</v>
      </c>
      <c r="I14452" s="0" t="s">
        <v>48028</v>
      </c>
      <c r="J14452" s="0" t="s">
        <v>48029</v>
      </c>
      <c r="K14452" s="0" t="s">
        <v>48030</v>
      </c>
      <c r="L14452" s="0" t="str">
        <f aca="false">HYPERLINK("https://www.ncbi.nlm.nih.gov/nuccore/CP000058.1?report=graph&amp;tracks=[key:gene_model_track,Options:GeneOnly]&amp;mk=4473751:4473770|offset_7|444444,4473727:4473746|offset_31|00cc00,4473706:4473725|offset_52|444444,4473667:4473686|offset_91|444444&amp;v=4473550:4473886&amp;c=444444", "offset 31")</f>
        <v>offset 31</v>
      </c>
    </row>
    <row r="14453" customFormat="false" ht="12.8" hidden="false" customHeight="false" outlineLevel="0" collapsed="false">
      <c r="A14453" s="0" t="s">
        <v>12</v>
      </c>
      <c r="B14453" s="0" t="n">
        <v>4473705</v>
      </c>
      <c r="C14453" s="0" t="n">
        <v>4473725</v>
      </c>
      <c r="D14453" s="0" t="s">
        <v>48024</v>
      </c>
      <c r="E14453" s="0" t="s">
        <v>75</v>
      </c>
      <c r="F14453" s="0" t="s">
        <v>90</v>
      </c>
      <c r="G14453" s="0" t="s">
        <v>32</v>
      </c>
      <c r="H14453" s="0" t="n">
        <v>52</v>
      </c>
      <c r="I14453" s="0" t="s">
        <v>48031</v>
      </c>
      <c r="J14453" s="0" t="s">
        <v>48032</v>
      </c>
      <c r="K14453" s="0" t="s">
        <v>48033</v>
      </c>
      <c r="L14453" s="0" t="str">
        <f aca="false">HYPERLINK("https://www.ncbi.nlm.nih.gov/nuccore/CP000058.1?report=graph&amp;tracks=[key:gene_model_track,Options:GeneOnly]&amp;mk=4473751:4473770|offset_7|444444,4473727:4473746|offset_31|444444,4473706:4473725|offset_52|00cc00,4473667:4473686|offset_91|444444&amp;v=4473550:4473886&amp;c=444444", "offset 52")</f>
        <v>offset 52</v>
      </c>
    </row>
    <row r="14454" customFormat="false" ht="12.8" hidden="false" customHeight="false" outlineLevel="0" collapsed="false">
      <c r="A14454" s="0" t="s">
        <v>12</v>
      </c>
      <c r="B14454" s="0" t="n">
        <v>4473666</v>
      </c>
      <c r="C14454" s="0" t="n">
        <v>4473686</v>
      </c>
      <c r="D14454" s="0" t="s">
        <v>48024</v>
      </c>
      <c r="E14454" s="0" t="s">
        <v>75</v>
      </c>
      <c r="F14454" s="0" t="s">
        <v>90</v>
      </c>
      <c r="G14454" s="0" t="s">
        <v>32</v>
      </c>
      <c r="H14454" s="0" t="n">
        <v>91</v>
      </c>
      <c r="I14454" s="0" t="s">
        <v>48034</v>
      </c>
      <c r="J14454" s="0" t="s">
        <v>48035</v>
      </c>
      <c r="K14454" s="0" t="s">
        <v>48036</v>
      </c>
      <c r="L14454" s="0" t="str">
        <f aca="false">HYPERLINK("https://www.ncbi.nlm.nih.gov/nuccore/CP000058.1?report=graph&amp;tracks=[key:gene_model_track,Options:GeneOnly]&amp;mk=4473751:4473770|offset_7|444444,4473727:4473746|offset_31|444444,4473706:4473725|offset_52|444444,4473667:4473686|offset_91|00cc00&amp;v=4473550:4473886&amp;c=444444", "offset 91")</f>
        <v>offset 91</v>
      </c>
    </row>
    <row r="14455" customFormat="false" ht="12.8" hidden="false" customHeight="false" outlineLevel="0" collapsed="false">
      <c r="A14455" s="0" t="s">
        <v>12</v>
      </c>
      <c r="B14455" s="0" t="n">
        <v>4474262</v>
      </c>
      <c r="C14455" s="0" t="n">
        <v>4474282</v>
      </c>
      <c r="D14455" s="0" t="s">
        <v>48037</v>
      </c>
      <c r="E14455" s="0" t="s">
        <v>75</v>
      </c>
      <c r="F14455" s="0" t="s">
        <v>15</v>
      </c>
      <c r="G14455" s="0" t="s">
        <v>20</v>
      </c>
      <c r="H14455" s="0" t="n">
        <v>44</v>
      </c>
      <c r="I14455" s="0" t="s">
        <v>48038</v>
      </c>
      <c r="J14455" s="0" t="s">
        <v>48039</v>
      </c>
      <c r="K14455" s="0" t="s">
        <v>48040</v>
      </c>
      <c r="L14455" s="0" t="str">
        <f aca="false">HYPERLINK("https://www.ncbi.nlm.nih.gov/nuccore/CP000058.1?report=graph&amp;tracks=[key:gene_model_track,Options:GeneOnly]&amp;mk=4474263:4474282|offset_44|00cc00,4474297:4474316|offset_78|444444,4474322:4474341|offset_103|444444,4474373:4474392|offset_154|444444&amp;v=4474062:4474592&amp;c=444444", "offset 44")</f>
        <v>offset 44</v>
      </c>
    </row>
    <row r="14456" customFormat="false" ht="12.8" hidden="false" customHeight="false" outlineLevel="0" collapsed="false">
      <c r="A14456" s="0" t="s">
        <v>12</v>
      </c>
      <c r="B14456" s="0" t="n">
        <v>4474296</v>
      </c>
      <c r="C14456" s="0" t="n">
        <v>4474316</v>
      </c>
      <c r="D14456" s="0" t="s">
        <v>48037</v>
      </c>
      <c r="E14456" s="0" t="s">
        <v>75</v>
      </c>
      <c r="F14456" s="0" t="s">
        <v>15</v>
      </c>
      <c r="G14456" s="0" t="s">
        <v>16</v>
      </c>
      <c r="H14456" s="0" t="n">
        <v>78</v>
      </c>
      <c r="I14456" s="0" t="s">
        <v>48041</v>
      </c>
      <c r="J14456" s="0" t="s">
        <v>48042</v>
      </c>
      <c r="K14456" s="0" t="s">
        <v>48043</v>
      </c>
      <c r="L14456" s="0" t="str">
        <f aca="false">HYPERLINK("https://www.ncbi.nlm.nih.gov/nuccore/CP000058.1?report=graph&amp;tracks=[key:gene_model_track,Options:GeneOnly]&amp;mk=4474263:4474282|offset_44|444444,4474297:4474316|offset_78|00cc00,4474322:4474341|offset_103|444444,4474373:4474392|offset_154|444444&amp;v=4474062:4474592&amp;c=444444", "offset 78")</f>
        <v>offset 78</v>
      </c>
    </row>
    <row r="14457" customFormat="false" ht="12.8" hidden="false" customHeight="false" outlineLevel="0" collapsed="false">
      <c r="A14457" s="0" t="s">
        <v>12</v>
      </c>
      <c r="B14457" s="0" t="n">
        <v>4474321</v>
      </c>
      <c r="C14457" s="0" t="n">
        <v>4474341</v>
      </c>
      <c r="D14457" s="0" t="s">
        <v>48037</v>
      </c>
      <c r="E14457" s="0" t="s">
        <v>75</v>
      </c>
      <c r="F14457" s="0" t="s">
        <v>15</v>
      </c>
      <c r="G14457" s="0" t="s">
        <v>16</v>
      </c>
      <c r="H14457" s="0" t="n">
        <v>103</v>
      </c>
      <c r="I14457" s="0" t="s">
        <v>48044</v>
      </c>
      <c r="J14457" s="0" t="s">
        <v>48045</v>
      </c>
      <c r="K14457" s="0" t="s">
        <v>48046</v>
      </c>
      <c r="L14457" s="0" t="str">
        <f aca="false">HYPERLINK("https://www.ncbi.nlm.nih.gov/nuccore/CP000058.1?report=graph&amp;tracks=[key:gene_model_track,Options:GeneOnly]&amp;mk=4474263:4474282|offset_44|444444,4474297:4474316|offset_78|444444,4474322:4474341|offset_103|00cc00,4474373:4474392|offset_154|444444&amp;v=4474062:4474592&amp;c=444444", "offset 103")</f>
        <v>offset 103</v>
      </c>
    </row>
    <row r="14458" customFormat="false" ht="12.8" hidden="false" customHeight="false" outlineLevel="0" collapsed="false">
      <c r="A14458" s="0" t="s">
        <v>12</v>
      </c>
      <c r="B14458" s="0" t="n">
        <v>4474372</v>
      </c>
      <c r="C14458" s="0" t="n">
        <v>4474392</v>
      </c>
      <c r="D14458" s="0" t="s">
        <v>48037</v>
      </c>
      <c r="E14458" s="0" t="s">
        <v>75</v>
      </c>
      <c r="F14458" s="0" t="s">
        <v>15</v>
      </c>
      <c r="G14458" s="0" t="s">
        <v>16</v>
      </c>
      <c r="H14458" s="0" t="n">
        <v>154</v>
      </c>
      <c r="I14458" s="0" t="s">
        <v>48047</v>
      </c>
      <c r="J14458" s="0" t="s">
        <v>48048</v>
      </c>
      <c r="K14458" s="0" t="s">
        <v>48049</v>
      </c>
      <c r="L14458" s="0" t="str">
        <f aca="false">HYPERLINK("https://www.ncbi.nlm.nih.gov/nuccore/CP000058.1?report=graph&amp;tracks=[key:gene_model_track,Options:GeneOnly]&amp;mk=4474263:4474282|offset_44|444444,4474297:4474316|offset_78|444444,4474322:4474341|offset_103|444444,4474373:4474392|offset_154|00cc00&amp;v=4474062:4474592&amp;c=444444", "offset 154")</f>
        <v>offset 154</v>
      </c>
    </row>
    <row r="14459" customFormat="false" ht="12.8" hidden="false" customHeight="false" outlineLevel="0" collapsed="false">
      <c r="A14459" s="0" t="s">
        <v>12</v>
      </c>
      <c r="B14459" s="0" t="n">
        <v>4475444</v>
      </c>
      <c r="C14459" s="0" t="n">
        <v>4475464</v>
      </c>
      <c r="D14459" s="0" t="s">
        <v>48050</v>
      </c>
      <c r="E14459" s="0" t="s">
        <v>75</v>
      </c>
      <c r="F14459" s="0" t="s">
        <v>15</v>
      </c>
      <c r="G14459" s="0" t="s">
        <v>32</v>
      </c>
      <c r="H14459" s="0" t="n">
        <v>0</v>
      </c>
      <c r="I14459" s="0" t="s">
        <v>48051</v>
      </c>
      <c r="J14459" s="0" t="s">
        <v>48052</v>
      </c>
      <c r="K14459" s="0" t="s">
        <v>48053</v>
      </c>
      <c r="L14459" s="0" t="str">
        <f aca="false">HYPERLINK("https://www.ncbi.nlm.nih.gov/nuccore/CP000058.1?report=graph&amp;tracks=[key:gene_model_track,Options:GeneOnly]&amp;mk=4475445:4475464|offset_0|00cc00,4475481:4475500|offset_36|444444,4475520:4475539|offset_75|444444,4475541:4475560|offset_96|444444&amp;v=4475244:4475760&amp;c=444444", "offset 0")</f>
        <v>offset 0</v>
      </c>
    </row>
    <row r="14460" customFormat="false" ht="12.8" hidden="false" customHeight="false" outlineLevel="0" collapsed="false">
      <c r="A14460" s="0" t="s">
        <v>12</v>
      </c>
      <c r="B14460" s="0" t="n">
        <v>4475480</v>
      </c>
      <c r="C14460" s="0" t="n">
        <v>4475500</v>
      </c>
      <c r="D14460" s="0" t="s">
        <v>48050</v>
      </c>
      <c r="E14460" s="0" t="s">
        <v>75</v>
      </c>
      <c r="F14460" s="0" t="s">
        <v>15</v>
      </c>
      <c r="G14460" s="0" t="s">
        <v>16</v>
      </c>
      <c r="H14460" s="0" t="n">
        <v>36</v>
      </c>
      <c r="I14460" s="0" t="s">
        <v>48054</v>
      </c>
      <c r="J14460" s="0" t="s">
        <v>48055</v>
      </c>
      <c r="K14460" s="0" t="s">
        <v>48056</v>
      </c>
      <c r="L14460" s="0" t="str">
        <f aca="false">HYPERLINK("https://www.ncbi.nlm.nih.gov/nuccore/CP000058.1?report=graph&amp;tracks=[key:gene_model_track,Options:GeneOnly]&amp;mk=4475445:4475464|offset_0|444444,4475481:4475500|offset_36|00cc00,4475520:4475539|offset_75|444444,4475541:4475560|offset_96|444444&amp;v=4475244:4475760&amp;c=444444", "offset 36")</f>
        <v>offset 36</v>
      </c>
    </row>
    <row r="14461" customFormat="false" ht="12.8" hidden="false" customHeight="false" outlineLevel="0" collapsed="false">
      <c r="A14461" s="0" t="s">
        <v>12</v>
      </c>
      <c r="B14461" s="0" t="n">
        <v>4475519</v>
      </c>
      <c r="C14461" s="0" t="n">
        <v>4475539</v>
      </c>
      <c r="D14461" s="0" t="s">
        <v>48050</v>
      </c>
      <c r="E14461" s="0" t="s">
        <v>75</v>
      </c>
      <c r="F14461" s="0" t="s">
        <v>15</v>
      </c>
      <c r="G14461" s="0" t="s">
        <v>20</v>
      </c>
      <c r="H14461" s="0" t="n">
        <v>75</v>
      </c>
      <c r="I14461" s="0" t="s">
        <v>48057</v>
      </c>
      <c r="J14461" s="0" t="s">
        <v>48058</v>
      </c>
      <c r="K14461" s="0" t="s">
        <v>48059</v>
      </c>
      <c r="L14461" s="0" t="str">
        <f aca="false">HYPERLINK("https://www.ncbi.nlm.nih.gov/nuccore/CP000058.1?report=graph&amp;tracks=[key:gene_model_track,Options:GeneOnly]&amp;mk=4475445:4475464|offset_0|444444,4475481:4475500|offset_36|444444,4475520:4475539|offset_75|00cc00,4475541:4475560|offset_96|444444&amp;v=4475244:4475760&amp;c=444444", "offset 75")</f>
        <v>offset 75</v>
      </c>
    </row>
    <row r="14462" customFormat="false" ht="12.8" hidden="false" customHeight="false" outlineLevel="0" collapsed="false">
      <c r="A14462" s="0" t="s">
        <v>12</v>
      </c>
      <c r="B14462" s="0" t="n">
        <v>4475540</v>
      </c>
      <c r="C14462" s="0" t="n">
        <v>4475560</v>
      </c>
      <c r="D14462" s="0" t="s">
        <v>48050</v>
      </c>
      <c r="E14462" s="0" t="s">
        <v>75</v>
      </c>
      <c r="F14462" s="0" t="s">
        <v>15</v>
      </c>
      <c r="G14462" s="0" t="s">
        <v>16</v>
      </c>
      <c r="H14462" s="0" t="n">
        <v>96</v>
      </c>
      <c r="I14462" s="0" t="s">
        <v>48060</v>
      </c>
      <c r="J14462" s="0" t="s">
        <v>48061</v>
      </c>
      <c r="K14462" s="0" t="s">
        <v>48062</v>
      </c>
      <c r="L14462" s="0" t="str">
        <f aca="false">HYPERLINK("https://www.ncbi.nlm.nih.gov/nuccore/CP000058.1?report=graph&amp;tracks=[key:gene_model_track,Options:GeneOnly]&amp;mk=4475445:4475464|offset_0|444444,4475481:4475500|offset_36|444444,4475520:4475539|offset_75|444444,4475541:4475560|offset_96|00cc00&amp;v=4475244:4475760&amp;c=444444", "offset 96")</f>
        <v>offset 96</v>
      </c>
    </row>
    <row r="14463" customFormat="false" ht="12.8" hidden="false" customHeight="false" outlineLevel="0" collapsed="false">
      <c r="A14463" s="0" t="s">
        <v>12</v>
      </c>
      <c r="B14463" s="0" t="n">
        <v>4476555</v>
      </c>
      <c r="C14463" s="0" t="n">
        <v>4476575</v>
      </c>
      <c r="D14463" s="0" t="s">
        <v>48063</v>
      </c>
      <c r="E14463" s="0" t="s">
        <v>75</v>
      </c>
      <c r="F14463" s="0" t="s">
        <v>90</v>
      </c>
      <c r="G14463" s="0" t="s">
        <v>32</v>
      </c>
      <c r="H14463" s="0" t="n">
        <v>15</v>
      </c>
      <c r="I14463" s="0" t="s">
        <v>48064</v>
      </c>
      <c r="J14463" s="0" t="s">
        <v>48065</v>
      </c>
      <c r="K14463" s="0" t="s">
        <v>48066</v>
      </c>
      <c r="L14463" s="0" t="str">
        <f aca="false">HYPERLINK("https://www.ncbi.nlm.nih.gov/nuccore/CP000058.1?report=graph&amp;tracks=[key:gene_model_track,Options:GeneOnly]&amp;mk=4476556:4476575|offset_15|00cc00,4476525:4476544|offset_46|444444,4476483:4476502|offset_88|444444,4476415:4476434|offset_156|444444&amp;v=4476355:4476634&amp;c=444444", "offset 15")</f>
        <v>offset 15</v>
      </c>
    </row>
    <row r="14464" customFormat="false" ht="12.8" hidden="false" customHeight="false" outlineLevel="0" collapsed="false">
      <c r="A14464" s="0" t="s">
        <v>12</v>
      </c>
      <c r="B14464" s="0" t="n">
        <v>4476524</v>
      </c>
      <c r="C14464" s="0" t="n">
        <v>4476544</v>
      </c>
      <c r="D14464" s="0" t="s">
        <v>48063</v>
      </c>
      <c r="E14464" s="0" t="s">
        <v>75</v>
      </c>
      <c r="F14464" s="0" t="s">
        <v>90</v>
      </c>
      <c r="G14464" s="0" t="s">
        <v>32</v>
      </c>
      <c r="H14464" s="0" t="n">
        <v>46</v>
      </c>
      <c r="I14464" s="0" t="s">
        <v>48067</v>
      </c>
      <c r="J14464" s="0" t="s">
        <v>48068</v>
      </c>
      <c r="K14464" s="0" t="s">
        <v>48069</v>
      </c>
      <c r="L14464" s="0" t="str">
        <f aca="false">HYPERLINK("https://www.ncbi.nlm.nih.gov/nuccore/CP000058.1?report=graph&amp;tracks=[key:gene_model_track,Options:GeneOnly]&amp;mk=4476556:4476575|offset_15|444444,4476525:4476544|offset_46|00cc00,4476483:4476502|offset_88|444444,4476415:4476434|offset_156|444444&amp;v=4476355:4476634&amp;c=444444", "offset 46")</f>
        <v>offset 46</v>
      </c>
    </row>
    <row r="14465" customFormat="false" ht="12.8" hidden="false" customHeight="false" outlineLevel="0" collapsed="false">
      <c r="A14465" s="0" t="s">
        <v>12</v>
      </c>
      <c r="B14465" s="0" t="n">
        <v>4476482</v>
      </c>
      <c r="C14465" s="0" t="n">
        <v>4476502</v>
      </c>
      <c r="D14465" s="0" t="s">
        <v>48063</v>
      </c>
      <c r="E14465" s="0" t="s">
        <v>75</v>
      </c>
      <c r="F14465" s="0" t="s">
        <v>90</v>
      </c>
      <c r="G14465" s="0" t="s">
        <v>16</v>
      </c>
      <c r="H14465" s="0" t="n">
        <v>88</v>
      </c>
      <c r="I14465" s="0" t="s">
        <v>48070</v>
      </c>
      <c r="J14465" s="0" t="s">
        <v>48071</v>
      </c>
      <c r="K14465" s="0" t="s">
        <v>48072</v>
      </c>
      <c r="L14465" s="0" t="str">
        <f aca="false">HYPERLINK("https://www.ncbi.nlm.nih.gov/nuccore/CP000058.1?report=graph&amp;tracks=[key:gene_model_track,Options:GeneOnly]&amp;mk=4476556:4476575|offset_15|444444,4476525:4476544|offset_46|444444,4476483:4476502|offset_88|00cc00,4476415:4476434|offset_156|444444&amp;v=4476355:4476634&amp;c=444444", "offset 88")</f>
        <v>offset 88</v>
      </c>
    </row>
    <row r="14466" customFormat="false" ht="12.8" hidden="false" customHeight="false" outlineLevel="0" collapsed="false">
      <c r="A14466" s="0" t="s">
        <v>12</v>
      </c>
      <c r="B14466" s="0" t="n">
        <v>4476414</v>
      </c>
      <c r="C14466" s="0" t="n">
        <v>4476434</v>
      </c>
      <c r="D14466" s="0" t="s">
        <v>48063</v>
      </c>
      <c r="E14466" s="0" t="s">
        <v>75</v>
      </c>
      <c r="F14466" s="0" t="s">
        <v>90</v>
      </c>
      <c r="G14466" s="0" t="s">
        <v>20</v>
      </c>
      <c r="H14466" s="0" t="n">
        <v>156</v>
      </c>
      <c r="I14466" s="0" t="s">
        <v>48073</v>
      </c>
      <c r="J14466" s="0" t="s">
        <v>48074</v>
      </c>
      <c r="K14466" s="0" t="s">
        <v>48075</v>
      </c>
      <c r="L14466" s="0" t="str">
        <f aca="false">HYPERLINK("https://www.ncbi.nlm.nih.gov/nuccore/CP000058.1?report=graph&amp;tracks=[key:gene_model_track,Options:GeneOnly]&amp;mk=4476556:4476575|offset_15|444444,4476525:4476544|offset_46|444444,4476483:4476502|offset_88|444444,4476415:4476434|offset_156|00cc00&amp;v=4476355:4476634&amp;c=444444", "offset 156")</f>
        <v>offset 156</v>
      </c>
    </row>
    <row r="14467" customFormat="false" ht="12.8" hidden="false" customHeight="false" outlineLevel="0" collapsed="false">
      <c r="A14467" s="0" t="s">
        <v>12</v>
      </c>
      <c r="B14467" s="0" t="n">
        <v>4476996</v>
      </c>
      <c r="C14467" s="0" t="n">
        <v>4477016</v>
      </c>
      <c r="D14467" s="0" t="s">
        <v>48076</v>
      </c>
      <c r="E14467" s="0" t="s">
        <v>75</v>
      </c>
      <c r="F14467" s="0" t="s">
        <v>15</v>
      </c>
      <c r="G14467" s="0" t="s">
        <v>20</v>
      </c>
      <c r="H14467" s="0" t="n">
        <v>6</v>
      </c>
      <c r="I14467" s="0" t="s">
        <v>48077</v>
      </c>
      <c r="J14467" s="0" t="s">
        <v>48078</v>
      </c>
      <c r="K14467" s="0" t="s">
        <v>48079</v>
      </c>
      <c r="L14467" s="0" t="str">
        <f aca="false">HYPERLINK("https://www.ncbi.nlm.nih.gov/nuccore/CP000058.1?report=graph&amp;tracks=[key:gene_model_track,Options:GeneOnly]&amp;mk=4476997:4477016|offset_6|00cc00,4477020:4477039|offset_29|444444,4477041:4477060|offset_50|444444,4477064:4477083|offset_73|444444&amp;v=4476796:4477283&amp;c=444444", "offset 6")</f>
        <v>offset 6</v>
      </c>
    </row>
    <row r="14468" customFormat="false" ht="12.8" hidden="false" customHeight="false" outlineLevel="0" collapsed="false">
      <c r="A14468" s="0" t="s">
        <v>12</v>
      </c>
      <c r="B14468" s="0" t="n">
        <v>4477019</v>
      </c>
      <c r="C14468" s="0" t="n">
        <v>4477039</v>
      </c>
      <c r="D14468" s="0" t="s">
        <v>48076</v>
      </c>
      <c r="E14468" s="0" t="s">
        <v>75</v>
      </c>
      <c r="F14468" s="0" t="s">
        <v>15</v>
      </c>
      <c r="G14468" s="0" t="s">
        <v>16</v>
      </c>
      <c r="H14468" s="0" t="n">
        <v>29</v>
      </c>
      <c r="I14468" s="0" t="s">
        <v>48080</v>
      </c>
      <c r="J14468" s="0" t="s">
        <v>48081</v>
      </c>
      <c r="K14468" s="0" t="s">
        <v>48082</v>
      </c>
      <c r="L14468" s="0" t="str">
        <f aca="false">HYPERLINK("https://www.ncbi.nlm.nih.gov/nuccore/CP000058.1?report=graph&amp;tracks=[key:gene_model_track,Options:GeneOnly]&amp;mk=4476997:4477016|offset_6|444444,4477020:4477039|offset_29|00cc00,4477041:4477060|offset_50|444444,4477064:4477083|offset_73|444444&amp;v=4476796:4477283&amp;c=444444", "offset 29")</f>
        <v>offset 29</v>
      </c>
    </row>
    <row r="14469" customFormat="false" ht="12.8" hidden="false" customHeight="false" outlineLevel="0" collapsed="false">
      <c r="A14469" s="0" t="s">
        <v>12</v>
      </c>
      <c r="B14469" s="0" t="n">
        <v>4477040</v>
      </c>
      <c r="C14469" s="0" t="n">
        <v>4477060</v>
      </c>
      <c r="D14469" s="0" t="s">
        <v>48076</v>
      </c>
      <c r="E14469" s="0" t="s">
        <v>75</v>
      </c>
      <c r="F14469" s="0" t="s">
        <v>15</v>
      </c>
      <c r="G14469" s="0" t="s">
        <v>32</v>
      </c>
      <c r="H14469" s="0" t="n">
        <v>50</v>
      </c>
      <c r="I14469" s="0" t="s">
        <v>48083</v>
      </c>
      <c r="J14469" s="0" t="s">
        <v>48084</v>
      </c>
      <c r="K14469" s="0" t="s">
        <v>48085</v>
      </c>
      <c r="L14469" s="0" t="str">
        <f aca="false">HYPERLINK("https://www.ncbi.nlm.nih.gov/nuccore/CP000058.1?report=graph&amp;tracks=[key:gene_model_track,Options:GeneOnly]&amp;mk=4476997:4477016|offset_6|444444,4477020:4477039|offset_29|444444,4477041:4477060|offset_50|00cc00,4477064:4477083|offset_73|444444&amp;v=4476796:4477283&amp;c=444444", "offset 50")</f>
        <v>offset 50</v>
      </c>
    </row>
    <row r="14470" customFormat="false" ht="12.8" hidden="false" customHeight="false" outlineLevel="0" collapsed="false">
      <c r="A14470" s="0" t="s">
        <v>12</v>
      </c>
      <c r="B14470" s="0" t="n">
        <v>4477063</v>
      </c>
      <c r="C14470" s="0" t="n">
        <v>4477083</v>
      </c>
      <c r="D14470" s="0" t="s">
        <v>48076</v>
      </c>
      <c r="E14470" s="0" t="s">
        <v>75</v>
      </c>
      <c r="F14470" s="0" t="s">
        <v>15</v>
      </c>
      <c r="G14470" s="0" t="s">
        <v>32</v>
      </c>
      <c r="H14470" s="0" t="n">
        <v>73</v>
      </c>
      <c r="I14470" s="0" t="s">
        <v>48086</v>
      </c>
      <c r="J14470" s="0" t="s">
        <v>48087</v>
      </c>
      <c r="K14470" s="0" t="s">
        <v>48088</v>
      </c>
      <c r="L14470" s="0" t="str">
        <f aca="false">HYPERLINK("https://www.ncbi.nlm.nih.gov/nuccore/CP000058.1?report=graph&amp;tracks=[key:gene_model_track,Options:GeneOnly]&amp;mk=4476997:4477016|offset_6|444444,4477020:4477039|offset_29|444444,4477041:4477060|offset_50|444444,4477064:4477083|offset_73|00cc00&amp;v=4476796:4477283&amp;c=444444", "offset 73")</f>
        <v>offset 73</v>
      </c>
    </row>
    <row r="14471" customFormat="false" ht="12.8" hidden="false" customHeight="false" outlineLevel="0" collapsed="false">
      <c r="A14471" s="0" t="s">
        <v>12</v>
      </c>
      <c r="B14471" s="0" t="n">
        <v>4477708</v>
      </c>
      <c r="C14471" s="0" t="n">
        <v>4477728</v>
      </c>
      <c r="D14471" s="0" t="s">
        <v>48089</v>
      </c>
      <c r="E14471" s="0" t="s">
        <v>75</v>
      </c>
      <c r="F14471" s="0" t="s">
        <v>15</v>
      </c>
      <c r="G14471" s="0" t="s">
        <v>20</v>
      </c>
      <c r="H14471" s="0" t="n">
        <v>39</v>
      </c>
      <c r="I14471" s="0" t="s">
        <v>48090</v>
      </c>
      <c r="J14471" s="0" t="s">
        <v>48091</v>
      </c>
      <c r="K14471" s="0" t="s">
        <v>48092</v>
      </c>
      <c r="L14471" s="0" t="str">
        <f aca="false">HYPERLINK("https://www.ncbi.nlm.nih.gov/nuccore/CP000058.1?report=graph&amp;tracks=[key:gene_model_track,Options:GeneOnly]&amp;mk=4477709:4477728|offset_39|00cc00,4477729:4477748|offset_59|444444,4477760:4477779|offset_90|444444,4477829:4477848|offset_159|444444&amp;v=4477508:4478048&amp;c=444444", "offset 39")</f>
        <v>offset 39</v>
      </c>
    </row>
    <row r="14472" customFormat="false" ht="12.8" hidden="false" customHeight="false" outlineLevel="0" collapsed="false">
      <c r="A14472" s="0" t="s">
        <v>12</v>
      </c>
      <c r="B14472" s="0" t="n">
        <v>4477728</v>
      </c>
      <c r="C14472" s="0" t="n">
        <v>4477748</v>
      </c>
      <c r="D14472" s="0" t="s">
        <v>48089</v>
      </c>
      <c r="E14472" s="0" t="s">
        <v>75</v>
      </c>
      <c r="F14472" s="0" t="s">
        <v>15</v>
      </c>
      <c r="G14472" s="0" t="s">
        <v>36</v>
      </c>
      <c r="H14472" s="0" t="n">
        <v>59</v>
      </c>
      <c r="I14472" s="0" t="s">
        <v>48093</v>
      </c>
      <c r="J14472" s="0" t="s">
        <v>48094</v>
      </c>
      <c r="K14472" s="0" t="s">
        <v>48095</v>
      </c>
      <c r="L14472" s="0" t="str">
        <f aca="false">HYPERLINK("https://www.ncbi.nlm.nih.gov/nuccore/CP000058.1?report=graph&amp;tracks=[key:gene_model_track,Options:GeneOnly]&amp;mk=4477709:4477728|offset_39|444444,4477729:4477748|offset_59|00cc00,4477760:4477779|offset_90|444444,4477829:4477848|offset_159|444444&amp;v=4477508:4478048&amp;c=444444", "offset 59")</f>
        <v>offset 59</v>
      </c>
    </row>
    <row r="14473" customFormat="false" ht="12.8" hidden="false" customHeight="false" outlineLevel="0" collapsed="false">
      <c r="A14473" s="0" t="s">
        <v>12</v>
      </c>
      <c r="B14473" s="0" t="n">
        <v>4477759</v>
      </c>
      <c r="C14473" s="0" t="n">
        <v>4477779</v>
      </c>
      <c r="D14473" s="0" t="s">
        <v>48089</v>
      </c>
      <c r="E14473" s="0" t="s">
        <v>75</v>
      </c>
      <c r="F14473" s="0" t="s">
        <v>15</v>
      </c>
      <c r="G14473" s="0" t="s">
        <v>20</v>
      </c>
      <c r="H14473" s="0" t="n">
        <v>90</v>
      </c>
      <c r="I14473" s="0" t="s">
        <v>48096</v>
      </c>
      <c r="J14473" s="0" t="s">
        <v>48097</v>
      </c>
      <c r="K14473" s="0" t="s">
        <v>48098</v>
      </c>
      <c r="L14473" s="0" t="str">
        <f aca="false">HYPERLINK("https://www.ncbi.nlm.nih.gov/nuccore/CP000058.1?report=graph&amp;tracks=[key:gene_model_track,Options:GeneOnly]&amp;mk=4477709:4477728|offset_39|444444,4477729:4477748|offset_59|444444,4477760:4477779|offset_90|00cc00,4477829:4477848|offset_159|444444&amp;v=4477508:4478048&amp;c=444444", "offset 90")</f>
        <v>offset 90</v>
      </c>
    </row>
    <row r="14474" customFormat="false" ht="12.8" hidden="false" customHeight="false" outlineLevel="0" collapsed="false">
      <c r="A14474" s="0" t="s">
        <v>12</v>
      </c>
      <c r="B14474" s="0" t="n">
        <v>4477828</v>
      </c>
      <c r="C14474" s="0" t="n">
        <v>4477848</v>
      </c>
      <c r="D14474" s="0" t="s">
        <v>48089</v>
      </c>
      <c r="E14474" s="0" t="s">
        <v>75</v>
      </c>
      <c r="F14474" s="0" t="s">
        <v>15</v>
      </c>
      <c r="G14474" s="0" t="s">
        <v>16</v>
      </c>
      <c r="H14474" s="0" t="n">
        <v>159</v>
      </c>
      <c r="I14474" s="0" t="s">
        <v>48099</v>
      </c>
      <c r="J14474" s="0" t="s">
        <v>48100</v>
      </c>
      <c r="K14474" s="0" t="s">
        <v>48101</v>
      </c>
      <c r="L14474" s="0" t="str">
        <f aca="false">HYPERLINK("https://www.ncbi.nlm.nih.gov/nuccore/CP000058.1?report=graph&amp;tracks=[key:gene_model_track,Options:GeneOnly]&amp;mk=4477709:4477728|offset_39|444444,4477729:4477748|offset_59|444444,4477760:4477779|offset_90|444444,4477829:4477848|offset_159|00cc00&amp;v=4477508:4478048&amp;c=444444", "offset 159")</f>
        <v>offset 159</v>
      </c>
    </row>
    <row r="14475" customFormat="false" ht="12.8" hidden="false" customHeight="false" outlineLevel="0" collapsed="false">
      <c r="A14475" s="0" t="s">
        <v>12</v>
      </c>
      <c r="B14475" s="0" t="n">
        <v>4479184</v>
      </c>
      <c r="C14475" s="0" t="n">
        <v>4479204</v>
      </c>
      <c r="D14475" s="0" t="s">
        <v>48102</v>
      </c>
      <c r="E14475" s="0" t="s">
        <v>75</v>
      </c>
      <c r="F14475" s="0" t="s">
        <v>90</v>
      </c>
      <c r="G14475" s="0" t="s">
        <v>32</v>
      </c>
      <c r="H14475" s="0" t="n">
        <v>0</v>
      </c>
      <c r="I14475" s="0" t="s">
        <v>48103</v>
      </c>
      <c r="J14475" s="0" t="s">
        <v>48104</v>
      </c>
      <c r="K14475" s="0" t="s">
        <v>48105</v>
      </c>
      <c r="L14475" s="0" t="str">
        <f aca="false">HYPERLINK("https://www.ncbi.nlm.nih.gov/nuccore/CP000058.1?report=graph&amp;tracks=[key:gene_model_track,Options:GeneOnly]&amp;mk=4479185:4479204|offset_0|00cc00,4479156:4479175|offset_29|444444,4479088:4479107|offset_97|444444,4479061:4479080|offset_124|444444&amp;v=4478984:4479280&amp;c=444444", "offset 0")</f>
        <v>offset 0</v>
      </c>
    </row>
    <row r="14476" customFormat="false" ht="12.8" hidden="false" customHeight="false" outlineLevel="0" collapsed="false">
      <c r="A14476" s="0" t="s">
        <v>12</v>
      </c>
      <c r="B14476" s="0" t="n">
        <v>4479155</v>
      </c>
      <c r="C14476" s="0" t="n">
        <v>4479175</v>
      </c>
      <c r="D14476" s="0" t="s">
        <v>48102</v>
      </c>
      <c r="E14476" s="0" t="s">
        <v>75</v>
      </c>
      <c r="F14476" s="0" t="s">
        <v>90</v>
      </c>
      <c r="G14476" s="0" t="s">
        <v>36</v>
      </c>
      <c r="H14476" s="0" t="n">
        <v>29</v>
      </c>
      <c r="I14476" s="0" t="s">
        <v>48106</v>
      </c>
      <c r="J14476" s="0" t="s">
        <v>48107</v>
      </c>
      <c r="K14476" s="0" t="s">
        <v>48108</v>
      </c>
      <c r="L14476" s="0" t="str">
        <f aca="false">HYPERLINK("https://www.ncbi.nlm.nih.gov/nuccore/CP000058.1?report=graph&amp;tracks=[key:gene_model_track,Options:GeneOnly]&amp;mk=4479185:4479204|offset_0|444444,4479156:4479175|offset_29|00cc00,4479088:4479107|offset_97|444444,4479061:4479080|offset_124|444444&amp;v=4478984:4479280&amp;c=444444", "offset 29")</f>
        <v>offset 29</v>
      </c>
    </row>
    <row r="14477" customFormat="false" ht="12.8" hidden="false" customHeight="false" outlineLevel="0" collapsed="false">
      <c r="A14477" s="0" t="s">
        <v>12</v>
      </c>
      <c r="B14477" s="0" t="n">
        <v>4479087</v>
      </c>
      <c r="C14477" s="0" t="n">
        <v>4479107</v>
      </c>
      <c r="D14477" s="0" t="s">
        <v>48102</v>
      </c>
      <c r="E14477" s="0" t="s">
        <v>75</v>
      </c>
      <c r="F14477" s="0" t="s">
        <v>90</v>
      </c>
      <c r="G14477" s="0" t="s">
        <v>20</v>
      </c>
      <c r="H14477" s="0" t="n">
        <v>97</v>
      </c>
      <c r="I14477" s="0" t="s">
        <v>48109</v>
      </c>
      <c r="J14477" s="0" t="s">
        <v>48110</v>
      </c>
      <c r="K14477" s="0" t="s">
        <v>48111</v>
      </c>
      <c r="L14477" s="0" t="str">
        <f aca="false">HYPERLINK("https://www.ncbi.nlm.nih.gov/nuccore/CP000058.1?report=graph&amp;tracks=[key:gene_model_track,Options:GeneOnly]&amp;mk=4479185:4479204|offset_0|444444,4479156:4479175|offset_29|444444,4479088:4479107|offset_97|00cc00,4479061:4479080|offset_124|444444&amp;v=4478984:4479280&amp;c=444444", "offset 97")</f>
        <v>offset 97</v>
      </c>
    </row>
    <row r="14478" customFormat="false" ht="12.8" hidden="false" customHeight="false" outlineLevel="0" collapsed="false">
      <c r="A14478" s="0" t="s">
        <v>12</v>
      </c>
      <c r="B14478" s="0" t="n">
        <v>4479060</v>
      </c>
      <c r="C14478" s="0" t="n">
        <v>4479080</v>
      </c>
      <c r="D14478" s="0" t="s">
        <v>48102</v>
      </c>
      <c r="E14478" s="0" t="s">
        <v>75</v>
      </c>
      <c r="F14478" s="0" t="s">
        <v>90</v>
      </c>
      <c r="G14478" s="0" t="s">
        <v>16</v>
      </c>
      <c r="H14478" s="0" t="n">
        <v>124</v>
      </c>
      <c r="I14478" s="0" t="s">
        <v>48112</v>
      </c>
      <c r="J14478" s="0" t="s">
        <v>48113</v>
      </c>
      <c r="K14478" s="0" t="s">
        <v>48114</v>
      </c>
      <c r="L14478" s="0" t="str">
        <f aca="false">HYPERLINK("https://www.ncbi.nlm.nih.gov/nuccore/CP000058.1?report=graph&amp;tracks=[key:gene_model_track,Options:GeneOnly]&amp;mk=4479185:4479204|offset_0|444444,4479156:4479175|offset_29|444444,4479088:4479107|offset_97|444444,4479061:4479080|offset_124|00cc00&amp;v=4478984:4479280&amp;c=444444", "offset 124")</f>
        <v>offset 124</v>
      </c>
    </row>
    <row r="14479" customFormat="false" ht="12.8" hidden="false" customHeight="false" outlineLevel="0" collapsed="false">
      <c r="A14479" s="0" t="s">
        <v>12</v>
      </c>
      <c r="B14479" s="0" t="n">
        <v>4479667</v>
      </c>
      <c r="C14479" s="0" t="n">
        <v>4479687</v>
      </c>
      <c r="D14479" s="0" t="s">
        <v>48115</v>
      </c>
      <c r="E14479" s="0" t="s">
        <v>75</v>
      </c>
      <c r="F14479" s="0" t="s">
        <v>15</v>
      </c>
      <c r="G14479" s="0" t="s">
        <v>16</v>
      </c>
      <c r="H14479" s="0" t="n">
        <v>7</v>
      </c>
      <c r="I14479" s="0" t="s">
        <v>48116</v>
      </c>
      <c r="J14479" s="0" t="s">
        <v>48117</v>
      </c>
      <c r="K14479" s="0" t="s">
        <v>48118</v>
      </c>
      <c r="L14479" s="0" t="str">
        <f aca="false">HYPERLINK("https://www.ncbi.nlm.nih.gov/nuccore/CP000058.1?report=graph&amp;tracks=[key:gene_model_track,Options:GeneOnly]&amp;mk=4479668:4479687|offset_7|00cc00,4479701:4479720|offset_40|444444,4479732:4479751|offset_71|444444,4479754:4479773|offset_93|444444&amp;v=4479467:4479973&amp;c=444444", "offset 7")</f>
        <v>offset 7</v>
      </c>
    </row>
    <row r="14480" customFormat="false" ht="12.8" hidden="false" customHeight="false" outlineLevel="0" collapsed="false">
      <c r="A14480" s="0" t="s">
        <v>12</v>
      </c>
      <c r="B14480" s="0" t="n">
        <v>4479700</v>
      </c>
      <c r="C14480" s="0" t="n">
        <v>4479720</v>
      </c>
      <c r="D14480" s="0" t="s">
        <v>48115</v>
      </c>
      <c r="E14480" s="0" t="s">
        <v>75</v>
      </c>
      <c r="F14480" s="0" t="s">
        <v>15</v>
      </c>
      <c r="G14480" s="0" t="s">
        <v>16</v>
      </c>
      <c r="H14480" s="0" t="n">
        <v>40</v>
      </c>
      <c r="I14480" s="0" t="s">
        <v>48119</v>
      </c>
      <c r="J14480" s="0" t="s">
        <v>48120</v>
      </c>
      <c r="K14480" s="0" t="s">
        <v>48121</v>
      </c>
      <c r="L14480" s="0" t="str">
        <f aca="false">HYPERLINK("https://www.ncbi.nlm.nih.gov/nuccore/CP000058.1?report=graph&amp;tracks=[key:gene_model_track,Options:GeneOnly]&amp;mk=4479668:4479687|offset_7|444444,4479701:4479720|offset_40|00cc00,4479732:4479751|offset_71|444444,4479754:4479773|offset_93|444444&amp;v=4479467:4479973&amp;c=444444", "offset 40")</f>
        <v>offset 40</v>
      </c>
    </row>
    <row r="14481" customFormat="false" ht="12.8" hidden="false" customHeight="false" outlineLevel="0" collapsed="false">
      <c r="A14481" s="0" t="s">
        <v>12</v>
      </c>
      <c r="B14481" s="0" t="n">
        <v>4479731</v>
      </c>
      <c r="C14481" s="0" t="n">
        <v>4479751</v>
      </c>
      <c r="D14481" s="0" t="s">
        <v>48115</v>
      </c>
      <c r="E14481" s="0" t="s">
        <v>75</v>
      </c>
      <c r="F14481" s="0" t="s">
        <v>15</v>
      </c>
      <c r="G14481" s="0" t="s">
        <v>16</v>
      </c>
      <c r="H14481" s="0" t="n">
        <v>71</v>
      </c>
      <c r="I14481" s="0" t="s">
        <v>48122</v>
      </c>
      <c r="J14481" s="0" t="s">
        <v>48123</v>
      </c>
      <c r="K14481" s="0" t="s">
        <v>48124</v>
      </c>
      <c r="L14481" s="0" t="str">
        <f aca="false">HYPERLINK("https://www.ncbi.nlm.nih.gov/nuccore/CP000058.1?report=graph&amp;tracks=[key:gene_model_track,Options:GeneOnly]&amp;mk=4479668:4479687|offset_7|444444,4479701:4479720|offset_40|444444,4479732:4479751|offset_71|00cc00,4479754:4479773|offset_93|444444&amp;v=4479467:4479973&amp;c=444444", "offset 71")</f>
        <v>offset 71</v>
      </c>
    </row>
    <row r="14482" customFormat="false" ht="12.8" hidden="false" customHeight="false" outlineLevel="0" collapsed="false">
      <c r="A14482" s="0" t="s">
        <v>12</v>
      </c>
      <c r="B14482" s="0" t="n">
        <v>4479753</v>
      </c>
      <c r="C14482" s="0" t="n">
        <v>4479773</v>
      </c>
      <c r="D14482" s="0" t="s">
        <v>48115</v>
      </c>
      <c r="E14482" s="0" t="s">
        <v>75</v>
      </c>
      <c r="F14482" s="0" t="s">
        <v>15</v>
      </c>
      <c r="G14482" s="0" t="s">
        <v>32</v>
      </c>
      <c r="H14482" s="0" t="n">
        <v>93</v>
      </c>
      <c r="I14482" s="0" t="s">
        <v>48125</v>
      </c>
      <c r="J14482" s="0" t="s">
        <v>48126</v>
      </c>
      <c r="K14482" s="0" t="s">
        <v>48127</v>
      </c>
      <c r="L14482" s="0" t="str">
        <f aca="false">HYPERLINK("https://www.ncbi.nlm.nih.gov/nuccore/CP000058.1?report=graph&amp;tracks=[key:gene_model_track,Options:GeneOnly]&amp;mk=4479668:4479687|offset_7|444444,4479701:4479720|offset_40|444444,4479732:4479751|offset_71|444444,4479754:4479773|offset_93|00cc00&amp;v=4479467:4479973&amp;c=444444", "offset 93")</f>
        <v>offset 93</v>
      </c>
    </row>
    <row r="14483" customFormat="false" ht="12.8" hidden="false" customHeight="false" outlineLevel="0" collapsed="false">
      <c r="A14483" s="0" t="s">
        <v>12</v>
      </c>
      <c r="B14483" s="0" t="n">
        <v>4482905</v>
      </c>
      <c r="C14483" s="0" t="n">
        <v>4482925</v>
      </c>
      <c r="D14483" s="0" t="s">
        <v>48128</v>
      </c>
      <c r="E14483" s="0" t="s">
        <v>75</v>
      </c>
      <c r="F14483" s="0" t="s">
        <v>15</v>
      </c>
      <c r="G14483" s="0" t="s">
        <v>36</v>
      </c>
      <c r="H14483" s="0" t="n">
        <v>20</v>
      </c>
      <c r="I14483" s="0" t="s">
        <v>48129</v>
      </c>
      <c r="J14483" s="0" t="s">
        <v>48130</v>
      </c>
      <c r="K14483" s="0" t="s">
        <v>48131</v>
      </c>
      <c r="L14483" s="0" t="str">
        <f aca="false">HYPERLINK("https://www.ncbi.nlm.nih.gov/nuccore/CP000058.1?report=graph&amp;tracks=[key:gene_model_track,Options:GeneOnly]&amp;mk=4482906:4482925|offset_20|00cc00,4482940:4482959|offset_54|444444,4482972:4482991|offset_86|444444,4482999:4483018|offset_113|444444&amp;v=4482705:4483218&amp;c=444444", "offset 20")</f>
        <v>offset 20</v>
      </c>
    </row>
    <row r="14484" customFormat="false" ht="12.8" hidden="false" customHeight="false" outlineLevel="0" collapsed="false">
      <c r="A14484" s="0" t="s">
        <v>12</v>
      </c>
      <c r="B14484" s="0" t="n">
        <v>4482939</v>
      </c>
      <c r="C14484" s="0" t="n">
        <v>4482959</v>
      </c>
      <c r="D14484" s="0" t="s">
        <v>48128</v>
      </c>
      <c r="E14484" s="0" t="s">
        <v>75</v>
      </c>
      <c r="F14484" s="0" t="s">
        <v>15</v>
      </c>
      <c r="G14484" s="0" t="s">
        <v>32</v>
      </c>
      <c r="H14484" s="0" t="n">
        <v>54</v>
      </c>
      <c r="I14484" s="0" t="s">
        <v>48132</v>
      </c>
      <c r="J14484" s="0" t="s">
        <v>48133</v>
      </c>
      <c r="K14484" s="0" t="s">
        <v>48134</v>
      </c>
      <c r="L14484" s="0" t="str">
        <f aca="false">HYPERLINK("https://www.ncbi.nlm.nih.gov/nuccore/CP000058.1?report=graph&amp;tracks=[key:gene_model_track,Options:GeneOnly]&amp;mk=4482906:4482925|offset_20|444444,4482940:4482959|offset_54|00cc00,4482972:4482991|offset_86|444444,4482999:4483018|offset_113|444444&amp;v=4482705:4483218&amp;c=444444", "offset 54")</f>
        <v>offset 54</v>
      </c>
    </row>
    <row r="14485" customFormat="false" ht="12.8" hidden="false" customHeight="false" outlineLevel="0" collapsed="false">
      <c r="A14485" s="0" t="s">
        <v>12</v>
      </c>
      <c r="B14485" s="0" t="n">
        <v>4482971</v>
      </c>
      <c r="C14485" s="0" t="n">
        <v>4482991</v>
      </c>
      <c r="D14485" s="0" t="s">
        <v>48128</v>
      </c>
      <c r="E14485" s="0" t="s">
        <v>75</v>
      </c>
      <c r="F14485" s="0" t="s">
        <v>15</v>
      </c>
      <c r="G14485" s="0" t="s">
        <v>36</v>
      </c>
      <c r="H14485" s="0" t="n">
        <v>86</v>
      </c>
      <c r="I14485" s="0" t="s">
        <v>48135</v>
      </c>
      <c r="J14485" s="0" t="s">
        <v>48136</v>
      </c>
      <c r="K14485" s="0" t="s">
        <v>48137</v>
      </c>
      <c r="L14485" s="0" t="str">
        <f aca="false">HYPERLINK("https://www.ncbi.nlm.nih.gov/nuccore/CP000058.1?report=graph&amp;tracks=[key:gene_model_track,Options:GeneOnly]&amp;mk=4482906:4482925|offset_20|444444,4482940:4482959|offset_54|444444,4482972:4482991|offset_86|00cc00,4482999:4483018|offset_113|444444&amp;v=4482705:4483218&amp;c=444444", "offset 86")</f>
        <v>offset 86</v>
      </c>
    </row>
    <row r="14486" customFormat="false" ht="12.8" hidden="false" customHeight="false" outlineLevel="0" collapsed="false">
      <c r="A14486" s="0" t="s">
        <v>12</v>
      </c>
      <c r="B14486" s="0" t="n">
        <v>4482998</v>
      </c>
      <c r="C14486" s="0" t="n">
        <v>4483018</v>
      </c>
      <c r="D14486" s="0" t="s">
        <v>48128</v>
      </c>
      <c r="E14486" s="0" t="s">
        <v>75</v>
      </c>
      <c r="F14486" s="0" t="s">
        <v>15</v>
      </c>
      <c r="G14486" s="0" t="s">
        <v>36</v>
      </c>
      <c r="H14486" s="0" t="n">
        <v>113</v>
      </c>
      <c r="I14486" s="0" t="s">
        <v>48138</v>
      </c>
      <c r="J14486" s="0" t="s">
        <v>48139</v>
      </c>
      <c r="K14486" s="0" t="s">
        <v>48140</v>
      </c>
      <c r="L14486" s="0" t="str">
        <f aca="false">HYPERLINK("https://www.ncbi.nlm.nih.gov/nuccore/CP000058.1?report=graph&amp;tracks=[key:gene_model_track,Options:GeneOnly]&amp;mk=4482906:4482925|offset_20|444444,4482940:4482959|offset_54|444444,4482972:4482991|offset_86|444444,4482999:4483018|offset_113|00cc00&amp;v=4482705:4483218&amp;c=444444", "offset 113")</f>
        <v>offset 113</v>
      </c>
    </row>
    <row r="14487" customFormat="false" ht="12.8" hidden="false" customHeight="false" outlineLevel="0" collapsed="false">
      <c r="A14487" s="0" t="s">
        <v>12</v>
      </c>
      <c r="B14487" s="0" t="n">
        <v>4483484</v>
      </c>
      <c r="C14487" s="0" t="n">
        <v>4483504</v>
      </c>
      <c r="D14487" s="0" t="s">
        <v>48141</v>
      </c>
      <c r="E14487" s="0" t="s">
        <v>75</v>
      </c>
      <c r="F14487" s="0" t="s">
        <v>15</v>
      </c>
      <c r="G14487" s="0" t="s">
        <v>36</v>
      </c>
      <c r="H14487" s="0" t="n">
        <v>12</v>
      </c>
      <c r="I14487" s="0" t="s">
        <v>48142</v>
      </c>
      <c r="J14487" s="0" t="s">
        <v>48143</v>
      </c>
      <c r="K14487" s="0" t="s">
        <v>48144</v>
      </c>
      <c r="L14487" s="0" t="str">
        <f aca="false">HYPERLINK("https://www.ncbi.nlm.nih.gov/nuccore/CP000058.1?report=graph&amp;tracks=[key:gene_model_track,Options:GeneOnly]&amp;mk=4483485:4483504|offset_12|00cc00,4483560:4483579|offset_87|444444,4483589:4483608|offset_116|444444,4483628:4483647|offset_155|444444&amp;v=4483284:4483847&amp;c=444444", "offset 12")</f>
        <v>offset 12</v>
      </c>
    </row>
    <row r="14488" customFormat="false" ht="12.8" hidden="false" customHeight="false" outlineLevel="0" collapsed="false">
      <c r="A14488" s="0" t="s">
        <v>12</v>
      </c>
      <c r="B14488" s="0" t="n">
        <v>4483559</v>
      </c>
      <c r="C14488" s="0" t="n">
        <v>4483579</v>
      </c>
      <c r="D14488" s="0" t="s">
        <v>48141</v>
      </c>
      <c r="E14488" s="0" t="s">
        <v>75</v>
      </c>
      <c r="F14488" s="0" t="s">
        <v>15</v>
      </c>
      <c r="G14488" s="0" t="s">
        <v>16</v>
      </c>
      <c r="H14488" s="0" t="n">
        <v>87</v>
      </c>
      <c r="I14488" s="0" t="s">
        <v>48145</v>
      </c>
      <c r="J14488" s="0" t="s">
        <v>48146</v>
      </c>
      <c r="K14488" s="0" t="s">
        <v>48147</v>
      </c>
      <c r="L14488" s="0" t="str">
        <f aca="false">HYPERLINK("https://www.ncbi.nlm.nih.gov/nuccore/CP000058.1?report=graph&amp;tracks=[key:gene_model_track,Options:GeneOnly]&amp;mk=4483485:4483504|offset_12|444444,4483560:4483579|offset_87|00cc00,4483589:4483608|offset_116|444444,4483628:4483647|offset_155|444444&amp;v=4483284:4483847&amp;c=444444", "offset 87")</f>
        <v>offset 87</v>
      </c>
    </row>
    <row r="14489" customFormat="false" ht="12.8" hidden="false" customHeight="false" outlineLevel="0" collapsed="false">
      <c r="A14489" s="0" t="s">
        <v>12</v>
      </c>
      <c r="B14489" s="0" t="n">
        <v>4483588</v>
      </c>
      <c r="C14489" s="0" t="n">
        <v>4483608</v>
      </c>
      <c r="D14489" s="0" t="s">
        <v>48141</v>
      </c>
      <c r="E14489" s="0" t="s">
        <v>75</v>
      </c>
      <c r="F14489" s="0" t="s">
        <v>15</v>
      </c>
      <c r="G14489" s="0" t="s">
        <v>36</v>
      </c>
      <c r="H14489" s="0" t="n">
        <v>116</v>
      </c>
      <c r="I14489" s="0" t="s">
        <v>48148</v>
      </c>
      <c r="J14489" s="0" t="s">
        <v>48149</v>
      </c>
      <c r="K14489" s="0" t="s">
        <v>48150</v>
      </c>
      <c r="L14489" s="0" t="str">
        <f aca="false">HYPERLINK("https://www.ncbi.nlm.nih.gov/nuccore/CP000058.1?report=graph&amp;tracks=[key:gene_model_track,Options:GeneOnly]&amp;mk=4483485:4483504|offset_12|444444,4483560:4483579|offset_87|444444,4483589:4483608|offset_116|00cc00,4483628:4483647|offset_155|444444&amp;v=4483284:4483847&amp;c=444444", "offset 116")</f>
        <v>offset 116</v>
      </c>
    </row>
    <row r="14490" customFormat="false" ht="12.8" hidden="false" customHeight="false" outlineLevel="0" collapsed="false">
      <c r="A14490" s="0" t="s">
        <v>12</v>
      </c>
      <c r="B14490" s="0" t="n">
        <v>4483627</v>
      </c>
      <c r="C14490" s="0" t="n">
        <v>4483647</v>
      </c>
      <c r="D14490" s="0" t="s">
        <v>48141</v>
      </c>
      <c r="E14490" s="0" t="s">
        <v>75</v>
      </c>
      <c r="F14490" s="0" t="s">
        <v>15</v>
      </c>
      <c r="G14490" s="0" t="s">
        <v>32</v>
      </c>
      <c r="H14490" s="0" t="n">
        <v>155</v>
      </c>
      <c r="I14490" s="0" t="s">
        <v>48151</v>
      </c>
      <c r="J14490" s="0" t="s">
        <v>48152</v>
      </c>
      <c r="K14490" s="0" t="s">
        <v>48153</v>
      </c>
      <c r="L14490" s="0" t="str">
        <f aca="false">HYPERLINK("https://www.ncbi.nlm.nih.gov/nuccore/CP000058.1?report=graph&amp;tracks=[key:gene_model_track,Options:GeneOnly]&amp;mk=4483485:4483504|offset_12|444444,4483560:4483579|offset_87|444444,4483589:4483608|offset_116|444444,4483628:4483647|offset_155|00cc00&amp;v=4483284:4483847&amp;c=444444", "offset 155")</f>
        <v>offset 155</v>
      </c>
    </row>
    <row r="14491" customFormat="false" ht="12.8" hidden="false" customHeight="false" outlineLevel="0" collapsed="false">
      <c r="A14491" s="0" t="s">
        <v>12</v>
      </c>
      <c r="B14491" s="0" t="n">
        <v>4484884</v>
      </c>
      <c r="C14491" s="0" t="n">
        <v>4484904</v>
      </c>
      <c r="D14491" s="0" t="s">
        <v>48154</v>
      </c>
      <c r="E14491" s="0" t="s">
        <v>75</v>
      </c>
      <c r="F14491" s="0" t="s">
        <v>90</v>
      </c>
      <c r="G14491" s="0" t="s">
        <v>16</v>
      </c>
      <c r="H14491" s="0" t="n">
        <v>8</v>
      </c>
      <c r="I14491" s="0" t="s">
        <v>48155</v>
      </c>
      <c r="J14491" s="0" t="s">
        <v>48156</v>
      </c>
      <c r="K14491" s="0" t="s">
        <v>48157</v>
      </c>
      <c r="L14491" s="0" t="str">
        <f aca="false">HYPERLINK("https://www.ncbi.nlm.nih.gov/nuccore/CP000058.1?report=graph&amp;tracks=[key:gene_model_track,Options:GeneOnly]&amp;mk=4484885:4484904|offset_8|00cc00,4484847:4484866|offset_46|444444,4484807:4484826|offset_86|444444,4484783:4484802|offset_110|444444&amp;v=4484684:4485002&amp;c=444444", "offset 8")</f>
        <v>offset 8</v>
      </c>
    </row>
    <row r="14492" customFormat="false" ht="12.8" hidden="false" customHeight="false" outlineLevel="0" collapsed="false">
      <c r="A14492" s="0" t="s">
        <v>12</v>
      </c>
      <c r="B14492" s="0" t="n">
        <v>4484846</v>
      </c>
      <c r="C14492" s="0" t="n">
        <v>4484866</v>
      </c>
      <c r="D14492" s="0" t="s">
        <v>48154</v>
      </c>
      <c r="E14492" s="0" t="s">
        <v>75</v>
      </c>
      <c r="F14492" s="0" t="s">
        <v>90</v>
      </c>
      <c r="G14492" s="0" t="s">
        <v>36</v>
      </c>
      <c r="H14492" s="0" t="n">
        <v>46</v>
      </c>
      <c r="I14492" s="0" t="s">
        <v>48158</v>
      </c>
      <c r="J14492" s="0" t="s">
        <v>48159</v>
      </c>
      <c r="K14492" s="0" t="s">
        <v>48160</v>
      </c>
      <c r="L14492" s="0" t="str">
        <f aca="false">HYPERLINK("https://www.ncbi.nlm.nih.gov/nuccore/CP000058.1?report=graph&amp;tracks=[key:gene_model_track,Options:GeneOnly]&amp;mk=4484885:4484904|offset_8|444444,4484847:4484866|offset_46|00cc00,4484807:4484826|offset_86|444444,4484783:4484802|offset_110|444444&amp;v=4484684:4485002&amp;c=444444", "offset 46")</f>
        <v>offset 46</v>
      </c>
    </row>
    <row r="14493" customFormat="false" ht="12.8" hidden="false" customHeight="false" outlineLevel="0" collapsed="false">
      <c r="A14493" s="0" t="s">
        <v>12</v>
      </c>
      <c r="B14493" s="0" t="n">
        <v>4484806</v>
      </c>
      <c r="C14493" s="0" t="n">
        <v>4484826</v>
      </c>
      <c r="D14493" s="0" t="s">
        <v>48154</v>
      </c>
      <c r="E14493" s="0" t="s">
        <v>75</v>
      </c>
      <c r="F14493" s="0" t="s">
        <v>90</v>
      </c>
      <c r="G14493" s="0" t="s">
        <v>32</v>
      </c>
      <c r="H14493" s="0" t="n">
        <v>86</v>
      </c>
      <c r="I14493" s="0" t="s">
        <v>48161</v>
      </c>
      <c r="J14493" s="0" t="s">
        <v>48162</v>
      </c>
      <c r="K14493" s="0" t="s">
        <v>48163</v>
      </c>
      <c r="L14493" s="0" t="str">
        <f aca="false">HYPERLINK("https://www.ncbi.nlm.nih.gov/nuccore/CP000058.1?report=graph&amp;tracks=[key:gene_model_track,Options:GeneOnly]&amp;mk=4484885:4484904|offset_8|444444,4484847:4484866|offset_46|444444,4484807:4484826|offset_86|00cc00,4484783:4484802|offset_110|444444&amp;v=4484684:4485002&amp;c=444444", "offset 86")</f>
        <v>offset 86</v>
      </c>
    </row>
    <row r="14494" customFormat="false" ht="12.8" hidden="false" customHeight="false" outlineLevel="0" collapsed="false">
      <c r="A14494" s="0" t="s">
        <v>12</v>
      </c>
      <c r="B14494" s="0" t="n">
        <v>4484782</v>
      </c>
      <c r="C14494" s="0" t="n">
        <v>4484802</v>
      </c>
      <c r="D14494" s="0" t="s">
        <v>48154</v>
      </c>
      <c r="E14494" s="0" t="s">
        <v>75</v>
      </c>
      <c r="F14494" s="0" t="s">
        <v>90</v>
      </c>
      <c r="G14494" s="0" t="s">
        <v>16</v>
      </c>
      <c r="H14494" s="0" t="n">
        <v>110</v>
      </c>
      <c r="I14494" s="0" t="s">
        <v>48164</v>
      </c>
      <c r="J14494" s="0" t="s">
        <v>48165</v>
      </c>
      <c r="K14494" s="0" t="s">
        <v>48166</v>
      </c>
      <c r="L14494" s="0" t="str">
        <f aca="false">HYPERLINK("https://www.ncbi.nlm.nih.gov/nuccore/CP000058.1?report=graph&amp;tracks=[key:gene_model_track,Options:GeneOnly]&amp;mk=4484885:4484904|offset_8|444444,4484847:4484866|offset_46|444444,4484807:4484826|offset_86|444444,4484783:4484802|offset_110|00cc00&amp;v=4484684:4485002&amp;c=444444", "offset 110")</f>
        <v>offset 110</v>
      </c>
    </row>
    <row r="14495" customFormat="false" ht="12.8" hidden="false" customHeight="false" outlineLevel="0" collapsed="false">
      <c r="A14495" s="0" t="s">
        <v>12</v>
      </c>
      <c r="B14495" s="0" t="n">
        <v>4485230</v>
      </c>
      <c r="C14495" s="0" t="n">
        <v>4485250</v>
      </c>
      <c r="D14495" s="0" t="s">
        <v>48167</v>
      </c>
      <c r="E14495" s="0" t="s">
        <v>75</v>
      </c>
      <c r="F14495" s="0" t="s">
        <v>90</v>
      </c>
      <c r="G14495" s="0" t="s">
        <v>20</v>
      </c>
      <c r="H14495" s="0" t="n">
        <v>92</v>
      </c>
      <c r="I14495" s="0" t="s">
        <v>48168</v>
      </c>
      <c r="J14495" s="0" t="s">
        <v>48169</v>
      </c>
      <c r="K14495" s="0" t="s">
        <v>48170</v>
      </c>
      <c r="L14495" s="0" t="str">
        <f aca="false">HYPERLINK("https://www.ncbi.nlm.nih.gov/nuccore/CP000058.1?report=graph&amp;tracks=[key:gene_model_track,Options:GeneOnly]&amp;mk=4485231:4485250|offset_92|00cc00,4485197:4485216|offset_126|444444,4485161:4485180|offset_162|444444,4485088:4485107|offset_235|444444&amp;v=4485030:4485307&amp;c=444444", "offset 92")</f>
        <v>offset 92</v>
      </c>
    </row>
    <row r="14496" customFormat="false" ht="12.8" hidden="false" customHeight="false" outlineLevel="0" collapsed="false">
      <c r="A14496" s="0" t="s">
        <v>12</v>
      </c>
      <c r="B14496" s="0" t="n">
        <v>4485196</v>
      </c>
      <c r="C14496" s="0" t="n">
        <v>4485216</v>
      </c>
      <c r="D14496" s="0" t="s">
        <v>48167</v>
      </c>
      <c r="E14496" s="0" t="s">
        <v>75</v>
      </c>
      <c r="F14496" s="0" t="s">
        <v>90</v>
      </c>
      <c r="G14496" s="0" t="s">
        <v>36</v>
      </c>
      <c r="H14496" s="0" t="n">
        <v>126</v>
      </c>
      <c r="I14496" s="0" t="s">
        <v>48171</v>
      </c>
      <c r="J14496" s="0" t="s">
        <v>48172</v>
      </c>
      <c r="K14496" s="0" t="s">
        <v>48173</v>
      </c>
      <c r="L14496" s="0" t="str">
        <f aca="false">HYPERLINK("https://www.ncbi.nlm.nih.gov/nuccore/CP000058.1?report=graph&amp;tracks=[key:gene_model_track,Options:GeneOnly]&amp;mk=4485231:4485250|offset_92|444444,4485197:4485216|offset_126|00cc00,4485161:4485180|offset_162|444444,4485088:4485107|offset_235|444444&amp;v=4485030:4485307&amp;c=444444", "offset 126")</f>
        <v>offset 126</v>
      </c>
    </row>
    <row r="14497" customFormat="false" ht="12.8" hidden="false" customHeight="false" outlineLevel="0" collapsed="false">
      <c r="A14497" s="0" t="s">
        <v>12</v>
      </c>
      <c r="B14497" s="0" t="n">
        <v>4485160</v>
      </c>
      <c r="C14497" s="0" t="n">
        <v>4485180</v>
      </c>
      <c r="D14497" s="0" t="s">
        <v>48167</v>
      </c>
      <c r="E14497" s="0" t="s">
        <v>75</v>
      </c>
      <c r="F14497" s="0" t="s">
        <v>90</v>
      </c>
      <c r="G14497" s="0" t="s">
        <v>36</v>
      </c>
      <c r="H14497" s="0" t="n">
        <v>162</v>
      </c>
      <c r="I14497" s="0" t="s">
        <v>48174</v>
      </c>
      <c r="J14497" s="0" t="s">
        <v>48175</v>
      </c>
      <c r="K14497" s="0" t="s">
        <v>48176</v>
      </c>
      <c r="L14497" s="0" t="str">
        <f aca="false">HYPERLINK("https://www.ncbi.nlm.nih.gov/nuccore/CP000058.1?report=graph&amp;tracks=[key:gene_model_track,Options:GeneOnly]&amp;mk=4485231:4485250|offset_92|444444,4485197:4485216|offset_126|444444,4485161:4485180|offset_162|00cc00,4485088:4485107|offset_235|444444&amp;v=4485030:4485307&amp;c=444444", "offset 162")</f>
        <v>offset 162</v>
      </c>
    </row>
    <row r="14498" customFormat="false" ht="12.8" hidden="false" customHeight="false" outlineLevel="0" collapsed="false">
      <c r="A14498" s="0" t="s">
        <v>12</v>
      </c>
      <c r="B14498" s="0" t="n">
        <v>4485087</v>
      </c>
      <c r="C14498" s="0" t="n">
        <v>4485107</v>
      </c>
      <c r="D14498" s="0" t="s">
        <v>48167</v>
      </c>
      <c r="E14498" s="0" t="s">
        <v>75</v>
      </c>
      <c r="F14498" s="0" t="s">
        <v>90</v>
      </c>
      <c r="G14498" s="0" t="s">
        <v>16</v>
      </c>
      <c r="H14498" s="0" t="n">
        <v>235</v>
      </c>
      <c r="I14498" s="0" t="s">
        <v>48177</v>
      </c>
      <c r="J14498" s="0" t="s">
        <v>48178</v>
      </c>
      <c r="K14498" s="0" t="s">
        <v>48179</v>
      </c>
      <c r="L14498" s="0" t="str">
        <f aca="false">HYPERLINK("https://www.ncbi.nlm.nih.gov/nuccore/CP000058.1?report=graph&amp;tracks=[key:gene_model_track,Options:GeneOnly]&amp;mk=4485231:4485250|offset_92|444444,4485197:4485216|offset_126|444444,4485161:4485180|offset_162|444444,4485088:4485107|offset_235|00cc00&amp;v=4485030:4485307&amp;c=444444", "offset 235")</f>
        <v>offset 235</v>
      </c>
    </row>
    <row r="14499" customFormat="false" ht="12.8" hidden="false" customHeight="false" outlineLevel="0" collapsed="false">
      <c r="A14499" s="0" t="s">
        <v>12</v>
      </c>
      <c r="B14499" s="0" t="n">
        <v>4485671</v>
      </c>
      <c r="C14499" s="0" t="n">
        <v>4485691</v>
      </c>
      <c r="D14499" s="0" t="s">
        <v>48180</v>
      </c>
      <c r="E14499" s="0" t="s">
        <v>48181</v>
      </c>
      <c r="F14499" s="0" t="s">
        <v>15</v>
      </c>
      <c r="G14499" s="0" t="s">
        <v>20</v>
      </c>
      <c r="H14499" s="0" t="n">
        <v>35</v>
      </c>
      <c r="I14499" s="0" t="s">
        <v>48182</v>
      </c>
      <c r="J14499" s="0" t="s">
        <v>48183</v>
      </c>
      <c r="K14499" s="0" t="s">
        <v>48184</v>
      </c>
      <c r="L14499" s="0" t="str">
        <f aca="false">HYPERLINK("https://www.ncbi.nlm.nih.gov/nuccore/CP000058.1?report=graph&amp;tracks=[key:gene_model_track,Options:GeneOnly]&amp;mk=4485672:4485691|offset_35|00cc00,4485702:4485721|offset_65|444444,4485737:4485756|offset_100|444444,4485771:4485790|offset_134|444444&amp;v=4485471:4485990&amp;c=444444", "offset 35")</f>
        <v>offset 35</v>
      </c>
    </row>
    <row r="14500" customFormat="false" ht="12.8" hidden="false" customHeight="false" outlineLevel="0" collapsed="false">
      <c r="A14500" s="0" t="s">
        <v>12</v>
      </c>
      <c r="B14500" s="0" t="n">
        <v>4485701</v>
      </c>
      <c r="C14500" s="0" t="n">
        <v>4485721</v>
      </c>
      <c r="D14500" s="0" t="s">
        <v>48180</v>
      </c>
      <c r="E14500" s="0" t="s">
        <v>48181</v>
      </c>
      <c r="F14500" s="0" t="s">
        <v>15</v>
      </c>
      <c r="G14500" s="0" t="s">
        <v>20</v>
      </c>
      <c r="H14500" s="0" t="n">
        <v>65</v>
      </c>
      <c r="I14500" s="0" t="s">
        <v>48185</v>
      </c>
      <c r="J14500" s="0" t="s">
        <v>48186</v>
      </c>
      <c r="K14500" s="0" t="s">
        <v>48187</v>
      </c>
      <c r="L14500" s="0" t="str">
        <f aca="false">HYPERLINK("https://www.ncbi.nlm.nih.gov/nuccore/CP000058.1?report=graph&amp;tracks=[key:gene_model_track,Options:GeneOnly]&amp;mk=4485672:4485691|offset_35|444444,4485702:4485721|offset_65|00cc00,4485737:4485756|offset_100|444444,4485771:4485790|offset_134|444444&amp;v=4485471:4485990&amp;c=444444", "offset 65")</f>
        <v>offset 65</v>
      </c>
    </row>
    <row r="14501" customFormat="false" ht="12.8" hidden="false" customHeight="false" outlineLevel="0" collapsed="false">
      <c r="A14501" s="0" t="s">
        <v>12</v>
      </c>
      <c r="B14501" s="0" t="n">
        <v>4485736</v>
      </c>
      <c r="C14501" s="0" t="n">
        <v>4485756</v>
      </c>
      <c r="D14501" s="0" t="s">
        <v>48180</v>
      </c>
      <c r="E14501" s="0" t="s">
        <v>48181</v>
      </c>
      <c r="F14501" s="0" t="s">
        <v>15</v>
      </c>
      <c r="G14501" s="0" t="s">
        <v>36</v>
      </c>
      <c r="H14501" s="0" t="n">
        <v>100</v>
      </c>
      <c r="I14501" s="0" t="s">
        <v>48188</v>
      </c>
      <c r="J14501" s="0" t="s">
        <v>48189</v>
      </c>
      <c r="K14501" s="0" t="s">
        <v>48190</v>
      </c>
      <c r="L14501" s="0" t="str">
        <f aca="false">HYPERLINK("https://www.ncbi.nlm.nih.gov/nuccore/CP000058.1?report=graph&amp;tracks=[key:gene_model_track,Options:GeneOnly]&amp;mk=4485672:4485691|offset_35|444444,4485702:4485721|offset_65|444444,4485737:4485756|offset_100|00cc00,4485771:4485790|offset_134|444444&amp;v=4485471:4485990&amp;c=444444", "offset 100")</f>
        <v>offset 100</v>
      </c>
    </row>
    <row r="14502" customFormat="false" ht="12.8" hidden="false" customHeight="false" outlineLevel="0" collapsed="false">
      <c r="A14502" s="0" t="s">
        <v>12</v>
      </c>
      <c r="B14502" s="0" t="n">
        <v>4485770</v>
      </c>
      <c r="C14502" s="0" t="n">
        <v>4485790</v>
      </c>
      <c r="D14502" s="0" t="s">
        <v>48180</v>
      </c>
      <c r="E14502" s="0" t="s">
        <v>48181</v>
      </c>
      <c r="F14502" s="0" t="s">
        <v>15</v>
      </c>
      <c r="G14502" s="0" t="s">
        <v>20</v>
      </c>
      <c r="H14502" s="0" t="n">
        <v>134</v>
      </c>
      <c r="I14502" s="0" t="s">
        <v>48191</v>
      </c>
      <c r="J14502" s="0" t="s">
        <v>48192</v>
      </c>
      <c r="K14502" s="0" t="s">
        <v>48193</v>
      </c>
      <c r="L14502" s="0" t="str">
        <f aca="false">HYPERLINK("https://www.ncbi.nlm.nih.gov/nuccore/CP000058.1?report=graph&amp;tracks=[key:gene_model_track,Options:GeneOnly]&amp;mk=4485672:4485691|offset_35|444444,4485702:4485721|offset_65|444444,4485737:4485756|offset_100|444444,4485771:4485790|offset_134|00cc00&amp;v=4485471:4485990&amp;c=444444", "offset 134")</f>
        <v>offset 134</v>
      </c>
    </row>
    <row r="14503" customFormat="false" ht="12.8" hidden="false" customHeight="false" outlineLevel="0" collapsed="false">
      <c r="A14503" s="0" t="s">
        <v>12</v>
      </c>
      <c r="B14503" s="0" t="n">
        <v>4490486</v>
      </c>
      <c r="C14503" s="0" t="n">
        <v>4490506</v>
      </c>
      <c r="D14503" s="0" t="s">
        <v>48194</v>
      </c>
      <c r="E14503" s="0" t="s">
        <v>75</v>
      </c>
      <c r="F14503" s="0" t="s">
        <v>90</v>
      </c>
      <c r="G14503" s="0" t="s">
        <v>32</v>
      </c>
      <c r="H14503" s="0" t="n">
        <v>7</v>
      </c>
      <c r="I14503" s="0" t="s">
        <v>48195</v>
      </c>
      <c r="J14503" s="0" t="s">
        <v>48196</v>
      </c>
      <c r="K14503" s="0" t="s">
        <v>48197</v>
      </c>
      <c r="L14503" s="0" t="str">
        <f aca="false">HYPERLINK("https://www.ncbi.nlm.nih.gov/nuccore/CP000058.1?report=graph&amp;tracks=[key:gene_model_track,Options:GeneOnly]&amp;mk=4490487:4490506|offset_7|00cc00,4490460:4490479|offset_34|444444,4490427:4490446|offset_67|444444,4490390:4490409|offset_104|444444&amp;v=4490286:4490609&amp;c=444444", "offset 7")</f>
        <v>offset 7</v>
      </c>
    </row>
    <row r="14504" customFormat="false" ht="12.8" hidden="false" customHeight="false" outlineLevel="0" collapsed="false">
      <c r="A14504" s="0" t="s">
        <v>12</v>
      </c>
      <c r="B14504" s="0" t="n">
        <v>4490459</v>
      </c>
      <c r="C14504" s="0" t="n">
        <v>4490479</v>
      </c>
      <c r="D14504" s="0" t="s">
        <v>48194</v>
      </c>
      <c r="E14504" s="0" t="s">
        <v>75</v>
      </c>
      <c r="F14504" s="0" t="s">
        <v>90</v>
      </c>
      <c r="G14504" s="0" t="s">
        <v>16</v>
      </c>
      <c r="H14504" s="0" t="n">
        <v>34</v>
      </c>
      <c r="I14504" s="0" t="s">
        <v>48198</v>
      </c>
      <c r="J14504" s="0" t="s">
        <v>48199</v>
      </c>
      <c r="K14504" s="0" t="s">
        <v>48200</v>
      </c>
      <c r="L14504" s="0" t="str">
        <f aca="false">HYPERLINK("https://www.ncbi.nlm.nih.gov/nuccore/CP000058.1?report=graph&amp;tracks=[key:gene_model_track,Options:GeneOnly]&amp;mk=4490487:4490506|offset_7|444444,4490460:4490479|offset_34|00cc00,4490427:4490446|offset_67|444444,4490390:4490409|offset_104|444444&amp;v=4490286:4490609&amp;c=444444", "offset 34")</f>
        <v>offset 34</v>
      </c>
    </row>
    <row r="14505" customFormat="false" ht="12.8" hidden="false" customHeight="false" outlineLevel="0" collapsed="false">
      <c r="A14505" s="0" t="s">
        <v>12</v>
      </c>
      <c r="B14505" s="0" t="n">
        <v>4490426</v>
      </c>
      <c r="C14505" s="0" t="n">
        <v>4490446</v>
      </c>
      <c r="D14505" s="0" t="s">
        <v>48194</v>
      </c>
      <c r="E14505" s="0" t="s">
        <v>75</v>
      </c>
      <c r="F14505" s="0" t="s">
        <v>90</v>
      </c>
      <c r="G14505" s="0" t="s">
        <v>16</v>
      </c>
      <c r="H14505" s="0" t="n">
        <v>67</v>
      </c>
      <c r="I14505" s="0" t="s">
        <v>48201</v>
      </c>
      <c r="J14505" s="0" t="s">
        <v>48202</v>
      </c>
      <c r="K14505" s="0" t="s">
        <v>48203</v>
      </c>
      <c r="L14505" s="0" t="str">
        <f aca="false">HYPERLINK("https://www.ncbi.nlm.nih.gov/nuccore/CP000058.1?report=graph&amp;tracks=[key:gene_model_track,Options:GeneOnly]&amp;mk=4490487:4490506|offset_7|444444,4490460:4490479|offset_34|444444,4490427:4490446|offset_67|00cc00,4490390:4490409|offset_104|444444&amp;v=4490286:4490609&amp;c=444444", "offset 67")</f>
        <v>offset 67</v>
      </c>
    </row>
    <row r="14506" customFormat="false" ht="12.8" hidden="false" customHeight="false" outlineLevel="0" collapsed="false">
      <c r="A14506" s="0" t="s">
        <v>12</v>
      </c>
      <c r="B14506" s="0" t="n">
        <v>4490389</v>
      </c>
      <c r="C14506" s="0" t="n">
        <v>4490409</v>
      </c>
      <c r="D14506" s="0" t="s">
        <v>48194</v>
      </c>
      <c r="E14506" s="0" t="s">
        <v>75</v>
      </c>
      <c r="F14506" s="0" t="s">
        <v>90</v>
      </c>
      <c r="G14506" s="0" t="s">
        <v>32</v>
      </c>
      <c r="H14506" s="0" t="n">
        <v>104</v>
      </c>
      <c r="I14506" s="0" t="s">
        <v>48204</v>
      </c>
      <c r="J14506" s="0" t="s">
        <v>48205</v>
      </c>
      <c r="K14506" s="0" t="s">
        <v>48206</v>
      </c>
      <c r="L14506" s="0" t="str">
        <f aca="false">HYPERLINK("https://www.ncbi.nlm.nih.gov/nuccore/CP000058.1?report=graph&amp;tracks=[key:gene_model_track,Options:GeneOnly]&amp;mk=4490487:4490506|offset_7|444444,4490460:4490479|offset_34|444444,4490427:4490446|offset_67|444444,4490390:4490409|offset_104|00cc00&amp;v=4490286:4490609&amp;c=444444", "offset 104")</f>
        <v>offset 104</v>
      </c>
    </row>
    <row r="14507" customFormat="false" ht="12.8" hidden="false" customHeight="false" outlineLevel="0" collapsed="false">
      <c r="A14507" s="0" t="s">
        <v>12</v>
      </c>
      <c r="B14507" s="0" t="n">
        <v>4491469</v>
      </c>
      <c r="C14507" s="0" t="n">
        <v>4491489</v>
      </c>
      <c r="D14507" s="0" t="s">
        <v>48207</v>
      </c>
      <c r="E14507" s="0" t="s">
        <v>75</v>
      </c>
      <c r="F14507" s="0" t="s">
        <v>90</v>
      </c>
      <c r="G14507" s="0" t="s">
        <v>16</v>
      </c>
      <c r="H14507" s="0" t="n">
        <v>28</v>
      </c>
      <c r="I14507" s="0" t="s">
        <v>48208</v>
      </c>
      <c r="J14507" s="0" t="s">
        <v>48209</v>
      </c>
      <c r="K14507" s="0" t="s">
        <v>48210</v>
      </c>
      <c r="L14507" s="0" t="str">
        <f aca="false">HYPERLINK("https://www.ncbi.nlm.nih.gov/nuccore/CP000058.1?report=graph&amp;tracks=[key:gene_model_track,Options:GeneOnly]&amp;mk=4491470:4491489|offset_28|00cc00,4491446:4491465|offset_52|444444,4491422:4491441|offset_76|444444,4491336:4491355|offset_162|444444&amp;v=4491269:4491555&amp;c=444444", "offset 28")</f>
        <v>offset 28</v>
      </c>
    </row>
    <row r="14508" customFormat="false" ht="12.8" hidden="false" customHeight="false" outlineLevel="0" collapsed="false">
      <c r="A14508" s="0" t="s">
        <v>12</v>
      </c>
      <c r="B14508" s="0" t="n">
        <v>4491445</v>
      </c>
      <c r="C14508" s="0" t="n">
        <v>4491465</v>
      </c>
      <c r="D14508" s="0" t="s">
        <v>48207</v>
      </c>
      <c r="E14508" s="0" t="s">
        <v>75</v>
      </c>
      <c r="F14508" s="0" t="s">
        <v>90</v>
      </c>
      <c r="G14508" s="0" t="s">
        <v>32</v>
      </c>
      <c r="H14508" s="0" t="n">
        <v>52</v>
      </c>
      <c r="I14508" s="0" t="s">
        <v>48211</v>
      </c>
      <c r="J14508" s="0" t="s">
        <v>48212</v>
      </c>
      <c r="K14508" s="0" t="s">
        <v>48213</v>
      </c>
      <c r="L14508" s="0" t="str">
        <f aca="false">HYPERLINK("https://www.ncbi.nlm.nih.gov/nuccore/CP000058.1?report=graph&amp;tracks=[key:gene_model_track,Options:GeneOnly]&amp;mk=4491470:4491489|offset_28|444444,4491446:4491465|offset_52|00cc00,4491422:4491441|offset_76|444444,4491336:4491355|offset_162|444444&amp;v=4491269:4491555&amp;c=444444", "offset 52")</f>
        <v>offset 52</v>
      </c>
    </row>
    <row r="14509" customFormat="false" ht="12.8" hidden="false" customHeight="false" outlineLevel="0" collapsed="false">
      <c r="A14509" s="0" t="s">
        <v>12</v>
      </c>
      <c r="B14509" s="0" t="n">
        <v>4491421</v>
      </c>
      <c r="C14509" s="0" t="n">
        <v>4491441</v>
      </c>
      <c r="D14509" s="0" t="s">
        <v>48207</v>
      </c>
      <c r="E14509" s="0" t="s">
        <v>75</v>
      </c>
      <c r="F14509" s="0" t="s">
        <v>90</v>
      </c>
      <c r="G14509" s="0" t="s">
        <v>16</v>
      </c>
      <c r="H14509" s="0" t="n">
        <v>76</v>
      </c>
      <c r="I14509" s="0" t="s">
        <v>48214</v>
      </c>
      <c r="J14509" s="0" t="s">
        <v>48215</v>
      </c>
      <c r="K14509" s="0" t="s">
        <v>48216</v>
      </c>
      <c r="L14509" s="0" t="str">
        <f aca="false">HYPERLINK("https://www.ncbi.nlm.nih.gov/nuccore/CP000058.1?report=graph&amp;tracks=[key:gene_model_track,Options:GeneOnly]&amp;mk=4491470:4491489|offset_28|444444,4491446:4491465|offset_52|444444,4491422:4491441|offset_76|00cc00,4491336:4491355|offset_162|444444&amp;v=4491269:4491555&amp;c=444444", "offset 76")</f>
        <v>offset 76</v>
      </c>
    </row>
    <row r="14510" customFormat="false" ht="12.8" hidden="false" customHeight="false" outlineLevel="0" collapsed="false">
      <c r="A14510" s="0" t="s">
        <v>12</v>
      </c>
      <c r="B14510" s="0" t="n">
        <v>4491335</v>
      </c>
      <c r="C14510" s="0" t="n">
        <v>4491355</v>
      </c>
      <c r="D14510" s="0" t="s">
        <v>48207</v>
      </c>
      <c r="E14510" s="0" t="s">
        <v>75</v>
      </c>
      <c r="F14510" s="0" t="s">
        <v>90</v>
      </c>
      <c r="G14510" s="0" t="s">
        <v>16</v>
      </c>
      <c r="H14510" s="0" t="n">
        <v>162</v>
      </c>
      <c r="I14510" s="0" t="s">
        <v>48217</v>
      </c>
      <c r="J14510" s="0" t="s">
        <v>48218</v>
      </c>
      <c r="K14510" s="0" t="s">
        <v>48219</v>
      </c>
      <c r="L14510" s="0" t="str">
        <f aca="false">HYPERLINK("https://www.ncbi.nlm.nih.gov/nuccore/CP000058.1?report=graph&amp;tracks=[key:gene_model_track,Options:GeneOnly]&amp;mk=4491470:4491489|offset_28|444444,4491446:4491465|offset_52|444444,4491422:4491441|offset_76|444444,4491336:4491355|offset_162|00cc00&amp;v=4491269:4491555&amp;c=444444", "offset 162")</f>
        <v>offset 162</v>
      </c>
    </row>
    <row r="14511" customFormat="false" ht="12.8" hidden="false" customHeight="false" outlineLevel="0" collapsed="false">
      <c r="A14511" s="0" t="s">
        <v>12</v>
      </c>
      <c r="B14511" s="0" t="n">
        <v>4491743</v>
      </c>
      <c r="C14511" s="0" t="n">
        <v>4491763</v>
      </c>
      <c r="D14511" s="0" t="s">
        <v>48220</v>
      </c>
      <c r="E14511" s="0" t="s">
        <v>75</v>
      </c>
      <c r="F14511" s="0" t="s">
        <v>90</v>
      </c>
      <c r="G14511" s="0" t="s">
        <v>36</v>
      </c>
      <c r="H14511" s="0" t="n">
        <v>50</v>
      </c>
      <c r="I14511" s="0" t="s">
        <v>48221</v>
      </c>
      <c r="J14511" s="0" t="s">
        <v>48222</v>
      </c>
      <c r="K14511" s="0" t="s">
        <v>48223</v>
      </c>
      <c r="L14511" s="0" t="str">
        <f aca="false">HYPERLINK("https://www.ncbi.nlm.nih.gov/nuccore/CP000058.1?report=graph&amp;tracks=[key:gene_model_track,Options:GeneOnly]&amp;mk=4491744:4491763|offset_50|00cc00,4491724:4491743|offset_70|444444,4491694:4491713|offset_100|444444,4491671:4491690|offset_123|444444&amp;v=4491543:4491890&amp;c=444444", "offset 50")</f>
        <v>offset 50</v>
      </c>
    </row>
    <row r="14512" customFormat="false" ht="12.8" hidden="false" customHeight="false" outlineLevel="0" collapsed="false">
      <c r="A14512" s="0" t="s">
        <v>12</v>
      </c>
      <c r="B14512" s="0" t="n">
        <v>4491723</v>
      </c>
      <c r="C14512" s="0" t="n">
        <v>4491743</v>
      </c>
      <c r="D14512" s="0" t="s">
        <v>48220</v>
      </c>
      <c r="E14512" s="0" t="s">
        <v>75</v>
      </c>
      <c r="F14512" s="0" t="s">
        <v>90</v>
      </c>
      <c r="G14512" s="0" t="s">
        <v>36</v>
      </c>
      <c r="H14512" s="0" t="n">
        <v>70</v>
      </c>
      <c r="I14512" s="0" t="s">
        <v>48224</v>
      </c>
      <c r="J14512" s="0" t="s">
        <v>48225</v>
      </c>
      <c r="K14512" s="0" t="s">
        <v>48226</v>
      </c>
      <c r="L14512" s="0" t="str">
        <f aca="false">HYPERLINK("https://www.ncbi.nlm.nih.gov/nuccore/CP000058.1?report=graph&amp;tracks=[key:gene_model_track,Options:GeneOnly]&amp;mk=4491744:4491763|offset_50|444444,4491724:4491743|offset_70|00cc00,4491694:4491713|offset_100|444444,4491671:4491690|offset_123|444444&amp;v=4491543:4491890&amp;c=444444", "offset 70")</f>
        <v>offset 70</v>
      </c>
    </row>
    <row r="14513" customFormat="false" ht="12.8" hidden="false" customHeight="false" outlineLevel="0" collapsed="false">
      <c r="A14513" s="0" t="s">
        <v>12</v>
      </c>
      <c r="B14513" s="0" t="n">
        <v>4491693</v>
      </c>
      <c r="C14513" s="0" t="n">
        <v>4491713</v>
      </c>
      <c r="D14513" s="0" t="s">
        <v>48220</v>
      </c>
      <c r="E14513" s="0" t="s">
        <v>75</v>
      </c>
      <c r="F14513" s="0" t="s">
        <v>90</v>
      </c>
      <c r="G14513" s="0" t="s">
        <v>16</v>
      </c>
      <c r="H14513" s="0" t="n">
        <v>100</v>
      </c>
      <c r="I14513" s="0" t="s">
        <v>48227</v>
      </c>
      <c r="J14513" s="0" t="s">
        <v>48228</v>
      </c>
      <c r="K14513" s="0" t="s">
        <v>48229</v>
      </c>
      <c r="L14513" s="0" t="str">
        <f aca="false">HYPERLINK("https://www.ncbi.nlm.nih.gov/nuccore/CP000058.1?report=graph&amp;tracks=[key:gene_model_track,Options:GeneOnly]&amp;mk=4491744:4491763|offset_50|444444,4491724:4491743|offset_70|444444,4491694:4491713|offset_100|00cc00,4491671:4491690|offset_123|444444&amp;v=4491543:4491890&amp;c=444444", "offset 100")</f>
        <v>offset 100</v>
      </c>
    </row>
    <row r="14514" customFormat="false" ht="12.8" hidden="false" customHeight="false" outlineLevel="0" collapsed="false">
      <c r="A14514" s="0" t="s">
        <v>12</v>
      </c>
      <c r="B14514" s="0" t="n">
        <v>4491670</v>
      </c>
      <c r="C14514" s="0" t="n">
        <v>4491690</v>
      </c>
      <c r="D14514" s="0" t="s">
        <v>48220</v>
      </c>
      <c r="E14514" s="0" t="s">
        <v>75</v>
      </c>
      <c r="F14514" s="0" t="s">
        <v>90</v>
      </c>
      <c r="G14514" s="0" t="s">
        <v>20</v>
      </c>
      <c r="H14514" s="0" t="n">
        <v>123</v>
      </c>
      <c r="I14514" s="0" t="s">
        <v>48230</v>
      </c>
      <c r="J14514" s="0" t="s">
        <v>48231</v>
      </c>
      <c r="K14514" s="0" t="s">
        <v>48232</v>
      </c>
      <c r="L14514" s="0" t="str">
        <f aca="false">HYPERLINK("https://www.ncbi.nlm.nih.gov/nuccore/CP000058.1?report=graph&amp;tracks=[key:gene_model_track,Options:GeneOnly]&amp;mk=4491744:4491763|offset_50|444444,4491724:4491743|offset_70|444444,4491694:4491713|offset_100|444444,4491671:4491690|offset_123|00cc00&amp;v=4491543:4491890&amp;c=444444", "offset 123")</f>
        <v>offset 123</v>
      </c>
    </row>
    <row r="14515" customFormat="false" ht="12.8" hidden="false" customHeight="false" outlineLevel="0" collapsed="false">
      <c r="A14515" s="0" t="s">
        <v>12</v>
      </c>
      <c r="B14515" s="0" t="n">
        <v>4492565</v>
      </c>
      <c r="C14515" s="0" t="n">
        <v>4492585</v>
      </c>
      <c r="D14515" s="0" t="s">
        <v>48233</v>
      </c>
      <c r="E14515" s="0" t="s">
        <v>75</v>
      </c>
      <c r="F14515" s="0" t="s">
        <v>90</v>
      </c>
      <c r="G14515" s="0" t="s">
        <v>36</v>
      </c>
      <c r="H14515" s="0" t="n">
        <v>0</v>
      </c>
      <c r="I14515" s="0" t="s">
        <v>48234</v>
      </c>
      <c r="J14515" s="0" t="s">
        <v>48235</v>
      </c>
      <c r="K14515" s="0" t="s">
        <v>48236</v>
      </c>
      <c r="L14515" s="0" t="str">
        <f aca="false">HYPERLINK("https://www.ncbi.nlm.nih.gov/nuccore/CP000058.1?report=graph&amp;tracks=[key:gene_model_track,Options:GeneOnly]&amp;mk=4492566:4492585|offset_0|00cc00,4492529:4492548|offset_37|444444,4492502:4492521|offset_64|444444,4492446:4492465|offset_120|444444&amp;v=4492365:4492665&amp;c=444444", "offset 0")</f>
        <v>offset 0</v>
      </c>
    </row>
    <row r="14516" customFormat="false" ht="12.8" hidden="false" customHeight="false" outlineLevel="0" collapsed="false">
      <c r="A14516" s="0" t="s">
        <v>12</v>
      </c>
      <c r="B14516" s="0" t="n">
        <v>4492528</v>
      </c>
      <c r="C14516" s="0" t="n">
        <v>4492548</v>
      </c>
      <c r="D14516" s="0" t="s">
        <v>48233</v>
      </c>
      <c r="E14516" s="0" t="s">
        <v>75</v>
      </c>
      <c r="F14516" s="0" t="s">
        <v>90</v>
      </c>
      <c r="G14516" s="0" t="s">
        <v>16</v>
      </c>
      <c r="H14516" s="0" t="n">
        <v>37</v>
      </c>
      <c r="I14516" s="0" t="s">
        <v>48237</v>
      </c>
      <c r="J14516" s="0" t="s">
        <v>48238</v>
      </c>
      <c r="K14516" s="0" t="s">
        <v>48239</v>
      </c>
      <c r="L14516" s="0" t="str">
        <f aca="false">HYPERLINK("https://www.ncbi.nlm.nih.gov/nuccore/CP000058.1?report=graph&amp;tracks=[key:gene_model_track,Options:GeneOnly]&amp;mk=4492566:4492585|offset_0|444444,4492529:4492548|offset_37|00cc00,4492502:4492521|offset_64|444444,4492446:4492465|offset_120|444444&amp;v=4492365:4492665&amp;c=444444", "offset 37")</f>
        <v>offset 37</v>
      </c>
    </row>
    <row r="14517" customFormat="false" ht="12.8" hidden="false" customHeight="false" outlineLevel="0" collapsed="false">
      <c r="A14517" s="0" t="s">
        <v>12</v>
      </c>
      <c r="B14517" s="0" t="n">
        <v>4492501</v>
      </c>
      <c r="C14517" s="0" t="n">
        <v>4492521</v>
      </c>
      <c r="D14517" s="0" t="s">
        <v>48233</v>
      </c>
      <c r="E14517" s="0" t="s">
        <v>75</v>
      </c>
      <c r="F14517" s="0" t="s">
        <v>90</v>
      </c>
      <c r="G14517" s="0" t="s">
        <v>32</v>
      </c>
      <c r="H14517" s="0" t="n">
        <v>64</v>
      </c>
      <c r="I14517" s="0" t="s">
        <v>48240</v>
      </c>
      <c r="J14517" s="0" t="s">
        <v>48241</v>
      </c>
      <c r="K14517" s="0" t="s">
        <v>48242</v>
      </c>
      <c r="L14517" s="0" t="str">
        <f aca="false">HYPERLINK("https://www.ncbi.nlm.nih.gov/nuccore/CP000058.1?report=graph&amp;tracks=[key:gene_model_track,Options:GeneOnly]&amp;mk=4492566:4492585|offset_0|444444,4492529:4492548|offset_37|444444,4492502:4492521|offset_64|00cc00,4492446:4492465|offset_120|444444&amp;v=4492365:4492665&amp;c=444444", "offset 64")</f>
        <v>offset 64</v>
      </c>
    </row>
    <row r="14518" customFormat="false" ht="12.8" hidden="false" customHeight="false" outlineLevel="0" collapsed="false">
      <c r="A14518" s="0" t="s">
        <v>12</v>
      </c>
      <c r="B14518" s="0" t="n">
        <v>4492445</v>
      </c>
      <c r="C14518" s="0" t="n">
        <v>4492465</v>
      </c>
      <c r="D14518" s="0" t="s">
        <v>48233</v>
      </c>
      <c r="E14518" s="0" t="s">
        <v>75</v>
      </c>
      <c r="F14518" s="0" t="s">
        <v>90</v>
      </c>
      <c r="G14518" s="0" t="s">
        <v>16</v>
      </c>
      <c r="H14518" s="0" t="n">
        <v>120</v>
      </c>
      <c r="I14518" s="0" t="s">
        <v>48243</v>
      </c>
      <c r="J14518" s="0" t="s">
        <v>48244</v>
      </c>
      <c r="K14518" s="0" t="s">
        <v>48245</v>
      </c>
      <c r="L14518" s="0" t="str">
        <f aca="false">HYPERLINK("https://www.ncbi.nlm.nih.gov/nuccore/CP000058.1?report=graph&amp;tracks=[key:gene_model_track,Options:GeneOnly]&amp;mk=4492566:4492585|offset_0|444444,4492529:4492548|offset_37|444444,4492502:4492521|offset_64|444444,4492446:4492465|offset_120|00cc00&amp;v=4492365:4492665&amp;c=444444", "offset 120")</f>
        <v>offset 120</v>
      </c>
    </row>
    <row r="14519" customFormat="false" ht="12.8" hidden="false" customHeight="false" outlineLevel="0" collapsed="false">
      <c r="A14519" s="0" t="s">
        <v>12</v>
      </c>
      <c r="B14519" s="0" t="n">
        <v>4493330</v>
      </c>
      <c r="C14519" s="0" t="n">
        <v>4493350</v>
      </c>
      <c r="D14519" s="0" t="s">
        <v>48246</v>
      </c>
      <c r="E14519" s="0" t="s">
        <v>75</v>
      </c>
      <c r="F14519" s="0" t="s">
        <v>90</v>
      </c>
      <c r="G14519" s="0" t="s">
        <v>16</v>
      </c>
      <c r="H14519" s="0" t="n">
        <v>28</v>
      </c>
      <c r="I14519" s="0" t="s">
        <v>48247</v>
      </c>
      <c r="J14519" s="0" t="s">
        <v>48248</v>
      </c>
      <c r="K14519" s="0" t="s">
        <v>48249</v>
      </c>
      <c r="L14519" s="0" t="str">
        <f aca="false">HYPERLINK("https://www.ncbi.nlm.nih.gov/nuccore/CP000058.1?report=graph&amp;tracks=[key:gene_model_track,Options:GeneOnly]&amp;mk=4493331:4493350|offset_28|00cc00,4493285:4493304|offset_74|444444,4493251:4493270|offset_108|444444,4493223:4493242|offset_136|444444&amp;v=4493130:4493442&amp;c=444444", "offset 28")</f>
        <v>offset 28</v>
      </c>
    </row>
    <row r="14520" customFormat="false" ht="12.8" hidden="false" customHeight="false" outlineLevel="0" collapsed="false">
      <c r="A14520" s="0" t="s">
        <v>12</v>
      </c>
      <c r="B14520" s="0" t="n">
        <v>4493284</v>
      </c>
      <c r="C14520" s="0" t="n">
        <v>4493304</v>
      </c>
      <c r="D14520" s="0" t="s">
        <v>48246</v>
      </c>
      <c r="E14520" s="0" t="s">
        <v>75</v>
      </c>
      <c r="F14520" s="0" t="s">
        <v>90</v>
      </c>
      <c r="G14520" s="0" t="s">
        <v>16</v>
      </c>
      <c r="H14520" s="0" t="n">
        <v>74</v>
      </c>
      <c r="I14520" s="0" t="s">
        <v>48250</v>
      </c>
      <c r="J14520" s="0" t="s">
        <v>48251</v>
      </c>
      <c r="K14520" s="0" t="s">
        <v>48252</v>
      </c>
      <c r="L14520" s="0" t="str">
        <f aca="false">HYPERLINK("https://www.ncbi.nlm.nih.gov/nuccore/CP000058.1?report=graph&amp;tracks=[key:gene_model_track,Options:GeneOnly]&amp;mk=4493331:4493350|offset_28|444444,4493285:4493304|offset_74|00cc00,4493251:4493270|offset_108|444444,4493223:4493242|offset_136|444444&amp;v=4493130:4493442&amp;c=444444", "offset 74")</f>
        <v>offset 74</v>
      </c>
    </row>
    <row r="14521" customFormat="false" ht="12.8" hidden="false" customHeight="false" outlineLevel="0" collapsed="false">
      <c r="A14521" s="0" t="s">
        <v>12</v>
      </c>
      <c r="B14521" s="0" t="n">
        <v>4493250</v>
      </c>
      <c r="C14521" s="0" t="n">
        <v>4493270</v>
      </c>
      <c r="D14521" s="0" t="s">
        <v>48246</v>
      </c>
      <c r="E14521" s="0" t="s">
        <v>75</v>
      </c>
      <c r="F14521" s="0" t="s">
        <v>90</v>
      </c>
      <c r="G14521" s="0" t="s">
        <v>16</v>
      </c>
      <c r="H14521" s="0" t="n">
        <v>108</v>
      </c>
      <c r="I14521" s="0" t="s">
        <v>48253</v>
      </c>
      <c r="J14521" s="0" t="s">
        <v>48254</v>
      </c>
      <c r="K14521" s="0" t="s">
        <v>48255</v>
      </c>
      <c r="L14521" s="0" t="str">
        <f aca="false">HYPERLINK("https://www.ncbi.nlm.nih.gov/nuccore/CP000058.1?report=graph&amp;tracks=[key:gene_model_track,Options:GeneOnly]&amp;mk=4493331:4493350|offset_28|444444,4493285:4493304|offset_74|444444,4493251:4493270|offset_108|00cc00,4493223:4493242|offset_136|444444&amp;v=4493130:4493442&amp;c=444444", "offset 108")</f>
        <v>offset 108</v>
      </c>
    </row>
    <row r="14522" customFormat="false" ht="12.8" hidden="false" customHeight="false" outlineLevel="0" collapsed="false">
      <c r="A14522" s="0" t="s">
        <v>12</v>
      </c>
      <c r="B14522" s="0" t="n">
        <v>4493222</v>
      </c>
      <c r="C14522" s="0" t="n">
        <v>4493242</v>
      </c>
      <c r="D14522" s="0" t="s">
        <v>48246</v>
      </c>
      <c r="E14522" s="0" t="s">
        <v>75</v>
      </c>
      <c r="F14522" s="0" t="s">
        <v>90</v>
      </c>
      <c r="G14522" s="0" t="s">
        <v>36</v>
      </c>
      <c r="H14522" s="0" t="n">
        <v>136</v>
      </c>
      <c r="I14522" s="0" t="s">
        <v>48256</v>
      </c>
      <c r="J14522" s="0" t="s">
        <v>48257</v>
      </c>
      <c r="K14522" s="0" t="s">
        <v>48258</v>
      </c>
      <c r="L14522" s="0" t="str">
        <f aca="false">HYPERLINK("https://www.ncbi.nlm.nih.gov/nuccore/CP000058.1?report=graph&amp;tracks=[key:gene_model_track,Options:GeneOnly]&amp;mk=4493331:4493350|offset_28|444444,4493285:4493304|offset_74|444444,4493251:4493270|offset_108|444444,4493223:4493242|offset_136|00cc00&amp;v=4493130:4493442&amp;c=444444", "offset 136")</f>
        <v>offset 136</v>
      </c>
    </row>
    <row r="14523" customFormat="false" ht="12.8" hidden="false" customHeight="false" outlineLevel="0" collapsed="false">
      <c r="A14523" s="0" t="s">
        <v>12</v>
      </c>
      <c r="B14523" s="0" t="n">
        <v>4494702</v>
      </c>
      <c r="C14523" s="0" t="n">
        <v>4494722</v>
      </c>
      <c r="D14523" s="0" t="s">
        <v>48259</v>
      </c>
      <c r="E14523" s="0" t="s">
        <v>75</v>
      </c>
      <c r="F14523" s="0" t="s">
        <v>90</v>
      </c>
      <c r="G14523" s="0" t="s">
        <v>32</v>
      </c>
      <c r="H14523" s="0" t="n">
        <v>7</v>
      </c>
      <c r="I14523" s="0" t="s">
        <v>48260</v>
      </c>
      <c r="J14523" s="0" t="s">
        <v>48261</v>
      </c>
      <c r="K14523" s="0" t="s">
        <v>48262</v>
      </c>
      <c r="L14523" s="0" t="str">
        <f aca="false">HYPERLINK("https://www.ncbi.nlm.nih.gov/nuccore/CP000058.1?report=graph&amp;tracks=[key:gene_model_track,Options:GeneOnly]&amp;mk=4494703:4494722|offset_7|00cc00,4494679:4494698|offset_31|444444,4494653:4494672|offset_57|444444,4494566:4494585|offset_144|444444&amp;v=4494502:4494785&amp;c=444444", "offset 7")</f>
        <v>offset 7</v>
      </c>
    </row>
    <row r="14524" customFormat="false" ht="12.8" hidden="false" customHeight="false" outlineLevel="0" collapsed="false">
      <c r="A14524" s="0" t="s">
        <v>12</v>
      </c>
      <c r="B14524" s="0" t="n">
        <v>4494678</v>
      </c>
      <c r="C14524" s="0" t="n">
        <v>4494698</v>
      </c>
      <c r="D14524" s="0" t="s">
        <v>48259</v>
      </c>
      <c r="E14524" s="0" t="s">
        <v>75</v>
      </c>
      <c r="F14524" s="0" t="s">
        <v>90</v>
      </c>
      <c r="G14524" s="0" t="s">
        <v>16</v>
      </c>
      <c r="H14524" s="0" t="n">
        <v>31</v>
      </c>
      <c r="I14524" s="0" t="s">
        <v>48263</v>
      </c>
      <c r="J14524" s="0" t="s">
        <v>48264</v>
      </c>
      <c r="K14524" s="0" t="s">
        <v>48265</v>
      </c>
      <c r="L14524" s="0" t="str">
        <f aca="false">HYPERLINK("https://www.ncbi.nlm.nih.gov/nuccore/CP000058.1?report=graph&amp;tracks=[key:gene_model_track,Options:GeneOnly]&amp;mk=4494703:4494722|offset_7|444444,4494679:4494698|offset_31|00cc00,4494653:4494672|offset_57|444444,4494566:4494585|offset_144|444444&amp;v=4494502:4494785&amp;c=444444", "offset 31")</f>
        <v>offset 31</v>
      </c>
    </row>
    <row r="14525" customFormat="false" ht="12.8" hidden="false" customHeight="false" outlineLevel="0" collapsed="false">
      <c r="A14525" s="0" t="s">
        <v>12</v>
      </c>
      <c r="B14525" s="0" t="n">
        <v>4494652</v>
      </c>
      <c r="C14525" s="0" t="n">
        <v>4494672</v>
      </c>
      <c r="D14525" s="0" t="s">
        <v>48259</v>
      </c>
      <c r="E14525" s="0" t="s">
        <v>75</v>
      </c>
      <c r="F14525" s="0" t="s">
        <v>90</v>
      </c>
      <c r="G14525" s="0" t="s">
        <v>16</v>
      </c>
      <c r="H14525" s="0" t="n">
        <v>57</v>
      </c>
      <c r="I14525" s="0" t="s">
        <v>48266</v>
      </c>
      <c r="J14525" s="0" t="s">
        <v>48267</v>
      </c>
      <c r="K14525" s="0" t="s">
        <v>48268</v>
      </c>
      <c r="L14525" s="0" t="str">
        <f aca="false">HYPERLINK("https://www.ncbi.nlm.nih.gov/nuccore/CP000058.1?report=graph&amp;tracks=[key:gene_model_track,Options:GeneOnly]&amp;mk=4494703:4494722|offset_7|444444,4494679:4494698|offset_31|444444,4494653:4494672|offset_57|00cc00,4494566:4494585|offset_144|444444&amp;v=4494502:4494785&amp;c=444444", "offset 57")</f>
        <v>offset 57</v>
      </c>
    </row>
    <row r="14526" customFormat="false" ht="12.8" hidden="false" customHeight="false" outlineLevel="0" collapsed="false">
      <c r="A14526" s="0" t="s">
        <v>12</v>
      </c>
      <c r="B14526" s="0" t="n">
        <v>4494565</v>
      </c>
      <c r="C14526" s="0" t="n">
        <v>4494585</v>
      </c>
      <c r="D14526" s="0" t="s">
        <v>48259</v>
      </c>
      <c r="E14526" s="0" t="s">
        <v>75</v>
      </c>
      <c r="F14526" s="0" t="s">
        <v>90</v>
      </c>
      <c r="G14526" s="0" t="s">
        <v>16</v>
      </c>
      <c r="H14526" s="0" t="n">
        <v>144</v>
      </c>
      <c r="I14526" s="0" t="s">
        <v>48269</v>
      </c>
      <c r="J14526" s="0" t="s">
        <v>48270</v>
      </c>
      <c r="K14526" s="0" t="s">
        <v>48271</v>
      </c>
      <c r="L14526" s="0" t="str">
        <f aca="false">HYPERLINK("https://www.ncbi.nlm.nih.gov/nuccore/CP000058.1?report=graph&amp;tracks=[key:gene_model_track,Options:GeneOnly]&amp;mk=4494703:4494722|offset_7|444444,4494679:4494698|offset_31|444444,4494653:4494672|offset_57|444444,4494566:4494585|offset_144|00cc00&amp;v=4494502:4494785&amp;c=444444", "offset 144")</f>
        <v>offset 144</v>
      </c>
    </row>
    <row r="14527" customFormat="false" ht="12.8" hidden="false" customHeight="false" outlineLevel="0" collapsed="false">
      <c r="A14527" s="0" t="s">
        <v>12</v>
      </c>
      <c r="B14527" s="0" t="n">
        <v>4495611</v>
      </c>
      <c r="C14527" s="0" t="n">
        <v>4495631</v>
      </c>
      <c r="D14527" s="0" t="s">
        <v>48272</v>
      </c>
      <c r="E14527" s="0" t="s">
        <v>75</v>
      </c>
      <c r="F14527" s="0" t="s">
        <v>90</v>
      </c>
      <c r="G14527" s="0" t="s">
        <v>32</v>
      </c>
      <c r="H14527" s="0" t="n">
        <v>7</v>
      </c>
      <c r="I14527" s="0" t="s">
        <v>48273</v>
      </c>
      <c r="J14527" s="0" t="s">
        <v>48274</v>
      </c>
      <c r="K14527" s="0" t="s">
        <v>48275</v>
      </c>
      <c r="L14527" s="0" t="str">
        <f aca="false">HYPERLINK("https://www.ncbi.nlm.nih.gov/nuccore/CP000058.1?report=graph&amp;tracks=[key:gene_model_track,Options:GeneOnly]&amp;mk=4495612:4495631|offset_7|00cc00,4495532:4495551|offset_87|444444,4495512:4495531|offset_107|444444,4495487:4495506|offset_132|444444&amp;v=4495411:4495706&amp;c=444444", "offset 7")</f>
        <v>offset 7</v>
      </c>
    </row>
    <row r="14528" customFormat="false" ht="12.8" hidden="false" customHeight="false" outlineLevel="0" collapsed="false">
      <c r="A14528" s="0" t="s">
        <v>12</v>
      </c>
      <c r="B14528" s="0" t="n">
        <v>4495531</v>
      </c>
      <c r="C14528" s="0" t="n">
        <v>4495551</v>
      </c>
      <c r="D14528" s="0" t="s">
        <v>48272</v>
      </c>
      <c r="E14528" s="0" t="s">
        <v>75</v>
      </c>
      <c r="F14528" s="0" t="s">
        <v>90</v>
      </c>
      <c r="G14528" s="0" t="s">
        <v>16</v>
      </c>
      <c r="H14528" s="0" t="n">
        <v>87</v>
      </c>
      <c r="I14528" s="0" t="s">
        <v>48276</v>
      </c>
      <c r="J14528" s="0" t="s">
        <v>48277</v>
      </c>
      <c r="K14528" s="0" t="s">
        <v>48278</v>
      </c>
      <c r="L14528" s="0" t="str">
        <f aca="false">HYPERLINK("https://www.ncbi.nlm.nih.gov/nuccore/CP000058.1?report=graph&amp;tracks=[key:gene_model_track,Options:GeneOnly]&amp;mk=4495612:4495631|offset_7|444444,4495532:4495551|offset_87|00cc00,4495512:4495531|offset_107|444444,4495487:4495506|offset_132|444444&amp;v=4495411:4495706&amp;c=444444", "offset 87")</f>
        <v>offset 87</v>
      </c>
    </row>
    <row r="14529" customFormat="false" ht="12.8" hidden="false" customHeight="false" outlineLevel="0" collapsed="false">
      <c r="A14529" s="0" t="s">
        <v>12</v>
      </c>
      <c r="B14529" s="0" t="n">
        <v>4495511</v>
      </c>
      <c r="C14529" s="0" t="n">
        <v>4495531</v>
      </c>
      <c r="D14529" s="0" t="s">
        <v>48272</v>
      </c>
      <c r="E14529" s="0" t="s">
        <v>75</v>
      </c>
      <c r="F14529" s="0" t="s">
        <v>90</v>
      </c>
      <c r="G14529" s="0" t="s">
        <v>20</v>
      </c>
      <c r="H14529" s="0" t="n">
        <v>107</v>
      </c>
      <c r="I14529" s="0" t="s">
        <v>48279</v>
      </c>
      <c r="J14529" s="0" t="s">
        <v>48280</v>
      </c>
      <c r="K14529" s="0" t="s">
        <v>48281</v>
      </c>
      <c r="L14529" s="0" t="str">
        <f aca="false">HYPERLINK("https://www.ncbi.nlm.nih.gov/nuccore/CP000058.1?report=graph&amp;tracks=[key:gene_model_track,Options:GeneOnly]&amp;mk=4495612:4495631|offset_7|444444,4495532:4495551|offset_87|444444,4495512:4495531|offset_107|00cc00,4495487:4495506|offset_132|444444&amp;v=4495411:4495706&amp;c=444444", "offset 107")</f>
        <v>offset 107</v>
      </c>
    </row>
    <row r="14530" customFormat="false" ht="12.8" hidden="false" customHeight="false" outlineLevel="0" collapsed="false">
      <c r="A14530" s="0" t="s">
        <v>12</v>
      </c>
      <c r="B14530" s="0" t="n">
        <v>4495486</v>
      </c>
      <c r="C14530" s="0" t="n">
        <v>4495506</v>
      </c>
      <c r="D14530" s="0" t="s">
        <v>48272</v>
      </c>
      <c r="E14530" s="0" t="s">
        <v>75</v>
      </c>
      <c r="F14530" s="0" t="s">
        <v>90</v>
      </c>
      <c r="G14530" s="0" t="s">
        <v>16</v>
      </c>
      <c r="H14530" s="0" t="n">
        <v>132</v>
      </c>
      <c r="I14530" s="0" t="s">
        <v>48282</v>
      </c>
      <c r="J14530" s="0" t="s">
        <v>48283</v>
      </c>
      <c r="K14530" s="0" t="s">
        <v>48284</v>
      </c>
      <c r="L14530" s="0" t="str">
        <f aca="false">HYPERLINK("https://www.ncbi.nlm.nih.gov/nuccore/CP000058.1?report=graph&amp;tracks=[key:gene_model_track,Options:GeneOnly]&amp;mk=4495612:4495631|offset_7|444444,4495532:4495551|offset_87|444444,4495512:4495531|offset_107|444444,4495487:4495506|offset_132|00cc00&amp;v=4495411:4495706&amp;c=444444", "offset 132")</f>
        <v>offset 132</v>
      </c>
    </row>
    <row r="14531" customFormat="false" ht="12.8" hidden="false" customHeight="false" outlineLevel="0" collapsed="false">
      <c r="A14531" s="0" t="s">
        <v>12</v>
      </c>
      <c r="B14531" s="0" t="n">
        <v>4497068</v>
      </c>
      <c r="C14531" s="0" t="n">
        <v>4497088</v>
      </c>
      <c r="D14531" s="0" t="s">
        <v>48285</v>
      </c>
      <c r="E14531" s="0" t="s">
        <v>75</v>
      </c>
      <c r="F14531" s="0" t="s">
        <v>90</v>
      </c>
      <c r="G14531" s="0" t="s">
        <v>32</v>
      </c>
      <c r="H14531" s="0" t="n">
        <v>1</v>
      </c>
      <c r="I14531" s="0" t="s">
        <v>48286</v>
      </c>
      <c r="J14531" s="0" t="s">
        <v>48287</v>
      </c>
      <c r="K14531" s="0" t="s">
        <v>48288</v>
      </c>
      <c r="L14531" s="0" t="str">
        <f aca="false">HYPERLINK("https://www.ncbi.nlm.nih.gov/nuccore/CP000058.1?report=graph&amp;tracks=[key:gene_model_track,Options:GeneOnly]&amp;mk=4497069:4497088|offset_1|00cc00,4497039:4497058|offset_31|444444,4497018:4497037|offset_52|444444,4496990:4497009|offset_80|444444&amp;v=4496868:4497209&amp;c=444444", "offset 1")</f>
        <v>offset 1</v>
      </c>
    </row>
    <row r="14532" customFormat="false" ht="12.8" hidden="false" customHeight="false" outlineLevel="0" collapsed="false">
      <c r="A14532" s="0" t="s">
        <v>12</v>
      </c>
      <c r="B14532" s="0" t="n">
        <v>4497038</v>
      </c>
      <c r="C14532" s="0" t="n">
        <v>4497058</v>
      </c>
      <c r="D14532" s="0" t="s">
        <v>48285</v>
      </c>
      <c r="E14532" s="0" t="s">
        <v>75</v>
      </c>
      <c r="F14532" s="0" t="s">
        <v>90</v>
      </c>
      <c r="G14532" s="0" t="s">
        <v>16</v>
      </c>
      <c r="H14532" s="0" t="n">
        <v>31</v>
      </c>
      <c r="I14532" s="0" t="s">
        <v>48289</v>
      </c>
      <c r="J14532" s="0" t="s">
        <v>48290</v>
      </c>
      <c r="K14532" s="0" t="s">
        <v>48291</v>
      </c>
      <c r="L14532" s="0" t="str">
        <f aca="false">HYPERLINK("https://www.ncbi.nlm.nih.gov/nuccore/CP000058.1?report=graph&amp;tracks=[key:gene_model_track,Options:GeneOnly]&amp;mk=4497069:4497088|offset_1|444444,4497039:4497058|offset_31|00cc00,4497018:4497037|offset_52|444444,4496990:4497009|offset_80|444444&amp;v=4496868:4497209&amp;c=444444", "offset 31")</f>
        <v>offset 31</v>
      </c>
    </row>
    <row r="14533" customFormat="false" ht="12.8" hidden="false" customHeight="false" outlineLevel="0" collapsed="false">
      <c r="A14533" s="0" t="s">
        <v>12</v>
      </c>
      <c r="B14533" s="0" t="n">
        <v>4497017</v>
      </c>
      <c r="C14533" s="0" t="n">
        <v>4497037</v>
      </c>
      <c r="D14533" s="0" t="s">
        <v>48285</v>
      </c>
      <c r="E14533" s="0" t="s">
        <v>75</v>
      </c>
      <c r="F14533" s="0" t="s">
        <v>90</v>
      </c>
      <c r="G14533" s="0" t="s">
        <v>16</v>
      </c>
      <c r="H14533" s="0" t="n">
        <v>52</v>
      </c>
      <c r="I14533" s="0" t="s">
        <v>48292</v>
      </c>
      <c r="J14533" s="0" t="s">
        <v>48293</v>
      </c>
      <c r="K14533" s="0" t="s">
        <v>48294</v>
      </c>
      <c r="L14533" s="0" t="str">
        <f aca="false">HYPERLINK("https://www.ncbi.nlm.nih.gov/nuccore/CP000058.1?report=graph&amp;tracks=[key:gene_model_track,Options:GeneOnly]&amp;mk=4497069:4497088|offset_1|444444,4497039:4497058|offset_31|444444,4497018:4497037|offset_52|00cc00,4496990:4497009|offset_80|444444&amp;v=4496868:4497209&amp;c=444444", "offset 52")</f>
        <v>offset 52</v>
      </c>
    </row>
    <row r="14534" customFormat="false" ht="12.8" hidden="false" customHeight="false" outlineLevel="0" collapsed="false">
      <c r="A14534" s="0" t="s">
        <v>12</v>
      </c>
      <c r="B14534" s="0" t="n">
        <v>4496989</v>
      </c>
      <c r="C14534" s="0" t="n">
        <v>4497009</v>
      </c>
      <c r="D14534" s="0" t="s">
        <v>48285</v>
      </c>
      <c r="E14534" s="0" t="s">
        <v>75</v>
      </c>
      <c r="F14534" s="0" t="s">
        <v>90</v>
      </c>
      <c r="G14534" s="0" t="s">
        <v>36</v>
      </c>
      <c r="H14534" s="0" t="n">
        <v>80</v>
      </c>
      <c r="I14534" s="0" t="s">
        <v>48295</v>
      </c>
      <c r="J14534" s="0" t="s">
        <v>48296</v>
      </c>
      <c r="K14534" s="0" t="s">
        <v>48297</v>
      </c>
      <c r="L14534" s="0" t="str">
        <f aca="false">HYPERLINK("https://www.ncbi.nlm.nih.gov/nuccore/CP000058.1?report=graph&amp;tracks=[key:gene_model_track,Options:GeneOnly]&amp;mk=4497069:4497088|offset_1|444444,4497039:4497058|offset_31|444444,4497018:4497037|offset_52|444444,4496990:4497009|offset_80|00cc00&amp;v=4496868:4497209&amp;c=444444", "offset 80")</f>
        <v>offset 80</v>
      </c>
    </row>
    <row r="14535" customFormat="false" ht="12.8" hidden="false" customHeight="false" outlineLevel="0" collapsed="false">
      <c r="A14535" s="0" t="s">
        <v>12</v>
      </c>
      <c r="B14535" s="0" t="n">
        <v>4497436</v>
      </c>
      <c r="C14535" s="0" t="n">
        <v>4497456</v>
      </c>
      <c r="D14535" s="0" t="s">
        <v>48298</v>
      </c>
      <c r="E14535" s="0" t="s">
        <v>75</v>
      </c>
      <c r="F14535" s="0" t="s">
        <v>15</v>
      </c>
      <c r="G14535" s="0" t="s">
        <v>16</v>
      </c>
      <c r="H14535" s="0" t="n">
        <v>9</v>
      </c>
      <c r="I14535" s="0" t="s">
        <v>48299</v>
      </c>
      <c r="J14535" s="0" t="s">
        <v>48300</v>
      </c>
      <c r="K14535" s="0" t="s">
        <v>48301</v>
      </c>
      <c r="L14535" s="0" t="str">
        <f aca="false">HYPERLINK("https://www.ncbi.nlm.nih.gov/nuccore/CP000058.1?report=graph&amp;tracks=[key:gene_model_track,Options:GeneOnly]&amp;mk=4497437:4497456|offset_9|00cc00,4497462:4497481|offset_34|444444,4497484:4497503|offset_56|444444,4497525:4497544|offset_97|444444&amp;v=4497236:4497744&amp;c=444444", "offset 9")</f>
        <v>offset 9</v>
      </c>
    </row>
    <row r="14536" customFormat="false" ht="12.8" hidden="false" customHeight="false" outlineLevel="0" collapsed="false">
      <c r="A14536" s="0" t="s">
        <v>12</v>
      </c>
      <c r="B14536" s="0" t="n">
        <v>4497461</v>
      </c>
      <c r="C14536" s="0" t="n">
        <v>4497481</v>
      </c>
      <c r="D14536" s="0" t="s">
        <v>48298</v>
      </c>
      <c r="E14536" s="0" t="s">
        <v>75</v>
      </c>
      <c r="F14536" s="0" t="s">
        <v>15</v>
      </c>
      <c r="G14536" s="0" t="s">
        <v>16</v>
      </c>
      <c r="H14536" s="0" t="n">
        <v>34</v>
      </c>
      <c r="I14536" s="0" t="s">
        <v>48302</v>
      </c>
      <c r="J14536" s="0" t="s">
        <v>48303</v>
      </c>
      <c r="K14536" s="0" t="s">
        <v>48304</v>
      </c>
      <c r="L14536" s="0" t="str">
        <f aca="false">HYPERLINK("https://www.ncbi.nlm.nih.gov/nuccore/CP000058.1?report=graph&amp;tracks=[key:gene_model_track,Options:GeneOnly]&amp;mk=4497437:4497456|offset_9|444444,4497462:4497481|offset_34|00cc00,4497484:4497503|offset_56|444444,4497525:4497544|offset_97|444444&amp;v=4497236:4497744&amp;c=444444", "offset 34")</f>
        <v>offset 34</v>
      </c>
    </row>
    <row r="14537" customFormat="false" ht="12.8" hidden="false" customHeight="false" outlineLevel="0" collapsed="false">
      <c r="A14537" s="0" t="s">
        <v>12</v>
      </c>
      <c r="B14537" s="0" t="n">
        <v>4497483</v>
      </c>
      <c r="C14537" s="0" t="n">
        <v>4497503</v>
      </c>
      <c r="D14537" s="0" t="s">
        <v>48298</v>
      </c>
      <c r="E14537" s="0" t="s">
        <v>75</v>
      </c>
      <c r="F14537" s="0" t="s">
        <v>15</v>
      </c>
      <c r="G14537" s="0" t="s">
        <v>16</v>
      </c>
      <c r="H14537" s="0" t="n">
        <v>56</v>
      </c>
      <c r="I14537" s="0" t="s">
        <v>48305</v>
      </c>
      <c r="J14537" s="0" t="s">
        <v>48306</v>
      </c>
      <c r="K14537" s="0" t="s">
        <v>48307</v>
      </c>
      <c r="L14537" s="0" t="str">
        <f aca="false">HYPERLINK("https://www.ncbi.nlm.nih.gov/nuccore/CP000058.1?report=graph&amp;tracks=[key:gene_model_track,Options:GeneOnly]&amp;mk=4497437:4497456|offset_9|444444,4497462:4497481|offset_34|444444,4497484:4497503|offset_56|00cc00,4497525:4497544|offset_97|444444&amp;v=4497236:4497744&amp;c=444444", "offset 56")</f>
        <v>offset 56</v>
      </c>
    </row>
    <row r="14538" customFormat="false" ht="12.8" hidden="false" customHeight="false" outlineLevel="0" collapsed="false">
      <c r="A14538" s="0" t="s">
        <v>12</v>
      </c>
      <c r="B14538" s="0" t="n">
        <v>4497524</v>
      </c>
      <c r="C14538" s="0" t="n">
        <v>4497544</v>
      </c>
      <c r="D14538" s="0" t="s">
        <v>48298</v>
      </c>
      <c r="E14538" s="0" t="s">
        <v>75</v>
      </c>
      <c r="F14538" s="0" t="s">
        <v>15</v>
      </c>
      <c r="G14538" s="0" t="s">
        <v>32</v>
      </c>
      <c r="H14538" s="0" t="n">
        <v>97</v>
      </c>
      <c r="I14538" s="0" t="s">
        <v>48308</v>
      </c>
      <c r="J14538" s="0" t="s">
        <v>48309</v>
      </c>
      <c r="K14538" s="0" t="s">
        <v>48310</v>
      </c>
      <c r="L14538" s="0" t="str">
        <f aca="false">HYPERLINK("https://www.ncbi.nlm.nih.gov/nuccore/CP000058.1?report=graph&amp;tracks=[key:gene_model_track,Options:GeneOnly]&amp;mk=4497437:4497456|offset_9|444444,4497462:4497481|offset_34|444444,4497484:4497503|offset_56|444444,4497525:4497544|offset_97|00cc00&amp;v=4497236:4497744&amp;c=444444", "offset 97")</f>
        <v>offset 97</v>
      </c>
    </row>
    <row r="14539" customFormat="false" ht="12.8" hidden="false" customHeight="false" outlineLevel="0" collapsed="false">
      <c r="A14539" s="0" t="s">
        <v>12</v>
      </c>
      <c r="B14539" s="0" t="n">
        <v>4498966</v>
      </c>
      <c r="C14539" s="0" t="n">
        <v>4498986</v>
      </c>
      <c r="D14539" s="0" t="s">
        <v>48311</v>
      </c>
      <c r="E14539" s="0" t="s">
        <v>75</v>
      </c>
      <c r="F14539" s="0" t="s">
        <v>90</v>
      </c>
      <c r="G14539" s="0" t="s">
        <v>16</v>
      </c>
      <c r="H14539" s="0" t="n">
        <v>43</v>
      </c>
      <c r="I14539" s="0" t="s">
        <v>48312</v>
      </c>
      <c r="J14539" s="0" t="s">
        <v>48313</v>
      </c>
      <c r="K14539" s="0" t="s">
        <v>48314</v>
      </c>
      <c r="L14539" s="0" t="str">
        <f aca="false">HYPERLINK("https://www.ncbi.nlm.nih.gov/nuccore/CP000058.1?report=graph&amp;tracks=[key:gene_model_track,Options:GeneOnly]&amp;mk=4498967:4498986|offset_43|00cc00,4498944:4498963|offset_66|444444,4498915:4498934|offset_95|444444,4498894:4498913|offset_116|444444&amp;v=4498766:4499113&amp;c=444444", "offset 43")</f>
        <v>offset 43</v>
      </c>
    </row>
    <row r="14540" customFormat="false" ht="12.8" hidden="false" customHeight="false" outlineLevel="0" collapsed="false">
      <c r="A14540" s="0" t="s">
        <v>12</v>
      </c>
      <c r="B14540" s="0" t="n">
        <v>4498943</v>
      </c>
      <c r="C14540" s="0" t="n">
        <v>4498963</v>
      </c>
      <c r="D14540" s="0" t="s">
        <v>48311</v>
      </c>
      <c r="E14540" s="0" t="s">
        <v>75</v>
      </c>
      <c r="F14540" s="0" t="s">
        <v>90</v>
      </c>
      <c r="G14540" s="0" t="s">
        <v>36</v>
      </c>
      <c r="H14540" s="0" t="n">
        <v>66</v>
      </c>
      <c r="I14540" s="0" t="s">
        <v>48315</v>
      </c>
      <c r="J14540" s="0" t="s">
        <v>48316</v>
      </c>
      <c r="K14540" s="0" t="s">
        <v>48317</v>
      </c>
      <c r="L14540" s="0" t="str">
        <f aca="false">HYPERLINK("https://www.ncbi.nlm.nih.gov/nuccore/CP000058.1?report=graph&amp;tracks=[key:gene_model_track,Options:GeneOnly]&amp;mk=4498967:4498986|offset_43|444444,4498944:4498963|offset_66|00cc00,4498915:4498934|offset_95|444444,4498894:4498913|offset_116|444444&amp;v=4498766:4499113&amp;c=444444", "offset 66")</f>
        <v>offset 66</v>
      </c>
    </row>
    <row r="14541" customFormat="false" ht="12.8" hidden="false" customHeight="false" outlineLevel="0" collapsed="false">
      <c r="A14541" s="0" t="s">
        <v>12</v>
      </c>
      <c r="B14541" s="0" t="n">
        <v>4498914</v>
      </c>
      <c r="C14541" s="0" t="n">
        <v>4498934</v>
      </c>
      <c r="D14541" s="0" t="s">
        <v>48311</v>
      </c>
      <c r="E14541" s="0" t="s">
        <v>75</v>
      </c>
      <c r="F14541" s="0" t="s">
        <v>90</v>
      </c>
      <c r="G14541" s="0" t="s">
        <v>20</v>
      </c>
      <c r="H14541" s="0" t="n">
        <v>95</v>
      </c>
      <c r="I14541" s="0" t="s">
        <v>48318</v>
      </c>
      <c r="J14541" s="0" t="s">
        <v>48319</v>
      </c>
      <c r="K14541" s="0" t="s">
        <v>48320</v>
      </c>
      <c r="L14541" s="0" t="str">
        <f aca="false">HYPERLINK("https://www.ncbi.nlm.nih.gov/nuccore/CP000058.1?report=graph&amp;tracks=[key:gene_model_track,Options:GeneOnly]&amp;mk=4498967:4498986|offset_43|444444,4498944:4498963|offset_66|444444,4498915:4498934|offset_95|00cc00,4498894:4498913|offset_116|444444&amp;v=4498766:4499113&amp;c=444444", "offset 95")</f>
        <v>offset 95</v>
      </c>
    </row>
    <row r="14542" customFormat="false" ht="12.8" hidden="false" customHeight="false" outlineLevel="0" collapsed="false">
      <c r="A14542" s="0" t="s">
        <v>12</v>
      </c>
      <c r="B14542" s="0" t="n">
        <v>4498893</v>
      </c>
      <c r="C14542" s="0" t="n">
        <v>4498913</v>
      </c>
      <c r="D14542" s="0" t="s">
        <v>48311</v>
      </c>
      <c r="E14542" s="0" t="s">
        <v>75</v>
      </c>
      <c r="F14542" s="0" t="s">
        <v>90</v>
      </c>
      <c r="G14542" s="0" t="s">
        <v>32</v>
      </c>
      <c r="H14542" s="0" t="n">
        <v>116</v>
      </c>
      <c r="I14542" s="0" t="s">
        <v>48321</v>
      </c>
      <c r="J14542" s="0" t="s">
        <v>48322</v>
      </c>
      <c r="K14542" s="0" t="s">
        <v>48323</v>
      </c>
      <c r="L14542" s="0" t="str">
        <f aca="false">HYPERLINK("https://www.ncbi.nlm.nih.gov/nuccore/CP000058.1?report=graph&amp;tracks=[key:gene_model_track,Options:GeneOnly]&amp;mk=4498967:4498986|offset_43|444444,4498944:4498963|offset_66|444444,4498915:4498934|offset_95|444444,4498894:4498913|offset_116|00cc00&amp;v=4498766:4499113&amp;c=444444", "offset 116")</f>
        <v>offset 116</v>
      </c>
    </row>
    <row r="14543" customFormat="false" ht="12.8" hidden="false" customHeight="false" outlineLevel="0" collapsed="false">
      <c r="A14543" s="0" t="s">
        <v>12</v>
      </c>
      <c r="B14543" s="0" t="n">
        <v>4499883</v>
      </c>
      <c r="C14543" s="0" t="n">
        <v>4499903</v>
      </c>
      <c r="D14543" s="0" t="s">
        <v>48324</v>
      </c>
      <c r="E14543" s="0" t="s">
        <v>75</v>
      </c>
      <c r="F14543" s="0" t="s">
        <v>90</v>
      </c>
      <c r="G14543" s="0" t="s">
        <v>32</v>
      </c>
      <c r="H14543" s="0" t="n">
        <v>1</v>
      </c>
      <c r="I14543" s="0" t="s">
        <v>48325</v>
      </c>
      <c r="J14543" s="0" t="s">
        <v>48326</v>
      </c>
      <c r="K14543" s="0" t="s">
        <v>48327</v>
      </c>
      <c r="L14543" s="0" t="str">
        <f aca="false">HYPERLINK("https://www.ncbi.nlm.nih.gov/nuccore/CP000058.1?report=graph&amp;tracks=[key:gene_model_track,Options:GeneOnly]&amp;mk=4499884:4499903|offset_1|00cc00,4499824:4499843|offset_61|444444,4499796:4499815|offset_89|444444,4499770:4499789|offset_115|444444&amp;v=4499683:4499989&amp;c=444444", "offset 1")</f>
        <v>offset 1</v>
      </c>
    </row>
    <row r="14544" customFormat="false" ht="12.8" hidden="false" customHeight="false" outlineLevel="0" collapsed="false">
      <c r="A14544" s="0" t="s">
        <v>12</v>
      </c>
      <c r="B14544" s="0" t="n">
        <v>4499823</v>
      </c>
      <c r="C14544" s="0" t="n">
        <v>4499843</v>
      </c>
      <c r="D14544" s="0" t="s">
        <v>48324</v>
      </c>
      <c r="E14544" s="0" t="s">
        <v>75</v>
      </c>
      <c r="F14544" s="0" t="s">
        <v>90</v>
      </c>
      <c r="G14544" s="0" t="s">
        <v>36</v>
      </c>
      <c r="H14544" s="0" t="n">
        <v>61</v>
      </c>
      <c r="I14544" s="0" t="s">
        <v>48328</v>
      </c>
      <c r="J14544" s="0" t="s">
        <v>48329</v>
      </c>
      <c r="K14544" s="0" t="s">
        <v>48330</v>
      </c>
      <c r="L14544" s="0" t="str">
        <f aca="false">HYPERLINK("https://www.ncbi.nlm.nih.gov/nuccore/CP000058.1?report=graph&amp;tracks=[key:gene_model_track,Options:GeneOnly]&amp;mk=4499884:4499903|offset_1|444444,4499824:4499843|offset_61|00cc00,4499796:4499815|offset_89|444444,4499770:4499789|offset_115|444444&amp;v=4499683:4499989&amp;c=444444", "offset 61")</f>
        <v>offset 61</v>
      </c>
    </row>
    <row r="14545" customFormat="false" ht="12.8" hidden="false" customHeight="false" outlineLevel="0" collapsed="false">
      <c r="A14545" s="0" t="s">
        <v>12</v>
      </c>
      <c r="B14545" s="0" t="n">
        <v>4499795</v>
      </c>
      <c r="C14545" s="0" t="n">
        <v>4499815</v>
      </c>
      <c r="D14545" s="0" t="s">
        <v>48324</v>
      </c>
      <c r="E14545" s="0" t="s">
        <v>75</v>
      </c>
      <c r="F14545" s="0" t="s">
        <v>90</v>
      </c>
      <c r="G14545" s="0" t="s">
        <v>16</v>
      </c>
      <c r="H14545" s="0" t="n">
        <v>89</v>
      </c>
      <c r="I14545" s="0" t="s">
        <v>48331</v>
      </c>
      <c r="J14545" s="0" t="s">
        <v>48332</v>
      </c>
      <c r="K14545" s="0" t="s">
        <v>48333</v>
      </c>
      <c r="L14545" s="0" t="str">
        <f aca="false">HYPERLINK("https://www.ncbi.nlm.nih.gov/nuccore/CP000058.1?report=graph&amp;tracks=[key:gene_model_track,Options:GeneOnly]&amp;mk=4499884:4499903|offset_1|444444,4499824:4499843|offset_61|444444,4499796:4499815|offset_89|00cc00,4499770:4499789|offset_115|444444&amp;v=4499683:4499989&amp;c=444444", "offset 89")</f>
        <v>offset 89</v>
      </c>
    </row>
    <row r="14546" customFormat="false" ht="12.8" hidden="false" customHeight="false" outlineLevel="0" collapsed="false">
      <c r="A14546" s="0" t="s">
        <v>12</v>
      </c>
      <c r="B14546" s="0" t="n">
        <v>4499769</v>
      </c>
      <c r="C14546" s="0" t="n">
        <v>4499789</v>
      </c>
      <c r="D14546" s="0" t="s">
        <v>48324</v>
      </c>
      <c r="E14546" s="0" t="s">
        <v>75</v>
      </c>
      <c r="F14546" s="0" t="s">
        <v>90</v>
      </c>
      <c r="G14546" s="0" t="s">
        <v>32</v>
      </c>
      <c r="H14546" s="0" t="n">
        <v>115</v>
      </c>
      <c r="I14546" s="0" t="s">
        <v>48334</v>
      </c>
      <c r="J14546" s="0" t="s">
        <v>48335</v>
      </c>
      <c r="K14546" s="0" t="s">
        <v>48336</v>
      </c>
      <c r="L14546" s="0" t="str">
        <f aca="false">HYPERLINK("https://www.ncbi.nlm.nih.gov/nuccore/CP000058.1?report=graph&amp;tracks=[key:gene_model_track,Options:GeneOnly]&amp;mk=4499884:4499903|offset_1|444444,4499824:4499843|offset_61|444444,4499796:4499815|offset_89|444444,4499770:4499789|offset_115|00cc00&amp;v=4499683:4499989&amp;c=444444", "offset 115")</f>
        <v>offset 115</v>
      </c>
    </row>
    <row r="14547" customFormat="false" ht="12.8" hidden="false" customHeight="false" outlineLevel="0" collapsed="false">
      <c r="A14547" s="0" t="s">
        <v>12</v>
      </c>
      <c r="B14547" s="0" t="n">
        <v>4502226</v>
      </c>
      <c r="C14547" s="0" t="n">
        <v>4502246</v>
      </c>
      <c r="D14547" s="0" t="s">
        <v>48337</v>
      </c>
      <c r="E14547" s="0" t="s">
        <v>75</v>
      </c>
      <c r="F14547" s="0" t="s">
        <v>90</v>
      </c>
      <c r="G14547" s="0" t="s">
        <v>32</v>
      </c>
      <c r="H14547" s="0" t="n">
        <v>16</v>
      </c>
      <c r="I14547" s="0" t="s">
        <v>48338</v>
      </c>
      <c r="J14547" s="0" t="s">
        <v>48339</v>
      </c>
      <c r="K14547" s="0" t="s">
        <v>48340</v>
      </c>
      <c r="L14547" s="0" t="str">
        <f aca="false">HYPERLINK("https://www.ncbi.nlm.nih.gov/nuccore/CP000058.1?report=graph&amp;tracks=[key:gene_model_track,Options:GeneOnly]&amp;mk=4502227:4502246|offset_16|00cc00,4502206:4502225|offset_37|444444,4502140:4502159|offset_103|444444,4502116:4502135|offset_127|444444&amp;v=4502026:4502335&amp;c=444444", "offset 16")</f>
        <v>offset 16</v>
      </c>
    </row>
    <row r="14548" customFormat="false" ht="12.8" hidden="false" customHeight="false" outlineLevel="0" collapsed="false">
      <c r="A14548" s="0" t="s">
        <v>12</v>
      </c>
      <c r="B14548" s="0" t="n">
        <v>4502205</v>
      </c>
      <c r="C14548" s="0" t="n">
        <v>4502225</v>
      </c>
      <c r="D14548" s="0" t="s">
        <v>48337</v>
      </c>
      <c r="E14548" s="0" t="s">
        <v>75</v>
      </c>
      <c r="F14548" s="0" t="s">
        <v>90</v>
      </c>
      <c r="G14548" s="0" t="s">
        <v>16</v>
      </c>
      <c r="H14548" s="0" t="n">
        <v>37</v>
      </c>
      <c r="I14548" s="0" t="s">
        <v>48341</v>
      </c>
      <c r="J14548" s="0" t="s">
        <v>48342</v>
      </c>
      <c r="K14548" s="0" t="s">
        <v>48343</v>
      </c>
      <c r="L14548" s="0" t="str">
        <f aca="false">HYPERLINK("https://www.ncbi.nlm.nih.gov/nuccore/CP000058.1?report=graph&amp;tracks=[key:gene_model_track,Options:GeneOnly]&amp;mk=4502227:4502246|offset_16|444444,4502206:4502225|offset_37|00cc00,4502140:4502159|offset_103|444444,4502116:4502135|offset_127|444444&amp;v=4502026:4502335&amp;c=444444", "offset 37")</f>
        <v>offset 37</v>
      </c>
    </row>
    <row r="14549" customFormat="false" ht="12.8" hidden="false" customHeight="false" outlineLevel="0" collapsed="false">
      <c r="A14549" s="0" t="s">
        <v>12</v>
      </c>
      <c r="B14549" s="0" t="n">
        <v>4502139</v>
      </c>
      <c r="C14549" s="0" t="n">
        <v>4502159</v>
      </c>
      <c r="D14549" s="0" t="s">
        <v>48337</v>
      </c>
      <c r="E14549" s="0" t="s">
        <v>75</v>
      </c>
      <c r="F14549" s="0" t="s">
        <v>90</v>
      </c>
      <c r="G14549" s="0" t="s">
        <v>16</v>
      </c>
      <c r="H14549" s="0" t="n">
        <v>103</v>
      </c>
      <c r="I14549" s="0" t="s">
        <v>48344</v>
      </c>
      <c r="J14549" s="0" t="s">
        <v>48345</v>
      </c>
      <c r="K14549" s="0" t="s">
        <v>48346</v>
      </c>
      <c r="L14549" s="0" t="str">
        <f aca="false">HYPERLINK("https://www.ncbi.nlm.nih.gov/nuccore/CP000058.1?report=graph&amp;tracks=[key:gene_model_track,Options:GeneOnly]&amp;mk=4502227:4502246|offset_16|444444,4502206:4502225|offset_37|444444,4502140:4502159|offset_103|00cc00,4502116:4502135|offset_127|444444&amp;v=4502026:4502335&amp;c=444444", "offset 103")</f>
        <v>offset 103</v>
      </c>
    </row>
    <row r="14550" customFormat="false" ht="12.8" hidden="false" customHeight="false" outlineLevel="0" collapsed="false">
      <c r="A14550" s="0" t="s">
        <v>12</v>
      </c>
      <c r="B14550" s="0" t="n">
        <v>4502115</v>
      </c>
      <c r="C14550" s="0" t="n">
        <v>4502135</v>
      </c>
      <c r="D14550" s="0" t="s">
        <v>48337</v>
      </c>
      <c r="E14550" s="0" t="s">
        <v>75</v>
      </c>
      <c r="F14550" s="0" t="s">
        <v>90</v>
      </c>
      <c r="G14550" s="0" t="s">
        <v>36</v>
      </c>
      <c r="H14550" s="0" t="n">
        <v>127</v>
      </c>
      <c r="I14550" s="0" t="s">
        <v>48347</v>
      </c>
      <c r="J14550" s="0" t="s">
        <v>48348</v>
      </c>
      <c r="K14550" s="0" t="s">
        <v>48349</v>
      </c>
      <c r="L14550" s="0" t="str">
        <f aca="false">HYPERLINK("https://www.ncbi.nlm.nih.gov/nuccore/CP000058.1?report=graph&amp;tracks=[key:gene_model_track,Options:GeneOnly]&amp;mk=4502227:4502246|offset_16|444444,4502206:4502225|offset_37|444444,4502140:4502159|offset_103|444444,4502116:4502135|offset_127|00cc00&amp;v=4502026:4502335&amp;c=444444", "offset 127")</f>
        <v>offset 127</v>
      </c>
    </row>
    <row r="14551" customFormat="false" ht="12.8" hidden="false" customHeight="false" outlineLevel="0" collapsed="false">
      <c r="A14551" s="0" t="s">
        <v>12</v>
      </c>
      <c r="B14551" s="0" t="n">
        <v>4502976</v>
      </c>
      <c r="C14551" s="0" t="n">
        <v>4502996</v>
      </c>
      <c r="D14551" s="0" t="s">
        <v>48350</v>
      </c>
      <c r="E14551" s="0" t="s">
        <v>75</v>
      </c>
      <c r="F14551" s="0" t="s">
        <v>90</v>
      </c>
      <c r="G14551" s="0" t="s">
        <v>32</v>
      </c>
      <c r="H14551" s="0" t="n">
        <v>33</v>
      </c>
      <c r="I14551" s="0" t="s">
        <v>48351</v>
      </c>
      <c r="J14551" s="0" t="s">
        <v>48352</v>
      </c>
      <c r="K14551" s="0" t="s">
        <v>48353</v>
      </c>
      <c r="L14551" s="0" t="str">
        <f aca="false">HYPERLINK("https://www.ncbi.nlm.nih.gov/nuccore/CP000058.1?report=graph&amp;tracks=[key:gene_model_track,Options:GeneOnly]&amp;mk=4502977:4502996|offset_33|00cc00,4502932:4502951|offset_78|444444,4502907:4502926|offset_103|444444,4502838:4502857|offset_172|444444&amp;v=4502776:4503057&amp;c=444444", "offset 33")</f>
        <v>offset 33</v>
      </c>
    </row>
    <row r="14552" customFormat="false" ht="12.8" hidden="false" customHeight="false" outlineLevel="0" collapsed="false">
      <c r="A14552" s="0" t="s">
        <v>12</v>
      </c>
      <c r="B14552" s="0" t="n">
        <v>4502931</v>
      </c>
      <c r="C14552" s="0" t="n">
        <v>4502951</v>
      </c>
      <c r="D14552" s="0" t="s">
        <v>48350</v>
      </c>
      <c r="E14552" s="0" t="s">
        <v>75</v>
      </c>
      <c r="F14552" s="0" t="s">
        <v>90</v>
      </c>
      <c r="G14552" s="0" t="s">
        <v>16</v>
      </c>
      <c r="H14552" s="0" t="n">
        <v>78</v>
      </c>
      <c r="I14552" s="0" t="s">
        <v>48354</v>
      </c>
      <c r="J14552" s="0" t="s">
        <v>48355</v>
      </c>
      <c r="K14552" s="0" t="s">
        <v>48356</v>
      </c>
      <c r="L14552" s="0" t="str">
        <f aca="false">HYPERLINK("https://www.ncbi.nlm.nih.gov/nuccore/CP000058.1?report=graph&amp;tracks=[key:gene_model_track,Options:GeneOnly]&amp;mk=4502977:4502996|offset_33|444444,4502932:4502951|offset_78|00cc00,4502907:4502926|offset_103|444444,4502838:4502857|offset_172|444444&amp;v=4502776:4503057&amp;c=444444", "offset 78")</f>
        <v>offset 78</v>
      </c>
    </row>
    <row r="14553" customFormat="false" ht="12.8" hidden="false" customHeight="false" outlineLevel="0" collapsed="false">
      <c r="A14553" s="0" t="s">
        <v>12</v>
      </c>
      <c r="B14553" s="0" t="n">
        <v>4502906</v>
      </c>
      <c r="C14553" s="0" t="n">
        <v>4502926</v>
      </c>
      <c r="D14553" s="0" t="s">
        <v>48350</v>
      </c>
      <c r="E14553" s="0" t="s">
        <v>75</v>
      </c>
      <c r="F14553" s="0" t="s">
        <v>90</v>
      </c>
      <c r="G14553" s="0" t="s">
        <v>32</v>
      </c>
      <c r="H14553" s="0" t="n">
        <v>103</v>
      </c>
      <c r="I14553" s="0" t="s">
        <v>48357</v>
      </c>
      <c r="J14553" s="0" t="s">
        <v>48358</v>
      </c>
      <c r="K14553" s="0" t="s">
        <v>48359</v>
      </c>
      <c r="L14553" s="0" t="str">
        <f aca="false">HYPERLINK("https://www.ncbi.nlm.nih.gov/nuccore/CP000058.1?report=graph&amp;tracks=[key:gene_model_track,Options:GeneOnly]&amp;mk=4502977:4502996|offset_33|444444,4502932:4502951|offset_78|444444,4502907:4502926|offset_103|00cc00,4502838:4502857|offset_172|444444&amp;v=4502776:4503057&amp;c=444444", "offset 103")</f>
        <v>offset 103</v>
      </c>
    </row>
    <row r="14554" customFormat="false" ht="12.8" hidden="false" customHeight="false" outlineLevel="0" collapsed="false">
      <c r="A14554" s="0" t="s">
        <v>12</v>
      </c>
      <c r="B14554" s="0" t="n">
        <v>4502837</v>
      </c>
      <c r="C14554" s="0" t="n">
        <v>4502857</v>
      </c>
      <c r="D14554" s="0" t="s">
        <v>48350</v>
      </c>
      <c r="E14554" s="0" t="s">
        <v>75</v>
      </c>
      <c r="F14554" s="0" t="s">
        <v>90</v>
      </c>
      <c r="G14554" s="0" t="s">
        <v>20</v>
      </c>
      <c r="H14554" s="0" t="n">
        <v>172</v>
      </c>
      <c r="I14554" s="0" t="s">
        <v>48360</v>
      </c>
      <c r="J14554" s="0" t="s">
        <v>48361</v>
      </c>
      <c r="K14554" s="0" t="s">
        <v>48362</v>
      </c>
      <c r="L14554" s="0" t="str">
        <f aca="false">HYPERLINK("https://www.ncbi.nlm.nih.gov/nuccore/CP000058.1?report=graph&amp;tracks=[key:gene_model_track,Options:GeneOnly]&amp;mk=4502977:4502996|offset_33|444444,4502932:4502951|offset_78|444444,4502907:4502926|offset_103|444444,4502838:4502857|offset_172|00cc00&amp;v=4502776:4503057&amp;c=444444", "offset 172")</f>
        <v>offset 172</v>
      </c>
    </row>
    <row r="14555" customFormat="false" ht="12.8" hidden="false" customHeight="false" outlineLevel="0" collapsed="false">
      <c r="A14555" s="0" t="s">
        <v>12</v>
      </c>
      <c r="B14555" s="0" t="n">
        <v>4503115</v>
      </c>
      <c r="C14555" s="0" t="n">
        <v>4503135</v>
      </c>
      <c r="D14555" s="0" t="s">
        <v>48363</v>
      </c>
      <c r="E14555" s="0" t="s">
        <v>48364</v>
      </c>
      <c r="F14555" s="0" t="s">
        <v>15</v>
      </c>
      <c r="G14555" s="0" t="s">
        <v>36</v>
      </c>
      <c r="H14555" s="0" t="n">
        <v>0</v>
      </c>
      <c r="I14555" s="0" t="s">
        <v>48365</v>
      </c>
      <c r="J14555" s="0" t="s">
        <v>48366</v>
      </c>
      <c r="K14555" s="0" t="s">
        <v>48367</v>
      </c>
      <c r="L14555" s="0" t="str">
        <f aca="false">HYPERLINK("https://www.ncbi.nlm.nih.gov/nuccore/CP000058.1?report=graph&amp;tracks=[key:gene_model_track,Options:GeneOnly]&amp;mk=4503116:4503135|offset_0|00cc00,4503143:4503162|offset_27|444444,4503189:4503208|offset_73|444444,4503212:4503231|offset_96|444444&amp;v=4502915:4503431&amp;c=444444", "offset 0")</f>
        <v>offset 0</v>
      </c>
    </row>
    <row r="14556" customFormat="false" ht="12.8" hidden="false" customHeight="false" outlineLevel="0" collapsed="false">
      <c r="A14556" s="0" t="s">
        <v>12</v>
      </c>
      <c r="B14556" s="0" t="n">
        <v>4503142</v>
      </c>
      <c r="C14556" s="0" t="n">
        <v>4503162</v>
      </c>
      <c r="D14556" s="0" t="s">
        <v>48363</v>
      </c>
      <c r="E14556" s="0" t="s">
        <v>48364</v>
      </c>
      <c r="F14556" s="0" t="s">
        <v>15</v>
      </c>
      <c r="G14556" s="0" t="s">
        <v>32</v>
      </c>
      <c r="H14556" s="0" t="n">
        <v>27</v>
      </c>
      <c r="I14556" s="0" t="s">
        <v>48368</v>
      </c>
      <c r="J14556" s="0" t="s">
        <v>48369</v>
      </c>
      <c r="K14556" s="0" t="s">
        <v>48370</v>
      </c>
      <c r="L14556" s="0" t="str">
        <f aca="false">HYPERLINK("https://www.ncbi.nlm.nih.gov/nuccore/CP000058.1?report=graph&amp;tracks=[key:gene_model_track,Options:GeneOnly]&amp;mk=4503116:4503135|offset_0|444444,4503143:4503162|offset_27|00cc00,4503189:4503208|offset_73|444444,4503212:4503231|offset_96|444444&amp;v=4502915:4503431&amp;c=444444", "offset 27")</f>
        <v>offset 27</v>
      </c>
    </row>
    <row r="14557" customFormat="false" ht="12.8" hidden="false" customHeight="false" outlineLevel="0" collapsed="false">
      <c r="A14557" s="0" t="s">
        <v>12</v>
      </c>
      <c r="B14557" s="0" t="n">
        <v>4503188</v>
      </c>
      <c r="C14557" s="0" t="n">
        <v>4503208</v>
      </c>
      <c r="D14557" s="0" t="s">
        <v>48363</v>
      </c>
      <c r="E14557" s="0" t="s">
        <v>48364</v>
      </c>
      <c r="F14557" s="0" t="s">
        <v>15</v>
      </c>
      <c r="G14557" s="0" t="s">
        <v>16</v>
      </c>
      <c r="H14557" s="0" t="n">
        <v>73</v>
      </c>
      <c r="I14557" s="0" t="s">
        <v>48371</v>
      </c>
      <c r="J14557" s="0" t="s">
        <v>48372</v>
      </c>
      <c r="K14557" s="0" t="s">
        <v>48373</v>
      </c>
      <c r="L14557" s="0" t="str">
        <f aca="false">HYPERLINK("https://www.ncbi.nlm.nih.gov/nuccore/CP000058.1?report=graph&amp;tracks=[key:gene_model_track,Options:GeneOnly]&amp;mk=4503116:4503135|offset_0|444444,4503143:4503162|offset_27|444444,4503189:4503208|offset_73|00cc00,4503212:4503231|offset_96|444444&amp;v=4502915:4503431&amp;c=444444", "offset 73")</f>
        <v>offset 73</v>
      </c>
    </row>
    <row r="14558" customFormat="false" ht="12.8" hidden="false" customHeight="false" outlineLevel="0" collapsed="false">
      <c r="A14558" s="0" t="s">
        <v>12</v>
      </c>
      <c r="B14558" s="0" t="n">
        <v>4503211</v>
      </c>
      <c r="C14558" s="0" t="n">
        <v>4503231</v>
      </c>
      <c r="D14558" s="0" t="s">
        <v>48363</v>
      </c>
      <c r="E14558" s="0" t="s">
        <v>48364</v>
      </c>
      <c r="F14558" s="0" t="s">
        <v>15</v>
      </c>
      <c r="G14558" s="0" t="s">
        <v>36</v>
      </c>
      <c r="H14558" s="0" t="n">
        <v>96</v>
      </c>
      <c r="I14558" s="0" t="s">
        <v>48374</v>
      </c>
      <c r="J14558" s="0" t="s">
        <v>48375</v>
      </c>
      <c r="K14558" s="0" t="s">
        <v>48376</v>
      </c>
      <c r="L14558" s="0" t="str">
        <f aca="false">HYPERLINK("https://www.ncbi.nlm.nih.gov/nuccore/CP000058.1?report=graph&amp;tracks=[key:gene_model_track,Options:GeneOnly]&amp;mk=4503116:4503135|offset_0|444444,4503143:4503162|offset_27|444444,4503189:4503208|offset_73|444444,4503212:4503231|offset_96|00cc00&amp;v=4502915:4503431&amp;c=444444", "offset 96")</f>
        <v>offset 96</v>
      </c>
    </row>
    <row r="14559" customFormat="false" ht="12.8" hidden="false" customHeight="false" outlineLevel="0" collapsed="false">
      <c r="A14559" s="0" t="s">
        <v>12</v>
      </c>
      <c r="B14559" s="0" t="n">
        <v>4505864</v>
      </c>
      <c r="C14559" s="0" t="n">
        <v>4505884</v>
      </c>
      <c r="D14559" s="0" t="s">
        <v>48377</v>
      </c>
      <c r="E14559" s="0" t="s">
        <v>75</v>
      </c>
      <c r="F14559" s="0" t="s">
        <v>15</v>
      </c>
      <c r="G14559" s="0" t="s">
        <v>32</v>
      </c>
      <c r="H14559" s="0" t="n">
        <v>1</v>
      </c>
      <c r="I14559" s="0" t="s">
        <v>48378</v>
      </c>
      <c r="J14559" s="0" t="s">
        <v>48379</v>
      </c>
      <c r="K14559" s="0" t="s">
        <v>48380</v>
      </c>
      <c r="L14559" s="0" t="str">
        <f aca="false">HYPERLINK("https://www.ncbi.nlm.nih.gov/nuccore/CP000058.1?report=graph&amp;tracks=[key:gene_model_track,Options:GeneOnly]&amp;mk=4505865:4505884|offset_1|00cc00,4505891:4505910|offset_27|444444,4505930:4505949|offset_66|444444,4505968:4505987|offset_104|444444&amp;v=4505664:4506187&amp;c=444444", "offset 1")</f>
        <v>offset 1</v>
      </c>
    </row>
    <row r="14560" customFormat="false" ht="12.8" hidden="false" customHeight="false" outlineLevel="0" collapsed="false">
      <c r="A14560" s="0" t="s">
        <v>12</v>
      </c>
      <c r="B14560" s="0" t="n">
        <v>4505890</v>
      </c>
      <c r="C14560" s="0" t="n">
        <v>4505910</v>
      </c>
      <c r="D14560" s="0" t="s">
        <v>48377</v>
      </c>
      <c r="E14560" s="0" t="s">
        <v>75</v>
      </c>
      <c r="F14560" s="0" t="s">
        <v>15</v>
      </c>
      <c r="G14560" s="0" t="s">
        <v>16</v>
      </c>
      <c r="H14560" s="0" t="n">
        <v>27</v>
      </c>
      <c r="I14560" s="0" t="s">
        <v>48381</v>
      </c>
      <c r="J14560" s="0" t="s">
        <v>48382</v>
      </c>
      <c r="K14560" s="0" t="s">
        <v>48383</v>
      </c>
      <c r="L14560" s="0" t="str">
        <f aca="false">HYPERLINK("https://www.ncbi.nlm.nih.gov/nuccore/CP000058.1?report=graph&amp;tracks=[key:gene_model_track,Options:GeneOnly]&amp;mk=4505865:4505884|offset_1|444444,4505891:4505910|offset_27|00cc00,4505930:4505949|offset_66|444444,4505968:4505987|offset_104|444444&amp;v=4505664:4506187&amp;c=444444", "offset 27")</f>
        <v>offset 27</v>
      </c>
    </row>
    <row r="14561" customFormat="false" ht="12.8" hidden="false" customHeight="false" outlineLevel="0" collapsed="false">
      <c r="A14561" s="0" t="s">
        <v>12</v>
      </c>
      <c r="B14561" s="0" t="n">
        <v>4505929</v>
      </c>
      <c r="C14561" s="0" t="n">
        <v>4505949</v>
      </c>
      <c r="D14561" s="0" t="s">
        <v>48377</v>
      </c>
      <c r="E14561" s="0" t="s">
        <v>75</v>
      </c>
      <c r="F14561" s="0" t="s">
        <v>15</v>
      </c>
      <c r="G14561" s="0" t="s">
        <v>16</v>
      </c>
      <c r="H14561" s="0" t="n">
        <v>66</v>
      </c>
      <c r="I14561" s="0" t="s">
        <v>48384</v>
      </c>
      <c r="J14561" s="0" t="s">
        <v>48385</v>
      </c>
      <c r="K14561" s="0" t="s">
        <v>48386</v>
      </c>
      <c r="L14561" s="0" t="str">
        <f aca="false">HYPERLINK("https://www.ncbi.nlm.nih.gov/nuccore/CP000058.1?report=graph&amp;tracks=[key:gene_model_track,Options:GeneOnly]&amp;mk=4505865:4505884|offset_1|444444,4505891:4505910|offset_27|444444,4505930:4505949|offset_66|00cc00,4505968:4505987|offset_104|444444&amp;v=4505664:4506187&amp;c=444444", "offset 66")</f>
        <v>offset 66</v>
      </c>
    </row>
    <row r="14562" customFormat="false" ht="12.8" hidden="false" customHeight="false" outlineLevel="0" collapsed="false">
      <c r="A14562" s="0" t="s">
        <v>12</v>
      </c>
      <c r="B14562" s="0" t="n">
        <v>4505967</v>
      </c>
      <c r="C14562" s="0" t="n">
        <v>4505987</v>
      </c>
      <c r="D14562" s="0" t="s">
        <v>48377</v>
      </c>
      <c r="E14562" s="0" t="s">
        <v>75</v>
      </c>
      <c r="F14562" s="0" t="s">
        <v>15</v>
      </c>
      <c r="G14562" s="0" t="s">
        <v>36</v>
      </c>
      <c r="H14562" s="0" t="n">
        <v>104</v>
      </c>
      <c r="I14562" s="0" t="s">
        <v>48387</v>
      </c>
      <c r="J14562" s="0" t="s">
        <v>48388</v>
      </c>
      <c r="K14562" s="0" t="s">
        <v>48389</v>
      </c>
      <c r="L14562" s="0" t="str">
        <f aca="false">HYPERLINK("https://www.ncbi.nlm.nih.gov/nuccore/CP000058.1?report=graph&amp;tracks=[key:gene_model_track,Options:GeneOnly]&amp;mk=4505865:4505884|offset_1|444444,4505891:4505910|offset_27|444444,4505930:4505949|offset_66|444444,4505968:4505987|offset_104|00cc00&amp;v=4505664:4506187&amp;c=444444", "offset 104")</f>
        <v>offset 104</v>
      </c>
    </row>
    <row r="14563" customFormat="false" ht="12.8" hidden="false" customHeight="false" outlineLevel="0" collapsed="false">
      <c r="A14563" s="0" t="s">
        <v>12</v>
      </c>
      <c r="B14563" s="0" t="n">
        <v>4506266</v>
      </c>
      <c r="C14563" s="0" t="n">
        <v>4506286</v>
      </c>
      <c r="D14563" s="0" t="s">
        <v>48390</v>
      </c>
      <c r="E14563" s="0" t="s">
        <v>75</v>
      </c>
      <c r="F14563" s="0" t="s">
        <v>15</v>
      </c>
      <c r="G14563" s="0" t="s">
        <v>36</v>
      </c>
      <c r="H14563" s="0" t="n">
        <v>6</v>
      </c>
      <c r="I14563" s="0" t="s">
        <v>48391</v>
      </c>
      <c r="J14563" s="0" t="s">
        <v>48392</v>
      </c>
      <c r="K14563" s="0" t="s">
        <v>48393</v>
      </c>
      <c r="L14563" s="0" t="str">
        <f aca="false">HYPERLINK("https://www.ncbi.nlm.nih.gov/nuccore/CP000058.1?report=graph&amp;tracks=[key:gene_model_track,Options:GeneOnly]&amp;mk=4506267:4506286|offset_6|00cc00,4506297:4506316|offset_36|444444,4506329:4506348|offset_68|444444,4506349:4506368|offset_88|444444&amp;v=4506066:4506568&amp;c=444444", "offset 6")</f>
        <v>offset 6</v>
      </c>
    </row>
    <row r="14564" customFormat="false" ht="12.8" hidden="false" customHeight="false" outlineLevel="0" collapsed="false">
      <c r="A14564" s="0" t="s">
        <v>12</v>
      </c>
      <c r="B14564" s="0" t="n">
        <v>4506296</v>
      </c>
      <c r="C14564" s="0" t="n">
        <v>4506316</v>
      </c>
      <c r="D14564" s="0" t="s">
        <v>48390</v>
      </c>
      <c r="E14564" s="0" t="s">
        <v>75</v>
      </c>
      <c r="F14564" s="0" t="s">
        <v>15</v>
      </c>
      <c r="G14564" s="0" t="s">
        <v>32</v>
      </c>
      <c r="H14564" s="0" t="n">
        <v>36</v>
      </c>
      <c r="I14564" s="0" t="s">
        <v>48394</v>
      </c>
      <c r="J14564" s="0" t="s">
        <v>48395</v>
      </c>
      <c r="K14564" s="0" t="s">
        <v>48396</v>
      </c>
      <c r="L14564" s="0" t="str">
        <f aca="false">HYPERLINK("https://www.ncbi.nlm.nih.gov/nuccore/CP000058.1?report=graph&amp;tracks=[key:gene_model_track,Options:GeneOnly]&amp;mk=4506267:4506286|offset_6|444444,4506297:4506316|offset_36|00cc00,4506329:4506348|offset_68|444444,4506349:4506368|offset_88|444444&amp;v=4506066:4506568&amp;c=444444", "offset 36")</f>
        <v>offset 36</v>
      </c>
    </row>
    <row r="14565" customFormat="false" ht="12.8" hidden="false" customHeight="false" outlineLevel="0" collapsed="false">
      <c r="A14565" s="0" t="s">
        <v>12</v>
      </c>
      <c r="B14565" s="0" t="n">
        <v>4506328</v>
      </c>
      <c r="C14565" s="0" t="n">
        <v>4506348</v>
      </c>
      <c r="D14565" s="0" t="s">
        <v>48390</v>
      </c>
      <c r="E14565" s="0" t="s">
        <v>75</v>
      </c>
      <c r="F14565" s="0" t="s">
        <v>15</v>
      </c>
      <c r="G14565" s="0" t="s">
        <v>36</v>
      </c>
      <c r="H14565" s="0" t="n">
        <v>68</v>
      </c>
      <c r="I14565" s="0" t="s">
        <v>48397</v>
      </c>
      <c r="J14565" s="0" t="s">
        <v>48398</v>
      </c>
      <c r="K14565" s="0" t="s">
        <v>48399</v>
      </c>
      <c r="L14565" s="0" t="str">
        <f aca="false">HYPERLINK("https://www.ncbi.nlm.nih.gov/nuccore/CP000058.1?report=graph&amp;tracks=[key:gene_model_track,Options:GeneOnly]&amp;mk=4506267:4506286|offset_6|444444,4506297:4506316|offset_36|444444,4506329:4506348|offset_68|00cc00,4506349:4506368|offset_88|444444&amp;v=4506066:4506568&amp;c=444444", "offset 68")</f>
        <v>offset 68</v>
      </c>
    </row>
    <row r="14566" customFormat="false" ht="12.8" hidden="false" customHeight="false" outlineLevel="0" collapsed="false">
      <c r="A14566" s="0" t="s">
        <v>12</v>
      </c>
      <c r="B14566" s="0" t="n">
        <v>4506348</v>
      </c>
      <c r="C14566" s="0" t="n">
        <v>4506368</v>
      </c>
      <c r="D14566" s="0" t="s">
        <v>48390</v>
      </c>
      <c r="E14566" s="0" t="s">
        <v>75</v>
      </c>
      <c r="F14566" s="0" t="s">
        <v>15</v>
      </c>
      <c r="G14566" s="0" t="s">
        <v>16</v>
      </c>
      <c r="H14566" s="0" t="n">
        <v>88</v>
      </c>
      <c r="I14566" s="0" t="s">
        <v>48400</v>
      </c>
      <c r="J14566" s="0" t="s">
        <v>48401</v>
      </c>
      <c r="K14566" s="0" t="s">
        <v>48402</v>
      </c>
      <c r="L14566" s="0" t="str">
        <f aca="false">HYPERLINK("https://www.ncbi.nlm.nih.gov/nuccore/CP000058.1?report=graph&amp;tracks=[key:gene_model_track,Options:GeneOnly]&amp;mk=4506267:4506286|offset_6|444444,4506297:4506316|offset_36|444444,4506329:4506348|offset_68|444444,4506349:4506368|offset_88|00cc00&amp;v=4506066:4506568&amp;c=444444", "offset 88")</f>
        <v>offset 88</v>
      </c>
    </row>
    <row r="14567" customFormat="false" ht="12.8" hidden="false" customHeight="false" outlineLevel="0" collapsed="false">
      <c r="A14567" s="0" t="s">
        <v>12</v>
      </c>
      <c r="B14567" s="0" t="n">
        <v>4507114</v>
      </c>
      <c r="C14567" s="0" t="n">
        <v>4507134</v>
      </c>
      <c r="D14567" s="0" t="s">
        <v>48403</v>
      </c>
      <c r="E14567" s="0" t="s">
        <v>75</v>
      </c>
      <c r="F14567" s="0" t="s">
        <v>15</v>
      </c>
      <c r="G14567" s="0" t="s">
        <v>20</v>
      </c>
      <c r="H14567" s="0" t="n">
        <v>18</v>
      </c>
      <c r="I14567" s="0" t="s">
        <v>48404</v>
      </c>
      <c r="J14567" s="0" t="s">
        <v>48405</v>
      </c>
      <c r="K14567" s="0" t="s">
        <v>48406</v>
      </c>
      <c r="L14567" s="0" t="str">
        <f aca="false">HYPERLINK("https://www.ncbi.nlm.nih.gov/nuccore/CP000058.1?report=graph&amp;tracks=[key:gene_model_track,Options:GeneOnly]&amp;mk=4507115:4507134|offset_18|00cc00,4507140:4507159|offset_43|444444,4507173:4507192|offset_76|444444,4507194:4507213|offset_97|444444&amp;v=4506914:4507413&amp;c=444444", "offset 18")</f>
        <v>offset 18</v>
      </c>
    </row>
    <row r="14568" customFormat="false" ht="12.8" hidden="false" customHeight="false" outlineLevel="0" collapsed="false">
      <c r="A14568" s="0" t="s">
        <v>12</v>
      </c>
      <c r="B14568" s="0" t="n">
        <v>4507139</v>
      </c>
      <c r="C14568" s="0" t="n">
        <v>4507159</v>
      </c>
      <c r="D14568" s="0" t="s">
        <v>48403</v>
      </c>
      <c r="E14568" s="0" t="s">
        <v>75</v>
      </c>
      <c r="F14568" s="0" t="s">
        <v>15</v>
      </c>
      <c r="G14568" s="0" t="s">
        <v>36</v>
      </c>
      <c r="H14568" s="0" t="n">
        <v>43</v>
      </c>
      <c r="I14568" s="0" t="s">
        <v>48407</v>
      </c>
      <c r="J14568" s="0" t="s">
        <v>48408</v>
      </c>
      <c r="K14568" s="0" t="s">
        <v>48409</v>
      </c>
      <c r="L14568" s="0" t="str">
        <f aca="false">HYPERLINK("https://www.ncbi.nlm.nih.gov/nuccore/CP000058.1?report=graph&amp;tracks=[key:gene_model_track,Options:GeneOnly]&amp;mk=4507115:4507134|offset_18|444444,4507140:4507159|offset_43|00cc00,4507173:4507192|offset_76|444444,4507194:4507213|offset_97|444444&amp;v=4506914:4507413&amp;c=444444", "offset 43")</f>
        <v>offset 43</v>
      </c>
    </row>
    <row r="14569" customFormat="false" ht="12.8" hidden="false" customHeight="false" outlineLevel="0" collapsed="false">
      <c r="A14569" s="0" t="s">
        <v>12</v>
      </c>
      <c r="B14569" s="0" t="n">
        <v>4507172</v>
      </c>
      <c r="C14569" s="0" t="n">
        <v>4507192</v>
      </c>
      <c r="D14569" s="0" t="s">
        <v>48403</v>
      </c>
      <c r="E14569" s="0" t="s">
        <v>75</v>
      </c>
      <c r="F14569" s="0" t="s">
        <v>15</v>
      </c>
      <c r="G14569" s="0" t="s">
        <v>36</v>
      </c>
      <c r="H14569" s="0" t="n">
        <v>76</v>
      </c>
      <c r="I14569" s="0" t="s">
        <v>48410</v>
      </c>
      <c r="J14569" s="0" t="s">
        <v>48411</v>
      </c>
      <c r="K14569" s="0" t="s">
        <v>48412</v>
      </c>
      <c r="L14569" s="0" t="str">
        <f aca="false">HYPERLINK("https://www.ncbi.nlm.nih.gov/nuccore/CP000058.1?report=graph&amp;tracks=[key:gene_model_track,Options:GeneOnly]&amp;mk=4507115:4507134|offset_18|444444,4507140:4507159|offset_43|444444,4507173:4507192|offset_76|00cc00,4507194:4507213|offset_97|444444&amp;v=4506914:4507413&amp;c=444444", "offset 76")</f>
        <v>offset 76</v>
      </c>
    </row>
    <row r="14570" customFormat="false" ht="12.8" hidden="false" customHeight="false" outlineLevel="0" collapsed="false">
      <c r="A14570" s="0" t="s">
        <v>12</v>
      </c>
      <c r="B14570" s="0" t="n">
        <v>4507193</v>
      </c>
      <c r="C14570" s="0" t="n">
        <v>4507213</v>
      </c>
      <c r="D14570" s="0" t="s">
        <v>48403</v>
      </c>
      <c r="E14570" s="0" t="s">
        <v>75</v>
      </c>
      <c r="F14570" s="0" t="s">
        <v>15</v>
      </c>
      <c r="G14570" s="0" t="s">
        <v>32</v>
      </c>
      <c r="H14570" s="0" t="n">
        <v>97</v>
      </c>
      <c r="I14570" s="0" t="s">
        <v>48413</v>
      </c>
      <c r="J14570" s="0" t="s">
        <v>48414</v>
      </c>
      <c r="K14570" s="0" t="s">
        <v>48415</v>
      </c>
      <c r="L14570" s="0" t="str">
        <f aca="false">HYPERLINK("https://www.ncbi.nlm.nih.gov/nuccore/CP000058.1?report=graph&amp;tracks=[key:gene_model_track,Options:GeneOnly]&amp;mk=4507115:4507134|offset_18|444444,4507140:4507159|offset_43|444444,4507173:4507192|offset_76|444444,4507194:4507213|offset_97|00cc00&amp;v=4506914:4507413&amp;c=444444", "offset 97")</f>
        <v>offset 97</v>
      </c>
    </row>
    <row r="14571" customFormat="false" ht="12.8" hidden="false" customHeight="false" outlineLevel="0" collapsed="false">
      <c r="A14571" s="0" t="s">
        <v>12</v>
      </c>
      <c r="B14571" s="0" t="n">
        <v>4508785</v>
      </c>
      <c r="C14571" s="0" t="n">
        <v>4508805</v>
      </c>
      <c r="D14571" s="0" t="s">
        <v>48416</v>
      </c>
      <c r="E14571" s="0" t="s">
        <v>48417</v>
      </c>
      <c r="F14571" s="0" t="s">
        <v>90</v>
      </c>
      <c r="G14571" s="0" t="s">
        <v>16</v>
      </c>
      <c r="H14571" s="0" t="n">
        <v>1</v>
      </c>
      <c r="I14571" s="0" t="s">
        <v>48418</v>
      </c>
      <c r="J14571" s="0" t="s">
        <v>48419</v>
      </c>
      <c r="K14571" s="0" t="s">
        <v>48420</v>
      </c>
      <c r="L14571" s="0" t="str">
        <f aca="false">HYPERLINK("https://www.ncbi.nlm.nih.gov/nuccore/CP000058.1?report=graph&amp;tracks=[key:gene_model_track,Options:GeneOnly]&amp;mk=4508786:4508805|offset_1|00cc00,4508764:4508783|offset_23|444444,4508743:4508762|offset_44|444444,4508703:4508722|offset_84|444444&amp;v=4508585:4508922&amp;c=444444", "offset 1")</f>
        <v>offset 1</v>
      </c>
    </row>
    <row r="14572" customFormat="false" ht="12.8" hidden="false" customHeight="false" outlineLevel="0" collapsed="false">
      <c r="A14572" s="0" t="s">
        <v>12</v>
      </c>
      <c r="B14572" s="0" t="n">
        <v>4508763</v>
      </c>
      <c r="C14572" s="0" t="n">
        <v>4508783</v>
      </c>
      <c r="D14572" s="0" t="s">
        <v>48416</v>
      </c>
      <c r="E14572" s="0" t="s">
        <v>48417</v>
      </c>
      <c r="F14572" s="0" t="s">
        <v>90</v>
      </c>
      <c r="G14572" s="0" t="s">
        <v>20</v>
      </c>
      <c r="H14572" s="0" t="n">
        <v>23</v>
      </c>
      <c r="I14572" s="0" t="s">
        <v>48421</v>
      </c>
      <c r="J14572" s="0" t="s">
        <v>48422</v>
      </c>
      <c r="K14572" s="0" t="s">
        <v>48423</v>
      </c>
      <c r="L14572" s="0" t="str">
        <f aca="false">HYPERLINK("https://www.ncbi.nlm.nih.gov/nuccore/CP000058.1?report=graph&amp;tracks=[key:gene_model_track,Options:GeneOnly]&amp;mk=4508786:4508805|offset_1|444444,4508764:4508783|offset_23|00cc00,4508743:4508762|offset_44|444444,4508703:4508722|offset_84|444444&amp;v=4508585:4508922&amp;c=444444", "offset 23")</f>
        <v>offset 23</v>
      </c>
    </row>
    <row r="14573" customFormat="false" ht="12.8" hidden="false" customHeight="false" outlineLevel="0" collapsed="false">
      <c r="A14573" s="0" t="s">
        <v>12</v>
      </c>
      <c r="B14573" s="0" t="n">
        <v>4508742</v>
      </c>
      <c r="C14573" s="0" t="n">
        <v>4508762</v>
      </c>
      <c r="D14573" s="0" t="s">
        <v>48416</v>
      </c>
      <c r="E14573" s="0" t="s">
        <v>48417</v>
      </c>
      <c r="F14573" s="0" t="s">
        <v>90</v>
      </c>
      <c r="G14573" s="0" t="s">
        <v>32</v>
      </c>
      <c r="H14573" s="0" t="n">
        <v>44</v>
      </c>
      <c r="I14573" s="0" t="s">
        <v>48424</v>
      </c>
      <c r="J14573" s="0" t="s">
        <v>48425</v>
      </c>
      <c r="K14573" s="0" t="s">
        <v>48426</v>
      </c>
      <c r="L14573" s="0" t="str">
        <f aca="false">HYPERLINK("https://www.ncbi.nlm.nih.gov/nuccore/CP000058.1?report=graph&amp;tracks=[key:gene_model_track,Options:GeneOnly]&amp;mk=4508786:4508805|offset_1|444444,4508764:4508783|offset_23|444444,4508743:4508762|offset_44|00cc00,4508703:4508722|offset_84|444444&amp;v=4508585:4508922&amp;c=444444", "offset 44")</f>
        <v>offset 44</v>
      </c>
    </row>
    <row r="14574" customFormat="false" ht="12.8" hidden="false" customHeight="false" outlineLevel="0" collapsed="false">
      <c r="A14574" s="0" t="s">
        <v>12</v>
      </c>
      <c r="B14574" s="0" t="n">
        <v>4508702</v>
      </c>
      <c r="C14574" s="0" t="n">
        <v>4508722</v>
      </c>
      <c r="D14574" s="0" t="s">
        <v>48416</v>
      </c>
      <c r="E14574" s="0" t="s">
        <v>48417</v>
      </c>
      <c r="F14574" s="0" t="s">
        <v>90</v>
      </c>
      <c r="G14574" s="0" t="s">
        <v>16</v>
      </c>
      <c r="H14574" s="0" t="n">
        <v>84</v>
      </c>
      <c r="I14574" s="0" t="s">
        <v>48427</v>
      </c>
      <c r="J14574" s="0" t="s">
        <v>48428</v>
      </c>
      <c r="K14574" s="0" t="s">
        <v>48429</v>
      </c>
      <c r="L14574" s="0" t="str">
        <f aca="false">HYPERLINK("https://www.ncbi.nlm.nih.gov/nuccore/CP000058.1?report=graph&amp;tracks=[key:gene_model_track,Options:GeneOnly]&amp;mk=4508786:4508805|offset_1|444444,4508764:4508783|offset_23|444444,4508743:4508762|offset_44|444444,4508703:4508722|offset_84|00cc00&amp;v=4508585:4508922&amp;c=444444", "offset 84")</f>
        <v>offset 84</v>
      </c>
    </row>
    <row r="14575" customFormat="false" ht="12.8" hidden="false" customHeight="false" outlineLevel="0" collapsed="false">
      <c r="A14575" s="0" t="s">
        <v>12</v>
      </c>
      <c r="B14575" s="0" t="n">
        <v>4509517</v>
      </c>
      <c r="C14575" s="0" t="n">
        <v>4509537</v>
      </c>
      <c r="D14575" s="0" t="s">
        <v>48430</v>
      </c>
      <c r="E14575" s="0" t="s">
        <v>48431</v>
      </c>
      <c r="F14575" s="0" t="s">
        <v>90</v>
      </c>
      <c r="G14575" s="0" t="s">
        <v>36</v>
      </c>
      <c r="H14575" s="0" t="n">
        <v>12</v>
      </c>
      <c r="I14575" s="0" t="s">
        <v>48432</v>
      </c>
      <c r="J14575" s="0" t="s">
        <v>48433</v>
      </c>
      <c r="K14575" s="0" t="s">
        <v>48434</v>
      </c>
      <c r="L14575" s="0" t="str">
        <f aca="false">HYPERLINK("https://www.ncbi.nlm.nih.gov/nuccore/CP000058.1?report=graph&amp;tracks=[key:gene_model_track,Options:GeneOnly]&amp;mk=4509518:4509537|offset_12|00cc00,4509492:4509511|offset_38|444444,4509450:4509469|offset_80|444444,4509424:4509443|offset_106|444444&amp;v=4509317:4509643&amp;c=444444", "offset 12")</f>
        <v>offset 12</v>
      </c>
    </row>
    <row r="14576" customFormat="false" ht="12.8" hidden="false" customHeight="false" outlineLevel="0" collapsed="false">
      <c r="A14576" s="0" t="s">
        <v>12</v>
      </c>
      <c r="B14576" s="0" t="n">
        <v>4509491</v>
      </c>
      <c r="C14576" s="0" t="n">
        <v>4509511</v>
      </c>
      <c r="D14576" s="0" t="s">
        <v>48430</v>
      </c>
      <c r="E14576" s="0" t="s">
        <v>48431</v>
      </c>
      <c r="F14576" s="0" t="s">
        <v>90</v>
      </c>
      <c r="G14576" s="0" t="s">
        <v>32</v>
      </c>
      <c r="H14576" s="0" t="n">
        <v>38</v>
      </c>
      <c r="I14576" s="0" t="s">
        <v>48435</v>
      </c>
      <c r="J14576" s="0" t="s">
        <v>48436</v>
      </c>
      <c r="K14576" s="0" t="s">
        <v>48437</v>
      </c>
      <c r="L14576" s="0" t="str">
        <f aca="false">HYPERLINK("https://www.ncbi.nlm.nih.gov/nuccore/CP000058.1?report=graph&amp;tracks=[key:gene_model_track,Options:GeneOnly]&amp;mk=4509518:4509537|offset_12|444444,4509492:4509511|offset_38|00cc00,4509450:4509469|offset_80|444444,4509424:4509443|offset_106|444444&amp;v=4509317:4509643&amp;c=444444", "offset 38")</f>
        <v>offset 38</v>
      </c>
    </row>
    <row r="14577" customFormat="false" ht="12.8" hidden="false" customHeight="false" outlineLevel="0" collapsed="false">
      <c r="A14577" s="0" t="s">
        <v>12</v>
      </c>
      <c r="B14577" s="0" t="n">
        <v>4509449</v>
      </c>
      <c r="C14577" s="0" t="n">
        <v>4509469</v>
      </c>
      <c r="D14577" s="0" t="s">
        <v>48430</v>
      </c>
      <c r="E14577" s="0" t="s">
        <v>48431</v>
      </c>
      <c r="F14577" s="0" t="s">
        <v>90</v>
      </c>
      <c r="G14577" s="0" t="s">
        <v>20</v>
      </c>
      <c r="H14577" s="0" t="n">
        <v>80</v>
      </c>
      <c r="I14577" s="0" t="s">
        <v>48438</v>
      </c>
      <c r="J14577" s="0" t="s">
        <v>48439</v>
      </c>
      <c r="K14577" s="0" t="s">
        <v>48440</v>
      </c>
      <c r="L14577" s="0" t="str">
        <f aca="false">HYPERLINK("https://www.ncbi.nlm.nih.gov/nuccore/CP000058.1?report=graph&amp;tracks=[key:gene_model_track,Options:GeneOnly]&amp;mk=4509518:4509537|offset_12|444444,4509492:4509511|offset_38|444444,4509450:4509469|offset_80|00cc00,4509424:4509443|offset_106|444444&amp;v=4509317:4509643&amp;c=444444", "offset 80")</f>
        <v>offset 80</v>
      </c>
    </row>
    <row r="14578" customFormat="false" ht="12.8" hidden="false" customHeight="false" outlineLevel="0" collapsed="false">
      <c r="A14578" s="0" t="s">
        <v>12</v>
      </c>
      <c r="B14578" s="0" t="n">
        <v>4509423</v>
      </c>
      <c r="C14578" s="0" t="n">
        <v>4509443</v>
      </c>
      <c r="D14578" s="0" t="s">
        <v>48430</v>
      </c>
      <c r="E14578" s="0" t="s">
        <v>48431</v>
      </c>
      <c r="F14578" s="0" t="s">
        <v>90</v>
      </c>
      <c r="G14578" s="0" t="s">
        <v>16</v>
      </c>
      <c r="H14578" s="0" t="n">
        <v>106</v>
      </c>
      <c r="I14578" s="0" t="s">
        <v>48441</v>
      </c>
      <c r="J14578" s="0" t="s">
        <v>48442</v>
      </c>
      <c r="K14578" s="0" t="s">
        <v>48443</v>
      </c>
      <c r="L14578" s="0" t="str">
        <f aca="false">HYPERLINK("https://www.ncbi.nlm.nih.gov/nuccore/CP000058.1?report=graph&amp;tracks=[key:gene_model_track,Options:GeneOnly]&amp;mk=4509518:4509537|offset_12|444444,4509492:4509511|offset_38|444444,4509450:4509469|offset_80|444444,4509424:4509443|offset_106|00cc00&amp;v=4509317:4509643&amp;c=444444", "offset 106")</f>
        <v>offset 106</v>
      </c>
    </row>
    <row r="14579" customFormat="false" ht="12.8" hidden="false" customHeight="false" outlineLevel="0" collapsed="false">
      <c r="A14579" s="0" t="s">
        <v>12</v>
      </c>
      <c r="B14579" s="0" t="n">
        <v>4510476</v>
      </c>
      <c r="C14579" s="0" t="n">
        <v>4510496</v>
      </c>
      <c r="D14579" s="0" t="s">
        <v>48444</v>
      </c>
      <c r="E14579" s="0" t="s">
        <v>48445</v>
      </c>
      <c r="F14579" s="0" t="s">
        <v>90</v>
      </c>
      <c r="G14579" s="0" t="s">
        <v>16</v>
      </c>
      <c r="H14579" s="0" t="n">
        <v>16</v>
      </c>
      <c r="I14579" s="0" t="s">
        <v>48446</v>
      </c>
      <c r="J14579" s="0" t="s">
        <v>48447</v>
      </c>
      <c r="K14579" s="0" t="s">
        <v>48448</v>
      </c>
      <c r="L14579" s="0" t="str">
        <f aca="false">HYPERLINK("https://www.ncbi.nlm.nih.gov/nuccore/CP000058.1?report=graph&amp;tracks=[key:gene_model_track,Options:GeneOnly]&amp;mk=4510477:4510496|offset_16|00cc00,4510453:4510472|offset_40|444444,4510423:4510442|offset_70|444444,4510381:4510400|offset_112|444444&amp;v=4510276:4510600&amp;c=444444", "offset 16")</f>
        <v>offset 16</v>
      </c>
    </row>
    <row r="14580" customFormat="false" ht="12.8" hidden="false" customHeight="false" outlineLevel="0" collapsed="false">
      <c r="A14580" s="0" t="s">
        <v>12</v>
      </c>
      <c r="B14580" s="0" t="n">
        <v>4510452</v>
      </c>
      <c r="C14580" s="0" t="n">
        <v>4510472</v>
      </c>
      <c r="D14580" s="0" t="s">
        <v>48444</v>
      </c>
      <c r="E14580" s="0" t="s">
        <v>48445</v>
      </c>
      <c r="F14580" s="0" t="s">
        <v>90</v>
      </c>
      <c r="G14580" s="0" t="s">
        <v>32</v>
      </c>
      <c r="H14580" s="0" t="n">
        <v>40</v>
      </c>
      <c r="I14580" s="0" t="s">
        <v>48449</v>
      </c>
      <c r="J14580" s="0" t="s">
        <v>48450</v>
      </c>
      <c r="K14580" s="0" t="s">
        <v>48451</v>
      </c>
      <c r="L14580" s="0" t="str">
        <f aca="false">HYPERLINK("https://www.ncbi.nlm.nih.gov/nuccore/CP000058.1?report=graph&amp;tracks=[key:gene_model_track,Options:GeneOnly]&amp;mk=4510477:4510496|offset_16|444444,4510453:4510472|offset_40|00cc00,4510423:4510442|offset_70|444444,4510381:4510400|offset_112|444444&amp;v=4510276:4510600&amp;c=444444", "offset 40")</f>
        <v>offset 40</v>
      </c>
    </row>
    <row r="14581" customFormat="false" ht="12.8" hidden="false" customHeight="false" outlineLevel="0" collapsed="false">
      <c r="A14581" s="0" t="s">
        <v>12</v>
      </c>
      <c r="B14581" s="0" t="n">
        <v>4510422</v>
      </c>
      <c r="C14581" s="0" t="n">
        <v>4510442</v>
      </c>
      <c r="D14581" s="0" t="s">
        <v>48444</v>
      </c>
      <c r="E14581" s="0" t="s">
        <v>48445</v>
      </c>
      <c r="F14581" s="0" t="s">
        <v>90</v>
      </c>
      <c r="G14581" s="0" t="s">
        <v>32</v>
      </c>
      <c r="H14581" s="0" t="n">
        <v>70</v>
      </c>
      <c r="I14581" s="0" t="s">
        <v>48452</v>
      </c>
      <c r="J14581" s="0" t="s">
        <v>48453</v>
      </c>
      <c r="K14581" s="0" t="s">
        <v>48454</v>
      </c>
      <c r="L14581" s="0" t="str">
        <f aca="false">HYPERLINK("https://www.ncbi.nlm.nih.gov/nuccore/CP000058.1?report=graph&amp;tracks=[key:gene_model_track,Options:GeneOnly]&amp;mk=4510477:4510496|offset_16|444444,4510453:4510472|offset_40|444444,4510423:4510442|offset_70|00cc00,4510381:4510400|offset_112|444444&amp;v=4510276:4510600&amp;c=444444", "offset 70")</f>
        <v>offset 70</v>
      </c>
    </row>
    <row r="14582" customFormat="false" ht="12.8" hidden="false" customHeight="false" outlineLevel="0" collapsed="false">
      <c r="A14582" s="0" t="s">
        <v>12</v>
      </c>
      <c r="B14582" s="0" t="n">
        <v>4510380</v>
      </c>
      <c r="C14582" s="0" t="n">
        <v>4510400</v>
      </c>
      <c r="D14582" s="0" t="s">
        <v>48444</v>
      </c>
      <c r="E14582" s="0" t="s">
        <v>48445</v>
      </c>
      <c r="F14582" s="0" t="s">
        <v>90</v>
      </c>
      <c r="G14582" s="0" t="s">
        <v>20</v>
      </c>
      <c r="H14582" s="0" t="n">
        <v>112</v>
      </c>
      <c r="I14582" s="0" t="s">
        <v>48455</v>
      </c>
      <c r="J14582" s="0" t="s">
        <v>48456</v>
      </c>
      <c r="K14582" s="0" t="s">
        <v>48457</v>
      </c>
      <c r="L14582" s="0" t="str">
        <f aca="false">HYPERLINK("https://www.ncbi.nlm.nih.gov/nuccore/CP000058.1?report=graph&amp;tracks=[key:gene_model_track,Options:GeneOnly]&amp;mk=4510477:4510496|offset_16|444444,4510453:4510472|offset_40|444444,4510423:4510442|offset_70|444444,4510381:4510400|offset_112|00cc00&amp;v=4510276:4510600&amp;c=444444", "offset 112")</f>
        <v>offset 112</v>
      </c>
    </row>
    <row r="14583" customFormat="false" ht="12.8" hidden="false" customHeight="false" outlineLevel="0" collapsed="false">
      <c r="A14583" s="0" t="s">
        <v>12</v>
      </c>
      <c r="B14583" s="0" t="n">
        <v>4511161</v>
      </c>
      <c r="C14583" s="0" t="n">
        <v>4511181</v>
      </c>
      <c r="D14583" s="0" t="s">
        <v>48458</v>
      </c>
      <c r="E14583" s="0" t="s">
        <v>48459</v>
      </c>
      <c r="F14583" s="0" t="s">
        <v>90</v>
      </c>
      <c r="G14583" s="0" t="s">
        <v>20</v>
      </c>
      <c r="H14583" s="0" t="n">
        <v>13</v>
      </c>
      <c r="I14583" s="0" t="s">
        <v>48460</v>
      </c>
      <c r="J14583" s="0" t="s">
        <v>48461</v>
      </c>
      <c r="K14583" s="0" t="s">
        <v>48462</v>
      </c>
      <c r="L14583" s="0" t="str">
        <f aca="false">HYPERLINK("https://www.ncbi.nlm.nih.gov/nuccore/CP000058.1?report=graph&amp;tracks=[key:gene_model_track,Options:GeneOnly]&amp;mk=4511162:4511181|offset_13|00cc00,4511129:4511148|offset_46|444444,4511104:4511123|offset_71|444444,4511078:4511097|offset_97|444444&amp;v=4510961:4511297&amp;c=444444", "offset 13")</f>
        <v>offset 13</v>
      </c>
    </row>
    <row r="14584" customFormat="false" ht="12.8" hidden="false" customHeight="false" outlineLevel="0" collapsed="false">
      <c r="A14584" s="0" t="s">
        <v>12</v>
      </c>
      <c r="B14584" s="0" t="n">
        <v>4511128</v>
      </c>
      <c r="C14584" s="0" t="n">
        <v>4511148</v>
      </c>
      <c r="D14584" s="0" t="s">
        <v>48458</v>
      </c>
      <c r="E14584" s="0" t="s">
        <v>48459</v>
      </c>
      <c r="F14584" s="0" t="s">
        <v>90</v>
      </c>
      <c r="G14584" s="0" t="s">
        <v>20</v>
      </c>
      <c r="H14584" s="0" t="n">
        <v>46</v>
      </c>
      <c r="I14584" s="0" t="s">
        <v>48463</v>
      </c>
      <c r="J14584" s="0" t="s">
        <v>48464</v>
      </c>
      <c r="K14584" s="0" t="s">
        <v>48465</v>
      </c>
      <c r="L14584" s="0" t="str">
        <f aca="false">HYPERLINK("https://www.ncbi.nlm.nih.gov/nuccore/CP000058.1?report=graph&amp;tracks=[key:gene_model_track,Options:GeneOnly]&amp;mk=4511162:4511181|offset_13|444444,4511129:4511148|offset_46|00cc00,4511104:4511123|offset_71|444444,4511078:4511097|offset_97|444444&amp;v=4510961:4511297&amp;c=444444", "offset 46")</f>
        <v>offset 46</v>
      </c>
    </row>
    <row r="14585" customFormat="false" ht="12.8" hidden="false" customHeight="false" outlineLevel="0" collapsed="false">
      <c r="A14585" s="0" t="s">
        <v>12</v>
      </c>
      <c r="B14585" s="0" t="n">
        <v>4511103</v>
      </c>
      <c r="C14585" s="0" t="n">
        <v>4511123</v>
      </c>
      <c r="D14585" s="0" t="s">
        <v>48458</v>
      </c>
      <c r="E14585" s="0" t="s">
        <v>48459</v>
      </c>
      <c r="F14585" s="0" t="s">
        <v>90</v>
      </c>
      <c r="G14585" s="0" t="s">
        <v>20</v>
      </c>
      <c r="H14585" s="0" t="n">
        <v>71</v>
      </c>
      <c r="I14585" s="0" t="s">
        <v>48466</v>
      </c>
      <c r="J14585" s="0" t="s">
        <v>48467</v>
      </c>
      <c r="K14585" s="0" t="s">
        <v>48468</v>
      </c>
      <c r="L14585" s="0" t="str">
        <f aca="false">HYPERLINK("https://www.ncbi.nlm.nih.gov/nuccore/CP000058.1?report=graph&amp;tracks=[key:gene_model_track,Options:GeneOnly]&amp;mk=4511162:4511181|offset_13|444444,4511129:4511148|offset_46|444444,4511104:4511123|offset_71|00cc00,4511078:4511097|offset_97|444444&amp;v=4510961:4511297&amp;c=444444", "offset 71")</f>
        <v>offset 71</v>
      </c>
    </row>
    <row r="14586" customFormat="false" ht="12.8" hidden="false" customHeight="false" outlineLevel="0" collapsed="false">
      <c r="A14586" s="0" t="s">
        <v>12</v>
      </c>
      <c r="B14586" s="0" t="n">
        <v>4511077</v>
      </c>
      <c r="C14586" s="0" t="n">
        <v>4511097</v>
      </c>
      <c r="D14586" s="0" t="s">
        <v>48458</v>
      </c>
      <c r="E14586" s="0" t="s">
        <v>48459</v>
      </c>
      <c r="F14586" s="0" t="s">
        <v>90</v>
      </c>
      <c r="G14586" s="0" t="s">
        <v>16</v>
      </c>
      <c r="H14586" s="0" t="n">
        <v>97</v>
      </c>
      <c r="I14586" s="0" t="s">
        <v>48469</v>
      </c>
      <c r="J14586" s="0" t="s">
        <v>48470</v>
      </c>
      <c r="K14586" s="0" t="s">
        <v>48471</v>
      </c>
      <c r="L14586" s="0" t="str">
        <f aca="false">HYPERLINK("https://www.ncbi.nlm.nih.gov/nuccore/CP000058.1?report=graph&amp;tracks=[key:gene_model_track,Options:GeneOnly]&amp;mk=4511162:4511181|offset_13|444444,4511129:4511148|offset_46|444444,4511104:4511123|offset_71|444444,4511078:4511097|offset_97|00cc00&amp;v=4510961:4511297&amp;c=444444", "offset 97")</f>
        <v>offset 97</v>
      </c>
    </row>
    <row r="14587" customFormat="false" ht="12.8" hidden="false" customHeight="false" outlineLevel="0" collapsed="false">
      <c r="A14587" s="0" t="s">
        <v>12</v>
      </c>
      <c r="B14587" s="0" t="n">
        <v>4511460</v>
      </c>
      <c r="C14587" s="0" t="n">
        <v>4511480</v>
      </c>
      <c r="D14587" s="0" t="s">
        <v>48472</v>
      </c>
      <c r="E14587" s="0" t="s">
        <v>75</v>
      </c>
      <c r="F14587" s="0" t="s">
        <v>90</v>
      </c>
      <c r="G14587" s="0" t="s">
        <v>20</v>
      </c>
      <c r="H14587" s="0" t="n">
        <v>88</v>
      </c>
      <c r="I14587" s="0" t="s">
        <v>48473</v>
      </c>
      <c r="J14587" s="0" t="s">
        <v>48474</v>
      </c>
      <c r="K14587" s="0" t="s">
        <v>48475</v>
      </c>
      <c r="L14587" s="0" t="str">
        <f aca="false">HYPERLINK("https://www.ncbi.nlm.nih.gov/nuccore/CP000058.1?report=graph&amp;tracks=[key:gene_model_track,Options:GeneOnly]&amp;mk=4511461:4511480|offset_88|00cc00,4511439:4511458|offset_110|444444,4511395:4511414|offset_154|444444,4511374:4511393|offset_175|444444&amp;v=4511260:4511593&amp;c=444444", "offset 88")</f>
        <v>offset 88</v>
      </c>
    </row>
    <row r="14588" customFormat="false" ht="12.8" hidden="false" customHeight="false" outlineLevel="0" collapsed="false">
      <c r="A14588" s="0" t="s">
        <v>12</v>
      </c>
      <c r="B14588" s="0" t="n">
        <v>4511438</v>
      </c>
      <c r="C14588" s="0" t="n">
        <v>4511458</v>
      </c>
      <c r="D14588" s="0" t="s">
        <v>48472</v>
      </c>
      <c r="E14588" s="0" t="s">
        <v>75</v>
      </c>
      <c r="F14588" s="0" t="s">
        <v>90</v>
      </c>
      <c r="G14588" s="0" t="s">
        <v>20</v>
      </c>
      <c r="H14588" s="0" t="n">
        <v>110</v>
      </c>
      <c r="I14588" s="0" t="s">
        <v>48476</v>
      </c>
      <c r="J14588" s="0" t="s">
        <v>48477</v>
      </c>
      <c r="K14588" s="0" t="s">
        <v>48478</v>
      </c>
      <c r="L14588" s="0" t="str">
        <f aca="false">HYPERLINK("https://www.ncbi.nlm.nih.gov/nuccore/CP000058.1?report=graph&amp;tracks=[key:gene_model_track,Options:GeneOnly]&amp;mk=4511461:4511480|offset_88|444444,4511439:4511458|offset_110|00cc00,4511395:4511414|offset_154|444444,4511374:4511393|offset_175|444444&amp;v=4511260:4511593&amp;c=444444", "offset 110")</f>
        <v>offset 110</v>
      </c>
    </row>
    <row r="14589" customFormat="false" ht="12.8" hidden="false" customHeight="false" outlineLevel="0" collapsed="false">
      <c r="A14589" s="0" t="s">
        <v>12</v>
      </c>
      <c r="B14589" s="0" t="n">
        <v>4511394</v>
      </c>
      <c r="C14589" s="0" t="n">
        <v>4511414</v>
      </c>
      <c r="D14589" s="0" t="s">
        <v>48472</v>
      </c>
      <c r="E14589" s="0" t="s">
        <v>75</v>
      </c>
      <c r="F14589" s="0" t="s">
        <v>90</v>
      </c>
      <c r="G14589" s="0" t="s">
        <v>32</v>
      </c>
      <c r="H14589" s="0" t="n">
        <v>154</v>
      </c>
      <c r="I14589" s="0" t="s">
        <v>48479</v>
      </c>
      <c r="J14589" s="0" t="s">
        <v>48480</v>
      </c>
      <c r="K14589" s="0" t="s">
        <v>48481</v>
      </c>
      <c r="L14589" s="0" t="str">
        <f aca="false">HYPERLINK("https://www.ncbi.nlm.nih.gov/nuccore/CP000058.1?report=graph&amp;tracks=[key:gene_model_track,Options:GeneOnly]&amp;mk=4511461:4511480|offset_88|444444,4511439:4511458|offset_110|444444,4511395:4511414|offset_154|00cc00,4511374:4511393|offset_175|444444&amp;v=4511260:4511593&amp;c=444444", "offset 154")</f>
        <v>offset 154</v>
      </c>
    </row>
    <row r="14590" customFormat="false" ht="12.8" hidden="false" customHeight="false" outlineLevel="0" collapsed="false">
      <c r="A14590" s="0" t="s">
        <v>12</v>
      </c>
      <c r="B14590" s="0" t="n">
        <v>4511373</v>
      </c>
      <c r="C14590" s="0" t="n">
        <v>4511393</v>
      </c>
      <c r="D14590" s="0" t="s">
        <v>48472</v>
      </c>
      <c r="E14590" s="0" t="s">
        <v>75</v>
      </c>
      <c r="F14590" s="0" t="s">
        <v>90</v>
      </c>
      <c r="G14590" s="0" t="s">
        <v>32</v>
      </c>
      <c r="H14590" s="0" t="n">
        <v>175</v>
      </c>
      <c r="I14590" s="0" t="s">
        <v>48482</v>
      </c>
      <c r="J14590" s="0" t="s">
        <v>48483</v>
      </c>
      <c r="K14590" s="0" t="s">
        <v>48484</v>
      </c>
      <c r="L14590" s="0" t="str">
        <f aca="false">HYPERLINK("https://www.ncbi.nlm.nih.gov/nuccore/CP000058.1?report=graph&amp;tracks=[key:gene_model_track,Options:GeneOnly]&amp;mk=4511461:4511480|offset_88|444444,4511439:4511458|offset_110|444444,4511395:4511414|offset_154|444444,4511374:4511393|offset_175|00cc00&amp;v=4511260:4511593&amp;c=444444", "offset 175")</f>
        <v>offset 175</v>
      </c>
    </row>
    <row r="14591" customFormat="false" ht="12.8" hidden="false" customHeight="false" outlineLevel="0" collapsed="false">
      <c r="A14591" s="0" t="s">
        <v>12</v>
      </c>
      <c r="B14591" s="0" t="n">
        <v>4512519</v>
      </c>
      <c r="C14591" s="0" t="n">
        <v>4512539</v>
      </c>
      <c r="D14591" s="0" t="s">
        <v>48485</v>
      </c>
      <c r="E14591" s="0" t="s">
        <v>48486</v>
      </c>
      <c r="F14591" s="0" t="s">
        <v>90</v>
      </c>
      <c r="G14591" s="0" t="s">
        <v>20</v>
      </c>
      <c r="H14591" s="0" t="n">
        <v>0</v>
      </c>
      <c r="I14591" s="0" t="s">
        <v>48487</v>
      </c>
      <c r="J14591" s="0" t="s">
        <v>48488</v>
      </c>
      <c r="K14591" s="0" t="s">
        <v>48489</v>
      </c>
      <c r="L14591" s="0" t="str">
        <f aca="false">HYPERLINK("https://www.ncbi.nlm.nih.gov/nuccore/CP000058.1?report=graph&amp;tracks=[key:gene_model_track,Options:GeneOnly]&amp;mk=4512520:4512539|offset_0|00cc00,4512440:4512459|offset_80|444444,4512417:4512436|offset_103|444444,4512385:4512404|offset_135|444444&amp;v=4512319:4512604&amp;c=444444", "offset 0")</f>
        <v>offset 0</v>
      </c>
    </row>
    <row r="14592" customFormat="false" ht="12.8" hidden="false" customHeight="false" outlineLevel="0" collapsed="false">
      <c r="A14592" s="0" t="s">
        <v>12</v>
      </c>
      <c r="B14592" s="0" t="n">
        <v>4512439</v>
      </c>
      <c r="C14592" s="0" t="n">
        <v>4512459</v>
      </c>
      <c r="D14592" s="0" t="s">
        <v>48485</v>
      </c>
      <c r="E14592" s="0" t="s">
        <v>48486</v>
      </c>
      <c r="F14592" s="0" t="s">
        <v>90</v>
      </c>
      <c r="G14592" s="0" t="s">
        <v>20</v>
      </c>
      <c r="H14592" s="0" t="n">
        <v>80</v>
      </c>
      <c r="I14592" s="0" t="s">
        <v>48490</v>
      </c>
      <c r="J14592" s="0" t="s">
        <v>48491</v>
      </c>
      <c r="K14592" s="0" t="s">
        <v>48492</v>
      </c>
      <c r="L14592" s="0" t="str">
        <f aca="false">HYPERLINK("https://www.ncbi.nlm.nih.gov/nuccore/CP000058.1?report=graph&amp;tracks=[key:gene_model_track,Options:GeneOnly]&amp;mk=4512520:4512539|offset_0|444444,4512440:4512459|offset_80|00cc00,4512417:4512436|offset_103|444444,4512385:4512404|offset_135|444444&amp;v=4512319:4512604&amp;c=444444", "offset 80")</f>
        <v>offset 80</v>
      </c>
    </row>
    <row r="14593" customFormat="false" ht="12.8" hidden="false" customHeight="false" outlineLevel="0" collapsed="false">
      <c r="A14593" s="0" t="s">
        <v>12</v>
      </c>
      <c r="B14593" s="0" t="n">
        <v>4512416</v>
      </c>
      <c r="C14593" s="0" t="n">
        <v>4512436</v>
      </c>
      <c r="D14593" s="0" t="s">
        <v>48485</v>
      </c>
      <c r="E14593" s="0" t="s">
        <v>48486</v>
      </c>
      <c r="F14593" s="0" t="s">
        <v>90</v>
      </c>
      <c r="G14593" s="0" t="s">
        <v>32</v>
      </c>
      <c r="H14593" s="0" t="n">
        <v>103</v>
      </c>
      <c r="I14593" s="0" t="s">
        <v>48493</v>
      </c>
      <c r="J14593" s="0" t="s">
        <v>48494</v>
      </c>
      <c r="K14593" s="0" t="s">
        <v>48495</v>
      </c>
      <c r="L14593" s="0" t="str">
        <f aca="false">HYPERLINK("https://www.ncbi.nlm.nih.gov/nuccore/CP000058.1?report=graph&amp;tracks=[key:gene_model_track,Options:GeneOnly]&amp;mk=4512520:4512539|offset_0|444444,4512440:4512459|offset_80|444444,4512417:4512436|offset_103|00cc00,4512385:4512404|offset_135|444444&amp;v=4512319:4512604&amp;c=444444", "offset 103")</f>
        <v>offset 103</v>
      </c>
    </row>
    <row r="14594" customFormat="false" ht="12.8" hidden="false" customHeight="false" outlineLevel="0" collapsed="false">
      <c r="A14594" s="0" t="s">
        <v>12</v>
      </c>
      <c r="B14594" s="0" t="n">
        <v>4512384</v>
      </c>
      <c r="C14594" s="0" t="n">
        <v>4512404</v>
      </c>
      <c r="D14594" s="0" t="s">
        <v>48485</v>
      </c>
      <c r="E14594" s="0" t="s">
        <v>48486</v>
      </c>
      <c r="F14594" s="0" t="s">
        <v>90</v>
      </c>
      <c r="G14594" s="0" t="s">
        <v>20</v>
      </c>
      <c r="H14594" s="0" t="n">
        <v>135</v>
      </c>
      <c r="I14594" s="0" t="s">
        <v>48496</v>
      </c>
      <c r="J14594" s="0" t="s">
        <v>48497</v>
      </c>
      <c r="K14594" s="0" t="s">
        <v>48498</v>
      </c>
      <c r="L14594" s="0" t="str">
        <f aca="false">HYPERLINK("https://www.ncbi.nlm.nih.gov/nuccore/CP000058.1?report=graph&amp;tracks=[key:gene_model_track,Options:GeneOnly]&amp;mk=4512520:4512539|offset_0|444444,4512440:4512459|offset_80|444444,4512417:4512436|offset_103|444444,4512385:4512404|offset_135|00cc00&amp;v=4512319:4512604&amp;c=444444", "offset 135")</f>
        <v>offset 135</v>
      </c>
    </row>
    <row r="14595" customFormat="false" ht="12.8" hidden="false" customHeight="false" outlineLevel="0" collapsed="false">
      <c r="A14595" s="0" t="s">
        <v>12</v>
      </c>
      <c r="B14595" s="0" t="n">
        <v>4514302</v>
      </c>
      <c r="C14595" s="0" t="n">
        <v>4514322</v>
      </c>
      <c r="D14595" s="0" t="s">
        <v>48499</v>
      </c>
      <c r="E14595" s="0" t="s">
        <v>48500</v>
      </c>
      <c r="F14595" s="0" t="s">
        <v>90</v>
      </c>
      <c r="G14595" s="0" t="s">
        <v>16</v>
      </c>
      <c r="H14595" s="0" t="n">
        <v>14</v>
      </c>
      <c r="I14595" s="0" t="s">
        <v>48501</v>
      </c>
      <c r="J14595" s="0" t="s">
        <v>48502</v>
      </c>
      <c r="K14595" s="0" t="s">
        <v>48503</v>
      </c>
      <c r="L14595" s="0" t="str">
        <f aca="false">HYPERLINK("https://www.ncbi.nlm.nih.gov/nuccore/CP000058.1?report=graph&amp;tracks=[key:gene_model_track,Options:GeneOnly]&amp;mk=4514303:4514322|offset_14|00cc00,4514283:4514302|offset_34|444444,4514253:4514272|offset_64|444444,4514225:4514244|offset_92|444444&amp;v=4514102:4514444&amp;c=444444", "offset 14")</f>
        <v>offset 14</v>
      </c>
    </row>
    <row r="14596" customFormat="false" ht="12.8" hidden="false" customHeight="false" outlineLevel="0" collapsed="false">
      <c r="A14596" s="0" t="s">
        <v>12</v>
      </c>
      <c r="B14596" s="0" t="n">
        <v>4514282</v>
      </c>
      <c r="C14596" s="0" t="n">
        <v>4514302</v>
      </c>
      <c r="D14596" s="0" t="s">
        <v>48499</v>
      </c>
      <c r="E14596" s="0" t="s">
        <v>48500</v>
      </c>
      <c r="F14596" s="0" t="s">
        <v>90</v>
      </c>
      <c r="G14596" s="0" t="s">
        <v>36</v>
      </c>
      <c r="H14596" s="0" t="n">
        <v>34</v>
      </c>
      <c r="I14596" s="0" t="s">
        <v>48504</v>
      </c>
      <c r="J14596" s="0" t="s">
        <v>48505</v>
      </c>
      <c r="K14596" s="0" t="s">
        <v>48506</v>
      </c>
      <c r="L14596" s="0" t="str">
        <f aca="false">HYPERLINK("https://www.ncbi.nlm.nih.gov/nuccore/CP000058.1?report=graph&amp;tracks=[key:gene_model_track,Options:GeneOnly]&amp;mk=4514303:4514322|offset_14|444444,4514283:4514302|offset_34|00cc00,4514253:4514272|offset_64|444444,4514225:4514244|offset_92|444444&amp;v=4514102:4514444&amp;c=444444", "offset 34")</f>
        <v>offset 34</v>
      </c>
    </row>
    <row r="14597" customFormat="false" ht="12.8" hidden="false" customHeight="false" outlineLevel="0" collapsed="false">
      <c r="A14597" s="0" t="s">
        <v>12</v>
      </c>
      <c r="B14597" s="0" t="n">
        <v>4514252</v>
      </c>
      <c r="C14597" s="0" t="n">
        <v>4514272</v>
      </c>
      <c r="D14597" s="0" t="s">
        <v>48499</v>
      </c>
      <c r="E14597" s="0" t="s">
        <v>48500</v>
      </c>
      <c r="F14597" s="0" t="s">
        <v>90</v>
      </c>
      <c r="G14597" s="0" t="s">
        <v>16</v>
      </c>
      <c r="H14597" s="0" t="n">
        <v>64</v>
      </c>
      <c r="I14597" s="0" t="s">
        <v>48507</v>
      </c>
      <c r="J14597" s="0" t="s">
        <v>48508</v>
      </c>
      <c r="K14597" s="0" t="s">
        <v>48509</v>
      </c>
      <c r="L14597" s="0" t="str">
        <f aca="false">HYPERLINK("https://www.ncbi.nlm.nih.gov/nuccore/CP000058.1?report=graph&amp;tracks=[key:gene_model_track,Options:GeneOnly]&amp;mk=4514303:4514322|offset_14|444444,4514283:4514302|offset_34|444444,4514253:4514272|offset_64|00cc00,4514225:4514244|offset_92|444444&amp;v=4514102:4514444&amp;c=444444", "offset 64")</f>
        <v>offset 64</v>
      </c>
    </row>
    <row r="14598" customFormat="false" ht="12.8" hidden="false" customHeight="false" outlineLevel="0" collapsed="false">
      <c r="A14598" s="0" t="s">
        <v>12</v>
      </c>
      <c r="B14598" s="0" t="n">
        <v>4514224</v>
      </c>
      <c r="C14598" s="0" t="n">
        <v>4514244</v>
      </c>
      <c r="D14598" s="0" t="s">
        <v>48499</v>
      </c>
      <c r="E14598" s="0" t="s">
        <v>48500</v>
      </c>
      <c r="F14598" s="0" t="s">
        <v>90</v>
      </c>
      <c r="G14598" s="0" t="s">
        <v>20</v>
      </c>
      <c r="H14598" s="0" t="n">
        <v>92</v>
      </c>
      <c r="I14598" s="0" t="s">
        <v>48510</v>
      </c>
      <c r="J14598" s="0" t="s">
        <v>48511</v>
      </c>
      <c r="K14598" s="0" t="s">
        <v>48512</v>
      </c>
      <c r="L14598" s="0" t="str">
        <f aca="false">HYPERLINK("https://www.ncbi.nlm.nih.gov/nuccore/CP000058.1?report=graph&amp;tracks=[key:gene_model_track,Options:GeneOnly]&amp;mk=4514303:4514322|offset_14|444444,4514283:4514302|offset_34|444444,4514253:4514272|offset_64|444444,4514225:4514244|offset_92|00cc00&amp;v=4514102:4514444&amp;c=444444", "offset 92")</f>
        <v>offset 92</v>
      </c>
    </row>
    <row r="14599" customFormat="false" ht="12.8" hidden="false" customHeight="false" outlineLevel="0" collapsed="false">
      <c r="A14599" s="0" t="s">
        <v>12</v>
      </c>
      <c r="B14599" s="0" t="n">
        <v>4515924</v>
      </c>
      <c r="C14599" s="0" t="n">
        <v>4515944</v>
      </c>
      <c r="D14599" s="0" t="s">
        <v>48513</v>
      </c>
      <c r="E14599" s="0" t="s">
        <v>48514</v>
      </c>
      <c r="F14599" s="0" t="s">
        <v>90</v>
      </c>
      <c r="G14599" s="0" t="s">
        <v>32</v>
      </c>
      <c r="H14599" s="0" t="n">
        <v>12</v>
      </c>
      <c r="I14599" s="0" t="s">
        <v>48515</v>
      </c>
      <c r="J14599" s="0" t="s">
        <v>48516</v>
      </c>
      <c r="K14599" s="0" t="s">
        <v>48517</v>
      </c>
      <c r="L14599" s="0" t="str">
        <f aca="false">HYPERLINK("https://www.ncbi.nlm.nih.gov/nuccore/CP000058.1?report=graph&amp;tracks=[key:gene_model_track,Options:GeneOnly]&amp;mk=4515925:4515944|offset_12|00cc00,4515894:4515913|offset_43|444444,4515855:4515874|offset_82|444444,4515816:4515835|offset_121|444444&amp;v=4515724:4516035&amp;c=444444", "offset 12")</f>
        <v>offset 12</v>
      </c>
    </row>
    <row r="14600" customFormat="false" ht="12.8" hidden="false" customHeight="false" outlineLevel="0" collapsed="false">
      <c r="A14600" s="0" t="s">
        <v>12</v>
      </c>
      <c r="B14600" s="0" t="n">
        <v>4515893</v>
      </c>
      <c r="C14600" s="0" t="n">
        <v>4515913</v>
      </c>
      <c r="D14600" s="0" t="s">
        <v>48513</v>
      </c>
      <c r="E14600" s="0" t="s">
        <v>48514</v>
      </c>
      <c r="F14600" s="0" t="s">
        <v>90</v>
      </c>
      <c r="G14600" s="0" t="s">
        <v>16</v>
      </c>
      <c r="H14600" s="0" t="n">
        <v>43</v>
      </c>
      <c r="I14600" s="0" t="s">
        <v>48518</v>
      </c>
      <c r="J14600" s="0" t="s">
        <v>48519</v>
      </c>
      <c r="K14600" s="0" t="s">
        <v>48520</v>
      </c>
      <c r="L14600" s="0" t="str">
        <f aca="false">HYPERLINK("https://www.ncbi.nlm.nih.gov/nuccore/CP000058.1?report=graph&amp;tracks=[key:gene_model_track,Options:GeneOnly]&amp;mk=4515925:4515944|offset_12|444444,4515894:4515913|offset_43|00cc00,4515855:4515874|offset_82|444444,4515816:4515835|offset_121|444444&amp;v=4515724:4516035&amp;c=444444", "offset 43")</f>
        <v>offset 43</v>
      </c>
    </row>
    <row r="14601" customFormat="false" ht="12.8" hidden="false" customHeight="false" outlineLevel="0" collapsed="false">
      <c r="A14601" s="0" t="s">
        <v>12</v>
      </c>
      <c r="B14601" s="0" t="n">
        <v>4515854</v>
      </c>
      <c r="C14601" s="0" t="n">
        <v>4515874</v>
      </c>
      <c r="D14601" s="0" t="s">
        <v>48513</v>
      </c>
      <c r="E14601" s="0" t="s">
        <v>48514</v>
      </c>
      <c r="F14601" s="0" t="s">
        <v>90</v>
      </c>
      <c r="G14601" s="0" t="s">
        <v>16</v>
      </c>
      <c r="H14601" s="0" t="n">
        <v>82</v>
      </c>
      <c r="I14601" s="0" t="s">
        <v>48521</v>
      </c>
      <c r="J14601" s="0" t="s">
        <v>48522</v>
      </c>
      <c r="K14601" s="0" t="s">
        <v>48523</v>
      </c>
      <c r="L14601" s="0" t="str">
        <f aca="false">HYPERLINK("https://www.ncbi.nlm.nih.gov/nuccore/CP000058.1?report=graph&amp;tracks=[key:gene_model_track,Options:GeneOnly]&amp;mk=4515925:4515944|offset_12|444444,4515894:4515913|offset_43|444444,4515855:4515874|offset_82|00cc00,4515816:4515835|offset_121|444444&amp;v=4515724:4516035&amp;c=444444", "offset 82")</f>
        <v>offset 82</v>
      </c>
    </row>
    <row r="14602" customFormat="false" ht="12.8" hidden="false" customHeight="false" outlineLevel="0" collapsed="false">
      <c r="A14602" s="0" t="s">
        <v>12</v>
      </c>
      <c r="B14602" s="0" t="n">
        <v>4515815</v>
      </c>
      <c r="C14602" s="0" t="n">
        <v>4515835</v>
      </c>
      <c r="D14602" s="0" t="s">
        <v>48513</v>
      </c>
      <c r="E14602" s="0" t="s">
        <v>48514</v>
      </c>
      <c r="F14602" s="0" t="s">
        <v>90</v>
      </c>
      <c r="G14602" s="0" t="s">
        <v>20</v>
      </c>
      <c r="H14602" s="0" t="n">
        <v>121</v>
      </c>
      <c r="I14602" s="0" t="s">
        <v>48524</v>
      </c>
      <c r="J14602" s="0" t="s">
        <v>48525</v>
      </c>
      <c r="K14602" s="0" t="s">
        <v>48526</v>
      </c>
      <c r="L14602" s="0" t="str">
        <f aca="false">HYPERLINK("https://www.ncbi.nlm.nih.gov/nuccore/CP000058.1?report=graph&amp;tracks=[key:gene_model_track,Options:GeneOnly]&amp;mk=4515925:4515944|offset_12|444444,4515894:4515913|offset_43|444444,4515855:4515874|offset_82|444444,4515816:4515835|offset_121|00cc00&amp;v=4515724:4516035&amp;c=444444", "offset 121")</f>
        <v>offset 121</v>
      </c>
    </row>
    <row r="14603" customFormat="false" ht="12.8" hidden="false" customHeight="false" outlineLevel="0" collapsed="false">
      <c r="A14603" s="0" t="s">
        <v>12</v>
      </c>
      <c r="B14603" s="0" t="n">
        <v>4517169</v>
      </c>
      <c r="C14603" s="0" t="n">
        <v>4517189</v>
      </c>
      <c r="D14603" s="0" t="s">
        <v>48527</v>
      </c>
      <c r="E14603" s="0" t="s">
        <v>48528</v>
      </c>
      <c r="F14603" s="0" t="s">
        <v>90</v>
      </c>
      <c r="G14603" s="0" t="s">
        <v>16</v>
      </c>
      <c r="H14603" s="0" t="n">
        <v>10</v>
      </c>
      <c r="I14603" s="0" t="s">
        <v>48529</v>
      </c>
      <c r="J14603" s="0" t="s">
        <v>48530</v>
      </c>
      <c r="K14603" s="0" t="s">
        <v>48531</v>
      </c>
      <c r="L14603" s="0" t="str">
        <f aca="false">HYPERLINK("https://www.ncbi.nlm.nih.gov/nuccore/CP000058.1?report=graph&amp;tracks=[key:gene_model_track,Options:GeneOnly]&amp;mk=4517170:4517189|offset_10|00cc00,4517131:4517150|offset_49|444444,4517083:4517102|offset_97|444444,4517017:4517036|offset_163|444444&amp;v=4516969:4517236&amp;c=444444", "offset 10")</f>
        <v>offset 10</v>
      </c>
    </row>
    <row r="14604" customFormat="false" ht="12.8" hidden="false" customHeight="false" outlineLevel="0" collapsed="false">
      <c r="A14604" s="0" t="s">
        <v>12</v>
      </c>
      <c r="B14604" s="0" t="n">
        <v>4517130</v>
      </c>
      <c r="C14604" s="0" t="n">
        <v>4517150</v>
      </c>
      <c r="D14604" s="0" t="s">
        <v>48527</v>
      </c>
      <c r="E14604" s="0" t="s">
        <v>48528</v>
      </c>
      <c r="F14604" s="0" t="s">
        <v>90</v>
      </c>
      <c r="G14604" s="0" t="s">
        <v>36</v>
      </c>
      <c r="H14604" s="0" t="n">
        <v>49</v>
      </c>
      <c r="I14604" s="0" t="s">
        <v>48532</v>
      </c>
      <c r="J14604" s="0" t="s">
        <v>48533</v>
      </c>
      <c r="K14604" s="0" t="s">
        <v>48534</v>
      </c>
      <c r="L14604" s="0" t="str">
        <f aca="false">HYPERLINK("https://www.ncbi.nlm.nih.gov/nuccore/CP000058.1?report=graph&amp;tracks=[key:gene_model_track,Options:GeneOnly]&amp;mk=4517170:4517189|offset_10|444444,4517131:4517150|offset_49|00cc00,4517083:4517102|offset_97|444444,4517017:4517036|offset_163|444444&amp;v=4516969:4517236&amp;c=444444", "offset 49")</f>
        <v>offset 49</v>
      </c>
    </row>
    <row r="14605" customFormat="false" ht="12.8" hidden="false" customHeight="false" outlineLevel="0" collapsed="false">
      <c r="A14605" s="0" t="s">
        <v>12</v>
      </c>
      <c r="B14605" s="0" t="n">
        <v>4517082</v>
      </c>
      <c r="C14605" s="0" t="n">
        <v>4517102</v>
      </c>
      <c r="D14605" s="0" t="s">
        <v>48527</v>
      </c>
      <c r="E14605" s="0" t="s">
        <v>48528</v>
      </c>
      <c r="F14605" s="0" t="s">
        <v>90</v>
      </c>
      <c r="G14605" s="0" t="s">
        <v>32</v>
      </c>
      <c r="H14605" s="0" t="n">
        <v>97</v>
      </c>
      <c r="I14605" s="0" t="s">
        <v>48535</v>
      </c>
      <c r="J14605" s="0" t="s">
        <v>48536</v>
      </c>
      <c r="K14605" s="0" t="s">
        <v>48537</v>
      </c>
      <c r="L14605" s="0" t="str">
        <f aca="false">HYPERLINK("https://www.ncbi.nlm.nih.gov/nuccore/CP000058.1?report=graph&amp;tracks=[key:gene_model_track,Options:GeneOnly]&amp;mk=4517170:4517189|offset_10|444444,4517131:4517150|offset_49|444444,4517083:4517102|offset_97|00cc00,4517017:4517036|offset_163|444444&amp;v=4516969:4517236&amp;c=444444", "offset 97")</f>
        <v>offset 97</v>
      </c>
    </row>
    <row r="14606" customFormat="false" ht="12.8" hidden="false" customHeight="false" outlineLevel="0" collapsed="false">
      <c r="A14606" s="0" t="s">
        <v>12</v>
      </c>
      <c r="B14606" s="0" t="n">
        <v>4517016</v>
      </c>
      <c r="C14606" s="0" t="n">
        <v>4517036</v>
      </c>
      <c r="D14606" s="0" t="s">
        <v>48527</v>
      </c>
      <c r="E14606" s="0" t="s">
        <v>48528</v>
      </c>
      <c r="F14606" s="0" t="s">
        <v>90</v>
      </c>
      <c r="G14606" s="0" t="s">
        <v>36</v>
      </c>
      <c r="H14606" s="0" t="n">
        <v>163</v>
      </c>
      <c r="I14606" s="0" t="s">
        <v>48538</v>
      </c>
      <c r="J14606" s="0" t="s">
        <v>48539</v>
      </c>
      <c r="K14606" s="0" t="s">
        <v>48540</v>
      </c>
      <c r="L14606" s="0" t="str">
        <f aca="false">HYPERLINK("https://www.ncbi.nlm.nih.gov/nuccore/CP000058.1?report=graph&amp;tracks=[key:gene_model_track,Options:GeneOnly]&amp;mk=4517170:4517189|offset_10|444444,4517131:4517150|offset_49|444444,4517083:4517102|offset_97|444444,4517017:4517036|offset_163|00cc00&amp;v=4516969:4517236&amp;c=444444", "offset 163")</f>
        <v>offset 163</v>
      </c>
    </row>
    <row r="14607" customFormat="false" ht="12.8" hidden="false" customHeight="false" outlineLevel="0" collapsed="false">
      <c r="A14607" s="0" t="s">
        <v>12</v>
      </c>
      <c r="B14607" s="0" t="n">
        <v>4517777</v>
      </c>
      <c r="C14607" s="0" t="n">
        <v>4517797</v>
      </c>
      <c r="D14607" s="0" t="s">
        <v>48541</v>
      </c>
      <c r="E14607" s="0" t="s">
        <v>48542</v>
      </c>
      <c r="F14607" s="0" t="s">
        <v>90</v>
      </c>
      <c r="G14607" s="0" t="s">
        <v>32</v>
      </c>
      <c r="H14607" s="0" t="n">
        <v>1</v>
      </c>
      <c r="I14607" s="0" t="s">
        <v>48543</v>
      </c>
      <c r="J14607" s="0" t="s">
        <v>48544</v>
      </c>
      <c r="K14607" s="0" t="s">
        <v>48545</v>
      </c>
      <c r="L14607" s="0" t="str">
        <f aca="false">HYPERLINK("https://www.ncbi.nlm.nih.gov/nuccore/CP000058.1?report=graph&amp;tracks=[key:gene_model_track,Options:GeneOnly]&amp;mk=4517778:4517797|offset_1|00cc00,4517745:4517764|offset_34|444444,4517691:4517710|offset_88|444444,4517664:4517683|offset_115|444444&amp;v=4517577:4517883&amp;c=444444", "offset 1")</f>
        <v>offset 1</v>
      </c>
    </row>
    <row r="14608" customFormat="false" ht="12.8" hidden="false" customHeight="false" outlineLevel="0" collapsed="false">
      <c r="A14608" s="0" t="s">
        <v>12</v>
      </c>
      <c r="B14608" s="0" t="n">
        <v>4517744</v>
      </c>
      <c r="C14608" s="0" t="n">
        <v>4517764</v>
      </c>
      <c r="D14608" s="0" t="s">
        <v>48541</v>
      </c>
      <c r="E14608" s="0" t="s">
        <v>48542</v>
      </c>
      <c r="F14608" s="0" t="s">
        <v>90</v>
      </c>
      <c r="G14608" s="0" t="s">
        <v>16</v>
      </c>
      <c r="H14608" s="0" t="n">
        <v>34</v>
      </c>
      <c r="I14608" s="0" t="s">
        <v>48546</v>
      </c>
      <c r="J14608" s="0" t="s">
        <v>48547</v>
      </c>
      <c r="K14608" s="0" t="s">
        <v>48548</v>
      </c>
      <c r="L14608" s="0" t="str">
        <f aca="false">HYPERLINK("https://www.ncbi.nlm.nih.gov/nuccore/CP000058.1?report=graph&amp;tracks=[key:gene_model_track,Options:GeneOnly]&amp;mk=4517778:4517797|offset_1|444444,4517745:4517764|offset_34|00cc00,4517691:4517710|offset_88|444444,4517664:4517683|offset_115|444444&amp;v=4517577:4517883&amp;c=444444", "offset 34")</f>
        <v>offset 34</v>
      </c>
    </row>
    <row r="14609" customFormat="false" ht="12.8" hidden="false" customHeight="false" outlineLevel="0" collapsed="false">
      <c r="A14609" s="0" t="s">
        <v>12</v>
      </c>
      <c r="B14609" s="0" t="n">
        <v>4517690</v>
      </c>
      <c r="C14609" s="0" t="n">
        <v>4517710</v>
      </c>
      <c r="D14609" s="0" t="s">
        <v>48541</v>
      </c>
      <c r="E14609" s="0" t="s">
        <v>48542</v>
      </c>
      <c r="F14609" s="0" t="s">
        <v>90</v>
      </c>
      <c r="G14609" s="0" t="s">
        <v>32</v>
      </c>
      <c r="H14609" s="0" t="n">
        <v>88</v>
      </c>
      <c r="I14609" s="0" t="s">
        <v>48549</v>
      </c>
      <c r="J14609" s="0" t="s">
        <v>48550</v>
      </c>
      <c r="K14609" s="0" t="s">
        <v>48551</v>
      </c>
      <c r="L14609" s="0" t="str">
        <f aca="false">HYPERLINK("https://www.ncbi.nlm.nih.gov/nuccore/CP000058.1?report=graph&amp;tracks=[key:gene_model_track,Options:GeneOnly]&amp;mk=4517778:4517797|offset_1|444444,4517745:4517764|offset_34|444444,4517691:4517710|offset_88|00cc00,4517664:4517683|offset_115|444444&amp;v=4517577:4517883&amp;c=444444", "offset 88")</f>
        <v>offset 88</v>
      </c>
    </row>
    <row r="14610" customFormat="false" ht="12.8" hidden="false" customHeight="false" outlineLevel="0" collapsed="false">
      <c r="A14610" s="0" t="s">
        <v>12</v>
      </c>
      <c r="B14610" s="0" t="n">
        <v>4517663</v>
      </c>
      <c r="C14610" s="0" t="n">
        <v>4517683</v>
      </c>
      <c r="D14610" s="0" t="s">
        <v>48541</v>
      </c>
      <c r="E14610" s="0" t="s">
        <v>48542</v>
      </c>
      <c r="F14610" s="0" t="s">
        <v>90</v>
      </c>
      <c r="G14610" s="0" t="s">
        <v>20</v>
      </c>
      <c r="H14610" s="0" t="n">
        <v>115</v>
      </c>
      <c r="I14610" s="0" t="s">
        <v>48552</v>
      </c>
      <c r="J14610" s="0" t="s">
        <v>48553</v>
      </c>
      <c r="K14610" s="0" t="s">
        <v>48554</v>
      </c>
      <c r="L14610" s="0" t="str">
        <f aca="false">HYPERLINK("https://www.ncbi.nlm.nih.gov/nuccore/CP000058.1?report=graph&amp;tracks=[key:gene_model_track,Options:GeneOnly]&amp;mk=4517778:4517797|offset_1|444444,4517745:4517764|offset_34|444444,4517691:4517710|offset_88|444444,4517664:4517683|offset_115|00cc00&amp;v=4517577:4517883&amp;c=444444", "offset 115")</f>
        <v>offset 115</v>
      </c>
    </row>
    <row r="14611" customFormat="false" ht="12.8" hidden="false" customHeight="false" outlineLevel="0" collapsed="false">
      <c r="A14611" s="0" t="s">
        <v>12</v>
      </c>
      <c r="B14611" s="0" t="n">
        <v>4518383</v>
      </c>
      <c r="C14611" s="0" t="n">
        <v>4518403</v>
      </c>
      <c r="D14611" s="0" t="s">
        <v>48555</v>
      </c>
      <c r="E14611" s="0" t="s">
        <v>48556</v>
      </c>
      <c r="F14611" s="0" t="s">
        <v>90</v>
      </c>
      <c r="G14611" s="0" t="s">
        <v>36</v>
      </c>
      <c r="H14611" s="0" t="n">
        <v>10</v>
      </c>
      <c r="I14611" s="0" t="s">
        <v>48557</v>
      </c>
      <c r="J14611" s="0" t="s">
        <v>48558</v>
      </c>
      <c r="K14611" s="0" t="s">
        <v>48559</v>
      </c>
      <c r="L14611" s="0" t="str">
        <f aca="false">HYPERLINK("https://www.ncbi.nlm.nih.gov/nuccore/CP000058.1?report=graph&amp;tracks=[key:gene_model_track,Options:GeneOnly]&amp;mk=4518384:4518403|offset_10|00cc00,4518261:4518280|offset_133|444444,4518231:4518250|offset_163|444444,4518156:4518175|offset_238|444444&amp;v=4518183:4518375&amp;c=444444", "offset 10")</f>
        <v>offset 10</v>
      </c>
    </row>
    <row r="14612" customFormat="false" ht="12.8" hidden="false" customHeight="false" outlineLevel="0" collapsed="false">
      <c r="A14612" s="0" t="s">
        <v>12</v>
      </c>
      <c r="B14612" s="0" t="n">
        <v>4518260</v>
      </c>
      <c r="C14612" s="0" t="n">
        <v>4518280</v>
      </c>
      <c r="D14612" s="0" t="s">
        <v>48555</v>
      </c>
      <c r="E14612" s="0" t="s">
        <v>48556</v>
      </c>
      <c r="F14612" s="0" t="s">
        <v>90</v>
      </c>
      <c r="G14612" s="0" t="s">
        <v>36</v>
      </c>
      <c r="H14612" s="0" t="n">
        <v>133</v>
      </c>
      <c r="I14612" s="0" t="s">
        <v>48560</v>
      </c>
      <c r="J14612" s="0" t="s">
        <v>48561</v>
      </c>
      <c r="K14612" s="0" t="s">
        <v>48562</v>
      </c>
      <c r="L14612" s="0" t="str">
        <f aca="false">HYPERLINK("https://www.ncbi.nlm.nih.gov/nuccore/CP000058.1?report=graph&amp;tracks=[key:gene_model_track,Options:GeneOnly]&amp;mk=4518384:4518403|offset_10|444444,4518261:4518280|offset_133|00cc00,4518231:4518250|offset_163|444444,4518156:4518175|offset_238|444444&amp;v=4518183:4518375&amp;c=444444", "offset 133")</f>
        <v>offset 133</v>
      </c>
    </row>
    <row r="14613" customFormat="false" ht="12.8" hidden="false" customHeight="false" outlineLevel="0" collapsed="false">
      <c r="A14613" s="0" t="s">
        <v>12</v>
      </c>
      <c r="B14613" s="0" t="n">
        <v>4518230</v>
      </c>
      <c r="C14613" s="0" t="n">
        <v>4518250</v>
      </c>
      <c r="D14613" s="0" t="s">
        <v>48555</v>
      </c>
      <c r="E14613" s="0" t="s">
        <v>48556</v>
      </c>
      <c r="F14613" s="0" t="s">
        <v>90</v>
      </c>
      <c r="G14613" s="0" t="s">
        <v>20</v>
      </c>
      <c r="H14613" s="0" t="n">
        <v>163</v>
      </c>
      <c r="I14613" s="0" t="s">
        <v>48563</v>
      </c>
      <c r="J14613" s="0" t="s">
        <v>48564</v>
      </c>
      <c r="K14613" s="0" t="s">
        <v>48565</v>
      </c>
      <c r="L14613" s="0" t="str">
        <f aca="false">HYPERLINK("https://www.ncbi.nlm.nih.gov/nuccore/CP000058.1?report=graph&amp;tracks=[key:gene_model_track,Options:GeneOnly]&amp;mk=4518384:4518403|offset_10|444444,4518261:4518280|offset_133|444444,4518231:4518250|offset_163|00cc00,4518156:4518175|offset_238|444444&amp;v=4518183:4518375&amp;c=444444", "offset 163")</f>
        <v>offset 163</v>
      </c>
    </row>
    <row r="14614" customFormat="false" ht="12.8" hidden="false" customHeight="false" outlineLevel="0" collapsed="false">
      <c r="A14614" s="0" t="s">
        <v>12</v>
      </c>
      <c r="B14614" s="0" t="n">
        <v>4518155</v>
      </c>
      <c r="C14614" s="0" t="n">
        <v>4518175</v>
      </c>
      <c r="D14614" s="0" t="s">
        <v>48555</v>
      </c>
      <c r="E14614" s="0" t="s">
        <v>48556</v>
      </c>
      <c r="F14614" s="0" t="s">
        <v>90</v>
      </c>
      <c r="G14614" s="0" t="s">
        <v>32</v>
      </c>
      <c r="H14614" s="0" t="n">
        <v>238</v>
      </c>
      <c r="I14614" s="0" t="s">
        <v>48566</v>
      </c>
      <c r="J14614" s="0" t="s">
        <v>48567</v>
      </c>
      <c r="K14614" s="0" t="s">
        <v>48568</v>
      </c>
      <c r="L14614" s="0" t="str">
        <f aca="false">HYPERLINK("https://www.ncbi.nlm.nih.gov/nuccore/CP000058.1?report=graph&amp;tracks=[key:gene_model_track,Options:GeneOnly]&amp;mk=4518384:4518403|offset_10|444444,4518261:4518280|offset_133|444444,4518231:4518250|offset_163|444444,4518156:4518175|offset_238|00cc00&amp;v=4518183:4518375&amp;c=444444", "offset 238")</f>
        <v>offset 238</v>
      </c>
    </row>
    <row r="14615" customFormat="false" ht="12.8" hidden="false" customHeight="false" outlineLevel="0" collapsed="false">
      <c r="A14615" s="0" t="s">
        <v>12</v>
      </c>
      <c r="B14615" s="0" t="n">
        <v>4518962</v>
      </c>
      <c r="C14615" s="0" t="n">
        <v>4518982</v>
      </c>
      <c r="D14615" s="0" t="s">
        <v>48569</v>
      </c>
      <c r="E14615" s="0" t="s">
        <v>48570</v>
      </c>
      <c r="F14615" s="0" t="s">
        <v>15</v>
      </c>
      <c r="G14615" s="0" t="s">
        <v>16</v>
      </c>
      <c r="H14615" s="0" t="n">
        <v>52</v>
      </c>
      <c r="I14615" s="0" t="s">
        <v>48571</v>
      </c>
      <c r="J14615" s="0" t="s">
        <v>48572</v>
      </c>
      <c r="K14615" s="0" t="s">
        <v>48573</v>
      </c>
      <c r="L14615" s="0" t="str">
        <f aca="false">HYPERLINK("https://www.ncbi.nlm.nih.gov/nuccore/CP000058.1?report=graph&amp;tracks=[key:gene_model_track,Options:GeneOnly]&amp;mk=4518963:4518982|offset_52|00cc00,4518989:4519008|offset_78|444444,4519032:4519051|offset_121|444444,4519053:4519072|offset_142|444444&amp;v=4518762:4519272&amp;c=444444", "offset 52")</f>
        <v>offset 52</v>
      </c>
    </row>
    <row r="14616" customFormat="false" ht="12.8" hidden="false" customHeight="false" outlineLevel="0" collapsed="false">
      <c r="A14616" s="0" t="s">
        <v>12</v>
      </c>
      <c r="B14616" s="0" t="n">
        <v>4518988</v>
      </c>
      <c r="C14616" s="0" t="n">
        <v>4519008</v>
      </c>
      <c r="D14616" s="0" t="s">
        <v>48569</v>
      </c>
      <c r="E14616" s="0" t="s">
        <v>48570</v>
      </c>
      <c r="F14616" s="0" t="s">
        <v>15</v>
      </c>
      <c r="G14616" s="0" t="s">
        <v>36</v>
      </c>
      <c r="H14616" s="0" t="n">
        <v>78</v>
      </c>
      <c r="I14616" s="0" t="s">
        <v>48574</v>
      </c>
      <c r="J14616" s="0" t="s">
        <v>48575</v>
      </c>
      <c r="K14616" s="0" t="s">
        <v>48576</v>
      </c>
      <c r="L14616" s="0" t="str">
        <f aca="false">HYPERLINK("https://www.ncbi.nlm.nih.gov/nuccore/CP000058.1?report=graph&amp;tracks=[key:gene_model_track,Options:GeneOnly]&amp;mk=4518963:4518982|offset_52|444444,4518989:4519008|offset_78|00cc00,4519032:4519051|offset_121|444444,4519053:4519072|offset_142|444444&amp;v=4518762:4519272&amp;c=444444", "offset 78")</f>
        <v>offset 78</v>
      </c>
    </row>
    <row r="14617" customFormat="false" ht="12.8" hidden="false" customHeight="false" outlineLevel="0" collapsed="false">
      <c r="A14617" s="0" t="s">
        <v>12</v>
      </c>
      <c r="B14617" s="0" t="n">
        <v>4519031</v>
      </c>
      <c r="C14617" s="0" t="n">
        <v>4519051</v>
      </c>
      <c r="D14617" s="0" t="s">
        <v>48569</v>
      </c>
      <c r="E14617" s="0" t="s">
        <v>48570</v>
      </c>
      <c r="F14617" s="0" t="s">
        <v>15</v>
      </c>
      <c r="G14617" s="0" t="s">
        <v>32</v>
      </c>
      <c r="H14617" s="0" t="n">
        <v>121</v>
      </c>
      <c r="I14617" s="0" t="s">
        <v>48577</v>
      </c>
      <c r="J14617" s="0" t="s">
        <v>48578</v>
      </c>
      <c r="K14617" s="0" t="s">
        <v>48579</v>
      </c>
      <c r="L14617" s="0" t="str">
        <f aca="false">HYPERLINK("https://www.ncbi.nlm.nih.gov/nuccore/CP000058.1?report=graph&amp;tracks=[key:gene_model_track,Options:GeneOnly]&amp;mk=4518963:4518982|offset_52|444444,4518989:4519008|offset_78|444444,4519032:4519051|offset_121|00cc00,4519053:4519072|offset_142|444444&amp;v=4518762:4519272&amp;c=444444", "offset 121")</f>
        <v>offset 121</v>
      </c>
    </row>
    <row r="14618" customFormat="false" ht="12.8" hidden="false" customHeight="false" outlineLevel="0" collapsed="false">
      <c r="A14618" s="0" t="s">
        <v>12</v>
      </c>
      <c r="B14618" s="0" t="n">
        <v>4519052</v>
      </c>
      <c r="C14618" s="0" t="n">
        <v>4519072</v>
      </c>
      <c r="D14618" s="0" t="s">
        <v>48569</v>
      </c>
      <c r="E14618" s="0" t="s">
        <v>48570</v>
      </c>
      <c r="F14618" s="0" t="s">
        <v>15</v>
      </c>
      <c r="G14618" s="0" t="s">
        <v>36</v>
      </c>
      <c r="H14618" s="0" t="n">
        <v>142</v>
      </c>
      <c r="I14618" s="0" t="s">
        <v>48580</v>
      </c>
      <c r="J14618" s="0" t="s">
        <v>48581</v>
      </c>
      <c r="K14618" s="0" t="s">
        <v>48582</v>
      </c>
      <c r="L14618" s="0" t="str">
        <f aca="false">HYPERLINK("https://www.ncbi.nlm.nih.gov/nuccore/CP000058.1?report=graph&amp;tracks=[key:gene_model_track,Options:GeneOnly]&amp;mk=4518963:4518982|offset_52|444444,4518989:4519008|offset_78|444444,4519032:4519051|offset_121|444444,4519053:4519072|offset_142|00cc00&amp;v=4518762:4519272&amp;c=444444", "offset 142")</f>
        <v>offset 142</v>
      </c>
    </row>
    <row r="14619" customFormat="false" ht="12.8" hidden="false" customHeight="false" outlineLevel="0" collapsed="false">
      <c r="A14619" s="0" t="s">
        <v>12</v>
      </c>
      <c r="B14619" s="0" t="n">
        <v>4520897</v>
      </c>
      <c r="C14619" s="0" t="n">
        <v>4520917</v>
      </c>
      <c r="D14619" s="0" t="s">
        <v>48583</v>
      </c>
      <c r="E14619" s="0" t="s">
        <v>75</v>
      </c>
      <c r="F14619" s="0" t="s">
        <v>90</v>
      </c>
      <c r="G14619" s="0" t="s">
        <v>20</v>
      </c>
      <c r="H14619" s="0" t="n">
        <v>43</v>
      </c>
      <c r="I14619" s="0" t="s">
        <v>48584</v>
      </c>
      <c r="J14619" s="0" t="s">
        <v>48585</v>
      </c>
      <c r="K14619" s="0" t="s">
        <v>48586</v>
      </c>
      <c r="L14619" s="0" t="str">
        <f aca="false">HYPERLINK("https://www.ncbi.nlm.nih.gov/nuccore/CP000058.1?report=graph&amp;tracks=[key:gene_model_track,Options:GeneOnly]&amp;mk=4520898:4520917|offset_43|00cc00,4520868:4520887|offset_73|444444,4520838:4520857|offset_103|444444,4520775:4520794|offset_166|444444&amp;v=4520697:4520994&amp;c=444444", "offset 43")</f>
        <v>offset 43</v>
      </c>
    </row>
    <row r="14620" customFormat="false" ht="12.8" hidden="false" customHeight="false" outlineLevel="0" collapsed="false">
      <c r="A14620" s="0" t="s">
        <v>12</v>
      </c>
      <c r="B14620" s="0" t="n">
        <v>4520867</v>
      </c>
      <c r="C14620" s="0" t="n">
        <v>4520887</v>
      </c>
      <c r="D14620" s="0" t="s">
        <v>48583</v>
      </c>
      <c r="E14620" s="0" t="s">
        <v>75</v>
      </c>
      <c r="F14620" s="0" t="s">
        <v>90</v>
      </c>
      <c r="G14620" s="0" t="s">
        <v>16</v>
      </c>
      <c r="H14620" s="0" t="n">
        <v>73</v>
      </c>
      <c r="I14620" s="0" t="s">
        <v>48587</v>
      </c>
      <c r="J14620" s="0" t="s">
        <v>48588</v>
      </c>
      <c r="K14620" s="0" t="s">
        <v>48589</v>
      </c>
      <c r="L14620" s="0" t="str">
        <f aca="false">HYPERLINK("https://www.ncbi.nlm.nih.gov/nuccore/CP000058.1?report=graph&amp;tracks=[key:gene_model_track,Options:GeneOnly]&amp;mk=4520898:4520917|offset_43|444444,4520868:4520887|offset_73|00cc00,4520838:4520857|offset_103|444444,4520775:4520794|offset_166|444444&amp;v=4520697:4520994&amp;c=444444", "offset 73")</f>
        <v>offset 73</v>
      </c>
    </row>
    <row r="14621" customFormat="false" ht="12.8" hidden="false" customHeight="false" outlineLevel="0" collapsed="false">
      <c r="A14621" s="0" t="s">
        <v>12</v>
      </c>
      <c r="B14621" s="0" t="n">
        <v>4520837</v>
      </c>
      <c r="C14621" s="0" t="n">
        <v>4520857</v>
      </c>
      <c r="D14621" s="0" t="s">
        <v>48583</v>
      </c>
      <c r="E14621" s="0" t="s">
        <v>75</v>
      </c>
      <c r="F14621" s="0" t="s">
        <v>90</v>
      </c>
      <c r="G14621" s="0" t="s">
        <v>20</v>
      </c>
      <c r="H14621" s="0" t="n">
        <v>103</v>
      </c>
      <c r="I14621" s="0" t="s">
        <v>48590</v>
      </c>
      <c r="J14621" s="0" t="s">
        <v>48591</v>
      </c>
      <c r="K14621" s="0" t="s">
        <v>48592</v>
      </c>
      <c r="L14621" s="0" t="str">
        <f aca="false">HYPERLINK("https://www.ncbi.nlm.nih.gov/nuccore/CP000058.1?report=graph&amp;tracks=[key:gene_model_track,Options:GeneOnly]&amp;mk=4520898:4520917|offset_43|444444,4520868:4520887|offset_73|444444,4520838:4520857|offset_103|00cc00,4520775:4520794|offset_166|444444&amp;v=4520697:4520994&amp;c=444444", "offset 103")</f>
        <v>offset 103</v>
      </c>
    </row>
    <row r="14622" customFormat="false" ht="12.8" hidden="false" customHeight="false" outlineLevel="0" collapsed="false">
      <c r="A14622" s="0" t="s">
        <v>12</v>
      </c>
      <c r="B14622" s="0" t="n">
        <v>4520774</v>
      </c>
      <c r="C14622" s="0" t="n">
        <v>4520794</v>
      </c>
      <c r="D14622" s="0" t="s">
        <v>48583</v>
      </c>
      <c r="E14622" s="0" t="s">
        <v>75</v>
      </c>
      <c r="F14622" s="0" t="s">
        <v>90</v>
      </c>
      <c r="G14622" s="0" t="s">
        <v>20</v>
      </c>
      <c r="H14622" s="0" t="n">
        <v>166</v>
      </c>
      <c r="I14622" s="0" t="s">
        <v>48593</v>
      </c>
      <c r="J14622" s="0" t="s">
        <v>48594</v>
      </c>
      <c r="K14622" s="0" t="s">
        <v>48595</v>
      </c>
      <c r="L14622" s="0" t="str">
        <f aca="false">HYPERLINK("https://www.ncbi.nlm.nih.gov/nuccore/CP000058.1?report=graph&amp;tracks=[key:gene_model_track,Options:GeneOnly]&amp;mk=4520898:4520917|offset_43|444444,4520868:4520887|offset_73|444444,4520838:4520857|offset_103|444444,4520775:4520794|offset_166|00cc00&amp;v=4520697:4520994&amp;c=444444", "offset 166")</f>
        <v>offset 166</v>
      </c>
    </row>
    <row r="14623" customFormat="false" ht="12.8" hidden="false" customHeight="false" outlineLevel="0" collapsed="false">
      <c r="A14623" s="0" t="s">
        <v>12</v>
      </c>
      <c r="B14623" s="0" t="n">
        <v>4521177</v>
      </c>
      <c r="C14623" s="0" t="n">
        <v>4521197</v>
      </c>
      <c r="D14623" s="0" t="s">
        <v>48596</v>
      </c>
      <c r="E14623" s="0" t="s">
        <v>75</v>
      </c>
      <c r="F14623" s="0" t="s">
        <v>90</v>
      </c>
      <c r="G14623" s="0" t="s">
        <v>32</v>
      </c>
      <c r="H14623" s="0" t="n">
        <v>1</v>
      </c>
      <c r="I14623" s="0" t="s">
        <v>48597</v>
      </c>
      <c r="J14623" s="0" t="s">
        <v>48598</v>
      </c>
      <c r="K14623" s="0" t="s">
        <v>48599</v>
      </c>
      <c r="L14623" s="0" t="str">
        <f aca="false">HYPERLINK("https://www.ncbi.nlm.nih.gov/nuccore/CP000058.1?report=graph&amp;tracks=[key:gene_model_track,Options:GeneOnly]&amp;mk=4521178:4521197|offset_1|00cc00,4521153:4521172|offset_26|444444,4521132:4521151|offset_47|444444,4521098:4521117|offset_81|444444&amp;v=4520977:4521317&amp;c=444444", "offset 1")</f>
        <v>offset 1</v>
      </c>
    </row>
    <row r="14624" customFormat="false" ht="12.8" hidden="false" customHeight="false" outlineLevel="0" collapsed="false">
      <c r="A14624" s="0" t="s">
        <v>12</v>
      </c>
      <c r="B14624" s="0" t="n">
        <v>4521152</v>
      </c>
      <c r="C14624" s="0" t="n">
        <v>4521172</v>
      </c>
      <c r="D14624" s="0" t="s">
        <v>48596</v>
      </c>
      <c r="E14624" s="0" t="s">
        <v>75</v>
      </c>
      <c r="F14624" s="0" t="s">
        <v>90</v>
      </c>
      <c r="G14624" s="0" t="s">
        <v>16</v>
      </c>
      <c r="H14624" s="0" t="n">
        <v>26</v>
      </c>
      <c r="I14624" s="0" t="s">
        <v>48600</v>
      </c>
      <c r="J14624" s="0" t="s">
        <v>48601</v>
      </c>
      <c r="K14624" s="0" t="s">
        <v>48602</v>
      </c>
      <c r="L14624" s="0" t="str">
        <f aca="false">HYPERLINK("https://www.ncbi.nlm.nih.gov/nuccore/CP000058.1?report=graph&amp;tracks=[key:gene_model_track,Options:GeneOnly]&amp;mk=4521178:4521197|offset_1|444444,4521153:4521172|offset_26|00cc00,4521132:4521151|offset_47|444444,4521098:4521117|offset_81|444444&amp;v=4520977:4521317&amp;c=444444", "offset 26")</f>
        <v>offset 26</v>
      </c>
    </row>
    <row r="14625" customFormat="false" ht="12.8" hidden="false" customHeight="false" outlineLevel="0" collapsed="false">
      <c r="A14625" s="0" t="s">
        <v>12</v>
      </c>
      <c r="B14625" s="0" t="n">
        <v>4521131</v>
      </c>
      <c r="C14625" s="0" t="n">
        <v>4521151</v>
      </c>
      <c r="D14625" s="0" t="s">
        <v>48596</v>
      </c>
      <c r="E14625" s="0" t="s">
        <v>75</v>
      </c>
      <c r="F14625" s="0" t="s">
        <v>90</v>
      </c>
      <c r="G14625" s="0" t="s">
        <v>16</v>
      </c>
      <c r="H14625" s="0" t="n">
        <v>47</v>
      </c>
      <c r="I14625" s="0" t="s">
        <v>48603</v>
      </c>
      <c r="J14625" s="0" t="s">
        <v>48604</v>
      </c>
      <c r="K14625" s="0" t="s">
        <v>48605</v>
      </c>
      <c r="L14625" s="0" t="str">
        <f aca="false">HYPERLINK("https://www.ncbi.nlm.nih.gov/nuccore/CP000058.1?report=graph&amp;tracks=[key:gene_model_track,Options:GeneOnly]&amp;mk=4521178:4521197|offset_1|444444,4521153:4521172|offset_26|444444,4521132:4521151|offset_47|00cc00,4521098:4521117|offset_81|444444&amp;v=4520977:4521317&amp;c=444444", "offset 47")</f>
        <v>offset 47</v>
      </c>
    </row>
    <row r="14626" customFormat="false" ht="12.8" hidden="false" customHeight="false" outlineLevel="0" collapsed="false">
      <c r="A14626" s="0" t="s">
        <v>12</v>
      </c>
      <c r="B14626" s="0" t="n">
        <v>4521097</v>
      </c>
      <c r="C14626" s="0" t="n">
        <v>4521117</v>
      </c>
      <c r="D14626" s="0" t="s">
        <v>48596</v>
      </c>
      <c r="E14626" s="0" t="s">
        <v>75</v>
      </c>
      <c r="F14626" s="0" t="s">
        <v>90</v>
      </c>
      <c r="G14626" s="0" t="s">
        <v>16</v>
      </c>
      <c r="H14626" s="0" t="n">
        <v>81</v>
      </c>
      <c r="I14626" s="0" t="s">
        <v>48606</v>
      </c>
      <c r="J14626" s="0" t="s">
        <v>48607</v>
      </c>
      <c r="K14626" s="0" t="s">
        <v>48608</v>
      </c>
      <c r="L14626" s="0" t="str">
        <f aca="false">HYPERLINK("https://www.ncbi.nlm.nih.gov/nuccore/CP000058.1?report=graph&amp;tracks=[key:gene_model_track,Options:GeneOnly]&amp;mk=4521178:4521197|offset_1|444444,4521153:4521172|offset_26|444444,4521132:4521151|offset_47|444444,4521098:4521117|offset_81|00cc00&amp;v=4520977:4521317&amp;c=444444", "offset 81")</f>
        <v>offset 81</v>
      </c>
    </row>
    <row r="14627" customFormat="false" ht="12.8" hidden="false" customHeight="false" outlineLevel="0" collapsed="false">
      <c r="A14627" s="0" t="s">
        <v>12</v>
      </c>
      <c r="B14627" s="0" t="n">
        <v>4521352</v>
      </c>
      <c r="C14627" s="0" t="n">
        <v>4521372</v>
      </c>
      <c r="D14627" s="0" t="s">
        <v>48609</v>
      </c>
      <c r="E14627" s="0" t="s">
        <v>75</v>
      </c>
      <c r="F14627" s="0" t="s">
        <v>15</v>
      </c>
      <c r="G14627" s="0" t="s">
        <v>32</v>
      </c>
      <c r="H14627" s="0" t="n">
        <v>7</v>
      </c>
      <c r="I14627" s="0" t="s">
        <v>48610</v>
      </c>
      <c r="J14627" s="0" t="s">
        <v>48611</v>
      </c>
      <c r="K14627" s="0" t="s">
        <v>48612</v>
      </c>
      <c r="L14627" s="0" t="str">
        <f aca="false">HYPERLINK("https://www.ncbi.nlm.nih.gov/nuccore/CP000058.1?report=graph&amp;tracks=[key:gene_model_track,Options:GeneOnly]&amp;mk=4521353:4521372|offset_7|00cc00,4521386:4521405|offset_40|444444,4521422:4521441|offset_76|444444,4521456:4521475|offset_110|444444&amp;v=4521152:4521675&amp;c=444444", "offset 7")</f>
        <v>offset 7</v>
      </c>
    </row>
    <row r="14628" customFormat="false" ht="12.8" hidden="false" customHeight="false" outlineLevel="0" collapsed="false">
      <c r="A14628" s="0" t="s">
        <v>12</v>
      </c>
      <c r="B14628" s="0" t="n">
        <v>4521385</v>
      </c>
      <c r="C14628" s="0" t="n">
        <v>4521405</v>
      </c>
      <c r="D14628" s="0" t="s">
        <v>48609</v>
      </c>
      <c r="E14628" s="0" t="s">
        <v>75</v>
      </c>
      <c r="F14628" s="0" t="s">
        <v>15</v>
      </c>
      <c r="G14628" s="0" t="s">
        <v>36</v>
      </c>
      <c r="H14628" s="0" t="n">
        <v>40</v>
      </c>
      <c r="I14628" s="0" t="s">
        <v>48613</v>
      </c>
      <c r="J14628" s="0" t="s">
        <v>48614</v>
      </c>
      <c r="K14628" s="0" t="s">
        <v>48615</v>
      </c>
      <c r="L14628" s="0" t="str">
        <f aca="false">HYPERLINK("https://www.ncbi.nlm.nih.gov/nuccore/CP000058.1?report=graph&amp;tracks=[key:gene_model_track,Options:GeneOnly]&amp;mk=4521353:4521372|offset_7|444444,4521386:4521405|offset_40|00cc00,4521422:4521441|offset_76|444444,4521456:4521475|offset_110|444444&amp;v=4521152:4521675&amp;c=444444", "offset 40")</f>
        <v>offset 40</v>
      </c>
    </row>
    <row r="14629" customFormat="false" ht="12.8" hidden="false" customHeight="false" outlineLevel="0" collapsed="false">
      <c r="A14629" s="0" t="s">
        <v>12</v>
      </c>
      <c r="B14629" s="0" t="n">
        <v>4521421</v>
      </c>
      <c r="C14629" s="0" t="n">
        <v>4521441</v>
      </c>
      <c r="D14629" s="0" t="s">
        <v>48609</v>
      </c>
      <c r="E14629" s="0" t="s">
        <v>75</v>
      </c>
      <c r="F14629" s="0" t="s">
        <v>15</v>
      </c>
      <c r="G14629" s="0" t="s">
        <v>32</v>
      </c>
      <c r="H14629" s="0" t="n">
        <v>76</v>
      </c>
      <c r="I14629" s="0" t="s">
        <v>48616</v>
      </c>
      <c r="J14629" s="0" t="s">
        <v>48617</v>
      </c>
      <c r="K14629" s="0" t="s">
        <v>48618</v>
      </c>
      <c r="L14629" s="0" t="str">
        <f aca="false">HYPERLINK("https://www.ncbi.nlm.nih.gov/nuccore/CP000058.1?report=graph&amp;tracks=[key:gene_model_track,Options:GeneOnly]&amp;mk=4521353:4521372|offset_7|444444,4521386:4521405|offset_40|444444,4521422:4521441|offset_76|00cc00,4521456:4521475|offset_110|444444&amp;v=4521152:4521675&amp;c=444444", "offset 76")</f>
        <v>offset 76</v>
      </c>
    </row>
    <row r="14630" customFormat="false" ht="12.8" hidden="false" customHeight="false" outlineLevel="0" collapsed="false">
      <c r="A14630" s="0" t="s">
        <v>12</v>
      </c>
      <c r="B14630" s="0" t="n">
        <v>4521455</v>
      </c>
      <c r="C14630" s="0" t="n">
        <v>4521475</v>
      </c>
      <c r="D14630" s="0" t="s">
        <v>48609</v>
      </c>
      <c r="E14630" s="0" t="s">
        <v>75</v>
      </c>
      <c r="F14630" s="0" t="s">
        <v>15</v>
      </c>
      <c r="G14630" s="0" t="s">
        <v>20</v>
      </c>
      <c r="H14630" s="0" t="n">
        <v>110</v>
      </c>
      <c r="I14630" s="0" t="s">
        <v>48619</v>
      </c>
      <c r="J14630" s="0" t="s">
        <v>48620</v>
      </c>
      <c r="K14630" s="0" t="s">
        <v>48621</v>
      </c>
      <c r="L14630" s="0" t="str">
        <f aca="false">HYPERLINK("https://www.ncbi.nlm.nih.gov/nuccore/CP000058.1?report=graph&amp;tracks=[key:gene_model_track,Options:GeneOnly]&amp;mk=4521353:4521372|offset_7|444444,4521386:4521405|offset_40|444444,4521422:4521441|offset_76|444444,4521456:4521475|offset_110|00cc00&amp;v=4521152:4521675&amp;c=444444", "offset 110")</f>
        <v>offset 110</v>
      </c>
    </row>
    <row r="14631" customFormat="false" ht="12.8" hidden="false" customHeight="false" outlineLevel="0" collapsed="false">
      <c r="A14631" s="0" t="s">
        <v>12</v>
      </c>
      <c r="B14631" s="0" t="n">
        <v>4522453</v>
      </c>
      <c r="C14631" s="0" t="n">
        <v>4522473</v>
      </c>
      <c r="D14631" s="0" t="s">
        <v>48622</v>
      </c>
      <c r="E14631" s="0" t="s">
        <v>75</v>
      </c>
      <c r="F14631" s="0" t="s">
        <v>15</v>
      </c>
      <c r="G14631" s="0" t="s">
        <v>32</v>
      </c>
      <c r="H14631" s="0" t="n">
        <v>46</v>
      </c>
      <c r="I14631" s="0" t="s">
        <v>48623</v>
      </c>
      <c r="J14631" s="0" t="s">
        <v>48624</v>
      </c>
      <c r="K14631" s="0" t="s">
        <v>48625</v>
      </c>
      <c r="L14631" s="0" t="str">
        <f aca="false">HYPERLINK("https://www.ncbi.nlm.nih.gov/nuccore/CP000058.1?report=graph&amp;tracks=[key:gene_model_track,Options:GeneOnly]&amp;mk=4522454:4522473|offset_46|00cc00,4522480:4522499|offset_72|444444,4522517:4522536|offset_109|444444,4522547:4522566|offset_139|444444&amp;v=4522253:4522766&amp;c=444444", "offset 46")</f>
        <v>offset 46</v>
      </c>
    </row>
    <row r="14632" customFormat="false" ht="12.8" hidden="false" customHeight="false" outlineLevel="0" collapsed="false">
      <c r="A14632" s="0" t="s">
        <v>12</v>
      </c>
      <c r="B14632" s="0" t="n">
        <v>4522479</v>
      </c>
      <c r="C14632" s="0" t="n">
        <v>4522499</v>
      </c>
      <c r="D14632" s="0" t="s">
        <v>48622</v>
      </c>
      <c r="E14632" s="0" t="s">
        <v>75</v>
      </c>
      <c r="F14632" s="0" t="s">
        <v>15</v>
      </c>
      <c r="G14632" s="0" t="s">
        <v>20</v>
      </c>
      <c r="H14632" s="0" t="n">
        <v>72</v>
      </c>
      <c r="I14632" s="0" t="s">
        <v>48626</v>
      </c>
      <c r="J14632" s="0" t="s">
        <v>48627</v>
      </c>
      <c r="K14632" s="0" t="s">
        <v>48628</v>
      </c>
      <c r="L14632" s="0" t="str">
        <f aca="false">HYPERLINK("https://www.ncbi.nlm.nih.gov/nuccore/CP000058.1?report=graph&amp;tracks=[key:gene_model_track,Options:GeneOnly]&amp;mk=4522454:4522473|offset_46|444444,4522480:4522499|offset_72|00cc00,4522517:4522536|offset_109|444444,4522547:4522566|offset_139|444444&amp;v=4522253:4522766&amp;c=444444", "offset 72")</f>
        <v>offset 72</v>
      </c>
    </row>
    <row r="14633" customFormat="false" ht="12.8" hidden="false" customHeight="false" outlineLevel="0" collapsed="false">
      <c r="A14633" s="0" t="s">
        <v>12</v>
      </c>
      <c r="B14633" s="0" t="n">
        <v>4522516</v>
      </c>
      <c r="C14633" s="0" t="n">
        <v>4522536</v>
      </c>
      <c r="D14633" s="0" t="s">
        <v>48622</v>
      </c>
      <c r="E14633" s="0" t="s">
        <v>75</v>
      </c>
      <c r="F14633" s="0" t="s">
        <v>15</v>
      </c>
      <c r="G14633" s="0" t="s">
        <v>16</v>
      </c>
      <c r="H14633" s="0" t="n">
        <v>109</v>
      </c>
      <c r="I14633" s="0" t="s">
        <v>48629</v>
      </c>
      <c r="J14633" s="0" t="s">
        <v>48630</v>
      </c>
      <c r="K14633" s="0" t="s">
        <v>48631</v>
      </c>
      <c r="L14633" s="0" t="str">
        <f aca="false">HYPERLINK("https://www.ncbi.nlm.nih.gov/nuccore/CP000058.1?report=graph&amp;tracks=[key:gene_model_track,Options:GeneOnly]&amp;mk=4522454:4522473|offset_46|444444,4522480:4522499|offset_72|444444,4522517:4522536|offset_109|00cc00,4522547:4522566|offset_139|444444&amp;v=4522253:4522766&amp;c=444444", "offset 109")</f>
        <v>offset 109</v>
      </c>
    </row>
    <row r="14634" customFormat="false" ht="12.8" hidden="false" customHeight="false" outlineLevel="0" collapsed="false">
      <c r="A14634" s="0" t="s">
        <v>12</v>
      </c>
      <c r="B14634" s="0" t="n">
        <v>4522546</v>
      </c>
      <c r="C14634" s="0" t="n">
        <v>4522566</v>
      </c>
      <c r="D14634" s="0" t="s">
        <v>48622</v>
      </c>
      <c r="E14634" s="0" t="s">
        <v>75</v>
      </c>
      <c r="F14634" s="0" t="s">
        <v>15</v>
      </c>
      <c r="G14634" s="0" t="s">
        <v>36</v>
      </c>
      <c r="H14634" s="0" t="n">
        <v>139</v>
      </c>
      <c r="I14634" s="0" t="s">
        <v>48632</v>
      </c>
      <c r="J14634" s="0" t="s">
        <v>48633</v>
      </c>
      <c r="K14634" s="0" t="s">
        <v>48634</v>
      </c>
      <c r="L14634" s="0" t="str">
        <f aca="false">HYPERLINK("https://www.ncbi.nlm.nih.gov/nuccore/CP000058.1?report=graph&amp;tracks=[key:gene_model_track,Options:GeneOnly]&amp;mk=4522454:4522473|offset_46|444444,4522480:4522499|offset_72|444444,4522517:4522536|offset_109|444444,4522547:4522566|offset_139|00cc00&amp;v=4522253:4522766&amp;c=444444", "offset 139")</f>
        <v>offset 139</v>
      </c>
    </row>
    <row r="14635" customFormat="false" ht="12.8" hidden="false" customHeight="false" outlineLevel="0" collapsed="false">
      <c r="A14635" s="0" t="s">
        <v>12</v>
      </c>
      <c r="B14635" s="0" t="n">
        <v>4524577</v>
      </c>
      <c r="C14635" s="0" t="n">
        <v>4524597</v>
      </c>
      <c r="D14635" s="0" t="s">
        <v>48635</v>
      </c>
      <c r="E14635" s="0" t="s">
        <v>75</v>
      </c>
      <c r="F14635" s="0" t="s">
        <v>90</v>
      </c>
      <c r="G14635" s="0" t="s">
        <v>20</v>
      </c>
      <c r="H14635" s="0" t="n">
        <v>17</v>
      </c>
      <c r="I14635" s="0" t="s">
        <v>48636</v>
      </c>
      <c r="J14635" s="0" t="s">
        <v>48637</v>
      </c>
      <c r="K14635" s="0" t="s">
        <v>48638</v>
      </c>
      <c r="L14635" s="0" t="str">
        <f aca="false">HYPERLINK("https://www.ncbi.nlm.nih.gov/nuccore/CP000058.1?report=graph&amp;tracks=[key:gene_model_track,Options:GeneOnly]&amp;mk=4524578:4524597|offset_17|00cc00,4524554:4524573|offset_41|444444,4524522:4524541|offset_73|444444,4524494:4524513|offset_101|444444&amp;v=4524377:4524713&amp;c=444444", "offset 17")</f>
        <v>offset 17</v>
      </c>
    </row>
    <row r="14636" customFormat="false" ht="12.8" hidden="false" customHeight="false" outlineLevel="0" collapsed="false">
      <c r="A14636" s="0" t="s">
        <v>12</v>
      </c>
      <c r="B14636" s="0" t="n">
        <v>4524553</v>
      </c>
      <c r="C14636" s="0" t="n">
        <v>4524573</v>
      </c>
      <c r="D14636" s="0" t="s">
        <v>48635</v>
      </c>
      <c r="E14636" s="0" t="s">
        <v>75</v>
      </c>
      <c r="F14636" s="0" t="s">
        <v>90</v>
      </c>
      <c r="G14636" s="0" t="s">
        <v>20</v>
      </c>
      <c r="H14636" s="0" t="n">
        <v>41</v>
      </c>
      <c r="I14636" s="0" t="s">
        <v>48639</v>
      </c>
      <c r="J14636" s="0" t="s">
        <v>48640</v>
      </c>
      <c r="K14636" s="0" t="s">
        <v>48641</v>
      </c>
      <c r="L14636" s="0" t="str">
        <f aca="false">HYPERLINK("https://www.ncbi.nlm.nih.gov/nuccore/CP000058.1?report=graph&amp;tracks=[key:gene_model_track,Options:GeneOnly]&amp;mk=4524578:4524597|offset_17|444444,4524554:4524573|offset_41|00cc00,4524522:4524541|offset_73|444444,4524494:4524513|offset_101|444444&amp;v=4524377:4524713&amp;c=444444", "offset 41")</f>
        <v>offset 41</v>
      </c>
    </row>
    <row r="14637" customFormat="false" ht="12.8" hidden="false" customHeight="false" outlineLevel="0" collapsed="false">
      <c r="A14637" s="0" t="s">
        <v>12</v>
      </c>
      <c r="B14637" s="0" t="n">
        <v>4524521</v>
      </c>
      <c r="C14637" s="0" t="n">
        <v>4524541</v>
      </c>
      <c r="D14637" s="0" t="s">
        <v>48635</v>
      </c>
      <c r="E14637" s="0" t="s">
        <v>75</v>
      </c>
      <c r="F14637" s="0" t="s">
        <v>90</v>
      </c>
      <c r="G14637" s="0" t="s">
        <v>32</v>
      </c>
      <c r="H14637" s="0" t="n">
        <v>73</v>
      </c>
      <c r="I14637" s="0" t="s">
        <v>48642</v>
      </c>
      <c r="J14637" s="0" t="s">
        <v>48643</v>
      </c>
      <c r="K14637" s="0" t="s">
        <v>48644</v>
      </c>
      <c r="L14637" s="0" t="str">
        <f aca="false">HYPERLINK("https://www.ncbi.nlm.nih.gov/nuccore/CP000058.1?report=graph&amp;tracks=[key:gene_model_track,Options:GeneOnly]&amp;mk=4524578:4524597|offset_17|444444,4524554:4524573|offset_41|444444,4524522:4524541|offset_73|00cc00,4524494:4524513|offset_101|444444&amp;v=4524377:4524713&amp;c=444444", "offset 73")</f>
        <v>offset 73</v>
      </c>
    </row>
    <row r="14638" customFormat="false" ht="12.8" hidden="false" customHeight="false" outlineLevel="0" collapsed="false">
      <c r="A14638" s="0" t="s">
        <v>12</v>
      </c>
      <c r="B14638" s="0" t="n">
        <v>4524493</v>
      </c>
      <c r="C14638" s="0" t="n">
        <v>4524513</v>
      </c>
      <c r="D14638" s="0" t="s">
        <v>48635</v>
      </c>
      <c r="E14638" s="0" t="s">
        <v>75</v>
      </c>
      <c r="F14638" s="0" t="s">
        <v>90</v>
      </c>
      <c r="G14638" s="0" t="s">
        <v>16</v>
      </c>
      <c r="H14638" s="0" t="n">
        <v>101</v>
      </c>
      <c r="I14638" s="0" t="s">
        <v>48645</v>
      </c>
      <c r="J14638" s="0" t="s">
        <v>48646</v>
      </c>
      <c r="K14638" s="0" t="s">
        <v>48647</v>
      </c>
      <c r="L14638" s="0" t="str">
        <f aca="false">HYPERLINK("https://www.ncbi.nlm.nih.gov/nuccore/CP000058.1?report=graph&amp;tracks=[key:gene_model_track,Options:GeneOnly]&amp;mk=4524578:4524597|offset_17|444444,4524554:4524573|offset_41|444444,4524522:4524541|offset_73|444444,4524494:4524513|offset_101|00cc00&amp;v=4524377:4524713&amp;c=444444", "offset 101")</f>
        <v>offset 101</v>
      </c>
    </row>
    <row r="14639" customFormat="false" ht="12.8" hidden="false" customHeight="false" outlineLevel="0" collapsed="false">
      <c r="A14639" s="0" t="s">
        <v>12</v>
      </c>
      <c r="B14639" s="0" t="n">
        <v>4525179</v>
      </c>
      <c r="C14639" s="0" t="n">
        <v>4525199</v>
      </c>
      <c r="D14639" s="0" t="s">
        <v>48648</v>
      </c>
      <c r="E14639" s="0" t="s">
        <v>48649</v>
      </c>
      <c r="F14639" s="0" t="s">
        <v>90</v>
      </c>
      <c r="G14639" s="0" t="s">
        <v>16</v>
      </c>
      <c r="H14639" s="0" t="n">
        <v>79</v>
      </c>
      <c r="I14639" s="0" t="s">
        <v>48650</v>
      </c>
      <c r="J14639" s="0" t="s">
        <v>48651</v>
      </c>
      <c r="K14639" s="0" t="s">
        <v>48652</v>
      </c>
      <c r="L14639" s="0" t="str">
        <f aca="false">HYPERLINK("https://www.ncbi.nlm.nih.gov/nuccore/CP000058.1?report=graph&amp;tracks=[key:gene_model_track,Options:GeneOnly]&amp;mk=4525180:4525199|offset_79|00cc00,4525153:4525172|offset_106|444444,4525120:4525139|offset_139|444444,4525041:4525060|offset_218|444444&amp;v=4524979:4525260&amp;c=444444", "offset 79")</f>
        <v>offset 79</v>
      </c>
    </row>
    <row r="14640" customFormat="false" ht="12.8" hidden="false" customHeight="false" outlineLevel="0" collapsed="false">
      <c r="A14640" s="0" t="s">
        <v>12</v>
      </c>
      <c r="B14640" s="0" t="n">
        <v>4525152</v>
      </c>
      <c r="C14640" s="0" t="n">
        <v>4525172</v>
      </c>
      <c r="D14640" s="0" t="s">
        <v>48648</v>
      </c>
      <c r="E14640" s="0" t="s">
        <v>48649</v>
      </c>
      <c r="F14640" s="0" t="s">
        <v>90</v>
      </c>
      <c r="G14640" s="0" t="s">
        <v>16</v>
      </c>
      <c r="H14640" s="0" t="n">
        <v>106</v>
      </c>
      <c r="I14640" s="0" t="s">
        <v>48653</v>
      </c>
      <c r="J14640" s="0" t="s">
        <v>48654</v>
      </c>
      <c r="K14640" s="0" t="s">
        <v>48655</v>
      </c>
      <c r="L14640" s="0" t="str">
        <f aca="false">HYPERLINK("https://www.ncbi.nlm.nih.gov/nuccore/CP000058.1?report=graph&amp;tracks=[key:gene_model_track,Options:GeneOnly]&amp;mk=4525180:4525199|offset_79|444444,4525153:4525172|offset_106|00cc00,4525120:4525139|offset_139|444444,4525041:4525060|offset_218|444444&amp;v=4524979:4525260&amp;c=444444", "offset 106")</f>
        <v>offset 106</v>
      </c>
    </row>
    <row r="14641" customFormat="false" ht="12.8" hidden="false" customHeight="false" outlineLevel="0" collapsed="false">
      <c r="A14641" s="0" t="s">
        <v>12</v>
      </c>
      <c r="B14641" s="0" t="n">
        <v>4525119</v>
      </c>
      <c r="C14641" s="0" t="n">
        <v>4525139</v>
      </c>
      <c r="D14641" s="0" t="s">
        <v>48648</v>
      </c>
      <c r="E14641" s="0" t="s">
        <v>48649</v>
      </c>
      <c r="F14641" s="0" t="s">
        <v>90</v>
      </c>
      <c r="G14641" s="0" t="s">
        <v>16</v>
      </c>
      <c r="H14641" s="0" t="n">
        <v>139</v>
      </c>
      <c r="I14641" s="0" t="s">
        <v>48656</v>
      </c>
      <c r="J14641" s="0" t="s">
        <v>48657</v>
      </c>
      <c r="K14641" s="0" t="s">
        <v>48658</v>
      </c>
      <c r="L14641" s="0" t="str">
        <f aca="false">HYPERLINK("https://www.ncbi.nlm.nih.gov/nuccore/CP000058.1?report=graph&amp;tracks=[key:gene_model_track,Options:GeneOnly]&amp;mk=4525180:4525199|offset_79|444444,4525153:4525172|offset_106|444444,4525120:4525139|offset_139|00cc00,4525041:4525060|offset_218|444444&amp;v=4524979:4525260&amp;c=444444", "offset 139")</f>
        <v>offset 139</v>
      </c>
    </row>
    <row r="14642" customFormat="false" ht="12.8" hidden="false" customHeight="false" outlineLevel="0" collapsed="false">
      <c r="A14642" s="0" t="s">
        <v>12</v>
      </c>
      <c r="B14642" s="0" t="n">
        <v>4525040</v>
      </c>
      <c r="C14642" s="0" t="n">
        <v>4525060</v>
      </c>
      <c r="D14642" s="0" t="s">
        <v>48648</v>
      </c>
      <c r="E14642" s="0" t="s">
        <v>48649</v>
      </c>
      <c r="F14642" s="0" t="s">
        <v>90</v>
      </c>
      <c r="G14642" s="0" t="s">
        <v>20</v>
      </c>
      <c r="H14642" s="0" t="n">
        <v>218</v>
      </c>
      <c r="I14642" s="0" t="s">
        <v>48659</v>
      </c>
      <c r="J14642" s="0" t="s">
        <v>48660</v>
      </c>
      <c r="K14642" s="0" t="s">
        <v>48661</v>
      </c>
      <c r="L14642" s="0" t="str">
        <f aca="false">HYPERLINK("https://www.ncbi.nlm.nih.gov/nuccore/CP000058.1?report=graph&amp;tracks=[key:gene_model_track,Options:GeneOnly]&amp;mk=4525180:4525199|offset_79|444444,4525153:4525172|offset_106|444444,4525120:4525139|offset_139|444444,4525041:4525060|offset_218|00cc00&amp;v=4524979:4525260&amp;c=444444", "offset 218")</f>
        <v>offset 218</v>
      </c>
    </row>
    <row r="14643" customFormat="false" ht="12.8" hidden="false" customHeight="false" outlineLevel="0" collapsed="false">
      <c r="A14643" s="0" t="s">
        <v>12</v>
      </c>
      <c r="B14643" s="0" t="n">
        <v>4525769</v>
      </c>
      <c r="C14643" s="0" t="n">
        <v>4525789</v>
      </c>
      <c r="D14643" s="0" t="s">
        <v>48662</v>
      </c>
      <c r="E14643" s="0" t="s">
        <v>75</v>
      </c>
      <c r="F14643" s="0" t="s">
        <v>15</v>
      </c>
      <c r="G14643" s="0" t="s">
        <v>36</v>
      </c>
      <c r="H14643" s="0" t="n">
        <v>11</v>
      </c>
      <c r="I14643" s="0" t="s">
        <v>48663</v>
      </c>
      <c r="J14643" s="0" t="s">
        <v>48664</v>
      </c>
      <c r="K14643" s="0" t="s">
        <v>48665</v>
      </c>
      <c r="L14643" s="0" t="str">
        <f aca="false">HYPERLINK("https://www.ncbi.nlm.nih.gov/nuccore/CP000058.1?report=graph&amp;tracks=[key:gene_model_track,Options:GeneOnly]&amp;mk=4525770:4525789|offset_11|00cc00,4525790:4525809|offset_31|444444,4525814:4525833|offset_55|444444,4525837:4525856|offset_78|444444&amp;v=4525569:4526056&amp;c=444444", "offset 11")</f>
        <v>offset 11</v>
      </c>
    </row>
    <row r="14644" customFormat="false" ht="12.8" hidden="false" customHeight="false" outlineLevel="0" collapsed="false">
      <c r="A14644" s="0" t="s">
        <v>12</v>
      </c>
      <c r="B14644" s="0" t="n">
        <v>4525789</v>
      </c>
      <c r="C14644" s="0" t="n">
        <v>4525809</v>
      </c>
      <c r="D14644" s="0" t="s">
        <v>48662</v>
      </c>
      <c r="E14644" s="0" t="s">
        <v>75</v>
      </c>
      <c r="F14644" s="0" t="s">
        <v>15</v>
      </c>
      <c r="G14644" s="0" t="s">
        <v>32</v>
      </c>
      <c r="H14644" s="0" t="n">
        <v>31</v>
      </c>
      <c r="I14644" s="0" t="s">
        <v>48666</v>
      </c>
      <c r="J14644" s="0" t="s">
        <v>48667</v>
      </c>
      <c r="K14644" s="0" t="s">
        <v>48668</v>
      </c>
      <c r="L14644" s="0" t="str">
        <f aca="false">HYPERLINK("https://www.ncbi.nlm.nih.gov/nuccore/CP000058.1?report=graph&amp;tracks=[key:gene_model_track,Options:GeneOnly]&amp;mk=4525770:4525789|offset_11|444444,4525790:4525809|offset_31|00cc00,4525814:4525833|offset_55|444444,4525837:4525856|offset_78|444444&amp;v=4525569:4526056&amp;c=444444", "offset 31")</f>
        <v>offset 31</v>
      </c>
    </row>
    <row r="14645" customFormat="false" ht="12.8" hidden="false" customHeight="false" outlineLevel="0" collapsed="false">
      <c r="A14645" s="0" t="s">
        <v>12</v>
      </c>
      <c r="B14645" s="0" t="n">
        <v>4525813</v>
      </c>
      <c r="C14645" s="0" t="n">
        <v>4525833</v>
      </c>
      <c r="D14645" s="0" t="s">
        <v>48662</v>
      </c>
      <c r="E14645" s="0" t="s">
        <v>75</v>
      </c>
      <c r="F14645" s="0" t="s">
        <v>15</v>
      </c>
      <c r="G14645" s="0" t="s">
        <v>32</v>
      </c>
      <c r="H14645" s="0" t="n">
        <v>55</v>
      </c>
      <c r="I14645" s="0" t="s">
        <v>48669</v>
      </c>
      <c r="J14645" s="0" t="s">
        <v>48670</v>
      </c>
      <c r="K14645" s="0" t="s">
        <v>48671</v>
      </c>
      <c r="L14645" s="0" t="str">
        <f aca="false">HYPERLINK("https://www.ncbi.nlm.nih.gov/nuccore/CP000058.1?report=graph&amp;tracks=[key:gene_model_track,Options:GeneOnly]&amp;mk=4525770:4525789|offset_11|444444,4525790:4525809|offset_31|444444,4525814:4525833|offset_55|00cc00,4525837:4525856|offset_78|444444&amp;v=4525569:4526056&amp;c=444444", "offset 55")</f>
        <v>offset 55</v>
      </c>
    </row>
    <row r="14646" customFormat="false" ht="12.8" hidden="false" customHeight="false" outlineLevel="0" collapsed="false">
      <c r="A14646" s="0" t="s">
        <v>12</v>
      </c>
      <c r="B14646" s="0" t="n">
        <v>4525836</v>
      </c>
      <c r="C14646" s="0" t="n">
        <v>4525856</v>
      </c>
      <c r="D14646" s="0" t="s">
        <v>48662</v>
      </c>
      <c r="E14646" s="0" t="s">
        <v>75</v>
      </c>
      <c r="F14646" s="0" t="s">
        <v>15</v>
      </c>
      <c r="G14646" s="0" t="s">
        <v>32</v>
      </c>
      <c r="H14646" s="0" t="n">
        <v>78</v>
      </c>
      <c r="I14646" s="0" t="s">
        <v>48672</v>
      </c>
      <c r="J14646" s="0" t="s">
        <v>48673</v>
      </c>
      <c r="K14646" s="0" t="s">
        <v>48674</v>
      </c>
      <c r="L14646" s="0" t="str">
        <f aca="false">HYPERLINK("https://www.ncbi.nlm.nih.gov/nuccore/CP000058.1?report=graph&amp;tracks=[key:gene_model_track,Options:GeneOnly]&amp;mk=4525770:4525789|offset_11|444444,4525790:4525809|offset_31|444444,4525814:4525833|offset_55|444444,4525837:4525856|offset_78|00cc00&amp;v=4525569:4526056&amp;c=444444", "offset 78")</f>
        <v>offset 78</v>
      </c>
    </row>
    <row r="14647" customFormat="false" ht="12.8" hidden="false" customHeight="false" outlineLevel="0" collapsed="false">
      <c r="A14647" s="0" t="s">
        <v>12</v>
      </c>
      <c r="B14647" s="0" t="n">
        <v>4526829</v>
      </c>
      <c r="C14647" s="0" t="n">
        <v>4526849</v>
      </c>
      <c r="D14647" s="0" t="s">
        <v>48675</v>
      </c>
      <c r="E14647" s="0" t="s">
        <v>75</v>
      </c>
      <c r="F14647" s="0" t="s">
        <v>15</v>
      </c>
      <c r="G14647" s="0" t="s">
        <v>16</v>
      </c>
      <c r="H14647" s="0" t="n">
        <v>28</v>
      </c>
      <c r="I14647" s="0" t="s">
        <v>48676</v>
      </c>
      <c r="J14647" s="0" t="s">
        <v>48677</v>
      </c>
      <c r="K14647" s="0" t="s">
        <v>48678</v>
      </c>
      <c r="L14647" s="0" t="str">
        <f aca="false">HYPERLINK("https://www.ncbi.nlm.nih.gov/nuccore/CP000058.1?report=graph&amp;tracks=[key:gene_model_track,Options:GeneOnly]&amp;mk=4526830:4526849|offset_28|00cc00,4526860:4526879|offset_58|444444,4526886:4526905|offset_84|444444,4526910:4526929|offset_108|444444&amp;v=4526629:4527129&amp;c=444444", "offset 28")</f>
        <v>offset 28</v>
      </c>
    </row>
    <row r="14648" customFormat="false" ht="12.8" hidden="false" customHeight="false" outlineLevel="0" collapsed="false">
      <c r="A14648" s="0" t="s">
        <v>12</v>
      </c>
      <c r="B14648" s="0" t="n">
        <v>4526859</v>
      </c>
      <c r="C14648" s="0" t="n">
        <v>4526879</v>
      </c>
      <c r="D14648" s="0" t="s">
        <v>48675</v>
      </c>
      <c r="E14648" s="0" t="s">
        <v>75</v>
      </c>
      <c r="F14648" s="0" t="s">
        <v>15</v>
      </c>
      <c r="G14648" s="0" t="s">
        <v>36</v>
      </c>
      <c r="H14648" s="0" t="n">
        <v>58</v>
      </c>
      <c r="I14648" s="0" t="s">
        <v>48679</v>
      </c>
      <c r="J14648" s="0" t="s">
        <v>48680</v>
      </c>
      <c r="K14648" s="0" t="s">
        <v>48681</v>
      </c>
      <c r="L14648" s="0" t="str">
        <f aca="false">HYPERLINK("https://www.ncbi.nlm.nih.gov/nuccore/CP000058.1?report=graph&amp;tracks=[key:gene_model_track,Options:GeneOnly]&amp;mk=4526830:4526849|offset_28|444444,4526860:4526879|offset_58|00cc00,4526886:4526905|offset_84|444444,4526910:4526929|offset_108|444444&amp;v=4526629:4527129&amp;c=444444", "offset 58")</f>
        <v>offset 58</v>
      </c>
    </row>
    <row r="14649" customFormat="false" ht="12.8" hidden="false" customHeight="false" outlineLevel="0" collapsed="false">
      <c r="A14649" s="0" t="s">
        <v>12</v>
      </c>
      <c r="B14649" s="0" t="n">
        <v>4526885</v>
      </c>
      <c r="C14649" s="0" t="n">
        <v>4526905</v>
      </c>
      <c r="D14649" s="0" t="s">
        <v>48675</v>
      </c>
      <c r="E14649" s="0" t="s">
        <v>75</v>
      </c>
      <c r="F14649" s="0" t="s">
        <v>15</v>
      </c>
      <c r="G14649" s="0" t="s">
        <v>16</v>
      </c>
      <c r="H14649" s="0" t="n">
        <v>84</v>
      </c>
      <c r="I14649" s="0" t="s">
        <v>48682</v>
      </c>
      <c r="J14649" s="0" t="s">
        <v>48683</v>
      </c>
      <c r="K14649" s="0" t="s">
        <v>48684</v>
      </c>
      <c r="L14649" s="0" t="str">
        <f aca="false">HYPERLINK("https://www.ncbi.nlm.nih.gov/nuccore/CP000058.1?report=graph&amp;tracks=[key:gene_model_track,Options:GeneOnly]&amp;mk=4526830:4526849|offset_28|444444,4526860:4526879|offset_58|444444,4526886:4526905|offset_84|00cc00,4526910:4526929|offset_108|444444&amp;v=4526629:4527129&amp;c=444444", "offset 84")</f>
        <v>offset 84</v>
      </c>
    </row>
    <row r="14650" customFormat="false" ht="12.8" hidden="false" customHeight="false" outlineLevel="0" collapsed="false">
      <c r="A14650" s="0" t="s">
        <v>12</v>
      </c>
      <c r="B14650" s="0" t="n">
        <v>4526909</v>
      </c>
      <c r="C14650" s="0" t="n">
        <v>4526929</v>
      </c>
      <c r="D14650" s="0" t="s">
        <v>48675</v>
      </c>
      <c r="E14650" s="0" t="s">
        <v>75</v>
      </c>
      <c r="F14650" s="0" t="s">
        <v>15</v>
      </c>
      <c r="G14650" s="0" t="s">
        <v>32</v>
      </c>
      <c r="H14650" s="0" t="n">
        <v>108</v>
      </c>
      <c r="I14650" s="0" t="s">
        <v>48685</v>
      </c>
      <c r="J14650" s="0" t="s">
        <v>48686</v>
      </c>
      <c r="K14650" s="0" t="s">
        <v>48687</v>
      </c>
      <c r="L14650" s="0" t="str">
        <f aca="false">HYPERLINK("https://www.ncbi.nlm.nih.gov/nuccore/CP000058.1?report=graph&amp;tracks=[key:gene_model_track,Options:GeneOnly]&amp;mk=4526830:4526849|offset_28|444444,4526860:4526879|offset_58|444444,4526886:4526905|offset_84|444444,4526910:4526929|offset_108|00cc00&amp;v=4526629:4527129&amp;c=444444", "offset 108")</f>
        <v>offset 108</v>
      </c>
    </row>
    <row r="14651" customFormat="false" ht="12.8" hidden="false" customHeight="false" outlineLevel="0" collapsed="false">
      <c r="A14651" s="0" t="s">
        <v>12</v>
      </c>
      <c r="B14651" s="0" t="n">
        <v>4528807</v>
      </c>
      <c r="C14651" s="0" t="n">
        <v>4528827</v>
      </c>
      <c r="D14651" s="0" t="s">
        <v>48688</v>
      </c>
      <c r="E14651" s="0" t="s">
        <v>75</v>
      </c>
      <c r="F14651" s="0" t="s">
        <v>15</v>
      </c>
      <c r="G14651" s="0" t="s">
        <v>16</v>
      </c>
      <c r="H14651" s="0" t="n">
        <v>39</v>
      </c>
      <c r="I14651" s="0" t="s">
        <v>48689</v>
      </c>
      <c r="J14651" s="0" t="s">
        <v>48690</v>
      </c>
      <c r="K14651" s="0" t="s">
        <v>48691</v>
      </c>
      <c r="L14651" s="0" t="str">
        <f aca="false">HYPERLINK("https://www.ncbi.nlm.nih.gov/nuccore/CP000058.1?report=graph&amp;tracks=[key:gene_model_track,Options:GeneOnly]&amp;mk=4528808:4528827|offset_39|00cc00,4528834:4528853|offset_65|444444,4528856:4528875|offset_87|444444,4528894:4528913|offset_125|444444&amp;v=4528607:4529113&amp;c=444444", "offset 39")</f>
        <v>offset 39</v>
      </c>
    </row>
    <row r="14652" customFormat="false" ht="12.8" hidden="false" customHeight="false" outlineLevel="0" collapsed="false">
      <c r="A14652" s="0" t="s">
        <v>12</v>
      </c>
      <c r="B14652" s="0" t="n">
        <v>4528833</v>
      </c>
      <c r="C14652" s="0" t="n">
        <v>4528853</v>
      </c>
      <c r="D14652" s="0" t="s">
        <v>48688</v>
      </c>
      <c r="E14652" s="0" t="s">
        <v>75</v>
      </c>
      <c r="F14652" s="0" t="s">
        <v>15</v>
      </c>
      <c r="G14652" s="0" t="s">
        <v>20</v>
      </c>
      <c r="H14652" s="0" t="n">
        <v>65</v>
      </c>
      <c r="I14652" s="0" t="s">
        <v>48692</v>
      </c>
      <c r="J14652" s="0" t="s">
        <v>48693</v>
      </c>
      <c r="K14652" s="0" t="s">
        <v>48694</v>
      </c>
      <c r="L14652" s="0" t="str">
        <f aca="false">HYPERLINK("https://www.ncbi.nlm.nih.gov/nuccore/CP000058.1?report=graph&amp;tracks=[key:gene_model_track,Options:GeneOnly]&amp;mk=4528808:4528827|offset_39|444444,4528834:4528853|offset_65|00cc00,4528856:4528875|offset_87|444444,4528894:4528913|offset_125|444444&amp;v=4528607:4529113&amp;c=444444", "offset 65")</f>
        <v>offset 65</v>
      </c>
    </row>
    <row r="14653" customFormat="false" ht="12.8" hidden="false" customHeight="false" outlineLevel="0" collapsed="false">
      <c r="A14653" s="0" t="s">
        <v>12</v>
      </c>
      <c r="B14653" s="0" t="n">
        <v>4528855</v>
      </c>
      <c r="C14653" s="0" t="n">
        <v>4528875</v>
      </c>
      <c r="D14653" s="0" t="s">
        <v>48688</v>
      </c>
      <c r="E14653" s="0" t="s">
        <v>75</v>
      </c>
      <c r="F14653" s="0" t="s">
        <v>15</v>
      </c>
      <c r="G14653" s="0" t="s">
        <v>16</v>
      </c>
      <c r="H14653" s="0" t="n">
        <v>87</v>
      </c>
      <c r="I14653" s="0" t="s">
        <v>48695</v>
      </c>
      <c r="J14653" s="0" t="s">
        <v>48696</v>
      </c>
      <c r="K14653" s="0" t="s">
        <v>48697</v>
      </c>
      <c r="L14653" s="0" t="str">
        <f aca="false">HYPERLINK("https://www.ncbi.nlm.nih.gov/nuccore/CP000058.1?report=graph&amp;tracks=[key:gene_model_track,Options:GeneOnly]&amp;mk=4528808:4528827|offset_39|444444,4528834:4528853|offset_65|444444,4528856:4528875|offset_87|00cc00,4528894:4528913|offset_125|444444&amp;v=4528607:4529113&amp;c=444444", "offset 87")</f>
        <v>offset 87</v>
      </c>
    </row>
    <row r="14654" customFormat="false" ht="12.8" hidden="false" customHeight="false" outlineLevel="0" collapsed="false">
      <c r="A14654" s="0" t="s">
        <v>12</v>
      </c>
      <c r="B14654" s="0" t="n">
        <v>4528893</v>
      </c>
      <c r="C14654" s="0" t="n">
        <v>4528913</v>
      </c>
      <c r="D14654" s="0" t="s">
        <v>48688</v>
      </c>
      <c r="E14654" s="0" t="s">
        <v>75</v>
      </c>
      <c r="F14654" s="0" t="s">
        <v>15</v>
      </c>
      <c r="G14654" s="0" t="s">
        <v>20</v>
      </c>
      <c r="H14654" s="0" t="n">
        <v>125</v>
      </c>
      <c r="I14654" s="0" t="s">
        <v>48698</v>
      </c>
      <c r="J14654" s="0" t="s">
        <v>48699</v>
      </c>
      <c r="K14654" s="0" t="s">
        <v>48700</v>
      </c>
      <c r="L14654" s="0" t="str">
        <f aca="false">HYPERLINK("https://www.ncbi.nlm.nih.gov/nuccore/CP000058.1?report=graph&amp;tracks=[key:gene_model_track,Options:GeneOnly]&amp;mk=4528808:4528827|offset_39|444444,4528834:4528853|offset_65|444444,4528856:4528875|offset_87|444444,4528894:4528913|offset_125|00cc00&amp;v=4528607:4529113&amp;c=444444", "offset 125")</f>
        <v>offset 125</v>
      </c>
    </row>
    <row r="14655" customFormat="false" ht="12.8" hidden="false" customHeight="false" outlineLevel="0" collapsed="false">
      <c r="A14655" s="0" t="s">
        <v>12</v>
      </c>
      <c r="B14655" s="0" t="n">
        <v>4530496</v>
      </c>
      <c r="C14655" s="0" t="n">
        <v>4530516</v>
      </c>
      <c r="D14655" s="0" t="s">
        <v>48701</v>
      </c>
      <c r="E14655" s="0" t="s">
        <v>48702</v>
      </c>
      <c r="F14655" s="0" t="s">
        <v>90</v>
      </c>
      <c r="G14655" s="0" t="s">
        <v>32</v>
      </c>
      <c r="H14655" s="0" t="n">
        <v>1</v>
      </c>
      <c r="I14655" s="0" t="s">
        <v>48703</v>
      </c>
      <c r="J14655" s="0" t="s">
        <v>48704</v>
      </c>
      <c r="K14655" s="0" t="s">
        <v>48705</v>
      </c>
      <c r="L14655" s="0" t="str">
        <f aca="false">HYPERLINK("https://www.ncbi.nlm.nih.gov/nuccore/CP000058.1?report=graph&amp;tracks=[key:gene_model_track,Options:GeneOnly]&amp;mk=4530497:4530516|offset_1|00cc00,4530465:4530484|offset_33|444444,4530426:4530445|offset_72|444444,4530394:4530413|offset_104|444444&amp;v=4530296:4530613&amp;c=444444", "offset 1")</f>
        <v>offset 1</v>
      </c>
    </row>
    <row r="14656" customFormat="false" ht="12.8" hidden="false" customHeight="false" outlineLevel="0" collapsed="false">
      <c r="A14656" s="0" t="s">
        <v>12</v>
      </c>
      <c r="B14656" s="0" t="n">
        <v>4530464</v>
      </c>
      <c r="C14656" s="0" t="n">
        <v>4530484</v>
      </c>
      <c r="D14656" s="0" t="s">
        <v>48701</v>
      </c>
      <c r="E14656" s="0" t="s">
        <v>48702</v>
      </c>
      <c r="F14656" s="0" t="s">
        <v>90</v>
      </c>
      <c r="G14656" s="0" t="s">
        <v>36</v>
      </c>
      <c r="H14656" s="0" t="n">
        <v>33</v>
      </c>
      <c r="I14656" s="0" t="s">
        <v>48706</v>
      </c>
      <c r="J14656" s="0" t="s">
        <v>48707</v>
      </c>
      <c r="K14656" s="0" t="s">
        <v>48708</v>
      </c>
      <c r="L14656" s="0" t="str">
        <f aca="false">HYPERLINK("https://www.ncbi.nlm.nih.gov/nuccore/CP000058.1?report=graph&amp;tracks=[key:gene_model_track,Options:GeneOnly]&amp;mk=4530497:4530516|offset_1|444444,4530465:4530484|offset_33|00cc00,4530426:4530445|offset_72|444444,4530394:4530413|offset_104|444444&amp;v=4530296:4530613&amp;c=444444", "offset 33")</f>
        <v>offset 33</v>
      </c>
    </row>
    <row r="14657" customFormat="false" ht="12.8" hidden="false" customHeight="false" outlineLevel="0" collapsed="false">
      <c r="A14657" s="0" t="s">
        <v>12</v>
      </c>
      <c r="B14657" s="0" t="n">
        <v>4530425</v>
      </c>
      <c r="C14657" s="0" t="n">
        <v>4530445</v>
      </c>
      <c r="D14657" s="0" t="s">
        <v>48701</v>
      </c>
      <c r="E14657" s="0" t="s">
        <v>48702</v>
      </c>
      <c r="F14657" s="0" t="s">
        <v>90</v>
      </c>
      <c r="G14657" s="0" t="s">
        <v>36</v>
      </c>
      <c r="H14657" s="0" t="n">
        <v>72</v>
      </c>
      <c r="I14657" s="0" t="s">
        <v>48709</v>
      </c>
      <c r="J14657" s="0" t="s">
        <v>48710</v>
      </c>
      <c r="K14657" s="0" t="s">
        <v>48711</v>
      </c>
      <c r="L14657" s="0" t="str">
        <f aca="false">HYPERLINK("https://www.ncbi.nlm.nih.gov/nuccore/CP000058.1?report=graph&amp;tracks=[key:gene_model_track,Options:GeneOnly]&amp;mk=4530497:4530516|offset_1|444444,4530465:4530484|offset_33|444444,4530426:4530445|offset_72|00cc00,4530394:4530413|offset_104|444444&amp;v=4530296:4530613&amp;c=444444", "offset 72")</f>
        <v>offset 72</v>
      </c>
    </row>
    <row r="14658" customFormat="false" ht="12.8" hidden="false" customHeight="false" outlineLevel="0" collapsed="false">
      <c r="A14658" s="0" t="s">
        <v>12</v>
      </c>
      <c r="B14658" s="0" t="n">
        <v>4530393</v>
      </c>
      <c r="C14658" s="0" t="n">
        <v>4530413</v>
      </c>
      <c r="D14658" s="0" t="s">
        <v>48701</v>
      </c>
      <c r="E14658" s="0" t="s">
        <v>48702</v>
      </c>
      <c r="F14658" s="0" t="s">
        <v>90</v>
      </c>
      <c r="G14658" s="0" t="s">
        <v>32</v>
      </c>
      <c r="H14658" s="0" t="n">
        <v>104</v>
      </c>
      <c r="I14658" s="0" t="s">
        <v>48712</v>
      </c>
      <c r="J14658" s="0" t="s">
        <v>48713</v>
      </c>
      <c r="K14658" s="0" t="s">
        <v>48714</v>
      </c>
      <c r="L14658" s="0" t="str">
        <f aca="false">HYPERLINK("https://www.ncbi.nlm.nih.gov/nuccore/CP000058.1?report=graph&amp;tracks=[key:gene_model_track,Options:GeneOnly]&amp;mk=4530497:4530516|offset_1|444444,4530465:4530484|offset_33|444444,4530426:4530445|offset_72|444444,4530394:4530413|offset_104|00cc00&amp;v=4530296:4530613&amp;c=444444", "offset 104")</f>
        <v>offset 104</v>
      </c>
    </row>
    <row r="14659" customFormat="false" ht="12.8" hidden="false" customHeight="false" outlineLevel="0" collapsed="false">
      <c r="A14659" s="0" t="s">
        <v>12</v>
      </c>
      <c r="B14659" s="0" t="n">
        <v>4530615</v>
      </c>
      <c r="C14659" s="0" t="n">
        <v>4530635</v>
      </c>
      <c r="D14659" s="0" t="s">
        <v>48715</v>
      </c>
      <c r="E14659" s="0" t="s">
        <v>75</v>
      </c>
      <c r="F14659" s="0" t="s">
        <v>90</v>
      </c>
      <c r="G14659" s="0" t="s">
        <v>16</v>
      </c>
      <c r="H14659" s="0" t="n">
        <v>42</v>
      </c>
      <c r="I14659" s="0" t="s">
        <v>48716</v>
      </c>
      <c r="J14659" s="0" t="s">
        <v>48717</v>
      </c>
      <c r="K14659" s="0" t="s">
        <v>48718</v>
      </c>
      <c r="L14659" s="0" t="str">
        <f aca="false">HYPERLINK("https://www.ncbi.nlm.nih.gov/nuccore/CP000058.1?report=graph&amp;tracks=[key:gene_model_track,Options:GeneOnly]&amp;mk=4530616:4530635|offset_42|00cc00,4530583:4530602|offset_75|444444,4530558:4530577|offset_100|444444&amp;v=4530415:4530777&amp;c=444444", "offset 42")</f>
        <v>offset 42</v>
      </c>
    </row>
    <row r="14660" customFormat="false" ht="12.8" hidden="false" customHeight="false" outlineLevel="0" collapsed="false">
      <c r="A14660" s="0" t="s">
        <v>12</v>
      </c>
      <c r="B14660" s="0" t="n">
        <v>4530582</v>
      </c>
      <c r="C14660" s="0" t="n">
        <v>4530602</v>
      </c>
      <c r="D14660" s="0" t="s">
        <v>48715</v>
      </c>
      <c r="E14660" s="0" t="s">
        <v>75</v>
      </c>
      <c r="F14660" s="0" t="s">
        <v>90</v>
      </c>
      <c r="G14660" s="0" t="s">
        <v>16</v>
      </c>
      <c r="H14660" s="0" t="n">
        <v>75</v>
      </c>
      <c r="I14660" s="0" t="s">
        <v>48719</v>
      </c>
      <c r="J14660" s="0" t="s">
        <v>48720</v>
      </c>
      <c r="K14660" s="0" t="s">
        <v>48721</v>
      </c>
      <c r="L14660" s="0" t="str">
        <f aca="false">HYPERLINK("https://www.ncbi.nlm.nih.gov/nuccore/CP000058.1?report=graph&amp;tracks=[key:gene_model_track,Options:GeneOnly]&amp;mk=4530616:4530635|offset_42|444444,4530583:4530602|offset_75|00cc00,4530558:4530577|offset_100|444444&amp;v=4530415:4530777&amp;c=444444", "offset 75")</f>
        <v>offset 75</v>
      </c>
    </row>
    <row r="14661" customFormat="false" ht="12.8" hidden="false" customHeight="false" outlineLevel="0" collapsed="false">
      <c r="A14661" s="0" t="s">
        <v>12</v>
      </c>
      <c r="B14661" s="0" t="n">
        <v>4530557</v>
      </c>
      <c r="C14661" s="0" t="n">
        <v>4530577</v>
      </c>
      <c r="D14661" s="0" t="s">
        <v>48715</v>
      </c>
      <c r="E14661" s="0" t="s">
        <v>75</v>
      </c>
      <c r="F14661" s="0" t="s">
        <v>90</v>
      </c>
      <c r="G14661" s="0" t="s">
        <v>16</v>
      </c>
      <c r="H14661" s="0" t="n">
        <v>100</v>
      </c>
      <c r="I14661" s="0" t="s">
        <v>48722</v>
      </c>
      <c r="J14661" s="0" t="s">
        <v>48723</v>
      </c>
      <c r="K14661" s="0" t="s">
        <v>48724</v>
      </c>
      <c r="L14661" s="0" t="str">
        <f aca="false">HYPERLINK("https://www.ncbi.nlm.nih.gov/nuccore/CP000058.1?report=graph&amp;tracks=[key:gene_model_track,Options:GeneOnly]&amp;mk=4530616:4530635|offset_42|444444,4530583:4530602|offset_75|444444,4530558:4530577|offset_100|00cc00&amp;v=4530415:4530777&amp;c=444444", "offset 100")</f>
        <v>offset 100</v>
      </c>
    </row>
    <row r="14662" customFormat="false" ht="12.8" hidden="false" customHeight="false" outlineLevel="0" collapsed="false">
      <c r="A14662" s="0" t="s">
        <v>12</v>
      </c>
      <c r="B14662" s="0" t="n">
        <v>4531180</v>
      </c>
      <c r="C14662" s="0" t="n">
        <v>4531200</v>
      </c>
      <c r="D14662" s="0" t="s">
        <v>48725</v>
      </c>
      <c r="E14662" s="0" t="s">
        <v>75</v>
      </c>
      <c r="F14662" s="0" t="s">
        <v>90</v>
      </c>
      <c r="G14662" s="0" t="s">
        <v>32</v>
      </c>
      <c r="H14662" s="0" t="n">
        <v>1</v>
      </c>
      <c r="I14662" s="0" t="s">
        <v>48726</v>
      </c>
      <c r="J14662" s="0" t="s">
        <v>48727</v>
      </c>
      <c r="K14662" s="0" t="s">
        <v>48728</v>
      </c>
      <c r="L14662" s="0" t="str">
        <f aca="false">HYPERLINK("https://www.ncbi.nlm.nih.gov/nuccore/CP000058.1?report=graph&amp;tracks=[key:gene_model_track,Options:GeneOnly]&amp;mk=4531181:4531200|offset_1|00cc00,4531145:4531164|offset_37|444444,4531117:4531136|offset_65|444444,4531083:4531102|offset_99|444444&amp;v=4530980:4531302&amp;c=444444", "offset 1")</f>
        <v>offset 1</v>
      </c>
    </row>
    <row r="14663" customFormat="false" ht="12.8" hidden="false" customHeight="false" outlineLevel="0" collapsed="false">
      <c r="A14663" s="0" t="s">
        <v>12</v>
      </c>
      <c r="B14663" s="0" t="n">
        <v>4531144</v>
      </c>
      <c r="C14663" s="0" t="n">
        <v>4531164</v>
      </c>
      <c r="D14663" s="0" t="s">
        <v>48725</v>
      </c>
      <c r="E14663" s="0" t="s">
        <v>75</v>
      </c>
      <c r="F14663" s="0" t="s">
        <v>90</v>
      </c>
      <c r="G14663" s="0" t="s">
        <v>36</v>
      </c>
      <c r="H14663" s="0" t="n">
        <v>37</v>
      </c>
      <c r="I14663" s="0" t="s">
        <v>48729</v>
      </c>
      <c r="J14663" s="0" t="s">
        <v>48730</v>
      </c>
      <c r="K14663" s="0" t="s">
        <v>48731</v>
      </c>
      <c r="L14663" s="0" t="str">
        <f aca="false">HYPERLINK("https://www.ncbi.nlm.nih.gov/nuccore/CP000058.1?report=graph&amp;tracks=[key:gene_model_track,Options:GeneOnly]&amp;mk=4531181:4531200|offset_1|444444,4531145:4531164|offset_37|00cc00,4531117:4531136|offset_65|444444,4531083:4531102|offset_99|444444&amp;v=4530980:4531302&amp;c=444444", "offset 37")</f>
        <v>offset 37</v>
      </c>
    </row>
    <row r="14664" customFormat="false" ht="12.8" hidden="false" customHeight="false" outlineLevel="0" collapsed="false">
      <c r="A14664" s="0" t="s">
        <v>12</v>
      </c>
      <c r="B14664" s="0" t="n">
        <v>4531116</v>
      </c>
      <c r="C14664" s="0" t="n">
        <v>4531136</v>
      </c>
      <c r="D14664" s="0" t="s">
        <v>48725</v>
      </c>
      <c r="E14664" s="0" t="s">
        <v>75</v>
      </c>
      <c r="F14664" s="0" t="s">
        <v>90</v>
      </c>
      <c r="G14664" s="0" t="s">
        <v>36</v>
      </c>
      <c r="H14664" s="0" t="n">
        <v>65</v>
      </c>
      <c r="I14664" s="0" t="s">
        <v>48732</v>
      </c>
      <c r="J14664" s="0" t="s">
        <v>48733</v>
      </c>
      <c r="K14664" s="0" t="s">
        <v>48734</v>
      </c>
      <c r="L14664" s="0" t="str">
        <f aca="false">HYPERLINK("https://www.ncbi.nlm.nih.gov/nuccore/CP000058.1?report=graph&amp;tracks=[key:gene_model_track,Options:GeneOnly]&amp;mk=4531181:4531200|offset_1|444444,4531145:4531164|offset_37|444444,4531117:4531136|offset_65|00cc00,4531083:4531102|offset_99|444444&amp;v=4530980:4531302&amp;c=444444", "offset 65")</f>
        <v>offset 65</v>
      </c>
    </row>
    <row r="14665" customFormat="false" ht="12.8" hidden="false" customHeight="false" outlineLevel="0" collapsed="false">
      <c r="A14665" s="0" t="s">
        <v>12</v>
      </c>
      <c r="B14665" s="0" t="n">
        <v>4531082</v>
      </c>
      <c r="C14665" s="0" t="n">
        <v>4531102</v>
      </c>
      <c r="D14665" s="0" t="s">
        <v>48725</v>
      </c>
      <c r="E14665" s="0" t="s">
        <v>75</v>
      </c>
      <c r="F14665" s="0" t="s">
        <v>90</v>
      </c>
      <c r="G14665" s="0" t="s">
        <v>16</v>
      </c>
      <c r="H14665" s="0" t="n">
        <v>99</v>
      </c>
      <c r="I14665" s="0" t="s">
        <v>48735</v>
      </c>
      <c r="J14665" s="0" t="s">
        <v>48736</v>
      </c>
      <c r="K14665" s="0" t="s">
        <v>48737</v>
      </c>
      <c r="L14665" s="0" t="str">
        <f aca="false">HYPERLINK("https://www.ncbi.nlm.nih.gov/nuccore/CP000058.1?report=graph&amp;tracks=[key:gene_model_track,Options:GeneOnly]&amp;mk=4531181:4531200|offset_1|444444,4531145:4531164|offset_37|444444,4531117:4531136|offset_65|444444,4531083:4531102|offset_99|00cc00&amp;v=4530980:4531302&amp;c=444444", "offset 99")</f>
        <v>offset 99</v>
      </c>
    </row>
    <row r="14666" customFormat="false" ht="12.8" hidden="false" customHeight="false" outlineLevel="0" collapsed="false">
      <c r="A14666" s="0" t="s">
        <v>12</v>
      </c>
      <c r="B14666" s="0" t="n">
        <v>4531708</v>
      </c>
      <c r="C14666" s="0" t="n">
        <v>4531728</v>
      </c>
      <c r="D14666" s="0" t="s">
        <v>48738</v>
      </c>
      <c r="E14666" s="0" t="s">
        <v>75</v>
      </c>
      <c r="F14666" s="0" t="s">
        <v>90</v>
      </c>
      <c r="G14666" s="0" t="s">
        <v>32</v>
      </c>
      <c r="H14666" s="0" t="n">
        <v>17</v>
      </c>
      <c r="I14666" s="0" t="s">
        <v>48739</v>
      </c>
      <c r="J14666" s="0" t="s">
        <v>48740</v>
      </c>
      <c r="K14666" s="0" t="s">
        <v>48741</v>
      </c>
      <c r="L14666" s="0" t="str">
        <f aca="false">HYPERLINK("https://www.ncbi.nlm.nih.gov/nuccore/CP000058.1?report=graph&amp;tracks=[key:gene_model_track,Options:GeneOnly]&amp;mk=4531709:4531728|offset_17|00cc00,4531682:4531701|offset_44|444444,4531661:4531680|offset_65|444444,4531633:4531652|offset_93|444444&amp;v=4531508:4531852&amp;c=444444", "offset 17")</f>
        <v>offset 17</v>
      </c>
    </row>
    <row r="14667" customFormat="false" ht="12.8" hidden="false" customHeight="false" outlineLevel="0" collapsed="false">
      <c r="A14667" s="0" t="s">
        <v>12</v>
      </c>
      <c r="B14667" s="0" t="n">
        <v>4531681</v>
      </c>
      <c r="C14667" s="0" t="n">
        <v>4531701</v>
      </c>
      <c r="D14667" s="0" t="s">
        <v>48738</v>
      </c>
      <c r="E14667" s="0" t="s">
        <v>75</v>
      </c>
      <c r="F14667" s="0" t="s">
        <v>90</v>
      </c>
      <c r="G14667" s="0" t="s">
        <v>36</v>
      </c>
      <c r="H14667" s="0" t="n">
        <v>44</v>
      </c>
      <c r="I14667" s="0" t="s">
        <v>48742</v>
      </c>
      <c r="J14667" s="0" t="s">
        <v>48743</v>
      </c>
      <c r="K14667" s="0" t="s">
        <v>48744</v>
      </c>
      <c r="L14667" s="0" t="str">
        <f aca="false">HYPERLINK("https://www.ncbi.nlm.nih.gov/nuccore/CP000058.1?report=graph&amp;tracks=[key:gene_model_track,Options:GeneOnly]&amp;mk=4531709:4531728|offset_17|444444,4531682:4531701|offset_44|00cc00,4531661:4531680|offset_65|444444,4531633:4531652|offset_93|444444&amp;v=4531508:4531852&amp;c=444444", "offset 44")</f>
        <v>offset 44</v>
      </c>
    </row>
    <row r="14668" customFormat="false" ht="12.8" hidden="false" customHeight="false" outlineLevel="0" collapsed="false">
      <c r="A14668" s="0" t="s">
        <v>12</v>
      </c>
      <c r="B14668" s="0" t="n">
        <v>4531660</v>
      </c>
      <c r="C14668" s="0" t="n">
        <v>4531680</v>
      </c>
      <c r="D14668" s="0" t="s">
        <v>48738</v>
      </c>
      <c r="E14668" s="0" t="s">
        <v>75</v>
      </c>
      <c r="F14668" s="0" t="s">
        <v>90</v>
      </c>
      <c r="G14668" s="0" t="s">
        <v>36</v>
      </c>
      <c r="H14668" s="0" t="n">
        <v>65</v>
      </c>
      <c r="I14668" s="0" t="s">
        <v>48745</v>
      </c>
      <c r="J14668" s="0" t="s">
        <v>48746</v>
      </c>
      <c r="K14668" s="0" t="s">
        <v>48747</v>
      </c>
      <c r="L14668" s="0" t="str">
        <f aca="false">HYPERLINK("https://www.ncbi.nlm.nih.gov/nuccore/CP000058.1?report=graph&amp;tracks=[key:gene_model_track,Options:GeneOnly]&amp;mk=4531709:4531728|offset_17|444444,4531682:4531701|offset_44|444444,4531661:4531680|offset_65|00cc00,4531633:4531652|offset_93|444444&amp;v=4531508:4531852&amp;c=444444", "offset 65")</f>
        <v>offset 65</v>
      </c>
    </row>
    <row r="14669" customFormat="false" ht="12.8" hidden="false" customHeight="false" outlineLevel="0" collapsed="false">
      <c r="A14669" s="0" t="s">
        <v>12</v>
      </c>
      <c r="B14669" s="0" t="n">
        <v>4531632</v>
      </c>
      <c r="C14669" s="0" t="n">
        <v>4531652</v>
      </c>
      <c r="D14669" s="0" t="s">
        <v>48738</v>
      </c>
      <c r="E14669" s="0" t="s">
        <v>75</v>
      </c>
      <c r="F14669" s="0" t="s">
        <v>90</v>
      </c>
      <c r="G14669" s="0" t="s">
        <v>32</v>
      </c>
      <c r="H14669" s="0" t="n">
        <v>93</v>
      </c>
      <c r="I14669" s="0" t="s">
        <v>48748</v>
      </c>
      <c r="J14669" s="0" t="s">
        <v>48749</v>
      </c>
      <c r="K14669" s="0" t="s">
        <v>48750</v>
      </c>
      <c r="L14669" s="0" t="str">
        <f aca="false">HYPERLINK("https://www.ncbi.nlm.nih.gov/nuccore/CP000058.1?report=graph&amp;tracks=[key:gene_model_track,Options:GeneOnly]&amp;mk=4531709:4531728|offset_17|444444,4531682:4531701|offset_44|444444,4531661:4531680|offset_65|444444,4531633:4531652|offset_93|00cc00&amp;v=4531508:4531852&amp;c=444444", "offset 93")</f>
        <v>offset 93</v>
      </c>
    </row>
    <row r="14670" customFormat="false" ht="12.8" hidden="false" customHeight="false" outlineLevel="0" collapsed="false">
      <c r="A14670" s="0" t="s">
        <v>12</v>
      </c>
      <c r="B14670" s="0" t="n">
        <v>4531804</v>
      </c>
      <c r="C14670" s="0" t="n">
        <v>4531824</v>
      </c>
      <c r="D14670" s="0" t="s">
        <v>48751</v>
      </c>
      <c r="E14670" s="0" t="s">
        <v>75</v>
      </c>
      <c r="F14670" s="0" t="s">
        <v>15</v>
      </c>
      <c r="G14670" s="0" t="s">
        <v>20</v>
      </c>
      <c r="H14670" s="0" t="n">
        <v>41</v>
      </c>
      <c r="I14670" s="0" t="s">
        <v>48752</v>
      </c>
      <c r="J14670" s="0" t="s">
        <v>48753</v>
      </c>
      <c r="K14670" s="0" t="s">
        <v>48754</v>
      </c>
      <c r="L14670" s="0" t="str">
        <f aca="false">HYPERLINK("https://www.ncbi.nlm.nih.gov/nuccore/CP000058.1?report=graph&amp;tracks=[key:gene_model_track,Options:GeneOnly]&amp;mk=4531805:4531824|offset_41|00cc00,4531837:4531856|offset_73|444444,4531870:4531889|offset_106|444444,4531890:4531909|offset_126|444444&amp;v=4531604:4532109&amp;c=444444", "offset 41")</f>
        <v>offset 41</v>
      </c>
    </row>
    <row r="14671" customFormat="false" ht="12.8" hidden="false" customHeight="false" outlineLevel="0" collapsed="false">
      <c r="A14671" s="0" t="s">
        <v>12</v>
      </c>
      <c r="B14671" s="0" t="n">
        <v>4531836</v>
      </c>
      <c r="C14671" s="0" t="n">
        <v>4531856</v>
      </c>
      <c r="D14671" s="0" t="s">
        <v>48751</v>
      </c>
      <c r="E14671" s="0" t="s">
        <v>75</v>
      </c>
      <c r="F14671" s="0" t="s">
        <v>15</v>
      </c>
      <c r="G14671" s="0" t="s">
        <v>16</v>
      </c>
      <c r="H14671" s="0" t="n">
        <v>73</v>
      </c>
      <c r="I14671" s="0" t="s">
        <v>48755</v>
      </c>
      <c r="J14671" s="0" t="s">
        <v>48756</v>
      </c>
      <c r="K14671" s="0" t="s">
        <v>48757</v>
      </c>
      <c r="L14671" s="0" t="str">
        <f aca="false">HYPERLINK("https://www.ncbi.nlm.nih.gov/nuccore/CP000058.1?report=graph&amp;tracks=[key:gene_model_track,Options:GeneOnly]&amp;mk=4531805:4531824|offset_41|444444,4531837:4531856|offset_73|00cc00,4531870:4531889|offset_106|444444,4531890:4531909|offset_126|444444&amp;v=4531604:4532109&amp;c=444444", "offset 73")</f>
        <v>offset 73</v>
      </c>
    </row>
    <row r="14672" customFormat="false" ht="12.8" hidden="false" customHeight="false" outlineLevel="0" collapsed="false">
      <c r="A14672" s="0" t="s">
        <v>12</v>
      </c>
      <c r="B14672" s="0" t="n">
        <v>4531869</v>
      </c>
      <c r="C14672" s="0" t="n">
        <v>4531889</v>
      </c>
      <c r="D14672" s="0" t="s">
        <v>48751</v>
      </c>
      <c r="E14672" s="0" t="s">
        <v>75</v>
      </c>
      <c r="F14672" s="0" t="s">
        <v>15</v>
      </c>
      <c r="G14672" s="0" t="s">
        <v>32</v>
      </c>
      <c r="H14672" s="0" t="n">
        <v>106</v>
      </c>
      <c r="I14672" s="0" t="s">
        <v>48758</v>
      </c>
      <c r="J14672" s="0" t="s">
        <v>48759</v>
      </c>
      <c r="K14672" s="0" t="s">
        <v>48760</v>
      </c>
      <c r="L14672" s="0" t="str">
        <f aca="false">HYPERLINK("https://www.ncbi.nlm.nih.gov/nuccore/CP000058.1?report=graph&amp;tracks=[key:gene_model_track,Options:GeneOnly]&amp;mk=4531805:4531824|offset_41|444444,4531837:4531856|offset_73|444444,4531870:4531889|offset_106|00cc00,4531890:4531909|offset_126|444444&amp;v=4531604:4532109&amp;c=444444", "offset 106")</f>
        <v>offset 106</v>
      </c>
    </row>
    <row r="14673" customFormat="false" ht="12.8" hidden="false" customHeight="false" outlineLevel="0" collapsed="false">
      <c r="A14673" s="0" t="s">
        <v>12</v>
      </c>
      <c r="B14673" s="0" t="n">
        <v>4531889</v>
      </c>
      <c r="C14673" s="0" t="n">
        <v>4531909</v>
      </c>
      <c r="D14673" s="0" t="s">
        <v>48751</v>
      </c>
      <c r="E14673" s="0" t="s">
        <v>75</v>
      </c>
      <c r="F14673" s="0" t="s">
        <v>15</v>
      </c>
      <c r="G14673" s="0" t="s">
        <v>16</v>
      </c>
      <c r="H14673" s="0" t="n">
        <v>126</v>
      </c>
      <c r="I14673" s="0" t="s">
        <v>48761</v>
      </c>
      <c r="J14673" s="0" t="s">
        <v>48762</v>
      </c>
      <c r="K14673" s="0" t="s">
        <v>48763</v>
      </c>
      <c r="L14673" s="0" t="str">
        <f aca="false">HYPERLINK("https://www.ncbi.nlm.nih.gov/nuccore/CP000058.1?report=graph&amp;tracks=[key:gene_model_track,Options:GeneOnly]&amp;mk=4531805:4531824|offset_41|444444,4531837:4531856|offset_73|444444,4531870:4531889|offset_106|444444,4531890:4531909|offset_126|00cc00&amp;v=4531604:4532109&amp;c=444444", "offset 126")</f>
        <v>offset 126</v>
      </c>
    </row>
    <row r="14674" customFormat="false" ht="12.8" hidden="false" customHeight="false" outlineLevel="0" collapsed="false">
      <c r="A14674" s="0" t="s">
        <v>12</v>
      </c>
      <c r="B14674" s="0" t="n">
        <v>4532859</v>
      </c>
      <c r="C14674" s="0" t="n">
        <v>4532879</v>
      </c>
      <c r="D14674" s="0" t="s">
        <v>48764</v>
      </c>
      <c r="E14674" s="0" t="s">
        <v>75</v>
      </c>
      <c r="F14674" s="0" t="s">
        <v>15</v>
      </c>
      <c r="G14674" s="0" t="s">
        <v>32</v>
      </c>
      <c r="H14674" s="0" t="n">
        <v>1</v>
      </c>
      <c r="I14674" s="0" t="s">
        <v>48765</v>
      </c>
      <c r="J14674" s="0" t="s">
        <v>48766</v>
      </c>
      <c r="K14674" s="0" t="s">
        <v>48767</v>
      </c>
      <c r="L14674" s="0" t="str">
        <f aca="false">HYPERLINK("https://www.ncbi.nlm.nih.gov/nuccore/CP000058.1?report=graph&amp;tracks=[key:gene_model_track,Options:GeneOnly]&amp;mk=4532860:4532879|offset_1|00cc00,4532883:4532902|offset_24|444444,4532915:4532934|offset_56|444444,4532941:4532960|offset_82|444444&amp;v=4532659:4533160&amp;c=444444", "offset 1")</f>
        <v>offset 1</v>
      </c>
    </row>
    <row r="14675" customFormat="false" ht="12.8" hidden="false" customHeight="false" outlineLevel="0" collapsed="false">
      <c r="A14675" s="0" t="s">
        <v>12</v>
      </c>
      <c r="B14675" s="0" t="n">
        <v>4532882</v>
      </c>
      <c r="C14675" s="0" t="n">
        <v>4532902</v>
      </c>
      <c r="D14675" s="0" t="s">
        <v>48764</v>
      </c>
      <c r="E14675" s="0" t="s">
        <v>75</v>
      </c>
      <c r="F14675" s="0" t="s">
        <v>15</v>
      </c>
      <c r="G14675" s="0" t="s">
        <v>16</v>
      </c>
      <c r="H14675" s="0" t="n">
        <v>24</v>
      </c>
      <c r="I14675" s="0" t="s">
        <v>48768</v>
      </c>
      <c r="J14675" s="0" t="s">
        <v>48769</v>
      </c>
      <c r="K14675" s="0" t="s">
        <v>48770</v>
      </c>
      <c r="L14675" s="0" t="str">
        <f aca="false">HYPERLINK("https://www.ncbi.nlm.nih.gov/nuccore/CP000058.1?report=graph&amp;tracks=[key:gene_model_track,Options:GeneOnly]&amp;mk=4532860:4532879|offset_1|444444,4532883:4532902|offset_24|00cc00,4532915:4532934|offset_56|444444,4532941:4532960|offset_82|444444&amp;v=4532659:4533160&amp;c=444444", "offset 24")</f>
        <v>offset 24</v>
      </c>
    </row>
    <row r="14676" customFormat="false" ht="12.8" hidden="false" customHeight="false" outlineLevel="0" collapsed="false">
      <c r="A14676" s="0" t="s">
        <v>12</v>
      </c>
      <c r="B14676" s="0" t="n">
        <v>4532914</v>
      </c>
      <c r="C14676" s="0" t="n">
        <v>4532934</v>
      </c>
      <c r="D14676" s="0" t="s">
        <v>48764</v>
      </c>
      <c r="E14676" s="0" t="s">
        <v>75</v>
      </c>
      <c r="F14676" s="0" t="s">
        <v>15</v>
      </c>
      <c r="G14676" s="0" t="s">
        <v>20</v>
      </c>
      <c r="H14676" s="0" t="n">
        <v>56</v>
      </c>
      <c r="I14676" s="0" t="s">
        <v>48771</v>
      </c>
      <c r="J14676" s="0" t="s">
        <v>48772</v>
      </c>
      <c r="K14676" s="0" t="s">
        <v>48773</v>
      </c>
      <c r="L14676" s="0" t="str">
        <f aca="false">HYPERLINK("https://www.ncbi.nlm.nih.gov/nuccore/CP000058.1?report=graph&amp;tracks=[key:gene_model_track,Options:GeneOnly]&amp;mk=4532860:4532879|offset_1|444444,4532883:4532902|offset_24|444444,4532915:4532934|offset_56|00cc00,4532941:4532960|offset_82|444444&amp;v=4532659:4533160&amp;c=444444", "offset 56")</f>
        <v>offset 56</v>
      </c>
    </row>
    <row r="14677" customFormat="false" ht="12.8" hidden="false" customHeight="false" outlineLevel="0" collapsed="false">
      <c r="A14677" s="0" t="s">
        <v>12</v>
      </c>
      <c r="B14677" s="0" t="n">
        <v>4532940</v>
      </c>
      <c r="C14677" s="0" t="n">
        <v>4532960</v>
      </c>
      <c r="D14677" s="0" t="s">
        <v>48764</v>
      </c>
      <c r="E14677" s="0" t="s">
        <v>75</v>
      </c>
      <c r="F14677" s="0" t="s">
        <v>15</v>
      </c>
      <c r="G14677" s="0" t="s">
        <v>20</v>
      </c>
      <c r="H14677" s="0" t="n">
        <v>82</v>
      </c>
      <c r="I14677" s="0" t="s">
        <v>48774</v>
      </c>
      <c r="J14677" s="0" t="s">
        <v>48775</v>
      </c>
      <c r="K14677" s="0" t="s">
        <v>48776</v>
      </c>
      <c r="L14677" s="0" t="str">
        <f aca="false">HYPERLINK("https://www.ncbi.nlm.nih.gov/nuccore/CP000058.1?report=graph&amp;tracks=[key:gene_model_track,Options:GeneOnly]&amp;mk=4532860:4532879|offset_1|444444,4532883:4532902|offset_24|444444,4532915:4532934|offset_56|444444,4532941:4532960|offset_82|00cc00&amp;v=4532659:4533160&amp;c=444444", "offset 82")</f>
        <v>offset 82</v>
      </c>
    </row>
    <row r="14678" customFormat="false" ht="12.8" hidden="false" customHeight="false" outlineLevel="0" collapsed="false">
      <c r="A14678" s="0" t="s">
        <v>12</v>
      </c>
      <c r="B14678" s="0" t="n">
        <v>4533735</v>
      </c>
      <c r="C14678" s="0" t="n">
        <v>4533755</v>
      </c>
      <c r="D14678" s="0" t="s">
        <v>48777</v>
      </c>
      <c r="E14678" s="0" t="s">
        <v>75</v>
      </c>
      <c r="F14678" s="0" t="s">
        <v>15</v>
      </c>
      <c r="G14678" s="0" t="s">
        <v>20</v>
      </c>
      <c r="H14678" s="0" t="n">
        <v>50</v>
      </c>
      <c r="I14678" s="0" t="s">
        <v>48778</v>
      </c>
      <c r="J14678" s="0" t="s">
        <v>48779</v>
      </c>
      <c r="K14678" s="0" t="s">
        <v>48780</v>
      </c>
      <c r="L14678" s="0" t="str">
        <f aca="false">HYPERLINK("https://www.ncbi.nlm.nih.gov/nuccore/CP000058.1?report=graph&amp;tracks=[key:gene_model_track,Options:GeneOnly]&amp;mk=4533736:4533755|offset_50|00cc00,4533814:4533833|offset_128|444444,4533836:4533855|offset_150|444444,4533870:4533889|offset_184|444444&amp;v=4533535:4534089&amp;c=444444", "offset 50")</f>
        <v>offset 50</v>
      </c>
    </row>
    <row r="14679" customFormat="false" ht="12.8" hidden="false" customHeight="false" outlineLevel="0" collapsed="false">
      <c r="A14679" s="0" t="s">
        <v>12</v>
      </c>
      <c r="B14679" s="0" t="n">
        <v>4533813</v>
      </c>
      <c r="C14679" s="0" t="n">
        <v>4533833</v>
      </c>
      <c r="D14679" s="0" t="s">
        <v>48777</v>
      </c>
      <c r="E14679" s="0" t="s">
        <v>75</v>
      </c>
      <c r="F14679" s="0" t="s">
        <v>15</v>
      </c>
      <c r="G14679" s="0" t="s">
        <v>20</v>
      </c>
      <c r="H14679" s="0" t="n">
        <v>128</v>
      </c>
      <c r="I14679" s="0" t="s">
        <v>48781</v>
      </c>
      <c r="J14679" s="0" t="s">
        <v>48782</v>
      </c>
      <c r="K14679" s="0" t="s">
        <v>48783</v>
      </c>
      <c r="L14679" s="0" t="str">
        <f aca="false">HYPERLINK("https://www.ncbi.nlm.nih.gov/nuccore/CP000058.1?report=graph&amp;tracks=[key:gene_model_track,Options:GeneOnly]&amp;mk=4533736:4533755|offset_50|444444,4533814:4533833|offset_128|00cc00,4533836:4533855|offset_150|444444,4533870:4533889|offset_184|444444&amp;v=4533535:4534089&amp;c=444444", "offset 128")</f>
        <v>offset 128</v>
      </c>
    </row>
    <row r="14680" customFormat="false" ht="12.8" hidden="false" customHeight="false" outlineLevel="0" collapsed="false">
      <c r="A14680" s="0" t="s">
        <v>12</v>
      </c>
      <c r="B14680" s="0" t="n">
        <v>4533835</v>
      </c>
      <c r="C14680" s="0" t="n">
        <v>4533855</v>
      </c>
      <c r="D14680" s="0" t="s">
        <v>48777</v>
      </c>
      <c r="E14680" s="0" t="s">
        <v>75</v>
      </c>
      <c r="F14680" s="0" t="s">
        <v>15</v>
      </c>
      <c r="G14680" s="0" t="s">
        <v>16</v>
      </c>
      <c r="H14680" s="0" t="n">
        <v>150</v>
      </c>
      <c r="I14680" s="0" t="s">
        <v>48784</v>
      </c>
      <c r="J14680" s="0" t="s">
        <v>48785</v>
      </c>
      <c r="K14680" s="0" t="s">
        <v>48786</v>
      </c>
      <c r="L14680" s="0" t="str">
        <f aca="false">HYPERLINK("https://www.ncbi.nlm.nih.gov/nuccore/CP000058.1?report=graph&amp;tracks=[key:gene_model_track,Options:GeneOnly]&amp;mk=4533736:4533755|offset_50|444444,4533814:4533833|offset_128|444444,4533836:4533855|offset_150|00cc00,4533870:4533889|offset_184|444444&amp;v=4533535:4534089&amp;c=444444", "offset 150")</f>
        <v>offset 150</v>
      </c>
    </row>
    <row r="14681" customFormat="false" ht="12.8" hidden="false" customHeight="false" outlineLevel="0" collapsed="false">
      <c r="A14681" s="0" t="s">
        <v>12</v>
      </c>
      <c r="B14681" s="0" t="n">
        <v>4533869</v>
      </c>
      <c r="C14681" s="0" t="n">
        <v>4533889</v>
      </c>
      <c r="D14681" s="0" t="s">
        <v>48777</v>
      </c>
      <c r="E14681" s="0" t="s">
        <v>75</v>
      </c>
      <c r="F14681" s="0" t="s">
        <v>15</v>
      </c>
      <c r="G14681" s="0" t="s">
        <v>36</v>
      </c>
      <c r="H14681" s="0" t="n">
        <v>184</v>
      </c>
      <c r="I14681" s="0" t="s">
        <v>48787</v>
      </c>
      <c r="J14681" s="0" t="s">
        <v>48788</v>
      </c>
      <c r="K14681" s="0" t="s">
        <v>48789</v>
      </c>
      <c r="L14681" s="0" t="str">
        <f aca="false">HYPERLINK("https://www.ncbi.nlm.nih.gov/nuccore/CP000058.1?report=graph&amp;tracks=[key:gene_model_track,Options:GeneOnly]&amp;mk=4533736:4533755|offset_50|444444,4533814:4533833|offset_128|444444,4533836:4533855|offset_150|444444,4533870:4533889|offset_184|00cc00&amp;v=4533535:4534089&amp;c=444444", "offset 184")</f>
        <v>offset 184</v>
      </c>
    </row>
    <row r="14682" customFormat="false" ht="12.8" hidden="false" customHeight="false" outlineLevel="0" collapsed="false">
      <c r="A14682" s="0" t="s">
        <v>12</v>
      </c>
      <c r="B14682" s="0" t="n">
        <v>4535224</v>
      </c>
      <c r="C14682" s="0" t="n">
        <v>4535244</v>
      </c>
      <c r="D14682" s="0" t="s">
        <v>48790</v>
      </c>
      <c r="E14682" s="0" t="s">
        <v>75</v>
      </c>
      <c r="F14682" s="0" t="s">
        <v>15</v>
      </c>
      <c r="G14682" s="0" t="s">
        <v>32</v>
      </c>
      <c r="H14682" s="0" t="n">
        <v>37</v>
      </c>
      <c r="I14682" s="0" t="s">
        <v>48791</v>
      </c>
      <c r="J14682" s="0" t="s">
        <v>48792</v>
      </c>
      <c r="K14682" s="0" t="s">
        <v>48793</v>
      </c>
      <c r="L14682" s="0" t="str">
        <f aca="false">HYPERLINK("https://www.ncbi.nlm.nih.gov/nuccore/CP000058.1?report=graph&amp;tracks=[key:gene_model_track,Options:GeneOnly]&amp;mk=4535225:4535244|offset_37|00cc00,4535247:4535266|offset_59|444444,4535273:4535292|offset_85|444444,4535301:4535320|offset_113|444444&amp;v=4535024:4535520&amp;c=444444", "offset 37")</f>
        <v>offset 37</v>
      </c>
    </row>
    <row r="14683" customFormat="false" ht="12.8" hidden="false" customHeight="false" outlineLevel="0" collapsed="false">
      <c r="A14683" s="0" t="s">
        <v>12</v>
      </c>
      <c r="B14683" s="0" t="n">
        <v>4535246</v>
      </c>
      <c r="C14683" s="0" t="n">
        <v>4535266</v>
      </c>
      <c r="D14683" s="0" t="s">
        <v>48790</v>
      </c>
      <c r="E14683" s="0" t="s">
        <v>75</v>
      </c>
      <c r="F14683" s="0" t="s">
        <v>15</v>
      </c>
      <c r="G14683" s="0" t="s">
        <v>20</v>
      </c>
      <c r="H14683" s="0" t="n">
        <v>59</v>
      </c>
      <c r="I14683" s="0" t="s">
        <v>48794</v>
      </c>
      <c r="J14683" s="0" t="s">
        <v>48795</v>
      </c>
      <c r="K14683" s="0" t="s">
        <v>48796</v>
      </c>
      <c r="L14683" s="0" t="str">
        <f aca="false">HYPERLINK("https://www.ncbi.nlm.nih.gov/nuccore/CP000058.1?report=graph&amp;tracks=[key:gene_model_track,Options:GeneOnly]&amp;mk=4535225:4535244|offset_37|444444,4535247:4535266|offset_59|00cc00,4535273:4535292|offset_85|444444,4535301:4535320|offset_113|444444&amp;v=4535024:4535520&amp;c=444444", "offset 59")</f>
        <v>offset 59</v>
      </c>
    </row>
    <row r="14684" customFormat="false" ht="12.8" hidden="false" customHeight="false" outlineLevel="0" collapsed="false">
      <c r="A14684" s="0" t="s">
        <v>12</v>
      </c>
      <c r="B14684" s="0" t="n">
        <v>4535272</v>
      </c>
      <c r="C14684" s="0" t="n">
        <v>4535292</v>
      </c>
      <c r="D14684" s="0" t="s">
        <v>48790</v>
      </c>
      <c r="E14684" s="0" t="s">
        <v>75</v>
      </c>
      <c r="F14684" s="0" t="s">
        <v>15</v>
      </c>
      <c r="G14684" s="0" t="s">
        <v>16</v>
      </c>
      <c r="H14684" s="0" t="n">
        <v>85</v>
      </c>
      <c r="I14684" s="0" t="s">
        <v>48797</v>
      </c>
      <c r="J14684" s="0" t="s">
        <v>48798</v>
      </c>
      <c r="K14684" s="0" t="s">
        <v>48799</v>
      </c>
      <c r="L14684" s="0" t="str">
        <f aca="false">HYPERLINK("https://www.ncbi.nlm.nih.gov/nuccore/CP000058.1?report=graph&amp;tracks=[key:gene_model_track,Options:GeneOnly]&amp;mk=4535225:4535244|offset_37|444444,4535247:4535266|offset_59|444444,4535273:4535292|offset_85|00cc00,4535301:4535320|offset_113|444444&amp;v=4535024:4535520&amp;c=444444", "offset 85")</f>
        <v>offset 85</v>
      </c>
    </row>
    <row r="14685" customFormat="false" ht="12.8" hidden="false" customHeight="false" outlineLevel="0" collapsed="false">
      <c r="A14685" s="0" t="s">
        <v>12</v>
      </c>
      <c r="B14685" s="0" t="n">
        <v>4535300</v>
      </c>
      <c r="C14685" s="0" t="n">
        <v>4535320</v>
      </c>
      <c r="D14685" s="0" t="s">
        <v>48790</v>
      </c>
      <c r="E14685" s="0" t="s">
        <v>75</v>
      </c>
      <c r="F14685" s="0" t="s">
        <v>15</v>
      </c>
      <c r="G14685" s="0" t="s">
        <v>32</v>
      </c>
      <c r="H14685" s="0" t="n">
        <v>113</v>
      </c>
      <c r="I14685" s="0" t="s">
        <v>48800</v>
      </c>
      <c r="J14685" s="0" t="s">
        <v>48801</v>
      </c>
      <c r="K14685" s="0" t="s">
        <v>48802</v>
      </c>
      <c r="L14685" s="0" t="str">
        <f aca="false">HYPERLINK("https://www.ncbi.nlm.nih.gov/nuccore/CP000058.1?report=graph&amp;tracks=[key:gene_model_track,Options:GeneOnly]&amp;mk=4535225:4535244|offset_37|444444,4535247:4535266|offset_59|444444,4535273:4535292|offset_85|444444,4535301:4535320|offset_113|00cc00&amp;v=4535024:4535520&amp;c=444444", "offset 113")</f>
        <v>offset 113</v>
      </c>
    </row>
    <row r="14686" customFormat="false" ht="12.8" hidden="false" customHeight="false" outlineLevel="0" collapsed="false">
      <c r="A14686" s="0" t="s">
        <v>12</v>
      </c>
      <c r="B14686" s="0" t="n">
        <v>4535915</v>
      </c>
      <c r="C14686" s="0" t="n">
        <v>4535935</v>
      </c>
      <c r="D14686" s="0" t="s">
        <v>48803</v>
      </c>
      <c r="E14686" s="0" t="s">
        <v>75</v>
      </c>
      <c r="F14686" s="0" t="s">
        <v>15</v>
      </c>
      <c r="G14686" s="0" t="s">
        <v>32</v>
      </c>
      <c r="H14686" s="0" t="n">
        <v>1</v>
      </c>
      <c r="I14686" s="0" t="s">
        <v>48804</v>
      </c>
      <c r="J14686" s="0" t="s">
        <v>48805</v>
      </c>
      <c r="K14686" s="0" t="s">
        <v>48806</v>
      </c>
      <c r="L14686" s="0" t="str">
        <f aca="false">HYPERLINK("https://www.ncbi.nlm.nih.gov/nuccore/CP000058.1?report=graph&amp;tracks=[key:gene_model_track,Options:GeneOnly]&amp;mk=4535916:4535935|offset_1|00cc00,4535940:4535959|offset_25|444444,4535962:4535981|offset_47|444444,4536015:4536034|offset_100|444444&amp;v=4535715:4536234&amp;c=444444", "offset 1")</f>
        <v>offset 1</v>
      </c>
    </row>
    <row r="14687" customFormat="false" ht="12.8" hidden="false" customHeight="false" outlineLevel="0" collapsed="false">
      <c r="A14687" s="0" t="s">
        <v>12</v>
      </c>
      <c r="B14687" s="0" t="n">
        <v>4535939</v>
      </c>
      <c r="C14687" s="0" t="n">
        <v>4535959</v>
      </c>
      <c r="D14687" s="0" t="s">
        <v>48803</v>
      </c>
      <c r="E14687" s="0" t="s">
        <v>75</v>
      </c>
      <c r="F14687" s="0" t="s">
        <v>15</v>
      </c>
      <c r="G14687" s="0" t="s">
        <v>32</v>
      </c>
      <c r="H14687" s="0" t="n">
        <v>25</v>
      </c>
      <c r="I14687" s="0" t="s">
        <v>48807</v>
      </c>
      <c r="J14687" s="0" t="s">
        <v>48808</v>
      </c>
      <c r="K14687" s="0" t="s">
        <v>48809</v>
      </c>
      <c r="L14687" s="0" t="str">
        <f aca="false">HYPERLINK("https://www.ncbi.nlm.nih.gov/nuccore/CP000058.1?report=graph&amp;tracks=[key:gene_model_track,Options:GeneOnly]&amp;mk=4535916:4535935|offset_1|444444,4535940:4535959|offset_25|00cc00,4535962:4535981|offset_47|444444,4536015:4536034|offset_100|444444&amp;v=4535715:4536234&amp;c=444444", "offset 25")</f>
        <v>offset 25</v>
      </c>
    </row>
    <row r="14688" customFormat="false" ht="12.8" hidden="false" customHeight="false" outlineLevel="0" collapsed="false">
      <c r="A14688" s="0" t="s">
        <v>12</v>
      </c>
      <c r="B14688" s="0" t="n">
        <v>4535961</v>
      </c>
      <c r="C14688" s="0" t="n">
        <v>4535981</v>
      </c>
      <c r="D14688" s="0" t="s">
        <v>48803</v>
      </c>
      <c r="E14688" s="0" t="s">
        <v>75</v>
      </c>
      <c r="F14688" s="0" t="s">
        <v>15</v>
      </c>
      <c r="G14688" s="0" t="s">
        <v>16</v>
      </c>
      <c r="H14688" s="0" t="n">
        <v>47</v>
      </c>
      <c r="I14688" s="0" t="s">
        <v>48810</v>
      </c>
      <c r="J14688" s="0" t="s">
        <v>48811</v>
      </c>
      <c r="K14688" s="0" t="s">
        <v>48812</v>
      </c>
      <c r="L14688" s="0" t="str">
        <f aca="false">HYPERLINK("https://www.ncbi.nlm.nih.gov/nuccore/CP000058.1?report=graph&amp;tracks=[key:gene_model_track,Options:GeneOnly]&amp;mk=4535916:4535935|offset_1|444444,4535940:4535959|offset_25|444444,4535962:4535981|offset_47|00cc00,4536015:4536034|offset_100|444444&amp;v=4535715:4536234&amp;c=444444", "offset 47")</f>
        <v>offset 47</v>
      </c>
    </row>
    <row r="14689" customFormat="false" ht="12.8" hidden="false" customHeight="false" outlineLevel="0" collapsed="false">
      <c r="A14689" s="0" t="s">
        <v>12</v>
      </c>
      <c r="B14689" s="0" t="n">
        <v>4536014</v>
      </c>
      <c r="C14689" s="0" t="n">
        <v>4536034</v>
      </c>
      <c r="D14689" s="0" t="s">
        <v>48803</v>
      </c>
      <c r="E14689" s="0" t="s">
        <v>75</v>
      </c>
      <c r="F14689" s="0" t="s">
        <v>15</v>
      </c>
      <c r="G14689" s="0" t="s">
        <v>16</v>
      </c>
      <c r="H14689" s="0" t="n">
        <v>100</v>
      </c>
      <c r="I14689" s="0" t="s">
        <v>48813</v>
      </c>
      <c r="J14689" s="0" t="s">
        <v>48814</v>
      </c>
      <c r="K14689" s="0" t="s">
        <v>48815</v>
      </c>
      <c r="L14689" s="0" t="str">
        <f aca="false">HYPERLINK("https://www.ncbi.nlm.nih.gov/nuccore/CP000058.1?report=graph&amp;tracks=[key:gene_model_track,Options:GeneOnly]&amp;mk=4535916:4535935|offset_1|444444,4535940:4535959|offset_25|444444,4535962:4535981|offset_47|444444,4536015:4536034|offset_100|00cc00&amp;v=4535715:4536234&amp;c=444444", "offset 100")</f>
        <v>offset 100</v>
      </c>
    </row>
    <row r="14690" customFormat="false" ht="12.8" hidden="false" customHeight="false" outlineLevel="0" collapsed="false">
      <c r="A14690" s="0" t="s">
        <v>12</v>
      </c>
      <c r="B14690" s="0" t="n">
        <v>4539771</v>
      </c>
      <c r="C14690" s="0" t="n">
        <v>4539791</v>
      </c>
      <c r="D14690" s="0" t="s">
        <v>48816</v>
      </c>
      <c r="E14690" s="0" t="s">
        <v>75</v>
      </c>
      <c r="F14690" s="0" t="s">
        <v>15</v>
      </c>
      <c r="G14690" s="0" t="s">
        <v>36</v>
      </c>
      <c r="H14690" s="0" t="n">
        <v>21</v>
      </c>
      <c r="I14690" s="0" t="s">
        <v>48817</v>
      </c>
      <c r="J14690" s="0" t="s">
        <v>48818</v>
      </c>
      <c r="K14690" s="0" t="s">
        <v>48819</v>
      </c>
      <c r="L14690" s="0" t="str">
        <f aca="false">HYPERLINK("https://www.ncbi.nlm.nih.gov/nuccore/CP000058.1?report=graph&amp;tracks=[key:gene_model_track,Options:GeneOnly]&amp;mk=4539772:4539791|offset_21|00cc00,4539794:4539813|offset_43|444444,4539815:4539834|offset_64|444444,4539863:4539882|offset_112|444444&amp;v=4539571:4540082&amp;c=444444", "offset 21")</f>
        <v>offset 21</v>
      </c>
    </row>
    <row r="14691" customFormat="false" ht="12.8" hidden="false" customHeight="false" outlineLevel="0" collapsed="false">
      <c r="A14691" s="0" t="s">
        <v>12</v>
      </c>
      <c r="B14691" s="0" t="n">
        <v>4539793</v>
      </c>
      <c r="C14691" s="0" t="n">
        <v>4539813</v>
      </c>
      <c r="D14691" s="0" t="s">
        <v>48816</v>
      </c>
      <c r="E14691" s="0" t="s">
        <v>75</v>
      </c>
      <c r="F14691" s="0" t="s">
        <v>15</v>
      </c>
      <c r="G14691" s="0" t="s">
        <v>16</v>
      </c>
      <c r="H14691" s="0" t="n">
        <v>43</v>
      </c>
      <c r="I14691" s="0" t="s">
        <v>48820</v>
      </c>
      <c r="J14691" s="0" t="s">
        <v>48821</v>
      </c>
      <c r="K14691" s="0" t="s">
        <v>48822</v>
      </c>
      <c r="L14691" s="0" t="str">
        <f aca="false">HYPERLINK("https://www.ncbi.nlm.nih.gov/nuccore/CP000058.1?report=graph&amp;tracks=[key:gene_model_track,Options:GeneOnly]&amp;mk=4539772:4539791|offset_21|444444,4539794:4539813|offset_43|00cc00,4539815:4539834|offset_64|444444,4539863:4539882|offset_112|444444&amp;v=4539571:4540082&amp;c=444444", "offset 43")</f>
        <v>offset 43</v>
      </c>
    </row>
    <row r="14692" customFormat="false" ht="12.8" hidden="false" customHeight="false" outlineLevel="0" collapsed="false">
      <c r="A14692" s="0" t="s">
        <v>12</v>
      </c>
      <c r="B14692" s="0" t="n">
        <v>4539814</v>
      </c>
      <c r="C14692" s="0" t="n">
        <v>4539834</v>
      </c>
      <c r="D14692" s="0" t="s">
        <v>48816</v>
      </c>
      <c r="E14692" s="0" t="s">
        <v>75</v>
      </c>
      <c r="F14692" s="0" t="s">
        <v>15</v>
      </c>
      <c r="G14692" s="0" t="s">
        <v>16</v>
      </c>
      <c r="H14692" s="0" t="n">
        <v>64</v>
      </c>
      <c r="I14692" s="0" t="s">
        <v>48823</v>
      </c>
      <c r="J14692" s="0" t="s">
        <v>48824</v>
      </c>
      <c r="K14692" s="0" t="s">
        <v>48825</v>
      </c>
      <c r="L14692" s="0" t="str">
        <f aca="false">HYPERLINK("https://www.ncbi.nlm.nih.gov/nuccore/CP000058.1?report=graph&amp;tracks=[key:gene_model_track,Options:GeneOnly]&amp;mk=4539772:4539791|offset_21|444444,4539794:4539813|offset_43|444444,4539815:4539834|offset_64|00cc00,4539863:4539882|offset_112|444444&amp;v=4539571:4540082&amp;c=444444", "offset 64")</f>
        <v>offset 64</v>
      </c>
    </row>
    <row r="14693" customFormat="false" ht="12.8" hidden="false" customHeight="false" outlineLevel="0" collapsed="false">
      <c r="A14693" s="0" t="s">
        <v>12</v>
      </c>
      <c r="B14693" s="0" t="n">
        <v>4539862</v>
      </c>
      <c r="C14693" s="0" t="n">
        <v>4539882</v>
      </c>
      <c r="D14693" s="0" t="s">
        <v>48816</v>
      </c>
      <c r="E14693" s="0" t="s">
        <v>75</v>
      </c>
      <c r="F14693" s="0" t="s">
        <v>15</v>
      </c>
      <c r="G14693" s="0" t="s">
        <v>16</v>
      </c>
      <c r="H14693" s="0" t="n">
        <v>112</v>
      </c>
      <c r="I14693" s="0" t="s">
        <v>48826</v>
      </c>
      <c r="J14693" s="0" t="s">
        <v>48827</v>
      </c>
      <c r="K14693" s="0" t="s">
        <v>48828</v>
      </c>
      <c r="L14693" s="0" t="str">
        <f aca="false">HYPERLINK("https://www.ncbi.nlm.nih.gov/nuccore/CP000058.1?report=graph&amp;tracks=[key:gene_model_track,Options:GeneOnly]&amp;mk=4539772:4539791|offset_21|444444,4539794:4539813|offset_43|444444,4539815:4539834|offset_64|444444,4539863:4539882|offset_112|00cc00&amp;v=4539571:4540082&amp;c=444444", "offset 112")</f>
        <v>offset 112</v>
      </c>
    </row>
    <row r="14694" customFormat="false" ht="12.8" hidden="false" customHeight="false" outlineLevel="0" collapsed="false">
      <c r="A14694" s="0" t="s">
        <v>12</v>
      </c>
      <c r="B14694" s="0" t="n">
        <v>4542975</v>
      </c>
      <c r="C14694" s="0" t="n">
        <v>4542995</v>
      </c>
      <c r="D14694" s="0" t="s">
        <v>48829</v>
      </c>
      <c r="E14694" s="0" t="s">
        <v>75</v>
      </c>
      <c r="F14694" s="0" t="s">
        <v>15</v>
      </c>
      <c r="G14694" s="0" t="s">
        <v>20</v>
      </c>
      <c r="H14694" s="0" t="n">
        <v>40</v>
      </c>
      <c r="I14694" s="0" t="s">
        <v>48830</v>
      </c>
      <c r="J14694" s="0" t="s">
        <v>48831</v>
      </c>
      <c r="K14694" s="0" t="s">
        <v>48832</v>
      </c>
      <c r="L14694" s="0" t="str">
        <f aca="false">HYPERLINK("https://www.ncbi.nlm.nih.gov/nuccore/CP000058.1?report=graph&amp;tracks=[key:gene_model_track,Options:GeneOnly]&amp;mk=4542976:4542995|offset_40|00cc00,4543022:4543041|offset_86|444444,4543046:4543065|offset_110|444444,4543094:4543113|offset_158|444444&amp;v=4542775:4543313&amp;c=444444", "offset 40")</f>
        <v>offset 40</v>
      </c>
    </row>
    <row r="14695" customFormat="false" ht="12.8" hidden="false" customHeight="false" outlineLevel="0" collapsed="false">
      <c r="A14695" s="0" t="s">
        <v>12</v>
      </c>
      <c r="B14695" s="0" t="n">
        <v>4543021</v>
      </c>
      <c r="C14695" s="0" t="n">
        <v>4543041</v>
      </c>
      <c r="D14695" s="0" t="s">
        <v>48829</v>
      </c>
      <c r="E14695" s="0" t="s">
        <v>75</v>
      </c>
      <c r="F14695" s="0" t="s">
        <v>15</v>
      </c>
      <c r="G14695" s="0" t="s">
        <v>16</v>
      </c>
      <c r="H14695" s="0" t="n">
        <v>86</v>
      </c>
      <c r="I14695" s="0" t="s">
        <v>48833</v>
      </c>
      <c r="J14695" s="0" t="s">
        <v>48834</v>
      </c>
      <c r="K14695" s="0" t="s">
        <v>48835</v>
      </c>
      <c r="L14695" s="0" t="str">
        <f aca="false">HYPERLINK("https://www.ncbi.nlm.nih.gov/nuccore/CP000058.1?report=graph&amp;tracks=[key:gene_model_track,Options:GeneOnly]&amp;mk=4542976:4542995|offset_40|444444,4543022:4543041|offset_86|00cc00,4543046:4543065|offset_110|444444,4543094:4543113|offset_158|444444&amp;v=4542775:4543313&amp;c=444444", "offset 86")</f>
        <v>offset 86</v>
      </c>
    </row>
    <row r="14696" customFormat="false" ht="12.8" hidden="false" customHeight="false" outlineLevel="0" collapsed="false">
      <c r="A14696" s="0" t="s">
        <v>12</v>
      </c>
      <c r="B14696" s="0" t="n">
        <v>4543045</v>
      </c>
      <c r="C14696" s="0" t="n">
        <v>4543065</v>
      </c>
      <c r="D14696" s="0" t="s">
        <v>48829</v>
      </c>
      <c r="E14696" s="0" t="s">
        <v>75</v>
      </c>
      <c r="F14696" s="0" t="s">
        <v>15</v>
      </c>
      <c r="G14696" s="0" t="s">
        <v>16</v>
      </c>
      <c r="H14696" s="0" t="n">
        <v>110</v>
      </c>
      <c r="I14696" s="0" t="s">
        <v>48836</v>
      </c>
      <c r="J14696" s="0" t="s">
        <v>48837</v>
      </c>
      <c r="K14696" s="0" t="s">
        <v>48838</v>
      </c>
      <c r="L14696" s="0" t="str">
        <f aca="false">HYPERLINK("https://www.ncbi.nlm.nih.gov/nuccore/CP000058.1?report=graph&amp;tracks=[key:gene_model_track,Options:GeneOnly]&amp;mk=4542976:4542995|offset_40|444444,4543022:4543041|offset_86|444444,4543046:4543065|offset_110|00cc00,4543094:4543113|offset_158|444444&amp;v=4542775:4543313&amp;c=444444", "offset 110")</f>
        <v>offset 110</v>
      </c>
    </row>
    <row r="14697" customFormat="false" ht="12.8" hidden="false" customHeight="false" outlineLevel="0" collapsed="false">
      <c r="A14697" s="0" t="s">
        <v>12</v>
      </c>
      <c r="B14697" s="0" t="n">
        <v>4543093</v>
      </c>
      <c r="C14697" s="0" t="n">
        <v>4543113</v>
      </c>
      <c r="D14697" s="0" t="s">
        <v>48829</v>
      </c>
      <c r="E14697" s="0" t="s">
        <v>75</v>
      </c>
      <c r="F14697" s="0" t="s">
        <v>15</v>
      </c>
      <c r="G14697" s="0" t="s">
        <v>36</v>
      </c>
      <c r="H14697" s="0" t="n">
        <v>158</v>
      </c>
      <c r="I14697" s="0" t="s">
        <v>48839</v>
      </c>
      <c r="J14697" s="0" t="s">
        <v>48840</v>
      </c>
      <c r="K14697" s="0" t="s">
        <v>48841</v>
      </c>
      <c r="L14697" s="0" t="str">
        <f aca="false">HYPERLINK("https://www.ncbi.nlm.nih.gov/nuccore/CP000058.1?report=graph&amp;tracks=[key:gene_model_track,Options:GeneOnly]&amp;mk=4542976:4542995|offset_40|444444,4543022:4543041|offset_86|444444,4543046:4543065|offset_110|444444,4543094:4543113|offset_158|00cc00&amp;v=4542775:4543313&amp;c=444444", "offset 158")</f>
        <v>offset 158</v>
      </c>
    </row>
    <row r="14698" customFormat="false" ht="12.8" hidden="false" customHeight="false" outlineLevel="0" collapsed="false">
      <c r="A14698" s="0" t="s">
        <v>12</v>
      </c>
      <c r="B14698" s="0" t="n">
        <v>4545656</v>
      </c>
      <c r="C14698" s="0" t="n">
        <v>4545676</v>
      </c>
      <c r="D14698" s="0" t="s">
        <v>48842</v>
      </c>
      <c r="E14698" s="0" t="s">
        <v>75</v>
      </c>
      <c r="F14698" s="0" t="s">
        <v>15</v>
      </c>
      <c r="G14698" s="0" t="s">
        <v>32</v>
      </c>
      <c r="H14698" s="0" t="n">
        <v>1</v>
      </c>
      <c r="I14698" s="0" t="s">
        <v>48843</v>
      </c>
      <c r="J14698" s="0" t="s">
        <v>48844</v>
      </c>
      <c r="K14698" s="0" t="s">
        <v>48845</v>
      </c>
      <c r="L14698" s="0" t="str">
        <f aca="false">HYPERLINK("https://www.ncbi.nlm.nih.gov/nuccore/CP000058.1?report=graph&amp;tracks=[key:gene_model_track,Options:GeneOnly]&amp;mk=4545657:4545676|offset_1|00cc00,4545679:4545698|offset_23|444444,4545700:4545719|offset_44|444444,4545738:4545757|offset_82|444444&amp;v=4545456:4545957&amp;c=444444", "offset 1")</f>
        <v>offset 1</v>
      </c>
    </row>
    <row r="14699" customFormat="false" ht="12.8" hidden="false" customHeight="false" outlineLevel="0" collapsed="false">
      <c r="A14699" s="0" t="s">
        <v>12</v>
      </c>
      <c r="B14699" s="0" t="n">
        <v>4545678</v>
      </c>
      <c r="C14699" s="0" t="n">
        <v>4545698</v>
      </c>
      <c r="D14699" s="0" t="s">
        <v>48842</v>
      </c>
      <c r="E14699" s="0" t="s">
        <v>75</v>
      </c>
      <c r="F14699" s="0" t="s">
        <v>15</v>
      </c>
      <c r="G14699" s="0" t="s">
        <v>36</v>
      </c>
      <c r="H14699" s="0" t="n">
        <v>23</v>
      </c>
      <c r="I14699" s="0" t="s">
        <v>48846</v>
      </c>
      <c r="J14699" s="0" t="s">
        <v>48847</v>
      </c>
      <c r="K14699" s="0" t="s">
        <v>48848</v>
      </c>
      <c r="L14699" s="0" t="str">
        <f aca="false">HYPERLINK("https://www.ncbi.nlm.nih.gov/nuccore/CP000058.1?report=graph&amp;tracks=[key:gene_model_track,Options:GeneOnly]&amp;mk=4545657:4545676|offset_1|444444,4545679:4545698|offset_23|00cc00,4545700:4545719|offset_44|444444,4545738:4545757|offset_82|444444&amp;v=4545456:4545957&amp;c=444444", "offset 23")</f>
        <v>offset 23</v>
      </c>
    </row>
    <row r="14700" customFormat="false" ht="12.8" hidden="false" customHeight="false" outlineLevel="0" collapsed="false">
      <c r="A14700" s="0" t="s">
        <v>12</v>
      </c>
      <c r="B14700" s="0" t="n">
        <v>4545699</v>
      </c>
      <c r="C14700" s="0" t="n">
        <v>4545719</v>
      </c>
      <c r="D14700" s="0" t="s">
        <v>48842</v>
      </c>
      <c r="E14700" s="0" t="s">
        <v>75</v>
      </c>
      <c r="F14700" s="0" t="s">
        <v>15</v>
      </c>
      <c r="G14700" s="0" t="s">
        <v>32</v>
      </c>
      <c r="H14700" s="0" t="n">
        <v>44</v>
      </c>
      <c r="I14700" s="0" t="s">
        <v>48849</v>
      </c>
      <c r="J14700" s="0" t="s">
        <v>48850</v>
      </c>
      <c r="K14700" s="0" t="s">
        <v>48851</v>
      </c>
      <c r="L14700" s="0" t="str">
        <f aca="false">HYPERLINK("https://www.ncbi.nlm.nih.gov/nuccore/CP000058.1?report=graph&amp;tracks=[key:gene_model_track,Options:GeneOnly]&amp;mk=4545657:4545676|offset_1|444444,4545679:4545698|offset_23|444444,4545700:4545719|offset_44|00cc00,4545738:4545757|offset_82|444444&amp;v=4545456:4545957&amp;c=444444", "offset 44")</f>
        <v>offset 44</v>
      </c>
    </row>
    <row r="14701" customFormat="false" ht="12.8" hidden="false" customHeight="false" outlineLevel="0" collapsed="false">
      <c r="A14701" s="0" t="s">
        <v>12</v>
      </c>
      <c r="B14701" s="0" t="n">
        <v>4545737</v>
      </c>
      <c r="C14701" s="0" t="n">
        <v>4545757</v>
      </c>
      <c r="D14701" s="0" t="s">
        <v>48842</v>
      </c>
      <c r="E14701" s="0" t="s">
        <v>75</v>
      </c>
      <c r="F14701" s="0" t="s">
        <v>15</v>
      </c>
      <c r="G14701" s="0" t="s">
        <v>20</v>
      </c>
      <c r="H14701" s="0" t="n">
        <v>82</v>
      </c>
      <c r="I14701" s="0" t="s">
        <v>48852</v>
      </c>
      <c r="J14701" s="0" t="s">
        <v>48853</v>
      </c>
      <c r="K14701" s="0" t="s">
        <v>48854</v>
      </c>
      <c r="L14701" s="0" t="str">
        <f aca="false">HYPERLINK("https://www.ncbi.nlm.nih.gov/nuccore/CP000058.1?report=graph&amp;tracks=[key:gene_model_track,Options:GeneOnly]&amp;mk=4545657:4545676|offset_1|444444,4545679:4545698|offset_23|444444,4545700:4545719|offset_44|444444,4545738:4545757|offset_82|00cc00&amp;v=4545456:4545957&amp;c=444444", "offset 82")</f>
        <v>offset 82</v>
      </c>
    </row>
    <row r="14702" customFormat="false" ht="12.8" hidden="false" customHeight="false" outlineLevel="0" collapsed="false">
      <c r="A14702" s="0" t="s">
        <v>12</v>
      </c>
      <c r="B14702" s="0" t="n">
        <v>4545916</v>
      </c>
      <c r="C14702" s="0" t="n">
        <v>4545936</v>
      </c>
      <c r="D14702" s="0" t="s">
        <v>48855</v>
      </c>
      <c r="E14702" s="0" t="s">
        <v>48856</v>
      </c>
      <c r="F14702" s="0" t="s">
        <v>15</v>
      </c>
      <c r="G14702" s="0" t="s">
        <v>32</v>
      </c>
      <c r="H14702" s="0" t="n">
        <v>1</v>
      </c>
      <c r="I14702" s="0" t="s">
        <v>48857</v>
      </c>
      <c r="J14702" s="0" t="s">
        <v>48858</v>
      </c>
      <c r="K14702" s="0" t="s">
        <v>48859</v>
      </c>
      <c r="L14702" s="0" t="str">
        <f aca="false">HYPERLINK("https://www.ncbi.nlm.nih.gov/nuccore/CP000058.1?report=graph&amp;tracks=[key:gene_model_track,Options:GeneOnly]&amp;mk=4545917:4545936|offset_1|00cc00,4545945:4545964|offset_29|444444,4545975:4545994|offset_59|444444,4546019:4546038|offset_103|444444&amp;v=4545716:4546238&amp;c=444444", "offset 1")</f>
        <v>offset 1</v>
      </c>
    </row>
    <row r="14703" customFormat="false" ht="12.8" hidden="false" customHeight="false" outlineLevel="0" collapsed="false">
      <c r="A14703" s="0" t="s">
        <v>12</v>
      </c>
      <c r="B14703" s="0" t="n">
        <v>4545944</v>
      </c>
      <c r="C14703" s="0" t="n">
        <v>4545964</v>
      </c>
      <c r="D14703" s="0" t="s">
        <v>48855</v>
      </c>
      <c r="E14703" s="0" t="s">
        <v>48856</v>
      </c>
      <c r="F14703" s="0" t="s">
        <v>15</v>
      </c>
      <c r="G14703" s="0" t="s">
        <v>20</v>
      </c>
      <c r="H14703" s="0" t="n">
        <v>29</v>
      </c>
      <c r="I14703" s="0" t="s">
        <v>48860</v>
      </c>
      <c r="J14703" s="0" t="s">
        <v>48861</v>
      </c>
      <c r="K14703" s="0" t="s">
        <v>48862</v>
      </c>
      <c r="L14703" s="0" t="str">
        <f aca="false">HYPERLINK("https://www.ncbi.nlm.nih.gov/nuccore/CP000058.1?report=graph&amp;tracks=[key:gene_model_track,Options:GeneOnly]&amp;mk=4545917:4545936|offset_1|444444,4545945:4545964|offset_29|00cc00,4545975:4545994|offset_59|444444,4546019:4546038|offset_103|444444&amp;v=4545716:4546238&amp;c=444444", "offset 29")</f>
        <v>offset 29</v>
      </c>
    </row>
    <row r="14704" customFormat="false" ht="12.8" hidden="false" customHeight="false" outlineLevel="0" collapsed="false">
      <c r="A14704" s="0" t="s">
        <v>12</v>
      </c>
      <c r="B14704" s="0" t="n">
        <v>4545974</v>
      </c>
      <c r="C14704" s="0" t="n">
        <v>4545994</v>
      </c>
      <c r="D14704" s="0" t="s">
        <v>48855</v>
      </c>
      <c r="E14704" s="0" t="s">
        <v>48856</v>
      </c>
      <c r="F14704" s="0" t="s">
        <v>15</v>
      </c>
      <c r="G14704" s="0" t="s">
        <v>20</v>
      </c>
      <c r="H14704" s="0" t="n">
        <v>59</v>
      </c>
      <c r="I14704" s="0" t="s">
        <v>48863</v>
      </c>
      <c r="J14704" s="0" t="s">
        <v>48864</v>
      </c>
      <c r="K14704" s="0" t="s">
        <v>48865</v>
      </c>
      <c r="L14704" s="0" t="str">
        <f aca="false">HYPERLINK("https://www.ncbi.nlm.nih.gov/nuccore/CP000058.1?report=graph&amp;tracks=[key:gene_model_track,Options:GeneOnly]&amp;mk=4545917:4545936|offset_1|444444,4545945:4545964|offset_29|444444,4545975:4545994|offset_59|00cc00,4546019:4546038|offset_103|444444&amp;v=4545716:4546238&amp;c=444444", "offset 59")</f>
        <v>offset 59</v>
      </c>
    </row>
    <row r="14705" customFormat="false" ht="12.8" hidden="false" customHeight="false" outlineLevel="0" collapsed="false">
      <c r="A14705" s="0" t="s">
        <v>12</v>
      </c>
      <c r="B14705" s="0" t="n">
        <v>4546018</v>
      </c>
      <c r="C14705" s="0" t="n">
        <v>4546038</v>
      </c>
      <c r="D14705" s="0" t="s">
        <v>48855</v>
      </c>
      <c r="E14705" s="0" t="s">
        <v>48856</v>
      </c>
      <c r="F14705" s="0" t="s">
        <v>15</v>
      </c>
      <c r="G14705" s="0" t="s">
        <v>32</v>
      </c>
      <c r="H14705" s="0" t="n">
        <v>103</v>
      </c>
      <c r="I14705" s="0" t="s">
        <v>48866</v>
      </c>
      <c r="J14705" s="0" t="s">
        <v>48867</v>
      </c>
      <c r="K14705" s="0" t="s">
        <v>48868</v>
      </c>
      <c r="L14705" s="0" t="str">
        <f aca="false">HYPERLINK("https://www.ncbi.nlm.nih.gov/nuccore/CP000058.1?report=graph&amp;tracks=[key:gene_model_track,Options:GeneOnly]&amp;mk=4545917:4545936|offset_1|444444,4545945:4545964|offset_29|444444,4545975:4545994|offset_59|444444,4546019:4546038|offset_103|00cc00&amp;v=4545716:4546238&amp;c=444444", "offset 103")</f>
        <v>offset 103</v>
      </c>
    </row>
    <row r="14706" customFormat="false" ht="12.8" hidden="false" customHeight="false" outlineLevel="0" collapsed="false">
      <c r="A14706" s="0" t="s">
        <v>12</v>
      </c>
      <c r="B14706" s="0" t="n">
        <v>4546905</v>
      </c>
      <c r="C14706" s="0" t="n">
        <v>4546925</v>
      </c>
      <c r="D14706" s="0" t="s">
        <v>48869</v>
      </c>
      <c r="E14706" s="0" t="s">
        <v>75</v>
      </c>
      <c r="F14706" s="0" t="s">
        <v>15</v>
      </c>
      <c r="G14706" s="0" t="s">
        <v>20</v>
      </c>
      <c r="H14706" s="0" t="n">
        <v>0</v>
      </c>
      <c r="I14706" s="0" t="s">
        <v>48870</v>
      </c>
      <c r="J14706" s="0" t="s">
        <v>48871</v>
      </c>
      <c r="K14706" s="0" t="s">
        <v>48872</v>
      </c>
      <c r="L14706" s="0" t="str">
        <f aca="false">HYPERLINK("https://www.ncbi.nlm.nih.gov/nuccore/CP000058.1?report=graph&amp;tracks=[key:gene_model_track,Options:GeneOnly]&amp;mk=4546906:4546925|offset_0|00cc00,4546961:4546980|offset_55|444444,4546982:4547001|offset_76|444444,4547021:4547040|offset_115|444444&amp;v=4546705:4547240&amp;c=444444", "offset 0")</f>
        <v>offset 0</v>
      </c>
    </row>
    <row r="14707" customFormat="false" ht="12.8" hidden="false" customHeight="false" outlineLevel="0" collapsed="false">
      <c r="A14707" s="0" t="s">
        <v>12</v>
      </c>
      <c r="B14707" s="0" t="n">
        <v>4546960</v>
      </c>
      <c r="C14707" s="0" t="n">
        <v>4546980</v>
      </c>
      <c r="D14707" s="0" t="s">
        <v>48869</v>
      </c>
      <c r="E14707" s="0" t="s">
        <v>75</v>
      </c>
      <c r="F14707" s="0" t="s">
        <v>15</v>
      </c>
      <c r="G14707" s="0" t="s">
        <v>16</v>
      </c>
      <c r="H14707" s="0" t="n">
        <v>55</v>
      </c>
      <c r="I14707" s="0" t="s">
        <v>48873</v>
      </c>
      <c r="J14707" s="0" t="s">
        <v>48874</v>
      </c>
      <c r="K14707" s="0" t="s">
        <v>48875</v>
      </c>
      <c r="L14707" s="0" t="str">
        <f aca="false">HYPERLINK("https://www.ncbi.nlm.nih.gov/nuccore/CP000058.1?report=graph&amp;tracks=[key:gene_model_track,Options:GeneOnly]&amp;mk=4546906:4546925|offset_0|444444,4546961:4546980|offset_55|00cc00,4546982:4547001|offset_76|444444,4547021:4547040|offset_115|444444&amp;v=4546705:4547240&amp;c=444444", "offset 55")</f>
        <v>offset 55</v>
      </c>
    </row>
    <row r="14708" customFormat="false" ht="12.8" hidden="false" customHeight="false" outlineLevel="0" collapsed="false">
      <c r="A14708" s="0" t="s">
        <v>12</v>
      </c>
      <c r="B14708" s="0" t="n">
        <v>4546981</v>
      </c>
      <c r="C14708" s="0" t="n">
        <v>4547001</v>
      </c>
      <c r="D14708" s="0" t="s">
        <v>48869</v>
      </c>
      <c r="E14708" s="0" t="s">
        <v>75</v>
      </c>
      <c r="F14708" s="0" t="s">
        <v>15</v>
      </c>
      <c r="G14708" s="0" t="s">
        <v>16</v>
      </c>
      <c r="H14708" s="0" t="n">
        <v>76</v>
      </c>
      <c r="I14708" s="0" t="s">
        <v>48876</v>
      </c>
      <c r="J14708" s="0" t="s">
        <v>48877</v>
      </c>
      <c r="K14708" s="0" t="s">
        <v>48878</v>
      </c>
      <c r="L14708" s="0" t="str">
        <f aca="false">HYPERLINK("https://www.ncbi.nlm.nih.gov/nuccore/CP000058.1?report=graph&amp;tracks=[key:gene_model_track,Options:GeneOnly]&amp;mk=4546906:4546925|offset_0|444444,4546961:4546980|offset_55|444444,4546982:4547001|offset_76|00cc00,4547021:4547040|offset_115|444444&amp;v=4546705:4547240&amp;c=444444", "offset 76")</f>
        <v>offset 76</v>
      </c>
    </row>
    <row r="14709" customFormat="false" ht="12.8" hidden="false" customHeight="false" outlineLevel="0" collapsed="false">
      <c r="A14709" s="0" t="s">
        <v>12</v>
      </c>
      <c r="B14709" s="0" t="n">
        <v>4547020</v>
      </c>
      <c r="C14709" s="0" t="n">
        <v>4547040</v>
      </c>
      <c r="D14709" s="0" t="s">
        <v>48869</v>
      </c>
      <c r="E14709" s="0" t="s">
        <v>75</v>
      </c>
      <c r="F14709" s="0" t="s">
        <v>15</v>
      </c>
      <c r="G14709" s="0" t="s">
        <v>32</v>
      </c>
      <c r="H14709" s="0" t="n">
        <v>115</v>
      </c>
      <c r="I14709" s="0" t="s">
        <v>48879</v>
      </c>
      <c r="J14709" s="0" t="s">
        <v>48880</v>
      </c>
      <c r="K14709" s="0" t="s">
        <v>48881</v>
      </c>
      <c r="L14709" s="0" t="str">
        <f aca="false">HYPERLINK("https://www.ncbi.nlm.nih.gov/nuccore/CP000058.1?report=graph&amp;tracks=[key:gene_model_track,Options:GeneOnly]&amp;mk=4546906:4546925|offset_0|444444,4546961:4546980|offset_55|444444,4546982:4547001|offset_76|444444,4547021:4547040|offset_115|00cc00&amp;v=4546705:4547240&amp;c=444444", "offset 115")</f>
        <v>offset 115</v>
      </c>
    </row>
    <row r="14710" customFormat="false" ht="12.8" hidden="false" customHeight="false" outlineLevel="0" collapsed="false">
      <c r="A14710" s="0" t="s">
        <v>12</v>
      </c>
      <c r="B14710" s="0" t="n">
        <v>4549493</v>
      </c>
      <c r="C14710" s="0" t="n">
        <v>4549513</v>
      </c>
      <c r="D14710" s="0" t="s">
        <v>48882</v>
      </c>
      <c r="E14710" s="0" t="s">
        <v>75</v>
      </c>
      <c r="F14710" s="0" t="s">
        <v>15</v>
      </c>
      <c r="G14710" s="0" t="s">
        <v>32</v>
      </c>
      <c r="H14710" s="0" t="n">
        <v>13</v>
      </c>
      <c r="I14710" s="0" t="s">
        <v>48883</v>
      </c>
      <c r="J14710" s="0" t="s">
        <v>48884</v>
      </c>
      <c r="K14710" s="0" t="s">
        <v>48885</v>
      </c>
      <c r="L14710" s="0" t="str">
        <f aca="false">HYPERLINK("https://www.ncbi.nlm.nih.gov/nuccore/CP000058.1?report=graph&amp;tracks=[key:gene_model_track,Options:GeneOnly]&amp;mk=4549494:4549513|offset_13|00cc00,4549519:4549538|offset_38|444444,4549546:4549565|offset_65|444444,4549623:4549642|offset_142|444444&amp;v=4549293:4549842&amp;c=444444", "offset 13")</f>
        <v>offset 13</v>
      </c>
    </row>
    <row r="14711" customFormat="false" ht="12.8" hidden="false" customHeight="false" outlineLevel="0" collapsed="false">
      <c r="A14711" s="0" t="s">
        <v>12</v>
      </c>
      <c r="B14711" s="0" t="n">
        <v>4549518</v>
      </c>
      <c r="C14711" s="0" t="n">
        <v>4549538</v>
      </c>
      <c r="D14711" s="0" t="s">
        <v>48882</v>
      </c>
      <c r="E14711" s="0" t="s">
        <v>75</v>
      </c>
      <c r="F14711" s="0" t="s">
        <v>15</v>
      </c>
      <c r="G14711" s="0" t="s">
        <v>20</v>
      </c>
      <c r="H14711" s="0" t="n">
        <v>38</v>
      </c>
      <c r="I14711" s="0" t="s">
        <v>48886</v>
      </c>
      <c r="J14711" s="0" t="s">
        <v>48887</v>
      </c>
      <c r="K14711" s="0" t="s">
        <v>48888</v>
      </c>
      <c r="L14711" s="0" t="str">
        <f aca="false">HYPERLINK("https://www.ncbi.nlm.nih.gov/nuccore/CP000058.1?report=graph&amp;tracks=[key:gene_model_track,Options:GeneOnly]&amp;mk=4549494:4549513|offset_13|444444,4549519:4549538|offset_38|00cc00,4549546:4549565|offset_65|444444,4549623:4549642|offset_142|444444&amp;v=4549293:4549842&amp;c=444444", "offset 38")</f>
        <v>offset 38</v>
      </c>
    </row>
    <row r="14712" customFormat="false" ht="12.8" hidden="false" customHeight="false" outlineLevel="0" collapsed="false">
      <c r="A14712" s="0" t="s">
        <v>12</v>
      </c>
      <c r="B14712" s="0" t="n">
        <v>4549545</v>
      </c>
      <c r="C14712" s="0" t="n">
        <v>4549565</v>
      </c>
      <c r="D14712" s="0" t="s">
        <v>48882</v>
      </c>
      <c r="E14712" s="0" t="s">
        <v>75</v>
      </c>
      <c r="F14712" s="0" t="s">
        <v>15</v>
      </c>
      <c r="G14712" s="0" t="s">
        <v>36</v>
      </c>
      <c r="H14712" s="0" t="n">
        <v>65</v>
      </c>
      <c r="I14712" s="0" t="s">
        <v>48889</v>
      </c>
      <c r="J14712" s="0" t="s">
        <v>48890</v>
      </c>
      <c r="K14712" s="0" t="s">
        <v>48891</v>
      </c>
      <c r="L14712" s="0" t="str">
        <f aca="false">HYPERLINK("https://www.ncbi.nlm.nih.gov/nuccore/CP000058.1?report=graph&amp;tracks=[key:gene_model_track,Options:GeneOnly]&amp;mk=4549494:4549513|offset_13|444444,4549519:4549538|offset_38|444444,4549546:4549565|offset_65|00cc00,4549623:4549642|offset_142|444444&amp;v=4549293:4549842&amp;c=444444", "offset 65")</f>
        <v>offset 65</v>
      </c>
    </row>
    <row r="14713" customFormat="false" ht="12.8" hidden="false" customHeight="false" outlineLevel="0" collapsed="false">
      <c r="A14713" s="0" t="s">
        <v>12</v>
      </c>
      <c r="B14713" s="0" t="n">
        <v>4549622</v>
      </c>
      <c r="C14713" s="0" t="n">
        <v>4549642</v>
      </c>
      <c r="D14713" s="0" t="s">
        <v>48882</v>
      </c>
      <c r="E14713" s="0" t="s">
        <v>75</v>
      </c>
      <c r="F14713" s="0" t="s">
        <v>15</v>
      </c>
      <c r="G14713" s="0" t="s">
        <v>32</v>
      </c>
      <c r="H14713" s="0" t="n">
        <v>142</v>
      </c>
      <c r="I14713" s="0" t="s">
        <v>48892</v>
      </c>
      <c r="J14713" s="0" t="s">
        <v>48893</v>
      </c>
      <c r="K14713" s="0" t="s">
        <v>48894</v>
      </c>
      <c r="L14713" s="0" t="str">
        <f aca="false">HYPERLINK("https://www.ncbi.nlm.nih.gov/nuccore/CP000058.1?report=graph&amp;tracks=[key:gene_model_track,Options:GeneOnly]&amp;mk=4549494:4549513|offset_13|444444,4549519:4549538|offset_38|444444,4549546:4549565|offset_65|444444,4549623:4549642|offset_142|00cc00&amp;v=4549293:4549842&amp;c=444444", "offset 142")</f>
        <v>offset 142</v>
      </c>
    </row>
    <row r="14714" customFormat="false" ht="12.8" hidden="false" customHeight="false" outlineLevel="0" collapsed="false">
      <c r="A14714" s="0" t="s">
        <v>12</v>
      </c>
      <c r="B14714" s="0" t="n">
        <v>4551557</v>
      </c>
      <c r="C14714" s="0" t="n">
        <v>4551577</v>
      </c>
      <c r="D14714" s="0" t="s">
        <v>48895</v>
      </c>
      <c r="E14714" s="0" t="s">
        <v>48896</v>
      </c>
      <c r="F14714" s="0" t="s">
        <v>90</v>
      </c>
      <c r="G14714" s="0" t="s">
        <v>32</v>
      </c>
      <c r="H14714" s="0" t="n">
        <v>13</v>
      </c>
      <c r="I14714" s="0" t="s">
        <v>48897</v>
      </c>
      <c r="J14714" s="0" t="s">
        <v>48898</v>
      </c>
      <c r="K14714" s="0" t="s">
        <v>48899</v>
      </c>
      <c r="L14714" s="0" t="str">
        <f aca="false">HYPERLINK("https://www.ncbi.nlm.nih.gov/nuccore/CP000058.1?report=graph&amp;tracks=[key:gene_model_track,Options:GeneOnly]&amp;mk=4551558:4551577|offset_13|00cc00,4551522:4551541|offset_49|444444,4551501:4551520|offset_70|444444,4551432:4551451|offset_139|444444&amp;v=4551357:4551651&amp;c=444444", "offset 13")</f>
        <v>offset 13</v>
      </c>
    </row>
    <row r="14715" customFormat="false" ht="12.8" hidden="false" customHeight="false" outlineLevel="0" collapsed="false">
      <c r="A14715" s="0" t="s">
        <v>12</v>
      </c>
      <c r="B14715" s="0" t="n">
        <v>4551521</v>
      </c>
      <c r="C14715" s="0" t="n">
        <v>4551541</v>
      </c>
      <c r="D14715" s="0" t="s">
        <v>48895</v>
      </c>
      <c r="E14715" s="0" t="s">
        <v>48896</v>
      </c>
      <c r="F14715" s="0" t="s">
        <v>90</v>
      </c>
      <c r="G14715" s="0" t="s">
        <v>32</v>
      </c>
      <c r="H14715" s="0" t="n">
        <v>49</v>
      </c>
      <c r="I14715" s="0" t="s">
        <v>48900</v>
      </c>
      <c r="J14715" s="0" t="s">
        <v>48901</v>
      </c>
      <c r="K14715" s="0" t="s">
        <v>48902</v>
      </c>
      <c r="L14715" s="0" t="str">
        <f aca="false">HYPERLINK("https://www.ncbi.nlm.nih.gov/nuccore/CP000058.1?report=graph&amp;tracks=[key:gene_model_track,Options:GeneOnly]&amp;mk=4551558:4551577|offset_13|444444,4551522:4551541|offset_49|00cc00,4551501:4551520|offset_70|444444,4551432:4551451|offset_139|444444&amp;v=4551357:4551651&amp;c=444444", "offset 49")</f>
        <v>offset 49</v>
      </c>
    </row>
    <row r="14716" customFormat="false" ht="12.8" hidden="false" customHeight="false" outlineLevel="0" collapsed="false">
      <c r="A14716" s="0" t="s">
        <v>12</v>
      </c>
      <c r="B14716" s="0" t="n">
        <v>4551500</v>
      </c>
      <c r="C14716" s="0" t="n">
        <v>4551520</v>
      </c>
      <c r="D14716" s="0" t="s">
        <v>48895</v>
      </c>
      <c r="E14716" s="0" t="s">
        <v>48896</v>
      </c>
      <c r="F14716" s="0" t="s">
        <v>90</v>
      </c>
      <c r="G14716" s="0" t="s">
        <v>16</v>
      </c>
      <c r="H14716" s="0" t="n">
        <v>70</v>
      </c>
      <c r="I14716" s="0" t="s">
        <v>48903</v>
      </c>
      <c r="J14716" s="0" t="s">
        <v>48904</v>
      </c>
      <c r="K14716" s="0" t="s">
        <v>48905</v>
      </c>
      <c r="L14716" s="0" t="str">
        <f aca="false">HYPERLINK("https://www.ncbi.nlm.nih.gov/nuccore/CP000058.1?report=graph&amp;tracks=[key:gene_model_track,Options:GeneOnly]&amp;mk=4551558:4551577|offset_13|444444,4551522:4551541|offset_49|444444,4551501:4551520|offset_70|00cc00,4551432:4551451|offset_139|444444&amp;v=4551357:4551651&amp;c=444444", "offset 70")</f>
        <v>offset 70</v>
      </c>
    </row>
    <row r="14717" customFormat="false" ht="12.8" hidden="false" customHeight="false" outlineLevel="0" collapsed="false">
      <c r="A14717" s="0" t="s">
        <v>12</v>
      </c>
      <c r="B14717" s="0" t="n">
        <v>4551431</v>
      </c>
      <c r="C14717" s="0" t="n">
        <v>4551451</v>
      </c>
      <c r="D14717" s="0" t="s">
        <v>48895</v>
      </c>
      <c r="E14717" s="0" t="s">
        <v>48896</v>
      </c>
      <c r="F14717" s="0" t="s">
        <v>90</v>
      </c>
      <c r="G14717" s="0" t="s">
        <v>36</v>
      </c>
      <c r="H14717" s="0" t="n">
        <v>139</v>
      </c>
      <c r="I14717" s="0" t="s">
        <v>48906</v>
      </c>
      <c r="J14717" s="0" t="s">
        <v>48907</v>
      </c>
      <c r="K14717" s="0" t="s">
        <v>48908</v>
      </c>
      <c r="L14717" s="0" t="str">
        <f aca="false">HYPERLINK("https://www.ncbi.nlm.nih.gov/nuccore/CP000058.1?report=graph&amp;tracks=[key:gene_model_track,Options:GeneOnly]&amp;mk=4551558:4551577|offset_13|444444,4551522:4551541|offset_49|444444,4551501:4551520|offset_70|444444,4551432:4551451|offset_139|00cc00&amp;v=4551357:4551651&amp;c=444444", "offset 139")</f>
        <v>offset 139</v>
      </c>
    </row>
    <row r="14718" customFormat="false" ht="12.8" hidden="false" customHeight="false" outlineLevel="0" collapsed="false">
      <c r="A14718" s="0" t="s">
        <v>12</v>
      </c>
      <c r="B14718" s="0" t="n">
        <v>4552241</v>
      </c>
      <c r="C14718" s="0" t="n">
        <v>4552261</v>
      </c>
      <c r="D14718" s="0" t="s">
        <v>48909</v>
      </c>
      <c r="E14718" s="0" t="s">
        <v>75</v>
      </c>
      <c r="F14718" s="0" t="s">
        <v>90</v>
      </c>
      <c r="G14718" s="0" t="s">
        <v>36</v>
      </c>
      <c r="H14718" s="0" t="n">
        <v>63</v>
      </c>
      <c r="I14718" s="0" t="s">
        <v>48910</v>
      </c>
      <c r="J14718" s="0" t="s">
        <v>48911</v>
      </c>
      <c r="K14718" s="0" t="s">
        <v>48912</v>
      </c>
      <c r="L14718" s="0" t="str">
        <f aca="false">HYPERLINK("https://www.ncbi.nlm.nih.gov/nuccore/CP000058.1?report=graph&amp;tracks=[key:gene_model_track,Options:GeneOnly]&amp;mk=4552242:4552261|offset_63|00cc00,4552222:4552241|offset_83|444444,4552169:4552188|offset_136|444444,4552147:4552166|offset_158|444444&amp;v=4552041:4552366&amp;c=444444", "offset 63")</f>
        <v>offset 63</v>
      </c>
    </row>
    <row r="14719" customFormat="false" ht="12.8" hidden="false" customHeight="false" outlineLevel="0" collapsed="false">
      <c r="A14719" s="0" t="s">
        <v>12</v>
      </c>
      <c r="B14719" s="0" t="n">
        <v>4552221</v>
      </c>
      <c r="C14719" s="0" t="n">
        <v>4552241</v>
      </c>
      <c r="D14719" s="0" t="s">
        <v>48909</v>
      </c>
      <c r="E14719" s="0" t="s">
        <v>75</v>
      </c>
      <c r="F14719" s="0" t="s">
        <v>90</v>
      </c>
      <c r="G14719" s="0" t="s">
        <v>16</v>
      </c>
      <c r="H14719" s="0" t="n">
        <v>83</v>
      </c>
      <c r="I14719" s="0" t="s">
        <v>48913</v>
      </c>
      <c r="J14719" s="0" t="s">
        <v>48914</v>
      </c>
      <c r="K14719" s="0" t="s">
        <v>48915</v>
      </c>
      <c r="L14719" s="0" t="str">
        <f aca="false">HYPERLINK("https://www.ncbi.nlm.nih.gov/nuccore/CP000058.1?report=graph&amp;tracks=[key:gene_model_track,Options:GeneOnly]&amp;mk=4552242:4552261|offset_63|444444,4552222:4552241|offset_83|00cc00,4552169:4552188|offset_136|444444,4552147:4552166|offset_158|444444&amp;v=4552041:4552366&amp;c=444444", "offset 83")</f>
        <v>offset 83</v>
      </c>
    </row>
    <row r="14720" customFormat="false" ht="12.8" hidden="false" customHeight="false" outlineLevel="0" collapsed="false">
      <c r="A14720" s="0" t="s">
        <v>12</v>
      </c>
      <c r="B14720" s="0" t="n">
        <v>4552168</v>
      </c>
      <c r="C14720" s="0" t="n">
        <v>4552188</v>
      </c>
      <c r="D14720" s="0" t="s">
        <v>48909</v>
      </c>
      <c r="E14720" s="0" t="s">
        <v>75</v>
      </c>
      <c r="F14720" s="0" t="s">
        <v>90</v>
      </c>
      <c r="G14720" s="0" t="s">
        <v>20</v>
      </c>
      <c r="H14720" s="0" t="n">
        <v>136</v>
      </c>
      <c r="I14720" s="0" t="s">
        <v>48916</v>
      </c>
      <c r="J14720" s="0" t="s">
        <v>48917</v>
      </c>
      <c r="K14720" s="0" t="s">
        <v>48918</v>
      </c>
      <c r="L14720" s="0" t="str">
        <f aca="false">HYPERLINK("https://www.ncbi.nlm.nih.gov/nuccore/CP000058.1?report=graph&amp;tracks=[key:gene_model_track,Options:GeneOnly]&amp;mk=4552242:4552261|offset_63|444444,4552222:4552241|offset_83|444444,4552169:4552188|offset_136|00cc00,4552147:4552166|offset_158|444444&amp;v=4552041:4552366&amp;c=444444", "offset 136")</f>
        <v>offset 136</v>
      </c>
    </row>
    <row r="14721" customFormat="false" ht="12.8" hidden="false" customHeight="false" outlineLevel="0" collapsed="false">
      <c r="A14721" s="0" t="s">
        <v>12</v>
      </c>
      <c r="B14721" s="0" t="n">
        <v>4552146</v>
      </c>
      <c r="C14721" s="0" t="n">
        <v>4552166</v>
      </c>
      <c r="D14721" s="0" t="s">
        <v>48909</v>
      </c>
      <c r="E14721" s="0" t="s">
        <v>75</v>
      </c>
      <c r="F14721" s="0" t="s">
        <v>90</v>
      </c>
      <c r="G14721" s="0" t="s">
        <v>36</v>
      </c>
      <c r="H14721" s="0" t="n">
        <v>158</v>
      </c>
      <c r="I14721" s="0" t="s">
        <v>48919</v>
      </c>
      <c r="J14721" s="0" t="s">
        <v>48920</v>
      </c>
      <c r="K14721" s="0" t="s">
        <v>48921</v>
      </c>
      <c r="L14721" s="0" t="str">
        <f aca="false">HYPERLINK("https://www.ncbi.nlm.nih.gov/nuccore/CP000058.1?report=graph&amp;tracks=[key:gene_model_track,Options:GeneOnly]&amp;mk=4552242:4552261|offset_63|444444,4552222:4552241|offset_83|444444,4552169:4552188|offset_136|444444,4552147:4552166|offset_158|00cc00&amp;v=4552041:4552366&amp;c=444444", "offset 158")</f>
        <v>offset 158</v>
      </c>
    </row>
    <row r="14722" customFormat="false" ht="12.8" hidden="false" customHeight="false" outlineLevel="0" collapsed="false">
      <c r="A14722" s="0" t="s">
        <v>12</v>
      </c>
      <c r="B14722" s="0" t="n">
        <v>4552983</v>
      </c>
      <c r="C14722" s="0" t="n">
        <v>4553003</v>
      </c>
      <c r="D14722" s="0" t="s">
        <v>48922</v>
      </c>
      <c r="E14722" s="0" t="s">
        <v>75</v>
      </c>
      <c r="F14722" s="0" t="s">
        <v>90</v>
      </c>
      <c r="G14722" s="0" t="s">
        <v>20</v>
      </c>
      <c r="H14722" s="0" t="n">
        <v>193</v>
      </c>
      <c r="I14722" s="0" t="s">
        <v>48923</v>
      </c>
      <c r="J14722" s="0" t="s">
        <v>48924</v>
      </c>
      <c r="K14722" s="0" t="s">
        <v>48925</v>
      </c>
      <c r="L14722" s="0" t="str">
        <f aca="false">HYPERLINK("https://www.ncbi.nlm.nih.gov/nuccore/CP000058.1?report=graph&amp;tracks=[key:gene_model_track,Options:GeneOnly]&amp;mk=4552984:4553003|offset_193|00cc00,4552875:4552894|offset_302|444444,4552855:4552874|offset_322|444444,4552797:4552816|offset_380|444444&amp;v=4552783:4553016&amp;c=444444", "offset 193")</f>
        <v>offset 193</v>
      </c>
    </row>
    <row r="14723" customFormat="false" ht="12.8" hidden="false" customHeight="false" outlineLevel="0" collapsed="false">
      <c r="A14723" s="0" t="s">
        <v>12</v>
      </c>
      <c r="B14723" s="0" t="n">
        <v>4552874</v>
      </c>
      <c r="C14723" s="0" t="n">
        <v>4552894</v>
      </c>
      <c r="D14723" s="0" t="s">
        <v>48922</v>
      </c>
      <c r="E14723" s="0" t="s">
        <v>75</v>
      </c>
      <c r="F14723" s="0" t="s">
        <v>90</v>
      </c>
      <c r="G14723" s="0" t="s">
        <v>16</v>
      </c>
      <c r="H14723" s="0" t="n">
        <v>302</v>
      </c>
      <c r="I14723" s="0" t="s">
        <v>48926</v>
      </c>
      <c r="J14723" s="0" t="s">
        <v>48927</v>
      </c>
      <c r="K14723" s="0" t="s">
        <v>48928</v>
      </c>
      <c r="L14723" s="0" t="str">
        <f aca="false">HYPERLINK("https://www.ncbi.nlm.nih.gov/nuccore/CP000058.1?report=graph&amp;tracks=[key:gene_model_track,Options:GeneOnly]&amp;mk=4552984:4553003|offset_193|444444,4552875:4552894|offset_302|00cc00,4552855:4552874|offset_322|444444,4552797:4552816|offset_380|444444&amp;v=4552783:4553016&amp;c=444444", "offset 302")</f>
        <v>offset 302</v>
      </c>
    </row>
    <row r="14724" customFormat="false" ht="12.8" hidden="false" customHeight="false" outlineLevel="0" collapsed="false">
      <c r="A14724" s="0" t="s">
        <v>12</v>
      </c>
      <c r="B14724" s="0" t="n">
        <v>4552854</v>
      </c>
      <c r="C14724" s="0" t="n">
        <v>4552874</v>
      </c>
      <c r="D14724" s="0" t="s">
        <v>48922</v>
      </c>
      <c r="E14724" s="0" t="s">
        <v>75</v>
      </c>
      <c r="F14724" s="0" t="s">
        <v>90</v>
      </c>
      <c r="G14724" s="0" t="s">
        <v>32</v>
      </c>
      <c r="H14724" s="0" t="n">
        <v>322</v>
      </c>
      <c r="I14724" s="0" t="s">
        <v>48929</v>
      </c>
      <c r="J14724" s="0" t="s">
        <v>48930</v>
      </c>
      <c r="K14724" s="0" t="s">
        <v>48931</v>
      </c>
      <c r="L14724" s="0" t="str">
        <f aca="false">HYPERLINK("https://www.ncbi.nlm.nih.gov/nuccore/CP000058.1?report=graph&amp;tracks=[key:gene_model_track,Options:GeneOnly]&amp;mk=4552984:4553003|offset_193|444444,4552875:4552894|offset_302|444444,4552855:4552874|offset_322|00cc00,4552797:4552816|offset_380|444444&amp;v=4552783:4553016&amp;c=444444", "offset 322")</f>
        <v>offset 322</v>
      </c>
    </row>
    <row r="14725" customFormat="false" ht="12.8" hidden="false" customHeight="false" outlineLevel="0" collapsed="false">
      <c r="A14725" s="0" t="s">
        <v>12</v>
      </c>
      <c r="B14725" s="0" t="n">
        <v>4552796</v>
      </c>
      <c r="C14725" s="0" t="n">
        <v>4552816</v>
      </c>
      <c r="D14725" s="0" t="s">
        <v>48922</v>
      </c>
      <c r="E14725" s="0" t="s">
        <v>75</v>
      </c>
      <c r="F14725" s="0" t="s">
        <v>90</v>
      </c>
      <c r="G14725" s="0" t="s">
        <v>20</v>
      </c>
      <c r="H14725" s="0" t="n">
        <v>380</v>
      </c>
      <c r="I14725" s="0" t="s">
        <v>48932</v>
      </c>
      <c r="J14725" s="0" t="s">
        <v>48933</v>
      </c>
      <c r="K14725" s="0" t="s">
        <v>48934</v>
      </c>
      <c r="L14725" s="0" t="str">
        <f aca="false">HYPERLINK("https://www.ncbi.nlm.nih.gov/nuccore/CP000058.1?report=graph&amp;tracks=[key:gene_model_track,Options:GeneOnly]&amp;mk=4552984:4553003|offset_193|444444,4552875:4552894|offset_302|444444,4552855:4552874|offset_322|444444,4552797:4552816|offset_380|00cc00&amp;v=4552783:4553016&amp;c=444444", "offset 380")</f>
        <v>offset 380</v>
      </c>
    </row>
    <row r="14726" customFormat="false" ht="12.8" hidden="false" customHeight="false" outlineLevel="0" collapsed="false">
      <c r="A14726" s="0" t="s">
        <v>12</v>
      </c>
      <c r="B14726" s="0" t="n">
        <v>4553926</v>
      </c>
      <c r="C14726" s="0" t="n">
        <v>4553946</v>
      </c>
      <c r="D14726" s="0" t="s">
        <v>48935</v>
      </c>
      <c r="E14726" s="0" t="s">
        <v>75</v>
      </c>
      <c r="F14726" s="0" t="s">
        <v>90</v>
      </c>
      <c r="G14726" s="0" t="s">
        <v>20</v>
      </c>
      <c r="H14726" s="0" t="n">
        <v>184</v>
      </c>
      <c r="I14726" s="0" t="s">
        <v>48936</v>
      </c>
      <c r="J14726" s="0" t="s">
        <v>48937</v>
      </c>
      <c r="K14726" s="0" t="s">
        <v>48938</v>
      </c>
      <c r="L14726" s="0" t="str">
        <f aca="false">HYPERLINK("https://www.ncbi.nlm.nih.gov/nuccore/CP000058.1?report=graph&amp;tracks=[key:gene_model_track,Options:GeneOnly]&amp;mk=4553927:4553946|offset_184|00cc00,4553793:4553812|offset_318|444444,4553750:4553769|offset_361|444444,4553686:4553705|offset_425|444444&amp;v=4553726:4553905&amp;c=444444", "offset 184")</f>
        <v>offset 184</v>
      </c>
    </row>
    <row r="14727" customFormat="false" ht="12.8" hidden="false" customHeight="false" outlineLevel="0" collapsed="false">
      <c r="A14727" s="0" t="s">
        <v>12</v>
      </c>
      <c r="B14727" s="0" t="n">
        <v>4553792</v>
      </c>
      <c r="C14727" s="0" t="n">
        <v>4553812</v>
      </c>
      <c r="D14727" s="0" t="s">
        <v>48935</v>
      </c>
      <c r="E14727" s="0" t="s">
        <v>75</v>
      </c>
      <c r="F14727" s="0" t="s">
        <v>90</v>
      </c>
      <c r="G14727" s="0" t="s">
        <v>20</v>
      </c>
      <c r="H14727" s="0" t="n">
        <v>318</v>
      </c>
      <c r="I14727" s="0" t="s">
        <v>48939</v>
      </c>
      <c r="J14727" s="0" t="s">
        <v>48940</v>
      </c>
      <c r="K14727" s="0" t="s">
        <v>48941</v>
      </c>
      <c r="L14727" s="0" t="str">
        <f aca="false">HYPERLINK("https://www.ncbi.nlm.nih.gov/nuccore/CP000058.1?report=graph&amp;tracks=[key:gene_model_track,Options:GeneOnly]&amp;mk=4553927:4553946|offset_184|444444,4553793:4553812|offset_318|00cc00,4553750:4553769|offset_361|444444,4553686:4553705|offset_425|444444&amp;v=4553726:4553905&amp;c=444444", "offset 318")</f>
        <v>offset 318</v>
      </c>
    </row>
    <row r="14728" customFormat="false" ht="12.8" hidden="false" customHeight="false" outlineLevel="0" collapsed="false">
      <c r="A14728" s="0" t="s">
        <v>12</v>
      </c>
      <c r="B14728" s="0" t="n">
        <v>4553749</v>
      </c>
      <c r="C14728" s="0" t="n">
        <v>4553769</v>
      </c>
      <c r="D14728" s="0" t="s">
        <v>48935</v>
      </c>
      <c r="E14728" s="0" t="s">
        <v>75</v>
      </c>
      <c r="F14728" s="0" t="s">
        <v>90</v>
      </c>
      <c r="G14728" s="0" t="s">
        <v>36</v>
      </c>
      <c r="H14728" s="0" t="n">
        <v>361</v>
      </c>
      <c r="I14728" s="0" t="s">
        <v>48942</v>
      </c>
      <c r="J14728" s="0" t="s">
        <v>48943</v>
      </c>
      <c r="K14728" s="0" t="s">
        <v>48944</v>
      </c>
      <c r="L14728" s="0" t="str">
        <f aca="false">HYPERLINK("https://www.ncbi.nlm.nih.gov/nuccore/CP000058.1?report=graph&amp;tracks=[key:gene_model_track,Options:GeneOnly]&amp;mk=4553927:4553946|offset_184|444444,4553793:4553812|offset_318|444444,4553750:4553769|offset_361|00cc00,4553686:4553705|offset_425|444444&amp;v=4553726:4553905&amp;c=444444", "offset 361")</f>
        <v>offset 361</v>
      </c>
    </row>
    <row r="14729" customFormat="false" ht="12.8" hidden="false" customHeight="false" outlineLevel="0" collapsed="false">
      <c r="A14729" s="0" t="s">
        <v>12</v>
      </c>
      <c r="B14729" s="0" t="n">
        <v>4553685</v>
      </c>
      <c r="C14729" s="0" t="n">
        <v>4553705</v>
      </c>
      <c r="D14729" s="0" t="s">
        <v>48935</v>
      </c>
      <c r="E14729" s="0" t="s">
        <v>75</v>
      </c>
      <c r="F14729" s="0" t="s">
        <v>90</v>
      </c>
      <c r="G14729" s="0" t="s">
        <v>36</v>
      </c>
      <c r="H14729" s="0" t="n">
        <v>425</v>
      </c>
      <c r="I14729" s="0" t="s">
        <v>48945</v>
      </c>
      <c r="J14729" s="0" t="s">
        <v>48946</v>
      </c>
      <c r="K14729" s="0" t="s">
        <v>48947</v>
      </c>
      <c r="L14729" s="0" t="str">
        <f aca="false">HYPERLINK("https://www.ncbi.nlm.nih.gov/nuccore/CP000058.1?report=graph&amp;tracks=[key:gene_model_track,Options:GeneOnly]&amp;mk=4553927:4553946|offset_184|444444,4553793:4553812|offset_318|444444,4553750:4553769|offset_361|444444,4553686:4553705|offset_425|00cc00&amp;v=4553726:4553905&amp;c=444444", "offset 425")</f>
        <v>offset 425</v>
      </c>
    </row>
    <row r="14730" customFormat="false" ht="12.8" hidden="false" customHeight="false" outlineLevel="0" collapsed="false">
      <c r="A14730" s="0" t="s">
        <v>12</v>
      </c>
      <c r="B14730" s="0" t="n">
        <v>4555011</v>
      </c>
      <c r="C14730" s="0" t="n">
        <v>4555031</v>
      </c>
      <c r="D14730" s="0" t="s">
        <v>48948</v>
      </c>
      <c r="E14730" s="0" t="s">
        <v>75</v>
      </c>
      <c r="F14730" s="0" t="s">
        <v>90</v>
      </c>
      <c r="G14730" s="0" t="s">
        <v>20</v>
      </c>
      <c r="H14730" s="0" t="n">
        <v>65</v>
      </c>
      <c r="I14730" s="0" t="s">
        <v>48949</v>
      </c>
      <c r="J14730" s="0" t="s">
        <v>48950</v>
      </c>
      <c r="K14730" s="0" t="s">
        <v>48951</v>
      </c>
      <c r="L14730" s="0" t="str">
        <f aca="false">HYPERLINK("https://www.ncbi.nlm.nih.gov/nuccore/CP000058.1?report=graph&amp;tracks=[key:gene_model_track,Options:GeneOnly]&amp;mk=4555012:4555031|offset_65|00cc00,4554955:4554974|offset_122|444444,4554916:4554935|offset_161|444444,4554784:4554803|offset_293|444444&amp;v=4554811:4555003&amp;c=444444", "offset 65")</f>
        <v>offset 65</v>
      </c>
    </row>
    <row r="14731" customFormat="false" ht="12.8" hidden="false" customHeight="false" outlineLevel="0" collapsed="false">
      <c r="A14731" s="0" t="s">
        <v>12</v>
      </c>
      <c r="B14731" s="0" t="n">
        <v>4554954</v>
      </c>
      <c r="C14731" s="0" t="n">
        <v>4554974</v>
      </c>
      <c r="D14731" s="0" t="s">
        <v>48948</v>
      </c>
      <c r="E14731" s="0" t="s">
        <v>75</v>
      </c>
      <c r="F14731" s="0" t="s">
        <v>90</v>
      </c>
      <c r="G14731" s="0" t="s">
        <v>20</v>
      </c>
      <c r="H14731" s="0" t="n">
        <v>122</v>
      </c>
      <c r="I14731" s="0" t="s">
        <v>48952</v>
      </c>
      <c r="J14731" s="0" t="s">
        <v>48953</v>
      </c>
      <c r="K14731" s="0" t="s">
        <v>48954</v>
      </c>
      <c r="L14731" s="0" t="str">
        <f aca="false">HYPERLINK("https://www.ncbi.nlm.nih.gov/nuccore/CP000058.1?report=graph&amp;tracks=[key:gene_model_track,Options:GeneOnly]&amp;mk=4555012:4555031|offset_65|444444,4554955:4554974|offset_122|00cc00,4554916:4554935|offset_161|444444,4554784:4554803|offset_293|444444&amp;v=4554811:4555003&amp;c=444444", "offset 122")</f>
        <v>offset 122</v>
      </c>
    </row>
    <row r="14732" customFormat="false" ht="12.8" hidden="false" customHeight="false" outlineLevel="0" collapsed="false">
      <c r="A14732" s="0" t="s">
        <v>12</v>
      </c>
      <c r="B14732" s="0" t="n">
        <v>4554915</v>
      </c>
      <c r="C14732" s="0" t="n">
        <v>4554935</v>
      </c>
      <c r="D14732" s="0" t="s">
        <v>48948</v>
      </c>
      <c r="E14732" s="0" t="s">
        <v>75</v>
      </c>
      <c r="F14732" s="0" t="s">
        <v>90</v>
      </c>
      <c r="G14732" s="0" t="s">
        <v>32</v>
      </c>
      <c r="H14732" s="0" t="n">
        <v>161</v>
      </c>
      <c r="I14732" s="0" t="s">
        <v>48955</v>
      </c>
      <c r="J14732" s="0" t="s">
        <v>48956</v>
      </c>
      <c r="K14732" s="0" t="s">
        <v>48957</v>
      </c>
      <c r="L14732" s="0" t="str">
        <f aca="false">HYPERLINK("https://www.ncbi.nlm.nih.gov/nuccore/CP000058.1?report=graph&amp;tracks=[key:gene_model_track,Options:GeneOnly]&amp;mk=4555012:4555031|offset_65|444444,4554955:4554974|offset_122|444444,4554916:4554935|offset_161|00cc00,4554784:4554803|offset_293|444444&amp;v=4554811:4555003&amp;c=444444", "offset 161")</f>
        <v>offset 161</v>
      </c>
    </row>
    <row r="14733" customFormat="false" ht="12.8" hidden="false" customHeight="false" outlineLevel="0" collapsed="false">
      <c r="A14733" s="0" t="s">
        <v>12</v>
      </c>
      <c r="B14733" s="0" t="n">
        <v>4554783</v>
      </c>
      <c r="C14733" s="0" t="n">
        <v>4554803</v>
      </c>
      <c r="D14733" s="0" t="s">
        <v>48948</v>
      </c>
      <c r="E14733" s="0" t="s">
        <v>75</v>
      </c>
      <c r="F14733" s="0" t="s">
        <v>90</v>
      </c>
      <c r="G14733" s="0" t="s">
        <v>32</v>
      </c>
      <c r="H14733" s="0" t="n">
        <v>293</v>
      </c>
      <c r="I14733" s="0" t="s">
        <v>48958</v>
      </c>
      <c r="J14733" s="0" t="s">
        <v>48959</v>
      </c>
      <c r="K14733" s="0" t="s">
        <v>48960</v>
      </c>
      <c r="L14733" s="0" t="str">
        <f aca="false">HYPERLINK("https://www.ncbi.nlm.nih.gov/nuccore/CP000058.1?report=graph&amp;tracks=[key:gene_model_track,Options:GeneOnly]&amp;mk=4555012:4555031|offset_65|444444,4554955:4554974|offset_122|444444,4554916:4554935|offset_161|444444,4554784:4554803|offset_293|00cc00&amp;v=4554811:4555003&amp;c=444444", "offset 293")</f>
        <v>offset 293</v>
      </c>
    </row>
    <row r="14734" customFormat="false" ht="12.8" hidden="false" customHeight="false" outlineLevel="0" collapsed="false">
      <c r="A14734" s="0" t="s">
        <v>12</v>
      </c>
      <c r="B14734" s="0" t="n">
        <v>4555201</v>
      </c>
      <c r="C14734" s="0" t="n">
        <v>4555221</v>
      </c>
      <c r="D14734" s="0" t="s">
        <v>48961</v>
      </c>
      <c r="E14734" s="0" t="s">
        <v>75</v>
      </c>
      <c r="F14734" s="0" t="s">
        <v>15</v>
      </c>
      <c r="G14734" s="0" t="s">
        <v>32</v>
      </c>
      <c r="H14734" s="0" t="n">
        <v>20</v>
      </c>
      <c r="I14734" s="0" t="s">
        <v>48962</v>
      </c>
      <c r="J14734" s="0" t="s">
        <v>48963</v>
      </c>
      <c r="K14734" s="0" t="s">
        <v>48964</v>
      </c>
      <c r="L14734" s="0" t="str">
        <f aca="false">HYPERLINK("https://www.ncbi.nlm.nih.gov/nuccore/CP000058.1?report=graph&amp;tracks=[key:gene_model_track,Options:GeneOnly]&amp;mk=4555202:4555221|offset_20|00cc00,4555238:4555257|offset_56|444444,4555291:4555310|offset_109|444444,4555319:4555338|offset_137|444444&amp;v=4555001:4555538&amp;c=444444", "offset 20")</f>
        <v>offset 20</v>
      </c>
    </row>
    <row r="14735" customFormat="false" ht="12.8" hidden="false" customHeight="false" outlineLevel="0" collapsed="false">
      <c r="A14735" s="0" t="s">
        <v>12</v>
      </c>
      <c r="B14735" s="0" t="n">
        <v>4555237</v>
      </c>
      <c r="C14735" s="0" t="n">
        <v>4555257</v>
      </c>
      <c r="D14735" s="0" t="s">
        <v>48961</v>
      </c>
      <c r="E14735" s="0" t="s">
        <v>75</v>
      </c>
      <c r="F14735" s="0" t="s">
        <v>15</v>
      </c>
      <c r="G14735" s="0" t="s">
        <v>32</v>
      </c>
      <c r="H14735" s="0" t="n">
        <v>56</v>
      </c>
      <c r="I14735" s="0" t="s">
        <v>48965</v>
      </c>
      <c r="J14735" s="0" t="s">
        <v>48966</v>
      </c>
      <c r="K14735" s="0" t="s">
        <v>48967</v>
      </c>
      <c r="L14735" s="0" t="str">
        <f aca="false">HYPERLINK("https://www.ncbi.nlm.nih.gov/nuccore/CP000058.1?report=graph&amp;tracks=[key:gene_model_track,Options:GeneOnly]&amp;mk=4555202:4555221|offset_20|444444,4555238:4555257|offset_56|00cc00,4555291:4555310|offset_109|444444,4555319:4555338|offset_137|444444&amp;v=4555001:4555538&amp;c=444444", "offset 56")</f>
        <v>offset 56</v>
      </c>
    </row>
    <row r="14736" customFormat="false" ht="12.8" hidden="false" customHeight="false" outlineLevel="0" collapsed="false">
      <c r="A14736" s="0" t="s">
        <v>12</v>
      </c>
      <c r="B14736" s="0" t="n">
        <v>4555290</v>
      </c>
      <c r="C14736" s="0" t="n">
        <v>4555310</v>
      </c>
      <c r="D14736" s="0" t="s">
        <v>48961</v>
      </c>
      <c r="E14736" s="0" t="s">
        <v>75</v>
      </c>
      <c r="F14736" s="0" t="s">
        <v>15</v>
      </c>
      <c r="G14736" s="0" t="s">
        <v>36</v>
      </c>
      <c r="H14736" s="0" t="n">
        <v>109</v>
      </c>
      <c r="I14736" s="0" t="s">
        <v>48968</v>
      </c>
      <c r="J14736" s="0" t="s">
        <v>48969</v>
      </c>
      <c r="K14736" s="0" t="s">
        <v>48970</v>
      </c>
      <c r="L14736" s="0" t="str">
        <f aca="false">HYPERLINK("https://www.ncbi.nlm.nih.gov/nuccore/CP000058.1?report=graph&amp;tracks=[key:gene_model_track,Options:GeneOnly]&amp;mk=4555202:4555221|offset_20|444444,4555238:4555257|offset_56|444444,4555291:4555310|offset_109|00cc00,4555319:4555338|offset_137|444444&amp;v=4555001:4555538&amp;c=444444", "offset 109")</f>
        <v>offset 109</v>
      </c>
    </row>
    <row r="14737" customFormat="false" ht="12.8" hidden="false" customHeight="false" outlineLevel="0" collapsed="false">
      <c r="A14737" s="0" t="s">
        <v>12</v>
      </c>
      <c r="B14737" s="0" t="n">
        <v>4555318</v>
      </c>
      <c r="C14737" s="0" t="n">
        <v>4555338</v>
      </c>
      <c r="D14737" s="0" t="s">
        <v>48961</v>
      </c>
      <c r="E14737" s="0" t="s">
        <v>75</v>
      </c>
      <c r="F14737" s="0" t="s">
        <v>15</v>
      </c>
      <c r="G14737" s="0" t="s">
        <v>16</v>
      </c>
      <c r="H14737" s="0" t="n">
        <v>137</v>
      </c>
      <c r="I14737" s="0" t="s">
        <v>48971</v>
      </c>
      <c r="J14737" s="0" t="s">
        <v>48972</v>
      </c>
      <c r="K14737" s="0" t="s">
        <v>48973</v>
      </c>
      <c r="L14737" s="0" t="str">
        <f aca="false">HYPERLINK("https://www.ncbi.nlm.nih.gov/nuccore/CP000058.1?report=graph&amp;tracks=[key:gene_model_track,Options:GeneOnly]&amp;mk=4555202:4555221|offset_20|444444,4555238:4555257|offset_56|444444,4555291:4555310|offset_109|444444,4555319:4555338|offset_137|00cc00&amp;v=4555001:4555538&amp;c=444444", "offset 137")</f>
        <v>offset 137</v>
      </c>
    </row>
    <row r="14738" customFormat="false" ht="12.8" hidden="false" customHeight="false" outlineLevel="0" collapsed="false">
      <c r="A14738" s="0" t="s">
        <v>12</v>
      </c>
      <c r="B14738" s="0" t="n">
        <v>4557896</v>
      </c>
      <c r="C14738" s="0" t="n">
        <v>4557916</v>
      </c>
      <c r="D14738" s="0" t="s">
        <v>48974</v>
      </c>
      <c r="E14738" s="0" t="s">
        <v>48975</v>
      </c>
      <c r="F14738" s="0" t="s">
        <v>90</v>
      </c>
      <c r="G14738" s="0" t="s">
        <v>20</v>
      </c>
      <c r="H14738" s="0" t="n">
        <v>47</v>
      </c>
      <c r="I14738" s="0" t="s">
        <v>48976</v>
      </c>
      <c r="J14738" s="0" t="s">
        <v>48977</v>
      </c>
      <c r="K14738" s="0" t="s">
        <v>48978</v>
      </c>
      <c r="L14738" s="0" t="str">
        <f aca="false">HYPERLINK("https://www.ncbi.nlm.nih.gov/nuccore/CP000058.1?report=graph&amp;tracks=[key:gene_model_track,Options:GeneOnly]&amp;mk=4557897:4557916|offset_47|00cc00,4557873:4557892|offset_71|444444,4557841:4557860|offset_103|444444,4557817:4557836|offset_127|444444&amp;v=4557696:4558036&amp;c=444444", "offset 47")</f>
        <v>offset 47</v>
      </c>
    </row>
    <row r="14739" customFormat="false" ht="12.8" hidden="false" customHeight="false" outlineLevel="0" collapsed="false">
      <c r="A14739" s="0" t="s">
        <v>12</v>
      </c>
      <c r="B14739" s="0" t="n">
        <v>4557872</v>
      </c>
      <c r="C14739" s="0" t="n">
        <v>4557892</v>
      </c>
      <c r="D14739" s="0" t="s">
        <v>48974</v>
      </c>
      <c r="E14739" s="0" t="s">
        <v>48975</v>
      </c>
      <c r="F14739" s="0" t="s">
        <v>90</v>
      </c>
      <c r="G14739" s="0" t="s">
        <v>20</v>
      </c>
      <c r="H14739" s="0" t="n">
        <v>71</v>
      </c>
      <c r="I14739" s="0" t="s">
        <v>48979</v>
      </c>
      <c r="J14739" s="0" t="s">
        <v>48980</v>
      </c>
      <c r="K14739" s="0" t="s">
        <v>48981</v>
      </c>
      <c r="L14739" s="0" t="str">
        <f aca="false">HYPERLINK("https://www.ncbi.nlm.nih.gov/nuccore/CP000058.1?report=graph&amp;tracks=[key:gene_model_track,Options:GeneOnly]&amp;mk=4557897:4557916|offset_47|444444,4557873:4557892|offset_71|00cc00,4557841:4557860|offset_103|444444,4557817:4557836|offset_127|444444&amp;v=4557696:4558036&amp;c=444444", "offset 71")</f>
        <v>offset 71</v>
      </c>
    </row>
    <row r="14740" customFormat="false" ht="12.8" hidden="false" customHeight="false" outlineLevel="0" collapsed="false">
      <c r="A14740" s="0" t="s">
        <v>12</v>
      </c>
      <c r="B14740" s="0" t="n">
        <v>4557840</v>
      </c>
      <c r="C14740" s="0" t="n">
        <v>4557860</v>
      </c>
      <c r="D14740" s="0" t="s">
        <v>48974</v>
      </c>
      <c r="E14740" s="0" t="s">
        <v>48975</v>
      </c>
      <c r="F14740" s="0" t="s">
        <v>90</v>
      </c>
      <c r="G14740" s="0" t="s">
        <v>32</v>
      </c>
      <c r="H14740" s="0" t="n">
        <v>103</v>
      </c>
      <c r="I14740" s="0" t="s">
        <v>48982</v>
      </c>
      <c r="J14740" s="0" t="s">
        <v>48983</v>
      </c>
      <c r="K14740" s="0" t="s">
        <v>48984</v>
      </c>
      <c r="L14740" s="0" t="str">
        <f aca="false">HYPERLINK("https://www.ncbi.nlm.nih.gov/nuccore/CP000058.1?report=graph&amp;tracks=[key:gene_model_track,Options:GeneOnly]&amp;mk=4557897:4557916|offset_47|444444,4557873:4557892|offset_71|444444,4557841:4557860|offset_103|00cc00,4557817:4557836|offset_127|444444&amp;v=4557696:4558036&amp;c=444444", "offset 103")</f>
        <v>offset 103</v>
      </c>
    </row>
    <row r="14741" customFormat="false" ht="12.8" hidden="false" customHeight="false" outlineLevel="0" collapsed="false">
      <c r="A14741" s="0" t="s">
        <v>12</v>
      </c>
      <c r="B14741" s="0" t="n">
        <v>4557816</v>
      </c>
      <c r="C14741" s="0" t="n">
        <v>4557836</v>
      </c>
      <c r="D14741" s="0" t="s">
        <v>48974</v>
      </c>
      <c r="E14741" s="0" t="s">
        <v>48975</v>
      </c>
      <c r="F14741" s="0" t="s">
        <v>90</v>
      </c>
      <c r="G14741" s="0" t="s">
        <v>16</v>
      </c>
      <c r="H14741" s="0" t="n">
        <v>127</v>
      </c>
      <c r="I14741" s="0" t="s">
        <v>48985</v>
      </c>
      <c r="J14741" s="0" t="s">
        <v>48986</v>
      </c>
      <c r="K14741" s="0" t="s">
        <v>48987</v>
      </c>
      <c r="L14741" s="0" t="str">
        <f aca="false">HYPERLINK("https://www.ncbi.nlm.nih.gov/nuccore/CP000058.1?report=graph&amp;tracks=[key:gene_model_track,Options:GeneOnly]&amp;mk=4557897:4557916|offset_47|444444,4557873:4557892|offset_71|444444,4557841:4557860|offset_103|444444,4557817:4557836|offset_127|00cc00&amp;v=4557696:4558036&amp;c=444444", "offset 127")</f>
        <v>offset 127</v>
      </c>
    </row>
    <row r="14742" customFormat="false" ht="12.8" hidden="false" customHeight="false" outlineLevel="0" collapsed="false">
      <c r="A14742" s="0" t="s">
        <v>12</v>
      </c>
      <c r="B14742" s="0" t="n">
        <v>4558495</v>
      </c>
      <c r="C14742" s="0" t="n">
        <v>4558515</v>
      </c>
      <c r="D14742" s="0" t="s">
        <v>48988</v>
      </c>
      <c r="E14742" s="0" t="s">
        <v>75</v>
      </c>
      <c r="F14742" s="0" t="s">
        <v>90</v>
      </c>
      <c r="G14742" s="0" t="s">
        <v>36</v>
      </c>
      <c r="H14742" s="0" t="n">
        <v>18</v>
      </c>
      <c r="I14742" s="0" t="s">
        <v>48989</v>
      </c>
      <c r="J14742" s="0" t="s">
        <v>48990</v>
      </c>
      <c r="K14742" s="0" t="s">
        <v>48991</v>
      </c>
      <c r="L14742" s="0" t="str">
        <f aca="false">HYPERLINK("https://www.ncbi.nlm.nih.gov/nuccore/CP000058.1?report=graph&amp;tracks=[key:gene_model_track,Options:GeneOnly]&amp;mk=4558496:4558515|offset_18|00cc00,4558442:4558461|offset_72|444444,4558405:4558424|offset_109|444444,4558329:4558348|offset_185|444444&amp;v=4558295:4558548&amp;c=444444", "offset 18")</f>
        <v>offset 18</v>
      </c>
    </row>
    <row r="14743" customFormat="false" ht="12.8" hidden="false" customHeight="false" outlineLevel="0" collapsed="false">
      <c r="A14743" s="0" t="s">
        <v>12</v>
      </c>
      <c r="B14743" s="0" t="n">
        <v>4558441</v>
      </c>
      <c r="C14743" s="0" t="n">
        <v>4558461</v>
      </c>
      <c r="D14743" s="0" t="s">
        <v>48988</v>
      </c>
      <c r="E14743" s="0" t="s">
        <v>75</v>
      </c>
      <c r="F14743" s="0" t="s">
        <v>90</v>
      </c>
      <c r="G14743" s="0" t="s">
        <v>16</v>
      </c>
      <c r="H14743" s="0" t="n">
        <v>72</v>
      </c>
      <c r="I14743" s="0" t="s">
        <v>48992</v>
      </c>
      <c r="J14743" s="0" t="s">
        <v>48993</v>
      </c>
      <c r="K14743" s="0" t="s">
        <v>48994</v>
      </c>
      <c r="L14743" s="0" t="str">
        <f aca="false">HYPERLINK("https://www.ncbi.nlm.nih.gov/nuccore/CP000058.1?report=graph&amp;tracks=[key:gene_model_track,Options:GeneOnly]&amp;mk=4558496:4558515|offset_18|444444,4558442:4558461|offset_72|00cc00,4558405:4558424|offset_109|444444,4558329:4558348|offset_185|444444&amp;v=4558295:4558548&amp;c=444444", "offset 72")</f>
        <v>offset 72</v>
      </c>
    </row>
    <row r="14744" customFormat="false" ht="12.8" hidden="false" customHeight="false" outlineLevel="0" collapsed="false">
      <c r="A14744" s="0" t="s">
        <v>12</v>
      </c>
      <c r="B14744" s="0" t="n">
        <v>4558404</v>
      </c>
      <c r="C14744" s="0" t="n">
        <v>4558424</v>
      </c>
      <c r="D14744" s="0" t="s">
        <v>48988</v>
      </c>
      <c r="E14744" s="0" t="s">
        <v>75</v>
      </c>
      <c r="F14744" s="0" t="s">
        <v>90</v>
      </c>
      <c r="G14744" s="0" t="s">
        <v>32</v>
      </c>
      <c r="H14744" s="0" t="n">
        <v>109</v>
      </c>
      <c r="I14744" s="0" t="s">
        <v>48995</v>
      </c>
      <c r="J14744" s="0" t="s">
        <v>48996</v>
      </c>
      <c r="K14744" s="0" t="s">
        <v>48997</v>
      </c>
      <c r="L14744" s="0" t="str">
        <f aca="false">HYPERLINK("https://www.ncbi.nlm.nih.gov/nuccore/CP000058.1?report=graph&amp;tracks=[key:gene_model_track,Options:GeneOnly]&amp;mk=4558496:4558515|offset_18|444444,4558442:4558461|offset_72|444444,4558405:4558424|offset_109|00cc00,4558329:4558348|offset_185|444444&amp;v=4558295:4558548&amp;c=444444", "offset 109")</f>
        <v>offset 109</v>
      </c>
    </row>
    <row r="14745" customFormat="false" ht="12.8" hidden="false" customHeight="false" outlineLevel="0" collapsed="false">
      <c r="A14745" s="0" t="s">
        <v>12</v>
      </c>
      <c r="B14745" s="0" t="n">
        <v>4558328</v>
      </c>
      <c r="C14745" s="0" t="n">
        <v>4558348</v>
      </c>
      <c r="D14745" s="0" t="s">
        <v>48988</v>
      </c>
      <c r="E14745" s="0" t="s">
        <v>75</v>
      </c>
      <c r="F14745" s="0" t="s">
        <v>90</v>
      </c>
      <c r="G14745" s="0" t="s">
        <v>20</v>
      </c>
      <c r="H14745" s="0" t="n">
        <v>185</v>
      </c>
      <c r="I14745" s="0" t="s">
        <v>48998</v>
      </c>
      <c r="J14745" s="0" t="s">
        <v>48999</v>
      </c>
      <c r="K14745" s="0" t="s">
        <v>49000</v>
      </c>
      <c r="L14745" s="0" t="str">
        <f aca="false">HYPERLINK("https://www.ncbi.nlm.nih.gov/nuccore/CP000058.1?report=graph&amp;tracks=[key:gene_model_track,Options:GeneOnly]&amp;mk=4558496:4558515|offset_18|444444,4558442:4558461|offset_72|444444,4558405:4558424|offset_109|444444,4558329:4558348|offset_185|00cc00&amp;v=4558295:4558548&amp;c=444444", "offset 185")</f>
        <v>offset 185</v>
      </c>
    </row>
    <row r="14746" customFormat="false" ht="12.8" hidden="false" customHeight="false" outlineLevel="0" collapsed="false">
      <c r="A14746" s="0" t="s">
        <v>12</v>
      </c>
      <c r="B14746" s="0" t="n">
        <v>4559673</v>
      </c>
      <c r="C14746" s="0" t="n">
        <v>4559693</v>
      </c>
      <c r="D14746" s="0" t="s">
        <v>49001</v>
      </c>
      <c r="E14746" s="0" t="s">
        <v>49002</v>
      </c>
      <c r="F14746" s="0" t="s">
        <v>90</v>
      </c>
      <c r="G14746" s="0" t="s">
        <v>20</v>
      </c>
      <c r="H14746" s="0" t="n">
        <v>13</v>
      </c>
      <c r="I14746" s="0" t="s">
        <v>49003</v>
      </c>
      <c r="J14746" s="0" t="s">
        <v>49004</v>
      </c>
      <c r="K14746" s="0" t="s">
        <v>49005</v>
      </c>
      <c r="L14746" s="0" t="str">
        <f aca="false">HYPERLINK("https://www.ncbi.nlm.nih.gov/nuccore/CP000058.1?report=graph&amp;tracks=[key:gene_model_track,Options:GeneOnly]&amp;mk=4559674:4559693|offset_13|00cc00,4559623:4559642|offset_64|444444,4559575:4559594|offset_112|444444,4559554:4559573|offset_133|444444&amp;v=4559473:4559773&amp;c=444444", "offset 13")</f>
        <v>offset 13</v>
      </c>
    </row>
    <row r="14747" customFormat="false" ht="12.8" hidden="false" customHeight="false" outlineLevel="0" collapsed="false">
      <c r="A14747" s="0" t="s">
        <v>12</v>
      </c>
      <c r="B14747" s="0" t="n">
        <v>4559622</v>
      </c>
      <c r="C14747" s="0" t="n">
        <v>4559642</v>
      </c>
      <c r="D14747" s="0" t="s">
        <v>49001</v>
      </c>
      <c r="E14747" s="0" t="s">
        <v>49002</v>
      </c>
      <c r="F14747" s="0" t="s">
        <v>90</v>
      </c>
      <c r="G14747" s="0" t="s">
        <v>32</v>
      </c>
      <c r="H14747" s="0" t="n">
        <v>64</v>
      </c>
      <c r="I14747" s="0" t="s">
        <v>49006</v>
      </c>
      <c r="J14747" s="0" t="s">
        <v>49007</v>
      </c>
      <c r="K14747" s="0" t="s">
        <v>49008</v>
      </c>
      <c r="L14747" s="0" t="str">
        <f aca="false">HYPERLINK("https://www.ncbi.nlm.nih.gov/nuccore/CP000058.1?report=graph&amp;tracks=[key:gene_model_track,Options:GeneOnly]&amp;mk=4559674:4559693|offset_13|444444,4559623:4559642|offset_64|00cc00,4559575:4559594|offset_112|444444,4559554:4559573|offset_133|444444&amp;v=4559473:4559773&amp;c=444444", "offset 64")</f>
        <v>offset 64</v>
      </c>
    </row>
    <row r="14748" customFormat="false" ht="12.8" hidden="false" customHeight="false" outlineLevel="0" collapsed="false">
      <c r="A14748" s="0" t="s">
        <v>12</v>
      </c>
      <c r="B14748" s="0" t="n">
        <v>4559574</v>
      </c>
      <c r="C14748" s="0" t="n">
        <v>4559594</v>
      </c>
      <c r="D14748" s="0" t="s">
        <v>49001</v>
      </c>
      <c r="E14748" s="0" t="s">
        <v>49002</v>
      </c>
      <c r="F14748" s="0" t="s">
        <v>90</v>
      </c>
      <c r="G14748" s="0" t="s">
        <v>16</v>
      </c>
      <c r="H14748" s="0" t="n">
        <v>112</v>
      </c>
      <c r="I14748" s="0" t="s">
        <v>49009</v>
      </c>
      <c r="J14748" s="0" t="s">
        <v>49010</v>
      </c>
      <c r="K14748" s="0" t="s">
        <v>49011</v>
      </c>
      <c r="L14748" s="0" t="str">
        <f aca="false">HYPERLINK("https://www.ncbi.nlm.nih.gov/nuccore/CP000058.1?report=graph&amp;tracks=[key:gene_model_track,Options:GeneOnly]&amp;mk=4559674:4559693|offset_13|444444,4559623:4559642|offset_64|444444,4559575:4559594|offset_112|00cc00,4559554:4559573|offset_133|444444&amp;v=4559473:4559773&amp;c=444444", "offset 112")</f>
        <v>offset 112</v>
      </c>
    </row>
    <row r="14749" customFormat="false" ht="12.8" hidden="false" customHeight="false" outlineLevel="0" collapsed="false">
      <c r="A14749" s="0" t="s">
        <v>12</v>
      </c>
      <c r="B14749" s="0" t="n">
        <v>4559553</v>
      </c>
      <c r="C14749" s="0" t="n">
        <v>4559573</v>
      </c>
      <c r="D14749" s="0" t="s">
        <v>49001</v>
      </c>
      <c r="E14749" s="0" t="s">
        <v>49002</v>
      </c>
      <c r="F14749" s="0" t="s">
        <v>90</v>
      </c>
      <c r="G14749" s="0" t="s">
        <v>16</v>
      </c>
      <c r="H14749" s="0" t="n">
        <v>133</v>
      </c>
      <c r="I14749" s="0" t="s">
        <v>49012</v>
      </c>
      <c r="J14749" s="0" t="s">
        <v>49013</v>
      </c>
      <c r="K14749" s="0" t="s">
        <v>49014</v>
      </c>
      <c r="L14749" s="0" t="str">
        <f aca="false">HYPERLINK("https://www.ncbi.nlm.nih.gov/nuccore/CP000058.1?report=graph&amp;tracks=[key:gene_model_track,Options:GeneOnly]&amp;mk=4559674:4559693|offset_13|444444,4559623:4559642|offset_64|444444,4559575:4559594|offset_112|444444,4559554:4559573|offset_133|00cc00&amp;v=4559473:4559773&amp;c=444444", "offset 133")</f>
        <v>offset 133</v>
      </c>
    </row>
    <row r="14750" customFormat="false" ht="12.8" hidden="false" customHeight="false" outlineLevel="0" collapsed="false">
      <c r="A14750" s="0" t="s">
        <v>12</v>
      </c>
      <c r="B14750" s="0" t="n">
        <v>4561041</v>
      </c>
      <c r="C14750" s="0" t="n">
        <v>4561061</v>
      </c>
      <c r="D14750" s="0" t="s">
        <v>49015</v>
      </c>
      <c r="E14750" s="0" t="s">
        <v>75</v>
      </c>
      <c r="F14750" s="0" t="s">
        <v>90</v>
      </c>
      <c r="G14750" s="0" t="s">
        <v>36</v>
      </c>
      <c r="H14750" s="0" t="n">
        <v>16</v>
      </c>
      <c r="I14750" s="0" t="s">
        <v>49016</v>
      </c>
      <c r="J14750" s="0" t="s">
        <v>49017</v>
      </c>
      <c r="K14750" s="0" t="s">
        <v>49018</v>
      </c>
      <c r="L14750" s="0" t="str">
        <f aca="false">HYPERLINK("https://www.ncbi.nlm.nih.gov/nuccore/CP000058.1?report=graph&amp;tracks=[key:gene_model_track,Options:GeneOnly]&amp;mk=4561042:4561061|offset_16|00cc00,4561018:4561037|offset_40|444444,4560993:4561012|offset_65|444444,4560943:4560962|offset_115|444444&amp;v=4560841:4561162&amp;c=444444", "offset 16")</f>
        <v>offset 16</v>
      </c>
    </row>
    <row r="14751" customFormat="false" ht="12.8" hidden="false" customHeight="false" outlineLevel="0" collapsed="false">
      <c r="A14751" s="0" t="s">
        <v>12</v>
      </c>
      <c r="B14751" s="0" t="n">
        <v>4561017</v>
      </c>
      <c r="C14751" s="0" t="n">
        <v>4561037</v>
      </c>
      <c r="D14751" s="0" t="s">
        <v>49015</v>
      </c>
      <c r="E14751" s="0" t="s">
        <v>75</v>
      </c>
      <c r="F14751" s="0" t="s">
        <v>90</v>
      </c>
      <c r="G14751" s="0" t="s">
        <v>16</v>
      </c>
      <c r="H14751" s="0" t="n">
        <v>40</v>
      </c>
      <c r="I14751" s="0" t="s">
        <v>49019</v>
      </c>
      <c r="J14751" s="0" t="s">
        <v>49020</v>
      </c>
      <c r="K14751" s="0" t="s">
        <v>49021</v>
      </c>
      <c r="L14751" s="0" t="str">
        <f aca="false">HYPERLINK("https://www.ncbi.nlm.nih.gov/nuccore/CP000058.1?report=graph&amp;tracks=[key:gene_model_track,Options:GeneOnly]&amp;mk=4561042:4561061|offset_16|444444,4561018:4561037|offset_40|00cc00,4560993:4561012|offset_65|444444,4560943:4560962|offset_115|444444&amp;v=4560841:4561162&amp;c=444444", "offset 40")</f>
        <v>offset 40</v>
      </c>
    </row>
    <row r="14752" customFormat="false" ht="12.8" hidden="false" customHeight="false" outlineLevel="0" collapsed="false">
      <c r="A14752" s="0" t="s">
        <v>12</v>
      </c>
      <c r="B14752" s="0" t="n">
        <v>4560992</v>
      </c>
      <c r="C14752" s="0" t="n">
        <v>4561012</v>
      </c>
      <c r="D14752" s="0" t="s">
        <v>49015</v>
      </c>
      <c r="E14752" s="0" t="s">
        <v>75</v>
      </c>
      <c r="F14752" s="0" t="s">
        <v>90</v>
      </c>
      <c r="G14752" s="0" t="s">
        <v>20</v>
      </c>
      <c r="H14752" s="0" t="n">
        <v>65</v>
      </c>
      <c r="I14752" s="0" t="s">
        <v>49022</v>
      </c>
      <c r="J14752" s="0" t="s">
        <v>49023</v>
      </c>
      <c r="K14752" s="0" t="s">
        <v>49024</v>
      </c>
      <c r="L14752" s="0" t="str">
        <f aca="false">HYPERLINK("https://www.ncbi.nlm.nih.gov/nuccore/CP000058.1?report=graph&amp;tracks=[key:gene_model_track,Options:GeneOnly]&amp;mk=4561042:4561061|offset_16|444444,4561018:4561037|offset_40|444444,4560993:4561012|offset_65|00cc00,4560943:4560962|offset_115|444444&amp;v=4560841:4561162&amp;c=444444", "offset 65")</f>
        <v>offset 65</v>
      </c>
    </row>
    <row r="14753" customFormat="false" ht="12.8" hidden="false" customHeight="false" outlineLevel="0" collapsed="false">
      <c r="A14753" s="0" t="s">
        <v>12</v>
      </c>
      <c r="B14753" s="0" t="n">
        <v>4560942</v>
      </c>
      <c r="C14753" s="0" t="n">
        <v>4560962</v>
      </c>
      <c r="D14753" s="0" t="s">
        <v>49015</v>
      </c>
      <c r="E14753" s="0" t="s">
        <v>75</v>
      </c>
      <c r="F14753" s="0" t="s">
        <v>90</v>
      </c>
      <c r="G14753" s="0" t="s">
        <v>32</v>
      </c>
      <c r="H14753" s="0" t="n">
        <v>115</v>
      </c>
      <c r="I14753" s="0" t="s">
        <v>49025</v>
      </c>
      <c r="J14753" s="0" t="s">
        <v>49026</v>
      </c>
      <c r="K14753" s="0" t="s">
        <v>49027</v>
      </c>
      <c r="L14753" s="0" t="str">
        <f aca="false">HYPERLINK("https://www.ncbi.nlm.nih.gov/nuccore/CP000058.1?report=graph&amp;tracks=[key:gene_model_track,Options:GeneOnly]&amp;mk=4561042:4561061|offset_16|444444,4561018:4561037|offset_40|444444,4560993:4561012|offset_65|444444,4560943:4560962|offset_115|00cc00&amp;v=4560841:4561162&amp;c=444444", "offset 115")</f>
        <v>offset 115</v>
      </c>
    </row>
    <row r="14754" customFormat="false" ht="12.8" hidden="false" customHeight="false" outlineLevel="0" collapsed="false">
      <c r="A14754" s="0" t="s">
        <v>12</v>
      </c>
      <c r="B14754" s="0" t="n">
        <v>4561432</v>
      </c>
      <c r="C14754" s="0" t="n">
        <v>4561452</v>
      </c>
      <c r="D14754" s="0" t="s">
        <v>49028</v>
      </c>
      <c r="E14754" s="0" t="s">
        <v>75</v>
      </c>
      <c r="F14754" s="0" t="s">
        <v>15</v>
      </c>
      <c r="G14754" s="0" t="s">
        <v>36</v>
      </c>
      <c r="H14754" s="0" t="n">
        <v>60</v>
      </c>
      <c r="I14754" s="0" t="s">
        <v>49029</v>
      </c>
      <c r="J14754" s="0" t="s">
        <v>49030</v>
      </c>
      <c r="K14754" s="0" t="s">
        <v>49031</v>
      </c>
      <c r="L14754" s="0" t="str">
        <f aca="false">HYPERLINK("https://www.ncbi.nlm.nih.gov/nuccore/CP000058.1?report=graph&amp;tracks=[key:gene_model_track,Options:GeneOnly]&amp;mk=4561433:4561452|offset_60|00cc00,4561480:4561499|offset_107|444444,4561503:4561522|offset_130|444444,4561545:4561564|offset_172|444444&amp;v=4561232:4561764&amp;c=444444", "offset 60")</f>
        <v>offset 60</v>
      </c>
    </row>
    <row r="14755" customFormat="false" ht="12.8" hidden="false" customHeight="false" outlineLevel="0" collapsed="false">
      <c r="A14755" s="0" t="s">
        <v>12</v>
      </c>
      <c r="B14755" s="0" t="n">
        <v>4561479</v>
      </c>
      <c r="C14755" s="0" t="n">
        <v>4561499</v>
      </c>
      <c r="D14755" s="0" t="s">
        <v>49028</v>
      </c>
      <c r="E14755" s="0" t="s">
        <v>75</v>
      </c>
      <c r="F14755" s="0" t="s">
        <v>15</v>
      </c>
      <c r="G14755" s="0" t="s">
        <v>16</v>
      </c>
      <c r="H14755" s="0" t="n">
        <v>107</v>
      </c>
      <c r="I14755" s="0" t="s">
        <v>49032</v>
      </c>
      <c r="J14755" s="0" t="s">
        <v>49033</v>
      </c>
      <c r="K14755" s="0" t="s">
        <v>49034</v>
      </c>
      <c r="L14755" s="0" t="str">
        <f aca="false">HYPERLINK("https://www.ncbi.nlm.nih.gov/nuccore/CP000058.1?report=graph&amp;tracks=[key:gene_model_track,Options:GeneOnly]&amp;mk=4561433:4561452|offset_60|444444,4561480:4561499|offset_107|00cc00,4561503:4561522|offset_130|444444,4561545:4561564|offset_172|444444&amp;v=4561232:4561764&amp;c=444444", "offset 107")</f>
        <v>offset 107</v>
      </c>
    </row>
    <row r="14756" customFormat="false" ht="12.8" hidden="false" customHeight="false" outlineLevel="0" collapsed="false">
      <c r="A14756" s="0" t="s">
        <v>12</v>
      </c>
      <c r="B14756" s="0" t="n">
        <v>4561502</v>
      </c>
      <c r="C14756" s="0" t="n">
        <v>4561522</v>
      </c>
      <c r="D14756" s="0" t="s">
        <v>49028</v>
      </c>
      <c r="E14756" s="0" t="s">
        <v>75</v>
      </c>
      <c r="F14756" s="0" t="s">
        <v>15</v>
      </c>
      <c r="G14756" s="0" t="s">
        <v>32</v>
      </c>
      <c r="H14756" s="0" t="n">
        <v>130</v>
      </c>
      <c r="I14756" s="0" t="s">
        <v>49035</v>
      </c>
      <c r="J14756" s="0" t="s">
        <v>49036</v>
      </c>
      <c r="K14756" s="0" t="s">
        <v>49037</v>
      </c>
      <c r="L14756" s="0" t="str">
        <f aca="false">HYPERLINK("https://www.ncbi.nlm.nih.gov/nuccore/CP000058.1?report=graph&amp;tracks=[key:gene_model_track,Options:GeneOnly]&amp;mk=4561433:4561452|offset_60|444444,4561480:4561499|offset_107|444444,4561503:4561522|offset_130|00cc00,4561545:4561564|offset_172|444444&amp;v=4561232:4561764&amp;c=444444", "offset 130")</f>
        <v>offset 130</v>
      </c>
    </row>
    <row r="14757" customFormat="false" ht="12.8" hidden="false" customHeight="false" outlineLevel="0" collapsed="false">
      <c r="A14757" s="0" t="s">
        <v>12</v>
      </c>
      <c r="B14757" s="0" t="n">
        <v>4561544</v>
      </c>
      <c r="C14757" s="0" t="n">
        <v>4561564</v>
      </c>
      <c r="D14757" s="0" t="s">
        <v>49028</v>
      </c>
      <c r="E14757" s="0" t="s">
        <v>75</v>
      </c>
      <c r="F14757" s="0" t="s">
        <v>15</v>
      </c>
      <c r="G14757" s="0" t="s">
        <v>36</v>
      </c>
      <c r="H14757" s="0" t="n">
        <v>172</v>
      </c>
      <c r="I14757" s="0" t="s">
        <v>49038</v>
      </c>
      <c r="J14757" s="0" t="s">
        <v>49039</v>
      </c>
      <c r="K14757" s="0" t="s">
        <v>49040</v>
      </c>
      <c r="L14757" s="0" t="str">
        <f aca="false">HYPERLINK("https://www.ncbi.nlm.nih.gov/nuccore/CP000058.1?report=graph&amp;tracks=[key:gene_model_track,Options:GeneOnly]&amp;mk=4561433:4561452|offset_60|444444,4561480:4561499|offset_107|444444,4561503:4561522|offset_130|444444,4561545:4561564|offset_172|00cc00&amp;v=4561232:4561764&amp;c=444444", "offset 172")</f>
        <v>offset 172</v>
      </c>
    </row>
    <row r="14758" customFormat="false" ht="12.8" hidden="false" customHeight="false" outlineLevel="0" collapsed="false">
      <c r="A14758" s="0" t="s">
        <v>12</v>
      </c>
      <c r="B14758" s="0" t="n">
        <v>4564210</v>
      </c>
      <c r="C14758" s="0" t="n">
        <v>4564230</v>
      </c>
      <c r="D14758" s="0" t="s">
        <v>49041</v>
      </c>
      <c r="E14758" s="0" t="s">
        <v>75</v>
      </c>
      <c r="F14758" s="0" t="s">
        <v>90</v>
      </c>
      <c r="G14758" s="0" t="s">
        <v>16</v>
      </c>
      <c r="H14758" s="0" t="n">
        <v>40</v>
      </c>
      <c r="I14758" s="0" t="s">
        <v>49042</v>
      </c>
      <c r="J14758" s="0" t="s">
        <v>49043</v>
      </c>
      <c r="K14758" s="0" t="s">
        <v>49044</v>
      </c>
      <c r="L14758" s="0" t="str">
        <f aca="false">HYPERLINK("https://www.ncbi.nlm.nih.gov/nuccore/CP000058.1?report=graph&amp;tracks=[key:gene_model_track,Options:GeneOnly]&amp;mk=4564211:4564230|offset_40|00cc00,4564181:4564200|offset_70|444444,4564145:4564164|offset_106|444444,4564125:4564144|offset_126|444444&amp;v=4564010:4564344&amp;c=444444", "offset 40")</f>
        <v>offset 40</v>
      </c>
    </row>
    <row r="14759" customFormat="false" ht="12.8" hidden="false" customHeight="false" outlineLevel="0" collapsed="false">
      <c r="A14759" s="0" t="s">
        <v>12</v>
      </c>
      <c r="B14759" s="0" t="n">
        <v>4564180</v>
      </c>
      <c r="C14759" s="0" t="n">
        <v>4564200</v>
      </c>
      <c r="D14759" s="0" t="s">
        <v>49041</v>
      </c>
      <c r="E14759" s="0" t="s">
        <v>75</v>
      </c>
      <c r="F14759" s="0" t="s">
        <v>90</v>
      </c>
      <c r="G14759" s="0" t="s">
        <v>16</v>
      </c>
      <c r="H14759" s="0" t="n">
        <v>70</v>
      </c>
      <c r="I14759" s="0" t="s">
        <v>49045</v>
      </c>
      <c r="J14759" s="0" t="s">
        <v>49046</v>
      </c>
      <c r="K14759" s="0" t="s">
        <v>49047</v>
      </c>
      <c r="L14759" s="0" t="str">
        <f aca="false">HYPERLINK("https://www.ncbi.nlm.nih.gov/nuccore/CP000058.1?report=graph&amp;tracks=[key:gene_model_track,Options:GeneOnly]&amp;mk=4564211:4564230|offset_40|444444,4564181:4564200|offset_70|00cc00,4564145:4564164|offset_106|444444,4564125:4564144|offset_126|444444&amp;v=4564010:4564344&amp;c=444444", "offset 70")</f>
        <v>offset 70</v>
      </c>
    </row>
    <row r="14760" customFormat="false" ht="12.8" hidden="false" customHeight="false" outlineLevel="0" collapsed="false">
      <c r="A14760" s="0" t="s">
        <v>12</v>
      </c>
      <c r="B14760" s="0" t="n">
        <v>4564144</v>
      </c>
      <c r="C14760" s="0" t="n">
        <v>4564164</v>
      </c>
      <c r="D14760" s="0" t="s">
        <v>49041</v>
      </c>
      <c r="E14760" s="0" t="s">
        <v>75</v>
      </c>
      <c r="F14760" s="0" t="s">
        <v>90</v>
      </c>
      <c r="G14760" s="0" t="s">
        <v>16</v>
      </c>
      <c r="H14760" s="0" t="n">
        <v>106</v>
      </c>
      <c r="I14760" s="0" t="s">
        <v>49048</v>
      </c>
      <c r="J14760" s="0" t="s">
        <v>49049</v>
      </c>
      <c r="K14760" s="0" t="s">
        <v>49050</v>
      </c>
      <c r="L14760" s="0" t="str">
        <f aca="false">HYPERLINK("https://www.ncbi.nlm.nih.gov/nuccore/CP000058.1?report=graph&amp;tracks=[key:gene_model_track,Options:GeneOnly]&amp;mk=4564211:4564230|offset_40|444444,4564181:4564200|offset_70|444444,4564145:4564164|offset_106|00cc00,4564125:4564144|offset_126|444444&amp;v=4564010:4564344&amp;c=444444", "offset 106")</f>
        <v>offset 106</v>
      </c>
    </row>
    <row r="14761" customFormat="false" ht="12.8" hidden="false" customHeight="false" outlineLevel="0" collapsed="false">
      <c r="A14761" s="0" t="s">
        <v>12</v>
      </c>
      <c r="B14761" s="0" t="n">
        <v>4564124</v>
      </c>
      <c r="C14761" s="0" t="n">
        <v>4564144</v>
      </c>
      <c r="D14761" s="0" t="s">
        <v>49041</v>
      </c>
      <c r="E14761" s="0" t="s">
        <v>75</v>
      </c>
      <c r="F14761" s="0" t="s">
        <v>90</v>
      </c>
      <c r="G14761" s="0" t="s">
        <v>16</v>
      </c>
      <c r="H14761" s="0" t="n">
        <v>126</v>
      </c>
      <c r="I14761" s="0" t="s">
        <v>49051</v>
      </c>
      <c r="J14761" s="0" t="s">
        <v>49052</v>
      </c>
      <c r="K14761" s="0" t="s">
        <v>49053</v>
      </c>
      <c r="L14761" s="0" t="str">
        <f aca="false">HYPERLINK("https://www.ncbi.nlm.nih.gov/nuccore/CP000058.1?report=graph&amp;tracks=[key:gene_model_track,Options:GeneOnly]&amp;mk=4564211:4564230|offset_40|444444,4564181:4564200|offset_70|444444,4564145:4564164|offset_106|444444,4564125:4564144|offset_126|00cc00&amp;v=4564010:4564344&amp;c=444444", "offset 126")</f>
        <v>offset 126</v>
      </c>
    </row>
    <row r="14762" customFormat="false" ht="12.8" hidden="false" customHeight="false" outlineLevel="0" collapsed="false">
      <c r="A14762" s="0" t="s">
        <v>12</v>
      </c>
      <c r="B14762" s="0" t="n">
        <v>4564926</v>
      </c>
      <c r="C14762" s="0" t="n">
        <v>4564946</v>
      </c>
      <c r="D14762" s="0" t="s">
        <v>49054</v>
      </c>
      <c r="E14762" s="0" t="s">
        <v>75</v>
      </c>
      <c r="F14762" s="0" t="s">
        <v>90</v>
      </c>
      <c r="G14762" s="0" t="s">
        <v>16</v>
      </c>
      <c r="H14762" s="0" t="n">
        <v>28</v>
      </c>
      <c r="I14762" s="0" t="s">
        <v>49055</v>
      </c>
      <c r="J14762" s="0" t="s">
        <v>49056</v>
      </c>
      <c r="K14762" s="0" t="s">
        <v>49057</v>
      </c>
      <c r="L14762" s="0" t="str">
        <f aca="false">HYPERLINK("https://www.ncbi.nlm.nih.gov/nuccore/CP000058.1?report=graph&amp;tracks=[key:gene_model_track,Options:GeneOnly]&amp;mk=4564927:4564946|offset_28|00cc00,4564898:4564917|offset_57|444444,4564851:4564870|offset_104|444444,4564831:4564850|offset_124|444444&amp;v=4564726:4565050&amp;c=444444", "offset 28")</f>
        <v>offset 28</v>
      </c>
    </row>
    <row r="14763" customFormat="false" ht="12.8" hidden="false" customHeight="false" outlineLevel="0" collapsed="false">
      <c r="A14763" s="0" t="s">
        <v>12</v>
      </c>
      <c r="B14763" s="0" t="n">
        <v>4564897</v>
      </c>
      <c r="C14763" s="0" t="n">
        <v>4564917</v>
      </c>
      <c r="D14763" s="0" t="s">
        <v>49054</v>
      </c>
      <c r="E14763" s="0" t="s">
        <v>75</v>
      </c>
      <c r="F14763" s="0" t="s">
        <v>90</v>
      </c>
      <c r="G14763" s="0" t="s">
        <v>16</v>
      </c>
      <c r="H14763" s="0" t="n">
        <v>57</v>
      </c>
      <c r="I14763" s="0" t="s">
        <v>49058</v>
      </c>
      <c r="J14763" s="0" t="s">
        <v>49059</v>
      </c>
      <c r="K14763" s="0" t="s">
        <v>49060</v>
      </c>
      <c r="L14763" s="0" t="str">
        <f aca="false">HYPERLINK("https://www.ncbi.nlm.nih.gov/nuccore/CP000058.1?report=graph&amp;tracks=[key:gene_model_track,Options:GeneOnly]&amp;mk=4564927:4564946|offset_28|444444,4564898:4564917|offset_57|00cc00,4564851:4564870|offset_104|444444,4564831:4564850|offset_124|444444&amp;v=4564726:4565050&amp;c=444444", "offset 57")</f>
        <v>offset 57</v>
      </c>
    </row>
    <row r="14764" customFormat="false" ht="12.8" hidden="false" customHeight="false" outlineLevel="0" collapsed="false">
      <c r="A14764" s="0" t="s">
        <v>12</v>
      </c>
      <c r="B14764" s="0" t="n">
        <v>4564850</v>
      </c>
      <c r="C14764" s="0" t="n">
        <v>4564870</v>
      </c>
      <c r="D14764" s="0" t="s">
        <v>49054</v>
      </c>
      <c r="E14764" s="0" t="s">
        <v>75</v>
      </c>
      <c r="F14764" s="0" t="s">
        <v>90</v>
      </c>
      <c r="G14764" s="0" t="s">
        <v>32</v>
      </c>
      <c r="H14764" s="0" t="n">
        <v>104</v>
      </c>
      <c r="I14764" s="0" t="s">
        <v>49061</v>
      </c>
      <c r="J14764" s="0" t="s">
        <v>49062</v>
      </c>
      <c r="K14764" s="0" t="s">
        <v>49063</v>
      </c>
      <c r="L14764" s="0" t="str">
        <f aca="false">HYPERLINK("https://www.ncbi.nlm.nih.gov/nuccore/CP000058.1?report=graph&amp;tracks=[key:gene_model_track,Options:GeneOnly]&amp;mk=4564927:4564946|offset_28|444444,4564898:4564917|offset_57|444444,4564851:4564870|offset_104|00cc00,4564831:4564850|offset_124|444444&amp;v=4564726:4565050&amp;c=444444", "offset 104")</f>
        <v>offset 104</v>
      </c>
    </row>
    <row r="14765" customFormat="false" ht="12.8" hidden="false" customHeight="false" outlineLevel="0" collapsed="false">
      <c r="A14765" s="0" t="s">
        <v>12</v>
      </c>
      <c r="B14765" s="0" t="n">
        <v>4564830</v>
      </c>
      <c r="C14765" s="0" t="n">
        <v>4564850</v>
      </c>
      <c r="D14765" s="0" t="s">
        <v>49054</v>
      </c>
      <c r="E14765" s="0" t="s">
        <v>75</v>
      </c>
      <c r="F14765" s="0" t="s">
        <v>90</v>
      </c>
      <c r="G14765" s="0" t="s">
        <v>32</v>
      </c>
      <c r="H14765" s="0" t="n">
        <v>124</v>
      </c>
      <c r="I14765" s="0" t="s">
        <v>49064</v>
      </c>
      <c r="J14765" s="0" t="s">
        <v>49065</v>
      </c>
      <c r="K14765" s="0" t="s">
        <v>49066</v>
      </c>
      <c r="L14765" s="0" t="str">
        <f aca="false">HYPERLINK("https://www.ncbi.nlm.nih.gov/nuccore/CP000058.1?report=graph&amp;tracks=[key:gene_model_track,Options:GeneOnly]&amp;mk=4564927:4564946|offset_28|444444,4564898:4564917|offset_57|444444,4564851:4564870|offset_104|444444,4564831:4564850|offset_124|00cc00&amp;v=4564726:4565050&amp;c=444444", "offset 124")</f>
        <v>offset 124</v>
      </c>
    </row>
    <row r="14766" customFormat="false" ht="12.8" hidden="false" customHeight="false" outlineLevel="0" collapsed="false">
      <c r="A14766" s="0" t="s">
        <v>12</v>
      </c>
      <c r="B14766" s="0" t="n">
        <v>4565351</v>
      </c>
      <c r="C14766" s="0" t="n">
        <v>4565371</v>
      </c>
      <c r="D14766" s="0" t="s">
        <v>49067</v>
      </c>
      <c r="E14766" s="0" t="s">
        <v>49068</v>
      </c>
      <c r="F14766" s="0" t="s">
        <v>15</v>
      </c>
      <c r="G14766" s="0" t="s">
        <v>32</v>
      </c>
      <c r="H14766" s="0" t="n">
        <v>43</v>
      </c>
      <c r="I14766" s="0" t="s">
        <v>49069</v>
      </c>
      <c r="J14766" s="0" t="s">
        <v>49070</v>
      </c>
      <c r="K14766" s="0" t="s">
        <v>49071</v>
      </c>
      <c r="L14766" s="0" t="str">
        <f aca="false">HYPERLINK("https://www.ncbi.nlm.nih.gov/nuccore/CP000058.1?report=graph&amp;tracks=[key:gene_model_track,Options:GeneOnly]&amp;mk=4565352:4565371|offset_43|00cc00,4565379:4565398|offset_70|444444,4565406:4565425|offset_97|444444,4565445:4565464|offset_136|444444&amp;v=4565151:4565664&amp;c=444444", "offset 43")</f>
        <v>offset 43</v>
      </c>
    </row>
    <row r="14767" customFormat="false" ht="12.8" hidden="false" customHeight="false" outlineLevel="0" collapsed="false">
      <c r="A14767" s="0" t="s">
        <v>12</v>
      </c>
      <c r="B14767" s="0" t="n">
        <v>4565378</v>
      </c>
      <c r="C14767" s="0" t="n">
        <v>4565398</v>
      </c>
      <c r="D14767" s="0" t="s">
        <v>49067</v>
      </c>
      <c r="E14767" s="0" t="s">
        <v>49068</v>
      </c>
      <c r="F14767" s="0" t="s">
        <v>15</v>
      </c>
      <c r="G14767" s="0" t="s">
        <v>16</v>
      </c>
      <c r="H14767" s="0" t="n">
        <v>70</v>
      </c>
      <c r="I14767" s="0" t="s">
        <v>49072</v>
      </c>
      <c r="J14767" s="0" t="s">
        <v>49073</v>
      </c>
      <c r="K14767" s="0" t="s">
        <v>49074</v>
      </c>
      <c r="L14767" s="0" t="str">
        <f aca="false">HYPERLINK("https://www.ncbi.nlm.nih.gov/nuccore/CP000058.1?report=graph&amp;tracks=[key:gene_model_track,Options:GeneOnly]&amp;mk=4565352:4565371|offset_43|444444,4565379:4565398|offset_70|00cc00,4565406:4565425|offset_97|444444,4565445:4565464|offset_136|444444&amp;v=4565151:4565664&amp;c=444444", "offset 70")</f>
        <v>offset 70</v>
      </c>
    </row>
    <row r="14768" customFormat="false" ht="12.8" hidden="false" customHeight="false" outlineLevel="0" collapsed="false">
      <c r="A14768" s="0" t="s">
        <v>12</v>
      </c>
      <c r="B14768" s="0" t="n">
        <v>4565405</v>
      </c>
      <c r="C14768" s="0" t="n">
        <v>4565425</v>
      </c>
      <c r="D14768" s="0" t="s">
        <v>49067</v>
      </c>
      <c r="E14768" s="0" t="s">
        <v>49068</v>
      </c>
      <c r="F14768" s="0" t="s">
        <v>15</v>
      </c>
      <c r="G14768" s="0" t="s">
        <v>32</v>
      </c>
      <c r="H14768" s="0" t="n">
        <v>97</v>
      </c>
      <c r="I14768" s="0" t="s">
        <v>49075</v>
      </c>
      <c r="J14768" s="0" t="s">
        <v>49076</v>
      </c>
      <c r="K14768" s="0" t="s">
        <v>49077</v>
      </c>
      <c r="L14768" s="0" t="str">
        <f aca="false">HYPERLINK("https://www.ncbi.nlm.nih.gov/nuccore/CP000058.1?report=graph&amp;tracks=[key:gene_model_track,Options:GeneOnly]&amp;mk=4565352:4565371|offset_43|444444,4565379:4565398|offset_70|444444,4565406:4565425|offset_97|00cc00,4565445:4565464|offset_136|444444&amp;v=4565151:4565664&amp;c=444444", "offset 97")</f>
        <v>offset 97</v>
      </c>
    </row>
    <row r="14769" customFormat="false" ht="12.8" hidden="false" customHeight="false" outlineLevel="0" collapsed="false">
      <c r="A14769" s="0" t="s">
        <v>12</v>
      </c>
      <c r="B14769" s="0" t="n">
        <v>4565444</v>
      </c>
      <c r="C14769" s="0" t="n">
        <v>4565464</v>
      </c>
      <c r="D14769" s="0" t="s">
        <v>49067</v>
      </c>
      <c r="E14769" s="0" t="s">
        <v>49068</v>
      </c>
      <c r="F14769" s="0" t="s">
        <v>15</v>
      </c>
      <c r="G14769" s="0" t="s">
        <v>36</v>
      </c>
      <c r="H14769" s="0" t="n">
        <v>136</v>
      </c>
      <c r="I14769" s="0" t="s">
        <v>49078</v>
      </c>
      <c r="J14769" s="0" t="s">
        <v>49079</v>
      </c>
      <c r="K14769" s="0" t="s">
        <v>49080</v>
      </c>
      <c r="L14769" s="0" t="str">
        <f aca="false">HYPERLINK("https://www.ncbi.nlm.nih.gov/nuccore/CP000058.1?report=graph&amp;tracks=[key:gene_model_track,Options:GeneOnly]&amp;mk=4565352:4565371|offset_43|444444,4565379:4565398|offset_70|444444,4565406:4565425|offset_97|444444,4565445:4565464|offset_136|00cc00&amp;v=4565151:4565664&amp;c=444444", "offset 136")</f>
        <v>offset 136</v>
      </c>
    </row>
    <row r="14770" customFormat="false" ht="12.8" hidden="false" customHeight="false" outlineLevel="0" collapsed="false">
      <c r="A14770" s="0" t="s">
        <v>12</v>
      </c>
      <c r="B14770" s="0" t="n">
        <v>4567706</v>
      </c>
      <c r="C14770" s="0" t="n">
        <v>4567726</v>
      </c>
      <c r="D14770" s="0" t="s">
        <v>49081</v>
      </c>
      <c r="E14770" s="0" t="s">
        <v>75</v>
      </c>
      <c r="F14770" s="0" t="s">
        <v>15</v>
      </c>
      <c r="G14770" s="0" t="s">
        <v>36</v>
      </c>
      <c r="H14770" s="0" t="n">
        <v>34</v>
      </c>
      <c r="I14770" s="0" t="s">
        <v>49082</v>
      </c>
      <c r="J14770" s="0" t="s">
        <v>49083</v>
      </c>
      <c r="K14770" s="0" t="s">
        <v>49084</v>
      </c>
      <c r="L14770" s="0" t="str">
        <f aca="false">HYPERLINK("https://www.ncbi.nlm.nih.gov/nuccore/CP000058.1?report=graph&amp;tracks=[key:gene_model_track,Options:GeneOnly]&amp;mk=4567707:4567726|offset_34|00cc00,4567731:4567750|offset_58|444444,4567770:4567789|offset_97|444444,4567806:4567825|offset_133|444444&amp;v=4567506:4568025&amp;c=444444", "offset 34")</f>
        <v>offset 34</v>
      </c>
    </row>
    <row r="14771" customFormat="false" ht="12.8" hidden="false" customHeight="false" outlineLevel="0" collapsed="false">
      <c r="A14771" s="0" t="s">
        <v>12</v>
      </c>
      <c r="B14771" s="0" t="n">
        <v>4567730</v>
      </c>
      <c r="C14771" s="0" t="n">
        <v>4567750</v>
      </c>
      <c r="D14771" s="0" t="s">
        <v>49081</v>
      </c>
      <c r="E14771" s="0" t="s">
        <v>75</v>
      </c>
      <c r="F14771" s="0" t="s">
        <v>15</v>
      </c>
      <c r="G14771" s="0" t="s">
        <v>16</v>
      </c>
      <c r="H14771" s="0" t="n">
        <v>58</v>
      </c>
      <c r="I14771" s="0" t="s">
        <v>49085</v>
      </c>
      <c r="J14771" s="0" t="s">
        <v>49086</v>
      </c>
      <c r="K14771" s="0" t="s">
        <v>49087</v>
      </c>
      <c r="L14771" s="0" t="str">
        <f aca="false">HYPERLINK("https://www.ncbi.nlm.nih.gov/nuccore/CP000058.1?report=graph&amp;tracks=[key:gene_model_track,Options:GeneOnly]&amp;mk=4567707:4567726|offset_34|444444,4567731:4567750|offset_58|00cc00,4567770:4567789|offset_97|444444,4567806:4567825|offset_133|444444&amp;v=4567506:4568025&amp;c=444444", "offset 58")</f>
        <v>offset 58</v>
      </c>
    </row>
    <row r="14772" customFormat="false" ht="12.8" hidden="false" customHeight="false" outlineLevel="0" collapsed="false">
      <c r="A14772" s="0" t="s">
        <v>12</v>
      </c>
      <c r="B14772" s="0" t="n">
        <v>4567769</v>
      </c>
      <c r="C14772" s="0" t="n">
        <v>4567789</v>
      </c>
      <c r="D14772" s="0" t="s">
        <v>49081</v>
      </c>
      <c r="E14772" s="0" t="s">
        <v>75</v>
      </c>
      <c r="F14772" s="0" t="s">
        <v>15</v>
      </c>
      <c r="G14772" s="0" t="s">
        <v>36</v>
      </c>
      <c r="H14772" s="0" t="n">
        <v>97</v>
      </c>
      <c r="I14772" s="0" t="s">
        <v>49088</v>
      </c>
      <c r="J14772" s="0" t="s">
        <v>49089</v>
      </c>
      <c r="K14772" s="0" t="s">
        <v>49090</v>
      </c>
      <c r="L14772" s="0" t="str">
        <f aca="false">HYPERLINK("https://www.ncbi.nlm.nih.gov/nuccore/CP000058.1?report=graph&amp;tracks=[key:gene_model_track,Options:GeneOnly]&amp;mk=4567707:4567726|offset_34|444444,4567731:4567750|offset_58|444444,4567770:4567789|offset_97|00cc00,4567806:4567825|offset_133|444444&amp;v=4567506:4568025&amp;c=444444", "offset 97")</f>
        <v>offset 97</v>
      </c>
    </row>
    <row r="14773" customFormat="false" ht="12.8" hidden="false" customHeight="false" outlineLevel="0" collapsed="false">
      <c r="A14773" s="0" t="s">
        <v>12</v>
      </c>
      <c r="B14773" s="0" t="n">
        <v>4567805</v>
      </c>
      <c r="C14773" s="0" t="n">
        <v>4567825</v>
      </c>
      <c r="D14773" s="0" t="s">
        <v>49081</v>
      </c>
      <c r="E14773" s="0" t="s">
        <v>75</v>
      </c>
      <c r="F14773" s="0" t="s">
        <v>15</v>
      </c>
      <c r="G14773" s="0" t="s">
        <v>16</v>
      </c>
      <c r="H14773" s="0" t="n">
        <v>133</v>
      </c>
      <c r="I14773" s="0" t="s">
        <v>49091</v>
      </c>
      <c r="J14773" s="0" t="s">
        <v>49092</v>
      </c>
      <c r="K14773" s="0" t="s">
        <v>49093</v>
      </c>
      <c r="L14773" s="0" t="str">
        <f aca="false">HYPERLINK("https://www.ncbi.nlm.nih.gov/nuccore/CP000058.1?report=graph&amp;tracks=[key:gene_model_track,Options:GeneOnly]&amp;mk=4567707:4567726|offset_34|444444,4567731:4567750|offset_58|444444,4567770:4567789|offset_97|444444,4567806:4567825|offset_133|00cc00&amp;v=4567506:4568025&amp;c=444444", "offset 133")</f>
        <v>offset 133</v>
      </c>
    </row>
    <row r="14774" customFormat="false" ht="12.8" hidden="false" customHeight="false" outlineLevel="0" collapsed="false">
      <c r="A14774" s="0" t="s">
        <v>12</v>
      </c>
      <c r="B14774" s="0" t="n">
        <v>4569475</v>
      </c>
      <c r="C14774" s="0" t="n">
        <v>4569495</v>
      </c>
      <c r="D14774" s="0" t="s">
        <v>49094</v>
      </c>
      <c r="E14774" s="0" t="s">
        <v>75</v>
      </c>
      <c r="F14774" s="0" t="s">
        <v>15</v>
      </c>
      <c r="G14774" s="0" t="s">
        <v>36</v>
      </c>
      <c r="H14774" s="0" t="n">
        <v>36</v>
      </c>
      <c r="I14774" s="0" t="s">
        <v>49095</v>
      </c>
      <c r="J14774" s="0" t="s">
        <v>49096</v>
      </c>
      <c r="K14774" s="0" t="s">
        <v>49097</v>
      </c>
      <c r="L14774" s="0" t="str">
        <f aca="false">HYPERLINK("https://www.ncbi.nlm.nih.gov/nuccore/CP000058.1?report=graph&amp;tracks=[key:gene_model_track,Options:GeneOnly]&amp;mk=4569476:4569495|offset_36|00cc00,4569537:4569556|offset_97|444444,4569566:4569585|offset_126|444444,4569594:4569613|offset_154|444444&amp;v=4569275:4569813&amp;c=444444", "offset 36")</f>
        <v>offset 36</v>
      </c>
    </row>
    <row r="14775" customFormat="false" ht="12.8" hidden="false" customHeight="false" outlineLevel="0" collapsed="false">
      <c r="A14775" s="0" t="s">
        <v>12</v>
      </c>
      <c r="B14775" s="0" t="n">
        <v>4569536</v>
      </c>
      <c r="C14775" s="0" t="n">
        <v>4569556</v>
      </c>
      <c r="D14775" s="0" t="s">
        <v>49094</v>
      </c>
      <c r="E14775" s="0" t="s">
        <v>75</v>
      </c>
      <c r="F14775" s="0" t="s">
        <v>15</v>
      </c>
      <c r="G14775" s="0" t="s">
        <v>36</v>
      </c>
      <c r="H14775" s="0" t="n">
        <v>97</v>
      </c>
      <c r="I14775" s="0" t="s">
        <v>49098</v>
      </c>
      <c r="J14775" s="0" t="s">
        <v>49099</v>
      </c>
      <c r="K14775" s="0" t="s">
        <v>49100</v>
      </c>
      <c r="L14775" s="0" t="str">
        <f aca="false">HYPERLINK("https://www.ncbi.nlm.nih.gov/nuccore/CP000058.1?report=graph&amp;tracks=[key:gene_model_track,Options:GeneOnly]&amp;mk=4569476:4569495|offset_36|444444,4569537:4569556|offset_97|00cc00,4569566:4569585|offset_126|444444,4569594:4569613|offset_154|444444&amp;v=4569275:4569813&amp;c=444444", "offset 97")</f>
        <v>offset 97</v>
      </c>
    </row>
    <row r="14776" customFormat="false" ht="12.8" hidden="false" customHeight="false" outlineLevel="0" collapsed="false">
      <c r="A14776" s="0" t="s">
        <v>12</v>
      </c>
      <c r="B14776" s="0" t="n">
        <v>4569565</v>
      </c>
      <c r="C14776" s="0" t="n">
        <v>4569585</v>
      </c>
      <c r="D14776" s="0" t="s">
        <v>49094</v>
      </c>
      <c r="E14776" s="0" t="s">
        <v>75</v>
      </c>
      <c r="F14776" s="0" t="s">
        <v>15</v>
      </c>
      <c r="G14776" s="0" t="s">
        <v>16</v>
      </c>
      <c r="H14776" s="0" t="n">
        <v>126</v>
      </c>
      <c r="I14776" s="0" t="s">
        <v>49101</v>
      </c>
      <c r="J14776" s="0" t="s">
        <v>49102</v>
      </c>
      <c r="K14776" s="0" t="s">
        <v>49103</v>
      </c>
      <c r="L14776" s="0" t="str">
        <f aca="false">HYPERLINK("https://www.ncbi.nlm.nih.gov/nuccore/CP000058.1?report=graph&amp;tracks=[key:gene_model_track,Options:GeneOnly]&amp;mk=4569476:4569495|offset_36|444444,4569537:4569556|offset_97|444444,4569566:4569585|offset_126|00cc00,4569594:4569613|offset_154|444444&amp;v=4569275:4569813&amp;c=444444", "offset 126")</f>
        <v>offset 126</v>
      </c>
    </row>
    <row r="14777" customFormat="false" ht="12.8" hidden="false" customHeight="false" outlineLevel="0" collapsed="false">
      <c r="A14777" s="0" t="s">
        <v>12</v>
      </c>
      <c r="B14777" s="0" t="n">
        <v>4569593</v>
      </c>
      <c r="C14777" s="0" t="n">
        <v>4569613</v>
      </c>
      <c r="D14777" s="0" t="s">
        <v>49094</v>
      </c>
      <c r="E14777" s="0" t="s">
        <v>75</v>
      </c>
      <c r="F14777" s="0" t="s">
        <v>15</v>
      </c>
      <c r="G14777" s="0" t="s">
        <v>16</v>
      </c>
      <c r="H14777" s="0" t="n">
        <v>154</v>
      </c>
      <c r="I14777" s="0" t="s">
        <v>49104</v>
      </c>
      <c r="J14777" s="0" t="s">
        <v>49105</v>
      </c>
      <c r="K14777" s="0" t="s">
        <v>49106</v>
      </c>
      <c r="L14777" s="0" t="str">
        <f aca="false">HYPERLINK("https://www.ncbi.nlm.nih.gov/nuccore/CP000058.1?report=graph&amp;tracks=[key:gene_model_track,Options:GeneOnly]&amp;mk=4569476:4569495|offset_36|444444,4569537:4569556|offset_97|444444,4569566:4569585|offset_126|444444,4569594:4569613|offset_154|00cc00&amp;v=4569275:4569813&amp;c=444444", "offset 154")</f>
        <v>offset 154</v>
      </c>
    </row>
    <row r="14778" customFormat="false" ht="12.8" hidden="false" customHeight="false" outlineLevel="0" collapsed="false">
      <c r="A14778" s="0" t="s">
        <v>12</v>
      </c>
      <c r="B14778" s="0" t="n">
        <v>4571003</v>
      </c>
      <c r="C14778" s="0" t="n">
        <v>4571023</v>
      </c>
      <c r="D14778" s="0" t="s">
        <v>49107</v>
      </c>
      <c r="E14778" s="0" t="s">
        <v>75</v>
      </c>
      <c r="F14778" s="0" t="s">
        <v>15</v>
      </c>
      <c r="G14778" s="0" t="s">
        <v>16</v>
      </c>
      <c r="H14778" s="0" t="n">
        <v>8</v>
      </c>
      <c r="I14778" s="0" t="s">
        <v>49108</v>
      </c>
      <c r="J14778" s="0" t="s">
        <v>49109</v>
      </c>
      <c r="K14778" s="0" t="s">
        <v>49110</v>
      </c>
      <c r="L14778" s="0" t="str">
        <f aca="false">HYPERLINK("https://www.ncbi.nlm.nih.gov/nuccore/CP000058.1?report=graph&amp;tracks=[key:gene_model_track,Options:GeneOnly]&amp;mk=4571004:4571023|offset_8|00cc00,4571047:4571066|offset_51|444444,4571088:4571107|offset_92|444444,4571118:4571137|offset_122|444444&amp;v=4570803:4571337&amp;c=444444", "offset 8")</f>
        <v>offset 8</v>
      </c>
    </row>
    <row r="14779" customFormat="false" ht="12.8" hidden="false" customHeight="false" outlineLevel="0" collapsed="false">
      <c r="A14779" s="0" t="s">
        <v>12</v>
      </c>
      <c r="B14779" s="0" t="n">
        <v>4571046</v>
      </c>
      <c r="C14779" s="0" t="n">
        <v>4571066</v>
      </c>
      <c r="D14779" s="0" t="s">
        <v>49107</v>
      </c>
      <c r="E14779" s="0" t="s">
        <v>75</v>
      </c>
      <c r="F14779" s="0" t="s">
        <v>15</v>
      </c>
      <c r="G14779" s="0" t="s">
        <v>32</v>
      </c>
      <c r="H14779" s="0" t="n">
        <v>51</v>
      </c>
      <c r="I14779" s="0" t="s">
        <v>49111</v>
      </c>
      <c r="J14779" s="0" t="s">
        <v>49112</v>
      </c>
      <c r="K14779" s="0" t="s">
        <v>49113</v>
      </c>
      <c r="L14779" s="0" t="str">
        <f aca="false">HYPERLINK("https://www.ncbi.nlm.nih.gov/nuccore/CP000058.1?report=graph&amp;tracks=[key:gene_model_track,Options:GeneOnly]&amp;mk=4571004:4571023|offset_8|444444,4571047:4571066|offset_51|00cc00,4571088:4571107|offset_92|444444,4571118:4571137|offset_122|444444&amp;v=4570803:4571337&amp;c=444444", "offset 51")</f>
        <v>offset 51</v>
      </c>
    </row>
    <row r="14780" customFormat="false" ht="12.8" hidden="false" customHeight="false" outlineLevel="0" collapsed="false">
      <c r="A14780" s="0" t="s">
        <v>12</v>
      </c>
      <c r="B14780" s="0" t="n">
        <v>4571087</v>
      </c>
      <c r="C14780" s="0" t="n">
        <v>4571107</v>
      </c>
      <c r="D14780" s="0" t="s">
        <v>49107</v>
      </c>
      <c r="E14780" s="0" t="s">
        <v>75</v>
      </c>
      <c r="F14780" s="0" t="s">
        <v>15</v>
      </c>
      <c r="G14780" s="0" t="s">
        <v>20</v>
      </c>
      <c r="H14780" s="0" t="n">
        <v>92</v>
      </c>
      <c r="I14780" s="0" t="s">
        <v>49114</v>
      </c>
      <c r="J14780" s="0" t="s">
        <v>49115</v>
      </c>
      <c r="K14780" s="0" t="s">
        <v>49116</v>
      </c>
      <c r="L14780" s="0" t="str">
        <f aca="false">HYPERLINK("https://www.ncbi.nlm.nih.gov/nuccore/CP000058.1?report=graph&amp;tracks=[key:gene_model_track,Options:GeneOnly]&amp;mk=4571004:4571023|offset_8|444444,4571047:4571066|offset_51|444444,4571088:4571107|offset_92|00cc00,4571118:4571137|offset_122|444444&amp;v=4570803:4571337&amp;c=444444", "offset 92")</f>
        <v>offset 92</v>
      </c>
    </row>
    <row r="14781" customFormat="false" ht="12.8" hidden="false" customHeight="false" outlineLevel="0" collapsed="false">
      <c r="A14781" s="0" t="s">
        <v>12</v>
      </c>
      <c r="B14781" s="0" t="n">
        <v>4571117</v>
      </c>
      <c r="C14781" s="0" t="n">
        <v>4571137</v>
      </c>
      <c r="D14781" s="0" t="s">
        <v>49107</v>
      </c>
      <c r="E14781" s="0" t="s">
        <v>75</v>
      </c>
      <c r="F14781" s="0" t="s">
        <v>15</v>
      </c>
      <c r="G14781" s="0" t="s">
        <v>20</v>
      </c>
      <c r="H14781" s="0" t="n">
        <v>122</v>
      </c>
      <c r="I14781" s="0" t="s">
        <v>49117</v>
      </c>
      <c r="J14781" s="0" t="s">
        <v>49118</v>
      </c>
      <c r="K14781" s="0" t="s">
        <v>49119</v>
      </c>
      <c r="L14781" s="0" t="str">
        <f aca="false">HYPERLINK("https://www.ncbi.nlm.nih.gov/nuccore/CP000058.1?report=graph&amp;tracks=[key:gene_model_track,Options:GeneOnly]&amp;mk=4571004:4571023|offset_8|444444,4571047:4571066|offset_51|444444,4571088:4571107|offset_92|444444,4571118:4571137|offset_122|00cc00&amp;v=4570803:4571337&amp;c=444444", "offset 122")</f>
        <v>offset 122</v>
      </c>
    </row>
    <row r="14782" customFormat="false" ht="12.8" hidden="false" customHeight="false" outlineLevel="0" collapsed="false">
      <c r="A14782" s="0" t="s">
        <v>12</v>
      </c>
      <c r="B14782" s="0" t="n">
        <v>4573533</v>
      </c>
      <c r="C14782" s="0" t="n">
        <v>4573553</v>
      </c>
      <c r="D14782" s="0" t="s">
        <v>49120</v>
      </c>
      <c r="E14782" s="0" t="s">
        <v>49121</v>
      </c>
      <c r="F14782" s="0" t="s">
        <v>15</v>
      </c>
      <c r="G14782" s="0" t="s">
        <v>32</v>
      </c>
      <c r="H14782" s="0" t="n">
        <v>31</v>
      </c>
      <c r="I14782" s="0" t="s">
        <v>49122</v>
      </c>
      <c r="J14782" s="0" t="s">
        <v>49123</v>
      </c>
      <c r="K14782" s="0" t="s">
        <v>49124</v>
      </c>
      <c r="L14782" s="0" t="str">
        <f aca="false">HYPERLINK("https://www.ncbi.nlm.nih.gov/nuccore/CP000058.1?report=graph&amp;tracks=[key:gene_model_track,Options:GeneOnly]&amp;mk=4573534:4573553|offset_31|00cc00,4573582:4573601|offset_79|444444,4573608:4573627|offset_105|444444,4573682:4573701|offset_179|444444&amp;v=4573333:4573901&amp;c=444444", "offset 31")</f>
        <v>offset 31</v>
      </c>
    </row>
    <row r="14783" customFormat="false" ht="12.8" hidden="false" customHeight="false" outlineLevel="0" collapsed="false">
      <c r="A14783" s="0" t="s">
        <v>12</v>
      </c>
      <c r="B14783" s="0" t="n">
        <v>4573581</v>
      </c>
      <c r="C14783" s="0" t="n">
        <v>4573601</v>
      </c>
      <c r="D14783" s="0" t="s">
        <v>49120</v>
      </c>
      <c r="E14783" s="0" t="s">
        <v>49121</v>
      </c>
      <c r="F14783" s="0" t="s">
        <v>15</v>
      </c>
      <c r="G14783" s="0" t="s">
        <v>32</v>
      </c>
      <c r="H14783" s="0" t="n">
        <v>79</v>
      </c>
      <c r="I14783" s="0" t="s">
        <v>49125</v>
      </c>
      <c r="J14783" s="0" t="s">
        <v>49126</v>
      </c>
      <c r="K14783" s="0" t="s">
        <v>49127</v>
      </c>
      <c r="L14783" s="0" t="str">
        <f aca="false">HYPERLINK("https://www.ncbi.nlm.nih.gov/nuccore/CP000058.1?report=graph&amp;tracks=[key:gene_model_track,Options:GeneOnly]&amp;mk=4573534:4573553|offset_31|444444,4573582:4573601|offset_79|00cc00,4573608:4573627|offset_105|444444,4573682:4573701|offset_179|444444&amp;v=4573333:4573901&amp;c=444444", "offset 79")</f>
        <v>offset 79</v>
      </c>
    </row>
    <row r="14784" customFormat="false" ht="12.8" hidden="false" customHeight="false" outlineLevel="0" collapsed="false">
      <c r="A14784" s="0" t="s">
        <v>12</v>
      </c>
      <c r="B14784" s="0" t="n">
        <v>4573607</v>
      </c>
      <c r="C14784" s="0" t="n">
        <v>4573627</v>
      </c>
      <c r="D14784" s="0" t="s">
        <v>49120</v>
      </c>
      <c r="E14784" s="0" t="s">
        <v>49121</v>
      </c>
      <c r="F14784" s="0" t="s">
        <v>15</v>
      </c>
      <c r="G14784" s="0" t="s">
        <v>32</v>
      </c>
      <c r="H14784" s="0" t="n">
        <v>105</v>
      </c>
      <c r="I14784" s="0" t="s">
        <v>49128</v>
      </c>
      <c r="J14784" s="0" t="s">
        <v>49129</v>
      </c>
      <c r="K14784" s="0" t="s">
        <v>49130</v>
      </c>
      <c r="L14784" s="0" t="str">
        <f aca="false">HYPERLINK("https://www.ncbi.nlm.nih.gov/nuccore/CP000058.1?report=graph&amp;tracks=[key:gene_model_track,Options:GeneOnly]&amp;mk=4573534:4573553|offset_31|444444,4573582:4573601|offset_79|444444,4573608:4573627|offset_105|00cc00,4573682:4573701|offset_179|444444&amp;v=4573333:4573901&amp;c=444444", "offset 105")</f>
        <v>offset 105</v>
      </c>
    </row>
    <row r="14785" customFormat="false" ht="12.8" hidden="false" customHeight="false" outlineLevel="0" collapsed="false">
      <c r="A14785" s="0" t="s">
        <v>12</v>
      </c>
      <c r="B14785" s="0" t="n">
        <v>4573681</v>
      </c>
      <c r="C14785" s="0" t="n">
        <v>4573701</v>
      </c>
      <c r="D14785" s="0" t="s">
        <v>49120</v>
      </c>
      <c r="E14785" s="0" t="s">
        <v>49121</v>
      </c>
      <c r="F14785" s="0" t="s">
        <v>15</v>
      </c>
      <c r="G14785" s="0" t="s">
        <v>36</v>
      </c>
      <c r="H14785" s="0" t="n">
        <v>179</v>
      </c>
      <c r="I14785" s="0" t="s">
        <v>49131</v>
      </c>
      <c r="J14785" s="0" t="s">
        <v>49132</v>
      </c>
      <c r="K14785" s="0" t="s">
        <v>49133</v>
      </c>
      <c r="L14785" s="0" t="str">
        <f aca="false">HYPERLINK("https://www.ncbi.nlm.nih.gov/nuccore/CP000058.1?report=graph&amp;tracks=[key:gene_model_track,Options:GeneOnly]&amp;mk=4573534:4573553|offset_31|444444,4573582:4573601|offset_79|444444,4573608:4573627|offset_105|444444,4573682:4573701|offset_179|00cc00&amp;v=4573333:4573901&amp;c=444444", "offset 179")</f>
        <v>offset 179</v>
      </c>
    </row>
    <row r="14786" customFormat="false" ht="12.8" hidden="false" customHeight="false" outlineLevel="0" collapsed="false">
      <c r="A14786" s="0" t="s">
        <v>12</v>
      </c>
      <c r="B14786" s="0" t="n">
        <v>4575234</v>
      </c>
      <c r="C14786" s="0" t="n">
        <v>4575254</v>
      </c>
      <c r="D14786" s="0" t="s">
        <v>49134</v>
      </c>
      <c r="E14786" s="0" t="s">
        <v>75</v>
      </c>
      <c r="F14786" s="0" t="s">
        <v>15</v>
      </c>
      <c r="G14786" s="0" t="s">
        <v>32</v>
      </c>
      <c r="H14786" s="0" t="n">
        <v>32</v>
      </c>
      <c r="I14786" s="0" t="s">
        <v>49135</v>
      </c>
      <c r="J14786" s="0" t="s">
        <v>49136</v>
      </c>
      <c r="K14786" s="0" t="s">
        <v>49137</v>
      </c>
      <c r="L14786" s="0" t="str">
        <f aca="false">HYPERLINK("https://www.ncbi.nlm.nih.gov/nuccore/CP000058.1?report=graph&amp;tracks=[key:gene_model_track,Options:GeneOnly]&amp;mk=4575235:4575254|offset_32|00cc00,4575265:4575284|offset_62|444444,4575288:4575307|offset_85|444444,4575308:4575327|offset_105|444444&amp;v=4575034:4575527&amp;c=444444", "offset 32")</f>
        <v>offset 32</v>
      </c>
    </row>
    <row r="14787" customFormat="false" ht="12.8" hidden="false" customHeight="false" outlineLevel="0" collapsed="false">
      <c r="A14787" s="0" t="s">
        <v>12</v>
      </c>
      <c r="B14787" s="0" t="n">
        <v>4575264</v>
      </c>
      <c r="C14787" s="0" t="n">
        <v>4575284</v>
      </c>
      <c r="D14787" s="0" t="s">
        <v>49134</v>
      </c>
      <c r="E14787" s="0" t="s">
        <v>75</v>
      </c>
      <c r="F14787" s="0" t="s">
        <v>15</v>
      </c>
      <c r="G14787" s="0" t="s">
        <v>32</v>
      </c>
      <c r="H14787" s="0" t="n">
        <v>62</v>
      </c>
      <c r="I14787" s="0" t="s">
        <v>49138</v>
      </c>
      <c r="J14787" s="0" t="s">
        <v>49139</v>
      </c>
      <c r="K14787" s="0" t="s">
        <v>49140</v>
      </c>
      <c r="L14787" s="0" t="str">
        <f aca="false">HYPERLINK("https://www.ncbi.nlm.nih.gov/nuccore/CP000058.1?report=graph&amp;tracks=[key:gene_model_track,Options:GeneOnly]&amp;mk=4575235:4575254|offset_32|444444,4575265:4575284|offset_62|00cc00,4575288:4575307|offset_85|444444,4575308:4575327|offset_105|444444&amp;v=4575034:4575527&amp;c=444444", "offset 62")</f>
        <v>offset 62</v>
      </c>
    </row>
    <row r="14788" customFormat="false" ht="12.8" hidden="false" customHeight="false" outlineLevel="0" collapsed="false">
      <c r="A14788" s="0" t="s">
        <v>12</v>
      </c>
      <c r="B14788" s="0" t="n">
        <v>4575287</v>
      </c>
      <c r="C14788" s="0" t="n">
        <v>4575307</v>
      </c>
      <c r="D14788" s="0" t="s">
        <v>49134</v>
      </c>
      <c r="E14788" s="0" t="s">
        <v>75</v>
      </c>
      <c r="F14788" s="0" t="s">
        <v>15</v>
      </c>
      <c r="G14788" s="0" t="s">
        <v>32</v>
      </c>
      <c r="H14788" s="0" t="n">
        <v>85</v>
      </c>
      <c r="I14788" s="0" t="s">
        <v>49141</v>
      </c>
      <c r="J14788" s="0" t="s">
        <v>49142</v>
      </c>
      <c r="K14788" s="0" t="s">
        <v>49143</v>
      </c>
      <c r="L14788" s="0" t="str">
        <f aca="false">HYPERLINK("https://www.ncbi.nlm.nih.gov/nuccore/CP000058.1?report=graph&amp;tracks=[key:gene_model_track,Options:GeneOnly]&amp;mk=4575235:4575254|offset_32|444444,4575265:4575284|offset_62|444444,4575288:4575307|offset_85|00cc00,4575308:4575327|offset_105|444444&amp;v=4575034:4575527&amp;c=444444", "offset 85")</f>
        <v>offset 85</v>
      </c>
    </row>
    <row r="14789" customFormat="false" ht="12.8" hidden="false" customHeight="false" outlineLevel="0" collapsed="false">
      <c r="A14789" s="0" t="s">
        <v>12</v>
      </c>
      <c r="B14789" s="0" t="n">
        <v>4575307</v>
      </c>
      <c r="C14789" s="0" t="n">
        <v>4575327</v>
      </c>
      <c r="D14789" s="0" t="s">
        <v>49134</v>
      </c>
      <c r="E14789" s="0" t="s">
        <v>75</v>
      </c>
      <c r="F14789" s="0" t="s">
        <v>15</v>
      </c>
      <c r="G14789" s="0" t="s">
        <v>16</v>
      </c>
      <c r="H14789" s="0" t="n">
        <v>105</v>
      </c>
      <c r="I14789" s="0" t="s">
        <v>49144</v>
      </c>
      <c r="J14789" s="0" t="s">
        <v>49145</v>
      </c>
      <c r="K14789" s="0" t="s">
        <v>49146</v>
      </c>
      <c r="L14789" s="0" t="str">
        <f aca="false">HYPERLINK("https://www.ncbi.nlm.nih.gov/nuccore/CP000058.1?report=graph&amp;tracks=[key:gene_model_track,Options:GeneOnly]&amp;mk=4575235:4575254|offset_32|444444,4575265:4575284|offset_62|444444,4575288:4575307|offset_85|444444,4575308:4575327|offset_105|00cc00&amp;v=4575034:4575527&amp;c=444444", "offset 105")</f>
        <v>offset 105</v>
      </c>
    </row>
    <row r="14790" customFormat="false" ht="12.8" hidden="false" customHeight="false" outlineLevel="0" collapsed="false">
      <c r="A14790" s="0" t="s">
        <v>12</v>
      </c>
      <c r="B14790" s="0" t="n">
        <v>4578781</v>
      </c>
      <c r="C14790" s="0" t="n">
        <v>4578801</v>
      </c>
      <c r="D14790" s="0" t="s">
        <v>49147</v>
      </c>
      <c r="E14790" s="0" t="s">
        <v>75</v>
      </c>
      <c r="F14790" s="0" t="s">
        <v>15</v>
      </c>
      <c r="G14790" s="0" t="s">
        <v>32</v>
      </c>
      <c r="H14790" s="0" t="n">
        <v>10</v>
      </c>
      <c r="I14790" s="0" t="s">
        <v>49148</v>
      </c>
      <c r="J14790" s="0" t="s">
        <v>49149</v>
      </c>
      <c r="K14790" s="0" t="s">
        <v>49150</v>
      </c>
      <c r="L14790" s="0" t="str">
        <f aca="false">HYPERLINK("https://www.ncbi.nlm.nih.gov/nuccore/CP000058.1?report=graph&amp;tracks=[key:gene_model_track,Options:GeneOnly]&amp;mk=4578782:4578801|offset_10|00cc00,4578830:4578849|offset_58|444444,4578869:4578888|offset_97|444444,4578899:4578918|offset_127|444444&amp;v=4578581:4579118&amp;c=444444", "offset 10")</f>
        <v>offset 10</v>
      </c>
    </row>
    <row r="14791" customFormat="false" ht="12.8" hidden="false" customHeight="false" outlineLevel="0" collapsed="false">
      <c r="A14791" s="0" t="s">
        <v>12</v>
      </c>
      <c r="B14791" s="0" t="n">
        <v>4578829</v>
      </c>
      <c r="C14791" s="0" t="n">
        <v>4578849</v>
      </c>
      <c r="D14791" s="0" t="s">
        <v>49147</v>
      </c>
      <c r="E14791" s="0" t="s">
        <v>75</v>
      </c>
      <c r="F14791" s="0" t="s">
        <v>15</v>
      </c>
      <c r="G14791" s="0" t="s">
        <v>20</v>
      </c>
      <c r="H14791" s="0" t="n">
        <v>58</v>
      </c>
      <c r="I14791" s="0" t="s">
        <v>49151</v>
      </c>
      <c r="J14791" s="0" t="s">
        <v>49152</v>
      </c>
      <c r="K14791" s="0" t="s">
        <v>49153</v>
      </c>
      <c r="L14791" s="0" t="str">
        <f aca="false">HYPERLINK("https://www.ncbi.nlm.nih.gov/nuccore/CP000058.1?report=graph&amp;tracks=[key:gene_model_track,Options:GeneOnly]&amp;mk=4578782:4578801|offset_10|444444,4578830:4578849|offset_58|00cc00,4578869:4578888|offset_97|444444,4578899:4578918|offset_127|444444&amp;v=4578581:4579118&amp;c=444444", "offset 58")</f>
        <v>offset 58</v>
      </c>
    </row>
    <row r="14792" customFormat="false" ht="12.8" hidden="false" customHeight="false" outlineLevel="0" collapsed="false">
      <c r="A14792" s="0" t="s">
        <v>12</v>
      </c>
      <c r="B14792" s="0" t="n">
        <v>4578868</v>
      </c>
      <c r="C14792" s="0" t="n">
        <v>4578888</v>
      </c>
      <c r="D14792" s="0" t="s">
        <v>49147</v>
      </c>
      <c r="E14792" s="0" t="s">
        <v>75</v>
      </c>
      <c r="F14792" s="0" t="s">
        <v>15</v>
      </c>
      <c r="G14792" s="0" t="s">
        <v>36</v>
      </c>
      <c r="H14792" s="0" t="n">
        <v>97</v>
      </c>
      <c r="I14792" s="0" t="s">
        <v>49154</v>
      </c>
      <c r="J14792" s="0" t="s">
        <v>49155</v>
      </c>
      <c r="K14792" s="0" t="s">
        <v>49156</v>
      </c>
      <c r="L14792" s="0" t="str">
        <f aca="false">HYPERLINK("https://www.ncbi.nlm.nih.gov/nuccore/CP000058.1?report=graph&amp;tracks=[key:gene_model_track,Options:GeneOnly]&amp;mk=4578782:4578801|offset_10|444444,4578830:4578849|offset_58|444444,4578869:4578888|offset_97|00cc00,4578899:4578918|offset_127|444444&amp;v=4578581:4579118&amp;c=444444", "offset 97")</f>
        <v>offset 97</v>
      </c>
    </row>
    <row r="14793" customFormat="false" ht="12.8" hidden="false" customHeight="false" outlineLevel="0" collapsed="false">
      <c r="A14793" s="0" t="s">
        <v>12</v>
      </c>
      <c r="B14793" s="0" t="n">
        <v>4578898</v>
      </c>
      <c r="C14793" s="0" t="n">
        <v>4578918</v>
      </c>
      <c r="D14793" s="0" t="s">
        <v>49147</v>
      </c>
      <c r="E14793" s="0" t="s">
        <v>75</v>
      </c>
      <c r="F14793" s="0" t="s">
        <v>15</v>
      </c>
      <c r="G14793" s="0" t="s">
        <v>32</v>
      </c>
      <c r="H14793" s="0" t="n">
        <v>127</v>
      </c>
      <c r="I14793" s="0" t="s">
        <v>49157</v>
      </c>
      <c r="J14793" s="0" t="s">
        <v>49158</v>
      </c>
      <c r="K14793" s="0" t="s">
        <v>49159</v>
      </c>
      <c r="L14793" s="0" t="str">
        <f aca="false">HYPERLINK("https://www.ncbi.nlm.nih.gov/nuccore/CP000058.1?report=graph&amp;tracks=[key:gene_model_track,Options:GeneOnly]&amp;mk=4578782:4578801|offset_10|444444,4578830:4578849|offset_58|444444,4578869:4578888|offset_97|444444,4578899:4578918|offset_127|00cc00&amp;v=4578581:4579118&amp;c=444444", "offset 127")</f>
        <v>offset 127</v>
      </c>
    </row>
    <row r="14794" customFormat="false" ht="12.8" hidden="false" customHeight="false" outlineLevel="0" collapsed="false">
      <c r="A14794" s="0" t="s">
        <v>12</v>
      </c>
      <c r="B14794" s="0" t="n">
        <v>4579289</v>
      </c>
      <c r="C14794" s="0" t="n">
        <v>4579309</v>
      </c>
      <c r="D14794" s="0" t="s">
        <v>49160</v>
      </c>
      <c r="E14794" s="0" t="s">
        <v>75</v>
      </c>
      <c r="F14794" s="0" t="s">
        <v>15</v>
      </c>
      <c r="G14794" s="0" t="s">
        <v>20</v>
      </c>
      <c r="H14794" s="0" t="n">
        <v>22</v>
      </c>
      <c r="I14794" s="0" t="s">
        <v>49161</v>
      </c>
      <c r="J14794" s="0" t="s">
        <v>49162</v>
      </c>
      <c r="K14794" s="0" t="s">
        <v>49163</v>
      </c>
      <c r="L14794" s="0" t="str">
        <f aca="false">HYPERLINK("https://www.ncbi.nlm.nih.gov/nuccore/CP000058.1?report=graph&amp;tracks=[key:gene_model_track,Options:GeneOnly]&amp;mk=4579290:4579309|offset_22|00cc00,4579315:4579334|offset_47|444444,4579348:4579367|offset_80|444444,4579383:4579402|offset_115|444444&amp;v=4579089:4579602&amp;c=444444", "offset 22")</f>
        <v>offset 22</v>
      </c>
    </row>
    <row r="14795" customFormat="false" ht="12.8" hidden="false" customHeight="false" outlineLevel="0" collapsed="false">
      <c r="A14795" s="0" t="s">
        <v>12</v>
      </c>
      <c r="B14795" s="0" t="n">
        <v>4579314</v>
      </c>
      <c r="C14795" s="0" t="n">
        <v>4579334</v>
      </c>
      <c r="D14795" s="0" t="s">
        <v>49160</v>
      </c>
      <c r="E14795" s="0" t="s">
        <v>75</v>
      </c>
      <c r="F14795" s="0" t="s">
        <v>15</v>
      </c>
      <c r="G14795" s="0" t="s">
        <v>20</v>
      </c>
      <c r="H14795" s="0" t="n">
        <v>47</v>
      </c>
      <c r="I14795" s="0" t="s">
        <v>49164</v>
      </c>
      <c r="J14795" s="0" t="s">
        <v>49165</v>
      </c>
      <c r="K14795" s="0" t="s">
        <v>49166</v>
      </c>
      <c r="L14795" s="0" t="str">
        <f aca="false">HYPERLINK("https://www.ncbi.nlm.nih.gov/nuccore/CP000058.1?report=graph&amp;tracks=[key:gene_model_track,Options:GeneOnly]&amp;mk=4579290:4579309|offset_22|444444,4579315:4579334|offset_47|00cc00,4579348:4579367|offset_80|444444,4579383:4579402|offset_115|444444&amp;v=4579089:4579602&amp;c=444444", "offset 47")</f>
        <v>offset 47</v>
      </c>
    </row>
    <row r="14796" customFormat="false" ht="12.8" hidden="false" customHeight="false" outlineLevel="0" collapsed="false">
      <c r="A14796" s="0" t="s">
        <v>12</v>
      </c>
      <c r="B14796" s="0" t="n">
        <v>4579347</v>
      </c>
      <c r="C14796" s="0" t="n">
        <v>4579367</v>
      </c>
      <c r="D14796" s="0" t="s">
        <v>49160</v>
      </c>
      <c r="E14796" s="0" t="s">
        <v>75</v>
      </c>
      <c r="F14796" s="0" t="s">
        <v>15</v>
      </c>
      <c r="G14796" s="0" t="s">
        <v>36</v>
      </c>
      <c r="H14796" s="0" t="n">
        <v>80</v>
      </c>
      <c r="I14796" s="0" t="s">
        <v>49167</v>
      </c>
      <c r="J14796" s="0" t="s">
        <v>49168</v>
      </c>
      <c r="K14796" s="0" t="s">
        <v>49169</v>
      </c>
      <c r="L14796" s="0" t="str">
        <f aca="false">HYPERLINK("https://www.ncbi.nlm.nih.gov/nuccore/CP000058.1?report=graph&amp;tracks=[key:gene_model_track,Options:GeneOnly]&amp;mk=4579290:4579309|offset_22|444444,4579315:4579334|offset_47|444444,4579348:4579367|offset_80|00cc00,4579383:4579402|offset_115|444444&amp;v=4579089:4579602&amp;c=444444", "offset 80")</f>
        <v>offset 80</v>
      </c>
    </row>
    <row r="14797" customFormat="false" ht="12.8" hidden="false" customHeight="false" outlineLevel="0" collapsed="false">
      <c r="A14797" s="0" t="s">
        <v>12</v>
      </c>
      <c r="B14797" s="0" t="n">
        <v>4579382</v>
      </c>
      <c r="C14797" s="0" t="n">
        <v>4579402</v>
      </c>
      <c r="D14797" s="0" t="s">
        <v>49160</v>
      </c>
      <c r="E14797" s="0" t="s">
        <v>75</v>
      </c>
      <c r="F14797" s="0" t="s">
        <v>15</v>
      </c>
      <c r="G14797" s="0" t="s">
        <v>32</v>
      </c>
      <c r="H14797" s="0" t="n">
        <v>115</v>
      </c>
      <c r="I14797" s="0" t="s">
        <v>49170</v>
      </c>
      <c r="J14797" s="0" t="s">
        <v>49171</v>
      </c>
      <c r="K14797" s="0" t="s">
        <v>49172</v>
      </c>
      <c r="L14797" s="0" t="str">
        <f aca="false">HYPERLINK("https://www.ncbi.nlm.nih.gov/nuccore/CP000058.1?report=graph&amp;tracks=[key:gene_model_track,Options:GeneOnly]&amp;mk=4579290:4579309|offset_22|444444,4579315:4579334|offset_47|444444,4579348:4579367|offset_80|444444,4579383:4579402|offset_115|00cc00&amp;v=4579089:4579602&amp;c=444444", "offset 115")</f>
        <v>offset 115</v>
      </c>
    </row>
    <row r="14798" customFormat="false" ht="12.8" hidden="false" customHeight="false" outlineLevel="0" collapsed="false">
      <c r="A14798" s="0" t="s">
        <v>12</v>
      </c>
      <c r="B14798" s="0" t="n">
        <v>4580060</v>
      </c>
      <c r="C14798" s="0" t="n">
        <v>4580080</v>
      </c>
      <c r="D14798" s="0" t="s">
        <v>49173</v>
      </c>
      <c r="E14798" s="0" t="s">
        <v>75</v>
      </c>
      <c r="F14798" s="0" t="s">
        <v>90</v>
      </c>
      <c r="G14798" s="0" t="s">
        <v>20</v>
      </c>
      <c r="H14798" s="0" t="n">
        <v>51</v>
      </c>
      <c r="I14798" s="0" t="s">
        <v>49174</v>
      </c>
      <c r="J14798" s="0" t="s">
        <v>49175</v>
      </c>
      <c r="K14798" s="0" t="s">
        <v>49176</v>
      </c>
      <c r="L14798" s="0" t="str">
        <f aca="false">HYPERLINK("https://www.ncbi.nlm.nih.gov/nuccore/CP000058.1?report=graph&amp;tracks=[key:gene_model_track,Options:GeneOnly]&amp;mk=4580061:4580080|offset_51|00cc00,4580012:4580031|offset_100|444444,4579980:4579999|offset_132|444444,4579958:4579977|offset_154|444444&amp;v=4579860:4580177&amp;c=444444", "offset 51")</f>
        <v>offset 51</v>
      </c>
    </row>
    <row r="14799" customFormat="false" ht="12.8" hidden="false" customHeight="false" outlineLevel="0" collapsed="false">
      <c r="A14799" s="0" t="s">
        <v>12</v>
      </c>
      <c r="B14799" s="0" t="n">
        <v>4580011</v>
      </c>
      <c r="C14799" s="0" t="n">
        <v>4580031</v>
      </c>
      <c r="D14799" s="0" t="s">
        <v>49173</v>
      </c>
      <c r="E14799" s="0" t="s">
        <v>75</v>
      </c>
      <c r="F14799" s="0" t="s">
        <v>90</v>
      </c>
      <c r="G14799" s="0" t="s">
        <v>16</v>
      </c>
      <c r="H14799" s="0" t="n">
        <v>100</v>
      </c>
      <c r="I14799" s="0" t="s">
        <v>49177</v>
      </c>
      <c r="J14799" s="0" t="s">
        <v>49178</v>
      </c>
      <c r="K14799" s="0" t="s">
        <v>49179</v>
      </c>
      <c r="L14799" s="0" t="str">
        <f aca="false">HYPERLINK("https://www.ncbi.nlm.nih.gov/nuccore/CP000058.1?report=graph&amp;tracks=[key:gene_model_track,Options:GeneOnly]&amp;mk=4580061:4580080|offset_51|444444,4580012:4580031|offset_100|00cc00,4579980:4579999|offset_132|444444,4579958:4579977|offset_154|444444&amp;v=4579860:4580177&amp;c=444444", "offset 100")</f>
        <v>offset 100</v>
      </c>
    </row>
    <row r="14800" customFormat="false" ht="12.8" hidden="false" customHeight="false" outlineLevel="0" collapsed="false">
      <c r="A14800" s="0" t="s">
        <v>12</v>
      </c>
      <c r="B14800" s="0" t="n">
        <v>4579979</v>
      </c>
      <c r="C14800" s="0" t="n">
        <v>4579999</v>
      </c>
      <c r="D14800" s="0" t="s">
        <v>49173</v>
      </c>
      <c r="E14800" s="0" t="s">
        <v>75</v>
      </c>
      <c r="F14800" s="0" t="s">
        <v>90</v>
      </c>
      <c r="G14800" s="0" t="s">
        <v>16</v>
      </c>
      <c r="H14800" s="0" t="n">
        <v>132</v>
      </c>
      <c r="I14800" s="0" t="s">
        <v>49180</v>
      </c>
      <c r="J14800" s="0" t="s">
        <v>49181</v>
      </c>
      <c r="K14800" s="0" t="s">
        <v>49182</v>
      </c>
      <c r="L14800" s="0" t="str">
        <f aca="false">HYPERLINK("https://www.ncbi.nlm.nih.gov/nuccore/CP000058.1?report=graph&amp;tracks=[key:gene_model_track,Options:GeneOnly]&amp;mk=4580061:4580080|offset_51|444444,4580012:4580031|offset_100|444444,4579980:4579999|offset_132|00cc00,4579958:4579977|offset_154|444444&amp;v=4579860:4580177&amp;c=444444", "offset 132")</f>
        <v>offset 132</v>
      </c>
    </row>
    <row r="14801" customFormat="false" ht="12.8" hidden="false" customHeight="false" outlineLevel="0" collapsed="false">
      <c r="A14801" s="0" t="s">
        <v>12</v>
      </c>
      <c r="B14801" s="0" t="n">
        <v>4579957</v>
      </c>
      <c r="C14801" s="0" t="n">
        <v>4579977</v>
      </c>
      <c r="D14801" s="0" t="s">
        <v>49173</v>
      </c>
      <c r="E14801" s="0" t="s">
        <v>75</v>
      </c>
      <c r="F14801" s="0" t="s">
        <v>90</v>
      </c>
      <c r="G14801" s="0" t="s">
        <v>16</v>
      </c>
      <c r="H14801" s="0" t="n">
        <v>154</v>
      </c>
      <c r="I14801" s="0" t="s">
        <v>49183</v>
      </c>
      <c r="J14801" s="0" t="s">
        <v>49184</v>
      </c>
      <c r="K14801" s="0" t="s">
        <v>49185</v>
      </c>
      <c r="L14801" s="0" t="str">
        <f aca="false">HYPERLINK("https://www.ncbi.nlm.nih.gov/nuccore/CP000058.1?report=graph&amp;tracks=[key:gene_model_track,Options:GeneOnly]&amp;mk=4580061:4580080|offset_51|444444,4580012:4580031|offset_100|444444,4579980:4579999|offset_132|444444,4579958:4579977|offset_154|00cc00&amp;v=4579860:4580177&amp;c=444444", "offset 154")</f>
        <v>offset 154</v>
      </c>
    </row>
    <row r="14802" customFormat="false" ht="12.8" hidden="false" customHeight="false" outlineLevel="0" collapsed="false">
      <c r="A14802" s="0" t="s">
        <v>12</v>
      </c>
      <c r="B14802" s="0" t="n">
        <v>4580595</v>
      </c>
      <c r="C14802" s="0" t="n">
        <v>4580615</v>
      </c>
      <c r="D14802" s="0" t="s">
        <v>49186</v>
      </c>
      <c r="E14802" s="0" t="s">
        <v>75</v>
      </c>
      <c r="F14802" s="0" t="s">
        <v>15</v>
      </c>
      <c r="G14802" s="0" t="s">
        <v>20</v>
      </c>
      <c r="H14802" s="0" t="n">
        <v>1</v>
      </c>
      <c r="I14802" s="0" t="s">
        <v>49187</v>
      </c>
      <c r="J14802" s="0" t="s">
        <v>49188</v>
      </c>
      <c r="K14802" s="0" t="s">
        <v>49189</v>
      </c>
      <c r="L14802" s="0" t="str">
        <f aca="false">HYPERLINK("https://www.ncbi.nlm.nih.gov/nuccore/CP000058.1?report=graph&amp;tracks=[key:gene_model_track,Options:GeneOnly]&amp;mk=4580596:4580615|offset_1|00cc00,4580619:4580638|offset_24|444444,4580686:4580705|offset_91|444444,4580706:4580725|offset_111|444444&amp;v=4580395:4580925&amp;c=444444", "offset 1")</f>
        <v>offset 1</v>
      </c>
    </row>
    <row r="14803" customFormat="false" ht="12.8" hidden="false" customHeight="false" outlineLevel="0" collapsed="false">
      <c r="A14803" s="0" t="s">
        <v>12</v>
      </c>
      <c r="B14803" s="0" t="n">
        <v>4580618</v>
      </c>
      <c r="C14803" s="0" t="n">
        <v>4580638</v>
      </c>
      <c r="D14803" s="0" t="s">
        <v>49186</v>
      </c>
      <c r="E14803" s="0" t="s">
        <v>75</v>
      </c>
      <c r="F14803" s="0" t="s">
        <v>15</v>
      </c>
      <c r="G14803" s="0" t="s">
        <v>20</v>
      </c>
      <c r="H14803" s="0" t="n">
        <v>24</v>
      </c>
      <c r="I14803" s="0" t="s">
        <v>49190</v>
      </c>
      <c r="J14803" s="0" t="s">
        <v>49191</v>
      </c>
      <c r="K14803" s="0" t="s">
        <v>49192</v>
      </c>
      <c r="L14803" s="0" t="str">
        <f aca="false">HYPERLINK("https://www.ncbi.nlm.nih.gov/nuccore/CP000058.1?report=graph&amp;tracks=[key:gene_model_track,Options:GeneOnly]&amp;mk=4580596:4580615|offset_1|444444,4580619:4580638|offset_24|00cc00,4580686:4580705|offset_91|444444,4580706:4580725|offset_111|444444&amp;v=4580395:4580925&amp;c=444444", "offset 24")</f>
        <v>offset 24</v>
      </c>
    </row>
    <row r="14804" customFormat="false" ht="12.8" hidden="false" customHeight="false" outlineLevel="0" collapsed="false">
      <c r="A14804" s="0" t="s">
        <v>12</v>
      </c>
      <c r="B14804" s="0" t="n">
        <v>4580685</v>
      </c>
      <c r="C14804" s="0" t="n">
        <v>4580705</v>
      </c>
      <c r="D14804" s="0" t="s">
        <v>49186</v>
      </c>
      <c r="E14804" s="0" t="s">
        <v>75</v>
      </c>
      <c r="F14804" s="0" t="s">
        <v>15</v>
      </c>
      <c r="G14804" s="0" t="s">
        <v>32</v>
      </c>
      <c r="H14804" s="0" t="n">
        <v>91</v>
      </c>
      <c r="I14804" s="0" t="s">
        <v>49193</v>
      </c>
      <c r="J14804" s="0" t="s">
        <v>49194</v>
      </c>
      <c r="K14804" s="0" t="s">
        <v>49195</v>
      </c>
      <c r="L14804" s="0" t="str">
        <f aca="false">HYPERLINK("https://www.ncbi.nlm.nih.gov/nuccore/CP000058.1?report=graph&amp;tracks=[key:gene_model_track,Options:GeneOnly]&amp;mk=4580596:4580615|offset_1|444444,4580619:4580638|offset_24|444444,4580686:4580705|offset_91|00cc00,4580706:4580725|offset_111|444444&amp;v=4580395:4580925&amp;c=444444", "offset 91")</f>
        <v>offset 91</v>
      </c>
    </row>
    <row r="14805" customFormat="false" ht="12.8" hidden="false" customHeight="false" outlineLevel="0" collapsed="false">
      <c r="A14805" s="0" t="s">
        <v>12</v>
      </c>
      <c r="B14805" s="0" t="n">
        <v>4580705</v>
      </c>
      <c r="C14805" s="0" t="n">
        <v>4580725</v>
      </c>
      <c r="D14805" s="0" t="s">
        <v>49186</v>
      </c>
      <c r="E14805" s="0" t="s">
        <v>75</v>
      </c>
      <c r="F14805" s="0" t="s">
        <v>15</v>
      </c>
      <c r="G14805" s="0" t="s">
        <v>20</v>
      </c>
      <c r="H14805" s="0" t="n">
        <v>111</v>
      </c>
      <c r="I14805" s="0" t="s">
        <v>49196</v>
      </c>
      <c r="J14805" s="0" t="s">
        <v>49197</v>
      </c>
      <c r="K14805" s="0" t="s">
        <v>49198</v>
      </c>
      <c r="L14805" s="0" t="str">
        <f aca="false">HYPERLINK("https://www.ncbi.nlm.nih.gov/nuccore/CP000058.1?report=graph&amp;tracks=[key:gene_model_track,Options:GeneOnly]&amp;mk=4580596:4580615|offset_1|444444,4580619:4580638|offset_24|444444,4580686:4580705|offset_91|444444,4580706:4580725|offset_111|00cc00&amp;v=4580395:4580925&amp;c=444444", "offset 111")</f>
        <v>offset 111</v>
      </c>
    </row>
    <row r="14806" customFormat="false" ht="12.8" hidden="false" customHeight="false" outlineLevel="0" collapsed="false">
      <c r="A14806" s="0" t="s">
        <v>12</v>
      </c>
      <c r="B14806" s="0" t="n">
        <v>4583167</v>
      </c>
      <c r="C14806" s="0" t="n">
        <v>4583187</v>
      </c>
      <c r="D14806" s="0" t="s">
        <v>49199</v>
      </c>
      <c r="E14806" s="0" t="s">
        <v>75</v>
      </c>
      <c r="F14806" s="0" t="s">
        <v>90</v>
      </c>
      <c r="G14806" s="0" t="s">
        <v>16</v>
      </c>
      <c r="H14806" s="0" t="n">
        <v>40</v>
      </c>
      <c r="I14806" s="0" t="s">
        <v>49200</v>
      </c>
      <c r="J14806" s="0" t="s">
        <v>49201</v>
      </c>
      <c r="K14806" s="0" t="s">
        <v>49202</v>
      </c>
      <c r="L14806" s="0" t="str">
        <f aca="false">HYPERLINK("https://www.ncbi.nlm.nih.gov/nuccore/CP000058.1?report=graph&amp;tracks=[key:gene_model_track,Options:GeneOnly]&amp;mk=4583168:4583187|offset_40|00cc00,4583138:4583157|offset_70|444444,4583115:4583134|offset_93|444444,4583090:4583109|offset_118|444444&amp;v=4582967:4583309&amp;c=444444", "offset 40")</f>
        <v>offset 40</v>
      </c>
    </row>
    <row r="14807" customFormat="false" ht="12.8" hidden="false" customHeight="false" outlineLevel="0" collapsed="false">
      <c r="A14807" s="0" t="s">
        <v>12</v>
      </c>
      <c r="B14807" s="0" t="n">
        <v>4583137</v>
      </c>
      <c r="C14807" s="0" t="n">
        <v>4583157</v>
      </c>
      <c r="D14807" s="0" t="s">
        <v>49199</v>
      </c>
      <c r="E14807" s="0" t="s">
        <v>75</v>
      </c>
      <c r="F14807" s="0" t="s">
        <v>90</v>
      </c>
      <c r="G14807" s="0" t="s">
        <v>32</v>
      </c>
      <c r="H14807" s="0" t="n">
        <v>70</v>
      </c>
      <c r="I14807" s="0" t="s">
        <v>49203</v>
      </c>
      <c r="J14807" s="0" t="s">
        <v>49204</v>
      </c>
      <c r="K14807" s="0" t="s">
        <v>49205</v>
      </c>
      <c r="L14807" s="0" t="str">
        <f aca="false">HYPERLINK("https://www.ncbi.nlm.nih.gov/nuccore/CP000058.1?report=graph&amp;tracks=[key:gene_model_track,Options:GeneOnly]&amp;mk=4583168:4583187|offset_40|444444,4583138:4583157|offset_70|00cc00,4583115:4583134|offset_93|444444,4583090:4583109|offset_118|444444&amp;v=4582967:4583309&amp;c=444444", "offset 70")</f>
        <v>offset 70</v>
      </c>
    </row>
    <row r="14808" customFormat="false" ht="12.8" hidden="false" customHeight="false" outlineLevel="0" collapsed="false">
      <c r="A14808" s="0" t="s">
        <v>12</v>
      </c>
      <c r="B14808" s="0" t="n">
        <v>4583114</v>
      </c>
      <c r="C14808" s="0" t="n">
        <v>4583134</v>
      </c>
      <c r="D14808" s="0" t="s">
        <v>49199</v>
      </c>
      <c r="E14808" s="0" t="s">
        <v>75</v>
      </c>
      <c r="F14808" s="0" t="s">
        <v>90</v>
      </c>
      <c r="G14808" s="0" t="s">
        <v>36</v>
      </c>
      <c r="H14808" s="0" t="n">
        <v>93</v>
      </c>
      <c r="I14808" s="0" t="s">
        <v>49206</v>
      </c>
      <c r="J14808" s="0" t="s">
        <v>49207</v>
      </c>
      <c r="K14808" s="0" t="s">
        <v>49208</v>
      </c>
      <c r="L14808" s="0" t="str">
        <f aca="false">HYPERLINK("https://www.ncbi.nlm.nih.gov/nuccore/CP000058.1?report=graph&amp;tracks=[key:gene_model_track,Options:GeneOnly]&amp;mk=4583168:4583187|offset_40|444444,4583138:4583157|offset_70|444444,4583115:4583134|offset_93|00cc00,4583090:4583109|offset_118|444444&amp;v=4582967:4583309&amp;c=444444", "offset 93")</f>
        <v>offset 93</v>
      </c>
    </row>
    <row r="14809" customFormat="false" ht="12.8" hidden="false" customHeight="false" outlineLevel="0" collapsed="false">
      <c r="A14809" s="0" t="s">
        <v>12</v>
      </c>
      <c r="B14809" s="0" t="n">
        <v>4583089</v>
      </c>
      <c r="C14809" s="0" t="n">
        <v>4583109</v>
      </c>
      <c r="D14809" s="0" t="s">
        <v>49199</v>
      </c>
      <c r="E14809" s="0" t="s">
        <v>75</v>
      </c>
      <c r="F14809" s="0" t="s">
        <v>90</v>
      </c>
      <c r="G14809" s="0" t="s">
        <v>32</v>
      </c>
      <c r="H14809" s="0" t="n">
        <v>118</v>
      </c>
      <c r="I14809" s="0" t="s">
        <v>49209</v>
      </c>
      <c r="J14809" s="0" t="s">
        <v>49210</v>
      </c>
      <c r="K14809" s="0" t="s">
        <v>49211</v>
      </c>
      <c r="L14809" s="0" t="str">
        <f aca="false">HYPERLINK("https://www.ncbi.nlm.nih.gov/nuccore/CP000058.1?report=graph&amp;tracks=[key:gene_model_track,Options:GeneOnly]&amp;mk=4583168:4583187|offset_40|444444,4583138:4583157|offset_70|444444,4583115:4583134|offset_93|444444,4583090:4583109|offset_118|00cc00&amp;v=4582967:4583309&amp;c=444444", "offset 118")</f>
        <v>offset 118</v>
      </c>
    </row>
    <row r="14810" customFormat="false" ht="12.8" hidden="false" customHeight="false" outlineLevel="0" collapsed="false">
      <c r="A14810" s="0" t="s">
        <v>12</v>
      </c>
      <c r="B14810" s="0" t="n">
        <v>4584331</v>
      </c>
      <c r="C14810" s="0" t="n">
        <v>4584351</v>
      </c>
      <c r="D14810" s="0" t="s">
        <v>49212</v>
      </c>
      <c r="E14810" s="0" t="s">
        <v>49213</v>
      </c>
      <c r="F14810" s="0" t="s">
        <v>90</v>
      </c>
      <c r="G14810" s="0" t="s">
        <v>32</v>
      </c>
      <c r="H14810" s="0" t="n">
        <v>1</v>
      </c>
      <c r="I14810" s="0" t="s">
        <v>49214</v>
      </c>
      <c r="J14810" s="0" t="s">
        <v>49215</v>
      </c>
      <c r="K14810" s="0" t="s">
        <v>49216</v>
      </c>
      <c r="L14810" s="0" t="str">
        <f aca="false">HYPERLINK("https://www.ncbi.nlm.nih.gov/nuccore/CP000058.1?report=graph&amp;tracks=[key:gene_model_track,Options:GeneOnly]&amp;mk=4584332:4584351|offset_1|00cc00,4584289:4584308|offset_44|444444,4584242:4584261|offset_91|444444,4584215:4584234|offset_118|444444&amp;v=4584131:4584434&amp;c=444444", "offset 1")</f>
        <v>offset 1</v>
      </c>
    </row>
    <row r="14811" customFormat="false" ht="12.8" hidden="false" customHeight="false" outlineLevel="0" collapsed="false">
      <c r="A14811" s="0" t="s">
        <v>12</v>
      </c>
      <c r="B14811" s="0" t="n">
        <v>4584288</v>
      </c>
      <c r="C14811" s="0" t="n">
        <v>4584308</v>
      </c>
      <c r="D14811" s="0" t="s">
        <v>49212</v>
      </c>
      <c r="E14811" s="0" t="s">
        <v>49213</v>
      </c>
      <c r="F14811" s="0" t="s">
        <v>90</v>
      </c>
      <c r="G14811" s="0" t="s">
        <v>32</v>
      </c>
      <c r="H14811" s="0" t="n">
        <v>44</v>
      </c>
      <c r="I14811" s="0" t="s">
        <v>49217</v>
      </c>
      <c r="J14811" s="0" t="s">
        <v>49218</v>
      </c>
      <c r="K14811" s="0" t="s">
        <v>49219</v>
      </c>
      <c r="L14811" s="0" t="str">
        <f aca="false">HYPERLINK("https://www.ncbi.nlm.nih.gov/nuccore/CP000058.1?report=graph&amp;tracks=[key:gene_model_track,Options:GeneOnly]&amp;mk=4584332:4584351|offset_1|444444,4584289:4584308|offset_44|00cc00,4584242:4584261|offset_91|444444,4584215:4584234|offset_118|444444&amp;v=4584131:4584434&amp;c=444444", "offset 44")</f>
        <v>offset 44</v>
      </c>
    </row>
    <row r="14812" customFormat="false" ht="12.8" hidden="false" customHeight="false" outlineLevel="0" collapsed="false">
      <c r="A14812" s="0" t="s">
        <v>12</v>
      </c>
      <c r="B14812" s="0" t="n">
        <v>4584241</v>
      </c>
      <c r="C14812" s="0" t="n">
        <v>4584261</v>
      </c>
      <c r="D14812" s="0" t="s">
        <v>49212</v>
      </c>
      <c r="E14812" s="0" t="s">
        <v>49213</v>
      </c>
      <c r="F14812" s="0" t="s">
        <v>90</v>
      </c>
      <c r="G14812" s="0" t="s">
        <v>36</v>
      </c>
      <c r="H14812" s="0" t="n">
        <v>91</v>
      </c>
      <c r="I14812" s="0" t="s">
        <v>49220</v>
      </c>
      <c r="J14812" s="0" t="s">
        <v>49221</v>
      </c>
      <c r="K14812" s="0" t="s">
        <v>49222</v>
      </c>
      <c r="L14812" s="0" t="str">
        <f aca="false">HYPERLINK("https://www.ncbi.nlm.nih.gov/nuccore/CP000058.1?report=graph&amp;tracks=[key:gene_model_track,Options:GeneOnly]&amp;mk=4584332:4584351|offset_1|444444,4584289:4584308|offset_44|444444,4584242:4584261|offset_91|00cc00,4584215:4584234|offset_118|444444&amp;v=4584131:4584434&amp;c=444444", "offset 91")</f>
        <v>offset 91</v>
      </c>
    </row>
    <row r="14813" customFormat="false" ht="12.8" hidden="false" customHeight="false" outlineLevel="0" collapsed="false">
      <c r="A14813" s="0" t="s">
        <v>12</v>
      </c>
      <c r="B14813" s="0" t="n">
        <v>4584214</v>
      </c>
      <c r="C14813" s="0" t="n">
        <v>4584234</v>
      </c>
      <c r="D14813" s="0" t="s">
        <v>49212</v>
      </c>
      <c r="E14813" s="0" t="s">
        <v>49213</v>
      </c>
      <c r="F14813" s="0" t="s">
        <v>90</v>
      </c>
      <c r="G14813" s="0" t="s">
        <v>36</v>
      </c>
      <c r="H14813" s="0" t="n">
        <v>118</v>
      </c>
      <c r="I14813" s="0" t="s">
        <v>49223</v>
      </c>
      <c r="J14813" s="0" t="s">
        <v>49224</v>
      </c>
      <c r="K14813" s="0" t="s">
        <v>49225</v>
      </c>
      <c r="L14813" s="0" t="str">
        <f aca="false">HYPERLINK("https://www.ncbi.nlm.nih.gov/nuccore/CP000058.1?report=graph&amp;tracks=[key:gene_model_track,Options:GeneOnly]&amp;mk=4584332:4584351|offset_1|444444,4584289:4584308|offset_44|444444,4584242:4584261|offset_91|444444,4584215:4584234|offset_118|00cc00&amp;v=4584131:4584434&amp;c=444444", "offset 118")</f>
        <v>offset 118</v>
      </c>
    </row>
    <row r="14814" customFormat="false" ht="12.8" hidden="false" customHeight="false" outlineLevel="0" collapsed="false">
      <c r="A14814" s="0" t="s">
        <v>12</v>
      </c>
      <c r="B14814" s="0" t="n">
        <v>4584592</v>
      </c>
      <c r="C14814" s="0" t="n">
        <v>4584612</v>
      </c>
      <c r="D14814" s="0" t="s">
        <v>49226</v>
      </c>
      <c r="E14814" s="0" t="s">
        <v>75</v>
      </c>
      <c r="F14814" s="0" t="s">
        <v>15</v>
      </c>
      <c r="G14814" s="0" t="s">
        <v>20</v>
      </c>
      <c r="H14814" s="0" t="n">
        <v>18</v>
      </c>
      <c r="I14814" s="0" t="s">
        <v>49227</v>
      </c>
      <c r="J14814" s="0" t="s">
        <v>49228</v>
      </c>
      <c r="K14814" s="0" t="s">
        <v>49229</v>
      </c>
      <c r="L14814" s="0" t="str">
        <f aca="false">HYPERLINK("https://www.ncbi.nlm.nih.gov/nuccore/CP000058.1?report=graph&amp;tracks=[key:gene_model_track,Options:GeneOnly]&amp;mk=4584593:4584612|offset_18|00cc00,4584623:4584642|offset_48|444444,4584648:4584667|offset_73|444444,4584699:4584718|offset_124|444444&amp;v=4584392:4584918&amp;c=444444", "offset 18")</f>
        <v>offset 18</v>
      </c>
    </row>
    <row r="14815" customFormat="false" ht="12.8" hidden="false" customHeight="false" outlineLevel="0" collapsed="false">
      <c r="A14815" s="0" t="s">
        <v>12</v>
      </c>
      <c r="B14815" s="0" t="n">
        <v>4584622</v>
      </c>
      <c r="C14815" s="0" t="n">
        <v>4584642</v>
      </c>
      <c r="D14815" s="0" t="s">
        <v>49226</v>
      </c>
      <c r="E14815" s="0" t="s">
        <v>75</v>
      </c>
      <c r="F14815" s="0" t="s">
        <v>15</v>
      </c>
      <c r="G14815" s="0" t="s">
        <v>32</v>
      </c>
      <c r="H14815" s="0" t="n">
        <v>48</v>
      </c>
      <c r="I14815" s="0" t="s">
        <v>49230</v>
      </c>
      <c r="J14815" s="0" t="s">
        <v>49231</v>
      </c>
      <c r="K14815" s="0" t="s">
        <v>49232</v>
      </c>
      <c r="L14815" s="0" t="str">
        <f aca="false">HYPERLINK("https://www.ncbi.nlm.nih.gov/nuccore/CP000058.1?report=graph&amp;tracks=[key:gene_model_track,Options:GeneOnly]&amp;mk=4584593:4584612|offset_18|444444,4584623:4584642|offset_48|00cc00,4584648:4584667|offset_73|444444,4584699:4584718|offset_124|444444&amp;v=4584392:4584918&amp;c=444444", "offset 48")</f>
        <v>offset 48</v>
      </c>
    </row>
    <row r="14816" customFormat="false" ht="12.8" hidden="false" customHeight="false" outlineLevel="0" collapsed="false">
      <c r="A14816" s="0" t="s">
        <v>12</v>
      </c>
      <c r="B14816" s="0" t="n">
        <v>4584647</v>
      </c>
      <c r="C14816" s="0" t="n">
        <v>4584667</v>
      </c>
      <c r="D14816" s="0" t="s">
        <v>49226</v>
      </c>
      <c r="E14816" s="0" t="s">
        <v>75</v>
      </c>
      <c r="F14816" s="0" t="s">
        <v>15</v>
      </c>
      <c r="G14816" s="0" t="s">
        <v>16</v>
      </c>
      <c r="H14816" s="0" t="n">
        <v>73</v>
      </c>
      <c r="I14816" s="0" t="s">
        <v>49233</v>
      </c>
      <c r="J14816" s="0" t="s">
        <v>49234</v>
      </c>
      <c r="K14816" s="0" t="s">
        <v>49235</v>
      </c>
      <c r="L14816" s="0" t="str">
        <f aca="false">HYPERLINK("https://www.ncbi.nlm.nih.gov/nuccore/CP000058.1?report=graph&amp;tracks=[key:gene_model_track,Options:GeneOnly]&amp;mk=4584593:4584612|offset_18|444444,4584623:4584642|offset_48|444444,4584648:4584667|offset_73|00cc00,4584699:4584718|offset_124|444444&amp;v=4584392:4584918&amp;c=444444", "offset 73")</f>
        <v>offset 73</v>
      </c>
    </row>
    <row r="14817" customFormat="false" ht="12.8" hidden="false" customHeight="false" outlineLevel="0" collapsed="false">
      <c r="A14817" s="0" t="s">
        <v>12</v>
      </c>
      <c r="B14817" s="0" t="n">
        <v>4584698</v>
      </c>
      <c r="C14817" s="0" t="n">
        <v>4584718</v>
      </c>
      <c r="D14817" s="0" t="s">
        <v>49226</v>
      </c>
      <c r="E14817" s="0" t="s">
        <v>75</v>
      </c>
      <c r="F14817" s="0" t="s">
        <v>15</v>
      </c>
      <c r="G14817" s="0" t="s">
        <v>36</v>
      </c>
      <c r="H14817" s="0" t="n">
        <v>124</v>
      </c>
      <c r="I14817" s="0" t="s">
        <v>49236</v>
      </c>
      <c r="J14817" s="0" t="s">
        <v>49237</v>
      </c>
      <c r="K14817" s="0" t="s">
        <v>49238</v>
      </c>
      <c r="L14817" s="0" t="str">
        <f aca="false">HYPERLINK("https://www.ncbi.nlm.nih.gov/nuccore/CP000058.1?report=graph&amp;tracks=[key:gene_model_track,Options:GeneOnly]&amp;mk=4584593:4584612|offset_18|444444,4584623:4584642|offset_48|444444,4584648:4584667|offset_73|444444,4584699:4584718|offset_124|00cc00&amp;v=4584392:4584918&amp;c=444444", "offset 124")</f>
        <v>offset 124</v>
      </c>
    </row>
    <row r="14818" customFormat="false" ht="12.8" hidden="false" customHeight="false" outlineLevel="0" collapsed="false">
      <c r="A14818" s="0" t="s">
        <v>12</v>
      </c>
      <c r="B14818" s="0" t="n">
        <v>4585771</v>
      </c>
      <c r="C14818" s="0" t="n">
        <v>4585791</v>
      </c>
      <c r="D14818" s="0" t="s">
        <v>49239</v>
      </c>
      <c r="E14818" s="0" t="s">
        <v>75</v>
      </c>
      <c r="F14818" s="0" t="s">
        <v>15</v>
      </c>
      <c r="G14818" s="0" t="s">
        <v>36</v>
      </c>
      <c r="H14818" s="0" t="n">
        <v>0</v>
      </c>
      <c r="I14818" s="0" t="s">
        <v>49240</v>
      </c>
      <c r="J14818" s="0" t="s">
        <v>49241</v>
      </c>
      <c r="K14818" s="0" t="s">
        <v>49242</v>
      </c>
      <c r="L14818" s="0" t="str">
        <f aca="false">HYPERLINK("https://www.ncbi.nlm.nih.gov/nuccore/CP000058.1?report=graph&amp;tracks=[key:gene_model_track,Options:GeneOnly]&amp;mk=4585772:4585791|offset_0|00cc00,4585799:4585818|offset_27|444444,4585821:4585840|offset_49|444444,4585857:4585876|offset_85|444444&amp;v=4585571:4586076&amp;c=444444", "offset 0")</f>
        <v>offset 0</v>
      </c>
    </row>
    <row r="14819" customFormat="false" ht="12.8" hidden="false" customHeight="false" outlineLevel="0" collapsed="false">
      <c r="A14819" s="0" t="s">
        <v>12</v>
      </c>
      <c r="B14819" s="0" t="n">
        <v>4585798</v>
      </c>
      <c r="C14819" s="0" t="n">
        <v>4585818</v>
      </c>
      <c r="D14819" s="0" t="s">
        <v>49239</v>
      </c>
      <c r="E14819" s="0" t="s">
        <v>75</v>
      </c>
      <c r="F14819" s="0" t="s">
        <v>15</v>
      </c>
      <c r="G14819" s="0" t="s">
        <v>36</v>
      </c>
      <c r="H14819" s="0" t="n">
        <v>27</v>
      </c>
      <c r="I14819" s="0" t="s">
        <v>49243</v>
      </c>
      <c r="J14819" s="0" t="s">
        <v>49244</v>
      </c>
      <c r="K14819" s="0" t="s">
        <v>49245</v>
      </c>
      <c r="L14819" s="0" t="str">
        <f aca="false">HYPERLINK("https://www.ncbi.nlm.nih.gov/nuccore/CP000058.1?report=graph&amp;tracks=[key:gene_model_track,Options:GeneOnly]&amp;mk=4585772:4585791|offset_0|444444,4585799:4585818|offset_27|00cc00,4585821:4585840|offset_49|444444,4585857:4585876|offset_85|444444&amp;v=4585571:4586076&amp;c=444444", "offset 27")</f>
        <v>offset 27</v>
      </c>
    </row>
    <row r="14820" customFormat="false" ht="12.8" hidden="false" customHeight="false" outlineLevel="0" collapsed="false">
      <c r="A14820" s="0" t="s">
        <v>12</v>
      </c>
      <c r="B14820" s="0" t="n">
        <v>4585820</v>
      </c>
      <c r="C14820" s="0" t="n">
        <v>4585840</v>
      </c>
      <c r="D14820" s="0" t="s">
        <v>49239</v>
      </c>
      <c r="E14820" s="0" t="s">
        <v>75</v>
      </c>
      <c r="F14820" s="0" t="s">
        <v>15</v>
      </c>
      <c r="G14820" s="0" t="s">
        <v>36</v>
      </c>
      <c r="H14820" s="0" t="n">
        <v>49</v>
      </c>
      <c r="I14820" s="0" t="s">
        <v>49246</v>
      </c>
      <c r="J14820" s="0" t="s">
        <v>49247</v>
      </c>
      <c r="K14820" s="0" t="s">
        <v>49248</v>
      </c>
      <c r="L14820" s="0" t="str">
        <f aca="false">HYPERLINK("https://www.ncbi.nlm.nih.gov/nuccore/CP000058.1?report=graph&amp;tracks=[key:gene_model_track,Options:GeneOnly]&amp;mk=4585772:4585791|offset_0|444444,4585799:4585818|offset_27|444444,4585821:4585840|offset_49|00cc00,4585857:4585876|offset_85|444444&amp;v=4585571:4586076&amp;c=444444", "offset 49")</f>
        <v>offset 49</v>
      </c>
    </row>
    <row r="14821" customFormat="false" ht="12.8" hidden="false" customHeight="false" outlineLevel="0" collapsed="false">
      <c r="A14821" s="0" t="s">
        <v>12</v>
      </c>
      <c r="B14821" s="0" t="n">
        <v>4585856</v>
      </c>
      <c r="C14821" s="0" t="n">
        <v>4585876</v>
      </c>
      <c r="D14821" s="0" t="s">
        <v>49239</v>
      </c>
      <c r="E14821" s="0" t="s">
        <v>75</v>
      </c>
      <c r="F14821" s="0" t="s">
        <v>15</v>
      </c>
      <c r="G14821" s="0" t="s">
        <v>32</v>
      </c>
      <c r="H14821" s="0" t="n">
        <v>85</v>
      </c>
      <c r="I14821" s="0" t="s">
        <v>49249</v>
      </c>
      <c r="J14821" s="0" t="s">
        <v>49250</v>
      </c>
      <c r="K14821" s="0" t="s">
        <v>49251</v>
      </c>
      <c r="L14821" s="0" t="str">
        <f aca="false">HYPERLINK("https://www.ncbi.nlm.nih.gov/nuccore/CP000058.1?report=graph&amp;tracks=[key:gene_model_track,Options:GeneOnly]&amp;mk=4585772:4585791|offset_0|444444,4585799:4585818|offset_27|444444,4585821:4585840|offset_49|444444,4585857:4585876|offset_85|00cc00&amp;v=4585571:4586076&amp;c=444444", "offset 85")</f>
        <v>offset 85</v>
      </c>
    </row>
    <row r="14822" customFormat="false" ht="12.8" hidden="false" customHeight="false" outlineLevel="0" collapsed="false">
      <c r="A14822" s="0" t="s">
        <v>12</v>
      </c>
      <c r="B14822" s="0" t="n">
        <v>4588936</v>
      </c>
      <c r="C14822" s="0" t="n">
        <v>4588956</v>
      </c>
      <c r="D14822" s="0" t="s">
        <v>49252</v>
      </c>
      <c r="E14822" s="0" t="s">
        <v>75</v>
      </c>
      <c r="F14822" s="0" t="s">
        <v>15</v>
      </c>
      <c r="G14822" s="0" t="s">
        <v>16</v>
      </c>
      <c r="H14822" s="0" t="n">
        <v>34</v>
      </c>
      <c r="I14822" s="0" t="s">
        <v>49253</v>
      </c>
      <c r="J14822" s="0" t="s">
        <v>49254</v>
      </c>
      <c r="K14822" s="0" t="s">
        <v>49255</v>
      </c>
      <c r="L14822" s="0" t="str">
        <f aca="false">HYPERLINK("https://www.ncbi.nlm.nih.gov/nuccore/CP000058.1?report=graph&amp;tracks=[key:gene_model_track,Options:GeneOnly]&amp;mk=4588937:4588956|offset_34|00cc00,4588968:4588987|offset_65|444444,4588993:4589012|offset_90|444444,4589020:4589039|offset_117|444444&amp;v=4588736:4589239&amp;c=444444", "offset 34")</f>
        <v>offset 34</v>
      </c>
    </row>
    <row r="14823" customFormat="false" ht="12.8" hidden="false" customHeight="false" outlineLevel="0" collapsed="false">
      <c r="A14823" s="0" t="s">
        <v>12</v>
      </c>
      <c r="B14823" s="0" t="n">
        <v>4588967</v>
      </c>
      <c r="C14823" s="0" t="n">
        <v>4588987</v>
      </c>
      <c r="D14823" s="0" t="s">
        <v>49252</v>
      </c>
      <c r="E14823" s="0" t="s">
        <v>75</v>
      </c>
      <c r="F14823" s="0" t="s">
        <v>15</v>
      </c>
      <c r="G14823" s="0" t="s">
        <v>36</v>
      </c>
      <c r="H14823" s="0" t="n">
        <v>65</v>
      </c>
      <c r="I14823" s="0" t="s">
        <v>49256</v>
      </c>
      <c r="J14823" s="0" t="s">
        <v>49257</v>
      </c>
      <c r="K14823" s="0" t="s">
        <v>49258</v>
      </c>
      <c r="L14823" s="0" t="str">
        <f aca="false">HYPERLINK("https://www.ncbi.nlm.nih.gov/nuccore/CP000058.1?report=graph&amp;tracks=[key:gene_model_track,Options:GeneOnly]&amp;mk=4588937:4588956|offset_34|444444,4588968:4588987|offset_65|00cc00,4588993:4589012|offset_90|444444,4589020:4589039|offset_117|444444&amp;v=4588736:4589239&amp;c=444444", "offset 65")</f>
        <v>offset 65</v>
      </c>
    </row>
    <row r="14824" customFormat="false" ht="12.8" hidden="false" customHeight="false" outlineLevel="0" collapsed="false">
      <c r="A14824" s="0" t="s">
        <v>12</v>
      </c>
      <c r="B14824" s="0" t="n">
        <v>4588992</v>
      </c>
      <c r="C14824" s="0" t="n">
        <v>4589012</v>
      </c>
      <c r="D14824" s="0" t="s">
        <v>49252</v>
      </c>
      <c r="E14824" s="0" t="s">
        <v>75</v>
      </c>
      <c r="F14824" s="0" t="s">
        <v>15</v>
      </c>
      <c r="G14824" s="0" t="s">
        <v>16</v>
      </c>
      <c r="H14824" s="0" t="n">
        <v>90</v>
      </c>
      <c r="I14824" s="0" t="s">
        <v>49259</v>
      </c>
      <c r="J14824" s="0" t="s">
        <v>49260</v>
      </c>
      <c r="K14824" s="0" t="s">
        <v>49261</v>
      </c>
      <c r="L14824" s="0" t="str">
        <f aca="false">HYPERLINK("https://www.ncbi.nlm.nih.gov/nuccore/CP000058.1?report=graph&amp;tracks=[key:gene_model_track,Options:GeneOnly]&amp;mk=4588937:4588956|offset_34|444444,4588968:4588987|offset_65|444444,4588993:4589012|offset_90|00cc00,4589020:4589039|offset_117|444444&amp;v=4588736:4589239&amp;c=444444", "offset 90")</f>
        <v>offset 90</v>
      </c>
    </row>
    <row r="14825" customFormat="false" ht="12.8" hidden="false" customHeight="false" outlineLevel="0" collapsed="false">
      <c r="A14825" s="0" t="s">
        <v>12</v>
      </c>
      <c r="B14825" s="0" t="n">
        <v>4589019</v>
      </c>
      <c r="C14825" s="0" t="n">
        <v>4589039</v>
      </c>
      <c r="D14825" s="0" t="s">
        <v>49252</v>
      </c>
      <c r="E14825" s="0" t="s">
        <v>75</v>
      </c>
      <c r="F14825" s="0" t="s">
        <v>15</v>
      </c>
      <c r="G14825" s="0" t="s">
        <v>16</v>
      </c>
      <c r="H14825" s="0" t="n">
        <v>117</v>
      </c>
      <c r="I14825" s="0" t="s">
        <v>49262</v>
      </c>
      <c r="J14825" s="0" t="s">
        <v>49263</v>
      </c>
      <c r="K14825" s="0" t="s">
        <v>49264</v>
      </c>
      <c r="L14825" s="0" t="str">
        <f aca="false">HYPERLINK("https://www.ncbi.nlm.nih.gov/nuccore/CP000058.1?report=graph&amp;tracks=[key:gene_model_track,Options:GeneOnly]&amp;mk=4588937:4588956|offset_34|444444,4588968:4588987|offset_65|444444,4588993:4589012|offset_90|444444,4589020:4589039|offset_117|00cc00&amp;v=4588736:4589239&amp;c=444444", "offset 117")</f>
        <v>offset 117</v>
      </c>
    </row>
    <row r="14826" customFormat="false" ht="12.8" hidden="false" customHeight="false" outlineLevel="0" collapsed="false">
      <c r="A14826" s="0" t="s">
        <v>12</v>
      </c>
      <c r="B14826" s="0" t="n">
        <v>4591687</v>
      </c>
      <c r="C14826" s="0" t="n">
        <v>4591707</v>
      </c>
      <c r="D14826" s="0" t="s">
        <v>49265</v>
      </c>
      <c r="E14826" s="0" t="s">
        <v>49266</v>
      </c>
      <c r="F14826" s="0" t="s">
        <v>90</v>
      </c>
      <c r="G14826" s="0" t="s">
        <v>16</v>
      </c>
      <c r="H14826" s="0" t="n">
        <v>24</v>
      </c>
      <c r="I14826" s="0" t="s">
        <v>49267</v>
      </c>
      <c r="J14826" s="0" t="s">
        <v>49268</v>
      </c>
      <c r="K14826" s="0" t="s">
        <v>49269</v>
      </c>
      <c r="L14826" s="0" t="str">
        <f aca="false">HYPERLINK("https://www.ncbi.nlm.nih.gov/nuccore/CP000058.1?report=graph&amp;tracks=[key:gene_model_track,Options:GeneOnly]&amp;mk=4591688:4591707|offset_24|00cc00,4591648:4591667|offset_64|444444,4591623:4591642|offset_89|444444,4591591:4591610|offset_121|444444&amp;v=4591487:4591810&amp;c=444444", "offset 24")</f>
        <v>offset 24</v>
      </c>
    </row>
    <row r="14827" customFormat="false" ht="12.8" hidden="false" customHeight="false" outlineLevel="0" collapsed="false">
      <c r="A14827" s="0" t="s">
        <v>12</v>
      </c>
      <c r="B14827" s="0" t="n">
        <v>4591647</v>
      </c>
      <c r="C14827" s="0" t="n">
        <v>4591667</v>
      </c>
      <c r="D14827" s="0" t="s">
        <v>49265</v>
      </c>
      <c r="E14827" s="0" t="s">
        <v>49266</v>
      </c>
      <c r="F14827" s="0" t="s">
        <v>90</v>
      </c>
      <c r="G14827" s="0" t="s">
        <v>32</v>
      </c>
      <c r="H14827" s="0" t="n">
        <v>64</v>
      </c>
      <c r="I14827" s="0" t="s">
        <v>49270</v>
      </c>
      <c r="J14827" s="0" t="s">
        <v>49271</v>
      </c>
      <c r="K14827" s="0" t="s">
        <v>49272</v>
      </c>
      <c r="L14827" s="0" t="str">
        <f aca="false">HYPERLINK("https://www.ncbi.nlm.nih.gov/nuccore/CP000058.1?report=graph&amp;tracks=[key:gene_model_track,Options:GeneOnly]&amp;mk=4591688:4591707|offset_24|444444,4591648:4591667|offset_64|00cc00,4591623:4591642|offset_89|444444,4591591:4591610|offset_121|444444&amp;v=4591487:4591810&amp;c=444444", "offset 64")</f>
        <v>offset 64</v>
      </c>
    </row>
    <row r="14828" customFormat="false" ht="12.8" hidden="false" customHeight="false" outlineLevel="0" collapsed="false">
      <c r="A14828" s="0" t="s">
        <v>12</v>
      </c>
      <c r="B14828" s="0" t="n">
        <v>4591622</v>
      </c>
      <c r="C14828" s="0" t="n">
        <v>4591642</v>
      </c>
      <c r="D14828" s="0" t="s">
        <v>49265</v>
      </c>
      <c r="E14828" s="0" t="s">
        <v>49266</v>
      </c>
      <c r="F14828" s="0" t="s">
        <v>90</v>
      </c>
      <c r="G14828" s="0" t="s">
        <v>20</v>
      </c>
      <c r="H14828" s="0" t="n">
        <v>89</v>
      </c>
      <c r="I14828" s="0" t="s">
        <v>49273</v>
      </c>
      <c r="J14828" s="0" t="s">
        <v>49274</v>
      </c>
      <c r="K14828" s="0" t="s">
        <v>49275</v>
      </c>
      <c r="L14828" s="0" t="str">
        <f aca="false">HYPERLINK("https://www.ncbi.nlm.nih.gov/nuccore/CP000058.1?report=graph&amp;tracks=[key:gene_model_track,Options:GeneOnly]&amp;mk=4591688:4591707|offset_24|444444,4591648:4591667|offset_64|444444,4591623:4591642|offset_89|00cc00,4591591:4591610|offset_121|444444&amp;v=4591487:4591810&amp;c=444444", "offset 89")</f>
        <v>offset 89</v>
      </c>
    </row>
    <row r="14829" customFormat="false" ht="12.8" hidden="false" customHeight="false" outlineLevel="0" collapsed="false">
      <c r="A14829" s="0" t="s">
        <v>12</v>
      </c>
      <c r="B14829" s="0" t="n">
        <v>4591590</v>
      </c>
      <c r="C14829" s="0" t="n">
        <v>4591610</v>
      </c>
      <c r="D14829" s="0" t="s">
        <v>49265</v>
      </c>
      <c r="E14829" s="0" t="s">
        <v>49266</v>
      </c>
      <c r="F14829" s="0" t="s">
        <v>90</v>
      </c>
      <c r="G14829" s="0" t="s">
        <v>20</v>
      </c>
      <c r="H14829" s="0" t="n">
        <v>121</v>
      </c>
      <c r="I14829" s="0" t="s">
        <v>49276</v>
      </c>
      <c r="J14829" s="0" t="s">
        <v>49277</v>
      </c>
      <c r="K14829" s="0" t="s">
        <v>49278</v>
      </c>
      <c r="L14829" s="0" t="str">
        <f aca="false">HYPERLINK("https://www.ncbi.nlm.nih.gov/nuccore/CP000058.1?report=graph&amp;tracks=[key:gene_model_track,Options:GeneOnly]&amp;mk=4591688:4591707|offset_24|444444,4591648:4591667|offset_64|444444,4591623:4591642|offset_89|444444,4591591:4591610|offset_121|00cc00&amp;v=4591487:4591810&amp;c=444444", "offset 121")</f>
        <v>offset 121</v>
      </c>
    </row>
    <row r="14830" customFormat="false" ht="12.8" hidden="false" customHeight="false" outlineLevel="0" collapsed="false">
      <c r="A14830" s="0" t="s">
        <v>12</v>
      </c>
      <c r="B14830" s="0" t="n">
        <v>4593084</v>
      </c>
      <c r="C14830" s="0" t="n">
        <v>4593104</v>
      </c>
      <c r="D14830" s="0" t="s">
        <v>49279</v>
      </c>
      <c r="E14830" s="0" t="s">
        <v>49280</v>
      </c>
      <c r="F14830" s="0" t="s">
        <v>90</v>
      </c>
      <c r="G14830" s="0" t="s">
        <v>36</v>
      </c>
      <c r="H14830" s="0" t="n">
        <v>39</v>
      </c>
      <c r="I14830" s="0" t="s">
        <v>49281</v>
      </c>
      <c r="J14830" s="0" t="s">
        <v>49282</v>
      </c>
      <c r="K14830" s="0" t="s">
        <v>49283</v>
      </c>
      <c r="L14830" s="0" t="str">
        <f aca="false">HYPERLINK("https://www.ncbi.nlm.nih.gov/nuccore/CP000058.1?report=graph&amp;tracks=[key:gene_model_track,Options:GeneOnly]&amp;mk=4593085:4593104|offset_39|00cc00,4593045:4593064|offset_79|444444,4592999:4593018|offset_125|444444,4592952:4592971|offset_172|444444&amp;v=4592884:4593171&amp;c=444444", "offset 39")</f>
        <v>offset 39</v>
      </c>
    </row>
    <row r="14831" customFormat="false" ht="12.8" hidden="false" customHeight="false" outlineLevel="0" collapsed="false">
      <c r="A14831" s="0" t="s">
        <v>12</v>
      </c>
      <c r="B14831" s="0" t="n">
        <v>4593044</v>
      </c>
      <c r="C14831" s="0" t="n">
        <v>4593064</v>
      </c>
      <c r="D14831" s="0" t="s">
        <v>49279</v>
      </c>
      <c r="E14831" s="0" t="s">
        <v>49280</v>
      </c>
      <c r="F14831" s="0" t="s">
        <v>90</v>
      </c>
      <c r="G14831" s="0" t="s">
        <v>16</v>
      </c>
      <c r="H14831" s="0" t="n">
        <v>79</v>
      </c>
      <c r="I14831" s="0" t="s">
        <v>49284</v>
      </c>
      <c r="J14831" s="0" t="s">
        <v>49285</v>
      </c>
      <c r="K14831" s="0" t="s">
        <v>49286</v>
      </c>
      <c r="L14831" s="0" t="str">
        <f aca="false">HYPERLINK("https://www.ncbi.nlm.nih.gov/nuccore/CP000058.1?report=graph&amp;tracks=[key:gene_model_track,Options:GeneOnly]&amp;mk=4593085:4593104|offset_39|444444,4593045:4593064|offset_79|00cc00,4592999:4593018|offset_125|444444,4592952:4592971|offset_172|444444&amp;v=4592884:4593171&amp;c=444444", "offset 79")</f>
        <v>offset 79</v>
      </c>
    </row>
    <row r="14832" customFormat="false" ht="12.8" hidden="false" customHeight="false" outlineLevel="0" collapsed="false">
      <c r="A14832" s="0" t="s">
        <v>12</v>
      </c>
      <c r="B14832" s="0" t="n">
        <v>4592998</v>
      </c>
      <c r="C14832" s="0" t="n">
        <v>4593018</v>
      </c>
      <c r="D14832" s="0" t="s">
        <v>49279</v>
      </c>
      <c r="E14832" s="0" t="s">
        <v>49280</v>
      </c>
      <c r="F14832" s="0" t="s">
        <v>90</v>
      </c>
      <c r="G14832" s="0" t="s">
        <v>36</v>
      </c>
      <c r="H14832" s="0" t="n">
        <v>125</v>
      </c>
      <c r="I14832" s="0" t="s">
        <v>49287</v>
      </c>
      <c r="J14832" s="0" t="s">
        <v>49288</v>
      </c>
      <c r="K14832" s="0" t="s">
        <v>49289</v>
      </c>
      <c r="L14832" s="0" t="str">
        <f aca="false">HYPERLINK("https://www.ncbi.nlm.nih.gov/nuccore/CP000058.1?report=graph&amp;tracks=[key:gene_model_track,Options:GeneOnly]&amp;mk=4593085:4593104|offset_39|444444,4593045:4593064|offset_79|444444,4592999:4593018|offset_125|00cc00,4592952:4592971|offset_172|444444&amp;v=4592884:4593171&amp;c=444444", "offset 125")</f>
        <v>offset 125</v>
      </c>
    </row>
    <row r="14833" customFormat="false" ht="12.8" hidden="false" customHeight="false" outlineLevel="0" collapsed="false">
      <c r="A14833" s="0" t="s">
        <v>12</v>
      </c>
      <c r="B14833" s="0" t="n">
        <v>4592951</v>
      </c>
      <c r="C14833" s="0" t="n">
        <v>4592971</v>
      </c>
      <c r="D14833" s="0" t="s">
        <v>49279</v>
      </c>
      <c r="E14833" s="0" t="s">
        <v>49280</v>
      </c>
      <c r="F14833" s="0" t="s">
        <v>90</v>
      </c>
      <c r="G14833" s="0" t="s">
        <v>32</v>
      </c>
      <c r="H14833" s="0" t="n">
        <v>172</v>
      </c>
      <c r="I14833" s="0" t="s">
        <v>49290</v>
      </c>
      <c r="J14833" s="0" t="s">
        <v>49291</v>
      </c>
      <c r="K14833" s="0" t="s">
        <v>49292</v>
      </c>
      <c r="L14833" s="0" t="str">
        <f aca="false">HYPERLINK("https://www.ncbi.nlm.nih.gov/nuccore/CP000058.1?report=graph&amp;tracks=[key:gene_model_track,Options:GeneOnly]&amp;mk=4593085:4593104|offset_39|444444,4593045:4593064|offset_79|444444,4592999:4593018|offset_125|444444,4592952:4592971|offset_172|00cc00&amp;v=4592884:4593171&amp;c=444444", "offset 172")</f>
        <v>offset 172</v>
      </c>
    </row>
    <row r="14834" customFormat="false" ht="12.8" hidden="false" customHeight="false" outlineLevel="0" collapsed="false">
      <c r="A14834" s="0" t="s">
        <v>12</v>
      </c>
      <c r="B14834" s="0" t="n">
        <v>4593889</v>
      </c>
      <c r="C14834" s="0" t="n">
        <v>4593909</v>
      </c>
      <c r="D14834" s="0" t="s">
        <v>49293</v>
      </c>
      <c r="E14834" s="0" t="s">
        <v>49294</v>
      </c>
      <c r="F14834" s="0" t="s">
        <v>90</v>
      </c>
      <c r="G14834" s="0" t="s">
        <v>32</v>
      </c>
      <c r="H14834" s="0" t="n">
        <v>13</v>
      </c>
      <c r="I14834" s="0" t="s">
        <v>49295</v>
      </c>
      <c r="J14834" s="0" t="s">
        <v>49296</v>
      </c>
      <c r="K14834" s="0" t="s">
        <v>49297</v>
      </c>
      <c r="L14834" s="0" t="str">
        <f aca="false">HYPERLINK("https://www.ncbi.nlm.nih.gov/nuccore/CP000058.1?report=graph&amp;tracks=[key:gene_model_track,Options:GeneOnly]&amp;mk=4593890:4593909|offset_13|00cc00,4593860:4593879|offset_43|444444,4593813:4593832|offset_90|444444,4593774:4593793|offset_129|444444&amp;v=4593689:4593993&amp;c=444444", "offset 13")</f>
        <v>offset 13</v>
      </c>
    </row>
    <row r="14835" customFormat="false" ht="12.8" hidden="false" customHeight="false" outlineLevel="0" collapsed="false">
      <c r="A14835" s="0" t="s">
        <v>12</v>
      </c>
      <c r="B14835" s="0" t="n">
        <v>4593859</v>
      </c>
      <c r="C14835" s="0" t="n">
        <v>4593879</v>
      </c>
      <c r="D14835" s="0" t="s">
        <v>49293</v>
      </c>
      <c r="E14835" s="0" t="s">
        <v>49294</v>
      </c>
      <c r="F14835" s="0" t="s">
        <v>90</v>
      </c>
      <c r="G14835" s="0" t="s">
        <v>36</v>
      </c>
      <c r="H14835" s="0" t="n">
        <v>43</v>
      </c>
      <c r="I14835" s="0" t="s">
        <v>49298</v>
      </c>
      <c r="J14835" s="0" t="s">
        <v>49299</v>
      </c>
      <c r="K14835" s="0" t="s">
        <v>49300</v>
      </c>
      <c r="L14835" s="0" t="str">
        <f aca="false">HYPERLINK("https://www.ncbi.nlm.nih.gov/nuccore/CP000058.1?report=graph&amp;tracks=[key:gene_model_track,Options:GeneOnly]&amp;mk=4593890:4593909|offset_13|444444,4593860:4593879|offset_43|00cc00,4593813:4593832|offset_90|444444,4593774:4593793|offset_129|444444&amp;v=4593689:4593993&amp;c=444444", "offset 43")</f>
        <v>offset 43</v>
      </c>
    </row>
    <row r="14836" customFormat="false" ht="12.8" hidden="false" customHeight="false" outlineLevel="0" collapsed="false">
      <c r="A14836" s="0" t="s">
        <v>12</v>
      </c>
      <c r="B14836" s="0" t="n">
        <v>4593812</v>
      </c>
      <c r="C14836" s="0" t="n">
        <v>4593832</v>
      </c>
      <c r="D14836" s="0" t="s">
        <v>49293</v>
      </c>
      <c r="E14836" s="0" t="s">
        <v>49294</v>
      </c>
      <c r="F14836" s="0" t="s">
        <v>90</v>
      </c>
      <c r="G14836" s="0" t="s">
        <v>36</v>
      </c>
      <c r="H14836" s="0" t="n">
        <v>90</v>
      </c>
      <c r="I14836" s="0" t="s">
        <v>49301</v>
      </c>
      <c r="J14836" s="0" t="s">
        <v>49302</v>
      </c>
      <c r="K14836" s="0" t="s">
        <v>49303</v>
      </c>
      <c r="L14836" s="0" t="str">
        <f aca="false">HYPERLINK("https://www.ncbi.nlm.nih.gov/nuccore/CP000058.1?report=graph&amp;tracks=[key:gene_model_track,Options:GeneOnly]&amp;mk=4593890:4593909|offset_13|444444,4593860:4593879|offset_43|444444,4593813:4593832|offset_90|00cc00,4593774:4593793|offset_129|444444&amp;v=4593689:4593993&amp;c=444444", "offset 90")</f>
        <v>offset 90</v>
      </c>
    </row>
    <row r="14837" customFormat="false" ht="12.8" hidden="false" customHeight="false" outlineLevel="0" collapsed="false">
      <c r="A14837" s="0" t="s">
        <v>12</v>
      </c>
      <c r="B14837" s="0" t="n">
        <v>4593773</v>
      </c>
      <c r="C14837" s="0" t="n">
        <v>4593793</v>
      </c>
      <c r="D14837" s="0" t="s">
        <v>49293</v>
      </c>
      <c r="E14837" s="0" t="s">
        <v>49294</v>
      </c>
      <c r="F14837" s="0" t="s">
        <v>90</v>
      </c>
      <c r="G14837" s="0" t="s">
        <v>36</v>
      </c>
      <c r="H14837" s="0" t="n">
        <v>129</v>
      </c>
      <c r="I14837" s="0" t="s">
        <v>49304</v>
      </c>
      <c r="J14837" s="0" t="s">
        <v>49305</v>
      </c>
      <c r="K14837" s="0" t="s">
        <v>49306</v>
      </c>
      <c r="L14837" s="0" t="str">
        <f aca="false">HYPERLINK("https://www.ncbi.nlm.nih.gov/nuccore/CP000058.1?report=graph&amp;tracks=[key:gene_model_track,Options:GeneOnly]&amp;mk=4593890:4593909|offset_13|444444,4593860:4593879|offset_43|444444,4593813:4593832|offset_90|444444,4593774:4593793|offset_129|00cc00&amp;v=4593689:4593993&amp;c=444444", "offset 129")</f>
        <v>offset 129</v>
      </c>
    </row>
    <row r="14838" customFormat="false" ht="12.8" hidden="false" customHeight="false" outlineLevel="0" collapsed="false">
      <c r="A14838" s="0" t="s">
        <v>12</v>
      </c>
      <c r="B14838" s="0" t="n">
        <v>4594667</v>
      </c>
      <c r="C14838" s="0" t="n">
        <v>4594687</v>
      </c>
      <c r="D14838" s="0" t="s">
        <v>49307</v>
      </c>
      <c r="E14838" s="0" t="s">
        <v>49308</v>
      </c>
      <c r="F14838" s="0" t="s">
        <v>90</v>
      </c>
      <c r="G14838" s="0" t="s">
        <v>36</v>
      </c>
      <c r="H14838" s="0" t="n">
        <v>92</v>
      </c>
      <c r="I14838" s="0" t="s">
        <v>49309</v>
      </c>
      <c r="J14838" s="0" t="s">
        <v>49310</v>
      </c>
      <c r="K14838" s="0" t="s">
        <v>49311</v>
      </c>
      <c r="L14838" s="0" t="str">
        <f aca="false">HYPERLINK("https://www.ncbi.nlm.nih.gov/nuccore/CP000058.1?report=graph&amp;tracks=[key:gene_model_track,Options:GeneOnly]&amp;mk=4594668:4594687|offset_92|00cc00,4594641:4594660|offset_119|444444,4594618:4594637|offset_142|444444,4594596:4594615|offset_164|444444&amp;v=4594467:4594815&amp;c=444444", "offset 92")</f>
        <v>offset 92</v>
      </c>
    </row>
    <row r="14839" customFormat="false" ht="12.8" hidden="false" customHeight="false" outlineLevel="0" collapsed="false">
      <c r="A14839" s="0" t="s">
        <v>12</v>
      </c>
      <c r="B14839" s="0" t="n">
        <v>4594640</v>
      </c>
      <c r="C14839" s="0" t="n">
        <v>4594660</v>
      </c>
      <c r="D14839" s="0" t="s">
        <v>49307</v>
      </c>
      <c r="E14839" s="0" t="s">
        <v>49308</v>
      </c>
      <c r="F14839" s="0" t="s">
        <v>90</v>
      </c>
      <c r="G14839" s="0" t="s">
        <v>16</v>
      </c>
      <c r="H14839" s="0" t="n">
        <v>119</v>
      </c>
      <c r="I14839" s="0" t="s">
        <v>49312</v>
      </c>
      <c r="J14839" s="0" t="s">
        <v>49313</v>
      </c>
      <c r="K14839" s="0" t="s">
        <v>49314</v>
      </c>
      <c r="L14839" s="0" t="str">
        <f aca="false">HYPERLINK("https://www.ncbi.nlm.nih.gov/nuccore/CP000058.1?report=graph&amp;tracks=[key:gene_model_track,Options:GeneOnly]&amp;mk=4594668:4594687|offset_92|444444,4594641:4594660|offset_119|00cc00,4594618:4594637|offset_142|444444,4594596:4594615|offset_164|444444&amp;v=4594467:4594815&amp;c=444444", "offset 119")</f>
        <v>offset 119</v>
      </c>
    </row>
    <row r="14840" customFormat="false" ht="12.8" hidden="false" customHeight="false" outlineLevel="0" collapsed="false">
      <c r="A14840" s="0" t="s">
        <v>12</v>
      </c>
      <c r="B14840" s="0" t="n">
        <v>4594617</v>
      </c>
      <c r="C14840" s="0" t="n">
        <v>4594637</v>
      </c>
      <c r="D14840" s="0" t="s">
        <v>49307</v>
      </c>
      <c r="E14840" s="0" t="s">
        <v>49308</v>
      </c>
      <c r="F14840" s="0" t="s">
        <v>90</v>
      </c>
      <c r="G14840" s="0" t="s">
        <v>36</v>
      </c>
      <c r="H14840" s="0" t="n">
        <v>142</v>
      </c>
      <c r="I14840" s="0" t="s">
        <v>49315</v>
      </c>
      <c r="J14840" s="0" t="s">
        <v>49316</v>
      </c>
      <c r="K14840" s="0" t="s">
        <v>49317</v>
      </c>
      <c r="L14840" s="0" t="str">
        <f aca="false">HYPERLINK("https://www.ncbi.nlm.nih.gov/nuccore/CP000058.1?report=graph&amp;tracks=[key:gene_model_track,Options:GeneOnly]&amp;mk=4594668:4594687|offset_92|444444,4594641:4594660|offset_119|444444,4594618:4594637|offset_142|00cc00,4594596:4594615|offset_164|444444&amp;v=4594467:4594815&amp;c=444444", "offset 142")</f>
        <v>offset 142</v>
      </c>
    </row>
    <row r="14841" customFormat="false" ht="12.8" hidden="false" customHeight="false" outlineLevel="0" collapsed="false">
      <c r="A14841" s="0" t="s">
        <v>12</v>
      </c>
      <c r="B14841" s="0" t="n">
        <v>4594595</v>
      </c>
      <c r="C14841" s="0" t="n">
        <v>4594615</v>
      </c>
      <c r="D14841" s="0" t="s">
        <v>49307</v>
      </c>
      <c r="E14841" s="0" t="s">
        <v>49308</v>
      </c>
      <c r="F14841" s="0" t="s">
        <v>90</v>
      </c>
      <c r="G14841" s="0" t="s">
        <v>20</v>
      </c>
      <c r="H14841" s="0" t="n">
        <v>164</v>
      </c>
      <c r="I14841" s="0" t="s">
        <v>49318</v>
      </c>
      <c r="J14841" s="0" t="s">
        <v>49319</v>
      </c>
      <c r="K14841" s="0" t="s">
        <v>49320</v>
      </c>
      <c r="L14841" s="0" t="str">
        <f aca="false">HYPERLINK("https://www.ncbi.nlm.nih.gov/nuccore/CP000058.1?report=graph&amp;tracks=[key:gene_model_track,Options:GeneOnly]&amp;mk=4594668:4594687|offset_92|444444,4594641:4594660|offset_119|444444,4594618:4594637|offset_142|444444,4594596:4594615|offset_164|00cc00&amp;v=4594467:4594815&amp;c=444444", "offset 164")</f>
        <v>offset 164</v>
      </c>
    </row>
    <row r="14842" customFormat="false" ht="12.8" hidden="false" customHeight="false" outlineLevel="0" collapsed="false">
      <c r="A14842" s="0" t="s">
        <v>12</v>
      </c>
      <c r="B14842" s="0" t="n">
        <v>4595771</v>
      </c>
      <c r="C14842" s="0" t="n">
        <v>4595791</v>
      </c>
      <c r="D14842" s="0" t="s">
        <v>49321</v>
      </c>
      <c r="E14842" s="0" t="s">
        <v>49322</v>
      </c>
      <c r="F14842" s="0" t="s">
        <v>90</v>
      </c>
      <c r="G14842" s="0" t="s">
        <v>20</v>
      </c>
      <c r="H14842" s="0" t="n">
        <v>31</v>
      </c>
      <c r="I14842" s="0" t="s">
        <v>49323</v>
      </c>
      <c r="J14842" s="0" t="s">
        <v>49324</v>
      </c>
      <c r="K14842" s="0" t="s">
        <v>49325</v>
      </c>
      <c r="L14842" s="0" t="str">
        <f aca="false">HYPERLINK("https://www.ncbi.nlm.nih.gov/nuccore/CP000058.1?report=graph&amp;tracks=[key:gene_model_track,Options:GeneOnly]&amp;mk=4595772:4595791|offset_31|00cc00,4595743:4595762|offset_60|444444,4595718:4595737|offset_85|444444,4595676:4595695|offset_127|444444&amp;v=4595571:4595895&amp;c=444444", "offset 31")</f>
        <v>offset 31</v>
      </c>
    </row>
    <row r="14843" customFormat="false" ht="12.8" hidden="false" customHeight="false" outlineLevel="0" collapsed="false">
      <c r="A14843" s="0" t="s">
        <v>12</v>
      </c>
      <c r="B14843" s="0" t="n">
        <v>4595742</v>
      </c>
      <c r="C14843" s="0" t="n">
        <v>4595762</v>
      </c>
      <c r="D14843" s="0" t="s">
        <v>49321</v>
      </c>
      <c r="E14843" s="0" t="s">
        <v>49322</v>
      </c>
      <c r="F14843" s="0" t="s">
        <v>90</v>
      </c>
      <c r="G14843" s="0" t="s">
        <v>36</v>
      </c>
      <c r="H14843" s="0" t="n">
        <v>60</v>
      </c>
      <c r="I14843" s="0" t="s">
        <v>49326</v>
      </c>
      <c r="J14843" s="0" t="s">
        <v>49327</v>
      </c>
      <c r="K14843" s="0" t="s">
        <v>49328</v>
      </c>
      <c r="L14843" s="0" t="str">
        <f aca="false">HYPERLINK("https://www.ncbi.nlm.nih.gov/nuccore/CP000058.1?report=graph&amp;tracks=[key:gene_model_track,Options:GeneOnly]&amp;mk=4595772:4595791|offset_31|444444,4595743:4595762|offset_60|00cc00,4595718:4595737|offset_85|444444,4595676:4595695|offset_127|444444&amp;v=4595571:4595895&amp;c=444444", "offset 60")</f>
        <v>offset 60</v>
      </c>
    </row>
    <row r="14844" customFormat="false" ht="12.8" hidden="false" customHeight="false" outlineLevel="0" collapsed="false">
      <c r="A14844" s="0" t="s">
        <v>12</v>
      </c>
      <c r="B14844" s="0" t="n">
        <v>4595717</v>
      </c>
      <c r="C14844" s="0" t="n">
        <v>4595737</v>
      </c>
      <c r="D14844" s="0" t="s">
        <v>49321</v>
      </c>
      <c r="E14844" s="0" t="s">
        <v>49322</v>
      </c>
      <c r="F14844" s="0" t="s">
        <v>90</v>
      </c>
      <c r="G14844" s="0" t="s">
        <v>16</v>
      </c>
      <c r="H14844" s="0" t="n">
        <v>85</v>
      </c>
      <c r="I14844" s="0" t="s">
        <v>49329</v>
      </c>
      <c r="J14844" s="0" t="s">
        <v>49330</v>
      </c>
      <c r="K14844" s="0" t="s">
        <v>49331</v>
      </c>
      <c r="L14844" s="0" t="str">
        <f aca="false">HYPERLINK("https://www.ncbi.nlm.nih.gov/nuccore/CP000058.1?report=graph&amp;tracks=[key:gene_model_track,Options:GeneOnly]&amp;mk=4595772:4595791|offset_31|444444,4595743:4595762|offset_60|444444,4595718:4595737|offset_85|00cc00,4595676:4595695|offset_127|444444&amp;v=4595571:4595895&amp;c=444444", "offset 85")</f>
        <v>offset 85</v>
      </c>
    </row>
    <row r="14845" customFormat="false" ht="12.8" hidden="false" customHeight="false" outlineLevel="0" collapsed="false">
      <c r="A14845" s="0" t="s">
        <v>12</v>
      </c>
      <c r="B14845" s="0" t="n">
        <v>4595675</v>
      </c>
      <c r="C14845" s="0" t="n">
        <v>4595695</v>
      </c>
      <c r="D14845" s="0" t="s">
        <v>49321</v>
      </c>
      <c r="E14845" s="0" t="s">
        <v>49322</v>
      </c>
      <c r="F14845" s="0" t="s">
        <v>90</v>
      </c>
      <c r="G14845" s="0" t="s">
        <v>16</v>
      </c>
      <c r="H14845" s="0" t="n">
        <v>127</v>
      </c>
      <c r="I14845" s="0" t="s">
        <v>49332</v>
      </c>
      <c r="J14845" s="0" t="s">
        <v>49333</v>
      </c>
      <c r="K14845" s="0" t="s">
        <v>49334</v>
      </c>
      <c r="L14845" s="0" t="str">
        <f aca="false">HYPERLINK("https://www.ncbi.nlm.nih.gov/nuccore/CP000058.1?report=graph&amp;tracks=[key:gene_model_track,Options:GeneOnly]&amp;mk=4595772:4595791|offset_31|444444,4595743:4595762|offset_60|444444,4595718:4595737|offset_85|444444,4595676:4595695|offset_127|00cc00&amp;v=4595571:4595895&amp;c=444444", "offset 127")</f>
        <v>offset 127</v>
      </c>
    </row>
    <row r="14846" customFormat="false" ht="12.8" hidden="false" customHeight="false" outlineLevel="0" collapsed="false">
      <c r="A14846" s="0" t="s">
        <v>12</v>
      </c>
      <c r="B14846" s="0" t="n">
        <v>4596554</v>
      </c>
      <c r="C14846" s="0" t="n">
        <v>4596574</v>
      </c>
      <c r="D14846" s="0" t="s">
        <v>49335</v>
      </c>
      <c r="E14846" s="0" t="s">
        <v>75</v>
      </c>
      <c r="F14846" s="0" t="s">
        <v>15</v>
      </c>
      <c r="G14846" s="0" t="s">
        <v>36</v>
      </c>
      <c r="H14846" s="0" t="n">
        <v>7</v>
      </c>
      <c r="I14846" s="0" t="s">
        <v>49336</v>
      </c>
      <c r="J14846" s="0" t="s">
        <v>49337</v>
      </c>
      <c r="K14846" s="0" t="s">
        <v>49338</v>
      </c>
      <c r="L14846" s="0" t="str">
        <f aca="false">HYPERLINK("https://www.ncbi.nlm.nih.gov/nuccore/CP000058.1?report=graph&amp;tracks=[key:gene_model_track,Options:GeneOnly]&amp;mk=4596555:4596574|offset_7|00cc00,4596590:4596609|offset_42|444444,4596630:4596649|offset_82|444444,4596697:4596716|offset_149|444444&amp;v=4596354:4596916&amp;c=444444", "offset 7")</f>
        <v>offset 7</v>
      </c>
    </row>
    <row r="14847" customFormat="false" ht="12.8" hidden="false" customHeight="false" outlineLevel="0" collapsed="false">
      <c r="A14847" s="0" t="s">
        <v>12</v>
      </c>
      <c r="B14847" s="0" t="n">
        <v>4596589</v>
      </c>
      <c r="C14847" s="0" t="n">
        <v>4596609</v>
      </c>
      <c r="D14847" s="0" t="s">
        <v>49335</v>
      </c>
      <c r="E14847" s="0" t="s">
        <v>75</v>
      </c>
      <c r="F14847" s="0" t="s">
        <v>15</v>
      </c>
      <c r="G14847" s="0" t="s">
        <v>16</v>
      </c>
      <c r="H14847" s="0" t="n">
        <v>42</v>
      </c>
      <c r="I14847" s="0" t="s">
        <v>49339</v>
      </c>
      <c r="J14847" s="0" t="s">
        <v>49340</v>
      </c>
      <c r="K14847" s="0" t="s">
        <v>49341</v>
      </c>
      <c r="L14847" s="0" t="str">
        <f aca="false">HYPERLINK("https://www.ncbi.nlm.nih.gov/nuccore/CP000058.1?report=graph&amp;tracks=[key:gene_model_track,Options:GeneOnly]&amp;mk=4596555:4596574|offset_7|444444,4596590:4596609|offset_42|00cc00,4596630:4596649|offset_82|444444,4596697:4596716|offset_149|444444&amp;v=4596354:4596916&amp;c=444444", "offset 42")</f>
        <v>offset 42</v>
      </c>
    </row>
    <row r="14848" customFormat="false" ht="12.8" hidden="false" customHeight="false" outlineLevel="0" collapsed="false">
      <c r="A14848" s="0" t="s">
        <v>12</v>
      </c>
      <c r="B14848" s="0" t="n">
        <v>4596629</v>
      </c>
      <c r="C14848" s="0" t="n">
        <v>4596649</v>
      </c>
      <c r="D14848" s="0" t="s">
        <v>49335</v>
      </c>
      <c r="E14848" s="0" t="s">
        <v>75</v>
      </c>
      <c r="F14848" s="0" t="s">
        <v>15</v>
      </c>
      <c r="G14848" s="0" t="s">
        <v>32</v>
      </c>
      <c r="H14848" s="0" t="n">
        <v>82</v>
      </c>
      <c r="I14848" s="0" t="s">
        <v>49342</v>
      </c>
      <c r="J14848" s="0" t="s">
        <v>49343</v>
      </c>
      <c r="K14848" s="0" t="s">
        <v>49344</v>
      </c>
      <c r="L14848" s="0" t="str">
        <f aca="false">HYPERLINK("https://www.ncbi.nlm.nih.gov/nuccore/CP000058.1?report=graph&amp;tracks=[key:gene_model_track,Options:GeneOnly]&amp;mk=4596555:4596574|offset_7|444444,4596590:4596609|offset_42|444444,4596630:4596649|offset_82|00cc00,4596697:4596716|offset_149|444444&amp;v=4596354:4596916&amp;c=444444", "offset 82")</f>
        <v>offset 82</v>
      </c>
    </row>
    <row r="14849" customFormat="false" ht="12.8" hidden="false" customHeight="false" outlineLevel="0" collapsed="false">
      <c r="A14849" s="0" t="s">
        <v>12</v>
      </c>
      <c r="B14849" s="0" t="n">
        <v>4596696</v>
      </c>
      <c r="C14849" s="0" t="n">
        <v>4596716</v>
      </c>
      <c r="D14849" s="0" t="s">
        <v>49335</v>
      </c>
      <c r="E14849" s="0" t="s">
        <v>75</v>
      </c>
      <c r="F14849" s="0" t="s">
        <v>15</v>
      </c>
      <c r="G14849" s="0" t="s">
        <v>32</v>
      </c>
      <c r="H14849" s="0" t="n">
        <v>149</v>
      </c>
      <c r="I14849" s="0" t="s">
        <v>49345</v>
      </c>
      <c r="J14849" s="0" t="s">
        <v>49346</v>
      </c>
      <c r="K14849" s="0" t="s">
        <v>49347</v>
      </c>
      <c r="L14849" s="0" t="str">
        <f aca="false">HYPERLINK("https://www.ncbi.nlm.nih.gov/nuccore/CP000058.1?report=graph&amp;tracks=[key:gene_model_track,Options:GeneOnly]&amp;mk=4596555:4596574|offset_7|444444,4596590:4596609|offset_42|444444,4596630:4596649|offset_82|444444,4596697:4596716|offset_149|00cc00&amp;v=4596354:4596916&amp;c=444444", "offset 149")</f>
        <v>offset 149</v>
      </c>
    </row>
    <row r="14850" customFormat="false" ht="12.8" hidden="false" customHeight="false" outlineLevel="0" collapsed="false">
      <c r="A14850" s="0" t="s">
        <v>12</v>
      </c>
      <c r="B14850" s="0" t="n">
        <v>4597092</v>
      </c>
      <c r="C14850" s="0" t="n">
        <v>4597112</v>
      </c>
      <c r="D14850" s="0" t="s">
        <v>49348</v>
      </c>
      <c r="E14850" s="0" t="s">
        <v>75</v>
      </c>
      <c r="F14850" s="0" t="s">
        <v>15</v>
      </c>
      <c r="G14850" s="0" t="s">
        <v>20</v>
      </c>
      <c r="H14850" s="0" t="n">
        <v>31</v>
      </c>
      <c r="I14850" s="0" t="s">
        <v>49349</v>
      </c>
      <c r="J14850" s="0" t="s">
        <v>49350</v>
      </c>
      <c r="K14850" s="0" t="s">
        <v>49351</v>
      </c>
      <c r="L14850" s="0" t="str">
        <f aca="false">HYPERLINK("https://www.ncbi.nlm.nih.gov/nuccore/CP000058.1?report=graph&amp;tracks=[key:gene_model_track,Options:GeneOnly]&amp;mk=4597093:4597112|offset_31|00cc00,4597120:4597139|offset_58|444444,4597168:4597187|offset_106|444444,4597198:4597217|offset_136|444444&amp;v=4596892:4597417&amp;c=444444", "offset 31")</f>
        <v>offset 31</v>
      </c>
    </row>
    <row r="14851" customFormat="false" ht="12.8" hidden="false" customHeight="false" outlineLevel="0" collapsed="false">
      <c r="A14851" s="0" t="s">
        <v>12</v>
      </c>
      <c r="B14851" s="0" t="n">
        <v>4597119</v>
      </c>
      <c r="C14851" s="0" t="n">
        <v>4597139</v>
      </c>
      <c r="D14851" s="0" t="s">
        <v>49348</v>
      </c>
      <c r="E14851" s="0" t="s">
        <v>75</v>
      </c>
      <c r="F14851" s="0" t="s">
        <v>15</v>
      </c>
      <c r="G14851" s="0" t="s">
        <v>36</v>
      </c>
      <c r="H14851" s="0" t="n">
        <v>58</v>
      </c>
      <c r="I14851" s="0" t="s">
        <v>49352</v>
      </c>
      <c r="J14851" s="0" t="s">
        <v>49353</v>
      </c>
      <c r="K14851" s="0" t="s">
        <v>49354</v>
      </c>
      <c r="L14851" s="0" t="str">
        <f aca="false">HYPERLINK("https://www.ncbi.nlm.nih.gov/nuccore/CP000058.1?report=graph&amp;tracks=[key:gene_model_track,Options:GeneOnly]&amp;mk=4597093:4597112|offset_31|444444,4597120:4597139|offset_58|00cc00,4597168:4597187|offset_106|444444,4597198:4597217|offset_136|444444&amp;v=4596892:4597417&amp;c=444444", "offset 58")</f>
        <v>offset 58</v>
      </c>
    </row>
    <row r="14852" customFormat="false" ht="12.8" hidden="false" customHeight="false" outlineLevel="0" collapsed="false">
      <c r="A14852" s="0" t="s">
        <v>12</v>
      </c>
      <c r="B14852" s="0" t="n">
        <v>4597167</v>
      </c>
      <c r="C14852" s="0" t="n">
        <v>4597187</v>
      </c>
      <c r="D14852" s="0" t="s">
        <v>49348</v>
      </c>
      <c r="E14852" s="0" t="s">
        <v>75</v>
      </c>
      <c r="F14852" s="0" t="s">
        <v>15</v>
      </c>
      <c r="G14852" s="0" t="s">
        <v>16</v>
      </c>
      <c r="H14852" s="0" t="n">
        <v>106</v>
      </c>
      <c r="I14852" s="0" t="s">
        <v>49355</v>
      </c>
      <c r="J14852" s="0" t="s">
        <v>49356</v>
      </c>
      <c r="K14852" s="0" t="s">
        <v>49357</v>
      </c>
      <c r="L14852" s="0" t="str">
        <f aca="false">HYPERLINK("https://www.ncbi.nlm.nih.gov/nuccore/CP000058.1?report=graph&amp;tracks=[key:gene_model_track,Options:GeneOnly]&amp;mk=4597093:4597112|offset_31|444444,4597120:4597139|offset_58|444444,4597168:4597187|offset_106|00cc00,4597198:4597217|offset_136|444444&amp;v=4596892:4597417&amp;c=444444", "offset 106")</f>
        <v>offset 106</v>
      </c>
    </row>
    <row r="14853" customFormat="false" ht="12.8" hidden="false" customHeight="false" outlineLevel="0" collapsed="false">
      <c r="A14853" s="0" t="s">
        <v>12</v>
      </c>
      <c r="B14853" s="0" t="n">
        <v>4597197</v>
      </c>
      <c r="C14853" s="0" t="n">
        <v>4597217</v>
      </c>
      <c r="D14853" s="0" t="s">
        <v>49348</v>
      </c>
      <c r="E14853" s="0" t="s">
        <v>75</v>
      </c>
      <c r="F14853" s="0" t="s">
        <v>15</v>
      </c>
      <c r="G14853" s="0" t="s">
        <v>32</v>
      </c>
      <c r="H14853" s="0" t="n">
        <v>136</v>
      </c>
      <c r="I14853" s="0" t="s">
        <v>49358</v>
      </c>
      <c r="J14853" s="0" t="s">
        <v>49359</v>
      </c>
      <c r="K14853" s="0" t="s">
        <v>49360</v>
      </c>
      <c r="L14853" s="0" t="str">
        <f aca="false">HYPERLINK("https://www.ncbi.nlm.nih.gov/nuccore/CP000058.1?report=graph&amp;tracks=[key:gene_model_track,Options:GeneOnly]&amp;mk=4597093:4597112|offset_31|444444,4597120:4597139|offset_58|444444,4597168:4597187|offset_106|444444,4597198:4597217|offset_136|00cc00&amp;v=4596892:4597417&amp;c=444444", "offset 136")</f>
        <v>offset 136</v>
      </c>
    </row>
    <row r="14854" customFormat="false" ht="12.8" hidden="false" customHeight="false" outlineLevel="0" collapsed="false">
      <c r="A14854" s="0" t="s">
        <v>12</v>
      </c>
      <c r="B14854" s="0" t="n">
        <v>4598762</v>
      </c>
      <c r="C14854" s="0" t="n">
        <v>4598782</v>
      </c>
      <c r="D14854" s="0" t="s">
        <v>49361</v>
      </c>
      <c r="E14854" s="0" t="s">
        <v>75</v>
      </c>
      <c r="F14854" s="0" t="s">
        <v>90</v>
      </c>
      <c r="G14854" s="0" t="s">
        <v>32</v>
      </c>
      <c r="H14854" s="0" t="n">
        <v>0</v>
      </c>
      <c r="I14854" s="0" t="s">
        <v>49362</v>
      </c>
      <c r="J14854" s="0" t="s">
        <v>49363</v>
      </c>
      <c r="K14854" s="0" t="s">
        <v>49364</v>
      </c>
      <c r="L14854" s="0" t="str">
        <f aca="false">HYPERLINK("https://www.ncbi.nlm.nih.gov/nuccore/CP000058.1?report=graph&amp;tracks=[key:gene_model_track,Options:GeneOnly]&amp;mk=4598763:4598782|offset_0|00cc00,4598738:4598757|offset_25|444444,4598695:4598714|offset_68|444444,4598670:4598689|offset_93|444444&amp;v=4598562:4598889&amp;c=444444", "offset 0")</f>
        <v>offset 0</v>
      </c>
    </row>
    <row r="14855" customFormat="false" ht="12.8" hidden="false" customHeight="false" outlineLevel="0" collapsed="false">
      <c r="A14855" s="0" t="s">
        <v>12</v>
      </c>
      <c r="B14855" s="0" t="n">
        <v>4598737</v>
      </c>
      <c r="C14855" s="0" t="n">
        <v>4598757</v>
      </c>
      <c r="D14855" s="0" t="s">
        <v>49361</v>
      </c>
      <c r="E14855" s="0" t="s">
        <v>75</v>
      </c>
      <c r="F14855" s="0" t="s">
        <v>90</v>
      </c>
      <c r="G14855" s="0" t="s">
        <v>32</v>
      </c>
      <c r="H14855" s="0" t="n">
        <v>25</v>
      </c>
      <c r="I14855" s="0" t="s">
        <v>49365</v>
      </c>
      <c r="J14855" s="0" t="s">
        <v>49366</v>
      </c>
      <c r="K14855" s="0" t="s">
        <v>49367</v>
      </c>
      <c r="L14855" s="0" t="str">
        <f aca="false">HYPERLINK("https://www.ncbi.nlm.nih.gov/nuccore/CP000058.1?report=graph&amp;tracks=[key:gene_model_track,Options:GeneOnly]&amp;mk=4598763:4598782|offset_0|444444,4598738:4598757|offset_25|00cc00,4598695:4598714|offset_68|444444,4598670:4598689|offset_93|444444&amp;v=4598562:4598889&amp;c=444444", "offset 25")</f>
        <v>offset 25</v>
      </c>
    </row>
    <row r="14856" customFormat="false" ht="12.8" hidden="false" customHeight="false" outlineLevel="0" collapsed="false">
      <c r="A14856" s="0" t="s">
        <v>12</v>
      </c>
      <c r="B14856" s="0" t="n">
        <v>4598694</v>
      </c>
      <c r="C14856" s="0" t="n">
        <v>4598714</v>
      </c>
      <c r="D14856" s="0" t="s">
        <v>49361</v>
      </c>
      <c r="E14856" s="0" t="s">
        <v>75</v>
      </c>
      <c r="F14856" s="0" t="s">
        <v>90</v>
      </c>
      <c r="G14856" s="0" t="s">
        <v>16</v>
      </c>
      <c r="H14856" s="0" t="n">
        <v>68</v>
      </c>
      <c r="I14856" s="0" t="s">
        <v>49368</v>
      </c>
      <c r="J14856" s="0" t="s">
        <v>49369</v>
      </c>
      <c r="K14856" s="0" t="s">
        <v>49370</v>
      </c>
      <c r="L14856" s="0" t="str">
        <f aca="false">HYPERLINK("https://www.ncbi.nlm.nih.gov/nuccore/CP000058.1?report=graph&amp;tracks=[key:gene_model_track,Options:GeneOnly]&amp;mk=4598763:4598782|offset_0|444444,4598738:4598757|offset_25|444444,4598695:4598714|offset_68|00cc00,4598670:4598689|offset_93|444444&amp;v=4598562:4598889&amp;c=444444", "offset 68")</f>
        <v>offset 68</v>
      </c>
    </row>
    <row r="14857" customFormat="false" ht="12.8" hidden="false" customHeight="false" outlineLevel="0" collapsed="false">
      <c r="A14857" s="0" t="s">
        <v>12</v>
      </c>
      <c r="B14857" s="0" t="n">
        <v>4598669</v>
      </c>
      <c r="C14857" s="0" t="n">
        <v>4598689</v>
      </c>
      <c r="D14857" s="0" t="s">
        <v>49361</v>
      </c>
      <c r="E14857" s="0" t="s">
        <v>75</v>
      </c>
      <c r="F14857" s="0" t="s">
        <v>90</v>
      </c>
      <c r="G14857" s="0" t="s">
        <v>16</v>
      </c>
      <c r="H14857" s="0" t="n">
        <v>93</v>
      </c>
      <c r="I14857" s="0" t="s">
        <v>49371</v>
      </c>
      <c r="J14857" s="0" t="s">
        <v>49372</v>
      </c>
      <c r="K14857" s="0" t="s">
        <v>49373</v>
      </c>
      <c r="L14857" s="0" t="str">
        <f aca="false">HYPERLINK("https://www.ncbi.nlm.nih.gov/nuccore/CP000058.1?report=graph&amp;tracks=[key:gene_model_track,Options:GeneOnly]&amp;mk=4598763:4598782|offset_0|444444,4598738:4598757|offset_25|444444,4598695:4598714|offset_68|444444,4598670:4598689|offset_93|00cc00&amp;v=4598562:4598889&amp;c=444444", "offset 93")</f>
        <v>offset 93</v>
      </c>
    </row>
    <row r="14858" customFormat="false" ht="12.8" hidden="false" customHeight="false" outlineLevel="0" collapsed="false">
      <c r="A14858" s="0" t="s">
        <v>12</v>
      </c>
      <c r="B14858" s="0" t="n">
        <v>4599692</v>
      </c>
      <c r="C14858" s="0" t="n">
        <v>4599712</v>
      </c>
      <c r="D14858" s="0" t="s">
        <v>49374</v>
      </c>
      <c r="E14858" s="0" t="s">
        <v>49375</v>
      </c>
      <c r="F14858" s="0" t="s">
        <v>90</v>
      </c>
      <c r="G14858" s="0" t="s">
        <v>32</v>
      </c>
      <c r="H14858" s="0" t="n">
        <v>0</v>
      </c>
      <c r="I14858" s="0" t="s">
        <v>49376</v>
      </c>
      <c r="J14858" s="0" t="s">
        <v>49377</v>
      </c>
      <c r="K14858" s="0" t="s">
        <v>49378</v>
      </c>
      <c r="L14858" s="0" t="str">
        <f aca="false">HYPERLINK("https://www.ncbi.nlm.nih.gov/nuccore/CP000058.1?report=graph&amp;tracks=[key:gene_model_track,Options:GeneOnly]&amp;mk=4599693:4599712|offset_0|00cc00,4599661:4599680|offset_32|444444,4599638:4599657|offset_55|444444,4599614:4599633|offset_79|444444&amp;v=4599492:4599833&amp;c=444444", "offset 0")</f>
        <v>offset 0</v>
      </c>
    </row>
    <row r="14859" customFormat="false" ht="12.8" hidden="false" customHeight="false" outlineLevel="0" collapsed="false">
      <c r="A14859" s="0" t="s">
        <v>12</v>
      </c>
      <c r="B14859" s="0" t="n">
        <v>4599660</v>
      </c>
      <c r="C14859" s="0" t="n">
        <v>4599680</v>
      </c>
      <c r="D14859" s="0" t="s">
        <v>49374</v>
      </c>
      <c r="E14859" s="0" t="s">
        <v>49375</v>
      </c>
      <c r="F14859" s="0" t="s">
        <v>90</v>
      </c>
      <c r="G14859" s="0" t="s">
        <v>36</v>
      </c>
      <c r="H14859" s="0" t="n">
        <v>32</v>
      </c>
      <c r="I14859" s="0" t="s">
        <v>49379</v>
      </c>
      <c r="J14859" s="0" t="s">
        <v>49380</v>
      </c>
      <c r="K14859" s="0" t="s">
        <v>49381</v>
      </c>
      <c r="L14859" s="0" t="str">
        <f aca="false">HYPERLINK("https://www.ncbi.nlm.nih.gov/nuccore/CP000058.1?report=graph&amp;tracks=[key:gene_model_track,Options:GeneOnly]&amp;mk=4599693:4599712|offset_0|444444,4599661:4599680|offset_32|00cc00,4599638:4599657|offset_55|444444,4599614:4599633|offset_79|444444&amp;v=4599492:4599833&amp;c=444444", "offset 32")</f>
        <v>offset 32</v>
      </c>
    </row>
    <row r="14860" customFormat="false" ht="12.8" hidden="false" customHeight="false" outlineLevel="0" collapsed="false">
      <c r="A14860" s="0" t="s">
        <v>12</v>
      </c>
      <c r="B14860" s="0" t="n">
        <v>4599637</v>
      </c>
      <c r="C14860" s="0" t="n">
        <v>4599657</v>
      </c>
      <c r="D14860" s="0" t="s">
        <v>49374</v>
      </c>
      <c r="E14860" s="0" t="s">
        <v>49375</v>
      </c>
      <c r="F14860" s="0" t="s">
        <v>90</v>
      </c>
      <c r="G14860" s="0" t="s">
        <v>32</v>
      </c>
      <c r="H14860" s="0" t="n">
        <v>55</v>
      </c>
      <c r="I14860" s="0" t="s">
        <v>49382</v>
      </c>
      <c r="J14860" s="0" t="s">
        <v>49383</v>
      </c>
      <c r="K14860" s="0" t="s">
        <v>49384</v>
      </c>
      <c r="L14860" s="0" t="str">
        <f aca="false">HYPERLINK("https://www.ncbi.nlm.nih.gov/nuccore/CP000058.1?report=graph&amp;tracks=[key:gene_model_track,Options:GeneOnly]&amp;mk=4599693:4599712|offset_0|444444,4599661:4599680|offset_32|444444,4599638:4599657|offset_55|00cc00,4599614:4599633|offset_79|444444&amp;v=4599492:4599833&amp;c=444444", "offset 55")</f>
        <v>offset 55</v>
      </c>
    </row>
    <row r="14861" customFormat="false" ht="12.8" hidden="false" customHeight="false" outlineLevel="0" collapsed="false">
      <c r="A14861" s="0" t="s">
        <v>12</v>
      </c>
      <c r="B14861" s="0" t="n">
        <v>4599613</v>
      </c>
      <c r="C14861" s="0" t="n">
        <v>4599633</v>
      </c>
      <c r="D14861" s="0" t="s">
        <v>49374</v>
      </c>
      <c r="E14861" s="0" t="s">
        <v>49375</v>
      </c>
      <c r="F14861" s="0" t="s">
        <v>90</v>
      </c>
      <c r="G14861" s="0" t="s">
        <v>36</v>
      </c>
      <c r="H14861" s="0" t="n">
        <v>79</v>
      </c>
      <c r="I14861" s="0" t="s">
        <v>49385</v>
      </c>
      <c r="J14861" s="0" t="s">
        <v>49386</v>
      </c>
      <c r="K14861" s="0" t="s">
        <v>49387</v>
      </c>
      <c r="L14861" s="0" t="str">
        <f aca="false">HYPERLINK("https://www.ncbi.nlm.nih.gov/nuccore/CP000058.1?report=graph&amp;tracks=[key:gene_model_track,Options:GeneOnly]&amp;mk=4599693:4599712|offset_0|444444,4599661:4599680|offset_32|444444,4599638:4599657|offset_55|444444,4599614:4599633|offset_79|00cc00&amp;v=4599492:4599833&amp;c=444444", "offset 79")</f>
        <v>offset 79</v>
      </c>
    </row>
    <row r="14862" customFormat="false" ht="12.8" hidden="false" customHeight="false" outlineLevel="0" collapsed="false">
      <c r="A14862" s="0" t="s">
        <v>12</v>
      </c>
      <c r="B14862" s="0" t="n">
        <v>4600076</v>
      </c>
      <c r="C14862" s="0" t="n">
        <v>4600096</v>
      </c>
      <c r="D14862" s="0" t="s">
        <v>49388</v>
      </c>
      <c r="E14862" s="0" t="s">
        <v>75</v>
      </c>
      <c r="F14862" s="0" t="s">
        <v>15</v>
      </c>
      <c r="G14862" s="0" t="s">
        <v>36</v>
      </c>
      <c r="H14862" s="0" t="n">
        <v>7</v>
      </c>
      <c r="I14862" s="0" t="s">
        <v>49389</v>
      </c>
      <c r="J14862" s="0" t="s">
        <v>49390</v>
      </c>
      <c r="K14862" s="0" t="s">
        <v>49391</v>
      </c>
      <c r="L14862" s="0" t="str">
        <f aca="false">HYPERLINK("https://www.ncbi.nlm.nih.gov/nuccore/CP000058.1?report=graph&amp;tracks=[key:gene_model_track,Options:GeneOnly]&amp;mk=4600077:4600096|offset_7|00cc00,4600098:4600117|offset_28|444444,4600128:4600147|offset_58|444444,4600167:4600186|offset_97|444444&amp;v=4599876:4600386&amp;c=444444", "offset 7")</f>
        <v>offset 7</v>
      </c>
    </row>
    <row r="14863" customFormat="false" ht="12.8" hidden="false" customHeight="false" outlineLevel="0" collapsed="false">
      <c r="A14863" s="0" t="s">
        <v>12</v>
      </c>
      <c r="B14863" s="0" t="n">
        <v>4600097</v>
      </c>
      <c r="C14863" s="0" t="n">
        <v>4600117</v>
      </c>
      <c r="D14863" s="0" t="s">
        <v>49388</v>
      </c>
      <c r="E14863" s="0" t="s">
        <v>75</v>
      </c>
      <c r="F14863" s="0" t="s">
        <v>15</v>
      </c>
      <c r="G14863" s="0" t="s">
        <v>32</v>
      </c>
      <c r="H14863" s="0" t="n">
        <v>28</v>
      </c>
      <c r="I14863" s="0" t="s">
        <v>49392</v>
      </c>
      <c r="J14863" s="0" t="s">
        <v>49393</v>
      </c>
      <c r="K14863" s="0" t="s">
        <v>49394</v>
      </c>
      <c r="L14863" s="0" t="str">
        <f aca="false">HYPERLINK("https://www.ncbi.nlm.nih.gov/nuccore/CP000058.1?report=graph&amp;tracks=[key:gene_model_track,Options:GeneOnly]&amp;mk=4600077:4600096|offset_7|444444,4600098:4600117|offset_28|00cc00,4600128:4600147|offset_58|444444,4600167:4600186|offset_97|444444&amp;v=4599876:4600386&amp;c=444444", "offset 28")</f>
        <v>offset 28</v>
      </c>
    </row>
    <row r="14864" customFormat="false" ht="12.8" hidden="false" customHeight="false" outlineLevel="0" collapsed="false">
      <c r="A14864" s="0" t="s">
        <v>12</v>
      </c>
      <c r="B14864" s="0" t="n">
        <v>4600127</v>
      </c>
      <c r="C14864" s="0" t="n">
        <v>4600147</v>
      </c>
      <c r="D14864" s="0" t="s">
        <v>49388</v>
      </c>
      <c r="E14864" s="0" t="s">
        <v>75</v>
      </c>
      <c r="F14864" s="0" t="s">
        <v>15</v>
      </c>
      <c r="G14864" s="0" t="s">
        <v>36</v>
      </c>
      <c r="H14864" s="0" t="n">
        <v>58</v>
      </c>
      <c r="I14864" s="0" t="s">
        <v>49395</v>
      </c>
      <c r="J14864" s="0" t="s">
        <v>49396</v>
      </c>
      <c r="K14864" s="0" t="s">
        <v>49397</v>
      </c>
      <c r="L14864" s="0" t="str">
        <f aca="false">HYPERLINK("https://www.ncbi.nlm.nih.gov/nuccore/CP000058.1?report=graph&amp;tracks=[key:gene_model_track,Options:GeneOnly]&amp;mk=4600077:4600096|offset_7|444444,4600098:4600117|offset_28|444444,4600128:4600147|offset_58|00cc00,4600167:4600186|offset_97|444444&amp;v=4599876:4600386&amp;c=444444", "offset 58")</f>
        <v>offset 58</v>
      </c>
    </row>
    <row r="14865" customFormat="false" ht="12.8" hidden="false" customHeight="false" outlineLevel="0" collapsed="false">
      <c r="A14865" s="0" t="s">
        <v>12</v>
      </c>
      <c r="B14865" s="0" t="n">
        <v>4600166</v>
      </c>
      <c r="C14865" s="0" t="n">
        <v>4600186</v>
      </c>
      <c r="D14865" s="0" t="s">
        <v>49388</v>
      </c>
      <c r="E14865" s="0" t="s">
        <v>75</v>
      </c>
      <c r="F14865" s="0" t="s">
        <v>15</v>
      </c>
      <c r="G14865" s="0" t="s">
        <v>16</v>
      </c>
      <c r="H14865" s="0" t="n">
        <v>97</v>
      </c>
      <c r="I14865" s="0" t="s">
        <v>49398</v>
      </c>
      <c r="J14865" s="0" t="s">
        <v>49399</v>
      </c>
      <c r="K14865" s="0" t="s">
        <v>49400</v>
      </c>
      <c r="L14865" s="0" t="str">
        <f aca="false">HYPERLINK("https://www.ncbi.nlm.nih.gov/nuccore/CP000058.1?report=graph&amp;tracks=[key:gene_model_track,Options:GeneOnly]&amp;mk=4600077:4600096|offset_7|444444,4600098:4600117|offset_28|444444,4600128:4600147|offset_58|444444,4600167:4600186|offset_97|00cc00&amp;v=4599876:4600386&amp;c=444444", "offset 97")</f>
        <v>offset 97</v>
      </c>
    </row>
    <row r="14866" customFormat="false" ht="12.8" hidden="false" customHeight="false" outlineLevel="0" collapsed="false">
      <c r="A14866" s="0" t="s">
        <v>12</v>
      </c>
      <c r="B14866" s="0" t="n">
        <v>4601931</v>
      </c>
      <c r="C14866" s="0" t="n">
        <v>4601951</v>
      </c>
      <c r="D14866" s="0" t="s">
        <v>49401</v>
      </c>
      <c r="E14866" s="0" t="s">
        <v>49402</v>
      </c>
      <c r="F14866" s="0" t="s">
        <v>90</v>
      </c>
      <c r="G14866" s="0" t="s">
        <v>36</v>
      </c>
      <c r="H14866" s="0" t="n">
        <v>0</v>
      </c>
      <c r="I14866" s="0" t="s">
        <v>49403</v>
      </c>
      <c r="J14866" s="0" t="s">
        <v>49404</v>
      </c>
      <c r="K14866" s="0" t="s">
        <v>49405</v>
      </c>
      <c r="L14866" s="0" t="str">
        <f aca="false">HYPERLINK("https://www.ncbi.nlm.nih.gov/nuccore/CP000058.1?report=graph&amp;tracks=[key:gene_model_track,Options:GeneOnly]&amp;mk=4601932:4601951|offset_0|00cc00,4601895:4601914|offset_37|444444,4601870:4601889|offset_62|444444,4601846:4601865|offset_86|444444&amp;v=4601731:4602065&amp;c=444444", "offset 0")</f>
        <v>offset 0</v>
      </c>
    </row>
    <row r="14867" customFormat="false" ht="12.8" hidden="false" customHeight="false" outlineLevel="0" collapsed="false">
      <c r="A14867" s="0" t="s">
        <v>12</v>
      </c>
      <c r="B14867" s="0" t="n">
        <v>4601894</v>
      </c>
      <c r="C14867" s="0" t="n">
        <v>4601914</v>
      </c>
      <c r="D14867" s="0" t="s">
        <v>49401</v>
      </c>
      <c r="E14867" s="0" t="s">
        <v>49402</v>
      </c>
      <c r="F14867" s="0" t="s">
        <v>90</v>
      </c>
      <c r="G14867" s="0" t="s">
        <v>32</v>
      </c>
      <c r="H14867" s="0" t="n">
        <v>37</v>
      </c>
      <c r="I14867" s="0" t="s">
        <v>49406</v>
      </c>
      <c r="J14867" s="0" t="s">
        <v>49407</v>
      </c>
      <c r="K14867" s="0" t="s">
        <v>49408</v>
      </c>
      <c r="L14867" s="0" t="str">
        <f aca="false">HYPERLINK("https://www.ncbi.nlm.nih.gov/nuccore/CP000058.1?report=graph&amp;tracks=[key:gene_model_track,Options:GeneOnly]&amp;mk=4601932:4601951|offset_0|444444,4601895:4601914|offset_37|00cc00,4601870:4601889|offset_62|444444,4601846:4601865|offset_86|444444&amp;v=4601731:4602065&amp;c=444444", "offset 37")</f>
        <v>offset 37</v>
      </c>
    </row>
    <row r="14868" customFormat="false" ht="12.8" hidden="false" customHeight="false" outlineLevel="0" collapsed="false">
      <c r="A14868" s="0" t="s">
        <v>12</v>
      </c>
      <c r="B14868" s="0" t="n">
        <v>4601869</v>
      </c>
      <c r="C14868" s="0" t="n">
        <v>4601889</v>
      </c>
      <c r="D14868" s="0" t="s">
        <v>49401</v>
      </c>
      <c r="E14868" s="0" t="s">
        <v>49402</v>
      </c>
      <c r="F14868" s="0" t="s">
        <v>90</v>
      </c>
      <c r="G14868" s="0" t="s">
        <v>16</v>
      </c>
      <c r="H14868" s="0" t="n">
        <v>62</v>
      </c>
      <c r="I14868" s="0" t="s">
        <v>49409</v>
      </c>
      <c r="J14868" s="0" t="s">
        <v>49410</v>
      </c>
      <c r="K14868" s="0" t="s">
        <v>49411</v>
      </c>
      <c r="L14868" s="0" t="str">
        <f aca="false">HYPERLINK("https://www.ncbi.nlm.nih.gov/nuccore/CP000058.1?report=graph&amp;tracks=[key:gene_model_track,Options:GeneOnly]&amp;mk=4601932:4601951|offset_0|444444,4601895:4601914|offset_37|444444,4601870:4601889|offset_62|00cc00,4601846:4601865|offset_86|444444&amp;v=4601731:4602065&amp;c=444444", "offset 62")</f>
        <v>offset 62</v>
      </c>
    </row>
    <row r="14869" customFormat="false" ht="12.8" hidden="false" customHeight="false" outlineLevel="0" collapsed="false">
      <c r="A14869" s="0" t="s">
        <v>12</v>
      </c>
      <c r="B14869" s="0" t="n">
        <v>4601845</v>
      </c>
      <c r="C14869" s="0" t="n">
        <v>4601865</v>
      </c>
      <c r="D14869" s="0" t="s">
        <v>49401</v>
      </c>
      <c r="E14869" s="0" t="s">
        <v>49402</v>
      </c>
      <c r="F14869" s="0" t="s">
        <v>90</v>
      </c>
      <c r="G14869" s="0" t="s">
        <v>16</v>
      </c>
      <c r="H14869" s="0" t="n">
        <v>86</v>
      </c>
      <c r="I14869" s="0" t="s">
        <v>49412</v>
      </c>
      <c r="J14869" s="0" t="s">
        <v>49413</v>
      </c>
      <c r="K14869" s="0" t="s">
        <v>49414</v>
      </c>
      <c r="L14869" s="0" t="str">
        <f aca="false">HYPERLINK("https://www.ncbi.nlm.nih.gov/nuccore/CP000058.1?report=graph&amp;tracks=[key:gene_model_track,Options:GeneOnly]&amp;mk=4601932:4601951|offset_0|444444,4601895:4601914|offset_37|444444,4601870:4601889|offset_62|444444,4601846:4601865|offset_86|00cc00&amp;v=4601731:4602065&amp;c=444444", "offset 86")</f>
        <v>offset 86</v>
      </c>
    </row>
    <row r="14870" customFormat="false" ht="12.8" hidden="false" customHeight="false" outlineLevel="0" collapsed="false">
      <c r="A14870" s="0" t="s">
        <v>12</v>
      </c>
      <c r="B14870" s="0" t="n">
        <v>4602140</v>
      </c>
      <c r="C14870" s="0" t="n">
        <v>4602160</v>
      </c>
      <c r="D14870" s="0" t="s">
        <v>49415</v>
      </c>
      <c r="E14870" s="0" t="s">
        <v>75</v>
      </c>
      <c r="F14870" s="0" t="s">
        <v>15</v>
      </c>
      <c r="G14870" s="0" t="s">
        <v>36</v>
      </c>
      <c r="H14870" s="0" t="n">
        <v>10</v>
      </c>
      <c r="I14870" s="0" t="s">
        <v>49416</v>
      </c>
      <c r="J14870" s="0" t="s">
        <v>49417</v>
      </c>
      <c r="K14870" s="0" t="s">
        <v>49418</v>
      </c>
      <c r="L14870" s="0" t="str">
        <f aca="false">HYPERLINK("https://www.ncbi.nlm.nih.gov/nuccore/CP000058.1?report=graph&amp;tracks=[key:gene_model_track,Options:GeneOnly]&amp;mk=4602141:4602160|offset_10|00cc00,4602173:4602192|offset_42|444444,4602209:4602228|offset_78|444444,4602235:4602254|offset_104|444444&amp;v=4601940:4602454&amp;c=444444", "offset 10")</f>
        <v>offset 10</v>
      </c>
    </row>
    <row r="14871" customFormat="false" ht="12.8" hidden="false" customHeight="false" outlineLevel="0" collapsed="false">
      <c r="A14871" s="0" t="s">
        <v>12</v>
      </c>
      <c r="B14871" s="0" t="n">
        <v>4602172</v>
      </c>
      <c r="C14871" s="0" t="n">
        <v>4602192</v>
      </c>
      <c r="D14871" s="0" t="s">
        <v>49415</v>
      </c>
      <c r="E14871" s="0" t="s">
        <v>75</v>
      </c>
      <c r="F14871" s="0" t="s">
        <v>15</v>
      </c>
      <c r="G14871" s="0" t="s">
        <v>36</v>
      </c>
      <c r="H14871" s="0" t="n">
        <v>42</v>
      </c>
      <c r="I14871" s="0" t="s">
        <v>49419</v>
      </c>
      <c r="J14871" s="0" t="s">
        <v>49420</v>
      </c>
      <c r="K14871" s="0" t="s">
        <v>49421</v>
      </c>
      <c r="L14871" s="0" t="str">
        <f aca="false">HYPERLINK("https://www.ncbi.nlm.nih.gov/nuccore/CP000058.1?report=graph&amp;tracks=[key:gene_model_track,Options:GeneOnly]&amp;mk=4602141:4602160|offset_10|444444,4602173:4602192|offset_42|00cc00,4602209:4602228|offset_78|444444,4602235:4602254|offset_104|444444&amp;v=4601940:4602454&amp;c=444444", "offset 42")</f>
        <v>offset 42</v>
      </c>
    </row>
    <row r="14872" customFormat="false" ht="12.8" hidden="false" customHeight="false" outlineLevel="0" collapsed="false">
      <c r="A14872" s="0" t="s">
        <v>12</v>
      </c>
      <c r="B14872" s="0" t="n">
        <v>4602208</v>
      </c>
      <c r="C14872" s="0" t="n">
        <v>4602228</v>
      </c>
      <c r="D14872" s="0" t="s">
        <v>49415</v>
      </c>
      <c r="E14872" s="0" t="s">
        <v>75</v>
      </c>
      <c r="F14872" s="0" t="s">
        <v>15</v>
      </c>
      <c r="G14872" s="0" t="s">
        <v>16</v>
      </c>
      <c r="H14872" s="0" t="n">
        <v>78</v>
      </c>
      <c r="I14872" s="0" t="s">
        <v>49422</v>
      </c>
      <c r="J14872" s="0" t="s">
        <v>49423</v>
      </c>
      <c r="K14872" s="0" t="s">
        <v>49424</v>
      </c>
      <c r="L14872" s="0" t="str">
        <f aca="false">HYPERLINK("https://www.ncbi.nlm.nih.gov/nuccore/CP000058.1?report=graph&amp;tracks=[key:gene_model_track,Options:GeneOnly]&amp;mk=4602141:4602160|offset_10|444444,4602173:4602192|offset_42|444444,4602209:4602228|offset_78|00cc00,4602235:4602254|offset_104|444444&amp;v=4601940:4602454&amp;c=444444", "offset 78")</f>
        <v>offset 78</v>
      </c>
    </row>
    <row r="14873" customFormat="false" ht="12.8" hidden="false" customHeight="false" outlineLevel="0" collapsed="false">
      <c r="A14873" s="0" t="s">
        <v>12</v>
      </c>
      <c r="B14873" s="0" t="n">
        <v>4602234</v>
      </c>
      <c r="C14873" s="0" t="n">
        <v>4602254</v>
      </c>
      <c r="D14873" s="0" t="s">
        <v>49415</v>
      </c>
      <c r="E14873" s="0" t="s">
        <v>75</v>
      </c>
      <c r="F14873" s="0" t="s">
        <v>15</v>
      </c>
      <c r="G14873" s="0" t="s">
        <v>36</v>
      </c>
      <c r="H14873" s="0" t="n">
        <v>104</v>
      </c>
      <c r="I14873" s="0" t="s">
        <v>49425</v>
      </c>
      <c r="J14873" s="0" t="s">
        <v>49426</v>
      </c>
      <c r="K14873" s="0" t="s">
        <v>49427</v>
      </c>
      <c r="L14873" s="0" t="str">
        <f aca="false">HYPERLINK("https://www.ncbi.nlm.nih.gov/nuccore/CP000058.1?report=graph&amp;tracks=[key:gene_model_track,Options:GeneOnly]&amp;mk=4602141:4602160|offset_10|444444,4602173:4602192|offset_42|444444,4602209:4602228|offset_78|444444,4602235:4602254|offset_104|00cc00&amp;v=4601940:4602454&amp;c=444444", "offset 104")</f>
        <v>offset 104</v>
      </c>
    </row>
    <row r="14874" customFormat="false" ht="12.8" hidden="false" customHeight="false" outlineLevel="0" collapsed="false">
      <c r="A14874" s="0" t="s">
        <v>12</v>
      </c>
      <c r="B14874" s="0" t="n">
        <v>4602866</v>
      </c>
      <c r="C14874" s="0" t="n">
        <v>4602886</v>
      </c>
      <c r="D14874" s="0" t="s">
        <v>49428</v>
      </c>
      <c r="E14874" s="0" t="s">
        <v>75</v>
      </c>
      <c r="F14874" s="0" t="s">
        <v>15</v>
      </c>
      <c r="G14874" s="0" t="s">
        <v>20</v>
      </c>
      <c r="H14874" s="0" t="n">
        <v>14</v>
      </c>
      <c r="I14874" s="0" t="s">
        <v>49429</v>
      </c>
      <c r="J14874" s="0" t="s">
        <v>49430</v>
      </c>
      <c r="K14874" s="0" t="s">
        <v>49431</v>
      </c>
      <c r="L14874" s="0" t="str">
        <f aca="false">HYPERLINK("https://www.ncbi.nlm.nih.gov/nuccore/CP000058.1?report=graph&amp;tracks=[key:gene_model_track,Options:GeneOnly]&amp;mk=4602867:4602886|offset_14|00cc00,4602915:4602934|offset_62|444444,4602941:4602960|offset_88|444444,4602966:4602985|offset_113|444444&amp;v=4602666:4603185&amp;c=444444", "offset 14")</f>
        <v>offset 14</v>
      </c>
    </row>
    <row r="14875" customFormat="false" ht="12.8" hidden="false" customHeight="false" outlineLevel="0" collapsed="false">
      <c r="A14875" s="0" t="s">
        <v>12</v>
      </c>
      <c r="B14875" s="0" t="n">
        <v>4602914</v>
      </c>
      <c r="C14875" s="0" t="n">
        <v>4602934</v>
      </c>
      <c r="D14875" s="0" t="s">
        <v>49428</v>
      </c>
      <c r="E14875" s="0" t="s">
        <v>75</v>
      </c>
      <c r="F14875" s="0" t="s">
        <v>15</v>
      </c>
      <c r="G14875" s="0" t="s">
        <v>20</v>
      </c>
      <c r="H14875" s="0" t="n">
        <v>62</v>
      </c>
      <c r="I14875" s="0" t="s">
        <v>49432</v>
      </c>
      <c r="J14875" s="0" t="s">
        <v>49433</v>
      </c>
      <c r="K14875" s="0" t="s">
        <v>49434</v>
      </c>
      <c r="L14875" s="0" t="str">
        <f aca="false">HYPERLINK("https://www.ncbi.nlm.nih.gov/nuccore/CP000058.1?report=graph&amp;tracks=[key:gene_model_track,Options:GeneOnly]&amp;mk=4602867:4602886|offset_14|444444,4602915:4602934|offset_62|00cc00,4602941:4602960|offset_88|444444,4602966:4602985|offset_113|444444&amp;v=4602666:4603185&amp;c=444444", "offset 62")</f>
        <v>offset 62</v>
      </c>
    </row>
    <row r="14876" customFormat="false" ht="12.8" hidden="false" customHeight="false" outlineLevel="0" collapsed="false">
      <c r="A14876" s="0" t="s">
        <v>12</v>
      </c>
      <c r="B14876" s="0" t="n">
        <v>4602940</v>
      </c>
      <c r="C14876" s="0" t="n">
        <v>4602960</v>
      </c>
      <c r="D14876" s="0" t="s">
        <v>49428</v>
      </c>
      <c r="E14876" s="0" t="s">
        <v>75</v>
      </c>
      <c r="F14876" s="0" t="s">
        <v>15</v>
      </c>
      <c r="G14876" s="0" t="s">
        <v>16</v>
      </c>
      <c r="H14876" s="0" t="n">
        <v>88</v>
      </c>
      <c r="I14876" s="0" t="s">
        <v>49435</v>
      </c>
      <c r="J14876" s="0" t="s">
        <v>49436</v>
      </c>
      <c r="K14876" s="0" t="s">
        <v>49437</v>
      </c>
      <c r="L14876" s="0" t="str">
        <f aca="false">HYPERLINK("https://www.ncbi.nlm.nih.gov/nuccore/CP000058.1?report=graph&amp;tracks=[key:gene_model_track,Options:GeneOnly]&amp;mk=4602867:4602886|offset_14|444444,4602915:4602934|offset_62|444444,4602941:4602960|offset_88|00cc00,4602966:4602985|offset_113|444444&amp;v=4602666:4603185&amp;c=444444", "offset 88")</f>
        <v>offset 88</v>
      </c>
    </row>
    <row r="14877" customFormat="false" ht="12.8" hidden="false" customHeight="false" outlineLevel="0" collapsed="false">
      <c r="A14877" s="0" t="s">
        <v>12</v>
      </c>
      <c r="B14877" s="0" t="n">
        <v>4602965</v>
      </c>
      <c r="C14877" s="0" t="n">
        <v>4602985</v>
      </c>
      <c r="D14877" s="0" t="s">
        <v>49428</v>
      </c>
      <c r="E14877" s="0" t="s">
        <v>75</v>
      </c>
      <c r="F14877" s="0" t="s">
        <v>15</v>
      </c>
      <c r="G14877" s="0" t="s">
        <v>36</v>
      </c>
      <c r="H14877" s="0" t="n">
        <v>113</v>
      </c>
      <c r="I14877" s="0" t="s">
        <v>49438</v>
      </c>
      <c r="J14877" s="0" t="s">
        <v>49439</v>
      </c>
      <c r="K14877" s="0" t="s">
        <v>49440</v>
      </c>
      <c r="L14877" s="0" t="str">
        <f aca="false">HYPERLINK("https://www.ncbi.nlm.nih.gov/nuccore/CP000058.1?report=graph&amp;tracks=[key:gene_model_track,Options:GeneOnly]&amp;mk=4602867:4602886|offset_14|444444,4602915:4602934|offset_62|444444,4602941:4602960|offset_88|444444,4602966:4602985|offset_113|00cc00&amp;v=4602666:4603185&amp;c=444444", "offset 113")</f>
        <v>offset 113</v>
      </c>
    </row>
    <row r="14878" customFormat="false" ht="12.8" hidden="false" customHeight="false" outlineLevel="0" collapsed="false">
      <c r="A14878" s="0" t="s">
        <v>12</v>
      </c>
      <c r="B14878" s="0" t="n">
        <v>4603847</v>
      </c>
      <c r="C14878" s="0" t="n">
        <v>4603867</v>
      </c>
      <c r="D14878" s="0" t="s">
        <v>49441</v>
      </c>
      <c r="E14878" s="0" t="s">
        <v>75</v>
      </c>
      <c r="F14878" s="0" t="s">
        <v>15</v>
      </c>
      <c r="G14878" s="0" t="s">
        <v>32</v>
      </c>
      <c r="H14878" s="0" t="n">
        <v>28</v>
      </c>
      <c r="I14878" s="0" t="s">
        <v>49442</v>
      </c>
      <c r="J14878" s="0" t="s">
        <v>49443</v>
      </c>
      <c r="K14878" s="0" t="s">
        <v>49444</v>
      </c>
      <c r="L14878" s="0" t="str">
        <f aca="false">HYPERLINK("https://www.ncbi.nlm.nih.gov/nuccore/CP000058.1?report=graph&amp;tracks=[key:gene_model_track,Options:GeneOnly]&amp;mk=4603848:4603867|offset_28|00cc00,4603875:4603894|offset_55|444444,4603909:4603928|offset_89|444444,4603944:4603963|offset_124|444444&amp;v=4603647:4604163&amp;c=444444", "offset 28")</f>
        <v>offset 28</v>
      </c>
    </row>
    <row r="14879" customFormat="false" ht="12.8" hidden="false" customHeight="false" outlineLevel="0" collapsed="false">
      <c r="A14879" s="0" t="s">
        <v>12</v>
      </c>
      <c r="B14879" s="0" t="n">
        <v>4603874</v>
      </c>
      <c r="C14879" s="0" t="n">
        <v>4603894</v>
      </c>
      <c r="D14879" s="0" t="s">
        <v>49441</v>
      </c>
      <c r="E14879" s="0" t="s">
        <v>75</v>
      </c>
      <c r="F14879" s="0" t="s">
        <v>15</v>
      </c>
      <c r="G14879" s="0" t="s">
        <v>32</v>
      </c>
      <c r="H14879" s="0" t="n">
        <v>55</v>
      </c>
      <c r="I14879" s="0" t="s">
        <v>49445</v>
      </c>
      <c r="J14879" s="0" t="s">
        <v>49446</v>
      </c>
      <c r="K14879" s="0" t="s">
        <v>49447</v>
      </c>
      <c r="L14879" s="0" t="str">
        <f aca="false">HYPERLINK("https://www.ncbi.nlm.nih.gov/nuccore/CP000058.1?report=graph&amp;tracks=[key:gene_model_track,Options:GeneOnly]&amp;mk=4603848:4603867|offset_28|444444,4603875:4603894|offset_55|00cc00,4603909:4603928|offset_89|444444,4603944:4603963|offset_124|444444&amp;v=4603647:4604163&amp;c=444444", "offset 55")</f>
        <v>offset 55</v>
      </c>
    </row>
    <row r="14880" customFormat="false" ht="12.8" hidden="false" customHeight="false" outlineLevel="0" collapsed="false">
      <c r="A14880" s="0" t="s">
        <v>12</v>
      </c>
      <c r="B14880" s="0" t="n">
        <v>4603908</v>
      </c>
      <c r="C14880" s="0" t="n">
        <v>4603928</v>
      </c>
      <c r="D14880" s="0" t="s">
        <v>49441</v>
      </c>
      <c r="E14880" s="0" t="s">
        <v>75</v>
      </c>
      <c r="F14880" s="0" t="s">
        <v>15</v>
      </c>
      <c r="G14880" s="0" t="s">
        <v>16</v>
      </c>
      <c r="H14880" s="0" t="n">
        <v>89</v>
      </c>
      <c r="I14880" s="0" t="s">
        <v>49448</v>
      </c>
      <c r="J14880" s="0" t="s">
        <v>49449</v>
      </c>
      <c r="K14880" s="0" t="s">
        <v>49450</v>
      </c>
      <c r="L14880" s="0" t="str">
        <f aca="false">HYPERLINK("https://www.ncbi.nlm.nih.gov/nuccore/CP000058.1?report=graph&amp;tracks=[key:gene_model_track,Options:GeneOnly]&amp;mk=4603848:4603867|offset_28|444444,4603875:4603894|offset_55|444444,4603909:4603928|offset_89|00cc00,4603944:4603963|offset_124|444444&amp;v=4603647:4604163&amp;c=444444", "offset 89")</f>
        <v>offset 89</v>
      </c>
    </row>
    <row r="14881" customFormat="false" ht="12.8" hidden="false" customHeight="false" outlineLevel="0" collapsed="false">
      <c r="A14881" s="0" t="s">
        <v>12</v>
      </c>
      <c r="B14881" s="0" t="n">
        <v>4603943</v>
      </c>
      <c r="C14881" s="0" t="n">
        <v>4603963</v>
      </c>
      <c r="D14881" s="0" t="s">
        <v>49441</v>
      </c>
      <c r="E14881" s="0" t="s">
        <v>75</v>
      </c>
      <c r="F14881" s="0" t="s">
        <v>15</v>
      </c>
      <c r="G14881" s="0" t="s">
        <v>36</v>
      </c>
      <c r="H14881" s="0" t="n">
        <v>124</v>
      </c>
      <c r="I14881" s="0" t="s">
        <v>49451</v>
      </c>
      <c r="J14881" s="0" t="s">
        <v>49452</v>
      </c>
      <c r="K14881" s="0" t="s">
        <v>49453</v>
      </c>
      <c r="L14881" s="0" t="str">
        <f aca="false">HYPERLINK("https://www.ncbi.nlm.nih.gov/nuccore/CP000058.1?report=graph&amp;tracks=[key:gene_model_track,Options:GeneOnly]&amp;mk=4603848:4603867|offset_28|444444,4603875:4603894|offset_55|444444,4603909:4603928|offset_89|444444,4603944:4603963|offset_124|00cc00&amp;v=4603647:4604163&amp;c=444444", "offset 124")</f>
        <v>offset 124</v>
      </c>
    </row>
    <row r="14882" customFormat="false" ht="12.8" hidden="false" customHeight="false" outlineLevel="0" collapsed="false">
      <c r="A14882" s="0" t="s">
        <v>12</v>
      </c>
      <c r="B14882" s="0" t="n">
        <v>4605413</v>
      </c>
      <c r="C14882" s="0" t="n">
        <v>4605433</v>
      </c>
      <c r="D14882" s="0" t="s">
        <v>49454</v>
      </c>
      <c r="E14882" s="0" t="s">
        <v>75</v>
      </c>
      <c r="F14882" s="0" t="s">
        <v>15</v>
      </c>
      <c r="G14882" s="0" t="s">
        <v>16</v>
      </c>
      <c r="H14882" s="0" t="n">
        <v>8</v>
      </c>
      <c r="I14882" s="0" t="s">
        <v>49455</v>
      </c>
      <c r="J14882" s="0" t="s">
        <v>49456</v>
      </c>
      <c r="K14882" s="0" t="s">
        <v>49457</v>
      </c>
      <c r="L14882" s="0" t="str">
        <f aca="false">HYPERLINK("https://www.ncbi.nlm.nih.gov/nuccore/CP000058.1?report=graph&amp;tracks=[key:gene_model_track,Options:GeneOnly]&amp;mk=4605414:4605433|offset_8|00cc00,4605446:4605465|offset_40|444444,4605477:4605496|offset_71|444444,4605509:4605528|offset_103|444444&amp;v=4605213:4605728&amp;c=444444", "offset 8")</f>
        <v>offset 8</v>
      </c>
    </row>
    <row r="14883" customFormat="false" ht="12.8" hidden="false" customHeight="false" outlineLevel="0" collapsed="false">
      <c r="A14883" s="0" t="s">
        <v>12</v>
      </c>
      <c r="B14883" s="0" t="n">
        <v>4605445</v>
      </c>
      <c r="C14883" s="0" t="n">
        <v>4605465</v>
      </c>
      <c r="D14883" s="0" t="s">
        <v>49454</v>
      </c>
      <c r="E14883" s="0" t="s">
        <v>75</v>
      </c>
      <c r="F14883" s="0" t="s">
        <v>15</v>
      </c>
      <c r="G14883" s="0" t="s">
        <v>36</v>
      </c>
      <c r="H14883" s="0" t="n">
        <v>40</v>
      </c>
      <c r="I14883" s="0" t="s">
        <v>49458</v>
      </c>
      <c r="J14883" s="0" t="s">
        <v>49459</v>
      </c>
      <c r="K14883" s="0" t="s">
        <v>49460</v>
      </c>
      <c r="L14883" s="0" t="str">
        <f aca="false">HYPERLINK("https://www.ncbi.nlm.nih.gov/nuccore/CP000058.1?report=graph&amp;tracks=[key:gene_model_track,Options:GeneOnly]&amp;mk=4605414:4605433|offset_8|444444,4605446:4605465|offset_40|00cc00,4605477:4605496|offset_71|444444,4605509:4605528|offset_103|444444&amp;v=4605213:4605728&amp;c=444444", "offset 40")</f>
        <v>offset 40</v>
      </c>
    </row>
    <row r="14884" customFormat="false" ht="12.8" hidden="false" customHeight="false" outlineLevel="0" collapsed="false">
      <c r="A14884" s="0" t="s">
        <v>12</v>
      </c>
      <c r="B14884" s="0" t="n">
        <v>4605476</v>
      </c>
      <c r="C14884" s="0" t="n">
        <v>4605496</v>
      </c>
      <c r="D14884" s="0" t="s">
        <v>49454</v>
      </c>
      <c r="E14884" s="0" t="s">
        <v>75</v>
      </c>
      <c r="F14884" s="0" t="s">
        <v>15</v>
      </c>
      <c r="G14884" s="0" t="s">
        <v>20</v>
      </c>
      <c r="H14884" s="0" t="n">
        <v>71</v>
      </c>
      <c r="I14884" s="0" t="s">
        <v>49461</v>
      </c>
      <c r="J14884" s="0" t="s">
        <v>49462</v>
      </c>
      <c r="K14884" s="0" t="s">
        <v>49463</v>
      </c>
      <c r="L14884" s="0" t="str">
        <f aca="false">HYPERLINK("https://www.ncbi.nlm.nih.gov/nuccore/CP000058.1?report=graph&amp;tracks=[key:gene_model_track,Options:GeneOnly]&amp;mk=4605414:4605433|offset_8|444444,4605446:4605465|offset_40|444444,4605477:4605496|offset_71|00cc00,4605509:4605528|offset_103|444444&amp;v=4605213:4605728&amp;c=444444", "offset 71")</f>
        <v>offset 71</v>
      </c>
    </row>
    <row r="14885" customFormat="false" ht="12.8" hidden="false" customHeight="false" outlineLevel="0" collapsed="false">
      <c r="A14885" s="0" t="s">
        <v>12</v>
      </c>
      <c r="B14885" s="0" t="n">
        <v>4605508</v>
      </c>
      <c r="C14885" s="0" t="n">
        <v>4605528</v>
      </c>
      <c r="D14885" s="0" t="s">
        <v>49454</v>
      </c>
      <c r="E14885" s="0" t="s">
        <v>75</v>
      </c>
      <c r="F14885" s="0" t="s">
        <v>15</v>
      </c>
      <c r="G14885" s="0" t="s">
        <v>16</v>
      </c>
      <c r="H14885" s="0" t="n">
        <v>103</v>
      </c>
      <c r="I14885" s="0" t="s">
        <v>49464</v>
      </c>
      <c r="J14885" s="0" t="s">
        <v>49465</v>
      </c>
      <c r="K14885" s="0" t="s">
        <v>49466</v>
      </c>
      <c r="L14885" s="0" t="str">
        <f aca="false">HYPERLINK("https://www.ncbi.nlm.nih.gov/nuccore/CP000058.1?report=graph&amp;tracks=[key:gene_model_track,Options:GeneOnly]&amp;mk=4605414:4605433|offset_8|444444,4605446:4605465|offset_40|444444,4605477:4605496|offset_71|444444,4605509:4605528|offset_103|00cc00&amp;v=4605213:4605728&amp;c=444444", "offset 103")</f>
        <v>offset 103</v>
      </c>
    </row>
    <row r="14886" customFormat="false" ht="12.8" hidden="false" customHeight="false" outlineLevel="0" collapsed="false">
      <c r="A14886" s="0" t="s">
        <v>12</v>
      </c>
      <c r="B14886" s="0" t="n">
        <v>4608099</v>
      </c>
      <c r="C14886" s="0" t="n">
        <v>4608119</v>
      </c>
      <c r="D14886" s="0" t="s">
        <v>49467</v>
      </c>
      <c r="E14886" s="0" t="s">
        <v>75</v>
      </c>
      <c r="F14886" s="0" t="s">
        <v>90</v>
      </c>
      <c r="G14886" s="0" t="s">
        <v>20</v>
      </c>
      <c r="H14886" s="0" t="n">
        <v>10</v>
      </c>
      <c r="I14886" s="0" t="s">
        <v>49468</v>
      </c>
      <c r="J14886" s="0" t="s">
        <v>49469</v>
      </c>
      <c r="K14886" s="0" t="s">
        <v>49470</v>
      </c>
      <c r="L14886" s="0" t="str">
        <f aca="false">HYPERLINK("https://www.ncbi.nlm.nih.gov/nuccore/CP000058.1?report=graph&amp;tracks=[key:gene_model_track,Options:GeneOnly]&amp;mk=4608100:4608119|offset_10|00cc00,4608076:4608095|offset_34|444444,4608030:4608049|offset_80|444444,4608007:4608026|offset_103|444444&amp;v=4607899:4608226&amp;c=444444", "offset 10")</f>
        <v>offset 10</v>
      </c>
    </row>
    <row r="14887" customFormat="false" ht="12.8" hidden="false" customHeight="false" outlineLevel="0" collapsed="false">
      <c r="A14887" s="0" t="s">
        <v>12</v>
      </c>
      <c r="B14887" s="0" t="n">
        <v>4608075</v>
      </c>
      <c r="C14887" s="0" t="n">
        <v>4608095</v>
      </c>
      <c r="D14887" s="0" t="s">
        <v>49467</v>
      </c>
      <c r="E14887" s="0" t="s">
        <v>75</v>
      </c>
      <c r="F14887" s="0" t="s">
        <v>90</v>
      </c>
      <c r="G14887" s="0" t="s">
        <v>16</v>
      </c>
      <c r="H14887" s="0" t="n">
        <v>34</v>
      </c>
      <c r="I14887" s="0" t="s">
        <v>49471</v>
      </c>
      <c r="J14887" s="0" t="s">
        <v>49472</v>
      </c>
      <c r="K14887" s="0" t="s">
        <v>49473</v>
      </c>
      <c r="L14887" s="0" t="str">
        <f aca="false">HYPERLINK("https://www.ncbi.nlm.nih.gov/nuccore/CP000058.1?report=graph&amp;tracks=[key:gene_model_track,Options:GeneOnly]&amp;mk=4608100:4608119|offset_10|444444,4608076:4608095|offset_34|00cc00,4608030:4608049|offset_80|444444,4608007:4608026|offset_103|444444&amp;v=4607899:4608226&amp;c=444444", "offset 34")</f>
        <v>offset 34</v>
      </c>
    </row>
    <row r="14888" customFormat="false" ht="12.8" hidden="false" customHeight="false" outlineLevel="0" collapsed="false">
      <c r="A14888" s="0" t="s">
        <v>12</v>
      </c>
      <c r="B14888" s="0" t="n">
        <v>4608029</v>
      </c>
      <c r="C14888" s="0" t="n">
        <v>4608049</v>
      </c>
      <c r="D14888" s="0" t="s">
        <v>49467</v>
      </c>
      <c r="E14888" s="0" t="s">
        <v>75</v>
      </c>
      <c r="F14888" s="0" t="s">
        <v>90</v>
      </c>
      <c r="G14888" s="0" t="s">
        <v>20</v>
      </c>
      <c r="H14888" s="0" t="n">
        <v>80</v>
      </c>
      <c r="I14888" s="0" t="s">
        <v>49474</v>
      </c>
      <c r="J14888" s="0" t="s">
        <v>49475</v>
      </c>
      <c r="K14888" s="0" t="s">
        <v>49476</v>
      </c>
      <c r="L14888" s="0" t="str">
        <f aca="false">HYPERLINK("https://www.ncbi.nlm.nih.gov/nuccore/CP000058.1?report=graph&amp;tracks=[key:gene_model_track,Options:GeneOnly]&amp;mk=4608100:4608119|offset_10|444444,4608076:4608095|offset_34|444444,4608030:4608049|offset_80|00cc00,4608007:4608026|offset_103|444444&amp;v=4607899:4608226&amp;c=444444", "offset 80")</f>
        <v>offset 80</v>
      </c>
    </row>
    <row r="14889" customFormat="false" ht="12.8" hidden="false" customHeight="false" outlineLevel="0" collapsed="false">
      <c r="A14889" s="0" t="s">
        <v>12</v>
      </c>
      <c r="B14889" s="0" t="n">
        <v>4608006</v>
      </c>
      <c r="C14889" s="0" t="n">
        <v>4608026</v>
      </c>
      <c r="D14889" s="0" t="s">
        <v>49467</v>
      </c>
      <c r="E14889" s="0" t="s">
        <v>75</v>
      </c>
      <c r="F14889" s="0" t="s">
        <v>90</v>
      </c>
      <c r="G14889" s="0" t="s">
        <v>36</v>
      </c>
      <c r="H14889" s="0" t="n">
        <v>103</v>
      </c>
      <c r="I14889" s="0" t="s">
        <v>49477</v>
      </c>
      <c r="J14889" s="0" t="s">
        <v>49478</v>
      </c>
      <c r="K14889" s="0" t="s">
        <v>49479</v>
      </c>
      <c r="L14889" s="0" t="str">
        <f aca="false">HYPERLINK("https://www.ncbi.nlm.nih.gov/nuccore/CP000058.1?report=graph&amp;tracks=[key:gene_model_track,Options:GeneOnly]&amp;mk=4608100:4608119|offset_10|444444,4608076:4608095|offset_34|444444,4608030:4608049|offset_80|444444,4608007:4608026|offset_103|00cc00&amp;v=4607899:4608226&amp;c=444444", "offset 103")</f>
        <v>offset 103</v>
      </c>
    </row>
    <row r="14890" customFormat="false" ht="12.8" hidden="false" customHeight="false" outlineLevel="0" collapsed="false">
      <c r="A14890" s="0" t="s">
        <v>12</v>
      </c>
      <c r="B14890" s="0" t="n">
        <v>4608735</v>
      </c>
      <c r="C14890" s="0" t="n">
        <v>4608755</v>
      </c>
      <c r="D14890" s="0" t="s">
        <v>49480</v>
      </c>
      <c r="E14890" s="0" t="s">
        <v>75</v>
      </c>
      <c r="F14890" s="0" t="s">
        <v>90</v>
      </c>
      <c r="G14890" s="0" t="s">
        <v>16</v>
      </c>
      <c r="H14890" s="0" t="n">
        <v>10</v>
      </c>
      <c r="I14890" s="0" t="s">
        <v>49481</v>
      </c>
      <c r="J14890" s="0" t="s">
        <v>49482</v>
      </c>
      <c r="K14890" s="0" t="s">
        <v>49483</v>
      </c>
      <c r="L14890" s="0" t="str">
        <f aca="false">HYPERLINK("https://www.ncbi.nlm.nih.gov/nuccore/CP000058.1?report=graph&amp;tracks=[key:gene_model_track,Options:GeneOnly]&amp;mk=4608736:4608755|offset_10|00cc00,4608714:4608733|offset_32|444444,4608687:4608706|offset_59|444444,4608664:4608683|offset_82|444444&amp;v=4608535:4608883&amp;c=444444", "offset 10")</f>
        <v>offset 10</v>
      </c>
    </row>
    <row r="14891" customFormat="false" ht="12.8" hidden="false" customHeight="false" outlineLevel="0" collapsed="false">
      <c r="A14891" s="0" t="s">
        <v>12</v>
      </c>
      <c r="B14891" s="0" t="n">
        <v>4608713</v>
      </c>
      <c r="C14891" s="0" t="n">
        <v>4608733</v>
      </c>
      <c r="D14891" s="0" t="s">
        <v>49480</v>
      </c>
      <c r="E14891" s="0" t="s">
        <v>75</v>
      </c>
      <c r="F14891" s="0" t="s">
        <v>90</v>
      </c>
      <c r="G14891" s="0" t="s">
        <v>36</v>
      </c>
      <c r="H14891" s="0" t="n">
        <v>32</v>
      </c>
      <c r="I14891" s="0" t="s">
        <v>49484</v>
      </c>
      <c r="J14891" s="0" t="s">
        <v>49485</v>
      </c>
      <c r="K14891" s="0" t="s">
        <v>49486</v>
      </c>
      <c r="L14891" s="0" t="str">
        <f aca="false">HYPERLINK("https://www.ncbi.nlm.nih.gov/nuccore/CP000058.1?report=graph&amp;tracks=[key:gene_model_track,Options:GeneOnly]&amp;mk=4608736:4608755|offset_10|444444,4608714:4608733|offset_32|00cc00,4608687:4608706|offset_59|444444,4608664:4608683|offset_82|444444&amp;v=4608535:4608883&amp;c=444444", "offset 32")</f>
        <v>offset 32</v>
      </c>
    </row>
    <row r="14892" customFormat="false" ht="12.8" hidden="false" customHeight="false" outlineLevel="0" collapsed="false">
      <c r="A14892" s="0" t="s">
        <v>12</v>
      </c>
      <c r="B14892" s="0" t="n">
        <v>4608686</v>
      </c>
      <c r="C14892" s="0" t="n">
        <v>4608706</v>
      </c>
      <c r="D14892" s="0" t="s">
        <v>49480</v>
      </c>
      <c r="E14892" s="0" t="s">
        <v>75</v>
      </c>
      <c r="F14892" s="0" t="s">
        <v>90</v>
      </c>
      <c r="G14892" s="0" t="s">
        <v>36</v>
      </c>
      <c r="H14892" s="0" t="n">
        <v>59</v>
      </c>
      <c r="I14892" s="0" t="s">
        <v>49487</v>
      </c>
      <c r="J14892" s="0" t="s">
        <v>49488</v>
      </c>
      <c r="K14892" s="0" t="s">
        <v>49489</v>
      </c>
      <c r="L14892" s="0" t="str">
        <f aca="false">HYPERLINK("https://www.ncbi.nlm.nih.gov/nuccore/CP000058.1?report=graph&amp;tracks=[key:gene_model_track,Options:GeneOnly]&amp;mk=4608736:4608755|offset_10|444444,4608714:4608733|offset_32|444444,4608687:4608706|offset_59|00cc00,4608664:4608683|offset_82|444444&amp;v=4608535:4608883&amp;c=444444", "offset 59")</f>
        <v>offset 59</v>
      </c>
    </row>
    <row r="14893" customFormat="false" ht="12.8" hidden="false" customHeight="false" outlineLevel="0" collapsed="false">
      <c r="A14893" s="0" t="s">
        <v>12</v>
      </c>
      <c r="B14893" s="0" t="n">
        <v>4608663</v>
      </c>
      <c r="C14893" s="0" t="n">
        <v>4608683</v>
      </c>
      <c r="D14893" s="0" t="s">
        <v>49480</v>
      </c>
      <c r="E14893" s="0" t="s">
        <v>75</v>
      </c>
      <c r="F14893" s="0" t="s">
        <v>90</v>
      </c>
      <c r="G14893" s="0" t="s">
        <v>20</v>
      </c>
      <c r="H14893" s="0" t="n">
        <v>82</v>
      </c>
      <c r="I14893" s="0" t="s">
        <v>49490</v>
      </c>
      <c r="J14893" s="0" t="s">
        <v>49491</v>
      </c>
      <c r="K14893" s="0" t="s">
        <v>49492</v>
      </c>
      <c r="L14893" s="0" t="str">
        <f aca="false">HYPERLINK("https://www.ncbi.nlm.nih.gov/nuccore/CP000058.1?report=graph&amp;tracks=[key:gene_model_track,Options:GeneOnly]&amp;mk=4608736:4608755|offset_10|444444,4608714:4608733|offset_32|444444,4608687:4608706|offset_59|444444,4608664:4608683|offset_82|00cc00&amp;v=4608535:4608883&amp;c=444444", "offset 82")</f>
        <v>offset 82</v>
      </c>
    </row>
    <row r="14894" customFormat="false" ht="12.8" hidden="false" customHeight="false" outlineLevel="0" collapsed="false">
      <c r="A14894" s="0" t="s">
        <v>12</v>
      </c>
      <c r="B14894" s="0" t="n">
        <v>4609056</v>
      </c>
      <c r="C14894" s="0" t="n">
        <v>4609076</v>
      </c>
      <c r="D14894" s="0" t="s">
        <v>49493</v>
      </c>
      <c r="E14894" s="0" t="s">
        <v>75</v>
      </c>
      <c r="F14894" s="0" t="s">
        <v>90</v>
      </c>
      <c r="G14894" s="0" t="s">
        <v>36</v>
      </c>
      <c r="H14894" s="0" t="n">
        <v>6</v>
      </c>
      <c r="I14894" s="0" t="s">
        <v>49494</v>
      </c>
      <c r="J14894" s="0" t="s">
        <v>49495</v>
      </c>
      <c r="K14894" s="0" t="s">
        <v>49496</v>
      </c>
      <c r="L14894" s="0" t="str">
        <f aca="false">HYPERLINK("https://www.ncbi.nlm.nih.gov/nuccore/CP000058.1?report=graph&amp;tracks=[key:gene_model_track,Options:GeneOnly]&amp;mk=4609057:4609076|offset_6|00cc00,4609011:4609030|offset_52|444444,4608985:4609004|offset_78|444444,4608950:4608969|offset_113|444444&amp;v=4608856:4609169&amp;c=444444", "offset 6")</f>
        <v>offset 6</v>
      </c>
    </row>
    <row r="14895" customFormat="false" ht="12.8" hidden="false" customHeight="false" outlineLevel="0" collapsed="false">
      <c r="A14895" s="0" t="s">
        <v>12</v>
      </c>
      <c r="B14895" s="0" t="n">
        <v>4609010</v>
      </c>
      <c r="C14895" s="0" t="n">
        <v>4609030</v>
      </c>
      <c r="D14895" s="0" t="s">
        <v>49493</v>
      </c>
      <c r="E14895" s="0" t="s">
        <v>75</v>
      </c>
      <c r="F14895" s="0" t="s">
        <v>90</v>
      </c>
      <c r="G14895" s="0" t="s">
        <v>16</v>
      </c>
      <c r="H14895" s="0" t="n">
        <v>52</v>
      </c>
      <c r="I14895" s="0" t="s">
        <v>49497</v>
      </c>
      <c r="J14895" s="0" t="s">
        <v>49498</v>
      </c>
      <c r="K14895" s="0" t="s">
        <v>49499</v>
      </c>
      <c r="L14895" s="0" t="str">
        <f aca="false">HYPERLINK("https://www.ncbi.nlm.nih.gov/nuccore/CP000058.1?report=graph&amp;tracks=[key:gene_model_track,Options:GeneOnly]&amp;mk=4609057:4609076|offset_6|444444,4609011:4609030|offset_52|00cc00,4608985:4609004|offset_78|444444,4608950:4608969|offset_113|444444&amp;v=4608856:4609169&amp;c=444444", "offset 52")</f>
        <v>offset 52</v>
      </c>
    </row>
    <row r="14896" customFormat="false" ht="12.8" hidden="false" customHeight="false" outlineLevel="0" collapsed="false">
      <c r="A14896" s="0" t="s">
        <v>12</v>
      </c>
      <c r="B14896" s="0" t="n">
        <v>4608984</v>
      </c>
      <c r="C14896" s="0" t="n">
        <v>4609004</v>
      </c>
      <c r="D14896" s="0" t="s">
        <v>49493</v>
      </c>
      <c r="E14896" s="0" t="s">
        <v>75</v>
      </c>
      <c r="F14896" s="0" t="s">
        <v>90</v>
      </c>
      <c r="G14896" s="0" t="s">
        <v>16</v>
      </c>
      <c r="H14896" s="0" t="n">
        <v>78</v>
      </c>
      <c r="I14896" s="0" t="s">
        <v>49500</v>
      </c>
      <c r="J14896" s="0" t="s">
        <v>49501</v>
      </c>
      <c r="K14896" s="0" t="s">
        <v>49502</v>
      </c>
      <c r="L14896" s="0" t="str">
        <f aca="false">HYPERLINK("https://www.ncbi.nlm.nih.gov/nuccore/CP000058.1?report=graph&amp;tracks=[key:gene_model_track,Options:GeneOnly]&amp;mk=4609057:4609076|offset_6|444444,4609011:4609030|offset_52|444444,4608985:4609004|offset_78|00cc00,4608950:4608969|offset_113|444444&amp;v=4608856:4609169&amp;c=444444", "offset 78")</f>
        <v>offset 78</v>
      </c>
    </row>
    <row r="14897" customFormat="false" ht="12.8" hidden="false" customHeight="false" outlineLevel="0" collapsed="false">
      <c r="A14897" s="0" t="s">
        <v>12</v>
      </c>
      <c r="B14897" s="0" t="n">
        <v>4608949</v>
      </c>
      <c r="C14897" s="0" t="n">
        <v>4608969</v>
      </c>
      <c r="D14897" s="0" t="s">
        <v>49493</v>
      </c>
      <c r="E14897" s="0" t="s">
        <v>75</v>
      </c>
      <c r="F14897" s="0" t="s">
        <v>90</v>
      </c>
      <c r="G14897" s="0" t="s">
        <v>20</v>
      </c>
      <c r="H14897" s="0" t="n">
        <v>113</v>
      </c>
      <c r="I14897" s="0" t="s">
        <v>49503</v>
      </c>
      <c r="J14897" s="0" t="s">
        <v>49504</v>
      </c>
      <c r="K14897" s="0" t="s">
        <v>49505</v>
      </c>
      <c r="L14897" s="0" t="str">
        <f aca="false">HYPERLINK("https://www.ncbi.nlm.nih.gov/nuccore/CP000058.1?report=graph&amp;tracks=[key:gene_model_track,Options:GeneOnly]&amp;mk=4609057:4609076|offset_6|444444,4609011:4609030|offset_52|444444,4608985:4609004|offset_78|444444,4608950:4608969|offset_113|00cc00&amp;v=4608856:4609169&amp;c=444444", "offset 113")</f>
        <v>offset 113</v>
      </c>
    </row>
    <row r="14898" customFormat="false" ht="12.8" hidden="false" customHeight="false" outlineLevel="0" collapsed="false">
      <c r="A14898" s="0" t="s">
        <v>12</v>
      </c>
      <c r="B14898" s="0" t="n">
        <v>4610450</v>
      </c>
      <c r="C14898" s="0" t="n">
        <v>4610470</v>
      </c>
      <c r="D14898" s="0" t="s">
        <v>49506</v>
      </c>
      <c r="E14898" s="0" t="s">
        <v>75</v>
      </c>
      <c r="F14898" s="0" t="s">
        <v>15</v>
      </c>
      <c r="G14898" s="0" t="s">
        <v>20</v>
      </c>
      <c r="H14898" s="0" t="n">
        <v>0</v>
      </c>
      <c r="I14898" s="0" t="s">
        <v>49507</v>
      </c>
      <c r="J14898" s="0" t="s">
        <v>49508</v>
      </c>
      <c r="K14898" s="0" t="s">
        <v>49509</v>
      </c>
      <c r="L14898" s="0" t="str">
        <f aca="false">HYPERLINK("https://www.ncbi.nlm.nih.gov/nuccore/CP000058.1?report=graph&amp;tracks=[key:gene_model_track,Options:GeneOnly]&amp;mk=4610451:4610470|offset_0|00cc00,4610472:4610491|offset_21|444444,4610537:4610556|offset_86|444444,4610559:4610578|offset_108|444444&amp;v=4610250:4610778&amp;c=444444", "offset 0")</f>
        <v>offset 0</v>
      </c>
    </row>
    <row r="14899" customFormat="false" ht="12.8" hidden="false" customHeight="false" outlineLevel="0" collapsed="false">
      <c r="A14899" s="0" t="s">
        <v>12</v>
      </c>
      <c r="B14899" s="0" t="n">
        <v>4610471</v>
      </c>
      <c r="C14899" s="0" t="n">
        <v>4610491</v>
      </c>
      <c r="D14899" s="0" t="s">
        <v>49506</v>
      </c>
      <c r="E14899" s="0" t="s">
        <v>75</v>
      </c>
      <c r="F14899" s="0" t="s">
        <v>15</v>
      </c>
      <c r="G14899" s="0" t="s">
        <v>16</v>
      </c>
      <c r="H14899" s="0" t="n">
        <v>21</v>
      </c>
      <c r="I14899" s="0" t="s">
        <v>49510</v>
      </c>
      <c r="J14899" s="0" t="s">
        <v>49511</v>
      </c>
      <c r="K14899" s="0" t="s">
        <v>49512</v>
      </c>
      <c r="L14899" s="0" t="str">
        <f aca="false">HYPERLINK("https://www.ncbi.nlm.nih.gov/nuccore/CP000058.1?report=graph&amp;tracks=[key:gene_model_track,Options:GeneOnly]&amp;mk=4610451:4610470|offset_0|444444,4610472:4610491|offset_21|00cc00,4610537:4610556|offset_86|444444,4610559:4610578|offset_108|444444&amp;v=4610250:4610778&amp;c=444444", "offset 21")</f>
        <v>offset 21</v>
      </c>
    </row>
    <row r="14900" customFormat="false" ht="12.8" hidden="false" customHeight="false" outlineLevel="0" collapsed="false">
      <c r="A14900" s="0" t="s">
        <v>12</v>
      </c>
      <c r="B14900" s="0" t="n">
        <v>4610536</v>
      </c>
      <c r="C14900" s="0" t="n">
        <v>4610556</v>
      </c>
      <c r="D14900" s="0" t="s">
        <v>49506</v>
      </c>
      <c r="E14900" s="0" t="s">
        <v>75</v>
      </c>
      <c r="F14900" s="0" t="s">
        <v>15</v>
      </c>
      <c r="G14900" s="0" t="s">
        <v>32</v>
      </c>
      <c r="H14900" s="0" t="n">
        <v>86</v>
      </c>
      <c r="I14900" s="0" t="s">
        <v>49513</v>
      </c>
      <c r="J14900" s="0" t="s">
        <v>49514</v>
      </c>
      <c r="K14900" s="0" t="s">
        <v>49515</v>
      </c>
      <c r="L14900" s="0" t="str">
        <f aca="false">HYPERLINK("https://www.ncbi.nlm.nih.gov/nuccore/CP000058.1?report=graph&amp;tracks=[key:gene_model_track,Options:GeneOnly]&amp;mk=4610451:4610470|offset_0|444444,4610472:4610491|offset_21|444444,4610537:4610556|offset_86|00cc00,4610559:4610578|offset_108|444444&amp;v=4610250:4610778&amp;c=444444", "offset 86")</f>
        <v>offset 86</v>
      </c>
    </row>
    <row r="14901" customFormat="false" ht="12.8" hidden="false" customHeight="false" outlineLevel="0" collapsed="false">
      <c r="A14901" s="0" t="s">
        <v>12</v>
      </c>
      <c r="B14901" s="0" t="n">
        <v>4610558</v>
      </c>
      <c r="C14901" s="0" t="n">
        <v>4610578</v>
      </c>
      <c r="D14901" s="0" t="s">
        <v>49506</v>
      </c>
      <c r="E14901" s="0" t="s">
        <v>75</v>
      </c>
      <c r="F14901" s="0" t="s">
        <v>15</v>
      </c>
      <c r="G14901" s="0" t="s">
        <v>16</v>
      </c>
      <c r="H14901" s="0" t="n">
        <v>108</v>
      </c>
      <c r="I14901" s="0" t="s">
        <v>49516</v>
      </c>
      <c r="J14901" s="0" t="s">
        <v>49517</v>
      </c>
      <c r="K14901" s="0" t="s">
        <v>49518</v>
      </c>
      <c r="L14901" s="0" t="str">
        <f aca="false">HYPERLINK("https://www.ncbi.nlm.nih.gov/nuccore/CP000058.1?report=graph&amp;tracks=[key:gene_model_track,Options:GeneOnly]&amp;mk=4610451:4610470|offset_0|444444,4610472:4610491|offset_21|444444,4610537:4610556|offset_86|444444,4610559:4610578|offset_108|00cc00&amp;v=4610250:4610778&amp;c=444444", "offset 108")</f>
        <v>offset 108</v>
      </c>
    </row>
    <row r="14902" customFormat="false" ht="12.8" hidden="false" customHeight="false" outlineLevel="0" collapsed="false">
      <c r="A14902" s="0" t="s">
        <v>12</v>
      </c>
      <c r="B14902" s="0" t="n">
        <v>4612161</v>
      </c>
      <c r="C14902" s="0" t="n">
        <v>4612181</v>
      </c>
      <c r="D14902" s="0" t="s">
        <v>49519</v>
      </c>
      <c r="E14902" s="0" t="s">
        <v>75</v>
      </c>
      <c r="F14902" s="0" t="s">
        <v>90</v>
      </c>
      <c r="G14902" s="0" t="s">
        <v>32</v>
      </c>
      <c r="H14902" s="0" t="n">
        <v>1</v>
      </c>
      <c r="I14902" s="0" t="s">
        <v>49520</v>
      </c>
      <c r="J14902" s="0" t="s">
        <v>49521</v>
      </c>
      <c r="K14902" s="0" t="s">
        <v>49522</v>
      </c>
      <c r="L14902" s="0" t="str">
        <f aca="false">HYPERLINK("https://www.ncbi.nlm.nih.gov/nuccore/CP000058.1?report=graph&amp;tracks=[key:gene_model_track,Options:GeneOnly]&amp;mk=4612162:4612181|offset_1|00cc00,4612131:4612150|offset_32|444444,4612060:4612079|offset_103|444444,4612028:4612047|offset_135|444444&amp;v=4611961:4612247&amp;c=444444", "offset 1")</f>
        <v>offset 1</v>
      </c>
    </row>
    <row r="14903" customFormat="false" ht="12.8" hidden="false" customHeight="false" outlineLevel="0" collapsed="false">
      <c r="A14903" s="0" t="s">
        <v>12</v>
      </c>
      <c r="B14903" s="0" t="n">
        <v>4612130</v>
      </c>
      <c r="C14903" s="0" t="n">
        <v>4612150</v>
      </c>
      <c r="D14903" s="0" t="s">
        <v>49519</v>
      </c>
      <c r="E14903" s="0" t="s">
        <v>75</v>
      </c>
      <c r="F14903" s="0" t="s">
        <v>90</v>
      </c>
      <c r="G14903" s="0" t="s">
        <v>32</v>
      </c>
      <c r="H14903" s="0" t="n">
        <v>32</v>
      </c>
      <c r="I14903" s="0" t="s">
        <v>49523</v>
      </c>
      <c r="J14903" s="0" t="s">
        <v>49524</v>
      </c>
      <c r="K14903" s="0" t="s">
        <v>49525</v>
      </c>
      <c r="L14903" s="0" t="str">
        <f aca="false">HYPERLINK("https://www.ncbi.nlm.nih.gov/nuccore/CP000058.1?report=graph&amp;tracks=[key:gene_model_track,Options:GeneOnly]&amp;mk=4612162:4612181|offset_1|444444,4612131:4612150|offset_32|00cc00,4612060:4612079|offset_103|444444,4612028:4612047|offset_135|444444&amp;v=4611961:4612247&amp;c=444444", "offset 32")</f>
        <v>offset 32</v>
      </c>
    </row>
    <row r="14904" customFormat="false" ht="12.8" hidden="false" customHeight="false" outlineLevel="0" collapsed="false">
      <c r="A14904" s="0" t="s">
        <v>12</v>
      </c>
      <c r="B14904" s="0" t="n">
        <v>4612059</v>
      </c>
      <c r="C14904" s="0" t="n">
        <v>4612079</v>
      </c>
      <c r="D14904" s="0" t="s">
        <v>49519</v>
      </c>
      <c r="E14904" s="0" t="s">
        <v>75</v>
      </c>
      <c r="F14904" s="0" t="s">
        <v>90</v>
      </c>
      <c r="G14904" s="0" t="s">
        <v>16</v>
      </c>
      <c r="H14904" s="0" t="n">
        <v>103</v>
      </c>
      <c r="I14904" s="0" t="s">
        <v>49526</v>
      </c>
      <c r="J14904" s="0" t="s">
        <v>49527</v>
      </c>
      <c r="K14904" s="0" t="s">
        <v>49528</v>
      </c>
      <c r="L14904" s="0" t="str">
        <f aca="false">HYPERLINK("https://www.ncbi.nlm.nih.gov/nuccore/CP000058.1?report=graph&amp;tracks=[key:gene_model_track,Options:GeneOnly]&amp;mk=4612162:4612181|offset_1|444444,4612131:4612150|offset_32|444444,4612060:4612079|offset_103|00cc00,4612028:4612047|offset_135|444444&amp;v=4611961:4612247&amp;c=444444", "offset 103")</f>
        <v>offset 103</v>
      </c>
    </row>
    <row r="14905" customFormat="false" ht="12.8" hidden="false" customHeight="false" outlineLevel="0" collapsed="false">
      <c r="A14905" s="0" t="s">
        <v>12</v>
      </c>
      <c r="B14905" s="0" t="n">
        <v>4612027</v>
      </c>
      <c r="C14905" s="0" t="n">
        <v>4612047</v>
      </c>
      <c r="D14905" s="0" t="s">
        <v>49519</v>
      </c>
      <c r="E14905" s="0" t="s">
        <v>75</v>
      </c>
      <c r="F14905" s="0" t="s">
        <v>90</v>
      </c>
      <c r="G14905" s="0" t="s">
        <v>36</v>
      </c>
      <c r="H14905" s="0" t="n">
        <v>135</v>
      </c>
      <c r="I14905" s="0" t="s">
        <v>49529</v>
      </c>
      <c r="J14905" s="0" t="s">
        <v>49530</v>
      </c>
      <c r="K14905" s="0" t="s">
        <v>49531</v>
      </c>
      <c r="L14905" s="0" t="str">
        <f aca="false">HYPERLINK("https://www.ncbi.nlm.nih.gov/nuccore/CP000058.1?report=graph&amp;tracks=[key:gene_model_track,Options:GeneOnly]&amp;mk=4612162:4612181|offset_1|444444,4612131:4612150|offset_32|444444,4612060:4612079|offset_103|444444,4612028:4612047|offset_135|00cc00&amp;v=4611961:4612247&amp;c=444444", "offset 135")</f>
        <v>offset 135</v>
      </c>
    </row>
    <row r="14906" customFormat="false" ht="12.8" hidden="false" customHeight="false" outlineLevel="0" collapsed="false">
      <c r="A14906" s="0" t="s">
        <v>12</v>
      </c>
      <c r="B14906" s="0" t="n">
        <v>4612778</v>
      </c>
      <c r="C14906" s="0" t="n">
        <v>4612798</v>
      </c>
      <c r="D14906" s="0" t="s">
        <v>49532</v>
      </c>
      <c r="E14906" s="0" t="s">
        <v>75</v>
      </c>
      <c r="F14906" s="0" t="s">
        <v>90</v>
      </c>
      <c r="G14906" s="0" t="s">
        <v>16</v>
      </c>
      <c r="H14906" s="0" t="n">
        <v>24</v>
      </c>
      <c r="I14906" s="0" t="s">
        <v>49533</v>
      </c>
      <c r="J14906" s="0" t="s">
        <v>49534</v>
      </c>
      <c r="K14906" s="0" t="s">
        <v>49535</v>
      </c>
      <c r="L14906" s="0" t="str">
        <f aca="false">HYPERLINK("https://www.ncbi.nlm.nih.gov/nuccore/CP000058.1?report=graph&amp;tracks=[key:gene_model_track,Options:GeneOnly]&amp;mk=4612779:4612798|offset_24|00cc00,4612752:4612771|offset_51|444444,4612700:4612719|offset_103|444444,4612678:4612697|offset_125|444444&amp;v=4612578:4612897&amp;c=444444", "offset 24")</f>
        <v>offset 24</v>
      </c>
    </row>
    <row r="14907" customFormat="false" ht="12.8" hidden="false" customHeight="false" outlineLevel="0" collapsed="false">
      <c r="A14907" s="0" t="s">
        <v>12</v>
      </c>
      <c r="B14907" s="0" t="n">
        <v>4612751</v>
      </c>
      <c r="C14907" s="0" t="n">
        <v>4612771</v>
      </c>
      <c r="D14907" s="0" t="s">
        <v>49532</v>
      </c>
      <c r="E14907" s="0" t="s">
        <v>75</v>
      </c>
      <c r="F14907" s="0" t="s">
        <v>90</v>
      </c>
      <c r="G14907" s="0" t="s">
        <v>36</v>
      </c>
      <c r="H14907" s="0" t="n">
        <v>51</v>
      </c>
      <c r="I14907" s="0" t="s">
        <v>49536</v>
      </c>
      <c r="J14907" s="0" t="s">
        <v>49537</v>
      </c>
      <c r="K14907" s="0" t="s">
        <v>49538</v>
      </c>
      <c r="L14907" s="0" t="str">
        <f aca="false">HYPERLINK("https://www.ncbi.nlm.nih.gov/nuccore/CP000058.1?report=graph&amp;tracks=[key:gene_model_track,Options:GeneOnly]&amp;mk=4612779:4612798|offset_24|444444,4612752:4612771|offset_51|00cc00,4612700:4612719|offset_103|444444,4612678:4612697|offset_125|444444&amp;v=4612578:4612897&amp;c=444444", "offset 51")</f>
        <v>offset 51</v>
      </c>
    </row>
    <row r="14908" customFormat="false" ht="12.8" hidden="false" customHeight="false" outlineLevel="0" collapsed="false">
      <c r="A14908" s="0" t="s">
        <v>12</v>
      </c>
      <c r="B14908" s="0" t="n">
        <v>4612699</v>
      </c>
      <c r="C14908" s="0" t="n">
        <v>4612719</v>
      </c>
      <c r="D14908" s="0" t="s">
        <v>49532</v>
      </c>
      <c r="E14908" s="0" t="s">
        <v>75</v>
      </c>
      <c r="F14908" s="0" t="s">
        <v>90</v>
      </c>
      <c r="G14908" s="0" t="s">
        <v>36</v>
      </c>
      <c r="H14908" s="0" t="n">
        <v>103</v>
      </c>
      <c r="I14908" s="0" t="s">
        <v>49539</v>
      </c>
      <c r="J14908" s="0" t="s">
        <v>49540</v>
      </c>
      <c r="K14908" s="0" t="s">
        <v>49541</v>
      </c>
      <c r="L14908" s="0" t="str">
        <f aca="false">HYPERLINK("https://www.ncbi.nlm.nih.gov/nuccore/CP000058.1?report=graph&amp;tracks=[key:gene_model_track,Options:GeneOnly]&amp;mk=4612779:4612798|offset_24|444444,4612752:4612771|offset_51|444444,4612700:4612719|offset_103|00cc00,4612678:4612697|offset_125|444444&amp;v=4612578:4612897&amp;c=444444", "offset 103")</f>
        <v>offset 103</v>
      </c>
    </row>
    <row r="14909" customFormat="false" ht="12.8" hidden="false" customHeight="false" outlineLevel="0" collapsed="false">
      <c r="A14909" s="0" t="s">
        <v>12</v>
      </c>
      <c r="B14909" s="0" t="n">
        <v>4612677</v>
      </c>
      <c r="C14909" s="0" t="n">
        <v>4612697</v>
      </c>
      <c r="D14909" s="0" t="s">
        <v>49532</v>
      </c>
      <c r="E14909" s="0" t="s">
        <v>75</v>
      </c>
      <c r="F14909" s="0" t="s">
        <v>90</v>
      </c>
      <c r="G14909" s="0" t="s">
        <v>20</v>
      </c>
      <c r="H14909" s="0" t="n">
        <v>125</v>
      </c>
      <c r="I14909" s="0" t="s">
        <v>49542</v>
      </c>
      <c r="J14909" s="0" t="s">
        <v>49543</v>
      </c>
      <c r="K14909" s="0" t="s">
        <v>49544</v>
      </c>
      <c r="L14909" s="0" t="str">
        <f aca="false">HYPERLINK("https://www.ncbi.nlm.nih.gov/nuccore/CP000058.1?report=graph&amp;tracks=[key:gene_model_track,Options:GeneOnly]&amp;mk=4612779:4612798|offset_24|444444,4612752:4612771|offset_51|444444,4612700:4612719|offset_103|444444,4612678:4612697|offset_125|00cc00&amp;v=4612578:4612897&amp;c=444444", "offset 125")</f>
        <v>offset 125</v>
      </c>
    </row>
    <row r="14910" customFormat="false" ht="12.8" hidden="false" customHeight="false" outlineLevel="0" collapsed="false">
      <c r="A14910" s="0" t="s">
        <v>12</v>
      </c>
      <c r="B14910" s="0" t="n">
        <v>4612954</v>
      </c>
      <c r="C14910" s="0" t="n">
        <v>4612974</v>
      </c>
      <c r="D14910" s="0" t="s">
        <v>49545</v>
      </c>
      <c r="E14910" s="0" t="s">
        <v>49546</v>
      </c>
      <c r="F14910" s="0" t="s">
        <v>15</v>
      </c>
      <c r="G14910" s="0" t="s">
        <v>16</v>
      </c>
      <c r="H14910" s="0" t="n">
        <v>7</v>
      </c>
      <c r="I14910" s="0" t="s">
        <v>49547</v>
      </c>
      <c r="J14910" s="0" t="s">
        <v>49548</v>
      </c>
      <c r="K14910" s="0" t="s">
        <v>49549</v>
      </c>
      <c r="L14910" s="0" t="str">
        <f aca="false">HYPERLINK("https://www.ncbi.nlm.nih.gov/nuccore/CP000058.1?report=graph&amp;tracks=[key:gene_model_track,Options:GeneOnly]&amp;mk=4612955:4612974|offset_7|00cc00,4612979:4612998|offset_31|444444,4613005:4613024|offset_57|444444,4613028:4613047|offset_80|444444&amp;v=4612754:4613247&amp;c=444444", "offset 7")</f>
        <v>offset 7</v>
      </c>
    </row>
    <row r="14911" customFormat="false" ht="12.8" hidden="false" customHeight="false" outlineLevel="0" collapsed="false">
      <c r="A14911" s="0" t="s">
        <v>12</v>
      </c>
      <c r="B14911" s="0" t="n">
        <v>4612978</v>
      </c>
      <c r="C14911" s="0" t="n">
        <v>4612998</v>
      </c>
      <c r="D14911" s="0" t="s">
        <v>49545</v>
      </c>
      <c r="E14911" s="0" t="s">
        <v>49546</v>
      </c>
      <c r="F14911" s="0" t="s">
        <v>15</v>
      </c>
      <c r="G14911" s="0" t="s">
        <v>32</v>
      </c>
      <c r="H14911" s="0" t="n">
        <v>31</v>
      </c>
      <c r="I14911" s="0" t="s">
        <v>49550</v>
      </c>
      <c r="J14911" s="0" t="s">
        <v>49551</v>
      </c>
      <c r="K14911" s="0" t="s">
        <v>49552</v>
      </c>
      <c r="L14911" s="0" t="str">
        <f aca="false">HYPERLINK("https://www.ncbi.nlm.nih.gov/nuccore/CP000058.1?report=graph&amp;tracks=[key:gene_model_track,Options:GeneOnly]&amp;mk=4612955:4612974|offset_7|444444,4612979:4612998|offset_31|00cc00,4613005:4613024|offset_57|444444,4613028:4613047|offset_80|444444&amp;v=4612754:4613247&amp;c=444444", "offset 31")</f>
        <v>offset 31</v>
      </c>
    </row>
    <row r="14912" customFormat="false" ht="12.8" hidden="false" customHeight="false" outlineLevel="0" collapsed="false">
      <c r="A14912" s="0" t="s">
        <v>12</v>
      </c>
      <c r="B14912" s="0" t="n">
        <v>4613004</v>
      </c>
      <c r="C14912" s="0" t="n">
        <v>4613024</v>
      </c>
      <c r="D14912" s="0" t="s">
        <v>49545</v>
      </c>
      <c r="E14912" s="0" t="s">
        <v>49546</v>
      </c>
      <c r="F14912" s="0" t="s">
        <v>15</v>
      </c>
      <c r="G14912" s="0" t="s">
        <v>16</v>
      </c>
      <c r="H14912" s="0" t="n">
        <v>57</v>
      </c>
      <c r="I14912" s="0" t="s">
        <v>49553</v>
      </c>
      <c r="J14912" s="0" t="s">
        <v>49554</v>
      </c>
      <c r="K14912" s="0" t="s">
        <v>49555</v>
      </c>
      <c r="L14912" s="0" t="str">
        <f aca="false">HYPERLINK("https://www.ncbi.nlm.nih.gov/nuccore/CP000058.1?report=graph&amp;tracks=[key:gene_model_track,Options:GeneOnly]&amp;mk=4612955:4612974|offset_7|444444,4612979:4612998|offset_31|444444,4613005:4613024|offset_57|00cc00,4613028:4613047|offset_80|444444&amp;v=4612754:4613247&amp;c=444444", "offset 57")</f>
        <v>offset 57</v>
      </c>
    </row>
    <row r="14913" customFormat="false" ht="12.8" hidden="false" customHeight="false" outlineLevel="0" collapsed="false">
      <c r="A14913" s="0" t="s">
        <v>12</v>
      </c>
      <c r="B14913" s="0" t="n">
        <v>4613027</v>
      </c>
      <c r="C14913" s="0" t="n">
        <v>4613047</v>
      </c>
      <c r="D14913" s="0" t="s">
        <v>49545</v>
      </c>
      <c r="E14913" s="0" t="s">
        <v>49546</v>
      </c>
      <c r="F14913" s="0" t="s">
        <v>15</v>
      </c>
      <c r="G14913" s="0" t="s">
        <v>20</v>
      </c>
      <c r="H14913" s="0" t="n">
        <v>80</v>
      </c>
      <c r="I14913" s="0" t="s">
        <v>49556</v>
      </c>
      <c r="J14913" s="0" t="s">
        <v>49557</v>
      </c>
      <c r="K14913" s="0" t="s">
        <v>49558</v>
      </c>
      <c r="L14913" s="0" t="str">
        <f aca="false">HYPERLINK("https://www.ncbi.nlm.nih.gov/nuccore/CP000058.1?report=graph&amp;tracks=[key:gene_model_track,Options:GeneOnly]&amp;mk=4612955:4612974|offset_7|444444,4612979:4612998|offset_31|444444,4613005:4613024|offset_57|444444,4613028:4613047|offset_80|00cc00&amp;v=4612754:4613247&amp;c=444444", "offset 80")</f>
        <v>offset 80</v>
      </c>
    </row>
    <row r="14914" customFormat="false" ht="12.8" hidden="false" customHeight="false" outlineLevel="0" collapsed="false">
      <c r="A14914" s="0" t="s">
        <v>12</v>
      </c>
      <c r="B14914" s="0" t="n">
        <v>4615432</v>
      </c>
      <c r="C14914" s="0" t="n">
        <v>4615452</v>
      </c>
      <c r="D14914" s="0" t="s">
        <v>49559</v>
      </c>
      <c r="E14914" s="0" t="s">
        <v>75</v>
      </c>
      <c r="F14914" s="0" t="s">
        <v>90</v>
      </c>
      <c r="G14914" s="0" t="s">
        <v>20</v>
      </c>
      <c r="H14914" s="0" t="n">
        <v>6</v>
      </c>
      <c r="I14914" s="0" t="s">
        <v>49560</v>
      </c>
      <c r="J14914" s="0" t="s">
        <v>49561</v>
      </c>
      <c r="K14914" s="0" t="s">
        <v>49562</v>
      </c>
      <c r="L14914" s="0" t="str">
        <f aca="false">HYPERLINK("https://www.ncbi.nlm.nih.gov/nuccore/CP000058.1?report=graph&amp;tracks=[key:gene_model_track,Options:GeneOnly]&amp;mk=4615433:4615452|offset_6|00cc00,4615372:4615391|offset_67|444444,4615352:4615371|offset_87|444444,4615330:4615349|offset_109|444444&amp;v=4615232:4615549&amp;c=444444", "offset 6")</f>
        <v>offset 6</v>
      </c>
    </row>
    <row r="14915" customFormat="false" ht="12.8" hidden="false" customHeight="false" outlineLevel="0" collapsed="false">
      <c r="A14915" s="0" t="s">
        <v>12</v>
      </c>
      <c r="B14915" s="0" t="n">
        <v>4615371</v>
      </c>
      <c r="C14915" s="0" t="n">
        <v>4615391</v>
      </c>
      <c r="D14915" s="0" t="s">
        <v>49559</v>
      </c>
      <c r="E14915" s="0" t="s">
        <v>75</v>
      </c>
      <c r="F14915" s="0" t="s">
        <v>90</v>
      </c>
      <c r="G14915" s="0" t="s">
        <v>36</v>
      </c>
      <c r="H14915" s="0" t="n">
        <v>67</v>
      </c>
      <c r="I14915" s="0" t="s">
        <v>49563</v>
      </c>
      <c r="J14915" s="0" t="s">
        <v>49564</v>
      </c>
      <c r="K14915" s="0" t="s">
        <v>49565</v>
      </c>
      <c r="L14915" s="0" t="str">
        <f aca="false">HYPERLINK("https://www.ncbi.nlm.nih.gov/nuccore/CP000058.1?report=graph&amp;tracks=[key:gene_model_track,Options:GeneOnly]&amp;mk=4615433:4615452|offset_6|444444,4615372:4615391|offset_67|00cc00,4615352:4615371|offset_87|444444,4615330:4615349|offset_109|444444&amp;v=4615232:4615549&amp;c=444444", "offset 67")</f>
        <v>offset 67</v>
      </c>
    </row>
    <row r="14916" customFormat="false" ht="12.8" hidden="false" customHeight="false" outlineLevel="0" collapsed="false">
      <c r="A14916" s="0" t="s">
        <v>12</v>
      </c>
      <c r="B14916" s="0" t="n">
        <v>4615351</v>
      </c>
      <c r="C14916" s="0" t="n">
        <v>4615371</v>
      </c>
      <c r="D14916" s="0" t="s">
        <v>49559</v>
      </c>
      <c r="E14916" s="0" t="s">
        <v>75</v>
      </c>
      <c r="F14916" s="0" t="s">
        <v>90</v>
      </c>
      <c r="G14916" s="0" t="s">
        <v>16</v>
      </c>
      <c r="H14916" s="0" t="n">
        <v>87</v>
      </c>
      <c r="I14916" s="0" t="s">
        <v>49566</v>
      </c>
      <c r="J14916" s="0" t="s">
        <v>49567</v>
      </c>
      <c r="K14916" s="0" t="s">
        <v>49568</v>
      </c>
      <c r="L14916" s="0" t="str">
        <f aca="false">HYPERLINK("https://www.ncbi.nlm.nih.gov/nuccore/CP000058.1?report=graph&amp;tracks=[key:gene_model_track,Options:GeneOnly]&amp;mk=4615433:4615452|offset_6|444444,4615372:4615391|offset_67|444444,4615352:4615371|offset_87|00cc00,4615330:4615349|offset_109|444444&amp;v=4615232:4615549&amp;c=444444", "offset 87")</f>
        <v>offset 87</v>
      </c>
    </row>
    <row r="14917" customFormat="false" ht="12.8" hidden="false" customHeight="false" outlineLevel="0" collapsed="false">
      <c r="A14917" s="0" t="s">
        <v>12</v>
      </c>
      <c r="B14917" s="0" t="n">
        <v>4615329</v>
      </c>
      <c r="C14917" s="0" t="n">
        <v>4615349</v>
      </c>
      <c r="D14917" s="0" t="s">
        <v>49559</v>
      </c>
      <c r="E14917" s="0" t="s">
        <v>75</v>
      </c>
      <c r="F14917" s="0" t="s">
        <v>90</v>
      </c>
      <c r="G14917" s="0" t="s">
        <v>16</v>
      </c>
      <c r="H14917" s="0" t="n">
        <v>109</v>
      </c>
      <c r="I14917" s="0" t="s">
        <v>49569</v>
      </c>
      <c r="J14917" s="0" t="s">
        <v>49570</v>
      </c>
      <c r="K14917" s="0" t="s">
        <v>49571</v>
      </c>
      <c r="L14917" s="0" t="str">
        <f aca="false">HYPERLINK("https://www.ncbi.nlm.nih.gov/nuccore/CP000058.1?report=graph&amp;tracks=[key:gene_model_track,Options:GeneOnly]&amp;mk=4615433:4615452|offset_6|444444,4615372:4615391|offset_67|444444,4615352:4615371|offset_87|444444,4615330:4615349|offset_109|00cc00&amp;v=4615232:4615549&amp;c=444444", "offset 109")</f>
        <v>offset 109</v>
      </c>
    </row>
    <row r="14918" customFormat="false" ht="12.8" hidden="false" customHeight="false" outlineLevel="0" collapsed="false">
      <c r="A14918" s="0" t="s">
        <v>12</v>
      </c>
      <c r="B14918" s="0" t="n">
        <v>4615644</v>
      </c>
      <c r="C14918" s="0" t="n">
        <v>4615664</v>
      </c>
      <c r="D14918" s="0" t="s">
        <v>49572</v>
      </c>
      <c r="E14918" s="0" t="s">
        <v>75</v>
      </c>
      <c r="F14918" s="0" t="s">
        <v>15</v>
      </c>
      <c r="G14918" s="0" t="s">
        <v>16</v>
      </c>
      <c r="H14918" s="0" t="n">
        <v>7</v>
      </c>
      <c r="I14918" s="0" t="s">
        <v>49573</v>
      </c>
      <c r="J14918" s="0" t="s">
        <v>49574</v>
      </c>
      <c r="K14918" s="0" t="s">
        <v>49575</v>
      </c>
      <c r="L14918" s="0" t="str">
        <f aca="false">HYPERLINK("https://www.ncbi.nlm.nih.gov/nuccore/CP000058.1?report=graph&amp;tracks=[key:gene_model_track,Options:GeneOnly]&amp;mk=4615645:4615664|offset_7|00cc00,4615702:4615721|offset_64|444444,4615727:4615746|offset_89|444444,4615764:4615783|offset_126|444444&amp;v=4615444:4615983&amp;c=444444", "offset 7")</f>
        <v>offset 7</v>
      </c>
    </row>
    <row r="14919" customFormat="false" ht="12.8" hidden="false" customHeight="false" outlineLevel="0" collapsed="false">
      <c r="A14919" s="0" t="s">
        <v>12</v>
      </c>
      <c r="B14919" s="0" t="n">
        <v>4615701</v>
      </c>
      <c r="C14919" s="0" t="n">
        <v>4615721</v>
      </c>
      <c r="D14919" s="0" t="s">
        <v>49572</v>
      </c>
      <c r="E14919" s="0" t="s">
        <v>75</v>
      </c>
      <c r="F14919" s="0" t="s">
        <v>15</v>
      </c>
      <c r="G14919" s="0" t="s">
        <v>20</v>
      </c>
      <c r="H14919" s="0" t="n">
        <v>64</v>
      </c>
      <c r="I14919" s="0" t="s">
        <v>49576</v>
      </c>
      <c r="J14919" s="0" t="s">
        <v>49577</v>
      </c>
      <c r="K14919" s="0" t="s">
        <v>49578</v>
      </c>
      <c r="L14919" s="0" t="str">
        <f aca="false">HYPERLINK("https://www.ncbi.nlm.nih.gov/nuccore/CP000058.1?report=graph&amp;tracks=[key:gene_model_track,Options:GeneOnly]&amp;mk=4615645:4615664|offset_7|444444,4615702:4615721|offset_64|00cc00,4615727:4615746|offset_89|444444,4615764:4615783|offset_126|444444&amp;v=4615444:4615983&amp;c=444444", "offset 64")</f>
        <v>offset 64</v>
      </c>
    </row>
    <row r="14920" customFormat="false" ht="12.8" hidden="false" customHeight="false" outlineLevel="0" collapsed="false">
      <c r="A14920" s="0" t="s">
        <v>12</v>
      </c>
      <c r="B14920" s="0" t="n">
        <v>4615726</v>
      </c>
      <c r="C14920" s="0" t="n">
        <v>4615746</v>
      </c>
      <c r="D14920" s="0" t="s">
        <v>49572</v>
      </c>
      <c r="E14920" s="0" t="s">
        <v>75</v>
      </c>
      <c r="F14920" s="0" t="s">
        <v>15</v>
      </c>
      <c r="G14920" s="0" t="s">
        <v>32</v>
      </c>
      <c r="H14920" s="0" t="n">
        <v>89</v>
      </c>
      <c r="I14920" s="0" t="s">
        <v>49579</v>
      </c>
      <c r="J14920" s="0" t="s">
        <v>49580</v>
      </c>
      <c r="K14920" s="0" t="s">
        <v>49581</v>
      </c>
      <c r="L14920" s="0" t="str">
        <f aca="false">HYPERLINK("https://www.ncbi.nlm.nih.gov/nuccore/CP000058.1?report=graph&amp;tracks=[key:gene_model_track,Options:GeneOnly]&amp;mk=4615645:4615664|offset_7|444444,4615702:4615721|offset_64|444444,4615727:4615746|offset_89|00cc00,4615764:4615783|offset_126|444444&amp;v=4615444:4615983&amp;c=444444", "offset 89")</f>
        <v>offset 89</v>
      </c>
    </row>
    <row r="14921" customFormat="false" ht="12.8" hidden="false" customHeight="false" outlineLevel="0" collapsed="false">
      <c r="A14921" s="0" t="s">
        <v>12</v>
      </c>
      <c r="B14921" s="0" t="n">
        <v>4615763</v>
      </c>
      <c r="C14921" s="0" t="n">
        <v>4615783</v>
      </c>
      <c r="D14921" s="0" t="s">
        <v>49572</v>
      </c>
      <c r="E14921" s="0" t="s">
        <v>75</v>
      </c>
      <c r="F14921" s="0" t="s">
        <v>15</v>
      </c>
      <c r="G14921" s="0" t="s">
        <v>20</v>
      </c>
      <c r="H14921" s="0" t="n">
        <v>126</v>
      </c>
      <c r="I14921" s="0" t="s">
        <v>49582</v>
      </c>
      <c r="J14921" s="0" t="s">
        <v>49583</v>
      </c>
      <c r="K14921" s="0" t="s">
        <v>49584</v>
      </c>
      <c r="L14921" s="0" t="str">
        <f aca="false">HYPERLINK("https://www.ncbi.nlm.nih.gov/nuccore/CP000058.1?report=graph&amp;tracks=[key:gene_model_track,Options:GeneOnly]&amp;mk=4615645:4615664|offset_7|444444,4615702:4615721|offset_64|444444,4615727:4615746|offset_89|444444,4615764:4615783|offset_126|00cc00&amp;v=4615444:4615983&amp;c=444444", "offset 126")</f>
        <v>offset 126</v>
      </c>
    </row>
    <row r="14922" customFormat="false" ht="12.8" hidden="false" customHeight="false" outlineLevel="0" collapsed="false">
      <c r="A14922" s="0" t="s">
        <v>12</v>
      </c>
      <c r="B14922" s="0" t="n">
        <v>4619295</v>
      </c>
      <c r="C14922" s="0" t="n">
        <v>4619315</v>
      </c>
      <c r="D14922" s="0" t="s">
        <v>49585</v>
      </c>
      <c r="E14922" s="0" t="s">
        <v>75</v>
      </c>
      <c r="F14922" s="0" t="s">
        <v>90</v>
      </c>
      <c r="G14922" s="0" t="s">
        <v>32</v>
      </c>
      <c r="H14922" s="0" t="n">
        <v>33</v>
      </c>
      <c r="I14922" s="0" t="s">
        <v>49586</v>
      </c>
      <c r="J14922" s="0" t="s">
        <v>49587</v>
      </c>
      <c r="K14922" s="0" t="s">
        <v>49588</v>
      </c>
      <c r="L14922" s="0" t="str">
        <f aca="false">HYPERLINK("https://www.ncbi.nlm.nih.gov/nuccore/CP000058.1?report=graph&amp;tracks=[key:gene_model_track,Options:GeneOnly]&amp;mk=4619296:4619315|offset_33|00cc00,4619275:4619294|offset_54|444444,4619221:4619240|offset_108|444444,4619181:4619200|offset_148|444444&amp;v=4619095:4619400&amp;c=444444", "offset 33")</f>
        <v>offset 33</v>
      </c>
    </row>
    <row r="14923" customFormat="false" ht="12.8" hidden="false" customHeight="false" outlineLevel="0" collapsed="false">
      <c r="A14923" s="0" t="s">
        <v>12</v>
      </c>
      <c r="B14923" s="0" t="n">
        <v>4619274</v>
      </c>
      <c r="C14923" s="0" t="n">
        <v>4619294</v>
      </c>
      <c r="D14923" s="0" t="s">
        <v>49585</v>
      </c>
      <c r="E14923" s="0" t="s">
        <v>75</v>
      </c>
      <c r="F14923" s="0" t="s">
        <v>90</v>
      </c>
      <c r="G14923" s="0" t="s">
        <v>32</v>
      </c>
      <c r="H14923" s="0" t="n">
        <v>54</v>
      </c>
      <c r="I14923" s="0" t="s">
        <v>49589</v>
      </c>
      <c r="J14923" s="0" t="s">
        <v>49590</v>
      </c>
      <c r="K14923" s="0" t="s">
        <v>49591</v>
      </c>
      <c r="L14923" s="0" t="str">
        <f aca="false">HYPERLINK("https://www.ncbi.nlm.nih.gov/nuccore/CP000058.1?report=graph&amp;tracks=[key:gene_model_track,Options:GeneOnly]&amp;mk=4619296:4619315|offset_33|444444,4619275:4619294|offset_54|00cc00,4619221:4619240|offset_108|444444,4619181:4619200|offset_148|444444&amp;v=4619095:4619400&amp;c=444444", "offset 54")</f>
        <v>offset 54</v>
      </c>
    </row>
    <row r="14924" customFormat="false" ht="12.8" hidden="false" customHeight="false" outlineLevel="0" collapsed="false">
      <c r="A14924" s="0" t="s">
        <v>12</v>
      </c>
      <c r="B14924" s="0" t="n">
        <v>4619220</v>
      </c>
      <c r="C14924" s="0" t="n">
        <v>4619240</v>
      </c>
      <c r="D14924" s="0" t="s">
        <v>49585</v>
      </c>
      <c r="E14924" s="0" t="s">
        <v>75</v>
      </c>
      <c r="F14924" s="0" t="s">
        <v>90</v>
      </c>
      <c r="G14924" s="0" t="s">
        <v>20</v>
      </c>
      <c r="H14924" s="0" t="n">
        <v>108</v>
      </c>
      <c r="I14924" s="0" t="s">
        <v>49592</v>
      </c>
      <c r="J14924" s="0" t="s">
        <v>49593</v>
      </c>
      <c r="K14924" s="0" t="s">
        <v>49594</v>
      </c>
      <c r="L14924" s="0" t="str">
        <f aca="false">HYPERLINK("https://www.ncbi.nlm.nih.gov/nuccore/CP000058.1?report=graph&amp;tracks=[key:gene_model_track,Options:GeneOnly]&amp;mk=4619296:4619315|offset_33|444444,4619275:4619294|offset_54|444444,4619221:4619240|offset_108|00cc00,4619181:4619200|offset_148|444444&amp;v=4619095:4619400&amp;c=444444", "offset 108")</f>
        <v>offset 108</v>
      </c>
    </row>
    <row r="14925" customFormat="false" ht="12.8" hidden="false" customHeight="false" outlineLevel="0" collapsed="false">
      <c r="A14925" s="0" t="s">
        <v>12</v>
      </c>
      <c r="B14925" s="0" t="n">
        <v>4619180</v>
      </c>
      <c r="C14925" s="0" t="n">
        <v>4619200</v>
      </c>
      <c r="D14925" s="0" t="s">
        <v>49585</v>
      </c>
      <c r="E14925" s="0" t="s">
        <v>75</v>
      </c>
      <c r="F14925" s="0" t="s">
        <v>90</v>
      </c>
      <c r="G14925" s="0" t="s">
        <v>16</v>
      </c>
      <c r="H14925" s="0" t="n">
        <v>148</v>
      </c>
      <c r="I14925" s="0" t="s">
        <v>49595</v>
      </c>
      <c r="J14925" s="0" t="s">
        <v>49596</v>
      </c>
      <c r="K14925" s="0" t="s">
        <v>49597</v>
      </c>
      <c r="L14925" s="0" t="str">
        <f aca="false">HYPERLINK("https://www.ncbi.nlm.nih.gov/nuccore/CP000058.1?report=graph&amp;tracks=[key:gene_model_track,Options:GeneOnly]&amp;mk=4619296:4619315|offset_33|444444,4619275:4619294|offset_54|444444,4619221:4619240|offset_108|444444,4619181:4619200|offset_148|00cc00&amp;v=4619095:4619400&amp;c=444444", "offset 148")</f>
        <v>offset 148</v>
      </c>
    </row>
    <row r="14926" customFormat="false" ht="12.8" hidden="false" customHeight="false" outlineLevel="0" collapsed="false">
      <c r="A14926" s="0" t="s">
        <v>12</v>
      </c>
      <c r="B14926" s="0" t="n">
        <v>4622228</v>
      </c>
      <c r="C14926" s="0" t="n">
        <v>4622248</v>
      </c>
      <c r="D14926" s="0" t="s">
        <v>49598</v>
      </c>
      <c r="E14926" s="0" t="s">
        <v>75</v>
      </c>
      <c r="F14926" s="0" t="s">
        <v>90</v>
      </c>
      <c r="G14926" s="0" t="s">
        <v>16</v>
      </c>
      <c r="H14926" s="0" t="n">
        <v>33</v>
      </c>
      <c r="I14926" s="0" t="s">
        <v>49599</v>
      </c>
      <c r="J14926" s="0" t="s">
        <v>49600</v>
      </c>
      <c r="K14926" s="0" t="s">
        <v>49601</v>
      </c>
      <c r="L14926" s="0" t="str">
        <f aca="false">HYPERLINK("https://www.ncbi.nlm.nih.gov/nuccore/CP000058.1?report=graph&amp;tracks=[key:gene_model_track,Options:GeneOnly]&amp;mk=4622229:4622248|offset_33|00cc00,4622188:4622207|offset_74|444444,4622168:4622187|offset_94|444444,4622135:4622154|offset_127|444444&amp;v=4622028:4622354&amp;c=444444", "offset 33")</f>
        <v>offset 33</v>
      </c>
    </row>
    <row r="14927" customFormat="false" ht="12.8" hidden="false" customHeight="false" outlineLevel="0" collapsed="false">
      <c r="A14927" s="0" t="s">
        <v>12</v>
      </c>
      <c r="B14927" s="0" t="n">
        <v>4622187</v>
      </c>
      <c r="C14927" s="0" t="n">
        <v>4622207</v>
      </c>
      <c r="D14927" s="0" t="s">
        <v>49598</v>
      </c>
      <c r="E14927" s="0" t="s">
        <v>75</v>
      </c>
      <c r="F14927" s="0" t="s">
        <v>90</v>
      </c>
      <c r="G14927" s="0" t="s">
        <v>32</v>
      </c>
      <c r="H14927" s="0" t="n">
        <v>74</v>
      </c>
      <c r="I14927" s="0" t="s">
        <v>49602</v>
      </c>
      <c r="J14927" s="0" t="s">
        <v>49603</v>
      </c>
      <c r="K14927" s="0" t="s">
        <v>49604</v>
      </c>
      <c r="L14927" s="0" t="str">
        <f aca="false">HYPERLINK("https://www.ncbi.nlm.nih.gov/nuccore/CP000058.1?report=graph&amp;tracks=[key:gene_model_track,Options:GeneOnly]&amp;mk=4622229:4622248|offset_33|444444,4622188:4622207|offset_74|00cc00,4622168:4622187|offset_94|444444,4622135:4622154|offset_127|444444&amp;v=4622028:4622354&amp;c=444444", "offset 74")</f>
        <v>offset 74</v>
      </c>
    </row>
    <row r="14928" customFormat="false" ht="12.8" hidden="false" customHeight="false" outlineLevel="0" collapsed="false">
      <c r="A14928" s="0" t="s">
        <v>12</v>
      </c>
      <c r="B14928" s="0" t="n">
        <v>4622167</v>
      </c>
      <c r="C14928" s="0" t="n">
        <v>4622187</v>
      </c>
      <c r="D14928" s="0" t="s">
        <v>49598</v>
      </c>
      <c r="E14928" s="0" t="s">
        <v>75</v>
      </c>
      <c r="F14928" s="0" t="s">
        <v>90</v>
      </c>
      <c r="G14928" s="0" t="s">
        <v>16</v>
      </c>
      <c r="H14928" s="0" t="n">
        <v>94</v>
      </c>
      <c r="I14928" s="0" t="s">
        <v>49605</v>
      </c>
      <c r="J14928" s="0" t="s">
        <v>49606</v>
      </c>
      <c r="K14928" s="0" t="s">
        <v>49607</v>
      </c>
      <c r="L14928" s="0" t="str">
        <f aca="false">HYPERLINK("https://www.ncbi.nlm.nih.gov/nuccore/CP000058.1?report=graph&amp;tracks=[key:gene_model_track,Options:GeneOnly]&amp;mk=4622229:4622248|offset_33|444444,4622188:4622207|offset_74|444444,4622168:4622187|offset_94|00cc00,4622135:4622154|offset_127|444444&amp;v=4622028:4622354&amp;c=444444", "offset 94")</f>
        <v>offset 94</v>
      </c>
    </row>
    <row r="14929" customFormat="false" ht="12.8" hidden="false" customHeight="false" outlineLevel="0" collapsed="false">
      <c r="A14929" s="0" t="s">
        <v>12</v>
      </c>
      <c r="B14929" s="0" t="n">
        <v>4622134</v>
      </c>
      <c r="C14929" s="0" t="n">
        <v>4622154</v>
      </c>
      <c r="D14929" s="0" t="s">
        <v>49598</v>
      </c>
      <c r="E14929" s="0" t="s">
        <v>75</v>
      </c>
      <c r="F14929" s="0" t="s">
        <v>90</v>
      </c>
      <c r="G14929" s="0" t="s">
        <v>32</v>
      </c>
      <c r="H14929" s="0" t="n">
        <v>127</v>
      </c>
      <c r="I14929" s="0" t="s">
        <v>49608</v>
      </c>
      <c r="J14929" s="0" t="s">
        <v>49609</v>
      </c>
      <c r="K14929" s="0" t="s">
        <v>49610</v>
      </c>
      <c r="L14929" s="0" t="str">
        <f aca="false">HYPERLINK("https://www.ncbi.nlm.nih.gov/nuccore/CP000058.1?report=graph&amp;tracks=[key:gene_model_track,Options:GeneOnly]&amp;mk=4622229:4622248|offset_33|444444,4622188:4622207|offset_74|444444,4622168:4622187|offset_94|444444,4622135:4622154|offset_127|00cc00&amp;v=4622028:4622354&amp;c=444444", "offset 127")</f>
        <v>offset 127</v>
      </c>
    </row>
    <row r="14930" customFormat="false" ht="12.8" hidden="false" customHeight="false" outlineLevel="0" collapsed="false">
      <c r="A14930" s="0" t="s">
        <v>12</v>
      </c>
      <c r="B14930" s="0" t="n">
        <v>4631033</v>
      </c>
      <c r="C14930" s="0" t="n">
        <v>4631053</v>
      </c>
      <c r="D14930" s="0" t="s">
        <v>49611</v>
      </c>
      <c r="E14930" s="0" t="s">
        <v>75</v>
      </c>
      <c r="F14930" s="0" t="s">
        <v>15</v>
      </c>
      <c r="G14930" s="0" t="s">
        <v>20</v>
      </c>
      <c r="H14930" s="0" t="n">
        <v>0</v>
      </c>
      <c r="I14930" s="0" t="s">
        <v>49612</v>
      </c>
      <c r="J14930" s="0" t="s">
        <v>49613</v>
      </c>
      <c r="K14930" s="0" t="s">
        <v>49614</v>
      </c>
      <c r="L14930" s="0" t="str">
        <f aca="false">HYPERLINK("https://www.ncbi.nlm.nih.gov/nuccore/CP000058.1?report=graph&amp;tracks=[key:gene_model_track,Options:GeneOnly]&amp;mk=4631034:4631053|offset_0|00cc00,4631072:4631091|offset_38|444444,4631141:4631160|offset_107|444444&amp;v=4630833:4631360&amp;c=444444", "offset 0")</f>
        <v>offset 0</v>
      </c>
    </row>
    <row r="14931" customFormat="false" ht="12.8" hidden="false" customHeight="false" outlineLevel="0" collapsed="false">
      <c r="A14931" s="0" t="s">
        <v>12</v>
      </c>
      <c r="B14931" s="0" t="n">
        <v>4631071</v>
      </c>
      <c r="C14931" s="0" t="n">
        <v>4631091</v>
      </c>
      <c r="D14931" s="0" t="s">
        <v>49611</v>
      </c>
      <c r="E14931" s="0" t="s">
        <v>75</v>
      </c>
      <c r="F14931" s="0" t="s">
        <v>15</v>
      </c>
      <c r="G14931" s="0" t="s">
        <v>20</v>
      </c>
      <c r="H14931" s="0" t="n">
        <v>38</v>
      </c>
      <c r="I14931" s="0" t="s">
        <v>49615</v>
      </c>
      <c r="J14931" s="0" t="s">
        <v>49616</v>
      </c>
      <c r="K14931" s="0" t="s">
        <v>49617</v>
      </c>
      <c r="L14931" s="0" t="str">
        <f aca="false">HYPERLINK("https://www.ncbi.nlm.nih.gov/nuccore/CP000058.1?report=graph&amp;tracks=[key:gene_model_track,Options:GeneOnly]&amp;mk=4631034:4631053|offset_0|444444,4631072:4631091|offset_38|00cc00,4631141:4631160|offset_107|444444&amp;v=4630833:4631360&amp;c=444444", "offset 38")</f>
        <v>offset 38</v>
      </c>
    </row>
    <row r="14932" customFormat="false" ht="12.8" hidden="false" customHeight="false" outlineLevel="0" collapsed="false">
      <c r="A14932" s="0" t="s">
        <v>12</v>
      </c>
      <c r="B14932" s="0" t="n">
        <v>4631140</v>
      </c>
      <c r="C14932" s="0" t="n">
        <v>4631160</v>
      </c>
      <c r="D14932" s="0" t="s">
        <v>49611</v>
      </c>
      <c r="E14932" s="0" t="s">
        <v>75</v>
      </c>
      <c r="F14932" s="0" t="s">
        <v>15</v>
      </c>
      <c r="G14932" s="0" t="s">
        <v>36</v>
      </c>
      <c r="H14932" s="0" t="n">
        <v>107</v>
      </c>
      <c r="I14932" s="0" t="s">
        <v>49618</v>
      </c>
      <c r="J14932" s="0" t="s">
        <v>49619</v>
      </c>
      <c r="K14932" s="0" t="s">
        <v>49620</v>
      </c>
      <c r="L14932" s="0" t="str">
        <f aca="false">HYPERLINK("https://www.ncbi.nlm.nih.gov/nuccore/CP000058.1?report=graph&amp;tracks=[key:gene_model_track,Options:GeneOnly]&amp;mk=4631034:4631053|offset_0|444444,4631072:4631091|offset_38|444444,4631141:4631160|offset_107|00cc00&amp;v=4630833:4631360&amp;c=444444", "offset 107")</f>
        <v>offset 107</v>
      </c>
    </row>
    <row r="14933" customFormat="false" ht="12.8" hidden="false" customHeight="false" outlineLevel="0" collapsed="false">
      <c r="A14933" s="0" t="s">
        <v>12</v>
      </c>
      <c r="B14933" s="0" t="n">
        <v>4631751</v>
      </c>
      <c r="C14933" s="0" t="n">
        <v>4631771</v>
      </c>
      <c r="D14933" s="0" t="s">
        <v>49621</v>
      </c>
      <c r="E14933" s="0" t="s">
        <v>75</v>
      </c>
      <c r="F14933" s="0" t="s">
        <v>15</v>
      </c>
      <c r="G14933" s="0" t="s">
        <v>36</v>
      </c>
      <c r="H14933" s="0" t="n">
        <v>6</v>
      </c>
      <c r="I14933" s="0" t="s">
        <v>49622</v>
      </c>
      <c r="J14933" s="0" t="s">
        <v>49623</v>
      </c>
      <c r="K14933" s="0" t="s">
        <v>49624</v>
      </c>
      <c r="L14933" s="0" t="str">
        <f aca="false">HYPERLINK("https://www.ncbi.nlm.nih.gov/nuccore/CP000058.1?report=graph&amp;tracks=[key:gene_model_track,Options:GeneOnly]&amp;mk=4631752:4631771|offset_6|00cc00,4631772:4631791|offset_26|444444,4631792:4631811|offset_46|444444,4631867:4631886|offset_121|444444&amp;v=4631551:4632086&amp;c=444444", "offset 6")</f>
        <v>offset 6</v>
      </c>
    </row>
    <row r="14934" customFormat="false" ht="12.8" hidden="false" customHeight="false" outlineLevel="0" collapsed="false">
      <c r="A14934" s="0" t="s">
        <v>12</v>
      </c>
      <c r="B14934" s="0" t="n">
        <v>4631771</v>
      </c>
      <c r="C14934" s="0" t="n">
        <v>4631791</v>
      </c>
      <c r="D14934" s="0" t="s">
        <v>49621</v>
      </c>
      <c r="E14934" s="0" t="s">
        <v>75</v>
      </c>
      <c r="F14934" s="0" t="s">
        <v>15</v>
      </c>
      <c r="G14934" s="0" t="s">
        <v>36</v>
      </c>
      <c r="H14934" s="0" t="n">
        <v>26</v>
      </c>
      <c r="I14934" s="0" t="s">
        <v>49625</v>
      </c>
      <c r="J14934" s="0" t="s">
        <v>49626</v>
      </c>
      <c r="K14934" s="0" t="s">
        <v>49627</v>
      </c>
      <c r="L14934" s="0" t="str">
        <f aca="false">HYPERLINK("https://www.ncbi.nlm.nih.gov/nuccore/CP000058.1?report=graph&amp;tracks=[key:gene_model_track,Options:GeneOnly]&amp;mk=4631752:4631771|offset_6|444444,4631772:4631791|offset_26|00cc00,4631792:4631811|offset_46|444444,4631867:4631886|offset_121|444444&amp;v=4631551:4632086&amp;c=444444", "offset 26")</f>
        <v>offset 26</v>
      </c>
    </row>
    <row r="14935" customFormat="false" ht="12.8" hidden="false" customHeight="false" outlineLevel="0" collapsed="false">
      <c r="A14935" s="0" t="s">
        <v>12</v>
      </c>
      <c r="B14935" s="0" t="n">
        <v>4631791</v>
      </c>
      <c r="C14935" s="0" t="n">
        <v>4631811</v>
      </c>
      <c r="D14935" s="0" t="s">
        <v>49621</v>
      </c>
      <c r="E14935" s="0" t="s">
        <v>75</v>
      </c>
      <c r="F14935" s="0" t="s">
        <v>15</v>
      </c>
      <c r="G14935" s="0" t="s">
        <v>16</v>
      </c>
      <c r="H14935" s="0" t="n">
        <v>46</v>
      </c>
      <c r="I14935" s="0" t="s">
        <v>49628</v>
      </c>
      <c r="J14935" s="0" t="s">
        <v>49629</v>
      </c>
      <c r="K14935" s="0" t="s">
        <v>49630</v>
      </c>
      <c r="L14935" s="0" t="str">
        <f aca="false">HYPERLINK("https://www.ncbi.nlm.nih.gov/nuccore/CP000058.1?report=graph&amp;tracks=[key:gene_model_track,Options:GeneOnly]&amp;mk=4631752:4631771|offset_6|444444,4631772:4631791|offset_26|444444,4631792:4631811|offset_46|00cc00,4631867:4631886|offset_121|444444&amp;v=4631551:4632086&amp;c=444444", "offset 46")</f>
        <v>offset 46</v>
      </c>
    </row>
    <row r="14936" customFormat="false" ht="12.8" hidden="false" customHeight="false" outlineLevel="0" collapsed="false">
      <c r="A14936" s="0" t="s">
        <v>12</v>
      </c>
      <c r="B14936" s="0" t="n">
        <v>4631866</v>
      </c>
      <c r="C14936" s="0" t="n">
        <v>4631886</v>
      </c>
      <c r="D14936" s="0" t="s">
        <v>49621</v>
      </c>
      <c r="E14936" s="0" t="s">
        <v>75</v>
      </c>
      <c r="F14936" s="0" t="s">
        <v>15</v>
      </c>
      <c r="G14936" s="0" t="s">
        <v>20</v>
      </c>
      <c r="H14936" s="0" t="n">
        <v>121</v>
      </c>
      <c r="I14936" s="0" t="s">
        <v>49631</v>
      </c>
      <c r="J14936" s="0" t="s">
        <v>49632</v>
      </c>
      <c r="K14936" s="0" t="s">
        <v>49633</v>
      </c>
      <c r="L14936" s="0" t="str">
        <f aca="false">HYPERLINK("https://www.ncbi.nlm.nih.gov/nuccore/CP000058.1?report=graph&amp;tracks=[key:gene_model_track,Options:GeneOnly]&amp;mk=4631752:4631771|offset_6|444444,4631772:4631791|offset_26|444444,4631792:4631811|offset_46|444444,4631867:4631886|offset_121|00cc00&amp;v=4631551:4632086&amp;c=444444", "offset 121")</f>
        <v>offset 121</v>
      </c>
    </row>
    <row r="14937" customFormat="false" ht="12.8" hidden="false" customHeight="false" outlineLevel="0" collapsed="false">
      <c r="A14937" s="0" t="s">
        <v>12</v>
      </c>
      <c r="B14937" s="0" t="n">
        <v>4633138</v>
      </c>
      <c r="C14937" s="0" t="n">
        <v>4633158</v>
      </c>
      <c r="D14937" s="0" t="s">
        <v>49634</v>
      </c>
      <c r="E14937" s="0" t="s">
        <v>75</v>
      </c>
      <c r="F14937" s="0" t="s">
        <v>90</v>
      </c>
      <c r="G14937" s="0" t="s">
        <v>36</v>
      </c>
      <c r="H14937" s="0" t="n">
        <v>20</v>
      </c>
      <c r="I14937" s="0" t="s">
        <v>49635</v>
      </c>
      <c r="J14937" s="0" t="s">
        <v>49636</v>
      </c>
      <c r="K14937" s="0" t="s">
        <v>49637</v>
      </c>
      <c r="L14937" s="0" t="str">
        <f aca="false">HYPERLINK("https://www.ncbi.nlm.nih.gov/nuccore/CP000058.1?report=graph&amp;tracks=[key:gene_model_track,Options:GeneOnly]&amp;mk=4633139:4633158|offset_20|00cc00,4633096:4633115|offset_63|444444,4633071:4633090|offset_88|444444,4633040:4633059|offset_119|444444&amp;v=4632938:4633259&amp;c=444444", "offset 20")</f>
        <v>offset 20</v>
      </c>
    </row>
    <row r="14938" customFormat="false" ht="12.8" hidden="false" customHeight="false" outlineLevel="0" collapsed="false">
      <c r="A14938" s="0" t="s">
        <v>12</v>
      </c>
      <c r="B14938" s="0" t="n">
        <v>4633095</v>
      </c>
      <c r="C14938" s="0" t="n">
        <v>4633115</v>
      </c>
      <c r="D14938" s="0" t="s">
        <v>49634</v>
      </c>
      <c r="E14938" s="0" t="s">
        <v>75</v>
      </c>
      <c r="F14938" s="0" t="s">
        <v>90</v>
      </c>
      <c r="G14938" s="0" t="s">
        <v>20</v>
      </c>
      <c r="H14938" s="0" t="n">
        <v>63</v>
      </c>
      <c r="I14938" s="0" t="s">
        <v>49638</v>
      </c>
      <c r="J14938" s="0" t="s">
        <v>49639</v>
      </c>
      <c r="K14938" s="0" t="s">
        <v>49640</v>
      </c>
      <c r="L14938" s="0" t="str">
        <f aca="false">HYPERLINK("https://www.ncbi.nlm.nih.gov/nuccore/CP000058.1?report=graph&amp;tracks=[key:gene_model_track,Options:GeneOnly]&amp;mk=4633139:4633158|offset_20|444444,4633096:4633115|offset_63|00cc00,4633071:4633090|offset_88|444444,4633040:4633059|offset_119|444444&amp;v=4632938:4633259&amp;c=444444", "offset 63")</f>
        <v>offset 63</v>
      </c>
    </row>
    <row r="14939" customFormat="false" ht="12.8" hidden="false" customHeight="false" outlineLevel="0" collapsed="false">
      <c r="A14939" s="0" t="s">
        <v>12</v>
      </c>
      <c r="B14939" s="0" t="n">
        <v>4633070</v>
      </c>
      <c r="C14939" s="0" t="n">
        <v>4633090</v>
      </c>
      <c r="D14939" s="0" t="s">
        <v>49634</v>
      </c>
      <c r="E14939" s="0" t="s">
        <v>75</v>
      </c>
      <c r="F14939" s="0" t="s">
        <v>90</v>
      </c>
      <c r="G14939" s="0" t="s">
        <v>16</v>
      </c>
      <c r="H14939" s="0" t="n">
        <v>88</v>
      </c>
      <c r="I14939" s="0" t="s">
        <v>49641</v>
      </c>
      <c r="J14939" s="0" t="s">
        <v>49642</v>
      </c>
      <c r="K14939" s="0" t="s">
        <v>49643</v>
      </c>
      <c r="L14939" s="0" t="str">
        <f aca="false">HYPERLINK("https://www.ncbi.nlm.nih.gov/nuccore/CP000058.1?report=graph&amp;tracks=[key:gene_model_track,Options:GeneOnly]&amp;mk=4633139:4633158|offset_20|444444,4633096:4633115|offset_63|444444,4633071:4633090|offset_88|00cc00,4633040:4633059|offset_119|444444&amp;v=4632938:4633259&amp;c=444444", "offset 88")</f>
        <v>offset 88</v>
      </c>
    </row>
    <row r="14940" customFormat="false" ht="12.8" hidden="false" customHeight="false" outlineLevel="0" collapsed="false">
      <c r="A14940" s="0" t="s">
        <v>12</v>
      </c>
      <c r="B14940" s="0" t="n">
        <v>4633039</v>
      </c>
      <c r="C14940" s="0" t="n">
        <v>4633059</v>
      </c>
      <c r="D14940" s="0" t="s">
        <v>49634</v>
      </c>
      <c r="E14940" s="0" t="s">
        <v>75</v>
      </c>
      <c r="F14940" s="0" t="s">
        <v>90</v>
      </c>
      <c r="G14940" s="0" t="s">
        <v>20</v>
      </c>
      <c r="H14940" s="0" t="n">
        <v>119</v>
      </c>
      <c r="I14940" s="0" t="s">
        <v>49644</v>
      </c>
      <c r="J14940" s="0" t="s">
        <v>49645</v>
      </c>
      <c r="K14940" s="0" t="s">
        <v>49646</v>
      </c>
      <c r="L14940" s="0" t="str">
        <f aca="false">HYPERLINK("https://www.ncbi.nlm.nih.gov/nuccore/CP000058.1?report=graph&amp;tracks=[key:gene_model_track,Options:GeneOnly]&amp;mk=4633139:4633158|offset_20|444444,4633096:4633115|offset_63|444444,4633071:4633090|offset_88|444444,4633040:4633059|offset_119|00cc00&amp;v=4632938:4633259&amp;c=444444", "offset 119")</f>
        <v>offset 119</v>
      </c>
    </row>
    <row r="14941" customFormat="false" ht="12.8" hidden="false" customHeight="false" outlineLevel="0" collapsed="false">
      <c r="A14941" s="0" t="s">
        <v>12</v>
      </c>
      <c r="B14941" s="0" t="n">
        <v>4633721</v>
      </c>
      <c r="C14941" s="0" t="n">
        <v>4633741</v>
      </c>
      <c r="D14941" s="0" t="s">
        <v>49647</v>
      </c>
      <c r="E14941" s="0" t="s">
        <v>75</v>
      </c>
      <c r="F14941" s="0" t="s">
        <v>90</v>
      </c>
      <c r="G14941" s="0" t="s">
        <v>20</v>
      </c>
      <c r="H14941" s="0" t="n">
        <v>20</v>
      </c>
      <c r="I14941" s="0" t="s">
        <v>49648</v>
      </c>
      <c r="J14941" s="0" t="s">
        <v>49649</v>
      </c>
      <c r="K14941" s="0" t="s">
        <v>49650</v>
      </c>
      <c r="L14941" s="0" t="str">
        <f aca="false">HYPERLINK("https://www.ncbi.nlm.nih.gov/nuccore/CP000058.1?report=graph&amp;tracks=[key:gene_model_track,Options:GeneOnly]&amp;mk=4633722:4633741|offset_20|00cc00,4633702:4633721|offset_40|444444,4633630:4633649|offset_112|444444,4633596:4633615|offset_146|444444&amp;v=4633521:4633815&amp;c=444444", "offset 20")</f>
        <v>offset 20</v>
      </c>
    </row>
    <row r="14942" customFormat="false" ht="12.8" hidden="false" customHeight="false" outlineLevel="0" collapsed="false">
      <c r="A14942" s="0" t="s">
        <v>12</v>
      </c>
      <c r="B14942" s="0" t="n">
        <v>4633701</v>
      </c>
      <c r="C14942" s="0" t="n">
        <v>4633721</v>
      </c>
      <c r="D14942" s="0" t="s">
        <v>49647</v>
      </c>
      <c r="E14942" s="0" t="s">
        <v>75</v>
      </c>
      <c r="F14942" s="0" t="s">
        <v>90</v>
      </c>
      <c r="G14942" s="0" t="s">
        <v>16</v>
      </c>
      <c r="H14942" s="0" t="n">
        <v>40</v>
      </c>
      <c r="I14942" s="0" t="s">
        <v>49651</v>
      </c>
      <c r="J14942" s="0" t="s">
        <v>49652</v>
      </c>
      <c r="K14942" s="0" t="s">
        <v>49653</v>
      </c>
      <c r="L14942" s="0" t="str">
        <f aca="false">HYPERLINK("https://www.ncbi.nlm.nih.gov/nuccore/CP000058.1?report=graph&amp;tracks=[key:gene_model_track,Options:GeneOnly]&amp;mk=4633722:4633741|offset_20|444444,4633702:4633721|offset_40|00cc00,4633630:4633649|offset_112|444444,4633596:4633615|offset_146|444444&amp;v=4633521:4633815&amp;c=444444", "offset 40")</f>
        <v>offset 40</v>
      </c>
    </row>
    <row r="14943" customFormat="false" ht="12.8" hidden="false" customHeight="false" outlineLevel="0" collapsed="false">
      <c r="A14943" s="0" t="s">
        <v>12</v>
      </c>
      <c r="B14943" s="0" t="n">
        <v>4633629</v>
      </c>
      <c r="C14943" s="0" t="n">
        <v>4633649</v>
      </c>
      <c r="D14943" s="0" t="s">
        <v>49647</v>
      </c>
      <c r="E14943" s="0" t="s">
        <v>75</v>
      </c>
      <c r="F14943" s="0" t="s">
        <v>90</v>
      </c>
      <c r="G14943" s="0" t="s">
        <v>32</v>
      </c>
      <c r="H14943" s="0" t="n">
        <v>112</v>
      </c>
      <c r="I14943" s="0" t="s">
        <v>49654</v>
      </c>
      <c r="J14943" s="0" t="s">
        <v>49655</v>
      </c>
      <c r="K14943" s="0" t="s">
        <v>49656</v>
      </c>
      <c r="L14943" s="0" t="str">
        <f aca="false">HYPERLINK("https://www.ncbi.nlm.nih.gov/nuccore/CP000058.1?report=graph&amp;tracks=[key:gene_model_track,Options:GeneOnly]&amp;mk=4633722:4633741|offset_20|444444,4633702:4633721|offset_40|444444,4633630:4633649|offset_112|00cc00,4633596:4633615|offset_146|444444&amp;v=4633521:4633815&amp;c=444444", "offset 112")</f>
        <v>offset 112</v>
      </c>
    </row>
    <row r="14944" customFormat="false" ht="12.8" hidden="false" customHeight="false" outlineLevel="0" collapsed="false">
      <c r="A14944" s="0" t="s">
        <v>12</v>
      </c>
      <c r="B14944" s="0" t="n">
        <v>4633595</v>
      </c>
      <c r="C14944" s="0" t="n">
        <v>4633615</v>
      </c>
      <c r="D14944" s="0" t="s">
        <v>49647</v>
      </c>
      <c r="E14944" s="0" t="s">
        <v>75</v>
      </c>
      <c r="F14944" s="0" t="s">
        <v>90</v>
      </c>
      <c r="G14944" s="0" t="s">
        <v>20</v>
      </c>
      <c r="H14944" s="0" t="n">
        <v>146</v>
      </c>
      <c r="I14944" s="0" t="s">
        <v>49657</v>
      </c>
      <c r="J14944" s="0" t="s">
        <v>49658</v>
      </c>
      <c r="K14944" s="0" t="s">
        <v>49659</v>
      </c>
      <c r="L14944" s="0" t="str">
        <f aca="false">HYPERLINK("https://www.ncbi.nlm.nih.gov/nuccore/CP000058.1?report=graph&amp;tracks=[key:gene_model_track,Options:GeneOnly]&amp;mk=4633722:4633741|offset_20|444444,4633702:4633721|offset_40|444444,4633630:4633649|offset_112|444444,4633596:4633615|offset_146|00cc00&amp;v=4633521:4633815&amp;c=444444", "offset 146")</f>
        <v>offset 146</v>
      </c>
    </row>
    <row r="14945" customFormat="false" ht="12.8" hidden="false" customHeight="false" outlineLevel="0" collapsed="false">
      <c r="A14945" s="0" t="s">
        <v>12</v>
      </c>
      <c r="B14945" s="0" t="n">
        <v>4634147</v>
      </c>
      <c r="C14945" s="0" t="n">
        <v>4634167</v>
      </c>
      <c r="D14945" s="0" t="s">
        <v>49660</v>
      </c>
      <c r="E14945" s="0" t="s">
        <v>75</v>
      </c>
      <c r="F14945" s="0" t="s">
        <v>90</v>
      </c>
      <c r="G14945" s="0" t="s">
        <v>16</v>
      </c>
      <c r="H14945" s="0" t="n">
        <v>14</v>
      </c>
      <c r="I14945" s="0" t="s">
        <v>49661</v>
      </c>
      <c r="J14945" s="0" t="s">
        <v>49662</v>
      </c>
      <c r="K14945" s="0" t="s">
        <v>49663</v>
      </c>
      <c r="L14945" s="0" t="str">
        <f aca="false">HYPERLINK("https://www.ncbi.nlm.nih.gov/nuccore/CP000058.1?report=graph&amp;tracks=[key:gene_model_track,Options:GeneOnly]&amp;mk=4634148:4634167|offset_14|00cc00,4634126:4634145|offset_36|444444,4634100:4634119|offset_62|444444,4634077:4634096|offset_85|444444&amp;v=4633947:4634296&amp;c=444444", "offset 14")</f>
        <v>offset 14</v>
      </c>
    </row>
    <row r="14946" customFormat="false" ht="12.8" hidden="false" customHeight="false" outlineLevel="0" collapsed="false">
      <c r="A14946" s="0" t="s">
        <v>12</v>
      </c>
      <c r="B14946" s="0" t="n">
        <v>4634125</v>
      </c>
      <c r="C14946" s="0" t="n">
        <v>4634145</v>
      </c>
      <c r="D14946" s="0" t="s">
        <v>49660</v>
      </c>
      <c r="E14946" s="0" t="s">
        <v>75</v>
      </c>
      <c r="F14946" s="0" t="s">
        <v>90</v>
      </c>
      <c r="G14946" s="0" t="s">
        <v>36</v>
      </c>
      <c r="H14946" s="0" t="n">
        <v>36</v>
      </c>
      <c r="I14946" s="0" t="s">
        <v>49664</v>
      </c>
      <c r="J14946" s="0" t="s">
        <v>49665</v>
      </c>
      <c r="K14946" s="0" t="s">
        <v>49666</v>
      </c>
      <c r="L14946" s="0" t="str">
        <f aca="false">HYPERLINK("https://www.ncbi.nlm.nih.gov/nuccore/CP000058.1?report=graph&amp;tracks=[key:gene_model_track,Options:GeneOnly]&amp;mk=4634148:4634167|offset_14|444444,4634126:4634145|offset_36|00cc00,4634100:4634119|offset_62|444444,4634077:4634096|offset_85|444444&amp;v=4633947:4634296&amp;c=444444", "offset 36")</f>
        <v>offset 36</v>
      </c>
    </row>
    <row r="14947" customFormat="false" ht="12.8" hidden="false" customHeight="false" outlineLevel="0" collapsed="false">
      <c r="A14947" s="0" t="s">
        <v>12</v>
      </c>
      <c r="B14947" s="0" t="n">
        <v>4634099</v>
      </c>
      <c r="C14947" s="0" t="n">
        <v>4634119</v>
      </c>
      <c r="D14947" s="0" t="s">
        <v>49660</v>
      </c>
      <c r="E14947" s="0" t="s">
        <v>75</v>
      </c>
      <c r="F14947" s="0" t="s">
        <v>90</v>
      </c>
      <c r="G14947" s="0" t="s">
        <v>20</v>
      </c>
      <c r="H14947" s="0" t="n">
        <v>62</v>
      </c>
      <c r="I14947" s="0" t="s">
        <v>49667</v>
      </c>
      <c r="J14947" s="0" t="s">
        <v>49668</v>
      </c>
      <c r="K14947" s="0" t="s">
        <v>49669</v>
      </c>
      <c r="L14947" s="0" t="str">
        <f aca="false">HYPERLINK("https://www.ncbi.nlm.nih.gov/nuccore/CP000058.1?report=graph&amp;tracks=[key:gene_model_track,Options:GeneOnly]&amp;mk=4634148:4634167|offset_14|444444,4634126:4634145|offset_36|444444,4634100:4634119|offset_62|00cc00,4634077:4634096|offset_85|444444&amp;v=4633947:4634296&amp;c=444444", "offset 62")</f>
        <v>offset 62</v>
      </c>
    </row>
    <row r="14948" customFormat="false" ht="12.8" hidden="false" customHeight="false" outlineLevel="0" collapsed="false">
      <c r="A14948" s="0" t="s">
        <v>12</v>
      </c>
      <c r="B14948" s="0" t="n">
        <v>4634076</v>
      </c>
      <c r="C14948" s="0" t="n">
        <v>4634096</v>
      </c>
      <c r="D14948" s="0" t="s">
        <v>49660</v>
      </c>
      <c r="E14948" s="0" t="s">
        <v>75</v>
      </c>
      <c r="F14948" s="0" t="s">
        <v>90</v>
      </c>
      <c r="G14948" s="0" t="s">
        <v>20</v>
      </c>
      <c r="H14948" s="0" t="n">
        <v>85</v>
      </c>
      <c r="I14948" s="0" t="s">
        <v>49670</v>
      </c>
      <c r="J14948" s="0" t="s">
        <v>49671</v>
      </c>
      <c r="K14948" s="0" t="s">
        <v>49672</v>
      </c>
      <c r="L14948" s="0" t="str">
        <f aca="false">HYPERLINK("https://www.ncbi.nlm.nih.gov/nuccore/CP000058.1?report=graph&amp;tracks=[key:gene_model_track,Options:GeneOnly]&amp;mk=4634148:4634167|offset_14|444444,4634126:4634145|offset_36|444444,4634100:4634119|offset_62|444444,4634077:4634096|offset_85|00cc00&amp;v=4633947:4634296&amp;c=444444", "offset 85")</f>
        <v>offset 85</v>
      </c>
    </row>
    <row r="14949" customFormat="false" ht="12.8" hidden="false" customHeight="false" outlineLevel="0" collapsed="false">
      <c r="A14949" s="0" t="s">
        <v>12</v>
      </c>
      <c r="B14949" s="0" t="n">
        <v>4635258</v>
      </c>
      <c r="C14949" s="0" t="n">
        <v>4635278</v>
      </c>
      <c r="D14949" s="0" t="s">
        <v>49673</v>
      </c>
      <c r="E14949" s="0" t="s">
        <v>75</v>
      </c>
      <c r="F14949" s="0" t="s">
        <v>90</v>
      </c>
      <c r="G14949" s="0" t="s">
        <v>16</v>
      </c>
      <c r="H14949" s="0" t="n">
        <v>6</v>
      </c>
      <c r="I14949" s="0" t="s">
        <v>49674</v>
      </c>
      <c r="J14949" s="0" t="s">
        <v>49675</v>
      </c>
      <c r="K14949" s="0" t="s">
        <v>49676</v>
      </c>
      <c r="L14949" s="0" t="str">
        <f aca="false">HYPERLINK("https://www.ncbi.nlm.nih.gov/nuccore/CP000058.1?report=graph&amp;tracks=[key:gene_model_track,Options:GeneOnly]&amp;mk=4635259:4635278|offset_6|00cc00,4635224:4635243|offset_41|444444,4635184:4635203|offset_81|444444,4635160:4635179|offset_105|444444&amp;v=4635058:4635379&amp;c=444444", "offset 6")</f>
        <v>offset 6</v>
      </c>
    </row>
    <row r="14950" customFormat="false" ht="12.8" hidden="false" customHeight="false" outlineLevel="0" collapsed="false">
      <c r="A14950" s="0" t="s">
        <v>12</v>
      </c>
      <c r="B14950" s="0" t="n">
        <v>4635223</v>
      </c>
      <c r="C14950" s="0" t="n">
        <v>4635243</v>
      </c>
      <c r="D14950" s="0" t="s">
        <v>49673</v>
      </c>
      <c r="E14950" s="0" t="s">
        <v>75</v>
      </c>
      <c r="F14950" s="0" t="s">
        <v>90</v>
      </c>
      <c r="G14950" s="0" t="s">
        <v>20</v>
      </c>
      <c r="H14950" s="0" t="n">
        <v>41</v>
      </c>
      <c r="I14950" s="0" t="s">
        <v>49677</v>
      </c>
      <c r="J14950" s="0" t="s">
        <v>49678</v>
      </c>
      <c r="K14950" s="0" t="s">
        <v>49679</v>
      </c>
      <c r="L14950" s="0" t="str">
        <f aca="false">HYPERLINK("https://www.ncbi.nlm.nih.gov/nuccore/CP000058.1?report=graph&amp;tracks=[key:gene_model_track,Options:GeneOnly]&amp;mk=4635259:4635278|offset_6|444444,4635224:4635243|offset_41|00cc00,4635184:4635203|offset_81|444444,4635160:4635179|offset_105|444444&amp;v=4635058:4635379&amp;c=444444", "offset 41")</f>
        <v>offset 41</v>
      </c>
    </row>
    <row r="14951" customFormat="false" ht="12.8" hidden="false" customHeight="false" outlineLevel="0" collapsed="false">
      <c r="A14951" s="0" t="s">
        <v>12</v>
      </c>
      <c r="B14951" s="0" t="n">
        <v>4635183</v>
      </c>
      <c r="C14951" s="0" t="n">
        <v>4635203</v>
      </c>
      <c r="D14951" s="0" t="s">
        <v>49673</v>
      </c>
      <c r="E14951" s="0" t="s">
        <v>75</v>
      </c>
      <c r="F14951" s="0" t="s">
        <v>90</v>
      </c>
      <c r="G14951" s="0" t="s">
        <v>16</v>
      </c>
      <c r="H14951" s="0" t="n">
        <v>81</v>
      </c>
      <c r="I14951" s="0" t="s">
        <v>49680</v>
      </c>
      <c r="J14951" s="0" t="s">
        <v>49681</v>
      </c>
      <c r="K14951" s="0" t="s">
        <v>49682</v>
      </c>
      <c r="L14951" s="0" t="str">
        <f aca="false">HYPERLINK("https://www.ncbi.nlm.nih.gov/nuccore/CP000058.1?report=graph&amp;tracks=[key:gene_model_track,Options:GeneOnly]&amp;mk=4635259:4635278|offset_6|444444,4635224:4635243|offset_41|444444,4635184:4635203|offset_81|00cc00,4635160:4635179|offset_105|444444&amp;v=4635058:4635379&amp;c=444444", "offset 81")</f>
        <v>offset 81</v>
      </c>
    </row>
    <row r="14952" customFormat="false" ht="12.8" hidden="false" customHeight="false" outlineLevel="0" collapsed="false">
      <c r="A14952" s="0" t="s">
        <v>12</v>
      </c>
      <c r="B14952" s="0" t="n">
        <v>4635159</v>
      </c>
      <c r="C14952" s="0" t="n">
        <v>4635179</v>
      </c>
      <c r="D14952" s="0" t="s">
        <v>49673</v>
      </c>
      <c r="E14952" s="0" t="s">
        <v>75</v>
      </c>
      <c r="F14952" s="0" t="s">
        <v>90</v>
      </c>
      <c r="G14952" s="0" t="s">
        <v>20</v>
      </c>
      <c r="H14952" s="0" t="n">
        <v>105</v>
      </c>
      <c r="I14952" s="0" t="s">
        <v>49683</v>
      </c>
      <c r="J14952" s="0" t="s">
        <v>49684</v>
      </c>
      <c r="K14952" s="0" t="s">
        <v>49685</v>
      </c>
      <c r="L14952" s="0" t="str">
        <f aca="false">HYPERLINK("https://www.ncbi.nlm.nih.gov/nuccore/CP000058.1?report=graph&amp;tracks=[key:gene_model_track,Options:GeneOnly]&amp;mk=4635259:4635278|offset_6|444444,4635224:4635243|offset_41|444444,4635184:4635203|offset_81|444444,4635160:4635179|offset_105|00cc00&amp;v=4635058:4635379&amp;c=444444", "offset 105")</f>
        <v>offset 105</v>
      </c>
    </row>
    <row r="14953" customFormat="false" ht="12.8" hidden="false" customHeight="false" outlineLevel="0" collapsed="false">
      <c r="A14953" s="0" t="s">
        <v>12</v>
      </c>
      <c r="B14953" s="0" t="n">
        <v>4635294</v>
      </c>
      <c r="C14953" s="0" t="n">
        <v>4635314</v>
      </c>
      <c r="D14953" s="0" t="s">
        <v>49686</v>
      </c>
      <c r="E14953" s="0" t="s">
        <v>75</v>
      </c>
      <c r="F14953" s="0" t="s">
        <v>15</v>
      </c>
      <c r="G14953" s="0" t="s">
        <v>20</v>
      </c>
      <c r="H14953" s="0" t="n">
        <v>12</v>
      </c>
      <c r="I14953" s="0" t="s">
        <v>49687</v>
      </c>
      <c r="J14953" s="0" t="s">
        <v>49688</v>
      </c>
      <c r="K14953" s="0" t="s">
        <v>49689</v>
      </c>
      <c r="L14953" s="0" t="str">
        <f aca="false">HYPERLINK("https://www.ncbi.nlm.nih.gov/nuccore/CP000058.1?report=graph&amp;tracks=[key:gene_model_track,Options:GeneOnly]&amp;mk=4635295:4635314|offset_12|00cc00,4635317:4635336|offset_34|444444,4635343:4635362|offset_60|444444,4635414:4635433|offset_131|444444&amp;v=4635094:4635633&amp;c=444444", "offset 12")</f>
        <v>offset 12</v>
      </c>
    </row>
    <row r="14954" customFormat="false" ht="12.8" hidden="false" customHeight="false" outlineLevel="0" collapsed="false">
      <c r="A14954" s="0" t="s">
        <v>12</v>
      </c>
      <c r="B14954" s="0" t="n">
        <v>4635316</v>
      </c>
      <c r="C14954" s="0" t="n">
        <v>4635336</v>
      </c>
      <c r="D14954" s="0" t="s">
        <v>49686</v>
      </c>
      <c r="E14954" s="0" t="s">
        <v>75</v>
      </c>
      <c r="F14954" s="0" t="s">
        <v>15</v>
      </c>
      <c r="G14954" s="0" t="s">
        <v>16</v>
      </c>
      <c r="H14954" s="0" t="n">
        <v>34</v>
      </c>
      <c r="I14954" s="0" t="s">
        <v>49690</v>
      </c>
      <c r="J14954" s="0" t="s">
        <v>49691</v>
      </c>
      <c r="K14954" s="0" t="s">
        <v>49692</v>
      </c>
      <c r="L14954" s="0" t="str">
        <f aca="false">HYPERLINK("https://www.ncbi.nlm.nih.gov/nuccore/CP000058.1?report=graph&amp;tracks=[key:gene_model_track,Options:GeneOnly]&amp;mk=4635295:4635314|offset_12|444444,4635317:4635336|offset_34|00cc00,4635343:4635362|offset_60|444444,4635414:4635433|offset_131|444444&amp;v=4635094:4635633&amp;c=444444", "offset 34")</f>
        <v>offset 34</v>
      </c>
    </row>
    <row r="14955" customFormat="false" ht="12.8" hidden="false" customHeight="false" outlineLevel="0" collapsed="false">
      <c r="A14955" s="0" t="s">
        <v>12</v>
      </c>
      <c r="B14955" s="0" t="n">
        <v>4635342</v>
      </c>
      <c r="C14955" s="0" t="n">
        <v>4635362</v>
      </c>
      <c r="D14955" s="0" t="s">
        <v>49686</v>
      </c>
      <c r="E14955" s="0" t="s">
        <v>75</v>
      </c>
      <c r="F14955" s="0" t="s">
        <v>15</v>
      </c>
      <c r="G14955" s="0" t="s">
        <v>32</v>
      </c>
      <c r="H14955" s="0" t="n">
        <v>60</v>
      </c>
      <c r="I14955" s="0" t="s">
        <v>49693</v>
      </c>
      <c r="J14955" s="0" t="s">
        <v>49694</v>
      </c>
      <c r="K14955" s="0" t="s">
        <v>49695</v>
      </c>
      <c r="L14955" s="0" t="str">
        <f aca="false">HYPERLINK("https://www.ncbi.nlm.nih.gov/nuccore/CP000058.1?report=graph&amp;tracks=[key:gene_model_track,Options:GeneOnly]&amp;mk=4635295:4635314|offset_12|444444,4635317:4635336|offset_34|444444,4635343:4635362|offset_60|00cc00,4635414:4635433|offset_131|444444&amp;v=4635094:4635633&amp;c=444444", "offset 60")</f>
        <v>offset 60</v>
      </c>
    </row>
    <row r="14956" customFormat="false" ht="12.8" hidden="false" customHeight="false" outlineLevel="0" collapsed="false">
      <c r="A14956" s="0" t="s">
        <v>12</v>
      </c>
      <c r="B14956" s="0" t="n">
        <v>4635413</v>
      </c>
      <c r="C14956" s="0" t="n">
        <v>4635433</v>
      </c>
      <c r="D14956" s="0" t="s">
        <v>49686</v>
      </c>
      <c r="E14956" s="0" t="s">
        <v>75</v>
      </c>
      <c r="F14956" s="0" t="s">
        <v>15</v>
      </c>
      <c r="G14956" s="0" t="s">
        <v>20</v>
      </c>
      <c r="H14956" s="0" t="n">
        <v>131</v>
      </c>
      <c r="I14956" s="0" t="s">
        <v>49696</v>
      </c>
      <c r="J14956" s="0" t="s">
        <v>49697</v>
      </c>
      <c r="K14956" s="0" t="s">
        <v>49698</v>
      </c>
      <c r="L14956" s="0" t="str">
        <f aca="false">HYPERLINK("https://www.ncbi.nlm.nih.gov/nuccore/CP000058.1?report=graph&amp;tracks=[key:gene_model_track,Options:GeneOnly]&amp;mk=4635295:4635314|offset_12|444444,4635317:4635336|offset_34|444444,4635343:4635362|offset_60|444444,4635414:4635433|offset_131|00cc00&amp;v=4635094:4635633&amp;c=444444", "offset 131")</f>
        <v>offset 131</v>
      </c>
    </row>
    <row r="14957" customFormat="false" ht="12.8" hidden="false" customHeight="false" outlineLevel="0" collapsed="false">
      <c r="A14957" s="0" t="s">
        <v>12</v>
      </c>
      <c r="B14957" s="0" t="n">
        <v>4636360</v>
      </c>
      <c r="C14957" s="0" t="n">
        <v>4636380</v>
      </c>
      <c r="D14957" s="0" t="s">
        <v>49699</v>
      </c>
      <c r="E14957" s="0" t="s">
        <v>75</v>
      </c>
      <c r="F14957" s="0" t="s">
        <v>15</v>
      </c>
      <c r="G14957" s="0" t="s">
        <v>16</v>
      </c>
      <c r="H14957" s="0" t="n">
        <v>8</v>
      </c>
      <c r="I14957" s="0" t="s">
        <v>49700</v>
      </c>
      <c r="J14957" s="0" t="s">
        <v>49701</v>
      </c>
      <c r="K14957" s="0" t="s">
        <v>49702</v>
      </c>
      <c r="L14957" s="0" t="str">
        <f aca="false">HYPERLINK("https://www.ncbi.nlm.nih.gov/nuccore/CP000058.1?report=graph&amp;tracks=[key:gene_model_track,Options:GeneOnly]&amp;mk=4636361:4636380|offset_8|00cc00,4636426:4636445|offset_73|444444,4636453:4636472|offset_100|444444,4636493:4636512|offset_140|444444&amp;v=4636160:4636712&amp;c=444444", "offset 8")</f>
        <v>offset 8</v>
      </c>
    </row>
    <row r="14958" customFormat="false" ht="12.8" hidden="false" customHeight="false" outlineLevel="0" collapsed="false">
      <c r="A14958" s="0" t="s">
        <v>12</v>
      </c>
      <c r="B14958" s="0" t="n">
        <v>4636425</v>
      </c>
      <c r="C14958" s="0" t="n">
        <v>4636445</v>
      </c>
      <c r="D14958" s="0" t="s">
        <v>49699</v>
      </c>
      <c r="E14958" s="0" t="s">
        <v>75</v>
      </c>
      <c r="F14958" s="0" t="s">
        <v>15</v>
      </c>
      <c r="G14958" s="0" t="s">
        <v>16</v>
      </c>
      <c r="H14958" s="0" t="n">
        <v>73</v>
      </c>
      <c r="I14958" s="0" t="s">
        <v>49703</v>
      </c>
      <c r="J14958" s="0" t="s">
        <v>49704</v>
      </c>
      <c r="K14958" s="0" t="s">
        <v>49705</v>
      </c>
      <c r="L14958" s="0" t="str">
        <f aca="false">HYPERLINK("https://www.ncbi.nlm.nih.gov/nuccore/CP000058.1?report=graph&amp;tracks=[key:gene_model_track,Options:GeneOnly]&amp;mk=4636361:4636380|offset_8|444444,4636426:4636445|offset_73|00cc00,4636453:4636472|offset_100|444444,4636493:4636512|offset_140|444444&amp;v=4636160:4636712&amp;c=444444", "offset 73")</f>
        <v>offset 73</v>
      </c>
    </row>
    <row r="14959" customFormat="false" ht="12.8" hidden="false" customHeight="false" outlineLevel="0" collapsed="false">
      <c r="A14959" s="0" t="s">
        <v>12</v>
      </c>
      <c r="B14959" s="0" t="n">
        <v>4636452</v>
      </c>
      <c r="C14959" s="0" t="n">
        <v>4636472</v>
      </c>
      <c r="D14959" s="0" t="s">
        <v>49699</v>
      </c>
      <c r="E14959" s="0" t="s">
        <v>75</v>
      </c>
      <c r="F14959" s="0" t="s">
        <v>15</v>
      </c>
      <c r="G14959" s="0" t="s">
        <v>32</v>
      </c>
      <c r="H14959" s="0" t="n">
        <v>100</v>
      </c>
      <c r="I14959" s="0" t="s">
        <v>49706</v>
      </c>
      <c r="J14959" s="0" t="s">
        <v>49707</v>
      </c>
      <c r="K14959" s="0" t="s">
        <v>49708</v>
      </c>
      <c r="L14959" s="0" t="str">
        <f aca="false">HYPERLINK("https://www.ncbi.nlm.nih.gov/nuccore/CP000058.1?report=graph&amp;tracks=[key:gene_model_track,Options:GeneOnly]&amp;mk=4636361:4636380|offset_8|444444,4636426:4636445|offset_73|444444,4636453:4636472|offset_100|00cc00,4636493:4636512|offset_140|444444&amp;v=4636160:4636712&amp;c=444444", "offset 100")</f>
        <v>offset 100</v>
      </c>
    </row>
    <row r="14960" customFormat="false" ht="12.8" hidden="false" customHeight="false" outlineLevel="0" collapsed="false">
      <c r="A14960" s="0" t="s">
        <v>12</v>
      </c>
      <c r="B14960" s="0" t="n">
        <v>4636492</v>
      </c>
      <c r="C14960" s="0" t="n">
        <v>4636512</v>
      </c>
      <c r="D14960" s="0" t="s">
        <v>49699</v>
      </c>
      <c r="E14960" s="0" t="s">
        <v>75</v>
      </c>
      <c r="F14960" s="0" t="s">
        <v>15</v>
      </c>
      <c r="G14960" s="0" t="s">
        <v>16</v>
      </c>
      <c r="H14960" s="0" t="n">
        <v>140</v>
      </c>
      <c r="I14960" s="0" t="s">
        <v>49709</v>
      </c>
      <c r="J14960" s="0" t="s">
        <v>49710</v>
      </c>
      <c r="K14960" s="0" t="s">
        <v>49711</v>
      </c>
      <c r="L14960" s="0" t="str">
        <f aca="false">HYPERLINK("https://www.ncbi.nlm.nih.gov/nuccore/CP000058.1?report=graph&amp;tracks=[key:gene_model_track,Options:GeneOnly]&amp;mk=4636361:4636380|offset_8|444444,4636426:4636445|offset_73|444444,4636453:4636472|offset_100|444444,4636493:4636512|offset_140|00cc00&amp;v=4636160:4636712&amp;c=444444", "offset 140")</f>
        <v>offset 140</v>
      </c>
    </row>
    <row r="14961" customFormat="false" ht="12.8" hidden="false" customHeight="false" outlineLevel="0" collapsed="false">
      <c r="A14961" s="0" t="s">
        <v>12</v>
      </c>
      <c r="B14961" s="0" t="n">
        <v>4637684</v>
      </c>
      <c r="C14961" s="0" t="n">
        <v>4637704</v>
      </c>
      <c r="D14961" s="0" t="s">
        <v>49712</v>
      </c>
      <c r="E14961" s="0" t="s">
        <v>75</v>
      </c>
      <c r="F14961" s="0" t="s">
        <v>90</v>
      </c>
      <c r="G14961" s="0" t="s">
        <v>20</v>
      </c>
      <c r="H14961" s="0" t="n">
        <v>42</v>
      </c>
      <c r="I14961" s="0" t="s">
        <v>49713</v>
      </c>
      <c r="J14961" s="0" t="s">
        <v>49714</v>
      </c>
      <c r="K14961" s="0" t="s">
        <v>49715</v>
      </c>
      <c r="L14961" s="0" t="str">
        <f aca="false">HYPERLINK("https://www.ncbi.nlm.nih.gov/nuccore/CP000058.1?report=graph&amp;tracks=[key:gene_model_track,Options:GeneOnly]&amp;mk=4637685:4637704|offset_42|00cc00,4637665:4637684|offset_62|444444,4637640:4637659|offset_87|444444,4637603:4637622|offset_124|444444&amp;v=4637484:4637822&amp;c=444444", "offset 42")</f>
        <v>offset 42</v>
      </c>
    </row>
    <row r="14962" customFormat="false" ht="12.8" hidden="false" customHeight="false" outlineLevel="0" collapsed="false">
      <c r="A14962" s="0" t="s">
        <v>12</v>
      </c>
      <c r="B14962" s="0" t="n">
        <v>4637664</v>
      </c>
      <c r="C14962" s="0" t="n">
        <v>4637684</v>
      </c>
      <c r="D14962" s="0" t="s">
        <v>49712</v>
      </c>
      <c r="E14962" s="0" t="s">
        <v>75</v>
      </c>
      <c r="F14962" s="0" t="s">
        <v>90</v>
      </c>
      <c r="G14962" s="0" t="s">
        <v>20</v>
      </c>
      <c r="H14962" s="0" t="n">
        <v>62</v>
      </c>
      <c r="I14962" s="0" t="s">
        <v>49716</v>
      </c>
      <c r="J14962" s="0" t="s">
        <v>49717</v>
      </c>
      <c r="K14962" s="0" t="s">
        <v>49718</v>
      </c>
      <c r="L14962" s="0" t="str">
        <f aca="false">HYPERLINK("https://www.ncbi.nlm.nih.gov/nuccore/CP000058.1?report=graph&amp;tracks=[key:gene_model_track,Options:GeneOnly]&amp;mk=4637685:4637704|offset_42|444444,4637665:4637684|offset_62|00cc00,4637640:4637659|offset_87|444444,4637603:4637622|offset_124|444444&amp;v=4637484:4637822&amp;c=444444", "offset 62")</f>
        <v>offset 62</v>
      </c>
    </row>
    <row r="14963" customFormat="false" ht="12.8" hidden="false" customHeight="false" outlineLevel="0" collapsed="false">
      <c r="A14963" s="0" t="s">
        <v>12</v>
      </c>
      <c r="B14963" s="0" t="n">
        <v>4637639</v>
      </c>
      <c r="C14963" s="0" t="n">
        <v>4637659</v>
      </c>
      <c r="D14963" s="0" t="s">
        <v>49712</v>
      </c>
      <c r="E14963" s="0" t="s">
        <v>75</v>
      </c>
      <c r="F14963" s="0" t="s">
        <v>90</v>
      </c>
      <c r="G14963" s="0" t="s">
        <v>16</v>
      </c>
      <c r="H14963" s="0" t="n">
        <v>87</v>
      </c>
      <c r="I14963" s="0" t="s">
        <v>49719</v>
      </c>
      <c r="J14963" s="0" t="s">
        <v>49720</v>
      </c>
      <c r="K14963" s="0" t="s">
        <v>49721</v>
      </c>
      <c r="L14963" s="0" t="str">
        <f aca="false">HYPERLINK("https://www.ncbi.nlm.nih.gov/nuccore/CP000058.1?report=graph&amp;tracks=[key:gene_model_track,Options:GeneOnly]&amp;mk=4637685:4637704|offset_42|444444,4637665:4637684|offset_62|444444,4637640:4637659|offset_87|00cc00,4637603:4637622|offset_124|444444&amp;v=4637484:4637822&amp;c=444444", "offset 87")</f>
        <v>offset 87</v>
      </c>
    </row>
    <row r="14964" customFormat="false" ht="12.8" hidden="false" customHeight="false" outlineLevel="0" collapsed="false">
      <c r="A14964" s="0" t="s">
        <v>12</v>
      </c>
      <c r="B14964" s="0" t="n">
        <v>4637602</v>
      </c>
      <c r="C14964" s="0" t="n">
        <v>4637622</v>
      </c>
      <c r="D14964" s="0" t="s">
        <v>49712</v>
      </c>
      <c r="E14964" s="0" t="s">
        <v>75</v>
      </c>
      <c r="F14964" s="0" t="s">
        <v>90</v>
      </c>
      <c r="G14964" s="0" t="s">
        <v>32</v>
      </c>
      <c r="H14964" s="0" t="n">
        <v>124</v>
      </c>
      <c r="I14964" s="0" t="s">
        <v>49722</v>
      </c>
      <c r="J14964" s="0" t="s">
        <v>49723</v>
      </c>
      <c r="K14964" s="0" t="s">
        <v>49724</v>
      </c>
      <c r="L14964" s="0" t="str">
        <f aca="false">HYPERLINK("https://www.ncbi.nlm.nih.gov/nuccore/CP000058.1?report=graph&amp;tracks=[key:gene_model_track,Options:GeneOnly]&amp;mk=4637685:4637704|offset_42|444444,4637665:4637684|offset_62|444444,4637640:4637659|offset_87|444444,4637603:4637622|offset_124|00cc00&amp;v=4637484:4637822&amp;c=444444", "offset 124")</f>
        <v>offset 124</v>
      </c>
    </row>
    <row r="14965" customFormat="false" ht="12.8" hidden="false" customHeight="false" outlineLevel="0" collapsed="false">
      <c r="A14965" s="0" t="s">
        <v>12</v>
      </c>
      <c r="B14965" s="0" t="n">
        <v>4637916</v>
      </c>
      <c r="C14965" s="0" t="n">
        <v>4637936</v>
      </c>
      <c r="D14965" s="0" t="s">
        <v>49725</v>
      </c>
      <c r="E14965" s="0" t="s">
        <v>75</v>
      </c>
      <c r="F14965" s="0" t="s">
        <v>15</v>
      </c>
      <c r="G14965" s="0" t="s">
        <v>20</v>
      </c>
      <c r="H14965" s="0" t="n">
        <v>6</v>
      </c>
      <c r="I14965" s="0" t="s">
        <v>49726</v>
      </c>
      <c r="J14965" s="0" t="s">
        <v>49727</v>
      </c>
      <c r="K14965" s="0" t="s">
        <v>49728</v>
      </c>
      <c r="L14965" s="0" t="str">
        <f aca="false">HYPERLINK("https://www.ncbi.nlm.nih.gov/nuccore/CP000058.1?report=graph&amp;tracks=[key:gene_model_track,Options:GeneOnly]&amp;mk=4637917:4637936|offset_6|00cc00,4637945:4637964|offset_34|444444,4637973:4637992|offset_62|444444,4637993:4638012|offset_82|444444&amp;v=4637716:4638212&amp;c=444444", "offset 6")</f>
        <v>offset 6</v>
      </c>
    </row>
    <row r="14966" customFormat="false" ht="12.8" hidden="false" customHeight="false" outlineLevel="0" collapsed="false">
      <c r="A14966" s="0" t="s">
        <v>12</v>
      </c>
      <c r="B14966" s="0" t="n">
        <v>4637944</v>
      </c>
      <c r="C14966" s="0" t="n">
        <v>4637964</v>
      </c>
      <c r="D14966" s="0" t="s">
        <v>49725</v>
      </c>
      <c r="E14966" s="0" t="s">
        <v>75</v>
      </c>
      <c r="F14966" s="0" t="s">
        <v>15</v>
      </c>
      <c r="G14966" s="0" t="s">
        <v>36</v>
      </c>
      <c r="H14966" s="0" t="n">
        <v>34</v>
      </c>
      <c r="I14966" s="0" t="s">
        <v>49729</v>
      </c>
      <c r="J14966" s="0" t="s">
        <v>49730</v>
      </c>
      <c r="K14966" s="0" t="s">
        <v>49731</v>
      </c>
      <c r="L14966" s="0" t="str">
        <f aca="false">HYPERLINK("https://www.ncbi.nlm.nih.gov/nuccore/CP000058.1?report=graph&amp;tracks=[key:gene_model_track,Options:GeneOnly]&amp;mk=4637917:4637936|offset_6|444444,4637945:4637964|offset_34|00cc00,4637973:4637992|offset_62|444444,4637993:4638012|offset_82|444444&amp;v=4637716:4638212&amp;c=444444", "offset 34")</f>
        <v>offset 34</v>
      </c>
    </row>
    <row r="14967" customFormat="false" ht="12.8" hidden="false" customHeight="false" outlineLevel="0" collapsed="false">
      <c r="A14967" s="0" t="s">
        <v>12</v>
      </c>
      <c r="B14967" s="0" t="n">
        <v>4637972</v>
      </c>
      <c r="C14967" s="0" t="n">
        <v>4637992</v>
      </c>
      <c r="D14967" s="0" t="s">
        <v>49725</v>
      </c>
      <c r="E14967" s="0" t="s">
        <v>75</v>
      </c>
      <c r="F14967" s="0" t="s">
        <v>15</v>
      </c>
      <c r="G14967" s="0" t="s">
        <v>20</v>
      </c>
      <c r="H14967" s="0" t="n">
        <v>62</v>
      </c>
      <c r="I14967" s="0" t="s">
        <v>49732</v>
      </c>
      <c r="J14967" s="0" t="s">
        <v>49733</v>
      </c>
      <c r="K14967" s="0" t="s">
        <v>49734</v>
      </c>
      <c r="L14967" s="0" t="str">
        <f aca="false">HYPERLINK("https://www.ncbi.nlm.nih.gov/nuccore/CP000058.1?report=graph&amp;tracks=[key:gene_model_track,Options:GeneOnly]&amp;mk=4637917:4637936|offset_6|444444,4637945:4637964|offset_34|444444,4637973:4637992|offset_62|00cc00,4637993:4638012|offset_82|444444&amp;v=4637716:4638212&amp;c=444444", "offset 62")</f>
        <v>offset 62</v>
      </c>
    </row>
    <row r="14968" customFormat="false" ht="12.8" hidden="false" customHeight="false" outlineLevel="0" collapsed="false">
      <c r="A14968" s="0" t="s">
        <v>12</v>
      </c>
      <c r="B14968" s="0" t="n">
        <v>4637992</v>
      </c>
      <c r="C14968" s="0" t="n">
        <v>4638012</v>
      </c>
      <c r="D14968" s="0" t="s">
        <v>49725</v>
      </c>
      <c r="E14968" s="0" t="s">
        <v>75</v>
      </c>
      <c r="F14968" s="0" t="s">
        <v>15</v>
      </c>
      <c r="G14968" s="0" t="s">
        <v>36</v>
      </c>
      <c r="H14968" s="0" t="n">
        <v>82</v>
      </c>
      <c r="I14968" s="0" t="s">
        <v>49735</v>
      </c>
      <c r="J14968" s="0" t="s">
        <v>49736</v>
      </c>
      <c r="K14968" s="0" t="s">
        <v>49737</v>
      </c>
      <c r="L14968" s="0" t="str">
        <f aca="false">HYPERLINK("https://www.ncbi.nlm.nih.gov/nuccore/CP000058.1?report=graph&amp;tracks=[key:gene_model_track,Options:GeneOnly]&amp;mk=4637917:4637936|offset_6|444444,4637945:4637964|offset_34|444444,4637973:4637992|offset_62|444444,4637993:4638012|offset_82|00cc00&amp;v=4637716:4638212&amp;c=444444", "offset 82")</f>
        <v>offset 82</v>
      </c>
    </row>
    <row r="14969" customFormat="false" ht="12.8" hidden="false" customHeight="false" outlineLevel="0" collapsed="false">
      <c r="A14969" s="0" t="s">
        <v>12</v>
      </c>
      <c r="B14969" s="0" t="n">
        <v>4638253</v>
      </c>
      <c r="C14969" s="0" t="n">
        <v>4638273</v>
      </c>
      <c r="D14969" s="0" t="s">
        <v>49738</v>
      </c>
      <c r="E14969" s="0" t="s">
        <v>75</v>
      </c>
      <c r="F14969" s="0" t="s">
        <v>15</v>
      </c>
      <c r="G14969" s="0" t="s">
        <v>36</v>
      </c>
      <c r="H14969" s="0" t="n">
        <v>0</v>
      </c>
      <c r="I14969" s="0" t="s">
        <v>49739</v>
      </c>
      <c r="J14969" s="0" t="s">
        <v>49740</v>
      </c>
      <c r="K14969" s="0" t="s">
        <v>49741</v>
      </c>
      <c r="L14969" s="0" t="str">
        <f aca="false">HYPERLINK("https://www.ncbi.nlm.nih.gov/nuccore/CP000058.1?report=graph&amp;tracks=[key:gene_model_track,Options:GeneOnly]&amp;mk=4638254:4638273|offset_0|00cc00,4638282:4638301|offset_28|444444,4638306:4638325|offset_52|444444,4638328:4638347|offset_74|444444&amp;v=4638053:4638547&amp;c=444444", "offset 0")</f>
        <v>offset 0</v>
      </c>
    </row>
    <row r="14970" customFormat="false" ht="12.8" hidden="false" customHeight="false" outlineLevel="0" collapsed="false">
      <c r="A14970" s="0" t="s">
        <v>12</v>
      </c>
      <c r="B14970" s="0" t="n">
        <v>4638281</v>
      </c>
      <c r="C14970" s="0" t="n">
        <v>4638301</v>
      </c>
      <c r="D14970" s="0" t="s">
        <v>49738</v>
      </c>
      <c r="E14970" s="0" t="s">
        <v>75</v>
      </c>
      <c r="F14970" s="0" t="s">
        <v>15</v>
      </c>
      <c r="G14970" s="0" t="s">
        <v>36</v>
      </c>
      <c r="H14970" s="0" t="n">
        <v>28</v>
      </c>
      <c r="I14970" s="0" t="s">
        <v>49742</v>
      </c>
      <c r="J14970" s="0" t="s">
        <v>49743</v>
      </c>
      <c r="K14970" s="0" t="s">
        <v>49744</v>
      </c>
      <c r="L14970" s="0" t="str">
        <f aca="false">HYPERLINK("https://www.ncbi.nlm.nih.gov/nuccore/CP000058.1?report=graph&amp;tracks=[key:gene_model_track,Options:GeneOnly]&amp;mk=4638254:4638273|offset_0|444444,4638282:4638301|offset_28|00cc00,4638306:4638325|offset_52|444444,4638328:4638347|offset_74|444444&amp;v=4638053:4638547&amp;c=444444", "offset 28")</f>
        <v>offset 28</v>
      </c>
    </row>
    <row r="14971" customFormat="false" ht="12.8" hidden="false" customHeight="false" outlineLevel="0" collapsed="false">
      <c r="A14971" s="0" t="s">
        <v>12</v>
      </c>
      <c r="B14971" s="0" t="n">
        <v>4638305</v>
      </c>
      <c r="C14971" s="0" t="n">
        <v>4638325</v>
      </c>
      <c r="D14971" s="0" t="s">
        <v>49738</v>
      </c>
      <c r="E14971" s="0" t="s">
        <v>75</v>
      </c>
      <c r="F14971" s="0" t="s">
        <v>15</v>
      </c>
      <c r="G14971" s="0" t="s">
        <v>32</v>
      </c>
      <c r="H14971" s="0" t="n">
        <v>52</v>
      </c>
      <c r="I14971" s="0" t="s">
        <v>49745</v>
      </c>
      <c r="J14971" s="0" t="s">
        <v>49746</v>
      </c>
      <c r="K14971" s="0" t="s">
        <v>49747</v>
      </c>
      <c r="L14971" s="0" t="str">
        <f aca="false">HYPERLINK("https://www.ncbi.nlm.nih.gov/nuccore/CP000058.1?report=graph&amp;tracks=[key:gene_model_track,Options:GeneOnly]&amp;mk=4638254:4638273|offset_0|444444,4638282:4638301|offset_28|444444,4638306:4638325|offset_52|00cc00,4638328:4638347|offset_74|444444&amp;v=4638053:4638547&amp;c=444444", "offset 52")</f>
        <v>offset 52</v>
      </c>
    </row>
    <row r="14972" customFormat="false" ht="12.8" hidden="false" customHeight="false" outlineLevel="0" collapsed="false">
      <c r="A14972" s="0" t="s">
        <v>12</v>
      </c>
      <c r="B14972" s="0" t="n">
        <v>4638327</v>
      </c>
      <c r="C14972" s="0" t="n">
        <v>4638347</v>
      </c>
      <c r="D14972" s="0" t="s">
        <v>49738</v>
      </c>
      <c r="E14972" s="0" t="s">
        <v>75</v>
      </c>
      <c r="F14972" s="0" t="s">
        <v>15</v>
      </c>
      <c r="G14972" s="0" t="s">
        <v>20</v>
      </c>
      <c r="H14972" s="0" t="n">
        <v>74</v>
      </c>
      <c r="I14972" s="0" t="s">
        <v>49748</v>
      </c>
      <c r="J14972" s="0" t="s">
        <v>49749</v>
      </c>
      <c r="K14972" s="0" t="s">
        <v>49750</v>
      </c>
      <c r="L14972" s="0" t="str">
        <f aca="false">HYPERLINK("https://www.ncbi.nlm.nih.gov/nuccore/CP000058.1?report=graph&amp;tracks=[key:gene_model_track,Options:GeneOnly]&amp;mk=4638254:4638273|offset_0|444444,4638282:4638301|offset_28|444444,4638306:4638325|offset_52|444444,4638328:4638347|offset_74|00cc00&amp;v=4638053:4638547&amp;c=444444", "offset 74")</f>
        <v>offset 74</v>
      </c>
    </row>
    <row r="14973" customFormat="false" ht="12.8" hidden="false" customHeight="false" outlineLevel="0" collapsed="false">
      <c r="A14973" s="0" t="s">
        <v>12</v>
      </c>
      <c r="B14973" s="0" t="n">
        <v>4639461</v>
      </c>
      <c r="C14973" s="0" t="n">
        <v>4639481</v>
      </c>
      <c r="D14973" s="0" t="s">
        <v>49751</v>
      </c>
      <c r="E14973" s="0" t="s">
        <v>49752</v>
      </c>
      <c r="F14973" s="0" t="s">
        <v>15</v>
      </c>
      <c r="G14973" s="0" t="s">
        <v>36</v>
      </c>
      <c r="H14973" s="0" t="n">
        <v>20</v>
      </c>
      <c r="I14973" s="0" t="s">
        <v>49753</v>
      </c>
      <c r="J14973" s="0" t="s">
        <v>49754</v>
      </c>
      <c r="K14973" s="0" t="s">
        <v>49755</v>
      </c>
      <c r="L14973" s="0" t="str">
        <f aca="false">HYPERLINK("https://www.ncbi.nlm.nih.gov/nuccore/CP000058.1?report=graph&amp;tracks=[key:gene_model_track,Options:GeneOnly]&amp;mk=4639462:4639481|offset_20|00cc00,4639490:4639509|offset_48|444444,4639511:4639530|offset_69|444444,4639547:4639566|offset_105|444444&amp;v=4639261:4639766&amp;c=444444", "offset 20")</f>
        <v>offset 20</v>
      </c>
    </row>
    <row r="14974" customFormat="false" ht="12.8" hidden="false" customHeight="false" outlineLevel="0" collapsed="false">
      <c r="A14974" s="0" t="s">
        <v>12</v>
      </c>
      <c r="B14974" s="0" t="n">
        <v>4639489</v>
      </c>
      <c r="C14974" s="0" t="n">
        <v>4639509</v>
      </c>
      <c r="D14974" s="0" t="s">
        <v>49751</v>
      </c>
      <c r="E14974" s="0" t="s">
        <v>49752</v>
      </c>
      <c r="F14974" s="0" t="s">
        <v>15</v>
      </c>
      <c r="G14974" s="0" t="s">
        <v>32</v>
      </c>
      <c r="H14974" s="0" t="n">
        <v>48</v>
      </c>
      <c r="I14974" s="0" t="s">
        <v>49756</v>
      </c>
      <c r="J14974" s="0" t="s">
        <v>49757</v>
      </c>
      <c r="K14974" s="0" t="s">
        <v>49758</v>
      </c>
      <c r="L14974" s="0" t="str">
        <f aca="false">HYPERLINK("https://www.ncbi.nlm.nih.gov/nuccore/CP000058.1?report=graph&amp;tracks=[key:gene_model_track,Options:GeneOnly]&amp;mk=4639462:4639481|offset_20|444444,4639490:4639509|offset_48|00cc00,4639511:4639530|offset_69|444444,4639547:4639566|offset_105|444444&amp;v=4639261:4639766&amp;c=444444", "offset 48")</f>
        <v>offset 48</v>
      </c>
    </row>
    <row r="14975" customFormat="false" ht="12.8" hidden="false" customHeight="false" outlineLevel="0" collapsed="false">
      <c r="A14975" s="0" t="s">
        <v>12</v>
      </c>
      <c r="B14975" s="0" t="n">
        <v>4639510</v>
      </c>
      <c r="C14975" s="0" t="n">
        <v>4639530</v>
      </c>
      <c r="D14975" s="0" t="s">
        <v>49751</v>
      </c>
      <c r="E14975" s="0" t="s">
        <v>49752</v>
      </c>
      <c r="F14975" s="0" t="s">
        <v>15</v>
      </c>
      <c r="G14975" s="0" t="s">
        <v>32</v>
      </c>
      <c r="H14975" s="0" t="n">
        <v>69</v>
      </c>
      <c r="I14975" s="0" t="s">
        <v>49759</v>
      </c>
      <c r="J14975" s="0" t="s">
        <v>49760</v>
      </c>
      <c r="K14975" s="0" t="s">
        <v>49761</v>
      </c>
      <c r="L14975" s="0" t="str">
        <f aca="false">HYPERLINK("https://www.ncbi.nlm.nih.gov/nuccore/CP000058.1?report=graph&amp;tracks=[key:gene_model_track,Options:GeneOnly]&amp;mk=4639462:4639481|offset_20|444444,4639490:4639509|offset_48|444444,4639511:4639530|offset_69|00cc00,4639547:4639566|offset_105|444444&amp;v=4639261:4639766&amp;c=444444", "offset 69")</f>
        <v>offset 69</v>
      </c>
    </row>
    <row r="14976" customFormat="false" ht="12.8" hidden="false" customHeight="false" outlineLevel="0" collapsed="false">
      <c r="A14976" s="0" t="s">
        <v>12</v>
      </c>
      <c r="B14976" s="0" t="n">
        <v>4639546</v>
      </c>
      <c r="C14976" s="0" t="n">
        <v>4639566</v>
      </c>
      <c r="D14976" s="0" t="s">
        <v>49751</v>
      </c>
      <c r="E14976" s="0" t="s">
        <v>49752</v>
      </c>
      <c r="F14976" s="0" t="s">
        <v>15</v>
      </c>
      <c r="G14976" s="0" t="s">
        <v>36</v>
      </c>
      <c r="H14976" s="0" t="n">
        <v>105</v>
      </c>
      <c r="I14976" s="0" t="s">
        <v>49762</v>
      </c>
      <c r="J14976" s="0" t="s">
        <v>49763</v>
      </c>
      <c r="K14976" s="0" t="s">
        <v>49764</v>
      </c>
      <c r="L14976" s="0" t="str">
        <f aca="false">HYPERLINK("https://www.ncbi.nlm.nih.gov/nuccore/CP000058.1?report=graph&amp;tracks=[key:gene_model_track,Options:GeneOnly]&amp;mk=4639462:4639481|offset_20|444444,4639490:4639509|offset_48|444444,4639511:4639530|offset_69|444444,4639547:4639566|offset_105|00cc00&amp;v=4639261:4639766&amp;c=444444", "offset 105")</f>
        <v>offset 105</v>
      </c>
    </row>
    <row r="14977" customFormat="false" ht="12.8" hidden="false" customHeight="false" outlineLevel="0" collapsed="false">
      <c r="A14977" s="0" t="s">
        <v>12</v>
      </c>
      <c r="B14977" s="0" t="n">
        <v>4641252</v>
      </c>
      <c r="C14977" s="0" t="n">
        <v>4641272</v>
      </c>
      <c r="D14977" s="0" t="s">
        <v>49765</v>
      </c>
      <c r="E14977" s="0" t="s">
        <v>75</v>
      </c>
      <c r="F14977" s="0" t="s">
        <v>90</v>
      </c>
      <c r="G14977" s="0" t="s">
        <v>16</v>
      </c>
      <c r="H14977" s="0" t="n">
        <v>28</v>
      </c>
      <c r="I14977" s="0" t="s">
        <v>49766</v>
      </c>
      <c r="J14977" s="0" t="s">
        <v>49767</v>
      </c>
      <c r="K14977" s="0" t="s">
        <v>49768</v>
      </c>
      <c r="L14977" s="0" t="str">
        <f aca="false">HYPERLINK("https://www.ncbi.nlm.nih.gov/nuccore/CP000058.1?report=graph&amp;tracks=[key:gene_model_track,Options:GeneOnly]&amp;mk=4641253:4641272|offset_28|00cc00,4641232:4641251|offset_49|444444,4641201:4641220|offset_80|444444,4641181:4641200|offset_100|444444&amp;v=4641052:4641400&amp;c=444444", "offset 28")</f>
        <v>offset 28</v>
      </c>
    </row>
    <row r="14978" customFormat="false" ht="12.8" hidden="false" customHeight="false" outlineLevel="0" collapsed="false">
      <c r="A14978" s="0" t="s">
        <v>12</v>
      </c>
      <c r="B14978" s="0" t="n">
        <v>4641231</v>
      </c>
      <c r="C14978" s="0" t="n">
        <v>4641251</v>
      </c>
      <c r="D14978" s="0" t="s">
        <v>49765</v>
      </c>
      <c r="E14978" s="0" t="s">
        <v>75</v>
      </c>
      <c r="F14978" s="0" t="s">
        <v>90</v>
      </c>
      <c r="G14978" s="0" t="s">
        <v>16</v>
      </c>
      <c r="H14978" s="0" t="n">
        <v>49</v>
      </c>
      <c r="I14978" s="0" t="s">
        <v>49769</v>
      </c>
      <c r="J14978" s="0" t="s">
        <v>49770</v>
      </c>
      <c r="K14978" s="0" t="s">
        <v>49771</v>
      </c>
      <c r="L14978" s="0" t="str">
        <f aca="false">HYPERLINK("https://www.ncbi.nlm.nih.gov/nuccore/CP000058.1?report=graph&amp;tracks=[key:gene_model_track,Options:GeneOnly]&amp;mk=4641253:4641272|offset_28|444444,4641232:4641251|offset_49|00cc00,4641201:4641220|offset_80|444444,4641181:4641200|offset_100|444444&amp;v=4641052:4641400&amp;c=444444", "offset 49")</f>
        <v>offset 49</v>
      </c>
    </row>
    <row r="14979" customFormat="false" ht="12.8" hidden="false" customHeight="false" outlineLevel="0" collapsed="false">
      <c r="A14979" s="0" t="s">
        <v>12</v>
      </c>
      <c r="B14979" s="0" t="n">
        <v>4641200</v>
      </c>
      <c r="C14979" s="0" t="n">
        <v>4641220</v>
      </c>
      <c r="D14979" s="0" t="s">
        <v>49765</v>
      </c>
      <c r="E14979" s="0" t="s">
        <v>75</v>
      </c>
      <c r="F14979" s="0" t="s">
        <v>90</v>
      </c>
      <c r="G14979" s="0" t="s">
        <v>32</v>
      </c>
      <c r="H14979" s="0" t="n">
        <v>80</v>
      </c>
      <c r="I14979" s="0" t="s">
        <v>49772</v>
      </c>
      <c r="J14979" s="0" t="s">
        <v>49773</v>
      </c>
      <c r="K14979" s="0" t="s">
        <v>49774</v>
      </c>
      <c r="L14979" s="0" t="str">
        <f aca="false">HYPERLINK("https://www.ncbi.nlm.nih.gov/nuccore/CP000058.1?report=graph&amp;tracks=[key:gene_model_track,Options:GeneOnly]&amp;mk=4641253:4641272|offset_28|444444,4641232:4641251|offset_49|444444,4641201:4641220|offset_80|00cc00,4641181:4641200|offset_100|444444&amp;v=4641052:4641400&amp;c=444444", "offset 80")</f>
        <v>offset 80</v>
      </c>
    </row>
    <row r="14980" customFormat="false" ht="12.8" hidden="false" customHeight="false" outlineLevel="0" collapsed="false">
      <c r="A14980" s="0" t="s">
        <v>12</v>
      </c>
      <c r="B14980" s="0" t="n">
        <v>4641180</v>
      </c>
      <c r="C14980" s="0" t="n">
        <v>4641200</v>
      </c>
      <c r="D14980" s="0" t="s">
        <v>49765</v>
      </c>
      <c r="E14980" s="0" t="s">
        <v>75</v>
      </c>
      <c r="F14980" s="0" t="s">
        <v>90</v>
      </c>
      <c r="G14980" s="0" t="s">
        <v>32</v>
      </c>
      <c r="H14980" s="0" t="n">
        <v>100</v>
      </c>
      <c r="I14980" s="0" t="s">
        <v>49775</v>
      </c>
      <c r="J14980" s="0" t="s">
        <v>49776</v>
      </c>
      <c r="K14980" s="0" t="s">
        <v>49777</v>
      </c>
      <c r="L14980" s="0" t="str">
        <f aca="false">HYPERLINK("https://www.ncbi.nlm.nih.gov/nuccore/CP000058.1?report=graph&amp;tracks=[key:gene_model_track,Options:GeneOnly]&amp;mk=4641253:4641272|offset_28|444444,4641232:4641251|offset_49|444444,4641201:4641220|offset_80|444444,4641181:4641200|offset_100|00cc00&amp;v=4641052:4641400&amp;c=444444", "offset 100")</f>
        <v>offset 100</v>
      </c>
    </row>
    <row r="14981" customFormat="false" ht="12.8" hidden="false" customHeight="false" outlineLevel="0" collapsed="false">
      <c r="A14981" s="0" t="s">
        <v>12</v>
      </c>
      <c r="B14981" s="0" t="n">
        <v>4642263</v>
      </c>
      <c r="C14981" s="0" t="n">
        <v>4642283</v>
      </c>
      <c r="D14981" s="0" t="s">
        <v>49778</v>
      </c>
      <c r="E14981" s="0" t="s">
        <v>75</v>
      </c>
      <c r="F14981" s="0" t="s">
        <v>90</v>
      </c>
      <c r="G14981" s="0" t="s">
        <v>32</v>
      </c>
      <c r="H14981" s="0" t="n">
        <v>15</v>
      </c>
      <c r="I14981" s="0" t="s">
        <v>49779</v>
      </c>
      <c r="J14981" s="0" t="s">
        <v>49780</v>
      </c>
      <c r="K14981" s="0" t="s">
        <v>49781</v>
      </c>
      <c r="L14981" s="0" t="str">
        <f aca="false">HYPERLINK("https://www.ncbi.nlm.nih.gov/nuccore/CP000058.1?report=graph&amp;tracks=[key:gene_model_track,Options:GeneOnly]&amp;mk=4642264:4642283|offset_15|00cc00,4642240:4642259|offset_39|444444,4642176:4642195|offset_103|444444,4642153:4642172|offset_126|444444&amp;v=4642063:4642372&amp;c=444444", "offset 15")</f>
        <v>offset 15</v>
      </c>
    </row>
    <row r="14982" customFormat="false" ht="12.8" hidden="false" customHeight="false" outlineLevel="0" collapsed="false">
      <c r="A14982" s="0" t="s">
        <v>12</v>
      </c>
      <c r="B14982" s="0" t="n">
        <v>4642239</v>
      </c>
      <c r="C14982" s="0" t="n">
        <v>4642259</v>
      </c>
      <c r="D14982" s="0" t="s">
        <v>49778</v>
      </c>
      <c r="E14982" s="0" t="s">
        <v>75</v>
      </c>
      <c r="F14982" s="0" t="s">
        <v>90</v>
      </c>
      <c r="G14982" s="0" t="s">
        <v>36</v>
      </c>
      <c r="H14982" s="0" t="n">
        <v>39</v>
      </c>
      <c r="I14982" s="0" t="s">
        <v>49782</v>
      </c>
      <c r="J14982" s="0" t="s">
        <v>49783</v>
      </c>
      <c r="K14982" s="0" t="s">
        <v>49784</v>
      </c>
      <c r="L14982" s="0" t="str">
        <f aca="false">HYPERLINK("https://www.ncbi.nlm.nih.gov/nuccore/CP000058.1?report=graph&amp;tracks=[key:gene_model_track,Options:GeneOnly]&amp;mk=4642264:4642283|offset_15|444444,4642240:4642259|offset_39|00cc00,4642176:4642195|offset_103|444444,4642153:4642172|offset_126|444444&amp;v=4642063:4642372&amp;c=444444", "offset 39")</f>
        <v>offset 39</v>
      </c>
    </row>
    <row r="14983" customFormat="false" ht="12.8" hidden="false" customHeight="false" outlineLevel="0" collapsed="false">
      <c r="A14983" s="0" t="s">
        <v>12</v>
      </c>
      <c r="B14983" s="0" t="n">
        <v>4642175</v>
      </c>
      <c r="C14983" s="0" t="n">
        <v>4642195</v>
      </c>
      <c r="D14983" s="0" t="s">
        <v>49778</v>
      </c>
      <c r="E14983" s="0" t="s">
        <v>75</v>
      </c>
      <c r="F14983" s="0" t="s">
        <v>90</v>
      </c>
      <c r="G14983" s="0" t="s">
        <v>32</v>
      </c>
      <c r="H14983" s="0" t="n">
        <v>103</v>
      </c>
      <c r="I14983" s="0" t="s">
        <v>49785</v>
      </c>
      <c r="J14983" s="0" t="s">
        <v>49786</v>
      </c>
      <c r="K14983" s="0" t="s">
        <v>49787</v>
      </c>
      <c r="L14983" s="0" t="str">
        <f aca="false">HYPERLINK("https://www.ncbi.nlm.nih.gov/nuccore/CP000058.1?report=graph&amp;tracks=[key:gene_model_track,Options:GeneOnly]&amp;mk=4642264:4642283|offset_15|444444,4642240:4642259|offset_39|444444,4642176:4642195|offset_103|00cc00,4642153:4642172|offset_126|444444&amp;v=4642063:4642372&amp;c=444444", "offset 103")</f>
        <v>offset 103</v>
      </c>
    </row>
    <row r="14984" customFormat="false" ht="12.8" hidden="false" customHeight="false" outlineLevel="0" collapsed="false">
      <c r="A14984" s="0" t="s">
        <v>12</v>
      </c>
      <c r="B14984" s="0" t="n">
        <v>4642152</v>
      </c>
      <c r="C14984" s="0" t="n">
        <v>4642172</v>
      </c>
      <c r="D14984" s="0" t="s">
        <v>49778</v>
      </c>
      <c r="E14984" s="0" t="s">
        <v>75</v>
      </c>
      <c r="F14984" s="0" t="s">
        <v>90</v>
      </c>
      <c r="G14984" s="0" t="s">
        <v>16</v>
      </c>
      <c r="H14984" s="0" t="n">
        <v>126</v>
      </c>
      <c r="I14984" s="0" t="s">
        <v>49788</v>
      </c>
      <c r="J14984" s="0" t="s">
        <v>49789</v>
      </c>
      <c r="K14984" s="0" t="s">
        <v>49790</v>
      </c>
      <c r="L14984" s="0" t="str">
        <f aca="false">HYPERLINK("https://www.ncbi.nlm.nih.gov/nuccore/CP000058.1?report=graph&amp;tracks=[key:gene_model_track,Options:GeneOnly]&amp;mk=4642264:4642283|offset_15|444444,4642240:4642259|offset_39|444444,4642176:4642195|offset_103|444444,4642153:4642172|offset_126|00cc00&amp;v=4642063:4642372&amp;c=444444", "offset 126")</f>
        <v>offset 126</v>
      </c>
    </row>
    <row r="14985" customFormat="false" ht="12.8" hidden="false" customHeight="false" outlineLevel="0" collapsed="false">
      <c r="A14985" s="0" t="s">
        <v>12</v>
      </c>
      <c r="B14985" s="0" t="n">
        <v>4643336</v>
      </c>
      <c r="C14985" s="0" t="n">
        <v>4643356</v>
      </c>
      <c r="D14985" s="0" t="s">
        <v>49791</v>
      </c>
      <c r="E14985" s="0" t="s">
        <v>75</v>
      </c>
      <c r="F14985" s="0" t="s">
        <v>90</v>
      </c>
      <c r="G14985" s="0" t="s">
        <v>16</v>
      </c>
      <c r="H14985" s="0" t="n">
        <v>19</v>
      </c>
      <c r="I14985" s="0" t="s">
        <v>49792</v>
      </c>
      <c r="J14985" s="0" t="s">
        <v>49793</v>
      </c>
      <c r="K14985" s="0" t="s">
        <v>49794</v>
      </c>
      <c r="L14985" s="0" t="str">
        <f aca="false">HYPERLINK("https://www.ncbi.nlm.nih.gov/nuccore/CP000058.1?report=graph&amp;tracks=[key:gene_model_track,Options:GeneOnly]&amp;mk=4643337:4643356|offset_19|00cc00,4643295:4643314|offset_61|444444,4643261:4643280|offset_95|444444,4643237:4643256|offset_119|444444&amp;v=4643136:4643456&amp;c=444444", "offset 19")</f>
        <v>offset 19</v>
      </c>
    </row>
    <row r="14986" customFormat="false" ht="12.8" hidden="false" customHeight="false" outlineLevel="0" collapsed="false">
      <c r="A14986" s="0" t="s">
        <v>12</v>
      </c>
      <c r="B14986" s="0" t="n">
        <v>4643294</v>
      </c>
      <c r="C14986" s="0" t="n">
        <v>4643314</v>
      </c>
      <c r="D14986" s="0" t="s">
        <v>49791</v>
      </c>
      <c r="E14986" s="0" t="s">
        <v>75</v>
      </c>
      <c r="F14986" s="0" t="s">
        <v>90</v>
      </c>
      <c r="G14986" s="0" t="s">
        <v>36</v>
      </c>
      <c r="H14986" s="0" t="n">
        <v>61</v>
      </c>
      <c r="I14986" s="0" t="s">
        <v>49795</v>
      </c>
      <c r="J14986" s="0" t="s">
        <v>49796</v>
      </c>
      <c r="K14986" s="0" t="s">
        <v>49797</v>
      </c>
      <c r="L14986" s="0" t="str">
        <f aca="false">HYPERLINK("https://www.ncbi.nlm.nih.gov/nuccore/CP000058.1?report=graph&amp;tracks=[key:gene_model_track,Options:GeneOnly]&amp;mk=4643337:4643356|offset_19|444444,4643295:4643314|offset_61|00cc00,4643261:4643280|offset_95|444444,4643237:4643256|offset_119|444444&amp;v=4643136:4643456&amp;c=444444", "offset 61")</f>
        <v>offset 61</v>
      </c>
    </row>
    <row r="14987" customFormat="false" ht="12.8" hidden="false" customHeight="false" outlineLevel="0" collapsed="false">
      <c r="A14987" s="0" t="s">
        <v>12</v>
      </c>
      <c r="B14987" s="0" t="n">
        <v>4643260</v>
      </c>
      <c r="C14987" s="0" t="n">
        <v>4643280</v>
      </c>
      <c r="D14987" s="0" t="s">
        <v>49791</v>
      </c>
      <c r="E14987" s="0" t="s">
        <v>75</v>
      </c>
      <c r="F14987" s="0" t="s">
        <v>90</v>
      </c>
      <c r="G14987" s="0" t="s">
        <v>16</v>
      </c>
      <c r="H14987" s="0" t="n">
        <v>95</v>
      </c>
      <c r="I14987" s="0" t="s">
        <v>49798</v>
      </c>
      <c r="J14987" s="0" t="s">
        <v>49799</v>
      </c>
      <c r="K14987" s="0" t="s">
        <v>49800</v>
      </c>
      <c r="L14987" s="0" t="str">
        <f aca="false">HYPERLINK("https://www.ncbi.nlm.nih.gov/nuccore/CP000058.1?report=graph&amp;tracks=[key:gene_model_track,Options:GeneOnly]&amp;mk=4643337:4643356|offset_19|444444,4643295:4643314|offset_61|444444,4643261:4643280|offset_95|00cc00,4643237:4643256|offset_119|444444&amp;v=4643136:4643456&amp;c=444444", "offset 95")</f>
        <v>offset 95</v>
      </c>
    </row>
    <row r="14988" customFormat="false" ht="12.8" hidden="false" customHeight="false" outlineLevel="0" collapsed="false">
      <c r="A14988" s="0" t="s">
        <v>12</v>
      </c>
      <c r="B14988" s="0" t="n">
        <v>4643236</v>
      </c>
      <c r="C14988" s="0" t="n">
        <v>4643256</v>
      </c>
      <c r="D14988" s="0" t="s">
        <v>49791</v>
      </c>
      <c r="E14988" s="0" t="s">
        <v>75</v>
      </c>
      <c r="F14988" s="0" t="s">
        <v>90</v>
      </c>
      <c r="G14988" s="0" t="s">
        <v>20</v>
      </c>
      <c r="H14988" s="0" t="n">
        <v>119</v>
      </c>
      <c r="I14988" s="0" t="s">
        <v>49801</v>
      </c>
      <c r="J14988" s="0" t="s">
        <v>49802</v>
      </c>
      <c r="K14988" s="0" t="s">
        <v>49803</v>
      </c>
      <c r="L14988" s="0" t="str">
        <f aca="false">HYPERLINK("https://www.ncbi.nlm.nih.gov/nuccore/CP000058.1?report=graph&amp;tracks=[key:gene_model_track,Options:GeneOnly]&amp;mk=4643337:4643356|offset_19|444444,4643295:4643314|offset_61|444444,4643261:4643280|offset_95|444444,4643237:4643256|offset_119|00cc00&amp;v=4643136:4643456&amp;c=444444", "offset 119")</f>
        <v>offset 119</v>
      </c>
    </row>
    <row r="14989" customFormat="false" ht="12.8" hidden="false" customHeight="false" outlineLevel="0" collapsed="false">
      <c r="A14989" s="0" t="s">
        <v>12</v>
      </c>
      <c r="B14989" s="0" t="n">
        <v>4644277</v>
      </c>
      <c r="C14989" s="0" t="n">
        <v>4644297</v>
      </c>
      <c r="D14989" s="0" t="s">
        <v>49804</v>
      </c>
      <c r="E14989" s="0" t="s">
        <v>49805</v>
      </c>
      <c r="F14989" s="0" t="s">
        <v>90</v>
      </c>
      <c r="G14989" s="0" t="s">
        <v>16</v>
      </c>
      <c r="H14989" s="0" t="n">
        <v>52</v>
      </c>
      <c r="I14989" s="0" t="s">
        <v>49806</v>
      </c>
      <c r="J14989" s="0" t="s">
        <v>49807</v>
      </c>
      <c r="K14989" s="0" t="s">
        <v>49808</v>
      </c>
      <c r="L14989" s="0" t="str">
        <f aca="false">HYPERLINK("https://www.ncbi.nlm.nih.gov/nuccore/CP000058.1?report=graph&amp;tracks=[key:gene_model_track,Options:GeneOnly]&amp;mk=4644278:4644297|offset_52|00cc00,4644189:4644208|offset_141|444444,4644168:4644187|offset_162|444444,4644142:4644161|offset_188|444444&amp;v=4644077:4644361&amp;c=444444", "offset 52")</f>
        <v>offset 52</v>
      </c>
    </row>
    <row r="14990" customFormat="false" ht="12.8" hidden="false" customHeight="false" outlineLevel="0" collapsed="false">
      <c r="A14990" s="0" t="s">
        <v>12</v>
      </c>
      <c r="B14990" s="0" t="n">
        <v>4644188</v>
      </c>
      <c r="C14990" s="0" t="n">
        <v>4644208</v>
      </c>
      <c r="D14990" s="0" t="s">
        <v>49804</v>
      </c>
      <c r="E14990" s="0" t="s">
        <v>49805</v>
      </c>
      <c r="F14990" s="0" t="s">
        <v>90</v>
      </c>
      <c r="G14990" s="0" t="s">
        <v>16</v>
      </c>
      <c r="H14990" s="0" t="n">
        <v>141</v>
      </c>
      <c r="I14990" s="0" t="s">
        <v>49809</v>
      </c>
      <c r="J14990" s="0" t="s">
        <v>49810</v>
      </c>
      <c r="K14990" s="0" t="s">
        <v>49811</v>
      </c>
      <c r="L14990" s="0" t="str">
        <f aca="false">HYPERLINK("https://www.ncbi.nlm.nih.gov/nuccore/CP000058.1?report=graph&amp;tracks=[key:gene_model_track,Options:GeneOnly]&amp;mk=4644278:4644297|offset_52|444444,4644189:4644208|offset_141|00cc00,4644168:4644187|offset_162|444444,4644142:4644161|offset_188|444444&amp;v=4644077:4644361&amp;c=444444", "offset 141")</f>
        <v>offset 141</v>
      </c>
    </row>
    <row r="14991" customFormat="false" ht="12.8" hidden="false" customHeight="false" outlineLevel="0" collapsed="false">
      <c r="A14991" s="0" t="s">
        <v>12</v>
      </c>
      <c r="B14991" s="0" t="n">
        <v>4644167</v>
      </c>
      <c r="C14991" s="0" t="n">
        <v>4644187</v>
      </c>
      <c r="D14991" s="0" t="s">
        <v>49804</v>
      </c>
      <c r="E14991" s="0" t="s">
        <v>49805</v>
      </c>
      <c r="F14991" s="0" t="s">
        <v>90</v>
      </c>
      <c r="G14991" s="0" t="s">
        <v>32</v>
      </c>
      <c r="H14991" s="0" t="n">
        <v>162</v>
      </c>
      <c r="I14991" s="0" t="s">
        <v>49812</v>
      </c>
      <c r="J14991" s="0" t="s">
        <v>49813</v>
      </c>
      <c r="K14991" s="0" t="s">
        <v>49814</v>
      </c>
      <c r="L14991" s="0" t="str">
        <f aca="false">HYPERLINK("https://www.ncbi.nlm.nih.gov/nuccore/CP000058.1?report=graph&amp;tracks=[key:gene_model_track,Options:GeneOnly]&amp;mk=4644278:4644297|offset_52|444444,4644189:4644208|offset_141|444444,4644168:4644187|offset_162|00cc00,4644142:4644161|offset_188|444444&amp;v=4644077:4644361&amp;c=444444", "offset 162")</f>
        <v>offset 162</v>
      </c>
    </row>
    <row r="14992" customFormat="false" ht="12.8" hidden="false" customHeight="false" outlineLevel="0" collapsed="false">
      <c r="A14992" s="0" t="s">
        <v>12</v>
      </c>
      <c r="B14992" s="0" t="n">
        <v>4644141</v>
      </c>
      <c r="C14992" s="0" t="n">
        <v>4644161</v>
      </c>
      <c r="D14992" s="0" t="s">
        <v>49804</v>
      </c>
      <c r="E14992" s="0" t="s">
        <v>49805</v>
      </c>
      <c r="F14992" s="0" t="s">
        <v>90</v>
      </c>
      <c r="G14992" s="0" t="s">
        <v>16</v>
      </c>
      <c r="H14992" s="0" t="n">
        <v>188</v>
      </c>
      <c r="I14992" s="0" t="s">
        <v>49815</v>
      </c>
      <c r="J14992" s="0" t="s">
        <v>49816</v>
      </c>
      <c r="K14992" s="0" t="s">
        <v>49817</v>
      </c>
      <c r="L14992" s="0" t="str">
        <f aca="false">HYPERLINK("https://www.ncbi.nlm.nih.gov/nuccore/CP000058.1?report=graph&amp;tracks=[key:gene_model_track,Options:GeneOnly]&amp;mk=4644278:4644297|offset_52|444444,4644189:4644208|offset_141|444444,4644168:4644187|offset_162|444444,4644142:4644161|offset_188|00cc00&amp;v=4644077:4644361&amp;c=444444", "offset 188")</f>
        <v>offset 188</v>
      </c>
    </row>
    <row r="14993" customFormat="false" ht="12.8" hidden="false" customHeight="false" outlineLevel="0" collapsed="false">
      <c r="A14993" s="0" t="s">
        <v>12</v>
      </c>
      <c r="B14993" s="0" t="n">
        <v>4644469</v>
      </c>
      <c r="C14993" s="0" t="n">
        <v>4644489</v>
      </c>
      <c r="D14993" s="0" t="s">
        <v>49818</v>
      </c>
      <c r="E14993" s="0" t="s">
        <v>75</v>
      </c>
      <c r="F14993" s="0" t="s">
        <v>15</v>
      </c>
      <c r="G14993" s="0" t="s">
        <v>20</v>
      </c>
      <c r="H14993" s="0" t="n">
        <v>26</v>
      </c>
      <c r="I14993" s="0" t="s">
        <v>49819</v>
      </c>
      <c r="J14993" s="0" t="s">
        <v>49820</v>
      </c>
      <c r="K14993" s="0" t="s">
        <v>49821</v>
      </c>
      <c r="L14993" s="0" t="str">
        <f aca="false">HYPERLINK("https://www.ncbi.nlm.nih.gov/nuccore/CP000058.1?report=graph&amp;tracks=[key:gene_model_track,Options:GeneOnly]&amp;mk=4644470:4644489|offset_26|00cc00,4644536:4644555|offset_92|444444,4644558:4644577|offset_114|444444,4644589:4644608|offset_145|444444&amp;v=4644269:4644808&amp;c=444444", "offset 26")</f>
        <v>offset 26</v>
      </c>
    </row>
    <row r="14994" customFormat="false" ht="12.8" hidden="false" customHeight="false" outlineLevel="0" collapsed="false">
      <c r="A14994" s="0" t="s">
        <v>12</v>
      </c>
      <c r="B14994" s="0" t="n">
        <v>4644535</v>
      </c>
      <c r="C14994" s="0" t="n">
        <v>4644555</v>
      </c>
      <c r="D14994" s="0" t="s">
        <v>49818</v>
      </c>
      <c r="E14994" s="0" t="s">
        <v>75</v>
      </c>
      <c r="F14994" s="0" t="s">
        <v>15</v>
      </c>
      <c r="G14994" s="0" t="s">
        <v>20</v>
      </c>
      <c r="H14994" s="0" t="n">
        <v>92</v>
      </c>
      <c r="I14994" s="0" t="s">
        <v>49822</v>
      </c>
      <c r="J14994" s="0" t="s">
        <v>49823</v>
      </c>
      <c r="K14994" s="0" t="s">
        <v>49824</v>
      </c>
      <c r="L14994" s="0" t="str">
        <f aca="false">HYPERLINK("https://www.ncbi.nlm.nih.gov/nuccore/CP000058.1?report=graph&amp;tracks=[key:gene_model_track,Options:GeneOnly]&amp;mk=4644470:4644489|offset_26|444444,4644536:4644555|offset_92|00cc00,4644558:4644577|offset_114|444444,4644589:4644608|offset_145|444444&amp;v=4644269:4644808&amp;c=444444", "offset 92")</f>
        <v>offset 92</v>
      </c>
    </row>
    <row r="14995" customFormat="false" ht="12.8" hidden="false" customHeight="false" outlineLevel="0" collapsed="false">
      <c r="A14995" s="0" t="s">
        <v>12</v>
      </c>
      <c r="B14995" s="0" t="n">
        <v>4644557</v>
      </c>
      <c r="C14995" s="0" t="n">
        <v>4644577</v>
      </c>
      <c r="D14995" s="0" t="s">
        <v>49818</v>
      </c>
      <c r="E14995" s="0" t="s">
        <v>75</v>
      </c>
      <c r="F14995" s="0" t="s">
        <v>15</v>
      </c>
      <c r="G14995" s="0" t="s">
        <v>36</v>
      </c>
      <c r="H14995" s="0" t="n">
        <v>114</v>
      </c>
      <c r="I14995" s="0" t="s">
        <v>49825</v>
      </c>
      <c r="J14995" s="0" t="s">
        <v>49826</v>
      </c>
      <c r="K14995" s="0" t="s">
        <v>49827</v>
      </c>
      <c r="L14995" s="0" t="str">
        <f aca="false">HYPERLINK("https://www.ncbi.nlm.nih.gov/nuccore/CP000058.1?report=graph&amp;tracks=[key:gene_model_track,Options:GeneOnly]&amp;mk=4644470:4644489|offset_26|444444,4644536:4644555|offset_92|444444,4644558:4644577|offset_114|00cc00,4644589:4644608|offset_145|444444&amp;v=4644269:4644808&amp;c=444444", "offset 114")</f>
        <v>offset 114</v>
      </c>
    </row>
    <row r="14996" customFormat="false" ht="12.8" hidden="false" customHeight="false" outlineLevel="0" collapsed="false">
      <c r="A14996" s="0" t="s">
        <v>12</v>
      </c>
      <c r="B14996" s="0" t="n">
        <v>4644588</v>
      </c>
      <c r="C14996" s="0" t="n">
        <v>4644608</v>
      </c>
      <c r="D14996" s="0" t="s">
        <v>49818</v>
      </c>
      <c r="E14996" s="0" t="s">
        <v>75</v>
      </c>
      <c r="F14996" s="0" t="s">
        <v>15</v>
      </c>
      <c r="G14996" s="0" t="s">
        <v>32</v>
      </c>
      <c r="H14996" s="0" t="n">
        <v>145</v>
      </c>
      <c r="I14996" s="0" t="s">
        <v>49828</v>
      </c>
      <c r="J14996" s="0" t="s">
        <v>49829</v>
      </c>
      <c r="K14996" s="0" t="s">
        <v>49830</v>
      </c>
      <c r="L14996" s="0" t="str">
        <f aca="false">HYPERLINK("https://www.ncbi.nlm.nih.gov/nuccore/CP000058.1?report=graph&amp;tracks=[key:gene_model_track,Options:GeneOnly]&amp;mk=4644470:4644489|offset_26|444444,4644536:4644555|offset_92|444444,4644558:4644577|offset_114|444444,4644589:4644608|offset_145|00cc00&amp;v=4644269:4644808&amp;c=444444", "offset 145")</f>
        <v>offset 145</v>
      </c>
    </row>
    <row r="14997" customFormat="false" ht="12.8" hidden="false" customHeight="false" outlineLevel="0" collapsed="false">
      <c r="A14997" s="0" t="s">
        <v>12</v>
      </c>
      <c r="B14997" s="0" t="n">
        <v>4645239</v>
      </c>
      <c r="C14997" s="0" t="n">
        <v>4645259</v>
      </c>
      <c r="D14997" s="0" t="s">
        <v>49831</v>
      </c>
      <c r="E14997" s="0" t="s">
        <v>49832</v>
      </c>
      <c r="F14997" s="0" t="s">
        <v>15</v>
      </c>
      <c r="G14997" s="0" t="s">
        <v>32</v>
      </c>
      <c r="H14997" s="0" t="n">
        <v>1</v>
      </c>
      <c r="I14997" s="0" t="s">
        <v>49833</v>
      </c>
      <c r="J14997" s="0" t="s">
        <v>49834</v>
      </c>
      <c r="K14997" s="0" t="s">
        <v>49835</v>
      </c>
      <c r="L14997" s="0" t="str">
        <f aca="false">HYPERLINK("https://www.ncbi.nlm.nih.gov/nuccore/CP000058.1?report=graph&amp;tracks=[key:gene_model_track,Options:GeneOnly]&amp;mk=4645240:4645259|offset_1|00cc00,4645260:4645279|offset_21|444444,4645290:4645309|offset_51|444444,4645322:4645341|offset_83|444444&amp;v=4645039:4645541&amp;c=444444", "offset 1")</f>
        <v>offset 1</v>
      </c>
    </row>
    <row r="14998" customFormat="false" ht="12.8" hidden="false" customHeight="false" outlineLevel="0" collapsed="false">
      <c r="A14998" s="0" t="s">
        <v>12</v>
      </c>
      <c r="B14998" s="0" t="n">
        <v>4645259</v>
      </c>
      <c r="C14998" s="0" t="n">
        <v>4645279</v>
      </c>
      <c r="D14998" s="0" t="s">
        <v>49831</v>
      </c>
      <c r="E14998" s="0" t="s">
        <v>49832</v>
      </c>
      <c r="F14998" s="0" t="s">
        <v>15</v>
      </c>
      <c r="G14998" s="0" t="s">
        <v>32</v>
      </c>
      <c r="H14998" s="0" t="n">
        <v>21</v>
      </c>
      <c r="I14998" s="0" t="s">
        <v>49836</v>
      </c>
      <c r="J14998" s="0" t="s">
        <v>49837</v>
      </c>
      <c r="K14998" s="0" t="s">
        <v>49838</v>
      </c>
      <c r="L14998" s="0" t="str">
        <f aca="false">HYPERLINK("https://www.ncbi.nlm.nih.gov/nuccore/CP000058.1?report=graph&amp;tracks=[key:gene_model_track,Options:GeneOnly]&amp;mk=4645240:4645259|offset_1|444444,4645260:4645279|offset_21|00cc00,4645290:4645309|offset_51|444444,4645322:4645341|offset_83|444444&amp;v=4645039:4645541&amp;c=444444", "offset 21")</f>
        <v>offset 21</v>
      </c>
    </row>
    <row r="14999" customFormat="false" ht="12.8" hidden="false" customHeight="false" outlineLevel="0" collapsed="false">
      <c r="A14999" s="0" t="s">
        <v>12</v>
      </c>
      <c r="B14999" s="0" t="n">
        <v>4645289</v>
      </c>
      <c r="C14999" s="0" t="n">
        <v>4645309</v>
      </c>
      <c r="D14999" s="0" t="s">
        <v>49831</v>
      </c>
      <c r="E14999" s="0" t="s">
        <v>49832</v>
      </c>
      <c r="F14999" s="0" t="s">
        <v>15</v>
      </c>
      <c r="G14999" s="0" t="s">
        <v>16</v>
      </c>
      <c r="H14999" s="0" t="n">
        <v>51</v>
      </c>
      <c r="I14999" s="0" t="s">
        <v>49839</v>
      </c>
      <c r="J14999" s="0" t="s">
        <v>49840</v>
      </c>
      <c r="K14999" s="0" t="s">
        <v>49841</v>
      </c>
      <c r="L14999" s="0" t="str">
        <f aca="false">HYPERLINK("https://www.ncbi.nlm.nih.gov/nuccore/CP000058.1?report=graph&amp;tracks=[key:gene_model_track,Options:GeneOnly]&amp;mk=4645240:4645259|offset_1|444444,4645260:4645279|offset_21|444444,4645290:4645309|offset_51|00cc00,4645322:4645341|offset_83|444444&amp;v=4645039:4645541&amp;c=444444", "offset 51")</f>
        <v>offset 51</v>
      </c>
    </row>
    <row r="15000" customFormat="false" ht="12.8" hidden="false" customHeight="false" outlineLevel="0" collapsed="false">
      <c r="A15000" s="0" t="s">
        <v>12</v>
      </c>
      <c r="B15000" s="0" t="n">
        <v>4645321</v>
      </c>
      <c r="C15000" s="0" t="n">
        <v>4645341</v>
      </c>
      <c r="D15000" s="0" t="s">
        <v>49831</v>
      </c>
      <c r="E15000" s="0" t="s">
        <v>49832</v>
      </c>
      <c r="F15000" s="0" t="s">
        <v>15</v>
      </c>
      <c r="G15000" s="0" t="s">
        <v>32</v>
      </c>
      <c r="H15000" s="0" t="n">
        <v>83</v>
      </c>
      <c r="I15000" s="0" t="s">
        <v>49842</v>
      </c>
      <c r="J15000" s="0" t="s">
        <v>49843</v>
      </c>
      <c r="K15000" s="0" t="s">
        <v>49844</v>
      </c>
      <c r="L15000" s="0" t="str">
        <f aca="false">HYPERLINK("https://www.ncbi.nlm.nih.gov/nuccore/CP000058.1?report=graph&amp;tracks=[key:gene_model_track,Options:GeneOnly]&amp;mk=4645240:4645259|offset_1|444444,4645260:4645279|offset_21|444444,4645290:4645309|offset_51|444444,4645322:4645341|offset_83|00cc00&amp;v=4645039:4645541&amp;c=444444", "offset 83")</f>
        <v>offset 83</v>
      </c>
    </row>
    <row r="15001" customFormat="false" ht="12.8" hidden="false" customHeight="false" outlineLevel="0" collapsed="false">
      <c r="A15001" s="0" t="s">
        <v>12</v>
      </c>
      <c r="B15001" s="0" t="n">
        <v>4646207</v>
      </c>
      <c r="C15001" s="0" t="n">
        <v>4646227</v>
      </c>
      <c r="D15001" s="0" t="s">
        <v>49845</v>
      </c>
      <c r="E15001" s="0" t="s">
        <v>75</v>
      </c>
      <c r="F15001" s="0" t="s">
        <v>15</v>
      </c>
      <c r="G15001" s="0" t="s">
        <v>32</v>
      </c>
      <c r="H15001" s="0" t="n">
        <v>0</v>
      </c>
      <c r="I15001" s="0" t="s">
        <v>49846</v>
      </c>
      <c r="J15001" s="0" t="s">
        <v>49847</v>
      </c>
      <c r="K15001" s="0" t="s">
        <v>49848</v>
      </c>
      <c r="L15001" s="0" t="str">
        <f aca="false">HYPERLINK("https://www.ncbi.nlm.nih.gov/nuccore/CP000058.1?report=graph&amp;tracks=[key:gene_model_track,Options:GeneOnly]&amp;mk=4646208:4646227|offset_0|00cc00,4646234:4646253|offset_26|444444,4646320:4646339|offset_112|444444,4646353:4646372|offset_145|444444&amp;v=4646007:4646572&amp;c=444444", "offset 0")</f>
        <v>offset 0</v>
      </c>
    </row>
    <row r="15002" customFormat="false" ht="12.8" hidden="false" customHeight="false" outlineLevel="0" collapsed="false">
      <c r="A15002" s="0" t="s">
        <v>12</v>
      </c>
      <c r="B15002" s="0" t="n">
        <v>4646233</v>
      </c>
      <c r="C15002" s="0" t="n">
        <v>4646253</v>
      </c>
      <c r="D15002" s="0" t="s">
        <v>49845</v>
      </c>
      <c r="E15002" s="0" t="s">
        <v>75</v>
      </c>
      <c r="F15002" s="0" t="s">
        <v>15</v>
      </c>
      <c r="G15002" s="0" t="s">
        <v>20</v>
      </c>
      <c r="H15002" s="0" t="n">
        <v>26</v>
      </c>
      <c r="I15002" s="0" t="s">
        <v>49849</v>
      </c>
      <c r="J15002" s="0" t="s">
        <v>49850</v>
      </c>
      <c r="K15002" s="0" t="s">
        <v>49851</v>
      </c>
      <c r="L15002" s="0" t="str">
        <f aca="false">HYPERLINK("https://www.ncbi.nlm.nih.gov/nuccore/CP000058.1?report=graph&amp;tracks=[key:gene_model_track,Options:GeneOnly]&amp;mk=4646208:4646227|offset_0|444444,4646234:4646253|offset_26|00cc00,4646320:4646339|offset_112|444444,4646353:4646372|offset_145|444444&amp;v=4646007:4646572&amp;c=444444", "offset 26")</f>
        <v>offset 26</v>
      </c>
    </row>
    <row r="15003" customFormat="false" ht="12.8" hidden="false" customHeight="false" outlineLevel="0" collapsed="false">
      <c r="A15003" s="0" t="s">
        <v>12</v>
      </c>
      <c r="B15003" s="0" t="n">
        <v>4646319</v>
      </c>
      <c r="C15003" s="0" t="n">
        <v>4646339</v>
      </c>
      <c r="D15003" s="0" t="s">
        <v>49845</v>
      </c>
      <c r="E15003" s="0" t="s">
        <v>75</v>
      </c>
      <c r="F15003" s="0" t="s">
        <v>15</v>
      </c>
      <c r="G15003" s="0" t="s">
        <v>20</v>
      </c>
      <c r="H15003" s="0" t="n">
        <v>112</v>
      </c>
      <c r="I15003" s="0" t="s">
        <v>49852</v>
      </c>
      <c r="J15003" s="0" t="s">
        <v>49853</v>
      </c>
      <c r="K15003" s="0" t="s">
        <v>49854</v>
      </c>
      <c r="L15003" s="0" t="str">
        <f aca="false">HYPERLINK("https://www.ncbi.nlm.nih.gov/nuccore/CP000058.1?report=graph&amp;tracks=[key:gene_model_track,Options:GeneOnly]&amp;mk=4646208:4646227|offset_0|444444,4646234:4646253|offset_26|444444,4646320:4646339|offset_112|00cc00,4646353:4646372|offset_145|444444&amp;v=4646007:4646572&amp;c=444444", "offset 112")</f>
        <v>offset 112</v>
      </c>
    </row>
    <row r="15004" customFormat="false" ht="12.8" hidden="false" customHeight="false" outlineLevel="0" collapsed="false">
      <c r="A15004" s="0" t="s">
        <v>12</v>
      </c>
      <c r="B15004" s="0" t="n">
        <v>4646352</v>
      </c>
      <c r="C15004" s="0" t="n">
        <v>4646372</v>
      </c>
      <c r="D15004" s="0" t="s">
        <v>49845</v>
      </c>
      <c r="E15004" s="0" t="s">
        <v>75</v>
      </c>
      <c r="F15004" s="0" t="s">
        <v>15</v>
      </c>
      <c r="G15004" s="0" t="s">
        <v>16</v>
      </c>
      <c r="H15004" s="0" t="n">
        <v>145</v>
      </c>
      <c r="I15004" s="0" t="s">
        <v>49855</v>
      </c>
      <c r="J15004" s="0" t="s">
        <v>49856</v>
      </c>
      <c r="K15004" s="0" t="s">
        <v>49857</v>
      </c>
      <c r="L15004" s="0" t="str">
        <f aca="false">HYPERLINK("https://www.ncbi.nlm.nih.gov/nuccore/CP000058.1?report=graph&amp;tracks=[key:gene_model_track,Options:GeneOnly]&amp;mk=4646208:4646227|offset_0|444444,4646234:4646253|offset_26|444444,4646320:4646339|offset_112|444444,4646353:4646372|offset_145|00cc00&amp;v=4646007:4646572&amp;c=444444", "offset 145")</f>
        <v>offset 145</v>
      </c>
    </row>
    <row r="15005" customFormat="false" ht="12.8" hidden="false" customHeight="false" outlineLevel="0" collapsed="false">
      <c r="A15005" s="0" t="s">
        <v>12</v>
      </c>
      <c r="B15005" s="0" t="n">
        <v>4648443</v>
      </c>
      <c r="C15005" s="0" t="n">
        <v>4648463</v>
      </c>
      <c r="D15005" s="0" t="s">
        <v>49858</v>
      </c>
      <c r="E15005" s="0" t="s">
        <v>75</v>
      </c>
      <c r="F15005" s="0" t="s">
        <v>15</v>
      </c>
      <c r="G15005" s="0" t="s">
        <v>20</v>
      </c>
      <c r="H15005" s="0" t="n">
        <v>15</v>
      </c>
      <c r="I15005" s="0" t="s">
        <v>49859</v>
      </c>
      <c r="J15005" s="0" t="s">
        <v>49860</v>
      </c>
      <c r="K15005" s="0" t="s">
        <v>49861</v>
      </c>
      <c r="L15005" s="0" t="str">
        <f aca="false">HYPERLINK("https://www.ncbi.nlm.nih.gov/nuccore/CP000058.1?report=graph&amp;tracks=[key:gene_model_track,Options:GeneOnly]&amp;mk=4648444:4648463|offset_15|00cc00,4648469:4648488|offset_40|444444,4648517:4648536|offset_88|444444,4648538:4648557|offset_109|444444&amp;v=4648243:4648757&amp;c=444444", "offset 15")</f>
        <v>offset 15</v>
      </c>
    </row>
    <row r="15006" customFormat="false" ht="12.8" hidden="false" customHeight="false" outlineLevel="0" collapsed="false">
      <c r="A15006" s="0" t="s">
        <v>12</v>
      </c>
      <c r="B15006" s="0" t="n">
        <v>4648468</v>
      </c>
      <c r="C15006" s="0" t="n">
        <v>4648488</v>
      </c>
      <c r="D15006" s="0" t="s">
        <v>49858</v>
      </c>
      <c r="E15006" s="0" t="s">
        <v>75</v>
      </c>
      <c r="F15006" s="0" t="s">
        <v>15</v>
      </c>
      <c r="G15006" s="0" t="s">
        <v>32</v>
      </c>
      <c r="H15006" s="0" t="n">
        <v>40</v>
      </c>
      <c r="I15006" s="0" t="s">
        <v>49862</v>
      </c>
      <c r="J15006" s="0" t="s">
        <v>49863</v>
      </c>
      <c r="K15006" s="0" t="s">
        <v>49864</v>
      </c>
      <c r="L15006" s="0" t="str">
        <f aca="false">HYPERLINK("https://www.ncbi.nlm.nih.gov/nuccore/CP000058.1?report=graph&amp;tracks=[key:gene_model_track,Options:GeneOnly]&amp;mk=4648444:4648463|offset_15|444444,4648469:4648488|offset_40|00cc00,4648517:4648536|offset_88|444444,4648538:4648557|offset_109|444444&amp;v=4648243:4648757&amp;c=444444", "offset 40")</f>
        <v>offset 40</v>
      </c>
    </row>
    <row r="15007" customFormat="false" ht="12.8" hidden="false" customHeight="false" outlineLevel="0" collapsed="false">
      <c r="A15007" s="0" t="s">
        <v>12</v>
      </c>
      <c r="B15007" s="0" t="n">
        <v>4648516</v>
      </c>
      <c r="C15007" s="0" t="n">
        <v>4648536</v>
      </c>
      <c r="D15007" s="0" t="s">
        <v>49858</v>
      </c>
      <c r="E15007" s="0" t="s">
        <v>75</v>
      </c>
      <c r="F15007" s="0" t="s">
        <v>15</v>
      </c>
      <c r="G15007" s="0" t="s">
        <v>16</v>
      </c>
      <c r="H15007" s="0" t="n">
        <v>88</v>
      </c>
      <c r="I15007" s="0" t="s">
        <v>49865</v>
      </c>
      <c r="J15007" s="0" t="s">
        <v>49866</v>
      </c>
      <c r="K15007" s="0" t="s">
        <v>49867</v>
      </c>
      <c r="L15007" s="0" t="str">
        <f aca="false">HYPERLINK("https://www.ncbi.nlm.nih.gov/nuccore/CP000058.1?report=graph&amp;tracks=[key:gene_model_track,Options:GeneOnly]&amp;mk=4648444:4648463|offset_15|444444,4648469:4648488|offset_40|444444,4648517:4648536|offset_88|00cc00,4648538:4648557|offset_109|444444&amp;v=4648243:4648757&amp;c=444444", "offset 88")</f>
        <v>offset 88</v>
      </c>
    </row>
    <row r="15008" customFormat="false" ht="12.8" hidden="false" customHeight="false" outlineLevel="0" collapsed="false">
      <c r="A15008" s="0" t="s">
        <v>12</v>
      </c>
      <c r="B15008" s="0" t="n">
        <v>4648537</v>
      </c>
      <c r="C15008" s="0" t="n">
        <v>4648557</v>
      </c>
      <c r="D15008" s="0" t="s">
        <v>49858</v>
      </c>
      <c r="E15008" s="0" t="s">
        <v>75</v>
      </c>
      <c r="F15008" s="0" t="s">
        <v>15</v>
      </c>
      <c r="G15008" s="0" t="s">
        <v>16</v>
      </c>
      <c r="H15008" s="0" t="n">
        <v>109</v>
      </c>
      <c r="I15008" s="0" t="s">
        <v>49868</v>
      </c>
      <c r="J15008" s="0" t="s">
        <v>49869</v>
      </c>
      <c r="K15008" s="0" t="s">
        <v>49870</v>
      </c>
      <c r="L15008" s="0" t="str">
        <f aca="false">HYPERLINK("https://www.ncbi.nlm.nih.gov/nuccore/CP000058.1?report=graph&amp;tracks=[key:gene_model_track,Options:GeneOnly]&amp;mk=4648444:4648463|offset_15|444444,4648469:4648488|offset_40|444444,4648517:4648536|offset_88|444444,4648538:4648557|offset_109|00cc00&amp;v=4648243:4648757&amp;c=444444", "offset 109")</f>
        <v>offset 109</v>
      </c>
    </row>
    <row r="15009" customFormat="false" ht="12.8" hidden="false" customHeight="false" outlineLevel="0" collapsed="false">
      <c r="A15009" s="0" t="s">
        <v>12</v>
      </c>
      <c r="B15009" s="0" t="n">
        <v>4650511</v>
      </c>
      <c r="C15009" s="0" t="n">
        <v>4650531</v>
      </c>
      <c r="D15009" s="0" t="s">
        <v>49871</v>
      </c>
      <c r="E15009" s="0" t="s">
        <v>75</v>
      </c>
      <c r="F15009" s="0" t="s">
        <v>90</v>
      </c>
      <c r="G15009" s="0" t="s">
        <v>36</v>
      </c>
      <c r="H15009" s="0" t="n">
        <v>11</v>
      </c>
      <c r="I15009" s="0" t="s">
        <v>49872</v>
      </c>
      <c r="J15009" s="0" t="s">
        <v>49873</v>
      </c>
      <c r="K15009" s="0" t="s">
        <v>49874</v>
      </c>
      <c r="L15009" s="0" t="str">
        <f aca="false">HYPERLINK("https://www.ncbi.nlm.nih.gov/nuccore/CP000058.1?report=graph&amp;tracks=[key:gene_model_track,Options:GeneOnly]&amp;mk=4650512:4650531|offset_11|00cc00,4650489:4650508|offset_34|444444,4650458:4650477|offset_65|444444,4650422:4650441|offset_101|444444&amp;v=4650311:4650641&amp;c=444444", "offset 11")</f>
        <v>offset 11</v>
      </c>
    </row>
    <row r="15010" customFormat="false" ht="12.8" hidden="false" customHeight="false" outlineLevel="0" collapsed="false">
      <c r="A15010" s="0" t="s">
        <v>12</v>
      </c>
      <c r="B15010" s="0" t="n">
        <v>4650488</v>
      </c>
      <c r="C15010" s="0" t="n">
        <v>4650508</v>
      </c>
      <c r="D15010" s="0" t="s">
        <v>49871</v>
      </c>
      <c r="E15010" s="0" t="s">
        <v>75</v>
      </c>
      <c r="F15010" s="0" t="s">
        <v>90</v>
      </c>
      <c r="G15010" s="0" t="s">
        <v>32</v>
      </c>
      <c r="H15010" s="0" t="n">
        <v>34</v>
      </c>
      <c r="I15010" s="0" t="s">
        <v>49875</v>
      </c>
      <c r="J15010" s="0" t="s">
        <v>49876</v>
      </c>
      <c r="K15010" s="0" t="s">
        <v>49877</v>
      </c>
      <c r="L15010" s="0" t="str">
        <f aca="false">HYPERLINK("https://www.ncbi.nlm.nih.gov/nuccore/CP000058.1?report=graph&amp;tracks=[key:gene_model_track,Options:GeneOnly]&amp;mk=4650512:4650531|offset_11|444444,4650489:4650508|offset_34|00cc00,4650458:4650477|offset_65|444444,4650422:4650441|offset_101|444444&amp;v=4650311:4650641&amp;c=444444", "offset 34")</f>
        <v>offset 34</v>
      </c>
    </row>
    <row r="15011" customFormat="false" ht="12.8" hidden="false" customHeight="false" outlineLevel="0" collapsed="false">
      <c r="A15011" s="0" t="s">
        <v>12</v>
      </c>
      <c r="B15011" s="0" t="n">
        <v>4650457</v>
      </c>
      <c r="C15011" s="0" t="n">
        <v>4650477</v>
      </c>
      <c r="D15011" s="0" t="s">
        <v>49871</v>
      </c>
      <c r="E15011" s="0" t="s">
        <v>75</v>
      </c>
      <c r="F15011" s="0" t="s">
        <v>90</v>
      </c>
      <c r="G15011" s="0" t="s">
        <v>36</v>
      </c>
      <c r="H15011" s="0" t="n">
        <v>65</v>
      </c>
      <c r="I15011" s="0" t="s">
        <v>49878</v>
      </c>
      <c r="J15011" s="0" t="s">
        <v>49879</v>
      </c>
      <c r="K15011" s="0" t="s">
        <v>49880</v>
      </c>
      <c r="L15011" s="0" t="str">
        <f aca="false">HYPERLINK("https://www.ncbi.nlm.nih.gov/nuccore/CP000058.1?report=graph&amp;tracks=[key:gene_model_track,Options:GeneOnly]&amp;mk=4650512:4650531|offset_11|444444,4650489:4650508|offset_34|444444,4650458:4650477|offset_65|00cc00,4650422:4650441|offset_101|444444&amp;v=4650311:4650641&amp;c=444444", "offset 65")</f>
        <v>offset 65</v>
      </c>
    </row>
    <row r="15012" customFormat="false" ht="12.8" hidden="false" customHeight="false" outlineLevel="0" collapsed="false">
      <c r="A15012" s="0" t="s">
        <v>12</v>
      </c>
      <c r="B15012" s="0" t="n">
        <v>4650421</v>
      </c>
      <c r="C15012" s="0" t="n">
        <v>4650441</v>
      </c>
      <c r="D15012" s="0" t="s">
        <v>49871</v>
      </c>
      <c r="E15012" s="0" t="s">
        <v>75</v>
      </c>
      <c r="F15012" s="0" t="s">
        <v>90</v>
      </c>
      <c r="G15012" s="0" t="s">
        <v>32</v>
      </c>
      <c r="H15012" s="0" t="n">
        <v>101</v>
      </c>
      <c r="I15012" s="0" t="s">
        <v>49881</v>
      </c>
      <c r="J15012" s="0" t="s">
        <v>49882</v>
      </c>
      <c r="K15012" s="0" t="s">
        <v>49883</v>
      </c>
      <c r="L15012" s="0" t="str">
        <f aca="false">HYPERLINK("https://www.ncbi.nlm.nih.gov/nuccore/CP000058.1?report=graph&amp;tracks=[key:gene_model_track,Options:GeneOnly]&amp;mk=4650512:4650531|offset_11|444444,4650489:4650508|offset_34|444444,4650458:4650477|offset_65|444444,4650422:4650441|offset_101|00cc00&amp;v=4650311:4650641&amp;c=444444", "offset 101")</f>
        <v>offset 101</v>
      </c>
    </row>
    <row r="15013" customFormat="false" ht="12.8" hidden="false" customHeight="false" outlineLevel="0" collapsed="false">
      <c r="A15013" s="0" t="s">
        <v>12</v>
      </c>
      <c r="B15013" s="0" t="n">
        <v>4650765</v>
      </c>
      <c r="C15013" s="0" t="n">
        <v>4650785</v>
      </c>
      <c r="D15013" s="0" t="s">
        <v>49884</v>
      </c>
      <c r="E15013" s="0" t="s">
        <v>75</v>
      </c>
      <c r="F15013" s="0" t="s">
        <v>15</v>
      </c>
      <c r="G15013" s="0" t="s">
        <v>16</v>
      </c>
      <c r="H15013" s="0" t="n">
        <v>23</v>
      </c>
      <c r="I15013" s="0" t="s">
        <v>49885</v>
      </c>
      <c r="J15013" s="0" t="s">
        <v>49886</v>
      </c>
      <c r="K15013" s="0" t="s">
        <v>49887</v>
      </c>
      <c r="L15013" s="0" t="str">
        <f aca="false">HYPERLINK("https://www.ncbi.nlm.nih.gov/nuccore/CP000058.1?report=graph&amp;tracks=[key:gene_model_track,Options:GeneOnly]&amp;mk=4650766:4650785|offset_23|00cc00,4650798:4650817|offset_55|444444,4650819:4650838|offset_76|444444,4650842:4650861|offset_99|444444&amp;v=4650565:4651061&amp;c=444444", "offset 23")</f>
        <v>offset 23</v>
      </c>
    </row>
    <row r="15014" customFormat="false" ht="12.8" hidden="false" customHeight="false" outlineLevel="0" collapsed="false">
      <c r="A15014" s="0" t="s">
        <v>12</v>
      </c>
      <c r="B15014" s="0" t="n">
        <v>4650797</v>
      </c>
      <c r="C15014" s="0" t="n">
        <v>4650817</v>
      </c>
      <c r="D15014" s="0" t="s">
        <v>49884</v>
      </c>
      <c r="E15014" s="0" t="s">
        <v>75</v>
      </c>
      <c r="F15014" s="0" t="s">
        <v>15</v>
      </c>
      <c r="G15014" s="0" t="s">
        <v>16</v>
      </c>
      <c r="H15014" s="0" t="n">
        <v>55</v>
      </c>
      <c r="I15014" s="0" t="s">
        <v>49888</v>
      </c>
      <c r="J15014" s="0" t="s">
        <v>49889</v>
      </c>
      <c r="K15014" s="0" t="s">
        <v>49890</v>
      </c>
      <c r="L15014" s="0" t="str">
        <f aca="false">HYPERLINK("https://www.ncbi.nlm.nih.gov/nuccore/CP000058.1?report=graph&amp;tracks=[key:gene_model_track,Options:GeneOnly]&amp;mk=4650766:4650785|offset_23|444444,4650798:4650817|offset_55|00cc00,4650819:4650838|offset_76|444444,4650842:4650861|offset_99|444444&amp;v=4650565:4651061&amp;c=444444", "offset 55")</f>
        <v>offset 55</v>
      </c>
    </row>
    <row r="15015" customFormat="false" ht="12.8" hidden="false" customHeight="false" outlineLevel="0" collapsed="false">
      <c r="A15015" s="0" t="s">
        <v>12</v>
      </c>
      <c r="B15015" s="0" t="n">
        <v>4650818</v>
      </c>
      <c r="C15015" s="0" t="n">
        <v>4650838</v>
      </c>
      <c r="D15015" s="0" t="s">
        <v>49884</v>
      </c>
      <c r="E15015" s="0" t="s">
        <v>75</v>
      </c>
      <c r="F15015" s="0" t="s">
        <v>15</v>
      </c>
      <c r="G15015" s="0" t="s">
        <v>36</v>
      </c>
      <c r="H15015" s="0" t="n">
        <v>76</v>
      </c>
      <c r="I15015" s="0" t="s">
        <v>49891</v>
      </c>
      <c r="J15015" s="0" t="s">
        <v>49892</v>
      </c>
      <c r="K15015" s="0" t="s">
        <v>49893</v>
      </c>
      <c r="L15015" s="0" t="str">
        <f aca="false">HYPERLINK("https://www.ncbi.nlm.nih.gov/nuccore/CP000058.1?report=graph&amp;tracks=[key:gene_model_track,Options:GeneOnly]&amp;mk=4650766:4650785|offset_23|444444,4650798:4650817|offset_55|444444,4650819:4650838|offset_76|00cc00,4650842:4650861|offset_99|444444&amp;v=4650565:4651061&amp;c=444444", "offset 76")</f>
        <v>offset 76</v>
      </c>
    </row>
    <row r="15016" customFormat="false" ht="12.8" hidden="false" customHeight="false" outlineLevel="0" collapsed="false">
      <c r="A15016" s="0" t="s">
        <v>12</v>
      </c>
      <c r="B15016" s="0" t="n">
        <v>4650841</v>
      </c>
      <c r="C15016" s="0" t="n">
        <v>4650861</v>
      </c>
      <c r="D15016" s="0" t="s">
        <v>49884</v>
      </c>
      <c r="E15016" s="0" t="s">
        <v>75</v>
      </c>
      <c r="F15016" s="0" t="s">
        <v>15</v>
      </c>
      <c r="G15016" s="0" t="s">
        <v>16</v>
      </c>
      <c r="H15016" s="0" t="n">
        <v>99</v>
      </c>
      <c r="I15016" s="0" t="s">
        <v>49894</v>
      </c>
      <c r="J15016" s="0" t="s">
        <v>49895</v>
      </c>
      <c r="K15016" s="0" t="s">
        <v>49896</v>
      </c>
      <c r="L15016" s="0" t="str">
        <f aca="false">HYPERLINK("https://www.ncbi.nlm.nih.gov/nuccore/CP000058.1?report=graph&amp;tracks=[key:gene_model_track,Options:GeneOnly]&amp;mk=4650766:4650785|offset_23|444444,4650798:4650817|offset_55|444444,4650819:4650838|offset_76|444444,4650842:4650861|offset_99|00cc00&amp;v=4650565:4651061&amp;c=444444", "offset 99")</f>
        <v>offset 99</v>
      </c>
    </row>
    <row r="15017" customFormat="false" ht="12.8" hidden="false" customHeight="false" outlineLevel="0" collapsed="false">
      <c r="A15017" s="0" t="s">
        <v>12</v>
      </c>
      <c r="B15017" s="0" t="n">
        <v>4652262</v>
      </c>
      <c r="C15017" s="0" t="n">
        <v>4652282</v>
      </c>
      <c r="D15017" s="0" t="s">
        <v>49897</v>
      </c>
      <c r="E15017" s="0" t="s">
        <v>75</v>
      </c>
      <c r="F15017" s="0" t="s">
        <v>15</v>
      </c>
      <c r="G15017" s="0" t="s">
        <v>16</v>
      </c>
      <c r="H15017" s="0" t="n">
        <v>8</v>
      </c>
      <c r="I15017" s="0" t="s">
        <v>49898</v>
      </c>
      <c r="J15017" s="0" t="s">
        <v>49899</v>
      </c>
      <c r="K15017" s="0" t="s">
        <v>49900</v>
      </c>
      <c r="L15017" s="0" t="str">
        <f aca="false">HYPERLINK("https://www.ncbi.nlm.nih.gov/nuccore/CP000058.1?report=graph&amp;tracks=[key:gene_model_track,Options:GeneOnly]&amp;mk=4652263:4652282|offset_8|00cc00,4652283:4652302|offset_28|444444,4652310:4652329|offset_55|444444,4652343:4652362|offset_88|444444&amp;v=4652062:4652562&amp;c=444444", "offset 8")</f>
        <v>offset 8</v>
      </c>
    </row>
    <row r="15018" customFormat="false" ht="12.8" hidden="false" customHeight="false" outlineLevel="0" collapsed="false">
      <c r="A15018" s="0" t="s">
        <v>12</v>
      </c>
      <c r="B15018" s="0" t="n">
        <v>4652282</v>
      </c>
      <c r="C15018" s="0" t="n">
        <v>4652302</v>
      </c>
      <c r="D15018" s="0" t="s">
        <v>49897</v>
      </c>
      <c r="E15018" s="0" t="s">
        <v>75</v>
      </c>
      <c r="F15018" s="0" t="s">
        <v>15</v>
      </c>
      <c r="G15018" s="0" t="s">
        <v>32</v>
      </c>
      <c r="H15018" s="0" t="n">
        <v>28</v>
      </c>
      <c r="I15018" s="0" t="s">
        <v>49901</v>
      </c>
      <c r="J15018" s="0" t="s">
        <v>49902</v>
      </c>
      <c r="K15018" s="0" t="s">
        <v>49903</v>
      </c>
      <c r="L15018" s="0" t="str">
        <f aca="false">HYPERLINK("https://www.ncbi.nlm.nih.gov/nuccore/CP000058.1?report=graph&amp;tracks=[key:gene_model_track,Options:GeneOnly]&amp;mk=4652263:4652282|offset_8|444444,4652283:4652302|offset_28|00cc00,4652310:4652329|offset_55|444444,4652343:4652362|offset_88|444444&amp;v=4652062:4652562&amp;c=444444", "offset 28")</f>
        <v>offset 28</v>
      </c>
    </row>
    <row r="15019" customFormat="false" ht="12.8" hidden="false" customHeight="false" outlineLevel="0" collapsed="false">
      <c r="A15019" s="0" t="s">
        <v>12</v>
      </c>
      <c r="B15019" s="0" t="n">
        <v>4652309</v>
      </c>
      <c r="C15019" s="0" t="n">
        <v>4652329</v>
      </c>
      <c r="D15019" s="0" t="s">
        <v>49897</v>
      </c>
      <c r="E15019" s="0" t="s">
        <v>75</v>
      </c>
      <c r="F15019" s="0" t="s">
        <v>15</v>
      </c>
      <c r="G15019" s="0" t="s">
        <v>20</v>
      </c>
      <c r="H15019" s="0" t="n">
        <v>55</v>
      </c>
      <c r="I15019" s="0" t="s">
        <v>49904</v>
      </c>
      <c r="J15019" s="0" t="s">
        <v>49905</v>
      </c>
      <c r="K15019" s="0" t="s">
        <v>49906</v>
      </c>
      <c r="L15019" s="0" t="str">
        <f aca="false">HYPERLINK("https://www.ncbi.nlm.nih.gov/nuccore/CP000058.1?report=graph&amp;tracks=[key:gene_model_track,Options:GeneOnly]&amp;mk=4652263:4652282|offset_8|444444,4652283:4652302|offset_28|444444,4652310:4652329|offset_55|00cc00,4652343:4652362|offset_88|444444&amp;v=4652062:4652562&amp;c=444444", "offset 55")</f>
        <v>offset 55</v>
      </c>
    </row>
    <row r="15020" customFormat="false" ht="12.8" hidden="false" customHeight="false" outlineLevel="0" collapsed="false">
      <c r="A15020" s="0" t="s">
        <v>12</v>
      </c>
      <c r="B15020" s="0" t="n">
        <v>4652342</v>
      </c>
      <c r="C15020" s="0" t="n">
        <v>4652362</v>
      </c>
      <c r="D15020" s="0" t="s">
        <v>49897</v>
      </c>
      <c r="E15020" s="0" t="s">
        <v>75</v>
      </c>
      <c r="F15020" s="0" t="s">
        <v>15</v>
      </c>
      <c r="G15020" s="0" t="s">
        <v>16</v>
      </c>
      <c r="H15020" s="0" t="n">
        <v>88</v>
      </c>
      <c r="I15020" s="0" t="s">
        <v>49907</v>
      </c>
      <c r="J15020" s="0" t="s">
        <v>49908</v>
      </c>
      <c r="K15020" s="0" t="s">
        <v>49909</v>
      </c>
      <c r="L15020" s="0" t="str">
        <f aca="false">HYPERLINK("https://www.ncbi.nlm.nih.gov/nuccore/CP000058.1?report=graph&amp;tracks=[key:gene_model_track,Options:GeneOnly]&amp;mk=4652263:4652282|offset_8|444444,4652283:4652302|offset_28|444444,4652310:4652329|offset_55|444444,4652343:4652362|offset_88|00cc00&amp;v=4652062:4652562&amp;c=444444", "offset 88")</f>
        <v>offset 88</v>
      </c>
    </row>
    <row r="15021" customFormat="false" ht="12.8" hidden="false" customHeight="false" outlineLevel="0" collapsed="false">
      <c r="A15021" s="0" t="s">
        <v>12</v>
      </c>
      <c r="B15021" s="0" t="n">
        <v>4653354</v>
      </c>
      <c r="C15021" s="0" t="n">
        <v>4653374</v>
      </c>
      <c r="D15021" s="0" t="s">
        <v>49910</v>
      </c>
      <c r="E15021" s="0" t="s">
        <v>75</v>
      </c>
      <c r="F15021" s="0" t="s">
        <v>15</v>
      </c>
      <c r="G15021" s="0" t="s">
        <v>32</v>
      </c>
      <c r="H15021" s="0" t="n">
        <v>19</v>
      </c>
      <c r="I15021" s="0" t="s">
        <v>49911</v>
      </c>
      <c r="J15021" s="0" t="s">
        <v>49912</v>
      </c>
      <c r="K15021" s="0" t="s">
        <v>49913</v>
      </c>
      <c r="L15021" s="0" t="str">
        <f aca="false">HYPERLINK("https://www.ncbi.nlm.nih.gov/nuccore/CP000058.1?report=graph&amp;tracks=[key:gene_model_track,Options:GeneOnly]&amp;mk=4653355:4653374|offset_19|00cc00,4653429:4653448|offset_93|444444,4653488:4653507|offset_152|444444,4653514:4653533|offset_178|444444&amp;v=4653154:4653733&amp;c=444444", "offset 19")</f>
        <v>offset 19</v>
      </c>
    </row>
    <row r="15022" customFormat="false" ht="12.8" hidden="false" customHeight="false" outlineLevel="0" collapsed="false">
      <c r="A15022" s="0" t="s">
        <v>12</v>
      </c>
      <c r="B15022" s="0" t="n">
        <v>4653428</v>
      </c>
      <c r="C15022" s="0" t="n">
        <v>4653448</v>
      </c>
      <c r="D15022" s="0" t="s">
        <v>49910</v>
      </c>
      <c r="E15022" s="0" t="s">
        <v>75</v>
      </c>
      <c r="F15022" s="0" t="s">
        <v>15</v>
      </c>
      <c r="G15022" s="0" t="s">
        <v>36</v>
      </c>
      <c r="H15022" s="0" t="n">
        <v>93</v>
      </c>
      <c r="I15022" s="0" t="s">
        <v>49914</v>
      </c>
      <c r="J15022" s="0" t="s">
        <v>49915</v>
      </c>
      <c r="K15022" s="0" t="s">
        <v>49916</v>
      </c>
      <c r="L15022" s="0" t="str">
        <f aca="false">HYPERLINK("https://www.ncbi.nlm.nih.gov/nuccore/CP000058.1?report=graph&amp;tracks=[key:gene_model_track,Options:GeneOnly]&amp;mk=4653355:4653374|offset_19|444444,4653429:4653448|offset_93|00cc00,4653488:4653507|offset_152|444444,4653514:4653533|offset_178|444444&amp;v=4653154:4653733&amp;c=444444", "offset 93")</f>
        <v>offset 93</v>
      </c>
    </row>
    <row r="15023" customFormat="false" ht="12.8" hidden="false" customHeight="false" outlineLevel="0" collapsed="false">
      <c r="A15023" s="0" t="s">
        <v>12</v>
      </c>
      <c r="B15023" s="0" t="n">
        <v>4653487</v>
      </c>
      <c r="C15023" s="0" t="n">
        <v>4653507</v>
      </c>
      <c r="D15023" s="0" t="s">
        <v>49910</v>
      </c>
      <c r="E15023" s="0" t="s">
        <v>75</v>
      </c>
      <c r="F15023" s="0" t="s">
        <v>15</v>
      </c>
      <c r="G15023" s="0" t="s">
        <v>16</v>
      </c>
      <c r="H15023" s="0" t="n">
        <v>152</v>
      </c>
      <c r="I15023" s="0" t="s">
        <v>49917</v>
      </c>
      <c r="J15023" s="0" t="s">
        <v>49918</v>
      </c>
      <c r="K15023" s="0" t="s">
        <v>49919</v>
      </c>
      <c r="L15023" s="0" t="str">
        <f aca="false">HYPERLINK("https://www.ncbi.nlm.nih.gov/nuccore/CP000058.1?report=graph&amp;tracks=[key:gene_model_track,Options:GeneOnly]&amp;mk=4653355:4653374|offset_19|444444,4653429:4653448|offset_93|444444,4653488:4653507|offset_152|00cc00,4653514:4653533|offset_178|444444&amp;v=4653154:4653733&amp;c=444444", "offset 152")</f>
        <v>offset 152</v>
      </c>
    </row>
    <row r="15024" customFormat="false" ht="12.8" hidden="false" customHeight="false" outlineLevel="0" collapsed="false">
      <c r="A15024" s="0" t="s">
        <v>12</v>
      </c>
      <c r="B15024" s="0" t="n">
        <v>4653513</v>
      </c>
      <c r="C15024" s="0" t="n">
        <v>4653533</v>
      </c>
      <c r="D15024" s="0" t="s">
        <v>49910</v>
      </c>
      <c r="E15024" s="0" t="s">
        <v>75</v>
      </c>
      <c r="F15024" s="0" t="s">
        <v>15</v>
      </c>
      <c r="G15024" s="0" t="s">
        <v>32</v>
      </c>
      <c r="H15024" s="0" t="n">
        <v>178</v>
      </c>
      <c r="I15024" s="0" t="s">
        <v>49920</v>
      </c>
      <c r="J15024" s="0" t="s">
        <v>49921</v>
      </c>
      <c r="K15024" s="0" t="s">
        <v>49922</v>
      </c>
      <c r="L15024" s="0" t="str">
        <f aca="false">HYPERLINK("https://www.ncbi.nlm.nih.gov/nuccore/CP000058.1?report=graph&amp;tracks=[key:gene_model_track,Options:GeneOnly]&amp;mk=4653355:4653374|offset_19|444444,4653429:4653448|offset_93|444444,4653488:4653507|offset_152|444444,4653514:4653533|offset_178|00cc00&amp;v=4653154:4653733&amp;c=444444", "offset 178")</f>
        <v>offset 178</v>
      </c>
    </row>
    <row r="15025" customFormat="false" ht="12.8" hidden="false" customHeight="false" outlineLevel="0" collapsed="false">
      <c r="A15025" s="0" t="s">
        <v>12</v>
      </c>
      <c r="B15025" s="0" t="n">
        <v>4654619</v>
      </c>
      <c r="C15025" s="0" t="n">
        <v>4654639</v>
      </c>
      <c r="D15025" s="0" t="s">
        <v>49923</v>
      </c>
      <c r="E15025" s="0" t="s">
        <v>75</v>
      </c>
      <c r="F15025" s="0" t="s">
        <v>90</v>
      </c>
      <c r="G15025" s="0" t="s">
        <v>32</v>
      </c>
      <c r="H15025" s="0" t="n">
        <v>55</v>
      </c>
      <c r="I15025" s="0" t="s">
        <v>49924</v>
      </c>
      <c r="J15025" s="0" t="s">
        <v>49925</v>
      </c>
      <c r="K15025" s="0" t="s">
        <v>49926</v>
      </c>
      <c r="L15025" s="0" t="str">
        <f aca="false">HYPERLINK("https://www.ncbi.nlm.nih.gov/nuccore/CP000058.1?report=graph&amp;tracks=[key:gene_model_track,Options:GeneOnly]&amp;mk=4654620:4654639|offset_55|00cc00,4654591:4654610|offset_84|444444,4654547:4654566|offset_128|444444,4654507:4654526|offset_168|444444&amp;v=4654419:4654726&amp;c=444444", "offset 55")</f>
        <v>offset 55</v>
      </c>
    </row>
    <row r="15026" customFormat="false" ht="12.8" hidden="false" customHeight="false" outlineLevel="0" collapsed="false">
      <c r="A15026" s="0" t="s">
        <v>12</v>
      </c>
      <c r="B15026" s="0" t="n">
        <v>4654590</v>
      </c>
      <c r="C15026" s="0" t="n">
        <v>4654610</v>
      </c>
      <c r="D15026" s="0" t="s">
        <v>49923</v>
      </c>
      <c r="E15026" s="0" t="s">
        <v>75</v>
      </c>
      <c r="F15026" s="0" t="s">
        <v>90</v>
      </c>
      <c r="G15026" s="0" t="s">
        <v>16</v>
      </c>
      <c r="H15026" s="0" t="n">
        <v>84</v>
      </c>
      <c r="I15026" s="0" t="s">
        <v>49927</v>
      </c>
      <c r="J15026" s="0" t="s">
        <v>49928</v>
      </c>
      <c r="K15026" s="0" t="s">
        <v>49929</v>
      </c>
      <c r="L15026" s="0" t="str">
        <f aca="false">HYPERLINK("https://www.ncbi.nlm.nih.gov/nuccore/CP000058.1?report=graph&amp;tracks=[key:gene_model_track,Options:GeneOnly]&amp;mk=4654620:4654639|offset_55|444444,4654591:4654610|offset_84|00cc00,4654547:4654566|offset_128|444444,4654507:4654526|offset_168|444444&amp;v=4654419:4654726&amp;c=444444", "offset 84")</f>
        <v>offset 84</v>
      </c>
    </row>
    <row r="15027" customFormat="false" ht="12.8" hidden="false" customHeight="false" outlineLevel="0" collapsed="false">
      <c r="A15027" s="0" t="s">
        <v>12</v>
      </c>
      <c r="B15027" s="0" t="n">
        <v>4654546</v>
      </c>
      <c r="C15027" s="0" t="n">
        <v>4654566</v>
      </c>
      <c r="D15027" s="0" t="s">
        <v>49923</v>
      </c>
      <c r="E15027" s="0" t="s">
        <v>75</v>
      </c>
      <c r="F15027" s="0" t="s">
        <v>90</v>
      </c>
      <c r="G15027" s="0" t="s">
        <v>36</v>
      </c>
      <c r="H15027" s="0" t="n">
        <v>128</v>
      </c>
      <c r="I15027" s="0" t="s">
        <v>49930</v>
      </c>
      <c r="J15027" s="0" t="s">
        <v>49931</v>
      </c>
      <c r="K15027" s="0" t="s">
        <v>49932</v>
      </c>
      <c r="L15027" s="0" t="str">
        <f aca="false">HYPERLINK("https://www.ncbi.nlm.nih.gov/nuccore/CP000058.1?report=graph&amp;tracks=[key:gene_model_track,Options:GeneOnly]&amp;mk=4654620:4654639|offset_55|444444,4654591:4654610|offset_84|444444,4654547:4654566|offset_128|00cc00,4654507:4654526|offset_168|444444&amp;v=4654419:4654726&amp;c=444444", "offset 128")</f>
        <v>offset 128</v>
      </c>
    </row>
    <row r="15028" customFormat="false" ht="12.8" hidden="false" customHeight="false" outlineLevel="0" collapsed="false">
      <c r="A15028" s="0" t="s">
        <v>12</v>
      </c>
      <c r="B15028" s="0" t="n">
        <v>4654506</v>
      </c>
      <c r="C15028" s="0" t="n">
        <v>4654526</v>
      </c>
      <c r="D15028" s="0" t="s">
        <v>49923</v>
      </c>
      <c r="E15028" s="0" t="s">
        <v>75</v>
      </c>
      <c r="F15028" s="0" t="s">
        <v>90</v>
      </c>
      <c r="G15028" s="0" t="s">
        <v>20</v>
      </c>
      <c r="H15028" s="0" t="n">
        <v>168</v>
      </c>
      <c r="I15028" s="0" t="s">
        <v>49933</v>
      </c>
      <c r="J15028" s="0" t="s">
        <v>49934</v>
      </c>
      <c r="K15028" s="0" t="s">
        <v>49935</v>
      </c>
      <c r="L15028" s="0" t="str">
        <f aca="false">HYPERLINK("https://www.ncbi.nlm.nih.gov/nuccore/CP000058.1?report=graph&amp;tracks=[key:gene_model_track,Options:GeneOnly]&amp;mk=4654620:4654639|offset_55|444444,4654591:4654610|offset_84|444444,4654547:4654566|offset_128|444444,4654507:4654526|offset_168|00cc00&amp;v=4654419:4654726&amp;c=444444", "offset 168")</f>
        <v>offset 168</v>
      </c>
    </row>
    <row r="15029" customFormat="false" ht="12.8" hidden="false" customHeight="false" outlineLevel="0" collapsed="false">
      <c r="A15029" s="0" t="s">
        <v>12</v>
      </c>
      <c r="B15029" s="0" t="n">
        <v>4655377</v>
      </c>
      <c r="C15029" s="0" t="n">
        <v>4655397</v>
      </c>
      <c r="D15029" s="0" t="s">
        <v>49936</v>
      </c>
      <c r="E15029" s="0" t="s">
        <v>75</v>
      </c>
      <c r="F15029" s="0" t="s">
        <v>90</v>
      </c>
      <c r="G15029" s="0" t="s">
        <v>20</v>
      </c>
      <c r="H15029" s="0" t="n">
        <v>16</v>
      </c>
      <c r="I15029" s="0" t="s">
        <v>49937</v>
      </c>
      <c r="J15029" s="0" t="s">
        <v>49938</v>
      </c>
      <c r="K15029" s="0" t="s">
        <v>49939</v>
      </c>
      <c r="L15029" s="0" t="str">
        <f aca="false">HYPERLINK("https://www.ncbi.nlm.nih.gov/nuccore/CP000058.1?report=graph&amp;tracks=[key:gene_model_track,Options:GeneOnly]&amp;mk=4655378:4655397|offset_16|00cc00,4655335:4655354|offset_59|444444,4655298:4655317|offset_96|444444,4655228:4655247|offset_166|444444&amp;v=4655177:4655447&amp;c=444444", "offset 16")</f>
        <v>offset 16</v>
      </c>
    </row>
    <row r="15030" customFormat="false" ht="12.8" hidden="false" customHeight="false" outlineLevel="0" collapsed="false">
      <c r="A15030" s="0" t="s">
        <v>12</v>
      </c>
      <c r="B15030" s="0" t="n">
        <v>4655334</v>
      </c>
      <c r="C15030" s="0" t="n">
        <v>4655354</v>
      </c>
      <c r="D15030" s="0" t="s">
        <v>49936</v>
      </c>
      <c r="E15030" s="0" t="s">
        <v>75</v>
      </c>
      <c r="F15030" s="0" t="s">
        <v>90</v>
      </c>
      <c r="G15030" s="0" t="s">
        <v>32</v>
      </c>
      <c r="H15030" s="0" t="n">
        <v>59</v>
      </c>
      <c r="I15030" s="0" t="s">
        <v>49940</v>
      </c>
      <c r="J15030" s="0" t="s">
        <v>49941</v>
      </c>
      <c r="K15030" s="0" t="s">
        <v>49942</v>
      </c>
      <c r="L15030" s="0" t="str">
        <f aca="false">HYPERLINK("https://www.ncbi.nlm.nih.gov/nuccore/CP000058.1?report=graph&amp;tracks=[key:gene_model_track,Options:GeneOnly]&amp;mk=4655378:4655397|offset_16|444444,4655335:4655354|offset_59|00cc00,4655298:4655317|offset_96|444444,4655228:4655247|offset_166|444444&amp;v=4655177:4655447&amp;c=444444", "offset 59")</f>
        <v>offset 59</v>
      </c>
    </row>
    <row r="15031" customFormat="false" ht="12.8" hidden="false" customHeight="false" outlineLevel="0" collapsed="false">
      <c r="A15031" s="0" t="s">
        <v>12</v>
      </c>
      <c r="B15031" s="0" t="n">
        <v>4655297</v>
      </c>
      <c r="C15031" s="0" t="n">
        <v>4655317</v>
      </c>
      <c r="D15031" s="0" t="s">
        <v>49936</v>
      </c>
      <c r="E15031" s="0" t="s">
        <v>75</v>
      </c>
      <c r="F15031" s="0" t="s">
        <v>90</v>
      </c>
      <c r="G15031" s="0" t="s">
        <v>36</v>
      </c>
      <c r="H15031" s="0" t="n">
        <v>96</v>
      </c>
      <c r="I15031" s="0" t="s">
        <v>49943</v>
      </c>
      <c r="J15031" s="0" t="s">
        <v>49944</v>
      </c>
      <c r="K15031" s="0" t="s">
        <v>49945</v>
      </c>
      <c r="L15031" s="0" t="str">
        <f aca="false">HYPERLINK("https://www.ncbi.nlm.nih.gov/nuccore/CP000058.1?report=graph&amp;tracks=[key:gene_model_track,Options:GeneOnly]&amp;mk=4655378:4655397|offset_16|444444,4655335:4655354|offset_59|444444,4655298:4655317|offset_96|00cc00,4655228:4655247|offset_166|444444&amp;v=4655177:4655447&amp;c=444444", "offset 96")</f>
        <v>offset 96</v>
      </c>
    </row>
    <row r="15032" customFormat="false" ht="12.8" hidden="false" customHeight="false" outlineLevel="0" collapsed="false">
      <c r="A15032" s="0" t="s">
        <v>12</v>
      </c>
      <c r="B15032" s="0" t="n">
        <v>4655227</v>
      </c>
      <c r="C15032" s="0" t="n">
        <v>4655247</v>
      </c>
      <c r="D15032" s="0" t="s">
        <v>49936</v>
      </c>
      <c r="E15032" s="0" t="s">
        <v>75</v>
      </c>
      <c r="F15032" s="0" t="s">
        <v>90</v>
      </c>
      <c r="G15032" s="0" t="s">
        <v>32</v>
      </c>
      <c r="H15032" s="0" t="n">
        <v>166</v>
      </c>
      <c r="I15032" s="0" t="s">
        <v>49946</v>
      </c>
      <c r="J15032" s="0" t="s">
        <v>49947</v>
      </c>
      <c r="K15032" s="0" t="s">
        <v>49948</v>
      </c>
      <c r="L15032" s="0" t="str">
        <f aca="false">HYPERLINK("https://www.ncbi.nlm.nih.gov/nuccore/CP000058.1?report=graph&amp;tracks=[key:gene_model_track,Options:GeneOnly]&amp;mk=4655378:4655397|offset_16|444444,4655335:4655354|offset_59|444444,4655298:4655317|offset_96|444444,4655228:4655247|offset_166|00cc00&amp;v=4655177:4655447&amp;c=444444", "offset 166")</f>
        <v>offset 166</v>
      </c>
    </row>
    <row r="15033" customFormat="false" ht="12.8" hidden="false" customHeight="false" outlineLevel="0" collapsed="false">
      <c r="A15033" s="0" t="s">
        <v>12</v>
      </c>
      <c r="B15033" s="0" t="n">
        <v>4656114</v>
      </c>
      <c r="C15033" s="0" t="n">
        <v>4656134</v>
      </c>
      <c r="D15033" s="0" t="s">
        <v>49949</v>
      </c>
      <c r="E15033" s="0" t="s">
        <v>75</v>
      </c>
      <c r="F15033" s="0" t="s">
        <v>90</v>
      </c>
      <c r="G15033" s="0" t="s">
        <v>20</v>
      </c>
      <c r="H15033" s="0" t="n">
        <v>15</v>
      </c>
      <c r="I15033" s="0" t="s">
        <v>49950</v>
      </c>
      <c r="J15033" s="0" t="s">
        <v>49951</v>
      </c>
      <c r="K15033" s="0" t="s">
        <v>49952</v>
      </c>
      <c r="L15033" s="0" t="str">
        <f aca="false">HYPERLINK("https://www.ncbi.nlm.nih.gov/nuccore/CP000058.1?report=graph&amp;tracks=[key:gene_model_track,Options:GeneOnly]&amp;mk=4656115:4656134|offset_15|00cc00,4656068:4656087|offset_62|444444,4656048:4656067|offset_82|444444,4656014:4656033|offset_116|444444&amp;v=4655914:4656233&amp;c=444444", "offset 15")</f>
        <v>offset 15</v>
      </c>
    </row>
    <row r="15034" customFormat="false" ht="12.8" hidden="false" customHeight="false" outlineLevel="0" collapsed="false">
      <c r="A15034" s="0" t="s">
        <v>12</v>
      </c>
      <c r="B15034" s="0" t="n">
        <v>4656067</v>
      </c>
      <c r="C15034" s="0" t="n">
        <v>4656087</v>
      </c>
      <c r="D15034" s="0" t="s">
        <v>49949</v>
      </c>
      <c r="E15034" s="0" t="s">
        <v>75</v>
      </c>
      <c r="F15034" s="0" t="s">
        <v>90</v>
      </c>
      <c r="G15034" s="0" t="s">
        <v>16</v>
      </c>
      <c r="H15034" s="0" t="n">
        <v>62</v>
      </c>
      <c r="I15034" s="0" t="s">
        <v>49953</v>
      </c>
      <c r="J15034" s="0" t="s">
        <v>49954</v>
      </c>
      <c r="K15034" s="0" t="s">
        <v>49955</v>
      </c>
      <c r="L15034" s="0" t="str">
        <f aca="false">HYPERLINK("https://www.ncbi.nlm.nih.gov/nuccore/CP000058.1?report=graph&amp;tracks=[key:gene_model_track,Options:GeneOnly]&amp;mk=4656115:4656134|offset_15|444444,4656068:4656087|offset_62|00cc00,4656048:4656067|offset_82|444444,4656014:4656033|offset_116|444444&amp;v=4655914:4656233&amp;c=444444", "offset 62")</f>
        <v>offset 62</v>
      </c>
    </row>
    <row r="15035" customFormat="false" ht="12.8" hidden="false" customHeight="false" outlineLevel="0" collapsed="false">
      <c r="A15035" s="0" t="s">
        <v>12</v>
      </c>
      <c r="B15035" s="0" t="n">
        <v>4656047</v>
      </c>
      <c r="C15035" s="0" t="n">
        <v>4656067</v>
      </c>
      <c r="D15035" s="0" t="s">
        <v>49949</v>
      </c>
      <c r="E15035" s="0" t="s">
        <v>75</v>
      </c>
      <c r="F15035" s="0" t="s">
        <v>90</v>
      </c>
      <c r="G15035" s="0" t="s">
        <v>36</v>
      </c>
      <c r="H15035" s="0" t="n">
        <v>82</v>
      </c>
      <c r="I15035" s="0" t="s">
        <v>49956</v>
      </c>
      <c r="J15035" s="0" t="s">
        <v>49957</v>
      </c>
      <c r="K15035" s="0" t="s">
        <v>49958</v>
      </c>
      <c r="L15035" s="0" t="str">
        <f aca="false">HYPERLINK("https://www.ncbi.nlm.nih.gov/nuccore/CP000058.1?report=graph&amp;tracks=[key:gene_model_track,Options:GeneOnly]&amp;mk=4656115:4656134|offset_15|444444,4656068:4656087|offset_62|444444,4656048:4656067|offset_82|00cc00,4656014:4656033|offset_116|444444&amp;v=4655914:4656233&amp;c=444444", "offset 82")</f>
        <v>offset 82</v>
      </c>
    </row>
    <row r="15036" customFormat="false" ht="12.8" hidden="false" customHeight="false" outlineLevel="0" collapsed="false">
      <c r="A15036" s="0" t="s">
        <v>12</v>
      </c>
      <c r="B15036" s="0" t="n">
        <v>4656013</v>
      </c>
      <c r="C15036" s="0" t="n">
        <v>4656033</v>
      </c>
      <c r="D15036" s="0" t="s">
        <v>49949</v>
      </c>
      <c r="E15036" s="0" t="s">
        <v>75</v>
      </c>
      <c r="F15036" s="0" t="s">
        <v>90</v>
      </c>
      <c r="G15036" s="0" t="s">
        <v>20</v>
      </c>
      <c r="H15036" s="0" t="n">
        <v>116</v>
      </c>
      <c r="I15036" s="0" t="s">
        <v>49959</v>
      </c>
      <c r="J15036" s="0" t="s">
        <v>49960</v>
      </c>
      <c r="K15036" s="0" t="s">
        <v>49961</v>
      </c>
      <c r="L15036" s="0" t="str">
        <f aca="false">HYPERLINK("https://www.ncbi.nlm.nih.gov/nuccore/CP000058.1?report=graph&amp;tracks=[key:gene_model_track,Options:GeneOnly]&amp;mk=4656115:4656134|offset_15|444444,4656068:4656087|offset_62|444444,4656048:4656067|offset_82|444444,4656014:4656033|offset_116|00cc00&amp;v=4655914:4656233&amp;c=444444", "offset 116")</f>
        <v>offset 116</v>
      </c>
    </row>
    <row r="15037" customFormat="false" ht="12.8" hidden="false" customHeight="false" outlineLevel="0" collapsed="false">
      <c r="A15037" s="0" t="s">
        <v>12</v>
      </c>
      <c r="B15037" s="0" t="n">
        <v>4657544</v>
      </c>
      <c r="C15037" s="0" t="n">
        <v>4657564</v>
      </c>
      <c r="D15037" s="0" t="s">
        <v>49962</v>
      </c>
      <c r="E15037" s="0" t="s">
        <v>49963</v>
      </c>
      <c r="F15037" s="0" t="s">
        <v>90</v>
      </c>
      <c r="G15037" s="0" t="s">
        <v>36</v>
      </c>
      <c r="H15037" s="0" t="n">
        <v>25</v>
      </c>
      <c r="I15037" s="0" t="s">
        <v>49964</v>
      </c>
      <c r="J15037" s="0" t="s">
        <v>49965</v>
      </c>
      <c r="K15037" s="0" t="s">
        <v>49966</v>
      </c>
      <c r="L15037" s="0" t="str">
        <f aca="false">HYPERLINK("https://www.ncbi.nlm.nih.gov/nuccore/CP000058.1?report=graph&amp;tracks=[key:gene_model_track,Options:GeneOnly]&amp;mk=4657545:4657564|offset_25|00cc00,4657500:4657519|offset_70|444444,4657473:4657492|offset_97|444444,4657437:4657456|offset_133|444444&amp;v=4657344:4657656&amp;c=444444", "offset 25")</f>
        <v>offset 25</v>
      </c>
    </row>
    <row r="15038" customFormat="false" ht="12.8" hidden="false" customHeight="false" outlineLevel="0" collapsed="false">
      <c r="A15038" s="0" t="s">
        <v>12</v>
      </c>
      <c r="B15038" s="0" t="n">
        <v>4657499</v>
      </c>
      <c r="C15038" s="0" t="n">
        <v>4657519</v>
      </c>
      <c r="D15038" s="0" t="s">
        <v>49962</v>
      </c>
      <c r="E15038" s="0" t="s">
        <v>49963</v>
      </c>
      <c r="F15038" s="0" t="s">
        <v>90</v>
      </c>
      <c r="G15038" s="0" t="s">
        <v>16</v>
      </c>
      <c r="H15038" s="0" t="n">
        <v>70</v>
      </c>
      <c r="I15038" s="0" t="s">
        <v>49967</v>
      </c>
      <c r="J15038" s="0" t="s">
        <v>49968</v>
      </c>
      <c r="K15038" s="0" t="s">
        <v>49969</v>
      </c>
      <c r="L15038" s="0" t="str">
        <f aca="false">HYPERLINK("https://www.ncbi.nlm.nih.gov/nuccore/CP000058.1?report=graph&amp;tracks=[key:gene_model_track,Options:GeneOnly]&amp;mk=4657545:4657564|offset_25|444444,4657500:4657519|offset_70|00cc00,4657473:4657492|offset_97|444444,4657437:4657456|offset_133|444444&amp;v=4657344:4657656&amp;c=444444", "offset 70")</f>
        <v>offset 70</v>
      </c>
    </row>
    <row r="15039" customFormat="false" ht="12.8" hidden="false" customHeight="false" outlineLevel="0" collapsed="false">
      <c r="A15039" s="0" t="s">
        <v>12</v>
      </c>
      <c r="B15039" s="0" t="n">
        <v>4657472</v>
      </c>
      <c r="C15039" s="0" t="n">
        <v>4657492</v>
      </c>
      <c r="D15039" s="0" t="s">
        <v>49962</v>
      </c>
      <c r="E15039" s="0" t="s">
        <v>49963</v>
      </c>
      <c r="F15039" s="0" t="s">
        <v>90</v>
      </c>
      <c r="G15039" s="0" t="s">
        <v>32</v>
      </c>
      <c r="H15039" s="0" t="n">
        <v>97</v>
      </c>
      <c r="I15039" s="0" t="s">
        <v>49970</v>
      </c>
      <c r="J15039" s="0" t="s">
        <v>49971</v>
      </c>
      <c r="K15039" s="0" t="s">
        <v>49972</v>
      </c>
      <c r="L15039" s="0" t="str">
        <f aca="false">HYPERLINK("https://www.ncbi.nlm.nih.gov/nuccore/CP000058.1?report=graph&amp;tracks=[key:gene_model_track,Options:GeneOnly]&amp;mk=4657545:4657564|offset_25|444444,4657500:4657519|offset_70|444444,4657473:4657492|offset_97|00cc00,4657437:4657456|offset_133|444444&amp;v=4657344:4657656&amp;c=444444", "offset 97")</f>
        <v>offset 97</v>
      </c>
    </row>
    <row r="15040" customFormat="false" ht="12.8" hidden="false" customHeight="false" outlineLevel="0" collapsed="false">
      <c r="A15040" s="0" t="s">
        <v>12</v>
      </c>
      <c r="B15040" s="0" t="n">
        <v>4657436</v>
      </c>
      <c r="C15040" s="0" t="n">
        <v>4657456</v>
      </c>
      <c r="D15040" s="0" t="s">
        <v>49962</v>
      </c>
      <c r="E15040" s="0" t="s">
        <v>49963</v>
      </c>
      <c r="F15040" s="0" t="s">
        <v>90</v>
      </c>
      <c r="G15040" s="0" t="s">
        <v>16</v>
      </c>
      <c r="H15040" s="0" t="n">
        <v>133</v>
      </c>
      <c r="I15040" s="0" t="s">
        <v>49973</v>
      </c>
      <c r="J15040" s="0" t="s">
        <v>49974</v>
      </c>
      <c r="K15040" s="0" t="s">
        <v>49975</v>
      </c>
      <c r="L15040" s="0" t="str">
        <f aca="false">HYPERLINK("https://www.ncbi.nlm.nih.gov/nuccore/CP000058.1?report=graph&amp;tracks=[key:gene_model_track,Options:GeneOnly]&amp;mk=4657545:4657564|offset_25|444444,4657500:4657519|offset_70|444444,4657473:4657492|offset_97|444444,4657437:4657456|offset_133|00cc00&amp;v=4657344:4657656&amp;c=444444", "offset 133")</f>
        <v>offset 133</v>
      </c>
    </row>
    <row r="15041" customFormat="false" ht="12.8" hidden="false" customHeight="false" outlineLevel="0" collapsed="false">
      <c r="A15041" s="0" t="s">
        <v>12</v>
      </c>
      <c r="B15041" s="0" t="n">
        <v>4658213</v>
      </c>
      <c r="C15041" s="0" t="n">
        <v>4658233</v>
      </c>
      <c r="D15041" s="0" t="s">
        <v>49976</v>
      </c>
      <c r="E15041" s="0" t="s">
        <v>49977</v>
      </c>
      <c r="F15041" s="0" t="s">
        <v>90</v>
      </c>
      <c r="G15041" s="0" t="s">
        <v>16</v>
      </c>
      <c r="H15041" s="0" t="n">
        <v>29</v>
      </c>
      <c r="I15041" s="0" t="s">
        <v>49978</v>
      </c>
      <c r="J15041" s="0" t="s">
        <v>49979</v>
      </c>
      <c r="K15041" s="0" t="s">
        <v>49980</v>
      </c>
      <c r="L15041" s="0" t="str">
        <f aca="false">HYPERLINK("https://www.ncbi.nlm.nih.gov/nuccore/CP000058.1?report=graph&amp;tracks=[key:gene_model_track,Options:GeneOnly]&amp;mk=4658214:4658233|offset_29|00cc00,4658191:4658210|offset_52|444444,4658164:4658183|offset_79|444444,4658142:4658161|offset_101|444444&amp;v=4658013:4658361&amp;c=444444", "offset 29")</f>
        <v>offset 29</v>
      </c>
    </row>
    <row r="15042" customFormat="false" ht="12.8" hidden="false" customHeight="false" outlineLevel="0" collapsed="false">
      <c r="A15042" s="0" t="s">
        <v>12</v>
      </c>
      <c r="B15042" s="0" t="n">
        <v>4658190</v>
      </c>
      <c r="C15042" s="0" t="n">
        <v>4658210</v>
      </c>
      <c r="D15042" s="0" t="s">
        <v>49976</v>
      </c>
      <c r="E15042" s="0" t="s">
        <v>49977</v>
      </c>
      <c r="F15042" s="0" t="s">
        <v>90</v>
      </c>
      <c r="G15042" s="0" t="s">
        <v>16</v>
      </c>
      <c r="H15042" s="0" t="n">
        <v>52</v>
      </c>
      <c r="I15042" s="0" t="s">
        <v>49981</v>
      </c>
      <c r="J15042" s="0" t="s">
        <v>49982</v>
      </c>
      <c r="K15042" s="0" t="s">
        <v>49983</v>
      </c>
      <c r="L15042" s="0" t="str">
        <f aca="false">HYPERLINK("https://www.ncbi.nlm.nih.gov/nuccore/CP000058.1?report=graph&amp;tracks=[key:gene_model_track,Options:GeneOnly]&amp;mk=4658214:4658233|offset_29|444444,4658191:4658210|offset_52|00cc00,4658164:4658183|offset_79|444444,4658142:4658161|offset_101|444444&amp;v=4658013:4658361&amp;c=444444", "offset 52")</f>
        <v>offset 52</v>
      </c>
    </row>
    <row r="15043" customFormat="false" ht="12.8" hidden="false" customHeight="false" outlineLevel="0" collapsed="false">
      <c r="A15043" s="0" t="s">
        <v>12</v>
      </c>
      <c r="B15043" s="0" t="n">
        <v>4658163</v>
      </c>
      <c r="C15043" s="0" t="n">
        <v>4658183</v>
      </c>
      <c r="D15043" s="0" t="s">
        <v>49976</v>
      </c>
      <c r="E15043" s="0" t="s">
        <v>49977</v>
      </c>
      <c r="F15043" s="0" t="s">
        <v>90</v>
      </c>
      <c r="G15043" s="0" t="s">
        <v>16</v>
      </c>
      <c r="H15043" s="0" t="n">
        <v>79</v>
      </c>
      <c r="I15043" s="0" t="s">
        <v>49984</v>
      </c>
      <c r="J15043" s="0" t="s">
        <v>49985</v>
      </c>
      <c r="K15043" s="0" t="s">
        <v>49986</v>
      </c>
      <c r="L15043" s="0" t="str">
        <f aca="false">HYPERLINK("https://www.ncbi.nlm.nih.gov/nuccore/CP000058.1?report=graph&amp;tracks=[key:gene_model_track,Options:GeneOnly]&amp;mk=4658214:4658233|offset_29|444444,4658191:4658210|offset_52|444444,4658164:4658183|offset_79|00cc00,4658142:4658161|offset_101|444444&amp;v=4658013:4658361&amp;c=444444", "offset 79")</f>
        <v>offset 79</v>
      </c>
    </row>
    <row r="15044" customFormat="false" ht="12.8" hidden="false" customHeight="false" outlineLevel="0" collapsed="false">
      <c r="A15044" s="0" t="s">
        <v>12</v>
      </c>
      <c r="B15044" s="0" t="n">
        <v>4658141</v>
      </c>
      <c r="C15044" s="0" t="n">
        <v>4658161</v>
      </c>
      <c r="D15044" s="0" t="s">
        <v>49976</v>
      </c>
      <c r="E15044" s="0" t="s">
        <v>49977</v>
      </c>
      <c r="F15044" s="0" t="s">
        <v>90</v>
      </c>
      <c r="G15044" s="0" t="s">
        <v>20</v>
      </c>
      <c r="H15044" s="0" t="n">
        <v>101</v>
      </c>
      <c r="I15044" s="0" t="s">
        <v>49987</v>
      </c>
      <c r="J15044" s="0" t="s">
        <v>49988</v>
      </c>
      <c r="K15044" s="0" t="s">
        <v>49989</v>
      </c>
      <c r="L15044" s="0" t="str">
        <f aca="false">HYPERLINK("https://www.ncbi.nlm.nih.gov/nuccore/CP000058.1?report=graph&amp;tracks=[key:gene_model_track,Options:GeneOnly]&amp;mk=4658214:4658233|offset_29|444444,4658191:4658210|offset_52|444444,4658164:4658183|offset_79|444444,4658142:4658161|offset_101|00cc00&amp;v=4658013:4658361&amp;c=444444", "offset 101")</f>
        <v>offset 101</v>
      </c>
    </row>
    <row r="15045" customFormat="false" ht="12.8" hidden="false" customHeight="false" outlineLevel="0" collapsed="false">
      <c r="A15045" s="0" t="s">
        <v>12</v>
      </c>
      <c r="B15045" s="0" t="n">
        <v>4658452</v>
      </c>
      <c r="C15045" s="0" t="n">
        <v>4658472</v>
      </c>
      <c r="D15045" s="0" t="s">
        <v>49990</v>
      </c>
      <c r="E15045" s="0" t="s">
        <v>75</v>
      </c>
      <c r="F15045" s="0" t="s">
        <v>15</v>
      </c>
      <c r="G15045" s="0" t="s">
        <v>16</v>
      </c>
      <c r="H15045" s="0" t="n">
        <v>13</v>
      </c>
      <c r="I15045" s="0" t="s">
        <v>49991</v>
      </c>
      <c r="J15045" s="0" t="s">
        <v>49992</v>
      </c>
      <c r="K15045" s="0" t="s">
        <v>49993</v>
      </c>
      <c r="L15045" s="0" t="str">
        <f aca="false">HYPERLINK("https://www.ncbi.nlm.nih.gov/nuccore/CP000058.1?report=graph&amp;tracks=[key:gene_model_track,Options:GeneOnly]&amp;mk=4658453:4658472|offset_13|00cc00,4658485:4658504|offset_45|444444,4658505:4658524|offset_65|444444,4658526:4658545|offset_86|444444&amp;v=4658252:4658745&amp;c=444444", "offset 13")</f>
        <v>offset 13</v>
      </c>
    </row>
    <row r="15046" customFormat="false" ht="12.8" hidden="false" customHeight="false" outlineLevel="0" collapsed="false">
      <c r="A15046" s="0" t="s">
        <v>12</v>
      </c>
      <c r="B15046" s="0" t="n">
        <v>4658484</v>
      </c>
      <c r="C15046" s="0" t="n">
        <v>4658504</v>
      </c>
      <c r="D15046" s="0" t="s">
        <v>49990</v>
      </c>
      <c r="E15046" s="0" t="s">
        <v>75</v>
      </c>
      <c r="F15046" s="0" t="s">
        <v>15</v>
      </c>
      <c r="G15046" s="0" t="s">
        <v>16</v>
      </c>
      <c r="H15046" s="0" t="n">
        <v>45</v>
      </c>
      <c r="I15046" s="0" t="s">
        <v>49994</v>
      </c>
      <c r="J15046" s="0" t="s">
        <v>49995</v>
      </c>
      <c r="K15046" s="0" t="s">
        <v>49996</v>
      </c>
      <c r="L15046" s="0" t="str">
        <f aca="false">HYPERLINK("https://www.ncbi.nlm.nih.gov/nuccore/CP000058.1?report=graph&amp;tracks=[key:gene_model_track,Options:GeneOnly]&amp;mk=4658453:4658472|offset_13|444444,4658485:4658504|offset_45|00cc00,4658505:4658524|offset_65|444444,4658526:4658545|offset_86|444444&amp;v=4658252:4658745&amp;c=444444", "offset 45")</f>
        <v>offset 45</v>
      </c>
    </row>
    <row r="15047" customFormat="false" ht="12.8" hidden="false" customHeight="false" outlineLevel="0" collapsed="false">
      <c r="A15047" s="0" t="s">
        <v>12</v>
      </c>
      <c r="B15047" s="0" t="n">
        <v>4658504</v>
      </c>
      <c r="C15047" s="0" t="n">
        <v>4658524</v>
      </c>
      <c r="D15047" s="0" t="s">
        <v>49990</v>
      </c>
      <c r="E15047" s="0" t="s">
        <v>75</v>
      </c>
      <c r="F15047" s="0" t="s">
        <v>15</v>
      </c>
      <c r="G15047" s="0" t="s">
        <v>36</v>
      </c>
      <c r="H15047" s="0" t="n">
        <v>65</v>
      </c>
      <c r="I15047" s="0" t="s">
        <v>49997</v>
      </c>
      <c r="J15047" s="0" t="s">
        <v>49998</v>
      </c>
      <c r="K15047" s="0" t="s">
        <v>49999</v>
      </c>
      <c r="L15047" s="0" t="str">
        <f aca="false">HYPERLINK("https://www.ncbi.nlm.nih.gov/nuccore/CP000058.1?report=graph&amp;tracks=[key:gene_model_track,Options:GeneOnly]&amp;mk=4658453:4658472|offset_13|444444,4658485:4658504|offset_45|444444,4658505:4658524|offset_65|00cc00,4658526:4658545|offset_86|444444&amp;v=4658252:4658745&amp;c=444444", "offset 65")</f>
        <v>offset 65</v>
      </c>
    </row>
    <row r="15048" customFormat="false" ht="12.8" hidden="false" customHeight="false" outlineLevel="0" collapsed="false">
      <c r="A15048" s="0" t="s">
        <v>12</v>
      </c>
      <c r="B15048" s="0" t="n">
        <v>4658525</v>
      </c>
      <c r="C15048" s="0" t="n">
        <v>4658545</v>
      </c>
      <c r="D15048" s="0" t="s">
        <v>49990</v>
      </c>
      <c r="E15048" s="0" t="s">
        <v>75</v>
      </c>
      <c r="F15048" s="0" t="s">
        <v>15</v>
      </c>
      <c r="G15048" s="0" t="s">
        <v>20</v>
      </c>
      <c r="H15048" s="0" t="n">
        <v>86</v>
      </c>
      <c r="I15048" s="0" t="s">
        <v>50000</v>
      </c>
      <c r="J15048" s="0" t="s">
        <v>50001</v>
      </c>
      <c r="K15048" s="0" t="s">
        <v>50002</v>
      </c>
      <c r="L15048" s="0" t="str">
        <f aca="false">HYPERLINK("https://www.ncbi.nlm.nih.gov/nuccore/CP000058.1?report=graph&amp;tracks=[key:gene_model_track,Options:GeneOnly]&amp;mk=4658453:4658472|offset_13|444444,4658485:4658504|offset_45|444444,4658505:4658524|offset_65|444444,4658526:4658545|offset_86|00cc00&amp;v=4658252:4658745&amp;c=444444", "offset 86")</f>
        <v>offset 86</v>
      </c>
    </row>
    <row r="15049" customFormat="false" ht="12.8" hidden="false" customHeight="false" outlineLevel="0" collapsed="false">
      <c r="A15049" s="0" t="s">
        <v>12</v>
      </c>
      <c r="B15049" s="0" t="n">
        <v>4660847</v>
      </c>
      <c r="C15049" s="0" t="n">
        <v>4660867</v>
      </c>
      <c r="D15049" s="0" t="s">
        <v>50003</v>
      </c>
      <c r="E15049" s="0" t="s">
        <v>50004</v>
      </c>
      <c r="F15049" s="0" t="s">
        <v>90</v>
      </c>
      <c r="G15049" s="0" t="s">
        <v>16</v>
      </c>
      <c r="H15049" s="0" t="n">
        <v>38</v>
      </c>
      <c r="I15049" s="0" t="s">
        <v>50005</v>
      </c>
      <c r="J15049" s="0" t="s">
        <v>50006</v>
      </c>
      <c r="K15049" s="0" t="s">
        <v>50007</v>
      </c>
      <c r="L15049" s="0" t="str">
        <f aca="false">HYPERLINK("https://www.ncbi.nlm.nih.gov/nuccore/CP000058.1?report=graph&amp;tracks=[key:gene_model_track,Options:GeneOnly]&amp;mk=4660848:4660867|offset_38|00cc00,4660818:4660837|offset_68|444444,4660795:4660814|offset_91|444444,4660745:4660764|offset_141|444444&amp;v=4660647:4660964&amp;c=444444", "offset 38")</f>
        <v>offset 38</v>
      </c>
    </row>
    <row r="15050" customFormat="false" ht="12.8" hidden="false" customHeight="false" outlineLevel="0" collapsed="false">
      <c r="A15050" s="0" t="s">
        <v>12</v>
      </c>
      <c r="B15050" s="0" t="n">
        <v>4660817</v>
      </c>
      <c r="C15050" s="0" t="n">
        <v>4660837</v>
      </c>
      <c r="D15050" s="0" t="s">
        <v>50003</v>
      </c>
      <c r="E15050" s="0" t="s">
        <v>50004</v>
      </c>
      <c r="F15050" s="0" t="s">
        <v>90</v>
      </c>
      <c r="G15050" s="0" t="s">
        <v>20</v>
      </c>
      <c r="H15050" s="0" t="n">
        <v>68</v>
      </c>
      <c r="I15050" s="0" t="s">
        <v>50008</v>
      </c>
      <c r="J15050" s="0" t="s">
        <v>50009</v>
      </c>
      <c r="K15050" s="0" t="s">
        <v>50010</v>
      </c>
      <c r="L15050" s="0" t="str">
        <f aca="false">HYPERLINK("https://www.ncbi.nlm.nih.gov/nuccore/CP000058.1?report=graph&amp;tracks=[key:gene_model_track,Options:GeneOnly]&amp;mk=4660848:4660867|offset_38|444444,4660818:4660837|offset_68|00cc00,4660795:4660814|offset_91|444444,4660745:4660764|offset_141|444444&amp;v=4660647:4660964&amp;c=444444", "offset 68")</f>
        <v>offset 68</v>
      </c>
    </row>
    <row r="15051" customFormat="false" ht="12.8" hidden="false" customHeight="false" outlineLevel="0" collapsed="false">
      <c r="A15051" s="0" t="s">
        <v>12</v>
      </c>
      <c r="B15051" s="0" t="n">
        <v>4660794</v>
      </c>
      <c r="C15051" s="0" t="n">
        <v>4660814</v>
      </c>
      <c r="D15051" s="0" t="s">
        <v>50003</v>
      </c>
      <c r="E15051" s="0" t="s">
        <v>50004</v>
      </c>
      <c r="F15051" s="0" t="s">
        <v>90</v>
      </c>
      <c r="G15051" s="0" t="s">
        <v>36</v>
      </c>
      <c r="H15051" s="0" t="n">
        <v>91</v>
      </c>
      <c r="I15051" s="0" t="s">
        <v>50011</v>
      </c>
      <c r="J15051" s="0" t="s">
        <v>50012</v>
      </c>
      <c r="K15051" s="0" t="s">
        <v>50013</v>
      </c>
      <c r="L15051" s="0" t="str">
        <f aca="false">HYPERLINK("https://www.ncbi.nlm.nih.gov/nuccore/CP000058.1?report=graph&amp;tracks=[key:gene_model_track,Options:GeneOnly]&amp;mk=4660848:4660867|offset_38|444444,4660818:4660837|offset_68|444444,4660795:4660814|offset_91|00cc00,4660745:4660764|offset_141|444444&amp;v=4660647:4660964&amp;c=444444", "offset 91")</f>
        <v>offset 91</v>
      </c>
    </row>
    <row r="15052" customFormat="false" ht="12.8" hidden="false" customHeight="false" outlineLevel="0" collapsed="false">
      <c r="A15052" s="0" t="s">
        <v>12</v>
      </c>
      <c r="B15052" s="0" t="n">
        <v>4660744</v>
      </c>
      <c r="C15052" s="0" t="n">
        <v>4660764</v>
      </c>
      <c r="D15052" s="0" t="s">
        <v>50003</v>
      </c>
      <c r="E15052" s="0" t="s">
        <v>50004</v>
      </c>
      <c r="F15052" s="0" t="s">
        <v>90</v>
      </c>
      <c r="G15052" s="0" t="s">
        <v>16</v>
      </c>
      <c r="H15052" s="0" t="n">
        <v>141</v>
      </c>
      <c r="I15052" s="0" t="s">
        <v>50014</v>
      </c>
      <c r="J15052" s="0" t="s">
        <v>50015</v>
      </c>
      <c r="K15052" s="0" t="s">
        <v>50016</v>
      </c>
      <c r="L15052" s="0" t="str">
        <f aca="false">HYPERLINK("https://www.ncbi.nlm.nih.gov/nuccore/CP000058.1?report=graph&amp;tracks=[key:gene_model_track,Options:GeneOnly]&amp;mk=4660848:4660867|offset_38|444444,4660818:4660837|offset_68|444444,4660795:4660814|offset_91|444444,4660745:4660764|offset_141|00cc00&amp;v=4660647:4660964&amp;c=444444", "offset 141")</f>
        <v>offset 141</v>
      </c>
    </row>
    <row r="15053" customFormat="false" ht="12.8" hidden="false" customHeight="false" outlineLevel="0" collapsed="false">
      <c r="A15053" s="0" t="s">
        <v>12</v>
      </c>
      <c r="B15053" s="0" t="n">
        <v>4661213</v>
      </c>
      <c r="C15053" s="0" t="n">
        <v>4661233</v>
      </c>
      <c r="D15053" s="0" t="s">
        <v>50017</v>
      </c>
      <c r="E15053" s="0" t="s">
        <v>50018</v>
      </c>
      <c r="F15053" s="0" t="s">
        <v>90</v>
      </c>
      <c r="G15053" s="0" t="s">
        <v>20</v>
      </c>
      <c r="H15053" s="0" t="n">
        <v>15</v>
      </c>
      <c r="I15053" s="0" t="s">
        <v>50019</v>
      </c>
      <c r="J15053" s="0" t="s">
        <v>50020</v>
      </c>
      <c r="K15053" s="0" t="s">
        <v>50021</v>
      </c>
      <c r="L15053" s="0" t="str">
        <f aca="false">HYPERLINK("https://www.ncbi.nlm.nih.gov/nuccore/CP000058.1?report=graph&amp;tracks=[key:gene_model_track,Options:GeneOnly]&amp;mk=4661214:4661233|offset_15|00cc00,4661191:4661210|offset_38|444444,4661162:4661181|offset_67|444444,4661119:4661138|offset_110|444444&amp;v=4661013:4661338&amp;c=444444", "offset 15")</f>
        <v>offset 15</v>
      </c>
    </row>
    <row r="15054" customFormat="false" ht="12.8" hidden="false" customHeight="false" outlineLevel="0" collapsed="false">
      <c r="A15054" s="0" t="s">
        <v>12</v>
      </c>
      <c r="B15054" s="0" t="n">
        <v>4661190</v>
      </c>
      <c r="C15054" s="0" t="n">
        <v>4661210</v>
      </c>
      <c r="D15054" s="0" t="s">
        <v>50017</v>
      </c>
      <c r="E15054" s="0" t="s">
        <v>50018</v>
      </c>
      <c r="F15054" s="0" t="s">
        <v>90</v>
      </c>
      <c r="G15054" s="0" t="s">
        <v>16</v>
      </c>
      <c r="H15054" s="0" t="n">
        <v>38</v>
      </c>
      <c r="I15054" s="0" t="s">
        <v>50022</v>
      </c>
      <c r="J15054" s="0" t="s">
        <v>50023</v>
      </c>
      <c r="K15054" s="0" t="s">
        <v>50024</v>
      </c>
      <c r="L15054" s="0" t="str">
        <f aca="false">HYPERLINK("https://www.ncbi.nlm.nih.gov/nuccore/CP000058.1?report=graph&amp;tracks=[key:gene_model_track,Options:GeneOnly]&amp;mk=4661214:4661233|offset_15|444444,4661191:4661210|offset_38|00cc00,4661162:4661181|offset_67|444444,4661119:4661138|offset_110|444444&amp;v=4661013:4661338&amp;c=444444", "offset 38")</f>
        <v>offset 38</v>
      </c>
    </row>
    <row r="15055" customFormat="false" ht="12.8" hidden="false" customHeight="false" outlineLevel="0" collapsed="false">
      <c r="A15055" s="0" t="s">
        <v>12</v>
      </c>
      <c r="B15055" s="0" t="n">
        <v>4661161</v>
      </c>
      <c r="C15055" s="0" t="n">
        <v>4661181</v>
      </c>
      <c r="D15055" s="0" t="s">
        <v>50017</v>
      </c>
      <c r="E15055" s="0" t="s">
        <v>50018</v>
      </c>
      <c r="F15055" s="0" t="s">
        <v>90</v>
      </c>
      <c r="G15055" s="0" t="s">
        <v>16</v>
      </c>
      <c r="H15055" s="0" t="n">
        <v>67</v>
      </c>
      <c r="I15055" s="0" t="s">
        <v>50025</v>
      </c>
      <c r="J15055" s="0" t="s">
        <v>50026</v>
      </c>
      <c r="K15055" s="0" t="s">
        <v>50027</v>
      </c>
      <c r="L15055" s="0" t="str">
        <f aca="false">HYPERLINK("https://www.ncbi.nlm.nih.gov/nuccore/CP000058.1?report=graph&amp;tracks=[key:gene_model_track,Options:GeneOnly]&amp;mk=4661214:4661233|offset_15|444444,4661191:4661210|offset_38|444444,4661162:4661181|offset_67|00cc00,4661119:4661138|offset_110|444444&amp;v=4661013:4661338&amp;c=444444", "offset 67")</f>
        <v>offset 67</v>
      </c>
    </row>
    <row r="15056" customFormat="false" ht="12.8" hidden="false" customHeight="false" outlineLevel="0" collapsed="false">
      <c r="A15056" s="0" t="s">
        <v>12</v>
      </c>
      <c r="B15056" s="0" t="n">
        <v>4661118</v>
      </c>
      <c r="C15056" s="0" t="n">
        <v>4661138</v>
      </c>
      <c r="D15056" s="0" t="s">
        <v>50017</v>
      </c>
      <c r="E15056" s="0" t="s">
        <v>50018</v>
      </c>
      <c r="F15056" s="0" t="s">
        <v>90</v>
      </c>
      <c r="G15056" s="0" t="s">
        <v>16</v>
      </c>
      <c r="H15056" s="0" t="n">
        <v>110</v>
      </c>
      <c r="I15056" s="0" t="s">
        <v>50028</v>
      </c>
      <c r="J15056" s="0" t="s">
        <v>50029</v>
      </c>
      <c r="K15056" s="0" t="s">
        <v>50030</v>
      </c>
      <c r="L15056" s="0" t="str">
        <f aca="false">HYPERLINK("https://www.ncbi.nlm.nih.gov/nuccore/CP000058.1?report=graph&amp;tracks=[key:gene_model_track,Options:GeneOnly]&amp;mk=4661214:4661233|offset_15|444444,4661191:4661210|offset_38|444444,4661162:4661181|offset_67|444444,4661119:4661138|offset_110|00cc00&amp;v=4661013:4661338&amp;c=444444", "offset 110")</f>
        <v>offset 110</v>
      </c>
    </row>
    <row r="15057" customFormat="false" ht="12.8" hidden="false" customHeight="false" outlineLevel="0" collapsed="false">
      <c r="A15057" s="0" t="s">
        <v>12</v>
      </c>
      <c r="B15057" s="0" t="n">
        <v>4661942</v>
      </c>
      <c r="C15057" s="0" t="n">
        <v>4661962</v>
      </c>
      <c r="D15057" s="0" t="s">
        <v>50031</v>
      </c>
      <c r="E15057" s="0" t="s">
        <v>75</v>
      </c>
      <c r="F15057" s="0" t="s">
        <v>90</v>
      </c>
      <c r="G15057" s="0" t="s">
        <v>36</v>
      </c>
      <c r="H15057" s="0" t="n">
        <v>35</v>
      </c>
      <c r="I15057" s="0" t="s">
        <v>50032</v>
      </c>
      <c r="J15057" s="0" t="s">
        <v>50033</v>
      </c>
      <c r="K15057" s="0" t="s">
        <v>50034</v>
      </c>
      <c r="L15057" s="0" t="str">
        <f aca="false">HYPERLINK("https://www.ncbi.nlm.nih.gov/nuccore/CP000058.1?report=graph&amp;tracks=[key:gene_model_track,Options:GeneOnly]&amp;mk=4661943:4661962|offset_35|00cc00,4661902:4661921|offset_76|444444,4661880:4661899|offset_98|444444,4661830:4661849|offset_148|444444&amp;v=4661742:4662049&amp;c=444444", "offset 35")</f>
        <v>offset 35</v>
      </c>
    </row>
    <row r="15058" customFormat="false" ht="12.8" hidden="false" customHeight="false" outlineLevel="0" collapsed="false">
      <c r="A15058" s="0" t="s">
        <v>12</v>
      </c>
      <c r="B15058" s="0" t="n">
        <v>4661901</v>
      </c>
      <c r="C15058" s="0" t="n">
        <v>4661921</v>
      </c>
      <c r="D15058" s="0" t="s">
        <v>50031</v>
      </c>
      <c r="E15058" s="0" t="s">
        <v>75</v>
      </c>
      <c r="F15058" s="0" t="s">
        <v>90</v>
      </c>
      <c r="G15058" s="0" t="s">
        <v>32</v>
      </c>
      <c r="H15058" s="0" t="n">
        <v>76</v>
      </c>
      <c r="I15058" s="0" t="s">
        <v>50035</v>
      </c>
      <c r="J15058" s="0" t="s">
        <v>50036</v>
      </c>
      <c r="K15058" s="0" t="s">
        <v>50037</v>
      </c>
      <c r="L15058" s="0" t="str">
        <f aca="false">HYPERLINK("https://www.ncbi.nlm.nih.gov/nuccore/CP000058.1?report=graph&amp;tracks=[key:gene_model_track,Options:GeneOnly]&amp;mk=4661943:4661962|offset_35|444444,4661902:4661921|offset_76|00cc00,4661880:4661899|offset_98|444444,4661830:4661849|offset_148|444444&amp;v=4661742:4662049&amp;c=444444", "offset 76")</f>
        <v>offset 76</v>
      </c>
    </row>
    <row r="15059" customFormat="false" ht="12.8" hidden="false" customHeight="false" outlineLevel="0" collapsed="false">
      <c r="A15059" s="0" t="s">
        <v>12</v>
      </c>
      <c r="B15059" s="0" t="n">
        <v>4661879</v>
      </c>
      <c r="C15059" s="0" t="n">
        <v>4661899</v>
      </c>
      <c r="D15059" s="0" t="s">
        <v>50031</v>
      </c>
      <c r="E15059" s="0" t="s">
        <v>75</v>
      </c>
      <c r="F15059" s="0" t="s">
        <v>90</v>
      </c>
      <c r="G15059" s="0" t="s">
        <v>20</v>
      </c>
      <c r="H15059" s="0" t="n">
        <v>98</v>
      </c>
      <c r="I15059" s="0" t="s">
        <v>50038</v>
      </c>
      <c r="J15059" s="0" t="s">
        <v>50039</v>
      </c>
      <c r="K15059" s="0" t="s">
        <v>50040</v>
      </c>
      <c r="L15059" s="0" t="str">
        <f aca="false">HYPERLINK("https://www.ncbi.nlm.nih.gov/nuccore/CP000058.1?report=graph&amp;tracks=[key:gene_model_track,Options:GeneOnly]&amp;mk=4661943:4661962|offset_35|444444,4661902:4661921|offset_76|444444,4661880:4661899|offset_98|00cc00,4661830:4661849|offset_148|444444&amp;v=4661742:4662049&amp;c=444444", "offset 98")</f>
        <v>offset 98</v>
      </c>
    </row>
    <row r="15060" customFormat="false" ht="12.8" hidden="false" customHeight="false" outlineLevel="0" collapsed="false">
      <c r="A15060" s="0" t="s">
        <v>12</v>
      </c>
      <c r="B15060" s="0" t="n">
        <v>4661829</v>
      </c>
      <c r="C15060" s="0" t="n">
        <v>4661849</v>
      </c>
      <c r="D15060" s="0" t="s">
        <v>50031</v>
      </c>
      <c r="E15060" s="0" t="s">
        <v>75</v>
      </c>
      <c r="F15060" s="0" t="s">
        <v>90</v>
      </c>
      <c r="G15060" s="0" t="s">
        <v>16</v>
      </c>
      <c r="H15060" s="0" t="n">
        <v>148</v>
      </c>
      <c r="I15060" s="0" t="s">
        <v>50041</v>
      </c>
      <c r="J15060" s="0" t="s">
        <v>50042</v>
      </c>
      <c r="K15060" s="0" t="s">
        <v>50043</v>
      </c>
      <c r="L15060" s="0" t="str">
        <f aca="false">HYPERLINK("https://www.ncbi.nlm.nih.gov/nuccore/CP000058.1?report=graph&amp;tracks=[key:gene_model_track,Options:GeneOnly]&amp;mk=4661943:4661962|offset_35|444444,4661902:4661921|offset_76|444444,4661880:4661899|offset_98|444444,4661830:4661849|offset_148|00cc00&amp;v=4661742:4662049&amp;c=444444", "offset 148")</f>
        <v>offset 148</v>
      </c>
    </row>
    <row r="15061" customFormat="false" ht="12.8" hidden="false" customHeight="false" outlineLevel="0" collapsed="false">
      <c r="A15061" s="0" t="s">
        <v>12</v>
      </c>
      <c r="B15061" s="0" t="n">
        <v>4662309</v>
      </c>
      <c r="C15061" s="0" t="n">
        <v>4662329</v>
      </c>
      <c r="D15061" s="0" t="s">
        <v>50044</v>
      </c>
      <c r="E15061" s="0" t="s">
        <v>75</v>
      </c>
      <c r="F15061" s="0" t="s">
        <v>15</v>
      </c>
      <c r="G15061" s="0" t="s">
        <v>16</v>
      </c>
      <c r="H15061" s="0" t="n">
        <v>34</v>
      </c>
      <c r="I15061" s="0" t="s">
        <v>50045</v>
      </c>
      <c r="J15061" s="0" t="s">
        <v>50046</v>
      </c>
      <c r="K15061" s="0" t="s">
        <v>50047</v>
      </c>
      <c r="L15061" s="0" t="str">
        <f aca="false">HYPERLINK("https://www.ncbi.nlm.nih.gov/nuccore/CP000058.1?report=graph&amp;tracks=[key:gene_model_track,Options:GeneOnly]&amp;mk=4662310:4662329|offset_34|00cc00,4662337:4662356|offset_61|444444,4662371:4662390|offset_95|444444,4662412:4662431|offset_136|444444&amp;v=4662109:4662631&amp;c=444444", "offset 34")</f>
        <v>offset 34</v>
      </c>
    </row>
    <row r="15062" customFormat="false" ht="12.8" hidden="false" customHeight="false" outlineLevel="0" collapsed="false">
      <c r="A15062" s="0" t="s">
        <v>12</v>
      </c>
      <c r="B15062" s="0" t="n">
        <v>4662336</v>
      </c>
      <c r="C15062" s="0" t="n">
        <v>4662356</v>
      </c>
      <c r="D15062" s="0" t="s">
        <v>50044</v>
      </c>
      <c r="E15062" s="0" t="s">
        <v>75</v>
      </c>
      <c r="F15062" s="0" t="s">
        <v>15</v>
      </c>
      <c r="G15062" s="0" t="s">
        <v>32</v>
      </c>
      <c r="H15062" s="0" t="n">
        <v>61</v>
      </c>
      <c r="I15062" s="0" t="s">
        <v>50048</v>
      </c>
      <c r="J15062" s="0" t="s">
        <v>50049</v>
      </c>
      <c r="K15062" s="0" t="s">
        <v>50050</v>
      </c>
      <c r="L15062" s="0" t="str">
        <f aca="false">HYPERLINK("https://www.ncbi.nlm.nih.gov/nuccore/CP000058.1?report=graph&amp;tracks=[key:gene_model_track,Options:GeneOnly]&amp;mk=4662310:4662329|offset_34|444444,4662337:4662356|offset_61|00cc00,4662371:4662390|offset_95|444444,4662412:4662431|offset_136|444444&amp;v=4662109:4662631&amp;c=444444", "offset 61")</f>
        <v>offset 61</v>
      </c>
    </row>
    <row r="15063" customFormat="false" ht="12.8" hidden="false" customHeight="false" outlineLevel="0" collapsed="false">
      <c r="A15063" s="0" t="s">
        <v>12</v>
      </c>
      <c r="B15063" s="0" t="n">
        <v>4662370</v>
      </c>
      <c r="C15063" s="0" t="n">
        <v>4662390</v>
      </c>
      <c r="D15063" s="0" t="s">
        <v>50044</v>
      </c>
      <c r="E15063" s="0" t="s">
        <v>75</v>
      </c>
      <c r="F15063" s="0" t="s">
        <v>15</v>
      </c>
      <c r="G15063" s="0" t="s">
        <v>20</v>
      </c>
      <c r="H15063" s="0" t="n">
        <v>95</v>
      </c>
      <c r="I15063" s="0" t="s">
        <v>50051</v>
      </c>
      <c r="J15063" s="0" t="s">
        <v>50052</v>
      </c>
      <c r="K15063" s="0" t="s">
        <v>50053</v>
      </c>
      <c r="L15063" s="0" t="str">
        <f aca="false">HYPERLINK("https://www.ncbi.nlm.nih.gov/nuccore/CP000058.1?report=graph&amp;tracks=[key:gene_model_track,Options:GeneOnly]&amp;mk=4662310:4662329|offset_34|444444,4662337:4662356|offset_61|444444,4662371:4662390|offset_95|00cc00,4662412:4662431|offset_136|444444&amp;v=4662109:4662631&amp;c=444444", "offset 95")</f>
        <v>offset 95</v>
      </c>
    </row>
    <row r="15064" customFormat="false" ht="12.8" hidden="false" customHeight="false" outlineLevel="0" collapsed="false">
      <c r="A15064" s="0" t="s">
        <v>12</v>
      </c>
      <c r="B15064" s="0" t="n">
        <v>4662411</v>
      </c>
      <c r="C15064" s="0" t="n">
        <v>4662431</v>
      </c>
      <c r="D15064" s="0" t="s">
        <v>50044</v>
      </c>
      <c r="E15064" s="0" t="s">
        <v>75</v>
      </c>
      <c r="F15064" s="0" t="s">
        <v>15</v>
      </c>
      <c r="G15064" s="0" t="s">
        <v>16</v>
      </c>
      <c r="H15064" s="0" t="n">
        <v>136</v>
      </c>
      <c r="I15064" s="0" t="s">
        <v>50054</v>
      </c>
      <c r="J15064" s="0" t="s">
        <v>50055</v>
      </c>
      <c r="K15064" s="0" t="s">
        <v>50056</v>
      </c>
      <c r="L15064" s="0" t="str">
        <f aca="false">HYPERLINK("https://www.ncbi.nlm.nih.gov/nuccore/CP000058.1?report=graph&amp;tracks=[key:gene_model_track,Options:GeneOnly]&amp;mk=4662310:4662329|offset_34|444444,4662337:4662356|offset_61|444444,4662371:4662390|offset_95|444444,4662412:4662431|offset_136|00cc00&amp;v=4662109:4662631&amp;c=444444", "offset 136")</f>
        <v>offset 136</v>
      </c>
    </row>
    <row r="15065" customFormat="false" ht="12.8" hidden="false" customHeight="false" outlineLevel="0" collapsed="false">
      <c r="A15065" s="0" t="s">
        <v>12</v>
      </c>
      <c r="B15065" s="0" t="n">
        <v>4664065</v>
      </c>
      <c r="C15065" s="0" t="n">
        <v>4664085</v>
      </c>
      <c r="D15065" s="0" t="s">
        <v>50057</v>
      </c>
      <c r="E15065" s="0" t="s">
        <v>75</v>
      </c>
      <c r="F15065" s="0" t="s">
        <v>90</v>
      </c>
      <c r="G15065" s="0" t="s">
        <v>32</v>
      </c>
      <c r="H15065" s="0" t="n">
        <v>10</v>
      </c>
      <c r="I15065" s="0" t="s">
        <v>50058</v>
      </c>
      <c r="J15065" s="0" t="s">
        <v>50059</v>
      </c>
      <c r="K15065" s="0" t="s">
        <v>50060</v>
      </c>
      <c r="L15065" s="0" t="str">
        <f aca="false">HYPERLINK("https://www.ncbi.nlm.nih.gov/nuccore/CP000058.1?report=graph&amp;tracks=[key:gene_model_track,Options:GeneOnly]&amp;mk=4664066:4664085|offset_10|00cc00,4664030:4664049|offset_46|444444,4663934:4663953|offset_142|444444,4663914:4663933|offset_162|444444&amp;v=4663865:4664133&amp;c=444444", "offset 10")</f>
        <v>offset 10</v>
      </c>
    </row>
    <row r="15066" customFormat="false" ht="12.8" hidden="false" customHeight="false" outlineLevel="0" collapsed="false">
      <c r="A15066" s="0" t="s">
        <v>12</v>
      </c>
      <c r="B15066" s="0" t="n">
        <v>4664029</v>
      </c>
      <c r="C15066" s="0" t="n">
        <v>4664049</v>
      </c>
      <c r="D15066" s="0" t="s">
        <v>50057</v>
      </c>
      <c r="E15066" s="0" t="s">
        <v>75</v>
      </c>
      <c r="F15066" s="0" t="s">
        <v>90</v>
      </c>
      <c r="G15066" s="0" t="s">
        <v>32</v>
      </c>
      <c r="H15066" s="0" t="n">
        <v>46</v>
      </c>
      <c r="I15066" s="0" t="s">
        <v>50061</v>
      </c>
      <c r="J15066" s="0" t="s">
        <v>50062</v>
      </c>
      <c r="K15066" s="0" t="s">
        <v>50063</v>
      </c>
      <c r="L15066" s="0" t="str">
        <f aca="false">HYPERLINK("https://www.ncbi.nlm.nih.gov/nuccore/CP000058.1?report=graph&amp;tracks=[key:gene_model_track,Options:GeneOnly]&amp;mk=4664066:4664085|offset_10|444444,4664030:4664049|offset_46|00cc00,4663934:4663953|offset_142|444444,4663914:4663933|offset_162|444444&amp;v=4663865:4664133&amp;c=444444", "offset 46")</f>
        <v>offset 46</v>
      </c>
    </row>
    <row r="15067" customFormat="false" ht="12.8" hidden="false" customHeight="false" outlineLevel="0" collapsed="false">
      <c r="A15067" s="0" t="s">
        <v>12</v>
      </c>
      <c r="B15067" s="0" t="n">
        <v>4663933</v>
      </c>
      <c r="C15067" s="0" t="n">
        <v>4663953</v>
      </c>
      <c r="D15067" s="0" t="s">
        <v>50057</v>
      </c>
      <c r="E15067" s="0" t="s">
        <v>75</v>
      </c>
      <c r="F15067" s="0" t="s">
        <v>90</v>
      </c>
      <c r="G15067" s="0" t="s">
        <v>16</v>
      </c>
      <c r="H15067" s="0" t="n">
        <v>142</v>
      </c>
      <c r="I15067" s="0" t="s">
        <v>50064</v>
      </c>
      <c r="J15067" s="0" t="s">
        <v>50065</v>
      </c>
      <c r="K15067" s="0" t="s">
        <v>50066</v>
      </c>
      <c r="L15067" s="0" t="str">
        <f aca="false">HYPERLINK("https://www.ncbi.nlm.nih.gov/nuccore/CP000058.1?report=graph&amp;tracks=[key:gene_model_track,Options:GeneOnly]&amp;mk=4664066:4664085|offset_10|444444,4664030:4664049|offset_46|444444,4663934:4663953|offset_142|00cc00,4663914:4663933|offset_162|444444&amp;v=4663865:4664133&amp;c=444444", "offset 142")</f>
        <v>offset 142</v>
      </c>
    </row>
    <row r="15068" customFormat="false" ht="12.8" hidden="false" customHeight="false" outlineLevel="0" collapsed="false">
      <c r="A15068" s="0" t="s">
        <v>12</v>
      </c>
      <c r="B15068" s="0" t="n">
        <v>4663913</v>
      </c>
      <c r="C15068" s="0" t="n">
        <v>4663933</v>
      </c>
      <c r="D15068" s="0" t="s">
        <v>50057</v>
      </c>
      <c r="E15068" s="0" t="s">
        <v>75</v>
      </c>
      <c r="F15068" s="0" t="s">
        <v>90</v>
      </c>
      <c r="G15068" s="0" t="s">
        <v>16</v>
      </c>
      <c r="H15068" s="0" t="n">
        <v>162</v>
      </c>
      <c r="I15068" s="0" t="s">
        <v>50067</v>
      </c>
      <c r="J15068" s="0" t="s">
        <v>50068</v>
      </c>
      <c r="K15068" s="0" t="s">
        <v>50069</v>
      </c>
      <c r="L15068" s="0" t="str">
        <f aca="false">HYPERLINK("https://www.ncbi.nlm.nih.gov/nuccore/CP000058.1?report=graph&amp;tracks=[key:gene_model_track,Options:GeneOnly]&amp;mk=4664066:4664085|offset_10|444444,4664030:4664049|offset_46|444444,4663934:4663953|offset_142|444444,4663914:4663933|offset_162|00cc00&amp;v=4663865:4664133&amp;c=444444", "offset 162")</f>
        <v>offset 162</v>
      </c>
    </row>
    <row r="15069" customFormat="false" ht="12.8" hidden="false" customHeight="false" outlineLevel="0" collapsed="false">
      <c r="A15069" s="0" t="s">
        <v>12</v>
      </c>
      <c r="B15069" s="0" t="n">
        <v>4664266</v>
      </c>
      <c r="C15069" s="0" t="n">
        <v>4664286</v>
      </c>
      <c r="D15069" s="0" t="s">
        <v>50070</v>
      </c>
      <c r="E15069" s="0" t="s">
        <v>75</v>
      </c>
      <c r="F15069" s="0" t="s">
        <v>15</v>
      </c>
      <c r="G15069" s="0" t="s">
        <v>16</v>
      </c>
      <c r="H15069" s="0" t="n">
        <v>7</v>
      </c>
      <c r="I15069" s="0" t="s">
        <v>50071</v>
      </c>
      <c r="J15069" s="0" t="s">
        <v>50072</v>
      </c>
      <c r="K15069" s="0" t="s">
        <v>50073</v>
      </c>
      <c r="L15069" s="0" t="str">
        <f aca="false">HYPERLINK("https://www.ncbi.nlm.nih.gov/nuccore/CP000058.1?report=graph&amp;tracks=[key:gene_model_track,Options:GeneOnly]&amp;mk=4664267:4664286|offset_7|00cc00,4664292:4664311|offset_32|444444,4664312:4664331|offset_52|444444,4664337:4664356|offset_77|444444&amp;v=4664066:4664556&amp;c=444444", "offset 7")</f>
        <v>offset 7</v>
      </c>
    </row>
    <row r="15070" customFormat="false" ht="12.8" hidden="false" customHeight="false" outlineLevel="0" collapsed="false">
      <c r="A15070" s="0" t="s">
        <v>12</v>
      </c>
      <c r="B15070" s="0" t="n">
        <v>4664291</v>
      </c>
      <c r="C15070" s="0" t="n">
        <v>4664311</v>
      </c>
      <c r="D15070" s="0" t="s">
        <v>50070</v>
      </c>
      <c r="E15070" s="0" t="s">
        <v>75</v>
      </c>
      <c r="F15070" s="0" t="s">
        <v>15</v>
      </c>
      <c r="G15070" s="0" t="s">
        <v>36</v>
      </c>
      <c r="H15070" s="0" t="n">
        <v>32</v>
      </c>
      <c r="I15070" s="0" t="s">
        <v>50074</v>
      </c>
      <c r="J15070" s="0" t="s">
        <v>50075</v>
      </c>
      <c r="K15070" s="0" t="s">
        <v>50076</v>
      </c>
      <c r="L15070" s="0" t="str">
        <f aca="false">HYPERLINK("https://www.ncbi.nlm.nih.gov/nuccore/CP000058.1?report=graph&amp;tracks=[key:gene_model_track,Options:GeneOnly]&amp;mk=4664267:4664286|offset_7|444444,4664292:4664311|offset_32|00cc00,4664312:4664331|offset_52|444444,4664337:4664356|offset_77|444444&amp;v=4664066:4664556&amp;c=444444", "offset 32")</f>
        <v>offset 32</v>
      </c>
    </row>
    <row r="15071" customFormat="false" ht="12.8" hidden="false" customHeight="false" outlineLevel="0" collapsed="false">
      <c r="A15071" s="0" t="s">
        <v>12</v>
      </c>
      <c r="B15071" s="0" t="n">
        <v>4664311</v>
      </c>
      <c r="C15071" s="0" t="n">
        <v>4664331</v>
      </c>
      <c r="D15071" s="0" t="s">
        <v>50070</v>
      </c>
      <c r="E15071" s="0" t="s">
        <v>75</v>
      </c>
      <c r="F15071" s="0" t="s">
        <v>15</v>
      </c>
      <c r="G15071" s="0" t="s">
        <v>16</v>
      </c>
      <c r="H15071" s="0" t="n">
        <v>52</v>
      </c>
      <c r="I15071" s="0" t="s">
        <v>50077</v>
      </c>
      <c r="J15071" s="0" t="s">
        <v>50078</v>
      </c>
      <c r="K15071" s="0" t="s">
        <v>50079</v>
      </c>
      <c r="L15071" s="0" t="str">
        <f aca="false">HYPERLINK("https://www.ncbi.nlm.nih.gov/nuccore/CP000058.1?report=graph&amp;tracks=[key:gene_model_track,Options:GeneOnly]&amp;mk=4664267:4664286|offset_7|444444,4664292:4664311|offset_32|444444,4664312:4664331|offset_52|00cc00,4664337:4664356|offset_77|444444&amp;v=4664066:4664556&amp;c=444444", "offset 52")</f>
        <v>offset 52</v>
      </c>
    </row>
    <row r="15072" customFormat="false" ht="12.8" hidden="false" customHeight="false" outlineLevel="0" collapsed="false">
      <c r="A15072" s="0" t="s">
        <v>12</v>
      </c>
      <c r="B15072" s="0" t="n">
        <v>4664336</v>
      </c>
      <c r="C15072" s="0" t="n">
        <v>4664356</v>
      </c>
      <c r="D15072" s="0" t="s">
        <v>50070</v>
      </c>
      <c r="E15072" s="0" t="s">
        <v>75</v>
      </c>
      <c r="F15072" s="0" t="s">
        <v>15</v>
      </c>
      <c r="G15072" s="0" t="s">
        <v>20</v>
      </c>
      <c r="H15072" s="0" t="n">
        <v>77</v>
      </c>
      <c r="I15072" s="0" t="s">
        <v>50080</v>
      </c>
      <c r="J15072" s="0" t="s">
        <v>50081</v>
      </c>
      <c r="K15072" s="0" t="s">
        <v>50082</v>
      </c>
      <c r="L15072" s="0" t="str">
        <f aca="false">HYPERLINK("https://www.ncbi.nlm.nih.gov/nuccore/CP000058.1?report=graph&amp;tracks=[key:gene_model_track,Options:GeneOnly]&amp;mk=4664267:4664286|offset_7|444444,4664292:4664311|offset_32|444444,4664312:4664331|offset_52|444444,4664337:4664356|offset_77|00cc00&amp;v=4664066:4664556&amp;c=444444", "offset 77")</f>
        <v>offset 77</v>
      </c>
    </row>
    <row r="15073" customFormat="false" ht="12.8" hidden="false" customHeight="false" outlineLevel="0" collapsed="false">
      <c r="A15073" s="0" t="s">
        <v>12</v>
      </c>
      <c r="B15073" s="0" t="n">
        <v>4664670</v>
      </c>
      <c r="C15073" s="0" t="n">
        <v>4664690</v>
      </c>
      <c r="D15073" s="0" t="s">
        <v>50083</v>
      </c>
      <c r="E15073" s="0" t="s">
        <v>75</v>
      </c>
      <c r="F15073" s="0" t="s">
        <v>15</v>
      </c>
      <c r="G15073" s="0" t="s">
        <v>36</v>
      </c>
      <c r="H15073" s="0" t="n">
        <v>0</v>
      </c>
      <c r="I15073" s="0" t="s">
        <v>50084</v>
      </c>
      <c r="J15073" s="0" t="s">
        <v>50085</v>
      </c>
      <c r="K15073" s="0" t="s">
        <v>50086</v>
      </c>
      <c r="L15073" s="0" t="str">
        <f aca="false">HYPERLINK("https://www.ncbi.nlm.nih.gov/nuccore/CP000058.1?report=graph&amp;tracks=[key:gene_model_track,Options:GeneOnly]&amp;mk=4664671:4664690|offset_0|00cc00,4664696:4664715|offset_25|444444,4664718:4664737|offset_47|444444,4664764:4664783|offset_93|444444&amp;v=4664470:4664983&amp;c=444444", "offset 0")</f>
        <v>offset 0</v>
      </c>
    </row>
    <row r="15074" customFormat="false" ht="12.8" hidden="false" customHeight="false" outlineLevel="0" collapsed="false">
      <c r="A15074" s="0" t="s">
        <v>12</v>
      </c>
      <c r="B15074" s="0" t="n">
        <v>4664695</v>
      </c>
      <c r="C15074" s="0" t="n">
        <v>4664715</v>
      </c>
      <c r="D15074" s="0" t="s">
        <v>50083</v>
      </c>
      <c r="E15074" s="0" t="s">
        <v>75</v>
      </c>
      <c r="F15074" s="0" t="s">
        <v>15</v>
      </c>
      <c r="G15074" s="0" t="s">
        <v>16</v>
      </c>
      <c r="H15074" s="0" t="n">
        <v>25</v>
      </c>
      <c r="I15074" s="0" t="s">
        <v>50087</v>
      </c>
      <c r="J15074" s="0" t="s">
        <v>50088</v>
      </c>
      <c r="K15074" s="0" t="s">
        <v>50089</v>
      </c>
      <c r="L15074" s="0" t="str">
        <f aca="false">HYPERLINK("https://www.ncbi.nlm.nih.gov/nuccore/CP000058.1?report=graph&amp;tracks=[key:gene_model_track,Options:GeneOnly]&amp;mk=4664671:4664690|offset_0|444444,4664696:4664715|offset_25|00cc00,4664718:4664737|offset_47|444444,4664764:4664783|offset_93|444444&amp;v=4664470:4664983&amp;c=444444", "offset 25")</f>
        <v>offset 25</v>
      </c>
    </row>
    <row r="15075" customFormat="false" ht="12.8" hidden="false" customHeight="false" outlineLevel="0" collapsed="false">
      <c r="A15075" s="0" t="s">
        <v>12</v>
      </c>
      <c r="B15075" s="0" t="n">
        <v>4664717</v>
      </c>
      <c r="C15075" s="0" t="n">
        <v>4664737</v>
      </c>
      <c r="D15075" s="0" t="s">
        <v>50083</v>
      </c>
      <c r="E15075" s="0" t="s">
        <v>75</v>
      </c>
      <c r="F15075" s="0" t="s">
        <v>15</v>
      </c>
      <c r="G15075" s="0" t="s">
        <v>36</v>
      </c>
      <c r="H15075" s="0" t="n">
        <v>47</v>
      </c>
      <c r="I15075" s="0" t="s">
        <v>50090</v>
      </c>
      <c r="J15075" s="0" t="s">
        <v>50091</v>
      </c>
      <c r="K15075" s="0" t="s">
        <v>50092</v>
      </c>
      <c r="L15075" s="0" t="str">
        <f aca="false">HYPERLINK("https://www.ncbi.nlm.nih.gov/nuccore/CP000058.1?report=graph&amp;tracks=[key:gene_model_track,Options:GeneOnly]&amp;mk=4664671:4664690|offset_0|444444,4664696:4664715|offset_25|444444,4664718:4664737|offset_47|00cc00,4664764:4664783|offset_93|444444&amp;v=4664470:4664983&amp;c=444444", "offset 47")</f>
        <v>offset 47</v>
      </c>
    </row>
    <row r="15076" customFormat="false" ht="12.8" hidden="false" customHeight="false" outlineLevel="0" collapsed="false">
      <c r="A15076" s="0" t="s">
        <v>12</v>
      </c>
      <c r="B15076" s="0" t="n">
        <v>4664763</v>
      </c>
      <c r="C15076" s="0" t="n">
        <v>4664783</v>
      </c>
      <c r="D15076" s="0" t="s">
        <v>50083</v>
      </c>
      <c r="E15076" s="0" t="s">
        <v>75</v>
      </c>
      <c r="F15076" s="0" t="s">
        <v>15</v>
      </c>
      <c r="G15076" s="0" t="s">
        <v>20</v>
      </c>
      <c r="H15076" s="0" t="n">
        <v>93</v>
      </c>
      <c r="I15076" s="0" t="s">
        <v>50093</v>
      </c>
      <c r="J15076" s="0" t="s">
        <v>50094</v>
      </c>
      <c r="K15076" s="0" t="s">
        <v>50095</v>
      </c>
      <c r="L15076" s="0" t="str">
        <f aca="false">HYPERLINK("https://www.ncbi.nlm.nih.gov/nuccore/CP000058.1?report=graph&amp;tracks=[key:gene_model_track,Options:GeneOnly]&amp;mk=4664671:4664690|offset_0|444444,4664696:4664715|offset_25|444444,4664718:4664737|offset_47|444444,4664764:4664783|offset_93|00cc00&amp;v=4664470:4664983&amp;c=444444", "offset 93")</f>
        <v>offset 93</v>
      </c>
    </row>
    <row r="15077" customFormat="false" ht="12.8" hidden="false" customHeight="false" outlineLevel="0" collapsed="false">
      <c r="A15077" s="0" t="s">
        <v>12</v>
      </c>
      <c r="B15077" s="0" t="n">
        <v>4666259</v>
      </c>
      <c r="C15077" s="0" t="n">
        <v>4666279</v>
      </c>
      <c r="D15077" s="0" t="s">
        <v>50096</v>
      </c>
      <c r="E15077" s="0" t="s">
        <v>75</v>
      </c>
      <c r="F15077" s="0" t="s">
        <v>15</v>
      </c>
      <c r="G15077" s="0" t="s">
        <v>16</v>
      </c>
      <c r="H15077" s="0" t="n">
        <v>10</v>
      </c>
      <c r="I15077" s="0" t="s">
        <v>50097</v>
      </c>
      <c r="J15077" s="0" t="s">
        <v>50098</v>
      </c>
      <c r="K15077" s="0" t="s">
        <v>50099</v>
      </c>
      <c r="L15077" s="0" t="str">
        <f aca="false">HYPERLINK("https://www.ncbi.nlm.nih.gov/nuccore/CP000058.1?report=graph&amp;tracks=[key:gene_model_track,Options:GeneOnly]&amp;mk=4666260:4666279|offset_10|00cc00,4666285:4666304|offset_35|444444,4666309:4666328|offset_59|444444,4666338:4666357|offset_88|444444&amp;v=4666059:4666557&amp;c=444444", "offset 10")</f>
        <v>offset 10</v>
      </c>
    </row>
    <row r="15078" customFormat="false" ht="12.8" hidden="false" customHeight="false" outlineLevel="0" collapsed="false">
      <c r="A15078" s="0" t="s">
        <v>12</v>
      </c>
      <c r="B15078" s="0" t="n">
        <v>4666284</v>
      </c>
      <c r="C15078" s="0" t="n">
        <v>4666304</v>
      </c>
      <c r="D15078" s="0" t="s">
        <v>50096</v>
      </c>
      <c r="E15078" s="0" t="s">
        <v>75</v>
      </c>
      <c r="F15078" s="0" t="s">
        <v>15</v>
      </c>
      <c r="G15078" s="0" t="s">
        <v>36</v>
      </c>
      <c r="H15078" s="0" t="n">
        <v>35</v>
      </c>
      <c r="I15078" s="0" t="s">
        <v>50100</v>
      </c>
      <c r="J15078" s="0" t="s">
        <v>50101</v>
      </c>
      <c r="K15078" s="0" t="s">
        <v>50102</v>
      </c>
      <c r="L15078" s="0" t="str">
        <f aca="false">HYPERLINK("https://www.ncbi.nlm.nih.gov/nuccore/CP000058.1?report=graph&amp;tracks=[key:gene_model_track,Options:GeneOnly]&amp;mk=4666260:4666279|offset_10|444444,4666285:4666304|offset_35|00cc00,4666309:4666328|offset_59|444444,4666338:4666357|offset_88|444444&amp;v=4666059:4666557&amp;c=444444", "offset 35")</f>
        <v>offset 35</v>
      </c>
    </row>
    <row r="15079" customFormat="false" ht="12.8" hidden="false" customHeight="false" outlineLevel="0" collapsed="false">
      <c r="A15079" s="0" t="s">
        <v>12</v>
      </c>
      <c r="B15079" s="0" t="n">
        <v>4666308</v>
      </c>
      <c r="C15079" s="0" t="n">
        <v>4666328</v>
      </c>
      <c r="D15079" s="0" t="s">
        <v>50096</v>
      </c>
      <c r="E15079" s="0" t="s">
        <v>75</v>
      </c>
      <c r="F15079" s="0" t="s">
        <v>15</v>
      </c>
      <c r="G15079" s="0" t="s">
        <v>20</v>
      </c>
      <c r="H15079" s="0" t="n">
        <v>59</v>
      </c>
      <c r="I15079" s="0" t="s">
        <v>50103</v>
      </c>
      <c r="J15079" s="0" t="s">
        <v>50104</v>
      </c>
      <c r="K15079" s="0" t="s">
        <v>50105</v>
      </c>
      <c r="L15079" s="0" t="str">
        <f aca="false">HYPERLINK("https://www.ncbi.nlm.nih.gov/nuccore/CP000058.1?report=graph&amp;tracks=[key:gene_model_track,Options:GeneOnly]&amp;mk=4666260:4666279|offset_10|444444,4666285:4666304|offset_35|444444,4666309:4666328|offset_59|00cc00,4666338:4666357|offset_88|444444&amp;v=4666059:4666557&amp;c=444444", "offset 59")</f>
        <v>offset 59</v>
      </c>
    </row>
    <row r="15080" customFormat="false" ht="12.8" hidden="false" customHeight="false" outlineLevel="0" collapsed="false">
      <c r="A15080" s="0" t="s">
        <v>12</v>
      </c>
      <c r="B15080" s="0" t="n">
        <v>4666337</v>
      </c>
      <c r="C15080" s="0" t="n">
        <v>4666357</v>
      </c>
      <c r="D15080" s="0" t="s">
        <v>50096</v>
      </c>
      <c r="E15080" s="0" t="s">
        <v>75</v>
      </c>
      <c r="F15080" s="0" t="s">
        <v>15</v>
      </c>
      <c r="G15080" s="0" t="s">
        <v>36</v>
      </c>
      <c r="H15080" s="0" t="n">
        <v>88</v>
      </c>
      <c r="I15080" s="0" t="s">
        <v>50106</v>
      </c>
      <c r="J15080" s="0" t="s">
        <v>50107</v>
      </c>
      <c r="K15080" s="0" t="s">
        <v>50108</v>
      </c>
      <c r="L15080" s="0" t="str">
        <f aca="false">HYPERLINK("https://www.ncbi.nlm.nih.gov/nuccore/CP000058.1?report=graph&amp;tracks=[key:gene_model_track,Options:GeneOnly]&amp;mk=4666260:4666279|offset_10|444444,4666285:4666304|offset_35|444444,4666309:4666328|offset_59|444444,4666338:4666357|offset_88|00cc00&amp;v=4666059:4666557&amp;c=444444", "offset 88")</f>
        <v>offset 88</v>
      </c>
    </row>
    <row r="15081" customFormat="false" ht="12.8" hidden="false" customHeight="false" outlineLevel="0" collapsed="false">
      <c r="A15081" s="0" t="s">
        <v>12</v>
      </c>
      <c r="B15081" s="0" t="n">
        <v>4671951</v>
      </c>
      <c r="C15081" s="0" t="n">
        <v>4671971</v>
      </c>
      <c r="D15081" s="0" t="s">
        <v>50109</v>
      </c>
      <c r="E15081" s="0" t="s">
        <v>75</v>
      </c>
      <c r="F15081" s="0" t="s">
        <v>15</v>
      </c>
      <c r="G15081" s="0" t="s">
        <v>32</v>
      </c>
      <c r="H15081" s="0" t="n">
        <v>11</v>
      </c>
      <c r="I15081" s="0" t="s">
        <v>50110</v>
      </c>
      <c r="J15081" s="0" t="s">
        <v>50111</v>
      </c>
      <c r="K15081" s="0" t="s">
        <v>50112</v>
      </c>
      <c r="L15081" s="0" t="str">
        <f aca="false">HYPERLINK("https://www.ncbi.nlm.nih.gov/nuccore/CP000058.1?report=graph&amp;tracks=[key:gene_model_track,Options:GeneOnly]&amp;mk=4671952:4671971|offset_11|00cc00,4671976:4671995|offset_35|444444,4672039:4672058|offset_98|444444,4672119:4672138|offset_178|444444&amp;v=4671751:4672338&amp;c=444444", "offset 11")</f>
        <v>offset 11</v>
      </c>
    </row>
    <row r="15082" customFormat="false" ht="12.8" hidden="false" customHeight="false" outlineLevel="0" collapsed="false">
      <c r="A15082" s="0" t="s">
        <v>12</v>
      </c>
      <c r="B15082" s="0" t="n">
        <v>4671975</v>
      </c>
      <c r="C15082" s="0" t="n">
        <v>4671995</v>
      </c>
      <c r="D15082" s="0" t="s">
        <v>50109</v>
      </c>
      <c r="E15082" s="0" t="s">
        <v>75</v>
      </c>
      <c r="F15082" s="0" t="s">
        <v>15</v>
      </c>
      <c r="G15082" s="0" t="s">
        <v>36</v>
      </c>
      <c r="H15082" s="0" t="n">
        <v>35</v>
      </c>
      <c r="I15082" s="0" t="s">
        <v>50113</v>
      </c>
      <c r="J15082" s="0" t="s">
        <v>50114</v>
      </c>
      <c r="K15082" s="0" t="s">
        <v>50115</v>
      </c>
      <c r="L15082" s="0" t="str">
        <f aca="false">HYPERLINK("https://www.ncbi.nlm.nih.gov/nuccore/CP000058.1?report=graph&amp;tracks=[key:gene_model_track,Options:GeneOnly]&amp;mk=4671952:4671971|offset_11|444444,4671976:4671995|offset_35|00cc00,4672039:4672058|offset_98|444444,4672119:4672138|offset_178|444444&amp;v=4671751:4672338&amp;c=444444", "offset 35")</f>
        <v>offset 35</v>
      </c>
    </row>
    <row r="15083" customFormat="false" ht="12.8" hidden="false" customHeight="false" outlineLevel="0" collapsed="false">
      <c r="A15083" s="0" t="s">
        <v>12</v>
      </c>
      <c r="B15083" s="0" t="n">
        <v>4672038</v>
      </c>
      <c r="C15083" s="0" t="n">
        <v>4672058</v>
      </c>
      <c r="D15083" s="0" t="s">
        <v>50109</v>
      </c>
      <c r="E15083" s="0" t="s">
        <v>75</v>
      </c>
      <c r="F15083" s="0" t="s">
        <v>15</v>
      </c>
      <c r="G15083" s="0" t="s">
        <v>20</v>
      </c>
      <c r="H15083" s="0" t="n">
        <v>98</v>
      </c>
      <c r="I15083" s="0" t="s">
        <v>50116</v>
      </c>
      <c r="J15083" s="0" t="s">
        <v>50117</v>
      </c>
      <c r="K15083" s="0" t="s">
        <v>50118</v>
      </c>
      <c r="L15083" s="0" t="str">
        <f aca="false">HYPERLINK("https://www.ncbi.nlm.nih.gov/nuccore/CP000058.1?report=graph&amp;tracks=[key:gene_model_track,Options:GeneOnly]&amp;mk=4671952:4671971|offset_11|444444,4671976:4671995|offset_35|444444,4672039:4672058|offset_98|00cc00,4672119:4672138|offset_178|444444&amp;v=4671751:4672338&amp;c=444444", "offset 98")</f>
        <v>offset 98</v>
      </c>
    </row>
    <row r="15084" customFormat="false" ht="12.8" hidden="false" customHeight="false" outlineLevel="0" collapsed="false">
      <c r="A15084" s="0" t="s">
        <v>12</v>
      </c>
      <c r="B15084" s="0" t="n">
        <v>4672118</v>
      </c>
      <c r="C15084" s="0" t="n">
        <v>4672138</v>
      </c>
      <c r="D15084" s="0" t="s">
        <v>50109</v>
      </c>
      <c r="E15084" s="0" t="s">
        <v>75</v>
      </c>
      <c r="F15084" s="0" t="s">
        <v>15</v>
      </c>
      <c r="G15084" s="0" t="s">
        <v>32</v>
      </c>
      <c r="H15084" s="0" t="n">
        <v>178</v>
      </c>
      <c r="I15084" s="0" t="s">
        <v>50119</v>
      </c>
      <c r="J15084" s="0" t="s">
        <v>50120</v>
      </c>
      <c r="K15084" s="0" t="s">
        <v>50121</v>
      </c>
      <c r="L15084" s="0" t="str">
        <f aca="false">HYPERLINK("https://www.ncbi.nlm.nih.gov/nuccore/CP000058.1?report=graph&amp;tracks=[key:gene_model_track,Options:GeneOnly]&amp;mk=4671952:4671971|offset_11|444444,4671976:4671995|offset_35|444444,4672039:4672058|offset_98|444444,4672119:4672138|offset_178|00cc00&amp;v=4671751:4672338&amp;c=444444", "offset 178")</f>
        <v>offset 178</v>
      </c>
    </row>
    <row r="15085" customFormat="false" ht="12.8" hidden="false" customHeight="false" outlineLevel="0" collapsed="false">
      <c r="A15085" s="0" t="s">
        <v>12</v>
      </c>
      <c r="B15085" s="0" t="n">
        <v>4673625</v>
      </c>
      <c r="C15085" s="0" t="n">
        <v>4673645</v>
      </c>
      <c r="D15085" s="0" t="s">
        <v>50122</v>
      </c>
      <c r="E15085" s="0" t="s">
        <v>75</v>
      </c>
      <c r="F15085" s="0" t="s">
        <v>15</v>
      </c>
      <c r="G15085" s="0" t="s">
        <v>36</v>
      </c>
      <c r="H15085" s="0" t="n">
        <v>12</v>
      </c>
      <c r="I15085" s="0" t="s">
        <v>50123</v>
      </c>
      <c r="J15085" s="0" t="s">
        <v>50124</v>
      </c>
      <c r="K15085" s="0" t="s">
        <v>50125</v>
      </c>
      <c r="L15085" s="0" t="str">
        <f aca="false">HYPERLINK("https://www.ncbi.nlm.nih.gov/nuccore/CP000058.1?report=graph&amp;tracks=[key:gene_model_track,Options:GeneOnly]&amp;mk=4673626:4673645|offset_12|00cc00,4673648:4673667|offset_34|444444,4673672:4673691|offset_58|444444,4673710:4673729|offset_96|444444&amp;v=4673425:4673929&amp;c=444444", "offset 12")</f>
        <v>offset 12</v>
      </c>
    </row>
    <row r="15086" customFormat="false" ht="12.8" hidden="false" customHeight="false" outlineLevel="0" collapsed="false">
      <c r="A15086" s="0" t="s">
        <v>12</v>
      </c>
      <c r="B15086" s="0" t="n">
        <v>4673647</v>
      </c>
      <c r="C15086" s="0" t="n">
        <v>4673667</v>
      </c>
      <c r="D15086" s="0" t="s">
        <v>50122</v>
      </c>
      <c r="E15086" s="0" t="s">
        <v>75</v>
      </c>
      <c r="F15086" s="0" t="s">
        <v>15</v>
      </c>
      <c r="G15086" s="0" t="s">
        <v>32</v>
      </c>
      <c r="H15086" s="0" t="n">
        <v>34</v>
      </c>
      <c r="I15086" s="0" t="s">
        <v>50126</v>
      </c>
      <c r="J15086" s="0" t="s">
        <v>50127</v>
      </c>
      <c r="K15086" s="0" t="s">
        <v>50128</v>
      </c>
      <c r="L15086" s="0" t="str">
        <f aca="false">HYPERLINK("https://www.ncbi.nlm.nih.gov/nuccore/CP000058.1?report=graph&amp;tracks=[key:gene_model_track,Options:GeneOnly]&amp;mk=4673626:4673645|offset_12|444444,4673648:4673667|offset_34|00cc00,4673672:4673691|offset_58|444444,4673710:4673729|offset_96|444444&amp;v=4673425:4673929&amp;c=444444", "offset 34")</f>
        <v>offset 34</v>
      </c>
    </row>
    <row r="15087" customFormat="false" ht="12.8" hidden="false" customHeight="false" outlineLevel="0" collapsed="false">
      <c r="A15087" s="0" t="s">
        <v>12</v>
      </c>
      <c r="B15087" s="0" t="n">
        <v>4673671</v>
      </c>
      <c r="C15087" s="0" t="n">
        <v>4673691</v>
      </c>
      <c r="D15087" s="0" t="s">
        <v>50122</v>
      </c>
      <c r="E15087" s="0" t="s">
        <v>75</v>
      </c>
      <c r="F15087" s="0" t="s">
        <v>15</v>
      </c>
      <c r="G15087" s="0" t="s">
        <v>20</v>
      </c>
      <c r="H15087" s="0" t="n">
        <v>58</v>
      </c>
      <c r="I15087" s="0" t="s">
        <v>50129</v>
      </c>
      <c r="J15087" s="0" t="s">
        <v>50130</v>
      </c>
      <c r="K15087" s="0" t="s">
        <v>50131</v>
      </c>
      <c r="L15087" s="0" t="str">
        <f aca="false">HYPERLINK("https://www.ncbi.nlm.nih.gov/nuccore/CP000058.1?report=graph&amp;tracks=[key:gene_model_track,Options:GeneOnly]&amp;mk=4673626:4673645|offset_12|444444,4673648:4673667|offset_34|444444,4673672:4673691|offset_58|00cc00,4673710:4673729|offset_96|444444&amp;v=4673425:4673929&amp;c=444444", "offset 58")</f>
        <v>offset 58</v>
      </c>
    </row>
    <row r="15088" customFormat="false" ht="12.8" hidden="false" customHeight="false" outlineLevel="0" collapsed="false">
      <c r="A15088" s="0" t="s">
        <v>12</v>
      </c>
      <c r="B15088" s="0" t="n">
        <v>4673709</v>
      </c>
      <c r="C15088" s="0" t="n">
        <v>4673729</v>
      </c>
      <c r="D15088" s="0" t="s">
        <v>50122</v>
      </c>
      <c r="E15088" s="0" t="s">
        <v>75</v>
      </c>
      <c r="F15088" s="0" t="s">
        <v>15</v>
      </c>
      <c r="G15088" s="0" t="s">
        <v>20</v>
      </c>
      <c r="H15088" s="0" t="n">
        <v>96</v>
      </c>
      <c r="I15088" s="0" t="s">
        <v>50132</v>
      </c>
      <c r="J15088" s="0" t="s">
        <v>50133</v>
      </c>
      <c r="K15088" s="0" t="s">
        <v>50134</v>
      </c>
      <c r="L15088" s="0" t="str">
        <f aca="false">HYPERLINK("https://www.ncbi.nlm.nih.gov/nuccore/CP000058.1?report=graph&amp;tracks=[key:gene_model_track,Options:GeneOnly]&amp;mk=4673626:4673645|offset_12|444444,4673648:4673667|offset_34|444444,4673672:4673691|offset_58|444444,4673710:4673729|offset_96|00cc00&amp;v=4673425:4673929&amp;c=444444", "offset 96")</f>
        <v>offset 96</v>
      </c>
    </row>
    <row r="15089" customFormat="false" ht="12.8" hidden="false" customHeight="false" outlineLevel="0" collapsed="false">
      <c r="A15089" s="0" t="s">
        <v>12</v>
      </c>
      <c r="B15089" s="0" t="n">
        <v>4673939</v>
      </c>
      <c r="C15089" s="0" t="n">
        <v>4673959</v>
      </c>
      <c r="D15089" s="0" t="s">
        <v>50135</v>
      </c>
      <c r="E15089" s="0" t="s">
        <v>75</v>
      </c>
      <c r="F15089" s="0" t="s">
        <v>15</v>
      </c>
      <c r="G15089" s="0" t="s">
        <v>36</v>
      </c>
      <c r="H15089" s="0" t="n">
        <v>48</v>
      </c>
      <c r="I15089" s="0" t="s">
        <v>50136</v>
      </c>
      <c r="J15089" s="0" t="s">
        <v>50137</v>
      </c>
      <c r="K15089" s="0" t="s">
        <v>50138</v>
      </c>
      <c r="L15089" s="0" t="str">
        <f aca="false">HYPERLINK("https://www.ncbi.nlm.nih.gov/nuccore/CP000058.1?report=graph&amp;tracks=[key:gene_model_track,Options:GeneOnly]&amp;mk=4673940:4673959|offset_48|00cc00,4673989:4674008|offset_97|444444,4674013:4674032|offset_121|444444,4674055:4674074|offset_163|444444&amp;v=4673739:4674274&amp;c=444444", "offset 48")</f>
        <v>offset 48</v>
      </c>
    </row>
    <row r="15090" customFormat="false" ht="12.8" hidden="false" customHeight="false" outlineLevel="0" collapsed="false">
      <c r="A15090" s="0" t="s">
        <v>12</v>
      </c>
      <c r="B15090" s="0" t="n">
        <v>4673988</v>
      </c>
      <c r="C15090" s="0" t="n">
        <v>4674008</v>
      </c>
      <c r="D15090" s="0" t="s">
        <v>50135</v>
      </c>
      <c r="E15090" s="0" t="s">
        <v>75</v>
      </c>
      <c r="F15090" s="0" t="s">
        <v>15</v>
      </c>
      <c r="G15090" s="0" t="s">
        <v>16</v>
      </c>
      <c r="H15090" s="0" t="n">
        <v>97</v>
      </c>
      <c r="I15090" s="0" t="s">
        <v>50139</v>
      </c>
      <c r="J15090" s="0" t="s">
        <v>50140</v>
      </c>
      <c r="K15090" s="0" t="s">
        <v>50141</v>
      </c>
      <c r="L15090" s="0" t="str">
        <f aca="false">HYPERLINK("https://www.ncbi.nlm.nih.gov/nuccore/CP000058.1?report=graph&amp;tracks=[key:gene_model_track,Options:GeneOnly]&amp;mk=4673940:4673959|offset_48|444444,4673989:4674008|offset_97|00cc00,4674013:4674032|offset_121|444444,4674055:4674074|offset_163|444444&amp;v=4673739:4674274&amp;c=444444", "offset 97")</f>
        <v>offset 97</v>
      </c>
    </row>
    <row r="15091" customFormat="false" ht="12.8" hidden="false" customHeight="false" outlineLevel="0" collapsed="false">
      <c r="A15091" s="0" t="s">
        <v>12</v>
      </c>
      <c r="B15091" s="0" t="n">
        <v>4674012</v>
      </c>
      <c r="C15091" s="0" t="n">
        <v>4674032</v>
      </c>
      <c r="D15091" s="0" t="s">
        <v>50135</v>
      </c>
      <c r="E15091" s="0" t="s">
        <v>75</v>
      </c>
      <c r="F15091" s="0" t="s">
        <v>15</v>
      </c>
      <c r="G15091" s="0" t="s">
        <v>16</v>
      </c>
      <c r="H15091" s="0" t="n">
        <v>121</v>
      </c>
      <c r="I15091" s="0" t="s">
        <v>50142</v>
      </c>
      <c r="J15091" s="0" t="s">
        <v>50143</v>
      </c>
      <c r="K15091" s="0" t="s">
        <v>50144</v>
      </c>
      <c r="L15091" s="0" t="str">
        <f aca="false">HYPERLINK("https://www.ncbi.nlm.nih.gov/nuccore/CP000058.1?report=graph&amp;tracks=[key:gene_model_track,Options:GeneOnly]&amp;mk=4673940:4673959|offset_48|444444,4673989:4674008|offset_97|444444,4674013:4674032|offset_121|00cc00,4674055:4674074|offset_163|444444&amp;v=4673739:4674274&amp;c=444444", "offset 121")</f>
        <v>offset 121</v>
      </c>
    </row>
    <row r="15092" customFormat="false" ht="12.8" hidden="false" customHeight="false" outlineLevel="0" collapsed="false">
      <c r="A15092" s="0" t="s">
        <v>12</v>
      </c>
      <c r="B15092" s="0" t="n">
        <v>4674054</v>
      </c>
      <c r="C15092" s="0" t="n">
        <v>4674074</v>
      </c>
      <c r="D15092" s="0" t="s">
        <v>50135</v>
      </c>
      <c r="E15092" s="0" t="s">
        <v>75</v>
      </c>
      <c r="F15092" s="0" t="s">
        <v>15</v>
      </c>
      <c r="G15092" s="0" t="s">
        <v>36</v>
      </c>
      <c r="H15092" s="0" t="n">
        <v>163</v>
      </c>
      <c r="I15092" s="0" t="s">
        <v>50145</v>
      </c>
      <c r="J15092" s="0" t="s">
        <v>50146</v>
      </c>
      <c r="K15092" s="0" t="s">
        <v>50147</v>
      </c>
      <c r="L15092" s="0" t="str">
        <f aca="false">HYPERLINK("https://www.ncbi.nlm.nih.gov/nuccore/CP000058.1?report=graph&amp;tracks=[key:gene_model_track,Options:GeneOnly]&amp;mk=4673940:4673959|offset_48|444444,4673989:4674008|offset_97|444444,4674013:4674032|offset_121|444444,4674055:4674074|offset_163|00cc00&amp;v=4673739:4674274&amp;c=444444", "offset 163")</f>
        <v>offset 163</v>
      </c>
    </row>
    <row r="15093" customFormat="false" ht="12.8" hidden="false" customHeight="false" outlineLevel="0" collapsed="false">
      <c r="A15093" s="0" t="s">
        <v>12</v>
      </c>
      <c r="B15093" s="0" t="n">
        <v>4675417</v>
      </c>
      <c r="C15093" s="0" t="n">
        <v>4675437</v>
      </c>
      <c r="D15093" s="0" t="s">
        <v>50148</v>
      </c>
      <c r="E15093" s="0" t="s">
        <v>75</v>
      </c>
      <c r="F15093" s="0" t="s">
        <v>90</v>
      </c>
      <c r="G15093" s="0" t="s">
        <v>20</v>
      </c>
      <c r="H15093" s="0" t="n">
        <v>49</v>
      </c>
      <c r="I15093" s="0" t="s">
        <v>50149</v>
      </c>
      <c r="J15093" s="0" t="s">
        <v>50150</v>
      </c>
      <c r="K15093" s="0" t="s">
        <v>50151</v>
      </c>
      <c r="L15093" s="0" t="str">
        <f aca="false">HYPERLINK("https://www.ncbi.nlm.nih.gov/nuccore/CP000058.1?report=graph&amp;tracks=[key:gene_model_track,Options:GeneOnly]&amp;mk=4675418:4675437|offset_49|00cc00,4675387:4675406|offset_80|444444,4675336:4675355|offset_131|444444,4675304:4675323|offset_163|444444&amp;v=4675217:4675523&amp;c=444444", "offset 49")</f>
        <v>offset 49</v>
      </c>
    </row>
    <row r="15094" customFormat="false" ht="12.8" hidden="false" customHeight="false" outlineLevel="0" collapsed="false">
      <c r="A15094" s="0" t="s">
        <v>12</v>
      </c>
      <c r="B15094" s="0" t="n">
        <v>4675386</v>
      </c>
      <c r="C15094" s="0" t="n">
        <v>4675406</v>
      </c>
      <c r="D15094" s="0" t="s">
        <v>50148</v>
      </c>
      <c r="E15094" s="0" t="s">
        <v>75</v>
      </c>
      <c r="F15094" s="0" t="s">
        <v>90</v>
      </c>
      <c r="G15094" s="0" t="s">
        <v>16</v>
      </c>
      <c r="H15094" s="0" t="n">
        <v>80</v>
      </c>
      <c r="I15094" s="0" t="s">
        <v>50152</v>
      </c>
      <c r="J15094" s="0" t="s">
        <v>50153</v>
      </c>
      <c r="K15094" s="0" t="s">
        <v>50154</v>
      </c>
      <c r="L15094" s="0" t="str">
        <f aca="false">HYPERLINK("https://www.ncbi.nlm.nih.gov/nuccore/CP000058.1?report=graph&amp;tracks=[key:gene_model_track,Options:GeneOnly]&amp;mk=4675418:4675437|offset_49|444444,4675387:4675406|offset_80|00cc00,4675336:4675355|offset_131|444444,4675304:4675323|offset_163|444444&amp;v=4675217:4675523&amp;c=444444", "offset 80")</f>
        <v>offset 80</v>
      </c>
    </row>
    <row r="15095" customFormat="false" ht="12.8" hidden="false" customHeight="false" outlineLevel="0" collapsed="false">
      <c r="A15095" s="0" t="s">
        <v>12</v>
      </c>
      <c r="B15095" s="0" t="n">
        <v>4675335</v>
      </c>
      <c r="C15095" s="0" t="n">
        <v>4675355</v>
      </c>
      <c r="D15095" s="0" t="s">
        <v>50148</v>
      </c>
      <c r="E15095" s="0" t="s">
        <v>75</v>
      </c>
      <c r="F15095" s="0" t="s">
        <v>90</v>
      </c>
      <c r="G15095" s="0" t="s">
        <v>16</v>
      </c>
      <c r="H15095" s="0" t="n">
        <v>131</v>
      </c>
      <c r="I15095" s="0" t="s">
        <v>50155</v>
      </c>
      <c r="J15095" s="0" t="s">
        <v>50156</v>
      </c>
      <c r="K15095" s="0" t="s">
        <v>50157</v>
      </c>
      <c r="L15095" s="0" t="str">
        <f aca="false">HYPERLINK("https://www.ncbi.nlm.nih.gov/nuccore/CP000058.1?report=graph&amp;tracks=[key:gene_model_track,Options:GeneOnly]&amp;mk=4675418:4675437|offset_49|444444,4675387:4675406|offset_80|444444,4675336:4675355|offset_131|00cc00,4675304:4675323|offset_163|444444&amp;v=4675217:4675523&amp;c=444444", "offset 131")</f>
        <v>offset 131</v>
      </c>
    </row>
    <row r="15096" customFormat="false" ht="12.8" hidden="false" customHeight="false" outlineLevel="0" collapsed="false">
      <c r="A15096" s="0" t="s">
        <v>12</v>
      </c>
      <c r="B15096" s="0" t="n">
        <v>4675303</v>
      </c>
      <c r="C15096" s="0" t="n">
        <v>4675323</v>
      </c>
      <c r="D15096" s="0" t="s">
        <v>50148</v>
      </c>
      <c r="E15096" s="0" t="s">
        <v>75</v>
      </c>
      <c r="F15096" s="0" t="s">
        <v>90</v>
      </c>
      <c r="G15096" s="0" t="s">
        <v>20</v>
      </c>
      <c r="H15096" s="0" t="n">
        <v>163</v>
      </c>
      <c r="I15096" s="0" t="s">
        <v>50158</v>
      </c>
      <c r="J15096" s="0" t="s">
        <v>50159</v>
      </c>
      <c r="K15096" s="0" t="s">
        <v>50160</v>
      </c>
      <c r="L15096" s="0" t="str">
        <f aca="false">HYPERLINK("https://www.ncbi.nlm.nih.gov/nuccore/CP000058.1?report=graph&amp;tracks=[key:gene_model_track,Options:GeneOnly]&amp;mk=4675418:4675437|offset_49|444444,4675387:4675406|offset_80|444444,4675336:4675355|offset_131|444444,4675304:4675323|offset_163|00cc00&amp;v=4675217:4675523&amp;c=444444", "offset 163")</f>
        <v>offset 163</v>
      </c>
    </row>
    <row r="15097" customFormat="false" ht="12.8" hidden="false" customHeight="false" outlineLevel="0" collapsed="false">
      <c r="A15097" s="0" t="s">
        <v>12</v>
      </c>
      <c r="B15097" s="0" t="n">
        <v>4676066</v>
      </c>
      <c r="C15097" s="0" t="n">
        <v>4676086</v>
      </c>
      <c r="D15097" s="0" t="s">
        <v>50161</v>
      </c>
      <c r="E15097" s="0" t="s">
        <v>75</v>
      </c>
      <c r="F15097" s="0" t="s">
        <v>90</v>
      </c>
      <c r="G15097" s="0" t="s">
        <v>36</v>
      </c>
      <c r="H15097" s="0" t="n">
        <v>6</v>
      </c>
      <c r="I15097" s="0" t="s">
        <v>50162</v>
      </c>
      <c r="J15097" s="0" t="s">
        <v>50163</v>
      </c>
      <c r="K15097" s="0" t="s">
        <v>50164</v>
      </c>
      <c r="L15097" s="0" t="str">
        <f aca="false">HYPERLINK("https://www.ncbi.nlm.nih.gov/nuccore/CP000058.1?report=graph&amp;tracks=[key:gene_model_track,Options:GeneOnly]&amp;mk=4676067:4676086|offset_6|00cc00,4676018:4676037|offset_55|444444,4675990:4676009|offset_83|444444,4675928:4675947|offset_145|444444&amp;v=4675866:4676147&amp;c=444444", "offset 6")</f>
        <v>offset 6</v>
      </c>
    </row>
    <row r="15098" customFormat="false" ht="12.8" hidden="false" customHeight="false" outlineLevel="0" collapsed="false">
      <c r="A15098" s="0" t="s">
        <v>12</v>
      </c>
      <c r="B15098" s="0" t="n">
        <v>4676017</v>
      </c>
      <c r="C15098" s="0" t="n">
        <v>4676037</v>
      </c>
      <c r="D15098" s="0" t="s">
        <v>50161</v>
      </c>
      <c r="E15098" s="0" t="s">
        <v>75</v>
      </c>
      <c r="F15098" s="0" t="s">
        <v>90</v>
      </c>
      <c r="G15098" s="0" t="s">
        <v>16</v>
      </c>
      <c r="H15098" s="0" t="n">
        <v>55</v>
      </c>
      <c r="I15098" s="0" t="s">
        <v>50165</v>
      </c>
      <c r="J15098" s="0" t="s">
        <v>50166</v>
      </c>
      <c r="K15098" s="0" t="s">
        <v>50167</v>
      </c>
      <c r="L15098" s="0" t="str">
        <f aca="false">HYPERLINK("https://www.ncbi.nlm.nih.gov/nuccore/CP000058.1?report=graph&amp;tracks=[key:gene_model_track,Options:GeneOnly]&amp;mk=4676067:4676086|offset_6|444444,4676018:4676037|offset_55|00cc00,4675990:4676009|offset_83|444444,4675928:4675947|offset_145|444444&amp;v=4675866:4676147&amp;c=444444", "offset 55")</f>
        <v>offset 55</v>
      </c>
    </row>
    <row r="15099" customFormat="false" ht="12.8" hidden="false" customHeight="false" outlineLevel="0" collapsed="false">
      <c r="A15099" s="0" t="s">
        <v>12</v>
      </c>
      <c r="B15099" s="0" t="n">
        <v>4675989</v>
      </c>
      <c r="C15099" s="0" t="n">
        <v>4676009</v>
      </c>
      <c r="D15099" s="0" t="s">
        <v>50161</v>
      </c>
      <c r="E15099" s="0" t="s">
        <v>75</v>
      </c>
      <c r="F15099" s="0" t="s">
        <v>90</v>
      </c>
      <c r="G15099" s="0" t="s">
        <v>16</v>
      </c>
      <c r="H15099" s="0" t="n">
        <v>83</v>
      </c>
      <c r="I15099" s="0" t="s">
        <v>50168</v>
      </c>
      <c r="J15099" s="0" t="s">
        <v>50169</v>
      </c>
      <c r="K15099" s="0" t="s">
        <v>50170</v>
      </c>
      <c r="L15099" s="0" t="str">
        <f aca="false">HYPERLINK("https://www.ncbi.nlm.nih.gov/nuccore/CP000058.1?report=graph&amp;tracks=[key:gene_model_track,Options:GeneOnly]&amp;mk=4676067:4676086|offset_6|444444,4676018:4676037|offset_55|444444,4675990:4676009|offset_83|00cc00,4675928:4675947|offset_145|444444&amp;v=4675866:4676147&amp;c=444444", "offset 83")</f>
        <v>offset 83</v>
      </c>
    </row>
    <row r="15100" customFormat="false" ht="12.8" hidden="false" customHeight="false" outlineLevel="0" collapsed="false">
      <c r="A15100" s="0" t="s">
        <v>12</v>
      </c>
      <c r="B15100" s="0" t="n">
        <v>4675927</v>
      </c>
      <c r="C15100" s="0" t="n">
        <v>4675947</v>
      </c>
      <c r="D15100" s="0" t="s">
        <v>50161</v>
      </c>
      <c r="E15100" s="0" t="s">
        <v>75</v>
      </c>
      <c r="F15100" s="0" t="s">
        <v>90</v>
      </c>
      <c r="G15100" s="0" t="s">
        <v>16</v>
      </c>
      <c r="H15100" s="0" t="n">
        <v>145</v>
      </c>
      <c r="I15100" s="0" t="s">
        <v>50171</v>
      </c>
      <c r="J15100" s="0" t="s">
        <v>50172</v>
      </c>
      <c r="K15100" s="0" t="s">
        <v>50173</v>
      </c>
      <c r="L15100" s="0" t="str">
        <f aca="false">HYPERLINK("https://www.ncbi.nlm.nih.gov/nuccore/CP000058.1?report=graph&amp;tracks=[key:gene_model_track,Options:GeneOnly]&amp;mk=4676067:4676086|offset_6|444444,4676018:4676037|offset_55|444444,4675990:4676009|offset_83|444444,4675928:4675947|offset_145|00cc00&amp;v=4675866:4676147&amp;c=444444", "offset 145")</f>
        <v>offset 145</v>
      </c>
    </row>
    <row r="15101" customFormat="false" ht="12.8" hidden="false" customHeight="false" outlineLevel="0" collapsed="false">
      <c r="A15101" s="0" t="s">
        <v>12</v>
      </c>
      <c r="B15101" s="0" t="n">
        <v>4677226</v>
      </c>
      <c r="C15101" s="0" t="n">
        <v>4677246</v>
      </c>
      <c r="D15101" s="0" t="s">
        <v>50174</v>
      </c>
      <c r="E15101" s="0" t="s">
        <v>75</v>
      </c>
      <c r="F15101" s="0" t="s">
        <v>15</v>
      </c>
      <c r="G15101" s="0" t="s">
        <v>32</v>
      </c>
      <c r="H15101" s="0" t="n">
        <v>0</v>
      </c>
      <c r="I15101" s="0" t="s">
        <v>50175</v>
      </c>
      <c r="J15101" s="0" t="s">
        <v>50176</v>
      </c>
      <c r="K15101" s="0" t="s">
        <v>50177</v>
      </c>
      <c r="L15101" s="0" t="str">
        <f aca="false">HYPERLINK("https://www.ncbi.nlm.nih.gov/nuccore/CP000058.1?report=graph&amp;tracks=[key:gene_model_track,Options:GeneOnly]&amp;mk=4677227:4677246|offset_0|00cc00,4677247:4677266|offset_20|444444,4677282:4677301|offset_55|444444,4677303:4677322|offset_76|444444&amp;v=4677026:4677522&amp;c=444444", "offset 0")</f>
        <v>offset 0</v>
      </c>
    </row>
    <row r="15102" customFormat="false" ht="12.8" hidden="false" customHeight="false" outlineLevel="0" collapsed="false">
      <c r="A15102" s="0" t="s">
        <v>12</v>
      </c>
      <c r="B15102" s="0" t="n">
        <v>4677246</v>
      </c>
      <c r="C15102" s="0" t="n">
        <v>4677266</v>
      </c>
      <c r="D15102" s="0" t="s">
        <v>50174</v>
      </c>
      <c r="E15102" s="0" t="s">
        <v>75</v>
      </c>
      <c r="F15102" s="0" t="s">
        <v>15</v>
      </c>
      <c r="G15102" s="0" t="s">
        <v>20</v>
      </c>
      <c r="H15102" s="0" t="n">
        <v>20</v>
      </c>
      <c r="I15102" s="0" t="s">
        <v>50178</v>
      </c>
      <c r="J15102" s="0" t="s">
        <v>50179</v>
      </c>
      <c r="K15102" s="0" t="s">
        <v>50180</v>
      </c>
      <c r="L15102" s="0" t="str">
        <f aca="false">HYPERLINK("https://www.ncbi.nlm.nih.gov/nuccore/CP000058.1?report=graph&amp;tracks=[key:gene_model_track,Options:GeneOnly]&amp;mk=4677227:4677246|offset_0|444444,4677247:4677266|offset_20|00cc00,4677282:4677301|offset_55|444444,4677303:4677322|offset_76|444444&amp;v=4677026:4677522&amp;c=444444", "offset 20")</f>
        <v>offset 20</v>
      </c>
    </row>
    <row r="15103" customFormat="false" ht="12.8" hidden="false" customHeight="false" outlineLevel="0" collapsed="false">
      <c r="A15103" s="0" t="s">
        <v>12</v>
      </c>
      <c r="B15103" s="0" t="n">
        <v>4677281</v>
      </c>
      <c r="C15103" s="0" t="n">
        <v>4677301</v>
      </c>
      <c r="D15103" s="0" t="s">
        <v>50174</v>
      </c>
      <c r="E15103" s="0" t="s">
        <v>75</v>
      </c>
      <c r="F15103" s="0" t="s">
        <v>15</v>
      </c>
      <c r="G15103" s="0" t="s">
        <v>16</v>
      </c>
      <c r="H15103" s="0" t="n">
        <v>55</v>
      </c>
      <c r="I15103" s="0" t="s">
        <v>50181</v>
      </c>
      <c r="J15103" s="0" t="s">
        <v>50182</v>
      </c>
      <c r="K15103" s="0" t="s">
        <v>50183</v>
      </c>
      <c r="L15103" s="0" t="str">
        <f aca="false">HYPERLINK("https://www.ncbi.nlm.nih.gov/nuccore/CP000058.1?report=graph&amp;tracks=[key:gene_model_track,Options:GeneOnly]&amp;mk=4677227:4677246|offset_0|444444,4677247:4677266|offset_20|444444,4677282:4677301|offset_55|00cc00,4677303:4677322|offset_76|444444&amp;v=4677026:4677522&amp;c=444444", "offset 55")</f>
        <v>offset 55</v>
      </c>
    </row>
    <row r="15104" customFormat="false" ht="12.8" hidden="false" customHeight="false" outlineLevel="0" collapsed="false">
      <c r="A15104" s="0" t="s">
        <v>12</v>
      </c>
      <c r="B15104" s="0" t="n">
        <v>4677302</v>
      </c>
      <c r="C15104" s="0" t="n">
        <v>4677322</v>
      </c>
      <c r="D15104" s="0" t="s">
        <v>50174</v>
      </c>
      <c r="E15104" s="0" t="s">
        <v>75</v>
      </c>
      <c r="F15104" s="0" t="s">
        <v>15</v>
      </c>
      <c r="G15104" s="0" t="s">
        <v>32</v>
      </c>
      <c r="H15104" s="0" t="n">
        <v>76</v>
      </c>
      <c r="I15104" s="0" t="s">
        <v>50184</v>
      </c>
      <c r="J15104" s="0" t="s">
        <v>50185</v>
      </c>
      <c r="K15104" s="0" t="s">
        <v>50186</v>
      </c>
      <c r="L15104" s="0" t="str">
        <f aca="false">HYPERLINK("https://www.ncbi.nlm.nih.gov/nuccore/CP000058.1?report=graph&amp;tracks=[key:gene_model_track,Options:GeneOnly]&amp;mk=4677227:4677246|offset_0|444444,4677247:4677266|offset_20|444444,4677282:4677301|offset_55|444444,4677303:4677322|offset_76|00cc00&amp;v=4677026:4677522&amp;c=444444", "offset 76")</f>
        <v>offset 76</v>
      </c>
    </row>
    <row r="15105" customFormat="false" ht="12.8" hidden="false" customHeight="false" outlineLevel="0" collapsed="false">
      <c r="A15105" s="0" t="s">
        <v>12</v>
      </c>
      <c r="B15105" s="0" t="n">
        <v>4679315</v>
      </c>
      <c r="C15105" s="0" t="n">
        <v>4679335</v>
      </c>
      <c r="D15105" s="0" t="s">
        <v>50187</v>
      </c>
      <c r="E15105" s="0" t="s">
        <v>75</v>
      </c>
      <c r="F15105" s="0" t="s">
        <v>15</v>
      </c>
      <c r="G15105" s="0" t="s">
        <v>16</v>
      </c>
      <c r="H15105" s="0" t="n">
        <v>37</v>
      </c>
      <c r="I15105" s="0" t="s">
        <v>50188</v>
      </c>
      <c r="J15105" s="0" t="s">
        <v>50189</v>
      </c>
      <c r="K15105" s="0" t="s">
        <v>50190</v>
      </c>
      <c r="L15105" s="0" t="str">
        <f aca="false">HYPERLINK("https://www.ncbi.nlm.nih.gov/nuccore/CP000058.1?report=graph&amp;tracks=[key:gene_model_track,Options:GeneOnly]&amp;mk=4679316:4679335|offset_37|00cc00,4679361:4679380|offset_82|444444,4679385:4679404|offset_106|444444,4679422:4679441|offset_143|444444&amp;v=4679115:4679641&amp;c=444444", "offset 37")</f>
        <v>offset 37</v>
      </c>
    </row>
    <row r="15106" customFormat="false" ht="12.8" hidden="false" customHeight="false" outlineLevel="0" collapsed="false">
      <c r="A15106" s="0" t="s">
        <v>12</v>
      </c>
      <c r="B15106" s="0" t="n">
        <v>4679360</v>
      </c>
      <c r="C15106" s="0" t="n">
        <v>4679380</v>
      </c>
      <c r="D15106" s="0" t="s">
        <v>50187</v>
      </c>
      <c r="E15106" s="0" t="s">
        <v>75</v>
      </c>
      <c r="F15106" s="0" t="s">
        <v>15</v>
      </c>
      <c r="G15106" s="0" t="s">
        <v>32</v>
      </c>
      <c r="H15106" s="0" t="n">
        <v>82</v>
      </c>
      <c r="I15106" s="0" t="s">
        <v>50191</v>
      </c>
      <c r="J15106" s="0" t="s">
        <v>50192</v>
      </c>
      <c r="K15106" s="0" t="s">
        <v>50193</v>
      </c>
      <c r="L15106" s="0" t="str">
        <f aca="false">HYPERLINK("https://www.ncbi.nlm.nih.gov/nuccore/CP000058.1?report=graph&amp;tracks=[key:gene_model_track,Options:GeneOnly]&amp;mk=4679316:4679335|offset_37|444444,4679361:4679380|offset_82|00cc00,4679385:4679404|offset_106|444444,4679422:4679441|offset_143|444444&amp;v=4679115:4679641&amp;c=444444", "offset 82")</f>
        <v>offset 82</v>
      </c>
    </row>
    <row r="15107" customFormat="false" ht="12.8" hidden="false" customHeight="false" outlineLevel="0" collapsed="false">
      <c r="A15107" s="0" t="s">
        <v>12</v>
      </c>
      <c r="B15107" s="0" t="n">
        <v>4679384</v>
      </c>
      <c r="C15107" s="0" t="n">
        <v>4679404</v>
      </c>
      <c r="D15107" s="0" t="s">
        <v>50187</v>
      </c>
      <c r="E15107" s="0" t="s">
        <v>75</v>
      </c>
      <c r="F15107" s="0" t="s">
        <v>15</v>
      </c>
      <c r="G15107" s="0" t="s">
        <v>32</v>
      </c>
      <c r="H15107" s="0" t="n">
        <v>106</v>
      </c>
      <c r="I15107" s="0" t="s">
        <v>50194</v>
      </c>
      <c r="J15107" s="0" t="s">
        <v>50195</v>
      </c>
      <c r="K15107" s="0" t="s">
        <v>50196</v>
      </c>
      <c r="L15107" s="0" t="str">
        <f aca="false">HYPERLINK("https://www.ncbi.nlm.nih.gov/nuccore/CP000058.1?report=graph&amp;tracks=[key:gene_model_track,Options:GeneOnly]&amp;mk=4679316:4679335|offset_37|444444,4679361:4679380|offset_82|444444,4679385:4679404|offset_106|00cc00,4679422:4679441|offset_143|444444&amp;v=4679115:4679641&amp;c=444444", "offset 106")</f>
        <v>offset 106</v>
      </c>
    </row>
    <row r="15108" customFormat="false" ht="12.8" hidden="false" customHeight="false" outlineLevel="0" collapsed="false">
      <c r="A15108" s="0" t="s">
        <v>12</v>
      </c>
      <c r="B15108" s="0" t="n">
        <v>4679421</v>
      </c>
      <c r="C15108" s="0" t="n">
        <v>4679441</v>
      </c>
      <c r="D15108" s="0" t="s">
        <v>50187</v>
      </c>
      <c r="E15108" s="0" t="s">
        <v>75</v>
      </c>
      <c r="F15108" s="0" t="s">
        <v>15</v>
      </c>
      <c r="G15108" s="0" t="s">
        <v>20</v>
      </c>
      <c r="H15108" s="0" t="n">
        <v>143</v>
      </c>
      <c r="I15108" s="0" t="s">
        <v>50197</v>
      </c>
      <c r="J15108" s="0" t="s">
        <v>50198</v>
      </c>
      <c r="K15108" s="0" t="s">
        <v>50199</v>
      </c>
      <c r="L15108" s="0" t="str">
        <f aca="false">HYPERLINK("https://www.ncbi.nlm.nih.gov/nuccore/CP000058.1?report=graph&amp;tracks=[key:gene_model_track,Options:GeneOnly]&amp;mk=4679316:4679335|offset_37|444444,4679361:4679380|offset_82|444444,4679385:4679404|offset_106|444444,4679422:4679441|offset_143|00cc00&amp;v=4679115:4679641&amp;c=444444", "offset 143")</f>
        <v>offset 143</v>
      </c>
    </row>
    <row r="15109" customFormat="false" ht="12.8" hidden="false" customHeight="false" outlineLevel="0" collapsed="false">
      <c r="A15109" s="0" t="s">
        <v>12</v>
      </c>
      <c r="B15109" s="0" t="n">
        <v>4680945</v>
      </c>
      <c r="C15109" s="0" t="n">
        <v>4680965</v>
      </c>
      <c r="D15109" s="0" t="s">
        <v>50200</v>
      </c>
      <c r="E15109" s="0" t="s">
        <v>75</v>
      </c>
      <c r="F15109" s="0" t="s">
        <v>90</v>
      </c>
      <c r="G15109" s="0" t="s">
        <v>16</v>
      </c>
      <c r="H15109" s="0" t="n">
        <v>25</v>
      </c>
      <c r="I15109" s="0" t="s">
        <v>50201</v>
      </c>
      <c r="J15109" s="0" t="s">
        <v>50202</v>
      </c>
      <c r="K15109" s="0" t="s">
        <v>50203</v>
      </c>
      <c r="L15109" s="0" t="str">
        <f aca="false">HYPERLINK("https://www.ncbi.nlm.nih.gov/nuccore/CP000058.1?report=graph&amp;tracks=[key:gene_model_track,Options:GeneOnly]&amp;mk=4680946:4680965|offset_25|00cc00,4680907:4680926|offset_64|444444,4680876:4680895|offset_95|444444,4680835:4680854|offset_136|444444&amp;v=4680745:4681054&amp;c=444444", "offset 25")</f>
        <v>offset 25</v>
      </c>
    </row>
    <row r="15110" customFormat="false" ht="12.8" hidden="false" customHeight="false" outlineLevel="0" collapsed="false">
      <c r="A15110" s="0" t="s">
        <v>12</v>
      </c>
      <c r="B15110" s="0" t="n">
        <v>4680906</v>
      </c>
      <c r="C15110" s="0" t="n">
        <v>4680926</v>
      </c>
      <c r="D15110" s="0" t="s">
        <v>50200</v>
      </c>
      <c r="E15110" s="0" t="s">
        <v>75</v>
      </c>
      <c r="F15110" s="0" t="s">
        <v>90</v>
      </c>
      <c r="G15110" s="0" t="s">
        <v>36</v>
      </c>
      <c r="H15110" s="0" t="n">
        <v>64</v>
      </c>
      <c r="I15110" s="0" t="s">
        <v>50204</v>
      </c>
      <c r="J15110" s="0" t="s">
        <v>50205</v>
      </c>
      <c r="K15110" s="0" t="s">
        <v>50206</v>
      </c>
      <c r="L15110" s="0" t="str">
        <f aca="false">HYPERLINK("https://www.ncbi.nlm.nih.gov/nuccore/CP000058.1?report=graph&amp;tracks=[key:gene_model_track,Options:GeneOnly]&amp;mk=4680946:4680965|offset_25|444444,4680907:4680926|offset_64|00cc00,4680876:4680895|offset_95|444444,4680835:4680854|offset_136|444444&amp;v=4680745:4681054&amp;c=444444", "offset 64")</f>
        <v>offset 64</v>
      </c>
    </row>
    <row r="15111" customFormat="false" ht="12.8" hidden="false" customHeight="false" outlineLevel="0" collapsed="false">
      <c r="A15111" s="0" t="s">
        <v>12</v>
      </c>
      <c r="B15111" s="0" t="n">
        <v>4680875</v>
      </c>
      <c r="C15111" s="0" t="n">
        <v>4680895</v>
      </c>
      <c r="D15111" s="0" t="s">
        <v>50200</v>
      </c>
      <c r="E15111" s="0" t="s">
        <v>75</v>
      </c>
      <c r="F15111" s="0" t="s">
        <v>90</v>
      </c>
      <c r="G15111" s="0" t="s">
        <v>20</v>
      </c>
      <c r="H15111" s="0" t="n">
        <v>95</v>
      </c>
      <c r="I15111" s="0" t="s">
        <v>50207</v>
      </c>
      <c r="J15111" s="0" t="s">
        <v>50208</v>
      </c>
      <c r="K15111" s="0" t="s">
        <v>50209</v>
      </c>
      <c r="L15111" s="0" t="str">
        <f aca="false">HYPERLINK("https://www.ncbi.nlm.nih.gov/nuccore/CP000058.1?report=graph&amp;tracks=[key:gene_model_track,Options:GeneOnly]&amp;mk=4680946:4680965|offset_25|444444,4680907:4680926|offset_64|444444,4680876:4680895|offset_95|00cc00,4680835:4680854|offset_136|444444&amp;v=4680745:4681054&amp;c=444444", "offset 95")</f>
        <v>offset 95</v>
      </c>
    </row>
    <row r="15112" customFormat="false" ht="12.8" hidden="false" customHeight="false" outlineLevel="0" collapsed="false">
      <c r="A15112" s="0" t="s">
        <v>12</v>
      </c>
      <c r="B15112" s="0" t="n">
        <v>4680834</v>
      </c>
      <c r="C15112" s="0" t="n">
        <v>4680854</v>
      </c>
      <c r="D15112" s="0" t="s">
        <v>50200</v>
      </c>
      <c r="E15112" s="0" t="s">
        <v>75</v>
      </c>
      <c r="F15112" s="0" t="s">
        <v>90</v>
      </c>
      <c r="G15112" s="0" t="s">
        <v>16</v>
      </c>
      <c r="H15112" s="0" t="n">
        <v>136</v>
      </c>
      <c r="I15112" s="0" t="s">
        <v>50210</v>
      </c>
      <c r="J15112" s="0" t="s">
        <v>50211</v>
      </c>
      <c r="K15112" s="0" t="s">
        <v>50212</v>
      </c>
      <c r="L15112" s="0" t="str">
        <f aca="false">HYPERLINK("https://www.ncbi.nlm.nih.gov/nuccore/CP000058.1?report=graph&amp;tracks=[key:gene_model_track,Options:GeneOnly]&amp;mk=4680946:4680965|offset_25|444444,4680907:4680926|offset_64|444444,4680876:4680895|offset_95|444444,4680835:4680854|offset_136|00cc00&amp;v=4680745:4681054&amp;c=444444", "offset 136")</f>
        <v>offset 136</v>
      </c>
    </row>
    <row r="15113" customFormat="false" ht="12.8" hidden="false" customHeight="false" outlineLevel="0" collapsed="false">
      <c r="A15113" s="0" t="s">
        <v>12</v>
      </c>
      <c r="B15113" s="0" t="n">
        <v>4681598</v>
      </c>
      <c r="C15113" s="0" t="n">
        <v>4681618</v>
      </c>
      <c r="D15113" s="0" t="s">
        <v>50213</v>
      </c>
      <c r="E15113" s="0" t="s">
        <v>75</v>
      </c>
      <c r="F15113" s="0" t="s">
        <v>90</v>
      </c>
      <c r="G15113" s="0" t="s">
        <v>32</v>
      </c>
      <c r="H15113" s="0" t="n">
        <v>1</v>
      </c>
      <c r="I15113" s="0" t="s">
        <v>50214</v>
      </c>
      <c r="J15113" s="0" t="s">
        <v>50215</v>
      </c>
      <c r="K15113" s="0" t="s">
        <v>50216</v>
      </c>
      <c r="L15113" s="0" t="str">
        <f aca="false">HYPERLINK("https://www.ncbi.nlm.nih.gov/nuccore/CP000058.1?report=graph&amp;tracks=[key:gene_model_track,Options:GeneOnly]&amp;mk=4681599:4681618|offset_1|00cc00,4681560:4681579|offset_40|444444,4681521:4681540|offset_79|444444,4681493:4681512|offset_107|444444&amp;v=4681398:4681712&amp;c=444444", "offset 1")</f>
        <v>offset 1</v>
      </c>
    </row>
    <row r="15114" customFormat="false" ht="12.8" hidden="false" customHeight="false" outlineLevel="0" collapsed="false">
      <c r="A15114" s="0" t="s">
        <v>12</v>
      </c>
      <c r="B15114" s="0" t="n">
        <v>4681559</v>
      </c>
      <c r="C15114" s="0" t="n">
        <v>4681579</v>
      </c>
      <c r="D15114" s="0" t="s">
        <v>50213</v>
      </c>
      <c r="E15114" s="0" t="s">
        <v>75</v>
      </c>
      <c r="F15114" s="0" t="s">
        <v>90</v>
      </c>
      <c r="G15114" s="0" t="s">
        <v>20</v>
      </c>
      <c r="H15114" s="0" t="n">
        <v>40</v>
      </c>
      <c r="I15114" s="0" t="s">
        <v>50217</v>
      </c>
      <c r="J15114" s="0" t="s">
        <v>50218</v>
      </c>
      <c r="K15114" s="0" t="s">
        <v>50219</v>
      </c>
      <c r="L15114" s="0" t="str">
        <f aca="false">HYPERLINK("https://www.ncbi.nlm.nih.gov/nuccore/CP000058.1?report=graph&amp;tracks=[key:gene_model_track,Options:GeneOnly]&amp;mk=4681599:4681618|offset_1|444444,4681560:4681579|offset_40|00cc00,4681521:4681540|offset_79|444444,4681493:4681512|offset_107|444444&amp;v=4681398:4681712&amp;c=444444", "offset 40")</f>
        <v>offset 40</v>
      </c>
    </row>
    <row r="15115" customFormat="false" ht="12.8" hidden="false" customHeight="false" outlineLevel="0" collapsed="false">
      <c r="A15115" s="0" t="s">
        <v>12</v>
      </c>
      <c r="B15115" s="0" t="n">
        <v>4681520</v>
      </c>
      <c r="C15115" s="0" t="n">
        <v>4681540</v>
      </c>
      <c r="D15115" s="0" t="s">
        <v>50213</v>
      </c>
      <c r="E15115" s="0" t="s">
        <v>75</v>
      </c>
      <c r="F15115" s="0" t="s">
        <v>90</v>
      </c>
      <c r="G15115" s="0" t="s">
        <v>16</v>
      </c>
      <c r="H15115" s="0" t="n">
        <v>79</v>
      </c>
      <c r="I15115" s="0" t="s">
        <v>50220</v>
      </c>
      <c r="J15115" s="0" t="s">
        <v>50221</v>
      </c>
      <c r="K15115" s="0" t="s">
        <v>50222</v>
      </c>
      <c r="L15115" s="0" t="str">
        <f aca="false">HYPERLINK("https://www.ncbi.nlm.nih.gov/nuccore/CP000058.1?report=graph&amp;tracks=[key:gene_model_track,Options:GeneOnly]&amp;mk=4681599:4681618|offset_1|444444,4681560:4681579|offset_40|444444,4681521:4681540|offset_79|00cc00,4681493:4681512|offset_107|444444&amp;v=4681398:4681712&amp;c=444444", "offset 79")</f>
        <v>offset 79</v>
      </c>
    </row>
    <row r="15116" customFormat="false" ht="12.8" hidden="false" customHeight="false" outlineLevel="0" collapsed="false">
      <c r="A15116" s="0" t="s">
        <v>12</v>
      </c>
      <c r="B15116" s="0" t="n">
        <v>4681492</v>
      </c>
      <c r="C15116" s="0" t="n">
        <v>4681512</v>
      </c>
      <c r="D15116" s="0" t="s">
        <v>50213</v>
      </c>
      <c r="E15116" s="0" t="s">
        <v>75</v>
      </c>
      <c r="F15116" s="0" t="s">
        <v>90</v>
      </c>
      <c r="G15116" s="0" t="s">
        <v>16</v>
      </c>
      <c r="H15116" s="0" t="n">
        <v>107</v>
      </c>
      <c r="I15116" s="0" t="s">
        <v>50223</v>
      </c>
      <c r="J15116" s="0" t="s">
        <v>50224</v>
      </c>
      <c r="K15116" s="0" t="s">
        <v>50225</v>
      </c>
      <c r="L15116" s="0" t="str">
        <f aca="false">HYPERLINK("https://www.ncbi.nlm.nih.gov/nuccore/CP000058.1?report=graph&amp;tracks=[key:gene_model_track,Options:GeneOnly]&amp;mk=4681599:4681618|offset_1|444444,4681560:4681579|offset_40|444444,4681521:4681540|offset_79|444444,4681493:4681512|offset_107|00cc00&amp;v=4681398:4681712&amp;c=444444", "offset 107")</f>
        <v>offset 107</v>
      </c>
    </row>
    <row r="15117" customFormat="false" ht="12.8" hidden="false" customHeight="false" outlineLevel="0" collapsed="false">
      <c r="A15117" s="0" t="s">
        <v>12</v>
      </c>
      <c r="B15117" s="0" t="n">
        <v>4682875</v>
      </c>
      <c r="C15117" s="0" t="n">
        <v>4682895</v>
      </c>
      <c r="D15117" s="0" t="s">
        <v>50226</v>
      </c>
      <c r="E15117" s="0" t="s">
        <v>50227</v>
      </c>
      <c r="F15117" s="0" t="s">
        <v>90</v>
      </c>
      <c r="G15117" s="0" t="s">
        <v>16</v>
      </c>
      <c r="H15117" s="0" t="n">
        <v>0</v>
      </c>
      <c r="I15117" s="0" t="s">
        <v>50228</v>
      </c>
      <c r="J15117" s="0" t="s">
        <v>50229</v>
      </c>
      <c r="K15117" s="0" t="s">
        <v>50230</v>
      </c>
      <c r="L15117" s="0" t="str">
        <f aca="false">HYPERLINK("https://www.ncbi.nlm.nih.gov/nuccore/CP000058.1?report=graph&amp;tracks=[key:gene_model_track,Options:GeneOnly]&amp;mk=4682876:4682895|offset_0|00cc00,4682855:4682874|offset_21|444444,4682831:4682850|offset_45|444444,4682803:4682822|offset_73|444444&amp;v=4682675:4683022&amp;c=444444", "offset 0")</f>
        <v>offset 0</v>
      </c>
    </row>
    <row r="15118" customFormat="false" ht="12.8" hidden="false" customHeight="false" outlineLevel="0" collapsed="false">
      <c r="A15118" s="0" t="s">
        <v>12</v>
      </c>
      <c r="B15118" s="0" t="n">
        <v>4682854</v>
      </c>
      <c r="C15118" s="0" t="n">
        <v>4682874</v>
      </c>
      <c r="D15118" s="0" t="s">
        <v>50226</v>
      </c>
      <c r="E15118" s="0" t="s">
        <v>50227</v>
      </c>
      <c r="F15118" s="0" t="s">
        <v>90</v>
      </c>
      <c r="G15118" s="0" t="s">
        <v>20</v>
      </c>
      <c r="H15118" s="0" t="n">
        <v>21</v>
      </c>
      <c r="I15118" s="0" t="s">
        <v>50231</v>
      </c>
      <c r="J15118" s="0" t="s">
        <v>50232</v>
      </c>
      <c r="K15118" s="0" t="s">
        <v>50233</v>
      </c>
      <c r="L15118" s="0" t="str">
        <f aca="false">HYPERLINK("https://www.ncbi.nlm.nih.gov/nuccore/CP000058.1?report=graph&amp;tracks=[key:gene_model_track,Options:GeneOnly]&amp;mk=4682876:4682895|offset_0|444444,4682855:4682874|offset_21|00cc00,4682831:4682850|offset_45|444444,4682803:4682822|offset_73|444444&amp;v=4682675:4683022&amp;c=444444", "offset 21")</f>
        <v>offset 21</v>
      </c>
    </row>
    <row r="15119" customFormat="false" ht="12.8" hidden="false" customHeight="false" outlineLevel="0" collapsed="false">
      <c r="A15119" s="0" t="s">
        <v>12</v>
      </c>
      <c r="B15119" s="0" t="n">
        <v>4682830</v>
      </c>
      <c r="C15119" s="0" t="n">
        <v>4682850</v>
      </c>
      <c r="D15119" s="0" t="s">
        <v>50226</v>
      </c>
      <c r="E15119" s="0" t="s">
        <v>50227</v>
      </c>
      <c r="F15119" s="0" t="s">
        <v>90</v>
      </c>
      <c r="G15119" s="0" t="s">
        <v>36</v>
      </c>
      <c r="H15119" s="0" t="n">
        <v>45</v>
      </c>
      <c r="I15119" s="0" t="s">
        <v>50234</v>
      </c>
      <c r="J15119" s="0" t="s">
        <v>50235</v>
      </c>
      <c r="K15119" s="0" t="s">
        <v>50236</v>
      </c>
      <c r="L15119" s="0" t="str">
        <f aca="false">HYPERLINK("https://www.ncbi.nlm.nih.gov/nuccore/CP000058.1?report=graph&amp;tracks=[key:gene_model_track,Options:GeneOnly]&amp;mk=4682876:4682895|offset_0|444444,4682855:4682874|offset_21|444444,4682831:4682850|offset_45|00cc00,4682803:4682822|offset_73|444444&amp;v=4682675:4683022&amp;c=444444", "offset 45")</f>
        <v>offset 45</v>
      </c>
    </row>
    <row r="15120" customFormat="false" ht="12.8" hidden="false" customHeight="false" outlineLevel="0" collapsed="false">
      <c r="A15120" s="0" t="s">
        <v>12</v>
      </c>
      <c r="B15120" s="0" t="n">
        <v>4682802</v>
      </c>
      <c r="C15120" s="0" t="n">
        <v>4682822</v>
      </c>
      <c r="D15120" s="0" t="s">
        <v>50226</v>
      </c>
      <c r="E15120" s="0" t="s">
        <v>50227</v>
      </c>
      <c r="F15120" s="0" t="s">
        <v>90</v>
      </c>
      <c r="G15120" s="0" t="s">
        <v>16</v>
      </c>
      <c r="H15120" s="0" t="n">
        <v>73</v>
      </c>
      <c r="I15120" s="0" t="s">
        <v>50237</v>
      </c>
      <c r="J15120" s="0" t="s">
        <v>50238</v>
      </c>
      <c r="K15120" s="0" t="s">
        <v>50239</v>
      </c>
      <c r="L15120" s="0" t="str">
        <f aca="false">HYPERLINK("https://www.ncbi.nlm.nih.gov/nuccore/CP000058.1?report=graph&amp;tracks=[key:gene_model_track,Options:GeneOnly]&amp;mk=4682876:4682895|offset_0|444444,4682855:4682874|offset_21|444444,4682831:4682850|offset_45|444444,4682803:4682822|offset_73|00cc00&amp;v=4682675:4683022&amp;c=444444", "offset 73")</f>
        <v>offset 73</v>
      </c>
    </row>
    <row r="15121" customFormat="false" ht="12.8" hidden="false" customHeight="false" outlineLevel="0" collapsed="false">
      <c r="A15121" s="0" t="s">
        <v>12</v>
      </c>
      <c r="B15121" s="0" t="n">
        <v>4685714</v>
      </c>
      <c r="C15121" s="0" t="n">
        <v>4685734</v>
      </c>
      <c r="D15121" s="0" t="s">
        <v>50240</v>
      </c>
      <c r="E15121" s="0" t="s">
        <v>50241</v>
      </c>
      <c r="F15121" s="0" t="s">
        <v>90</v>
      </c>
      <c r="G15121" s="0" t="s">
        <v>20</v>
      </c>
      <c r="H15121" s="0" t="n">
        <v>12</v>
      </c>
      <c r="I15121" s="0" t="s">
        <v>50242</v>
      </c>
      <c r="J15121" s="0" t="s">
        <v>50243</v>
      </c>
      <c r="K15121" s="0" t="s">
        <v>50244</v>
      </c>
      <c r="L15121" s="0" t="str">
        <f aca="false">HYPERLINK("https://www.ncbi.nlm.nih.gov/nuccore/CP000058.1?report=graph&amp;tracks=[key:gene_model_track,Options:GeneOnly]&amp;mk=4685715:4685734|offset_12|00cc00,4685636:4685655|offset_91|444444,4685615:4685634|offset_112|444444,4685591:4685610|offset_136|444444&amp;v=4685514:4685810&amp;c=444444", "offset 12")</f>
        <v>offset 12</v>
      </c>
    </row>
    <row r="15122" customFormat="false" ht="12.8" hidden="false" customHeight="false" outlineLevel="0" collapsed="false">
      <c r="A15122" s="0" t="s">
        <v>12</v>
      </c>
      <c r="B15122" s="0" t="n">
        <v>4685635</v>
      </c>
      <c r="C15122" s="0" t="n">
        <v>4685655</v>
      </c>
      <c r="D15122" s="0" t="s">
        <v>50240</v>
      </c>
      <c r="E15122" s="0" t="s">
        <v>50241</v>
      </c>
      <c r="F15122" s="0" t="s">
        <v>90</v>
      </c>
      <c r="G15122" s="0" t="s">
        <v>20</v>
      </c>
      <c r="H15122" s="0" t="n">
        <v>91</v>
      </c>
      <c r="I15122" s="0" t="s">
        <v>50245</v>
      </c>
      <c r="J15122" s="0" t="s">
        <v>50246</v>
      </c>
      <c r="K15122" s="0" t="s">
        <v>50247</v>
      </c>
      <c r="L15122" s="0" t="str">
        <f aca="false">HYPERLINK("https://www.ncbi.nlm.nih.gov/nuccore/CP000058.1?report=graph&amp;tracks=[key:gene_model_track,Options:GeneOnly]&amp;mk=4685715:4685734|offset_12|444444,4685636:4685655|offset_91|00cc00,4685615:4685634|offset_112|444444,4685591:4685610|offset_136|444444&amp;v=4685514:4685810&amp;c=444444", "offset 91")</f>
        <v>offset 91</v>
      </c>
    </row>
    <row r="15123" customFormat="false" ht="12.8" hidden="false" customHeight="false" outlineLevel="0" collapsed="false">
      <c r="A15123" s="0" t="s">
        <v>12</v>
      </c>
      <c r="B15123" s="0" t="n">
        <v>4685614</v>
      </c>
      <c r="C15123" s="0" t="n">
        <v>4685634</v>
      </c>
      <c r="D15123" s="0" t="s">
        <v>50240</v>
      </c>
      <c r="E15123" s="0" t="s">
        <v>50241</v>
      </c>
      <c r="F15123" s="0" t="s">
        <v>90</v>
      </c>
      <c r="G15123" s="0" t="s">
        <v>36</v>
      </c>
      <c r="H15123" s="0" t="n">
        <v>112</v>
      </c>
      <c r="I15123" s="0" t="s">
        <v>50248</v>
      </c>
      <c r="J15123" s="0" t="s">
        <v>50249</v>
      </c>
      <c r="K15123" s="0" t="s">
        <v>50250</v>
      </c>
      <c r="L15123" s="0" t="str">
        <f aca="false">HYPERLINK("https://www.ncbi.nlm.nih.gov/nuccore/CP000058.1?report=graph&amp;tracks=[key:gene_model_track,Options:GeneOnly]&amp;mk=4685715:4685734|offset_12|444444,4685636:4685655|offset_91|444444,4685615:4685634|offset_112|00cc00,4685591:4685610|offset_136|444444&amp;v=4685514:4685810&amp;c=444444", "offset 112")</f>
        <v>offset 112</v>
      </c>
    </row>
    <row r="15124" customFormat="false" ht="12.8" hidden="false" customHeight="false" outlineLevel="0" collapsed="false">
      <c r="A15124" s="0" t="s">
        <v>12</v>
      </c>
      <c r="B15124" s="0" t="n">
        <v>4685590</v>
      </c>
      <c r="C15124" s="0" t="n">
        <v>4685610</v>
      </c>
      <c r="D15124" s="0" t="s">
        <v>50240</v>
      </c>
      <c r="E15124" s="0" t="s">
        <v>50241</v>
      </c>
      <c r="F15124" s="0" t="s">
        <v>90</v>
      </c>
      <c r="G15124" s="0" t="s">
        <v>32</v>
      </c>
      <c r="H15124" s="0" t="n">
        <v>136</v>
      </c>
      <c r="I15124" s="0" t="s">
        <v>50251</v>
      </c>
      <c r="J15124" s="0" t="s">
        <v>50252</v>
      </c>
      <c r="K15124" s="0" t="s">
        <v>50253</v>
      </c>
      <c r="L15124" s="0" t="str">
        <f aca="false">HYPERLINK("https://www.ncbi.nlm.nih.gov/nuccore/CP000058.1?report=graph&amp;tracks=[key:gene_model_track,Options:GeneOnly]&amp;mk=4685715:4685734|offset_12|444444,4685636:4685655|offset_91|444444,4685615:4685634|offset_112|444444,4685591:4685610|offset_136|00cc00&amp;v=4685514:4685810&amp;c=444444", "offset 136")</f>
        <v>offset 136</v>
      </c>
    </row>
    <row r="15125" customFormat="false" ht="12.8" hidden="false" customHeight="false" outlineLevel="0" collapsed="false">
      <c r="A15125" s="0" t="s">
        <v>12</v>
      </c>
      <c r="B15125" s="0" t="n">
        <v>4686051</v>
      </c>
      <c r="C15125" s="0" t="n">
        <v>4686071</v>
      </c>
      <c r="D15125" s="0" t="s">
        <v>50254</v>
      </c>
      <c r="E15125" s="0" t="s">
        <v>75</v>
      </c>
      <c r="F15125" s="0" t="s">
        <v>15</v>
      </c>
      <c r="G15125" s="0" t="s">
        <v>32</v>
      </c>
      <c r="H15125" s="0" t="n">
        <v>1</v>
      </c>
      <c r="I15125" s="0" t="s">
        <v>50255</v>
      </c>
      <c r="J15125" s="0" t="s">
        <v>50256</v>
      </c>
      <c r="K15125" s="0" t="s">
        <v>50257</v>
      </c>
      <c r="L15125" s="0" t="str">
        <f aca="false">HYPERLINK("https://www.ncbi.nlm.nih.gov/nuccore/CP000058.1?report=graph&amp;tracks=[key:gene_model_track,Options:GeneOnly]&amp;mk=4686052:4686071|offset_1|00cc00,4686076:4686095|offset_25|444444,4686106:4686125|offset_55|444444,4686136:4686155|offset_85|444444&amp;v=4685851:4686355&amp;c=444444", "offset 1")</f>
        <v>offset 1</v>
      </c>
    </row>
    <row r="15126" customFormat="false" ht="12.8" hidden="false" customHeight="false" outlineLevel="0" collapsed="false">
      <c r="A15126" s="0" t="s">
        <v>12</v>
      </c>
      <c r="B15126" s="0" t="n">
        <v>4686075</v>
      </c>
      <c r="C15126" s="0" t="n">
        <v>4686095</v>
      </c>
      <c r="D15126" s="0" t="s">
        <v>50254</v>
      </c>
      <c r="E15126" s="0" t="s">
        <v>75</v>
      </c>
      <c r="F15126" s="0" t="s">
        <v>15</v>
      </c>
      <c r="G15126" s="0" t="s">
        <v>36</v>
      </c>
      <c r="H15126" s="0" t="n">
        <v>25</v>
      </c>
      <c r="I15126" s="0" t="s">
        <v>50258</v>
      </c>
      <c r="J15126" s="0" t="s">
        <v>50259</v>
      </c>
      <c r="K15126" s="0" t="s">
        <v>50260</v>
      </c>
      <c r="L15126" s="0" t="str">
        <f aca="false">HYPERLINK("https://www.ncbi.nlm.nih.gov/nuccore/CP000058.1?report=graph&amp;tracks=[key:gene_model_track,Options:GeneOnly]&amp;mk=4686052:4686071|offset_1|444444,4686076:4686095|offset_25|00cc00,4686106:4686125|offset_55|444444,4686136:4686155|offset_85|444444&amp;v=4685851:4686355&amp;c=444444", "offset 25")</f>
        <v>offset 25</v>
      </c>
    </row>
    <row r="15127" customFormat="false" ht="12.8" hidden="false" customHeight="false" outlineLevel="0" collapsed="false">
      <c r="A15127" s="0" t="s">
        <v>12</v>
      </c>
      <c r="B15127" s="0" t="n">
        <v>4686105</v>
      </c>
      <c r="C15127" s="0" t="n">
        <v>4686125</v>
      </c>
      <c r="D15127" s="0" t="s">
        <v>50254</v>
      </c>
      <c r="E15127" s="0" t="s">
        <v>75</v>
      </c>
      <c r="F15127" s="0" t="s">
        <v>15</v>
      </c>
      <c r="G15127" s="0" t="s">
        <v>32</v>
      </c>
      <c r="H15127" s="0" t="n">
        <v>55</v>
      </c>
      <c r="I15127" s="0" t="s">
        <v>50261</v>
      </c>
      <c r="J15127" s="0" t="s">
        <v>50262</v>
      </c>
      <c r="K15127" s="0" t="s">
        <v>50263</v>
      </c>
      <c r="L15127" s="0" t="str">
        <f aca="false">HYPERLINK("https://www.ncbi.nlm.nih.gov/nuccore/CP000058.1?report=graph&amp;tracks=[key:gene_model_track,Options:GeneOnly]&amp;mk=4686052:4686071|offset_1|444444,4686076:4686095|offset_25|444444,4686106:4686125|offset_55|00cc00,4686136:4686155|offset_85|444444&amp;v=4685851:4686355&amp;c=444444", "offset 55")</f>
        <v>offset 55</v>
      </c>
    </row>
    <row r="15128" customFormat="false" ht="12.8" hidden="false" customHeight="false" outlineLevel="0" collapsed="false">
      <c r="A15128" s="0" t="s">
        <v>12</v>
      </c>
      <c r="B15128" s="0" t="n">
        <v>4686135</v>
      </c>
      <c r="C15128" s="0" t="n">
        <v>4686155</v>
      </c>
      <c r="D15128" s="0" t="s">
        <v>50254</v>
      </c>
      <c r="E15128" s="0" t="s">
        <v>75</v>
      </c>
      <c r="F15128" s="0" t="s">
        <v>15</v>
      </c>
      <c r="G15128" s="0" t="s">
        <v>16</v>
      </c>
      <c r="H15128" s="0" t="n">
        <v>85</v>
      </c>
      <c r="I15128" s="0" t="s">
        <v>50264</v>
      </c>
      <c r="J15128" s="0" t="s">
        <v>50265</v>
      </c>
      <c r="K15128" s="0" t="s">
        <v>50266</v>
      </c>
      <c r="L15128" s="0" t="str">
        <f aca="false">HYPERLINK("https://www.ncbi.nlm.nih.gov/nuccore/CP000058.1?report=graph&amp;tracks=[key:gene_model_track,Options:GeneOnly]&amp;mk=4686052:4686071|offset_1|444444,4686076:4686095|offset_25|444444,4686106:4686125|offset_55|444444,4686136:4686155|offset_85|00cc00&amp;v=4685851:4686355&amp;c=444444", "offset 85")</f>
        <v>offset 85</v>
      </c>
    </row>
    <row r="15129" customFormat="false" ht="12.8" hidden="false" customHeight="false" outlineLevel="0" collapsed="false">
      <c r="A15129" s="0" t="s">
        <v>12</v>
      </c>
      <c r="B15129" s="0" t="n">
        <v>4687514</v>
      </c>
      <c r="C15129" s="0" t="n">
        <v>4687534</v>
      </c>
      <c r="D15129" s="0" t="s">
        <v>50267</v>
      </c>
      <c r="E15129" s="0" t="s">
        <v>50268</v>
      </c>
      <c r="F15129" s="0" t="s">
        <v>90</v>
      </c>
      <c r="G15129" s="0" t="s">
        <v>32</v>
      </c>
      <c r="H15129" s="0" t="n">
        <v>1</v>
      </c>
      <c r="I15129" s="0" t="s">
        <v>50269</v>
      </c>
      <c r="J15129" s="0" t="s">
        <v>50270</v>
      </c>
      <c r="K15129" s="0" t="s">
        <v>50271</v>
      </c>
      <c r="L15129" s="0" t="str">
        <f aca="false">HYPERLINK("https://www.ncbi.nlm.nih.gov/nuccore/CP000058.1?report=graph&amp;tracks=[key:gene_model_track,Options:GeneOnly]&amp;mk=4687515:4687534|offset_1|00cc00,4687481:4687500|offset_35|444444,4687455:4687474|offset_61|444444,4687434:4687453|offset_82|444444&amp;v=4687314:4687653&amp;c=444444", "offset 1")</f>
        <v>offset 1</v>
      </c>
    </row>
    <row r="15130" customFormat="false" ht="12.8" hidden="false" customHeight="false" outlineLevel="0" collapsed="false">
      <c r="A15130" s="0" t="s">
        <v>12</v>
      </c>
      <c r="B15130" s="0" t="n">
        <v>4687480</v>
      </c>
      <c r="C15130" s="0" t="n">
        <v>4687500</v>
      </c>
      <c r="D15130" s="0" t="s">
        <v>50267</v>
      </c>
      <c r="E15130" s="0" t="s">
        <v>50268</v>
      </c>
      <c r="F15130" s="0" t="s">
        <v>90</v>
      </c>
      <c r="G15130" s="0" t="s">
        <v>16</v>
      </c>
      <c r="H15130" s="0" t="n">
        <v>35</v>
      </c>
      <c r="I15130" s="0" t="s">
        <v>50272</v>
      </c>
      <c r="J15130" s="0" t="s">
        <v>50273</v>
      </c>
      <c r="K15130" s="0" t="s">
        <v>50274</v>
      </c>
      <c r="L15130" s="0" t="str">
        <f aca="false">HYPERLINK("https://www.ncbi.nlm.nih.gov/nuccore/CP000058.1?report=graph&amp;tracks=[key:gene_model_track,Options:GeneOnly]&amp;mk=4687515:4687534|offset_1|444444,4687481:4687500|offset_35|00cc00,4687455:4687474|offset_61|444444,4687434:4687453|offset_82|444444&amp;v=4687314:4687653&amp;c=444444", "offset 35")</f>
        <v>offset 35</v>
      </c>
    </row>
    <row r="15131" customFormat="false" ht="12.8" hidden="false" customHeight="false" outlineLevel="0" collapsed="false">
      <c r="A15131" s="0" t="s">
        <v>12</v>
      </c>
      <c r="B15131" s="0" t="n">
        <v>4687454</v>
      </c>
      <c r="C15131" s="0" t="n">
        <v>4687474</v>
      </c>
      <c r="D15131" s="0" t="s">
        <v>50267</v>
      </c>
      <c r="E15131" s="0" t="s">
        <v>50268</v>
      </c>
      <c r="F15131" s="0" t="s">
        <v>90</v>
      </c>
      <c r="G15131" s="0" t="s">
        <v>16</v>
      </c>
      <c r="H15131" s="0" t="n">
        <v>61</v>
      </c>
      <c r="I15131" s="0" t="s">
        <v>50275</v>
      </c>
      <c r="J15131" s="0" t="s">
        <v>50276</v>
      </c>
      <c r="K15131" s="0" t="s">
        <v>50277</v>
      </c>
      <c r="L15131" s="0" t="str">
        <f aca="false">HYPERLINK("https://www.ncbi.nlm.nih.gov/nuccore/CP000058.1?report=graph&amp;tracks=[key:gene_model_track,Options:GeneOnly]&amp;mk=4687515:4687534|offset_1|444444,4687481:4687500|offset_35|444444,4687455:4687474|offset_61|00cc00,4687434:4687453|offset_82|444444&amp;v=4687314:4687653&amp;c=444444", "offset 61")</f>
        <v>offset 61</v>
      </c>
    </row>
    <row r="15132" customFormat="false" ht="12.8" hidden="false" customHeight="false" outlineLevel="0" collapsed="false">
      <c r="A15132" s="0" t="s">
        <v>12</v>
      </c>
      <c r="B15132" s="0" t="n">
        <v>4687433</v>
      </c>
      <c r="C15132" s="0" t="n">
        <v>4687453</v>
      </c>
      <c r="D15132" s="0" t="s">
        <v>50267</v>
      </c>
      <c r="E15132" s="0" t="s">
        <v>50268</v>
      </c>
      <c r="F15132" s="0" t="s">
        <v>90</v>
      </c>
      <c r="G15132" s="0" t="s">
        <v>36</v>
      </c>
      <c r="H15132" s="0" t="n">
        <v>82</v>
      </c>
      <c r="I15132" s="0" t="s">
        <v>50278</v>
      </c>
      <c r="J15132" s="0" t="s">
        <v>50279</v>
      </c>
      <c r="K15132" s="0" t="s">
        <v>50280</v>
      </c>
      <c r="L15132" s="0" t="str">
        <f aca="false">HYPERLINK("https://www.ncbi.nlm.nih.gov/nuccore/CP000058.1?report=graph&amp;tracks=[key:gene_model_track,Options:GeneOnly]&amp;mk=4687515:4687534|offset_1|444444,4687481:4687500|offset_35|444444,4687455:4687474|offset_61|444444,4687434:4687453|offset_82|00cc00&amp;v=4687314:4687653&amp;c=444444", "offset 82")</f>
        <v>offset 82</v>
      </c>
    </row>
    <row r="15133" customFormat="false" ht="12.8" hidden="false" customHeight="false" outlineLevel="0" collapsed="false">
      <c r="A15133" s="0" t="s">
        <v>12</v>
      </c>
      <c r="B15133" s="0" t="n">
        <v>4688788</v>
      </c>
      <c r="C15133" s="0" t="n">
        <v>4688808</v>
      </c>
      <c r="D15133" s="0" t="s">
        <v>50281</v>
      </c>
      <c r="E15133" s="0" t="s">
        <v>50282</v>
      </c>
      <c r="F15133" s="0" t="s">
        <v>90</v>
      </c>
      <c r="G15133" s="0" t="s">
        <v>16</v>
      </c>
      <c r="H15133" s="0" t="n">
        <v>27</v>
      </c>
      <c r="I15133" s="0" t="s">
        <v>50283</v>
      </c>
      <c r="J15133" s="0" t="s">
        <v>50284</v>
      </c>
      <c r="K15133" s="0" t="s">
        <v>50285</v>
      </c>
      <c r="L15133" s="0" t="str">
        <f aca="false">HYPERLINK("https://www.ncbi.nlm.nih.gov/nuccore/CP000058.1?report=graph&amp;tracks=[key:gene_model_track,Options:GeneOnly]&amp;mk=4688789:4688808|offset_27|00cc00,4688686:4688705|offset_130|444444,4688644:4688663|offset_172|444444,4688617:4688636|offset_199|444444&amp;v=4688588:4688836&amp;c=444444", "offset 27")</f>
        <v>offset 27</v>
      </c>
    </row>
    <row r="15134" customFormat="false" ht="12.8" hidden="false" customHeight="false" outlineLevel="0" collapsed="false">
      <c r="A15134" s="0" t="s">
        <v>12</v>
      </c>
      <c r="B15134" s="0" t="n">
        <v>4688685</v>
      </c>
      <c r="C15134" s="0" t="n">
        <v>4688705</v>
      </c>
      <c r="D15134" s="0" t="s">
        <v>50281</v>
      </c>
      <c r="E15134" s="0" t="s">
        <v>50282</v>
      </c>
      <c r="F15134" s="0" t="s">
        <v>90</v>
      </c>
      <c r="G15134" s="0" t="s">
        <v>32</v>
      </c>
      <c r="H15134" s="0" t="n">
        <v>130</v>
      </c>
      <c r="I15134" s="0" t="s">
        <v>50286</v>
      </c>
      <c r="J15134" s="0" t="s">
        <v>50287</v>
      </c>
      <c r="K15134" s="0" t="s">
        <v>50288</v>
      </c>
      <c r="L15134" s="0" t="str">
        <f aca="false">HYPERLINK("https://www.ncbi.nlm.nih.gov/nuccore/CP000058.1?report=graph&amp;tracks=[key:gene_model_track,Options:GeneOnly]&amp;mk=4688789:4688808|offset_27|444444,4688686:4688705|offset_130|00cc00,4688644:4688663|offset_172|444444,4688617:4688636|offset_199|444444&amp;v=4688588:4688836&amp;c=444444", "offset 130")</f>
        <v>offset 130</v>
      </c>
    </row>
    <row r="15135" customFormat="false" ht="12.8" hidden="false" customHeight="false" outlineLevel="0" collapsed="false">
      <c r="A15135" s="0" t="s">
        <v>12</v>
      </c>
      <c r="B15135" s="0" t="n">
        <v>4688643</v>
      </c>
      <c r="C15135" s="0" t="n">
        <v>4688663</v>
      </c>
      <c r="D15135" s="0" t="s">
        <v>50281</v>
      </c>
      <c r="E15135" s="0" t="s">
        <v>50282</v>
      </c>
      <c r="F15135" s="0" t="s">
        <v>90</v>
      </c>
      <c r="G15135" s="0" t="s">
        <v>32</v>
      </c>
      <c r="H15135" s="0" t="n">
        <v>172</v>
      </c>
      <c r="I15135" s="0" t="s">
        <v>50289</v>
      </c>
      <c r="J15135" s="0" t="s">
        <v>50290</v>
      </c>
      <c r="K15135" s="0" t="s">
        <v>50291</v>
      </c>
      <c r="L15135" s="0" t="str">
        <f aca="false">HYPERLINK("https://www.ncbi.nlm.nih.gov/nuccore/CP000058.1?report=graph&amp;tracks=[key:gene_model_track,Options:GeneOnly]&amp;mk=4688789:4688808|offset_27|444444,4688686:4688705|offset_130|444444,4688644:4688663|offset_172|00cc00,4688617:4688636|offset_199|444444&amp;v=4688588:4688836&amp;c=444444", "offset 172")</f>
        <v>offset 172</v>
      </c>
    </row>
    <row r="15136" customFormat="false" ht="12.8" hidden="false" customHeight="false" outlineLevel="0" collapsed="false">
      <c r="A15136" s="0" t="s">
        <v>12</v>
      </c>
      <c r="B15136" s="0" t="n">
        <v>4688616</v>
      </c>
      <c r="C15136" s="0" t="n">
        <v>4688636</v>
      </c>
      <c r="D15136" s="0" t="s">
        <v>50281</v>
      </c>
      <c r="E15136" s="0" t="s">
        <v>50282</v>
      </c>
      <c r="F15136" s="0" t="s">
        <v>90</v>
      </c>
      <c r="G15136" s="0" t="s">
        <v>32</v>
      </c>
      <c r="H15136" s="0" t="n">
        <v>199</v>
      </c>
      <c r="I15136" s="0" t="s">
        <v>50292</v>
      </c>
      <c r="J15136" s="0" t="s">
        <v>50293</v>
      </c>
      <c r="K15136" s="0" t="s">
        <v>50294</v>
      </c>
      <c r="L15136" s="0" t="str">
        <f aca="false">HYPERLINK("https://www.ncbi.nlm.nih.gov/nuccore/CP000058.1?report=graph&amp;tracks=[key:gene_model_track,Options:GeneOnly]&amp;mk=4688789:4688808|offset_27|444444,4688686:4688705|offset_130|444444,4688644:4688663|offset_172|444444,4688617:4688636|offset_199|00cc00&amp;v=4688588:4688836&amp;c=444444", "offset 199")</f>
        <v>offset 199</v>
      </c>
    </row>
    <row r="15137" customFormat="false" ht="12.8" hidden="false" customHeight="false" outlineLevel="0" collapsed="false">
      <c r="A15137" s="0" t="s">
        <v>12</v>
      </c>
      <c r="B15137" s="0" t="n">
        <v>4690171</v>
      </c>
      <c r="C15137" s="0" t="n">
        <v>4690191</v>
      </c>
      <c r="D15137" s="0" t="s">
        <v>50295</v>
      </c>
      <c r="E15137" s="0" t="s">
        <v>50296</v>
      </c>
      <c r="F15137" s="0" t="s">
        <v>90</v>
      </c>
      <c r="G15137" s="0" t="s">
        <v>32</v>
      </c>
      <c r="H15137" s="0" t="n">
        <v>1</v>
      </c>
      <c r="I15137" s="0" t="s">
        <v>50297</v>
      </c>
      <c r="J15137" s="0" t="s">
        <v>50298</v>
      </c>
      <c r="K15137" s="0" t="s">
        <v>50299</v>
      </c>
      <c r="L15137" s="0" t="str">
        <f aca="false">HYPERLINK("https://www.ncbi.nlm.nih.gov/nuccore/CP000058.1?report=graph&amp;tracks=[key:gene_model_track,Options:GeneOnly]&amp;mk=4690172:4690191|offset_1|00cc00,4690121:4690140|offset_52|444444,4690085:4690104|offset_88|444444,4690052:4690071|offset_121|444444&amp;v=4689971:4690271&amp;c=444444", "offset 1")</f>
        <v>offset 1</v>
      </c>
    </row>
    <row r="15138" customFormat="false" ht="12.8" hidden="false" customHeight="false" outlineLevel="0" collapsed="false">
      <c r="A15138" s="0" t="s">
        <v>12</v>
      </c>
      <c r="B15138" s="0" t="n">
        <v>4690120</v>
      </c>
      <c r="C15138" s="0" t="n">
        <v>4690140</v>
      </c>
      <c r="D15138" s="0" t="s">
        <v>50295</v>
      </c>
      <c r="E15138" s="0" t="s">
        <v>50296</v>
      </c>
      <c r="F15138" s="0" t="s">
        <v>90</v>
      </c>
      <c r="G15138" s="0" t="s">
        <v>20</v>
      </c>
      <c r="H15138" s="0" t="n">
        <v>52</v>
      </c>
      <c r="I15138" s="0" t="s">
        <v>50300</v>
      </c>
      <c r="J15138" s="0" t="s">
        <v>50301</v>
      </c>
      <c r="K15138" s="0" t="s">
        <v>50302</v>
      </c>
      <c r="L15138" s="0" t="str">
        <f aca="false">HYPERLINK("https://www.ncbi.nlm.nih.gov/nuccore/CP000058.1?report=graph&amp;tracks=[key:gene_model_track,Options:GeneOnly]&amp;mk=4690172:4690191|offset_1|444444,4690121:4690140|offset_52|00cc00,4690085:4690104|offset_88|444444,4690052:4690071|offset_121|444444&amp;v=4689971:4690271&amp;c=444444", "offset 52")</f>
        <v>offset 52</v>
      </c>
    </row>
    <row r="15139" customFormat="false" ht="12.8" hidden="false" customHeight="false" outlineLevel="0" collapsed="false">
      <c r="A15139" s="0" t="s">
        <v>12</v>
      </c>
      <c r="B15139" s="0" t="n">
        <v>4690084</v>
      </c>
      <c r="C15139" s="0" t="n">
        <v>4690104</v>
      </c>
      <c r="D15139" s="0" t="s">
        <v>50295</v>
      </c>
      <c r="E15139" s="0" t="s">
        <v>50296</v>
      </c>
      <c r="F15139" s="0" t="s">
        <v>90</v>
      </c>
      <c r="G15139" s="0" t="s">
        <v>16</v>
      </c>
      <c r="H15139" s="0" t="n">
        <v>88</v>
      </c>
      <c r="I15139" s="0" t="s">
        <v>50303</v>
      </c>
      <c r="J15139" s="0" t="s">
        <v>50304</v>
      </c>
      <c r="K15139" s="0" t="s">
        <v>50305</v>
      </c>
      <c r="L15139" s="0" t="str">
        <f aca="false">HYPERLINK("https://www.ncbi.nlm.nih.gov/nuccore/CP000058.1?report=graph&amp;tracks=[key:gene_model_track,Options:GeneOnly]&amp;mk=4690172:4690191|offset_1|444444,4690121:4690140|offset_52|444444,4690085:4690104|offset_88|00cc00,4690052:4690071|offset_121|444444&amp;v=4689971:4690271&amp;c=444444", "offset 88")</f>
        <v>offset 88</v>
      </c>
    </row>
    <row r="15140" customFormat="false" ht="12.8" hidden="false" customHeight="false" outlineLevel="0" collapsed="false">
      <c r="A15140" s="0" t="s">
        <v>12</v>
      </c>
      <c r="B15140" s="0" t="n">
        <v>4690051</v>
      </c>
      <c r="C15140" s="0" t="n">
        <v>4690071</v>
      </c>
      <c r="D15140" s="0" t="s">
        <v>50295</v>
      </c>
      <c r="E15140" s="0" t="s">
        <v>50296</v>
      </c>
      <c r="F15140" s="0" t="s">
        <v>90</v>
      </c>
      <c r="G15140" s="0" t="s">
        <v>36</v>
      </c>
      <c r="H15140" s="0" t="n">
        <v>121</v>
      </c>
      <c r="I15140" s="0" t="s">
        <v>50306</v>
      </c>
      <c r="J15140" s="0" t="s">
        <v>50307</v>
      </c>
      <c r="K15140" s="0" t="s">
        <v>50308</v>
      </c>
      <c r="L15140" s="0" t="str">
        <f aca="false">HYPERLINK("https://www.ncbi.nlm.nih.gov/nuccore/CP000058.1?report=graph&amp;tracks=[key:gene_model_track,Options:GeneOnly]&amp;mk=4690172:4690191|offset_1|444444,4690121:4690140|offset_52|444444,4690085:4690104|offset_88|444444,4690052:4690071|offset_121|00cc00&amp;v=4689971:4690271&amp;c=444444", "offset 121")</f>
        <v>offset 121</v>
      </c>
    </row>
    <row r="15141" customFormat="false" ht="12.8" hidden="false" customHeight="false" outlineLevel="0" collapsed="false">
      <c r="A15141" s="0" t="s">
        <v>12</v>
      </c>
      <c r="B15141" s="0" t="n">
        <v>4691032</v>
      </c>
      <c r="C15141" s="0" t="n">
        <v>4691052</v>
      </c>
      <c r="D15141" s="0" t="s">
        <v>50309</v>
      </c>
      <c r="E15141" s="0" t="s">
        <v>75</v>
      </c>
      <c r="F15141" s="0" t="s">
        <v>90</v>
      </c>
      <c r="G15141" s="0" t="s">
        <v>20</v>
      </c>
      <c r="H15141" s="0" t="n">
        <v>24</v>
      </c>
      <c r="I15141" s="0" t="s">
        <v>50310</v>
      </c>
      <c r="J15141" s="0" t="s">
        <v>50311</v>
      </c>
      <c r="K15141" s="0" t="s">
        <v>50312</v>
      </c>
      <c r="L15141" s="0" t="str">
        <f aca="false">HYPERLINK("https://www.ncbi.nlm.nih.gov/nuccore/CP000058.1?report=graph&amp;tracks=[key:gene_model_track,Options:GeneOnly]&amp;mk=4691033:4691052|offset_24|00cc00,4691013:4691032|offset_44|444444,4690987:4691006|offset_70|444444,4690964:4690983|offset_93|444444&amp;v=4690832:4691183&amp;c=444444", "offset 24")</f>
        <v>offset 24</v>
      </c>
    </row>
    <row r="15142" customFormat="false" ht="12.8" hidden="false" customHeight="false" outlineLevel="0" collapsed="false">
      <c r="A15142" s="0" t="s">
        <v>12</v>
      </c>
      <c r="B15142" s="0" t="n">
        <v>4691012</v>
      </c>
      <c r="C15142" s="0" t="n">
        <v>4691032</v>
      </c>
      <c r="D15142" s="0" t="s">
        <v>50309</v>
      </c>
      <c r="E15142" s="0" t="s">
        <v>75</v>
      </c>
      <c r="F15142" s="0" t="s">
        <v>90</v>
      </c>
      <c r="G15142" s="0" t="s">
        <v>16</v>
      </c>
      <c r="H15142" s="0" t="n">
        <v>44</v>
      </c>
      <c r="I15142" s="0" t="s">
        <v>50313</v>
      </c>
      <c r="J15142" s="0" t="s">
        <v>50314</v>
      </c>
      <c r="K15142" s="0" t="s">
        <v>50315</v>
      </c>
      <c r="L15142" s="0" t="str">
        <f aca="false">HYPERLINK("https://www.ncbi.nlm.nih.gov/nuccore/CP000058.1?report=graph&amp;tracks=[key:gene_model_track,Options:GeneOnly]&amp;mk=4691033:4691052|offset_24|444444,4691013:4691032|offset_44|00cc00,4690987:4691006|offset_70|444444,4690964:4690983|offset_93|444444&amp;v=4690832:4691183&amp;c=444444", "offset 44")</f>
        <v>offset 44</v>
      </c>
    </row>
    <row r="15143" customFormat="false" ht="12.8" hidden="false" customHeight="false" outlineLevel="0" collapsed="false">
      <c r="A15143" s="0" t="s">
        <v>12</v>
      </c>
      <c r="B15143" s="0" t="n">
        <v>4690986</v>
      </c>
      <c r="C15143" s="0" t="n">
        <v>4691006</v>
      </c>
      <c r="D15143" s="0" t="s">
        <v>50309</v>
      </c>
      <c r="E15143" s="0" t="s">
        <v>75</v>
      </c>
      <c r="F15143" s="0" t="s">
        <v>90</v>
      </c>
      <c r="G15143" s="0" t="s">
        <v>32</v>
      </c>
      <c r="H15143" s="0" t="n">
        <v>70</v>
      </c>
      <c r="I15143" s="0" t="s">
        <v>50316</v>
      </c>
      <c r="J15143" s="0" t="s">
        <v>50317</v>
      </c>
      <c r="K15143" s="0" t="s">
        <v>50318</v>
      </c>
      <c r="L15143" s="0" t="str">
        <f aca="false">HYPERLINK("https://www.ncbi.nlm.nih.gov/nuccore/CP000058.1?report=graph&amp;tracks=[key:gene_model_track,Options:GeneOnly]&amp;mk=4691033:4691052|offset_24|444444,4691013:4691032|offset_44|444444,4690987:4691006|offset_70|00cc00,4690964:4690983|offset_93|444444&amp;v=4690832:4691183&amp;c=444444", "offset 70")</f>
        <v>offset 70</v>
      </c>
    </row>
    <row r="15144" customFormat="false" ht="12.8" hidden="false" customHeight="false" outlineLevel="0" collapsed="false">
      <c r="A15144" s="0" t="s">
        <v>12</v>
      </c>
      <c r="B15144" s="0" t="n">
        <v>4690963</v>
      </c>
      <c r="C15144" s="0" t="n">
        <v>4690983</v>
      </c>
      <c r="D15144" s="0" t="s">
        <v>50309</v>
      </c>
      <c r="E15144" s="0" t="s">
        <v>75</v>
      </c>
      <c r="F15144" s="0" t="s">
        <v>90</v>
      </c>
      <c r="G15144" s="0" t="s">
        <v>20</v>
      </c>
      <c r="H15144" s="0" t="n">
        <v>93</v>
      </c>
      <c r="I15144" s="0" t="s">
        <v>50319</v>
      </c>
      <c r="J15144" s="0" t="s">
        <v>50320</v>
      </c>
      <c r="K15144" s="0" t="s">
        <v>50321</v>
      </c>
      <c r="L15144" s="0" t="str">
        <f aca="false">HYPERLINK("https://www.ncbi.nlm.nih.gov/nuccore/CP000058.1?report=graph&amp;tracks=[key:gene_model_track,Options:GeneOnly]&amp;mk=4691033:4691052|offset_24|444444,4691013:4691032|offset_44|444444,4690987:4691006|offset_70|444444,4690964:4690983|offset_93|00cc00&amp;v=4690832:4691183&amp;c=444444", "offset 93")</f>
        <v>offset 93</v>
      </c>
    </row>
    <row r="15145" customFormat="false" ht="12.8" hidden="false" customHeight="false" outlineLevel="0" collapsed="false">
      <c r="A15145" s="0" t="s">
        <v>12</v>
      </c>
      <c r="B15145" s="0" t="n">
        <v>4692009</v>
      </c>
      <c r="C15145" s="0" t="n">
        <v>4692029</v>
      </c>
      <c r="D15145" s="0" t="s">
        <v>50322</v>
      </c>
      <c r="E15145" s="0" t="s">
        <v>50323</v>
      </c>
      <c r="F15145" s="0" t="s">
        <v>90</v>
      </c>
      <c r="G15145" s="0" t="s">
        <v>16</v>
      </c>
      <c r="H15145" s="0" t="n">
        <v>10</v>
      </c>
      <c r="I15145" s="0" t="s">
        <v>50324</v>
      </c>
      <c r="J15145" s="0" t="s">
        <v>50325</v>
      </c>
      <c r="K15145" s="0" t="s">
        <v>50326</v>
      </c>
      <c r="L15145" s="0" t="str">
        <f aca="false">HYPERLINK("https://www.ncbi.nlm.nih.gov/nuccore/CP000058.1?report=graph&amp;tracks=[key:gene_model_track,Options:GeneOnly]&amp;mk=4692010:4692029|offset_10|00cc00,4691975:4691994|offset_45|444444,4691953:4691972|offset_67|444444,4691929:4691948|offset_91|444444&amp;v=4691809:4692148&amp;c=444444", "offset 10")</f>
        <v>offset 10</v>
      </c>
    </row>
    <row r="15146" customFormat="false" ht="12.8" hidden="false" customHeight="false" outlineLevel="0" collapsed="false">
      <c r="A15146" s="0" t="s">
        <v>12</v>
      </c>
      <c r="B15146" s="0" t="n">
        <v>4691974</v>
      </c>
      <c r="C15146" s="0" t="n">
        <v>4691994</v>
      </c>
      <c r="D15146" s="0" t="s">
        <v>50322</v>
      </c>
      <c r="E15146" s="0" t="s">
        <v>50323</v>
      </c>
      <c r="F15146" s="0" t="s">
        <v>90</v>
      </c>
      <c r="G15146" s="0" t="s">
        <v>16</v>
      </c>
      <c r="H15146" s="0" t="n">
        <v>45</v>
      </c>
      <c r="I15146" s="0" t="s">
        <v>50327</v>
      </c>
      <c r="J15146" s="0" t="s">
        <v>50328</v>
      </c>
      <c r="K15146" s="0" t="s">
        <v>50329</v>
      </c>
      <c r="L15146" s="0" t="str">
        <f aca="false">HYPERLINK("https://www.ncbi.nlm.nih.gov/nuccore/CP000058.1?report=graph&amp;tracks=[key:gene_model_track,Options:GeneOnly]&amp;mk=4692010:4692029|offset_10|444444,4691975:4691994|offset_45|00cc00,4691953:4691972|offset_67|444444,4691929:4691948|offset_91|444444&amp;v=4691809:4692148&amp;c=444444", "offset 45")</f>
        <v>offset 45</v>
      </c>
    </row>
    <row r="15147" customFormat="false" ht="12.8" hidden="false" customHeight="false" outlineLevel="0" collapsed="false">
      <c r="A15147" s="0" t="s">
        <v>12</v>
      </c>
      <c r="B15147" s="0" t="n">
        <v>4691952</v>
      </c>
      <c r="C15147" s="0" t="n">
        <v>4691972</v>
      </c>
      <c r="D15147" s="0" t="s">
        <v>50322</v>
      </c>
      <c r="E15147" s="0" t="s">
        <v>50323</v>
      </c>
      <c r="F15147" s="0" t="s">
        <v>90</v>
      </c>
      <c r="G15147" s="0" t="s">
        <v>16</v>
      </c>
      <c r="H15147" s="0" t="n">
        <v>67</v>
      </c>
      <c r="I15147" s="0" t="s">
        <v>50330</v>
      </c>
      <c r="J15147" s="0" t="s">
        <v>50331</v>
      </c>
      <c r="K15147" s="0" t="s">
        <v>50332</v>
      </c>
      <c r="L15147" s="0" t="str">
        <f aca="false">HYPERLINK("https://www.ncbi.nlm.nih.gov/nuccore/CP000058.1?report=graph&amp;tracks=[key:gene_model_track,Options:GeneOnly]&amp;mk=4692010:4692029|offset_10|444444,4691975:4691994|offset_45|444444,4691953:4691972|offset_67|00cc00,4691929:4691948|offset_91|444444&amp;v=4691809:4692148&amp;c=444444", "offset 67")</f>
        <v>offset 67</v>
      </c>
    </row>
    <row r="15148" customFormat="false" ht="12.8" hidden="false" customHeight="false" outlineLevel="0" collapsed="false">
      <c r="A15148" s="0" t="s">
        <v>12</v>
      </c>
      <c r="B15148" s="0" t="n">
        <v>4691928</v>
      </c>
      <c r="C15148" s="0" t="n">
        <v>4691948</v>
      </c>
      <c r="D15148" s="0" t="s">
        <v>50322</v>
      </c>
      <c r="E15148" s="0" t="s">
        <v>50323</v>
      </c>
      <c r="F15148" s="0" t="s">
        <v>90</v>
      </c>
      <c r="G15148" s="0" t="s">
        <v>16</v>
      </c>
      <c r="H15148" s="0" t="n">
        <v>91</v>
      </c>
      <c r="I15148" s="0" t="s">
        <v>50333</v>
      </c>
      <c r="J15148" s="0" t="s">
        <v>50334</v>
      </c>
      <c r="K15148" s="0" t="s">
        <v>50335</v>
      </c>
      <c r="L15148" s="0" t="str">
        <f aca="false">HYPERLINK("https://www.ncbi.nlm.nih.gov/nuccore/CP000058.1?report=graph&amp;tracks=[key:gene_model_track,Options:GeneOnly]&amp;mk=4692010:4692029|offset_10|444444,4691975:4691994|offset_45|444444,4691953:4691972|offset_67|444444,4691929:4691948|offset_91|00cc00&amp;v=4691809:4692148&amp;c=444444", "offset 91")</f>
        <v>offset 91</v>
      </c>
    </row>
    <row r="15149" customFormat="false" ht="12.8" hidden="false" customHeight="false" outlineLevel="0" collapsed="false">
      <c r="A15149" s="0" t="s">
        <v>12</v>
      </c>
      <c r="B15149" s="0" t="n">
        <v>4693454</v>
      </c>
      <c r="C15149" s="0" t="n">
        <v>4693474</v>
      </c>
      <c r="D15149" s="0" t="s">
        <v>50336</v>
      </c>
      <c r="E15149" s="0" t="s">
        <v>50337</v>
      </c>
      <c r="F15149" s="0" t="s">
        <v>90</v>
      </c>
      <c r="G15149" s="0" t="s">
        <v>32</v>
      </c>
      <c r="H15149" s="0" t="n">
        <v>22</v>
      </c>
      <c r="I15149" s="0" t="s">
        <v>50338</v>
      </c>
      <c r="J15149" s="0" t="s">
        <v>50339</v>
      </c>
      <c r="K15149" s="0" t="s">
        <v>50340</v>
      </c>
      <c r="L15149" s="0" t="str">
        <f aca="false">HYPERLINK("https://www.ncbi.nlm.nih.gov/nuccore/CP000058.1?report=graph&amp;tracks=[key:gene_model_track,Options:GeneOnly]&amp;mk=4693455:4693474|offset_22|00cc00,4693433:4693452|offset_44|444444,4693377:4693396|offset_100|444444,4693338:4693357|offset_139|444444&amp;v=4693254:4693557&amp;c=444444", "offset 22")</f>
        <v>offset 22</v>
      </c>
    </row>
    <row r="15150" customFormat="false" ht="12.8" hidden="false" customHeight="false" outlineLevel="0" collapsed="false">
      <c r="A15150" s="0" t="s">
        <v>12</v>
      </c>
      <c r="B15150" s="0" t="n">
        <v>4693432</v>
      </c>
      <c r="C15150" s="0" t="n">
        <v>4693452</v>
      </c>
      <c r="D15150" s="0" t="s">
        <v>50336</v>
      </c>
      <c r="E15150" s="0" t="s">
        <v>50337</v>
      </c>
      <c r="F15150" s="0" t="s">
        <v>90</v>
      </c>
      <c r="G15150" s="0" t="s">
        <v>16</v>
      </c>
      <c r="H15150" s="0" t="n">
        <v>44</v>
      </c>
      <c r="I15150" s="0" t="s">
        <v>50341</v>
      </c>
      <c r="J15150" s="0" t="s">
        <v>50342</v>
      </c>
      <c r="K15150" s="0" t="s">
        <v>50343</v>
      </c>
      <c r="L15150" s="0" t="str">
        <f aca="false">HYPERLINK("https://www.ncbi.nlm.nih.gov/nuccore/CP000058.1?report=graph&amp;tracks=[key:gene_model_track,Options:GeneOnly]&amp;mk=4693455:4693474|offset_22|444444,4693433:4693452|offset_44|00cc00,4693377:4693396|offset_100|444444,4693338:4693357|offset_139|444444&amp;v=4693254:4693557&amp;c=444444", "offset 44")</f>
        <v>offset 44</v>
      </c>
    </row>
    <row r="15151" customFormat="false" ht="12.8" hidden="false" customHeight="false" outlineLevel="0" collapsed="false">
      <c r="A15151" s="0" t="s">
        <v>12</v>
      </c>
      <c r="B15151" s="0" t="n">
        <v>4693376</v>
      </c>
      <c r="C15151" s="0" t="n">
        <v>4693396</v>
      </c>
      <c r="D15151" s="0" t="s">
        <v>50336</v>
      </c>
      <c r="E15151" s="0" t="s">
        <v>50337</v>
      </c>
      <c r="F15151" s="0" t="s">
        <v>90</v>
      </c>
      <c r="G15151" s="0" t="s">
        <v>16</v>
      </c>
      <c r="H15151" s="0" t="n">
        <v>100</v>
      </c>
      <c r="I15151" s="0" t="s">
        <v>50344</v>
      </c>
      <c r="J15151" s="0" t="s">
        <v>50345</v>
      </c>
      <c r="K15151" s="0" t="s">
        <v>50346</v>
      </c>
      <c r="L15151" s="0" t="str">
        <f aca="false">HYPERLINK("https://www.ncbi.nlm.nih.gov/nuccore/CP000058.1?report=graph&amp;tracks=[key:gene_model_track,Options:GeneOnly]&amp;mk=4693455:4693474|offset_22|444444,4693433:4693452|offset_44|444444,4693377:4693396|offset_100|00cc00,4693338:4693357|offset_139|444444&amp;v=4693254:4693557&amp;c=444444", "offset 100")</f>
        <v>offset 100</v>
      </c>
    </row>
    <row r="15152" customFormat="false" ht="12.8" hidden="false" customHeight="false" outlineLevel="0" collapsed="false">
      <c r="A15152" s="0" t="s">
        <v>12</v>
      </c>
      <c r="B15152" s="0" t="n">
        <v>4693337</v>
      </c>
      <c r="C15152" s="0" t="n">
        <v>4693357</v>
      </c>
      <c r="D15152" s="0" t="s">
        <v>50336</v>
      </c>
      <c r="E15152" s="0" t="s">
        <v>50337</v>
      </c>
      <c r="F15152" s="0" t="s">
        <v>90</v>
      </c>
      <c r="G15152" s="0" t="s">
        <v>16</v>
      </c>
      <c r="H15152" s="0" t="n">
        <v>139</v>
      </c>
      <c r="I15152" s="0" t="s">
        <v>50347</v>
      </c>
      <c r="J15152" s="0" t="s">
        <v>50348</v>
      </c>
      <c r="K15152" s="0" t="s">
        <v>50349</v>
      </c>
      <c r="L15152" s="0" t="str">
        <f aca="false">HYPERLINK("https://www.ncbi.nlm.nih.gov/nuccore/CP000058.1?report=graph&amp;tracks=[key:gene_model_track,Options:GeneOnly]&amp;mk=4693455:4693474|offset_22|444444,4693433:4693452|offset_44|444444,4693377:4693396|offset_100|444444,4693338:4693357|offset_139|00cc00&amp;v=4693254:4693557&amp;c=444444", "offset 139")</f>
        <v>offset 139</v>
      </c>
    </row>
    <row r="15153" customFormat="false" ht="12.8" hidden="false" customHeight="false" outlineLevel="0" collapsed="false">
      <c r="A15153" s="0" t="s">
        <v>12</v>
      </c>
      <c r="B15153" s="0" t="n">
        <v>4694502</v>
      </c>
      <c r="C15153" s="0" t="n">
        <v>4694522</v>
      </c>
      <c r="D15153" s="0" t="s">
        <v>50350</v>
      </c>
      <c r="E15153" s="0" t="s">
        <v>50351</v>
      </c>
      <c r="F15153" s="0" t="s">
        <v>90</v>
      </c>
      <c r="G15153" s="0" t="s">
        <v>16</v>
      </c>
      <c r="H15153" s="0" t="n">
        <v>37</v>
      </c>
      <c r="I15153" s="0" t="s">
        <v>50352</v>
      </c>
      <c r="J15153" s="0" t="s">
        <v>50353</v>
      </c>
      <c r="K15153" s="0" t="s">
        <v>50354</v>
      </c>
      <c r="L15153" s="0" t="str">
        <f aca="false">HYPERLINK("https://www.ncbi.nlm.nih.gov/nuccore/CP000058.1?report=graph&amp;tracks=[key:gene_model_track,Options:GeneOnly]&amp;mk=4694503:4694522|offset_37|00cc00,4694439:4694458|offset_101|444444,4694396:4694415|offset_144|444444,4694373:4694392|offset_167|444444&amp;v=4694302:4694592&amp;c=444444", "offset 37")</f>
        <v>offset 37</v>
      </c>
    </row>
    <row r="15154" customFormat="false" ht="12.8" hidden="false" customHeight="false" outlineLevel="0" collapsed="false">
      <c r="A15154" s="0" t="s">
        <v>12</v>
      </c>
      <c r="B15154" s="0" t="n">
        <v>4694438</v>
      </c>
      <c r="C15154" s="0" t="n">
        <v>4694458</v>
      </c>
      <c r="D15154" s="0" t="s">
        <v>50350</v>
      </c>
      <c r="E15154" s="0" t="s">
        <v>50351</v>
      </c>
      <c r="F15154" s="0" t="s">
        <v>90</v>
      </c>
      <c r="G15154" s="0" t="s">
        <v>32</v>
      </c>
      <c r="H15154" s="0" t="n">
        <v>101</v>
      </c>
      <c r="I15154" s="0" t="s">
        <v>50355</v>
      </c>
      <c r="J15154" s="0" t="s">
        <v>50356</v>
      </c>
      <c r="K15154" s="0" t="s">
        <v>50357</v>
      </c>
      <c r="L15154" s="0" t="str">
        <f aca="false">HYPERLINK("https://www.ncbi.nlm.nih.gov/nuccore/CP000058.1?report=graph&amp;tracks=[key:gene_model_track,Options:GeneOnly]&amp;mk=4694503:4694522|offset_37|444444,4694439:4694458|offset_101|00cc00,4694396:4694415|offset_144|444444,4694373:4694392|offset_167|444444&amp;v=4694302:4694592&amp;c=444444", "offset 101")</f>
        <v>offset 101</v>
      </c>
    </row>
    <row r="15155" customFormat="false" ht="12.8" hidden="false" customHeight="false" outlineLevel="0" collapsed="false">
      <c r="A15155" s="0" t="s">
        <v>12</v>
      </c>
      <c r="B15155" s="0" t="n">
        <v>4694395</v>
      </c>
      <c r="C15155" s="0" t="n">
        <v>4694415</v>
      </c>
      <c r="D15155" s="0" t="s">
        <v>50350</v>
      </c>
      <c r="E15155" s="0" t="s">
        <v>50351</v>
      </c>
      <c r="F15155" s="0" t="s">
        <v>90</v>
      </c>
      <c r="G15155" s="0" t="s">
        <v>16</v>
      </c>
      <c r="H15155" s="0" t="n">
        <v>144</v>
      </c>
      <c r="I15155" s="0" t="s">
        <v>50358</v>
      </c>
      <c r="J15155" s="0" t="s">
        <v>50359</v>
      </c>
      <c r="K15155" s="0" t="s">
        <v>50360</v>
      </c>
      <c r="L15155" s="0" t="str">
        <f aca="false">HYPERLINK("https://www.ncbi.nlm.nih.gov/nuccore/CP000058.1?report=graph&amp;tracks=[key:gene_model_track,Options:GeneOnly]&amp;mk=4694503:4694522|offset_37|444444,4694439:4694458|offset_101|444444,4694396:4694415|offset_144|00cc00,4694373:4694392|offset_167|444444&amp;v=4694302:4694592&amp;c=444444", "offset 144")</f>
        <v>offset 144</v>
      </c>
    </row>
    <row r="15156" customFormat="false" ht="12.8" hidden="false" customHeight="false" outlineLevel="0" collapsed="false">
      <c r="A15156" s="0" t="s">
        <v>12</v>
      </c>
      <c r="B15156" s="0" t="n">
        <v>4694372</v>
      </c>
      <c r="C15156" s="0" t="n">
        <v>4694392</v>
      </c>
      <c r="D15156" s="0" t="s">
        <v>50350</v>
      </c>
      <c r="E15156" s="0" t="s">
        <v>50351</v>
      </c>
      <c r="F15156" s="0" t="s">
        <v>90</v>
      </c>
      <c r="G15156" s="0" t="s">
        <v>20</v>
      </c>
      <c r="H15156" s="0" t="n">
        <v>167</v>
      </c>
      <c r="I15156" s="0" t="s">
        <v>50361</v>
      </c>
      <c r="J15156" s="0" t="s">
        <v>50362</v>
      </c>
      <c r="K15156" s="0" t="s">
        <v>50363</v>
      </c>
      <c r="L15156" s="0" t="str">
        <f aca="false">HYPERLINK("https://www.ncbi.nlm.nih.gov/nuccore/CP000058.1?report=graph&amp;tracks=[key:gene_model_track,Options:GeneOnly]&amp;mk=4694503:4694522|offset_37|444444,4694439:4694458|offset_101|444444,4694396:4694415|offset_144|444444,4694373:4694392|offset_167|00cc00&amp;v=4694302:4694592&amp;c=444444", "offset 167")</f>
        <v>offset 167</v>
      </c>
    </row>
    <row r="15157" customFormat="false" ht="12.8" hidden="false" customHeight="false" outlineLevel="0" collapsed="false">
      <c r="A15157" s="0" t="s">
        <v>12</v>
      </c>
      <c r="B15157" s="0" t="n">
        <v>4695719</v>
      </c>
      <c r="C15157" s="0" t="n">
        <v>4695739</v>
      </c>
      <c r="D15157" s="0" t="s">
        <v>50364</v>
      </c>
      <c r="E15157" s="0" t="s">
        <v>50365</v>
      </c>
      <c r="F15157" s="0" t="s">
        <v>90</v>
      </c>
      <c r="G15157" s="0" t="s">
        <v>20</v>
      </c>
      <c r="H15157" s="0" t="n">
        <v>24</v>
      </c>
      <c r="I15157" s="0" t="s">
        <v>50366</v>
      </c>
      <c r="J15157" s="0" t="s">
        <v>50367</v>
      </c>
      <c r="K15157" s="0" t="s">
        <v>50368</v>
      </c>
      <c r="L15157" s="0" t="str">
        <f aca="false">HYPERLINK("https://www.ncbi.nlm.nih.gov/nuccore/CP000058.1?report=graph&amp;tracks=[key:gene_model_track,Options:GeneOnly]&amp;mk=4695720:4695739|offset_24|00cc00,4695682:4695701|offset_62|444444,4695655:4695674|offset_89|444444,4695620:4695639|offset_124|444444&amp;v=4695519:4695839&amp;c=444444", "offset 24")</f>
        <v>offset 24</v>
      </c>
    </row>
    <row r="15158" customFormat="false" ht="12.8" hidden="false" customHeight="false" outlineLevel="0" collapsed="false">
      <c r="A15158" s="0" t="s">
        <v>12</v>
      </c>
      <c r="B15158" s="0" t="n">
        <v>4695681</v>
      </c>
      <c r="C15158" s="0" t="n">
        <v>4695701</v>
      </c>
      <c r="D15158" s="0" t="s">
        <v>50364</v>
      </c>
      <c r="E15158" s="0" t="s">
        <v>50365</v>
      </c>
      <c r="F15158" s="0" t="s">
        <v>90</v>
      </c>
      <c r="G15158" s="0" t="s">
        <v>20</v>
      </c>
      <c r="H15158" s="0" t="n">
        <v>62</v>
      </c>
      <c r="I15158" s="0" t="s">
        <v>50369</v>
      </c>
      <c r="J15158" s="0" t="s">
        <v>50370</v>
      </c>
      <c r="K15158" s="0" t="s">
        <v>50371</v>
      </c>
      <c r="L15158" s="0" t="str">
        <f aca="false">HYPERLINK("https://www.ncbi.nlm.nih.gov/nuccore/CP000058.1?report=graph&amp;tracks=[key:gene_model_track,Options:GeneOnly]&amp;mk=4695720:4695739|offset_24|444444,4695682:4695701|offset_62|00cc00,4695655:4695674|offset_89|444444,4695620:4695639|offset_124|444444&amp;v=4695519:4695839&amp;c=444444", "offset 62")</f>
        <v>offset 62</v>
      </c>
    </row>
    <row r="15159" customFormat="false" ht="12.8" hidden="false" customHeight="false" outlineLevel="0" collapsed="false">
      <c r="A15159" s="0" t="s">
        <v>12</v>
      </c>
      <c r="B15159" s="0" t="n">
        <v>4695654</v>
      </c>
      <c r="C15159" s="0" t="n">
        <v>4695674</v>
      </c>
      <c r="D15159" s="0" t="s">
        <v>50364</v>
      </c>
      <c r="E15159" s="0" t="s">
        <v>50365</v>
      </c>
      <c r="F15159" s="0" t="s">
        <v>90</v>
      </c>
      <c r="G15159" s="0" t="s">
        <v>20</v>
      </c>
      <c r="H15159" s="0" t="n">
        <v>89</v>
      </c>
      <c r="I15159" s="0" t="s">
        <v>50372</v>
      </c>
      <c r="J15159" s="0" t="s">
        <v>50373</v>
      </c>
      <c r="K15159" s="0" t="s">
        <v>50374</v>
      </c>
      <c r="L15159" s="0" t="str">
        <f aca="false">HYPERLINK("https://www.ncbi.nlm.nih.gov/nuccore/CP000058.1?report=graph&amp;tracks=[key:gene_model_track,Options:GeneOnly]&amp;mk=4695720:4695739|offset_24|444444,4695682:4695701|offset_62|444444,4695655:4695674|offset_89|00cc00,4695620:4695639|offset_124|444444&amp;v=4695519:4695839&amp;c=444444", "offset 89")</f>
        <v>offset 89</v>
      </c>
    </row>
    <row r="15160" customFormat="false" ht="12.8" hidden="false" customHeight="false" outlineLevel="0" collapsed="false">
      <c r="A15160" s="0" t="s">
        <v>12</v>
      </c>
      <c r="B15160" s="0" t="n">
        <v>4695619</v>
      </c>
      <c r="C15160" s="0" t="n">
        <v>4695639</v>
      </c>
      <c r="D15160" s="0" t="s">
        <v>50364</v>
      </c>
      <c r="E15160" s="0" t="s">
        <v>50365</v>
      </c>
      <c r="F15160" s="0" t="s">
        <v>90</v>
      </c>
      <c r="G15160" s="0" t="s">
        <v>20</v>
      </c>
      <c r="H15160" s="0" t="n">
        <v>124</v>
      </c>
      <c r="I15160" s="0" t="s">
        <v>50375</v>
      </c>
      <c r="J15160" s="0" t="s">
        <v>50376</v>
      </c>
      <c r="K15160" s="0" t="s">
        <v>50377</v>
      </c>
      <c r="L15160" s="0" t="str">
        <f aca="false">HYPERLINK("https://www.ncbi.nlm.nih.gov/nuccore/CP000058.1?report=graph&amp;tracks=[key:gene_model_track,Options:GeneOnly]&amp;mk=4695720:4695739|offset_24|444444,4695682:4695701|offset_62|444444,4695655:4695674|offset_89|444444,4695620:4695639|offset_124|00cc00&amp;v=4695519:4695839&amp;c=444444", "offset 124")</f>
        <v>offset 124</v>
      </c>
    </row>
    <row r="15161" customFormat="false" ht="12.8" hidden="false" customHeight="false" outlineLevel="0" collapsed="false">
      <c r="A15161" s="0" t="s">
        <v>12</v>
      </c>
      <c r="B15161" s="0" t="n">
        <v>4697079</v>
      </c>
      <c r="C15161" s="0" t="n">
        <v>4697099</v>
      </c>
      <c r="D15161" s="0" t="s">
        <v>50378</v>
      </c>
      <c r="E15161" s="0" t="s">
        <v>50379</v>
      </c>
      <c r="F15161" s="0" t="s">
        <v>90</v>
      </c>
      <c r="G15161" s="0" t="s">
        <v>36</v>
      </c>
      <c r="H15161" s="0" t="n">
        <v>7</v>
      </c>
      <c r="I15161" s="0" t="s">
        <v>50380</v>
      </c>
      <c r="J15161" s="0" t="s">
        <v>50381</v>
      </c>
      <c r="K15161" s="0" t="s">
        <v>50382</v>
      </c>
      <c r="L15161" s="0" t="str">
        <f aca="false">HYPERLINK("https://www.ncbi.nlm.nih.gov/nuccore/CP000058.1?report=graph&amp;tracks=[key:gene_model_track,Options:GeneOnly]&amp;mk=4697080:4697099|offset_7|00cc00,4697058:4697077|offset_29|444444,4697023:4697042|offset_64|444444,4697001:4697020|offset_86|444444&amp;v=4696879:4697220&amp;c=444444", "offset 7")</f>
        <v>offset 7</v>
      </c>
    </row>
    <row r="15162" customFormat="false" ht="12.8" hidden="false" customHeight="false" outlineLevel="0" collapsed="false">
      <c r="A15162" s="0" t="s">
        <v>12</v>
      </c>
      <c r="B15162" s="0" t="n">
        <v>4697057</v>
      </c>
      <c r="C15162" s="0" t="n">
        <v>4697077</v>
      </c>
      <c r="D15162" s="0" t="s">
        <v>50378</v>
      </c>
      <c r="E15162" s="0" t="s">
        <v>50379</v>
      </c>
      <c r="F15162" s="0" t="s">
        <v>90</v>
      </c>
      <c r="G15162" s="0" t="s">
        <v>16</v>
      </c>
      <c r="H15162" s="0" t="n">
        <v>29</v>
      </c>
      <c r="I15162" s="0" t="s">
        <v>50383</v>
      </c>
      <c r="J15162" s="0" t="s">
        <v>50384</v>
      </c>
      <c r="K15162" s="0" t="s">
        <v>50385</v>
      </c>
      <c r="L15162" s="0" t="str">
        <f aca="false">HYPERLINK("https://www.ncbi.nlm.nih.gov/nuccore/CP000058.1?report=graph&amp;tracks=[key:gene_model_track,Options:GeneOnly]&amp;mk=4697080:4697099|offset_7|444444,4697058:4697077|offset_29|00cc00,4697023:4697042|offset_64|444444,4697001:4697020|offset_86|444444&amp;v=4696879:4697220&amp;c=444444", "offset 29")</f>
        <v>offset 29</v>
      </c>
    </row>
    <row r="15163" customFormat="false" ht="12.8" hidden="false" customHeight="false" outlineLevel="0" collapsed="false">
      <c r="A15163" s="0" t="s">
        <v>12</v>
      </c>
      <c r="B15163" s="0" t="n">
        <v>4697022</v>
      </c>
      <c r="C15163" s="0" t="n">
        <v>4697042</v>
      </c>
      <c r="D15163" s="0" t="s">
        <v>50378</v>
      </c>
      <c r="E15163" s="0" t="s">
        <v>50379</v>
      </c>
      <c r="F15163" s="0" t="s">
        <v>90</v>
      </c>
      <c r="G15163" s="0" t="s">
        <v>36</v>
      </c>
      <c r="H15163" s="0" t="n">
        <v>64</v>
      </c>
      <c r="I15163" s="0" t="s">
        <v>50386</v>
      </c>
      <c r="J15163" s="0" t="s">
        <v>50387</v>
      </c>
      <c r="K15163" s="0" t="s">
        <v>50388</v>
      </c>
      <c r="L15163" s="0" t="str">
        <f aca="false">HYPERLINK("https://www.ncbi.nlm.nih.gov/nuccore/CP000058.1?report=graph&amp;tracks=[key:gene_model_track,Options:GeneOnly]&amp;mk=4697080:4697099|offset_7|444444,4697058:4697077|offset_29|444444,4697023:4697042|offset_64|00cc00,4697001:4697020|offset_86|444444&amp;v=4696879:4697220&amp;c=444444", "offset 64")</f>
        <v>offset 64</v>
      </c>
    </row>
    <row r="15164" customFormat="false" ht="12.8" hidden="false" customHeight="false" outlineLevel="0" collapsed="false">
      <c r="A15164" s="0" t="s">
        <v>12</v>
      </c>
      <c r="B15164" s="0" t="n">
        <v>4697000</v>
      </c>
      <c r="C15164" s="0" t="n">
        <v>4697020</v>
      </c>
      <c r="D15164" s="0" t="s">
        <v>50378</v>
      </c>
      <c r="E15164" s="0" t="s">
        <v>50379</v>
      </c>
      <c r="F15164" s="0" t="s">
        <v>90</v>
      </c>
      <c r="G15164" s="0" t="s">
        <v>16</v>
      </c>
      <c r="H15164" s="0" t="n">
        <v>86</v>
      </c>
      <c r="I15164" s="0" t="s">
        <v>50389</v>
      </c>
      <c r="J15164" s="0" t="s">
        <v>50390</v>
      </c>
      <c r="K15164" s="0" t="s">
        <v>50391</v>
      </c>
      <c r="L15164" s="0" t="str">
        <f aca="false">HYPERLINK("https://www.ncbi.nlm.nih.gov/nuccore/CP000058.1?report=graph&amp;tracks=[key:gene_model_track,Options:GeneOnly]&amp;mk=4697080:4697099|offset_7|444444,4697058:4697077|offset_29|444444,4697023:4697042|offset_64|444444,4697001:4697020|offset_86|00cc00&amp;v=4696879:4697220&amp;c=444444", "offset 86")</f>
        <v>offset 86</v>
      </c>
    </row>
    <row r="15165" customFormat="false" ht="12.8" hidden="false" customHeight="false" outlineLevel="0" collapsed="false">
      <c r="A15165" s="0" t="s">
        <v>12</v>
      </c>
      <c r="B15165" s="0" t="n">
        <v>4698155</v>
      </c>
      <c r="C15165" s="0" t="n">
        <v>4698175</v>
      </c>
      <c r="D15165" s="0" t="s">
        <v>50392</v>
      </c>
      <c r="E15165" s="0" t="s">
        <v>50393</v>
      </c>
      <c r="F15165" s="0" t="s">
        <v>90</v>
      </c>
      <c r="G15165" s="0" t="s">
        <v>16</v>
      </c>
      <c r="H15165" s="0" t="n">
        <v>19</v>
      </c>
      <c r="I15165" s="0" t="s">
        <v>50394</v>
      </c>
      <c r="J15165" s="0" t="s">
        <v>50395</v>
      </c>
      <c r="K15165" s="0" t="s">
        <v>50396</v>
      </c>
      <c r="L15165" s="0" t="str">
        <f aca="false">HYPERLINK("https://www.ncbi.nlm.nih.gov/nuccore/CP000058.1?report=graph&amp;tracks=[key:gene_model_track,Options:GeneOnly]&amp;mk=4698156:4698175|offset_19|00cc00,4698110:4698129|offset_65|444444,4698056:4698075|offset_119|444444,4698011:4698030|offset_164|444444&amp;v=4697955:4698230&amp;c=444444", "offset 19")</f>
        <v>offset 19</v>
      </c>
    </row>
    <row r="15166" customFormat="false" ht="12.8" hidden="false" customHeight="false" outlineLevel="0" collapsed="false">
      <c r="A15166" s="0" t="s">
        <v>12</v>
      </c>
      <c r="B15166" s="0" t="n">
        <v>4698109</v>
      </c>
      <c r="C15166" s="0" t="n">
        <v>4698129</v>
      </c>
      <c r="D15166" s="0" t="s">
        <v>50392</v>
      </c>
      <c r="E15166" s="0" t="s">
        <v>50393</v>
      </c>
      <c r="F15166" s="0" t="s">
        <v>90</v>
      </c>
      <c r="G15166" s="0" t="s">
        <v>20</v>
      </c>
      <c r="H15166" s="0" t="n">
        <v>65</v>
      </c>
      <c r="I15166" s="0" t="s">
        <v>50397</v>
      </c>
      <c r="J15166" s="0" t="s">
        <v>50398</v>
      </c>
      <c r="K15166" s="0" t="s">
        <v>50399</v>
      </c>
      <c r="L15166" s="0" t="str">
        <f aca="false">HYPERLINK("https://www.ncbi.nlm.nih.gov/nuccore/CP000058.1?report=graph&amp;tracks=[key:gene_model_track,Options:GeneOnly]&amp;mk=4698156:4698175|offset_19|444444,4698110:4698129|offset_65|00cc00,4698056:4698075|offset_119|444444,4698011:4698030|offset_164|444444&amp;v=4697955:4698230&amp;c=444444", "offset 65")</f>
        <v>offset 65</v>
      </c>
    </row>
    <row r="15167" customFormat="false" ht="12.8" hidden="false" customHeight="false" outlineLevel="0" collapsed="false">
      <c r="A15167" s="0" t="s">
        <v>12</v>
      </c>
      <c r="B15167" s="0" t="n">
        <v>4698055</v>
      </c>
      <c r="C15167" s="0" t="n">
        <v>4698075</v>
      </c>
      <c r="D15167" s="0" t="s">
        <v>50392</v>
      </c>
      <c r="E15167" s="0" t="s">
        <v>50393</v>
      </c>
      <c r="F15167" s="0" t="s">
        <v>90</v>
      </c>
      <c r="G15167" s="0" t="s">
        <v>20</v>
      </c>
      <c r="H15167" s="0" t="n">
        <v>119</v>
      </c>
      <c r="I15167" s="0" t="s">
        <v>50400</v>
      </c>
      <c r="J15167" s="0" t="s">
        <v>50401</v>
      </c>
      <c r="K15167" s="0" t="s">
        <v>50402</v>
      </c>
      <c r="L15167" s="0" t="str">
        <f aca="false">HYPERLINK("https://www.ncbi.nlm.nih.gov/nuccore/CP000058.1?report=graph&amp;tracks=[key:gene_model_track,Options:GeneOnly]&amp;mk=4698156:4698175|offset_19|444444,4698110:4698129|offset_65|444444,4698056:4698075|offset_119|00cc00,4698011:4698030|offset_164|444444&amp;v=4697955:4698230&amp;c=444444", "offset 119")</f>
        <v>offset 119</v>
      </c>
    </row>
    <row r="15168" customFormat="false" ht="12.8" hidden="false" customHeight="false" outlineLevel="0" collapsed="false">
      <c r="A15168" s="0" t="s">
        <v>12</v>
      </c>
      <c r="B15168" s="0" t="n">
        <v>4698010</v>
      </c>
      <c r="C15168" s="0" t="n">
        <v>4698030</v>
      </c>
      <c r="D15168" s="0" t="s">
        <v>50392</v>
      </c>
      <c r="E15168" s="0" t="s">
        <v>50393</v>
      </c>
      <c r="F15168" s="0" t="s">
        <v>90</v>
      </c>
      <c r="G15168" s="0" t="s">
        <v>32</v>
      </c>
      <c r="H15168" s="0" t="n">
        <v>164</v>
      </c>
      <c r="I15168" s="0" t="s">
        <v>50403</v>
      </c>
      <c r="J15168" s="0" t="s">
        <v>50404</v>
      </c>
      <c r="K15168" s="0" t="s">
        <v>50405</v>
      </c>
      <c r="L15168" s="0" t="str">
        <f aca="false">HYPERLINK("https://www.ncbi.nlm.nih.gov/nuccore/CP000058.1?report=graph&amp;tracks=[key:gene_model_track,Options:GeneOnly]&amp;mk=4698156:4698175|offset_19|444444,4698110:4698129|offset_65|444444,4698056:4698075|offset_119|444444,4698011:4698030|offset_164|00cc00&amp;v=4697955:4698230&amp;c=444444", "offset 164")</f>
        <v>offset 164</v>
      </c>
    </row>
    <row r="15169" customFormat="false" ht="12.8" hidden="false" customHeight="false" outlineLevel="0" collapsed="false">
      <c r="A15169" s="0" t="s">
        <v>12</v>
      </c>
      <c r="B15169" s="0" t="n">
        <v>4699505</v>
      </c>
      <c r="C15169" s="0" t="n">
        <v>4699525</v>
      </c>
      <c r="D15169" s="0" t="s">
        <v>50406</v>
      </c>
      <c r="E15169" s="0" t="s">
        <v>50407</v>
      </c>
      <c r="F15169" s="0" t="s">
        <v>90</v>
      </c>
      <c r="G15169" s="0" t="s">
        <v>16</v>
      </c>
      <c r="H15169" s="0" t="n">
        <v>39</v>
      </c>
      <c r="I15169" s="0" t="s">
        <v>50408</v>
      </c>
      <c r="J15169" s="0" t="s">
        <v>50409</v>
      </c>
      <c r="K15169" s="0" t="s">
        <v>50410</v>
      </c>
      <c r="L15169" s="0" t="str">
        <f aca="false">HYPERLINK("https://www.ncbi.nlm.nih.gov/nuccore/CP000058.1?report=graph&amp;tracks=[key:gene_model_track,Options:GeneOnly]&amp;mk=4699506:4699525|offset_39|00cc00,4699454:4699473|offset_91|444444,4699434:4699453|offset_111|444444,4699414:4699433|offset_131|444444&amp;v=4699305:4699633&amp;c=444444", "offset 39")</f>
        <v>offset 39</v>
      </c>
    </row>
    <row r="15170" customFormat="false" ht="12.8" hidden="false" customHeight="false" outlineLevel="0" collapsed="false">
      <c r="A15170" s="0" t="s">
        <v>12</v>
      </c>
      <c r="B15170" s="0" t="n">
        <v>4699453</v>
      </c>
      <c r="C15170" s="0" t="n">
        <v>4699473</v>
      </c>
      <c r="D15170" s="0" t="s">
        <v>50406</v>
      </c>
      <c r="E15170" s="0" t="s">
        <v>50407</v>
      </c>
      <c r="F15170" s="0" t="s">
        <v>90</v>
      </c>
      <c r="G15170" s="0" t="s">
        <v>16</v>
      </c>
      <c r="H15170" s="0" t="n">
        <v>91</v>
      </c>
      <c r="I15170" s="0" t="s">
        <v>50411</v>
      </c>
      <c r="J15170" s="0" t="s">
        <v>50412</v>
      </c>
      <c r="K15170" s="0" t="s">
        <v>50413</v>
      </c>
      <c r="L15170" s="0" t="str">
        <f aca="false">HYPERLINK("https://www.ncbi.nlm.nih.gov/nuccore/CP000058.1?report=graph&amp;tracks=[key:gene_model_track,Options:GeneOnly]&amp;mk=4699506:4699525|offset_39|444444,4699454:4699473|offset_91|00cc00,4699434:4699453|offset_111|444444,4699414:4699433|offset_131|444444&amp;v=4699305:4699633&amp;c=444444", "offset 91")</f>
        <v>offset 91</v>
      </c>
    </row>
    <row r="15171" customFormat="false" ht="12.8" hidden="false" customHeight="false" outlineLevel="0" collapsed="false">
      <c r="A15171" s="0" t="s">
        <v>12</v>
      </c>
      <c r="B15171" s="0" t="n">
        <v>4699433</v>
      </c>
      <c r="C15171" s="0" t="n">
        <v>4699453</v>
      </c>
      <c r="D15171" s="0" t="s">
        <v>50406</v>
      </c>
      <c r="E15171" s="0" t="s">
        <v>50407</v>
      </c>
      <c r="F15171" s="0" t="s">
        <v>90</v>
      </c>
      <c r="G15171" s="0" t="s">
        <v>16</v>
      </c>
      <c r="H15171" s="0" t="n">
        <v>111</v>
      </c>
      <c r="I15171" s="0" t="s">
        <v>50414</v>
      </c>
      <c r="J15171" s="0" t="s">
        <v>50415</v>
      </c>
      <c r="K15171" s="0" t="s">
        <v>50416</v>
      </c>
      <c r="L15171" s="0" t="str">
        <f aca="false">HYPERLINK("https://www.ncbi.nlm.nih.gov/nuccore/CP000058.1?report=graph&amp;tracks=[key:gene_model_track,Options:GeneOnly]&amp;mk=4699506:4699525|offset_39|444444,4699454:4699473|offset_91|444444,4699434:4699453|offset_111|00cc00,4699414:4699433|offset_131|444444&amp;v=4699305:4699633&amp;c=444444", "offset 111")</f>
        <v>offset 111</v>
      </c>
    </row>
    <row r="15172" customFormat="false" ht="12.8" hidden="false" customHeight="false" outlineLevel="0" collapsed="false">
      <c r="A15172" s="0" t="s">
        <v>12</v>
      </c>
      <c r="B15172" s="0" t="n">
        <v>4699413</v>
      </c>
      <c r="C15172" s="0" t="n">
        <v>4699433</v>
      </c>
      <c r="D15172" s="0" t="s">
        <v>50406</v>
      </c>
      <c r="E15172" s="0" t="s">
        <v>50407</v>
      </c>
      <c r="F15172" s="0" t="s">
        <v>90</v>
      </c>
      <c r="G15172" s="0" t="s">
        <v>20</v>
      </c>
      <c r="H15172" s="0" t="n">
        <v>131</v>
      </c>
      <c r="I15172" s="0" t="s">
        <v>50417</v>
      </c>
      <c r="J15172" s="0" t="s">
        <v>50418</v>
      </c>
      <c r="K15172" s="0" t="s">
        <v>50419</v>
      </c>
      <c r="L15172" s="0" t="str">
        <f aca="false">HYPERLINK("https://www.ncbi.nlm.nih.gov/nuccore/CP000058.1?report=graph&amp;tracks=[key:gene_model_track,Options:GeneOnly]&amp;mk=4699506:4699525|offset_39|444444,4699454:4699473|offset_91|444444,4699434:4699453|offset_111|444444,4699414:4699433|offset_131|00cc00&amp;v=4699305:4699633&amp;c=444444", "offset 131")</f>
        <v>offset 131</v>
      </c>
    </row>
    <row r="15173" customFormat="false" ht="12.8" hidden="false" customHeight="false" outlineLevel="0" collapsed="false">
      <c r="A15173" s="0" t="s">
        <v>12</v>
      </c>
      <c r="B15173" s="0" t="n">
        <v>4700993</v>
      </c>
      <c r="C15173" s="0" t="n">
        <v>4701013</v>
      </c>
      <c r="D15173" s="0" t="s">
        <v>50420</v>
      </c>
      <c r="E15173" s="0" t="s">
        <v>50421</v>
      </c>
      <c r="F15173" s="0" t="s">
        <v>90</v>
      </c>
      <c r="G15173" s="0" t="s">
        <v>20</v>
      </c>
      <c r="H15173" s="0" t="n">
        <v>7</v>
      </c>
      <c r="I15173" s="0" t="s">
        <v>50422</v>
      </c>
      <c r="J15173" s="0" t="s">
        <v>50423</v>
      </c>
      <c r="K15173" s="0" t="s">
        <v>50424</v>
      </c>
      <c r="L15173" s="0" t="str">
        <f aca="false">HYPERLINK("https://www.ncbi.nlm.nih.gov/nuccore/CP000058.1?report=graph&amp;tracks=[key:gene_model_track,Options:GeneOnly]&amp;mk=4700994:4701013|offset_7|00cc00,4700964:4700983|offset_37|444444,4700924:4700943|offset_77|444444,4700892:4700911|offset_109|444444&amp;v=4700793:4701111&amp;c=444444", "offset 7")</f>
        <v>offset 7</v>
      </c>
    </row>
    <row r="15174" customFormat="false" ht="12.8" hidden="false" customHeight="false" outlineLevel="0" collapsed="false">
      <c r="A15174" s="0" t="s">
        <v>12</v>
      </c>
      <c r="B15174" s="0" t="n">
        <v>4700963</v>
      </c>
      <c r="C15174" s="0" t="n">
        <v>4700983</v>
      </c>
      <c r="D15174" s="0" t="s">
        <v>50420</v>
      </c>
      <c r="E15174" s="0" t="s">
        <v>50421</v>
      </c>
      <c r="F15174" s="0" t="s">
        <v>90</v>
      </c>
      <c r="G15174" s="0" t="s">
        <v>16</v>
      </c>
      <c r="H15174" s="0" t="n">
        <v>37</v>
      </c>
      <c r="I15174" s="0" t="s">
        <v>50425</v>
      </c>
      <c r="J15174" s="0" t="s">
        <v>50426</v>
      </c>
      <c r="K15174" s="0" t="s">
        <v>50427</v>
      </c>
      <c r="L15174" s="0" t="str">
        <f aca="false">HYPERLINK("https://www.ncbi.nlm.nih.gov/nuccore/CP000058.1?report=graph&amp;tracks=[key:gene_model_track,Options:GeneOnly]&amp;mk=4700994:4701013|offset_7|444444,4700964:4700983|offset_37|00cc00,4700924:4700943|offset_77|444444,4700892:4700911|offset_109|444444&amp;v=4700793:4701111&amp;c=444444", "offset 37")</f>
        <v>offset 37</v>
      </c>
    </row>
    <row r="15175" customFormat="false" ht="12.8" hidden="false" customHeight="false" outlineLevel="0" collapsed="false">
      <c r="A15175" s="0" t="s">
        <v>12</v>
      </c>
      <c r="B15175" s="0" t="n">
        <v>4700923</v>
      </c>
      <c r="C15175" s="0" t="n">
        <v>4700943</v>
      </c>
      <c r="D15175" s="0" t="s">
        <v>50420</v>
      </c>
      <c r="E15175" s="0" t="s">
        <v>50421</v>
      </c>
      <c r="F15175" s="0" t="s">
        <v>90</v>
      </c>
      <c r="G15175" s="0" t="s">
        <v>16</v>
      </c>
      <c r="H15175" s="0" t="n">
        <v>77</v>
      </c>
      <c r="I15175" s="0" t="s">
        <v>50428</v>
      </c>
      <c r="J15175" s="0" t="s">
        <v>50429</v>
      </c>
      <c r="K15175" s="0" t="s">
        <v>50430</v>
      </c>
      <c r="L15175" s="0" t="str">
        <f aca="false">HYPERLINK("https://www.ncbi.nlm.nih.gov/nuccore/CP000058.1?report=graph&amp;tracks=[key:gene_model_track,Options:GeneOnly]&amp;mk=4700994:4701013|offset_7|444444,4700964:4700983|offset_37|444444,4700924:4700943|offset_77|00cc00,4700892:4700911|offset_109|444444&amp;v=4700793:4701111&amp;c=444444", "offset 77")</f>
        <v>offset 77</v>
      </c>
    </row>
    <row r="15176" customFormat="false" ht="12.8" hidden="false" customHeight="false" outlineLevel="0" collapsed="false">
      <c r="A15176" s="0" t="s">
        <v>12</v>
      </c>
      <c r="B15176" s="0" t="n">
        <v>4700891</v>
      </c>
      <c r="C15176" s="0" t="n">
        <v>4700911</v>
      </c>
      <c r="D15176" s="0" t="s">
        <v>50420</v>
      </c>
      <c r="E15176" s="0" t="s">
        <v>50421</v>
      </c>
      <c r="F15176" s="0" t="s">
        <v>90</v>
      </c>
      <c r="G15176" s="0" t="s">
        <v>16</v>
      </c>
      <c r="H15176" s="0" t="n">
        <v>109</v>
      </c>
      <c r="I15176" s="0" t="s">
        <v>50431</v>
      </c>
      <c r="J15176" s="0" t="s">
        <v>50432</v>
      </c>
      <c r="K15176" s="0" t="s">
        <v>50433</v>
      </c>
      <c r="L15176" s="0" t="str">
        <f aca="false">HYPERLINK("https://www.ncbi.nlm.nih.gov/nuccore/CP000058.1?report=graph&amp;tracks=[key:gene_model_track,Options:GeneOnly]&amp;mk=4700994:4701013|offset_7|444444,4700964:4700983|offset_37|444444,4700924:4700943|offset_77|444444,4700892:4700911|offset_109|00cc00&amp;v=4700793:4701111&amp;c=444444", "offset 109")</f>
        <v>offset 109</v>
      </c>
    </row>
    <row r="15177" customFormat="false" ht="12.8" hidden="false" customHeight="false" outlineLevel="0" collapsed="false">
      <c r="A15177" s="0" t="s">
        <v>12</v>
      </c>
      <c r="B15177" s="0" t="n">
        <v>4702700</v>
      </c>
      <c r="C15177" s="0" t="n">
        <v>4702720</v>
      </c>
      <c r="D15177" s="0" t="s">
        <v>50434</v>
      </c>
      <c r="E15177" s="0" t="s">
        <v>50435</v>
      </c>
      <c r="F15177" s="0" t="s">
        <v>90</v>
      </c>
      <c r="G15177" s="0" t="s">
        <v>16</v>
      </c>
      <c r="H15177" s="0" t="n">
        <v>27</v>
      </c>
      <c r="I15177" s="0" t="s">
        <v>50436</v>
      </c>
      <c r="J15177" s="0" t="s">
        <v>50437</v>
      </c>
      <c r="K15177" s="0" t="s">
        <v>50438</v>
      </c>
      <c r="L15177" s="0" t="str">
        <f aca="false">HYPERLINK("https://www.ncbi.nlm.nih.gov/nuccore/CP000058.1?report=graph&amp;tracks=[key:gene_model_track,Options:GeneOnly]&amp;mk=4702701:4702720|offset_27|00cc00,4702664:4702683|offset_64|444444,4702630:4702649|offset_98|444444,4702610:4702629|offset_118|444444&amp;v=4702500:4702829&amp;c=444444", "offset 27")</f>
        <v>offset 27</v>
      </c>
    </row>
    <row r="15178" customFormat="false" ht="12.8" hidden="false" customHeight="false" outlineLevel="0" collapsed="false">
      <c r="A15178" s="0" t="s">
        <v>12</v>
      </c>
      <c r="B15178" s="0" t="n">
        <v>4702663</v>
      </c>
      <c r="C15178" s="0" t="n">
        <v>4702683</v>
      </c>
      <c r="D15178" s="0" t="s">
        <v>50434</v>
      </c>
      <c r="E15178" s="0" t="s">
        <v>50435</v>
      </c>
      <c r="F15178" s="0" t="s">
        <v>90</v>
      </c>
      <c r="G15178" s="0" t="s">
        <v>36</v>
      </c>
      <c r="H15178" s="0" t="n">
        <v>64</v>
      </c>
      <c r="I15178" s="0" t="s">
        <v>50439</v>
      </c>
      <c r="J15178" s="0" t="s">
        <v>50440</v>
      </c>
      <c r="K15178" s="0" t="s">
        <v>50441</v>
      </c>
      <c r="L15178" s="0" t="str">
        <f aca="false">HYPERLINK("https://www.ncbi.nlm.nih.gov/nuccore/CP000058.1?report=graph&amp;tracks=[key:gene_model_track,Options:GeneOnly]&amp;mk=4702701:4702720|offset_27|444444,4702664:4702683|offset_64|00cc00,4702630:4702649|offset_98|444444,4702610:4702629|offset_118|444444&amp;v=4702500:4702829&amp;c=444444", "offset 64")</f>
        <v>offset 64</v>
      </c>
    </row>
    <row r="15179" customFormat="false" ht="12.8" hidden="false" customHeight="false" outlineLevel="0" collapsed="false">
      <c r="A15179" s="0" t="s">
        <v>12</v>
      </c>
      <c r="B15179" s="0" t="n">
        <v>4702629</v>
      </c>
      <c r="C15179" s="0" t="n">
        <v>4702649</v>
      </c>
      <c r="D15179" s="0" t="s">
        <v>50434</v>
      </c>
      <c r="E15179" s="0" t="s">
        <v>50435</v>
      </c>
      <c r="F15179" s="0" t="s">
        <v>90</v>
      </c>
      <c r="G15179" s="0" t="s">
        <v>20</v>
      </c>
      <c r="H15179" s="0" t="n">
        <v>98</v>
      </c>
      <c r="I15179" s="0" t="s">
        <v>50442</v>
      </c>
      <c r="J15179" s="0" t="s">
        <v>50443</v>
      </c>
      <c r="K15179" s="0" t="s">
        <v>50444</v>
      </c>
      <c r="L15179" s="0" t="str">
        <f aca="false">HYPERLINK("https://www.ncbi.nlm.nih.gov/nuccore/CP000058.1?report=graph&amp;tracks=[key:gene_model_track,Options:GeneOnly]&amp;mk=4702701:4702720|offset_27|444444,4702664:4702683|offset_64|444444,4702630:4702649|offset_98|00cc00,4702610:4702629|offset_118|444444&amp;v=4702500:4702829&amp;c=444444", "offset 98")</f>
        <v>offset 98</v>
      </c>
    </row>
    <row r="15180" customFormat="false" ht="12.8" hidden="false" customHeight="false" outlineLevel="0" collapsed="false">
      <c r="A15180" s="0" t="s">
        <v>12</v>
      </c>
      <c r="B15180" s="0" t="n">
        <v>4702609</v>
      </c>
      <c r="C15180" s="0" t="n">
        <v>4702629</v>
      </c>
      <c r="D15180" s="0" t="s">
        <v>50434</v>
      </c>
      <c r="E15180" s="0" t="s">
        <v>50435</v>
      </c>
      <c r="F15180" s="0" t="s">
        <v>90</v>
      </c>
      <c r="G15180" s="0" t="s">
        <v>20</v>
      </c>
      <c r="H15180" s="0" t="n">
        <v>118</v>
      </c>
      <c r="I15180" s="0" t="s">
        <v>50445</v>
      </c>
      <c r="J15180" s="0" t="s">
        <v>50446</v>
      </c>
      <c r="K15180" s="0" t="s">
        <v>50447</v>
      </c>
      <c r="L15180" s="0" t="str">
        <f aca="false">HYPERLINK("https://www.ncbi.nlm.nih.gov/nuccore/CP000058.1?report=graph&amp;tracks=[key:gene_model_track,Options:GeneOnly]&amp;mk=4702701:4702720|offset_27|444444,4702664:4702683|offset_64|444444,4702630:4702649|offset_98|444444,4702610:4702629|offset_118|00cc00&amp;v=4702500:4702829&amp;c=444444", "offset 118")</f>
        <v>offset 118</v>
      </c>
    </row>
    <row r="15181" customFormat="false" ht="12.8" hidden="false" customHeight="false" outlineLevel="0" collapsed="false">
      <c r="A15181" s="0" t="s">
        <v>12</v>
      </c>
      <c r="B15181" s="0" t="n">
        <v>4703012</v>
      </c>
      <c r="C15181" s="0" t="n">
        <v>4703032</v>
      </c>
      <c r="D15181" s="0" t="s">
        <v>50448</v>
      </c>
      <c r="E15181" s="0" t="s">
        <v>50449</v>
      </c>
      <c r="F15181" s="0" t="s">
        <v>90</v>
      </c>
      <c r="G15181" s="0" t="s">
        <v>16</v>
      </c>
      <c r="H15181" s="0" t="n">
        <v>8</v>
      </c>
      <c r="I15181" s="0" t="s">
        <v>50450</v>
      </c>
      <c r="J15181" s="0" t="s">
        <v>50451</v>
      </c>
      <c r="K15181" s="0" t="s">
        <v>50452</v>
      </c>
      <c r="L15181" s="0" t="str">
        <f aca="false">HYPERLINK("https://www.ncbi.nlm.nih.gov/nuccore/CP000058.1?report=graph&amp;tracks=[key:gene_model_track,Options:GeneOnly]&amp;mk=4703013:4703032|offset_8|00cc00,4702991:4703010|offset_30|444444,4702950:4702969|offset_71|444444,4702927:4702946|offset_94|444444&amp;v=4702812:4703146&amp;c=444444", "offset 8")</f>
        <v>offset 8</v>
      </c>
    </row>
    <row r="15182" customFormat="false" ht="12.8" hidden="false" customHeight="false" outlineLevel="0" collapsed="false">
      <c r="A15182" s="0" t="s">
        <v>12</v>
      </c>
      <c r="B15182" s="0" t="n">
        <v>4702990</v>
      </c>
      <c r="C15182" s="0" t="n">
        <v>4703010</v>
      </c>
      <c r="D15182" s="0" t="s">
        <v>50448</v>
      </c>
      <c r="E15182" s="0" t="s">
        <v>50449</v>
      </c>
      <c r="F15182" s="0" t="s">
        <v>90</v>
      </c>
      <c r="G15182" s="0" t="s">
        <v>36</v>
      </c>
      <c r="H15182" s="0" t="n">
        <v>30</v>
      </c>
      <c r="I15182" s="0" t="s">
        <v>50453</v>
      </c>
      <c r="J15182" s="0" t="s">
        <v>50454</v>
      </c>
      <c r="K15182" s="0" t="s">
        <v>50455</v>
      </c>
      <c r="L15182" s="0" t="str">
        <f aca="false">HYPERLINK("https://www.ncbi.nlm.nih.gov/nuccore/CP000058.1?report=graph&amp;tracks=[key:gene_model_track,Options:GeneOnly]&amp;mk=4703013:4703032|offset_8|444444,4702991:4703010|offset_30|00cc00,4702950:4702969|offset_71|444444,4702927:4702946|offset_94|444444&amp;v=4702812:4703146&amp;c=444444", "offset 30")</f>
        <v>offset 30</v>
      </c>
    </row>
    <row r="15183" customFormat="false" ht="12.8" hidden="false" customHeight="false" outlineLevel="0" collapsed="false">
      <c r="A15183" s="0" t="s">
        <v>12</v>
      </c>
      <c r="B15183" s="0" t="n">
        <v>4702949</v>
      </c>
      <c r="C15183" s="0" t="n">
        <v>4702969</v>
      </c>
      <c r="D15183" s="0" t="s">
        <v>50448</v>
      </c>
      <c r="E15183" s="0" t="s">
        <v>50449</v>
      </c>
      <c r="F15183" s="0" t="s">
        <v>90</v>
      </c>
      <c r="G15183" s="0" t="s">
        <v>20</v>
      </c>
      <c r="H15183" s="0" t="n">
        <v>71</v>
      </c>
      <c r="I15183" s="0" t="s">
        <v>50456</v>
      </c>
      <c r="J15183" s="0" t="s">
        <v>50457</v>
      </c>
      <c r="K15183" s="0" t="s">
        <v>50458</v>
      </c>
      <c r="L15183" s="0" t="str">
        <f aca="false">HYPERLINK("https://www.ncbi.nlm.nih.gov/nuccore/CP000058.1?report=graph&amp;tracks=[key:gene_model_track,Options:GeneOnly]&amp;mk=4703013:4703032|offset_8|444444,4702991:4703010|offset_30|444444,4702950:4702969|offset_71|00cc00,4702927:4702946|offset_94|444444&amp;v=4702812:4703146&amp;c=444444", "offset 71")</f>
        <v>offset 71</v>
      </c>
    </row>
    <row r="15184" customFormat="false" ht="12.8" hidden="false" customHeight="false" outlineLevel="0" collapsed="false">
      <c r="A15184" s="0" t="s">
        <v>12</v>
      </c>
      <c r="B15184" s="0" t="n">
        <v>4702926</v>
      </c>
      <c r="C15184" s="0" t="n">
        <v>4702946</v>
      </c>
      <c r="D15184" s="0" t="s">
        <v>50448</v>
      </c>
      <c r="E15184" s="0" t="s">
        <v>50449</v>
      </c>
      <c r="F15184" s="0" t="s">
        <v>90</v>
      </c>
      <c r="G15184" s="0" t="s">
        <v>20</v>
      </c>
      <c r="H15184" s="0" t="n">
        <v>94</v>
      </c>
      <c r="I15184" s="0" t="s">
        <v>50459</v>
      </c>
      <c r="J15184" s="0" t="s">
        <v>50460</v>
      </c>
      <c r="K15184" s="0" t="s">
        <v>50461</v>
      </c>
      <c r="L15184" s="0" t="str">
        <f aca="false">HYPERLINK("https://www.ncbi.nlm.nih.gov/nuccore/CP000058.1?report=graph&amp;tracks=[key:gene_model_track,Options:GeneOnly]&amp;mk=4703013:4703032|offset_8|444444,4702991:4703010|offset_30|444444,4702950:4702969|offset_71|444444,4702927:4702946|offset_94|00cc00&amp;v=4702812:4703146&amp;c=444444", "offset 94")</f>
        <v>offset 94</v>
      </c>
    </row>
    <row r="15185" customFormat="false" ht="12.8" hidden="false" customHeight="false" outlineLevel="0" collapsed="false">
      <c r="A15185" s="0" t="s">
        <v>12</v>
      </c>
      <c r="B15185" s="0" t="n">
        <v>4703939</v>
      </c>
      <c r="C15185" s="0" t="n">
        <v>4703959</v>
      </c>
      <c r="D15185" s="0" t="s">
        <v>50462</v>
      </c>
      <c r="E15185" s="0" t="s">
        <v>50463</v>
      </c>
      <c r="F15185" s="0" t="s">
        <v>90</v>
      </c>
      <c r="G15185" s="0" t="s">
        <v>36</v>
      </c>
      <c r="H15185" s="0" t="n">
        <v>19</v>
      </c>
      <c r="I15185" s="0" t="s">
        <v>50464</v>
      </c>
      <c r="J15185" s="0" t="s">
        <v>50465</v>
      </c>
      <c r="K15185" s="0" t="s">
        <v>50466</v>
      </c>
      <c r="L15185" s="0" t="str">
        <f aca="false">HYPERLINK("https://www.ncbi.nlm.nih.gov/nuccore/CP000058.1?report=graph&amp;tracks=[key:gene_model_track,Options:GeneOnly]&amp;mk=4703940:4703959|offset_19|00cc00,4703913:4703932|offset_46|444444,4703889:4703908|offset_70|444444,4703828:4703847|offset_131|444444&amp;v=4703739:4704047&amp;c=444444", "offset 19")</f>
        <v>offset 19</v>
      </c>
    </row>
    <row r="15186" customFormat="false" ht="12.8" hidden="false" customHeight="false" outlineLevel="0" collapsed="false">
      <c r="A15186" s="0" t="s">
        <v>12</v>
      </c>
      <c r="B15186" s="0" t="n">
        <v>4703912</v>
      </c>
      <c r="C15186" s="0" t="n">
        <v>4703932</v>
      </c>
      <c r="D15186" s="0" t="s">
        <v>50462</v>
      </c>
      <c r="E15186" s="0" t="s">
        <v>50463</v>
      </c>
      <c r="F15186" s="0" t="s">
        <v>90</v>
      </c>
      <c r="G15186" s="0" t="s">
        <v>16</v>
      </c>
      <c r="H15186" s="0" t="n">
        <v>46</v>
      </c>
      <c r="I15186" s="0" t="s">
        <v>50467</v>
      </c>
      <c r="J15186" s="0" t="s">
        <v>50468</v>
      </c>
      <c r="K15186" s="0" t="s">
        <v>50469</v>
      </c>
      <c r="L15186" s="0" t="str">
        <f aca="false">HYPERLINK("https://www.ncbi.nlm.nih.gov/nuccore/CP000058.1?report=graph&amp;tracks=[key:gene_model_track,Options:GeneOnly]&amp;mk=4703940:4703959|offset_19|444444,4703913:4703932|offset_46|00cc00,4703889:4703908|offset_70|444444,4703828:4703847|offset_131|444444&amp;v=4703739:4704047&amp;c=444444", "offset 46")</f>
        <v>offset 46</v>
      </c>
    </row>
    <row r="15187" customFormat="false" ht="12.8" hidden="false" customHeight="false" outlineLevel="0" collapsed="false">
      <c r="A15187" s="0" t="s">
        <v>12</v>
      </c>
      <c r="B15187" s="0" t="n">
        <v>4703888</v>
      </c>
      <c r="C15187" s="0" t="n">
        <v>4703908</v>
      </c>
      <c r="D15187" s="0" t="s">
        <v>50462</v>
      </c>
      <c r="E15187" s="0" t="s">
        <v>50463</v>
      </c>
      <c r="F15187" s="0" t="s">
        <v>90</v>
      </c>
      <c r="G15187" s="0" t="s">
        <v>16</v>
      </c>
      <c r="H15187" s="0" t="n">
        <v>70</v>
      </c>
      <c r="I15187" s="0" t="s">
        <v>50470</v>
      </c>
      <c r="J15187" s="0" t="s">
        <v>50471</v>
      </c>
      <c r="K15187" s="0" t="s">
        <v>50472</v>
      </c>
      <c r="L15187" s="0" t="str">
        <f aca="false">HYPERLINK("https://www.ncbi.nlm.nih.gov/nuccore/CP000058.1?report=graph&amp;tracks=[key:gene_model_track,Options:GeneOnly]&amp;mk=4703940:4703959|offset_19|444444,4703913:4703932|offset_46|444444,4703889:4703908|offset_70|00cc00,4703828:4703847|offset_131|444444&amp;v=4703739:4704047&amp;c=444444", "offset 70")</f>
        <v>offset 70</v>
      </c>
    </row>
    <row r="15188" customFormat="false" ht="12.8" hidden="false" customHeight="false" outlineLevel="0" collapsed="false">
      <c r="A15188" s="0" t="s">
        <v>12</v>
      </c>
      <c r="B15188" s="0" t="n">
        <v>4703827</v>
      </c>
      <c r="C15188" s="0" t="n">
        <v>4703847</v>
      </c>
      <c r="D15188" s="0" t="s">
        <v>50462</v>
      </c>
      <c r="E15188" s="0" t="s">
        <v>50463</v>
      </c>
      <c r="F15188" s="0" t="s">
        <v>90</v>
      </c>
      <c r="G15188" s="0" t="s">
        <v>32</v>
      </c>
      <c r="H15188" s="0" t="n">
        <v>131</v>
      </c>
      <c r="I15188" s="0" t="s">
        <v>50473</v>
      </c>
      <c r="J15188" s="0" t="s">
        <v>50474</v>
      </c>
      <c r="K15188" s="0" t="s">
        <v>50475</v>
      </c>
      <c r="L15188" s="0" t="str">
        <f aca="false">HYPERLINK("https://www.ncbi.nlm.nih.gov/nuccore/CP000058.1?report=graph&amp;tracks=[key:gene_model_track,Options:GeneOnly]&amp;mk=4703940:4703959|offset_19|444444,4703913:4703932|offset_46|444444,4703889:4703908|offset_70|444444,4703828:4703847|offset_131|00cc00&amp;v=4703739:4704047&amp;c=444444", "offset 131")</f>
        <v>offset 131</v>
      </c>
    </row>
    <row r="15189" customFormat="false" ht="12.8" hidden="false" customHeight="false" outlineLevel="0" collapsed="false">
      <c r="A15189" s="0" t="s">
        <v>12</v>
      </c>
      <c r="B15189" s="0" t="n">
        <v>4704416</v>
      </c>
      <c r="C15189" s="0" t="n">
        <v>4704436</v>
      </c>
      <c r="D15189" s="0" t="s">
        <v>50476</v>
      </c>
      <c r="E15189" s="0" t="s">
        <v>50477</v>
      </c>
      <c r="F15189" s="0" t="s">
        <v>90</v>
      </c>
      <c r="G15189" s="0" t="s">
        <v>20</v>
      </c>
      <c r="H15189" s="0" t="n">
        <v>0</v>
      </c>
      <c r="I15189" s="0" t="s">
        <v>50478</v>
      </c>
      <c r="J15189" s="0" t="s">
        <v>50479</v>
      </c>
      <c r="K15189" s="0" t="s">
        <v>50480</v>
      </c>
      <c r="L15189" s="0" t="str">
        <f aca="false">HYPERLINK("https://www.ncbi.nlm.nih.gov/nuccore/CP000058.1?report=graph&amp;tracks=[key:gene_model_track,Options:GeneOnly]&amp;mk=4704417:4704436|offset_0|00cc00,4704380:4704399|offset_37|444444,4704360:4704379|offset_57|444444,4704323:4704342|offset_94|444444&amp;v=4704216:4704542&amp;c=444444", "offset 0")</f>
        <v>offset 0</v>
      </c>
    </row>
    <row r="15190" customFormat="false" ht="12.8" hidden="false" customHeight="false" outlineLevel="0" collapsed="false">
      <c r="A15190" s="0" t="s">
        <v>12</v>
      </c>
      <c r="B15190" s="0" t="n">
        <v>4704379</v>
      </c>
      <c r="C15190" s="0" t="n">
        <v>4704399</v>
      </c>
      <c r="D15190" s="0" t="s">
        <v>50476</v>
      </c>
      <c r="E15190" s="0" t="s">
        <v>50477</v>
      </c>
      <c r="F15190" s="0" t="s">
        <v>90</v>
      </c>
      <c r="G15190" s="0" t="s">
        <v>32</v>
      </c>
      <c r="H15190" s="0" t="n">
        <v>37</v>
      </c>
      <c r="I15190" s="0" t="s">
        <v>50481</v>
      </c>
      <c r="J15190" s="0" t="s">
        <v>50482</v>
      </c>
      <c r="K15190" s="0" t="s">
        <v>50483</v>
      </c>
      <c r="L15190" s="0" t="str">
        <f aca="false">HYPERLINK("https://www.ncbi.nlm.nih.gov/nuccore/CP000058.1?report=graph&amp;tracks=[key:gene_model_track,Options:GeneOnly]&amp;mk=4704417:4704436|offset_0|444444,4704380:4704399|offset_37|00cc00,4704360:4704379|offset_57|444444,4704323:4704342|offset_94|444444&amp;v=4704216:4704542&amp;c=444444", "offset 37")</f>
        <v>offset 37</v>
      </c>
    </row>
    <row r="15191" customFormat="false" ht="12.8" hidden="false" customHeight="false" outlineLevel="0" collapsed="false">
      <c r="A15191" s="0" t="s">
        <v>12</v>
      </c>
      <c r="B15191" s="0" t="n">
        <v>4704359</v>
      </c>
      <c r="C15191" s="0" t="n">
        <v>4704379</v>
      </c>
      <c r="D15191" s="0" t="s">
        <v>50476</v>
      </c>
      <c r="E15191" s="0" t="s">
        <v>50477</v>
      </c>
      <c r="F15191" s="0" t="s">
        <v>90</v>
      </c>
      <c r="G15191" s="0" t="s">
        <v>16</v>
      </c>
      <c r="H15191" s="0" t="n">
        <v>57</v>
      </c>
      <c r="I15191" s="0" t="s">
        <v>50484</v>
      </c>
      <c r="J15191" s="0" t="s">
        <v>50485</v>
      </c>
      <c r="K15191" s="0" t="s">
        <v>50486</v>
      </c>
      <c r="L15191" s="0" t="str">
        <f aca="false">HYPERLINK("https://www.ncbi.nlm.nih.gov/nuccore/CP000058.1?report=graph&amp;tracks=[key:gene_model_track,Options:GeneOnly]&amp;mk=4704417:4704436|offset_0|444444,4704380:4704399|offset_37|444444,4704360:4704379|offset_57|00cc00,4704323:4704342|offset_94|444444&amp;v=4704216:4704542&amp;c=444444", "offset 57")</f>
        <v>offset 57</v>
      </c>
    </row>
    <row r="15192" customFormat="false" ht="12.8" hidden="false" customHeight="false" outlineLevel="0" collapsed="false">
      <c r="A15192" s="0" t="s">
        <v>12</v>
      </c>
      <c r="B15192" s="0" t="n">
        <v>4704322</v>
      </c>
      <c r="C15192" s="0" t="n">
        <v>4704342</v>
      </c>
      <c r="D15192" s="0" t="s">
        <v>50476</v>
      </c>
      <c r="E15192" s="0" t="s">
        <v>50477</v>
      </c>
      <c r="F15192" s="0" t="s">
        <v>90</v>
      </c>
      <c r="G15192" s="0" t="s">
        <v>16</v>
      </c>
      <c r="H15192" s="0" t="n">
        <v>94</v>
      </c>
      <c r="I15192" s="0" t="s">
        <v>50487</v>
      </c>
      <c r="J15192" s="0" t="s">
        <v>50488</v>
      </c>
      <c r="K15192" s="0" t="s">
        <v>50489</v>
      </c>
      <c r="L15192" s="0" t="str">
        <f aca="false">HYPERLINK("https://www.ncbi.nlm.nih.gov/nuccore/CP000058.1?report=graph&amp;tracks=[key:gene_model_track,Options:GeneOnly]&amp;mk=4704417:4704436|offset_0|444444,4704380:4704399|offset_37|444444,4704360:4704379|offset_57|444444,4704323:4704342|offset_94|00cc00&amp;v=4704216:4704542&amp;c=444444", "offset 94")</f>
        <v>offset 94</v>
      </c>
    </row>
    <row r="15193" customFormat="false" ht="12.8" hidden="false" customHeight="false" outlineLevel="0" collapsed="false">
      <c r="A15193" s="0" t="s">
        <v>12</v>
      </c>
      <c r="B15193" s="0" t="n">
        <v>4706170</v>
      </c>
      <c r="C15193" s="0" t="n">
        <v>4706190</v>
      </c>
      <c r="D15193" s="0" t="s">
        <v>50490</v>
      </c>
      <c r="E15193" s="0" t="s">
        <v>75</v>
      </c>
      <c r="F15193" s="0" t="s">
        <v>90</v>
      </c>
      <c r="G15193" s="0" t="s">
        <v>16</v>
      </c>
      <c r="H15193" s="0" t="n">
        <v>7</v>
      </c>
      <c r="I15193" s="0" t="s">
        <v>50491</v>
      </c>
      <c r="J15193" s="0" t="s">
        <v>50492</v>
      </c>
      <c r="K15193" s="0" t="s">
        <v>50493</v>
      </c>
      <c r="L15193" s="0" t="str">
        <f aca="false">HYPERLINK("https://www.ncbi.nlm.nih.gov/nuccore/CP000058.1?report=graph&amp;tracks=[key:gene_model_track,Options:GeneOnly]&amp;mk=4706171:4706190|offset_7|00cc00,4706148:4706167|offset_30|444444,4706118:4706137|offset_60|444444,4706080:4706099|offset_98|444444&amp;v=4705970:4706299&amp;c=444444", "offset 7")</f>
        <v>offset 7</v>
      </c>
    </row>
    <row r="15194" customFormat="false" ht="12.8" hidden="false" customHeight="false" outlineLevel="0" collapsed="false">
      <c r="A15194" s="0" t="s">
        <v>12</v>
      </c>
      <c r="B15194" s="0" t="n">
        <v>4706147</v>
      </c>
      <c r="C15194" s="0" t="n">
        <v>4706167</v>
      </c>
      <c r="D15194" s="0" t="s">
        <v>50490</v>
      </c>
      <c r="E15194" s="0" t="s">
        <v>75</v>
      </c>
      <c r="F15194" s="0" t="s">
        <v>90</v>
      </c>
      <c r="G15194" s="0" t="s">
        <v>20</v>
      </c>
      <c r="H15194" s="0" t="n">
        <v>30</v>
      </c>
      <c r="I15194" s="0" t="s">
        <v>50494</v>
      </c>
      <c r="J15194" s="0" t="s">
        <v>50495</v>
      </c>
      <c r="K15194" s="0" t="s">
        <v>50496</v>
      </c>
      <c r="L15194" s="0" t="str">
        <f aca="false">HYPERLINK("https://www.ncbi.nlm.nih.gov/nuccore/CP000058.1?report=graph&amp;tracks=[key:gene_model_track,Options:GeneOnly]&amp;mk=4706171:4706190|offset_7|444444,4706148:4706167|offset_30|00cc00,4706118:4706137|offset_60|444444,4706080:4706099|offset_98|444444&amp;v=4705970:4706299&amp;c=444444", "offset 30")</f>
        <v>offset 30</v>
      </c>
    </row>
    <row r="15195" customFormat="false" ht="12.8" hidden="false" customHeight="false" outlineLevel="0" collapsed="false">
      <c r="A15195" s="0" t="s">
        <v>12</v>
      </c>
      <c r="B15195" s="0" t="n">
        <v>4706117</v>
      </c>
      <c r="C15195" s="0" t="n">
        <v>4706137</v>
      </c>
      <c r="D15195" s="0" t="s">
        <v>50490</v>
      </c>
      <c r="E15195" s="0" t="s">
        <v>75</v>
      </c>
      <c r="F15195" s="0" t="s">
        <v>90</v>
      </c>
      <c r="G15195" s="0" t="s">
        <v>16</v>
      </c>
      <c r="H15195" s="0" t="n">
        <v>60</v>
      </c>
      <c r="I15195" s="0" t="s">
        <v>50497</v>
      </c>
      <c r="J15195" s="0" t="s">
        <v>50498</v>
      </c>
      <c r="K15195" s="0" t="s">
        <v>50499</v>
      </c>
      <c r="L15195" s="0" t="str">
        <f aca="false">HYPERLINK("https://www.ncbi.nlm.nih.gov/nuccore/CP000058.1?report=graph&amp;tracks=[key:gene_model_track,Options:GeneOnly]&amp;mk=4706171:4706190|offset_7|444444,4706148:4706167|offset_30|444444,4706118:4706137|offset_60|00cc00,4706080:4706099|offset_98|444444&amp;v=4705970:4706299&amp;c=444444", "offset 60")</f>
        <v>offset 60</v>
      </c>
    </row>
    <row r="15196" customFormat="false" ht="12.8" hidden="false" customHeight="false" outlineLevel="0" collapsed="false">
      <c r="A15196" s="0" t="s">
        <v>12</v>
      </c>
      <c r="B15196" s="0" t="n">
        <v>4706079</v>
      </c>
      <c r="C15196" s="0" t="n">
        <v>4706099</v>
      </c>
      <c r="D15196" s="0" t="s">
        <v>50490</v>
      </c>
      <c r="E15196" s="0" t="s">
        <v>75</v>
      </c>
      <c r="F15196" s="0" t="s">
        <v>90</v>
      </c>
      <c r="G15196" s="0" t="s">
        <v>32</v>
      </c>
      <c r="H15196" s="0" t="n">
        <v>98</v>
      </c>
      <c r="I15196" s="0" t="s">
        <v>50500</v>
      </c>
      <c r="J15196" s="0" t="s">
        <v>50501</v>
      </c>
      <c r="K15196" s="0" t="s">
        <v>50502</v>
      </c>
      <c r="L15196" s="0" t="str">
        <f aca="false">HYPERLINK("https://www.ncbi.nlm.nih.gov/nuccore/CP000058.1?report=graph&amp;tracks=[key:gene_model_track,Options:GeneOnly]&amp;mk=4706171:4706190|offset_7|444444,4706148:4706167|offset_30|444444,4706118:4706137|offset_60|444444,4706080:4706099|offset_98|00cc00&amp;v=4705970:4706299&amp;c=444444", "offset 98")</f>
        <v>offset 98</v>
      </c>
    </row>
    <row r="15197" customFormat="false" ht="12.8" hidden="false" customHeight="false" outlineLevel="0" collapsed="false">
      <c r="A15197" s="0" t="s">
        <v>12</v>
      </c>
      <c r="B15197" s="0" t="n">
        <v>4706349</v>
      </c>
      <c r="C15197" s="0" t="n">
        <v>4706369</v>
      </c>
      <c r="D15197" s="0" t="s">
        <v>50503</v>
      </c>
      <c r="E15197" s="0" t="s">
        <v>75</v>
      </c>
      <c r="F15197" s="0" t="s">
        <v>15</v>
      </c>
      <c r="G15197" s="0" t="s">
        <v>32</v>
      </c>
      <c r="H15197" s="0" t="n">
        <v>0</v>
      </c>
      <c r="I15197" s="0" t="s">
        <v>50504</v>
      </c>
      <c r="J15197" s="0" t="s">
        <v>50505</v>
      </c>
      <c r="K15197" s="0" t="s">
        <v>50506</v>
      </c>
      <c r="L15197" s="0" t="str">
        <f aca="false">HYPERLINK("https://www.ncbi.nlm.nih.gov/nuccore/CP000058.1?report=graph&amp;tracks=[key:gene_model_track,Options:GeneOnly]&amp;mk=4706350:4706369|offset_0|00cc00,4706381:4706400|offset_31|444444,4706408:4706427|offset_58|444444,4706429:4706448|offset_79|444444&amp;v=4706149:4706648&amp;c=444444", "offset 0")</f>
        <v>offset 0</v>
      </c>
    </row>
    <row r="15198" customFormat="false" ht="12.8" hidden="false" customHeight="false" outlineLevel="0" collapsed="false">
      <c r="A15198" s="0" t="s">
        <v>12</v>
      </c>
      <c r="B15198" s="0" t="n">
        <v>4706380</v>
      </c>
      <c r="C15198" s="0" t="n">
        <v>4706400</v>
      </c>
      <c r="D15198" s="0" t="s">
        <v>50503</v>
      </c>
      <c r="E15198" s="0" t="s">
        <v>75</v>
      </c>
      <c r="F15198" s="0" t="s">
        <v>15</v>
      </c>
      <c r="G15198" s="0" t="s">
        <v>36</v>
      </c>
      <c r="H15198" s="0" t="n">
        <v>31</v>
      </c>
      <c r="I15198" s="0" t="s">
        <v>50507</v>
      </c>
      <c r="J15198" s="0" t="s">
        <v>50508</v>
      </c>
      <c r="K15198" s="0" t="s">
        <v>50509</v>
      </c>
      <c r="L15198" s="0" t="str">
        <f aca="false">HYPERLINK("https://www.ncbi.nlm.nih.gov/nuccore/CP000058.1?report=graph&amp;tracks=[key:gene_model_track,Options:GeneOnly]&amp;mk=4706350:4706369|offset_0|444444,4706381:4706400|offset_31|00cc00,4706408:4706427|offset_58|444444,4706429:4706448|offset_79|444444&amp;v=4706149:4706648&amp;c=444444", "offset 31")</f>
        <v>offset 31</v>
      </c>
    </row>
    <row r="15199" customFormat="false" ht="12.8" hidden="false" customHeight="false" outlineLevel="0" collapsed="false">
      <c r="A15199" s="0" t="s">
        <v>12</v>
      </c>
      <c r="B15199" s="0" t="n">
        <v>4706407</v>
      </c>
      <c r="C15199" s="0" t="n">
        <v>4706427</v>
      </c>
      <c r="D15199" s="0" t="s">
        <v>50503</v>
      </c>
      <c r="E15199" s="0" t="s">
        <v>75</v>
      </c>
      <c r="F15199" s="0" t="s">
        <v>15</v>
      </c>
      <c r="G15199" s="0" t="s">
        <v>20</v>
      </c>
      <c r="H15199" s="0" t="n">
        <v>58</v>
      </c>
      <c r="I15199" s="0" t="s">
        <v>50510</v>
      </c>
      <c r="J15199" s="0" t="s">
        <v>50511</v>
      </c>
      <c r="K15199" s="0" t="s">
        <v>50512</v>
      </c>
      <c r="L15199" s="0" t="str">
        <f aca="false">HYPERLINK("https://www.ncbi.nlm.nih.gov/nuccore/CP000058.1?report=graph&amp;tracks=[key:gene_model_track,Options:GeneOnly]&amp;mk=4706350:4706369|offset_0|444444,4706381:4706400|offset_31|444444,4706408:4706427|offset_58|00cc00,4706429:4706448|offset_79|444444&amp;v=4706149:4706648&amp;c=444444", "offset 58")</f>
        <v>offset 58</v>
      </c>
    </row>
    <row r="15200" customFormat="false" ht="12.8" hidden="false" customHeight="false" outlineLevel="0" collapsed="false">
      <c r="A15200" s="0" t="s">
        <v>12</v>
      </c>
      <c r="B15200" s="0" t="n">
        <v>4706428</v>
      </c>
      <c r="C15200" s="0" t="n">
        <v>4706448</v>
      </c>
      <c r="D15200" s="0" t="s">
        <v>50503</v>
      </c>
      <c r="E15200" s="0" t="s">
        <v>75</v>
      </c>
      <c r="F15200" s="0" t="s">
        <v>15</v>
      </c>
      <c r="G15200" s="0" t="s">
        <v>32</v>
      </c>
      <c r="H15200" s="0" t="n">
        <v>79</v>
      </c>
      <c r="I15200" s="0" t="s">
        <v>50513</v>
      </c>
      <c r="J15200" s="0" t="s">
        <v>50514</v>
      </c>
      <c r="K15200" s="0" t="s">
        <v>50515</v>
      </c>
      <c r="L15200" s="0" t="str">
        <f aca="false">HYPERLINK("https://www.ncbi.nlm.nih.gov/nuccore/CP000058.1?report=graph&amp;tracks=[key:gene_model_track,Options:GeneOnly]&amp;mk=4706350:4706369|offset_0|444444,4706381:4706400|offset_31|444444,4706408:4706427|offset_58|444444,4706429:4706448|offset_79|00cc00&amp;v=4706149:4706648&amp;c=444444", "offset 79")</f>
        <v>offset 79</v>
      </c>
    </row>
    <row r="15201" customFormat="false" ht="12.8" hidden="false" customHeight="false" outlineLevel="0" collapsed="false">
      <c r="A15201" s="0" t="s">
        <v>12</v>
      </c>
      <c r="B15201" s="0" t="n">
        <v>4708169</v>
      </c>
      <c r="C15201" s="0" t="n">
        <v>4708189</v>
      </c>
      <c r="D15201" s="0" t="s">
        <v>50516</v>
      </c>
      <c r="E15201" s="0" t="s">
        <v>75</v>
      </c>
      <c r="F15201" s="0" t="s">
        <v>15</v>
      </c>
      <c r="G15201" s="0" t="s">
        <v>32</v>
      </c>
      <c r="H15201" s="0" t="n">
        <v>6</v>
      </c>
      <c r="I15201" s="0" t="s">
        <v>50517</v>
      </c>
      <c r="J15201" s="0" t="s">
        <v>50518</v>
      </c>
      <c r="K15201" s="0" t="s">
        <v>50519</v>
      </c>
      <c r="L15201" s="0" t="str">
        <f aca="false">HYPERLINK("https://www.ncbi.nlm.nih.gov/nuccore/CP000058.1?report=graph&amp;tracks=[key:gene_model_track,Options:GeneOnly]&amp;mk=4708170:4708189|offset_6|00cc00,4708210:4708229|offset_46|444444,4708247:4708266|offset_83|444444,4708337:4708356|offset_173|444444&amp;v=4707969:4708556&amp;c=444444", "offset 6")</f>
        <v>offset 6</v>
      </c>
    </row>
    <row r="15202" customFormat="false" ht="12.8" hidden="false" customHeight="false" outlineLevel="0" collapsed="false">
      <c r="A15202" s="0" t="s">
        <v>12</v>
      </c>
      <c r="B15202" s="0" t="n">
        <v>4708209</v>
      </c>
      <c r="C15202" s="0" t="n">
        <v>4708229</v>
      </c>
      <c r="D15202" s="0" t="s">
        <v>50516</v>
      </c>
      <c r="E15202" s="0" t="s">
        <v>75</v>
      </c>
      <c r="F15202" s="0" t="s">
        <v>15</v>
      </c>
      <c r="G15202" s="0" t="s">
        <v>20</v>
      </c>
      <c r="H15202" s="0" t="n">
        <v>46</v>
      </c>
      <c r="I15202" s="0" t="s">
        <v>50520</v>
      </c>
      <c r="J15202" s="0" t="s">
        <v>50521</v>
      </c>
      <c r="K15202" s="0" t="s">
        <v>50522</v>
      </c>
      <c r="L15202" s="0" t="str">
        <f aca="false">HYPERLINK("https://www.ncbi.nlm.nih.gov/nuccore/CP000058.1?report=graph&amp;tracks=[key:gene_model_track,Options:GeneOnly]&amp;mk=4708170:4708189|offset_6|444444,4708210:4708229|offset_46|00cc00,4708247:4708266|offset_83|444444,4708337:4708356|offset_173|444444&amp;v=4707969:4708556&amp;c=444444", "offset 46")</f>
        <v>offset 46</v>
      </c>
    </row>
    <row r="15203" customFormat="false" ht="12.8" hidden="false" customHeight="false" outlineLevel="0" collapsed="false">
      <c r="A15203" s="0" t="s">
        <v>12</v>
      </c>
      <c r="B15203" s="0" t="n">
        <v>4708246</v>
      </c>
      <c r="C15203" s="0" t="n">
        <v>4708266</v>
      </c>
      <c r="D15203" s="0" t="s">
        <v>50516</v>
      </c>
      <c r="E15203" s="0" t="s">
        <v>75</v>
      </c>
      <c r="F15203" s="0" t="s">
        <v>15</v>
      </c>
      <c r="G15203" s="0" t="s">
        <v>20</v>
      </c>
      <c r="H15203" s="0" t="n">
        <v>83</v>
      </c>
      <c r="I15203" s="0" t="s">
        <v>50523</v>
      </c>
      <c r="J15203" s="0" t="s">
        <v>50524</v>
      </c>
      <c r="K15203" s="0" t="s">
        <v>50525</v>
      </c>
      <c r="L15203" s="0" t="str">
        <f aca="false">HYPERLINK("https://www.ncbi.nlm.nih.gov/nuccore/CP000058.1?report=graph&amp;tracks=[key:gene_model_track,Options:GeneOnly]&amp;mk=4708170:4708189|offset_6|444444,4708210:4708229|offset_46|444444,4708247:4708266|offset_83|00cc00,4708337:4708356|offset_173|444444&amp;v=4707969:4708556&amp;c=444444", "offset 83")</f>
        <v>offset 83</v>
      </c>
    </row>
    <row r="15204" customFormat="false" ht="12.8" hidden="false" customHeight="false" outlineLevel="0" collapsed="false">
      <c r="A15204" s="0" t="s">
        <v>12</v>
      </c>
      <c r="B15204" s="0" t="n">
        <v>4708336</v>
      </c>
      <c r="C15204" s="0" t="n">
        <v>4708356</v>
      </c>
      <c r="D15204" s="0" t="s">
        <v>50516</v>
      </c>
      <c r="E15204" s="0" t="s">
        <v>75</v>
      </c>
      <c r="F15204" s="0" t="s">
        <v>15</v>
      </c>
      <c r="G15204" s="0" t="s">
        <v>16</v>
      </c>
      <c r="H15204" s="0" t="n">
        <v>173</v>
      </c>
      <c r="I15204" s="0" t="s">
        <v>50526</v>
      </c>
      <c r="J15204" s="0" t="s">
        <v>50527</v>
      </c>
      <c r="K15204" s="0" t="s">
        <v>50528</v>
      </c>
      <c r="L15204" s="0" t="str">
        <f aca="false">HYPERLINK("https://www.ncbi.nlm.nih.gov/nuccore/CP000058.1?report=graph&amp;tracks=[key:gene_model_track,Options:GeneOnly]&amp;mk=4708170:4708189|offset_6|444444,4708210:4708229|offset_46|444444,4708247:4708266|offset_83|444444,4708337:4708356|offset_173|00cc00&amp;v=4707969:4708556&amp;c=444444", "offset 173")</f>
        <v>offset 173</v>
      </c>
    </row>
    <row r="15205" customFormat="false" ht="12.8" hidden="false" customHeight="false" outlineLevel="0" collapsed="false">
      <c r="A15205" s="0" t="s">
        <v>12</v>
      </c>
      <c r="B15205" s="0" t="n">
        <v>4708720</v>
      </c>
      <c r="C15205" s="0" t="n">
        <v>4708740</v>
      </c>
      <c r="D15205" s="0" t="s">
        <v>50529</v>
      </c>
      <c r="E15205" s="0" t="s">
        <v>50530</v>
      </c>
      <c r="F15205" s="0" t="s">
        <v>15</v>
      </c>
      <c r="G15205" s="0" t="s">
        <v>36</v>
      </c>
      <c r="H15205" s="0" t="n">
        <v>10</v>
      </c>
      <c r="I15205" s="0" t="s">
        <v>50531</v>
      </c>
      <c r="J15205" s="0" t="s">
        <v>50532</v>
      </c>
      <c r="K15205" s="0" t="s">
        <v>50533</v>
      </c>
      <c r="L15205" s="0" t="str">
        <f aca="false">HYPERLINK("https://www.ncbi.nlm.nih.gov/nuccore/CP000058.1?report=graph&amp;tracks=[key:gene_model_track,Options:GeneOnly]&amp;mk=4708721:4708740|offset_10|00cc00,4708745:4708764|offset_34|444444,4708779:4708798|offset_68|444444,4708802:4708821|offset_91|444444&amp;v=4708520:4709021&amp;c=444444", "offset 10")</f>
        <v>offset 10</v>
      </c>
    </row>
    <row r="15206" customFormat="false" ht="12.8" hidden="false" customHeight="false" outlineLevel="0" collapsed="false">
      <c r="A15206" s="0" t="s">
        <v>12</v>
      </c>
      <c r="B15206" s="0" t="n">
        <v>4708744</v>
      </c>
      <c r="C15206" s="0" t="n">
        <v>4708764</v>
      </c>
      <c r="D15206" s="0" t="s">
        <v>50529</v>
      </c>
      <c r="E15206" s="0" t="s">
        <v>50530</v>
      </c>
      <c r="F15206" s="0" t="s">
        <v>15</v>
      </c>
      <c r="G15206" s="0" t="s">
        <v>32</v>
      </c>
      <c r="H15206" s="0" t="n">
        <v>34</v>
      </c>
      <c r="I15206" s="0" t="s">
        <v>50534</v>
      </c>
      <c r="J15206" s="0" t="s">
        <v>50535</v>
      </c>
      <c r="K15206" s="0" t="s">
        <v>50536</v>
      </c>
      <c r="L15206" s="0" t="str">
        <f aca="false">HYPERLINK("https://www.ncbi.nlm.nih.gov/nuccore/CP000058.1?report=graph&amp;tracks=[key:gene_model_track,Options:GeneOnly]&amp;mk=4708721:4708740|offset_10|444444,4708745:4708764|offset_34|00cc00,4708779:4708798|offset_68|444444,4708802:4708821|offset_91|444444&amp;v=4708520:4709021&amp;c=444444", "offset 34")</f>
        <v>offset 34</v>
      </c>
    </row>
    <row r="15207" customFormat="false" ht="12.8" hidden="false" customHeight="false" outlineLevel="0" collapsed="false">
      <c r="A15207" s="0" t="s">
        <v>12</v>
      </c>
      <c r="B15207" s="0" t="n">
        <v>4708778</v>
      </c>
      <c r="C15207" s="0" t="n">
        <v>4708798</v>
      </c>
      <c r="D15207" s="0" t="s">
        <v>50529</v>
      </c>
      <c r="E15207" s="0" t="s">
        <v>50530</v>
      </c>
      <c r="F15207" s="0" t="s">
        <v>15</v>
      </c>
      <c r="G15207" s="0" t="s">
        <v>20</v>
      </c>
      <c r="H15207" s="0" t="n">
        <v>68</v>
      </c>
      <c r="I15207" s="0" t="s">
        <v>50537</v>
      </c>
      <c r="J15207" s="0" t="s">
        <v>50538</v>
      </c>
      <c r="K15207" s="0" t="s">
        <v>50539</v>
      </c>
      <c r="L15207" s="0" t="str">
        <f aca="false">HYPERLINK("https://www.ncbi.nlm.nih.gov/nuccore/CP000058.1?report=graph&amp;tracks=[key:gene_model_track,Options:GeneOnly]&amp;mk=4708721:4708740|offset_10|444444,4708745:4708764|offset_34|444444,4708779:4708798|offset_68|00cc00,4708802:4708821|offset_91|444444&amp;v=4708520:4709021&amp;c=444444", "offset 68")</f>
        <v>offset 68</v>
      </c>
    </row>
    <row r="15208" customFormat="false" ht="12.8" hidden="false" customHeight="false" outlineLevel="0" collapsed="false">
      <c r="A15208" s="0" t="s">
        <v>12</v>
      </c>
      <c r="B15208" s="0" t="n">
        <v>4708801</v>
      </c>
      <c r="C15208" s="0" t="n">
        <v>4708821</v>
      </c>
      <c r="D15208" s="0" t="s">
        <v>50529</v>
      </c>
      <c r="E15208" s="0" t="s">
        <v>50530</v>
      </c>
      <c r="F15208" s="0" t="s">
        <v>15</v>
      </c>
      <c r="G15208" s="0" t="s">
        <v>32</v>
      </c>
      <c r="H15208" s="0" t="n">
        <v>91</v>
      </c>
      <c r="I15208" s="0" t="s">
        <v>50540</v>
      </c>
      <c r="J15208" s="0" t="s">
        <v>50541</v>
      </c>
      <c r="K15208" s="0" t="s">
        <v>50542</v>
      </c>
      <c r="L15208" s="0" t="str">
        <f aca="false">HYPERLINK("https://www.ncbi.nlm.nih.gov/nuccore/CP000058.1?report=graph&amp;tracks=[key:gene_model_track,Options:GeneOnly]&amp;mk=4708721:4708740|offset_10|444444,4708745:4708764|offset_34|444444,4708779:4708798|offset_68|444444,4708802:4708821|offset_91|00cc00&amp;v=4708520:4709021&amp;c=444444", "offset 91")</f>
        <v>offset 91</v>
      </c>
    </row>
    <row r="15209" customFormat="false" ht="12.8" hidden="false" customHeight="false" outlineLevel="0" collapsed="false">
      <c r="A15209" s="0" t="s">
        <v>12</v>
      </c>
      <c r="B15209" s="0" t="n">
        <v>4709301</v>
      </c>
      <c r="C15209" s="0" t="n">
        <v>4709321</v>
      </c>
      <c r="D15209" s="0" t="s">
        <v>50543</v>
      </c>
      <c r="E15209" s="0" t="s">
        <v>75</v>
      </c>
      <c r="F15209" s="0" t="s">
        <v>15</v>
      </c>
      <c r="G15209" s="0" t="s">
        <v>36</v>
      </c>
      <c r="H15209" s="0" t="n">
        <v>7</v>
      </c>
      <c r="I15209" s="0" t="s">
        <v>50544</v>
      </c>
      <c r="J15209" s="0" t="s">
        <v>50545</v>
      </c>
      <c r="K15209" s="0" t="s">
        <v>50546</v>
      </c>
      <c r="L15209" s="0" t="str">
        <f aca="false">HYPERLINK("https://www.ncbi.nlm.nih.gov/nuccore/CP000058.1?report=graph&amp;tracks=[key:gene_model_track,Options:GeneOnly]&amp;mk=4709302:4709321|offset_7|00cc00,4709339:4709358|offset_44|444444,4709374:4709393|offset_79|444444,4709410:4709429|offset_115|444444&amp;v=4709101:4709629&amp;c=444444", "offset 7")</f>
        <v>offset 7</v>
      </c>
    </row>
    <row r="15210" customFormat="false" ht="12.8" hidden="false" customHeight="false" outlineLevel="0" collapsed="false">
      <c r="A15210" s="0" t="s">
        <v>12</v>
      </c>
      <c r="B15210" s="0" t="n">
        <v>4709338</v>
      </c>
      <c r="C15210" s="0" t="n">
        <v>4709358</v>
      </c>
      <c r="D15210" s="0" t="s">
        <v>50543</v>
      </c>
      <c r="E15210" s="0" t="s">
        <v>75</v>
      </c>
      <c r="F15210" s="0" t="s">
        <v>15</v>
      </c>
      <c r="G15210" s="0" t="s">
        <v>20</v>
      </c>
      <c r="H15210" s="0" t="n">
        <v>44</v>
      </c>
      <c r="I15210" s="0" t="s">
        <v>50547</v>
      </c>
      <c r="J15210" s="0" t="s">
        <v>50548</v>
      </c>
      <c r="K15210" s="0" t="s">
        <v>50549</v>
      </c>
      <c r="L15210" s="0" t="str">
        <f aca="false">HYPERLINK("https://www.ncbi.nlm.nih.gov/nuccore/CP000058.1?report=graph&amp;tracks=[key:gene_model_track,Options:GeneOnly]&amp;mk=4709302:4709321|offset_7|444444,4709339:4709358|offset_44|00cc00,4709374:4709393|offset_79|444444,4709410:4709429|offset_115|444444&amp;v=4709101:4709629&amp;c=444444", "offset 44")</f>
        <v>offset 44</v>
      </c>
    </row>
    <row r="15211" customFormat="false" ht="12.8" hidden="false" customHeight="false" outlineLevel="0" collapsed="false">
      <c r="A15211" s="0" t="s">
        <v>12</v>
      </c>
      <c r="B15211" s="0" t="n">
        <v>4709373</v>
      </c>
      <c r="C15211" s="0" t="n">
        <v>4709393</v>
      </c>
      <c r="D15211" s="0" t="s">
        <v>50543</v>
      </c>
      <c r="E15211" s="0" t="s">
        <v>75</v>
      </c>
      <c r="F15211" s="0" t="s">
        <v>15</v>
      </c>
      <c r="G15211" s="0" t="s">
        <v>32</v>
      </c>
      <c r="H15211" s="0" t="n">
        <v>79</v>
      </c>
      <c r="I15211" s="0" t="s">
        <v>50550</v>
      </c>
      <c r="J15211" s="0" t="s">
        <v>50551</v>
      </c>
      <c r="K15211" s="0" t="s">
        <v>50552</v>
      </c>
      <c r="L15211" s="0" t="str">
        <f aca="false">HYPERLINK("https://www.ncbi.nlm.nih.gov/nuccore/CP000058.1?report=graph&amp;tracks=[key:gene_model_track,Options:GeneOnly]&amp;mk=4709302:4709321|offset_7|444444,4709339:4709358|offset_44|444444,4709374:4709393|offset_79|00cc00,4709410:4709429|offset_115|444444&amp;v=4709101:4709629&amp;c=444444", "offset 79")</f>
        <v>offset 79</v>
      </c>
    </row>
    <row r="15212" customFormat="false" ht="12.8" hidden="false" customHeight="false" outlineLevel="0" collapsed="false">
      <c r="A15212" s="0" t="s">
        <v>12</v>
      </c>
      <c r="B15212" s="0" t="n">
        <v>4709409</v>
      </c>
      <c r="C15212" s="0" t="n">
        <v>4709429</v>
      </c>
      <c r="D15212" s="0" t="s">
        <v>50543</v>
      </c>
      <c r="E15212" s="0" t="s">
        <v>75</v>
      </c>
      <c r="F15212" s="0" t="s">
        <v>15</v>
      </c>
      <c r="G15212" s="0" t="s">
        <v>36</v>
      </c>
      <c r="H15212" s="0" t="n">
        <v>115</v>
      </c>
      <c r="I15212" s="0" t="s">
        <v>50553</v>
      </c>
      <c r="J15212" s="0" t="s">
        <v>50554</v>
      </c>
      <c r="K15212" s="0" t="s">
        <v>50555</v>
      </c>
      <c r="L15212" s="0" t="str">
        <f aca="false">HYPERLINK("https://www.ncbi.nlm.nih.gov/nuccore/CP000058.1?report=graph&amp;tracks=[key:gene_model_track,Options:GeneOnly]&amp;mk=4709302:4709321|offset_7|444444,4709339:4709358|offset_44|444444,4709374:4709393|offset_79|444444,4709410:4709429|offset_115|00cc00&amp;v=4709101:4709629&amp;c=444444", "offset 115")</f>
        <v>offset 115</v>
      </c>
    </row>
    <row r="15213" customFormat="false" ht="12.8" hidden="false" customHeight="false" outlineLevel="0" collapsed="false">
      <c r="A15213" s="0" t="s">
        <v>12</v>
      </c>
      <c r="B15213" s="0" t="n">
        <v>4710314</v>
      </c>
      <c r="C15213" s="0" t="n">
        <v>4710334</v>
      </c>
      <c r="D15213" s="0" t="s">
        <v>50556</v>
      </c>
      <c r="E15213" s="0" t="s">
        <v>50557</v>
      </c>
      <c r="F15213" s="0" t="s">
        <v>90</v>
      </c>
      <c r="G15213" s="0" t="s">
        <v>32</v>
      </c>
      <c r="H15213" s="0" t="n">
        <v>10</v>
      </c>
      <c r="I15213" s="0" t="s">
        <v>50558</v>
      </c>
      <c r="J15213" s="0" t="s">
        <v>50559</v>
      </c>
      <c r="K15213" s="0" t="s">
        <v>50560</v>
      </c>
      <c r="L15213" s="0" t="str">
        <f aca="false">HYPERLINK("https://www.ncbi.nlm.nih.gov/nuccore/CP000058.1?report=graph&amp;tracks=[key:gene_model_track,Options:GeneOnly]&amp;mk=4710315:4710334|offset_10|00cc00,4710258:4710277|offset_67|444444,4710230:4710249|offset_95|444444,4710201:4710220|offset_124|444444&amp;v=4710114:4710420&amp;c=444444", "offset 10")</f>
        <v>offset 10</v>
      </c>
    </row>
    <row r="15214" customFormat="false" ht="12.8" hidden="false" customHeight="false" outlineLevel="0" collapsed="false">
      <c r="A15214" s="0" t="s">
        <v>12</v>
      </c>
      <c r="B15214" s="0" t="n">
        <v>4710257</v>
      </c>
      <c r="C15214" s="0" t="n">
        <v>4710277</v>
      </c>
      <c r="D15214" s="0" t="s">
        <v>50556</v>
      </c>
      <c r="E15214" s="0" t="s">
        <v>50557</v>
      </c>
      <c r="F15214" s="0" t="s">
        <v>90</v>
      </c>
      <c r="G15214" s="0" t="s">
        <v>36</v>
      </c>
      <c r="H15214" s="0" t="n">
        <v>67</v>
      </c>
      <c r="I15214" s="0" t="s">
        <v>50561</v>
      </c>
      <c r="J15214" s="0" t="s">
        <v>50562</v>
      </c>
      <c r="K15214" s="0" t="s">
        <v>50563</v>
      </c>
      <c r="L15214" s="0" t="str">
        <f aca="false">HYPERLINK("https://www.ncbi.nlm.nih.gov/nuccore/CP000058.1?report=graph&amp;tracks=[key:gene_model_track,Options:GeneOnly]&amp;mk=4710315:4710334|offset_10|444444,4710258:4710277|offset_67|00cc00,4710230:4710249|offset_95|444444,4710201:4710220|offset_124|444444&amp;v=4710114:4710420&amp;c=444444", "offset 67")</f>
        <v>offset 67</v>
      </c>
    </row>
    <row r="15215" customFormat="false" ht="12.8" hidden="false" customHeight="false" outlineLevel="0" collapsed="false">
      <c r="A15215" s="0" t="s">
        <v>12</v>
      </c>
      <c r="B15215" s="0" t="n">
        <v>4710229</v>
      </c>
      <c r="C15215" s="0" t="n">
        <v>4710249</v>
      </c>
      <c r="D15215" s="0" t="s">
        <v>50556</v>
      </c>
      <c r="E15215" s="0" t="s">
        <v>50557</v>
      </c>
      <c r="F15215" s="0" t="s">
        <v>90</v>
      </c>
      <c r="G15215" s="0" t="s">
        <v>36</v>
      </c>
      <c r="H15215" s="0" t="n">
        <v>95</v>
      </c>
      <c r="I15215" s="0" t="s">
        <v>50564</v>
      </c>
      <c r="J15215" s="0" t="s">
        <v>50565</v>
      </c>
      <c r="K15215" s="0" t="s">
        <v>50566</v>
      </c>
      <c r="L15215" s="0" t="str">
        <f aca="false">HYPERLINK("https://www.ncbi.nlm.nih.gov/nuccore/CP000058.1?report=graph&amp;tracks=[key:gene_model_track,Options:GeneOnly]&amp;mk=4710315:4710334|offset_10|444444,4710258:4710277|offset_67|444444,4710230:4710249|offset_95|00cc00,4710201:4710220|offset_124|444444&amp;v=4710114:4710420&amp;c=444444", "offset 95")</f>
        <v>offset 95</v>
      </c>
    </row>
    <row r="15216" customFormat="false" ht="12.8" hidden="false" customHeight="false" outlineLevel="0" collapsed="false">
      <c r="A15216" s="0" t="s">
        <v>12</v>
      </c>
      <c r="B15216" s="0" t="n">
        <v>4710200</v>
      </c>
      <c r="C15216" s="0" t="n">
        <v>4710220</v>
      </c>
      <c r="D15216" s="0" t="s">
        <v>50556</v>
      </c>
      <c r="E15216" s="0" t="s">
        <v>50557</v>
      </c>
      <c r="F15216" s="0" t="s">
        <v>90</v>
      </c>
      <c r="G15216" s="0" t="s">
        <v>32</v>
      </c>
      <c r="H15216" s="0" t="n">
        <v>124</v>
      </c>
      <c r="I15216" s="0" t="s">
        <v>50567</v>
      </c>
      <c r="J15216" s="0" t="s">
        <v>50568</v>
      </c>
      <c r="K15216" s="0" t="s">
        <v>50569</v>
      </c>
      <c r="L15216" s="0" t="str">
        <f aca="false">HYPERLINK("https://www.ncbi.nlm.nih.gov/nuccore/CP000058.1?report=graph&amp;tracks=[key:gene_model_track,Options:GeneOnly]&amp;mk=4710315:4710334|offset_10|444444,4710258:4710277|offset_67|444444,4710230:4710249|offset_95|444444,4710201:4710220|offset_124|00cc00&amp;v=4710114:4710420&amp;c=444444", "offset 124")</f>
        <v>offset 124</v>
      </c>
    </row>
    <row r="15217" customFormat="false" ht="12.8" hidden="false" customHeight="false" outlineLevel="0" collapsed="false">
      <c r="A15217" s="0" t="s">
        <v>12</v>
      </c>
      <c r="B15217" s="0" t="n">
        <v>4710958</v>
      </c>
      <c r="C15217" s="0" t="n">
        <v>4710978</v>
      </c>
      <c r="D15217" s="0" t="s">
        <v>50570</v>
      </c>
      <c r="E15217" s="0" t="s">
        <v>50571</v>
      </c>
      <c r="F15217" s="0" t="s">
        <v>90</v>
      </c>
      <c r="G15217" s="0" t="s">
        <v>32</v>
      </c>
      <c r="H15217" s="0" t="n">
        <v>1</v>
      </c>
      <c r="I15217" s="0" t="s">
        <v>50572</v>
      </c>
      <c r="J15217" s="0" t="s">
        <v>50573</v>
      </c>
      <c r="K15217" s="0" t="s">
        <v>50574</v>
      </c>
      <c r="L15217" s="0" t="str">
        <f aca="false">HYPERLINK("https://www.ncbi.nlm.nih.gov/nuccore/CP000058.1?report=graph&amp;tracks=[key:gene_model_track,Options:GeneOnly]&amp;mk=4710959:4710978|offset_1|00cc00,4710935:4710954|offset_25|444444,4710913:4710932|offset_47|444444,4710881:4710900|offset_79|444444&amp;v=4710758:4711100&amp;c=444444", "offset 1")</f>
        <v>offset 1</v>
      </c>
    </row>
    <row r="15218" customFormat="false" ht="12.8" hidden="false" customHeight="false" outlineLevel="0" collapsed="false">
      <c r="A15218" s="0" t="s">
        <v>12</v>
      </c>
      <c r="B15218" s="0" t="n">
        <v>4710934</v>
      </c>
      <c r="C15218" s="0" t="n">
        <v>4710954</v>
      </c>
      <c r="D15218" s="0" t="s">
        <v>50570</v>
      </c>
      <c r="E15218" s="0" t="s">
        <v>50571</v>
      </c>
      <c r="F15218" s="0" t="s">
        <v>90</v>
      </c>
      <c r="G15218" s="0" t="s">
        <v>20</v>
      </c>
      <c r="H15218" s="0" t="n">
        <v>25</v>
      </c>
      <c r="I15218" s="0" t="s">
        <v>50575</v>
      </c>
      <c r="J15218" s="0" t="s">
        <v>50576</v>
      </c>
      <c r="K15218" s="0" t="s">
        <v>50577</v>
      </c>
      <c r="L15218" s="0" t="str">
        <f aca="false">HYPERLINK("https://www.ncbi.nlm.nih.gov/nuccore/CP000058.1?report=graph&amp;tracks=[key:gene_model_track,Options:GeneOnly]&amp;mk=4710959:4710978|offset_1|444444,4710935:4710954|offset_25|00cc00,4710913:4710932|offset_47|444444,4710881:4710900|offset_79|444444&amp;v=4710758:4711100&amp;c=444444", "offset 25")</f>
        <v>offset 25</v>
      </c>
    </row>
    <row r="15219" customFormat="false" ht="12.8" hidden="false" customHeight="false" outlineLevel="0" collapsed="false">
      <c r="A15219" s="0" t="s">
        <v>12</v>
      </c>
      <c r="B15219" s="0" t="n">
        <v>4710912</v>
      </c>
      <c r="C15219" s="0" t="n">
        <v>4710932</v>
      </c>
      <c r="D15219" s="0" t="s">
        <v>50570</v>
      </c>
      <c r="E15219" s="0" t="s">
        <v>50571</v>
      </c>
      <c r="F15219" s="0" t="s">
        <v>90</v>
      </c>
      <c r="G15219" s="0" t="s">
        <v>32</v>
      </c>
      <c r="H15219" s="0" t="n">
        <v>47</v>
      </c>
      <c r="I15219" s="0" t="s">
        <v>50578</v>
      </c>
      <c r="J15219" s="0" t="s">
        <v>50579</v>
      </c>
      <c r="K15219" s="0" t="s">
        <v>50580</v>
      </c>
      <c r="L15219" s="0" t="str">
        <f aca="false">HYPERLINK("https://www.ncbi.nlm.nih.gov/nuccore/CP000058.1?report=graph&amp;tracks=[key:gene_model_track,Options:GeneOnly]&amp;mk=4710959:4710978|offset_1|444444,4710935:4710954|offset_25|444444,4710913:4710932|offset_47|00cc00,4710881:4710900|offset_79|444444&amp;v=4710758:4711100&amp;c=444444", "offset 47")</f>
        <v>offset 47</v>
      </c>
    </row>
    <row r="15220" customFormat="false" ht="12.8" hidden="false" customHeight="false" outlineLevel="0" collapsed="false">
      <c r="A15220" s="0" t="s">
        <v>12</v>
      </c>
      <c r="B15220" s="0" t="n">
        <v>4710880</v>
      </c>
      <c r="C15220" s="0" t="n">
        <v>4710900</v>
      </c>
      <c r="D15220" s="0" t="s">
        <v>50570</v>
      </c>
      <c r="E15220" s="0" t="s">
        <v>50571</v>
      </c>
      <c r="F15220" s="0" t="s">
        <v>90</v>
      </c>
      <c r="G15220" s="0" t="s">
        <v>16</v>
      </c>
      <c r="H15220" s="0" t="n">
        <v>79</v>
      </c>
      <c r="I15220" s="0" t="s">
        <v>50581</v>
      </c>
      <c r="J15220" s="0" t="s">
        <v>50582</v>
      </c>
      <c r="K15220" s="0" t="s">
        <v>50583</v>
      </c>
      <c r="L15220" s="0" t="str">
        <f aca="false">HYPERLINK("https://www.ncbi.nlm.nih.gov/nuccore/CP000058.1?report=graph&amp;tracks=[key:gene_model_track,Options:GeneOnly]&amp;mk=4710959:4710978|offset_1|444444,4710935:4710954|offset_25|444444,4710913:4710932|offset_47|444444,4710881:4710900|offset_79|00cc00&amp;v=4710758:4711100&amp;c=444444", "offset 79")</f>
        <v>offset 79</v>
      </c>
    </row>
    <row r="15221" customFormat="false" ht="12.8" hidden="false" customHeight="false" outlineLevel="0" collapsed="false">
      <c r="A15221" s="0" t="s">
        <v>12</v>
      </c>
      <c r="B15221" s="0" t="n">
        <v>4711602</v>
      </c>
      <c r="C15221" s="0" t="n">
        <v>4711622</v>
      </c>
      <c r="D15221" s="0" t="s">
        <v>50584</v>
      </c>
      <c r="E15221" s="0" t="s">
        <v>50585</v>
      </c>
      <c r="F15221" s="0" t="s">
        <v>90</v>
      </c>
      <c r="G15221" s="0" t="s">
        <v>16</v>
      </c>
      <c r="H15221" s="0" t="n">
        <v>32</v>
      </c>
      <c r="I15221" s="0" t="s">
        <v>50586</v>
      </c>
      <c r="J15221" s="0" t="s">
        <v>50587</v>
      </c>
      <c r="K15221" s="0" t="s">
        <v>50588</v>
      </c>
      <c r="L15221" s="0" t="str">
        <f aca="false">HYPERLINK("https://www.ncbi.nlm.nih.gov/nuccore/CP000058.1?report=graph&amp;tracks=[key:gene_model_track,Options:GeneOnly]&amp;mk=4711603:4711622|offset_32|00cc00,4711573:4711592|offset_62|444444,4711537:4711556|offset_98|444444,4711502:4711521|offset_133|444444&amp;v=4711402:4711721&amp;c=444444", "offset 32")</f>
        <v>offset 32</v>
      </c>
    </row>
    <row r="15222" customFormat="false" ht="12.8" hidden="false" customHeight="false" outlineLevel="0" collapsed="false">
      <c r="A15222" s="0" t="s">
        <v>12</v>
      </c>
      <c r="B15222" s="0" t="n">
        <v>4711572</v>
      </c>
      <c r="C15222" s="0" t="n">
        <v>4711592</v>
      </c>
      <c r="D15222" s="0" t="s">
        <v>50584</v>
      </c>
      <c r="E15222" s="0" t="s">
        <v>50585</v>
      </c>
      <c r="F15222" s="0" t="s">
        <v>90</v>
      </c>
      <c r="G15222" s="0" t="s">
        <v>20</v>
      </c>
      <c r="H15222" s="0" t="n">
        <v>62</v>
      </c>
      <c r="I15222" s="0" t="s">
        <v>50589</v>
      </c>
      <c r="J15222" s="0" t="s">
        <v>50590</v>
      </c>
      <c r="K15222" s="0" t="s">
        <v>50591</v>
      </c>
      <c r="L15222" s="0" t="str">
        <f aca="false">HYPERLINK("https://www.ncbi.nlm.nih.gov/nuccore/CP000058.1?report=graph&amp;tracks=[key:gene_model_track,Options:GeneOnly]&amp;mk=4711603:4711622|offset_32|444444,4711573:4711592|offset_62|00cc00,4711537:4711556|offset_98|444444,4711502:4711521|offset_133|444444&amp;v=4711402:4711721&amp;c=444444", "offset 62")</f>
        <v>offset 62</v>
      </c>
    </row>
    <row r="15223" customFormat="false" ht="12.8" hidden="false" customHeight="false" outlineLevel="0" collapsed="false">
      <c r="A15223" s="0" t="s">
        <v>12</v>
      </c>
      <c r="B15223" s="0" t="n">
        <v>4711536</v>
      </c>
      <c r="C15223" s="0" t="n">
        <v>4711556</v>
      </c>
      <c r="D15223" s="0" t="s">
        <v>50584</v>
      </c>
      <c r="E15223" s="0" t="s">
        <v>50585</v>
      </c>
      <c r="F15223" s="0" t="s">
        <v>90</v>
      </c>
      <c r="G15223" s="0" t="s">
        <v>16</v>
      </c>
      <c r="H15223" s="0" t="n">
        <v>98</v>
      </c>
      <c r="I15223" s="0" t="s">
        <v>50592</v>
      </c>
      <c r="J15223" s="0" t="s">
        <v>50593</v>
      </c>
      <c r="K15223" s="0" t="s">
        <v>50594</v>
      </c>
      <c r="L15223" s="0" t="str">
        <f aca="false">HYPERLINK("https://www.ncbi.nlm.nih.gov/nuccore/CP000058.1?report=graph&amp;tracks=[key:gene_model_track,Options:GeneOnly]&amp;mk=4711603:4711622|offset_32|444444,4711573:4711592|offset_62|444444,4711537:4711556|offset_98|00cc00,4711502:4711521|offset_133|444444&amp;v=4711402:4711721&amp;c=444444", "offset 98")</f>
        <v>offset 98</v>
      </c>
    </row>
    <row r="15224" customFormat="false" ht="12.8" hidden="false" customHeight="false" outlineLevel="0" collapsed="false">
      <c r="A15224" s="0" t="s">
        <v>12</v>
      </c>
      <c r="B15224" s="0" t="n">
        <v>4711501</v>
      </c>
      <c r="C15224" s="0" t="n">
        <v>4711521</v>
      </c>
      <c r="D15224" s="0" t="s">
        <v>50584</v>
      </c>
      <c r="E15224" s="0" t="s">
        <v>50585</v>
      </c>
      <c r="F15224" s="0" t="s">
        <v>90</v>
      </c>
      <c r="G15224" s="0" t="s">
        <v>36</v>
      </c>
      <c r="H15224" s="0" t="n">
        <v>133</v>
      </c>
      <c r="I15224" s="0" t="s">
        <v>50595</v>
      </c>
      <c r="J15224" s="0" t="s">
        <v>50596</v>
      </c>
      <c r="K15224" s="0" t="s">
        <v>50597</v>
      </c>
      <c r="L15224" s="0" t="str">
        <f aca="false">HYPERLINK("https://www.ncbi.nlm.nih.gov/nuccore/CP000058.1?report=graph&amp;tracks=[key:gene_model_track,Options:GeneOnly]&amp;mk=4711603:4711622|offset_32|444444,4711573:4711592|offset_62|444444,4711537:4711556|offset_98|444444,4711502:4711521|offset_133|00cc00&amp;v=4711402:4711721&amp;c=444444", "offset 133")</f>
        <v>offset 133</v>
      </c>
    </row>
    <row r="15225" customFormat="false" ht="12.8" hidden="false" customHeight="false" outlineLevel="0" collapsed="false">
      <c r="A15225" s="0" t="s">
        <v>12</v>
      </c>
      <c r="B15225" s="0" t="n">
        <v>4712053</v>
      </c>
      <c r="C15225" s="0" t="n">
        <v>4712073</v>
      </c>
      <c r="D15225" s="0" t="s">
        <v>50598</v>
      </c>
      <c r="E15225" s="0" t="s">
        <v>50599</v>
      </c>
      <c r="F15225" s="0" t="s">
        <v>90</v>
      </c>
      <c r="G15225" s="0" t="s">
        <v>16</v>
      </c>
      <c r="H15225" s="0" t="n">
        <v>24</v>
      </c>
      <c r="I15225" s="0" t="s">
        <v>50600</v>
      </c>
      <c r="J15225" s="0" t="s">
        <v>50601</v>
      </c>
      <c r="K15225" s="0" t="s">
        <v>50602</v>
      </c>
      <c r="L15225" s="0" t="str">
        <f aca="false">HYPERLINK("https://www.ncbi.nlm.nih.gov/nuccore/CP000058.1?report=graph&amp;tracks=[key:gene_model_track,Options:GeneOnly]&amp;mk=4712054:4712073|offset_24|00cc00,4712005:4712024|offset_73|444444,4711974:4711993|offset_104|444444,4711952:4711971|offset_126|444444&amp;v=4711853:4712171&amp;c=444444", "offset 24")</f>
        <v>offset 24</v>
      </c>
    </row>
    <row r="15226" customFormat="false" ht="12.8" hidden="false" customHeight="false" outlineLevel="0" collapsed="false">
      <c r="A15226" s="0" t="s">
        <v>12</v>
      </c>
      <c r="B15226" s="0" t="n">
        <v>4712004</v>
      </c>
      <c r="C15226" s="0" t="n">
        <v>4712024</v>
      </c>
      <c r="D15226" s="0" t="s">
        <v>50598</v>
      </c>
      <c r="E15226" s="0" t="s">
        <v>50599</v>
      </c>
      <c r="F15226" s="0" t="s">
        <v>90</v>
      </c>
      <c r="G15226" s="0" t="s">
        <v>36</v>
      </c>
      <c r="H15226" s="0" t="n">
        <v>73</v>
      </c>
      <c r="I15226" s="0" t="s">
        <v>50603</v>
      </c>
      <c r="J15226" s="0" t="s">
        <v>50604</v>
      </c>
      <c r="K15226" s="0" t="s">
        <v>50605</v>
      </c>
      <c r="L15226" s="0" t="str">
        <f aca="false">HYPERLINK("https://www.ncbi.nlm.nih.gov/nuccore/CP000058.1?report=graph&amp;tracks=[key:gene_model_track,Options:GeneOnly]&amp;mk=4712054:4712073|offset_24|444444,4712005:4712024|offset_73|00cc00,4711974:4711993|offset_104|444444,4711952:4711971|offset_126|444444&amp;v=4711853:4712171&amp;c=444444", "offset 73")</f>
        <v>offset 73</v>
      </c>
    </row>
    <row r="15227" customFormat="false" ht="12.8" hidden="false" customHeight="false" outlineLevel="0" collapsed="false">
      <c r="A15227" s="0" t="s">
        <v>12</v>
      </c>
      <c r="B15227" s="0" t="n">
        <v>4711973</v>
      </c>
      <c r="C15227" s="0" t="n">
        <v>4711993</v>
      </c>
      <c r="D15227" s="0" t="s">
        <v>50598</v>
      </c>
      <c r="E15227" s="0" t="s">
        <v>50599</v>
      </c>
      <c r="F15227" s="0" t="s">
        <v>90</v>
      </c>
      <c r="G15227" s="0" t="s">
        <v>16</v>
      </c>
      <c r="H15227" s="0" t="n">
        <v>104</v>
      </c>
      <c r="I15227" s="0" t="s">
        <v>50606</v>
      </c>
      <c r="J15227" s="0" t="s">
        <v>50607</v>
      </c>
      <c r="K15227" s="0" t="s">
        <v>50608</v>
      </c>
      <c r="L15227" s="0" t="str">
        <f aca="false">HYPERLINK("https://www.ncbi.nlm.nih.gov/nuccore/CP000058.1?report=graph&amp;tracks=[key:gene_model_track,Options:GeneOnly]&amp;mk=4712054:4712073|offset_24|444444,4712005:4712024|offset_73|444444,4711974:4711993|offset_104|00cc00,4711952:4711971|offset_126|444444&amp;v=4711853:4712171&amp;c=444444", "offset 104")</f>
        <v>offset 104</v>
      </c>
    </row>
    <row r="15228" customFormat="false" ht="12.8" hidden="false" customHeight="false" outlineLevel="0" collapsed="false">
      <c r="A15228" s="0" t="s">
        <v>12</v>
      </c>
      <c r="B15228" s="0" t="n">
        <v>4711951</v>
      </c>
      <c r="C15228" s="0" t="n">
        <v>4711971</v>
      </c>
      <c r="D15228" s="0" t="s">
        <v>50598</v>
      </c>
      <c r="E15228" s="0" t="s">
        <v>50599</v>
      </c>
      <c r="F15228" s="0" t="s">
        <v>90</v>
      </c>
      <c r="G15228" s="0" t="s">
        <v>16</v>
      </c>
      <c r="H15228" s="0" t="n">
        <v>126</v>
      </c>
      <c r="I15228" s="0" t="s">
        <v>50609</v>
      </c>
      <c r="J15228" s="0" t="s">
        <v>50610</v>
      </c>
      <c r="K15228" s="0" t="s">
        <v>50611</v>
      </c>
      <c r="L15228" s="0" t="str">
        <f aca="false">HYPERLINK("https://www.ncbi.nlm.nih.gov/nuccore/CP000058.1?report=graph&amp;tracks=[key:gene_model_track,Options:GeneOnly]&amp;mk=4712054:4712073|offset_24|444444,4712005:4712024|offset_73|444444,4711974:4711993|offset_104|444444,4711952:4711971|offset_126|00cc00&amp;v=4711853:4712171&amp;c=444444", "offset 126")</f>
        <v>offset 126</v>
      </c>
    </row>
    <row r="15229" customFormat="false" ht="12.8" hidden="false" customHeight="false" outlineLevel="0" collapsed="false">
      <c r="A15229" s="0" t="s">
        <v>12</v>
      </c>
      <c r="B15229" s="0" t="n">
        <v>4712499</v>
      </c>
      <c r="C15229" s="0" t="n">
        <v>4712519</v>
      </c>
      <c r="D15229" s="0" t="s">
        <v>50612</v>
      </c>
      <c r="E15229" s="0" t="s">
        <v>75</v>
      </c>
      <c r="F15229" s="0" t="s">
        <v>15</v>
      </c>
      <c r="G15229" s="0" t="s">
        <v>16</v>
      </c>
      <c r="H15229" s="0" t="n">
        <v>6</v>
      </c>
      <c r="I15229" s="0" t="s">
        <v>50613</v>
      </c>
      <c r="J15229" s="0" t="s">
        <v>50614</v>
      </c>
      <c r="K15229" s="0" t="s">
        <v>50615</v>
      </c>
      <c r="L15229" s="0" t="str">
        <f aca="false">HYPERLINK("https://www.ncbi.nlm.nih.gov/nuccore/CP000058.1?report=graph&amp;tracks=[key:gene_model_track,Options:GeneOnly]&amp;mk=4712500:4712519|offset_6|00cc00,4712526:4712545|offset_32|444444,4712546:4712565|offset_52|444444,4712579:4712598|offset_85|444444&amp;v=4712299:4712798&amp;c=444444", "offset 6")</f>
        <v>offset 6</v>
      </c>
    </row>
    <row r="15230" customFormat="false" ht="12.8" hidden="false" customHeight="false" outlineLevel="0" collapsed="false">
      <c r="A15230" s="0" t="s">
        <v>12</v>
      </c>
      <c r="B15230" s="0" t="n">
        <v>4712525</v>
      </c>
      <c r="C15230" s="0" t="n">
        <v>4712545</v>
      </c>
      <c r="D15230" s="0" t="s">
        <v>50612</v>
      </c>
      <c r="E15230" s="0" t="s">
        <v>75</v>
      </c>
      <c r="F15230" s="0" t="s">
        <v>15</v>
      </c>
      <c r="G15230" s="0" t="s">
        <v>16</v>
      </c>
      <c r="H15230" s="0" t="n">
        <v>32</v>
      </c>
      <c r="I15230" s="0" t="s">
        <v>50616</v>
      </c>
      <c r="J15230" s="0" t="s">
        <v>50617</v>
      </c>
      <c r="K15230" s="0" t="s">
        <v>50618</v>
      </c>
      <c r="L15230" s="0" t="str">
        <f aca="false">HYPERLINK("https://www.ncbi.nlm.nih.gov/nuccore/CP000058.1?report=graph&amp;tracks=[key:gene_model_track,Options:GeneOnly]&amp;mk=4712500:4712519|offset_6|444444,4712526:4712545|offset_32|00cc00,4712546:4712565|offset_52|444444,4712579:4712598|offset_85|444444&amp;v=4712299:4712798&amp;c=444444", "offset 32")</f>
        <v>offset 32</v>
      </c>
    </row>
    <row r="15231" customFormat="false" ht="12.8" hidden="false" customHeight="false" outlineLevel="0" collapsed="false">
      <c r="A15231" s="0" t="s">
        <v>12</v>
      </c>
      <c r="B15231" s="0" t="n">
        <v>4712545</v>
      </c>
      <c r="C15231" s="0" t="n">
        <v>4712565</v>
      </c>
      <c r="D15231" s="0" t="s">
        <v>50612</v>
      </c>
      <c r="E15231" s="0" t="s">
        <v>75</v>
      </c>
      <c r="F15231" s="0" t="s">
        <v>15</v>
      </c>
      <c r="G15231" s="0" t="s">
        <v>16</v>
      </c>
      <c r="H15231" s="0" t="n">
        <v>52</v>
      </c>
      <c r="I15231" s="0" t="s">
        <v>50619</v>
      </c>
      <c r="J15231" s="0" t="s">
        <v>50620</v>
      </c>
      <c r="K15231" s="0" t="s">
        <v>50621</v>
      </c>
      <c r="L15231" s="0" t="str">
        <f aca="false">HYPERLINK("https://www.ncbi.nlm.nih.gov/nuccore/CP000058.1?report=graph&amp;tracks=[key:gene_model_track,Options:GeneOnly]&amp;mk=4712500:4712519|offset_6|444444,4712526:4712545|offset_32|444444,4712546:4712565|offset_52|00cc00,4712579:4712598|offset_85|444444&amp;v=4712299:4712798&amp;c=444444", "offset 52")</f>
        <v>offset 52</v>
      </c>
    </row>
    <row r="15232" customFormat="false" ht="12.8" hidden="false" customHeight="false" outlineLevel="0" collapsed="false">
      <c r="A15232" s="0" t="s">
        <v>12</v>
      </c>
      <c r="B15232" s="0" t="n">
        <v>4712578</v>
      </c>
      <c r="C15232" s="0" t="n">
        <v>4712598</v>
      </c>
      <c r="D15232" s="0" t="s">
        <v>50612</v>
      </c>
      <c r="E15232" s="0" t="s">
        <v>75</v>
      </c>
      <c r="F15232" s="0" t="s">
        <v>15</v>
      </c>
      <c r="G15232" s="0" t="s">
        <v>32</v>
      </c>
      <c r="H15232" s="0" t="n">
        <v>85</v>
      </c>
      <c r="I15232" s="0" t="s">
        <v>50622</v>
      </c>
      <c r="J15232" s="0" t="s">
        <v>50623</v>
      </c>
      <c r="K15232" s="0" t="s">
        <v>50624</v>
      </c>
      <c r="L15232" s="0" t="str">
        <f aca="false">HYPERLINK("https://www.ncbi.nlm.nih.gov/nuccore/CP000058.1?report=graph&amp;tracks=[key:gene_model_track,Options:GeneOnly]&amp;mk=4712500:4712519|offset_6|444444,4712526:4712545|offset_32|444444,4712546:4712565|offset_52|444444,4712579:4712598|offset_85|00cc00&amp;v=4712299:4712798&amp;c=444444", "offset 85")</f>
        <v>offset 85</v>
      </c>
    </row>
    <row r="15233" customFormat="false" ht="12.8" hidden="false" customHeight="false" outlineLevel="0" collapsed="false">
      <c r="A15233" s="0" t="s">
        <v>12</v>
      </c>
      <c r="B15233" s="0" t="n">
        <v>4714629</v>
      </c>
      <c r="C15233" s="0" t="n">
        <v>4714649</v>
      </c>
      <c r="D15233" s="0" t="s">
        <v>50625</v>
      </c>
      <c r="E15233" s="0" t="s">
        <v>75</v>
      </c>
      <c r="F15233" s="0" t="s">
        <v>90</v>
      </c>
      <c r="G15233" s="0" t="s">
        <v>36</v>
      </c>
      <c r="H15233" s="0" t="n">
        <v>9</v>
      </c>
      <c r="I15233" s="0" t="s">
        <v>50626</v>
      </c>
      <c r="J15233" s="0" t="s">
        <v>50627</v>
      </c>
      <c r="K15233" s="0" t="s">
        <v>50628</v>
      </c>
      <c r="L15233" s="0" t="str">
        <f aca="false">HYPERLINK("https://www.ncbi.nlm.nih.gov/nuccore/CP000058.1?report=graph&amp;tracks=[key:gene_model_track,Options:GeneOnly]&amp;mk=4714630:4714649|offset_9|00cc00,4714598:4714617|offset_41|444444,4714578:4714597|offset_61|444444,4714556:4714575|offset_83|444444&amp;v=4714429:4714775&amp;c=444444", "offset 9")</f>
        <v>offset 9</v>
      </c>
    </row>
    <row r="15234" customFormat="false" ht="12.8" hidden="false" customHeight="false" outlineLevel="0" collapsed="false">
      <c r="A15234" s="0" t="s">
        <v>12</v>
      </c>
      <c r="B15234" s="0" t="n">
        <v>4714597</v>
      </c>
      <c r="C15234" s="0" t="n">
        <v>4714617</v>
      </c>
      <c r="D15234" s="0" t="s">
        <v>50625</v>
      </c>
      <c r="E15234" s="0" t="s">
        <v>75</v>
      </c>
      <c r="F15234" s="0" t="s">
        <v>90</v>
      </c>
      <c r="G15234" s="0" t="s">
        <v>36</v>
      </c>
      <c r="H15234" s="0" t="n">
        <v>41</v>
      </c>
      <c r="I15234" s="0" t="s">
        <v>50629</v>
      </c>
      <c r="J15234" s="0" t="s">
        <v>50630</v>
      </c>
      <c r="K15234" s="0" t="s">
        <v>50631</v>
      </c>
      <c r="L15234" s="0" t="str">
        <f aca="false">HYPERLINK("https://www.ncbi.nlm.nih.gov/nuccore/CP000058.1?report=graph&amp;tracks=[key:gene_model_track,Options:GeneOnly]&amp;mk=4714630:4714649|offset_9|444444,4714598:4714617|offset_41|00cc00,4714578:4714597|offset_61|444444,4714556:4714575|offset_83|444444&amp;v=4714429:4714775&amp;c=444444", "offset 41")</f>
        <v>offset 41</v>
      </c>
    </row>
    <row r="15235" customFormat="false" ht="12.8" hidden="false" customHeight="false" outlineLevel="0" collapsed="false">
      <c r="A15235" s="0" t="s">
        <v>12</v>
      </c>
      <c r="B15235" s="0" t="n">
        <v>4714577</v>
      </c>
      <c r="C15235" s="0" t="n">
        <v>4714597</v>
      </c>
      <c r="D15235" s="0" t="s">
        <v>50625</v>
      </c>
      <c r="E15235" s="0" t="s">
        <v>75</v>
      </c>
      <c r="F15235" s="0" t="s">
        <v>90</v>
      </c>
      <c r="G15235" s="0" t="s">
        <v>16</v>
      </c>
      <c r="H15235" s="0" t="n">
        <v>61</v>
      </c>
      <c r="I15235" s="0" t="s">
        <v>50632</v>
      </c>
      <c r="J15235" s="0" t="s">
        <v>50633</v>
      </c>
      <c r="K15235" s="0" t="s">
        <v>50634</v>
      </c>
      <c r="L15235" s="0" t="str">
        <f aca="false">HYPERLINK("https://www.ncbi.nlm.nih.gov/nuccore/CP000058.1?report=graph&amp;tracks=[key:gene_model_track,Options:GeneOnly]&amp;mk=4714630:4714649|offset_9|444444,4714598:4714617|offset_41|444444,4714578:4714597|offset_61|00cc00,4714556:4714575|offset_83|444444&amp;v=4714429:4714775&amp;c=444444", "offset 61")</f>
        <v>offset 61</v>
      </c>
    </row>
    <row r="15236" customFormat="false" ht="12.8" hidden="false" customHeight="false" outlineLevel="0" collapsed="false">
      <c r="A15236" s="0" t="s">
        <v>12</v>
      </c>
      <c r="B15236" s="0" t="n">
        <v>4714555</v>
      </c>
      <c r="C15236" s="0" t="n">
        <v>4714575</v>
      </c>
      <c r="D15236" s="0" t="s">
        <v>50625</v>
      </c>
      <c r="E15236" s="0" t="s">
        <v>75</v>
      </c>
      <c r="F15236" s="0" t="s">
        <v>90</v>
      </c>
      <c r="G15236" s="0" t="s">
        <v>32</v>
      </c>
      <c r="H15236" s="0" t="n">
        <v>83</v>
      </c>
      <c r="I15236" s="0" t="s">
        <v>50635</v>
      </c>
      <c r="J15236" s="0" t="s">
        <v>50636</v>
      </c>
      <c r="K15236" s="0" t="s">
        <v>50637</v>
      </c>
      <c r="L15236" s="0" t="str">
        <f aca="false">HYPERLINK("https://www.ncbi.nlm.nih.gov/nuccore/CP000058.1?report=graph&amp;tracks=[key:gene_model_track,Options:GeneOnly]&amp;mk=4714630:4714649|offset_9|444444,4714598:4714617|offset_41|444444,4714578:4714597|offset_61|444444,4714556:4714575|offset_83|00cc00&amp;v=4714429:4714775&amp;c=444444", "offset 83")</f>
        <v>offset 83</v>
      </c>
    </row>
    <row r="15237" customFormat="false" ht="12.8" hidden="false" customHeight="false" outlineLevel="0" collapsed="false">
      <c r="A15237" s="0" t="s">
        <v>12</v>
      </c>
      <c r="B15237" s="0" t="n">
        <v>4716049</v>
      </c>
      <c r="C15237" s="0" t="n">
        <v>4716069</v>
      </c>
      <c r="D15237" s="0" t="s">
        <v>50638</v>
      </c>
      <c r="E15237" s="0" t="s">
        <v>50639</v>
      </c>
      <c r="F15237" s="0" t="s">
        <v>90</v>
      </c>
      <c r="G15237" s="0" t="s">
        <v>32</v>
      </c>
      <c r="H15237" s="0" t="n">
        <v>1</v>
      </c>
      <c r="I15237" s="0" t="s">
        <v>50640</v>
      </c>
      <c r="J15237" s="0" t="s">
        <v>50641</v>
      </c>
      <c r="K15237" s="0" t="s">
        <v>50642</v>
      </c>
      <c r="L15237" s="0" t="str">
        <f aca="false">HYPERLINK("https://www.ncbi.nlm.nih.gov/nuccore/CP000058.1?report=graph&amp;tracks=[key:gene_model_track,Options:GeneOnly]&amp;mk=4716050:4716069|offset_1|00cc00,4716029:4716048|offset_22|444444,4716006:4716025|offset_45|444444,4715974:4715993|offset_77|444444&amp;v=4715849:4716193&amp;c=444444", "offset 1")</f>
        <v>offset 1</v>
      </c>
    </row>
    <row r="15238" customFormat="false" ht="12.8" hidden="false" customHeight="false" outlineLevel="0" collapsed="false">
      <c r="A15238" s="0" t="s">
        <v>12</v>
      </c>
      <c r="B15238" s="0" t="n">
        <v>4716028</v>
      </c>
      <c r="C15238" s="0" t="n">
        <v>4716048</v>
      </c>
      <c r="D15238" s="0" t="s">
        <v>50638</v>
      </c>
      <c r="E15238" s="0" t="s">
        <v>50639</v>
      </c>
      <c r="F15238" s="0" t="s">
        <v>90</v>
      </c>
      <c r="G15238" s="0" t="s">
        <v>16</v>
      </c>
      <c r="H15238" s="0" t="n">
        <v>22</v>
      </c>
      <c r="I15238" s="0" t="s">
        <v>50643</v>
      </c>
      <c r="J15238" s="0" t="s">
        <v>50644</v>
      </c>
      <c r="K15238" s="0" t="s">
        <v>50645</v>
      </c>
      <c r="L15238" s="0" t="str">
        <f aca="false">HYPERLINK("https://www.ncbi.nlm.nih.gov/nuccore/CP000058.1?report=graph&amp;tracks=[key:gene_model_track,Options:GeneOnly]&amp;mk=4716050:4716069|offset_1|444444,4716029:4716048|offset_22|00cc00,4716006:4716025|offset_45|444444,4715974:4715993|offset_77|444444&amp;v=4715849:4716193&amp;c=444444", "offset 22")</f>
        <v>offset 22</v>
      </c>
    </row>
    <row r="15239" customFormat="false" ht="12.8" hidden="false" customHeight="false" outlineLevel="0" collapsed="false">
      <c r="A15239" s="0" t="s">
        <v>12</v>
      </c>
      <c r="B15239" s="0" t="n">
        <v>4716005</v>
      </c>
      <c r="C15239" s="0" t="n">
        <v>4716025</v>
      </c>
      <c r="D15239" s="0" t="s">
        <v>50638</v>
      </c>
      <c r="E15239" s="0" t="s">
        <v>50639</v>
      </c>
      <c r="F15239" s="0" t="s">
        <v>90</v>
      </c>
      <c r="G15239" s="0" t="s">
        <v>36</v>
      </c>
      <c r="H15239" s="0" t="n">
        <v>45</v>
      </c>
      <c r="I15239" s="0" t="s">
        <v>50646</v>
      </c>
      <c r="J15239" s="0" t="s">
        <v>50647</v>
      </c>
      <c r="K15239" s="0" t="s">
        <v>50648</v>
      </c>
      <c r="L15239" s="0" t="str">
        <f aca="false">HYPERLINK("https://www.ncbi.nlm.nih.gov/nuccore/CP000058.1?report=graph&amp;tracks=[key:gene_model_track,Options:GeneOnly]&amp;mk=4716050:4716069|offset_1|444444,4716029:4716048|offset_22|444444,4716006:4716025|offset_45|00cc00,4715974:4715993|offset_77|444444&amp;v=4715849:4716193&amp;c=444444", "offset 45")</f>
        <v>offset 45</v>
      </c>
    </row>
    <row r="15240" customFormat="false" ht="12.8" hidden="false" customHeight="false" outlineLevel="0" collapsed="false">
      <c r="A15240" s="0" t="s">
        <v>12</v>
      </c>
      <c r="B15240" s="0" t="n">
        <v>4715973</v>
      </c>
      <c r="C15240" s="0" t="n">
        <v>4715993</v>
      </c>
      <c r="D15240" s="0" t="s">
        <v>50638</v>
      </c>
      <c r="E15240" s="0" t="s">
        <v>50639</v>
      </c>
      <c r="F15240" s="0" t="s">
        <v>90</v>
      </c>
      <c r="G15240" s="0" t="s">
        <v>36</v>
      </c>
      <c r="H15240" s="0" t="n">
        <v>77</v>
      </c>
      <c r="I15240" s="0" t="s">
        <v>50649</v>
      </c>
      <c r="J15240" s="0" t="s">
        <v>50650</v>
      </c>
      <c r="K15240" s="0" t="s">
        <v>50651</v>
      </c>
      <c r="L15240" s="0" t="str">
        <f aca="false">HYPERLINK("https://www.ncbi.nlm.nih.gov/nuccore/CP000058.1?report=graph&amp;tracks=[key:gene_model_track,Options:GeneOnly]&amp;mk=4716050:4716069|offset_1|444444,4716029:4716048|offset_22|444444,4716006:4716025|offset_45|444444,4715974:4715993|offset_77|00cc00&amp;v=4715849:4716193&amp;c=444444", "offset 77")</f>
        <v>offset 77</v>
      </c>
    </row>
    <row r="15241" customFormat="false" ht="12.8" hidden="false" customHeight="false" outlineLevel="0" collapsed="false">
      <c r="A15241" s="0" t="s">
        <v>12</v>
      </c>
      <c r="B15241" s="0" t="n">
        <v>4716706</v>
      </c>
      <c r="C15241" s="0" t="n">
        <v>4716726</v>
      </c>
      <c r="D15241" s="0" t="s">
        <v>50652</v>
      </c>
      <c r="E15241" s="0" t="s">
        <v>75</v>
      </c>
      <c r="F15241" s="0" t="s">
        <v>90</v>
      </c>
      <c r="G15241" s="0" t="s">
        <v>36</v>
      </c>
      <c r="H15241" s="0" t="n">
        <v>13</v>
      </c>
      <c r="I15241" s="0" t="s">
        <v>50653</v>
      </c>
      <c r="J15241" s="0" t="s">
        <v>50654</v>
      </c>
      <c r="K15241" s="0" t="s">
        <v>50655</v>
      </c>
      <c r="L15241" s="0" t="str">
        <f aca="false">HYPERLINK("https://www.ncbi.nlm.nih.gov/nuccore/CP000058.1?report=graph&amp;tracks=[key:gene_model_track,Options:GeneOnly]&amp;mk=4716707:4716726|offset_13|00cc00,4716687:4716706|offset_33|444444,4716651:4716670|offset_69|444444,4716622:4716641|offset_98|444444&amp;v=4716506:4716841&amp;c=444444", "offset 13")</f>
        <v>offset 13</v>
      </c>
    </row>
    <row r="15242" customFormat="false" ht="12.8" hidden="false" customHeight="false" outlineLevel="0" collapsed="false">
      <c r="A15242" s="0" t="s">
        <v>12</v>
      </c>
      <c r="B15242" s="0" t="n">
        <v>4716686</v>
      </c>
      <c r="C15242" s="0" t="n">
        <v>4716706</v>
      </c>
      <c r="D15242" s="0" t="s">
        <v>50652</v>
      </c>
      <c r="E15242" s="0" t="s">
        <v>75</v>
      </c>
      <c r="F15242" s="0" t="s">
        <v>90</v>
      </c>
      <c r="G15242" s="0" t="s">
        <v>32</v>
      </c>
      <c r="H15242" s="0" t="n">
        <v>33</v>
      </c>
      <c r="I15242" s="0" t="s">
        <v>50656</v>
      </c>
      <c r="J15242" s="0" t="s">
        <v>50657</v>
      </c>
      <c r="K15242" s="0" t="s">
        <v>50658</v>
      </c>
      <c r="L15242" s="0" t="str">
        <f aca="false">HYPERLINK("https://www.ncbi.nlm.nih.gov/nuccore/CP000058.1?report=graph&amp;tracks=[key:gene_model_track,Options:GeneOnly]&amp;mk=4716707:4716726|offset_13|444444,4716687:4716706|offset_33|00cc00,4716651:4716670|offset_69|444444,4716622:4716641|offset_98|444444&amp;v=4716506:4716841&amp;c=444444", "offset 33")</f>
        <v>offset 33</v>
      </c>
    </row>
    <row r="15243" customFormat="false" ht="12.8" hidden="false" customHeight="false" outlineLevel="0" collapsed="false">
      <c r="A15243" s="0" t="s">
        <v>12</v>
      </c>
      <c r="B15243" s="0" t="n">
        <v>4716650</v>
      </c>
      <c r="C15243" s="0" t="n">
        <v>4716670</v>
      </c>
      <c r="D15243" s="0" t="s">
        <v>50652</v>
      </c>
      <c r="E15243" s="0" t="s">
        <v>75</v>
      </c>
      <c r="F15243" s="0" t="s">
        <v>90</v>
      </c>
      <c r="G15243" s="0" t="s">
        <v>36</v>
      </c>
      <c r="H15243" s="0" t="n">
        <v>69</v>
      </c>
      <c r="I15243" s="0" t="s">
        <v>50659</v>
      </c>
      <c r="J15243" s="0" t="s">
        <v>50660</v>
      </c>
      <c r="K15243" s="0" t="s">
        <v>50661</v>
      </c>
      <c r="L15243" s="0" t="str">
        <f aca="false">HYPERLINK("https://www.ncbi.nlm.nih.gov/nuccore/CP000058.1?report=graph&amp;tracks=[key:gene_model_track,Options:GeneOnly]&amp;mk=4716707:4716726|offset_13|444444,4716687:4716706|offset_33|444444,4716651:4716670|offset_69|00cc00,4716622:4716641|offset_98|444444&amp;v=4716506:4716841&amp;c=444444", "offset 69")</f>
        <v>offset 69</v>
      </c>
    </row>
    <row r="15244" customFormat="false" ht="12.8" hidden="false" customHeight="false" outlineLevel="0" collapsed="false">
      <c r="A15244" s="0" t="s">
        <v>12</v>
      </c>
      <c r="B15244" s="0" t="n">
        <v>4716621</v>
      </c>
      <c r="C15244" s="0" t="n">
        <v>4716641</v>
      </c>
      <c r="D15244" s="0" t="s">
        <v>50652</v>
      </c>
      <c r="E15244" s="0" t="s">
        <v>75</v>
      </c>
      <c r="F15244" s="0" t="s">
        <v>90</v>
      </c>
      <c r="G15244" s="0" t="s">
        <v>32</v>
      </c>
      <c r="H15244" s="0" t="n">
        <v>98</v>
      </c>
      <c r="I15244" s="0" t="s">
        <v>50662</v>
      </c>
      <c r="J15244" s="0" t="s">
        <v>50663</v>
      </c>
      <c r="K15244" s="0" t="s">
        <v>50664</v>
      </c>
      <c r="L15244" s="0" t="str">
        <f aca="false">HYPERLINK("https://www.ncbi.nlm.nih.gov/nuccore/CP000058.1?report=graph&amp;tracks=[key:gene_model_track,Options:GeneOnly]&amp;mk=4716707:4716726|offset_13|444444,4716687:4716706|offset_33|444444,4716651:4716670|offset_69|444444,4716622:4716641|offset_98|00cc00&amp;v=4716506:4716841&amp;c=444444", "offset 98")</f>
        <v>offset 98</v>
      </c>
    </row>
    <row r="15245" customFormat="false" ht="12.8" hidden="false" customHeight="false" outlineLevel="0" collapsed="false">
      <c r="A15245" s="0" t="s">
        <v>12</v>
      </c>
      <c r="B15245" s="0" t="n">
        <v>4716917</v>
      </c>
      <c r="C15245" s="0" t="n">
        <v>4716937</v>
      </c>
      <c r="D15245" s="0" t="s">
        <v>50665</v>
      </c>
      <c r="E15245" s="0" t="s">
        <v>75</v>
      </c>
      <c r="F15245" s="0" t="s">
        <v>15</v>
      </c>
      <c r="G15245" s="0" t="s">
        <v>16</v>
      </c>
      <c r="H15245" s="0" t="n">
        <v>33</v>
      </c>
      <c r="I15245" s="0" t="s">
        <v>50666</v>
      </c>
      <c r="J15245" s="0" t="s">
        <v>50667</v>
      </c>
      <c r="K15245" s="0" t="s">
        <v>50668</v>
      </c>
      <c r="L15245" s="0" t="str">
        <f aca="false">HYPERLINK("https://www.ncbi.nlm.nih.gov/nuccore/CP000058.1?report=graph&amp;tracks=[key:gene_model_track,Options:GeneOnly]&amp;mk=4716918:4716937|offset_33|00cc00,4716968:4716987|offset_83|444444,4716997:4717016|offset_112|444444,4717036:4717055|offset_151|444444&amp;v=4716717:4717255&amp;c=444444", "offset 33")</f>
        <v>offset 33</v>
      </c>
    </row>
    <row r="15246" customFormat="false" ht="12.8" hidden="false" customHeight="false" outlineLevel="0" collapsed="false">
      <c r="A15246" s="0" t="s">
        <v>12</v>
      </c>
      <c r="B15246" s="0" t="n">
        <v>4716967</v>
      </c>
      <c r="C15246" s="0" t="n">
        <v>4716987</v>
      </c>
      <c r="D15246" s="0" t="s">
        <v>50665</v>
      </c>
      <c r="E15246" s="0" t="s">
        <v>75</v>
      </c>
      <c r="F15246" s="0" t="s">
        <v>15</v>
      </c>
      <c r="G15246" s="0" t="s">
        <v>20</v>
      </c>
      <c r="H15246" s="0" t="n">
        <v>83</v>
      </c>
      <c r="I15246" s="0" t="s">
        <v>50669</v>
      </c>
      <c r="J15246" s="0" t="s">
        <v>50670</v>
      </c>
      <c r="K15246" s="0" t="s">
        <v>50671</v>
      </c>
      <c r="L15246" s="0" t="str">
        <f aca="false">HYPERLINK("https://www.ncbi.nlm.nih.gov/nuccore/CP000058.1?report=graph&amp;tracks=[key:gene_model_track,Options:GeneOnly]&amp;mk=4716918:4716937|offset_33|444444,4716968:4716987|offset_83|00cc00,4716997:4717016|offset_112|444444,4717036:4717055|offset_151|444444&amp;v=4716717:4717255&amp;c=444444", "offset 83")</f>
        <v>offset 83</v>
      </c>
    </row>
    <row r="15247" customFormat="false" ht="12.8" hidden="false" customHeight="false" outlineLevel="0" collapsed="false">
      <c r="A15247" s="0" t="s">
        <v>12</v>
      </c>
      <c r="B15247" s="0" t="n">
        <v>4716996</v>
      </c>
      <c r="C15247" s="0" t="n">
        <v>4717016</v>
      </c>
      <c r="D15247" s="0" t="s">
        <v>50665</v>
      </c>
      <c r="E15247" s="0" t="s">
        <v>75</v>
      </c>
      <c r="F15247" s="0" t="s">
        <v>15</v>
      </c>
      <c r="G15247" s="0" t="s">
        <v>36</v>
      </c>
      <c r="H15247" s="0" t="n">
        <v>112</v>
      </c>
      <c r="I15247" s="0" t="s">
        <v>50672</v>
      </c>
      <c r="J15247" s="0" t="s">
        <v>50673</v>
      </c>
      <c r="K15247" s="0" t="s">
        <v>50674</v>
      </c>
      <c r="L15247" s="0" t="str">
        <f aca="false">HYPERLINK("https://www.ncbi.nlm.nih.gov/nuccore/CP000058.1?report=graph&amp;tracks=[key:gene_model_track,Options:GeneOnly]&amp;mk=4716918:4716937|offset_33|444444,4716968:4716987|offset_83|444444,4716997:4717016|offset_112|00cc00,4717036:4717055|offset_151|444444&amp;v=4716717:4717255&amp;c=444444", "offset 112")</f>
        <v>offset 112</v>
      </c>
    </row>
    <row r="15248" customFormat="false" ht="12.8" hidden="false" customHeight="false" outlineLevel="0" collapsed="false">
      <c r="A15248" s="0" t="s">
        <v>12</v>
      </c>
      <c r="B15248" s="0" t="n">
        <v>4717035</v>
      </c>
      <c r="C15248" s="0" t="n">
        <v>4717055</v>
      </c>
      <c r="D15248" s="0" t="s">
        <v>50665</v>
      </c>
      <c r="E15248" s="0" t="s">
        <v>75</v>
      </c>
      <c r="F15248" s="0" t="s">
        <v>15</v>
      </c>
      <c r="G15248" s="0" t="s">
        <v>20</v>
      </c>
      <c r="H15248" s="0" t="n">
        <v>151</v>
      </c>
      <c r="I15248" s="0" t="s">
        <v>50675</v>
      </c>
      <c r="J15248" s="0" t="s">
        <v>50676</v>
      </c>
      <c r="K15248" s="0" t="s">
        <v>50677</v>
      </c>
      <c r="L15248" s="0" t="str">
        <f aca="false">HYPERLINK("https://www.ncbi.nlm.nih.gov/nuccore/CP000058.1?report=graph&amp;tracks=[key:gene_model_track,Options:GeneOnly]&amp;mk=4716918:4716937|offset_33|444444,4716968:4716987|offset_83|444444,4716997:4717016|offset_112|444444,4717036:4717055|offset_151|00cc00&amp;v=4716717:4717255&amp;c=444444", "offset 151")</f>
        <v>offset 151</v>
      </c>
    </row>
    <row r="15249" customFormat="false" ht="12.8" hidden="false" customHeight="false" outlineLevel="0" collapsed="false">
      <c r="A15249" s="0" t="s">
        <v>12</v>
      </c>
      <c r="B15249" s="0" t="n">
        <v>4719371</v>
      </c>
      <c r="C15249" s="0" t="n">
        <v>4719391</v>
      </c>
      <c r="D15249" s="0" t="s">
        <v>50678</v>
      </c>
      <c r="E15249" s="0" t="s">
        <v>50679</v>
      </c>
      <c r="F15249" s="0" t="s">
        <v>90</v>
      </c>
      <c r="G15249" s="0" t="s">
        <v>20</v>
      </c>
      <c r="H15249" s="0" t="n">
        <v>38</v>
      </c>
      <c r="I15249" s="0" t="s">
        <v>50680</v>
      </c>
      <c r="J15249" s="0" t="s">
        <v>50681</v>
      </c>
      <c r="K15249" s="0" t="s">
        <v>50682</v>
      </c>
      <c r="L15249" s="0" t="str">
        <f aca="false">HYPERLINK("https://www.ncbi.nlm.nih.gov/nuccore/CP000058.1?report=graph&amp;tracks=[key:gene_model_track,Options:GeneOnly]&amp;mk=4719372:4719391|offset_38|00cc00,4719322:4719341|offset_88|444444,4719235:4719254|offset_175|444444,4719205:4719224|offset_205|444444&amp;v=4719171:4719424&amp;c=444444", "offset 38")</f>
        <v>offset 38</v>
      </c>
    </row>
    <row r="15250" customFormat="false" ht="12.8" hidden="false" customHeight="false" outlineLevel="0" collapsed="false">
      <c r="A15250" s="0" t="s">
        <v>12</v>
      </c>
      <c r="B15250" s="0" t="n">
        <v>4719321</v>
      </c>
      <c r="C15250" s="0" t="n">
        <v>4719341</v>
      </c>
      <c r="D15250" s="0" t="s">
        <v>50678</v>
      </c>
      <c r="E15250" s="0" t="s">
        <v>50679</v>
      </c>
      <c r="F15250" s="0" t="s">
        <v>90</v>
      </c>
      <c r="G15250" s="0" t="s">
        <v>20</v>
      </c>
      <c r="H15250" s="0" t="n">
        <v>88</v>
      </c>
      <c r="I15250" s="0" t="s">
        <v>50683</v>
      </c>
      <c r="J15250" s="0" t="s">
        <v>50684</v>
      </c>
      <c r="K15250" s="0" t="s">
        <v>50685</v>
      </c>
      <c r="L15250" s="0" t="str">
        <f aca="false">HYPERLINK("https://www.ncbi.nlm.nih.gov/nuccore/CP000058.1?report=graph&amp;tracks=[key:gene_model_track,Options:GeneOnly]&amp;mk=4719372:4719391|offset_38|444444,4719322:4719341|offset_88|00cc00,4719235:4719254|offset_175|444444,4719205:4719224|offset_205|444444&amp;v=4719171:4719424&amp;c=444444", "offset 88")</f>
        <v>offset 88</v>
      </c>
    </row>
    <row r="15251" customFormat="false" ht="12.8" hidden="false" customHeight="false" outlineLevel="0" collapsed="false">
      <c r="A15251" s="0" t="s">
        <v>12</v>
      </c>
      <c r="B15251" s="0" t="n">
        <v>4719234</v>
      </c>
      <c r="C15251" s="0" t="n">
        <v>4719254</v>
      </c>
      <c r="D15251" s="0" t="s">
        <v>50678</v>
      </c>
      <c r="E15251" s="0" t="s">
        <v>50679</v>
      </c>
      <c r="F15251" s="0" t="s">
        <v>90</v>
      </c>
      <c r="G15251" s="0" t="s">
        <v>32</v>
      </c>
      <c r="H15251" s="0" t="n">
        <v>175</v>
      </c>
      <c r="I15251" s="0" t="s">
        <v>50686</v>
      </c>
      <c r="J15251" s="0" t="s">
        <v>50687</v>
      </c>
      <c r="K15251" s="0" t="s">
        <v>50688</v>
      </c>
      <c r="L15251" s="0" t="str">
        <f aca="false">HYPERLINK("https://www.ncbi.nlm.nih.gov/nuccore/CP000058.1?report=graph&amp;tracks=[key:gene_model_track,Options:GeneOnly]&amp;mk=4719372:4719391|offset_38|444444,4719322:4719341|offset_88|444444,4719235:4719254|offset_175|00cc00,4719205:4719224|offset_205|444444&amp;v=4719171:4719424&amp;c=444444", "offset 175")</f>
        <v>offset 175</v>
      </c>
    </row>
    <row r="15252" customFormat="false" ht="12.8" hidden="false" customHeight="false" outlineLevel="0" collapsed="false">
      <c r="A15252" s="0" t="s">
        <v>12</v>
      </c>
      <c r="B15252" s="0" t="n">
        <v>4719204</v>
      </c>
      <c r="C15252" s="0" t="n">
        <v>4719224</v>
      </c>
      <c r="D15252" s="0" t="s">
        <v>50678</v>
      </c>
      <c r="E15252" s="0" t="s">
        <v>50679</v>
      </c>
      <c r="F15252" s="0" t="s">
        <v>90</v>
      </c>
      <c r="G15252" s="0" t="s">
        <v>32</v>
      </c>
      <c r="H15252" s="0" t="n">
        <v>205</v>
      </c>
      <c r="I15252" s="0" t="s">
        <v>50689</v>
      </c>
      <c r="J15252" s="0" t="s">
        <v>50690</v>
      </c>
      <c r="K15252" s="0" t="s">
        <v>50691</v>
      </c>
      <c r="L15252" s="0" t="str">
        <f aca="false">HYPERLINK("https://www.ncbi.nlm.nih.gov/nuccore/CP000058.1?report=graph&amp;tracks=[key:gene_model_track,Options:GeneOnly]&amp;mk=4719372:4719391|offset_38|444444,4719322:4719341|offset_88|444444,4719235:4719254|offset_175|444444,4719205:4719224|offset_205|00cc00&amp;v=4719171:4719424&amp;c=444444", "offset 205")</f>
        <v>offset 205</v>
      </c>
    </row>
    <row r="15253" customFormat="false" ht="12.8" hidden="false" customHeight="false" outlineLevel="0" collapsed="false">
      <c r="A15253" s="0" t="s">
        <v>12</v>
      </c>
      <c r="B15253" s="0" t="n">
        <v>4720336</v>
      </c>
      <c r="C15253" s="0" t="n">
        <v>4720356</v>
      </c>
      <c r="D15253" s="0" t="s">
        <v>50692</v>
      </c>
      <c r="E15253" s="0" t="s">
        <v>50693</v>
      </c>
      <c r="F15253" s="0" t="s">
        <v>90</v>
      </c>
      <c r="G15253" s="0" t="s">
        <v>32</v>
      </c>
      <c r="H15253" s="0" t="n">
        <v>1</v>
      </c>
      <c r="I15253" s="0" t="s">
        <v>50694</v>
      </c>
      <c r="J15253" s="0" t="s">
        <v>50695</v>
      </c>
      <c r="K15253" s="0" t="s">
        <v>50696</v>
      </c>
      <c r="L15253" s="0" t="str">
        <f aca="false">HYPERLINK("https://www.ncbi.nlm.nih.gov/nuccore/CP000058.1?report=graph&amp;tracks=[key:gene_model_track,Options:GeneOnly]&amp;mk=4720337:4720356|offset_1|00cc00,4720288:4720307|offset_50|444444,4720268:4720287|offset_70|444444,4720220:4720239|offset_118|444444&amp;v=4720136:4720439&amp;c=444444", "offset 1")</f>
        <v>offset 1</v>
      </c>
    </row>
    <row r="15254" customFormat="false" ht="12.8" hidden="false" customHeight="false" outlineLevel="0" collapsed="false">
      <c r="A15254" s="0" t="s">
        <v>12</v>
      </c>
      <c r="B15254" s="0" t="n">
        <v>4720287</v>
      </c>
      <c r="C15254" s="0" t="n">
        <v>4720307</v>
      </c>
      <c r="D15254" s="0" t="s">
        <v>50692</v>
      </c>
      <c r="E15254" s="0" t="s">
        <v>50693</v>
      </c>
      <c r="F15254" s="0" t="s">
        <v>90</v>
      </c>
      <c r="G15254" s="0" t="s">
        <v>32</v>
      </c>
      <c r="H15254" s="0" t="n">
        <v>50</v>
      </c>
      <c r="I15254" s="0" t="s">
        <v>50697</v>
      </c>
      <c r="J15254" s="0" t="s">
        <v>50698</v>
      </c>
      <c r="K15254" s="0" t="s">
        <v>50699</v>
      </c>
      <c r="L15254" s="0" t="str">
        <f aca="false">HYPERLINK("https://www.ncbi.nlm.nih.gov/nuccore/CP000058.1?report=graph&amp;tracks=[key:gene_model_track,Options:GeneOnly]&amp;mk=4720337:4720356|offset_1|444444,4720288:4720307|offset_50|00cc00,4720268:4720287|offset_70|444444,4720220:4720239|offset_118|444444&amp;v=4720136:4720439&amp;c=444444", "offset 50")</f>
        <v>offset 50</v>
      </c>
    </row>
    <row r="15255" customFormat="false" ht="12.8" hidden="false" customHeight="false" outlineLevel="0" collapsed="false">
      <c r="A15255" s="0" t="s">
        <v>12</v>
      </c>
      <c r="B15255" s="0" t="n">
        <v>4720267</v>
      </c>
      <c r="C15255" s="0" t="n">
        <v>4720287</v>
      </c>
      <c r="D15255" s="0" t="s">
        <v>50692</v>
      </c>
      <c r="E15255" s="0" t="s">
        <v>50693</v>
      </c>
      <c r="F15255" s="0" t="s">
        <v>90</v>
      </c>
      <c r="G15255" s="0" t="s">
        <v>16</v>
      </c>
      <c r="H15255" s="0" t="n">
        <v>70</v>
      </c>
      <c r="I15255" s="0" t="s">
        <v>50700</v>
      </c>
      <c r="J15255" s="0" t="s">
        <v>50701</v>
      </c>
      <c r="K15255" s="0" t="s">
        <v>50702</v>
      </c>
      <c r="L15255" s="0" t="str">
        <f aca="false">HYPERLINK("https://www.ncbi.nlm.nih.gov/nuccore/CP000058.1?report=graph&amp;tracks=[key:gene_model_track,Options:GeneOnly]&amp;mk=4720337:4720356|offset_1|444444,4720288:4720307|offset_50|444444,4720268:4720287|offset_70|00cc00,4720220:4720239|offset_118|444444&amp;v=4720136:4720439&amp;c=444444", "offset 70")</f>
        <v>offset 70</v>
      </c>
    </row>
    <row r="15256" customFormat="false" ht="12.8" hidden="false" customHeight="false" outlineLevel="0" collapsed="false">
      <c r="A15256" s="0" t="s">
        <v>12</v>
      </c>
      <c r="B15256" s="0" t="n">
        <v>4720219</v>
      </c>
      <c r="C15256" s="0" t="n">
        <v>4720239</v>
      </c>
      <c r="D15256" s="0" t="s">
        <v>50692</v>
      </c>
      <c r="E15256" s="0" t="s">
        <v>50693</v>
      </c>
      <c r="F15256" s="0" t="s">
        <v>90</v>
      </c>
      <c r="G15256" s="0" t="s">
        <v>16</v>
      </c>
      <c r="H15256" s="0" t="n">
        <v>118</v>
      </c>
      <c r="I15256" s="0" t="s">
        <v>50703</v>
      </c>
      <c r="J15256" s="0" t="s">
        <v>50704</v>
      </c>
      <c r="K15256" s="0" t="s">
        <v>50705</v>
      </c>
      <c r="L15256" s="0" t="str">
        <f aca="false">HYPERLINK("https://www.ncbi.nlm.nih.gov/nuccore/CP000058.1?report=graph&amp;tracks=[key:gene_model_track,Options:GeneOnly]&amp;mk=4720337:4720356|offset_1|444444,4720288:4720307|offset_50|444444,4720268:4720287|offset_70|444444,4720220:4720239|offset_118|00cc00&amp;v=4720136:4720439&amp;c=444444", "offset 118")</f>
        <v>offset 118</v>
      </c>
    </row>
    <row r="15257" customFormat="false" ht="12.8" hidden="false" customHeight="false" outlineLevel="0" collapsed="false">
      <c r="A15257" s="0" t="s">
        <v>12</v>
      </c>
      <c r="B15257" s="0" t="n">
        <v>4721236</v>
      </c>
      <c r="C15257" s="0" t="n">
        <v>4721256</v>
      </c>
      <c r="D15257" s="0" t="s">
        <v>50706</v>
      </c>
      <c r="E15257" s="0" t="s">
        <v>75</v>
      </c>
      <c r="F15257" s="0" t="s">
        <v>90</v>
      </c>
      <c r="G15257" s="0" t="s">
        <v>36</v>
      </c>
      <c r="H15257" s="0" t="n">
        <v>13</v>
      </c>
      <c r="I15257" s="0" t="s">
        <v>50707</v>
      </c>
      <c r="J15257" s="0" t="s">
        <v>50708</v>
      </c>
      <c r="K15257" s="0" t="s">
        <v>50709</v>
      </c>
      <c r="L15257" s="0" t="str">
        <f aca="false">HYPERLINK("https://www.ncbi.nlm.nih.gov/nuccore/CP000058.1?report=graph&amp;tracks=[key:gene_model_track,Options:GeneOnly]&amp;mk=4721237:4721256|offset_13|00cc00,4721213:4721232|offset_37|444444,4721192:4721211|offset_58|444444,4721172:4721191|offset_78|444444&amp;v=4721036:4721391&amp;c=444444", "offset 13")</f>
        <v>offset 13</v>
      </c>
    </row>
    <row r="15258" customFormat="false" ht="12.8" hidden="false" customHeight="false" outlineLevel="0" collapsed="false">
      <c r="A15258" s="0" t="s">
        <v>12</v>
      </c>
      <c r="B15258" s="0" t="n">
        <v>4721212</v>
      </c>
      <c r="C15258" s="0" t="n">
        <v>4721232</v>
      </c>
      <c r="D15258" s="0" t="s">
        <v>50706</v>
      </c>
      <c r="E15258" s="0" t="s">
        <v>75</v>
      </c>
      <c r="F15258" s="0" t="s">
        <v>90</v>
      </c>
      <c r="G15258" s="0" t="s">
        <v>16</v>
      </c>
      <c r="H15258" s="0" t="n">
        <v>37</v>
      </c>
      <c r="I15258" s="0" t="s">
        <v>50710</v>
      </c>
      <c r="J15258" s="0" t="s">
        <v>50711</v>
      </c>
      <c r="K15258" s="0" t="s">
        <v>50712</v>
      </c>
      <c r="L15258" s="0" t="str">
        <f aca="false">HYPERLINK("https://www.ncbi.nlm.nih.gov/nuccore/CP000058.1?report=graph&amp;tracks=[key:gene_model_track,Options:GeneOnly]&amp;mk=4721237:4721256|offset_13|444444,4721213:4721232|offset_37|00cc00,4721192:4721211|offset_58|444444,4721172:4721191|offset_78|444444&amp;v=4721036:4721391&amp;c=444444", "offset 37")</f>
        <v>offset 37</v>
      </c>
    </row>
    <row r="15259" customFormat="false" ht="12.8" hidden="false" customHeight="false" outlineLevel="0" collapsed="false">
      <c r="A15259" s="0" t="s">
        <v>12</v>
      </c>
      <c r="B15259" s="0" t="n">
        <v>4721191</v>
      </c>
      <c r="C15259" s="0" t="n">
        <v>4721211</v>
      </c>
      <c r="D15259" s="0" t="s">
        <v>50706</v>
      </c>
      <c r="E15259" s="0" t="s">
        <v>75</v>
      </c>
      <c r="F15259" s="0" t="s">
        <v>90</v>
      </c>
      <c r="G15259" s="0" t="s">
        <v>36</v>
      </c>
      <c r="H15259" s="0" t="n">
        <v>58</v>
      </c>
      <c r="I15259" s="0" t="s">
        <v>50713</v>
      </c>
      <c r="J15259" s="0" t="s">
        <v>50714</v>
      </c>
      <c r="K15259" s="0" t="s">
        <v>50715</v>
      </c>
      <c r="L15259" s="0" t="str">
        <f aca="false">HYPERLINK("https://www.ncbi.nlm.nih.gov/nuccore/CP000058.1?report=graph&amp;tracks=[key:gene_model_track,Options:GeneOnly]&amp;mk=4721237:4721256|offset_13|444444,4721213:4721232|offset_37|444444,4721192:4721211|offset_58|00cc00,4721172:4721191|offset_78|444444&amp;v=4721036:4721391&amp;c=444444", "offset 58")</f>
        <v>offset 58</v>
      </c>
    </row>
    <row r="15260" customFormat="false" ht="12.8" hidden="false" customHeight="false" outlineLevel="0" collapsed="false">
      <c r="A15260" s="0" t="s">
        <v>12</v>
      </c>
      <c r="B15260" s="0" t="n">
        <v>4721171</v>
      </c>
      <c r="C15260" s="0" t="n">
        <v>4721191</v>
      </c>
      <c r="D15260" s="0" t="s">
        <v>50706</v>
      </c>
      <c r="E15260" s="0" t="s">
        <v>75</v>
      </c>
      <c r="F15260" s="0" t="s">
        <v>90</v>
      </c>
      <c r="G15260" s="0" t="s">
        <v>20</v>
      </c>
      <c r="H15260" s="0" t="n">
        <v>78</v>
      </c>
      <c r="I15260" s="0" t="s">
        <v>50716</v>
      </c>
      <c r="J15260" s="0" t="s">
        <v>50717</v>
      </c>
      <c r="K15260" s="0" t="s">
        <v>50718</v>
      </c>
      <c r="L15260" s="0" t="str">
        <f aca="false">HYPERLINK("https://www.ncbi.nlm.nih.gov/nuccore/CP000058.1?report=graph&amp;tracks=[key:gene_model_track,Options:GeneOnly]&amp;mk=4721237:4721256|offset_13|444444,4721213:4721232|offset_37|444444,4721192:4721211|offset_58|444444,4721172:4721191|offset_78|00cc00&amp;v=4721036:4721391&amp;c=444444", "offset 78")</f>
        <v>offset 78</v>
      </c>
    </row>
    <row r="15261" customFormat="false" ht="12.8" hidden="false" customHeight="false" outlineLevel="0" collapsed="false">
      <c r="A15261" s="0" t="s">
        <v>12</v>
      </c>
      <c r="B15261" s="0" t="n">
        <v>4721413</v>
      </c>
      <c r="C15261" s="0" t="n">
        <v>4721433</v>
      </c>
      <c r="D15261" s="0" t="s">
        <v>50719</v>
      </c>
      <c r="E15261" s="0" t="s">
        <v>75</v>
      </c>
      <c r="F15261" s="0" t="s">
        <v>15</v>
      </c>
      <c r="G15261" s="0" t="s">
        <v>32</v>
      </c>
      <c r="H15261" s="0" t="n">
        <v>33</v>
      </c>
      <c r="I15261" s="0" t="s">
        <v>50720</v>
      </c>
      <c r="J15261" s="0" t="s">
        <v>50721</v>
      </c>
      <c r="K15261" s="0" t="s">
        <v>50722</v>
      </c>
      <c r="L15261" s="0" t="str">
        <f aca="false">HYPERLINK("https://www.ncbi.nlm.nih.gov/nuccore/CP000058.1?report=graph&amp;tracks=[key:gene_model_track,Options:GeneOnly]&amp;mk=4721414:4721433|offset_33|00cc00,4721439:4721458|offset_58|444444,4721462:4721481|offset_81|444444,4721485:4721504|offset_104|444444&amp;v=4721213:4721704&amp;c=444444", "offset 33")</f>
        <v>offset 33</v>
      </c>
    </row>
    <row r="15262" customFormat="false" ht="12.8" hidden="false" customHeight="false" outlineLevel="0" collapsed="false">
      <c r="A15262" s="0" t="s">
        <v>12</v>
      </c>
      <c r="B15262" s="0" t="n">
        <v>4721438</v>
      </c>
      <c r="C15262" s="0" t="n">
        <v>4721458</v>
      </c>
      <c r="D15262" s="0" t="s">
        <v>50719</v>
      </c>
      <c r="E15262" s="0" t="s">
        <v>75</v>
      </c>
      <c r="F15262" s="0" t="s">
        <v>15</v>
      </c>
      <c r="G15262" s="0" t="s">
        <v>32</v>
      </c>
      <c r="H15262" s="0" t="n">
        <v>58</v>
      </c>
      <c r="I15262" s="0" t="s">
        <v>50723</v>
      </c>
      <c r="J15262" s="0" t="s">
        <v>50724</v>
      </c>
      <c r="K15262" s="0" t="s">
        <v>50725</v>
      </c>
      <c r="L15262" s="0" t="str">
        <f aca="false">HYPERLINK("https://www.ncbi.nlm.nih.gov/nuccore/CP000058.1?report=graph&amp;tracks=[key:gene_model_track,Options:GeneOnly]&amp;mk=4721414:4721433|offset_33|444444,4721439:4721458|offset_58|00cc00,4721462:4721481|offset_81|444444,4721485:4721504|offset_104|444444&amp;v=4721213:4721704&amp;c=444444", "offset 58")</f>
        <v>offset 58</v>
      </c>
    </row>
    <row r="15263" customFormat="false" ht="12.8" hidden="false" customHeight="false" outlineLevel="0" collapsed="false">
      <c r="A15263" s="0" t="s">
        <v>12</v>
      </c>
      <c r="B15263" s="0" t="n">
        <v>4721461</v>
      </c>
      <c r="C15263" s="0" t="n">
        <v>4721481</v>
      </c>
      <c r="D15263" s="0" t="s">
        <v>50719</v>
      </c>
      <c r="E15263" s="0" t="s">
        <v>75</v>
      </c>
      <c r="F15263" s="0" t="s">
        <v>15</v>
      </c>
      <c r="G15263" s="0" t="s">
        <v>16</v>
      </c>
      <c r="H15263" s="0" t="n">
        <v>81</v>
      </c>
      <c r="I15263" s="0" t="s">
        <v>50726</v>
      </c>
      <c r="J15263" s="0" t="s">
        <v>50727</v>
      </c>
      <c r="K15263" s="0" t="s">
        <v>50728</v>
      </c>
      <c r="L15263" s="0" t="str">
        <f aca="false">HYPERLINK("https://www.ncbi.nlm.nih.gov/nuccore/CP000058.1?report=graph&amp;tracks=[key:gene_model_track,Options:GeneOnly]&amp;mk=4721414:4721433|offset_33|444444,4721439:4721458|offset_58|444444,4721462:4721481|offset_81|00cc00,4721485:4721504|offset_104|444444&amp;v=4721213:4721704&amp;c=444444", "offset 81")</f>
        <v>offset 81</v>
      </c>
    </row>
    <row r="15264" customFormat="false" ht="12.8" hidden="false" customHeight="false" outlineLevel="0" collapsed="false">
      <c r="A15264" s="0" t="s">
        <v>12</v>
      </c>
      <c r="B15264" s="0" t="n">
        <v>4721484</v>
      </c>
      <c r="C15264" s="0" t="n">
        <v>4721504</v>
      </c>
      <c r="D15264" s="0" t="s">
        <v>50719</v>
      </c>
      <c r="E15264" s="0" t="s">
        <v>75</v>
      </c>
      <c r="F15264" s="0" t="s">
        <v>15</v>
      </c>
      <c r="G15264" s="0" t="s">
        <v>20</v>
      </c>
      <c r="H15264" s="0" t="n">
        <v>104</v>
      </c>
      <c r="I15264" s="0" t="s">
        <v>50729</v>
      </c>
      <c r="J15264" s="0" t="s">
        <v>50730</v>
      </c>
      <c r="K15264" s="0" t="s">
        <v>50731</v>
      </c>
      <c r="L15264" s="0" t="str">
        <f aca="false">HYPERLINK("https://www.ncbi.nlm.nih.gov/nuccore/CP000058.1?report=graph&amp;tracks=[key:gene_model_track,Options:GeneOnly]&amp;mk=4721414:4721433|offset_33|444444,4721439:4721458|offset_58|444444,4721462:4721481|offset_81|444444,4721485:4721504|offset_104|00cc00&amp;v=4721213:4721704&amp;c=444444", "offset 104")</f>
        <v>offset 104</v>
      </c>
    </row>
    <row r="15265" customFormat="false" ht="12.8" hidden="false" customHeight="false" outlineLevel="0" collapsed="false">
      <c r="A15265" s="0" t="s">
        <v>12</v>
      </c>
      <c r="B15265" s="0" t="n">
        <v>4724222</v>
      </c>
      <c r="C15265" s="0" t="n">
        <v>4724242</v>
      </c>
      <c r="D15265" s="0" t="s">
        <v>50732</v>
      </c>
      <c r="E15265" s="0" t="s">
        <v>50733</v>
      </c>
      <c r="F15265" s="0" t="s">
        <v>90</v>
      </c>
      <c r="G15265" s="0" t="s">
        <v>36</v>
      </c>
      <c r="H15265" s="0" t="n">
        <v>20</v>
      </c>
      <c r="I15265" s="0" t="s">
        <v>50734</v>
      </c>
      <c r="J15265" s="0" t="s">
        <v>50735</v>
      </c>
      <c r="K15265" s="0" t="s">
        <v>50736</v>
      </c>
      <c r="L15265" s="0" t="str">
        <f aca="false">HYPERLINK("https://www.ncbi.nlm.nih.gov/nuccore/CP000058.1?report=graph&amp;tracks=[key:gene_model_track,Options:GeneOnly]&amp;mk=4724223:4724242|offset_20|00cc00,4724201:4724220|offset_42|444444,4724180:4724199|offset_63|444444,4724149:4724168|offset_94|444444&amp;v=4724022:4724368&amp;c=444444", "offset 20")</f>
        <v>offset 20</v>
      </c>
    </row>
    <row r="15266" customFormat="false" ht="12.8" hidden="false" customHeight="false" outlineLevel="0" collapsed="false">
      <c r="A15266" s="0" t="s">
        <v>12</v>
      </c>
      <c r="B15266" s="0" t="n">
        <v>4724200</v>
      </c>
      <c r="C15266" s="0" t="n">
        <v>4724220</v>
      </c>
      <c r="D15266" s="0" t="s">
        <v>50732</v>
      </c>
      <c r="E15266" s="0" t="s">
        <v>50733</v>
      </c>
      <c r="F15266" s="0" t="s">
        <v>90</v>
      </c>
      <c r="G15266" s="0" t="s">
        <v>20</v>
      </c>
      <c r="H15266" s="0" t="n">
        <v>42</v>
      </c>
      <c r="I15266" s="0" t="s">
        <v>50737</v>
      </c>
      <c r="J15266" s="0" t="s">
        <v>50738</v>
      </c>
      <c r="K15266" s="0" t="s">
        <v>50739</v>
      </c>
      <c r="L15266" s="0" t="str">
        <f aca="false">HYPERLINK("https://www.ncbi.nlm.nih.gov/nuccore/CP000058.1?report=graph&amp;tracks=[key:gene_model_track,Options:GeneOnly]&amp;mk=4724223:4724242|offset_20|444444,4724201:4724220|offset_42|00cc00,4724180:4724199|offset_63|444444,4724149:4724168|offset_94|444444&amp;v=4724022:4724368&amp;c=444444", "offset 42")</f>
        <v>offset 42</v>
      </c>
    </row>
    <row r="15267" customFormat="false" ht="12.8" hidden="false" customHeight="false" outlineLevel="0" collapsed="false">
      <c r="A15267" s="0" t="s">
        <v>12</v>
      </c>
      <c r="B15267" s="0" t="n">
        <v>4724179</v>
      </c>
      <c r="C15267" s="0" t="n">
        <v>4724199</v>
      </c>
      <c r="D15267" s="0" t="s">
        <v>50732</v>
      </c>
      <c r="E15267" s="0" t="s">
        <v>50733</v>
      </c>
      <c r="F15267" s="0" t="s">
        <v>90</v>
      </c>
      <c r="G15267" s="0" t="s">
        <v>16</v>
      </c>
      <c r="H15267" s="0" t="n">
        <v>63</v>
      </c>
      <c r="I15267" s="0" t="s">
        <v>50740</v>
      </c>
      <c r="J15267" s="0" t="s">
        <v>50741</v>
      </c>
      <c r="K15267" s="0" t="s">
        <v>50742</v>
      </c>
      <c r="L15267" s="0" t="str">
        <f aca="false">HYPERLINK("https://www.ncbi.nlm.nih.gov/nuccore/CP000058.1?report=graph&amp;tracks=[key:gene_model_track,Options:GeneOnly]&amp;mk=4724223:4724242|offset_20|444444,4724201:4724220|offset_42|444444,4724180:4724199|offset_63|00cc00,4724149:4724168|offset_94|444444&amp;v=4724022:4724368&amp;c=444444", "offset 63")</f>
        <v>offset 63</v>
      </c>
    </row>
    <row r="15268" customFormat="false" ht="12.8" hidden="false" customHeight="false" outlineLevel="0" collapsed="false">
      <c r="A15268" s="0" t="s">
        <v>12</v>
      </c>
      <c r="B15268" s="0" t="n">
        <v>4724148</v>
      </c>
      <c r="C15268" s="0" t="n">
        <v>4724168</v>
      </c>
      <c r="D15268" s="0" t="s">
        <v>50732</v>
      </c>
      <c r="E15268" s="0" t="s">
        <v>50733</v>
      </c>
      <c r="F15268" s="0" t="s">
        <v>90</v>
      </c>
      <c r="G15268" s="0" t="s">
        <v>32</v>
      </c>
      <c r="H15268" s="0" t="n">
        <v>94</v>
      </c>
      <c r="I15268" s="0" t="s">
        <v>50743</v>
      </c>
      <c r="J15268" s="0" t="s">
        <v>50744</v>
      </c>
      <c r="K15268" s="0" t="s">
        <v>50745</v>
      </c>
      <c r="L15268" s="0" t="str">
        <f aca="false">HYPERLINK("https://www.ncbi.nlm.nih.gov/nuccore/CP000058.1?report=graph&amp;tracks=[key:gene_model_track,Options:GeneOnly]&amp;mk=4724223:4724242|offset_20|444444,4724201:4724220|offset_42|444444,4724180:4724199|offset_63|444444,4724149:4724168|offset_94|00cc00&amp;v=4724022:4724368&amp;c=444444", "offset 94")</f>
        <v>offset 94</v>
      </c>
    </row>
    <row r="15269" customFormat="false" ht="12.8" hidden="false" customHeight="false" outlineLevel="0" collapsed="false">
      <c r="A15269" s="0" t="s">
        <v>12</v>
      </c>
      <c r="B15269" s="0" t="n">
        <v>4725581</v>
      </c>
      <c r="C15269" s="0" t="n">
        <v>4725601</v>
      </c>
      <c r="D15269" s="0" t="s">
        <v>50746</v>
      </c>
      <c r="E15269" s="0" t="s">
        <v>50747</v>
      </c>
      <c r="F15269" s="0" t="s">
        <v>90</v>
      </c>
      <c r="G15269" s="0" t="s">
        <v>32</v>
      </c>
      <c r="H15269" s="0" t="n">
        <v>7</v>
      </c>
      <c r="I15269" s="0" t="s">
        <v>50748</v>
      </c>
      <c r="J15269" s="0" t="s">
        <v>50749</v>
      </c>
      <c r="K15269" s="0" t="s">
        <v>50750</v>
      </c>
      <c r="L15269" s="0" t="str">
        <f aca="false">HYPERLINK("https://www.ncbi.nlm.nih.gov/nuccore/CP000058.1?report=graph&amp;tracks=[key:gene_model_track,Options:GeneOnly]&amp;mk=4725582:4725601|offset_7|00cc00,4725545:4725564|offset_44|444444,4725518:4725537|offset_71|444444,4725479:4725498|offset_110|444444&amp;v=4725381:4725698&amp;c=444444", "offset 7")</f>
        <v>offset 7</v>
      </c>
    </row>
    <row r="15270" customFormat="false" ht="12.8" hidden="false" customHeight="false" outlineLevel="0" collapsed="false">
      <c r="A15270" s="0" t="s">
        <v>12</v>
      </c>
      <c r="B15270" s="0" t="n">
        <v>4725544</v>
      </c>
      <c r="C15270" s="0" t="n">
        <v>4725564</v>
      </c>
      <c r="D15270" s="0" t="s">
        <v>50746</v>
      </c>
      <c r="E15270" s="0" t="s">
        <v>50747</v>
      </c>
      <c r="F15270" s="0" t="s">
        <v>90</v>
      </c>
      <c r="G15270" s="0" t="s">
        <v>36</v>
      </c>
      <c r="H15270" s="0" t="n">
        <v>44</v>
      </c>
      <c r="I15270" s="0" t="s">
        <v>50751</v>
      </c>
      <c r="J15270" s="0" t="s">
        <v>50752</v>
      </c>
      <c r="K15270" s="0" t="s">
        <v>50753</v>
      </c>
      <c r="L15270" s="0" t="str">
        <f aca="false">HYPERLINK("https://www.ncbi.nlm.nih.gov/nuccore/CP000058.1?report=graph&amp;tracks=[key:gene_model_track,Options:GeneOnly]&amp;mk=4725582:4725601|offset_7|444444,4725545:4725564|offset_44|00cc00,4725518:4725537|offset_71|444444,4725479:4725498|offset_110|444444&amp;v=4725381:4725698&amp;c=444444", "offset 44")</f>
        <v>offset 44</v>
      </c>
    </row>
    <row r="15271" customFormat="false" ht="12.8" hidden="false" customHeight="false" outlineLevel="0" collapsed="false">
      <c r="A15271" s="0" t="s">
        <v>12</v>
      </c>
      <c r="B15271" s="0" t="n">
        <v>4725517</v>
      </c>
      <c r="C15271" s="0" t="n">
        <v>4725537</v>
      </c>
      <c r="D15271" s="0" t="s">
        <v>50746</v>
      </c>
      <c r="E15271" s="0" t="s">
        <v>50747</v>
      </c>
      <c r="F15271" s="0" t="s">
        <v>90</v>
      </c>
      <c r="G15271" s="0" t="s">
        <v>20</v>
      </c>
      <c r="H15271" s="0" t="n">
        <v>71</v>
      </c>
      <c r="I15271" s="0" t="s">
        <v>50754</v>
      </c>
      <c r="J15271" s="0" t="s">
        <v>50755</v>
      </c>
      <c r="K15271" s="0" t="s">
        <v>50756</v>
      </c>
      <c r="L15271" s="0" t="str">
        <f aca="false">HYPERLINK("https://www.ncbi.nlm.nih.gov/nuccore/CP000058.1?report=graph&amp;tracks=[key:gene_model_track,Options:GeneOnly]&amp;mk=4725582:4725601|offset_7|444444,4725545:4725564|offset_44|444444,4725518:4725537|offset_71|00cc00,4725479:4725498|offset_110|444444&amp;v=4725381:4725698&amp;c=444444", "offset 71")</f>
        <v>offset 71</v>
      </c>
    </row>
    <row r="15272" customFormat="false" ht="12.8" hidden="false" customHeight="false" outlineLevel="0" collapsed="false">
      <c r="A15272" s="0" t="s">
        <v>12</v>
      </c>
      <c r="B15272" s="0" t="n">
        <v>4725478</v>
      </c>
      <c r="C15272" s="0" t="n">
        <v>4725498</v>
      </c>
      <c r="D15272" s="0" t="s">
        <v>50746</v>
      </c>
      <c r="E15272" s="0" t="s">
        <v>50747</v>
      </c>
      <c r="F15272" s="0" t="s">
        <v>90</v>
      </c>
      <c r="G15272" s="0" t="s">
        <v>32</v>
      </c>
      <c r="H15272" s="0" t="n">
        <v>110</v>
      </c>
      <c r="I15272" s="0" t="s">
        <v>50757</v>
      </c>
      <c r="J15272" s="0" t="s">
        <v>50758</v>
      </c>
      <c r="K15272" s="0" t="s">
        <v>50759</v>
      </c>
      <c r="L15272" s="0" t="str">
        <f aca="false">HYPERLINK("https://www.ncbi.nlm.nih.gov/nuccore/CP000058.1?report=graph&amp;tracks=[key:gene_model_track,Options:GeneOnly]&amp;mk=4725582:4725601|offset_7|444444,4725545:4725564|offset_44|444444,4725518:4725537|offset_71|444444,4725479:4725498|offset_110|00cc00&amp;v=4725381:4725698&amp;c=444444", "offset 110")</f>
        <v>offset 110</v>
      </c>
    </row>
    <row r="15273" customFormat="false" ht="12.8" hidden="false" customHeight="false" outlineLevel="0" collapsed="false">
      <c r="A15273" s="0" t="s">
        <v>12</v>
      </c>
      <c r="B15273" s="0" t="n">
        <v>4726348</v>
      </c>
      <c r="C15273" s="0" t="n">
        <v>4726368</v>
      </c>
      <c r="D15273" s="0" t="s">
        <v>50760</v>
      </c>
      <c r="E15273" s="0" t="s">
        <v>50761</v>
      </c>
      <c r="F15273" s="0" t="s">
        <v>90</v>
      </c>
      <c r="G15273" s="0" t="s">
        <v>36</v>
      </c>
      <c r="H15273" s="0" t="n">
        <v>0</v>
      </c>
      <c r="I15273" s="0" t="s">
        <v>50762</v>
      </c>
      <c r="J15273" s="0" t="s">
        <v>50763</v>
      </c>
      <c r="K15273" s="0" t="s">
        <v>50764</v>
      </c>
      <c r="L15273" s="0" t="str">
        <f aca="false">HYPERLINK("https://www.ncbi.nlm.nih.gov/nuccore/CP000058.1?report=graph&amp;tracks=[key:gene_model_track,Options:GeneOnly]&amp;mk=4726349:4726368|offset_0|00cc00,4726327:4726346|offset_22|444444,4726303:4726322|offset_46|444444,4726271:4726290|offset_78|444444&amp;v=4726148:4726490&amp;c=444444", "offset 0")</f>
        <v>offset 0</v>
      </c>
    </row>
    <row r="15274" customFormat="false" ht="12.8" hidden="false" customHeight="false" outlineLevel="0" collapsed="false">
      <c r="A15274" s="0" t="s">
        <v>12</v>
      </c>
      <c r="B15274" s="0" t="n">
        <v>4726326</v>
      </c>
      <c r="C15274" s="0" t="n">
        <v>4726346</v>
      </c>
      <c r="D15274" s="0" t="s">
        <v>50760</v>
      </c>
      <c r="E15274" s="0" t="s">
        <v>50761</v>
      </c>
      <c r="F15274" s="0" t="s">
        <v>90</v>
      </c>
      <c r="G15274" s="0" t="s">
        <v>32</v>
      </c>
      <c r="H15274" s="0" t="n">
        <v>22</v>
      </c>
      <c r="I15274" s="0" t="s">
        <v>50765</v>
      </c>
      <c r="J15274" s="0" t="s">
        <v>50766</v>
      </c>
      <c r="K15274" s="0" t="s">
        <v>50767</v>
      </c>
      <c r="L15274" s="0" t="str">
        <f aca="false">HYPERLINK("https://www.ncbi.nlm.nih.gov/nuccore/CP000058.1?report=graph&amp;tracks=[key:gene_model_track,Options:GeneOnly]&amp;mk=4726349:4726368|offset_0|444444,4726327:4726346|offset_22|00cc00,4726303:4726322|offset_46|444444,4726271:4726290|offset_78|444444&amp;v=4726148:4726490&amp;c=444444", "offset 22")</f>
        <v>offset 22</v>
      </c>
    </row>
    <row r="15275" customFormat="false" ht="12.8" hidden="false" customHeight="false" outlineLevel="0" collapsed="false">
      <c r="A15275" s="0" t="s">
        <v>12</v>
      </c>
      <c r="B15275" s="0" t="n">
        <v>4726302</v>
      </c>
      <c r="C15275" s="0" t="n">
        <v>4726322</v>
      </c>
      <c r="D15275" s="0" t="s">
        <v>50760</v>
      </c>
      <c r="E15275" s="0" t="s">
        <v>50761</v>
      </c>
      <c r="F15275" s="0" t="s">
        <v>90</v>
      </c>
      <c r="G15275" s="0" t="s">
        <v>36</v>
      </c>
      <c r="H15275" s="0" t="n">
        <v>46</v>
      </c>
      <c r="I15275" s="0" t="s">
        <v>50768</v>
      </c>
      <c r="J15275" s="0" t="s">
        <v>50769</v>
      </c>
      <c r="K15275" s="0" t="s">
        <v>50770</v>
      </c>
      <c r="L15275" s="0" t="str">
        <f aca="false">HYPERLINK("https://www.ncbi.nlm.nih.gov/nuccore/CP000058.1?report=graph&amp;tracks=[key:gene_model_track,Options:GeneOnly]&amp;mk=4726349:4726368|offset_0|444444,4726327:4726346|offset_22|444444,4726303:4726322|offset_46|00cc00,4726271:4726290|offset_78|444444&amp;v=4726148:4726490&amp;c=444444", "offset 46")</f>
        <v>offset 46</v>
      </c>
    </row>
    <row r="15276" customFormat="false" ht="12.8" hidden="false" customHeight="false" outlineLevel="0" collapsed="false">
      <c r="A15276" s="0" t="s">
        <v>12</v>
      </c>
      <c r="B15276" s="0" t="n">
        <v>4726270</v>
      </c>
      <c r="C15276" s="0" t="n">
        <v>4726290</v>
      </c>
      <c r="D15276" s="0" t="s">
        <v>50760</v>
      </c>
      <c r="E15276" s="0" t="s">
        <v>50761</v>
      </c>
      <c r="F15276" s="0" t="s">
        <v>90</v>
      </c>
      <c r="G15276" s="0" t="s">
        <v>16</v>
      </c>
      <c r="H15276" s="0" t="n">
        <v>78</v>
      </c>
      <c r="I15276" s="0" t="s">
        <v>50771</v>
      </c>
      <c r="J15276" s="0" t="s">
        <v>50772</v>
      </c>
      <c r="K15276" s="0" t="s">
        <v>50773</v>
      </c>
      <c r="L15276" s="0" t="str">
        <f aca="false">HYPERLINK("https://www.ncbi.nlm.nih.gov/nuccore/CP000058.1?report=graph&amp;tracks=[key:gene_model_track,Options:GeneOnly]&amp;mk=4726349:4726368|offset_0|444444,4726327:4726346|offset_22|444444,4726303:4726322|offset_46|444444,4726271:4726290|offset_78|00cc00&amp;v=4726148:4726490&amp;c=444444", "offset 78")</f>
        <v>offset 78</v>
      </c>
    </row>
    <row r="15277" customFormat="false" ht="12.8" hidden="false" customHeight="false" outlineLevel="0" collapsed="false">
      <c r="A15277" s="0" t="s">
        <v>12</v>
      </c>
      <c r="B15277" s="0" t="n">
        <v>4727746</v>
      </c>
      <c r="C15277" s="0" t="n">
        <v>4727766</v>
      </c>
      <c r="D15277" s="0" t="s">
        <v>50774</v>
      </c>
      <c r="E15277" s="0" t="s">
        <v>50775</v>
      </c>
      <c r="F15277" s="0" t="s">
        <v>90</v>
      </c>
      <c r="G15277" s="0" t="s">
        <v>16</v>
      </c>
      <c r="H15277" s="0" t="n">
        <v>22</v>
      </c>
      <c r="I15277" s="0" t="s">
        <v>50776</v>
      </c>
      <c r="J15277" s="0" t="s">
        <v>50777</v>
      </c>
      <c r="K15277" s="0" t="s">
        <v>50778</v>
      </c>
      <c r="L15277" s="0" t="str">
        <f aca="false">HYPERLINK("https://www.ncbi.nlm.nih.gov/nuccore/CP000058.1?report=graph&amp;tracks=[key:gene_model_track,Options:GeneOnly]&amp;mk=4727747:4727766|offset_22|00cc00,4727711:4727730|offset_58|444444,4727688:4727707|offset_81|444444,4727655:4727674|offset_114|444444&amp;v=4727546:4727874&amp;c=444444", "offset 22")</f>
        <v>offset 22</v>
      </c>
    </row>
    <row r="15278" customFormat="false" ht="12.8" hidden="false" customHeight="false" outlineLevel="0" collapsed="false">
      <c r="A15278" s="0" t="s">
        <v>12</v>
      </c>
      <c r="B15278" s="0" t="n">
        <v>4727710</v>
      </c>
      <c r="C15278" s="0" t="n">
        <v>4727730</v>
      </c>
      <c r="D15278" s="0" t="s">
        <v>50774</v>
      </c>
      <c r="E15278" s="0" t="s">
        <v>50775</v>
      </c>
      <c r="F15278" s="0" t="s">
        <v>90</v>
      </c>
      <c r="G15278" s="0" t="s">
        <v>16</v>
      </c>
      <c r="H15278" s="0" t="n">
        <v>58</v>
      </c>
      <c r="I15278" s="0" t="s">
        <v>50779</v>
      </c>
      <c r="J15278" s="0" t="s">
        <v>50780</v>
      </c>
      <c r="K15278" s="0" t="s">
        <v>50781</v>
      </c>
      <c r="L15278" s="0" t="str">
        <f aca="false">HYPERLINK("https://www.ncbi.nlm.nih.gov/nuccore/CP000058.1?report=graph&amp;tracks=[key:gene_model_track,Options:GeneOnly]&amp;mk=4727747:4727766|offset_22|444444,4727711:4727730|offset_58|00cc00,4727688:4727707|offset_81|444444,4727655:4727674|offset_114|444444&amp;v=4727546:4727874&amp;c=444444", "offset 58")</f>
        <v>offset 58</v>
      </c>
    </row>
    <row r="15279" customFormat="false" ht="12.8" hidden="false" customHeight="false" outlineLevel="0" collapsed="false">
      <c r="A15279" s="0" t="s">
        <v>12</v>
      </c>
      <c r="B15279" s="0" t="n">
        <v>4727687</v>
      </c>
      <c r="C15279" s="0" t="n">
        <v>4727707</v>
      </c>
      <c r="D15279" s="0" t="s">
        <v>50774</v>
      </c>
      <c r="E15279" s="0" t="s">
        <v>50775</v>
      </c>
      <c r="F15279" s="0" t="s">
        <v>90</v>
      </c>
      <c r="G15279" s="0" t="s">
        <v>16</v>
      </c>
      <c r="H15279" s="0" t="n">
        <v>81</v>
      </c>
      <c r="I15279" s="0" t="s">
        <v>50782</v>
      </c>
      <c r="J15279" s="0" t="s">
        <v>50783</v>
      </c>
      <c r="K15279" s="0" t="s">
        <v>50784</v>
      </c>
      <c r="L15279" s="0" t="str">
        <f aca="false">HYPERLINK("https://www.ncbi.nlm.nih.gov/nuccore/CP000058.1?report=graph&amp;tracks=[key:gene_model_track,Options:GeneOnly]&amp;mk=4727747:4727766|offset_22|444444,4727711:4727730|offset_58|444444,4727688:4727707|offset_81|00cc00,4727655:4727674|offset_114|444444&amp;v=4727546:4727874&amp;c=444444", "offset 81")</f>
        <v>offset 81</v>
      </c>
    </row>
    <row r="15280" customFormat="false" ht="12.8" hidden="false" customHeight="false" outlineLevel="0" collapsed="false">
      <c r="A15280" s="0" t="s">
        <v>12</v>
      </c>
      <c r="B15280" s="0" t="n">
        <v>4727654</v>
      </c>
      <c r="C15280" s="0" t="n">
        <v>4727674</v>
      </c>
      <c r="D15280" s="0" t="s">
        <v>50774</v>
      </c>
      <c r="E15280" s="0" t="s">
        <v>50775</v>
      </c>
      <c r="F15280" s="0" t="s">
        <v>90</v>
      </c>
      <c r="G15280" s="0" t="s">
        <v>16</v>
      </c>
      <c r="H15280" s="0" t="n">
        <v>114</v>
      </c>
      <c r="I15280" s="0" t="s">
        <v>50785</v>
      </c>
      <c r="J15280" s="0" t="s">
        <v>50786</v>
      </c>
      <c r="K15280" s="0" t="s">
        <v>50787</v>
      </c>
      <c r="L15280" s="0" t="str">
        <f aca="false">HYPERLINK("https://www.ncbi.nlm.nih.gov/nuccore/CP000058.1?report=graph&amp;tracks=[key:gene_model_track,Options:GeneOnly]&amp;mk=4727747:4727766|offset_22|444444,4727711:4727730|offset_58|444444,4727688:4727707|offset_81|444444,4727655:4727674|offset_114|00cc00&amp;v=4727546:4727874&amp;c=444444", "offset 114")</f>
        <v>offset 114</v>
      </c>
    </row>
    <row r="15281" customFormat="false" ht="12.8" hidden="false" customHeight="false" outlineLevel="0" collapsed="false">
      <c r="A15281" s="0" t="s">
        <v>12</v>
      </c>
      <c r="B15281" s="0" t="n">
        <v>4728020</v>
      </c>
      <c r="C15281" s="0" t="n">
        <v>4728040</v>
      </c>
      <c r="D15281" s="0" t="s">
        <v>50788</v>
      </c>
      <c r="E15281" s="0" t="s">
        <v>75</v>
      </c>
      <c r="F15281" s="0" t="s">
        <v>90</v>
      </c>
      <c r="G15281" s="0" t="s">
        <v>16</v>
      </c>
      <c r="H15281" s="0" t="n">
        <v>10</v>
      </c>
      <c r="I15281" s="0" t="s">
        <v>50789</v>
      </c>
      <c r="J15281" s="0" t="s">
        <v>50790</v>
      </c>
      <c r="K15281" s="0" t="s">
        <v>50791</v>
      </c>
      <c r="L15281" s="0" t="str">
        <f aca="false">HYPERLINK("https://www.ncbi.nlm.nih.gov/nuccore/CP000058.1?report=graph&amp;tracks=[key:gene_model_track,Options:GeneOnly]&amp;mk=4728021:4728040|offset_10|00cc00,4727986:4728005|offset_45|444444,4727945:4727964|offset_86|444444,4727916:4727935|offset_115|444444&amp;v=4727820:4728135&amp;c=444444", "offset 10")</f>
        <v>offset 10</v>
      </c>
    </row>
    <row r="15282" customFormat="false" ht="12.8" hidden="false" customHeight="false" outlineLevel="0" collapsed="false">
      <c r="A15282" s="0" t="s">
        <v>12</v>
      </c>
      <c r="B15282" s="0" t="n">
        <v>4727985</v>
      </c>
      <c r="C15282" s="0" t="n">
        <v>4728005</v>
      </c>
      <c r="D15282" s="0" t="s">
        <v>50788</v>
      </c>
      <c r="E15282" s="0" t="s">
        <v>75</v>
      </c>
      <c r="F15282" s="0" t="s">
        <v>90</v>
      </c>
      <c r="G15282" s="0" t="s">
        <v>16</v>
      </c>
      <c r="H15282" s="0" t="n">
        <v>45</v>
      </c>
      <c r="I15282" s="0" t="s">
        <v>50792</v>
      </c>
      <c r="J15282" s="0" t="s">
        <v>50793</v>
      </c>
      <c r="K15282" s="0" t="s">
        <v>50794</v>
      </c>
      <c r="L15282" s="0" t="str">
        <f aca="false">HYPERLINK("https://www.ncbi.nlm.nih.gov/nuccore/CP000058.1?report=graph&amp;tracks=[key:gene_model_track,Options:GeneOnly]&amp;mk=4728021:4728040|offset_10|444444,4727986:4728005|offset_45|00cc00,4727945:4727964|offset_86|444444,4727916:4727935|offset_115|444444&amp;v=4727820:4728135&amp;c=444444", "offset 45")</f>
        <v>offset 45</v>
      </c>
    </row>
    <row r="15283" customFormat="false" ht="12.8" hidden="false" customHeight="false" outlineLevel="0" collapsed="false">
      <c r="A15283" s="0" t="s">
        <v>12</v>
      </c>
      <c r="B15283" s="0" t="n">
        <v>4727944</v>
      </c>
      <c r="C15283" s="0" t="n">
        <v>4727964</v>
      </c>
      <c r="D15283" s="0" t="s">
        <v>50788</v>
      </c>
      <c r="E15283" s="0" t="s">
        <v>75</v>
      </c>
      <c r="F15283" s="0" t="s">
        <v>90</v>
      </c>
      <c r="G15283" s="0" t="s">
        <v>32</v>
      </c>
      <c r="H15283" s="0" t="n">
        <v>86</v>
      </c>
      <c r="I15283" s="0" t="s">
        <v>50795</v>
      </c>
      <c r="J15283" s="0" t="s">
        <v>50796</v>
      </c>
      <c r="K15283" s="0" t="s">
        <v>50797</v>
      </c>
      <c r="L15283" s="0" t="str">
        <f aca="false">HYPERLINK("https://www.ncbi.nlm.nih.gov/nuccore/CP000058.1?report=graph&amp;tracks=[key:gene_model_track,Options:GeneOnly]&amp;mk=4728021:4728040|offset_10|444444,4727986:4728005|offset_45|444444,4727945:4727964|offset_86|00cc00,4727916:4727935|offset_115|444444&amp;v=4727820:4728135&amp;c=444444", "offset 86")</f>
        <v>offset 86</v>
      </c>
    </row>
    <row r="15284" customFormat="false" ht="12.8" hidden="false" customHeight="false" outlineLevel="0" collapsed="false">
      <c r="A15284" s="0" t="s">
        <v>12</v>
      </c>
      <c r="B15284" s="0" t="n">
        <v>4727915</v>
      </c>
      <c r="C15284" s="0" t="n">
        <v>4727935</v>
      </c>
      <c r="D15284" s="0" t="s">
        <v>50788</v>
      </c>
      <c r="E15284" s="0" t="s">
        <v>75</v>
      </c>
      <c r="F15284" s="0" t="s">
        <v>90</v>
      </c>
      <c r="G15284" s="0" t="s">
        <v>16</v>
      </c>
      <c r="H15284" s="0" t="n">
        <v>115</v>
      </c>
      <c r="I15284" s="0" t="s">
        <v>50798</v>
      </c>
      <c r="J15284" s="0" t="s">
        <v>50799</v>
      </c>
      <c r="K15284" s="0" t="s">
        <v>50800</v>
      </c>
      <c r="L15284" s="0" t="str">
        <f aca="false">HYPERLINK("https://www.ncbi.nlm.nih.gov/nuccore/CP000058.1?report=graph&amp;tracks=[key:gene_model_track,Options:GeneOnly]&amp;mk=4728021:4728040|offset_10|444444,4727986:4728005|offset_45|444444,4727945:4727964|offset_86|444444,4727916:4727935|offset_115|00cc00&amp;v=4727820:4728135&amp;c=444444", "offset 115")</f>
        <v>offset 115</v>
      </c>
    </row>
    <row r="15285" customFormat="false" ht="12.8" hidden="false" customHeight="false" outlineLevel="0" collapsed="false">
      <c r="A15285" s="0" t="s">
        <v>12</v>
      </c>
      <c r="B15285" s="0" t="n">
        <v>4728438</v>
      </c>
      <c r="C15285" s="0" t="n">
        <v>4728458</v>
      </c>
      <c r="D15285" s="0" t="s">
        <v>50801</v>
      </c>
      <c r="E15285" s="0" t="s">
        <v>75</v>
      </c>
      <c r="F15285" s="0" t="s">
        <v>90</v>
      </c>
      <c r="G15285" s="0" t="s">
        <v>16</v>
      </c>
      <c r="H15285" s="0" t="n">
        <v>13</v>
      </c>
      <c r="I15285" s="0" t="s">
        <v>50802</v>
      </c>
      <c r="J15285" s="0" t="s">
        <v>50803</v>
      </c>
      <c r="K15285" s="0" t="s">
        <v>50804</v>
      </c>
      <c r="L15285" s="0" t="str">
        <f aca="false">HYPERLINK("https://www.ncbi.nlm.nih.gov/nuccore/CP000058.1?report=graph&amp;tracks=[key:gene_model_track,Options:GeneOnly]&amp;mk=4728439:4728458|offset_13|00cc00,4728384:4728403|offset_68|444444,4728325:4728344|offset_127|444444,4728289:4728308|offset_163|444444&amp;v=4728238:4728508&amp;c=444444", "offset 13")</f>
        <v>offset 13</v>
      </c>
    </row>
    <row r="15286" customFormat="false" ht="12.8" hidden="false" customHeight="false" outlineLevel="0" collapsed="false">
      <c r="A15286" s="0" t="s">
        <v>12</v>
      </c>
      <c r="B15286" s="0" t="n">
        <v>4728383</v>
      </c>
      <c r="C15286" s="0" t="n">
        <v>4728403</v>
      </c>
      <c r="D15286" s="0" t="s">
        <v>50801</v>
      </c>
      <c r="E15286" s="0" t="s">
        <v>75</v>
      </c>
      <c r="F15286" s="0" t="s">
        <v>90</v>
      </c>
      <c r="G15286" s="0" t="s">
        <v>16</v>
      </c>
      <c r="H15286" s="0" t="n">
        <v>68</v>
      </c>
      <c r="I15286" s="0" t="s">
        <v>50805</v>
      </c>
      <c r="J15286" s="0" t="s">
        <v>50806</v>
      </c>
      <c r="K15286" s="0" t="s">
        <v>50807</v>
      </c>
      <c r="L15286" s="0" t="str">
        <f aca="false">HYPERLINK("https://www.ncbi.nlm.nih.gov/nuccore/CP000058.1?report=graph&amp;tracks=[key:gene_model_track,Options:GeneOnly]&amp;mk=4728439:4728458|offset_13|444444,4728384:4728403|offset_68|00cc00,4728325:4728344|offset_127|444444,4728289:4728308|offset_163|444444&amp;v=4728238:4728508&amp;c=444444", "offset 68")</f>
        <v>offset 68</v>
      </c>
    </row>
    <row r="15287" customFormat="false" ht="12.8" hidden="false" customHeight="false" outlineLevel="0" collapsed="false">
      <c r="A15287" s="0" t="s">
        <v>12</v>
      </c>
      <c r="B15287" s="0" t="n">
        <v>4728324</v>
      </c>
      <c r="C15287" s="0" t="n">
        <v>4728344</v>
      </c>
      <c r="D15287" s="0" t="s">
        <v>50801</v>
      </c>
      <c r="E15287" s="0" t="s">
        <v>75</v>
      </c>
      <c r="F15287" s="0" t="s">
        <v>90</v>
      </c>
      <c r="G15287" s="0" t="s">
        <v>16</v>
      </c>
      <c r="H15287" s="0" t="n">
        <v>127</v>
      </c>
      <c r="I15287" s="0" t="s">
        <v>50808</v>
      </c>
      <c r="J15287" s="0" t="s">
        <v>50809</v>
      </c>
      <c r="K15287" s="0" t="s">
        <v>50810</v>
      </c>
      <c r="L15287" s="0" t="str">
        <f aca="false">HYPERLINK("https://www.ncbi.nlm.nih.gov/nuccore/CP000058.1?report=graph&amp;tracks=[key:gene_model_track,Options:GeneOnly]&amp;mk=4728439:4728458|offset_13|444444,4728384:4728403|offset_68|444444,4728325:4728344|offset_127|00cc00,4728289:4728308|offset_163|444444&amp;v=4728238:4728508&amp;c=444444", "offset 127")</f>
        <v>offset 127</v>
      </c>
    </row>
    <row r="15288" customFormat="false" ht="12.8" hidden="false" customHeight="false" outlineLevel="0" collapsed="false">
      <c r="A15288" s="0" t="s">
        <v>12</v>
      </c>
      <c r="B15288" s="0" t="n">
        <v>4728288</v>
      </c>
      <c r="C15288" s="0" t="n">
        <v>4728308</v>
      </c>
      <c r="D15288" s="0" t="s">
        <v>50801</v>
      </c>
      <c r="E15288" s="0" t="s">
        <v>75</v>
      </c>
      <c r="F15288" s="0" t="s">
        <v>90</v>
      </c>
      <c r="G15288" s="0" t="s">
        <v>32</v>
      </c>
      <c r="H15288" s="0" t="n">
        <v>163</v>
      </c>
      <c r="I15288" s="0" t="s">
        <v>50811</v>
      </c>
      <c r="J15288" s="0" t="s">
        <v>50812</v>
      </c>
      <c r="K15288" s="0" t="s">
        <v>50813</v>
      </c>
      <c r="L15288" s="0" t="str">
        <f aca="false">HYPERLINK("https://www.ncbi.nlm.nih.gov/nuccore/CP000058.1?report=graph&amp;tracks=[key:gene_model_track,Options:GeneOnly]&amp;mk=4728439:4728458|offset_13|444444,4728384:4728403|offset_68|444444,4728325:4728344|offset_127|444444,4728289:4728308|offset_163|00cc00&amp;v=4728238:4728508&amp;c=444444", "offset 163")</f>
        <v>offset 163</v>
      </c>
    </row>
    <row r="15289" customFormat="false" ht="12.8" hidden="false" customHeight="false" outlineLevel="0" collapsed="false">
      <c r="A15289" s="0" t="s">
        <v>12</v>
      </c>
      <c r="B15289" s="0" t="n">
        <v>4729078</v>
      </c>
      <c r="C15289" s="0" t="n">
        <v>4729098</v>
      </c>
      <c r="D15289" s="0" t="s">
        <v>50814</v>
      </c>
      <c r="E15289" s="0" t="s">
        <v>50815</v>
      </c>
      <c r="F15289" s="0" t="s">
        <v>90</v>
      </c>
      <c r="G15289" s="0" t="s">
        <v>16</v>
      </c>
      <c r="H15289" s="0" t="n">
        <v>20</v>
      </c>
      <c r="I15289" s="0" t="s">
        <v>50816</v>
      </c>
      <c r="J15289" s="0" t="s">
        <v>50817</v>
      </c>
      <c r="K15289" s="0" t="s">
        <v>50818</v>
      </c>
      <c r="L15289" s="0" t="str">
        <f aca="false">HYPERLINK("https://www.ncbi.nlm.nih.gov/nuccore/CP000058.1?report=graph&amp;tracks=[key:gene_model_track,Options:GeneOnly]&amp;mk=4729079:4729098|offset_20|00cc00,4729056:4729075|offset_43|444444,4729032:4729051|offset_67|444444,4729007:4729026|offset_92|444444&amp;v=4728878:4729226&amp;c=444444", "offset 20")</f>
        <v>offset 20</v>
      </c>
    </row>
    <row r="15290" customFormat="false" ht="12.8" hidden="false" customHeight="false" outlineLevel="0" collapsed="false">
      <c r="A15290" s="0" t="s">
        <v>12</v>
      </c>
      <c r="B15290" s="0" t="n">
        <v>4729055</v>
      </c>
      <c r="C15290" s="0" t="n">
        <v>4729075</v>
      </c>
      <c r="D15290" s="0" t="s">
        <v>50814</v>
      </c>
      <c r="E15290" s="0" t="s">
        <v>50815</v>
      </c>
      <c r="F15290" s="0" t="s">
        <v>90</v>
      </c>
      <c r="G15290" s="0" t="s">
        <v>16</v>
      </c>
      <c r="H15290" s="0" t="n">
        <v>43</v>
      </c>
      <c r="I15290" s="0" t="s">
        <v>50819</v>
      </c>
      <c r="J15290" s="0" t="s">
        <v>50820</v>
      </c>
      <c r="K15290" s="0" t="s">
        <v>50821</v>
      </c>
      <c r="L15290" s="0" t="str">
        <f aca="false">HYPERLINK("https://www.ncbi.nlm.nih.gov/nuccore/CP000058.1?report=graph&amp;tracks=[key:gene_model_track,Options:GeneOnly]&amp;mk=4729079:4729098|offset_20|444444,4729056:4729075|offset_43|00cc00,4729032:4729051|offset_67|444444,4729007:4729026|offset_92|444444&amp;v=4728878:4729226&amp;c=444444", "offset 43")</f>
        <v>offset 43</v>
      </c>
    </row>
    <row r="15291" customFormat="false" ht="12.8" hidden="false" customHeight="false" outlineLevel="0" collapsed="false">
      <c r="A15291" s="0" t="s">
        <v>12</v>
      </c>
      <c r="B15291" s="0" t="n">
        <v>4729031</v>
      </c>
      <c r="C15291" s="0" t="n">
        <v>4729051</v>
      </c>
      <c r="D15291" s="0" t="s">
        <v>50814</v>
      </c>
      <c r="E15291" s="0" t="s">
        <v>50815</v>
      </c>
      <c r="F15291" s="0" t="s">
        <v>90</v>
      </c>
      <c r="G15291" s="0" t="s">
        <v>16</v>
      </c>
      <c r="H15291" s="0" t="n">
        <v>67</v>
      </c>
      <c r="I15291" s="0" t="s">
        <v>50822</v>
      </c>
      <c r="J15291" s="0" t="s">
        <v>50823</v>
      </c>
      <c r="K15291" s="0" t="s">
        <v>50824</v>
      </c>
      <c r="L15291" s="0" t="str">
        <f aca="false">HYPERLINK("https://www.ncbi.nlm.nih.gov/nuccore/CP000058.1?report=graph&amp;tracks=[key:gene_model_track,Options:GeneOnly]&amp;mk=4729079:4729098|offset_20|444444,4729056:4729075|offset_43|444444,4729032:4729051|offset_67|00cc00,4729007:4729026|offset_92|444444&amp;v=4728878:4729226&amp;c=444444", "offset 67")</f>
        <v>offset 67</v>
      </c>
    </row>
    <row r="15292" customFormat="false" ht="12.8" hidden="false" customHeight="false" outlineLevel="0" collapsed="false">
      <c r="A15292" s="0" t="s">
        <v>12</v>
      </c>
      <c r="B15292" s="0" t="n">
        <v>4729006</v>
      </c>
      <c r="C15292" s="0" t="n">
        <v>4729026</v>
      </c>
      <c r="D15292" s="0" t="s">
        <v>50814</v>
      </c>
      <c r="E15292" s="0" t="s">
        <v>50815</v>
      </c>
      <c r="F15292" s="0" t="s">
        <v>90</v>
      </c>
      <c r="G15292" s="0" t="s">
        <v>20</v>
      </c>
      <c r="H15292" s="0" t="n">
        <v>92</v>
      </c>
      <c r="I15292" s="0" t="s">
        <v>50825</v>
      </c>
      <c r="J15292" s="0" t="s">
        <v>50826</v>
      </c>
      <c r="K15292" s="0" t="s">
        <v>50827</v>
      </c>
      <c r="L15292" s="0" t="str">
        <f aca="false">HYPERLINK("https://www.ncbi.nlm.nih.gov/nuccore/CP000058.1?report=graph&amp;tracks=[key:gene_model_track,Options:GeneOnly]&amp;mk=4729079:4729098|offset_20|444444,4729056:4729075|offset_43|444444,4729032:4729051|offset_67|444444,4729007:4729026|offset_92|00cc00&amp;v=4728878:4729226&amp;c=444444", "offset 92")</f>
        <v>offset 92</v>
      </c>
    </row>
    <row r="15293" customFormat="false" ht="12.8" hidden="false" customHeight="false" outlineLevel="0" collapsed="false">
      <c r="A15293" s="0" t="s">
        <v>12</v>
      </c>
      <c r="B15293" s="0" t="n">
        <v>4729565</v>
      </c>
      <c r="C15293" s="0" t="n">
        <v>4729585</v>
      </c>
      <c r="D15293" s="0" t="s">
        <v>50828</v>
      </c>
      <c r="E15293" s="0" t="s">
        <v>75</v>
      </c>
      <c r="F15293" s="0" t="s">
        <v>90</v>
      </c>
      <c r="G15293" s="0" t="s">
        <v>16</v>
      </c>
      <c r="H15293" s="0" t="n">
        <v>11</v>
      </c>
      <c r="I15293" s="0" t="s">
        <v>50829</v>
      </c>
      <c r="J15293" s="0" t="s">
        <v>50830</v>
      </c>
      <c r="K15293" s="0" t="s">
        <v>50831</v>
      </c>
      <c r="L15293" s="0" t="str">
        <f aca="false">HYPERLINK("https://www.ncbi.nlm.nih.gov/nuccore/CP000058.1?report=graph&amp;tracks=[key:gene_model_track,Options:GeneOnly]&amp;mk=4729566:4729585|offset_11|00cc00,4729536:4729555|offset_41|444444,4729509:4729528|offset_68|444444,4729465:4729484|offset_112|444444&amp;v=4729365:4729684&amp;c=444444", "offset 11")</f>
        <v>offset 11</v>
      </c>
    </row>
    <row r="15294" customFormat="false" ht="12.8" hidden="false" customHeight="false" outlineLevel="0" collapsed="false">
      <c r="A15294" s="0" t="s">
        <v>12</v>
      </c>
      <c r="B15294" s="0" t="n">
        <v>4729535</v>
      </c>
      <c r="C15294" s="0" t="n">
        <v>4729555</v>
      </c>
      <c r="D15294" s="0" t="s">
        <v>50828</v>
      </c>
      <c r="E15294" s="0" t="s">
        <v>75</v>
      </c>
      <c r="F15294" s="0" t="s">
        <v>90</v>
      </c>
      <c r="G15294" s="0" t="s">
        <v>20</v>
      </c>
      <c r="H15294" s="0" t="n">
        <v>41</v>
      </c>
      <c r="I15294" s="0" t="s">
        <v>50832</v>
      </c>
      <c r="J15294" s="0" t="s">
        <v>50833</v>
      </c>
      <c r="K15294" s="0" t="s">
        <v>50834</v>
      </c>
      <c r="L15294" s="0" t="str">
        <f aca="false">HYPERLINK("https://www.ncbi.nlm.nih.gov/nuccore/CP000058.1?report=graph&amp;tracks=[key:gene_model_track,Options:GeneOnly]&amp;mk=4729566:4729585|offset_11|444444,4729536:4729555|offset_41|00cc00,4729509:4729528|offset_68|444444,4729465:4729484|offset_112|444444&amp;v=4729365:4729684&amp;c=444444", "offset 41")</f>
        <v>offset 41</v>
      </c>
    </row>
    <row r="15295" customFormat="false" ht="12.8" hidden="false" customHeight="false" outlineLevel="0" collapsed="false">
      <c r="A15295" s="0" t="s">
        <v>12</v>
      </c>
      <c r="B15295" s="0" t="n">
        <v>4729508</v>
      </c>
      <c r="C15295" s="0" t="n">
        <v>4729528</v>
      </c>
      <c r="D15295" s="0" t="s">
        <v>50828</v>
      </c>
      <c r="E15295" s="0" t="s">
        <v>75</v>
      </c>
      <c r="F15295" s="0" t="s">
        <v>90</v>
      </c>
      <c r="G15295" s="0" t="s">
        <v>20</v>
      </c>
      <c r="H15295" s="0" t="n">
        <v>68</v>
      </c>
      <c r="I15295" s="0" t="s">
        <v>50835</v>
      </c>
      <c r="J15295" s="0" t="s">
        <v>50836</v>
      </c>
      <c r="K15295" s="0" t="s">
        <v>50837</v>
      </c>
      <c r="L15295" s="0" t="str">
        <f aca="false">HYPERLINK("https://www.ncbi.nlm.nih.gov/nuccore/CP000058.1?report=graph&amp;tracks=[key:gene_model_track,Options:GeneOnly]&amp;mk=4729566:4729585|offset_11|444444,4729536:4729555|offset_41|444444,4729509:4729528|offset_68|00cc00,4729465:4729484|offset_112|444444&amp;v=4729365:4729684&amp;c=444444", "offset 68")</f>
        <v>offset 68</v>
      </c>
    </row>
    <row r="15296" customFormat="false" ht="12.8" hidden="false" customHeight="false" outlineLevel="0" collapsed="false">
      <c r="A15296" s="0" t="s">
        <v>12</v>
      </c>
      <c r="B15296" s="0" t="n">
        <v>4729464</v>
      </c>
      <c r="C15296" s="0" t="n">
        <v>4729484</v>
      </c>
      <c r="D15296" s="0" t="s">
        <v>50828</v>
      </c>
      <c r="E15296" s="0" t="s">
        <v>75</v>
      </c>
      <c r="F15296" s="0" t="s">
        <v>90</v>
      </c>
      <c r="G15296" s="0" t="s">
        <v>16</v>
      </c>
      <c r="H15296" s="0" t="n">
        <v>112</v>
      </c>
      <c r="I15296" s="0" t="s">
        <v>50838</v>
      </c>
      <c r="J15296" s="0" t="s">
        <v>50839</v>
      </c>
      <c r="K15296" s="0" t="s">
        <v>50840</v>
      </c>
      <c r="L15296" s="0" t="str">
        <f aca="false">HYPERLINK("https://www.ncbi.nlm.nih.gov/nuccore/CP000058.1?report=graph&amp;tracks=[key:gene_model_track,Options:GeneOnly]&amp;mk=4729566:4729585|offset_11|444444,4729536:4729555|offset_41|444444,4729509:4729528|offset_68|444444,4729465:4729484|offset_112|00cc00&amp;v=4729365:4729684&amp;c=444444", "offset 112")</f>
        <v>offset 112</v>
      </c>
    </row>
    <row r="15297" customFormat="false" ht="12.8" hidden="false" customHeight="false" outlineLevel="0" collapsed="false">
      <c r="A15297" s="0" t="s">
        <v>12</v>
      </c>
      <c r="B15297" s="0" t="n">
        <v>4730347</v>
      </c>
      <c r="C15297" s="0" t="n">
        <v>4730367</v>
      </c>
      <c r="D15297" s="0" t="s">
        <v>50841</v>
      </c>
      <c r="E15297" s="0" t="s">
        <v>75</v>
      </c>
      <c r="F15297" s="0" t="s">
        <v>90</v>
      </c>
      <c r="G15297" s="0" t="s">
        <v>16</v>
      </c>
      <c r="H15297" s="0" t="n">
        <v>26</v>
      </c>
      <c r="I15297" s="0" t="s">
        <v>50842</v>
      </c>
      <c r="J15297" s="0" t="s">
        <v>50843</v>
      </c>
      <c r="K15297" s="0" t="s">
        <v>50844</v>
      </c>
      <c r="L15297" s="0" t="str">
        <f aca="false">HYPERLINK("https://www.ncbi.nlm.nih.gov/nuccore/CP000058.1?report=graph&amp;tracks=[key:gene_model_track,Options:GeneOnly]&amp;mk=4730348:4730367|offset_26|00cc00,4730322:4730341|offset_52|444444,4730297:4730316|offset_77|444444,4730271:4730290|offset_103|444444&amp;v=4730147:4730490&amp;c=444444", "offset 26")</f>
        <v>offset 26</v>
      </c>
    </row>
    <row r="15298" customFormat="false" ht="12.8" hidden="false" customHeight="false" outlineLevel="0" collapsed="false">
      <c r="A15298" s="0" t="s">
        <v>12</v>
      </c>
      <c r="B15298" s="0" t="n">
        <v>4730321</v>
      </c>
      <c r="C15298" s="0" t="n">
        <v>4730341</v>
      </c>
      <c r="D15298" s="0" t="s">
        <v>50841</v>
      </c>
      <c r="E15298" s="0" t="s">
        <v>75</v>
      </c>
      <c r="F15298" s="0" t="s">
        <v>90</v>
      </c>
      <c r="G15298" s="0" t="s">
        <v>32</v>
      </c>
      <c r="H15298" s="0" t="n">
        <v>52</v>
      </c>
      <c r="I15298" s="0" t="s">
        <v>50845</v>
      </c>
      <c r="J15298" s="0" t="s">
        <v>50846</v>
      </c>
      <c r="K15298" s="0" t="s">
        <v>50847</v>
      </c>
      <c r="L15298" s="0" t="str">
        <f aca="false">HYPERLINK("https://www.ncbi.nlm.nih.gov/nuccore/CP000058.1?report=graph&amp;tracks=[key:gene_model_track,Options:GeneOnly]&amp;mk=4730348:4730367|offset_26|444444,4730322:4730341|offset_52|00cc00,4730297:4730316|offset_77|444444,4730271:4730290|offset_103|444444&amp;v=4730147:4730490&amp;c=444444", "offset 52")</f>
        <v>offset 52</v>
      </c>
    </row>
    <row r="15299" customFormat="false" ht="12.8" hidden="false" customHeight="false" outlineLevel="0" collapsed="false">
      <c r="A15299" s="0" t="s">
        <v>12</v>
      </c>
      <c r="B15299" s="0" t="n">
        <v>4730296</v>
      </c>
      <c r="C15299" s="0" t="n">
        <v>4730316</v>
      </c>
      <c r="D15299" s="0" t="s">
        <v>50841</v>
      </c>
      <c r="E15299" s="0" t="s">
        <v>75</v>
      </c>
      <c r="F15299" s="0" t="s">
        <v>90</v>
      </c>
      <c r="G15299" s="0" t="s">
        <v>16</v>
      </c>
      <c r="H15299" s="0" t="n">
        <v>77</v>
      </c>
      <c r="I15299" s="0" t="s">
        <v>50848</v>
      </c>
      <c r="J15299" s="0" t="s">
        <v>50849</v>
      </c>
      <c r="K15299" s="0" t="s">
        <v>50850</v>
      </c>
      <c r="L15299" s="0" t="str">
        <f aca="false">HYPERLINK("https://www.ncbi.nlm.nih.gov/nuccore/CP000058.1?report=graph&amp;tracks=[key:gene_model_track,Options:GeneOnly]&amp;mk=4730348:4730367|offset_26|444444,4730322:4730341|offset_52|444444,4730297:4730316|offset_77|00cc00,4730271:4730290|offset_103|444444&amp;v=4730147:4730490&amp;c=444444", "offset 77")</f>
        <v>offset 77</v>
      </c>
    </row>
    <row r="15300" customFormat="false" ht="12.8" hidden="false" customHeight="false" outlineLevel="0" collapsed="false">
      <c r="A15300" s="0" t="s">
        <v>12</v>
      </c>
      <c r="B15300" s="0" t="n">
        <v>4730270</v>
      </c>
      <c r="C15300" s="0" t="n">
        <v>4730290</v>
      </c>
      <c r="D15300" s="0" t="s">
        <v>50841</v>
      </c>
      <c r="E15300" s="0" t="s">
        <v>75</v>
      </c>
      <c r="F15300" s="0" t="s">
        <v>90</v>
      </c>
      <c r="G15300" s="0" t="s">
        <v>36</v>
      </c>
      <c r="H15300" s="0" t="n">
        <v>103</v>
      </c>
      <c r="I15300" s="0" t="s">
        <v>50851</v>
      </c>
      <c r="J15300" s="0" t="s">
        <v>50852</v>
      </c>
      <c r="K15300" s="0" t="s">
        <v>50853</v>
      </c>
      <c r="L15300" s="0" t="str">
        <f aca="false">HYPERLINK("https://www.ncbi.nlm.nih.gov/nuccore/CP000058.1?report=graph&amp;tracks=[key:gene_model_track,Options:GeneOnly]&amp;mk=4730348:4730367|offset_26|444444,4730322:4730341|offset_52|444444,4730297:4730316|offset_77|444444,4730271:4730290|offset_103|00cc00&amp;v=4730147:4730490&amp;c=444444", "offset 103")</f>
        <v>offset 103</v>
      </c>
    </row>
    <row r="15301" customFormat="false" ht="12.8" hidden="false" customHeight="false" outlineLevel="0" collapsed="false">
      <c r="A15301" s="0" t="s">
        <v>12</v>
      </c>
      <c r="B15301" s="0" t="n">
        <v>4731173</v>
      </c>
      <c r="C15301" s="0" t="n">
        <v>4731193</v>
      </c>
      <c r="D15301" s="0" t="s">
        <v>50854</v>
      </c>
      <c r="E15301" s="0" t="s">
        <v>75</v>
      </c>
      <c r="F15301" s="0" t="s">
        <v>90</v>
      </c>
      <c r="G15301" s="0" t="s">
        <v>20</v>
      </c>
      <c r="H15301" s="0" t="n">
        <v>9</v>
      </c>
      <c r="I15301" s="0" t="s">
        <v>50855</v>
      </c>
      <c r="J15301" s="0" t="s">
        <v>50856</v>
      </c>
      <c r="K15301" s="0" t="s">
        <v>50857</v>
      </c>
      <c r="L15301" s="0" t="str">
        <f aca="false">HYPERLINK("https://www.ncbi.nlm.nih.gov/nuccore/CP000058.1?report=graph&amp;tracks=[key:gene_model_track,Options:GeneOnly]&amp;mk=4731174:4731193|offset_9|00cc00,4731087:4731106|offset_96|444444,4731003:4731022|offset_180|444444,4730968:4730987|offset_215|444444&amp;v=4730973:4731187&amp;c=444444", "offset 9")</f>
        <v>offset 9</v>
      </c>
    </row>
    <row r="15302" customFormat="false" ht="12.8" hidden="false" customHeight="false" outlineLevel="0" collapsed="false">
      <c r="A15302" s="0" t="s">
        <v>12</v>
      </c>
      <c r="B15302" s="0" t="n">
        <v>4731086</v>
      </c>
      <c r="C15302" s="0" t="n">
        <v>4731106</v>
      </c>
      <c r="D15302" s="0" t="s">
        <v>50854</v>
      </c>
      <c r="E15302" s="0" t="s">
        <v>75</v>
      </c>
      <c r="F15302" s="0" t="s">
        <v>90</v>
      </c>
      <c r="G15302" s="0" t="s">
        <v>16</v>
      </c>
      <c r="H15302" s="0" t="n">
        <v>96</v>
      </c>
      <c r="I15302" s="0" t="s">
        <v>50858</v>
      </c>
      <c r="J15302" s="0" t="s">
        <v>50859</v>
      </c>
      <c r="K15302" s="0" t="s">
        <v>50860</v>
      </c>
      <c r="L15302" s="0" t="str">
        <f aca="false">HYPERLINK("https://www.ncbi.nlm.nih.gov/nuccore/CP000058.1?report=graph&amp;tracks=[key:gene_model_track,Options:GeneOnly]&amp;mk=4731174:4731193|offset_9|444444,4731087:4731106|offset_96|00cc00,4731003:4731022|offset_180|444444,4730968:4730987|offset_215|444444&amp;v=4730973:4731187&amp;c=444444", "offset 96")</f>
        <v>offset 96</v>
      </c>
    </row>
    <row r="15303" customFormat="false" ht="12.8" hidden="false" customHeight="false" outlineLevel="0" collapsed="false">
      <c r="A15303" s="0" t="s">
        <v>12</v>
      </c>
      <c r="B15303" s="0" t="n">
        <v>4731002</v>
      </c>
      <c r="C15303" s="0" t="n">
        <v>4731022</v>
      </c>
      <c r="D15303" s="0" t="s">
        <v>50854</v>
      </c>
      <c r="E15303" s="0" t="s">
        <v>75</v>
      </c>
      <c r="F15303" s="0" t="s">
        <v>90</v>
      </c>
      <c r="G15303" s="0" t="s">
        <v>32</v>
      </c>
      <c r="H15303" s="0" t="n">
        <v>180</v>
      </c>
      <c r="I15303" s="0" t="s">
        <v>50861</v>
      </c>
      <c r="J15303" s="0" t="s">
        <v>50862</v>
      </c>
      <c r="K15303" s="0" t="s">
        <v>50863</v>
      </c>
      <c r="L15303" s="0" t="str">
        <f aca="false">HYPERLINK("https://www.ncbi.nlm.nih.gov/nuccore/CP000058.1?report=graph&amp;tracks=[key:gene_model_track,Options:GeneOnly]&amp;mk=4731174:4731193|offset_9|444444,4731087:4731106|offset_96|444444,4731003:4731022|offset_180|00cc00,4730968:4730987|offset_215|444444&amp;v=4730973:4731187&amp;c=444444", "offset 180")</f>
        <v>offset 180</v>
      </c>
    </row>
    <row r="15304" customFormat="false" ht="12.8" hidden="false" customHeight="false" outlineLevel="0" collapsed="false">
      <c r="A15304" s="0" t="s">
        <v>12</v>
      </c>
      <c r="B15304" s="0" t="n">
        <v>4730967</v>
      </c>
      <c r="C15304" s="0" t="n">
        <v>4730987</v>
      </c>
      <c r="D15304" s="0" t="s">
        <v>50854</v>
      </c>
      <c r="E15304" s="0" t="s">
        <v>75</v>
      </c>
      <c r="F15304" s="0" t="s">
        <v>90</v>
      </c>
      <c r="G15304" s="0" t="s">
        <v>20</v>
      </c>
      <c r="H15304" s="0" t="n">
        <v>215</v>
      </c>
      <c r="I15304" s="0" t="s">
        <v>50864</v>
      </c>
      <c r="J15304" s="0" t="s">
        <v>50865</v>
      </c>
      <c r="K15304" s="0" t="s">
        <v>50866</v>
      </c>
      <c r="L15304" s="0" t="str">
        <f aca="false">HYPERLINK("https://www.ncbi.nlm.nih.gov/nuccore/CP000058.1?report=graph&amp;tracks=[key:gene_model_track,Options:GeneOnly]&amp;mk=4731174:4731193|offset_9|444444,4731087:4731106|offset_96|444444,4731003:4731022|offset_180|444444,4730968:4730987|offset_215|00cc00&amp;v=4730973:4731187&amp;c=444444", "offset 215")</f>
        <v>offset 215</v>
      </c>
    </row>
    <row r="15305" customFormat="false" ht="12.8" hidden="false" customHeight="false" outlineLevel="0" collapsed="false">
      <c r="A15305" s="0" t="s">
        <v>12</v>
      </c>
      <c r="B15305" s="0" t="n">
        <v>4731513</v>
      </c>
      <c r="C15305" s="0" t="n">
        <v>4731533</v>
      </c>
      <c r="D15305" s="0" t="s">
        <v>50867</v>
      </c>
      <c r="E15305" s="0" t="s">
        <v>50868</v>
      </c>
      <c r="F15305" s="0" t="s">
        <v>15</v>
      </c>
      <c r="G15305" s="0" t="s">
        <v>32</v>
      </c>
      <c r="H15305" s="0" t="n">
        <v>8</v>
      </c>
      <c r="I15305" s="0" t="s">
        <v>50869</v>
      </c>
      <c r="J15305" s="0" t="s">
        <v>50870</v>
      </c>
      <c r="K15305" s="0" t="s">
        <v>50871</v>
      </c>
      <c r="L15305" s="0" t="str">
        <f aca="false">HYPERLINK("https://www.ncbi.nlm.nih.gov/nuccore/CP000058.1?report=graph&amp;tracks=[key:gene_model_track,Options:GeneOnly]&amp;mk=4731514:4731533|offset_8|00cc00,4731549:4731568|offset_43|444444,4731570:4731589|offset_64|444444,4731628:4731647|offset_122|444444&amp;v=4731313:4731847&amp;c=444444", "offset 8")</f>
        <v>offset 8</v>
      </c>
    </row>
    <row r="15306" customFormat="false" ht="12.8" hidden="false" customHeight="false" outlineLevel="0" collapsed="false">
      <c r="A15306" s="0" t="s">
        <v>12</v>
      </c>
      <c r="B15306" s="0" t="n">
        <v>4731548</v>
      </c>
      <c r="C15306" s="0" t="n">
        <v>4731568</v>
      </c>
      <c r="D15306" s="0" t="s">
        <v>50867</v>
      </c>
      <c r="E15306" s="0" t="s">
        <v>50868</v>
      </c>
      <c r="F15306" s="0" t="s">
        <v>15</v>
      </c>
      <c r="G15306" s="0" t="s">
        <v>32</v>
      </c>
      <c r="H15306" s="0" t="n">
        <v>43</v>
      </c>
      <c r="I15306" s="0" t="s">
        <v>50872</v>
      </c>
      <c r="J15306" s="0" t="s">
        <v>50873</v>
      </c>
      <c r="K15306" s="0" t="s">
        <v>50874</v>
      </c>
      <c r="L15306" s="0" t="str">
        <f aca="false">HYPERLINK("https://www.ncbi.nlm.nih.gov/nuccore/CP000058.1?report=graph&amp;tracks=[key:gene_model_track,Options:GeneOnly]&amp;mk=4731514:4731533|offset_8|444444,4731549:4731568|offset_43|00cc00,4731570:4731589|offset_64|444444,4731628:4731647|offset_122|444444&amp;v=4731313:4731847&amp;c=444444", "offset 43")</f>
        <v>offset 43</v>
      </c>
    </row>
    <row r="15307" customFormat="false" ht="12.8" hidden="false" customHeight="false" outlineLevel="0" collapsed="false">
      <c r="A15307" s="0" t="s">
        <v>12</v>
      </c>
      <c r="B15307" s="0" t="n">
        <v>4731569</v>
      </c>
      <c r="C15307" s="0" t="n">
        <v>4731589</v>
      </c>
      <c r="D15307" s="0" t="s">
        <v>50867</v>
      </c>
      <c r="E15307" s="0" t="s">
        <v>50868</v>
      </c>
      <c r="F15307" s="0" t="s">
        <v>15</v>
      </c>
      <c r="G15307" s="0" t="s">
        <v>32</v>
      </c>
      <c r="H15307" s="0" t="n">
        <v>64</v>
      </c>
      <c r="I15307" s="0" t="s">
        <v>50875</v>
      </c>
      <c r="J15307" s="0" t="s">
        <v>50876</v>
      </c>
      <c r="K15307" s="0" t="s">
        <v>50877</v>
      </c>
      <c r="L15307" s="0" t="str">
        <f aca="false">HYPERLINK("https://www.ncbi.nlm.nih.gov/nuccore/CP000058.1?report=graph&amp;tracks=[key:gene_model_track,Options:GeneOnly]&amp;mk=4731514:4731533|offset_8|444444,4731549:4731568|offset_43|444444,4731570:4731589|offset_64|00cc00,4731628:4731647|offset_122|444444&amp;v=4731313:4731847&amp;c=444444", "offset 64")</f>
        <v>offset 64</v>
      </c>
    </row>
    <row r="15308" customFormat="false" ht="12.8" hidden="false" customHeight="false" outlineLevel="0" collapsed="false">
      <c r="A15308" s="0" t="s">
        <v>12</v>
      </c>
      <c r="B15308" s="0" t="n">
        <v>4731627</v>
      </c>
      <c r="C15308" s="0" t="n">
        <v>4731647</v>
      </c>
      <c r="D15308" s="0" t="s">
        <v>50867</v>
      </c>
      <c r="E15308" s="0" t="s">
        <v>50868</v>
      </c>
      <c r="F15308" s="0" t="s">
        <v>15</v>
      </c>
      <c r="G15308" s="0" t="s">
        <v>20</v>
      </c>
      <c r="H15308" s="0" t="n">
        <v>122</v>
      </c>
      <c r="I15308" s="0" t="s">
        <v>50878</v>
      </c>
      <c r="J15308" s="0" t="s">
        <v>50879</v>
      </c>
      <c r="K15308" s="0" t="s">
        <v>50880</v>
      </c>
      <c r="L15308" s="0" t="str">
        <f aca="false">HYPERLINK("https://www.ncbi.nlm.nih.gov/nuccore/CP000058.1?report=graph&amp;tracks=[key:gene_model_track,Options:GeneOnly]&amp;mk=4731514:4731533|offset_8|444444,4731549:4731568|offset_43|444444,4731570:4731589|offset_64|444444,4731628:4731647|offset_122|00cc00&amp;v=4731313:4731847&amp;c=444444", "offset 122")</f>
        <v>offset 122</v>
      </c>
    </row>
    <row r="15309" customFormat="false" ht="12.8" hidden="false" customHeight="false" outlineLevel="0" collapsed="false">
      <c r="A15309" s="0" t="s">
        <v>12</v>
      </c>
      <c r="B15309" s="0" t="n">
        <v>4732489</v>
      </c>
      <c r="C15309" s="0" t="n">
        <v>4732509</v>
      </c>
      <c r="D15309" s="0" t="s">
        <v>50881</v>
      </c>
      <c r="E15309" s="0" t="s">
        <v>75</v>
      </c>
      <c r="F15309" s="0" t="s">
        <v>15</v>
      </c>
      <c r="G15309" s="0" t="s">
        <v>16</v>
      </c>
      <c r="H15309" s="0" t="n">
        <v>10</v>
      </c>
      <c r="I15309" s="0" t="s">
        <v>50882</v>
      </c>
      <c r="J15309" s="0" t="s">
        <v>50883</v>
      </c>
      <c r="K15309" s="0" t="s">
        <v>50884</v>
      </c>
      <c r="L15309" s="0" t="str">
        <f aca="false">HYPERLINK("https://www.ncbi.nlm.nih.gov/nuccore/CP000058.1?report=graph&amp;tracks=[key:gene_model_track,Options:GeneOnly]&amp;mk=4732490:4732509|offset_10|00cc00,4732541:4732560|offset_61|444444,4732568:4732587|offset_88|444444,4732632:4732651|offset_152|444444&amp;v=4732289:4732851&amp;c=444444", "offset 10")</f>
        <v>offset 10</v>
      </c>
    </row>
    <row r="15310" customFormat="false" ht="12.8" hidden="false" customHeight="false" outlineLevel="0" collapsed="false">
      <c r="A15310" s="0" t="s">
        <v>12</v>
      </c>
      <c r="B15310" s="0" t="n">
        <v>4732540</v>
      </c>
      <c r="C15310" s="0" t="n">
        <v>4732560</v>
      </c>
      <c r="D15310" s="0" t="s">
        <v>50881</v>
      </c>
      <c r="E15310" s="0" t="s">
        <v>75</v>
      </c>
      <c r="F15310" s="0" t="s">
        <v>15</v>
      </c>
      <c r="G15310" s="0" t="s">
        <v>16</v>
      </c>
      <c r="H15310" s="0" t="n">
        <v>61</v>
      </c>
      <c r="I15310" s="0" t="s">
        <v>50885</v>
      </c>
      <c r="J15310" s="0" t="s">
        <v>50886</v>
      </c>
      <c r="K15310" s="0" t="s">
        <v>50887</v>
      </c>
      <c r="L15310" s="0" t="str">
        <f aca="false">HYPERLINK("https://www.ncbi.nlm.nih.gov/nuccore/CP000058.1?report=graph&amp;tracks=[key:gene_model_track,Options:GeneOnly]&amp;mk=4732490:4732509|offset_10|444444,4732541:4732560|offset_61|00cc00,4732568:4732587|offset_88|444444,4732632:4732651|offset_152|444444&amp;v=4732289:4732851&amp;c=444444", "offset 61")</f>
        <v>offset 61</v>
      </c>
    </row>
    <row r="15311" customFormat="false" ht="12.8" hidden="false" customHeight="false" outlineLevel="0" collapsed="false">
      <c r="A15311" s="0" t="s">
        <v>12</v>
      </c>
      <c r="B15311" s="0" t="n">
        <v>4732567</v>
      </c>
      <c r="C15311" s="0" t="n">
        <v>4732587</v>
      </c>
      <c r="D15311" s="0" t="s">
        <v>50881</v>
      </c>
      <c r="E15311" s="0" t="s">
        <v>75</v>
      </c>
      <c r="F15311" s="0" t="s">
        <v>15</v>
      </c>
      <c r="G15311" s="0" t="s">
        <v>16</v>
      </c>
      <c r="H15311" s="0" t="n">
        <v>88</v>
      </c>
      <c r="I15311" s="0" t="s">
        <v>50888</v>
      </c>
      <c r="J15311" s="0" t="s">
        <v>50889</v>
      </c>
      <c r="K15311" s="0" t="s">
        <v>50890</v>
      </c>
      <c r="L15311" s="0" t="str">
        <f aca="false">HYPERLINK("https://www.ncbi.nlm.nih.gov/nuccore/CP000058.1?report=graph&amp;tracks=[key:gene_model_track,Options:GeneOnly]&amp;mk=4732490:4732509|offset_10|444444,4732541:4732560|offset_61|444444,4732568:4732587|offset_88|00cc00,4732632:4732651|offset_152|444444&amp;v=4732289:4732851&amp;c=444444", "offset 88")</f>
        <v>offset 88</v>
      </c>
    </row>
    <row r="15312" customFormat="false" ht="12.8" hidden="false" customHeight="false" outlineLevel="0" collapsed="false">
      <c r="A15312" s="0" t="s">
        <v>12</v>
      </c>
      <c r="B15312" s="0" t="n">
        <v>4732631</v>
      </c>
      <c r="C15312" s="0" t="n">
        <v>4732651</v>
      </c>
      <c r="D15312" s="0" t="s">
        <v>50881</v>
      </c>
      <c r="E15312" s="0" t="s">
        <v>75</v>
      </c>
      <c r="F15312" s="0" t="s">
        <v>15</v>
      </c>
      <c r="G15312" s="0" t="s">
        <v>32</v>
      </c>
      <c r="H15312" s="0" t="n">
        <v>152</v>
      </c>
      <c r="I15312" s="0" t="s">
        <v>50891</v>
      </c>
      <c r="J15312" s="0" t="s">
        <v>50892</v>
      </c>
      <c r="K15312" s="0" t="s">
        <v>50893</v>
      </c>
      <c r="L15312" s="0" t="str">
        <f aca="false">HYPERLINK("https://www.ncbi.nlm.nih.gov/nuccore/CP000058.1?report=graph&amp;tracks=[key:gene_model_track,Options:GeneOnly]&amp;mk=4732490:4732509|offset_10|444444,4732541:4732560|offset_61|444444,4732568:4732587|offset_88|444444,4732632:4732651|offset_152|00cc00&amp;v=4732289:4732851&amp;c=444444", "offset 152")</f>
        <v>offset 152</v>
      </c>
    </row>
    <row r="15313" customFormat="false" ht="12.8" hidden="false" customHeight="false" outlineLevel="0" collapsed="false">
      <c r="A15313" s="0" t="s">
        <v>12</v>
      </c>
      <c r="B15313" s="0" t="n">
        <v>4733056</v>
      </c>
      <c r="C15313" s="0" t="n">
        <v>4733076</v>
      </c>
      <c r="D15313" s="0" t="s">
        <v>50894</v>
      </c>
      <c r="E15313" s="0" t="s">
        <v>75</v>
      </c>
      <c r="F15313" s="0" t="s">
        <v>15</v>
      </c>
      <c r="G15313" s="0" t="s">
        <v>20</v>
      </c>
      <c r="H15313" s="0" t="n">
        <v>29</v>
      </c>
      <c r="I15313" s="0" t="s">
        <v>50895</v>
      </c>
      <c r="J15313" s="0" t="s">
        <v>50896</v>
      </c>
      <c r="K15313" s="0" t="s">
        <v>50897</v>
      </c>
      <c r="L15313" s="0" t="str">
        <f aca="false">HYPERLINK("https://www.ncbi.nlm.nih.gov/nuccore/CP000058.1?report=graph&amp;tracks=[key:gene_model_track,Options:GeneOnly]&amp;mk=4733057:4733076|offset_29|00cc00,4733114:4733133|offset_86|444444,4733136:4733155|offset_108|444444,4733185:4733204|offset_157|444444&amp;v=4732856:4733404&amp;c=444444", "offset 29")</f>
        <v>offset 29</v>
      </c>
    </row>
    <row r="15314" customFormat="false" ht="12.8" hidden="false" customHeight="false" outlineLevel="0" collapsed="false">
      <c r="A15314" s="0" t="s">
        <v>12</v>
      </c>
      <c r="B15314" s="0" t="n">
        <v>4733113</v>
      </c>
      <c r="C15314" s="0" t="n">
        <v>4733133</v>
      </c>
      <c r="D15314" s="0" t="s">
        <v>50894</v>
      </c>
      <c r="E15314" s="0" t="s">
        <v>75</v>
      </c>
      <c r="F15314" s="0" t="s">
        <v>15</v>
      </c>
      <c r="G15314" s="0" t="s">
        <v>36</v>
      </c>
      <c r="H15314" s="0" t="n">
        <v>86</v>
      </c>
      <c r="I15314" s="0" t="s">
        <v>50898</v>
      </c>
      <c r="J15314" s="0" t="s">
        <v>50899</v>
      </c>
      <c r="K15314" s="0" t="s">
        <v>50900</v>
      </c>
      <c r="L15314" s="0" t="str">
        <f aca="false">HYPERLINK("https://www.ncbi.nlm.nih.gov/nuccore/CP000058.1?report=graph&amp;tracks=[key:gene_model_track,Options:GeneOnly]&amp;mk=4733057:4733076|offset_29|444444,4733114:4733133|offset_86|00cc00,4733136:4733155|offset_108|444444,4733185:4733204|offset_157|444444&amp;v=4732856:4733404&amp;c=444444", "offset 86")</f>
        <v>offset 86</v>
      </c>
    </row>
    <row r="15315" customFormat="false" ht="12.8" hidden="false" customHeight="false" outlineLevel="0" collapsed="false">
      <c r="A15315" s="0" t="s">
        <v>12</v>
      </c>
      <c r="B15315" s="0" t="n">
        <v>4733135</v>
      </c>
      <c r="C15315" s="0" t="n">
        <v>4733155</v>
      </c>
      <c r="D15315" s="0" t="s">
        <v>50894</v>
      </c>
      <c r="E15315" s="0" t="s">
        <v>75</v>
      </c>
      <c r="F15315" s="0" t="s">
        <v>15</v>
      </c>
      <c r="G15315" s="0" t="s">
        <v>16</v>
      </c>
      <c r="H15315" s="0" t="n">
        <v>108</v>
      </c>
      <c r="I15315" s="0" t="s">
        <v>50901</v>
      </c>
      <c r="J15315" s="0" t="s">
        <v>50902</v>
      </c>
      <c r="K15315" s="0" t="s">
        <v>50903</v>
      </c>
      <c r="L15315" s="0" t="str">
        <f aca="false">HYPERLINK("https://www.ncbi.nlm.nih.gov/nuccore/CP000058.1?report=graph&amp;tracks=[key:gene_model_track,Options:GeneOnly]&amp;mk=4733057:4733076|offset_29|444444,4733114:4733133|offset_86|444444,4733136:4733155|offset_108|00cc00,4733185:4733204|offset_157|444444&amp;v=4732856:4733404&amp;c=444444", "offset 108")</f>
        <v>offset 108</v>
      </c>
    </row>
    <row r="15316" customFormat="false" ht="12.8" hidden="false" customHeight="false" outlineLevel="0" collapsed="false">
      <c r="A15316" s="0" t="s">
        <v>12</v>
      </c>
      <c r="B15316" s="0" t="n">
        <v>4733184</v>
      </c>
      <c r="C15316" s="0" t="n">
        <v>4733204</v>
      </c>
      <c r="D15316" s="0" t="s">
        <v>50894</v>
      </c>
      <c r="E15316" s="0" t="s">
        <v>75</v>
      </c>
      <c r="F15316" s="0" t="s">
        <v>15</v>
      </c>
      <c r="G15316" s="0" t="s">
        <v>36</v>
      </c>
      <c r="H15316" s="0" t="n">
        <v>157</v>
      </c>
      <c r="I15316" s="0" t="s">
        <v>50904</v>
      </c>
      <c r="J15316" s="0" t="s">
        <v>50905</v>
      </c>
      <c r="K15316" s="0" t="s">
        <v>50906</v>
      </c>
      <c r="L15316" s="0" t="str">
        <f aca="false">HYPERLINK("https://www.ncbi.nlm.nih.gov/nuccore/CP000058.1?report=graph&amp;tracks=[key:gene_model_track,Options:GeneOnly]&amp;mk=4733057:4733076|offset_29|444444,4733114:4733133|offset_86|444444,4733136:4733155|offset_108|444444,4733185:4733204|offset_157|00cc00&amp;v=4732856:4733404&amp;c=444444", "offset 157")</f>
        <v>offset 157</v>
      </c>
    </row>
    <row r="15317" customFormat="false" ht="12.8" hidden="false" customHeight="false" outlineLevel="0" collapsed="false">
      <c r="A15317" s="0" t="s">
        <v>12</v>
      </c>
      <c r="B15317" s="0" t="n">
        <v>4733610</v>
      </c>
      <c r="C15317" s="0" t="n">
        <v>4733630</v>
      </c>
      <c r="D15317" s="0" t="s">
        <v>50907</v>
      </c>
      <c r="E15317" s="0" t="s">
        <v>75</v>
      </c>
      <c r="F15317" s="0" t="s">
        <v>15</v>
      </c>
      <c r="G15317" s="0" t="s">
        <v>20</v>
      </c>
      <c r="H15317" s="0" t="n">
        <v>24</v>
      </c>
      <c r="I15317" s="0" t="s">
        <v>50908</v>
      </c>
      <c r="J15317" s="0" t="s">
        <v>50909</v>
      </c>
      <c r="K15317" s="0" t="s">
        <v>50910</v>
      </c>
      <c r="L15317" s="0" t="str">
        <f aca="false">HYPERLINK("https://www.ncbi.nlm.nih.gov/nuccore/CP000058.1?report=graph&amp;tracks=[key:gene_model_track,Options:GeneOnly]&amp;mk=4733611:4733630|offset_24|00cc00,4733654:4733673|offset_67|444444,4733683:4733702|offset_96|444444,4733738:4733757|offset_151|444444&amp;v=4733410:4733957&amp;c=444444", "offset 24")</f>
        <v>offset 24</v>
      </c>
    </row>
    <row r="15318" customFormat="false" ht="12.8" hidden="false" customHeight="false" outlineLevel="0" collapsed="false">
      <c r="A15318" s="0" t="s">
        <v>12</v>
      </c>
      <c r="B15318" s="0" t="n">
        <v>4733653</v>
      </c>
      <c r="C15318" s="0" t="n">
        <v>4733673</v>
      </c>
      <c r="D15318" s="0" t="s">
        <v>50907</v>
      </c>
      <c r="E15318" s="0" t="s">
        <v>75</v>
      </c>
      <c r="F15318" s="0" t="s">
        <v>15</v>
      </c>
      <c r="G15318" s="0" t="s">
        <v>20</v>
      </c>
      <c r="H15318" s="0" t="n">
        <v>67</v>
      </c>
      <c r="I15318" s="0" t="s">
        <v>50911</v>
      </c>
      <c r="J15318" s="0" t="s">
        <v>50912</v>
      </c>
      <c r="K15318" s="0" t="s">
        <v>50913</v>
      </c>
      <c r="L15318" s="0" t="str">
        <f aca="false">HYPERLINK("https://www.ncbi.nlm.nih.gov/nuccore/CP000058.1?report=graph&amp;tracks=[key:gene_model_track,Options:GeneOnly]&amp;mk=4733611:4733630|offset_24|444444,4733654:4733673|offset_67|00cc00,4733683:4733702|offset_96|444444,4733738:4733757|offset_151|444444&amp;v=4733410:4733957&amp;c=444444", "offset 67")</f>
        <v>offset 67</v>
      </c>
    </row>
    <row r="15319" customFormat="false" ht="12.8" hidden="false" customHeight="false" outlineLevel="0" collapsed="false">
      <c r="A15319" s="0" t="s">
        <v>12</v>
      </c>
      <c r="B15319" s="0" t="n">
        <v>4733682</v>
      </c>
      <c r="C15319" s="0" t="n">
        <v>4733702</v>
      </c>
      <c r="D15319" s="0" t="s">
        <v>50907</v>
      </c>
      <c r="E15319" s="0" t="s">
        <v>75</v>
      </c>
      <c r="F15319" s="0" t="s">
        <v>15</v>
      </c>
      <c r="G15319" s="0" t="s">
        <v>16</v>
      </c>
      <c r="H15319" s="0" t="n">
        <v>96</v>
      </c>
      <c r="I15319" s="0" t="s">
        <v>50914</v>
      </c>
      <c r="J15319" s="0" t="s">
        <v>50915</v>
      </c>
      <c r="K15319" s="0" t="s">
        <v>50916</v>
      </c>
      <c r="L15319" s="0" t="str">
        <f aca="false">HYPERLINK("https://www.ncbi.nlm.nih.gov/nuccore/CP000058.1?report=graph&amp;tracks=[key:gene_model_track,Options:GeneOnly]&amp;mk=4733611:4733630|offset_24|444444,4733654:4733673|offset_67|444444,4733683:4733702|offset_96|00cc00,4733738:4733757|offset_151|444444&amp;v=4733410:4733957&amp;c=444444", "offset 96")</f>
        <v>offset 96</v>
      </c>
    </row>
    <row r="15320" customFormat="false" ht="12.8" hidden="false" customHeight="false" outlineLevel="0" collapsed="false">
      <c r="A15320" s="0" t="s">
        <v>12</v>
      </c>
      <c r="B15320" s="0" t="n">
        <v>4733737</v>
      </c>
      <c r="C15320" s="0" t="n">
        <v>4733757</v>
      </c>
      <c r="D15320" s="0" t="s">
        <v>50907</v>
      </c>
      <c r="E15320" s="0" t="s">
        <v>75</v>
      </c>
      <c r="F15320" s="0" t="s">
        <v>15</v>
      </c>
      <c r="G15320" s="0" t="s">
        <v>20</v>
      </c>
      <c r="H15320" s="0" t="n">
        <v>151</v>
      </c>
      <c r="I15320" s="0" t="s">
        <v>50917</v>
      </c>
      <c r="J15320" s="0" t="s">
        <v>50918</v>
      </c>
      <c r="K15320" s="0" t="s">
        <v>50919</v>
      </c>
      <c r="L15320" s="0" t="str">
        <f aca="false">HYPERLINK("https://www.ncbi.nlm.nih.gov/nuccore/CP000058.1?report=graph&amp;tracks=[key:gene_model_track,Options:GeneOnly]&amp;mk=4733611:4733630|offset_24|444444,4733654:4733673|offset_67|444444,4733683:4733702|offset_96|444444,4733738:4733757|offset_151|00cc00&amp;v=4733410:4733957&amp;c=444444", "offset 151")</f>
        <v>offset 151</v>
      </c>
    </row>
    <row r="15321" customFormat="false" ht="12.8" hidden="false" customHeight="false" outlineLevel="0" collapsed="false">
      <c r="A15321" s="0" t="s">
        <v>12</v>
      </c>
      <c r="B15321" s="0" t="n">
        <v>4734154</v>
      </c>
      <c r="C15321" s="0" t="n">
        <v>4734174</v>
      </c>
      <c r="D15321" s="0" t="s">
        <v>50920</v>
      </c>
      <c r="E15321" s="0" t="s">
        <v>75</v>
      </c>
      <c r="F15321" s="0" t="s">
        <v>15</v>
      </c>
      <c r="G15321" s="0" t="s">
        <v>36</v>
      </c>
      <c r="H15321" s="0" t="n">
        <v>19</v>
      </c>
      <c r="I15321" s="0" t="s">
        <v>50921</v>
      </c>
      <c r="J15321" s="0" t="s">
        <v>50922</v>
      </c>
      <c r="K15321" s="0" t="s">
        <v>50923</v>
      </c>
      <c r="L15321" s="0" t="str">
        <f aca="false">HYPERLINK("https://www.ncbi.nlm.nih.gov/nuccore/CP000058.1?report=graph&amp;tracks=[key:gene_model_track,Options:GeneOnly]&amp;mk=4734155:4734174|offset_19|00cc00,4734183:4734202|offset_47|444444,4734212:4734231|offset_76|444444,4734246:4734265|offset_110|444444&amp;v=4733954:4734465&amp;c=444444", "offset 19")</f>
        <v>offset 19</v>
      </c>
    </row>
    <row r="15322" customFormat="false" ht="12.8" hidden="false" customHeight="false" outlineLevel="0" collapsed="false">
      <c r="A15322" s="0" t="s">
        <v>12</v>
      </c>
      <c r="B15322" s="0" t="n">
        <v>4734182</v>
      </c>
      <c r="C15322" s="0" t="n">
        <v>4734202</v>
      </c>
      <c r="D15322" s="0" t="s">
        <v>50920</v>
      </c>
      <c r="E15322" s="0" t="s">
        <v>75</v>
      </c>
      <c r="F15322" s="0" t="s">
        <v>15</v>
      </c>
      <c r="G15322" s="0" t="s">
        <v>16</v>
      </c>
      <c r="H15322" s="0" t="n">
        <v>47</v>
      </c>
      <c r="I15322" s="0" t="s">
        <v>50924</v>
      </c>
      <c r="J15322" s="0" t="s">
        <v>50925</v>
      </c>
      <c r="K15322" s="0" t="s">
        <v>50926</v>
      </c>
      <c r="L15322" s="0" t="str">
        <f aca="false">HYPERLINK("https://www.ncbi.nlm.nih.gov/nuccore/CP000058.1?report=graph&amp;tracks=[key:gene_model_track,Options:GeneOnly]&amp;mk=4734155:4734174|offset_19|444444,4734183:4734202|offset_47|00cc00,4734212:4734231|offset_76|444444,4734246:4734265|offset_110|444444&amp;v=4733954:4734465&amp;c=444444", "offset 47")</f>
        <v>offset 47</v>
      </c>
    </row>
    <row r="15323" customFormat="false" ht="12.8" hidden="false" customHeight="false" outlineLevel="0" collapsed="false">
      <c r="A15323" s="0" t="s">
        <v>12</v>
      </c>
      <c r="B15323" s="0" t="n">
        <v>4734211</v>
      </c>
      <c r="C15323" s="0" t="n">
        <v>4734231</v>
      </c>
      <c r="D15323" s="0" t="s">
        <v>50920</v>
      </c>
      <c r="E15323" s="0" t="s">
        <v>75</v>
      </c>
      <c r="F15323" s="0" t="s">
        <v>15</v>
      </c>
      <c r="G15323" s="0" t="s">
        <v>32</v>
      </c>
      <c r="H15323" s="0" t="n">
        <v>76</v>
      </c>
      <c r="I15323" s="0" t="s">
        <v>50927</v>
      </c>
      <c r="J15323" s="0" t="s">
        <v>50928</v>
      </c>
      <c r="K15323" s="0" t="s">
        <v>50929</v>
      </c>
      <c r="L15323" s="0" t="str">
        <f aca="false">HYPERLINK("https://www.ncbi.nlm.nih.gov/nuccore/CP000058.1?report=graph&amp;tracks=[key:gene_model_track,Options:GeneOnly]&amp;mk=4734155:4734174|offset_19|444444,4734183:4734202|offset_47|444444,4734212:4734231|offset_76|00cc00,4734246:4734265|offset_110|444444&amp;v=4733954:4734465&amp;c=444444", "offset 76")</f>
        <v>offset 76</v>
      </c>
    </row>
    <row r="15324" customFormat="false" ht="12.8" hidden="false" customHeight="false" outlineLevel="0" collapsed="false">
      <c r="A15324" s="0" t="s">
        <v>12</v>
      </c>
      <c r="B15324" s="0" t="n">
        <v>4734245</v>
      </c>
      <c r="C15324" s="0" t="n">
        <v>4734265</v>
      </c>
      <c r="D15324" s="0" t="s">
        <v>50920</v>
      </c>
      <c r="E15324" s="0" t="s">
        <v>75</v>
      </c>
      <c r="F15324" s="0" t="s">
        <v>15</v>
      </c>
      <c r="G15324" s="0" t="s">
        <v>36</v>
      </c>
      <c r="H15324" s="0" t="n">
        <v>110</v>
      </c>
      <c r="I15324" s="0" t="s">
        <v>50930</v>
      </c>
      <c r="J15324" s="0" t="s">
        <v>50931</v>
      </c>
      <c r="K15324" s="0" t="s">
        <v>50932</v>
      </c>
      <c r="L15324" s="0" t="str">
        <f aca="false">HYPERLINK("https://www.ncbi.nlm.nih.gov/nuccore/CP000058.1?report=graph&amp;tracks=[key:gene_model_track,Options:GeneOnly]&amp;mk=4734155:4734174|offset_19|444444,4734183:4734202|offset_47|444444,4734212:4734231|offset_76|444444,4734246:4734265|offset_110|00cc00&amp;v=4733954:4734465&amp;c=444444", "offset 110")</f>
        <v>offset 110</v>
      </c>
    </row>
    <row r="15325" customFormat="false" ht="12.8" hidden="false" customHeight="false" outlineLevel="0" collapsed="false">
      <c r="A15325" s="0" t="s">
        <v>12</v>
      </c>
      <c r="B15325" s="0" t="n">
        <v>4735044</v>
      </c>
      <c r="C15325" s="0" t="n">
        <v>4735064</v>
      </c>
      <c r="D15325" s="0" t="s">
        <v>50933</v>
      </c>
      <c r="E15325" s="0" t="s">
        <v>50934</v>
      </c>
      <c r="F15325" s="0" t="s">
        <v>15</v>
      </c>
      <c r="G15325" s="0" t="s">
        <v>32</v>
      </c>
      <c r="H15325" s="0" t="n">
        <v>1</v>
      </c>
      <c r="I15325" s="0" t="s">
        <v>50935</v>
      </c>
      <c r="J15325" s="0" t="s">
        <v>50936</v>
      </c>
      <c r="K15325" s="0" t="s">
        <v>50937</v>
      </c>
      <c r="L15325" s="0" t="str">
        <f aca="false">HYPERLINK("https://www.ncbi.nlm.nih.gov/nuccore/CP000058.1?report=graph&amp;tracks=[key:gene_model_track,Options:GeneOnly]&amp;mk=4735045:4735064|offset_1|00cc00,4735076:4735095|offset_32|444444,4735115:4735134|offset_71|444444,4735142:4735161|offset_98|444444&amp;v=4734844:4735361&amp;c=444444", "offset 1")</f>
        <v>offset 1</v>
      </c>
    </row>
    <row r="15326" customFormat="false" ht="12.8" hidden="false" customHeight="false" outlineLevel="0" collapsed="false">
      <c r="A15326" s="0" t="s">
        <v>12</v>
      </c>
      <c r="B15326" s="0" t="n">
        <v>4735075</v>
      </c>
      <c r="C15326" s="0" t="n">
        <v>4735095</v>
      </c>
      <c r="D15326" s="0" t="s">
        <v>50933</v>
      </c>
      <c r="E15326" s="0" t="s">
        <v>50934</v>
      </c>
      <c r="F15326" s="0" t="s">
        <v>15</v>
      </c>
      <c r="G15326" s="0" t="s">
        <v>32</v>
      </c>
      <c r="H15326" s="0" t="n">
        <v>32</v>
      </c>
      <c r="I15326" s="0" t="s">
        <v>50938</v>
      </c>
      <c r="J15326" s="0" t="s">
        <v>50939</v>
      </c>
      <c r="K15326" s="0" t="s">
        <v>50940</v>
      </c>
      <c r="L15326" s="0" t="str">
        <f aca="false">HYPERLINK("https://www.ncbi.nlm.nih.gov/nuccore/CP000058.1?report=graph&amp;tracks=[key:gene_model_track,Options:GeneOnly]&amp;mk=4735045:4735064|offset_1|444444,4735076:4735095|offset_32|00cc00,4735115:4735134|offset_71|444444,4735142:4735161|offset_98|444444&amp;v=4734844:4735361&amp;c=444444", "offset 32")</f>
        <v>offset 32</v>
      </c>
    </row>
    <row r="15327" customFormat="false" ht="12.8" hidden="false" customHeight="false" outlineLevel="0" collapsed="false">
      <c r="A15327" s="0" t="s">
        <v>12</v>
      </c>
      <c r="B15327" s="0" t="n">
        <v>4735114</v>
      </c>
      <c r="C15327" s="0" t="n">
        <v>4735134</v>
      </c>
      <c r="D15327" s="0" t="s">
        <v>50933</v>
      </c>
      <c r="E15327" s="0" t="s">
        <v>50934</v>
      </c>
      <c r="F15327" s="0" t="s">
        <v>15</v>
      </c>
      <c r="G15327" s="0" t="s">
        <v>16</v>
      </c>
      <c r="H15327" s="0" t="n">
        <v>71</v>
      </c>
      <c r="I15327" s="0" t="s">
        <v>50941</v>
      </c>
      <c r="J15327" s="0" t="s">
        <v>50942</v>
      </c>
      <c r="K15327" s="0" t="s">
        <v>50943</v>
      </c>
      <c r="L15327" s="0" t="str">
        <f aca="false">HYPERLINK("https://www.ncbi.nlm.nih.gov/nuccore/CP000058.1?report=graph&amp;tracks=[key:gene_model_track,Options:GeneOnly]&amp;mk=4735045:4735064|offset_1|444444,4735076:4735095|offset_32|444444,4735115:4735134|offset_71|00cc00,4735142:4735161|offset_98|444444&amp;v=4734844:4735361&amp;c=444444", "offset 71")</f>
        <v>offset 71</v>
      </c>
    </row>
    <row r="15328" customFormat="false" ht="12.8" hidden="false" customHeight="false" outlineLevel="0" collapsed="false">
      <c r="A15328" s="0" t="s">
        <v>12</v>
      </c>
      <c r="B15328" s="0" t="n">
        <v>4735141</v>
      </c>
      <c r="C15328" s="0" t="n">
        <v>4735161</v>
      </c>
      <c r="D15328" s="0" t="s">
        <v>50933</v>
      </c>
      <c r="E15328" s="0" t="s">
        <v>50934</v>
      </c>
      <c r="F15328" s="0" t="s">
        <v>15</v>
      </c>
      <c r="G15328" s="0" t="s">
        <v>20</v>
      </c>
      <c r="H15328" s="0" t="n">
        <v>98</v>
      </c>
      <c r="I15328" s="0" t="s">
        <v>50944</v>
      </c>
      <c r="J15328" s="0" t="s">
        <v>50945</v>
      </c>
      <c r="K15328" s="0" t="s">
        <v>50946</v>
      </c>
      <c r="L15328" s="0" t="str">
        <f aca="false">HYPERLINK("https://www.ncbi.nlm.nih.gov/nuccore/CP000058.1?report=graph&amp;tracks=[key:gene_model_track,Options:GeneOnly]&amp;mk=4735045:4735064|offset_1|444444,4735076:4735095|offset_32|444444,4735115:4735134|offset_71|444444,4735142:4735161|offset_98|00cc00&amp;v=4734844:4735361&amp;c=444444", "offset 98")</f>
        <v>offset 98</v>
      </c>
    </row>
    <row r="15329" customFormat="false" ht="12.8" hidden="false" customHeight="false" outlineLevel="0" collapsed="false">
      <c r="A15329" s="0" t="s">
        <v>12</v>
      </c>
      <c r="B15329" s="0" t="n">
        <v>4736638</v>
      </c>
      <c r="C15329" s="0" t="n">
        <v>4736658</v>
      </c>
      <c r="D15329" s="0" t="s">
        <v>50947</v>
      </c>
      <c r="E15329" s="0" t="s">
        <v>50948</v>
      </c>
      <c r="F15329" s="0" t="s">
        <v>15</v>
      </c>
      <c r="G15329" s="0" t="s">
        <v>32</v>
      </c>
      <c r="H15329" s="0" t="n">
        <v>26</v>
      </c>
      <c r="I15329" s="0" t="s">
        <v>50949</v>
      </c>
      <c r="J15329" s="0" t="s">
        <v>50950</v>
      </c>
      <c r="K15329" s="0" t="s">
        <v>50951</v>
      </c>
      <c r="L15329" s="0" t="str">
        <f aca="false">HYPERLINK("https://www.ncbi.nlm.nih.gov/nuccore/CP000058.1?report=graph&amp;tracks=[key:gene_model_track,Options:GeneOnly]&amp;mk=4736639:4736658|offset_26|00cc00,4736659:4736678|offset_46|444444,4736719:4736738|offset_106|444444,4736770:4736789|offset_157|444444&amp;v=4736438:4736989&amp;c=444444", "offset 26")</f>
        <v>offset 26</v>
      </c>
    </row>
    <row r="15330" customFormat="false" ht="12.8" hidden="false" customHeight="false" outlineLevel="0" collapsed="false">
      <c r="A15330" s="0" t="s">
        <v>12</v>
      </c>
      <c r="B15330" s="0" t="n">
        <v>4736658</v>
      </c>
      <c r="C15330" s="0" t="n">
        <v>4736678</v>
      </c>
      <c r="D15330" s="0" t="s">
        <v>50947</v>
      </c>
      <c r="E15330" s="0" t="s">
        <v>50948</v>
      </c>
      <c r="F15330" s="0" t="s">
        <v>15</v>
      </c>
      <c r="G15330" s="0" t="s">
        <v>36</v>
      </c>
      <c r="H15330" s="0" t="n">
        <v>46</v>
      </c>
      <c r="I15330" s="0" t="s">
        <v>50952</v>
      </c>
      <c r="J15330" s="0" t="s">
        <v>50953</v>
      </c>
      <c r="K15330" s="0" t="s">
        <v>50954</v>
      </c>
      <c r="L15330" s="0" t="str">
        <f aca="false">HYPERLINK("https://www.ncbi.nlm.nih.gov/nuccore/CP000058.1?report=graph&amp;tracks=[key:gene_model_track,Options:GeneOnly]&amp;mk=4736639:4736658|offset_26|444444,4736659:4736678|offset_46|00cc00,4736719:4736738|offset_106|444444,4736770:4736789|offset_157|444444&amp;v=4736438:4736989&amp;c=444444", "offset 46")</f>
        <v>offset 46</v>
      </c>
    </row>
    <row r="15331" customFormat="false" ht="12.8" hidden="false" customHeight="false" outlineLevel="0" collapsed="false">
      <c r="A15331" s="0" t="s">
        <v>12</v>
      </c>
      <c r="B15331" s="0" t="n">
        <v>4736718</v>
      </c>
      <c r="C15331" s="0" t="n">
        <v>4736738</v>
      </c>
      <c r="D15331" s="0" t="s">
        <v>50947</v>
      </c>
      <c r="E15331" s="0" t="s">
        <v>50948</v>
      </c>
      <c r="F15331" s="0" t="s">
        <v>15</v>
      </c>
      <c r="G15331" s="0" t="s">
        <v>32</v>
      </c>
      <c r="H15331" s="0" t="n">
        <v>106</v>
      </c>
      <c r="I15331" s="0" t="s">
        <v>50955</v>
      </c>
      <c r="J15331" s="0" t="s">
        <v>50956</v>
      </c>
      <c r="K15331" s="0" t="s">
        <v>50957</v>
      </c>
      <c r="L15331" s="0" t="str">
        <f aca="false">HYPERLINK("https://www.ncbi.nlm.nih.gov/nuccore/CP000058.1?report=graph&amp;tracks=[key:gene_model_track,Options:GeneOnly]&amp;mk=4736639:4736658|offset_26|444444,4736659:4736678|offset_46|444444,4736719:4736738|offset_106|00cc00,4736770:4736789|offset_157|444444&amp;v=4736438:4736989&amp;c=444444", "offset 106")</f>
        <v>offset 106</v>
      </c>
    </row>
    <row r="15332" customFormat="false" ht="12.8" hidden="false" customHeight="false" outlineLevel="0" collapsed="false">
      <c r="A15332" s="0" t="s">
        <v>12</v>
      </c>
      <c r="B15332" s="0" t="n">
        <v>4736769</v>
      </c>
      <c r="C15332" s="0" t="n">
        <v>4736789</v>
      </c>
      <c r="D15332" s="0" t="s">
        <v>50947</v>
      </c>
      <c r="E15332" s="0" t="s">
        <v>50948</v>
      </c>
      <c r="F15332" s="0" t="s">
        <v>15</v>
      </c>
      <c r="G15332" s="0" t="s">
        <v>32</v>
      </c>
      <c r="H15332" s="0" t="n">
        <v>157</v>
      </c>
      <c r="I15332" s="0" t="s">
        <v>50958</v>
      </c>
      <c r="J15332" s="0" t="s">
        <v>50959</v>
      </c>
      <c r="K15332" s="0" t="s">
        <v>50960</v>
      </c>
      <c r="L15332" s="0" t="str">
        <f aca="false">HYPERLINK("https://www.ncbi.nlm.nih.gov/nuccore/CP000058.1?report=graph&amp;tracks=[key:gene_model_track,Options:GeneOnly]&amp;mk=4736639:4736658|offset_26|444444,4736659:4736678|offset_46|444444,4736719:4736738|offset_106|444444,4736770:4736789|offset_157|00cc00&amp;v=4736438:4736989&amp;c=444444", "offset 157")</f>
        <v>offset 157</v>
      </c>
    </row>
    <row r="15333" customFormat="false" ht="12.8" hidden="false" customHeight="false" outlineLevel="0" collapsed="false">
      <c r="A15333" s="0" t="s">
        <v>12</v>
      </c>
      <c r="B15333" s="0" t="n">
        <v>4736940</v>
      </c>
      <c r="C15333" s="0" t="n">
        <v>4736960</v>
      </c>
      <c r="D15333" s="0" t="s">
        <v>50961</v>
      </c>
      <c r="E15333" s="0" t="s">
        <v>50962</v>
      </c>
      <c r="F15333" s="0" t="s">
        <v>15</v>
      </c>
      <c r="G15333" s="0" t="s">
        <v>16</v>
      </c>
      <c r="H15333" s="0" t="n">
        <v>8</v>
      </c>
      <c r="I15333" s="0" t="s">
        <v>50963</v>
      </c>
      <c r="J15333" s="0" t="s">
        <v>50964</v>
      </c>
      <c r="K15333" s="0" t="s">
        <v>50965</v>
      </c>
      <c r="L15333" s="0" t="str">
        <f aca="false">HYPERLINK("https://www.ncbi.nlm.nih.gov/nuccore/CP000058.1?report=graph&amp;tracks=[key:gene_model_track,Options:GeneOnly]&amp;mk=4736941:4736960|offset_8|00cc00,4736961:4736980|offset_28|444444,4736987:4737006|offset_54|444444,4737024:4737043|offset_91|444444&amp;v=4736740:4737243&amp;c=444444", "offset 8")</f>
        <v>offset 8</v>
      </c>
    </row>
    <row r="15334" customFormat="false" ht="12.8" hidden="false" customHeight="false" outlineLevel="0" collapsed="false">
      <c r="A15334" s="0" t="s">
        <v>12</v>
      </c>
      <c r="B15334" s="0" t="n">
        <v>4736960</v>
      </c>
      <c r="C15334" s="0" t="n">
        <v>4736980</v>
      </c>
      <c r="D15334" s="0" t="s">
        <v>50961</v>
      </c>
      <c r="E15334" s="0" t="s">
        <v>50962</v>
      </c>
      <c r="F15334" s="0" t="s">
        <v>15</v>
      </c>
      <c r="G15334" s="0" t="s">
        <v>36</v>
      </c>
      <c r="H15334" s="0" t="n">
        <v>28</v>
      </c>
      <c r="I15334" s="0" t="s">
        <v>50966</v>
      </c>
      <c r="J15334" s="0" t="s">
        <v>50967</v>
      </c>
      <c r="K15334" s="0" t="s">
        <v>50968</v>
      </c>
      <c r="L15334" s="0" t="str">
        <f aca="false">HYPERLINK("https://www.ncbi.nlm.nih.gov/nuccore/CP000058.1?report=graph&amp;tracks=[key:gene_model_track,Options:GeneOnly]&amp;mk=4736941:4736960|offset_8|444444,4736961:4736980|offset_28|00cc00,4736987:4737006|offset_54|444444,4737024:4737043|offset_91|444444&amp;v=4736740:4737243&amp;c=444444", "offset 28")</f>
        <v>offset 28</v>
      </c>
    </row>
    <row r="15335" customFormat="false" ht="12.8" hidden="false" customHeight="false" outlineLevel="0" collapsed="false">
      <c r="A15335" s="0" t="s">
        <v>12</v>
      </c>
      <c r="B15335" s="0" t="n">
        <v>4736986</v>
      </c>
      <c r="C15335" s="0" t="n">
        <v>4737006</v>
      </c>
      <c r="D15335" s="0" t="s">
        <v>50961</v>
      </c>
      <c r="E15335" s="0" t="s">
        <v>50962</v>
      </c>
      <c r="F15335" s="0" t="s">
        <v>15</v>
      </c>
      <c r="G15335" s="0" t="s">
        <v>16</v>
      </c>
      <c r="H15335" s="0" t="n">
        <v>54</v>
      </c>
      <c r="I15335" s="0" t="s">
        <v>50969</v>
      </c>
      <c r="J15335" s="0" t="s">
        <v>50970</v>
      </c>
      <c r="K15335" s="0" t="s">
        <v>50971</v>
      </c>
      <c r="L15335" s="0" t="str">
        <f aca="false">HYPERLINK("https://www.ncbi.nlm.nih.gov/nuccore/CP000058.1?report=graph&amp;tracks=[key:gene_model_track,Options:GeneOnly]&amp;mk=4736941:4736960|offset_8|444444,4736961:4736980|offset_28|444444,4736987:4737006|offset_54|00cc00,4737024:4737043|offset_91|444444&amp;v=4736740:4737243&amp;c=444444", "offset 54")</f>
        <v>offset 54</v>
      </c>
    </row>
    <row r="15336" customFormat="false" ht="12.8" hidden="false" customHeight="false" outlineLevel="0" collapsed="false">
      <c r="A15336" s="0" t="s">
        <v>12</v>
      </c>
      <c r="B15336" s="0" t="n">
        <v>4737023</v>
      </c>
      <c r="C15336" s="0" t="n">
        <v>4737043</v>
      </c>
      <c r="D15336" s="0" t="s">
        <v>50961</v>
      </c>
      <c r="E15336" s="0" t="s">
        <v>50962</v>
      </c>
      <c r="F15336" s="0" t="s">
        <v>15</v>
      </c>
      <c r="G15336" s="0" t="s">
        <v>32</v>
      </c>
      <c r="H15336" s="0" t="n">
        <v>91</v>
      </c>
      <c r="I15336" s="0" t="s">
        <v>50972</v>
      </c>
      <c r="J15336" s="0" t="s">
        <v>50973</v>
      </c>
      <c r="K15336" s="0" t="s">
        <v>50974</v>
      </c>
      <c r="L15336" s="0" t="str">
        <f aca="false">HYPERLINK("https://www.ncbi.nlm.nih.gov/nuccore/CP000058.1?report=graph&amp;tracks=[key:gene_model_track,Options:GeneOnly]&amp;mk=4736941:4736960|offset_8|444444,4736961:4736980|offset_28|444444,4736987:4737006|offset_54|444444,4737024:4737043|offset_91|00cc00&amp;v=4736740:4737243&amp;c=444444", "offset 91")</f>
        <v>offset 91</v>
      </c>
    </row>
    <row r="15337" customFormat="false" ht="12.8" hidden="false" customHeight="false" outlineLevel="0" collapsed="false">
      <c r="A15337" s="0" t="s">
        <v>12</v>
      </c>
      <c r="B15337" s="0" t="n">
        <v>4737425</v>
      </c>
      <c r="C15337" s="0" t="n">
        <v>4737445</v>
      </c>
      <c r="D15337" s="0" t="s">
        <v>50975</v>
      </c>
      <c r="E15337" s="0" t="s">
        <v>75</v>
      </c>
      <c r="F15337" s="0" t="s">
        <v>15</v>
      </c>
      <c r="G15337" s="0" t="s">
        <v>16</v>
      </c>
      <c r="H15337" s="0" t="n">
        <v>26</v>
      </c>
      <c r="I15337" s="0" t="s">
        <v>50976</v>
      </c>
      <c r="J15337" s="0" t="s">
        <v>50977</v>
      </c>
      <c r="K15337" s="0" t="s">
        <v>50978</v>
      </c>
      <c r="L15337" s="0" t="str">
        <f aca="false">HYPERLINK("https://www.ncbi.nlm.nih.gov/nuccore/CP000058.1?report=graph&amp;tracks=[key:gene_model_track,Options:GeneOnly]&amp;mk=4737426:4737445|offset_26|00cc00,4737452:4737471|offset_52|444444,4737495:4737514|offset_95|444444,4737524:4737543|offset_124|444444&amp;v=4737225:4737743&amp;c=444444", "offset 26")</f>
        <v>offset 26</v>
      </c>
    </row>
    <row r="15338" customFormat="false" ht="12.8" hidden="false" customHeight="false" outlineLevel="0" collapsed="false">
      <c r="A15338" s="0" t="s">
        <v>12</v>
      </c>
      <c r="B15338" s="0" t="n">
        <v>4737451</v>
      </c>
      <c r="C15338" s="0" t="n">
        <v>4737471</v>
      </c>
      <c r="D15338" s="0" t="s">
        <v>50975</v>
      </c>
      <c r="E15338" s="0" t="s">
        <v>75</v>
      </c>
      <c r="F15338" s="0" t="s">
        <v>15</v>
      </c>
      <c r="G15338" s="0" t="s">
        <v>36</v>
      </c>
      <c r="H15338" s="0" t="n">
        <v>52</v>
      </c>
      <c r="I15338" s="0" t="s">
        <v>50979</v>
      </c>
      <c r="J15338" s="0" t="s">
        <v>50980</v>
      </c>
      <c r="K15338" s="0" t="s">
        <v>50981</v>
      </c>
      <c r="L15338" s="0" t="str">
        <f aca="false">HYPERLINK("https://www.ncbi.nlm.nih.gov/nuccore/CP000058.1?report=graph&amp;tracks=[key:gene_model_track,Options:GeneOnly]&amp;mk=4737426:4737445|offset_26|444444,4737452:4737471|offset_52|00cc00,4737495:4737514|offset_95|444444,4737524:4737543|offset_124|444444&amp;v=4737225:4737743&amp;c=444444", "offset 52")</f>
        <v>offset 52</v>
      </c>
    </row>
    <row r="15339" customFormat="false" ht="12.8" hidden="false" customHeight="false" outlineLevel="0" collapsed="false">
      <c r="A15339" s="0" t="s">
        <v>12</v>
      </c>
      <c r="B15339" s="0" t="n">
        <v>4737494</v>
      </c>
      <c r="C15339" s="0" t="n">
        <v>4737514</v>
      </c>
      <c r="D15339" s="0" t="s">
        <v>50975</v>
      </c>
      <c r="E15339" s="0" t="s">
        <v>75</v>
      </c>
      <c r="F15339" s="0" t="s">
        <v>15</v>
      </c>
      <c r="G15339" s="0" t="s">
        <v>20</v>
      </c>
      <c r="H15339" s="0" t="n">
        <v>95</v>
      </c>
      <c r="I15339" s="0" t="s">
        <v>50982</v>
      </c>
      <c r="J15339" s="0" t="s">
        <v>50983</v>
      </c>
      <c r="K15339" s="0" t="s">
        <v>50984</v>
      </c>
      <c r="L15339" s="0" t="str">
        <f aca="false">HYPERLINK("https://www.ncbi.nlm.nih.gov/nuccore/CP000058.1?report=graph&amp;tracks=[key:gene_model_track,Options:GeneOnly]&amp;mk=4737426:4737445|offset_26|444444,4737452:4737471|offset_52|444444,4737495:4737514|offset_95|00cc00,4737524:4737543|offset_124|444444&amp;v=4737225:4737743&amp;c=444444", "offset 95")</f>
        <v>offset 95</v>
      </c>
    </row>
    <row r="15340" customFormat="false" ht="12.8" hidden="false" customHeight="false" outlineLevel="0" collapsed="false">
      <c r="A15340" s="0" t="s">
        <v>12</v>
      </c>
      <c r="B15340" s="0" t="n">
        <v>4737523</v>
      </c>
      <c r="C15340" s="0" t="n">
        <v>4737543</v>
      </c>
      <c r="D15340" s="0" t="s">
        <v>50975</v>
      </c>
      <c r="E15340" s="0" t="s">
        <v>75</v>
      </c>
      <c r="F15340" s="0" t="s">
        <v>15</v>
      </c>
      <c r="G15340" s="0" t="s">
        <v>16</v>
      </c>
      <c r="H15340" s="0" t="n">
        <v>124</v>
      </c>
      <c r="I15340" s="0" t="s">
        <v>50985</v>
      </c>
      <c r="J15340" s="0" t="s">
        <v>50986</v>
      </c>
      <c r="K15340" s="0" t="s">
        <v>50987</v>
      </c>
      <c r="L15340" s="0" t="str">
        <f aca="false">HYPERLINK("https://www.ncbi.nlm.nih.gov/nuccore/CP000058.1?report=graph&amp;tracks=[key:gene_model_track,Options:GeneOnly]&amp;mk=4737426:4737445|offset_26|444444,4737452:4737471|offset_52|444444,4737495:4737514|offset_95|444444,4737524:4737543|offset_124|00cc00&amp;v=4737225:4737743&amp;c=444444", "offset 124")</f>
        <v>offset 124</v>
      </c>
    </row>
    <row r="15341" customFormat="false" ht="12.8" hidden="false" customHeight="false" outlineLevel="0" collapsed="false">
      <c r="A15341" s="0" t="s">
        <v>12</v>
      </c>
      <c r="B15341" s="0" t="n">
        <v>4738279</v>
      </c>
      <c r="C15341" s="0" t="n">
        <v>4738299</v>
      </c>
      <c r="D15341" s="0" t="s">
        <v>50988</v>
      </c>
      <c r="E15341" s="0" t="s">
        <v>50989</v>
      </c>
      <c r="F15341" s="0" t="s">
        <v>15</v>
      </c>
      <c r="G15341" s="0" t="s">
        <v>36</v>
      </c>
      <c r="H15341" s="0" t="n">
        <v>6</v>
      </c>
      <c r="I15341" s="0" t="s">
        <v>50990</v>
      </c>
      <c r="J15341" s="0" t="s">
        <v>50991</v>
      </c>
      <c r="K15341" s="0" t="s">
        <v>50992</v>
      </c>
      <c r="L15341" s="0" t="str">
        <f aca="false">HYPERLINK("https://www.ncbi.nlm.nih.gov/nuccore/CP000058.1?report=graph&amp;tracks=[key:gene_model_track,Options:GeneOnly]&amp;mk=4738280:4738299|offset_6|00cc00,4738315:4738334|offset_41|444444,4738335:4738354|offset_61|444444,4738363:4738382|offset_89|444444&amp;v=4738079:4738582&amp;c=444444", "offset 6")</f>
        <v>offset 6</v>
      </c>
    </row>
    <row r="15342" customFormat="false" ht="12.8" hidden="false" customHeight="false" outlineLevel="0" collapsed="false">
      <c r="A15342" s="0" t="s">
        <v>12</v>
      </c>
      <c r="B15342" s="0" t="n">
        <v>4738314</v>
      </c>
      <c r="C15342" s="0" t="n">
        <v>4738334</v>
      </c>
      <c r="D15342" s="0" t="s">
        <v>50988</v>
      </c>
      <c r="E15342" s="0" t="s">
        <v>50989</v>
      </c>
      <c r="F15342" s="0" t="s">
        <v>15</v>
      </c>
      <c r="G15342" s="0" t="s">
        <v>20</v>
      </c>
      <c r="H15342" s="0" t="n">
        <v>41</v>
      </c>
      <c r="I15342" s="0" t="s">
        <v>50993</v>
      </c>
      <c r="J15342" s="0" t="s">
        <v>50994</v>
      </c>
      <c r="K15342" s="0" t="s">
        <v>50995</v>
      </c>
      <c r="L15342" s="0" t="str">
        <f aca="false">HYPERLINK("https://www.ncbi.nlm.nih.gov/nuccore/CP000058.1?report=graph&amp;tracks=[key:gene_model_track,Options:GeneOnly]&amp;mk=4738280:4738299|offset_6|444444,4738315:4738334|offset_41|00cc00,4738335:4738354|offset_61|444444,4738363:4738382|offset_89|444444&amp;v=4738079:4738582&amp;c=444444", "offset 41")</f>
        <v>offset 41</v>
      </c>
    </row>
    <row r="15343" customFormat="false" ht="12.8" hidden="false" customHeight="false" outlineLevel="0" collapsed="false">
      <c r="A15343" s="0" t="s">
        <v>12</v>
      </c>
      <c r="B15343" s="0" t="n">
        <v>4738334</v>
      </c>
      <c r="C15343" s="0" t="n">
        <v>4738354</v>
      </c>
      <c r="D15343" s="0" t="s">
        <v>50988</v>
      </c>
      <c r="E15343" s="0" t="s">
        <v>50989</v>
      </c>
      <c r="F15343" s="0" t="s">
        <v>15</v>
      </c>
      <c r="G15343" s="0" t="s">
        <v>32</v>
      </c>
      <c r="H15343" s="0" t="n">
        <v>61</v>
      </c>
      <c r="I15343" s="0" t="s">
        <v>50996</v>
      </c>
      <c r="J15343" s="0" t="s">
        <v>50997</v>
      </c>
      <c r="K15343" s="0" t="s">
        <v>50998</v>
      </c>
      <c r="L15343" s="0" t="str">
        <f aca="false">HYPERLINK("https://www.ncbi.nlm.nih.gov/nuccore/CP000058.1?report=graph&amp;tracks=[key:gene_model_track,Options:GeneOnly]&amp;mk=4738280:4738299|offset_6|444444,4738315:4738334|offset_41|444444,4738335:4738354|offset_61|00cc00,4738363:4738382|offset_89|444444&amp;v=4738079:4738582&amp;c=444444", "offset 61")</f>
        <v>offset 61</v>
      </c>
    </row>
    <row r="15344" customFormat="false" ht="12.8" hidden="false" customHeight="false" outlineLevel="0" collapsed="false">
      <c r="A15344" s="0" t="s">
        <v>12</v>
      </c>
      <c r="B15344" s="0" t="n">
        <v>4738362</v>
      </c>
      <c r="C15344" s="0" t="n">
        <v>4738382</v>
      </c>
      <c r="D15344" s="0" t="s">
        <v>50988</v>
      </c>
      <c r="E15344" s="0" t="s">
        <v>50989</v>
      </c>
      <c r="F15344" s="0" t="s">
        <v>15</v>
      </c>
      <c r="G15344" s="0" t="s">
        <v>36</v>
      </c>
      <c r="H15344" s="0" t="n">
        <v>89</v>
      </c>
      <c r="I15344" s="0" t="s">
        <v>50999</v>
      </c>
      <c r="J15344" s="0" t="s">
        <v>51000</v>
      </c>
      <c r="K15344" s="0" t="s">
        <v>51001</v>
      </c>
      <c r="L15344" s="0" t="str">
        <f aca="false">HYPERLINK("https://www.ncbi.nlm.nih.gov/nuccore/CP000058.1?report=graph&amp;tracks=[key:gene_model_track,Options:GeneOnly]&amp;mk=4738280:4738299|offset_6|444444,4738315:4738334|offset_41|444444,4738335:4738354|offset_61|444444,4738363:4738382|offset_89|00cc00&amp;v=4738079:4738582&amp;c=444444", "offset 89")</f>
        <v>offset 89</v>
      </c>
    </row>
    <row r="15345" customFormat="false" ht="12.8" hidden="false" customHeight="false" outlineLevel="0" collapsed="false">
      <c r="A15345" s="0" t="s">
        <v>12</v>
      </c>
      <c r="B15345" s="0" t="n">
        <v>4739316</v>
      </c>
      <c r="C15345" s="0" t="n">
        <v>4739336</v>
      </c>
      <c r="D15345" s="0" t="s">
        <v>51002</v>
      </c>
      <c r="E15345" s="0" t="s">
        <v>51003</v>
      </c>
      <c r="F15345" s="0" t="s">
        <v>90</v>
      </c>
      <c r="G15345" s="0" t="s">
        <v>20</v>
      </c>
      <c r="H15345" s="0" t="n">
        <v>6</v>
      </c>
      <c r="I15345" s="0" t="s">
        <v>51004</v>
      </c>
      <c r="J15345" s="0" t="s">
        <v>51005</v>
      </c>
      <c r="K15345" s="0" t="s">
        <v>51006</v>
      </c>
      <c r="L15345" s="0" t="str">
        <f aca="false">HYPERLINK("https://www.ncbi.nlm.nih.gov/nuccore/CP000058.1?report=graph&amp;tracks=[key:gene_model_track,Options:GeneOnly]&amp;mk=4739317:4739336|offset_6|00cc00,4739296:4739315|offset_27|444444,4739272:4739291|offset_51|444444,4739243:4739262|offset_80|444444&amp;v=4739116:4739462&amp;c=444444", "offset 6")</f>
        <v>offset 6</v>
      </c>
    </row>
    <row r="15346" customFormat="false" ht="12.8" hidden="false" customHeight="false" outlineLevel="0" collapsed="false">
      <c r="A15346" s="0" t="s">
        <v>12</v>
      </c>
      <c r="B15346" s="0" t="n">
        <v>4739295</v>
      </c>
      <c r="C15346" s="0" t="n">
        <v>4739315</v>
      </c>
      <c r="D15346" s="0" t="s">
        <v>51002</v>
      </c>
      <c r="E15346" s="0" t="s">
        <v>51003</v>
      </c>
      <c r="F15346" s="0" t="s">
        <v>90</v>
      </c>
      <c r="G15346" s="0" t="s">
        <v>20</v>
      </c>
      <c r="H15346" s="0" t="n">
        <v>27</v>
      </c>
      <c r="I15346" s="0" t="s">
        <v>51007</v>
      </c>
      <c r="J15346" s="0" t="s">
        <v>51008</v>
      </c>
      <c r="K15346" s="0" t="s">
        <v>51009</v>
      </c>
      <c r="L15346" s="0" t="str">
        <f aca="false">HYPERLINK("https://www.ncbi.nlm.nih.gov/nuccore/CP000058.1?report=graph&amp;tracks=[key:gene_model_track,Options:GeneOnly]&amp;mk=4739317:4739336|offset_6|444444,4739296:4739315|offset_27|00cc00,4739272:4739291|offset_51|444444,4739243:4739262|offset_80|444444&amp;v=4739116:4739462&amp;c=444444", "offset 27")</f>
        <v>offset 27</v>
      </c>
    </row>
    <row r="15347" customFormat="false" ht="12.8" hidden="false" customHeight="false" outlineLevel="0" collapsed="false">
      <c r="A15347" s="0" t="s">
        <v>12</v>
      </c>
      <c r="B15347" s="0" t="n">
        <v>4739271</v>
      </c>
      <c r="C15347" s="0" t="n">
        <v>4739291</v>
      </c>
      <c r="D15347" s="0" t="s">
        <v>51002</v>
      </c>
      <c r="E15347" s="0" t="s">
        <v>51003</v>
      </c>
      <c r="F15347" s="0" t="s">
        <v>90</v>
      </c>
      <c r="G15347" s="0" t="s">
        <v>16</v>
      </c>
      <c r="H15347" s="0" t="n">
        <v>51</v>
      </c>
      <c r="I15347" s="0" t="s">
        <v>51010</v>
      </c>
      <c r="J15347" s="0" t="s">
        <v>51011</v>
      </c>
      <c r="K15347" s="0" t="s">
        <v>51012</v>
      </c>
      <c r="L15347" s="0" t="str">
        <f aca="false">HYPERLINK("https://www.ncbi.nlm.nih.gov/nuccore/CP000058.1?report=graph&amp;tracks=[key:gene_model_track,Options:GeneOnly]&amp;mk=4739317:4739336|offset_6|444444,4739296:4739315|offset_27|444444,4739272:4739291|offset_51|00cc00,4739243:4739262|offset_80|444444&amp;v=4739116:4739462&amp;c=444444", "offset 51")</f>
        <v>offset 51</v>
      </c>
    </row>
    <row r="15348" customFormat="false" ht="12.8" hidden="false" customHeight="false" outlineLevel="0" collapsed="false">
      <c r="A15348" s="0" t="s">
        <v>12</v>
      </c>
      <c r="B15348" s="0" t="n">
        <v>4739242</v>
      </c>
      <c r="C15348" s="0" t="n">
        <v>4739262</v>
      </c>
      <c r="D15348" s="0" t="s">
        <v>51002</v>
      </c>
      <c r="E15348" s="0" t="s">
        <v>51003</v>
      </c>
      <c r="F15348" s="0" t="s">
        <v>90</v>
      </c>
      <c r="G15348" s="0" t="s">
        <v>32</v>
      </c>
      <c r="H15348" s="0" t="n">
        <v>80</v>
      </c>
      <c r="I15348" s="0" t="s">
        <v>51013</v>
      </c>
      <c r="J15348" s="0" t="s">
        <v>51014</v>
      </c>
      <c r="K15348" s="0" t="s">
        <v>51015</v>
      </c>
      <c r="L15348" s="0" t="str">
        <f aca="false">HYPERLINK("https://www.ncbi.nlm.nih.gov/nuccore/CP000058.1?report=graph&amp;tracks=[key:gene_model_track,Options:GeneOnly]&amp;mk=4739317:4739336|offset_6|444444,4739296:4739315|offset_27|444444,4739272:4739291|offset_51|444444,4739243:4739262|offset_80|00cc00&amp;v=4739116:4739462&amp;c=444444", "offset 80")</f>
        <v>offset 80</v>
      </c>
    </row>
    <row r="15349" customFormat="false" ht="12.8" hidden="false" customHeight="false" outlineLevel="0" collapsed="false">
      <c r="A15349" s="0" t="s">
        <v>12</v>
      </c>
      <c r="B15349" s="0" t="n">
        <v>4740957</v>
      </c>
      <c r="C15349" s="0" t="n">
        <v>4740977</v>
      </c>
      <c r="D15349" s="0" t="s">
        <v>51016</v>
      </c>
      <c r="E15349" s="0" t="s">
        <v>75</v>
      </c>
      <c r="F15349" s="0" t="s">
        <v>90</v>
      </c>
      <c r="G15349" s="0" t="s">
        <v>20</v>
      </c>
      <c r="H15349" s="0" t="n">
        <v>12</v>
      </c>
      <c r="I15349" s="0" t="s">
        <v>51017</v>
      </c>
      <c r="J15349" s="0" t="s">
        <v>51018</v>
      </c>
      <c r="K15349" s="0" t="s">
        <v>51019</v>
      </c>
      <c r="L15349" s="0" t="str">
        <f aca="false">HYPERLINK("https://www.ncbi.nlm.nih.gov/nuccore/CP000058.1?report=graph&amp;tracks=[key:gene_model_track,Options:GeneOnly]&amp;mk=4740958:4740977|offset_12|00cc00,4740935:4740954|offset_35|444444,4740912:4740931|offset_58|444444,4740892:4740911|offset_78|444444&amp;v=4740757:4741111&amp;c=444444", "offset 12")</f>
        <v>offset 12</v>
      </c>
    </row>
    <row r="15350" customFormat="false" ht="12.8" hidden="false" customHeight="false" outlineLevel="0" collapsed="false">
      <c r="A15350" s="0" t="s">
        <v>12</v>
      </c>
      <c r="B15350" s="0" t="n">
        <v>4740934</v>
      </c>
      <c r="C15350" s="0" t="n">
        <v>4740954</v>
      </c>
      <c r="D15350" s="0" t="s">
        <v>51016</v>
      </c>
      <c r="E15350" s="0" t="s">
        <v>75</v>
      </c>
      <c r="F15350" s="0" t="s">
        <v>90</v>
      </c>
      <c r="G15350" s="0" t="s">
        <v>20</v>
      </c>
      <c r="H15350" s="0" t="n">
        <v>35</v>
      </c>
      <c r="I15350" s="0" t="s">
        <v>51020</v>
      </c>
      <c r="J15350" s="0" t="s">
        <v>51021</v>
      </c>
      <c r="K15350" s="0" t="s">
        <v>51022</v>
      </c>
      <c r="L15350" s="0" t="str">
        <f aca="false">HYPERLINK("https://www.ncbi.nlm.nih.gov/nuccore/CP000058.1?report=graph&amp;tracks=[key:gene_model_track,Options:GeneOnly]&amp;mk=4740958:4740977|offset_12|444444,4740935:4740954|offset_35|00cc00,4740912:4740931|offset_58|444444,4740892:4740911|offset_78|444444&amp;v=4740757:4741111&amp;c=444444", "offset 35")</f>
        <v>offset 35</v>
      </c>
    </row>
    <row r="15351" customFormat="false" ht="12.8" hidden="false" customHeight="false" outlineLevel="0" collapsed="false">
      <c r="A15351" s="0" t="s">
        <v>12</v>
      </c>
      <c r="B15351" s="0" t="n">
        <v>4740911</v>
      </c>
      <c r="C15351" s="0" t="n">
        <v>4740931</v>
      </c>
      <c r="D15351" s="0" t="s">
        <v>51016</v>
      </c>
      <c r="E15351" s="0" t="s">
        <v>75</v>
      </c>
      <c r="F15351" s="0" t="s">
        <v>90</v>
      </c>
      <c r="G15351" s="0" t="s">
        <v>32</v>
      </c>
      <c r="H15351" s="0" t="n">
        <v>58</v>
      </c>
      <c r="I15351" s="0" t="s">
        <v>51023</v>
      </c>
      <c r="J15351" s="0" t="s">
        <v>51024</v>
      </c>
      <c r="K15351" s="0" t="s">
        <v>51025</v>
      </c>
      <c r="L15351" s="0" t="str">
        <f aca="false">HYPERLINK("https://www.ncbi.nlm.nih.gov/nuccore/CP000058.1?report=graph&amp;tracks=[key:gene_model_track,Options:GeneOnly]&amp;mk=4740958:4740977|offset_12|444444,4740935:4740954|offset_35|444444,4740912:4740931|offset_58|00cc00,4740892:4740911|offset_78|444444&amp;v=4740757:4741111&amp;c=444444", "offset 58")</f>
        <v>offset 58</v>
      </c>
    </row>
    <row r="15352" customFormat="false" ht="12.8" hidden="false" customHeight="false" outlineLevel="0" collapsed="false">
      <c r="A15352" s="0" t="s">
        <v>12</v>
      </c>
      <c r="B15352" s="0" t="n">
        <v>4740891</v>
      </c>
      <c r="C15352" s="0" t="n">
        <v>4740911</v>
      </c>
      <c r="D15352" s="0" t="s">
        <v>51016</v>
      </c>
      <c r="E15352" s="0" t="s">
        <v>75</v>
      </c>
      <c r="F15352" s="0" t="s">
        <v>90</v>
      </c>
      <c r="G15352" s="0" t="s">
        <v>20</v>
      </c>
      <c r="H15352" s="0" t="n">
        <v>78</v>
      </c>
      <c r="I15352" s="0" t="s">
        <v>51026</v>
      </c>
      <c r="J15352" s="0" t="s">
        <v>51027</v>
      </c>
      <c r="K15352" s="0" t="s">
        <v>51028</v>
      </c>
      <c r="L15352" s="0" t="str">
        <f aca="false">HYPERLINK("https://www.ncbi.nlm.nih.gov/nuccore/CP000058.1?report=graph&amp;tracks=[key:gene_model_track,Options:GeneOnly]&amp;mk=4740958:4740977|offset_12|444444,4740935:4740954|offset_35|444444,4740912:4740931|offset_58|444444,4740892:4740911|offset_78|00cc00&amp;v=4740757:4741111&amp;c=444444", "offset 78")</f>
        <v>offset 78</v>
      </c>
    </row>
    <row r="15353" customFormat="false" ht="12.8" hidden="false" customHeight="false" outlineLevel="0" collapsed="false">
      <c r="A15353" s="0" t="s">
        <v>12</v>
      </c>
      <c r="B15353" s="0" t="n">
        <v>4743737</v>
      </c>
      <c r="C15353" s="0" t="n">
        <v>4743757</v>
      </c>
      <c r="D15353" s="0" t="s">
        <v>51029</v>
      </c>
      <c r="E15353" s="0" t="s">
        <v>51030</v>
      </c>
      <c r="F15353" s="0" t="s">
        <v>90</v>
      </c>
      <c r="G15353" s="0" t="s">
        <v>36</v>
      </c>
      <c r="H15353" s="0" t="n">
        <v>13</v>
      </c>
      <c r="I15353" s="0" t="s">
        <v>51031</v>
      </c>
      <c r="J15353" s="0" t="s">
        <v>51032</v>
      </c>
      <c r="K15353" s="0" t="s">
        <v>51033</v>
      </c>
      <c r="L15353" s="0" t="str">
        <f aca="false">HYPERLINK("https://www.ncbi.nlm.nih.gov/nuccore/CP000058.1?report=graph&amp;tracks=[key:gene_model_track,Options:GeneOnly]&amp;mk=4743738:4743757|offset_13|00cc00,4743713:4743732|offset_38|444444,4743690:4743709|offset_61|444444,4743649:4743668|offset_102|444444&amp;v=4743537:4743868&amp;c=444444", "offset 13")</f>
        <v>offset 13</v>
      </c>
    </row>
    <row r="15354" customFormat="false" ht="12.8" hidden="false" customHeight="false" outlineLevel="0" collapsed="false">
      <c r="A15354" s="0" t="s">
        <v>12</v>
      </c>
      <c r="B15354" s="0" t="n">
        <v>4743712</v>
      </c>
      <c r="C15354" s="0" t="n">
        <v>4743732</v>
      </c>
      <c r="D15354" s="0" t="s">
        <v>51029</v>
      </c>
      <c r="E15354" s="0" t="s">
        <v>51030</v>
      </c>
      <c r="F15354" s="0" t="s">
        <v>90</v>
      </c>
      <c r="G15354" s="0" t="s">
        <v>32</v>
      </c>
      <c r="H15354" s="0" t="n">
        <v>38</v>
      </c>
      <c r="I15354" s="0" t="s">
        <v>51034</v>
      </c>
      <c r="J15354" s="0" t="s">
        <v>51035</v>
      </c>
      <c r="K15354" s="0" t="s">
        <v>51036</v>
      </c>
      <c r="L15354" s="0" t="str">
        <f aca="false">HYPERLINK("https://www.ncbi.nlm.nih.gov/nuccore/CP000058.1?report=graph&amp;tracks=[key:gene_model_track,Options:GeneOnly]&amp;mk=4743738:4743757|offset_13|444444,4743713:4743732|offset_38|00cc00,4743690:4743709|offset_61|444444,4743649:4743668|offset_102|444444&amp;v=4743537:4743868&amp;c=444444", "offset 38")</f>
        <v>offset 38</v>
      </c>
    </row>
    <row r="15355" customFormat="false" ht="12.8" hidden="false" customHeight="false" outlineLevel="0" collapsed="false">
      <c r="A15355" s="0" t="s">
        <v>12</v>
      </c>
      <c r="B15355" s="0" t="n">
        <v>4743689</v>
      </c>
      <c r="C15355" s="0" t="n">
        <v>4743709</v>
      </c>
      <c r="D15355" s="0" t="s">
        <v>51029</v>
      </c>
      <c r="E15355" s="0" t="s">
        <v>51030</v>
      </c>
      <c r="F15355" s="0" t="s">
        <v>90</v>
      </c>
      <c r="G15355" s="0" t="s">
        <v>36</v>
      </c>
      <c r="H15355" s="0" t="n">
        <v>61</v>
      </c>
      <c r="I15355" s="0" t="s">
        <v>51037</v>
      </c>
      <c r="J15355" s="0" t="s">
        <v>51038</v>
      </c>
      <c r="K15355" s="0" t="s">
        <v>51039</v>
      </c>
      <c r="L15355" s="0" t="str">
        <f aca="false">HYPERLINK("https://www.ncbi.nlm.nih.gov/nuccore/CP000058.1?report=graph&amp;tracks=[key:gene_model_track,Options:GeneOnly]&amp;mk=4743738:4743757|offset_13|444444,4743713:4743732|offset_38|444444,4743690:4743709|offset_61|00cc00,4743649:4743668|offset_102|444444&amp;v=4743537:4743868&amp;c=444444", "offset 61")</f>
        <v>offset 61</v>
      </c>
    </row>
    <row r="15356" customFormat="false" ht="12.8" hidden="false" customHeight="false" outlineLevel="0" collapsed="false">
      <c r="A15356" s="0" t="s">
        <v>12</v>
      </c>
      <c r="B15356" s="0" t="n">
        <v>4743648</v>
      </c>
      <c r="C15356" s="0" t="n">
        <v>4743668</v>
      </c>
      <c r="D15356" s="0" t="s">
        <v>51029</v>
      </c>
      <c r="E15356" s="0" t="s">
        <v>51030</v>
      </c>
      <c r="F15356" s="0" t="s">
        <v>90</v>
      </c>
      <c r="G15356" s="0" t="s">
        <v>16</v>
      </c>
      <c r="H15356" s="0" t="n">
        <v>102</v>
      </c>
      <c r="I15356" s="0" t="s">
        <v>51040</v>
      </c>
      <c r="J15356" s="0" t="s">
        <v>51041</v>
      </c>
      <c r="K15356" s="0" t="s">
        <v>51042</v>
      </c>
      <c r="L15356" s="0" t="str">
        <f aca="false">HYPERLINK("https://www.ncbi.nlm.nih.gov/nuccore/CP000058.1?report=graph&amp;tracks=[key:gene_model_track,Options:GeneOnly]&amp;mk=4743738:4743757|offset_13|444444,4743713:4743732|offset_38|444444,4743690:4743709|offset_61|444444,4743649:4743668|offset_102|00cc00&amp;v=4743537:4743868&amp;c=444444", "offset 102")</f>
        <v>offset 102</v>
      </c>
    </row>
    <row r="15357" customFormat="false" ht="12.8" hidden="false" customHeight="false" outlineLevel="0" collapsed="false">
      <c r="A15357" s="0" t="s">
        <v>12</v>
      </c>
      <c r="B15357" s="0" t="n">
        <v>4744065</v>
      </c>
      <c r="C15357" s="0" t="n">
        <v>4744085</v>
      </c>
      <c r="D15357" s="0" t="s">
        <v>51043</v>
      </c>
      <c r="E15357" s="0" t="s">
        <v>75</v>
      </c>
      <c r="F15357" s="0" t="s">
        <v>90</v>
      </c>
      <c r="G15357" s="0" t="s">
        <v>36</v>
      </c>
      <c r="H15357" s="0" t="n">
        <v>85</v>
      </c>
      <c r="I15357" s="0" t="s">
        <v>51044</v>
      </c>
      <c r="J15357" s="0" t="s">
        <v>51045</v>
      </c>
      <c r="K15357" s="0" t="s">
        <v>51046</v>
      </c>
      <c r="L15357" s="0" t="str">
        <f aca="false">HYPERLINK("https://www.ncbi.nlm.nih.gov/nuccore/CP000058.1?report=graph&amp;tracks=[key:gene_model_track,Options:GeneOnly]&amp;mk=4744066:4744085|offset_85|00cc00,4744029:4744048|offset_122|444444,4743997:4744016|offset_154|444444,4743973:4743992|offset_178|444444&amp;v=4743865:4744192&amp;c=444444", "offset 85")</f>
        <v>offset 85</v>
      </c>
    </row>
    <row r="15358" customFormat="false" ht="12.8" hidden="false" customHeight="false" outlineLevel="0" collapsed="false">
      <c r="A15358" s="0" t="s">
        <v>12</v>
      </c>
      <c r="B15358" s="0" t="n">
        <v>4744028</v>
      </c>
      <c r="C15358" s="0" t="n">
        <v>4744048</v>
      </c>
      <c r="D15358" s="0" t="s">
        <v>51043</v>
      </c>
      <c r="E15358" s="0" t="s">
        <v>75</v>
      </c>
      <c r="F15358" s="0" t="s">
        <v>90</v>
      </c>
      <c r="G15358" s="0" t="s">
        <v>20</v>
      </c>
      <c r="H15358" s="0" t="n">
        <v>122</v>
      </c>
      <c r="I15358" s="0" t="s">
        <v>51047</v>
      </c>
      <c r="J15358" s="0" t="s">
        <v>51048</v>
      </c>
      <c r="K15358" s="0" t="s">
        <v>51049</v>
      </c>
      <c r="L15358" s="0" t="str">
        <f aca="false">HYPERLINK("https://www.ncbi.nlm.nih.gov/nuccore/CP000058.1?report=graph&amp;tracks=[key:gene_model_track,Options:GeneOnly]&amp;mk=4744066:4744085|offset_85|444444,4744029:4744048|offset_122|00cc00,4743997:4744016|offset_154|444444,4743973:4743992|offset_178|444444&amp;v=4743865:4744192&amp;c=444444", "offset 122")</f>
        <v>offset 122</v>
      </c>
    </row>
    <row r="15359" customFormat="false" ht="12.8" hidden="false" customHeight="false" outlineLevel="0" collapsed="false">
      <c r="A15359" s="0" t="s">
        <v>12</v>
      </c>
      <c r="B15359" s="0" t="n">
        <v>4743996</v>
      </c>
      <c r="C15359" s="0" t="n">
        <v>4744016</v>
      </c>
      <c r="D15359" s="0" t="s">
        <v>51043</v>
      </c>
      <c r="E15359" s="0" t="s">
        <v>75</v>
      </c>
      <c r="F15359" s="0" t="s">
        <v>90</v>
      </c>
      <c r="G15359" s="0" t="s">
        <v>16</v>
      </c>
      <c r="H15359" s="0" t="n">
        <v>154</v>
      </c>
      <c r="I15359" s="0" t="s">
        <v>51050</v>
      </c>
      <c r="J15359" s="0" t="s">
        <v>51051</v>
      </c>
      <c r="K15359" s="0" t="s">
        <v>51052</v>
      </c>
      <c r="L15359" s="0" t="str">
        <f aca="false">HYPERLINK("https://www.ncbi.nlm.nih.gov/nuccore/CP000058.1?report=graph&amp;tracks=[key:gene_model_track,Options:GeneOnly]&amp;mk=4744066:4744085|offset_85|444444,4744029:4744048|offset_122|444444,4743997:4744016|offset_154|00cc00,4743973:4743992|offset_178|444444&amp;v=4743865:4744192&amp;c=444444", "offset 154")</f>
        <v>offset 154</v>
      </c>
    </row>
    <row r="15360" customFormat="false" ht="12.8" hidden="false" customHeight="false" outlineLevel="0" collapsed="false">
      <c r="A15360" s="0" t="s">
        <v>12</v>
      </c>
      <c r="B15360" s="0" t="n">
        <v>4743972</v>
      </c>
      <c r="C15360" s="0" t="n">
        <v>4743992</v>
      </c>
      <c r="D15360" s="0" t="s">
        <v>51043</v>
      </c>
      <c r="E15360" s="0" t="s">
        <v>75</v>
      </c>
      <c r="F15360" s="0" t="s">
        <v>90</v>
      </c>
      <c r="G15360" s="0" t="s">
        <v>16</v>
      </c>
      <c r="H15360" s="0" t="n">
        <v>178</v>
      </c>
      <c r="I15360" s="0" t="s">
        <v>51053</v>
      </c>
      <c r="J15360" s="0" t="s">
        <v>51054</v>
      </c>
      <c r="K15360" s="0" t="s">
        <v>51055</v>
      </c>
      <c r="L15360" s="0" t="str">
        <f aca="false">HYPERLINK("https://www.ncbi.nlm.nih.gov/nuccore/CP000058.1?report=graph&amp;tracks=[key:gene_model_track,Options:GeneOnly]&amp;mk=4744066:4744085|offset_85|444444,4744029:4744048|offset_122|444444,4743997:4744016|offset_154|444444,4743973:4743992|offset_178|00cc00&amp;v=4743865:4744192&amp;c=444444", "offset 178")</f>
        <v>offset 178</v>
      </c>
    </row>
    <row r="15361" customFormat="false" ht="12.8" hidden="false" customHeight="false" outlineLevel="0" collapsed="false">
      <c r="A15361" s="0" t="s">
        <v>12</v>
      </c>
      <c r="B15361" s="0" t="n">
        <v>4746184</v>
      </c>
      <c r="C15361" s="0" t="n">
        <v>4746204</v>
      </c>
      <c r="D15361" s="0" t="s">
        <v>51056</v>
      </c>
      <c r="E15361" s="0" t="s">
        <v>51057</v>
      </c>
      <c r="F15361" s="0" t="s">
        <v>90</v>
      </c>
      <c r="G15361" s="0" t="s">
        <v>36</v>
      </c>
      <c r="H15361" s="0" t="n">
        <v>13</v>
      </c>
      <c r="I15361" s="0" t="s">
        <v>51058</v>
      </c>
      <c r="J15361" s="0" t="s">
        <v>51059</v>
      </c>
      <c r="K15361" s="0" t="s">
        <v>51060</v>
      </c>
      <c r="L15361" s="0" t="str">
        <f aca="false">HYPERLINK("https://www.ncbi.nlm.nih.gov/nuccore/CP000058.1?report=graph&amp;tracks=[key:gene_model_track,Options:GeneOnly]&amp;mk=4746185:4746204|offset_13|00cc00,4746164:4746183|offset_34|444444,4746125:4746144|offset_73|444444,4746104:4746123|offset_94|444444&amp;v=4745984:4746323&amp;c=444444", "offset 13")</f>
        <v>offset 13</v>
      </c>
    </row>
    <row r="15362" customFormat="false" ht="12.8" hidden="false" customHeight="false" outlineLevel="0" collapsed="false">
      <c r="A15362" s="0" t="s">
        <v>12</v>
      </c>
      <c r="B15362" s="0" t="n">
        <v>4746163</v>
      </c>
      <c r="C15362" s="0" t="n">
        <v>4746183</v>
      </c>
      <c r="D15362" s="0" t="s">
        <v>51056</v>
      </c>
      <c r="E15362" s="0" t="s">
        <v>51057</v>
      </c>
      <c r="F15362" s="0" t="s">
        <v>90</v>
      </c>
      <c r="G15362" s="0" t="s">
        <v>20</v>
      </c>
      <c r="H15362" s="0" t="n">
        <v>34</v>
      </c>
      <c r="I15362" s="0" t="s">
        <v>51061</v>
      </c>
      <c r="J15362" s="0" t="s">
        <v>51062</v>
      </c>
      <c r="K15362" s="0" t="s">
        <v>51063</v>
      </c>
      <c r="L15362" s="0" t="str">
        <f aca="false">HYPERLINK("https://www.ncbi.nlm.nih.gov/nuccore/CP000058.1?report=graph&amp;tracks=[key:gene_model_track,Options:GeneOnly]&amp;mk=4746185:4746204|offset_13|444444,4746164:4746183|offset_34|00cc00,4746125:4746144|offset_73|444444,4746104:4746123|offset_94|444444&amp;v=4745984:4746323&amp;c=444444", "offset 34")</f>
        <v>offset 34</v>
      </c>
    </row>
    <row r="15363" customFormat="false" ht="12.8" hidden="false" customHeight="false" outlineLevel="0" collapsed="false">
      <c r="A15363" s="0" t="s">
        <v>12</v>
      </c>
      <c r="B15363" s="0" t="n">
        <v>4746124</v>
      </c>
      <c r="C15363" s="0" t="n">
        <v>4746144</v>
      </c>
      <c r="D15363" s="0" t="s">
        <v>51056</v>
      </c>
      <c r="E15363" s="0" t="s">
        <v>51057</v>
      </c>
      <c r="F15363" s="0" t="s">
        <v>90</v>
      </c>
      <c r="G15363" s="0" t="s">
        <v>16</v>
      </c>
      <c r="H15363" s="0" t="n">
        <v>73</v>
      </c>
      <c r="I15363" s="0" t="s">
        <v>51064</v>
      </c>
      <c r="J15363" s="0" t="s">
        <v>51065</v>
      </c>
      <c r="K15363" s="0" t="s">
        <v>51066</v>
      </c>
      <c r="L15363" s="0" t="str">
        <f aca="false">HYPERLINK("https://www.ncbi.nlm.nih.gov/nuccore/CP000058.1?report=graph&amp;tracks=[key:gene_model_track,Options:GeneOnly]&amp;mk=4746185:4746204|offset_13|444444,4746164:4746183|offset_34|444444,4746125:4746144|offset_73|00cc00,4746104:4746123|offset_94|444444&amp;v=4745984:4746323&amp;c=444444", "offset 73")</f>
        <v>offset 73</v>
      </c>
    </row>
    <row r="15364" customFormat="false" ht="12.8" hidden="false" customHeight="false" outlineLevel="0" collapsed="false">
      <c r="A15364" s="0" t="s">
        <v>12</v>
      </c>
      <c r="B15364" s="0" t="n">
        <v>4746103</v>
      </c>
      <c r="C15364" s="0" t="n">
        <v>4746123</v>
      </c>
      <c r="D15364" s="0" t="s">
        <v>51056</v>
      </c>
      <c r="E15364" s="0" t="s">
        <v>51057</v>
      </c>
      <c r="F15364" s="0" t="s">
        <v>90</v>
      </c>
      <c r="G15364" s="0" t="s">
        <v>32</v>
      </c>
      <c r="H15364" s="0" t="n">
        <v>94</v>
      </c>
      <c r="I15364" s="0" t="s">
        <v>51067</v>
      </c>
      <c r="J15364" s="0" t="s">
        <v>51068</v>
      </c>
      <c r="K15364" s="0" t="s">
        <v>51069</v>
      </c>
      <c r="L15364" s="0" t="str">
        <f aca="false">HYPERLINK("https://www.ncbi.nlm.nih.gov/nuccore/CP000058.1?report=graph&amp;tracks=[key:gene_model_track,Options:GeneOnly]&amp;mk=4746185:4746204|offset_13|444444,4746164:4746183|offset_34|444444,4746125:4746144|offset_73|444444,4746104:4746123|offset_94|00cc00&amp;v=4745984:4746323&amp;c=444444", "offset 94")</f>
        <v>offset 94</v>
      </c>
    </row>
    <row r="15365" customFormat="false" ht="12.8" hidden="false" customHeight="false" outlineLevel="0" collapsed="false">
      <c r="A15365" s="0" t="s">
        <v>12</v>
      </c>
      <c r="B15365" s="0" t="n">
        <v>4746324</v>
      </c>
      <c r="C15365" s="0" t="n">
        <v>4746344</v>
      </c>
      <c r="D15365" s="0" t="s">
        <v>51070</v>
      </c>
      <c r="E15365" s="0" t="s">
        <v>75</v>
      </c>
      <c r="F15365" s="0" t="s">
        <v>15</v>
      </c>
      <c r="G15365" s="0" t="s">
        <v>36</v>
      </c>
      <c r="H15365" s="0" t="n">
        <v>0</v>
      </c>
      <c r="I15365" s="0" t="s">
        <v>51071</v>
      </c>
      <c r="J15365" s="0" t="s">
        <v>51072</v>
      </c>
      <c r="K15365" s="0" t="s">
        <v>51073</v>
      </c>
      <c r="L15365" s="0" t="str">
        <f aca="false">HYPERLINK("https://www.ncbi.nlm.nih.gov/nuccore/CP000058.1?report=graph&amp;tracks=[key:gene_model_track,Options:GeneOnly]&amp;mk=4746325:4746344|offset_0|00cc00,4746350:4746369|offset_25|444444,4746374:4746393|offset_49|444444,4746408:4746427|offset_83|444444&amp;v=4746124:4746627&amp;c=444444", "offset 0")</f>
        <v>offset 0</v>
      </c>
    </row>
    <row r="15366" customFormat="false" ht="12.8" hidden="false" customHeight="false" outlineLevel="0" collapsed="false">
      <c r="A15366" s="0" t="s">
        <v>12</v>
      </c>
      <c r="B15366" s="0" t="n">
        <v>4746349</v>
      </c>
      <c r="C15366" s="0" t="n">
        <v>4746369</v>
      </c>
      <c r="D15366" s="0" t="s">
        <v>51070</v>
      </c>
      <c r="E15366" s="0" t="s">
        <v>75</v>
      </c>
      <c r="F15366" s="0" t="s">
        <v>15</v>
      </c>
      <c r="G15366" s="0" t="s">
        <v>36</v>
      </c>
      <c r="H15366" s="0" t="n">
        <v>25</v>
      </c>
      <c r="I15366" s="0" t="s">
        <v>51074</v>
      </c>
      <c r="J15366" s="0" t="s">
        <v>51075</v>
      </c>
      <c r="K15366" s="0" t="s">
        <v>51076</v>
      </c>
      <c r="L15366" s="0" t="str">
        <f aca="false">HYPERLINK("https://www.ncbi.nlm.nih.gov/nuccore/CP000058.1?report=graph&amp;tracks=[key:gene_model_track,Options:GeneOnly]&amp;mk=4746325:4746344|offset_0|444444,4746350:4746369|offset_25|00cc00,4746374:4746393|offset_49|444444,4746408:4746427|offset_83|444444&amp;v=4746124:4746627&amp;c=444444", "offset 25")</f>
        <v>offset 25</v>
      </c>
    </row>
    <row r="15367" customFormat="false" ht="12.8" hidden="false" customHeight="false" outlineLevel="0" collapsed="false">
      <c r="A15367" s="0" t="s">
        <v>12</v>
      </c>
      <c r="B15367" s="0" t="n">
        <v>4746373</v>
      </c>
      <c r="C15367" s="0" t="n">
        <v>4746393</v>
      </c>
      <c r="D15367" s="0" t="s">
        <v>51070</v>
      </c>
      <c r="E15367" s="0" t="s">
        <v>75</v>
      </c>
      <c r="F15367" s="0" t="s">
        <v>15</v>
      </c>
      <c r="G15367" s="0" t="s">
        <v>36</v>
      </c>
      <c r="H15367" s="0" t="n">
        <v>49</v>
      </c>
      <c r="I15367" s="0" t="s">
        <v>51077</v>
      </c>
      <c r="J15367" s="0" t="s">
        <v>51078</v>
      </c>
      <c r="K15367" s="0" t="s">
        <v>51079</v>
      </c>
      <c r="L15367" s="0" t="str">
        <f aca="false">HYPERLINK("https://www.ncbi.nlm.nih.gov/nuccore/CP000058.1?report=graph&amp;tracks=[key:gene_model_track,Options:GeneOnly]&amp;mk=4746325:4746344|offset_0|444444,4746350:4746369|offset_25|444444,4746374:4746393|offset_49|00cc00,4746408:4746427|offset_83|444444&amp;v=4746124:4746627&amp;c=444444", "offset 49")</f>
        <v>offset 49</v>
      </c>
    </row>
    <row r="15368" customFormat="false" ht="12.8" hidden="false" customHeight="false" outlineLevel="0" collapsed="false">
      <c r="A15368" s="0" t="s">
        <v>12</v>
      </c>
      <c r="B15368" s="0" t="n">
        <v>4746407</v>
      </c>
      <c r="C15368" s="0" t="n">
        <v>4746427</v>
      </c>
      <c r="D15368" s="0" t="s">
        <v>51070</v>
      </c>
      <c r="E15368" s="0" t="s">
        <v>75</v>
      </c>
      <c r="F15368" s="0" t="s">
        <v>15</v>
      </c>
      <c r="G15368" s="0" t="s">
        <v>20</v>
      </c>
      <c r="H15368" s="0" t="n">
        <v>83</v>
      </c>
      <c r="I15368" s="0" t="s">
        <v>51080</v>
      </c>
      <c r="J15368" s="0" t="s">
        <v>51081</v>
      </c>
      <c r="K15368" s="0" t="s">
        <v>51082</v>
      </c>
      <c r="L15368" s="0" t="str">
        <f aca="false">HYPERLINK("https://www.ncbi.nlm.nih.gov/nuccore/CP000058.1?report=graph&amp;tracks=[key:gene_model_track,Options:GeneOnly]&amp;mk=4746325:4746344|offset_0|444444,4746350:4746369|offset_25|444444,4746374:4746393|offset_49|444444,4746408:4746427|offset_83|00cc00&amp;v=4746124:4746627&amp;c=444444", "offset 83")</f>
        <v>offset 83</v>
      </c>
    </row>
    <row r="15369" customFormat="false" ht="12.8" hidden="false" customHeight="false" outlineLevel="0" collapsed="false">
      <c r="A15369" s="0" t="s">
        <v>12</v>
      </c>
      <c r="B15369" s="0" t="n">
        <v>4748298</v>
      </c>
      <c r="C15369" s="0" t="n">
        <v>4748318</v>
      </c>
      <c r="D15369" s="0" t="s">
        <v>51083</v>
      </c>
      <c r="E15369" s="0" t="s">
        <v>51084</v>
      </c>
      <c r="F15369" s="0" t="s">
        <v>90</v>
      </c>
      <c r="G15369" s="0" t="s">
        <v>20</v>
      </c>
      <c r="H15369" s="0" t="n">
        <v>16</v>
      </c>
      <c r="I15369" s="0" t="s">
        <v>51085</v>
      </c>
      <c r="J15369" s="0" t="s">
        <v>51086</v>
      </c>
      <c r="K15369" s="0" t="s">
        <v>51087</v>
      </c>
      <c r="L15369" s="0" t="str">
        <f aca="false">HYPERLINK("https://www.ncbi.nlm.nih.gov/nuccore/CP000058.1?report=graph&amp;tracks=[key:gene_model_track,Options:GeneOnly]&amp;mk=4748299:4748318|offset_16|00cc00,4748275:4748294|offset_40|444444,4748250:4748269|offset_65|444444,4748224:4748243|offset_91|444444&amp;v=4748098:4748443&amp;c=444444", "offset 16")</f>
        <v>offset 16</v>
      </c>
    </row>
    <row r="15370" customFormat="false" ht="12.8" hidden="false" customHeight="false" outlineLevel="0" collapsed="false">
      <c r="A15370" s="0" t="s">
        <v>12</v>
      </c>
      <c r="B15370" s="0" t="n">
        <v>4748274</v>
      </c>
      <c r="C15370" s="0" t="n">
        <v>4748294</v>
      </c>
      <c r="D15370" s="0" t="s">
        <v>51083</v>
      </c>
      <c r="E15370" s="0" t="s">
        <v>51084</v>
      </c>
      <c r="F15370" s="0" t="s">
        <v>90</v>
      </c>
      <c r="G15370" s="0" t="s">
        <v>36</v>
      </c>
      <c r="H15370" s="0" t="n">
        <v>40</v>
      </c>
      <c r="I15370" s="0" t="s">
        <v>51088</v>
      </c>
      <c r="J15370" s="0" t="s">
        <v>51089</v>
      </c>
      <c r="K15370" s="0" t="s">
        <v>51090</v>
      </c>
      <c r="L15370" s="0" t="str">
        <f aca="false">HYPERLINK("https://www.ncbi.nlm.nih.gov/nuccore/CP000058.1?report=graph&amp;tracks=[key:gene_model_track,Options:GeneOnly]&amp;mk=4748299:4748318|offset_16|444444,4748275:4748294|offset_40|00cc00,4748250:4748269|offset_65|444444,4748224:4748243|offset_91|444444&amp;v=4748098:4748443&amp;c=444444", "offset 40")</f>
        <v>offset 40</v>
      </c>
    </row>
    <row r="15371" customFormat="false" ht="12.8" hidden="false" customHeight="false" outlineLevel="0" collapsed="false">
      <c r="A15371" s="0" t="s">
        <v>12</v>
      </c>
      <c r="B15371" s="0" t="n">
        <v>4748249</v>
      </c>
      <c r="C15371" s="0" t="n">
        <v>4748269</v>
      </c>
      <c r="D15371" s="0" t="s">
        <v>51083</v>
      </c>
      <c r="E15371" s="0" t="s">
        <v>51084</v>
      </c>
      <c r="F15371" s="0" t="s">
        <v>90</v>
      </c>
      <c r="G15371" s="0" t="s">
        <v>20</v>
      </c>
      <c r="H15371" s="0" t="n">
        <v>65</v>
      </c>
      <c r="I15371" s="0" t="s">
        <v>51091</v>
      </c>
      <c r="J15371" s="0" t="s">
        <v>51092</v>
      </c>
      <c r="K15371" s="0" t="s">
        <v>51093</v>
      </c>
      <c r="L15371" s="0" t="str">
        <f aca="false">HYPERLINK("https://www.ncbi.nlm.nih.gov/nuccore/CP000058.1?report=graph&amp;tracks=[key:gene_model_track,Options:GeneOnly]&amp;mk=4748299:4748318|offset_16|444444,4748275:4748294|offset_40|444444,4748250:4748269|offset_65|00cc00,4748224:4748243|offset_91|444444&amp;v=4748098:4748443&amp;c=444444", "offset 65")</f>
        <v>offset 65</v>
      </c>
    </row>
    <row r="15372" customFormat="false" ht="12.8" hidden="false" customHeight="false" outlineLevel="0" collapsed="false">
      <c r="A15372" s="0" t="s">
        <v>12</v>
      </c>
      <c r="B15372" s="0" t="n">
        <v>4748223</v>
      </c>
      <c r="C15372" s="0" t="n">
        <v>4748243</v>
      </c>
      <c r="D15372" s="0" t="s">
        <v>51083</v>
      </c>
      <c r="E15372" s="0" t="s">
        <v>51084</v>
      </c>
      <c r="F15372" s="0" t="s">
        <v>90</v>
      </c>
      <c r="G15372" s="0" t="s">
        <v>16</v>
      </c>
      <c r="H15372" s="0" t="n">
        <v>91</v>
      </c>
      <c r="I15372" s="0" t="s">
        <v>51094</v>
      </c>
      <c r="J15372" s="0" t="s">
        <v>51095</v>
      </c>
      <c r="K15372" s="0" t="s">
        <v>51096</v>
      </c>
      <c r="L15372" s="0" t="str">
        <f aca="false">HYPERLINK("https://www.ncbi.nlm.nih.gov/nuccore/CP000058.1?report=graph&amp;tracks=[key:gene_model_track,Options:GeneOnly]&amp;mk=4748299:4748318|offset_16|444444,4748275:4748294|offset_40|444444,4748250:4748269|offset_65|444444,4748224:4748243|offset_91|00cc00&amp;v=4748098:4748443&amp;c=444444", "offset 91")</f>
        <v>offset 91</v>
      </c>
    </row>
    <row r="15373" customFormat="false" ht="12.8" hidden="false" customHeight="false" outlineLevel="0" collapsed="false">
      <c r="A15373" s="0" t="s">
        <v>12</v>
      </c>
      <c r="B15373" s="0" t="n">
        <v>4749161</v>
      </c>
      <c r="C15373" s="0" t="n">
        <v>4749181</v>
      </c>
      <c r="D15373" s="0" t="s">
        <v>51097</v>
      </c>
      <c r="E15373" s="0" t="s">
        <v>75</v>
      </c>
      <c r="F15373" s="0" t="s">
        <v>90</v>
      </c>
      <c r="G15373" s="0" t="s">
        <v>32</v>
      </c>
      <c r="H15373" s="0" t="n">
        <v>1</v>
      </c>
      <c r="I15373" s="0" t="s">
        <v>51098</v>
      </c>
      <c r="J15373" s="0" t="s">
        <v>51099</v>
      </c>
      <c r="K15373" s="0" t="s">
        <v>51100</v>
      </c>
      <c r="L15373" s="0" t="str">
        <f aca="false">HYPERLINK("https://www.ncbi.nlm.nih.gov/nuccore/CP000058.1?report=graph&amp;tracks=[key:gene_model_track,Options:GeneOnly]&amp;mk=4749162:4749181|offset_1|00cc00,4749131:4749150|offset_32|444444,4749095:4749114|offset_68|444444,4749075:4749094|offset_88|444444&amp;v=4748961:4749294&amp;c=444444", "offset 1")</f>
        <v>offset 1</v>
      </c>
    </row>
    <row r="15374" customFormat="false" ht="12.8" hidden="false" customHeight="false" outlineLevel="0" collapsed="false">
      <c r="A15374" s="0" t="s">
        <v>12</v>
      </c>
      <c r="B15374" s="0" t="n">
        <v>4749130</v>
      </c>
      <c r="C15374" s="0" t="n">
        <v>4749150</v>
      </c>
      <c r="D15374" s="0" t="s">
        <v>51097</v>
      </c>
      <c r="E15374" s="0" t="s">
        <v>75</v>
      </c>
      <c r="F15374" s="0" t="s">
        <v>90</v>
      </c>
      <c r="G15374" s="0" t="s">
        <v>32</v>
      </c>
      <c r="H15374" s="0" t="n">
        <v>32</v>
      </c>
      <c r="I15374" s="0" t="s">
        <v>51101</v>
      </c>
      <c r="J15374" s="0" t="s">
        <v>51102</v>
      </c>
      <c r="K15374" s="0" t="s">
        <v>51103</v>
      </c>
      <c r="L15374" s="0" t="str">
        <f aca="false">HYPERLINK("https://www.ncbi.nlm.nih.gov/nuccore/CP000058.1?report=graph&amp;tracks=[key:gene_model_track,Options:GeneOnly]&amp;mk=4749162:4749181|offset_1|444444,4749131:4749150|offset_32|00cc00,4749095:4749114|offset_68|444444,4749075:4749094|offset_88|444444&amp;v=4748961:4749294&amp;c=444444", "offset 32")</f>
        <v>offset 32</v>
      </c>
    </row>
    <row r="15375" customFormat="false" ht="12.8" hidden="false" customHeight="false" outlineLevel="0" collapsed="false">
      <c r="A15375" s="0" t="s">
        <v>12</v>
      </c>
      <c r="B15375" s="0" t="n">
        <v>4749094</v>
      </c>
      <c r="C15375" s="0" t="n">
        <v>4749114</v>
      </c>
      <c r="D15375" s="0" t="s">
        <v>51097</v>
      </c>
      <c r="E15375" s="0" t="s">
        <v>75</v>
      </c>
      <c r="F15375" s="0" t="s">
        <v>90</v>
      </c>
      <c r="G15375" s="0" t="s">
        <v>16</v>
      </c>
      <c r="H15375" s="0" t="n">
        <v>68</v>
      </c>
      <c r="I15375" s="0" t="s">
        <v>51104</v>
      </c>
      <c r="J15375" s="0" t="s">
        <v>51105</v>
      </c>
      <c r="K15375" s="0" t="s">
        <v>51106</v>
      </c>
      <c r="L15375" s="0" t="str">
        <f aca="false">HYPERLINK("https://www.ncbi.nlm.nih.gov/nuccore/CP000058.1?report=graph&amp;tracks=[key:gene_model_track,Options:GeneOnly]&amp;mk=4749162:4749181|offset_1|444444,4749131:4749150|offset_32|444444,4749095:4749114|offset_68|00cc00,4749075:4749094|offset_88|444444&amp;v=4748961:4749294&amp;c=444444", "offset 68")</f>
        <v>offset 68</v>
      </c>
    </row>
    <row r="15376" customFormat="false" ht="12.8" hidden="false" customHeight="false" outlineLevel="0" collapsed="false">
      <c r="A15376" s="0" t="s">
        <v>12</v>
      </c>
      <c r="B15376" s="0" t="n">
        <v>4749074</v>
      </c>
      <c r="C15376" s="0" t="n">
        <v>4749094</v>
      </c>
      <c r="D15376" s="0" t="s">
        <v>51097</v>
      </c>
      <c r="E15376" s="0" t="s">
        <v>75</v>
      </c>
      <c r="F15376" s="0" t="s">
        <v>90</v>
      </c>
      <c r="G15376" s="0" t="s">
        <v>16</v>
      </c>
      <c r="H15376" s="0" t="n">
        <v>88</v>
      </c>
      <c r="I15376" s="0" t="s">
        <v>51107</v>
      </c>
      <c r="J15376" s="0" t="s">
        <v>51108</v>
      </c>
      <c r="K15376" s="0" t="s">
        <v>51109</v>
      </c>
      <c r="L15376" s="0" t="str">
        <f aca="false">HYPERLINK("https://www.ncbi.nlm.nih.gov/nuccore/CP000058.1?report=graph&amp;tracks=[key:gene_model_track,Options:GeneOnly]&amp;mk=4749162:4749181|offset_1|444444,4749131:4749150|offset_32|444444,4749095:4749114|offset_68|444444,4749075:4749094|offset_88|00cc00&amp;v=4748961:4749294&amp;c=444444", "offset 88")</f>
        <v>offset 88</v>
      </c>
    </row>
    <row r="15377" customFormat="false" ht="12.8" hidden="false" customHeight="false" outlineLevel="0" collapsed="false">
      <c r="A15377" s="0" t="s">
        <v>12</v>
      </c>
      <c r="B15377" s="0" t="n">
        <v>4753011</v>
      </c>
      <c r="C15377" s="0" t="n">
        <v>4753031</v>
      </c>
      <c r="D15377" s="0" t="s">
        <v>51110</v>
      </c>
      <c r="E15377" s="0" t="s">
        <v>75</v>
      </c>
      <c r="F15377" s="0" t="s">
        <v>90</v>
      </c>
      <c r="G15377" s="0" t="s">
        <v>20</v>
      </c>
      <c r="H15377" s="0" t="n">
        <v>15</v>
      </c>
      <c r="I15377" s="0" t="s">
        <v>51111</v>
      </c>
      <c r="J15377" s="0" t="s">
        <v>51112</v>
      </c>
      <c r="K15377" s="0" t="s">
        <v>51113</v>
      </c>
      <c r="L15377" s="0" t="str">
        <f aca="false">HYPERLINK("https://www.ncbi.nlm.nih.gov/nuccore/CP000058.1?report=graph&amp;tracks=[key:gene_model_track,Options:GeneOnly]&amp;mk=4753012:4753031|offset_15|00cc00,4752974:4752993|offset_53|444444,4752932:4752951|offset_95|444444,4752903:4752922|offset_124|444444&amp;v=4752811:4753122&amp;c=444444", "offset 15")</f>
        <v>offset 15</v>
      </c>
    </row>
    <row r="15378" customFormat="false" ht="12.8" hidden="false" customHeight="false" outlineLevel="0" collapsed="false">
      <c r="A15378" s="0" t="s">
        <v>12</v>
      </c>
      <c r="B15378" s="0" t="n">
        <v>4752973</v>
      </c>
      <c r="C15378" s="0" t="n">
        <v>4752993</v>
      </c>
      <c r="D15378" s="0" t="s">
        <v>51110</v>
      </c>
      <c r="E15378" s="0" t="s">
        <v>75</v>
      </c>
      <c r="F15378" s="0" t="s">
        <v>90</v>
      </c>
      <c r="G15378" s="0" t="s">
        <v>20</v>
      </c>
      <c r="H15378" s="0" t="n">
        <v>53</v>
      </c>
      <c r="I15378" s="0" t="s">
        <v>51114</v>
      </c>
      <c r="J15378" s="0" t="s">
        <v>51115</v>
      </c>
      <c r="K15378" s="0" t="s">
        <v>51116</v>
      </c>
      <c r="L15378" s="0" t="str">
        <f aca="false">HYPERLINK("https://www.ncbi.nlm.nih.gov/nuccore/CP000058.1?report=graph&amp;tracks=[key:gene_model_track,Options:GeneOnly]&amp;mk=4753012:4753031|offset_15|444444,4752974:4752993|offset_53|00cc00,4752932:4752951|offset_95|444444,4752903:4752922|offset_124|444444&amp;v=4752811:4753122&amp;c=444444", "offset 53")</f>
        <v>offset 53</v>
      </c>
    </row>
    <row r="15379" customFormat="false" ht="12.8" hidden="false" customHeight="false" outlineLevel="0" collapsed="false">
      <c r="A15379" s="0" t="s">
        <v>12</v>
      </c>
      <c r="B15379" s="0" t="n">
        <v>4752931</v>
      </c>
      <c r="C15379" s="0" t="n">
        <v>4752951</v>
      </c>
      <c r="D15379" s="0" t="s">
        <v>51110</v>
      </c>
      <c r="E15379" s="0" t="s">
        <v>75</v>
      </c>
      <c r="F15379" s="0" t="s">
        <v>90</v>
      </c>
      <c r="G15379" s="0" t="s">
        <v>20</v>
      </c>
      <c r="H15379" s="0" t="n">
        <v>95</v>
      </c>
      <c r="I15379" s="0" t="s">
        <v>51117</v>
      </c>
      <c r="J15379" s="0" t="s">
        <v>51118</v>
      </c>
      <c r="K15379" s="0" t="s">
        <v>51119</v>
      </c>
      <c r="L15379" s="0" t="str">
        <f aca="false">HYPERLINK("https://www.ncbi.nlm.nih.gov/nuccore/CP000058.1?report=graph&amp;tracks=[key:gene_model_track,Options:GeneOnly]&amp;mk=4753012:4753031|offset_15|444444,4752974:4752993|offset_53|444444,4752932:4752951|offset_95|00cc00,4752903:4752922|offset_124|444444&amp;v=4752811:4753122&amp;c=444444", "offset 95")</f>
        <v>offset 95</v>
      </c>
    </row>
    <row r="15380" customFormat="false" ht="12.8" hidden="false" customHeight="false" outlineLevel="0" collapsed="false">
      <c r="A15380" s="0" t="s">
        <v>12</v>
      </c>
      <c r="B15380" s="0" t="n">
        <v>4752902</v>
      </c>
      <c r="C15380" s="0" t="n">
        <v>4752922</v>
      </c>
      <c r="D15380" s="0" t="s">
        <v>51110</v>
      </c>
      <c r="E15380" s="0" t="s">
        <v>75</v>
      </c>
      <c r="F15380" s="0" t="s">
        <v>90</v>
      </c>
      <c r="G15380" s="0" t="s">
        <v>16</v>
      </c>
      <c r="H15380" s="0" t="n">
        <v>124</v>
      </c>
      <c r="I15380" s="0" t="s">
        <v>51120</v>
      </c>
      <c r="J15380" s="0" t="s">
        <v>51121</v>
      </c>
      <c r="K15380" s="0" t="s">
        <v>51122</v>
      </c>
      <c r="L15380" s="0" t="str">
        <f aca="false">HYPERLINK("https://www.ncbi.nlm.nih.gov/nuccore/CP000058.1?report=graph&amp;tracks=[key:gene_model_track,Options:GeneOnly]&amp;mk=4753012:4753031|offset_15|444444,4752974:4752993|offset_53|444444,4752932:4752951|offset_95|444444,4752903:4752922|offset_124|00cc00&amp;v=4752811:4753122&amp;c=444444", "offset 124")</f>
        <v>offset 124</v>
      </c>
    </row>
    <row r="15381" customFormat="false" ht="12.8" hidden="false" customHeight="false" outlineLevel="0" collapsed="false">
      <c r="A15381" s="0" t="s">
        <v>12</v>
      </c>
      <c r="B15381" s="0" t="n">
        <v>4753171</v>
      </c>
      <c r="C15381" s="0" t="n">
        <v>4753191</v>
      </c>
      <c r="D15381" s="0" t="s">
        <v>51123</v>
      </c>
      <c r="E15381" s="0" t="s">
        <v>75</v>
      </c>
      <c r="F15381" s="0" t="s">
        <v>90</v>
      </c>
      <c r="G15381" s="0" t="s">
        <v>36</v>
      </c>
      <c r="H15381" s="0" t="n">
        <v>23</v>
      </c>
      <c r="I15381" s="0" t="s">
        <v>51124</v>
      </c>
      <c r="J15381" s="0" t="s">
        <v>51125</v>
      </c>
      <c r="K15381" s="0" t="s">
        <v>51126</v>
      </c>
      <c r="L15381" s="0" t="str">
        <f aca="false">HYPERLINK("https://www.ncbi.nlm.nih.gov/nuccore/CP000058.1?report=graph&amp;tracks=[key:gene_model_track,Options:GeneOnly]&amp;mk=4753172:4753191|offset_23|00cc00,4753148:4753167|offset_47|444444&amp;v=4752971:4753367&amp;c=444444", "offset 23")</f>
        <v>offset 23</v>
      </c>
    </row>
    <row r="15382" customFormat="false" ht="12.8" hidden="false" customHeight="false" outlineLevel="0" collapsed="false">
      <c r="A15382" s="0" t="s">
        <v>12</v>
      </c>
      <c r="B15382" s="0" t="n">
        <v>4753147</v>
      </c>
      <c r="C15382" s="0" t="n">
        <v>4753167</v>
      </c>
      <c r="D15382" s="0" t="s">
        <v>51123</v>
      </c>
      <c r="E15382" s="0" t="s">
        <v>75</v>
      </c>
      <c r="F15382" s="0" t="s">
        <v>90</v>
      </c>
      <c r="G15382" s="0" t="s">
        <v>16</v>
      </c>
      <c r="H15382" s="0" t="n">
        <v>47</v>
      </c>
      <c r="I15382" s="0" t="s">
        <v>51127</v>
      </c>
      <c r="J15382" s="0" t="s">
        <v>51128</v>
      </c>
      <c r="K15382" s="0" t="s">
        <v>51129</v>
      </c>
      <c r="L15382" s="0" t="str">
        <f aca="false">HYPERLINK("https://www.ncbi.nlm.nih.gov/nuccore/CP000058.1?report=graph&amp;tracks=[key:gene_model_track,Options:GeneOnly]&amp;mk=4753172:4753191|offset_23|444444,4753148:4753167|offset_47|00cc00&amp;v=4752971:4753367&amp;c=444444", "offset 47")</f>
        <v>offset 47</v>
      </c>
    </row>
    <row r="15383" customFormat="false" ht="12.8" hidden="false" customHeight="false" outlineLevel="0" collapsed="false">
      <c r="A15383" s="0" t="s">
        <v>12</v>
      </c>
      <c r="B15383" s="0" t="n">
        <v>4754648</v>
      </c>
      <c r="C15383" s="0" t="n">
        <v>4754668</v>
      </c>
      <c r="D15383" s="0" t="s">
        <v>51130</v>
      </c>
      <c r="E15383" s="0" t="s">
        <v>51131</v>
      </c>
      <c r="F15383" s="0" t="s">
        <v>90</v>
      </c>
      <c r="G15383" s="0" t="s">
        <v>20</v>
      </c>
      <c r="H15383" s="0" t="n">
        <v>17</v>
      </c>
      <c r="I15383" s="0" t="s">
        <v>51132</v>
      </c>
      <c r="J15383" s="0" t="s">
        <v>51133</v>
      </c>
      <c r="K15383" s="0" t="s">
        <v>51134</v>
      </c>
      <c r="L15383" s="0" t="str">
        <f aca="false">HYPERLINK("https://www.ncbi.nlm.nih.gov/nuccore/CP000058.1?report=graph&amp;tracks=[key:gene_model_track,Options:GeneOnly]&amp;mk=4754649:4754668|offset_17|00cc00,4754569:4754588|offset_97|444444,4754475:4754494|offset_191|444444,4754455:4754474|offset_211|444444&amp;v=4754448:4754674&amp;c=444444", "offset 17")</f>
        <v>offset 17</v>
      </c>
    </row>
    <row r="15384" customFormat="false" ht="12.8" hidden="false" customHeight="false" outlineLevel="0" collapsed="false">
      <c r="A15384" s="0" t="s">
        <v>12</v>
      </c>
      <c r="B15384" s="0" t="n">
        <v>4754568</v>
      </c>
      <c r="C15384" s="0" t="n">
        <v>4754588</v>
      </c>
      <c r="D15384" s="0" t="s">
        <v>51130</v>
      </c>
      <c r="E15384" s="0" t="s">
        <v>51131</v>
      </c>
      <c r="F15384" s="0" t="s">
        <v>90</v>
      </c>
      <c r="G15384" s="0" t="s">
        <v>36</v>
      </c>
      <c r="H15384" s="0" t="n">
        <v>97</v>
      </c>
      <c r="I15384" s="0" t="s">
        <v>51135</v>
      </c>
      <c r="J15384" s="0" t="s">
        <v>51136</v>
      </c>
      <c r="K15384" s="0" t="s">
        <v>51137</v>
      </c>
      <c r="L15384" s="0" t="str">
        <f aca="false">HYPERLINK("https://www.ncbi.nlm.nih.gov/nuccore/CP000058.1?report=graph&amp;tracks=[key:gene_model_track,Options:GeneOnly]&amp;mk=4754649:4754668|offset_17|444444,4754569:4754588|offset_97|00cc00,4754475:4754494|offset_191|444444,4754455:4754474|offset_211|444444&amp;v=4754448:4754674&amp;c=444444", "offset 97")</f>
        <v>offset 97</v>
      </c>
    </row>
    <row r="15385" customFormat="false" ht="12.8" hidden="false" customHeight="false" outlineLevel="0" collapsed="false">
      <c r="A15385" s="0" t="s">
        <v>12</v>
      </c>
      <c r="B15385" s="0" t="n">
        <v>4754474</v>
      </c>
      <c r="C15385" s="0" t="n">
        <v>4754494</v>
      </c>
      <c r="D15385" s="0" t="s">
        <v>51130</v>
      </c>
      <c r="E15385" s="0" t="s">
        <v>51131</v>
      </c>
      <c r="F15385" s="0" t="s">
        <v>90</v>
      </c>
      <c r="G15385" s="0" t="s">
        <v>16</v>
      </c>
      <c r="H15385" s="0" t="n">
        <v>191</v>
      </c>
      <c r="I15385" s="0" t="s">
        <v>51138</v>
      </c>
      <c r="J15385" s="0" t="s">
        <v>51139</v>
      </c>
      <c r="K15385" s="0" t="s">
        <v>51140</v>
      </c>
      <c r="L15385" s="0" t="str">
        <f aca="false">HYPERLINK("https://www.ncbi.nlm.nih.gov/nuccore/CP000058.1?report=graph&amp;tracks=[key:gene_model_track,Options:GeneOnly]&amp;mk=4754649:4754668|offset_17|444444,4754569:4754588|offset_97|444444,4754475:4754494|offset_191|00cc00,4754455:4754474|offset_211|444444&amp;v=4754448:4754674&amp;c=444444", "offset 191")</f>
        <v>offset 191</v>
      </c>
    </row>
    <row r="15386" customFormat="false" ht="12.8" hidden="false" customHeight="false" outlineLevel="0" collapsed="false">
      <c r="A15386" s="0" t="s">
        <v>12</v>
      </c>
      <c r="B15386" s="0" t="n">
        <v>4754454</v>
      </c>
      <c r="C15386" s="0" t="n">
        <v>4754474</v>
      </c>
      <c r="D15386" s="0" t="s">
        <v>51130</v>
      </c>
      <c r="E15386" s="0" t="s">
        <v>51131</v>
      </c>
      <c r="F15386" s="0" t="s">
        <v>90</v>
      </c>
      <c r="G15386" s="0" t="s">
        <v>20</v>
      </c>
      <c r="H15386" s="0" t="n">
        <v>211</v>
      </c>
      <c r="I15386" s="0" t="s">
        <v>51141</v>
      </c>
      <c r="J15386" s="0" t="s">
        <v>51142</v>
      </c>
      <c r="K15386" s="0" t="s">
        <v>51143</v>
      </c>
      <c r="L15386" s="0" t="str">
        <f aca="false">HYPERLINK("https://www.ncbi.nlm.nih.gov/nuccore/CP000058.1?report=graph&amp;tracks=[key:gene_model_track,Options:GeneOnly]&amp;mk=4754649:4754668|offset_17|444444,4754569:4754588|offset_97|444444,4754475:4754494|offset_191|444444,4754455:4754474|offset_211|00cc00&amp;v=4754448:4754674&amp;c=444444", "offset 211")</f>
        <v>offset 211</v>
      </c>
    </row>
    <row r="15387" customFormat="false" ht="12.8" hidden="false" customHeight="false" outlineLevel="0" collapsed="false">
      <c r="A15387" s="0" t="s">
        <v>12</v>
      </c>
      <c r="B15387" s="0" t="n">
        <v>4755258</v>
      </c>
      <c r="C15387" s="0" t="n">
        <v>4755278</v>
      </c>
      <c r="D15387" s="0" t="s">
        <v>51144</v>
      </c>
      <c r="E15387" s="0" t="s">
        <v>51145</v>
      </c>
      <c r="F15387" s="0" t="s">
        <v>90</v>
      </c>
      <c r="G15387" s="0" t="s">
        <v>36</v>
      </c>
      <c r="H15387" s="0" t="n">
        <v>6</v>
      </c>
      <c r="I15387" s="0" t="s">
        <v>51146</v>
      </c>
      <c r="J15387" s="0" t="s">
        <v>51147</v>
      </c>
      <c r="K15387" s="0" t="s">
        <v>51148</v>
      </c>
      <c r="L15387" s="0" t="str">
        <f aca="false">HYPERLINK("https://www.ncbi.nlm.nih.gov/nuccore/CP000058.1?report=graph&amp;tracks=[key:gene_model_track,Options:GeneOnly]&amp;mk=4755259:4755278|offset_6|00cc00,4755232:4755251|offset_33|444444,4755195:4755214|offset_70|444444,4755160:4755179|offset_105|444444&amp;v=4755058:4755379&amp;c=444444", "offset 6")</f>
        <v>offset 6</v>
      </c>
    </row>
    <row r="15388" customFormat="false" ht="12.8" hidden="false" customHeight="false" outlineLevel="0" collapsed="false">
      <c r="A15388" s="0" t="s">
        <v>12</v>
      </c>
      <c r="B15388" s="0" t="n">
        <v>4755231</v>
      </c>
      <c r="C15388" s="0" t="n">
        <v>4755251</v>
      </c>
      <c r="D15388" s="0" t="s">
        <v>51144</v>
      </c>
      <c r="E15388" s="0" t="s">
        <v>51145</v>
      </c>
      <c r="F15388" s="0" t="s">
        <v>90</v>
      </c>
      <c r="G15388" s="0" t="s">
        <v>16</v>
      </c>
      <c r="H15388" s="0" t="n">
        <v>33</v>
      </c>
      <c r="I15388" s="0" t="s">
        <v>51149</v>
      </c>
      <c r="J15388" s="0" t="s">
        <v>51150</v>
      </c>
      <c r="K15388" s="0" t="s">
        <v>51151</v>
      </c>
      <c r="L15388" s="0" t="str">
        <f aca="false">HYPERLINK("https://www.ncbi.nlm.nih.gov/nuccore/CP000058.1?report=graph&amp;tracks=[key:gene_model_track,Options:GeneOnly]&amp;mk=4755259:4755278|offset_6|444444,4755232:4755251|offset_33|00cc00,4755195:4755214|offset_70|444444,4755160:4755179|offset_105|444444&amp;v=4755058:4755379&amp;c=444444", "offset 33")</f>
        <v>offset 33</v>
      </c>
    </row>
    <row r="15389" customFormat="false" ht="12.8" hidden="false" customHeight="false" outlineLevel="0" collapsed="false">
      <c r="A15389" s="0" t="s">
        <v>12</v>
      </c>
      <c r="B15389" s="0" t="n">
        <v>4755194</v>
      </c>
      <c r="C15389" s="0" t="n">
        <v>4755214</v>
      </c>
      <c r="D15389" s="0" t="s">
        <v>51144</v>
      </c>
      <c r="E15389" s="0" t="s">
        <v>51145</v>
      </c>
      <c r="F15389" s="0" t="s">
        <v>90</v>
      </c>
      <c r="G15389" s="0" t="s">
        <v>20</v>
      </c>
      <c r="H15389" s="0" t="n">
        <v>70</v>
      </c>
      <c r="I15389" s="0" t="s">
        <v>51152</v>
      </c>
      <c r="J15389" s="0" t="s">
        <v>51153</v>
      </c>
      <c r="K15389" s="0" t="s">
        <v>51154</v>
      </c>
      <c r="L15389" s="0" t="str">
        <f aca="false">HYPERLINK("https://www.ncbi.nlm.nih.gov/nuccore/CP000058.1?report=graph&amp;tracks=[key:gene_model_track,Options:GeneOnly]&amp;mk=4755259:4755278|offset_6|444444,4755232:4755251|offset_33|444444,4755195:4755214|offset_70|00cc00,4755160:4755179|offset_105|444444&amp;v=4755058:4755379&amp;c=444444", "offset 70")</f>
        <v>offset 70</v>
      </c>
    </row>
    <row r="15390" customFormat="false" ht="12.8" hidden="false" customHeight="false" outlineLevel="0" collapsed="false">
      <c r="A15390" s="0" t="s">
        <v>12</v>
      </c>
      <c r="B15390" s="0" t="n">
        <v>4755159</v>
      </c>
      <c r="C15390" s="0" t="n">
        <v>4755179</v>
      </c>
      <c r="D15390" s="0" t="s">
        <v>51144</v>
      </c>
      <c r="E15390" s="0" t="s">
        <v>51145</v>
      </c>
      <c r="F15390" s="0" t="s">
        <v>90</v>
      </c>
      <c r="G15390" s="0" t="s">
        <v>36</v>
      </c>
      <c r="H15390" s="0" t="n">
        <v>105</v>
      </c>
      <c r="I15390" s="0" t="s">
        <v>51155</v>
      </c>
      <c r="J15390" s="0" t="s">
        <v>51156</v>
      </c>
      <c r="K15390" s="0" t="s">
        <v>51157</v>
      </c>
      <c r="L15390" s="0" t="str">
        <f aca="false">HYPERLINK("https://www.ncbi.nlm.nih.gov/nuccore/CP000058.1?report=graph&amp;tracks=[key:gene_model_track,Options:GeneOnly]&amp;mk=4755259:4755278|offset_6|444444,4755232:4755251|offset_33|444444,4755195:4755214|offset_70|444444,4755160:4755179|offset_105|00cc00&amp;v=4755058:4755379&amp;c=444444", "offset 105")</f>
        <v>offset 105</v>
      </c>
    </row>
    <row r="15391" customFormat="false" ht="12.8" hidden="false" customHeight="false" outlineLevel="0" collapsed="false">
      <c r="A15391" s="0" t="s">
        <v>12</v>
      </c>
      <c r="B15391" s="0" t="n">
        <v>4755804</v>
      </c>
      <c r="C15391" s="0" t="n">
        <v>4755824</v>
      </c>
      <c r="D15391" s="0" t="s">
        <v>51158</v>
      </c>
      <c r="E15391" s="0" t="s">
        <v>51159</v>
      </c>
      <c r="F15391" s="0" t="s">
        <v>90</v>
      </c>
      <c r="G15391" s="0" t="s">
        <v>16</v>
      </c>
      <c r="H15391" s="0" t="n">
        <v>19</v>
      </c>
      <c r="I15391" s="0" t="s">
        <v>51160</v>
      </c>
      <c r="J15391" s="0" t="s">
        <v>51161</v>
      </c>
      <c r="K15391" s="0" t="s">
        <v>51162</v>
      </c>
      <c r="L15391" s="0" t="str">
        <f aca="false">HYPERLINK("https://www.ncbi.nlm.nih.gov/nuccore/CP000058.1?report=graph&amp;tracks=[key:gene_model_track,Options:GeneOnly]&amp;mk=4755805:4755824|offset_19|00cc00,4755743:4755762|offset_81|444444,4755717:4755736|offset_107|444444,4755668:4755687|offset_156|444444&amp;v=4755604:4755887&amp;c=444444", "offset 19")</f>
        <v>offset 19</v>
      </c>
    </row>
    <row r="15392" customFormat="false" ht="12.8" hidden="false" customHeight="false" outlineLevel="0" collapsed="false">
      <c r="A15392" s="0" t="s">
        <v>12</v>
      </c>
      <c r="B15392" s="0" t="n">
        <v>4755742</v>
      </c>
      <c r="C15392" s="0" t="n">
        <v>4755762</v>
      </c>
      <c r="D15392" s="0" t="s">
        <v>51158</v>
      </c>
      <c r="E15392" s="0" t="s">
        <v>51159</v>
      </c>
      <c r="F15392" s="0" t="s">
        <v>90</v>
      </c>
      <c r="G15392" s="0" t="s">
        <v>16</v>
      </c>
      <c r="H15392" s="0" t="n">
        <v>81</v>
      </c>
      <c r="I15392" s="0" t="s">
        <v>51163</v>
      </c>
      <c r="J15392" s="0" t="s">
        <v>51164</v>
      </c>
      <c r="K15392" s="0" t="s">
        <v>51165</v>
      </c>
      <c r="L15392" s="0" t="str">
        <f aca="false">HYPERLINK("https://www.ncbi.nlm.nih.gov/nuccore/CP000058.1?report=graph&amp;tracks=[key:gene_model_track,Options:GeneOnly]&amp;mk=4755805:4755824|offset_19|444444,4755743:4755762|offset_81|00cc00,4755717:4755736|offset_107|444444,4755668:4755687|offset_156|444444&amp;v=4755604:4755887&amp;c=444444", "offset 81")</f>
        <v>offset 81</v>
      </c>
    </row>
    <row r="15393" customFormat="false" ht="12.8" hidden="false" customHeight="false" outlineLevel="0" collapsed="false">
      <c r="A15393" s="0" t="s">
        <v>12</v>
      </c>
      <c r="B15393" s="0" t="n">
        <v>4755716</v>
      </c>
      <c r="C15393" s="0" t="n">
        <v>4755736</v>
      </c>
      <c r="D15393" s="0" t="s">
        <v>51158</v>
      </c>
      <c r="E15393" s="0" t="s">
        <v>51159</v>
      </c>
      <c r="F15393" s="0" t="s">
        <v>90</v>
      </c>
      <c r="G15393" s="0" t="s">
        <v>16</v>
      </c>
      <c r="H15393" s="0" t="n">
        <v>107</v>
      </c>
      <c r="I15393" s="0" t="s">
        <v>51166</v>
      </c>
      <c r="J15393" s="0" t="s">
        <v>51167</v>
      </c>
      <c r="K15393" s="0" t="s">
        <v>51168</v>
      </c>
      <c r="L15393" s="0" t="str">
        <f aca="false">HYPERLINK("https://www.ncbi.nlm.nih.gov/nuccore/CP000058.1?report=graph&amp;tracks=[key:gene_model_track,Options:GeneOnly]&amp;mk=4755805:4755824|offset_19|444444,4755743:4755762|offset_81|444444,4755717:4755736|offset_107|00cc00,4755668:4755687|offset_156|444444&amp;v=4755604:4755887&amp;c=444444", "offset 107")</f>
        <v>offset 107</v>
      </c>
    </row>
    <row r="15394" customFormat="false" ht="12.8" hidden="false" customHeight="false" outlineLevel="0" collapsed="false">
      <c r="A15394" s="0" t="s">
        <v>12</v>
      </c>
      <c r="B15394" s="0" t="n">
        <v>4755667</v>
      </c>
      <c r="C15394" s="0" t="n">
        <v>4755687</v>
      </c>
      <c r="D15394" s="0" t="s">
        <v>51158</v>
      </c>
      <c r="E15394" s="0" t="s">
        <v>51159</v>
      </c>
      <c r="F15394" s="0" t="s">
        <v>90</v>
      </c>
      <c r="G15394" s="0" t="s">
        <v>16</v>
      </c>
      <c r="H15394" s="0" t="n">
        <v>156</v>
      </c>
      <c r="I15394" s="0" t="s">
        <v>51169</v>
      </c>
      <c r="J15394" s="0" t="s">
        <v>51170</v>
      </c>
      <c r="K15394" s="0" t="s">
        <v>51171</v>
      </c>
      <c r="L15394" s="0" t="str">
        <f aca="false">HYPERLINK("https://www.ncbi.nlm.nih.gov/nuccore/CP000058.1?report=graph&amp;tracks=[key:gene_model_track,Options:GeneOnly]&amp;mk=4755805:4755824|offset_19|444444,4755743:4755762|offset_81|444444,4755717:4755736|offset_107|444444,4755668:4755687|offset_156|00cc00&amp;v=4755604:4755887&amp;c=444444", "offset 156")</f>
        <v>offset 156</v>
      </c>
    </row>
    <row r="15395" customFormat="false" ht="12.8" hidden="false" customHeight="false" outlineLevel="0" collapsed="false">
      <c r="A15395" s="0" t="s">
        <v>12</v>
      </c>
      <c r="B15395" s="0" t="n">
        <v>4756873</v>
      </c>
      <c r="C15395" s="0" t="n">
        <v>4756893</v>
      </c>
      <c r="D15395" s="0" t="s">
        <v>51172</v>
      </c>
      <c r="E15395" s="0" t="s">
        <v>51173</v>
      </c>
      <c r="F15395" s="0" t="s">
        <v>90</v>
      </c>
      <c r="G15395" s="0" t="s">
        <v>16</v>
      </c>
      <c r="H15395" s="0" t="n">
        <v>10</v>
      </c>
      <c r="I15395" s="0" t="s">
        <v>51174</v>
      </c>
      <c r="J15395" s="0" t="s">
        <v>51175</v>
      </c>
      <c r="K15395" s="0" t="s">
        <v>51176</v>
      </c>
      <c r="L15395" s="0" t="str">
        <f aca="false">HYPERLINK("https://www.ncbi.nlm.nih.gov/nuccore/CP000058.1?report=graph&amp;tracks=[key:gene_model_track,Options:GeneOnly]&amp;mk=4756874:4756893|offset_10|00cc00,4756841:4756860|offset_43|444444,4756821:4756840|offset_63|444444,4756784:4756803|offset_100|444444&amp;v=4756673:4757003&amp;c=444444", "offset 10")</f>
        <v>offset 10</v>
      </c>
    </row>
    <row r="15396" customFormat="false" ht="12.8" hidden="false" customHeight="false" outlineLevel="0" collapsed="false">
      <c r="A15396" s="0" t="s">
        <v>12</v>
      </c>
      <c r="B15396" s="0" t="n">
        <v>4756840</v>
      </c>
      <c r="C15396" s="0" t="n">
        <v>4756860</v>
      </c>
      <c r="D15396" s="0" t="s">
        <v>51172</v>
      </c>
      <c r="E15396" s="0" t="s">
        <v>51173</v>
      </c>
      <c r="F15396" s="0" t="s">
        <v>90</v>
      </c>
      <c r="G15396" s="0" t="s">
        <v>36</v>
      </c>
      <c r="H15396" s="0" t="n">
        <v>43</v>
      </c>
      <c r="I15396" s="0" t="s">
        <v>51177</v>
      </c>
      <c r="J15396" s="0" t="s">
        <v>51178</v>
      </c>
      <c r="K15396" s="0" t="s">
        <v>51179</v>
      </c>
      <c r="L15396" s="0" t="str">
        <f aca="false">HYPERLINK("https://www.ncbi.nlm.nih.gov/nuccore/CP000058.1?report=graph&amp;tracks=[key:gene_model_track,Options:GeneOnly]&amp;mk=4756874:4756893|offset_10|444444,4756841:4756860|offset_43|00cc00,4756821:4756840|offset_63|444444,4756784:4756803|offset_100|444444&amp;v=4756673:4757003&amp;c=444444", "offset 43")</f>
        <v>offset 43</v>
      </c>
    </row>
    <row r="15397" customFormat="false" ht="12.8" hidden="false" customHeight="false" outlineLevel="0" collapsed="false">
      <c r="A15397" s="0" t="s">
        <v>12</v>
      </c>
      <c r="B15397" s="0" t="n">
        <v>4756820</v>
      </c>
      <c r="C15397" s="0" t="n">
        <v>4756840</v>
      </c>
      <c r="D15397" s="0" t="s">
        <v>51172</v>
      </c>
      <c r="E15397" s="0" t="s">
        <v>51173</v>
      </c>
      <c r="F15397" s="0" t="s">
        <v>90</v>
      </c>
      <c r="G15397" s="0" t="s">
        <v>36</v>
      </c>
      <c r="H15397" s="0" t="n">
        <v>63</v>
      </c>
      <c r="I15397" s="0" t="s">
        <v>51180</v>
      </c>
      <c r="J15397" s="0" t="s">
        <v>51181</v>
      </c>
      <c r="K15397" s="0" t="s">
        <v>51182</v>
      </c>
      <c r="L15397" s="0" t="str">
        <f aca="false">HYPERLINK("https://www.ncbi.nlm.nih.gov/nuccore/CP000058.1?report=graph&amp;tracks=[key:gene_model_track,Options:GeneOnly]&amp;mk=4756874:4756893|offset_10|444444,4756841:4756860|offset_43|444444,4756821:4756840|offset_63|00cc00,4756784:4756803|offset_100|444444&amp;v=4756673:4757003&amp;c=444444", "offset 63")</f>
        <v>offset 63</v>
      </c>
    </row>
    <row r="15398" customFormat="false" ht="12.8" hidden="false" customHeight="false" outlineLevel="0" collapsed="false">
      <c r="A15398" s="0" t="s">
        <v>12</v>
      </c>
      <c r="B15398" s="0" t="n">
        <v>4756783</v>
      </c>
      <c r="C15398" s="0" t="n">
        <v>4756803</v>
      </c>
      <c r="D15398" s="0" t="s">
        <v>51172</v>
      </c>
      <c r="E15398" s="0" t="s">
        <v>51173</v>
      </c>
      <c r="F15398" s="0" t="s">
        <v>90</v>
      </c>
      <c r="G15398" s="0" t="s">
        <v>20</v>
      </c>
      <c r="H15398" s="0" t="n">
        <v>100</v>
      </c>
      <c r="I15398" s="0" t="s">
        <v>51183</v>
      </c>
      <c r="J15398" s="0" t="s">
        <v>51184</v>
      </c>
      <c r="K15398" s="0" t="s">
        <v>51185</v>
      </c>
      <c r="L15398" s="0" t="str">
        <f aca="false">HYPERLINK("https://www.ncbi.nlm.nih.gov/nuccore/CP000058.1?report=graph&amp;tracks=[key:gene_model_track,Options:GeneOnly]&amp;mk=4756874:4756893|offset_10|444444,4756841:4756860|offset_43|444444,4756821:4756840|offset_63|444444,4756784:4756803|offset_100|00cc00&amp;v=4756673:4757003&amp;c=444444", "offset 100")</f>
        <v>offset 100</v>
      </c>
    </row>
    <row r="15399" customFormat="false" ht="12.8" hidden="false" customHeight="false" outlineLevel="0" collapsed="false">
      <c r="A15399" s="0" t="s">
        <v>12</v>
      </c>
      <c r="B15399" s="0" t="n">
        <v>4758152</v>
      </c>
      <c r="C15399" s="0" t="n">
        <v>4758172</v>
      </c>
      <c r="D15399" s="0" t="s">
        <v>51186</v>
      </c>
      <c r="E15399" s="0" t="s">
        <v>51187</v>
      </c>
      <c r="F15399" s="0" t="s">
        <v>90</v>
      </c>
      <c r="G15399" s="0" t="s">
        <v>36</v>
      </c>
      <c r="H15399" s="0" t="n">
        <v>0</v>
      </c>
      <c r="I15399" s="0" t="s">
        <v>51188</v>
      </c>
      <c r="J15399" s="0" t="s">
        <v>51189</v>
      </c>
      <c r="K15399" s="0" t="s">
        <v>51190</v>
      </c>
      <c r="L15399" s="0" t="str">
        <f aca="false">HYPERLINK("https://www.ncbi.nlm.nih.gov/nuccore/CP000058.1?report=graph&amp;tracks=[key:gene_model_track,Options:GeneOnly]&amp;mk=4758153:4758172|offset_0|00cc00,4758122:4758141|offset_31|444444,4758092:4758111|offset_61|444444,4758045:4758064|offset_108|444444&amp;v=4757952:4758264&amp;c=444444", "offset 0")</f>
        <v>offset 0</v>
      </c>
    </row>
    <row r="15400" customFormat="false" ht="12.8" hidden="false" customHeight="false" outlineLevel="0" collapsed="false">
      <c r="A15400" s="0" t="s">
        <v>12</v>
      </c>
      <c r="B15400" s="0" t="n">
        <v>4758121</v>
      </c>
      <c r="C15400" s="0" t="n">
        <v>4758141</v>
      </c>
      <c r="D15400" s="0" t="s">
        <v>51186</v>
      </c>
      <c r="E15400" s="0" t="s">
        <v>51187</v>
      </c>
      <c r="F15400" s="0" t="s">
        <v>90</v>
      </c>
      <c r="G15400" s="0" t="s">
        <v>32</v>
      </c>
      <c r="H15400" s="0" t="n">
        <v>31</v>
      </c>
      <c r="I15400" s="0" t="s">
        <v>51191</v>
      </c>
      <c r="J15400" s="0" t="s">
        <v>51192</v>
      </c>
      <c r="K15400" s="0" t="s">
        <v>51193</v>
      </c>
      <c r="L15400" s="0" t="str">
        <f aca="false">HYPERLINK("https://www.ncbi.nlm.nih.gov/nuccore/CP000058.1?report=graph&amp;tracks=[key:gene_model_track,Options:GeneOnly]&amp;mk=4758153:4758172|offset_0|444444,4758122:4758141|offset_31|00cc00,4758092:4758111|offset_61|444444,4758045:4758064|offset_108|444444&amp;v=4757952:4758264&amp;c=444444", "offset 31")</f>
        <v>offset 31</v>
      </c>
    </row>
    <row r="15401" customFormat="false" ht="12.8" hidden="false" customHeight="false" outlineLevel="0" collapsed="false">
      <c r="A15401" s="0" t="s">
        <v>12</v>
      </c>
      <c r="B15401" s="0" t="n">
        <v>4758091</v>
      </c>
      <c r="C15401" s="0" t="n">
        <v>4758111</v>
      </c>
      <c r="D15401" s="0" t="s">
        <v>51186</v>
      </c>
      <c r="E15401" s="0" t="s">
        <v>51187</v>
      </c>
      <c r="F15401" s="0" t="s">
        <v>90</v>
      </c>
      <c r="G15401" s="0" t="s">
        <v>32</v>
      </c>
      <c r="H15401" s="0" t="n">
        <v>61</v>
      </c>
      <c r="I15401" s="0" t="s">
        <v>51194</v>
      </c>
      <c r="J15401" s="0" t="s">
        <v>51195</v>
      </c>
      <c r="K15401" s="0" t="s">
        <v>51196</v>
      </c>
      <c r="L15401" s="0" t="str">
        <f aca="false">HYPERLINK("https://www.ncbi.nlm.nih.gov/nuccore/CP000058.1?report=graph&amp;tracks=[key:gene_model_track,Options:GeneOnly]&amp;mk=4758153:4758172|offset_0|444444,4758122:4758141|offset_31|444444,4758092:4758111|offset_61|00cc00,4758045:4758064|offset_108|444444&amp;v=4757952:4758264&amp;c=444444", "offset 61")</f>
        <v>offset 61</v>
      </c>
    </row>
    <row r="15402" customFormat="false" ht="12.8" hidden="false" customHeight="false" outlineLevel="0" collapsed="false">
      <c r="A15402" s="0" t="s">
        <v>12</v>
      </c>
      <c r="B15402" s="0" t="n">
        <v>4758044</v>
      </c>
      <c r="C15402" s="0" t="n">
        <v>4758064</v>
      </c>
      <c r="D15402" s="0" t="s">
        <v>51186</v>
      </c>
      <c r="E15402" s="0" t="s">
        <v>51187</v>
      </c>
      <c r="F15402" s="0" t="s">
        <v>90</v>
      </c>
      <c r="G15402" s="0" t="s">
        <v>36</v>
      </c>
      <c r="H15402" s="0" t="n">
        <v>108</v>
      </c>
      <c r="I15402" s="0" t="s">
        <v>51197</v>
      </c>
      <c r="J15402" s="0" t="s">
        <v>51198</v>
      </c>
      <c r="K15402" s="0" t="s">
        <v>51199</v>
      </c>
      <c r="L15402" s="0" t="str">
        <f aca="false">HYPERLINK("https://www.ncbi.nlm.nih.gov/nuccore/CP000058.1?report=graph&amp;tracks=[key:gene_model_track,Options:GeneOnly]&amp;mk=4758153:4758172|offset_0|444444,4758122:4758141|offset_31|444444,4758092:4758111|offset_61|444444,4758045:4758064|offset_108|00cc00&amp;v=4757952:4758264&amp;c=444444", "offset 108")</f>
        <v>offset 108</v>
      </c>
    </row>
    <row r="15403" customFormat="false" ht="12.8" hidden="false" customHeight="false" outlineLevel="0" collapsed="false">
      <c r="A15403" s="0" t="s">
        <v>12</v>
      </c>
      <c r="B15403" s="0" t="n">
        <v>4758377</v>
      </c>
      <c r="C15403" s="0" t="n">
        <v>4758397</v>
      </c>
      <c r="D15403" s="0" t="s">
        <v>51200</v>
      </c>
      <c r="E15403" s="0" t="s">
        <v>51201</v>
      </c>
      <c r="F15403" s="0" t="s">
        <v>15</v>
      </c>
      <c r="G15403" s="0" t="s">
        <v>36</v>
      </c>
      <c r="H15403" s="0" t="n">
        <v>0</v>
      </c>
      <c r="I15403" s="0" t="s">
        <v>51202</v>
      </c>
      <c r="J15403" s="0" t="s">
        <v>51203</v>
      </c>
      <c r="K15403" s="0" t="s">
        <v>51204</v>
      </c>
      <c r="L15403" s="0" t="str">
        <f aca="false">HYPERLINK("https://www.ncbi.nlm.nih.gov/nuccore/CP000058.1?report=graph&amp;tracks=[key:gene_model_track,Options:GeneOnly]&amp;mk=4758378:4758397|offset_0|00cc00,4758424:4758443|offset_46|444444,4758445:4758464|offset_67|444444,4758517:4758536|offset_139|444444&amp;v=4758177:4758736&amp;c=444444", "offset 0")</f>
        <v>offset 0</v>
      </c>
    </row>
    <row r="15404" customFormat="false" ht="12.8" hidden="false" customHeight="false" outlineLevel="0" collapsed="false">
      <c r="A15404" s="0" t="s">
        <v>12</v>
      </c>
      <c r="B15404" s="0" t="n">
        <v>4758423</v>
      </c>
      <c r="C15404" s="0" t="n">
        <v>4758443</v>
      </c>
      <c r="D15404" s="0" t="s">
        <v>51200</v>
      </c>
      <c r="E15404" s="0" t="s">
        <v>51201</v>
      </c>
      <c r="F15404" s="0" t="s">
        <v>15</v>
      </c>
      <c r="G15404" s="0" t="s">
        <v>36</v>
      </c>
      <c r="H15404" s="0" t="n">
        <v>46</v>
      </c>
      <c r="I15404" s="0" t="s">
        <v>51205</v>
      </c>
      <c r="J15404" s="0" t="s">
        <v>51206</v>
      </c>
      <c r="K15404" s="0" t="s">
        <v>51207</v>
      </c>
      <c r="L15404" s="0" t="str">
        <f aca="false">HYPERLINK("https://www.ncbi.nlm.nih.gov/nuccore/CP000058.1?report=graph&amp;tracks=[key:gene_model_track,Options:GeneOnly]&amp;mk=4758378:4758397|offset_0|444444,4758424:4758443|offset_46|00cc00,4758445:4758464|offset_67|444444,4758517:4758536|offset_139|444444&amp;v=4758177:4758736&amp;c=444444", "offset 46")</f>
        <v>offset 46</v>
      </c>
    </row>
    <row r="15405" customFormat="false" ht="12.8" hidden="false" customHeight="false" outlineLevel="0" collapsed="false">
      <c r="A15405" s="0" t="s">
        <v>12</v>
      </c>
      <c r="B15405" s="0" t="n">
        <v>4758444</v>
      </c>
      <c r="C15405" s="0" t="n">
        <v>4758464</v>
      </c>
      <c r="D15405" s="0" t="s">
        <v>51200</v>
      </c>
      <c r="E15405" s="0" t="s">
        <v>51201</v>
      </c>
      <c r="F15405" s="0" t="s">
        <v>15</v>
      </c>
      <c r="G15405" s="0" t="s">
        <v>16</v>
      </c>
      <c r="H15405" s="0" t="n">
        <v>67</v>
      </c>
      <c r="I15405" s="0" t="s">
        <v>51208</v>
      </c>
      <c r="J15405" s="0" t="s">
        <v>51209</v>
      </c>
      <c r="K15405" s="0" t="s">
        <v>51210</v>
      </c>
      <c r="L15405" s="0" t="str">
        <f aca="false">HYPERLINK("https://www.ncbi.nlm.nih.gov/nuccore/CP000058.1?report=graph&amp;tracks=[key:gene_model_track,Options:GeneOnly]&amp;mk=4758378:4758397|offset_0|444444,4758424:4758443|offset_46|444444,4758445:4758464|offset_67|00cc00,4758517:4758536|offset_139|444444&amp;v=4758177:4758736&amp;c=444444", "offset 67")</f>
        <v>offset 67</v>
      </c>
    </row>
    <row r="15406" customFormat="false" ht="12.8" hidden="false" customHeight="false" outlineLevel="0" collapsed="false">
      <c r="A15406" s="0" t="s">
        <v>12</v>
      </c>
      <c r="B15406" s="0" t="n">
        <v>4758516</v>
      </c>
      <c r="C15406" s="0" t="n">
        <v>4758536</v>
      </c>
      <c r="D15406" s="0" t="s">
        <v>51200</v>
      </c>
      <c r="E15406" s="0" t="s">
        <v>51201</v>
      </c>
      <c r="F15406" s="0" t="s">
        <v>15</v>
      </c>
      <c r="G15406" s="0" t="s">
        <v>32</v>
      </c>
      <c r="H15406" s="0" t="n">
        <v>139</v>
      </c>
      <c r="I15406" s="0" t="s">
        <v>51211</v>
      </c>
      <c r="J15406" s="0" t="s">
        <v>51212</v>
      </c>
      <c r="K15406" s="0" t="s">
        <v>51213</v>
      </c>
      <c r="L15406" s="0" t="str">
        <f aca="false">HYPERLINK("https://www.ncbi.nlm.nih.gov/nuccore/CP000058.1?report=graph&amp;tracks=[key:gene_model_track,Options:GeneOnly]&amp;mk=4758378:4758397|offset_0|444444,4758424:4758443|offset_46|444444,4758445:4758464|offset_67|444444,4758517:4758536|offset_139|00cc00&amp;v=4758177:4758736&amp;c=444444", "offset 139")</f>
        <v>offset 139</v>
      </c>
    </row>
    <row r="15407" customFormat="false" ht="12.8" hidden="false" customHeight="false" outlineLevel="0" collapsed="false">
      <c r="A15407" s="0" t="s">
        <v>12</v>
      </c>
      <c r="B15407" s="0" t="n">
        <v>4758701</v>
      </c>
      <c r="C15407" s="0" t="n">
        <v>4758721</v>
      </c>
      <c r="D15407" s="0" t="s">
        <v>51214</v>
      </c>
      <c r="E15407" s="0" t="s">
        <v>51215</v>
      </c>
      <c r="F15407" s="0" t="s">
        <v>15</v>
      </c>
      <c r="G15407" s="0" t="s">
        <v>16</v>
      </c>
      <c r="H15407" s="0" t="n">
        <v>22</v>
      </c>
      <c r="I15407" s="0" t="s">
        <v>51216</v>
      </c>
      <c r="J15407" s="0" t="s">
        <v>51217</v>
      </c>
      <c r="K15407" s="0" t="s">
        <v>51218</v>
      </c>
      <c r="L15407" s="0" t="str">
        <f aca="false">HYPERLINK("https://www.ncbi.nlm.nih.gov/nuccore/CP000058.1?report=graph&amp;tracks=[key:gene_model_track,Options:GeneOnly]&amp;mk=4758702:4758721|offset_22|00cc00,4758723:4758742|offset_43|444444,4758753:4758772|offset_73|444444,4758787:4758806|offset_107|444444&amp;v=4758501:4759006&amp;c=444444", "offset 22")</f>
        <v>offset 22</v>
      </c>
    </row>
    <row r="15408" customFormat="false" ht="12.8" hidden="false" customHeight="false" outlineLevel="0" collapsed="false">
      <c r="A15408" s="0" t="s">
        <v>12</v>
      </c>
      <c r="B15408" s="0" t="n">
        <v>4758722</v>
      </c>
      <c r="C15408" s="0" t="n">
        <v>4758742</v>
      </c>
      <c r="D15408" s="0" t="s">
        <v>51214</v>
      </c>
      <c r="E15408" s="0" t="s">
        <v>51215</v>
      </c>
      <c r="F15408" s="0" t="s">
        <v>15</v>
      </c>
      <c r="G15408" s="0" t="s">
        <v>16</v>
      </c>
      <c r="H15408" s="0" t="n">
        <v>43</v>
      </c>
      <c r="I15408" s="0" t="s">
        <v>51219</v>
      </c>
      <c r="J15408" s="0" t="s">
        <v>51220</v>
      </c>
      <c r="K15408" s="0" t="s">
        <v>51221</v>
      </c>
      <c r="L15408" s="0" t="str">
        <f aca="false">HYPERLINK("https://www.ncbi.nlm.nih.gov/nuccore/CP000058.1?report=graph&amp;tracks=[key:gene_model_track,Options:GeneOnly]&amp;mk=4758702:4758721|offset_22|444444,4758723:4758742|offset_43|00cc00,4758753:4758772|offset_73|444444,4758787:4758806|offset_107|444444&amp;v=4758501:4759006&amp;c=444444", "offset 43")</f>
        <v>offset 43</v>
      </c>
    </row>
    <row r="15409" customFormat="false" ht="12.8" hidden="false" customHeight="false" outlineLevel="0" collapsed="false">
      <c r="A15409" s="0" t="s">
        <v>12</v>
      </c>
      <c r="B15409" s="0" t="n">
        <v>4758752</v>
      </c>
      <c r="C15409" s="0" t="n">
        <v>4758772</v>
      </c>
      <c r="D15409" s="0" t="s">
        <v>51214</v>
      </c>
      <c r="E15409" s="0" t="s">
        <v>51215</v>
      </c>
      <c r="F15409" s="0" t="s">
        <v>15</v>
      </c>
      <c r="G15409" s="0" t="s">
        <v>36</v>
      </c>
      <c r="H15409" s="0" t="n">
        <v>73</v>
      </c>
      <c r="I15409" s="0" t="s">
        <v>51222</v>
      </c>
      <c r="J15409" s="0" t="s">
        <v>51223</v>
      </c>
      <c r="K15409" s="0" t="s">
        <v>51224</v>
      </c>
      <c r="L15409" s="0" t="str">
        <f aca="false">HYPERLINK("https://www.ncbi.nlm.nih.gov/nuccore/CP000058.1?report=graph&amp;tracks=[key:gene_model_track,Options:GeneOnly]&amp;mk=4758702:4758721|offset_22|444444,4758723:4758742|offset_43|444444,4758753:4758772|offset_73|00cc00,4758787:4758806|offset_107|444444&amp;v=4758501:4759006&amp;c=444444", "offset 73")</f>
        <v>offset 73</v>
      </c>
    </row>
    <row r="15410" customFormat="false" ht="12.8" hidden="false" customHeight="false" outlineLevel="0" collapsed="false">
      <c r="A15410" s="0" t="s">
        <v>12</v>
      </c>
      <c r="B15410" s="0" t="n">
        <v>4758786</v>
      </c>
      <c r="C15410" s="0" t="n">
        <v>4758806</v>
      </c>
      <c r="D15410" s="0" t="s">
        <v>51214</v>
      </c>
      <c r="E15410" s="0" t="s">
        <v>51215</v>
      </c>
      <c r="F15410" s="0" t="s">
        <v>15</v>
      </c>
      <c r="G15410" s="0" t="s">
        <v>36</v>
      </c>
      <c r="H15410" s="0" t="n">
        <v>107</v>
      </c>
      <c r="I15410" s="0" t="s">
        <v>51225</v>
      </c>
      <c r="J15410" s="0" t="s">
        <v>51226</v>
      </c>
      <c r="K15410" s="0" t="s">
        <v>51227</v>
      </c>
      <c r="L15410" s="0" t="str">
        <f aca="false">HYPERLINK("https://www.ncbi.nlm.nih.gov/nuccore/CP000058.1?report=graph&amp;tracks=[key:gene_model_track,Options:GeneOnly]&amp;mk=4758702:4758721|offset_22|444444,4758723:4758742|offset_43|444444,4758753:4758772|offset_73|444444,4758787:4758806|offset_107|00cc00&amp;v=4758501:4759006&amp;c=444444", "offset 107")</f>
        <v>offset 107</v>
      </c>
    </row>
    <row r="15411" customFormat="false" ht="12.8" hidden="false" customHeight="false" outlineLevel="0" collapsed="false">
      <c r="A15411" s="0" t="s">
        <v>12</v>
      </c>
      <c r="B15411" s="0" t="n">
        <v>4760181</v>
      </c>
      <c r="C15411" s="0" t="n">
        <v>4760201</v>
      </c>
      <c r="D15411" s="0" t="s">
        <v>51228</v>
      </c>
      <c r="E15411" s="0" t="s">
        <v>51229</v>
      </c>
      <c r="F15411" s="0" t="s">
        <v>15</v>
      </c>
      <c r="G15411" s="0" t="s">
        <v>36</v>
      </c>
      <c r="H15411" s="0" t="n">
        <v>40</v>
      </c>
      <c r="I15411" s="0" t="s">
        <v>51230</v>
      </c>
      <c r="J15411" s="0" t="s">
        <v>51231</v>
      </c>
      <c r="K15411" s="0" t="s">
        <v>51232</v>
      </c>
      <c r="L15411" s="0" t="str">
        <f aca="false">HYPERLINK("https://www.ncbi.nlm.nih.gov/nuccore/CP000058.1?report=graph&amp;tracks=[key:gene_model_track,Options:GeneOnly]&amp;mk=4760182:4760201|offset_40|00cc00,4760212:4760231|offset_70|444444,4760236:4760255|offset_94|444444,4760258:4760277|offset_116|444444&amp;v=4759981:4760477&amp;c=444444", "offset 40")</f>
        <v>offset 40</v>
      </c>
    </row>
    <row r="15412" customFormat="false" ht="12.8" hidden="false" customHeight="false" outlineLevel="0" collapsed="false">
      <c r="A15412" s="0" t="s">
        <v>12</v>
      </c>
      <c r="B15412" s="0" t="n">
        <v>4760211</v>
      </c>
      <c r="C15412" s="0" t="n">
        <v>4760231</v>
      </c>
      <c r="D15412" s="0" t="s">
        <v>51228</v>
      </c>
      <c r="E15412" s="0" t="s">
        <v>51229</v>
      </c>
      <c r="F15412" s="0" t="s">
        <v>15</v>
      </c>
      <c r="G15412" s="0" t="s">
        <v>16</v>
      </c>
      <c r="H15412" s="0" t="n">
        <v>70</v>
      </c>
      <c r="I15412" s="0" t="s">
        <v>51233</v>
      </c>
      <c r="J15412" s="0" t="s">
        <v>51234</v>
      </c>
      <c r="K15412" s="0" t="s">
        <v>51235</v>
      </c>
      <c r="L15412" s="0" t="str">
        <f aca="false">HYPERLINK("https://www.ncbi.nlm.nih.gov/nuccore/CP000058.1?report=graph&amp;tracks=[key:gene_model_track,Options:GeneOnly]&amp;mk=4760182:4760201|offset_40|444444,4760212:4760231|offset_70|00cc00,4760236:4760255|offset_94|444444,4760258:4760277|offset_116|444444&amp;v=4759981:4760477&amp;c=444444", "offset 70")</f>
        <v>offset 70</v>
      </c>
    </row>
    <row r="15413" customFormat="false" ht="12.8" hidden="false" customHeight="false" outlineLevel="0" collapsed="false">
      <c r="A15413" s="0" t="s">
        <v>12</v>
      </c>
      <c r="B15413" s="0" t="n">
        <v>4760235</v>
      </c>
      <c r="C15413" s="0" t="n">
        <v>4760255</v>
      </c>
      <c r="D15413" s="0" t="s">
        <v>51228</v>
      </c>
      <c r="E15413" s="0" t="s">
        <v>51229</v>
      </c>
      <c r="F15413" s="0" t="s">
        <v>15</v>
      </c>
      <c r="G15413" s="0" t="s">
        <v>16</v>
      </c>
      <c r="H15413" s="0" t="n">
        <v>94</v>
      </c>
      <c r="I15413" s="0" t="s">
        <v>51236</v>
      </c>
      <c r="J15413" s="0" t="s">
        <v>51237</v>
      </c>
      <c r="K15413" s="0" t="s">
        <v>51238</v>
      </c>
      <c r="L15413" s="0" t="str">
        <f aca="false">HYPERLINK("https://www.ncbi.nlm.nih.gov/nuccore/CP000058.1?report=graph&amp;tracks=[key:gene_model_track,Options:GeneOnly]&amp;mk=4760182:4760201|offset_40|444444,4760212:4760231|offset_70|444444,4760236:4760255|offset_94|00cc00,4760258:4760277|offset_116|444444&amp;v=4759981:4760477&amp;c=444444", "offset 94")</f>
        <v>offset 94</v>
      </c>
    </row>
    <row r="15414" customFormat="false" ht="12.8" hidden="false" customHeight="false" outlineLevel="0" collapsed="false">
      <c r="A15414" s="0" t="s">
        <v>12</v>
      </c>
      <c r="B15414" s="0" t="n">
        <v>4760257</v>
      </c>
      <c r="C15414" s="0" t="n">
        <v>4760277</v>
      </c>
      <c r="D15414" s="0" t="s">
        <v>51228</v>
      </c>
      <c r="E15414" s="0" t="s">
        <v>51229</v>
      </c>
      <c r="F15414" s="0" t="s">
        <v>15</v>
      </c>
      <c r="G15414" s="0" t="s">
        <v>20</v>
      </c>
      <c r="H15414" s="0" t="n">
        <v>116</v>
      </c>
      <c r="I15414" s="0" t="s">
        <v>51239</v>
      </c>
      <c r="J15414" s="0" t="s">
        <v>51240</v>
      </c>
      <c r="K15414" s="0" t="s">
        <v>51241</v>
      </c>
      <c r="L15414" s="0" t="str">
        <f aca="false">HYPERLINK("https://www.ncbi.nlm.nih.gov/nuccore/CP000058.1?report=graph&amp;tracks=[key:gene_model_track,Options:GeneOnly]&amp;mk=4760182:4760201|offset_40|444444,4760212:4760231|offset_70|444444,4760236:4760255|offset_94|444444,4760258:4760277|offset_116|00cc00&amp;v=4759981:4760477&amp;c=444444", "offset 116")</f>
        <v>offset 116</v>
      </c>
    </row>
    <row r="15415" customFormat="false" ht="12.8" hidden="false" customHeight="false" outlineLevel="0" collapsed="false">
      <c r="A15415" s="0" t="s">
        <v>12</v>
      </c>
      <c r="B15415" s="0" t="n">
        <v>4761727</v>
      </c>
      <c r="C15415" s="0" t="n">
        <v>4761747</v>
      </c>
      <c r="D15415" s="0" t="s">
        <v>51242</v>
      </c>
      <c r="E15415" s="0" t="s">
        <v>75</v>
      </c>
      <c r="F15415" s="0" t="s">
        <v>15</v>
      </c>
      <c r="G15415" s="0" t="s">
        <v>36</v>
      </c>
      <c r="H15415" s="0" t="n">
        <v>18</v>
      </c>
      <c r="I15415" s="0" t="s">
        <v>51243</v>
      </c>
      <c r="J15415" s="0" t="s">
        <v>51244</v>
      </c>
      <c r="K15415" s="0" t="s">
        <v>51245</v>
      </c>
      <c r="L15415" s="0" t="str">
        <f aca="false">HYPERLINK("https://www.ncbi.nlm.nih.gov/nuccore/CP000058.1?report=graph&amp;tracks=[key:gene_model_track,Options:GeneOnly]&amp;mk=4761728:4761747|offset_18|00cc00,4761770:4761789|offset_60|444444,4761847:4761866|offset_137|444444,4761872:4761891|offset_162|444444&amp;v=4761527:4762091&amp;c=444444", "offset 18")</f>
        <v>offset 18</v>
      </c>
    </row>
    <row r="15416" customFormat="false" ht="12.8" hidden="false" customHeight="false" outlineLevel="0" collapsed="false">
      <c r="A15416" s="0" t="s">
        <v>12</v>
      </c>
      <c r="B15416" s="0" t="n">
        <v>4761769</v>
      </c>
      <c r="C15416" s="0" t="n">
        <v>4761789</v>
      </c>
      <c r="D15416" s="0" t="s">
        <v>51242</v>
      </c>
      <c r="E15416" s="0" t="s">
        <v>75</v>
      </c>
      <c r="F15416" s="0" t="s">
        <v>15</v>
      </c>
      <c r="G15416" s="0" t="s">
        <v>36</v>
      </c>
      <c r="H15416" s="0" t="n">
        <v>60</v>
      </c>
      <c r="I15416" s="0" t="s">
        <v>51246</v>
      </c>
      <c r="J15416" s="0" t="s">
        <v>51247</v>
      </c>
      <c r="K15416" s="0" t="s">
        <v>51248</v>
      </c>
      <c r="L15416" s="0" t="str">
        <f aca="false">HYPERLINK("https://www.ncbi.nlm.nih.gov/nuccore/CP000058.1?report=graph&amp;tracks=[key:gene_model_track,Options:GeneOnly]&amp;mk=4761728:4761747|offset_18|444444,4761770:4761789|offset_60|00cc00,4761847:4761866|offset_137|444444,4761872:4761891|offset_162|444444&amp;v=4761527:4762091&amp;c=444444", "offset 60")</f>
        <v>offset 60</v>
      </c>
    </row>
    <row r="15417" customFormat="false" ht="12.8" hidden="false" customHeight="false" outlineLevel="0" collapsed="false">
      <c r="A15417" s="0" t="s">
        <v>12</v>
      </c>
      <c r="B15417" s="0" t="n">
        <v>4761846</v>
      </c>
      <c r="C15417" s="0" t="n">
        <v>4761866</v>
      </c>
      <c r="D15417" s="0" t="s">
        <v>51242</v>
      </c>
      <c r="E15417" s="0" t="s">
        <v>75</v>
      </c>
      <c r="F15417" s="0" t="s">
        <v>15</v>
      </c>
      <c r="G15417" s="0" t="s">
        <v>16</v>
      </c>
      <c r="H15417" s="0" t="n">
        <v>137</v>
      </c>
      <c r="I15417" s="0" t="s">
        <v>51249</v>
      </c>
      <c r="J15417" s="0" t="s">
        <v>51250</v>
      </c>
      <c r="K15417" s="0" t="s">
        <v>51251</v>
      </c>
      <c r="L15417" s="0" t="str">
        <f aca="false">HYPERLINK("https://www.ncbi.nlm.nih.gov/nuccore/CP000058.1?report=graph&amp;tracks=[key:gene_model_track,Options:GeneOnly]&amp;mk=4761728:4761747|offset_18|444444,4761770:4761789|offset_60|444444,4761847:4761866|offset_137|00cc00,4761872:4761891|offset_162|444444&amp;v=4761527:4762091&amp;c=444444", "offset 137")</f>
        <v>offset 137</v>
      </c>
    </row>
    <row r="15418" customFormat="false" ht="12.8" hidden="false" customHeight="false" outlineLevel="0" collapsed="false">
      <c r="A15418" s="0" t="s">
        <v>12</v>
      </c>
      <c r="B15418" s="0" t="n">
        <v>4761871</v>
      </c>
      <c r="C15418" s="0" t="n">
        <v>4761891</v>
      </c>
      <c r="D15418" s="0" t="s">
        <v>51242</v>
      </c>
      <c r="E15418" s="0" t="s">
        <v>75</v>
      </c>
      <c r="F15418" s="0" t="s">
        <v>15</v>
      </c>
      <c r="G15418" s="0" t="s">
        <v>16</v>
      </c>
      <c r="H15418" s="0" t="n">
        <v>162</v>
      </c>
      <c r="I15418" s="0" t="s">
        <v>51252</v>
      </c>
      <c r="J15418" s="0" t="s">
        <v>51253</v>
      </c>
      <c r="K15418" s="0" t="s">
        <v>51254</v>
      </c>
      <c r="L15418" s="0" t="str">
        <f aca="false">HYPERLINK("https://www.ncbi.nlm.nih.gov/nuccore/CP000058.1?report=graph&amp;tracks=[key:gene_model_track,Options:GeneOnly]&amp;mk=4761728:4761747|offset_18|444444,4761770:4761789|offset_60|444444,4761847:4761866|offset_137|444444,4761872:4761891|offset_162|00cc00&amp;v=4761527:4762091&amp;c=444444", "offset 162")</f>
        <v>offset 162</v>
      </c>
    </row>
    <row r="15419" customFormat="false" ht="12.8" hidden="false" customHeight="false" outlineLevel="0" collapsed="false">
      <c r="A15419" s="0" t="s">
        <v>12</v>
      </c>
      <c r="B15419" s="0" t="n">
        <v>4762424</v>
      </c>
      <c r="C15419" s="0" t="n">
        <v>4762444</v>
      </c>
      <c r="D15419" s="0" t="s">
        <v>51255</v>
      </c>
      <c r="E15419" s="0" t="s">
        <v>75</v>
      </c>
      <c r="F15419" s="0" t="s">
        <v>15</v>
      </c>
      <c r="G15419" s="0" t="s">
        <v>20</v>
      </c>
      <c r="H15419" s="0" t="n">
        <v>14</v>
      </c>
      <c r="I15419" s="0" t="s">
        <v>51256</v>
      </c>
      <c r="J15419" s="0" t="s">
        <v>51257</v>
      </c>
      <c r="K15419" s="0" t="s">
        <v>51258</v>
      </c>
      <c r="L15419" s="0" t="str">
        <f aca="false">HYPERLINK("https://www.ncbi.nlm.nih.gov/nuccore/CP000058.1?report=graph&amp;tracks=[key:gene_model_track,Options:GeneOnly]&amp;mk=4762425:4762444|offset_14|00cc00,4762501:4762520|offset_90|444444,4762538:4762557|offset_127|444444,4762563:4762582|offset_152|444444&amp;v=4762224:4762782&amp;c=444444", "offset 14")</f>
        <v>offset 14</v>
      </c>
    </row>
    <row r="15420" customFormat="false" ht="12.8" hidden="false" customHeight="false" outlineLevel="0" collapsed="false">
      <c r="A15420" s="0" t="s">
        <v>12</v>
      </c>
      <c r="B15420" s="0" t="n">
        <v>4762500</v>
      </c>
      <c r="C15420" s="0" t="n">
        <v>4762520</v>
      </c>
      <c r="D15420" s="0" t="s">
        <v>51255</v>
      </c>
      <c r="E15420" s="0" t="s">
        <v>75</v>
      </c>
      <c r="F15420" s="0" t="s">
        <v>15</v>
      </c>
      <c r="G15420" s="0" t="s">
        <v>32</v>
      </c>
      <c r="H15420" s="0" t="n">
        <v>90</v>
      </c>
      <c r="I15420" s="0" t="s">
        <v>51259</v>
      </c>
      <c r="J15420" s="0" t="s">
        <v>51260</v>
      </c>
      <c r="K15420" s="0" t="s">
        <v>51261</v>
      </c>
      <c r="L15420" s="0" t="str">
        <f aca="false">HYPERLINK("https://www.ncbi.nlm.nih.gov/nuccore/CP000058.1?report=graph&amp;tracks=[key:gene_model_track,Options:GeneOnly]&amp;mk=4762425:4762444|offset_14|444444,4762501:4762520|offset_90|00cc00,4762538:4762557|offset_127|444444,4762563:4762582|offset_152|444444&amp;v=4762224:4762782&amp;c=444444", "offset 90")</f>
        <v>offset 90</v>
      </c>
    </row>
    <row r="15421" customFormat="false" ht="12.8" hidden="false" customHeight="false" outlineLevel="0" collapsed="false">
      <c r="A15421" s="0" t="s">
        <v>12</v>
      </c>
      <c r="B15421" s="0" t="n">
        <v>4762537</v>
      </c>
      <c r="C15421" s="0" t="n">
        <v>4762557</v>
      </c>
      <c r="D15421" s="0" t="s">
        <v>51255</v>
      </c>
      <c r="E15421" s="0" t="s">
        <v>75</v>
      </c>
      <c r="F15421" s="0" t="s">
        <v>15</v>
      </c>
      <c r="G15421" s="0" t="s">
        <v>32</v>
      </c>
      <c r="H15421" s="0" t="n">
        <v>127</v>
      </c>
      <c r="I15421" s="0" t="s">
        <v>51262</v>
      </c>
      <c r="J15421" s="0" t="s">
        <v>51263</v>
      </c>
      <c r="K15421" s="0" t="s">
        <v>51264</v>
      </c>
      <c r="L15421" s="0" t="str">
        <f aca="false">HYPERLINK("https://www.ncbi.nlm.nih.gov/nuccore/CP000058.1?report=graph&amp;tracks=[key:gene_model_track,Options:GeneOnly]&amp;mk=4762425:4762444|offset_14|444444,4762501:4762520|offset_90|444444,4762538:4762557|offset_127|00cc00,4762563:4762582|offset_152|444444&amp;v=4762224:4762782&amp;c=444444", "offset 127")</f>
        <v>offset 127</v>
      </c>
    </row>
    <row r="15422" customFormat="false" ht="12.8" hidden="false" customHeight="false" outlineLevel="0" collapsed="false">
      <c r="A15422" s="0" t="s">
        <v>12</v>
      </c>
      <c r="B15422" s="0" t="n">
        <v>4762562</v>
      </c>
      <c r="C15422" s="0" t="n">
        <v>4762582</v>
      </c>
      <c r="D15422" s="0" t="s">
        <v>51255</v>
      </c>
      <c r="E15422" s="0" t="s">
        <v>75</v>
      </c>
      <c r="F15422" s="0" t="s">
        <v>15</v>
      </c>
      <c r="G15422" s="0" t="s">
        <v>20</v>
      </c>
      <c r="H15422" s="0" t="n">
        <v>152</v>
      </c>
      <c r="I15422" s="0" t="s">
        <v>51265</v>
      </c>
      <c r="J15422" s="0" t="s">
        <v>51266</v>
      </c>
      <c r="K15422" s="0" t="s">
        <v>51267</v>
      </c>
      <c r="L15422" s="0" t="str">
        <f aca="false">HYPERLINK("https://www.ncbi.nlm.nih.gov/nuccore/CP000058.1?report=graph&amp;tracks=[key:gene_model_track,Options:GeneOnly]&amp;mk=4762425:4762444|offset_14|444444,4762501:4762520|offset_90|444444,4762538:4762557|offset_127|444444,4762563:4762582|offset_152|00cc00&amp;v=4762224:4762782&amp;c=444444", "offset 152")</f>
        <v>offset 152</v>
      </c>
    </row>
    <row r="15423" customFormat="false" ht="12.8" hidden="false" customHeight="false" outlineLevel="0" collapsed="false">
      <c r="A15423" s="0" t="s">
        <v>12</v>
      </c>
      <c r="B15423" s="0" t="n">
        <v>4763473</v>
      </c>
      <c r="C15423" s="0" t="n">
        <v>4763493</v>
      </c>
      <c r="D15423" s="0" t="s">
        <v>51268</v>
      </c>
      <c r="E15423" s="0" t="s">
        <v>51269</v>
      </c>
      <c r="F15423" s="0" t="s">
        <v>15</v>
      </c>
      <c r="G15423" s="0" t="s">
        <v>32</v>
      </c>
      <c r="H15423" s="0" t="n">
        <v>1</v>
      </c>
      <c r="I15423" s="0" t="s">
        <v>51270</v>
      </c>
      <c r="J15423" s="0" t="s">
        <v>51271</v>
      </c>
      <c r="K15423" s="0" t="s">
        <v>51272</v>
      </c>
      <c r="L15423" s="0" t="str">
        <f aca="false">HYPERLINK("https://www.ncbi.nlm.nih.gov/nuccore/CP000058.1?report=graph&amp;tracks=[key:gene_model_track,Options:GeneOnly]&amp;mk=4763474:4763493|offset_1|00cc00,4763511:4763530|offset_38|444444,4763535:4763554|offset_62|444444,4763564:4763583|offset_91|444444&amp;v=4763273:4763783&amp;c=444444", "offset 1")</f>
        <v>offset 1</v>
      </c>
    </row>
    <row r="15424" customFormat="false" ht="12.8" hidden="false" customHeight="false" outlineLevel="0" collapsed="false">
      <c r="A15424" s="0" t="s">
        <v>12</v>
      </c>
      <c r="B15424" s="0" t="n">
        <v>4763510</v>
      </c>
      <c r="C15424" s="0" t="n">
        <v>4763530</v>
      </c>
      <c r="D15424" s="0" t="s">
        <v>51268</v>
      </c>
      <c r="E15424" s="0" t="s">
        <v>51269</v>
      </c>
      <c r="F15424" s="0" t="s">
        <v>15</v>
      </c>
      <c r="G15424" s="0" t="s">
        <v>16</v>
      </c>
      <c r="H15424" s="0" t="n">
        <v>38</v>
      </c>
      <c r="I15424" s="0" t="s">
        <v>51273</v>
      </c>
      <c r="J15424" s="0" t="s">
        <v>51274</v>
      </c>
      <c r="K15424" s="0" t="s">
        <v>51275</v>
      </c>
      <c r="L15424" s="0" t="str">
        <f aca="false">HYPERLINK("https://www.ncbi.nlm.nih.gov/nuccore/CP000058.1?report=graph&amp;tracks=[key:gene_model_track,Options:GeneOnly]&amp;mk=4763474:4763493|offset_1|444444,4763511:4763530|offset_38|00cc00,4763535:4763554|offset_62|444444,4763564:4763583|offset_91|444444&amp;v=4763273:4763783&amp;c=444444", "offset 38")</f>
        <v>offset 38</v>
      </c>
    </row>
    <row r="15425" customFormat="false" ht="12.8" hidden="false" customHeight="false" outlineLevel="0" collapsed="false">
      <c r="A15425" s="0" t="s">
        <v>12</v>
      </c>
      <c r="B15425" s="0" t="n">
        <v>4763534</v>
      </c>
      <c r="C15425" s="0" t="n">
        <v>4763554</v>
      </c>
      <c r="D15425" s="0" t="s">
        <v>51268</v>
      </c>
      <c r="E15425" s="0" t="s">
        <v>51269</v>
      </c>
      <c r="F15425" s="0" t="s">
        <v>15</v>
      </c>
      <c r="G15425" s="0" t="s">
        <v>32</v>
      </c>
      <c r="H15425" s="0" t="n">
        <v>62</v>
      </c>
      <c r="I15425" s="0" t="s">
        <v>51276</v>
      </c>
      <c r="J15425" s="0" t="s">
        <v>51277</v>
      </c>
      <c r="K15425" s="0" t="s">
        <v>51278</v>
      </c>
      <c r="L15425" s="0" t="str">
        <f aca="false">HYPERLINK("https://www.ncbi.nlm.nih.gov/nuccore/CP000058.1?report=graph&amp;tracks=[key:gene_model_track,Options:GeneOnly]&amp;mk=4763474:4763493|offset_1|444444,4763511:4763530|offset_38|444444,4763535:4763554|offset_62|00cc00,4763564:4763583|offset_91|444444&amp;v=4763273:4763783&amp;c=444444", "offset 62")</f>
        <v>offset 62</v>
      </c>
    </row>
    <row r="15426" customFormat="false" ht="12.8" hidden="false" customHeight="false" outlineLevel="0" collapsed="false">
      <c r="A15426" s="0" t="s">
        <v>12</v>
      </c>
      <c r="B15426" s="0" t="n">
        <v>4763563</v>
      </c>
      <c r="C15426" s="0" t="n">
        <v>4763583</v>
      </c>
      <c r="D15426" s="0" t="s">
        <v>51268</v>
      </c>
      <c r="E15426" s="0" t="s">
        <v>51269</v>
      </c>
      <c r="F15426" s="0" t="s">
        <v>15</v>
      </c>
      <c r="G15426" s="0" t="s">
        <v>16</v>
      </c>
      <c r="H15426" s="0" t="n">
        <v>91</v>
      </c>
      <c r="I15426" s="0" t="s">
        <v>51279</v>
      </c>
      <c r="J15426" s="0" t="s">
        <v>51280</v>
      </c>
      <c r="K15426" s="0" t="s">
        <v>51281</v>
      </c>
      <c r="L15426" s="0" t="str">
        <f aca="false">HYPERLINK("https://www.ncbi.nlm.nih.gov/nuccore/CP000058.1?report=graph&amp;tracks=[key:gene_model_track,Options:GeneOnly]&amp;mk=4763474:4763493|offset_1|444444,4763511:4763530|offset_38|444444,4763535:4763554|offset_62|444444,4763564:4763583|offset_91|00cc00&amp;v=4763273:4763783&amp;c=444444", "offset 91")</f>
        <v>offset 91</v>
      </c>
    </row>
    <row r="15427" customFormat="false" ht="12.8" hidden="false" customHeight="false" outlineLevel="0" collapsed="false">
      <c r="A15427" s="0" t="s">
        <v>12</v>
      </c>
      <c r="B15427" s="0" t="n">
        <v>4764754</v>
      </c>
      <c r="C15427" s="0" t="n">
        <v>4764774</v>
      </c>
      <c r="D15427" s="0" t="s">
        <v>51282</v>
      </c>
      <c r="E15427" s="0" t="s">
        <v>75</v>
      </c>
      <c r="F15427" s="0" t="s">
        <v>90</v>
      </c>
      <c r="G15427" s="0" t="s">
        <v>32</v>
      </c>
      <c r="H15427" s="0" t="n">
        <v>20</v>
      </c>
      <c r="I15427" s="0" t="s">
        <v>51283</v>
      </c>
      <c r="J15427" s="0" t="s">
        <v>51284</v>
      </c>
      <c r="K15427" s="0" t="s">
        <v>51285</v>
      </c>
      <c r="L15427" s="0" t="str">
        <f aca="false">HYPERLINK("https://www.ncbi.nlm.nih.gov/nuccore/CP000058.1?report=graph&amp;tracks=[key:gene_model_track,Options:GeneOnly]&amp;mk=4764755:4764774|offset_20|00cc00,4764735:4764754|offset_40|444444,4764654:4764673|offset_121|444444,4764628:4764647|offset_147|444444&amp;v=4764554:4764847&amp;c=444444", "offset 20")</f>
        <v>offset 20</v>
      </c>
    </row>
    <row r="15428" customFormat="false" ht="12.8" hidden="false" customHeight="false" outlineLevel="0" collapsed="false">
      <c r="A15428" s="0" t="s">
        <v>12</v>
      </c>
      <c r="B15428" s="0" t="n">
        <v>4764734</v>
      </c>
      <c r="C15428" s="0" t="n">
        <v>4764754</v>
      </c>
      <c r="D15428" s="0" t="s">
        <v>51282</v>
      </c>
      <c r="E15428" s="0" t="s">
        <v>75</v>
      </c>
      <c r="F15428" s="0" t="s">
        <v>90</v>
      </c>
      <c r="G15428" s="0" t="s">
        <v>36</v>
      </c>
      <c r="H15428" s="0" t="n">
        <v>40</v>
      </c>
      <c r="I15428" s="0" t="s">
        <v>51286</v>
      </c>
      <c r="J15428" s="0" t="s">
        <v>51287</v>
      </c>
      <c r="K15428" s="0" t="s">
        <v>51288</v>
      </c>
      <c r="L15428" s="0" t="str">
        <f aca="false">HYPERLINK("https://www.ncbi.nlm.nih.gov/nuccore/CP000058.1?report=graph&amp;tracks=[key:gene_model_track,Options:GeneOnly]&amp;mk=4764755:4764774|offset_20|444444,4764735:4764754|offset_40|00cc00,4764654:4764673|offset_121|444444,4764628:4764647|offset_147|444444&amp;v=4764554:4764847&amp;c=444444", "offset 40")</f>
        <v>offset 40</v>
      </c>
    </row>
    <row r="15429" customFormat="false" ht="12.8" hidden="false" customHeight="false" outlineLevel="0" collapsed="false">
      <c r="A15429" s="0" t="s">
        <v>12</v>
      </c>
      <c r="B15429" s="0" t="n">
        <v>4764653</v>
      </c>
      <c r="C15429" s="0" t="n">
        <v>4764673</v>
      </c>
      <c r="D15429" s="0" t="s">
        <v>51282</v>
      </c>
      <c r="E15429" s="0" t="s">
        <v>75</v>
      </c>
      <c r="F15429" s="0" t="s">
        <v>90</v>
      </c>
      <c r="G15429" s="0" t="s">
        <v>16</v>
      </c>
      <c r="H15429" s="0" t="n">
        <v>121</v>
      </c>
      <c r="I15429" s="0" t="s">
        <v>51289</v>
      </c>
      <c r="J15429" s="0" t="s">
        <v>51290</v>
      </c>
      <c r="K15429" s="0" t="s">
        <v>51291</v>
      </c>
      <c r="L15429" s="0" t="str">
        <f aca="false">HYPERLINK("https://www.ncbi.nlm.nih.gov/nuccore/CP000058.1?report=graph&amp;tracks=[key:gene_model_track,Options:GeneOnly]&amp;mk=4764755:4764774|offset_20|444444,4764735:4764754|offset_40|444444,4764654:4764673|offset_121|00cc00,4764628:4764647|offset_147|444444&amp;v=4764554:4764847&amp;c=444444", "offset 121")</f>
        <v>offset 121</v>
      </c>
    </row>
    <row r="15430" customFormat="false" ht="12.8" hidden="false" customHeight="false" outlineLevel="0" collapsed="false">
      <c r="A15430" s="0" t="s">
        <v>12</v>
      </c>
      <c r="B15430" s="0" t="n">
        <v>4764627</v>
      </c>
      <c r="C15430" s="0" t="n">
        <v>4764647</v>
      </c>
      <c r="D15430" s="0" t="s">
        <v>51282</v>
      </c>
      <c r="E15430" s="0" t="s">
        <v>75</v>
      </c>
      <c r="F15430" s="0" t="s">
        <v>90</v>
      </c>
      <c r="G15430" s="0" t="s">
        <v>20</v>
      </c>
      <c r="H15430" s="0" t="n">
        <v>147</v>
      </c>
      <c r="I15430" s="0" t="s">
        <v>51292</v>
      </c>
      <c r="J15430" s="0" t="s">
        <v>51293</v>
      </c>
      <c r="K15430" s="0" t="s">
        <v>51294</v>
      </c>
      <c r="L15430" s="0" t="str">
        <f aca="false">HYPERLINK("https://www.ncbi.nlm.nih.gov/nuccore/CP000058.1?report=graph&amp;tracks=[key:gene_model_track,Options:GeneOnly]&amp;mk=4764755:4764774|offset_20|444444,4764735:4764754|offset_40|444444,4764654:4764673|offset_121|444444,4764628:4764647|offset_147|00cc00&amp;v=4764554:4764847&amp;c=444444", "offset 147")</f>
        <v>offset 147</v>
      </c>
    </row>
    <row r="15431" customFormat="false" ht="12.8" hidden="false" customHeight="false" outlineLevel="0" collapsed="false">
      <c r="A15431" s="0" t="s">
        <v>12</v>
      </c>
      <c r="B15431" s="0" t="n">
        <v>4766453</v>
      </c>
      <c r="C15431" s="0" t="n">
        <v>4766473</v>
      </c>
      <c r="D15431" s="0" t="s">
        <v>51295</v>
      </c>
      <c r="E15431" s="0" t="s">
        <v>75</v>
      </c>
      <c r="F15431" s="0" t="s">
        <v>90</v>
      </c>
      <c r="G15431" s="0" t="s">
        <v>16</v>
      </c>
      <c r="H15431" s="0" t="n">
        <v>1</v>
      </c>
      <c r="I15431" s="0" t="s">
        <v>51296</v>
      </c>
      <c r="J15431" s="0" t="s">
        <v>51297</v>
      </c>
      <c r="K15431" s="0" t="s">
        <v>51298</v>
      </c>
      <c r="L15431" s="0" t="str">
        <f aca="false">HYPERLINK("https://www.ncbi.nlm.nih.gov/nuccore/CP000058.1?report=graph&amp;tracks=[key:gene_model_track,Options:GeneOnly]&amp;mk=4766454:4766473|offset_1|00cc00,4766426:4766445|offset_29|444444,4766403:4766422|offset_52|444444,4766377:4766396|offset_78|444444&amp;v=4766253:4766596&amp;c=444444", "offset 1")</f>
        <v>offset 1</v>
      </c>
    </row>
    <row r="15432" customFormat="false" ht="12.8" hidden="false" customHeight="false" outlineLevel="0" collapsed="false">
      <c r="A15432" s="0" t="s">
        <v>12</v>
      </c>
      <c r="B15432" s="0" t="n">
        <v>4766425</v>
      </c>
      <c r="C15432" s="0" t="n">
        <v>4766445</v>
      </c>
      <c r="D15432" s="0" t="s">
        <v>51295</v>
      </c>
      <c r="E15432" s="0" t="s">
        <v>75</v>
      </c>
      <c r="F15432" s="0" t="s">
        <v>90</v>
      </c>
      <c r="G15432" s="0" t="s">
        <v>16</v>
      </c>
      <c r="H15432" s="0" t="n">
        <v>29</v>
      </c>
      <c r="I15432" s="0" t="s">
        <v>51299</v>
      </c>
      <c r="J15432" s="0" t="s">
        <v>51300</v>
      </c>
      <c r="K15432" s="0" t="s">
        <v>51301</v>
      </c>
      <c r="L15432" s="0" t="str">
        <f aca="false">HYPERLINK("https://www.ncbi.nlm.nih.gov/nuccore/CP000058.1?report=graph&amp;tracks=[key:gene_model_track,Options:GeneOnly]&amp;mk=4766454:4766473|offset_1|444444,4766426:4766445|offset_29|00cc00,4766403:4766422|offset_52|444444,4766377:4766396|offset_78|444444&amp;v=4766253:4766596&amp;c=444444", "offset 29")</f>
        <v>offset 29</v>
      </c>
    </row>
    <row r="15433" customFormat="false" ht="12.8" hidden="false" customHeight="false" outlineLevel="0" collapsed="false">
      <c r="A15433" s="0" t="s">
        <v>12</v>
      </c>
      <c r="B15433" s="0" t="n">
        <v>4766402</v>
      </c>
      <c r="C15433" s="0" t="n">
        <v>4766422</v>
      </c>
      <c r="D15433" s="0" t="s">
        <v>51295</v>
      </c>
      <c r="E15433" s="0" t="s">
        <v>75</v>
      </c>
      <c r="F15433" s="0" t="s">
        <v>90</v>
      </c>
      <c r="G15433" s="0" t="s">
        <v>16</v>
      </c>
      <c r="H15433" s="0" t="n">
        <v>52</v>
      </c>
      <c r="I15433" s="0" t="s">
        <v>51302</v>
      </c>
      <c r="J15433" s="0" t="s">
        <v>51303</v>
      </c>
      <c r="K15433" s="0" t="s">
        <v>51304</v>
      </c>
      <c r="L15433" s="0" t="str">
        <f aca="false">HYPERLINK("https://www.ncbi.nlm.nih.gov/nuccore/CP000058.1?report=graph&amp;tracks=[key:gene_model_track,Options:GeneOnly]&amp;mk=4766454:4766473|offset_1|444444,4766426:4766445|offset_29|444444,4766403:4766422|offset_52|00cc00,4766377:4766396|offset_78|444444&amp;v=4766253:4766596&amp;c=444444", "offset 52")</f>
        <v>offset 52</v>
      </c>
    </row>
    <row r="15434" customFormat="false" ht="12.8" hidden="false" customHeight="false" outlineLevel="0" collapsed="false">
      <c r="A15434" s="0" t="s">
        <v>12</v>
      </c>
      <c r="B15434" s="0" t="n">
        <v>4766376</v>
      </c>
      <c r="C15434" s="0" t="n">
        <v>4766396</v>
      </c>
      <c r="D15434" s="0" t="s">
        <v>51295</v>
      </c>
      <c r="E15434" s="0" t="s">
        <v>75</v>
      </c>
      <c r="F15434" s="0" t="s">
        <v>90</v>
      </c>
      <c r="G15434" s="0" t="s">
        <v>20</v>
      </c>
      <c r="H15434" s="0" t="n">
        <v>78</v>
      </c>
      <c r="I15434" s="0" t="s">
        <v>51305</v>
      </c>
      <c r="J15434" s="0" t="s">
        <v>51306</v>
      </c>
      <c r="K15434" s="0" t="s">
        <v>51307</v>
      </c>
      <c r="L15434" s="0" t="str">
        <f aca="false">HYPERLINK("https://www.ncbi.nlm.nih.gov/nuccore/CP000058.1?report=graph&amp;tracks=[key:gene_model_track,Options:GeneOnly]&amp;mk=4766454:4766473|offset_1|444444,4766426:4766445|offset_29|444444,4766403:4766422|offset_52|444444,4766377:4766396|offset_78|00cc00&amp;v=4766253:4766596&amp;c=444444", "offset 78")</f>
        <v>offset 78</v>
      </c>
    </row>
    <row r="15435" customFormat="false" ht="12.8" hidden="false" customHeight="false" outlineLevel="0" collapsed="false">
      <c r="A15435" s="0" t="s">
        <v>12</v>
      </c>
      <c r="B15435" s="0" t="n">
        <v>4766641</v>
      </c>
      <c r="C15435" s="0" t="n">
        <v>4766661</v>
      </c>
      <c r="D15435" s="0" t="s">
        <v>51308</v>
      </c>
      <c r="E15435" s="0" t="s">
        <v>75</v>
      </c>
      <c r="F15435" s="0" t="s">
        <v>15</v>
      </c>
      <c r="G15435" s="0" t="s">
        <v>20</v>
      </c>
      <c r="H15435" s="0" t="n">
        <v>10</v>
      </c>
      <c r="I15435" s="0" t="s">
        <v>51309</v>
      </c>
      <c r="J15435" s="0" t="s">
        <v>51310</v>
      </c>
      <c r="K15435" s="0" t="s">
        <v>51311</v>
      </c>
      <c r="L15435" s="0" t="str">
        <f aca="false">HYPERLINK("https://www.ncbi.nlm.nih.gov/nuccore/CP000058.1?report=graph&amp;tracks=[key:gene_model_track,Options:GeneOnly]&amp;mk=4766642:4766661|offset_10|00cc00,4766666:4766685|offset_34|444444,4766753:4766772|offset_121|444444,4766781:4766800|offset_149|444444&amp;v=4766441:4767000&amp;c=444444", "offset 10")</f>
        <v>offset 10</v>
      </c>
    </row>
    <row r="15436" customFormat="false" ht="12.8" hidden="false" customHeight="false" outlineLevel="0" collapsed="false">
      <c r="A15436" s="0" t="s">
        <v>12</v>
      </c>
      <c r="B15436" s="0" t="n">
        <v>4766665</v>
      </c>
      <c r="C15436" s="0" t="n">
        <v>4766685</v>
      </c>
      <c r="D15436" s="0" t="s">
        <v>51308</v>
      </c>
      <c r="E15436" s="0" t="s">
        <v>75</v>
      </c>
      <c r="F15436" s="0" t="s">
        <v>15</v>
      </c>
      <c r="G15436" s="0" t="s">
        <v>36</v>
      </c>
      <c r="H15436" s="0" t="n">
        <v>34</v>
      </c>
      <c r="I15436" s="0" t="s">
        <v>51312</v>
      </c>
      <c r="J15436" s="0" t="s">
        <v>51313</v>
      </c>
      <c r="K15436" s="0" t="s">
        <v>51314</v>
      </c>
      <c r="L15436" s="0" t="str">
        <f aca="false">HYPERLINK("https://www.ncbi.nlm.nih.gov/nuccore/CP000058.1?report=graph&amp;tracks=[key:gene_model_track,Options:GeneOnly]&amp;mk=4766642:4766661|offset_10|444444,4766666:4766685|offset_34|00cc00,4766753:4766772|offset_121|444444,4766781:4766800|offset_149|444444&amp;v=4766441:4767000&amp;c=444444", "offset 34")</f>
        <v>offset 34</v>
      </c>
    </row>
    <row r="15437" customFormat="false" ht="12.8" hidden="false" customHeight="false" outlineLevel="0" collapsed="false">
      <c r="A15437" s="0" t="s">
        <v>12</v>
      </c>
      <c r="B15437" s="0" t="n">
        <v>4766752</v>
      </c>
      <c r="C15437" s="0" t="n">
        <v>4766772</v>
      </c>
      <c r="D15437" s="0" t="s">
        <v>51308</v>
      </c>
      <c r="E15437" s="0" t="s">
        <v>75</v>
      </c>
      <c r="F15437" s="0" t="s">
        <v>15</v>
      </c>
      <c r="G15437" s="0" t="s">
        <v>32</v>
      </c>
      <c r="H15437" s="0" t="n">
        <v>121</v>
      </c>
      <c r="I15437" s="0" t="s">
        <v>51315</v>
      </c>
      <c r="J15437" s="0" t="s">
        <v>51316</v>
      </c>
      <c r="K15437" s="0" t="s">
        <v>51317</v>
      </c>
      <c r="L15437" s="0" t="str">
        <f aca="false">HYPERLINK("https://www.ncbi.nlm.nih.gov/nuccore/CP000058.1?report=graph&amp;tracks=[key:gene_model_track,Options:GeneOnly]&amp;mk=4766642:4766661|offset_10|444444,4766666:4766685|offset_34|444444,4766753:4766772|offset_121|00cc00,4766781:4766800|offset_149|444444&amp;v=4766441:4767000&amp;c=444444", "offset 121")</f>
        <v>offset 121</v>
      </c>
    </row>
    <row r="15438" customFormat="false" ht="12.8" hidden="false" customHeight="false" outlineLevel="0" collapsed="false">
      <c r="A15438" s="0" t="s">
        <v>12</v>
      </c>
      <c r="B15438" s="0" t="n">
        <v>4766780</v>
      </c>
      <c r="C15438" s="0" t="n">
        <v>4766800</v>
      </c>
      <c r="D15438" s="0" t="s">
        <v>51308</v>
      </c>
      <c r="E15438" s="0" t="s">
        <v>75</v>
      </c>
      <c r="F15438" s="0" t="s">
        <v>15</v>
      </c>
      <c r="G15438" s="0" t="s">
        <v>36</v>
      </c>
      <c r="H15438" s="0" t="n">
        <v>149</v>
      </c>
      <c r="I15438" s="0" t="s">
        <v>51318</v>
      </c>
      <c r="J15438" s="0" t="s">
        <v>51319</v>
      </c>
      <c r="K15438" s="0" t="s">
        <v>51320</v>
      </c>
      <c r="L15438" s="0" t="str">
        <f aca="false">HYPERLINK("https://www.ncbi.nlm.nih.gov/nuccore/CP000058.1?report=graph&amp;tracks=[key:gene_model_track,Options:GeneOnly]&amp;mk=4766642:4766661|offset_10|444444,4766666:4766685|offset_34|444444,4766753:4766772|offset_121|444444,4766781:4766800|offset_149|00cc00&amp;v=4766441:4767000&amp;c=444444", "offset 149")</f>
        <v>offset 149</v>
      </c>
    </row>
    <row r="15439" customFormat="false" ht="12.8" hidden="false" customHeight="false" outlineLevel="0" collapsed="false">
      <c r="A15439" s="0" t="s">
        <v>12</v>
      </c>
      <c r="B15439" s="0" t="n">
        <v>4767732</v>
      </c>
      <c r="C15439" s="0" t="n">
        <v>4767752</v>
      </c>
      <c r="D15439" s="0" t="s">
        <v>51321</v>
      </c>
      <c r="E15439" s="0" t="s">
        <v>75</v>
      </c>
      <c r="F15439" s="0" t="s">
        <v>15</v>
      </c>
      <c r="G15439" s="0" t="s">
        <v>32</v>
      </c>
      <c r="H15439" s="0" t="n">
        <v>6</v>
      </c>
      <c r="I15439" s="0" t="s">
        <v>51322</v>
      </c>
      <c r="J15439" s="0" t="s">
        <v>51323</v>
      </c>
      <c r="K15439" s="0" t="s">
        <v>51324</v>
      </c>
      <c r="L15439" s="0" t="str">
        <f aca="false">HYPERLINK("https://www.ncbi.nlm.nih.gov/nuccore/CP000058.1?report=graph&amp;tracks=[key:gene_model_track,Options:GeneOnly]&amp;mk=4767733:4767752|offset_6|00cc00,4767766:4767785|offset_39|444444,4767806:4767825|offset_79|444444,4767856:4767875|offset_129|444444&amp;v=4767532:4768075&amp;c=444444", "offset 6")</f>
        <v>offset 6</v>
      </c>
    </row>
    <row r="15440" customFormat="false" ht="12.8" hidden="false" customHeight="false" outlineLevel="0" collapsed="false">
      <c r="A15440" s="0" t="s">
        <v>12</v>
      </c>
      <c r="B15440" s="0" t="n">
        <v>4767765</v>
      </c>
      <c r="C15440" s="0" t="n">
        <v>4767785</v>
      </c>
      <c r="D15440" s="0" t="s">
        <v>51321</v>
      </c>
      <c r="E15440" s="0" t="s">
        <v>75</v>
      </c>
      <c r="F15440" s="0" t="s">
        <v>15</v>
      </c>
      <c r="G15440" s="0" t="s">
        <v>16</v>
      </c>
      <c r="H15440" s="0" t="n">
        <v>39</v>
      </c>
      <c r="I15440" s="0" t="s">
        <v>51325</v>
      </c>
      <c r="J15440" s="0" t="s">
        <v>51326</v>
      </c>
      <c r="K15440" s="0" t="s">
        <v>51327</v>
      </c>
      <c r="L15440" s="0" t="str">
        <f aca="false">HYPERLINK("https://www.ncbi.nlm.nih.gov/nuccore/CP000058.1?report=graph&amp;tracks=[key:gene_model_track,Options:GeneOnly]&amp;mk=4767733:4767752|offset_6|444444,4767766:4767785|offset_39|00cc00,4767806:4767825|offset_79|444444,4767856:4767875|offset_129|444444&amp;v=4767532:4768075&amp;c=444444", "offset 39")</f>
        <v>offset 39</v>
      </c>
    </row>
    <row r="15441" customFormat="false" ht="12.8" hidden="false" customHeight="false" outlineLevel="0" collapsed="false">
      <c r="A15441" s="0" t="s">
        <v>12</v>
      </c>
      <c r="B15441" s="0" t="n">
        <v>4767805</v>
      </c>
      <c r="C15441" s="0" t="n">
        <v>4767825</v>
      </c>
      <c r="D15441" s="0" t="s">
        <v>51321</v>
      </c>
      <c r="E15441" s="0" t="s">
        <v>75</v>
      </c>
      <c r="F15441" s="0" t="s">
        <v>15</v>
      </c>
      <c r="G15441" s="0" t="s">
        <v>20</v>
      </c>
      <c r="H15441" s="0" t="n">
        <v>79</v>
      </c>
      <c r="I15441" s="0" t="s">
        <v>51328</v>
      </c>
      <c r="J15441" s="0" t="s">
        <v>51329</v>
      </c>
      <c r="K15441" s="0" t="s">
        <v>51330</v>
      </c>
      <c r="L15441" s="0" t="str">
        <f aca="false">HYPERLINK("https://www.ncbi.nlm.nih.gov/nuccore/CP000058.1?report=graph&amp;tracks=[key:gene_model_track,Options:GeneOnly]&amp;mk=4767733:4767752|offset_6|444444,4767766:4767785|offset_39|444444,4767806:4767825|offset_79|00cc00,4767856:4767875|offset_129|444444&amp;v=4767532:4768075&amp;c=444444", "offset 79")</f>
        <v>offset 79</v>
      </c>
    </row>
    <row r="15442" customFormat="false" ht="12.8" hidden="false" customHeight="false" outlineLevel="0" collapsed="false">
      <c r="A15442" s="0" t="s">
        <v>12</v>
      </c>
      <c r="B15442" s="0" t="n">
        <v>4767855</v>
      </c>
      <c r="C15442" s="0" t="n">
        <v>4767875</v>
      </c>
      <c r="D15442" s="0" t="s">
        <v>51321</v>
      </c>
      <c r="E15442" s="0" t="s">
        <v>75</v>
      </c>
      <c r="F15442" s="0" t="s">
        <v>15</v>
      </c>
      <c r="G15442" s="0" t="s">
        <v>36</v>
      </c>
      <c r="H15442" s="0" t="n">
        <v>129</v>
      </c>
      <c r="I15442" s="0" t="s">
        <v>51331</v>
      </c>
      <c r="J15442" s="0" t="s">
        <v>51332</v>
      </c>
      <c r="K15442" s="0" t="s">
        <v>51333</v>
      </c>
      <c r="L15442" s="0" t="str">
        <f aca="false">HYPERLINK("https://www.ncbi.nlm.nih.gov/nuccore/CP000058.1?report=graph&amp;tracks=[key:gene_model_track,Options:GeneOnly]&amp;mk=4767733:4767752|offset_6|444444,4767766:4767785|offset_39|444444,4767806:4767825|offset_79|444444,4767856:4767875|offset_129|00cc00&amp;v=4767532:4768075&amp;c=444444", "offset 129")</f>
        <v>offset 129</v>
      </c>
    </row>
    <row r="15443" customFormat="false" ht="12.8" hidden="false" customHeight="false" outlineLevel="0" collapsed="false">
      <c r="A15443" s="0" t="s">
        <v>12</v>
      </c>
      <c r="B15443" s="0" t="n">
        <v>4770749</v>
      </c>
      <c r="C15443" s="0" t="n">
        <v>4770769</v>
      </c>
      <c r="D15443" s="0" t="s">
        <v>51334</v>
      </c>
      <c r="E15443" s="0" t="s">
        <v>75</v>
      </c>
      <c r="F15443" s="0" t="s">
        <v>15</v>
      </c>
      <c r="G15443" s="0" t="s">
        <v>20</v>
      </c>
      <c r="H15443" s="0" t="n">
        <v>88</v>
      </c>
      <c r="I15443" s="0" t="s">
        <v>51335</v>
      </c>
      <c r="J15443" s="0" t="s">
        <v>51336</v>
      </c>
      <c r="K15443" s="0" t="s">
        <v>51337</v>
      </c>
      <c r="L15443" s="0" t="str">
        <f aca="false">HYPERLINK("https://www.ncbi.nlm.nih.gov/nuccore/CP000058.1?report=graph&amp;tracks=[key:gene_model_track,Options:GeneOnly]&amp;mk=4770750:4770769|offset_88|00cc00,4770784:4770803|offset_122|444444,4770804:4770823|offset_142|444444,4770831:4770850|offset_169|444444&amp;v=4770549:4771050&amp;c=444444", "offset 88")</f>
        <v>offset 88</v>
      </c>
    </row>
    <row r="15444" customFormat="false" ht="12.8" hidden="false" customHeight="false" outlineLevel="0" collapsed="false">
      <c r="A15444" s="0" t="s">
        <v>12</v>
      </c>
      <c r="B15444" s="0" t="n">
        <v>4770783</v>
      </c>
      <c r="C15444" s="0" t="n">
        <v>4770803</v>
      </c>
      <c r="D15444" s="0" t="s">
        <v>51334</v>
      </c>
      <c r="E15444" s="0" t="s">
        <v>75</v>
      </c>
      <c r="F15444" s="0" t="s">
        <v>15</v>
      </c>
      <c r="G15444" s="0" t="s">
        <v>20</v>
      </c>
      <c r="H15444" s="0" t="n">
        <v>122</v>
      </c>
      <c r="I15444" s="0" t="s">
        <v>51338</v>
      </c>
      <c r="J15444" s="0" t="s">
        <v>51339</v>
      </c>
      <c r="K15444" s="0" t="s">
        <v>51340</v>
      </c>
      <c r="L15444" s="0" t="str">
        <f aca="false">HYPERLINK("https://www.ncbi.nlm.nih.gov/nuccore/CP000058.1?report=graph&amp;tracks=[key:gene_model_track,Options:GeneOnly]&amp;mk=4770750:4770769|offset_88|444444,4770784:4770803|offset_122|00cc00,4770804:4770823|offset_142|444444,4770831:4770850|offset_169|444444&amp;v=4770549:4771050&amp;c=444444", "offset 122")</f>
        <v>offset 122</v>
      </c>
    </row>
    <row r="15445" customFormat="false" ht="12.8" hidden="false" customHeight="false" outlineLevel="0" collapsed="false">
      <c r="A15445" s="0" t="s">
        <v>12</v>
      </c>
      <c r="B15445" s="0" t="n">
        <v>4770803</v>
      </c>
      <c r="C15445" s="0" t="n">
        <v>4770823</v>
      </c>
      <c r="D15445" s="0" t="s">
        <v>51334</v>
      </c>
      <c r="E15445" s="0" t="s">
        <v>75</v>
      </c>
      <c r="F15445" s="0" t="s">
        <v>15</v>
      </c>
      <c r="G15445" s="0" t="s">
        <v>16</v>
      </c>
      <c r="H15445" s="0" t="n">
        <v>142</v>
      </c>
      <c r="I15445" s="0" t="s">
        <v>51341</v>
      </c>
      <c r="J15445" s="0" t="s">
        <v>51342</v>
      </c>
      <c r="K15445" s="0" t="s">
        <v>51343</v>
      </c>
      <c r="L15445" s="0" t="str">
        <f aca="false">HYPERLINK("https://www.ncbi.nlm.nih.gov/nuccore/CP000058.1?report=graph&amp;tracks=[key:gene_model_track,Options:GeneOnly]&amp;mk=4770750:4770769|offset_88|444444,4770784:4770803|offset_122|444444,4770804:4770823|offset_142|00cc00,4770831:4770850|offset_169|444444&amp;v=4770549:4771050&amp;c=444444", "offset 142")</f>
        <v>offset 142</v>
      </c>
    </row>
    <row r="15446" customFormat="false" ht="12.8" hidden="false" customHeight="false" outlineLevel="0" collapsed="false">
      <c r="A15446" s="0" t="s">
        <v>12</v>
      </c>
      <c r="B15446" s="0" t="n">
        <v>4770830</v>
      </c>
      <c r="C15446" s="0" t="n">
        <v>4770850</v>
      </c>
      <c r="D15446" s="0" t="s">
        <v>51334</v>
      </c>
      <c r="E15446" s="0" t="s">
        <v>75</v>
      </c>
      <c r="F15446" s="0" t="s">
        <v>15</v>
      </c>
      <c r="G15446" s="0" t="s">
        <v>32</v>
      </c>
      <c r="H15446" s="0" t="n">
        <v>169</v>
      </c>
      <c r="I15446" s="0" t="s">
        <v>51344</v>
      </c>
      <c r="J15446" s="0" t="s">
        <v>51345</v>
      </c>
      <c r="K15446" s="0" t="s">
        <v>51346</v>
      </c>
      <c r="L15446" s="0" t="str">
        <f aca="false">HYPERLINK("https://www.ncbi.nlm.nih.gov/nuccore/CP000058.1?report=graph&amp;tracks=[key:gene_model_track,Options:GeneOnly]&amp;mk=4770750:4770769|offset_88|444444,4770784:4770803|offset_122|444444,4770804:4770823|offset_142|444444,4770831:4770850|offset_169|00cc00&amp;v=4770549:4771050&amp;c=444444", "offset 169")</f>
        <v>offset 169</v>
      </c>
    </row>
    <row r="15447" customFormat="false" ht="12.8" hidden="false" customHeight="false" outlineLevel="0" collapsed="false">
      <c r="A15447" s="0" t="s">
        <v>12</v>
      </c>
      <c r="B15447" s="0" t="n">
        <v>4771528</v>
      </c>
      <c r="C15447" s="0" t="n">
        <v>4771548</v>
      </c>
      <c r="D15447" s="0" t="s">
        <v>51347</v>
      </c>
      <c r="E15447" s="0" t="s">
        <v>75</v>
      </c>
      <c r="F15447" s="0" t="s">
        <v>90</v>
      </c>
      <c r="G15447" s="0" t="s">
        <v>16</v>
      </c>
      <c r="H15447" s="0" t="n">
        <v>22</v>
      </c>
      <c r="I15447" s="0" t="s">
        <v>51348</v>
      </c>
      <c r="J15447" s="0" t="s">
        <v>51349</v>
      </c>
      <c r="K15447" s="0" t="s">
        <v>51350</v>
      </c>
      <c r="L15447" s="0" t="str">
        <f aca="false">HYPERLINK("https://www.ncbi.nlm.nih.gov/nuccore/CP000058.1?report=graph&amp;tracks=[key:gene_model_track,Options:GeneOnly]&amp;mk=4771529:4771548|offset_22|00cc00,4771499:4771518|offset_52|444444,4771472:4771491|offset_79|444444,4771442:4771461|offset_109|444444&amp;v=4771328:4771661&amp;c=444444", "offset 22")</f>
        <v>offset 22</v>
      </c>
    </row>
    <row r="15448" customFormat="false" ht="12.8" hidden="false" customHeight="false" outlineLevel="0" collapsed="false">
      <c r="A15448" s="0" t="s">
        <v>12</v>
      </c>
      <c r="B15448" s="0" t="n">
        <v>4771498</v>
      </c>
      <c r="C15448" s="0" t="n">
        <v>4771518</v>
      </c>
      <c r="D15448" s="0" t="s">
        <v>51347</v>
      </c>
      <c r="E15448" s="0" t="s">
        <v>75</v>
      </c>
      <c r="F15448" s="0" t="s">
        <v>90</v>
      </c>
      <c r="G15448" s="0" t="s">
        <v>32</v>
      </c>
      <c r="H15448" s="0" t="n">
        <v>52</v>
      </c>
      <c r="I15448" s="0" t="s">
        <v>51351</v>
      </c>
      <c r="J15448" s="0" t="s">
        <v>51352</v>
      </c>
      <c r="K15448" s="0" t="s">
        <v>51353</v>
      </c>
      <c r="L15448" s="0" t="str">
        <f aca="false">HYPERLINK("https://www.ncbi.nlm.nih.gov/nuccore/CP000058.1?report=graph&amp;tracks=[key:gene_model_track,Options:GeneOnly]&amp;mk=4771529:4771548|offset_22|444444,4771499:4771518|offset_52|00cc00,4771472:4771491|offset_79|444444,4771442:4771461|offset_109|444444&amp;v=4771328:4771661&amp;c=444444", "offset 52")</f>
        <v>offset 52</v>
      </c>
    </row>
    <row r="15449" customFormat="false" ht="12.8" hidden="false" customHeight="false" outlineLevel="0" collapsed="false">
      <c r="A15449" s="0" t="s">
        <v>12</v>
      </c>
      <c r="B15449" s="0" t="n">
        <v>4771471</v>
      </c>
      <c r="C15449" s="0" t="n">
        <v>4771491</v>
      </c>
      <c r="D15449" s="0" t="s">
        <v>51347</v>
      </c>
      <c r="E15449" s="0" t="s">
        <v>75</v>
      </c>
      <c r="F15449" s="0" t="s">
        <v>90</v>
      </c>
      <c r="G15449" s="0" t="s">
        <v>20</v>
      </c>
      <c r="H15449" s="0" t="n">
        <v>79</v>
      </c>
      <c r="I15449" s="0" t="s">
        <v>51354</v>
      </c>
      <c r="J15449" s="0" t="s">
        <v>51355</v>
      </c>
      <c r="K15449" s="0" t="s">
        <v>51356</v>
      </c>
      <c r="L15449" s="0" t="str">
        <f aca="false">HYPERLINK("https://www.ncbi.nlm.nih.gov/nuccore/CP000058.1?report=graph&amp;tracks=[key:gene_model_track,Options:GeneOnly]&amp;mk=4771529:4771548|offset_22|444444,4771499:4771518|offset_52|444444,4771472:4771491|offset_79|00cc00,4771442:4771461|offset_109|444444&amp;v=4771328:4771661&amp;c=444444", "offset 79")</f>
        <v>offset 79</v>
      </c>
    </row>
    <row r="15450" customFormat="false" ht="12.8" hidden="false" customHeight="false" outlineLevel="0" collapsed="false">
      <c r="A15450" s="0" t="s">
        <v>12</v>
      </c>
      <c r="B15450" s="0" t="n">
        <v>4771441</v>
      </c>
      <c r="C15450" s="0" t="n">
        <v>4771461</v>
      </c>
      <c r="D15450" s="0" t="s">
        <v>51347</v>
      </c>
      <c r="E15450" s="0" t="s">
        <v>75</v>
      </c>
      <c r="F15450" s="0" t="s">
        <v>90</v>
      </c>
      <c r="G15450" s="0" t="s">
        <v>32</v>
      </c>
      <c r="H15450" s="0" t="n">
        <v>109</v>
      </c>
      <c r="I15450" s="0" t="s">
        <v>51357</v>
      </c>
      <c r="J15450" s="0" t="s">
        <v>51358</v>
      </c>
      <c r="K15450" s="0" t="s">
        <v>51359</v>
      </c>
      <c r="L15450" s="0" t="str">
        <f aca="false">HYPERLINK("https://www.ncbi.nlm.nih.gov/nuccore/CP000058.1?report=graph&amp;tracks=[key:gene_model_track,Options:GeneOnly]&amp;mk=4771529:4771548|offset_22|444444,4771499:4771518|offset_52|444444,4771472:4771491|offset_79|444444,4771442:4771461|offset_109|00cc00&amp;v=4771328:4771661&amp;c=444444", "offset 109")</f>
        <v>offset 109</v>
      </c>
    </row>
    <row r="15451" customFormat="false" ht="12.8" hidden="false" customHeight="false" outlineLevel="0" collapsed="false">
      <c r="A15451" s="0" t="s">
        <v>12</v>
      </c>
      <c r="B15451" s="0" t="n">
        <v>4773943</v>
      </c>
      <c r="C15451" s="0" t="n">
        <v>4773963</v>
      </c>
      <c r="D15451" s="0" t="s">
        <v>51360</v>
      </c>
      <c r="E15451" s="0" t="s">
        <v>51361</v>
      </c>
      <c r="F15451" s="0" t="s">
        <v>90</v>
      </c>
      <c r="G15451" s="0" t="s">
        <v>16</v>
      </c>
      <c r="H15451" s="0" t="n">
        <v>1</v>
      </c>
      <c r="I15451" s="0" t="s">
        <v>51362</v>
      </c>
      <c r="J15451" s="0" t="s">
        <v>51363</v>
      </c>
      <c r="K15451" s="0" t="s">
        <v>51364</v>
      </c>
      <c r="L15451" s="0" t="str">
        <f aca="false">HYPERLINK("https://www.ncbi.nlm.nih.gov/nuccore/CP000058.1?report=graph&amp;tracks=[key:gene_model_track,Options:GeneOnly]&amp;mk=4773944:4773963|offset_1|00cc00,4773902:4773921|offset_43|444444,4773875:4773894|offset_70|444444,4773845:4773864|offset_100|444444&amp;v=4773743:4774064&amp;c=444444", "offset 1")</f>
        <v>offset 1</v>
      </c>
    </row>
    <row r="15452" customFormat="false" ht="12.8" hidden="false" customHeight="false" outlineLevel="0" collapsed="false">
      <c r="A15452" s="0" t="s">
        <v>12</v>
      </c>
      <c r="B15452" s="0" t="n">
        <v>4773901</v>
      </c>
      <c r="C15452" s="0" t="n">
        <v>4773921</v>
      </c>
      <c r="D15452" s="0" t="s">
        <v>51360</v>
      </c>
      <c r="E15452" s="0" t="s">
        <v>51361</v>
      </c>
      <c r="F15452" s="0" t="s">
        <v>90</v>
      </c>
      <c r="G15452" s="0" t="s">
        <v>16</v>
      </c>
      <c r="H15452" s="0" t="n">
        <v>43</v>
      </c>
      <c r="I15452" s="0" t="s">
        <v>51365</v>
      </c>
      <c r="J15452" s="0" t="s">
        <v>51366</v>
      </c>
      <c r="K15452" s="0" t="s">
        <v>51367</v>
      </c>
      <c r="L15452" s="0" t="str">
        <f aca="false">HYPERLINK("https://www.ncbi.nlm.nih.gov/nuccore/CP000058.1?report=graph&amp;tracks=[key:gene_model_track,Options:GeneOnly]&amp;mk=4773944:4773963|offset_1|444444,4773902:4773921|offset_43|00cc00,4773875:4773894|offset_70|444444,4773845:4773864|offset_100|444444&amp;v=4773743:4774064&amp;c=444444", "offset 43")</f>
        <v>offset 43</v>
      </c>
    </row>
    <row r="15453" customFormat="false" ht="12.8" hidden="false" customHeight="false" outlineLevel="0" collapsed="false">
      <c r="A15453" s="0" t="s">
        <v>12</v>
      </c>
      <c r="B15453" s="0" t="n">
        <v>4773874</v>
      </c>
      <c r="C15453" s="0" t="n">
        <v>4773894</v>
      </c>
      <c r="D15453" s="0" t="s">
        <v>51360</v>
      </c>
      <c r="E15453" s="0" t="s">
        <v>51361</v>
      </c>
      <c r="F15453" s="0" t="s">
        <v>90</v>
      </c>
      <c r="G15453" s="0" t="s">
        <v>36</v>
      </c>
      <c r="H15453" s="0" t="n">
        <v>70</v>
      </c>
      <c r="I15453" s="0" t="s">
        <v>51368</v>
      </c>
      <c r="J15453" s="0" t="s">
        <v>51369</v>
      </c>
      <c r="K15453" s="0" t="s">
        <v>51370</v>
      </c>
      <c r="L15453" s="0" t="str">
        <f aca="false">HYPERLINK("https://www.ncbi.nlm.nih.gov/nuccore/CP000058.1?report=graph&amp;tracks=[key:gene_model_track,Options:GeneOnly]&amp;mk=4773944:4773963|offset_1|444444,4773902:4773921|offset_43|444444,4773875:4773894|offset_70|00cc00,4773845:4773864|offset_100|444444&amp;v=4773743:4774064&amp;c=444444", "offset 70")</f>
        <v>offset 70</v>
      </c>
    </row>
    <row r="15454" customFormat="false" ht="12.8" hidden="false" customHeight="false" outlineLevel="0" collapsed="false">
      <c r="A15454" s="0" t="s">
        <v>12</v>
      </c>
      <c r="B15454" s="0" t="n">
        <v>4773844</v>
      </c>
      <c r="C15454" s="0" t="n">
        <v>4773864</v>
      </c>
      <c r="D15454" s="0" t="s">
        <v>51360</v>
      </c>
      <c r="E15454" s="0" t="s">
        <v>51361</v>
      </c>
      <c r="F15454" s="0" t="s">
        <v>90</v>
      </c>
      <c r="G15454" s="0" t="s">
        <v>16</v>
      </c>
      <c r="H15454" s="0" t="n">
        <v>100</v>
      </c>
      <c r="I15454" s="0" t="s">
        <v>51371</v>
      </c>
      <c r="J15454" s="0" t="s">
        <v>51372</v>
      </c>
      <c r="K15454" s="0" t="s">
        <v>51373</v>
      </c>
      <c r="L15454" s="0" t="str">
        <f aca="false">HYPERLINK("https://www.ncbi.nlm.nih.gov/nuccore/CP000058.1?report=graph&amp;tracks=[key:gene_model_track,Options:GeneOnly]&amp;mk=4773944:4773963|offset_1|444444,4773902:4773921|offset_43|444444,4773875:4773894|offset_70|444444,4773845:4773864|offset_100|00cc00&amp;v=4773743:4774064&amp;c=444444", "offset 100")</f>
        <v>offset 100</v>
      </c>
    </row>
    <row r="15455" customFormat="false" ht="12.8" hidden="false" customHeight="false" outlineLevel="0" collapsed="false">
      <c r="A15455" s="0" t="s">
        <v>12</v>
      </c>
      <c r="B15455" s="0" t="n">
        <v>4774349</v>
      </c>
      <c r="C15455" s="0" t="n">
        <v>4774369</v>
      </c>
      <c r="D15455" s="0" t="s">
        <v>51374</v>
      </c>
      <c r="E15455" s="0" t="s">
        <v>51375</v>
      </c>
      <c r="F15455" s="0" t="s">
        <v>90</v>
      </c>
      <c r="G15455" s="0" t="s">
        <v>16</v>
      </c>
      <c r="H15455" s="0" t="n">
        <v>40</v>
      </c>
      <c r="I15455" s="0" t="s">
        <v>51376</v>
      </c>
      <c r="J15455" s="0" t="s">
        <v>51377</v>
      </c>
      <c r="K15455" s="0" t="s">
        <v>51378</v>
      </c>
      <c r="L15455" s="0" t="str">
        <f aca="false">HYPERLINK("https://www.ncbi.nlm.nih.gov/nuccore/CP000058.1?report=graph&amp;tracks=[key:gene_model_track,Options:GeneOnly]&amp;mk=4774350:4774369|offset_40|00cc00,4774315:4774334|offset_75|444444,4774290:4774309|offset_100|444444,4774265:4774284|offset_125|444444&amp;v=4774149:4774484&amp;c=444444", "offset 40")</f>
        <v>offset 40</v>
      </c>
    </row>
    <row r="15456" customFormat="false" ht="12.8" hidden="false" customHeight="false" outlineLevel="0" collapsed="false">
      <c r="A15456" s="0" t="s">
        <v>12</v>
      </c>
      <c r="B15456" s="0" t="n">
        <v>4774314</v>
      </c>
      <c r="C15456" s="0" t="n">
        <v>4774334</v>
      </c>
      <c r="D15456" s="0" t="s">
        <v>51374</v>
      </c>
      <c r="E15456" s="0" t="s">
        <v>51375</v>
      </c>
      <c r="F15456" s="0" t="s">
        <v>90</v>
      </c>
      <c r="G15456" s="0" t="s">
        <v>32</v>
      </c>
      <c r="H15456" s="0" t="n">
        <v>75</v>
      </c>
      <c r="I15456" s="0" t="s">
        <v>51379</v>
      </c>
      <c r="J15456" s="0" t="s">
        <v>51380</v>
      </c>
      <c r="K15456" s="0" t="s">
        <v>51381</v>
      </c>
      <c r="L15456" s="0" t="str">
        <f aca="false">HYPERLINK("https://www.ncbi.nlm.nih.gov/nuccore/CP000058.1?report=graph&amp;tracks=[key:gene_model_track,Options:GeneOnly]&amp;mk=4774350:4774369|offset_40|444444,4774315:4774334|offset_75|00cc00,4774290:4774309|offset_100|444444,4774265:4774284|offset_125|444444&amp;v=4774149:4774484&amp;c=444444", "offset 75")</f>
        <v>offset 75</v>
      </c>
    </row>
    <row r="15457" customFormat="false" ht="12.8" hidden="false" customHeight="false" outlineLevel="0" collapsed="false">
      <c r="A15457" s="0" t="s">
        <v>12</v>
      </c>
      <c r="B15457" s="0" t="n">
        <v>4774289</v>
      </c>
      <c r="C15457" s="0" t="n">
        <v>4774309</v>
      </c>
      <c r="D15457" s="0" t="s">
        <v>51374</v>
      </c>
      <c r="E15457" s="0" t="s">
        <v>51375</v>
      </c>
      <c r="F15457" s="0" t="s">
        <v>90</v>
      </c>
      <c r="G15457" s="0" t="s">
        <v>16</v>
      </c>
      <c r="H15457" s="0" t="n">
        <v>100</v>
      </c>
      <c r="I15457" s="0" t="s">
        <v>51382</v>
      </c>
      <c r="J15457" s="0" t="s">
        <v>51383</v>
      </c>
      <c r="K15457" s="0" t="s">
        <v>51384</v>
      </c>
      <c r="L15457" s="0" t="str">
        <f aca="false">HYPERLINK("https://www.ncbi.nlm.nih.gov/nuccore/CP000058.1?report=graph&amp;tracks=[key:gene_model_track,Options:GeneOnly]&amp;mk=4774350:4774369|offset_40|444444,4774315:4774334|offset_75|444444,4774290:4774309|offset_100|00cc00,4774265:4774284|offset_125|444444&amp;v=4774149:4774484&amp;c=444444", "offset 100")</f>
        <v>offset 100</v>
      </c>
    </row>
    <row r="15458" customFormat="false" ht="12.8" hidden="false" customHeight="false" outlineLevel="0" collapsed="false">
      <c r="A15458" s="0" t="s">
        <v>12</v>
      </c>
      <c r="B15458" s="0" t="n">
        <v>4774264</v>
      </c>
      <c r="C15458" s="0" t="n">
        <v>4774284</v>
      </c>
      <c r="D15458" s="0" t="s">
        <v>51374</v>
      </c>
      <c r="E15458" s="0" t="s">
        <v>51375</v>
      </c>
      <c r="F15458" s="0" t="s">
        <v>90</v>
      </c>
      <c r="G15458" s="0" t="s">
        <v>32</v>
      </c>
      <c r="H15458" s="0" t="n">
        <v>125</v>
      </c>
      <c r="I15458" s="0" t="s">
        <v>51385</v>
      </c>
      <c r="J15458" s="0" t="s">
        <v>51386</v>
      </c>
      <c r="K15458" s="0" t="s">
        <v>51387</v>
      </c>
      <c r="L15458" s="0" t="str">
        <f aca="false">HYPERLINK("https://www.ncbi.nlm.nih.gov/nuccore/CP000058.1?report=graph&amp;tracks=[key:gene_model_track,Options:GeneOnly]&amp;mk=4774350:4774369|offset_40|444444,4774315:4774334|offset_75|444444,4774290:4774309|offset_100|444444,4774265:4774284|offset_125|00cc00&amp;v=4774149:4774484&amp;c=444444", "offset 125")</f>
        <v>offset 125</v>
      </c>
    </row>
    <row r="15459" customFormat="false" ht="12.8" hidden="false" customHeight="false" outlineLevel="0" collapsed="false">
      <c r="A15459" s="0" t="s">
        <v>12</v>
      </c>
      <c r="B15459" s="0" t="n">
        <v>4775440</v>
      </c>
      <c r="C15459" s="0" t="n">
        <v>4775460</v>
      </c>
      <c r="D15459" s="0" t="s">
        <v>51388</v>
      </c>
      <c r="E15459" s="0" t="s">
        <v>51389</v>
      </c>
      <c r="F15459" s="0" t="s">
        <v>90</v>
      </c>
      <c r="G15459" s="0" t="s">
        <v>16</v>
      </c>
      <c r="H15459" s="0" t="n">
        <v>26</v>
      </c>
      <c r="I15459" s="0" t="s">
        <v>51390</v>
      </c>
      <c r="J15459" s="0" t="s">
        <v>51391</v>
      </c>
      <c r="K15459" s="0" t="s">
        <v>51392</v>
      </c>
      <c r="L15459" s="0" t="str">
        <f aca="false">HYPERLINK("https://www.ncbi.nlm.nih.gov/nuccore/CP000058.1?report=graph&amp;tracks=[key:gene_model_track,Options:GeneOnly]&amp;mk=4775441:4775460|offset_26|00cc00,4775420:4775439|offset_47|444444,4775391:4775410|offset_76|444444,4775352:4775371|offset_115|444444&amp;v=4775240:4775571&amp;c=444444", "offset 26")</f>
        <v>offset 26</v>
      </c>
    </row>
    <row r="15460" customFormat="false" ht="12.8" hidden="false" customHeight="false" outlineLevel="0" collapsed="false">
      <c r="A15460" s="0" t="s">
        <v>12</v>
      </c>
      <c r="B15460" s="0" t="n">
        <v>4775419</v>
      </c>
      <c r="C15460" s="0" t="n">
        <v>4775439</v>
      </c>
      <c r="D15460" s="0" t="s">
        <v>51388</v>
      </c>
      <c r="E15460" s="0" t="s">
        <v>51389</v>
      </c>
      <c r="F15460" s="0" t="s">
        <v>90</v>
      </c>
      <c r="G15460" s="0" t="s">
        <v>20</v>
      </c>
      <c r="H15460" s="0" t="n">
        <v>47</v>
      </c>
      <c r="I15460" s="0" t="s">
        <v>51393</v>
      </c>
      <c r="J15460" s="0" t="s">
        <v>51394</v>
      </c>
      <c r="K15460" s="0" t="s">
        <v>51395</v>
      </c>
      <c r="L15460" s="0" t="str">
        <f aca="false">HYPERLINK("https://www.ncbi.nlm.nih.gov/nuccore/CP000058.1?report=graph&amp;tracks=[key:gene_model_track,Options:GeneOnly]&amp;mk=4775441:4775460|offset_26|444444,4775420:4775439|offset_47|00cc00,4775391:4775410|offset_76|444444,4775352:4775371|offset_115|444444&amp;v=4775240:4775571&amp;c=444444", "offset 47")</f>
        <v>offset 47</v>
      </c>
    </row>
    <row r="15461" customFormat="false" ht="12.8" hidden="false" customHeight="false" outlineLevel="0" collapsed="false">
      <c r="A15461" s="0" t="s">
        <v>12</v>
      </c>
      <c r="B15461" s="0" t="n">
        <v>4775390</v>
      </c>
      <c r="C15461" s="0" t="n">
        <v>4775410</v>
      </c>
      <c r="D15461" s="0" t="s">
        <v>51388</v>
      </c>
      <c r="E15461" s="0" t="s">
        <v>51389</v>
      </c>
      <c r="F15461" s="0" t="s">
        <v>90</v>
      </c>
      <c r="G15461" s="0" t="s">
        <v>32</v>
      </c>
      <c r="H15461" s="0" t="n">
        <v>76</v>
      </c>
      <c r="I15461" s="0" t="s">
        <v>51396</v>
      </c>
      <c r="J15461" s="0" t="s">
        <v>51397</v>
      </c>
      <c r="K15461" s="0" t="s">
        <v>51398</v>
      </c>
      <c r="L15461" s="0" t="str">
        <f aca="false">HYPERLINK("https://www.ncbi.nlm.nih.gov/nuccore/CP000058.1?report=graph&amp;tracks=[key:gene_model_track,Options:GeneOnly]&amp;mk=4775441:4775460|offset_26|444444,4775420:4775439|offset_47|444444,4775391:4775410|offset_76|00cc00,4775352:4775371|offset_115|444444&amp;v=4775240:4775571&amp;c=444444", "offset 76")</f>
        <v>offset 76</v>
      </c>
    </row>
    <row r="15462" customFormat="false" ht="12.8" hidden="false" customHeight="false" outlineLevel="0" collapsed="false">
      <c r="A15462" s="0" t="s">
        <v>12</v>
      </c>
      <c r="B15462" s="0" t="n">
        <v>4775351</v>
      </c>
      <c r="C15462" s="0" t="n">
        <v>4775371</v>
      </c>
      <c r="D15462" s="0" t="s">
        <v>51388</v>
      </c>
      <c r="E15462" s="0" t="s">
        <v>51389</v>
      </c>
      <c r="F15462" s="0" t="s">
        <v>90</v>
      </c>
      <c r="G15462" s="0" t="s">
        <v>16</v>
      </c>
      <c r="H15462" s="0" t="n">
        <v>115</v>
      </c>
      <c r="I15462" s="0" t="s">
        <v>51399</v>
      </c>
      <c r="J15462" s="0" t="s">
        <v>51400</v>
      </c>
      <c r="K15462" s="0" t="s">
        <v>51401</v>
      </c>
      <c r="L15462" s="0" t="str">
        <f aca="false">HYPERLINK("https://www.ncbi.nlm.nih.gov/nuccore/CP000058.1?report=graph&amp;tracks=[key:gene_model_track,Options:GeneOnly]&amp;mk=4775441:4775460|offset_26|444444,4775420:4775439|offset_47|444444,4775391:4775410|offset_76|444444,4775352:4775371|offset_115|00cc00&amp;v=4775240:4775571&amp;c=444444", "offset 115")</f>
        <v>offset 115</v>
      </c>
    </row>
    <row r="15463" customFormat="false" ht="12.8" hidden="false" customHeight="false" outlineLevel="0" collapsed="false">
      <c r="A15463" s="0" t="s">
        <v>12</v>
      </c>
      <c r="B15463" s="0" t="n">
        <v>4775866</v>
      </c>
      <c r="C15463" s="0" t="n">
        <v>4775886</v>
      </c>
      <c r="D15463" s="0" t="s">
        <v>51402</v>
      </c>
      <c r="E15463" s="0" t="s">
        <v>51403</v>
      </c>
      <c r="F15463" s="0" t="s">
        <v>90</v>
      </c>
      <c r="G15463" s="0" t="s">
        <v>16</v>
      </c>
      <c r="H15463" s="0" t="n">
        <v>20</v>
      </c>
      <c r="I15463" s="0" t="s">
        <v>51404</v>
      </c>
      <c r="J15463" s="0" t="s">
        <v>51405</v>
      </c>
      <c r="K15463" s="0" t="s">
        <v>51406</v>
      </c>
      <c r="L15463" s="0" t="str">
        <f aca="false">HYPERLINK("https://www.ncbi.nlm.nih.gov/nuccore/CP000058.1?report=graph&amp;tracks=[key:gene_model_track,Options:GeneOnly]&amp;mk=4775867:4775886|offset_20|00cc00,4775816:4775835|offset_71|444444,4775772:4775791|offset_115|444444,4775724:4775743|offset_163|444444&amp;v=4775666:4775943&amp;c=444444", "offset 20")</f>
        <v>offset 20</v>
      </c>
    </row>
    <row r="15464" customFormat="false" ht="12.8" hidden="false" customHeight="false" outlineLevel="0" collapsed="false">
      <c r="A15464" s="0" t="s">
        <v>12</v>
      </c>
      <c r="B15464" s="0" t="n">
        <v>4775815</v>
      </c>
      <c r="C15464" s="0" t="n">
        <v>4775835</v>
      </c>
      <c r="D15464" s="0" t="s">
        <v>51402</v>
      </c>
      <c r="E15464" s="0" t="s">
        <v>51403</v>
      </c>
      <c r="F15464" s="0" t="s">
        <v>90</v>
      </c>
      <c r="G15464" s="0" t="s">
        <v>16</v>
      </c>
      <c r="H15464" s="0" t="n">
        <v>71</v>
      </c>
      <c r="I15464" s="0" t="s">
        <v>51407</v>
      </c>
      <c r="J15464" s="0" t="s">
        <v>51408</v>
      </c>
      <c r="K15464" s="0" t="s">
        <v>51409</v>
      </c>
      <c r="L15464" s="0" t="str">
        <f aca="false">HYPERLINK("https://www.ncbi.nlm.nih.gov/nuccore/CP000058.1?report=graph&amp;tracks=[key:gene_model_track,Options:GeneOnly]&amp;mk=4775867:4775886|offset_20|444444,4775816:4775835|offset_71|00cc00,4775772:4775791|offset_115|444444,4775724:4775743|offset_163|444444&amp;v=4775666:4775943&amp;c=444444", "offset 71")</f>
        <v>offset 71</v>
      </c>
    </row>
    <row r="15465" customFormat="false" ht="12.8" hidden="false" customHeight="false" outlineLevel="0" collapsed="false">
      <c r="A15465" s="0" t="s">
        <v>12</v>
      </c>
      <c r="B15465" s="0" t="n">
        <v>4775771</v>
      </c>
      <c r="C15465" s="0" t="n">
        <v>4775791</v>
      </c>
      <c r="D15465" s="0" t="s">
        <v>51402</v>
      </c>
      <c r="E15465" s="0" t="s">
        <v>51403</v>
      </c>
      <c r="F15465" s="0" t="s">
        <v>90</v>
      </c>
      <c r="G15465" s="0" t="s">
        <v>16</v>
      </c>
      <c r="H15465" s="0" t="n">
        <v>115</v>
      </c>
      <c r="I15465" s="0" t="s">
        <v>51410</v>
      </c>
      <c r="J15465" s="0" t="s">
        <v>51411</v>
      </c>
      <c r="K15465" s="0" t="s">
        <v>51412</v>
      </c>
      <c r="L15465" s="0" t="str">
        <f aca="false">HYPERLINK("https://www.ncbi.nlm.nih.gov/nuccore/CP000058.1?report=graph&amp;tracks=[key:gene_model_track,Options:GeneOnly]&amp;mk=4775867:4775886|offset_20|444444,4775816:4775835|offset_71|444444,4775772:4775791|offset_115|00cc00,4775724:4775743|offset_163|444444&amp;v=4775666:4775943&amp;c=444444", "offset 115")</f>
        <v>offset 115</v>
      </c>
    </row>
    <row r="15466" customFormat="false" ht="12.8" hidden="false" customHeight="false" outlineLevel="0" collapsed="false">
      <c r="A15466" s="0" t="s">
        <v>12</v>
      </c>
      <c r="B15466" s="0" t="n">
        <v>4775723</v>
      </c>
      <c r="C15466" s="0" t="n">
        <v>4775743</v>
      </c>
      <c r="D15466" s="0" t="s">
        <v>51402</v>
      </c>
      <c r="E15466" s="0" t="s">
        <v>51403</v>
      </c>
      <c r="F15466" s="0" t="s">
        <v>90</v>
      </c>
      <c r="G15466" s="0" t="s">
        <v>16</v>
      </c>
      <c r="H15466" s="0" t="n">
        <v>163</v>
      </c>
      <c r="I15466" s="0" t="s">
        <v>51413</v>
      </c>
      <c r="J15466" s="0" t="s">
        <v>51414</v>
      </c>
      <c r="K15466" s="0" t="s">
        <v>51415</v>
      </c>
      <c r="L15466" s="0" t="str">
        <f aca="false">HYPERLINK("https://www.ncbi.nlm.nih.gov/nuccore/CP000058.1?report=graph&amp;tracks=[key:gene_model_track,Options:GeneOnly]&amp;mk=4775867:4775886|offset_20|444444,4775816:4775835|offset_71|444444,4775772:4775791|offset_115|444444,4775724:4775743|offset_163|00cc00&amp;v=4775666:4775943&amp;c=444444", "offset 163")</f>
        <v>offset 163</v>
      </c>
    </row>
    <row r="15467" customFormat="false" ht="12.8" hidden="false" customHeight="false" outlineLevel="0" collapsed="false">
      <c r="A15467" s="0" t="s">
        <v>12</v>
      </c>
      <c r="B15467" s="0" t="n">
        <v>4778546</v>
      </c>
      <c r="C15467" s="0" t="n">
        <v>4778566</v>
      </c>
      <c r="D15467" s="0" t="s">
        <v>51416</v>
      </c>
      <c r="E15467" s="0" t="s">
        <v>51417</v>
      </c>
      <c r="F15467" s="0" t="s">
        <v>90</v>
      </c>
      <c r="G15467" s="0" t="s">
        <v>32</v>
      </c>
      <c r="H15467" s="0" t="n">
        <v>31</v>
      </c>
      <c r="I15467" s="0" t="s">
        <v>51418</v>
      </c>
      <c r="J15467" s="0" t="s">
        <v>51419</v>
      </c>
      <c r="K15467" s="0" t="s">
        <v>51420</v>
      </c>
      <c r="L15467" s="0" t="str">
        <f aca="false">HYPERLINK("https://www.ncbi.nlm.nih.gov/nuccore/CP000058.1?report=graph&amp;tracks=[key:gene_model_track,Options:GeneOnly]&amp;mk=4778547:4778566|offset_31|00cc00,4778519:4778538|offset_59|444444,4778488:4778507|offset_90|444444,4778460:4778479|offset_118|444444&amp;v=4778346:4778679&amp;c=444444", "offset 31")</f>
        <v>offset 31</v>
      </c>
    </row>
    <row r="15468" customFormat="false" ht="12.8" hidden="false" customHeight="false" outlineLevel="0" collapsed="false">
      <c r="A15468" s="0" t="s">
        <v>12</v>
      </c>
      <c r="B15468" s="0" t="n">
        <v>4778518</v>
      </c>
      <c r="C15468" s="0" t="n">
        <v>4778538</v>
      </c>
      <c r="D15468" s="0" t="s">
        <v>51416</v>
      </c>
      <c r="E15468" s="0" t="s">
        <v>51417</v>
      </c>
      <c r="F15468" s="0" t="s">
        <v>90</v>
      </c>
      <c r="G15468" s="0" t="s">
        <v>20</v>
      </c>
      <c r="H15468" s="0" t="n">
        <v>59</v>
      </c>
      <c r="I15468" s="0" t="s">
        <v>51421</v>
      </c>
      <c r="J15468" s="0" t="s">
        <v>51422</v>
      </c>
      <c r="K15468" s="0" t="s">
        <v>51423</v>
      </c>
      <c r="L15468" s="0" t="str">
        <f aca="false">HYPERLINK("https://www.ncbi.nlm.nih.gov/nuccore/CP000058.1?report=graph&amp;tracks=[key:gene_model_track,Options:GeneOnly]&amp;mk=4778547:4778566|offset_31|444444,4778519:4778538|offset_59|00cc00,4778488:4778507|offset_90|444444,4778460:4778479|offset_118|444444&amp;v=4778346:4778679&amp;c=444444", "offset 59")</f>
        <v>offset 59</v>
      </c>
    </row>
    <row r="15469" customFormat="false" ht="12.8" hidden="false" customHeight="false" outlineLevel="0" collapsed="false">
      <c r="A15469" s="0" t="s">
        <v>12</v>
      </c>
      <c r="B15469" s="0" t="n">
        <v>4778487</v>
      </c>
      <c r="C15469" s="0" t="n">
        <v>4778507</v>
      </c>
      <c r="D15469" s="0" t="s">
        <v>51416</v>
      </c>
      <c r="E15469" s="0" t="s">
        <v>51417</v>
      </c>
      <c r="F15469" s="0" t="s">
        <v>90</v>
      </c>
      <c r="G15469" s="0" t="s">
        <v>16</v>
      </c>
      <c r="H15469" s="0" t="n">
        <v>90</v>
      </c>
      <c r="I15469" s="0" t="s">
        <v>51424</v>
      </c>
      <c r="J15469" s="0" t="s">
        <v>51425</v>
      </c>
      <c r="K15469" s="0" t="s">
        <v>51426</v>
      </c>
      <c r="L15469" s="0" t="str">
        <f aca="false">HYPERLINK("https://www.ncbi.nlm.nih.gov/nuccore/CP000058.1?report=graph&amp;tracks=[key:gene_model_track,Options:GeneOnly]&amp;mk=4778547:4778566|offset_31|444444,4778519:4778538|offset_59|444444,4778488:4778507|offset_90|00cc00,4778460:4778479|offset_118|444444&amp;v=4778346:4778679&amp;c=444444", "offset 90")</f>
        <v>offset 90</v>
      </c>
    </row>
    <row r="15470" customFormat="false" ht="12.8" hidden="false" customHeight="false" outlineLevel="0" collapsed="false">
      <c r="A15470" s="0" t="s">
        <v>12</v>
      </c>
      <c r="B15470" s="0" t="n">
        <v>4778459</v>
      </c>
      <c r="C15470" s="0" t="n">
        <v>4778479</v>
      </c>
      <c r="D15470" s="0" t="s">
        <v>51416</v>
      </c>
      <c r="E15470" s="0" t="s">
        <v>51417</v>
      </c>
      <c r="F15470" s="0" t="s">
        <v>90</v>
      </c>
      <c r="G15470" s="0" t="s">
        <v>16</v>
      </c>
      <c r="H15470" s="0" t="n">
        <v>118</v>
      </c>
      <c r="I15470" s="0" t="s">
        <v>51427</v>
      </c>
      <c r="J15470" s="0" t="s">
        <v>51428</v>
      </c>
      <c r="K15470" s="0" t="s">
        <v>51429</v>
      </c>
      <c r="L15470" s="0" t="str">
        <f aca="false">HYPERLINK("https://www.ncbi.nlm.nih.gov/nuccore/CP000058.1?report=graph&amp;tracks=[key:gene_model_track,Options:GeneOnly]&amp;mk=4778547:4778566|offset_31|444444,4778519:4778538|offset_59|444444,4778488:4778507|offset_90|444444,4778460:4778479|offset_118|00cc00&amp;v=4778346:4778679&amp;c=444444", "offset 118")</f>
        <v>offset 118</v>
      </c>
    </row>
    <row r="15471" customFormat="false" ht="12.8" hidden="false" customHeight="false" outlineLevel="0" collapsed="false">
      <c r="A15471" s="0" t="s">
        <v>12</v>
      </c>
      <c r="B15471" s="0" t="n">
        <v>4780046</v>
      </c>
      <c r="C15471" s="0" t="n">
        <v>4780066</v>
      </c>
      <c r="D15471" s="0" t="s">
        <v>51430</v>
      </c>
      <c r="E15471" s="0" t="s">
        <v>51431</v>
      </c>
      <c r="F15471" s="0" t="s">
        <v>90</v>
      </c>
      <c r="G15471" s="0" t="s">
        <v>32</v>
      </c>
      <c r="H15471" s="0" t="n">
        <v>40</v>
      </c>
      <c r="I15471" s="0" t="s">
        <v>51432</v>
      </c>
      <c r="J15471" s="0" t="s">
        <v>51433</v>
      </c>
      <c r="K15471" s="0" t="s">
        <v>51434</v>
      </c>
      <c r="L15471" s="0" t="str">
        <f aca="false">HYPERLINK("https://www.ncbi.nlm.nih.gov/nuccore/CP000058.1?report=graph&amp;tracks=[key:gene_model_track,Options:GeneOnly]&amp;mk=4780047:4780066|offset_40|00cc00,4779990:4780009|offset_97|444444,4779932:4779951|offset_155|444444,4779908:4779927|offset_179|444444&amp;v=4779846:4780127&amp;c=444444", "offset 40")</f>
        <v>offset 40</v>
      </c>
    </row>
    <row r="15472" customFormat="false" ht="12.8" hidden="false" customHeight="false" outlineLevel="0" collapsed="false">
      <c r="A15472" s="0" t="s">
        <v>12</v>
      </c>
      <c r="B15472" s="0" t="n">
        <v>4779989</v>
      </c>
      <c r="C15472" s="0" t="n">
        <v>4780009</v>
      </c>
      <c r="D15472" s="0" t="s">
        <v>51430</v>
      </c>
      <c r="E15472" s="0" t="s">
        <v>51431</v>
      </c>
      <c r="F15472" s="0" t="s">
        <v>90</v>
      </c>
      <c r="G15472" s="0" t="s">
        <v>32</v>
      </c>
      <c r="H15472" s="0" t="n">
        <v>97</v>
      </c>
      <c r="I15472" s="0" t="s">
        <v>51435</v>
      </c>
      <c r="J15472" s="0" t="s">
        <v>51436</v>
      </c>
      <c r="K15472" s="0" t="s">
        <v>51437</v>
      </c>
      <c r="L15472" s="0" t="str">
        <f aca="false">HYPERLINK("https://www.ncbi.nlm.nih.gov/nuccore/CP000058.1?report=graph&amp;tracks=[key:gene_model_track,Options:GeneOnly]&amp;mk=4780047:4780066|offset_40|444444,4779990:4780009|offset_97|00cc00,4779932:4779951|offset_155|444444,4779908:4779927|offset_179|444444&amp;v=4779846:4780127&amp;c=444444", "offset 97")</f>
        <v>offset 97</v>
      </c>
    </row>
    <row r="15473" customFormat="false" ht="12.8" hidden="false" customHeight="false" outlineLevel="0" collapsed="false">
      <c r="A15473" s="0" t="s">
        <v>12</v>
      </c>
      <c r="B15473" s="0" t="n">
        <v>4779931</v>
      </c>
      <c r="C15473" s="0" t="n">
        <v>4779951</v>
      </c>
      <c r="D15473" s="0" t="s">
        <v>51430</v>
      </c>
      <c r="E15473" s="0" t="s">
        <v>51431</v>
      </c>
      <c r="F15473" s="0" t="s">
        <v>90</v>
      </c>
      <c r="G15473" s="0" t="s">
        <v>32</v>
      </c>
      <c r="H15473" s="0" t="n">
        <v>155</v>
      </c>
      <c r="I15473" s="0" t="s">
        <v>51438</v>
      </c>
      <c r="J15473" s="0" t="s">
        <v>51439</v>
      </c>
      <c r="K15473" s="0" t="s">
        <v>51440</v>
      </c>
      <c r="L15473" s="0" t="str">
        <f aca="false">HYPERLINK("https://www.ncbi.nlm.nih.gov/nuccore/CP000058.1?report=graph&amp;tracks=[key:gene_model_track,Options:GeneOnly]&amp;mk=4780047:4780066|offset_40|444444,4779990:4780009|offset_97|444444,4779932:4779951|offset_155|00cc00,4779908:4779927|offset_179|444444&amp;v=4779846:4780127&amp;c=444444", "offset 155")</f>
        <v>offset 155</v>
      </c>
    </row>
    <row r="15474" customFormat="false" ht="12.8" hidden="false" customHeight="false" outlineLevel="0" collapsed="false">
      <c r="A15474" s="0" t="s">
        <v>12</v>
      </c>
      <c r="B15474" s="0" t="n">
        <v>4779907</v>
      </c>
      <c r="C15474" s="0" t="n">
        <v>4779927</v>
      </c>
      <c r="D15474" s="0" t="s">
        <v>51430</v>
      </c>
      <c r="E15474" s="0" t="s">
        <v>51431</v>
      </c>
      <c r="F15474" s="0" t="s">
        <v>90</v>
      </c>
      <c r="G15474" s="0" t="s">
        <v>16</v>
      </c>
      <c r="H15474" s="0" t="n">
        <v>179</v>
      </c>
      <c r="I15474" s="0" t="s">
        <v>51441</v>
      </c>
      <c r="J15474" s="0" t="s">
        <v>51442</v>
      </c>
      <c r="K15474" s="0" t="s">
        <v>51443</v>
      </c>
      <c r="L15474" s="0" t="str">
        <f aca="false">HYPERLINK("https://www.ncbi.nlm.nih.gov/nuccore/CP000058.1?report=graph&amp;tracks=[key:gene_model_track,Options:GeneOnly]&amp;mk=4780047:4780066|offset_40|444444,4779990:4780009|offset_97|444444,4779932:4779951|offset_155|444444,4779908:4779927|offset_179|00cc00&amp;v=4779846:4780127&amp;c=444444", "offset 179")</f>
        <v>offset 179</v>
      </c>
    </row>
    <row r="15475" customFormat="false" ht="12.8" hidden="false" customHeight="false" outlineLevel="0" collapsed="false">
      <c r="A15475" s="0" t="s">
        <v>12</v>
      </c>
      <c r="B15475" s="0" t="n">
        <v>4780564</v>
      </c>
      <c r="C15475" s="0" t="n">
        <v>4780584</v>
      </c>
      <c r="D15475" s="0" t="s">
        <v>51444</v>
      </c>
      <c r="E15475" s="0" t="s">
        <v>75</v>
      </c>
      <c r="F15475" s="0" t="s">
        <v>90</v>
      </c>
      <c r="G15475" s="0" t="s">
        <v>36</v>
      </c>
      <c r="H15475" s="0" t="n">
        <v>58</v>
      </c>
      <c r="I15475" s="0" t="s">
        <v>51445</v>
      </c>
      <c r="J15475" s="0" t="s">
        <v>51446</v>
      </c>
      <c r="K15475" s="0" t="s">
        <v>51447</v>
      </c>
      <c r="L15475" s="0" t="str">
        <f aca="false">HYPERLINK("https://www.ncbi.nlm.nih.gov/nuccore/CP000058.1?report=graph&amp;tracks=[key:gene_model_track,Options:GeneOnly]&amp;mk=4780565:4780584|offset_58|00cc00,4780514:4780533|offset_109|444444,4780432:4780451|offset_191|444444,4780401:4780420|offset_222|444444&amp;v=4780364:4780620&amp;c=444444", "offset 58")</f>
        <v>offset 58</v>
      </c>
    </row>
    <row r="15476" customFormat="false" ht="12.8" hidden="false" customHeight="false" outlineLevel="0" collapsed="false">
      <c r="A15476" s="0" t="s">
        <v>12</v>
      </c>
      <c r="B15476" s="0" t="n">
        <v>4780513</v>
      </c>
      <c r="C15476" s="0" t="n">
        <v>4780533</v>
      </c>
      <c r="D15476" s="0" t="s">
        <v>51444</v>
      </c>
      <c r="E15476" s="0" t="s">
        <v>75</v>
      </c>
      <c r="F15476" s="0" t="s">
        <v>90</v>
      </c>
      <c r="G15476" s="0" t="s">
        <v>36</v>
      </c>
      <c r="H15476" s="0" t="n">
        <v>109</v>
      </c>
      <c r="I15476" s="0" t="s">
        <v>51448</v>
      </c>
      <c r="J15476" s="0" t="s">
        <v>51449</v>
      </c>
      <c r="K15476" s="0" t="s">
        <v>51450</v>
      </c>
      <c r="L15476" s="0" t="str">
        <f aca="false">HYPERLINK("https://www.ncbi.nlm.nih.gov/nuccore/CP000058.1?report=graph&amp;tracks=[key:gene_model_track,Options:GeneOnly]&amp;mk=4780565:4780584|offset_58|444444,4780514:4780533|offset_109|00cc00,4780432:4780451|offset_191|444444,4780401:4780420|offset_222|444444&amp;v=4780364:4780620&amp;c=444444", "offset 109")</f>
        <v>offset 109</v>
      </c>
    </row>
    <row r="15477" customFormat="false" ht="12.8" hidden="false" customHeight="false" outlineLevel="0" collapsed="false">
      <c r="A15477" s="0" t="s">
        <v>12</v>
      </c>
      <c r="B15477" s="0" t="n">
        <v>4780431</v>
      </c>
      <c r="C15477" s="0" t="n">
        <v>4780451</v>
      </c>
      <c r="D15477" s="0" t="s">
        <v>51444</v>
      </c>
      <c r="E15477" s="0" t="s">
        <v>75</v>
      </c>
      <c r="F15477" s="0" t="s">
        <v>90</v>
      </c>
      <c r="G15477" s="0" t="s">
        <v>32</v>
      </c>
      <c r="H15477" s="0" t="n">
        <v>191</v>
      </c>
      <c r="I15477" s="0" t="s">
        <v>51451</v>
      </c>
      <c r="J15477" s="0" t="s">
        <v>51452</v>
      </c>
      <c r="K15477" s="0" t="s">
        <v>51453</v>
      </c>
      <c r="L15477" s="0" t="str">
        <f aca="false">HYPERLINK("https://www.ncbi.nlm.nih.gov/nuccore/CP000058.1?report=graph&amp;tracks=[key:gene_model_track,Options:GeneOnly]&amp;mk=4780565:4780584|offset_58|444444,4780514:4780533|offset_109|444444,4780432:4780451|offset_191|00cc00,4780401:4780420|offset_222|444444&amp;v=4780364:4780620&amp;c=444444", "offset 191")</f>
        <v>offset 191</v>
      </c>
    </row>
    <row r="15478" customFormat="false" ht="12.8" hidden="false" customHeight="false" outlineLevel="0" collapsed="false">
      <c r="A15478" s="0" t="s">
        <v>12</v>
      </c>
      <c r="B15478" s="0" t="n">
        <v>4780400</v>
      </c>
      <c r="C15478" s="0" t="n">
        <v>4780420</v>
      </c>
      <c r="D15478" s="0" t="s">
        <v>51444</v>
      </c>
      <c r="E15478" s="0" t="s">
        <v>75</v>
      </c>
      <c r="F15478" s="0" t="s">
        <v>90</v>
      </c>
      <c r="G15478" s="0" t="s">
        <v>16</v>
      </c>
      <c r="H15478" s="0" t="n">
        <v>222</v>
      </c>
      <c r="I15478" s="0" t="s">
        <v>51454</v>
      </c>
      <c r="J15478" s="0" t="s">
        <v>51455</v>
      </c>
      <c r="K15478" s="0" t="s">
        <v>51456</v>
      </c>
      <c r="L15478" s="0" t="str">
        <f aca="false">HYPERLINK("https://www.ncbi.nlm.nih.gov/nuccore/CP000058.1?report=graph&amp;tracks=[key:gene_model_track,Options:GeneOnly]&amp;mk=4780565:4780584|offset_58|444444,4780514:4780533|offset_109|444444,4780432:4780451|offset_191|444444,4780401:4780420|offset_222|00cc00&amp;v=4780364:4780620&amp;c=444444", "offset 222")</f>
        <v>offset 222</v>
      </c>
    </row>
    <row r="15479" customFormat="false" ht="12.8" hidden="false" customHeight="false" outlineLevel="0" collapsed="false">
      <c r="A15479" s="0" t="s">
        <v>12</v>
      </c>
      <c r="B15479" s="0" t="n">
        <v>4781386</v>
      </c>
      <c r="C15479" s="0" t="n">
        <v>4781406</v>
      </c>
      <c r="D15479" s="0" t="s">
        <v>51457</v>
      </c>
      <c r="E15479" s="0" t="s">
        <v>51458</v>
      </c>
      <c r="F15479" s="0" t="s">
        <v>90</v>
      </c>
      <c r="G15479" s="0" t="s">
        <v>20</v>
      </c>
      <c r="H15479" s="0" t="n">
        <v>32</v>
      </c>
      <c r="I15479" s="0" t="s">
        <v>51459</v>
      </c>
      <c r="J15479" s="0" t="s">
        <v>51460</v>
      </c>
      <c r="K15479" s="0" t="s">
        <v>51461</v>
      </c>
      <c r="L15479" s="0" t="str">
        <f aca="false">HYPERLINK("https://www.ncbi.nlm.nih.gov/nuccore/CP000058.1?report=graph&amp;tracks=[key:gene_model_track,Options:GeneOnly]&amp;mk=4781387:4781406|offset_32|00cc00,4781325:4781344|offset_94|444444,4781271:4781290|offset_148|444444,4781217:4781236|offset_202|444444&amp;v=4781186:4781436&amp;c=444444", "offset 32")</f>
        <v>offset 32</v>
      </c>
    </row>
    <row r="15480" customFormat="false" ht="12.8" hidden="false" customHeight="false" outlineLevel="0" collapsed="false">
      <c r="A15480" s="0" t="s">
        <v>12</v>
      </c>
      <c r="B15480" s="0" t="n">
        <v>4781324</v>
      </c>
      <c r="C15480" s="0" t="n">
        <v>4781344</v>
      </c>
      <c r="D15480" s="0" t="s">
        <v>51457</v>
      </c>
      <c r="E15480" s="0" t="s">
        <v>51458</v>
      </c>
      <c r="F15480" s="0" t="s">
        <v>90</v>
      </c>
      <c r="G15480" s="0" t="s">
        <v>16</v>
      </c>
      <c r="H15480" s="0" t="n">
        <v>94</v>
      </c>
      <c r="I15480" s="0" t="s">
        <v>51462</v>
      </c>
      <c r="J15480" s="0" t="s">
        <v>51463</v>
      </c>
      <c r="K15480" s="0" t="s">
        <v>51464</v>
      </c>
      <c r="L15480" s="0" t="str">
        <f aca="false">HYPERLINK("https://www.ncbi.nlm.nih.gov/nuccore/CP000058.1?report=graph&amp;tracks=[key:gene_model_track,Options:GeneOnly]&amp;mk=4781387:4781406|offset_32|444444,4781325:4781344|offset_94|00cc00,4781271:4781290|offset_148|444444,4781217:4781236|offset_202|444444&amp;v=4781186:4781436&amp;c=444444", "offset 94")</f>
        <v>offset 94</v>
      </c>
    </row>
    <row r="15481" customFormat="false" ht="12.8" hidden="false" customHeight="false" outlineLevel="0" collapsed="false">
      <c r="A15481" s="0" t="s">
        <v>12</v>
      </c>
      <c r="B15481" s="0" t="n">
        <v>4781270</v>
      </c>
      <c r="C15481" s="0" t="n">
        <v>4781290</v>
      </c>
      <c r="D15481" s="0" t="s">
        <v>51457</v>
      </c>
      <c r="E15481" s="0" t="s">
        <v>51458</v>
      </c>
      <c r="F15481" s="0" t="s">
        <v>90</v>
      </c>
      <c r="G15481" s="0" t="s">
        <v>20</v>
      </c>
      <c r="H15481" s="0" t="n">
        <v>148</v>
      </c>
      <c r="I15481" s="0" t="s">
        <v>51465</v>
      </c>
      <c r="J15481" s="0" t="s">
        <v>51466</v>
      </c>
      <c r="K15481" s="0" t="s">
        <v>51467</v>
      </c>
      <c r="L15481" s="0" t="str">
        <f aca="false">HYPERLINK("https://www.ncbi.nlm.nih.gov/nuccore/CP000058.1?report=graph&amp;tracks=[key:gene_model_track,Options:GeneOnly]&amp;mk=4781387:4781406|offset_32|444444,4781325:4781344|offset_94|444444,4781271:4781290|offset_148|00cc00,4781217:4781236|offset_202|444444&amp;v=4781186:4781436&amp;c=444444", "offset 148")</f>
        <v>offset 148</v>
      </c>
    </row>
    <row r="15482" customFormat="false" ht="12.8" hidden="false" customHeight="false" outlineLevel="0" collapsed="false">
      <c r="A15482" s="0" t="s">
        <v>12</v>
      </c>
      <c r="B15482" s="0" t="n">
        <v>4781216</v>
      </c>
      <c r="C15482" s="0" t="n">
        <v>4781236</v>
      </c>
      <c r="D15482" s="0" t="s">
        <v>51457</v>
      </c>
      <c r="E15482" s="0" t="s">
        <v>51458</v>
      </c>
      <c r="F15482" s="0" t="s">
        <v>90</v>
      </c>
      <c r="G15482" s="0" t="s">
        <v>32</v>
      </c>
      <c r="H15482" s="0" t="n">
        <v>202</v>
      </c>
      <c r="I15482" s="0" t="s">
        <v>51468</v>
      </c>
      <c r="J15482" s="0" t="s">
        <v>51469</v>
      </c>
      <c r="K15482" s="0" t="s">
        <v>51470</v>
      </c>
      <c r="L15482" s="0" t="str">
        <f aca="false">HYPERLINK("https://www.ncbi.nlm.nih.gov/nuccore/CP000058.1?report=graph&amp;tracks=[key:gene_model_track,Options:GeneOnly]&amp;mk=4781387:4781406|offset_32|444444,4781325:4781344|offset_94|444444,4781271:4781290|offset_148|444444,4781217:4781236|offset_202|00cc00&amp;v=4781186:4781436&amp;c=444444", "offset 202")</f>
        <v>offset 202</v>
      </c>
    </row>
    <row r="15483" customFormat="false" ht="12.8" hidden="false" customHeight="false" outlineLevel="0" collapsed="false">
      <c r="A15483" s="0" t="s">
        <v>12</v>
      </c>
      <c r="B15483" s="0" t="n">
        <v>4782168</v>
      </c>
      <c r="C15483" s="0" t="n">
        <v>4782188</v>
      </c>
      <c r="D15483" s="0" t="s">
        <v>51471</v>
      </c>
      <c r="E15483" s="0" t="s">
        <v>51472</v>
      </c>
      <c r="F15483" s="0" t="s">
        <v>90</v>
      </c>
      <c r="G15483" s="0" t="s">
        <v>36</v>
      </c>
      <c r="H15483" s="0" t="n">
        <v>11</v>
      </c>
      <c r="I15483" s="0" t="s">
        <v>51473</v>
      </c>
      <c r="J15483" s="0" t="s">
        <v>51474</v>
      </c>
      <c r="K15483" s="0" t="s">
        <v>51475</v>
      </c>
      <c r="L15483" s="0" t="str">
        <f aca="false">HYPERLINK("https://www.ncbi.nlm.nih.gov/nuccore/CP000058.1?report=graph&amp;tracks=[key:gene_model_track,Options:GeneOnly]&amp;mk=4782169:4782188|offset_11|00cc00,4782134:4782153|offset_46|444444,4782084:4782103|offset_96|444444,4782057:4782076|offset_123|444444&amp;v=4781968:4782276&amp;c=444444", "offset 11")</f>
        <v>offset 11</v>
      </c>
    </row>
    <row r="15484" customFormat="false" ht="12.8" hidden="false" customHeight="false" outlineLevel="0" collapsed="false">
      <c r="A15484" s="0" t="s">
        <v>12</v>
      </c>
      <c r="B15484" s="0" t="n">
        <v>4782133</v>
      </c>
      <c r="C15484" s="0" t="n">
        <v>4782153</v>
      </c>
      <c r="D15484" s="0" t="s">
        <v>51471</v>
      </c>
      <c r="E15484" s="0" t="s">
        <v>51472</v>
      </c>
      <c r="F15484" s="0" t="s">
        <v>90</v>
      </c>
      <c r="G15484" s="0" t="s">
        <v>36</v>
      </c>
      <c r="H15484" s="0" t="n">
        <v>46</v>
      </c>
      <c r="I15484" s="0" t="s">
        <v>51476</v>
      </c>
      <c r="J15484" s="0" t="s">
        <v>51477</v>
      </c>
      <c r="K15484" s="0" t="s">
        <v>51478</v>
      </c>
      <c r="L15484" s="0" t="str">
        <f aca="false">HYPERLINK("https://www.ncbi.nlm.nih.gov/nuccore/CP000058.1?report=graph&amp;tracks=[key:gene_model_track,Options:GeneOnly]&amp;mk=4782169:4782188|offset_11|444444,4782134:4782153|offset_46|00cc00,4782084:4782103|offset_96|444444,4782057:4782076|offset_123|444444&amp;v=4781968:4782276&amp;c=444444", "offset 46")</f>
        <v>offset 46</v>
      </c>
    </row>
    <row r="15485" customFormat="false" ht="12.8" hidden="false" customHeight="false" outlineLevel="0" collapsed="false">
      <c r="A15485" s="0" t="s">
        <v>12</v>
      </c>
      <c r="B15485" s="0" t="n">
        <v>4782083</v>
      </c>
      <c r="C15485" s="0" t="n">
        <v>4782103</v>
      </c>
      <c r="D15485" s="0" t="s">
        <v>51471</v>
      </c>
      <c r="E15485" s="0" t="s">
        <v>51472</v>
      </c>
      <c r="F15485" s="0" t="s">
        <v>90</v>
      </c>
      <c r="G15485" s="0" t="s">
        <v>32</v>
      </c>
      <c r="H15485" s="0" t="n">
        <v>96</v>
      </c>
      <c r="I15485" s="0" t="s">
        <v>51479</v>
      </c>
      <c r="J15485" s="0" t="s">
        <v>51480</v>
      </c>
      <c r="K15485" s="0" t="s">
        <v>51481</v>
      </c>
      <c r="L15485" s="0" t="str">
        <f aca="false">HYPERLINK("https://www.ncbi.nlm.nih.gov/nuccore/CP000058.1?report=graph&amp;tracks=[key:gene_model_track,Options:GeneOnly]&amp;mk=4782169:4782188|offset_11|444444,4782134:4782153|offset_46|444444,4782084:4782103|offset_96|00cc00,4782057:4782076|offset_123|444444&amp;v=4781968:4782276&amp;c=444444", "offset 96")</f>
        <v>offset 96</v>
      </c>
    </row>
    <row r="15486" customFormat="false" ht="12.8" hidden="false" customHeight="false" outlineLevel="0" collapsed="false">
      <c r="A15486" s="0" t="s">
        <v>12</v>
      </c>
      <c r="B15486" s="0" t="n">
        <v>4782056</v>
      </c>
      <c r="C15486" s="0" t="n">
        <v>4782076</v>
      </c>
      <c r="D15486" s="0" t="s">
        <v>51471</v>
      </c>
      <c r="E15486" s="0" t="s">
        <v>51472</v>
      </c>
      <c r="F15486" s="0" t="s">
        <v>90</v>
      </c>
      <c r="G15486" s="0" t="s">
        <v>20</v>
      </c>
      <c r="H15486" s="0" t="n">
        <v>123</v>
      </c>
      <c r="I15486" s="0" t="s">
        <v>51482</v>
      </c>
      <c r="J15486" s="0" t="s">
        <v>51483</v>
      </c>
      <c r="K15486" s="0" t="s">
        <v>51484</v>
      </c>
      <c r="L15486" s="0" t="str">
        <f aca="false">HYPERLINK("https://www.ncbi.nlm.nih.gov/nuccore/CP000058.1?report=graph&amp;tracks=[key:gene_model_track,Options:GeneOnly]&amp;mk=4782169:4782188|offset_11|444444,4782134:4782153|offset_46|444444,4782084:4782103|offset_96|444444,4782057:4782076|offset_123|00cc00&amp;v=4781968:4782276&amp;c=444444", "offset 123")</f>
        <v>offset 123</v>
      </c>
    </row>
    <row r="15487" customFormat="false" ht="12.8" hidden="false" customHeight="false" outlineLevel="0" collapsed="false">
      <c r="A15487" s="0" t="s">
        <v>12</v>
      </c>
      <c r="B15487" s="0" t="n">
        <v>4783588</v>
      </c>
      <c r="C15487" s="0" t="n">
        <v>4783608</v>
      </c>
      <c r="D15487" s="0" t="s">
        <v>51485</v>
      </c>
      <c r="E15487" s="0" t="s">
        <v>51486</v>
      </c>
      <c r="F15487" s="0" t="s">
        <v>90</v>
      </c>
      <c r="G15487" s="0" t="s">
        <v>32</v>
      </c>
      <c r="H15487" s="0" t="n">
        <v>1</v>
      </c>
      <c r="I15487" s="0" t="s">
        <v>51487</v>
      </c>
      <c r="J15487" s="0" t="s">
        <v>51488</v>
      </c>
      <c r="K15487" s="0" t="s">
        <v>51489</v>
      </c>
      <c r="L15487" s="0" t="str">
        <f aca="false">HYPERLINK("https://www.ncbi.nlm.nih.gov/nuccore/CP000058.1?report=graph&amp;tracks=[key:gene_model_track,Options:GeneOnly]&amp;mk=4783589:4783608|offset_1|00cc00,4783562:4783581|offset_28|444444,4783530:4783549|offset_60|444444,4783481:4783500|offset_109|444444&amp;v=4783388:4783700&amp;c=444444", "offset 1")</f>
        <v>offset 1</v>
      </c>
    </row>
    <row r="15488" customFormat="false" ht="12.8" hidden="false" customHeight="false" outlineLevel="0" collapsed="false">
      <c r="A15488" s="0" t="s">
        <v>12</v>
      </c>
      <c r="B15488" s="0" t="n">
        <v>4783561</v>
      </c>
      <c r="C15488" s="0" t="n">
        <v>4783581</v>
      </c>
      <c r="D15488" s="0" t="s">
        <v>51485</v>
      </c>
      <c r="E15488" s="0" t="s">
        <v>51486</v>
      </c>
      <c r="F15488" s="0" t="s">
        <v>90</v>
      </c>
      <c r="G15488" s="0" t="s">
        <v>16</v>
      </c>
      <c r="H15488" s="0" t="n">
        <v>28</v>
      </c>
      <c r="I15488" s="0" t="s">
        <v>51490</v>
      </c>
      <c r="J15488" s="0" t="s">
        <v>51491</v>
      </c>
      <c r="K15488" s="0" t="s">
        <v>51492</v>
      </c>
      <c r="L15488" s="0" t="str">
        <f aca="false">HYPERLINK("https://www.ncbi.nlm.nih.gov/nuccore/CP000058.1?report=graph&amp;tracks=[key:gene_model_track,Options:GeneOnly]&amp;mk=4783589:4783608|offset_1|444444,4783562:4783581|offset_28|00cc00,4783530:4783549|offset_60|444444,4783481:4783500|offset_109|444444&amp;v=4783388:4783700&amp;c=444444", "offset 28")</f>
        <v>offset 28</v>
      </c>
    </row>
    <row r="15489" customFormat="false" ht="12.8" hidden="false" customHeight="false" outlineLevel="0" collapsed="false">
      <c r="A15489" s="0" t="s">
        <v>12</v>
      </c>
      <c r="B15489" s="0" t="n">
        <v>4783529</v>
      </c>
      <c r="C15489" s="0" t="n">
        <v>4783549</v>
      </c>
      <c r="D15489" s="0" t="s">
        <v>51485</v>
      </c>
      <c r="E15489" s="0" t="s">
        <v>51486</v>
      </c>
      <c r="F15489" s="0" t="s">
        <v>90</v>
      </c>
      <c r="G15489" s="0" t="s">
        <v>16</v>
      </c>
      <c r="H15489" s="0" t="n">
        <v>60</v>
      </c>
      <c r="I15489" s="0" t="s">
        <v>51493</v>
      </c>
      <c r="J15489" s="0" t="s">
        <v>51494</v>
      </c>
      <c r="K15489" s="0" t="s">
        <v>51495</v>
      </c>
      <c r="L15489" s="0" t="str">
        <f aca="false">HYPERLINK("https://www.ncbi.nlm.nih.gov/nuccore/CP000058.1?report=graph&amp;tracks=[key:gene_model_track,Options:GeneOnly]&amp;mk=4783589:4783608|offset_1|444444,4783562:4783581|offset_28|444444,4783530:4783549|offset_60|00cc00,4783481:4783500|offset_109|444444&amp;v=4783388:4783700&amp;c=444444", "offset 60")</f>
        <v>offset 60</v>
      </c>
    </row>
    <row r="15490" customFormat="false" ht="12.8" hidden="false" customHeight="false" outlineLevel="0" collapsed="false">
      <c r="A15490" s="0" t="s">
        <v>12</v>
      </c>
      <c r="B15490" s="0" t="n">
        <v>4783480</v>
      </c>
      <c r="C15490" s="0" t="n">
        <v>4783500</v>
      </c>
      <c r="D15490" s="0" t="s">
        <v>51485</v>
      </c>
      <c r="E15490" s="0" t="s">
        <v>51486</v>
      </c>
      <c r="F15490" s="0" t="s">
        <v>90</v>
      </c>
      <c r="G15490" s="0" t="s">
        <v>20</v>
      </c>
      <c r="H15490" s="0" t="n">
        <v>109</v>
      </c>
      <c r="I15490" s="0" t="s">
        <v>51496</v>
      </c>
      <c r="J15490" s="0" t="s">
        <v>51497</v>
      </c>
      <c r="K15490" s="0" t="s">
        <v>51498</v>
      </c>
      <c r="L15490" s="0" t="str">
        <f aca="false">HYPERLINK("https://www.ncbi.nlm.nih.gov/nuccore/CP000058.1?report=graph&amp;tracks=[key:gene_model_track,Options:GeneOnly]&amp;mk=4783589:4783608|offset_1|444444,4783562:4783581|offset_28|444444,4783530:4783549|offset_60|444444,4783481:4783500|offset_109|00cc00&amp;v=4783388:4783700&amp;c=444444", "offset 109")</f>
        <v>offset 109</v>
      </c>
    </row>
    <row r="15491" customFormat="false" ht="12.8" hidden="false" customHeight="false" outlineLevel="0" collapsed="false">
      <c r="A15491" s="0" t="s">
        <v>12</v>
      </c>
      <c r="B15491" s="0" t="n">
        <v>4784436</v>
      </c>
      <c r="C15491" s="0" t="n">
        <v>4784456</v>
      </c>
      <c r="D15491" s="0" t="s">
        <v>51499</v>
      </c>
      <c r="E15491" s="0" t="s">
        <v>51500</v>
      </c>
      <c r="F15491" s="0" t="s">
        <v>90</v>
      </c>
      <c r="G15491" s="0" t="s">
        <v>32</v>
      </c>
      <c r="H15491" s="0" t="n">
        <v>21</v>
      </c>
      <c r="I15491" s="0" t="s">
        <v>51501</v>
      </c>
      <c r="J15491" s="0" t="s">
        <v>51502</v>
      </c>
      <c r="K15491" s="0" t="s">
        <v>51503</v>
      </c>
      <c r="L15491" s="0" t="str">
        <f aca="false">HYPERLINK("https://www.ncbi.nlm.nih.gov/nuccore/CP000058.1?report=graph&amp;tracks=[key:gene_model_track,Options:GeneOnly]&amp;mk=4784437:4784456|offset_21|00cc00,4784414:4784433|offset_44|444444,4784375:4784394|offset_83|444444,4784355:4784374|offset_103|444444&amp;v=4784236:4784574&amp;c=444444", "offset 21")</f>
        <v>offset 21</v>
      </c>
    </row>
    <row r="15492" customFormat="false" ht="12.8" hidden="false" customHeight="false" outlineLevel="0" collapsed="false">
      <c r="A15492" s="0" t="s">
        <v>12</v>
      </c>
      <c r="B15492" s="0" t="n">
        <v>4784413</v>
      </c>
      <c r="C15492" s="0" t="n">
        <v>4784433</v>
      </c>
      <c r="D15492" s="0" t="s">
        <v>51499</v>
      </c>
      <c r="E15492" s="0" t="s">
        <v>51500</v>
      </c>
      <c r="F15492" s="0" t="s">
        <v>90</v>
      </c>
      <c r="G15492" s="0" t="s">
        <v>16</v>
      </c>
      <c r="H15492" s="0" t="n">
        <v>44</v>
      </c>
      <c r="I15492" s="0" t="s">
        <v>51504</v>
      </c>
      <c r="J15492" s="0" t="s">
        <v>51505</v>
      </c>
      <c r="K15492" s="0" t="s">
        <v>51506</v>
      </c>
      <c r="L15492" s="0" t="str">
        <f aca="false">HYPERLINK("https://www.ncbi.nlm.nih.gov/nuccore/CP000058.1?report=graph&amp;tracks=[key:gene_model_track,Options:GeneOnly]&amp;mk=4784437:4784456|offset_21|444444,4784414:4784433|offset_44|00cc00,4784375:4784394|offset_83|444444,4784355:4784374|offset_103|444444&amp;v=4784236:4784574&amp;c=444444", "offset 44")</f>
        <v>offset 44</v>
      </c>
    </row>
    <row r="15493" customFormat="false" ht="12.8" hidden="false" customHeight="false" outlineLevel="0" collapsed="false">
      <c r="A15493" s="0" t="s">
        <v>12</v>
      </c>
      <c r="B15493" s="0" t="n">
        <v>4784374</v>
      </c>
      <c r="C15493" s="0" t="n">
        <v>4784394</v>
      </c>
      <c r="D15493" s="0" t="s">
        <v>51499</v>
      </c>
      <c r="E15493" s="0" t="s">
        <v>51500</v>
      </c>
      <c r="F15493" s="0" t="s">
        <v>90</v>
      </c>
      <c r="G15493" s="0" t="s">
        <v>20</v>
      </c>
      <c r="H15493" s="0" t="n">
        <v>83</v>
      </c>
      <c r="I15493" s="0" t="s">
        <v>51507</v>
      </c>
      <c r="J15493" s="0" t="s">
        <v>51508</v>
      </c>
      <c r="K15493" s="0" t="s">
        <v>51509</v>
      </c>
      <c r="L15493" s="0" t="str">
        <f aca="false">HYPERLINK("https://www.ncbi.nlm.nih.gov/nuccore/CP000058.1?report=graph&amp;tracks=[key:gene_model_track,Options:GeneOnly]&amp;mk=4784437:4784456|offset_21|444444,4784414:4784433|offset_44|444444,4784375:4784394|offset_83|00cc00,4784355:4784374|offset_103|444444&amp;v=4784236:4784574&amp;c=444444", "offset 83")</f>
        <v>offset 83</v>
      </c>
    </row>
    <row r="15494" customFormat="false" ht="12.8" hidden="false" customHeight="false" outlineLevel="0" collapsed="false">
      <c r="A15494" s="0" t="s">
        <v>12</v>
      </c>
      <c r="B15494" s="0" t="n">
        <v>4784354</v>
      </c>
      <c r="C15494" s="0" t="n">
        <v>4784374</v>
      </c>
      <c r="D15494" s="0" t="s">
        <v>51499</v>
      </c>
      <c r="E15494" s="0" t="s">
        <v>51500</v>
      </c>
      <c r="F15494" s="0" t="s">
        <v>90</v>
      </c>
      <c r="G15494" s="0" t="s">
        <v>20</v>
      </c>
      <c r="H15494" s="0" t="n">
        <v>103</v>
      </c>
      <c r="I15494" s="0" t="s">
        <v>51510</v>
      </c>
      <c r="J15494" s="0" t="s">
        <v>51511</v>
      </c>
      <c r="K15494" s="0" t="s">
        <v>51512</v>
      </c>
      <c r="L15494" s="0" t="str">
        <f aca="false">HYPERLINK("https://www.ncbi.nlm.nih.gov/nuccore/CP000058.1?report=graph&amp;tracks=[key:gene_model_track,Options:GeneOnly]&amp;mk=4784437:4784456|offset_21|444444,4784414:4784433|offset_44|444444,4784375:4784394|offset_83|444444,4784355:4784374|offset_103|00cc00&amp;v=4784236:4784574&amp;c=444444", "offset 103")</f>
        <v>offset 103</v>
      </c>
    </row>
    <row r="15495" customFormat="false" ht="12.8" hidden="false" customHeight="false" outlineLevel="0" collapsed="false">
      <c r="A15495" s="0" t="s">
        <v>12</v>
      </c>
      <c r="B15495" s="0" t="n">
        <v>4786350</v>
      </c>
      <c r="C15495" s="0" t="n">
        <v>4786370</v>
      </c>
      <c r="D15495" s="0" t="s">
        <v>51513</v>
      </c>
      <c r="E15495" s="0" t="s">
        <v>51514</v>
      </c>
      <c r="F15495" s="0" t="s">
        <v>90</v>
      </c>
      <c r="G15495" s="0" t="s">
        <v>20</v>
      </c>
      <c r="H15495" s="0" t="n">
        <v>29</v>
      </c>
      <c r="I15495" s="0" t="s">
        <v>51515</v>
      </c>
      <c r="J15495" s="0" t="s">
        <v>51516</v>
      </c>
      <c r="K15495" s="0" t="s">
        <v>51517</v>
      </c>
      <c r="L15495" s="0" t="str">
        <f aca="false">HYPERLINK("https://www.ncbi.nlm.nih.gov/nuccore/CP000058.1?report=graph&amp;tracks=[key:gene_model_track,Options:GeneOnly]&amp;mk=4786351:4786370|offset_29|00cc00,4786327:4786346|offset_53|444444,4786301:4786320|offset_79|444444,4786279:4786298|offset_101|444444&amp;v=4786150:4786498&amp;c=444444", "offset 29")</f>
        <v>offset 29</v>
      </c>
    </row>
    <row r="15496" customFormat="false" ht="12.8" hidden="false" customHeight="false" outlineLevel="0" collapsed="false">
      <c r="A15496" s="0" t="s">
        <v>12</v>
      </c>
      <c r="B15496" s="0" t="n">
        <v>4786326</v>
      </c>
      <c r="C15496" s="0" t="n">
        <v>4786346</v>
      </c>
      <c r="D15496" s="0" t="s">
        <v>51513</v>
      </c>
      <c r="E15496" s="0" t="s">
        <v>51514</v>
      </c>
      <c r="F15496" s="0" t="s">
        <v>90</v>
      </c>
      <c r="G15496" s="0" t="s">
        <v>20</v>
      </c>
      <c r="H15496" s="0" t="n">
        <v>53</v>
      </c>
      <c r="I15496" s="0" t="s">
        <v>51518</v>
      </c>
      <c r="J15496" s="0" t="s">
        <v>51519</v>
      </c>
      <c r="K15496" s="0" t="s">
        <v>51520</v>
      </c>
      <c r="L15496" s="0" t="str">
        <f aca="false">HYPERLINK("https://www.ncbi.nlm.nih.gov/nuccore/CP000058.1?report=graph&amp;tracks=[key:gene_model_track,Options:GeneOnly]&amp;mk=4786351:4786370|offset_29|444444,4786327:4786346|offset_53|00cc00,4786301:4786320|offset_79|444444,4786279:4786298|offset_101|444444&amp;v=4786150:4786498&amp;c=444444", "offset 53")</f>
        <v>offset 53</v>
      </c>
    </row>
    <row r="15497" customFormat="false" ht="12.8" hidden="false" customHeight="false" outlineLevel="0" collapsed="false">
      <c r="A15497" s="0" t="s">
        <v>12</v>
      </c>
      <c r="B15497" s="0" t="n">
        <v>4786300</v>
      </c>
      <c r="C15497" s="0" t="n">
        <v>4786320</v>
      </c>
      <c r="D15497" s="0" t="s">
        <v>51513</v>
      </c>
      <c r="E15497" s="0" t="s">
        <v>51514</v>
      </c>
      <c r="F15497" s="0" t="s">
        <v>90</v>
      </c>
      <c r="G15497" s="0" t="s">
        <v>32</v>
      </c>
      <c r="H15497" s="0" t="n">
        <v>79</v>
      </c>
      <c r="I15497" s="0" t="s">
        <v>51521</v>
      </c>
      <c r="J15497" s="0" t="s">
        <v>51522</v>
      </c>
      <c r="K15497" s="0" t="s">
        <v>51523</v>
      </c>
      <c r="L15497" s="0" t="str">
        <f aca="false">HYPERLINK("https://www.ncbi.nlm.nih.gov/nuccore/CP000058.1?report=graph&amp;tracks=[key:gene_model_track,Options:GeneOnly]&amp;mk=4786351:4786370|offset_29|444444,4786327:4786346|offset_53|444444,4786301:4786320|offset_79|00cc00,4786279:4786298|offset_101|444444&amp;v=4786150:4786498&amp;c=444444", "offset 79")</f>
        <v>offset 79</v>
      </c>
    </row>
    <row r="15498" customFormat="false" ht="12.8" hidden="false" customHeight="false" outlineLevel="0" collapsed="false">
      <c r="A15498" s="0" t="s">
        <v>12</v>
      </c>
      <c r="B15498" s="0" t="n">
        <v>4786278</v>
      </c>
      <c r="C15498" s="0" t="n">
        <v>4786298</v>
      </c>
      <c r="D15498" s="0" t="s">
        <v>51513</v>
      </c>
      <c r="E15498" s="0" t="s">
        <v>51514</v>
      </c>
      <c r="F15498" s="0" t="s">
        <v>90</v>
      </c>
      <c r="G15498" s="0" t="s">
        <v>20</v>
      </c>
      <c r="H15498" s="0" t="n">
        <v>101</v>
      </c>
      <c r="I15498" s="0" t="s">
        <v>51524</v>
      </c>
      <c r="J15498" s="0" t="s">
        <v>51525</v>
      </c>
      <c r="K15498" s="0" t="s">
        <v>51526</v>
      </c>
      <c r="L15498" s="0" t="str">
        <f aca="false">HYPERLINK("https://www.ncbi.nlm.nih.gov/nuccore/CP000058.1?report=graph&amp;tracks=[key:gene_model_track,Options:GeneOnly]&amp;mk=4786351:4786370|offset_29|444444,4786327:4786346|offset_53|444444,4786301:4786320|offset_79|444444,4786279:4786298|offset_101|00cc00&amp;v=4786150:4786498&amp;c=444444", "offset 101")</f>
        <v>offset 101</v>
      </c>
    </row>
    <row r="15499" customFormat="false" ht="12.8" hidden="false" customHeight="false" outlineLevel="0" collapsed="false">
      <c r="A15499" s="0" t="s">
        <v>12</v>
      </c>
      <c r="B15499" s="0" t="n">
        <v>4787214</v>
      </c>
      <c r="C15499" s="0" t="n">
        <v>4787234</v>
      </c>
      <c r="D15499" s="0" t="s">
        <v>51527</v>
      </c>
      <c r="E15499" s="0" t="s">
        <v>51528</v>
      </c>
      <c r="F15499" s="0" t="s">
        <v>90</v>
      </c>
      <c r="G15499" s="0" t="s">
        <v>36</v>
      </c>
      <c r="H15499" s="0" t="n">
        <v>0</v>
      </c>
      <c r="I15499" s="0" t="s">
        <v>51529</v>
      </c>
      <c r="J15499" s="0" t="s">
        <v>51530</v>
      </c>
      <c r="K15499" s="0" t="s">
        <v>51531</v>
      </c>
      <c r="L15499" s="0" t="str">
        <f aca="false">HYPERLINK("https://www.ncbi.nlm.nih.gov/nuccore/CP000058.1?report=graph&amp;tracks=[key:gene_model_track,Options:GeneOnly]&amp;mk=4787215:4787234|offset_0|00cc00,4787192:4787211|offset_23|444444,4787118:4787137|offset_97|444444,4787075:4787094|offset_140|444444&amp;v=4787014:4787294&amp;c=444444", "offset 0")</f>
        <v>offset 0</v>
      </c>
    </row>
    <row r="15500" customFormat="false" ht="12.8" hidden="false" customHeight="false" outlineLevel="0" collapsed="false">
      <c r="A15500" s="0" t="s">
        <v>12</v>
      </c>
      <c r="B15500" s="0" t="n">
        <v>4787191</v>
      </c>
      <c r="C15500" s="0" t="n">
        <v>4787211</v>
      </c>
      <c r="D15500" s="0" t="s">
        <v>51527</v>
      </c>
      <c r="E15500" s="0" t="s">
        <v>51528</v>
      </c>
      <c r="F15500" s="0" t="s">
        <v>90</v>
      </c>
      <c r="G15500" s="0" t="s">
        <v>32</v>
      </c>
      <c r="H15500" s="0" t="n">
        <v>23</v>
      </c>
      <c r="I15500" s="0" t="s">
        <v>51532</v>
      </c>
      <c r="J15500" s="0" t="s">
        <v>51533</v>
      </c>
      <c r="K15500" s="0" t="s">
        <v>51534</v>
      </c>
      <c r="L15500" s="0" t="str">
        <f aca="false">HYPERLINK("https://www.ncbi.nlm.nih.gov/nuccore/CP000058.1?report=graph&amp;tracks=[key:gene_model_track,Options:GeneOnly]&amp;mk=4787215:4787234|offset_0|444444,4787192:4787211|offset_23|00cc00,4787118:4787137|offset_97|444444,4787075:4787094|offset_140|444444&amp;v=4787014:4787294&amp;c=444444", "offset 23")</f>
        <v>offset 23</v>
      </c>
    </row>
    <row r="15501" customFormat="false" ht="12.8" hidden="false" customHeight="false" outlineLevel="0" collapsed="false">
      <c r="A15501" s="0" t="s">
        <v>12</v>
      </c>
      <c r="B15501" s="0" t="n">
        <v>4787117</v>
      </c>
      <c r="C15501" s="0" t="n">
        <v>4787137</v>
      </c>
      <c r="D15501" s="0" t="s">
        <v>51527</v>
      </c>
      <c r="E15501" s="0" t="s">
        <v>51528</v>
      </c>
      <c r="F15501" s="0" t="s">
        <v>90</v>
      </c>
      <c r="G15501" s="0" t="s">
        <v>32</v>
      </c>
      <c r="H15501" s="0" t="n">
        <v>97</v>
      </c>
      <c r="I15501" s="0" t="s">
        <v>51535</v>
      </c>
      <c r="J15501" s="0" t="s">
        <v>51536</v>
      </c>
      <c r="K15501" s="0" t="s">
        <v>51537</v>
      </c>
      <c r="L15501" s="0" t="str">
        <f aca="false">HYPERLINK("https://www.ncbi.nlm.nih.gov/nuccore/CP000058.1?report=graph&amp;tracks=[key:gene_model_track,Options:GeneOnly]&amp;mk=4787215:4787234|offset_0|444444,4787192:4787211|offset_23|444444,4787118:4787137|offset_97|00cc00,4787075:4787094|offset_140|444444&amp;v=4787014:4787294&amp;c=444444", "offset 97")</f>
        <v>offset 97</v>
      </c>
    </row>
    <row r="15502" customFormat="false" ht="12.8" hidden="false" customHeight="false" outlineLevel="0" collapsed="false">
      <c r="A15502" s="0" t="s">
        <v>12</v>
      </c>
      <c r="B15502" s="0" t="n">
        <v>4787074</v>
      </c>
      <c r="C15502" s="0" t="n">
        <v>4787094</v>
      </c>
      <c r="D15502" s="0" t="s">
        <v>51527</v>
      </c>
      <c r="E15502" s="0" t="s">
        <v>51528</v>
      </c>
      <c r="F15502" s="0" t="s">
        <v>90</v>
      </c>
      <c r="G15502" s="0" t="s">
        <v>16</v>
      </c>
      <c r="H15502" s="0" t="n">
        <v>140</v>
      </c>
      <c r="I15502" s="0" t="s">
        <v>51538</v>
      </c>
      <c r="J15502" s="0" t="s">
        <v>51539</v>
      </c>
      <c r="K15502" s="0" t="s">
        <v>51540</v>
      </c>
      <c r="L15502" s="0" t="str">
        <f aca="false">HYPERLINK("https://www.ncbi.nlm.nih.gov/nuccore/CP000058.1?report=graph&amp;tracks=[key:gene_model_track,Options:GeneOnly]&amp;mk=4787215:4787234|offset_0|444444,4787192:4787211|offset_23|444444,4787118:4787137|offset_97|444444,4787075:4787094|offset_140|00cc00&amp;v=4787014:4787294&amp;c=444444", "offset 140")</f>
        <v>offset 140</v>
      </c>
    </row>
    <row r="15503" customFormat="false" ht="12.8" hidden="false" customHeight="false" outlineLevel="0" collapsed="false">
      <c r="A15503" s="0" t="s">
        <v>12</v>
      </c>
      <c r="B15503" s="0" t="n">
        <v>4787343</v>
      </c>
      <c r="C15503" s="0" t="n">
        <v>4787363</v>
      </c>
      <c r="D15503" s="0" t="s">
        <v>51541</v>
      </c>
      <c r="E15503" s="0" t="s">
        <v>75</v>
      </c>
      <c r="F15503" s="0" t="s">
        <v>15</v>
      </c>
      <c r="G15503" s="0" t="s">
        <v>16</v>
      </c>
      <c r="H15503" s="0" t="n">
        <v>6</v>
      </c>
      <c r="I15503" s="0" t="s">
        <v>51542</v>
      </c>
      <c r="J15503" s="0" t="s">
        <v>51543</v>
      </c>
      <c r="K15503" s="0" t="s">
        <v>51544</v>
      </c>
      <c r="L15503" s="0" t="str">
        <f aca="false">HYPERLINK("https://www.ncbi.nlm.nih.gov/nuccore/CP000058.1?report=graph&amp;tracks=[key:gene_model_track,Options:GeneOnly]&amp;mk=4787344:4787363|offset_6|00cc00,4787378:4787397|offset_40|444444,4787398:4787417|offset_60|444444,4787499:4787518|offset_161|444444&amp;v=4787143:4787718&amp;c=444444", "offset 6")</f>
        <v>offset 6</v>
      </c>
    </row>
    <row r="15504" customFormat="false" ht="12.8" hidden="false" customHeight="false" outlineLevel="0" collapsed="false">
      <c r="A15504" s="0" t="s">
        <v>12</v>
      </c>
      <c r="B15504" s="0" t="n">
        <v>4787377</v>
      </c>
      <c r="C15504" s="0" t="n">
        <v>4787397</v>
      </c>
      <c r="D15504" s="0" t="s">
        <v>51541</v>
      </c>
      <c r="E15504" s="0" t="s">
        <v>75</v>
      </c>
      <c r="F15504" s="0" t="s">
        <v>15</v>
      </c>
      <c r="G15504" s="0" t="s">
        <v>32</v>
      </c>
      <c r="H15504" s="0" t="n">
        <v>40</v>
      </c>
      <c r="I15504" s="0" t="s">
        <v>51545</v>
      </c>
      <c r="J15504" s="0" t="s">
        <v>51546</v>
      </c>
      <c r="K15504" s="0" t="s">
        <v>51547</v>
      </c>
      <c r="L15504" s="0" t="str">
        <f aca="false">HYPERLINK("https://www.ncbi.nlm.nih.gov/nuccore/CP000058.1?report=graph&amp;tracks=[key:gene_model_track,Options:GeneOnly]&amp;mk=4787344:4787363|offset_6|444444,4787378:4787397|offset_40|00cc00,4787398:4787417|offset_60|444444,4787499:4787518|offset_161|444444&amp;v=4787143:4787718&amp;c=444444", "offset 40")</f>
        <v>offset 40</v>
      </c>
    </row>
    <row r="15505" customFormat="false" ht="12.8" hidden="false" customHeight="false" outlineLevel="0" collapsed="false">
      <c r="A15505" s="0" t="s">
        <v>12</v>
      </c>
      <c r="B15505" s="0" t="n">
        <v>4787397</v>
      </c>
      <c r="C15505" s="0" t="n">
        <v>4787417</v>
      </c>
      <c r="D15505" s="0" t="s">
        <v>51541</v>
      </c>
      <c r="E15505" s="0" t="s">
        <v>75</v>
      </c>
      <c r="F15505" s="0" t="s">
        <v>15</v>
      </c>
      <c r="G15505" s="0" t="s">
        <v>16</v>
      </c>
      <c r="H15505" s="0" t="n">
        <v>60</v>
      </c>
      <c r="I15505" s="0" t="s">
        <v>51548</v>
      </c>
      <c r="J15505" s="0" t="s">
        <v>51549</v>
      </c>
      <c r="K15505" s="0" t="s">
        <v>51550</v>
      </c>
      <c r="L15505" s="0" t="str">
        <f aca="false">HYPERLINK("https://www.ncbi.nlm.nih.gov/nuccore/CP000058.1?report=graph&amp;tracks=[key:gene_model_track,Options:GeneOnly]&amp;mk=4787344:4787363|offset_6|444444,4787378:4787397|offset_40|444444,4787398:4787417|offset_60|00cc00,4787499:4787518|offset_161|444444&amp;v=4787143:4787718&amp;c=444444", "offset 60")</f>
        <v>offset 60</v>
      </c>
    </row>
    <row r="15506" customFormat="false" ht="12.8" hidden="false" customHeight="false" outlineLevel="0" collapsed="false">
      <c r="A15506" s="0" t="s">
        <v>12</v>
      </c>
      <c r="B15506" s="0" t="n">
        <v>4787498</v>
      </c>
      <c r="C15506" s="0" t="n">
        <v>4787518</v>
      </c>
      <c r="D15506" s="0" t="s">
        <v>51541</v>
      </c>
      <c r="E15506" s="0" t="s">
        <v>75</v>
      </c>
      <c r="F15506" s="0" t="s">
        <v>15</v>
      </c>
      <c r="G15506" s="0" t="s">
        <v>20</v>
      </c>
      <c r="H15506" s="0" t="n">
        <v>161</v>
      </c>
      <c r="I15506" s="0" t="s">
        <v>51551</v>
      </c>
      <c r="J15506" s="0" t="s">
        <v>51552</v>
      </c>
      <c r="K15506" s="0" t="s">
        <v>51553</v>
      </c>
      <c r="L15506" s="0" t="str">
        <f aca="false">HYPERLINK("https://www.ncbi.nlm.nih.gov/nuccore/CP000058.1?report=graph&amp;tracks=[key:gene_model_track,Options:GeneOnly]&amp;mk=4787344:4787363|offset_6|444444,4787378:4787397|offset_40|444444,4787398:4787417|offset_60|444444,4787499:4787518|offset_161|00cc00&amp;v=4787143:4787718&amp;c=444444", "offset 161")</f>
        <v>offset 161</v>
      </c>
    </row>
    <row r="15507" customFormat="false" ht="12.8" hidden="false" customHeight="false" outlineLevel="0" collapsed="false">
      <c r="A15507" s="0" t="s">
        <v>12</v>
      </c>
      <c r="B15507" s="0" t="n">
        <v>4788173</v>
      </c>
      <c r="C15507" s="0" t="n">
        <v>4788193</v>
      </c>
      <c r="D15507" s="0" t="s">
        <v>51554</v>
      </c>
      <c r="E15507" s="0" t="s">
        <v>51555</v>
      </c>
      <c r="F15507" s="0" t="s">
        <v>90</v>
      </c>
      <c r="G15507" s="0" t="s">
        <v>36</v>
      </c>
      <c r="H15507" s="0" t="n">
        <v>14</v>
      </c>
      <c r="I15507" s="0" t="s">
        <v>51556</v>
      </c>
      <c r="J15507" s="0" t="s">
        <v>51557</v>
      </c>
      <c r="K15507" s="0" t="s">
        <v>51558</v>
      </c>
      <c r="L15507" s="0" t="str">
        <f aca="false">HYPERLINK("https://www.ncbi.nlm.nih.gov/nuccore/CP000058.1?report=graph&amp;tracks=[key:gene_model_track,Options:GeneOnly]&amp;mk=4788174:4788193|offset_14|00cc00,4788148:4788167|offset_40|444444,4788126:4788145|offset_62|444444,4788096:4788115|offset_92|444444&amp;v=4787973:4788315&amp;c=444444", "offset 14")</f>
        <v>offset 14</v>
      </c>
    </row>
    <row r="15508" customFormat="false" ht="12.8" hidden="false" customHeight="false" outlineLevel="0" collapsed="false">
      <c r="A15508" s="0" t="s">
        <v>12</v>
      </c>
      <c r="B15508" s="0" t="n">
        <v>4788147</v>
      </c>
      <c r="C15508" s="0" t="n">
        <v>4788167</v>
      </c>
      <c r="D15508" s="0" t="s">
        <v>51554</v>
      </c>
      <c r="E15508" s="0" t="s">
        <v>51555</v>
      </c>
      <c r="F15508" s="0" t="s">
        <v>90</v>
      </c>
      <c r="G15508" s="0" t="s">
        <v>36</v>
      </c>
      <c r="H15508" s="0" t="n">
        <v>40</v>
      </c>
      <c r="I15508" s="0" t="s">
        <v>51559</v>
      </c>
      <c r="J15508" s="0" t="s">
        <v>51560</v>
      </c>
      <c r="K15508" s="0" t="s">
        <v>51561</v>
      </c>
      <c r="L15508" s="0" t="str">
        <f aca="false">HYPERLINK("https://www.ncbi.nlm.nih.gov/nuccore/CP000058.1?report=graph&amp;tracks=[key:gene_model_track,Options:GeneOnly]&amp;mk=4788174:4788193|offset_14|444444,4788148:4788167|offset_40|00cc00,4788126:4788145|offset_62|444444,4788096:4788115|offset_92|444444&amp;v=4787973:4788315&amp;c=444444", "offset 40")</f>
        <v>offset 40</v>
      </c>
    </row>
    <row r="15509" customFormat="false" ht="12.8" hidden="false" customHeight="false" outlineLevel="0" collapsed="false">
      <c r="A15509" s="0" t="s">
        <v>12</v>
      </c>
      <c r="B15509" s="0" t="n">
        <v>4788125</v>
      </c>
      <c r="C15509" s="0" t="n">
        <v>4788145</v>
      </c>
      <c r="D15509" s="0" t="s">
        <v>51554</v>
      </c>
      <c r="E15509" s="0" t="s">
        <v>51555</v>
      </c>
      <c r="F15509" s="0" t="s">
        <v>90</v>
      </c>
      <c r="G15509" s="0" t="s">
        <v>20</v>
      </c>
      <c r="H15509" s="0" t="n">
        <v>62</v>
      </c>
      <c r="I15509" s="0" t="s">
        <v>51562</v>
      </c>
      <c r="J15509" s="0" t="s">
        <v>51563</v>
      </c>
      <c r="K15509" s="0" t="s">
        <v>51564</v>
      </c>
      <c r="L15509" s="0" t="str">
        <f aca="false">HYPERLINK("https://www.ncbi.nlm.nih.gov/nuccore/CP000058.1?report=graph&amp;tracks=[key:gene_model_track,Options:GeneOnly]&amp;mk=4788174:4788193|offset_14|444444,4788148:4788167|offset_40|444444,4788126:4788145|offset_62|00cc00,4788096:4788115|offset_92|444444&amp;v=4787973:4788315&amp;c=444444", "offset 62")</f>
        <v>offset 62</v>
      </c>
    </row>
    <row r="15510" customFormat="false" ht="12.8" hidden="false" customHeight="false" outlineLevel="0" collapsed="false">
      <c r="A15510" s="0" t="s">
        <v>12</v>
      </c>
      <c r="B15510" s="0" t="n">
        <v>4788095</v>
      </c>
      <c r="C15510" s="0" t="n">
        <v>4788115</v>
      </c>
      <c r="D15510" s="0" t="s">
        <v>51554</v>
      </c>
      <c r="E15510" s="0" t="s">
        <v>51555</v>
      </c>
      <c r="F15510" s="0" t="s">
        <v>90</v>
      </c>
      <c r="G15510" s="0" t="s">
        <v>32</v>
      </c>
      <c r="H15510" s="0" t="n">
        <v>92</v>
      </c>
      <c r="I15510" s="0" t="s">
        <v>51565</v>
      </c>
      <c r="J15510" s="0" t="s">
        <v>51566</v>
      </c>
      <c r="K15510" s="0" t="s">
        <v>51567</v>
      </c>
      <c r="L15510" s="0" t="str">
        <f aca="false">HYPERLINK("https://www.ncbi.nlm.nih.gov/nuccore/CP000058.1?report=graph&amp;tracks=[key:gene_model_track,Options:GeneOnly]&amp;mk=4788174:4788193|offset_14|444444,4788148:4788167|offset_40|444444,4788126:4788145|offset_62|444444,4788096:4788115|offset_92|00cc00&amp;v=4787973:4788315&amp;c=444444", "offset 92")</f>
        <v>offset 92</v>
      </c>
    </row>
    <row r="15511" customFormat="false" ht="12.8" hidden="false" customHeight="false" outlineLevel="0" collapsed="false">
      <c r="A15511" s="0" t="s">
        <v>12</v>
      </c>
      <c r="B15511" s="0" t="n">
        <v>4791405</v>
      </c>
      <c r="C15511" s="0" t="n">
        <v>4791425</v>
      </c>
      <c r="D15511" s="0" t="s">
        <v>51568</v>
      </c>
      <c r="E15511" s="0" t="s">
        <v>51569</v>
      </c>
      <c r="F15511" s="0" t="s">
        <v>90</v>
      </c>
      <c r="G15511" s="0" t="s">
        <v>36</v>
      </c>
      <c r="H15511" s="0" t="n">
        <v>0</v>
      </c>
      <c r="I15511" s="0" t="s">
        <v>51570</v>
      </c>
      <c r="J15511" s="0" t="s">
        <v>51571</v>
      </c>
      <c r="K15511" s="0" t="s">
        <v>51572</v>
      </c>
      <c r="L15511" s="0" t="str">
        <f aca="false">HYPERLINK("https://www.ncbi.nlm.nih.gov/nuccore/CP000058.1?report=graph&amp;tracks=[key:gene_model_track,Options:GeneOnly]&amp;mk=4791406:4791425|offset_0|00cc00,4791374:4791393|offset_32|444444,4791341:4791360|offset_65|444444,4791318:4791337|offset_88|444444&amp;v=4791205:4791537&amp;c=444444", "offset 0")</f>
        <v>offset 0</v>
      </c>
    </row>
    <row r="15512" customFormat="false" ht="12.8" hidden="false" customHeight="false" outlineLevel="0" collapsed="false">
      <c r="A15512" s="0" t="s">
        <v>12</v>
      </c>
      <c r="B15512" s="0" t="n">
        <v>4791373</v>
      </c>
      <c r="C15512" s="0" t="n">
        <v>4791393</v>
      </c>
      <c r="D15512" s="0" t="s">
        <v>51568</v>
      </c>
      <c r="E15512" s="0" t="s">
        <v>51569</v>
      </c>
      <c r="F15512" s="0" t="s">
        <v>90</v>
      </c>
      <c r="G15512" s="0" t="s">
        <v>20</v>
      </c>
      <c r="H15512" s="0" t="n">
        <v>32</v>
      </c>
      <c r="I15512" s="0" t="s">
        <v>51573</v>
      </c>
      <c r="J15512" s="0" t="s">
        <v>51574</v>
      </c>
      <c r="K15512" s="0" t="s">
        <v>51575</v>
      </c>
      <c r="L15512" s="0" t="str">
        <f aca="false">HYPERLINK("https://www.ncbi.nlm.nih.gov/nuccore/CP000058.1?report=graph&amp;tracks=[key:gene_model_track,Options:GeneOnly]&amp;mk=4791406:4791425|offset_0|444444,4791374:4791393|offset_32|00cc00,4791341:4791360|offset_65|444444,4791318:4791337|offset_88|444444&amp;v=4791205:4791537&amp;c=444444", "offset 32")</f>
        <v>offset 32</v>
      </c>
    </row>
    <row r="15513" customFormat="false" ht="12.8" hidden="false" customHeight="false" outlineLevel="0" collapsed="false">
      <c r="A15513" s="0" t="s">
        <v>12</v>
      </c>
      <c r="B15513" s="0" t="n">
        <v>4791340</v>
      </c>
      <c r="C15513" s="0" t="n">
        <v>4791360</v>
      </c>
      <c r="D15513" s="0" t="s">
        <v>51568</v>
      </c>
      <c r="E15513" s="0" t="s">
        <v>51569</v>
      </c>
      <c r="F15513" s="0" t="s">
        <v>90</v>
      </c>
      <c r="G15513" s="0" t="s">
        <v>32</v>
      </c>
      <c r="H15513" s="0" t="n">
        <v>65</v>
      </c>
      <c r="I15513" s="0" t="s">
        <v>51576</v>
      </c>
      <c r="J15513" s="0" t="s">
        <v>51577</v>
      </c>
      <c r="K15513" s="0" t="s">
        <v>51578</v>
      </c>
      <c r="L15513" s="0" t="str">
        <f aca="false">HYPERLINK("https://www.ncbi.nlm.nih.gov/nuccore/CP000058.1?report=graph&amp;tracks=[key:gene_model_track,Options:GeneOnly]&amp;mk=4791406:4791425|offset_0|444444,4791374:4791393|offset_32|444444,4791341:4791360|offset_65|00cc00,4791318:4791337|offset_88|444444&amp;v=4791205:4791537&amp;c=444444", "offset 65")</f>
        <v>offset 65</v>
      </c>
    </row>
    <row r="15514" customFormat="false" ht="12.8" hidden="false" customHeight="false" outlineLevel="0" collapsed="false">
      <c r="A15514" s="0" t="s">
        <v>12</v>
      </c>
      <c r="B15514" s="0" t="n">
        <v>4791317</v>
      </c>
      <c r="C15514" s="0" t="n">
        <v>4791337</v>
      </c>
      <c r="D15514" s="0" t="s">
        <v>51568</v>
      </c>
      <c r="E15514" s="0" t="s">
        <v>51569</v>
      </c>
      <c r="F15514" s="0" t="s">
        <v>90</v>
      </c>
      <c r="G15514" s="0" t="s">
        <v>16</v>
      </c>
      <c r="H15514" s="0" t="n">
        <v>88</v>
      </c>
      <c r="I15514" s="0" t="s">
        <v>51579</v>
      </c>
      <c r="J15514" s="0" t="s">
        <v>51580</v>
      </c>
      <c r="K15514" s="0" t="s">
        <v>51581</v>
      </c>
      <c r="L15514" s="0" t="str">
        <f aca="false">HYPERLINK("https://www.ncbi.nlm.nih.gov/nuccore/CP000058.1?report=graph&amp;tracks=[key:gene_model_track,Options:GeneOnly]&amp;mk=4791406:4791425|offset_0|444444,4791374:4791393|offset_32|444444,4791341:4791360|offset_65|444444,4791318:4791337|offset_88|00cc00&amp;v=4791205:4791537&amp;c=444444", "offset 88")</f>
        <v>offset 88</v>
      </c>
    </row>
    <row r="15515" customFormat="false" ht="12.8" hidden="false" customHeight="false" outlineLevel="0" collapsed="false">
      <c r="A15515" s="0" t="s">
        <v>12</v>
      </c>
      <c r="B15515" s="0" t="n">
        <v>4792666</v>
      </c>
      <c r="C15515" s="0" t="n">
        <v>4792686</v>
      </c>
      <c r="D15515" s="0" t="s">
        <v>51582</v>
      </c>
      <c r="E15515" s="0" t="s">
        <v>51583</v>
      </c>
      <c r="F15515" s="0" t="s">
        <v>90</v>
      </c>
      <c r="G15515" s="0" t="s">
        <v>32</v>
      </c>
      <c r="H15515" s="0" t="n">
        <v>12</v>
      </c>
      <c r="I15515" s="0" t="s">
        <v>51584</v>
      </c>
      <c r="J15515" s="0" t="s">
        <v>51585</v>
      </c>
      <c r="K15515" s="0" t="s">
        <v>51586</v>
      </c>
      <c r="L15515" s="0" t="str">
        <f aca="false">HYPERLINK("https://www.ncbi.nlm.nih.gov/nuccore/CP000058.1?report=graph&amp;tracks=[key:gene_model_track,Options:GeneOnly]&amp;mk=4792667:4792686|offset_12|00cc00,4792621:4792640|offset_58|444444,4792600:4792619|offset_79|444444,4792576:4792595|offset_103|444444&amp;v=4792466:4792795&amp;c=444444", "offset 12")</f>
        <v>offset 12</v>
      </c>
    </row>
    <row r="15516" customFormat="false" ht="12.8" hidden="false" customHeight="false" outlineLevel="0" collapsed="false">
      <c r="A15516" s="0" t="s">
        <v>12</v>
      </c>
      <c r="B15516" s="0" t="n">
        <v>4792620</v>
      </c>
      <c r="C15516" s="0" t="n">
        <v>4792640</v>
      </c>
      <c r="D15516" s="0" t="s">
        <v>51582</v>
      </c>
      <c r="E15516" s="0" t="s">
        <v>51583</v>
      </c>
      <c r="F15516" s="0" t="s">
        <v>90</v>
      </c>
      <c r="G15516" s="0" t="s">
        <v>32</v>
      </c>
      <c r="H15516" s="0" t="n">
        <v>58</v>
      </c>
      <c r="I15516" s="0" t="s">
        <v>51587</v>
      </c>
      <c r="J15516" s="0" t="s">
        <v>51588</v>
      </c>
      <c r="K15516" s="0" t="s">
        <v>51589</v>
      </c>
      <c r="L15516" s="0" t="str">
        <f aca="false">HYPERLINK("https://www.ncbi.nlm.nih.gov/nuccore/CP000058.1?report=graph&amp;tracks=[key:gene_model_track,Options:GeneOnly]&amp;mk=4792667:4792686|offset_12|444444,4792621:4792640|offset_58|00cc00,4792600:4792619|offset_79|444444,4792576:4792595|offset_103|444444&amp;v=4792466:4792795&amp;c=444444", "offset 58")</f>
        <v>offset 58</v>
      </c>
    </row>
    <row r="15517" customFormat="false" ht="12.8" hidden="false" customHeight="false" outlineLevel="0" collapsed="false">
      <c r="A15517" s="0" t="s">
        <v>12</v>
      </c>
      <c r="B15517" s="0" t="n">
        <v>4792599</v>
      </c>
      <c r="C15517" s="0" t="n">
        <v>4792619</v>
      </c>
      <c r="D15517" s="0" t="s">
        <v>51582</v>
      </c>
      <c r="E15517" s="0" t="s">
        <v>51583</v>
      </c>
      <c r="F15517" s="0" t="s">
        <v>90</v>
      </c>
      <c r="G15517" s="0" t="s">
        <v>16</v>
      </c>
      <c r="H15517" s="0" t="n">
        <v>79</v>
      </c>
      <c r="I15517" s="0" t="s">
        <v>51590</v>
      </c>
      <c r="J15517" s="0" t="s">
        <v>51591</v>
      </c>
      <c r="K15517" s="0" t="s">
        <v>51592</v>
      </c>
      <c r="L15517" s="0" t="str">
        <f aca="false">HYPERLINK("https://www.ncbi.nlm.nih.gov/nuccore/CP000058.1?report=graph&amp;tracks=[key:gene_model_track,Options:GeneOnly]&amp;mk=4792667:4792686|offset_12|444444,4792621:4792640|offset_58|444444,4792600:4792619|offset_79|00cc00,4792576:4792595|offset_103|444444&amp;v=4792466:4792795&amp;c=444444", "offset 79")</f>
        <v>offset 79</v>
      </c>
    </row>
    <row r="15518" customFormat="false" ht="12.8" hidden="false" customHeight="false" outlineLevel="0" collapsed="false">
      <c r="A15518" s="0" t="s">
        <v>12</v>
      </c>
      <c r="B15518" s="0" t="n">
        <v>4792575</v>
      </c>
      <c r="C15518" s="0" t="n">
        <v>4792595</v>
      </c>
      <c r="D15518" s="0" t="s">
        <v>51582</v>
      </c>
      <c r="E15518" s="0" t="s">
        <v>51583</v>
      </c>
      <c r="F15518" s="0" t="s">
        <v>90</v>
      </c>
      <c r="G15518" s="0" t="s">
        <v>16</v>
      </c>
      <c r="H15518" s="0" t="n">
        <v>103</v>
      </c>
      <c r="I15518" s="0" t="s">
        <v>51593</v>
      </c>
      <c r="J15518" s="0" t="s">
        <v>51594</v>
      </c>
      <c r="K15518" s="0" t="s">
        <v>51595</v>
      </c>
      <c r="L15518" s="0" t="str">
        <f aca="false">HYPERLINK("https://www.ncbi.nlm.nih.gov/nuccore/CP000058.1?report=graph&amp;tracks=[key:gene_model_track,Options:GeneOnly]&amp;mk=4792667:4792686|offset_12|444444,4792621:4792640|offset_58|444444,4792600:4792619|offset_79|444444,4792576:4792595|offset_103|00cc00&amp;v=4792466:4792795&amp;c=444444", "offset 103")</f>
        <v>offset 103</v>
      </c>
    </row>
    <row r="15519" customFormat="false" ht="12.8" hidden="false" customHeight="false" outlineLevel="0" collapsed="false">
      <c r="A15519" s="0" t="s">
        <v>12</v>
      </c>
      <c r="B15519" s="0" t="n">
        <v>4793675</v>
      </c>
      <c r="C15519" s="0" t="n">
        <v>4793695</v>
      </c>
      <c r="D15519" s="0" t="s">
        <v>51596</v>
      </c>
      <c r="E15519" s="0" t="s">
        <v>51597</v>
      </c>
      <c r="F15519" s="0" t="s">
        <v>90</v>
      </c>
      <c r="G15519" s="0" t="s">
        <v>16</v>
      </c>
      <c r="H15519" s="0" t="n">
        <v>28</v>
      </c>
      <c r="I15519" s="0" t="s">
        <v>51598</v>
      </c>
      <c r="J15519" s="0" t="s">
        <v>51599</v>
      </c>
      <c r="K15519" s="0" t="s">
        <v>51600</v>
      </c>
      <c r="L15519" s="0" t="str">
        <f aca="false">HYPERLINK("https://www.ncbi.nlm.nih.gov/nuccore/CP000058.1?report=graph&amp;tracks=[key:gene_model_track,Options:GeneOnly]&amp;mk=4793676:4793695|offset_28|00cc00,4793629:4793648|offset_75|444444,4793596:4793615|offset_108|444444,4793533:4793552|offset_171|444444&amp;v=4793475:4793752&amp;c=444444", "offset 28")</f>
        <v>offset 28</v>
      </c>
    </row>
    <row r="15520" customFormat="false" ht="12.8" hidden="false" customHeight="false" outlineLevel="0" collapsed="false">
      <c r="A15520" s="0" t="s">
        <v>12</v>
      </c>
      <c r="B15520" s="0" t="n">
        <v>4793628</v>
      </c>
      <c r="C15520" s="0" t="n">
        <v>4793648</v>
      </c>
      <c r="D15520" s="0" t="s">
        <v>51596</v>
      </c>
      <c r="E15520" s="0" t="s">
        <v>51597</v>
      </c>
      <c r="F15520" s="0" t="s">
        <v>90</v>
      </c>
      <c r="G15520" s="0" t="s">
        <v>16</v>
      </c>
      <c r="H15520" s="0" t="n">
        <v>75</v>
      </c>
      <c r="I15520" s="0" t="s">
        <v>51601</v>
      </c>
      <c r="J15520" s="0" t="s">
        <v>51602</v>
      </c>
      <c r="K15520" s="0" t="s">
        <v>51603</v>
      </c>
      <c r="L15520" s="0" t="str">
        <f aca="false">HYPERLINK("https://www.ncbi.nlm.nih.gov/nuccore/CP000058.1?report=graph&amp;tracks=[key:gene_model_track,Options:GeneOnly]&amp;mk=4793676:4793695|offset_28|444444,4793629:4793648|offset_75|00cc00,4793596:4793615|offset_108|444444,4793533:4793552|offset_171|444444&amp;v=4793475:4793752&amp;c=444444", "offset 75")</f>
        <v>offset 75</v>
      </c>
    </row>
    <row r="15521" customFormat="false" ht="12.8" hidden="false" customHeight="false" outlineLevel="0" collapsed="false">
      <c r="A15521" s="0" t="s">
        <v>12</v>
      </c>
      <c r="B15521" s="0" t="n">
        <v>4793595</v>
      </c>
      <c r="C15521" s="0" t="n">
        <v>4793615</v>
      </c>
      <c r="D15521" s="0" t="s">
        <v>51596</v>
      </c>
      <c r="E15521" s="0" t="s">
        <v>51597</v>
      </c>
      <c r="F15521" s="0" t="s">
        <v>90</v>
      </c>
      <c r="G15521" s="0" t="s">
        <v>20</v>
      </c>
      <c r="H15521" s="0" t="n">
        <v>108</v>
      </c>
      <c r="I15521" s="0" t="s">
        <v>51604</v>
      </c>
      <c r="J15521" s="0" t="s">
        <v>51605</v>
      </c>
      <c r="K15521" s="0" t="s">
        <v>51606</v>
      </c>
      <c r="L15521" s="0" t="str">
        <f aca="false">HYPERLINK("https://www.ncbi.nlm.nih.gov/nuccore/CP000058.1?report=graph&amp;tracks=[key:gene_model_track,Options:GeneOnly]&amp;mk=4793676:4793695|offset_28|444444,4793629:4793648|offset_75|444444,4793596:4793615|offset_108|00cc00,4793533:4793552|offset_171|444444&amp;v=4793475:4793752&amp;c=444444", "offset 108")</f>
        <v>offset 108</v>
      </c>
    </row>
    <row r="15522" customFormat="false" ht="12.8" hidden="false" customHeight="false" outlineLevel="0" collapsed="false">
      <c r="A15522" s="0" t="s">
        <v>12</v>
      </c>
      <c r="B15522" s="0" t="n">
        <v>4793532</v>
      </c>
      <c r="C15522" s="0" t="n">
        <v>4793552</v>
      </c>
      <c r="D15522" s="0" t="s">
        <v>51596</v>
      </c>
      <c r="E15522" s="0" t="s">
        <v>51597</v>
      </c>
      <c r="F15522" s="0" t="s">
        <v>90</v>
      </c>
      <c r="G15522" s="0" t="s">
        <v>16</v>
      </c>
      <c r="H15522" s="0" t="n">
        <v>171</v>
      </c>
      <c r="I15522" s="0" t="s">
        <v>51607</v>
      </c>
      <c r="J15522" s="0" t="s">
        <v>51608</v>
      </c>
      <c r="K15522" s="0" t="s">
        <v>51609</v>
      </c>
      <c r="L15522" s="0" t="str">
        <f aca="false">HYPERLINK("https://www.ncbi.nlm.nih.gov/nuccore/CP000058.1?report=graph&amp;tracks=[key:gene_model_track,Options:GeneOnly]&amp;mk=4793676:4793695|offset_28|444444,4793629:4793648|offset_75|444444,4793596:4793615|offset_108|444444,4793533:4793552|offset_171|00cc00&amp;v=4793475:4793752&amp;c=444444", "offset 171")</f>
        <v>offset 171</v>
      </c>
    </row>
    <row r="15523" customFormat="false" ht="12.8" hidden="false" customHeight="false" outlineLevel="0" collapsed="false">
      <c r="A15523" s="0" t="s">
        <v>12</v>
      </c>
      <c r="B15523" s="0" t="n">
        <v>4794819</v>
      </c>
      <c r="C15523" s="0" t="n">
        <v>4794839</v>
      </c>
      <c r="D15523" s="0" t="s">
        <v>51610</v>
      </c>
      <c r="E15523" s="0" t="s">
        <v>51611</v>
      </c>
      <c r="F15523" s="0" t="s">
        <v>90</v>
      </c>
      <c r="G15523" s="0" t="s">
        <v>32</v>
      </c>
      <c r="H15523" s="0" t="n">
        <v>49</v>
      </c>
      <c r="I15523" s="0" t="s">
        <v>51612</v>
      </c>
      <c r="J15523" s="0" t="s">
        <v>51613</v>
      </c>
      <c r="K15523" s="0" t="s">
        <v>51614</v>
      </c>
      <c r="L15523" s="0" t="str">
        <f aca="false">HYPERLINK("https://www.ncbi.nlm.nih.gov/nuccore/CP000058.1?report=graph&amp;tracks=[key:gene_model_track,Options:GeneOnly]&amp;mk=4794820:4794839|offset_49|00cc00,4794789:4794808|offset_80|444444,4794768:4794787|offset_101|444444,4794742:4794761|offset_127|444444&amp;v=4794619:4794961&amp;c=444444", "offset 49")</f>
        <v>offset 49</v>
      </c>
    </row>
    <row r="15524" customFormat="false" ht="12.8" hidden="false" customHeight="false" outlineLevel="0" collapsed="false">
      <c r="A15524" s="0" t="s">
        <v>12</v>
      </c>
      <c r="B15524" s="0" t="n">
        <v>4794788</v>
      </c>
      <c r="C15524" s="0" t="n">
        <v>4794808</v>
      </c>
      <c r="D15524" s="0" t="s">
        <v>51610</v>
      </c>
      <c r="E15524" s="0" t="s">
        <v>51611</v>
      </c>
      <c r="F15524" s="0" t="s">
        <v>90</v>
      </c>
      <c r="G15524" s="0" t="s">
        <v>16</v>
      </c>
      <c r="H15524" s="0" t="n">
        <v>80</v>
      </c>
      <c r="I15524" s="0" t="s">
        <v>51615</v>
      </c>
      <c r="J15524" s="0" t="s">
        <v>51616</v>
      </c>
      <c r="K15524" s="0" t="s">
        <v>51617</v>
      </c>
      <c r="L15524" s="0" t="str">
        <f aca="false">HYPERLINK("https://www.ncbi.nlm.nih.gov/nuccore/CP000058.1?report=graph&amp;tracks=[key:gene_model_track,Options:GeneOnly]&amp;mk=4794820:4794839|offset_49|444444,4794789:4794808|offset_80|00cc00,4794768:4794787|offset_101|444444,4794742:4794761|offset_127|444444&amp;v=4794619:4794961&amp;c=444444", "offset 80")</f>
        <v>offset 80</v>
      </c>
    </row>
    <row r="15525" customFormat="false" ht="12.8" hidden="false" customHeight="false" outlineLevel="0" collapsed="false">
      <c r="A15525" s="0" t="s">
        <v>12</v>
      </c>
      <c r="B15525" s="0" t="n">
        <v>4794767</v>
      </c>
      <c r="C15525" s="0" t="n">
        <v>4794787</v>
      </c>
      <c r="D15525" s="0" t="s">
        <v>51610</v>
      </c>
      <c r="E15525" s="0" t="s">
        <v>51611</v>
      </c>
      <c r="F15525" s="0" t="s">
        <v>90</v>
      </c>
      <c r="G15525" s="0" t="s">
        <v>36</v>
      </c>
      <c r="H15525" s="0" t="n">
        <v>101</v>
      </c>
      <c r="I15525" s="0" t="s">
        <v>51618</v>
      </c>
      <c r="J15525" s="0" t="s">
        <v>51619</v>
      </c>
      <c r="K15525" s="0" t="s">
        <v>51620</v>
      </c>
      <c r="L15525" s="0" t="str">
        <f aca="false">HYPERLINK("https://www.ncbi.nlm.nih.gov/nuccore/CP000058.1?report=graph&amp;tracks=[key:gene_model_track,Options:GeneOnly]&amp;mk=4794820:4794839|offset_49|444444,4794789:4794808|offset_80|444444,4794768:4794787|offset_101|00cc00,4794742:4794761|offset_127|444444&amp;v=4794619:4794961&amp;c=444444", "offset 101")</f>
        <v>offset 101</v>
      </c>
    </row>
    <row r="15526" customFormat="false" ht="12.8" hidden="false" customHeight="false" outlineLevel="0" collapsed="false">
      <c r="A15526" s="0" t="s">
        <v>12</v>
      </c>
      <c r="B15526" s="0" t="n">
        <v>4794741</v>
      </c>
      <c r="C15526" s="0" t="n">
        <v>4794761</v>
      </c>
      <c r="D15526" s="0" t="s">
        <v>51610</v>
      </c>
      <c r="E15526" s="0" t="s">
        <v>51611</v>
      </c>
      <c r="F15526" s="0" t="s">
        <v>90</v>
      </c>
      <c r="G15526" s="0" t="s">
        <v>20</v>
      </c>
      <c r="H15526" s="0" t="n">
        <v>127</v>
      </c>
      <c r="I15526" s="0" t="s">
        <v>51621</v>
      </c>
      <c r="J15526" s="0" t="s">
        <v>51622</v>
      </c>
      <c r="K15526" s="0" t="s">
        <v>51623</v>
      </c>
      <c r="L15526" s="0" t="str">
        <f aca="false">HYPERLINK("https://www.ncbi.nlm.nih.gov/nuccore/CP000058.1?report=graph&amp;tracks=[key:gene_model_track,Options:GeneOnly]&amp;mk=4794820:4794839|offset_49|444444,4794789:4794808|offset_80|444444,4794768:4794787|offset_101|444444,4794742:4794761|offset_127|00cc00&amp;v=4794619:4794961&amp;c=444444", "offset 127")</f>
        <v>offset 127</v>
      </c>
    </row>
    <row r="15527" customFormat="false" ht="12.8" hidden="false" customHeight="false" outlineLevel="0" collapsed="false">
      <c r="A15527" s="0" t="s">
        <v>12</v>
      </c>
      <c r="B15527" s="0" t="n">
        <v>4797085</v>
      </c>
      <c r="C15527" s="0" t="n">
        <v>4797105</v>
      </c>
      <c r="D15527" s="0" t="s">
        <v>51624</v>
      </c>
      <c r="E15527" s="0" t="s">
        <v>51625</v>
      </c>
      <c r="F15527" s="0" t="s">
        <v>90</v>
      </c>
      <c r="G15527" s="0" t="s">
        <v>20</v>
      </c>
      <c r="H15527" s="0" t="n">
        <v>26</v>
      </c>
      <c r="I15527" s="0" t="s">
        <v>51626</v>
      </c>
      <c r="J15527" s="0" t="s">
        <v>51627</v>
      </c>
      <c r="K15527" s="0" t="s">
        <v>51628</v>
      </c>
      <c r="L15527" s="0" t="str">
        <f aca="false">HYPERLINK("https://www.ncbi.nlm.nih.gov/nuccore/CP000058.1?report=graph&amp;tracks=[key:gene_model_track,Options:GeneOnly]&amp;mk=4797086:4797105|offset_26|00cc00,4797060:4797079|offset_52|444444,4797001:4797020|offset_111|444444,4796966:4796985|offset_146|444444&amp;v=4796885:4797185&amp;c=444444", "offset 26")</f>
        <v>offset 26</v>
      </c>
    </row>
    <row r="15528" customFormat="false" ht="12.8" hidden="false" customHeight="false" outlineLevel="0" collapsed="false">
      <c r="A15528" s="0" t="s">
        <v>12</v>
      </c>
      <c r="B15528" s="0" t="n">
        <v>4797059</v>
      </c>
      <c r="C15528" s="0" t="n">
        <v>4797079</v>
      </c>
      <c r="D15528" s="0" t="s">
        <v>51624</v>
      </c>
      <c r="E15528" s="0" t="s">
        <v>51625</v>
      </c>
      <c r="F15528" s="0" t="s">
        <v>90</v>
      </c>
      <c r="G15528" s="0" t="s">
        <v>32</v>
      </c>
      <c r="H15528" s="0" t="n">
        <v>52</v>
      </c>
      <c r="I15528" s="0" t="s">
        <v>51629</v>
      </c>
      <c r="J15528" s="0" t="s">
        <v>51630</v>
      </c>
      <c r="K15528" s="0" t="s">
        <v>51631</v>
      </c>
      <c r="L15528" s="0" t="str">
        <f aca="false">HYPERLINK("https://www.ncbi.nlm.nih.gov/nuccore/CP000058.1?report=graph&amp;tracks=[key:gene_model_track,Options:GeneOnly]&amp;mk=4797086:4797105|offset_26|444444,4797060:4797079|offset_52|00cc00,4797001:4797020|offset_111|444444,4796966:4796985|offset_146|444444&amp;v=4796885:4797185&amp;c=444444", "offset 52")</f>
        <v>offset 52</v>
      </c>
    </row>
    <row r="15529" customFormat="false" ht="12.8" hidden="false" customHeight="false" outlineLevel="0" collapsed="false">
      <c r="A15529" s="0" t="s">
        <v>12</v>
      </c>
      <c r="B15529" s="0" t="n">
        <v>4797000</v>
      </c>
      <c r="C15529" s="0" t="n">
        <v>4797020</v>
      </c>
      <c r="D15529" s="0" t="s">
        <v>51624</v>
      </c>
      <c r="E15529" s="0" t="s">
        <v>51625</v>
      </c>
      <c r="F15529" s="0" t="s">
        <v>90</v>
      </c>
      <c r="G15529" s="0" t="s">
        <v>20</v>
      </c>
      <c r="H15529" s="0" t="n">
        <v>111</v>
      </c>
      <c r="I15529" s="0" t="s">
        <v>51632</v>
      </c>
      <c r="J15529" s="0" t="s">
        <v>51633</v>
      </c>
      <c r="K15529" s="0" t="s">
        <v>51634</v>
      </c>
      <c r="L15529" s="0" t="str">
        <f aca="false">HYPERLINK("https://www.ncbi.nlm.nih.gov/nuccore/CP000058.1?report=graph&amp;tracks=[key:gene_model_track,Options:GeneOnly]&amp;mk=4797086:4797105|offset_26|444444,4797060:4797079|offset_52|444444,4797001:4797020|offset_111|00cc00,4796966:4796985|offset_146|444444&amp;v=4796885:4797185&amp;c=444444", "offset 111")</f>
        <v>offset 111</v>
      </c>
    </row>
    <row r="15530" customFormat="false" ht="12.8" hidden="false" customHeight="false" outlineLevel="0" collapsed="false">
      <c r="A15530" s="0" t="s">
        <v>12</v>
      </c>
      <c r="B15530" s="0" t="n">
        <v>4796965</v>
      </c>
      <c r="C15530" s="0" t="n">
        <v>4796985</v>
      </c>
      <c r="D15530" s="0" t="s">
        <v>51624</v>
      </c>
      <c r="E15530" s="0" t="s">
        <v>51625</v>
      </c>
      <c r="F15530" s="0" t="s">
        <v>90</v>
      </c>
      <c r="G15530" s="0" t="s">
        <v>20</v>
      </c>
      <c r="H15530" s="0" t="n">
        <v>146</v>
      </c>
      <c r="I15530" s="0" t="s">
        <v>51635</v>
      </c>
      <c r="J15530" s="0" t="s">
        <v>51636</v>
      </c>
      <c r="K15530" s="0" t="s">
        <v>51637</v>
      </c>
      <c r="L15530" s="0" t="str">
        <f aca="false">HYPERLINK("https://www.ncbi.nlm.nih.gov/nuccore/CP000058.1?report=graph&amp;tracks=[key:gene_model_track,Options:GeneOnly]&amp;mk=4797086:4797105|offset_26|444444,4797060:4797079|offset_52|444444,4797001:4797020|offset_111|444444,4796966:4796985|offset_146|00cc00&amp;v=4796885:4797185&amp;c=444444", "offset 146")</f>
        <v>offset 146</v>
      </c>
    </row>
    <row r="15531" customFormat="false" ht="12.8" hidden="false" customHeight="false" outlineLevel="0" collapsed="false">
      <c r="A15531" s="0" t="s">
        <v>12</v>
      </c>
      <c r="B15531" s="0" t="n">
        <v>4797736</v>
      </c>
      <c r="C15531" s="0" t="n">
        <v>4797756</v>
      </c>
      <c r="D15531" s="0" t="s">
        <v>51638</v>
      </c>
      <c r="E15531" s="0" t="s">
        <v>51639</v>
      </c>
      <c r="F15531" s="0" t="s">
        <v>90</v>
      </c>
      <c r="G15531" s="0" t="s">
        <v>16</v>
      </c>
      <c r="H15531" s="0" t="n">
        <v>49</v>
      </c>
      <c r="I15531" s="0" t="s">
        <v>51640</v>
      </c>
      <c r="J15531" s="0" t="s">
        <v>51641</v>
      </c>
      <c r="K15531" s="0" t="s">
        <v>51642</v>
      </c>
      <c r="L15531" s="0" t="str">
        <f aca="false">HYPERLINK("https://www.ncbi.nlm.nih.gov/nuccore/CP000058.1?report=graph&amp;tracks=[key:gene_model_track,Options:GeneOnly]&amp;mk=4797737:4797756|offset_49|00cc00,4797707:4797726|offset_79|444444,4797664:4797683|offset_122|444444,4797628:4797647|offset_158|444444&amp;v=4797536:4797847&amp;c=444444", "offset 49")</f>
        <v>offset 49</v>
      </c>
    </row>
    <row r="15532" customFormat="false" ht="12.8" hidden="false" customHeight="false" outlineLevel="0" collapsed="false">
      <c r="A15532" s="0" t="s">
        <v>12</v>
      </c>
      <c r="B15532" s="0" t="n">
        <v>4797706</v>
      </c>
      <c r="C15532" s="0" t="n">
        <v>4797726</v>
      </c>
      <c r="D15532" s="0" t="s">
        <v>51638</v>
      </c>
      <c r="E15532" s="0" t="s">
        <v>51639</v>
      </c>
      <c r="F15532" s="0" t="s">
        <v>90</v>
      </c>
      <c r="G15532" s="0" t="s">
        <v>36</v>
      </c>
      <c r="H15532" s="0" t="n">
        <v>79</v>
      </c>
      <c r="I15532" s="0" t="s">
        <v>51643</v>
      </c>
      <c r="J15532" s="0" t="s">
        <v>51644</v>
      </c>
      <c r="K15532" s="0" t="s">
        <v>51645</v>
      </c>
      <c r="L15532" s="0" t="str">
        <f aca="false">HYPERLINK("https://www.ncbi.nlm.nih.gov/nuccore/CP000058.1?report=graph&amp;tracks=[key:gene_model_track,Options:GeneOnly]&amp;mk=4797737:4797756|offset_49|444444,4797707:4797726|offset_79|00cc00,4797664:4797683|offset_122|444444,4797628:4797647|offset_158|444444&amp;v=4797536:4797847&amp;c=444444", "offset 79")</f>
        <v>offset 79</v>
      </c>
    </row>
    <row r="15533" customFormat="false" ht="12.8" hidden="false" customHeight="false" outlineLevel="0" collapsed="false">
      <c r="A15533" s="0" t="s">
        <v>12</v>
      </c>
      <c r="B15533" s="0" t="n">
        <v>4797663</v>
      </c>
      <c r="C15533" s="0" t="n">
        <v>4797683</v>
      </c>
      <c r="D15533" s="0" t="s">
        <v>51638</v>
      </c>
      <c r="E15533" s="0" t="s">
        <v>51639</v>
      </c>
      <c r="F15533" s="0" t="s">
        <v>90</v>
      </c>
      <c r="G15533" s="0" t="s">
        <v>32</v>
      </c>
      <c r="H15533" s="0" t="n">
        <v>122</v>
      </c>
      <c r="I15533" s="0" t="s">
        <v>51646</v>
      </c>
      <c r="J15533" s="0" t="s">
        <v>51647</v>
      </c>
      <c r="K15533" s="0" t="s">
        <v>51648</v>
      </c>
      <c r="L15533" s="0" t="str">
        <f aca="false">HYPERLINK("https://www.ncbi.nlm.nih.gov/nuccore/CP000058.1?report=graph&amp;tracks=[key:gene_model_track,Options:GeneOnly]&amp;mk=4797737:4797756|offset_49|444444,4797707:4797726|offset_79|444444,4797664:4797683|offset_122|00cc00,4797628:4797647|offset_158|444444&amp;v=4797536:4797847&amp;c=444444", "offset 122")</f>
        <v>offset 122</v>
      </c>
    </row>
    <row r="15534" customFormat="false" ht="12.8" hidden="false" customHeight="false" outlineLevel="0" collapsed="false">
      <c r="A15534" s="0" t="s">
        <v>12</v>
      </c>
      <c r="B15534" s="0" t="n">
        <v>4797627</v>
      </c>
      <c r="C15534" s="0" t="n">
        <v>4797647</v>
      </c>
      <c r="D15534" s="0" t="s">
        <v>51638</v>
      </c>
      <c r="E15534" s="0" t="s">
        <v>51639</v>
      </c>
      <c r="F15534" s="0" t="s">
        <v>90</v>
      </c>
      <c r="G15534" s="0" t="s">
        <v>16</v>
      </c>
      <c r="H15534" s="0" t="n">
        <v>158</v>
      </c>
      <c r="I15534" s="0" t="s">
        <v>51649</v>
      </c>
      <c r="J15534" s="0" t="s">
        <v>51650</v>
      </c>
      <c r="K15534" s="0" t="s">
        <v>51651</v>
      </c>
      <c r="L15534" s="0" t="str">
        <f aca="false">HYPERLINK("https://www.ncbi.nlm.nih.gov/nuccore/CP000058.1?report=graph&amp;tracks=[key:gene_model_track,Options:GeneOnly]&amp;mk=4797737:4797756|offset_49|444444,4797707:4797726|offset_79|444444,4797664:4797683|offset_122|444444,4797628:4797647|offset_158|00cc00&amp;v=4797536:4797847&amp;c=444444", "offset 158")</f>
        <v>offset 158</v>
      </c>
    </row>
    <row r="15535" customFormat="false" ht="12.8" hidden="false" customHeight="false" outlineLevel="0" collapsed="false">
      <c r="A15535" s="0" t="s">
        <v>12</v>
      </c>
      <c r="B15535" s="0" t="n">
        <v>4798089</v>
      </c>
      <c r="C15535" s="0" t="n">
        <v>4798109</v>
      </c>
      <c r="D15535" s="0" t="s">
        <v>51652</v>
      </c>
      <c r="E15535" s="0" t="s">
        <v>51653</v>
      </c>
      <c r="F15535" s="0" t="s">
        <v>15</v>
      </c>
      <c r="G15535" s="0" t="s">
        <v>20</v>
      </c>
      <c r="H15535" s="0" t="n">
        <v>14</v>
      </c>
      <c r="I15535" s="0" t="s">
        <v>51654</v>
      </c>
      <c r="J15535" s="0" t="s">
        <v>51655</v>
      </c>
      <c r="K15535" s="0" t="s">
        <v>51656</v>
      </c>
      <c r="L15535" s="0" t="str">
        <f aca="false">HYPERLINK("https://www.ncbi.nlm.nih.gov/nuccore/CP000058.1?report=graph&amp;tracks=[key:gene_model_track,Options:GeneOnly]&amp;mk=4798090:4798109|offset_14|00cc00,4798110:4798129|offset_34|444444,4798161:4798180|offset_85|444444,4798200:4798219|offset_124|444444&amp;v=4797889:4798419&amp;c=444444", "offset 14")</f>
        <v>offset 14</v>
      </c>
    </row>
    <row r="15536" customFormat="false" ht="12.8" hidden="false" customHeight="false" outlineLevel="0" collapsed="false">
      <c r="A15536" s="0" t="s">
        <v>12</v>
      </c>
      <c r="B15536" s="0" t="n">
        <v>4798109</v>
      </c>
      <c r="C15536" s="0" t="n">
        <v>4798129</v>
      </c>
      <c r="D15536" s="0" t="s">
        <v>51652</v>
      </c>
      <c r="E15536" s="0" t="s">
        <v>51653</v>
      </c>
      <c r="F15536" s="0" t="s">
        <v>15</v>
      </c>
      <c r="G15536" s="0" t="s">
        <v>32</v>
      </c>
      <c r="H15536" s="0" t="n">
        <v>34</v>
      </c>
      <c r="I15536" s="0" t="s">
        <v>51657</v>
      </c>
      <c r="J15536" s="0" t="s">
        <v>51658</v>
      </c>
      <c r="K15536" s="0" t="s">
        <v>51659</v>
      </c>
      <c r="L15536" s="0" t="str">
        <f aca="false">HYPERLINK("https://www.ncbi.nlm.nih.gov/nuccore/CP000058.1?report=graph&amp;tracks=[key:gene_model_track,Options:GeneOnly]&amp;mk=4798090:4798109|offset_14|444444,4798110:4798129|offset_34|00cc00,4798161:4798180|offset_85|444444,4798200:4798219|offset_124|444444&amp;v=4797889:4798419&amp;c=444444", "offset 34")</f>
        <v>offset 34</v>
      </c>
    </row>
    <row r="15537" customFormat="false" ht="12.8" hidden="false" customHeight="false" outlineLevel="0" collapsed="false">
      <c r="A15537" s="0" t="s">
        <v>12</v>
      </c>
      <c r="B15537" s="0" t="n">
        <v>4798160</v>
      </c>
      <c r="C15537" s="0" t="n">
        <v>4798180</v>
      </c>
      <c r="D15537" s="0" t="s">
        <v>51652</v>
      </c>
      <c r="E15537" s="0" t="s">
        <v>51653</v>
      </c>
      <c r="F15537" s="0" t="s">
        <v>15</v>
      </c>
      <c r="G15537" s="0" t="s">
        <v>16</v>
      </c>
      <c r="H15537" s="0" t="n">
        <v>85</v>
      </c>
      <c r="I15537" s="0" t="s">
        <v>51660</v>
      </c>
      <c r="J15537" s="0" t="s">
        <v>51661</v>
      </c>
      <c r="K15537" s="0" t="s">
        <v>51662</v>
      </c>
      <c r="L15537" s="0" t="str">
        <f aca="false">HYPERLINK("https://www.ncbi.nlm.nih.gov/nuccore/CP000058.1?report=graph&amp;tracks=[key:gene_model_track,Options:GeneOnly]&amp;mk=4798090:4798109|offset_14|444444,4798110:4798129|offset_34|444444,4798161:4798180|offset_85|00cc00,4798200:4798219|offset_124|444444&amp;v=4797889:4798419&amp;c=444444", "offset 85")</f>
        <v>offset 85</v>
      </c>
    </row>
    <row r="15538" customFormat="false" ht="12.8" hidden="false" customHeight="false" outlineLevel="0" collapsed="false">
      <c r="A15538" s="0" t="s">
        <v>12</v>
      </c>
      <c r="B15538" s="0" t="n">
        <v>4798199</v>
      </c>
      <c r="C15538" s="0" t="n">
        <v>4798219</v>
      </c>
      <c r="D15538" s="0" t="s">
        <v>51652</v>
      </c>
      <c r="E15538" s="0" t="s">
        <v>51653</v>
      </c>
      <c r="F15538" s="0" t="s">
        <v>15</v>
      </c>
      <c r="G15538" s="0" t="s">
        <v>36</v>
      </c>
      <c r="H15538" s="0" t="n">
        <v>124</v>
      </c>
      <c r="I15538" s="0" t="s">
        <v>51663</v>
      </c>
      <c r="J15538" s="0" t="s">
        <v>51664</v>
      </c>
      <c r="K15538" s="0" t="s">
        <v>51665</v>
      </c>
      <c r="L15538" s="0" t="str">
        <f aca="false">HYPERLINK("https://www.ncbi.nlm.nih.gov/nuccore/CP000058.1?report=graph&amp;tracks=[key:gene_model_track,Options:GeneOnly]&amp;mk=4798090:4798109|offset_14|444444,4798110:4798129|offset_34|444444,4798161:4798180|offset_85|444444,4798200:4798219|offset_124|00cc00&amp;v=4797889:4798419&amp;c=444444", "offset 124")</f>
        <v>offset 124</v>
      </c>
    </row>
    <row r="15539" customFormat="false" ht="12.8" hidden="false" customHeight="false" outlineLevel="0" collapsed="false">
      <c r="A15539" s="0" t="s">
        <v>12</v>
      </c>
      <c r="B15539" s="0" t="n">
        <v>4800281</v>
      </c>
      <c r="C15539" s="0" t="n">
        <v>4800301</v>
      </c>
      <c r="D15539" s="0" t="s">
        <v>51666</v>
      </c>
      <c r="E15539" s="0" t="s">
        <v>51667</v>
      </c>
      <c r="F15539" s="0" t="s">
        <v>90</v>
      </c>
      <c r="G15539" s="0" t="s">
        <v>32</v>
      </c>
      <c r="H15539" s="0" t="n">
        <v>14</v>
      </c>
      <c r="I15539" s="0" t="s">
        <v>51668</v>
      </c>
      <c r="J15539" s="0" t="s">
        <v>51669</v>
      </c>
      <c r="K15539" s="0" t="s">
        <v>51670</v>
      </c>
      <c r="L15539" s="0" t="str">
        <f aca="false">HYPERLINK("https://www.ncbi.nlm.nih.gov/nuccore/CP000058.1?report=graph&amp;tracks=[key:gene_model_track,Options:GeneOnly]&amp;mk=4800282:4800301|offset_14|00cc00,4800255:4800274|offset_41|444444,4800199:4800218|offset_97|444444,4800154:4800173|offset_142|444444&amp;v=4800081:4800373&amp;c=444444", "offset 14")</f>
        <v>offset 14</v>
      </c>
    </row>
    <row r="15540" customFormat="false" ht="12.8" hidden="false" customHeight="false" outlineLevel="0" collapsed="false">
      <c r="A15540" s="0" t="s">
        <v>12</v>
      </c>
      <c r="B15540" s="0" t="n">
        <v>4800254</v>
      </c>
      <c r="C15540" s="0" t="n">
        <v>4800274</v>
      </c>
      <c r="D15540" s="0" t="s">
        <v>51666</v>
      </c>
      <c r="E15540" s="0" t="s">
        <v>51667</v>
      </c>
      <c r="F15540" s="0" t="s">
        <v>90</v>
      </c>
      <c r="G15540" s="0" t="s">
        <v>36</v>
      </c>
      <c r="H15540" s="0" t="n">
        <v>41</v>
      </c>
      <c r="I15540" s="0" t="s">
        <v>51671</v>
      </c>
      <c r="J15540" s="0" t="s">
        <v>51672</v>
      </c>
      <c r="K15540" s="0" t="s">
        <v>51673</v>
      </c>
      <c r="L15540" s="0" t="str">
        <f aca="false">HYPERLINK("https://www.ncbi.nlm.nih.gov/nuccore/CP000058.1?report=graph&amp;tracks=[key:gene_model_track,Options:GeneOnly]&amp;mk=4800282:4800301|offset_14|444444,4800255:4800274|offset_41|00cc00,4800199:4800218|offset_97|444444,4800154:4800173|offset_142|444444&amp;v=4800081:4800373&amp;c=444444", "offset 41")</f>
        <v>offset 41</v>
      </c>
    </row>
    <row r="15541" customFormat="false" ht="12.8" hidden="false" customHeight="false" outlineLevel="0" collapsed="false">
      <c r="A15541" s="0" t="s">
        <v>12</v>
      </c>
      <c r="B15541" s="0" t="n">
        <v>4800198</v>
      </c>
      <c r="C15541" s="0" t="n">
        <v>4800218</v>
      </c>
      <c r="D15541" s="0" t="s">
        <v>51666</v>
      </c>
      <c r="E15541" s="0" t="s">
        <v>51667</v>
      </c>
      <c r="F15541" s="0" t="s">
        <v>90</v>
      </c>
      <c r="G15541" s="0" t="s">
        <v>32</v>
      </c>
      <c r="H15541" s="0" t="n">
        <v>97</v>
      </c>
      <c r="I15541" s="0" t="s">
        <v>51674</v>
      </c>
      <c r="J15541" s="0" t="s">
        <v>51675</v>
      </c>
      <c r="K15541" s="0" t="s">
        <v>51676</v>
      </c>
      <c r="L15541" s="0" t="str">
        <f aca="false">HYPERLINK("https://www.ncbi.nlm.nih.gov/nuccore/CP000058.1?report=graph&amp;tracks=[key:gene_model_track,Options:GeneOnly]&amp;mk=4800282:4800301|offset_14|444444,4800255:4800274|offset_41|444444,4800199:4800218|offset_97|00cc00,4800154:4800173|offset_142|444444&amp;v=4800081:4800373&amp;c=444444", "offset 97")</f>
        <v>offset 97</v>
      </c>
    </row>
    <row r="15542" customFormat="false" ht="12.8" hidden="false" customHeight="false" outlineLevel="0" collapsed="false">
      <c r="A15542" s="0" t="s">
        <v>12</v>
      </c>
      <c r="B15542" s="0" t="n">
        <v>4800153</v>
      </c>
      <c r="C15542" s="0" t="n">
        <v>4800173</v>
      </c>
      <c r="D15542" s="0" t="s">
        <v>51666</v>
      </c>
      <c r="E15542" s="0" t="s">
        <v>51667</v>
      </c>
      <c r="F15542" s="0" t="s">
        <v>90</v>
      </c>
      <c r="G15542" s="0" t="s">
        <v>36</v>
      </c>
      <c r="H15542" s="0" t="n">
        <v>142</v>
      </c>
      <c r="I15542" s="0" t="s">
        <v>51677</v>
      </c>
      <c r="J15542" s="0" t="s">
        <v>51678</v>
      </c>
      <c r="K15542" s="0" t="s">
        <v>51679</v>
      </c>
      <c r="L15542" s="0" t="str">
        <f aca="false">HYPERLINK("https://www.ncbi.nlm.nih.gov/nuccore/CP000058.1?report=graph&amp;tracks=[key:gene_model_track,Options:GeneOnly]&amp;mk=4800282:4800301|offset_14|444444,4800255:4800274|offset_41|444444,4800199:4800218|offset_97|444444,4800154:4800173|offset_142|00cc00&amp;v=4800081:4800373&amp;c=444444", "offset 142")</f>
        <v>offset 142</v>
      </c>
    </row>
    <row r="15543" customFormat="false" ht="12.8" hidden="false" customHeight="false" outlineLevel="0" collapsed="false">
      <c r="A15543" s="0" t="s">
        <v>12</v>
      </c>
      <c r="B15543" s="0" t="n">
        <v>4800317</v>
      </c>
      <c r="C15543" s="0" t="n">
        <v>4800337</v>
      </c>
      <c r="D15543" s="0" t="s">
        <v>51680</v>
      </c>
      <c r="E15543" s="0" t="s">
        <v>51681</v>
      </c>
      <c r="F15543" s="0" t="s">
        <v>15</v>
      </c>
      <c r="G15543" s="0" t="s">
        <v>16</v>
      </c>
      <c r="H15543" s="0" t="n">
        <v>0</v>
      </c>
      <c r="I15543" s="0" t="s">
        <v>51682</v>
      </c>
      <c r="J15543" s="0" t="s">
        <v>51683</v>
      </c>
      <c r="K15543" s="0" t="s">
        <v>51684</v>
      </c>
      <c r="L15543" s="0" t="str">
        <f aca="false">HYPERLINK("https://www.ncbi.nlm.nih.gov/nuccore/CP000058.1?report=graph&amp;tracks=[key:gene_model_track,Options:GeneOnly]&amp;mk=4800318:4800337|offset_0|00cc00,4800346:4800365|offset_28|444444,4800379:4800398|offset_61|444444,4800416:4800435|offset_98|444444&amp;v=4800117:4800635&amp;c=444444", "offset 0")</f>
        <v>offset 0</v>
      </c>
    </row>
    <row r="15544" customFormat="false" ht="12.8" hidden="false" customHeight="false" outlineLevel="0" collapsed="false">
      <c r="A15544" s="0" t="s">
        <v>12</v>
      </c>
      <c r="B15544" s="0" t="n">
        <v>4800345</v>
      </c>
      <c r="C15544" s="0" t="n">
        <v>4800365</v>
      </c>
      <c r="D15544" s="0" t="s">
        <v>51680</v>
      </c>
      <c r="E15544" s="0" t="s">
        <v>51681</v>
      </c>
      <c r="F15544" s="0" t="s">
        <v>15</v>
      </c>
      <c r="G15544" s="0" t="s">
        <v>32</v>
      </c>
      <c r="H15544" s="0" t="n">
        <v>28</v>
      </c>
      <c r="I15544" s="0" t="s">
        <v>51685</v>
      </c>
      <c r="J15544" s="0" t="s">
        <v>51686</v>
      </c>
      <c r="K15544" s="0" t="s">
        <v>51687</v>
      </c>
      <c r="L15544" s="0" t="str">
        <f aca="false">HYPERLINK("https://www.ncbi.nlm.nih.gov/nuccore/CP000058.1?report=graph&amp;tracks=[key:gene_model_track,Options:GeneOnly]&amp;mk=4800318:4800337|offset_0|444444,4800346:4800365|offset_28|00cc00,4800379:4800398|offset_61|444444,4800416:4800435|offset_98|444444&amp;v=4800117:4800635&amp;c=444444", "offset 28")</f>
        <v>offset 28</v>
      </c>
    </row>
    <row r="15545" customFormat="false" ht="12.8" hidden="false" customHeight="false" outlineLevel="0" collapsed="false">
      <c r="A15545" s="0" t="s">
        <v>12</v>
      </c>
      <c r="B15545" s="0" t="n">
        <v>4800378</v>
      </c>
      <c r="C15545" s="0" t="n">
        <v>4800398</v>
      </c>
      <c r="D15545" s="0" t="s">
        <v>51680</v>
      </c>
      <c r="E15545" s="0" t="s">
        <v>51681</v>
      </c>
      <c r="F15545" s="0" t="s">
        <v>15</v>
      </c>
      <c r="G15545" s="0" t="s">
        <v>16</v>
      </c>
      <c r="H15545" s="0" t="n">
        <v>61</v>
      </c>
      <c r="I15545" s="0" t="s">
        <v>51688</v>
      </c>
      <c r="J15545" s="0" t="s">
        <v>51689</v>
      </c>
      <c r="K15545" s="0" t="s">
        <v>51690</v>
      </c>
      <c r="L15545" s="0" t="str">
        <f aca="false">HYPERLINK("https://www.ncbi.nlm.nih.gov/nuccore/CP000058.1?report=graph&amp;tracks=[key:gene_model_track,Options:GeneOnly]&amp;mk=4800318:4800337|offset_0|444444,4800346:4800365|offset_28|444444,4800379:4800398|offset_61|00cc00,4800416:4800435|offset_98|444444&amp;v=4800117:4800635&amp;c=444444", "offset 61")</f>
        <v>offset 61</v>
      </c>
    </row>
    <row r="15546" customFormat="false" ht="12.8" hidden="false" customHeight="false" outlineLevel="0" collapsed="false">
      <c r="A15546" s="0" t="s">
        <v>12</v>
      </c>
      <c r="B15546" s="0" t="n">
        <v>4800415</v>
      </c>
      <c r="C15546" s="0" t="n">
        <v>4800435</v>
      </c>
      <c r="D15546" s="0" t="s">
        <v>51680</v>
      </c>
      <c r="E15546" s="0" t="s">
        <v>51681</v>
      </c>
      <c r="F15546" s="0" t="s">
        <v>15</v>
      </c>
      <c r="G15546" s="0" t="s">
        <v>32</v>
      </c>
      <c r="H15546" s="0" t="n">
        <v>98</v>
      </c>
      <c r="I15546" s="0" t="s">
        <v>51691</v>
      </c>
      <c r="J15546" s="0" t="s">
        <v>51692</v>
      </c>
      <c r="K15546" s="0" t="s">
        <v>51693</v>
      </c>
      <c r="L15546" s="0" t="str">
        <f aca="false">HYPERLINK("https://www.ncbi.nlm.nih.gov/nuccore/CP000058.1?report=graph&amp;tracks=[key:gene_model_track,Options:GeneOnly]&amp;mk=4800318:4800337|offset_0|444444,4800346:4800365|offset_28|444444,4800379:4800398|offset_61|444444,4800416:4800435|offset_98|00cc00&amp;v=4800117:4800635&amp;c=444444", "offset 98")</f>
        <v>offset 98</v>
      </c>
    </row>
    <row r="15547" customFormat="false" ht="12.8" hidden="false" customHeight="false" outlineLevel="0" collapsed="false">
      <c r="A15547" s="0" t="s">
        <v>12</v>
      </c>
      <c r="B15547" s="0" t="n">
        <v>4801158</v>
      </c>
      <c r="C15547" s="0" t="n">
        <v>4801178</v>
      </c>
      <c r="D15547" s="0" t="s">
        <v>51694</v>
      </c>
      <c r="E15547" s="0" t="s">
        <v>75</v>
      </c>
      <c r="F15547" s="0" t="s">
        <v>90</v>
      </c>
      <c r="G15547" s="0" t="s">
        <v>20</v>
      </c>
      <c r="H15547" s="0" t="n">
        <v>40</v>
      </c>
      <c r="I15547" s="0" t="s">
        <v>51695</v>
      </c>
      <c r="J15547" s="0" t="s">
        <v>51696</v>
      </c>
      <c r="K15547" s="0" t="s">
        <v>51697</v>
      </c>
      <c r="L15547" s="0" t="str">
        <f aca="false">HYPERLINK("https://www.ncbi.nlm.nih.gov/nuccore/CP000058.1?report=graph&amp;tracks=[key:gene_model_track,Options:GeneOnly]&amp;mk=4801159:4801178|offset_40|00cc00,4801121:4801140|offset_78|444444,4801063:4801082|offset_136|444444,4801039:4801058|offset_160|444444&amp;v=4800958:4801258&amp;c=444444", "offset 40")</f>
        <v>offset 40</v>
      </c>
    </row>
    <row r="15548" customFormat="false" ht="12.8" hidden="false" customHeight="false" outlineLevel="0" collapsed="false">
      <c r="A15548" s="0" t="s">
        <v>12</v>
      </c>
      <c r="B15548" s="0" t="n">
        <v>4801120</v>
      </c>
      <c r="C15548" s="0" t="n">
        <v>4801140</v>
      </c>
      <c r="D15548" s="0" t="s">
        <v>51694</v>
      </c>
      <c r="E15548" s="0" t="s">
        <v>75</v>
      </c>
      <c r="F15548" s="0" t="s">
        <v>90</v>
      </c>
      <c r="G15548" s="0" t="s">
        <v>16</v>
      </c>
      <c r="H15548" s="0" t="n">
        <v>78</v>
      </c>
      <c r="I15548" s="0" t="s">
        <v>51698</v>
      </c>
      <c r="J15548" s="0" t="s">
        <v>51699</v>
      </c>
      <c r="K15548" s="0" t="s">
        <v>51700</v>
      </c>
      <c r="L15548" s="0" t="str">
        <f aca="false">HYPERLINK("https://www.ncbi.nlm.nih.gov/nuccore/CP000058.1?report=graph&amp;tracks=[key:gene_model_track,Options:GeneOnly]&amp;mk=4801159:4801178|offset_40|444444,4801121:4801140|offset_78|00cc00,4801063:4801082|offset_136|444444,4801039:4801058|offset_160|444444&amp;v=4800958:4801258&amp;c=444444", "offset 78")</f>
        <v>offset 78</v>
      </c>
    </row>
    <row r="15549" customFormat="false" ht="12.8" hidden="false" customHeight="false" outlineLevel="0" collapsed="false">
      <c r="A15549" s="0" t="s">
        <v>12</v>
      </c>
      <c r="B15549" s="0" t="n">
        <v>4801062</v>
      </c>
      <c r="C15549" s="0" t="n">
        <v>4801082</v>
      </c>
      <c r="D15549" s="0" t="s">
        <v>51694</v>
      </c>
      <c r="E15549" s="0" t="s">
        <v>75</v>
      </c>
      <c r="F15549" s="0" t="s">
        <v>90</v>
      </c>
      <c r="G15549" s="0" t="s">
        <v>16</v>
      </c>
      <c r="H15549" s="0" t="n">
        <v>136</v>
      </c>
      <c r="I15549" s="0" t="s">
        <v>51701</v>
      </c>
      <c r="J15549" s="0" t="s">
        <v>51702</v>
      </c>
      <c r="K15549" s="0" t="s">
        <v>51703</v>
      </c>
      <c r="L15549" s="0" t="str">
        <f aca="false">HYPERLINK("https://www.ncbi.nlm.nih.gov/nuccore/CP000058.1?report=graph&amp;tracks=[key:gene_model_track,Options:GeneOnly]&amp;mk=4801159:4801178|offset_40|444444,4801121:4801140|offset_78|444444,4801063:4801082|offset_136|00cc00,4801039:4801058|offset_160|444444&amp;v=4800958:4801258&amp;c=444444", "offset 136")</f>
        <v>offset 136</v>
      </c>
    </row>
    <row r="15550" customFormat="false" ht="12.8" hidden="false" customHeight="false" outlineLevel="0" collapsed="false">
      <c r="A15550" s="0" t="s">
        <v>12</v>
      </c>
      <c r="B15550" s="0" t="n">
        <v>4801038</v>
      </c>
      <c r="C15550" s="0" t="n">
        <v>4801058</v>
      </c>
      <c r="D15550" s="0" t="s">
        <v>51694</v>
      </c>
      <c r="E15550" s="0" t="s">
        <v>75</v>
      </c>
      <c r="F15550" s="0" t="s">
        <v>90</v>
      </c>
      <c r="G15550" s="0" t="s">
        <v>16</v>
      </c>
      <c r="H15550" s="0" t="n">
        <v>160</v>
      </c>
      <c r="I15550" s="0" t="s">
        <v>51704</v>
      </c>
      <c r="J15550" s="0" t="s">
        <v>51705</v>
      </c>
      <c r="K15550" s="0" t="s">
        <v>51706</v>
      </c>
      <c r="L15550" s="0" t="str">
        <f aca="false">HYPERLINK("https://www.ncbi.nlm.nih.gov/nuccore/CP000058.1?report=graph&amp;tracks=[key:gene_model_track,Options:GeneOnly]&amp;mk=4801159:4801178|offset_40|444444,4801121:4801140|offset_78|444444,4801063:4801082|offset_136|444444,4801039:4801058|offset_160|00cc00&amp;v=4800958:4801258&amp;c=444444", "offset 160")</f>
        <v>offset 160</v>
      </c>
    </row>
    <row r="15551" customFormat="false" ht="12.8" hidden="false" customHeight="false" outlineLevel="0" collapsed="false">
      <c r="A15551" s="0" t="s">
        <v>12</v>
      </c>
      <c r="B15551" s="0" t="n">
        <v>4801589</v>
      </c>
      <c r="C15551" s="0" t="n">
        <v>4801609</v>
      </c>
      <c r="D15551" s="0" t="s">
        <v>51707</v>
      </c>
      <c r="E15551" s="0" t="s">
        <v>75</v>
      </c>
      <c r="F15551" s="0" t="s">
        <v>90</v>
      </c>
      <c r="G15551" s="0" t="s">
        <v>16</v>
      </c>
      <c r="H15551" s="0" t="n">
        <v>75</v>
      </c>
      <c r="I15551" s="0" t="s">
        <v>51708</v>
      </c>
      <c r="J15551" s="0" t="s">
        <v>51709</v>
      </c>
      <c r="K15551" s="0" t="s">
        <v>51710</v>
      </c>
      <c r="L15551" s="0" t="str">
        <f aca="false">HYPERLINK("https://www.ncbi.nlm.nih.gov/nuccore/CP000058.1?report=graph&amp;tracks=[key:gene_model_track,Options:GeneOnly]&amp;mk=4801590:4801609|offset_75|00cc00,4801564:4801583|offset_101|444444,4801539:4801558|offset_126|444444,4801514:4801533|offset_151|444444&amp;v=4801389:4801733&amp;c=444444", "offset 75")</f>
        <v>offset 75</v>
      </c>
    </row>
    <row r="15552" customFormat="false" ht="12.8" hidden="false" customHeight="false" outlineLevel="0" collapsed="false">
      <c r="A15552" s="0" t="s">
        <v>12</v>
      </c>
      <c r="B15552" s="0" t="n">
        <v>4801563</v>
      </c>
      <c r="C15552" s="0" t="n">
        <v>4801583</v>
      </c>
      <c r="D15552" s="0" t="s">
        <v>51707</v>
      </c>
      <c r="E15552" s="0" t="s">
        <v>75</v>
      </c>
      <c r="F15552" s="0" t="s">
        <v>90</v>
      </c>
      <c r="G15552" s="0" t="s">
        <v>20</v>
      </c>
      <c r="H15552" s="0" t="n">
        <v>101</v>
      </c>
      <c r="I15552" s="0" t="s">
        <v>51711</v>
      </c>
      <c r="J15552" s="0" t="s">
        <v>51712</v>
      </c>
      <c r="K15552" s="0" t="s">
        <v>51713</v>
      </c>
      <c r="L15552" s="0" t="str">
        <f aca="false">HYPERLINK("https://www.ncbi.nlm.nih.gov/nuccore/CP000058.1?report=graph&amp;tracks=[key:gene_model_track,Options:GeneOnly]&amp;mk=4801590:4801609|offset_75|444444,4801564:4801583|offset_101|00cc00,4801539:4801558|offset_126|444444,4801514:4801533|offset_151|444444&amp;v=4801389:4801733&amp;c=444444", "offset 101")</f>
        <v>offset 101</v>
      </c>
    </row>
    <row r="15553" customFormat="false" ht="12.8" hidden="false" customHeight="false" outlineLevel="0" collapsed="false">
      <c r="A15553" s="0" t="s">
        <v>12</v>
      </c>
      <c r="B15553" s="0" t="n">
        <v>4801538</v>
      </c>
      <c r="C15553" s="0" t="n">
        <v>4801558</v>
      </c>
      <c r="D15553" s="0" t="s">
        <v>51707</v>
      </c>
      <c r="E15553" s="0" t="s">
        <v>75</v>
      </c>
      <c r="F15553" s="0" t="s">
        <v>90</v>
      </c>
      <c r="G15553" s="0" t="s">
        <v>36</v>
      </c>
      <c r="H15553" s="0" t="n">
        <v>126</v>
      </c>
      <c r="I15553" s="0" t="s">
        <v>51714</v>
      </c>
      <c r="J15553" s="0" t="s">
        <v>51715</v>
      </c>
      <c r="K15553" s="0" t="s">
        <v>51716</v>
      </c>
      <c r="L15553" s="0" t="str">
        <f aca="false">HYPERLINK("https://www.ncbi.nlm.nih.gov/nuccore/CP000058.1?report=graph&amp;tracks=[key:gene_model_track,Options:GeneOnly]&amp;mk=4801590:4801609|offset_75|444444,4801564:4801583|offset_101|444444,4801539:4801558|offset_126|00cc00,4801514:4801533|offset_151|444444&amp;v=4801389:4801733&amp;c=444444", "offset 126")</f>
        <v>offset 126</v>
      </c>
    </row>
    <row r="15554" customFormat="false" ht="12.8" hidden="false" customHeight="false" outlineLevel="0" collapsed="false">
      <c r="A15554" s="0" t="s">
        <v>12</v>
      </c>
      <c r="B15554" s="0" t="n">
        <v>4801513</v>
      </c>
      <c r="C15554" s="0" t="n">
        <v>4801533</v>
      </c>
      <c r="D15554" s="0" t="s">
        <v>51707</v>
      </c>
      <c r="E15554" s="0" t="s">
        <v>75</v>
      </c>
      <c r="F15554" s="0" t="s">
        <v>90</v>
      </c>
      <c r="G15554" s="0" t="s">
        <v>16</v>
      </c>
      <c r="H15554" s="0" t="n">
        <v>151</v>
      </c>
      <c r="I15554" s="0" t="s">
        <v>51717</v>
      </c>
      <c r="J15554" s="0" t="s">
        <v>51718</v>
      </c>
      <c r="K15554" s="0" t="s">
        <v>51719</v>
      </c>
      <c r="L15554" s="0" t="str">
        <f aca="false">HYPERLINK("https://www.ncbi.nlm.nih.gov/nuccore/CP000058.1?report=graph&amp;tracks=[key:gene_model_track,Options:GeneOnly]&amp;mk=4801590:4801609|offset_75|444444,4801564:4801583|offset_101|444444,4801539:4801558|offset_126|444444,4801514:4801533|offset_151|00cc00&amp;v=4801389:4801733&amp;c=444444", "offset 151")</f>
        <v>offset 151</v>
      </c>
    </row>
    <row r="15555" customFormat="false" ht="12.8" hidden="false" customHeight="false" outlineLevel="0" collapsed="false">
      <c r="A15555" s="0" t="s">
        <v>12</v>
      </c>
      <c r="B15555" s="0" t="n">
        <v>4803010</v>
      </c>
      <c r="C15555" s="0" t="n">
        <v>4803030</v>
      </c>
      <c r="D15555" s="0" t="s">
        <v>51720</v>
      </c>
      <c r="E15555" s="0" t="s">
        <v>75</v>
      </c>
      <c r="F15555" s="0" t="s">
        <v>90</v>
      </c>
      <c r="G15555" s="0" t="s">
        <v>32</v>
      </c>
      <c r="H15555" s="0" t="n">
        <v>26</v>
      </c>
      <c r="I15555" s="0" t="s">
        <v>51721</v>
      </c>
      <c r="J15555" s="0" t="s">
        <v>51722</v>
      </c>
      <c r="K15555" s="0" t="s">
        <v>51723</v>
      </c>
      <c r="L15555" s="0" t="str">
        <f aca="false">HYPERLINK("https://www.ncbi.nlm.nih.gov/nuccore/CP000058.1?report=graph&amp;tracks=[key:gene_model_track,Options:GeneOnly]&amp;mk=4803011:4803030|offset_26|00cc00,4802978:4802997|offset_59|444444,4802958:4802977|offset_79|444444,4802929:4802948|offset_108|444444&amp;v=4802810:4803148&amp;c=444444", "offset 26")</f>
        <v>offset 26</v>
      </c>
    </row>
    <row r="15556" customFormat="false" ht="12.8" hidden="false" customHeight="false" outlineLevel="0" collapsed="false">
      <c r="A15556" s="0" t="s">
        <v>12</v>
      </c>
      <c r="B15556" s="0" t="n">
        <v>4802977</v>
      </c>
      <c r="C15556" s="0" t="n">
        <v>4802997</v>
      </c>
      <c r="D15556" s="0" t="s">
        <v>51720</v>
      </c>
      <c r="E15556" s="0" t="s">
        <v>75</v>
      </c>
      <c r="F15556" s="0" t="s">
        <v>90</v>
      </c>
      <c r="G15556" s="0" t="s">
        <v>20</v>
      </c>
      <c r="H15556" s="0" t="n">
        <v>59</v>
      </c>
      <c r="I15556" s="0" t="s">
        <v>51724</v>
      </c>
      <c r="J15556" s="0" t="s">
        <v>51725</v>
      </c>
      <c r="K15556" s="0" t="s">
        <v>51726</v>
      </c>
      <c r="L15556" s="0" t="str">
        <f aca="false">HYPERLINK("https://www.ncbi.nlm.nih.gov/nuccore/CP000058.1?report=graph&amp;tracks=[key:gene_model_track,Options:GeneOnly]&amp;mk=4803011:4803030|offset_26|444444,4802978:4802997|offset_59|00cc00,4802958:4802977|offset_79|444444,4802929:4802948|offset_108|444444&amp;v=4802810:4803148&amp;c=444444", "offset 59")</f>
        <v>offset 59</v>
      </c>
    </row>
    <row r="15557" customFormat="false" ht="12.8" hidden="false" customHeight="false" outlineLevel="0" collapsed="false">
      <c r="A15557" s="0" t="s">
        <v>12</v>
      </c>
      <c r="B15557" s="0" t="n">
        <v>4802957</v>
      </c>
      <c r="C15557" s="0" t="n">
        <v>4802977</v>
      </c>
      <c r="D15557" s="0" t="s">
        <v>51720</v>
      </c>
      <c r="E15557" s="0" t="s">
        <v>75</v>
      </c>
      <c r="F15557" s="0" t="s">
        <v>90</v>
      </c>
      <c r="G15557" s="0" t="s">
        <v>16</v>
      </c>
      <c r="H15557" s="0" t="n">
        <v>79</v>
      </c>
      <c r="I15557" s="0" t="s">
        <v>51727</v>
      </c>
      <c r="J15557" s="0" t="s">
        <v>51728</v>
      </c>
      <c r="K15557" s="0" t="s">
        <v>51729</v>
      </c>
      <c r="L15557" s="0" t="str">
        <f aca="false">HYPERLINK("https://www.ncbi.nlm.nih.gov/nuccore/CP000058.1?report=graph&amp;tracks=[key:gene_model_track,Options:GeneOnly]&amp;mk=4803011:4803030|offset_26|444444,4802978:4802997|offset_59|444444,4802958:4802977|offset_79|00cc00,4802929:4802948|offset_108|444444&amp;v=4802810:4803148&amp;c=444444", "offset 79")</f>
        <v>offset 79</v>
      </c>
    </row>
    <row r="15558" customFormat="false" ht="12.8" hidden="false" customHeight="false" outlineLevel="0" collapsed="false">
      <c r="A15558" s="0" t="s">
        <v>12</v>
      </c>
      <c r="B15558" s="0" t="n">
        <v>4802928</v>
      </c>
      <c r="C15558" s="0" t="n">
        <v>4802948</v>
      </c>
      <c r="D15558" s="0" t="s">
        <v>51720</v>
      </c>
      <c r="E15558" s="0" t="s">
        <v>75</v>
      </c>
      <c r="F15558" s="0" t="s">
        <v>90</v>
      </c>
      <c r="G15558" s="0" t="s">
        <v>16</v>
      </c>
      <c r="H15558" s="0" t="n">
        <v>108</v>
      </c>
      <c r="I15558" s="0" t="s">
        <v>51730</v>
      </c>
      <c r="J15558" s="0" t="s">
        <v>51731</v>
      </c>
      <c r="K15558" s="0" t="s">
        <v>51732</v>
      </c>
      <c r="L15558" s="0" t="str">
        <f aca="false">HYPERLINK("https://www.ncbi.nlm.nih.gov/nuccore/CP000058.1?report=graph&amp;tracks=[key:gene_model_track,Options:GeneOnly]&amp;mk=4803011:4803030|offset_26|444444,4802978:4802997|offset_59|444444,4802958:4802977|offset_79|444444,4802929:4802948|offset_108|00cc00&amp;v=4802810:4803148&amp;c=444444", "offset 108")</f>
        <v>offset 108</v>
      </c>
    </row>
    <row r="15559" customFormat="false" ht="12.8" hidden="false" customHeight="false" outlineLevel="0" collapsed="false">
      <c r="A15559" s="0" t="s">
        <v>12</v>
      </c>
      <c r="B15559" s="0" t="n">
        <v>4803169</v>
      </c>
      <c r="C15559" s="0" t="n">
        <v>4803189</v>
      </c>
      <c r="D15559" s="0" t="s">
        <v>51733</v>
      </c>
      <c r="E15559" s="0" t="s">
        <v>51734</v>
      </c>
      <c r="F15559" s="0" t="s">
        <v>15</v>
      </c>
      <c r="G15559" s="0" t="s">
        <v>20</v>
      </c>
      <c r="H15559" s="0" t="n">
        <v>0</v>
      </c>
      <c r="I15559" s="0" t="s">
        <v>51735</v>
      </c>
      <c r="J15559" s="0" t="s">
        <v>51736</v>
      </c>
      <c r="K15559" s="0" t="s">
        <v>51737</v>
      </c>
      <c r="L15559" s="0" t="str">
        <f aca="false">HYPERLINK("https://www.ncbi.nlm.nih.gov/nuccore/CP000058.1?report=graph&amp;tracks=[key:gene_model_track,Options:GeneOnly]&amp;mk=4803170:4803189|offset_0|00cc00,4803193:4803212|offset_23|444444,4803261:4803280|offset_91|444444,4803295:4803314|offset_125|444444&amp;v=4802969:4803514&amp;c=444444", "offset 0")</f>
        <v>offset 0</v>
      </c>
    </row>
    <row r="15560" customFormat="false" ht="12.8" hidden="false" customHeight="false" outlineLevel="0" collapsed="false">
      <c r="A15560" s="0" t="s">
        <v>12</v>
      </c>
      <c r="B15560" s="0" t="n">
        <v>4803192</v>
      </c>
      <c r="C15560" s="0" t="n">
        <v>4803212</v>
      </c>
      <c r="D15560" s="0" t="s">
        <v>51733</v>
      </c>
      <c r="E15560" s="0" t="s">
        <v>51734</v>
      </c>
      <c r="F15560" s="0" t="s">
        <v>15</v>
      </c>
      <c r="G15560" s="0" t="s">
        <v>36</v>
      </c>
      <c r="H15560" s="0" t="n">
        <v>23</v>
      </c>
      <c r="I15560" s="0" t="s">
        <v>51738</v>
      </c>
      <c r="J15560" s="0" t="s">
        <v>51739</v>
      </c>
      <c r="K15560" s="0" t="s">
        <v>51740</v>
      </c>
      <c r="L15560" s="0" t="str">
        <f aca="false">HYPERLINK("https://www.ncbi.nlm.nih.gov/nuccore/CP000058.1?report=graph&amp;tracks=[key:gene_model_track,Options:GeneOnly]&amp;mk=4803170:4803189|offset_0|444444,4803193:4803212|offset_23|00cc00,4803261:4803280|offset_91|444444,4803295:4803314|offset_125|444444&amp;v=4802969:4803514&amp;c=444444", "offset 23")</f>
        <v>offset 23</v>
      </c>
    </row>
    <row r="15561" customFormat="false" ht="12.8" hidden="false" customHeight="false" outlineLevel="0" collapsed="false">
      <c r="A15561" s="0" t="s">
        <v>12</v>
      </c>
      <c r="B15561" s="0" t="n">
        <v>4803260</v>
      </c>
      <c r="C15561" s="0" t="n">
        <v>4803280</v>
      </c>
      <c r="D15561" s="0" t="s">
        <v>51733</v>
      </c>
      <c r="E15561" s="0" t="s">
        <v>51734</v>
      </c>
      <c r="F15561" s="0" t="s">
        <v>15</v>
      </c>
      <c r="G15561" s="0" t="s">
        <v>16</v>
      </c>
      <c r="H15561" s="0" t="n">
        <v>91</v>
      </c>
      <c r="I15561" s="0" t="s">
        <v>51741</v>
      </c>
      <c r="J15561" s="0" t="s">
        <v>51742</v>
      </c>
      <c r="K15561" s="0" t="s">
        <v>51743</v>
      </c>
      <c r="L15561" s="0" t="str">
        <f aca="false">HYPERLINK("https://www.ncbi.nlm.nih.gov/nuccore/CP000058.1?report=graph&amp;tracks=[key:gene_model_track,Options:GeneOnly]&amp;mk=4803170:4803189|offset_0|444444,4803193:4803212|offset_23|444444,4803261:4803280|offset_91|00cc00,4803295:4803314|offset_125|444444&amp;v=4802969:4803514&amp;c=444444", "offset 91")</f>
        <v>offset 91</v>
      </c>
    </row>
    <row r="15562" customFormat="false" ht="12.8" hidden="false" customHeight="false" outlineLevel="0" collapsed="false">
      <c r="A15562" s="0" t="s">
        <v>12</v>
      </c>
      <c r="B15562" s="0" t="n">
        <v>4803294</v>
      </c>
      <c r="C15562" s="0" t="n">
        <v>4803314</v>
      </c>
      <c r="D15562" s="0" t="s">
        <v>51733</v>
      </c>
      <c r="E15562" s="0" t="s">
        <v>51734</v>
      </c>
      <c r="F15562" s="0" t="s">
        <v>15</v>
      </c>
      <c r="G15562" s="0" t="s">
        <v>20</v>
      </c>
      <c r="H15562" s="0" t="n">
        <v>125</v>
      </c>
      <c r="I15562" s="0" t="s">
        <v>51744</v>
      </c>
      <c r="J15562" s="0" t="s">
        <v>51745</v>
      </c>
      <c r="K15562" s="0" t="s">
        <v>51746</v>
      </c>
      <c r="L15562" s="0" t="str">
        <f aca="false">HYPERLINK("https://www.ncbi.nlm.nih.gov/nuccore/CP000058.1?report=graph&amp;tracks=[key:gene_model_track,Options:GeneOnly]&amp;mk=4803170:4803189|offset_0|444444,4803193:4803212|offset_23|444444,4803261:4803280|offset_91|444444,4803295:4803314|offset_125|00cc00&amp;v=4802969:4803514&amp;c=444444", "offset 125")</f>
        <v>offset 125</v>
      </c>
    </row>
    <row r="15563" customFormat="false" ht="12.8" hidden="false" customHeight="false" outlineLevel="0" collapsed="false">
      <c r="A15563" s="0" t="s">
        <v>12</v>
      </c>
      <c r="B15563" s="0" t="n">
        <v>4803955</v>
      </c>
      <c r="C15563" s="0" t="n">
        <v>4803975</v>
      </c>
      <c r="D15563" s="0" t="s">
        <v>51747</v>
      </c>
      <c r="E15563" s="0" t="s">
        <v>75</v>
      </c>
      <c r="F15563" s="0" t="s">
        <v>15</v>
      </c>
      <c r="G15563" s="0" t="s">
        <v>16</v>
      </c>
      <c r="H15563" s="0" t="n">
        <v>13</v>
      </c>
      <c r="I15563" s="0" t="s">
        <v>51748</v>
      </c>
      <c r="J15563" s="0" t="s">
        <v>51749</v>
      </c>
      <c r="K15563" s="0" t="s">
        <v>51750</v>
      </c>
      <c r="L15563" s="0" t="str">
        <f aca="false">HYPERLINK("https://www.ncbi.nlm.nih.gov/nuccore/CP000058.1?report=graph&amp;tracks=[key:gene_model_track,Options:GeneOnly]&amp;mk=4803956:4803975|offset_13|00cc00,4803983:4804002|offset_40|444444,4804010:4804029|offset_67|444444,4804067:4804086|offset_124|444444&amp;v=4803755:4804286&amp;c=444444", "offset 13")</f>
        <v>offset 13</v>
      </c>
    </row>
    <row r="15564" customFormat="false" ht="12.8" hidden="false" customHeight="false" outlineLevel="0" collapsed="false">
      <c r="A15564" s="0" t="s">
        <v>12</v>
      </c>
      <c r="B15564" s="0" t="n">
        <v>4803982</v>
      </c>
      <c r="C15564" s="0" t="n">
        <v>4804002</v>
      </c>
      <c r="D15564" s="0" t="s">
        <v>51747</v>
      </c>
      <c r="E15564" s="0" t="s">
        <v>75</v>
      </c>
      <c r="F15564" s="0" t="s">
        <v>15</v>
      </c>
      <c r="G15564" s="0" t="s">
        <v>16</v>
      </c>
      <c r="H15564" s="0" t="n">
        <v>40</v>
      </c>
      <c r="I15564" s="0" t="s">
        <v>51751</v>
      </c>
      <c r="J15564" s="0" t="s">
        <v>51752</v>
      </c>
      <c r="K15564" s="0" t="s">
        <v>51753</v>
      </c>
      <c r="L15564" s="0" t="str">
        <f aca="false">HYPERLINK("https://www.ncbi.nlm.nih.gov/nuccore/CP000058.1?report=graph&amp;tracks=[key:gene_model_track,Options:GeneOnly]&amp;mk=4803956:4803975|offset_13|444444,4803983:4804002|offset_40|00cc00,4804010:4804029|offset_67|444444,4804067:4804086|offset_124|444444&amp;v=4803755:4804286&amp;c=444444", "offset 40")</f>
        <v>offset 40</v>
      </c>
    </row>
    <row r="15565" customFormat="false" ht="12.8" hidden="false" customHeight="false" outlineLevel="0" collapsed="false">
      <c r="A15565" s="0" t="s">
        <v>12</v>
      </c>
      <c r="B15565" s="0" t="n">
        <v>4804009</v>
      </c>
      <c r="C15565" s="0" t="n">
        <v>4804029</v>
      </c>
      <c r="D15565" s="0" t="s">
        <v>51747</v>
      </c>
      <c r="E15565" s="0" t="s">
        <v>75</v>
      </c>
      <c r="F15565" s="0" t="s">
        <v>15</v>
      </c>
      <c r="G15565" s="0" t="s">
        <v>16</v>
      </c>
      <c r="H15565" s="0" t="n">
        <v>67</v>
      </c>
      <c r="I15565" s="0" t="s">
        <v>51754</v>
      </c>
      <c r="J15565" s="0" t="s">
        <v>51755</v>
      </c>
      <c r="K15565" s="0" t="s">
        <v>51756</v>
      </c>
      <c r="L15565" s="0" t="str">
        <f aca="false">HYPERLINK("https://www.ncbi.nlm.nih.gov/nuccore/CP000058.1?report=graph&amp;tracks=[key:gene_model_track,Options:GeneOnly]&amp;mk=4803956:4803975|offset_13|444444,4803983:4804002|offset_40|444444,4804010:4804029|offset_67|00cc00,4804067:4804086|offset_124|444444&amp;v=4803755:4804286&amp;c=444444", "offset 67")</f>
        <v>offset 67</v>
      </c>
    </row>
    <row r="15566" customFormat="false" ht="12.8" hidden="false" customHeight="false" outlineLevel="0" collapsed="false">
      <c r="A15566" s="0" t="s">
        <v>12</v>
      </c>
      <c r="B15566" s="0" t="n">
        <v>4804066</v>
      </c>
      <c r="C15566" s="0" t="n">
        <v>4804086</v>
      </c>
      <c r="D15566" s="0" t="s">
        <v>51747</v>
      </c>
      <c r="E15566" s="0" t="s">
        <v>75</v>
      </c>
      <c r="F15566" s="0" t="s">
        <v>15</v>
      </c>
      <c r="G15566" s="0" t="s">
        <v>16</v>
      </c>
      <c r="H15566" s="0" t="n">
        <v>124</v>
      </c>
      <c r="I15566" s="0" t="s">
        <v>51757</v>
      </c>
      <c r="J15566" s="0" t="s">
        <v>51758</v>
      </c>
      <c r="K15566" s="0" t="s">
        <v>51759</v>
      </c>
      <c r="L15566" s="0" t="str">
        <f aca="false">HYPERLINK("https://www.ncbi.nlm.nih.gov/nuccore/CP000058.1?report=graph&amp;tracks=[key:gene_model_track,Options:GeneOnly]&amp;mk=4803956:4803975|offset_13|444444,4803983:4804002|offset_40|444444,4804010:4804029|offset_67|444444,4804067:4804086|offset_124|00cc00&amp;v=4803755:4804286&amp;c=444444", "offset 124")</f>
        <v>offset 124</v>
      </c>
    </row>
    <row r="15567" customFormat="false" ht="12.8" hidden="false" customHeight="false" outlineLevel="0" collapsed="false">
      <c r="A15567" s="0" t="s">
        <v>12</v>
      </c>
      <c r="B15567" s="0" t="n">
        <v>4804838</v>
      </c>
      <c r="C15567" s="0" t="n">
        <v>4804858</v>
      </c>
      <c r="D15567" s="0" t="s">
        <v>51760</v>
      </c>
      <c r="E15567" s="0" t="s">
        <v>75</v>
      </c>
      <c r="F15567" s="0" t="s">
        <v>15</v>
      </c>
      <c r="G15567" s="0" t="s">
        <v>32</v>
      </c>
      <c r="H15567" s="0" t="n">
        <v>1</v>
      </c>
      <c r="I15567" s="0" t="s">
        <v>51761</v>
      </c>
      <c r="J15567" s="0" t="s">
        <v>51762</v>
      </c>
      <c r="K15567" s="0" t="s">
        <v>51763</v>
      </c>
      <c r="L15567" s="0" t="str">
        <f aca="false">HYPERLINK("https://www.ncbi.nlm.nih.gov/nuccore/CP000058.1?report=graph&amp;tracks=[key:gene_model_track,Options:GeneOnly]&amp;mk=4804839:4804858|offset_1|00cc00,4804861:4804880|offset_23|444444,4804884:4804903|offset_46|444444,4804906:4804925|offset_68|444444&amp;v=4804638:4805125&amp;c=444444", "offset 1")</f>
        <v>offset 1</v>
      </c>
    </row>
    <row r="15568" customFormat="false" ht="12.8" hidden="false" customHeight="false" outlineLevel="0" collapsed="false">
      <c r="A15568" s="0" t="s">
        <v>12</v>
      </c>
      <c r="B15568" s="0" t="n">
        <v>4804860</v>
      </c>
      <c r="C15568" s="0" t="n">
        <v>4804880</v>
      </c>
      <c r="D15568" s="0" t="s">
        <v>51760</v>
      </c>
      <c r="E15568" s="0" t="s">
        <v>75</v>
      </c>
      <c r="F15568" s="0" t="s">
        <v>15</v>
      </c>
      <c r="G15568" s="0" t="s">
        <v>20</v>
      </c>
      <c r="H15568" s="0" t="n">
        <v>23</v>
      </c>
      <c r="I15568" s="0" t="s">
        <v>51764</v>
      </c>
      <c r="J15568" s="0" t="s">
        <v>51765</v>
      </c>
      <c r="K15568" s="0" t="s">
        <v>51766</v>
      </c>
      <c r="L15568" s="0" t="str">
        <f aca="false">HYPERLINK("https://www.ncbi.nlm.nih.gov/nuccore/CP000058.1?report=graph&amp;tracks=[key:gene_model_track,Options:GeneOnly]&amp;mk=4804839:4804858|offset_1|444444,4804861:4804880|offset_23|00cc00,4804884:4804903|offset_46|444444,4804906:4804925|offset_68|444444&amp;v=4804638:4805125&amp;c=444444", "offset 23")</f>
        <v>offset 23</v>
      </c>
    </row>
    <row r="15569" customFormat="false" ht="12.8" hidden="false" customHeight="false" outlineLevel="0" collapsed="false">
      <c r="A15569" s="0" t="s">
        <v>12</v>
      </c>
      <c r="B15569" s="0" t="n">
        <v>4804883</v>
      </c>
      <c r="C15569" s="0" t="n">
        <v>4804903</v>
      </c>
      <c r="D15569" s="0" t="s">
        <v>51760</v>
      </c>
      <c r="E15569" s="0" t="s">
        <v>75</v>
      </c>
      <c r="F15569" s="0" t="s">
        <v>15</v>
      </c>
      <c r="G15569" s="0" t="s">
        <v>20</v>
      </c>
      <c r="H15569" s="0" t="n">
        <v>46</v>
      </c>
      <c r="I15569" s="0" t="s">
        <v>51767</v>
      </c>
      <c r="J15569" s="0" t="s">
        <v>51768</v>
      </c>
      <c r="K15569" s="0" t="s">
        <v>51769</v>
      </c>
      <c r="L15569" s="0" t="str">
        <f aca="false">HYPERLINK("https://www.ncbi.nlm.nih.gov/nuccore/CP000058.1?report=graph&amp;tracks=[key:gene_model_track,Options:GeneOnly]&amp;mk=4804839:4804858|offset_1|444444,4804861:4804880|offset_23|444444,4804884:4804903|offset_46|00cc00,4804906:4804925|offset_68|444444&amp;v=4804638:4805125&amp;c=444444", "offset 46")</f>
        <v>offset 46</v>
      </c>
    </row>
    <row r="15570" customFormat="false" ht="12.8" hidden="false" customHeight="false" outlineLevel="0" collapsed="false">
      <c r="A15570" s="0" t="s">
        <v>12</v>
      </c>
      <c r="B15570" s="0" t="n">
        <v>4804905</v>
      </c>
      <c r="C15570" s="0" t="n">
        <v>4804925</v>
      </c>
      <c r="D15570" s="0" t="s">
        <v>51760</v>
      </c>
      <c r="E15570" s="0" t="s">
        <v>75</v>
      </c>
      <c r="F15570" s="0" t="s">
        <v>15</v>
      </c>
      <c r="G15570" s="0" t="s">
        <v>36</v>
      </c>
      <c r="H15570" s="0" t="n">
        <v>68</v>
      </c>
      <c r="I15570" s="0" t="s">
        <v>51770</v>
      </c>
      <c r="J15570" s="0" t="s">
        <v>51771</v>
      </c>
      <c r="K15570" s="0" t="s">
        <v>51772</v>
      </c>
      <c r="L15570" s="0" t="str">
        <f aca="false">HYPERLINK("https://www.ncbi.nlm.nih.gov/nuccore/CP000058.1?report=graph&amp;tracks=[key:gene_model_track,Options:GeneOnly]&amp;mk=4804839:4804858|offset_1|444444,4804861:4804880|offset_23|444444,4804884:4804903|offset_46|444444,4804906:4804925|offset_68|00cc00&amp;v=4804638:4805125&amp;c=444444", "offset 68")</f>
        <v>offset 68</v>
      </c>
    </row>
    <row r="15571" customFormat="false" ht="12.8" hidden="false" customHeight="false" outlineLevel="0" collapsed="false">
      <c r="A15571" s="0" t="s">
        <v>12</v>
      </c>
      <c r="B15571" s="0" t="n">
        <v>4806727</v>
      </c>
      <c r="C15571" s="0" t="n">
        <v>4806747</v>
      </c>
      <c r="D15571" s="0" t="s">
        <v>51773</v>
      </c>
      <c r="E15571" s="0" t="s">
        <v>75</v>
      </c>
      <c r="F15571" s="0" t="s">
        <v>15</v>
      </c>
      <c r="G15571" s="0" t="s">
        <v>16</v>
      </c>
      <c r="H15571" s="0" t="n">
        <v>16</v>
      </c>
      <c r="I15571" s="0" t="s">
        <v>51774</v>
      </c>
      <c r="J15571" s="0" t="s">
        <v>51775</v>
      </c>
      <c r="K15571" s="0" t="s">
        <v>51776</v>
      </c>
      <c r="L15571" s="0" t="str">
        <f aca="false">HYPERLINK("https://www.ncbi.nlm.nih.gov/nuccore/CP000058.1?report=graph&amp;tracks=[key:gene_model_track,Options:GeneOnly]&amp;mk=4806728:4806747|offset_16|00cc00,4806812:4806831|offset_100|444444,4806837:4806856|offset_125|444444,4806858:4806877|offset_146|444444&amp;v=4806527:4807077&amp;c=444444", "offset 16")</f>
        <v>offset 16</v>
      </c>
    </row>
    <row r="15572" customFormat="false" ht="12.8" hidden="false" customHeight="false" outlineLevel="0" collapsed="false">
      <c r="A15572" s="0" t="s">
        <v>12</v>
      </c>
      <c r="B15572" s="0" t="n">
        <v>4806811</v>
      </c>
      <c r="C15572" s="0" t="n">
        <v>4806831</v>
      </c>
      <c r="D15572" s="0" t="s">
        <v>51773</v>
      </c>
      <c r="E15572" s="0" t="s">
        <v>75</v>
      </c>
      <c r="F15572" s="0" t="s">
        <v>15</v>
      </c>
      <c r="G15572" s="0" t="s">
        <v>32</v>
      </c>
      <c r="H15572" s="0" t="n">
        <v>100</v>
      </c>
      <c r="I15572" s="0" t="s">
        <v>51777</v>
      </c>
      <c r="J15572" s="0" t="s">
        <v>51778</v>
      </c>
      <c r="K15572" s="0" t="s">
        <v>51779</v>
      </c>
      <c r="L15572" s="0" t="str">
        <f aca="false">HYPERLINK("https://www.ncbi.nlm.nih.gov/nuccore/CP000058.1?report=graph&amp;tracks=[key:gene_model_track,Options:GeneOnly]&amp;mk=4806728:4806747|offset_16|444444,4806812:4806831|offset_100|00cc00,4806837:4806856|offset_125|444444,4806858:4806877|offset_146|444444&amp;v=4806527:4807077&amp;c=444444", "offset 100")</f>
        <v>offset 100</v>
      </c>
    </row>
    <row r="15573" customFormat="false" ht="12.8" hidden="false" customHeight="false" outlineLevel="0" collapsed="false">
      <c r="A15573" s="0" t="s">
        <v>12</v>
      </c>
      <c r="B15573" s="0" t="n">
        <v>4806836</v>
      </c>
      <c r="C15573" s="0" t="n">
        <v>4806856</v>
      </c>
      <c r="D15573" s="0" t="s">
        <v>51773</v>
      </c>
      <c r="E15573" s="0" t="s">
        <v>75</v>
      </c>
      <c r="F15573" s="0" t="s">
        <v>15</v>
      </c>
      <c r="G15573" s="0" t="s">
        <v>16</v>
      </c>
      <c r="H15573" s="0" t="n">
        <v>125</v>
      </c>
      <c r="I15573" s="0" t="s">
        <v>51780</v>
      </c>
      <c r="J15573" s="0" t="s">
        <v>51781</v>
      </c>
      <c r="K15573" s="0" t="s">
        <v>51782</v>
      </c>
      <c r="L15573" s="0" t="str">
        <f aca="false">HYPERLINK("https://www.ncbi.nlm.nih.gov/nuccore/CP000058.1?report=graph&amp;tracks=[key:gene_model_track,Options:GeneOnly]&amp;mk=4806728:4806747|offset_16|444444,4806812:4806831|offset_100|444444,4806837:4806856|offset_125|00cc00,4806858:4806877|offset_146|444444&amp;v=4806527:4807077&amp;c=444444", "offset 125")</f>
        <v>offset 125</v>
      </c>
    </row>
    <row r="15574" customFormat="false" ht="12.8" hidden="false" customHeight="false" outlineLevel="0" collapsed="false">
      <c r="A15574" s="0" t="s">
        <v>12</v>
      </c>
      <c r="B15574" s="0" t="n">
        <v>4806857</v>
      </c>
      <c r="C15574" s="0" t="n">
        <v>4806877</v>
      </c>
      <c r="D15574" s="0" t="s">
        <v>51773</v>
      </c>
      <c r="E15574" s="0" t="s">
        <v>75</v>
      </c>
      <c r="F15574" s="0" t="s">
        <v>15</v>
      </c>
      <c r="G15574" s="0" t="s">
        <v>16</v>
      </c>
      <c r="H15574" s="0" t="n">
        <v>146</v>
      </c>
      <c r="I15574" s="0" t="s">
        <v>51783</v>
      </c>
      <c r="J15574" s="0" t="s">
        <v>51784</v>
      </c>
      <c r="K15574" s="0" t="s">
        <v>51785</v>
      </c>
      <c r="L15574" s="0" t="str">
        <f aca="false">HYPERLINK("https://www.ncbi.nlm.nih.gov/nuccore/CP000058.1?report=graph&amp;tracks=[key:gene_model_track,Options:GeneOnly]&amp;mk=4806728:4806747|offset_16|444444,4806812:4806831|offset_100|444444,4806837:4806856|offset_125|444444,4806858:4806877|offset_146|00cc00&amp;v=4806527:4807077&amp;c=444444", "offset 146")</f>
        <v>offset 146</v>
      </c>
    </row>
    <row r="15575" customFormat="false" ht="12.8" hidden="false" customHeight="false" outlineLevel="0" collapsed="false">
      <c r="A15575" s="0" t="s">
        <v>12</v>
      </c>
      <c r="B15575" s="0" t="n">
        <v>4808567</v>
      </c>
      <c r="C15575" s="0" t="n">
        <v>4808587</v>
      </c>
      <c r="D15575" s="0" t="s">
        <v>51786</v>
      </c>
      <c r="E15575" s="0" t="s">
        <v>75</v>
      </c>
      <c r="F15575" s="0" t="s">
        <v>15</v>
      </c>
      <c r="G15575" s="0" t="s">
        <v>16</v>
      </c>
      <c r="H15575" s="0" t="n">
        <v>46</v>
      </c>
      <c r="I15575" s="0" t="s">
        <v>51787</v>
      </c>
      <c r="J15575" s="0" t="s">
        <v>51788</v>
      </c>
      <c r="K15575" s="0" t="s">
        <v>51789</v>
      </c>
      <c r="L15575" s="0" t="str">
        <f aca="false">HYPERLINK("https://www.ncbi.nlm.nih.gov/nuccore/CP000058.1?report=graph&amp;tracks=[key:gene_model_track,Options:GeneOnly]&amp;mk=4808568:4808587|offset_46|00cc00,4808649:4808668|offset_127|444444,4808687:4808706|offset_165|444444,4808717:4808736|offset_195|444444&amp;v=4808367:4808936&amp;c=444444", "offset 46")</f>
        <v>offset 46</v>
      </c>
    </row>
    <row r="15576" customFormat="false" ht="12.8" hidden="false" customHeight="false" outlineLevel="0" collapsed="false">
      <c r="A15576" s="0" t="s">
        <v>12</v>
      </c>
      <c r="B15576" s="0" t="n">
        <v>4808648</v>
      </c>
      <c r="C15576" s="0" t="n">
        <v>4808668</v>
      </c>
      <c r="D15576" s="0" t="s">
        <v>51786</v>
      </c>
      <c r="E15576" s="0" t="s">
        <v>75</v>
      </c>
      <c r="F15576" s="0" t="s">
        <v>15</v>
      </c>
      <c r="G15576" s="0" t="s">
        <v>16</v>
      </c>
      <c r="H15576" s="0" t="n">
        <v>127</v>
      </c>
      <c r="I15576" s="0" t="s">
        <v>51790</v>
      </c>
      <c r="J15576" s="0" t="s">
        <v>51791</v>
      </c>
      <c r="K15576" s="0" t="s">
        <v>51792</v>
      </c>
      <c r="L15576" s="0" t="str">
        <f aca="false">HYPERLINK("https://www.ncbi.nlm.nih.gov/nuccore/CP000058.1?report=graph&amp;tracks=[key:gene_model_track,Options:GeneOnly]&amp;mk=4808568:4808587|offset_46|444444,4808649:4808668|offset_127|00cc00,4808687:4808706|offset_165|444444,4808717:4808736|offset_195|444444&amp;v=4808367:4808936&amp;c=444444", "offset 127")</f>
        <v>offset 127</v>
      </c>
    </row>
    <row r="15577" customFormat="false" ht="12.8" hidden="false" customHeight="false" outlineLevel="0" collapsed="false">
      <c r="A15577" s="0" t="s">
        <v>12</v>
      </c>
      <c r="B15577" s="0" t="n">
        <v>4808686</v>
      </c>
      <c r="C15577" s="0" t="n">
        <v>4808706</v>
      </c>
      <c r="D15577" s="0" t="s">
        <v>51786</v>
      </c>
      <c r="E15577" s="0" t="s">
        <v>75</v>
      </c>
      <c r="F15577" s="0" t="s">
        <v>15</v>
      </c>
      <c r="G15577" s="0" t="s">
        <v>20</v>
      </c>
      <c r="H15577" s="0" t="n">
        <v>165</v>
      </c>
      <c r="I15577" s="0" t="s">
        <v>51793</v>
      </c>
      <c r="J15577" s="0" t="s">
        <v>51794</v>
      </c>
      <c r="K15577" s="0" t="s">
        <v>51795</v>
      </c>
      <c r="L15577" s="0" t="str">
        <f aca="false">HYPERLINK("https://www.ncbi.nlm.nih.gov/nuccore/CP000058.1?report=graph&amp;tracks=[key:gene_model_track,Options:GeneOnly]&amp;mk=4808568:4808587|offset_46|444444,4808649:4808668|offset_127|444444,4808687:4808706|offset_165|00cc00,4808717:4808736|offset_195|444444&amp;v=4808367:4808936&amp;c=444444", "offset 165")</f>
        <v>offset 165</v>
      </c>
    </row>
    <row r="15578" customFormat="false" ht="12.8" hidden="false" customHeight="false" outlineLevel="0" collapsed="false">
      <c r="A15578" s="0" t="s">
        <v>12</v>
      </c>
      <c r="B15578" s="0" t="n">
        <v>4808716</v>
      </c>
      <c r="C15578" s="0" t="n">
        <v>4808736</v>
      </c>
      <c r="D15578" s="0" t="s">
        <v>51786</v>
      </c>
      <c r="E15578" s="0" t="s">
        <v>75</v>
      </c>
      <c r="F15578" s="0" t="s">
        <v>15</v>
      </c>
      <c r="G15578" s="0" t="s">
        <v>16</v>
      </c>
      <c r="H15578" s="0" t="n">
        <v>195</v>
      </c>
      <c r="I15578" s="0" t="s">
        <v>51796</v>
      </c>
      <c r="J15578" s="0" t="s">
        <v>51797</v>
      </c>
      <c r="K15578" s="0" t="s">
        <v>51798</v>
      </c>
      <c r="L15578" s="0" t="str">
        <f aca="false">HYPERLINK("https://www.ncbi.nlm.nih.gov/nuccore/CP000058.1?report=graph&amp;tracks=[key:gene_model_track,Options:GeneOnly]&amp;mk=4808568:4808587|offset_46|444444,4808649:4808668|offset_127|444444,4808687:4808706|offset_165|444444,4808717:4808736|offset_195|00cc00&amp;v=4808367:4808936&amp;c=444444", "offset 195")</f>
        <v>offset 195</v>
      </c>
    </row>
    <row r="15579" customFormat="false" ht="12.8" hidden="false" customHeight="false" outlineLevel="0" collapsed="false">
      <c r="A15579" s="0" t="s">
        <v>12</v>
      </c>
      <c r="B15579" s="0" t="n">
        <v>4811016</v>
      </c>
      <c r="C15579" s="0" t="n">
        <v>4811036</v>
      </c>
      <c r="D15579" s="0" t="s">
        <v>51799</v>
      </c>
      <c r="E15579" s="0" t="s">
        <v>75</v>
      </c>
      <c r="F15579" s="0" t="s">
        <v>90</v>
      </c>
      <c r="G15579" s="0" t="s">
        <v>36</v>
      </c>
      <c r="H15579" s="0" t="n">
        <v>18</v>
      </c>
      <c r="I15579" s="0" t="s">
        <v>51800</v>
      </c>
      <c r="J15579" s="0" t="s">
        <v>51801</v>
      </c>
      <c r="K15579" s="0" t="s">
        <v>51802</v>
      </c>
      <c r="L15579" s="0" t="str">
        <f aca="false">HYPERLINK("https://www.ncbi.nlm.nih.gov/nuccore/CP000058.1?report=graph&amp;tracks=[key:gene_model_track,Options:GeneOnly]&amp;mk=4811017:4811036|offset_18|00cc00,4810985:4811004|offset_50|444444,4810955:4810974|offset_80|444444,4810907:4810926|offset_128|444444&amp;v=4810816:4811126&amp;c=444444", "offset 18")</f>
        <v>offset 18</v>
      </c>
    </row>
    <row r="15580" customFormat="false" ht="12.8" hidden="false" customHeight="false" outlineLevel="0" collapsed="false">
      <c r="A15580" s="0" t="s">
        <v>12</v>
      </c>
      <c r="B15580" s="0" t="n">
        <v>4810984</v>
      </c>
      <c r="C15580" s="0" t="n">
        <v>4811004</v>
      </c>
      <c r="D15580" s="0" t="s">
        <v>51799</v>
      </c>
      <c r="E15580" s="0" t="s">
        <v>75</v>
      </c>
      <c r="F15580" s="0" t="s">
        <v>90</v>
      </c>
      <c r="G15580" s="0" t="s">
        <v>36</v>
      </c>
      <c r="H15580" s="0" t="n">
        <v>50</v>
      </c>
      <c r="I15580" s="0" t="s">
        <v>51803</v>
      </c>
      <c r="J15580" s="0" t="s">
        <v>51804</v>
      </c>
      <c r="K15580" s="0" t="s">
        <v>51805</v>
      </c>
      <c r="L15580" s="0" t="str">
        <f aca="false">HYPERLINK("https://www.ncbi.nlm.nih.gov/nuccore/CP000058.1?report=graph&amp;tracks=[key:gene_model_track,Options:GeneOnly]&amp;mk=4811017:4811036|offset_18|444444,4810985:4811004|offset_50|00cc00,4810955:4810974|offset_80|444444,4810907:4810926|offset_128|444444&amp;v=4810816:4811126&amp;c=444444", "offset 50")</f>
        <v>offset 50</v>
      </c>
    </row>
    <row r="15581" customFormat="false" ht="12.8" hidden="false" customHeight="false" outlineLevel="0" collapsed="false">
      <c r="A15581" s="0" t="s">
        <v>12</v>
      </c>
      <c r="B15581" s="0" t="n">
        <v>4810954</v>
      </c>
      <c r="C15581" s="0" t="n">
        <v>4810974</v>
      </c>
      <c r="D15581" s="0" t="s">
        <v>51799</v>
      </c>
      <c r="E15581" s="0" t="s">
        <v>75</v>
      </c>
      <c r="F15581" s="0" t="s">
        <v>90</v>
      </c>
      <c r="G15581" s="0" t="s">
        <v>32</v>
      </c>
      <c r="H15581" s="0" t="n">
        <v>80</v>
      </c>
      <c r="I15581" s="0" t="s">
        <v>51806</v>
      </c>
      <c r="J15581" s="0" t="s">
        <v>51807</v>
      </c>
      <c r="K15581" s="0" t="s">
        <v>51808</v>
      </c>
      <c r="L15581" s="0" t="str">
        <f aca="false">HYPERLINK("https://www.ncbi.nlm.nih.gov/nuccore/CP000058.1?report=graph&amp;tracks=[key:gene_model_track,Options:GeneOnly]&amp;mk=4811017:4811036|offset_18|444444,4810985:4811004|offset_50|444444,4810955:4810974|offset_80|00cc00,4810907:4810926|offset_128|444444&amp;v=4810816:4811126&amp;c=444444", "offset 80")</f>
        <v>offset 80</v>
      </c>
    </row>
    <row r="15582" customFormat="false" ht="12.8" hidden="false" customHeight="false" outlineLevel="0" collapsed="false">
      <c r="A15582" s="0" t="s">
        <v>12</v>
      </c>
      <c r="B15582" s="0" t="n">
        <v>4810906</v>
      </c>
      <c r="C15582" s="0" t="n">
        <v>4810926</v>
      </c>
      <c r="D15582" s="0" t="s">
        <v>51799</v>
      </c>
      <c r="E15582" s="0" t="s">
        <v>75</v>
      </c>
      <c r="F15582" s="0" t="s">
        <v>90</v>
      </c>
      <c r="G15582" s="0" t="s">
        <v>36</v>
      </c>
      <c r="H15582" s="0" t="n">
        <v>128</v>
      </c>
      <c r="I15582" s="0" t="s">
        <v>51809</v>
      </c>
      <c r="J15582" s="0" t="s">
        <v>51810</v>
      </c>
      <c r="K15582" s="0" t="s">
        <v>51811</v>
      </c>
      <c r="L15582" s="0" t="str">
        <f aca="false">HYPERLINK("https://www.ncbi.nlm.nih.gov/nuccore/CP000058.1?report=graph&amp;tracks=[key:gene_model_track,Options:GeneOnly]&amp;mk=4811017:4811036|offset_18|444444,4810985:4811004|offset_50|444444,4810955:4810974|offset_80|444444,4810907:4810926|offset_128|00cc00&amp;v=4810816:4811126&amp;c=444444", "offset 128")</f>
        <v>offset 128</v>
      </c>
    </row>
    <row r="15583" customFormat="false" ht="12.8" hidden="false" customHeight="false" outlineLevel="0" collapsed="false">
      <c r="A15583" s="0" t="s">
        <v>12</v>
      </c>
      <c r="B15583" s="0" t="n">
        <v>4811277</v>
      </c>
      <c r="C15583" s="0" t="n">
        <v>4811297</v>
      </c>
      <c r="D15583" s="0" t="s">
        <v>51812</v>
      </c>
      <c r="E15583" s="0" t="s">
        <v>51813</v>
      </c>
      <c r="F15583" s="0" t="s">
        <v>15</v>
      </c>
      <c r="G15583" s="0" t="s">
        <v>16</v>
      </c>
      <c r="H15583" s="0" t="n">
        <v>8</v>
      </c>
      <c r="I15583" s="0" t="s">
        <v>51814</v>
      </c>
      <c r="J15583" s="0" t="s">
        <v>51815</v>
      </c>
      <c r="K15583" s="0" t="s">
        <v>51816</v>
      </c>
      <c r="L15583" s="0" t="str">
        <f aca="false">HYPERLINK("https://www.ncbi.nlm.nih.gov/nuccore/CP000058.1?report=graph&amp;tracks=[key:gene_model_track,Options:GeneOnly]&amp;mk=4811278:4811297|offset_8|00cc00,4811307:4811326|offset_37|444444,4811361:4811380|offset_91|444444,4811385:4811404|offset_115|444444&amp;v=4811077:4811604&amp;c=444444", "offset 8")</f>
        <v>offset 8</v>
      </c>
    </row>
    <row r="15584" customFormat="false" ht="12.8" hidden="false" customHeight="false" outlineLevel="0" collapsed="false">
      <c r="A15584" s="0" t="s">
        <v>12</v>
      </c>
      <c r="B15584" s="0" t="n">
        <v>4811306</v>
      </c>
      <c r="C15584" s="0" t="n">
        <v>4811326</v>
      </c>
      <c r="D15584" s="0" t="s">
        <v>51812</v>
      </c>
      <c r="E15584" s="0" t="s">
        <v>51813</v>
      </c>
      <c r="F15584" s="0" t="s">
        <v>15</v>
      </c>
      <c r="G15584" s="0" t="s">
        <v>32</v>
      </c>
      <c r="H15584" s="0" t="n">
        <v>37</v>
      </c>
      <c r="I15584" s="0" t="s">
        <v>51817</v>
      </c>
      <c r="J15584" s="0" t="s">
        <v>51818</v>
      </c>
      <c r="K15584" s="0" t="s">
        <v>51819</v>
      </c>
      <c r="L15584" s="0" t="str">
        <f aca="false">HYPERLINK("https://www.ncbi.nlm.nih.gov/nuccore/CP000058.1?report=graph&amp;tracks=[key:gene_model_track,Options:GeneOnly]&amp;mk=4811278:4811297|offset_8|444444,4811307:4811326|offset_37|00cc00,4811361:4811380|offset_91|444444,4811385:4811404|offset_115|444444&amp;v=4811077:4811604&amp;c=444444", "offset 37")</f>
        <v>offset 37</v>
      </c>
    </row>
    <row r="15585" customFormat="false" ht="12.8" hidden="false" customHeight="false" outlineLevel="0" collapsed="false">
      <c r="A15585" s="0" t="s">
        <v>12</v>
      </c>
      <c r="B15585" s="0" t="n">
        <v>4811360</v>
      </c>
      <c r="C15585" s="0" t="n">
        <v>4811380</v>
      </c>
      <c r="D15585" s="0" t="s">
        <v>51812</v>
      </c>
      <c r="E15585" s="0" t="s">
        <v>51813</v>
      </c>
      <c r="F15585" s="0" t="s">
        <v>15</v>
      </c>
      <c r="G15585" s="0" t="s">
        <v>32</v>
      </c>
      <c r="H15585" s="0" t="n">
        <v>91</v>
      </c>
      <c r="I15585" s="0" t="s">
        <v>51820</v>
      </c>
      <c r="J15585" s="0" t="s">
        <v>51821</v>
      </c>
      <c r="K15585" s="0" t="s">
        <v>51822</v>
      </c>
      <c r="L15585" s="0" t="str">
        <f aca="false">HYPERLINK("https://www.ncbi.nlm.nih.gov/nuccore/CP000058.1?report=graph&amp;tracks=[key:gene_model_track,Options:GeneOnly]&amp;mk=4811278:4811297|offset_8|444444,4811307:4811326|offset_37|444444,4811361:4811380|offset_91|00cc00,4811385:4811404|offset_115|444444&amp;v=4811077:4811604&amp;c=444444", "offset 91")</f>
        <v>offset 91</v>
      </c>
    </row>
    <row r="15586" customFormat="false" ht="12.8" hidden="false" customHeight="false" outlineLevel="0" collapsed="false">
      <c r="A15586" s="0" t="s">
        <v>12</v>
      </c>
      <c r="B15586" s="0" t="n">
        <v>4811384</v>
      </c>
      <c r="C15586" s="0" t="n">
        <v>4811404</v>
      </c>
      <c r="D15586" s="0" t="s">
        <v>51812</v>
      </c>
      <c r="E15586" s="0" t="s">
        <v>51813</v>
      </c>
      <c r="F15586" s="0" t="s">
        <v>15</v>
      </c>
      <c r="G15586" s="0" t="s">
        <v>16</v>
      </c>
      <c r="H15586" s="0" t="n">
        <v>115</v>
      </c>
      <c r="I15586" s="0" t="s">
        <v>51823</v>
      </c>
      <c r="J15586" s="0" t="s">
        <v>51824</v>
      </c>
      <c r="K15586" s="0" t="s">
        <v>51825</v>
      </c>
      <c r="L15586" s="0" t="str">
        <f aca="false">HYPERLINK("https://www.ncbi.nlm.nih.gov/nuccore/CP000058.1?report=graph&amp;tracks=[key:gene_model_track,Options:GeneOnly]&amp;mk=4811278:4811297|offset_8|444444,4811307:4811326|offset_37|444444,4811361:4811380|offset_91|444444,4811385:4811404|offset_115|00cc00&amp;v=4811077:4811604&amp;c=444444", "offset 115")</f>
        <v>offset 115</v>
      </c>
    </row>
    <row r="15587" customFormat="false" ht="12.8" hidden="false" customHeight="false" outlineLevel="0" collapsed="false">
      <c r="A15587" s="0" t="s">
        <v>12</v>
      </c>
      <c r="B15587" s="0" t="n">
        <v>4814154</v>
      </c>
      <c r="C15587" s="0" t="n">
        <v>4814174</v>
      </c>
      <c r="D15587" s="0" t="s">
        <v>51826</v>
      </c>
      <c r="E15587" s="0" t="s">
        <v>75</v>
      </c>
      <c r="F15587" s="0" t="s">
        <v>15</v>
      </c>
      <c r="G15587" s="0" t="s">
        <v>32</v>
      </c>
      <c r="H15587" s="0" t="n">
        <v>46</v>
      </c>
      <c r="I15587" s="0" t="s">
        <v>51827</v>
      </c>
      <c r="J15587" s="0" t="s">
        <v>51828</v>
      </c>
      <c r="K15587" s="0" t="s">
        <v>51829</v>
      </c>
      <c r="L15587" s="0" t="str">
        <f aca="false">HYPERLINK("https://www.ncbi.nlm.nih.gov/nuccore/CP000058.1?report=graph&amp;tracks=[key:gene_model_track,Options:GeneOnly]&amp;mk=4814155:4814174|offset_46|00cc00,4814184:4814203|offset_75|444444,4814253:4814272|offset_144|444444,4814526:4814545|offset_417|444444&amp;v=4813954:4814745&amp;c=444444", "offset 46")</f>
        <v>offset 46</v>
      </c>
    </row>
    <row r="15588" customFormat="false" ht="12.8" hidden="false" customHeight="false" outlineLevel="0" collapsed="false">
      <c r="A15588" s="0" t="s">
        <v>12</v>
      </c>
      <c r="B15588" s="0" t="n">
        <v>4814183</v>
      </c>
      <c r="C15588" s="0" t="n">
        <v>4814203</v>
      </c>
      <c r="D15588" s="0" t="s">
        <v>51826</v>
      </c>
      <c r="E15588" s="0" t="s">
        <v>75</v>
      </c>
      <c r="F15588" s="0" t="s">
        <v>15</v>
      </c>
      <c r="G15588" s="0" t="s">
        <v>20</v>
      </c>
      <c r="H15588" s="0" t="n">
        <v>75</v>
      </c>
      <c r="I15588" s="0" t="s">
        <v>51830</v>
      </c>
      <c r="J15588" s="0" t="s">
        <v>51831</v>
      </c>
      <c r="K15588" s="0" t="s">
        <v>51832</v>
      </c>
      <c r="L15588" s="0" t="str">
        <f aca="false">HYPERLINK("https://www.ncbi.nlm.nih.gov/nuccore/CP000058.1?report=graph&amp;tracks=[key:gene_model_track,Options:GeneOnly]&amp;mk=4814155:4814174|offset_46|444444,4814184:4814203|offset_75|00cc00,4814253:4814272|offset_144|444444,4814526:4814545|offset_417|444444&amp;v=4813954:4814745&amp;c=444444", "offset 75")</f>
        <v>offset 75</v>
      </c>
    </row>
    <row r="15589" customFormat="false" ht="12.8" hidden="false" customHeight="false" outlineLevel="0" collapsed="false">
      <c r="A15589" s="0" t="s">
        <v>12</v>
      </c>
      <c r="B15589" s="0" t="n">
        <v>4814252</v>
      </c>
      <c r="C15589" s="0" t="n">
        <v>4814272</v>
      </c>
      <c r="D15589" s="0" t="s">
        <v>51826</v>
      </c>
      <c r="E15589" s="0" t="s">
        <v>75</v>
      </c>
      <c r="F15589" s="0" t="s">
        <v>15</v>
      </c>
      <c r="G15589" s="0" t="s">
        <v>16</v>
      </c>
      <c r="H15589" s="0" t="n">
        <v>144</v>
      </c>
      <c r="I15589" s="0" t="s">
        <v>51833</v>
      </c>
      <c r="J15589" s="0" t="s">
        <v>51834</v>
      </c>
      <c r="K15589" s="0" t="s">
        <v>51835</v>
      </c>
      <c r="L15589" s="0" t="str">
        <f aca="false">HYPERLINK("https://www.ncbi.nlm.nih.gov/nuccore/CP000058.1?report=graph&amp;tracks=[key:gene_model_track,Options:GeneOnly]&amp;mk=4814155:4814174|offset_46|444444,4814184:4814203|offset_75|444444,4814253:4814272|offset_144|00cc00,4814526:4814545|offset_417|444444&amp;v=4813954:4814745&amp;c=444444", "offset 144")</f>
        <v>offset 144</v>
      </c>
    </row>
    <row r="15590" customFormat="false" ht="12.8" hidden="false" customHeight="false" outlineLevel="0" collapsed="false">
      <c r="A15590" s="0" t="s">
        <v>12</v>
      </c>
      <c r="B15590" s="0" t="n">
        <v>4814525</v>
      </c>
      <c r="C15590" s="0" t="n">
        <v>4814545</v>
      </c>
      <c r="D15590" s="0" t="s">
        <v>51826</v>
      </c>
      <c r="E15590" s="0" t="s">
        <v>75</v>
      </c>
      <c r="F15590" s="0" t="s">
        <v>15</v>
      </c>
      <c r="G15590" s="0" t="s">
        <v>20</v>
      </c>
      <c r="H15590" s="0" t="n">
        <v>417</v>
      </c>
      <c r="I15590" s="0" t="s">
        <v>51836</v>
      </c>
      <c r="J15590" s="0" t="s">
        <v>51837</v>
      </c>
      <c r="K15590" s="0" t="s">
        <v>51838</v>
      </c>
      <c r="L15590" s="0" t="str">
        <f aca="false">HYPERLINK("https://www.ncbi.nlm.nih.gov/nuccore/CP000058.1?report=graph&amp;tracks=[key:gene_model_track,Options:GeneOnly]&amp;mk=4814155:4814174|offset_46|444444,4814184:4814203|offset_75|444444,4814253:4814272|offset_144|444444,4814526:4814545|offset_417|00cc00&amp;v=4813954:4814745&amp;c=444444", "offset 417")</f>
        <v>offset 417</v>
      </c>
    </row>
    <row r="15591" customFormat="false" ht="12.8" hidden="false" customHeight="false" outlineLevel="0" collapsed="false">
      <c r="A15591" s="0" t="s">
        <v>12</v>
      </c>
      <c r="B15591" s="0" t="n">
        <v>4816931</v>
      </c>
      <c r="C15591" s="0" t="n">
        <v>4816951</v>
      </c>
      <c r="D15591" s="0" t="s">
        <v>51839</v>
      </c>
      <c r="E15591" s="0" t="s">
        <v>75</v>
      </c>
      <c r="F15591" s="0" t="s">
        <v>90</v>
      </c>
      <c r="G15591" s="0" t="s">
        <v>20</v>
      </c>
      <c r="H15591" s="0" t="n">
        <v>38</v>
      </c>
      <c r="I15591" s="0" t="s">
        <v>51840</v>
      </c>
      <c r="J15591" s="0" t="s">
        <v>51841</v>
      </c>
      <c r="K15591" s="0" t="s">
        <v>51842</v>
      </c>
      <c r="L15591" s="0" t="str">
        <f aca="false">HYPERLINK("https://www.ncbi.nlm.nih.gov/nuccore/CP000058.1?report=graph&amp;tracks=[key:gene_model_track,Options:GeneOnly]&amp;mk=4816932:4816951|offset_38|00cc00,4816901:4816920|offset_69|444444,4816847:4816866|offset_123|444444,4816819:4816838|offset_151|444444&amp;v=4816731:4817038&amp;c=444444", "offset 38")</f>
        <v>offset 38</v>
      </c>
    </row>
    <row r="15592" customFormat="false" ht="12.8" hidden="false" customHeight="false" outlineLevel="0" collapsed="false">
      <c r="A15592" s="0" t="s">
        <v>12</v>
      </c>
      <c r="B15592" s="0" t="n">
        <v>4816900</v>
      </c>
      <c r="C15592" s="0" t="n">
        <v>4816920</v>
      </c>
      <c r="D15592" s="0" t="s">
        <v>51839</v>
      </c>
      <c r="E15592" s="0" t="s">
        <v>75</v>
      </c>
      <c r="F15592" s="0" t="s">
        <v>90</v>
      </c>
      <c r="G15592" s="0" t="s">
        <v>36</v>
      </c>
      <c r="H15592" s="0" t="n">
        <v>69</v>
      </c>
      <c r="I15592" s="0" t="s">
        <v>51843</v>
      </c>
      <c r="J15592" s="0" t="s">
        <v>51844</v>
      </c>
      <c r="K15592" s="0" t="s">
        <v>51845</v>
      </c>
      <c r="L15592" s="0" t="str">
        <f aca="false">HYPERLINK("https://www.ncbi.nlm.nih.gov/nuccore/CP000058.1?report=graph&amp;tracks=[key:gene_model_track,Options:GeneOnly]&amp;mk=4816932:4816951|offset_38|444444,4816901:4816920|offset_69|00cc00,4816847:4816866|offset_123|444444,4816819:4816838|offset_151|444444&amp;v=4816731:4817038&amp;c=444444", "offset 69")</f>
        <v>offset 69</v>
      </c>
    </row>
    <row r="15593" customFormat="false" ht="12.8" hidden="false" customHeight="false" outlineLevel="0" collapsed="false">
      <c r="A15593" s="0" t="s">
        <v>12</v>
      </c>
      <c r="B15593" s="0" t="n">
        <v>4816846</v>
      </c>
      <c r="C15593" s="0" t="n">
        <v>4816866</v>
      </c>
      <c r="D15593" s="0" t="s">
        <v>51839</v>
      </c>
      <c r="E15593" s="0" t="s">
        <v>75</v>
      </c>
      <c r="F15593" s="0" t="s">
        <v>90</v>
      </c>
      <c r="G15593" s="0" t="s">
        <v>32</v>
      </c>
      <c r="H15593" s="0" t="n">
        <v>123</v>
      </c>
      <c r="I15593" s="0" t="s">
        <v>51846</v>
      </c>
      <c r="J15593" s="0" t="s">
        <v>51847</v>
      </c>
      <c r="K15593" s="0" t="s">
        <v>51848</v>
      </c>
      <c r="L15593" s="0" t="str">
        <f aca="false">HYPERLINK("https://www.ncbi.nlm.nih.gov/nuccore/CP000058.1?report=graph&amp;tracks=[key:gene_model_track,Options:GeneOnly]&amp;mk=4816932:4816951|offset_38|444444,4816901:4816920|offset_69|444444,4816847:4816866|offset_123|00cc00,4816819:4816838|offset_151|444444&amp;v=4816731:4817038&amp;c=444444", "offset 123")</f>
        <v>offset 123</v>
      </c>
    </row>
    <row r="15594" customFormat="false" ht="12.8" hidden="false" customHeight="false" outlineLevel="0" collapsed="false">
      <c r="A15594" s="0" t="s">
        <v>12</v>
      </c>
      <c r="B15594" s="0" t="n">
        <v>4816818</v>
      </c>
      <c r="C15594" s="0" t="n">
        <v>4816838</v>
      </c>
      <c r="D15594" s="0" t="s">
        <v>51839</v>
      </c>
      <c r="E15594" s="0" t="s">
        <v>75</v>
      </c>
      <c r="F15594" s="0" t="s">
        <v>90</v>
      </c>
      <c r="G15594" s="0" t="s">
        <v>16</v>
      </c>
      <c r="H15594" s="0" t="n">
        <v>151</v>
      </c>
      <c r="I15594" s="0" t="s">
        <v>51849</v>
      </c>
      <c r="J15594" s="0" t="s">
        <v>51850</v>
      </c>
      <c r="K15594" s="0" t="s">
        <v>51851</v>
      </c>
      <c r="L15594" s="0" t="str">
        <f aca="false">HYPERLINK("https://www.ncbi.nlm.nih.gov/nuccore/CP000058.1?report=graph&amp;tracks=[key:gene_model_track,Options:GeneOnly]&amp;mk=4816932:4816951|offset_38|444444,4816901:4816920|offset_69|444444,4816847:4816866|offset_123|444444,4816819:4816838|offset_151|00cc00&amp;v=4816731:4817038&amp;c=444444", "offset 151")</f>
        <v>offset 151</v>
      </c>
    </row>
    <row r="15595" customFormat="false" ht="12.8" hidden="false" customHeight="false" outlineLevel="0" collapsed="false">
      <c r="A15595" s="0" t="s">
        <v>12</v>
      </c>
      <c r="B15595" s="0" t="n">
        <v>4817477</v>
      </c>
      <c r="C15595" s="0" t="n">
        <v>4817497</v>
      </c>
      <c r="D15595" s="0" t="s">
        <v>51852</v>
      </c>
      <c r="E15595" s="0" t="s">
        <v>75</v>
      </c>
      <c r="F15595" s="0" t="s">
        <v>15</v>
      </c>
      <c r="G15595" s="0" t="s">
        <v>36</v>
      </c>
      <c r="H15595" s="0" t="n">
        <v>39</v>
      </c>
      <c r="I15595" s="0" t="s">
        <v>51853</v>
      </c>
      <c r="J15595" s="0" t="s">
        <v>51854</v>
      </c>
      <c r="K15595" s="0" t="s">
        <v>51855</v>
      </c>
      <c r="L15595" s="0" t="str">
        <f aca="false">HYPERLINK("https://www.ncbi.nlm.nih.gov/nuccore/CP000058.1?report=graph&amp;tracks=[key:gene_model_track,Options:GeneOnly]&amp;mk=4817478:4817497|offset_39|00cc00,4817534:4817553|offset_95|444444,4817554:4817573|offset_115|444444,4817575:4817594|offset_136|444444&amp;v=4817277:4817794&amp;c=444444", "offset 39")</f>
        <v>offset 39</v>
      </c>
    </row>
    <row r="15596" customFormat="false" ht="12.8" hidden="false" customHeight="false" outlineLevel="0" collapsed="false">
      <c r="A15596" s="0" t="s">
        <v>12</v>
      </c>
      <c r="B15596" s="0" t="n">
        <v>4817533</v>
      </c>
      <c r="C15596" s="0" t="n">
        <v>4817553</v>
      </c>
      <c r="D15596" s="0" t="s">
        <v>51852</v>
      </c>
      <c r="E15596" s="0" t="s">
        <v>75</v>
      </c>
      <c r="F15596" s="0" t="s">
        <v>15</v>
      </c>
      <c r="G15596" s="0" t="s">
        <v>20</v>
      </c>
      <c r="H15596" s="0" t="n">
        <v>95</v>
      </c>
      <c r="I15596" s="0" t="s">
        <v>51856</v>
      </c>
      <c r="J15596" s="0" t="s">
        <v>51857</v>
      </c>
      <c r="K15596" s="0" t="s">
        <v>51858</v>
      </c>
      <c r="L15596" s="0" t="str">
        <f aca="false">HYPERLINK("https://www.ncbi.nlm.nih.gov/nuccore/CP000058.1?report=graph&amp;tracks=[key:gene_model_track,Options:GeneOnly]&amp;mk=4817478:4817497|offset_39|444444,4817534:4817553|offset_95|00cc00,4817554:4817573|offset_115|444444,4817575:4817594|offset_136|444444&amp;v=4817277:4817794&amp;c=444444", "offset 95")</f>
        <v>offset 95</v>
      </c>
    </row>
    <row r="15597" customFormat="false" ht="12.8" hidden="false" customHeight="false" outlineLevel="0" collapsed="false">
      <c r="A15597" s="0" t="s">
        <v>12</v>
      </c>
      <c r="B15597" s="0" t="n">
        <v>4817553</v>
      </c>
      <c r="C15597" s="0" t="n">
        <v>4817573</v>
      </c>
      <c r="D15597" s="0" t="s">
        <v>51852</v>
      </c>
      <c r="E15597" s="0" t="s">
        <v>75</v>
      </c>
      <c r="F15597" s="0" t="s">
        <v>15</v>
      </c>
      <c r="G15597" s="0" t="s">
        <v>20</v>
      </c>
      <c r="H15597" s="0" t="n">
        <v>115</v>
      </c>
      <c r="I15597" s="0" t="s">
        <v>51859</v>
      </c>
      <c r="J15597" s="0" t="s">
        <v>51860</v>
      </c>
      <c r="K15597" s="0" t="s">
        <v>51861</v>
      </c>
      <c r="L15597" s="0" t="str">
        <f aca="false">HYPERLINK("https://www.ncbi.nlm.nih.gov/nuccore/CP000058.1?report=graph&amp;tracks=[key:gene_model_track,Options:GeneOnly]&amp;mk=4817478:4817497|offset_39|444444,4817534:4817553|offset_95|444444,4817554:4817573|offset_115|00cc00,4817575:4817594|offset_136|444444&amp;v=4817277:4817794&amp;c=444444", "offset 115")</f>
        <v>offset 115</v>
      </c>
    </row>
    <row r="15598" customFormat="false" ht="12.8" hidden="false" customHeight="false" outlineLevel="0" collapsed="false">
      <c r="A15598" s="0" t="s">
        <v>12</v>
      </c>
      <c r="B15598" s="0" t="n">
        <v>4817574</v>
      </c>
      <c r="C15598" s="0" t="n">
        <v>4817594</v>
      </c>
      <c r="D15598" s="0" t="s">
        <v>51852</v>
      </c>
      <c r="E15598" s="0" t="s">
        <v>75</v>
      </c>
      <c r="F15598" s="0" t="s">
        <v>15</v>
      </c>
      <c r="G15598" s="0" t="s">
        <v>16</v>
      </c>
      <c r="H15598" s="0" t="n">
        <v>136</v>
      </c>
      <c r="I15598" s="0" t="s">
        <v>51862</v>
      </c>
      <c r="J15598" s="0" t="s">
        <v>51863</v>
      </c>
      <c r="K15598" s="0" t="s">
        <v>51864</v>
      </c>
      <c r="L15598" s="0" t="str">
        <f aca="false">HYPERLINK("https://www.ncbi.nlm.nih.gov/nuccore/CP000058.1?report=graph&amp;tracks=[key:gene_model_track,Options:GeneOnly]&amp;mk=4817478:4817497|offset_39|444444,4817534:4817553|offset_95|444444,4817554:4817573|offset_115|444444,4817575:4817594|offset_136|00cc00&amp;v=4817277:4817794&amp;c=444444", "offset 136")</f>
        <v>offset 136</v>
      </c>
    </row>
    <row r="15599" customFormat="false" ht="12.8" hidden="false" customHeight="false" outlineLevel="0" collapsed="false">
      <c r="A15599" s="0" t="s">
        <v>12</v>
      </c>
      <c r="B15599" s="0" t="n">
        <v>4818347</v>
      </c>
      <c r="C15599" s="0" t="n">
        <v>4818367</v>
      </c>
      <c r="D15599" s="0" t="s">
        <v>51865</v>
      </c>
      <c r="E15599" s="0" t="s">
        <v>75</v>
      </c>
      <c r="F15599" s="0" t="s">
        <v>15</v>
      </c>
      <c r="G15599" s="0" t="s">
        <v>32</v>
      </c>
      <c r="H15599" s="0" t="n">
        <v>12</v>
      </c>
      <c r="I15599" s="0" t="s">
        <v>51866</v>
      </c>
      <c r="J15599" s="0" t="s">
        <v>51867</v>
      </c>
      <c r="K15599" s="0" t="s">
        <v>51868</v>
      </c>
      <c r="L15599" s="0" t="str">
        <f aca="false">HYPERLINK("https://www.ncbi.nlm.nih.gov/nuccore/CP000058.1?report=graph&amp;tracks=[key:gene_model_track,Options:GeneOnly]&amp;mk=4818348:4818367|offset_12|00cc00,4818434:4818453|offset_98|444444,4818486:4818505|offset_150|444444,4818523:4818542|offset_187|444444&amp;v=4818147:4818742&amp;c=444444", "offset 12")</f>
        <v>offset 12</v>
      </c>
    </row>
    <row r="15600" customFormat="false" ht="12.8" hidden="false" customHeight="false" outlineLevel="0" collapsed="false">
      <c r="A15600" s="0" t="s">
        <v>12</v>
      </c>
      <c r="B15600" s="0" t="n">
        <v>4818433</v>
      </c>
      <c r="C15600" s="0" t="n">
        <v>4818453</v>
      </c>
      <c r="D15600" s="0" t="s">
        <v>51865</v>
      </c>
      <c r="E15600" s="0" t="s">
        <v>75</v>
      </c>
      <c r="F15600" s="0" t="s">
        <v>15</v>
      </c>
      <c r="G15600" s="0" t="s">
        <v>20</v>
      </c>
      <c r="H15600" s="0" t="n">
        <v>98</v>
      </c>
      <c r="I15600" s="0" t="s">
        <v>51869</v>
      </c>
      <c r="J15600" s="0" t="s">
        <v>51870</v>
      </c>
      <c r="K15600" s="0" t="s">
        <v>51871</v>
      </c>
      <c r="L15600" s="0" t="str">
        <f aca="false">HYPERLINK("https://www.ncbi.nlm.nih.gov/nuccore/CP000058.1?report=graph&amp;tracks=[key:gene_model_track,Options:GeneOnly]&amp;mk=4818348:4818367|offset_12|444444,4818434:4818453|offset_98|00cc00,4818486:4818505|offset_150|444444,4818523:4818542|offset_187|444444&amp;v=4818147:4818742&amp;c=444444", "offset 98")</f>
        <v>offset 98</v>
      </c>
    </row>
    <row r="15601" customFormat="false" ht="12.8" hidden="false" customHeight="false" outlineLevel="0" collapsed="false">
      <c r="A15601" s="0" t="s">
        <v>12</v>
      </c>
      <c r="B15601" s="0" t="n">
        <v>4818485</v>
      </c>
      <c r="C15601" s="0" t="n">
        <v>4818505</v>
      </c>
      <c r="D15601" s="0" t="s">
        <v>51865</v>
      </c>
      <c r="E15601" s="0" t="s">
        <v>75</v>
      </c>
      <c r="F15601" s="0" t="s">
        <v>15</v>
      </c>
      <c r="G15601" s="0" t="s">
        <v>20</v>
      </c>
      <c r="H15601" s="0" t="n">
        <v>150</v>
      </c>
      <c r="I15601" s="0" t="s">
        <v>51872</v>
      </c>
      <c r="J15601" s="0" t="s">
        <v>51873</v>
      </c>
      <c r="K15601" s="0" t="s">
        <v>51874</v>
      </c>
      <c r="L15601" s="0" t="str">
        <f aca="false">HYPERLINK("https://www.ncbi.nlm.nih.gov/nuccore/CP000058.1?report=graph&amp;tracks=[key:gene_model_track,Options:GeneOnly]&amp;mk=4818348:4818367|offset_12|444444,4818434:4818453|offset_98|444444,4818486:4818505|offset_150|00cc00,4818523:4818542|offset_187|444444&amp;v=4818147:4818742&amp;c=444444", "offset 150")</f>
        <v>offset 150</v>
      </c>
    </row>
    <row r="15602" customFormat="false" ht="12.8" hidden="false" customHeight="false" outlineLevel="0" collapsed="false">
      <c r="A15602" s="0" t="s">
        <v>12</v>
      </c>
      <c r="B15602" s="0" t="n">
        <v>4818522</v>
      </c>
      <c r="C15602" s="0" t="n">
        <v>4818542</v>
      </c>
      <c r="D15602" s="0" t="s">
        <v>51865</v>
      </c>
      <c r="E15602" s="0" t="s">
        <v>75</v>
      </c>
      <c r="F15602" s="0" t="s">
        <v>15</v>
      </c>
      <c r="G15602" s="0" t="s">
        <v>32</v>
      </c>
      <c r="H15602" s="0" t="n">
        <v>187</v>
      </c>
      <c r="I15602" s="0" t="s">
        <v>51875</v>
      </c>
      <c r="J15602" s="0" t="s">
        <v>51876</v>
      </c>
      <c r="K15602" s="0" t="s">
        <v>51877</v>
      </c>
      <c r="L15602" s="0" t="str">
        <f aca="false">HYPERLINK("https://www.ncbi.nlm.nih.gov/nuccore/CP000058.1?report=graph&amp;tracks=[key:gene_model_track,Options:GeneOnly]&amp;mk=4818348:4818367|offset_12|444444,4818434:4818453|offset_98|444444,4818486:4818505|offset_150|444444,4818523:4818542|offset_187|00cc00&amp;v=4818147:4818742&amp;c=444444", "offset 187")</f>
        <v>offset 187</v>
      </c>
    </row>
    <row r="15603" customFormat="false" ht="12.8" hidden="false" customHeight="false" outlineLevel="0" collapsed="false">
      <c r="A15603" s="0" t="s">
        <v>12</v>
      </c>
      <c r="B15603" s="0" t="n">
        <v>4820882</v>
      </c>
      <c r="C15603" s="0" t="n">
        <v>4820902</v>
      </c>
      <c r="D15603" s="0" t="s">
        <v>51878</v>
      </c>
      <c r="E15603" s="0" t="s">
        <v>75</v>
      </c>
      <c r="F15603" s="0" t="s">
        <v>90</v>
      </c>
      <c r="G15603" s="0" t="s">
        <v>16</v>
      </c>
      <c r="H15603" s="0" t="n">
        <v>40</v>
      </c>
      <c r="I15603" s="0" t="s">
        <v>51879</v>
      </c>
      <c r="J15603" s="0" t="s">
        <v>51880</v>
      </c>
      <c r="K15603" s="0" t="s">
        <v>51881</v>
      </c>
      <c r="L15603" s="0" t="str">
        <f aca="false">HYPERLINK("https://www.ncbi.nlm.nih.gov/nuccore/CP000058.1?report=graph&amp;tracks=[key:gene_model_track,Options:GeneOnly]&amp;mk=4820883:4820902|offset_40|00cc00,4820850:4820869|offset_73|444444,4820805:4820824|offset_118|444444,4820782:4820801|offset_141|444444&amp;v=4820682:4821001&amp;c=444444", "offset 40")</f>
        <v>offset 40</v>
      </c>
    </row>
    <row r="15604" customFormat="false" ht="12.8" hidden="false" customHeight="false" outlineLevel="0" collapsed="false">
      <c r="A15604" s="0" t="s">
        <v>12</v>
      </c>
      <c r="B15604" s="0" t="n">
        <v>4820849</v>
      </c>
      <c r="C15604" s="0" t="n">
        <v>4820869</v>
      </c>
      <c r="D15604" s="0" t="s">
        <v>51878</v>
      </c>
      <c r="E15604" s="0" t="s">
        <v>75</v>
      </c>
      <c r="F15604" s="0" t="s">
        <v>90</v>
      </c>
      <c r="G15604" s="0" t="s">
        <v>16</v>
      </c>
      <c r="H15604" s="0" t="n">
        <v>73</v>
      </c>
      <c r="I15604" s="0" t="s">
        <v>51882</v>
      </c>
      <c r="J15604" s="0" t="s">
        <v>51883</v>
      </c>
      <c r="K15604" s="0" t="s">
        <v>51884</v>
      </c>
      <c r="L15604" s="0" t="str">
        <f aca="false">HYPERLINK("https://www.ncbi.nlm.nih.gov/nuccore/CP000058.1?report=graph&amp;tracks=[key:gene_model_track,Options:GeneOnly]&amp;mk=4820883:4820902|offset_40|444444,4820850:4820869|offset_73|00cc00,4820805:4820824|offset_118|444444,4820782:4820801|offset_141|444444&amp;v=4820682:4821001&amp;c=444444", "offset 73")</f>
        <v>offset 73</v>
      </c>
    </row>
    <row r="15605" customFormat="false" ht="12.8" hidden="false" customHeight="false" outlineLevel="0" collapsed="false">
      <c r="A15605" s="0" t="s">
        <v>12</v>
      </c>
      <c r="B15605" s="0" t="n">
        <v>4820804</v>
      </c>
      <c r="C15605" s="0" t="n">
        <v>4820824</v>
      </c>
      <c r="D15605" s="0" t="s">
        <v>51878</v>
      </c>
      <c r="E15605" s="0" t="s">
        <v>75</v>
      </c>
      <c r="F15605" s="0" t="s">
        <v>90</v>
      </c>
      <c r="G15605" s="0" t="s">
        <v>20</v>
      </c>
      <c r="H15605" s="0" t="n">
        <v>118</v>
      </c>
      <c r="I15605" s="0" t="s">
        <v>51885</v>
      </c>
      <c r="J15605" s="0" t="s">
        <v>51886</v>
      </c>
      <c r="K15605" s="0" t="s">
        <v>51887</v>
      </c>
      <c r="L15605" s="0" t="str">
        <f aca="false">HYPERLINK("https://www.ncbi.nlm.nih.gov/nuccore/CP000058.1?report=graph&amp;tracks=[key:gene_model_track,Options:GeneOnly]&amp;mk=4820883:4820902|offset_40|444444,4820850:4820869|offset_73|444444,4820805:4820824|offset_118|00cc00,4820782:4820801|offset_141|444444&amp;v=4820682:4821001&amp;c=444444", "offset 118")</f>
        <v>offset 118</v>
      </c>
    </row>
    <row r="15606" customFormat="false" ht="12.8" hidden="false" customHeight="false" outlineLevel="0" collapsed="false">
      <c r="A15606" s="0" t="s">
        <v>12</v>
      </c>
      <c r="B15606" s="0" t="n">
        <v>4820781</v>
      </c>
      <c r="C15606" s="0" t="n">
        <v>4820801</v>
      </c>
      <c r="D15606" s="0" t="s">
        <v>51878</v>
      </c>
      <c r="E15606" s="0" t="s">
        <v>75</v>
      </c>
      <c r="F15606" s="0" t="s">
        <v>90</v>
      </c>
      <c r="G15606" s="0" t="s">
        <v>36</v>
      </c>
      <c r="H15606" s="0" t="n">
        <v>141</v>
      </c>
      <c r="I15606" s="0" t="s">
        <v>51888</v>
      </c>
      <c r="J15606" s="0" t="s">
        <v>51889</v>
      </c>
      <c r="K15606" s="0" t="s">
        <v>51890</v>
      </c>
      <c r="L15606" s="0" t="str">
        <f aca="false">HYPERLINK("https://www.ncbi.nlm.nih.gov/nuccore/CP000058.1?report=graph&amp;tracks=[key:gene_model_track,Options:GeneOnly]&amp;mk=4820883:4820902|offset_40|444444,4820850:4820869|offset_73|444444,4820805:4820824|offset_118|444444,4820782:4820801|offset_141|00cc00&amp;v=4820682:4821001&amp;c=444444", "offset 141")</f>
        <v>offset 141</v>
      </c>
    </row>
    <row r="15607" customFormat="false" ht="12.8" hidden="false" customHeight="false" outlineLevel="0" collapsed="false">
      <c r="A15607" s="0" t="s">
        <v>12</v>
      </c>
      <c r="B15607" s="0" t="n">
        <v>4822958</v>
      </c>
      <c r="C15607" s="0" t="n">
        <v>4822978</v>
      </c>
      <c r="D15607" s="0" t="s">
        <v>51891</v>
      </c>
      <c r="E15607" s="0" t="s">
        <v>75</v>
      </c>
      <c r="F15607" s="0" t="s">
        <v>90</v>
      </c>
      <c r="G15607" s="0" t="s">
        <v>32</v>
      </c>
      <c r="H15607" s="0" t="n">
        <v>0</v>
      </c>
      <c r="I15607" s="0" t="s">
        <v>51892</v>
      </c>
      <c r="J15607" s="0" t="s">
        <v>51893</v>
      </c>
      <c r="K15607" s="0" t="s">
        <v>51894</v>
      </c>
      <c r="L15607" s="0" t="str">
        <f aca="false">HYPERLINK("https://www.ncbi.nlm.nih.gov/nuccore/CP000058.1?report=graph&amp;tracks=[key:gene_model_track,Options:GeneOnly]&amp;mk=4822959:4822978|offset_0|00cc00,4822890:4822909|offset_69|444444,4822868:4822887|offset_91|444444,4822840:4822859|offset_119|444444&amp;v=4822758:4823059&amp;c=444444", "offset 0")</f>
        <v>offset 0</v>
      </c>
    </row>
    <row r="15608" customFormat="false" ht="12.8" hidden="false" customHeight="false" outlineLevel="0" collapsed="false">
      <c r="A15608" s="0" t="s">
        <v>12</v>
      </c>
      <c r="B15608" s="0" t="n">
        <v>4822889</v>
      </c>
      <c r="C15608" s="0" t="n">
        <v>4822909</v>
      </c>
      <c r="D15608" s="0" t="s">
        <v>51891</v>
      </c>
      <c r="E15608" s="0" t="s">
        <v>75</v>
      </c>
      <c r="F15608" s="0" t="s">
        <v>90</v>
      </c>
      <c r="G15608" s="0" t="s">
        <v>16</v>
      </c>
      <c r="H15608" s="0" t="n">
        <v>69</v>
      </c>
      <c r="I15608" s="0" t="s">
        <v>51895</v>
      </c>
      <c r="J15608" s="0" t="s">
        <v>51896</v>
      </c>
      <c r="K15608" s="0" t="s">
        <v>51897</v>
      </c>
      <c r="L15608" s="0" t="str">
        <f aca="false">HYPERLINK("https://www.ncbi.nlm.nih.gov/nuccore/CP000058.1?report=graph&amp;tracks=[key:gene_model_track,Options:GeneOnly]&amp;mk=4822959:4822978|offset_0|444444,4822890:4822909|offset_69|00cc00,4822868:4822887|offset_91|444444,4822840:4822859|offset_119|444444&amp;v=4822758:4823059&amp;c=444444", "offset 69")</f>
        <v>offset 69</v>
      </c>
    </row>
    <row r="15609" customFormat="false" ht="12.8" hidden="false" customHeight="false" outlineLevel="0" collapsed="false">
      <c r="A15609" s="0" t="s">
        <v>12</v>
      </c>
      <c r="B15609" s="0" t="n">
        <v>4822867</v>
      </c>
      <c r="C15609" s="0" t="n">
        <v>4822887</v>
      </c>
      <c r="D15609" s="0" t="s">
        <v>51891</v>
      </c>
      <c r="E15609" s="0" t="s">
        <v>75</v>
      </c>
      <c r="F15609" s="0" t="s">
        <v>90</v>
      </c>
      <c r="G15609" s="0" t="s">
        <v>16</v>
      </c>
      <c r="H15609" s="0" t="n">
        <v>91</v>
      </c>
      <c r="I15609" s="0" t="s">
        <v>51898</v>
      </c>
      <c r="J15609" s="0" t="s">
        <v>51899</v>
      </c>
      <c r="K15609" s="0" t="s">
        <v>51900</v>
      </c>
      <c r="L15609" s="0" t="str">
        <f aca="false">HYPERLINK("https://www.ncbi.nlm.nih.gov/nuccore/CP000058.1?report=graph&amp;tracks=[key:gene_model_track,Options:GeneOnly]&amp;mk=4822959:4822978|offset_0|444444,4822890:4822909|offset_69|444444,4822868:4822887|offset_91|00cc00,4822840:4822859|offset_119|444444&amp;v=4822758:4823059&amp;c=444444", "offset 91")</f>
        <v>offset 91</v>
      </c>
    </row>
    <row r="15610" customFormat="false" ht="12.8" hidden="false" customHeight="false" outlineLevel="0" collapsed="false">
      <c r="A15610" s="0" t="s">
        <v>12</v>
      </c>
      <c r="B15610" s="0" t="n">
        <v>4822839</v>
      </c>
      <c r="C15610" s="0" t="n">
        <v>4822859</v>
      </c>
      <c r="D15610" s="0" t="s">
        <v>51891</v>
      </c>
      <c r="E15610" s="0" t="s">
        <v>75</v>
      </c>
      <c r="F15610" s="0" t="s">
        <v>90</v>
      </c>
      <c r="G15610" s="0" t="s">
        <v>20</v>
      </c>
      <c r="H15610" s="0" t="n">
        <v>119</v>
      </c>
      <c r="I15610" s="0" t="s">
        <v>51901</v>
      </c>
      <c r="J15610" s="0" t="s">
        <v>51902</v>
      </c>
      <c r="K15610" s="0" t="s">
        <v>51903</v>
      </c>
      <c r="L15610" s="0" t="str">
        <f aca="false">HYPERLINK("https://www.ncbi.nlm.nih.gov/nuccore/CP000058.1?report=graph&amp;tracks=[key:gene_model_track,Options:GeneOnly]&amp;mk=4822959:4822978|offset_0|444444,4822890:4822909|offset_69|444444,4822868:4822887|offset_91|444444,4822840:4822859|offset_119|00cc00&amp;v=4822758:4823059&amp;c=444444", "offset 119")</f>
        <v>offset 119</v>
      </c>
    </row>
    <row r="15611" customFormat="false" ht="12.8" hidden="false" customHeight="false" outlineLevel="0" collapsed="false">
      <c r="A15611" s="0" t="s">
        <v>12</v>
      </c>
      <c r="B15611" s="0" t="n">
        <v>4823374</v>
      </c>
      <c r="C15611" s="0" t="n">
        <v>4823394</v>
      </c>
      <c r="D15611" s="0" t="s">
        <v>51904</v>
      </c>
      <c r="E15611" s="0" t="s">
        <v>51905</v>
      </c>
      <c r="F15611" s="0" t="s">
        <v>15</v>
      </c>
      <c r="G15611" s="0" t="s">
        <v>36</v>
      </c>
      <c r="H15611" s="0" t="n">
        <v>23</v>
      </c>
      <c r="I15611" s="0" t="s">
        <v>51906</v>
      </c>
      <c r="J15611" s="0" t="s">
        <v>51907</v>
      </c>
      <c r="K15611" s="0" t="s">
        <v>51908</v>
      </c>
      <c r="L15611" s="0" t="str">
        <f aca="false">HYPERLINK("https://www.ncbi.nlm.nih.gov/nuccore/CP000058.1?report=graph&amp;tracks=[key:gene_model_track,Options:GeneOnly]&amp;mk=4823375:4823394|offset_23|00cc00,4823404:4823423|offset_52|444444,4823424:4823443|offset_72|444444,4823461:4823480|offset_109|444444&amp;v=4823174:4823680&amp;c=444444", "offset 23")</f>
        <v>offset 23</v>
      </c>
    </row>
    <row r="15612" customFormat="false" ht="12.8" hidden="false" customHeight="false" outlineLevel="0" collapsed="false">
      <c r="A15612" s="0" t="s">
        <v>12</v>
      </c>
      <c r="B15612" s="0" t="n">
        <v>4823403</v>
      </c>
      <c r="C15612" s="0" t="n">
        <v>4823423</v>
      </c>
      <c r="D15612" s="0" t="s">
        <v>51904</v>
      </c>
      <c r="E15612" s="0" t="s">
        <v>51905</v>
      </c>
      <c r="F15612" s="0" t="s">
        <v>15</v>
      </c>
      <c r="G15612" s="0" t="s">
        <v>32</v>
      </c>
      <c r="H15612" s="0" t="n">
        <v>52</v>
      </c>
      <c r="I15612" s="0" t="s">
        <v>51909</v>
      </c>
      <c r="J15612" s="0" t="s">
        <v>51910</v>
      </c>
      <c r="K15612" s="0" t="s">
        <v>51911</v>
      </c>
      <c r="L15612" s="0" t="str">
        <f aca="false">HYPERLINK("https://www.ncbi.nlm.nih.gov/nuccore/CP000058.1?report=graph&amp;tracks=[key:gene_model_track,Options:GeneOnly]&amp;mk=4823375:4823394|offset_23|444444,4823404:4823423|offset_52|00cc00,4823424:4823443|offset_72|444444,4823461:4823480|offset_109|444444&amp;v=4823174:4823680&amp;c=444444", "offset 52")</f>
        <v>offset 52</v>
      </c>
    </row>
    <row r="15613" customFormat="false" ht="12.8" hidden="false" customHeight="false" outlineLevel="0" collapsed="false">
      <c r="A15613" s="0" t="s">
        <v>12</v>
      </c>
      <c r="B15613" s="0" t="n">
        <v>4823423</v>
      </c>
      <c r="C15613" s="0" t="n">
        <v>4823443</v>
      </c>
      <c r="D15613" s="0" t="s">
        <v>51904</v>
      </c>
      <c r="E15613" s="0" t="s">
        <v>51905</v>
      </c>
      <c r="F15613" s="0" t="s">
        <v>15</v>
      </c>
      <c r="G15613" s="0" t="s">
        <v>36</v>
      </c>
      <c r="H15613" s="0" t="n">
        <v>72</v>
      </c>
      <c r="I15613" s="0" t="s">
        <v>51912</v>
      </c>
      <c r="J15613" s="0" t="s">
        <v>51913</v>
      </c>
      <c r="K15613" s="0" t="s">
        <v>51914</v>
      </c>
      <c r="L15613" s="0" t="str">
        <f aca="false">HYPERLINK("https://www.ncbi.nlm.nih.gov/nuccore/CP000058.1?report=graph&amp;tracks=[key:gene_model_track,Options:GeneOnly]&amp;mk=4823375:4823394|offset_23|444444,4823404:4823423|offset_52|444444,4823424:4823443|offset_72|00cc00,4823461:4823480|offset_109|444444&amp;v=4823174:4823680&amp;c=444444", "offset 72")</f>
        <v>offset 72</v>
      </c>
    </row>
    <row r="15614" customFormat="false" ht="12.8" hidden="false" customHeight="false" outlineLevel="0" collapsed="false">
      <c r="A15614" s="0" t="s">
        <v>12</v>
      </c>
      <c r="B15614" s="0" t="n">
        <v>4823460</v>
      </c>
      <c r="C15614" s="0" t="n">
        <v>4823480</v>
      </c>
      <c r="D15614" s="0" t="s">
        <v>51904</v>
      </c>
      <c r="E15614" s="0" t="s">
        <v>51905</v>
      </c>
      <c r="F15614" s="0" t="s">
        <v>15</v>
      </c>
      <c r="G15614" s="0" t="s">
        <v>20</v>
      </c>
      <c r="H15614" s="0" t="n">
        <v>109</v>
      </c>
      <c r="I15614" s="0" t="s">
        <v>51915</v>
      </c>
      <c r="J15614" s="0" t="s">
        <v>51916</v>
      </c>
      <c r="K15614" s="0" t="s">
        <v>51917</v>
      </c>
      <c r="L15614" s="0" t="str">
        <f aca="false">HYPERLINK("https://www.ncbi.nlm.nih.gov/nuccore/CP000058.1?report=graph&amp;tracks=[key:gene_model_track,Options:GeneOnly]&amp;mk=4823375:4823394|offset_23|444444,4823404:4823423|offset_52|444444,4823424:4823443|offset_72|444444,4823461:4823480|offset_109|00cc00&amp;v=4823174:4823680&amp;c=444444", "offset 109")</f>
        <v>offset 109</v>
      </c>
    </row>
    <row r="15615" customFormat="false" ht="12.8" hidden="false" customHeight="false" outlineLevel="0" collapsed="false">
      <c r="A15615" s="0" t="s">
        <v>12</v>
      </c>
      <c r="B15615" s="0" t="n">
        <v>4826973</v>
      </c>
      <c r="C15615" s="0" t="n">
        <v>4826993</v>
      </c>
      <c r="D15615" s="0" t="s">
        <v>51918</v>
      </c>
      <c r="E15615" s="0" t="s">
        <v>75</v>
      </c>
      <c r="F15615" s="0" t="s">
        <v>90</v>
      </c>
      <c r="G15615" s="0" t="s">
        <v>16</v>
      </c>
      <c r="H15615" s="0" t="n">
        <v>17</v>
      </c>
      <c r="I15615" s="0" t="s">
        <v>51919</v>
      </c>
      <c r="J15615" s="0" t="s">
        <v>51920</v>
      </c>
      <c r="K15615" s="0" t="s">
        <v>51921</v>
      </c>
      <c r="L15615" s="0" t="str">
        <f aca="false">HYPERLINK("https://www.ncbi.nlm.nih.gov/nuccore/CP000058.1?report=graph&amp;tracks=[key:gene_model_track,Options:GeneOnly]&amp;mk=4826974:4826993|offset_17|00cc00,4826951:4826970|offset_40|444444,4826910:4826929|offset_81|444444,4826849:4826868|offset_142|444444&amp;v=4826773:4827068&amp;c=444444", "offset 17")</f>
        <v>offset 17</v>
      </c>
    </row>
    <row r="15616" customFormat="false" ht="12.8" hidden="false" customHeight="false" outlineLevel="0" collapsed="false">
      <c r="A15616" s="0" t="s">
        <v>12</v>
      </c>
      <c r="B15616" s="0" t="n">
        <v>4826950</v>
      </c>
      <c r="C15616" s="0" t="n">
        <v>4826970</v>
      </c>
      <c r="D15616" s="0" t="s">
        <v>51918</v>
      </c>
      <c r="E15616" s="0" t="s">
        <v>75</v>
      </c>
      <c r="F15616" s="0" t="s">
        <v>90</v>
      </c>
      <c r="G15616" s="0" t="s">
        <v>36</v>
      </c>
      <c r="H15616" s="0" t="n">
        <v>40</v>
      </c>
      <c r="I15616" s="0" t="s">
        <v>51922</v>
      </c>
      <c r="J15616" s="0" t="s">
        <v>51923</v>
      </c>
      <c r="K15616" s="0" t="s">
        <v>51924</v>
      </c>
      <c r="L15616" s="0" t="str">
        <f aca="false">HYPERLINK("https://www.ncbi.nlm.nih.gov/nuccore/CP000058.1?report=graph&amp;tracks=[key:gene_model_track,Options:GeneOnly]&amp;mk=4826974:4826993|offset_17|444444,4826951:4826970|offset_40|00cc00,4826910:4826929|offset_81|444444,4826849:4826868|offset_142|444444&amp;v=4826773:4827068&amp;c=444444", "offset 40")</f>
        <v>offset 40</v>
      </c>
    </row>
    <row r="15617" customFormat="false" ht="12.8" hidden="false" customHeight="false" outlineLevel="0" collapsed="false">
      <c r="A15617" s="0" t="s">
        <v>12</v>
      </c>
      <c r="B15617" s="0" t="n">
        <v>4826909</v>
      </c>
      <c r="C15617" s="0" t="n">
        <v>4826929</v>
      </c>
      <c r="D15617" s="0" t="s">
        <v>51918</v>
      </c>
      <c r="E15617" s="0" t="s">
        <v>75</v>
      </c>
      <c r="F15617" s="0" t="s">
        <v>90</v>
      </c>
      <c r="G15617" s="0" t="s">
        <v>16</v>
      </c>
      <c r="H15617" s="0" t="n">
        <v>81</v>
      </c>
      <c r="I15617" s="0" t="s">
        <v>51925</v>
      </c>
      <c r="J15617" s="0" t="s">
        <v>51926</v>
      </c>
      <c r="K15617" s="0" t="s">
        <v>51927</v>
      </c>
      <c r="L15617" s="0" t="str">
        <f aca="false">HYPERLINK("https://www.ncbi.nlm.nih.gov/nuccore/CP000058.1?report=graph&amp;tracks=[key:gene_model_track,Options:GeneOnly]&amp;mk=4826974:4826993|offset_17|444444,4826951:4826970|offset_40|444444,4826910:4826929|offset_81|00cc00,4826849:4826868|offset_142|444444&amp;v=4826773:4827068&amp;c=444444", "offset 81")</f>
        <v>offset 81</v>
      </c>
    </row>
    <row r="15618" customFormat="false" ht="12.8" hidden="false" customHeight="false" outlineLevel="0" collapsed="false">
      <c r="A15618" s="0" t="s">
        <v>12</v>
      </c>
      <c r="B15618" s="0" t="n">
        <v>4826848</v>
      </c>
      <c r="C15618" s="0" t="n">
        <v>4826868</v>
      </c>
      <c r="D15618" s="0" t="s">
        <v>51918</v>
      </c>
      <c r="E15618" s="0" t="s">
        <v>75</v>
      </c>
      <c r="F15618" s="0" t="s">
        <v>90</v>
      </c>
      <c r="G15618" s="0" t="s">
        <v>36</v>
      </c>
      <c r="H15618" s="0" t="n">
        <v>142</v>
      </c>
      <c r="I15618" s="0" t="s">
        <v>51928</v>
      </c>
      <c r="J15618" s="0" t="s">
        <v>51929</v>
      </c>
      <c r="K15618" s="0" t="s">
        <v>51930</v>
      </c>
      <c r="L15618" s="0" t="str">
        <f aca="false">HYPERLINK("https://www.ncbi.nlm.nih.gov/nuccore/CP000058.1?report=graph&amp;tracks=[key:gene_model_track,Options:GeneOnly]&amp;mk=4826974:4826993|offset_17|444444,4826951:4826970|offset_40|444444,4826910:4826929|offset_81|444444,4826849:4826868|offset_142|00cc00&amp;v=4826773:4827068&amp;c=444444", "offset 142")</f>
        <v>offset 142</v>
      </c>
    </row>
    <row r="15619" customFormat="false" ht="12.8" hidden="false" customHeight="false" outlineLevel="0" collapsed="false">
      <c r="A15619" s="0" t="s">
        <v>12</v>
      </c>
      <c r="B15619" s="0" t="n">
        <v>4827359</v>
      </c>
      <c r="C15619" s="0" t="n">
        <v>4827379</v>
      </c>
      <c r="D15619" s="0" t="s">
        <v>51931</v>
      </c>
      <c r="E15619" s="0" t="s">
        <v>75</v>
      </c>
      <c r="F15619" s="0" t="s">
        <v>90</v>
      </c>
      <c r="G15619" s="0" t="s">
        <v>20</v>
      </c>
      <c r="H15619" s="0" t="n">
        <v>36</v>
      </c>
      <c r="I15619" s="0" t="s">
        <v>51932</v>
      </c>
      <c r="J15619" s="0" t="s">
        <v>51933</v>
      </c>
      <c r="K15619" s="0" t="s">
        <v>51934</v>
      </c>
      <c r="L15619" s="0" t="str">
        <f aca="false">HYPERLINK("https://www.ncbi.nlm.nih.gov/nuccore/CP000058.1?report=graph&amp;tracks=[key:gene_model_track,Options:GeneOnly]&amp;mk=4827360:4827379|offset_36|00cc00,4827328:4827347|offset_68|444444,4827308:4827327|offset_88|444444,4827269:4827288|offset_127|444444&amp;v=4827159:4827488&amp;c=444444", "offset 36")</f>
        <v>offset 36</v>
      </c>
    </row>
    <row r="15620" customFormat="false" ht="12.8" hidden="false" customHeight="false" outlineLevel="0" collapsed="false">
      <c r="A15620" s="0" t="s">
        <v>12</v>
      </c>
      <c r="B15620" s="0" t="n">
        <v>4827327</v>
      </c>
      <c r="C15620" s="0" t="n">
        <v>4827347</v>
      </c>
      <c r="D15620" s="0" t="s">
        <v>51931</v>
      </c>
      <c r="E15620" s="0" t="s">
        <v>75</v>
      </c>
      <c r="F15620" s="0" t="s">
        <v>90</v>
      </c>
      <c r="G15620" s="0" t="s">
        <v>20</v>
      </c>
      <c r="H15620" s="0" t="n">
        <v>68</v>
      </c>
      <c r="I15620" s="0" t="s">
        <v>51935</v>
      </c>
      <c r="J15620" s="0" t="s">
        <v>51936</v>
      </c>
      <c r="K15620" s="0" t="s">
        <v>51937</v>
      </c>
      <c r="L15620" s="0" t="str">
        <f aca="false">HYPERLINK("https://www.ncbi.nlm.nih.gov/nuccore/CP000058.1?report=graph&amp;tracks=[key:gene_model_track,Options:GeneOnly]&amp;mk=4827360:4827379|offset_36|444444,4827328:4827347|offset_68|00cc00,4827308:4827327|offset_88|444444,4827269:4827288|offset_127|444444&amp;v=4827159:4827488&amp;c=444444", "offset 68")</f>
        <v>offset 68</v>
      </c>
    </row>
    <row r="15621" customFormat="false" ht="12.8" hidden="false" customHeight="false" outlineLevel="0" collapsed="false">
      <c r="A15621" s="0" t="s">
        <v>12</v>
      </c>
      <c r="B15621" s="0" t="n">
        <v>4827307</v>
      </c>
      <c r="C15621" s="0" t="n">
        <v>4827327</v>
      </c>
      <c r="D15621" s="0" t="s">
        <v>51931</v>
      </c>
      <c r="E15621" s="0" t="s">
        <v>75</v>
      </c>
      <c r="F15621" s="0" t="s">
        <v>90</v>
      </c>
      <c r="G15621" s="0" t="s">
        <v>16</v>
      </c>
      <c r="H15621" s="0" t="n">
        <v>88</v>
      </c>
      <c r="I15621" s="0" t="s">
        <v>51938</v>
      </c>
      <c r="J15621" s="0" t="s">
        <v>51939</v>
      </c>
      <c r="K15621" s="0" t="s">
        <v>51940</v>
      </c>
      <c r="L15621" s="0" t="str">
        <f aca="false">HYPERLINK("https://www.ncbi.nlm.nih.gov/nuccore/CP000058.1?report=graph&amp;tracks=[key:gene_model_track,Options:GeneOnly]&amp;mk=4827360:4827379|offset_36|444444,4827328:4827347|offset_68|444444,4827308:4827327|offset_88|00cc00,4827269:4827288|offset_127|444444&amp;v=4827159:4827488&amp;c=444444", "offset 88")</f>
        <v>offset 88</v>
      </c>
    </row>
    <row r="15622" customFormat="false" ht="12.8" hidden="false" customHeight="false" outlineLevel="0" collapsed="false">
      <c r="A15622" s="0" t="s">
        <v>12</v>
      </c>
      <c r="B15622" s="0" t="n">
        <v>4827268</v>
      </c>
      <c r="C15622" s="0" t="n">
        <v>4827288</v>
      </c>
      <c r="D15622" s="0" t="s">
        <v>51931</v>
      </c>
      <c r="E15622" s="0" t="s">
        <v>75</v>
      </c>
      <c r="F15622" s="0" t="s">
        <v>90</v>
      </c>
      <c r="G15622" s="0" t="s">
        <v>16</v>
      </c>
      <c r="H15622" s="0" t="n">
        <v>127</v>
      </c>
      <c r="I15622" s="0" t="s">
        <v>51941</v>
      </c>
      <c r="J15622" s="0" t="s">
        <v>51942</v>
      </c>
      <c r="K15622" s="0" t="s">
        <v>51943</v>
      </c>
      <c r="L15622" s="0" t="str">
        <f aca="false">HYPERLINK("https://www.ncbi.nlm.nih.gov/nuccore/CP000058.1?report=graph&amp;tracks=[key:gene_model_track,Options:GeneOnly]&amp;mk=4827360:4827379|offset_36|444444,4827328:4827347|offset_68|444444,4827308:4827327|offset_88|444444,4827269:4827288|offset_127|00cc00&amp;v=4827159:4827488&amp;c=444444", "offset 127")</f>
        <v>offset 127</v>
      </c>
    </row>
    <row r="15623" customFormat="false" ht="12.8" hidden="false" customHeight="false" outlineLevel="0" collapsed="false">
      <c r="A15623" s="0" t="s">
        <v>12</v>
      </c>
      <c r="B15623" s="0" t="n">
        <v>4828719</v>
      </c>
      <c r="C15623" s="0" t="n">
        <v>4828739</v>
      </c>
      <c r="D15623" s="0" t="s">
        <v>51944</v>
      </c>
      <c r="E15623" s="0" t="s">
        <v>51945</v>
      </c>
      <c r="F15623" s="0" t="s">
        <v>90</v>
      </c>
      <c r="G15623" s="0" t="s">
        <v>36</v>
      </c>
      <c r="H15623" s="0" t="n">
        <v>11</v>
      </c>
      <c r="I15623" s="0" t="s">
        <v>51946</v>
      </c>
      <c r="J15623" s="0" t="s">
        <v>51947</v>
      </c>
      <c r="K15623" s="0" t="s">
        <v>51948</v>
      </c>
      <c r="L15623" s="0" t="str">
        <f aca="false">HYPERLINK("https://www.ncbi.nlm.nih.gov/nuccore/CP000058.1?report=graph&amp;tracks=[key:gene_model_track,Options:GeneOnly]&amp;mk=4828720:4828739|offset_11|00cc00,4828700:4828719|offset_31|444444,4828664:4828683|offset_67|444444,4828639:4828658|offset_92|444444&amp;v=4828519:4828858&amp;c=444444", "offset 11")</f>
        <v>offset 11</v>
      </c>
    </row>
    <row r="15624" customFormat="false" ht="12.8" hidden="false" customHeight="false" outlineLevel="0" collapsed="false">
      <c r="A15624" s="0" t="s">
        <v>12</v>
      </c>
      <c r="B15624" s="0" t="n">
        <v>4828699</v>
      </c>
      <c r="C15624" s="0" t="n">
        <v>4828719</v>
      </c>
      <c r="D15624" s="0" t="s">
        <v>51944</v>
      </c>
      <c r="E15624" s="0" t="s">
        <v>51945</v>
      </c>
      <c r="F15624" s="0" t="s">
        <v>90</v>
      </c>
      <c r="G15624" s="0" t="s">
        <v>36</v>
      </c>
      <c r="H15624" s="0" t="n">
        <v>31</v>
      </c>
      <c r="I15624" s="0" t="s">
        <v>51949</v>
      </c>
      <c r="J15624" s="0" t="s">
        <v>51950</v>
      </c>
      <c r="K15624" s="0" t="s">
        <v>51951</v>
      </c>
      <c r="L15624" s="0" t="str">
        <f aca="false">HYPERLINK("https://www.ncbi.nlm.nih.gov/nuccore/CP000058.1?report=graph&amp;tracks=[key:gene_model_track,Options:GeneOnly]&amp;mk=4828720:4828739|offset_11|444444,4828700:4828719|offset_31|00cc00,4828664:4828683|offset_67|444444,4828639:4828658|offset_92|444444&amp;v=4828519:4828858&amp;c=444444", "offset 31")</f>
        <v>offset 31</v>
      </c>
    </row>
    <row r="15625" customFormat="false" ht="12.8" hidden="false" customHeight="false" outlineLevel="0" collapsed="false">
      <c r="A15625" s="0" t="s">
        <v>12</v>
      </c>
      <c r="B15625" s="0" t="n">
        <v>4828663</v>
      </c>
      <c r="C15625" s="0" t="n">
        <v>4828683</v>
      </c>
      <c r="D15625" s="0" t="s">
        <v>51944</v>
      </c>
      <c r="E15625" s="0" t="s">
        <v>51945</v>
      </c>
      <c r="F15625" s="0" t="s">
        <v>90</v>
      </c>
      <c r="G15625" s="0" t="s">
        <v>16</v>
      </c>
      <c r="H15625" s="0" t="n">
        <v>67</v>
      </c>
      <c r="I15625" s="0" t="s">
        <v>51952</v>
      </c>
      <c r="J15625" s="0" t="s">
        <v>51953</v>
      </c>
      <c r="K15625" s="0" t="s">
        <v>51954</v>
      </c>
      <c r="L15625" s="0" t="str">
        <f aca="false">HYPERLINK("https://www.ncbi.nlm.nih.gov/nuccore/CP000058.1?report=graph&amp;tracks=[key:gene_model_track,Options:GeneOnly]&amp;mk=4828720:4828739|offset_11|444444,4828700:4828719|offset_31|444444,4828664:4828683|offset_67|00cc00,4828639:4828658|offset_92|444444&amp;v=4828519:4828858&amp;c=444444", "offset 67")</f>
        <v>offset 67</v>
      </c>
    </row>
    <row r="15626" customFormat="false" ht="12.8" hidden="false" customHeight="false" outlineLevel="0" collapsed="false">
      <c r="A15626" s="0" t="s">
        <v>12</v>
      </c>
      <c r="B15626" s="0" t="n">
        <v>4828638</v>
      </c>
      <c r="C15626" s="0" t="n">
        <v>4828658</v>
      </c>
      <c r="D15626" s="0" t="s">
        <v>51944</v>
      </c>
      <c r="E15626" s="0" t="s">
        <v>51945</v>
      </c>
      <c r="F15626" s="0" t="s">
        <v>90</v>
      </c>
      <c r="G15626" s="0" t="s">
        <v>20</v>
      </c>
      <c r="H15626" s="0" t="n">
        <v>92</v>
      </c>
      <c r="I15626" s="0" t="s">
        <v>51955</v>
      </c>
      <c r="J15626" s="0" t="s">
        <v>51956</v>
      </c>
      <c r="K15626" s="0" t="s">
        <v>51957</v>
      </c>
      <c r="L15626" s="0" t="str">
        <f aca="false">HYPERLINK("https://www.ncbi.nlm.nih.gov/nuccore/CP000058.1?report=graph&amp;tracks=[key:gene_model_track,Options:GeneOnly]&amp;mk=4828720:4828739|offset_11|444444,4828700:4828719|offset_31|444444,4828664:4828683|offset_67|444444,4828639:4828658|offset_92|00cc00&amp;v=4828519:4828858&amp;c=444444", "offset 92")</f>
        <v>offset 92</v>
      </c>
    </row>
    <row r="15627" customFormat="false" ht="12.8" hidden="false" customHeight="false" outlineLevel="0" collapsed="false">
      <c r="A15627" s="0" t="s">
        <v>12</v>
      </c>
      <c r="B15627" s="0" t="n">
        <v>4831384</v>
      </c>
      <c r="C15627" s="0" t="n">
        <v>4831404</v>
      </c>
      <c r="D15627" s="0" t="s">
        <v>51958</v>
      </c>
      <c r="E15627" s="0" t="s">
        <v>75</v>
      </c>
      <c r="F15627" s="0" t="s">
        <v>90</v>
      </c>
      <c r="G15627" s="0" t="s">
        <v>36</v>
      </c>
      <c r="H15627" s="0" t="n">
        <v>50</v>
      </c>
      <c r="I15627" s="0" t="s">
        <v>51959</v>
      </c>
      <c r="J15627" s="0" t="s">
        <v>51960</v>
      </c>
      <c r="K15627" s="0" t="s">
        <v>51961</v>
      </c>
      <c r="L15627" s="0" t="str">
        <f aca="false">HYPERLINK("https://www.ncbi.nlm.nih.gov/nuccore/CP000058.1?report=graph&amp;tracks=[key:gene_model_track,Options:GeneOnly]&amp;mk=4831385:4831404|offset_50|00cc00,4831358:4831377|offset_77|444444,4831335:4831354|offset_100|444444,4831245:4831264|offset_190|444444&amp;v=4831184:4831464&amp;c=444444", "offset 50")</f>
        <v>offset 50</v>
      </c>
    </row>
    <row r="15628" customFormat="false" ht="12.8" hidden="false" customHeight="false" outlineLevel="0" collapsed="false">
      <c r="A15628" s="0" t="s">
        <v>12</v>
      </c>
      <c r="B15628" s="0" t="n">
        <v>4831357</v>
      </c>
      <c r="C15628" s="0" t="n">
        <v>4831377</v>
      </c>
      <c r="D15628" s="0" t="s">
        <v>51958</v>
      </c>
      <c r="E15628" s="0" t="s">
        <v>75</v>
      </c>
      <c r="F15628" s="0" t="s">
        <v>90</v>
      </c>
      <c r="G15628" s="0" t="s">
        <v>20</v>
      </c>
      <c r="H15628" s="0" t="n">
        <v>77</v>
      </c>
      <c r="I15628" s="0" t="s">
        <v>51962</v>
      </c>
      <c r="J15628" s="0" t="s">
        <v>51963</v>
      </c>
      <c r="K15628" s="0" t="s">
        <v>51964</v>
      </c>
      <c r="L15628" s="0" t="str">
        <f aca="false">HYPERLINK("https://www.ncbi.nlm.nih.gov/nuccore/CP000058.1?report=graph&amp;tracks=[key:gene_model_track,Options:GeneOnly]&amp;mk=4831385:4831404|offset_50|444444,4831358:4831377|offset_77|00cc00,4831335:4831354|offset_100|444444,4831245:4831264|offset_190|444444&amp;v=4831184:4831464&amp;c=444444", "offset 77")</f>
        <v>offset 77</v>
      </c>
    </row>
    <row r="15629" customFormat="false" ht="12.8" hidden="false" customHeight="false" outlineLevel="0" collapsed="false">
      <c r="A15629" s="0" t="s">
        <v>12</v>
      </c>
      <c r="B15629" s="0" t="n">
        <v>4831334</v>
      </c>
      <c r="C15629" s="0" t="n">
        <v>4831354</v>
      </c>
      <c r="D15629" s="0" t="s">
        <v>51958</v>
      </c>
      <c r="E15629" s="0" t="s">
        <v>75</v>
      </c>
      <c r="F15629" s="0" t="s">
        <v>90</v>
      </c>
      <c r="G15629" s="0" t="s">
        <v>16</v>
      </c>
      <c r="H15629" s="0" t="n">
        <v>100</v>
      </c>
      <c r="I15629" s="0" t="s">
        <v>51965</v>
      </c>
      <c r="J15629" s="0" t="s">
        <v>51966</v>
      </c>
      <c r="K15629" s="0" t="s">
        <v>51967</v>
      </c>
      <c r="L15629" s="0" t="str">
        <f aca="false">HYPERLINK("https://www.ncbi.nlm.nih.gov/nuccore/CP000058.1?report=graph&amp;tracks=[key:gene_model_track,Options:GeneOnly]&amp;mk=4831385:4831404|offset_50|444444,4831358:4831377|offset_77|444444,4831335:4831354|offset_100|00cc00,4831245:4831264|offset_190|444444&amp;v=4831184:4831464&amp;c=444444", "offset 100")</f>
        <v>offset 100</v>
      </c>
    </row>
    <row r="15630" customFormat="false" ht="12.8" hidden="false" customHeight="false" outlineLevel="0" collapsed="false">
      <c r="A15630" s="0" t="s">
        <v>12</v>
      </c>
      <c r="B15630" s="0" t="n">
        <v>4831244</v>
      </c>
      <c r="C15630" s="0" t="n">
        <v>4831264</v>
      </c>
      <c r="D15630" s="0" t="s">
        <v>51958</v>
      </c>
      <c r="E15630" s="0" t="s">
        <v>75</v>
      </c>
      <c r="F15630" s="0" t="s">
        <v>90</v>
      </c>
      <c r="G15630" s="0" t="s">
        <v>32</v>
      </c>
      <c r="H15630" s="0" t="n">
        <v>190</v>
      </c>
      <c r="I15630" s="0" t="s">
        <v>51968</v>
      </c>
      <c r="J15630" s="0" t="s">
        <v>51969</v>
      </c>
      <c r="K15630" s="0" t="s">
        <v>51970</v>
      </c>
      <c r="L15630" s="0" t="str">
        <f aca="false">HYPERLINK("https://www.ncbi.nlm.nih.gov/nuccore/CP000058.1?report=graph&amp;tracks=[key:gene_model_track,Options:GeneOnly]&amp;mk=4831385:4831404|offset_50|444444,4831358:4831377|offset_77|444444,4831335:4831354|offset_100|444444,4831245:4831264|offset_190|00cc00&amp;v=4831184:4831464&amp;c=444444", "offset 190")</f>
        <v>offset 190</v>
      </c>
    </row>
    <row r="15631" customFormat="false" ht="12.8" hidden="false" customHeight="false" outlineLevel="0" collapsed="false">
      <c r="A15631" s="0" t="s">
        <v>12</v>
      </c>
      <c r="B15631" s="0" t="n">
        <v>4832411</v>
      </c>
      <c r="C15631" s="0" t="n">
        <v>4832431</v>
      </c>
      <c r="D15631" s="0" t="s">
        <v>51971</v>
      </c>
      <c r="E15631" s="0" t="s">
        <v>75</v>
      </c>
      <c r="F15631" s="0" t="s">
        <v>90</v>
      </c>
      <c r="G15631" s="0" t="s">
        <v>32</v>
      </c>
      <c r="H15631" s="0" t="n">
        <v>12</v>
      </c>
      <c r="I15631" s="0" t="s">
        <v>51972</v>
      </c>
      <c r="J15631" s="0" t="s">
        <v>51973</v>
      </c>
      <c r="K15631" s="0" t="s">
        <v>51974</v>
      </c>
      <c r="L15631" s="0" t="str">
        <f aca="false">HYPERLINK("https://www.ncbi.nlm.nih.gov/nuccore/CP000058.1?report=graph&amp;tracks=[key:gene_model_track,Options:GeneOnly]&amp;mk=4832412:4832431|offset_12|00cc00,4832344:4832363|offset_80|444444,4832276:4832295|offset_148|444444,4832244:4832263|offset_180|444444&amp;v=4832211:4832463&amp;c=444444", "offset 12")</f>
        <v>offset 12</v>
      </c>
    </row>
    <row r="15632" customFormat="false" ht="12.8" hidden="false" customHeight="false" outlineLevel="0" collapsed="false">
      <c r="A15632" s="0" t="s">
        <v>12</v>
      </c>
      <c r="B15632" s="0" t="n">
        <v>4832343</v>
      </c>
      <c r="C15632" s="0" t="n">
        <v>4832363</v>
      </c>
      <c r="D15632" s="0" t="s">
        <v>51971</v>
      </c>
      <c r="E15632" s="0" t="s">
        <v>75</v>
      </c>
      <c r="F15632" s="0" t="s">
        <v>90</v>
      </c>
      <c r="G15632" s="0" t="s">
        <v>16</v>
      </c>
      <c r="H15632" s="0" t="n">
        <v>80</v>
      </c>
      <c r="I15632" s="0" t="s">
        <v>51975</v>
      </c>
      <c r="J15632" s="0" t="s">
        <v>51976</v>
      </c>
      <c r="K15632" s="0" t="s">
        <v>51977</v>
      </c>
      <c r="L15632" s="0" t="str">
        <f aca="false">HYPERLINK("https://www.ncbi.nlm.nih.gov/nuccore/CP000058.1?report=graph&amp;tracks=[key:gene_model_track,Options:GeneOnly]&amp;mk=4832412:4832431|offset_12|444444,4832344:4832363|offset_80|00cc00,4832276:4832295|offset_148|444444,4832244:4832263|offset_180|444444&amp;v=4832211:4832463&amp;c=444444", "offset 80")</f>
        <v>offset 80</v>
      </c>
    </row>
    <row r="15633" customFormat="false" ht="12.8" hidden="false" customHeight="false" outlineLevel="0" collapsed="false">
      <c r="A15633" s="0" t="s">
        <v>12</v>
      </c>
      <c r="B15633" s="0" t="n">
        <v>4832275</v>
      </c>
      <c r="C15633" s="0" t="n">
        <v>4832295</v>
      </c>
      <c r="D15633" s="0" t="s">
        <v>51971</v>
      </c>
      <c r="E15633" s="0" t="s">
        <v>75</v>
      </c>
      <c r="F15633" s="0" t="s">
        <v>90</v>
      </c>
      <c r="G15633" s="0" t="s">
        <v>32</v>
      </c>
      <c r="H15633" s="0" t="n">
        <v>148</v>
      </c>
      <c r="I15633" s="0" t="s">
        <v>51978</v>
      </c>
      <c r="J15633" s="0" t="s">
        <v>51979</v>
      </c>
      <c r="K15633" s="0" t="s">
        <v>51980</v>
      </c>
      <c r="L15633" s="0" t="str">
        <f aca="false">HYPERLINK("https://www.ncbi.nlm.nih.gov/nuccore/CP000058.1?report=graph&amp;tracks=[key:gene_model_track,Options:GeneOnly]&amp;mk=4832412:4832431|offset_12|444444,4832344:4832363|offset_80|444444,4832276:4832295|offset_148|00cc00,4832244:4832263|offset_180|444444&amp;v=4832211:4832463&amp;c=444444", "offset 148")</f>
        <v>offset 148</v>
      </c>
    </row>
    <row r="15634" customFormat="false" ht="12.8" hidden="false" customHeight="false" outlineLevel="0" collapsed="false">
      <c r="A15634" s="0" t="s">
        <v>12</v>
      </c>
      <c r="B15634" s="0" t="n">
        <v>4832243</v>
      </c>
      <c r="C15634" s="0" t="n">
        <v>4832263</v>
      </c>
      <c r="D15634" s="0" t="s">
        <v>51971</v>
      </c>
      <c r="E15634" s="0" t="s">
        <v>75</v>
      </c>
      <c r="F15634" s="0" t="s">
        <v>90</v>
      </c>
      <c r="G15634" s="0" t="s">
        <v>32</v>
      </c>
      <c r="H15634" s="0" t="n">
        <v>180</v>
      </c>
      <c r="I15634" s="0" t="s">
        <v>51981</v>
      </c>
      <c r="J15634" s="0" t="s">
        <v>51982</v>
      </c>
      <c r="K15634" s="0" t="s">
        <v>51983</v>
      </c>
      <c r="L15634" s="0" t="str">
        <f aca="false">HYPERLINK("https://www.ncbi.nlm.nih.gov/nuccore/CP000058.1?report=graph&amp;tracks=[key:gene_model_track,Options:GeneOnly]&amp;mk=4832412:4832431|offset_12|444444,4832344:4832363|offset_80|444444,4832276:4832295|offset_148|444444,4832244:4832263|offset_180|00cc00&amp;v=4832211:4832463&amp;c=444444", "offset 180")</f>
        <v>offset 180</v>
      </c>
    </row>
    <row r="15635" customFormat="false" ht="12.8" hidden="false" customHeight="false" outlineLevel="0" collapsed="false">
      <c r="A15635" s="0" t="s">
        <v>12</v>
      </c>
      <c r="B15635" s="0" t="n">
        <v>4833276</v>
      </c>
      <c r="C15635" s="0" t="n">
        <v>4833296</v>
      </c>
      <c r="D15635" s="0" t="s">
        <v>51984</v>
      </c>
      <c r="E15635" s="0" t="s">
        <v>75</v>
      </c>
      <c r="F15635" s="0" t="s">
        <v>90</v>
      </c>
      <c r="G15635" s="0" t="s">
        <v>32</v>
      </c>
      <c r="H15635" s="0" t="n">
        <v>7</v>
      </c>
      <c r="I15635" s="0" t="s">
        <v>51985</v>
      </c>
      <c r="J15635" s="0" t="s">
        <v>51986</v>
      </c>
      <c r="K15635" s="0" t="s">
        <v>51987</v>
      </c>
      <c r="L15635" s="0" t="str">
        <f aca="false">HYPERLINK("https://www.ncbi.nlm.nih.gov/nuccore/CP000058.1?report=graph&amp;tracks=[key:gene_model_track,Options:GeneOnly]&amp;mk=4833277:4833296|offset_7|00cc00,4833255:4833274|offset_29|444444,4833213:4833232|offset_71|444444,4833149:4833168|offset_135|444444&amp;v=4833076:4833368&amp;c=444444", "offset 7")</f>
        <v>offset 7</v>
      </c>
    </row>
    <row r="15636" customFormat="false" ht="12.8" hidden="false" customHeight="false" outlineLevel="0" collapsed="false">
      <c r="A15636" s="0" t="s">
        <v>12</v>
      </c>
      <c r="B15636" s="0" t="n">
        <v>4833254</v>
      </c>
      <c r="C15636" s="0" t="n">
        <v>4833274</v>
      </c>
      <c r="D15636" s="0" t="s">
        <v>51984</v>
      </c>
      <c r="E15636" s="0" t="s">
        <v>75</v>
      </c>
      <c r="F15636" s="0" t="s">
        <v>90</v>
      </c>
      <c r="G15636" s="0" t="s">
        <v>36</v>
      </c>
      <c r="H15636" s="0" t="n">
        <v>29</v>
      </c>
      <c r="I15636" s="0" t="s">
        <v>51988</v>
      </c>
      <c r="J15636" s="0" t="s">
        <v>51989</v>
      </c>
      <c r="K15636" s="0" t="s">
        <v>51990</v>
      </c>
      <c r="L15636" s="0" t="str">
        <f aca="false">HYPERLINK("https://www.ncbi.nlm.nih.gov/nuccore/CP000058.1?report=graph&amp;tracks=[key:gene_model_track,Options:GeneOnly]&amp;mk=4833277:4833296|offset_7|444444,4833255:4833274|offset_29|00cc00,4833213:4833232|offset_71|444444,4833149:4833168|offset_135|444444&amp;v=4833076:4833368&amp;c=444444", "offset 29")</f>
        <v>offset 29</v>
      </c>
    </row>
    <row r="15637" customFormat="false" ht="12.8" hidden="false" customHeight="false" outlineLevel="0" collapsed="false">
      <c r="A15637" s="0" t="s">
        <v>12</v>
      </c>
      <c r="B15637" s="0" t="n">
        <v>4833212</v>
      </c>
      <c r="C15637" s="0" t="n">
        <v>4833232</v>
      </c>
      <c r="D15637" s="0" t="s">
        <v>51984</v>
      </c>
      <c r="E15637" s="0" t="s">
        <v>75</v>
      </c>
      <c r="F15637" s="0" t="s">
        <v>90</v>
      </c>
      <c r="G15637" s="0" t="s">
        <v>16</v>
      </c>
      <c r="H15637" s="0" t="n">
        <v>71</v>
      </c>
      <c r="I15637" s="0" t="s">
        <v>51991</v>
      </c>
      <c r="J15637" s="0" t="s">
        <v>51992</v>
      </c>
      <c r="K15637" s="0" t="s">
        <v>51993</v>
      </c>
      <c r="L15637" s="0" t="str">
        <f aca="false">HYPERLINK("https://www.ncbi.nlm.nih.gov/nuccore/CP000058.1?report=graph&amp;tracks=[key:gene_model_track,Options:GeneOnly]&amp;mk=4833277:4833296|offset_7|444444,4833255:4833274|offset_29|444444,4833213:4833232|offset_71|00cc00,4833149:4833168|offset_135|444444&amp;v=4833076:4833368&amp;c=444444", "offset 71")</f>
        <v>offset 71</v>
      </c>
    </row>
    <row r="15638" customFormat="false" ht="12.8" hidden="false" customHeight="false" outlineLevel="0" collapsed="false">
      <c r="A15638" s="0" t="s">
        <v>12</v>
      </c>
      <c r="B15638" s="0" t="n">
        <v>4833148</v>
      </c>
      <c r="C15638" s="0" t="n">
        <v>4833168</v>
      </c>
      <c r="D15638" s="0" t="s">
        <v>51984</v>
      </c>
      <c r="E15638" s="0" t="s">
        <v>75</v>
      </c>
      <c r="F15638" s="0" t="s">
        <v>90</v>
      </c>
      <c r="G15638" s="0" t="s">
        <v>16</v>
      </c>
      <c r="H15638" s="0" t="n">
        <v>135</v>
      </c>
      <c r="I15638" s="0" t="s">
        <v>51994</v>
      </c>
      <c r="J15638" s="0" t="s">
        <v>51995</v>
      </c>
      <c r="K15638" s="0" t="s">
        <v>51996</v>
      </c>
      <c r="L15638" s="0" t="str">
        <f aca="false">HYPERLINK("https://www.ncbi.nlm.nih.gov/nuccore/CP000058.1?report=graph&amp;tracks=[key:gene_model_track,Options:GeneOnly]&amp;mk=4833277:4833296|offset_7|444444,4833255:4833274|offset_29|444444,4833213:4833232|offset_71|444444,4833149:4833168|offset_135|00cc00&amp;v=4833076:4833368&amp;c=444444", "offset 135")</f>
        <v>offset 135</v>
      </c>
    </row>
    <row r="15639" customFormat="false" ht="12.8" hidden="false" customHeight="false" outlineLevel="0" collapsed="false">
      <c r="A15639" s="0" t="s">
        <v>12</v>
      </c>
      <c r="B15639" s="0" t="n">
        <v>4834195</v>
      </c>
      <c r="C15639" s="0" t="n">
        <v>4834215</v>
      </c>
      <c r="D15639" s="0" t="s">
        <v>51997</v>
      </c>
      <c r="E15639" s="0" t="s">
        <v>75</v>
      </c>
      <c r="F15639" s="0" t="s">
        <v>90</v>
      </c>
      <c r="G15639" s="0" t="s">
        <v>32</v>
      </c>
      <c r="H15639" s="0" t="n">
        <v>32</v>
      </c>
      <c r="I15639" s="0" t="s">
        <v>51998</v>
      </c>
      <c r="J15639" s="0" t="s">
        <v>51999</v>
      </c>
      <c r="K15639" s="0" t="s">
        <v>52000</v>
      </c>
      <c r="L15639" s="0" t="str">
        <f aca="false">HYPERLINK("https://www.ncbi.nlm.nih.gov/nuccore/CP000058.1?report=graph&amp;tracks=[key:gene_model_track,Options:GeneOnly]&amp;mk=4834196:4834215|offset_32|00cc00,4834146:4834165|offset_82|444444,4834124:4834143|offset_104|444444,4834086:4834105|offset_142|444444&amp;v=4833995:4834305&amp;c=444444", "offset 32")</f>
        <v>offset 32</v>
      </c>
    </row>
    <row r="15640" customFormat="false" ht="12.8" hidden="false" customHeight="false" outlineLevel="0" collapsed="false">
      <c r="A15640" s="0" t="s">
        <v>12</v>
      </c>
      <c r="B15640" s="0" t="n">
        <v>4834145</v>
      </c>
      <c r="C15640" s="0" t="n">
        <v>4834165</v>
      </c>
      <c r="D15640" s="0" t="s">
        <v>51997</v>
      </c>
      <c r="E15640" s="0" t="s">
        <v>75</v>
      </c>
      <c r="F15640" s="0" t="s">
        <v>90</v>
      </c>
      <c r="G15640" s="0" t="s">
        <v>20</v>
      </c>
      <c r="H15640" s="0" t="n">
        <v>82</v>
      </c>
      <c r="I15640" s="0" t="s">
        <v>52001</v>
      </c>
      <c r="J15640" s="0" t="s">
        <v>52002</v>
      </c>
      <c r="K15640" s="0" t="s">
        <v>52003</v>
      </c>
      <c r="L15640" s="0" t="str">
        <f aca="false">HYPERLINK("https://www.ncbi.nlm.nih.gov/nuccore/CP000058.1?report=graph&amp;tracks=[key:gene_model_track,Options:GeneOnly]&amp;mk=4834196:4834215|offset_32|444444,4834146:4834165|offset_82|00cc00,4834124:4834143|offset_104|444444,4834086:4834105|offset_142|444444&amp;v=4833995:4834305&amp;c=444444", "offset 82")</f>
        <v>offset 82</v>
      </c>
    </row>
    <row r="15641" customFormat="false" ht="12.8" hidden="false" customHeight="false" outlineLevel="0" collapsed="false">
      <c r="A15641" s="0" t="s">
        <v>12</v>
      </c>
      <c r="B15641" s="0" t="n">
        <v>4834123</v>
      </c>
      <c r="C15641" s="0" t="n">
        <v>4834143</v>
      </c>
      <c r="D15641" s="0" t="s">
        <v>51997</v>
      </c>
      <c r="E15641" s="0" t="s">
        <v>75</v>
      </c>
      <c r="F15641" s="0" t="s">
        <v>90</v>
      </c>
      <c r="G15641" s="0" t="s">
        <v>36</v>
      </c>
      <c r="H15641" s="0" t="n">
        <v>104</v>
      </c>
      <c r="I15641" s="0" t="s">
        <v>52004</v>
      </c>
      <c r="J15641" s="0" t="s">
        <v>52005</v>
      </c>
      <c r="K15641" s="0" t="s">
        <v>52006</v>
      </c>
      <c r="L15641" s="0" t="str">
        <f aca="false">HYPERLINK("https://www.ncbi.nlm.nih.gov/nuccore/CP000058.1?report=graph&amp;tracks=[key:gene_model_track,Options:GeneOnly]&amp;mk=4834196:4834215|offset_32|444444,4834146:4834165|offset_82|444444,4834124:4834143|offset_104|00cc00,4834086:4834105|offset_142|444444&amp;v=4833995:4834305&amp;c=444444", "offset 104")</f>
        <v>offset 104</v>
      </c>
    </row>
    <row r="15642" customFormat="false" ht="12.8" hidden="false" customHeight="false" outlineLevel="0" collapsed="false">
      <c r="A15642" s="0" t="s">
        <v>12</v>
      </c>
      <c r="B15642" s="0" t="n">
        <v>4834085</v>
      </c>
      <c r="C15642" s="0" t="n">
        <v>4834105</v>
      </c>
      <c r="D15642" s="0" t="s">
        <v>51997</v>
      </c>
      <c r="E15642" s="0" t="s">
        <v>75</v>
      </c>
      <c r="F15642" s="0" t="s">
        <v>90</v>
      </c>
      <c r="G15642" s="0" t="s">
        <v>32</v>
      </c>
      <c r="H15642" s="0" t="n">
        <v>142</v>
      </c>
      <c r="I15642" s="0" t="s">
        <v>52007</v>
      </c>
      <c r="J15642" s="0" t="s">
        <v>52008</v>
      </c>
      <c r="K15642" s="0" t="s">
        <v>52009</v>
      </c>
      <c r="L15642" s="0" t="str">
        <f aca="false">HYPERLINK("https://www.ncbi.nlm.nih.gov/nuccore/CP000058.1?report=graph&amp;tracks=[key:gene_model_track,Options:GeneOnly]&amp;mk=4834196:4834215|offset_32|444444,4834146:4834165|offset_82|444444,4834124:4834143|offset_104|444444,4834086:4834105|offset_142|00cc00&amp;v=4833995:4834305&amp;c=444444", "offset 142")</f>
        <v>offset 142</v>
      </c>
    </row>
    <row r="15643" customFormat="false" ht="12.8" hidden="false" customHeight="false" outlineLevel="0" collapsed="false">
      <c r="A15643" s="0" t="s">
        <v>12</v>
      </c>
      <c r="B15643" s="0" t="n">
        <v>4834587</v>
      </c>
      <c r="C15643" s="0" t="n">
        <v>4834607</v>
      </c>
      <c r="D15643" s="0" t="s">
        <v>52010</v>
      </c>
      <c r="E15643" s="0" t="s">
        <v>75</v>
      </c>
      <c r="F15643" s="0" t="s">
        <v>15</v>
      </c>
      <c r="G15643" s="0" t="s">
        <v>32</v>
      </c>
      <c r="H15643" s="0" t="n">
        <v>1</v>
      </c>
      <c r="I15643" s="0" t="s">
        <v>52011</v>
      </c>
      <c r="J15643" s="0" t="s">
        <v>52012</v>
      </c>
      <c r="K15643" s="0" t="s">
        <v>52013</v>
      </c>
      <c r="L15643" s="0" t="str">
        <f aca="false">HYPERLINK("https://www.ncbi.nlm.nih.gov/nuccore/CP000058.1?report=graph&amp;tracks=[key:gene_model_track,Options:GeneOnly]&amp;mk=4834588:4834607|offset_1|00cc00,4834715:4834734|offset_128|444444,4834752:4834771|offset_165|444444,4834777:4834796|offset_190|444444&amp;v=4834387:4834996&amp;c=444444", "offset 1")</f>
        <v>offset 1</v>
      </c>
    </row>
    <row r="15644" customFormat="false" ht="12.8" hidden="false" customHeight="false" outlineLevel="0" collapsed="false">
      <c r="A15644" s="0" t="s">
        <v>12</v>
      </c>
      <c r="B15644" s="0" t="n">
        <v>4834714</v>
      </c>
      <c r="C15644" s="0" t="n">
        <v>4834734</v>
      </c>
      <c r="D15644" s="0" t="s">
        <v>52010</v>
      </c>
      <c r="E15644" s="0" t="s">
        <v>75</v>
      </c>
      <c r="F15644" s="0" t="s">
        <v>15</v>
      </c>
      <c r="G15644" s="0" t="s">
        <v>36</v>
      </c>
      <c r="H15644" s="0" t="n">
        <v>128</v>
      </c>
      <c r="I15644" s="0" t="s">
        <v>52014</v>
      </c>
      <c r="J15644" s="0" t="s">
        <v>52015</v>
      </c>
      <c r="K15644" s="0" t="s">
        <v>52016</v>
      </c>
      <c r="L15644" s="0" t="str">
        <f aca="false">HYPERLINK("https://www.ncbi.nlm.nih.gov/nuccore/CP000058.1?report=graph&amp;tracks=[key:gene_model_track,Options:GeneOnly]&amp;mk=4834588:4834607|offset_1|444444,4834715:4834734|offset_128|00cc00,4834752:4834771|offset_165|444444,4834777:4834796|offset_190|444444&amp;v=4834387:4834996&amp;c=444444", "offset 128")</f>
        <v>offset 128</v>
      </c>
    </row>
    <row r="15645" customFormat="false" ht="12.8" hidden="false" customHeight="false" outlineLevel="0" collapsed="false">
      <c r="A15645" s="0" t="s">
        <v>12</v>
      </c>
      <c r="B15645" s="0" t="n">
        <v>4834751</v>
      </c>
      <c r="C15645" s="0" t="n">
        <v>4834771</v>
      </c>
      <c r="D15645" s="0" t="s">
        <v>52010</v>
      </c>
      <c r="E15645" s="0" t="s">
        <v>75</v>
      </c>
      <c r="F15645" s="0" t="s">
        <v>15</v>
      </c>
      <c r="G15645" s="0" t="s">
        <v>20</v>
      </c>
      <c r="H15645" s="0" t="n">
        <v>165</v>
      </c>
      <c r="I15645" s="0" t="s">
        <v>52017</v>
      </c>
      <c r="J15645" s="0" t="s">
        <v>52018</v>
      </c>
      <c r="K15645" s="0" t="s">
        <v>52019</v>
      </c>
      <c r="L15645" s="0" t="str">
        <f aca="false">HYPERLINK("https://www.ncbi.nlm.nih.gov/nuccore/CP000058.1?report=graph&amp;tracks=[key:gene_model_track,Options:GeneOnly]&amp;mk=4834588:4834607|offset_1|444444,4834715:4834734|offset_128|444444,4834752:4834771|offset_165|00cc00,4834777:4834796|offset_190|444444&amp;v=4834387:4834996&amp;c=444444", "offset 165")</f>
        <v>offset 165</v>
      </c>
    </row>
    <row r="15646" customFormat="false" ht="12.8" hidden="false" customHeight="false" outlineLevel="0" collapsed="false">
      <c r="A15646" s="0" t="s">
        <v>12</v>
      </c>
      <c r="B15646" s="0" t="n">
        <v>4834776</v>
      </c>
      <c r="C15646" s="0" t="n">
        <v>4834796</v>
      </c>
      <c r="D15646" s="0" t="s">
        <v>52010</v>
      </c>
      <c r="E15646" s="0" t="s">
        <v>75</v>
      </c>
      <c r="F15646" s="0" t="s">
        <v>15</v>
      </c>
      <c r="G15646" s="0" t="s">
        <v>36</v>
      </c>
      <c r="H15646" s="0" t="n">
        <v>190</v>
      </c>
      <c r="I15646" s="0" t="s">
        <v>52020</v>
      </c>
      <c r="J15646" s="0" t="s">
        <v>52021</v>
      </c>
      <c r="K15646" s="0" t="s">
        <v>52022</v>
      </c>
      <c r="L15646" s="0" t="str">
        <f aca="false">HYPERLINK("https://www.ncbi.nlm.nih.gov/nuccore/CP000058.1?report=graph&amp;tracks=[key:gene_model_track,Options:GeneOnly]&amp;mk=4834588:4834607|offset_1|444444,4834715:4834734|offset_128|444444,4834752:4834771|offset_165|444444,4834777:4834796|offset_190|00cc00&amp;v=4834387:4834996&amp;c=444444", "offset 190")</f>
        <v>offset 190</v>
      </c>
    </row>
    <row r="15647" customFormat="false" ht="12.8" hidden="false" customHeight="false" outlineLevel="0" collapsed="false">
      <c r="A15647" s="0" t="s">
        <v>12</v>
      </c>
      <c r="B15647" s="0" t="n">
        <v>4835481</v>
      </c>
      <c r="C15647" s="0" t="n">
        <v>4835501</v>
      </c>
      <c r="D15647" s="0" t="s">
        <v>52023</v>
      </c>
      <c r="E15647" s="0" t="s">
        <v>75</v>
      </c>
      <c r="F15647" s="0" t="s">
        <v>15</v>
      </c>
      <c r="G15647" s="0" t="s">
        <v>16</v>
      </c>
      <c r="H15647" s="0" t="n">
        <v>36</v>
      </c>
      <c r="I15647" s="0" t="s">
        <v>52024</v>
      </c>
      <c r="J15647" s="0" t="s">
        <v>52025</v>
      </c>
      <c r="K15647" s="0" t="s">
        <v>52026</v>
      </c>
      <c r="L15647" s="0" t="str">
        <f aca="false">HYPERLINK("https://www.ncbi.nlm.nih.gov/nuccore/CP000058.1?report=graph&amp;tracks=[key:gene_model_track,Options:GeneOnly]&amp;mk=4835482:4835501|offset_36|00cc00,4835516:4835535|offset_70|444444,4835542:4835561|offset_96|444444,4835565:4835584|offset_119|444444&amp;v=4835281:4835784&amp;c=444444", "offset 36")</f>
        <v>offset 36</v>
      </c>
    </row>
    <row r="15648" customFormat="false" ht="12.8" hidden="false" customHeight="false" outlineLevel="0" collapsed="false">
      <c r="A15648" s="0" t="s">
        <v>12</v>
      </c>
      <c r="B15648" s="0" t="n">
        <v>4835515</v>
      </c>
      <c r="C15648" s="0" t="n">
        <v>4835535</v>
      </c>
      <c r="D15648" s="0" t="s">
        <v>52023</v>
      </c>
      <c r="E15648" s="0" t="s">
        <v>75</v>
      </c>
      <c r="F15648" s="0" t="s">
        <v>15</v>
      </c>
      <c r="G15648" s="0" t="s">
        <v>16</v>
      </c>
      <c r="H15648" s="0" t="n">
        <v>70</v>
      </c>
      <c r="I15648" s="0" t="s">
        <v>52027</v>
      </c>
      <c r="J15648" s="0" t="s">
        <v>52028</v>
      </c>
      <c r="K15648" s="0" t="s">
        <v>52029</v>
      </c>
      <c r="L15648" s="0" t="str">
        <f aca="false">HYPERLINK("https://www.ncbi.nlm.nih.gov/nuccore/CP000058.1?report=graph&amp;tracks=[key:gene_model_track,Options:GeneOnly]&amp;mk=4835482:4835501|offset_36|444444,4835516:4835535|offset_70|00cc00,4835542:4835561|offset_96|444444,4835565:4835584|offset_119|444444&amp;v=4835281:4835784&amp;c=444444", "offset 70")</f>
        <v>offset 70</v>
      </c>
    </row>
    <row r="15649" customFormat="false" ht="12.8" hidden="false" customHeight="false" outlineLevel="0" collapsed="false">
      <c r="A15649" s="0" t="s">
        <v>12</v>
      </c>
      <c r="B15649" s="0" t="n">
        <v>4835541</v>
      </c>
      <c r="C15649" s="0" t="n">
        <v>4835561</v>
      </c>
      <c r="D15649" s="0" t="s">
        <v>52023</v>
      </c>
      <c r="E15649" s="0" t="s">
        <v>75</v>
      </c>
      <c r="F15649" s="0" t="s">
        <v>15</v>
      </c>
      <c r="G15649" s="0" t="s">
        <v>16</v>
      </c>
      <c r="H15649" s="0" t="n">
        <v>96</v>
      </c>
      <c r="I15649" s="0" t="s">
        <v>52030</v>
      </c>
      <c r="J15649" s="0" t="s">
        <v>52031</v>
      </c>
      <c r="K15649" s="0" t="s">
        <v>52032</v>
      </c>
      <c r="L15649" s="0" t="str">
        <f aca="false">HYPERLINK("https://www.ncbi.nlm.nih.gov/nuccore/CP000058.1?report=graph&amp;tracks=[key:gene_model_track,Options:GeneOnly]&amp;mk=4835482:4835501|offset_36|444444,4835516:4835535|offset_70|444444,4835542:4835561|offset_96|00cc00,4835565:4835584|offset_119|444444&amp;v=4835281:4835784&amp;c=444444", "offset 96")</f>
        <v>offset 96</v>
      </c>
    </row>
    <row r="15650" customFormat="false" ht="12.8" hidden="false" customHeight="false" outlineLevel="0" collapsed="false">
      <c r="A15650" s="0" t="s">
        <v>12</v>
      </c>
      <c r="B15650" s="0" t="n">
        <v>4835564</v>
      </c>
      <c r="C15650" s="0" t="n">
        <v>4835584</v>
      </c>
      <c r="D15650" s="0" t="s">
        <v>52023</v>
      </c>
      <c r="E15650" s="0" t="s">
        <v>75</v>
      </c>
      <c r="F15650" s="0" t="s">
        <v>15</v>
      </c>
      <c r="G15650" s="0" t="s">
        <v>36</v>
      </c>
      <c r="H15650" s="0" t="n">
        <v>119</v>
      </c>
      <c r="I15650" s="0" t="s">
        <v>52033</v>
      </c>
      <c r="J15650" s="0" t="s">
        <v>52034</v>
      </c>
      <c r="K15650" s="0" t="s">
        <v>52035</v>
      </c>
      <c r="L15650" s="0" t="str">
        <f aca="false">HYPERLINK("https://www.ncbi.nlm.nih.gov/nuccore/CP000058.1?report=graph&amp;tracks=[key:gene_model_track,Options:GeneOnly]&amp;mk=4835482:4835501|offset_36|444444,4835516:4835535|offset_70|444444,4835542:4835561|offset_96|444444,4835565:4835584|offset_119|00cc00&amp;v=4835281:4835784&amp;c=444444", "offset 119")</f>
        <v>offset 119</v>
      </c>
    </row>
    <row r="15651" customFormat="false" ht="12.8" hidden="false" customHeight="false" outlineLevel="0" collapsed="false">
      <c r="A15651" s="0" t="s">
        <v>12</v>
      </c>
      <c r="B15651" s="0" t="n">
        <v>4836637</v>
      </c>
      <c r="C15651" s="0" t="n">
        <v>4836657</v>
      </c>
      <c r="D15651" s="0" t="s">
        <v>52036</v>
      </c>
      <c r="E15651" s="0" t="s">
        <v>75</v>
      </c>
      <c r="F15651" s="0" t="s">
        <v>15</v>
      </c>
      <c r="G15651" s="0" t="s">
        <v>32</v>
      </c>
      <c r="H15651" s="0" t="n">
        <v>1</v>
      </c>
      <c r="I15651" s="0" t="s">
        <v>52037</v>
      </c>
      <c r="J15651" s="0" t="s">
        <v>52038</v>
      </c>
      <c r="K15651" s="0" t="s">
        <v>52039</v>
      </c>
      <c r="L15651" s="0" t="str">
        <f aca="false">HYPERLINK("https://www.ncbi.nlm.nih.gov/nuccore/CP000058.1?report=graph&amp;tracks=[key:gene_model_track,Options:GeneOnly]&amp;mk=4836638:4836657|offset_1|00cc00,4836677:4836696|offset_40|444444,4836698:4836717|offset_61|444444,4836728:4836747|offset_91|444444&amp;v=4836437:4836947&amp;c=444444", "offset 1")</f>
        <v>offset 1</v>
      </c>
    </row>
    <row r="15652" customFormat="false" ht="12.8" hidden="false" customHeight="false" outlineLevel="0" collapsed="false">
      <c r="A15652" s="0" t="s">
        <v>12</v>
      </c>
      <c r="B15652" s="0" t="n">
        <v>4836676</v>
      </c>
      <c r="C15652" s="0" t="n">
        <v>4836696</v>
      </c>
      <c r="D15652" s="0" t="s">
        <v>52036</v>
      </c>
      <c r="E15652" s="0" t="s">
        <v>75</v>
      </c>
      <c r="F15652" s="0" t="s">
        <v>15</v>
      </c>
      <c r="G15652" s="0" t="s">
        <v>36</v>
      </c>
      <c r="H15652" s="0" t="n">
        <v>40</v>
      </c>
      <c r="I15652" s="0" t="s">
        <v>52040</v>
      </c>
      <c r="J15652" s="0" t="s">
        <v>52041</v>
      </c>
      <c r="K15652" s="0" t="s">
        <v>52042</v>
      </c>
      <c r="L15652" s="0" t="str">
        <f aca="false">HYPERLINK("https://www.ncbi.nlm.nih.gov/nuccore/CP000058.1?report=graph&amp;tracks=[key:gene_model_track,Options:GeneOnly]&amp;mk=4836638:4836657|offset_1|444444,4836677:4836696|offset_40|00cc00,4836698:4836717|offset_61|444444,4836728:4836747|offset_91|444444&amp;v=4836437:4836947&amp;c=444444", "offset 40")</f>
        <v>offset 40</v>
      </c>
    </row>
    <row r="15653" customFormat="false" ht="12.8" hidden="false" customHeight="false" outlineLevel="0" collapsed="false">
      <c r="A15653" s="0" t="s">
        <v>12</v>
      </c>
      <c r="B15653" s="0" t="n">
        <v>4836697</v>
      </c>
      <c r="C15653" s="0" t="n">
        <v>4836717</v>
      </c>
      <c r="D15653" s="0" t="s">
        <v>52036</v>
      </c>
      <c r="E15653" s="0" t="s">
        <v>75</v>
      </c>
      <c r="F15653" s="0" t="s">
        <v>15</v>
      </c>
      <c r="G15653" s="0" t="s">
        <v>20</v>
      </c>
      <c r="H15653" s="0" t="n">
        <v>61</v>
      </c>
      <c r="I15653" s="0" t="s">
        <v>52043</v>
      </c>
      <c r="J15653" s="0" t="s">
        <v>52044</v>
      </c>
      <c r="K15653" s="0" t="s">
        <v>52045</v>
      </c>
      <c r="L15653" s="0" t="str">
        <f aca="false">HYPERLINK("https://www.ncbi.nlm.nih.gov/nuccore/CP000058.1?report=graph&amp;tracks=[key:gene_model_track,Options:GeneOnly]&amp;mk=4836638:4836657|offset_1|444444,4836677:4836696|offset_40|444444,4836698:4836717|offset_61|00cc00,4836728:4836747|offset_91|444444&amp;v=4836437:4836947&amp;c=444444", "offset 61")</f>
        <v>offset 61</v>
      </c>
    </row>
    <row r="15654" customFormat="false" ht="12.8" hidden="false" customHeight="false" outlineLevel="0" collapsed="false">
      <c r="A15654" s="0" t="s">
        <v>12</v>
      </c>
      <c r="B15654" s="0" t="n">
        <v>4836727</v>
      </c>
      <c r="C15654" s="0" t="n">
        <v>4836747</v>
      </c>
      <c r="D15654" s="0" t="s">
        <v>52036</v>
      </c>
      <c r="E15654" s="0" t="s">
        <v>75</v>
      </c>
      <c r="F15654" s="0" t="s">
        <v>15</v>
      </c>
      <c r="G15654" s="0" t="s">
        <v>20</v>
      </c>
      <c r="H15654" s="0" t="n">
        <v>91</v>
      </c>
      <c r="I15654" s="0" t="s">
        <v>52046</v>
      </c>
      <c r="J15654" s="0" t="s">
        <v>52047</v>
      </c>
      <c r="K15654" s="0" t="s">
        <v>52048</v>
      </c>
      <c r="L15654" s="0" t="str">
        <f aca="false">HYPERLINK("https://www.ncbi.nlm.nih.gov/nuccore/CP000058.1?report=graph&amp;tracks=[key:gene_model_track,Options:GeneOnly]&amp;mk=4836638:4836657|offset_1|444444,4836677:4836696|offset_40|444444,4836698:4836717|offset_61|444444,4836728:4836747|offset_91|00cc00&amp;v=4836437:4836947&amp;c=444444", "offset 91")</f>
        <v>offset 91</v>
      </c>
    </row>
    <row r="15655" customFormat="false" ht="12.8" hidden="false" customHeight="false" outlineLevel="0" collapsed="false">
      <c r="A15655" s="0" t="s">
        <v>12</v>
      </c>
      <c r="B15655" s="0" t="n">
        <v>4838484</v>
      </c>
      <c r="C15655" s="0" t="n">
        <v>4838504</v>
      </c>
      <c r="D15655" s="0" t="s">
        <v>52049</v>
      </c>
      <c r="E15655" s="0" t="s">
        <v>75</v>
      </c>
      <c r="F15655" s="0" t="s">
        <v>15</v>
      </c>
      <c r="G15655" s="0" t="s">
        <v>16</v>
      </c>
      <c r="H15655" s="0" t="n">
        <v>6</v>
      </c>
      <c r="I15655" s="0" t="s">
        <v>52050</v>
      </c>
      <c r="J15655" s="0" t="s">
        <v>52051</v>
      </c>
      <c r="K15655" s="0" t="s">
        <v>52052</v>
      </c>
      <c r="L15655" s="0" t="str">
        <f aca="false">HYPERLINK("https://www.ncbi.nlm.nih.gov/nuccore/CP000058.1?report=graph&amp;tracks=[key:gene_model_track,Options:GeneOnly]&amp;mk=4838485:4838504|offset_6|00cc00,4838511:4838530|offset_32|444444,4838560:4838579|offset_81|444444,4838606:4838625|offset_127|444444&amp;v=4838284:4838825&amp;c=444444", "offset 6")</f>
        <v>offset 6</v>
      </c>
    </row>
    <row r="15656" customFormat="false" ht="12.8" hidden="false" customHeight="false" outlineLevel="0" collapsed="false">
      <c r="A15656" s="0" t="s">
        <v>12</v>
      </c>
      <c r="B15656" s="0" t="n">
        <v>4838510</v>
      </c>
      <c r="C15656" s="0" t="n">
        <v>4838530</v>
      </c>
      <c r="D15656" s="0" t="s">
        <v>52049</v>
      </c>
      <c r="E15656" s="0" t="s">
        <v>75</v>
      </c>
      <c r="F15656" s="0" t="s">
        <v>15</v>
      </c>
      <c r="G15656" s="0" t="s">
        <v>32</v>
      </c>
      <c r="H15656" s="0" t="n">
        <v>32</v>
      </c>
      <c r="I15656" s="0" t="s">
        <v>52053</v>
      </c>
      <c r="J15656" s="0" t="s">
        <v>52054</v>
      </c>
      <c r="K15656" s="0" t="s">
        <v>52055</v>
      </c>
      <c r="L15656" s="0" t="str">
        <f aca="false">HYPERLINK("https://www.ncbi.nlm.nih.gov/nuccore/CP000058.1?report=graph&amp;tracks=[key:gene_model_track,Options:GeneOnly]&amp;mk=4838485:4838504|offset_6|444444,4838511:4838530|offset_32|00cc00,4838560:4838579|offset_81|444444,4838606:4838625|offset_127|444444&amp;v=4838284:4838825&amp;c=444444", "offset 32")</f>
        <v>offset 32</v>
      </c>
    </row>
    <row r="15657" customFormat="false" ht="12.8" hidden="false" customHeight="false" outlineLevel="0" collapsed="false">
      <c r="A15657" s="0" t="s">
        <v>12</v>
      </c>
      <c r="B15657" s="0" t="n">
        <v>4838559</v>
      </c>
      <c r="C15657" s="0" t="n">
        <v>4838579</v>
      </c>
      <c r="D15657" s="0" t="s">
        <v>52049</v>
      </c>
      <c r="E15657" s="0" t="s">
        <v>75</v>
      </c>
      <c r="F15657" s="0" t="s">
        <v>15</v>
      </c>
      <c r="G15657" s="0" t="s">
        <v>36</v>
      </c>
      <c r="H15657" s="0" t="n">
        <v>81</v>
      </c>
      <c r="I15657" s="0" t="s">
        <v>52056</v>
      </c>
      <c r="J15657" s="0" t="s">
        <v>52057</v>
      </c>
      <c r="K15657" s="0" t="s">
        <v>52058</v>
      </c>
      <c r="L15657" s="0" t="str">
        <f aca="false">HYPERLINK("https://www.ncbi.nlm.nih.gov/nuccore/CP000058.1?report=graph&amp;tracks=[key:gene_model_track,Options:GeneOnly]&amp;mk=4838485:4838504|offset_6|444444,4838511:4838530|offset_32|444444,4838560:4838579|offset_81|00cc00,4838606:4838625|offset_127|444444&amp;v=4838284:4838825&amp;c=444444", "offset 81")</f>
        <v>offset 81</v>
      </c>
    </row>
    <row r="15658" customFormat="false" ht="12.8" hidden="false" customHeight="false" outlineLevel="0" collapsed="false">
      <c r="A15658" s="0" t="s">
        <v>12</v>
      </c>
      <c r="B15658" s="0" t="n">
        <v>4838605</v>
      </c>
      <c r="C15658" s="0" t="n">
        <v>4838625</v>
      </c>
      <c r="D15658" s="0" t="s">
        <v>52049</v>
      </c>
      <c r="E15658" s="0" t="s">
        <v>75</v>
      </c>
      <c r="F15658" s="0" t="s">
        <v>15</v>
      </c>
      <c r="G15658" s="0" t="s">
        <v>36</v>
      </c>
      <c r="H15658" s="0" t="n">
        <v>127</v>
      </c>
      <c r="I15658" s="0" t="s">
        <v>52059</v>
      </c>
      <c r="J15658" s="0" t="s">
        <v>52060</v>
      </c>
      <c r="K15658" s="0" t="s">
        <v>52061</v>
      </c>
      <c r="L15658" s="0" t="str">
        <f aca="false">HYPERLINK("https://www.ncbi.nlm.nih.gov/nuccore/CP000058.1?report=graph&amp;tracks=[key:gene_model_track,Options:GeneOnly]&amp;mk=4838485:4838504|offset_6|444444,4838511:4838530|offset_32|444444,4838560:4838579|offset_81|444444,4838606:4838625|offset_127|00cc00&amp;v=4838284:4838825&amp;c=444444", "offset 127")</f>
        <v>offset 127</v>
      </c>
    </row>
    <row r="15659" customFormat="false" ht="12.8" hidden="false" customHeight="false" outlineLevel="0" collapsed="false">
      <c r="A15659" s="0" t="s">
        <v>12</v>
      </c>
      <c r="B15659" s="0" t="n">
        <v>4839191</v>
      </c>
      <c r="C15659" s="0" t="n">
        <v>4839211</v>
      </c>
      <c r="D15659" s="0" t="s">
        <v>52062</v>
      </c>
      <c r="E15659" s="0" t="s">
        <v>75</v>
      </c>
      <c r="F15659" s="0" t="s">
        <v>15</v>
      </c>
      <c r="G15659" s="0" t="s">
        <v>32</v>
      </c>
      <c r="H15659" s="0" t="n">
        <v>16</v>
      </c>
      <c r="I15659" s="0" t="s">
        <v>52063</v>
      </c>
      <c r="J15659" s="0" t="s">
        <v>52064</v>
      </c>
      <c r="K15659" s="0" t="s">
        <v>52065</v>
      </c>
      <c r="L15659" s="0" t="str">
        <f aca="false">HYPERLINK("https://www.ncbi.nlm.nih.gov/nuccore/CP000058.1?report=graph&amp;tracks=[key:gene_model_track,Options:GeneOnly]&amp;mk=4839192:4839211|offset_16|00cc00,4839262:4839281|offset_86|444444,4839318:4839337|offset_142|444444,4839357:4839376|offset_181|444444&amp;v=4838991:4839576&amp;c=444444", "offset 16")</f>
        <v>offset 16</v>
      </c>
    </row>
    <row r="15660" customFormat="false" ht="12.8" hidden="false" customHeight="false" outlineLevel="0" collapsed="false">
      <c r="A15660" s="0" t="s">
        <v>12</v>
      </c>
      <c r="B15660" s="0" t="n">
        <v>4839261</v>
      </c>
      <c r="C15660" s="0" t="n">
        <v>4839281</v>
      </c>
      <c r="D15660" s="0" t="s">
        <v>52062</v>
      </c>
      <c r="E15660" s="0" t="s">
        <v>75</v>
      </c>
      <c r="F15660" s="0" t="s">
        <v>15</v>
      </c>
      <c r="G15660" s="0" t="s">
        <v>20</v>
      </c>
      <c r="H15660" s="0" t="n">
        <v>86</v>
      </c>
      <c r="I15660" s="0" t="s">
        <v>52066</v>
      </c>
      <c r="J15660" s="0" t="s">
        <v>52067</v>
      </c>
      <c r="K15660" s="0" t="s">
        <v>52068</v>
      </c>
      <c r="L15660" s="0" t="str">
        <f aca="false">HYPERLINK("https://www.ncbi.nlm.nih.gov/nuccore/CP000058.1?report=graph&amp;tracks=[key:gene_model_track,Options:GeneOnly]&amp;mk=4839192:4839211|offset_16|444444,4839262:4839281|offset_86|00cc00,4839318:4839337|offset_142|444444,4839357:4839376|offset_181|444444&amp;v=4838991:4839576&amp;c=444444", "offset 86")</f>
        <v>offset 86</v>
      </c>
    </row>
    <row r="15661" customFormat="false" ht="12.8" hidden="false" customHeight="false" outlineLevel="0" collapsed="false">
      <c r="A15661" s="0" t="s">
        <v>12</v>
      </c>
      <c r="B15661" s="0" t="n">
        <v>4839317</v>
      </c>
      <c r="C15661" s="0" t="n">
        <v>4839337</v>
      </c>
      <c r="D15661" s="0" t="s">
        <v>52062</v>
      </c>
      <c r="E15661" s="0" t="s">
        <v>75</v>
      </c>
      <c r="F15661" s="0" t="s">
        <v>15</v>
      </c>
      <c r="G15661" s="0" t="s">
        <v>36</v>
      </c>
      <c r="H15661" s="0" t="n">
        <v>142</v>
      </c>
      <c r="I15661" s="0" t="s">
        <v>52069</v>
      </c>
      <c r="J15661" s="0" t="s">
        <v>52070</v>
      </c>
      <c r="K15661" s="0" t="s">
        <v>52071</v>
      </c>
      <c r="L15661" s="0" t="str">
        <f aca="false">HYPERLINK("https://www.ncbi.nlm.nih.gov/nuccore/CP000058.1?report=graph&amp;tracks=[key:gene_model_track,Options:GeneOnly]&amp;mk=4839192:4839211|offset_16|444444,4839262:4839281|offset_86|444444,4839318:4839337|offset_142|00cc00,4839357:4839376|offset_181|444444&amp;v=4838991:4839576&amp;c=444444", "offset 142")</f>
        <v>offset 142</v>
      </c>
    </row>
    <row r="15662" customFormat="false" ht="12.8" hidden="false" customHeight="false" outlineLevel="0" collapsed="false">
      <c r="A15662" s="0" t="s">
        <v>12</v>
      </c>
      <c r="B15662" s="0" t="n">
        <v>4839356</v>
      </c>
      <c r="C15662" s="0" t="n">
        <v>4839376</v>
      </c>
      <c r="D15662" s="0" t="s">
        <v>52062</v>
      </c>
      <c r="E15662" s="0" t="s">
        <v>75</v>
      </c>
      <c r="F15662" s="0" t="s">
        <v>15</v>
      </c>
      <c r="G15662" s="0" t="s">
        <v>36</v>
      </c>
      <c r="H15662" s="0" t="n">
        <v>181</v>
      </c>
      <c r="I15662" s="0" t="s">
        <v>52072</v>
      </c>
      <c r="J15662" s="0" t="s">
        <v>52073</v>
      </c>
      <c r="K15662" s="0" t="s">
        <v>52074</v>
      </c>
      <c r="L15662" s="0" t="str">
        <f aca="false">HYPERLINK("https://www.ncbi.nlm.nih.gov/nuccore/CP000058.1?report=graph&amp;tracks=[key:gene_model_track,Options:GeneOnly]&amp;mk=4839192:4839211|offset_16|444444,4839262:4839281|offset_86|444444,4839318:4839337|offset_142|444444,4839357:4839376|offset_181|00cc00&amp;v=4838991:4839576&amp;c=444444", "offset 181")</f>
        <v>offset 181</v>
      </c>
    </row>
    <row r="15663" customFormat="false" ht="12.8" hidden="false" customHeight="false" outlineLevel="0" collapsed="false">
      <c r="A15663" s="0" t="s">
        <v>12</v>
      </c>
      <c r="B15663" s="0" t="n">
        <v>4841202</v>
      </c>
      <c r="C15663" s="0" t="n">
        <v>4841222</v>
      </c>
      <c r="D15663" s="0" t="s">
        <v>52075</v>
      </c>
      <c r="E15663" s="0" t="s">
        <v>75</v>
      </c>
      <c r="F15663" s="0" t="s">
        <v>90</v>
      </c>
      <c r="G15663" s="0" t="s">
        <v>32</v>
      </c>
      <c r="H15663" s="0" t="n">
        <v>1</v>
      </c>
      <c r="I15663" s="0" t="s">
        <v>52076</v>
      </c>
      <c r="J15663" s="0" t="s">
        <v>52077</v>
      </c>
      <c r="K15663" s="0" t="s">
        <v>52078</v>
      </c>
      <c r="L15663" s="0" t="str">
        <f aca="false">HYPERLINK("https://www.ncbi.nlm.nih.gov/nuccore/CP000058.1?report=graph&amp;tracks=[key:gene_model_track,Options:GeneOnly]&amp;mk=4841203:4841222|offset_1|00cc00,4841172:4841191|offset_32|444444,4841135:4841154|offset_69|444444,4841107:4841126|offset_97|444444&amp;v=4841002:4841326&amp;c=444444", "offset 1")</f>
        <v>offset 1</v>
      </c>
    </row>
    <row r="15664" customFormat="false" ht="12.8" hidden="false" customHeight="false" outlineLevel="0" collapsed="false">
      <c r="A15664" s="0" t="s">
        <v>12</v>
      </c>
      <c r="B15664" s="0" t="n">
        <v>4841171</v>
      </c>
      <c r="C15664" s="0" t="n">
        <v>4841191</v>
      </c>
      <c r="D15664" s="0" t="s">
        <v>52075</v>
      </c>
      <c r="E15664" s="0" t="s">
        <v>75</v>
      </c>
      <c r="F15664" s="0" t="s">
        <v>90</v>
      </c>
      <c r="G15664" s="0" t="s">
        <v>36</v>
      </c>
      <c r="H15664" s="0" t="n">
        <v>32</v>
      </c>
      <c r="I15664" s="0" t="s">
        <v>52079</v>
      </c>
      <c r="J15664" s="0" t="s">
        <v>52080</v>
      </c>
      <c r="K15664" s="0" t="s">
        <v>52081</v>
      </c>
      <c r="L15664" s="0" t="str">
        <f aca="false">HYPERLINK("https://www.ncbi.nlm.nih.gov/nuccore/CP000058.1?report=graph&amp;tracks=[key:gene_model_track,Options:GeneOnly]&amp;mk=4841203:4841222|offset_1|444444,4841172:4841191|offset_32|00cc00,4841135:4841154|offset_69|444444,4841107:4841126|offset_97|444444&amp;v=4841002:4841326&amp;c=444444", "offset 32")</f>
        <v>offset 32</v>
      </c>
    </row>
    <row r="15665" customFormat="false" ht="12.8" hidden="false" customHeight="false" outlineLevel="0" collapsed="false">
      <c r="A15665" s="0" t="s">
        <v>12</v>
      </c>
      <c r="B15665" s="0" t="n">
        <v>4841134</v>
      </c>
      <c r="C15665" s="0" t="n">
        <v>4841154</v>
      </c>
      <c r="D15665" s="0" t="s">
        <v>52075</v>
      </c>
      <c r="E15665" s="0" t="s">
        <v>75</v>
      </c>
      <c r="F15665" s="0" t="s">
        <v>90</v>
      </c>
      <c r="G15665" s="0" t="s">
        <v>20</v>
      </c>
      <c r="H15665" s="0" t="n">
        <v>69</v>
      </c>
      <c r="I15665" s="0" t="s">
        <v>52082</v>
      </c>
      <c r="J15665" s="0" t="s">
        <v>52083</v>
      </c>
      <c r="K15665" s="0" t="s">
        <v>52084</v>
      </c>
      <c r="L15665" s="0" t="str">
        <f aca="false">HYPERLINK("https://www.ncbi.nlm.nih.gov/nuccore/CP000058.1?report=graph&amp;tracks=[key:gene_model_track,Options:GeneOnly]&amp;mk=4841203:4841222|offset_1|444444,4841172:4841191|offset_32|444444,4841135:4841154|offset_69|00cc00,4841107:4841126|offset_97|444444&amp;v=4841002:4841326&amp;c=444444", "offset 69")</f>
        <v>offset 69</v>
      </c>
    </row>
    <row r="15666" customFormat="false" ht="12.8" hidden="false" customHeight="false" outlineLevel="0" collapsed="false">
      <c r="A15666" s="0" t="s">
        <v>12</v>
      </c>
      <c r="B15666" s="0" t="n">
        <v>4841106</v>
      </c>
      <c r="C15666" s="0" t="n">
        <v>4841126</v>
      </c>
      <c r="D15666" s="0" t="s">
        <v>52075</v>
      </c>
      <c r="E15666" s="0" t="s">
        <v>75</v>
      </c>
      <c r="F15666" s="0" t="s">
        <v>90</v>
      </c>
      <c r="G15666" s="0" t="s">
        <v>36</v>
      </c>
      <c r="H15666" s="0" t="n">
        <v>97</v>
      </c>
      <c r="I15666" s="0" t="s">
        <v>52085</v>
      </c>
      <c r="J15666" s="0" t="s">
        <v>52086</v>
      </c>
      <c r="K15666" s="0" t="s">
        <v>52087</v>
      </c>
      <c r="L15666" s="0" t="str">
        <f aca="false">HYPERLINK("https://www.ncbi.nlm.nih.gov/nuccore/CP000058.1?report=graph&amp;tracks=[key:gene_model_track,Options:GeneOnly]&amp;mk=4841203:4841222|offset_1|444444,4841172:4841191|offset_32|444444,4841135:4841154|offset_69|444444,4841107:4841126|offset_97|00cc00&amp;v=4841002:4841326&amp;c=444444", "offset 97")</f>
        <v>offset 97</v>
      </c>
    </row>
    <row r="15667" customFormat="false" ht="12.8" hidden="false" customHeight="false" outlineLevel="0" collapsed="false">
      <c r="A15667" s="0" t="s">
        <v>12</v>
      </c>
      <c r="B15667" s="0" t="n">
        <v>4842944</v>
      </c>
      <c r="C15667" s="0" t="n">
        <v>4842964</v>
      </c>
      <c r="D15667" s="0" t="s">
        <v>52088</v>
      </c>
      <c r="E15667" s="0" t="s">
        <v>75</v>
      </c>
      <c r="F15667" s="0" t="s">
        <v>90</v>
      </c>
      <c r="G15667" s="0" t="s">
        <v>36</v>
      </c>
      <c r="H15667" s="0" t="n">
        <v>6</v>
      </c>
      <c r="I15667" s="0" t="s">
        <v>52089</v>
      </c>
      <c r="J15667" s="0" t="s">
        <v>52090</v>
      </c>
      <c r="K15667" s="0" t="s">
        <v>52091</v>
      </c>
      <c r="L15667" s="0" t="str">
        <f aca="false">HYPERLINK("https://www.ncbi.nlm.nih.gov/nuccore/CP000058.1?report=graph&amp;tracks=[key:gene_model_track,Options:GeneOnly]&amp;mk=4842945:4842964|offset_6|00cc00,4842922:4842941|offset_29|444444,4842897:4842916|offset_54|444444,4842865:4842884|offset_86|444444&amp;v=4842744:4843084&amp;c=444444", "offset 6")</f>
        <v>offset 6</v>
      </c>
    </row>
    <row r="15668" customFormat="false" ht="12.8" hidden="false" customHeight="false" outlineLevel="0" collapsed="false">
      <c r="A15668" s="0" t="s">
        <v>12</v>
      </c>
      <c r="B15668" s="0" t="n">
        <v>4842921</v>
      </c>
      <c r="C15668" s="0" t="n">
        <v>4842941</v>
      </c>
      <c r="D15668" s="0" t="s">
        <v>52088</v>
      </c>
      <c r="E15668" s="0" t="s">
        <v>75</v>
      </c>
      <c r="F15668" s="0" t="s">
        <v>90</v>
      </c>
      <c r="G15668" s="0" t="s">
        <v>36</v>
      </c>
      <c r="H15668" s="0" t="n">
        <v>29</v>
      </c>
      <c r="I15668" s="0" t="s">
        <v>52092</v>
      </c>
      <c r="J15668" s="0" t="s">
        <v>52093</v>
      </c>
      <c r="K15668" s="0" t="s">
        <v>52094</v>
      </c>
      <c r="L15668" s="0" t="str">
        <f aca="false">HYPERLINK("https://www.ncbi.nlm.nih.gov/nuccore/CP000058.1?report=graph&amp;tracks=[key:gene_model_track,Options:GeneOnly]&amp;mk=4842945:4842964|offset_6|444444,4842922:4842941|offset_29|00cc00,4842897:4842916|offset_54|444444,4842865:4842884|offset_86|444444&amp;v=4842744:4843084&amp;c=444444", "offset 29")</f>
        <v>offset 29</v>
      </c>
    </row>
    <row r="15669" customFormat="false" ht="12.8" hidden="false" customHeight="false" outlineLevel="0" collapsed="false">
      <c r="A15669" s="0" t="s">
        <v>12</v>
      </c>
      <c r="B15669" s="0" t="n">
        <v>4842896</v>
      </c>
      <c r="C15669" s="0" t="n">
        <v>4842916</v>
      </c>
      <c r="D15669" s="0" t="s">
        <v>52088</v>
      </c>
      <c r="E15669" s="0" t="s">
        <v>75</v>
      </c>
      <c r="F15669" s="0" t="s">
        <v>90</v>
      </c>
      <c r="G15669" s="0" t="s">
        <v>20</v>
      </c>
      <c r="H15669" s="0" t="n">
        <v>54</v>
      </c>
      <c r="I15669" s="0" t="s">
        <v>52095</v>
      </c>
      <c r="J15669" s="0" t="s">
        <v>52096</v>
      </c>
      <c r="K15669" s="0" t="s">
        <v>52097</v>
      </c>
      <c r="L15669" s="0" t="str">
        <f aca="false">HYPERLINK("https://www.ncbi.nlm.nih.gov/nuccore/CP000058.1?report=graph&amp;tracks=[key:gene_model_track,Options:GeneOnly]&amp;mk=4842945:4842964|offset_6|444444,4842922:4842941|offset_29|444444,4842897:4842916|offset_54|00cc00,4842865:4842884|offset_86|444444&amp;v=4842744:4843084&amp;c=444444", "offset 54")</f>
        <v>offset 54</v>
      </c>
    </row>
    <row r="15670" customFormat="false" ht="12.8" hidden="false" customHeight="false" outlineLevel="0" collapsed="false">
      <c r="A15670" s="0" t="s">
        <v>12</v>
      </c>
      <c r="B15670" s="0" t="n">
        <v>4842864</v>
      </c>
      <c r="C15670" s="0" t="n">
        <v>4842884</v>
      </c>
      <c r="D15670" s="0" t="s">
        <v>52088</v>
      </c>
      <c r="E15670" s="0" t="s">
        <v>75</v>
      </c>
      <c r="F15670" s="0" t="s">
        <v>90</v>
      </c>
      <c r="G15670" s="0" t="s">
        <v>32</v>
      </c>
      <c r="H15670" s="0" t="n">
        <v>86</v>
      </c>
      <c r="I15670" s="0" t="s">
        <v>52098</v>
      </c>
      <c r="J15670" s="0" t="s">
        <v>52099</v>
      </c>
      <c r="K15670" s="0" t="s">
        <v>52100</v>
      </c>
      <c r="L15670" s="0" t="str">
        <f aca="false">HYPERLINK("https://www.ncbi.nlm.nih.gov/nuccore/CP000058.1?report=graph&amp;tracks=[key:gene_model_track,Options:GeneOnly]&amp;mk=4842945:4842964|offset_6|444444,4842922:4842941|offset_29|444444,4842897:4842916|offset_54|444444,4842865:4842884|offset_86|00cc00&amp;v=4842744:4843084&amp;c=444444", "offset 86")</f>
        <v>offset 86</v>
      </c>
    </row>
    <row r="15671" customFormat="false" ht="12.8" hidden="false" customHeight="false" outlineLevel="0" collapsed="false">
      <c r="A15671" s="0" t="s">
        <v>12</v>
      </c>
      <c r="B15671" s="0" t="n">
        <v>4843173</v>
      </c>
      <c r="C15671" s="0" t="n">
        <v>4843193</v>
      </c>
      <c r="D15671" s="0" t="s">
        <v>52101</v>
      </c>
      <c r="E15671" s="0" t="s">
        <v>75</v>
      </c>
      <c r="F15671" s="0" t="s">
        <v>15</v>
      </c>
      <c r="G15671" s="0" t="s">
        <v>32</v>
      </c>
      <c r="H15671" s="0" t="n">
        <v>43</v>
      </c>
      <c r="I15671" s="0" t="s">
        <v>52102</v>
      </c>
      <c r="J15671" s="0" t="s">
        <v>52103</v>
      </c>
      <c r="K15671" s="0" t="s">
        <v>52104</v>
      </c>
      <c r="L15671" s="0" t="str">
        <f aca="false">HYPERLINK("https://www.ncbi.nlm.nih.gov/nuccore/CP000058.1?report=graph&amp;tracks=[key:gene_model_track,Options:GeneOnly]&amp;mk=4843174:4843193|offset_43|00cc00,4843201:4843220|offset_70|444444,4843234:4843253|offset_103|444444,4843300:4843319|offset_169|444444&amp;v=4842973:4843519&amp;c=444444", "offset 43")</f>
        <v>offset 43</v>
      </c>
    </row>
    <row r="15672" customFormat="false" ht="12.8" hidden="false" customHeight="false" outlineLevel="0" collapsed="false">
      <c r="A15672" s="0" t="s">
        <v>12</v>
      </c>
      <c r="B15672" s="0" t="n">
        <v>4843200</v>
      </c>
      <c r="C15672" s="0" t="n">
        <v>4843220</v>
      </c>
      <c r="D15672" s="0" t="s">
        <v>52101</v>
      </c>
      <c r="E15672" s="0" t="s">
        <v>75</v>
      </c>
      <c r="F15672" s="0" t="s">
        <v>15</v>
      </c>
      <c r="G15672" s="0" t="s">
        <v>36</v>
      </c>
      <c r="H15672" s="0" t="n">
        <v>70</v>
      </c>
      <c r="I15672" s="0" t="s">
        <v>52105</v>
      </c>
      <c r="J15672" s="0" t="s">
        <v>52106</v>
      </c>
      <c r="K15672" s="0" t="s">
        <v>52107</v>
      </c>
      <c r="L15672" s="0" t="str">
        <f aca="false">HYPERLINK("https://www.ncbi.nlm.nih.gov/nuccore/CP000058.1?report=graph&amp;tracks=[key:gene_model_track,Options:GeneOnly]&amp;mk=4843174:4843193|offset_43|444444,4843201:4843220|offset_70|00cc00,4843234:4843253|offset_103|444444,4843300:4843319|offset_169|444444&amp;v=4842973:4843519&amp;c=444444", "offset 70")</f>
        <v>offset 70</v>
      </c>
    </row>
    <row r="15673" customFormat="false" ht="12.8" hidden="false" customHeight="false" outlineLevel="0" collapsed="false">
      <c r="A15673" s="0" t="s">
        <v>12</v>
      </c>
      <c r="B15673" s="0" t="n">
        <v>4843233</v>
      </c>
      <c r="C15673" s="0" t="n">
        <v>4843253</v>
      </c>
      <c r="D15673" s="0" t="s">
        <v>52101</v>
      </c>
      <c r="E15673" s="0" t="s">
        <v>75</v>
      </c>
      <c r="F15673" s="0" t="s">
        <v>15</v>
      </c>
      <c r="G15673" s="0" t="s">
        <v>32</v>
      </c>
      <c r="H15673" s="0" t="n">
        <v>103</v>
      </c>
      <c r="I15673" s="0" t="s">
        <v>52108</v>
      </c>
      <c r="J15673" s="0" t="s">
        <v>52109</v>
      </c>
      <c r="K15673" s="0" t="s">
        <v>52110</v>
      </c>
      <c r="L15673" s="0" t="str">
        <f aca="false">HYPERLINK("https://www.ncbi.nlm.nih.gov/nuccore/CP000058.1?report=graph&amp;tracks=[key:gene_model_track,Options:GeneOnly]&amp;mk=4843174:4843193|offset_43|444444,4843201:4843220|offset_70|444444,4843234:4843253|offset_103|00cc00,4843300:4843319|offset_169|444444&amp;v=4842973:4843519&amp;c=444444", "offset 103")</f>
        <v>offset 103</v>
      </c>
    </row>
    <row r="15674" customFormat="false" ht="12.8" hidden="false" customHeight="false" outlineLevel="0" collapsed="false">
      <c r="A15674" s="0" t="s">
        <v>12</v>
      </c>
      <c r="B15674" s="0" t="n">
        <v>4843299</v>
      </c>
      <c r="C15674" s="0" t="n">
        <v>4843319</v>
      </c>
      <c r="D15674" s="0" t="s">
        <v>52101</v>
      </c>
      <c r="E15674" s="0" t="s">
        <v>75</v>
      </c>
      <c r="F15674" s="0" t="s">
        <v>15</v>
      </c>
      <c r="G15674" s="0" t="s">
        <v>16</v>
      </c>
      <c r="H15674" s="0" t="n">
        <v>169</v>
      </c>
      <c r="I15674" s="0" t="s">
        <v>52111</v>
      </c>
      <c r="J15674" s="0" t="s">
        <v>52112</v>
      </c>
      <c r="K15674" s="0" t="s">
        <v>52113</v>
      </c>
      <c r="L15674" s="0" t="str">
        <f aca="false">HYPERLINK("https://www.ncbi.nlm.nih.gov/nuccore/CP000058.1?report=graph&amp;tracks=[key:gene_model_track,Options:GeneOnly]&amp;mk=4843174:4843193|offset_43|444444,4843201:4843220|offset_70|444444,4843234:4843253|offset_103|444444,4843300:4843319|offset_169|00cc00&amp;v=4842973:4843519&amp;c=444444", "offset 169")</f>
        <v>offset 169</v>
      </c>
    </row>
    <row r="15675" customFormat="false" ht="12.8" hidden="false" customHeight="false" outlineLevel="0" collapsed="false">
      <c r="A15675" s="0" t="s">
        <v>12</v>
      </c>
      <c r="B15675" s="0" t="n">
        <v>4844047</v>
      </c>
      <c r="C15675" s="0" t="n">
        <v>4844067</v>
      </c>
      <c r="D15675" s="0" t="s">
        <v>52114</v>
      </c>
      <c r="E15675" s="0" t="s">
        <v>75</v>
      </c>
      <c r="F15675" s="0" t="s">
        <v>90</v>
      </c>
      <c r="G15675" s="0" t="s">
        <v>36</v>
      </c>
      <c r="H15675" s="0" t="n">
        <v>21</v>
      </c>
      <c r="I15675" s="0" t="s">
        <v>52115</v>
      </c>
      <c r="J15675" s="0" t="s">
        <v>52116</v>
      </c>
      <c r="K15675" s="0" t="s">
        <v>52117</v>
      </c>
      <c r="L15675" s="0" t="str">
        <f aca="false">HYPERLINK("https://www.ncbi.nlm.nih.gov/nuccore/CP000058.1?report=graph&amp;tracks=[key:gene_model_track,Options:GeneOnly]&amp;mk=4844048:4844067|offset_21|00cc00,4844023:4844042|offset_46|444444,4843999:4844018|offset_70|444444,4843971:4843990|offset_98|444444&amp;v=4843847:4844190&amp;c=444444", "offset 21")</f>
        <v>offset 21</v>
      </c>
    </row>
    <row r="15676" customFormat="false" ht="12.8" hidden="false" customHeight="false" outlineLevel="0" collapsed="false">
      <c r="A15676" s="0" t="s">
        <v>12</v>
      </c>
      <c r="B15676" s="0" t="n">
        <v>4844022</v>
      </c>
      <c r="C15676" s="0" t="n">
        <v>4844042</v>
      </c>
      <c r="D15676" s="0" t="s">
        <v>52114</v>
      </c>
      <c r="E15676" s="0" t="s">
        <v>75</v>
      </c>
      <c r="F15676" s="0" t="s">
        <v>90</v>
      </c>
      <c r="G15676" s="0" t="s">
        <v>32</v>
      </c>
      <c r="H15676" s="0" t="n">
        <v>46</v>
      </c>
      <c r="I15676" s="0" t="s">
        <v>52118</v>
      </c>
      <c r="J15676" s="0" t="s">
        <v>52119</v>
      </c>
      <c r="K15676" s="0" t="s">
        <v>52120</v>
      </c>
      <c r="L15676" s="0" t="str">
        <f aca="false">HYPERLINK("https://www.ncbi.nlm.nih.gov/nuccore/CP000058.1?report=graph&amp;tracks=[key:gene_model_track,Options:GeneOnly]&amp;mk=4844048:4844067|offset_21|444444,4844023:4844042|offset_46|00cc00,4843999:4844018|offset_70|444444,4843971:4843990|offset_98|444444&amp;v=4843847:4844190&amp;c=444444", "offset 46")</f>
        <v>offset 46</v>
      </c>
    </row>
    <row r="15677" customFormat="false" ht="12.8" hidden="false" customHeight="false" outlineLevel="0" collapsed="false">
      <c r="A15677" s="0" t="s">
        <v>12</v>
      </c>
      <c r="B15677" s="0" t="n">
        <v>4843998</v>
      </c>
      <c r="C15677" s="0" t="n">
        <v>4844018</v>
      </c>
      <c r="D15677" s="0" t="s">
        <v>52114</v>
      </c>
      <c r="E15677" s="0" t="s">
        <v>75</v>
      </c>
      <c r="F15677" s="0" t="s">
        <v>90</v>
      </c>
      <c r="G15677" s="0" t="s">
        <v>20</v>
      </c>
      <c r="H15677" s="0" t="n">
        <v>70</v>
      </c>
      <c r="I15677" s="0" t="s">
        <v>52121</v>
      </c>
      <c r="J15677" s="0" t="s">
        <v>52122</v>
      </c>
      <c r="K15677" s="0" t="s">
        <v>52123</v>
      </c>
      <c r="L15677" s="0" t="str">
        <f aca="false">HYPERLINK("https://www.ncbi.nlm.nih.gov/nuccore/CP000058.1?report=graph&amp;tracks=[key:gene_model_track,Options:GeneOnly]&amp;mk=4844048:4844067|offset_21|444444,4844023:4844042|offset_46|444444,4843999:4844018|offset_70|00cc00,4843971:4843990|offset_98|444444&amp;v=4843847:4844190&amp;c=444444", "offset 70")</f>
        <v>offset 70</v>
      </c>
    </row>
    <row r="15678" customFormat="false" ht="12.8" hidden="false" customHeight="false" outlineLevel="0" collapsed="false">
      <c r="A15678" s="0" t="s">
        <v>12</v>
      </c>
      <c r="B15678" s="0" t="n">
        <v>4843970</v>
      </c>
      <c r="C15678" s="0" t="n">
        <v>4843990</v>
      </c>
      <c r="D15678" s="0" t="s">
        <v>52114</v>
      </c>
      <c r="E15678" s="0" t="s">
        <v>75</v>
      </c>
      <c r="F15678" s="0" t="s">
        <v>90</v>
      </c>
      <c r="G15678" s="0" t="s">
        <v>36</v>
      </c>
      <c r="H15678" s="0" t="n">
        <v>98</v>
      </c>
      <c r="I15678" s="0" t="s">
        <v>52124</v>
      </c>
      <c r="J15678" s="0" t="s">
        <v>52125</v>
      </c>
      <c r="K15678" s="0" t="s">
        <v>52126</v>
      </c>
      <c r="L15678" s="0" t="str">
        <f aca="false">HYPERLINK("https://www.ncbi.nlm.nih.gov/nuccore/CP000058.1?report=graph&amp;tracks=[key:gene_model_track,Options:GeneOnly]&amp;mk=4844048:4844067|offset_21|444444,4844023:4844042|offset_46|444444,4843999:4844018|offset_70|444444,4843971:4843990|offset_98|00cc00&amp;v=4843847:4844190&amp;c=444444", "offset 98")</f>
        <v>offset 98</v>
      </c>
    </row>
    <row r="15679" customFormat="false" ht="12.8" hidden="false" customHeight="false" outlineLevel="0" collapsed="false">
      <c r="A15679" s="0" t="s">
        <v>12</v>
      </c>
      <c r="B15679" s="0" t="n">
        <v>4844367</v>
      </c>
      <c r="C15679" s="0" t="n">
        <v>4844387</v>
      </c>
      <c r="D15679" s="0" t="s">
        <v>52127</v>
      </c>
      <c r="E15679" s="0" t="s">
        <v>75</v>
      </c>
      <c r="F15679" s="0" t="s">
        <v>15</v>
      </c>
      <c r="G15679" s="0" t="s">
        <v>16</v>
      </c>
      <c r="H15679" s="0" t="n">
        <v>20</v>
      </c>
      <c r="I15679" s="0" t="s">
        <v>52128</v>
      </c>
      <c r="J15679" s="0" t="s">
        <v>52129</v>
      </c>
      <c r="K15679" s="0" t="s">
        <v>52130</v>
      </c>
      <c r="L15679" s="0" t="str">
        <f aca="false">HYPERLINK("https://www.ncbi.nlm.nih.gov/nuccore/CP000058.1?report=graph&amp;tracks=[key:gene_model_track,Options:GeneOnly]&amp;mk=4844368:4844387|offset_20|00cc00,4844397:4844416|offset_49|444444,4844469:4844488|offset_121|444444,4844505:4844524|offset_157|444444&amp;v=4844167:4844724&amp;c=444444", "offset 20")</f>
        <v>offset 20</v>
      </c>
    </row>
    <row r="15680" customFormat="false" ht="12.8" hidden="false" customHeight="false" outlineLevel="0" collapsed="false">
      <c r="A15680" s="0" t="s">
        <v>12</v>
      </c>
      <c r="B15680" s="0" t="n">
        <v>4844396</v>
      </c>
      <c r="C15680" s="0" t="n">
        <v>4844416</v>
      </c>
      <c r="D15680" s="0" t="s">
        <v>52127</v>
      </c>
      <c r="E15680" s="0" t="s">
        <v>75</v>
      </c>
      <c r="F15680" s="0" t="s">
        <v>15</v>
      </c>
      <c r="G15680" s="0" t="s">
        <v>32</v>
      </c>
      <c r="H15680" s="0" t="n">
        <v>49</v>
      </c>
      <c r="I15680" s="0" t="s">
        <v>52131</v>
      </c>
      <c r="J15680" s="0" t="s">
        <v>52132</v>
      </c>
      <c r="K15680" s="0" t="s">
        <v>52133</v>
      </c>
      <c r="L15680" s="0" t="str">
        <f aca="false">HYPERLINK("https://www.ncbi.nlm.nih.gov/nuccore/CP000058.1?report=graph&amp;tracks=[key:gene_model_track,Options:GeneOnly]&amp;mk=4844368:4844387|offset_20|444444,4844397:4844416|offset_49|00cc00,4844469:4844488|offset_121|444444,4844505:4844524|offset_157|444444&amp;v=4844167:4844724&amp;c=444444", "offset 49")</f>
        <v>offset 49</v>
      </c>
    </row>
    <row r="15681" customFormat="false" ht="12.8" hidden="false" customHeight="false" outlineLevel="0" collapsed="false">
      <c r="A15681" s="0" t="s">
        <v>12</v>
      </c>
      <c r="B15681" s="0" t="n">
        <v>4844468</v>
      </c>
      <c r="C15681" s="0" t="n">
        <v>4844488</v>
      </c>
      <c r="D15681" s="0" t="s">
        <v>52127</v>
      </c>
      <c r="E15681" s="0" t="s">
        <v>75</v>
      </c>
      <c r="F15681" s="0" t="s">
        <v>15</v>
      </c>
      <c r="G15681" s="0" t="s">
        <v>20</v>
      </c>
      <c r="H15681" s="0" t="n">
        <v>121</v>
      </c>
      <c r="I15681" s="0" t="s">
        <v>52134</v>
      </c>
      <c r="J15681" s="0" t="s">
        <v>52135</v>
      </c>
      <c r="K15681" s="0" t="s">
        <v>52136</v>
      </c>
      <c r="L15681" s="0" t="str">
        <f aca="false">HYPERLINK("https://www.ncbi.nlm.nih.gov/nuccore/CP000058.1?report=graph&amp;tracks=[key:gene_model_track,Options:GeneOnly]&amp;mk=4844368:4844387|offset_20|444444,4844397:4844416|offset_49|444444,4844469:4844488|offset_121|00cc00,4844505:4844524|offset_157|444444&amp;v=4844167:4844724&amp;c=444444", "offset 121")</f>
        <v>offset 121</v>
      </c>
    </row>
    <row r="15682" customFormat="false" ht="12.8" hidden="false" customHeight="false" outlineLevel="0" collapsed="false">
      <c r="A15682" s="0" t="s">
        <v>12</v>
      </c>
      <c r="B15682" s="0" t="n">
        <v>4844504</v>
      </c>
      <c r="C15682" s="0" t="n">
        <v>4844524</v>
      </c>
      <c r="D15682" s="0" t="s">
        <v>52127</v>
      </c>
      <c r="E15682" s="0" t="s">
        <v>75</v>
      </c>
      <c r="F15682" s="0" t="s">
        <v>15</v>
      </c>
      <c r="G15682" s="0" t="s">
        <v>16</v>
      </c>
      <c r="H15682" s="0" t="n">
        <v>157</v>
      </c>
      <c r="I15682" s="0" t="s">
        <v>52137</v>
      </c>
      <c r="J15682" s="0" t="s">
        <v>52138</v>
      </c>
      <c r="K15682" s="0" t="s">
        <v>52139</v>
      </c>
      <c r="L15682" s="0" t="str">
        <f aca="false">HYPERLINK("https://www.ncbi.nlm.nih.gov/nuccore/CP000058.1?report=graph&amp;tracks=[key:gene_model_track,Options:GeneOnly]&amp;mk=4844368:4844387|offset_20|444444,4844397:4844416|offset_49|444444,4844469:4844488|offset_121|444444,4844505:4844524|offset_157|00cc00&amp;v=4844167:4844724&amp;c=444444", "offset 157")</f>
        <v>offset 157</v>
      </c>
    </row>
    <row r="15683" customFormat="false" ht="12.8" hidden="false" customHeight="false" outlineLevel="0" collapsed="false">
      <c r="A15683" s="0" t="s">
        <v>12</v>
      </c>
      <c r="B15683" s="0" t="n">
        <v>4846368</v>
      </c>
      <c r="C15683" s="0" t="n">
        <v>4846388</v>
      </c>
      <c r="D15683" s="0" t="s">
        <v>52140</v>
      </c>
      <c r="E15683" s="0" t="s">
        <v>75</v>
      </c>
      <c r="F15683" s="0" t="s">
        <v>15</v>
      </c>
      <c r="G15683" s="0" t="s">
        <v>16</v>
      </c>
      <c r="H15683" s="0" t="n">
        <v>73</v>
      </c>
      <c r="I15683" s="0" t="s">
        <v>52141</v>
      </c>
      <c r="J15683" s="0" t="s">
        <v>52142</v>
      </c>
      <c r="K15683" s="0" t="s">
        <v>52143</v>
      </c>
      <c r="L15683" s="0" t="str">
        <f aca="false">HYPERLINK("https://www.ncbi.nlm.nih.gov/nuccore/CP000058.1?report=graph&amp;tracks=[key:gene_model_track,Options:GeneOnly]&amp;mk=4846369:4846388|offset_73|00cc00,4846398:4846417|offset_102|444444,4846424:4846443|offset_128|444444,4846448:4846467|offset_152|444444&amp;v=4846168:4846667&amp;c=444444", "offset 73")</f>
        <v>offset 73</v>
      </c>
    </row>
    <row r="15684" customFormat="false" ht="12.8" hidden="false" customHeight="false" outlineLevel="0" collapsed="false">
      <c r="A15684" s="0" t="s">
        <v>12</v>
      </c>
      <c r="B15684" s="0" t="n">
        <v>4846397</v>
      </c>
      <c r="C15684" s="0" t="n">
        <v>4846417</v>
      </c>
      <c r="D15684" s="0" t="s">
        <v>52140</v>
      </c>
      <c r="E15684" s="0" t="s">
        <v>75</v>
      </c>
      <c r="F15684" s="0" t="s">
        <v>15</v>
      </c>
      <c r="G15684" s="0" t="s">
        <v>36</v>
      </c>
      <c r="H15684" s="0" t="n">
        <v>102</v>
      </c>
      <c r="I15684" s="0" t="s">
        <v>52144</v>
      </c>
      <c r="J15684" s="0" t="s">
        <v>52145</v>
      </c>
      <c r="K15684" s="0" t="s">
        <v>52146</v>
      </c>
      <c r="L15684" s="0" t="str">
        <f aca="false">HYPERLINK("https://www.ncbi.nlm.nih.gov/nuccore/CP000058.1?report=graph&amp;tracks=[key:gene_model_track,Options:GeneOnly]&amp;mk=4846369:4846388|offset_73|444444,4846398:4846417|offset_102|00cc00,4846424:4846443|offset_128|444444,4846448:4846467|offset_152|444444&amp;v=4846168:4846667&amp;c=444444", "offset 102")</f>
        <v>offset 102</v>
      </c>
    </row>
    <row r="15685" customFormat="false" ht="12.8" hidden="false" customHeight="false" outlineLevel="0" collapsed="false">
      <c r="A15685" s="0" t="s">
        <v>12</v>
      </c>
      <c r="B15685" s="0" t="n">
        <v>4846423</v>
      </c>
      <c r="C15685" s="0" t="n">
        <v>4846443</v>
      </c>
      <c r="D15685" s="0" t="s">
        <v>52140</v>
      </c>
      <c r="E15685" s="0" t="s">
        <v>75</v>
      </c>
      <c r="F15685" s="0" t="s">
        <v>15</v>
      </c>
      <c r="G15685" s="0" t="s">
        <v>36</v>
      </c>
      <c r="H15685" s="0" t="n">
        <v>128</v>
      </c>
      <c r="I15685" s="0" t="s">
        <v>52147</v>
      </c>
      <c r="J15685" s="0" t="s">
        <v>52148</v>
      </c>
      <c r="K15685" s="0" t="s">
        <v>52149</v>
      </c>
      <c r="L15685" s="0" t="str">
        <f aca="false">HYPERLINK("https://www.ncbi.nlm.nih.gov/nuccore/CP000058.1?report=graph&amp;tracks=[key:gene_model_track,Options:GeneOnly]&amp;mk=4846369:4846388|offset_73|444444,4846398:4846417|offset_102|444444,4846424:4846443|offset_128|00cc00,4846448:4846467|offset_152|444444&amp;v=4846168:4846667&amp;c=444444", "offset 128")</f>
        <v>offset 128</v>
      </c>
    </row>
    <row r="15686" customFormat="false" ht="12.8" hidden="false" customHeight="false" outlineLevel="0" collapsed="false">
      <c r="A15686" s="0" t="s">
        <v>12</v>
      </c>
      <c r="B15686" s="0" t="n">
        <v>4846447</v>
      </c>
      <c r="C15686" s="0" t="n">
        <v>4846467</v>
      </c>
      <c r="D15686" s="0" t="s">
        <v>52140</v>
      </c>
      <c r="E15686" s="0" t="s">
        <v>75</v>
      </c>
      <c r="F15686" s="0" t="s">
        <v>15</v>
      </c>
      <c r="G15686" s="0" t="s">
        <v>20</v>
      </c>
      <c r="H15686" s="0" t="n">
        <v>152</v>
      </c>
      <c r="I15686" s="0" t="s">
        <v>52150</v>
      </c>
      <c r="J15686" s="0" t="s">
        <v>52151</v>
      </c>
      <c r="K15686" s="0" t="s">
        <v>52152</v>
      </c>
      <c r="L15686" s="0" t="str">
        <f aca="false">HYPERLINK("https://www.ncbi.nlm.nih.gov/nuccore/CP000058.1?report=graph&amp;tracks=[key:gene_model_track,Options:GeneOnly]&amp;mk=4846369:4846388|offset_73|444444,4846398:4846417|offset_102|444444,4846424:4846443|offset_128|444444,4846448:4846467|offset_152|00cc00&amp;v=4846168:4846667&amp;c=444444", "offset 152")</f>
        <v>offset 152</v>
      </c>
    </row>
    <row r="15687" customFormat="false" ht="12.8" hidden="false" customHeight="false" outlineLevel="0" collapsed="false">
      <c r="A15687" s="0" t="s">
        <v>12</v>
      </c>
      <c r="B15687" s="0" t="n">
        <v>4848214</v>
      </c>
      <c r="C15687" s="0" t="n">
        <v>4848234</v>
      </c>
      <c r="D15687" s="0" t="s">
        <v>52153</v>
      </c>
      <c r="E15687" s="0" t="s">
        <v>75</v>
      </c>
      <c r="F15687" s="0" t="s">
        <v>90</v>
      </c>
      <c r="G15687" s="0" t="s">
        <v>16</v>
      </c>
      <c r="H15687" s="0" t="n">
        <v>148</v>
      </c>
      <c r="I15687" s="0" t="s">
        <v>52154</v>
      </c>
      <c r="J15687" s="0" t="s">
        <v>52155</v>
      </c>
      <c r="K15687" s="0" t="s">
        <v>52156</v>
      </c>
      <c r="L15687" s="0" t="str">
        <f aca="false">HYPERLINK("https://www.ncbi.nlm.nih.gov/nuccore/CP000058.1?report=graph&amp;tracks=[key:gene_model_track,Options:GeneOnly]&amp;mk=4848215:4848234|offset_148|00cc00,4848190:4848209|offset_173|444444,4848169:4848188|offset_194|444444,4848147:4848166|offset_216|444444&amp;v=4848014:4848366&amp;c=444444", "offset 148")</f>
        <v>offset 148</v>
      </c>
    </row>
    <row r="15688" customFormat="false" ht="12.8" hidden="false" customHeight="false" outlineLevel="0" collapsed="false">
      <c r="A15688" s="0" t="s">
        <v>12</v>
      </c>
      <c r="B15688" s="0" t="n">
        <v>4848189</v>
      </c>
      <c r="C15688" s="0" t="n">
        <v>4848209</v>
      </c>
      <c r="D15688" s="0" t="s">
        <v>52153</v>
      </c>
      <c r="E15688" s="0" t="s">
        <v>75</v>
      </c>
      <c r="F15688" s="0" t="s">
        <v>90</v>
      </c>
      <c r="G15688" s="0" t="s">
        <v>20</v>
      </c>
      <c r="H15688" s="0" t="n">
        <v>173</v>
      </c>
      <c r="I15688" s="0" t="s">
        <v>52157</v>
      </c>
      <c r="J15688" s="0" t="s">
        <v>52158</v>
      </c>
      <c r="K15688" s="0" t="s">
        <v>52159</v>
      </c>
      <c r="L15688" s="0" t="str">
        <f aca="false">HYPERLINK("https://www.ncbi.nlm.nih.gov/nuccore/CP000058.1?report=graph&amp;tracks=[key:gene_model_track,Options:GeneOnly]&amp;mk=4848215:4848234|offset_148|444444,4848190:4848209|offset_173|00cc00,4848169:4848188|offset_194|444444,4848147:4848166|offset_216|444444&amp;v=4848014:4848366&amp;c=444444", "offset 173")</f>
        <v>offset 173</v>
      </c>
    </row>
    <row r="15689" customFormat="false" ht="12.8" hidden="false" customHeight="false" outlineLevel="0" collapsed="false">
      <c r="A15689" s="0" t="s">
        <v>12</v>
      </c>
      <c r="B15689" s="0" t="n">
        <v>4848168</v>
      </c>
      <c r="C15689" s="0" t="n">
        <v>4848188</v>
      </c>
      <c r="D15689" s="0" t="s">
        <v>52153</v>
      </c>
      <c r="E15689" s="0" t="s">
        <v>75</v>
      </c>
      <c r="F15689" s="0" t="s">
        <v>90</v>
      </c>
      <c r="G15689" s="0" t="s">
        <v>32</v>
      </c>
      <c r="H15689" s="0" t="n">
        <v>194</v>
      </c>
      <c r="I15689" s="0" t="s">
        <v>52160</v>
      </c>
      <c r="J15689" s="0" t="s">
        <v>52161</v>
      </c>
      <c r="K15689" s="0" t="s">
        <v>52162</v>
      </c>
      <c r="L15689" s="0" t="str">
        <f aca="false">HYPERLINK("https://www.ncbi.nlm.nih.gov/nuccore/CP000058.1?report=graph&amp;tracks=[key:gene_model_track,Options:GeneOnly]&amp;mk=4848215:4848234|offset_148|444444,4848190:4848209|offset_173|444444,4848169:4848188|offset_194|00cc00,4848147:4848166|offset_216|444444&amp;v=4848014:4848366&amp;c=444444", "offset 194")</f>
        <v>offset 194</v>
      </c>
    </row>
    <row r="15690" customFormat="false" ht="12.8" hidden="false" customHeight="false" outlineLevel="0" collapsed="false">
      <c r="A15690" s="0" t="s">
        <v>12</v>
      </c>
      <c r="B15690" s="0" t="n">
        <v>4848146</v>
      </c>
      <c r="C15690" s="0" t="n">
        <v>4848166</v>
      </c>
      <c r="D15690" s="0" t="s">
        <v>52153</v>
      </c>
      <c r="E15690" s="0" t="s">
        <v>75</v>
      </c>
      <c r="F15690" s="0" t="s">
        <v>90</v>
      </c>
      <c r="G15690" s="0" t="s">
        <v>20</v>
      </c>
      <c r="H15690" s="0" t="n">
        <v>216</v>
      </c>
      <c r="I15690" s="0" t="s">
        <v>52163</v>
      </c>
      <c r="J15690" s="0" t="s">
        <v>52164</v>
      </c>
      <c r="K15690" s="0" t="s">
        <v>52165</v>
      </c>
      <c r="L15690" s="0" t="str">
        <f aca="false">HYPERLINK("https://www.ncbi.nlm.nih.gov/nuccore/CP000058.1?report=graph&amp;tracks=[key:gene_model_track,Options:GeneOnly]&amp;mk=4848215:4848234|offset_148|444444,4848190:4848209|offset_173|444444,4848169:4848188|offset_194|444444,4848147:4848166|offset_216|00cc00&amp;v=4848014:4848366&amp;c=444444", "offset 216")</f>
        <v>offset 216</v>
      </c>
    </row>
    <row r="15691" customFormat="false" ht="12.8" hidden="false" customHeight="false" outlineLevel="0" collapsed="false">
      <c r="A15691" s="0" t="s">
        <v>12</v>
      </c>
      <c r="B15691" s="0" t="n">
        <v>4850164</v>
      </c>
      <c r="C15691" s="0" t="n">
        <v>4850184</v>
      </c>
      <c r="D15691" s="0" t="s">
        <v>52166</v>
      </c>
      <c r="E15691" s="0" t="s">
        <v>52167</v>
      </c>
      <c r="F15691" s="0" t="s">
        <v>90</v>
      </c>
      <c r="G15691" s="0" t="s">
        <v>20</v>
      </c>
      <c r="H15691" s="0" t="n">
        <v>8</v>
      </c>
      <c r="I15691" s="0" t="s">
        <v>52168</v>
      </c>
      <c r="J15691" s="0" t="s">
        <v>52169</v>
      </c>
      <c r="K15691" s="0" t="s">
        <v>52170</v>
      </c>
      <c r="L15691" s="0" t="str">
        <f aca="false">HYPERLINK("https://www.ncbi.nlm.nih.gov/nuccore/CP000058.1?report=graph&amp;tracks=[key:gene_model_track,Options:GeneOnly]&amp;mk=4850165:4850184|offset_8|00cc00,4850143:4850162|offset_30|444444,4850122:4850141|offset_51|444444,4850090:4850109|offset_83|444444&amp;v=4849964:4850309&amp;c=444444", "offset 8")</f>
        <v>offset 8</v>
      </c>
    </row>
    <row r="15692" customFormat="false" ht="12.8" hidden="false" customHeight="false" outlineLevel="0" collapsed="false">
      <c r="A15692" s="0" t="s">
        <v>12</v>
      </c>
      <c r="B15692" s="0" t="n">
        <v>4850142</v>
      </c>
      <c r="C15692" s="0" t="n">
        <v>4850162</v>
      </c>
      <c r="D15692" s="0" t="s">
        <v>52166</v>
      </c>
      <c r="E15692" s="0" t="s">
        <v>52167</v>
      </c>
      <c r="F15692" s="0" t="s">
        <v>90</v>
      </c>
      <c r="G15692" s="0" t="s">
        <v>16</v>
      </c>
      <c r="H15692" s="0" t="n">
        <v>30</v>
      </c>
      <c r="I15692" s="0" t="s">
        <v>52171</v>
      </c>
      <c r="J15692" s="0" t="s">
        <v>52172</v>
      </c>
      <c r="K15692" s="0" t="s">
        <v>52173</v>
      </c>
      <c r="L15692" s="0" t="str">
        <f aca="false">HYPERLINK("https://www.ncbi.nlm.nih.gov/nuccore/CP000058.1?report=graph&amp;tracks=[key:gene_model_track,Options:GeneOnly]&amp;mk=4850165:4850184|offset_8|444444,4850143:4850162|offset_30|00cc00,4850122:4850141|offset_51|444444,4850090:4850109|offset_83|444444&amp;v=4849964:4850309&amp;c=444444", "offset 30")</f>
        <v>offset 30</v>
      </c>
    </row>
    <row r="15693" customFormat="false" ht="12.8" hidden="false" customHeight="false" outlineLevel="0" collapsed="false">
      <c r="A15693" s="0" t="s">
        <v>12</v>
      </c>
      <c r="B15693" s="0" t="n">
        <v>4850121</v>
      </c>
      <c r="C15693" s="0" t="n">
        <v>4850141</v>
      </c>
      <c r="D15693" s="0" t="s">
        <v>52166</v>
      </c>
      <c r="E15693" s="0" t="s">
        <v>52167</v>
      </c>
      <c r="F15693" s="0" t="s">
        <v>90</v>
      </c>
      <c r="G15693" s="0" t="s">
        <v>16</v>
      </c>
      <c r="H15693" s="0" t="n">
        <v>51</v>
      </c>
      <c r="I15693" s="0" t="s">
        <v>52174</v>
      </c>
      <c r="J15693" s="0" t="s">
        <v>52175</v>
      </c>
      <c r="K15693" s="0" t="s">
        <v>52176</v>
      </c>
      <c r="L15693" s="0" t="str">
        <f aca="false">HYPERLINK("https://www.ncbi.nlm.nih.gov/nuccore/CP000058.1?report=graph&amp;tracks=[key:gene_model_track,Options:GeneOnly]&amp;mk=4850165:4850184|offset_8|444444,4850143:4850162|offset_30|444444,4850122:4850141|offset_51|00cc00,4850090:4850109|offset_83|444444&amp;v=4849964:4850309&amp;c=444444", "offset 51")</f>
        <v>offset 51</v>
      </c>
    </row>
    <row r="15694" customFormat="false" ht="12.8" hidden="false" customHeight="false" outlineLevel="0" collapsed="false">
      <c r="A15694" s="0" t="s">
        <v>12</v>
      </c>
      <c r="B15694" s="0" t="n">
        <v>4850089</v>
      </c>
      <c r="C15694" s="0" t="n">
        <v>4850109</v>
      </c>
      <c r="D15694" s="0" t="s">
        <v>52166</v>
      </c>
      <c r="E15694" s="0" t="s">
        <v>52167</v>
      </c>
      <c r="F15694" s="0" t="s">
        <v>90</v>
      </c>
      <c r="G15694" s="0" t="s">
        <v>32</v>
      </c>
      <c r="H15694" s="0" t="n">
        <v>83</v>
      </c>
      <c r="I15694" s="0" t="s">
        <v>52177</v>
      </c>
      <c r="J15694" s="0" t="s">
        <v>52178</v>
      </c>
      <c r="K15694" s="0" t="s">
        <v>52179</v>
      </c>
      <c r="L15694" s="0" t="str">
        <f aca="false">HYPERLINK("https://www.ncbi.nlm.nih.gov/nuccore/CP000058.1?report=graph&amp;tracks=[key:gene_model_track,Options:GeneOnly]&amp;mk=4850165:4850184|offset_8|444444,4850143:4850162|offset_30|444444,4850122:4850141|offset_51|444444,4850090:4850109|offset_83|00cc00&amp;v=4849964:4850309&amp;c=444444", "offset 83")</f>
        <v>offset 83</v>
      </c>
    </row>
    <row r="15695" customFormat="false" ht="12.8" hidden="false" customHeight="false" outlineLevel="0" collapsed="false">
      <c r="A15695" s="0" t="s">
        <v>12</v>
      </c>
      <c r="B15695" s="0" t="n">
        <v>4851567</v>
      </c>
      <c r="C15695" s="0" t="n">
        <v>4851587</v>
      </c>
      <c r="D15695" s="0" t="s">
        <v>52180</v>
      </c>
      <c r="E15695" s="0" t="s">
        <v>75</v>
      </c>
      <c r="F15695" s="0" t="s">
        <v>90</v>
      </c>
      <c r="G15695" s="0" t="s">
        <v>32</v>
      </c>
      <c r="H15695" s="0" t="n">
        <v>1</v>
      </c>
      <c r="I15695" s="0" t="s">
        <v>52181</v>
      </c>
      <c r="J15695" s="0" t="s">
        <v>52182</v>
      </c>
      <c r="K15695" s="0" t="s">
        <v>52183</v>
      </c>
      <c r="L15695" s="0" t="str">
        <f aca="false">HYPERLINK("https://www.ncbi.nlm.nih.gov/nuccore/CP000058.1?report=graph&amp;tracks=[key:gene_model_track,Options:GeneOnly]&amp;mk=4851568:4851587|offset_1|00cc00,4851540:4851559|offset_29|444444,4851505:4851524|offset_64|444444,4851481:4851500|offset_88|444444&amp;v=4851367:4851700&amp;c=444444", "offset 1")</f>
        <v>offset 1</v>
      </c>
    </row>
    <row r="15696" customFormat="false" ht="12.8" hidden="false" customHeight="false" outlineLevel="0" collapsed="false">
      <c r="A15696" s="0" t="s">
        <v>12</v>
      </c>
      <c r="B15696" s="0" t="n">
        <v>4851539</v>
      </c>
      <c r="C15696" s="0" t="n">
        <v>4851559</v>
      </c>
      <c r="D15696" s="0" t="s">
        <v>52180</v>
      </c>
      <c r="E15696" s="0" t="s">
        <v>75</v>
      </c>
      <c r="F15696" s="0" t="s">
        <v>90</v>
      </c>
      <c r="G15696" s="0" t="s">
        <v>16</v>
      </c>
      <c r="H15696" s="0" t="n">
        <v>29</v>
      </c>
      <c r="I15696" s="0" t="s">
        <v>52184</v>
      </c>
      <c r="J15696" s="0" t="s">
        <v>52185</v>
      </c>
      <c r="K15696" s="0" t="s">
        <v>52186</v>
      </c>
      <c r="L15696" s="0" t="str">
        <f aca="false">HYPERLINK("https://www.ncbi.nlm.nih.gov/nuccore/CP000058.1?report=graph&amp;tracks=[key:gene_model_track,Options:GeneOnly]&amp;mk=4851568:4851587|offset_1|444444,4851540:4851559|offset_29|00cc00,4851505:4851524|offset_64|444444,4851481:4851500|offset_88|444444&amp;v=4851367:4851700&amp;c=444444", "offset 29")</f>
        <v>offset 29</v>
      </c>
    </row>
    <row r="15697" customFormat="false" ht="12.8" hidden="false" customHeight="false" outlineLevel="0" collapsed="false">
      <c r="A15697" s="0" t="s">
        <v>12</v>
      </c>
      <c r="B15697" s="0" t="n">
        <v>4851504</v>
      </c>
      <c r="C15697" s="0" t="n">
        <v>4851524</v>
      </c>
      <c r="D15697" s="0" t="s">
        <v>52180</v>
      </c>
      <c r="E15697" s="0" t="s">
        <v>75</v>
      </c>
      <c r="F15697" s="0" t="s">
        <v>90</v>
      </c>
      <c r="G15697" s="0" t="s">
        <v>32</v>
      </c>
      <c r="H15697" s="0" t="n">
        <v>64</v>
      </c>
      <c r="I15697" s="0" t="s">
        <v>52187</v>
      </c>
      <c r="J15697" s="0" t="s">
        <v>52188</v>
      </c>
      <c r="K15697" s="0" t="s">
        <v>52189</v>
      </c>
      <c r="L15697" s="0" t="str">
        <f aca="false">HYPERLINK("https://www.ncbi.nlm.nih.gov/nuccore/CP000058.1?report=graph&amp;tracks=[key:gene_model_track,Options:GeneOnly]&amp;mk=4851568:4851587|offset_1|444444,4851540:4851559|offset_29|444444,4851505:4851524|offset_64|00cc00,4851481:4851500|offset_88|444444&amp;v=4851367:4851700&amp;c=444444", "offset 64")</f>
        <v>offset 64</v>
      </c>
    </row>
    <row r="15698" customFormat="false" ht="12.8" hidden="false" customHeight="false" outlineLevel="0" collapsed="false">
      <c r="A15698" s="0" t="s">
        <v>12</v>
      </c>
      <c r="B15698" s="0" t="n">
        <v>4851480</v>
      </c>
      <c r="C15698" s="0" t="n">
        <v>4851500</v>
      </c>
      <c r="D15698" s="0" t="s">
        <v>52180</v>
      </c>
      <c r="E15698" s="0" t="s">
        <v>75</v>
      </c>
      <c r="F15698" s="0" t="s">
        <v>90</v>
      </c>
      <c r="G15698" s="0" t="s">
        <v>32</v>
      </c>
      <c r="H15698" s="0" t="n">
        <v>88</v>
      </c>
      <c r="I15698" s="0" t="s">
        <v>52190</v>
      </c>
      <c r="J15698" s="0" t="s">
        <v>52191</v>
      </c>
      <c r="K15698" s="0" t="s">
        <v>52192</v>
      </c>
      <c r="L15698" s="0" t="str">
        <f aca="false">HYPERLINK("https://www.ncbi.nlm.nih.gov/nuccore/CP000058.1?report=graph&amp;tracks=[key:gene_model_track,Options:GeneOnly]&amp;mk=4851568:4851587|offset_1|444444,4851540:4851559|offset_29|444444,4851505:4851524|offset_64|444444,4851481:4851500|offset_88|00cc00&amp;v=4851367:4851700&amp;c=444444", "offset 88")</f>
        <v>offset 88</v>
      </c>
    </row>
    <row r="15699" customFormat="false" ht="12.8" hidden="false" customHeight="false" outlineLevel="0" collapsed="false">
      <c r="A15699" s="0" t="s">
        <v>12</v>
      </c>
      <c r="B15699" s="0" t="n">
        <v>4852634</v>
      </c>
      <c r="C15699" s="0" t="n">
        <v>4852654</v>
      </c>
      <c r="D15699" s="0" t="s">
        <v>52193</v>
      </c>
      <c r="E15699" s="0" t="s">
        <v>75</v>
      </c>
      <c r="F15699" s="0" t="s">
        <v>90</v>
      </c>
      <c r="G15699" s="0" t="s">
        <v>32</v>
      </c>
      <c r="H15699" s="0" t="n">
        <v>9</v>
      </c>
      <c r="I15699" s="0" t="s">
        <v>52194</v>
      </c>
      <c r="J15699" s="0" t="s">
        <v>52195</v>
      </c>
      <c r="K15699" s="0" t="s">
        <v>52196</v>
      </c>
      <c r="L15699" s="0" t="str">
        <f aca="false">HYPERLINK("https://www.ncbi.nlm.nih.gov/nuccore/CP000058.1?report=graph&amp;tracks=[key:gene_model_track,Options:GeneOnly]&amp;mk=4852635:4852654|offset_9|00cc00,4852615:4852634|offset_29|444444,4852591:4852610|offset_53|444444,4852558:4852577|offset_86|444444&amp;v=4852434:4852777&amp;c=444444", "offset 9")</f>
        <v>offset 9</v>
      </c>
    </row>
    <row r="15700" customFormat="false" ht="12.8" hidden="false" customHeight="false" outlineLevel="0" collapsed="false">
      <c r="A15700" s="0" t="s">
        <v>12</v>
      </c>
      <c r="B15700" s="0" t="n">
        <v>4852614</v>
      </c>
      <c r="C15700" s="0" t="n">
        <v>4852634</v>
      </c>
      <c r="D15700" s="0" t="s">
        <v>52193</v>
      </c>
      <c r="E15700" s="0" t="s">
        <v>75</v>
      </c>
      <c r="F15700" s="0" t="s">
        <v>90</v>
      </c>
      <c r="G15700" s="0" t="s">
        <v>20</v>
      </c>
      <c r="H15700" s="0" t="n">
        <v>29</v>
      </c>
      <c r="I15700" s="0" t="s">
        <v>52197</v>
      </c>
      <c r="J15700" s="0" t="s">
        <v>52198</v>
      </c>
      <c r="K15700" s="0" t="s">
        <v>52199</v>
      </c>
      <c r="L15700" s="0" t="str">
        <f aca="false">HYPERLINK("https://www.ncbi.nlm.nih.gov/nuccore/CP000058.1?report=graph&amp;tracks=[key:gene_model_track,Options:GeneOnly]&amp;mk=4852635:4852654|offset_9|444444,4852615:4852634|offset_29|00cc00,4852591:4852610|offset_53|444444,4852558:4852577|offset_86|444444&amp;v=4852434:4852777&amp;c=444444", "offset 29")</f>
        <v>offset 29</v>
      </c>
    </row>
    <row r="15701" customFormat="false" ht="12.8" hidden="false" customHeight="false" outlineLevel="0" collapsed="false">
      <c r="A15701" s="0" t="s">
        <v>12</v>
      </c>
      <c r="B15701" s="0" t="n">
        <v>4852590</v>
      </c>
      <c r="C15701" s="0" t="n">
        <v>4852610</v>
      </c>
      <c r="D15701" s="0" t="s">
        <v>52193</v>
      </c>
      <c r="E15701" s="0" t="s">
        <v>75</v>
      </c>
      <c r="F15701" s="0" t="s">
        <v>90</v>
      </c>
      <c r="G15701" s="0" t="s">
        <v>36</v>
      </c>
      <c r="H15701" s="0" t="n">
        <v>53</v>
      </c>
      <c r="I15701" s="0" t="s">
        <v>52200</v>
      </c>
      <c r="J15701" s="0" t="s">
        <v>52201</v>
      </c>
      <c r="K15701" s="0" t="s">
        <v>52202</v>
      </c>
      <c r="L15701" s="0" t="str">
        <f aca="false">HYPERLINK("https://www.ncbi.nlm.nih.gov/nuccore/CP000058.1?report=graph&amp;tracks=[key:gene_model_track,Options:GeneOnly]&amp;mk=4852635:4852654|offset_9|444444,4852615:4852634|offset_29|444444,4852591:4852610|offset_53|00cc00,4852558:4852577|offset_86|444444&amp;v=4852434:4852777&amp;c=444444", "offset 53")</f>
        <v>offset 53</v>
      </c>
    </row>
    <row r="15702" customFormat="false" ht="12.8" hidden="false" customHeight="false" outlineLevel="0" collapsed="false">
      <c r="A15702" s="0" t="s">
        <v>12</v>
      </c>
      <c r="B15702" s="0" t="n">
        <v>4852557</v>
      </c>
      <c r="C15702" s="0" t="n">
        <v>4852577</v>
      </c>
      <c r="D15702" s="0" t="s">
        <v>52193</v>
      </c>
      <c r="E15702" s="0" t="s">
        <v>75</v>
      </c>
      <c r="F15702" s="0" t="s">
        <v>90</v>
      </c>
      <c r="G15702" s="0" t="s">
        <v>32</v>
      </c>
      <c r="H15702" s="0" t="n">
        <v>86</v>
      </c>
      <c r="I15702" s="0" t="s">
        <v>52203</v>
      </c>
      <c r="J15702" s="0" t="s">
        <v>52204</v>
      </c>
      <c r="K15702" s="0" t="s">
        <v>52205</v>
      </c>
      <c r="L15702" s="0" t="str">
        <f aca="false">HYPERLINK("https://www.ncbi.nlm.nih.gov/nuccore/CP000058.1?report=graph&amp;tracks=[key:gene_model_track,Options:GeneOnly]&amp;mk=4852635:4852654|offset_9|444444,4852615:4852634|offset_29|444444,4852591:4852610|offset_53|444444,4852558:4852577|offset_86|00cc00&amp;v=4852434:4852777&amp;c=444444", "offset 86")</f>
        <v>offset 86</v>
      </c>
    </row>
    <row r="15703" customFormat="false" ht="12.8" hidden="false" customHeight="false" outlineLevel="0" collapsed="false">
      <c r="A15703" s="0" t="s">
        <v>12</v>
      </c>
      <c r="B15703" s="0" t="n">
        <v>4853668</v>
      </c>
      <c r="C15703" s="0" t="n">
        <v>4853688</v>
      </c>
      <c r="D15703" s="0" t="s">
        <v>52206</v>
      </c>
      <c r="E15703" s="0" t="s">
        <v>75</v>
      </c>
      <c r="F15703" s="0" t="s">
        <v>90</v>
      </c>
      <c r="G15703" s="0" t="s">
        <v>16</v>
      </c>
      <c r="H15703" s="0" t="n">
        <v>21</v>
      </c>
      <c r="I15703" s="0" t="s">
        <v>52207</v>
      </c>
      <c r="J15703" s="0" t="s">
        <v>52208</v>
      </c>
      <c r="K15703" s="0" t="s">
        <v>52209</v>
      </c>
      <c r="L15703" s="0" t="str">
        <f aca="false">HYPERLINK("https://www.ncbi.nlm.nih.gov/nuccore/CP000058.1?report=graph&amp;tracks=[key:gene_model_track,Options:GeneOnly]&amp;mk=4853669:4853688|offset_21|00cc00,4853646:4853665|offset_44|444444,4853611:4853630|offset_79|444444,4853567:4853586|offset_123|444444&amp;v=4853468:4853786&amp;c=444444", "offset 21")</f>
        <v>offset 21</v>
      </c>
    </row>
    <row r="15704" customFormat="false" ht="12.8" hidden="false" customHeight="false" outlineLevel="0" collapsed="false">
      <c r="A15704" s="0" t="s">
        <v>12</v>
      </c>
      <c r="B15704" s="0" t="n">
        <v>4853645</v>
      </c>
      <c r="C15704" s="0" t="n">
        <v>4853665</v>
      </c>
      <c r="D15704" s="0" t="s">
        <v>52206</v>
      </c>
      <c r="E15704" s="0" t="s">
        <v>75</v>
      </c>
      <c r="F15704" s="0" t="s">
        <v>90</v>
      </c>
      <c r="G15704" s="0" t="s">
        <v>16</v>
      </c>
      <c r="H15704" s="0" t="n">
        <v>44</v>
      </c>
      <c r="I15704" s="0" t="s">
        <v>52210</v>
      </c>
      <c r="J15704" s="0" t="s">
        <v>52211</v>
      </c>
      <c r="K15704" s="0" t="s">
        <v>52212</v>
      </c>
      <c r="L15704" s="0" t="str">
        <f aca="false">HYPERLINK("https://www.ncbi.nlm.nih.gov/nuccore/CP000058.1?report=graph&amp;tracks=[key:gene_model_track,Options:GeneOnly]&amp;mk=4853669:4853688|offset_21|444444,4853646:4853665|offset_44|00cc00,4853611:4853630|offset_79|444444,4853567:4853586|offset_123|444444&amp;v=4853468:4853786&amp;c=444444", "offset 44")</f>
        <v>offset 44</v>
      </c>
    </row>
    <row r="15705" customFormat="false" ht="12.8" hidden="false" customHeight="false" outlineLevel="0" collapsed="false">
      <c r="A15705" s="0" t="s">
        <v>12</v>
      </c>
      <c r="B15705" s="0" t="n">
        <v>4853610</v>
      </c>
      <c r="C15705" s="0" t="n">
        <v>4853630</v>
      </c>
      <c r="D15705" s="0" t="s">
        <v>52206</v>
      </c>
      <c r="E15705" s="0" t="s">
        <v>75</v>
      </c>
      <c r="F15705" s="0" t="s">
        <v>90</v>
      </c>
      <c r="G15705" s="0" t="s">
        <v>16</v>
      </c>
      <c r="H15705" s="0" t="n">
        <v>79</v>
      </c>
      <c r="I15705" s="0" t="s">
        <v>52213</v>
      </c>
      <c r="J15705" s="0" t="s">
        <v>52214</v>
      </c>
      <c r="K15705" s="0" t="s">
        <v>52215</v>
      </c>
      <c r="L15705" s="0" t="str">
        <f aca="false">HYPERLINK("https://www.ncbi.nlm.nih.gov/nuccore/CP000058.1?report=graph&amp;tracks=[key:gene_model_track,Options:GeneOnly]&amp;mk=4853669:4853688|offset_21|444444,4853646:4853665|offset_44|444444,4853611:4853630|offset_79|00cc00,4853567:4853586|offset_123|444444&amp;v=4853468:4853786&amp;c=444444", "offset 79")</f>
        <v>offset 79</v>
      </c>
    </row>
    <row r="15706" customFormat="false" ht="12.8" hidden="false" customHeight="false" outlineLevel="0" collapsed="false">
      <c r="A15706" s="0" t="s">
        <v>12</v>
      </c>
      <c r="B15706" s="0" t="n">
        <v>4853566</v>
      </c>
      <c r="C15706" s="0" t="n">
        <v>4853586</v>
      </c>
      <c r="D15706" s="0" t="s">
        <v>52206</v>
      </c>
      <c r="E15706" s="0" t="s">
        <v>75</v>
      </c>
      <c r="F15706" s="0" t="s">
        <v>90</v>
      </c>
      <c r="G15706" s="0" t="s">
        <v>20</v>
      </c>
      <c r="H15706" s="0" t="n">
        <v>123</v>
      </c>
      <c r="I15706" s="0" t="s">
        <v>52216</v>
      </c>
      <c r="J15706" s="0" t="s">
        <v>52217</v>
      </c>
      <c r="K15706" s="0" t="s">
        <v>52218</v>
      </c>
      <c r="L15706" s="0" t="str">
        <f aca="false">HYPERLINK("https://www.ncbi.nlm.nih.gov/nuccore/CP000058.1?report=graph&amp;tracks=[key:gene_model_track,Options:GeneOnly]&amp;mk=4853669:4853688|offset_21|444444,4853646:4853665|offset_44|444444,4853611:4853630|offset_79|444444,4853567:4853586|offset_123|00cc00&amp;v=4853468:4853786&amp;c=444444", "offset 123")</f>
        <v>offset 123</v>
      </c>
    </row>
    <row r="15707" customFormat="false" ht="12.8" hidden="false" customHeight="false" outlineLevel="0" collapsed="false">
      <c r="A15707" s="0" t="s">
        <v>12</v>
      </c>
      <c r="B15707" s="0" t="n">
        <v>4855493</v>
      </c>
      <c r="C15707" s="0" t="n">
        <v>4855513</v>
      </c>
      <c r="D15707" s="0" t="s">
        <v>52219</v>
      </c>
      <c r="E15707" s="0" t="s">
        <v>75</v>
      </c>
      <c r="F15707" s="0" t="s">
        <v>90</v>
      </c>
      <c r="G15707" s="0" t="s">
        <v>16</v>
      </c>
      <c r="H15707" s="0" t="n">
        <v>28</v>
      </c>
      <c r="I15707" s="0" t="s">
        <v>52220</v>
      </c>
      <c r="J15707" s="0" t="s">
        <v>52221</v>
      </c>
      <c r="K15707" s="0" t="s">
        <v>52222</v>
      </c>
      <c r="L15707" s="0" t="str">
        <f aca="false">HYPERLINK("https://www.ncbi.nlm.nih.gov/nuccore/CP000058.1?report=graph&amp;tracks=[key:gene_model_track,Options:GeneOnly]&amp;mk=4855494:4855513|offset_28|00cc00,4855460:4855479|offset_62|444444,4855438:4855457|offset_84|444444,4855410:4855429|offset_112|444444&amp;v=4855293:4855629&amp;c=444444", "offset 28")</f>
        <v>offset 28</v>
      </c>
    </row>
    <row r="15708" customFormat="false" ht="12.8" hidden="false" customHeight="false" outlineLevel="0" collapsed="false">
      <c r="A15708" s="0" t="s">
        <v>12</v>
      </c>
      <c r="B15708" s="0" t="n">
        <v>4855459</v>
      </c>
      <c r="C15708" s="0" t="n">
        <v>4855479</v>
      </c>
      <c r="D15708" s="0" t="s">
        <v>52219</v>
      </c>
      <c r="E15708" s="0" t="s">
        <v>75</v>
      </c>
      <c r="F15708" s="0" t="s">
        <v>90</v>
      </c>
      <c r="G15708" s="0" t="s">
        <v>16</v>
      </c>
      <c r="H15708" s="0" t="n">
        <v>62</v>
      </c>
      <c r="I15708" s="0" t="s">
        <v>52223</v>
      </c>
      <c r="J15708" s="0" t="s">
        <v>52224</v>
      </c>
      <c r="K15708" s="0" t="s">
        <v>52225</v>
      </c>
      <c r="L15708" s="0" t="str">
        <f aca="false">HYPERLINK("https://www.ncbi.nlm.nih.gov/nuccore/CP000058.1?report=graph&amp;tracks=[key:gene_model_track,Options:GeneOnly]&amp;mk=4855494:4855513|offset_28|444444,4855460:4855479|offset_62|00cc00,4855438:4855457|offset_84|444444,4855410:4855429|offset_112|444444&amp;v=4855293:4855629&amp;c=444444", "offset 62")</f>
        <v>offset 62</v>
      </c>
    </row>
    <row r="15709" customFormat="false" ht="12.8" hidden="false" customHeight="false" outlineLevel="0" collapsed="false">
      <c r="A15709" s="0" t="s">
        <v>12</v>
      </c>
      <c r="B15709" s="0" t="n">
        <v>4855437</v>
      </c>
      <c r="C15709" s="0" t="n">
        <v>4855457</v>
      </c>
      <c r="D15709" s="0" t="s">
        <v>52219</v>
      </c>
      <c r="E15709" s="0" t="s">
        <v>75</v>
      </c>
      <c r="F15709" s="0" t="s">
        <v>90</v>
      </c>
      <c r="G15709" s="0" t="s">
        <v>16</v>
      </c>
      <c r="H15709" s="0" t="n">
        <v>84</v>
      </c>
      <c r="I15709" s="0" t="s">
        <v>52226</v>
      </c>
      <c r="J15709" s="0" t="s">
        <v>52227</v>
      </c>
      <c r="K15709" s="0" t="s">
        <v>52228</v>
      </c>
      <c r="L15709" s="0" t="str">
        <f aca="false">HYPERLINK("https://www.ncbi.nlm.nih.gov/nuccore/CP000058.1?report=graph&amp;tracks=[key:gene_model_track,Options:GeneOnly]&amp;mk=4855494:4855513|offset_28|444444,4855460:4855479|offset_62|444444,4855438:4855457|offset_84|00cc00,4855410:4855429|offset_112|444444&amp;v=4855293:4855629&amp;c=444444", "offset 84")</f>
        <v>offset 84</v>
      </c>
    </row>
    <row r="15710" customFormat="false" ht="12.8" hidden="false" customHeight="false" outlineLevel="0" collapsed="false">
      <c r="A15710" s="0" t="s">
        <v>12</v>
      </c>
      <c r="B15710" s="0" t="n">
        <v>4855409</v>
      </c>
      <c r="C15710" s="0" t="n">
        <v>4855429</v>
      </c>
      <c r="D15710" s="0" t="s">
        <v>52219</v>
      </c>
      <c r="E15710" s="0" t="s">
        <v>75</v>
      </c>
      <c r="F15710" s="0" t="s">
        <v>90</v>
      </c>
      <c r="G15710" s="0" t="s">
        <v>16</v>
      </c>
      <c r="H15710" s="0" t="n">
        <v>112</v>
      </c>
      <c r="I15710" s="0" t="s">
        <v>52229</v>
      </c>
      <c r="J15710" s="0" t="s">
        <v>52230</v>
      </c>
      <c r="K15710" s="0" t="s">
        <v>52231</v>
      </c>
      <c r="L15710" s="0" t="str">
        <f aca="false">HYPERLINK("https://www.ncbi.nlm.nih.gov/nuccore/CP000058.1?report=graph&amp;tracks=[key:gene_model_track,Options:GeneOnly]&amp;mk=4855494:4855513|offset_28|444444,4855460:4855479|offset_62|444444,4855438:4855457|offset_84|444444,4855410:4855429|offset_112|00cc00&amp;v=4855293:4855629&amp;c=444444", "offset 112")</f>
        <v>offset 112</v>
      </c>
    </row>
    <row r="15711" customFormat="false" ht="12.8" hidden="false" customHeight="false" outlineLevel="0" collapsed="false">
      <c r="A15711" s="0" t="s">
        <v>12</v>
      </c>
      <c r="B15711" s="0" t="n">
        <v>4856154</v>
      </c>
      <c r="C15711" s="0" t="n">
        <v>4856174</v>
      </c>
      <c r="D15711" s="0" t="s">
        <v>52232</v>
      </c>
      <c r="E15711" s="0" t="s">
        <v>75</v>
      </c>
      <c r="F15711" s="0" t="s">
        <v>90</v>
      </c>
      <c r="G15711" s="0" t="s">
        <v>32</v>
      </c>
      <c r="H15711" s="0" t="n">
        <v>20</v>
      </c>
      <c r="I15711" s="0" t="s">
        <v>52233</v>
      </c>
      <c r="J15711" s="0" t="s">
        <v>52234</v>
      </c>
      <c r="K15711" s="0" t="s">
        <v>52235</v>
      </c>
      <c r="L15711" s="0" t="str">
        <f aca="false">HYPERLINK("https://www.ncbi.nlm.nih.gov/nuccore/CP000058.1?report=graph&amp;tracks=[key:gene_model_track,Options:GeneOnly]&amp;mk=4856155:4856174|offset_20|00cc00,4856128:4856147|offset_47|444444,4856096:4856115|offset_79|444444,4856071:4856090|offset_104|444444&amp;v=4855954:4856290&amp;c=444444", "offset 20")</f>
        <v>offset 20</v>
      </c>
    </row>
    <row r="15712" customFormat="false" ht="12.8" hidden="false" customHeight="false" outlineLevel="0" collapsed="false">
      <c r="A15712" s="0" t="s">
        <v>12</v>
      </c>
      <c r="B15712" s="0" t="n">
        <v>4856127</v>
      </c>
      <c r="C15712" s="0" t="n">
        <v>4856147</v>
      </c>
      <c r="D15712" s="0" t="s">
        <v>52232</v>
      </c>
      <c r="E15712" s="0" t="s">
        <v>75</v>
      </c>
      <c r="F15712" s="0" t="s">
        <v>90</v>
      </c>
      <c r="G15712" s="0" t="s">
        <v>20</v>
      </c>
      <c r="H15712" s="0" t="n">
        <v>47</v>
      </c>
      <c r="I15712" s="0" t="s">
        <v>52236</v>
      </c>
      <c r="J15712" s="0" t="s">
        <v>52237</v>
      </c>
      <c r="K15712" s="0" t="s">
        <v>52238</v>
      </c>
      <c r="L15712" s="0" t="str">
        <f aca="false">HYPERLINK("https://www.ncbi.nlm.nih.gov/nuccore/CP000058.1?report=graph&amp;tracks=[key:gene_model_track,Options:GeneOnly]&amp;mk=4856155:4856174|offset_20|444444,4856128:4856147|offset_47|00cc00,4856096:4856115|offset_79|444444,4856071:4856090|offset_104|444444&amp;v=4855954:4856290&amp;c=444444", "offset 47")</f>
        <v>offset 47</v>
      </c>
    </row>
    <row r="15713" customFormat="false" ht="12.8" hidden="false" customHeight="false" outlineLevel="0" collapsed="false">
      <c r="A15713" s="0" t="s">
        <v>12</v>
      </c>
      <c r="B15713" s="0" t="n">
        <v>4856095</v>
      </c>
      <c r="C15713" s="0" t="n">
        <v>4856115</v>
      </c>
      <c r="D15713" s="0" t="s">
        <v>52232</v>
      </c>
      <c r="E15713" s="0" t="s">
        <v>75</v>
      </c>
      <c r="F15713" s="0" t="s">
        <v>90</v>
      </c>
      <c r="G15713" s="0" t="s">
        <v>36</v>
      </c>
      <c r="H15713" s="0" t="n">
        <v>79</v>
      </c>
      <c r="I15713" s="0" t="s">
        <v>52239</v>
      </c>
      <c r="J15713" s="0" t="s">
        <v>52240</v>
      </c>
      <c r="K15713" s="0" t="s">
        <v>52241</v>
      </c>
      <c r="L15713" s="0" t="str">
        <f aca="false">HYPERLINK("https://www.ncbi.nlm.nih.gov/nuccore/CP000058.1?report=graph&amp;tracks=[key:gene_model_track,Options:GeneOnly]&amp;mk=4856155:4856174|offset_20|444444,4856128:4856147|offset_47|444444,4856096:4856115|offset_79|00cc00,4856071:4856090|offset_104|444444&amp;v=4855954:4856290&amp;c=444444", "offset 79")</f>
        <v>offset 79</v>
      </c>
    </row>
    <row r="15714" customFormat="false" ht="12.8" hidden="false" customHeight="false" outlineLevel="0" collapsed="false">
      <c r="A15714" s="0" t="s">
        <v>12</v>
      </c>
      <c r="B15714" s="0" t="n">
        <v>4856070</v>
      </c>
      <c r="C15714" s="0" t="n">
        <v>4856090</v>
      </c>
      <c r="D15714" s="0" t="s">
        <v>52232</v>
      </c>
      <c r="E15714" s="0" t="s">
        <v>75</v>
      </c>
      <c r="F15714" s="0" t="s">
        <v>90</v>
      </c>
      <c r="G15714" s="0" t="s">
        <v>16</v>
      </c>
      <c r="H15714" s="0" t="n">
        <v>104</v>
      </c>
      <c r="I15714" s="0" t="s">
        <v>52242</v>
      </c>
      <c r="J15714" s="0" t="s">
        <v>52243</v>
      </c>
      <c r="K15714" s="0" t="s">
        <v>52244</v>
      </c>
      <c r="L15714" s="0" t="str">
        <f aca="false">HYPERLINK("https://www.ncbi.nlm.nih.gov/nuccore/CP000058.1?report=graph&amp;tracks=[key:gene_model_track,Options:GeneOnly]&amp;mk=4856155:4856174|offset_20|444444,4856128:4856147|offset_47|444444,4856096:4856115|offset_79|444444,4856071:4856090|offset_104|00cc00&amp;v=4855954:4856290&amp;c=444444", "offset 104")</f>
        <v>offset 104</v>
      </c>
    </row>
    <row r="15715" customFormat="false" ht="12.8" hidden="false" customHeight="false" outlineLevel="0" collapsed="false">
      <c r="A15715" s="0" t="s">
        <v>12</v>
      </c>
      <c r="B15715" s="0" t="n">
        <v>4857420</v>
      </c>
      <c r="C15715" s="0" t="n">
        <v>4857440</v>
      </c>
      <c r="D15715" s="0" t="s">
        <v>52245</v>
      </c>
      <c r="E15715" s="0" t="s">
        <v>75</v>
      </c>
      <c r="F15715" s="0" t="s">
        <v>90</v>
      </c>
      <c r="G15715" s="0" t="s">
        <v>36</v>
      </c>
      <c r="H15715" s="0" t="n">
        <v>10</v>
      </c>
      <c r="I15715" s="0" t="s">
        <v>52246</v>
      </c>
      <c r="J15715" s="0" t="s">
        <v>52247</v>
      </c>
      <c r="K15715" s="0" t="s">
        <v>52248</v>
      </c>
      <c r="L15715" s="0" t="str">
        <f aca="false">HYPERLINK("https://www.ncbi.nlm.nih.gov/nuccore/CP000058.1?report=graph&amp;tracks=[key:gene_model_track,Options:GeneOnly]&amp;mk=4857421:4857440|offset_10|00cc00,4857400:4857419|offset_31|444444,4857378:4857397|offset_53|444444,4857349:4857368|offset_82|444444&amp;v=4857220:4857568&amp;c=444444", "offset 10")</f>
        <v>offset 10</v>
      </c>
    </row>
    <row r="15716" customFormat="false" ht="12.8" hidden="false" customHeight="false" outlineLevel="0" collapsed="false">
      <c r="A15716" s="0" t="s">
        <v>12</v>
      </c>
      <c r="B15716" s="0" t="n">
        <v>4857399</v>
      </c>
      <c r="C15716" s="0" t="n">
        <v>4857419</v>
      </c>
      <c r="D15716" s="0" t="s">
        <v>52245</v>
      </c>
      <c r="E15716" s="0" t="s">
        <v>75</v>
      </c>
      <c r="F15716" s="0" t="s">
        <v>90</v>
      </c>
      <c r="G15716" s="0" t="s">
        <v>32</v>
      </c>
      <c r="H15716" s="0" t="n">
        <v>31</v>
      </c>
      <c r="I15716" s="0" t="s">
        <v>52249</v>
      </c>
      <c r="J15716" s="0" t="s">
        <v>52250</v>
      </c>
      <c r="K15716" s="0" t="s">
        <v>52251</v>
      </c>
      <c r="L15716" s="0" t="str">
        <f aca="false">HYPERLINK("https://www.ncbi.nlm.nih.gov/nuccore/CP000058.1?report=graph&amp;tracks=[key:gene_model_track,Options:GeneOnly]&amp;mk=4857421:4857440|offset_10|444444,4857400:4857419|offset_31|00cc00,4857378:4857397|offset_53|444444,4857349:4857368|offset_82|444444&amp;v=4857220:4857568&amp;c=444444", "offset 31")</f>
        <v>offset 31</v>
      </c>
    </row>
    <row r="15717" customFormat="false" ht="12.8" hidden="false" customHeight="false" outlineLevel="0" collapsed="false">
      <c r="A15717" s="0" t="s">
        <v>12</v>
      </c>
      <c r="B15717" s="0" t="n">
        <v>4857377</v>
      </c>
      <c r="C15717" s="0" t="n">
        <v>4857397</v>
      </c>
      <c r="D15717" s="0" t="s">
        <v>52245</v>
      </c>
      <c r="E15717" s="0" t="s">
        <v>75</v>
      </c>
      <c r="F15717" s="0" t="s">
        <v>90</v>
      </c>
      <c r="G15717" s="0" t="s">
        <v>20</v>
      </c>
      <c r="H15717" s="0" t="n">
        <v>53</v>
      </c>
      <c r="I15717" s="0" t="s">
        <v>52252</v>
      </c>
      <c r="J15717" s="0" t="s">
        <v>52253</v>
      </c>
      <c r="K15717" s="0" t="s">
        <v>52254</v>
      </c>
      <c r="L15717" s="0" t="str">
        <f aca="false">HYPERLINK("https://www.ncbi.nlm.nih.gov/nuccore/CP000058.1?report=graph&amp;tracks=[key:gene_model_track,Options:GeneOnly]&amp;mk=4857421:4857440|offset_10|444444,4857400:4857419|offset_31|444444,4857378:4857397|offset_53|00cc00,4857349:4857368|offset_82|444444&amp;v=4857220:4857568&amp;c=444444", "offset 53")</f>
        <v>offset 53</v>
      </c>
    </row>
    <row r="15718" customFormat="false" ht="12.8" hidden="false" customHeight="false" outlineLevel="0" collapsed="false">
      <c r="A15718" s="0" t="s">
        <v>12</v>
      </c>
      <c r="B15718" s="0" t="n">
        <v>4857348</v>
      </c>
      <c r="C15718" s="0" t="n">
        <v>4857368</v>
      </c>
      <c r="D15718" s="0" t="s">
        <v>52245</v>
      </c>
      <c r="E15718" s="0" t="s">
        <v>75</v>
      </c>
      <c r="F15718" s="0" t="s">
        <v>90</v>
      </c>
      <c r="G15718" s="0" t="s">
        <v>16</v>
      </c>
      <c r="H15718" s="0" t="n">
        <v>82</v>
      </c>
      <c r="I15718" s="0" t="s">
        <v>52255</v>
      </c>
      <c r="J15718" s="0" t="s">
        <v>52256</v>
      </c>
      <c r="K15718" s="0" t="s">
        <v>52257</v>
      </c>
      <c r="L15718" s="0" t="str">
        <f aca="false">HYPERLINK("https://www.ncbi.nlm.nih.gov/nuccore/CP000058.1?report=graph&amp;tracks=[key:gene_model_track,Options:GeneOnly]&amp;mk=4857421:4857440|offset_10|444444,4857400:4857419|offset_31|444444,4857378:4857397|offset_53|444444,4857349:4857368|offset_82|00cc00&amp;v=4857220:4857568&amp;c=444444", "offset 82")</f>
        <v>offset 82</v>
      </c>
    </row>
    <row r="15719" customFormat="false" ht="12.8" hidden="false" customHeight="false" outlineLevel="0" collapsed="false">
      <c r="A15719" s="0" t="s">
        <v>12</v>
      </c>
      <c r="B15719" s="0" t="n">
        <v>4857659</v>
      </c>
      <c r="C15719" s="0" t="n">
        <v>4857679</v>
      </c>
      <c r="D15719" s="0" t="s">
        <v>52258</v>
      </c>
      <c r="E15719" s="0" t="s">
        <v>75</v>
      </c>
      <c r="F15719" s="0" t="s">
        <v>15</v>
      </c>
      <c r="G15719" s="0" t="s">
        <v>36</v>
      </c>
      <c r="H15719" s="0" t="n">
        <v>17</v>
      </c>
      <c r="I15719" s="0" t="s">
        <v>52259</v>
      </c>
      <c r="J15719" s="0" t="s">
        <v>52260</v>
      </c>
      <c r="K15719" s="0" t="s">
        <v>52261</v>
      </c>
      <c r="L15719" s="0" t="str">
        <f aca="false">HYPERLINK("https://www.ncbi.nlm.nih.gov/nuccore/CP000058.1?report=graph&amp;tracks=[key:gene_model_track,Options:GeneOnly]&amp;mk=4857660:4857679|offset_17|00cc00,4857686:4857705|offset_43|444444,4857706:4857725|offset_63|444444,4857726:4857745|offset_83|444444&amp;v=4857459:4857945&amp;c=444444", "offset 17")</f>
        <v>offset 17</v>
      </c>
    </row>
    <row r="15720" customFormat="false" ht="12.8" hidden="false" customHeight="false" outlineLevel="0" collapsed="false">
      <c r="A15720" s="0" t="s">
        <v>12</v>
      </c>
      <c r="B15720" s="0" t="n">
        <v>4857685</v>
      </c>
      <c r="C15720" s="0" t="n">
        <v>4857705</v>
      </c>
      <c r="D15720" s="0" t="s">
        <v>52258</v>
      </c>
      <c r="E15720" s="0" t="s">
        <v>75</v>
      </c>
      <c r="F15720" s="0" t="s">
        <v>15</v>
      </c>
      <c r="G15720" s="0" t="s">
        <v>16</v>
      </c>
      <c r="H15720" s="0" t="n">
        <v>43</v>
      </c>
      <c r="I15720" s="0" t="s">
        <v>52262</v>
      </c>
      <c r="J15720" s="0" t="s">
        <v>52263</v>
      </c>
      <c r="K15720" s="0" t="s">
        <v>52264</v>
      </c>
      <c r="L15720" s="0" t="str">
        <f aca="false">HYPERLINK("https://www.ncbi.nlm.nih.gov/nuccore/CP000058.1?report=graph&amp;tracks=[key:gene_model_track,Options:GeneOnly]&amp;mk=4857660:4857679|offset_17|444444,4857686:4857705|offset_43|00cc00,4857706:4857725|offset_63|444444,4857726:4857745|offset_83|444444&amp;v=4857459:4857945&amp;c=444444", "offset 43")</f>
        <v>offset 43</v>
      </c>
    </row>
    <row r="15721" customFormat="false" ht="12.8" hidden="false" customHeight="false" outlineLevel="0" collapsed="false">
      <c r="A15721" s="0" t="s">
        <v>12</v>
      </c>
      <c r="B15721" s="0" t="n">
        <v>4857705</v>
      </c>
      <c r="C15721" s="0" t="n">
        <v>4857725</v>
      </c>
      <c r="D15721" s="0" t="s">
        <v>52258</v>
      </c>
      <c r="E15721" s="0" t="s">
        <v>75</v>
      </c>
      <c r="F15721" s="0" t="s">
        <v>15</v>
      </c>
      <c r="G15721" s="0" t="s">
        <v>16</v>
      </c>
      <c r="H15721" s="0" t="n">
        <v>63</v>
      </c>
      <c r="I15721" s="0" t="s">
        <v>52265</v>
      </c>
      <c r="J15721" s="0" t="s">
        <v>52266</v>
      </c>
      <c r="K15721" s="0" t="s">
        <v>52267</v>
      </c>
      <c r="L15721" s="0" t="str">
        <f aca="false">HYPERLINK("https://www.ncbi.nlm.nih.gov/nuccore/CP000058.1?report=graph&amp;tracks=[key:gene_model_track,Options:GeneOnly]&amp;mk=4857660:4857679|offset_17|444444,4857686:4857705|offset_43|444444,4857706:4857725|offset_63|00cc00,4857726:4857745|offset_83|444444&amp;v=4857459:4857945&amp;c=444444", "offset 63")</f>
        <v>offset 63</v>
      </c>
    </row>
    <row r="15722" customFormat="false" ht="12.8" hidden="false" customHeight="false" outlineLevel="0" collapsed="false">
      <c r="A15722" s="0" t="s">
        <v>12</v>
      </c>
      <c r="B15722" s="0" t="n">
        <v>4857725</v>
      </c>
      <c r="C15722" s="0" t="n">
        <v>4857745</v>
      </c>
      <c r="D15722" s="0" t="s">
        <v>52258</v>
      </c>
      <c r="E15722" s="0" t="s">
        <v>75</v>
      </c>
      <c r="F15722" s="0" t="s">
        <v>15</v>
      </c>
      <c r="G15722" s="0" t="s">
        <v>16</v>
      </c>
      <c r="H15722" s="0" t="n">
        <v>83</v>
      </c>
      <c r="I15722" s="0" t="s">
        <v>52268</v>
      </c>
      <c r="J15722" s="0" t="s">
        <v>52269</v>
      </c>
      <c r="K15722" s="0" t="s">
        <v>52270</v>
      </c>
      <c r="L15722" s="0" t="str">
        <f aca="false">HYPERLINK("https://www.ncbi.nlm.nih.gov/nuccore/CP000058.1?report=graph&amp;tracks=[key:gene_model_track,Options:GeneOnly]&amp;mk=4857660:4857679|offset_17|444444,4857686:4857705|offset_43|444444,4857706:4857725|offset_63|444444,4857726:4857745|offset_83|00cc00&amp;v=4857459:4857945&amp;c=444444", "offset 83")</f>
        <v>offset 83</v>
      </c>
    </row>
    <row r="15723" customFormat="false" ht="12.8" hidden="false" customHeight="false" outlineLevel="0" collapsed="false">
      <c r="A15723" s="0" t="s">
        <v>12</v>
      </c>
      <c r="B15723" s="0" t="n">
        <v>4858378</v>
      </c>
      <c r="C15723" s="0" t="n">
        <v>4858398</v>
      </c>
      <c r="D15723" s="0" t="s">
        <v>52271</v>
      </c>
      <c r="E15723" s="0" t="s">
        <v>75</v>
      </c>
      <c r="F15723" s="0" t="s">
        <v>15</v>
      </c>
      <c r="G15723" s="0" t="s">
        <v>16</v>
      </c>
      <c r="H15723" s="0" t="n">
        <v>42</v>
      </c>
      <c r="I15723" s="0" t="s">
        <v>52272</v>
      </c>
      <c r="J15723" s="0" t="s">
        <v>52273</v>
      </c>
      <c r="K15723" s="0" t="s">
        <v>52274</v>
      </c>
      <c r="L15723" s="0" t="str">
        <f aca="false">HYPERLINK("https://www.ncbi.nlm.nih.gov/nuccore/CP000058.1?report=graph&amp;tracks=[key:gene_model_track,Options:GeneOnly]&amp;mk=4858379:4858398|offset_42|00cc00,4858461:4858480|offset_124|444444,4858494:4858513|offset_157|444444,4858517:4858536|offset_180|444444&amp;v=4858178:4858736&amp;c=444444", "offset 42")</f>
        <v>offset 42</v>
      </c>
    </row>
    <row r="15724" customFormat="false" ht="12.8" hidden="false" customHeight="false" outlineLevel="0" collapsed="false">
      <c r="A15724" s="0" t="s">
        <v>12</v>
      </c>
      <c r="B15724" s="0" t="n">
        <v>4858460</v>
      </c>
      <c r="C15724" s="0" t="n">
        <v>4858480</v>
      </c>
      <c r="D15724" s="0" t="s">
        <v>52271</v>
      </c>
      <c r="E15724" s="0" t="s">
        <v>75</v>
      </c>
      <c r="F15724" s="0" t="s">
        <v>15</v>
      </c>
      <c r="G15724" s="0" t="s">
        <v>32</v>
      </c>
      <c r="H15724" s="0" t="n">
        <v>124</v>
      </c>
      <c r="I15724" s="0" t="s">
        <v>52275</v>
      </c>
      <c r="J15724" s="0" t="s">
        <v>52276</v>
      </c>
      <c r="K15724" s="0" t="s">
        <v>52277</v>
      </c>
      <c r="L15724" s="0" t="str">
        <f aca="false">HYPERLINK("https://www.ncbi.nlm.nih.gov/nuccore/CP000058.1?report=graph&amp;tracks=[key:gene_model_track,Options:GeneOnly]&amp;mk=4858379:4858398|offset_42|444444,4858461:4858480|offset_124|00cc00,4858494:4858513|offset_157|444444,4858517:4858536|offset_180|444444&amp;v=4858178:4858736&amp;c=444444", "offset 124")</f>
        <v>offset 124</v>
      </c>
    </row>
    <row r="15725" customFormat="false" ht="12.8" hidden="false" customHeight="false" outlineLevel="0" collapsed="false">
      <c r="A15725" s="0" t="s">
        <v>12</v>
      </c>
      <c r="B15725" s="0" t="n">
        <v>4858493</v>
      </c>
      <c r="C15725" s="0" t="n">
        <v>4858513</v>
      </c>
      <c r="D15725" s="0" t="s">
        <v>52271</v>
      </c>
      <c r="E15725" s="0" t="s">
        <v>75</v>
      </c>
      <c r="F15725" s="0" t="s">
        <v>15</v>
      </c>
      <c r="G15725" s="0" t="s">
        <v>32</v>
      </c>
      <c r="H15725" s="0" t="n">
        <v>157</v>
      </c>
      <c r="I15725" s="0" t="s">
        <v>52278</v>
      </c>
      <c r="J15725" s="0" t="s">
        <v>52279</v>
      </c>
      <c r="K15725" s="0" t="s">
        <v>52280</v>
      </c>
      <c r="L15725" s="0" t="str">
        <f aca="false">HYPERLINK("https://www.ncbi.nlm.nih.gov/nuccore/CP000058.1?report=graph&amp;tracks=[key:gene_model_track,Options:GeneOnly]&amp;mk=4858379:4858398|offset_42|444444,4858461:4858480|offset_124|444444,4858494:4858513|offset_157|00cc00,4858517:4858536|offset_180|444444&amp;v=4858178:4858736&amp;c=444444", "offset 157")</f>
        <v>offset 157</v>
      </c>
    </row>
    <row r="15726" customFormat="false" ht="12.8" hidden="false" customHeight="false" outlineLevel="0" collapsed="false">
      <c r="A15726" s="0" t="s">
        <v>12</v>
      </c>
      <c r="B15726" s="0" t="n">
        <v>4858516</v>
      </c>
      <c r="C15726" s="0" t="n">
        <v>4858536</v>
      </c>
      <c r="D15726" s="0" t="s">
        <v>52271</v>
      </c>
      <c r="E15726" s="0" t="s">
        <v>75</v>
      </c>
      <c r="F15726" s="0" t="s">
        <v>15</v>
      </c>
      <c r="G15726" s="0" t="s">
        <v>16</v>
      </c>
      <c r="H15726" s="0" t="n">
        <v>180</v>
      </c>
      <c r="I15726" s="0" t="s">
        <v>52281</v>
      </c>
      <c r="J15726" s="0" t="s">
        <v>52282</v>
      </c>
      <c r="K15726" s="0" t="s">
        <v>52283</v>
      </c>
      <c r="L15726" s="0" t="str">
        <f aca="false">HYPERLINK("https://www.ncbi.nlm.nih.gov/nuccore/CP000058.1?report=graph&amp;tracks=[key:gene_model_track,Options:GeneOnly]&amp;mk=4858379:4858398|offset_42|444444,4858461:4858480|offset_124|444444,4858494:4858513|offset_157|444444,4858517:4858536|offset_180|00cc00&amp;v=4858178:4858736&amp;c=444444", "offset 180")</f>
        <v>offset 180</v>
      </c>
    </row>
    <row r="15727" customFormat="false" ht="12.8" hidden="false" customHeight="false" outlineLevel="0" collapsed="false">
      <c r="A15727" s="0" t="s">
        <v>12</v>
      </c>
      <c r="B15727" s="0" t="n">
        <v>4860284</v>
      </c>
      <c r="C15727" s="0" t="n">
        <v>4860304</v>
      </c>
      <c r="D15727" s="0" t="s">
        <v>52284</v>
      </c>
      <c r="E15727" s="0" t="s">
        <v>75</v>
      </c>
      <c r="F15727" s="0" t="s">
        <v>15</v>
      </c>
      <c r="G15727" s="0" t="s">
        <v>36</v>
      </c>
      <c r="H15727" s="0" t="n">
        <v>18</v>
      </c>
      <c r="I15727" s="0" t="s">
        <v>52285</v>
      </c>
      <c r="J15727" s="0" t="s">
        <v>52286</v>
      </c>
      <c r="K15727" s="0" t="s">
        <v>52287</v>
      </c>
      <c r="L15727" s="0" t="str">
        <f aca="false">HYPERLINK("https://www.ncbi.nlm.nih.gov/nuccore/CP000058.1?report=graph&amp;tracks=[key:gene_model_track,Options:GeneOnly]&amp;mk=4860285:4860304|offset_18|00cc00,4860326:4860345|offset_59|444444,4860358:4860377|offset_91|444444,4860397:4860416|offset_130|444444&amp;v=4860084:4860616&amp;c=444444", "offset 18")</f>
        <v>offset 18</v>
      </c>
    </row>
    <row r="15728" customFormat="false" ht="12.8" hidden="false" customHeight="false" outlineLevel="0" collapsed="false">
      <c r="A15728" s="0" t="s">
        <v>12</v>
      </c>
      <c r="B15728" s="0" t="n">
        <v>4860325</v>
      </c>
      <c r="C15728" s="0" t="n">
        <v>4860345</v>
      </c>
      <c r="D15728" s="0" t="s">
        <v>52284</v>
      </c>
      <c r="E15728" s="0" t="s">
        <v>75</v>
      </c>
      <c r="F15728" s="0" t="s">
        <v>15</v>
      </c>
      <c r="G15728" s="0" t="s">
        <v>36</v>
      </c>
      <c r="H15728" s="0" t="n">
        <v>59</v>
      </c>
      <c r="I15728" s="0" t="s">
        <v>52288</v>
      </c>
      <c r="J15728" s="0" t="s">
        <v>52289</v>
      </c>
      <c r="K15728" s="0" t="s">
        <v>52290</v>
      </c>
      <c r="L15728" s="0" t="str">
        <f aca="false">HYPERLINK("https://www.ncbi.nlm.nih.gov/nuccore/CP000058.1?report=graph&amp;tracks=[key:gene_model_track,Options:GeneOnly]&amp;mk=4860285:4860304|offset_18|444444,4860326:4860345|offset_59|00cc00,4860358:4860377|offset_91|444444,4860397:4860416|offset_130|444444&amp;v=4860084:4860616&amp;c=444444", "offset 59")</f>
        <v>offset 59</v>
      </c>
    </row>
    <row r="15729" customFormat="false" ht="12.8" hidden="false" customHeight="false" outlineLevel="0" collapsed="false">
      <c r="A15729" s="0" t="s">
        <v>12</v>
      </c>
      <c r="B15729" s="0" t="n">
        <v>4860357</v>
      </c>
      <c r="C15729" s="0" t="n">
        <v>4860377</v>
      </c>
      <c r="D15729" s="0" t="s">
        <v>52284</v>
      </c>
      <c r="E15729" s="0" t="s">
        <v>75</v>
      </c>
      <c r="F15729" s="0" t="s">
        <v>15</v>
      </c>
      <c r="G15729" s="0" t="s">
        <v>32</v>
      </c>
      <c r="H15729" s="0" t="n">
        <v>91</v>
      </c>
      <c r="I15729" s="0" t="s">
        <v>52291</v>
      </c>
      <c r="J15729" s="0" t="s">
        <v>52292</v>
      </c>
      <c r="K15729" s="0" t="s">
        <v>52293</v>
      </c>
      <c r="L15729" s="0" t="str">
        <f aca="false">HYPERLINK("https://www.ncbi.nlm.nih.gov/nuccore/CP000058.1?report=graph&amp;tracks=[key:gene_model_track,Options:GeneOnly]&amp;mk=4860285:4860304|offset_18|444444,4860326:4860345|offset_59|444444,4860358:4860377|offset_91|00cc00,4860397:4860416|offset_130|444444&amp;v=4860084:4860616&amp;c=444444", "offset 91")</f>
        <v>offset 91</v>
      </c>
    </row>
    <row r="15730" customFormat="false" ht="12.8" hidden="false" customHeight="false" outlineLevel="0" collapsed="false">
      <c r="A15730" s="0" t="s">
        <v>12</v>
      </c>
      <c r="B15730" s="0" t="n">
        <v>4860396</v>
      </c>
      <c r="C15730" s="0" t="n">
        <v>4860416</v>
      </c>
      <c r="D15730" s="0" t="s">
        <v>52284</v>
      </c>
      <c r="E15730" s="0" t="s">
        <v>75</v>
      </c>
      <c r="F15730" s="0" t="s">
        <v>15</v>
      </c>
      <c r="G15730" s="0" t="s">
        <v>32</v>
      </c>
      <c r="H15730" s="0" t="n">
        <v>130</v>
      </c>
      <c r="I15730" s="0" t="s">
        <v>52294</v>
      </c>
      <c r="J15730" s="0" t="s">
        <v>52295</v>
      </c>
      <c r="K15730" s="0" t="s">
        <v>52296</v>
      </c>
      <c r="L15730" s="0" t="str">
        <f aca="false">HYPERLINK("https://www.ncbi.nlm.nih.gov/nuccore/CP000058.1?report=graph&amp;tracks=[key:gene_model_track,Options:GeneOnly]&amp;mk=4860285:4860304|offset_18|444444,4860326:4860345|offset_59|444444,4860358:4860377|offset_91|444444,4860397:4860416|offset_130|00cc00&amp;v=4860084:4860616&amp;c=444444", "offset 130")</f>
        <v>offset 130</v>
      </c>
    </row>
    <row r="15731" customFormat="false" ht="12.8" hidden="false" customHeight="false" outlineLevel="0" collapsed="false">
      <c r="A15731" s="0" t="s">
        <v>12</v>
      </c>
      <c r="B15731" s="0" t="n">
        <v>4862351</v>
      </c>
      <c r="C15731" s="0" t="n">
        <v>4862371</v>
      </c>
      <c r="D15731" s="0" t="s">
        <v>52297</v>
      </c>
      <c r="E15731" s="0" t="s">
        <v>75</v>
      </c>
      <c r="F15731" s="0" t="s">
        <v>15</v>
      </c>
      <c r="G15731" s="0" t="s">
        <v>20</v>
      </c>
      <c r="H15731" s="0" t="n">
        <v>32</v>
      </c>
      <c r="I15731" s="0" t="s">
        <v>52298</v>
      </c>
      <c r="J15731" s="0" t="s">
        <v>52299</v>
      </c>
      <c r="K15731" s="0" t="s">
        <v>52300</v>
      </c>
      <c r="L15731" s="0" t="str">
        <f aca="false">HYPERLINK("https://www.ncbi.nlm.nih.gov/nuccore/CP000058.1?report=graph&amp;tracks=[key:gene_model_track,Options:GeneOnly]&amp;mk=4862352:4862371|offset_32|00cc00,4862372:4862391|offset_52|444444,4862411:4862430|offset_91|444444,4862450:4862469|offset_130|444444&amp;v=4862151:4862669&amp;c=444444", "offset 32")</f>
        <v>offset 32</v>
      </c>
    </row>
    <row r="15732" customFormat="false" ht="12.8" hidden="false" customHeight="false" outlineLevel="0" collapsed="false">
      <c r="A15732" s="0" t="s">
        <v>12</v>
      </c>
      <c r="B15732" s="0" t="n">
        <v>4862371</v>
      </c>
      <c r="C15732" s="0" t="n">
        <v>4862391</v>
      </c>
      <c r="D15732" s="0" t="s">
        <v>52297</v>
      </c>
      <c r="E15732" s="0" t="s">
        <v>75</v>
      </c>
      <c r="F15732" s="0" t="s">
        <v>15</v>
      </c>
      <c r="G15732" s="0" t="s">
        <v>36</v>
      </c>
      <c r="H15732" s="0" t="n">
        <v>52</v>
      </c>
      <c r="I15732" s="0" t="s">
        <v>52301</v>
      </c>
      <c r="J15732" s="0" t="s">
        <v>52302</v>
      </c>
      <c r="K15732" s="0" t="s">
        <v>52303</v>
      </c>
      <c r="L15732" s="0" t="str">
        <f aca="false">HYPERLINK("https://www.ncbi.nlm.nih.gov/nuccore/CP000058.1?report=graph&amp;tracks=[key:gene_model_track,Options:GeneOnly]&amp;mk=4862352:4862371|offset_32|444444,4862372:4862391|offset_52|00cc00,4862411:4862430|offset_91|444444,4862450:4862469|offset_130|444444&amp;v=4862151:4862669&amp;c=444444", "offset 52")</f>
        <v>offset 52</v>
      </c>
    </row>
    <row r="15733" customFormat="false" ht="12.8" hidden="false" customHeight="false" outlineLevel="0" collapsed="false">
      <c r="A15733" s="0" t="s">
        <v>12</v>
      </c>
      <c r="B15733" s="0" t="n">
        <v>4862410</v>
      </c>
      <c r="C15733" s="0" t="n">
        <v>4862430</v>
      </c>
      <c r="D15733" s="0" t="s">
        <v>52297</v>
      </c>
      <c r="E15733" s="0" t="s">
        <v>75</v>
      </c>
      <c r="F15733" s="0" t="s">
        <v>15</v>
      </c>
      <c r="G15733" s="0" t="s">
        <v>16</v>
      </c>
      <c r="H15733" s="0" t="n">
        <v>91</v>
      </c>
      <c r="I15733" s="0" t="s">
        <v>52304</v>
      </c>
      <c r="J15733" s="0" t="s">
        <v>52305</v>
      </c>
      <c r="K15733" s="0" t="s">
        <v>52306</v>
      </c>
      <c r="L15733" s="0" t="str">
        <f aca="false">HYPERLINK("https://www.ncbi.nlm.nih.gov/nuccore/CP000058.1?report=graph&amp;tracks=[key:gene_model_track,Options:GeneOnly]&amp;mk=4862352:4862371|offset_32|444444,4862372:4862391|offset_52|444444,4862411:4862430|offset_91|00cc00,4862450:4862469|offset_130|444444&amp;v=4862151:4862669&amp;c=444444", "offset 91")</f>
        <v>offset 91</v>
      </c>
    </row>
    <row r="15734" customFormat="false" ht="12.8" hidden="false" customHeight="false" outlineLevel="0" collapsed="false">
      <c r="A15734" s="0" t="s">
        <v>12</v>
      </c>
      <c r="B15734" s="0" t="n">
        <v>4862449</v>
      </c>
      <c r="C15734" s="0" t="n">
        <v>4862469</v>
      </c>
      <c r="D15734" s="0" t="s">
        <v>52297</v>
      </c>
      <c r="E15734" s="0" t="s">
        <v>75</v>
      </c>
      <c r="F15734" s="0" t="s">
        <v>15</v>
      </c>
      <c r="G15734" s="0" t="s">
        <v>20</v>
      </c>
      <c r="H15734" s="0" t="n">
        <v>130</v>
      </c>
      <c r="I15734" s="0" t="s">
        <v>52307</v>
      </c>
      <c r="J15734" s="0" t="s">
        <v>52308</v>
      </c>
      <c r="K15734" s="0" t="s">
        <v>52309</v>
      </c>
      <c r="L15734" s="0" t="str">
        <f aca="false">HYPERLINK("https://www.ncbi.nlm.nih.gov/nuccore/CP000058.1?report=graph&amp;tracks=[key:gene_model_track,Options:GeneOnly]&amp;mk=4862352:4862371|offset_32|444444,4862372:4862391|offset_52|444444,4862411:4862430|offset_91|444444,4862450:4862469|offset_130|00cc00&amp;v=4862151:4862669&amp;c=444444", "offset 130")</f>
        <v>offset 130</v>
      </c>
    </row>
    <row r="15735" customFormat="false" ht="12.8" hidden="false" customHeight="false" outlineLevel="0" collapsed="false">
      <c r="A15735" s="0" t="s">
        <v>12</v>
      </c>
      <c r="B15735" s="0" t="n">
        <v>4864098</v>
      </c>
      <c r="C15735" s="0" t="n">
        <v>4864118</v>
      </c>
      <c r="D15735" s="0" t="s">
        <v>52310</v>
      </c>
      <c r="E15735" s="0" t="s">
        <v>75</v>
      </c>
      <c r="F15735" s="0" t="s">
        <v>15</v>
      </c>
      <c r="G15735" s="0" t="s">
        <v>20</v>
      </c>
      <c r="H15735" s="0" t="n">
        <v>31</v>
      </c>
      <c r="I15735" s="0" t="s">
        <v>52311</v>
      </c>
      <c r="J15735" s="0" t="s">
        <v>52312</v>
      </c>
      <c r="K15735" s="0" t="s">
        <v>52313</v>
      </c>
      <c r="L15735" s="0" t="str">
        <f aca="false">HYPERLINK("https://www.ncbi.nlm.nih.gov/nuccore/CP000058.1?report=graph&amp;tracks=[key:gene_model_track,Options:GeneOnly]&amp;mk=4864099:4864118|offset_31|00cc00,4864140:4864159|offset_72|444444,4864161:4864180|offset_93|444444,4864192:4864211|offset_124|444444&amp;v=4863898:4864411&amp;c=444444", "offset 31")</f>
        <v>offset 31</v>
      </c>
    </row>
    <row r="15736" customFormat="false" ht="12.8" hidden="false" customHeight="false" outlineLevel="0" collapsed="false">
      <c r="A15736" s="0" t="s">
        <v>12</v>
      </c>
      <c r="B15736" s="0" t="n">
        <v>4864139</v>
      </c>
      <c r="C15736" s="0" t="n">
        <v>4864159</v>
      </c>
      <c r="D15736" s="0" t="s">
        <v>52310</v>
      </c>
      <c r="E15736" s="0" t="s">
        <v>75</v>
      </c>
      <c r="F15736" s="0" t="s">
        <v>15</v>
      </c>
      <c r="G15736" s="0" t="s">
        <v>32</v>
      </c>
      <c r="H15736" s="0" t="n">
        <v>72</v>
      </c>
      <c r="I15736" s="0" t="s">
        <v>52314</v>
      </c>
      <c r="J15736" s="0" t="s">
        <v>52315</v>
      </c>
      <c r="K15736" s="0" t="s">
        <v>52316</v>
      </c>
      <c r="L15736" s="0" t="str">
        <f aca="false">HYPERLINK("https://www.ncbi.nlm.nih.gov/nuccore/CP000058.1?report=graph&amp;tracks=[key:gene_model_track,Options:GeneOnly]&amp;mk=4864099:4864118|offset_31|444444,4864140:4864159|offset_72|00cc00,4864161:4864180|offset_93|444444,4864192:4864211|offset_124|444444&amp;v=4863898:4864411&amp;c=444444", "offset 72")</f>
        <v>offset 72</v>
      </c>
    </row>
    <row r="15737" customFormat="false" ht="12.8" hidden="false" customHeight="false" outlineLevel="0" collapsed="false">
      <c r="A15737" s="0" t="s">
        <v>12</v>
      </c>
      <c r="B15737" s="0" t="n">
        <v>4864160</v>
      </c>
      <c r="C15737" s="0" t="n">
        <v>4864180</v>
      </c>
      <c r="D15737" s="0" t="s">
        <v>52310</v>
      </c>
      <c r="E15737" s="0" t="s">
        <v>75</v>
      </c>
      <c r="F15737" s="0" t="s">
        <v>15</v>
      </c>
      <c r="G15737" s="0" t="s">
        <v>16</v>
      </c>
      <c r="H15737" s="0" t="n">
        <v>93</v>
      </c>
      <c r="I15737" s="0" t="s">
        <v>52317</v>
      </c>
      <c r="J15737" s="0" t="s">
        <v>52318</v>
      </c>
      <c r="K15737" s="0" t="s">
        <v>52319</v>
      </c>
      <c r="L15737" s="0" t="str">
        <f aca="false">HYPERLINK("https://www.ncbi.nlm.nih.gov/nuccore/CP000058.1?report=graph&amp;tracks=[key:gene_model_track,Options:GeneOnly]&amp;mk=4864099:4864118|offset_31|444444,4864140:4864159|offset_72|444444,4864161:4864180|offset_93|00cc00,4864192:4864211|offset_124|444444&amp;v=4863898:4864411&amp;c=444444", "offset 93")</f>
        <v>offset 93</v>
      </c>
    </row>
    <row r="15738" customFormat="false" ht="12.8" hidden="false" customHeight="false" outlineLevel="0" collapsed="false">
      <c r="A15738" s="0" t="s">
        <v>12</v>
      </c>
      <c r="B15738" s="0" t="n">
        <v>4864191</v>
      </c>
      <c r="C15738" s="0" t="n">
        <v>4864211</v>
      </c>
      <c r="D15738" s="0" t="s">
        <v>52310</v>
      </c>
      <c r="E15738" s="0" t="s">
        <v>75</v>
      </c>
      <c r="F15738" s="0" t="s">
        <v>15</v>
      </c>
      <c r="G15738" s="0" t="s">
        <v>16</v>
      </c>
      <c r="H15738" s="0" t="n">
        <v>124</v>
      </c>
      <c r="I15738" s="0" t="s">
        <v>52320</v>
      </c>
      <c r="J15738" s="0" t="s">
        <v>52321</v>
      </c>
      <c r="K15738" s="0" t="s">
        <v>52322</v>
      </c>
      <c r="L15738" s="0" t="str">
        <f aca="false">HYPERLINK("https://www.ncbi.nlm.nih.gov/nuccore/CP000058.1?report=graph&amp;tracks=[key:gene_model_track,Options:GeneOnly]&amp;mk=4864099:4864118|offset_31|444444,4864140:4864159|offset_72|444444,4864161:4864180|offset_93|444444,4864192:4864211|offset_124|00cc00&amp;v=4863898:4864411&amp;c=444444", "offset 124")</f>
        <v>offset 124</v>
      </c>
    </row>
    <row r="15739" customFormat="false" ht="12.8" hidden="false" customHeight="false" outlineLevel="0" collapsed="false">
      <c r="A15739" s="0" t="s">
        <v>12</v>
      </c>
      <c r="B15739" s="0" t="n">
        <v>4865599</v>
      </c>
      <c r="C15739" s="0" t="n">
        <v>4865619</v>
      </c>
      <c r="D15739" s="0" t="s">
        <v>52323</v>
      </c>
      <c r="E15739" s="0" t="s">
        <v>75</v>
      </c>
      <c r="F15739" s="0" t="s">
        <v>15</v>
      </c>
      <c r="G15739" s="0" t="s">
        <v>36</v>
      </c>
      <c r="H15739" s="0" t="n">
        <v>34</v>
      </c>
      <c r="I15739" s="0" t="s">
        <v>52324</v>
      </c>
      <c r="J15739" s="0" t="s">
        <v>52325</v>
      </c>
      <c r="K15739" s="0" t="s">
        <v>52326</v>
      </c>
      <c r="L15739" s="0" t="str">
        <f aca="false">HYPERLINK("https://www.ncbi.nlm.nih.gov/nuccore/CP000058.1?report=graph&amp;tracks=[key:gene_model_track,Options:GeneOnly]&amp;mk=4865600:4865619|offset_34|00cc00,4865621:4865640|offset_55|444444,4865641:4865660|offset_75|444444,4865663:4865682|offset_97|444444&amp;v=4865399:4865882&amp;c=444444", "offset 34")</f>
        <v>offset 34</v>
      </c>
    </row>
    <row r="15740" customFormat="false" ht="12.8" hidden="false" customHeight="false" outlineLevel="0" collapsed="false">
      <c r="A15740" s="0" t="s">
        <v>12</v>
      </c>
      <c r="B15740" s="0" t="n">
        <v>4865620</v>
      </c>
      <c r="C15740" s="0" t="n">
        <v>4865640</v>
      </c>
      <c r="D15740" s="0" t="s">
        <v>52323</v>
      </c>
      <c r="E15740" s="0" t="s">
        <v>75</v>
      </c>
      <c r="F15740" s="0" t="s">
        <v>15</v>
      </c>
      <c r="G15740" s="0" t="s">
        <v>16</v>
      </c>
      <c r="H15740" s="0" t="n">
        <v>55</v>
      </c>
      <c r="I15740" s="0" t="s">
        <v>52327</v>
      </c>
      <c r="J15740" s="0" t="s">
        <v>52328</v>
      </c>
      <c r="K15740" s="0" t="s">
        <v>52329</v>
      </c>
      <c r="L15740" s="0" t="str">
        <f aca="false">HYPERLINK("https://www.ncbi.nlm.nih.gov/nuccore/CP000058.1?report=graph&amp;tracks=[key:gene_model_track,Options:GeneOnly]&amp;mk=4865600:4865619|offset_34|444444,4865621:4865640|offset_55|00cc00,4865641:4865660|offset_75|444444,4865663:4865682|offset_97|444444&amp;v=4865399:4865882&amp;c=444444", "offset 55")</f>
        <v>offset 55</v>
      </c>
    </row>
    <row r="15741" customFormat="false" ht="12.8" hidden="false" customHeight="false" outlineLevel="0" collapsed="false">
      <c r="A15741" s="0" t="s">
        <v>12</v>
      </c>
      <c r="B15741" s="0" t="n">
        <v>4865640</v>
      </c>
      <c r="C15741" s="0" t="n">
        <v>4865660</v>
      </c>
      <c r="D15741" s="0" t="s">
        <v>52323</v>
      </c>
      <c r="E15741" s="0" t="s">
        <v>75</v>
      </c>
      <c r="F15741" s="0" t="s">
        <v>15</v>
      </c>
      <c r="G15741" s="0" t="s">
        <v>36</v>
      </c>
      <c r="H15741" s="0" t="n">
        <v>75</v>
      </c>
      <c r="I15741" s="0" t="s">
        <v>52330</v>
      </c>
      <c r="J15741" s="0" t="s">
        <v>52331</v>
      </c>
      <c r="K15741" s="0" t="s">
        <v>52332</v>
      </c>
      <c r="L15741" s="0" t="str">
        <f aca="false">HYPERLINK("https://www.ncbi.nlm.nih.gov/nuccore/CP000058.1?report=graph&amp;tracks=[key:gene_model_track,Options:GeneOnly]&amp;mk=4865600:4865619|offset_34|444444,4865621:4865640|offset_55|444444,4865641:4865660|offset_75|00cc00,4865663:4865682|offset_97|444444&amp;v=4865399:4865882&amp;c=444444", "offset 75")</f>
        <v>offset 75</v>
      </c>
    </row>
    <row r="15742" customFormat="false" ht="12.8" hidden="false" customHeight="false" outlineLevel="0" collapsed="false">
      <c r="A15742" s="0" t="s">
        <v>12</v>
      </c>
      <c r="B15742" s="0" t="n">
        <v>4865662</v>
      </c>
      <c r="C15742" s="0" t="n">
        <v>4865682</v>
      </c>
      <c r="D15742" s="0" t="s">
        <v>52323</v>
      </c>
      <c r="E15742" s="0" t="s">
        <v>75</v>
      </c>
      <c r="F15742" s="0" t="s">
        <v>15</v>
      </c>
      <c r="G15742" s="0" t="s">
        <v>32</v>
      </c>
      <c r="H15742" s="0" t="n">
        <v>97</v>
      </c>
      <c r="I15742" s="0" t="s">
        <v>52333</v>
      </c>
      <c r="J15742" s="0" t="s">
        <v>52334</v>
      </c>
      <c r="K15742" s="0" t="s">
        <v>52335</v>
      </c>
      <c r="L15742" s="0" t="str">
        <f aca="false">HYPERLINK("https://www.ncbi.nlm.nih.gov/nuccore/CP000058.1?report=graph&amp;tracks=[key:gene_model_track,Options:GeneOnly]&amp;mk=4865600:4865619|offset_34|444444,4865621:4865640|offset_55|444444,4865641:4865660|offset_75|444444,4865663:4865682|offset_97|00cc00&amp;v=4865399:4865882&amp;c=444444", "offset 97")</f>
        <v>offset 97</v>
      </c>
    </row>
    <row r="15743" customFormat="false" ht="12.8" hidden="false" customHeight="false" outlineLevel="0" collapsed="false">
      <c r="A15743" s="0" t="s">
        <v>12</v>
      </c>
      <c r="B15743" s="0" t="n">
        <v>4867254</v>
      </c>
      <c r="C15743" s="0" t="n">
        <v>4867274</v>
      </c>
      <c r="D15743" s="0" t="s">
        <v>52336</v>
      </c>
      <c r="E15743" s="0" t="s">
        <v>75</v>
      </c>
      <c r="F15743" s="0" t="s">
        <v>15</v>
      </c>
      <c r="G15743" s="0" t="s">
        <v>36</v>
      </c>
      <c r="H15743" s="0" t="n">
        <v>19</v>
      </c>
      <c r="I15743" s="0" t="s">
        <v>52337</v>
      </c>
      <c r="J15743" s="0" t="s">
        <v>52338</v>
      </c>
      <c r="K15743" s="0" t="s">
        <v>52339</v>
      </c>
      <c r="L15743" s="0" t="str">
        <f aca="false">HYPERLINK("https://www.ncbi.nlm.nih.gov/nuccore/CP000058.1?report=graph&amp;tracks=[key:gene_model_track,Options:GeneOnly]&amp;mk=4867255:4867274|offset_19|00cc00,4867278:4867297|offset_42|444444,4867306:4867325|offset_70|444444,4867329:4867348|offset_93|444444&amp;v=4867054:4867548&amp;c=444444", "offset 19")</f>
        <v>offset 19</v>
      </c>
    </row>
    <row r="15744" customFormat="false" ht="12.8" hidden="false" customHeight="false" outlineLevel="0" collapsed="false">
      <c r="A15744" s="0" t="s">
        <v>12</v>
      </c>
      <c r="B15744" s="0" t="n">
        <v>4867277</v>
      </c>
      <c r="C15744" s="0" t="n">
        <v>4867297</v>
      </c>
      <c r="D15744" s="0" t="s">
        <v>52336</v>
      </c>
      <c r="E15744" s="0" t="s">
        <v>75</v>
      </c>
      <c r="F15744" s="0" t="s">
        <v>15</v>
      </c>
      <c r="G15744" s="0" t="s">
        <v>36</v>
      </c>
      <c r="H15744" s="0" t="n">
        <v>42</v>
      </c>
      <c r="I15744" s="0" t="s">
        <v>52340</v>
      </c>
      <c r="J15744" s="0" t="s">
        <v>52341</v>
      </c>
      <c r="K15744" s="0" t="s">
        <v>52342</v>
      </c>
      <c r="L15744" s="0" t="str">
        <f aca="false">HYPERLINK("https://www.ncbi.nlm.nih.gov/nuccore/CP000058.1?report=graph&amp;tracks=[key:gene_model_track,Options:GeneOnly]&amp;mk=4867255:4867274|offset_19|444444,4867278:4867297|offset_42|00cc00,4867306:4867325|offset_70|444444,4867329:4867348|offset_93|444444&amp;v=4867054:4867548&amp;c=444444", "offset 42")</f>
        <v>offset 42</v>
      </c>
    </row>
    <row r="15745" customFormat="false" ht="12.8" hidden="false" customHeight="false" outlineLevel="0" collapsed="false">
      <c r="A15745" s="0" t="s">
        <v>12</v>
      </c>
      <c r="B15745" s="0" t="n">
        <v>4867305</v>
      </c>
      <c r="C15745" s="0" t="n">
        <v>4867325</v>
      </c>
      <c r="D15745" s="0" t="s">
        <v>52336</v>
      </c>
      <c r="E15745" s="0" t="s">
        <v>75</v>
      </c>
      <c r="F15745" s="0" t="s">
        <v>15</v>
      </c>
      <c r="G15745" s="0" t="s">
        <v>20</v>
      </c>
      <c r="H15745" s="0" t="n">
        <v>70</v>
      </c>
      <c r="I15745" s="0" t="s">
        <v>52343</v>
      </c>
      <c r="J15745" s="0" t="s">
        <v>52344</v>
      </c>
      <c r="K15745" s="0" t="s">
        <v>52345</v>
      </c>
      <c r="L15745" s="0" t="str">
        <f aca="false">HYPERLINK("https://www.ncbi.nlm.nih.gov/nuccore/CP000058.1?report=graph&amp;tracks=[key:gene_model_track,Options:GeneOnly]&amp;mk=4867255:4867274|offset_19|444444,4867278:4867297|offset_42|444444,4867306:4867325|offset_70|00cc00,4867329:4867348|offset_93|444444&amp;v=4867054:4867548&amp;c=444444", "offset 70")</f>
        <v>offset 70</v>
      </c>
    </row>
    <row r="15746" customFormat="false" ht="12.8" hidden="false" customHeight="false" outlineLevel="0" collapsed="false">
      <c r="A15746" s="0" t="s">
        <v>12</v>
      </c>
      <c r="B15746" s="0" t="n">
        <v>4867328</v>
      </c>
      <c r="C15746" s="0" t="n">
        <v>4867348</v>
      </c>
      <c r="D15746" s="0" t="s">
        <v>52336</v>
      </c>
      <c r="E15746" s="0" t="s">
        <v>75</v>
      </c>
      <c r="F15746" s="0" t="s">
        <v>15</v>
      </c>
      <c r="G15746" s="0" t="s">
        <v>16</v>
      </c>
      <c r="H15746" s="0" t="n">
        <v>93</v>
      </c>
      <c r="I15746" s="0" t="s">
        <v>52346</v>
      </c>
      <c r="J15746" s="0" t="s">
        <v>52347</v>
      </c>
      <c r="K15746" s="0" t="s">
        <v>52348</v>
      </c>
      <c r="L15746" s="0" t="str">
        <f aca="false">HYPERLINK("https://www.ncbi.nlm.nih.gov/nuccore/CP000058.1?report=graph&amp;tracks=[key:gene_model_track,Options:GeneOnly]&amp;mk=4867255:4867274|offset_19|444444,4867278:4867297|offset_42|444444,4867306:4867325|offset_70|444444,4867329:4867348|offset_93|00cc00&amp;v=4867054:4867548&amp;c=444444", "offset 93")</f>
        <v>offset 93</v>
      </c>
    </row>
    <row r="15747" customFormat="false" ht="12.8" hidden="false" customHeight="false" outlineLevel="0" collapsed="false">
      <c r="A15747" s="0" t="s">
        <v>12</v>
      </c>
      <c r="B15747" s="0" t="n">
        <v>4868266</v>
      </c>
      <c r="C15747" s="0" t="n">
        <v>4868286</v>
      </c>
      <c r="D15747" s="0" t="s">
        <v>52349</v>
      </c>
      <c r="E15747" s="0" t="s">
        <v>52350</v>
      </c>
      <c r="F15747" s="0" t="s">
        <v>15</v>
      </c>
      <c r="G15747" s="0" t="s">
        <v>36</v>
      </c>
      <c r="H15747" s="0" t="n">
        <v>52</v>
      </c>
      <c r="I15747" s="0" t="s">
        <v>52351</v>
      </c>
      <c r="J15747" s="0" t="s">
        <v>52352</v>
      </c>
      <c r="K15747" s="0" t="s">
        <v>52353</v>
      </c>
      <c r="L15747" s="0" t="str">
        <f aca="false">HYPERLINK("https://www.ncbi.nlm.nih.gov/nuccore/CP000058.1?report=graph&amp;tracks=[key:gene_model_track,Options:GeneOnly]&amp;mk=4868267:4868286|offset_52|00cc00,4868298:4868317|offset_83|444444,4868363:4868382|offset_148|444444,4868399:4868418|offset_184|444444&amp;v=4868066:4868618&amp;c=444444", "offset 52")</f>
        <v>offset 52</v>
      </c>
    </row>
    <row r="15748" customFormat="false" ht="12.8" hidden="false" customHeight="false" outlineLevel="0" collapsed="false">
      <c r="A15748" s="0" t="s">
        <v>12</v>
      </c>
      <c r="B15748" s="0" t="n">
        <v>4868297</v>
      </c>
      <c r="C15748" s="0" t="n">
        <v>4868317</v>
      </c>
      <c r="D15748" s="0" t="s">
        <v>52349</v>
      </c>
      <c r="E15748" s="0" t="s">
        <v>52350</v>
      </c>
      <c r="F15748" s="0" t="s">
        <v>15</v>
      </c>
      <c r="G15748" s="0" t="s">
        <v>20</v>
      </c>
      <c r="H15748" s="0" t="n">
        <v>83</v>
      </c>
      <c r="I15748" s="0" t="s">
        <v>52354</v>
      </c>
      <c r="J15748" s="0" t="s">
        <v>52355</v>
      </c>
      <c r="K15748" s="0" t="s">
        <v>52356</v>
      </c>
      <c r="L15748" s="0" t="str">
        <f aca="false">HYPERLINK("https://www.ncbi.nlm.nih.gov/nuccore/CP000058.1?report=graph&amp;tracks=[key:gene_model_track,Options:GeneOnly]&amp;mk=4868267:4868286|offset_52|444444,4868298:4868317|offset_83|00cc00,4868363:4868382|offset_148|444444,4868399:4868418|offset_184|444444&amp;v=4868066:4868618&amp;c=444444", "offset 83")</f>
        <v>offset 83</v>
      </c>
    </row>
    <row r="15749" customFormat="false" ht="12.8" hidden="false" customHeight="false" outlineLevel="0" collapsed="false">
      <c r="A15749" s="0" t="s">
        <v>12</v>
      </c>
      <c r="B15749" s="0" t="n">
        <v>4868362</v>
      </c>
      <c r="C15749" s="0" t="n">
        <v>4868382</v>
      </c>
      <c r="D15749" s="0" t="s">
        <v>52349</v>
      </c>
      <c r="E15749" s="0" t="s">
        <v>52350</v>
      </c>
      <c r="F15749" s="0" t="s">
        <v>15</v>
      </c>
      <c r="G15749" s="0" t="s">
        <v>16</v>
      </c>
      <c r="H15749" s="0" t="n">
        <v>148</v>
      </c>
      <c r="I15749" s="0" t="s">
        <v>52357</v>
      </c>
      <c r="J15749" s="0" t="s">
        <v>52358</v>
      </c>
      <c r="K15749" s="0" t="s">
        <v>52359</v>
      </c>
      <c r="L15749" s="0" t="str">
        <f aca="false">HYPERLINK("https://www.ncbi.nlm.nih.gov/nuccore/CP000058.1?report=graph&amp;tracks=[key:gene_model_track,Options:GeneOnly]&amp;mk=4868267:4868286|offset_52|444444,4868298:4868317|offset_83|444444,4868363:4868382|offset_148|00cc00,4868399:4868418|offset_184|444444&amp;v=4868066:4868618&amp;c=444444", "offset 148")</f>
        <v>offset 148</v>
      </c>
    </row>
    <row r="15750" customFormat="false" ht="12.8" hidden="false" customHeight="false" outlineLevel="0" collapsed="false">
      <c r="A15750" s="0" t="s">
        <v>12</v>
      </c>
      <c r="B15750" s="0" t="n">
        <v>4868398</v>
      </c>
      <c r="C15750" s="0" t="n">
        <v>4868418</v>
      </c>
      <c r="D15750" s="0" t="s">
        <v>52349</v>
      </c>
      <c r="E15750" s="0" t="s">
        <v>52350</v>
      </c>
      <c r="F15750" s="0" t="s">
        <v>15</v>
      </c>
      <c r="G15750" s="0" t="s">
        <v>36</v>
      </c>
      <c r="H15750" s="0" t="n">
        <v>184</v>
      </c>
      <c r="I15750" s="0" t="s">
        <v>52360</v>
      </c>
      <c r="J15750" s="0" t="s">
        <v>52361</v>
      </c>
      <c r="K15750" s="0" t="s">
        <v>52362</v>
      </c>
      <c r="L15750" s="0" t="str">
        <f aca="false">HYPERLINK("https://www.ncbi.nlm.nih.gov/nuccore/CP000058.1?report=graph&amp;tracks=[key:gene_model_track,Options:GeneOnly]&amp;mk=4868267:4868286|offset_52|444444,4868298:4868317|offset_83|444444,4868363:4868382|offset_148|444444,4868399:4868418|offset_184|00cc00&amp;v=4868066:4868618&amp;c=444444", "offset 184")</f>
        <v>offset 184</v>
      </c>
    </row>
    <row r="15751" customFormat="false" ht="12.8" hidden="false" customHeight="false" outlineLevel="0" collapsed="false">
      <c r="A15751" s="0" t="s">
        <v>12</v>
      </c>
      <c r="B15751" s="0" t="n">
        <v>4869213</v>
      </c>
      <c r="C15751" s="0" t="n">
        <v>4869233</v>
      </c>
      <c r="D15751" s="0" t="s">
        <v>52363</v>
      </c>
      <c r="E15751" s="0" t="s">
        <v>75</v>
      </c>
      <c r="F15751" s="0" t="s">
        <v>15</v>
      </c>
      <c r="G15751" s="0" t="s">
        <v>16</v>
      </c>
      <c r="H15751" s="0" t="n">
        <v>35</v>
      </c>
      <c r="I15751" s="0" t="s">
        <v>52364</v>
      </c>
      <c r="J15751" s="0" t="s">
        <v>52365</v>
      </c>
      <c r="K15751" s="0" t="s">
        <v>52366</v>
      </c>
      <c r="L15751" s="0" t="str">
        <f aca="false">HYPERLINK("https://www.ncbi.nlm.nih.gov/nuccore/CP000058.1?report=graph&amp;tracks=[key:gene_model_track,Options:GeneOnly]&amp;mk=4869214:4869233|offset_35|00cc00,4869234:4869253|offset_55|444444,4869258:4869277|offset_79|444444,4869309:4869328|offset_130|444444&amp;v=4869013:4869528&amp;c=444444", "offset 35")</f>
        <v>offset 35</v>
      </c>
    </row>
    <row r="15752" customFormat="false" ht="12.8" hidden="false" customHeight="false" outlineLevel="0" collapsed="false">
      <c r="A15752" s="0" t="s">
        <v>12</v>
      </c>
      <c r="B15752" s="0" t="n">
        <v>4869233</v>
      </c>
      <c r="C15752" s="0" t="n">
        <v>4869253</v>
      </c>
      <c r="D15752" s="0" t="s">
        <v>52363</v>
      </c>
      <c r="E15752" s="0" t="s">
        <v>75</v>
      </c>
      <c r="F15752" s="0" t="s">
        <v>15</v>
      </c>
      <c r="G15752" s="0" t="s">
        <v>16</v>
      </c>
      <c r="H15752" s="0" t="n">
        <v>55</v>
      </c>
      <c r="I15752" s="0" t="s">
        <v>52367</v>
      </c>
      <c r="J15752" s="0" t="s">
        <v>52368</v>
      </c>
      <c r="K15752" s="0" t="s">
        <v>52369</v>
      </c>
      <c r="L15752" s="0" t="str">
        <f aca="false">HYPERLINK("https://www.ncbi.nlm.nih.gov/nuccore/CP000058.1?report=graph&amp;tracks=[key:gene_model_track,Options:GeneOnly]&amp;mk=4869214:4869233|offset_35|444444,4869234:4869253|offset_55|00cc00,4869258:4869277|offset_79|444444,4869309:4869328|offset_130|444444&amp;v=4869013:4869528&amp;c=444444", "offset 55")</f>
        <v>offset 55</v>
      </c>
    </row>
    <row r="15753" customFormat="false" ht="12.8" hidden="false" customHeight="false" outlineLevel="0" collapsed="false">
      <c r="A15753" s="0" t="s">
        <v>12</v>
      </c>
      <c r="B15753" s="0" t="n">
        <v>4869257</v>
      </c>
      <c r="C15753" s="0" t="n">
        <v>4869277</v>
      </c>
      <c r="D15753" s="0" t="s">
        <v>52363</v>
      </c>
      <c r="E15753" s="0" t="s">
        <v>75</v>
      </c>
      <c r="F15753" s="0" t="s">
        <v>15</v>
      </c>
      <c r="G15753" s="0" t="s">
        <v>36</v>
      </c>
      <c r="H15753" s="0" t="n">
        <v>79</v>
      </c>
      <c r="I15753" s="0" t="s">
        <v>52370</v>
      </c>
      <c r="J15753" s="0" t="s">
        <v>52371</v>
      </c>
      <c r="K15753" s="0" t="s">
        <v>52372</v>
      </c>
      <c r="L15753" s="0" t="str">
        <f aca="false">HYPERLINK("https://www.ncbi.nlm.nih.gov/nuccore/CP000058.1?report=graph&amp;tracks=[key:gene_model_track,Options:GeneOnly]&amp;mk=4869214:4869233|offset_35|444444,4869234:4869253|offset_55|444444,4869258:4869277|offset_79|00cc00,4869309:4869328|offset_130|444444&amp;v=4869013:4869528&amp;c=444444", "offset 79")</f>
        <v>offset 79</v>
      </c>
    </row>
    <row r="15754" customFormat="false" ht="12.8" hidden="false" customHeight="false" outlineLevel="0" collapsed="false">
      <c r="A15754" s="0" t="s">
        <v>12</v>
      </c>
      <c r="B15754" s="0" t="n">
        <v>4869308</v>
      </c>
      <c r="C15754" s="0" t="n">
        <v>4869328</v>
      </c>
      <c r="D15754" s="0" t="s">
        <v>52363</v>
      </c>
      <c r="E15754" s="0" t="s">
        <v>75</v>
      </c>
      <c r="F15754" s="0" t="s">
        <v>15</v>
      </c>
      <c r="G15754" s="0" t="s">
        <v>16</v>
      </c>
      <c r="H15754" s="0" t="n">
        <v>130</v>
      </c>
      <c r="I15754" s="0" t="s">
        <v>52373</v>
      </c>
      <c r="J15754" s="0" t="s">
        <v>52374</v>
      </c>
      <c r="K15754" s="0" t="s">
        <v>52375</v>
      </c>
      <c r="L15754" s="0" t="str">
        <f aca="false">HYPERLINK("https://www.ncbi.nlm.nih.gov/nuccore/CP000058.1?report=graph&amp;tracks=[key:gene_model_track,Options:GeneOnly]&amp;mk=4869214:4869233|offset_35|444444,4869234:4869253|offset_55|444444,4869258:4869277|offset_79|444444,4869309:4869328|offset_130|00cc00&amp;v=4869013:4869528&amp;c=444444", "offset 130")</f>
        <v>offset 130</v>
      </c>
    </row>
    <row r="15755" customFormat="false" ht="12.8" hidden="false" customHeight="false" outlineLevel="0" collapsed="false">
      <c r="A15755" s="0" t="s">
        <v>12</v>
      </c>
      <c r="B15755" s="0" t="n">
        <v>4870165</v>
      </c>
      <c r="C15755" s="0" t="n">
        <v>4870185</v>
      </c>
      <c r="D15755" s="0" t="s">
        <v>52376</v>
      </c>
      <c r="E15755" s="0" t="s">
        <v>75</v>
      </c>
      <c r="F15755" s="0" t="s">
        <v>15</v>
      </c>
      <c r="G15755" s="0" t="s">
        <v>16</v>
      </c>
      <c r="H15755" s="0" t="n">
        <v>19</v>
      </c>
      <c r="I15755" s="0" t="s">
        <v>52377</v>
      </c>
      <c r="J15755" s="0" t="s">
        <v>52378</v>
      </c>
      <c r="K15755" s="0" t="s">
        <v>52379</v>
      </c>
      <c r="L15755" s="0" t="str">
        <f aca="false">HYPERLINK("https://www.ncbi.nlm.nih.gov/nuccore/CP000058.1?report=graph&amp;tracks=[key:gene_model_track,Options:GeneOnly]&amp;mk=4870166:4870185|offset_19|00cc00,4870199:4870218|offset_52|444444,4870250:4870269|offset_103|444444,4870319:4870338|offset_172|444444&amp;v=4869965:4870538&amp;c=444444", "offset 19")</f>
        <v>offset 19</v>
      </c>
    </row>
    <row r="15756" customFormat="false" ht="12.8" hidden="false" customHeight="false" outlineLevel="0" collapsed="false">
      <c r="A15756" s="0" t="s">
        <v>12</v>
      </c>
      <c r="B15756" s="0" t="n">
        <v>4870198</v>
      </c>
      <c r="C15756" s="0" t="n">
        <v>4870218</v>
      </c>
      <c r="D15756" s="0" t="s">
        <v>52376</v>
      </c>
      <c r="E15756" s="0" t="s">
        <v>75</v>
      </c>
      <c r="F15756" s="0" t="s">
        <v>15</v>
      </c>
      <c r="G15756" s="0" t="s">
        <v>36</v>
      </c>
      <c r="H15756" s="0" t="n">
        <v>52</v>
      </c>
      <c r="I15756" s="0" t="s">
        <v>52380</v>
      </c>
      <c r="J15756" s="0" t="s">
        <v>52381</v>
      </c>
      <c r="K15756" s="0" t="s">
        <v>52382</v>
      </c>
      <c r="L15756" s="0" t="str">
        <f aca="false">HYPERLINK("https://www.ncbi.nlm.nih.gov/nuccore/CP000058.1?report=graph&amp;tracks=[key:gene_model_track,Options:GeneOnly]&amp;mk=4870166:4870185|offset_19|444444,4870199:4870218|offset_52|00cc00,4870250:4870269|offset_103|444444,4870319:4870338|offset_172|444444&amp;v=4869965:4870538&amp;c=444444", "offset 52")</f>
        <v>offset 52</v>
      </c>
    </row>
    <row r="15757" customFormat="false" ht="12.8" hidden="false" customHeight="false" outlineLevel="0" collapsed="false">
      <c r="A15757" s="0" t="s">
        <v>12</v>
      </c>
      <c r="B15757" s="0" t="n">
        <v>4870249</v>
      </c>
      <c r="C15757" s="0" t="n">
        <v>4870269</v>
      </c>
      <c r="D15757" s="0" t="s">
        <v>52376</v>
      </c>
      <c r="E15757" s="0" t="s">
        <v>75</v>
      </c>
      <c r="F15757" s="0" t="s">
        <v>15</v>
      </c>
      <c r="G15757" s="0" t="s">
        <v>20</v>
      </c>
      <c r="H15757" s="0" t="n">
        <v>103</v>
      </c>
      <c r="I15757" s="0" t="s">
        <v>52383</v>
      </c>
      <c r="J15757" s="0" t="s">
        <v>52384</v>
      </c>
      <c r="K15757" s="0" t="s">
        <v>52385</v>
      </c>
      <c r="L15757" s="0" t="str">
        <f aca="false">HYPERLINK("https://www.ncbi.nlm.nih.gov/nuccore/CP000058.1?report=graph&amp;tracks=[key:gene_model_track,Options:GeneOnly]&amp;mk=4870166:4870185|offset_19|444444,4870199:4870218|offset_52|444444,4870250:4870269|offset_103|00cc00,4870319:4870338|offset_172|444444&amp;v=4869965:4870538&amp;c=444444", "offset 103")</f>
        <v>offset 103</v>
      </c>
    </row>
    <row r="15758" customFormat="false" ht="12.8" hidden="false" customHeight="false" outlineLevel="0" collapsed="false">
      <c r="A15758" s="0" t="s">
        <v>12</v>
      </c>
      <c r="B15758" s="0" t="n">
        <v>4870318</v>
      </c>
      <c r="C15758" s="0" t="n">
        <v>4870338</v>
      </c>
      <c r="D15758" s="0" t="s">
        <v>52376</v>
      </c>
      <c r="E15758" s="0" t="s">
        <v>75</v>
      </c>
      <c r="F15758" s="0" t="s">
        <v>15</v>
      </c>
      <c r="G15758" s="0" t="s">
        <v>36</v>
      </c>
      <c r="H15758" s="0" t="n">
        <v>172</v>
      </c>
      <c r="I15758" s="0" t="s">
        <v>52386</v>
      </c>
      <c r="J15758" s="0" t="s">
        <v>52387</v>
      </c>
      <c r="K15758" s="0" t="s">
        <v>52388</v>
      </c>
      <c r="L15758" s="0" t="str">
        <f aca="false">HYPERLINK("https://www.ncbi.nlm.nih.gov/nuccore/CP000058.1?report=graph&amp;tracks=[key:gene_model_track,Options:GeneOnly]&amp;mk=4870166:4870185|offset_19|444444,4870199:4870218|offset_52|444444,4870250:4870269|offset_103|444444,4870319:4870338|offset_172|00cc00&amp;v=4869965:4870538&amp;c=444444", "offset 172")</f>
        <v>offset 172</v>
      </c>
    </row>
    <row r="15759" customFormat="false" ht="12.8" hidden="false" customHeight="false" outlineLevel="0" collapsed="false">
      <c r="A15759" s="0" t="s">
        <v>12</v>
      </c>
      <c r="B15759" s="0" t="n">
        <v>4875100</v>
      </c>
      <c r="C15759" s="0" t="n">
        <v>4875120</v>
      </c>
      <c r="D15759" s="0" t="s">
        <v>52389</v>
      </c>
      <c r="E15759" s="0" t="s">
        <v>75</v>
      </c>
      <c r="F15759" s="0" t="s">
        <v>90</v>
      </c>
      <c r="G15759" s="0" t="s">
        <v>32</v>
      </c>
      <c r="H15759" s="0" t="n">
        <v>20</v>
      </c>
      <c r="I15759" s="0" t="s">
        <v>52390</v>
      </c>
      <c r="J15759" s="0" t="s">
        <v>52391</v>
      </c>
      <c r="K15759" s="0" t="s">
        <v>52392</v>
      </c>
      <c r="L15759" s="0" t="str">
        <f aca="false">HYPERLINK("https://www.ncbi.nlm.nih.gov/nuccore/CP000058.1?report=graph&amp;tracks=[key:gene_model_track,Options:GeneOnly]&amp;mk=4875101:4875120|offset_20|00cc00,4875057:4875076|offset_64|444444,4874995:4875014|offset_126|444444,4874964:4874983|offset_157|444444&amp;v=4874900:4875183&amp;c=444444", "offset 20")</f>
        <v>offset 20</v>
      </c>
    </row>
    <row r="15760" customFormat="false" ht="12.8" hidden="false" customHeight="false" outlineLevel="0" collapsed="false">
      <c r="A15760" s="0" t="s">
        <v>12</v>
      </c>
      <c r="B15760" s="0" t="n">
        <v>4875056</v>
      </c>
      <c r="C15760" s="0" t="n">
        <v>4875076</v>
      </c>
      <c r="D15760" s="0" t="s">
        <v>52389</v>
      </c>
      <c r="E15760" s="0" t="s">
        <v>75</v>
      </c>
      <c r="F15760" s="0" t="s">
        <v>90</v>
      </c>
      <c r="G15760" s="0" t="s">
        <v>36</v>
      </c>
      <c r="H15760" s="0" t="n">
        <v>64</v>
      </c>
      <c r="I15760" s="0" t="s">
        <v>52393</v>
      </c>
      <c r="J15760" s="0" t="s">
        <v>52394</v>
      </c>
      <c r="K15760" s="0" t="s">
        <v>52395</v>
      </c>
      <c r="L15760" s="0" t="str">
        <f aca="false">HYPERLINK("https://www.ncbi.nlm.nih.gov/nuccore/CP000058.1?report=graph&amp;tracks=[key:gene_model_track,Options:GeneOnly]&amp;mk=4875101:4875120|offset_20|444444,4875057:4875076|offset_64|00cc00,4874995:4875014|offset_126|444444,4874964:4874983|offset_157|444444&amp;v=4874900:4875183&amp;c=444444", "offset 64")</f>
        <v>offset 64</v>
      </c>
    </row>
    <row r="15761" customFormat="false" ht="12.8" hidden="false" customHeight="false" outlineLevel="0" collapsed="false">
      <c r="A15761" s="0" t="s">
        <v>12</v>
      </c>
      <c r="B15761" s="0" t="n">
        <v>4874994</v>
      </c>
      <c r="C15761" s="0" t="n">
        <v>4875014</v>
      </c>
      <c r="D15761" s="0" t="s">
        <v>52389</v>
      </c>
      <c r="E15761" s="0" t="s">
        <v>75</v>
      </c>
      <c r="F15761" s="0" t="s">
        <v>90</v>
      </c>
      <c r="G15761" s="0" t="s">
        <v>16</v>
      </c>
      <c r="H15761" s="0" t="n">
        <v>126</v>
      </c>
      <c r="I15761" s="0" t="s">
        <v>52396</v>
      </c>
      <c r="J15761" s="0" t="s">
        <v>52397</v>
      </c>
      <c r="K15761" s="0" t="s">
        <v>52398</v>
      </c>
      <c r="L15761" s="0" t="str">
        <f aca="false">HYPERLINK("https://www.ncbi.nlm.nih.gov/nuccore/CP000058.1?report=graph&amp;tracks=[key:gene_model_track,Options:GeneOnly]&amp;mk=4875101:4875120|offset_20|444444,4875057:4875076|offset_64|444444,4874995:4875014|offset_126|00cc00,4874964:4874983|offset_157|444444&amp;v=4874900:4875183&amp;c=444444", "offset 126")</f>
        <v>offset 126</v>
      </c>
    </row>
    <row r="15762" customFormat="false" ht="12.8" hidden="false" customHeight="false" outlineLevel="0" collapsed="false">
      <c r="A15762" s="0" t="s">
        <v>12</v>
      </c>
      <c r="B15762" s="0" t="n">
        <v>4874963</v>
      </c>
      <c r="C15762" s="0" t="n">
        <v>4874983</v>
      </c>
      <c r="D15762" s="0" t="s">
        <v>52389</v>
      </c>
      <c r="E15762" s="0" t="s">
        <v>75</v>
      </c>
      <c r="F15762" s="0" t="s">
        <v>90</v>
      </c>
      <c r="G15762" s="0" t="s">
        <v>32</v>
      </c>
      <c r="H15762" s="0" t="n">
        <v>157</v>
      </c>
      <c r="I15762" s="0" t="s">
        <v>52399</v>
      </c>
      <c r="J15762" s="0" t="s">
        <v>52400</v>
      </c>
      <c r="K15762" s="0" t="s">
        <v>52401</v>
      </c>
      <c r="L15762" s="0" t="str">
        <f aca="false">HYPERLINK("https://www.ncbi.nlm.nih.gov/nuccore/CP000058.1?report=graph&amp;tracks=[key:gene_model_track,Options:GeneOnly]&amp;mk=4875101:4875120|offset_20|444444,4875057:4875076|offset_64|444444,4874995:4875014|offset_126|444444,4874964:4874983|offset_157|00cc00&amp;v=4874900:4875183&amp;c=444444", "offset 157")</f>
        <v>offset 157</v>
      </c>
    </row>
    <row r="15763" customFormat="false" ht="12.8" hidden="false" customHeight="false" outlineLevel="0" collapsed="false">
      <c r="A15763" s="0" t="s">
        <v>12</v>
      </c>
      <c r="B15763" s="0" t="n">
        <v>4875483</v>
      </c>
      <c r="C15763" s="0" t="n">
        <v>4875503</v>
      </c>
      <c r="D15763" s="0" t="s">
        <v>52402</v>
      </c>
      <c r="E15763" s="0" t="s">
        <v>75</v>
      </c>
      <c r="F15763" s="0" t="s">
        <v>15</v>
      </c>
      <c r="G15763" s="0" t="s">
        <v>36</v>
      </c>
      <c r="H15763" s="0" t="n">
        <v>0</v>
      </c>
      <c r="I15763" s="0" t="s">
        <v>52403</v>
      </c>
      <c r="J15763" s="0" t="s">
        <v>52404</v>
      </c>
      <c r="K15763" s="0" t="s">
        <v>52405</v>
      </c>
      <c r="L15763" s="0" t="str">
        <f aca="false">HYPERLINK("https://www.ncbi.nlm.nih.gov/nuccore/CP000058.1?report=graph&amp;tracks=[key:gene_model_track,Options:GeneOnly]&amp;mk=4875484:4875503|offset_0|00cc00,4875523:4875542|offset_39|444444,4875566:4875585|offset_82|444444,4875593:4875612|offset_109|444444&amp;v=4875283:4875812&amp;c=444444", "offset 0")</f>
        <v>offset 0</v>
      </c>
    </row>
    <row r="15764" customFormat="false" ht="12.8" hidden="false" customHeight="false" outlineLevel="0" collapsed="false">
      <c r="A15764" s="0" t="s">
        <v>12</v>
      </c>
      <c r="B15764" s="0" t="n">
        <v>4875522</v>
      </c>
      <c r="C15764" s="0" t="n">
        <v>4875542</v>
      </c>
      <c r="D15764" s="0" t="s">
        <v>52402</v>
      </c>
      <c r="E15764" s="0" t="s">
        <v>75</v>
      </c>
      <c r="F15764" s="0" t="s">
        <v>15</v>
      </c>
      <c r="G15764" s="0" t="s">
        <v>20</v>
      </c>
      <c r="H15764" s="0" t="n">
        <v>39</v>
      </c>
      <c r="I15764" s="0" t="s">
        <v>52406</v>
      </c>
      <c r="J15764" s="0" t="s">
        <v>52407</v>
      </c>
      <c r="K15764" s="0" t="s">
        <v>52408</v>
      </c>
      <c r="L15764" s="0" t="str">
        <f aca="false">HYPERLINK("https://www.ncbi.nlm.nih.gov/nuccore/CP000058.1?report=graph&amp;tracks=[key:gene_model_track,Options:GeneOnly]&amp;mk=4875484:4875503|offset_0|444444,4875523:4875542|offset_39|00cc00,4875566:4875585|offset_82|444444,4875593:4875612|offset_109|444444&amp;v=4875283:4875812&amp;c=444444", "offset 39")</f>
        <v>offset 39</v>
      </c>
    </row>
    <row r="15765" customFormat="false" ht="12.8" hidden="false" customHeight="false" outlineLevel="0" collapsed="false">
      <c r="A15765" s="0" t="s">
        <v>12</v>
      </c>
      <c r="B15765" s="0" t="n">
        <v>4875565</v>
      </c>
      <c r="C15765" s="0" t="n">
        <v>4875585</v>
      </c>
      <c r="D15765" s="0" t="s">
        <v>52402</v>
      </c>
      <c r="E15765" s="0" t="s">
        <v>75</v>
      </c>
      <c r="F15765" s="0" t="s">
        <v>15</v>
      </c>
      <c r="G15765" s="0" t="s">
        <v>16</v>
      </c>
      <c r="H15765" s="0" t="n">
        <v>82</v>
      </c>
      <c r="I15765" s="0" t="s">
        <v>52409</v>
      </c>
      <c r="J15765" s="0" t="s">
        <v>52410</v>
      </c>
      <c r="K15765" s="0" t="s">
        <v>52411</v>
      </c>
      <c r="L15765" s="0" t="str">
        <f aca="false">HYPERLINK("https://www.ncbi.nlm.nih.gov/nuccore/CP000058.1?report=graph&amp;tracks=[key:gene_model_track,Options:GeneOnly]&amp;mk=4875484:4875503|offset_0|444444,4875523:4875542|offset_39|444444,4875566:4875585|offset_82|00cc00,4875593:4875612|offset_109|444444&amp;v=4875283:4875812&amp;c=444444", "offset 82")</f>
        <v>offset 82</v>
      </c>
    </row>
    <row r="15766" customFormat="false" ht="12.8" hidden="false" customHeight="false" outlineLevel="0" collapsed="false">
      <c r="A15766" s="0" t="s">
        <v>12</v>
      </c>
      <c r="B15766" s="0" t="n">
        <v>4875592</v>
      </c>
      <c r="C15766" s="0" t="n">
        <v>4875612</v>
      </c>
      <c r="D15766" s="0" t="s">
        <v>52402</v>
      </c>
      <c r="E15766" s="0" t="s">
        <v>75</v>
      </c>
      <c r="F15766" s="0" t="s">
        <v>15</v>
      </c>
      <c r="G15766" s="0" t="s">
        <v>32</v>
      </c>
      <c r="H15766" s="0" t="n">
        <v>109</v>
      </c>
      <c r="I15766" s="0" t="s">
        <v>52412</v>
      </c>
      <c r="J15766" s="0" t="s">
        <v>52413</v>
      </c>
      <c r="K15766" s="0" t="s">
        <v>52414</v>
      </c>
      <c r="L15766" s="0" t="str">
        <f aca="false">HYPERLINK("https://www.ncbi.nlm.nih.gov/nuccore/CP000058.1?report=graph&amp;tracks=[key:gene_model_track,Options:GeneOnly]&amp;mk=4875484:4875503|offset_0|444444,4875523:4875542|offset_39|444444,4875566:4875585|offset_82|444444,4875593:4875612|offset_109|00cc00&amp;v=4875283:4875812&amp;c=444444", "offset 109")</f>
        <v>offset 109</v>
      </c>
    </row>
    <row r="15767" customFormat="false" ht="12.8" hidden="false" customHeight="false" outlineLevel="0" collapsed="false">
      <c r="A15767" s="0" t="s">
        <v>12</v>
      </c>
      <c r="B15767" s="0" t="n">
        <v>4878242</v>
      </c>
      <c r="C15767" s="0" t="n">
        <v>4878262</v>
      </c>
      <c r="D15767" s="0" t="s">
        <v>52415</v>
      </c>
      <c r="E15767" s="0" t="s">
        <v>75</v>
      </c>
      <c r="F15767" s="0" t="s">
        <v>15</v>
      </c>
      <c r="G15767" s="0" t="s">
        <v>36</v>
      </c>
      <c r="H15767" s="0" t="n">
        <v>57</v>
      </c>
      <c r="I15767" s="0" t="s">
        <v>52416</v>
      </c>
      <c r="J15767" s="0" t="s">
        <v>52417</v>
      </c>
      <c r="K15767" s="0" t="s">
        <v>52418</v>
      </c>
      <c r="L15767" s="0" t="str">
        <f aca="false">HYPERLINK("https://www.ncbi.nlm.nih.gov/nuccore/CP000058.1?report=graph&amp;tracks=[key:gene_model_track,Options:GeneOnly]&amp;mk=4878243:4878262|offset_57|00cc00,4878273:4878292|offset_87|444444,4878305:4878324|offset_119|444444,4878335:4878354|offset_149|444444&amp;v=4878042:4878554&amp;c=444444", "offset 57")</f>
        <v>offset 57</v>
      </c>
    </row>
    <row r="15768" customFormat="false" ht="12.8" hidden="false" customHeight="false" outlineLevel="0" collapsed="false">
      <c r="A15768" s="0" t="s">
        <v>12</v>
      </c>
      <c r="B15768" s="0" t="n">
        <v>4878272</v>
      </c>
      <c r="C15768" s="0" t="n">
        <v>4878292</v>
      </c>
      <c r="D15768" s="0" t="s">
        <v>52415</v>
      </c>
      <c r="E15768" s="0" t="s">
        <v>75</v>
      </c>
      <c r="F15768" s="0" t="s">
        <v>15</v>
      </c>
      <c r="G15768" s="0" t="s">
        <v>36</v>
      </c>
      <c r="H15768" s="0" t="n">
        <v>87</v>
      </c>
      <c r="I15768" s="0" t="s">
        <v>52419</v>
      </c>
      <c r="J15768" s="0" t="s">
        <v>52420</v>
      </c>
      <c r="K15768" s="0" t="s">
        <v>52421</v>
      </c>
      <c r="L15768" s="0" t="str">
        <f aca="false">HYPERLINK("https://www.ncbi.nlm.nih.gov/nuccore/CP000058.1?report=graph&amp;tracks=[key:gene_model_track,Options:GeneOnly]&amp;mk=4878243:4878262|offset_57|444444,4878273:4878292|offset_87|00cc00,4878305:4878324|offset_119|444444,4878335:4878354|offset_149|444444&amp;v=4878042:4878554&amp;c=444444", "offset 87")</f>
        <v>offset 87</v>
      </c>
    </row>
    <row r="15769" customFormat="false" ht="12.8" hidden="false" customHeight="false" outlineLevel="0" collapsed="false">
      <c r="A15769" s="0" t="s">
        <v>12</v>
      </c>
      <c r="B15769" s="0" t="n">
        <v>4878304</v>
      </c>
      <c r="C15769" s="0" t="n">
        <v>4878324</v>
      </c>
      <c r="D15769" s="0" t="s">
        <v>52415</v>
      </c>
      <c r="E15769" s="0" t="s">
        <v>75</v>
      </c>
      <c r="F15769" s="0" t="s">
        <v>15</v>
      </c>
      <c r="G15769" s="0" t="s">
        <v>20</v>
      </c>
      <c r="H15769" s="0" t="n">
        <v>119</v>
      </c>
      <c r="I15769" s="0" t="s">
        <v>52422</v>
      </c>
      <c r="J15769" s="0" t="s">
        <v>52423</v>
      </c>
      <c r="K15769" s="0" t="s">
        <v>52424</v>
      </c>
      <c r="L15769" s="0" t="str">
        <f aca="false">HYPERLINK("https://www.ncbi.nlm.nih.gov/nuccore/CP000058.1?report=graph&amp;tracks=[key:gene_model_track,Options:GeneOnly]&amp;mk=4878243:4878262|offset_57|444444,4878273:4878292|offset_87|444444,4878305:4878324|offset_119|00cc00,4878335:4878354|offset_149|444444&amp;v=4878042:4878554&amp;c=444444", "offset 119")</f>
        <v>offset 119</v>
      </c>
    </row>
    <row r="15770" customFormat="false" ht="12.8" hidden="false" customHeight="false" outlineLevel="0" collapsed="false">
      <c r="A15770" s="0" t="s">
        <v>12</v>
      </c>
      <c r="B15770" s="0" t="n">
        <v>4878334</v>
      </c>
      <c r="C15770" s="0" t="n">
        <v>4878354</v>
      </c>
      <c r="D15770" s="0" t="s">
        <v>52415</v>
      </c>
      <c r="E15770" s="0" t="s">
        <v>75</v>
      </c>
      <c r="F15770" s="0" t="s">
        <v>15</v>
      </c>
      <c r="G15770" s="0" t="s">
        <v>20</v>
      </c>
      <c r="H15770" s="0" t="n">
        <v>149</v>
      </c>
      <c r="I15770" s="0" t="s">
        <v>52425</v>
      </c>
      <c r="J15770" s="0" t="s">
        <v>52426</v>
      </c>
      <c r="K15770" s="0" t="s">
        <v>52427</v>
      </c>
      <c r="L15770" s="0" t="str">
        <f aca="false">HYPERLINK("https://www.ncbi.nlm.nih.gov/nuccore/CP000058.1?report=graph&amp;tracks=[key:gene_model_track,Options:GeneOnly]&amp;mk=4878243:4878262|offset_57|444444,4878273:4878292|offset_87|444444,4878305:4878324|offset_119|444444,4878335:4878354|offset_149|00cc00&amp;v=4878042:4878554&amp;c=444444", "offset 149")</f>
        <v>offset 149</v>
      </c>
    </row>
    <row r="15771" customFormat="false" ht="12.8" hidden="false" customHeight="false" outlineLevel="0" collapsed="false">
      <c r="A15771" s="0" t="s">
        <v>12</v>
      </c>
      <c r="B15771" s="0" t="n">
        <v>4879724</v>
      </c>
      <c r="C15771" s="0" t="n">
        <v>4879744</v>
      </c>
      <c r="D15771" s="0" t="s">
        <v>52428</v>
      </c>
      <c r="E15771" s="0" t="s">
        <v>75</v>
      </c>
      <c r="F15771" s="0" t="s">
        <v>15</v>
      </c>
      <c r="G15771" s="0" t="s">
        <v>16</v>
      </c>
      <c r="H15771" s="0" t="n">
        <v>17</v>
      </c>
      <c r="I15771" s="0" t="s">
        <v>52429</v>
      </c>
      <c r="J15771" s="0" t="s">
        <v>52430</v>
      </c>
      <c r="K15771" s="0" t="s">
        <v>52431</v>
      </c>
      <c r="L15771" s="0" t="str">
        <f aca="false">HYPERLINK("https://www.ncbi.nlm.nih.gov/nuccore/CP000058.1?report=graph&amp;tracks=[key:gene_model_track,Options:GeneOnly]&amp;mk=4879725:4879744|offset_17|00cc00,4879757:4879776|offset_49|444444,4879790:4879809|offset_82|444444,4879831:4879850|offset_123|444444&amp;v=4879524:4880050&amp;c=444444", "offset 17")</f>
        <v>offset 17</v>
      </c>
    </row>
    <row r="15772" customFormat="false" ht="12.8" hidden="false" customHeight="false" outlineLevel="0" collapsed="false">
      <c r="A15772" s="0" t="s">
        <v>12</v>
      </c>
      <c r="B15772" s="0" t="n">
        <v>4879756</v>
      </c>
      <c r="C15772" s="0" t="n">
        <v>4879776</v>
      </c>
      <c r="D15772" s="0" t="s">
        <v>52428</v>
      </c>
      <c r="E15772" s="0" t="s">
        <v>75</v>
      </c>
      <c r="F15772" s="0" t="s">
        <v>15</v>
      </c>
      <c r="G15772" s="0" t="s">
        <v>20</v>
      </c>
      <c r="H15772" s="0" t="n">
        <v>49</v>
      </c>
      <c r="I15772" s="0" t="s">
        <v>52432</v>
      </c>
      <c r="J15772" s="0" t="s">
        <v>52433</v>
      </c>
      <c r="K15772" s="0" t="s">
        <v>52434</v>
      </c>
      <c r="L15772" s="0" t="str">
        <f aca="false">HYPERLINK("https://www.ncbi.nlm.nih.gov/nuccore/CP000058.1?report=graph&amp;tracks=[key:gene_model_track,Options:GeneOnly]&amp;mk=4879725:4879744|offset_17|444444,4879757:4879776|offset_49|00cc00,4879790:4879809|offset_82|444444,4879831:4879850|offset_123|444444&amp;v=4879524:4880050&amp;c=444444", "offset 49")</f>
        <v>offset 49</v>
      </c>
    </row>
    <row r="15773" customFormat="false" ht="12.8" hidden="false" customHeight="false" outlineLevel="0" collapsed="false">
      <c r="A15773" s="0" t="s">
        <v>12</v>
      </c>
      <c r="B15773" s="0" t="n">
        <v>4879789</v>
      </c>
      <c r="C15773" s="0" t="n">
        <v>4879809</v>
      </c>
      <c r="D15773" s="0" t="s">
        <v>52428</v>
      </c>
      <c r="E15773" s="0" t="s">
        <v>75</v>
      </c>
      <c r="F15773" s="0" t="s">
        <v>15</v>
      </c>
      <c r="G15773" s="0" t="s">
        <v>20</v>
      </c>
      <c r="H15773" s="0" t="n">
        <v>82</v>
      </c>
      <c r="I15773" s="0" t="s">
        <v>52435</v>
      </c>
      <c r="J15773" s="0" t="s">
        <v>52436</v>
      </c>
      <c r="K15773" s="0" t="s">
        <v>52437</v>
      </c>
      <c r="L15773" s="0" t="str">
        <f aca="false">HYPERLINK("https://www.ncbi.nlm.nih.gov/nuccore/CP000058.1?report=graph&amp;tracks=[key:gene_model_track,Options:GeneOnly]&amp;mk=4879725:4879744|offset_17|444444,4879757:4879776|offset_49|444444,4879790:4879809|offset_82|00cc00,4879831:4879850|offset_123|444444&amp;v=4879524:4880050&amp;c=444444", "offset 82")</f>
        <v>offset 82</v>
      </c>
    </row>
    <row r="15774" customFormat="false" ht="12.8" hidden="false" customHeight="false" outlineLevel="0" collapsed="false">
      <c r="A15774" s="0" t="s">
        <v>12</v>
      </c>
      <c r="B15774" s="0" t="n">
        <v>4879830</v>
      </c>
      <c r="C15774" s="0" t="n">
        <v>4879850</v>
      </c>
      <c r="D15774" s="0" t="s">
        <v>52428</v>
      </c>
      <c r="E15774" s="0" t="s">
        <v>75</v>
      </c>
      <c r="F15774" s="0" t="s">
        <v>15</v>
      </c>
      <c r="G15774" s="0" t="s">
        <v>20</v>
      </c>
      <c r="H15774" s="0" t="n">
        <v>123</v>
      </c>
      <c r="I15774" s="0" t="s">
        <v>52438</v>
      </c>
      <c r="J15774" s="0" t="s">
        <v>52439</v>
      </c>
      <c r="K15774" s="0" t="s">
        <v>52440</v>
      </c>
      <c r="L15774" s="0" t="str">
        <f aca="false">HYPERLINK("https://www.ncbi.nlm.nih.gov/nuccore/CP000058.1?report=graph&amp;tracks=[key:gene_model_track,Options:GeneOnly]&amp;mk=4879725:4879744|offset_17|444444,4879757:4879776|offset_49|444444,4879790:4879809|offset_82|444444,4879831:4879850|offset_123|00cc00&amp;v=4879524:4880050&amp;c=444444", "offset 123")</f>
        <v>offset 123</v>
      </c>
    </row>
    <row r="15775" customFormat="false" ht="12.8" hidden="false" customHeight="false" outlineLevel="0" collapsed="false">
      <c r="A15775" s="0" t="s">
        <v>12</v>
      </c>
      <c r="B15775" s="0" t="n">
        <v>4881101</v>
      </c>
      <c r="C15775" s="0" t="n">
        <v>4881121</v>
      </c>
      <c r="D15775" s="0" t="s">
        <v>52441</v>
      </c>
      <c r="E15775" s="0" t="s">
        <v>75</v>
      </c>
      <c r="F15775" s="0" t="s">
        <v>90</v>
      </c>
      <c r="G15775" s="0" t="s">
        <v>16</v>
      </c>
      <c r="H15775" s="0" t="n">
        <v>34</v>
      </c>
      <c r="I15775" s="0" t="s">
        <v>52442</v>
      </c>
      <c r="J15775" s="0" t="s">
        <v>52443</v>
      </c>
      <c r="K15775" s="0" t="s">
        <v>52444</v>
      </c>
      <c r="L15775" s="0" t="str">
        <f aca="false">HYPERLINK("https://www.ncbi.nlm.nih.gov/nuccore/CP000058.1?report=graph&amp;tracks=[key:gene_model_track,Options:GeneOnly]&amp;mk=4881102:4881121|offset_34|00cc00,4881055:4881074|offset_81|444444,4881033:4881052|offset_103|444444,4881008:4881027|offset_128|444444&amp;v=4880901:4881227&amp;c=444444", "offset 34")</f>
        <v>offset 34</v>
      </c>
    </row>
    <row r="15776" customFormat="false" ht="12.8" hidden="false" customHeight="false" outlineLevel="0" collapsed="false">
      <c r="A15776" s="0" t="s">
        <v>12</v>
      </c>
      <c r="B15776" s="0" t="n">
        <v>4881054</v>
      </c>
      <c r="C15776" s="0" t="n">
        <v>4881074</v>
      </c>
      <c r="D15776" s="0" t="s">
        <v>52441</v>
      </c>
      <c r="E15776" s="0" t="s">
        <v>75</v>
      </c>
      <c r="F15776" s="0" t="s">
        <v>90</v>
      </c>
      <c r="G15776" s="0" t="s">
        <v>16</v>
      </c>
      <c r="H15776" s="0" t="n">
        <v>81</v>
      </c>
      <c r="I15776" s="0" t="s">
        <v>52445</v>
      </c>
      <c r="J15776" s="0" t="s">
        <v>52446</v>
      </c>
      <c r="K15776" s="0" t="s">
        <v>52447</v>
      </c>
      <c r="L15776" s="0" t="str">
        <f aca="false">HYPERLINK("https://www.ncbi.nlm.nih.gov/nuccore/CP000058.1?report=graph&amp;tracks=[key:gene_model_track,Options:GeneOnly]&amp;mk=4881102:4881121|offset_34|444444,4881055:4881074|offset_81|00cc00,4881033:4881052|offset_103|444444,4881008:4881027|offset_128|444444&amp;v=4880901:4881227&amp;c=444444", "offset 81")</f>
        <v>offset 81</v>
      </c>
    </row>
    <row r="15777" customFormat="false" ht="12.8" hidden="false" customHeight="false" outlineLevel="0" collapsed="false">
      <c r="A15777" s="0" t="s">
        <v>12</v>
      </c>
      <c r="B15777" s="0" t="n">
        <v>4881032</v>
      </c>
      <c r="C15777" s="0" t="n">
        <v>4881052</v>
      </c>
      <c r="D15777" s="0" t="s">
        <v>52441</v>
      </c>
      <c r="E15777" s="0" t="s">
        <v>75</v>
      </c>
      <c r="F15777" s="0" t="s">
        <v>90</v>
      </c>
      <c r="G15777" s="0" t="s">
        <v>32</v>
      </c>
      <c r="H15777" s="0" t="n">
        <v>103</v>
      </c>
      <c r="I15777" s="0" t="s">
        <v>52448</v>
      </c>
      <c r="J15777" s="0" t="s">
        <v>52449</v>
      </c>
      <c r="K15777" s="0" t="s">
        <v>52450</v>
      </c>
      <c r="L15777" s="0" t="str">
        <f aca="false">HYPERLINK("https://www.ncbi.nlm.nih.gov/nuccore/CP000058.1?report=graph&amp;tracks=[key:gene_model_track,Options:GeneOnly]&amp;mk=4881102:4881121|offset_34|444444,4881055:4881074|offset_81|444444,4881033:4881052|offset_103|00cc00,4881008:4881027|offset_128|444444&amp;v=4880901:4881227&amp;c=444444", "offset 103")</f>
        <v>offset 103</v>
      </c>
    </row>
    <row r="15778" customFormat="false" ht="12.8" hidden="false" customHeight="false" outlineLevel="0" collapsed="false">
      <c r="A15778" s="0" t="s">
        <v>12</v>
      </c>
      <c r="B15778" s="0" t="n">
        <v>4881007</v>
      </c>
      <c r="C15778" s="0" t="n">
        <v>4881027</v>
      </c>
      <c r="D15778" s="0" t="s">
        <v>52441</v>
      </c>
      <c r="E15778" s="0" t="s">
        <v>75</v>
      </c>
      <c r="F15778" s="0" t="s">
        <v>90</v>
      </c>
      <c r="G15778" s="0" t="s">
        <v>20</v>
      </c>
      <c r="H15778" s="0" t="n">
        <v>128</v>
      </c>
      <c r="I15778" s="0" t="s">
        <v>52451</v>
      </c>
      <c r="J15778" s="0" t="s">
        <v>52452</v>
      </c>
      <c r="K15778" s="0" t="s">
        <v>52453</v>
      </c>
      <c r="L15778" s="0" t="str">
        <f aca="false">HYPERLINK("https://www.ncbi.nlm.nih.gov/nuccore/CP000058.1?report=graph&amp;tracks=[key:gene_model_track,Options:GeneOnly]&amp;mk=4881102:4881121|offset_34|444444,4881055:4881074|offset_81|444444,4881033:4881052|offset_103|444444,4881008:4881027|offset_128|00cc00&amp;v=4880901:4881227&amp;c=444444", "offset 128")</f>
        <v>offset 128</v>
      </c>
    </row>
    <row r="15779" customFormat="false" ht="12.8" hidden="false" customHeight="false" outlineLevel="0" collapsed="false">
      <c r="A15779" s="0" t="s">
        <v>12</v>
      </c>
      <c r="B15779" s="0" t="n">
        <v>4882335</v>
      </c>
      <c r="C15779" s="0" t="n">
        <v>4882355</v>
      </c>
      <c r="D15779" s="0" t="s">
        <v>52454</v>
      </c>
      <c r="E15779" s="0" t="s">
        <v>75</v>
      </c>
      <c r="F15779" s="0" t="s">
        <v>90</v>
      </c>
      <c r="G15779" s="0" t="s">
        <v>36</v>
      </c>
      <c r="H15779" s="0" t="n">
        <v>66</v>
      </c>
      <c r="I15779" s="0" t="s">
        <v>52455</v>
      </c>
      <c r="J15779" s="0" t="s">
        <v>52456</v>
      </c>
      <c r="K15779" s="0" t="s">
        <v>52457</v>
      </c>
      <c r="L15779" s="0" t="str">
        <f aca="false">HYPERLINK("https://www.ncbi.nlm.nih.gov/nuccore/CP000058.1?report=graph&amp;tracks=[key:gene_model_track,Options:GeneOnly]&amp;mk=4882336:4882355|offset_66|00cc00,4882301:4882320|offset_101|444444,4882257:4882276|offset_145|444444,4882229:4882248|offset_173|444444&amp;v=4882135:4882448&amp;c=444444", "offset 66")</f>
        <v>offset 66</v>
      </c>
    </row>
    <row r="15780" customFormat="false" ht="12.8" hidden="false" customHeight="false" outlineLevel="0" collapsed="false">
      <c r="A15780" s="0" t="s">
        <v>12</v>
      </c>
      <c r="B15780" s="0" t="n">
        <v>4882300</v>
      </c>
      <c r="C15780" s="0" t="n">
        <v>4882320</v>
      </c>
      <c r="D15780" s="0" t="s">
        <v>52454</v>
      </c>
      <c r="E15780" s="0" t="s">
        <v>75</v>
      </c>
      <c r="F15780" s="0" t="s">
        <v>90</v>
      </c>
      <c r="G15780" s="0" t="s">
        <v>36</v>
      </c>
      <c r="H15780" s="0" t="n">
        <v>101</v>
      </c>
      <c r="I15780" s="0" t="s">
        <v>52458</v>
      </c>
      <c r="J15780" s="0" t="s">
        <v>52459</v>
      </c>
      <c r="K15780" s="0" t="s">
        <v>52460</v>
      </c>
      <c r="L15780" s="0" t="str">
        <f aca="false">HYPERLINK("https://www.ncbi.nlm.nih.gov/nuccore/CP000058.1?report=graph&amp;tracks=[key:gene_model_track,Options:GeneOnly]&amp;mk=4882336:4882355|offset_66|444444,4882301:4882320|offset_101|00cc00,4882257:4882276|offset_145|444444,4882229:4882248|offset_173|444444&amp;v=4882135:4882448&amp;c=444444", "offset 101")</f>
        <v>offset 101</v>
      </c>
    </row>
    <row r="15781" customFormat="false" ht="12.8" hidden="false" customHeight="false" outlineLevel="0" collapsed="false">
      <c r="A15781" s="0" t="s">
        <v>12</v>
      </c>
      <c r="B15781" s="0" t="n">
        <v>4882256</v>
      </c>
      <c r="C15781" s="0" t="n">
        <v>4882276</v>
      </c>
      <c r="D15781" s="0" t="s">
        <v>52454</v>
      </c>
      <c r="E15781" s="0" t="s">
        <v>75</v>
      </c>
      <c r="F15781" s="0" t="s">
        <v>90</v>
      </c>
      <c r="G15781" s="0" t="s">
        <v>16</v>
      </c>
      <c r="H15781" s="0" t="n">
        <v>145</v>
      </c>
      <c r="I15781" s="0" t="s">
        <v>52461</v>
      </c>
      <c r="J15781" s="0" t="s">
        <v>52462</v>
      </c>
      <c r="K15781" s="0" t="s">
        <v>52463</v>
      </c>
      <c r="L15781" s="0" t="str">
        <f aca="false">HYPERLINK("https://www.ncbi.nlm.nih.gov/nuccore/CP000058.1?report=graph&amp;tracks=[key:gene_model_track,Options:GeneOnly]&amp;mk=4882336:4882355|offset_66|444444,4882301:4882320|offset_101|444444,4882257:4882276|offset_145|00cc00,4882229:4882248|offset_173|444444&amp;v=4882135:4882448&amp;c=444444", "offset 145")</f>
        <v>offset 145</v>
      </c>
    </row>
    <row r="15782" customFormat="false" ht="12.8" hidden="false" customHeight="false" outlineLevel="0" collapsed="false">
      <c r="A15782" s="0" t="s">
        <v>12</v>
      </c>
      <c r="B15782" s="0" t="n">
        <v>4882228</v>
      </c>
      <c r="C15782" s="0" t="n">
        <v>4882248</v>
      </c>
      <c r="D15782" s="0" t="s">
        <v>52454</v>
      </c>
      <c r="E15782" s="0" t="s">
        <v>75</v>
      </c>
      <c r="F15782" s="0" t="s">
        <v>90</v>
      </c>
      <c r="G15782" s="0" t="s">
        <v>16</v>
      </c>
      <c r="H15782" s="0" t="n">
        <v>173</v>
      </c>
      <c r="I15782" s="0" t="s">
        <v>52464</v>
      </c>
      <c r="J15782" s="0" t="s">
        <v>52465</v>
      </c>
      <c r="K15782" s="0" t="s">
        <v>52466</v>
      </c>
      <c r="L15782" s="0" t="str">
        <f aca="false">HYPERLINK("https://www.ncbi.nlm.nih.gov/nuccore/CP000058.1?report=graph&amp;tracks=[key:gene_model_track,Options:GeneOnly]&amp;mk=4882336:4882355|offset_66|444444,4882301:4882320|offset_101|444444,4882257:4882276|offset_145|444444,4882229:4882248|offset_173|00cc00&amp;v=4882135:4882448&amp;c=444444", "offset 173")</f>
        <v>offset 173</v>
      </c>
    </row>
    <row r="15783" customFormat="false" ht="12.8" hidden="false" customHeight="false" outlineLevel="0" collapsed="false">
      <c r="A15783" s="0" t="s">
        <v>12</v>
      </c>
      <c r="B15783" s="0" t="n">
        <v>4885235</v>
      </c>
      <c r="C15783" s="0" t="n">
        <v>4885255</v>
      </c>
      <c r="D15783" s="0" t="s">
        <v>52467</v>
      </c>
      <c r="E15783" s="0" t="s">
        <v>75</v>
      </c>
      <c r="F15783" s="0" t="s">
        <v>90</v>
      </c>
      <c r="G15783" s="0" t="s">
        <v>32</v>
      </c>
      <c r="H15783" s="0" t="n">
        <v>14</v>
      </c>
      <c r="I15783" s="0" t="s">
        <v>52468</v>
      </c>
      <c r="J15783" s="0" t="s">
        <v>52469</v>
      </c>
      <c r="K15783" s="0" t="s">
        <v>52470</v>
      </c>
      <c r="L15783" s="0" t="str">
        <f aca="false">HYPERLINK("https://www.ncbi.nlm.nih.gov/nuccore/CP000058.1?report=graph&amp;tracks=[key:gene_model_track,Options:GeneOnly]&amp;mk=4885236:4885255|offset_14|00cc00,4885215:4885234|offset_35|444444,4885173:4885192|offset_77|444444,4885111:4885130|offset_139|444444&amp;v=4885035:4885330&amp;c=444444", "offset 14")</f>
        <v>offset 14</v>
      </c>
    </row>
    <row r="15784" customFormat="false" ht="12.8" hidden="false" customHeight="false" outlineLevel="0" collapsed="false">
      <c r="A15784" s="0" t="s">
        <v>12</v>
      </c>
      <c r="B15784" s="0" t="n">
        <v>4885214</v>
      </c>
      <c r="C15784" s="0" t="n">
        <v>4885234</v>
      </c>
      <c r="D15784" s="0" t="s">
        <v>52467</v>
      </c>
      <c r="E15784" s="0" t="s">
        <v>75</v>
      </c>
      <c r="F15784" s="0" t="s">
        <v>90</v>
      </c>
      <c r="G15784" s="0" t="s">
        <v>32</v>
      </c>
      <c r="H15784" s="0" t="n">
        <v>35</v>
      </c>
      <c r="I15784" s="0" t="s">
        <v>52471</v>
      </c>
      <c r="J15784" s="0" t="s">
        <v>52472</v>
      </c>
      <c r="K15784" s="0" t="s">
        <v>52473</v>
      </c>
      <c r="L15784" s="0" t="str">
        <f aca="false">HYPERLINK("https://www.ncbi.nlm.nih.gov/nuccore/CP000058.1?report=graph&amp;tracks=[key:gene_model_track,Options:GeneOnly]&amp;mk=4885236:4885255|offset_14|444444,4885215:4885234|offset_35|00cc00,4885173:4885192|offset_77|444444,4885111:4885130|offset_139|444444&amp;v=4885035:4885330&amp;c=444444", "offset 35")</f>
        <v>offset 35</v>
      </c>
    </row>
    <row r="15785" customFormat="false" ht="12.8" hidden="false" customHeight="false" outlineLevel="0" collapsed="false">
      <c r="A15785" s="0" t="s">
        <v>12</v>
      </c>
      <c r="B15785" s="0" t="n">
        <v>4885172</v>
      </c>
      <c r="C15785" s="0" t="n">
        <v>4885192</v>
      </c>
      <c r="D15785" s="0" t="s">
        <v>52467</v>
      </c>
      <c r="E15785" s="0" t="s">
        <v>75</v>
      </c>
      <c r="F15785" s="0" t="s">
        <v>90</v>
      </c>
      <c r="G15785" s="0" t="s">
        <v>20</v>
      </c>
      <c r="H15785" s="0" t="n">
        <v>77</v>
      </c>
      <c r="I15785" s="0" t="s">
        <v>52474</v>
      </c>
      <c r="J15785" s="0" t="s">
        <v>52475</v>
      </c>
      <c r="K15785" s="0" t="s">
        <v>52476</v>
      </c>
      <c r="L15785" s="0" t="str">
        <f aca="false">HYPERLINK("https://www.ncbi.nlm.nih.gov/nuccore/CP000058.1?report=graph&amp;tracks=[key:gene_model_track,Options:GeneOnly]&amp;mk=4885236:4885255|offset_14|444444,4885215:4885234|offset_35|444444,4885173:4885192|offset_77|00cc00,4885111:4885130|offset_139|444444&amp;v=4885035:4885330&amp;c=444444", "offset 77")</f>
        <v>offset 77</v>
      </c>
    </row>
    <row r="15786" customFormat="false" ht="12.8" hidden="false" customHeight="false" outlineLevel="0" collapsed="false">
      <c r="A15786" s="0" t="s">
        <v>12</v>
      </c>
      <c r="B15786" s="0" t="n">
        <v>4885110</v>
      </c>
      <c r="C15786" s="0" t="n">
        <v>4885130</v>
      </c>
      <c r="D15786" s="0" t="s">
        <v>52467</v>
      </c>
      <c r="E15786" s="0" t="s">
        <v>75</v>
      </c>
      <c r="F15786" s="0" t="s">
        <v>90</v>
      </c>
      <c r="G15786" s="0" t="s">
        <v>32</v>
      </c>
      <c r="H15786" s="0" t="n">
        <v>139</v>
      </c>
      <c r="I15786" s="0" t="s">
        <v>52477</v>
      </c>
      <c r="J15786" s="0" t="s">
        <v>52478</v>
      </c>
      <c r="K15786" s="0" t="s">
        <v>52479</v>
      </c>
      <c r="L15786" s="0" t="str">
        <f aca="false">HYPERLINK("https://www.ncbi.nlm.nih.gov/nuccore/CP000058.1?report=graph&amp;tracks=[key:gene_model_track,Options:GeneOnly]&amp;mk=4885236:4885255|offset_14|444444,4885215:4885234|offset_35|444444,4885173:4885192|offset_77|444444,4885111:4885130|offset_139|00cc00&amp;v=4885035:4885330&amp;c=444444", "offset 139")</f>
        <v>offset 139</v>
      </c>
    </row>
    <row r="15787" customFormat="false" ht="12.8" hidden="false" customHeight="false" outlineLevel="0" collapsed="false">
      <c r="A15787" s="0" t="s">
        <v>12</v>
      </c>
      <c r="B15787" s="0" t="n">
        <v>4885874</v>
      </c>
      <c r="C15787" s="0" t="n">
        <v>4885894</v>
      </c>
      <c r="D15787" s="0" t="s">
        <v>52480</v>
      </c>
      <c r="E15787" s="0" t="s">
        <v>75</v>
      </c>
      <c r="F15787" s="0" t="s">
        <v>90</v>
      </c>
      <c r="G15787" s="0" t="s">
        <v>36</v>
      </c>
      <c r="H15787" s="0" t="n">
        <v>25</v>
      </c>
      <c r="I15787" s="0" t="s">
        <v>52481</v>
      </c>
      <c r="J15787" s="0" t="s">
        <v>52482</v>
      </c>
      <c r="K15787" s="0" t="s">
        <v>52483</v>
      </c>
      <c r="L15787" s="0" t="str">
        <f aca="false">HYPERLINK("https://www.ncbi.nlm.nih.gov/nuccore/CP000058.1?report=graph&amp;tracks=[key:gene_model_track,Options:GeneOnly]&amp;mk=4885875:4885894|offset_25|00cc00,4885842:4885861|offset_58|444444,4885812:4885831|offset_88|444444,4885784:4885803|offset_116|444444&amp;v=4885674:4886003&amp;c=444444", "offset 25")</f>
        <v>offset 25</v>
      </c>
    </row>
    <row r="15788" customFormat="false" ht="12.8" hidden="false" customHeight="false" outlineLevel="0" collapsed="false">
      <c r="A15788" s="0" t="s">
        <v>12</v>
      </c>
      <c r="B15788" s="0" t="n">
        <v>4885841</v>
      </c>
      <c r="C15788" s="0" t="n">
        <v>4885861</v>
      </c>
      <c r="D15788" s="0" t="s">
        <v>52480</v>
      </c>
      <c r="E15788" s="0" t="s">
        <v>75</v>
      </c>
      <c r="F15788" s="0" t="s">
        <v>90</v>
      </c>
      <c r="G15788" s="0" t="s">
        <v>32</v>
      </c>
      <c r="H15788" s="0" t="n">
        <v>58</v>
      </c>
      <c r="I15788" s="0" t="s">
        <v>52484</v>
      </c>
      <c r="J15788" s="0" t="s">
        <v>52485</v>
      </c>
      <c r="K15788" s="0" t="s">
        <v>52486</v>
      </c>
      <c r="L15788" s="0" t="str">
        <f aca="false">HYPERLINK("https://www.ncbi.nlm.nih.gov/nuccore/CP000058.1?report=graph&amp;tracks=[key:gene_model_track,Options:GeneOnly]&amp;mk=4885875:4885894|offset_25|444444,4885842:4885861|offset_58|00cc00,4885812:4885831|offset_88|444444,4885784:4885803|offset_116|444444&amp;v=4885674:4886003&amp;c=444444", "offset 58")</f>
        <v>offset 58</v>
      </c>
    </row>
    <row r="15789" customFormat="false" ht="12.8" hidden="false" customHeight="false" outlineLevel="0" collapsed="false">
      <c r="A15789" s="0" t="s">
        <v>12</v>
      </c>
      <c r="B15789" s="0" t="n">
        <v>4885811</v>
      </c>
      <c r="C15789" s="0" t="n">
        <v>4885831</v>
      </c>
      <c r="D15789" s="0" t="s">
        <v>52480</v>
      </c>
      <c r="E15789" s="0" t="s">
        <v>75</v>
      </c>
      <c r="F15789" s="0" t="s">
        <v>90</v>
      </c>
      <c r="G15789" s="0" t="s">
        <v>16</v>
      </c>
      <c r="H15789" s="0" t="n">
        <v>88</v>
      </c>
      <c r="I15789" s="0" t="s">
        <v>52487</v>
      </c>
      <c r="J15789" s="0" t="s">
        <v>52488</v>
      </c>
      <c r="K15789" s="0" t="s">
        <v>52489</v>
      </c>
      <c r="L15789" s="0" t="str">
        <f aca="false">HYPERLINK("https://www.ncbi.nlm.nih.gov/nuccore/CP000058.1?report=graph&amp;tracks=[key:gene_model_track,Options:GeneOnly]&amp;mk=4885875:4885894|offset_25|444444,4885842:4885861|offset_58|444444,4885812:4885831|offset_88|00cc00,4885784:4885803|offset_116|444444&amp;v=4885674:4886003&amp;c=444444", "offset 88")</f>
        <v>offset 88</v>
      </c>
    </row>
    <row r="15790" customFormat="false" ht="12.8" hidden="false" customHeight="false" outlineLevel="0" collapsed="false">
      <c r="A15790" s="0" t="s">
        <v>12</v>
      </c>
      <c r="B15790" s="0" t="n">
        <v>4885783</v>
      </c>
      <c r="C15790" s="0" t="n">
        <v>4885803</v>
      </c>
      <c r="D15790" s="0" t="s">
        <v>52480</v>
      </c>
      <c r="E15790" s="0" t="s">
        <v>75</v>
      </c>
      <c r="F15790" s="0" t="s">
        <v>90</v>
      </c>
      <c r="G15790" s="0" t="s">
        <v>36</v>
      </c>
      <c r="H15790" s="0" t="n">
        <v>116</v>
      </c>
      <c r="I15790" s="0" t="s">
        <v>52490</v>
      </c>
      <c r="J15790" s="0" t="s">
        <v>52491</v>
      </c>
      <c r="K15790" s="0" t="s">
        <v>52492</v>
      </c>
      <c r="L15790" s="0" t="str">
        <f aca="false">HYPERLINK("https://www.ncbi.nlm.nih.gov/nuccore/CP000058.1?report=graph&amp;tracks=[key:gene_model_track,Options:GeneOnly]&amp;mk=4885875:4885894|offset_25|444444,4885842:4885861|offset_58|444444,4885812:4885831|offset_88|444444,4885784:4885803|offset_116|00cc00&amp;v=4885674:4886003&amp;c=444444", "offset 116")</f>
        <v>offset 116</v>
      </c>
    </row>
    <row r="15791" customFormat="false" ht="12.8" hidden="false" customHeight="false" outlineLevel="0" collapsed="false">
      <c r="A15791" s="0" t="s">
        <v>12</v>
      </c>
      <c r="B15791" s="0" t="n">
        <v>4886772</v>
      </c>
      <c r="C15791" s="0" t="n">
        <v>4886792</v>
      </c>
      <c r="D15791" s="0" t="s">
        <v>52493</v>
      </c>
      <c r="E15791" s="0" t="s">
        <v>75</v>
      </c>
      <c r="F15791" s="0" t="s">
        <v>90</v>
      </c>
      <c r="G15791" s="0" t="s">
        <v>20</v>
      </c>
      <c r="H15791" s="0" t="n">
        <v>34</v>
      </c>
      <c r="I15791" s="0" t="s">
        <v>52494</v>
      </c>
      <c r="J15791" s="0" t="s">
        <v>52495</v>
      </c>
      <c r="K15791" s="0" t="s">
        <v>52496</v>
      </c>
      <c r="L15791" s="0" t="str">
        <f aca="false">HYPERLINK("https://www.ncbi.nlm.nih.gov/nuccore/CP000058.1?report=graph&amp;tracks=[key:gene_model_track,Options:GeneOnly]&amp;mk=4886773:4886792|offset_34|00cc00,4886752:4886771|offset_55|444444,4886704:4886723|offset_103|444444,4886667:4886686|offset_140|444444&amp;v=4886572:4886886&amp;c=444444", "offset 34")</f>
        <v>offset 34</v>
      </c>
    </row>
    <row r="15792" customFormat="false" ht="12.8" hidden="false" customHeight="false" outlineLevel="0" collapsed="false">
      <c r="A15792" s="0" t="s">
        <v>12</v>
      </c>
      <c r="B15792" s="0" t="n">
        <v>4886751</v>
      </c>
      <c r="C15792" s="0" t="n">
        <v>4886771</v>
      </c>
      <c r="D15792" s="0" t="s">
        <v>52493</v>
      </c>
      <c r="E15792" s="0" t="s">
        <v>75</v>
      </c>
      <c r="F15792" s="0" t="s">
        <v>90</v>
      </c>
      <c r="G15792" s="0" t="s">
        <v>36</v>
      </c>
      <c r="H15792" s="0" t="n">
        <v>55</v>
      </c>
      <c r="I15792" s="0" t="s">
        <v>52497</v>
      </c>
      <c r="J15792" s="0" t="s">
        <v>52498</v>
      </c>
      <c r="K15792" s="0" t="s">
        <v>52499</v>
      </c>
      <c r="L15792" s="0" t="str">
        <f aca="false">HYPERLINK("https://www.ncbi.nlm.nih.gov/nuccore/CP000058.1?report=graph&amp;tracks=[key:gene_model_track,Options:GeneOnly]&amp;mk=4886773:4886792|offset_34|444444,4886752:4886771|offset_55|00cc00,4886704:4886723|offset_103|444444,4886667:4886686|offset_140|444444&amp;v=4886572:4886886&amp;c=444444", "offset 55")</f>
        <v>offset 55</v>
      </c>
    </row>
    <row r="15793" customFormat="false" ht="12.8" hidden="false" customHeight="false" outlineLevel="0" collapsed="false">
      <c r="A15793" s="0" t="s">
        <v>12</v>
      </c>
      <c r="B15793" s="0" t="n">
        <v>4886703</v>
      </c>
      <c r="C15793" s="0" t="n">
        <v>4886723</v>
      </c>
      <c r="D15793" s="0" t="s">
        <v>52493</v>
      </c>
      <c r="E15793" s="0" t="s">
        <v>75</v>
      </c>
      <c r="F15793" s="0" t="s">
        <v>90</v>
      </c>
      <c r="G15793" s="0" t="s">
        <v>16</v>
      </c>
      <c r="H15793" s="0" t="n">
        <v>103</v>
      </c>
      <c r="I15793" s="0" t="s">
        <v>52500</v>
      </c>
      <c r="J15793" s="0" t="s">
        <v>52501</v>
      </c>
      <c r="K15793" s="0" t="s">
        <v>52502</v>
      </c>
      <c r="L15793" s="0" t="str">
        <f aca="false">HYPERLINK("https://www.ncbi.nlm.nih.gov/nuccore/CP000058.1?report=graph&amp;tracks=[key:gene_model_track,Options:GeneOnly]&amp;mk=4886773:4886792|offset_34|444444,4886752:4886771|offset_55|444444,4886704:4886723|offset_103|00cc00,4886667:4886686|offset_140|444444&amp;v=4886572:4886886&amp;c=444444", "offset 103")</f>
        <v>offset 103</v>
      </c>
    </row>
    <row r="15794" customFormat="false" ht="12.8" hidden="false" customHeight="false" outlineLevel="0" collapsed="false">
      <c r="A15794" s="0" t="s">
        <v>12</v>
      </c>
      <c r="B15794" s="0" t="n">
        <v>4886666</v>
      </c>
      <c r="C15794" s="0" t="n">
        <v>4886686</v>
      </c>
      <c r="D15794" s="0" t="s">
        <v>52493</v>
      </c>
      <c r="E15794" s="0" t="s">
        <v>75</v>
      </c>
      <c r="F15794" s="0" t="s">
        <v>90</v>
      </c>
      <c r="G15794" s="0" t="s">
        <v>20</v>
      </c>
      <c r="H15794" s="0" t="n">
        <v>140</v>
      </c>
      <c r="I15794" s="0" t="s">
        <v>52503</v>
      </c>
      <c r="J15794" s="0" t="s">
        <v>52504</v>
      </c>
      <c r="K15794" s="0" t="s">
        <v>52505</v>
      </c>
      <c r="L15794" s="0" t="str">
        <f aca="false">HYPERLINK("https://www.ncbi.nlm.nih.gov/nuccore/CP000058.1?report=graph&amp;tracks=[key:gene_model_track,Options:GeneOnly]&amp;mk=4886773:4886792|offset_34|444444,4886752:4886771|offset_55|444444,4886704:4886723|offset_103|444444,4886667:4886686|offset_140|00cc00&amp;v=4886572:4886886&amp;c=444444", "offset 140")</f>
        <v>offset 140</v>
      </c>
    </row>
    <row r="15795" customFormat="false" ht="12.8" hidden="false" customHeight="false" outlineLevel="0" collapsed="false">
      <c r="A15795" s="0" t="s">
        <v>12</v>
      </c>
      <c r="B15795" s="0" t="n">
        <v>4887534</v>
      </c>
      <c r="C15795" s="0" t="n">
        <v>4887554</v>
      </c>
      <c r="D15795" s="0" t="s">
        <v>52506</v>
      </c>
      <c r="E15795" s="0" t="s">
        <v>75</v>
      </c>
      <c r="F15795" s="0" t="s">
        <v>90</v>
      </c>
      <c r="G15795" s="0" t="s">
        <v>20</v>
      </c>
      <c r="H15795" s="0" t="n">
        <v>0</v>
      </c>
      <c r="I15795" s="0" t="s">
        <v>52507</v>
      </c>
      <c r="J15795" s="0" t="s">
        <v>52508</v>
      </c>
      <c r="K15795" s="0" t="s">
        <v>52509</v>
      </c>
      <c r="L15795" s="0" t="str">
        <f aca="false">HYPERLINK("https://www.ncbi.nlm.nih.gov/nuccore/CP000058.1?report=graph&amp;tracks=[key:gene_model_track,Options:GeneOnly]&amp;mk=4887535:4887554|offset_0|00cc00,4887479:4887498|offset_56|444444,4887431:4887450|offset_104|444444,4887410:4887429|offset_125|444444&amp;v=4887334:4887629&amp;c=444444", "offset 0")</f>
        <v>offset 0</v>
      </c>
    </row>
    <row r="15796" customFormat="false" ht="12.8" hidden="false" customHeight="false" outlineLevel="0" collapsed="false">
      <c r="A15796" s="0" t="s">
        <v>12</v>
      </c>
      <c r="B15796" s="0" t="n">
        <v>4887478</v>
      </c>
      <c r="C15796" s="0" t="n">
        <v>4887498</v>
      </c>
      <c r="D15796" s="0" t="s">
        <v>52506</v>
      </c>
      <c r="E15796" s="0" t="s">
        <v>75</v>
      </c>
      <c r="F15796" s="0" t="s">
        <v>90</v>
      </c>
      <c r="G15796" s="0" t="s">
        <v>20</v>
      </c>
      <c r="H15796" s="0" t="n">
        <v>56</v>
      </c>
      <c r="I15796" s="0" t="s">
        <v>52510</v>
      </c>
      <c r="J15796" s="0" t="s">
        <v>52511</v>
      </c>
      <c r="K15796" s="0" t="s">
        <v>52512</v>
      </c>
      <c r="L15796" s="0" t="str">
        <f aca="false">HYPERLINK("https://www.ncbi.nlm.nih.gov/nuccore/CP000058.1?report=graph&amp;tracks=[key:gene_model_track,Options:GeneOnly]&amp;mk=4887535:4887554|offset_0|444444,4887479:4887498|offset_56|00cc00,4887431:4887450|offset_104|444444,4887410:4887429|offset_125|444444&amp;v=4887334:4887629&amp;c=444444", "offset 56")</f>
        <v>offset 56</v>
      </c>
    </row>
    <row r="15797" customFormat="false" ht="12.8" hidden="false" customHeight="false" outlineLevel="0" collapsed="false">
      <c r="A15797" s="0" t="s">
        <v>12</v>
      </c>
      <c r="B15797" s="0" t="n">
        <v>4887430</v>
      </c>
      <c r="C15797" s="0" t="n">
        <v>4887450</v>
      </c>
      <c r="D15797" s="0" t="s">
        <v>52506</v>
      </c>
      <c r="E15797" s="0" t="s">
        <v>75</v>
      </c>
      <c r="F15797" s="0" t="s">
        <v>90</v>
      </c>
      <c r="G15797" s="0" t="s">
        <v>32</v>
      </c>
      <c r="H15797" s="0" t="n">
        <v>104</v>
      </c>
      <c r="I15797" s="0" t="s">
        <v>52513</v>
      </c>
      <c r="J15797" s="0" t="s">
        <v>52514</v>
      </c>
      <c r="K15797" s="0" t="s">
        <v>52515</v>
      </c>
      <c r="L15797" s="0" t="str">
        <f aca="false">HYPERLINK("https://www.ncbi.nlm.nih.gov/nuccore/CP000058.1?report=graph&amp;tracks=[key:gene_model_track,Options:GeneOnly]&amp;mk=4887535:4887554|offset_0|444444,4887479:4887498|offset_56|444444,4887431:4887450|offset_104|00cc00,4887410:4887429|offset_125|444444&amp;v=4887334:4887629&amp;c=444444", "offset 104")</f>
        <v>offset 104</v>
      </c>
    </row>
    <row r="15798" customFormat="false" ht="12.8" hidden="false" customHeight="false" outlineLevel="0" collapsed="false">
      <c r="A15798" s="0" t="s">
        <v>12</v>
      </c>
      <c r="B15798" s="0" t="n">
        <v>4887409</v>
      </c>
      <c r="C15798" s="0" t="n">
        <v>4887429</v>
      </c>
      <c r="D15798" s="0" t="s">
        <v>52506</v>
      </c>
      <c r="E15798" s="0" t="s">
        <v>75</v>
      </c>
      <c r="F15798" s="0" t="s">
        <v>90</v>
      </c>
      <c r="G15798" s="0" t="s">
        <v>20</v>
      </c>
      <c r="H15798" s="0" t="n">
        <v>125</v>
      </c>
      <c r="I15798" s="0" t="s">
        <v>52516</v>
      </c>
      <c r="J15798" s="0" t="s">
        <v>52517</v>
      </c>
      <c r="K15798" s="0" t="s">
        <v>52518</v>
      </c>
      <c r="L15798" s="0" t="str">
        <f aca="false">HYPERLINK("https://www.ncbi.nlm.nih.gov/nuccore/CP000058.1?report=graph&amp;tracks=[key:gene_model_track,Options:GeneOnly]&amp;mk=4887535:4887554|offset_0|444444,4887479:4887498|offset_56|444444,4887431:4887450|offset_104|444444,4887410:4887429|offset_125|00cc00&amp;v=4887334:4887629&amp;c=444444", "offset 125")</f>
        <v>offset 125</v>
      </c>
    </row>
    <row r="15799" customFormat="false" ht="12.8" hidden="false" customHeight="false" outlineLevel="0" collapsed="false">
      <c r="A15799" s="0" t="s">
        <v>12</v>
      </c>
      <c r="B15799" s="0" t="n">
        <v>4887898</v>
      </c>
      <c r="C15799" s="0" t="n">
        <v>4887918</v>
      </c>
      <c r="D15799" s="0" t="s">
        <v>52519</v>
      </c>
      <c r="E15799" s="0" t="s">
        <v>52520</v>
      </c>
      <c r="F15799" s="0" t="s">
        <v>15</v>
      </c>
      <c r="G15799" s="0" t="s">
        <v>36</v>
      </c>
      <c r="H15799" s="0" t="n">
        <v>0</v>
      </c>
      <c r="I15799" s="0" t="s">
        <v>52521</v>
      </c>
      <c r="J15799" s="0" t="s">
        <v>52522</v>
      </c>
      <c r="K15799" s="0" t="s">
        <v>52523</v>
      </c>
      <c r="L15799" s="0" t="str">
        <f aca="false">HYPERLINK("https://www.ncbi.nlm.nih.gov/nuccore/CP000058.1?report=graph&amp;tracks=[key:gene_model_track,Options:GeneOnly]&amp;mk=4887899:4887918|offset_0|00cc00,4887934:4887953|offset_35|444444,4887954:4887973|offset_55|444444,4887975:4887994|offset_76|444444&amp;v=4887698:4888194&amp;c=444444", "offset 0")</f>
        <v>offset 0</v>
      </c>
    </row>
    <row r="15800" customFormat="false" ht="12.8" hidden="false" customHeight="false" outlineLevel="0" collapsed="false">
      <c r="A15800" s="0" t="s">
        <v>12</v>
      </c>
      <c r="B15800" s="0" t="n">
        <v>4887933</v>
      </c>
      <c r="C15800" s="0" t="n">
        <v>4887953</v>
      </c>
      <c r="D15800" s="0" t="s">
        <v>52519</v>
      </c>
      <c r="E15800" s="0" t="s">
        <v>52520</v>
      </c>
      <c r="F15800" s="0" t="s">
        <v>15</v>
      </c>
      <c r="G15800" s="0" t="s">
        <v>16</v>
      </c>
      <c r="H15800" s="0" t="n">
        <v>35</v>
      </c>
      <c r="I15800" s="0" t="s">
        <v>52524</v>
      </c>
      <c r="J15800" s="0" t="s">
        <v>52525</v>
      </c>
      <c r="K15800" s="0" t="s">
        <v>52526</v>
      </c>
      <c r="L15800" s="0" t="str">
        <f aca="false">HYPERLINK("https://www.ncbi.nlm.nih.gov/nuccore/CP000058.1?report=graph&amp;tracks=[key:gene_model_track,Options:GeneOnly]&amp;mk=4887899:4887918|offset_0|444444,4887934:4887953|offset_35|00cc00,4887954:4887973|offset_55|444444,4887975:4887994|offset_76|444444&amp;v=4887698:4888194&amp;c=444444", "offset 35")</f>
        <v>offset 35</v>
      </c>
    </row>
    <row r="15801" customFormat="false" ht="12.8" hidden="false" customHeight="false" outlineLevel="0" collapsed="false">
      <c r="A15801" s="0" t="s">
        <v>12</v>
      </c>
      <c r="B15801" s="0" t="n">
        <v>4887953</v>
      </c>
      <c r="C15801" s="0" t="n">
        <v>4887973</v>
      </c>
      <c r="D15801" s="0" t="s">
        <v>52519</v>
      </c>
      <c r="E15801" s="0" t="s">
        <v>52520</v>
      </c>
      <c r="F15801" s="0" t="s">
        <v>15</v>
      </c>
      <c r="G15801" s="0" t="s">
        <v>36</v>
      </c>
      <c r="H15801" s="0" t="n">
        <v>55</v>
      </c>
      <c r="I15801" s="0" t="s">
        <v>52527</v>
      </c>
      <c r="J15801" s="0" t="s">
        <v>52528</v>
      </c>
      <c r="K15801" s="0" t="s">
        <v>52529</v>
      </c>
      <c r="L15801" s="0" t="str">
        <f aca="false">HYPERLINK("https://www.ncbi.nlm.nih.gov/nuccore/CP000058.1?report=graph&amp;tracks=[key:gene_model_track,Options:GeneOnly]&amp;mk=4887899:4887918|offset_0|444444,4887934:4887953|offset_35|444444,4887954:4887973|offset_55|00cc00,4887975:4887994|offset_76|444444&amp;v=4887698:4888194&amp;c=444444", "offset 55")</f>
        <v>offset 55</v>
      </c>
    </row>
    <row r="15802" customFormat="false" ht="12.8" hidden="false" customHeight="false" outlineLevel="0" collapsed="false">
      <c r="A15802" s="0" t="s">
        <v>12</v>
      </c>
      <c r="B15802" s="0" t="n">
        <v>4887974</v>
      </c>
      <c r="C15802" s="0" t="n">
        <v>4887994</v>
      </c>
      <c r="D15802" s="0" t="s">
        <v>52519</v>
      </c>
      <c r="E15802" s="0" t="s">
        <v>52520</v>
      </c>
      <c r="F15802" s="0" t="s">
        <v>15</v>
      </c>
      <c r="G15802" s="0" t="s">
        <v>32</v>
      </c>
      <c r="H15802" s="0" t="n">
        <v>76</v>
      </c>
      <c r="I15802" s="0" t="s">
        <v>52530</v>
      </c>
      <c r="J15802" s="0" t="s">
        <v>52531</v>
      </c>
      <c r="K15802" s="0" t="s">
        <v>52532</v>
      </c>
      <c r="L15802" s="0" t="str">
        <f aca="false">HYPERLINK("https://www.ncbi.nlm.nih.gov/nuccore/CP000058.1?report=graph&amp;tracks=[key:gene_model_track,Options:GeneOnly]&amp;mk=4887899:4887918|offset_0|444444,4887934:4887953|offset_35|444444,4887954:4887973|offset_55|444444,4887975:4887994|offset_76|00cc00&amp;v=4887698:4888194&amp;c=444444", "offset 76")</f>
        <v>offset 76</v>
      </c>
    </row>
    <row r="15803" customFormat="false" ht="12.8" hidden="false" customHeight="false" outlineLevel="0" collapsed="false">
      <c r="A15803" s="0" t="s">
        <v>12</v>
      </c>
      <c r="B15803" s="0" t="n">
        <v>4889745</v>
      </c>
      <c r="C15803" s="0" t="n">
        <v>4889765</v>
      </c>
      <c r="D15803" s="0" t="s">
        <v>52533</v>
      </c>
      <c r="E15803" s="0" t="s">
        <v>75</v>
      </c>
      <c r="F15803" s="0" t="s">
        <v>15</v>
      </c>
      <c r="G15803" s="0" t="s">
        <v>20</v>
      </c>
      <c r="H15803" s="0" t="n">
        <v>7</v>
      </c>
      <c r="I15803" s="0" t="s">
        <v>52534</v>
      </c>
      <c r="J15803" s="0" t="s">
        <v>52535</v>
      </c>
      <c r="K15803" s="0" t="s">
        <v>52536</v>
      </c>
      <c r="L15803" s="0" t="str">
        <f aca="false">HYPERLINK("https://www.ncbi.nlm.nih.gov/nuccore/CP000058.1?report=graph&amp;tracks=[key:gene_model_track,Options:GeneOnly]&amp;mk=4889746:4889765|offset_7|00cc00,4889771:4889790|offset_32|444444,4889893:4889912|offset_154|444444,4889930:4889949|offset_191|444444&amp;v=4889545:4890149&amp;c=444444", "offset 7")</f>
        <v>offset 7</v>
      </c>
    </row>
    <row r="15804" customFormat="false" ht="12.8" hidden="false" customHeight="false" outlineLevel="0" collapsed="false">
      <c r="A15804" s="0" t="s">
        <v>12</v>
      </c>
      <c r="B15804" s="0" t="n">
        <v>4889770</v>
      </c>
      <c r="C15804" s="0" t="n">
        <v>4889790</v>
      </c>
      <c r="D15804" s="0" t="s">
        <v>52533</v>
      </c>
      <c r="E15804" s="0" t="s">
        <v>75</v>
      </c>
      <c r="F15804" s="0" t="s">
        <v>15</v>
      </c>
      <c r="G15804" s="0" t="s">
        <v>16</v>
      </c>
      <c r="H15804" s="0" t="n">
        <v>32</v>
      </c>
      <c r="I15804" s="0" t="s">
        <v>52537</v>
      </c>
      <c r="J15804" s="0" t="s">
        <v>52538</v>
      </c>
      <c r="K15804" s="0" t="s">
        <v>52539</v>
      </c>
      <c r="L15804" s="0" t="str">
        <f aca="false">HYPERLINK("https://www.ncbi.nlm.nih.gov/nuccore/CP000058.1?report=graph&amp;tracks=[key:gene_model_track,Options:GeneOnly]&amp;mk=4889746:4889765|offset_7|444444,4889771:4889790|offset_32|00cc00,4889893:4889912|offset_154|444444,4889930:4889949|offset_191|444444&amp;v=4889545:4890149&amp;c=444444", "offset 32")</f>
        <v>offset 32</v>
      </c>
    </row>
    <row r="15805" customFormat="false" ht="12.8" hidden="false" customHeight="false" outlineLevel="0" collapsed="false">
      <c r="A15805" s="0" t="s">
        <v>12</v>
      </c>
      <c r="B15805" s="0" t="n">
        <v>4889892</v>
      </c>
      <c r="C15805" s="0" t="n">
        <v>4889912</v>
      </c>
      <c r="D15805" s="0" t="s">
        <v>52533</v>
      </c>
      <c r="E15805" s="0" t="s">
        <v>75</v>
      </c>
      <c r="F15805" s="0" t="s">
        <v>15</v>
      </c>
      <c r="G15805" s="0" t="s">
        <v>32</v>
      </c>
      <c r="H15805" s="0" t="n">
        <v>154</v>
      </c>
      <c r="I15805" s="0" t="s">
        <v>52540</v>
      </c>
      <c r="J15805" s="0" t="s">
        <v>52541</v>
      </c>
      <c r="K15805" s="0" t="s">
        <v>52542</v>
      </c>
      <c r="L15805" s="0" t="str">
        <f aca="false">HYPERLINK("https://www.ncbi.nlm.nih.gov/nuccore/CP000058.1?report=graph&amp;tracks=[key:gene_model_track,Options:GeneOnly]&amp;mk=4889746:4889765|offset_7|444444,4889771:4889790|offset_32|444444,4889893:4889912|offset_154|00cc00,4889930:4889949|offset_191|444444&amp;v=4889545:4890149&amp;c=444444", "offset 154")</f>
        <v>offset 154</v>
      </c>
    </row>
    <row r="15806" customFormat="false" ht="12.8" hidden="false" customHeight="false" outlineLevel="0" collapsed="false">
      <c r="A15806" s="0" t="s">
        <v>12</v>
      </c>
      <c r="B15806" s="0" t="n">
        <v>4889929</v>
      </c>
      <c r="C15806" s="0" t="n">
        <v>4889949</v>
      </c>
      <c r="D15806" s="0" t="s">
        <v>52533</v>
      </c>
      <c r="E15806" s="0" t="s">
        <v>75</v>
      </c>
      <c r="F15806" s="0" t="s">
        <v>15</v>
      </c>
      <c r="G15806" s="0" t="s">
        <v>20</v>
      </c>
      <c r="H15806" s="0" t="n">
        <v>191</v>
      </c>
      <c r="I15806" s="0" t="s">
        <v>52543</v>
      </c>
      <c r="J15806" s="0" t="s">
        <v>52544</v>
      </c>
      <c r="K15806" s="0" t="s">
        <v>52545</v>
      </c>
      <c r="L15806" s="0" t="str">
        <f aca="false">HYPERLINK("https://www.ncbi.nlm.nih.gov/nuccore/CP000058.1?report=graph&amp;tracks=[key:gene_model_track,Options:GeneOnly]&amp;mk=4889746:4889765|offset_7|444444,4889771:4889790|offset_32|444444,4889893:4889912|offset_154|444444,4889930:4889949|offset_191|00cc00&amp;v=4889545:4890149&amp;c=444444", "offset 191")</f>
        <v>offset 191</v>
      </c>
    </row>
    <row r="15807" customFormat="false" ht="12.8" hidden="false" customHeight="false" outlineLevel="0" collapsed="false">
      <c r="A15807" s="0" t="s">
        <v>12</v>
      </c>
      <c r="B15807" s="0" t="n">
        <v>4890686</v>
      </c>
      <c r="C15807" s="0" t="n">
        <v>4890706</v>
      </c>
      <c r="D15807" s="0" t="s">
        <v>52546</v>
      </c>
      <c r="E15807" s="0" t="s">
        <v>75</v>
      </c>
      <c r="F15807" s="0" t="s">
        <v>90</v>
      </c>
      <c r="G15807" s="0" t="s">
        <v>16</v>
      </c>
      <c r="H15807" s="0" t="n">
        <v>14</v>
      </c>
      <c r="I15807" s="0" t="s">
        <v>52547</v>
      </c>
      <c r="J15807" s="0" t="s">
        <v>52548</v>
      </c>
      <c r="K15807" s="0" t="s">
        <v>52549</v>
      </c>
      <c r="L15807" s="0" t="str">
        <f aca="false">HYPERLINK("https://www.ncbi.nlm.nih.gov/nuccore/CP000058.1?report=graph&amp;tracks=[key:gene_model_track,Options:GeneOnly]&amp;mk=4890687:4890706|offset_14|00cc00,4890652:4890671|offset_49|444444,4890625:4890644|offset_76|444444,4890603:4890622|offset_98|444444&amp;v=4890486:4890822&amp;c=444444", "offset 14")</f>
        <v>offset 14</v>
      </c>
    </row>
    <row r="15808" customFormat="false" ht="12.8" hidden="false" customHeight="false" outlineLevel="0" collapsed="false">
      <c r="A15808" s="0" t="s">
        <v>12</v>
      </c>
      <c r="B15808" s="0" t="n">
        <v>4890651</v>
      </c>
      <c r="C15808" s="0" t="n">
        <v>4890671</v>
      </c>
      <c r="D15808" s="0" t="s">
        <v>52546</v>
      </c>
      <c r="E15808" s="0" t="s">
        <v>75</v>
      </c>
      <c r="F15808" s="0" t="s">
        <v>90</v>
      </c>
      <c r="G15808" s="0" t="s">
        <v>16</v>
      </c>
      <c r="H15808" s="0" t="n">
        <v>49</v>
      </c>
      <c r="I15808" s="0" t="s">
        <v>52550</v>
      </c>
      <c r="J15808" s="0" t="s">
        <v>52551</v>
      </c>
      <c r="K15808" s="0" t="s">
        <v>52552</v>
      </c>
      <c r="L15808" s="0" t="str">
        <f aca="false">HYPERLINK("https://www.ncbi.nlm.nih.gov/nuccore/CP000058.1?report=graph&amp;tracks=[key:gene_model_track,Options:GeneOnly]&amp;mk=4890687:4890706|offset_14|444444,4890652:4890671|offset_49|00cc00,4890625:4890644|offset_76|444444,4890603:4890622|offset_98|444444&amp;v=4890486:4890822&amp;c=444444", "offset 49")</f>
        <v>offset 49</v>
      </c>
    </row>
    <row r="15809" customFormat="false" ht="12.8" hidden="false" customHeight="false" outlineLevel="0" collapsed="false">
      <c r="A15809" s="0" t="s">
        <v>12</v>
      </c>
      <c r="B15809" s="0" t="n">
        <v>4890624</v>
      </c>
      <c r="C15809" s="0" t="n">
        <v>4890644</v>
      </c>
      <c r="D15809" s="0" t="s">
        <v>52546</v>
      </c>
      <c r="E15809" s="0" t="s">
        <v>75</v>
      </c>
      <c r="F15809" s="0" t="s">
        <v>90</v>
      </c>
      <c r="G15809" s="0" t="s">
        <v>36</v>
      </c>
      <c r="H15809" s="0" t="n">
        <v>76</v>
      </c>
      <c r="I15809" s="0" t="s">
        <v>52553</v>
      </c>
      <c r="J15809" s="0" t="s">
        <v>52554</v>
      </c>
      <c r="K15809" s="0" t="s">
        <v>52555</v>
      </c>
      <c r="L15809" s="0" t="str">
        <f aca="false">HYPERLINK("https://www.ncbi.nlm.nih.gov/nuccore/CP000058.1?report=graph&amp;tracks=[key:gene_model_track,Options:GeneOnly]&amp;mk=4890687:4890706|offset_14|444444,4890652:4890671|offset_49|444444,4890625:4890644|offset_76|00cc00,4890603:4890622|offset_98|444444&amp;v=4890486:4890822&amp;c=444444", "offset 76")</f>
        <v>offset 76</v>
      </c>
    </row>
    <row r="15810" customFormat="false" ht="12.8" hidden="false" customHeight="false" outlineLevel="0" collapsed="false">
      <c r="A15810" s="0" t="s">
        <v>12</v>
      </c>
      <c r="B15810" s="0" t="n">
        <v>4890602</v>
      </c>
      <c r="C15810" s="0" t="n">
        <v>4890622</v>
      </c>
      <c r="D15810" s="0" t="s">
        <v>52546</v>
      </c>
      <c r="E15810" s="0" t="s">
        <v>75</v>
      </c>
      <c r="F15810" s="0" t="s">
        <v>90</v>
      </c>
      <c r="G15810" s="0" t="s">
        <v>16</v>
      </c>
      <c r="H15810" s="0" t="n">
        <v>98</v>
      </c>
      <c r="I15810" s="0" t="s">
        <v>52556</v>
      </c>
      <c r="J15810" s="0" t="s">
        <v>52557</v>
      </c>
      <c r="K15810" s="0" t="s">
        <v>52558</v>
      </c>
      <c r="L15810" s="0" t="str">
        <f aca="false">HYPERLINK("https://www.ncbi.nlm.nih.gov/nuccore/CP000058.1?report=graph&amp;tracks=[key:gene_model_track,Options:GeneOnly]&amp;mk=4890687:4890706|offset_14|444444,4890652:4890671|offset_49|444444,4890625:4890644|offset_76|444444,4890603:4890622|offset_98|00cc00&amp;v=4890486:4890822&amp;c=444444", "offset 98")</f>
        <v>offset 98</v>
      </c>
    </row>
    <row r="15811" customFormat="false" ht="12.8" hidden="false" customHeight="false" outlineLevel="0" collapsed="false">
      <c r="A15811" s="0" t="s">
        <v>12</v>
      </c>
      <c r="B15811" s="0" t="n">
        <v>4891088</v>
      </c>
      <c r="C15811" s="0" t="n">
        <v>4891108</v>
      </c>
      <c r="D15811" s="0" t="s">
        <v>52559</v>
      </c>
      <c r="E15811" s="0" t="s">
        <v>75</v>
      </c>
      <c r="F15811" s="0" t="s">
        <v>90</v>
      </c>
      <c r="G15811" s="0" t="s">
        <v>32</v>
      </c>
      <c r="H15811" s="0" t="n">
        <v>32</v>
      </c>
      <c r="I15811" s="0" t="s">
        <v>52560</v>
      </c>
      <c r="J15811" s="0" t="s">
        <v>52561</v>
      </c>
      <c r="K15811" s="0" t="s">
        <v>52562</v>
      </c>
      <c r="L15811" s="0" t="str">
        <f aca="false">HYPERLINK("https://www.ncbi.nlm.nih.gov/nuccore/CP000058.1?report=graph&amp;tracks=[key:gene_model_track,Options:GeneOnly]&amp;mk=4891089:4891108|offset_32|00cc00,4891062:4891081|offset_59|444444,4890990:4891009|offset_131|444444,4890926:4890945|offset_195|444444&amp;v=4890888:4891145&amp;c=444444", "offset 32")</f>
        <v>offset 32</v>
      </c>
    </row>
    <row r="15812" customFormat="false" ht="12.8" hidden="false" customHeight="false" outlineLevel="0" collapsed="false">
      <c r="A15812" s="0" t="s">
        <v>12</v>
      </c>
      <c r="B15812" s="0" t="n">
        <v>4891061</v>
      </c>
      <c r="C15812" s="0" t="n">
        <v>4891081</v>
      </c>
      <c r="D15812" s="0" t="s">
        <v>52559</v>
      </c>
      <c r="E15812" s="0" t="s">
        <v>75</v>
      </c>
      <c r="F15812" s="0" t="s">
        <v>90</v>
      </c>
      <c r="G15812" s="0" t="s">
        <v>20</v>
      </c>
      <c r="H15812" s="0" t="n">
        <v>59</v>
      </c>
      <c r="I15812" s="0" t="s">
        <v>52563</v>
      </c>
      <c r="J15812" s="0" t="s">
        <v>52564</v>
      </c>
      <c r="K15812" s="0" t="s">
        <v>52565</v>
      </c>
      <c r="L15812" s="0" t="str">
        <f aca="false">HYPERLINK("https://www.ncbi.nlm.nih.gov/nuccore/CP000058.1?report=graph&amp;tracks=[key:gene_model_track,Options:GeneOnly]&amp;mk=4891089:4891108|offset_32|444444,4891062:4891081|offset_59|00cc00,4890990:4891009|offset_131|444444,4890926:4890945|offset_195|444444&amp;v=4890888:4891145&amp;c=444444", "offset 59")</f>
        <v>offset 59</v>
      </c>
    </row>
    <row r="15813" customFormat="false" ht="12.8" hidden="false" customHeight="false" outlineLevel="0" collapsed="false">
      <c r="A15813" s="0" t="s">
        <v>12</v>
      </c>
      <c r="B15813" s="0" t="n">
        <v>4890989</v>
      </c>
      <c r="C15813" s="0" t="n">
        <v>4891009</v>
      </c>
      <c r="D15813" s="0" t="s">
        <v>52559</v>
      </c>
      <c r="E15813" s="0" t="s">
        <v>75</v>
      </c>
      <c r="F15813" s="0" t="s">
        <v>90</v>
      </c>
      <c r="G15813" s="0" t="s">
        <v>36</v>
      </c>
      <c r="H15813" s="0" t="n">
        <v>131</v>
      </c>
      <c r="I15813" s="0" t="s">
        <v>52566</v>
      </c>
      <c r="J15813" s="0" t="s">
        <v>52567</v>
      </c>
      <c r="K15813" s="0" t="s">
        <v>52568</v>
      </c>
      <c r="L15813" s="0" t="str">
        <f aca="false">HYPERLINK("https://www.ncbi.nlm.nih.gov/nuccore/CP000058.1?report=graph&amp;tracks=[key:gene_model_track,Options:GeneOnly]&amp;mk=4891089:4891108|offset_32|444444,4891062:4891081|offset_59|444444,4890990:4891009|offset_131|00cc00,4890926:4890945|offset_195|444444&amp;v=4890888:4891145&amp;c=444444", "offset 131")</f>
        <v>offset 131</v>
      </c>
    </row>
    <row r="15814" customFormat="false" ht="12.8" hidden="false" customHeight="false" outlineLevel="0" collapsed="false">
      <c r="A15814" s="0" t="s">
        <v>12</v>
      </c>
      <c r="B15814" s="0" t="n">
        <v>4890925</v>
      </c>
      <c r="C15814" s="0" t="n">
        <v>4890945</v>
      </c>
      <c r="D15814" s="0" t="s">
        <v>52559</v>
      </c>
      <c r="E15814" s="0" t="s">
        <v>75</v>
      </c>
      <c r="F15814" s="0" t="s">
        <v>90</v>
      </c>
      <c r="G15814" s="0" t="s">
        <v>32</v>
      </c>
      <c r="H15814" s="0" t="n">
        <v>195</v>
      </c>
      <c r="I15814" s="0" t="s">
        <v>52569</v>
      </c>
      <c r="J15814" s="0" t="s">
        <v>52570</v>
      </c>
      <c r="K15814" s="0" t="s">
        <v>52571</v>
      </c>
      <c r="L15814" s="0" t="str">
        <f aca="false">HYPERLINK("https://www.ncbi.nlm.nih.gov/nuccore/CP000058.1?report=graph&amp;tracks=[key:gene_model_track,Options:GeneOnly]&amp;mk=4891089:4891108|offset_32|444444,4891062:4891081|offset_59|444444,4890990:4891009|offset_131|444444,4890926:4890945|offset_195|00cc00&amp;v=4890888:4891145&amp;c=444444", "offset 195")</f>
        <v>offset 195</v>
      </c>
    </row>
    <row r="15815" customFormat="false" ht="12.8" hidden="false" customHeight="false" outlineLevel="0" collapsed="false">
      <c r="A15815" s="0" t="s">
        <v>12</v>
      </c>
      <c r="B15815" s="0" t="n">
        <v>4891610</v>
      </c>
      <c r="C15815" s="0" t="n">
        <v>4891630</v>
      </c>
      <c r="D15815" s="0" t="s">
        <v>52572</v>
      </c>
      <c r="E15815" s="0" t="s">
        <v>75</v>
      </c>
      <c r="F15815" s="0" t="s">
        <v>90</v>
      </c>
      <c r="G15815" s="0" t="s">
        <v>32</v>
      </c>
      <c r="H15815" s="0" t="n">
        <v>20</v>
      </c>
      <c r="I15815" s="0" t="s">
        <v>52573</v>
      </c>
      <c r="J15815" s="0" t="s">
        <v>52574</v>
      </c>
      <c r="K15815" s="0" t="s">
        <v>52575</v>
      </c>
      <c r="L15815" s="0" t="str">
        <f aca="false">HYPERLINK("https://www.ncbi.nlm.nih.gov/nuccore/CP000058.1?report=graph&amp;tracks=[key:gene_model_track,Options:GeneOnly]&amp;mk=4891611:4891630|offset_20|00cc00,4891590:4891609|offset_41|444444,4891570:4891589|offset_61|444444,4891489:4891508|offset_142|444444&amp;v=4891410:4891708&amp;c=444444", "offset 20")</f>
        <v>offset 20</v>
      </c>
    </row>
    <row r="15816" customFormat="false" ht="12.8" hidden="false" customHeight="false" outlineLevel="0" collapsed="false">
      <c r="A15816" s="0" t="s">
        <v>12</v>
      </c>
      <c r="B15816" s="0" t="n">
        <v>4891589</v>
      </c>
      <c r="C15816" s="0" t="n">
        <v>4891609</v>
      </c>
      <c r="D15816" s="0" t="s">
        <v>52572</v>
      </c>
      <c r="E15816" s="0" t="s">
        <v>75</v>
      </c>
      <c r="F15816" s="0" t="s">
        <v>90</v>
      </c>
      <c r="G15816" s="0" t="s">
        <v>36</v>
      </c>
      <c r="H15816" s="0" t="n">
        <v>41</v>
      </c>
      <c r="I15816" s="0" t="s">
        <v>52576</v>
      </c>
      <c r="J15816" s="0" t="s">
        <v>52577</v>
      </c>
      <c r="K15816" s="0" t="s">
        <v>52578</v>
      </c>
      <c r="L15816" s="0" t="str">
        <f aca="false">HYPERLINK("https://www.ncbi.nlm.nih.gov/nuccore/CP000058.1?report=graph&amp;tracks=[key:gene_model_track,Options:GeneOnly]&amp;mk=4891611:4891630|offset_20|444444,4891590:4891609|offset_41|00cc00,4891570:4891589|offset_61|444444,4891489:4891508|offset_142|444444&amp;v=4891410:4891708&amp;c=444444", "offset 41")</f>
        <v>offset 41</v>
      </c>
    </row>
    <row r="15817" customFormat="false" ht="12.8" hidden="false" customHeight="false" outlineLevel="0" collapsed="false">
      <c r="A15817" s="0" t="s">
        <v>12</v>
      </c>
      <c r="B15817" s="0" t="n">
        <v>4891569</v>
      </c>
      <c r="C15817" s="0" t="n">
        <v>4891589</v>
      </c>
      <c r="D15817" s="0" t="s">
        <v>52572</v>
      </c>
      <c r="E15817" s="0" t="s">
        <v>75</v>
      </c>
      <c r="F15817" s="0" t="s">
        <v>90</v>
      </c>
      <c r="G15817" s="0" t="s">
        <v>16</v>
      </c>
      <c r="H15817" s="0" t="n">
        <v>61</v>
      </c>
      <c r="I15817" s="0" t="s">
        <v>52579</v>
      </c>
      <c r="J15817" s="0" t="s">
        <v>52580</v>
      </c>
      <c r="K15817" s="0" t="s">
        <v>52581</v>
      </c>
      <c r="L15817" s="0" t="str">
        <f aca="false">HYPERLINK("https://www.ncbi.nlm.nih.gov/nuccore/CP000058.1?report=graph&amp;tracks=[key:gene_model_track,Options:GeneOnly]&amp;mk=4891611:4891630|offset_20|444444,4891590:4891609|offset_41|444444,4891570:4891589|offset_61|00cc00,4891489:4891508|offset_142|444444&amp;v=4891410:4891708&amp;c=444444", "offset 61")</f>
        <v>offset 61</v>
      </c>
    </row>
    <row r="15818" customFormat="false" ht="12.8" hidden="false" customHeight="false" outlineLevel="0" collapsed="false">
      <c r="A15818" s="0" t="s">
        <v>12</v>
      </c>
      <c r="B15818" s="0" t="n">
        <v>4891488</v>
      </c>
      <c r="C15818" s="0" t="n">
        <v>4891508</v>
      </c>
      <c r="D15818" s="0" t="s">
        <v>52572</v>
      </c>
      <c r="E15818" s="0" t="s">
        <v>75</v>
      </c>
      <c r="F15818" s="0" t="s">
        <v>90</v>
      </c>
      <c r="G15818" s="0" t="s">
        <v>16</v>
      </c>
      <c r="H15818" s="0" t="n">
        <v>142</v>
      </c>
      <c r="I15818" s="0" t="s">
        <v>52582</v>
      </c>
      <c r="J15818" s="0" t="s">
        <v>52583</v>
      </c>
      <c r="K15818" s="0" t="s">
        <v>52584</v>
      </c>
      <c r="L15818" s="0" t="str">
        <f aca="false">HYPERLINK("https://www.ncbi.nlm.nih.gov/nuccore/CP000058.1?report=graph&amp;tracks=[key:gene_model_track,Options:GeneOnly]&amp;mk=4891611:4891630|offset_20|444444,4891590:4891609|offset_41|444444,4891570:4891589|offset_61|444444,4891489:4891508|offset_142|00cc00&amp;v=4891410:4891708&amp;c=444444", "offset 142")</f>
        <v>offset 142</v>
      </c>
    </row>
    <row r="15819" customFormat="false" ht="12.8" hidden="false" customHeight="false" outlineLevel="0" collapsed="false">
      <c r="A15819" s="0" t="s">
        <v>12</v>
      </c>
      <c r="B15819" s="0" t="n">
        <v>4892873</v>
      </c>
      <c r="C15819" s="0" t="n">
        <v>4892893</v>
      </c>
      <c r="D15819" s="0" t="s">
        <v>52585</v>
      </c>
      <c r="E15819" s="0" t="s">
        <v>75</v>
      </c>
      <c r="F15819" s="0" t="s">
        <v>90</v>
      </c>
      <c r="G15819" s="0" t="s">
        <v>32</v>
      </c>
      <c r="H15819" s="0" t="n">
        <v>25</v>
      </c>
      <c r="I15819" s="0" t="s">
        <v>52586</v>
      </c>
      <c r="J15819" s="0" t="s">
        <v>52587</v>
      </c>
      <c r="K15819" s="0" t="s">
        <v>52588</v>
      </c>
      <c r="L15819" s="0" t="str">
        <f aca="false">HYPERLINK("https://www.ncbi.nlm.nih.gov/nuccore/CP000058.1?report=graph&amp;tracks=[key:gene_model_track,Options:GeneOnly]&amp;mk=4892874:4892893|offset_25|00cc00,4892845:4892864|offset_54|444444&amp;v=4892673:4893064&amp;c=444444", "offset 25")</f>
        <v>offset 25</v>
      </c>
    </row>
    <row r="15820" customFormat="false" ht="12.8" hidden="false" customHeight="false" outlineLevel="0" collapsed="false">
      <c r="A15820" s="0" t="s">
        <v>12</v>
      </c>
      <c r="B15820" s="0" t="n">
        <v>4892844</v>
      </c>
      <c r="C15820" s="0" t="n">
        <v>4892864</v>
      </c>
      <c r="D15820" s="0" t="s">
        <v>52585</v>
      </c>
      <c r="E15820" s="0" t="s">
        <v>75</v>
      </c>
      <c r="F15820" s="0" t="s">
        <v>90</v>
      </c>
      <c r="G15820" s="0" t="s">
        <v>16</v>
      </c>
      <c r="H15820" s="0" t="n">
        <v>54</v>
      </c>
      <c r="I15820" s="0" t="s">
        <v>52589</v>
      </c>
      <c r="J15820" s="0" t="s">
        <v>52590</v>
      </c>
      <c r="K15820" s="0" t="s">
        <v>52591</v>
      </c>
      <c r="L15820" s="0" t="str">
        <f aca="false">HYPERLINK("https://www.ncbi.nlm.nih.gov/nuccore/CP000058.1?report=graph&amp;tracks=[key:gene_model_track,Options:GeneOnly]&amp;mk=4892874:4892893|offset_25|444444,4892845:4892864|offset_54|00cc00&amp;v=4892673:4893064&amp;c=444444", "offset 54")</f>
        <v>offset 54</v>
      </c>
    </row>
    <row r="15821" customFormat="false" ht="12.8" hidden="false" customHeight="false" outlineLevel="0" collapsed="false">
      <c r="A15821" s="0" t="s">
        <v>12</v>
      </c>
      <c r="B15821" s="0" t="n">
        <v>4893347</v>
      </c>
      <c r="C15821" s="0" t="n">
        <v>4893367</v>
      </c>
      <c r="D15821" s="0" t="s">
        <v>52592</v>
      </c>
      <c r="E15821" s="0" t="s">
        <v>75</v>
      </c>
      <c r="F15821" s="0" t="s">
        <v>90</v>
      </c>
      <c r="G15821" s="0" t="s">
        <v>20</v>
      </c>
      <c r="H15821" s="0" t="n">
        <v>14</v>
      </c>
      <c r="I15821" s="0" t="s">
        <v>52593</v>
      </c>
      <c r="J15821" s="0" t="s">
        <v>52594</v>
      </c>
      <c r="K15821" s="0" t="s">
        <v>52595</v>
      </c>
      <c r="L15821" s="0" t="str">
        <f aca="false">HYPERLINK("https://www.ncbi.nlm.nih.gov/nuccore/CP000058.1?report=graph&amp;tracks=[key:gene_model_track,Options:GeneOnly]&amp;mk=4893348:4893367|offset_14|00cc00,4893313:4893332|offset_49|444444,4893290:4893309|offset_72|444444,4893247:4893266|offset_115|444444&amp;v=4893147:4893466&amp;c=444444", "offset 14")</f>
        <v>offset 14</v>
      </c>
    </row>
    <row r="15822" customFormat="false" ht="12.8" hidden="false" customHeight="false" outlineLevel="0" collapsed="false">
      <c r="A15822" s="0" t="s">
        <v>12</v>
      </c>
      <c r="B15822" s="0" t="n">
        <v>4893312</v>
      </c>
      <c r="C15822" s="0" t="n">
        <v>4893332</v>
      </c>
      <c r="D15822" s="0" t="s">
        <v>52592</v>
      </c>
      <c r="E15822" s="0" t="s">
        <v>75</v>
      </c>
      <c r="F15822" s="0" t="s">
        <v>90</v>
      </c>
      <c r="G15822" s="0" t="s">
        <v>36</v>
      </c>
      <c r="H15822" s="0" t="n">
        <v>49</v>
      </c>
      <c r="I15822" s="0" t="s">
        <v>52596</v>
      </c>
      <c r="J15822" s="0" t="s">
        <v>52597</v>
      </c>
      <c r="K15822" s="0" t="s">
        <v>52598</v>
      </c>
      <c r="L15822" s="0" t="str">
        <f aca="false">HYPERLINK("https://www.ncbi.nlm.nih.gov/nuccore/CP000058.1?report=graph&amp;tracks=[key:gene_model_track,Options:GeneOnly]&amp;mk=4893348:4893367|offset_14|444444,4893313:4893332|offset_49|00cc00,4893290:4893309|offset_72|444444,4893247:4893266|offset_115|444444&amp;v=4893147:4893466&amp;c=444444", "offset 49")</f>
        <v>offset 49</v>
      </c>
    </row>
    <row r="15823" customFormat="false" ht="12.8" hidden="false" customHeight="false" outlineLevel="0" collapsed="false">
      <c r="A15823" s="0" t="s">
        <v>12</v>
      </c>
      <c r="B15823" s="0" t="n">
        <v>4893289</v>
      </c>
      <c r="C15823" s="0" t="n">
        <v>4893309</v>
      </c>
      <c r="D15823" s="0" t="s">
        <v>52592</v>
      </c>
      <c r="E15823" s="0" t="s">
        <v>75</v>
      </c>
      <c r="F15823" s="0" t="s">
        <v>90</v>
      </c>
      <c r="G15823" s="0" t="s">
        <v>20</v>
      </c>
      <c r="H15823" s="0" t="n">
        <v>72</v>
      </c>
      <c r="I15823" s="0" t="s">
        <v>52599</v>
      </c>
      <c r="J15823" s="0" t="s">
        <v>52600</v>
      </c>
      <c r="K15823" s="0" t="s">
        <v>52601</v>
      </c>
      <c r="L15823" s="0" t="str">
        <f aca="false">HYPERLINK("https://www.ncbi.nlm.nih.gov/nuccore/CP000058.1?report=graph&amp;tracks=[key:gene_model_track,Options:GeneOnly]&amp;mk=4893348:4893367|offset_14|444444,4893313:4893332|offset_49|444444,4893290:4893309|offset_72|00cc00,4893247:4893266|offset_115|444444&amp;v=4893147:4893466&amp;c=444444", "offset 72")</f>
        <v>offset 72</v>
      </c>
    </row>
    <row r="15824" customFormat="false" ht="12.8" hidden="false" customHeight="false" outlineLevel="0" collapsed="false">
      <c r="A15824" s="0" t="s">
        <v>12</v>
      </c>
      <c r="B15824" s="0" t="n">
        <v>4893246</v>
      </c>
      <c r="C15824" s="0" t="n">
        <v>4893266</v>
      </c>
      <c r="D15824" s="0" t="s">
        <v>52592</v>
      </c>
      <c r="E15824" s="0" t="s">
        <v>75</v>
      </c>
      <c r="F15824" s="0" t="s">
        <v>90</v>
      </c>
      <c r="G15824" s="0" t="s">
        <v>16</v>
      </c>
      <c r="H15824" s="0" t="n">
        <v>115</v>
      </c>
      <c r="I15824" s="0" t="s">
        <v>52602</v>
      </c>
      <c r="J15824" s="0" t="s">
        <v>52603</v>
      </c>
      <c r="K15824" s="0" t="s">
        <v>52604</v>
      </c>
      <c r="L15824" s="0" t="str">
        <f aca="false">HYPERLINK("https://www.ncbi.nlm.nih.gov/nuccore/CP000058.1?report=graph&amp;tracks=[key:gene_model_track,Options:GeneOnly]&amp;mk=4893348:4893367|offset_14|444444,4893313:4893332|offset_49|444444,4893290:4893309|offset_72|444444,4893247:4893266|offset_115|00cc00&amp;v=4893147:4893466&amp;c=444444", "offset 115")</f>
        <v>offset 115</v>
      </c>
    </row>
    <row r="15825" customFormat="false" ht="12.8" hidden="false" customHeight="false" outlineLevel="0" collapsed="false">
      <c r="A15825" s="0" t="s">
        <v>12</v>
      </c>
      <c r="B15825" s="0" t="n">
        <v>4895819</v>
      </c>
      <c r="C15825" s="0" t="n">
        <v>4895839</v>
      </c>
      <c r="D15825" s="0" t="s">
        <v>52605</v>
      </c>
      <c r="E15825" s="0" t="s">
        <v>75</v>
      </c>
      <c r="F15825" s="0" t="s">
        <v>90</v>
      </c>
      <c r="G15825" s="0" t="s">
        <v>32</v>
      </c>
      <c r="H15825" s="0" t="n">
        <v>1</v>
      </c>
      <c r="I15825" s="0" t="s">
        <v>52606</v>
      </c>
      <c r="J15825" s="0" t="s">
        <v>52607</v>
      </c>
      <c r="K15825" s="0" t="s">
        <v>52608</v>
      </c>
      <c r="L15825" s="0" t="str">
        <f aca="false">HYPERLINK("https://www.ncbi.nlm.nih.gov/nuccore/CP000058.1?report=graph&amp;tracks=[key:gene_model_track,Options:GeneOnly]&amp;mk=4895820:4895839|offset_1|00cc00,4895779:4895798|offset_42|444444,4895744:4895763|offset_77|444444,4895713:4895732|offset_108|444444&amp;v=4895619:4895932&amp;c=444444", "offset 1")</f>
        <v>offset 1</v>
      </c>
    </row>
    <row r="15826" customFormat="false" ht="12.8" hidden="false" customHeight="false" outlineLevel="0" collapsed="false">
      <c r="A15826" s="0" t="s">
        <v>12</v>
      </c>
      <c r="B15826" s="0" t="n">
        <v>4895778</v>
      </c>
      <c r="C15826" s="0" t="n">
        <v>4895798</v>
      </c>
      <c r="D15826" s="0" t="s">
        <v>52605</v>
      </c>
      <c r="E15826" s="0" t="s">
        <v>75</v>
      </c>
      <c r="F15826" s="0" t="s">
        <v>90</v>
      </c>
      <c r="G15826" s="0" t="s">
        <v>16</v>
      </c>
      <c r="H15826" s="0" t="n">
        <v>42</v>
      </c>
      <c r="I15826" s="0" t="s">
        <v>52609</v>
      </c>
      <c r="J15826" s="0" t="s">
        <v>52610</v>
      </c>
      <c r="K15826" s="0" t="s">
        <v>52611</v>
      </c>
      <c r="L15826" s="0" t="str">
        <f aca="false">HYPERLINK("https://www.ncbi.nlm.nih.gov/nuccore/CP000058.1?report=graph&amp;tracks=[key:gene_model_track,Options:GeneOnly]&amp;mk=4895820:4895839|offset_1|444444,4895779:4895798|offset_42|00cc00,4895744:4895763|offset_77|444444,4895713:4895732|offset_108|444444&amp;v=4895619:4895932&amp;c=444444", "offset 42")</f>
        <v>offset 42</v>
      </c>
    </row>
    <row r="15827" customFormat="false" ht="12.8" hidden="false" customHeight="false" outlineLevel="0" collapsed="false">
      <c r="A15827" s="0" t="s">
        <v>12</v>
      </c>
      <c r="B15827" s="0" t="n">
        <v>4895743</v>
      </c>
      <c r="C15827" s="0" t="n">
        <v>4895763</v>
      </c>
      <c r="D15827" s="0" t="s">
        <v>52605</v>
      </c>
      <c r="E15827" s="0" t="s">
        <v>75</v>
      </c>
      <c r="F15827" s="0" t="s">
        <v>90</v>
      </c>
      <c r="G15827" s="0" t="s">
        <v>20</v>
      </c>
      <c r="H15827" s="0" t="n">
        <v>77</v>
      </c>
      <c r="I15827" s="0" t="s">
        <v>52612</v>
      </c>
      <c r="J15827" s="0" t="s">
        <v>52613</v>
      </c>
      <c r="K15827" s="0" t="s">
        <v>52614</v>
      </c>
      <c r="L15827" s="0" t="str">
        <f aca="false">HYPERLINK("https://www.ncbi.nlm.nih.gov/nuccore/CP000058.1?report=graph&amp;tracks=[key:gene_model_track,Options:GeneOnly]&amp;mk=4895820:4895839|offset_1|444444,4895779:4895798|offset_42|444444,4895744:4895763|offset_77|00cc00,4895713:4895732|offset_108|444444&amp;v=4895619:4895932&amp;c=444444", "offset 77")</f>
        <v>offset 77</v>
      </c>
    </row>
    <row r="15828" customFormat="false" ht="12.8" hidden="false" customHeight="false" outlineLevel="0" collapsed="false">
      <c r="A15828" s="0" t="s">
        <v>12</v>
      </c>
      <c r="B15828" s="0" t="n">
        <v>4895712</v>
      </c>
      <c r="C15828" s="0" t="n">
        <v>4895732</v>
      </c>
      <c r="D15828" s="0" t="s">
        <v>52605</v>
      </c>
      <c r="E15828" s="0" t="s">
        <v>75</v>
      </c>
      <c r="F15828" s="0" t="s">
        <v>90</v>
      </c>
      <c r="G15828" s="0" t="s">
        <v>20</v>
      </c>
      <c r="H15828" s="0" t="n">
        <v>108</v>
      </c>
      <c r="I15828" s="0" t="s">
        <v>52615</v>
      </c>
      <c r="J15828" s="0" t="s">
        <v>52616</v>
      </c>
      <c r="K15828" s="0" t="s">
        <v>52617</v>
      </c>
      <c r="L15828" s="0" t="str">
        <f aca="false">HYPERLINK("https://www.ncbi.nlm.nih.gov/nuccore/CP000058.1?report=graph&amp;tracks=[key:gene_model_track,Options:GeneOnly]&amp;mk=4895820:4895839|offset_1|444444,4895779:4895798|offset_42|444444,4895744:4895763|offset_77|444444,4895713:4895732|offset_108|00cc00&amp;v=4895619:4895932&amp;c=444444", "offset 108")</f>
        <v>offset 108</v>
      </c>
    </row>
    <row r="15829" customFormat="false" ht="12.8" hidden="false" customHeight="false" outlineLevel="0" collapsed="false">
      <c r="A15829" s="0" t="s">
        <v>12</v>
      </c>
      <c r="B15829" s="0" t="n">
        <v>4896311</v>
      </c>
      <c r="C15829" s="0" t="n">
        <v>4896331</v>
      </c>
      <c r="D15829" s="0" t="s">
        <v>52618</v>
      </c>
      <c r="E15829" s="0" t="s">
        <v>75</v>
      </c>
      <c r="F15829" s="0" t="s">
        <v>15</v>
      </c>
      <c r="G15829" s="0" t="s">
        <v>16</v>
      </c>
      <c r="H15829" s="0" t="n">
        <v>34</v>
      </c>
      <c r="I15829" s="0" t="s">
        <v>52619</v>
      </c>
      <c r="J15829" s="0" t="s">
        <v>52620</v>
      </c>
      <c r="K15829" s="0" t="s">
        <v>52621</v>
      </c>
      <c r="L15829" s="0" t="str">
        <f aca="false">HYPERLINK("https://www.ncbi.nlm.nih.gov/nuccore/CP000058.1?report=graph&amp;tracks=[key:gene_model_track,Options:GeneOnly]&amp;mk=4896312:4896331|offset_34|00cc00,4896344:4896363|offset_66|444444,4896401:4896420|offset_123|444444,4896423:4896442|offset_145|444444&amp;v=4896111:4896642&amp;c=444444", "offset 34")</f>
        <v>offset 34</v>
      </c>
    </row>
    <row r="15830" customFormat="false" ht="12.8" hidden="false" customHeight="false" outlineLevel="0" collapsed="false">
      <c r="A15830" s="0" t="s">
        <v>12</v>
      </c>
      <c r="B15830" s="0" t="n">
        <v>4896343</v>
      </c>
      <c r="C15830" s="0" t="n">
        <v>4896363</v>
      </c>
      <c r="D15830" s="0" t="s">
        <v>52618</v>
      </c>
      <c r="E15830" s="0" t="s">
        <v>75</v>
      </c>
      <c r="F15830" s="0" t="s">
        <v>15</v>
      </c>
      <c r="G15830" s="0" t="s">
        <v>32</v>
      </c>
      <c r="H15830" s="0" t="n">
        <v>66</v>
      </c>
      <c r="I15830" s="0" t="s">
        <v>52622</v>
      </c>
      <c r="J15830" s="0" t="s">
        <v>52623</v>
      </c>
      <c r="K15830" s="0" t="s">
        <v>52624</v>
      </c>
      <c r="L15830" s="0" t="str">
        <f aca="false">HYPERLINK("https://www.ncbi.nlm.nih.gov/nuccore/CP000058.1?report=graph&amp;tracks=[key:gene_model_track,Options:GeneOnly]&amp;mk=4896312:4896331|offset_34|444444,4896344:4896363|offset_66|00cc00,4896401:4896420|offset_123|444444,4896423:4896442|offset_145|444444&amp;v=4896111:4896642&amp;c=444444", "offset 66")</f>
        <v>offset 66</v>
      </c>
    </row>
    <row r="15831" customFormat="false" ht="12.8" hidden="false" customHeight="false" outlineLevel="0" collapsed="false">
      <c r="A15831" s="0" t="s">
        <v>12</v>
      </c>
      <c r="B15831" s="0" t="n">
        <v>4896400</v>
      </c>
      <c r="C15831" s="0" t="n">
        <v>4896420</v>
      </c>
      <c r="D15831" s="0" t="s">
        <v>52618</v>
      </c>
      <c r="E15831" s="0" t="s">
        <v>75</v>
      </c>
      <c r="F15831" s="0" t="s">
        <v>15</v>
      </c>
      <c r="G15831" s="0" t="s">
        <v>32</v>
      </c>
      <c r="H15831" s="0" t="n">
        <v>123</v>
      </c>
      <c r="I15831" s="0" t="s">
        <v>52625</v>
      </c>
      <c r="J15831" s="0" t="s">
        <v>52626</v>
      </c>
      <c r="K15831" s="0" t="s">
        <v>52627</v>
      </c>
      <c r="L15831" s="0" t="str">
        <f aca="false">HYPERLINK("https://www.ncbi.nlm.nih.gov/nuccore/CP000058.1?report=graph&amp;tracks=[key:gene_model_track,Options:GeneOnly]&amp;mk=4896312:4896331|offset_34|444444,4896344:4896363|offset_66|444444,4896401:4896420|offset_123|00cc00,4896423:4896442|offset_145|444444&amp;v=4896111:4896642&amp;c=444444", "offset 123")</f>
        <v>offset 123</v>
      </c>
    </row>
    <row r="15832" customFormat="false" ht="12.8" hidden="false" customHeight="false" outlineLevel="0" collapsed="false">
      <c r="A15832" s="0" t="s">
        <v>12</v>
      </c>
      <c r="B15832" s="0" t="n">
        <v>4896422</v>
      </c>
      <c r="C15832" s="0" t="n">
        <v>4896442</v>
      </c>
      <c r="D15832" s="0" t="s">
        <v>52618</v>
      </c>
      <c r="E15832" s="0" t="s">
        <v>75</v>
      </c>
      <c r="F15832" s="0" t="s">
        <v>15</v>
      </c>
      <c r="G15832" s="0" t="s">
        <v>32</v>
      </c>
      <c r="H15832" s="0" t="n">
        <v>145</v>
      </c>
      <c r="I15832" s="0" t="s">
        <v>52628</v>
      </c>
      <c r="J15832" s="0" t="s">
        <v>52629</v>
      </c>
      <c r="K15832" s="0" t="s">
        <v>52630</v>
      </c>
      <c r="L15832" s="0" t="str">
        <f aca="false">HYPERLINK("https://www.ncbi.nlm.nih.gov/nuccore/CP000058.1?report=graph&amp;tracks=[key:gene_model_track,Options:GeneOnly]&amp;mk=4896312:4896331|offset_34|444444,4896344:4896363|offset_66|444444,4896401:4896420|offset_123|444444,4896423:4896442|offset_145|00cc00&amp;v=4896111:4896642&amp;c=444444", "offset 145")</f>
        <v>offset 145</v>
      </c>
    </row>
    <row r="15833" customFormat="false" ht="12.8" hidden="false" customHeight="false" outlineLevel="0" collapsed="false">
      <c r="A15833" s="0" t="s">
        <v>12</v>
      </c>
      <c r="B15833" s="0" t="n">
        <v>4896881</v>
      </c>
      <c r="C15833" s="0" t="n">
        <v>4896901</v>
      </c>
      <c r="D15833" s="0" t="s">
        <v>52631</v>
      </c>
      <c r="E15833" s="0" t="s">
        <v>75</v>
      </c>
      <c r="F15833" s="0" t="s">
        <v>15</v>
      </c>
      <c r="G15833" s="0" t="s">
        <v>36</v>
      </c>
      <c r="H15833" s="0" t="n">
        <v>43</v>
      </c>
      <c r="I15833" s="0" t="s">
        <v>52632</v>
      </c>
      <c r="J15833" s="0" t="s">
        <v>52633</v>
      </c>
      <c r="K15833" s="0" t="s">
        <v>52634</v>
      </c>
      <c r="L15833" s="0" t="str">
        <f aca="false">HYPERLINK("https://www.ncbi.nlm.nih.gov/nuccore/CP000058.1?report=graph&amp;tracks=[key:gene_model_track,Options:GeneOnly]&amp;mk=4896882:4896901|offset_43|00cc00,4896909:4896928|offset_70|444444,4896933:4896952|offset_94|444444,4897009:4897028|offset_170|444444&amp;v=4896681:4897228&amp;c=444444", "offset 43")</f>
        <v>offset 43</v>
      </c>
    </row>
    <row r="15834" customFormat="false" ht="12.8" hidden="false" customHeight="false" outlineLevel="0" collapsed="false">
      <c r="A15834" s="0" t="s">
        <v>12</v>
      </c>
      <c r="B15834" s="0" t="n">
        <v>4896908</v>
      </c>
      <c r="C15834" s="0" t="n">
        <v>4896928</v>
      </c>
      <c r="D15834" s="0" t="s">
        <v>52631</v>
      </c>
      <c r="E15834" s="0" t="s">
        <v>75</v>
      </c>
      <c r="F15834" s="0" t="s">
        <v>15</v>
      </c>
      <c r="G15834" s="0" t="s">
        <v>32</v>
      </c>
      <c r="H15834" s="0" t="n">
        <v>70</v>
      </c>
      <c r="I15834" s="0" t="s">
        <v>52635</v>
      </c>
      <c r="J15834" s="0" t="s">
        <v>52636</v>
      </c>
      <c r="K15834" s="0" t="s">
        <v>52637</v>
      </c>
      <c r="L15834" s="0" t="str">
        <f aca="false">HYPERLINK("https://www.ncbi.nlm.nih.gov/nuccore/CP000058.1?report=graph&amp;tracks=[key:gene_model_track,Options:GeneOnly]&amp;mk=4896882:4896901|offset_43|444444,4896909:4896928|offset_70|00cc00,4896933:4896952|offset_94|444444,4897009:4897028|offset_170|444444&amp;v=4896681:4897228&amp;c=444444", "offset 70")</f>
        <v>offset 70</v>
      </c>
    </row>
    <row r="15835" customFormat="false" ht="12.8" hidden="false" customHeight="false" outlineLevel="0" collapsed="false">
      <c r="A15835" s="0" t="s">
        <v>12</v>
      </c>
      <c r="B15835" s="0" t="n">
        <v>4896932</v>
      </c>
      <c r="C15835" s="0" t="n">
        <v>4896952</v>
      </c>
      <c r="D15835" s="0" t="s">
        <v>52631</v>
      </c>
      <c r="E15835" s="0" t="s">
        <v>75</v>
      </c>
      <c r="F15835" s="0" t="s">
        <v>15</v>
      </c>
      <c r="G15835" s="0" t="s">
        <v>32</v>
      </c>
      <c r="H15835" s="0" t="n">
        <v>94</v>
      </c>
      <c r="I15835" s="0" t="s">
        <v>52638</v>
      </c>
      <c r="J15835" s="0" t="s">
        <v>52639</v>
      </c>
      <c r="K15835" s="0" t="s">
        <v>52640</v>
      </c>
      <c r="L15835" s="0" t="str">
        <f aca="false">HYPERLINK("https://www.ncbi.nlm.nih.gov/nuccore/CP000058.1?report=graph&amp;tracks=[key:gene_model_track,Options:GeneOnly]&amp;mk=4896882:4896901|offset_43|444444,4896909:4896928|offset_70|444444,4896933:4896952|offset_94|00cc00,4897009:4897028|offset_170|444444&amp;v=4896681:4897228&amp;c=444444", "offset 94")</f>
        <v>offset 94</v>
      </c>
    </row>
    <row r="15836" customFormat="false" ht="12.8" hidden="false" customHeight="false" outlineLevel="0" collapsed="false">
      <c r="A15836" s="0" t="s">
        <v>12</v>
      </c>
      <c r="B15836" s="0" t="n">
        <v>4897008</v>
      </c>
      <c r="C15836" s="0" t="n">
        <v>4897028</v>
      </c>
      <c r="D15836" s="0" t="s">
        <v>52631</v>
      </c>
      <c r="E15836" s="0" t="s">
        <v>75</v>
      </c>
      <c r="F15836" s="0" t="s">
        <v>15</v>
      </c>
      <c r="G15836" s="0" t="s">
        <v>36</v>
      </c>
      <c r="H15836" s="0" t="n">
        <v>170</v>
      </c>
      <c r="I15836" s="0" t="s">
        <v>52641</v>
      </c>
      <c r="J15836" s="0" t="s">
        <v>52642</v>
      </c>
      <c r="K15836" s="0" t="s">
        <v>52643</v>
      </c>
      <c r="L15836" s="0" t="str">
        <f aca="false">HYPERLINK("https://www.ncbi.nlm.nih.gov/nuccore/CP000058.1?report=graph&amp;tracks=[key:gene_model_track,Options:GeneOnly]&amp;mk=4896882:4896901|offset_43|444444,4896909:4896928|offset_70|444444,4896933:4896952|offset_94|444444,4897009:4897028|offset_170|00cc00&amp;v=4896681:4897228&amp;c=444444", "offset 170")</f>
        <v>offset 170</v>
      </c>
    </row>
    <row r="15837" customFormat="false" ht="12.8" hidden="false" customHeight="false" outlineLevel="0" collapsed="false">
      <c r="A15837" s="0" t="s">
        <v>12</v>
      </c>
      <c r="B15837" s="0" t="n">
        <v>4898828</v>
      </c>
      <c r="C15837" s="0" t="n">
        <v>4898848</v>
      </c>
      <c r="D15837" s="0" t="s">
        <v>52644</v>
      </c>
      <c r="E15837" s="0" t="s">
        <v>75</v>
      </c>
      <c r="F15837" s="0" t="s">
        <v>15</v>
      </c>
      <c r="G15837" s="0" t="s">
        <v>32</v>
      </c>
      <c r="H15837" s="0" t="n">
        <v>1</v>
      </c>
      <c r="I15837" s="0" t="s">
        <v>52645</v>
      </c>
      <c r="J15837" s="0" t="s">
        <v>52646</v>
      </c>
      <c r="K15837" s="0" t="s">
        <v>52647</v>
      </c>
      <c r="L15837" s="0" t="str">
        <f aca="false">HYPERLINK("https://www.ncbi.nlm.nih.gov/nuccore/CP000058.1?report=graph&amp;tracks=[key:gene_model_track,Options:GeneOnly]&amp;mk=4898829:4898848|offset_1|00cc00,4898862:4898881|offset_34|444444,4898886:4898905|offset_58|444444,4898907:4898926|offset_79|444444&amp;v=4898628:4899126&amp;c=444444", "offset 1")</f>
        <v>offset 1</v>
      </c>
    </row>
    <row r="15838" customFormat="false" ht="12.8" hidden="false" customHeight="false" outlineLevel="0" collapsed="false">
      <c r="A15838" s="0" t="s">
        <v>12</v>
      </c>
      <c r="B15838" s="0" t="n">
        <v>4898861</v>
      </c>
      <c r="C15838" s="0" t="n">
        <v>4898881</v>
      </c>
      <c r="D15838" s="0" t="s">
        <v>52644</v>
      </c>
      <c r="E15838" s="0" t="s">
        <v>75</v>
      </c>
      <c r="F15838" s="0" t="s">
        <v>15</v>
      </c>
      <c r="G15838" s="0" t="s">
        <v>32</v>
      </c>
      <c r="H15838" s="0" t="n">
        <v>34</v>
      </c>
      <c r="I15838" s="0" t="s">
        <v>52648</v>
      </c>
      <c r="J15838" s="0" t="s">
        <v>52649</v>
      </c>
      <c r="K15838" s="0" t="s">
        <v>52650</v>
      </c>
      <c r="L15838" s="0" t="str">
        <f aca="false">HYPERLINK("https://www.ncbi.nlm.nih.gov/nuccore/CP000058.1?report=graph&amp;tracks=[key:gene_model_track,Options:GeneOnly]&amp;mk=4898829:4898848|offset_1|444444,4898862:4898881|offset_34|00cc00,4898886:4898905|offset_58|444444,4898907:4898926|offset_79|444444&amp;v=4898628:4899126&amp;c=444444", "offset 34")</f>
        <v>offset 34</v>
      </c>
    </row>
    <row r="15839" customFormat="false" ht="12.8" hidden="false" customHeight="false" outlineLevel="0" collapsed="false">
      <c r="A15839" s="0" t="s">
        <v>12</v>
      </c>
      <c r="B15839" s="0" t="n">
        <v>4898885</v>
      </c>
      <c r="C15839" s="0" t="n">
        <v>4898905</v>
      </c>
      <c r="D15839" s="0" t="s">
        <v>52644</v>
      </c>
      <c r="E15839" s="0" t="s">
        <v>75</v>
      </c>
      <c r="F15839" s="0" t="s">
        <v>15</v>
      </c>
      <c r="G15839" s="0" t="s">
        <v>32</v>
      </c>
      <c r="H15839" s="0" t="n">
        <v>58</v>
      </c>
      <c r="I15839" s="0" t="s">
        <v>52651</v>
      </c>
      <c r="J15839" s="0" t="s">
        <v>52652</v>
      </c>
      <c r="K15839" s="0" t="s">
        <v>52653</v>
      </c>
      <c r="L15839" s="0" t="str">
        <f aca="false">HYPERLINK("https://www.ncbi.nlm.nih.gov/nuccore/CP000058.1?report=graph&amp;tracks=[key:gene_model_track,Options:GeneOnly]&amp;mk=4898829:4898848|offset_1|444444,4898862:4898881|offset_34|444444,4898886:4898905|offset_58|00cc00,4898907:4898926|offset_79|444444&amp;v=4898628:4899126&amp;c=444444", "offset 58")</f>
        <v>offset 58</v>
      </c>
    </row>
    <row r="15840" customFormat="false" ht="12.8" hidden="false" customHeight="false" outlineLevel="0" collapsed="false">
      <c r="A15840" s="0" t="s">
        <v>12</v>
      </c>
      <c r="B15840" s="0" t="n">
        <v>4898906</v>
      </c>
      <c r="C15840" s="0" t="n">
        <v>4898926</v>
      </c>
      <c r="D15840" s="0" t="s">
        <v>52644</v>
      </c>
      <c r="E15840" s="0" t="s">
        <v>75</v>
      </c>
      <c r="F15840" s="0" t="s">
        <v>15</v>
      </c>
      <c r="G15840" s="0" t="s">
        <v>16</v>
      </c>
      <c r="H15840" s="0" t="n">
        <v>79</v>
      </c>
      <c r="I15840" s="0" t="s">
        <v>52654</v>
      </c>
      <c r="J15840" s="0" t="s">
        <v>52655</v>
      </c>
      <c r="K15840" s="0" t="s">
        <v>52656</v>
      </c>
      <c r="L15840" s="0" t="str">
        <f aca="false">HYPERLINK("https://www.ncbi.nlm.nih.gov/nuccore/CP000058.1?report=graph&amp;tracks=[key:gene_model_track,Options:GeneOnly]&amp;mk=4898829:4898848|offset_1|444444,4898862:4898881|offset_34|444444,4898886:4898905|offset_58|444444,4898907:4898926|offset_79|00cc00&amp;v=4898628:4899126&amp;c=444444", "offset 79")</f>
        <v>offset 79</v>
      </c>
    </row>
    <row r="15841" customFormat="false" ht="12.8" hidden="false" customHeight="false" outlineLevel="0" collapsed="false">
      <c r="A15841" s="0" t="s">
        <v>12</v>
      </c>
      <c r="B15841" s="0" t="n">
        <v>4899259</v>
      </c>
      <c r="C15841" s="0" t="n">
        <v>4899279</v>
      </c>
      <c r="D15841" s="0" t="s">
        <v>52657</v>
      </c>
      <c r="E15841" s="0" t="s">
        <v>52658</v>
      </c>
      <c r="F15841" s="0" t="s">
        <v>15</v>
      </c>
      <c r="G15841" s="0" t="s">
        <v>16</v>
      </c>
      <c r="H15841" s="0" t="n">
        <v>8</v>
      </c>
      <c r="I15841" s="0" t="s">
        <v>52659</v>
      </c>
      <c r="J15841" s="0" t="s">
        <v>52660</v>
      </c>
      <c r="K15841" s="0" t="s">
        <v>52661</v>
      </c>
      <c r="L15841" s="0" t="str">
        <f aca="false">HYPERLINK("https://www.ncbi.nlm.nih.gov/nuccore/CP000058.1?report=graph&amp;tracks=[key:gene_model_track,Options:GeneOnly]&amp;mk=4899260:4899279|offset_8|00cc00,4899289:4899308|offset_37|444444,4899334:4899353|offset_82|444444,4899356:4899375|offset_104|444444&amp;v=4899059:4899575&amp;c=444444", "offset 8")</f>
        <v>offset 8</v>
      </c>
    </row>
    <row r="15842" customFormat="false" ht="12.8" hidden="false" customHeight="false" outlineLevel="0" collapsed="false">
      <c r="A15842" s="0" t="s">
        <v>12</v>
      </c>
      <c r="B15842" s="0" t="n">
        <v>4899288</v>
      </c>
      <c r="C15842" s="0" t="n">
        <v>4899308</v>
      </c>
      <c r="D15842" s="0" t="s">
        <v>52657</v>
      </c>
      <c r="E15842" s="0" t="s">
        <v>52658</v>
      </c>
      <c r="F15842" s="0" t="s">
        <v>15</v>
      </c>
      <c r="G15842" s="0" t="s">
        <v>16</v>
      </c>
      <c r="H15842" s="0" t="n">
        <v>37</v>
      </c>
      <c r="I15842" s="0" t="s">
        <v>52662</v>
      </c>
      <c r="J15842" s="0" t="s">
        <v>52663</v>
      </c>
      <c r="K15842" s="0" t="s">
        <v>52664</v>
      </c>
      <c r="L15842" s="0" t="str">
        <f aca="false">HYPERLINK("https://www.ncbi.nlm.nih.gov/nuccore/CP000058.1?report=graph&amp;tracks=[key:gene_model_track,Options:GeneOnly]&amp;mk=4899260:4899279|offset_8|444444,4899289:4899308|offset_37|00cc00,4899334:4899353|offset_82|444444,4899356:4899375|offset_104|444444&amp;v=4899059:4899575&amp;c=444444", "offset 37")</f>
        <v>offset 37</v>
      </c>
    </row>
    <row r="15843" customFormat="false" ht="12.8" hidden="false" customHeight="false" outlineLevel="0" collapsed="false">
      <c r="A15843" s="0" t="s">
        <v>12</v>
      </c>
      <c r="B15843" s="0" t="n">
        <v>4899333</v>
      </c>
      <c r="C15843" s="0" t="n">
        <v>4899353</v>
      </c>
      <c r="D15843" s="0" t="s">
        <v>52657</v>
      </c>
      <c r="E15843" s="0" t="s">
        <v>52658</v>
      </c>
      <c r="F15843" s="0" t="s">
        <v>15</v>
      </c>
      <c r="G15843" s="0" t="s">
        <v>32</v>
      </c>
      <c r="H15843" s="0" t="n">
        <v>82</v>
      </c>
      <c r="I15843" s="0" t="s">
        <v>52665</v>
      </c>
      <c r="J15843" s="0" t="s">
        <v>52666</v>
      </c>
      <c r="K15843" s="0" t="s">
        <v>52667</v>
      </c>
      <c r="L15843" s="0" t="str">
        <f aca="false">HYPERLINK("https://www.ncbi.nlm.nih.gov/nuccore/CP000058.1?report=graph&amp;tracks=[key:gene_model_track,Options:GeneOnly]&amp;mk=4899260:4899279|offset_8|444444,4899289:4899308|offset_37|444444,4899334:4899353|offset_82|00cc00,4899356:4899375|offset_104|444444&amp;v=4899059:4899575&amp;c=444444", "offset 82")</f>
        <v>offset 82</v>
      </c>
    </row>
    <row r="15844" customFormat="false" ht="12.8" hidden="false" customHeight="false" outlineLevel="0" collapsed="false">
      <c r="A15844" s="0" t="s">
        <v>12</v>
      </c>
      <c r="B15844" s="0" t="n">
        <v>4899355</v>
      </c>
      <c r="C15844" s="0" t="n">
        <v>4899375</v>
      </c>
      <c r="D15844" s="0" t="s">
        <v>52657</v>
      </c>
      <c r="E15844" s="0" t="s">
        <v>52658</v>
      </c>
      <c r="F15844" s="0" t="s">
        <v>15</v>
      </c>
      <c r="G15844" s="0" t="s">
        <v>20</v>
      </c>
      <c r="H15844" s="0" t="n">
        <v>104</v>
      </c>
      <c r="I15844" s="0" t="s">
        <v>52668</v>
      </c>
      <c r="J15844" s="0" t="s">
        <v>52669</v>
      </c>
      <c r="K15844" s="0" t="s">
        <v>52670</v>
      </c>
      <c r="L15844" s="0" t="str">
        <f aca="false">HYPERLINK("https://www.ncbi.nlm.nih.gov/nuccore/CP000058.1?report=graph&amp;tracks=[key:gene_model_track,Options:GeneOnly]&amp;mk=4899260:4899279|offset_8|444444,4899289:4899308|offset_37|444444,4899334:4899353|offset_82|444444,4899356:4899375|offset_104|00cc00&amp;v=4899059:4899575&amp;c=444444", "offset 104")</f>
        <v>offset 104</v>
      </c>
    </row>
    <row r="15845" customFormat="false" ht="12.8" hidden="false" customHeight="false" outlineLevel="0" collapsed="false">
      <c r="A15845" s="0" t="s">
        <v>12</v>
      </c>
      <c r="B15845" s="0" t="n">
        <v>4901486</v>
      </c>
      <c r="C15845" s="0" t="n">
        <v>4901506</v>
      </c>
      <c r="D15845" s="0" t="s">
        <v>52671</v>
      </c>
      <c r="E15845" s="0" t="s">
        <v>75</v>
      </c>
      <c r="F15845" s="0" t="s">
        <v>90</v>
      </c>
      <c r="G15845" s="0" t="s">
        <v>32</v>
      </c>
      <c r="H15845" s="0" t="n">
        <v>1</v>
      </c>
      <c r="I15845" s="0" t="s">
        <v>52672</v>
      </c>
      <c r="J15845" s="0" t="s">
        <v>52673</v>
      </c>
      <c r="K15845" s="0" t="s">
        <v>52674</v>
      </c>
      <c r="L15845" s="0" t="str">
        <f aca="false">HYPERLINK("https://www.ncbi.nlm.nih.gov/nuccore/CP000058.1?report=graph&amp;tracks=[key:gene_model_track,Options:GeneOnly]&amp;mk=4901487:4901506|offset_1|00cc00,4901439:4901458|offset_49|444444,4901413:4901432|offset_75|444444,4901369:4901388|offset_119|444444&amp;v=4901286:4901588&amp;c=444444", "offset 1")</f>
        <v>offset 1</v>
      </c>
    </row>
    <row r="15846" customFormat="false" ht="12.8" hidden="false" customHeight="false" outlineLevel="0" collapsed="false">
      <c r="A15846" s="0" t="s">
        <v>12</v>
      </c>
      <c r="B15846" s="0" t="n">
        <v>4901438</v>
      </c>
      <c r="C15846" s="0" t="n">
        <v>4901458</v>
      </c>
      <c r="D15846" s="0" t="s">
        <v>52671</v>
      </c>
      <c r="E15846" s="0" t="s">
        <v>75</v>
      </c>
      <c r="F15846" s="0" t="s">
        <v>90</v>
      </c>
      <c r="G15846" s="0" t="s">
        <v>32</v>
      </c>
      <c r="H15846" s="0" t="n">
        <v>49</v>
      </c>
      <c r="I15846" s="0" t="s">
        <v>52675</v>
      </c>
      <c r="J15846" s="0" t="s">
        <v>52676</v>
      </c>
      <c r="K15846" s="0" t="s">
        <v>52677</v>
      </c>
      <c r="L15846" s="0" t="str">
        <f aca="false">HYPERLINK("https://www.ncbi.nlm.nih.gov/nuccore/CP000058.1?report=graph&amp;tracks=[key:gene_model_track,Options:GeneOnly]&amp;mk=4901487:4901506|offset_1|444444,4901439:4901458|offset_49|00cc00,4901413:4901432|offset_75|444444,4901369:4901388|offset_119|444444&amp;v=4901286:4901588&amp;c=444444", "offset 49")</f>
        <v>offset 49</v>
      </c>
    </row>
    <row r="15847" customFormat="false" ht="12.8" hidden="false" customHeight="false" outlineLevel="0" collapsed="false">
      <c r="A15847" s="0" t="s">
        <v>12</v>
      </c>
      <c r="B15847" s="0" t="n">
        <v>4901412</v>
      </c>
      <c r="C15847" s="0" t="n">
        <v>4901432</v>
      </c>
      <c r="D15847" s="0" t="s">
        <v>52671</v>
      </c>
      <c r="E15847" s="0" t="s">
        <v>75</v>
      </c>
      <c r="F15847" s="0" t="s">
        <v>90</v>
      </c>
      <c r="G15847" s="0" t="s">
        <v>16</v>
      </c>
      <c r="H15847" s="0" t="n">
        <v>75</v>
      </c>
      <c r="I15847" s="0" t="s">
        <v>52678</v>
      </c>
      <c r="J15847" s="0" t="s">
        <v>52679</v>
      </c>
      <c r="K15847" s="0" t="s">
        <v>52680</v>
      </c>
      <c r="L15847" s="0" t="str">
        <f aca="false">HYPERLINK("https://www.ncbi.nlm.nih.gov/nuccore/CP000058.1?report=graph&amp;tracks=[key:gene_model_track,Options:GeneOnly]&amp;mk=4901487:4901506|offset_1|444444,4901439:4901458|offset_49|444444,4901413:4901432|offset_75|00cc00,4901369:4901388|offset_119|444444&amp;v=4901286:4901588&amp;c=444444", "offset 75")</f>
        <v>offset 75</v>
      </c>
    </row>
    <row r="15848" customFormat="false" ht="12.8" hidden="false" customHeight="false" outlineLevel="0" collapsed="false">
      <c r="A15848" s="0" t="s">
        <v>12</v>
      </c>
      <c r="B15848" s="0" t="n">
        <v>4901368</v>
      </c>
      <c r="C15848" s="0" t="n">
        <v>4901388</v>
      </c>
      <c r="D15848" s="0" t="s">
        <v>52671</v>
      </c>
      <c r="E15848" s="0" t="s">
        <v>75</v>
      </c>
      <c r="F15848" s="0" t="s">
        <v>90</v>
      </c>
      <c r="G15848" s="0" t="s">
        <v>36</v>
      </c>
      <c r="H15848" s="0" t="n">
        <v>119</v>
      </c>
      <c r="I15848" s="0" t="s">
        <v>52681</v>
      </c>
      <c r="J15848" s="0" t="s">
        <v>52682</v>
      </c>
      <c r="K15848" s="0" t="s">
        <v>52683</v>
      </c>
      <c r="L15848" s="0" t="str">
        <f aca="false">HYPERLINK("https://www.ncbi.nlm.nih.gov/nuccore/CP000058.1?report=graph&amp;tracks=[key:gene_model_track,Options:GeneOnly]&amp;mk=4901487:4901506|offset_1|444444,4901439:4901458|offset_49|444444,4901413:4901432|offset_75|444444,4901369:4901388|offset_119|00cc00&amp;v=4901286:4901588&amp;c=444444", "offset 119")</f>
        <v>offset 119</v>
      </c>
    </row>
    <row r="15849" customFormat="false" ht="12.8" hidden="false" customHeight="false" outlineLevel="0" collapsed="false">
      <c r="A15849" s="0" t="s">
        <v>12</v>
      </c>
      <c r="B15849" s="0" t="n">
        <v>4901665</v>
      </c>
      <c r="C15849" s="0" t="n">
        <v>4901685</v>
      </c>
      <c r="D15849" s="0" t="s">
        <v>52684</v>
      </c>
      <c r="E15849" s="0" t="s">
        <v>75</v>
      </c>
      <c r="F15849" s="0" t="s">
        <v>15</v>
      </c>
      <c r="G15849" s="0" t="s">
        <v>32</v>
      </c>
      <c r="H15849" s="0" t="n">
        <v>11</v>
      </c>
      <c r="I15849" s="0" t="s">
        <v>52685</v>
      </c>
      <c r="J15849" s="0" t="s">
        <v>52686</v>
      </c>
      <c r="K15849" s="0" t="s">
        <v>52687</v>
      </c>
      <c r="L15849" s="0" t="str">
        <f aca="false">HYPERLINK("https://www.ncbi.nlm.nih.gov/nuccore/CP000058.1?report=graph&amp;tracks=[key:gene_model_track,Options:GeneOnly]&amp;mk=4901666:4901685|offset_11|00cc00,4901727:4901746|offset_72|444444,4901755:4901774|offset_100|444444,4901776:4901795|offset_121|444444&amp;v=4901465:4901995&amp;c=444444", "offset 11")</f>
        <v>offset 11</v>
      </c>
    </row>
    <row r="15850" customFormat="false" ht="12.8" hidden="false" customHeight="false" outlineLevel="0" collapsed="false">
      <c r="A15850" s="0" t="s">
        <v>12</v>
      </c>
      <c r="B15850" s="0" t="n">
        <v>4901726</v>
      </c>
      <c r="C15850" s="0" t="n">
        <v>4901746</v>
      </c>
      <c r="D15850" s="0" t="s">
        <v>52684</v>
      </c>
      <c r="E15850" s="0" t="s">
        <v>75</v>
      </c>
      <c r="F15850" s="0" t="s">
        <v>15</v>
      </c>
      <c r="G15850" s="0" t="s">
        <v>20</v>
      </c>
      <c r="H15850" s="0" t="n">
        <v>72</v>
      </c>
      <c r="I15850" s="0" t="s">
        <v>52688</v>
      </c>
      <c r="J15850" s="0" t="s">
        <v>52689</v>
      </c>
      <c r="K15850" s="0" t="s">
        <v>52690</v>
      </c>
      <c r="L15850" s="0" t="str">
        <f aca="false">HYPERLINK("https://www.ncbi.nlm.nih.gov/nuccore/CP000058.1?report=graph&amp;tracks=[key:gene_model_track,Options:GeneOnly]&amp;mk=4901666:4901685|offset_11|444444,4901727:4901746|offset_72|00cc00,4901755:4901774|offset_100|444444,4901776:4901795|offset_121|444444&amp;v=4901465:4901995&amp;c=444444", "offset 72")</f>
        <v>offset 72</v>
      </c>
    </row>
    <row r="15851" customFormat="false" ht="12.8" hidden="false" customHeight="false" outlineLevel="0" collapsed="false">
      <c r="A15851" s="0" t="s">
        <v>12</v>
      </c>
      <c r="B15851" s="0" t="n">
        <v>4901754</v>
      </c>
      <c r="C15851" s="0" t="n">
        <v>4901774</v>
      </c>
      <c r="D15851" s="0" t="s">
        <v>52684</v>
      </c>
      <c r="E15851" s="0" t="s">
        <v>75</v>
      </c>
      <c r="F15851" s="0" t="s">
        <v>15</v>
      </c>
      <c r="G15851" s="0" t="s">
        <v>32</v>
      </c>
      <c r="H15851" s="0" t="n">
        <v>100</v>
      </c>
      <c r="I15851" s="0" t="s">
        <v>52691</v>
      </c>
      <c r="J15851" s="0" t="s">
        <v>52692</v>
      </c>
      <c r="K15851" s="0" t="s">
        <v>52693</v>
      </c>
      <c r="L15851" s="0" t="str">
        <f aca="false">HYPERLINK("https://www.ncbi.nlm.nih.gov/nuccore/CP000058.1?report=graph&amp;tracks=[key:gene_model_track,Options:GeneOnly]&amp;mk=4901666:4901685|offset_11|444444,4901727:4901746|offset_72|444444,4901755:4901774|offset_100|00cc00,4901776:4901795|offset_121|444444&amp;v=4901465:4901995&amp;c=444444", "offset 100")</f>
        <v>offset 100</v>
      </c>
    </row>
    <row r="15852" customFormat="false" ht="12.8" hidden="false" customHeight="false" outlineLevel="0" collapsed="false">
      <c r="A15852" s="0" t="s">
        <v>12</v>
      </c>
      <c r="B15852" s="0" t="n">
        <v>4901775</v>
      </c>
      <c r="C15852" s="0" t="n">
        <v>4901795</v>
      </c>
      <c r="D15852" s="0" t="s">
        <v>52684</v>
      </c>
      <c r="E15852" s="0" t="s">
        <v>75</v>
      </c>
      <c r="F15852" s="0" t="s">
        <v>15</v>
      </c>
      <c r="G15852" s="0" t="s">
        <v>36</v>
      </c>
      <c r="H15852" s="0" t="n">
        <v>121</v>
      </c>
      <c r="I15852" s="0" t="s">
        <v>52694</v>
      </c>
      <c r="J15852" s="0" t="s">
        <v>52695</v>
      </c>
      <c r="K15852" s="0" t="s">
        <v>52696</v>
      </c>
      <c r="L15852" s="0" t="str">
        <f aca="false">HYPERLINK("https://www.ncbi.nlm.nih.gov/nuccore/CP000058.1?report=graph&amp;tracks=[key:gene_model_track,Options:GeneOnly]&amp;mk=4901666:4901685|offset_11|444444,4901727:4901746|offset_72|444444,4901755:4901774|offset_100|444444,4901776:4901795|offset_121|00cc00&amp;v=4901465:4901995&amp;c=444444", "offset 121")</f>
        <v>offset 121</v>
      </c>
    </row>
    <row r="15853" customFormat="false" ht="12.8" hidden="false" customHeight="false" outlineLevel="0" collapsed="false">
      <c r="A15853" s="0" t="s">
        <v>12</v>
      </c>
      <c r="B15853" s="0" t="n">
        <v>4902928</v>
      </c>
      <c r="C15853" s="0" t="n">
        <v>4902948</v>
      </c>
      <c r="D15853" s="0" t="s">
        <v>52697</v>
      </c>
      <c r="E15853" s="0" t="s">
        <v>75</v>
      </c>
      <c r="F15853" s="0" t="s">
        <v>15</v>
      </c>
      <c r="G15853" s="0" t="s">
        <v>36</v>
      </c>
      <c r="H15853" s="0" t="n">
        <v>12</v>
      </c>
      <c r="I15853" s="0" t="s">
        <v>52698</v>
      </c>
      <c r="J15853" s="0" t="s">
        <v>52699</v>
      </c>
      <c r="K15853" s="0" t="s">
        <v>52700</v>
      </c>
      <c r="L15853" s="0" t="str">
        <f aca="false">HYPERLINK("https://www.ncbi.nlm.nih.gov/nuccore/CP000058.1?report=graph&amp;tracks=[key:gene_model_track,Options:GeneOnly]&amp;mk=4902929:4902948|offset_12|00cc00,4902950:4902969|offset_33|444444,4902986:4903005|offset_69|444444,4903019:4903038|offset_102|444444&amp;v=4902728:4903238&amp;c=444444", "offset 12")</f>
        <v>offset 12</v>
      </c>
    </row>
    <row r="15854" customFormat="false" ht="12.8" hidden="false" customHeight="false" outlineLevel="0" collapsed="false">
      <c r="A15854" s="0" t="s">
        <v>12</v>
      </c>
      <c r="B15854" s="0" t="n">
        <v>4902949</v>
      </c>
      <c r="C15854" s="0" t="n">
        <v>4902969</v>
      </c>
      <c r="D15854" s="0" t="s">
        <v>52697</v>
      </c>
      <c r="E15854" s="0" t="s">
        <v>75</v>
      </c>
      <c r="F15854" s="0" t="s">
        <v>15</v>
      </c>
      <c r="G15854" s="0" t="s">
        <v>32</v>
      </c>
      <c r="H15854" s="0" t="n">
        <v>33</v>
      </c>
      <c r="I15854" s="0" t="s">
        <v>52701</v>
      </c>
      <c r="J15854" s="0" t="s">
        <v>52702</v>
      </c>
      <c r="K15854" s="0" t="s">
        <v>52703</v>
      </c>
      <c r="L15854" s="0" t="str">
        <f aca="false">HYPERLINK("https://www.ncbi.nlm.nih.gov/nuccore/CP000058.1?report=graph&amp;tracks=[key:gene_model_track,Options:GeneOnly]&amp;mk=4902929:4902948|offset_12|444444,4902950:4902969|offset_33|00cc00,4902986:4903005|offset_69|444444,4903019:4903038|offset_102|444444&amp;v=4902728:4903238&amp;c=444444", "offset 33")</f>
        <v>offset 33</v>
      </c>
    </row>
    <row r="15855" customFormat="false" ht="12.8" hidden="false" customHeight="false" outlineLevel="0" collapsed="false">
      <c r="A15855" s="0" t="s">
        <v>12</v>
      </c>
      <c r="B15855" s="0" t="n">
        <v>4902985</v>
      </c>
      <c r="C15855" s="0" t="n">
        <v>4903005</v>
      </c>
      <c r="D15855" s="0" t="s">
        <v>52697</v>
      </c>
      <c r="E15855" s="0" t="s">
        <v>75</v>
      </c>
      <c r="F15855" s="0" t="s">
        <v>15</v>
      </c>
      <c r="G15855" s="0" t="s">
        <v>20</v>
      </c>
      <c r="H15855" s="0" t="n">
        <v>69</v>
      </c>
      <c r="I15855" s="0" t="s">
        <v>52704</v>
      </c>
      <c r="J15855" s="0" t="s">
        <v>52705</v>
      </c>
      <c r="K15855" s="0" t="s">
        <v>52706</v>
      </c>
      <c r="L15855" s="0" t="str">
        <f aca="false">HYPERLINK("https://www.ncbi.nlm.nih.gov/nuccore/CP000058.1?report=graph&amp;tracks=[key:gene_model_track,Options:GeneOnly]&amp;mk=4902929:4902948|offset_12|444444,4902950:4902969|offset_33|444444,4902986:4903005|offset_69|00cc00,4903019:4903038|offset_102|444444&amp;v=4902728:4903238&amp;c=444444", "offset 69")</f>
        <v>offset 69</v>
      </c>
    </row>
    <row r="15856" customFormat="false" ht="12.8" hidden="false" customHeight="false" outlineLevel="0" collapsed="false">
      <c r="A15856" s="0" t="s">
        <v>12</v>
      </c>
      <c r="B15856" s="0" t="n">
        <v>4903018</v>
      </c>
      <c r="C15856" s="0" t="n">
        <v>4903038</v>
      </c>
      <c r="D15856" s="0" t="s">
        <v>52697</v>
      </c>
      <c r="E15856" s="0" t="s">
        <v>75</v>
      </c>
      <c r="F15856" s="0" t="s">
        <v>15</v>
      </c>
      <c r="G15856" s="0" t="s">
        <v>36</v>
      </c>
      <c r="H15856" s="0" t="n">
        <v>102</v>
      </c>
      <c r="I15856" s="0" t="s">
        <v>52707</v>
      </c>
      <c r="J15856" s="0" t="s">
        <v>52708</v>
      </c>
      <c r="K15856" s="0" t="s">
        <v>52709</v>
      </c>
      <c r="L15856" s="0" t="str">
        <f aca="false">HYPERLINK("https://www.ncbi.nlm.nih.gov/nuccore/CP000058.1?report=graph&amp;tracks=[key:gene_model_track,Options:GeneOnly]&amp;mk=4902929:4902948|offset_12|444444,4902950:4902969|offset_33|444444,4902986:4903005|offset_69|444444,4903019:4903038|offset_102|00cc00&amp;v=4902728:4903238&amp;c=444444", "offset 102")</f>
        <v>offset 102</v>
      </c>
    </row>
    <row r="15857" customFormat="false" ht="12.8" hidden="false" customHeight="false" outlineLevel="0" collapsed="false">
      <c r="A15857" s="0" t="s">
        <v>12</v>
      </c>
      <c r="B15857" s="0" t="n">
        <v>4904525</v>
      </c>
      <c r="C15857" s="0" t="n">
        <v>4904545</v>
      </c>
      <c r="D15857" s="0" t="s">
        <v>52710</v>
      </c>
      <c r="E15857" s="0" t="s">
        <v>75</v>
      </c>
      <c r="F15857" s="0" t="s">
        <v>15</v>
      </c>
      <c r="G15857" s="0" t="s">
        <v>16</v>
      </c>
      <c r="H15857" s="0" t="n">
        <v>27</v>
      </c>
      <c r="I15857" s="0" t="s">
        <v>52711</v>
      </c>
      <c r="J15857" s="0" t="s">
        <v>52712</v>
      </c>
      <c r="K15857" s="0" t="s">
        <v>52713</v>
      </c>
      <c r="L15857" s="0" t="str">
        <f aca="false">HYPERLINK("https://www.ncbi.nlm.nih.gov/nuccore/CP000058.1?report=graph&amp;tracks=[key:gene_model_track,Options:GeneOnly]&amp;mk=4904526:4904545|offset_27|00cc00,4904553:4904572|offset_54|444444,4904582:4904601|offset_83|444444,4904619:4904638|offset_120|444444&amp;v=4904325:4904838&amp;c=444444", "offset 27")</f>
        <v>offset 27</v>
      </c>
    </row>
    <row r="15858" customFormat="false" ht="12.8" hidden="false" customHeight="false" outlineLevel="0" collapsed="false">
      <c r="A15858" s="0" t="s">
        <v>12</v>
      </c>
      <c r="B15858" s="0" t="n">
        <v>4904552</v>
      </c>
      <c r="C15858" s="0" t="n">
        <v>4904572</v>
      </c>
      <c r="D15858" s="0" t="s">
        <v>52710</v>
      </c>
      <c r="E15858" s="0" t="s">
        <v>75</v>
      </c>
      <c r="F15858" s="0" t="s">
        <v>15</v>
      </c>
      <c r="G15858" s="0" t="s">
        <v>36</v>
      </c>
      <c r="H15858" s="0" t="n">
        <v>54</v>
      </c>
      <c r="I15858" s="0" t="s">
        <v>52714</v>
      </c>
      <c r="J15858" s="0" t="s">
        <v>52715</v>
      </c>
      <c r="K15858" s="0" t="s">
        <v>52716</v>
      </c>
      <c r="L15858" s="0" t="str">
        <f aca="false">HYPERLINK("https://www.ncbi.nlm.nih.gov/nuccore/CP000058.1?report=graph&amp;tracks=[key:gene_model_track,Options:GeneOnly]&amp;mk=4904526:4904545|offset_27|444444,4904553:4904572|offset_54|00cc00,4904582:4904601|offset_83|444444,4904619:4904638|offset_120|444444&amp;v=4904325:4904838&amp;c=444444", "offset 54")</f>
        <v>offset 54</v>
      </c>
    </row>
    <row r="15859" customFormat="false" ht="12.8" hidden="false" customHeight="false" outlineLevel="0" collapsed="false">
      <c r="A15859" s="0" t="s">
        <v>12</v>
      </c>
      <c r="B15859" s="0" t="n">
        <v>4904581</v>
      </c>
      <c r="C15859" s="0" t="n">
        <v>4904601</v>
      </c>
      <c r="D15859" s="0" t="s">
        <v>52710</v>
      </c>
      <c r="E15859" s="0" t="s">
        <v>75</v>
      </c>
      <c r="F15859" s="0" t="s">
        <v>15</v>
      </c>
      <c r="G15859" s="0" t="s">
        <v>20</v>
      </c>
      <c r="H15859" s="0" t="n">
        <v>83</v>
      </c>
      <c r="I15859" s="0" t="s">
        <v>52717</v>
      </c>
      <c r="J15859" s="0" t="s">
        <v>52718</v>
      </c>
      <c r="K15859" s="0" t="s">
        <v>52719</v>
      </c>
      <c r="L15859" s="0" t="str">
        <f aca="false">HYPERLINK("https://www.ncbi.nlm.nih.gov/nuccore/CP000058.1?report=graph&amp;tracks=[key:gene_model_track,Options:GeneOnly]&amp;mk=4904526:4904545|offset_27|444444,4904553:4904572|offset_54|444444,4904582:4904601|offset_83|00cc00,4904619:4904638|offset_120|444444&amp;v=4904325:4904838&amp;c=444444", "offset 83")</f>
        <v>offset 83</v>
      </c>
    </row>
    <row r="15860" customFormat="false" ht="12.8" hidden="false" customHeight="false" outlineLevel="0" collapsed="false">
      <c r="A15860" s="0" t="s">
        <v>12</v>
      </c>
      <c r="B15860" s="0" t="n">
        <v>4904618</v>
      </c>
      <c r="C15860" s="0" t="n">
        <v>4904638</v>
      </c>
      <c r="D15860" s="0" t="s">
        <v>52710</v>
      </c>
      <c r="E15860" s="0" t="s">
        <v>75</v>
      </c>
      <c r="F15860" s="0" t="s">
        <v>15</v>
      </c>
      <c r="G15860" s="0" t="s">
        <v>36</v>
      </c>
      <c r="H15860" s="0" t="n">
        <v>120</v>
      </c>
      <c r="I15860" s="0" t="s">
        <v>52720</v>
      </c>
      <c r="J15860" s="0" t="s">
        <v>52721</v>
      </c>
      <c r="K15860" s="0" t="s">
        <v>52722</v>
      </c>
      <c r="L15860" s="0" t="str">
        <f aca="false">HYPERLINK("https://www.ncbi.nlm.nih.gov/nuccore/CP000058.1?report=graph&amp;tracks=[key:gene_model_track,Options:GeneOnly]&amp;mk=4904526:4904545|offset_27|444444,4904553:4904572|offset_54|444444,4904582:4904601|offset_83|444444,4904619:4904638|offset_120|00cc00&amp;v=4904325:4904838&amp;c=444444", "offset 120")</f>
        <v>offset 120</v>
      </c>
    </row>
    <row r="15861" customFormat="false" ht="12.8" hidden="false" customHeight="false" outlineLevel="0" collapsed="false">
      <c r="A15861" s="0" t="s">
        <v>12</v>
      </c>
      <c r="B15861" s="0" t="n">
        <v>4906753</v>
      </c>
      <c r="C15861" s="0" t="n">
        <v>4906773</v>
      </c>
      <c r="D15861" s="0" t="s">
        <v>52723</v>
      </c>
      <c r="E15861" s="0" t="s">
        <v>75</v>
      </c>
      <c r="F15861" s="0" t="s">
        <v>15</v>
      </c>
      <c r="G15861" s="0" t="s">
        <v>32</v>
      </c>
      <c r="H15861" s="0" t="n">
        <v>18</v>
      </c>
      <c r="I15861" s="0" t="s">
        <v>52724</v>
      </c>
      <c r="J15861" s="0" t="s">
        <v>52725</v>
      </c>
      <c r="K15861" s="0" t="s">
        <v>52726</v>
      </c>
      <c r="L15861" s="0" t="str">
        <f aca="false">HYPERLINK("https://www.ncbi.nlm.nih.gov/nuccore/CP000058.1?report=graph&amp;tracks=[key:gene_model_track,Options:GeneOnly]&amp;mk=4906754:4906773|offset_18|00cc00,4906802:4906821|offset_66|444444,4906833:4906852|offset_97|444444,4906867:4906886|offset_131|444444&amp;v=4906553:4907086&amp;c=444444", "offset 18")</f>
        <v>offset 18</v>
      </c>
    </row>
    <row r="15862" customFormat="false" ht="12.8" hidden="false" customHeight="false" outlineLevel="0" collapsed="false">
      <c r="A15862" s="0" t="s">
        <v>12</v>
      </c>
      <c r="B15862" s="0" t="n">
        <v>4906801</v>
      </c>
      <c r="C15862" s="0" t="n">
        <v>4906821</v>
      </c>
      <c r="D15862" s="0" t="s">
        <v>52723</v>
      </c>
      <c r="E15862" s="0" t="s">
        <v>75</v>
      </c>
      <c r="F15862" s="0" t="s">
        <v>15</v>
      </c>
      <c r="G15862" s="0" t="s">
        <v>16</v>
      </c>
      <c r="H15862" s="0" t="n">
        <v>66</v>
      </c>
      <c r="I15862" s="0" t="s">
        <v>52727</v>
      </c>
      <c r="J15862" s="0" t="s">
        <v>52728</v>
      </c>
      <c r="K15862" s="0" t="s">
        <v>52729</v>
      </c>
      <c r="L15862" s="0" t="str">
        <f aca="false">HYPERLINK("https://www.ncbi.nlm.nih.gov/nuccore/CP000058.1?report=graph&amp;tracks=[key:gene_model_track,Options:GeneOnly]&amp;mk=4906754:4906773|offset_18|444444,4906802:4906821|offset_66|00cc00,4906833:4906852|offset_97|444444,4906867:4906886|offset_131|444444&amp;v=4906553:4907086&amp;c=444444", "offset 66")</f>
        <v>offset 66</v>
      </c>
    </row>
    <row r="15863" customFormat="false" ht="12.8" hidden="false" customHeight="false" outlineLevel="0" collapsed="false">
      <c r="A15863" s="0" t="s">
        <v>12</v>
      </c>
      <c r="B15863" s="0" t="n">
        <v>4906832</v>
      </c>
      <c r="C15863" s="0" t="n">
        <v>4906852</v>
      </c>
      <c r="D15863" s="0" t="s">
        <v>52723</v>
      </c>
      <c r="E15863" s="0" t="s">
        <v>75</v>
      </c>
      <c r="F15863" s="0" t="s">
        <v>15</v>
      </c>
      <c r="G15863" s="0" t="s">
        <v>20</v>
      </c>
      <c r="H15863" s="0" t="n">
        <v>97</v>
      </c>
      <c r="I15863" s="0" t="s">
        <v>52730</v>
      </c>
      <c r="J15863" s="0" t="s">
        <v>52731</v>
      </c>
      <c r="K15863" s="0" t="s">
        <v>52732</v>
      </c>
      <c r="L15863" s="0" t="str">
        <f aca="false">HYPERLINK("https://www.ncbi.nlm.nih.gov/nuccore/CP000058.1?report=graph&amp;tracks=[key:gene_model_track,Options:GeneOnly]&amp;mk=4906754:4906773|offset_18|444444,4906802:4906821|offset_66|444444,4906833:4906852|offset_97|00cc00,4906867:4906886|offset_131|444444&amp;v=4906553:4907086&amp;c=444444", "offset 97")</f>
        <v>offset 97</v>
      </c>
    </row>
    <row r="15864" customFormat="false" ht="12.8" hidden="false" customHeight="false" outlineLevel="0" collapsed="false">
      <c r="A15864" s="0" t="s">
        <v>12</v>
      </c>
      <c r="B15864" s="0" t="n">
        <v>4906866</v>
      </c>
      <c r="C15864" s="0" t="n">
        <v>4906886</v>
      </c>
      <c r="D15864" s="0" t="s">
        <v>52723</v>
      </c>
      <c r="E15864" s="0" t="s">
        <v>75</v>
      </c>
      <c r="F15864" s="0" t="s">
        <v>15</v>
      </c>
      <c r="G15864" s="0" t="s">
        <v>32</v>
      </c>
      <c r="H15864" s="0" t="n">
        <v>131</v>
      </c>
      <c r="I15864" s="0" t="s">
        <v>52733</v>
      </c>
      <c r="J15864" s="0" t="s">
        <v>52734</v>
      </c>
      <c r="K15864" s="0" t="s">
        <v>52735</v>
      </c>
      <c r="L15864" s="0" t="str">
        <f aca="false">HYPERLINK("https://www.ncbi.nlm.nih.gov/nuccore/CP000058.1?report=graph&amp;tracks=[key:gene_model_track,Options:GeneOnly]&amp;mk=4906754:4906773|offset_18|444444,4906802:4906821|offset_66|444444,4906833:4906852|offset_97|444444,4906867:4906886|offset_131|00cc00&amp;v=4906553:4907086&amp;c=444444", "offset 131")</f>
        <v>offset 131</v>
      </c>
    </row>
    <row r="15865" customFormat="false" ht="12.8" hidden="false" customHeight="false" outlineLevel="0" collapsed="false">
      <c r="A15865" s="0" t="s">
        <v>12</v>
      </c>
      <c r="B15865" s="0" t="n">
        <v>4908340</v>
      </c>
      <c r="C15865" s="0" t="n">
        <v>4908360</v>
      </c>
      <c r="D15865" s="0" t="s">
        <v>52736</v>
      </c>
      <c r="E15865" s="0" t="s">
        <v>75</v>
      </c>
      <c r="F15865" s="0" t="s">
        <v>90</v>
      </c>
      <c r="G15865" s="0" t="s">
        <v>32</v>
      </c>
      <c r="H15865" s="0" t="n">
        <v>1</v>
      </c>
      <c r="I15865" s="0" t="s">
        <v>52737</v>
      </c>
      <c r="J15865" s="0" t="s">
        <v>52738</v>
      </c>
      <c r="K15865" s="0" t="s">
        <v>52739</v>
      </c>
      <c r="L15865" s="0" t="str">
        <f aca="false">HYPERLINK("https://www.ncbi.nlm.nih.gov/nuccore/CP000058.1?report=graph&amp;tracks=[key:gene_model_track,Options:GeneOnly]&amp;mk=4908341:4908360|offset_1|00cc00,4908298:4908317|offset_44|444444,4908227:4908246|offset_115|444444,4908199:4908218|offset_143|444444&amp;v=4908140:4908418&amp;c=444444", "offset 1")</f>
        <v>offset 1</v>
      </c>
    </row>
    <row r="15866" customFormat="false" ht="12.8" hidden="false" customHeight="false" outlineLevel="0" collapsed="false">
      <c r="A15866" s="0" t="s">
        <v>12</v>
      </c>
      <c r="B15866" s="0" t="n">
        <v>4908297</v>
      </c>
      <c r="C15866" s="0" t="n">
        <v>4908317</v>
      </c>
      <c r="D15866" s="0" t="s">
        <v>52736</v>
      </c>
      <c r="E15866" s="0" t="s">
        <v>75</v>
      </c>
      <c r="F15866" s="0" t="s">
        <v>90</v>
      </c>
      <c r="G15866" s="0" t="s">
        <v>36</v>
      </c>
      <c r="H15866" s="0" t="n">
        <v>44</v>
      </c>
      <c r="I15866" s="0" t="s">
        <v>52740</v>
      </c>
      <c r="J15866" s="0" t="s">
        <v>52741</v>
      </c>
      <c r="K15866" s="0" t="s">
        <v>52742</v>
      </c>
      <c r="L15866" s="0" t="str">
        <f aca="false">HYPERLINK("https://www.ncbi.nlm.nih.gov/nuccore/CP000058.1?report=graph&amp;tracks=[key:gene_model_track,Options:GeneOnly]&amp;mk=4908341:4908360|offset_1|444444,4908298:4908317|offset_44|00cc00,4908227:4908246|offset_115|444444,4908199:4908218|offset_143|444444&amp;v=4908140:4908418&amp;c=444444", "offset 44")</f>
        <v>offset 44</v>
      </c>
    </row>
    <row r="15867" customFormat="false" ht="12.8" hidden="false" customHeight="false" outlineLevel="0" collapsed="false">
      <c r="A15867" s="0" t="s">
        <v>12</v>
      </c>
      <c r="B15867" s="0" t="n">
        <v>4908226</v>
      </c>
      <c r="C15867" s="0" t="n">
        <v>4908246</v>
      </c>
      <c r="D15867" s="0" t="s">
        <v>52736</v>
      </c>
      <c r="E15867" s="0" t="s">
        <v>75</v>
      </c>
      <c r="F15867" s="0" t="s">
        <v>90</v>
      </c>
      <c r="G15867" s="0" t="s">
        <v>16</v>
      </c>
      <c r="H15867" s="0" t="n">
        <v>115</v>
      </c>
      <c r="I15867" s="0" t="s">
        <v>52743</v>
      </c>
      <c r="J15867" s="0" t="s">
        <v>52744</v>
      </c>
      <c r="K15867" s="0" t="s">
        <v>52745</v>
      </c>
      <c r="L15867" s="0" t="str">
        <f aca="false">HYPERLINK("https://www.ncbi.nlm.nih.gov/nuccore/CP000058.1?report=graph&amp;tracks=[key:gene_model_track,Options:GeneOnly]&amp;mk=4908341:4908360|offset_1|444444,4908298:4908317|offset_44|444444,4908227:4908246|offset_115|00cc00,4908199:4908218|offset_143|444444&amp;v=4908140:4908418&amp;c=444444", "offset 115")</f>
        <v>offset 115</v>
      </c>
    </row>
    <row r="15868" customFormat="false" ht="12.8" hidden="false" customHeight="false" outlineLevel="0" collapsed="false">
      <c r="A15868" s="0" t="s">
        <v>12</v>
      </c>
      <c r="B15868" s="0" t="n">
        <v>4908198</v>
      </c>
      <c r="C15868" s="0" t="n">
        <v>4908218</v>
      </c>
      <c r="D15868" s="0" t="s">
        <v>52736</v>
      </c>
      <c r="E15868" s="0" t="s">
        <v>75</v>
      </c>
      <c r="F15868" s="0" t="s">
        <v>90</v>
      </c>
      <c r="G15868" s="0" t="s">
        <v>20</v>
      </c>
      <c r="H15868" s="0" t="n">
        <v>143</v>
      </c>
      <c r="I15868" s="0" t="s">
        <v>52746</v>
      </c>
      <c r="J15868" s="0" t="s">
        <v>52747</v>
      </c>
      <c r="K15868" s="0" t="s">
        <v>52748</v>
      </c>
      <c r="L15868" s="0" t="str">
        <f aca="false">HYPERLINK("https://www.ncbi.nlm.nih.gov/nuccore/CP000058.1?report=graph&amp;tracks=[key:gene_model_track,Options:GeneOnly]&amp;mk=4908341:4908360|offset_1|444444,4908298:4908317|offset_44|444444,4908227:4908246|offset_115|444444,4908199:4908218|offset_143|00cc00&amp;v=4908140:4908418&amp;c=444444", "offset 143")</f>
        <v>offset 143</v>
      </c>
    </row>
    <row r="15869" customFormat="false" ht="12.8" hidden="false" customHeight="false" outlineLevel="0" collapsed="false">
      <c r="A15869" s="0" t="s">
        <v>12</v>
      </c>
      <c r="B15869" s="0" t="n">
        <v>4911257</v>
      </c>
      <c r="C15869" s="0" t="n">
        <v>4911277</v>
      </c>
      <c r="D15869" s="0" t="s">
        <v>52749</v>
      </c>
      <c r="E15869" s="0" t="s">
        <v>75</v>
      </c>
      <c r="F15869" s="0" t="s">
        <v>90</v>
      </c>
      <c r="G15869" s="0" t="s">
        <v>32</v>
      </c>
      <c r="H15869" s="0" t="n">
        <v>0</v>
      </c>
      <c r="I15869" s="0" t="s">
        <v>52750</v>
      </c>
      <c r="J15869" s="0" t="s">
        <v>52751</v>
      </c>
      <c r="K15869" s="0" t="s">
        <v>52752</v>
      </c>
      <c r="L15869" s="0" t="str">
        <f aca="false">HYPERLINK("https://www.ncbi.nlm.nih.gov/nuccore/CP000058.1?report=graph&amp;tracks=[key:gene_model_track,Options:GeneOnly]&amp;mk=4911258:4911277|offset_0|00cc00,4911230:4911249|offset_28|444444,4911174:4911193|offset_84|444444,4911152:4911171|offset_106|444444&amp;v=4911057:4911371&amp;c=444444", "offset 0")</f>
        <v>offset 0</v>
      </c>
    </row>
    <row r="15870" customFormat="false" ht="12.8" hidden="false" customHeight="false" outlineLevel="0" collapsed="false">
      <c r="A15870" s="0" t="s">
        <v>12</v>
      </c>
      <c r="B15870" s="0" t="n">
        <v>4911229</v>
      </c>
      <c r="C15870" s="0" t="n">
        <v>4911249</v>
      </c>
      <c r="D15870" s="0" t="s">
        <v>52749</v>
      </c>
      <c r="E15870" s="0" t="s">
        <v>75</v>
      </c>
      <c r="F15870" s="0" t="s">
        <v>90</v>
      </c>
      <c r="G15870" s="0" t="s">
        <v>32</v>
      </c>
      <c r="H15870" s="0" t="n">
        <v>28</v>
      </c>
      <c r="I15870" s="0" t="s">
        <v>52753</v>
      </c>
      <c r="J15870" s="0" t="s">
        <v>52754</v>
      </c>
      <c r="K15870" s="0" t="s">
        <v>52755</v>
      </c>
      <c r="L15870" s="0" t="str">
        <f aca="false">HYPERLINK("https://www.ncbi.nlm.nih.gov/nuccore/CP000058.1?report=graph&amp;tracks=[key:gene_model_track,Options:GeneOnly]&amp;mk=4911258:4911277|offset_0|444444,4911230:4911249|offset_28|00cc00,4911174:4911193|offset_84|444444,4911152:4911171|offset_106|444444&amp;v=4911057:4911371&amp;c=444444", "offset 28")</f>
        <v>offset 28</v>
      </c>
    </row>
    <row r="15871" customFormat="false" ht="12.8" hidden="false" customHeight="false" outlineLevel="0" collapsed="false">
      <c r="A15871" s="0" t="s">
        <v>12</v>
      </c>
      <c r="B15871" s="0" t="n">
        <v>4911173</v>
      </c>
      <c r="C15871" s="0" t="n">
        <v>4911193</v>
      </c>
      <c r="D15871" s="0" t="s">
        <v>52749</v>
      </c>
      <c r="E15871" s="0" t="s">
        <v>75</v>
      </c>
      <c r="F15871" s="0" t="s">
        <v>90</v>
      </c>
      <c r="G15871" s="0" t="s">
        <v>32</v>
      </c>
      <c r="H15871" s="0" t="n">
        <v>84</v>
      </c>
      <c r="I15871" s="0" t="s">
        <v>52756</v>
      </c>
      <c r="J15871" s="0" t="s">
        <v>52757</v>
      </c>
      <c r="K15871" s="0" t="s">
        <v>52758</v>
      </c>
      <c r="L15871" s="0" t="str">
        <f aca="false">HYPERLINK("https://www.ncbi.nlm.nih.gov/nuccore/CP000058.1?report=graph&amp;tracks=[key:gene_model_track,Options:GeneOnly]&amp;mk=4911258:4911277|offset_0|444444,4911230:4911249|offset_28|444444,4911174:4911193|offset_84|00cc00,4911152:4911171|offset_106|444444&amp;v=4911057:4911371&amp;c=444444", "offset 84")</f>
        <v>offset 84</v>
      </c>
    </row>
    <row r="15872" customFormat="false" ht="12.8" hidden="false" customHeight="false" outlineLevel="0" collapsed="false">
      <c r="A15872" s="0" t="s">
        <v>12</v>
      </c>
      <c r="B15872" s="0" t="n">
        <v>4911151</v>
      </c>
      <c r="C15872" s="0" t="n">
        <v>4911171</v>
      </c>
      <c r="D15872" s="0" t="s">
        <v>52749</v>
      </c>
      <c r="E15872" s="0" t="s">
        <v>75</v>
      </c>
      <c r="F15872" s="0" t="s">
        <v>90</v>
      </c>
      <c r="G15872" s="0" t="s">
        <v>32</v>
      </c>
      <c r="H15872" s="0" t="n">
        <v>106</v>
      </c>
      <c r="I15872" s="0" t="s">
        <v>52759</v>
      </c>
      <c r="J15872" s="0" t="s">
        <v>52760</v>
      </c>
      <c r="K15872" s="0" t="s">
        <v>52761</v>
      </c>
      <c r="L15872" s="0" t="str">
        <f aca="false">HYPERLINK("https://www.ncbi.nlm.nih.gov/nuccore/CP000058.1?report=graph&amp;tracks=[key:gene_model_track,Options:GeneOnly]&amp;mk=4911258:4911277|offset_0|444444,4911230:4911249|offset_28|444444,4911174:4911193|offset_84|444444,4911152:4911171|offset_106|00cc00&amp;v=4911057:4911371&amp;c=444444", "offset 106")</f>
        <v>offset 106</v>
      </c>
    </row>
    <row r="15873" customFormat="false" ht="12.8" hidden="false" customHeight="false" outlineLevel="0" collapsed="false">
      <c r="A15873" s="0" t="s">
        <v>12</v>
      </c>
      <c r="B15873" s="0" t="n">
        <v>4912585</v>
      </c>
      <c r="C15873" s="0" t="n">
        <v>4912605</v>
      </c>
      <c r="D15873" s="0" t="s">
        <v>52762</v>
      </c>
      <c r="E15873" s="0" t="s">
        <v>75</v>
      </c>
      <c r="F15873" s="0" t="s">
        <v>90</v>
      </c>
      <c r="G15873" s="0" t="s">
        <v>32</v>
      </c>
      <c r="H15873" s="0" t="n">
        <v>24</v>
      </c>
      <c r="I15873" s="0" t="s">
        <v>52763</v>
      </c>
      <c r="J15873" s="0" t="s">
        <v>52764</v>
      </c>
      <c r="K15873" s="0" t="s">
        <v>52765</v>
      </c>
      <c r="L15873" s="0" t="str">
        <f aca="false">HYPERLINK("https://www.ncbi.nlm.nih.gov/nuccore/CP000058.1?report=graph&amp;tracks=[key:gene_model_track,Options:GeneOnly]&amp;mk=4912586:4912605|offset_24|00cc00,4912563:4912582|offset_47|444444,4912522:4912541|offset_88|444444,4912501:4912520|offset_109|444444&amp;v=4912385:4912720&amp;c=444444", "offset 24")</f>
        <v>offset 24</v>
      </c>
    </row>
    <row r="15874" customFormat="false" ht="12.8" hidden="false" customHeight="false" outlineLevel="0" collapsed="false">
      <c r="A15874" s="0" t="s">
        <v>12</v>
      </c>
      <c r="B15874" s="0" t="n">
        <v>4912562</v>
      </c>
      <c r="C15874" s="0" t="n">
        <v>4912582</v>
      </c>
      <c r="D15874" s="0" t="s">
        <v>52762</v>
      </c>
      <c r="E15874" s="0" t="s">
        <v>75</v>
      </c>
      <c r="F15874" s="0" t="s">
        <v>90</v>
      </c>
      <c r="G15874" s="0" t="s">
        <v>20</v>
      </c>
      <c r="H15874" s="0" t="n">
        <v>47</v>
      </c>
      <c r="I15874" s="0" t="s">
        <v>52766</v>
      </c>
      <c r="J15874" s="0" t="s">
        <v>52767</v>
      </c>
      <c r="K15874" s="0" t="s">
        <v>52768</v>
      </c>
      <c r="L15874" s="0" t="str">
        <f aca="false">HYPERLINK("https://www.ncbi.nlm.nih.gov/nuccore/CP000058.1?report=graph&amp;tracks=[key:gene_model_track,Options:GeneOnly]&amp;mk=4912586:4912605|offset_24|444444,4912563:4912582|offset_47|00cc00,4912522:4912541|offset_88|444444,4912501:4912520|offset_109|444444&amp;v=4912385:4912720&amp;c=444444", "offset 47")</f>
        <v>offset 47</v>
      </c>
    </row>
    <row r="15875" customFormat="false" ht="12.8" hidden="false" customHeight="false" outlineLevel="0" collapsed="false">
      <c r="A15875" s="0" t="s">
        <v>12</v>
      </c>
      <c r="B15875" s="0" t="n">
        <v>4912521</v>
      </c>
      <c r="C15875" s="0" t="n">
        <v>4912541</v>
      </c>
      <c r="D15875" s="0" t="s">
        <v>52762</v>
      </c>
      <c r="E15875" s="0" t="s">
        <v>75</v>
      </c>
      <c r="F15875" s="0" t="s">
        <v>90</v>
      </c>
      <c r="G15875" s="0" t="s">
        <v>32</v>
      </c>
      <c r="H15875" s="0" t="n">
        <v>88</v>
      </c>
      <c r="I15875" s="0" t="s">
        <v>52769</v>
      </c>
      <c r="J15875" s="0" t="s">
        <v>52770</v>
      </c>
      <c r="K15875" s="0" t="s">
        <v>52771</v>
      </c>
      <c r="L15875" s="0" t="str">
        <f aca="false">HYPERLINK("https://www.ncbi.nlm.nih.gov/nuccore/CP000058.1?report=graph&amp;tracks=[key:gene_model_track,Options:GeneOnly]&amp;mk=4912586:4912605|offset_24|444444,4912563:4912582|offset_47|444444,4912522:4912541|offset_88|00cc00,4912501:4912520|offset_109|444444&amp;v=4912385:4912720&amp;c=444444", "offset 88")</f>
        <v>offset 88</v>
      </c>
    </row>
    <row r="15876" customFormat="false" ht="12.8" hidden="false" customHeight="false" outlineLevel="0" collapsed="false">
      <c r="A15876" s="0" t="s">
        <v>12</v>
      </c>
      <c r="B15876" s="0" t="n">
        <v>4912500</v>
      </c>
      <c r="C15876" s="0" t="n">
        <v>4912520</v>
      </c>
      <c r="D15876" s="0" t="s">
        <v>52762</v>
      </c>
      <c r="E15876" s="0" t="s">
        <v>75</v>
      </c>
      <c r="F15876" s="0" t="s">
        <v>90</v>
      </c>
      <c r="G15876" s="0" t="s">
        <v>36</v>
      </c>
      <c r="H15876" s="0" t="n">
        <v>109</v>
      </c>
      <c r="I15876" s="0" t="s">
        <v>52772</v>
      </c>
      <c r="J15876" s="0" t="s">
        <v>52773</v>
      </c>
      <c r="K15876" s="0" t="s">
        <v>52774</v>
      </c>
      <c r="L15876" s="0" t="str">
        <f aca="false">HYPERLINK("https://www.ncbi.nlm.nih.gov/nuccore/CP000058.1?report=graph&amp;tracks=[key:gene_model_track,Options:GeneOnly]&amp;mk=4912586:4912605|offset_24|444444,4912563:4912582|offset_47|444444,4912522:4912541|offset_88|444444,4912501:4912520|offset_109|00cc00&amp;v=4912385:4912720&amp;c=444444", "offset 109")</f>
        <v>offset 109</v>
      </c>
    </row>
    <row r="15877" customFormat="false" ht="12.8" hidden="false" customHeight="false" outlineLevel="0" collapsed="false">
      <c r="A15877" s="0" t="s">
        <v>12</v>
      </c>
      <c r="B15877" s="0" t="n">
        <v>4913328</v>
      </c>
      <c r="C15877" s="0" t="n">
        <v>4913348</v>
      </c>
      <c r="D15877" s="0" t="s">
        <v>52775</v>
      </c>
      <c r="E15877" s="0" t="s">
        <v>52776</v>
      </c>
      <c r="F15877" s="0" t="s">
        <v>90</v>
      </c>
      <c r="G15877" s="0" t="s">
        <v>36</v>
      </c>
      <c r="H15877" s="0" t="n">
        <v>46</v>
      </c>
      <c r="I15877" s="0" t="s">
        <v>52777</v>
      </c>
      <c r="J15877" s="0" t="s">
        <v>52778</v>
      </c>
      <c r="K15877" s="0" t="s">
        <v>52779</v>
      </c>
      <c r="L15877" s="0" t="str">
        <f aca="false">HYPERLINK("https://www.ncbi.nlm.nih.gov/nuccore/CP000058.1?report=graph&amp;tracks=[key:gene_model_track,Options:GeneOnly]&amp;mk=4913329:4913348|offset_46|00cc00,4913307:4913326|offset_68|444444,4913260:4913279|offset_115|444444,4913140:4913159|offset_235|444444&amp;v=4913128:4913359&amp;c=444444", "offset 46")</f>
        <v>offset 46</v>
      </c>
    </row>
    <row r="15878" customFormat="false" ht="12.8" hidden="false" customHeight="false" outlineLevel="0" collapsed="false">
      <c r="A15878" s="0" t="s">
        <v>12</v>
      </c>
      <c r="B15878" s="0" t="n">
        <v>4913306</v>
      </c>
      <c r="C15878" s="0" t="n">
        <v>4913326</v>
      </c>
      <c r="D15878" s="0" t="s">
        <v>52775</v>
      </c>
      <c r="E15878" s="0" t="s">
        <v>52776</v>
      </c>
      <c r="F15878" s="0" t="s">
        <v>90</v>
      </c>
      <c r="G15878" s="0" t="s">
        <v>20</v>
      </c>
      <c r="H15878" s="0" t="n">
        <v>68</v>
      </c>
      <c r="I15878" s="0" t="s">
        <v>52780</v>
      </c>
      <c r="J15878" s="0" t="s">
        <v>52781</v>
      </c>
      <c r="K15878" s="0" t="s">
        <v>52782</v>
      </c>
      <c r="L15878" s="0" t="str">
        <f aca="false">HYPERLINK("https://www.ncbi.nlm.nih.gov/nuccore/CP000058.1?report=graph&amp;tracks=[key:gene_model_track,Options:GeneOnly]&amp;mk=4913329:4913348|offset_46|444444,4913307:4913326|offset_68|00cc00,4913260:4913279|offset_115|444444,4913140:4913159|offset_235|444444&amp;v=4913128:4913359&amp;c=444444", "offset 68")</f>
        <v>offset 68</v>
      </c>
    </row>
    <row r="15879" customFormat="false" ht="12.8" hidden="false" customHeight="false" outlineLevel="0" collapsed="false">
      <c r="A15879" s="0" t="s">
        <v>12</v>
      </c>
      <c r="B15879" s="0" t="n">
        <v>4913259</v>
      </c>
      <c r="C15879" s="0" t="n">
        <v>4913279</v>
      </c>
      <c r="D15879" s="0" t="s">
        <v>52775</v>
      </c>
      <c r="E15879" s="0" t="s">
        <v>52776</v>
      </c>
      <c r="F15879" s="0" t="s">
        <v>90</v>
      </c>
      <c r="G15879" s="0" t="s">
        <v>16</v>
      </c>
      <c r="H15879" s="0" t="n">
        <v>115</v>
      </c>
      <c r="I15879" s="0" t="s">
        <v>52783</v>
      </c>
      <c r="J15879" s="0" t="s">
        <v>52784</v>
      </c>
      <c r="K15879" s="0" t="s">
        <v>52785</v>
      </c>
      <c r="L15879" s="0" t="str">
        <f aca="false">HYPERLINK("https://www.ncbi.nlm.nih.gov/nuccore/CP000058.1?report=graph&amp;tracks=[key:gene_model_track,Options:GeneOnly]&amp;mk=4913329:4913348|offset_46|444444,4913307:4913326|offset_68|444444,4913260:4913279|offset_115|00cc00,4913140:4913159|offset_235|444444&amp;v=4913128:4913359&amp;c=444444", "offset 115")</f>
        <v>offset 115</v>
      </c>
    </row>
    <row r="15880" customFormat="false" ht="12.8" hidden="false" customHeight="false" outlineLevel="0" collapsed="false">
      <c r="A15880" s="0" t="s">
        <v>12</v>
      </c>
      <c r="B15880" s="0" t="n">
        <v>4913139</v>
      </c>
      <c r="C15880" s="0" t="n">
        <v>4913159</v>
      </c>
      <c r="D15880" s="0" t="s">
        <v>52775</v>
      </c>
      <c r="E15880" s="0" t="s">
        <v>52776</v>
      </c>
      <c r="F15880" s="0" t="s">
        <v>90</v>
      </c>
      <c r="G15880" s="0" t="s">
        <v>16</v>
      </c>
      <c r="H15880" s="0" t="n">
        <v>235</v>
      </c>
      <c r="I15880" s="0" t="s">
        <v>52786</v>
      </c>
      <c r="J15880" s="0" t="s">
        <v>52787</v>
      </c>
      <c r="K15880" s="0" t="s">
        <v>52788</v>
      </c>
      <c r="L15880" s="0" t="str">
        <f aca="false">HYPERLINK("https://www.ncbi.nlm.nih.gov/nuccore/CP000058.1?report=graph&amp;tracks=[key:gene_model_track,Options:GeneOnly]&amp;mk=4913329:4913348|offset_46|444444,4913307:4913326|offset_68|444444,4913260:4913279|offset_115|444444,4913140:4913159|offset_235|00cc00&amp;v=4913128:4913359&amp;c=444444", "offset 235")</f>
        <v>offset 235</v>
      </c>
    </row>
    <row r="15881" customFormat="false" ht="12.8" hidden="false" customHeight="false" outlineLevel="0" collapsed="false">
      <c r="A15881" s="0" t="s">
        <v>12</v>
      </c>
      <c r="B15881" s="0" t="n">
        <v>4914704</v>
      </c>
      <c r="C15881" s="0" t="n">
        <v>4914724</v>
      </c>
      <c r="D15881" s="0" t="s">
        <v>52789</v>
      </c>
      <c r="E15881" s="0" t="s">
        <v>75</v>
      </c>
      <c r="F15881" s="0" t="s">
        <v>90</v>
      </c>
      <c r="G15881" s="0" t="s">
        <v>16</v>
      </c>
      <c r="H15881" s="0" t="n">
        <v>58</v>
      </c>
      <c r="I15881" s="0" t="s">
        <v>52790</v>
      </c>
      <c r="J15881" s="0" t="s">
        <v>52791</v>
      </c>
      <c r="K15881" s="0" t="s">
        <v>52792</v>
      </c>
      <c r="L15881" s="0" t="str">
        <f aca="false">HYPERLINK("https://www.ncbi.nlm.nih.gov/nuccore/CP000058.1?report=graph&amp;tracks=[key:gene_model_track,Options:GeneOnly]&amp;mk=4914705:4914724|offset_58|00cc00,4914584:4914603|offset_179|444444,4914532:4914551|offset_231|444444,4914511:4914530|offset_252|444444&amp;v=4914504:4914730&amp;c=444444", "offset 58")</f>
        <v>offset 58</v>
      </c>
    </row>
    <row r="15882" customFormat="false" ht="12.8" hidden="false" customHeight="false" outlineLevel="0" collapsed="false">
      <c r="A15882" s="0" t="s">
        <v>12</v>
      </c>
      <c r="B15882" s="0" t="n">
        <v>4914583</v>
      </c>
      <c r="C15882" s="0" t="n">
        <v>4914603</v>
      </c>
      <c r="D15882" s="0" t="s">
        <v>52789</v>
      </c>
      <c r="E15882" s="0" t="s">
        <v>75</v>
      </c>
      <c r="F15882" s="0" t="s">
        <v>90</v>
      </c>
      <c r="G15882" s="0" t="s">
        <v>20</v>
      </c>
      <c r="H15882" s="0" t="n">
        <v>179</v>
      </c>
      <c r="I15882" s="0" t="s">
        <v>52793</v>
      </c>
      <c r="J15882" s="0" t="s">
        <v>52794</v>
      </c>
      <c r="K15882" s="0" t="s">
        <v>52795</v>
      </c>
      <c r="L15882" s="0" t="str">
        <f aca="false">HYPERLINK("https://www.ncbi.nlm.nih.gov/nuccore/CP000058.1?report=graph&amp;tracks=[key:gene_model_track,Options:GeneOnly]&amp;mk=4914705:4914724|offset_58|444444,4914584:4914603|offset_179|00cc00,4914532:4914551|offset_231|444444,4914511:4914530|offset_252|444444&amp;v=4914504:4914730&amp;c=444444", "offset 179")</f>
        <v>offset 179</v>
      </c>
    </row>
    <row r="15883" customFormat="false" ht="12.8" hidden="false" customHeight="false" outlineLevel="0" collapsed="false">
      <c r="A15883" s="0" t="s">
        <v>12</v>
      </c>
      <c r="B15883" s="0" t="n">
        <v>4914531</v>
      </c>
      <c r="C15883" s="0" t="n">
        <v>4914551</v>
      </c>
      <c r="D15883" s="0" t="s">
        <v>52789</v>
      </c>
      <c r="E15883" s="0" t="s">
        <v>75</v>
      </c>
      <c r="F15883" s="0" t="s">
        <v>90</v>
      </c>
      <c r="G15883" s="0" t="s">
        <v>32</v>
      </c>
      <c r="H15883" s="0" t="n">
        <v>231</v>
      </c>
      <c r="I15883" s="0" t="s">
        <v>52796</v>
      </c>
      <c r="J15883" s="0" t="s">
        <v>52797</v>
      </c>
      <c r="K15883" s="0" t="s">
        <v>52798</v>
      </c>
      <c r="L15883" s="0" t="str">
        <f aca="false">HYPERLINK("https://www.ncbi.nlm.nih.gov/nuccore/CP000058.1?report=graph&amp;tracks=[key:gene_model_track,Options:GeneOnly]&amp;mk=4914705:4914724|offset_58|444444,4914584:4914603|offset_179|444444,4914532:4914551|offset_231|00cc00,4914511:4914530|offset_252|444444&amp;v=4914504:4914730&amp;c=444444", "offset 231")</f>
        <v>offset 231</v>
      </c>
    </row>
    <row r="15884" customFormat="false" ht="12.8" hidden="false" customHeight="false" outlineLevel="0" collapsed="false">
      <c r="A15884" s="0" t="s">
        <v>12</v>
      </c>
      <c r="B15884" s="0" t="n">
        <v>4914510</v>
      </c>
      <c r="C15884" s="0" t="n">
        <v>4914530</v>
      </c>
      <c r="D15884" s="0" t="s">
        <v>52789</v>
      </c>
      <c r="E15884" s="0" t="s">
        <v>75</v>
      </c>
      <c r="F15884" s="0" t="s">
        <v>90</v>
      </c>
      <c r="G15884" s="0" t="s">
        <v>16</v>
      </c>
      <c r="H15884" s="0" t="n">
        <v>252</v>
      </c>
      <c r="I15884" s="0" t="s">
        <v>52799</v>
      </c>
      <c r="J15884" s="0" t="s">
        <v>52800</v>
      </c>
      <c r="K15884" s="0" t="s">
        <v>52801</v>
      </c>
      <c r="L15884" s="0" t="str">
        <f aca="false">HYPERLINK("https://www.ncbi.nlm.nih.gov/nuccore/CP000058.1?report=graph&amp;tracks=[key:gene_model_track,Options:GeneOnly]&amp;mk=4914705:4914724|offset_58|444444,4914584:4914603|offset_179|444444,4914532:4914551|offset_231|444444,4914511:4914530|offset_252|00cc00&amp;v=4914504:4914730&amp;c=444444", "offset 252")</f>
        <v>offset 252</v>
      </c>
    </row>
    <row r="15885" customFormat="false" ht="12.8" hidden="false" customHeight="false" outlineLevel="0" collapsed="false">
      <c r="A15885" s="0" t="s">
        <v>12</v>
      </c>
      <c r="B15885" s="0" t="n">
        <v>4915879</v>
      </c>
      <c r="C15885" s="0" t="n">
        <v>4915899</v>
      </c>
      <c r="D15885" s="0" t="s">
        <v>52802</v>
      </c>
      <c r="E15885" s="0" t="s">
        <v>75</v>
      </c>
      <c r="F15885" s="0" t="s">
        <v>90</v>
      </c>
      <c r="G15885" s="0" t="s">
        <v>20</v>
      </c>
      <c r="H15885" s="0" t="n">
        <v>40</v>
      </c>
      <c r="I15885" s="0" t="s">
        <v>52803</v>
      </c>
      <c r="J15885" s="0" t="s">
        <v>52804</v>
      </c>
      <c r="K15885" s="0" t="s">
        <v>52805</v>
      </c>
      <c r="L15885" s="0" t="str">
        <f aca="false">HYPERLINK("https://www.ncbi.nlm.nih.gov/nuccore/CP000058.1?report=graph&amp;tracks=[key:gene_model_track,Options:GeneOnly]&amp;mk=4915880:4915899|offset_40|00cc00,4915804:4915823|offset_116|444444,4915779:4915798|offset_141|444444,4915736:4915755|offset_184|444444&amp;v=4915679:4915955&amp;c=444444", "offset 40")</f>
        <v>offset 40</v>
      </c>
    </row>
    <row r="15886" customFormat="false" ht="12.8" hidden="false" customHeight="false" outlineLevel="0" collapsed="false">
      <c r="A15886" s="0" t="s">
        <v>12</v>
      </c>
      <c r="B15886" s="0" t="n">
        <v>4915803</v>
      </c>
      <c r="C15886" s="0" t="n">
        <v>4915823</v>
      </c>
      <c r="D15886" s="0" t="s">
        <v>52802</v>
      </c>
      <c r="E15886" s="0" t="s">
        <v>75</v>
      </c>
      <c r="F15886" s="0" t="s">
        <v>90</v>
      </c>
      <c r="G15886" s="0" t="s">
        <v>36</v>
      </c>
      <c r="H15886" s="0" t="n">
        <v>116</v>
      </c>
      <c r="I15886" s="0" t="s">
        <v>52806</v>
      </c>
      <c r="J15886" s="0" t="s">
        <v>52807</v>
      </c>
      <c r="K15886" s="0" t="s">
        <v>52808</v>
      </c>
      <c r="L15886" s="0" t="str">
        <f aca="false">HYPERLINK("https://www.ncbi.nlm.nih.gov/nuccore/CP000058.1?report=graph&amp;tracks=[key:gene_model_track,Options:GeneOnly]&amp;mk=4915880:4915899|offset_40|444444,4915804:4915823|offset_116|00cc00,4915779:4915798|offset_141|444444,4915736:4915755|offset_184|444444&amp;v=4915679:4915955&amp;c=444444", "offset 116")</f>
        <v>offset 116</v>
      </c>
    </row>
    <row r="15887" customFormat="false" ht="12.8" hidden="false" customHeight="false" outlineLevel="0" collapsed="false">
      <c r="A15887" s="0" t="s">
        <v>12</v>
      </c>
      <c r="B15887" s="0" t="n">
        <v>4915778</v>
      </c>
      <c r="C15887" s="0" t="n">
        <v>4915798</v>
      </c>
      <c r="D15887" s="0" t="s">
        <v>52802</v>
      </c>
      <c r="E15887" s="0" t="s">
        <v>75</v>
      </c>
      <c r="F15887" s="0" t="s">
        <v>90</v>
      </c>
      <c r="G15887" s="0" t="s">
        <v>20</v>
      </c>
      <c r="H15887" s="0" t="n">
        <v>141</v>
      </c>
      <c r="I15887" s="0" t="s">
        <v>52809</v>
      </c>
      <c r="J15887" s="0" t="s">
        <v>52810</v>
      </c>
      <c r="K15887" s="0" t="s">
        <v>52811</v>
      </c>
      <c r="L15887" s="0" t="str">
        <f aca="false">HYPERLINK("https://www.ncbi.nlm.nih.gov/nuccore/CP000058.1?report=graph&amp;tracks=[key:gene_model_track,Options:GeneOnly]&amp;mk=4915880:4915899|offset_40|444444,4915804:4915823|offset_116|444444,4915779:4915798|offset_141|00cc00,4915736:4915755|offset_184|444444&amp;v=4915679:4915955&amp;c=444444", "offset 141")</f>
        <v>offset 141</v>
      </c>
    </row>
    <row r="15888" customFormat="false" ht="12.8" hidden="false" customHeight="false" outlineLevel="0" collapsed="false">
      <c r="A15888" s="0" t="s">
        <v>12</v>
      </c>
      <c r="B15888" s="0" t="n">
        <v>4915735</v>
      </c>
      <c r="C15888" s="0" t="n">
        <v>4915755</v>
      </c>
      <c r="D15888" s="0" t="s">
        <v>52802</v>
      </c>
      <c r="E15888" s="0" t="s">
        <v>75</v>
      </c>
      <c r="F15888" s="0" t="s">
        <v>90</v>
      </c>
      <c r="G15888" s="0" t="s">
        <v>16</v>
      </c>
      <c r="H15888" s="0" t="n">
        <v>184</v>
      </c>
      <c r="I15888" s="0" t="s">
        <v>52812</v>
      </c>
      <c r="J15888" s="0" t="s">
        <v>52813</v>
      </c>
      <c r="K15888" s="0" t="s">
        <v>52814</v>
      </c>
      <c r="L15888" s="0" t="str">
        <f aca="false">HYPERLINK("https://www.ncbi.nlm.nih.gov/nuccore/CP000058.1?report=graph&amp;tracks=[key:gene_model_track,Options:GeneOnly]&amp;mk=4915880:4915899|offset_40|444444,4915804:4915823|offset_116|444444,4915779:4915798|offset_141|444444,4915736:4915755|offset_184|00cc00&amp;v=4915679:4915955&amp;c=444444", "offset 184")</f>
        <v>offset 184</v>
      </c>
    </row>
    <row r="15889" customFormat="false" ht="12.8" hidden="false" customHeight="false" outlineLevel="0" collapsed="false">
      <c r="A15889" s="0" t="s">
        <v>12</v>
      </c>
      <c r="B15889" s="0" t="n">
        <v>4916744</v>
      </c>
      <c r="C15889" s="0" t="n">
        <v>4916764</v>
      </c>
      <c r="D15889" s="0" t="s">
        <v>52815</v>
      </c>
      <c r="E15889" s="0" t="s">
        <v>75</v>
      </c>
      <c r="F15889" s="0" t="s">
        <v>90</v>
      </c>
      <c r="G15889" s="0" t="s">
        <v>32</v>
      </c>
      <c r="H15889" s="0" t="n">
        <v>61</v>
      </c>
      <c r="I15889" s="0" t="s">
        <v>52816</v>
      </c>
      <c r="J15889" s="0" t="s">
        <v>52817</v>
      </c>
      <c r="K15889" s="0" t="s">
        <v>52818</v>
      </c>
      <c r="L15889" s="0" t="str">
        <f aca="false">HYPERLINK("https://www.ncbi.nlm.nih.gov/nuccore/CP000058.1?report=graph&amp;tracks=[key:gene_model_track,Options:GeneOnly]&amp;mk=4916745:4916764|offset_61|00cc00,4916724:4916743|offset_82|444444,4916703:4916722|offset_103|444444,4916679:4916698|offset_127|444444&amp;v=4916544:4916898&amp;c=444444", "offset 61")</f>
        <v>offset 61</v>
      </c>
    </row>
    <row r="15890" customFormat="false" ht="12.8" hidden="false" customHeight="false" outlineLevel="0" collapsed="false">
      <c r="A15890" s="0" t="s">
        <v>12</v>
      </c>
      <c r="B15890" s="0" t="n">
        <v>4916723</v>
      </c>
      <c r="C15890" s="0" t="n">
        <v>4916743</v>
      </c>
      <c r="D15890" s="0" t="s">
        <v>52815</v>
      </c>
      <c r="E15890" s="0" t="s">
        <v>75</v>
      </c>
      <c r="F15890" s="0" t="s">
        <v>90</v>
      </c>
      <c r="G15890" s="0" t="s">
        <v>32</v>
      </c>
      <c r="H15890" s="0" t="n">
        <v>82</v>
      </c>
      <c r="I15890" s="0" t="s">
        <v>52819</v>
      </c>
      <c r="J15890" s="0" t="s">
        <v>52820</v>
      </c>
      <c r="K15890" s="0" t="s">
        <v>52821</v>
      </c>
      <c r="L15890" s="0" t="str">
        <f aca="false">HYPERLINK("https://www.ncbi.nlm.nih.gov/nuccore/CP000058.1?report=graph&amp;tracks=[key:gene_model_track,Options:GeneOnly]&amp;mk=4916745:4916764|offset_61|444444,4916724:4916743|offset_82|00cc00,4916703:4916722|offset_103|444444,4916679:4916698|offset_127|444444&amp;v=4916544:4916898&amp;c=444444", "offset 82")</f>
        <v>offset 82</v>
      </c>
    </row>
    <row r="15891" customFormat="false" ht="12.8" hidden="false" customHeight="false" outlineLevel="0" collapsed="false">
      <c r="A15891" s="0" t="s">
        <v>12</v>
      </c>
      <c r="B15891" s="0" t="n">
        <v>4916702</v>
      </c>
      <c r="C15891" s="0" t="n">
        <v>4916722</v>
      </c>
      <c r="D15891" s="0" t="s">
        <v>52815</v>
      </c>
      <c r="E15891" s="0" t="s">
        <v>75</v>
      </c>
      <c r="F15891" s="0" t="s">
        <v>90</v>
      </c>
      <c r="G15891" s="0" t="s">
        <v>16</v>
      </c>
      <c r="H15891" s="0" t="n">
        <v>103</v>
      </c>
      <c r="I15891" s="0" t="s">
        <v>52822</v>
      </c>
      <c r="J15891" s="0" t="s">
        <v>52823</v>
      </c>
      <c r="K15891" s="0" t="s">
        <v>52824</v>
      </c>
      <c r="L15891" s="0" t="str">
        <f aca="false">HYPERLINK("https://www.ncbi.nlm.nih.gov/nuccore/CP000058.1?report=graph&amp;tracks=[key:gene_model_track,Options:GeneOnly]&amp;mk=4916745:4916764|offset_61|444444,4916724:4916743|offset_82|444444,4916703:4916722|offset_103|00cc00,4916679:4916698|offset_127|444444&amp;v=4916544:4916898&amp;c=444444", "offset 103")</f>
        <v>offset 103</v>
      </c>
    </row>
    <row r="15892" customFormat="false" ht="12.8" hidden="false" customHeight="false" outlineLevel="0" collapsed="false">
      <c r="A15892" s="0" t="s">
        <v>12</v>
      </c>
      <c r="B15892" s="0" t="n">
        <v>4916678</v>
      </c>
      <c r="C15892" s="0" t="n">
        <v>4916698</v>
      </c>
      <c r="D15892" s="0" t="s">
        <v>52815</v>
      </c>
      <c r="E15892" s="0" t="s">
        <v>75</v>
      </c>
      <c r="F15892" s="0" t="s">
        <v>90</v>
      </c>
      <c r="G15892" s="0" t="s">
        <v>32</v>
      </c>
      <c r="H15892" s="0" t="n">
        <v>127</v>
      </c>
      <c r="I15892" s="0" t="s">
        <v>52825</v>
      </c>
      <c r="J15892" s="0" t="s">
        <v>52826</v>
      </c>
      <c r="K15892" s="0" t="s">
        <v>52827</v>
      </c>
      <c r="L15892" s="0" t="str">
        <f aca="false">HYPERLINK("https://www.ncbi.nlm.nih.gov/nuccore/CP000058.1?report=graph&amp;tracks=[key:gene_model_track,Options:GeneOnly]&amp;mk=4916745:4916764|offset_61|444444,4916724:4916743|offset_82|444444,4916703:4916722|offset_103|444444,4916679:4916698|offset_127|00cc00&amp;v=4916544:4916898&amp;c=444444", "offset 127")</f>
        <v>offset 127</v>
      </c>
    </row>
    <row r="15893" customFormat="false" ht="12.8" hidden="false" customHeight="false" outlineLevel="0" collapsed="false">
      <c r="A15893" s="0" t="s">
        <v>12</v>
      </c>
      <c r="B15893" s="0" t="n">
        <v>4918374</v>
      </c>
      <c r="C15893" s="0" t="n">
        <v>4918394</v>
      </c>
      <c r="D15893" s="0" t="s">
        <v>52828</v>
      </c>
      <c r="E15893" s="0" t="s">
        <v>75</v>
      </c>
      <c r="F15893" s="0" t="s">
        <v>90</v>
      </c>
      <c r="G15893" s="0" t="s">
        <v>20</v>
      </c>
      <c r="H15893" s="0" t="n">
        <v>41</v>
      </c>
      <c r="I15893" s="0" t="s">
        <v>52829</v>
      </c>
      <c r="J15893" s="0" t="s">
        <v>52830</v>
      </c>
      <c r="K15893" s="0" t="s">
        <v>52831</v>
      </c>
      <c r="L15893" s="0" t="str">
        <f aca="false">HYPERLINK("https://www.ncbi.nlm.nih.gov/nuccore/CP000058.1?report=graph&amp;tracks=[key:gene_model_track,Options:GeneOnly]&amp;mk=4918375:4918394|offset_41|00cc00,4918342:4918361|offset_74|444444,4918302:4918321|offset_114|444444,4918278:4918297|offset_138|444444&amp;v=4918174:4918497&amp;c=444444", "offset 41")</f>
        <v>offset 41</v>
      </c>
    </row>
    <row r="15894" customFormat="false" ht="12.8" hidden="false" customHeight="false" outlineLevel="0" collapsed="false">
      <c r="A15894" s="0" t="s">
        <v>12</v>
      </c>
      <c r="B15894" s="0" t="n">
        <v>4918341</v>
      </c>
      <c r="C15894" s="0" t="n">
        <v>4918361</v>
      </c>
      <c r="D15894" s="0" t="s">
        <v>52828</v>
      </c>
      <c r="E15894" s="0" t="s">
        <v>75</v>
      </c>
      <c r="F15894" s="0" t="s">
        <v>90</v>
      </c>
      <c r="G15894" s="0" t="s">
        <v>16</v>
      </c>
      <c r="H15894" s="0" t="n">
        <v>74</v>
      </c>
      <c r="I15894" s="0" t="s">
        <v>52832</v>
      </c>
      <c r="J15894" s="0" t="s">
        <v>52833</v>
      </c>
      <c r="K15894" s="0" t="s">
        <v>52834</v>
      </c>
      <c r="L15894" s="0" t="str">
        <f aca="false">HYPERLINK("https://www.ncbi.nlm.nih.gov/nuccore/CP000058.1?report=graph&amp;tracks=[key:gene_model_track,Options:GeneOnly]&amp;mk=4918375:4918394|offset_41|444444,4918342:4918361|offset_74|00cc00,4918302:4918321|offset_114|444444,4918278:4918297|offset_138|444444&amp;v=4918174:4918497&amp;c=444444", "offset 74")</f>
        <v>offset 74</v>
      </c>
    </row>
    <row r="15895" customFormat="false" ht="12.8" hidden="false" customHeight="false" outlineLevel="0" collapsed="false">
      <c r="A15895" s="0" t="s">
        <v>12</v>
      </c>
      <c r="B15895" s="0" t="n">
        <v>4918301</v>
      </c>
      <c r="C15895" s="0" t="n">
        <v>4918321</v>
      </c>
      <c r="D15895" s="0" t="s">
        <v>52828</v>
      </c>
      <c r="E15895" s="0" t="s">
        <v>75</v>
      </c>
      <c r="F15895" s="0" t="s">
        <v>90</v>
      </c>
      <c r="G15895" s="0" t="s">
        <v>16</v>
      </c>
      <c r="H15895" s="0" t="n">
        <v>114</v>
      </c>
      <c r="I15895" s="0" t="s">
        <v>52835</v>
      </c>
      <c r="J15895" s="0" t="s">
        <v>52836</v>
      </c>
      <c r="K15895" s="0" t="s">
        <v>52837</v>
      </c>
      <c r="L15895" s="0" t="str">
        <f aca="false">HYPERLINK("https://www.ncbi.nlm.nih.gov/nuccore/CP000058.1?report=graph&amp;tracks=[key:gene_model_track,Options:GeneOnly]&amp;mk=4918375:4918394|offset_41|444444,4918342:4918361|offset_74|444444,4918302:4918321|offset_114|00cc00,4918278:4918297|offset_138|444444&amp;v=4918174:4918497&amp;c=444444", "offset 114")</f>
        <v>offset 114</v>
      </c>
    </row>
    <row r="15896" customFormat="false" ht="12.8" hidden="false" customHeight="false" outlineLevel="0" collapsed="false">
      <c r="A15896" s="0" t="s">
        <v>12</v>
      </c>
      <c r="B15896" s="0" t="n">
        <v>4918277</v>
      </c>
      <c r="C15896" s="0" t="n">
        <v>4918297</v>
      </c>
      <c r="D15896" s="0" t="s">
        <v>52828</v>
      </c>
      <c r="E15896" s="0" t="s">
        <v>75</v>
      </c>
      <c r="F15896" s="0" t="s">
        <v>90</v>
      </c>
      <c r="G15896" s="0" t="s">
        <v>16</v>
      </c>
      <c r="H15896" s="0" t="n">
        <v>138</v>
      </c>
      <c r="I15896" s="0" t="s">
        <v>52838</v>
      </c>
      <c r="J15896" s="0" t="s">
        <v>52839</v>
      </c>
      <c r="K15896" s="0" t="s">
        <v>52840</v>
      </c>
      <c r="L15896" s="0" t="str">
        <f aca="false">HYPERLINK("https://www.ncbi.nlm.nih.gov/nuccore/CP000058.1?report=graph&amp;tracks=[key:gene_model_track,Options:GeneOnly]&amp;mk=4918375:4918394|offset_41|444444,4918342:4918361|offset_74|444444,4918302:4918321|offset_114|444444,4918278:4918297|offset_138|00cc00&amp;v=4918174:4918497&amp;c=444444", "offset 138")</f>
        <v>offset 138</v>
      </c>
    </row>
    <row r="15897" customFormat="false" ht="12.8" hidden="false" customHeight="false" outlineLevel="0" collapsed="false">
      <c r="A15897" s="0" t="s">
        <v>12</v>
      </c>
      <c r="B15897" s="0" t="n">
        <v>4920130</v>
      </c>
      <c r="C15897" s="0" t="n">
        <v>4920150</v>
      </c>
      <c r="D15897" s="0" t="s">
        <v>52841</v>
      </c>
      <c r="E15897" s="0" t="s">
        <v>75</v>
      </c>
      <c r="F15897" s="0" t="s">
        <v>90</v>
      </c>
      <c r="G15897" s="0" t="s">
        <v>20</v>
      </c>
      <c r="H15897" s="0" t="n">
        <v>6</v>
      </c>
      <c r="I15897" s="0" t="s">
        <v>52842</v>
      </c>
      <c r="J15897" s="0" t="s">
        <v>52843</v>
      </c>
      <c r="K15897" s="0" t="s">
        <v>52844</v>
      </c>
      <c r="L15897" s="0" t="str">
        <f aca="false">HYPERLINK("https://www.ncbi.nlm.nih.gov/nuccore/CP000058.1?report=graph&amp;tracks=[key:gene_model_track,Options:GeneOnly]&amp;mk=4920131:4920150|offset_6|00cc00,4920100:4920119|offset_37|444444,4920051:4920070|offset_86|444444,4920028:4920047|offset_109|444444&amp;v=4919930:4920247&amp;c=444444", "offset 6")</f>
        <v>offset 6</v>
      </c>
    </row>
    <row r="15898" customFormat="false" ht="12.8" hidden="false" customHeight="false" outlineLevel="0" collapsed="false">
      <c r="A15898" s="0" t="s">
        <v>12</v>
      </c>
      <c r="B15898" s="0" t="n">
        <v>4920099</v>
      </c>
      <c r="C15898" s="0" t="n">
        <v>4920119</v>
      </c>
      <c r="D15898" s="0" t="s">
        <v>52841</v>
      </c>
      <c r="E15898" s="0" t="s">
        <v>75</v>
      </c>
      <c r="F15898" s="0" t="s">
        <v>90</v>
      </c>
      <c r="G15898" s="0" t="s">
        <v>20</v>
      </c>
      <c r="H15898" s="0" t="n">
        <v>37</v>
      </c>
      <c r="I15898" s="0" t="s">
        <v>52845</v>
      </c>
      <c r="J15898" s="0" t="s">
        <v>52846</v>
      </c>
      <c r="K15898" s="0" t="s">
        <v>52847</v>
      </c>
      <c r="L15898" s="0" t="str">
        <f aca="false">HYPERLINK("https://www.ncbi.nlm.nih.gov/nuccore/CP000058.1?report=graph&amp;tracks=[key:gene_model_track,Options:GeneOnly]&amp;mk=4920131:4920150|offset_6|444444,4920100:4920119|offset_37|00cc00,4920051:4920070|offset_86|444444,4920028:4920047|offset_109|444444&amp;v=4919930:4920247&amp;c=444444", "offset 37")</f>
        <v>offset 37</v>
      </c>
    </row>
    <row r="15899" customFormat="false" ht="12.8" hidden="false" customHeight="false" outlineLevel="0" collapsed="false">
      <c r="A15899" s="0" t="s">
        <v>12</v>
      </c>
      <c r="B15899" s="0" t="n">
        <v>4920050</v>
      </c>
      <c r="C15899" s="0" t="n">
        <v>4920070</v>
      </c>
      <c r="D15899" s="0" t="s">
        <v>52841</v>
      </c>
      <c r="E15899" s="0" t="s">
        <v>75</v>
      </c>
      <c r="F15899" s="0" t="s">
        <v>90</v>
      </c>
      <c r="G15899" s="0" t="s">
        <v>16</v>
      </c>
      <c r="H15899" s="0" t="n">
        <v>86</v>
      </c>
      <c r="I15899" s="0" t="s">
        <v>52848</v>
      </c>
      <c r="J15899" s="0" t="s">
        <v>52849</v>
      </c>
      <c r="K15899" s="0" t="s">
        <v>52850</v>
      </c>
      <c r="L15899" s="0" t="str">
        <f aca="false">HYPERLINK("https://www.ncbi.nlm.nih.gov/nuccore/CP000058.1?report=graph&amp;tracks=[key:gene_model_track,Options:GeneOnly]&amp;mk=4920131:4920150|offset_6|444444,4920100:4920119|offset_37|444444,4920051:4920070|offset_86|00cc00,4920028:4920047|offset_109|444444&amp;v=4919930:4920247&amp;c=444444", "offset 86")</f>
        <v>offset 86</v>
      </c>
    </row>
    <row r="15900" customFormat="false" ht="12.8" hidden="false" customHeight="false" outlineLevel="0" collapsed="false">
      <c r="A15900" s="0" t="s">
        <v>12</v>
      </c>
      <c r="B15900" s="0" t="n">
        <v>4920027</v>
      </c>
      <c r="C15900" s="0" t="n">
        <v>4920047</v>
      </c>
      <c r="D15900" s="0" t="s">
        <v>52841</v>
      </c>
      <c r="E15900" s="0" t="s">
        <v>75</v>
      </c>
      <c r="F15900" s="0" t="s">
        <v>90</v>
      </c>
      <c r="G15900" s="0" t="s">
        <v>16</v>
      </c>
      <c r="H15900" s="0" t="n">
        <v>109</v>
      </c>
      <c r="I15900" s="0" t="s">
        <v>52851</v>
      </c>
      <c r="J15900" s="0" t="s">
        <v>52852</v>
      </c>
      <c r="K15900" s="0" t="s">
        <v>52853</v>
      </c>
      <c r="L15900" s="0" t="str">
        <f aca="false">HYPERLINK("https://www.ncbi.nlm.nih.gov/nuccore/CP000058.1?report=graph&amp;tracks=[key:gene_model_track,Options:GeneOnly]&amp;mk=4920131:4920150|offset_6|444444,4920100:4920119|offset_37|444444,4920051:4920070|offset_86|444444,4920028:4920047|offset_109|00cc00&amp;v=4919930:4920247&amp;c=444444", "offset 109")</f>
        <v>offset 109</v>
      </c>
    </row>
    <row r="15901" customFormat="false" ht="12.8" hidden="false" customHeight="false" outlineLevel="0" collapsed="false">
      <c r="A15901" s="0" t="s">
        <v>12</v>
      </c>
      <c r="B15901" s="0" t="n">
        <v>4922082</v>
      </c>
      <c r="C15901" s="0" t="n">
        <v>4922102</v>
      </c>
      <c r="D15901" s="0" t="s">
        <v>52854</v>
      </c>
      <c r="E15901" s="0" t="s">
        <v>75</v>
      </c>
      <c r="F15901" s="0" t="s">
        <v>90</v>
      </c>
      <c r="G15901" s="0" t="s">
        <v>16</v>
      </c>
      <c r="H15901" s="0" t="n">
        <v>0</v>
      </c>
      <c r="I15901" s="0" t="s">
        <v>52855</v>
      </c>
      <c r="J15901" s="0" t="s">
        <v>52856</v>
      </c>
      <c r="K15901" s="0" t="s">
        <v>52857</v>
      </c>
      <c r="L15901" s="0" t="str">
        <f aca="false">HYPERLINK("https://www.ncbi.nlm.nih.gov/nuccore/CP000058.1?report=graph&amp;tracks=[key:gene_model_track,Options:GeneOnly]&amp;mk=4922083:4922102|offset_0|00cc00,4922061:4922080|offset_22|444444,4922030:4922049|offset_53|444444,4921913:4921932|offset_170|444444&amp;v=4921882:4922132&amp;c=444444", "offset 0")</f>
        <v>offset 0</v>
      </c>
    </row>
    <row r="15902" customFormat="false" ht="12.8" hidden="false" customHeight="false" outlineLevel="0" collapsed="false">
      <c r="A15902" s="0" t="s">
        <v>12</v>
      </c>
      <c r="B15902" s="0" t="n">
        <v>4922060</v>
      </c>
      <c r="C15902" s="0" t="n">
        <v>4922080</v>
      </c>
      <c r="D15902" s="0" t="s">
        <v>52854</v>
      </c>
      <c r="E15902" s="0" t="s">
        <v>75</v>
      </c>
      <c r="F15902" s="0" t="s">
        <v>90</v>
      </c>
      <c r="G15902" s="0" t="s">
        <v>36</v>
      </c>
      <c r="H15902" s="0" t="n">
        <v>22</v>
      </c>
      <c r="I15902" s="0" t="s">
        <v>52858</v>
      </c>
      <c r="J15902" s="0" t="s">
        <v>52859</v>
      </c>
      <c r="K15902" s="0" t="s">
        <v>52860</v>
      </c>
      <c r="L15902" s="0" t="str">
        <f aca="false">HYPERLINK("https://www.ncbi.nlm.nih.gov/nuccore/CP000058.1?report=graph&amp;tracks=[key:gene_model_track,Options:GeneOnly]&amp;mk=4922083:4922102|offset_0|444444,4922061:4922080|offset_22|00cc00,4922030:4922049|offset_53|444444,4921913:4921932|offset_170|444444&amp;v=4921882:4922132&amp;c=444444", "offset 22")</f>
        <v>offset 22</v>
      </c>
    </row>
    <row r="15903" customFormat="false" ht="12.8" hidden="false" customHeight="false" outlineLevel="0" collapsed="false">
      <c r="A15903" s="0" t="s">
        <v>12</v>
      </c>
      <c r="B15903" s="0" t="n">
        <v>4922029</v>
      </c>
      <c r="C15903" s="0" t="n">
        <v>4922049</v>
      </c>
      <c r="D15903" s="0" t="s">
        <v>52854</v>
      </c>
      <c r="E15903" s="0" t="s">
        <v>75</v>
      </c>
      <c r="F15903" s="0" t="s">
        <v>90</v>
      </c>
      <c r="G15903" s="0" t="s">
        <v>36</v>
      </c>
      <c r="H15903" s="0" t="n">
        <v>53</v>
      </c>
      <c r="I15903" s="0" t="s">
        <v>52861</v>
      </c>
      <c r="J15903" s="0" t="s">
        <v>52862</v>
      </c>
      <c r="K15903" s="0" t="s">
        <v>52863</v>
      </c>
      <c r="L15903" s="0" t="str">
        <f aca="false">HYPERLINK("https://www.ncbi.nlm.nih.gov/nuccore/CP000058.1?report=graph&amp;tracks=[key:gene_model_track,Options:GeneOnly]&amp;mk=4922083:4922102|offset_0|444444,4922061:4922080|offset_22|444444,4922030:4922049|offset_53|00cc00,4921913:4921932|offset_170|444444&amp;v=4921882:4922132&amp;c=444444", "offset 53")</f>
        <v>offset 53</v>
      </c>
    </row>
    <row r="15904" customFormat="false" ht="12.8" hidden="false" customHeight="false" outlineLevel="0" collapsed="false">
      <c r="A15904" s="0" t="s">
        <v>12</v>
      </c>
      <c r="B15904" s="0" t="n">
        <v>4921912</v>
      </c>
      <c r="C15904" s="0" t="n">
        <v>4921932</v>
      </c>
      <c r="D15904" s="0" t="s">
        <v>52854</v>
      </c>
      <c r="E15904" s="0" t="s">
        <v>75</v>
      </c>
      <c r="F15904" s="0" t="s">
        <v>90</v>
      </c>
      <c r="G15904" s="0" t="s">
        <v>20</v>
      </c>
      <c r="H15904" s="0" t="n">
        <v>170</v>
      </c>
      <c r="I15904" s="0" t="s">
        <v>52864</v>
      </c>
      <c r="J15904" s="0" t="s">
        <v>52865</v>
      </c>
      <c r="K15904" s="0" t="s">
        <v>52866</v>
      </c>
      <c r="L15904" s="0" t="str">
        <f aca="false">HYPERLINK("https://www.ncbi.nlm.nih.gov/nuccore/CP000058.1?report=graph&amp;tracks=[key:gene_model_track,Options:GeneOnly]&amp;mk=4922083:4922102|offset_0|444444,4922061:4922080|offset_22|444444,4922030:4922049|offset_53|444444,4921913:4921932|offset_170|00cc00&amp;v=4921882:4922132&amp;c=444444", "offset 170")</f>
        <v>offset 170</v>
      </c>
    </row>
    <row r="15905" customFormat="false" ht="12.8" hidden="false" customHeight="false" outlineLevel="0" collapsed="false">
      <c r="A15905" s="0" t="s">
        <v>12</v>
      </c>
      <c r="B15905" s="0" t="n">
        <v>4922695</v>
      </c>
      <c r="C15905" s="0" t="n">
        <v>4922715</v>
      </c>
      <c r="D15905" s="0" t="s">
        <v>52867</v>
      </c>
      <c r="E15905" s="0" t="s">
        <v>52868</v>
      </c>
      <c r="F15905" s="0" t="s">
        <v>90</v>
      </c>
      <c r="G15905" s="0" t="s">
        <v>32</v>
      </c>
      <c r="H15905" s="0" t="n">
        <v>28</v>
      </c>
      <c r="I15905" s="0" t="s">
        <v>52869</v>
      </c>
      <c r="J15905" s="0" t="s">
        <v>52870</v>
      </c>
      <c r="K15905" s="0" t="s">
        <v>52871</v>
      </c>
      <c r="L15905" s="0" t="str">
        <f aca="false">HYPERLINK("https://www.ncbi.nlm.nih.gov/nuccore/CP000058.1?report=graph&amp;tracks=[key:gene_model_track,Options:GeneOnly]&amp;mk=4922696:4922715|offset_28|00cc00,4922661:4922680|offset_63|444444,4922637:4922656|offset_87|444444,4922617:4922636|offset_107|444444&amp;v=4922495:4922836&amp;c=444444", "offset 28")</f>
        <v>offset 28</v>
      </c>
    </row>
    <row r="15906" customFormat="false" ht="12.8" hidden="false" customHeight="false" outlineLevel="0" collapsed="false">
      <c r="A15906" s="0" t="s">
        <v>12</v>
      </c>
      <c r="B15906" s="0" t="n">
        <v>4922660</v>
      </c>
      <c r="C15906" s="0" t="n">
        <v>4922680</v>
      </c>
      <c r="D15906" s="0" t="s">
        <v>52867</v>
      </c>
      <c r="E15906" s="0" t="s">
        <v>52868</v>
      </c>
      <c r="F15906" s="0" t="s">
        <v>90</v>
      </c>
      <c r="G15906" s="0" t="s">
        <v>20</v>
      </c>
      <c r="H15906" s="0" t="n">
        <v>63</v>
      </c>
      <c r="I15906" s="0" t="s">
        <v>52872</v>
      </c>
      <c r="J15906" s="0" t="s">
        <v>52873</v>
      </c>
      <c r="K15906" s="0" t="s">
        <v>52874</v>
      </c>
      <c r="L15906" s="0" t="str">
        <f aca="false">HYPERLINK("https://www.ncbi.nlm.nih.gov/nuccore/CP000058.1?report=graph&amp;tracks=[key:gene_model_track,Options:GeneOnly]&amp;mk=4922696:4922715|offset_28|444444,4922661:4922680|offset_63|00cc00,4922637:4922656|offset_87|444444,4922617:4922636|offset_107|444444&amp;v=4922495:4922836&amp;c=444444", "offset 63")</f>
        <v>offset 63</v>
      </c>
    </row>
    <row r="15907" customFormat="false" ht="12.8" hidden="false" customHeight="false" outlineLevel="0" collapsed="false">
      <c r="A15907" s="0" t="s">
        <v>12</v>
      </c>
      <c r="B15907" s="0" t="n">
        <v>4922636</v>
      </c>
      <c r="C15907" s="0" t="n">
        <v>4922656</v>
      </c>
      <c r="D15907" s="0" t="s">
        <v>52867</v>
      </c>
      <c r="E15907" s="0" t="s">
        <v>52868</v>
      </c>
      <c r="F15907" s="0" t="s">
        <v>90</v>
      </c>
      <c r="G15907" s="0" t="s">
        <v>32</v>
      </c>
      <c r="H15907" s="0" t="n">
        <v>87</v>
      </c>
      <c r="I15907" s="0" t="s">
        <v>52875</v>
      </c>
      <c r="J15907" s="0" t="s">
        <v>52876</v>
      </c>
      <c r="K15907" s="0" t="s">
        <v>52877</v>
      </c>
      <c r="L15907" s="0" t="str">
        <f aca="false">HYPERLINK("https://www.ncbi.nlm.nih.gov/nuccore/CP000058.1?report=graph&amp;tracks=[key:gene_model_track,Options:GeneOnly]&amp;mk=4922696:4922715|offset_28|444444,4922661:4922680|offset_63|444444,4922637:4922656|offset_87|00cc00,4922617:4922636|offset_107|444444&amp;v=4922495:4922836&amp;c=444444", "offset 87")</f>
        <v>offset 87</v>
      </c>
    </row>
    <row r="15908" customFormat="false" ht="12.8" hidden="false" customHeight="false" outlineLevel="0" collapsed="false">
      <c r="A15908" s="0" t="s">
        <v>12</v>
      </c>
      <c r="B15908" s="0" t="n">
        <v>4922616</v>
      </c>
      <c r="C15908" s="0" t="n">
        <v>4922636</v>
      </c>
      <c r="D15908" s="0" t="s">
        <v>52867</v>
      </c>
      <c r="E15908" s="0" t="s">
        <v>52868</v>
      </c>
      <c r="F15908" s="0" t="s">
        <v>90</v>
      </c>
      <c r="G15908" s="0" t="s">
        <v>20</v>
      </c>
      <c r="H15908" s="0" t="n">
        <v>107</v>
      </c>
      <c r="I15908" s="0" t="s">
        <v>52878</v>
      </c>
      <c r="J15908" s="0" t="s">
        <v>52879</v>
      </c>
      <c r="K15908" s="0" t="s">
        <v>52880</v>
      </c>
      <c r="L15908" s="0" t="str">
        <f aca="false">HYPERLINK("https://www.ncbi.nlm.nih.gov/nuccore/CP000058.1?report=graph&amp;tracks=[key:gene_model_track,Options:GeneOnly]&amp;mk=4922696:4922715|offset_28|444444,4922661:4922680|offset_63|444444,4922637:4922656|offset_87|444444,4922617:4922636|offset_107|00cc00&amp;v=4922495:4922836&amp;c=444444", "offset 107")</f>
        <v>offset 107</v>
      </c>
    </row>
    <row r="15909" customFormat="false" ht="12.8" hidden="false" customHeight="false" outlineLevel="0" collapsed="false">
      <c r="A15909" s="0" t="s">
        <v>12</v>
      </c>
      <c r="B15909" s="0" t="n">
        <v>4923175</v>
      </c>
      <c r="C15909" s="0" t="n">
        <v>4923195</v>
      </c>
      <c r="D15909" s="0" t="s">
        <v>52881</v>
      </c>
      <c r="E15909" s="0" t="s">
        <v>75</v>
      </c>
      <c r="F15909" s="0" t="s">
        <v>90</v>
      </c>
      <c r="G15909" s="0" t="s">
        <v>32</v>
      </c>
      <c r="H15909" s="0" t="n">
        <v>63</v>
      </c>
      <c r="I15909" s="0" t="s">
        <v>52882</v>
      </c>
      <c r="J15909" s="0" t="s">
        <v>52883</v>
      </c>
      <c r="K15909" s="0" t="s">
        <v>52884</v>
      </c>
      <c r="L15909" s="0" t="str">
        <f aca="false">HYPERLINK("https://www.ncbi.nlm.nih.gov/nuccore/CP000058.1?report=graph&amp;tracks=[key:gene_model_track,Options:GeneOnly]&amp;mk=4923176:4923195|offset_63|00cc00,4923139:4923158|offset_100|444444,4923103:4923122|offset_136|444444,4923078:4923097|offset_161|444444&amp;v=4922975:4923297&amp;c=444444", "offset 63")</f>
        <v>offset 63</v>
      </c>
    </row>
    <row r="15910" customFormat="false" ht="12.8" hidden="false" customHeight="false" outlineLevel="0" collapsed="false">
      <c r="A15910" s="0" t="s">
        <v>12</v>
      </c>
      <c r="B15910" s="0" t="n">
        <v>4923138</v>
      </c>
      <c r="C15910" s="0" t="n">
        <v>4923158</v>
      </c>
      <c r="D15910" s="0" t="s">
        <v>52881</v>
      </c>
      <c r="E15910" s="0" t="s">
        <v>75</v>
      </c>
      <c r="F15910" s="0" t="s">
        <v>90</v>
      </c>
      <c r="G15910" s="0" t="s">
        <v>20</v>
      </c>
      <c r="H15910" s="0" t="n">
        <v>100</v>
      </c>
      <c r="I15910" s="0" t="s">
        <v>52885</v>
      </c>
      <c r="J15910" s="0" t="s">
        <v>52886</v>
      </c>
      <c r="K15910" s="0" t="s">
        <v>52887</v>
      </c>
      <c r="L15910" s="0" t="str">
        <f aca="false">HYPERLINK("https://www.ncbi.nlm.nih.gov/nuccore/CP000058.1?report=graph&amp;tracks=[key:gene_model_track,Options:GeneOnly]&amp;mk=4923176:4923195|offset_63|444444,4923139:4923158|offset_100|00cc00,4923103:4923122|offset_136|444444,4923078:4923097|offset_161|444444&amp;v=4922975:4923297&amp;c=444444", "offset 100")</f>
        <v>offset 100</v>
      </c>
    </row>
    <row r="15911" customFormat="false" ht="12.8" hidden="false" customHeight="false" outlineLevel="0" collapsed="false">
      <c r="A15911" s="0" t="s">
        <v>12</v>
      </c>
      <c r="B15911" s="0" t="n">
        <v>4923102</v>
      </c>
      <c r="C15911" s="0" t="n">
        <v>4923122</v>
      </c>
      <c r="D15911" s="0" t="s">
        <v>52881</v>
      </c>
      <c r="E15911" s="0" t="s">
        <v>75</v>
      </c>
      <c r="F15911" s="0" t="s">
        <v>90</v>
      </c>
      <c r="G15911" s="0" t="s">
        <v>16</v>
      </c>
      <c r="H15911" s="0" t="n">
        <v>136</v>
      </c>
      <c r="I15911" s="0" t="s">
        <v>52888</v>
      </c>
      <c r="J15911" s="0" t="s">
        <v>52889</v>
      </c>
      <c r="K15911" s="0" t="s">
        <v>52890</v>
      </c>
      <c r="L15911" s="0" t="str">
        <f aca="false">HYPERLINK("https://www.ncbi.nlm.nih.gov/nuccore/CP000058.1?report=graph&amp;tracks=[key:gene_model_track,Options:GeneOnly]&amp;mk=4923176:4923195|offset_63|444444,4923139:4923158|offset_100|444444,4923103:4923122|offset_136|00cc00,4923078:4923097|offset_161|444444&amp;v=4922975:4923297&amp;c=444444", "offset 136")</f>
        <v>offset 136</v>
      </c>
    </row>
    <row r="15912" customFormat="false" ht="12.8" hidden="false" customHeight="false" outlineLevel="0" collapsed="false">
      <c r="A15912" s="0" t="s">
        <v>12</v>
      </c>
      <c r="B15912" s="0" t="n">
        <v>4923077</v>
      </c>
      <c r="C15912" s="0" t="n">
        <v>4923097</v>
      </c>
      <c r="D15912" s="0" t="s">
        <v>52881</v>
      </c>
      <c r="E15912" s="0" t="s">
        <v>75</v>
      </c>
      <c r="F15912" s="0" t="s">
        <v>90</v>
      </c>
      <c r="G15912" s="0" t="s">
        <v>20</v>
      </c>
      <c r="H15912" s="0" t="n">
        <v>161</v>
      </c>
      <c r="I15912" s="0" t="s">
        <v>52891</v>
      </c>
      <c r="J15912" s="0" t="s">
        <v>52892</v>
      </c>
      <c r="K15912" s="0" t="s">
        <v>52893</v>
      </c>
      <c r="L15912" s="0" t="str">
        <f aca="false">HYPERLINK("https://www.ncbi.nlm.nih.gov/nuccore/CP000058.1?report=graph&amp;tracks=[key:gene_model_track,Options:GeneOnly]&amp;mk=4923176:4923195|offset_63|444444,4923139:4923158|offset_100|444444,4923103:4923122|offset_136|444444,4923078:4923097|offset_161|00cc00&amp;v=4922975:4923297&amp;c=444444", "offset 161")</f>
        <v>offset 161</v>
      </c>
    </row>
    <row r="15913" customFormat="false" ht="12.8" hidden="false" customHeight="false" outlineLevel="0" collapsed="false">
      <c r="A15913" s="0" t="s">
        <v>12</v>
      </c>
      <c r="B15913" s="0" t="n">
        <v>4924253</v>
      </c>
      <c r="C15913" s="0" t="n">
        <v>4924273</v>
      </c>
      <c r="D15913" s="0" t="s">
        <v>52894</v>
      </c>
      <c r="E15913" s="0" t="s">
        <v>75</v>
      </c>
      <c r="F15913" s="0" t="s">
        <v>90</v>
      </c>
      <c r="G15913" s="0" t="s">
        <v>16</v>
      </c>
      <c r="H15913" s="0" t="n">
        <v>16</v>
      </c>
      <c r="I15913" s="0" t="s">
        <v>52895</v>
      </c>
      <c r="J15913" s="0" t="s">
        <v>52896</v>
      </c>
      <c r="K15913" s="0" t="s">
        <v>52897</v>
      </c>
      <c r="L15913" s="0" t="str">
        <f aca="false">HYPERLINK("https://www.ncbi.nlm.nih.gov/nuccore/CP000058.1?report=graph&amp;tracks=[key:gene_model_track,Options:GeneOnly]&amp;mk=4924254:4924273|offset_16|00cc00,4924198:4924217|offset_72|444444,4924165:4924184|offset_105|444444,4924113:4924132|offset_157|444444&amp;v=4924053:4924332&amp;c=444444", "offset 16")</f>
        <v>offset 16</v>
      </c>
    </row>
    <row r="15914" customFormat="false" ht="12.8" hidden="false" customHeight="false" outlineLevel="0" collapsed="false">
      <c r="A15914" s="0" t="s">
        <v>12</v>
      </c>
      <c r="B15914" s="0" t="n">
        <v>4924197</v>
      </c>
      <c r="C15914" s="0" t="n">
        <v>4924217</v>
      </c>
      <c r="D15914" s="0" t="s">
        <v>52894</v>
      </c>
      <c r="E15914" s="0" t="s">
        <v>75</v>
      </c>
      <c r="F15914" s="0" t="s">
        <v>90</v>
      </c>
      <c r="G15914" s="0" t="s">
        <v>20</v>
      </c>
      <c r="H15914" s="0" t="n">
        <v>72</v>
      </c>
      <c r="I15914" s="0" t="s">
        <v>52898</v>
      </c>
      <c r="J15914" s="0" t="s">
        <v>52899</v>
      </c>
      <c r="K15914" s="0" t="s">
        <v>52900</v>
      </c>
      <c r="L15914" s="0" t="str">
        <f aca="false">HYPERLINK("https://www.ncbi.nlm.nih.gov/nuccore/CP000058.1?report=graph&amp;tracks=[key:gene_model_track,Options:GeneOnly]&amp;mk=4924254:4924273|offset_16|444444,4924198:4924217|offset_72|00cc00,4924165:4924184|offset_105|444444,4924113:4924132|offset_157|444444&amp;v=4924053:4924332&amp;c=444444", "offset 72")</f>
        <v>offset 72</v>
      </c>
    </row>
    <row r="15915" customFormat="false" ht="12.8" hidden="false" customHeight="false" outlineLevel="0" collapsed="false">
      <c r="A15915" s="0" t="s">
        <v>12</v>
      </c>
      <c r="B15915" s="0" t="n">
        <v>4924164</v>
      </c>
      <c r="C15915" s="0" t="n">
        <v>4924184</v>
      </c>
      <c r="D15915" s="0" t="s">
        <v>52894</v>
      </c>
      <c r="E15915" s="0" t="s">
        <v>75</v>
      </c>
      <c r="F15915" s="0" t="s">
        <v>90</v>
      </c>
      <c r="G15915" s="0" t="s">
        <v>32</v>
      </c>
      <c r="H15915" s="0" t="n">
        <v>105</v>
      </c>
      <c r="I15915" s="0" t="s">
        <v>52901</v>
      </c>
      <c r="J15915" s="0" t="s">
        <v>52902</v>
      </c>
      <c r="K15915" s="0" t="s">
        <v>52903</v>
      </c>
      <c r="L15915" s="0" t="str">
        <f aca="false">HYPERLINK("https://www.ncbi.nlm.nih.gov/nuccore/CP000058.1?report=graph&amp;tracks=[key:gene_model_track,Options:GeneOnly]&amp;mk=4924254:4924273|offset_16|444444,4924198:4924217|offset_72|444444,4924165:4924184|offset_105|00cc00,4924113:4924132|offset_157|444444&amp;v=4924053:4924332&amp;c=444444", "offset 105")</f>
        <v>offset 105</v>
      </c>
    </row>
    <row r="15916" customFormat="false" ht="12.8" hidden="false" customHeight="false" outlineLevel="0" collapsed="false">
      <c r="A15916" s="0" t="s">
        <v>12</v>
      </c>
      <c r="B15916" s="0" t="n">
        <v>4924112</v>
      </c>
      <c r="C15916" s="0" t="n">
        <v>4924132</v>
      </c>
      <c r="D15916" s="0" t="s">
        <v>52894</v>
      </c>
      <c r="E15916" s="0" t="s">
        <v>75</v>
      </c>
      <c r="F15916" s="0" t="s">
        <v>90</v>
      </c>
      <c r="G15916" s="0" t="s">
        <v>16</v>
      </c>
      <c r="H15916" s="0" t="n">
        <v>157</v>
      </c>
      <c r="I15916" s="0" t="s">
        <v>52904</v>
      </c>
      <c r="J15916" s="0" t="s">
        <v>52905</v>
      </c>
      <c r="K15916" s="0" t="s">
        <v>52906</v>
      </c>
      <c r="L15916" s="0" t="str">
        <f aca="false">HYPERLINK("https://www.ncbi.nlm.nih.gov/nuccore/CP000058.1?report=graph&amp;tracks=[key:gene_model_track,Options:GeneOnly]&amp;mk=4924254:4924273|offset_16|444444,4924198:4924217|offset_72|444444,4924165:4924184|offset_105|444444,4924113:4924132|offset_157|00cc00&amp;v=4924053:4924332&amp;c=444444", "offset 157")</f>
        <v>offset 157</v>
      </c>
    </row>
    <row r="15917" customFormat="false" ht="12.8" hidden="false" customHeight="false" outlineLevel="0" collapsed="false">
      <c r="A15917" s="0" t="s">
        <v>12</v>
      </c>
      <c r="B15917" s="0" t="n">
        <v>4925395</v>
      </c>
      <c r="C15917" s="0" t="n">
        <v>4925415</v>
      </c>
      <c r="D15917" s="0" t="s">
        <v>52907</v>
      </c>
      <c r="E15917" s="0" t="s">
        <v>75</v>
      </c>
      <c r="F15917" s="0" t="s">
        <v>90</v>
      </c>
      <c r="G15917" s="0" t="s">
        <v>36</v>
      </c>
      <c r="H15917" s="0" t="n">
        <v>16</v>
      </c>
      <c r="I15917" s="0" t="s">
        <v>52908</v>
      </c>
      <c r="J15917" s="0" t="s">
        <v>52909</v>
      </c>
      <c r="K15917" s="0" t="s">
        <v>52910</v>
      </c>
      <c r="L15917" s="0" t="str">
        <f aca="false">HYPERLINK("https://www.ncbi.nlm.nih.gov/nuccore/CP000058.1?report=graph&amp;tracks=[key:gene_model_track,Options:GeneOnly]&amp;mk=4925396:4925415|offset_16|00cc00,4925369:4925388|offset_43|444444,4925349:4925368|offset_63|444444,4925329:4925348|offset_83|444444&amp;v=4925195:4925548&amp;c=444444", "offset 16")</f>
        <v>offset 16</v>
      </c>
    </row>
    <row r="15918" customFormat="false" ht="12.8" hidden="false" customHeight="false" outlineLevel="0" collapsed="false">
      <c r="A15918" s="0" t="s">
        <v>12</v>
      </c>
      <c r="B15918" s="0" t="n">
        <v>4925368</v>
      </c>
      <c r="C15918" s="0" t="n">
        <v>4925388</v>
      </c>
      <c r="D15918" s="0" t="s">
        <v>52907</v>
      </c>
      <c r="E15918" s="0" t="s">
        <v>75</v>
      </c>
      <c r="F15918" s="0" t="s">
        <v>90</v>
      </c>
      <c r="G15918" s="0" t="s">
        <v>32</v>
      </c>
      <c r="H15918" s="0" t="n">
        <v>43</v>
      </c>
      <c r="I15918" s="0" t="s">
        <v>52911</v>
      </c>
      <c r="J15918" s="0" t="s">
        <v>52912</v>
      </c>
      <c r="K15918" s="0" t="s">
        <v>52913</v>
      </c>
      <c r="L15918" s="0" t="str">
        <f aca="false">HYPERLINK("https://www.ncbi.nlm.nih.gov/nuccore/CP000058.1?report=graph&amp;tracks=[key:gene_model_track,Options:GeneOnly]&amp;mk=4925396:4925415|offset_16|444444,4925369:4925388|offset_43|00cc00,4925349:4925368|offset_63|444444,4925329:4925348|offset_83|444444&amp;v=4925195:4925548&amp;c=444444", "offset 43")</f>
        <v>offset 43</v>
      </c>
    </row>
    <row r="15919" customFormat="false" ht="12.8" hidden="false" customHeight="false" outlineLevel="0" collapsed="false">
      <c r="A15919" s="0" t="s">
        <v>12</v>
      </c>
      <c r="B15919" s="0" t="n">
        <v>4925348</v>
      </c>
      <c r="C15919" s="0" t="n">
        <v>4925368</v>
      </c>
      <c r="D15919" s="0" t="s">
        <v>52907</v>
      </c>
      <c r="E15919" s="0" t="s">
        <v>75</v>
      </c>
      <c r="F15919" s="0" t="s">
        <v>90</v>
      </c>
      <c r="G15919" s="0" t="s">
        <v>32</v>
      </c>
      <c r="H15919" s="0" t="n">
        <v>63</v>
      </c>
      <c r="I15919" s="0" t="s">
        <v>52914</v>
      </c>
      <c r="J15919" s="0" t="s">
        <v>52915</v>
      </c>
      <c r="K15919" s="0" t="s">
        <v>52916</v>
      </c>
      <c r="L15919" s="0" t="str">
        <f aca="false">HYPERLINK("https://www.ncbi.nlm.nih.gov/nuccore/CP000058.1?report=graph&amp;tracks=[key:gene_model_track,Options:GeneOnly]&amp;mk=4925396:4925415|offset_16|444444,4925369:4925388|offset_43|444444,4925349:4925368|offset_63|00cc00,4925329:4925348|offset_83|444444&amp;v=4925195:4925548&amp;c=444444", "offset 63")</f>
        <v>offset 63</v>
      </c>
    </row>
    <row r="15920" customFormat="false" ht="12.8" hidden="false" customHeight="false" outlineLevel="0" collapsed="false">
      <c r="A15920" s="0" t="s">
        <v>12</v>
      </c>
      <c r="B15920" s="0" t="n">
        <v>4925328</v>
      </c>
      <c r="C15920" s="0" t="n">
        <v>4925348</v>
      </c>
      <c r="D15920" s="0" t="s">
        <v>52907</v>
      </c>
      <c r="E15920" s="0" t="s">
        <v>75</v>
      </c>
      <c r="F15920" s="0" t="s">
        <v>90</v>
      </c>
      <c r="G15920" s="0" t="s">
        <v>32</v>
      </c>
      <c r="H15920" s="0" t="n">
        <v>83</v>
      </c>
      <c r="I15920" s="0" t="s">
        <v>52917</v>
      </c>
      <c r="J15920" s="0" t="s">
        <v>52918</v>
      </c>
      <c r="K15920" s="0" t="s">
        <v>52919</v>
      </c>
      <c r="L15920" s="0" t="str">
        <f aca="false">HYPERLINK("https://www.ncbi.nlm.nih.gov/nuccore/CP000058.1?report=graph&amp;tracks=[key:gene_model_track,Options:GeneOnly]&amp;mk=4925396:4925415|offset_16|444444,4925369:4925388|offset_43|444444,4925349:4925368|offset_63|444444,4925329:4925348|offset_83|00cc00&amp;v=4925195:4925548&amp;c=444444", "offset 83")</f>
        <v>offset 83</v>
      </c>
    </row>
    <row r="15921" customFormat="false" ht="12.8" hidden="false" customHeight="false" outlineLevel="0" collapsed="false">
      <c r="A15921" s="0" t="s">
        <v>12</v>
      </c>
      <c r="B15921" s="0" t="n">
        <v>4925815</v>
      </c>
      <c r="C15921" s="0" t="n">
        <v>4925835</v>
      </c>
      <c r="D15921" s="0" t="s">
        <v>52920</v>
      </c>
      <c r="E15921" s="0" t="s">
        <v>75</v>
      </c>
      <c r="F15921" s="0" t="s">
        <v>90</v>
      </c>
      <c r="G15921" s="0" t="s">
        <v>36</v>
      </c>
      <c r="H15921" s="0" t="n">
        <v>64</v>
      </c>
      <c r="I15921" s="0" t="s">
        <v>52921</v>
      </c>
      <c r="J15921" s="0" t="s">
        <v>52922</v>
      </c>
      <c r="K15921" s="0" t="s">
        <v>52923</v>
      </c>
      <c r="L15921" s="0" t="str">
        <f aca="false">HYPERLINK("https://www.ncbi.nlm.nih.gov/nuccore/CP000058.1?report=graph&amp;tracks=[key:gene_model_track,Options:GeneOnly]&amp;mk=4925816:4925835|offset_64|00cc00,4925793:4925812|offset_87|444444,4925747:4925766|offset_133|444444,4925726:4925745|offset_154|444444&amp;v=4925615:4925945&amp;c=444444", "offset 64")</f>
        <v>offset 64</v>
      </c>
    </row>
    <row r="15922" customFormat="false" ht="12.8" hidden="false" customHeight="false" outlineLevel="0" collapsed="false">
      <c r="A15922" s="0" t="s">
        <v>12</v>
      </c>
      <c r="B15922" s="0" t="n">
        <v>4925792</v>
      </c>
      <c r="C15922" s="0" t="n">
        <v>4925812</v>
      </c>
      <c r="D15922" s="0" t="s">
        <v>52920</v>
      </c>
      <c r="E15922" s="0" t="s">
        <v>75</v>
      </c>
      <c r="F15922" s="0" t="s">
        <v>90</v>
      </c>
      <c r="G15922" s="0" t="s">
        <v>16</v>
      </c>
      <c r="H15922" s="0" t="n">
        <v>87</v>
      </c>
      <c r="I15922" s="0" t="s">
        <v>52924</v>
      </c>
      <c r="J15922" s="0" t="s">
        <v>52925</v>
      </c>
      <c r="K15922" s="0" t="s">
        <v>52926</v>
      </c>
      <c r="L15922" s="0" t="str">
        <f aca="false">HYPERLINK("https://www.ncbi.nlm.nih.gov/nuccore/CP000058.1?report=graph&amp;tracks=[key:gene_model_track,Options:GeneOnly]&amp;mk=4925816:4925835|offset_64|444444,4925793:4925812|offset_87|00cc00,4925747:4925766|offset_133|444444,4925726:4925745|offset_154|444444&amp;v=4925615:4925945&amp;c=444444", "offset 87")</f>
        <v>offset 87</v>
      </c>
    </row>
    <row r="15923" customFormat="false" ht="12.8" hidden="false" customHeight="false" outlineLevel="0" collapsed="false">
      <c r="A15923" s="0" t="s">
        <v>12</v>
      </c>
      <c r="B15923" s="0" t="n">
        <v>4925746</v>
      </c>
      <c r="C15923" s="0" t="n">
        <v>4925766</v>
      </c>
      <c r="D15923" s="0" t="s">
        <v>52920</v>
      </c>
      <c r="E15923" s="0" t="s">
        <v>75</v>
      </c>
      <c r="F15923" s="0" t="s">
        <v>90</v>
      </c>
      <c r="G15923" s="0" t="s">
        <v>16</v>
      </c>
      <c r="H15923" s="0" t="n">
        <v>133</v>
      </c>
      <c r="I15923" s="0" t="s">
        <v>52927</v>
      </c>
      <c r="J15923" s="0" t="s">
        <v>52928</v>
      </c>
      <c r="K15923" s="0" t="s">
        <v>52929</v>
      </c>
      <c r="L15923" s="0" t="str">
        <f aca="false">HYPERLINK("https://www.ncbi.nlm.nih.gov/nuccore/CP000058.1?report=graph&amp;tracks=[key:gene_model_track,Options:GeneOnly]&amp;mk=4925816:4925835|offset_64|444444,4925793:4925812|offset_87|444444,4925747:4925766|offset_133|00cc00,4925726:4925745|offset_154|444444&amp;v=4925615:4925945&amp;c=444444", "offset 133")</f>
        <v>offset 133</v>
      </c>
    </row>
    <row r="15924" customFormat="false" ht="12.8" hidden="false" customHeight="false" outlineLevel="0" collapsed="false">
      <c r="A15924" s="0" t="s">
        <v>12</v>
      </c>
      <c r="B15924" s="0" t="n">
        <v>4925725</v>
      </c>
      <c r="C15924" s="0" t="n">
        <v>4925745</v>
      </c>
      <c r="D15924" s="0" t="s">
        <v>52920</v>
      </c>
      <c r="E15924" s="0" t="s">
        <v>75</v>
      </c>
      <c r="F15924" s="0" t="s">
        <v>90</v>
      </c>
      <c r="G15924" s="0" t="s">
        <v>20</v>
      </c>
      <c r="H15924" s="0" t="n">
        <v>154</v>
      </c>
      <c r="I15924" s="0" t="s">
        <v>52930</v>
      </c>
      <c r="J15924" s="0" t="s">
        <v>52931</v>
      </c>
      <c r="K15924" s="0" t="s">
        <v>52932</v>
      </c>
      <c r="L15924" s="0" t="str">
        <f aca="false">HYPERLINK("https://www.ncbi.nlm.nih.gov/nuccore/CP000058.1?report=graph&amp;tracks=[key:gene_model_track,Options:GeneOnly]&amp;mk=4925816:4925835|offset_64|444444,4925793:4925812|offset_87|444444,4925747:4925766|offset_133|444444,4925726:4925745|offset_154|00cc00&amp;v=4925615:4925945&amp;c=444444", "offset 154")</f>
        <v>offset 154</v>
      </c>
    </row>
    <row r="15925" customFormat="false" ht="12.8" hidden="false" customHeight="false" outlineLevel="0" collapsed="false">
      <c r="A15925" s="0" t="s">
        <v>12</v>
      </c>
      <c r="B15925" s="0" t="n">
        <v>4927127</v>
      </c>
      <c r="C15925" s="0" t="n">
        <v>4927147</v>
      </c>
      <c r="D15925" s="0" t="s">
        <v>52933</v>
      </c>
      <c r="E15925" s="0" t="s">
        <v>52934</v>
      </c>
      <c r="F15925" s="0" t="s">
        <v>90</v>
      </c>
      <c r="G15925" s="0" t="s">
        <v>36</v>
      </c>
      <c r="H15925" s="0" t="n">
        <v>71</v>
      </c>
      <c r="I15925" s="0" t="s">
        <v>52935</v>
      </c>
      <c r="J15925" s="0" t="s">
        <v>52936</v>
      </c>
      <c r="K15925" s="0" t="s">
        <v>52937</v>
      </c>
      <c r="L15925" s="0" t="str">
        <f aca="false">HYPERLINK("https://www.ncbi.nlm.nih.gov/nuccore/CP000058.1?report=graph&amp;tracks=[key:gene_model_track,Options:GeneOnly]&amp;mk=4927128:4927147|offset_71|00cc00,4927096:4927115|offset_103|444444,4927053:4927072|offset_146|444444,4927027:4927046|offset_172|444444&amp;v=4926927:4927246&amp;c=444444", "offset 71")</f>
        <v>offset 71</v>
      </c>
    </row>
    <row r="15926" customFormat="false" ht="12.8" hidden="false" customHeight="false" outlineLevel="0" collapsed="false">
      <c r="A15926" s="0" t="s">
        <v>12</v>
      </c>
      <c r="B15926" s="0" t="n">
        <v>4927095</v>
      </c>
      <c r="C15926" s="0" t="n">
        <v>4927115</v>
      </c>
      <c r="D15926" s="0" t="s">
        <v>52933</v>
      </c>
      <c r="E15926" s="0" t="s">
        <v>52934</v>
      </c>
      <c r="F15926" s="0" t="s">
        <v>90</v>
      </c>
      <c r="G15926" s="0" t="s">
        <v>20</v>
      </c>
      <c r="H15926" s="0" t="n">
        <v>103</v>
      </c>
      <c r="I15926" s="0" t="s">
        <v>52938</v>
      </c>
      <c r="J15926" s="0" t="s">
        <v>52939</v>
      </c>
      <c r="K15926" s="0" t="s">
        <v>52940</v>
      </c>
      <c r="L15926" s="0" t="str">
        <f aca="false">HYPERLINK("https://www.ncbi.nlm.nih.gov/nuccore/CP000058.1?report=graph&amp;tracks=[key:gene_model_track,Options:GeneOnly]&amp;mk=4927128:4927147|offset_71|444444,4927096:4927115|offset_103|00cc00,4927053:4927072|offset_146|444444,4927027:4927046|offset_172|444444&amp;v=4926927:4927246&amp;c=444444", "offset 103")</f>
        <v>offset 103</v>
      </c>
    </row>
    <row r="15927" customFormat="false" ht="12.8" hidden="false" customHeight="false" outlineLevel="0" collapsed="false">
      <c r="A15927" s="0" t="s">
        <v>12</v>
      </c>
      <c r="B15927" s="0" t="n">
        <v>4927052</v>
      </c>
      <c r="C15927" s="0" t="n">
        <v>4927072</v>
      </c>
      <c r="D15927" s="0" t="s">
        <v>52933</v>
      </c>
      <c r="E15927" s="0" t="s">
        <v>52934</v>
      </c>
      <c r="F15927" s="0" t="s">
        <v>90</v>
      </c>
      <c r="G15927" s="0" t="s">
        <v>20</v>
      </c>
      <c r="H15927" s="0" t="n">
        <v>146</v>
      </c>
      <c r="I15927" s="0" t="s">
        <v>52941</v>
      </c>
      <c r="J15927" s="0" t="s">
        <v>52942</v>
      </c>
      <c r="K15927" s="0" t="s">
        <v>52943</v>
      </c>
      <c r="L15927" s="0" t="str">
        <f aca="false">HYPERLINK("https://www.ncbi.nlm.nih.gov/nuccore/CP000058.1?report=graph&amp;tracks=[key:gene_model_track,Options:GeneOnly]&amp;mk=4927128:4927147|offset_71|444444,4927096:4927115|offset_103|444444,4927053:4927072|offset_146|00cc00,4927027:4927046|offset_172|444444&amp;v=4926927:4927246&amp;c=444444", "offset 146")</f>
        <v>offset 146</v>
      </c>
    </row>
    <row r="15928" customFormat="false" ht="12.8" hidden="false" customHeight="false" outlineLevel="0" collapsed="false">
      <c r="A15928" s="0" t="s">
        <v>12</v>
      </c>
      <c r="B15928" s="0" t="n">
        <v>4927026</v>
      </c>
      <c r="C15928" s="0" t="n">
        <v>4927046</v>
      </c>
      <c r="D15928" s="0" t="s">
        <v>52933</v>
      </c>
      <c r="E15928" s="0" t="s">
        <v>52934</v>
      </c>
      <c r="F15928" s="0" t="s">
        <v>90</v>
      </c>
      <c r="G15928" s="0" t="s">
        <v>16</v>
      </c>
      <c r="H15928" s="0" t="n">
        <v>172</v>
      </c>
      <c r="I15928" s="0" t="s">
        <v>52944</v>
      </c>
      <c r="J15928" s="0" t="s">
        <v>52945</v>
      </c>
      <c r="K15928" s="0" t="s">
        <v>52946</v>
      </c>
      <c r="L15928" s="0" t="str">
        <f aca="false">HYPERLINK("https://www.ncbi.nlm.nih.gov/nuccore/CP000058.1?report=graph&amp;tracks=[key:gene_model_track,Options:GeneOnly]&amp;mk=4927128:4927147|offset_71|444444,4927096:4927115|offset_103|444444,4927053:4927072|offset_146|444444,4927027:4927046|offset_172|00cc00&amp;v=4926927:4927246&amp;c=444444", "offset 172")</f>
        <v>offset 172</v>
      </c>
    </row>
    <row r="15929" customFormat="false" ht="12.8" hidden="false" customHeight="false" outlineLevel="0" collapsed="false">
      <c r="A15929" s="0" t="s">
        <v>12</v>
      </c>
      <c r="B15929" s="0" t="n">
        <v>4927673</v>
      </c>
      <c r="C15929" s="0" t="n">
        <v>4927693</v>
      </c>
      <c r="D15929" s="0" t="s">
        <v>52947</v>
      </c>
      <c r="E15929" s="0" t="s">
        <v>75</v>
      </c>
      <c r="F15929" s="0" t="s">
        <v>90</v>
      </c>
      <c r="G15929" s="0" t="s">
        <v>20</v>
      </c>
      <c r="H15929" s="0" t="n">
        <v>28</v>
      </c>
      <c r="I15929" s="0" t="s">
        <v>52948</v>
      </c>
      <c r="J15929" s="0" t="s">
        <v>52949</v>
      </c>
      <c r="K15929" s="0" t="s">
        <v>52950</v>
      </c>
      <c r="L15929" s="0" t="str">
        <f aca="false">HYPERLINK("https://www.ncbi.nlm.nih.gov/nuccore/CP000058.1?report=graph&amp;tracks=[key:gene_model_track,Options:GeneOnly]&amp;mk=4927674:4927693|offset_28|00cc00,4927650:4927669|offset_52|444444,4927617:4927636|offset_85|444444,4927581:4927600|offset_121|444444&amp;v=4927473:4927800&amp;c=444444", "offset 28")</f>
        <v>offset 28</v>
      </c>
    </row>
    <row r="15930" customFormat="false" ht="12.8" hidden="false" customHeight="false" outlineLevel="0" collapsed="false">
      <c r="A15930" s="0" t="s">
        <v>12</v>
      </c>
      <c r="B15930" s="0" t="n">
        <v>4927649</v>
      </c>
      <c r="C15930" s="0" t="n">
        <v>4927669</v>
      </c>
      <c r="D15930" s="0" t="s">
        <v>52947</v>
      </c>
      <c r="E15930" s="0" t="s">
        <v>75</v>
      </c>
      <c r="F15930" s="0" t="s">
        <v>90</v>
      </c>
      <c r="G15930" s="0" t="s">
        <v>16</v>
      </c>
      <c r="H15930" s="0" t="n">
        <v>52</v>
      </c>
      <c r="I15930" s="0" t="s">
        <v>52951</v>
      </c>
      <c r="J15930" s="0" t="s">
        <v>52952</v>
      </c>
      <c r="K15930" s="0" t="s">
        <v>52953</v>
      </c>
      <c r="L15930" s="0" t="str">
        <f aca="false">HYPERLINK("https://www.ncbi.nlm.nih.gov/nuccore/CP000058.1?report=graph&amp;tracks=[key:gene_model_track,Options:GeneOnly]&amp;mk=4927674:4927693|offset_28|444444,4927650:4927669|offset_52|00cc00,4927617:4927636|offset_85|444444,4927581:4927600|offset_121|444444&amp;v=4927473:4927800&amp;c=444444", "offset 52")</f>
        <v>offset 52</v>
      </c>
    </row>
    <row r="15931" customFormat="false" ht="12.8" hidden="false" customHeight="false" outlineLevel="0" collapsed="false">
      <c r="A15931" s="0" t="s">
        <v>12</v>
      </c>
      <c r="B15931" s="0" t="n">
        <v>4927616</v>
      </c>
      <c r="C15931" s="0" t="n">
        <v>4927636</v>
      </c>
      <c r="D15931" s="0" t="s">
        <v>52947</v>
      </c>
      <c r="E15931" s="0" t="s">
        <v>75</v>
      </c>
      <c r="F15931" s="0" t="s">
        <v>90</v>
      </c>
      <c r="G15931" s="0" t="s">
        <v>36</v>
      </c>
      <c r="H15931" s="0" t="n">
        <v>85</v>
      </c>
      <c r="I15931" s="0" t="s">
        <v>52954</v>
      </c>
      <c r="J15931" s="0" t="s">
        <v>52955</v>
      </c>
      <c r="K15931" s="0" t="s">
        <v>52956</v>
      </c>
      <c r="L15931" s="0" t="str">
        <f aca="false">HYPERLINK("https://www.ncbi.nlm.nih.gov/nuccore/CP000058.1?report=graph&amp;tracks=[key:gene_model_track,Options:GeneOnly]&amp;mk=4927674:4927693|offset_28|444444,4927650:4927669|offset_52|444444,4927617:4927636|offset_85|00cc00,4927581:4927600|offset_121|444444&amp;v=4927473:4927800&amp;c=444444", "offset 85")</f>
        <v>offset 85</v>
      </c>
    </row>
    <row r="15932" customFormat="false" ht="12.8" hidden="false" customHeight="false" outlineLevel="0" collapsed="false">
      <c r="A15932" s="0" t="s">
        <v>12</v>
      </c>
      <c r="B15932" s="0" t="n">
        <v>4927580</v>
      </c>
      <c r="C15932" s="0" t="n">
        <v>4927600</v>
      </c>
      <c r="D15932" s="0" t="s">
        <v>52947</v>
      </c>
      <c r="E15932" s="0" t="s">
        <v>75</v>
      </c>
      <c r="F15932" s="0" t="s">
        <v>90</v>
      </c>
      <c r="G15932" s="0" t="s">
        <v>16</v>
      </c>
      <c r="H15932" s="0" t="n">
        <v>121</v>
      </c>
      <c r="I15932" s="0" t="s">
        <v>52957</v>
      </c>
      <c r="J15932" s="0" t="s">
        <v>52958</v>
      </c>
      <c r="K15932" s="0" t="s">
        <v>52959</v>
      </c>
      <c r="L15932" s="0" t="str">
        <f aca="false">HYPERLINK("https://www.ncbi.nlm.nih.gov/nuccore/CP000058.1?report=graph&amp;tracks=[key:gene_model_track,Options:GeneOnly]&amp;mk=4927674:4927693|offset_28|444444,4927650:4927669|offset_52|444444,4927617:4927636|offset_85|444444,4927581:4927600|offset_121|00cc00&amp;v=4927473:4927800&amp;c=444444", "offset 121")</f>
        <v>offset 121</v>
      </c>
    </row>
    <row r="15933" customFormat="false" ht="12.8" hidden="false" customHeight="false" outlineLevel="0" collapsed="false">
      <c r="A15933" s="0" t="s">
        <v>12</v>
      </c>
      <c r="B15933" s="0" t="n">
        <v>4928766</v>
      </c>
      <c r="C15933" s="0" t="n">
        <v>4928786</v>
      </c>
      <c r="D15933" s="0" t="s">
        <v>52960</v>
      </c>
      <c r="E15933" s="0" t="s">
        <v>75</v>
      </c>
      <c r="F15933" s="0" t="s">
        <v>90</v>
      </c>
      <c r="G15933" s="0" t="s">
        <v>16</v>
      </c>
      <c r="H15933" s="0" t="n">
        <v>16</v>
      </c>
      <c r="I15933" s="0" t="s">
        <v>52961</v>
      </c>
      <c r="J15933" s="0" t="s">
        <v>52962</v>
      </c>
      <c r="K15933" s="0" t="s">
        <v>52963</v>
      </c>
      <c r="L15933" s="0" t="str">
        <f aca="false">HYPERLINK("https://www.ncbi.nlm.nih.gov/nuccore/CP000058.1?report=graph&amp;tracks=[key:gene_model_track,Options:GeneOnly]&amp;mk=4928767:4928786|offset_16|00cc00,4928697:4928716|offset_86|444444,4928666:4928685|offset_117|444444,4928634:4928653|offset_149|444444&amp;v=4928566:4928853&amp;c=444444", "offset 16")</f>
        <v>offset 16</v>
      </c>
    </row>
    <row r="15934" customFormat="false" ht="12.8" hidden="false" customHeight="false" outlineLevel="0" collapsed="false">
      <c r="A15934" s="0" t="s">
        <v>12</v>
      </c>
      <c r="B15934" s="0" t="n">
        <v>4928696</v>
      </c>
      <c r="C15934" s="0" t="n">
        <v>4928716</v>
      </c>
      <c r="D15934" s="0" t="s">
        <v>52960</v>
      </c>
      <c r="E15934" s="0" t="s">
        <v>75</v>
      </c>
      <c r="F15934" s="0" t="s">
        <v>90</v>
      </c>
      <c r="G15934" s="0" t="s">
        <v>20</v>
      </c>
      <c r="H15934" s="0" t="n">
        <v>86</v>
      </c>
      <c r="I15934" s="0" t="s">
        <v>52964</v>
      </c>
      <c r="J15934" s="0" t="s">
        <v>52965</v>
      </c>
      <c r="K15934" s="0" t="s">
        <v>52966</v>
      </c>
      <c r="L15934" s="0" t="str">
        <f aca="false">HYPERLINK("https://www.ncbi.nlm.nih.gov/nuccore/CP000058.1?report=graph&amp;tracks=[key:gene_model_track,Options:GeneOnly]&amp;mk=4928767:4928786|offset_16|444444,4928697:4928716|offset_86|00cc00,4928666:4928685|offset_117|444444,4928634:4928653|offset_149|444444&amp;v=4928566:4928853&amp;c=444444", "offset 86")</f>
        <v>offset 86</v>
      </c>
    </row>
    <row r="15935" customFormat="false" ht="12.8" hidden="false" customHeight="false" outlineLevel="0" collapsed="false">
      <c r="A15935" s="0" t="s">
        <v>12</v>
      </c>
      <c r="B15935" s="0" t="n">
        <v>4928665</v>
      </c>
      <c r="C15935" s="0" t="n">
        <v>4928685</v>
      </c>
      <c r="D15935" s="0" t="s">
        <v>52960</v>
      </c>
      <c r="E15935" s="0" t="s">
        <v>75</v>
      </c>
      <c r="F15935" s="0" t="s">
        <v>90</v>
      </c>
      <c r="G15935" s="0" t="s">
        <v>20</v>
      </c>
      <c r="H15935" s="0" t="n">
        <v>117</v>
      </c>
      <c r="I15935" s="0" t="s">
        <v>52967</v>
      </c>
      <c r="J15935" s="0" t="s">
        <v>52968</v>
      </c>
      <c r="K15935" s="0" t="s">
        <v>52969</v>
      </c>
      <c r="L15935" s="0" t="str">
        <f aca="false">HYPERLINK("https://www.ncbi.nlm.nih.gov/nuccore/CP000058.1?report=graph&amp;tracks=[key:gene_model_track,Options:GeneOnly]&amp;mk=4928767:4928786|offset_16|444444,4928697:4928716|offset_86|444444,4928666:4928685|offset_117|00cc00,4928634:4928653|offset_149|444444&amp;v=4928566:4928853&amp;c=444444", "offset 117")</f>
        <v>offset 117</v>
      </c>
    </row>
    <row r="15936" customFormat="false" ht="12.8" hidden="false" customHeight="false" outlineLevel="0" collapsed="false">
      <c r="A15936" s="0" t="s">
        <v>12</v>
      </c>
      <c r="B15936" s="0" t="n">
        <v>4928633</v>
      </c>
      <c r="C15936" s="0" t="n">
        <v>4928653</v>
      </c>
      <c r="D15936" s="0" t="s">
        <v>52960</v>
      </c>
      <c r="E15936" s="0" t="s">
        <v>75</v>
      </c>
      <c r="F15936" s="0" t="s">
        <v>90</v>
      </c>
      <c r="G15936" s="0" t="s">
        <v>32</v>
      </c>
      <c r="H15936" s="0" t="n">
        <v>149</v>
      </c>
      <c r="I15936" s="0" t="s">
        <v>52970</v>
      </c>
      <c r="J15936" s="0" t="s">
        <v>52971</v>
      </c>
      <c r="K15936" s="0" t="s">
        <v>52972</v>
      </c>
      <c r="L15936" s="0" t="str">
        <f aca="false">HYPERLINK("https://www.ncbi.nlm.nih.gov/nuccore/CP000058.1?report=graph&amp;tracks=[key:gene_model_track,Options:GeneOnly]&amp;mk=4928767:4928786|offset_16|444444,4928697:4928716|offset_86|444444,4928666:4928685|offset_117|444444,4928634:4928653|offset_149|00cc00&amp;v=4928566:4928853&amp;c=444444", "offset 149")</f>
        <v>offset 149</v>
      </c>
    </row>
    <row r="15937" customFormat="false" ht="12.8" hidden="false" customHeight="false" outlineLevel="0" collapsed="false">
      <c r="A15937" s="0" t="s">
        <v>12</v>
      </c>
      <c r="B15937" s="0" t="n">
        <v>4929995</v>
      </c>
      <c r="C15937" s="0" t="n">
        <v>4930015</v>
      </c>
      <c r="D15937" s="0" t="s">
        <v>52973</v>
      </c>
      <c r="E15937" s="0" t="s">
        <v>75</v>
      </c>
      <c r="F15937" s="0" t="s">
        <v>90</v>
      </c>
      <c r="G15937" s="0" t="s">
        <v>20</v>
      </c>
      <c r="H15937" s="0" t="n">
        <v>35</v>
      </c>
      <c r="I15937" s="0" t="s">
        <v>52974</v>
      </c>
      <c r="J15937" s="0" t="s">
        <v>52975</v>
      </c>
      <c r="K15937" s="0" t="s">
        <v>52976</v>
      </c>
      <c r="L15937" s="0" t="str">
        <f aca="false">HYPERLINK("https://www.ncbi.nlm.nih.gov/nuccore/CP000058.1?report=graph&amp;tracks=[key:gene_model_track,Options:GeneOnly]&amp;mk=4929996:4930015|offset_35|00cc00,4929950:4929969|offset_81|444444,4929920:4929939|offset_111|444444,4929896:4929915|offset_135|444444&amp;v=4929795:4930115&amp;c=444444", "offset 35")</f>
        <v>offset 35</v>
      </c>
    </row>
    <row r="15938" customFormat="false" ht="12.8" hidden="false" customHeight="false" outlineLevel="0" collapsed="false">
      <c r="A15938" s="0" t="s">
        <v>12</v>
      </c>
      <c r="B15938" s="0" t="n">
        <v>4929949</v>
      </c>
      <c r="C15938" s="0" t="n">
        <v>4929969</v>
      </c>
      <c r="D15938" s="0" t="s">
        <v>52973</v>
      </c>
      <c r="E15938" s="0" t="s">
        <v>75</v>
      </c>
      <c r="F15938" s="0" t="s">
        <v>90</v>
      </c>
      <c r="G15938" s="0" t="s">
        <v>20</v>
      </c>
      <c r="H15938" s="0" t="n">
        <v>81</v>
      </c>
      <c r="I15938" s="0" t="s">
        <v>52977</v>
      </c>
      <c r="J15938" s="0" t="s">
        <v>52978</v>
      </c>
      <c r="K15938" s="0" t="s">
        <v>52979</v>
      </c>
      <c r="L15938" s="0" t="str">
        <f aca="false">HYPERLINK("https://www.ncbi.nlm.nih.gov/nuccore/CP000058.1?report=graph&amp;tracks=[key:gene_model_track,Options:GeneOnly]&amp;mk=4929996:4930015|offset_35|444444,4929950:4929969|offset_81|00cc00,4929920:4929939|offset_111|444444,4929896:4929915|offset_135|444444&amp;v=4929795:4930115&amp;c=444444", "offset 81")</f>
        <v>offset 81</v>
      </c>
    </row>
    <row r="15939" customFormat="false" ht="12.8" hidden="false" customHeight="false" outlineLevel="0" collapsed="false">
      <c r="A15939" s="0" t="s">
        <v>12</v>
      </c>
      <c r="B15939" s="0" t="n">
        <v>4929919</v>
      </c>
      <c r="C15939" s="0" t="n">
        <v>4929939</v>
      </c>
      <c r="D15939" s="0" t="s">
        <v>52973</v>
      </c>
      <c r="E15939" s="0" t="s">
        <v>75</v>
      </c>
      <c r="F15939" s="0" t="s">
        <v>90</v>
      </c>
      <c r="G15939" s="0" t="s">
        <v>16</v>
      </c>
      <c r="H15939" s="0" t="n">
        <v>111</v>
      </c>
      <c r="I15939" s="0" t="s">
        <v>52980</v>
      </c>
      <c r="J15939" s="0" t="s">
        <v>52981</v>
      </c>
      <c r="K15939" s="0" t="s">
        <v>52982</v>
      </c>
      <c r="L15939" s="0" t="str">
        <f aca="false">HYPERLINK("https://www.ncbi.nlm.nih.gov/nuccore/CP000058.1?report=graph&amp;tracks=[key:gene_model_track,Options:GeneOnly]&amp;mk=4929996:4930015|offset_35|444444,4929950:4929969|offset_81|444444,4929920:4929939|offset_111|00cc00,4929896:4929915|offset_135|444444&amp;v=4929795:4930115&amp;c=444444", "offset 111")</f>
        <v>offset 111</v>
      </c>
    </row>
    <row r="15940" customFormat="false" ht="12.8" hidden="false" customHeight="false" outlineLevel="0" collapsed="false">
      <c r="A15940" s="0" t="s">
        <v>12</v>
      </c>
      <c r="B15940" s="0" t="n">
        <v>4929895</v>
      </c>
      <c r="C15940" s="0" t="n">
        <v>4929915</v>
      </c>
      <c r="D15940" s="0" t="s">
        <v>52973</v>
      </c>
      <c r="E15940" s="0" t="s">
        <v>75</v>
      </c>
      <c r="F15940" s="0" t="s">
        <v>90</v>
      </c>
      <c r="G15940" s="0" t="s">
        <v>36</v>
      </c>
      <c r="H15940" s="0" t="n">
        <v>135</v>
      </c>
      <c r="I15940" s="0" t="s">
        <v>52983</v>
      </c>
      <c r="J15940" s="0" t="s">
        <v>52984</v>
      </c>
      <c r="K15940" s="0" t="s">
        <v>52985</v>
      </c>
      <c r="L15940" s="0" t="str">
        <f aca="false">HYPERLINK("https://www.ncbi.nlm.nih.gov/nuccore/CP000058.1?report=graph&amp;tracks=[key:gene_model_track,Options:GeneOnly]&amp;mk=4929996:4930015|offset_35|444444,4929950:4929969|offset_81|444444,4929920:4929939|offset_111|444444,4929896:4929915|offset_135|00cc00&amp;v=4929795:4930115&amp;c=444444", "offset 135")</f>
        <v>offset 135</v>
      </c>
    </row>
    <row r="15941" customFormat="false" ht="12.8" hidden="false" customHeight="false" outlineLevel="0" collapsed="false">
      <c r="A15941" s="0" t="s">
        <v>12</v>
      </c>
      <c r="B15941" s="0" t="n">
        <v>4931245</v>
      </c>
      <c r="C15941" s="0" t="n">
        <v>4931265</v>
      </c>
      <c r="D15941" s="0" t="s">
        <v>52986</v>
      </c>
      <c r="E15941" s="0" t="s">
        <v>75</v>
      </c>
      <c r="F15941" s="0" t="s">
        <v>90</v>
      </c>
      <c r="G15941" s="0" t="s">
        <v>32</v>
      </c>
      <c r="H15941" s="0" t="n">
        <v>11</v>
      </c>
      <c r="I15941" s="0" t="s">
        <v>52987</v>
      </c>
      <c r="J15941" s="0" t="s">
        <v>52988</v>
      </c>
      <c r="K15941" s="0" t="s">
        <v>52989</v>
      </c>
      <c r="L15941" s="0" t="str">
        <f aca="false">HYPERLINK("https://www.ncbi.nlm.nih.gov/nuccore/CP000058.1?report=graph&amp;tracks=[key:gene_model_track,Options:GeneOnly]&amp;mk=4931246:4931265|offset_11|00cc00,4931181:4931200|offset_76|444444,4931158:4931177|offset_99|444444,4931105:4931124|offset_152|444444&amp;v=4931045:4931324&amp;c=444444", "offset 11")</f>
        <v>offset 11</v>
      </c>
    </row>
    <row r="15942" customFormat="false" ht="12.8" hidden="false" customHeight="false" outlineLevel="0" collapsed="false">
      <c r="A15942" s="0" t="s">
        <v>12</v>
      </c>
      <c r="B15942" s="0" t="n">
        <v>4931180</v>
      </c>
      <c r="C15942" s="0" t="n">
        <v>4931200</v>
      </c>
      <c r="D15942" s="0" t="s">
        <v>52986</v>
      </c>
      <c r="E15942" s="0" t="s">
        <v>75</v>
      </c>
      <c r="F15942" s="0" t="s">
        <v>90</v>
      </c>
      <c r="G15942" s="0" t="s">
        <v>16</v>
      </c>
      <c r="H15942" s="0" t="n">
        <v>76</v>
      </c>
      <c r="I15942" s="0" t="s">
        <v>52990</v>
      </c>
      <c r="J15942" s="0" t="s">
        <v>52991</v>
      </c>
      <c r="K15942" s="0" t="s">
        <v>52992</v>
      </c>
      <c r="L15942" s="0" t="str">
        <f aca="false">HYPERLINK("https://www.ncbi.nlm.nih.gov/nuccore/CP000058.1?report=graph&amp;tracks=[key:gene_model_track,Options:GeneOnly]&amp;mk=4931246:4931265|offset_11|444444,4931181:4931200|offset_76|00cc00,4931158:4931177|offset_99|444444,4931105:4931124|offset_152|444444&amp;v=4931045:4931324&amp;c=444444", "offset 76")</f>
        <v>offset 76</v>
      </c>
    </row>
    <row r="15943" customFormat="false" ht="12.8" hidden="false" customHeight="false" outlineLevel="0" collapsed="false">
      <c r="A15943" s="0" t="s">
        <v>12</v>
      </c>
      <c r="B15943" s="0" t="n">
        <v>4931157</v>
      </c>
      <c r="C15943" s="0" t="n">
        <v>4931177</v>
      </c>
      <c r="D15943" s="0" t="s">
        <v>52986</v>
      </c>
      <c r="E15943" s="0" t="s">
        <v>75</v>
      </c>
      <c r="F15943" s="0" t="s">
        <v>90</v>
      </c>
      <c r="G15943" s="0" t="s">
        <v>32</v>
      </c>
      <c r="H15943" s="0" t="n">
        <v>99</v>
      </c>
      <c r="I15943" s="0" t="s">
        <v>52993</v>
      </c>
      <c r="J15943" s="0" t="s">
        <v>52994</v>
      </c>
      <c r="K15943" s="0" t="s">
        <v>52995</v>
      </c>
      <c r="L15943" s="0" t="str">
        <f aca="false">HYPERLINK("https://www.ncbi.nlm.nih.gov/nuccore/CP000058.1?report=graph&amp;tracks=[key:gene_model_track,Options:GeneOnly]&amp;mk=4931246:4931265|offset_11|444444,4931181:4931200|offset_76|444444,4931158:4931177|offset_99|00cc00,4931105:4931124|offset_152|444444&amp;v=4931045:4931324&amp;c=444444", "offset 99")</f>
        <v>offset 99</v>
      </c>
    </row>
    <row r="15944" customFormat="false" ht="12.8" hidden="false" customHeight="false" outlineLevel="0" collapsed="false">
      <c r="A15944" s="0" t="s">
        <v>12</v>
      </c>
      <c r="B15944" s="0" t="n">
        <v>4931104</v>
      </c>
      <c r="C15944" s="0" t="n">
        <v>4931124</v>
      </c>
      <c r="D15944" s="0" t="s">
        <v>52986</v>
      </c>
      <c r="E15944" s="0" t="s">
        <v>75</v>
      </c>
      <c r="F15944" s="0" t="s">
        <v>90</v>
      </c>
      <c r="G15944" s="0" t="s">
        <v>20</v>
      </c>
      <c r="H15944" s="0" t="n">
        <v>152</v>
      </c>
      <c r="I15944" s="0" t="s">
        <v>52996</v>
      </c>
      <c r="J15944" s="0" t="s">
        <v>52997</v>
      </c>
      <c r="K15944" s="0" t="s">
        <v>52998</v>
      </c>
      <c r="L15944" s="0" t="str">
        <f aca="false">HYPERLINK("https://www.ncbi.nlm.nih.gov/nuccore/CP000058.1?report=graph&amp;tracks=[key:gene_model_track,Options:GeneOnly]&amp;mk=4931246:4931265|offset_11|444444,4931181:4931200|offset_76|444444,4931158:4931177|offset_99|444444,4931105:4931124|offset_152|00cc00&amp;v=4931045:4931324&amp;c=444444", "offset 152")</f>
        <v>offset 152</v>
      </c>
    </row>
    <row r="15945" customFormat="false" ht="12.8" hidden="false" customHeight="false" outlineLevel="0" collapsed="false">
      <c r="A15945" s="0" t="s">
        <v>12</v>
      </c>
      <c r="B15945" s="0" t="n">
        <v>4932637</v>
      </c>
      <c r="C15945" s="0" t="n">
        <v>4932657</v>
      </c>
      <c r="D15945" s="0" t="s">
        <v>52999</v>
      </c>
      <c r="E15945" s="0" t="s">
        <v>75</v>
      </c>
      <c r="F15945" s="0" t="s">
        <v>90</v>
      </c>
      <c r="G15945" s="0" t="s">
        <v>32</v>
      </c>
      <c r="H15945" s="0" t="n">
        <v>40</v>
      </c>
      <c r="I15945" s="0" t="s">
        <v>53000</v>
      </c>
      <c r="J15945" s="0" t="s">
        <v>53001</v>
      </c>
      <c r="K15945" s="0" t="s">
        <v>53002</v>
      </c>
      <c r="L15945" s="0" t="str">
        <f aca="false">HYPERLINK("https://www.ncbi.nlm.nih.gov/nuccore/CP000058.1?report=graph&amp;tracks=[key:gene_model_track,Options:GeneOnly]&amp;mk=4932638:4932657|offset_40|00cc00,4932617:4932636|offset_61|444444,4932596:4932615|offset_82|444444,4932576:4932595|offset_102|444444&amp;v=4932437:4932795&amp;c=444444", "offset 40")</f>
        <v>offset 40</v>
      </c>
    </row>
    <row r="15946" customFormat="false" ht="12.8" hidden="false" customHeight="false" outlineLevel="0" collapsed="false">
      <c r="A15946" s="0" t="s">
        <v>12</v>
      </c>
      <c r="B15946" s="0" t="n">
        <v>4932616</v>
      </c>
      <c r="C15946" s="0" t="n">
        <v>4932636</v>
      </c>
      <c r="D15946" s="0" t="s">
        <v>52999</v>
      </c>
      <c r="E15946" s="0" t="s">
        <v>75</v>
      </c>
      <c r="F15946" s="0" t="s">
        <v>90</v>
      </c>
      <c r="G15946" s="0" t="s">
        <v>32</v>
      </c>
      <c r="H15946" s="0" t="n">
        <v>61</v>
      </c>
      <c r="I15946" s="0" t="s">
        <v>53003</v>
      </c>
      <c r="J15946" s="0" t="s">
        <v>53004</v>
      </c>
      <c r="K15946" s="0" t="s">
        <v>53005</v>
      </c>
      <c r="L15946" s="0" t="str">
        <f aca="false">HYPERLINK("https://www.ncbi.nlm.nih.gov/nuccore/CP000058.1?report=graph&amp;tracks=[key:gene_model_track,Options:GeneOnly]&amp;mk=4932638:4932657|offset_40|444444,4932617:4932636|offset_61|00cc00,4932596:4932615|offset_82|444444,4932576:4932595|offset_102|444444&amp;v=4932437:4932795&amp;c=444444", "offset 61")</f>
        <v>offset 61</v>
      </c>
    </row>
    <row r="15947" customFormat="false" ht="12.8" hidden="false" customHeight="false" outlineLevel="0" collapsed="false">
      <c r="A15947" s="0" t="s">
        <v>12</v>
      </c>
      <c r="B15947" s="0" t="n">
        <v>4932595</v>
      </c>
      <c r="C15947" s="0" t="n">
        <v>4932615</v>
      </c>
      <c r="D15947" s="0" t="s">
        <v>52999</v>
      </c>
      <c r="E15947" s="0" t="s">
        <v>75</v>
      </c>
      <c r="F15947" s="0" t="s">
        <v>90</v>
      </c>
      <c r="G15947" s="0" t="s">
        <v>32</v>
      </c>
      <c r="H15947" s="0" t="n">
        <v>82</v>
      </c>
      <c r="I15947" s="0" t="s">
        <v>53006</v>
      </c>
      <c r="J15947" s="0" t="s">
        <v>53007</v>
      </c>
      <c r="K15947" s="0" t="s">
        <v>53008</v>
      </c>
      <c r="L15947" s="0" t="str">
        <f aca="false">HYPERLINK("https://www.ncbi.nlm.nih.gov/nuccore/CP000058.1?report=graph&amp;tracks=[key:gene_model_track,Options:GeneOnly]&amp;mk=4932638:4932657|offset_40|444444,4932617:4932636|offset_61|444444,4932596:4932615|offset_82|00cc00,4932576:4932595|offset_102|444444&amp;v=4932437:4932795&amp;c=444444", "offset 82")</f>
        <v>offset 82</v>
      </c>
    </row>
    <row r="15948" customFormat="false" ht="12.8" hidden="false" customHeight="false" outlineLevel="0" collapsed="false">
      <c r="A15948" s="0" t="s">
        <v>12</v>
      </c>
      <c r="B15948" s="0" t="n">
        <v>4932575</v>
      </c>
      <c r="C15948" s="0" t="n">
        <v>4932595</v>
      </c>
      <c r="D15948" s="0" t="s">
        <v>52999</v>
      </c>
      <c r="E15948" s="0" t="s">
        <v>75</v>
      </c>
      <c r="F15948" s="0" t="s">
        <v>90</v>
      </c>
      <c r="G15948" s="0" t="s">
        <v>16</v>
      </c>
      <c r="H15948" s="0" t="n">
        <v>102</v>
      </c>
      <c r="I15948" s="0" t="s">
        <v>53009</v>
      </c>
      <c r="J15948" s="0" t="s">
        <v>53010</v>
      </c>
      <c r="K15948" s="0" t="s">
        <v>53011</v>
      </c>
      <c r="L15948" s="0" t="str">
        <f aca="false">HYPERLINK("https://www.ncbi.nlm.nih.gov/nuccore/CP000058.1?report=graph&amp;tracks=[key:gene_model_track,Options:GeneOnly]&amp;mk=4932638:4932657|offset_40|444444,4932617:4932636|offset_61|444444,4932596:4932615|offset_82|444444,4932576:4932595|offset_102|00cc00&amp;v=4932437:4932795&amp;c=444444", "offset 102")</f>
        <v>offset 102</v>
      </c>
    </row>
    <row r="15949" customFormat="false" ht="12.8" hidden="false" customHeight="false" outlineLevel="0" collapsed="false">
      <c r="A15949" s="0" t="s">
        <v>12</v>
      </c>
      <c r="B15949" s="0" t="n">
        <v>4933170</v>
      </c>
      <c r="C15949" s="0" t="n">
        <v>4933190</v>
      </c>
      <c r="D15949" s="0" t="s">
        <v>53012</v>
      </c>
      <c r="E15949" s="0" t="s">
        <v>53013</v>
      </c>
      <c r="F15949" s="0" t="s">
        <v>15</v>
      </c>
      <c r="G15949" s="0" t="s">
        <v>20</v>
      </c>
      <c r="H15949" s="0" t="n">
        <v>17</v>
      </c>
      <c r="I15949" s="0" t="s">
        <v>53014</v>
      </c>
      <c r="J15949" s="0" t="s">
        <v>53015</v>
      </c>
      <c r="K15949" s="0" t="s">
        <v>53016</v>
      </c>
      <c r="L15949" s="0" t="str">
        <f aca="false">HYPERLINK("https://www.ncbi.nlm.nih.gov/nuccore/CP000058.1?report=graph&amp;tracks=[key:gene_model_track,Options:GeneOnly]&amp;mk=4933171:4933190|offset_17|00cc00,4933224:4933243|offset_70|444444,4933282:4933301|offset_128|444444,4933318:4933337|offset_164|444444&amp;v=4932970:4933537&amp;c=444444", "offset 17")</f>
        <v>offset 17</v>
      </c>
    </row>
    <row r="15950" customFormat="false" ht="12.8" hidden="false" customHeight="false" outlineLevel="0" collapsed="false">
      <c r="A15950" s="0" t="s">
        <v>12</v>
      </c>
      <c r="B15950" s="0" t="n">
        <v>4933223</v>
      </c>
      <c r="C15950" s="0" t="n">
        <v>4933243</v>
      </c>
      <c r="D15950" s="0" t="s">
        <v>53012</v>
      </c>
      <c r="E15950" s="0" t="s">
        <v>53013</v>
      </c>
      <c r="F15950" s="0" t="s">
        <v>15</v>
      </c>
      <c r="G15950" s="0" t="s">
        <v>36</v>
      </c>
      <c r="H15950" s="0" t="n">
        <v>70</v>
      </c>
      <c r="I15950" s="0" t="s">
        <v>53017</v>
      </c>
      <c r="J15950" s="0" t="s">
        <v>53018</v>
      </c>
      <c r="K15950" s="0" t="s">
        <v>53019</v>
      </c>
      <c r="L15950" s="0" t="str">
        <f aca="false">HYPERLINK("https://www.ncbi.nlm.nih.gov/nuccore/CP000058.1?report=graph&amp;tracks=[key:gene_model_track,Options:GeneOnly]&amp;mk=4933171:4933190|offset_17|444444,4933224:4933243|offset_70|00cc00,4933282:4933301|offset_128|444444,4933318:4933337|offset_164|444444&amp;v=4932970:4933537&amp;c=444444", "offset 70")</f>
        <v>offset 70</v>
      </c>
    </row>
    <row r="15951" customFormat="false" ht="12.8" hidden="false" customHeight="false" outlineLevel="0" collapsed="false">
      <c r="A15951" s="0" t="s">
        <v>12</v>
      </c>
      <c r="B15951" s="0" t="n">
        <v>4933281</v>
      </c>
      <c r="C15951" s="0" t="n">
        <v>4933301</v>
      </c>
      <c r="D15951" s="0" t="s">
        <v>53012</v>
      </c>
      <c r="E15951" s="0" t="s">
        <v>53013</v>
      </c>
      <c r="F15951" s="0" t="s">
        <v>15</v>
      </c>
      <c r="G15951" s="0" t="s">
        <v>20</v>
      </c>
      <c r="H15951" s="0" t="n">
        <v>128</v>
      </c>
      <c r="I15951" s="0" t="s">
        <v>53020</v>
      </c>
      <c r="J15951" s="0" t="s">
        <v>53021</v>
      </c>
      <c r="K15951" s="0" t="s">
        <v>53022</v>
      </c>
      <c r="L15951" s="0" t="str">
        <f aca="false">HYPERLINK("https://www.ncbi.nlm.nih.gov/nuccore/CP000058.1?report=graph&amp;tracks=[key:gene_model_track,Options:GeneOnly]&amp;mk=4933171:4933190|offset_17|444444,4933224:4933243|offset_70|444444,4933282:4933301|offset_128|00cc00,4933318:4933337|offset_164|444444&amp;v=4932970:4933537&amp;c=444444", "offset 128")</f>
        <v>offset 128</v>
      </c>
    </row>
    <row r="15952" customFormat="false" ht="12.8" hidden="false" customHeight="false" outlineLevel="0" collapsed="false">
      <c r="A15952" s="0" t="s">
        <v>12</v>
      </c>
      <c r="B15952" s="0" t="n">
        <v>4933317</v>
      </c>
      <c r="C15952" s="0" t="n">
        <v>4933337</v>
      </c>
      <c r="D15952" s="0" t="s">
        <v>53012</v>
      </c>
      <c r="E15952" s="0" t="s">
        <v>53013</v>
      </c>
      <c r="F15952" s="0" t="s">
        <v>15</v>
      </c>
      <c r="G15952" s="0" t="s">
        <v>20</v>
      </c>
      <c r="H15952" s="0" t="n">
        <v>164</v>
      </c>
      <c r="I15952" s="0" t="s">
        <v>53023</v>
      </c>
      <c r="J15952" s="0" t="s">
        <v>53024</v>
      </c>
      <c r="K15952" s="0" t="s">
        <v>53025</v>
      </c>
      <c r="L15952" s="0" t="str">
        <f aca="false">HYPERLINK("https://www.ncbi.nlm.nih.gov/nuccore/CP000058.1?report=graph&amp;tracks=[key:gene_model_track,Options:GeneOnly]&amp;mk=4933171:4933190|offset_17|444444,4933224:4933243|offset_70|444444,4933282:4933301|offset_128|444444,4933318:4933337|offset_164|00cc00&amp;v=4932970:4933537&amp;c=444444", "offset 164")</f>
        <v>offset 164</v>
      </c>
    </row>
    <row r="15953" customFormat="false" ht="12.8" hidden="false" customHeight="false" outlineLevel="0" collapsed="false">
      <c r="A15953" s="0" t="s">
        <v>12</v>
      </c>
      <c r="B15953" s="0" t="n">
        <v>4934400</v>
      </c>
      <c r="C15953" s="0" t="n">
        <v>4934420</v>
      </c>
      <c r="D15953" s="0" t="s">
        <v>53026</v>
      </c>
      <c r="E15953" s="0" t="s">
        <v>75</v>
      </c>
      <c r="F15953" s="0" t="s">
        <v>15</v>
      </c>
      <c r="G15953" s="0" t="s">
        <v>32</v>
      </c>
      <c r="H15953" s="0" t="n">
        <v>29</v>
      </c>
      <c r="I15953" s="0" t="s">
        <v>53027</v>
      </c>
      <c r="J15953" s="0" t="s">
        <v>53028</v>
      </c>
      <c r="K15953" s="0" t="s">
        <v>53029</v>
      </c>
      <c r="L15953" s="0" t="str">
        <f aca="false">HYPERLINK("https://www.ncbi.nlm.nih.gov/nuccore/CP000058.1?report=graph&amp;tracks=[key:gene_model_track,Options:GeneOnly]&amp;mk=4934401:4934420|offset_29|00cc00,4934442:4934461|offset_70|444444,4934493:4934512|offset_121|444444,4934538:4934557|offset_166|444444&amp;v=4934200:4934757&amp;c=444444", "offset 29")</f>
        <v>offset 29</v>
      </c>
    </row>
    <row r="15954" customFormat="false" ht="12.8" hidden="false" customHeight="false" outlineLevel="0" collapsed="false">
      <c r="A15954" s="0" t="s">
        <v>12</v>
      </c>
      <c r="B15954" s="0" t="n">
        <v>4934441</v>
      </c>
      <c r="C15954" s="0" t="n">
        <v>4934461</v>
      </c>
      <c r="D15954" s="0" t="s">
        <v>53026</v>
      </c>
      <c r="E15954" s="0" t="s">
        <v>75</v>
      </c>
      <c r="F15954" s="0" t="s">
        <v>15</v>
      </c>
      <c r="G15954" s="0" t="s">
        <v>32</v>
      </c>
      <c r="H15954" s="0" t="n">
        <v>70</v>
      </c>
      <c r="I15954" s="0" t="s">
        <v>53030</v>
      </c>
      <c r="J15954" s="0" t="s">
        <v>53031</v>
      </c>
      <c r="K15954" s="0" t="s">
        <v>53032</v>
      </c>
      <c r="L15954" s="0" t="str">
        <f aca="false">HYPERLINK("https://www.ncbi.nlm.nih.gov/nuccore/CP000058.1?report=graph&amp;tracks=[key:gene_model_track,Options:GeneOnly]&amp;mk=4934401:4934420|offset_29|444444,4934442:4934461|offset_70|00cc00,4934493:4934512|offset_121|444444,4934538:4934557|offset_166|444444&amp;v=4934200:4934757&amp;c=444444", "offset 70")</f>
        <v>offset 70</v>
      </c>
    </row>
    <row r="15955" customFormat="false" ht="12.8" hidden="false" customHeight="false" outlineLevel="0" collapsed="false">
      <c r="A15955" s="0" t="s">
        <v>12</v>
      </c>
      <c r="B15955" s="0" t="n">
        <v>4934492</v>
      </c>
      <c r="C15955" s="0" t="n">
        <v>4934512</v>
      </c>
      <c r="D15955" s="0" t="s">
        <v>53026</v>
      </c>
      <c r="E15955" s="0" t="s">
        <v>75</v>
      </c>
      <c r="F15955" s="0" t="s">
        <v>15</v>
      </c>
      <c r="G15955" s="0" t="s">
        <v>16</v>
      </c>
      <c r="H15955" s="0" t="n">
        <v>121</v>
      </c>
      <c r="I15955" s="0" t="s">
        <v>53033</v>
      </c>
      <c r="J15955" s="0" t="s">
        <v>53034</v>
      </c>
      <c r="K15955" s="0" t="s">
        <v>53035</v>
      </c>
      <c r="L15955" s="0" t="str">
        <f aca="false">HYPERLINK("https://www.ncbi.nlm.nih.gov/nuccore/CP000058.1?report=graph&amp;tracks=[key:gene_model_track,Options:GeneOnly]&amp;mk=4934401:4934420|offset_29|444444,4934442:4934461|offset_70|444444,4934493:4934512|offset_121|00cc00,4934538:4934557|offset_166|444444&amp;v=4934200:4934757&amp;c=444444", "offset 121")</f>
        <v>offset 121</v>
      </c>
    </row>
    <row r="15956" customFormat="false" ht="12.8" hidden="false" customHeight="false" outlineLevel="0" collapsed="false">
      <c r="A15956" s="0" t="s">
        <v>12</v>
      </c>
      <c r="B15956" s="0" t="n">
        <v>4934537</v>
      </c>
      <c r="C15956" s="0" t="n">
        <v>4934557</v>
      </c>
      <c r="D15956" s="0" t="s">
        <v>53026</v>
      </c>
      <c r="E15956" s="0" t="s">
        <v>75</v>
      </c>
      <c r="F15956" s="0" t="s">
        <v>15</v>
      </c>
      <c r="G15956" s="0" t="s">
        <v>20</v>
      </c>
      <c r="H15956" s="0" t="n">
        <v>166</v>
      </c>
      <c r="I15956" s="0" t="s">
        <v>53036</v>
      </c>
      <c r="J15956" s="0" t="s">
        <v>53037</v>
      </c>
      <c r="K15956" s="0" t="s">
        <v>53038</v>
      </c>
      <c r="L15956" s="0" t="str">
        <f aca="false">HYPERLINK("https://www.ncbi.nlm.nih.gov/nuccore/CP000058.1?report=graph&amp;tracks=[key:gene_model_track,Options:GeneOnly]&amp;mk=4934401:4934420|offset_29|444444,4934442:4934461|offset_70|444444,4934493:4934512|offset_121|444444,4934538:4934557|offset_166|00cc00&amp;v=4934200:4934757&amp;c=444444", "offset 166")</f>
        <v>offset 166</v>
      </c>
    </row>
    <row r="15957" customFormat="false" ht="12.8" hidden="false" customHeight="false" outlineLevel="0" collapsed="false">
      <c r="A15957" s="0" t="s">
        <v>12</v>
      </c>
      <c r="B15957" s="0" t="n">
        <v>4936994</v>
      </c>
      <c r="C15957" s="0" t="n">
        <v>4937014</v>
      </c>
      <c r="D15957" s="0" t="s">
        <v>53039</v>
      </c>
      <c r="E15957" s="0" t="s">
        <v>75</v>
      </c>
      <c r="F15957" s="0" t="s">
        <v>90</v>
      </c>
      <c r="G15957" s="0" t="s">
        <v>32</v>
      </c>
      <c r="H15957" s="0" t="n">
        <v>7</v>
      </c>
      <c r="I15957" s="0" t="s">
        <v>53040</v>
      </c>
      <c r="J15957" s="0" t="s">
        <v>53041</v>
      </c>
      <c r="K15957" s="0" t="s">
        <v>53042</v>
      </c>
      <c r="L15957" s="0" t="str">
        <f aca="false">HYPERLINK("https://www.ncbi.nlm.nih.gov/nuccore/CP000058.1?report=graph&amp;tracks=[key:gene_model_track,Options:GeneOnly]&amp;mk=4936995:4937014|offset_7|00cc00,4936935:4936954|offset_67|444444,4936913:4936932|offset_89|444444,4936873:4936892|offset_129|444444&amp;v=4936794:4937092&amp;c=444444", "offset 7")</f>
        <v>offset 7</v>
      </c>
    </row>
    <row r="15958" customFormat="false" ht="12.8" hidden="false" customHeight="false" outlineLevel="0" collapsed="false">
      <c r="A15958" s="0" t="s">
        <v>12</v>
      </c>
      <c r="B15958" s="0" t="n">
        <v>4936934</v>
      </c>
      <c r="C15958" s="0" t="n">
        <v>4936954</v>
      </c>
      <c r="D15958" s="0" t="s">
        <v>53039</v>
      </c>
      <c r="E15958" s="0" t="s">
        <v>75</v>
      </c>
      <c r="F15958" s="0" t="s">
        <v>90</v>
      </c>
      <c r="G15958" s="0" t="s">
        <v>36</v>
      </c>
      <c r="H15958" s="0" t="n">
        <v>67</v>
      </c>
      <c r="I15958" s="0" t="s">
        <v>53043</v>
      </c>
      <c r="J15958" s="0" t="s">
        <v>53044</v>
      </c>
      <c r="K15958" s="0" t="s">
        <v>53045</v>
      </c>
      <c r="L15958" s="0" t="str">
        <f aca="false">HYPERLINK("https://www.ncbi.nlm.nih.gov/nuccore/CP000058.1?report=graph&amp;tracks=[key:gene_model_track,Options:GeneOnly]&amp;mk=4936995:4937014|offset_7|444444,4936935:4936954|offset_67|00cc00,4936913:4936932|offset_89|444444,4936873:4936892|offset_129|444444&amp;v=4936794:4937092&amp;c=444444", "offset 67")</f>
        <v>offset 67</v>
      </c>
    </row>
    <row r="15959" customFormat="false" ht="12.8" hidden="false" customHeight="false" outlineLevel="0" collapsed="false">
      <c r="A15959" s="0" t="s">
        <v>12</v>
      </c>
      <c r="B15959" s="0" t="n">
        <v>4936912</v>
      </c>
      <c r="C15959" s="0" t="n">
        <v>4936932</v>
      </c>
      <c r="D15959" s="0" t="s">
        <v>53039</v>
      </c>
      <c r="E15959" s="0" t="s">
        <v>75</v>
      </c>
      <c r="F15959" s="0" t="s">
        <v>90</v>
      </c>
      <c r="G15959" s="0" t="s">
        <v>16</v>
      </c>
      <c r="H15959" s="0" t="n">
        <v>89</v>
      </c>
      <c r="I15959" s="0" t="s">
        <v>53046</v>
      </c>
      <c r="J15959" s="0" t="s">
        <v>53047</v>
      </c>
      <c r="K15959" s="0" t="s">
        <v>53048</v>
      </c>
      <c r="L15959" s="0" t="str">
        <f aca="false">HYPERLINK("https://www.ncbi.nlm.nih.gov/nuccore/CP000058.1?report=graph&amp;tracks=[key:gene_model_track,Options:GeneOnly]&amp;mk=4936995:4937014|offset_7|444444,4936935:4936954|offset_67|444444,4936913:4936932|offset_89|00cc00,4936873:4936892|offset_129|444444&amp;v=4936794:4937092&amp;c=444444", "offset 89")</f>
        <v>offset 89</v>
      </c>
    </row>
    <row r="15960" customFormat="false" ht="12.8" hidden="false" customHeight="false" outlineLevel="0" collapsed="false">
      <c r="A15960" s="0" t="s">
        <v>12</v>
      </c>
      <c r="B15960" s="0" t="n">
        <v>4936872</v>
      </c>
      <c r="C15960" s="0" t="n">
        <v>4936892</v>
      </c>
      <c r="D15960" s="0" t="s">
        <v>53039</v>
      </c>
      <c r="E15960" s="0" t="s">
        <v>75</v>
      </c>
      <c r="F15960" s="0" t="s">
        <v>90</v>
      </c>
      <c r="G15960" s="0" t="s">
        <v>36</v>
      </c>
      <c r="H15960" s="0" t="n">
        <v>129</v>
      </c>
      <c r="I15960" s="0" t="s">
        <v>53049</v>
      </c>
      <c r="J15960" s="0" t="s">
        <v>53050</v>
      </c>
      <c r="K15960" s="0" t="s">
        <v>53051</v>
      </c>
      <c r="L15960" s="0" t="str">
        <f aca="false">HYPERLINK("https://www.ncbi.nlm.nih.gov/nuccore/CP000058.1?report=graph&amp;tracks=[key:gene_model_track,Options:GeneOnly]&amp;mk=4936995:4937014|offset_7|444444,4936935:4936954|offset_67|444444,4936913:4936932|offset_89|444444,4936873:4936892|offset_129|00cc00&amp;v=4936794:4937092&amp;c=444444", "offset 129")</f>
        <v>offset 129</v>
      </c>
    </row>
    <row r="15961" customFormat="false" ht="12.8" hidden="false" customHeight="false" outlineLevel="0" collapsed="false">
      <c r="A15961" s="0" t="s">
        <v>12</v>
      </c>
      <c r="B15961" s="0" t="n">
        <v>4937762</v>
      </c>
      <c r="C15961" s="0" t="n">
        <v>4937782</v>
      </c>
      <c r="D15961" s="0" t="s">
        <v>53052</v>
      </c>
      <c r="E15961" s="0" t="s">
        <v>75</v>
      </c>
      <c r="F15961" s="0" t="s">
        <v>90</v>
      </c>
      <c r="G15961" s="0" t="s">
        <v>20</v>
      </c>
      <c r="H15961" s="0" t="n">
        <v>6</v>
      </c>
      <c r="I15961" s="0" t="s">
        <v>53053</v>
      </c>
      <c r="J15961" s="0" t="s">
        <v>53054</v>
      </c>
      <c r="K15961" s="0" t="s">
        <v>53055</v>
      </c>
      <c r="L15961" s="0" t="str">
        <f aca="false">HYPERLINK("https://www.ncbi.nlm.nih.gov/nuccore/CP000058.1?report=graph&amp;tracks=[key:gene_model_track,Options:GeneOnly]&amp;mk=4937763:4937782|offset_6|00cc00,4937738:4937757|offset_31|444444,4937672:4937691|offset_97|444444,4937651:4937670|offset_118|444444&amp;v=4937562:4937870&amp;c=444444", "offset 6")</f>
        <v>offset 6</v>
      </c>
    </row>
    <row r="15962" customFormat="false" ht="12.8" hidden="false" customHeight="false" outlineLevel="0" collapsed="false">
      <c r="A15962" s="0" t="s">
        <v>12</v>
      </c>
      <c r="B15962" s="0" t="n">
        <v>4937737</v>
      </c>
      <c r="C15962" s="0" t="n">
        <v>4937757</v>
      </c>
      <c r="D15962" s="0" t="s">
        <v>53052</v>
      </c>
      <c r="E15962" s="0" t="s">
        <v>75</v>
      </c>
      <c r="F15962" s="0" t="s">
        <v>90</v>
      </c>
      <c r="G15962" s="0" t="s">
        <v>36</v>
      </c>
      <c r="H15962" s="0" t="n">
        <v>31</v>
      </c>
      <c r="I15962" s="0" t="s">
        <v>53056</v>
      </c>
      <c r="J15962" s="0" t="s">
        <v>53057</v>
      </c>
      <c r="K15962" s="0" t="s">
        <v>53058</v>
      </c>
      <c r="L15962" s="0" t="str">
        <f aca="false">HYPERLINK("https://www.ncbi.nlm.nih.gov/nuccore/CP000058.1?report=graph&amp;tracks=[key:gene_model_track,Options:GeneOnly]&amp;mk=4937763:4937782|offset_6|444444,4937738:4937757|offset_31|00cc00,4937672:4937691|offset_97|444444,4937651:4937670|offset_118|444444&amp;v=4937562:4937870&amp;c=444444", "offset 31")</f>
        <v>offset 31</v>
      </c>
    </row>
    <row r="15963" customFormat="false" ht="12.8" hidden="false" customHeight="false" outlineLevel="0" collapsed="false">
      <c r="A15963" s="0" t="s">
        <v>12</v>
      </c>
      <c r="B15963" s="0" t="n">
        <v>4937671</v>
      </c>
      <c r="C15963" s="0" t="n">
        <v>4937691</v>
      </c>
      <c r="D15963" s="0" t="s">
        <v>53052</v>
      </c>
      <c r="E15963" s="0" t="s">
        <v>75</v>
      </c>
      <c r="F15963" s="0" t="s">
        <v>90</v>
      </c>
      <c r="G15963" s="0" t="s">
        <v>32</v>
      </c>
      <c r="H15963" s="0" t="n">
        <v>97</v>
      </c>
      <c r="I15963" s="0" t="s">
        <v>53059</v>
      </c>
      <c r="J15963" s="0" t="s">
        <v>53060</v>
      </c>
      <c r="K15963" s="0" t="s">
        <v>53061</v>
      </c>
      <c r="L15963" s="0" t="str">
        <f aca="false">HYPERLINK("https://www.ncbi.nlm.nih.gov/nuccore/CP000058.1?report=graph&amp;tracks=[key:gene_model_track,Options:GeneOnly]&amp;mk=4937763:4937782|offset_6|444444,4937738:4937757|offset_31|444444,4937672:4937691|offset_97|00cc00,4937651:4937670|offset_118|444444&amp;v=4937562:4937870&amp;c=444444", "offset 97")</f>
        <v>offset 97</v>
      </c>
    </row>
    <row r="15964" customFormat="false" ht="12.8" hidden="false" customHeight="false" outlineLevel="0" collapsed="false">
      <c r="A15964" s="0" t="s">
        <v>12</v>
      </c>
      <c r="B15964" s="0" t="n">
        <v>4937650</v>
      </c>
      <c r="C15964" s="0" t="n">
        <v>4937670</v>
      </c>
      <c r="D15964" s="0" t="s">
        <v>53052</v>
      </c>
      <c r="E15964" s="0" t="s">
        <v>75</v>
      </c>
      <c r="F15964" s="0" t="s">
        <v>90</v>
      </c>
      <c r="G15964" s="0" t="s">
        <v>16</v>
      </c>
      <c r="H15964" s="0" t="n">
        <v>118</v>
      </c>
      <c r="I15964" s="0" t="s">
        <v>53062</v>
      </c>
      <c r="J15964" s="0" t="s">
        <v>53063</v>
      </c>
      <c r="K15964" s="0" t="s">
        <v>53064</v>
      </c>
      <c r="L15964" s="0" t="str">
        <f aca="false">HYPERLINK("https://www.ncbi.nlm.nih.gov/nuccore/CP000058.1?report=graph&amp;tracks=[key:gene_model_track,Options:GeneOnly]&amp;mk=4937763:4937782|offset_6|444444,4937738:4937757|offset_31|444444,4937672:4937691|offset_97|444444,4937651:4937670|offset_118|00cc00&amp;v=4937562:4937870&amp;c=444444", "offset 118")</f>
        <v>offset 118</v>
      </c>
    </row>
    <row r="15965" customFormat="false" ht="12.8" hidden="false" customHeight="false" outlineLevel="0" collapsed="false">
      <c r="A15965" s="0" t="s">
        <v>12</v>
      </c>
      <c r="B15965" s="0" t="n">
        <v>4938299</v>
      </c>
      <c r="C15965" s="0" t="n">
        <v>4938319</v>
      </c>
      <c r="D15965" s="0" t="s">
        <v>53065</v>
      </c>
      <c r="E15965" s="0" t="s">
        <v>75</v>
      </c>
      <c r="F15965" s="0" t="s">
        <v>90</v>
      </c>
      <c r="G15965" s="0" t="s">
        <v>36</v>
      </c>
      <c r="H15965" s="0" t="n">
        <v>20</v>
      </c>
      <c r="I15965" s="0" t="s">
        <v>53066</v>
      </c>
      <c r="J15965" s="0" t="s">
        <v>53067</v>
      </c>
      <c r="K15965" s="0" t="s">
        <v>53068</v>
      </c>
      <c r="L15965" s="0" t="str">
        <f aca="false">HYPERLINK("https://www.ncbi.nlm.nih.gov/nuccore/CP000058.1?report=graph&amp;tracks=[key:gene_model_track,Options:GeneOnly]&amp;mk=4938300:4938319|offset_20|00cc00,4938277:4938296|offset_43|444444,4938229:4938248|offset_91|444444,4938154:4938173|offset_166|444444&amp;v=4938099:4938373&amp;c=444444", "offset 20")</f>
        <v>offset 20</v>
      </c>
    </row>
    <row r="15966" customFormat="false" ht="12.8" hidden="false" customHeight="false" outlineLevel="0" collapsed="false">
      <c r="A15966" s="0" t="s">
        <v>12</v>
      </c>
      <c r="B15966" s="0" t="n">
        <v>4938276</v>
      </c>
      <c r="C15966" s="0" t="n">
        <v>4938296</v>
      </c>
      <c r="D15966" s="0" t="s">
        <v>53065</v>
      </c>
      <c r="E15966" s="0" t="s">
        <v>75</v>
      </c>
      <c r="F15966" s="0" t="s">
        <v>90</v>
      </c>
      <c r="G15966" s="0" t="s">
        <v>32</v>
      </c>
      <c r="H15966" s="0" t="n">
        <v>43</v>
      </c>
      <c r="I15966" s="0" t="s">
        <v>53069</v>
      </c>
      <c r="J15966" s="0" t="s">
        <v>53070</v>
      </c>
      <c r="K15966" s="0" t="s">
        <v>53071</v>
      </c>
      <c r="L15966" s="0" t="str">
        <f aca="false">HYPERLINK("https://www.ncbi.nlm.nih.gov/nuccore/CP000058.1?report=graph&amp;tracks=[key:gene_model_track,Options:GeneOnly]&amp;mk=4938300:4938319|offset_20|444444,4938277:4938296|offset_43|00cc00,4938229:4938248|offset_91|444444,4938154:4938173|offset_166|444444&amp;v=4938099:4938373&amp;c=444444", "offset 43")</f>
        <v>offset 43</v>
      </c>
    </row>
    <row r="15967" customFormat="false" ht="12.8" hidden="false" customHeight="false" outlineLevel="0" collapsed="false">
      <c r="A15967" s="0" t="s">
        <v>12</v>
      </c>
      <c r="B15967" s="0" t="n">
        <v>4938228</v>
      </c>
      <c r="C15967" s="0" t="n">
        <v>4938248</v>
      </c>
      <c r="D15967" s="0" t="s">
        <v>53065</v>
      </c>
      <c r="E15967" s="0" t="s">
        <v>75</v>
      </c>
      <c r="F15967" s="0" t="s">
        <v>90</v>
      </c>
      <c r="G15967" s="0" t="s">
        <v>20</v>
      </c>
      <c r="H15967" s="0" t="n">
        <v>91</v>
      </c>
      <c r="I15967" s="0" t="s">
        <v>53072</v>
      </c>
      <c r="J15967" s="0" t="s">
        <v>53073</v>
      </c>
      <c r="K15967" s="0" t="s">
        <v>53074</v>
      </c>
      <c r="L15967" s="0" t="str">
        <f aca="false">HYPERLINK("https://www.ncbi.nlm.nih.gov/nuccore/CP000058.1?report=graph&amp;tracks=[key:gene_model_track,Options:GeneOnly]&amp;mk=4938300:4938319|offset_20|444444,4938277:4938296|offset_43|444444,4938229:4938248|offset_91|00cc00,4938154:4938173|offset_166|444444&amp;v=4938099:4938373&amp;c=444444", "offset 91")</f>
        <v>offset 91</v>
      </c>
    </row>
    <row r="15968" customFormat="false" ht="12.8" hidden="false" customHeight="false" outlineLevel="0" collapsed="false">
      <c r="A15968" s="0" t="s">
        <v>12</v>
      </c>
      <c r="B15968" s="0" t="n">
        <v>4938153</v>
      </c>
      <c r="C15968" s="0" t="n">
        <v>4938173</v>
      </c>
      <c r="D15968" s="0" t="s">
        <v>53065</v>
      </c>
      <c r="E15968" s="0" t="s">
        <v>75</v>
      </c>
      <c r="F15968" s="0" t="s">
        <v>90</v>
      </c>
      <c r="G15968" s="0" t="s">
        <v>16</v>
      </c>
      <c r="H15968" s="0" t="n">
        <v>166</v>
      </c>
      <c r="I15968" s="0" t="s">
        <v>53075</v>
      </c>
      <c r="J15968" s="0" t="s">
        <v>53076</v>
      </c>
      <c r="K15968" s="0" t="s">
        <v>53077</v>
      </c>
      <c r="L15968" s="0" t="str">
        <f aca="false">HYPERLINK("https://www.ncbi.nlm.nih.gov/nuccore/CP000058.1?report=graph&amp;tracks=[key:gene_model_track,Options:GeneOnly]&amp;mk=4938300:4938319|offset_20|444444,4938277:4938296|offset_43|444444,4938229:4938248|offset_91|444444,4938154:4938173|offset_166|00cc00&amp;v=4938099:4938373&amp;c=444444", "offset 166")</f>
        <v>offset 166</v>
      </c>
    </row>
    <row r="15969" customFormat="false" ht="12.8" hidden="false" customHeight="false" outlineLevel="0" collapsed="false">
      <c r="A15969" s="0" t="s">
        <v>12</v>
      </c>
      <c r="B15969" s="0" t="n">
        <v>4938692</v>
      </c>
      <c r="C15969" s="0" t="n">
        <v>4938712</v>
      </c>
      <c r="D15969" s="0" t="s">
        <v>53078</v>
      </c>
      <c r="E15969" s="0" t="s">
        <v>75</v>
      </c>
      <c r="F15969" s="0" t="s">
        <v>15</v>
      </c>
      <c r="G15969" s="0" t="s">
        <v>16</v>
      </c>
      <c r="H15969" s="0" t="n">
        <v>38</v>
      </c>
      <c r="I15969" s="0" t="s">
        <v>53079</v>
      </c>
      <c r="J15969" s="0" t="s">
        <v>53080</v>
      </c>
      <c r="K15969" s="0" t="s">
        <v>53081</v>
      </c>
      <c r="L15969" s="0" t="str">
        <f aca="false">HYPERLINK("https://www.ncbi.nlm.nih.gov/nuccore/CP000058.1?report=graph&amp;tracks=[key:gene_model_track,Options:GeneOnly]&amp;mk=4938693:4938712|offset_38|00cc00,4938714:4938733|offset_59|444444,4938756:4938775|offset_101|444444,4938800:4938819|offset_145|444444&amp;v=4938492:4939019&amp;c=444444", "offset 38")</f>
        <v>offset 38</v>
      </c>
    </row>
    <row r="15970" customFormat="false" ht="12.8" hidden="false" customHeight="false" outlineLevel="0" collapsed="false">
      <c r="A15970" s="0" t="s">
        <v>12</v>
      </c>
      <c r="B15970" s="0" t="n">
        <v>4938713</v>
      </c>
      <c r="C15970" s="0" t="n">
        <v>4938733</v>
      </c>
      <c r="D15970" s="0" t="s">
        <v>53078</v>
      </c>
      <c r="E15970" s="0" t="s">
        <v>75</v>
      </c>
      <c r="F15970" s="0" t="s">
        <v>15</v>
      </c>
      <c r="G15970" s="0" t="s">
        <v>32</v>
      </c>
      <c r="H15970" s="0" t="n">
        <v>59</v>
      </c>
      <c r="I15970" s="0" t="s">
        <v>53082</v>
      </c>
      <c r="J15970" s="0" t="s">
        <v>53083</v>
      </c>
      <c r="K15970" s="0" t="s">
        <v>53084</v>
      </c>
      <c r="L15970" s="0" t="str">
        <f aca="false">HYPERLINK("https://www.ncbi.nlm.nih.gov/nuccore/CP000058.1?report=graph&amp;tracks=[key:gene_model_track,Options:GeneOnly]&amp;mk=4938693:4938712|offset_38|444444,4938714:4938733|offset_59|00cc00,4938756:4938775|offset_101|444444,4938800:4938819|offset_145|444444&amp;v=4938492:4939019&amp;c=444444", "offset 59")</f>
        <v>offset 59</v>
      </c>
    </row>
    <row r="15971" customFormat="false" ht="12.8" hidden="false" customHeight="false" outlineLevel="0" collapsed="false">
      <c r="A15971" s="0" t="s">
        <v>12</v>
      </c>
      <c r="B15971" s="0" t="n">
        <v>4938755</v>
      </c>
      <c r="C15971" s="0" t="n">
        <v>4938775</v>
      </c>
      <c r="D15971" s="0" t="s">
        <v>53078</v>
      </c>
      <c r="E15971" s="0" t="s">
        <v>75</v>
      </c>
      <c r="F15971" s="0" t="s">
        <v>15</v>
      </c>
      <c r="G15971" s="0" t="s">
        <v>16</v>
      </c>
      <c r="H15971" s="0" t="n">
        <v>101</v>
      </c>
      <c r="I15971" s="0" t="s">
        <v>53085</v>
      </c>
      <c r="J15971" s="0" t="s">
        <v>53086</v>
      </c>
      <c r="K15971" s="0" t="s">
        <v>53087</v>
      </c>
      <c r="L15971" s="0" t="str">
        <f aca="false">HYPERLINK("https://www.ncbi.nlm.nih.gov/nuccore/CP000058.1?report=graph&amp;tracks=[key:gene_model_track,Options:GeneOnly]&amp;mk=4938693:4938712|offset_38|444444,4938714:4938733|offset_59|444444,4938756:4938775|offset_101|00cc00,4938800:4938819|offset_145|444444&amp;v=4938492:4939019&amp;c=444444", "offset 101")</f>
        <v>offset 101</v>
      </c>
    </row>
    <row r="15972" customFormat="false" ht="12.8" hidden="false" customHeight="false" outlineLevel="0" collapsed="false">
      <c r="A15972" s="0" t="s">
        <v>12</v>
      </c>
      <c r="B15972" s="0" t="n">
        <v>4938799</v>
      </c>
      <c r="C15972" s="0" t="n">
        <v>4938819</v>
      </c>
      <c r="D15972" s="0" t="s">
        <v>53078</v>
      </c>
      <c r="E15972" s="0" t="s">
        <v>75</v>
      </c>
      <c r="F15972" s="0" t="s">
        <v>15</v>
      </c>
      <c r="G15972" s="0" t="s">
        <v>16</v>
      </c>
      <c r="H15972" s="0" t="n">
        <v>145</v>
      </c>
      <c r="I15972" s="0" t="s">
        <v>53088</v>
      </c>
      <c r="J15972" s="0" t="s">
        <v>53089</v>
      </c>
      <c r="K15972" s="0" t="s">
        <v>53090</v>
      </c>
      <c r="L15972" s="0" t="str">
        <f aca="false">HYPERLINK("https://www.ncbi.nlm.nih.gov/nuccore/CP000058.1?report=graph&amp;tracks=[key:gene_model_track,Options:GeneOnly]&amp;mk=4938693:4938712|offset_38|444444,4938714:4938733|offset_59|444444,4938756:4938775|offset_101|444444,4938800:4938819|offset_145|00cc00&amp;v=4938492:4939019&amp;c=444444", "offset 145")</f>
        <v>offset 145</v>
      </c>
    </row>
    <row r="15973" customFormat="false" ht="12.8" hidden="false" customHeight="false" outlineLevel="0" collapsed="false">
      <c r="A15973" s="0" t="s">
        <v>12</v>
      </c>
      <c r="B15973" s="0" t="n">
        <v>4946672</v>
      </c>
      <c r="C15973" s="0" t="n">
        <v>4946692</v>
      </c>
      <c r="D15973" s="0" t="s">
        <v>53091</v>
      </c>
      <c r="E15973" s="0" t="s">
        <v>53092</v>
      </c>
      <c r="F15973" s="0" t="s">
        <v>90</v>
      </c>
      <c r="G15973" s="0" t="s">
        <v>32</v>
      </c>
      <c r="H15973" s="0" t="n">
        <v>1</v>
      </c>
      <c r="I15973" s="0" t="s">
        <v>53093</v>
      </c>
      <c r="J15973" s="0" t="s">
        <v>53094</v>
      </c>
      <c r="K15973" s="0" t="s">
        <v>53095</v>
      </c>
      <c r="L15973" s="0" t="str">
        <f aca="false">HYPERLINK("https://www.ncbi.nlm.nih.gov/nuccore/CP000058.1?report=graph&amp;tracks=[key:gene_model_track,Options:GeneOnly]&amp;mk=4946673:4946692|offset_1|00cc00,4946646:4946665|offset_28|444444,4946617:4946636|offset_57|444444,4946578:4946597|offset_96|444444&amp;v=4946472:4946797&amp;c=444444", "offset 1")</f>
        <v>offset 1</v>
      </c>
    </row>
    <row r="15974" customFormat="false" ht="12.8" hidden="false" customHeight="false" outlineLevel="0" collapsed="false">
      <c r="A15974" s="0" t="s">
        <v>12</v>
      </c>
      <c r="B15974" s="0" t="n">
        <v>4946645</v>
      </c>
      <c r="C15974" s="0" t="n">
        <v>4946665</v>
      </c>
      <c r="D15974" s="0" t="s">
        <v>53091</v>
      </c>
      <c r="E15974" s="0" t="s">
        <v>53092</v>
      </c>
      <c r="F15974" s="0" t="s">
        <v>90</v>
      </c>
      <c r="G15974" s="0" t="s">
        <v>20</v>
      </c>
      <c r="H15974" s="0" t="n">
        <v>28</v>
      </c>
      <c r="I15974" s="0" t="s">
        <v>53096</v>
      </c>
      <c r="J15974" s="0" t="s">
        <v>53097</v>
      </c>
      <c r="K15974" s="0" t="s">
        <v>53098</v>
      </c>
      <c r="L15974" s="0" t="str">
        <f aca="false">HYPERLINK("https://www.ncbi.nlm.nih.gov/nuccore/CP000058.1?report=graph&amp;tracks=[key:gene_model_track,Options:GeneOnly]&amp;mk=4946673:4946692|offset_1|444444,4946646:4946665|offset_28|00cc00,4946617:4946636|offset_57|444444,4946578:4946597|offset_96|444444&amp;v=4946472:4946797&amp;c=444444", "offset 28")</f>
        <v>offset 28</v>
      </c>
    </row>
    <row r="15975" customFormat="false" ht="12.8" hidden="false" customHeight="false" outlineLevel="0" collapsed="false">
      <c r="A15975" s="0" t="s">
        <v>12</v>
      </c>
      <c r="B15975" s="0" t="n">
        <v>4946616</v>
      </c>
      <c r="C15975" s="0" t="n">
        <v>4946636</v>
      </c>
      <c r="D15975" s="0" t="s">
        <v>53091</v>
      </c>
      <c r="E15975" s="0" t="s">
        <v>53092</v>
      </c>
      <c r="F15975" s="0" t="s">
        <v>90</v>
      </c>
      <c r="G15975" s="0" t="s">
        <v>20</v>
      </c>
      <c r="H15975" s="0" t="n">
        <v>57</v>
      </c>
      <c r="I15975" s="0" t="s">
        <v>53099</v>
      </c>
      <c r="J15975" s="0" t="s">
        <v>53100</v>
      </c>
      <c r="K15975" s="0" t="s">
        <v>53101</v>
      </c>
      <c r="L15975" s="0" t="str">
        <f aca="false">HYPERLINK("https://www.ncbi.nlm.nih.gov/nuccore/CP000058.1?report=graph&amp;tracks=[key:gene_model_track,Options:GeneOnly]&amp;mk=4946673:4946692|offset_1|444444,4946646:4946665|offset_28|444444,4946617:4946636|offset_57|00cc00,4946578:4946597|offset_96|444444&amp;v=4946472:4946797&amp;c=444444", "offset 57")</f>
        <v>offset 57</v>
      </c>
    </row>
    <row r="15976" customFormat="false" ht="12.8" hidden="false" customHeight="false" outlineLevel="0" collapsed="false">
      <c r="A15976" s="0" t="s">
        <v>12</v>
      </c>
      <c r="B15976" s="0" t="n">
        <v>4946577</v>
      </c>
      <c r="C15976" s="0" t="n">
        <v>4946597</v>
      </c>
      <c r="D15976" s="0" t="s">
        <v>53091</v>
      </c>
      <c r="E15976" s="0" t="s">
        <v>53092</v>
      </c>
      <c r="F15976" s="0" t="s">
        <v>90</v>
      </c>
      <c r="G15976" s="0" t="s">
        <v>16</v>
      </c>
      <c r="H15976" s="0" t="n">
        <v>96</v>
      </c>
      <c r="I15976" s="0" t="s">
        <v>53102</v>
      </c>
      <c r="J15976" s="0" t="s">
        <v>53103</v>
      </c>
      <c r="K15976" s="0" t="s">
        <v>53104</v>
      </c>
      <c r="L15976" s="0" t="str">
        <f aca="false">HYPERLINK("https://www.ncbi.nlm.nih.gov/nuccore/CP000058.1?report=graph&amp;tracks=[key:gene_model_track,Options:GeneOnly]&amp;mk=4946673:4946692|offset_1|444444,4946646:4946665|offset_28|444444,4946617:4946636|offset_57|444444,4946578:4946597|offset_96|00cc00&amp;v=4946472:4946797&amp;c=444444", "offset 96")</f>
        <v>offset 96</v>
      </c>
    </row>
    <row r="15977" customFormat="false" ht="12.8" hidden="false" customHeight="false" outlineLevel="0" collapsed="false">
      <c r="A15977" s="0" t="s">
        <v>12</v>
      </c>
      <c r="B15977" s="0" t="n">
        <v>4947036</v>
      </c>
      <c r="C15977" s="0" t="n">
        <v>4947056</v>
      </c>
      <c r="D15977" s="0" t="s">
        <v>53105</v>
      </c>
      <c r="E15977" s="0" t="s">
        <v>53106</v>
      </c>
      <c r="F15977" s="0" t="s">
        <v>15</v>
      </c>
      <c r="G15977" s="0" t="s">
        <v>32</v>
      </c>
      <c r="H15977" s="0" t="n">
        <v>1</v>
      </c>
      <c r="I15977" s="0" t="s">
        <v>53107</v>
      </c>
      <c r="J15977" s="0" t="s">
        <v>53108</v>
      </c>
      <c r="K15977" s="0" t="s">
        <v>53109</v>
      </c>
      <c r="L15977" s="0" t="str">
        <f aca="false">HYPERLINK("https://www.ncbi.nlm.nih.gov/nuccore/CP000058.1?report=graph&amp;tracks=[key:gene_model_track,Options:GeneOnly]&amp;mk=4947037:4947056|offset_1|00cc00,4947064:4947083|offset_28|444444,4947088:4947107|offset_52|444444,4947139:4947158|offset_103|444444&amp;v=4946836:4947358&amp;c=444444", "offset 1")</f>
        <v>offset 1</v>
      </c>
    </row>
    <row r="15978" customFormat="false" ht="12.8" hidden="false" customHeight="false" outlineLevel="0" collapsed="false">
      <c r="A15978" s="0" t="s">
        <v>12</v>
      </c>
      <c r="B15978" s="0" t="n">
        <v>4947063</v>
      </c>
      <c r="C15978" s="0" t="n">
        <v>4947083</v>
      </c>
      <c r="D15978" s="0" t="s">
        <v>53105</v>
      </c>
      <c r="E15978" s="0" t="s">
        <v>53106</v>
      </c>
      <c r="F15978" s="0" t="s">
        <v>15</v>
      </c>
      <c r="G15978" s="0" t="s">
        <v>32</v>
      </c>
      <c r="H15978" s="0" t="n">
        <v>28</v>
      </c>
      <c r="I15978" s="0" t="s">
        <v>53110</v>
      </c>
      <c r="J15978" s="0" t="s">
        <v>53111</v>
      </c>
      <c r="K15978" s="0" t="s">
        <v>53112</v>
      </c>
      <c r="L15978" s="0" t="str">
        <f aca="false">HYPERLINK("https://www.ncbi.nlm.nih.gov/nuccore/CP000058.1?report=graph&amp;tracks=[key:gene_model_track,Options:GeneOnly]&amp;mk=4947037:4947056|offset_1|444444,4947064:4947083|offset_28|00cc00,4947088:4947107|offset_52|444444,4947139:4947158|offset_103|444444&amp;v=4946836:4947358&amp;c=444444", "offset 28")</f>
        <v>offset 28</v>
      </c>
    </row>
    <row r="15979" customFormat="false" ht="12.8" hidden="false" customHeight="false" outlineLevel="0" collapsed="false">
      <c r="A15979" s="0" t="s">
        <v>12</v>
      </c>
      <c r="B15979" s="0" t="n">
        <v>4947087</v>
      </c>
      <c r="C15979" s="0" t="n">
        <v>4947107</v>
      </c>
      <c r="D15979" s="0" t="s">
        <v>53105</v>
      </c>
      <c r="E15979" s="0" t="s">
        <v>53106</v>
      </c>
      <c r="F15979" s="0" t="s">
        <v>15</v>
      </c>
      <c r="G15979" s="0" t="s">
        <v>16</v>
      </c>
      <c r="H15979" s="0" t="n">
        <v>52</v>
      </c>
      <c r="I15979" s="0" t="s">
        <v>53113</v>
      </c>
      <c r="J15979" s="0" t="s">
        <v>53114</v>
      </c>
      <c r="K15979" s="0" t="s">
        <v>53115</v>
      </c>
      <c r="L15979" s="0" t="str">
        <f aca="false">HYPERLINK("https://www.ncbi.nlm.nih.gov/nuccore/CP000058.1?report=graph&amp;tracks=[key:gene_model_track,Options:GeneOnly]&amp;mk=4947037:4947056|offset_1|444444,4947064:4947083|offset_28|444444,4947088:4947107|offset_52|00cc00,4947139:4947158|offset_103|444444&amp;v=4946836:4947358&amp;c=444444", "offset 52")</f>
        <v>offset 52</v>
      </c>
    </row>
    <row r="15980" customFormat="false" ht="12.8" hidden="false" customHeight="false" outlineLevel="0" collapsed="false">
      <c r="A15980" s="0" t="s">
        <v>12</v>
      </c>
      <c r="B15980" s="0" t="n">
        <v>4947138</v>
      </c>
      <c r="C15980" s="0" t="n">
        <v>4947158</v>
      </c>
      <c r="D15980" s="0" t="s">
        <v>53105</v>
      </c>
      <c r="E15980" s="0" t="s">
        <v>53106</v>
      </c>
      <c r="F15980" s="0" t="s">
        <v>15</v>
      </c>
      <c r="G15980" s="0" t="s">
        <v>20</v>
      </c>
      <c r="H15980" s="0" t="n">
        <v>103</v>
      </c>
      <c r="I15980" s="0" t="s">
        <v>53116</v>
      </c>
      <c r="J15980" s="0" t="s">
        <v>53117</v>
      </c>
      <c r="K15980" s="0" t="s">
        <v>53118</v>
      </c>
      <c r="L15980" s="0" t="str">
        <f aca="false">HYPERLINK("https://www.ncbi.nlm.nih.gov/nuccore/CP000058.1?report=graph&amp;tracks=[key:gene_model_track,Options:GeneOnly]&amp;mk=4947037:4947056|offset_1|444444,4947064:4947083|offset_28|444444,4947088:4947107|offset_52|444444,4947139:4947158|offset_103|00cc00&amp;v=4946836:4947358&amp;c=444444", "offset 103")</f>
        <v>offset 103</v>
      </c>
    </row>
    <row r="15981" customFormat="false" ht="12.8" hidden="false" customHeight="false" outlineLevel="0" collapsed="false">
      <c r="A15981" s="0" t="s">
        <v>12</v>
      </c>
      <c r="B15981" s="0" t="n">
        <v>4949334</v>
      </c>
      <c r="C15981" s="0" t="n">
        <v>4949354</v>
      </c>
      <c r="D15981" s="0" t="s">
        <v>53119</v>
      </c>
      <c r="E15981" s="0" t="s">
        <v>75</v>
      </c>
      <c r="F15981" s="0" t="s">
        <v>90</v>
      </c>
      <c r="G15981" s="0" t="s">
        <v>36</v>
      </c>
      <c r="H15981" s="0" t="n">
        <v>18</v>
      </c>
      <c r="I15981" s="0" t="s">
        <v>53120</v>
      </c>
      <c r="J15981" s="0" t="s">
        <v>53121</v>
      </c>
      <c r="K15981" s="0" t="s">
        <v>53122</v>
      </c>
      <c r="L15981" s="0" t="str">
        <f aca="false">HYPERLINK("https://www.ncbi.nlm.nih.gov/nuccore/CP000058.1?report=graph&amp;tracks=[key:gene_model_track,Options:GeneOnly]&amp;mk=4949335:4949354|offset_18|00cc00,4949289:4949308|offset_64|444444,4949262:4949281|offset_91|444444,4949241:4949260|offset_112|444444&amp;v=4949134:4949460&amp;c=444444", "offset 18")</f>
        <v>offset 18</v>
      </c>
    </row>
    <row r="15982" customFormat="false" ht="12.8" hidden="false" customHeight="false" outlineLevel="0" collapsed="false">
      <c r="A15982" s="0" t="s">
        <v>12</v>
      </c>
      <c r="B15982" s="0" t="n">
        <v>4949288</v>
      </c>
      <c r="C15982" s="0" t="n">
        <v>4949308</v>
      </c>
      <c r="D15982" s="0" t="s">
        <v>53119</v>
      </c>
      <c r="E15982" s="0" t="s">
        <v>75</v>
      </c>
      <c r="F15982" s="0" t="s">
        <v>90</v>
      </c>
      <c r="G15982" s="0" t="s">
        <v>32</v>
      </c>
      <c r="H15982" s="0" t="n">
        <v>64</v>
      </c>
      <c r="I15982" s="0" t="s">
        <v>53123</v>
      </c>
      <c r="J15982" s="0" t="s">
        <v>53124</v>
      </c>
      <c r="K15982" s="0" t="s">
        <v>53125</v>
      </c>
      <c r="L15982" s="0" t="str">
        <f aca="false">HYPERLINK("https://www.ncbi.nlm.nih.gov/nuccore/CP000058.1?report=graph&amp;tracks=[key:gene_model_track,Options:GeneOnly]&amp;mk=4949335:4949354|offset_18|444444,4949289:4949308|offset_64|00cc00,4949262:4949281|offset_91|444444,4949241:4949260|offset_112|444444&amp;v=4949134:4949460&amp;c=444444", "offset 64")</f>
        <v>offset 64</v>
      </c>
    </row>
    <row r="15983" customFormat="false" ht="12.8" hidden="false" customHeight="false" outlineLevel="0" collapsed="false">
      <c r="A15983" s="0" t="s">
        <v>12</v>
      </c>
      <c r="B15983" s="0" t="n">
        <v>4949261</v>
      </c>
      <c r="C15983" s="0" t="n">
        <v>4949281</v>
      </c>
      <c r="D15983" s="0" t="s">
        <v>53119</v>
      </c>
      <c r="E15983" s="0" t="s">
        <v>75</v>
      </c>
      <c r="F15983" s="0" t="s">
        <v>90</v>
      </c>
      <c r="G15983" s="0" t="s">
        <v>16</v>
      </c>
      <c r="H15983" s="0" t="n">
        <v>91</v>
      </c>
      <c r="I15983" s="0" t="s">
        <v>53126</v>
      </c>
      <c r="J15983" s="0" t="s">
        <v>53127</v>
      </c>
      <c r="K15983" s="0" t="s">
        <v>53128</v>
      </c>
      <c r="L15983" s="0" t="str">
        <f aca="false">HYPERLINK("https://www.ncbi.nlm.nih.gov/nuccore/CP000058.1?report=graph&amp;tracks=[key:gene_model_track,Options:GeneOnly]&amp;mk=4949335:4949354|offset_18|444444,4949289:4949308|offset_64|444444,4949262:4949281|offset_91|00cc00,4949241:4949260|offset_112|444444&amp;v=4949134:4949460&amp;c=444444", "offset 91")</f>
        <v>offset 91</v>
      </c>
    </row>
    <row r="15984" customFormat="false" ht="12.8" hidden="false" customHeight="false" outlineLevel="0" collapsed="false">
      <c r="A15984" s="0" t="s">
        <v>12</v>
      </c>
      <c r="B15984" s="0" t="n">
        <v>4949240</v>
      </c>
      <c r="C15984" s="0" t="n">
        <v>4949260</v>
      </c>
      <c r="D15984" s="0" t="s">
        <v>53119</v>
      </c>
      <c r="E15984" s="0" t="s">
        <v>75</v>
      </c>
      <c r="F15984" s="0" t="s">
        <v>90</v>
      </c>
      <c r="G15984" s="0" t="s">
        <v>16</v>
      </c>
      <c r="H15984" s="0" t="n">
        <v>112</v>
      </c>
      <c r="I15984" s="0" t="s">
        <v>53129</v>
      </c>
      <c r="J15984" s="0" t="s">
        <v>53130</v>
      </c>
      <c r="K15984" s="0" t="s">
        <v>53131</v>
      </c>
      <c r="L15984" s="0" t="str">
        <f aca="false">HYPERLINK("https://www.ncbi.nlm.nih.gov/nuccore/CP000058.1?report=graph&amp;tracks=[key:gene_model_track,Options:GeneOnly]&amp;mk=4949335:4949354|offset_18|444444,4949289:4949308|offset_64|444444,4949262:4949281|offset_91|444444,4949241:4949260|offset_112|00cc00&amp;v=4949134:4949460&amp;c=444444", "offset 112")</f>
        <v>offset 112</v>
      </c>
    </row>
    <row r="15985" customFormat="false" ht="12.8" hidden="false" customHeight="false" outlineLevel="0" collapsed="false">
      <c r="A15985" s="0" t="s">
        <v>12</v>
      </c>
      <c r="B15985" s="0" t="n">
        <v>4949645</v>
      </c>
      <c r="C15985" s="0" t="n">
        <v>4949665</v>
      </c>
      <c r="D15985" s="0" t="s">
        <v>53132</v>
      </c>
      <c r="E15985" s="0" t="s">
        <v>75</v>
      </c>
      <c r="F15985" s="0" t="s">
        <v>90</v>
      </c>
      <c r="G15985" s="0" t="s">
        <v>36</v>
      </c>
      <c r="H15985" s="0" t="n">
        <v>0</v>
      </c>
      <c r="I15985" s="0" t="s">
        <v>53133</v>
      </c>
      <c r="J15985" s="0" t="s">
        <v>53134</v>
      </c>
      <c r="K15985" s="0" t="s">
        <v>53135</v>
      </c>
      <c r="L15985" s="0" t="str">
        <f aca="false">HYPERLINK("https://www.ncbi.nlm.nih.gov/nuccore/CP000058.1?report=graph&amp;tracks=[key:gene_model_track,Options:GeneOnly]&amp;mk=4949646:4949665|offset_0|00cc00,4949623:4949642|offset_23|444444,4949600:4949619|offset_46|444444,4949577:4949596|offset_69|444444&amp;v=4949445:4949796&amp;c=444444", "offset 0")</f>
        <v>offset 0</v>
      </c>
    </row>
    <row r="15986" customFormat="false" ht="12.8" hidden="false" customHeight="false" outlineLevel="0" collapsed="false">
      <c r="A15986" s="0" t="s">
        <v>12</v>
      </c>
      <c r="B15986" s="0" t="n">
        <v>4949622</v>
      </c>
      <c r="C15986" s="0" t="n">
        <v>4949642</v>
      </c>
      <c r="D15986" s="0" t="s">
        <v>53132</v>
      </c>
      <c r="E15986" s="0" t="s">
        <v>75</v>
      </c>
      <c r="F15986" s="0" t="s">
        <v>90</v>
      </c>
      <c r="G15986" s="0" t="s">
        <v>20</v>
      </c>
      <c r="H15986" s="0" t="n">
        <v>23</v>
      </c>
      <c r="I15986" s="0" t="s">
        <v>53136</v>
      </c>
      <c r="J15986" s="0" t="s">
        <v>53137</v>
      </c>
      <c r="K15986" s="0" t="s">
        <v>53138</v>
      </c>
      <c r="L15986" s="0" t="str">
        <f aca="false">HYPERLINK("https://www.ncbi.nlm.nih.gov/nuccore/CP000058.1?report=graph&amp;tracks=[key:gene_model_track,Options:GeneOnly]&amp;mk=4949646:4949665|offset_0|444444,4949623:4949642|offset_23|00cc00,4949600:4949619|offset_46|444444,4949577:4949596|offset_69|444444&amp;v=4949445:4949796&amp;c=444444", "offset 23")</f>
        <v>offset 23</v>
      </c>
    </row>
    <row r="15987" customFormat="false" ht="12.8" hidden="false" customHeight="false" outlineLevel="0" collapsed="false">
      <c r="A15987" s="0" t="s">
        <v>12</v>
      </c>
      <c r="B15987" s="0" t="n">
        <v>4949599</v>
      </c>
      <c r="C15987" s="0" t="n">
        <v>4949619</v>
      </c>
      <c r="D15987" s="0" t="s">
        <v>53132</v>
      </c>
      <c r="E15987" s="0" t="s">
        <v>75</v>
      </c>
      <c r="F15987" s="0" t="s">
        <v>90</v>
      </c>
      <c r="G15987" s="0" t="s">
        <v>16</v>
      </c>
      <c r="H15987" s="0" t="n">
        <v>46</v>
      </c>
      <c r="I15987" s="0" t="s">
        <v>53139</v>
      </c>
      <c r="J15987" s="0" t="s">
        <v>53140</v>
      </c>
      <c r="K15987" s="0" t="s">
        <v>53141</v>
      </c>
      <c r="L15987" s="0" t="str">
        <f aca="false">HYPERLINK("https://www.ncbi.nlm.nih.gov/nuccore/CP000058.1?report=graph&amp;tracks=[key:gene_model_track,Options:GeneOnly]&amp;mk=4949646:4949665|offset_0|444444,4949623:4949642|offset_23|444444,4949600:4949619|offset_46|00cc00,4949577:4949596|offset_69|444444&amp;v=4949445:4949796&amp;c=444444", "offset 46")</f>
        <v>offset 46</v>
      </c>
    </row>
    <row r="15988" customFormat="false" ht="12.8" hidden="false" customHeight="false" outlineLevel="0" collapsed="false">
      <c r="A15988" s="0" t="s">
        <v>12</v>
      </c>
      <c r="B15988" s="0" t="n">
        <v>4949576</v>
      </c>
      <c r="C15988" s="0" t="n">
        <v>4949596</v>
      </c>
      <c r="D15988" s="0" t="s">
        <v>53132</v>
      </c>
      <c r="E15988" s="0" t="s">
        <v>75</v>
      </c>
      <c r="F15988" s="0" t="s">
        <v>90</v>
      </c>
      <c r="G15988" s="0" t="s">
        <v>20</v>
      </c>
      <c r="H15988" s="0" t="n">
        <v>69</v>
      </c>
      <c r="I15988" s="0" t="s">
        <v>53142</v>
      </c>
      <c r="J15988" s="0" t="s">
        <v>53143</v>
      </c>
      <c r="K15988" s="0" t="s">
        <v>53144</v>
      </c>
      <c r="L15988" s="0" t="str">
        <f aca="false">HYPERLINK("https://www.ncbi.nlm.nih.gov/nuccore/CP000058.1?report=graph&amp;tracks=[key:gene_model_track,Options:GeneOnly]&amp;mk=4949646:4949665|offset_0|444444,4949623:4949642|offset_23|444444,4949600:4949619|offset_46|444444,4949577:4949596|offset_69|00cc00&amp;v=4949445:4949796&amp;c=444444", "offset 69")</f>
        <v>offset 69</v>
      </c>
    </row>
    <row r="15989" customFormat="false" ht="12.8" hidden="false" customHeight="false" outlineLevel="0" collapsed="false">
      <c r="A15989" s="0" t="s">
        <v>12</v>
      </c>
      <c r="B15989" s="0" t="n">
        <v>4951719</v>
      </c>
      <c r="C15989" s="0" t="n">
        <v>4951739</v>
      </c>
      <c r="D15989" s="0" t="s">
        <v>53145</v>
      </c>
      <c r="E15989" s="0" t="s">
        <v>53146</v>
      </c>
      <c r="F15989" s="0" t="s">
        <v>90</v>
      </c>
      <c r="G15989" s="0" t="s">
        <v>32</v>
      </c>
      <c r="H15989" s="0" t="n">
        <v>29</v>
      </c>
      <c r="I15989" s="0" t="s">
        <v>53147</v>
      </c>
      <c r="J15989" s="0" t="s">
        <v>53148</v>
      </c>
      <c r="K15989" s="0" t="s">
        <v>53149</v>
      </c>
      <c r="L15989" s="0" t="str">
        <f aca="false">HYPERLINK("https://www.ncbi.nlm.nih.gov/nuccore/CP000058.1?report=graph&amp;tracks=[key:gene_model_track,Options:GeneOnly]&amp;mk=4951720:4951739|offset_29|00cc00,4951679:4951698|offset_70|444444,4951595:4951614|offset_154|444444,4951568:4951587|offset_181|444444&amp;v=4951519:4951787&amp;c=444444", "offset 29")</f>
        <v>offset 29</v>
      </c>
    </row>
    <row r="15990" customFormat="false" ht="12.8" hidden="false" customHeight="false" outlineLevel="0" collapsed="false">
      <c r="A15990" s="0" t="s">
        <v>12</v>
      </c>
      <c r="B15990" s="0" t="n">
        <v>4951678</v>
      </c>
      <c r="C15990" s="0" t="n">
        <v>4951698</v>
      </c>
      <c r="D15990" s="0" t="s">
        <v>53145</v>
      </c>
      <c r="E15990" s="0" t="s">
        <v>53146</v>
      </c>
      <c r="F15990" s="0" t="s">
        <v>90</v>
      </c>
      <c r="G15990" s="0" t="s">
        <v>36</v>
      </c>
      <c r="H15990" s="0" t="n">
        <v>70</v>
      </c>
      <c r="I15990" s="0" t="s">
        <v>53150</v>
      </c>
      <c r="J15990" s="0" t="s">
        <v>53151</v>
      </c>
      <c r="K15990" s="0" t="s">
        <v>53152</v>
      </c>
      <c r="L15990" s="0" t="str">
        <f aca="false">HYPERLINK("https://www.ncbi.nlm.nih.gov/nuccore/CP000058.1?report=graph&amp;tracks=[key:gene_model_track,Options:GeneOnly]&amp;mk=4951720:4951739|offset_29|444444,4951679:4951698|offset_70|00cc00,4951595:4951614|offset_154|444444,4951568:4951587|offset_181|444444&amp;v=4951519:4951787&amp;c=444444", "offset 70")</f>
        <v>offset 70</v>
      </c>
    </row>
    <row r="15991" customFormat="false" ht="12.8" hidden="false" customHeight="false" outlineLevel="0" collapsed="false">
      <c r="A15991" s="0" t="s">
        <v>12</v>
      </c>
      <c r="B15991" s="0" t="n">
        <v>4951594</v>
      </c>
      <c r="C15991" s="0" t="n">
        <v>4951614</v>
      </c>
      <c r="D15991" s="0" t="s">
        <v>53145</v>
      </c>
      <c r="E15991" s="0" t="s">
        <v>53146</v>
      </c>
      <c r="F15991" s="0" t="s">
        <v>90</v>
      </c>
      <c r="G15991" s="0" t="s">
        <v>20</v>
      </c>
      <c r="H15991" s="0" t="n">
        <v>154</v>
      </c>
      <c r="I15991" s="0" t="s">
        <v>53153</v>
      </c>
      <c r="J15991" s="0" t="s">
        <v>53154</v>
      </c>
      <c r="K15991" s="0" t="s">
        <v>53155</v>
      </c>
      <c r="L15991" s="0" t="str">
        <f aca="false">HYPERLINK("https://www.ncbi.nlm.nih.gov/nuccore/CP000058.1?report=graph&amp;tracks=[key:gene_model_track,Options:GeneOnly]&amp;mk=4951720:4951739|offset_29|444444,4951679:4951698|offset_70|444444,4951595:4951614|offset_154|00cc00,4951568:4951587|offset_181|444444&amp;v=4951519:4951787&amp;c=444444", "offset 154")</f>
        <v>offset 154</v>
      </c>
    </row>
    <row r="15992" customFormat="false" ht="12.8" hidden="false" customHeight="false" outlineLevel="0" collapsed="false">
      <c r="A15992" s="0" t="s">
        <v>12</v>
      </c>
      <c r="B15992" s="0" t="n">
        <v>4951567</v>
      </c>
      <c r="C15992" s="0" t="n">
        <v>4951587</v>
      </c>
      <c r="D15992" s="0" t="s">
        <v>53145</v>
      </c>
      <c r="E15992" s="0" t="s">
        <v>53146</v>
      </c>
      <c r="F15992" s="0" t="s">
        <v>90</v>
      </c>
      <c r="G15992" s="0" t="s">
        <v>32</v>
      </c>
      <c r="H15992" s="0" t="n">
        <v>181</v>
      </c>
      <c r="I15992" s="0" t="s">
        <v>53156</v>
      </c>
      <c r="J15992" s="0" t="s">
        <v>53157</v>
      </c>
      <c r="K15992" s="0" t="s">
        <v>53158</v>
      </c>
      <c r="L15992" s="0" t="str">
        <f aca="false">HYPERLINK("https://www.ncbi.nlm.nih.gov/nuccore/CP000058.1?report=graph&amp;tracks=[key:gene_model_track,Options:GeneOnly]&amp;mk=4951720:4951739|offset_29|444444,4951679:4951698|offset_70|444444,4951595:4951614|offset_154|444444,4951568:4951587|offset_181|00cc00&amp;v=4951519:4951787&amp;c=444444", "offset 181")</f>
        <v>offset 181</v>
      </c>
    </row>
    <row r="15993" customFormat="false" ht="12.8" hidden="false" customHeight="false" outlineLevel="0" collapsed="false">
      <c r="A15993" s="0" t="s">
        <v>12</v>
      </c>
      <c r="B15993" s="0" t="n">
        <v>4952060</v>
      </c>
      <c r="C15993" s="0" t="n">
        <v>4952080</v>
      </c>
      <c r="D15993" s="0" t="s">
        <v>53159</v>
      </c>
      <c r="E15993" s="0" t="s">
        <v>75</v>
      </c>
      <c r="F15993" s="0" t="s">
        <v>15</v>
      </c>
      <c r="G15993" s="0" t="s">
        <v>16</v>
      </c>
      <c r="H15993" s="0" t="n">
        <v>7</v>
      </c>
      <c r="I15993" s="0" t="s">
        <v>53160</v>
      </c>
      <c r="J15993" s="0" t="s">
        <v>53161</v>
      </c>
      <c r="K15993" s="0" t="s">
        <v>53162</v>
      </c>
      <c r="L15993" s="0" t="str">
        <f aca="false">HYPERLINK("https://www.ncbi.nlm.nih.gov/nuccore/CP000058.1?report=graph&amp;tracks=[key:gene_model_track,Options:GeneOnly]&amp;mk=4952061:4952080|offset_7|00cc00,4952100:4952119|offset_46|444444,4952139:4952158|offset_85|444444,4952166:4952185|offset_112|444444&amp;v=4951860:4952385&amp;c=444444", "offset 7")</f>
        <v>offset 7</v>
      </c>
    </row>
    <row r="15994" customFormat="false" ht="12.8" hidden="false" customHeight="false" outlineLevel="0" collapsed="false">
      <c r="A15994" s="0" t="s">
        <v>12</v>
      </c>
      <c r="B15994" s="0" t="n">
        <v>4952099</v>
      </c>
      <c r="C15994" s="0" t="n">
        <v>4952119</v>
      </c>
      <c r="D15994" s="0" t="s">
        <v>53159</v>
      </c>
      <c r="E15994" s="0" t="s">
        <v>75</v>
      </c>
      <c r="F15994" s="0" t="s">
        <v>15</v>
      </c>
      <c r="G15994" s="0" t="s">
        <v>20</v>
      </c>
      <c r="H15994" s="0" t="n">
        <v>46</v>
      </c>
      <c r="I15994" s="0" t="s">
        <v>53163</v>
      </c>
      <c r="J15994" s="0" t="s">
        <v>53164</v>
      </c>
      <c r="K15994" s="0" t="s">
        <v>53165</v>
      </c>
      <c r="L15994" s="0" t="str">
        <f aca="false">HYPERLINK("https://www.ncbi.nlm.nih.gov/nuccore/CP000058.1?report=graph&amp;tracks=[key:gene_model_track,Options:GeneOnly]&amp;mk=4952061:4952080|offset_7|444444,4952100:4952119|offset_46|00cc00,4952139:4952158|offset_85|444444,4952166:4952185|offset_112|444444&amp;v=4951860:4952385&amp;c=444444", "offset 46")</f>
        <v>offset 46</v>
      </c>
    </row>
    <row r="15995" customFormat="false" ht="12.8" hidden="false" customHeight="false" outlineLevel="0" collapsed="false">
      <c r="A15995" s="0" t="s">
        <v>12</v>
      </c>
      <c r="B15995" s="0" t="n">
        <v>4952138</v>
      </c>
      <c r="C15995" s="0" t="n">
        <v>4952158</v>
      </c>
      <c r="D15995" s="0" t="s">
        <v>53159</v>
      </c>
      <c r="E15995" s="0" t="s">
        <v>75</v>
      </c>
      <c r="F15995" s="0" t="s">
        <v>15</v>
      </c>
      <c r="G15995" s="0" t="s">
        <v>20</v>
      </c>
      <c r="H15995" s="0" t="n">
        <v>85</v>
      </c>
      <c r="I15995" s="0" t="s">
        <v>53166</v>
      </c>
      <c r="J15995" s="0" t="s">
        <v>53167</v>
      </c>
      <c r="K15995" s="0" t="s">
        <v>53168</v>
      </c>
      <c r="L15995" s="0" t="str">
        <f aca="false">HYPERLINK("https://www.ncbi.nlm.nih.gov/nuccore/CP000058.1?report=graph&amp;tracks=[key:gene_model_track,Options:GeneOnly]&amp;mk=4952061:4952080|offset_7|444444,4952100:4952119|offset_46|444444,4952139:4952158|offset_85|00cc00,4952166:4952185|offset_112|444444&amp;v=4951860:4952385&amp;c=444444", "offset 85")</f>
        <v>offset 85</v>
      </c>
    </row>
    <row r="15996" customFormat="false" ht="12.8" hidden="false" customHeight="false" outlineLevel="0" collapsed="false">
      <c r="A15996" s="0" t="s">
        <v>12</v>
      </c>
      <c r="B15996" s="0" t="n">
        <v>4952165</v>
      </c>
      <c r="C15996" s="0" t="n">
        <v>4952185</v>
      </c>
      <c r="D15996" s="0" t="s">
        <v>53159</v>
      </c>
      <c r="E15996" s="0" t="s">
        <v>75</v>
      </c>
      <c r="F15996" s="0" t="s">
        <v>15</v>
      </c>
      <c r="G15996" s="0" t="s">
        <v>36</v>
      </c>
      <c r="H15996" s="0" t="n">
        <v>112</v>
      </c>
      <c r="I15996" s="0" t="s">
        <v>53169</v>
      </c>
      <c r="J15996" s="0" t="s">
        <v>53170</v>
      </c>
      <c r="K15996" s="0" t="s">
        <v>53171</v>
      </c>
      <c r="L15996" s="0" t="str">
        <f aca="false">HYPERLINK("https://www.ncbi.nlm.nih.gov/nuccore/CP000058.1?report=graph&amp;tracks=[key:gene_model_track,Options:GeneOnly]&amp;mk=4952061:4952080|offset_7|444444,4952100:4952119|offset_46|444444,4952139:4952158|offset_85|444444,4952166:4952185|offset_112|00cc00&amp;v=4951860:4952385&amp;c=444444", "offset 112")</f>
        <v>offset 112</v>
      </c>
    </row>
    <row r="15997" customFormat="false" ht="12.8" hidden="false" customHeight="false" outlineLevel="0" collapsed="false">
      <c r="A15997" s="0" t="s">
        <v>12</v>
      </c>
      <c r="B15997" s="0" t="n">
        <v>4953783</v>
      </c>
      <c r="C15997" s="0" t="n">
        <v>4953803</v>
      </c>
      <c r="D15997" s="0" t="s">
        <v>53172</v>
      </c>
      <c r="E15997" s="0" t="s">
        <v>53173</v>
      </c>
      <c r="F15997" s="0" t="s">
        <v>90</v>
      </c>
      <c r="G15997" s="0" t="s">
        <v>32</v>
      </c>
      <c r="H15997" s="0" t="n">
        <v>7</v>
      </c>
      <c r="I15997" s="0" t="s">
        <v>53174</v>
      </c>
      <c r="J15997" s="0" t="s">
        <v>53175</v>
      </c>
      <c r="K15997" s="0" t="s">
        <v>53176</v>
      </c>
      <c r="L15997" s="0" t="str">
        <f aca="false">HYPERLINK("https://www.ncbi.nlm.nih.gov/nuccore/CP000058.1?report=graph&amp;tracks=[key:gene_model_track,Options:GeneOnly]&amp;mk=4953784:4953803|offset_7|00cc00,4953757:4953776|offset_34|444444,4953737:4953756|offset_54|444444,4953703:4953722|offset_88|444444&amp;v=4953583:4953922&amp;c=444444", "offset 7")</f>
        <v>offset 7</v>
      </c>
    </row>
    <row r="15998" customFormat="false" ht="12.8" hidden="false" customHeight="false" outlineLevel="0" collapsed="false">
      <c r="A15998" s="0" t="s">
        <v>12</v>
      </c>
      <c r="B15998" s="0" t="n">
        <v>4953756</v>
      </c>
      <c r="C15998" s="0" t="n">
        <v>4953776</v>
      </c>
      <c r="D15998" s="0" t="s">
        <v>53172</v>
      </c>
      <c r="E15998" s="0" t="s">
        <v>53173</v>
      </c>
      <c r="F15998" s="0" t="s">
        <v>90</v>
      </c>
      <c r="G15998" s="0" t="s">
        <v>16</v>
      </c>
      <c r="H15998" s="0" t="n">
        <v>34</v>
      </c>
      <c r="I15998" s="0" t="s">
        <v>53177</v>
      </c>
      <c r="J15998" s="0" t="s">
        <v>53178</v>
      </c>
      <c r="K15998" s="0" t="s">
        <v>53179</v>
      </c>
      <c r="L15998" s="0" t="str">
        <f aca="false">HYPERLINK("https://www.ncbi.nlm.nih.gov/nuccore/CP000058.1?report=graph&amp;tracks=[key:gene_model_track,Options:GeneOnly]&amp;mk=4953784:4953803|offset_7|444444,4953757:4953776|offset_34|00cc00,4953737:4953756|offset_54|444444,4953703:4953722|offset_88|444444&amp;v=4953583:4953922&amp;c=444444", "offset 34")</f>
        <v>offset 34</v>
      </c>
    </row>
    <row r="15999" customFormat="false" ht="12.8" hidden="false" customHeight="false" outlineLevel="0" collapsed="false">
      <c r="A15999" s="0" t="s">
        <v>12</v>
      </c>
      <c r="B15999" s="0" t="n">
        <v>4953736</v>
      </c>
      <c r="C15999" s="0" t="n">
        <v>4953756</v>
      </c>
      <c r="D15999" s="0" t="s">
        <v>53172</v>
      </c>
      <c r="E15999" s="0" t="s">
        <v>53173</v>
      </c>
      <c r="F15999" s="0" t="s">
        <v>90</v>
      </c>
      <c r="G15999" s="0" t="s">
        <v>36</v>
      </c>
      <c r="H15999" s="0" t="n">
        <v>54</v>
      </c>
      <c r="I15999" s="0" t="s">
        <v>53180</v>
      </c>
      <c r="J15999" s="0" t="s">
        <v>53181</v>
      </c>
      <c r="K15999" s="0" t="s">
        <v>53182</v>
      </c>
      <c r="L15999" s="0" t="str">
        <f aca="false">HYPERLINK("https://www.ncbi.nlm.nih.gov/nuccore/CP000058.1?report=graph&amp;tracks=[key:gene_model_track,Options:GeneOnly]&amp;mk=4953784:4953803|offset_7|444444,4953757:4953776|offset_34|444444,4953737:4953756|offset_54|00cc00,4953703:4953722|offset_88|444444&amp;v=4953583:4953922&amp;c=444444", "offset 54")</f>
        <v>offset 54</v>
      </c>
    </row>
    <row r="16000" customFormat="false" ht="12.8" hidden="false" customHeight="false" outlineLevel="0" collapsed="false">
      <c r="A16000" s="0" t="s">
        <v>12</v>
      </c>
      <c r="B16000" s="0" t="n">
        <v>4953702</v>
      </c>
      <c r="C16000" s="0" t="n">
        <v>4953722</v>
      </c>
      <c r="D16000" s="0" t="s">
        <v>53172</v>
      </c>
      <c r="E16000" s="0" t="s">
        <v>53173</v>
      </c>
      <c r="F16000" s="0" t="s">
        <v>90</v>
      </c>
      <c r="G16000" s="0" t="s">
        <v>20</v>
      </c>
      <c r="H16000" s="0" t="n">
        <v>88</v>
      </c>
      <c r="I16000" s="0" t="s">
        <v>53183</v>
      </c>
      <c r="J16000" s="0" t="s">
        <v>53184</v>
      </c>
      <c r="K16000" s="0" t="s">
        <v>53185</v>
      </c>
      <c r="L16000" s="0" t="str">
        <f aca="false">HYPERLINK("https://www.ncbi.nlm.nih.gov/nuccore/CP000058.1?report=graph&amp;tracks=[key:gene_model_track,Options:GeneOnly]&amp;mk=4953784:4953803|offset_7|444444,4953757:4953776|offset_34|444444,4953737:4953756|offset_54|444444,4953703:4953722|offset_88|00cc00&amp;v=4953583:4953922&amp;c=444444", "offset 88")</f>
        <v>offset 88</v>
      </c>
    </row>
    <row r="16001" customFormat="false" ht="12.8" hidden="false" customHeight="false" outlineLevel="0" collapsed="false">
      <c r="A16001" s="0" t="s">
        <v>12</v>
      </c>
      <c r="B16001" s="0" t="n">
        <v>4954004</v>
      </c>
      <c r="C16001" s="0" t="n">
        <v>4954024</v>
      </c>
      <c r="D16001" s="0" t="s">
        <v>53186</v>
      </c>
      <c r="E16001" s="0" t="s">
        <v>53187</v>
      </c>
      <c r="F16001" s="0" t="s">
        <v>15</v>
      </c>
      <c r="G16001" s="0" t="s">
        <v>36</v>
      </c>
      <c r="H16001" s="0" t="n">
        <v>0</v>
      </c>
      <c r="I16001" s="0" t="s">
        <v>53188</v>
      </c>
      <c r="J16001" s="0" t="s">
        <v>53189</v>
      </c>
      <c r="K16001" s="0" t="s">
        <v>53190</v>
      </c>
      <c r="L16001" s="0" t="str">
        <f aca="false">HYPERLINK("https://www.ncbi.nlm.nih.gov/nuccore/CP000058.1?report=graph&amp;tracks=[key:gene_model_track,Options:GeneOnly]&amp;mk=4954005:4954024|offset_0|00cc00,4954033:4954052|offset_28|444444,4954066:4954085|offset_61|444444,4954134:4954153|offset_129|444444&amp;v=4953804:4954353&amp;c=444444", "offset 0")</f>
        <v>offset 0</v>
      </c>
    </row>
    <row r="16002" customFormat="false" ht="12.8" hidden="false" customHeight="false" outlineLevel="0" collapsed="false">
      <c r="A16002" s="0" t="s">
        <v>12</v>
      </c>
      <c r="B16002" s="0" t="n">
        <v>4954032</v>
      </c>
      <c r="C16002" s="0" t="n">
        <v>4954052</v>
      </c>
      <c r="D16002" s="0" t="s">
        <v>53186</v>
      </c>
      <c r="E16002" s="0" t="s">
        <v>53187</v>
      </c>
      <c r="F16002" s="0" t="s">
        <v>15</v>
      </c>
      <c r="G16002" s="0" t="s">
        <v>20</v>
      </c>
      <c r="H16002" s="0" t="n">
        <v>28</v>
      </c>
      <c r="I16002" s="0" t="s">
        <v>53191</v>
      </c>
      <c r="J16002" s="0" t="s">
        <v>53192</v>
      </c>
      <c r="K16002" s="0" t="s">
        <v>53193</v>
      </c>
      <c r="L16002" s="0" t="str">
        <f aca="false">HYPERLINK("https://www.ncbi.nlm.nih.gov/nuccore/CP000058.1?report=graph&amp;tracks=[key:gene_model_track,Options:GeneOnly]&amp;mk=4954005:4954024|offset_0|444444,4954033:4954052|offset_28|00cc00,4954066:4954085|offset_61|444444,4954134:4954153|offset_129|444444&amp;v=4953804:4954353&amp;c=444444", "offset 28")</f>
        <v>offset 28</v>
      </c>
    </row>
    <row r="16003" customFormat="false" ht="12.8" hidden="false" customHeight="false" outlineLevel="0" collapsed="false">
      <c r="A16003" s="0" t="s">
        <v>12</v>
      </c>
      <c r="B16003" s="0" t="n">
        <v>4954065</v>
      </c>
      <c r="C16003" s="0" t="n">
        <v>4954085</v>
      </c>
      <c r="D16003" s="0" t="s">
        <v>53186</v>
      </c>
      <c r="E16003" s="0" t="s">
        <v>53187</v>
      </c>
      <c r="F16003" s="0" t="s">
        <v>15</v>
      </c>
      <c r="G16003" s="0" t="s">
        <v>16</v>
      </c>
      <c r="H16003" s="0" t="n">
        <v>61</v>
      </c>
      <c r="I16003" s="0" t="s">
        <v>53194</v>
      </c>
      <c r="J16003" s="0" t="s">
        <v>53195</v>
      </c>
      <c r="K16003" s="0" t="s">
        <v>53196</v>
      </c>
      <c r="L16003" s="0" t="str">
        <f aca="false">HYPERLINK("https://www.ncbi.nlm.nih.gov/nuccore/CP000058.1?report=graph&amp;tracks=[key:gene_model_track,Options:GeneOnly]&amp;mk=4954005:4954024|offset_0|444444,4954033:4954052|offset_28|444444,4954066:4954085|offset_61|00cc00,4954134:4954153|offset_129|444444&amp;v=4953804:4954353&amp;c=444444", "offset 61")</f>
        <v>offset 61</v>
      </c>
    </row>
    <row r="16004" customFormat="false" ht="12.8" hidden="false" customHeight="false" outlineLevel="0" collapsed="false">
      <c r="A16004" s="0" t="s">
        <v>12</v>
      </c>
      <c r="B16004" s="0" t="n">
        <v>4954133</v>
      </c>
      <c r="C16004" s="0" t="n">
        <v>4954153</v>
      </c>
      <c r="D16004" s="0" t="s">
        <v>53186</v>
      </c>
      <c r="E16004" s="0" t="s">
        <v>53187</v>
      </c>
      <c r="F16004" s="0" t="s">
        <v>15</v>
      </c>
      <c r="G16004" s="0" t="s">
        <v>32</v>
      </c>
      <c r="H16004" s="0" t="n">
        <v>129</v>
      </c>
      <c r="I16004" s="0" t="s">
        <v>53197</v>
      </c>
      <c r="J16004" s="0" t="s">
        <v>53198</v>
      </c>
      <c r="K16004" s="0" t="s">
        <v>53199</v>
      </c>
      <c r="L16004" s="0" t="str">
        <f aca="false">HYPERLINK("https://www.ncbi.nlm.nih.gov/nuccore/CP000058.1?report=graph&amp;tracks=[key:gene_model_track,Options:GeneOnly]&amp;mk=4954005:4954024|offset_0|444444,4954033:4954052|offset_28|444444,4954066:4954085|offset_61|444444,4954134:4954153|offset_129|00cc00&amp;v=4953804:4954353&amp;c=444444", "offset 129")</f>
        <v>offset 129</v>
      </c>
    </row>
    <row r="16005" customFormat="false" ht="12.8" hidden="false" customHeight="false" outlineLevel="0" collapsed="false">
      <c r="A16005" s="0" t="s">
        <v>12</v>
      </c>
      <c r="B16005" s="0" t="n">
        <v>4955624</v>
      </c>
      <c r="C16005" s="0" t="n">
        <v>4955644</v>
      </c>
      <c r="D16005" s="0" t="s">
        <v>53200</v>
      </c>
      <c r="E16005" s="0" t="s">
        <v>53201</v>
      </c>
      <c r="F16005" s="0" t="s">
        <v>90</v>
      </c>
      <c r="G16005" s="0" t="s">
        <v>32</v>
      </c>
      <c r="H16005" s="0" t="n">
        <v>1</v>
      </c>
      <c r="I16005" s="0" t="s">
        <v>53202</v>
      </c>
      <c r="J16005" s="0" t="s">
        <v>53203</v>
      </c>
      <c r="K16005" s="0" t="s">
        <v>53204</v>
      </c>
      <c r="L16005" s="0" t="str">
        <f aca="false">HYPERLINK("https://www.ncbi.nlm.nih.gov/nuccore/CP000058.1?report=graph&amp;tracks=[key:gene_model_track,Options:GeneOnly]&amp;mk=4955625:4955644|offset_1|00cc00,4955598:4955617|offset_28|444444,4955572:4955591|offset_54|444444,4955550:4955569|offset_76|444444&amp;v=4955424:4955769&amp;c=444444", "offset 1")</f>
        <v>offset 1</v>
      </c>
    </row>
    <row r="16006" customFormat="false" ht="12.8" hidden="false" customHeight="false" outlineLevel="0" collapsed="false">
      <c r="A16006" s="0" t="s">
        <v>12</v>
      </c>
      <c r="B16006" s="0" t="n">
        <v>4955597</v>
      </c>
      <c r="C16006" s="0" t="n">
        <v>4955617</v>
      </c>
      <c r="D16006" s="0" t="s">
        <v>53200</v>
      </c>
      <c r="E16006" s="0" t="s">
        <v>53201</v>
      </c>
      <c r="F16006" s="0" t="s">
        <v>90</v>
      </c>
      <c r="G16006" s="0" t="s">
        <v>36</v>
      </c>
      <c r="H16006" s="0" t="n">
        <v>28</v>
      </c>
      <c r="I16006" s="0" t="s">
        <v>53205</v>
      </c>
      <c r="J16006" s="0" t="s">
        <v>53206</v>
      </c>
      <c r="K16006" s="0" t="s">
        <v>53207</v>
      </c>
      <c r="L16006" s="0" t="str">
        <f aca="false">HYPERLINK("https://www.ncbi.nlm.nih.gov/nuccore/CP000058.1?report=graph&amp;tracks=[key:gene_model_track,Options:GeneOnly]&amp;mk=4955625:4955644|offset_1|444444,4955598:4955617|offset_28|00cc00,4955572:4955591|offset_54|444444,4955550:4955569|offset_76|444444&amp;v=4955424:4955769&amp;c=444444", "offset 28")</f>
        <v>offset 28</v>
      </c>
    </row>
    <row r="16007" customFormat="false" ht="12.8" hidden="false" customHeight="false" outlineLevel="0" collapsed="false">
      <c r="A16007" s="0" t="s">
        <v>12</v>
      </c>
      <c r="B16007" s="0" t="n">
        <v>4955571</v>
      </c>
      <c r="C16007" s="0" t="n">
        <v>4955591</v>
      </c>
      <c r="D16007" s="0" t="s">
        <v>53200</v>
      </c>
      <c r="E16007" s="0" t="s">
        <v>53201</v>
      </c>
      <c r="F16007" s="0" t="s">
        <v>90</v>
      </c>
      <c r="G16007" s="0" t="s">
        <v>16</v>
      </c>
      <c r="H16007" s="0" t="n">
        <v>54</v>
      </c>
      <c r="I16007" s="0" t="s">
        <v>53208</v>
      </c>
      <c r="J16007" s="0" t="s">
        <v>53209</v>
      </c>
      <c r="K16007" s="0" t="s">
        <v>53210</v>
      </c>
      <c r="L16007" s="0" t="str">
        <f aca="false">HYPERLINK("https://www.ncbi.nlm.nih.gov/nuccore/CP000058.1?report=graph&amp;tracks=[key:gene_model_track,Options:GeneOnly]&amp;mk=4955625:4955644|offset_1|444444,4955598:4955617|offset_28|444444,4955572:4955591|offset_54|00cc00,4955550:4955569|offset_76|444444&amp;v=4955424:4955769&amp;c=444444", "offset 54")</f>
        <v>offset 54</v>
      </c>
    </row>
    <row r="16008" customFormat="false" ht="12.8" hidden="false" customHeight="false" outlineLevel="0" collapsed="false">
      <c r="A16008" s="0" t="s">
        <v>12</v>
      </c>
      <c r="B16008" s="0" t="n">
        <v>4955549</v>
      </c>
      <c r="C16008" s="0" t="n">
        <v>4955569</v>
      </c>
      <c r="D16008" s="0" t="s">
        <v>53200</v>
      </c>
      <c r="E16008" s="0" t="s">
        <v>53201</v>
      </c>
      <c r="F16008" s="0" t="s">
        <v>90</v>
      </c>
      <c r="G16008" s="0" t="s">
        <v>36</v>
      </c>
      <c r="H16008" s="0" t="n">
        <v>76</v>
      </c>
      <c r="I16008" s="0" t="s">
        <v>53211</v>
      </c>
      <c r="J16008" s="0" t="s">
        <v>53212</v>
      </c>
      <c r="K16008" s="0" t="s">
        <v>53213</v>
      </c>
      <c r="L16008" s="0" t="str">
        <f aca="false">HYPERLINK("https://www.ncbi.nlm.nih.gov/nuccore/CP000058.1?report=graph&amp;tracks=[key:gene_model_track,Options:GeneOnly]&amp;mk=4955625:4955644|offset_1|444444,4955598:4955617|offset_28|444444,4955572:4955591|offset_54|444444,4955550:4955569|offset_76|00cc00&amp;v=4955424:4955769&amp;c=444444", "offset 76")</f>
        <v>offset 76</v>
      </c>
    </row>
    <row r="16009" customFormat="false" ht="12.8" hidden="false" customHeight="false" outlineLevel="0" collapsed="false">
      <c r="A16009" s="0" t="s">
        <v>12</v>
      </c>
      <c r="B16009" s="0" t="n">
        <v>4957489</v>
      </c>
      <c r="C16009" s="0" t="n">
        <v>4957509</v>
      </c>
      <c r="D16009" s="0" t="s">
        <v>53214</v>
      </c>
      <c r="E16009" s="0" t="s">
        <v>75</v>
      </c>
      <c r="F16009" s="0" t="s">
        <v>15</v>
      </c>
      <c r="G16009" s="0" t="s">
        <v>20</v>
      </c>
      <c r="H16009" s="0" t="n">
        <v>14</v>
      </c>
      <c r="I16009" s="0" t="s">
        <v>53215</v>
      </c>
      <c r="J16009" s="0" t="s">
        <v>53216</v>
      </c>
      <c r="K16009" s="0" t="s">
        <v>53217</v>
      </c>
      <c r="L16009" s="0" t="str">
        <f aca="false">HYPERLINK("https://www.ncbi.nlm.nih.gov/nuccore/CP000058.1?report=graph&amp;tracks=[key:gene_model_track,Options:GeneOnly]&amp;mk=4957490:4957509|offset_14|00cc00,4957522:4957541|offset_46|444444,4957567:4957586|offset_91|444444&amp;v=4957289:4957786&amp;c=444444", "offset 14")</f>
        <v>offset 14</v>
      </c>
    </row>
    <row r="16010" customFormat="false" ht="12.8" hidden="false" customHeight="false" outlineLevel="0" collapsed="false">
      <c r="A16010" s="0" t="s">
        <v>12</v>
      </c>
      <c r="B16010" s="0" t="n">
        <v>4957521</v>
      </c>
      <c r="C16010" s="0" t="n">
        <v>4957541</v>
      </c>
      <c r="D16010" s="0" t="s">
        <v>53214</v>
      </c>
      <c r="E16010" s="0" t="s">
        <v>75</v>
      </c>
      <c r="F16010" s="0" t="s">
        <v>15</v>
      </c>
      <c r="G16010" s="0" t="s">
        <v>32</v>
      </c>
      <c r="H16010" s="0" t="n">
        <v>46</v>
      </c>
      <c r="I16010" s="0" t="s">
        <v>53218</v>
      </c>
      <c r="J16010" s="0" t="s">
        <v>53219</v>
      </c>
      <c r="K16010" s="0" t="s">
        <v>53220</v>
      </c>
      <c r="L16010" s="0" t="str">
        <f aca="false">HYPERLINK("https://www.ncbi.nlm.nih.gov/nuccore/CP000058.1?report=graph&amp;tracks=[key:gene_model_track,Options:GeneOnly]&amp;mk=4957490:4957509|offset_14|444444,4957522:4957541|offset_46|00cc00,4957567:4957586|offset_91|444444&amp;v=4957289:4957786&amp;c=444444", "offset 46")</f>
        <v>offset 46</v>
      </c>
    </row>
    <row r="16011" customFormat="false" ht="12.8" hidden="false" customHeight="false" outlineLevel="0" collapsed="false">
      <c r="A16011" s="0" t="s">
        <v>12</v>
      </c>
      <c r="B16011" s="0" t="n">
        <v>4957566</v>
      </c>
      <c r="C16011" s="0" t="n">
        <v>4957586</v>
      </c>
      <c r="D16011" s="0" t="s">
        <v>53214</v>
      </c>
      <c r="E16011" s="0" t="s">
        <v>75</v>
      </c>
      <c r="F16011" s="0" t="s">
        <v>15</v>
      </c>
      <c r="G16011" s="0" t="s">
        <v>16</v>
      </c>
      <c r="H16011" s="0" t="n">
        <v>91</v>
      </c>
      <c r="I16011" s="0" t="s">
        <v>53221</v>
      </c>
      <c r="J16011" s="0" t="s">
        <v>53222</v>
      </c>
      <c r="K16011" s="0" t="s">
        <v>53223</v>
      </c>
      <c r="L16011" s="0" t="str">
        <f aca="false">HYPERLINK("https://www.ncbi.nlm.nih.gov/nuccore/CP000058.1?report=graph&amp;tracks=[key:gene_model_track,Options:GeneOnly]&amp;mk=4957490:4957509|offset_14|444444,4957522:4957541|offset_46|444444,4957567:4957586|offset_91|00cc00&amp;v=4957289:4957786&amp;c=444444", "offset 91")</f>
        <v>offset 91</v>
      </c>
    </row>
    <row r="16012" customFormat="false" ht="12.8" hidden="false" customHeight="false" outlineLevel="0" collapsed="false">
      <c r="A16012" s="0" t="s">
        <v>12</v>
      </c>
      <c r="B16012" s="0" t="n">
        <v>4957794</v>
      </c>
      <c r="C16012" s="0" t="n">
        <v>4957814</v>
      </c>
      <c r="D16012" s="0" t="s">
        <v>53224</v>
      </c>
      <c r="E16012" s="0" t="s">
        <v>75</v>
      </c>
      <c r="F16012" s="0" t="s">
        <v>15</v>
      </c>
      <c r="G16012" s="0" t="s">
        <v>16</v>
      </c>
      <c r="H16012" s="0" t="n">
        <v>0</v>
      </c>
      <c r="I16012" s="0" t="s">
        <v>53225</v>
      </c>
      <c r="J16012" s="0" t="s">
        <v>53226</v>
      </c>
      <c r="K16012" s="0" t="s">
        <v>53227</v>
      </c>
      <c r="L16012" s="0" t="str">
        <f aca="false">HYPERLINK("https://www.ncbi.nlm.nih.gov/nuccore/CP000058.1?report=graph&amp;tracks=[key:gene_model_track,Options:GeneOnly]&amp;mk=4957795:4957814|offset_0|00cc00,4957827:4957846|offset_32|444444,4957850:4957869|offset_55|444444,4957910:4957929|offset_115|444444&amp;v=4957594:4958129&amp;c=444444", "offset 0")</f>
        <v>offset 0</v>
      </c>
    </row>
    <row r="16013" customFormat="false" ht="12.8" hidden="false" customHeight="false" outlineLevel="0" collapsed="false">
      <c r="A16013" s="0" t="s">
        <v>12</v>
      </c>
      <c r="B16013" s="0" t="n">
        <v>4957826</v>
      </c>
      <c r="C16013" s="0" t="n">
        <v>4957846</v>
      </c>
      <c r="D16013" s="0" t="s">
        <v>53224</v>
      </c>
      <c r="E16013" s="0" t="s">
        <v>75</v>
      </c>
      <c r="F16013" s="0" t="s">
        <v>15</v>
      </c>
      <c r="G16013" s="0" t="s">
        <v>20</v>
      </c>
      <c r="H16013" s="0" t="n">
        <v>32</v>
      </c>
      <c r="I16013" s="0" t="s">
        <v>53228</v>
      </c>
      <c r="J16013" s="0" t="s">
        <v>53229</v>
      </c>
      <c r="K16013" s="0" t="s">
        <v>53230</v>
      </c>
      <c r="L16013" s="0" t="str">
        <f aca="false">HYPERLINK("https://www.ncbi.nlm.nih.gov/nuccore/CP000058.1?report=graph&amp;tracks=[key:gene_model_track,Options:GeneOnly]&amp;mk=4957795:4957814|offset_0|444444,4957827:4957846|offset_32|00cc00,4957850:4957869|offset_55|444444,4957910:4957929|offset_115|444444&amp;v=4957594:4958129&amp;c=444444", "offset 32")</f>
        <v>offset 32</v>
      </c>
    </row>
    <row r="16014" customFormat="false" ht="12.8" hidden="false" customHeight="false" outlineLevel="0" collapsed="false">
      <c r="A16014" s="0" t="s">
        <v>12</v>
      </c>
      <c r="B16014" s="0" t="n">
        <v>4957849</v>
      </c>
      <c r="C16014" s="0" t="n">
        <v>4957869</v>
      </c>
      <c r="D16014" s="0" t="s">
        <v>53224</v>
      </c>
      <c r="E16014" s="0" t="s">
        <v>75</v>
      </c>
      <c r="F16014" s="0" t="s">
        <v>15</v>
      </c>
      <c r="G16014" s="0" t="s">
        <v>16</v>
      </c>
      <c r="H16014" s="0" t="n">
        <v>55</v>
      </c>
      <c r="I16014" s="0" t="s">
        <v>53231</v>
      </c>
      <c r="J16014" s="0" t="s">
        <v>53232</v>
      </c>
      <c r="K16014" s="0" t="s">
        <v>53233</v>
      </c>
      <c r="L16014" s="0" t="str">
        <f aca="false">HYPERLINK("https://www.ncbi.nlm.nih.gov/nuccore/CP000058.1?report=graph&amp;tracks=[key:gene_model_track,Options:GeneOnly]&amp;mk=4957795:4957814|offset_0|444444,4957827:4957846|offset_32|444444,4957850:4957869|offset_55|00cc00,4957910:4957929|offset_115|444444&amp;v=4957594:4958129&amp;c=444444", "offset 55")</f>
        <v>offset 55</v>
      </c>
    </row>
    <row r="16015" customFormat="false" ht="12.8" hidden="false" customHeight="false" outlineLevel="0" collapsed="false">
      <c r="A16015" s="0" t="s">
        <v>12</v>
      </c>
      <c r="B16015" s="0" t="n">
        <v>4957909</v>
      </c>
      <c r="C16015" s="0" t="n">
        <v>4957929</v>
      </c>
      <c r="D16015" s="0" t="s">
        <v>53224</v>
      </c>
      <c r="E16015" s="0" t="s">
        <v>75</v>
      </c>
      <c r="F16015" s="0" t="s">
        <v>15</v>
      </c>
      <c r="G16015" s="0" t="s">
        <v>32</v>
      </c>
      <c r="H16015" s="0" t="n">
        <v>115</v>
      </c>
      <c r="I16015" s="0" t="s">
        <v>53234</v>
      </c>
      <c r="J16015" s="0" t="s">
        <v>53235</v>
      </c>
      <c r="K16015" s="0" t="s">
        <v>53236</v>
      </c>
      <c r="L16015" s="0" t="str">
        <f aca="false">HYPERLINK("https://www.ncbi.nlm.nih.gov/nuccore/CP000058.1?report=graph&amp;tracks=[key:gene_model_track,Options:GeneOnly]&amp;mk=4957795:4957814|offset_0|444444,4957827:4957846|offset_32|444444,4957850:4957869|offset_55|444444,4957910:4957929|offset_115|00cc00&amp;v=4957594:4958129&amp;c=444444", "offset 115")</f>
        <v>offset 115</v>
      </c>
    </row>
    <row r="16016" customFormat="false" ht="12.8" hidden="false" customHeight="false" outlineLevel="0" collapsed="false">
      <c r="A16016" s="0" t="s">
        <v>12</v>
      </c>
      <c r="B16016" s="0" t="n">
        <v>4959054</v>
      </c>
      <c r="C16016" s="0" t="n">
        <v>4959074</v>
      </c>
      <c r="D16016" s="0" t="s">
        <v>53237</v>
      </c>
      <c r="E16016" s="0" t="s">
        <v>75</v>
      </c>
      <c r="F16016" s="0" t="s">
        <v>90</v>
      </c>
      <c r="G16016" s="0" t="s">
        <v>20</v>
      </c>
      <c r="H16016" s="0" t="n">
        <v>30</v>
      </c>
      <c r="I16016" s="0" t="s">
        <v>53238</v>
      </c>
      <c r="J16016" s="0" t="s">
        <v>53239</v>
      </c>
      <c r="K16016" s="0" t="s">
        <v>53240</v>
      </c>
      <c r="L16016" s="0" t="str">
        <f aca="false">HYPERLINK("https://www.ncbi.nlm.nih.gov/nuccore/CP000058.1?report=graph&amp;tracks=[key:gene_model_track,Options:GeneOnly]&amp;mk=4959055:4959074|offset_30|00cc00,4959034:4959053|offset_51|444444,4958964:4958983|offset_121|444444&amp;v=4958854:4959183&amp;c=444444", "offset 30")</f>
        <v>offset 30</v>
      </c>
    </row>
    <row r="16017" customFormat="false" ht="12.8" hidden="false" customHeight="false" outlineLevel="0" collapsed="false">
      <c r="A16017" s="0" t="s">
        <v>12</v>
      </c>
      <c r="B16017" s="0" t="n">
        <v>4959033</v>
      </c>
      <c r="C16017" s="0" t="n">
        <v>4959053</v>
      </c>
      <c r="D16017" s="0" t="s">
        <v>53237</v>
      </c>
      <c r="E16017" s="0" t="s">
        <v>75</v>
      </c>
      <c r="F16017" s="0" t="s">
        <v>90</v>
      </c>
      <c r="G16017" s="0" t="s">
        <v>16</v>
      </c>
      <c r="H16017" s="0" t="n">
        <v>51</v>
      </c>
      <c r="I16017" s="0" t="s">
        <v>53241</v>
      </c>
      <c r="J16017" s="0" t="s">
        <v>53242</v>
      </c>
      <c r="K16017" s="0" t="s">
        <v>53243</v>
      </c>
      <c r="L16017" s="0" t="str">
        <f aca="false">HYPERLINK("https://www.ncbi.nlm.nih.gov/nuccore/CP000058.1?report=graph&amp;tracks=[key:gene_model_track,Options:GeneOnly]&amp;mk=4959055:4959074|offset_30|444444,4959034:4959053|offset_51|00cc00,4958964:4958983|offset_121|444444&amp;v=4958854:4959183&amp;c=444444", "offset 51")</f>
        <v>offset 51</v>
      </c>
    </row>
    <row r="16018" customFormat="false" ht="12.8" hidden="false" customHeight="false" outlineLevel="0" collapsed="false">
      <c r="A16018" s="0" t="s">
        <v>12</v>
      </c>
      <c r="B16018" s="0" t="n">
        <v>4958963</v>
      </c>
      <c r="C16018" s="0" t="n">
        <v>4958983</v>
      </c>
      <c r="D16018" s="0" t="s">
        <v>53237</v>
      </c>
      <c r="E16018" s="0" t="s">
        <v>75</v>
      </c>
      <c r="F16018" s="0" t="s">
        <v>90</v>
      </c>
      <c r="G16018" s="0" t="s">
        <v>32</v>
      </c>
      <c r="H16018" s="0" t="n">
        <v>121</v>
      </c>
      <c r="I16018" s="0" t="s">
        <v>53244</v>
      </c>
      <c r="J16018" s="0" t="s">
        <v>53245</v>
      </c>
      <c r="K16018" s="0" t="s">
        <v>53246</v>
      </c>
      <c r="L16018" s="0" t="str">
        <f aca="false">HYPERLINK("https://www.ncbi.nlm.nih.gov/nuccore/CP000058.1?report=graph&amp;tracks=[key:gene_model_track,Options:GeneOnly]&amp;mk=4959055:4959074|offset_30|444444,4959034:4959053|offset_51|444444,4958964:4958983|offset_121|00cc00&amp;v=4958854:4959183&amp;c=444444", "offset 121")</f>
        <v>offset 121</v>
      </c>
    </row>
    <row r="16019" customFormat="false" ht="12.8" hidden="false" customHeight="false" outlineLevel="0" collapsed="false">
      <c r="A16019" s="0" t="s">
        <v>12</v>
      </c>
      <c r="B16019" s="0" t="n">
        <v>4960112</v>
      </c>
      <c r="C16019" s="0" t="n">
        <v>4960132</v>
      </c>
      <c r="D16019" s="0" t="s">
        <v>53247</v>
      </c>
      <c r="E16019" s="0" t="s">
        <v>53248</v>
      </c>
      <c r="F16019" s="0" t="s">
        <v>90</v>
      </c>
      <c r="G16019" s="0" t="s">
        <v>32</v>
      </c>
      <c r="H16019" s="0" t="n">
        <v>1</v>
      </c>
      <c r="I16019" s="0" t="s">
        <v>53249</v>
      </c>
      <c r="J16019" s="0" t="s">
        <v>53250</v>
      </c>
      <c r="K16019" s="0" t="s">
        <v>53251</v>
      </c>
      <c r="L16019" s="0" t="str">
        <f aca="false">HYPERLINK("https://www.ncbi.nlm.nih.gov/nuccore/CP000058.1?report=graph&amp;tracks=[key:gene_model_track,Options:GeneOnly]&amp;mk=4960113:4960132|offset_1|00cc00,4960083:4960102|offset_31|444444,4960010:4960029|offset_104|444444,4959990:4960009|offset_124|444444&amp;v=4959912:4960209&amp;c=444444", "offset 1")</f>
        <v>offset 1</v>
      </c>
    </row>
    <row r="16020" customFormat="false" ht="12.8" hidden="false" customHeight="false" outlineLevel="0" collapsed="false">
      <c r="A16020" s="0" t="s">
        <v>12</v>
      </c>
      <c r="B16020" s="0" t="n">
        <v>4960082</v>
      </c>
      <c r="C16020" s="0" t="n">
        <v>4960102</v>
      </c>
      <c r="D16020" s="0" t="s">
        <v>53247</v>
      </c>
      <c r="E16020" s="0" t="s">
        <v>53248</v>
      </c>
      <c r="F16020" s="0" t="s">
        <v>90</v>
      </c>
      <c r="G16020" s="0" t="s">
        <v>32</v>
      </c>
      <c r="H16020" s="0" t="n">
        <v>31</v>
      </c>
      <c r="I16020" s="0" t="s">
        <v>53252</v>
      </c>
      <c r="J16020" s="0" t="s">
        <v>53253</v>
      </c>
      <c r="K16020" s="0" t="s">
        <v>53254</v>
      </c>
      <c r="L16020" s="0" t="str">
        <f aca="false">HYPERLINK("https://www.ncbi.nlm.nih.gov/nuccore/CP000058.1?report=graph&amp;tracks=[key:gene_model_track,Options:GeneOnly]&amp;mk=4960113:4960132|offset_1|444444,4960083:4960102|offset_31|00cc00,4960010:4960029|offset_104|444444,4959990:4960009|offset_124|444444&amp;v=4959912:4960209&amp;c=444444", "offset 31")</f>
        <v>offset 31</v>
      </c>
    </row>
    <row r="16021" customFormat="false" ht="12.8" hidden="false" customHeight="false" outlineLevel="0" collapsed="false">
      <c r="A16021" s="0" t="s">
        <v>12</v>
      </c>
      <c r="B16021" s="0" t="n">
        <v>4960009</v>
      </c>
      <c r="C16021" s="0" t="n">
        <v>4960029</v>
      </c>
      <c r="D16021" s="0" t="s">
        <v>53247</v>
      </c>
      <c r="E16021" s="0" t="s">
        <v>53248</v>
      </c>
      <c r="F16021" s="0" t="s">
        <v>90</v>
      </c>
      <c r="G16021" s="0" t="s">
        <v>36</v>
      </c>
      <c r="H16021" s="0" t="n">
        <v>104</v>
      </c>
      <c r="I16021" s="0" t="s">
        <v>53255</v>
      </c>
      <c r="J16021" s="0" t="s">
        <v>53256</v>
      </c>
      <c r="K16021" s="0" t="s">
        <v>53257</v>
      </c>
      <c r="L16021" s="0" t="str">
        <f aca="false">HYPERLINK("https://www.ncbi.nlm.nih.gov/nuccore/CP000058.1?report=graph&amp;tracks=[key:gene_model_track,Options:GeneOnly]&amp;mk=4960113:4960132|offset_1|444444,4960083:4960102|offset_31|444444,4960010:4960029|offset_104|00cc00,4959990:4960009|offset_124|444444&amp;v=4959912:4960209&amp;c=444444", "offset 104")</f>
        <v>offset 104</v>
      </c>
    </row>
    <row r="16022" customFormat="false" ht="12.8" hidden="false" customHeight="false" outlineLevel="0" collapsed="false">
      <c r="A16022" s="0" t="s">
        <v>12</v>
      </c>
      <c r="B16022" s="0" t="n">
        <v>4959989</v>
      </c>
      <c r="C16022" s="0" t="n">
        <v>4960009</v>
      </c>
      <c r="D16022" s="0" t="s">
        <v>53247</v>
      </c>
      <c r="E16022" s="0" t="s">
        <v>53248</v>
      </c>
      <c r="F16022" s="0" t="s">
        <v>90</v>
      </c>
      <c r="G16022" s="0" t="s">
        <v>16</v>
      </c>
      <c r="H16022" s="0" t="n">
        <v>124</v>
      </c>
      <c r="I16022" s="0" t="s">
        <v>53258</v>
      </c>
      <c r="J16022" s="0" t="s">
        <v>53259</v>
      </c>
      <c r="K16022" s="0" t="s">
        <v>53260</v>
      </c>
      <c r="L16022" s="0" t="str">
        <f aca="false">HYPERLINK("https://www.ncbi.nlm.nih.gov/nuccore/CP000058.1?report=graph&amp;tracks=[key:gene_model_track,Options:GeneOnly]&amp;mk=4960113:4960132|offset_1|444444,4960083:4960102|offset_31|444444,4960010:4960029|offset_104|444444,4959990:4960009|offset_124|00cc00&amp;v=4959912:4960209&amp;c=444444", "offset 124")</f>
        <v>offset 124</v>
      </c>
    </row>
    <row r="16023" customFormat="false" ht="12.8" hidden="false" customHeight="false" outlineLevel="0" collapsed="false">
      <c r="A16023" s="0" t="s">
        <v>12</v>
      </c>
      <c r="B16023" s="0" t="n">
        <v>4961525</v>
      </c>
      <c r="C16023" s="0" t="n">
        <v>4961545</v>
      </c>
      <c r="D16023" s="0" t="s">
        <v>53261</v>
      </c>
      <c r="E16023" s="0" t="s">
        <v>53262</v>
      </c>
      <c r="F16023" s="0" t="s">
        <v>90</v>
      </c>
      <c r="G16023" s="0" t="s">
        <v>36</v>
      </c>
      <c r="H16023" s="0" t="n">
        <v>31</v>
      </c>
      <c r="I16023" s="0" t="s">
        <v>53263</v>
      </c>
      <c r="J16023" s="0" t="s">
        <v>53264</v>
      </c>
      <c r="K16023" s="0" t="s">
        <v>53265</v>
      </c>
      <c r="L16023" s="0" t="str">
        <f aca="false">HYPERLINK("https://www.ncbi.nlm.nih.gov/nuccore/CP000058.1?report=graph&amp;tracks=[key:gene_model_track,Options:GeneOnly]&amp;mk=4961526:4961545|offset_31|00cc00,4961505:4961524|offset_52|444444,4961482:4961501|offset_75|444444,4961453:4961472|offset_104|444444&amp;v=4961325:4961672&amp;c=444444", "offset 31")</f>
        <v>offset 31</v>
      </c>
    </row>
    <row r="16024" customFormat="false" ht="12.8" hidden="false" customHeight="false" outlineLevel="0" collapsed="false">
      <c r="A16024" s="0" t="s">
        <v>12</v>
      </c>
      <c r="B16024" s="0" t="n">
        <v>4961504</v>
      </c>
      <c r="C16024" s="0" t="n">
        <v>4961524</v>
      </c>
      <c r="D16024" s="0" t="s">
        <v>53261</v>
      </c>
      <c r="E16024" s="0" t="s">
        <v>53262</v>
      </c>
      <c r="F16024" s="0" t="s">
        <v>90</v>
      </c>
      <c r="G16024" s="0" t="s">
        <v>32</v>
      </c>
      <c r="H16024" s="0" t="n">
        <v>52</v>
      </c>
      <c r="I16024" s="0" t="s">
        <v>53266</v>
      </c>
      <c r="J16024" s="0" t="s">
        <v>53267</v>
      </c>
      <c r="K16024" s="0" t="s">
        <v>53268</v>
      </c>
      <c r="L16024" s="0" t="str">
        <f aca="false">HYPERLINK("https://www.ncbi.nlm.nih.gov/nuccore/CP000058.1?report=graph&amp;tracks=[key:gene_model_track,Options:GeneOnly]&amp;mk=4961526:4961545|offset_31|444444,4961505:4961524|offset_52|00cc00,4961482:4961501|offset_75|444444,4961453:4961472|offset_104|444444&amp;v=4961325:4961672&amp;c=444444", "offset 52")</f>
        <v>offset 52</v>
      </c>
    </row>
    <row r="16025" customFormat="false" ht="12.8" hidden="false" customHeight="false" outlineLevel="0" collapsed="false">
      <c r="A16025" s="0" t="s">
        <v>12</v>
      </c>
      <c r="B16025" s="0" t="n">
        <v>4961481</v>
      </c>
      <c r="C16025" s="0" t="n">
        <v>4961501</v>
      </c>
      <c r="D16025" s="0" t="s">
        <v>53261</v>
      </c>
      <c r="E16025" s="0" t="s">
        <v>53262</v>
      </c>
      <c r="F16025" s="0" t="s">
        <v>90</v>
      </c>
      <c r="G16025" s="0" t="s">
        <v>20</v>
      </c>
      <c r="H16025" s="0" t="n">
        <v>75</v>
      </c>
      <c r="I16025" s="0" t="s">
        <v>53269</v>
      </c>
      <c r="J16025" s="0" t="s">
        <v>53270</v>
      </c>
      <c r="K16025" s="0" t="s">
        <v>53271</v>
      </c>
      <c r="L16025" s="0" t="str">
        <f aca="false">HYPERLINK("https://www.ncbi.nlm.nih.gov/nuccore/CP000058.1?report=graph&amp;tracks=[key:gene_model_track,Options:GeneOnly]&amp;mk=4961526:4961545|offset_31|444444,4961505:4961524|offset_52|444444,4961482:4961501|offset_75|00cc00,4961453:4961472|offset_104|444444&amp;v=4961325:4961672&amp;c=444444", "offset 75")</f>
        <v>offset 75</v>
      </c>
    </row>
    <row r="16026" customFormat="false" ht="12.8" hidden="false" customHeight="false" outlineLevel="0" collapsed="false">
      <c r="A16026" s="0" t="s">
        <v>12</v>
      </c>
      <c r="B16026" s="0" t="n">
        <v>4961452</v>
      </c>
      <c r="C16026" s="0" t="n">
        <v>4961472</v>
      </c>
      <c r="D16026" s="0" t="s">
        <v>53261</v>
      </c>
      <c r="E16026" s="0" t="s">
        <v>53262</v>
      </c>
      <c r="F16026" s="0" t="s">
        <v>90</v>
      </c>
      <c r="G16026" s="0" t="s">
        <v>20</v>
      </c>
      <c r="H16026" s="0" t="n">
        <v>104</v>
      </c>
      <c r="I16026" s="0" t="s">
        <v>53272</v>
      </c>
      <c r="J16026" s="0" t="s">
        <v>53273</v>
      </c>
      <c r="K16026" s="0" t="s">
        <v>53274</v>
      </c>
      <c r="L16026" s="0" t="str">
        <f aca="false">HYPERLINK("https://www.ncbi.nlm.nih.gov/nuccore/CP000058.1?report=graph&amp;tracks=[key:gene_model_track,Options:GeneOnly]&amp;mk=4961526:4961545|offset_31|444444,4961505:4961524|offset_52|444444,4961482:4961501|offset_75|444444,4961453:4961472|offset_104|00cc00&amp;v=4961325:4961672&amp;c=444444", "offset 104")</f>
        <v>offset 104</v>
      </c>
    </row>
    <row r="16027" customFormat="false" ht="12.8" hidden="false" customHeight="false" outlineLevel="0" collapsed="false">
      <c r="A16027" s="0" t="s">
        <v>12</v>
      </c>
      <c r="B16027" s="0" t="n">
        <v>4965141</v>
      </c>
      <c r="C16027" s="0" t="n">
        <v>4965161</v>
      </c>
      <c r="D16027" s="0" t="s">
        <v>53275</v>
      </c>
      <c r="E16027" s="0" t="s">
        <v>75</v>
      </c>
      <c r="F16027" s="0" t="s">
        <v>90</v>
      </c>
      <c r="G16027" s="0" t="s">
        <v>16</v>
      </c>
      <c r="H16027" s="0" t="n">
        <v>9</v>
      </c>
      <c r="I16027" s="0" t="s">
        <v>53276</v>
      </c>
      <c r="J16027" s="0" t="s">
        <v>53277</v>
      </c>
      <c r="K16027" s="0" t="s">
        <v>53278</v>
      </c>
      <c r="L16027" s="0" t="str">
        <f aca="false">HYPERLINK("https://www.ncbi.nlm.nih.gov/nuccore/CP000058.1?report=graph&amp;tracks=[key:gene_model_track,Options:GeneOnly]&amp;mk=4965142:4965161|offset_9|00cc00,4965120:4965139|offset_31|444444,4965098:4965117|offset_53|444444,4965060:4965079|offset_91|444444&amp;v=4964941:4965279&amp;c=444444", "offset 9")</f>
        <v>offset 9</v>
      </c>
    </row>
    <row r="16028" customFormat="false" ht="12.8" hidden="false" customHeight="false" outlineLevel="0" collapsed="false">
      <c r="A16028" s="0" t="s">
        <v>12</v>
      </c>
      <c r="B16028" s="0" t="n">
        <v>4965119</v>
      </c>
      <c r="C16028" s="0" t="n">
        <v>4965139</v>
      </c>
      <c r="D16028" s="0" t="s">
        <v>53275</v>
      </c>
      <c r="E16028" s="0" t="s">
        <v>75</v>
      </c>
      <c r="F16028" s="0" t="s">
        <v>90</v>
      </c>
      <c r="G16028" s="0" t="s">
        <v>16</v>
      </c>
      <c r="H16028" s="0" t="n">
        <v>31</v>
      </c>
      <c r="I16028" s="0" t="s">
        <v>53279</v>
      </c>
      <c r="J16028" s="0" t="s">
        <v>53280</v>
      </c>
      <c r="K16028" s="0" t="s">
        <v>53281</v>
      </c>
      <c r="L16028" s="0" t="str">
        <f aca="false">HYPERLINK("https://www.ncbi.nlm.nih.gov/nuccore/CP000058.1?report=graph&amp;tracks=[key:gene_model_track,Options:GeneOnly]&amp;mk=4965142:4965161|offset_9|444444,4965120:4965139|offset_31|00cc00,4965098:4965117|offset_53|444444,4965060:4965079|offset_91|444444&amp;v=4964941:4965279&amp;c=444444", "offset 31")</f>
        <v>offset 31</v>
      </c>
    </row>
    <row r="16029" customFormat="false" ht="12.8" hidden="false" customHeight="false" outlineLevel="0" collapsed="false">
      <c r="A16029" s="0" t="s">
        <v>12</v>
      </c>
      <c r="B16029" s="0" t="n">
        <v>4965097</v>
      </c>
      <c r="C16029" s="0" t="n">
        <v>4965117</v>
      </c>
      <c r="D16029" s="0" t="s">
        <v>53275</v>
      </c>
      <c r="E16029" s="0" t="s">
        <v>75</v>
      </c>
      <c r="F16029" s="0" t="s">
        <v>90</v>
      </c>
      <c r="G16029" s="0" t="s">
        <v>20</v>
      </c>
      <c r="H16029" s="0" t="n">
        <v>53</v>
      </c>
      <c r="I16029" s="0" t="s">
        <v>53282</v>
      </c>
      <c r="J16029" s="0" t="s">
        <v>53283</v>
      </c>
      <c r="K16029" s="0" t="s">
        <v>53284</v>
      </c>
      <c r="L16029" s="0" t="str">
        <f aca="false">HYPERLINK("https://www.ncbi.nlm.nih.gov/nuccore/CP000058.1?report=graph&amp;tracks=[key:gene_model_track,Options:GeneOnly]&amp;mk=4965142:4965161|offset_9|444444,4965120:4965139|offset_31|444444,4965098:4965117|offset_53|00cc00,4965060:4965079|offset_91|444444&amp;v=4964941:4965279&amp;c=444444", "offset 53")</f>
        <v>offset 53</v>
      </c>
    </row>
    <row r="16030" customFormat="false" ht="12.8" hidden="false" customHeight="false" outlineLevel="0" collapsed="false">
      <c r="A16030" s="0" t="s">
        <v>12</v>
      </c>
      <c r="B16030" s="0" t="n">
        <v>4965059</v>
      </c>
      <c r="C16030" s="0" t="n">
        <v>4965079</v>
      </c>
      <c r="D16030" s="0" t="s">
        <v>53275</v>
      </c>
      <c r="E16030" s="0" t="s">
        <v>75</v>
      </c>
      <c r="F16030" s="0" t="s">
        <v>90</v>
      </c>
      <c r="G16030" s="0" t="s">
        <v>32</v>
      </c>
      <c r="H16030" s="0" t="n">
        <v>91</v>
      </c>
      <c r="I16030" s="0" t="s">
        <v>53285</v>
      </c>
      <c r="J16030" s="0" t="s">
        <v>53286</v>
      </c>
      <c r="K16030" s="0" t="s">
        <v>53287</v>
      </c>
      <c r="L16030" s="0" t="str">
        <f aca="false">HYPERLINK("https://www.ncbi.nlm.nih.gov/nuccore/CP000058.1?report=graph&amp;tracks=[key:gene_model_track,Options:GeneOnly]&amp;mk=4965142:4965161|offset_9|444444,4965120:4965139|offset_31|444444,4965098:4965117|offset_53|444444,4965060:4965079|offset_91|00cc00&amp;v=4964941:4965279&amp;c=444444", "offset 91")</f>
        <v>offset 91</v>
      </c>
    </row>
    <row r="16031" customFormat="false" ht="12.8" hidden="false" customHeight="false" outlineLevel="0" collapsed="false">
      <c r="A16031" s="0" t="s">
        <v>12</v>
      </c>
      <c r="B16031" s="0" t="n">
        <v>4965676</v>
      </c>
      <c r="C16031" s="0" t="n">
        <v>4965696</v>
      </c>
      <c r="D16031" s="0" t="s">
        <v>53288</v>
      </c>
      <c r="E16031" s="0" t="s">
        <v>75</v>
      </c>
      <c r="F16031" s="0" t="s">
        <v>90</v>
      </c>
      <c r="G16031" s="0" t="s">
        <v>32</v>
      </c>
      <c r="H16031" s="0" t="n">
        <v>1</v>
      </c>
      <c r="I16031" s="0" t="s">
        <v>53289</v>
      </c>
      <c r="J16031" s="0" t="s">
        <v>53290</v>
      </c>
      <c r="K16031" s="0" t="s">
        <v>53291</v>
      </c>
      <c r="L16031" s="0" t="str">
        <f aca="false">HYPERLINK("https://www.ncbi.nlm.nih.gov/nuccore/CP000058.1?report=graph&amp;tracks=[key:gene_model_track,Options:GeneOnly]&amp;mk=4965677:4965696|offset_1|00cc00,4965655:4965674|offset_23|444444,4965620:4965639|offset_58|444444,4965585:4965604|offset_93|444444&amp;v=4965476:4965804&amp;c=444444", "offset 1")</f>
        <v>offset 1</v>
      </c>
    </row>
    <row r="16032" customFormat="false" ht="12.8" hidden="false" customHeight="false" outlineLevel="0" collapsed="false">
      <c r="A16032" s="0" t="s">
        <v>12</v>
      </c>
      <c r="B16032" s="0" t="n">
        <v>4965654</v>
      </c>
      <c r="C16032" s="0" t="n">
        <v>4965674</v>
      </c>
      <c r="D16032" s="0" t="s">
        <v>53288</v>
      </c>
      <c r="E16032" s="0" t="s">
        <v>75</v>
      </c>
      <c r="F16032" s="0" t="s">
        <v>90</v>
      </c>
      <c r="G16032" s="0" t="s">
        <v>36</v>
      </c>
      <c r="H16032" s="0" t="n">
        <v>23</v>
      </c>
      <c r="I16032" s="0" t="s">
        <v>53292</v>
      </c>
      <c r="J16032" s="0" t="s">
        <v>53293</v>
      </c>
      <c r="K16032" s="0" t="s">
        <v>53294</v>
      </c>
      <c r="L16032" s="0" t="str">
        <f aca="false">HYPERLINK("https://www.ncbi.nlm.nih.gov/nuccore/CP000058.1?report=graph&amp;tracks=[key:gene_model_track,Options:GeneOnly]&amp;mk=4965677:4965696|offset_1|444444,4965655:4965674|offset_23|00cc00,4965620:4965639|offset_58|444444,4965585:4965604|offset_93|444444&amp;v=4965476:4965804&amp;c=444444", "offset 23")</f>
        <v>offset 23</v>
      </c>
    </row>
    <row r="16033" customFormat="false" ht="12.8" hidden="false" customHeight="false" outlineLevel="0" collapsed="false">
      <c r="A16033" s="0" t="s">
        <v>12</v>
      </c>
      <c r="B16033" s="0" t="n">
        <v>4965619</v>
      </c>
      <c r="C16033" s="0" t="n">
        <v>4965639</v>
      </c>
      <c r="D16033" s="0" t="s">
        <v>53288</v>
      </c>
      <c r="E16033" s="0" t="s">
        <v>75</v>
      </c>
      <c r="F16033" s="0" t="s">
        <v>90</v>
      </c>
      <c r="G16033" s="0" t="s">
        <v>36</v>
      </c>
      <c r="H16033" s="0" t="n">
        <v>58</v>
      </c>
      <c r="I16033" s="0" t="s">
        <v>53295</v>
      </c>
      <c r="J16033" s="0" t="s">
        <v>53296</v>
      </c>
      <c r="K16033" s="0" t="s">
        <v>53297</v>
      </c>
      <c r="L16033" s="0" t="str">
        <f aca="false">HYPERLINK("https://www.ncbi.nlm.nih.gov/nuccore/CP000058.1?report=graph&amp;tracks=[key:gene_model_track,Options:GeneOnly]&amp;mk=4965677:4965696|offset_1|444444,4965655:4965674|offset_23|444444,4965620:4965639|offset_58|00cc00,4965585:4965604|offset_93|444444&amp;v=4965476:4965804&amp;c=444444", "offset 58")</f>
        <v>offset 58</v>
      </c>
    </row>
    <row r="16034" customFormat="false" ht="12.8" hidden="false" customHeight="false" outlineLevel="0" collapsed="false">
      <c r="A16034" s="0" t="s">
        <v>12</v>
      </c>
      <c r="B16034" s="0" t="n">
        <v>4965584</v>
      </c>
      <c r="C16034" s="0" t="n">
        <v>4965604</v>
      </c>
      <c r="D16034" s="0" t="s">
        <v>53288</v>
      </c>
      <c r="E16034" s="0" t="s">
        <v>75</v>
      </c>
      <c r="F16034" s="0" t="s">
        <v>90</v>
      </c>
      <c r="G16034" s="0" t="s">
        <v>36</v>
      </c>
      <c r="H16034" s="0" t="n">
        <v>93</v>
      </c>
      <c r="I16034" s="0" t="s">
        <v>53298</v>
      </c>
      <c r="J16034" s="0" t="s">
        <v>53299</v>
      </c>
      <c r="K16034" s="0" t="s">
        <v>53300</v>
      </c>
      <c r="L16034" s="0" t="str">
        <f aca="false">HYPERLINK("https://www.ncbi.nlm.nih.gov/nuccore/CP000058.1?report=graph&amp;tracks=[key:gene_model_track,Options:GeneOnly]&amp;mk=4965677:4965696|offset_1|444444,4965655:4965674|offset_23|444444,4965620:4965639|offset_58|444444,4965585:4965604|offset_93|00cc00&amp;v=4965476:4965804&amp;c=444444", "offset 93")</f>
        <v>offset 93</v>
      </c>
    </row>
    <row r="16035" customFormat="false" ht="12.8" hidden="false" customHeight="false" outlineLevel="0" collapsed="false">
      <c r="A16035" s="0" t="s">
        <v>12</v>
      </c>
      <c r="B16035" s="0" t="n">
        <v>4966001</v>
      </c>
      <c r="C16035" s="0" t="n">
        <v>4966021</v>
      </c>
      <c r="D16035" s="0" t="s">
        <v>53301</v>
      </c>
      <c r="E16035" s="0" t="s">
        <v>75</v>
      </c>
      <c r="F16035" s="0" t="s">
        <v>15</v>
      </c>
      <c r="G16035" s="0" t="s">
        <v>32</v>
      </c>
      <c r="H16035" s="0" t="n">
        <v>40</v>
      </c>
      <c r="I16035" s="0" t="s">
        <v>53302</v>
      </c>
      <c r="J16035" s="0" t="s">
        <v>53303</v>
      </c>
      <c r="K16035" s="0" t="s">
        <v>53304</v>
      </c>
      <c r="L16035" s="0" t="str">
        <f aca="false">HYPERLINK("https://www.ncbi.nlm.nih.gov/nuccore/CP000058.1?report=graph&amp;tracks=[key:gene_model_track,Options:GeneOnly]&amp;mk=4966002:4966021|offset_40|00cc00,4966042:4966061|offset_80|444444,4966072:4966091|offset_110|444444,4966092:4966111|offset_130|444444&amp;v=4965801:4966311&amp;c=444444", "offset 40")</f>
        <v>offset 40</v>
      </c>
    </row>
    <row r="16036" customFormat="false" ht="12.8" hidden="false" customHeight="false" outlineLevel="0" collapsed="false">
      <c r="A16036" s="0" t="s">
        <v>12</v>
      </c>
      <c r="B16036" s="0" t="n">
        <v>4966041</v>
      </c>
      <c r="C16036" s="0" t="n">
        <v>4966061</v>
      </c>
      <c r="D16036" s="0" t="s">
        <v>53301</v>
      </c>
      <c r="E16036" s="0" t="s">
        <v>75</v>
      </c>
      <c r="F16036" s="0" t="s">
        <v>15</v>
      </c>
      <c r="G16036" s="0" t="s">
        <v>20</v>
      </c>
      <c r="H16036" s="0" t="n">
        <v>80</v>
      </c>
      <c r="I16036" s="0" t="s">
        <v>53305</v>
      </c>
      <c r="J16036" s="0" t="s">
        <v>53306</v>
      </c>
      <c r="K16036" s="0" t="s">
        <v>53307</v>
      </c>
      <c r="L16036" s="0" t="str">
        <f aca="false">HYPERLINK("https://www.ncbi.nlm.nih.gov/nuccore/CP000058.1?report=graph&amp;tracks=[key:gene_model_track,Options:GeneOnly]&amp;mk=4966002:4966021|offset_40|444444,4966042:4966061|offset_80|00cc00,4966072:4966091|offset_110|444444,4966092:4966111|offset_130|444444&amp;v=4965801:4966311&amp;c=444444", "offset 80")</f>
        <v>offset 80</v>
      </c>
    </row>
    <row r="16037" customFormat="false" ht="12.8" hidden="false" customHeight="false" outlineLevel="0" collapsed="false">
      <c r="A16037" s="0" t="s">
        <v>12</v>
      </c>
      <c r="B16037" s="0" t="n">
        <v>4966071</v>
      </c>
      <c r="C16037" s="0" t="n">
        <v>4966091</v>
      </c>
      <c r="D16037" s="0" t="s">
        <v>53301</v>
      </c>
      <c r="E16037" s="0" t="s">
        <v>75</v>
      </c>
      <c r="F16037" s="0" t="s">
        <v>15</v>
      </c>
      <c r="G16037" s="0" t="s">
        <v>36</v>
      </c>
      <c r="H16037" s="0" t="n">
        <v>110</v>
      </c>
      <c r="I16037" s="0" t="s">
        <v>53308</v>
      </c>
      <c r="J16037" s="0" t="s">
        <v>53309</v>
      </c>
      <c r="K16037" s="0" t="s">
        <v>53310</v>
      </c>
      <c r="L16037" s="0" t="str">
        <f aca="false">HYPERLINK("https://www.ncbi.nlm.nih.gov/nuccore/CP000058.1?report=graph&amp;tracks=[key:gene_model_track,Options:GeneOnly]&amp;mk=4966002:4966021|offset_40|444444,4966042:4966061|offset_80|444444,4966072:4966091|offset_110|00cc00,4966092:4966111|offset_130|444444&amp;v=4965801:4966311&amp;c=444444", "offset 110")</f>
        <v>offset 110</v>
      </c>
    </row>
    <row r="16038" customFormat="false" ht="12.8" hidden="false" customHeight="false" outlineLevel="0" collapsed="false">
      <c r="A16038" s="0" t="s">
        <v>12</v>
      </c>
      <c r="B16038" s="0" t="n">
        <v>4966091</v>
      </c>
      <c r="C16038" s="0" t="n">
        <v>4966111</v>
      </c>
      <c r="D16038" s="0" t="s">
        <v>53301</v>
      </c>
      <c r="E16038" s="0" t="s">
        <v>75</v>
      </c>
      <c r="F16038" s="0" t="s">
        <v>15</v>
      </c>
      <c r="G16038" s="0" t="s">
        <v>16</v>
      </c>
      <c r="H16038" s="0" t="n">
        <v>130</v>
      </c>
      <c r="I16038" s="0" t="s">
        <v>53311</v>
      </c>
      <c r="J16038" s="0" t="s">
        <v>53312</v>
      </c>
      <c r="K16038" s="0" t="s">
        <v>53313</v>
      </c>
      <c r="L16038" s="0" t="str">
        <f aca="false">HYPERLINK("https://www.ncbi.nlm.nih.gov/nuccore/CP000058.1?report=graph&amp;tracks=[key:gene_model_track,Options:GeneOnly]&amp;mk=4966002:4966021|offset_40|444444,4966042:4966061|offset_80|444444,4966072:4966091|offset_110|444444,4966092:4966111|offset_130|00cc00&amp;v=4965801:4966311&amp;c=444444", "offset 130")</f>
        <v>offset 130</v>
      </c>
    </row>
    <row r="16039" customFormat="false" ht="12.8" hidden="false" customHeight="false" outlineLevel="0" collapsed="false">
      <c r="A16039" s="0" t="s">
        <v>12</v>
      </c>
      <c r="B16039" s="0" t="n">
        <v>4967265</v>
      </c>
      <c r="C16039" s="0" t="n">
        <v>4967285</v>
      </c>
      <c r="D16039" s="0" t="s">
        <v>53314</v>
      </c>
      <c r="E16039" s="0" t="s">
        <v>53315</v>
      </c>
      <c r="F16039" s="0" t="s">
        <v>15</v>
      </c>
      <c r="G16039" s="0" t="s">
        <v>20</v>
      </c>
      <c r="H16039" s="0" t="n">
        <v>12</v>
      </c>
      <c r="I16039" s="0" t="s">
        <v>53316</v>
      </c>
      <c r="J16039" s="0" t="s">
        <v>53317</v>
      </c>
      <c r="K16039" s="0" t="s">
        <v>53318</v>
      </c>
      <c r="L16039" s="0" t="str">
        <f aca="false">HYPERLINK("https://www.ncbi.nlm.nih.gov/nuccore/CP000058.1?report=graph&amp;tracks=[key:gene_model_track,Options:GeneOnly]&amp;mk=4967266:4967285|offset_12|00cc00,4967289:4967308|offset_35|444444,4967309:4967328|offset_55|444444,4967333:4967352|offset_79|444444&amp;v=4967065:4967552&amp;c=444444", "offset 12")</f>
        <v>offset 12</v>
      </c>
    </row>
    <row r="16040" customFormat="false" ht="12.8" hidden="false" customHeight="false" outlineLevel="0" collapsed="false">
      <c r="A16040" s="0" t="s">
        <v>12</v>
      </c>
      <c r="B16040" s="0" t="n">
        <v>4967288</v>
      </c>
      <c r="C16040" s="0" t="n">
        <v>4967308</v>
      </c>
      <c r="D16040" s="0" t="s">
        <v>53314</v>
      </c>
      <c r="E16040" s="0" t="s">
        <v>53315</v>
      </c>
      <c r="F16040" s="0" t="s">
        <v>15</v>
      </c>
      <c r="G16040" s="0" t="s">
        <v>16</v>
      </c>
      <c r="H16040" s="0" t="n">
        <v>35</v>
      </c>
      <c r="I16040" s="0" t="s">
        <v>53319</v>
      </c>
      <c r="J16040" s="0" t="s">
        <v>53320</v>
      </c>
      <c r="K16040" s="0" t="s">
        <v>53321</v>
      </c>
      <c r="L16040" s="0" t="str">
        <f aca="false">HYPERLINK("https://www.ncbi.nlm.nih.gov/nuccore/CP000058.1?report=graph&amp;tracks=[key:gene_model_track,Options:GeneOnly]&amp;mk=4967266:4967285|offset_12|444444,4967289:4967308|offset_35|00cc00,4967309:4967328|offset_55|444444,4967333:4967352|offset_79|444444&amp;v=4967065:4967552&amp;c=444444", "offset 35")</f>
        <v>offset 35</v>
      </c>
    </row>
    <row r="16041" customFormat="false" ht="12.8" hidden="false" customHeight="false" outlineLevel="0" collapsed="false">
      <c r="A16041" s="0" t="s">
        <v>12</v>
      </c>
      <c r="B16041" s="0" t="n">
        <v>4967308</v>
      </c>
      <c r="C16041" s="0" t="n">
        <v>4967328</v>
      </c>
      <c r="D16041" s="0" t="s">
        <v>53314</v>
      </c>
      <c r="E16041" s="0" t="s">
        <v>53315</v>
      </c>
      <c r="F16041" s="0" t="s">
        <v>15</v>
      </c>
      <c r="G16041" s="0" t="s">
        <v>16</v>
      </c>
      <c r="H16041" s="0" t="n">
        <v>55</v>
      </c>
      <c r="I16041" s="0" t="s">
        <v>53322</v>
      </c>
      <c r="J16041" s="0" t="s">
        <v>53323</v>
      </c>
      <c r="K16041" s="0" t="s">
        <v>53324</v>
      </c>
      <c r="L16041" s="0" t="str">
        <f aca="false">HYPERLINK("https://www.ncbi.nlm.nih.gov/nuccore/CP000058.1?report=graph&amp;tracks=[key:gene_model_track,Options:GeneOnly]&amp;mk=4967266:4967285|offset_12|444444,4967289:4967308|offset_35|444444,4967309:4967328|offset_55|00cc00,4967333:4967352|offset_79|444444&amp;v=4967065:4967552&amp;c=444444", "offset 55")</f>
        <v>offset 55</v>
      </c>
    </row>
    <row r="16042" customFormat="false" ht="12.8" hidden="false" customHeight="false" outlineLevel="0" collapsed="false">
      <c r="A16042" s="0" t="s">
        <v>12</v>
      </c>
      <c r="B16042" s="0" t="n">
        <v>4967332</v>
      </c>
      <c r="C16042" s="0" t="n">
        <v>4967352</v>
      </c>
      <c r="D16042" s="0" t="s">
        <v>53314</v>
      </c>
      <c r="E16042" s="0" t="s">
        <v>53315</v>
      </c>
      <c r="F16042" s="0" t="s">
        <v>15</v>
      </c>
      <c r="G16042" s="0" t="s">
        <v>36</v>
      </c>
      <c r="H16042" s="0" t="n">
        <v>79</v>
      </c>
      <c r="I16042" s="0" t="s">
        <v>53325</v>
      </c>
      <c r="J16042" s="0" t="s">
        <v>53326</v>
      </c>
      <c r="K16042" s="0" t="s">
        <v>53327</v>
      </c>
      <c r="L16042" s="0" t="str">
        <f aca="false">HYPERLINK("https://www.ncbi.nlm.nih.gov/nuccore/CP000058.1?report=graph&amp;tracks=[key:gene_model_track,Options:GeneOnly]&amp;mk=4967266:4967285|offset_12|444444,4967289:4967308|offset_35|444444,4967309:4967328|offset_55|444444,4967333:4967352|offset_79|00cc00&amp;v=4967065:4967552&amp;c=444444", "offset 79")</f>
        <v>offset 79</v>
      </c>
    </row>
    <row r="16043" customFormat="false" ht="12.8" hidden="false" customHeight="false" outlineLevel="0" collapsed="false">
      <c r="A16043" s="0" t="s">
        <v>12</v>
      </c>
      <c r="B16043" s="0" t="n">
        <v>4968611</v>
      </c>
      <c r="C16043" s="0" t="n">
        <v>4968631</v>
      </c>
      <c r="D16043" s="0" t="s">
        <v>53328</v>
      </c>
      <c r="E16043" s="0" t="s">
        <v>75</v>
      </c>
      <c r="F16043" s="0" t="s">
        <v>15</v>
      </c>
      <c r="G16043" s="0" t="s">
        <v>32</v>
      </c>
      <c r="H16043" s="0" t="n">
        <v>7</v>
      </c>
      <c r="I16043" s="0" t="s">
        <v>53329</v>
      </c>
      <c r="J16043" s="0" t="s">
        <v>53330</v>
      </c>
      <c r="K16043" s="0" t="s">
        <v>53331</v>
      </c>
      <c r="L16043" s="0" t="str">
        <f aca="false">HYPERLINK("https://www.ncbi.nlm.nih.gov/nuccore/CP000058.1?report=graph&amp;tracks=[key:gene_model_track,Options:GeneOnly]&amp;mk=4968612:4968631|offset_7|00cc00,4968640:4968659|offset_35|444444,4968693:4968712|offset_88|444444,4968714:4968733|offset_109|444444&amp;v=4968411:4968933&amp;c=444444", "offset 7")</f>
        <v>offset 7</v>
      </c>
    </row>
    <row r="16044" customFormat="false" ht="12.8" hidden="false" customHeight="false" outlineLevel="0" collapsed="false">
      <c r="A16044" s="0" t="s">
        <v>12</v>
      </c>
      <c r="B16044" s="0" t="n">
        <v>4968639</v>
      </c>
      <c r="C16044" s="0" t="n">
        <v>4968659</v>
      </c>
      <c r="D16044" s="0" t="s">
        <v>53328</v>
      </c>
      <c r="E16044" s="0" t="s">
        <v>75</v>
      </c>
      <c r="F16044" s="0" t="s">
        <v>15</v>
      </c>
      <c r="G16044" s="0" t="s">
        <v>20</v>
      </c>
      <c r="H16044" s="0" t="n">
        <v>35</v>
      </c>
      <c r="I16044" s="0" t="s">
        <v>53332</v>
      </c>
      <c r="J16044" s="0" t="s">
        <v>53333</v>
      </c>
      <c r="K16044" s="0" t="s">
        <v>53334</v>
      </c>
      <c r="L16044" s="0" t="str">
        <f aca="false">HYPERLINK("https://www.ncbi.nlm.nih.gov/nuccore/CP000058.1?report=graph&amp;tracks=[key:gene_model_track,Options:GeneOnly]&amp;mk=4968612:4968631|offset_7|444444,4968640:4968659|offset_35|00cc00,4968693:4968712|offset_88|444444,4968714:4968733|offset_109|444444&amp;v=4968411:4968933&amp;c=444444", "offset 35")</f>
        <v>offset 35</v>
      </c>
    </row>
    <row r="16045" customFormat="false" ht="12.8" hidden="false" customHeight="false" outlineLevel="0" collapsed="false">
      <c r="A16045" s="0" t="s">
        <v>12</v>
      </c>
      <c r="B16045" s="0" t="n">
        <v>4968692</v>
      </c>
      <c r="C16045" s="0" t="n">
        <v>4968712</v>
      </c>
      <c r="D16045" s="0" t="s">
        <v>53328</v>
      </c>
      <c r="E16045" s="0" t="s">
        <v>75</v>
      </c>
      <c r="F16045" s="0" t="s">
        <v>15</v>
      </c>
      <c r="G16045" s="0" t="s">
        <v>20</v>
      </c>
      <c r="H16045" s="0" t="n">
        <v>88</v>
      </c>
      <c r="I16045" s="0" t="s">
        <v>53335</v>
      </c>
      <c r="J16045" s="0" t="s">
        <v>53336</v>
      </c>
      <c r="K16045" s="0" t="s">
        <v>53337</v>
      </c>
      <c r="L16045" s="0" t="str">
        <f aca="false">HYPERLINK("https://www.ncbi.nlm.nih.gov/nuccore/CP000058.1?report=graph&amp;tracks=[key:gene_model_track,Options:GeneOnly]&amp;mk=4968612:4968631|offset_7|444444,4968640:4968659|offset_35|444444,4968693:4968712|offset_88|00cc00,4968714:4968733|offset_109|444444&amp;v=4968411:4968933&amp;c=444444", "offset 88")</f>
        <v>offset 88</v>
      </c>
    </row>
    <row r="16046" customFormat="false" ht="12.8" hidden="false" customHeight="false" outlineLevel="0" collapsed="false">
      <c r="A16046" s="0" t="s">
        <v>12</v>
      </c>
      <c r="B16046" s="0" t="n">
        <v>4968713</v>
      </c>
      <c r="C16046" s="0" t="n">
        <v>4968733</v>
      </c>
      <c r="D16046" s="0" t="s">
        <v>53328</v>
      </c>
      <c r="E16046" s="0" t="s">
        <v>75</v>
      </c>
      <c r="F16046" s="0" t="s">
        <v>15</v>
      </c>
      <c r="G16046" s="0" t="s">
        <v>36</v>
      </c>
      <c r="H16046" s="0" t="n">
        <v>109</v>
      </c>
      <c r="I16046" s="0" t="s">
        <v>53338</v>
      </c>
      <c r="J16046" s="0" t="s">
        <v>53339</v>
      </c>
      <c r="K16046" s="0" t="s">
        <v>53340</v>
      </c>
      <c r="L16046" s="0" t="str">
        <f aca="false">HYPERLINK("https://www.ncbi.nlm.nih.gov/nuccore/CP000058.1?report=graph&amp;tracks=[key:gene_model_track,Options:GeneOnly]&amp;mk=4968612:4968631|offset_7|444444,4968640:4968659|offset_35|444444,4968693:4968712|offset_88|444444,4968714:4968733|offset_109|00cc00&amp;v=4968411:4968933&amp;c=444444", "offset 109")</f>
        <v>offset 109</v>
      </c>
    </row>
    <row r="16047" customFormat="false" ht="12.8" hidden="false" customHeight="false" outlineLevel="0" collapsed="false">
      <c r="A16047" s="0" t="s">
        <v>12</v>
      </c>
      <c r="B16047" s="0" t="n">
        <v>4970005</v>
      </c>
      <c r="C16047" s="0" t="n">
        <v>4970025</v>
      </c>
      <c r="D16047" s="0" t="s">
        <v>53341</v>
      </c>
      <c r="E16047" s="0" t="s">
        <v>75</v>
      </c>
      <c r="F16047" s="0" t="s">
        <v>15</v>
      </c>
      <c r="G16047" s="0" t="s">
        <v>16</v>
      </c>
      <c r="H16047" s="0" t="n">
        <v>20</v>
      </c>
      <c r="I16047" s="0" t="s">
        <v>53342</v>
      </c>
      <c r="J16047" s="0" t="s">
        <v>53343</v>
      </c>
      <c r="K16047" s="0" t="s">
        <v>53344</v>
      </c>
      <c r="L16047" s="0" t="str">
        <f aca="false">HYPERLINK("https://www.ncbi.nlm.nih.gov/nuccore/CP000058.1?report=graph&amp;tracks=[key:gene_model_track,Options:GeneOnly]&amp;mk=4970006:4970025|offset_20|00cc00,4970090:4970109|offset_104|444444,4970123:4970142|offset_137|444444,4970167:4970186|offset_181|444444&amp;v=4969805:4970386&amp;c=444444", "offset 20")</f>
        <v>offset 20</v>
      </c>
    </row>
    <row r="16048" customFormat="false" ht="12.8" hidden="false" customHeight="false" outlineLevel="0" collapsed="false">
      <c r="A16048" s="0" t="s">
        <v>12</v>
      </c>
      <c r="B16048" s="0" t="n">
        <v>4970089</v>
      </c>
      <c r="C16048" s="0" t="n">
        <v>4970109</v>
      </c>
      <c r="D16048" s="0" t="s">
        <v>53341</v>
      </c>
      <c r="E16048" s="0" t="s">
        <v>75</v>
      </c>
      <c r="F16048" s="0" t="s">
        <v>15</v>
      </c>
      <c r="G16048" s="0" t="s">
        <v>20</v>
      </c>
      <c r="H16048" s="0" t="n">
        <v>104</v>
      </c>
      <c r="I16048" s="0" t="s">
        <v>53345</v>
      </c>
      <c r="J16048" s="0" t="s">
        <v>53346</v>
      </c>
      <c r="K16048" s="0" t="s">
        <v>53347</v>
      </c>
      <c r="L16048" s="0" t="str">
        <f aca="false">HYPERLINK("https://www.ncbi.nlm.nih.gov/nuccore/CP000058.1?report=graph&amp;tracks=[key:gene_model_track,Options:GeneOnly]&amp;mk=4970006:4970025|offset_20|444444,4970090:4970109|offset_104|00cc00,4970123:4970142|offset_137|444444,4970167:4970186|offset_181|444444&amp;v=4969805:4970386&amp;c=444444", "offset 104")</f>
        <v>offset 104</v>
      </c>
    </row>
    <row r="16049" customFormat="false" ht="12.8" hidden="false" customHeight="false" outlineLevel="0" collapsed="false">
      <c r="A16049" s="0" t="s">
        <v>12</v>
      </c>
      <c r="B16049" s="0" t="n">
        <v>4970122</v>
      </c>
      <c r="C16049" s="0" t="n">
        <v>4970142</v>
      </c>
      <c r="D16049" s="0" t="s">
        <v>53341</v>
      </c>
      <c r="E16049" s="0" t="s">
        <v>75</v>
      </c>
      <c r="F16049" s="0" t="s">
        <v>15</v>
      </c>
      <c r="G16049" s="0" t="s">
        <v>20</v>
      </c>
      <c r="H16049" s="0" t="n">
        <v>137</v>
      </c>
      <c r="I16049" s="0" t="s">
        <v>53348</v>
      </c>
      <c r="J16049" s="0" t="s">
        <v>53349</v>
      </c>
      <c r="K16049" s="0" t="s">
        <v>53350</v>
      </c>
      <c r="L16049" s="0" t="str">
        <f aca="false">HYPERLINK("https://www.ncbi.nlm.nih.gov/nuccore/CP000058.1?report=graph&amp;tracks=[key:gene_model_track,Options:GeneOnly]&amp;mk=4970006:4970025|offset_20|444444,4970090:4970109|offset_104|444444,4970123:4970142|offset_137|00cc00,4970167:4970186|offset_181|444444&amp;v=4969805:4970386&amp;c=444444", "offset 137")</f>
        <v>offset 137</v>
      </c>
    </row>
    <row r="16050" customFormat="false" ht="12.8" hidden="false" customHeight="false" outlineLevel="0" collapsed="false">
      <c r="A16050" s="0" t="s">
        <v>12</v>
      </c>
      <c r="B16050" s="0" t="n">
        <v>4970166</v>
      </c>
      <c r="C16050" s="0" t="n">
        <v>4970186</v>
      </c>
      <c r="D16050" s="0" t="s">
        <v>53341</v>
      </c>
      <c r="E16050" s="0" t="s">
        <v>75</v>
      </c>
      <c r="F16050" s="0" t="s">
        <v>15</v>
      </c>
      <c r="G16050" s="0" t="s">
        <v>16</v>
      </c>
      <c r="H16050" s="0" t="n">
        <v>181</v>
      </c>
      <c r="I16050" s="0" t="s">
        <v>53351</v>
      </c>
      <c r="J16050" s="0" t="s">
        <v>53352</v>
      </c>
      <c r="K16050" s="0" t="s">
        <v>53353</v>
      </c>
      <c r="L16050" s="0" t="str">
        <f aca="false">HYPERLINK("https://www.ncbi.nlm.nih.gov/nuccore/CP000058.1?report=graph&amp;tracks=[key:gene_model_track,Options:GeneOnly]&amp;mk=4970006:4970025|offset_20|444444,4970090:4970109|offset_104|444444,4970123:4970142|offset_137|444444,4970167:4970186|offset_181|00cc00&amp;v=4969805:4970386&amp;c=444444", "offset 181")</f>
        <v>offset 181</v>
      </c>
    </row>
    <row r="16051" customFormat="false" ht="12.8" hidden="false" customHeight="false" outlineLevel="0" collapsed="false">
      <c r="A16051" s="0" t="s">
        <v>12</v>
      </c>
      <c r="B16051" s="0" t="n">
        <v>4970889</v>
      </c>
      <c r="C16051" s="0" t="n">
        <v>4970909</v>
      </c>
      <c r="D16051" s="0" t="s">
        <v>53354</v>
      </c>
      <c r="E16051" s="0" t="s">
        <v>75</v>
      </c>
      <c r="F16051" s="0" t="s">
        <v>15</v>
      </c>
      <c r="G16051" s="0" t="s">
        <v>16</v>
      </c>
      <c r="H16051" s="0" t="n">
        <v>12</v>
      </c>
      <c r="I16051" s="0" t="s">
        <v>53355</v>
      </c>
      <c r="J16051" s="0" t="s">
        <v>53356</v>
      </c>
      <c r="K16051" s="0" t="s">
        <v>53357</v>
      </c>
      <c r="L16051" s="0" t="str">
        <f aca="false">HYPERLINK("https://www.ncbi.nlm.nih.gov/nuccore/CP000058.1?report=graph&amp;tracks=[key:gene_model_track,Options:GeneOnly]&amp;mk=4970890:4970909|offset_12|00cc00,4970918:4970937|offset_40|444444,4970942:4970961|offset_64|444444,4970971:4970990|offset_93|444444&amp;v=4970689:4971190&amp;c=444444", "offset 12")</f>
        <v>offset 12</v>
      </c>
    </row>
    <row r="16052" customFormat="false" ht="12.8" hidden="false" customHeight="false" outlineLevel="0" collapsed="false">
      <c r="A16052" s="0" t="s">
        <v>12</v>
      </c>
      <c r="B16052" s="0" t="n">
        <v>4970917</v>
      </c>
      <c r="C16052" s="0" t="n">
        <v>4970937</v>
      </c>
      <c r="D16052" s="0" t="s">
        <v>53354</v>
      </c>
      <c r="E16052" s="0" t="s">
        <v>75</v>
      </c>
      <c r="F16052" s="0" t="s">
        <v>15</v>
      </c>
      <c r="G16052" s="0" t="s">
        <v>20</v>
      </c>
      <c r="H16052" s="0" t="n">
        <v>40</v>
      </c>
      <c r="I16052" s="0" t="s">
        <v>53358</v>
      </c>
      <c r="J16052" s="0" t="s">
        <v>53359</v>
      </c>
      <c r="K16052" s="0" t="s">
        <v>53360</v>
      </c>
      <c r="L16052" s="0" t="str">
        <f aca="false">HYPERLINK("https://www.ncbi.nlm.nih.gov/nuccore/CP000058.1?report=graph&amp;tracks=[key:gene_model_track,Options:GeneOnly]&amp;mk=4970890:4970909|offset_12|444444,4970918:4970937|offset_40|00cc00,4970942:4970961|offset_64|444444,4970971:4970990|offset_93|444444&amp;v=4970689:4971190&amp;c=444444", "offset 40")</f>
        <v>offset 40</v>
      </c>
    </row>
    <row r="16053" customFormat="false" ht="12.8" hidden="false" customHeight="false" outlineLevel="0" collapsed="false">
      <c r="A16053" s="0" t="s">
        <v>12</v>
      </c>
      <c r="B16053" s="0" t="n">
        <v>4970941</v>
      </c>
      <c r="C16053" s="0" t="n">
        <v>4970961</v>
      </c>
      <c r="D16053" s="0" t="s">
        <v>53354</v>
      </c>
      <c r="E16053" s="0" t="s">
        <v>75</v>
      </c>
      <c r="F16053" s="0" t="s">
        <v>15</v>
      </c>
      <c r="G16053" s="0" t="s">
        <v>16</v>
      </c>
      <c r="H16053" s="0" t="n">
        <v>64</v>
      </c>
      <c r="I16053" s="0" t="s">
        <v>53361</v>
      </c>
      <c r="J16053" s="0" t="s">
        <v>53362</v>
      </c>
      <c r="K16053" s="0" t="s">
        <v>53363</v>
      </c>
      <c r="L16053" s="0" t="str">
        <f aca="false">HYPERLINK("https://www.ncbi.nlm.nih.gov/nuccore/CP000058.1?report=graph&amp;tracks=[key:gene_model_track,Options:GeneOnly]&amp;mk=4970890:4970909|offset_12|444444,4970918:4970937|offset_40|444444,4970942:4970961|offset_64|00cc00,4970971:4970990|offset_93|444444&amp;v=4970689:4971190&amp;c=444444", "offset 64")</f>
        <v>offset 64</v>
      </c>
    </row>
    <row r="16054" customFormat="false" ht="12.8" hidden="false" customHeight="false" outlineLevel="0" collapsed="false">
      <c r="A16054" s="0" t="s">
        <v>12</v>
      </c>
      <c r="B16054" s="0" t="n">
        <v>4970970</v>
      </c>
      <c r="C16054" s="0" t="n">
        <v>4970990</v>
      </c>
      <c r="D16054" s="0" t="s">
        <v>53354</v>
      </c>
      <c r="E16054" s="0" t="s">
        <v>75</v>
      </c>
      <c r="F16054" s="0" t="s">
        <v>15</v>
      </c>
      <c r="G16054" s="0" t="s">
        <v>16</v>
      </c>
      <c r="H16054" s="0" t="n">
        <v>93</v>
      </c>
      <c r="I16054" s="0" t="s">
        <v>53364</v>
      </c>
      <c r="J16054" s="0" t="s">
        <v>53365</v>
      </c>
      <c r="K16054" s="0" t="s">
        <v>53366</v>
      </c>
      <c r="L16054" s="0" t="str">
        <f aca="false">HYPERLINK("https://www.ncbi.nlm.nih.gov/nuccore/CP000058.1?report=graph&amp;tracks=[key:gene_model_track,Options:GeneOnly]&amp;mk=4970890:4970909|offset_12|444444,4970918:4970937|offset_40|444444,4970942:4970961|offset_64|444444,4970971:4970990|offset_93|00cc00&amp;v=4970689:4971190&amp;c=444444", "offset 93")</f>
        <v>offset 93</v>
      </c>
    </row>
    <row r="16055" customFormat="false" ht="12.8" hidden="false" customHeight="false" outlineLevel="0" collapsed="false">
      <c r="A16055" s="0" t="s">
        <v>12</v>
      </c>
      <c r="B16055" s="0" t="n">
        <v>4972629</v>
      </c>
      <c r="C16055" s="0" t="n">
        <v>4972649</v>
      </c>
      <c r="D16055" s="0" t="s">
        <v>53367</v>
      </c>
      <c r="E16055" s="0" t="s">
        <v>75</v>
      </c>
      <c r="F16055" s="0" t="s">
        <v>90</v>
      </c>
      <c r="G16055" s="0" t="s">
        <v>36</v>
      </c>
      <c r="H16055" s="0" t="n">
        <v>22</v>
      </c>
      <c r="I16055" s="0" t="s">
        <v>53368</v>
      </c>
      <c r="J16055" s="0" t="s">
        <v>53369</v>
      </c>
      <c r="K16055" s="0" t="s">
        <v>53370</v>
      </c>
      <c r="L16055" s="0" t="str">
        <f aca="false">HYPERLINK("https://www.ncbi.nlm.nih.gov/nuccore/CP000058.1?report=graph&amp;tracks=[key:gene_model_track,Options:GeneOnly]&amp;mk=4972630:4972649|offset_22|00cc00,4972605:4972624|offset_47|444444,4972578:4972597|offset_74|444444,4972546:4972565|offset_106|444444&amp;v=4972429:4972765&amp;c=444444", "offset 22")</f>
        <v>offset 22</v>
      </c>
    </row>
    <row r="16056" customFormat="false" ht="12.8" hidden="false" customHeight="false" outlineLevel="0" collapsed="false">
      <c r="A16056" s="0" t="s">
        <v>12</v>
      </c>
      <c r="B16056" s="0" t="n">
        <v>4972604</v>
      </c>
      <c r="C16056" s="0" t="n">
        <v>4972624</v>
      </c>
      <c r="D16056" s="0" t="s">
        <v>53367</v>
      </c>
      <c r="E16056" s="0" t="s">
        <v>75</v>
      </c>
      <c r="F16056" s="0" t="s">
        <v>90</v>
      </c>
      <c r="G16056" s="0" t="s">
        <v>36</v>
      </c>
      <c r="H16056" s="0" t="n">
        <v>47</v>
      </c>
      <c r="I16056" s="0" t="s">
        <v>53371</v>
      </c>
      <c r="J16056" s="0" t="s">
        <v>53372</v>
      </c>
      <c r="K16056" s="0" t="s">
        <v>53373</v>
      </c>
      <c r="L16056" s="0" t="str">
        <f aca="false">HYPERLINK("https://www.ncbi.nlm.nih.gov/nuccore/CP000058.1?report=graph&amp;tracks=[key:gene_model_track,Options:GeneOnly]&amp;mk=4972630:4972649|offset_22|444444,4972605:4972624|offset_47|00cc00,4972578:4972597|offset_74|444444,4972546:4972565|offset_106|444444&amp;v=4972429:4972765&amp;c=444444", "offset 47")</f>
        <v>offset 47</v>
      </c>
    </row>
    <row r="16057" customFormat="false" ht="12.8" hidden="false" customHeight="false" outlineLevel="0" collapsed="false">
      <c r="A16057" s="0" t="s">
        <v>12</v>
      </c>
      <c r="B16057" s="0" t="n">
        <v>4972577</v>
      </c>
      <c r="C16057" s="0" t="n">
        <v>4972597</v>
      </c>
      <c r="D16057" s="0" t="s">
        <v>53367</v>
      </c>
      <c r="E16057" s="0" t="s">
        <v>75</v>
      </c>
      <c r="F16057" s="0" t="s">
        <v>90</v>
      </c>
      <c r="G16057" s="0" t="s">
        <v>36</v>
      </c>
      <c r="H16057" s="0" t="n">
        <v>74</v>
      </c>
      <c r="I16057" s="0" t="s">
        <v>53374</v>
      </c>
      <c r="J16057" s="0" t="s">
        <v>53375</v>
      </c>
      <c r="K16057" s="0" t="s">
        <v>53376</v>
      </c>
      <c r="L16057" s="0" t="str">
        <f aca="false">HYPERLINK("https://www.ncbi.nlm.nih.gov/nuccore/CP000058.1?report=graph&amp;tracks=[key:gene_model_track,Options:GeneOnly]&amp;mk=4972630:4972649|offset_22|444444,4972605:4972624|offset_47|444444,4972578:4972597|offset_74|00cc00,4972546:4972565|offset_106|444444&amp;v=4972429:4972765&amp;c=444444", "offset 74")</f>
        <v>offset 74</v>
      </c>
    </row>
    <row r="16058" customFormat="false" ht="12.8" hidden="false" customHeight="false" outlineLevel="0" collapsed="false">
      <c r="A16058" s="0" t="s">
        <v>12</v>
      </c>
      <c r="B16058" s="0" t="n">
        <v>4972545</v>
      </c>
      <c r="C16058" s="0" t="n">
        <v>4972565</v>
      </c>
      <c r="D16058" s="0" t="s">
        <v>53367</v>
      </c>
      <c r="E16058" s="0" t="s">
        <v>75</v>
      </c>
      <c r="F16058" s="0" t="s">
        <v>90</v>
      </c>
      <c r="G16058" s="0" t="s">
        <v>16</v>
      </c>
      <c r="H16058" s="0" t="n">
        <v>106</v>
      </c>
      <c r="I16058" s="0" t="s">
        <v>53377</v>
      </c>
      <c r="J16058" s="0" t="s">
        <v>53378</v>
      </c>
      <c r="K16058" s="0" t="s">
        <v>53379</v>
      </c>
      <c r="L16058" s="0" t="str">
        <f aca="false">HYPERLINK("https://www.ncbi.nlm.nih.gov/nuccore/CP000058.1?report=graph&amp;tracks=[key:gene_model_track,Options:GeneOnly]&amp;mk=4972630:4972649|offset_22|444444,4972605:4972624|offset_47|444444,4972578:4972597|offset_74|444444,4972546:4972565|offset_106|00cc00&amp;v=4972429:4972765&amp;c=444444", "offset 106")</f>
        <v>offset 106</v>
      </c>
    </row>
    <row r="16059" customFormat="false" ht="12.8" hidden="false" customHeight="false" outlineLevel="0" collapsed="false">
      <c r="A16059" s="0" t="s">
        <v>12</v>
      </c>
      <c r="B16059" s="0" t="n">
        <v>4973536</v>
      </c>
      <c r="C16059" s="0" t="n">
        <v>4973556</v>
      </c>
      <c r="D16059" s="0" t="s">
        <v>53380</v>
      </c>
      <c r="E16059" s="0" t="s">
        <v>53381</v>
      </c>
      <c r="F16059" s="0" t="s">
        <v>90</v>
      </c>
      <c r="G16059" s="0" t="s">
        <v>32</v>
      </c>
      <c r="H16059" s="0" t="n">
        <v>8</v>
      </c>
      <c r="I16059" s="0" t="s">
        <v>53382</v>
      </c>
      <c r="J16059" s="0" t="s">
        <v>53383</v>
      </c>
      <c r="K16059" s="0" t="s">
        <v>53384</v>
      </c>
      <c r="L16059" s="0" t="str">
        <f aca="false">HYPERLINK("https://www.ncbi.nlm.nih.gov/nuccore/CP000058.1?report=graph&amp;tracks=[key:gene_model_track,Options:GeneOnly]&amp;mk=4973537:4973556|offset_8|00cc00,4973496:4973515|offset_49|444444,4973471:4973490|offset_74|444444,4973447:4973466|offset_98|444444&amp;v=4973336:4973666&amp;c=444444", "offset 8")</f>
        <v>offset 8</v>
      </c>
    </row>
    <row r="16060" customFormat="false" ht="12.8" hidden="false" customHeight="false" outlineLevel="0" collapsed="false">
      <c r="A16060" s="0" t="s">
        <v>12</v>
      </c>
      <c r="B16060" s="0" t="n">
        <v>4973495</v>
      </c>
      <c r="C16060" s="0" t="n">
        <v>4973515</v>
      </c>
      <c r="D16060" s="0" t="s">
        <v>53380</v>
      </c>
      <c r="E16060" s="0" t="s">
        <v>53381</v>
      </c>
      <c r="F16060" s="0" t="s">
        <v>90</v>
      </c>
      <c r="G16060" s="0" t="s">
        <v>32</v>
      </c>
      <c r="H16060" s="0" t="n">
        <v>49</v>
      </c>
      <c r="I16060" s="0" t="s">
        <v>53385</v>
      </c>
      <c r="J16060" s="0" t="s">
        <v>53386</v>
      </c>
      <c r="K16060" s="0" t="s">
        <v>53387</v>
      </c>
      <c r="L16060" s="0" t="str">
        <f aca="false">HYPERLINK("https://www.ncbi.nlm.nih.gov/nuccore/CP000058.1?report=graph&amp;tracks=[key:gene_model_track,Options:GeneOnly]&amp;mk=4973537:4973556|offset_8|444444,4973496:4973515|offset_49|00cc00,4973471:4973490|offset_74|444444,4973447:4973466|offset_98|444444&amp;v=4973336:4973666&amp;c=444444", "offset 49")</f>
        <v>offset 49</v>
      </c>
    </row>
    <row r="16061" customFormat="false" ht="12.8" hidden="false" customHeight="false" outlineLevel="0" collapsed="false">
      <c r="A16061" s="0" t="s">
        <v>12</v>
      </c>
      <c r="B16061" s="0" t="n">
        <v>4973470</v>
      </c>
      <c r="C16061" s="0" t="n">
        <v>4973490</v>
      </c>
      <c r="D16061" s="0" t="s">
        <v>53380</v>
      </c>
      <c r="E16061" s="0" t="s">
        <v>53381</v>
      </c>
      <c r="F16061" s="0" t="s">
        <v>90</v>
      </c>
      <c r="G16061" s="0" t="s">
        <v>16</v>
      </c>
      <c r="H16061" s="0" t="n">
        <v>74</v>
      </c>
      <c r="I16061" s="0" t="s">
        <v>53388</v>
      </c>
      <c r="J16061" s="0" t="s">
        <v>53389</v>
      </c>
      <c r="K16061" s="0" t="s">
        <v>53390</v>
      </c>
      <c r="L16061" s="0" t="str">
        <f aca="false">HYPERLINK("https://www.ncbi.nlm.nih.gov/nuccore/CP000058.1?report=graph&amp;tracks=[key:gene_model_track,Options:GeneOnly]&amp;mk=4973537:4973556|offset_8|444444,4973496:4973515|offset_49|444444,4973471:4973490|offset_74|00cc00,4973447:4973466|offset_98|444444&amp;v=4973336:4973666&amp;c=444444", "offset 74")</f>
        <v>offset 74</v>
      </c>
    </row>
    <row r="16062" customFormat="false" ht="12.8" hidden="false" customHeight="false" outlineLevel="0" collapsed="false">
      <c r="A16062" s="0" t="s">
        <v>12</v>
      </c>
      <c r="B16062" s="0" t="n">
        <v>4973446</v>
      </c>
      <c r="C16062" s="0" t="n">
        <v>4973466</v>
      </c>
      <c r="D16062" s="0" t="s">
        <v>53380</v>
      </c>
      <c r="E16062" s="0" t="s">
        <v>53381</v>
      </c>
      <c r="F16062" s="0" t="s">
        <v>90</v>
      </c>
      <c r="G16062" s="0" t="s">
        <v>32</v>
      </c>
      <c r="H16062" s="0" t="n">
        <v>98</v>
      </c>
      <c r="I16062" s="0" t="s">
        <v>53391</v>
      </c>
      <c r="J16062" s="0" t="s">
        <v>53392</v>
      </c>
      <c r="K16062" s="0" t="s">
        <v>53393</v>
      </c>
      <c r="L16062" s="0" t="str">
        <f aca="false">HYPERLINK("https://www.ncbi.nlm.nih.gov/nuccore/CP000058.1?report=graph&amp;tracks=[key:gene_model_track,Options:GeneOnly]&amp;mk=4973537:4973556|offset_8|444444,4973496:4973515|offset_49|444444,4973471:4973490|offset_74|444444,4973447:4973466|offset_98|00cc00&amp;v=4973336:4973666&amp;c=444444", "offset 98")</f>
        <v>offset 98</v>
      </c>
    </row>
    <row r="16063" customFormat="false" ht="12.8" hidden="false" customHeight="false" outlineLevel="0" collapsed="false">
      <c r="A16063" s="0" t="s">
        <v>12</v>
      </c>
      <c r="B16063" s="0" t="n">
        <v>4974244</v>
      </c>
      <c r="C16063" s="0" t="n">
        <v>4974264</v>
      </c>
      <c r="D16063" s="0" t="s">
        <v>53394</v>
      </c>
      <c r="E16063" s="0" t="s">
        <v>75</v>
      </c>
      <c r="F16063" s="0" t="s">
        <v>90</v>
      </c>
      <c r="G16063" s="0" t="s">
        <v>16</v>
      </c>
      <c r="H16063" s="0" t="n">
        <v>9</v>
      </c>
      <c r="I16063" s="0" t="s">
        <v>53395</v>
      </c>
      <c r="J16063" s="0" t="s">
        <v>53396</v>
      </c>
      <c r="K16063" s="0" t="s">
        <v>53397</v>
      </c>
      <c r="L16063" s="0" t="str">
        <f aca="false">HYPERLINK("https://www.ncbi.nlm.nih.gov/nuccore/CP000058.1?report=graph&amp;tracks=[key:gene_model_track,Options:GeneOnly]&amp;mk=4974245:4974264|offset_9|00cc00,4974223:4974242|offset_31|444444,4974185:4974204|offset_69|444444,4974156:4974175|offset_98|444444&amp;v=4974044:4974375&amp;c=444444", "offset 9")</f>
        <v>offset 9</v>
      </c>
    </row>
    <row r="16064" customFormat="false" ht="12.8" hidden="false" customHeight="false" outlineLevel="0" collapsed="false">
      <c r="A16064" s="0" t="s">
        <v>12</v>
      </c>
      <c r="B16064" s="0" t="n">
        <v>4974222</v>
      </c>
      <c r="C16064" s="0" t="n">
        <v>4974242</v>
      </c>
      <c r="D16064" s="0" t="s">
        <v>53394</v>
      </c>
      <c r="E16064" s="0" t="s">
        <v>75</v>
      </c>
      <c r="F16064" s="0" t="s">
        <v>90</v>
      </c>
      <c r="G16064" s="0" t="s">
        <v>36</v>
      </c>
      <c r="H16064" s="0" t="n">
        <v>31</v>
      </c>
      <c r="I16064" s="0" t="s">
        <v>53398</v>
      </c>
      <c r="J16064" s="0" t="s">
        <v>53399</v>
      </c>
      <c r="K16064" s="0" t="s">
        <v>53400</v>
      </c>
      <c r="L16064" s="0" t="str">
        <f aca="false">HYPERLINK("https://www.ncbi.nlm.nih.gov/nuccore/CP000058.1?report=graph&amp;tracks=[key:gene_model_track,Options:GeneOnly]&amp;mk=4974245:4974264|offset_9|444444,4974223:4974242|offset_31|00cc00,4974185:4974204|offset_69|444444,4974156:4974175|offset_98|444444&amp;v=4974044:4974375&amp;c=444444", "offset 31")</f>
        <v>offset 31</v>
      </c>
    </row>
    <row r="16065" customFormat="false" ht="12.8" hidden="false" customHeight="false" outlineLevel="0" collapsed="false">
      <c r="A16065" s="0" t="s">
        <v>12</v>
      </c>
      <c r="B16065" s="0" t="n">
        <v>4974184</v>
      </c>
      <c r="C16065" s="0" t="n">
        <v>4974204</v>
      </c>
      <c r="D16065" s="0" t="s">
        <v>53394</v>
      </c>
      <c r="E16065" s="0" t="s">
        <v>75</v>
      </c>
      <c r="F16065" s="0" t="s">
        <v>90</v>
      </c>
      <c r="G16065" s="0" t="s">
        <v>32</v>
      </c>
      <c r="H16065" s="0" t="n">
        <v>69</v>
      </c>
      <c r="I16065" s="0" t="s">
        <v>53401</v>
      </c>
      <c r="J16065" s="0" t="s">
        <v>53402</v>
      </c>
      <c r="K16065" s="0" t="s">
        <v>53403</v>
      </c>
      <c r="L16065" s="0" t="str">
        <f aca="false">HYPERLINK("https://www.ncbi.nlm.nih.gov/nuccore/CP000058.1?report=graph&amp;tracks=[key:gene_model_track,Options:GeneOnly]&amp;mk=4974245:4974264|offset_9|444444,4974223:4974242|offset_31|444444,4974185:4974204|offset_69|00cc00,4974156:4974175|offset_98|444444&amp;v=4974044:4974375&amp;c=444444", "offset 69")</f>
        <v>offset 69</v>
      </c>
    </row>
    <row r="16066" customFormat="false" ht="12.8" hidden="false" customHeight="false" outlineLevel="0" collapsed="false">
      <c r="A16066" s="0" t="s">
        <v>12</v>
      </c>
      <c r="B16066" s="0" t="n">
        <v>4974155</v>
      </c>
      <c r="C16066" s="0" t="n">
        <v>4974175</v>
      </c>
      <c r="D16066" s="0" t="s">
        <v>53394</v>
      </c>
      <c r="E16066" s="0" t="s">
        <v>75</v>
      </c>
      <c r="F16066" s="0" t="s">
        <v>90</v>
      </c>
      <c r="G16066" s="0" t="s">
        <v>16</v>
      </c>
      <c r="H16066" s="0" t="n">
        <v>98</v>
      </c>
      <c r="I16066" s="0" t="s">
        <v>53404</v>
      </c>
      <c r="J16066" s="0" t="s">
        <v>53405</v>
      </c>
      <c r="K16066" s="0" t="s">
        <v>53406</v>
      </c>
      <c r="L16066" s="0" t="str">
        <f aca="false">HYPERLINK("https://www.ncbi.nlm.nih.gov/nuccore/CP000058.1?report=graph&amp;tracks=[key:gene_model_track,Options:GeneOnly]&amp;mk=4974245:4974264|offset_9|444444,4974223:4974242|offset_31|444444,4974185:4974204|offset_69|444444,4974156:4974175|offset_98|00cc00&amp;v=4974044:4974375&amp;c=444444", "offset 98")</f>
        <v>offset 98</v>
      </c>
    </row>
    <row r="16067" customFormat="false" ht="12.8" hidden="false" customHeight="false" outlineLevel="0" collapsed="false">
      <c r="A16067" s="0" t="s">
        <v>12</v>
      </c>
      <c r="B16067" s="0" t="n">
        <v>4974400</v>
      </c>
      <c r="C16067" s="0" t="n">
        <v>4974420</v>
      </c>
      <c r="D16067" s="0" t="s">
        <v>53407</v>
      </c>
      <c r="E16067" s="0" t="s">
        <v>75</v>
      </c>
      <c r="F16067" s="0" t="s">
        <v>15</v>
      </c>
      <c r="G16067" s="0" t="s">
        <v>36</v>
      </c>
      <c r="H16067" s="0" t="n">
        <v>7</v>
      </c>
      <c r="I16067" s="0" t="s">
        <v>53408</v>
      </c>
      <c r="J16067" s="0" t="s">
        <v>53409</v>
      </c>
      <c r="K16067" s="0" t="s">
        <v>53410</v>
      </c>
      <c r="L16067" s="0" t="str">
        <f aca="false">HYPERLINK("https://www.ncbi.nlm.nih.gov/nuccore/CP000058.1?report=graph&amp;tracks=[key:gene_model_track,Options:GeneOnly]&amp;mk=4974401:4974420|offset_7|00cc00,4974432:4974451|offset_38|444444,4974453:4974472|offset_59|444444,4974474:4974493|offset_80|444444&amp;v=4974200:4974693&amp;c=444444", "offset 7")</f>
        <v>offset 7</v>
      </c>
    </row>
    <row r="16068" customFormat="false" ht="12.8" hidden="false" customHeight="false" outlineLevel="0" collapsed="false">
      <c r="A16068" s="0" t="s">
        <v>12</v>
      </c>
      <c r="B16068" s="0" t="n">
        <v>4974431</v>
      </c>
      <c r="C16068" s="0" t="n">
        <v>4974451</v>
      </c>
      <c r="D16068" s="0" t="s">
        <v>53407</v>
      </c>
      <c r="E16068" s="0" t="s">
        <v>75</v>
      </c>
      <c r="F16068" s="0" t="s">
        <v>15</v>
      </c>
      <c r="G16068" s="0" t="s">
        <v>36</v>
      </c>
      <c r="H16068" s="0" t="n">
        <v>38</v>
      </c>
      <c r="I16068" s="0" t="s">
        <v>53411</v>
      </c>
      <c r="J16068" s="0" t="s">
        <v>53412</v>
      </c>
      <c r="K16068" s="0" t="s">
        <v>53413</v>
      </c>
      <c r="L16068" s="0" t="str">
        <f aca="false">HYPERLINK("https://www.ncbi.nlm.nih.gov/nuccore/CP000058.1?report=graph&amp;tracks=[key:gene_model_track,Options:GeneOnly]&amp;mk=4974401:4974420|offset_7|444444,4974432:4974451|offset_38|00cc00,4974453:4974472|offset_59|444444,4974474:4974493|offset_80|444444&amp;v=4974200:4974693&amp;c=444444", "offset 38")</f>
        <v>offset 38</v>
      </c>
    </row>
    <row r="16069" customFormat="false" ht="12.8" hidden="false" customHeight="false" outlineLevel="0" collapsed="false">
      <c r="A16069" s="0" t="s">
        <v>12</v>
      </c>
      <c r="B16069" s="0" t="n">
        <v>4974452</v>
      </c>
      <c r="C16069" s="0" t="n">
        <v>4974472</v>
      </c>
      <c r="D16069" s="0" t="s">
        <v>53407</v>
      </c>
      <c r="E16069" s="0" t="s">
        <v>75</v>
      </c>
      <c r="F16069" s="0" t="s">
        <v>15</v>
      </c>
      <c r="G16069" s="0" t="s">
        <v>16</v>
      </c>
      <c r="H16069" s="0" t="n">
        <v>59</v>
      </c>
      <c r="I16069" s="0" t="s">
        <v>53414</v>
      </c>
      <c r="J16069" s="0" t="s">
        <v>53415</v>
      </c>
      <c r="K16069" s="0" t="s">
        <v>53416</v>
      </c>
      <c r="L16069" s="0" t="str">
        <f aca="false">HYPERLINK("https://www.ncbi.nlm.nih.gov/nuccore/CP000058.1?report=graph&amp;tracks=[key:gene_model_track,Options:GeneOnly]&amp;mk=4974401:4974420|offset_7|444444,4974432:4974451|offset_38|444444,4974453:4974472|offset_59|00cc00,4974474:4974493|offset_80|444444&amp;v=4974200:4974693&amp;c=444444", "offset 59")</f>
        <v>offset 59</v>
      </c>
    </row>
    <row r="16070" customFormat="false" ht="12.8" hidden="false" customHeight="false" outlineLevel="0" collapsed="false">
      <c r="A16070" s="0" t="s">
        <v>12</v>
      </c>
      <c r="B16070" s="0" t="n">
        <v>4974473</v>
      </c>
      <c r="C16070" s="0" t="n">
        <v>4974493</v>
      </c>
      <c r="D16070" s="0" t="s">
        <v>53407</v>
      </c>
      <c r="E16070" s="0" t="s">
        <v>75</v>
      </c>
      <c r="F16070" s="0" t="s">
        <v>15</v>
      </c>
      <c r="G16070" s="0" t="s">
        <v>16</v>
      </c>
      <c r="H16070" s="0" t="n">
        <v>80</v>
      </c>
      <c r="I16070" s="0" t="s">
        <v>53417</v>
      </c>
      <c r="J16070" s="0" t="s">
        <v>53418</v>
      </c>
      <c r="K16070" s="0" t="s">
        <v>53419</v>
      </c>
      <c r="L16070" s="0" t="str">
        <f aca="false">HYPERLINK("https://www.ncbi.nlm.nih.gov/nuccore/CP000058.1?report=graph&amp;tracks=[key:gene_model_track,Options:GeneOnly]&amp;mk=4974401:4974420|offset_7|444444,4974432:4974451|offset_38|444444,4974453:4974472|offset_59|444444,4974474:4974493|offset_80|00cc00&amp;v=4974200:4974693&amp;c=444444", "offset 80")</f>
        <v>offset 80</v>
      </c>
    </row>
    <row r="16071" customFormat="false" ht="12.8" hidden="false" customHeight="false" outlineLevel="0" collapsed="false">
      <c r="A16071" s="0" t="s">
        <v>12</v>
      </c>
      <c r="B16071" s="0" t="n">
        <v>4975418</v>
      </c>
      <c r="C16071" s="0" t="n">
        <v>4975438</v>
      </c>
      <c r="D16071" s="0" t="s">
        <v>53420</v>
      </c>
      <c r="E16071" s="0" t="s">
        <v>75</v>
      </c>
      <c r="F16071" s="0" t="s">
        <v>15</v>
      </c>
      <c r="G16071" s="0" t="s">
        <v>32</v>
      </c>
      <c r="H16071" s="0" t="n">
        <v>1</v>
      </c>
      <c r="I16071" s="0" t="s">
        <v>53421</v>
      </c>
      <c r="J16071" s="0" t="s">
        <v>53422</v>
      </c>
      <c r="K16071" s="0" t="s">
        <v>53423</v>
      </c>
      <c r="L16071" s="0" t="str">
        <f aca="false">HYPERLINK("https://www.ncbi.nlm.nih.gov/nuccore/CP000058.1?report=graph&amp;tracks=[key:gene_model_track,Options:GeneOnly]&amp;mk=4975419:4975438|offset_1|00cc00,4975439:4975458|offset_21|444444,4975474:4975493|offset_56|444444,4975507:4975526|offset_89|444444&amp;v=4975218:4975726&amp;c=444444", "offset 1")</f>
        <v>offset 1</v>
      </c>
    </row>
    <row r="16072" customFormat="false" ht="12.8" hidden="false" customHeight="false" outlineLevel="0" collapsed="false">
      <c r="A16072" s="0" t="s">
        <v>12</v>
      </c>
      <c r="B16072" s="0" t="n">
        <v>4975438</v>
      </c>
      <c r="C16072" s="0" t="n">
        <v>4975458</v>
      </c>
      <c r="D16072" s="0" t="s">
        <v>53420</v>
      </c>
      <c r="E16072" s="0" t="s">
        <v>75</v>
      </c>
      <c r="F16072" s="0" t="s">
        <v>15</v>
      </c>
      <c r="G16072" s="0" t="s">
        <v>20</v>
      </c>
      <c r="H16072" s="0" t="n">
        <v>21</v>
      </c>
      <c r="I16072" s="0" t="s">
        <v>53424</v>
      </c>
      <c r="J16072" s="0" t="s">
        <v>53425</v>
      </c>
      <c r="K16072" s="0" t="s">
        <v>53426</v>
      </c>
      <c r="L16072" s="0" t="str">
        <f aca="false">HYPERLINK("https://www.ncbi.nlm.nih.gov/nuccore/CP000058.1?report=graph&amp;tracks=[key:gene_model_track,Options:GeneOnly]&amp;mk=4975419:4975438|offset_1|444444,4975439:4975458|offset_21|00cc00,4975474:4975493|offset_56|444444,4975507:4975526|offset_89|444444&amp;v=4975218:4975726&amp;c=444444", "offset 21")</f>
        <v>offset 21</v>
      </c>
    </row>
    <row r="16073" customFormat="false" ht="12.8" hidden="false" customHeight="false" outlineLevel="0" collapsed="false">
      <c r="A16073" s="0" t="s">
        <v>12</v>
      </c>
      <c r="B16073" s="0" t="n">
        <v>4975473</v>
      </c>
      <c r="C16073" s="0" t="n">
        <v>4975493</v>
      </c>
      <c r="D16073" s="0" t="s">
        <v>53420</v>
      </c>
      <c r="E16073" s="0" t="s">
        <v>75</v>
      </c>
      <c r="F16073" s="0" t="s">
        <v>15</v>
      </c>
      <c r="G16073" s="0" t="s">
        <v>36</v>
      </c>
      <c r="H16073" s="0" t="n">
        <v>56</v>
      </c>
      <c r="I16073" s="0" t="s">
        <v>53427</v>
      </c>
      <c r="J16073" s="0" t="s">
        <v>53428</v>
      </c>
      <c r="K16073" s="0" t="s">
        <v>53429</v>
      </c>
      <c r="L16073" s="0" t="str">
        <f aca="false">HYPERLINK("https://www.ncbi.nlm.nih.gov/nuccore/CP000058.1?report=graph&amp;tracks=[key:gene_model_track,Options:GeneOnly]&amp;mk=4975419:4975438|offset_1|444444,4975439:4975458|offset_21|444444,4975474:4975493|offset_56|00cc00,4975507:4975526|offset_89|444444&amp;v=4975218:4975726&amp;c=444444", "offset 56")</f>
        <v>offset 56</v>
      </c>
    </row>
    <row r="16074" customFormat="false" ht="12.8" hidden="false" customHeight="false" outlineLevel="0" collapsed="false">
      <c r="A16074" s="0" t="s">
        <v>12</v>
      </c>
      <c r="B16074" s="0" t="n">
        <v>4975506</v>
      </c>
      <c r="C16074" s="0" t="n">
        <v>4975526</v>
      </c>
      <c r="D16074" s="0" t="s">
        <v>53420</v>
      </c>
      <c r="E16074" s="0" t="s">
        <v>75</v>
      </c>
      <c r="F16074" s="0" t="s">
        <v>15</v>
      </c>
      <c r="G16074" s="0" t="s">
        <v>32</v>
      </c>
      <c r="H16074" s="0" t="n">
        <v>89</v>
      </c>
      <c r="I16074" s="0" t="s">
        <v>53430</v>
      </c>
      <c r="J16074" s="0" t="s">
        <v>53431</v>
      </c>
      <c r="K16074" s="0" t="s">
        <v>53432</v>
      </c>
      <c r="L16074" s="0" t="str">
        <f aca="false">HYPERLINK("https://www.ncbi.nlm.nih.gov/nuccore/CP000058.1?report=graph&amp;tracks=[key:gene_model_track,Options:GeneOnly]&amp;mk=4975419:4975438|offset_1|444444,4975439:4975458|offset_21|444444,4975474:4975493|offset_56|444444,4975507:4975526|offset_89|00cc00&amp;v=4975218:4975726&amp;c=444444", "offset 89")</f>
        <v>offset 89</v>
      </c>
    </row>
    <row r="16075" customFormat="false" ht="12.8" hidden="false" customHeight="false" outlineLevel="0" collapsed="false">
      <c r="A16075" s="0" t="s">
        <v>12</v>
      </c>
      <c r="B16075" s="0" t="n">
        <v>4978198</v>
      </c>
      <c r="C16075" s="0" t="n">
        <v>4978218</v>
      </c>
      <c r="D16075" s="0" t="s">
        <v>53433</v>
      </c>
      <c r="E16075" s="0" t="s">
        <v>75</v>
      </c>
      <c r="F16075" s="0" t="s">
        <v>90</v>
      </c>
      <c r="G16075" s="0" t="s">
        <v>20</v>
      </c>
      <c r="H16075" s="0" t="n">
        <v>13</v>
      </c>
      <c r="I16075" s="0" t="s">
        <v>53434</v>
      </c>
      <c r="J16075" s="0" t="s">
        <v>53435</v>
      </c>
      <c r="K16075" s="0" t="s">
        <v>53436</v>
      </c>
      <c r="L16075" s="0" t="str">
        <f aca="false">HYPERLINK("https://www.ncbi.nlm.nih.gov/nuccore/CP000058.1?report=graph&amp;tracks=[key:gene_model_track,Options:GeneOnly]&amp;mk=4978199:4978218|offset_13|00cc00,4978175:4978194|offset_37|444444,4978155:4978174|offset_57|444444,4978123:4978142|offset_89|444444&amp;v=4977998:4978342&amp;c=444444", "offset 13")</f>
        <v>offset 13</v>
      </c>
    </row>
    <row r="16076" customFormat="false" ht="12.8" hidden="false" customHeight="false" outlineLevel="0" collapsed="false">
      <c r="A16076" s="0" t="s">
        <v>12</v>
      </c>
      <c r="B16076" s="0" t="n">
        <v>4978174</v>
      </c>
      <c r="C16076" s="0" t="n">
        <v>4978194</v>
      </c>
      <c r="D16076" s="0" t="s">
        <v>53433</v>
      </c>
      <c r="E16076" s="0" t="s">
        <v>75</v>
      </c>
      <c r="F16076" s="0" t="s">
        <v>90</v>
      </c>
      <c r="G16076" s="0" t="s">
        <v>20</v>
      </c>
      <c r="H16076" s="0" t="n">
        <v>37</v>
      </c>
      <c r="I16076" s="0" t="s">
        <v>53437</v>
      </c>
      <c r="J16076" s="0" t="s">
        <v>53438</v>
      </c>
      <c r="K16076" s="0" t="s">
        <v>53439</v>
      </c>
      <c r="L16076" s="0" t="str">
        <f aca="false">HYPERLINK("https://www.ncbi.nlm.nih.gov/nuccore/CP000058.1?report=graph&amp;tracks=[key:gene_model_track,Options:GeneOnly]&amp;mk=4978199:4978218|offset_13|444444,4978175:4978194|offset_37|00cc00,4978155:4978174|offset_57|444444,4978123:4978142|offset_89|444444&amp;v=4977998:4978342&amp;c=444444", "offset 37")</f>
        <v>offset 37</v>
      </c>
    </row>
    <row r="16077" customFormat="false" ht="12.8" hidden="false" customHeight="false" outlineLevel="0" collapsed="false">
      <c r="A16077" s="0" t="s">
        <v>12</v>
      </c>
      <c r="B16077" s="0" t="n">
        <v>4978154</v>
      </c>
      <c r="C16077" s="0" t="n">
        <v>4978174</v>
      </c>
      <c r="D16077" s="0" t="s">
        <v>53433</v>
      </c>
      <c r="E16077" s="0" t="s">
        <v>75</v>
      </c>
      <c r="F16077" s="0" t="s">
        <v>90</v>
      </c>
      <c r="G16077" s="0" t="s">
        <v>36</v>
      </c>
      <c r="H16077" s="0" t="n">
        <v>57</v>
      </c>
      <c r="I16077" s="0" t="s">
        <v>53440</v>
      </c>
      <c r="J16077" s="0" t="s">
        <v>53441</v>
      </c>
      <c r="K16077" s="0" t="s">
        <v>53442</v>
      </c>
      <c r="L16077" s="0" t="str">
        <f aca="false">HYPERLINK("https://www.ncbi.nlm.nih.gov/nuccore/CP000058.1?report=graph&amp;tracks=[key:gene_model_track,Options:GeneOnly]&amp;mk=4978199:4978218|offset_13|444444,4978175:4978194|offset_37|444444,4978155:4978174|offset_57|00cc00,4978123:4978142|offset_89|444444&amp;v=4977998:4978342&amp;c=444444", "offset 57")</f>
        <v>offset 57</v>
      </c>
    </row>
    <row r="16078" customFormat="false" ht="12.8" hidden="false" customHeight="false" outlineLevel="0" collapsed="false">
      <c r="A16078" s="0" t="s">
        <v>12</v>
      </c>
      <c r="B16078" s="0" t="n">
        <v>4978122</v>
      </c>
      <c r="C16078" s="0" t="n">
        <v>4978142</v>
      </c>
      <c r="D16078" s="0" t="s">
        <v>53433</v>
      </c>
      <c r="E16078" s="0" t="s">
        <v>75</v>
      </c>
      <c r="F16078" s="0" t="s">
        <v>90</v>
      </c>
      <c r="G16078" s="0" t="s">
        <v>32</v>
      </c>
      <c r="H16078" s="0" t="n">
        <v>89</v>
      </c>
      <c r="I16078" s="0" t="s">
        <v>53443</v>
      </c>
      <c r="J16078" s="0" t="s">
        <v>53444</v>
      </c>
      <c r="K16078" s="0" t="s">
        <v>53445</v>
      </c>
      <c r="L16078" s="0" t="str">
        <f aca="false">HYPERLINK("https://www.ncbi.nlm.nih.gov/nuccore/CP000058.1?report=graph&amp;tracks=[key:gene_model_track,Options:GeneOnly]&amp;mk=4978199:4978218|offset_13|444444,4978175:4978194|offset_37|444444,4978155:4978174|offset_57|444444,4978123:4978142|offset_89|00cc00&amp;v=4977998:4978342&amp;c=444444", "offset 89")</f>
        <v>offset 89</v>
      </c>
    </row>
    <row r="16079" customFormat="false" ht="12.8" hidden="false" customHeight="false" outlineLevel="0" collapsed="false">
      <c r="A16079" s="0" t="s">
        <v>12</v>
      </c>
      <c r="B16079" s="0" t="n">
        <v>4979163</v>
      </c>
      <c r="C16079" s="0" t="n">
        <v>4979183</v>
      </c>
      <c r="D16079" s="0" t="s">
        <v>53446</v>
      </c>
      <c r="E16079" s="0" t="s">
        <v>75</v>
      </c>
      <c r="F16079" s="0" t="s">
        <v>90</v>
      </c>
      <c r="G16079" s="0" t="s">
        <v>32</v>
      </c>
      <c r="H16079" s="0" t="n">
        <v>1</v>
      </c>
      <c r="I16079" s="0" t="s">
        <v>53447</v>
      </c>
      <c r="J16079" s="0" t="s">
        <v>53448</v>
      </c>
      <c r="K16079" s="0" t="s">
        <v>53449</v>
      </c>
      <c r="L16079" s="0" t="str">
        <f aca="false">HYPERLINK("https://www.ncbi.nlm.nih.gov/nuccore/CP000058.1?report=graph&amp;tracks=[key:gene_model_track,Options:GeneOnly]&amp;mk=4979164:4979183|offset_1|00cc00,4979138:4979157|offset_27|444444,4979113:4979132|offset_52|444444,4979089:4979108|offset_76|444444&amp;v=4978963:4979308&amp;c=444444", "offset 1")</f>
        <v>offset 1</v>
      </c>
    </row>
    <row r="16080" customFormat="false" ht="12.8" hidden="false" customHeight="false" outlineLevel="0" collapsed="false">
      <c r="A16080" s="0" t="s">
        <v>12</v>
      </c>
      <c r="B16080" s="0" t="n">
        <v>4979137</v>
      </c>
      <c r="C16080" s="0" t="n">
        <v>4979157</v>
      </c>
      <c r="D16080" s="0" t="s">
        <v>53446</v>
      </c>
      <c r="E16080" s="0" t="s">
        <v>75</v>
      </c>
      <c r="F16080" s="0" t="s">
        <v>90</v>
      </c>
      <c r="G16080" s="0" t="s">
        <v>16</v>
      </c>
      <c r="H16080" s="0" t="n">
        <v>27</v>
      </c>
      <c r="I16080" s="0" t="s">
        <v>53450</v>
      </c>
      <c r="J16080" s="0" t="s">
        <v>53451</v>
      </c>
      <c r="K16080" s="0" t="s">
        <v>53452</v>
      </c>
      <c r="L16080" s="0" t="str">
        <f aca="false">HYPERLINK("https://www.ncbi.nlm.nih.gov/nuccore/CP000058.1?report=graph&amp;tracks=[key:gene_model_track,Options:GeneOnly]&amp;mk=4979164:4979183|offset_1|444444,4979138:4979157|offset_27|00cc00,4979113:4979132|offset_52|444444,4979089:4979108|offset_76|444444&amp;v=4978963:4979308&amp;c=444444", "offset 27")</f>
        <v>offset 27</v>
      </c>
    </row>
    <row r="16081" customFormat="false" ht="12.8" hidden="false" customHeight="false" outlineLevel="0" collapsed="false">
      <c r="A16081" s="0" t="s">
        <v>12</v>
      </c>
      <c r="B16081" s="0" t="n">
        <v>4979112</v>
      </c>
      <c r="C16081" s="0" t="n">
        <v>4979132</v>
      </c>
      <c r="D16081" s="0" t="s">
        <v>53446</v>
      </c>
      <c r="E16081" s="0" t="s">
        <v>75</v>
      </c>
      <c r="F16081" s="0" t="s">
        <v>90</v>
      </c>
      <c r="G16081" s="0" t="s">
        <v>20</v>
      </c>
      <c r="H16081" s="0" t="n">
        <v>52</v>
      </c>
      <c r="I16081" s="0" t="s">
        <v>53453</v>
      </c>
      <c r="J16081" s="0" t="s">
        <v>53454</v>
      </c>
      <c r="K16081" s="0" t="s">
        <v>53455</v>
      </c>
      <c r="L16081" s="0" t="str">
        <f aca="false">HYPERLINK("https://www.ncbi.nlm.nih.gov/nuccore/CP000058.1?report=graph&amp;tracks=[key:gene_model_track,Options:GeneOnly]&amp;mk=4979164:4979183|offset_1|444444,4979138:4979157|offset_27|444444,4979113:4979132|offset_52|00cc00,4979089:4979108|offset_76|444444&amp;v=4978963:4979308&amp;c=444444", "offset 52")</f>
        <v>offset 52</v>
      </c>
    </row>
    <row r="16082" customFormat="false" ht="12.8" hidden="false" customHeight="false" outlineLevel="0" collapsed="false">
      <c r="A16082" s="0" t="s">
        <v>12</v>
      </c>
      <c r="B16082" s="0" t="n">
        <v>4979088</v>
      </c>
      <c r="C16082" s="0" t="n">
        <v>4979108</v>
      </c>
      <c r="D16082" s="0" t="s">
        <v>53446</v>
      </c>
      <c r="E16082" s="0" t="s">
        <v>75</v>
      </c>
      <c r="F16082" s="0" t="s">
        <v>90</v>
      </c>
      <c r="G16082" s="0" t="s">
        <v>20</v>
      </c>
      <c r="H16082" s="0" t="n">
        <v>76</v>
      </c>
      <c r="I16082" s="0" t="s">
        <v>53456</v>
      </c>
      <c r="J16082" s="0" t="s">
        <v>53457</v>
      </c>
      <c r="K16082" s="0" t="s">
        <v>53458</v>
      </c>
      <c r="L16082" s="0" t="str">
        <f aca="false">HYPERLINK("https://www.ncbi.nlm.nih.gov/nuccore/CP000058.1?report=graph&amp;tracks=[key:gene_model_track,Options:GeneOnly]&amp;mk=4979164:4979183|offset_1|444444,4979138:4979157|offset_27|444444,4979113:4979132|offset_52|444444,4979089:4979108|offset_76|00cc00&amp;v=4978963:4979308&amp;c=444444", "offset 76")</f>
        <v>offset 76</v>
      </c>
    </row>
    <row r="16083" customFormat="false" ht="12.8" hidden="false" customHeight="false" outlineLevel="0" collapsed="false">
      <c r="A16083" s="0" t="s">
        <v>12</v>
      </c>
      <c r="B16083" s="0" t="n">
        <v>4979407</v>
      </c>
      <c r="C16083" s="0" t="n">
        <v>4979427</v>
      </c>
      <c r="D16083" s="0" t="s">
        <v>53459</v>
      </c>
      <c r="E16083" s="0" t="s">
        <v>75</v>
      </c>
      <c r="F16083" s="0" t="s">
        <v>15</v>
      </c>
      <c r="G16083" s="0" t="s">
        <v>16</v>
      </c>
      <c r="H16083" s="0" t="n">
        <v>56</v>
      </c>
      <c r="I16083" s="0" t="s">
        <v>53460</v>
      </c>
      <c r="J16083" s="0" t="s">
        <v>53461</v>
      </c>
      <c r="K16083" s="0" t="s">
        <v>53462</v>
      </c>
      <c r="L16083" s="0" t="str">
        <f aca="false">HYPERLINK("https://www.ncbi.nlm.nih.gov/nuccore/CP000058.1?report=graph&amp;tracks=[key:gene_model_track,Options:GeneOnly]&amp;mk=4979408:4979427|offset_56|00cc00,4979444:4979463|offset_92|444444,4979464:4979483|offset_112|444444,4979488:4979507|offset_136|444444&amp;v=4979207:4979707&amp;c=444444", "offset 56")</f>
        <v>offset 56</v>
      </c>
    </row>
    <row r="16084" customFormat="false" ht="12.8" hidden="false" customHeight="false" outlineLevel="0" collapsed="false">
      <c r="A16084" s="0" t="s">
        <v>12</v>
      </c>
      <c r="B16084" s="0" t="n">
        <v>4979443</v>
      </c>
      <c r="C16084" s="0" t="n">
        <v>4979463</v>
      </c>
      <c r="D16084" s="0" t="s">
        <v>53459</v>
      </c>
      <c r="E16084" s="0" t="s">
        <v>75</v>
      </c>
      <c r="F16084" s="0" t="s">
        <v>15</v>
      </c>
      <c r="G16084" s="0" t="s">
        <v>20</v>
      </c>
      <c r="H16084" s="0" t="n">
        <v>92</v>
      </c>
      <c r="I16084" s="0" t="s">
        <v>53463</v>
      </c>
      <c r="J16084" s="0" t="s">
        <v>53464</v>
      </c>
      <c r="K16084" s="0" t="s">
        <v>53465</v>
      </c>
      <c r="L16084" s="0" t="str">
        <f aca="false">HYPERLINK("https://www.ncbi.nlm.nih.gov/nuccore/CP000058.1?report=graph&amp;tracks=[key:gene_model_track,Options:GeneOnly]&amp;mk=4979408:4979427|offset_56|444444,4979444:4979463|offset_92|00cc00,4979464:4979483|offset_112|444444,4979488:4979507|offset_136|444444&amp;v=4979207:4979707&amp;c=444444", "offset 92")</f>
        <v>offset 92</v>
      </c>
    </row>
    <row r="16085" customFormat="false" ht="12.8" hidden="false" customHeight="false" outlineLevel="0" collapsed="false">
      <c r="A16085" s="0" t="s">
        <v>12</v>
      </c>
      <c r="B16085" s="0" t="n">
        <v>4979463</v>
      </c>
      <c r="C16085" s="0" t="n">
        <v>4979483</v>
      </c>
      <c r="D16085" s="0" t="s">
        <v>53459</v>
      </c>
      <c r="E16085" s="0" t="s">
        <v>75</v>
      </c>
      <c r="F16085" s="0" t="s">
        <v>15</v>
      </c>
      <c r="G16085" s="0" t="s">
        <v>16</v>
      </c>
      <c r="H16085" s="0" t="n">
        <v>112</v>
      </c>
      <c r="I16085" s="0" t="s">
        <v>53466</v>
      </c>
      <c r="J16085" s="0" t="s">
        <v>53467</v>
      </c>
      <c r="K16085" s="0" t="s">
        <v>53468</v>
      </c>
      <c r="L16085" s="0" t="str">
        <f aca="false">HYPERLINK("https://www.ncbi.nlm.nih.gov/nuccore/CP000058.1?report=graph&amp;tracks=[key:gene_model_track,Options:GeneOnly]&amp;mk=4979408:4979427|offset_56|444444,4979444:4979463|offset_92|444444,4979464:4979483|offset_112|00cc00,4979488:4979507|offset_136|444444&amp;v=4979207:4979707&amp;c=444444", "offset 112")</f>
        <v>offset 112</v>
      </c>
    </row>
    <row r="16086" customFormat="false" ht="12.8" hidden="false" customHeight="false" outlineLevel="0" collapsed="false">
      <c r="A16086" s="0" t="s">
        <v>12</v>
      </c>
      <c r="B16086" s="0" t="n">
        <v>4979487</v>
      </c>
      <c r="C16086" s="0" t="n">
        <v>4979507</v>
      </c>
      <c r="D16086" s="0" t="s">
        <v>53459</v>
      </c>
      <c r="E16086" s="0" t="s">
        <v>75</v>
      </c>
      <c r="F16086" s="0" t="s">
        <v>15</v>
      </c>
      <c r="G16086" s="0" t="s">
        <v>32</v>
      </c>
      <c r="H16086" s="0" t="n">
        <v>136</v>
      </c>
      <c r="I16086" s="0" t="s">
        <v>53469</v>
      </c>
      <c r="J16086" s="0" t="s">
        <v>53470</v>
      </c>
      <c r="K16086" s="0" t="s">
        <v>53471</v>
      </c>
      <c r="L16086" s="0" t="str">
        <f aca="false">HYPERLINK("https://www.ncbi.nlm.nih.gov/nuccore/CP000058.1?report=graph&amp;tracks=[key:gene_model_track,Options:GeneOnly]&amp;mk=4979408:4979427|offset_56|444444,4979444:4979463|offset_92|444444,4979464:4979483|offset_112|444444,4979488:4979507|offset_136|00cc00&amp;v=4979207:4979707&amp;c=444444", "offset 136")</f>
        <v>offset 136</v>
      </c>
    </row>
    <row r="16087" customFormat="false" ht="12.8" hidden="false" customHeight="false" outlineLevel="0" collapsed="false">
      <c r="A16087" s="0" t="s">
        <v>12</v>
      </c>
      <c r="B16087" s="0" t="n">
        <v>4980418</v>
      </c>
      <c r="C16087" s="0" t="n">
        <v>4980438</v>
      </c>
      <c r="D16087" s="0" t="s">
        <v>53472</v>
      </c>
      <c r="E16087" s="0" t="s">
        <v>75</v>
      </c>
      <c r="F16087" s="0" t="s">
        <v>90</v>
      </c>
      <c r="G16087" s="0" t="s">
        <v>32</v>
      </c>
      <c r="H16087" s="0" t="n">
        <v>0</v>
      </c>
      <c r="I16087" s="0" t="s">
        <v>53473</v>
      </c>
      <c r="J16087" s="0" t="s">
        <v>53474</v>
      </c>
      <c r="K16087" s="0" t="s">
        <v>53475</v>
      </c>
      <c r="L16087" s="0" t="str">
        <f aca="false">HYPERLINK("https://www.ncbi.nlm.nih.gov/nuccore/CP000058.1?report=graph&amp;tracks=[key:gene_model_track,Options:GeneOnly]&amp;mk=4980419:4980438|offset_0|00cc00,4980382:4980401|offset_37|444444,4980354:4980373|offset_65|444444,4980291:4980310|offset_128|444444&amp;v=4980218:4980510&amp;c=444444", "offset 0")</f>
        <v>offset 0</v>
      </c>
    </row>
    <row r="16088" customFormat="false" ht="12.8" hidden="false" customHeight="false" outlineLevel="0" collapsed="false">
      <c r="A16088" s="0" t="s">
        <v>12</v>
      </c>
      <c r="B16088" s="0" t="n">
        <v>4980381</v>
      </c>
      <c r="C16088" s="0" t="n">
        <v>4980401</v>
      </c>
      <c r="D16088" s="0" t="s">
        <v>53472</v>
      </c>
      <c r="E16088" s="0" t="s">
        <v>75</v>
      </c>
      <c r="F16088" s="0" t="s">
        <v>90</v>
      </c>
      <c r="G16088" s="0" t="s">
        <v>32</v>
      </c>
      <c r="H16088" s="0" t="n">
        <v>37</v>
      </c>
      <c r="I16088" s="0" t="s">
        <v>53476</v>
      </c>
      <c r="J16088" s="0" t="s">
        <v>53477</v>
      </c>
      <c r="K16088" s="0" t="s">
        <v>53478</v>
      </c>
      <c r="L16088" s="0" t="str">
        <f aca="false">HYPERLINK("https://www.ncbi.nlm.nih.gov/nuccore/CP000058.1?report=graph&amp;tracks=[key:gene_model_track,Options:GeneOnly]&amp;mk=4980419:4980438|offset_0|444444,4980382:4980401|offset_37|00cc00,4980354:4980373|offset_65|444444,4980291:4980310|offset_128|444444&amp;v=4980218:4980510&amp;c=444444", "offset 37")</f>
        <v>offset 37</v>
      </c>
    </row>
    <row r="16089" customFormat="false" ht="12.8" hidden="false" customHeight="false" outlineLevel="0" collapsed="false">
      <c r="A16089" s="0" t="s">
        <v>12</v>
      </c>
      <c r="B16089" s="0" t="n">
        <v>4980353</v>
      </c>
      <c r="C16089" s="0" t="n">
        <v>4980373</v>
      </c>
      <c r="D16089" s="0" t="s">
        <v>53472</v>
      </c>
      <c r="E16089" s="0" t="s">
        <v>75</v>
      </c>
      <c r="F16089" s="0" t="s">
        <v>90</v>
      </c>
      <c r="G16089" s="0" t="s">
        <v>16</v>
      </c>
      <c r="H16089" s="0" t="n">
        <v>65</v>
      </c>
      <c r="I16089" s="0" t="s">
        <v>53479</v>
      </c>
      <c r="J16089" s="0" t="s">
        <v>53480</v>
      </c>
      <c r="K16089" s="0" t="s">
        <v>53481</v>
      </c>
      <c r="L16089" s="0" t="str">
        <f aca="false">HYPERLINK("https://www.ncbi.nlm.nih.gov/nuccore/CP000058.1?report=graph&amp;tracks=[key:gene_model_track,Options:GeneOnly]&amp;mk=4980419:4980438|offset_0|444444,4980382:4980401|offset_37|444444,4980354:4980373|offset_65|00cc00,4980291:4980310|offset_128|444444&amp;v=4980218:4980510&amp;c=444444", "offset 65")</f>
        <v>offset 65</v>
      </c>
    </row>
    <row r="16090" customFormat="false" ht="12.8" hidden="false" customHeight="false" outlineLevel="0" collapsed="false">
      <c r="A16090" s="0" t="s">
        <v>12</v>
      </c>
      <c r="B16090" s="0" t="n">
        <v>4980290</v>
      </c>
      <c r="C16090" s="0" t="n">
        <v>4980310</v>
      </c>
      <c r="D16090" s="0" t="s">
        <v>53472</v>
      </c>
      <c r="E16090" s="0" t="s">
        <v>75</v>
      </c>
      <c r="F16090" s="0" t="s">
        <v>90</v>
      </c>
      <c r="G16090" s="0" t="s">
        <v>20</v>
      </c>
      <c r="H16090" s="0" t="n">
        <v>128</v>
      </c>
      <c r="I16090" s="0" t="s">
        <v>53482</v>
      </c>
      <c r="J16090" s="0" t="s">
        <v>53483</v>
      </c>
      <c r="K16090" s="0" t="s">
        <v>53484</v>
      </c>
      <c r="L16090" s="0" t="str">
        <f aca="false">HYPERLINK("https://www.ncbi.nlm.nih.gov/nuccore/CP000058.1?report=graph&amp;tracks=[key:gene_model_track,Options:GeneOnly]&amp;mk=4980419:4980438|offset_0|444444,4980382:4980401|offset_37|444444,4980354:4980373|offset_65|444444,4980291:4980310|offset_128|00cc00&amp;v=4980218:4980510&amp;c=444444", "offset 128")</f>
        <v>offset 128</v>
      </c>
    </row>
    <row r="16091" customFormat="false" ht="12.8" hidden="false" customHeight="false" outlineLevel="0" collapsed="false">
      <c r="A16091" s="0" t="s">
        <v>12</v>
      </c>
      <c r="B16091" s="0" t="n">
        <v>4980888</v>
      </c>
      <c r="C16091" s="0" t="n">
        <v>4980908</v>
      </c>
      <c r="D16091" s="0" t="s">
        <v>53485</v>
      </c>
      <c r="E16091" s="0" t="s">
        <v>75</v>
      </c>
      <c r="F16091" s="0" t="s">
        <v>90</v>
      </c>
      <c r="G16091" s="0" t="s">
        <v>16</v>
      </c>
      <c r="H16091" s="0" t="n">
        <v>25</v>
      </c>
      <c r="I16091" s="0" t="s">
        <v>53486</v>
      </c>
      <c r="J16091" s="0" t="s">
        <v>53487</v>
      </c>
      <c r="K16091" s="0" t="s">
        <v>53488</v>
      </c>
      <c r="L16091" s="0" t="str">
        <f aca="false">HYPERLINK("https://www.ncbi.nlm.nih.gov/nuccore/CP000058.1?report=graph&amp;tracks=[key:gene_model_track,Options:GeneOnly]&amp;mk=4980889:4980908|offset_25|00cc00,4980865:4980884|offset_49|444444,4980829:4980848|offset_85|444444,4980778:4980797|offset_136|444444&amp;v=4980688:4980997&amp;c=444444", "offset 25")</f>
        <v>offset 25</v>
      </c>
    </row>
    <row r="16092" customFormat="false" ht="12.8" hidden="false" customHeight="false" outlineLevel="0" collapsed="false">
      <c r="A16092" s="0" t="s">
        <v>12</v>
      </c>
      <c r="B16092" s="0" t="n">
        <v>4980864</v>
      </c>
      <c r="C16092" s="0" t="n">
        <v>4980884</v>
      </c>
      <c r="D16092" s="0" t="s">
        <v>53485</v>
      </c>
      <c r="E16092" s="0" t="s">
        <v>75</v>
      </c>
      <c r="F16092" s="0" t="s">
        <v>90</v>
      </c>
      <c r="G16092" s="0" t="s">
        <v>16</v>
      </c>
      <c r="H16092" s="0" t="n">
        <v>49</v>
      </c>
      <c r="I16092" s="0" t="s">
        <v>53489</v>
      </c>
      <c r="J16092" s="0" t="s">
        <v>53490</v>
      </c>
      <c r="K16092" s="0" t="s">
        <v>53491</v>
      </c>
      <c r="L16092" s="0" t="str">
        <f aca="false">HYPERLINK("https://www.ncbi.nlm.nih.gov/nuccore/CP000058.1?report=graph&amp;tracks=[key:gene_model_track,Options:GeneOnly]&amp;mk=4980889:4980908|offset_25|444444,4980865:4980884|offset_49|00cc00,4980829:4980848|offset_85|444444,4980778:4980797|offset_136|444444&amp;v=4980688:4980997&amp;c=444444", "offset 49")</f>
        <v>offset 49</v>
      </c>
    </row>
    <row r="16093" customFormat="false" ht="12.8" hidden="false" customHeight="false" outlineLevel="0" collapsed="false">
      <c r="A16093" s="0" t="s">
        <v>12</v>
      </c>
      <c r="B16093" s="0" t="n">
        <v>4980828</v>
      </c>
      <c r="C16093" s="0" t="n">
        <v>4980848</v>
      </c>
      <c r="D16093" s="0" t="s">
        <v>53485</v>
      </c>
      <c r="E16093" s="0" t="s">
        <v>75</v>
      </c>
      <c r="F16093" s="0" t="s">
        <v>90</v>
      </c>
      <c r="G16093" s="0" t="s">
        <v>16</v>
      </c>
      <c r="H16093" s="0" t="n">
        <v>85</v>
      </c>
      <c r="I16093" s="0" t="s">
        <v>53492</v>
      </c>
      <c r="J16093" s="0" t="s">
        <v>53493</v>
      </c>
      <c r="K16093" s="0" t="s">
        <v>53494</v>
      </c>
      <c r="L16093" s="0" t="str">
        <f aca="false">HYPERLINK("https://www.ncbi.nlm.nih.gov/nuccore/CP000058.1?report=graph&amp;tracks=[key:gene_model_track,Options:GeneOnly]&amp;mk=4980889:4980908|offset_25|444444,4980865:4980884|offset_49|444444,4980829:4980848|offset_85|00cc00,4980778:4980797|offset_136|444444&amp;v=4980688:4980997&amp;c=444444", "offset 85")</f>
        <v>offset 85</v>
      </c>
    </row>
    <row r="16094" customFormat="false" ht="12.8" hidden="false" customHeight="false" outlineLevel="0" collapsed="false">
      <c r="A16094" s="0" t="s">
        <v>12</v>
      </c>
      <c r="B16094" s="0" t="n">
        <v>4980777</v>
      </c>
      <c r="C16094" s="0" t="n">
        <v>4980797</v>
      </c>
      <c r="D16094" s="0" t="s">
        <v>53485</v>
      </c>
      <c r="E16094" s="0" t="s">
        <v>75</v>
      </c>
      <c r="F16094" s="0" t="s">
        <v>90</v>
      </c>
      <c r="G16094" s="0" t="s">
        <v>20</v>
      </c>
      <c r="H16094" s="0" t="n">
        <v>136</v>
      </c>
      <c r="I16094" s="0" t="s">
        <v>53495</v>
      </c>
      <c r="J16094" s="0" t="s">
        <v>53496</v>
      </c>
      <c r="K16094" s="0" t="s">
        <v>53497</v>
      </c>
      <c r="L16094" s="0" t="str">
        <f aca="false">HYPERLINK("https://www.ncbi.nlm.nih.gov/nuccore/CP000058.1?report=graph&amp;tracks=[key:gene_model_track,Options:GeneOnly]&amp;mk=4980889:4980908|offset_25|444444,4980865:4980884|offset_49|444444,4980829:4980848|offset_85|444444,4980778:4980797|offset_136|00cc00&amp;v=4980688:4980997&amp;c=444444", "offset 136")</f>
        <v>offset 136</v>
      </c>
    </row>
    <row r="16095" customFormat="false" ht="12.8" hidden="false" customHeight="false" outlineLevel="0" collapsed="false">
      <c r="A16095" s="0" t="s">
        <v>12</v>
      </c>
      <c r="B16095" s="0" t="n">
        <v>4981866</v>
      </c>
      <c r="C16095" s="0" t="n">
        <v>4981886</v>
      </c>
      <c r="D16095" s="0" t="s">
        <v>53498</v>
      </c>
      <c r="E16095" s="0" t="s">
        <v>75</v>
      </c>
      <c r="F16095" s="0" t="s">
        <v>90</v>
      </c>
      <c r="G16095" s="0" t="s">
        <v>36</v>
      </c>
      <c r="H16095" s="0" t="n">
        <v>22</v>
      </c>
      <c r="I16095" s="0" t="s">
        <v>53499</v>
      </c>
      <c r="J16095" s="0" t="s">
        <v>53500</v>
      </c>
      <c r="K16095" s="0" t="s">
        <v>53501</v>
      </c>
      <c r="L16095" s="0" t="str">
        <f aca="false">HYPERLINK("https://www.ncbi.nlm.nih.gov/nuccore/CP000058.1?report=graph&amp;tracks=[key:gene_model_track,Options:GeneOnly]&amp;mk=4981867:4981886|offset_22|00cc00,4981831:4981850|offset_58|444444,4981798:4981817|offset_91|444444,4981767:4981786|offset_122|444444&amp;v=4981666:4981986&amp;c=444444", "offset 22")</f>
        <v>offset 22</v>
      </c>
    </row>
    <row r="16096" customFormat="false" ht="12.8" hidden="false" customHeight="false" outlineLevel="0" collapsed="false">
      <c r="A16096" s="0" t="s">
        <v>12</v>
      </c>
      <c r="B16096" s="0" t="n">
        <v>4981830</v>
      </c>
      <c r="C16096" s="0" t="n">
        <v>4981850</v>
      </c>
      <c r="D16096" s="0" t="s">
        <v>53498</v>
      </c>
      <c r="E16096" s="0" t="s">
        <v>75</v>
      </c>
      <c r="F16096" s="0" t="s">
        <v>90</v>
      </c>
      <c r="G16096" s="0" t="s">
        <v>16</v>
      </c>
      <c r="H16096" s="0" t="n">
        <v>58</v>
      </c>
      <c r="I16096" s="0" t="s">
        <v>53502</v>
      </c>
      <c r="J16096" s="0" t="s">
        <v>53503</v>
      </c>
      <c r="K16096" s="0" t="s">
        <v>53504</v>
      </c>
      <c r="L16096" s="0" t="str">
        <f aca="false">HYPERLINK("https://www.ncbi.nlm.nih.gov/nuccore/CP000058.1?report=graph&amp;tracks=[key:gene_model_track,Options:GeneOnly]&amp;mk=4981867:4981886|offset_22|444444,4981831:4981850|offset_58|00cc00,4981798:4981817|offset_91|444444,4981767:4981786|offset_122|444444&amp;v=4981666:4981986&amp;c=444444", "offset 58")</f>
        <v>offset 58</v>
      </c>
    </row>
    <row r="16097" customFormat="false" ht="12.8" hidden="false" customHeight="false" outlineLevel="0" collapsed="false">
      <c r="A16097" s="0" t="s">
        <v>12</v>
      </c>
      <c r="B16097" s="0" t="n">
        <v>4981797</v>
      </c>
      <c r="C16097" s="0" t="n">
        <v>4981817</v>
      </c>
      <c r="D16097" s="0" t="s">
        <v>53498</v>
      </c>
      <c r="E16097" s="0" t="s">
        <v>75</v>
      </c>
      <c r="F16097" s="0" t="s">
        <v>90</v>
      </c>
      <c r="G16097" s="0" t="s">
        <v>16</v>
      </c>
      <c r="H16097" s="0" t="n">
        <v>91</v>
      </c>
      <c r="I16097" s="0" t="s">
        <v>53505</v>
      </c>
      <c r="J16097" s="0" t="s">
        <v>53506</v>
      </c>
      <c r="K16097" s="0" t="s">
        <v>53507</v>
      </c>
      <c r="L16097" s="0" t="str">
        <f aca="false">HYPERLINK("https://www.ncbi.nlm.nih.gov/nuccore/CP000058.1?report=graph&amp;tracks=[key:gene_model_track,Options:GeneOnly]&amp;mk=4981867:4981886|offset_22|444444,4981831:4981850|offset_58|444444,4981798:4981817|offset_91|00cc00,4981767:4981786|offset_122|444444&amp;v=4981666:4981986&amp;c=444444", "offset 91")</f>
        <v>offset 91</v>
      </c>
    </row>
    <row r="16098" customFormat="false" ht="12.8" hidden="false" customHeight="false" outlineLevel="0" collapsed="false">
      <c r="A16098" s="0" t="s">
        <v>12</v>
      </c>
      <c r="B16098" s="0" t="n">
        <v>4981766</v>
      </c>
      <c r="C16098" s="0" t="n">
        <v>4981786</v>
      </c>
      <c r="D16098" s="0" t="s">
        <v>53498</v>
      </c>
      <c r="E16098" s="0" t="s">
        <v>75</v>
      </c>
      <c r="F16098" s="0" t="s">
        <v>90</v>
      </c>
      <c r="G16098" s="0" t="s">
        <v>32</v>
      </c>
      <c r="H16098" s="0" t="n">
        <v>122</v>
      </c>
      <c r="I16098" s="0" t="s">
        <v>53508</v>
      </c>
      <c r="J16098" s="0" t="s">
        <v>53509</v>
      </c>
      <c r="K16098" s="0" t="s">
        <v>53510</v>
      </c>
      <c r="L16098" s="0" t="str">
        <f aca="false">HYPERLINK("https://www.ncbi.nlm.nih.gov/nuccore/CP000058.1?report=graph&amp;tracks=[key:gene_model_track,Options:GeneOnly]&amp;mk=4981867:4981886|offset_22|444444,4981831:4981850|offset_58|444444,4981798:4981817|offset_91|444444,4981767:4981786|offset_122|00cc00&amp;v=4981666:4981986&amp;c=444444", "offset 122")</f>
        <v>offset 122</v>
      </c>
    </row>
    <row r="16099" customFormat="false" ht="12.8" hidden="false" customHeight="false" outlineLevel="0" collapsed="false">
      <c r="A16099" s="0" t="s">
        <v>12</v>
      </c>
      <c r="B16099" s="0" t="n">
        <v>4982113</v>
      </c>
      <c r="C16099" s="0" t="n">
        <v>4982133</v>
      </c>
      <c r="D16099" s="0" t="s">
        <v>53511</v>
      </c>
      <c r="E16099" s="0" t="s">
        <v>75</v>
      </c>
      <c r="F16099" s="0" t="s">
        <v>15</v>
      </c>
      <c r="G16099" s="0" t="s">
        <v>36</v>
      </c>
      <c r="H16099" s="0" t="n">
        <v>8</v>
      </c>
      <c r="I16099" s="0" t="s">
        <v>53512</v>
      </c>
      <c r="J16099" s="0" t="s">
        <v>53513</v>
      </c>
      <c r="K16099" s="0" t="s">
        <v>53514</v>
      </c>
      <c r="L16099" s="0" t="str">
        <f aca="false">HYPERLINK("https://www.ncbi.nlm.nih.gov/nuccore/CP000058.1?report=graph&amp;tracks=[key:gene_model_track,Options:GeneOnly]&amp;mk=4982114:4982133|offset_8|00cc00,4982187:4982206|offset_81|444444,4982212:4982231|offset_106|444444,4982233:4982252|offset_127|444444&amp;v=4981913:4982452&amp;c=444444", "offset 8")</f>
        <v>offset 8</v>
      </c>
    </row>
    <row r="16100" customFormat="false" ht="12.8" hidden="false" customHeight="false" outlineLevel="0" collapsed="false">
      <c r="A16100" s="0" t="s">
        <v>12</v>
      </c>
      <c r="B16100" s="0" t="n">
        <v>4982186</v>
      </c>
      <c r="C16100" s="0" t="n">
        <v>4982206</v>
      </c>
      <c r="D16100" s="0" t="s">
        <v>53511</v>
      </c>
      <c r="E16100" s="0" t="s">
        <v>75</v>
      </c>
      <c r="F16100" s="0" t="s">
        <v>15</v>
      </c>
      <c r="G16100" s="0" t="s">
        <v>20</v>
      </c>
      <c r="H16100" s="0" t="n">
        <v>81</v>
      </c>
      <c r="I16100" s="0" t="s">
        <v>53515</v>
      </c>
      <c r="J16100" s="0" t="s">
        <v>53516</v>
      </c>
      <c r="K16100" s="0" t="s">
        <v>53517</v>
      </c>
      <c r="L16100" s="0" t="str">
        <f aca="false">HYPERLINK("https://www.ncbi.nlm.nih.gov/nuccore/CP000058.1?report=graph&amp;tracks=[key:gene_model_track,Options:GeneOnly]&amp;mk=4982114:4982133|offset_8|444444,4982187:4982206|offset_81|00cc00,4982212:4982231|offset_106|444444,4982233:4982252|offset_127|444444&amp;v=4981913:4982452&amp;c=444444", "offset 81")</f>
        <v>offset 81</v>
      </c>
    </row>
    <row r="16101" customFormat="false" ht="12.8" hidden="false" customHeight="false" outlineLevel="0" collapsed="false">
      <c r="A16101" s="0" t="s">
        <v>12</v>
      </c>
      <c r="B16101" s="0" t="n">
        <v>4982211</v>
      </c>
      <c r="C16101" s="0" t="n">
        <v>4982231</v>
      </c>
      <c r="D16101" s="0" t="s">
        <v>53511</v>
      </c>
      <c r="E16101" s="0" t="s">
        <v>75</v>
      </c>
      <c r="F16101" s="0" t="s">
        <v>15</v>
      </c>
      <c r="G16101" s="0" t="s">
        <v>32</v>
      </c>
      <c r="H16101" s="0" t="n">
        <v>106</v>
      </c>
      <c r="I16101" s="0" t="s">
        <v>53518</v>
      </c>
      <c r="J16101" s="0" t="s">
        <v>53519</v>
      </c>
      <c r="K16101" s="0" t="s">
        <v>53520</v>
      </c>
      <c r="L16101" s="0" t="str">
        <f aca="false">HYPERLINK("https://www.ncbi.nlm.nih.gov/nuccore/CP000058.1?report=graph&amp;tracks=[key:gene_model_track,Options:GeneOnly]&amp;mk=4982114:4982133|offset_8|444444,4982187:4982206|offset_81|444444,4982212:4982231|offset_106|00cc00,4982233:4982252|offset_127|444444&amp;v=4981913:4982452&amp;c=444444", "offset 106")</f>
        <v>offset 106</v>
      </c>
    </row>
    <row r="16102" customFormat="false" ht="12.8" hidden="false" customHeight="false" outlineLevel="0" collapsed="false">
      <c r="A16102" s="0" t="s">
        <v>12</v>
      </c>
      <c r="B16102" s="0" t="n">
        <v>4982232</v>
      </c>
      <c r="C16102" s="0" t="n">
        <v>4982252</v>
      </c>
      <c r="D16102" s="0" t="s">
        <v>53511</v>
      </c>
      <c r="E16102" s="0" t="s">
        <v>75</v>
      </c>
      <c r="F16102" s="0" t="s">
        <v>15</v>
      </c>
      <c r="G16102" s="0" t="s">
        <v>32</v>
      </c>
      <c r="H16102" s="0" t="n">
        <v>127</v>
      </c>
      <c r="I16102" s="0" t="s">
        <v>53521</v>
      </c>
      <c r="J16102" s="0" t="s">
        <v>53522</v>
      </c>
      <c r="K16102" s="0" t="s">
        <v>53523</v>
      </c>
      <c r="L16102" s="0" t="str">
        <f aca="false">HYPERLINK("https://www.ncbi.nlm.nih.gov/nuccore/CP000058.1?report=graph&amp;tracks=[key:gene_model_track,Options:GeneOnly]&amp;mk=4982114:4982133|offset_8|444444,4982187:4982206|offset_81|444444,4982212:4982231|offset_106|444444,4982233:4982252|offset_127|00cc00&amp;v=4981913:4982452&amp;c=444444", "offset 127")</f>
        <v>offset 127</v>
      </c>
    </row>
    <row r="16103" customFormat="false" ht="12.8" hidden="false" customHeight="false" outlineLevel="0" collapsed="false">
      <c r="A16103" s="0" t="s">
        <v>12</v>
      </c>
      <c r="B16103" s="0" t="n">
        <v>4982852</v>
      </c>
      <c r="C16103" s="0" t="n">
        <v>4982872</v>
      </c>
      <c r="D16103" s="0" t="s">
        <v>53524</v>
      </c>
      <c r="E16103" s="0" t="s">
        <v>75</v>
      </c>
      <c r="F16103" s="0" t="s">
        <v>15</v>
      </c>
      <c r="G16103" s="0" t="s">
        <v>16</v>
      </c>
      <c r="H16103" s="0" t="n">
        <v>0</v>
      </c>
      <c r="I16103" s="0" t="s">
        <v>53525</v>
      </c>
      <c r="J16103" s="0" t="s">
        <v>53526</v>
      </c>
      <c r="K16103" s="0" t="s">
        <v>53527</v>
      </c>
      <c r="L16103" s="0" t="str">
        <f aca="false">HYPERLINK("https://www.ncbi.nlm.nih.gov/nuccore/CP000058.1?report=graph&amp;tracks=[key:gene_model_track,Options:GeneOnly]&amp;mk=4982853:4982872|offset_0|00cc00,4982882:4982901|offset_29|444444,4982905:4982924|offset_52|444444,4982927:4982946|offset_74|444444&amp;v=4982652:4983146&amp;c=444444", "offset 0")</f>
        <v>offset 0</v>
      </c>
    </row>
    <row r="16104" customFormat="false" ht="12.8" hidden="false" customHeight="false" outlineLevel="0" collapsed="false">
      <c r="A16104" s="0" t="s">
        <v>12</v>
      </c>
      <c r="B16104" s="0" t="n">
        <v>4982881</v>
      </c>
      <c r="C16104" s="0" t="n">
        <v>4982901</v>
      </c>
      <c r="D16104" s="0" t="s">
        <v>53524</v>
      </c>
      <c r="E16104" s="0" t="s">
        <v>75</v>
      </c>
      <c r="F16104" s="0" t="s">
        <v>15</v>
      </c>
      <c r="G16104" s="0" t="s">
        <v>20</v>
      </c>
      <c r="H16104" s="0" t="n">
        <v>29</v>
      </c>
      <c r="I16104" s="0" t="s">
        <v>53528</v>
      </c>
      <c r="J16104" s="0" t="s">
        <v>53529</v>
      </c>
      <c r="K16104" s="0" t="s">
        <v>53530</v>
      </c>
      <c r="L16104" s="0" t="str">
        <f aca="false">HYPERLINK("https://www.ncbi.nlm.nih.gov/nuccore/CP000058.1?report=graph&amp;tracks=[key:gene_model_track,Options:GeneOnly]&amp;mk=4982853:4982872|offset_0|444444,4982882:4982901|offset_29|00cc00,4982905:4982924|offset_52|444444,4982927:4982946|offset_74|444444&amp;v=4982652:4983146&amp;c=444444", "offset 29")</f>
        <v>offset 29</v>
      </c>
    </row>
    <row r="16105" customFormat="false" ht="12.8" hidden="false" customHeight="false" outlineLevel="0" collapsed="false">
      <c r="A16105" s="0" t="s">
        <v>12</v>
      </c>
      <c r="B16105" s="0" t="n">
        <v>4982904</v>
      </c>
      <c r="C16105" s="0" t="n">
        <v>4982924</v>
      </c>
      <c r="D16105" s="0" t="s">
        <v>53524</v>
      </c>
      <c r="E16105" s="0" t="s">
        <v>75</v>
      </c>
      <c r="F16105" s="0" t="s">
        <v>15</v>
      </c>
      <c r="G16105" s="0" t="s">
        <v>16</v>
      </c>
      <c r="H16105" s="0" t="n">
        <v>52</v>
      </c>
      <c r="I16105" s="0" t="s">
        <v>53531</v>
      </c>
      <c r="J16105" s="0" t="s">
        <v>53532</v>
      </c>
      <c r="K16105" s="0" t="s">
        <v>53533</v>
      </c>
      <c r="L16105" s="0" t="str">
        <f aca="false">HYPERLINK("https://www.ncbi.nlm.nih.gov/nuccore/CP000058.1?report=graph&amp;tracks=[key:gene_model_track,Options:GeneOnly]&amp;mk=4982853:4982872|offset_0|444444,4982882:4982901|offset_29|444444,4982905:4982924|offset_52|00cc00,4982927:4982946|offset_74|444444&amp;v=4982652:4983146&amp;c=444444", "offset 52")</f>
        <v>offset 52</v>
      </c>
    </row>
    <row r="16106" customFormat="false" ht="12.8" hidden="false" customHeight="false" outlineLevel="0" collapsed="false">
      <c r="A16106" s="0" t="s">
        <v>12</v>
      </c>
      <c r="B16106" s="0" t="n">
        <v>4982926</v>
      </c>
      <c r="C16106" s="0" t="n">
        <v>4982946</v>
      </c>
      <c r="D16106" s="0" t="s">
        <v>53524</v>
      </c>
      <c r="E16106" s="0" t="s">
        <v>75</v>
      </c>
      <c r="F16106" s="0" t="s">
        <v>15</v>
      </c>
      <c r="G16106" s="0" t="s">
        <v>32</v>
      </c>
      <c r="H16106" s="0" t="n">
        <v>74</v>
      </c>
      <c r="I16106" s="0" t="s">
        <v>53534</v>
      </c>
      <c r="J16106" s="0" t="s">
        <v>53535</v>
      </c>
      <c r="K16106" s="0" t="s">
        <v>53536</v>
      </c>
      <c r="L16106" s="0" t="str">
        <f aca="false">HYPERLINK("https://www.ncbi.nlm.nih.gov/nuccore/CP000058.1?report=graph&amp;tracks=[key:gene_model_track,Options:GeneOnly]&amp;mk=4982853:4982872|offset_0|444444,4982882:4982901|offset_29|444444,4982905:4982924|offset_52|444444,4982927:4982946|offset_74|00cc00&amp;v=4982652:4983146&amp;c=444444", "offset 74")</f>
        <v>offset 74</v>
      </c>
    </row>
    <row r="16107" customFormat="false" ht="12.8" hidden="false" customHeight="false" outlineLevel="0" collapsed="false">
      <c r="A16107" s="0" t="s">
        <v>12</v>
      </c>
      <c r="B16107" s="0" t="n">
        <v>4985452</v>
      </c>
      <c r="C16107" s="0" t="n">
        <v>4985472</v>
      </c>
      <c r="D16107" s="0" t="s">
        <v>53537</v>
      </c>
      <c r="E16107" s="0" t="s">
        <v>75</v>
      </c>
      <c r="F16107" s="0" t="s">
        <v>15</v>
      </c>
      <c r="G16107" s="0" t="s">
        <v>20</v>
      </c>
      <c r="H16107" s="0" t="n">
        <v>11</v>
      </c>
      <c r="I16107" s="0" t="s">
        <v>53538</v>
      </c>
      <c r="J16107" s="0" t="s">
        <v>53539</v>
      </c>
      <c r="K16107" s="0" t="s">
        <v>53540</v>
      </c>
      <c r="L16107" s="0" t="str">
        <f aca="false">HYPERLINK("https://www.ncbi.nlm.nih.gov/nuccore/CP000058.1?report=graph&amp;tracks=[key:gene_model_track,Options:GeneOnly]&amp;mk=4985453:4985472|offset_11|00cc00,4985480:4985499|offset_38|444444,4985545:4985564|offset_103|444444,4985586:4985605|offset_144|444444&amp;v=4985252:4985805&amp;c=444444", "offset 11")</f>
        <v>offset 11</v>
      </c>
    </row>
    <row r="16108" customFormat="false" ht="12.8" hidden="false" customHeight="false" outlineLevel="0" collapsed="false">
      <c r="A16108" s="0" t="s">
        <v>12</v>
      </c>
      <c r="B16108" s="0" t="n">
        <v>4985479</v>
      </c>
      <c r="C16108" s="0" t="n">
        <v>4985499</v>
      </c>
      <c r="D16108" s="0" t="s">
        <v>53537</v>
      </c>
      <c r="E16108" s="0" t="s">
        <v>75</v>
      </c>
      <c r="F16108" s="0" t="s">
        <v>15</v>
      </c>
      <c r="G16108" s="0" t="s">
        <v>32</v>
      </c>
      <c r="H16108" s="0" t="n">
        <v>38</v>
      </c>
      <c r="I16108" s="0" t="s">
        <v>53541</v>
      </c>
      <c r="J16108" s="0" t="s">
        <v>53542</v>
      </c>
      <c r="K16108" s="0" t="s">
        <v>53543</v>
      </c>
      <c r="L16108" s="0" t="str">
        <f aca="false">HYPERLINK("https://www.ncbi.nlm.nih.gov/nuccore/CP000058.1?report=graph&amp;tracks=[key:gene_model_track,Options:GeneOnly]&amp;mk=4985453:4985472|offset_11|444444,4985480:4985499|offset_38|00cc00,4985545:4985564|offset_103|444444,4985586:4985605|offset_144|444444&amp;v=4985252:4985805&amp;c=444444", "offset 38")</f>
        <v>offset 38</v>
      </c>
    </row>
    <row r="16109" customFormat="false" ht="12.8" hidden="false" customHeight="false" outlineLevel="0" collapsed="false">
      <c r="A16109" s="0" t="s">
        <v>12</v>
      </c>
      <c r="B16109" s="0" t="n">
        <v>4985544</v>
      </c>
      <c r="C16109" s="0" t="n">
        <v>4985564</v>
      </c>
      <c r="D16109" s="0" t="s">
        <v>53537</v>
      </c>
      <c r="E16109" s="0" t="s">
        <v>75</v>
      </c>
      <c r="F16109" s="0" t="s">
        <v>15</v>
      </c>
      <c r="G16109" s="0" t="s">
        <v>20</v>
      </c>
      <c r="H16109" s="0" t="n">
        <v>103</v>
      </c>
      <c r="I16109" s="0" t="s">
        <v>53544</v>
      </c>
      <c r="J16109" s="0" t="s">
        <v>53545</v>
      </c>
      <c r="K16109" s="0" t="s">
        <v>53546</v>
      </c>
      <c r="L16109" s="0" t="str">
        <f aca="false">HYPERLINK("https://www.ncbi.nlm.nih.gov/nuccore/CP000058.1?report=graph&amp;tracks=[key:gene_model_track,Options:GeneOnly]&amp;mk=4985453:4985472|offset_11|444444,4985480:4985499|offset_38|444444,4985545:4985564|offset_103|00cc00,4985586:4985605|offset_144|444444&amp;v=4985252:4985805&amp;c=444444", "offset 103")</f>
        <v>offset 103</v>
      </c>
    </row>
    <row r="16110" customFormat="false" ht="12.8" hidden="false" customHeight="false" outlineLevel="0" collapsed="false">
      <c r="A16110" s="0" t="s">
        <v>12</v>
      </c>
      <c r="B16110" s="0" t="n">
        <v>4985585</v>
      </c>
      <c r="C16110" s="0" t="n">
        <v>4985605</v>
      </c>
      <c r="D16110" s="0" t="s">
        <v>53537</v>
      </c>
      <c r="E16110" s="0" t="s">
        <v>75</v>
      </c>
      <c r="F16110" s="0" t="s">
        <v>15</v>
      </c>
      <c r="G16110" s="0" t="s">
        <v>16</v>
      </c>
      <c r="H16110" s="0" t="n">
        <v>144</v>
      </c>
      <c r="I16110" s="0" t="s">
        <v>53547</v>
      </c>
      <c r="J16110" s="0" t="s">
        <v>53548</v>
      </c>
      <c r="K16110" s="0" t="s">
        <v>53549</v>
      </c>
      <c r="L16110" s="0" t="str">
        <f aca="false">HYPERLINK("https://www.ncbi.nlm.nih.gov/nuccore/CP000058.1?report=graph&amp;tracks=[key:gene_model_track,Options:GeneOnly]&amp;mk=4985453:4985472|offset_11|444444,4985480:4985499|offset_38|444444,4985545:4985564|offset_103|444444,4985586:4985605|offset_144|00cc00&amp;v=4985252:4985805&amp;c=444444", "offset 144")</f>
        <v>offset 144</v>
      </c>
    </row>
    <row r="16111" customFormat="false" ht="12.8" hidden="false" customHeight="false" outlineLevel="0" collapsed="false">
      <c r="A16111" s="0" t="s">
        <v>12</v>
      </c>
      <c r="B16111" s="0" t="n">
        <v>4987085</v>
      </c>
      <c r="C16111" s="0" t="n">
        <v>4987105</v>
      </c>
      <c r="D16111" s="0" t="s">
        <v>53550</v>
      </c>
      <c r="E16111" s="0" t="s">
        <v>75</v>
      </c>
      <c r="F16111" s="0" t="s">
        <v>90</v>
      </c>
      <c r="G16111" s="0" t="s">
        <v>16</v>
      </c>
      <c r="H16111" s="0" t="n">
        <v>34</v>
      </c>
      <c r="I16111" s="0" t="s">
        <v>53551</v>
      </c>
      <c r="J16111" s="0" t="s">
        <v>53552</v>
      </c>
      <c r="K16111" s="0" t="s">
        <v>53553</v>
      </c>
      <c r="L16111" s="0" t="str">
        <f aca="false">HYPERLINK("https://www.ncbi.nlm.nih.gov/nuccore/CP000058.1?report=graph&amp;tracks=[key:gene_model_track,Options:GeneOnly]&amp;mk=4987086:4987105|offset_34|00cc00,4987044:4987063|offset_76|444444,4987023:4987042|offset_97|444444,4986924:4986943|offset_196|444444&amp;v=4986885:4987143&amp;c=444444", "offset 34")</f>
        <v>offset 34</v>
      </c>
    </row>
    <row r="16112" customFormat="false" ht="12.8" hidden="false" customHeight="false" outlineLevel="0" collapsed="false">
      <c r="A16112" s="0" t="s">
        <v>12</v>
      </c>
      <c r="B16112" s="0" t="n">
        <v>4987043</v>
      </c>
      <c r="C16112" s="0" t="n">
        <v>4987063</v>
      </c>
      <c r="D16112" s="0" t="s">
        <v>53550</v>
      </c>
      <c r="E16112" s="0" t="s">
        <v>75</v>
      </c>
      <c r="F16112" s="0" t="s">
        <v>90</v>
      </c>
      <c r="G16112" s="0" t="s">
        <v>16</v>
      </c>
      <c r="H16112" s="0" t="n">
        <v>76</v>
      </c>
      <c r="I16112" s="0" t="s">
        <v>53554</v>
      </c>
      <c r="J16112" s="0" t="s">
        <v>53555</v>
      </c>
      <c r="K16112" s="0" t="s">
        <v>53556</v>
      </c>
      <c r="L16112" s="0" t="str">
        <f aca="false">HYPERLINK("https://www.ncbi.nlm.nih.gov/nuccore/CP000058.1?report=graph&amp;tracks=[key:gene_model_track,Options:GeneOnly]&amp;mk=4987086:4987105|offset_34|444444,4987044:4987063|offset_76|00cc00,4987023:4987042|offset_97|444444,4986924:4986943|offset_196|444444&amp;v=4986885:4987143&amp;c=444444", "offset 76")</f>
        <v>offset 76</v>
      </c>
    </row>
    <row r="16113" customFormat="false" ht="12.8" hidden="false" customHeight="false" outlineLevel="0" collapsed="false">
      <c r="A16113" s="0" t="s">
        <v>12</v>
      </c>
      <c r="B16113" s="0" t="n">
        <v>4987022</v>
      </c>
      <c r="C16113" s="0" t="n">
        <v>4987042</v>
      </c>
      <c r="D16113" s="0" t="s">
        <v>53550</v>
      </c>
      <c r="E16113" s="0" t="s">
        <v>75</v>
      </c>
      <c r="F16113" s="0" t="s">
        <v>90</v>
      </c>
      <c r="G16113" s="0" t="s">
        <v>20</v>
      </c>
      <c r="H16113" s="0" t="n">
        <v>97</v>
      </c>
      <c r="I16113" s="0" t="s">
        <v>53557</v>
      </c>
      <c r="J16113" s="0" t="s">
        <v>53558</v>
      </c>
      <c r="K16113" s="0" t="s">
        <v>53559</v>
      </c>
      <c r="L16113" s="0" t="str">
        <f aca="false">HYPERLINK("https://www.ncbi.nlm.nih.gov/nuccore/CP000058.1?report=graph&amp;tracks=[key:gene_model_track,Options:GeneOnly]&amp;mk=4987086:4987105|offset_34|444444,4987044:4987063|offset_76|444444,4987023:4987042|offset_97|00cc00,4986924:4986943|offset_196|444444&amp;v=4986885:4987143&amp;c=444444", "offset 97")</f>
        <v>offset 97</v>
      </c>
    </row>
    <row r="16114" customFormat="false" ht="12.8" hidden="false" customHeight="false" outlineLevel="0" collapsed="false">
      <c r="A16114" s="0" t="s">
        <v>12</v>
      </c>
      <c r="B16114" s="0" t="n">
        <v>4986923</v>
      </c>
      <c r="C16114" s="0" t="n">
        <v>4986943</v>
      </c>
      <c r="D16114" s="0" t="s">
        <v>53550</v>
      </c>
      <c r="E16114" s="0" t="s">
        <v>75</v>
      </c>
      <c r="F16114" s="0" t="s">
        <v>90</v>
      </c>
      <c r="G16114" s="0" t="s">
        <v>16</v>
      </c>
      <c r="H16114" s="0" t="n">
        <v>196</v>
      </c>
      <c r="I16114" s="0" t="s">
        <v>53560</v>
      </c>
      <c r="J16114" s="0" t="s">
        <v>53561</v>
      </c>
      <c r="K16114" s="0" t="s">
        <v>53562</v>
      </c>
      <c r="L16114" s="0" t="str">
        <f aca="false">HYPERLINK("https://www.ncbi.nlm.nih.gov/nuccore/CP000058.1?report=graph&amp;tracks=[key:gene_model_track,Options:GeneOnly]&amp;mk=4987086:4987105|offset_34|444444,4987044:4987063|offset_76|444444,4987023:4987042|offset_97|444444,4986924:4986943|offset_196|00cc00&amp;v=4986885:4987143&amp;c=444444", "offset 196")</f>
        <v>offset 196</v>
      </c>
    </row>
    <row r="16115" customFormat="false" ht="12.8" hidden="false" customHeight="false" outlineLevel="0" collapsed="false">
      <c r="A16115" s="0" t="s">
        <v>12</v>
      </c>
      <c r="B16115" s="0" t="n">
        <v>4989640</v>
      </c>
      <c r="C16115" s="0" t="n">
        <v>4989660</v>
      </c>
      <c r="D16115" s="0" t="s">
        <v>53563</v>
      </c>
      <c r="E16115" s="0" t="s">
        <v>53564</v>
      </c>
      <c r="F16115" s="0" t="s">
        <v>90</v>
      </c>
      <c r="G16115" s="0" t="s">
        <v>20</v>
      </c>
      <c r="H16115" s="0" t="n">
        <v>11</v>
      </c>
      <c r="I16115" s="0" t="s">
        <v>53565</v>
      </c>
      <c r="J16115" s="0" t="s">
        <v>53566</v>
      </c>
      <c r="K16115" s="0" t="s">
        <v>53567</v>
      </c>
      <c r="L16115" s="0" t="str">
        <f aca="false">HYPERLINK("https://www.ncbi.nlm.nih.gov/nuccore/CP000058.1?report=graph&amp;tracks=[key:gene_model_track,Options:GeneOnly]&amp;mk=4989641:4989660|offset_11|00cc00,4989586:4989605|offset_66|444444,4989554:4989573|offset_98|444444,4989497:4989516|offset_155|444444&amp;v=4989440:4989716&amp;c=444444", "offset 11")</f>
        <v>offset 11</v>
      </c>
    </row>
    <row r="16116" customFormat="false" ht="12.8" hidden="false" customHeight="false" outlineLevel="0" collapsed="false">
      <c r="A16116" s="0" t="s">
        <v>12</v>
      </c>
      <c r="B16116" s="0" t="n">
        <v>4989585</v>
      </c>
      <c r="C16116" s="0" t="n">
        <v>4989605</v>
      </c>
      <c r="D16116" s="0" t="s">
        <v>53563</v>
      </c>
      <c r="E16116" s="0" t="s">
        <v>53564</v>
      </c>
      <c r="F16116" s="0" t="s">
        <v>90</v>
      </c>
      <c r="G16116" s="0" t="s">
        <v>32</v>
      </c>
      <c r="H16116" s="0" t="n">
        <v>66</v>
      </c>
      <c r="I16116" s="0" t="s">
        <v>53568</v>
      </c>
      <c r="J16116" s="0" t="s">
        <v>53569</v>
      </c>
      <c r="K16116" s="0" t="s">
        <v>53570</v>
      </c>
      <c r="L16116" s="0" t="str">
        <f aca="false">HYPERLINK("https://www.ncbi.nlm.nih.gov/nuccore/CP000058.1?report=graph&amp;tracks=[key:gene_model_track,Options:GeneOnly]&amp;mk=4989641:4989660|offset_11|444444,4989586:4989605|offset_66|00cc00,4989554:4989573|offset_98|444444,4989497:4989516|offset_155|444444&amp;v=4989440:4989716&amp;c=444444", "offset 66")</f>
        <v>offset 66</v>
      </c>
    </row>
    <row r="16117" customFormat="false" ht="12.8" hidden="false" customHeight="false" outlineLevel="0" collapsed="false">
      <c r="A16117" s="0" t="s">
        <v>12</v>
      </c>
      <c r="B16117" s="0" t="n">
        <v>4989553</v>
      </c>
      <c r="C16117" s="0" t="n">
        <v>4989573</v>
      </c>
      <c r="D16117" s="0" t="s">
        <v>53563</v>
      </c>
      <c r="E16117" s="0" t="s">
        <v>53564</v>
      </c>
      <c r="F16117" s="0" t="s">
        <v>90</v>
      </c>
      <c r="G16117" s="0" t="s">
        <v>32</v>
      </c>
      <c r="H16117" s="0" t="n">
        <v>98</v>
      </c>
      <c r="I16117" s="0" t="s">
        <v>53571</v>
      </c>
      <c r="J16117" s="0" t="s">
        <v>53572</v>
      </c>
      <c r="K16117" s="0" t="s">
        <v>53573</v>
      </c>
      <c r="L16117" s="0" t="str">
        <f aca="false">HYPERLINK("https://www.ncbi.nlm.nih.gov/nuccore/CP000058.1?report=graph&amp;tracks=[key:gene_model_track,Options:GeneOnly]&amp;mk=4989641:4989660|offset_11|444444,4989586:4989605|offset_66|444444,4989554:4989573|offset_98|00cc00,4989497:4989516|offset_155|444444&amp;v=4989440:4989716&amp;c=444444", "offset 98")</f>
        <v>offset 98</v>
      </c>
    </row>
    <row r="16118" customFormat="false" ht="12.8" hidden="false" customHeight="false" outlineLevel="0" collapsed="false">
      <c r="A16118" s="0" t="s">
        <v>12</v>
      </c>
      <c r="B16118" s="0" t="n">
        <v>4989496</v>
      </c>
      <c r="C16118" s="0" t="n">
        <v>4989516</v>
      </c>
      <c r="D16118" s="0" t="s">
        <v>53563</v>
      </c>
      <c r="E16118" s="0" t="s">
        <v>53564</v>
      </c>
      <c r="F16118" s="0" t="s">
        <v>90</v>
      </c>
      <c r="G16118" s="0" t="s">
        <v>16</v>
      </c>
      <c r="H16118" s="0" t="n">
        <v>155</v>
      </c>
      <c r="I16118" s="0" t="s">
        <v>53574</v>
      </c>
      <c r="J16118" s="0" t="s">
        <v>53575</v>
      </c>
      <c r="K16118" s="0" t="s">
        <v>53576</v>
      </c>
      <c r="L16118" s="0" t="str">
        <f aca="false">HYPERLINK("https://www.ncbi.nlm.nih.gov/nuccore/CP000058.1?report=graph&amp;tracks=[key:gene_model_track,Options:GeneOnly]&amp;mk=4989641:4989660|offset_11|444444,4989586:4989605|offset_66|444444,4989554:4989573|offset_98|444444,4989497:4989516|offset_155|00cc00&amp;v=4989440:4989716&amp;c=444444", "offset 155")</f>
        <v>offset 155</v>
      </c>
    </row>
    <row r="16119" customFormat="false" ht="12.8" hidden="false" customHeight="false" outlineLevel="0" collapsed="false">
      <c r="A16119" s="0" t="s">
        <v>12</v>
      </c>
      <c r="B16119" s="0" t="n">
        <v>4990129</v>
      </c>
      <c r="C16119" s="0" t="n">
        <v>4990149</v>
      </c>
      <c r="D16119" s="0" t="s">
        <v>53577</v>
      </c>
      <c r="E16119" s="0" t="s">
        <v>75</v>
      </c>
      <c r="F16119" s="0" t="s">
        <v>90</v>
      </c>
      <c r="G16119" s="0" t="s">
        <v>36</v>
      </c>
      <c r="H16119" s="0" t="n">
        <v>28</v>
      </c>
      <c r="I16119" s="0" t="s">
        <v>53578</v>
      </c>
      <c r="J16119" s="0" t="s">
        <v>53579</v>
      </c>
      <c r="K16119" s="0" t="s">
        <v>53580</v>
      </c>
      <c r="L16119" s="0" t="str">
        <f aca="false">HYPERLINK("https://www.ncbi.nlm.nih.gov/nuccore/CP000058.1?report=graph&amp;tracks=[key:gene_model_track,Options:GeneOnly]&amp;mk=4990130:4990149|offset_28|00cc00,4990109:4990128|offset_49|444444,4990064:4990083|offset_94|444444,4989998:4990017|offset_160|444444&amp;v=4989929:4990217&amp;c=444444", "offset 28")</f>
        <v>offset 28</v>
      </c>
    </row>
    <row r="16120" customFormat="false" ht="12.8" hidden="false" customHeight="false" outlineLevel="0" collapsed="false">
      <c r="A16120" s="0" t="s">
        <v>12</v>
      </c>
      <c r="B16120" s="0" t="n">
        <v>4990108</v>
      </c>
      <c r="C16120" s="0" t="n">
        <v>4990128</v>
      </c>
      <c r="D16120" s="0" t="s">
        <v>53577</v>
      </c>
      <c r="E16120" s="0" t="s">
        <v>75</v>
      </c>
      <c r="F16120" s="0" t="s">
        <v>90</v>
      </c>
      <c r="G16120" s="0" t="s">
        <v>32</v>
      </c>
      <c r="H16120" s="0" t="n">
        <v>49</v>
      </c>
      <c r="I16120" s="0" t="s">
        <v>53581</v>
      </c>
      <c r="J16120" s="0" t="s">
        <v>53582</v>
      </c>
      <c r="K16120" s="0" t="s">
        <v>53583</v>
      </c>
      <c r="L16120" s="0" t="str">
        <f aca="false">HYPERLINK("https://www.ncbi.nlm.nih.gov/nuccore/CP000058.1?report=graph&amp;tracks=[key:gene_model_track,Options:GeneOnly]&amp;mk=4990130:4990149|offset_28|444444,4990109:4990128|offset_49|00cc00,4990064:4990083|offset_94|444444,4989998:4990017|offset_160|444444&amp;v=4989929:4990217&amp;c=444444", "offset 49")</f>
        <v>offset 49</v>
      </c>
    </row>
    <row r="16121" customFormat="false" ht="12.8" hidden="false" customHeight="false" outlineLevel="0" collapsed="false">
      <c r="A16121" s="0" t="s">
        <v>12</v>
      </c>
      <c r="B16121" s="0" t="n">
        <v>4990063</v>
      </c>
      <c r="C16121" s="0" t="n">
        <v>4990083</v>
      </c>
      <c r="D16121" s="0" t="s">
        <v>53577</v>
      </c>
      <c r="E16121" s="0" t="s">
        <v>75</v>
      </c>
      <c r="F16121" s="0" t="s">
        <v>90</v>
      </c>
      <c r="G16121" s="0" t="s">
        <v>36</v>
      </c>
      <c r="H16121" s="0" t="n">
        <v>94</v>
      </c>
      <c r="I16121" s="0" t="s">
        <v>53584</v>
      </c>
      <c r="J16121" s="0" t="s">
        <v>53585</v>
      </c>
      <c r="K16121" s="0" t="s">
        <v>53586</v>
      </c>
      <c r="L16121" s="0" t="str">
        <f aca="false">HYPERLINK("https://www.ncbi.nlm.nih.gov/nuccore/CP000058.1?report=graph&amp;tracks=[key:gene_model_track,Options:GeneOnly]&amp;mk=4990130:4990149|offset_28|444444,4990109:4990128|offset_49|444444,4990064:4990083|offset_94|00cc00,4989998:4990017|offset_160|444444&amp;v=4989929:4990217&amp;c=444444", "offset 94")</f>
        <v>offset 94</v>
      </c>
    </row>
    <row r="16122" customFormat="false" ht="12.8" hidden="false" customHeight="false" outlineLevel="0" collapsed="false">
      <c r="A16122" s="0" t="s">
        <v>12</v>
      </c>
      <c r="B16122" s="0" t="n">
        <v>4989997</v>
      </c>
      <c r="C16122" s="0" t="n">
        <v>4990017</v>
      </c>
      <c r="D16122" s="0" t="s">
        <v>53577</v>
      </c>
      <c r="E16122" s="0" t="s">
        <v>75</v>
      </c>
      <c r="F16122" s="0" t="s">
        <v>90</v>
      </c>
      <c r="G16122" s="0" t="s">
        <v>36</v>
      </c>
      <c r="H16122" s="0" t="n">
        <v>160</v>
      </c>
      <c r="I16122" s="0" t="s">
        <v>53587</v>
      </c>
      <c r="J16122" s="0" t="s">
        <v>53588</v>
      </c>
      <c r="K16122" s="0" t="s">
        <v>53589</v>
      </c>
      <c r="L16122" s="0" t="str">
        <f aca="false">HYPERLINK("https://www.ncbi.nlm.nih.gov/nuccore/CP000058.1?report=graph&amp;tracks=[key:gene_model_track,Options:GeneOnly]&amp;mk=4990130:4990149|offset_28|444444,4990109:4990128|offset_49|444444,4990064:4990083|offset_94|444444,4989998:4990017|offset_160|00cc00&amp;v=4989929:4990217&amp;c=444444", "offset 160")</f>
        <v>offset 160</v>
      </c>
    </row>
    <row r="16123" customFormat="false" ht="12.8" hidden="false" customHeight="false" outlineLevel="0" collapsed="false">
      <c r="A16123" s="0" t="s">
        <v>12</v>
      </c>
      <c r="B16123" s="0" t="n">
        <v>4990344</v>
      </c>
      <c r="C16123" s="0" t="n">
        <v>4990364</v>
      </c>
      <c r="D16123" s="0" t="s">
        <v>53590</v>
      </c>
      <c r="E16123" s="0" t="s">
        <v>75</v>
      </c>
      <c r="F16123" s="0" t="s">
        <v>15</v>
      </c>
      <c r="G16123" s="0" t="s">
        <v>16</v>
      </c>
      <c r="H16123" s="0" t="n">
        <v>0</v>
      </c>
      <c r="I16123" s="0" t="s">
        <v>53591</v>
      </c>
      <c r="J16123" s="0" t="s">
        <v>53592</v>
      </c>
      <c r="K16123" s="0" t="s">
        <v>53593</v>
      </c>
      <c r="L16123" s="0" t="str">
        <f aca="false">HYPERLINK("https://www.ncbi.nlm.nih.gov/nuccore/CP000058.1?report=graph&amp;tracks=[key:gene_model_track,Options:GeneOnly]&amp;mk=4990345:4990364|offset_0|00cc00,4990367:4990386|offset_22|444444,4990403:4990422|offset_58|444444,4990447:4990466|offset_102|444444&amp;v=4990144:4990666&amp;c=444444", "offset 0")</f>
        <v>offset 0</v>
      </c>
    </row>
    <row r="16124" customFormat="false" ht="12.8" hidden="false" customHeight="false" outlineLevel="0" collapsed="false">
      <c r="A16124" s="0" t="s">
        <v>12</v>
      </c>
      <c r="B16124" s="0" t="n">
        <v>4990366</v>
      </c>
      <c r="C16124" s="0" t="n">
        <v>4990386</v>
      </c>
      <c r="D16124" s="0" t="s">
        <v>53590</v>
      </c>
      <c r="E16124" s="0" t="s">
        <v>75</v>
      </c>
      <c r="F16124" s="0" t="s">
        <v>15</v>
      </c>
      <c r="G16124" s="0" t="s">
        <v>32</v>
      </c>
      <c r="H16124" s="0" t="n">
        <v>22</v>
      </c>
      <c r="I16124" s="0" t="s">
        <v>53594</v>
      </c>
      <c r="J16124" s="0" t="s">
        <v>53595</v>
      </c>
      <c r="K16124" s="0" t="s">
        <v>53596</v>
      </c>
      <c r="L16124" s="0" t="str">
        <f aca="false">HYPERLINK("https://www.ncbi.nlm.nih.gov/nuccore/CP000058.1?report=graph&amp;tracks=[key:gene_model_track,Options:GeneOnly]&amp;mk=4990345:4990364|offset_0|444444,4990367:4990386|offset_22|00cc00,4990403:4990422|offset_58|444444,4990447:4990466|offset_102|444444&amp;v=4990144:4990666&amp;c=444444", "offset 22")</f>
        <v>offset 22</v>
      </c>
    </row>
    <row r="16125" customFormat="false" ht="12.8" hidden="false" customHeight="false" outlineLevel="0" collapsed="false">
      <c r="A16125" s="0" t="s">
        <v>12</v>
      </c>
      <c r="B16125" s="0" t="n">
        <v>4990402</v>
      </c>
      <c r="C16125" s="0" t="n">
        <v>4990422</v>
      </c>
      <c r="D16125" s="0" t="s">
        <v>53590</v>
      </c>
      <c r="E16125" s="0" t="s">
        <v>75</v>
      </c>
      <c r="F16125" s="0" t="s">
        <v>15</v>
      </c>
      <c r="G16125" s="0" t="s">
        <v>16</v>
      </c>
      <c r="H16125" s="0" t="n">
        <v>58</v>
      </c>
      <c r="I16125" s="0" t="s">
        <v>53597</v>
      </c>
      <c r="J16125" s="0" t="s">
        <v>53598</v>
      </c>
      <c r="K16125" s="0" t="s">
        <v>53599</v>
      </c>
      <c r="L16125" s="0" t="str">
        <f aca="false">HYPERLINK("https://www.ncbi.nlm.nih.gov/nuccore/CP000058.1?report=graph&amp;tracks=[key:gene_model_track,Options:GeneOnly]&amp;mk=4990345:4990364|offset_0|444444,4990367:4990386|offset_22|444444,4990403:4990422|offset_58|00cc00,4990447:4990466|offset_102|444444&amp;v=4990144:4990666&amp;c=444444", "offset 58")</f>
        <v>offset 58</v>
      </c>
    </row>
    <row r="16126" customFormat="false" ht="12.8" hidden="false" customHeight="false" outlineLevel="0" collapsed="false">
      <c r="A16126" s="0" t="s">
        <v>12</v>
      </c>
      <c r="B16126" s="0" t="n">
        <v>4990446</v>
      </c>
      <c r="C16126" s="0" t="n">
        <v>4990466</v>
      </c>
      <c r="D16126" s="0" t="s">
        <v>53590</v>
      </c>
      <c r="E16126" s="0" t="s">
        <v>75</v>
      </c>
      <c r="F16126" s="0" t="s">
        <v>15</v>
      </c>
      <c r="G16126" s="0" t="s">
        <v>16</v>
      </c>
      <c r="H16126" s="0" t="n">
        <v>102</v>
      </c>
      <c r="I16126" s="0" t="s">
        <v>53600</v>
      </c>
      <c r="J16126" s="0" t="s">
        <v>53601</v>
      </c>
      <c r="K16126" s="0" t="s">
        <v>53602</v>
      </c>
      <c r="L16126" s="0" t="str">
        <f aca="false">HYPERLINK("https://www.ncbi.nlm.nih.gov/nuccore/CP000058.1?report=graph&amp;tracks=[key:gene_model_track,Options:GeneOnly]&amp;mk=4990345:4990364|offset_0|444444,4990367:4990386|offset_22|444444,4990403:4990422|offset_58|444444,4990447:4990466|offset_102|00cc00&amp;v=4990144:4990666&amp;c=444444", "offset 102")</f>
        <v>offset 102</v>
      </c>
    </row>
    <row r="16127" customFormat="false" ht="12.8" hidden="false" customHeight="false" outlineLevel="0" collapsed="false">
      <c r="A16127" s="0" t="s">
        <v>12</v>
      </c>
      <c r="B16127" s="0" t="n">
        <v>4991383</v>
      </c>
      <c r="C16127" s="0" t="n">
        <v>4991403</v>
      </c>
      <c r="D16127" s="0" t="s">
        <v>53603</v>
      </c>
      <c r="E16127" s="0" t="s">
        <v>75</v>
      </c>
      <c r="F16127" s="0" t="s">
        <v>15</v>
      </c>
      <c r="G16127" s="0" t="s">
        <v>32</v>
      </c>
      <c r="H16127" s="0" t="n">
        <v>1</v>
      </c>
      <c r="I16127" s="0" t="s">
        <v>53604</v>
      </c>
      <c r="J16127" s="0" t="s">
        <v>53605</v>
      </c>
      <c r="K16127" s="0" t="s">
        <v>53606</v>
      </c>
      <c r="L16127" s="0" t="str">
        <f aca="false">HYPERLINK("https://www.ncbi.nlm.nih.gov/nuccore/CP000058.1?report=graph&amp;tracks=[key:gene_model_track,Options:GeneOnly]&amp;mk=4991384:4991403|offset_1|00cc00,4991405:4991424|offset_22|444444,4991439:4991458|offset_56|444444,4991504:4991523|offset_121|444444&amp;v=4991183:4991723&amp;c=444444", "offset 1")</f>
        <v>offset 1</v>
      </c>
    </row>
    <row r="16128" customFormat="false" ht="12.8" hidden="false" customHeight="false" outlineLevel="0" collapsed="false">
      <c r="A16128" s="0" t="s">
        <v>12</v>
      </c>
      <c r="B16128" s="0" t="n">
        <v>4991404</v>
      </c>
      <c r="C16128" s="0" t="n">
        <v>4991424</v>
      </c>
      <c r="D16128" s="0" t="s">
        <v>53603</v>
      </c>
      <c r="E16128" s="0" t="s">
        <v>75</v>
      </c>
      <c r="F16128" s="0" t="s">
        <v>15</v>
      </c>
      <c r="G16128" s="0" t="s">
        <v>20</v>
      </c>
      <c r="H16128" s="0" t="n">
        <v>22</v>
      </c>
      <c r="I16128" s="0" t="s">
        <v>53607</v>
      </c>
      <c r="J16128" s="0" t="s">
        <v>53608</v>
      </c>
      <c r="K16128" s="0" t="s">
        <v>53609</v>
      </c>
      <c r="L16128" s="0" t="str">
        <f aca="false">HYPERLINK("https://www.ncbi.nlm.nih.gov/nuccore/CP000058.1?report=graph&amp;tracks=[key:gene_model_track,Options:GeneOnly]&amp;mk=4991384:4991403|offset_1|444444,4991405:4991424|offset_22|00cc00,4991439:4991458|offset_56|444444,4991504:4991523|offset_121|444444&amp;v=4991183:4991723&amp;c=444444", "offset 22")</f>
        <v>offset 22</v>
      </c>
    </row>
    <row r="16129" customFormat="false" ht="12.8" hidden="false" customHeight="false" outlineLevel="0" collapsed="false">
      <c r="A16129" s="0" t="s">
        <v>12</v>
      </c>
      <c r="B16129" s="0" t="n">
        <v>4991438</v>
      </c>
      <c r="C16129" s="0" t="n">
        <v>4991458</v>
      </c>
      <c r="D16129" s="0" t="s">
        <v>53603</v>
      </c>
      <c r="E16129" s="0" t="s">
        <v>75</v>
      </c>
      <c r="F16129" s="0" t="s">
        <v>15</v>
      </c>
      <c r="G16129" s="0" t="s">
        <v>20</v>
      </c>
      <c r="H16129" s="0" t="n">
        <v>56</v>
      </c>
      <c r="I16129" s="0" t="s">
        <v>53610</v>
      </c>
      <c r="J16129" s="0" t="s">
        <v>53611</v>
      </c>
      <c r="K16129" s="0" t="s">
        <v>53612</v>
      </c>
      <c r="L16129" s="0" t="str">
        <f aca="false">HYPERLINK("https://www.ncbi.nlm.nih.gov/nuccore/CP000058.1?report=graph&amp;tracks=[key:gene_model_track,Options:GeneOnly]&amp;mk=4991384:4991403|offset_1|444444,4991405:4991424|offset_22|444444,4991439:4991458|offset_56|00cc00,4991504:4991523|offset_121|444444&amp;v=4991183:4991723&amp;c=444444", "offset 56")</f>
        <v>offset 56</v>
      </c>
    </row>
    <row r="16130" customFormat="false" ht="12.8" hidden="false" customHeight="false" outlineLevel="0" collapsed="false">
      <c r="A16130" s="0" t="s">
        <v>12</v>
      </c>
      <c r="B16130" s="0" t="n">
        <v>4991503</v>
      </c>
      <c r="C16130" s="0" t="n">
        <v>4991523</v>
      </c>
      <c r="D16130" s="0" t="s">
        <v>53603</v>
      </c>
      <c r="E16130" s="0" t="s">
        <v>75</v>
      </c>
      <c r="F16130" s="0" t="s">
        <v>15</v>
      </c>
      <c r="G16130" s="0" t="s">
        <v>16</v>
      </c>
      <c r="H16130" s="0" t="n">
        <v>121</v>
      </c>
      <c r="I16130" s="0" t="s">
        <v>53613</v>
      </c>
      <c r="J16130" s="0" t="s">
        <v>53614</v>
      </c>
      <c r="K16130" s="0" t="s">
        <v>53615</v>
      </c>
      <c r="L16130" s="0" t="str">
        <f aca="false">HYPERLINK("https://www.ncbi.nlm.nih.gov/nuccore/CP000058.1?report=graph&amp;tracks=[key:gene_model_track,Options:GeneOnly]&amp;mk=4991384:4991403|offset_1|444444,4991405:4991424|offset_22|444444,4991439:4991458|offset_56|444444,4991504:4991523|offset_121|00cc00&amp;v=4991183:4991723&amp;c=444444", "offset 121")</f>
        <v>offset 121</v>
      </c>
    </row>
    <row r="16131" customFormat="false" ht="12.8" hidden="false" customHeight="false" outlineLevel="0" collapsed="false">
      <c r="A16131" s="0" t="s">
        <v>12</v>
      </c>
      <c r="B16131" s="0" t="n">
        <v>4992799</v>
      </c>
      <c r="C16131" s="0" t="n">
        <v>4992819</v>
      </c>
      <c r="D16131" s="0" t="s">
        <v>53616</v>
      </c>
      <c r="E16131" s="0" t="s">
        <v>75</v>
      </c>
      <c r="F16131" s="0" t="s">
        <v>90</v>
      </c>
      <c r="G16131" s="0" t="s">
        <v>16</v>
      </c>
      <c r="H16131" s="0" t="n">
        <v>6</v>
      </c>
      <c r="I16131" s="0" t="s">
        <v>53617</v>
      </c>
      <c r="J16131" s="0" t="s">
        <v>53618</v>
      </c>
      <c r="K16131" s="0" t="s">
        <v>53619</v>
      </c>
      <c r="L16131" s="0" t="str">
        <f aca="false">HYPERLINK("https://www.ncbi.nlm.nih.gov/nuccore/CP000058.1?report=graph&amp;tracks=[key:gene_model_track,Options:GeneOnly]&amp;mk=4992800:4992819|offset_6|00cc00,4992770:4992789|offset_36|444444,4992724:4992743|offset_82|444444,4992702:4992721|offset_104|444444&amp;v=4992599:4992921&amp;c=444444", "offset 6")</f>
        <v>offset 6</v>
      </c>
    </row>
    <row r="16132" customFormat="false" ht="12.8" hidden="false" customHeight="false" outlineLevel="0" collapsed="false">
      <c r="A16132" s="0" t="s">
        <v>12</v>
      </c>
      <c r="B16132" s="0" t="n">
        <v>4992769</v>
      </c>
      <c r="C16132" s="0" t="n">
        <v>4992789</v>
      </c>
      <c r="D16132" s="0" t="s">
        <v>53616</v>
      </c>
      <c r="E16132" s="0" t="s">
        <v>75</v>
      </c>
      <c r="F16132" s="0" t="s">
        <v>90</v>
      </c>
      <c r="G16132" s="0" t="s">
        <v>36</v>
      </c>
      <c r="H16132" s="0" t="n">
        <v>36</v>
      </c>
      <c r="I16132" s="0" t="s">
        <v>53620</v>
      </c>
      <c r="J16132" s="0" t="s">
        <v>53621</v>
      </c>
      <c r="K16132" s="0" t="s">
        <v>53622</v>
      </c>
      <c r="L16132" s="0" t="str">
        <f aca="false">HYPERLINK("https://www.ncbi.nlm.nih.gov/nuccore/CP000058.1?report=graph&amp;tracks=[key:gene_model_track,Options:GeneOnly]&amp;mk=4992800:4992819|offset_6|444444,4992770:4992789|offset_36|00cc00,4992724:4992743|offset_82|444444,4992702:4992721|offset_104|444444&amp;v=4992599:4992921&amp;c=444444", "offset 36")</f>
        <v>offset 36</v>
      </c>
    </row>
    <row r="16133" customFormat="false" ht="12.8" hidden="false" customHeight="false" outlineLevel="0" collapsed="false">
      <c r="A16133" s="0" t="s">
        <v>12</v>
      </c>
      <c r="B16133" s="0" t="n">
        <v>4992723</v>
      </c>
      <c r="C16133" s="0" t="n">
        <v>4992743</v>
      </c>
      <c r="D16133" s="0" t="s">
        <v>53616</v>
      </c>
      <c r="E16133" s="0" t="s">
        <v>75</v>
      </c>
      <c r="F16133" s="0" t="s">
        <v>90</v>
      </c>
      <c r="G16133" s="0" t="s">
        <v>36</v>
      </c>
      <c r="H16133" s="0" t="n">
        <v>82</v>
      </c>
      <c r="I16133" s="0" t="s">
        <v>53623</v>
      </c>
      <c r="J16133" s="0" t="s">
        <v>53624</v>
      </c>
      <c r="K16133" s="0" t="s">
        <v>53625</v>
      </c>
      <c r="L16133" s="0" t="str">
        <f aca="false">HYPERLINK("https://www.ncbi.nlm.nih.gov/nuccore/CP000058.1?report=graph&amp;tracks=[key:gene_model_track,Options:GeneOnly]&amp;mk=4992800:4992819|offset_6|444444,4992770:4992789|offset_36|444444,4992724:4992743|offset_82|00cc00,4992702:4992721|offset_104|444444&amp;v=4992599:4992921&amp;c=444444", "offset 82")</f>
        <v>offset 82</v>
      </c>
    </row>
    <row r="16134" customFormat="false" ht="12.8" hidden="false" customHeight="false" outlineLevel="0" collapsed="false">
      <c r="A16134" s="0" t="s">
        <v>12</v>
      </c>
      <c r="B16134" s="0" t="n">
        <v>4992701</v>
      </c>
      <c r="C16134" s="0" t="n">
        <v>4992721</v>
      </c>
      <c r="D16134" s="0" t="s">
        <v>53616</v>
      </c>
      <c r="E16134" s="0" t="s">
        <v>75</v>
      </c>
      <c r="F16134" s="0" t="s">
        <v>90</v>
      </c>
      <c r="G16134" s="0" t="s">
        <v>20</v>
      </c>
      <c r="H16134" s="0" t="n">
        <v>104</v>
      </c>
      <c r="I16134" s="0" t="s">
        <v>53626</v>
      </c>
      <c r="J16134" s="0" t="s">
        <v>53627</v>
      </c>
      <c r="K16134" s="0" t="s">
        <v>53628</v>
      </c>
      <c r="L16134" s="0" t="str">
        <f aca="false">HYPERLINK("https://www.ncbi.nlm.nih.gov/nuccore/CP000058.1?report=graph&amp;tracks=[key:gene_model_track,Options:GeneOnly]&amp;mk=4992800:4992819|offset_6|444444,4992770:4992789|offset_36|444444,4992724:4992743|offset_82|444444,4992702:4992721|offset_104|00cc00&amp;v=4992599:4992921&amp;c=444444", "offset 104")</f>
        <v>offset 104</v>
      </c>
    </row>
    <row r="16135" customFormat="false" ht="12.8" hidden="false" customHeight="false" outlineLevel="0" collapsed="false">
      <c r="A16135" s="0" t="s">
        <v>12</v>
      </c>
      <c r="B16135" s="0" t="n">
        <v>4993875</v>
      </c>
      <c r="C16135" s="0" t="n">
        <v>4993895</v>
      </c>
      <c r="D16135" s="0" t="s">
        <v>53629</v>
      </c>
      <c r="E16135" s="0" t="s">
        <v>53630</v>
      </c>
      <c r="F16135" s="0" t="s">
        <v>90</v>
      </c>
      <c r="G16135" s="0" t="s">
        <v>16</v>
      </c>
      <c r="H16135" s="0" t="n">
        <v>9</v>
      </c>
      <c r="I16135" s="0" t="s">
        <v>53631</v>
      </c>
      <c r="J16135" s="0" t="s">
        <v>53632</v>
      </c>
      <c r="K16135" s="0" t="s">
        <v>53633</v>
      </c>
      <c r="L16135" s="0" t="str">
        <f aca="false">HYPERLINK("https://www.ncbi.nlm.nih.gov/nuccore/CP000058.1?report=graph&amp;tracks=[key:gene_model_track,Options:GeneOnly]&amp;mk=4993876:4993895|offset_9|00cc00,4993823:4993842|offset_62|444444,4993803:4993822|offset_82|444444,4993765:4993784|offset_120|444444&amp;v=4993675:4993984&amp;c=444444", "offset 9")</f>
        <v>offset 9</v>
      </c>
    </row>
    <row r="16136" customFormat="false" ht="12.8" hidden="false" customHeight="false" outlineLevel="0" collapsed="false">
      <c r="A16136" s="0" t="s">
        <v>12</v>
      </c>
      <c r="B16136" s="0" t="n">
        <v>4993822</v>
      </c>
      <c r="C16136" s="0" t="n">
        <v>4993842</v>
      </c>
      <c r="D16136" s="0" t="s">
        <v>53629</v>
      </c>
      <c r="E16136" s="0" t="s">
        <v>53630</v>
      </c>
      <c r="F16136" s="0" t="s">
        <v>90</v>
      </c>
      <c r="G16136" s="0" t="s">
        <v>36</v>
      </c>
      <c r="H16136" s="0" t="n">
        <v>62</v>
      </c>
      <c r="I16136" s="0" t="s">
        <v>53634</v>
      </c>
      <c r="J16136" s="0" t="s">
        <v>53635</v>
      </c>
      <c r="K16136" s="0" t="s">
        <v>53636</v>
      </c>
      <c r="L16136" s="0" t="str">
        <f aca="false">HYPERLINK("https://www.ncbi.nlm.nih.gov/nuccore/CP000058.1?report=graph&amp;tracks=[key:gene_model_track,Options:GeneOnly]&amp;mk=4993876:4993895|offset_9|444444,4993823:4993842|offset_62|00cc00,4993803:4993822|offset_82|444444,4993765:4993784|offset_120|444444&amp;v=4993675:4993984&amp;c=444444", "offset 62")</f>
        <v>offset 62</v>
      </c>
    </row>
    <row r="16137" customFormat="false" ht="12.8" hidden="false" customHeight="false" outlineLevel="0" collapsed="false">
      <c r="A16137" s="0" t="s">
        <v>12</v>
      </c>
      <c r="B16137" s="0" t="n">
        <v>4993802</v>
      </c>
      <c r="C16137" s="0" t="n">
        <v>4993822</v>
      </c>
      <c r="D16137" s="0" t="s">
        <v>53629</v>
      </c>
      <c r="E16137" s="0" t="s">
        <v>53630</v>
      </c>
      <c r="F16137" s="0" t="s">
        <v>90</v>
      </c>
      <c r="G16137" s="0" t="s">
        <v>16</v>
      </c>
      <c r="H16137" s="0" t="n">
        <v>82</v>
      </c>
      <c r="I16137" s="0" t="s">
        <v>53637</v>
      </c>
      <c r="J16137" s="0" t="s">
        <v>53638</v>
      </c>
      <c r="K16137" s="0" t="s">
        <v>53639</v>
      </c>
      <c r="L16137" s="0" t="str">
        <f aca="false">HYPERLINK("https://www.ncbi.nlm.nih.gov/nuccore/CP000058.1?report=graph&amp;tracks=[key:gene_model_track,Options:GeneOnly]&amp;mk=4993876:4993895|offset_9|444444,4993823:4993842|offset_62|444444,4993803:4993822|offset_82|00cc00,4993765:4993784|offset_120|444444&amp;v=4993675:4993984&amp;c=444444", "offset 82")</f>
        <v>offset 82</v>
      </c>
    </row>
    <row r="16138" customFormat="false" ht="12.8" hidden="false" customHeight="false" outlineLevel="0" collapsed="false">
      <c r="A16138" s="0" t="s">
        <v>12</v>
      </c>
      <c r="B16138" s="0" t="n">
        <v>4993764</v>
      </c>
      <c r="C16138" s="0" t="n">
        <v>4993784</v>
      </c>
      <c r="D16138" s="0" t="s">
        <v>53629</v>
      </c>
      <c r="E16138" s="0" t="s">
        <v>53630</v>
      </c>
      <c r="F16138" s="0" t="s">
        <v>90</v>
      </c>
      <c r="G16138" s="0" t="s">
        <v>16</v>
      </c>
      <c r="H16138" s="0" t="n">
        <v>120</v>
      </c>
      <c r="I16138" s="0" t="s">
        <v>53640</v>
      </c>
      <c r="J16138" s="0" t="s">
        <v>53641</v>
      </c>
      <c r="K16138" s="0" t="s">
        <v>53642</v>
      </c>
      <c r="L16138" s="0" t="str">
        <f aca="false">HYPERLINK("https://www.ncbi.nlm.nih.gov/nuccore/CP000058.1?report=graph&amp;tracks=[key:gene_model_track,Options:GeneOnly]&amp;mk=4993876:4993895|offset_9|444444,4993823:4993842|offset_62|444444,4993803:4993822|offset_82|444444,4993765:4993784|offset_120|00cc00&amp;v=4993675:4993984&amp;c=444444", "offset 120")</f>
        <v>offset 120</v>
      </c>
    </row>
    <row r="16139" customFormat="false" ht="12.8" hidden="false" customHeight="false" outlineLevel="0" collapsed="false">
      <c r="A16139" s="0" t="s">
        <v>12</v>
      </c>
      <c r="B16139" s="0" t="n">
        <v>4994087</v>
      </c>
      <c r="C16139" s="0" t="n">
        <v>4994107</v>
      </c>
      <c r="D16139" s="0" t="s">
        <v>53643</v>
      </c>
      <c r="E16139" s="0" t="s">
        <v>53644</v>
      </c>
      <c r="F16139" s="0" t="s">
        <v>15</v>
      </c>
      <c r="G16139" s="0" t="s">
        <v>20</v>
      </c>
      <c r="H16139" s="0" t="n">
        <v>1</v>
      </c>
      <c r="I16139" s="0" t="s">
        <v>53645</v>
      </c>
      <c r="J16139" s="0" t="s">
        <v>53646</v>
      </c>
      <c r="K16139" s="0" t="s">
        <v>53647</v>
      </c>
      <c r="L16139" s="0" t="str">
        <f aca="false">HYPERLINK("https://www.ncbi.nlm.nih.gov/nuccore/CP000058.1?report=graph&amp;tracks=[key:gene_model_track,Options:GeneOnly]&amp;mk=4994088:4994107|offset_1|00cc00,4994134:4994153|offset_47|444444,4994164:4994183|offset_77|444444,4994209:4994228|offset_122|444444&amp;v=4993887:4994428&amp;c=444444", "offset 1")</f>
        <v>offset 1</v>
      </c>
    </row>
    <row r="16140" customFormat="false" ht="12.8" hidden="false" customHeight="false" outlineLevel="0" collapsed="false">
      <c r="A16140" s="0" t="s">
        <v>12</v>
      </c>
      <c r="B16140" s="0" t="n">
        <v>4994133</v>
      </c>
      <c r="C16140" s="0" t="n">
        <v>4994153</v>
      </c>
      <c r="D16140" s="0" t="s">
        <v>53643</v>
      </c>
      <c r="E16140" s="0" t="s">
        <v>53644</v>
      </c>
      <c r="F16140" s="0" t="s">
        <v>15</v>
      </c>
      <c r="G16140" s="0" t="s">
        <v>20</v>
      </c>
      <c r="H16140" s="0" t="n">
        <v>47</v>
      </c>
      <c r="I16140" s="0" t="s">
        <v>53648</v>
      </c>
      <c r="J16140" s="0" t="s">
        <v>53649</v>
      </c>
      <c r="K16140" s="0" t="s">
        <v>53650</v>
      </c>
      <c r="L16140" s="0" t="str">
        <f aca="false">HYPERLINK("https://www.ncbi.nlm.nih.gov/nuccore/CP000058.1?report=graph&amp;tracks=[key:gene_model_track,Options:GeneOnly]&amp;mk=4994088:4994107|offset_1|444444,4994134:4994153|offset_47|00cc00,4994164:4994183|offset_77|444444,4994209:4994228|offset_122|444444&amp;v=4993887:4994428&amp;c=444444", "offset 47")</f>
        <v>offset 47</v>
      </c>
    </row>
    <row r="16141" customFormat="false" ht="12.8" hidden="false" customHeight="false" outlineLevel="0" collapsed="false">
      <c r="A16141" s="0" t="s">
        <v>12</v>
      </c>
      <c r="B16141" s="0" t="n">
        <v>4994163</v>
      </c>
      <c r="C16141" s="0" t="n">
        <v>4994183</v>
      </c>
      <c r="D16141" s="0" t="s">
        <v>53643</v>
      </c>
      <c r="E16141" s="0" t="s">
        <v>53644</v>
      </c>
      <c r="F16141" s="0" t="s">
        <v>15</v>
      </c>
      <c r="G16141" s="0" t="s">
        <v>20</v>
      </c>
      <c r="H16141" s="0" t="n">
        <v>77</v>
      </c>
      <c r="I16141" s="0" t="s">
        <v>53651</v>
      </c>
      <c r="J16141" s="0" t="s">
        <v>53652</v>
      </c>
      <c r="K16141" s="0" t="s">
        <v>53653</v>
      </c>
      <c r="L16141" s="0" t="str">
        <f aca="false">HYPERLINK("https://www.ncbi.nlm.nih.gov/nuccore/CP000058.1?report=graph&amp;tracks=[key:gene_model_track,Options:GeneOnly]&amp;mk=4994088:4994107|offset_1|444444,4994134:4994153|offset_47|444444,4994164:4994183|offset_77|00cc00,4994209:4994228|offset_122|444444&amp;v=4993887:4994428&amp;c=444444", "offset 77")</f>
        <v>offset 77</v>
      </c>
    </row>
    <row r="16142" customFormat="false" ht="12.8" hidden="false" customHeight="false" outlineLevel="0" collapsed="false">
      <c r="A16142" s="0" t="s">
        <v>12</v>
      </c>
      <c r="B16142" s="0" t="n">
        <v>4994208</v>
      </c>
      <c r="C16142" s="0" t="n">
        <v>4994228</v>
      </c>
      <c r="D16142" s="0" t="s">
        <v>53643</v>
      </c>
      <c r="E16142" s="0" t="s">
        <v>53644</v>
      </c>
      <c r="F16142" s="0" t="s">
        <v>15</v>
      </c>
      <c r="G16142" s="0" t="s">
        <v>16</v>
      </c>
      <c r="H16142" s="0" t="n">
        <v>122</v>
      </c>
      <c r="I16142" s="0" t="s">
        <v>53654</v>
      </c>
      <c r="J16142" s="0" t="s">
        <v>53655</v>
      </c>
      <c r="K16142" s="0" t="s">
        <v>53656</v>
      </c>
      <c r="L16142" s="0" t="str">
        <f aca="false">HYPERLINK("https://www.ncbi.nlm.nih.gov/nuccore/CP000058.1?report=graph&amp;tracks=[key:gene_model_track,Options:GeneOnly]&amp;mk=4994088:4994107|offset_1|444444,4994134:4994153|offset_47|444444,4994164:4994183|offset_77|444444,4994209:4994228|offset_122|00cc00&amp;v=4993887:4994428&amp;c=444444", "offset 122")</f>
        <v>offset 122</v>
      </c>
    </row>
    <row r="16143" customFormat="false" ht="12.8" hidden="false" customHeight="false" outlineLevel="0" collapsed="false">
      <c r="A16143" s="0" t="s">
        <v>12</v>
      </c>
      <c r="B16143" s="0" t="n">
        <v>4995147</v>
      </c>
      <c r="C16143" s="0" t="n">
        <v>4995167</v>
      </c>
      <c r="D16143" s="0" t="s">
        <v>53657</v>
      </c>
      <c r="E16143" s="0" t="s">
        <v>75</v>
      </c>
      <c r="F16143" s="0" t="s">
        <v>15</v>
      </c>
      <c r="G16143" s="0" t="s">
        <v>32</v>
      </c>
      <c r="H16143" s="0" t="n">
        <v>39</v>
      </c>
      <c r="I16143" s="0" t="s">
        <v>53658</v>
      </c>
      <c r="J16143" s="0" t="s">
        <v>53659</v>
      </c>
      <c r="K16143" s="0" t="s">
        <v>53660</v>
      </c>
      <c r="L16143" s="0" t="str">
        <f aca="false">HYPERLINK("https://www.ncbi.nlm.nih.gov/nuccore/CP000058.1?report=graph&amp;tracks=[key:gene_model_track,Options:GeneOnly]&amp;mk=4995148:4995167|offset_39|00cc00,4995177:4995196|offset_68|444444,4995210:4995229|offset_101|444444,4995296:4995315|offset_187|444444&amp;v=4994947:4995515&amp;c=444444", "offset 39")</f>
        <v>offset 39</v>
      </c>
    </row>
    <row r="16144" customFormat="false" ht="12.8" hidden="false" customHeight="false" outlineLevel="0" collapsed="false">
      <c r="A16144" s="0" t="s">
        <v>12</v>
      </c>
      <c r="B16144" s="0" t="n">
        <v>4995176</v>
      </c>
      <c r="C16144" s="0" t="n">
        <v>4995196</v>
      </c>
      <c r="D16144" s="0" t="s">
        <v>53657</v>
      </c>
      <c r="E16144" s="0" t="s">
        <v>75</v>
      </c>
      <c r="F16144" s="0" t="s">
        <v>15</v>
      </c>
      <c r="G16144" s="0" t="s">
        <v>16</v>
      </c>
      <c r="H16144" s="0" t="n">
        <v>68</v>
      </c>
      <c r="I16144" s="0" t="s">
        <v>53661</v>
      </c>
      <c r="J16144" s="0" t="s">
        <v>53662</v>
      </c>
      <c r="K16144" s="0" t="s">
        <v>53663</v>
      </c>
      <c r="L16144" s="0" t="str">
        <f aca="false">HYPERLINK("https://www.ncbi.nlm.nih.gov/nuccore/CP000058.1?report=graph&amp;tracks=[key:gene_model_track,Options:GeneOnly]&amp;mk=4995148:4995167|offset_39|444444,4995177:4995196|offset_68|00cc00,4995210:4995229|offset_101|444444,4995296:4995315|offset_187|444444&amp;v=4994947:4995515&amp;c=444444", "offset 68")</f>
        <v>offset 68</v>
      </c>
    </row>
    <row r="16145" customFormat="false" ht="12.8" hidden="false" customHeight="false" outlineLevel="0" collapsed="false">
      <c r="A16145" s="0" t="s">
        <v>12</v>
      </c>
      <c r="B16145" s="0" t="n">
        <v>4995209</v>
      </c>
      <c r="C16145" s="0" t="n">
        <v>4995229</v>
      </c>
      <c r="D16145" s="0" t="s">
        <v>53657</v>
      </c>
      <c r="E16145" s="0" t="s">
        <v>75</v>
      </c>
      <c r="F16145" s="0" t="s">
        <v>15</v>
      </c>
      <c r="G16145" s="0" t="s">
        <v>32</v>
      </c>
      <c r="H16145" s="0" t="n">
        <v>101</v>
      </c>
      <c r="I16145" s="0" t="s">
        <v>53664</v>
      </c>
      <c r="J16145" s="0" t="s">
        <v>53665</v>
      </c>
      <c r="K16145" s="0" t="s">
        <v>53666</v>
      </c>
      <c r="L16145" s="0" t="str">
        <f aca="false">HYPERLINK("https://www.ncbi.nlm.nih.gov/nuccore/CP000058.1?report=graph&amp;tracks=[key:gene_model_track,Options:GeneOnly]&amp;mk=4995148:4995167|offset_39|444444,4995177:4995196|offset_68|444444,4995210:4995229|offset_101|00cc00,4995296:4995315|offset_187|444444&amp;v=4994947:4995515&amp;c=444444", "offset 101")</f>
        <v>offset 101</v>
      </c>
    </row>
    <row r="16146" customFormat="false" ht="12.8" hidden="false" customHeight="false" outlineLevel="0" collapsed="false">
      <c r="A16146" s="0" t="s">
        <v>12</v>
      </c>
      <c r="B16146" s="0" t="n">
        <v>4995295</v>
      </c>
      <c r="C16146" s="0" t="n">
        <v>4995315</v>
      </c>
      <c r="D16146" s="0" t="s">
        <v>53657</v>
      </c>
      <c r="E16146" s="0" t="s">
        <v>75</v>
      </c>
      <c r="F16146" s="0" t="s">
        <v>15</v>
      </c>
      <c r="G16146" s="0" t="s">
        <v>20</v>
      </c>
      <c r="H16146" s="0" t="n">
        <v>187</v>
      </c>
      <c r="I16146" s="0" t="s">
        <v>53667</v>
      </c>
      <c r="J16146" s="0" t="s">
        <v>53668</v>
      </c>
      <c r="K16146" s="0" t="s">
        <v>53669</v>
      </c>
      <c r="L16146" s="0" t="str">
        <f aca="false">HYPERLINK("https://www.ncbi.nlm.nih.gov/nuccore/CP000058.1?report=graph&amp;tracks=[key:gene_model_track,Options:GeneOnly]&amp;mk=4995148:4995167|offset_39|444444,4995177:4995196|offset_68|444444,4995210:4995229|offset_101|444444,4995296:4995315|offset_187|00cc00&amp;v=4994947:4995515&amp;c=444444", "offset 187")</f>
        <v>offset 187</v>
      </c>
    </row>
    <row r="16147" customFormat="false" ht="12.8" hidden="false" customHeight="false" outlineLevel="0" collapsed="false">
      <c r="A16147" s="0" t="s">
        <v>12</v>
      </c>
      <c r="B16147" s="0" t="n">
        <v>4996459</v>
      </c>
      <c r="C16147" s="0" t="n">
        <v>4996479</v>
      </c>
      <c r="D16147" s="0" t="s">
        <v>53670</v>
      </c>
      <c r="E16147" s="0" t="s">
        <v>75</v>
      </c>
      <c r="F16147" s="0" t="s">
        <v>15</v>
      </c>
      <c r="G16147" s="0" t="s">
        <v>32</v>
      </c>
      <c r="H16147" s="0" t="n">
        <v>1</v>
      </c>
      <c r="I16147" s="0" t="s">
        <v>53671</v>
      </c>
      <c r="J16147" s="0" t="s">
        <v>53672</v>
      </c>
      <c r="K16147" s="0" t="s">
        <v>53673</v>
      </c>
      <c r="L16147" s="0" t="str">
        <f aca="false">HYPERLINK("https://www.ncbi.nlm.nih.gov/nuccore/CP000058.1?report=graph&amp;tracks=[key:gene_model_track,Options:GeneOnly]&amp;mk=4996460:4996479|offset_1|00cc00,4996502:4996521|offset_43|444444,4996526:4996545|offset_67|444444,4996546:4996565|offset_87|444444&amp;v=4996259:4996765&amp;c=444444", "offset 1")</f>
        <v>offset 1</v>
      </c>
    </row>
    <row r="16148" customFormat="false" ht="12.8" hidden="false" customHeight="false" outlineLevel="0" collapsed="false">
      <c r="A16148" s="0" t="s">
        <v>12</v>
      </c>
      <c r="B16148" s="0" t="n">
        <v>4996501</v>
      </c>
      <c r="C16148" s="0" t="n">
        <v>4996521</v>
      </c>
      <c r="D16148" s="0" t="s">
        <v>53670</v>
      </c>
      <c r="E16148" s="0" t="s">
        <v>75</v>
      </c>
      <c r="F16148" s="0" t="s">
        <v>15</v>
      </c>
      <c r="G16148" s="0" t="s">
        <v>32</v>
      </c>
      <c r="H16148" s="0" t="n">
        <v>43</v>
      </c>
      <c r="I16148" s="0" t="s">
        <v>53674</v>
      </c>
      <c r="J16148" s="0" t="s">
        <v>53675</v>
      </c>
      <c r="K16148" s="0" t="s">
        <v>53676</v>
      </c>
      <c r="L16148" s="0" t="str">
        <f aca="false">HYPERLINK("https://www.ncbi.nlm.nih.gov/nuccore/CP000058.1?report=graph&amp;tracks=[key:gene_model_track,Options:GeneOnly]&amp;mk=4996460:4996479|offset_1|444444,4996502:4996521|offset_43|00cc00,4996526:4996545|offset_67|444444,4996546:4996565|offset_87|444444&amp;v=4996259:4996765&amp;c=444444", "offset 43")</f>
        <v>offset 43</v>
      </c>
    </row>
    <row r="16149" customFormat="false" ht="12.8" hidden="false" customHeight="false" outlineLevel="0" collapsed="false">
      <c r="A16149" s="0" t="s">
        <v>12</v>
      </c>
      <c r="B16149" s="0" t="n">
        <v>4996525</v>
      </c>
      <c r="C16149" s="0" t="n">
        <v>4996545</v>
      </c>
      <c r="D16149" s="0" t="s">
        <v>53670</v>
      </c>
      <c r="E16149" s="0" t="s">
        <v>75</v>
      </c>
      <c r="F16149" s="0" t="s">
        <v>15</v>
      </c>
      <c r="G16149" s="0" t="s">
        <v>20</v>
      </c>
      <c r="H16149" s="0" t="n">
        <v>67</v>
      </c>
      <c r="I16149" s="0" t="s">
        <v>53677</v>
      </c>
      <c r="J16149" s="0" t="s">
        <v>53678</v>
      </c>
      <c r="K16149" s="0" t="s">
        <v>53679</v>
      </c>
      <c r="L16149" s="0" t="str">
        <f aca="false">HYPERLINK("https://www.ncbi.nlm.nih.gov/nuccore/CP000058.1?report=graph&amp;tracks=[key:gene_model_track,Options:GeneOnly]&amp;mk=4996460:4996479|offset_1|444444,4996502:4996521|offset_43|444444,4996526:4996545|offset_67|00cc00,4996546:4996565|offset_87|444444&amp;v=4996259:4996765&amp;c=444444", "offset 67")</f>
        <v>offset 67</v>
      </c>
    </row>
    <row r="16150" customFormat="false" ht="12.8" hidden="false" customHeight="false" outlineLevel="0" collapsed="false">
      <c r="A16150" s="0" t="s">
        <v>12</v>
      </c>
      <c r="B16150" s="0" t="n">
        <v>4996545</v>
      </c>
      <c r="C16150" s="0" t="n">
        <v>4996565</v>
      </c>
      <c r="D16150" s="0" t="s">
        <v>53670</v>
      </c>
      <c r="E16150" s="0" t="s">
        <v>75</v>
      </c>
      <c r="F16150" s="0" t="s">
        <v>15</v>
      </c>
      <c r="G16150" s="0" t="s">
        <v>20</v>
      </c>
      <c r="H16150" s="0" t="n">
        <v>87</v>
      </c>
      <c r="I16150" s="0" t="s">
        <v>53680</v>
      </c>
      <c r="J16150" s="0" t="s">
        <v>53681</v>
      </c>
      <c r="K16150" s="0" t="s">
        <v>53682</v>
      </c>
      <c r="L16150" s="0" t="str">
        <f aca="false">HYPERLINK("https://www.ncbi.nlm.nih.gov/nuccore/CP000058.1?report=graph&amp;tracks=[key:gene_model_track,Options:GeneOnly]&amp;mk=4996460:4996479|offset_1|444444,4996502:4996521|offset_43|444444,4996526:4996545|offset_67|444444,4996546:4996565|offset_87|00cc00&amp;v=4996259:4996765&amp;c=444444", "offset 87")</f>
        <v>offset 87</v>
      </c>
    </row>
    <row r="16151" customFormat="false" ht="12.8" hidden="false" customHeight="false" outlineLevel="0" collapsed="false">
      <c r="A16151" s="0" t="s">
        <v>12</v>
      </c>
      <c r="B16151" s="0" t="n">
        <v>4996913</v>
      </c>
      <c r="C16151" s="0" t="n">
        <v>4996933</v>
      </c>
      <c r="D16151" s="0" t="s">
        <v>53683</v>
      </c>
      <c r="E16151" s="0" t="s">
        <v>75</v>
      </c>
      <c r="F16151" s="0" t="s">
        <v>15</v>
      </c>
      <c r="G16151" s="0" t="s">
        <v>32</v>
      </c>
      <c r="H16151" s="0" t="n">
        <v>10</v>
      </c>
      <c r="I16151" s="0" t="s">
        <v>53684</v>
      </c>
      <c r="J16151" s="0" t="s">
        <v>53685</v>
      </c>
      <c r="K16151" s="0" t="s">
        <v>53686</v>
      </c>
      <c r="L16151" s="0" t="str">
        <f aca="false">HYPERLINK("https://www.ncbi.nlm.nih.gov/nuccore/CP000058.1?report=graph&amp;tracks=[key:gene_model_track,Options:GeneOnly]&amp;mk=4996914:4996933|offset_10|00cc00,4996956:4996975|offset_52|444444,4996984:4997003|offset_80|444444,4997026:4997045|offset_122|444444&amp;v=4996713:4997245&amp;c=444444", "offset 10")</f>
        <v>offset 10</v>
      </c>
    </row>
    <row r="16152" customFormat="false" ht="12.8" hidden="false" customHeight="false" outlineLevel="0" collapsed="false">
      <c r="A16152" s="0" t="s">
        <v>12</v>
      </c>
      <c r="B16152" s="0" t="n">
        <v>4996955</v>
      </c>
      <c r="C16152" s="0" t="n">
        <v>4996975</v>
      </c>
      <c r="D16152" s="0" t="s">
        <v>53683</v>
      </c>
      <c r="E16152" s="0" t="s">
        <v>75</v>
      </c>
      <c r="F16152" s="0" t="s">
        <v>15</v>
      </c>
      <c r="G16152" s="0" t="s">
        <v>20</v>
      </c>
      <c r="H16152" s="0" t="n">
        <v>52</v>
      </c>
      <c r="I16152" s="0" t="s">
        <v>53687</v>
      </c>
      <c r="J16152" s="0" t="s">
        <v>53688</v>
      </c>
      <c r="K16152" s="0" t="s">
        <v>53689</v>
      </c>
      <c r="L16152" s="0" t="str">
        <f aca="false">HYPERLINK("https://www.ncbi.nlm.nih.gov/nuccore/CP000058.1?report=graph&amp;tracks=[key:gene_model_track,Options:GeneOnly]&amp;mk=4996914:4996933|offset_10|444444,4996956:4996975|offset_52|00cc00,4996984:4997003|offset_80|444444,4997026:4997045|offset_122|444444&amp;v=4996713:4997245&amp;c=444444", "offset 52")</f>
        <v>offset 52</v>
      </c>
    </row>
    <row r="16153" customFormat="false" ht="12.8" hidden="false" customHeight="false" outlineLevel="0" collapsed="false">
      <c r="A16153" s="0" t="s">
        <v>12</v>
      </c>
      <c r="B16153" s="0" t="n">
        <v>4996983</v>
      </c>
      <c r="C16153" s="0" t="n">
        <v>4997003</v>
      </c>
      <c r="D16153" s="0" t="s">
        <v>53683</v>
      </c>
      <c r="E16153" s="0" t="s">
        <v>75</v>
      </c>
      <c r="F16153" s="0" t="s">
        <v>15</v>
      </c>
      <c r="G16153" s="0" t="s">
        <v>20</v>
      </c>
      <c r="H16153" s="0" t="n">
        <v>80</v>
      </c>
      <c r="I16153" s="0" t="s">
        <v>53690</v>
      </c>
      <c r="J16153" s="0" t="s">
        <v>53691</v>
      </c>
      <c r="K16153" s="0" t="s">
        <v>53692</v>
      </c>
      <c r="L16153" s="0" t="str">
        <f aca="false">HYPERLINK("https://www.ncbi.nlm.nih.gov/nuccore/CP000058.1?report=graph&amp;tracks=[key:gene_model_track,Options:GeneOnly]&amp;mk=4996914:4996933|offset_10|444444,4996956:4996975|offset_52|444444,4996984:4997003|offset_80|00cc00,4997026:4997045|offset_122|444444&amp;v=4996713:4997245&amp;c=444444", "offset 80")</f>
        <v>offset 80</v>
      </c>
    </row>
    <row r="16154" customFormat="false" ht="12.8" hidden="false" customHeight="false" outlineLevel="0" collapsed="false">
      <c r="A16154" s="0" t="s">
        <v>12</v>
      </c>
      <c r="B16154" s="0" t="n">
        <v>4997025</v>
      </c>
      <c r="C16154" s="0" t="n">
        <v>4997045</v>
      </c>
      <c r="D16154" s="0" t="s">
        <v>53683</v>
      </c>
      <c r="E16154" s="0" t="s">
        <v>75</v>
      </c>
      <c r="F16154" s="0" t="s">
        <v>15</v>
      </c>
      <c r="G16154" s="0" t="s">
        <v>20</v>
      </c>
      <c r="H16154" s="0" t="n">
        <v>122</v>
      </c>
      <c r="I16154" s="0" t="s">
        <v>53693</v>
      </c>
      <c r="J16154" s="0" t="s">
        <v>53694</v>
      </c>
      <c r="K16154" s="0" t="s">
        <v>53695</v>
      </c>
      <c r="L16154" s="0" t="str">
        <f aca="false">HYPERLINK("https://www.ncbi.nlm.nih.gov/nuccore/CP000058.1?report=graph&amp;tracks=[key:gene_model_track,Options:GeneOnly]&amp;mk=4996914:4996933|offset_10|444444,4996956:4996975|offset_52|444444,4996984:4997003|offset_80|444444,4997026:4997045|offset_122|00cc00&amp;v=4996713:4997245&amp;c=444444", "offset 122")</f>
        <v>offset 122</v>
      </c>
    </row>
    <row r="16155" customFormat="false" ht="12.8" hidden="false" customHeight="false" outlineLevel="0" collapsed="false">
      <c r="A16155" s="0" t="s">
        <v>12</v>
      </c>
      <c r="B16155" s="0" t="n">
        <v>4998918</v>
      </c>
      <c r="C16155" s="0" t="n">
        <v>4998938</v>
      </c>
      <c r="D16155" s="0" t="s">
        <v>53696</v>
      </c>
      <c r="E16155" s="0" t="s">
        <v>75</v>
      </c>
      <c r="F16155" s="0" t="s">
        <v>90</v>
      </c>
      <c r="G16155" s="0" t="s">
        <v>36</v>
      </c>
      <c r="H16155" s="0" t="n">
        <v>47</v>
      </c>
      <c r="I16155" s="0" t="s">
        <v>53697</v>
      </c>
      <c r="J16155" s="0" t="s">
        <v>53698</v>
      </c>
      <c r="K16155" s="0" t="s">
        <v>53699</v>
      </c>
      <c r="L16155" s="0" t="str">
        <f aca="false">HYPERLINK("https://www.ncbi.nlm.nih.gov/nuccore/CP000058.1?report=graph&amp;tracks=[key:gene_model_track,Options:GeneOnly]&amp;mk=4998919:4998938|offset_47|00cc00,4998827:4998846|offset_139|444444,4998807:4998826|offset_159|444444,4998739:4998758|offset_227|444444&amp;v=4998718:4998958&amp;c=444444", "offset 47")</f>
        <v>offset 47</v>
      </c>
    </row>
    <row r="16156" customFormat="false" ht="12.8" hidden="false" customHeight="false" outlineLevel="0" collapsed="false">
      <c r="A16156" s="0" t="s">
        <v>12</v>
      </c>
      <c r="B16156" s="0" t="n">
        <v>4998826</v>
      </c>
      <c r="C16156" s="0" t="n">
        <v>4998846</v>
      </c>
      <c r="D16156" s="0" t="s">
        <v>53696</v>
      </c>
      <c r="E16156" s="0" t="s">
        <v>75</v>
      </c>
      <c r="F16156" s="0" t="s">
        <v>90</v>
      </c>
      <c r="G16156" s="0" t="s">
        <v>16</v>
      </c>
      <c r="H16156" s="0" t="n">
        <v>139</v>
      </c>
      <c r="I16156" s="0" t="s">
        <v>53700</v>
      </c>
      <c r="J16156" s="0" t="s">
        <v>53701</v>
      </c>
      <c r="K16156" s="0" t="s">
        <v>53702</v>
      </c>
      <c r="L16156" s="0" t="str">
        <f aca="false">HYPERLINK("https://www.ncbi.nlm.nih.gov/nuccore/CP000058.1?report=graph&amp;tracks=[key:gene_model_track,Options:GeneOnly]&amp;mk=4998919:4998938|offset_47|444444,4998827:4998846|offset_139|00cc00,4998807:4998826|offset_159|444444,4998739:4998758|offset_227|444444&amp;v=4998718:4998958&amp;c=444444", "offset 139")</f>
        <v>offset 139</v>
      </c>
    </row>
    <row r="16157" customFormat="false" ht="12.8" hidden="false" customHeight="false" outlineLevel="0" collapsed="false">
      <c r="A16157" s="0" t="s">
        <v>12</v>
      </c>
      <c r="B16157" s="0" t="n">
        <v>4998806</v>
      </c>
      <c r="C16157" s="0" t="n">
        <v>4998826</v>
      </c>
      <c r="D16157" s="0" t="s">
        <v>53696</v>
      </c>
      <c r="E16157" s="0" t="s">
        <v>75</v>
      </c>
      <c r="F16157" s="0" t="s">
        <v>90</v>
      </c>
      <c r="G16157" s="0" t="s">
        <v>16</v>
      </c>
      <c r="H16157" s="0" t="n">
        <v>159</v>
      </c>
      <c r="I16157" s="0" t="s">
        <v>53703</v>
      </c>
      <c r="J16157" s="0" t="s">
        <v>53704</v>
      </c>
      <c r="K16157" s="0" t="s">
        <v>53705</v>
      </c>
      <c r="L16157" s="0" t="str">
        <f aca="false">HYPERLINK("https://www.ncbi.nlm.nih.gov/nuccore/CP000058.1?report=graph&amp;tracks=[key:gene_model_track,Options:GeneOnly]&amp;mk=4998919:4998938|offset_47|444444,4998827:4998846|offset_139|444444,4998807:4998826|offset_159|00cc00,4998739:4998758|offset_227|444444&amp;v=4998718:4998958&amp;c=444444", "offset 159")</f>
        <v>offset 159</v>
      </c>
    </row>
    <row r="16158" customFormat="false" ht="12.8" hidden="false" customHeight="false" outlineLevel="0" collapsed="false">
      <c r="A16158" s="0" t="s">
        <v>12</v>
      </c>
      <c r="B16158" s="0" t="n">
        <v>4998738</v>
      </c>
      <c r="C16158" s="0" t="n">
        <v>4998758</v>
      </c>
      <c r="D16158" s="0" t="s">
        <v>53696</v>
      </c>
      <c r="E16158" s="0" t="s">
        <v>75</v>
      </c>
      <c r="F16158" s="0" t="s">
        <v>90</v>
      </c>
      <c r="G16158" s="0" t="s">
        <v>32</v>
      </c>
      <c r="H16158" s="0" t="n">
        <v>227</v>
      </c>
      <c r="I16158" s="0" t="s">
        <v>53706</v>
      </c>
      <c r="J16158" s="0" t="s">
        <v>53707</v>
      </c>
      <c r="K16158" s="0" t="s">
        <v>53708</v>
      </c>
      <c r="L16158" s="0" t="str">
        <f aca="false">HYPERLINK("https://www.ncbi.nlm.nih.gov/nuccore/CP000058.1?report=graph&amp;tracks=[key:gene_model_track,Options:GeneOnly]&amp;mk=4998919:4998938|offset_47|444444,4998827:4998846|offset_139|444444,4998807:4998826|offset_159|444444,4998739:4998758|offset_227|00cc00&amp;v=4998718:4998958&amp;c=444444", "offset 227")</f>
        <v>offset 227</v>
      </c>
    </row>
    <row r="16159" customFormat="false" ht="12.8" hidden="false" customHeight="false" outlineLevel="0" collapsed="false">
      <c r="A16159" s="0" t="s">
        <v>12</v>
      </c>
      <c r="B16159" s="0" t="n">
        <v>4999338</v>
      </c>
      <c r="C16159" s="0" t="n">
        <v>4999358</v>
      </c>
      <c r="D16159" s="0" t="s">
        <v>53709</v>
      </c>
      <c r="E16159" s="0" t="s">
        <v>75</v>
      </c>
      <c r="F16159" s="0" t="s">
        <v>15</v>
      </c>
      <c r="G16159" s="0" t="s">
        <v>20</v>
      </c>
      <c r="H16159" s="0" t="n">
        <v>26</v>
      </c>
      <c r="I16159" s="0" t="s">
        <v>53710</v>
      </c>
      <c r="J16159" s="0" t="s">
        <v>53711</v>
      </c>
      <c r="K16159" s="0" t="s">
        <v>53712</v>
      </c>
      <c r="L16159" s="0" t="str">
        <f aca="false">HYPERLINK("https://www.ncbi.nlm.nih.gov/nuccore/CP000058.1?report=graph&amp;tracks=[key:gene_model_track,Options:GeneOnly]&amp;mk=4999339:4999358|offset_26|00cc00,4999380:4999399|offset_67|444444,4999415:4999434|offset_102|444444,4999471:4999490|offset_158|444444&amp;v=4999138:4999690&amp;c=444444", "offset 26")</f>
        <v>offset 26</v>
      </c>
    </row>
    <row r="16160" customFormat="false" ht="12.8" hidden="false" customHeight="false" outlineLevel="0" collapsed="false">
      <c r="A16160" s="0" t="s">
        <v>12</v>
      </c>
      <c r="B16160" s="0" t="n">
        <v>4999379</v>
      </c>
      <c r="C16160" s="0" t="n">
        <v>4999399</v>
      </c>
      <c r="D16160" s="0" t="s">
        <v>53709</v>
      </c>
      <c r="E16160" s="0" t="s">
        <v>75</v>
      </c>
      <c r="F16160" s="0" t="s">
        <v>15</v>
      </c>
      <c r="G16160" s="0" t="s">
        <v>32</v>
      </c>
      <c r="H16160" s="0" t="n">
        <v>67</v>
      </c>
      <c r="I16160" s="0" t="s">
        <v>53713</v>
      </c>
      <c r="J16160" s="0" t="s">
        <v>53714</v>
      </c>
      <c r="K16160" s="0" t="s">
        <v>53715</v>
      </c>
      <c r="L16160" s="0" t="str">
        <f aca="false">HYPERLINK("https://www.ncbi.nlm.nih.gov/nuccore/CP000058.1?report=graph&amp;tracks=[key:gene_model_track,Options:GeneOnly]&amp;mk=4999339:4999358|offset_26|444444,4999380:4999399|offset_67|00cc00,4999415:4999434|offset_102|444444,4999471:4999490|offset_158|444444&amp;v=4999138:4999690&amp;c=444444", "offset 67")</f>
        <v>offset 67</v>
      </c>
    </row>
    <row r="16161" customFormat="false" ht="12.8" hidden="false" customHeight="false" outlineLevel="0" collapsed="false">
      <c r="A16161" s="0" t="s">
        <v>12</v>
      </c>
      <c r="B16161" s="0" t="n">
        <v>4999414</v>
      </c>
      <c r="C16161" s="0" t="n">
        <v>4999434</v>
      </c>
      <c r="D16161" s="0" t="s">
        <v>53709</v>
      </c>
      <c r="E16161" s="0" t="s">
        <v>75</v>
      </c>
      <c r="F16161" s="0" t="s">
        <v>15</v>
      </c>
      <c r="G16161" s="0" t="s">
        <v>36</v>
      </c>
      <c r="H16161" s="0" t="n">
        <v>102</v>
      </c>
      <c r="I16161" s="0" t="s">
        <v>53716</v>
      </c>
      <c r="J16161" s="0" t="s">
        <v>53717</v>
      </c>
      <c r="K16161" s="0" t="s">
        <v>53718</v>
      </c>
      <c r="L16161" s="0" t="str">
        <f aca="false">HYPERLINK("https://www.ncbi.nlm.nih.gov/nuccore/CP000058.1?report=graph&amp;tracks=[key:gene_model_track,Options:GeneOnly]&amp;mk=4999339:4999358|offset_26|444444,4999380:4999399|offset_67|444444,4999415:4999434|offset_102|00cc00,4999471:4999490|offset_158|444444&amp;v=4999138:4999690&amp;c=444444", "offset 102")</f>
        <v>offset 102</v>
      </c>
    </row>
    <row r="16162" customFormat="false" ht="12.8" hidden="false" customHeight="false" outlineLevel="0" collapsed="false">
      <c r="A16162" s="0" t="s">
        <v>12</v>
      </c>
      <c r="B16162" s="0" t="n">
        <v>4999470</v>
      </c>
      <c r="C16162" s="0" t="n">
        <v>4999490</v>
      </c>
      <c r="D16162" s="0" t="s">
        <v>53709</v>
      </c>
      <c r="E16162" s="0" t="s">
        <v>75</v>
      </c>
      <c r="F16162" s="0" t="s">
        <v>15</v>
      </c>
      <c r="G16162" s="0" t="s">
        <v>32</v>
      </c>
      <c r="H16162" s="0" t="n">
        <v>158</v>
      </c>
      <c r="I16162" s="0" t="s">
        <v>53719</v>
      </c>
      <c r="J16162" s="0" t="s">
        <v>53720</v>
      </c>
      <c r="K16162" s="0" t="s">
        <v>53721</v>
      </c>
      <c r="L16162" s="0" t="str">
        <f aca="false">HYPERLINK("https://www.ncbi.nlm.nih.gov/nuccore/CP000058.1?report=graph&amp;tracks=[key:gene_model_track,Options:GeneOnly]&amp;mk=4999339:4999358|offset_26|444444,4999380:4999399|offset_67|444444,4999415:4999434|offset_102|444444,4999471:4999490|offset_158|00cc00&amp;v=4999138:4999690&amp;c=444444", "offset 158")</f>
        <v>offset 158</v>
      </c>
    </row>
    <row r="16163" customFormat="false" ht="12.8" hidden="false" customHeight="false" outlineLevel="0" collapsed="false">
      <c r="A16163" s="0" t="s">
        <v>12</v>
      </c>
      <c r="B16163" s="0" t="n">
        <v>5000417</v>
      </c>
      <c r="C16163" s="0" t="n">
        <v>5000437</v>
      </c>
      <c r="D16163" s="0" t="s">
        <v>53722</v>
      </c>
      <c r="E16163" s="0" t="s">
        <v>53723</v>
      </c>
      <c r="F16163" s="0" t="s">
        <v>90</v>
      </c>
      <c r="G16163" s="0" t="s">
        <v>36</v>
      </c>
      <c r="H16163" s="0" t="n">
        <v>0</v>
      </c>
      <c r="I16163" s="0" t="s">
        <v>53724</v>
      </c>
      <c r="J16163" s="0" t="s">
        <v>53725</v>
      </c>
      <c r="K16163" s="0" t="s">
        <v>53726</v>
      </c>
      <c r="L16163" s="0" t="str">
        <f aca="false">HYPERLINK("https://www.ncbi.nlm.nih.gov/nuccore/CP000058.1?report=graph&amp;tracks=[key:gene_model_track,Options:GeneOnly]&amp;mk=5000418:5000437|offset_0|00cc00,5000398:5000417|offset_20|444444,5000378:5000397|offset_40|444444,5000357:5000376|offset_61|444444&amp;v=5000217:5000576&amp;c=444444", "offset 0")</f>
        <v>offset 0</v>
      </c>
    </row>
    <row r="16164" customFormat="false" ht="12.8" hidden="false" customHeight="false" outlineLevel="0" collapsed="false">
      <c r="A16164" s="0" t="s">
        <v>12</v>
      </c>
      <c r="B16164" s="0" t="n">
        <v>5000397</v>
      </c>
      <c r="C16164" s="0" t="n">
        <v>5000417</v>
      </c>
      <c r="D16164" s="0" t="s">
        <v>53722</v>
      </c>
      <c r="E16164" s="0" t="s">
        <v>53723</v>
      </c>
      <c r="F16164" s="0" t="s">
        <v>90</v>
      </c>
      <c r="G16164" s="0" t="s">
        <v>36</v>
      </c>
      <c r="H16164" s="0" t="n">
        <v>20</v>
      </c>
      <c r="I16164" s="0" t="s">
        <v>53727</v>
      </c>
      <c r="J16164" s="0" t="s">
        <v>53728</v>
      </c>
      <c r="K16164" s="0" t="s">
        <v>53729</v>
      </c>
      <c r="L16164" s="0" t="str">
        <f aca="false">HYPERLINK("https://www.ncbi.nlm.nih.gov/nuccore/CP000058.1?report=graph&amp;tracks=[key:gene_model_track,Options:GeneOnly]&amp;mk=5000418:5000437|offset_0|444444,5000398:5000417|offset_20|00cc00,5000378:5000397|offset_40|444444,5000357:5000376|offset_61|444444&amp;v=5000217:5000576&amp;c=444444", "offset 20")</f>
        <v>offset 20</v>
      </c>
    </row>
    <row r="16165" customFormat="false" ht="12.8" hidden="false" customHeight="false" outlineLevel="0" collapsed="false">
      <c r="A16165" s="0" t="s">
        <v>12</v>
      </c>
      <c r="B16165" s="0" t="n">
        <v>5000377</v>
      </c>
      <c r="C16165" s="0" t="n">
        <v>5000397</v>
      </c>
      <c r="D16165" s="0" t="s">
        <v>53722</v>
      </c>
      <c r="E16165" s="0" t="s">
        <v>53723</v>
      </c>
      <c r="F16165" s="0" t="s">
        <v>90</v>
      </c>
      <c r="G16165" s="0" t="s">
        <v>20</v>
      </c>
      <c r="H16165" s="0" t="n">
        <v>40</v>
      </c>
      <c r="I16165" s="0" t="s">
        <v>53730</v>
      </c>
      <c r="J16165" s="0" t="s">
        <v>53731</v>
      </c>
      <c r="K16165" s="0" t="s">
        <v>53732</v>
      </c>
      <c r="L16165" s="0" t="str">
        <f aca="false">HYPERLINK("https://www.ncbi.nlm.nih.gov/nuccore/CP000058.1?report=graph&amp;tracks=[key:gene_model_track,Options:GeneOnly]&amp;mk=5000418:5000437|offset_0|444444,5000398:5000417|offset_20|444444,5000378:5000397|offset_40|00cc00,5000357:5000376|offset_61|444444&amp;v=5000217:5000576&amp;c=444444", "offset 40")</f>
        <v>offset 40</v>
      </c>
    </row>
    <row r="16166" customFormat="false" ht="12.8" hidden="false" customHeight="false" outlineLevel="0" collapsed="false">
      <c r="A16166" s="0" t="s">
        <v>12</v>
      </c>
      <c r="B16166" s="0" t="n">
        <v>5000356</v>
      </c>
      <c r="C16166" s="0" t="n">
        <v>5000376</v>
      </c>
      <c r="D16166" s="0" t="s">
        <v>53722</v>
      </c>
      <c r="E16166" s="0" t="s">
        <v>53723</v>
      </c>
      <c r="F16166" s="0" t="s">
        <v>90</v>
      </c>
      <c r="G16166" s="0" t="s">
        <v>36</v>
      </c>
      <c r="H16166" s="0" t="n">
        <v>61</v>
      </c>
      <c r="I16166" s="0" t="s">
        <v>53733</v>
      </c>
      <c r="J16166" s="0" t="s">
        <v>53734</v>
      </c>
      <c r="K16166" s="0" t="s">
        <v>53735</v>
      </c>
      <c r="L16166" s="0" t="str">
        <f aca="false">HYPERLINK("https://www.ncbi.nlm.nih.gov/nuccore/CP000058.1?report=graph&amp;tracks=[key:gene_model_track,Options:GeneOnly]&amp;mk=5000418:5000437|offset_0|444444,5000398:5000417|offset_20|444444,5000378:5000397|offset_40|444444,5000357:5000376|offset_61|00cc00&amp;v=5000217:5000576&amp;c=444444", "offset 61")</f>
        <v>offset 61</v>
      </c>
    </row>
    <row r="16167" customFormat="false" ht="12.8" hidden="false" customHeight="false" outlineLevel="0" collapsed="false">
      <c r="A16167" s="0" t="s">
        <v>12</v>
      </c>
      <c r="B16167" s="0" t="n">
        <v>5001939</v>
      </c>
      <c r="C16167" s="0" t="n">
        <v>5001959</v>
      </c>
      <c r="D16167" s="0" t="s">
        <v>53736</v>
      </c>
      <c r="E16167" s="0" t="s">
        <v>53737</v>
      </c>
      <c r="F16167" s="0" t="s">
        <v>90</v>
      </c>
      <c r="G16167" s="0" t="s">
        <v>36</v>
      </c>
      <c r="H16167" s="0" t="n">
        <v>7</v>
      </c>
      <c r="I16167" s="0" t="s">
        <v>53738</v>
      </c>
      <c r="J16167" s="0" t="s">
        <v>53739</v>
      </c>
      <c r="K16167" s="0" t="s">
        <v>53740</v>
      </c>
      <c r="L16167" s="0" t="str">
        <f aca="false">HYPERLINK("https://www.ncbi.nlm.nih.gov/nuccore/CP000058.1?report=graph&amp;tracks=[key:gene_model_track,Options:GeneOnly]&amp;mk=5001940:5001959|offset_7|00cc00,5001916:5001935|offset_31|444444,5001889:5001908|offset_58|444444,5001868:5001887|offset_79|444444&amp;v=5001739:5002087&amp;c=444444", "offset 7")</f>
        <v>offset 7</v>
      </c>
    </row>
    <row r="16168" customFormat="false" ht="12.8" hidden="false" customHeight="false" outlineLevel="0" collapsed="false">
      <c r="A16168" s="0" t="s">
        <v>12</v>
      </c>
      <c r="B16168" s="0" t="n">
        <v>5001915</v>
      </c>
      <c r="C16168" s="0" t="n">
        <v>5001935</v>
      </c>
      <c r="D16168" s="0" t="s">
        <v>53736</v>
      </c>
      <c r="E16168" s="0" t="s">
        <v>53737</v>
      </c>
      <c r="F16168" s="0" t="s">
        <v>90</v>
      </c>
      <c r="G16168" s="0" t="s">
        <v>16</v>
      </c>
      <c r="H16168" s="0" t="n">
        <v>31</v>
      </c>
      <c r="I16168" s="0" t="s">
        <v>53741</v>
      </c>
      <c r="J16168" s="0" t="s">
        <v>53742</v>
      </c>
      <c r="K16168" s="0" t="s">
        <v>53743</v>
      </c>
      <c r="L16168" s="0" t="str">
        <f aca="false">HYPERLINK("https://www.ncbi.nlm.nih.gov/nuccore/CP000058.1?report=graph&amp;tracks=[key:gene_model_track,Options:GeneOnly]&amp;mk=5001940:5001959|offset_7|444444,5001916:5001935|offset_31|00cc00,5001889:5001908|offset_58|444444,5001868:5001887|offset_79|444444&amp;v=5001739:5002087&amp;c=444444", "offset 31")</f>
        <v>offset 31</v>
      </c>
    </row>
    <row r="16169" customFormat="false" ht="12.8" hidden="false" customHeight="false" outlineLevel="0" collapsed="false">
      <c r="A16169" s="0" t="s">
        <v>12</v>
      </c>
      <c r="B16169" s="0" t="n">
        <v>5001888</v>
      </c>
      <c r="C16169" s="0" t="n">
        <v>5001908</v>
      </c>
      <c r="D16169" s="0" t="s">
        <v>53736</v>
      </c>
      <c r="E16169" s="0" t="s">
        <v>53737</v>
      </c>
      <c r="F16169" s="0" t="s">
        <v>90</v>
      </c>
      <c r="G16169" s="0" t="s">
        <v>16</v>
      </c>
      <c r="H16169" s="0" t="n">
        <v>58</v>
      </c>
      <c r="I16169" s="0" t="s">
        <v>53744</v>
      </c>
      <c r="J16169" s="0" t="s">
        <v>53745</v>
      </c>
      <c r="K16169" s="0" t="s">
        <v>53746</v>
      </c>
      <c r="L16169" s="0" t="str">
        <f aca="false">HYPERLINK("https://www.ncbi.nlm.nih.gov/nuccore/CP000058.1?report=graph&amp;tracks=[key:gene_model_track,Options:GeneOnly]&amp;mk=5001940:5001959|offset_7|444444,5001916:5001935|offset_31|444444,5001889:5001908|offset_58|00cc00,5001868:5001887|offset_79|444444&amp;v=5001739:5002087&amp;c=444444", "offset 58")</f>
        <v>offset 58</v>
      </c>
    </row>
    <row r="16170" customFormat="false" ht="12.8" hidden="false" customHeight="false" outlineLevel="0" collapsed="false">
      <c r="A16170" s="0" t="s">
        <v>12</v>
      </c>
      <c r="B16170" s="0" t="n">
        <v>5001867</v>
      </c>
      <c r="C16170" s="0" t="n">
        <v>5001887</v>
      </c>
      <c r="D16170" s="0" t="s">
        <v>53736</v>
      </c>
      <c r="E16170" s="0" t="s">
        <v>53737</v>
      </c>
      <c r="F16170" s="0" t="s">
        <v>90</v>
      </c>
      <c r="G16170" s="0" t="s">
        <v>32</v>
      </c>
      <c r="H16170" s="0" t="n">
        <v>79</v>
      </c>
      <c r="I16170" s="0" t="s">
        <v>53747</v>
      </c>
      <c r="J16170" s="0" t="s">
        <v>53748</v>
      </c>
      <c r="K16170" s="0" t="s">
        <v>53749</v>
      </c>
      <c r="L16170" s="0" t="str">
        <f aca="false">HYPERLINK("https://www.ncbi.nlm.nih.gov/nuccore/CP000058.1?report=graph&amp;tracks=[key:gene_model_track,Options:GeneOnly]&amp;mk=5001940:5001959|offset_7|444444,5001916:5001935|offset_31|444444,5001889:5001908|offset_58|444444,5001868:5001887|offset_79|00cc00&amp;v=5001739:5002087&amp;c=444444", "offset 79")</f>
        <v>offset 79</v>
      </c>
    </row>
    <row r="16171" customFormat="false" ht="12.8" hidden="false" customHeight="false" outlineLevel="0" collapsed="false">
      <c r="A16171" s="0" t="s">
        <v>12</v>
      </c>
      <c r="B16171" s="0" t="n">
        <v>5003640</v>
      </c>
      <c r="C16171" s="0" t="n">
        <v>5003660</v>
      </c>
      <c r="D16171" s="0" t="s">
        <v>53750</v>
      </c>
      <c r="E16171" s="0" t="s">
        <v>75</v>
      </c>
      <c r="F16171" s="0" t="s">
        <v>90</v>
      </c>
      <c r="G16171" s="0" t="s">
        <v>20</v>
      </c>
      <c r="H16171" s="0" t="n">
        <v>8</v>
      </c>
      <c r="I16171" s="0" t="s">
        <v>53751</v>
      </c>
      <c r="J16171" s="0" t="s">
        <v>53752</v>
      </c>
      <c r="K16171" s="0" t="s">
        <v>53753</v>
      </c>
      <c r="L16171" s="0" t="str">
        <f aca="false">HYPERLINK("https://www.ncbi.nlm.nih.gov/nuccore/CP000058.1?report=graph&amp;tracks=[key:gene_model_track,Options:GeneOnly]&amp;mk=5003641:5003660|offset_8|00cc00,5003621:5003640|offset_28|444444,5003601:5003620|offset_48|444444,5003578:5003597|offset_71|444444&amp;v=5003440:5003797&amp;c=444444", "offset 8")</f>
        <v>offset 8</v>
      </c>
    </row>
    <row r="16172" customFormat="false" ht="12.8" hidden="false" customHeight="false" outlineLevel="0" collapsed="false">
      <c r="A16172" s="0" t="s">
        <v>12</v>
      </c>
      <c r="B16172" s="0" t="n">
        <v>5003620</v>
      </c>
      <c r="C16172" s="0" t="n">
        <v>5003640</v>
      </c>
      <c r="D16172" s="0" t="s">
        <v>53750</v>
      </c>
      <c r="E16172" s="0" t="s">
        <v>75</v>
      </c>
      <c r="F16172" s="0" t="s">
        <v>90</v>
      </c>
      <c r="G16172" s="0" t="s">
        <v>36</v>
      </c>
      <c r="H16172" s="0" t="n">
        <v>28</v>
      </c>
      <c r="I16172" s="0" t="s">
        <v>53754</v>
      </c>
      <c r="J16172" s="0" t="s">
        <v>53755</v>
      </c>
      <c r="K16172" s="0" t="s">
        <v>53756</v>
      </c>
      <c r="L16172" s="0" t="str">
        <f aca="false">HYPERLINK("https://www.ncbi.nlm.nih.gov/nuccore/CP000058.1?report=graph&amp;tracks=[key:gene_model_track,Options:GeneOnly]&amp;mk=5003641:5003660|offset_8|444444,5003621:5003640|offset_28|00cc00,5003601:5003620|offset_48|444444,5003578:5003597|offset_71|444444&amp;v=5003440:5003797&amp;c=444444", "offset 28")</f>
        <v>offset 28</v>
      </c>
    </row>
    <row r="16173" customFormat="false" ht="12.8" hidden="false" customHeight="false" outlineLevel="0" collapsed="false">
      <c r="A16173" s="0" t="s">
        <v>12</v>
      </c>
      <c r="B16173" s="0" t="n">
        <v>5003600</v>
      </c>
      <c r="C16173" s="0" t="n">
        <v>5003620</v>
      </c>
      <c r="D16173" s="0" t="s">
        <v>53750</v>
      </c>
      <c r="E16173" s="0" t="s">
        <v>75</v>
      </c>
      <c r="F16173" s="0" t="s">
        <v>90</v>
      </c>
      <c r="G16173" s="0" t="s">
        <v>16</v>
      </c>
      <c r="H16173" s="0" t="n">
        <v>48</v>
      </c>
      <c r="I16173" s="0" t="s">
        <v>53757</v>
      </c>
      <c r="J16173" s="0" t="s">
        <v>53758</v>
      </c>
      <c r="K16173" s="0" t="s">
        <v>53759</v>
      </c>
      <c r="L16173" s="0" t="str">
        <f aca="false">HYPERLINK("https://www.ncbi.nlm.nih.gov/nuccore/CP000058.1?report=graph&amp;tracks=[key:gene_model_track,Options:GeneOnly]&amp;mk=5003641:5003660|offset_8|444444,5003621:5003640|offset_28|444444,5003601:5003620|offset_48|00cc00,5003578:5003597|offset_71|444444&amp;v=5003440:5003797&amp;c=444444", "offset 48")</f>
        <v>offset 48</v>
      </c>
    </row>
    <row r="16174" customFormat="false" ht="12.8" hidden="false" customHeight="false" outlineLevel="0" collapsed="false">
      <c r="A16174" s="0" t="s">
        <v>12</v>
      </c>
      <c r="B16174" s="0" t="n">
        <v>5003577</v>
      </c>
      <c r="C16174" s="0" t="n">
        <v>5003597</v>
      </c>
      <c r="D16174" s="0" t="s">
        <v>53750</v>
      </c>
      <c r="E16174" s="0" t="s">
        <v>75</v>
      </c>
      <c r="F16174" s="0" t="s">
        <v>90</v>
      </c>
      <c r="G16174" s="0" t="s">
        <v>20</v>
      </c>
      <c r="H16174" s="0" t="n">
        <v>71</v>
      </c>
      <c r="I16174" s="0" t="s">
        <v>53760</v>
      </c>
      <c r="J16174" s="0" t="s">
        <v>53761</v>
      </c>
      <c r="K16174" s="0" t="s">
        <v>53762</v>
      </c>
      <c r="L16174" s="0" t="str">
        <f aca="false">HYPERLINK("https://www.ncbi.nlm.nih.gov/nuccore/CP000058.1?report=graph&amp;tracks=[key:gene_model_track,Options:GeneOnly]&amp;mk=5003641:5003660|offset_8|444444,5003621:5003640|offset_28|444444,5003601:5003620|offset_48|444444,5003578:5003597|offset_71|00cc00&amp;v=5003440:5003797&amp;c=444444", "offset 71")</f>
        <v>offset 71</v>
      </c>
    </row>
    <row r="16175" customFormat="false" ht="12.8" hidden="false" customHeight="false" outlineLevel="0" collapsed="false">
      <c r="A16175" s="0" t="s">
        <v>12</v>
      </c>
      <c r="B16175" s="0" t="n">
        <v>5005729</v>
      </c>
      <c r="C16175" s="0" t="n">
        <v>5005749</v>
      </c>
      <c r="D16175" s="0" t="s">
        <v>53763</v>
      </c>
      <c r="E16175" s="0" t="s">
        <v>75</v>
      </c>
      <c r="F16175" s="0" t="s">
        <v>90</v>
      </c>
      <c r="G16175" s="0" t="s">
        <v>16</v>
      </c>
      <c r="H16175" s="0" t="n">
        <v>39</v>
      </c>
      <c r="I16175" s="0" t="s">
        <v>53764</v>
      </c>
      <c r="J16175" s="0" t="s">
        <v>53765</v>
      </c>
      <c r="K16175" s="0" t="s">
        <v>53766</v>
      </c>
      <c r="L16175" s="0" t="str">
        <f aca="false">HYPERLINK("https://www.ncbi.nlm.nih.gov/nuccore/CP000058.1?report=graph&amp;tracks=[key:gene_model_track,Options:GeneOnly]&amp;mk=5005730:5005749|offset_39|00cc00,5005682:5005701|offset_87|444444,5005650:5005669|offset_119|444444,5005615:5005634|offset_154|444444&amp;v=5005529:5005834&amp;c=444444", "offset 39")</f>
        <v>offset 39</v>
      </c>
    </row>
    <row r="16176" customFormat="false" ht="12.8" hidden="false" customHeight="false" outlineLevel="0" collapsed="false">
      <c r="A16176" s="0" t="s">
        <v>12</v>
      </c>
      <c r="B16176" s="0" t="n">
        <v>5005681</v>
      </c>
      <c r="C16176" s="0" t="n">
        <v>5005701</v>
      </c>
      <c r="D16176" s="0" t="s">
        <v>53763</v>
      </c>
      <c r="E16176" s="0" t="s">
        <v>75</v>
      </c>
      <c r="F16176" s="0" t="s">
        <v>90</v>
      </c>
      <c r="G16176" s="0" t="s">
        <v>16</v>
      </c>
      <c r="H16176" s="0" t="n">
        <v>87</v>
      </c>
      <c r="I16176" s="0" t="s">
        <v>53767</v>
      </c>
      <c r="J16176" s="0" t="s">
        <v>53768</v>
      </c>
      <c r="K16176" s="0" t="s">
        <v>53769</v>
      </c>
      <c r="L16176" s="0" t="str">
        <f aca="false">HYPERLINK("https://www.ncbi.nlm.nih.gov/nuccore/CP000058.1?report=graph&amp;tracks=[key:gene_model_track,Options:GeneOnly]&amp;mk=5005730:5005749|offset_39|444444,5005682:5005701|offset_87|00cc00,5005650:5005669|offset_119|444444,5005615:5005634|offset_154|444444&amp;v=5005529:5005834&amp;c=444444", "offset 87")</f>
        <v>offset 87</v>
      </c>
    </row>
    <row r="16177" customFormat="false" ht="12.8" hidden="false" customHeight="false" outlineLevel="0" collapsed="false">
      <c r="A16177" s="0" t="s">
        <v>12</v>
      </c>
      <c r="B16177" s="0" t="n">
        <v>5005649</v>
      </c>
      <c r="C16177" s="0" t="n">
        <v>5005669</v>
      </c>
      <c r="D16177" s="0" t="s">
        <v>53763</v>
      </c>
      <c r="E16177" s="0" t="s">
        <v>75</v>
      </c>
      <c r="F16177" s="0" t="s">
        <v>90</v>
      </c>
      <c r="G16177" s="0" t="s">
        <v>36</v>
      </c>
      <c r="H16177" s="0" t="n">
        <v>119</v>
      </c>
      <c r="I16177" s="0" t="s">
        <v>53770</v>
      </c>
      <c r="J16177" s="0" t="s">
        <v>53771</v>
      </c>
      <c r="K16177" s="0" t="s">
        <v>53772</v>
      </c>
      <c r="L16177" s="0" t="str">
        <f aca="false">HYPERLINK("https://www.ncbi.nlm.nih.gov/nuccore/CP000058.1?report=graph&amp;tracks=[key:gene_model_track,Options:GeneOnly]&amp;mk=5005730:5005749|offset_39|444444,5005682:5005701|offset_87|444444,5005650:5005669|offset_119|00cc00,5005615:5005634|offset_154|444444&amp;v=5005529:5005834&amp;c=444444", "offset 119")</f>
        <v>offset 119</v>
      </c>
    </row>
    <row r="16178" customFormat="false" ht="12.8" hidden="false" customHeight="false" outlineLevel="0" collapsed="false">
      <c r="A16178" s="0" t="s">
        <v>12</v>
      </c>
      <c r="B16178" s="0" t="n">
        <v>5005614</v>
      </c>
      <c r="C16178" s="0" t="n">
        <v>5005634</v>
      </c>
      <c r="D16178" s="0" t="s">
        <v>53763</v>
      </c>
      <c r="E16178" s="0" t="s">
        <v>75</v>
      </c>
      <c r="F16178" s="0" t="s">
        <v>90</v>
      </c>
      <c r="G16178" s="0" t="s">
        <v>16</v>
      </c>
      <c r="H16178" s="0" t="n">
        <v>154</v>
      </c>
      <c r="I16178" s="0" t="s">
        <v>53773</v>
      </c>
      <c r="J16178" s="0" t="s">
        <v>53774</v>
      </c>
      <c r="K16178" s="0" t="s">
        <v>53775</v>
      </c>
      <c r="L16178" s="0" t="str">
        <f aca="false">HYPERLINK("https://www.ncbi.nlm.nih.gov/nuccore/CP000058.1?report=graph&amp;tracks=[key:gene_model_track,Options:GeneOnly]&amp;mk=5005730:5005749|offset_39|444444,5005682:5005701|offset_87|444444,5005650:5005669|offset_119|444444,5005615:5005634|offset_154|00cc00&amp;v=5005529:5005834&amp;c=444444", "offset 154")</f>
        <v>offset 154</v>
      </c>
    </row>
    <row r="16179" customFormat="false" ht="12.8" hidden="false" customHeight="false" outlineLevel="0" collapsed="false">
      <c r="A16179" s="0" t="s">
        <v>12</v>
      </c>
      <c r="B16179" s="0" t="n">
        <v>5006085</v>
      </c>
      <c r="C16179" s="0" t="n">
        <v>5006105</v>
      </c>
      <c r="D16179" s="0" t="s">
        <v>53776</v>
      </c>
      <c r="E16179" s="0" t="s">
        <v>75</v>
      </c>
      <c r="F16179" s="0" t="s">
        <v>15</v>
      </c>
      <c r="G16179" s="0" t="s">
        <v>16</v>
      </c>
      <c r="H16179" s="0" t="n">
        <v>43</v>
      </c>
      <c r="I16179" s="0" t="s">
        <v>53777</v>
      </c>
      <c r="J16179" s="0" t="s">
        <v>53778</v>
      </c>
      <c r="K16179" s="0" t="s">
        <v>53779</v>
      </c>
      <c r="L16179" s="0" t="str">
        <f aca="false">HYPERLINK("https://www.ncbi.nlm.nih.gov/nuccore/CP000058.1?report=graph&amp;tracks=[key:gene_model_track,Options:GeneOnly]&amp;mk=5006086:5006105|offset_43|00cc00,5006113:5006132|offset_70|444444,5006161:5006180|offset_118|444444,5006183:5006202|offset_140|444444&amp;v=5005885:5006402&amp;c=444444", "offset 43")</f>
        <v>offset 43</v>
      </c>
    </row>
    <row r="16180" customFormat="false" ht="12.8" hidden="false" customHeight="false" outlineLevel="0" collapsed="false">
      <c r="A16180" s="0" t="s">
        <v>12</v>
      </c>
      <c r="B16180" s="0" t="n">
        <v>5006112</v>
      </c>
      <c r="C16180" s="0" t="n">
        <v>5006132</v>
      </c>
      <c r="D16180" s="0" t="s">
        <v>53776</v>
      </c>
      <c r="E16180" s="0" t="s">
        <v>75</v>
      </c>
      <c r="F16180" s="0" t="s">
        <v>15</v>
      </c>
      <c r="G16180" s="0" t="s">
        <v>20</v>
      </c>
      <c r="H16180" s="0" t="n">
        <v>70</v>
      </c>
      <c r="I16180" s="0" t="s">
        <v>53780</v>
      </c>
      <c r="J16180" s="0" t="s">
        <v>53781</v>
      </c>
      <c r="K16180" s="0" t="s">
        <v>53782</v>
      </c>
      <c r="L16180" s="0" t="str">
        <f aca="false">HYPERLINK("https://www.ncbi.nlm.nih.gov/nuccore/CP000058.1?report=graph&amp;tracks=[key:gene_model_track,Options:GeneOnly]&amp;mk=5006086:5006105|offset_43|444444,5006113:5006132|offset_70|00cc00,5006161:5006180|offset_118|444444,5006183:5006202|offset_140|444444&amp;v=5005885:5006402&amp;c=444444", "offset 70")</f>
        <v>offset 70</v>
      </c>
    </row>
    <row r="16181" customFormat="false" ht="12.8" hidden="false" customHeight="false" outlineLevel="0" collapsed="false">
      <c r="A16181" s="0" t="s">
        <v>12</v>
      </c>
      <c r="B16181" s="0" t="n">
        <v>5006160</v>
      </c>
      <c r="C16181" s="0" t="n">
        <v>5006180</v>
      </c>
      <c r="D16181" s="0" t="s">
        <v>53776</v>
      </c>
      <c r="E16181" s="0" t="s">
        <v>75</v>
      </c>
      <c r="F16181" s="0" t="s">
        <v>15</v>
      </c>
      <c r="G16181" s="0" t="s">
        <v>32</v>
      </c>
      <c r="H16181" s="0" t="n">
        <v>118</v>
      </c>
      <c r="I16181" s="0" t="s">
        <v>53783</v>
      </c>
      <c r="J16181" s="0" t="s">
        <v>53784</v>
      </c>
      <c r="K16181" s="0" t="s">
        <v>53785</v>
      </c>
      <c r="L16181" s="0" t="str">
        <f aca="false">HYPERLINK("https://www.ncbi.nlm.nih.gov/nuccore/CP000058.1?report=graph&amp;tracks=[key:gene_model_track,Options:GeneOnly]&amp;mk=5006086:5006105|offset_43|444444,5006113:5006132|offset_70|444444,5006161:5006180|offset_118|00cc00,5006183:5006202|offset_140|444444&amp;v=5005885:5006402&amp;c=444444", "offset 118")</f>
        <v>offset 118</v>
      </c>
    </row>
    <row r="16182" customFormat="false" ht="12.8" hidden="false" customHeight="false" outlineLevel="0" collapsed="false">
      <c r="A16182" s="0" t="s">
        <v>12</v>
      </c>
      <c r="B16182" s="0" t="n">
        <v>5006182</v>
      </c>
      <c r="C16182" s="0" t="n">
        <v>5006202</v>
      </c>
      <c r="D16182" s="0" t="s">
        <v>53776</v>
      </c>
      <c r="E16182" s="0" t="s">
        <v>75</v>
      </c>
      <c r="F16182" s="0" t="s">
        <v>15</v>
      </c>
      <c r="G16182" s="0" t="s">
        <v>36</v>
      </c>
      <c r="H16182" s="0" t="n">
        <v>140</v>
      </c>
      <c r="I16182" s="0" t="s">
        <v>53786</v>
      </c>
      <c r="J16182" s="0" t="s">
        <v>53787</v>
      </c>
      <c r="K16182" s="0" t="s">
        <v>53788</v>
      </c>
      <c r="L16182" s="0" t="str">
        <f aca="false">HYPERLINK("https://www.ncbi.nlm.nih.gov/nuccore/CP000058.1?report=graph&amp;tracks=[key:gene_model_track,Options:GeneOnly]&amp;mk=5006086:5006105|offset_43|444444,5006113:5006132|offset_70|444444,5006161:5006180|offset_118|444444,5006183:5006202|offset_140|00cc00&amp;v=5005885:5006402&amp;c=444444", "offset 140")</f>
        <v>offset 140</v>
      </c>
    </row>
    <row r="16183" customFormat="false" ht="12.8" hidden="false" customHeight="false" outlineLevel="0" collapsed="false">
      <c r="A16183" s="0" t="s">
        <v>12</v>
      </c>
      <c r="B16183" s="0" t="n">
        <v>5006997</v>
      </c>
      <c r="C16183" s="0" t="n">
        <v>5007017</v>
      </c>
      <c r="D16183" s="0" t="s">
        <v>53789</v>
      </c>
      <c r="E16183" s="0" t="s">
        <v>53790</v>
      </c>
      <c r="F16183" s="0" t="s">
        <v>15</v>
      </c>
      <c r="G16183" s="0" t="s">
        <v>20</v>
      </c>
      <c r="H16183" s="0" t="n">
        <v>17</v>
      </c>
      <c r="I16183" s="0" t="s">
        <v>53791</v>
      </c>
      <c r="J16183" s="0" t="s">
        <v>53792</v>
      </c>
      <c r="K16183" s="0" t="s">
        <v>53793</v>
      </c>
      <c r="L16183" s="0" t="str">
        <f aca="false">HYPERLINK("https://www.ncbi.nlm.nih.gov/nuccore/CP000058.1?report=graph&amp;tracks=[key:gene_model_track,Options:GeneOnly]&amp;mk=5006998:5007017|offset_17|00cc00,5007091:5007110|offset_110|444444,5007114:5007133|offset_133|444444,5007135:5007154|offset_154|444444&amp;v=5006797:5007354&amp;c=444444", "offset 17")</f>
        <v>offset 17</v>
      </c>
    </row>
    <row r="16184" customFormat="false" ht="12.8" hidden="false" customHeight="false" outlineLevel="0" collapsed="false">
      <c r="A16184" s="0" t="s">
        <v>12</v>
      </c>
      <c r="B16184" s="0" t="n">
        <v>5007090</v>
      </c>
      <c r="C16184" s="0" t="n">
        <v>5007110</v>
      </c>
      <c r="D16184" s="0" t="s">
        <v>53789</v>
      </c>
      <c r="E16184" s="0" t="s">
        <v>53790</v>
      </c>
      <c r="F16184" s="0" t="s">
        <v>15</v>
      </c>
      <c r="G16184" s="0" t="s">
        <v>16</v>
      </c>
      <c r="H16184" s="0" t="n">
        <v>110</v>
      </c>
      <c r="I16184" s="0" t="s">
        <v>53794</v>
      </c>
      <c r="J16184" s="0" t="s">
        <v>53795</v>
      </c>
      <c r="K16184" s="0" t="s">
        <v>53796</v>
      </c>
      <c r="L16184" s="0" t="str">
        <f aca="false">HYPERLINK("https://www.ncbi.nlm.nih.gov/nuccore/CP000058.1?report=graph&amp;tracks=[key:gene_model_track,Options:GeneOnly]&amp;mk=5006998:5007017|offset_17|444444,5007091:5007110|offset_110|00cc00,5007114:5007133|offset_133|444444,5007135:5007154|offset_154|444444&amp;v=5006797:5007354&amp;c=444444", "offset 110")</f>
        <v>offset 110</v>
      </c>
    </row>
    <row r="16185" customFormat="false" ht="12.8" hidden="false" customHeight="false" outlineLevel="0" collapsed="false">
      <c r="A16185" s="0" t="s">
        <v>12</v>
      </c>
      <c r="B16185" s="0" t="n">
        <v>5007113</v>
      </c>
      <c r="C16185" s="0" t="n">
        <v>5007133</v>
      </c>
      <c r="D16185" s="0" t="s">
        <v>53789</v>
      </c>
      <c r="E16185" s="0" t="s">
        <v>53790</v>
      </c>
      <c r="F16185" s="0" t="s">
        <v>15</v>
      </c>
      <c r="G16185" s="0" t="s">
        <v>36</v>
      </c>
      <c r="H16185" s="0" t="n">
        <v>133</v>
      </c>
      <c r="I16185" s="0" t="s">
        <v>53797</v>
      </c>
      <c r="J16185" s="0" t="s">
        <v>53798</v>
      </c>
      <c r="K16185" s="0" t="s">
        <v>53799</v>
      </c>
      <c r="L16185" s="0" t="str">
        <f aca="false">HYPERLINK("https://www.ncbi.nlm.nih.gov/nuccore/CP000058.1?report=graph&amp;tracks=[key:gene_model_track,Options:GeneOnly]&amp;mk=5006998:5007017|offset_17|444444,5007091:5007110|offset_110|444444,5007114:5007133|offset_133|00cc00,5007135:5007154|offset_154|444444&amp;v=5006797:5007354&amp;c=444444", "offset 133")</f>
        <v>offset 133</v>
      </c>
    </row>
    <row r="16186" customFormat="false" ht="12.8" hidden="false" customHeight="false" outlineLevel="0" collapsed="false">
      <c r="A16186" s="0" t="s">
        <v>12</v>
      </c>
      <c r="B16186" s="0" t="n">
        <v>5007134</v>
      </c>
      <c r="C16186" s="0" t="n">
        <v>5007154</v>
      </c>
      <c r="D16186" s="0" t="s">
        <v>53789</v>
      </c>
      <c r="E16186" s="0" t="s">
        <v>53790</v>
      </c>
      <c r="F16186" s="0" t="s">
        <v>15</v>
      </c>
      <c r="G16186" s="0" t="s">
        <v>16</v>
      </c>
      <c r="H16186" s="0" t="n">
        <v>154</v>
      </c>
      <c r="I16186" s="0" t="s">
        <v>53800</v>
      </c>
      <c r="J16186" s="0" t="s">
        <v>53801</v>
      </c>
      <c r="K16186" s="0" t="s">
        <v>53802</v>
      </c>
      <c r="L16186" s="0" t="str">
        <f aca="false">HYPERLINK("https://www.ncbi.nlm.nih.gov/nuccore/CP000058.1?report=graph&amp;tracks=[key:gene_model_track,Options:GeneOnly]&amp;mk=5006998:5007017|offset_17|444444,5007091:5007110|offset_110|444444,5007114:5007133|offset_133|444444,5007135:5007154|offset_154|00cc00&amp;v=5006797:5007354&amp;c=444444", "offset 154")</f>
        <v>offset 154</v>
      </c>
    </row>
    <row r="16187" customFormat="false" ht="12.8" hidden="false" customHeight="false" outlineLevel="0" collapsed="false">
      <c r="A16187" s="0" t="s">
        <v>12</v>
      </c>
      <c r="B16187" s="0" t="n">
        <v>5007876</v>
      </c>
      <c r="C16187" s="0" t="n">
        <v>5007896</v>
      </c>
      <c r="D16187" s="0" t="s">
        <v>53803</v>
      </c>
      <c r="E16187" s="0" t="s">
        <v>53804</v>
      </c>
      <c r="F16187" s="0" t="s">
        <v>15</v>
      </c>
      <c r="G16187" s="0" t="s">
        <v>36</v>
      </c>
      <c r="H16187" s="0" t="n">
        <v>7</v>
      </c>
      <c r="I16187" s="0" t="s">
        <v>53805</v>
      </c>
      <c r="J16187" s="0" t="s">
        <v>53806</v>
      </c>
      <c r="K16187" s="0" t="s">
        <v>53807</v>
      </c>
      <c r="L16187" s="0" t="str">
        <f aca="false">HYPERLINK("https://www.ncbi.nlm.nih.gov/nuccore/CP000058.1?report=graph&amp;tracks=[key:gene_model_track,Options:GeneOnly]&amp;mk=5007877:5007896|offset_7|00cc00,5007898:5007917|offset_28|444444,5007918:5007937|offset_48|444444,5007969:5007988|offset_99|444444&amp;v=5007676:5008188&amp;c=444444", "offset 7")</f>
        <v>offset 7</v>
      </c>
    </row>
    <row r="16188" customFormat="false" ht="12.8" hidden="false" customHeight="false" outlineLevel="0" collapsed="false">
      <c r="A16188" s="0" t="s">
        <v>12</v>
      </c>
      <c r="B16188" s="0" t="n">
        <v>5007897</v>
      </c>
      <c r="C16188" s="0" t="n">
        <v>5007917</v>
      </c>
      <c r="D16188" s="0" t="s">
        <v>53803</v>
      </c>
      <c r="E16188" s="0" t="s">
        <v>53804</v>
      </c>
      <c r="F16188" s="0" t="s">
        <v>15</v>
      </c>
      <c r="G16188" s="0" t="s">
        <v>32</v>
      </c>
      <c r="H16188" s="0" t="n">
        <v>28</v>
      </c>
      <c r="I16188" s="0" t="s">
        <v>53808</v>
      </c>
      <c r="J16188" s="0" t="s">
        <v>53809</v>
      </c>
      <c r="K16188" s="0" t="s">
        <v>53810</v>
      </c>
      <c r="L16188" s="0" t="str">
        <f aca="false">HYPERLINK("https://www.ncbi.nlm.nih.gov/nuccore/CP000058.1?report=graph&amp;tracks=[key:gene_model_track,Options:GeneOnly]&amp;mk=5007877:5007896|offset_7|444444,5007898:5007917|offset_28|00cc00,5007918:5007937|offset_48|444444,5007969:5007988|offset_99|444444&amp;v=5007676:5008188&amp;c=444444", "offset 28")</f>
        <v>offset 28</v>
      </c>
    </row>
    <row r="16189" customFormat="false" ht="12.8" hidden="false" customHeight="false" outlineLevel="0" collapsed="false">
      <c r="A16189" s="0" t="s">
        <v>12</v>
      </c>
      <c r="B16189" s="0" t="n">
        <v>5007917</v>
      </c>
      <c r="C16189" s="0" t="n">
        <v>5007937</v>
      </c>
      <c r="D16189" s="0" t="s">
        <v>53803</v>
      </c>
      <c r="E16189" s="0" t="s">
        <v>53804</v>
      </c>
      <c r="F16189" s="0" t="s">
        <v>15</v>
      </c>
      <c r="G16189" s="0" t="s">
        <v>36</v>
      </c>
      <c r="H16189" s="0" t="n">
        <v>48</v>
      </c>
      <c r="I16189" s="0" t="s">
        <v>53811</v>
      </c>
      <c r="J16189" s="0" t="s">
        <v>53812</v>
      </c>
      <c r="K16189" s="0" t="s">
        <v>53813</v>
      </c>
      <c r="L16189" s="0" t="str">
        <f aca="false">HYPERLINK("https://www.ncbi.nlm.nih.gov/nuccore/CP000058.1?report=graph&amp;tracks=[key:gene_model_track,Options:GeneOnly]&amp;mk=5007877:5007896|offset_7|444444,5007898:5007917|offset_28|444444,5007918:5007937|offset_48|00cc00,5007969:5007988|offset_99|444444&amp;v=5007676:5008188&amp;c=444444", "offset 48")</f>
        <v>offset 48</v>
      </c>
    </row>
    <row r="16190" customFormat="false" ht="12.8" hidden="false" customHeight="false" outlineLevel="0" collapsed="false">
      <c r="A16190" s="0" t="s">
        <v>12</v>
      </c>
      <c r="B16190" s="0" t="n">
        <v>5007968</v>
      </c>
      <c r="C16190" s="0" t="n">
        <v>5007988</v>
      </c>
      <c r="D16190" s="0" t="s">
        <v>53803</v>
      </c>
      <c r="E16190" s="0" t="s">
        <v>53804</v>
      </c>
      <c r="F16190" s="0" t="s">
        <v>15</v>
      </c>
      <c r="G16190" s="0" t="s">
        <v>16</v>
      </c>
      <c r="H16190" s="0" t="n">
        <v>99</v>
      </c>
      <c r="I16190" s="0" t="s">
        <v>53814</v>
      </c>
      <c r="J16190" s="0" t="s">
        <v>53815</v>
      </c>
      <c r="K16190" s="0" t="s">
        <v>53816</v>
      </c>
      <c r="L16190" s="0" t="str">
        <f aca="false">HYPERLINK("https://www.ncbi.nlm.nih.gov/nuccore/CP000058.1?report=graph&amp;tracks=[key:gene_model_track,Options:GeneOnly]&amp;mk=5007877:5007896|offset_7|444444,5007898:5007917|offset_28|444444,5007918:5007937|offset_48|444444,5007969:5007988|offset_99|00cc00&amp;v=5007676:5008188&amp;c=444444", "offset 99")</f>
        <v>offset 99</v>
      </c>
    </row>
    <row r="16191" customFormat="false" ht="12.8" hidden="false" customHeight="false" outlineLevel="0" collapsed="false">
      <c r="A16191" s="0" t="s">
        <v>12</v>
      </c>
      <c r="B16191" s="0" t="n">
        <v>5009450</v>
      </c>
      <c r="C16191" s="0" t="n">
        <v>5009470</v>
      </c>
      <c r="D16191" s="0" t="s">
        <v>53817</v>
      </c>
      <c r="E16191" s="0" t="s">
        <v>75</v>
      </c>
      <c r="F16191" s="0" t="s">
        <v>15</v>
      </c>
      <c r="G16191" s="0" t="s">
        <v>36</v>
      </c>
      <c r="H16191" s="0" t="n">
        <v>0</v>
      </c>
      <c r="I16191" s="0" t="s">
        <v>53818</v>
      </c>
      <c r="J16191" s="0" t="s">
        <v>53819</v>
      </c>
      <c r="K16191" s="0" t="s">
        <v>53820</v>
      </c>
      <c r="L16191" s="0" t="str">
        <f aca="false">HYPERLINK("https://www.ncbi.nlm.nih.gov/nuccore/CP000058.1?report=graph&amp;tracks=[key:gene_model_track,Options:GeneOnly]&amp;mk=5009451:5009470|offset_0|00cc00,5009473:5009492|offset_22|444444,5009505:5009524|offset_54|444444,5009543:5009562|offset_92|444444&amp;v=5009250:5009762&amp;c=444444", "offset 0")</f>
        <v>offset 0</v>
      </c>
    </row>
    <row r="16192" customFormat="false" ht="12.8" hidden="false" customHeight="false" outlineLevel="0" collapsed="false">
      <c r="A16192" s="0" t="s">
        <v>12</v>
      </c>
      <c r="B16192" s="0" t="n">
        <v>5009472</v>
      </c>
      <c r="C16192" s="0" t="n">
        <v>5009492</v>
      </c>
      <c r="D16192" s="0" t="s">
        <v>53817</v>
      </c>
      <c r="E16192" s="0" t="s">
        <v>75</v>
      </c>
      <c r="F16192" s="0" t="s">
        <v>15</v>
      </c>
      <c r="G16192" s="0" t="s">
        <v>36</v>
      </c>
      <c r="H16192" s="0" t="n">
        <v>22</v>
      </c>
      <c r="I16192" s="0" t="s">
        <v>53821</v>
      </c>
      <c r="J16192" s="0" t="s">
        <v>53822</v>
      </c>
      <c r="K16192" s="0" t="s">
        <v>53823</v>
      </c>
      <c r="L16192" s="0" t="str">
        <f aca="false">HYPERLINK("https://www.ncbi.nlm.nih.gov/nuccore/CP000058.1?report=graph&amp;tracks=[key:gene_model_track,Options:GeneOnly]&amp;mk=5009451:5009470|offset_0|444444,5009473:5009492|offset_22|00cc00,5009505:5009524|offset_54|444444,5009543:5009562|offset_92|444444&amp;v=5009250:5009762&amp;c=444444", "offset 22")</f>
        <v>offset 22</v>
      </c>
    </row>
    <row r="16193" customFormat="false" ht="12.8" hidden="false" customHeight="false" outlineLevel="0" collapsed="false">
      <c r="A16193" s="0" t="s">
        <v>12</v>
      </c>
      <c r="B16193" s="0" t="n">
        <v>5009504</v>
      </c>
      <c r="C16193" s="0" t="n">
        <v>5009524</v>
      </c>
      <c r="D16193" s="0" t="s">
        <v>53817</v>
      </c>
      <c r="E16193" s="0" t="s">
        <v>75</v>
      </c>
      <c r="F16193" s="0" t="s">
        <v>15</v>
      </c>
      <c r="G16193" s="0" t="s">
        <v>36</v>
      </c>
      <c r="H16193" s="0" t="n">
        <v>54</v>
      </c>
      <c r="I16193" s="0" t="s">
        <v>53824</v>
      </c>
      <c r="J16193" s="0" t="s">
        <v>53825</v>
      </c>
      <c r="K16193" s="0" t="s">
        <v>53826</v>
      </c>
      <c r="L16193" s="0" t="str">
        <f aca="false">HYPERLINK("https://www.ncbi.nlm.nih.gov/nuccore/CP000058.1?report=graph&amp;tracks=[key:gene_model_track,Options:GeneOnly]&amp;mk=5009451:5009470|offset_0|444444,5009473:5009492|offset_22|444444,5009505:5009524|offset_54|00cc00,5009543:5009562|offset_92|444444&amp;v=5009250:5009762&amp;c=444444", "offset 54")</f>
        <v>offset 54</v>
      </c>
    </row>
    <row r="16194" customFormat="false" ht="12.8" hidden="false" customHeight="false" outlineLevel="0" collapsed="false">
      <c r="A16194" s="0" t="s">
        <v>12</v>
      </c>
      <c r="B16194" s="0" t="n">
        <v>5009542</v>
      </c>
      <c r="C16194" s="0" t="n">
        <v>5009562</v>
      </c>
      <c r="D16194" s="0" t="s">
        <v>53817</v>
      </c>
      <c r="E16194" s="0" t="s">
        <v>75</v>
      </c>
      <c r="F16194" s="0" t="s">
        <v>15</v>
      </c>
      <c r="G16194" s="0" t="s">
        <v>36</v>
      </c>
      <c r="H16194" s="0" t="n">
        <v>92</v>
      </c>
      <c r="I16194" s="0" t="s">
        <v>53827</v>
      </c>
      <c r="J16194" s="0" t="s">
        <v>53828</v>
      </c>
      <c r="K16194" s="0" t="s">
        <v>53829</v>
      </c>
      <c r="L16194" s="0" t="str">
        <f aca="false">HYPERLINK("https://www.ncbi.nlm.nih.gov/nuccore/CP000058.1?report=graph&amp;tracks=[key:gene_model_track,Options:GeneOnly]&amp;mk=5009451:5009470|offset_0|444444,5009473:5009492|offset_22|444444,5009505:5009524|offset_54|444444,5009543:5009562|offset_92|00cc00&amp;v=5009250:5009762&amp;c=444444", "offset 92")</f>
        <v>offset 92</v>
      </c>
    </row>
    <row r="16195" customFormat="false" ht="12.8" hidden="false" customHeight="false" outlineLevel="0" collapsed="false">
      <c r="A16195" s="0" t="s">
        <v>12</v>
      </c>
      <c r="B16195" s="0" t="n">
        <v>5010394</v>
      </c>
      <c r="C16195" s="0" t="n">
        <v>5010414</v>
      </c>
      <c r="D16195" s="0" t="s">
        <v>53830</v>
      </c>
      <c r="E16195" s="0" t="s">
        <v>75</v>
      </c>
      <c r="F16195" s="0" t="s">
        <v>90</v>
      </c>
      <c r="G16195" s="0" t="s">
        <v>16</v>
      </c>
      <c r="H16195" s="0" t="n">
        <v>11</v>
      </c>
      <c r="I16195" s="0" t="s">
        <v>53831</v>
      </c>
      <c r="J16195" s="0" t="s">
        <v>53832</v>
      </c>
      <c r="K16195" s="0" t="s">
        <v>53833</v>
      </c>
      <c r="L16195" s="0" t="str">
        <f aca="false">HYPERLINK("https://www.ncbi.nlm.nih.gov/nuccore/CP000058.1?report=graph&amp;tracks=[key:gene_model_track,Options:GeneOnly]&amp;mk=5010395:5010414|offset_11|00cc00,5010371:5010390|offset_35|444444,5010347:5010366|offset_59|444444,5010319:5010338|offset_87|444444&amp;v=5010194:5010538&amp;c=444444", "offset 11")</f>
        <v>offset 11</v>
      </c>
    </row>
    <row r="16196" customFormat="false" ht="12.8" hidden="false" customHeight="false" outlineLevel="0" collapsed="false">
      <c r="A16196" s="0" t="s">
        <v>12</v>
      </c>
      <c r="B16196" s="0" t="n">
        <v>5010370</v>
      </c>
      <c r="C16196" s="0" t="n">
        <v>5010390</v>
      </c>
      <c r="D16196" s="0" t="s">
        <v>53830</v>
      </c>
      <c r="E16196" s="0" t="s">
        <v>75</v>
      </c>
      <c r="F16196" s="0" t="s">
        <v>90</v>
      </c>
      <c r="G16196" s="0" t="s">
        <v>36</v>
      </c>
      <c r="H16196" s="0" t="n">
        <v>35</v>
      </c>
      <c r="I16196" s="0" t="s">
        <v>53834</v>
      </c>
      <c r="J16196" s="0" t="s">
        <v>53835</v>
      </c>
      <c r="K16196" s="0" t="s">
        <v>53836</v>
      </c>
      <c r="L16196" s="0" t="str">
        <f aca="false">HYPERLINK("https://www.ncbi.nlm.nih.gov/nuccore/CP000058.1?report=graph&amp;tracks=[key:gene_model_track,Options:GeneOnly]&amp;mk=5010395:5010414|offset_11|444444,5010371:5010390|offset_35|00cc00,5010347:5010366|offset_59|444444,5010319:5010338|offset_87|444444&amp;v=5010194:5010538&amp;c=444444", "offset 35")</f>
        <v>offset 35</v>
      </c>
    </row>
    <row r="16197" customFormat="false" ht="12.8" hidden="false" customHeight="false" outlineLevel="0" collapsed="false">
      <c r="A16197" s="0" t="s">
        <v>12</v>
      </c>
      <c r="B16197" s="0" t="n">
        <v>5010346</v>
      </c>
      <c r="C16197" s="0" t="n">
        <v>5010366</v>
      </c>
      <c r="D16197" s="0" t="s">
        <v>53830</v>
      </c>
      <c r="E16197" s="0" t="s">
        <v>75</v>
      </c>
      <c r="F16197" s="0" t="s">
        <v>90</v>
      </c>
      <c r="G16197" s="0" t="s">
        <v>36</v>
      </c>
      <c r="H16197" s="0" t="n">
        <v>59</v>
      </c>
      <c r="I16197" s="0" t="s">
        <v>53837</v>
      </c>
      <c r="J16197" s="0" t="s">
        <v>53838</v>
      </c>
      <c r="K16197" s="0" t="s">
        <v>53839</v>
      </c>
      <c r="L16197" s="0" t="str">
        <f aca="false">HYPERLINK("https://www.ncbi.nlm.nih.gov/nuccore/CP000058.1?report=graph&amp;tracks=[key:gene_model_track,Options:GeneOnly]&amp;mk=5010395:5010414|offset_11|444444,5010371:5010390|offset_35|444444,5010347:5010366|offset_59|00cc00,5010319:5010338|offset_87|444444&amp;v=5010194:5010538&amp;c=444444", "offset 59")</f>
        <v>offset 59</v>
      </c>
    </row>
    <row r="16198" customFormat="false" ht="12.8" hidden="false" customHeight="false" outlineLevel="0" collapsed="false">
      <c r="A16198" s="0" t="s">
        <v>12</v>
      </c>
      <c r="B16198" s="0" t="n">
        <v>5010318</v>
      </c>
      <c r="C16198" s="0" t="n">
        <v>5010338</v>
      </c>
      <c r="D16198" s="0" t="s">
        <v>53830</v>
      </c>
      <c r="E16198" s="0" t="s">
        <v>75</v>
      </c>
      <c r="F16198" s="0" t="s">
        <v>90</v>
      </c>
      <c r="G16198" s="0" t="s">
        <v>32</v>
      </c>
      <c r="H16198" s="0" t="n">
        <v>87</v>
      </c>
      <c r="I16198" s="0" t="s">
        <v>53840</v>
      </c>
      <c r="J16198" s="0" t="s">
        <v>53841</v>
      </c>
      <c r="K16198" s="0" t="s">
        <v>53842</v>
      </c>
      <c r="L16198" s="0" t="str">
        <f aca="false">HYPERLINK("https://www.ncbi.nlm.nih.gov/nuccore/CP000058.1?report=graph&amp;tracks=[key:gene_model_track,Options:GeneOnly]&amp;mk=5010395:5010414|offset_11|444444,5010371:5010390|offset_35|444444,5010347:5010366|offset_59|444444,5010319:5010338|offset_87|00cc00&amp;v=5010194:5010538&amp;c=444444", "offset 87")</f>
        <v>offset 87</v>
      </c>
    </row>
    <row r="16199" customFormat="false" ht="12.8" hidden="false" customHeight="false" outlineLevel="0" collapsed="false">
      <c r="A16199" s="0" t="s">
        <v>12</v>
      </c>
      <c r="B16199" s="0" t="n">
        <v>5010496</v>
      </c>
      <c r="C16199" s="0" t="n">
        <v>5010516</v>
      </c>
      <c r="D16199" s="0" t="s">
        <v>53843</v>
      </c>
      <c r="E16199" s="0" t="s">
        <v>53844</v>
      </c>
      <c r="F16199" s="0" t="s">
        <v>15</v>
      </c>
      <c r="G16199" s="0" t="s">
        <v>32</v>
      </c>
      <c r="H16199" s="0" t="n">
        <v>7</v>
      </c>
      <c r="I16199" s="0" t="s">
        <v>53845</v>
      </c>
      <c r="J16199" s="0" t="s">
        <v>53846</v>
      </c>
      <c r="K16199" s="0" t="s">
        <v>53847</v>
      </c>
      <c r="L16199" s="0" t="str">
        <f aca="false">HYPERLINK("https://www.ncbi.nlm.nih.gov/nuccore/CP000058.1?report=graph&amp;tracks=[key:gene_model_track,Options:GeneOnly]&amp;mk=5010497:5010516|offset_7|00cc00,5010518:5010537|offset_28|444444,5010584:5010603|offset_94|444444,5010614:5010633|offset_124|444444&amp;v=5010296:5010833&amp;c=444444", "offset 7")</f>
        <v>offset 7</v>
      </c>
    </row>
    <row r="16200" customFormat="false" ht="12.8" hidden="false" customHeight="false" outlineLevel="0" collapsed="false">
      <c r="A16200" s="0" t="s">
        <v>12</v>
      </c>
      <c r="B16200" s="0" t="n">
        <v>5010517</v>
      </c>
      <c r="C16200" s="0" t="n">
        <v>5010537</v>
      </c>
      <c r="D16200" s="0" t="s">
        <v>53843</v>
      </c>
      <c r="E16200" s="0" t="s">
        <v>53844</v>
      </c>
      <c r="F16200" s="0" t="s">
        <v>15</v>
      </c>
      <c r="G16200" s="0" t="s">
        <v>36</v>
      </c>
      <c r="H16200" s="0" t="n">
        <v>28</v>
      </c>
      <c r="I16200" s="0" t="s">
        <v>53848</v>
      </c>
      <c r="J16200" s="0" t="s">
        <v>53849</v>
      </c>
      <c r="K16200" s="0" t="s">
        <v>53850</v>
      </c>
      <c r="L16200" s="0" t="str">
        <f aca="false">HYPERLINK("https://www.ncbi.nlm.nih.gov/nuccore/CP000058.1?report=graph&amp;tracks=[key:gene_model_track,Options:GeneOnly]&amp;mk=5010497:5010516|offset_7|444444,5010518:5010537|offset_28|00cc00,5010584:5010603|offset_94|444444,5010614:5010633|offset_124|444444&amp;v=5010296:5010833&amp;c=444444", "offset 28")</f>
        <v>offset 28</v>
      </c>
    </row>
    <row r="16201" customFormat="false" ht="12.8" hidden="false" customHeight="false" outlineLevel="0" collapsed="false">
      <c r="A16201" s="0" t="s">
        <v>12</v>
      </c>
      <c r="B16201" s="0" t="n">
        <v>5010583</v>
      </c>
      <c r="C16201" s="0" t="n">
        <v>5010603</v>
      </c>
      <c r="D16201" s="0" t="s">
        <v>53843</v>
      </c>
      <c r="E16201" s="0" t="s">
        <v>53844</v>
      </c>
      <c r="F16201" s="0" t="s">
        <v>15</v>
      </c>
      <c r="G16201" s="0" t="s">
        <v>36</v>
      </c>
      <c r="H16201" s="0" t="n">
        <v>94</v>
      </c>
      <c r="I16201" s="0" t="s">
        <v>53851</v>
      </c>
      <c r="J16201" s="0" t="s">
        <v>53852</v>
      </c>
      <c r="K16201" s="0" t="s">
        <v>53853</v>
      </c>
      <c r="L16201" s="0" t="str">
        <f aca="false">HYPERLINK("https://www.ncbi.nlm.nih.gov/nuccore/CP000058.1?report=graph&amp;tracks=[key:gene_model_track,Options:GeneOnly]&amp;mk=5010497:5010516|offset_7|444444,5010518:5010537|offset_28|444444,5010584:5010603|offset_94|00cc00,5010614:5010633|offset_124|444444&amp;v=5010296:5010833&amp;c=444444", "offset 94")</f>
        <v>offset 94</v>
      </c>
    </row>
    <row r="16202" customFormat="false" ht="12.8" hidden="false" customHeight="false" outlineLevel="0" collapsed="false">
      <c r="A16202" s="0" t="s">
        <v>12</v>
      </c>
      <c r="B16202" s="0" t="n">
        <v>5010613</v>
      </c>
      <c r="C16202" s="0" t="n">
        <v>5010633</v>
      </c>
      <c r="D16202" s="0" t="s">
        <v>53843</v>
      </c>
      <c r="E16202" s="0" t="s">
        <v>53844</v>
      </c>
      <c r="F16202" s="0" t="s">
        <v>15</v>
      </c>
      <c r="G16202" s="0" t="s">
        <v>16</v>
      </c>
      <c r="H16202" s="0" t="n">
        <v>124</v>
      </c>
      <c r="I16202" s="0" t="s">
        <v>53854</v>
      </c>
      <c r="J16202" s="0" t="s">
        <v>53855</v>
      </c>
      <c r="K16202" s="0" t="s">
        <v>53856</v>
      </c>
      <c r="L16202" s="0" t="str">
        <f aca="false">HYPERLINK("https://www.ncbi.nlm.nih.gov/nuccore/CP000058.1?report=graph&amp;tracks=[key:gene_model_track,Options:GeneOnly]&amp;mk=5010497:5010516|offset_7|444444,5010518:5010537|offset_28|444444,5010584:5010603|offset_94|444444,5010614:5010633|offset_124|00cc00&amp;v=5010296:5010833&amp;c=444444", "offset 124")</f>
        <v>offset 124</v>
      </c>
    </row>
    <row r="16203" customFormat="false" ht="12.8" hidden="false" customHeight="false" outlineLevel="0" collapsed="false">
      <c r="A16203" s="0" t="s">
        <v>12</v>
      </c>
      <c r="B16203" s="0" t="n">
        <v>5011995</v>
      </c>
      <c r="C16203" s="0" t="n">
        <v>5012015</v>
      </c>
      <c r="D16203" s="0" t="s">
        <v>53857</v>
      </c>
      <c r="E16203" s="0" t="s">
        <v>75</v>
      </c>
      <c r="F16203" s="0" t="s">
        <v>15</v>
      </c>
      <c r="G16203" s="0" t="s">
        <v>20</v>
      </c>
      <c r="H16203" s="0" t="n">
        <v>1</v>
      </c>
      <c r="I16203" s="0" t="s">
        <v>53858</v>
      </c>
      <c r="J16203" s="0" t="s">
        <v>53859</v>
      </c>
      <c r="K16203" s="0" t="s">
        <v>53860</v>
      </c>
      <c r="L16203" s="0" t="str">
        <f aca="false">HYPERLINK("https://www.ncbi.nlm.nih.gov/nuccore/CP000058.1?report=graph&amp;tracks=[key:gene_model_track,Options:GeneOnly]&amp;mk=5011996:5012015|offset_1|00cc00,5012016:5012035|offset_21|444444,5012037:5012056|offset_42|444444,5012059:5012078|offset_64|444444&amp;v=5011795:5012278&amp;c=444444", "offset 1")</f>
        <v>offset 1</v>
      </c>
    </row>
    <row r="16204" customFormat="false" ht="12.8" hidden="false" customHeight="false" outlineLevel="0" collapsed="false">
      <c r="A16204" s="0" t="s">
        <v>12</v>
      </c>
      <c r="B16204" s="0" t="n">
        <v>5012015</v>
      </c>
      <c r="C16204" s="0" t="n">
        <v>5012035</v>
      </c>
      <c r="D16204" s="0" t="s">
        <v>53857</v>
      </c>
      <c r="E16204" s="0" t="s">
        <v>75</v>
      </c>
      <c r="F16204" s="0" t="s">
        <v>15</v>
      </c>
      <c r="G16204" s="0" t="s">
        <v>20</v>
      </c>
      <c r="H16204" s="0" t="n">
        <v>21</v>
      </c>
      <c r="I16204" s="0" t="s">
        <v>53861</v>
      </c>
      <c r="J16204" s="0" t="s">
        <v>53862</v>
      </c>
      <c r="K16204" s="0" t="s">
        <v>53863</v>
      </c>
      <c r="L16204" s="0" t="str">
        <f aca="false">HYPERLINK("https://www.ncbi.nlm.nih.gov/nuccore/CP000058.1?report=graph&amp;tracks=[key:gene_model_track,Options:GeneOnly]&amp;mk=5011996:5012015|offset_1|444444,5012016:5012035|offset_21|00cc00,5012037:5012056|offset_42|444444,5012059:5012078|offset_64|444444&amp;v=5011795:5012278&amp;c=444444", "offset 21")</f>
        <v>offset 21</v>
      </c>
    </row>
    <row r="16205" customFormat="false" ht="12.8" hidden="false" customHeight="false" outlineLevel="0" collapsed="false">
      <c r="A16205" s="0" t="s">
        <v>12</v>
      </c>
      <c r="B16205" s="0" t="n">
        <v>5012036</v>
      </c>
      <c r="C16205" s="0" t="n">
        <v>5012056</v>
      </c>
      <c r="D16205" s="0" t="s">
        <v>53857</v>
      </c>
      <c r="E16205" s="0" t="s">
        <v>75</v>
      </c>
      <c r="F16205" s="0" t="s">
        <v>15</v>
      </c>
      <c r="G16205" s="0" t="s">
        <v>20</v>
      </c>
      <c r="H16205" s="0" t="n">
        <v>42</v>
      </c>
      <c r="I16205" s="0" t="s">
        <v>53864</v>
      </c>
      <c r="J16205" s="0" t="s">
        <v>53865</v>
      </c>
      <c r="K16205" s="0" t="s">
        <v>53866</v>
      </c>
      <c r="L16205" s="0" t="str">
        <f aca="false">HYPERLINK("https://www.ncbi.nlm.nih.gov/nuccore/CP000058.1?report=graph&amp;tracks=[key:gene_model_track,Options:GeneOnly]&amp;mk=5011996:5012015|offset_1|444444,5012016:5012035|offset_21|444444,5012037:5012056|offset_42|00cc00,5012059:5012078|offset_64|444444&amp;v=5011795:5012278&amp;c=444444", "offset 42")</f>
        <v>offset 42</v>
      </c>
    </row>
    <row r="16206" customFormat="false" ht="12.8" hidden="false" customHeight="false" outlineLevel="0" collapsed="false">
      <c r="A16206" s="0" t="s">
        <v>12</v>
      </c>
      <c r="B16206" s="0" t="n">
        <v>5012058</v>
      </c>
      <c r="C16206" s="0" t="n">
        <v>5012078</v>
      </c>
      <c r="D16206" s="0" t="s">
        <v>53857</v>
      </c>
      <c r="E16206" s="0" t="s">
        <v>75</v>
      </c>
      <c r="F16206" s="0" t="s">
        <v>15</v>
      </c>
      <c r="G16206" s="0" t="s">
        <v>32</v>
      </c>
      <c r="H16206" s="0" t="n">
        <v>64</v>
      </c>
      <c r="I16206" s="0" t="s">
        <v>53867</v>
      </c>
      <c r="J16206" s="0" t="s">
        <v>53868</v>
      </c>
      <c r="K16206" s="0" t="s">
        <v>53869</v>
      </c>
      <c r="L16206" s="0" t="str">
        <f aca="false">HYPERLINK("https://www.ncbi.nlm.nih.gov/nuccore/CP000058.1?report=graph&amp;tracks=[key:gene_model_track,Options:GeneOnly]&amp;mk=5011996:5012015|offset_1|444444,5012016:5012035|offset_21|444444,5012037:5012056|offset_42|444444,5012059:5012078|offset_64|00cc00&amp;v=5011795:5012278&amp;c=444444", "offset 64")</f>
        <v>offset 64</v>
      </c>
    </row>
    <row r="16207" customFormat="false" ht="12.8" hidden="false" customHeight="false" outlineLevel="0" collapsed="false">
      <c r="A16207" s="0" t="s">
        <v>12</v>
      </c>
      <c r="B16207" s="0" t="n">
        <v>5013026</v>
      </c>
      <c r="C16207" s="0" t="n">
        <v>5013046</v>
      </c>
      <c r="D16207" s="0" t="s">
        <v>53870</v>
      </c>
      <c r="E16207" s="0" t="s">
        <v>75</v>
      </c>
      <c r="F16207" s="0" t="s">
        <v>15</v>
      </c>
      <c r="G16207" s="0" t="s">
        <v>20</v>
      </c>
      <c r="H16207" s="0" t="n">
        <v>17</v>
      </c>
      <c r="I16207" s="0" t="s">
        <v>53871</v>
      </c>
      <c r="J16207" s="0" t="s">
        <v>53872</v>
      </c>
      <c r="K16207" s="0" t="s">
        <v>53873</v>
      </c>
      <c r="L16207" s="0" t="str">
        <f aca="false">HYPERLINK("https://www.ncbi.nlm.nih.gov/nuccore/CP000058.1?report=graph&amp;tracks=[key:gene_model_track,Options:GeneOnly]&amp;mk=5013027:5013046|offset_17|00cc00,5013053:5013072|offset_43|444444,5013075:5013094|offset_65|444444,5013110:5013129|offset_100|444444&amp;v=5012826:5013329&amp;c=444444", "offset 17")</f>
        <v>offset 17</v>
      </c>
    </row>
    <row r="16208" customFormat="false" ht="12.8" hidden="false" customHeight="false" outlineLevel="0" collapsed="false">
      <c r="A16208" s="0" t="s">
        <v>12</v>
      </c>
      <c r="B16208" s="0" t="n">
        <v>5013052</v>
      </c>
      <c r="C16208" s="0" t="n">
        <v>5013072</v>
      </c>
      <c r="D16208" s="0" t="s">
        <v>53870</v>
      </c>
      <c r="E16208" s="0" t="s">
        <v>75</v>
      </c>
      <c r="F16208" s="0" t="s">
        <v>15</v>
      </c>
      <c r="G16208" s="0" t="s">
        <v>36</v>
      </c>
      <c r="H16208" s="0" t="n">
        <v>43</v>
      </c>
      <c r="I16208" s="0" t="s">
        <v>53874</v>
      </c>
      <c r="J16208" s="0" t="s">
        <v>53875</v>
      </c>
      <c r="K16208" s="0" t="s">
        <v>53876</v>
      </c>
      <c r="L16208" s="0" t="str">
        <f aca="false">HYPERLINK("https://www.ncbi.nlm.nih.gov/nuccore/CP000058.1?report=graph&amp;tracks=[key:gene_model_track,Options:GeneOnly]&amp;mk=5013027:5013046|offset_17|444444,5013053:5013072|offset_43|00cc00,5013075:5013094|offset_65|444444,5013110:5013129|offset_100|444444&amp;v=5012826:5013329&amp;c=444444", "offset 43")</f>
        <v>offset 43</v>
      </c>
    </row>
    <row r="16209" customFormat="false" ht="12.8" hidden="false" customHeight="false" outlineLevel="0" collapsed="false">
      <c r="A16209" s="0" t="s">
        <v>12</v>
      </c>
      <c r="B16209" s="0" t="n">
        <v>5013074</v>
      </c>
      <c r="C16209" s="0" t="n">
        <v>5013094</v>
      </c>
      <c r="D16209" s="0" t="s">
        <v>53870</v>
      </c>
      <c r="E16209" s="0" t="s">
        <v>75</v>
      </c>
      <c r="F16209" s="0" t="s">
        <v>15</v>
      </c>
      <c r="G16209" s="0" t="s">
        <v>20</v>
      </c>
      <c r="H16209" s="0" t="n">
        <v>65</v>
      </c>
      <c r="I16209" s="0" t="s">
        <v>53877</v>
      </c>
      <c r="J16209" s="0" t="s">
        <v>53878</v>
      </c>
      <c r="K16209" s="0" t="s">
        <v>53879</v>
      </c>
      <c r="L16209" s="0" t="str">
        <f aca="false">HYPERLINK("https://www.ncbi.nlm.nih.gov/nuccore/CP000058.1?report=graph&amp;tracks=[key:gene_model_track,Options:GeneOnly]&amp;mk=5013027:5013046|offset_17|444444,5013053:5013072|offset_43|444444,5013075:5013094|offset_65|00cc00,5013110:5013129|offset_100|444444&amp;v=5012826:5013329&amp;c=444444", "offset 65")</f>
        <v>offset 65</v>
      </c>
    </row>
    <row r="16210" customFormat="false" ht="12.8" hidden="false" customHeight="false" outlineLevel="0" collapsed="false">
      <c r="A16210" s="0" t="s">
        <v>12</v>
      </c>
      <c r="B16210" s="0" t="n">
        <v>5013109</v>
      </c>
      <c r="C16210" s="0" t="n">
        <v>5013129</v>
      </c>
      <c r="D16210" s="0" t="s">
        <v>53870</v>
      </c>
      <c r="E16210" s="0" t="s">
        <v>75</v>
      </c>
      <c r="F16210" s="0" t="s">
        <v>15</v>
      </c>
      <c r="G16210" s="0" t="s">
        <v>16</v>
      </c>
      <c r="H16210" s="0" t="n">
        <v>100</v>
      </c>
      <c r="I16210" s="0" t="s">
        <v>53880</v>
      </c>
      <c r="J16210" s="0" t="s">
        <v>53881</v>
      </c>
      <c r="K16210" s="0" t="s">
        <v>53882</v>
      </c>
      <c r="L16210" s="0" t="str">
        <f aca="false">HYPERLINK("https://www.ncbi.nlm.nih.gov/nuccore/CP000058.1?report=graph&amp;tracks=[key:gene_model_track,Options:GeneOnly]&amp;mk=5013027:5013046|offset_17|444444,5013053:5013072|offset_43|444444,5013075:5013094|offset_65|444444,5013110:5013129|offset_100|00cc00&amp;v=5012826:5013329&amp;c=444444", "offset 100")</f>
        <v>offset 100</v>
      </c>
    </row>
    <row r="16211" customFormat="false" ht="12.8" hidden="false" customHeight="false" outlineLevel="0" collapsed="false">
      <c r="A16211" s="0" t="s">
        <v>12</v>
      </c>
      <c r="B16211" s="0" t="n">
        <v>5013529</v>
      </c>
      <c r="C16211" s="0" t="n">
        <v>5013549</v>
      </c>
      <c r="D16211" s="0" t="s">
        <v>53883</v>
      </c>
      <c r="E16211" s="0" t="s">
        <v>75</v>
      </c>
      <c r="F16211" s="0" t="s">
        <v>15</v>
      </c>
      <c r="G16211" s="0" t="s">
        <v>16</v>
      </c>
      <c r="H16211" s="0" t="n">
        <v>14</v>
      </c>
      <c r="I16211" s="0" t="s">
        <v>53884</v>
      </c>
      <c r="J16211" s="0" t="s">
        <v>53885</v>
      </c>
      <c r="K16211" s="0" t="s">
        <v>53886</v>
      </c>
      <c r="L16211" s="0" t="str">
        <f aca="false">HYPERLINK("https://www.ncbi.nlm.nih.gov/nuccore/CP000058.1?report=graph&amp;tracks=[key:gene_model_track,Options:GeneOnly]&amp;mk=5013530:5013549|offset_14|00cc00,5013571:5013590|offset_55|444444,5013591:5013610|offset_75|444444,5013631:5013650|offset_115|444444&amp;v=5013329:5013850&amp;c=444444", "offset 14")</f>
        <v>offset 14</v>
      </c>
    </row>
    <row r="16212" customFormat="false" ht="12.8" hidden="false" customHeight="false" outlineLevel="0" collapsed="false">
      <c r="A16212" s="0" t="s">
        <v>12</v>
      </c>
      <c r="B16212" s="0" t="n">
        <v>5013570</v>
      </c>
      <c r="C16212" s="0" t="n">
        <v>5013590</v>
      </c>
      <c r="D16212" s="0" t="s">
        <v>53883</v>
      </c>
      <c r="E16212" s="0" t="s">
        <v>75</v>
      </c>
      <c r="F16212" s="0" t="s">
        <v>15</v>
      </c>
      <c r="G16212" s="0" t="s">
        <v>36</v>
      </c>
      <c r="H16212" s="0" t="n">
        <v>55</v>
      </c>
      <c r="I16212" s="0" t="s">
        <v>53887</v>
      </c>
      <c r="J16212" s="0" t="s">
        <v>53888</v>
      </c>
      <c r="K16212" s="0" t="s">
        <v>53889</v>
      </c>
      <c r="L16212" s="0" t="str">
        <f aca="false">HYPERLINK("https://www.ncbi.nlm.nih.gov/nuccore/CP000058.1?report=graph&amp;tracks=[key:gene_model_track,Options:GeneOnly]&amp;mk=5013530:5013549|offset_14|444444,5013571:5013590|offset_55|00cc00,5013591:5013610|offset_75|444444,5013631:5013650|offset_115|444444&amp;v=5013329:5013850&amp;c=444444", "offset 55")</f>
        <v>offset 55</v>
      </c>
    </row>
    <row r="16213" customFormat="false" ht="12.8" hidden="false" customHeight="false" outlineLevel="0" collapsed="false">
      <c r="A16213" s="0" t="s">
        <v>12</v>
      </c>
      <c r="B16213" s="0" t="n">
        <v>5013590</v>
      </c>
      <c r="C16213" s="0" t="n">
        <v>5013610</v>
      </c>
      <c r="D16213" s="0" t="s">
        <v>53883</v>
      </c>
      <c r="E16213" s="0" t="s">
        <v>75</v>
      </c>
      <c r="F16213" s="0" t="s">
        <v>15</v>
      </c>
      <c r="G16213" s="0" t="s">
        <v>16</v>
      </c>
      <c r="H16213" s="0" t="n">
        <v>75</v>
      </c>
      <c r="I16213" s="0" t="s">
        <v>53890</v>
      </c>
      <c r="J16213" s="0" t="s">
        <v>53891</v>
      </c>
      <c r="K16213" s="0" t="s">
        <v>53892</v>
      </c>
      <c r="L16213" s="0" t="str">
        <f aca="false">HYPERLINK("https://www.ncbi.nlm.nih.gov/nuccore/CP000058.1?report=graph&amp;tracks=[key:gene_model_track,Options:GeneOnly]&amp;mk=5013530:5013549|offset_14|444444,5013571:5013590|offset_55|444444,5013591:5013610|offset_75|00cc00,5013631:5013650|offset_115|444444&amp;v=5013329:5013850&amp;c=444444", "offset 75")</f>
        <v>offset 75</v>
      </c>
    </row>
    <row r="16214" customFormat="false" ht="12.8" hidden="false" customHeight="false" outlineLevel="0" collapsed="false">
      <c r="A16214" s="0" t="s">
        <v>12</v>
      </c>
      <c r="B16214" s="0" t="n">
        <v>5013630</v>
      </c>
      <c r="C16214" s="0" t="n">
        <v>5013650</v>
      </c>
      <c r="D16214" s="0" t="s">
        <v>53883</v>
      </c>
      <c r="E16214" s="0" t="s">
        <v>75</v>
      </c>
      <c r="F16214" s="0" t="s">
        <v>15</v>
      </c>
      <c r="G16214" s="0" t="s">
        <v>36</v>
      </c>
      <c r="H16214" s="0" t="n">
        <v>115</v>
      </c>
      <c r="I16214" s="0" t="s">
        <v>53893</v>
      </c>
      <c r="J16214" s="0" t="s">
        <v>53894</v>
      </c>
      <c r="K16214" s="0" t="s">
        <v>53895</v>
      </c>
      <c r="L16214" s="0" t="str">
        <f aca="false">HYPERLINK("https://www.ncbi.nlm.nih.gov/nuccore/CP000058.1?report=graph&amp;tracks=[key:gene_model_track,Options:GeneOnly]&amp;mk=5013530:5013549|offset_14|444444,5013571:5013590|offset_55|444444,5013591:5013610|offset_75|444444,5013631:5013650|offset_115|00cc00&amp;v=5013329:5013850&amp;c=444444", "offset 115")</f>
        <v>offset 115</v>
      </c>
    </row>
    <row r="16215" customFormat="false" ht="12.8" hidden="false" customHeight="false" outlineLevel="0" collapsed="false">
      <c r="A16215" s="0" t="s">
        <v>12</v>
      </c>
      <c r="B16215" s="0" t="n">
        <v>5014402</v>
      </c>
      <c r="C16215" s="0" t="n">
        <v>5014422</v>
      </c>
      <c r="D16215" s="0" t="s">
        <v>53896</v>
      </c>
      <c r="E16215" s="0" t="s">
        <v>53897</v>
      </c>
      <c r="F16215" s="0" t="s">
        <v>15</v>
      </c>
      <c r="G16215" s="0" t="s">
        <v>36</v>
      </c>
      <c r="H16215" s="0" t="n">
        <v>16</v>
      </c>
      <c r="I16215" s="0" t="s">
        <v>53898</v>
      </c>
      <c r="J16215" s="0" t="s">
        <v>53899</v>
      </c>
      <c r="K16215" s="0" t="s">
        <v>53900</v>
      </c>
      <c r="L16215" s="0" t="str">
        <f aca="false">HYPERLINK("https://www.ncbi.nlm.nih.gov/nuccore/CP000058.1?report=graph&amp;tracks=[key:gene_model_track,Options:GeneOnly]&amp;mk=5014403:5014422|offset_16|00cc00,5014425:5014444|offset_38|444444,5014457:5014476|offset_70|444444,5014508:5014527|offset_121|444444&amp;v=5014202:5014727&amp;c=444444", "offset 16")</f>
        <v>offset 16</v>
      </c>
    </row>
    <row r="16216" customFormat="false" ht="12.8" hidden="false" customHeight="false" outlineLevel="0" collapsed="false">
      <c r="A16216" s="0" t="s">
        <v>12</v>
      </c>
      <c r="B16216" s="0" t="n">
        <v>5014424</v>
      </c>
      <c r="C16216" s="0" t="n">
        <v>5014444</v>
      </c>
      <c r="D16216" s="0" t="s">
        <v>53896</v>
      </c>
      <c r="E16216" s="0" t="s">
        <v>53897</v>
      </c>
      <c r="F16216" s="0" t="s">
        <v>15</v>
      </c>
      <c r="G16216" s="0" t="s">
        <v>20</v>
      </c>
      <c r="H16216" s="0" t="n">
        <v>38</v>
      </c>
      <c r="I16216" s="0" t="s">
        <v>53901</v>
      </c>
      <c r="J16216" s="0" t="s">
        <v>53902</v>
      </c>
      <c r="K16216" s="0" t="s">
        <v>53903</v>
      </c>
      <c r="L16216" s="0" t="str">
        <f aca="false">HYPERLINK("https://www.ncbi.nlm.nih.gov/nuccore/CP000058.1?report=graph&amp;tracks=[key:gene_model_track,Options:GeneOnly]&amp;mk=5014403:5014422|offset_16|444444,5014425:5014444|offset_38|00cc00,5014457:5014476|offset_70|444444,5014508:5014527|offset_121|444444&amp;v=5014202:5014727&amp;c=444444", "offset 38")</f>
        <v>offset 38</v>
      </c>
    </row>
    <row r="16217" customFormat="false" ht="12.8" hidden="false" customHeight="false" outlineLevel="0" collapsed="false">
      <c r="A16217" s="0" t="s">
        <v>12</v>
      </c>
      <c r="B16217" s="0" t="n">
        <v>5014456</v>
      </c>
      <c r="C16217" s="0" t="n">
        <v>5014476</v>
      </c>
      <c r="D16217" s="0" t="s">
        <v>53896</v>
      </c>
      <c r="E16217" s="0" t="s">
        <v>53897</v>
      </c>
      <c r="F16217" s="0" t="s">
        <v>15</v>
      </c>
      <c r="G16217" s="0" t="s">
        <v>36</v>
      </c>
      <c r="H16217" s="0" t="n">
        <v>70</v>
      </c>
      <c r="I16217" s="0" t="s">
        <v>53904</v>
      </c>
      <c r="J16217" s="0" t="s">
        <v>53905</v>
      </c>
      <c r="K16217" s="0" t="s">
        <v>53906</v>
      </c>
      <c r="L16217" s="0" t="str">
        <f aca="false">HYPERLINK("https://www.ncbi.nlm.nih.gov/nuccore/CP000058.1?report=graph&amp;tracks=[key:gene_model_track,Options:GeneOnly]&amp;mk=5014403:5014422|offset_16|444444,5014425:5014444|offset_38|444444,5014457:5014476|offset_70|00cc00,5014508:5014527|offset_121|444444&amp;v=5014202:5014727&amp;c=444444", "offset 70")</f>
        <v>offset 70</v>
      </c>
    </row>
    <row r="16218" customFormat="false" ht="12.8" hidden="false" customHeight="false" outlineLevel="0" collapsed="false">
      <c r="A16218" s="0" t="s">
        <v>12</v>
      </c>
      <c r="B16218" s="0" t="n">
        <v>5014507</v>
      </c>
      <c r="C16218" s="0" t="n">
        <v>5014527</v>
      </c>
      <c r="D16218" s="0" t="s">
        <v>53896</v>
      </c>
      <c r="E16218" s="0" t="s">
        <v>53897</v>
      </c>
      <c r="F16218" s="0" t="s">
        <v>15</v>
      </c>
      <c r="G16218" s="0" t="s">
        <v>36</v>
      </c>
      <c r="H16218" s="0" t="n">
        <v>121</v>
      </c>
      <c r="I16218" s="0" t="s">
        <v>53907</v>
      </c>
      <c r="J16218" s="0" t="s">
        <v>53908</v>
      </c>
      <c r="K16218" s="0" t="s">
        <v>53909</v>
      </c>
      <c r="L16218" s="0" t="str">
        <f aca="false">HYPERLINK("https://www.ncbi.nlm.nih.gov/nuccore/CP000058.1?report=graph&amp;tracks=[key:gene_model_track,Options:GeneOnly]&amp;mk=5014403:5014422|offset_16|444444,5014425:5014444|offset_38|444444,5014457:5014476|offset_70|444444,5014508:5014527|offset_121|00cc00&amp;v=5014202:5014727&amp;c=444444", "offset 121")</f>
        <v>offset 121</v>
      </c>
    </row>
    <row r="16219" customFormat="false" ht="12.8" hidden="false" customHeight="false" outlineLevel="0" collapsed="false">
      <c r="A16219" s="0" t="s">
        <v>12</v>
      </c>
      <c r="B16219" s="0" t="n">
        <v>5016706</v>
      </c>
      <c r="C16219" s="0" t="n">
        <v>5016726</v>
      </c>
      <c r="D16219" s="0" t="s">
        <v>53910</v>
      </c>
      <c r="E16219" s="0" t="s">
        <v>75</v>
      </c>
      <c r="F16219" s="0" t="s">
        <v>90</v>
      </c>
      <c r="G16219" s="0" t="s">
        <v>16</v>
      </c>
      <c r="H16219" s="0" t="n">
        <v>0</v>
      </c>
      <c r="I16219" s="0" t="s">
        <v>53911</v>
      </c>
      <c r="J16219" s="0" t="s">
        <v>53912</v>
      </c>
      <c r="K16219" s="0" t="s">
        <v>53913</v>
      </c>
      <c r="L16219" s="0" t="str">
        <f aca="false">HYPERLINK("https://www.ncbi.nlm.nih.gov/nuccore/CP000058.1?report=graph&amp;tracks=[key:gene_model_track,Options:GeneOnly]&amp;mk=5016707:5016726|offset_0|00cc00,5016679:5016698|offset_28|444444,5016657:5016676|offset_50|444444,5016616:5016635|offset_91|444444&amp;v=5016506:5016835&amp;c=444444", "offset 0")</f>
        <v>offset 0</v>
      </c>
    </row>
    <row r="16220" customFormat="false" ht="12.8" hidden="false" customHeight="false" outlineLevel="0" collapsed="false">
      <c r="A16220" s="0" t="s">
        <v>12</v>
      </c>
      <c r="B16220" s="0" t="n">
        <v>5016678</v>
      </c>
      <c r="C16220" s="0" t="n">
        <v>5016698</v>
      </c>
      <c r="D16220" s="0" t="s">
        <v>53910</v>
      </c>
      <c r="E16220" s="0" t="s">
        <v>75</v>
      </c>
      <c r="F16220" s="0" t="s">
        <v>90</v>
      </c>
      <c r="G16220" s="0" t="s">
        <v>36</v>
      </c>
      <c r="H16220" s="0" t="n">
        <v>28</v>
      </c>
      <c r="I16220" s="0" t="s">
        <v>53914</v>
      </c>
      <c r="J16220" s="0" t="s">
        <v>53915</v>
      </c>
      <c r="K16220" s="0" t="s">
        <v>53916</v>
      </c>
      <c r="L16220" s="0" t="str">
        <f aca="false">HYPERLINK("https://www.ncbi.nlm.nih.gov/nuccore/CP000058.1?report=graph&amp;tracks=[key:gene_model_track,Options:GeneOnly]&amp;mk=5016707:5016726|offset_0|444444,5016679:5016698|offset_28|00cc00,5016657:5016676|offset_50|444444,5016616:5016635|offset_91|444444&amp;v=5016506:5016835&amp;c=444444", "offset 28")</f>
        <v>offset 28</v>
      </c>
    </row>
    <row r="16221" customFormat="false" ht="12.8" hidden="false" customHeight="false" outlineLevel="0" collapsed="false">
      <c r="A16221" s="0" t="s">
        <v>12</v>
      </c>
      <c r="B16221" s="0" t="n">
        <v>5016656</v>
      </c>
      <c r="C16221" s="0" t="n">
        <v>5016676</v>
      </c>
      <c r="D16221" s="0" t="s">
        <v>53910</v>
      </c>
      <c r="E16221" s="0" t="s">
        <v>75</v>
      </c>
      <c r="F16221" s="0" t="s">
        <v>90</v>
      </c>
      <c r="G16221" s="0" t="s">
        <v>20</v>
      </c>
      <c r="H16221" s="0" t="n">
        <v>50</v>
      </c>
      <c r="I16221" s="0" t="s">
        <v>53917</v>
      </c>
      <c r="J16221" s="0" t="s">
        <v>53918</v>
      </c>
      <c r="K16221" s="0" t="s">
        <v>53919</v>
      </c>
      <c r="L16221" s="0" t="str">
        <f aca="false">HYPERLINK("https://www.ncbi.nlm.nih.gov/nuccore/CP000058.1?report=graph&amp;tracks=[key:gene_model_track,Options:GeneOnly]&amp;mk=5016707:5016726|offset_0|444444,5016679:5016698|offset_28|444444,5016657:5016676|offset_50|00cc00,5016616:5016635|offset_91|444444&amp;v=5016506:5016835&amp;c=444444", "offset 50")</f>
        <v>offset 50</v>
      </c>
    </row>
    <row r="16222" customFormat="false" ht="12.8" hidden="false" customHeight="false" outlineLevel="0" collapsed="false">
      <c r="A16222" s="0" t="s">
        <v>12</v>
      </c>
      <c r="B16222" s="0" t="n">
        <v>5016615</v>
      </c>
      <c r="C16222" s="0" t="n">
        <v>5016635</v>
      </c>
      <c r="D16222" s="0" t="s">
        <v>53910</v>
      </c>
      <c r="E16222" s="0" t="s">
        <v>75</v>
      </c>
      <c r="F16222" s="0" t="s">
        <v>90</v>
      </c>
      <c r="G16222" s="0" t="s">
        <v>36</v>
      </c>
      <c r="H16222" s="0" t="n">
        <v>91</v>
      </c>
      <c r="I16222" s="0" t="s">
        <v>53920</v>
      </c>
      <c r="J16222" s="0" t="s">
        <v>53921</v>
      </c>
      <c r="K16222" s="0" t="s">
        <v>53922</v>
      </c>
      <c r="L16222" s="0" t="str">
        <f aca="false">HYPERLINK("https://www.ncbi.nlm.nih.gov/nuccore/CP000058.1?report=graph&amp;tracks=[key:gene_model_track,Options:GeneOnly]&amp;mk=5016707:5016726|offset_0|444444,5016679:5016698|offset_28|444444,5016657:5016676|offset_50|444444,5016616:5016635|offset_91|00cc00&amp;v=5016506:5016835&amp;c=444444", "offset 91")</f>
        <v>offset 91</v>
      </c>
    </row>
    <row r="16223" customFormat="false" ht="12.8" hidden="false" customHeight="false" outlineLevel="0" collapsed="false">
      <c r="A16223" s="0" t="s">
        <v>12</v>
      </c>
      <c r="B16223" s="0" t="n">
        <v>5017134</v>
      </c>
      <c r="C16223" s="0" t="n">
        <v>5017154</v>
      </c>
      <c r="D16223" s="0" t="s">
        <v>53923</v>
      </c>
      <c r="E16223" s="0" t="s">
        <v>75</v>
      </c>
      <c r="F16223" s="0" t="s">
        <v>90</v>
      </c>
      <c r="G16223" s="0" t="s">
        <v>16</v>
      </c>
      <c r="H16223" s="0" t="n">
        <v>7</v>
      </c>
      <c r="I16223" s="0" t="s">
        <v>53924</v>
      </c>
      <c r="J16223" s="0" t="s">
        <v>53925</v>
      </c>
      <c r="K16223" s="0" t="s">
        <v>53926</v>
      </c>
      <c r="L16223" s="0" t="str">
        <f aca="false">HYPERLINK("https://www.ncbi.nlm.nih.gov/nuccore/CP000058.1?report=graph&amp;tracks=[key:gene_model_track,Options:GeneOnly]&amp;mk=5017135:5017154|offset_7|00cc00,5017113:5017132|offset_29|444444,5017083:5017102|offset_59|444444,5017051:5017070|offset_91|444444&amp;v=5016934:5017270&amp;c=444444", "offset 7")</f>
        <v>offset 7</v>
      </c>
    </row>
    <row r="16224" customFormat="false" ht="12.8" hidden="false" customHeight="false" outlineLevel="0" collapsed="false">
      <c r="A16224" s="0" t="s">
        <v>12</v>
      </c>
      <c r="B16224" s="0" t="n">
        <v>5017112</v>
      </c>
      <c r="C16224" s="0" t="n">
        <v>5017132</v>
      </c>
      <c r="D16224" s="0" t="s">
        <v>53923</v>
      </c>
      <c r="E16224" s="0" t="s">
        <v>75</v>
      </c>
      <c r="F16224" s="0" t="s">
        <v>90</v>
      </c>
      <c r="G16224" s="0" t="s">
        <v>20</v>
      </c>
      <c r="H16224" s="0" t="n">
        <v>29</v>
      </c>
      <c r="I16224" s="0" t="s">
        <v>53927</v>
      </c>
      <c r="J16224" s="0" t="s">
        <v>53928</v>
      </c>
      <c r="K16224" s="0" t="s">
        <v>53929</v>
      </c>
      <c r="L16224" s="0" t="str">
        <f aca="false">HYPERLINK("https://www.ncbi.nlm.nih.gov/nuccore/CP000058.1?report=graph&amp;tracks=[key:gene_model_track,Options:GeneOnly]&amp;mk=5017135:5017154|offset_7|444444,5017113:5017132|offset_29|00cc00,5017083:5017102|offset_59|444444,5017051:5017070|offset_91|444444&amp;v=5016934:5017270&amp;c=444444", "offset 29")</f>
        <v>offset 29</v>
      </c>
    </row>
    <row r="16225" customFormat="false" ht="12.8" hidden="false" customHeight="false" outlineLevel="0" collapsed="false">
      <c r="A16225" s="0" t="s">
        <v>12</v>
      </c>
      <c r="B16225" s="0" t="n">
        <v>5017082</v>
      </c>
      <c r="C16225" s="0" t="n">
        <v>5017102</v>
      </c>
      <c r="D16225" s="0" t="s">
        <v>53923</v>
      </c>
      <c r="E16225" s="0" t="s">
        <v>75</v>
      </c>
      <c r="F16225" s="0" t="s">
        <v>90</v>
      </c>
      <c r="G16225" s="0" t="s">
        <v>16</v>
      </c>
      <c r="H16225" s="0" t="n">
        <v>59</v>
      </c>
      <c r="I16225" s="0" t="s">
        <v>53930</v>
      </c>
      <c r="J16225" s="0" t="s">
        <v>53931</v>
      </c>
      <c r="K16225" s="0" t="s">
        <v>53932</v>
      </c>
      <c r="L16225" s="0" t="str">
        <f aca="false">HYPERLINK("https://www.ncbi.nlm.nih.gov/nuccore/CP000058.1?report=graph&amp;tracks=[key:gene_model_track,Options:GeneOnly]&amp;mk=5017135:5017154|offset_7|444444,5017113:5017132|offset_29|444444,5017083:5017102|offset_59|00cc00,5017051:5017070|offset_91|444444&amp;v=5016934:5017270&amp;c=444444", "offset 59")</f>
        <v>offset 59</v>
      </c>
    </row>
    <row r="16226" customFormat="false" ht="12.8" hidden="false" customHeight="false" outlineLevel="0" collapsed="false">
      <c r="A16226" s="0" t="s">
        <v>12</v>
      </c>
      <c r="B16226" s="0" t="n">
        <v>5017050</v>
      </c>
      <c r="C16226" s="0" t="n">
        <v>5017070</v>
      </c>
      <c r="D16226" s="0" t="s">
        <v>53923</v>
      </c>
      <c r="E16226" s="0" t="s">
        <v>75</v>
      </c>
      <c r="F16226" s="0" t="s">
        <v>90</v>
      </c>
      <c r="G16226" s="0" t="s">
        <v>20</v>
      </c>
      <c r="H16226" s="0" t="n">
        <v>91</v>
      </c>
      <c r="I16226" s="0" t="s">
        <v>53933</v>
      </c>
      <c r="J16226" s="0" t="s">
        <v>53934</v>
      </c>
      <c r="K16226" s="0" t="s">
        <v>53935</v>
      </c>
      <c r="L16226" s="0" t="str">
        <f aca="false">HYPERLINK("https://www.ncbi.nlm.nih.gov/nuccore/CP000058.1?report=graph&amp;tracks=[key:gene_model_track,Options:GeneOnly]&amp;mk=5017135:5017154|offset_7|444444,5017113:5017132|offset_29|444444,5017083:5017102|offset_59|444444,5017051:5017070|offset_91|00cc00&amp;v=5016934:5017270&amp;c=444444", "offset 91")</f>
        <v>offset 91</v>
      </c>
    </row>
    <row r="16227" customFormat="false" ht="12.8" hidden="false" customHeight="false" outlineLevel="0" collapsed="false">
      <c r="A16227" s="0" t="s">
        <v>12</v>
      </c>
      <c r="B16227" s="0" t="n">
        <v>5017473</v>
      </c>
      <c r="C16227" s="0" t="n">
        <v>5017493</v>
      </c>
      <c r="D16227" s="0" t="s">
        <v>53936</v>
      </c>
      <c r="E16227" s="0" t="s">
        <v>53937</v>
      </c>
      <c r="F16227" s="0" t="s">
        <v>15</v>
      </c>
      <c r="G16227" s="0" t="s">
        <v>32</v>
      </c>
      <c r="H16227" s="0" t="n">
        <v>1</v>
      </c>
      <c r="I16227" s="0" t="s">
        <v>53938</v>
      </c>
      <c r="J16227" s="0" t="s">
        <v>53939</v>
      </c>
      <c r="K16227" s="0" t="s">
        <v>53940</v>
      </c>
      <c r="L16227" s="0" t="str">
        <f aca="false">HYPERLINK("https://www.ncbi.nlm.nih.gov/nuccore/CP000058.1?report=graph&amp;tracks=[key:gene_model_track,Options:GeneOnly]&amp;mk=5017474:5017493|offset_1|00cc00,5017494:5017513|offset_21|444444,5017516:5017535|offset_43|444444,5017563:5017582|offset_90|444444&amp;v=5017273:5017782&amp;c=444444", "offset 1")</f>
        <v>offset 1</v>
      </c>
    </row>
    <row r="16228" customFormat="false" ht="12.8" hidden="false" customHeight="false" outlineLevel="0" collapsed="false">
      <c r="A16228" s="0" t="s">
        <v>12</v>
      </c>
      <c r="B16228" s="0" t="n">
        <v>5017493</v>
      </c>
      <c r="C16228" s="0" t="n">
        <v>5017513</v>
      </c>
      <c r="D16228" s="0" t="s">
        <v>53936</v>
      </c>
      <c r="E16228" s="0" t="s">
        <v>53937</v>
      </c>
      <c r="F16228" s="0" t="s">
        <v>15</v>
      </c>
      <c r="G16228" s="0" t="s">
        <v>36</v>
      </c>
      <c r="H16228" s="0" t="n">
        <v>21</v>
      </c>
      <c r="I16228" s="0" t="s">
        <v>53941</v>
      </c>
      <c r="J16228" s="0" t="s">
        <v>53942</v>
      </c>
      <c r="K16228" s="0" t="s">
        <v>53943</v>
      </c>
      <c r="L16228" s="0" t="str">
        <f aca="false">HYPERLINK("https://www.ncbi.nlm.nih.gov/nuccore/CP000058.1?report=graph&amp;tracks=[key:gene_model_track,Options:GeneOnly]&amp;mk=5017474:5017493|offset_1|444444,5017494:5017513|offset_21|00cc00,5017516:5017535|offset_43|444444,5017563:5017582|offset_90|444444&amp;v=5017273:5017782&amp;c=444444", "offset 21")</f>
        <v>offset 21</v>
      </c>
    </row>
    <row r="16229" customFormat="false" ht="12.8" hidden="false" customHeight="false" outlineLevel="0" collapsed="false">
      <c r="A16229" s="0" t="s">
        <v>12</v>
      </c>
      <c r="B16229" s="0" t="n">
        <v>5017515</v>
      </c>
      <c r="C16229" s="0" t="n">
        <v>5017535</v>
      </c>
      <c r="D16229" s="0" t="s">
        <v>53936</v>
      </c>
      <c r="E16229" s="0" t="s">
        <v>53937</v>
      </c>
      <c r="F16229" s="0" t="s">
        <v>15</v>
      </c>
      <c r="G16229" s="0" t="s">
        <v>36</v>
      </c>
      <c r="H16229" s="0" t="n">
        <v>43</v>
      </c>
      <c r="I16229" s="0" t="s">
        <v>53944</v>
      </c>
      <c r="J16229" s="0" t="s">
        <v>53945</v>
      </c>
      <c r="K16229" s="0" t="s">
        <v>53946</v>
      </c>
      <c r="L16229" s="0" t="str">
        <f aca="false">HYPERLINK("https://www.ncbi.nlm.nih.gov/nuccore/CP000058.1?report=graph&amp;tracks=[key:gene_model_track,Options:GeneOnly]&amp;mk=5017474:5017493|offset_1|444444,5017494:5017513|offset_21|444444,5017516:5017535|offset_43|00cc00,5017563:5017582|offset_90|444444&amp;v=5017273:5017782&amp;c=444444", "offset 43")</f>
        <v>offset 43</v>
      </c>
    </row>
    <row r="16230" customFormat="false" ht="12.8" hidden="false" customHeight="false" outlineLevel="0" collapsed="false">
      <c r="A16230" s="0" t="s">
        <v>12</v>
      </c>
      <c r="B16230" s="0" t="n">
        <v>5017562</v>
      </c>
      <c r="C16230" s="0" t="n">
        <v>5017582</v>
      </c>
      <c r="D16230" s="0" t="s">
        <v>53936</v>
      </c>
      <c r="E16230" s="0" t="s">
        <v>53937</v>
      </c>
      <c r="F16230" s="0" t="s">
        <v>15</v>
      </c>
      <c r="G16230" s="0" t="s">
        <v>32</v>
      </c>
      <c r="H16230" s="0" t="n">
        <v>90</v>
      </c>
      <c r="I16230" s="0" t="s">
        <v>53947</v>
      </c>
      <c r="J16230" s="0" t="s">
        <v>53948</v>
      </c>
      <c r="K16230" s="0" t="s">
        <v>53949</v>
      </c>
      <c r="L16230" s="0" t="str">
        <f aca="false">HYPERLINK("https://www.ncbi.nlm.nih.gov/nuccore/CP000058.1?report=graph&amp;tracks=[key:gene_model_track,Options:GeneOnly]&amp;mk=5017474:5017493|offset_1|444444,5017494:5017513|offset_21|444444,5017516:5017535|offset_43|444444,5017563:5017582|offset_90|00cc00&amp;v=5017273:5017782&amp;c=444444", "offset 90")</f>
        <v>offset 90</v>
      </c>
    </row>
    <row r="16231" customFormat="false" ht="12.8" hidden="false" customHeight="false" outlineLevel="0" collapsed="false">
      <c r="A16231" s="0" t="s">
        <v>12</v>
      </c>
      <c r="B16231" s="0" t="n">
        <v>5020200</v>
      </c>
      <c r="C16231" s="0" t="n">
        <v>5020220</v>
      </c>
      <c r="D16231" s="0" t="s">
        <v>53950</v>
      </c>
      <c r="E16231" s="0" t="s">
        <v>75</v>
      </c>
      <c r="F16231" s="0" t="s">
        <v>15</v>
      </c>
      <c r="G16231" s="0" t="s">
        <v>20</v>
      </c>
      <c r="H16231" s="0" t="n">
        <v>32</v>
      </c>
      <c r="I16231" s="0" t="s">
        <v>53951</v>
      </c>
      <c r="J16231" s="0" t="s">
        <v>53952</v>
      </c>
      <c r="K16231" s="0" t="s">
        <v>53953</v>
      </c>
      <c r="L16231" s="0" t="str">
        <f aca="false">HYPERLINK("https://www.ncbi.nlm.nih.gov/nuccore/CP000058.1?report=graph&amp;tracks=[key:gene_model_track,Options:GeneOnly]&amp;mk=5020201:5020220|offset_32|00cc00,5020221:5020240|offset_52|444444,5020251:5020270|offset_82|444444,5020314:5020333|offset_145|444444&amp;v=5020000:5020533&amp;c=444444", "offset 32")</f>
        <v>offset 32</v>
      </c>
    </row>
    <row r="16232" customFormat="false" ht="12.8" hidden="false" customHeight="false" outlineLevel="0" collapsed="false">
      <c r="A16232" s="0" t="s">
        <v>12</v>
      </c>
      <c r="B16232" s="0" t="n">
        <v>5020220</v>
      </c>
      <c r="C16232" s="0" t="n">
        <v>5020240</v>
      </c>
      <c r="D16232" s="0" t="s">
        <v>53950</v>
      </c>
      <c r="E16232" s="0" t="s">
        <v>75</v>
      </c>
      <c r="F16232" s="0" t="s">
        <v>15</v>
      </c>
      <c r="G16232" s="0" t="s">
        <v>20</v>
      </c>
      <c r="H16232" s="0" t="n">
        <v>52</v>
      </c>
      <c r="I16232" s="0" t="s">
        <v>53954</v>
      </c>
      <c r="J16232" s="0" t="s">
        <v>53955</v>
      </c>
      <c r="K16232" s="0" t="s">
        <v>53956</v>
      </c>
      <c r="L16232" s="0" t="str">
        <f aca="false">HYPERLINK("https://www.ncbi.nlm.nih.gov/nuccore/CP000058.1?report=graph&amp;tracks=[key:gene_model_track,Options:GeneOnly]&amp;mk=5020201:5020220|offset_32|444444,5020221:5020240|offset_52|00cc00,5020251:5020270|offset_82|444444,5020314:5020333|offset_145|444444&amp;v=5020000:5020533&amp;c=444444", "offset 52")</f>
        <v>offset 52</v>
      </c>
    </row>
    <row r="16233" customFormat="false" ht="12.8" hidden="false" customHeight="false" outlineLevel="0" collapsed="false">
      <c r="A16233" s="0" t="s">
        <v>12</v>
      </c>
      <c r="B16233" s="0" t="n">
        <v>5020250</v>
      </c>
      <c r="C16233" s="0" t="n">
        <v>5020270</v>
      </c>
      <c r="D16233" s="0" t="s">
        <v>53950</v>
      </c>
      <c r="E16233" s="0" t="s">
        <v>75</v>
      </c>
      <c r="F16233" s="0" t="s">
        <v>15</v>
      </c>
      <c r="G16233" s="0" t="s">
        <v>16</v>
      </c>
      <c r="H16233" s="0" t="n">
        <v>82</v>
      </c>
      <c r="I16233" s="0" t="s">
        <v>53957</v>
      </c>
      <c r="J16233" s="0" t="s">
        <v>53958</v>
      </c>
      <c r="K16233" s="0" t="s">
        <v>53959</v>
      </c>
      <c r="L16233" s="0" t="str">
        <f aca="false">HYPERLINK("https://www.ncbi.nlm.nih.gov/nuccore/CP000058.1?report=graph&amp;tracks=[key:gene_model_track,Options:GeneOnly]&amp;mk=5020201:5020220|offset_32|444444,5020221:5020240|offset_52|444444,5020251:5020270|offset_82|00cc00,5020314:5020333|offset_145|444444&amp;v=5020000:5020533&amp;c=444444", "offset 82")</f>
        <v>offset 82</v>
      </c>
    </row>
    <row r="16234" customFormat="false" ht="12.8" hidden="false" customHeight="false" outlineLevel="0" collapsed="false">
      <c r="A16234" s="0" t="s">
        <v>12</v>
      </c>
      <c r="B16234" s="0" t="n">
        <v>5020313</v>
      </c>
      <c r="C16234" s="0" t="n">
        <v>5020333</v>
      </c>
      <c r="D16234" s="0" t="s">
        <v>53950</v>
      </c>
      <c r="E16234" s="0" t="s">
        <v>75</v>
      </c>
      <c r="F16234" s="0" t="s">
        <v>15</v>
      </c>
      <c r="G16234" s="0" t="s">
        <v>16</v>
      </c>
      <c r="H16234" s="0" t="n">
        <v>145</v>
      </c>
      <c r="I16234" s="0" t="s">
        <v>53960</v>
      </c>
      <c r="J16234" s="0" t="s">
        <v>53961</v>
      </c>
      <c r="K16234" s="0" t="s">
        <v>53962</v>
      </c>
      <c r="L16234" s="0" t="str">
        <f aca="false">HYPERLINK("https://www.ncbi.nlm.nih.gov/nuccore/CP000058.1?report=graph&amp;tracks=[key:gene_model_track,Options:GeneOnly]&amp;mk=5020201:5020220|offset_32|444444,5020221:5020240|offset_52|444444,5020251:5020270|offset_82|444444,5020314:5020333|offset_145|00cc00&amp;v=5020000:5020533&amp;c=444444", "offset 145")</f>
        <v>offset 145</v>
      </c>
    </row>
    <row r="16235" customFormat="false" ht="12.8" hidden="false" customHeight="false" outlineLevel="0" collapsed="false">
      <c r="A16235" s="0" t="s">
        <v>12</v>
      </c>
      <c r="B16235" s="0" t="n">
        <v>5020834</v>
      </c>
      <c r="C16235" s="0" t="n">
        <v>5020854</v>
      </c>
      <c r="D16235" s="0" t="s">
        <v>53963</v>
      </c>
      <c r="E16235" s="0" t="s">
        <v>53964</v>
      </c>
      <c r="F16235" s="0" t="s">
        <v>15</v>
      </c>
      <c r="G16235" s="0" t="s">
        <v>36</v>
      </c>
      <c r="H16235" s="0" t="n">
        <v>13</v>
      </c>
      <c r="I16235" s="0" t="s">
        <v>53965</v>
      </c>
      <c r="J16235" s="0" t="s">
        <v>53966</v>
      </c>
      <c r="K16235" s="0" t="s">
        <v>53967</v>
      </c>
      <c r="L16235" s="0" t="str">
        <f aca="false">HYPERLINK("https://www.ncbi.nlm.nih.gov/nuccore/CP000058.1?report=graph&amp;tracks=[key:gene_model_track,Options:GeneOnly]&amp;mk=5020835:5020854|offset_13|00cc00,5020857:5020876|offset_35|444444,5020902:5020921|offset_80|444444,5020931:5020950|offset_109|444444&amp;v=5020634:5021150&amp;c=444444", "offset 13")</f>
        <v>offset 13</v>
      </c>
    </row>
    <row r="16236" customFormat="false" ht="12.8" hidden="false" customHeight="false" outlineLevel="0" collapsed="false">
      <c r="A16236" s="0" t="s">
        <v>12</v>
      </c>
      <c r="B16236" s="0" t="n">
        <v>5020856</v>
      </c>
      <c r="C16236" s="0" t="n">
        <v>5020876</v>
      </c>
      <c r="D16236" s="0" t="s">
        <v>53963</v>
      </c>
      <c r="E16236" s="0" t="s">
        <v>53964</v>
      </c>
      <c r="F16236" s="0" t="s">
        <v>15</v>
      </c>
      <c r="G16236" s="0" t="s">
        <v>20</v>
      </c>
      <c r="H16236" s="0" t="n">
        <v>35</v>
      </c>
      <c r="I16236" s="0" t="s">
        <v>53968</v>
      </c>
      <c r="J16236" s="0" t="s">
        <v>53969</v>
      </c>
      <c r="K16236" s="0" t="s">
        <v>53970</v>
      </c>
      <c r="L16236" s="0" t="str">
        <f aca="false">HYPERLINK("https://www.ncbi.nlm.nih.gov/nuccore/CP000058.1?report=graph&amp;tracks=[key:gene_model_track,Options:GeneOnly]&amp;mk=5020835:5020854|offset_13|444444,5020857:5020876|offset_35|00cc00,5020902:5020921|offset_80|444444,5020931:5020950|offset_109|444444&amp;v=5020634:5021150&amp;c=444444", "offset 35")</f>
        <v>offset 35</v>
      </c>
    </row>
    <row r="16237" customFormat="false" ht="12.8" hidden="false" customHeight="false" outlineLevel="0" collapsed="false">
      <c r="A16237" s="0" t="s">
        <v>12</v>
      </c>
      <c r="B16237" s="0" t="n">
        <v>5020901</v>
      </c>
      <c r="C16237" s="0" t="n">
        <v>5020921</v>
      </c>
      <c r="D16237" s="0" t="s">
        <v>53963</v>
      </c>
      <c r="E16237" s="0" t="s">
        <v>53964</v>
      </c>
      <c r="F16237" s="0" t="s">
        <v>15</v>
      </c>
      <c r="G16237" s="0" t="s">
        <v>36</v>
      </c>
      <c r="H16237" s="0" t="n">
        <v>80</v>
      </c>
      <c r="I16237" s="0" t="s">
        <v>53971</v>
      </c>
      <c r="J16237" s="0" t="s">
        <v>53972</v>
      </c>
      <c r="K16237" s="0" t="s">
        <v>53973</v>
      </c>
      <c r="L16237" s="0" t="str">
        <f aca="false">HYPERLINK("https://www.ncbi.nlm.nih.gov/nuccore/CP000058.1?report=graph&amp;tracks=[key:gene_model_track,Options:GeneOnly]&amp;mk=5020835:5020854|offset_13|444444,5020857:5020876|offset_35|444444,5020902:5020921|offset_80|00cc00,5020931:5020950|offset_109|444444&amp;v=5020634:5021150&amp;c=444444", "offset 80")</f>
        <v>offset 80</v>
      </c>
    </row>
    <row r="16238" customFormat="false" ht="12.8" hidden="false" customHeight="false" outlineLevel="0" collapsed="false">
      <c r="A16238" s="0" t="s">
        <v>12</v>
      </c>
      <c r="B16238" s="0" t="n">
        <v>5020930</v>
      </c>
      <c r="C16238" s="0" t="n">
        <v>5020950</v>
      </c>
      <c r="D16238" s="0" t="s">
        <v>53963</v>
      </c>
      <c r="E16238" s="0" t="s">
        <v>53964</v>
      </c>
      <c r="F16238" s="0" t="s">
        <v>15</v>
      </c>
      <c r="G16238" s="0" t="s">
        <v>16</v>
      </c>
      <c r="H16238" s="0" t="n">
        <v>109</v>
      </c>
      <c r="I16238" s="0" t="s">
        <v>53974</v>
      </c>
      <c r="J16238" s="0" t="s">
        <v>53975</v>
      </c>
      <c r="K16238" s="0" t="s">
        <v>53976</v>
      </c>
      <c r="L16238" s="0" t="str">
        <f aca="false">HYPERLINK("https://www.ncbi.nlm.nih.gov/nuccore/CP000058.1?report=graph&amp;tracks=[key:gene_model_track,Options:GeneOnly]&amp;mk=5020835:5020854|offset_13|444444,5020857:5020876|offset_35|444444,5020902:5020921|offset_80|444444,5020931:5020950|offset_109|00cc00&amp;v=5020634:5021150&amp;c=444444", "offset 109")</f>
        <v>offset 109</v>
      </c>
    </row>
    <row r="16239" customFormat="false" ht="12.8" hidden="false" customHeight="false" outlineLevel="0" collapsed="false">
      <c r="A16239" s="0" t="s">
        <v>12</v>
      </c>
      <c r="B16239" s="0" t="n">
        <v>5022140</v>
      </c>
      <c r="C16239" s="0" t="n">
        <v>5022160</v>
      </c>
      <c r="D16239" s="0" t="s">
        <v>53977</v>
      </c>
      <c r="E16239" s="0" t="s">
        <v>75</v>
      </c>
      <c r="F16239" s="0" t="s">
        <v>15</v>
      </c>
      <c r="G16239" s="0" t="s">
        <v>32</v>
      </c>
      <c r="H16239" s="0" t="n">
        <v>1</v>
      </c>
      <c r="I16239" s="0" t="s">
        <v>53978</v>
      </c>
      <c r="J16239" s="0" t="s">
        <v>53979</v>
      </c>
      <c r="K16239" s="0" t="s">
        <v>53980</v>
      </c>
      <c r="L16239" s="0" t="str">
        <f aca="false">HYPERLINK("https://www.ncbi.nlm.nih.gov/nuccore/CP000058.1?report=graph&amp;tracks=[key:gene_model_track,Options:GeneOnly]&amp;mk=5022141:5022160|offset_1|00cc00,5022161:5022180|offset_21|444444,5022186:5022205|offset_46|444444,5022218:5022237|offset_78|444444&amp;v=5021940:5022437&amp;c=444444", "offset 1")</f>
        <v>offset 1</v>
      </c>
    </row>
    <row r="16240" customFormat="false" ht="12.8" hidden="false" customHeight="false" outlineLevel="0" collapsed="false">
      <c r="A16240" s="0" t="s">
        <v>12</v>
      </c>
      <c r="B16240" s="0" t="n">
        <v>5022160</v>
      </c>
      <c r="C16240" s="0" t="n">
        <v>5022180</v>
      </c>
      <c r="D16240" s="0" t="s">
        <v>53977</v>
      </c>
      <c r="E16240" s="0" t="s">
        <v>75</v>
      </c>
      <c r="F16240" s="0" t="s">
        <v>15</v>
      </c>
      <c r="G16240" s="0" t="s">
        <v>16</v>
      </c>
      <c r="H16240" s="0" t="n">
        <v>21</v>
      </c>
      <c r="I16240" s="0" t="s">
        <v>53981</v>
      </c>
      <c r="J16240" s="0" t="s">
        <v>53982</v>
      </c>
      <c r="K16240" s="0" t="s">
        <v>53983</v>
      </c>
      <c r="L16240" s="0" t="str">
        <f aca="false">HYPERLINK("https://www.ncbi.nlm.nih.gov/nuccore/CP000058.1?report=graph&amp;tracks=[key:gene_model_track,Options:GeneOnly]&amp;mk=5022141:5022160|offset_1|444444,5022161:5022180|offset_21|00cc00,5022186:5022205|offset_46|444444,5022218:5022237|offset_78|444444&amp;v=5021940:5022437&amp;c=444444", "offset 21")</f>
        <v>offset 21</v>
      </c>
    </row>
    <row r="16241" customFormat="false" ht="12.8" hidden="false" customHeight="false" outlineLevel="0" collapsed="false">
      <c r="A16241" s="0" t="s">
        <v>12</v>
      </c>
      <c r="B16241" s="0" t="n">
        <v>5022185</v>
      </c>
      <c r="C16241" s="0" t="n">
        <v>5022205</v>
      </c>
      <c r="D16241" s="0" t="s">
        <v>53977</v>
      </c>
      <c r="E16241" s="0" t="s">
        <v>75</v>
      </c>
      <c r="F16241" s="0" t="s">
        <v>15</v>
      </c>
      <c r="G16241" s="0" t="s">
        <v>36</v>
      </c>
      <c r="H16241" s="0" t="n">
        <v>46</v>
      </c>
      <c r="I16241" s="0" t="s">
        <v>53984</v>
      </c>
      <c r="J16241" s="0" t="s">
        <v>53985</v>
      </c>
      <c r="K16241" s="0" t="s">
        <v>53986</v>
      </c>
      <c r="L16241" s="0" t="str">
        <f aca="false">HYPERLINK("https://www.ncbi.nlm.nih.gov/nuccore/CP000058.1?report=graph&amp;tracks=[key:gene_model_track,Options:GeneOnly]&amp;mk=5022141:5022160|offset_1|444444,5022161:5022180|offset_21|444444,5022186:5022205|offset_46|00cc00,5022218:5022237|offset_78|444444&amp;v=5021940:5022437&amp;c=444444", "offset 46")</f>
        <v>offset 46</v>
      </c>
    </row>
    <row r="16242" customFormat="false" ht="12.8" hidden="false" customHeight="false" outlineLevel="0" collapsed="false">
      <c r="A16242" s="0" t="s">
        <v>12</v>
      </c>
      <c r="B16242" s="0" t="n">
        <v>5022217</v>
      </c>
      <c r="C16242" s="0" t="n">
        <v>5022237</v>
      </c>
      <c r="D16242" s="0" t="s">
        <v>53977</v>
      </c>
      <c r="E16242" s="0" t="s">
        <v>75</v>
      </c>
      <c r="F16242" s="0" t="s">
        <v>15</v>
      </c>
      <c r="G16242" s="0" t="s">
        <v>36</v>
      </c>
      <c r="H16242" s="0" t="n">
        <v>78</v>
      </c>
      <c r="I16242" s="0" t="s">
        <v>53987</v>
      </c>
      <c r="J16242" s="0" t="s">
        <v>53988</v>
      </c>
      <c r="K16242" s="0" t="s">
        <v>53989</v>
      </c>
      <c r="L16242" s="0" t="str">
        <f aca="false">HYPERLINK("https://www.ncbi.nlm.nih.gov/nuccore/CP000058.1?report=graph&amp;tracks=[key:gene_model_track,Options:GeneOnly]&amp;mk=5022141:5022160|offset_1|444444,5022161:5022180|offset_21|444444,5022186:5022205|offset_46|444444,5022218:5022237|offset_78|00cc00&amp;v=5021940:5022437&amp;c=444444", "offset 78")</f>
        <v>offset 78</v>
      </c>
    </row>
    <row r="16243" customFormat="false" ht="12.8" hidden="false" customHeight="false" outlineLevel="0" collapsed="false">
      <c r="A16243" s="0" t="s">
        <v>12</v>
      </c>
      <c r="B16243" s="0" t="n">
        <v>5022384</v>
      </c>
      <c r="C16243" s="0" t="n">
        <v>5022404</v>
      </c>
      <c r="D16243" s="0" t="s">
        <v>53990</v>
      </c>
      <c r="E16243" s="0" t="s">
        <v>75</v>
      </c>
      <c r="F16243" s="0" t="s">
        <v>15</v>
      </c>
      <c r="G16243" s="0" t="s">
        <v>20</v>
      </c>
      <c r="H16243" s="0" t="n">
        <v>6</v>
      </c>
      <c r="I16243" s="0" t="s">
        <v>53991</v>
      </c>
      <c r="J16243" s="0" t="s">
        <v>53992</v>
      </c>
      <c r="K16243" s="0" t="s">
        <v>53993</v>
      </c>
      <c r="L16243" s="0" t="str">
        <f aca="false">HYPERLINK("https://www.ncbi.nlm.nih.gov/nuccore/CP000058.1?report=graph&amp;tracks=[key:gene_model_track,Options:GeneOnly]&amp;mk=5022385:5022404|offset_6|00cc00,5022406:5022425|offset_27|444444,5022431:5022450|offset_52|444444,5022455:5022474|offset_76|444444&amp;v=5022184:5022674&amp;c=444444", "offset 6")</f>
        <v>offset 6</v>
      </c>
    </row>
    <row r="16244" customFormat="false" ht="12.8" hidden="false" customHeight="false" outlineLevel="0" collapsed="false">
      <c r="A16244" s="0" t="s">
        <v>12</v>
      </c>
      <c r="B16244" s="0" t="n">
        <v>5022405</v>
      </c>
      <c r="C16244" s="0" t="n">
        <v>5022425</v>
      </c>
      <c r="D16244" s="0" t="s">
        <v>53990</v>
      </c>
      <c r="E16244" s="0" t="s">
        <v>75</v>
      </c>
      <c r="F16244" s="0" t="s">
        <v>15</v>
      </c>
      <c r="G16244" s="0" t="s">
        <v>16</v>
      </c>
      <c r="H16244" s="0" t="n">
        <v>27</v>
      </c>
      <c r="I16244" s="0" t="s">
        <v>53994</v>
      </c>
      <c r="J16244" s="0" t="s">
        <v>53995</v>
      </c>
      <c r="K16244" s="0" t="s">
        <v>53996</v>
      </c>
      <c r="L16244" s="0" t="str">
        <f aca="false">HYPERLINK("https://www.ncbi.nlm.nih.gov/nuccore/CP000058.1?report=graph&amp;tracks=[key:gene_model_track,Options:GeneOnly]&amp;mk=5022385:5022404|offset_6|444444,5022406:5022425|offset_27|00cc00,5022431:5022450|offset_52|444444,5022455:5022474|offset_76|444444&amp;v=5022184:5022674&amp;c=444444", "offset 27")</f>
        <v>offset 27</v>
      </c>
    </row>
    <row r="16245" customFormat="false" ht="12.8" hidden="false" customHeight="false" outlineLevel="0" collapsed="false">
      <c r="A16245" s="0" t="s">
        <v>12</v>
      </c>
      <c r="B16245" s="0" t="n">
        <v>5022430</v>
      </c>
      <c r="C16245" s="0" t="n">
        <v>5022450</v>
      </c>
      <c r="D16245" s="0" t="s">
        <v>53990</v>
      </c>
      <c r="E16245" s="0" t="s">
        <v>75</v>
      </c>
      <c r="F16245" s="0" t="s">
        <v>15</v>
      </c>
      <c r="G16245" s="0" t="s">
        <v>20</v>
      </c>
      <c r="H16245" s="0" t="n">
        <v>52</v>
      </c>
      <c r="I16245" s="0" t="s">
        <v>53997</v>
      </c>
      <c r="J16245" s="0" t="s">
        <v>53998</v>
      </c>
      <c r="K16245" s="0" t="s">
        <v>53999</v>
      </c>
      <c r="L16245" s="0" t="str">
        <f aca="false">HYPERLINK("https://www.ncbi.nlm.nih.gov/nuccore/CP000058.1?report=graph&amp;tracks=[key:gene_model_track,Options:GeneOnly]&amp;mk=5022385:5022404|offset_6|444444,5022406:5022425|offset_27|444444,5022431:5022450|offset_52|00cc00,5022455:5022474|offset_76|444444&amp;v=5022184:5022674&amp;c=444444", "offset 52")</f>
        <v>offset 52</v>
      </c>
    </row>
    <row r="16246" customFormat="false" ht="12.8" hidden="false" customHeight="false" outlineLevel="0" collapsed="false">
      <c r="A16246" s="0" t="s">
        <v>12</v>
      </c>
      <c r="B16246" s="0" t="n">
        <v>5022454</v>
      </c>
      <c r="C16246" s="0" t="n">
        <v>5022474</v>
      </c>
      <c r="D16246" s="0" t="s">
        <v>53990</v>
      </c>
      <c r="E16246" s="0" t="s">
        <v>75</v>
      </c>
      <c r="F16246" s="0" t="s">
        <v>15</v>
      </c>
      <c r="G16246" s="0" t="s">
        <v>20</v>
      </c>
      <c r="H16246" s="0" t="n">
        <v>76</v>
      </c>
      <c r="I16246" s="0" t="s">
        <v>54000</v>
      </c>
      <c r="J16246" s="0" t="s">
        <v>54001</v>
      </c>
      <c r="K16246" s="0" t="s">
        <v>54002</v>
      </c>
      <c r="L16246" s="0" t="str">
        <f aca="false">HYPERLINK("https://www.ncbi.nlm.nih.gov/nuccore/CP000058.1?report=graph&amp;tracks=[key:gene_model_track,Options:GeneOnly]&amp;mk=5022385:5022404|offset_6|444444,5022406:5022425|offset_27|444444,5022431:5022450|offset_52|444444,5022455:5022474|offset_76|00cc00&amp;v=5022184:5022674&amp;c=444444", "offset 76")</f>
        <v>offset 76</v>
      </c>
    </row>
    <row r="16247" customFormat="false" ht="12.8" hidden="false" customHeight="false" outlineLevel="0" collapsed="false">
      <c r="A16247" s="0" t="s">
        <v>12</v>
      </c>
      <c r="B16247" s="0" t="n">
        <v>5024811</v>
      </c>
      <c r="C16247" s="0" t="n">
        <v>5024831</v>
      </c>
      <c r="D16247" s="0" t="s">
        <v>54003</v>
      </c>
      <c r="E16247" s="0" t="s">
        <v>54004</v>
      </c>
      <c r="F16247" s="0" t="s">
        <v>90</v>
      </c>
      <c r="G16247" s="0" t="s">
        <v>16</v>
      </c>
      <c r="H16247" s="0" t="n">
        <v>13</v>
      </c>
      <c r="I16247" s="0" t="s">
        <v>54005</v>
      </c>
      <c r="J16247" s="0" t="s">
        <v>54006</v>
      </c>
      <c r="K16247" s="0" t="s">
        <v>54007</v>
      </c>
      <c r="L16247" s="0" t="str">
        <f aca="false">HYPERLINK("https://www.ncbi.nlm.nih.gov/nuccore/CP000058.1?report=graph&amp;tracks=[key:gene_model_track,Options:GeneOnly]&amp;mk=5024812:5024831|offset_13|00cc00,5024779:5024798|offset_46|444444,5024709:5024728|offset_116|444444,5024678:5024697|offset_147|444444&amp;v=5024611:5024897&amp;c=444444", "offset 13")</f>
        <v>offset 13</v>
      </c>
    </row>
    <row r="16248" customFormat="false" ht="12.8" hidden="false" customHeight="false" outlineLevel="0" collapsed="false">
      <c r="A16248" s="0" t="s">
        <v>12</v>
      </c>
      <c r="B16248" s="0" t="n">
        <v>5024778</v>
      </c>
      <c r="C16248" s="0" t="n">
        <v>5024798</v>
      </c>
      <c r="D16248" s="0" t="s">
        <v>54003</v>
      </c>
      <c r="E16248" s="0" t="s">
        <v>54004</v>
      </c>
      <c r="F16248" s="0" t="s">
        <v>90</v>
      </c>
      <c r="G16248" s="0" t="s">
        <v>16</v>
      </c>
      <c r="H16248" s="0" t="n">
        <v>46</v>
      </c>
      <c r="I16248" s="0" t="s">
        <v>54008</v>
      </c>
      <c r="J16248" s="0" t="s">
        <v>54009</v>
      </c>
      <c r="K16248" s="0" t="s">
        <v>54010</v>
      </c>
      <c r="L16248" s="0" t="str">
        <f aca="false">HYPERLINK("https://www.ncbi.nlm.nih.gov/nuccore/CP000058.1?report=graph&amp;tracks=[key:gene_model_track,Options:GeneOnly]&amp;mk=5024812:5024831|offset_13|444444,5024779:5024798|offset_46|00cc00,5024709:5024728|offset_116|444444,5024678:5024697|offset_147|444444&amp;v=5024611:5024897&amp;c=444444", "offset 46")</f>
        <v>offset 46</v>
      </c>
    </row>
    <row r="16249" customFormat="false" ht="12.8" hidden="false" customHeight="false" outlineLevel="0" collapsed="false">
      <c r="A16249" s="0" t="s">
        <v>12</v>
      </c>
      <c r="B16249" s="0" t="n">
        <v>5024708</v>
      </c>
      <c r="C16249" s="0" t="n">
        <v>5024728</v>
      </c>
      <c r="D16249" s="0" t="s">
        <v>54003</v>
      </c>
      <c r="E16249" s="0" t="s">
        <v>54004</v>
      </c>
      <c r="F16249" s="0" t="s">
        <v>90</v>
      </c>
      <c r="G16249" s="0" t="s">
        <v>36</v>
      </c>
      <c r="H16249" s="0" t="n">
        <v>116</v>
      </c>
      <c r="I16249" s="0" t="s">
        <v>54011</v>
      </c>
      <c r="J16249" s="0" t="s">
        <v>54012</v>
      </c>
      <c r="K16249" s="0" t="s">
        <v>54013</v>
      </c>
      <c r="L16249" s="0" t="str">
        <f aca="false">HYPERLINK("https://www.ncbi.nlm.nih.gov/nuccore/CP000058.1?report=graph&amp;tracks=[key:gene_model_track,Options:GeneOnly]&amp;mk=5024812:5024831|offset_13|444444,5024779:5024798|offset_46|444444,5024709:5024728|offset_116|00cc00,5024678:5024697|offset_147|444444&amp;v=5024611:5024897&amp;c=444444", "offset 116")</f>
        <v>offset 116</v>
      </c>
    </row>
    <row r="16250" customFormat="false" ht="12.8" hidden="false" customHeight="false" outlineLevel="0" collapsed="false">
      <c r="A16250" s="0" t="s">
        <v>12</v>
      </c>
      <c r="B16250" s="0" t="n">
        <v>5024677</v>
      </c>
      <c r="C16250" s="0" t="n">
        <v>5024697</v>
      </c>
      <c r="D16250" s="0" t="s">
        <v>54003</v>
      </c>
      <c r="E16250" s="0" t="s">
        <v>54004</v>
      </c>
      <c r="F16250" s="0" t="s">
        <v>90</v>
      </c>
      <c r="G16250" s="0" t="s">
        <v>16</v>
      </c>
      <c r="H16250" s="0" t="n">
        <v>147</v>
      </c>
      <c r="I16250" s="0" t="s">
        <v>54014</v>
      </c>
      <c r="J16250" s="0" t="s">
        <v>54015</v>
      </c>
      <c r="K16250" s="0" t="s">
        <v>54016</v>
      </c>
      <c r="L16250" s="0" t="str">
        <f aca="false">HYPERLINK("https://www.ncbi.nlm.nih.gov/nuccore/CP000058.1?report=graph&amp;tracks=[key:gene_model_track,Options:GeneOnly]&amp;mk=5024812:5024831|offset_13|444444,5024779:5024798|offset_46|444444,5024709:5024728|offset_116|444444,5024678:5024697|offset_147|00cc00&amp;v=5024611:5024897&amp;c=444444", "offset 147")</f>
        <v>offset 147</v>
      </c>
    </row>
    <row r="16251" customFormat="false" ht="12.8" hidden="false" customHeight="false" outlineLevel="0" collapsed="false">
      <c r="A16251" s="0" t="s">
        <v>12</v>
      </c>
      <c r="B16251" s="0" t="n">
        <v>5025438</v>
      </c>
      <c r="C16251" s="0" t="n">
        <v>5025458</v>
      </c>
      <c r="D16251" s="0" t="s">
        <v>54017</v>
      </c>
      <c r="E16251" s="0" t="s">
        <v>54018</v>
      </c>
      <c r="F16251" s="0" t="s">
        <v>90</v>
      </c>
      <c r="G16251" s="0" t="s">
        <v>20</v>
      </c>
      <c r="H16251" s="0" t="n">
        <v>35</v>
      </c>
      <c r="I16251" s="0" t="s">
        <v>54019</v>
      </c>
      <c r="J16251" s="0" t="s">
        <v>54020</v>
      </c>
      <c r="K16251" s="0" t="s">
        <v>54021</v>
      </c>
      <c r="L16251" s="0" t="str">
        <f aca="false">HYPERLINK("https://www.ncbi.nlm.nih.gov/nuccore/CP000058.1?report=graph&amp;tracks=[key:gene_model_track,Options:GeneOnly]&amp;mk=5025439:5025458|offset_35|00cc00,5025419:5025438|offset_55|444444,5025395:5025414|offset_79|444444,5025371:5025390|offset_103|444444&amp;v=5025238:5025590&amp;c=444444", "offset 35")</f>
        <v>offset 35</v>
      </c>
    </row>
    <row r="16252" customFormat="false" ht="12.8" hidden="false" customHeight="false" outlineLevel="0" collapsed="false">
      <c r="A16252" s="0" t="s">
        <v>12</v>
      </c>
      <c r="B16252" s="0" t="n">
        <v>5025418</v>
      </c>
      <c r="C16252" s="0" t="n">
        <v>5025438</v>
      </c>
      <c r="D16252" s="0" t="s">
        <v>54017</v>
      </c>
      <c r="E16252" s="0" t="s">
        <v>54018</v>
      </c>
      <c r="F16252" s="0" t="s">
        <v>90</v>
      </c>
      <c r="G16252" s="0" t="s">
        <v>20</v>
      </c>
      <c r="H16252" s="0" t="n">
        <v>55</v>
      </c>
      <c r="I16252" s="0" t="s">
        <v>54022</v>
      </c>
      <c r="J16252" s="0" t="s">
        <v>54023</v>
      </c>
      <c r="K16252" s="0" t="s">
        <v>54024</v>
      </c>
      <c r="L16252" s="0" t="str">
        <f aca="false">HYPERLINK("https://www.ncbi.nlm.nih.gov/nuccore/CP000058.1?report=graph&amp;tracks=[key:gene_model_track,Options:GeneOnly]&amp;mk=5025439:5025458|offset_35|444444,5025419:5025438|offset_55|00cc00,5025395:5025414|offset_79|444444,5025371:5025390|offset_103|444444&amp;v=5025238:5025590&amp;c=444444", "offset 55")</f>
        <v>offset 55</v>
      </c>
    </row>
    <row r="16253" customFormat="false" ht="12.8" hidden="false" customHeight="false" outlineLevel="0" collapsed="false">
      <c r="A16253" s="0" t="s">
        <v>12</v>
      </c>
      <c r="B16253" s="0" t="n">
        <v>5025394</v>
      </c>
      <c r="C16253" s="0" t="n">
        <v>5025414</v>
      </c>
      <c r="D16253" s="0" t="s">
        <v>54017</v>
      </c>
      <c r="E16253" s="0" t="s">
        <v>54018</v>
      </c>
      <c r="F16253" s="0" t="s">
        <v>90</v>
      </c>
      <c r="G16253" s="0" t="s">
        <v>16</v>
      </c>
      <c r="H16253" s="0" t="n">
        <v>79</v>
      </c>
      <c r="I16253" s="0" t="s">
        <v>54025</v>
      </c>
      <c r="J16253" s="0" t="s">
        <v>54026</v>
      </c>
      <c r="K16253" s="0" t="s">
        <v>54027</v>
      </c>
      <c r="L16253" s="0" t="str">
        <f aca="false">HYPERLINK("https://www.ncbi.nlm.nih.gov/nuccore/CP000058.1?report=graph&amp;tracks=[key:gene_model_track,Options:GeneOnly]&amp;mk=5025439:5025458|offset_35|444444,5025419:5025438|offset_55|444444,5025395:5025414|offset_79|00cc00,5025371:5025390|offset_103|444444&amp;v=5025238:5025590&amp;c=444444", "offset 79")</f>
        <v>offset 79</v>
      </c>
    </row>
    <row r="16254" customFormat="false" ht="12.8" hidden="false" customHeight="false" outlineLevel="0" collapsed="false">
      <c r="A16254" s="0" t="s">
        <v>12</v>
      </c>
      <c r="B16254" s="0" t="n">
        <v>5025370</v>
      </c>
      <c r="C16254" s="0" t="n">
        <v>5025390</v>
      </c>
      <c r="D16254" s="0" t="s">
        <v>54017</v>
      </c>
      <c r="E16254" s="0" t="s">
        <v>54018</v>
      </c>
      <c r="F16254" s="0" t="s">
        <v>90</v>
      </c>
      <c r="G16254" s="0" t="s">
        <v>16</v>
      </c>
      <c r="H16254" s="0" t="n">
        <v>103</v>
      </c>
      <c r="I16254" s="0" t="s">
        <v>54028</v>
      </c>
      <c r="J16254" s="0" t="s">
        <v>54029</v>
      </c>
      <c r="K16254" s="0" t="s">
        <v>54030</v>
      </c>
      <c r="L16254" s="0" t="str">
        <f aca="false">HYPERLINK("https://www.ncbi.nlm.nih.gov/nuccore/CP000058.1?report=graph&amp;tracks=[key:gene_model_track,Options:GeneOnly]&amp;mk=5025439:5025458|offset_35|444444,5025419:5025438|offset_55|444444,5025395:5025414|offset_79|444444,5025371:5025390|offset_103|00cc00&amp;v=5025238:5025590&amp;c=444444", "offset 103")</f>
        <v>offset 103</v>
      </c>
    </row>
    <row r="16255" customFormat="false" ht="12.8" hidden="false" customHeight="false" outlineLevel="0" collapsed="false">
      <c r="A16255" s="0" t="s">
        <v>12</v>
      </c>
      <c r="B16255" s="0" t="n">
        <v>5025777</v>
      </c>
      <c r="C16255" s="0" t="n">
        <v>5025797</v>
      </c>
      <c r="D16255" s="0" t="s">
        <v>54031</v>
      </c>
      <c r="E16255" s="0" t="s">
        <v>75</v>
      </c>
      <c r="F16255" s="0" t="s">
        <v>90</v>
      </c>
      <c r="G16255" s="0" t="s">
        <v>16</v>
      </c>
      <c r="H16255" s="0" t="n">
        <v>7</v>
      </c>
      <c r="I16255" s="0" t="s">
        <v>54032</v>
      </c>
      <c r="J16255" s="0" t="s">
        <v>54033</v>
      </c>
      <c r="K16255" s="0" t="s">
        <v>54034</v>
      </c>
      <c r="L16255" s="0" t="str">
        <f aca="false">HYPERLINK("https://www.ncbi.nlm.nih.gov/nuccore/CP000058.1?report=graph&amp;tracks=[key:gene_model_track,Options:GeneOnly]&amp;mk=5025778:5025797|offset_7|00cc00,5025757:5025776|offset_28|444444,5025736:5025755|offset_49|444444,5025708:5025727|offset_77|444444&amp;v=5025577:5025927&amp;c=444444", "offset 7")</f>
        <v>offset 7</v>
      </c>
    </row>
    <row r="16256" customFormat="false" ht="12.8" hidden="false" customHeight="false" outlineLevel="0" collapsed="false">
      <c r="A16256" s="0" t="s">
        <v>12</v>
      </c>
      <c r="B16256" s="0" t="n">
        <v>5025756</v>
      </c>
      <c r="C16256" s="0" t="n">
        <v>5025776</v>
      </c>
      <c r="D16256" s="0" t="s">
        <v>54031</v>
      </c>
      <c r="E16256" s="0" t="s">
        <v>75</v>
      </c>
      <c r="F16256" s="0" t="s">
        <v>90</v>
      </c>
      <c r="G16256" s="0" t="s">
        <v>20</v>
      </c>
      <c r="H16256" s="0" t="n">
        <v>28</v>
      </c>
      <c r="I16256" s="0" t="s">
        <v>54035</v>
      </c>
      <c r="J16256" s="0" t="s">
        <v>54036</v>
      </c>
      <c r="K16256" s="0" t="s">
        <v>54037</v>
      </c>
      <c r="L16256" s="0" t="str">
        <f aca="false">HYPERLINK("https://www.ncbi.nlm.nih.gov/nuccore/CP000058.1?report=graph&amp;tracks=[key:gene_model_track,Options:GeneOnly]&amp;mk=5025778:5025797|offset_7|444444,5025757:5025776|offset_28|00cc00,5025736:5025755|offset_49|444444,5025708:5025727|offset_77|444444&amp;v=5025577:5025927&amp;c=444444", "offset 28")</f>
        <v>offset 28</v>
      </c>
    </row>
    <row r="16257" customFormat="false" ht="12.8" hidden="false" customHeight="false" outlineLevel="0" collapsed="false">
      <c r="A16257" s="0" t="s">
        <v>12</v>
      </c>
      <c r="B16257" s="0" t="n">
        <v>5025735</v>
      </c>
      <c r="C16257" s="0" t="n">
        <v>5025755</v>
      </c>
      <c r="D16257" s="0" t="s">
        <v>54031</v>
      </c>
      <c r="E16257" s="0" t="s">
        <v>75</v>
      </c>
      <c r="F16257" s="0" t="s">
        <v>90</v>
      </c>
      <c r="G16257" s="0" t="s">
        <v>16</v>
      </c>
      <c r="H16257" s="0" t="n">
        <v>49</v>
      </c>
      <c r="I16257" s="0" t="s">
        <v>54038</v>
      </c>
      <c r="J16257" s="0" t="s">
        <v>54039</v>
      </c>
      <c r="K16257" s="0" t="s">
        <v>54040</v>
      </c>
      <c r="L16257" s="0" t="str">
        <f aca="false">HYPERLINK("https://www.ncbi.nlm.nih.gov/nuccore/CP000058.1?report=graph&amp;tracks=[key:gene_model_track,Options:GeneOnly]&amp;mk=5025778:5025797|offset_7|444444,5025757:5025776|offset_28|444444,5025736:5025755|offset_49|00cc00,5025708:5025727|offset_77|444444&amp;v=5025577:5025927&amp;c=444444", "offset 49")</f>
        <v>offset 49</v>
      </c>
    </row>
    <row r="16258" customFormat="false" ht="12.8" hidden="false" customHeight="false" outlineLevel="0" collapsed="false">
      <c r="A16258" s="0" t="s">
        <v>12</v>
      </c>
      <c r="B16258" s="0" t="n">
        <v>5025707</v>
      </c>
      <c r="C16258" s="0" t="n">
        <v>5025727</v>
      </c>
      <c r="D16258" s="0" t="s">
        <v>54031</v>
      </c>
      <c r="E16258" s="0" t="s">
        <v>75</v>
      </c>
      <c r="F16258" s="0" t="s">
        <v>90</v>
      </c>
      <c r="G16258" s="0" t="s">
        <v>36</v>
      </c>
      <c r="H16258" s="0" t="n">
        <v>77</v>
      </c>
      <c r="I16258" s="0" t="s">
        <v>54041</v>
      </c>
      <c r="J16258" s="0" t="s">
        <v>54042</v>
      </c>
      <c r="K16258" s="0" t="s">
        <v>54043</v>
      </c>
      <c r="L16258" s="0" t="str">
        <f aca="false">HYPERLINK("https://www.ncbi.nlm.nih.gov/nuccore/CP000058.1?report=graph&amp;tracks=[key:gene_model_track,Options:GeneOnly]&amp;mk=5025778:5025797|offset_7|444444,5025757:5025776|offset_28|444444,5025736:5025755|offset_49|444444,5025708:5025727|offset_77|00cc00&amp;v=5025577:5025927&amp;c=444444", "offset 77")</f>
        <v>offset 77</v>
      </c>
    </row>
    <row r="16259" customFormat="false" ht="12.8" hidden="false" customHeight="false" outlineLevel="0" collapsed="false">
      <c r="A16259" s="0" t="s">
        <v>12</v>
      </c>
      <c r="B16259" s="0" t="n">
        <v>5026989</v>
      </c>
      <c r="C16259" s="0" t="n">
        <v>5027009</v>
      </c>
      <c r="D16259" s="0" t="s">
        <v>54044</v>
      </c>
      <c r="E16259" s="0" t="s">
        <v>75</v>
      </c>
      <c r="F16259" s="0" t="s">
        <v>90</v>
      </c>
      <c r="G16259" s="0" t="s">
        <v>32</v>
      </c>
      <c r="H16259" s="0" t="n">
        <v>40</v>
      </c>
      <c r="I16259" s="0" t="s">
        <v>54045</v>
      </c>
      <c r="J16259" s="0" t="s">
        <v>54046</v>
      </c>
      <c r="K16259" s="0" t="s">
        <v>54047</v>
      </c>
      <c r="L16259" s="0" t="str">
        <f aca="false">HYPERLINK("https://www.ncbi.nlm.nih.gov/nuccore/CP000058.1?report=graph&amp;tracks=[key:gene_model_track,Options:GeneOnly]&amp;mk=5026990:5027009|offset_40|00cc00,5026968:5026987|offset_62|444444,5026945:5026964|offset_85|444444,5026913:5026932|offset_117|444444&amp;v=5026789:5027132&amp;c=444444", "offset 40")</f>
        <v>offset 40</v>
      </c>
    </row>
    <row r="16260" customFormat="false" ht="12.8" hidden="false" customHeight="false" outlineLevel="0" collapsed="false">
      <c r="A16260" s="0" t="s">
        <v>12</v>
      </c>
      <c r="B16260" s="0" t="n">
        <v>5026967</v>
      </c>
      <c r="C16260" s="0" t="n">
        <v>5026987</v>
      </c>
      <c r="D16260" s="0" t="s">
        <v>54044</v>
      </c>
      <c r="E16260" s="0" t="s">
        <v>75</v>
      </c>
      <c r="F16260" s="0" t="s">
        <v>90</v>
      </c>
      <c r="G16260" s="0" t="s">
        <v>20</v>
      </c>
      <c r="H16260" s="0" t="n">
        <v>62</v>
      </c>
      <c r="I16260" s="0" t="s">
        <v>54048</v>
      </c>
      <c r="J16260" s="0" t="s">
        <v>54049</v>
      </c>
      <c r="K16260" s="0" t="s">
        <v>54050</v>
      </c>
      <c r="L16260" s="0" t="str">
        <f aca="false">HYPERLINK("https://www.ncbi.nlm.nih.gov/nuccore/CP000058.1?report=graph&amp;tracks=[key:gene_model_track,Options:GeneOnly]&amp;mk=5026990:5027009|offset_40|444444,5026968:5026987|offset_62|00cc00,5026945:5026964|offset_85|444444,5026913:5026932|offset_117|444444&amp;v=5026789:5027132&amp;c=444444", "offset 62")</f>
        <v>offset 62</v>
      </c>
    </row>
    <row r="16261" customFormat="false" ht="12.8" hidden="false" customHeight="false" outlineLevel="0" collapsed="false">
      <c r="A16261" s="0" t="s">
        <v>12</v>
      </c>
      <c r="B16261" s="0" t="n">
        <v>5026944</v>
      </c>
      <c r="C16261" s="0" t="n">
        <v>5026964</v>
      </c>
      <c r="D16261" s="0" t="s">
        <v>54044</v>
      </c>
      <c r="E16261" s="0" t="s">
        <v>75</v>
      </c>
      <c r="F16261" s="0" t="s">
        <v>90</v>
      </c>
      <c r="G16261" s="0" t="s">
        <v>36</v>
      </c>
      <c r="H16261" s="0" t="n">
        <v>85</v>
      </c>
      <c r="I16261" s="0" t="s">
        <v>54051</v>
      </c>
      <c r="J16261" s="0" t="s">
        <v>54052</v>
      </c>
      <c r="K16261" s="0" t="s">
        <v>54053</v>
      </c>
      <c r="L16261" s="0" t="str">
        <f aca="false">HYPERLINK("https://www.ncbi.nlm.nih.gov/nuccore/CP000058.1?report=graph&amp;tracks=[key:gene_model_track,Options:GeneOnly]&amp;mk=5026990:5027009|offset_40|444444,5026968:5026987|offset_62|444444,5026945:5026964|offset_85|00cc00,5026913:5026932|offset_117|444444&amp;v=5026789:5027132&amp;c=444444", "offset 85")</f>
        <v>offset 85</v>
      </c>
    </row>
    <row r="16262" customFormat="false" ht="12.8" hidden="false" customHeight="false" outlineLevel="0" collapsed="false">
      <c r="A16262" s="0" t="s">
        <v>12</v>
      </c>
      <c r="B16262" s="0" t="n">
        <v>5026912</v>
      </c>
      <c r="C16262" s="0" t="n">
        <v>5026932</v>
      </c>
      <c r="D16262" s="0" t="s">
        <v>54044</v>
      </c>
      <c r="E16262" s="0" t="s">
        <v>75</v>
      </c>
      <c r="F16262" s="0" t="s">
        <v>90</v>
      </c>
      <c r="G16262" s="0" t="s">
        <v>20</v>
      </c>
      <c r="H16262" s="0" t="n">
        <v>117</v>
      </c>
      <c r="I16262" s="0" t="s">
        <v>54054</v>
      </c>
      <c r="J16262" s="0" t="s">
        <v>54055</v>
      </c>
      <c r="K16262" s="0" t="s">
        <v>54056</v>
      </c>
      <c r="L16262" s="0" t="str">
        <f aca="false">HYPERLINK("https://www.ncbi.nlm.nih.gov/nuccore/CP000058.1?report=graph&amp;tracks=[key:gene_model_track,Options:GeneOnly]&amp;mk=5026990:5027009|offset_40|444444,5026968:5026987|offset_62|444444,5026945:5026964|offset_85|444444,5026913:5026932|offset_117|00cc00&amp;v=5026789:5027132&amp;c=444444", "offset 117")</f>
        <v>offset 117</v>
      </c>
    </row>
    <row r="16263" customFormat="false" ht="12.8" hidden="false" customHeight="false" outlineLevel="0" collapsed="false">
      <c r="A16263" s="0" t="s">
        <v>12</v>
      </c>
      <c r="B16263" s="0" t="n">
        <v>5027174</v>
      </c>
      <c r="C16263" s="0" t="n">
        <v>5027194</v>
      </c>
      <c r="D16263" s="0" t="s">
        <v>54057</v>
      </c>
      <c r="E16263" s="0" t="s">
        <v>75</v>
      </c>
      <c r="F16263" s="0" t="s">
        <v>90</v>
      </c>
      <c r="G16263" s="0" t="s">
        <v>32</v>
      </c>
      <c r="H16263" s="0" t="n">
        <v>6</v>
      </c>
      <c r="I16263" s="0" t="s">
        <v>54058</v>
      </c>
      <c r="J16263" s="0" t="s">
        <v>54059</v>
      </c>
      <c r="K16263" s="0" t="s">
        <v>54060</v>
      </c>
      <c r="L16263" s="0" t="str">
        <f aca="false">HYPERLINK("https://www.ncbi.nlm.nih.gov/nuccore/CP000058.1?report=graph&amp;tracks=[key:gene_model_track,Options:GeneOnly]&amp;mk=5027175:5027194|offset_6|00cc00,5027147:5027166|offset_34|444444,5027110:5027129|offset_71|444444,5027084:5027103|offset_97|444444&amp;v=5026974:5027303&amp;c=444444", "offset 6")</f>
        <v>offset 6</v>
      </c>
    </row>
    <row r="16264" customFormat="false" ht="12.8" hidden="false" customHeight="false" outlineLevel="0" collapsed="false">
      <c r="A16264" s="0" t="s">
        <v>12</v>
      </c>
      <c r="B16264" s="0" t="n">
        <v>5027146</v>
      </c>
      <c r="C16264" s="0" t="n">
        <v>5027166</v>
      </c>
      <c r="D16264" s="0" t="s">
        <v>54057</v>
      </c>
      <c r="E16264" s="0" t="s">
        <v>75</v>
      </c>
      <c r="F16264" s="0" t="s">
        <v>90</v>
      </c>
      <c r="G16264" s="0" t="s">
        <v>36</v>
      </c>
      <c r="H16264" s="0" t="n">
        <v>34</v>
      </c>
      <c r="I16264" s="0" t="s">
        <v>54061</v>
      </c>
      <c r="J16264" s="0" t="s">
        <v>54062</v>
      </c>
      <c r="K16264" s="0" t="s">
        <v>54063</v>
      </c>
      <c r="L16264" s="0" t="str">
        <f aca="false">HYPERLINK("https://www.ncbi.nlm.nih.gov/nuccore/CP000058.1?report=graph&amp;tracks=[key:gene_model_track,Options:GeneOnly]&amp;mk=5027175:5027194|offset_6|444444,5027147:5027166|offset_34|00cc00,5027110:5027129|offset_71|444444,5027084:5027103|offset_97|444444&amp;v=5026974:5027303&amp;c=444444", "offset 34")</f>
        <v>offset 34</v>
      </c>
    </row>
    <row r="16265" customFormat="false" ht="12.8" hidden="false" customHeight="false" outlineLevel="0" collapsed="false">
      <c r="A16265" s="0" t="s">
        <v>12</v>
      </c>
      <c r="B16265" s="0" t="n">
        <v>5027109</v>
      </c>
      <c r="C16265" s="0" t="n">
        <v>5027129</v>
      </c>
      <c r="D16265" s="0" t="s">
        <v>54057</v>
      </c>
      <c r="E16265" s="0" t="s">
        <v>75</v>
      </c>
      <c r="F16265" s="0" t="s">
        <v>90</v>
      </c>
      <c r="G16265" s="0" t="s">
        <v>32</v>
      </c>
      <c r="H16265" s="0" t="n">
        <v>71</v>
      </c>
      <c r="I16265" s="0" t="s">
        <v>54064</v>
      </c>
      <c r="J16265" s="0" t="s">
        <v>54065</v>
      </c>
      <c r="K16265" s="0" t="s">
        <v>54066</v>
      </c>
      <c r="L16265" s="0" t="str">
        <f aca="false">HYPERLINK("https://www.ncbi.nlm.nih.gov/nuccore/CP000058.1?report=graph&amp;tracks=[key:gene_model_track,Options:GeneOnly]&amp;mk=5027175:5027194|offset_6|444444,5027147:5027166|offset_34|444444,5027110:5027129|offset_71|00cc00,5027084:5027103|offset_97|444444&amp;v=5026974:5027303&amp;c=444444", "offset 71")</f>
        <v>offset 71</v>
      </c>
    </row>
    <row r="16266" customFormat="false" ht="12.8" hidden="false" customHeight="false" outlineLevel="0" collapsed="false">
      <c r="A16266" s="0" t="s">
        <v>12</v>
      </c>
      <c r="B16266" s="0" t="n">
        <v>5027083</v>
      </c>
      <c r="C16266" s="0" t="n">
        <v>5027103</v>
      </c>
      <c r="D16266" s="0" t="s">
        <v>54057</v>
      </c>
      <c r="E16266" s="0" t="s">
        <v>75</v>
      </c>
      <c r="F16266" s="0" t="s">
        <v>90</v>
      </c>
      <c r="G16266" s="0" t="s">
        <v>16</v>
      </c>
      <c r="H16266" s="0" t="n">
        <v>97</v>
      </c>
      <c r="I16266" s="0" t="s">
        <v>54067</v>
      </c>
      <c r="J16266" s="0" t="s">
        <v>54068</v>
      </c>
      <c r="K16266" s="0" t="s">
        <v>54069</v>
      </c>
      <c r="L16266" s="0" t="str">
        <f aca="false">HYPERLINK("https://www.ncbi.nlm.nih.gov/nuccore/CP000058.1?report=graph&amp;tracks=[key:gene_model_track,Options:GeneOnly]&amp;mk=5027175:5027194|offset_6|444444,5027147:5027166|offset_34|444444,5027110:5027129|offset_71|444444,5027084:5027103|offset_97|00cc00&amp;v=5026974:5027303&amp;c=444444", "offset 97")</f>
        <v>offset 97</v>
      </c>
    </row>
    <row r="16267" customFormat="false" ht="12.8" hidden="false" customHeight="false" outlineLevel="0" collapsed="false">
      <c r="A16267" s="0" t="s">
        <v>12</v>
      </c>
      <c r="B16267" s="0" t="n">
        <v>5028257</v>
      </c>
      <c r="C16267" s="0" t="n">
        <v>5028277</v>
      </c>
      <c r="D16267" s="0" t="s">
        <v>54070</v>
      </c>
      <c r="E16267" s="0" t="s">
        <v>75</v>
      </c>
      <c r="F16267" s="0" t="s">
        <v>90</v>
      </c>
      <c r="G16267" s="0" t="s">
        <v>16</v>
      </c>
      <c r="H16267" s="0" t="n">
        <v>15</v>
      </c>
      <c r="I16267" s="0" t="s">
        <v>54071</v>
      </c>
      <c r="J16267" s="0" t="s">
        <v>54072</v>
      </c>
      <c r="K16267" s="0" t="s">
        <v>54073</v>
      </c>
      <c r="L16267" s="0" t="str">
        <f aca="false">HYPERLINK("https://www.ncbi.nlm.nih.gov/nuccore/CP000058.1?report=graph&amp;tracks=[key:gene_model_track,Options:GeneOnly]&amp;mk=5028258:5028277|offset_15|00cc00,5028224:5028243|offset_49|444444,5028203:5028222|offset_70|444444,5028176:5028195|offset_97|444444&amp;v=5028057:5028395&amp;c=444444", "offset 15")</f>
        <v>offset 15</v>
      </c>
    </row>
    <row r="16268" customFormat="false" ht="12.8" hidden="false" customHeight="false" outlineLevel="0" collapsed="false">
      <c r="A16268" s="0" t="s">
        <v>12</v>
      </c>
      <c r="B16268" s="0" t="n">
        <v>5028223</v>
      </c>
      <c r="C16268" s="0" t="n">
        <v>5028243</v>
      </c>
      <c r="D16268" s="0" t="s">
        <v>54070</v>
      </c>
      <c r="E16268" s="0" t="s">
        <v>75</v>
      </c>
      <c r="F16268" s="0" t="s">
        <v>90</v>
      </c>
      <c r="G16268" s="0" t="s">
        <v>16</v>
      </c>
      <c r="H16268" s="0" t="n">
        <v>49</v>
      </c>
      <c r="I16268" s="0" t="s">
        <v>54074</v>
      </c>
      <c r="J16268" s="0" t="s">
        <v>54075</v>
      </c>
      <c r="K16268" s="0" t="s">
        <v>54076</v>
      </c>
      <c r="L16268" s="0" t="str">
        <f aca="false">HYPERLINK("https://www.ncbi.nlm.nih.gov/nuccore/CP000058.1?report=graph&amp;tracks=[key:gene_model_track,Options:GeneOnly]&amp;mk=5028258:5028277|offset_15|444444,5028224:5028243|offset_49|00cc00,5028203:5028222|offset_70|444444,5028176:5028195|offset_97|444444&amp;v=5028057:5028395&amp;c=444444", "offset 49")</f>
        <v>offset 49</v>
      </c>
    </row>
    <row r="16269" customFormat="false" ht="12.8" hidden="false" customHeight="false" outlineLevel="0" collapsed="false">
      <c r="A16269" s="0" t="s">
        <v>12</v>
      </c>
      <c r="B16269" s="0" t="n">
        <v>5028202</v>
      </c>
      <c r="C16269" s="0" t="n">
        <v>5028222</v>
      </c>
      <c r="D16269" s="0" t="s">
        <v>54070</v>
      </c>
      <c r="E16269" s="0" t="s">
        <v>75</v>
      </c>
      <c r="F16269" s="0" t="s">
        <v>90</v>
      </c>
      <c r="G16269" s="0" t="s">
        <v>32</v>
      </c>
      <c r="H16269" s="0" t="n">
        <v>70</v>
      </c>
      <c r="I16269" s="0" t="s">
        <v>54077</v>
      </c>
      <c r="J16269" s="0" t="s">
        <v>54078</v>
      </c>
      <c r="K16269" s="0" t="s">
        <v>54079</v>
      </c>
      <c r="L16269" s="0" t="str">
        <f aca="false">HYPERLINK("https://www.ncbi.nlm.nih.gov/nuccore/CP000058.1?report=graph&amp;tracks=[key:gene_model_track,Options:GeneOnly]&amp;mk=5028258:5028277|offset_15|444444,5028224:5028243|offset_49|444444,5028203:5028222|offset_70|00cc00,5028176:5028195|offset_97|444444&amp;v=5028057:5028395&amp;c=444444", "offset 70")</f>
        <v>offset 70</v>
      </c>
    </row>
    <row r="16270" customFormat="false" ht="12.8" hidden="false" customHeight="false" outlineLevel="0" collapsed="false">
      <c r="A16270" s="0" t="s">
        <v>12</v>
      </c>
      <c r="B16270" s="0" t="n">
        <v>5028175</v>
      </c>
      <c r="C16270" s="0" t="n">
        <v>5028195</v>
      </c>
      <c r="D16270" s="0" t="s">
        <v>54070</v>
      </c>
      <c r="E16270" s="0" t="s">
        <v>75</v>
      </c>
      <c r="F16270" s="0" t="s">
        <v>90</v>
      </c>
      <c r="G16270" s="0" t="s">
        <v>20</v>
      </c>
      <c r="H16270" s="0" t="n">
        <v>97</v>
      </c>
      <c r="I16270" s="0" t="s">
        <v>54080</v>
      </c>
      <c r="J16270" s="0" t="s">
        <v>54081</v>
      </c>
      <c r="K16270" s="0" t="s">
        <v>54082</v>
      </c>
      <c r="L16270" s="0" t="str">
        <f aca="false">HYPERLINK("https://www.ncbi.nlm.nih.gov/nuccore/CP000058.1?report=graph&amp;tracks=[key:gene_model_track,Options:GeneOnly]&amp;mk=5028258:5028277|offset_15|444444,5028224:5028243|offset_49|444444,5028203:5028222|offset_70|444444,5028176:5028195|offset_97|00cc00&amp;v=5028057:5028395&amp;c=444444", "offset 97")</f>
        <v>offset 97</v>
      </c>
    </row>
    <row r="16271" customFormat="false" ht="12.8" hidden="false" customHeight="false" outlineLevel="0" collapsed="false">
      <c r="A16271" s="0" t="s">
        <v>12</v>
      </c>
      <c r="B16271" s="0" t="n">
        <v>5029220</v>
      </c>
      <c r="C16271" s="0" t="n">
        <v>5029240</v>
      </c>
      <c r="D16271" s="0" t="s">
        <v>54083</v>
      </c>
      <c r="E16271" s="0" t="s">
        <v>54084</v>
      </c>
      <c r="F16271" s="0" t="s">
        <v>90</v>
      </c>
      <c r="G16271" s="0" t="s">
        <v>20</v>
      </c>
      <c r="H16271" s="0" t="n">
        <v>59</v>
      </c>
      <c r="I16271" s="0" t="s">
        <v>54085</v>
      </c>
      <c r="J16271" s="0" t="s">
        <v>54086</v>
      </c>
      <c r="K16271" s="0" t="s">
        <v>54087</v>
      </c>
      <c r="L16271" s="0" t="str">
        <f aca="false">HYPERLINK("https://www.ncbi.nlm.nih.gov/nuccore/CP000058.1?report=graph&amp;tracks=[key:gene_model_track,Options:GeneOnly]&amp;mk=5029221:5029240|offset_59|00cc00,5029195:5029214|offset_85|444444,5029175:5029194|offset_105|444444,5029144:5029163|offset_136|444444&amp;v=5029020:5029363&amp;c=444444", "offset 59")</f>
        <v>offset 59</v>
      </c>
    </row>
    <row r="16272" customFormat="false" ht="12.8" hidden="false" customHeight="false" outlineLevel="0" collapsed="false">
      <c r="A16272" s="0" t="s">
        <v>12</v>
      </c>
      <c r="B16272" s="0" t="n">
        <v>5029194</v>
      </c>
      <c r="C16272" s="0" t="n">
        <v>5029214</v>
      </c>
      <c r="D16272" s="0" t="s">
        <v>54083</v>
      </c>
      <c r="E16272" s="0" t="s">
        <v>54084</v>
      </c>
      <c r="F16272" s="0" t="s">
        <v>90</v>
      </c>
      <c r="G16272" s="0" t="s">
        <v>16</v>
      </c>
      <c r="H16272" s="0" t="n">
        <v>85</v>
      </c>
      <c r="I16272" s="0" t="s">
        <v>54088</v>
      </c>
      <c r="J16272" s="0" t="s">
        <v>54089</v>
      </c>
      <c r="K16272" s="0" t="s">
        <v>54090</v>
      </c>
      <c r="L16272" s="0" t="str">
        <f aca="false">HYPERLINK("https://www.ncbi.nlm.nih.gov/nuccore/CP000058.1?report=graph&amp;tracks=[key:gene_model_track,Options:GeneOnly]&amp;mk=5029221:5029240|offset_59|444444,5029195:5029214|offset_85|00cc00,5029175:5029194|offset_105|444444,5029144:5029163|offset_136|444444&amp;v=5029020:5029363&amp;c=444444", "offset 85")</f>
        <v>offset 85</v>
      </c>
    </row>
    <row r="16273" customFormat="false" ht="12.8" hidden="false" customHeight="false" outlineLevel="0" collapsed="false">
      <c r="A16273" s="0" t="s">
        <v>12</v>
      </c>
      <c r="B16273" s="0" t="n">
        <v>5029174</v>
      </c>
      <c r="C16273" s="0" t="n">
        <v>5029194</v>
      </c>
      <c r="D16273" s="0" t="s">
        <v>54083</v>
      </c>
      <c r="E16273" s="0" t="s">
        <v>54084</v>
      </c>
      <c r="F16273" s="0" t="s">
        <v>90</v>
      </c>
      <c r="G16273" s="0" t="s">
        <v>36</v>
      </c>
      <c r="H16273" s="0" t="n">
        <v>105</v>
      </c>
      <c r="I16273" s="0" t="s">
        <v>54091</v>
      </c>
      <c r="J16273" s="0" t="s">
        <v>54092</v>
      </c>
      <c r="K16273" s="0" t="s">
        <v>54093</v>
      </c>
      <c r="L16273" s="0" t="str">
        <f aca="false">HYPERLINK("https://www.ncbi.nlm.nih.gov/nuccore/CP000058.1?report=graph&amp;tracks=[key:gene_model_track,Options:GeneOnly]&amp;mk=5029221:5029240|offset_59|444444,5029195:5029214|offset_85|444444,5029175:5029194|offset_105|00cc00,5029144:5029163|offset_136|444444&amp;v=5029020:5029363&amp;c=444444", "offset 105")</f>
        <v>offset 105</v>
      </c>
    </row>
    <row r="16274" customFormat="false" ht="12.8" hidden="false" customHeight="false" outlineLevel="0" collapsed="false">
      <c r="A16274" s="0" t="s">
        <v>12</v>
      </c>
      <c r="B16274" s="0" t="n">
        <v>5029143</v>
      </c>
      <c r="C16274" s="0" t="n">
        <v>5029163</v>
      </c>
      <c r="D16274" s="0" t="s">
        <v>54083</v>
      </c>
      <c r="E16274" s="0" t="s">
        <v>54084</v>
      </c>
      <c r="F16274" s="0" t="s">
        <v>90</v>
      </c>
      <c r="G16274" s="0" t="s">
        <v>36</v>
      </c>
      <c r="H16274" s="0" t="n">
        <v>136</v>
      </c>
      <c r="I16274" s="0" t="s">
        <v>54094</v>
      </c>
      <c r="J16274" s="0" t="s">
        <v>54095</v>
      </c>
      <c r="K16274" s="0" t="s">
        <v>54096</v>
      </c>
      <c r="L16274" s="0" t="str">
        <f aca="false">HYPERLINK("https://www.ncbi.nlm.nih.gov/nuccore/CP000058.1?report=graph&amp;tracks=[key:gene_model_track,Options:GeneOnly]&amp;mk=5029221:5029240|offset_59|444444,5029195:5029214|offset_85|444444,5029175:5029194|offset_105|444444,5029144:5029163|offset_136|00cc00&amp;v=5029020:5029363&amp;c=444444", "offset 136")</f>
        <v>offset 136</v>
      </c>
    </row>
    <row r="16275" customFormat="false" ht="12.8" hidden="false" customHeight="false" outlineLevel="0" collapsed="false">
      <c r="A16275" s="0" t="s">
        <v>12</v>
      </c>
      <c r="B16275" s="0" t="n">
        <v>5030389</v>
      </c>
      <c r="C16275" s="0" t="n">
        <v>5030409</v>
      </c>
      <c r="D16275" s="0" t="s">
        <v>54097</v>
      </c>
      <c r="E16275" s="0" t="s">
        <v>54098</v>
      </c>
      <c r="F16275" s="0" t="s">
        <v>90</v>
      </c>
      <c r="G16275" s="0" t="s">
        <v>16</v>
      </c>
      <c r="H16275" s="0" t="n">
        <v>11</v>
      </c>
      <c r="I16275" s="0" t="s">
        <v>54099</v>
      </c>
      <c r="J16275" s="0" t="s">
        <v>54100</v>
      </c>
      <c r="K16275" s="0" t="s">
        <v>54101</v>
      </c>
      <c r="L16275" s="0" t="str">
        <f aca="false">HYPERLINK("https://www.ncbi.nlm.nih.gov/nuccore/CP000058.1?report=graph&amp;tracks=[key:gene_model_track,Options:GeneOnly]&amp;mk=5030390:5030409|offset_11|00cc00,5030354:5030373|offset_47|444444,5030331:5030350|offset_70|444444,5030306:5030325|offset_95|444444&amp;v=5030189:5030525&amp;c=444444", "offset 11")</f>
        <v>offset 11</v>
      </c>
    </row>
    <row r="16276" customFormat="false" ht="12.8" hidden="false" customHeight="false" outlineLevel="0" collapsed="false">
      <c r="A16276" s="0" t="s">
        <v>12</v>
      </c>
      <c r="B16276" s="0" t="n">
        <v>5030353</v>
      </c>
      <c r="C16276" s="0" t="n">
        <v>5030373</v>
      </c>
      <c r="D16276" s="0" t="s">
        <v>54097</v>
      </c>
      <c r="E16276" s="0" t="s">
        <v>54098</v>
      </c>
      <c r="F16276" s="0" t="s">
        <v>90</v>
      </c>
      <c r="G16276" s="0" t="s">
        <v>36</v>
      </c>
      <c r="H16276" s="0" t="n">
        <v>47</v>
      </c>
      <c r="I16276" s="0" t="s">
        <v>54102</v>
      </c>
      <c r="J16276" s="0" t="s">
        <v>54103</v>
      </c>
      <c r="K16276" s="0" t="s">
        <v>54104</v>
      </c>
      <c r="L16276" s="0" t="str">
        <f aca="false">HYPERLINK("https://www.ncbi.nlm.nih.gov/nuccore/CP000058.1?report=graph&amp;tracks=[key:gene_model_track,Options:GeneOnly]&amp;mk=5030390:5030409|offset_11|444444,5030354:5030373|offset_47|00cc00,5030331:5030350|offset_70|444444,5030306:5030325|offset_95|444444&amp;v=5030189:5030525&amp;c=444444", "offset 47")</f>
        <v>offset 47</v>
      </c>
    </row>
    <row r="16277" customFormat="false" ht="12.8" hidden="false" customHeight="false" outlineLevel="0" collapsed="false">
      <c r="A16277" s="0" t="s">
        <v>12</v>
      </c>
      <c r="B16277" s="0" t="n">
        <v>5030330</v>
      </c>
      <c r="C16277" s="0" t="n">
        <v>5030350</v>
      </c>
      <c r="D16277" s="0" t="s">
        <v>54097</v>
      </c>
      <c r="E16277" s="0" t="s">
        <v>54098</v>
      </c>
      <c r="F16277" s="0" t="s">
        <v>90</v>
      </c>
      <c r="G16277" s="0" t="s">
        <v>36</v>
      </c>
      <c r="H16277" s="0" t="n">
        <v>70</v>
      </c>
      <c r="I16277" s="0" t="s">
        <v>54105</v>
      </c>
      <c r="J16277" s="0" t="s">
        <v>54106</v>
      </c>
      <c r="K16277" s="0" t="s">
        <v>54107</v>
      </c>
      <c r="L16277" s="0" t="str">
        <f aca="false">HYPERLINK("https://www.ncbi.nlm.nih.gov/nuccore/CP000058.1?report=graph&amp;tracks=[key:gene_model_track,Options:GeneOnly]&amp;mk=5030390:5030409|offset_11|444444,5030354:5030373|offset_47|444444,5030331:5030350|offset_70|00cc00,5030306:5030325|offset_95|444444&amp;v=5030189:5030525&amp;c=444444", "offset 70")</f>
        <v>offset 70</v>
      </c>
    </row>
    <row r="16278" customFormat="false" ht="12.8" hidden="false" customHeight="false" outlineLevel="0" collapsed="false">
      <c r="A16278" s="0" t="s">
        <v>12</v>
      </c>
      <c r="B16278" s="0" t="n">
        <v>5030305</v>
      </c>
      <c r="C16278" s="0" t="n">
        <v>5030325</v>
      </c>
      <c r="D16278" s="0" t="s">
        <v>54097</v>
      </c>
      <c r="E16278" s="0" t="s">
        <v>54098</v>
      </c>
      <c r="F16278" s="0" t="s">
        <v>90</v>
      </c>
      <c r="G16278" s="0" t="s">
        <v>20</v>
      </c>
      <c r="H16278" s="0" t="n">
        <v>95</v>
      </c>
      <c r="I16278" s="0" t="s">
        <v>54108</v>
      </c>
      <c r="J16278" s="0" t="s">
        <v>54109</v>
      </c>
      <c r="K16278" s="0" t="s">
        <v>54110</v>
      </c>
      <c r="L16278" s="0" t="str">
        <f aca="false">HYPERLINK("https://www.ncbi.nlm.nih.gov/nuccore/CP000058.1?report=graph&amp;tracks=[key:gene_model_track,Options:GeneOnly]&amp;mk=5030390:5030409|offset_11|444444,5030354:5030373|offset_47|444444,5030331:5030350|offset_70|444444,5030306:5030325|offset_95|00cc00&amp;v=5030189:5030525&amp;c=444444", "offset 95")</f>
        <v>offset 95</v>
      </c>
    </row>
    <row r="16279" customFormat="false" ht="12.8" hidden="false" customHeight="false" outlineLevel="0" collapsed="false">
      <c r="A16279" s="0" t="s">
        <v>12</v>
      </c>
      <c r="B16279" s="0" t="n">
        <v>5032315</v>
      </c>
      <c r="C16279" s="0" t="n">
        <v>5032335</v>
      </c>
      <c r="D16279" s="0" t="s">
        <v>54111</v>
      </c>
      <c r="E16279" s="0" t="s">
        <v>54112</v>
      </c>
      <c r="F16279" s="0" t="s">
        <v>90</v>
      </c>
      <c r="G16279" s="0" t="s">
        <v>16</v>
      </c>
      <c r="H16279" s="0" t="n">
        <v>12</v>
      </c>
      <c r="I16279" s="0" t="s">
        <v>54113</v>
      </c>
      <c r="J16279" s="0" t="s">
        <v>54114</v>
      </c>
      <c r="K16279" s="0" t="s">
        <v>54115</v>
      </c>
      <c r="L16279" s="0" t="str">
        <f aca="false">HYPERLINK("https://www.ncbi.nlm.nih.gov/nuccore/CP000058.1?report=graph&amp;tracks=[key:gene_model_track,Options:GeneOnly]&amp;mk=5032316:5032335|offset_12|00cc00,5032281:5032300|offset_47|444444,5032252:5032271|offset_76|444444,5032216:5032235|offset_112|444444&amp;v=5032115:5032435&amp;c=444444", "offset 12")</f>
        <v>offset 12</v>
      </c>
    </row>
    <row r="16280" customFormat="false" ht="12.8" hidden="false" customHeight="false" outlineLevel="0" collapsed="false">
      <c r="A16280" s="0" t="s">
        <v>12</v>
      </c>
      <c r="B16280" s="0" t="n">
        <v>5032280</v>
      </c>
      <c r="C16280" s="0" t="n">
        <v>5032300</v>
      </c>
      <c r="D16280" s="0" t="s">
        <v>54111</v>
      </c>
      <c r="E16280" s="0" t="s">
        <v>54112</v>
      </c>
      <c r="F16280" s="0" t="s">
        <v>90</v>
      </c>
      <c r="G16280" s="0" t="s">
        <v>20</v>
      </c>
      <c r="H16280" s="0" t="n">
        <v>47</v>
      </c>
      <c r="I16280" s="0" t="s">
        <v>54116</v>
      </c>
      <c r="J16280" s="0" t="s">
        <v>54117</v>
      </c>
      <c r="K16280" s="0" t="s">
        <v>54118</v>
      </c>
      <c r="L16280" s="0" t="str">
        <f aca="false">HYPERLINK("https://www.ncbi.nlm.nih.gov/nuccore/CP000058.1?report=graph&amp;tracks=[key:gene_model_track,Options:GeneOnly]&amp;mk=5032316:5032335|offset_12|444444,5032281:5032300|offset_47|00cc00,5032252:5032271|offset_76|444444,5032216:5032235|offset_112|444444&amp;v=5032115:5032435&amp;c=444444", "offset 47")</f>
        <v>offset 47</v>
      </c>
    </row>
    <row r="16281" customFormat="false" ht="12.8" hidden="false" customHeight="false" outlineLevel="0" collapsed="false">
      <c r="A16281" s="0" t="s">
        <v>12</v>
      </c>
      <c r="B16281" s="0" t="n">
        <v>5032251</v>
      </c>
      <c r="C16281" s="0" t="n">
        <v>5032271</v>
      </c>
      <c r="D16281" s="0" t="s">
        <v>54111</v>
      </c>
      <c r="E16281" s="0" t="s">
        <v>54112</v>
      </c>
      <c r="F16281" s="0" t="s">
        <v>90</v>
      </c>
      <c r="G16281" s="0" t="s">
        <v>16</v>
      </c>
      <c r="H16281" s="0" t="n">
        <v>76</v>
      </c>
      <c r="I16281" s="0" t="s">
        <v>54119</v>
      </c>
      <c r="J16281" s="0" t="s">
        <v>54120</v>
      </c>
      <c r="K16281" s="0" t="s">
        <v>54121</v>
      </c>
      <c r="L16281" s="0" t="str">
        <f aca="false">HYPERLINK("https://www.ncbi.nlm.nih.gov/nuccore/CP000058.1?report=graph&amp;tracks=[key:gene_model_track,Options:GeneOnly]&amp;mk=5032316:5032335|offset_12|444444,5032281:5032300|offset_47|444444,5032252:5032271|offset_76|00cc00,5032216:5032235|offset_112|444444&amp;v=5032115:5032435&amp;c=444444", "offset 76")</f>
        <v>offset 76</v>
      </c>
    </row>
    <row r="16282" customFormat="false" ht="12.8" hidden="false" customHeight="false" outlineLevel="0" collapsed="false">
      <c r="A16282" s="0" t="s">
        <v>12</v>
      </c>
      <c r="B16282" s="0" t="n">
        <v>5032215</v>
      </c>
      <c r="C16282" s="0" t="n">
        <v>5032235</v>
      </c>
      <c r="D16282" s="0" t="s">
        <v>54111</v>
      </c>
      <c r="E16282" s="0" t="s">
        <v>54112</v>
      </c>
      <c r="F16282" s="0" t="s">
        <v>90</v>
      </c>
      <c r="G16282" s="0" t="s">
        <v>36</v>
      </c>
      <c r="H16282" s="0" t="n">
        <v>112</v>
      </c>
      <c r="I16282" s="0" t="s">
        <v>54122</v>
      </c>
      <c r="J16282" s="0" t="s">
        <v>54123</v>
      </c>
      <c r="K16282" s="0" t="s">
        <v>54124</v>
      </c>
      <c r="L16282" s="0" t="str">
        <f aca="false">HYPERLINK("https://www.ncbi.nlm.nih.gov/nuccore/CP000058.1?report=graph&amp;tracks=[key:gene_model_track,Options:GeneOnly]&amp;mk=5032316:5032335|offset_12|444444,5032281:5032300|offset_47|444444,5032252:5032271|offset_76|444444,5032216:5032235|offset_112|00cc00&amp;v=5032115:5032435&amp;c=444444", "offset 112")</f>
        <v>offset 112</v>
      </c>
    </row>
    <row r="16283" customFormat="false" ht="12.8" hidden="false" customHeight="false" outlineLevel="0" collapsed="false">
      <c r="A16283" s="0" t="s">
        <v>12</v>
      </c>
      <c r="B16283" s="0" t="n">
        <v>5032784</v>
      </c>
      <c r="C16283" s="0" t="n">
        <v>5032804</v>
      </c>
      <c r="D16283" s="0" t="s">
        <v>54125</v>
      </c>
      <c r="E16283" s="0" t="s">
        <v>75</v>
      </c>
      <c r="F16283" s="0" t="s">
        <v>90</v>
      </c>
      <c r="G16283" s="0" t="s">
        <v>36</v>
      </c>
      <c r="H16283" s="0" t="n">
        <v>39</v>
      </c>
      <c r="I16283" s="0" t="s">
        <v>54126</v>
      </c>
      <c r="J16283" s="0" t="s">
        <v>54127</v>
      </c>
      <c r="K16283" s="0" t="s">
        <v>54128</v>
      </c>
      <c r="L16283" s="0" t="str">
        <f aca="false">HYPERLINK("https://www.ncbi.nlm.nih.gov/nuccore/CP000058.1?report=graph&amp;tracks=[key:gene_model_track,Options:GeneOnly]&amp;mk=5032785:5032804|offset_39|00cc00,5032751:5032770|offset_73|444444,5032708:5032727|offset_116|444444,5032663:5032682|offset_161|444444&amp;v=5032584:5032882&amp;c=444444", "offset 39")</f>
        <v>offset 39</v>
      </c>
    </row>
    <row r="16284" customFormat="false" ht="12.8" hidden="false" customHeight="false" outlineLevel="0" collapsed="false">
      <c r="A16284" s="0" t="s">
        <v>12</v>
      </c>
      <c r="B16284" s="0" t="n">
        <v>5032750</v>
      </c>
      <c r="C16284" s="0" t="n">
        <v>5032770</v>
      </c>
      <c r="D16284" s="0" t="s">
        <v>54125</v>
      </c>
      <c r="E16284" s="0" t="s">
        <v>75</v>
      </c>
      <c r="F16284" s="0" t="s">
        <v>90</v>
      </c>
      <c r="G16284" s="0" t="s">
        <v>32</v>
      </c>
      <c r="H16284" s="0" t="n">
        <v>73</v>
      </c>
      <c r="I16284" s="0" t="s">
        <v>54129</v>
      </c>
      <c r="J16284" s="0" t="s">
        <v>54130</v>
      </c>
      <c r="K16284" s="0" t="s">
        <v>54131</v>
      </c>
      <c r="L16284" s="0" t="str">
        <f aca="false">HYPERLINK("https://www.ncbi.nlm.nih.gov/nuccore/CP000058.1?report=graph&amp;tracks=[key:gene_model_track,Options:GeneOnly]&amp;mk=5032785:5032804|offset_39|444444,5032751:5032770|offset_73|00cc00,5032708:5032727|offset_116|444444,5032663:5032682|offset_161|444444&amp;v=5032584:5032882&amp;c=444444", "offset 73")</f>
        <v>offset 73</v>
      </c>
    </row>
    <row r="16285" customFormat="false" ht="12.8" hidden="false" customHeight="false" outlineLevel="0" collapsed="false">
      <c r="A16285" s="0" t="s">
        <v>12</v>
      </c>
      <c r="B16285" s="0" t="n">
        <v>5032707</v>
      </c>
      <c r="C16285" s="0" t="n">
        <v>5032727</v>
      </c>
      <c r="D16285" s="0" t="s">
        <v>54125</v>
      </c>
      <c r="E16285" s="0" t="s">
        <v>75</v>
      </c>
      <c r="F16285" s="0" t="s">
        <v>90</v>
      </c>
      <c r="G16285" s="0" t="s">
        <v>36</v>
      </c>
      <c r="H16285" s="0" t="n">
        <v>116</v>
      </c>
      <c r="I16285" s="0" t="s">
        <v>54132</v>
      </c>
      <c r="J16285" s="0" t="s">
        <v>54133</v>
      </c>
      <c r="K16285" s="0" t="s">
        <v>54134</v>
      </c>
      <c r="L16285" s="0" t="str">
        <f aca="false">HYPERLINK("https://www.ncbi.nlm.nih.gov/nuccore/CP000058.1?report=graph&amp;tracks=[key:gene_model_track,Options:GeneOnly]&amp;mk=5032785:5032804|offset_39|444444,5032751:5032770|offset_73|444444,5032708:5032727|offset_116|00cc00,5032663:5032682|offset_161|444444&amp;v=5032584:5032882&amp;c=444444", "offset 116")</f>
        <v>offset 116</v>
      </c>
    </row>
    <row r="16286" customFormat="false" ht="12.8" hidden="false" customHeight="false" outlineLevel="0" collapsed="false">
      <c r="A16286" s="0" t="s">
        <v>12</v>
      </c>
      <c r="B16286" s="0" t="n">
        <v>5032662</v>
      </c>
      <c r="C16286" s="0" t="n">
        <v>5032682</v>
      </c>
      <c r="D16286" s="0" t="s">
        <v>54125</v>
      </c>
      <c r="E16286" s="0" t="s">
        <v>75</v>
      </c>
      <c r="F16286" s="0" t="s">
        <v>90</v>
      </c>
      <c r="G16286" s="0" t="s">
        <v>16</v>
      </c>
      <c r="H16286" s="0" t="n">
        <v>161</v>
      </c>
      <c r="I16286" s="0" t="s">
        <v>54135</v>
      </c>
      <c r="J16286" s="0" t="s">
        <v>54136</v>
      </c>
      <c r="K16286" s="0" t="s">
        <v>54137</v>
      </c>
      <c r="L16286" s="0" t="str">
        <f aca="false">HYPERLINK("https://www.ncbi.nlm.nih.gov/nuccore/CP000058.1?report=graph&amp;tracks=[key:gene_model_track,Options:GeneOnly]&amp;mk=5032785:5032804|offset_39|444444,5032751:5032770|offset_73|444444,5032708:5032727|offset_116|444444,5032663:5032682|offset_161|00cc00&amp;v=5032584:5032882&amp;c=444444", "offset 161")</f>
        <v>offset 161</v>
      </c>
    </row>
    <row r="16287" customFormat="false" ht="12.8" hidden="false" customHeight="false" outlineLevel="0" collapsed="false">
      <c r="A16287" s="0" t="s">
        <v>12</v>
      </c>
      <c r="B16287" s="0" t="n">
        <v>5033164</v>
      </c>
      <c r="C16287" s="0" t="n">
        <v>5033184</v>
      </c>
      <c r="D16287" s="0" t="s">
        <v>54138</v>
      </c>
      <c r="E16287" s="0" t="s">
        <v>75</v>
      </c>
      <c r="F16287" s="0" t="s">
        <v>90</v>
      </c>
      <c r="G16287" s="0" t="s">
        <v>36</v>
      </c>
      <c r="H16287" s="0" t="n">
        <v>55</v>
      </c>
      <c r="I16287" s="0" t="s">
        <v>54139</v>
      </c>
      <c r="J16287" s="0" t="s">
        <v>54140</v>
      </c>
      <c r="K16287" s="0" t="s">
        <v>54141</v>
      </c>
      <c r="L16287" s="0" t="str">
        <f aca="false">HYPERLINK("https://www.ncbi.nlm.nih.gov/nuccore/CP000058.1?report=graph&amp;tracks=[key:gene_model_track,Options:GeneOnly]&amp;mk=5033165:5033184|offset_55|00cc00,5033132:5033151|offset_88|444444,5033111:5033130|offset_109|444444,5033081:5033100|offset_139|444444&amp;v=5032964:5033300&amp;c=444444", "offset 55")</f>
        <v>offset 55</v>
      </c>
    </row>
    <row r="16288" customFormat="false" ht="12.8" hidden="false" customHeight="false" outlineLevel="0" collapsed="false">
      <c r="A16288" s="0" t="s">
        <v>12</v>
      </c>
      <c r="B16288" s="0" t="n">
        <v>5033131</v>
      </c>
      <c r="C16288" s="0" t="n">
        <v>5033151</v>
      </c>
      <c r="D16288" s="0" t="s">
        <v>54138</v>
      </c>
      <c r="E16288" s="0" t="s">
        <v>75</v>
      </c>
      <c r="F16288" s="0" t="s">
        <v>90</v>
      </c>
      <c r="G16288" s="0" t="s">
        <v>32</v>
      </c>
      <c r="H16288" s="0" t="n">
        <v>88</v>
      </c>
      <c r="I16288" s="0" t="s">
        <v>54142</v>
      </c>
      <c r="J16288" s="0" t="s">
        <v>54143</v>
      </c>
      <c r="K16288" s="0" t="s">
        <v>54144</v>
      </c>
      <c r="L16288" s="0" t="str">
        <f aca="false">HYPERLINK("https://www.ncbi.nlm.nih.gov/nuccore/CP000058.1?report=graph&amp;tracks=[key:gene_model_track,Options:GeneOnly]&amp;mk=5033165:5033184|offset_55|444444,5033132:5033151|offset_88|00cc00,5033111:5033130|offset_109|444444,5033081:5033100|offset_139|444444&amp;v=5032964:5033300&amp;c=444444", "offset 88")</f>
        <v>offset 88</v>
      </c>
    </row>
    <row r="16289" customFormat="false" ht="12.8" hidden="false" customHeight="false" outlineLevel="0" collapsed="false">
      <c r="A16289" s="0" t="s">
        <v>12</v>
      </c>
      <c r="B16289" s="0" t="n">
        <v>5033110</v>
      </c>
      <c r="C16289" s="0" t="n">
        <v>5033130</v>
      </c>
      <c r="D16289" s="0" t="s">
        <v>54138</v>
      </c>
      <c r="E16289" s="0" t="s">
        <v>75</v>
      </c>
      <c r="F16289" s="0" t="s">
        <v>90</v>
      </c>
      <c r="G16289" s="0" t="s">
        <v>32</v>
      </c>
      <c r="H16289" s="0" t="n">
        <v>109</v>
      </c>
      <c r="I16289" s="0" t="s">
        <v>54145</v>
      </c>
      <c r="J16289" s="0" t="s">
        <v>54146</v>
      </c>
      <c r="K16289" s="0" t="s">
        <v>54147</v>
      </c>
      <c r="L16289" s="0" t="str">
        <f aca="false">HYPERLINK("https://www.ncbi.nlm.nih.gov/nuccore/CP000058.1?report=graph&amp;tracks=[key:gene_model_track,Options:GeneOnly]&amp;mk=5033165:5033184|offset_55|444444,5033132:5033151|offset_88|444444,5033111:5033130|offset_109|00cc00,5033081:5033100|offset_139|444444&amp;v=5032964:5033300&amp;c=444444", "offset 109")</f>
        <v>offset 109</v>
      </c>
    </row>
    <row r="16290" customFormat="false" ht="12.8" hidden="false" customHeight="false" outlineLevel="0" collapsed="false">
      <c r="A16290" s="0" t="s">
        <v>12</v>
      </c>
      <c r="B16290" s="0" t="n">
        <v>5033080</v>
      </c>
      <c r="C16290" s="0" t="n">
        <v>5033100</v>
      </c>
      <c r="D16290" s="0" t="s">
        <v>54138</v>
      </c>
      <c r="E16290" s="0" t="s">
        <v>75</v>
      </c>
      <c r="F16290" s="0" t="s">
        <v>90</v>
      </c>
      <c r="G16290" s="0" t="s">
        <v>16</v>
      </c>
      <c r="H16290" s="0" t="n">
        <v>139</v>
      </c>
      <c r="I16290" s="0" t="s">
        <v>54148</v>
      </c>
      <c r="J16290" s="0" t="s">
        <v>54149</v>
      </c>
      <c r="K16290" s="0" t="s">
        <v>54150</v>
      </c>
      <c r="L16290" s="0" t="str">
        <f aca="false">HYPERLINK("https://www.ncbi.nlm.nih.gov/nuccore/CP000058.1?report=graph&amp;tracks=[key:gene_model_track,Options:GeneOnly]&amp;mk=5033165:5033184|offset_55|444444,5033132:5033151|offset_88|444444,5033111:5033130|offset_109|444444,5033081:5033100|offset_139|00cc00&amp;v=5032964:5033300&amp;c=444444", "offset 139")</f>
        <v>offset 139</v>
      </c>
    </row>
    <row r="16291" customFormat="false" ht="12.8" hidden="false" customHeight="false" outlineLevel="0" collapsed="false">
      <c r="A16291" s="0" t="s">
        <v>12</v>
      </c>
      <c r="B16291" s="0" t="n">
        <v>5033949</v>
      </c>
      <c r="C16291" s="0" t="n">
        <v>5033969</v>
      </c>
      <c r="D16291" s="0" t="s">
        <v>54151</v>
      </c>
      <c r="E16291" s="0" t="s">
        <v>54152</v>
      </c>
      <c r="F16291" s="0" t="s">
        <v>90</v>
      </c>
      <c r="G16291" s="0" t="s">
        <v>36</v>
      </c>
      <c r="H16291" s="0" t="n">
        <v>41</v>
      </c>
      <c r="I16291" s="0" t="s">
        <v>54153</v>
      </c>
      <c r="J16291" s="0" t="s">
        <v>54154</v>
      </c>
      <c r="K16291" s="0" t="s">
        <v>54155</v>
      </c>
      <c r="L16291" s="0" t="str">
        <f aca="false">HYPERLINK("https://www.ncbi.nlm.nih.gov/nuccore/CP000058.1?report=graph&amp;tracks=[key:gene_model_track,Options:GeneOnly]&amp;mk=5033950:5033969|offset_41|00cc00,5033899:5033918|offset_92|444444,5033858:5033877|offset_133|444444,5033830:5033849|offset_161|444444&amp;v=5033749:5034049&amp;c=444444", "offset 41")</f>
        <v>offset 41</v>
      </c>
    </row>
    <row r="16292" customFormat="false" ht="12.8" hidden="false" customHeight="false" outlineLevel="0" collapsed="false">
      <c r="A16292" s="0" t="s">
        <v>12</v>
      </c>
      <c r="B16292" s="0" t="n">
        <v>5033898</v>
      </c>
      <c r="C16292" s="0" t="n">
        <v>5033918</v>
      </c>
      <c r="D16292" s="0" t="s">
        <v>54151</v>
      </c>
      <c r="E16292" s="0" t="s">
        <v>54152</v>
      </c>
      <c r="F16292" s="0" t="s">
        <v>90</v>
      </c>
      <c r="G16292" s="0" t="s">
        <v>36</v>
      </c>
      <c r="H16292" s="0" t="n">
        <v>92</v>
      </c>
      <c r="I16292" s="0" t="s">
        <v>54156</v>
      </c>
      <c r="J16292" s="0" t="s">
        <v>54157</v>
      </c>
      <c r="K16292" s="0" t="s">
        <v>54158</v>
      </c>
      <c r="L16292" s="0" t="str">
        <f aca="false">HYPERLINK("https://www.ncbi.nlm.nih.gov/nuccore/CP000058.1?report=graph&amp;tracks=[key:gene_model_track,Options:GeneOnly]&amp;mk=5033950:5033969|offset_41|444444,5033899:5033918|offset_92|00cc00,5033858:5033877|offset_133|444444,5033830:5033849|offset_161|444444&amp;v=5033749:5034049&amp;c=444444", "offset 92")</f>
        <v>offset 92</v>
      </c>
    </row>
    <row r="16293" customFormat="false" ht="12.8" hidden="false" customHeight="false" outlineLevel="0" collapsed="false">
      <c r="A16293" s="0" t="s">
        <v>12</v>
      </c>
      <c r="B16293" s="0" t="n">
        <v>5033857</v>
      </c>
      <c r="C16293" s="0" t="n">
        <v>5033877</v>
      </c>
      <c r="D16293" s="0" t="s">
        <v>54151</v>
      </c>
      <c r="E16293" s="0" t="s">
        <v>54152</v>
      </c>
      <c r="F16293" s="0" t="s">
        <v>90</v>
      </c>
      <c r="G16293" s="0" t="s">
        <v>16</v>
      </c>
      <c r="H16293" s="0" t="n">
        <v>133</v>
      </c>
      <c r="I16293" s="0" t="s">
        <v>54159</v>
      </c>
      <c r="J16293" s="0" t="s">
        <v>54160</v>
      </c>
      <c r="K16293" s="0" t="s">
        <v>54161</v>
      </c>
      <c r="L16293" s="0" t="str">
        <f aca="false">HYPERLINK("https://www.ncbi.nlm.nih.gov/nuccore/CP000058.1?report=graph&amp;tracks=[key:gene_model_track,Options:GeneOnly]&amp;mk=5033950:5033969|offset_41|444444,5033899:5033918|offset_92|444444,5033858:5033877|offset_133|00cc00,5033830:5033849|offset_161|444444&amp;v=5033749:5034049&amp;c=444444", "offset 133")</f>
        <v>offset 133</v>
      </c>
    </row>
    <row r="16294" customFormat="false" ht="12.8" hidden="false" customHeight="false" outlineLevel="0" collapsed="false">
      <c r="A16294" s="0" t="s">
        <v>12</v>
      </c>
      <c r="B16294" s="0" t="n">
        <v>5033829</v>
      </c>
      <c r="C16294" s="0" t="n">
        <v>5033849</v>
      </c>
      <c r="D16294" s="0" t="s">
        <v>54151</v>
      </c>
      <c r="E16294" s="0" t="s">
        <v>54152</v>
      </c>
      <c r="F16294" s="0" t="s">
        <v>90</v>
      </c>
      <c r="G16294" s="0" t="s">
        <v>20</v>
      </c>
      <c r="H16294" s="0" t="n">
        <v>161</v>
      </c>
      <c r="I16294" s="0" t="s">
        <v>54162</v>
      </c>
      <c r="J16294" s="0" t="s">
        <v>54163</v>
      </c>
      <c r="K16294" s="0" t="s">
        <v>54164</v>
      </c>
      <c r="L16294" s="0" t="str">
        <f aca="false">HYPERLINK("https://www.ncbi.nlm.nih.gov/nuccore/CP000058.1?report=graph&amp;tracks=[key:gene_model_track,Options:GeneOnly]&amp;mk=5033950:5033969|offset_41|444444,5033899:5033918|offset_92|444444,5033858:5033877|offset_133|444444,5033830:5033849|offset_161|00cc00&amp;v=5033749:5034049&amp;c=444444", "offset 161")</f>
        <v>offset 161</v>
      </c>
    </row>
    <row r="16295" customFormat="false" ht="12.8" hidden="false" customHeight="false" outlineLevel="0" collapsed="false">
      <c r="A16295" s="0" t="s">
        <v>12</v>
      </c>
      <c r="B16295" s="0" t="n">
        <v>5035226</v>
      </c>
      <c r="C16295" s="0" t="n">
        <v>5035246</v>
      </c>
      <c r="D16295" s="0" t="s">
        <v>54165</v>
      </c>
      <c r="E16295" s="0" t="s">
        <v>54166</v>
      </c>
      <c r="F16295" s="0" t="s">
        <v>90</v>
      </c>
      <c r="G16295" s="0" t="s">
        <v>32</v>
      </c>
      <c r="H16295" s="0" t="n">
        <v>1</v>
      </c>
      <c r="I16295" s="0" t="s">
        <v>54167</v>
      </c>
      <c r="J16295" s="0" t="s">
        <v>54168</v>
      </c>
      <c r="K16295" s="0" t="s">
        <v>54169</v>
      </c>
      <c r="L16295" s="0" t="str">
        <f aca="false">HYPERLINK("https://www.ncbi.nlm.nih.gov/nuccore/CP000058.1?report=graph&amp;tracks=[key:gene_model_track,Options:GeneOnly]&amp;mk=5035227:5035246|offset_1|00cc00,5035197:5035216|offset_31|444444,5035170:5035189|offset_58|444444,5035149:5035168|offset_79|444444&amp;v=5035026:5035368&amp;c=444444", "offset 1")</f>
        <v>offset 1</v>
      </c>
    </row>
    <row r="16296" customFormat="false" ht="12.8" hidden="false" customHeight="false" outlineLevel="0" collapsed="false">
      <c r="A16296" s="0" t="s">
        <v>12</v>
      </c>
      <c r="B16296" s="0" t="n">
        <v>5035196</v>
      </c>
      <c r="C16296" s="0" t="n">
        <v>5035216</v>
      </c>
      <c r="D16296" s="0" t="s">
        <v>54165</v>
      </c>
      <c r="E16296" s="0" t="s">
        <v>54166</v>
      </c>
      <c r="F16296" s="0" t="s">
        <v>90</v>
      </c>
      <c r="G16296" s="0" t="s">
        <v>36</v>
      </c>
      <c r="H16296" s="0" t="n">
        <v>31</v>
      </c>
      <c r="I16296" s="0" t="s">
        <v>54170</v>
      </c>
      <c r="J16296" s="0" t="s">
        <v>54171</v>
      </c>
      <c r="K16296" s="0" t="s">
        <v>54172</v>
      </c>
      <c r="L16296" s="0" t="str">
        <f aca="false">HYPERLINK("https://www.ncbi.nlm.nih.gov/nuccore/CP000058.1?report=graph&amp;tracks=[key:gene_model_track,Options:GeneOnly]&amp;mk=5035227:5035246|offset_1|444444,5035197:5035216|offset_31|00cc00,5035170:5035189|offset_58|444444,5035149:5035168|offset_79|444444&amp;v=5035026:5035368&amp;c=444444", "offset 31")</f>
        <v>offset 31</v>
      </c>
    </row>
    <row r="16297" customFormat="false" ht="12.8" hidden="false" customHeight="false" outlineLevel="0" collapsed="false">
      <c r="A16297" s="0" t="s">
        <v>12</v>
      </c>
      <c r="B16297" s="0" t="n">
        <v>5035169</v>
      </c>
      <c r="C16297" s="0" t="n">
        <v>5035189</v>
      </c>
      <c r="D16297" s="0" t="s">
        <v>54165</v>
      </c>
      <c r="E16297" s="0" t="s">
        <v>54166</v>
      </c>
      <c r="F16297" s="0" t="s">
        <v>90</v>
      </c>
      <c r="G16297" s="0" t="s">
        <v>20</v>
      </c>
      <c r="H16297" s="0" t="n">
        <v>58</v>
      </c>
      <c r="I16297" s="0" t="s">
        <v>54173</v>
      </c>
      <c r="J16297" s="0" t="s">
        <v>54174</v>
      </c>
      <c r="K16297" s="0" t="s">
        <v>54175</v>
      </c>
      <c r="L16297" s="0" t="str">
        <f aca="false">HYPERLINK("https://www.ncbi.nlm.nih.gov/nuccore/CP000058.1?report=graph&amp;tracks=[key:gene_model_track,Options:GeneOnly]&amp;mk=5035227:5035246|offset_1|444444,5035197:5035216|offset_31|444444,5035170:5035189|offset_58|00cc00,5035149:5035168|offset_79|444444&amp;v=5035026:5035368&amp;c=444444", "offset 58")</f>
        <v>offset 58</v>
      </c>
    </row>
    <row r="16298" customFormat="false" ht="12.8" hidden="false" customHeight="false" outlineLevel="0" collapsed="false">
      <c r="A16298" s="0" t="s">
        <v>12</v>
      </c>
      <c r="B16298" s="0" t="n">
        <v>5035148</v>
      </c>
      <c r="C16298" s="0" t="n">
        <v>5035168</v>
      </c>
      <c r="D16298" s="0" t="s">
        <v>54165</v>
      </c>
      <c r="E16298" s="0" t="s">
        <v>54166</v>
      </c>
      <c r="F16298" s="0" t="s">
        <v>90</v>
      </c>
      <c r="G16298" s="0" t="s">
        <v>32</v>
      </c>
      <c r="H16298" s="0" t="n">
        <v>79</v>
      </c>
      <c r="I16298" s="0" t="s">
        <v>54176</v>
      </c>
      <c r="J16298" s="0" t="s">
        <v>54177</v>
      </c>
      <c r="K16298" s="0" t="s">
        <v>54178</v>
      </c>
      <c r="L16298" s="0" t="str">
        <f aca="false">HYPERLINK("https://www.ncbi.nlm.nih.gov/nuccore/CP000058.1?report=graph&amp;tracks=[key:gene_model_track,Options:GeneOnly]&amp;mk=5035227:5035246|offset_1|444444,5035197:5035216|offset_31|444444,5035170:5035189|offset_58|444444,5035149:5035168|offset_79|00cc00&amp;v=5035026:5035368&amp;c=444444", "offset 79")</f>
        <v>offset 79</v>
      </c>
    </row>
    <row r="16299" customFormat="false" ht="12.8" hidden="false" customHeight="false" outlineLevel="0" collapsed="false">
      <c r="A16299" s="0" t="s">
        <v>12</v>
      </c>
      <c r="B16299" s="0" t="n">
        <v>5035300</v>
      </c>
      <c r="C16299" s="0" t="n">
        <v>5035320</v>
      </c>
      <c r="D16299" s="0" t="s">
        <v>54179</v>
      </c>
      <c r="E16299" s="0" t="s">
        <v>75</v>
      </c>
      <c r="F16299" s="0" t="s">
        <v>15</v>
      </c>
      <c r="G16299" s="0" t="s">
        <v>16</v>
      </c>
      <c r="H16299" s="0" t="n">
        <v>6</v>
      </c>
      <c r="I16299" s="0" t="s">
        <v>54180</v>
      </c>
      <c r="J16299" s="0" t="s">
        <v>54181</v>
      </c>
      <c r="K16299" s="0" t="s">
        <v>54182</v>
      </c>
      <c r="L16299" s="0" t="str">
        <f aca="false">HYPERLINK("https://www.ncbi.nlm.nih.gov/nuccore/CP000058.1?report=graph&amp;tracks=[key:gene_model_track,Options:GeneOnly]&amp;mk=5035301:5035320|offset_6|00cc00,5035364:5035383|offset_69|444444,5035384:5035403|offset_89|444444,5036077:5036096|offset_782|444444&amp;v=5035100:5036296&amp;c=444444", "offset 6")</f>
        <v>offset 6</v>
      </c>
    </row>
    <row r="16300" customFormat="false" ht="12.8" hidden="false" customHeight="false" outlineLevel="0" collapsed="false">
      <c r="A16300" s="0" t="s">
        <v>12</v>
      </c>
      <c r="B16300" s="0" t="n">
        <v>5035363</v>
      </c>
      <c r="C16300" s="0" t="n">
        <v>5035383</v>
      </c>
      <c r="D16300" s="0" t="s">
        <v>54179</v>
      </c>
      <c r="E16300" s="0" t="s">
        <v>75</v>
      </c>
      <c r="F16300" s="0" t="s">
        <v>15</v>
      </c>
      <c r="G16300" s="0" t="s">
        <v>16</v>
      </c>
      <c r="H16300" s="0" t="n">
        <v>69</v>
      </c>
      <c r="I16300" s="0" t="s">
        <v>54183</v>
      </c>
      <c r="J16300" s="0" t="s">
        <v>54184</v>
      </c>
      <c r="K16300" s="0" t="s">
        <v>54185</v>
      </c>
      <c r="L16300" s="0" t="str">
        <f aca="false">HYPERLINK("https://www.ncbi.nlm.nih.gov/nuccore/CP000058.1?report=graph&amp;tracks=[key:gene_model_track,Options:GeneOnly]&amp;mk=5035301:5035320|offset_6|444444,5035364:5035383|offset_69|00cc00,5035384:5035403|offset_89|444444,5036077:5036096|offset_782|444444&amp;v=5035100:5036296&amp;c=444444", "offset 69")</f>
        <v>offset 69</v>
      </c>
    </row>
    <row r="16301" customFormat="false" ht="12.8" hidden="false" customHeight="false" outlineLevel="0" collapsed="false">
      <c r="A16301" s="0" t="s">
        <v>12</v>
      </c>
      <c r="B16301" s="0" t="n">
        <v>5035383</v>
      </c>
      <c r="C16301" s="0" t="n">
        <v>5035403</v>
      </c>
      <c r="D16301" s="0" t="s">
        <v>54179</v>
      </c>
      <c r="E16301" s="0" t="s">
        <v>75</v>
      </c>
      <c r="F16301" s="0" t="s">
        <v>15</v>
      </c>
      <c r="G16301" s="0" t="s">
        <v>36</v>
      </c>
      <c r="H16301" s="0" t="n">
        <v>89</v>
      </c>
      <c r="I16301" s="0" t="s">
        <v>54186</v>
      </c>
      <c r="J16301" s="0" t="s">
        <v>54187</v>
      </c>
      <c r="K16301" s="0" t="s">
        <v>54188</v>
      </c>
      <c r="L16301" s="0" t="str">
        <f aca="false">HYPERLINK("https://www.ncbi.nlm.nih.gov/nuccore/CP000058.1?report=graph&amp;tracks=[key:gene_model_track,Options:GeneOnly]&amp;mk=5035301:5035320|offset_6|444444,5035364:5035383|offset_69|444444,5035384:5035403|offset_89|00cc00,5036077:5036096|offset_782|444444&amp;v=5035100:5036296&amp;c=444444", "offset 89")</f>
        <v>offset 89</v>
      </c>
    </row>
    <row r="16302" customFormat="false" ht="12.8" hidden="false" customHeight="false" outlineLevel="0" collapsed="false">
      <c r="A16302" s="0" t="s">
        <v>12</v>
      </c>
      <c r="B16302" s="0" t="n">
        <v>5036076</v>
      </c>
      <c r="C16302" s="0" t="n">
        <v>5036096</v>
      </c>
      <c r="D16302" s="0" t="s">
        <v>54179</v>
      </c>
      <c r="E16302" s="0" t="s">
        <v>75</v>
      </c>
      <c r="F16302" s="0" t="s">
        <v>15</v>
      </c>
      <c r="G16302" s="0" t="s">
        <v>20</v>
      </c>
      <c r="H16302" s="0" t="n">
        <v>782</v>
      </c>
      <c r="I16302" s="0" t="s">
        <v>54189</v>
      </c>
      <c r="J16302" s="0" t="s">
        <v>54190</v>
      </c>
      <c r="K16302" s="0" t="s">
        <v>54191</v>
      </c>
      <c r="L16302" s="0" t="str">
        <f aca="false">HYPERLINK("https://www.ncbi.nlm.nih.gov/nuccore/CP000058.1?report=graph&amp;tracks=[key:gene_model_track,Options:GeneOnly]&amp;mk=5035301:5035320|offset_6|444444,5035364:5035383|offset_69|444444,5035384:5035403|offset_89|444444,5036077:5036096|offset_782|00cc00&amp;v=5035100:5036296&amp;c=444444", "offset 782")</f>
        <v>offset 782</v>
      </c>
    </row>
    <row r="16303" customFormat="false" ht="12.8" hidden="false" customHeight="false" outlineLevel="0" collapsed="false">
      <c r="A16303" s="0" t="s">
        <v>12</v>
      </c>
      <c r="B16303" s="0" t="n">
        <v>5036320</v>
      </c>
      <c r="C16303" s="0" t="n">
        <v>5036340</v>
      </c>
      <c r="D16303" s="0" t="s">
        <v>54192</v>
      </c>
      <c r="E16303" s="0" t="s">
        <v>75</v>
      </c>
      <c r="F16303" s="0" t="s">
        <v>15</v>
      </c>
      <c r="G16303" s="0" t="s">
        <v>20</v>
      </c>
      <c r="H16303" s="0" t="n">
        <v>6</v>
      </c>
      <c r="I16303" s="0" t="s">
        <v>54193</v>
      </c>
      <c r="J16303" s="0" t="s">
        <v>54194</v>
      </c>
      <c r="K16303" s="0" t="s">
        <v>54195</v>
      </c>
      <c r="L16303" s="0" t="str">
        <f aca="false">HYPERLINK("https://www.ncbi.nlm.nih.gov/nuccore/CP000058.1?report=graph&amp;tracks=[key:gene_model_track,Options:GeneOnly]&amp;mk=5036321:5036340|offset_6|00cc00,5036347:5036366|offset_32|444444,5036370:5036389|offset_55|444444,5036424:5036443|offset_109|444444&amp;v=5036120:5036643&amp;c=444444", "offset 6")</f>
        <v>offset 6</v>
      </c>
    </row>
    <row r="16304" customFormat="false" ht="12.8" hidden="false" customHeight="false" outlineLevel="0" collapsed="false">
      <c r="A16304" s="0" t="s">
        <v>12</v>
      </c>
      <c r="B16304" s="0" t="n">
        <v>5036346</v>
      </c>
      <c r="C16304" s="0" t="n">
        <v>5036366</v>
      </c>
      <c r="D16304" s="0" t="s">
        <v>54192</v>
      </c>
      <c r="E16304" s="0" t="s">
        <v>75</v>
      </c>
      <c r="F16304" s="0" t="s">
        <v>15</v>
      </c>
      <c r="G16304" s="0" t="s">
        <v>32</v>
      </c>
      <c r="H16304" s="0" t="n">
        <v>32</v>
      </c>
      <c r="I16304" s="0" t="s">
        <v>54196</v>
      </c>
      <c r="J16304" s="0" t="s">
        <v>54197</v>
      </c>
      <c r="K16304" s="0" t="s">
        <v>54198</v>
      </c>
      <c r="L16304" s="0" t="str">
        <f aca="false">HYPERLINK("https://www.ncbi.nlm.nih.gov/nuccore/CP000058.1?report=graph&amp;tracks=[key:gene_model_track,Options:GeneOnly]&amp;mk=5036321:5036340|offset_6|444444,5036347:5036366|offset_32|00cc00,5036370:5036389|offset_55|444444,5036424:5036443|offset_109|444444&amp;v=5036120:5036643&amp;c=444444", "offset 32")</f>
        <v>offset 32</v>
      </c>
    </row>
    <row r="16305" customFormat="false" ht="12.8" hidden="false" customHeight="false" outlineLevel="0" collapsed="false">
      <c r="A16305" s="0" t="s">
        <v>12</v>
      </c>
      <c r="B16305" s="0" t="n">
        <v>5036369</v>
      </c>
      <c r="C16305" s="0" t="n">
        <v>5036389</v>
      </c>
      <c r="D16305" s="0" t="s">
        <v>54192</v>
      </c>
      <c r="E16305" s="0" t="s">
        <v>75</v>
      </c>
      <c r="F16305" s="0" t="s">
        <v>15</v>
      </c>
      <c r="G16305" s="0" t="s">
        <v>36</v>
      </c>
      <c r="H16305" s="0" t="n">
        <v>55</v>
      </c>
      <c r="I16305" s="0" t="s">
        <v>54199</v>
      </c>
      <c r="J16305" s="0" t="s">
        <v>54200</v>
      </c>
      <c r="K16305" s="0" t="s">
        <v>54201</v>
      </c>
      <c r="L16305" s="0" t="str">
        <f aca="false">HYPERLINK("https://www.ncbi.nlm.nih.gov/nuccore/CP000058.1?report=graph&amp;tracks=[key:gene_model_track,Options:GeneOnly]&amp;mk=5036321:5036340|offset_6|444444,5036347:5036366|offset_32|444444,5036370:5036389|offset_55|00cc00,5036424:5036443|offset_109|444444&amp;v=5036120:5036643&amp;c=444444", "offset 55")</f>
        <v>offset 55</v>
      </c>
    </row>
    <row r="16306" customFormat="false" ht="12.8" hidden="false" customHeight="false" outlineLevel="0" collapsed="false">
      <c r="A16306" s="0" t="s">
        <v>12</v>
      </c>
      <c r="B16306" s="0" t="n">
        <v>5036423</v>
      </c>
      <c r="C16306" s="0" t="n">
        <v>5036443</v>
      </c>
      <c r="D16306" s="0" t="s">
        <v>54192</v>
      </c>
      <c r="E16306" s="0" t="s">
        <v>75</v>
      </c>
      <c r="F16306" s="0" t="s">
        <v>15</v>
      </c>
      <c r="G16306" s="0" t="s">
        <v>16</v>
      </c>
      <c r="H16306" s="0" t="n">
        <v>109</v>
      </c>
      <c r="I16306" s="0" t="s">
        <v>54202</v>
      </c>
      <c r="J16306" s="0" t="s">
        <v>54203</v>
      </c>
      <c r="K16306" s="0" t="s">
        <v>54204</v>
      </c>
      <c r="L16306" s="0" t="str">
        <f aca="false">HYPERLINK("https://www.ncbi.nlm.nih.gov/nuccore/CP000058.1?report=graph&amp;tracks=[key:gene_model_track,Options:GeneOnly]&amp;mk=5036321:5036340|offset_6|444444,5036347:5036366|offset_32|444444,5036370:5036389|offset_55|444444,5036424:5036443|offset_109|00cc00&amp;v=5036120:5036643&amp;c=444444", "offset 109")</f>
        <v>offset 109</v>
      </c>
    </row>
    <row r="16307" customFormat="false" ht="12.8" hidden="false" customHeight="false" outlineLevel="0" collapsed="false">
      <c r="A16307" s="0" t="s">
        <v>12</v>
      </c>
      <c r="B16307" s="0" t="n">
        <v>5036989</v>
      </c>
      <c r="C16307" s="0" t="n">
        <v>5037009</v>
      </c>
      <c r="D16307" s="0" t="s">
        <v>54205</v>
      </c>
      <c r="E16307" s="0" t="s">
        <v>75</v>
      </c>
      <c r="F16307" s="0" t="s">
        <v>15</v>
      </c>
      <c r="G16307" s="0" t="s">
        <v>16</v>
      </c>
      <c r="H16307" s="0" t="n">
        <v>0</v>
      </c>
      <c r="I16307" s="0" t="s">
        <v>54206</v>
      </c>
      <c r="J16307" s="0" t="s">
        <v>54207</v>
      </c>
      <c r="K16307" s="0" t="s">
        <v>54208</v>
      </c>
      <c r="L16307" s="0" t="str">
        <f aca="false">HYPERLINK("https://www.ncbi.nlm.nih.gov/nuccore/CP000058.1?report=graph&amp;tracks=[key:gene_model_track,Options:GeneOnly]&amp;mk=5036990:5037009|offset_0|00cc00,5037018:5037037|offset_28|444444,5037038:5037057|offset_48|444444,5037072:5037091|offset_82|444444&amp;v=5036789:5037291&amp;c=444444", "offset 0")</f>
        <v>offset 0</v>
      </c>
    </row>
    <row r="16308" customFormat="false" ht="12.8" hidden="false" customHeight="false" outlineLevel="0" collapsed="false">
      <c r="A16308" s="0" t="s">
        <v>12</v>
      </c>
      <c r="B16308" s="0" t="n">
        <v>5037017</v>
      </c>
      <c r="C16308" s="0" t="n">
        <v>5037037</v>
      </c>
      <c r="D16308" s="0" t="s">
        <v>54205</v>
      </c>
      <c r="E16308" s="0" t="s">
        <v>75</v>
      </c>
      <c r="F16308" s="0" t="s">
        <v>15</v>
      </c>
      <c r="G16308" s="0" t="s">
        <v>16</v>
      </c>
      <c r="H16308" s="0" t="n">
        <v>28</v>
      </c>
      <c r="I16308" s="0" t="s">
        <v>54209</v>
      </c>
      <c r="J16308" s="0" t="s">
        <v>54210</v>
      </c>
      <c r="K16308" s="0" t="s">
        <v>54211</v>
      </c>
      <c r="L16308" s="0" t="str">
        <f aca="false">HYPERLINK("https://www.ncbi.nlm.nih.gov/nuccore/CP000058.1?report=graph&amp;tracks=[key:gene_model_track,Options:GeneOnly]&amp;mk=5036990:5037009|offset_0|444444,5037018:5037037|offset_28|00cc00,5037038:5037057|offset_48|444444,5037072:5037091|offset_82|444444&amp;v=5036789:5037291&amp;c=444444", "offset 28")</f>
        <v>offset 28</v>
      </c>
    </row>
    <row r="16309" customFormat="false" ht="12.8" hidden="false" customHeight="false" outlineLevel="0" collapsed="false">
      <c r="A16309" s="0" t="s">
        <v>12</v>
      </c>
      <c r="B16309" s="0" t="n">
        <v>5037037</v>
      </c>
      <c r="C16309" s="0" t="n">
        <v>5037057</v>
      </c>
      <c r="D16309" s="0" t="s">
        <v>54205</v>
      </c>
      <c r="E16309" s="0" t="s">
        <v>75</v>
      </c>
      <c r="F16309" s="0" t="s">
        <v>15</v>
      </c>
      <c r="G16309" s="0" t="s">
        <v>20</v>
      </c>
      <c r="H16309" s="0" t="n">
        <v>48</v>
      </c>
      <c r="I16309" s="0" t="s">
        <v>54212</v>
      </c>
      <c r="J16309" s="0" t="s">
        <v>54213</v>
      </c>
      <c r="K16309" s="0" t="s">
        <v>54214</v>
      </c>
      <c r="L16309" s="0" t="str">
        <f aca="false">HYPERLINK("https://www.ncbi.nlm.nih.gov/nuccore/CP000058.1?report=graph&amp;tracks=[key:gene_model_track,Options:GeneOnly]&amp;mk=5036990:5037009|offset_0|444444,5037018:5037037|offset_28|444444,5037038:5037057|offset_48|00cc00,5037072:5037091|offset_82|444444&amp;v=5036789:5037291&amp;c=444444", "offset 48")</f>
        <v>offset 48</v>
      </c>
    </row>
    <row r="16310" customFormat="false" ht="12.8" hidden="false" customHeight="false" outlineLevel="0" collapsed="false">
      <c r="A16310" s="0" t="s">
        <v>12</v>
      </c>
      <c r="B16310" s="0" t="n">
        <v>5037071</v>
      </c>
      <c r="C16310" s="0" t="n">
        <v>5037091</v>
      </c>
      <c r="D16310" s="0" t="s">
        <v>54205</v>
      </c>
      <c r="E16310" s="0" t="s">
        <v>75</v>
      </c>
      <c r="F16310" s="0" t="s">
        <v>15</v>
      </c>
      <c r="G16310" s="0" t="s">
        <v>20</v>
      </c>
      <c r="H16310" s="0" t="n">
        <v>82</v>
      </c>
      <c r="I16310" s="0" t="s">
        <v>54215</v>
      </c>
      <c r="J16310" s="0" t="s">
        <v>54216</v>
      </c>
      <c r="K16310" s="0" t="s">
        <v>54217</v>
      </c>
      <c r="L16310" s="0" t="str">
        <f aca="false">HYPERLINK("https://www.ncbi.nlm.nih.gov/nuccore/CP000058.1?report=graph&amp;tracks=[key:gene_model_track,Options:GeneOnly]&amp;mk=5036990:5037009|offset_0|444444,5037018:5037037|offset_28|444444,5037038:5037057|offset_48|444444,5037072:5037091|offset_82|00cc00&amp;v=5036789:5037291&amp;c=444444", "offset 82")</f>
        <v>offset 82</v>
      </c>
    </row>
    <row r="16311" customFormat="false" ht="12.8" hidden="false" customHeight="false" outlineLevel="0" collapsed="false">
      <c r="A16311" s="0" t="s">
        <v>12</v>
      </c>
      <c r="B16311" s="0" t="n">
        <v>5038450</v>
      </c>
      <c r="C16311" s="0" t="n">
        <v>5038470</v>
      </c>
      <c r="D16311" s="0" t="s">
        <v>54218</v>
      </c>
      <c r="E16311" s="0" t="s">
        <v>75</v>
      </c>
      <c r="F16311" s="0" t="s">
        <v>15</v>
      </c>
      <c r="G16311" s="0" t="s">
        <v>36</v>
      </c>
      <c r="H16311" s="0" t="n">
        <v>7</v>
      </c>
      <c r="I16311" s="0" t="s">
        <v>54219</v>
      </c>
      <c r="J16311" s="0" t="s">
        <v>54220</v>
      </c>
      <c r="K16311" s="0" t="s">
        <v>54221</v>
      </c>
      <c r="L16311" s="0" t="str">
        <f aca="false">HYPERLINK("https://www.ncbi.nlm.nih.gov/nuccore/CP000058.1?report=graph&amp;tracks=[key:gene_model_track,Options:GeneOnly]&amp;mk=5038451:5038470|offset_7|00cc00,5038478:5038497|offset_34|444444,5038511:5038530|offset_67|444444,5038613:5038632|offset_169|444444&amp;v=5038250:5038832&amp;c=444444", "offset 7")</f>
        <v>offset 7</v>
      </c>
    </row>
    <row r="16312" customFormat="false" ht="12.8" hidden="false" customHeight="false" outlineLevel="0" collapsed="false">
      <c r="A16312" s="0" t="s">
        <v>12</v>
      </c>
      <c r="B16312" s="0" t="n">
        <v>5038477</v>
      </c>
      <c r="C16312" s="0" t="n">
        <v>5038497</v>
      </c>
      <c r="D16312" s="0" t="s">
        <v>54218</v>
      </c>
      <c r="E16312" s="0" t="s">
        <v>75</v>
      </c>
      <c r="F16312" s="0" t="s">
        <v>15</v>
      </c>
      <c r="G16312" s="0" t="s">
        <v>16</v>
      </c>
      <c r="H16312" s="0" t="n">
        <v>34</v>
      </c>
      <c r="I16312" s="0" t="s">
        <v>54222</v>
      </c>
      <c r="J16312" s="0" t="s">
        <v>54223</v>
      </c>
      <c r="K16312" s="0" t="s">
        <v>54224</v>
      </c>
      <c r="L16312" s="0" t="str">
        <f aca="false">HYPERLINK("https://www.ncbi.nlm.nih.gov/nuccore/CP000058.1?report=graph&amp;tracks=[key:gene_model_track,Options:GeneOnly]&amp;mk=5038451:5038470|offset_7|444444,5038478:5038497|offset_34|00cc00,5038511:5038530|offset_67|444444,5038613:5038632|offset_169|444444&amp;v=5038250:5038832&amp;c=444444", "offset 34")</f>
        <v>offset 34</v>
      </c>
    </row>
    <row r="16313" customFormat="false" ht="12.8" hidden="false" customHeight="false" outlineLevel="0" collapsed="false">
      <c r="A16313" s="0" t="s">
        <v>12</v>
      </c>
      <c r="B16313" s="0" t="n">
        <v>5038510</v>
      </c>
      <c r="C16313" s="0" t="n">
        <v>5038530</v>
      </c>
      <c r="D16313" s="0" t="s">
        <v>54218</v>
      </c>
      <c r="E16313" s="0" t="s">
        <v>75</v>
      </c>
      <c r="F16313" s="0" t="s">
        <v>15</v>
      </c>
      <c r="G16313" s="0" t="s">
        <v>16</v>
      </c>
      <c r="H16313" s="0" t="n">
        <v>67</v>
      </c>
      <c r="I16313" s="0" t="s">
        <v>54225</v>
      </c>
      <c r="J16313" s="0" t="s">
        <v>54226</v>
      </c>
      <c r="K16313" s="0" t="s">
        <v>54227</v>
      </c>
      <c r="L16313" s="0" t="str">
        <f aca="false">HYPERLINK("https://www.ncbi.nlm.nih.gov/nuccore/CP000058.1?report=graph&amp;tracks=[key:gene_model_track,Options:GeneOnly]&amp;mk=5038451:5038470|offset_7|444444,5038478:5038497|offset_34|444444,5038511:5038530|offset_67|00cc00,5038613:5038632|offset_169|444444&amp;v=5038250:5038832&amp;c=444444", "offset 67")</f>
        <v>offset 67</v>
      </c>
    </row>
    <row r="16314" customFormat="false" ht="12.8" hidden="false" customHeight="false" outlineLevel="0" collapsed="false">
      <c r="A16314" s="0" t="s">
        <v>12</v>
      </c>
      <c r="B16314" s="0" t="n">
        <v>5038612</v>
      </c>
      <c r="C16314" s="0" t="n">
        <v>5038632</v>
      </c>
      <c r="D16314" s="0" t="s">
        <v>54218</v>
      </c>
      <c r="E16314" s="0" t="s">
        <v>75</v>
      </c>
      <c r="F16314" s="0" t="s">
        <v>15</v>
      </c>
      <c r="G16314" s="0" t="s">
        <v>16</v>
      </c>
      <c r="H16314" s="0" t="n">
        <v>169</v>
      </c>
      <c r="I16314" s="0" t="s">
        <v>54228</v>
      </c>
      <c r="J16314" s="0" t="s">
        <v>54229</v>
      </c>
      <c r="K16314" s="0" t="s">
        <v>54230</v>
      </c>
      <c r="L16314" s="0" t="str">
        <f aca="false">HYPERLINK("https://www.ncbi.nlm.nih.gov/nuccore/CP000058.1?report=graph&amp;tracks=[key:gene_model_track,Options:GeneOnly]&amp;mk=5038451:5038470|offset_7|444444,5038478:5038497|offset_34|444444,5038511:5038530|offset_67|444444,5038613:5038632|offset_169|00cc00&amp;v=5038250:5038832&amp;c=444444", "offset 169")</f>
        <v>offset 169</v>
      </c>
    </row>
    <row r="16315" customFormat="false" ht="12.8" hidden="false" customHeight="false" outlineLevel="0" collapsed="false">
      <c r="A16315" s="0" t="s">
        <v>12</v>
      </c>
      <c r="B16315" s="0" t="n">
        <v>5043181</v>
      </c>
      <c r="C16315" s="0" t="n">
        <v>5043201</v>
      </c>
      <c r="D16315" s="0" t="s">
        <v>54231</v>
      </c>
      <c r="E16315" s="0" t="s">
        <v>75</v>
      </c>
      <c r="F16315" s="0" t="s">
        <v>90</v>
      </c>
      <c r="G16315" s="0" t="s">
        <v>16</v>
      </c>
      <c r="H16315" s="0" t="n">
        <v>41</v>
      </c>
      <c r="I16315" s="0" t="s">
        <v>54232</v>
      </c>
      <c r="J16315" s="0" t="s">
        <v>54233</v>
      </c>
      <c r="K16315" s="0" t="s">
        <v>54234</v>
      </c>
      <c r="L16315" s="0" t="str">
        <f aca="false">HYPERLINK("https://www.ncbi.nlm.nih.gov/nuccore/CP000058.1?report=graph&amp;tracks=[key:gene_model_track,Options:GeneOnly]&amp;mk=5043182:5043201|offset_41|00cc00,5043159:5043178|offset_64|444444,5043133:5043152|offset_90|444444,5043113:5043132|offset_110|444444&amp;v=5042981:5043332&amp;c=444444", "offset 41")</f>
        <v>offset 41</v>
      </c>
    </row>
    <row r="16316" customFormat="false" ht="12.8" hidden="false" customHeight="false" outlineLevel="0" collapsed="false">
      <c r="A16316" s="0" t="s">
        <v>12</v>
      </c>
      <c r="B16316" s="0" t="n">
        <v>5043158</v>
      </c>
      <c r="C16316" s="0" t="n">
        <v>5043178</v>
      </c>
      <c r="D16316" s="0" t="s">
        <v>54231</v>
      </c>
      <c r="E16316" s="0" t="s">
        <v>75</v>
      </c>
      <c r="F16316" s="0" t="s">
        <v>90</v>
      </c>
      <c r="G16316" s="0" t="s">
        <v>36</v>
      </c>
      <c r="H16316" s="0" t="n">
        <v>64</v>
      </c>
      <c r="I16316" s="0" t="s">
        <v>54235</v>
      </c>
      <c r="J16316" s="0" t="s">
        <v>54236</v>
      </c>
      <c r="K16316" s="0" t="s">
        <v>54237</v>
      </c>
      <c r="L16316" s="0" t="str">
        <f aca="false">HYPERLINK("https://www.ncbi.nlm.nih.gov/nuccore/CP000058.1?report=graph&amp;tracks=[key:gene_model_track,Options:GeneOnly]&amp;mk=5043182:5043201|offset_41|444444,5043159:5043178|offset_64|00cc00,5043133:5043152|offset_90|444444,5043113:5043132|offset_110|444444&amp;v=5042981:5043332&amp;c=444444", "offset 64")</f>
        <v>offset 64</v>
      </c>
    </row>
    <row r="16317" customFormat="false" ht="12.8" hidden="false" customHeight="false" outlineLevel="0" collapsed="false">
      <c r="A16317" s="0" t="s">
        <v>12</v>
      </c>
      <c r="B16317" s="0" t="n">
        <v>5043132</v>
      </c>
      <c r="C16317" s="0" t="n">
        <v>5043152</v>
      </c>
      <c r="D16317" s="0" t="s">
        <v>54231</v>
      </c>
      <c r="E16317" s="0" t="s">
        <v>75</v>
      </c>
      <c r="F16317" s="0" t="s">
        <v>90</v>
      </c>
      <c r="G16317" s="0" t="s">
        <v>16</v>
      </c>
      <c r="H16317" s="0" t="n">
        <v>90</v>
      </c>
      <c r="I16317" s="0" t="s">
        <v>54238</v>
      </c>
      <c r="J16317" s="0" t="s">
        <v>54239</v>
      </c>
      <c r="K16317" s="0" t="s">
        <v>54240</v>
      </c>
      <c r="L16317" s="0" t="str">
        <f aca="false">HYPERLINK("https://www.ncbi.nlm.nih.gov/nuccore/CP000058.1?report=graph&amp;tracks=[key:gene_model_track,Options:GeneOnly]&amp;mk=5043182:5043201|offset_41|444444,5043159:5043178|offset_64|444444,5043133:5043152|offset_90|00cc00,5043113:5043132|offset_110|444444&amp;v=5042981:5043332&amp;c=444444", "offset 90")</f>
        <v>offset 90</v>
      </c>
    </row>
    <row r="16318" customFormat="false" ht="12.8" hidden="false" customHeight="false" outlineLevel="0" collapsed="false">
      <c r="A16318" s="0" t="s">
        <v>12</v>
      </c>
      <c r="B16318" s="0" t="n">
        <v>5043112</v>
      </c>
      <c r="C16318" s="0" t="n">
        <v>5043132</v>
      </c>
      <c r="D16318" s="0" t="s">
        <v>54231</v>
      </c>
      <c r="E16318" s="0" t="s">
        <v>75</v>
      </c>
      <c r="F16318" s="0" t="s">
        <v>90</v>
      </c>
      <c r="G16318" s="0" t="s">
        <v>20</v>
      </c>
      <c r="H16318" s="0" t="n">
        <v>110</v>
      </c>
      <c r="I16318" s="0" t="s">
        <v>54241</v>
      </c>
      <c r="J16318" s="0" t="s">
        <v>54242</v>
      </c>
      <c r="K16318" s="0" t="s">
        <v>54243</v>
      </c>
      <c r="L16318" s="0" t="str">
        <f aca="false">HYPERLINK("https://www.ncbi.nlm.nih.gov/nuccore/CP000058.1?report=graph&amp;tracks=[key:gene_model_track,Options:GeneOnly]&amp;mk=5043182:5043201|offset_41|444444,5043159:5043178|offset_64|444444,5043133:5043152|offset_90|444444,5043113:5043132|offset_110|00cc00&amp;v=5042981:5043332&amp;c=444444", "offset 110")</f>
        <v>offset 110</v>
      </c>
    </row>
    <row r="16319" customFormat="false" ht="12.8" hidden="false" customHeight="false" outlineLevel="0" collapsed="false">
      <c r="A16319" s="0" t="s">
        <v>12</v>
      </c>
      <c r="B16319" s="0" t="n">
        <v>5043657</v>
      </c>
      <c r="C16319" s="0" t="n">
        <v>5043677</v>
      </c>
      <c r="D16319" s="0" t="s">
        <v>54244</v>
      </c>
      <c r="E16319" s="0" t="s">
        <v>75</v>
      </c>
      <c r="F16319" s="0" t="s">
        <v>90</v>
      </c>
      <c r="G16319" s="0" t="s">
        <v>16</v>
      </c>
      <c r="H16319" s="0" t="n">
        <v>10</v>
      </c>
      <c r="I16319" s="0" t="s">
        <v>54245</v>
      </c>
      <c r="J16319" s="0" t="s">
        <v>54246</v>
      </c>
      <c r="K16319" s="0" t="s">
        <v>54247</v>
      </c>
      <c r="L16319" s="0" t="str">
        <f aca="false">HYPERLINK("https://www.ncbi.nlm.nih.gov/nuccore/CP000058.1?report=graph&amp;tracks=[key:gene_model_track,Options:GeneOnly]&amp;mk=5043658:5043677|offset_10|00cc00,5043619:5043638|offset_49|444444,5043577:5043596|offset_91|444444,5043549:5043568|offset_119|444444&amp;v=5043457:5043768&amp;c=444444", "offset 10")</f>
        <v>offset 10</v>
      </c>
    </row>
    <row r="16320" customFormat="false" ht="12.8" hidden="false" customHeight="false" outlineLevel="0" collapsed="false">
      <c r="A16320" s="0" t="s">
        <v>12</v>
      </c>
      <c r="B16320" s="0" t="n">
        <v>5043618</v>
      </c>
      <c r="C16320" s="0" t="n">
        <v>5043638</v>
      </c>
      <c r="D16320" s="0" t="s">
        <v>54244</v>
      </c>
      <c r="E16320" s="0" t="s">
        <v>75</v>
      </c>
      <c r="F16320" s="0" t="s">
        <v>90</v>
      </c>
      <c r="G16320" s="0" t="s">
        <v>16</v>
      </c>
      <c r="H16320" s="0" t="n">
        <v>49</v>
      </c>
      <c r="I16320" s="0" t="s">
        <v>54248</v>
      </c>
      <c r="J16320" s="0" t="s">
        <v>54249</v>
      </c>
      <c r="K16320" s="0" t="s">
        <v>54250</v>
      </c>
      <c r="L16320" s="0" t="str">
        <f aca="false">HYPERLINK("https://www.ncbi.nlm.nih.gov/nuccore/CP000058.1?report=graph&amp;tracks=[key:gene_model_track,Options:GeneOnly]&amp;mk=5043658:5043677|offset_10|444444,5043619:5043638|offset_49|00cc00,5043577:5043596|offset_91|444444,5043549:5043568|offset_119|444444&amp;v=5043457:5043768&amp;c=444444", "offset 49")</f>
        <v>offset 49</v>
      </c>
    </row>
    <row r="16321" customFormat="false" ht="12.8" hidden="false" customHeight="false" outlineLevel="0" collapsed="false">
      <c r="A16321" s="0" t="s">
        <v>12</v>
      </c>
      <c r="B16321" s="0" t="n">
        <v>5043576</v>
      </c>
      <c r="C16321" s="0" t="n">
        <v>5043596</v>
      </c>
      <c r="D16321" s="0" t="s">
        <v>54244</v>
      </c>
      <c r="E16321" s="0" t="s">
        <v>75</v>
      </c>
      <c r="F16321" s="0" t="s">
        <v>90</v>
      </c>
      <c r="G16321" s="0" t="s">
        <v>16</v>
      </c>
      <c r="H16321" s="0" t="n">
        <v>91</v>
      </c>
      <c r="I16321" s="0" t="s">
        <v>54251</v>
      </c>
      <c r="J16321" s="0" t="s">
        <v>54252</v>
      </c>
      <c r="K16321" s="0" t="s">
        <v>54253</v>
      </c>
      <c r="L16321" s="0" t="str">
        <f aca="false">HYPERLINK("https://www.ncbi.nlm.nih.gov/nuccore/CP000058.1?report=graph&amp;tracks=[key:gene_model_track,Options:GeneOnly]&amp;mk=5043658:5043677|offset_10|444444,5043619:5043638|offset_49|444444,5043577:5043596|offset_91|00cc00,5043549:5043568|offset_119|444444&amp;v=5043457:5043768&amp;c=444444", "offset 91")</f>
        <v>offset 91</v>
      </c>
    </row>
    <row r="16322" customFormat="false" ht="12.8" hidden="false" customHeight="false" outlineLevel="0" collapsed="false">
      <c r="A16322" s="0" t="s">
        <v>12</v>
      </c>
      <c r="B16322" s="0" t="n">
        <v>5043548</v>
      </c>
      <c r="C16322" s="0" t="n">
        <v>5043568</v>
      </c>
      <c r="D16322" s="0" t="s">
        <v>54244</v>
      </c>
      <c r="E16322" s="0" t="s">
        <v>75</v>
      </c>
      <c r="F16322" s="0" t="s">
        <v>90</v>
      </c>
      <c r="G16322" s="0" t="s">
        <v>20</v>
      </c>
      <c r="H16322" s="0" t="n">
        <v>119</v>
      </c>
      <c r="I16322" s="0" t="s">
        <v>54254</v>
      </c>
      <c r="J16322" s="0" t="s">
        <v>54255</v>
      </c>
      <c r="K16322" s="0" t="s">
        <v>54256</v>
      </c>
      <c r="L16322" s="0" t="str">
        <f aca="false">HYPERLINK("https://www.ncbi.nlm.nih.gov/nuccore/CP000058.1?report=graph&amp;tracks=[key:gene_model_track,Options:GeneOnly]&amp;mk=5043658:5043677|offset_10|444444,5043619:5043638|offset_49|444444,5043577:5043596|offset_91|444444,5043549:5043568|offset_119|00cc00&amp;v=5043457:5043768&amp;c=444444", "offset 119")</f>
        <v>offset 119</v>
      </c>
    </row>
    <row r="16323" customFormat="false" ht="12.8" hidden="false" customHeight="false" outlineLevel="0" collapsed="false">
      <c r="A16323" s="0" t="s">
        <v>12</v>
      </c>
      <c r="B16323" s="0" t="n">
        <v>5043805</v>
      </c>
      <c r="C16323" s="0" t="n">
        <v>5043825</v>
      </c>
      <c r="D16323" s="0" t="s">
        <v>54257</v>
      </c>
      <c r="E16323" s="0" t="s">
        <v>75</v>
      </c>
      <c r="F16323" s="0" t="s">
        <v>15</v>
      </c>
      <c r="G16323" s="0" t="s">
        <v>16</v>
      </c>
      <c r="H16323" s="0" t="n">
        <v>46</v>
      </c>
      <c r="I16323" s="0" t="s">
        <v>54258</v>
      </c>
      <c r="J16323" s="0" t="s">
        <v>54259</v>
      </c>
      <c r="K16323" s="0" t="s">
        <v>54260</v>
      </c>
      <c r="L16323" s="0" t="str">
        <f aca="false">HYPERLINK("https://www.ncbi.nlm.nih.gov/nuccore/CP000058.1?report=graph&amp;tracks=[key:gene_model_track,Options:GeneOnly]&amp;mk=5043806:5043825|offset_46|00cc00,5043872:5043891|offset_112|444444,5043899:5043918|offset_139|444444,5043926:5043945|offset_166|444444&amp;v=5043605:5044145&amp;c=444444", "offset 46")</f>
        <v>offset 46</v>
      </c>
    </row>
    <row r="16324" customFormat="false" ht="12.8" hidden="false" customHeight="false" outlineLevel="0" collapsed="false">
      <c r="A16324" s="0" t="s">
        <v>12</v>
      </c>
      <c r="B16324" s="0" t="n">
        <v>5043871</v>
      </c>
      <c r="C16324" s="0" t="n">
        <v>5043891</v>
      </c>
      <c r="D16324" s="0" t="s">
        <v>54257</v>
      </c>
      <c r="E16324" s="0" t="s">
        <v>75</v>
      </c>
      <c r="F16324" s="0" t="s">
        <v>15</v>
      </c>
      <c r="G16324" s="0" t="s">
        <v>16</v>
      </c>
      <c r="H16324" s="0" t="n">
        <v>112</v>
      </c>
      <c r="I16324" s="0" t="s">
        <v>54261</v>
      </c>
      <c r="J16324" s="0" t="s">
        <v>54262</v>
      </c>
      <c r="K16324" s="0" t="s">
        <v>54263</v>
      </c>
      <c r="L16324" s="0" t="str">
        <f aca="false">HYPERLINK("https://www.ncbi.nlm.nih.gov/nuccore/CP000058.1?report=graph&amp;tracks=[key:gene_model_track,Options:GeneOnly]&amp;mk=5043806:5043825|offset_46|444444,5043872:5043891|offset_112|00cc00,5043899:5043918|offset_139|444444,5043926:5043945|offset_166|444444&amp;v=5043605:5044145&amp;c=444444", "offset 112")</f>
        <v>offset 112</v>
      </c>
    </row>
    <row r="16325" customFormat="false" ht="12.8" hidden="false" customHeight="false" outlineLevel="0" collapsed="false">
      <c r="A16325" s="0" t="s">
        <v>12</v>
      </c>
      <c r="B16325" s="0" t="n">
        <v>5043898</v>
      </c>
      <c r="C16325" s="0" t="n">
        <v>5043918</v>
      </c>
      <c r="D16325" s="0" t="s">
        <v>54257</v>
      </c>
      <c r="E16325" s="0" t="s">
        <v>75</v>
      </c>
      <c r="F16325" s="0" t="s">
        <v>15</v>
      </c>
      <c r="G16325" s="0" t="s">
        <v>20</v>
      </c>
      <c r="H16325" s="0" t="n">
        <v>139</v>
      </c>
      <c r="I16325" s="0" t="s">
        <v>54264</v>
      </c>
      <c r="J16325" s="0" t="s">
        <v>54265</v>
      </c>
      <c r="K16325" s="0" t="s">
        <v>54266</v>
      </c>
      <c r="L16325" s="0" t="str">
        <f aca="false">HYPERLINK("https://www.ncbi.nlm.nih.gov/nuccore/CP000058.1?report=graph&amp;tracks=[key:gene_model_track,Options:GeneOnly]&amp;mk=5043806:5043825|offset_46|444444,5043872:5043891|offset_112|444444,5043899:5043918|offset_139|00cc00,5043926:5043945|offset_166|444444&amp;v=5043605:5044145&amp;c=444444", "offset 139")</f>
        <v>offset 139</v>
      </c>
    </row>
    <row r="16326" customFormat="false" ht="12.8" hidden="false" customHeight="false" outlineLevel="0" collapsed="false">
      <c r="A16326" s="0" t="s">
        <v>12</v>
      </c>
      <c r="B16326" s="0" t="n">
        <v>5043925</v>
      </c>
      <c r="C16326" s="0" t="n">
        <v>5043945</v>
      </c>
      <c r="D16326" s="0" t="s">
        <v>54257</v>
      </c>
      <c r="E16326" s="0" t="s">
        <v>75</v>
      </c>
      <c r="F16326" s="0" t="s">
        <v>15</v>
      </c>
      <c r="G16326" s="0" t="s">
        <v>16</v>
      </c>
      <c r="H16326" s="0" t="n">
        <v>166</v>
      </c>
      <c r="I16326" s="0" t="s">
        <v>54267</v>
      </c>
      <c r="J16326" s="0" t="s">
        <v>54268</v>
      </c>
      <c r="K16326" s="0" t="s">
        <v>54269</v>
      </c>
      <c r="L16326" s="0" t="str">
        <f aca="false">HYPERLINK("https://www.ncbi.nlm.nih.gov/nuccore/CP000058.1?report=graph&amp;tracks=[key:gene_model_track,Options:GeneOnly]&amp;mk=5043806:5043825|offset_46|444444,5043872:5043891|offset_112|444444,5043899:5043918|offset_139|444444,5043926:5043945|offset_166|00cc00&amp;v=5043605:5044145&amp;c=444444", "offset 166")</f>
        <v>offset 166</v>
      </c>
    </row>
    <row r="16327" customFormat="false" ht="12.8" hidden="false" customHeight="false" outlineLevel="0" collapsed="false">
      <c r="A16327" s="0" t="s">
        <v>12</v>
      </c>
      <c r="B16327" s="0" t="n">
        <v>5044429</v>
      </c>
      <c r="C16327" s="0" t="n">
        <v>5044449</v>
      </c>
      <c r="D16327" s="0" t="s">
        <v>54270</v>
      </c>
      <c r="E16327" s="0" t="s">
        <v>75</v>
      </c>
      <c r="F16327" s="0" t="s">
        <v>15</v>
      </c>
      <c r="G16327" s="0" t="s">
        <v>36</v>
      </c>
      <c r="H16327" s="0" t="n">
        <v>14</v>
      </c>
      <c r="I16327" s="0" t="s">
        <v>54271</v>
      </c>
      <c r="J16327" s="0" t="s">
        <v>54272</v>
      </c>
      <c r="K16327" s="0" t="s">
        <v>54273</v>
      </c>
      <c r="L16327" s="0" t="str">
        <f aca="false">HYPERLINK("https://www.ncbi.nlm.nih.gov/nuccore/CP000058.1?report=graph&amp;tracks=[key:gene_model_track,Options:GeneOnly]&amp;mk=5044430:5044449|offset_14|00cc00,5044460:5044479|offset_44|444444,5044526:5044545|offset_110|444444,5044592:5044611|offset_176|444444&amp;v=5044229:5044811&amp;c=444444", "offset 14")</f>
        <v>offset 14</v>
      </c>
    </row>
    <row r="16328" customFormat="false" ht="12.8" hidden="false" customHeight="false" outlineLevel="0" collapsed="false">
      <c r="A16328" s="0" t="s">
        <v>12</v>
      </c>
      <c r="B16328" s="0" t="n">
        <v>5044459</v>
      </c>
      <c r="C16328" s="0" t="n">
        <v>5044479</v>
      </c>
      <c r="D16328" s="0" t="s">
        <v>54270</v>
      </c>
      <c r="E16328" s="0" t="s">
        <v>75</v>
      </c>
      <c r="F16328" s="0" t="s">
        <v>15</v>
      </c>
      <c r="G16328" s="0" t="s">
        <v>32</v>
      </c>
      <c r="H16328" s="0" t="n">
        <v>44</v>
      </c>
      <c r="I16328" s="0" t="s">
        <v>54274</v>
      </c>
      <c r="J16328" s="0" t="s">
        <v>54275</v>
      </c>
      <c r="K16328" s="0" t="s">
        <v>54276</v>
      </c>
      <c r="L16328" s="0" t="str">
        <f aca="false">HYPERLINK("https://www.ncbi.nlm.nih.gov/nuccore/CP000058.1?report=graph&amp;tracks=[key:gene_model_track,Options:GeneOnly]&amp;mk=5044430:5044449|offset_14|444444,5044460:5044479|offset_44|00cc00,5044526:5044545|offset_110|444444,5044592:5044611|offset_176|444444&amp;v=5044229:5044811&amp;c=444444", "offset 44")</f>
        <v>offset 44</v>
      </c>
    </row>
    <row r="16329" customFormat="false" ht="12.8" hidden="false" customHeight="false" outlineLevel="0" collapsed="false">
      <c r="A16329" s="0" t="s">
        <v>12</v>
      </c>
      <c r="B16329" s="0" t="n">
        <v>5044525</v>
      </c>
      <c r="C16329" s="0" t="n">
        <v>5044545</v>
      </c>
      <c r="D16329" s="0" t="s">
        <v>54270</v>
      </c>
      <c r="E16329" s="0" t="s">
        <v>75</v>
      </c>
      <c r="F16329" s="0" t="s">
        <v>15</v>
      </c>
      <c r="G16329" s="0" t="s">
        <v>32</v>
      </c>
      <c r="H16329" s="0" t="n">
        <v>110</v>
      </c>
      <c r="I16329" s="0" t="s">
        <v>54277</v>
      </c>
      <c r="J16329" s="0" t="s">
        <v>54278</v>
      </c>
      <c r="K16329" s="0" t="s">
        <v>54279</v>
      </c>
      <c r="L16329" s="0" t="str">
        <f aca="false">HYPERLINK("https://www.ncbi.nlm.nih.gov/nuccore/CP000058.1?report=graph&amp;tracks=[key:gene_model_track,Options:GeneOnly]&amp;mk=5044430:5044449|offset_14|444444,5044460:5044479|offset_44|444444,5044526:5044545|offset_110|00cc00,5044592:5044611|offset_176|444444&amp;v=5044229:5044811&amp;c=444444", "offset 110")</f>
        <v>offset 110</v>
      </c>
    </row>
    <row r="16330" customFormat="false" ht="12.8" hidden="false" customHeight="false" outlineLevel="0" collapsed="false">
      <c r="A16330" s="0" t="s">
        <v>12</v>
      </c>
      <c r="B16330" s="0" t="n">
        <v>5044591</v>
      </c>
      <c r="C16330" s="0" t="n">
        <v>5044611</v>
      </c>
      <c r="D16330" s="0" t="s">
        <v>54270</v>
      </c>
      <c r="E16330" s="0" t="s">
        <v>75</v>
      </c>
      <c r="F16330" s="0" t="s">
        <v>15</v>
      </c>
      <c r="G16330" s="0" t="s">
        <v>20</v>
      </c>
      <c r="H16330" s="0" t="n">
        <v>176</v>
      </c>
      <c r="I16330" s="0" t="s">
        <v>54280</v>
      </c>
      <c r="J16330" s="0" t="s">
        <v>54281</v>
      </c>
      <c r="K16330" s="0" t="s">
        <v>54282</v>
      </c>
      <c r="L16330" s="0" t="str">
        <f aca="false">HYPERLINK("https://www.ncbi.nlm.nih.gov/nuccore/CP000058.1?report=graph&amp;tracks=[key:gene_model_track,Options:GeneOnly]&amp;mk=5044430:5044449|offset_14|444444,5044460:5044479|offset_44|444444,5044526:5044545|offset_110|444444,5044592:5044611|offset_176|00cc00&amp;v=5044229:5044811&amp;c=444444", "offset 176")</f>
        <v>offset 176</v>
      </c>
    </row>
    <row r="16331" customFormat="false" ht="12.8" hidden="false" customHeight="false" outlineLevel="0" collapsed="false">
      <c r="A16331" s="0" t="s">
        <v>12</v>
      </c>
      <c r="B16331" s="0" t="n">
        <v>5046828</v>
      </c>
      <c r="C16331" s="0" t="n">
        <v>5046848</v>
      </c>
      <c r="D16331" s="0" t="s">
        <v>54283</v>
      </c>
      <c r="E16331" s="0" t="s">
        <v>75</v>
      </c>
      <c r="F16331" s="0" t="s">
        <v>90</v>
      </c>
      <c r="G16331" s="0" t="s">
        <v>16</v>
      </c>
      <c r="H16331" s="0" t="n">
        <v>7</v>
      </c>
      <c r="I16331" s="0" t="s">
        <v>54284</v>
      </c>
      <c r="J16331" s="0" t="s">
        <v>54285</v>
      </c>
      <c r="K16331" s="0" t="s">
        <v>54286</v>
      </c>
      <c r="L16331" s="0" t="str">
        <f aca="false">HYPERLINK("https://www.ncbi.nlm.nih.gov/nuccore/CP000058.1?report=graph&amp;tracks=[key:gene_model_track,Options:GeneOnly]&amp;mk=5046829:5046848|offset_7|00cc00,5046801:5046820|offset_35|444444,5046771:5046790|offset_65|444444,5046724:5046743|offset_112|444444&amp;v=5046628:5046943&amp;c=444444", "offset 7")</f>
        <v>offset 7</v>
      </c>
    </row>
    <row r="16332" customFormat="false" ht="12.8" hidden="false" customHeight="false" outlineLevel="0" collapsed="false">
      <c r="A16332" s="0" t="s">
        <v>12</v>
      </c>
      <c r="B16332" s="0" t="n">
        <v>5046800</v>
      </c>
      <c r="C16332" s="0" t="n">
        <v>5046820</v>
      </c>
      <c r="D16332" s="0" t="s">
        <v>54283</v>
      </c>
      <c r="E16332" s="0" t="s">
        <v>75</v>
      </c>
      <c r="F16332" s="0" t="s">
        <v>90</v>
      </c>
      <c r="G16332" s="0" t="s">
        <v>20</v>
      </c>
      <c r="H16332" s="0" t="n">
        <v>35</v>
      </c>
      <c r="I16332" s="0" t="s">
        <v>54287</v>
      </c>
      <c r="J16332" s="0" t="s">
        <v>54288</v>
      </c>
      <c r="K16332" s="0" t="s">
        <v>54289</v>
      </c>
      <c r="L16332" s="0" t="str">
        <f aca="false">HYPERLINK("https://www.ncbi.nlm.nih.gov/nuccore/CP000058.1?report=graph&amp;tracks=[key:gene_model_track,Options:GeneOnly]&amp;mk=5046829:5046848|offset_7|444444,5046801:5046820|offset_35|00cc00,5046771:5046790|offset_65|444444,5046724:5046743|offset_112|444444&amp;v=5046628:5046943&amp;c=444444", "offset 35")</f>
        <v>offset 35</v>
      </c>
    </row>
    <row r="16333" customFormat="false" ht="12.8" hidden="false" customHeight="false" outlineLevel="0" collapsed="false">
      <c r="A16333" s="0" t="s">
        <v>12</v>
      </c>
      <c r="B16333" s="0" t="n">
        <v>5046770</v>
      </c>
      <c r="C16333" s="0" t="n">
        <v>5046790</v>
      </c>
      <c r="D16333" s="0" t="s">
        <v>54283</v>
      </c>
      <c r="E16333" s="0" t="s">
        <v>75</v>
      </c>
      <c r="F16333" s="0" t="s">
        <v>90</v>
      </c>
      <c r="G16333" s="0" t="s">
        <v>32</v>
      </c>
      <c r="H16333" s="0" t="n">
        <v>65</v>
      </c>
      <c r="I16333" s="0" t="s">
        <v>54290</v>
      </c>
      <c r="J16333" s="0" t="s">
        <v>54291</v>
      </c>
      <c r="K16333" s="0" t="s">
        <v>54292</v>
      </c>
      <c r="L16333" s="0" t="str">
        <f aca="false">HYPERLINK("https://www.ncbi.nlm.nih.gov/nuccore/CP000058.1?report=graph&amp;tracks=[key:gene_model_track,Options:GeneOnly]&amp;mk=5046829:5046848|offset_7|444444,5046801:5046820|offset_35|444444,5046771:5046790|offset_65|00cc00,5046724:5046743|offset_112|444444&amp;v=5046628:5046943&amp;c=444444", "offset 65")</f>
        <v>offset 65</v>
      </c>
    </row>
    <row r="16334" customFormat="false" ht="12.8" hidden="false" customHeight="false" outlineLevel="0" collapsed="false">
      <c r="A16334" s="0" t="s">
        <v>12</v>
      </c>
      <c r="B16334" s="0" t="n">
        <v>5046723</v>
      </c>
      <c r="C16334" s="0" t="n">
        <v>5046743</v>
      </c>
      <c r="D16334" s="0" t="s">
        <v>54283</v>
      </c>
      <c r="E16334" s="0" t="s">
        <v>75</v>
      </c>
      <c r="F16334" s="0" t="s">
        <v>90</v>
      </c>
      <c r="G16334" s="0" t="s">
        <v>16</v>
      </c>
      <c r="H16334" s="0" t="n">
        <v>112</v>
      </c>
      <c r="I16334" s="0" t="s">
        <v>54293</v>
      </c>
      <c r="J16334" s="0" t="s">
        <v>54294</v>
      </c>
      <c r="K16334" s="0" t="s">
        <v>54295</v>
      </c>
      <c r="L16334" s="0" t="str">
        <f aca="false">HYPERLINK("https://www.ncbi.nlm.nih.gov/nuccore/CP000058.1?report=graph&amp;tracks=[key:gene_model_track,Options:GeneOnly]&amp;mk=5046829:5046848|offset_7|444444,5046801:5046820|offset_35|444444,5046771:5046790|offset_65|444444,5046724:5046743|offset_112|00cc00&amp;v=5046628:5046943&amp;c=444444", "offset 112")</f>
        <v>offset 112</v>
      </c>
    </row>
    <row r="16335" customFormat="false" ht="12.8" hidden="false" customHeight="false" outlineLevel="0" collapsed="false">
      <c r="A16335" s="0" t="s">
        <v>12</v>
      </c>
      <c r="B16335" s="0" t="n">
        <v>5047157</v>
      </c>
      <c r="C16335" s="0" t="n">
        <v>5047177</v>
      </c>
      <c r="D16335" s="0" t="s">
        <v>54296</v>
      </c>
      <c r="E16335" s="0" t="s">
        <v>75</v>
      </c>
      <c r="F16335" s="0" t="s">
        <v>15</v>
      </c>
      <c r="G16335" s="0" t="s">
        <v>32</v>
      </c>
      <c r="H16335" s="0" t="n">
        <v>1</v>
      </c>
      <c r="I16335" s="0" t="s">
        <v>54297</v>
      </c>
      <c r="J16335" s="0" t="s">
        <v>54298</v>
      </c>
      <c r="K16335" s="0" t="s">
        <v>54299</v>
      </c>
      <c r="L16335" s="0" t="str">
        <f aca="false">HYPERLINK("https://www.ncbi.nlm.nih.gov/nuccore/CP000058.1?report=graph&amp;tracks=[key:gene_model_track,Options:GeneOnly]&amp;mk=5047158:5047177|offset_1|00cc00,5047203:5047222|offset_46|444444,5047228:5047247|offset_71|444444,5047258:5047277|offset_101|444444&amp;v=5046957:5047477&amp;c=444444", "offset 1")</f>
        <v>offset 1</v>
      </c>
    </row>
    <row r="16336" customFormat="false" ht="12.8" hidden="false" customHeight="false" outlineLevel="0" collapsed="false">
      <c r="A16336" s="0" t="s">
        <v>12</v>
      </c>
      <c r="B16336" s="0" t="n">
        <v>5047202</v>
      </c>
      <c r="C16336" s="0" t="n">
        <v>5047222</v>
      </c>
      <c r="D16336" s="0" t="s">
        <v>54296</v>
      </c>
      <c r="E16336" s="0" t="s">
        <v>75</v>
      </c>
      <c r="F16336" s="0" t="s">
        <v>15</v>
      </c>
      <c r="G16336" s="0" t="s">
        <v>16</v>
      </c>
      <c r="H16336" s="0" t="n">
        <v>46</v>
      </c>
      <c r="I16336" s="0" t="s">
        <v>54300</v>
      </c>
      <c r="J16336" s="0" t="s">
        <v>54301</v>
      </c>
      <c r="K16336" s="0" t="s">
        <v>54302</v>
      </c>
      <c r="L16336" s="0" t="str">
        <f aca="false">HYPERLINK("https://www.ncbi.nlm.nih.gov/nuccore/CP000058.1?report=graph&amp;tracks=[key:gene_model_track,Options:GeneOnly]&amp;mk=5047158:5047177|offset_1|444444,5047203:5047222|offset_46|00cc00,5047228:5047247|offset_71|444444,5047258:5047277|offset_101|444444&amp;v=5046957:5047477&amp;c=444444", "offset 46")</f>
        <v>offset 46</v>
      </c>
    </row>
    <row r="16337" customFormat="false" ht="12.8" hidden="false" customHeight="false" outlineLevel="0" collapsed="false">
      <c r="A16337" s="0" t="s">
        <v>12</v>
      </c>
      <c r="B16337" s="0" t="n">
        <v>5047227</v>
      </c>
      <c r="C16337" s="0" t="n">
        <v>5047247</v>
      </c>
      <c r="D16337" s="0" t="s">
        <v>54296</v>
      </c>
      <c r="E16337" s="0" t="s">
        <v>75</v>
      </c>
      <c r="F16337" s="0" t="s">
        <v>15</v>
      </c>
      <c r="G16337" s="0" t="s">
        <v>16</v>
      </c>
      <c r="H16337" s="0" t="n">
        <v>71</v>
      </c>
      <c r="I16337" s="0" t="s">
        <v>54303</v>
      </c>
      <c r="J16337" s="0" t="s">
        <v>54304</v>
      </c>
      <c r="K16337" s="0" t="s">
        <v>54305</v>
      </c>
      <c r="L16337" s="0" t="str">
        <f aca="false">HYPERLINK("https://www.ncbi.nlm.nih.gov/nuccore/CP000058.1?report=graph&amp;tracks=[key:gene_model_track,Options:GeneOnly]&amp;mk=5047158:5047177|offset_1|444444,5047203:5047222|offset_46|444444,5047228:5047247|offset_71|00cc00,5047258:5047277|offset_101|444444&amp;v=5046957:5047477&amp;c=444444", "offset 71")</f>
        <v>offset 71</v>
      </c>
    </row>
    <row r="16338" customFormat="false" ht="12.8" hidden="false" customHeight="false" outlineLevel="0" collapsed="false">
      <c r="A16338" s="0" t="s">
        <v>12</v>
      </c>
      <c r="B16338" s="0" t="n">
        <v>5047257</v>
      </c>
      <c r="C16338" s="0" t="n">
        <v>5047277</v>
      </c>
      <c r="D16338" s="0" t="s">
        <v>54296</v>
      </c>
      <c r="E16338" s="0" t="s">
        <v>75</v>
      </c>
      <c r="F16338" s="0" t="s">
        <v>15</v>
      </c>
      <c r="G16338" s="0" t="s">
        <v>16</v>
      </c>
      <c r="H16338" s="0" t="n">
        <v>101</v>
      </c>
      <c r="I16338" s="0" t="s">
        <v>54306</v>
      </c>
      <c r="J16338" s="0" t="s">
        <v>54307</v>
      </c>
      <c r="K16338" s="0" t="s">
        <v>54308</v>
      </c>
      <c r="L16338" s="0" t="str">
        <f aca="false">HYPERLINK("https://www.ncbi.nlm.nih.gov/nuccore/CP000058.1?report=graph&amp;tracks=[key:gene_model_track,Options:GeneOnly]&amp;mk=5047158:5047177|offset_1|444444,5047203:5047222|offset_46|444444,5047228:5047247|offset_71|444444,5047258:5047277|offset_101|00cc00&amp;v=5046957:5047477&amp;c=444444", "offset 101")</f>
        <v>offset 101</v>
      </c>
    </row>
    <row r="16339" customFormat="false" ht="12.8" hidden="false" customHeight="false" outlineLevel="0" collapsed="false">
      <c r="A16339" s="0" t="s">
        <v>12</v>
      </c>
      <c r="B16339" s="0" t="n">
        <v>5048247</v>
      </c>
      <c r="C16339" s="0" t="n">
        <v>5048267</v>
      </c>
      <c r="D16339" s="0" t="s">
        <v>54309</v>
      </c>
      <c r="E16339" s="0" t="s">
        <v>75</v>
      </c>
      <c r="F16339" s="0" t="s">
        <v>15</v>
      </c>
      <c r="G16339" s="0" t="s">
        <v>20</v>
      </c>
      <c r="H16339" s="0" t="n">
        <v>12</v>
      </c>
      <c r="I16339" s="0" t="s">
        <v>54310</v>
      </c>
      <c r="J16339" s="0" t="s">
        <v>54311</v>
      </c>
      <c r="K16339" s="0" t="s">
        <v>54312</v>
      </c>
      <c r="L16339" s="0" t="str">
        <f aca="false">HYPERLINK("https://www.ncbi.nlm.nih.gov/nuccore/CP000058.1?report=graph&amp;tracks=[key:gene_model_track,Options:GeneOnly]&amp;mk=5048248:5048267|offset_12|00cc00,5048268:5048287|offset_32|444444,5048297:5048316|offset_61|444444,5048337:5048356|offset_101|444444&amp;v=5048047:5048556&amp;c=444444", "offset 12")</f>
        <v>offset 12</v>
      </c>
    </row>
    <row r="16340" customFormat="false" ht="12.8" hidden="false" customHeight="false" outlineLevel="0" collapsed="false">
      <c r="A16340" s="0" t="s">
        <v>12</v>
      </c>
      <c r="B16340" s="0" t="n">
        <v>5048267</v>
      </c>
      <c r="C16340" s="0" t="n">
        <v>5048287</v>
      </c>
      <c r="D16340" s="0" t="s">
        <v>54309</v>
      </c>
      <c r="E16340" s="0" t="s">
        <v>75</v>
      </c>
      <c r="F16340" s="0" t="s">
        <v>15</v>
      </c>
      <c r="G16340" s="0" t="s">
        <v>16</v>
      </c>
      <c r="H16340" s="0" t="n">
        <v>32</v>
      </c>
      <c r="I16340" s="0" t="s">
        <v>54313</v>
      </c>
      <c r="J16340" s="0" t="s">
        <v>54314</v>
      </c>
      <c r="K16340" s="0" t="s">
        <v>54315</v>
      </c>
      <c r="L16340" s="0" t="str">
        <f aca="false">HYPERLINK("https://www.ncbi.nlm.nih.gov/nuccore/CP000058.1?report=graph&amp;tracks=[key:gene_model_track,Options:GeneOnly]&amp;mk=5048248:5048267|offset_12|444444,5048268:5048287|offset_32|00cc00,5048297:5048316|offset_61|444444,5048337:5048356|offset_101|444444&amp;v=5048047:5048556&amp;c=444444", "offset 32")</f>
        <v>offset 32</v>
      </c>
    </row>
    <row r="16341" customFormat="false" ht="12.8" hidden="false" customHeight="false" outlineLevel="0" collapsed="false">
      <c r="A16341" s="0" t="s">
        <v>12</v>
      </c>
      <c r="B16341" s="0" t="n">
        <v>5048296</v>
      </c>
      <c r="C16341" s="0" t="n">
        <v>5048316</v>
      </c>
      <c r="D16341" s="0" t="s">
        <v>54309</v>
      </c>
      <c r="E16341" s="0" t="s">
        <v>75</v>
      </c>
      <c r="F16341" s="0" t="s">
        <v>15</v>
      </c>
      <c r="G16341" s="0" t="s">
        <v>20</v>
      </c>
      <c r="H16341" s="0" t="n">
        <v>61</v>
      </c>
      <c r="I16341" s="0" t="s">
        <v>54316</v>
      </c>
      <c r="J16341" s="0" t="s">
        <v>54317</v>
      </c>
      <c r="K16341" s="0" t="s">
        <v>54318</v>
      </c>
      <c r="L16341" s="0" t="str">
        <f aca="false">HYPERLINK("https://www.ncbi.nlm.nih.gov/nuccore/CP000058.1?report=graph&amp;tracks=[key:gene_model_track,Options:GeneOnly]&amp;mk=5048248:5048267|offset_12|444444,5048268:5048287|offset_32|444444,5048297:5048316|offset_61|00cc00,5048337:5048356|offset_101|444444&amp;v=5048047:5048556&amp;c=444444", "offset 61")</f>
        <v>offset 61</v>
      </c>
    </row>
    <row r="16342" customFormat="false" ht="12.8" hidden="false" customHeight="false" outlineLevel="0" collapsed="false">
      <c r="A16342" s="0" t="s">
        <v>12</v>
      </c>
      <c r="B16342" s="0" t="n">
        <v>5048336</v>
      </c>
      <c r="C16342" s="0" t="n">
        <v>5048356</v>
      </c>
      <c r="D16342" s="0" t="s">
        <v>54309</v>
      </c>
      <c r="E16342" s="0" t="s">
        <v>75</v>
      </c>
      <c r="F16342" s="0" t="s">
        <v>15</v>
      </c>
      <c r="G16342" s="0" t="s">
        <v>16</v>
      </c>
      <c r="H16342" s="0" t="n">
        <v>101</v>
      </c>
      <c r="I16342" s="0" t="s">
        <v>54319</v>
      </c>
      <c r="J16342" s="0" t="s">
        <v>54320</v>
      </c>
      <c r="K16342" s="0" t="s">
        <v>54321</v>
      </c>
      <c r="L16342" s="0" t="str">
        <f aca="false">HYPERLINK("https://www.ncbi.nlm.nih.gov/nuccore/CP000058.1?report=graph&amp;tracks=[key:gene_model_track,Options:GeneOnly]&amp;mk=5048248:5048267|offset_12|444444,5048268:5048287|offset_32|444444,5048297:5048316|offset_61|444444,5048337:5048356|offset_101|00cc00&amp;v=5048047:5048556&amp;c=444444", "offset 101")</f>
        <v>offset 101</v>
      </c>
    </row>
    <row r="16343" customFormat="false" ht="12.8" hidden="false" customHeight="false" outlineLevel="0" collapsed="false">
      <c r="A16343" s="0" t="s">
        <v>12</v>
      </c>
      <c r="B16343" s="0" t="n">
        <v>5048985</v>
      </c>
      <c r="C16343" s="0" t="n">
        <v>5049005</v>
      </c>
      <c r="D16343" s="0" t="s">
        <v>54322</v>
      </c>
      <c r="E16343" s="0" t="s">
        <v>75</v>
      </c>
      <c r="F16343" s="0" t="s">
        <v>15</v>
      </c>
      <c r="G16343" s="0" t="s">
        <v>16</v>
      </c>
      <c r="H16343" s="0" t="n">
        <v>16</v>
      </c>
      <c r="I16343" s="0" t="s">
        <v>54323</v>
      </c>
      <c r="J16343" s="0" t="s">
        <v>54324</v>
      </c>
      <c r="K16343" s="0" t="s">
        <v>54325</v>
      </c>
      <c r="L16343" s="0" t="str">
        <f aca="false">HYPERLINK("https://www.ncbi.nlm.nih.gov/nuccore/CP000058.1?report=graph&amp;tracks=[key:gene_model_track,Options:GeneOnly]&amp;mk=5048986:5049005|offset_16|00cc00,5049025:5049044|offset_55|444444,5049045:5049064|offset_75|444444,5049067:5049086|offset_97|444444&amp;v=5048785:5049286&amp;c=444444", "offset 16")</f>
        <v>offset 16</v>
      </c>
    </row>
    <row r="16344" customFormat="false" ht="12.8" hidden="false" customHeight="false" outlineLevel="0" collapsed="false">
      <c r="A16344" s="0" t="s">
        <v>12</v>
      </c>
      <c r="B16344" s="0" t="n">
        <v>5049024</v>
      </c>
      <c r="C16344" s="0" t="n">
        <v>5049044</v>
      </c>
      <c r="D16344" s="0" t="s">
        <v>54322</v>
      </c>
      <c r="E16344" s="0" t="s">
        <v>75</v>
      </c>
      <c r="F16344" s="0" t="s">
        <v>15</v>
      </c>
      <c r="G16344" s="0" t="s">
        <v>16</v>
      </c>
      <c r="H16344" s="0" t="n">
        <v>55</v>
      </c>
      <c r="I16344" s="0" t="s">
        <v>54326</v>
      </c>
      <c r="J16344" s="0" t="s">
        <v>54327</v>
      </c>
      <c r="K16344" s="0" t="s">
        <v>54328</v>
      </c>
      <c r="L16344" s="0" t="str">
        <f aca="false">HYPERLINK("https://www.ncbi.nlm.nih.gov/nuccore/CP000058.1?report=graph&amp;tracks=[key:gene_model_track,Options:GeneOnly]&amp;mk=5048986:5049005|offset_16|444444,5049025:5049044|offset_55|00cc00,5049045:5049064|offset_75|444444,5049067:5049086|offset_97|444444&amp;v=5048785:5049286&amp;c=444444", "offset 55")</f>
        <v>offset 55</v>
      </c>
    </row>
    <row r="16345" customFormat="false" ht="12.8" hidden="false" customHeight="false" outlineLevel="0" collapsed="false">
      <c r="A16345" s="0" t="s">
        <v>12</v>
      </c>
      <c r="B16345" s="0" t="n">
        <v>5049044</v>
      </c>
      <c r="C16345" s="0" t="n">
        <v>5049064</v>
      </c>
      <c r="D16345" s="0" t="s">
        <v>54322</v>
      </c>
      <c r="E16345" s="0" t="s">
        <v>75</v>
      </c>
      <c r="F16345" s="0" t="s">
        <v>15</v>
      </c>
      <c r="G16345" s="0" t="s">
        <v>16</v>
      </c>
      <c r="H16345" s="0" t="n">
        <v>75</v>
      </c>
      <c r="I16345" s="0" t="s">
        <v>54329</v>
      </c>
      <c r="J16345" s="0" t="s">
        <v>54330</v>
      </c>
      <c r="K16345" s="0" t="s">
        <v>54331</v>
      </c>
      <c r="L16345" s="0" t="str">
        <f aca="false">HYPERLINK("https://www.ncbi.nlm.nih.gov/nuccore/CP000058.1?report=graph&amp;tracks=[key:gene_model_track,Options:GeneOnly]&amp;mk=5048986:5049005|offset_16|444444,5049025:5049044|offset_55|444444,5049045:5049064|offset_75|00cc00,5049067:5049086|offset_97|444444&amp;v=5048785:5049286&amp;c=444444", "offset 75")</f>
        <v>offset 75</v>
      </c>
    </row>
    <row r="16346" customFormat="false" ht="12.8" hidden="false" customHeight="false" outlineLevel="0" collapsed="false">
      <c r="A16346" s="0" t="s">
        <v>12</v>
      </c>
      <c r="B16346" s="0" t="n">
        <v>5049066</v>
      </c>
      <c r="C16346" s="0" t="n">
        <v>5049086</v>
      </c>
      <c r="D16346" s="0" t="s">
        <v>54322</v>
      </c>
      <c r="E16346" s="0" t="s">
        <v>75</v>
      </c>
      <c r="F16346" s="0" t="s">
        <v>15</v>
      </c>
      <c r="G16346" s="0" t="s">
        <v>16</v>
      </c>
      <c r="H16346" s="0" t="n">
        <v>97</v>
      </c>
      <c r="I16346" s="0" t="s">
        <v>54332</v>
      </c>
      <c r="J16346" s="0" t="s">
        <v>54333</v>
      </c>
      <c r="K16346" s="0" t="s">
        <v>54334</v>
      </c>
      <c r="L16346" s="0" t="str">
        <f aca="false">HYPERLINK("https://www.ncbi.nlm.nih.gov/nuccore/CP000058.1?report=graph&amp;tracks=[key:gene_model_track,Options:GeneOnly]&amp;mk=5048986:5049005|offset_16|444444,5049025:5049044|offset_55|444444,5049045:5049064|offset_75|444444,5049067:5049086|offset_97|00cc00&amp;v=5048785:5049286&amp;c=444444", "offset 97")</f>
        <v>offset 97</v>
      </c>
    </row>
    <row r="16347" customFormat="false" ht="12.8" hidden="false" customHeight="false" outlineLevel="0" collapsed="false">
      <c r="A16347" s="0" t="s">
        <v>12</v>
      </c>
      <c r="B16347" s="0" t="n">
        <v>5049448</v>
      </c>
      <c r="C16347" s="0" t="n">
        <v>5049468</v>
      </c>
      <c r="D16347" s="0" t="s">
        <v>54335</v>
      </c>
      <c r="E16347" s="0" t="s">
        <v>54336</v>
      </c>
      <c r="F16347" s="0" t="s">
        <v>15</v>
      </c>
      <c r="G16347" s="0" t="s">
        <v>16</v>
      </c>
      <c r="H16347" s="0" t="n">
        <v>7</v>
      </c>
      <c r="I16347" s="0" t="s">
        <v>54337</v>
      </c>
      <c r="J16347" s="0" t="s">
        <v>54338</v>
      </c>
      <c r="K16347" s="0" t="s">
        <v>54339</v>
      </c>
      <c r="L16347" s="0" t="str">
        <f aca="false">HYPERLINK("https://www.ncbi.nlm.nih.gov/nuccore/CP000058.1?report=graph&amp;tracks=[key:gene_model_track,Options:GeneOnly]&amp;mk=5049449:5049468|offset_7|00cc00,5049480:5049499|offset_38|444444,5049501:5049520|offset_59|444444,5049522:5049541|offset_80|444444&amp;v=5049248:5049741&amp;c=444444", "offset 7")</f>
        <v>offset 7</v>
      </c>
    </row>
    <row r="16348" customFormat="false" ht="12.8" hidden="false" customHeight="false" outlineLevel="0" collapsed="false">
      <c r="A16348" s="0" t="s">
        <v>12</v>
      </c>
      <c r="B16348" s="0" t="n">
        <v>5049479</v>
      </c>
      <c r="C16348" s="0" t="n">
        <v>5049499</v>
      </c>
      <c r="D16348" s="0" t="s">
        <v>54335</v>
      </c>
      <c r="E16348" s="0" t="s">
        <v>54336</v>
      </c>
      <c r="F16348" s="0" t="s">
        <v>15</v>
      </c>
      <c r="G16348" s="0" t="s">
        <v>32</v>
      </c>
      <c r="H16348" s="0" t="n">
        <v>38</v>
      </c>
      <c r="I16348" s="0" t="s">
        <v>54340</v>
      </c>
      <c r="J16348" s="0" t="s">
        <v>54341</v>
      </c>
      <c r="K16348" s="0" t="s">
        <v>54342</v>
      </c>
      <c r="L16348" s="0" t="str">
        <f aca="false">HYPERLINK("https://www.ncbi.nlm.nih.gov/nuccore/CP000058.1?report=graph&amp;tracks=[key:gene_model_track,Options:GeneOnly]&amp;mk=5049449:5049468|offset_7|444444,5049480:5049499|offset_38|00cc00,5049501:5049520|offset_59|444444,5049522:5049541|offset_80|444444&amp;v=5049248:5049741&amp;c=444444", "offset 38")</f>
        <v>offset 38</v>
      </c>
    </row>
    <row r="16349" customFormat="false" ht="12.8" hidden="false" customHeight="false" outlineLevel="0" collapsed="false">
      <c r="A16349" s="0" t="s">
        <v>12</v>
      </c>
      <c r="B16349" s="0" t="n">
        <v>5049500</v>
      </c>
      <c r="C16349" s="0" t="n">
        <v>5049520</v>
      </c>
      <c r="D16349" s="0" t="s">
        <v>54335</v>
      </c>
      <c r="E16349" s="0" t="s">
        <v>54336</v>
      </c>
      <c r="F16349" s="0" t="s">
        <v>15</v>
      </c>
      <c r="G16349" s="0" t="s">
        <v>16</v>
      </c>
      <c r="H16349" s="0" t="n">
        <v>59</v>
      </c>
      <c r="I16349" s="0" t="s">
        <v>54343</v>
      </c>
      <c r="J16349" s="0" t="s">
        <v>54344</v>
      </c>
      <c r="K16349" s="0" t="s">
        <v>54345</v>
      </c>
      <c r="L16349" s="0" t="str">
        <f aca="false">HYPERLINK("https://www.ncbi.nlm.nih.gov/nuccore/CP000058.1?report=graph&amp;tracks=[key:gene_model_track,Options:GeneOnly]&amp;mk=5049449:5049468|offset_7|444444,5049480:5049499|offset_38|444444,5049501:5049520|offset_59|00cc00,5049522:5049541|offset_80|444444&amp;v=5049248:5049741&amp;c=444444", "offset 59")</f>
        <v>offset 59</v>
      </c>
    </row>
    <row r="16350" customFormat="false" ht="12.8" hidden="false" customHeight="false" outlineLevel="0" collapsed="false">
      <c r="A16350" s="0" t="s">
        <v>12</v>
      </c>
      <c r="B16350" s="0" t="n">
        <v>5049521</v>
      </c>
      <c r="C16350" s="0" t="n">
        <v>5049541</v>
      </c>
      <c r="D16350" s="0" t="s">
        <v>54335</v>
      </c>
      <c r="E16350" s="0" t="s">
        <v>54336</v>
      </c>
      <c r="F16350" s="0" t="s">
        <v>15</v>
      </c>
      <c r="G16350" s="0" t="s">
        <v>32</v>
      </c>
      <c r="H16350" s="0" t="n">
        <v>80</v>
      </c>
      <c r="I16350" s="0" t="s">
        <v>54346</v>
      </c>
      <c r="J16350" s="0" t="s">
        <v>54347</v>
      </c>
      <c r="K16350" s="0" t="s">
        <v>54348</v>
      </c>
      <c r="L16350" s="0" t="str">
        <f aca="false">HYPERLINK("https://www.ncbi.nlm.nih.gov/nuccore/CP000058.1?report=graph&amp;tracks=[key:gene_model_track,Options:GeneOnly]&amp;mk=5049449:5049468|offset_7|444444,5049480:5049499|offset_38|444444,5049501:5049520|offset_59|444444,5049522:5049541|offset_80|00cc00&amp;v=5049248:5049741&amp;c=444444", "offset 80")</f>
        <v>offset 80</v>
      </c>
    </row>
    <row r="16351" customFormat="false" ht="12.8" hidden="false" customHeight="false" outlineLevel="0" collapsed="false">
      <c r="A16351" s="0" t="s">
        <v>12</v>
      </c>
      <c r="B16351" s="0" t="n">
        <v>5051682</v>
      </c>
      <c r="C16351" s="0" t="n">
        <v>5051702</v>
      </c>
      <c r="D16351" s="0" t="s">
        <v>54349</v>
      </c>
      <c r="E16351" s="0" t="s">
        <v>75</v>
      </c>
      <c r="F16351" s="0" t="s">
        <v>15</v>
      </c>
      <c r="G16351" s="0" t="s">
        <v>36</v>
      </c>
      <c r="H16351" s="0" t="n">
        <v>6</v>
      </c>
      <c r="I16351" s="0" t="s">
        <v>54350</v>
      </c>
      <c r="J16351" s="0" t="s">
        <v>54351</v>
      </c>
      <c r="K16351" s="0" t="s">
        <v>54352</v>
      </c>
      <c r="L16351" s="0" t="str">
        <f aca="false">HYPERLINK("https://www.ncbi.nlm.nih.gov/nuccore/CP000058.1?report=graph&amp;tracks=[key:gene_model_track,Options:GeneOnly]&amp;mk=5051683:5051702|offset_6|00cc00,5051723:5051742|offset_46|444444,5051748:5051767|offset_71|444444,5051778:5051797|offset_101|444444&amp;v=5051482:5051997&amp;c=444444", "offset 6")</f>
        <v>offset 6</v>
      </c>
    </row>
    <row r="16352" customFormat="false" ht="12.8" hidden="false" customHeight="false" outlineLevel="0" collapsed="false">
      <c r="A16352" s="0" t="s">
        <v>12</v>
      </c>
      <c r="B16352" s="0" t="n">
        <v>5051722</v>
      </c>
      <c r="C16352" s="0" t="n">
        <v>5051742</v>
      </c>
      <c r="D16352" s="0" t="s">
        <v>54349</v>
      </c>
      <c r="E16352" s="0" t="s">
        <v>75</v>
      </c>
      <c r="F16352" s="0" t="s">
        <v>15</v>
      </c>
      <c r="G16352" s="0" t="s">
        <v>36</v>
      </c>
      <c r="H16352" s="0" t="n">
        <v>46</v>
      </c>
      <c r="I16352" s="0" t="s">
        <v>54353</v>
      </c>
      <c r="J16352" s="0" t="s">
        <v>54354</v>
      </c>
      <c r="K16352" s="0" t="s">
        <v>54355</v>
      </c>
      <c r="L16352" s="0" t="str">
        <f aca="false">HYPERLINK("https://www.ncbi.nlm.nih.gov/nuccore/CP000058.1?report=graph&amp;tracks=[key:gene_model_track,Options:GeneOnly]&amp;mk=5051683:5051702|offset_6|444444,5051723:5051742|offset_46|00cc00,5051748:5051767|offset_71|444444,5051778:5051797|offset_101|444444&amp;v=5051482:5051997&amp;c=444444", "offset 46")</f>
        <v>offset 46</v>
      </c>
    </row>
    <row r="16353" customFormat="false" ht="12.8" hidden="false" customHeight="false" outlineLevel="0" collapsed="false">
      <c r="A16353" s="0" t="s">
        <v>12</v>
      </c>
      <c r="B16353" s="0" t="n">
        <v>5051747</v>
      </c>
      <c r="C16353" s="0" t="n">
        <v>5051767</v>
      </c>
      <c r="D16353" s="0" t="s">
        <v>54349</v>
      </c>
      <c r="E16353" s="0" t="s">
        <v>75</v>
      </c>
      <c r="F16353" s="0" t="s">
        <v>15</v>
      </c>
      <c r="G16353" s="0" t="s">
        <v>20</v>
      </c>
      <c r="H16353" s="0" t="n">
        <v>71</v>
      </c>
      <c r="I16353" s="0" t="s">
        <v>54356</v>
      </c>
      <c r="J16353" s="0" t="s">
        <v>54357</v>
      </c>
      <c r="K16353" s="0" t="s">
        <v>54358</v>
      </c>
      <c r="L16353" s="0" t="str">
        <f aca="false">HYPERLINK("https://www.ncbi.nlm.nih.gov/nuccore/CP000058.1?report=graph&amp;tracks=[key:gene_model_track,Options:GeneOnly]&amp;mk=5051683:5051702|offset_6|444444,5051723:5051742|offset_46|444444,5051748:5051767|offset_71|00cc00,5051778:5051797|offset_101|444444&amp;v=5051482:5051997&amp;c=444444", "offset 71")</f>
        <v>offset 71</v>
      </c>
    </row>
    <row r="16354" customFormat="false" ht="12.8" hidden="false" customHeight="false" outlineLevel="0" collapsed="false">
      <c r="A16354" s="0" t="s">
        <v>12</v>
      </c>
      <c r="B16354" s="0" t="n">
        <v>5051777</v>
      </c>
      <c r="C16354" s="0" t="n">
        <v>5051797</v>
      </c>
      <c r="D16354" s="0" t="s">
        <v>54349</v>
      </c>
      <c r="E16354" s="0" t="s">
        <v>75</v>
      </c>
      <c r="F16354" s="0" t="s">
        <v>15</v>
      </c>
      <c r="G16354" s="0" t="s">
        <v>32</v>
      </c>
      <c r="H16354" s="0" t="n">
        <v>101</v>
      </c>
      <c r="I16354" s="0" t="s">
        <v>54359</v>
      </c>
      <c r="J16354" s="0" t="s">
        <v>54360</v>
      </c>
      <c r="K16354" s="0" t="s">
        <v>54361</v>
      </c>
      <c r="L16354" s="0" t="str">
        <f aca="false">HYPERLINK("https://www.ncbi.nlm.nih.gov/nuccore/CP000058.1?report=graph&amp;tracks=[key:gene_model_track,Options:GeneOnly]&amp;mk=5051683:5051702|offset_6|444444,5051723:5051742|offset_46|444444,5051748:5051767|offset_71|444444,5051778:5051797|offset_101|00cc00&amp;v=5051482:5051997&amp;c=444444", "offset 101")</f>
        <v>offset 101</v>
      </c>
    </row>
    <row r="16355" customFormat="false" ht="12.8" hidden="false" customHeight="false" outlineLevel="0" collapsed="false">
      <c r="A16355" s="0" t="s">
        <v>12</v>
      </c>
      <c r="B16355" s="0" t="n">
        <v>5053221</v>
      </c>
      <c r="C16355" s="0" t="n">
        <v>5053241</v>
      </c>
      <c r="D16355" s="0" t="s">
        <v>54362</v>
      </c>
      <c r="E16355" s="0" t="s">
        <v>75</v>
      </c>
      <c r="F16355" s="0" t="s">
        <v>15</v>
      </c>
      <c r="G16355" s="0" t="s">
        <v>16</v>
      </c>
      <c r="H16355" s="0" t="n">
        <v>7</v>
      </c>
      <c r="I16355" s="0" t="s">
        <v>54363</v>
      </c>
      <c r="J16355" s="0" t="s">
        <v>54364</v>
      </c>
      <c r="K16355" s="0" t="s">
        <v>54365</v>
      </c>
      <c r="L16355" s="0" t="str">
        <f aca="false">HYPERLINK("https://www.ncbi.nlm.nih.gov/nuccore/CP000058.1?report=graph&amp;tracks=[key:gene_model_track,Options:GeneOnly]&amp;mk=5053222:5053241|offset_7|00cc00,5053260:5053279|offset_45|444444,5053294:5053313|offset_79|444444,5053333:5053352|offset_118|444444&amp;v=5053021:5053552&amp;c=444444", "offset 7")</f>
        <v>offset 7</v>
      </c>
    </row>
    <row r="16356" customFormat="false" ht="12.8" hidden="false" customHeight="false" outlineLevel="0" collapsed="false">
      <c r="A16356" s="0" t="s">
        <v>12</v>
      </c>
      <c r="B16356" s="0" t="n">
        <v>5053259</v>
      </c>
      <c r="C16356" s="0" t="n">
        <v>5053279</v>
      </c>
      <c r="D16356" s="0" t="s">
        <v>54362</v>
      </c>
      <c r="E16356" s="0" t="s">
        <v>75</v>
      </c>
      <c r="F16356" s="0" t="s">
        <v>15</v>
      </c>
      <c r="G16356" s="0" t="s">
        <v>16</v>
      </c>
      <c r="H16356" s="0" t="n">
        <v>45</v>
      </c>
      <c r="I16356" s="0" t="s">
        <v>54366</v>
      </c>
      <c r="J16356" s="0" t="s">
        <v>54367</v>
      </c>
      <c r="K16356" s="0" t="s">
        <v>54368</v>
      </c>
      <c r="L16356" s="0" t="str">
        <f aca="false">HYPERLINK("https://www.ncbi.nlm.nih.gov/nuccore/CP000058.1?report=graph&amp;tracks=[key:gene_model_track,Options:GeneOnly]&amp;mk=5053222:5053241|offset_7|444444,5053260:5053279|offset_45|00cc00,5053294:5053313|offset_79|444444,5053333:5053352|offset_118|444444&amp;v=5053021:5053552&amp;c=444444", "offset 45")</f>
        <v>offset 45</v>
      </c>
    </row>
    <row r="16357" customFormat="false" ht="12.8" hidden="false" customHeight="false" outlineLevel="0" collapsed="false">
      <c r="A16357" s="0" t="s">
        <v>12</v>
      </c>
      <c r="B16357" s="0" t="n">
        <v>5053293</v>
      </c>
      <c r="C16357" s="0" t="n">
        <v>5053313</v>
      </c>
      <c r="D16357" s="0" t="s">
        <v>54362</v>
      </c>
      <c r="E16357" s="0" t="s">
        <v>75</v>
      </c>
      <c r="F16357" s="0" t="s">
        <v>15</v>
      </c>
      <c r="G16357" s="0" t="s">
        <v>20</v>
      </c>
      <c r="H16357" s="0" t="n">
        <v>79</v>
      </c>
      <c r="I16357" s="0" t="s">
        <v>54369</v>
      </c>
      <c r="J16357" s="0" t="s">
        <v>54370</v>
      </c>
      <c r="K16357" s="0" t="s">
        <v>54371</v>
      </c>
      <c r="L16357" s="0" t="str">
        <f aca="false">HYPERLINK("https://www.ncbi.nlm.nih.gov/nuccore/CP000058.1?report=graph&amp;tracks=[key:gene_model_track,Options:GeneOnly]&amp;mk=5053222:5053241|offset_7|444444,5053260:5053279|offset_45|444444,5053294:5053313|offset_79|00cc00,5053333:5053352|offset_118|444444&amp;v=5053021:5053552&amp;c=444444", "offset 79")</f>
        <v>offset 79</v>
      </c>
    </row>
    <row r="16358" customFormat="false" ht="12.8" hidden="false" customHeight="false" outlineLevel="0" collapsed="false">
      <c r="A16358" s="0" t="s">
        <v>12</v>
      </c>
      <c r="B16358" s="0" t="n">
        <v>5053332</v>
      </c>
      <c r="C16358" s="0" t="n">
        <v>5053352</v>
      </c>
      <c r="D16358" s="0" t="s">
        <v>54362</v>
      </c>
      <c r="E16358" s="0" t="s">
        <v>75</v>
      </c>
      <c r="F16358" s="0" t="s">
        <v>15</v>
      </c>
      <c r="G16358" s="0" t="s">
        <v>36</v>
      </c>
      <c r="H16358" s="0" t="n">
        <v>118</v>
      </c>
      <c r="I16358" s="0" t="s">
        <v>54372</v>
      </c>
      <c r="J16358" s="0" t="s">
        <v>54373</v>
      </c>
      <c r="K16358" s="0" t="s">
        <v>54374</v>
      </c>
      <c r="L16358" s="0" t="str">
        <f aca="false">HYPERLINK("https://www.ncbi.nlm.nih.gov/nuccore/CP000058.1?report=graph&amp;tracks=[key:gene_model_track,Options:GeneOnly]&amp;mk=5053222:5053241|offset_7|444444,5053260:5053279|offset_45|444444,5053294:5053313|offset_79|444444,5053333:5053352|offset_118|00cc00&amp;v=5053021:5053552&amp;c=444444", "offset 118")</f>
        <v>offset 118</v>
      </c>
    </row>
    <row r="16359" customFormat="false" ht="12.8" hidden="false" customHeight="false" outlineLevel="0" collapsed="false">
      <c r="A16359" s="0" t="s">
        <v>12</v>
      </c>
      <c r="B16359" s="0" t="n">
        <v>5055373</v>
      </c>
      <c r="C16359" s="0" t="n">
        <v>5055393</v>
      </c>
      <c r="D16359" s="0" t="s">
        <v>54375</v>
      </c>
      <c r="E16359" s="0" t="s">
        <v>54376</v>
      </c>
      <c r="F16359" s="0" t="s">
        <v>90</v>
      </c>
      <c r="G16359" s="0" t="s">
        <v>32</v>
      </c>
      <c r="H16359" s="0" t="n">
        <v>7</v>
      </c>
      <c r="I16359" s="0" t="s">
        <v>54377</v>
      </c>
      <c r="J16359" s="0" t="s">
        <v>54378</v>
      </c>
      <c r="K16359" s="0" t="s">
        <v>54379</v>
      </c>
      <c r="L16359" s="0" t="str">
        <f aca="false">HYPERLINK("https://www.ncbi.nlm.nih.gov/nuccore/CP000058.1?report=graph&amp;tracks=[key:gene_model_track,Options:GeneOnly]&amp;mk=5055374:5055393|offset_7|00cc00,5055341:5055360|offset_40|444444,5055312:5055331|offset_69|444444,5055290:5055309|offset_91|444444&amp;v=5055173:5055509&amp;c=444444", "offset 7")</f>
        <v>offset 7</v>
      </c>
    </row>
    <row r="16360" customFormat="false" ht="12.8" hidden="false" customHeight="false" outlineLevel="0" collapsed="false">
      <c r="A16360" s="0" t="s">
        <v>12</v>
      </c>
      <c r="B16360" s="0" t="n">
        <v>5055340</v>
      </c>
      <c r="C16360" s="0" t="n">
        <v>5055360</v>
      </c>
      <c r="D16360" s="0" t="s">
        <v>54375</v>
      </c>
      <c r="E16360" s="0" t="s">
        <v>54376</v>
      </c>
      <c r="F16360" s="0" t="s">
        <v>90</v>
      </c>
      <c r="G16360" s="0" t="s">
        <v>36</v>
      </c>
      <c r="H16360" s="0" t="n">
        <v>40</v>
      </c>
      <c r="I16360" s="0" t="s">
        <v>54380</v>
      </c>
      <c r="J16360" s="0" t="s">
        <v>54381</v>
      </c>
      <c r="K16360" s="0" t="s">
        <v>54382</v>
      </c>
      <c r="L16360" s="0" t="str">
        <f aca="false">HYPERLINK("https://www.ncbi.nlm.nih.gov/nuccore/CP000058.1?report=graph&amp;tracks=[key:gene_model_track,Options:GeneOnly]&amp;mk=5055374:5055393|offset_7|444444,5055341:5055360|offset_40|00cc00,5055312:5055331|offset_69|444444,5055290:5055309|offset_91|444444&amp;v=5055173:5055509&amp;c=444444", "offset 40")</f>
        <v>offset 40</v>
      </c>
    </row>
    <row r="16361" customFormat="false" ht="12.8" hidden="false" customHeight="false" outlineLevel="0" collapsed="false">
      <c r="A16361" s="0" t="s">
        <v>12</v>
      </c>
      <c r="B16361" s="0" t="n">
        <v>5055311</v>
      </c>
      <c r="C16361" s="0" t="n">
        <v>5055331</v>
      </c>
      <c r="D16361" s="0" t="s">
        <v>54375</v>
      </c>
      <c r="E16361" s="0" t="s">
        <v>54376</v>
      </c>
      <c r="F16361" s="0" t="s">
        <v>90</v>
      </c>
      <c r="G16361" s="0" t="s">
        <v>16</v>
      </c>
      <c r="H16361" s="0" t="n">
        <v>69</v>
      </c>
      <c r="I16361" s="0" t="s">
        <v>54383</v>
      </c>
      <c r="J16361" s="0" t="s">
        <v>54384</v>
      </c>
      <c r="K16361" s="0" t="s">
        <v>54385</v>
      </c>
      <c r="L16361" s="0" t="str">
        <f aca="false">HYPERLINK("https://www.ncbi.nlm.nih.gov/nuccore/CP000058.1?report=graph&amp;tracks=[key:gene_model_track,Options:GeneOnly]&amp;mk=5055374:5055393|offset_7|444444,5055341:5055360|offset_40|444444,5055312:5055331|offset_69|00cc00,5055290:5055309|offset_91|444444&amp;v=5055173:5055509&amp;c=444444", "offset 69")</f>
        <v>offset 69</v>
      </c>
    </row>
    <row r="16362" customFormat="false" ht="12.8" hidden="false" customHeight="false" outlineLevel="0" collapsed="false">
      <c r="A16362" s="0" t="s">
        <v>12</v>
      </c>
      <c r="B16362" s="0" t="n">
        <v>5055289</v>
      </c>
      <c r="C16362" s="0" t="n">
        <v>5055309</v>
      </c>
      <c r="D16362" s="0" t="s">
        <v>54375</v>
      </c>
      <c r="E16362" s="0" t="s">
        <v>54376</v>
      </c>
      <c r="F16362" s="0" t="s">
        <v>90</v>
      </c>
      <c r="G16362" s="0" t="s">
        <v>16</v>
      </c>
      <c r="H16362" s="0" t="n">
        <v>91</v>
      </c>
      <c r="I16362" s="0" t="s">
        <v>54386</v>
      </c>
      <c r="J16362" s="0" t="s">
        <v>54387</v>
      </c>
      <c r="K16362" s="0" t="s">
        <v>54388</v>
      </c>
      <c r="L16362" s="0" t="str">
        <f aca="false">HYPERLINK("https://www.ncbi.nlm.nih.gov/nuccore/CP000058.1?report=graph&amp;tracks=[key:gene_model_track,Options:GeneOnly]&amp;mk=5055374:5055393|offset_7|444444,5055341:5055360|offset_40|444444,5055312:5055331|offset_69|444444,5055290:5055309|offset_91|00cc00&amp;v=5055173:5055509&amp;c=444444", "offset 91")</f>
        <v>offset 91</v>
      </c>
    </row>
    <row r="16363" customFormat="false" ht="12.8" hidden="false" customHeight="false" outlineLevel="0" collapsed="false">
      <c r="A16363" s="0" t="s">
        <v>12</v>
      </c>
      <c r="B16363" s="0" t="n">
        <v>5055556</v>
      </c>
      <c r="C16363" s="0" t="n">
        <v>5055576</v>
      </c>
      <c r="D16363" s="0" t="s">
        <v>54389</v>
      </c>
      <c r="E16363" s="0" t="s">
        <v>75</v>
      </c>
      <c r="F16363" s="0" t="s">
        <v>15</v>
      </c>
      <c r="G16363" s="0" t="s">
        <v>32</v>
      </c>
      <c r="H16363" s="0" t="n">
        <v>17</v>
      </c>
      <c r="I16363" s="0" t="s">
        <v>54390</v>
      </c>
      <c r="J16363" s="0" t="s">
        <v>54391</v>
      </c>
      <c r="K16363" s="0" t="s">
        <v>54392</v>
      </c>
      <c r="L16363" s="0" t="str">
        <f aca="false">HYPERLINK("https://www.ncbi.nlm.nih.gov/nuccore/CP000058.1?report=graph&amp;tracks=[key:gene_model_track,Options:GeneOnly]&amp;mk=5055557:5055576|offset_17|00cc00,5055593:5055612|offset_53|444444,5055654:5055673|offset_114|444444,5055679:5055698|offset_139|444444&amp;v=5055356:5055898&amp;c=444444", "offset 17")</f>
        <v>offset 17</v>
      </c>
    </row>
    <row r="16364" customFormat="false" ht="12.8" hidden="false" customHeight="false" outlineLevel="0" collapsed="false">
      <c r="A16364" s="0" t="s">
        <v>12</v>
      </c>
      <c r="B16364" s="0" t="n">
        <v>5055592</v>
      </c>
      <c r="C16364" s="0" t="n">
        <v>5055612</v>
      </c>
      <c r="D16364" s="0" t="s">
        <v>54389</v>
      </c>
      <c r="E16364" s="0" t="s">
        <v>75</v>
      </c>
      <c r="F16364" s="0" t="s">
        <v>15</v>
      </c>
      <c r="G16364" s="0" t="s">
        <v>32</v>
      </c>
      <c r="H16364" s="0" t="n">
        <v>53</v>
      </c>
      <c r="I16364" s="0" t="s">
        <v>54393</v>
      </c>
      <c r="J16364" s="0" t="s">
        <v>54394</v>
      </c>
      <c r="K16364" s="0" t="s">
        <v>54395</v>
      </c>
      <c r="L16364" s="0" t="str">
        <f aca="false">HYPERLINK("https://www.ncbi.nlm.nih.gov/nuccore/CP000058.1?report=graph&amp;tracks=[key:gene_model_track,Options:GeneOnly]&amp;mk=5055557:5055576|offset_17|444444,5055593:5055612|offset_53|00cc00,5055654:5055673|offset_114|444444,5055679:5055698|offset_139|444444&amp;v=5055356:5055898&amp;c=444444", "offset 53")</f>
        <v>offset 53</v>
      </c>
    </row>
    <row r="16365" customFormat="false" ht="12.8" hidden="false" customHeight="false" outlineLevel="0" collapsed="false">
      <c r="A16365" s="0" t="s">
        <v>12</v>
      </c>
      <c r="B16365" s="0" t="n">
        <v>5055653</v>
      </c>
      <c r="C16365" s="0" t="n">
        <v>5055673</v>
      </c>
      <c r="D16365" s="0" t="s">
        <v>54389</v>
      </c>
      <c r="E16365" s="0" t="s">
        <v>75</v>
      </c>
      <c r="F16365" s="0" t="s">
        <v>15</v>
      </c>
      <c r="G16365" s="0" t="s">
        <v>36</v>
      </c>
      <c r="H16365" s="0" t="n">
        <v>114</v>
      </c>
      <c r="I16365" s="0" t="s">
        <v>54396</v>
      </c>
      <c r="J16365" s="0" t="s">
        <v>54397</v>
      </c>
      <c r="K16365" s="0" t="s">
        <v>54398</v>
      </c>
      <c r="L16365" s="0" t="str">
        <f aca="false">HYPERLINK("https://www.ncbi.nlm.nih.gov/nuccore/CP000058.1?report=graph&amp;tracks=[key:gene_model_track,Options:GeneOnly]&amp;mk=5055557:5055576|offset_17|444444,5055593:5055612|offset_53|444444,5055654:5055673|offset_114|00cc00,5055679:5055698|offset_139|444444&amp;v=5055356:5055898&amp;c=444444", "offset 114")</f>
        <v>offset 114</v>
      </c>
    </row>
    <row r="16366" customFormat="false" ht="12.8" hidden="false" customHeight="false" outlineLevel="0" collapsed="false">
      <c r="A16366" s="0" t="s">
        <v>12</v>
      </c>
      <c r="B16366" s="0" t="n">
        <v>5055678</v>
      </c>
      <c r="C16366" s="0" t="n">
        <v>5055698</v>
      </c>
      <c r="D16366" s="0" t="s">
        <v>54389</v>
      </c>
      <c r="E16366" s="0" t="s">
        <v>75</v>
      </c>
      <c r="F16366" s="0" t="s">
        <v>15</v>
      </c>
      <c r="G16366" s="0" t="s">
        <v>32</v>
      </c>
      <c r="H16366" s="0" t="n">
        <v>139</v>
      </c>
      <c r="I16366" s="0" t="s">
        <v>54399</v>
      </c>
      <c r="J16366" s="0" t="s">
        <v>54400</v>
      </c>
      <c r="K16366" s="0" t="s">
        <v>54401</v>
      </c>
      <c r="L16366" s="0" t="str">
        <f aca="false">HYPERLINK("https://www.ncbi.nlm.nih.gov/nuccore/CP000058.1?report=graph&amp;tracks=[key:gene_model_track,Options:GeneOnly]&amp;mk=5055557:5055576|offset_17|444444,5055593:5055612|offset_53|444444,5055654:5055673|offset_114|444444,5055679:5055698|offset_139|00cc00&amp;v=5055356:5055898&amp;c=444444", "offset 139")</f>
        <v>offset 139</v>
      </c>
    </row>
    <row r="16367" customFormat="false" ht="12.8" hidden="false" customHeight="false" outlineLevel="0" collapsed="false">
      <c r="A16367" s="0" t="s">
        <v>12</v>
      </c>
      <c r="B16367" s="0" t="n">
        <v>5061938</v>
      </c>
      <c r="C16367" s="0" t="n">
        <v>5061958</v>
      </c>
      <c r="D16367" s="0" t="s">
        <v>54402</v>
      </c>
      <c r="E16367" s="0" t="s">
        <v>75</v>
      </c>
      <c r="F16367" s="0" t="s">
        <v>90</v>
      </c>
      <c r="G16367" s="0" t="s">
        <v>20</v>
      </c>
      <c r="H16367" s="0" t="n">
        <v>1</v>
      </c>
      <c r="I16367" s="0" t="s">
        <v>54403</v>
      </c>
      <c r="J16367" s="0" t="s">
        <v>54404</v>
      </c>
      <c r="K16367" s="0" t="s">
        <v>54405</v>
      </c>
      <c r="L16367" s="0" t="str">
        <f aca="false">HYPERLINK("https://www.ncbi.nlm.nih.gov/nuccore/CP000058.1?report=graph&amp;tracks=[key:gene_model_track,Options:GeneOnly]&amp;mk=5061939:5061958|offset_1|00cc00,5061899:5061918|offset_41|444444,5061843:5061862|offset_97|444444,5061783:5061802|offset_157|444444&amp;v=5061738:5062002&amp;c=444444", "offset 1")</f>
        <v>offset 1</v>
      </c>
    </row>
    <row r="16368" customFormat="false" ht="12.8" hidden="false" customHeight="false" outlineLevel="0" collapsed="false">
      <c r="A16368" s="0" t="s">
        <v>12</v>
      </c>
      <c r="B16368" s="0" t="n">
        <v>5061898</v>
      </c>
      <c r="C16368" s="0" t="n">
        <v>5061918</v>
      </c>
      <c r="D16368" s="0" t="s">
        <v>54402</v>
      </c>
      <c r="E16368" s="0" t="s">
        <v>75</v>
      </c>
      <c r="F16368" s="0" t="s">
        <v>90</v>
      </c>
      <c r="G16368" s="0" t="s">
        <v>36</v>
      </c>
      <c r="H16368" s="0" t="n">
        <v>41</v>
      </c>
      <c r="I16368" s="0" t="s">
        <v>54406</v>
      </c>
      <c r="J16368" s="0" t="s">
        <v>54407</v>
      </c>
      <c r="K16368" s="0" t="s">
        <v>54408</v>
      </c>
      <c r="L16368" s="0" t="str">
        <f aca="false">HYPERLINK("https://www.ncbi.nlm.nih.gov/nuccore/CP000058.1?report=graph&amp;tracks=[key:gene_model_track,Options:GeneOnly]&amp;mk=5061939:5061958|offset_1|444444,5061899:5061918|offset_41|00cc00,5061843:5061862|offset_97|444444,5061783:5061802|offset_157|444444&amp;v=5061738:5062002&amp;c=444444", "offset 41")</f>
        <v>offset 41</v>
      </c>
    </row>
    <row r="16369" customFormat="false" ht="12.8" hidden="false" customHeight="false" outlineLevel="0" collapsed="false">
      <c r="A16369" s="0" t="s">
        <v>12</v>
      </c>
      <c r="B16369" s="0" t="n">
        <v>5061842</v>
      </c>
      <c r="C16369" s="0" t="n">
        <v>5061862</v>
      </c>
      <c r="D16369" s="0" t="s">
        <v>54402</v>
      </c>
      <c r="E16369" s="0" t="s">
        <v>75</v>
      </c>
      <c r="F16369" s="0" t="s">
        <v>90</v>
      </c>
      <c r="G16369" s="0" t="s">
        <v>32</v>
      </c>
      <c r="H16369" s="0" t="n">
        <v>97</v>
      </c>
      <c r="I16369" s="0" t="s">
        <v>54409</v>
      </c>
      <c r="J16369" s="0" t="s">
        <v>54410</v>
      </c>
      <c r="K16369" s="0" t="s">
        <v>54411</v>
      </c>
      <c r="L16369" s="0" t="str">
        <f aca="false">HYPERLINK("https://www.ncbi.nlm.nih.gov/nuccore/CP000058.1?report=graph&amp;tracks=[key:gene_model_track,Options:GeneOnly]&amp;mk=5061939:5061958|offset_1|444444,5061899:5061918|offset_41|444444,5061843:5061862|offset_97|00cc00,5061783:5061802|offset_157|444444&amp;v=5061738:5062002&amp;c=444444", "offset 97")</f>
        <v>offset 97</v>
      </c>
    </row>
    <row r="16370" customFormat="false" ht="12.8" hidden="false" customHeight="false" outlineLevel="0" collapsed="false">
      <c r="A16370" s="0" t="s">
        <v>12</v>
      </c>
      <c r="B16370" s="0" t="n">
        <v>5061782</v>
      </c>
      <c r="C16370" s="0" t="n">
        <v>5061802</v>
      </c>
      <c r="D16370" s="0" t="s">
        <v>54402</v>
      </c>
      <c r="E16370" s="0" t="s">
        <v>75</v>
      </c>
      <c r="F16370" s="0" t="s">
        <v>90</v>
      </c>
      <c r="G16370" s="0" t="s">
        <v>36</v>
      </c>
      <c r="H16370" s="0" t="n">
        <v>157</v>
      </c>
      <c r="I16370" s="0" t="s">
        <v>54412</v>
      </c>
      <c r="J16370" s="0" t="s">
        <v>54413</v>
      </c>
      <c r="K16370" s="0" t="s">
        <v>54414</v>
      </c>
      <c r="L16370" s="0" t="str">
        <f aca="false">HYPERLINK("https://www.ncbi.nlm.nih.gov/nuccore/CP000058.1?report=graph&amp;tracks=[key:gene_model_track,Options:GeneOnly]&amp;mk=5061939:5061958|offset_1|444444,5061899:5061918|offset_41|444444,5061843:5061862|offset_97|444444,5061783:5061802|offset_157|00cc00&amp;v=5061738:5062002&amp;c=444444", "offset 157")</f>
        <v>offset 157</v>
      </c>
    </row>
    <row r="16371" customFormat="false" ht="12.8" hidden="false" customHeight="false" outlineLevel="0" collapsed="false">
      <c r="A16371" s="0" t="s">
        <v>12</v>
      </c>
      <c r="B16371" s="0" t="n">
        <v>5062006</v>
      </c>
      <c r="C16371" s="0" t="n">
        <v>5062026</v>
      </c>
      <c r="D16371" s="0" t="s">
        <v>54415</v>
      </c>
      <c r="E16371" s="0" t="s">
        <v>54416</v>
      </c>
      <c r="F16371" s="0" t="s">
        <v>15</v>
      </c>
      <c r="G16371" s="0" t="s">
        <v>20</v>
      </c>
      <c r="H16371" s="0" t="n">
        <v>9</v>
      </c>
      <c r="I16371" s="0" t="s">
        <v>54417</v>
      </c>
      <c r="J16371" s="0" t="s">
        <v>54418</v>
      </c>
      <c r="K16371" s="0" t="s">
        <v>54419</v>
      </c>
      <c r="L16371" s="0" t="str">
        <f aca="false">HYPERLINK("https://www.ncbi.nlm.nih.gov/nuccore/CP000058.1?report=graph&amp;tracks=[key:gene_model_track,Options:GeneOnly]&amp;mk=5062007:5062026|offset_9|00cc00,5062074:5062093|offset_76|444444,5062103:5062122|offset_105|444444,5062131:5062150|offset_133|444444&amp;v=5061806:5062350&amp;c=444444", "offset 9")</f>
        <v>offset 9</v>
      </c>
    </row>
    <row r="16372" customFormat="false" ht="12.8" hidden="false" customHeight="false" outlineLevel="0" collapsed="false">
      <c r="A16372" s="0" t="s">
        <v>12</v>
      </c>
      <c r="B16372" s="0" t="n">
        <v>5062073</v>
      </c>
      <c r="C16372" s="0" t="n">
        <v>5062093</v>
      </c>
      <c r="D16372" s="0" t="s">
        <v>54415</v>
      </c>
      <c r="E16372" s="0" t="s">
        <v>54416</v>
      </c>
      <c r="F16372" s="0" t="s">
        <v>15</v>
      </c>
      <c r="G16372" s="0" t="s">
        <v>36</v>
      </c>
      <c r="H16372" s="0" t="n">
        <v>76</v>
      </c>
      <c r="I16372" s="0" t="s">
        <v>54420</v>
      </c>
      <c r="J16372" s="0" t="s">
        <v>54421</v>
      </c>
      <c r="K16372" s="0" t="s">
        <v>54422</v>
      </c>
      <c r="L16372" s="0" t="str">
        <f aca="false">HYPERLINK("https://www.ncbi.nlm.nih.gov/nuccore/CP000058.1?report=graph&amp;tracks=[key:gene_model_track,Options:GeneOnly]&amp;mk=5062007:5062026|offset_9|444444,5062074:5062093|offset_76|00cc00,5062103:5062122|offset_105|444444,5062131:5062150|offset_133|444444&amp;v=5061806:5062350&amp;c=444444", "offset 76")</f>
        <v>offset 76</v>
      </c>
    </row>
    <row r="16373" customFormat="false" ht="12.8" hidden="false" customHeight="false" outlineLevel="0" collapsed="false">
      <c r="A16373" s="0" t="s">
        <v>12</v>
      </c>
      <c r="B16373" s="0" t="n">
        <v>5062102</v>
      </c>
      <c r="C16373" s="0" t="n">
        <v>5062122</v>
      </c>
      <c r="D16373" s="0" t="s">
        <v>54415</v>
      </c>
      <c r="E16373" s="0" t="s">
        <v>54416</v>
      </c>
      <c r="F16373" s="0" t="s">
        <v>15</v>
      </c>
      <c r="G16373" s="0" t="s">
        <v>16</v>
      </c>
      <c r="H16373" s="0" t="n">
        <v>105</v>
      </c>
      <c r="I16373" s="0" t="s">
        <v>54423</v>
      </c>
      <c r="J16373" s="0" t="s">
        <v>54424</v>
      </c>
      <c r="K16373" s="0" t="s">
        <v>54425</v>
      </c>
      <c r="L16373" s="0" t="str">
        <f aca="false">HYPERLINK("https://www.ncbi.nlm.nih.gov/nuccore/CP000058.1?report=graph&amp;tracks=[key:gene_model_track,Options:GeneOnly]&amp;mk=5062007:5062026|offset_9|444444,5062074:5062093|offset_76|444444,5062103:5062122|offset_105|00cc00,5062131:5062150|offset_133|444444&amp;v=5061806:5062350&amp;c=444444", "offset 105")</f>
        <v>offset 105</v>
      </c>
    </row>
    <row r="16374" customFormat="false" ht="12.8" hidden="false" customHeight="false" outlineLevel="0" collapsed="false">
      <c r="A16374" s="0" t="s">
        <v>12</v>
      </c>
      <c r="B16374" s="0" t="n">
        <v>5062130</v>
      </c>
      <c r="C16374" s="0" t="n">
        <v>5062150</v>
      </c>
      <c r="D16374" s="0" t="s">
        <v>54415</v>
      </c>
      <c r="E16374" s="0" t="s">
        <v>54416</v>
      </c>
      <c r="F16374" s="0" t="s">
        <v>15</v>
      </c>
      <c r="G16374" s="0" t="s">
        <v>36</v>
      </c>
      <c r="H16374" s="0" t="n">
        <v>133</v>
      </c>
      <c r="I16374" s="0" t="s">
        <v>54426</v>
      </c>
      <c r="J16374" s="0" t="s">
        <v>54427</v>
      </c>
      <c r="K16374" s="0" t="s">
        <v>54428</v>
      </c>
      <c r="L16374" s="0" t="str">
        <f aca="false">HYPERLINK("https://www.ncbi.nlm.nih.gov/nuccore/CP000058.1?report=graph&amp;tracks=[key:gene_model_track,Options:GeneOnly]&amp;mk=5062007:5062026|offset_9|444444,5062074:5062093|offset_76|444444,5062103:5062122|offset_105|444444,5062131:5062150|offset_133|00cc00&amp;v=5061806:5062350&amp;c=444444", "offset 133")</f>
        <v>offset 133</v>
      </c>
    </row>
    <row r="16375" customFormat="false" ht="12.8" hidden="false" customHeight="false" outlineLevel="0" collapsed="false">
      <c r="A16375" s="0" t="s">
        <v>12</v>
      </c>
      <c r="B16375" s="0" t="n">
        <v>5064743</v>
      </c>
      <c r="C16375" s="0" t="n">
        <v>5064763</v>
      </c>
      <c r="D16375" s="0" t="s">
        <v>54429</v>
      </c>
      <c r="E16375" s="0" t="s">
        <v>75</v>
      </c>
      <c r="F16375" s="0" t="s">
        <v>90</v>
      </c>
      <c r="G16375" s="0" t="s">
        <v>32</v>
      </c>
      <c r="H16375" s="0" t="n">
        <v>11</v>
      </c>
      <c r="I16375" s="0" t="s">
        <v>54430</v>
      </c>
      <c r="J16375" s="0" t="s">
        <v>54431</v>
      </c>
      <c r="K16375" s="0" t="s">
        <v>54432</v>
      </c>
      <c r="L16375" s="0" t="str">
        <f aca="false">HYPERLINK("https://www.ncbi.nlm.nih.gov/nuccore/CP000058.1?report=graph&amp;tracks=[key:gene_model_track,Options:GeneOnly]&amp;mk=5064744:5064763|offset_11|00cc00,5064637:5064656|offset_118|444444,5064607:5064626|offset_148|444444,5064580:5064599|offset_175|444444&amp;v=5064543:5064799&amp;c=444444", "offset 11")</f>
        <v>offset 11</v>
      </c>
    </row>
    <row r="16376" customFormat="false" ht="12.8" hidden="false" customHeight="false" outlineLevel="0" collapsed="false">
      <c r="A16376" s="0" t="s">
        <v>12</v>
      </c>
      <c r="B16376" s="0" t="n">
        <v>5064636</v>
      </c>
      <c r="C16376" s="0" t="n">
        <v>5064656</v>
      </c>
      <c r="D16376" s="0" t="s">
        <v>54429</v>
      </c>
      <c r="E16376" s="0" t="s">
        <v>75</v>
      </c>
      <c r="F16376" s="0" t="s">
        <v>90</v>
      </c>
      <c r="G16376" s="0" t="s">
        <v>16</v>
      </c>
      <c r="H16376" s="0" t="n">
        <v>118</v>
      </c>
      <c r="I16376" s="0" t="s">
        <v>54433</v>
      </c>
      <c r="J16376" s="0" t="s">
        <v>54434</v>
      </c>
      <c r="K16376" s="0" t="s">
        <v>54435</v>
      </c>
      <c r="L16376" s="0" t="str">
        <f aca="false">HYPERLINK("https://www.ncbi.nlm.nih.gov/nuccore/CP000058.1?report=graph&amp;tracks=[key:gene_model_track,Options:GeneOnly]&amp;mk=5064744:5064763|offset_11|444444,5064637:5064656|offset_118|00cc00,5064607:5064626|offset_148|444444,5064580:5064599|offset_175|444444&amp;v=5064543:5064799&amp;c=444444", "offset 118")</f>
        <v>offset 118</v>
      </c>
    </row>
    <row r="16377" customFormat="false" ht="12.8" hidden="false" customHeight="false" outlineLevel="0" collapsed="false">
      <c r="A16377" s="0" t="s">
        <v>12</v>
      </c>
      <c r="B16377" s="0" t="n">
        <v>5064606</v>
      </c>
      <c r="C16377" s="0" t="n">
        <v>5064626</v>
      </c>
      <c r="D16377" s="0" t="s">
        <v>54429</v>
      </c>
      <c r="E16377" s="0" t="s">
        <v>75</v>
      </c>
      <c r="F16377" s="0" t="s">
        <v>90</v>
      </c>
      <c r="G16377" s="0" t="s">
        <v>36</v>
      </c>
      <c r="H16377" s="0" t="n">
        <v>148</v>
      </c>
      <c r="I16377" s="0" t="s">
        <v>54436</v>
      </c>
      <c r="J16377" s="0" t="s">
        <v>54437</v>
      </c>
      <c r="K16377" s="0" t="s">
        <v>54438</v>
      </c>
      <c r="L16377" s="0" t="str">
        <f aca="false">HYPERLINK("https://www.ncbi.nlm.nih.gov/nuccore/CP000058.1?report=graph&amp;tracks=[key:gene_model_track,Options:GeneOnly]&amp;mk=5064744:5064763|offset_11|444444,5064637:5064656|offset_118|444444,5064607:5064626|offset_148|00cc00,5064580:5064599|offset_175|444444&amp;v=5064543:5064799&amp;c=444444", "offset 148")</f>
        <v>offset 148</v>
      </c>
    </row>
    <row r="16378" customFormat="false" ht="12.8" hidden="false" customHeight="false" outlineLevel="0" collapsed="false">
      <c r="A16378" s="0" t="s">
        <v>12</v>
      </c>
      <c r="B16378" s="0" t="n">
        <v>5064579</v>
      </c>
      <c r="C16378" s="0" t="n">
        <v>5064599</v>
      </c>
      <c r="D16378" s="0" t="s">
        <v>54429</v>
      </c>
      <c r="E16378" s="0" t="s">
        <v>75</v>
      </c>
      <c r="F16378" s="0" t="s">
        <v>90</v>
      </c>
      <c r="G16378" s="0" t="s">
        <v>16</v>
      </c>
      <c r="H16378" s="0" t="n">
        <v>175</v>
      </c>
      <c r="I16378" s="0" t="s">
        <v>54439</v>
      </c>
      <c r="J16378" s="0" t="s">
        <v>54440</v>
      </c>
      <c r="K16378" s="0" t="s">
        <v>54441</v>
      </c>
      <c r="L16378" s="0" t="str">
        <f aca="false">HYPERLINK("https://www.ncbi.nlm.nih.gov/nuccore/CP000058.1?report=graph&amp;tracks=[key:gene_model_track,Options:GeneOnly]&amp;mk=5064744:5064763|offset_11|444444,5064637:5064656|offset_118|444444,5064607:5064626|offset_148|444444,5064580:5064599|offset_175|00cc00&amp;v=5064543:5064799&amp;c=444444", "offset 175")</f>
        <v>offset 175</v>
      </c>
    </row>
    <row r="16379" customFormat="false" ht="12.8" hidden="false" customHeight="false" outlineLevel="0" collapsed="false">
      <c r="A16379" s="0" t="s">
        <v>12</v>
      </c>
      <c r="B16379" s="0" t="n">
        <v>5065032</v>
      </c>
      <c r="C16379" s="0" t="n">
        <v>5065052</v>
      </c>
      <c r="D16379" s="0" t="s">
        <v>54442</v>
      </c>
      <c r="E16379" s="0" t="s">
        <v>75</v>
      </c>
      <c r="F16379" s="0" t="s">
        <v>90</v>
      </c>
      <c r="G16379" s="0" t="s">
        <v>36</v>
      </c>
      <c r="H16379" s="0" t="n">
        <v>7</v>
      </c>
      <c r="I16379" s="0" t="s">
        <v>54443</v>
      </c>
      <c r="J16379" s="0" t="s">
        <v>54444</v>
      </c>
      <c r="K16379" s="0" t="s">
        <v>54445</v>
      </c>
      <c r="L16379" s="0" t="str">
        <f aca="false">HYPERLINK("https://www.ncbi.nlm.nih.gov/nuccore/CP000058.1?report=graph&amp;tracks=[key:gene_model_track,Options:GeneOnly]&amp;mk=5065033:5065052|offset_7|00cc00,5065009:5065028|offset_31|444444,5064978:5064997|offset_62|444444,5064949:5064968|offset_91|444444&amp;v=5064832:5065168&amp;c=444444", "offset 7")</f>
        <v>offset 7</v>
      </c>
    </row>
    <row r="16380" customFormat="false" ht="12.8" hidden="false" customHeight="false" outlineLevel="0" collapsed="false">
      <c r="A16380" s="0" t="s">
        <v>12</v>
      </c>
      <c r="B16380" s="0" t="n">
        <v>5065008</v>
      </c>
      <c r="C16380" s="0" t="n">
        <v>5065028</v>
      </c>
      <c r="D16380" s="0" t="s">
        <v>54442</v>
      </c>
      <c r="E16380" s="0" t="s">
        <v>75</v>
      </c>
      <c r="F16380" s="0" t="s">
        <v>90</v>
      </c>
      <c r="G16380" s="0" t="s">
        <v>20</v>
      </c>
      <c r="H16380" s="0" t="n">
        <v>31</v>
      </c>
      <c r="I16380" s="0" t="s">
        <v>54446</v>
      </c>
      <c r="J16380" s="0" t="s">
        <v>54447</v>
      </c>
      <c r="K16380" s="0" t="s">
        <v>54448</v>
      </c>
      <c r="L16380" s="0" t="str">
        <f aca="false">HYPERLINK("https://www.ncbi.nlm.nih.gov/nuccore/CP000058.1?report=graph&amp;tracks=[key:gene_model_track,Options:GeneOnly]&amp;mk=5065033:5065052|offset_7|444444,5065009:5065028|offset_31|00cc00,5064978:5064997|offset_62|444444,5064949:5064968|offset_91|444444&amp;v=5064832:5065168&amp;c=444444", "offset 31")</f>
        <v>offset 31</v>
      </c>
    </row>
    <row r="16381" customFormat="false" ht="12.8" hidden="false" customHeight="false" outlineLevel="0" collapsed="false">
      <c r="A16381" s="0" t="s">
        <v>12</v>
      </c>
      <c r="B16381" s="0" t="n">
        <v>5064977</v>
      </c>
      <c r="C16381" s="0" t="n">
        <v>5064997</v>
      </c>
      <c r="D16381" s="0" t="s">
        <v>54442</v>
      </c>
      <c r="E16381" s="0" t="s">
        <v>75</v>
      </c>
      <c r="F16381" s="0" t="s">
        <v>90</v>
      </c>
      <c r="G16381" s="0" t="s">
        <v>16</v>
      </c>
      <c r="H16381" s="0" t="n">
        <v>62</v>
      </c>
      <c r="I16381" s="0" t="s">
        <v>54449</v>
      </c>
      <c r="J16381" s="0" t="s">
        <v>54450</v>
      </c>
      <c r="K16381" s="0" t="s">
        <v>54451</v>
      </c>
      <c r="L16381" s="0" t="str">
        <f aca="false">HYPERLINK("https://www.ncbi.nlm.nih.gov/nuccore/CP000058.1?report=graph&amp;tracks=[key:gene_model_track,Options:GeneOnly]&amp;mk=5065033:5065052|offset_7|444444,5065009:5065028|offset_31|444444,5064978:5064997|offset_62|00cc00,5064949:5064968|offset_91|444444&amp;v=5064832:5065168&amp;c=444444", "offset 62")</f>
        <v>offset 62</v>
      </c>
    </row>
    <row r="16382" customFormat="false" ht="12.8" hidden="false" customHeight="false" outlineLevel="0" collapsed="false">
      <c r="A16382" s="0" t="s">
        <v>12</v>
      </c>
      <c r="B16382" s="0" t="n">
        <v>5064948</v>
      </c>
      <c r="C16382" s="0" t="n">
        <v>5064968</v>
      </c>
      <c r="D16382" s="0" t="s">
        <v>54442</v>
      </c>
      <c r="E16382" s="0" t="s">
        <v>75</v>
      </c>
      <c r="F16382" s="0" t="s">
        <v>90</v>
      </c>
      <c r="G16382" s="0" t="s">
        <v>20</v>
      </c>
      <c r="H16382" s="0" t="n">
        <v>91</v>
      </c>
      <c r="I16382" s="0" t="s">
        <v>54452</v>
      </c>
      <c r="J16382" s="0" t="s">
        <v>54453</v>
      </c>
      <c r="K16382" s="0" t="s">
        <v>54454</v>
      </c>
      <c r="L16382" s="0" t="str">
        <f aca="false">HYPERLINK("https://www.ncbi.nlm.nih.gov/nuccore/CP000058.1?report=graph&amp;tracks=[key:gene_model_track,Options:GeneOnly]&amp;mk=5065033:5065052|offset_7|444444,5065009:5065028|offset_31|444444,5064978:5064997|offset_62|444444,5064949:5064968|offset_91|00cc00&amp;v=5064832:5065168&amp;c=444444", "offset 91")</f>
        <v>offset 91</v>
      </c>
    </row>
    <row r="16383" customFormat="false" ht="12.8" hidden="false" customHeight="false" outlineLevel="0" collapsed="false">
      <c r="A16383" s="0" t="s">
        <v>12</v>
      </c>
      <c r="B16383" s="0" t="n">
        <v>5065399</v>
      </c>
      <c r="C16383" s="0" t="n">
        <v>5065419</v>
      </c>
      <c r="D16383" s="0" t="s">
        <v>54455</v>
      </c>
      <c r="E16383" s="0" t="s">
        <v>75</v>
      </c>
      <c r="F16383" s="0" t="s">
        <v>15</v>
      </c>
      <c r="G16383" s="0" t="s">
        <v>32</v>
      </c>
      <c r="H16383" s="0" t="n">
        <v>1</v>
      </c>
      <c r="I16383" s="0" t="s">
        <v>54456</v>
      </c>
      <c r="J16383" s="0" t="s">
        <v>54457</v>
      </c>
      <c r="K16383" s="0" t="s">
        <v>54458</v>
      </c>
      <c r="L16383" s="0" t="str">
        <f aca="false">HYPERLINK("https://www.ncbi.nlm.nih.gov/nuccore/CP000058.1?report=graph&amp;tracks=[key:gene_model_track,Options:GeneOnly]&amp;mk=5065400:5065419|offset_1|00cc00,5065442:5065461|offset_43|444444,5065471:5065490|offset_72|444444,5065498:5065517|offset_99|444444&amp;v=5065199:5065717&amp;c=444444", "offset 1")</f>
        <v>offset 1</v>
      </c>
    </row>
    <row r="16384" customFormat="false" ht="12.8" hidden="false" customHeight="false" outlineLevel="0" collapsed="false">
      <c r="A16384" s="0" t="s">
        <v>12</v>
      </c>
      <c r="B16384" s="0" t="n">
        <v>5065441</v>
      </c>
      <c r="C16384" s="0" t="n">
        <v>5065461</v>
      </c>
      <c r="D16384" s="0" t="s">
        <v>54455</v>
      </c>
      <c r="E16384" s="0" t="s">
        <v>75</v>
      </c>
      <c r="F16384" s="0" t="s">
        <v>15</v>
      </c>
      <c r="G16384" s="0" t="s">
        <v>16</v>
      </c>
      <c r="H16384" s="0" t="n">
        <v>43</v>
      </c>
      <c r="I16384" s="0" t="s">
        <v>54459</v>
      </c>
      <c r="J16384" s="0" t="s">
        <v>54460</v>
      </c>
      <c r="K16384" s="0" t="s">
        <v>54461</v>
      </c>
      <c r="L16384" s="0" t="str">
        <f aca="false">HYPERLINK("https://www.ncbi.nlm.nih.gov/nuccore/CP000058.1?report=graph&amp;tracks=[key:gene_model_track,Options:GeneOnly]&amp;mk=5065400:5065419|offset_1|444444,5065442:5065461|offset_43|00cc00,5065471:5065490|offset_72|444444,5065498:5065517|offset_99|444444&amp;v=5065199:5065717&amp;c=444444", "offset 43")</f>
        <v>offset 43</v>
      </c>
    </row>
    <row r="16385" customFormat="false" ht="12.8" hidden="false" customHeight="false" outlineLevel="0" collapsed="false">
      <c r="A16385" s="0" t="s">
        <v>12</v>
      </c>
      <c r="B16385" s="0" t="n">
        <v>5065470</v>
      </c>
      <c r="C16385" s="0" t="n">
        <v>5065490</v>
      </c>
      <c r="D16385" s="0" t="s">
        <v>54455</v>
      </c>
      <c r="E16385" s="0" t="s">
        <v>75</v>
      </c>
      <c r="F16385" s="0" t="s">
        <v>15</v>
      </c>
      <c r="G16385" s="0" t="s">
        <v>16</v>
      </c>
      <c r="H16385" s="0" t="n">
        <v>72</v>
      </c>
      <c r="I16385" s="0" t="s">
        <v>54462</v>
      </c>
      <c r="J16385" s="0" t="s">
        <v>54463</v>
      </c>
      <c r="K16385" s="0" t="s">
        <v>54464</v>
      </c>
      <c r="L16385" s="0" t="str">
        <f aca="false">HYPERLINK("https://www.ncbi.nlm.nih.gov/nuccore/CP000058.1?report=graph&amp;tracks=[key:gene_model_track,Options:GeneOnly]&amp;mk=5065400:5065419|offset_1|444444,5065442:5065461|offset_43|444444,5065471:5065490|offset_72|00cc00,5065498:5065517|offset_99|444444&amp;v=5065199:5065717&amp;c=444444", "offset 72")</f>
        <v>offset 72</v>
      </c>
    </row>
    <row r="16386" customFormat="false" ht="12.8" hidden="false" customHeight="false" outlineLevel="0" collapsed="false">
      <c r="A16386" s="0" t="s">
        <v>12</v>
      </c>
      <c r="B16386" s="0" t="n">
        <v>5065497</v>
      </c>
      <c r="C16386" s="0" t="n">
        <v>5065517</v>
      </c>
      <c r="D16386" s="0" t="s">
        <v>54455</v>
      </c>
      <c r="E16386" s="0" t="s">
        <v>75</v>
      </c>
      <c r="F16386" s="0" t="s">
        <v>15</v>
      </c>
      <c r="G16386" s="0" t="s">
        <v>16</v>
      </c>
      <c r="H16386" s="0" t="n">
        <v>99</v>
      </c>
      <c r="I16386" s="0" t="s">
        <v>54465</v>
      </c>
      <c r="J16386" s="0" t="s">
        <v>54466</v>
      </c>
      <c r="K16386" s="0" t="s">
        <v>54467</v>
      </c>
      <c r="L16386" s="0" t="str">
        <f aca="false">HYPERLINK("https://www.ncbi.nlm.nih.gov/nuccore/CP000058.1?report=graph&amp;tracks=[key:gene_model_track,Options:GeneOnly]&amp;mk=5065400:5065419|offset_1|444444,5065442:5065461|offset_43|444444,5065471:5065490|offset_72|444444,5065498:5065517|offset_99|00cc00&amp;v=5065199:5065717&amp;c=444444", "offset 99")</f>
        <v>offset 99</v>
      </c>
    </row>
    <row r="16387" customFormat="false" ht="12.8" hidden="false" customHeight="false" outlineLevel="0" collapsed="false">
      <c r="A16387" s="0" t="s">
        <v>12</v>
      </c>
      <c r="B16387" s="0" t="n">
        <v>5066376</v>
      </c>
      <c r="C16387" s="0" t="n">
        <v>5066396</v>
      </c>
      <c r="D16387" s="0" t="s">
        <v>54468</v>
      </c>
      <c r="E16387" s="0" t="s">
        <v>75</v>
      </c>
      <c r="F16387" s="0" t="s">
        <v>15</v>
      </c>
      <c r="G16387" s="0" t="s">
        <v>16</v>
      </c>
      <c r="H16387" s="0" t="n">
        <v>16</v>
      </c>
      <c r="I16387" s="0" t="s">
        <v>54469</v>
      </c>
      <c r="J16387" s="0" t="s">
        <v>54470</v>
      </c>
      <c r="K16387" s="0" t="s">
        <v>54471</v>
      </c>
      <c r="L16387" s="0" t="str">
        <f aca="false">HYPERLINK("https://www.ncbi.nlm.nih.gov/nuccore/CP000058.1?report=graph&amp;tracks=[key:gene_model_track,Options:GeneOnly]&amp;mk=5066377:5066396|offset_16|00cc00,5066440:5066459|offset_79|444444,5066481:5066500|offset_120|444444,5066529:5066548|offset_168|444444&amp;v=5066176:5066748&amp;c=444444", "offset 16")</f>
        <v>offset 16</v>
      </c>
    </row>
    <row r="16388" customFormat="false" ht="12.8" hidden="false" customHeight="false" outlineLevel="0" collapsed="false">
      <c r="A16388" s="0" t="s">
        <v>12</v>
      </c>
      <c r="B16388" s="0" t="n">
        <v>5066439</v>
      </c>
      <c r="C16388" s="0" t="n">
        <v>5066459</v>
      </c>
      <c r="D16388" s="0" t="s">
        <v>54468</v>
      </c>
      <c r="E16388" s="0" t="s">
        <v>75</v>
      </c>
      <c r="F16388" s="0" t="s">
        <v>15</v>
      </c>
      <c r="G16388" s="0" t="s">
        <v>20</v>
      </c>
      <c r="H16388" s="0" t="n">
        <v>79</v>
      </c>
      <c r="I16388" s="0" t="s">
        <v>54472</v>
      </c>
      <c r="J16388" s="0" t="s">
        <v>54473</v>
      </c>
      <c r="K16388" s="0" t="s">
        <v>54474</v>
      </c>
      <c r="L16388" s="0" t="str">
        <f aca="false">HYPERLINK("https://www.ncbi.nlm.nih.gov/nuccore/CP000058.1?report=graph&amp;tracks=[key:gene_model_track,Options:GeneOnly]&amp;mk=5066377:5066396|offset_16|444444,5066440:5066459|offset_79|00cc00,5066481:5066500|offset_120|444444,5066529:5066548|offset_168|444444&amp;v=5066176:5066748&amp;c=444444", "offset 79")</f>
        <v>offset 79</v>
      </c>
    </row>
    <row r="16389" customFormat="false" ht="12.8" hidden="false" customHeight="false" outlineLevel="0" collapsed="false">
      <c r="A16389" s="0" t="s">
        <v>12</v>
      </c>
      <c r="B16389" s="0" t="n">
        <v>5066480</v>
      </c>
      <c r="C16389" s="0" t="n">
        <v>5066500</v>
      </c>
      <c r="D16389" s="0" t="s">
        <v>54468</v>
      </c>
      <c r="E16389" s="0" t="s">
        <v>75</v>
      </c>
      <c r="F16389" s="0" t="s">
        <v>15</v>
      </c>
      <c r="G16389" s="0" t="s">
        <v>32</v>
      </c>
      <c r="H16389" s="0" t="n">
        <v>120</v>
      </c>
      <c r="I16389" s="0" t="s">
        <v>54475</v>
      </c>
      <c r="J16389" s="0" t="s">
        <v>54476</v>
      </c>
      <c r="K16389" s="0" t="s">
        <v>54477</v>
      </c>
      <c r="L16389" s="0" t="str">
        <f aca="false">HYPERLINK("https://www.ncbi.nlm.nih.gov/nuccore/CP000058.1?report=graph&amp;tracks=[key:gene_model_track,Options:GeneOnly]&amp;mk=5066377:5066396|offset_16|444444,5066440:5066459|offset_79|444444,5066481:5066500|offset_120|00cc00,5066529:5066548|offset_168|444444&amp;v=5066176:5066748&amp;c=444444", "offset 120")</f>
        <v>offset 120</v>
      </c>
    </row>
    <row r="16390" customFormat="false" ht="12.8" hidden="false" customHeight="false" outlineLevel="0" collapsed="false">
      <c r="A16390" s="0" t="s">
        <v>12</v>
      </c>
      <c r="B16390" s="0" t="n">
        <v>5066528</v>
      </c>
      <c r="C16390" s="0" t="n">
        <v>5066548</v>
      </c>
      <c r="D16390" s="0" t="s">
        <v>54468</v>
      </c>
      <c r="E16390" s="0" t="s">
        <v>75</v>
      </c>
      <c r="F16390" s="0" t="s">
        <v>15</v>
      </c>
      <c r="G16390" s="0" t="s">
        <v>20</v>
      </c>
      <c r="H16390" s="0" t="n">
        <v>168</v>
      </c>
      <c r="I16390" s="0" t="s">
        <v>54478</v>
      </c>
      <c r="J16390" s="0" t="s">
        <v>54479</v>
      </c>
      <c r="K16390" s="0" t="s">
        <v>54480</v>
      </c>
      <c r="L16390" s="0" t="str">
        <f aca="false">HYPERLINK("https://www.ncbi.nlm.nih.gov/nuccore/CP000058.1?report=graph&amp;tracks=[key:gene_model_track,Options:GeneOnly]&amp;mk=5066377:5066396|offset_16|444444,5066440:5066459|offset_79|444444,5066481:5066500|offset_120|444444,5066529:5066548|offset_168|00cc00&amp;v=5066176:5066748&amp;c=444444", "offset 168")</f>
        <v>offset 168</v>
      </c>
    </row>
    <row r="16391" customFormat="false" ht="12.8" hidden="false" customHeight="false" outlineLevel="0" collapsed="false">
      <c r="A16391" s="0" t="s">
        <v>12</v>
      </c>
      <c r="B16391" s="0" t="n">
        <v>5067615</v>
      </c>
      <c r="C16391" s="0" t="n">
        <v>5067635</v>
      </c>
      <c r="D16391" s="0" t="s">
        <v>54481</v>
      </c>
      <c r="E16391" s="0" t="s">
        <v>75</v>
      </c>
      <c r="F16391" s="0" t="s">
        <v>15</v>
      </c>
      <c r="G16391" s="0" t="s">
        <v>32</v>
      </c>
      <c r="H16391" s="0" t="n">
        <v>8</v>
      </c>
      <c r="I16391" s="0" t="s">
        <v>54482</v>
      </c>
      <c r="J16391" s="0" t="s">
        <v>54483</v>
      </c>
      <c r="K16391" s="0" t="s">
        <v>54484</v>
      </c>
      <c r="L16391" s="0" t="str">
        <f aca="false">HYPERLINK("https://www.ncbi.nlm.nih.gov/nuccore/CP000058.1?report=graph&amp;tracks=[key:gene_model_track,Options:GeneOnly]&amp;mk=5067616:5067635|offset_8|00cc00,5067637:5067656|offset_29|444444,5067684:5067703|offset_76|444444,5067720:5067739|offset_112|444444&amp;v=5067415:5067939&amp;c=444444", "offset 8")</f>
        <v>offset 8</v>
      </c>
    </row>
    <row r="16392" customFormat="false" ht="12.8" hidden="false" customHeight="false" outlineLevel="0" collapsed="false">
      <c r="A16392" s="0" t="s">
        <v>12</v>
      </c>
      <c r="B16392" s="0" t="n">
        <v>5067636</v>
      </c>
      <c r="C16392" s="0" t="n">
        <v>5067656</v>
      </c>
      <c r="D16392" s="0" t="s">
        <v>54481</v>
      </c>
      <c r="E16392" s="0" t="s">
        <v>75</v>
      </c>
      <c r="F16392" s="0" t="s">
        <v>15</v>
      </c>
      <c r="G16392" s="0" t="s">
        <v>20</v>
      </c>
      <c r="H16392" s="0" t="n">
        <v>29</v>
      </c>
      <c r="I16392" s="0" t="s">
        <v>54485</v>
      </c>
      <c r="J16392" s="0" t="s">
        <v>54486</v>
      </c>
      <c r="K16392" s="0" t="s">
        <v>54487</v>
      </c>
      <c r="L16392" s="0" t="str">
        <f aca="false">HYPERLINK("https://www.ncbi.nlm.nih.gov/nuccore/CP000058.1?report=graph&amp;tracks=[key:gene_model_track,Options:GeneOnly]&amp;mk=5067616:5067635|offset_8|444444,5067637:5067656|offset_29|00cc00,5067684:5067703|offset_76|444444,5067720:5067739|offset_112|444444&amp;v=5067415:5067939&amp;c=444444", "offset 29")</f>
        <v>offset 29</v>
      </c>
    </row>
    <row r="16393" customFormat="false" ht="12.8" hidden="false" customHeight="false" outlineLevel="0" collapsed="false">
      <c r="A16393" s="0" t="s">
        <v>12</v>
      </c>
      <c r="B16393" s="0" t="n">
        <v>5067683</v>
      </c>
      <c r="C16393" s="0" t="n">
        <v>5067703</v>
      </c>
      <c r="D16393" s="0" t="s">
        <v>54481</v>
      </c>
      <c r="E16393" s="0" t="s">
        <v>75</v>
      </c>
      <c r="F16393" s="0" t="s">
        <v>15</v>
      </c>
      <c r="G16393" s="0" t="s">
        <v>36</v>
      </c>
      <c r="H16393" s="0" t="n">
        <v>76</v>
      </c>
      <c r="I16393" s="0" t="s">
        <v>54488</v>
      </c>
      <c r="J16393" s="0" t="s">
        <v>54489</v>
      </c>
      <c r="K16393" s="0" t="s">
        <v>54490</v>
      </c>
      <c r="L16393" s="0" t="str">
        <f aca="false">HYPERLINK("https://www.ncbi.nlm.nih.gov/nuccore/CP000058.1?report=graph&amp;tracks=[key:gene_model_track,Options:GeneOnly]&amp;mk=5067616:5067635|offset_8|444444,5067637:5067656|offset_29|444444,5067684:5067703|offset_76|00cc00,5067720:5067739|offset_112|444444&amp;v=5067415:5067939&amp;c=444444", "offset 76")</f>
        <v>offset 76</v>
      </c>
    </row>
    <row r="16394" customFormat="false" ht="12.8" hidden="false" customHeight="false" outlineLevel="0" collapsed="false">
      <c r="A16394" s="0" t="s">
        <v>12</v>
      </c>
      <c r="B16394" s="0" t="n">
        <v>5067719</v>
      </c>
      <c r="C16394" s="0" t="n">
        <v>5067739</v>
      </c>
      <c r="D16394" s="0" t="s">
        <v>54481</v>
      </c>
      <c r="E16394" s="0" t="s">
        <v>75</v>
      </c>
      <c r="F16394" s="0" t="s">
        <v>15</v>
      </c>
      <c r="G16394" s="0" t="s">
        <v>16</v>
      </c>
      <c r="H16394" s="0" t="n">
        <v>112</v>
      </c>
      <c r="I16394" s="0" t="s">
        <v>54491</v>
      </c>
      <c r="J16394" s="0" t="s">
        <v>54492</v>
      </c>
      <c r="K16394" s="0" t="s">
        <v>54493</v>
      </c>
      <c r="L16394" s="0" t="str">
        <f aca="false">HYPERLINK("https://www.ncbi.nlm.nih.gov/nuccore/CP000058.1?report=graph&amp;tracks=[key:gene_model_track,Options:GeneOnly]&amp;mk=5067616:5067635|offset_8|444444,5067637:5067656|offset_29|444444,5067684:5067703|offset_76|444444,5067720:5067739|offset_112|00cc00&amp;v=5067415:5067939&amp;c=444444", "offset 112")</f>
        <v>offset 112</v>
      </c>
    </row>
    <row r="16395" customFormat="false" ht="12.8" hidden="false" customHeight="false" outlineLevel="0" collapsed="false">
      <c r="A16395" s="0" t="s">
        <v>12</v>
      </c>
      <c r="B16395" s="0" t="n">
        <v>5068846</v>
      </c>
      <c r="C16395" s="0" t="n">
        <v>5068866</v>
      </c>
      <c r="D16395" s="0" t="s">
        <v>54494</v>
      </c>
      <c r="E16395" s="0" t="s">
        <v>75</v>
      </c>
      <c r="F16395" s="0" t="s">
        <v>15</v>
      </c>
      <c r="G16395" s="0" t="s">
        <v>16</v>
      </c>
      <c r="H16395" s="0" t="n">
        <v>49</v>
      </c>
      <c r="I16395" s="0" t="s">
        <v>54495</v>
      </c>
      <c r="J16395" s="0" t="s">
        <v>54496</v>
      </c>
      <c r="K16395" s="0" t="s">
        <v>54497</v>
      </c>
      <c r="L16395" s="0" t="str">
        <f aca="false">HYPERLINK("https://www.ncbi.nlm.nih.gov/nuccore/CP000058.1?report=graph&amp;tracks=[key:gene_model_track,Options:GeneOnly]&amp;mk=5068847:5068866|offset_49|00cc00,5068881:5068900|offset_83|444444,5068920:5068939|offset_122|444444,5068973:5068992|offset_175|444444&amp;v=5068646:5069192&amp;c=444444", "offset 49")</f>
        <v>offset 49</v>
      </c>
    </row>
    <row r="16396" customFormat="false" ht="12.8" hidden="false" customHeight="false" outlineLevel="0" collapsed="false">
      <c r="A16396" s="0" t="s">
        <v>12</v>
      </c>
      <c r="B16396" s="0" t="n">
        <v>5068880</v>
      </c>
      <c r="C16396" s="0" t="n">
        <v>5068900</v>
      </c>
      <c r="D16396" s="0" t="s">
        <v>54494</v>
      </c>
      <c r="E16396" s="0" t="s">
        <v>75</v>
      </c>
      <c r="F16396" s="0" t="s">
        <v>15</v>
      </c>
      <c r="G16396" s="0" t="s">
        <v>16</v>
      </c>
      <c r="H16396" s="0" t="n">
        <v>83</v>
      </c>
      <c r="I16396" s="0" t="s">
        <v>54498</v>
      </c>
      <c r="J16396" s="0" t="s">
        <v>54499</v>
      </c>
      <c r="K16396" s="0" t="s">
        <v>54500</v>
      </c>
      <c r="L16396" s="0" t="str">
        <f aca="false">HYPERLINK("https://www.ncbi.nlm.nih.gov/nuccore/CP000058.1?report=graph&amp;tracks=[key:gene_model_track,Options:GeneOnly]&amp;mk=5068847:5068866|offset_49|444444,5068881:5068900|offset_83|00cc00,5068920:5068939|offset_122|444444,5068973:5068992|offset_175|444444&amp;v=5068646:5069192&amp;c=444444", "offset 83")</f>
        <v>offset 83</v>
      </c>
    </row>
    <row r="16397" customFormat="false" ht="12.8" hidden="false" customHeight="false" outlineLevel="0" collapsed="false">
      <c r="A16397" s="0" t="s">
        <v>12</v>
      </c>
      <c r="B16397" s="0" t="n">
        <v>5068919</v>
      </c>
      <c r="C16397" s="0" t="n">
        <v>5068939</v>
      </c>
      <c r="D16397" s="0" t="s">
        <v>54494</v>
      </c>
      <c r="E16397" s="0" t="s">
        <v>75</v>
      </c>
      <c r="F16397" s="0" t="s">
        <v>15</v>
      </c>
      <c r="G16397" s="0" t="s">
        <v>20</v>
      </c>
      <c r="H16397" s="0" t="n">
        <v>122</v>
      </c>
      <c r="I16397" s="0" t="s">
        <v>54501</v>
      </c>
      <c r="J16397" s="0" t="s">
        <v>54502</v>
      </c>
      <c r="K16397" s="0" t="s">
        <v>54503</v>
      </c>
      <c r="L16397" s="0" t="str">
        <f aca="false">HYPERLINK("https://www.ncbi.nlm.nih.gov/nuccore/CP000058.1?report=graph&amp;tracks=[key:gene_model_track,Options:GeneOnly]&amp;mk=5068847:5068866|offset_49|444444,5068881:5068900|offset_83|444444,5068920:5068939|offset_122|00cc00,5068973:5068992|offset_175|444444&amp;v=5068646:5069192&amp;c=444444", "offset 122")</f>
        <v>offset 122</v>
      </c>
    </row>
    <row r="16398" customFormat="false" ht="12.8" hidden="false" customHeight="false" outlineLevel="0" collapsed="false">
      <c r="A16398" s="0" t="s">
        <v>12</v>
      </c>
      <c r="B16398" s="0" t="n">
        <v>5068972</v>
      </c>
      <c r="C16398" s="0" t="n">
        <v>5068992</v>
      </c>
      <c r="D16398" s="0" t="s">
        <v>54494</v>
      </c>
      <c r="E16398" s="0" t="s">
        <v>75</v>
      </c>
      <c r="F16398" s="0" t="s">
        <v>15</v>
      </c>
      <c r="G16398" s="0" t="s">
        <v>16</v>
      </c>
      <c r="H16398" s="0" t="n">
        <v>175</v>
      </c>
      <c r="I16398" s="0" t="s">
        <v>54504</v>
      </c>
      <c r="J16398" s="0" t="s">
        <v>54505</v>
      </c>
      <c r="K16398" s="0" t="s">
        <v>54506</v>
      </c>
      <c r="L16398" s="0" t="str">
        <f aca="false">HYPERLINK("https://www.ncbi.nlm.nih.gov/nuccore/CP000058.1?report=graph&amp;tracks=[key:gene_model_track,Options:GeneOnly]&amp;mk=5068847:5068866|offset_49|444444,5068881:5068900|offset_83|444444,5068920:5068939|offset_122|444444,5068973:5068992|offset_175|00cc00&amp;v=5068646:5069192&amp;c=444444", "offset 175")</f>
        <v>offset 175</v>
      </c>
    </row>
    <row r="16399" customFormat="false" ht="12.8" hidden="false" customHeight="false" outlineLevel="0" collapsed="false">
      <c r="A16399" s="0" t="s">
        <v>12</v>
      </c>
      <c r="B16399" s="0" t="n">
        <v>5070101</v>
      </c>
      <c r="C16399" s="0" t="n">
        <v>5070121</v>
      </c>
      <c r="D16399" s="0" t="s">
        <v>54507</v>
      </c>
      <c r="E16399" s="0" t="s">
        <v>75</v>
      </c>
      <c r="F16399" s="0" t="s">
        <v>15</v>
      </c>
      <c r="G16399" s="0" t="s">
        <v>20</v>
      </c>
      <c r="H16399" s="0" t="n">
        <v>26</v>
      </c>
      <c r="I16399" s="0" t="s">
        <v>54508</v>
      </c>
      <c r="J16399" s="0" t="s">
        <v>54509</v>
      </c>
      <c r="K16399" s="0" t="s">
        <v>54510</v>
      </c>
      <c r="L16399" s="0" t="str">
        <f aca="false">HYPERLINK("https://www.ncbi.nlm.nih.gov/nuccore/CP000058.1?report=graph&amp;tracks=[key:gene_model_track,Options:GeneOnly]&amp;mk=5070102:5070121|offset_26|00cc00,5070131:5070150|offset_55|444444,5070167:5070186|offset_91|444444,5070194:5070213|offset_118|444444&amp;v=5069901:5070413&amp;c=444444", "offset 26")</f>
        <v>offset 26</v>
      </c>
    </row>
    <row r="16400" customFormat="false" ht="12.8" hidden="false" customHeight="false" outlineLevel="0" collapsed="false">
      <c r="A16400" s="0" t="s">
        <v>12</v>
      </c>
      <c r="B16400" s="0" t="n">
        <v>5070130</v>
      </c>
      <c r="C16400" s="0" t="n">
        <v>5070150</v>
      </c>
      <c r="D16400" s="0" t="s">
        <v>54507</v>
      </c>
      <c r="E16400" s="0" t="s">
        <v>75</v>
      </c>
      <c r="F16400" s="0" t="s">
        <v>15</v>
      </c>
      <c r="G16400" s="0" t="s">
        <v>32</v>
      </c>
      <c r="H16400" s="0" t="n">
        <v>55</v>
      </c>
      <c r="I16400" s="0" t="s">
        <v>54511</v>
      </c>
      <c r="J16400" s="0" t="s">
        <v>54512</v>
      </c>
      <c r="K16400" s="0" t="s">
        <v>54513</v>
      </c>
      <c r="L16400" s="0" t="str">
        <f aca="false">HYPERLINK("https://www.ncbi.nlm.nih.gov/nuccore/CP000058.1?report=graph&amp;tracks=[key:gene_model_track,Options:GeneOnly]&amp;mk=5070102:5070121|offset_26|444444,5070131:5070150|offset_55|00cc00,5070167:5070186|offset_91|444444,5070194:5070213|offset_118|444444&amp;v=5069901:5070413&amp;c=444444", "offset 55")</f>
        <v>offset 55</v>
      </c>
    </row>
    <row r="16401" customFormat="false" ht="12.8" hidden="false" customHeight="false" outlineLevel="0" collapsed="false">
      <c r="A16401" s="0" t="s">
        <v>12</v>
      </c>
      <c r="B16401" s="0" t="n">
        <v>5070166</v>
      </c>
      <c r="C16401" s="0" t="n">
        <v>5070186</v>
      </c>
      <c r="D16401" s="0" t="s">
        <v>54507</v>
      </c>
      <c r="E16401" s="0" t="s">
        <v>75</v>
      </c>
      <c r="F16401" s="0" t="s">
        <v>15</v>
      </c>
      <c r="G16401" s="0" t="s">
        <v>32</v>
      </c>
      <c r="H16401" s="0" t="n">
        <v>91</v>
      </c>
      <c r="I16401" s="0" t="s">
        <v>54514</v>
      </c>
      <c r="J16401" s="0" t="s">
        <v>54515</v>
      </c>
      <c r="K16401" s="0" t="s">
        <v>54516</v>
      </c>
      <c r="L16401" s="0" t="str">
        <f aca="false">HYPERLINK("https://www.ncbi.nlm.nih.gov/nuccore/CP000058.1?report=graph&amp;tracks=[key:gene_model_track,Options:GeneOnly]&amp;mk=5070102:5070121|offset_26|444444,5070131:5070150|offset_55|444444,5070167:5070186|offset_91|00cc00,5070194:5070213|offset_118|444444&amp;v=5069901:5070413&amp;c=444444", "offset 91")</f>
        <v>offset 91</v>
      </c>
    </row>
    <row r="16402" customFormat="false" ht="12.8" hidden="false" customHeight="false" outlineLevel="0" collapsed="false">
      <c r="A16402" s="0" t="s">
        <v>12</v>
      </c>
      <c r="B16402" s="0" t="n">
        <v>5070193</v>
      </c>
      <c r="C16402" s="0" t="n">
        <v>5070213</v>
      </c>
      <c r="D16402" s="0" t="s">
        <v>54507</v>
      </c>
      <c r="E16402" s="0" t="s">
        <v>75</v>
      </c>
      <c r="F16402" s="0" t="s">
        <v>15</v>
      </c>
      <c r="G16402" s="0" t="s">
        <v>16</v>
      </c>
      <c r="H16402" s="0" t="n">
        <v>118</v>
      </c>
      <c r="I16402" s="0" t="s">
        <v>54517</v>
      </c>
      <c r="J16402" s="0" t="s">
        <v>54518</v>
      </c>
      <c r="K16402" s="0" t="s">
        <v>54519</v>
      </c>
      <c r="L16402" s="0" t="str">
        <f aca="false">HYPERLINK("https://www.ncbi.nlm.nih.gov/nuccore/CP000058.1?report=graph&amp;tracks=[key:gene_model_track,Options:GeneOnly]&amp;mk=5070102:5070121|offset_26|444444,5070131:5070150|offset_55|444444,5070167:5070186|offset_91|444444,5070194:5070213|offset_118|00cc00&amp;v=5069901:5070413&amp;c=444444", "offset 118")</f>
        <v>offset 118</v>
      </c>
    </row>
    <row r="16403" customFormat="false" ht="12.8" hidden="false" customHeight="false" outlineLevel="0" collapsed="false">
      <c r="A16403" s="0" t="s">
        <v>12</v>
      </c>
      <c r="B16403" s="0" t="n">
        <v>5070982</v>
      </c>
      <c r="C16403" s="0" t="n">
        <v>5071002</v>
      </c>
      <c r="D16403" s="0" t="s">
        <v>54520</v>
      </c>
      <c r="E16403" s="0" t="s">
        <v>75</v>
      </c>
      <c r="F16403" s="0" t="s">
        <v>15</v>
      </c>
      <c r="G16403" s="0" t="s">
        <v>16</v>
      </c>
      <c r="H16403" s="0" t="n">
        <v>22</v>
      </c>
      <c r="I16403" s="0" t="s">
        <v>54521</v>
      </c>
      <c r="J16403" s="0" t="s">
        <v>54522</v>
      </c>
      <c r="K16403" s="0" t="s">
        <v>54523</v>
      </c>
      <c r="L16403" s="0" t="str">
        <f aca="false">HYPERLINK("https://www.ncbi.nlm.nih.gov/nuccore/CP000058.1?report=graph&amp;tracks=[key:gene_model_track,Options:GeneOnly]&amp;mk=5070983:5071002|offset_22|00cc00,5071019:5071038|offset_58|444444,5071074:5071093|offset_113|444444,5071104:5071123|offset_143|444444&amp;v=5070782:5071323&amp;c=444444", "offset 22")</f>
        <v>offset 22</v>
      </c>
    </row>
    <row r="16404" customFormat="false" ht="12.8" hidden="false" customHeight="false" outlineLevel="0" collapsed="false">
      <c r="A16404" s="0" t="s">
        <v>12</v>
      </c>
      <c r="B16404" s="0" t="n">
        <v>5071018</v>
      </c>
      <c r="C16404" s="0" t="n">
        <v>5071038</v>
      </c>
      <c r="D16404" s="0" t="s">
        <v>54520</v>
      </c>
      <c r="E16404" s="0" t="s">
        <v>75</v>
      </c>
      <c r="F16404" s="0" t="s">
        <v>15</v>
      </c>
      <c r="G16404" s="0" t="s">
        <v>16</v>
      </c>
      <c r="H16404" s="0" t="n">
        <v>58</v>
      </c>
      <c r="I16404" s="0" t="s">
        <v>54524</v>
      </c>
      <c r="J16404" s="0" t="s">
        <v>54525</v>
      </c>
      <c r="K16404" s="0" t="s">
        <v>54526</v>
      </c>
      <c r="L16404" s="0" t="str">
        <f aca="false">HYPERLINK("https://www.ncbi.nlm.nih.gov/nuccore/CP000058.1?report=graph&amp;tracks=[key:gene_model_track,Options:GeneOnly]&amp;mk=5070983:5071002|offset_22|444444,5071019:5071038|offset_58|00cc00,5071074:5071093|offset_113|444444,5071104:5071123|offset_143|444444&amp;v=5070782:5071323&amp;c=444444", "offset 58")</f>
        <v>offset 58</v>
      </c>
    </row>
    <row r="16405" customFormat="false" ht="12.8" hidden="false" customHeight="false" outlineLevel="0" collapsed="false">
      <c r="A16405" s="0" t="s">
        <v>12</v>
      </c>
      <c r="B16405" s="0" t="n">
        <v>5071073</v>
      </c>
      <c r="C16405" s="0" t="n">
        <v>5071093</v>
      </c>
      <c r="D16405" s="0" t="s">
        <v>54520</v>
      </c>
      <c r="E16405" s="0" t="s">
        <v>75</v>
      </c>
      <c r="F16405" s="0" t="s">
        <v>15</v>
      </c>
      <c r="G16405" s="0" t="s">
        <v>32</v>
      </c>
      <c r="H16405" s="0" t="n">
        <v>113</v>
      </c>
      <c r="I16405" s="0" t="s">
        <v>54527</v>
      </c>
      <c r="J16405" s="0" t="s">
        <v>54528</v>
      </c>
      <c r="K16405" s="0" t="s">
        <v>54529</v>
      </c>
      <c r="L16405" s="0" t="str">
        <f aca="false">HYPERLINK("https://www.ncbi.nlm.nih.gov/nuccore/CP000058.1?report=graph&amp;tracks=[key:gene_model_track,Options:GeneOnly]&amp;mk=5070983:5071002|offset_22|444444,5071019:5071038|offset_58|444444,5071074:5071093|offset_113|00cc00,5071104:5071123|offset_143|444444&amp;v=5070782:5071323&amp;c=444444", "offset 113")</f>
        <v>offset 113</v>
      </c>
    </row>
    <row r="16406" customFormat="false" ht="12.8" hidden="false" customHeight="false" outlineLevel="0" collapsed="false">
      <c r="A16406" s="0" t="s">
        <v>12</v>
      </c>
      <c r="B16406" s="0" t="n">
        <v>5071103</v>
      </c>
      <c r="C16406" s="0" t="n">
        <v>5071123</v>
      </c>
      <c r="D16406" s="0" t="s">
        <v>54520</v>
      </c>
      <c r="E16406" s="0" t="s">
        <v>75</v>
      </c>
      <c r="F16406" s="0" t="s">
        <v>15</v>
      </c>
      <c r="G16406" s="0" t="s">
        <v>20</v>
      </c>
      <c r="H16406" s="0" t="n">
        <v>143</v>
      </c>
      <c r="I16406" s="0" t="s">
        <v>54530</v>
      </c>
      <c r="J16406" s="0" t="s">
        <v>54531</v>
      </c>
      <c r="K16406" s="0" t="s">
        <v>54532</v>
      </c>
      <c r="L16406" s="0" t="str">
        <f aca="false">HYPERLINK("https://www.ncbi.nlm.nih.gov/nuccore/CP000058.1?report=graph&amp;tracks=[key:gene_model_track,Options:GeneOnly]&amp;mk=5070983:5071002|offset_22|444444,5071019:5071038|offset_58|444444,5071074:5071093|offset_113|444444,5071104:5071123|offset_143|00cc00&amp;v=5070782:5071323&amp;c=444444", "offset 143")</f>
        <v>offset 143</v>
      </c>
    </row>
    <row r="16407" customFormat="false" ht="12.8" hidden="false" customHeight="false" outlineLevel="0" collapsed="false">
      <c r="A16407" s="0" t="s">
        <v>12</v>
      </c>
      <c r="B16407" s="0" t="n">
        <v>5071933</v>
      </c>
      <c r="C16407" s="0" t="n">
        <v>5071953</v>
      </c>
      <c r="D16407" s="0" t="s">
        <v>54533</v>
      </c>
      <c r="E16407" s="0" t="s">
        <v>75</v>
      </c>
      <c r="F16407" s="0" t="s">
        <v>15</v>
      </c>
      <c r="G16407" s="0" t="s">
        <v>32</v>
      </c>
      <c r="H16407" s="0" t="n">
        <v>19</v>
      </c>
      <c r="I16407" s="0" t="s">
        <v>54534</v>
      </c>
      <c r="J16407" s="0" t="s">
        <v>54535</v>
      </c>
      <c r="K16407" s="0" t="s">
        <v>54536</v>
      </c>
      <c r="L16407" s="0" t="str">
        <f aca="false">HYPERLINK("https://www.ncbi.nlm.nih.gov/nuccore/CP000058.1?report=graph&amp;tracks=[key:gene_model_track,Options:GeneOnly]&amp;mk=5071934:5071953|offset_19|00cc00,5071964:5071983|offset_49|444444,5071986:5072005|offset_71|444444,5072015:5072034|offset_100|444444&amp;v=5071733:5072234&amp;c=444444", "offset 19")</f>
        <v>offset 19</v>
      </c>
    </row>
    <row r="16408" customFormat="false" ht="12.8" hidden="false" customHeight="false" outlineLevel="0" collapsed="false">
      <c r="A16408" s="0" t="s">
        <v>12</v>
      </c>
      <c r="B16408" s="0" t="n">
        <v>5071963</v>
      </c>
      <c r="C16408" s="0" t="n">
        <v>5071983</v>
      </c>
      <c r="D16408" s="0" t="s">
        <v>54533</v>
      </c>
      <c r="E16408" s="0" t="s">
        <v>75</v>
      </c>
      <c r="F16408" s="0" t="s">
        <v>15</v>
      </c>
      <c r="G16408" s="0" t="s">
        <v>32</v>
      </c>
      <c r="H16408" s="0" t="n">
        <v>49</v>
      </c>
      <c r="I16408" s="0" t="s">
        <v>54537</v>
      </c>
      <c r="J16408" s="0" t="s">
        <v>54538</v>
      </c>
      <c r="K16408" s="0" t="s">
        <v>54539</v>
      </c>
      <c r="L16408" s="0" t="str">
        <f aca="false">HYPERLINK("https://www.ncbi.nlm.nih.gov/nuccore/CP000058.1?report=graph&amp;tracks=[key:gene_model_track,Options:GeneOnly]&amp;mk=5071934:5071953|offset_19|444444,5071964:5071983|offset_49|00cc00,5071986:5072005|offset_71|444444,5072015:5072034|offset_100|444444&amp;v=5071733:5072234&amp;c=444444", "offset 49")</f>
        <v>offset 49</v>
      </c>
    </row>
    <row r="16409" customFormat="false" ht="12.8" hidden="false" customHeight="false" outlineLevel="0" collapsed="false">
      <c r="A16409" s="0" t="s">
        <v>12</v>
      </c>
      <c r="B16409" s="0" t="n">
        <v>5071985</v>
      </c>
      <c r="C16409" s="0" t="n">
        <v>5072005</v>
      </c>
      <c r="D16409" s="0" t="s">
        <v>54533</v>
      </c>
      <c r="E16409" s="0" t="s">
        <v>75</v>
      </c>
      <c r="F16409" s="0" t="s">
        <v>15</v>
      </c>
      <c r="G16409" s="0" t="s">
        <v>36</v>
      </c>
      <c r="H16409" s="0" t="n">
        <v>71</v>
      </c>
      <c r="I16409" s="0" t="s">
        <v>54540</v>
      </c>
      <c r="J16409" s="0" t="s">
        <v>54541</v>
      </c>
      <c r="K16409" s="0" t="s">
        <v>54542</v>
      </c>
      <c r="L16409" s="0" t="str">
        <f aca="false">HYPERLINK("https://www.ncbi.nlm.nih.gov/nuccore/CP000058.1?report=graph&amp;tracks=[key:gene_model_track,Options:GeneOnly]&amp;mk=5071934:5071953|offset_19|444444,5071964:5071983|offset_49|444444,5071986:5072005|offset_71|00cc00,5072015:5072034|offset_100|444444&amp;v=5071733:5072234&amp;c=444444", "offset 71")</f>
        <v>offset 71</v>
      </c>
    </row>
    <row r="16410" customFormat="false" ht="12.8" hidden="false" customHeight="false" outlineLevel="0" collapsed="false">
      <c r="A16410" s="0" t="s">
        <v>12</v>
      </c>
      <c r="B16410" s="0" t="n">
        <v>5072014</v>
      </c>
      <c r="C16410" s="0" t="n">
        <v>5072034</v>
      </c>
      <c r="D16410" s="0" t="s">
        <v>54533</v>
      </c>
      <c r="E16410" s="0" t="s">
        <v>75</v>
      </c>
      <c r="F16410" s="0" t="s">
        <v>15</v>
      </c>
      <c r="G16410" s="0" t="s">
        <v>36</v>
      </c>
      <c r="H16410" s="0" t="n">
        <v>100</v>
      </c>
      <c r="I16410" s="0" t="s">
        <v>54543</v>
      </c>
      <c r="J16410" s="0" t="s">
        <v>54544</v>
      </c>
      <c r="K16410" s="0" t="s">
        <v>54545</v>
      </c>
      <c r="L16410" s="0" t="str">
        <f aca="false">HYPERLINK("https://www.ncbi.nlm.nih.gov/nuccore/CP000058.1?report=graph&amp;tracks=[key:gene_model_track,Options:GeneOnly]&amp;mk=5071934:5071953|offset_19|444444,5071964:5071983|offset_49|444444,5071986:5072005|offset_71|444444,5072015:5072034|offset_100|00cc00&amp;v=5071733:5072234&amp;c=444444", "offset 100")</f>
        <v>offset 100</v>
      </c>
    </row>
    <row r="16411" customFormat="false" ht="12.8" hidden="false" customHeight="false" outlineLevel="0" collapsed="false">
      <c r="A16411" s="0" t="s">
        <v>12</v>
      </c>
      <c r="B16411" s="0" t="n">
        <v>5072614</v>
      </c>
      <c r="C16411" s="0" t="n">
        <v>5072634</v>
      </c>
      <c r="D16411" s="0" t="s">
        <v>54546</v>
      </c>
      <c r="E16411" s="0" t="s">
        <v>75</v>
      </c>
      <c r="F16411" s="0" t="s">
        <v>15</v>
      </c>
      <c r="G16411" s="0" t="s">
        <v>20</v>
      </c>
      <c r="H16411" s="0" t="n">
        <v>35</v>
      </c>
      <c r="I16411" s="0" t="s">
        <v>54547</v>
      </c>
      <c r="J16411" s="0" t="s">
        <v>54548</v>
      </c>
      <c r="K16411" s="0" t="s">
        <v>54549</v>
      </c>
      <c r="L16411" s="0" t="str">
        <f aca="false">HYPERLINK("https://www.ncbi.nlm.nih.gov/nuccore/CP000058.1?report=graph&amp;tracks=[key:gene_model_track,Options:GeneOnly]&amp;mk=5072615:5072634|offset_35|00cc00,5072635:5072654|offset_55|444444,5072661:5072680|offset_81|444444,5072686:5072705|offset_106|444444&amp;v=5072414:5072905&amp;c=444444", "offset 35")</f>
        <v>offset 35</v>
      </c>
    </row>
    <row r="16412" customFormat="false" ht="12.8" hidden="false" customHeight="false" outlineLevel="0" collapsed="false">
      <c r="A16412" s="0" t="s">
        <v>12</v>
      </c>
      <c r="B16412" s="0" t="n">
        <v>5072634</v>
      </c>
      <c r="C16412" s="0" t="n">
        <v>5072654</v>
      </c>
      <c r="D16412" s="0" t="s">
        <v>54546</v>
      </c>
      <c r="E16412" s="0" t="s">
        <v>75</v>
      </c>
      <c r="F16412" s="0" t="s">
        <v>15</v>
      </c>
      <c r="G16412" s="0" t="s">
        <v>20</v>
      </c>
      <c r="H16412" s="0" t="n">
        <v>55</v>
      </c>
      <c r="I16412" s="0" t="s">
        <v>54550</v>
      </c>
      <c r="J16412" s="0" t="s">
        <v>54551</v>
      </c>
      <c r="K16412" s="0" t="s">
        <v>54552</v>
      </c>
      <c r="L16412" s="0" t="str">
        <f aca="false">HYPERLINK("https://www.ncbi.nlm.nih.gov/nuccore/CP000058.1?report=graph&amp;tracks=[key:gene_model_track,Options:GeneOnly]&amp;mk=5072615:5072634|offset_35|444444,5072635:5072654|offset_55|00cc00,5072661:5072680|offset_81|444444,5072686:5072705|offset_106|444444&amp;v=5072414:5072905&amp;c=444444", "offset 55")</f>
        <v>offset 55</v>
      </c>
    </row>
    <row r="16413" customFormat="false" ht="12.8" hidden="false" customHeight="false" outlineLevel="0" collapsed="false">
      <c r="A16413" s="0" t="s">
        <v>12</v>
      </c>
      <c r="B16413" s="0" t="n">
        <v>5072660</v>
      </c>
      <c r="C16413" s="0" t="n">
        <v>5072680</v>
      </c>
      <c r="D16413" s="0" t="s">
        <v>54546</v>
      </c>
      <c r="E16413" s="0" t="s">
        <v>75</v>
      </c>
      <c r="F16413" s="0" t="s">
        <v>15</v>
      </c>
      <c r="G16413" s="0" t="s">
        <v>20</v>
      </c>
      <c r="H16413" s="0" t="n">
        <v>81</v>
      </c>
      <c r="I16413" s="0" t="s">
        <v>54553</v>
      </c>
      <c r="J16413" s="0" t="s">
        <v>54554</v>
      </c>
      <c r="K16413" s="0" t="s">
        <v>54555</v>
      </c>
      <c r="L16413" s="0" t="str">
        <f aca="false">HYPERLINK("https://www.ncbi.nlm.nih.gov/nuccore/CP000058.1?report=graph&amp;tracks=[key:gene_model_track,Options:GeneOnly]&amp;mk=5072615:5072634|offset_35|444444,5072635:5072654|offset_55|444444,5072661:5072680|offset_81|00cc00,5072686:5072705|offset_106|444444&amp;v=5072414:5072905&amp;c=444444", "offset 81")</f>
        <v>offset 81</v>
      </c>
    </row>
    <row r="16414" customFormat="false" ht="12.8" hidden="false" customHeight="false" outlineLevel="0" collapsed="false">
      <c r="A16414" s="0" t="s">
        <v>12</v>
      </c>
      <c r="B16414" s="0" t="n">
        <v>5072685</v>
      </c>
      <c r="C16414" s="0" t="n">
        <v>5072705</v>
      </c>
      <c r="D16414" s="0" t="s">
        <v>54546</v>
      </c>
      <c r="E16414" s="0" t="s">
        <v>75</v>
      </c>
      <c r="F16414" s="0" t="s">
        <v>15</v>
      </c>
      <c r="G16414" s="0" t="s">
        <v>20</v>
      </c>
      <c r="H16414" s="0" t="n">
        <v>106</v>
      </c>
      <c r="I16414" s="0" t="s">
        <v>54556</v>
      </c>
      <c r="J16414" s="0" t="s">
        <v>54557</v>
      </c>
      <c r="K16414" s="0" t="s">
        <v>54558</v>
      </c>
      <c r="L16414" s="0" t="str">
        <f aca="false">HYPERLINK("https://www.ncbi.nlm.nih.gov/nuccore/CP000058.1?report=graph&amp;tracks=[key:gene_model_track,Options:GeneOnly]&amp;mk=5072615:5072634|offset_35|444444,5072635:5072654|offset_55|444444,5072661:5072680|offset_81|444444,5072686:5072705|offset_106|00cc00&amp;v=5072414:5072905&amp;c=444444", "offset 106")</f>
        <v>offset 106</v>
      </c>
    </row>
    <row r="16415" customFormat="false" ht="12.8" hidden="false" customHeight="false" outlineLevel="0" collapsed="false">
      <c r="A16415" s="0" t="s">
        <v>12</v>
      </c>
      <c r="B16415" s="0" t="n">
        <v>5072964</v>
      </c>
      <c r="C16415" s="0" t="n">
        <v>5072984</v>
      </c>
      <c r="D16415" s="0" t="s">
        <v>54559</v>
      </c>
      <c r="E16415" s="0" t="s">
        <v>54560</v>
      </c>
      <c r="F16415" s="0" t="s">
        <v>15</v>
      </c>
      <c r="G16415" s="0" t="s">
        <v>32</v>
      </c>
      <c r="H16415" s="0" t="n">
        <v>31</v>
      </c>
      <c r="I16415" s="0" t="s">
        <v>54561</v>
      </c>
      <c r="J16415" s="0" t="s">
        <v>54562</v>
      </c>
      <c r="K16415" s="0" t="s">
        <v>54563</v>
      </c>
      <c r="L16415" s="0" t="str">
        <f aca="false">HYPERLINK("https://www.ncbi.nlm.nih.gov/nuccore/CP000058.1?report=graph&amp;tracks=[key:gene_model_track,Options:GeneOnly]&amp;mk=5072965:5072984|offset_31|00cc00,5072999:5073018|offset_65|444444,5073022:5073041|offset_88|444444,5073042:5073061|offset_108|444444&amp;v=5072764:5073261&amp;c=444444", "offset 31")</f>
        <v>offset 31</v>
      </c>
    </row>
    <row r="16416" customFormat="false" ht="12.8" hidden="false" customHeight="false" outlineLevel="0" collapsed="false">
      <c r="A16416" s="0" t="s">
        <v>12</v>
      </c>
      <c r="B16416" s="0" t="n">
        <v>5072998</v>
      </c>
      <c r="C16416" s="0" t="n">
        <v>5073018</v>
      </c>
      <c r="D16416" s="0" t="s">
        <v>54559</v>
      </c>
      <c r="E16416" s="0" t="s">
        <v>54560</v>
      </c>
      <c r="F16416" s="0" t="s">
        <v>15</v>
      </c>
      <c r="G16416" s="0" t="s">
        <v>20</v>
      </c>
      <c r="H16416" s="0" t="n">
        <v>65</v>
      </c>
      <c r="I16416" s="0" t="s">
        <v>54564</v>
      </c>
      <c r="J16416" s="0" t="s">
        <v>54565</v>
      </c>
      <c r="K16416" s="0" t="s">
        <v>54566</v>
      </c>
      <c r="L16416" s="0" t="str">
        <f aca="false">HYPERLINK("https://www.ncbi.nlm.nih.gov/nuccore/CP000058.1?report=graph&amp;tracks=[key:gene_model_track,Options:GeneOnly]&amp;mk=5072965:5072984|offset_31|444444,5072999:5073018|offset_65|00cc00,5073022:5073041|offset_88|444444,5073042:5073061|offset_108|444444&amp;v=5072764:5073261&amp;c=444444", "offset 65")</f>
        <v>offset 65</v>
      </c>
    </row>
    <row r="16417" customFormat="false" ht="12.8" hidden="false" customHeight="false" outlineLevel="0" collapsed="false">
      <c r="A16417" s="0" t="s">
        <v>12</v>
      </c>
      <c r="B16417" s="0" t="n">
        <v>5073021</v>
      </c>
      <c r="C16417" s="0" t="n">
        <v>5073041</v>
      </c>
      <c r="D16417" s="0" t="s">
        <v>54559</v>
      </c>
      <c r="E16417" s="0" t="s">
        <v>54560</v>
      </c>
      <c r="F16417" s="0" t="s">
        <v>15</v>
      </c>
      <c r="G16417" s="0" t="s">
        <v>16</v>
      </c>
      <c r="H16417" s="0" t="n">
        <v>88</v>
      </c>
      <c r="I16417" s="0" t="s">
        <v>54567</v>
      </c>
      <c r="J16417" s="0" t="s">
        <v>54568</v>
      </c>
      <c r="K16417" s="0" t="s">
        <v>54569</v>
      </c>
      <c r="L16417" s="0" t="str">
        <f aca="false">HYPERLINK("https://www.ncbi.nlm.nih.gov/nuccore/CP000058.1?report=graph&amp;tracks=[key:gene_model_track,Options:GeneOnly]&amp;mk=5072965:5072984|offset_31|444444,5072999:5073018|offset_65|444444,5073022:5073041|offset_88|00cc00,5073042:5073061|offset_108|444444&amp;v=5072764:5073261&amp;c=444444", "offset 88")</f>
        <v>offset 88</v>
      </c>
    </row>
    <row r="16418" customFormat="false" ht="12.8" hidden="false" customHeight="false" outlineLevel="0" collapsed="false">
      <c r="A16418" s="0" t="s">
        <v>12</v>
      </c>
      <c r="B16418" s="0" t="n">
        <v>5073041</v>
      </c>
      <c r="C16418" s="0" t="n">
        <v>5073061</v>
      </c>
      <c r="D16418" s="0" t="s">
        <v>54559</v>
      </c>
      <c r="E16418" s="0" t="s">
        <v>54560</v>
      </c>
      <c r="F16418" s="0" t="s">
        <v>15</v>
      </c>
      <c r="G16418" s="0" t="s">
        <v>16</v>
      </c>
      <c r="H16418" s="0" t="n">
        <v>108</v>
      </c>
      <c r="I16418" s="0" t="s">
        <v>54570</v>
      </c>
      <c r="J16418" s="0" t="s">
        <v>54571</v>
      </c>
      <c r="K16418" s="0" t="s">
        <v>54572</v>
      </c>
      <c r="L16418" s="0" t="str">
        <f aca="false">HYPERLINK("https://www.ncbi.nlm.nih.gov/nuccore/CP000058.1?report=graph&amp;tracks=[key:gene_model_track,Options:GeneOnly]&amp;mk=5072965:5072984|offset_31|444444,5072999:5073018|offset_65|444444,5073022:5073041|offset_88|444444,5073042:5073061|offset_108|00cc00&amp;v=5072764:5073261&amp;c=444444", "offset 108")</f>
        <v>offset 108</v>
      </c>
    </row>
    <row r="16419" customFormat="false" ht="12.8" hidden="false" customHeight="false" outlineLevel="0" collapsed="false">
      <c r="A16419" s="0" t="s">
        <v>12</v>
      </c>
      <c r="B16419" s="0" t="n">
        <v>5074897</v>
      </c>
      <c r="C16419" s="0" t="n">
        <v>5074917</v>
      </c>
      <c r="D16419" s="0" t="s">
        <v>54573</v>
      </c>
      <c r="E16419" s="0" t="s">
        <v>54574</v>
      </c>
      <c r="F16419" s="0" t="s">
        <v>15</v>
      </c>
      <c r="G16419" s="0" t="s">
        <v>20</v>
      </c>
      <c r="H16419" s="0" t="n">
        <v>14</v>
      </c>
      <c r="I16419" s="0" t="s">
        <v>54575</v>
      </c>
      <c r="J16419" s="0" t="s">
        <v>54576</v>
      </c>
      <c r="K16419" s="0" t="s">
        <v>54577</v>
      </c>
      <c r="L16419" s="0" t="str">
        <f aca="false">HYPERLINK("https://www.ncbi.nlm.nih.gov/nuccore/CP000058.1?report=graph&amp;tracks=[key:gene_model_track,Options:GeneOnly]&amp;mk=5074898:5074917|offset_14|00cc00,5074925:5074944|offset_41|444444,5074945:5074964|offset_61|444444,5074971:5074990|offset_87|444444&amp;v=5074697:5075190&amp;c=444444", "offset 14")</f>
        <v>offset 14</v>
      </c>
    </row>
    <row r="16420" customFormat="false" ht="12.8" hidden="false" customHeight="false" outlineLevel="0" collapsed="false">
      <c r="A16420" s="0" t="s">
        <v>12</v>
      </c>
      <c r="B16420" s="0" t="n">
        <v>5074924</v>
      </c>
      <c r="C16420" s="0" t="n">
        <v>5074944</v>
      </c>
      <c r="D16420" s="0" t="s">
        <v>54573</v>
      </c>
      <c r="E16420" s="0" t="s">
        <v>54574</v>
      </c>
      <c r="F16420" s="0" t="s">
        <v>15</v>
      </c>
      <c r="G16420" s="0" t="s">
        <v>20</v>
      </c>
      <c r="H16420" s="0" t="n">
        <v>41</v>
      </c>
      <c r="I16420" s="0" t="s">
        <v>54578</v>
      </c>
      <c r="J16420" s="0" t="s">
        <v>54579</v>
      </c>
      <c r="K16420" s="0" t="s">
        <v>54580</v>
      </c>
      <c r="L16420" s="0" t="str">
        <f aca="false">HYPERLINK("https://www.ncbi.nlm.nih.gov/nuccore/CP000058.1?report=graph&amp;tracks=[key:gene_model_track,Options:GeneOnly]&amp;mk=5074898:5074917|offset_14|444444,5074925:5074944|offset_41|00cc00,5074945:5074964|offset_61|444444,5074971:5074990|offset_87|444444&amp;v=5074697:5075190&amp;c=444444", "offset 41")</f>
        <v>offset 41</v>
      </c>
    </row>
    <row r="16421" customFormat="false" ht="12.8" hidden="false" customHeight="false" outlineLevel="0" collapsed="false">
      <c r="A16421" s="0" t="s">
        <v>12</v>
      </c>
      <c r="B16421" s="0" t="n">
        <v>5074944</v>
      </c>
      <c r="C16421" s="0" t="n">
        <v>5074964</v>
      </c>
      <c r="D16421" s="0" t="s">
        <v>54573</v>
      </c>
      <c r="E16421" s="0" t="s">
        <v>54574</v>
      </c>
      <c r="F16421" s="0" t="s">
        <v>15</v>
      </c>
      <c r="G16421" s="0" t="s">
        <v>16</v>
      </c>
      <c r="H16421" s="0" t="n">
        <v>61</v>
      </c>
      <c r="I16421" s="0" t="s">
        <v>54581</v>
      </c>
      <c r="J16421" s="0" t="s">
        <v>54582</v>
      </c>
      <c r="K16421" s="0" t="s">
        <v>54583</v>
      </c>
      <c r="L16421" s="0" t="str">
        <f aca="false">HYPERLINK("https://www.ncbi.nlm.nih.gov/nuccore/CP000058.1?report=graph&amp;tracks=[key:gene_model_track,Options:GeneOnly]&amp;mk=5074898:5074917|offset_14|444444,5074925:5074944|offset_41|444444,5074945:5074964|offset_61|00cc00,5074971:5074990|offset_87|444444&amp;v=5074697:5075190&amp;c=444444", "offset 61")</f>
        <v>offset 61</v>
      </c>
    </row>
    <row r="16422" customFormat="false" ht="12.8" hidden="false" customHeight="false" outlineLevel="0" collapsed="false">
      <c r="A16422" s="0" t="s">
        <v>12</v>
      </c>
      <c r="B16422" s="0" t="n">
        <v>5074970</v>
      </c>
      <c r="C16422" s="0" t="n">
        <v>5074990</v>
      </c>
      <c r="D16422" s="0" t="s">
        <v>54573</v>
      </c>
      <c r="E16422" s="0" t="s">
        <v>54574</v>
      </c>
      <c r="F16422" s="0" t="s">
        <v>15</v>
      </c>
      <c r="G16422" s="0" t="s">
        <v>36</v>
      </c>
      <c r="H16422" s="0" t="n">
        <v>87</v>
      </c>
      <c r="I16422" s="0" t="s">
        <v>54584</v>
      </c>
      <c r="J16422" s="0" t="s">
        <v>54585</v>
      </c>
      <c r="K16422" s="0" t="s">
        <v>54586</v>
      </c>
      <c r="L16422" s="0" t="str">
        <f aca="false">HYPERLINK("https://www.ncbi.nlm.nih.gov/nuccore/CP000058.1?report=graph&amp;tracks=[key:gene_model_track,Options:GeneOnly]&amp;mk=5074898:5074917|offset_14|444444,5074925:5074944|offset_41|444444,5074945:5074964|offset_61|444444,5074971:5074990|offset_87|00cc00&amp;v=5074697:5075190&amp;c=444444", "offset 87")</f>
        <v>offset 87</v>
      </c>
    </row>
    <row r="16423" customFormat="false" ht="12.8" hidden="false" customHeight="false" outlineLevel="0" collapsed="false">
      <c r="A16423" s="0" t="s">
        <v>12</v>
      </c>
      <c r="B16423" s="0" t="n">
        <v>5075461</v>
      </c>
      <c r="C16423" s="0" t="n">
        <v>5075481</v>
      </c>
      <c r="D16423" s="0" t="s">
        <v>54587</v>
      </c>
      <c r="E16423" s="0" t="s">
        <v>54588</v>
      </c>
      <c r="F16423" s="0" t="s">
        <v>15</v>
      </c>
      <c r="G16423" s="0" t="s">
        <v>16</v>
      </c>
      <c r="H16423" s="0" t="n">
        <v>49</v>
      </c>
      <c r="I16423" s="0" t="s">
        <v>54589</v>
      </c>
      <c r="J16423" s="0" t="s">
        <v>54590</v>
      </c>
      <c r="K16423" s="0" t="s">
        <v>54591</v>
      </c>
      <c r="L16423" s="0" t="str">
        <f aca="false">HYPERLINK("https://www.ncbi.nlm.nih.gov/nuccore/CP000058.1?report=graph&amp;tracks=[key:gene_model_track,Options:GeneOnly]&amp;mk=5075462:5075481|offset_49|00cc00,5075501:5075520|offset_88|444444,5075530:5075549|offset_117|444444,5075551:5075570|offset_138|444444&amp;v=5075261:5075770&amp;c=444444", "offset 49")</f>
        <v>offset 49</v>
      </c>
    </row>
    <row r="16424" customFormat="false" ht="12.8" hidden="false" customHeight="false" outlineLevel="0" collapsed="false">
      <c r="A16424" s="0" t="s">
        <v>12</v>
      </c>
      <c r="B16424" s="0" t="n">
        <v>5075500</v>
      </c>
      <c r="C16424" s="0" t="n">
        <v>5075520</v>
      </c>
      <c r="D16424" s="0" t="s">
        <v>54587</v>
      </c>
      <c r="E16424" s="0" t="s">
        <v>54588</v>
      </c>
      <c r="F16424" s="0" t="s">
        <v>15</v>
      </c>
      <c r="G16424" s="0" t="s">
        <v>16</v>
      </c>
      <c r="H16424" s="0" t="n">
        <v>88</v>
      </c>
      <c r="I16424" s="0" t="s">
        <v>54592</v>
      </c>
      <c r="J16424" s="0" t="s">
        <v>54593</v>
      </c>
      <c r="K16424" s="0" t="s">
        <v>54594</v>
      </c>
      <c r="L16424" s="0" t="str">
        <f aca="false">HYPERLINK("https://www.ncbi.nlm.nih.gov/nuccore/CP000058.1?report=graph&amp;tracks=[key:gene_model_track,Options:GeneOnly]&amp;mk=5075462:5075481|offset_49|444444,5075501:5075520|offset_88|00cc00,5075530:5075549|offset_117|444444,5075551:5075570|offset_138|444444&amp;v=5075261:5075770&amp;c=444444", "offset 88")</f>
        <v>offset 88</v>
      </c>
    </row>
    <row r="16425" customFormat="false" ht="12.8" hidden="false" customHeight="false" outlineLevel="0" collapsed="false">
      <c r="A16425" s="0" t="s">
        <v>12</v>
      </c>
      <c r="B16425" s="0" t="n">
        <v>5075529</v>
      </c>
      <c r="C16425" s="0" t="n">
        <v>5075549</v>
      </c>
      <c r="D16425" s="0" t="s">
        <v>54587</v>
      </c>
      <c r="E16425" s="0" t="s">
        <v>54588</v>
      </c>
      <c r="F16425" s="0" t="s">
        <v>15</v>
      </c>
      <c r="G16425" s="0" t="s">
        <v>32</v>
      </c>
      <c r="H16425" s="0" t="n">
        <v>117</v>
      </c>
      <c r="I16425" s="0" t="s">
        <v>54595</v>
      </c>
      <c r="J16425" s="0" t="s">
        <v>54596</v>
      </c>
      <c r="K16425" s="0" t="s">
        <v>54597</v>
      </c>
      <c r="L16425" s="0" t="str">
        <f aca="false">HYPERLINK("https://www.ncbi.nlm.nih.gov/nuccore/CP000058.1?report=graph&amp;tracks=[key:gene_model_track,Options:GeneOnly]&amp;mk=5075462:5075481|offset_49|444444,5075501:5075520|offset_88|444444,5075530:5075549|offset_117|00cc00,5075551:5075570|offset_138|444444&amp;v=5075261:5075770&amp;c=444444", "offset 117")</f>
        <v>offset 117</v>
      </c>
    </row>
    <row r="16426" customFormat="false" ht="12.8" hidden="false" customHeight="false" outlineLevel="0" collapsed="false">
      <c r="A16426" s="0" t="s">
        <v>12</v>
      </c>
      <c r="B16426" s="0" t="n">
        <v>5075550</v>
      </c>
      <c r="C16426" s="0" t="n">
        <v>5075570</v>
      </c>
      <c r="D16426" s="0" t="s">
        <v>54587</v>
      </c>
      <c r="E16426" s="0" t="s">
        <v>54588</v>
      </c>
      <c r="F16426" s="0" t="s">
        <v>15</v>
      </c>
      <c r="G16426" s="0" t="s">
        <v>32</v>
      </c>
      <c r="H16426" s="0" t="n">
        <v>138</v>
      </c>
      <c r="I16426" s="0" t="s">
        <v>54598</v>
      </c>
      <c r="J16426" s="0" t="s">
        <v>54599</v>
      </c>
      <c r="K16426" s="0" t="s">
        <v>54600</v>
      </c>
      <c r="L16426" s="0" t="str">
        <f aca="false">HYPERLINK("https://www.ncbi.nlm.nih.gov/nuccore/CP000058.1?report=graph&amp;tracks=[key:gene_model_track,Options:GeneOnly]&amp;mk=5075462:5075481|offset_49|444444,5075501:5075520|offset_88|444444,5075530:5075549|offset_117|444444,5075551:5075570|offset_138|00cc00&amp;v=5075261:5075770&amp;c=444444", "offset 138")</f>
        <v>offset 138</v>
      </c>
    </row>
    <row r="16427" customFormat="false" ht="12.8" hidden="false" customHeight="false" outlineLevel="0" collapsed="false">
      <c r="A16427" s="0" t="s">
        <v>12</v>
      </c>
      <c r="B16427" s="0" t="n">
        <v>5075928</v>
      </c>
      <c r="C16427" s="0" t="n">
        <v>5075948</v>
      </c>
      <c r="D16427" s="0" t="s">
        <v>54601</v>
      </c>
      <c r="E16427" s="0" t="s">
        <v>54602</v>
      </c>
      <c r="F16427" s="0" t="s">
        <v>15</v>
      </c>
      <c r="G16427" s="0" t="s">
        <v>20</v>
      </c>
      <c r="H16427" s="0" t="n">
        <v>43</v>
      </c>
      <c r="I16427" s="0" t="s">
        <v>54603</v>
      </c>
      <c r="J16427" s="0" t="s">
        <v>54604</v>
      </c>
      <c r="K16427" s="0" t="s">
        <v>54605</v>
      </c>
      <c r="L16427" s="0" t="str">
        <f aca="false">HYPERLINK("https://www.ncbi.nlm.nih.gov/nuccore/CP000058.1?report=graph&amp;tracks=[key:gene_model_track,Options:GeneOnly]&amp;mk=5075929:5075948|offset_43|00cc00,5075971:5075990|offset_85|444444,5076011:5076030|offset_125|444444,5076031:5076050|offset_145|444444&amp;v=5075728:5076250&amp;c=444444", "offset 43")</f>
        <v>offset 43</v>
      </c>
    </row>
    <row r="16428" customFormat="false" ht="12.8" hidden="false" customHeight="false" outlineLevel="0" collapsed="false">
      <c r="A16428" s="0" t="s">
        <v>12</v>
      </c>
      <c r="B16428" s="0" t="n">
        <v>5075970</v>
      </c>
      <c r="C16428" s="0" t="n">
        <v>5075990</v>
      </c>
      <c r="D16428" s="0" t="s">
        <v>54601</v>
      </c>
      <c r="E16428" s="0" t="s">
        <v>54602</v>
      </c>
      <c r="F16428" s="0" t="s">
        <v>15</v>
      </c>
      <c r="G16428" s="0" t="s">
        <v>16</v>
      </c>
      <c r="H16428" s="0" t="n">
        <v>85</v>
      </c>
      <c r="I16428" s="0" t="s">
        <v>54606</v>
      </c>
      <c r="J16428" s="0" t="s">
        <v>54607</v>
      </c>
      <c r="K16428" s="0" t="s">
        <v>54608</v>
      </c>
      <c r="L16428" s="0" t="str">
        <f aca="false">HYPERLINK("https://www.ncbi.nlm.nih.gov/nuccore/CP000058.1?report=graph&amp;tracks=[key:gene_model_track,Options:GeneOnly]&amp;mk=5075929:5075948|offset_43|444444,5075971:5075990|offset_85|00cc00,5076011:5076030|offset_125|444444,5076031:5076050|offset_145|444444&amp;v=5075728:5076250&amp;c=444444", "offset 85")</f>
        <v>offset 85</v>
      </c>
    </row>
    <row r="16429" customFormat="false" ht="12.8" hidden="false" customHeight="false" outlineLevel="0" collapsed="false">
      <c r="A16429" s="0" t="s">
        <v>12</v>
      </c>
      <c r="B16429" s="0" t="n">
        <v>5076010</v>
      </c>
      <c r="C16429" s="0" t="n">
        <v>5076030</v>
      </c>
      <c r="D16429" s="0" t="s">
        <v>54601</v>
      </c>
      <c r="E16429" s="0" t="s">
        <v>54602</v>
      </c>
      <c r="F16429" s="0" t="s">
        <v>15</v>
      </c>
      <c r="G16429" s="0" t="s">
        <v>20</v>
      </c>
      <c r="H16429" s="0" t="n">
        <v>125</v>
      </c>
      <c r="I16429" s="0" t="s">
        <v>54609</v>
      </c>
      <c r="J16429" s="0" t="s">
        <v>54610</v>
      </c>
      <c r="K16429" s="0" t="s">
        <v>54611</v>
      </c>
      <c r="L16429" s="0" t="str">
        <f aca="false">HYPERLINK("https://www.ncbi.nlm.nih.gov/nuccore/CP000058.1?report=graph&amp;tracks=[key:gene_model_track,Options:GeneOnly]&amp;mk=5075929:5075948|offset_43|444444,5075971:5075990|offset_85|444444,5076011:5076030|offset_125|00cc00,5076031:5076050|offset_145|444444&amp;v=5075728:5076250&amp;c=444444", "offset 125")</f>
        <v>offset 125</v>
      </c>
    </row>
    <row r="16430" customFormat="false" ht="12.8" hidden="false" customHeight="false" outlineLevel="0" collapsed="false">
      <c r="A16430" s="0" t="s">
        <v>12</v>
      </c>
      <c r="B16430" s="0" t="n">
        <v>5076030</v>
      </c>
      <c r="C16430" s="0" t="n">
        <v>5076050</v>
      </c>
      <c r="D16430" s="0" t="s">
        <v>54601</v>
      </c>
      <c r="E16430" s="0" t="s">
        <v>54602</v>
      </c>
      <c r="F16430" s="0" t="s">
        <v>15</v>
      </c>
      <c r="G16430" s="0" t="s">
        <v>16</v>
      </c>
      <c r="H16430" s="0" t="n">
        <v>145</v>
      </c>
      <c r="I16430" s="0" t="s">
        <v>54612</v>
      </c>
      <c r="J16430" s="0" t="s">
        <v>54613</v>
      </c>
      <c r="K16430" s="0" t="s">
        <v>54614</v>
      </c>
      <c r="L16430" s="0" t="str">
        <f aca="false">HYPERLINK("https://www.ncbi.nlm.nih.gov/nuccore/CP000058.1?report=graph&amp;tracks=[key:gene_model_track,Options:GeneOnly]&amp;mk=5075929:5075948|offset_43|444444,5075971:5075990|offset_85|444444,5076011:5076030|offset_125|444444,5076031:5076050|offset_145|00cc00&amp;v=5075728:5076250&amp;c=444444", "offset 145")</f>
        <v>offset 145</v>
      </c>
    </row>
    <row r="16431" customFormat="false" ht="12.8" hidden="false" customHeight="false" outlineLevel="0" collapsed="false">
      <c r="A16431" s="0" t="s">
        <v>12</v>
      </c>
      <c r="B16431" s="0" t="n">
        <v>5077369</v>
      </c>
      <c r="C16431" s="0" t="n">
        <v>5077389</v>
      </c>
      <c r="D16431" s="0" t="s">
        <v>54615</v>
      </c>
      <c r="E16431" s="0" t="s">
        <v>54616</v>
      </c>
      <c r="F16431" s="0" t="s">
        <v>15</v>
      </c>
      <c r="G16431" s="0" t="s">
        <v>32</v>
      </c>
      <c r="H16431" s="0" t="n">
        <v>1</v>
      </c>
      <c r="I16431" s="0" t="s">
        <v>54617</v>
      </c>
      <c r="J16431" s="0" t="s">
        <v>54618</v>
      </c>
      <c r="K16431" s="0" t="s">
        <v>54619</v>
      </c>
      <c r="L16431" s="0" t="str">
        <f aca="false">HYPERLINK("https://www.ncbi.nlm.nih.gov/nuccore/CP000058.1?report=graph&amp;tracks=[key:gene_model_track,Options:GeneOnly]&amp;mk=5077370:5077389|offset_1|00cc00,5077397:5077416|offset_28|444444,5077421:5077440|offset_52|444444,5077451:5077470|offset_82|444444&amp;v=5077169:5077670&amp;c=444444", "offset 1")</f>
        <v>offset 1</v>
      </c>
    </row>
    <row r="16432" customFormat="false" ht="12.8" hidden="false" customHeight="false" outlineLevel="0" collapsed="false">
      <c r="A16432" s="0" t="s">
        <v>12</v>
      </c>
      <c r="B16432" s="0" t="n">
        <v>5077396</v>
      </c>
      <c r="C16432" s="0" t="n">
        <v>5077416</v>
      </c>
      <c r="D16432" s="0" t="s">
        <v>54615</v>
      </c>
      <c r="E16432" s="0" t="s">
        <v>54616</v>
      </c>
      <c r="F16432" s="0" t="s">
        <v>15</v>
      </c>
      <c r="G16432" s="0" t="s">
        <v>32</v>
      </c>
      <c r="H16432" s="0" t="n">
        <v>28</v>
      </c>
      <c r="I16432" s="0" t="s">
        <v>54620</v>
      </c>
      <c r="J16432" s="0" t="s">
        <v>54621</v>
      </c>
      <c r="K16432" s="0" t="s">
        <v>54622</v>
      </c>
      <c r="L16432" s="0" t="str">
        <f aca="false">HYPERLINK("https://www.ncbi.nlm.nih.gov/nuccore/CP000058.1?report=graph&amp;tracks=[key:gene_model_track,Options:GeneOnly]&amp;mk=5077370:5077389|offset_1|444444,5077397:5077416|offset_28|00cc00,5077421:5077440|offset_52|444444,5077451:5077470|offset_82|444444&amp;v=5077169:5077670&amp;c=444444", "offset 28")</f>
        <v>offset 28</v>
      </c>
    </row>
    <row r="16433" customFormat="false" ht="12.8" hidden="false" customHeight="false" outlineLevel="0" collapsed="false">
      <c r="A16433" s="0" t="s">
        <v>12</v>
      </c>
      <c r="B16433" s="0" t="n">
        <v>5077420</v>
      </c>
      <c r="C16433" s="0" t="n">
        <v>5077440</v>
      </c>
      <c r="D16433" s="0" t="s">
        <v>54615</v>
      </c>
      <c r="E16433" s="0" t="s">
        <v>54616</v>
      </c>
      <c r="F16433" s="0" t="s">
        <v>15</v>
      </c>
      <c r="G16433" s="0" t="s">
        <v>20</v>
      </c>
      <c r="H16433" s="0" t="n">
        <v>52</v>
      </c>
      <c r="I16433" s="0" t="s">
        <v>54623</v>
      </c>
      <c r="J16433" s="0" t="s">
        <v>54624</v>
      </c>
      <c r="K16433" s="0" t="s">
        <v>54625</v>
      </c>
      <c r="L16433" s="0" t="str">
        <f aca="false">HYPERLINK("https://www.ncbi.nlm.nih.gov/nuccore/CP000058.1?report=graph&amp;tracks=[key:gene_model_track,Options:GeneOnly]&amp;mk=5077370:5077389|offset_1|444444,5077397:5077416|offset_28|444444,5077421:5077440|offset_52|00cc00,5077451:5077470|offset_82|444444&amp;v=5077169:5077670&amp;c=444444", "offset 52")</f>
        <v>offset 52</v>
      </c>
    </row>
    <row r="16434" customFormat="false" ht="12.8" hidden="false" customHeight="false" outlineLevel="0" collapsed="false">
      <c r="A16434" s="0" t="s">
        <v>12</v>
      </c>
      <c r="B16434" s="0" t="n">
        <v>5077450</v>
      </c>
      <c r="C16434" s="0" t="n">
        <v>5077470</v>
      </c>
      <c r="D16434" s="0" t="s">
        <v>54615</v>
      </c>
      <c r="E16434" s="0" t="s">
        <v>54616</v>
      </c>
      <c r="F16434" s="0" t="s">
        <v>15</v>
      </c>
      <c r="G16434" s="0" t="s">
        <v>16</v>
      </c>
      <c r="H16434" s="0" t="n">
        <v>82</v>
      </c>
      <c r="I16434" s="0" t="s">
        <v>54626</v>
      </c>
      <c r="J16434" s="0" t="s">
        <v>54627</v>
      </c>
      <c r="K16434" s="0" t="s">
        <v>54628</v>
      </c>
      <c r="L16434" s="0" t="str">
        <f aca="false">HYPERLINK("https://www.ncbi.nlm.nih.gov/nuccore/CP000058.1?report=graph&amp;tracks=[key:gene_model_track,Options:GeneOnly]&amp;mk=5077370:5077389|offset_1|444444,5077397:5077416|offset_28|444444,5077421:5077440|offset_52|444444,5077451:5077470|offset_82|00cc00&amp;v=5077169:5077670&amp;c=444444", "offset 82")</f>
        <v>offset 82</v>
      </c>
    </row>
    <row r="16435" customFormat="false" ht="12.8" hidden="false" customHeight="false" outlineLevel="0" collapsed="false">
      <c r="A16435" s="0" t="s">
        <v>12</v>
      </c>
      <c r="B16435" s="0" t="n">
        <v>5078278</v>
      </c>
      <c r="C16435" s="0" t="n">
        <v>5078298</v>
      </c>
      <c r="D16435" s="0" t="s">
        <v>54629</v>
      </c>
      <c r="E16435" s="0" t="s">
        <v>75</v>
      </c>
      <c r="F16435" s="0" t="s">
        <v>15</v>
      </c>
      <c r="G16435" s="0" t="s">
        <v>16</v>
      </c>
      <c r="H16435" s="0" t="n">
        <v>7</v>
      </c>
      <c r="I16435" s="0" t="s">
        <v>54630</v>
      </c>
      <c r="J16435" s="0" t="s">
        <v>54631</v>
      </c>
      <c r="K16435" s="0" t="s">
        <v>54632</v>
      </c>
      <c r="L16435" s="0" t="str">
        <f aca="false">HYPERLINK("https://www.ncbi.nlm.nih.gov/nuccore/CP000058.1?report=graph&amp;tracks=[key:gene_model_track,Options:GeneOnly]&amp;mk=5078279:5078298|offset_7|00cc00,5078301:5078320|offset_29|444444,5078331:5078350|offset_59|444444,5078351:5078370|offset_79|444444&amp;v=5078078:5078570&amp;c=444444", "offset 7")</f>
        <v>offset 7</v>
      </c>
    </row>
    <row r="16436" customFormat="false" ht="12.8" hidden="false" customHeight="false" outlineLevel="0" collapsed="false">
      <c r="A16436" s="0" t="s">
        <v>12</v>
      </c>
      <c r="B16436" s="0" t="n">
        <v>5078300</v>
      </c>
      <c r="C16436" s="0" t="n">
        <v>5078320</v>
      </c>
      <c r="D16436" s="0" t="s">
        <v>54629</v>
      </c>
      <c r="E16436" s="0" t="s">
        <v>75</v>
      </c>
      <c r="F16436" s="0" t="s">
        <v>15</v>
      </c>
      <c r="G16436" s="0" t="s">
        <v>36</v>
      </c>
      <c r="H16436" s="0" t="n">
        <v>29</v>
      </c>
      <c r="I16436" s="0" t="s">
        <v>54633</v>
      </c>
      <c r="J16436" s="0" t="s">
        <v>54634</v>
      </c>
      <c r="K16436" s="0" t="s">
        <v>54635</v>
      </c>
      <c r="L16436" s="0" t="str">
        <f aca="false">HYPERLINK("https://www.ncbi.nlm.nih.gov/nuccore/CP000058.1?report=graph&amp;tracks=[key:gene_model_track,Options:GeneOnly]&amp;mk=5078279:5078298|offset_7|444444,5078301:5078320|offset_29|00cc00,5078331:5078350|offset_59|444444,5078351:5078370|offset_79|444444&amp;v=5078078:5078570&amp;c=444444", "offset 29")</f>
        <v>offset 29</v>
      </c>
    </row>
    <row r="16437" customFormat="false" ht="12.8" hidden="false" customHeight="false" outlineLevel="0" collapsed="false">
      <c r="A16437" s="0" t="s">
        <v>12</v>
      </c>
      <c r="B16437" s="0" t="n">
        <v>5078330</v>
      </c>
      <c r="C16437" s="0" t="n">
        <v>5078350</v>
      </c>
      <c r="D16437" s="0" t="s">
        <v>54629</v>
      </c>
      <c r="E16437" s="0" t="s">
        <v>75</v>
      </c>
      <c r="F16437" s="0" t="s">
        <v>15</v>
      </c>
      <c r="G16437" s="0" t="s">
        <v>32</v>
      </c>
      <c r="H16437" s="0" t="n">
        <v>59</v>
      </c>
      <c r="I16437" s="0" t="s">
        <v>54636</v>
      </c>
      <c r="J16437" s="0" t="s">
        <v>54637</v>
      </c>
      <c r="K16437" s="0" t="s">
        <v>54638</v>
      </c>
      <c r="L16437" s="0" t="str">
        <f aca="false">HYPERLINK("https://www.ncbi.nlm.nih.gov/nuccore/CP000058.1?report=graph&amp;tracks=[key:gene_model_track,Options:GeneOnly]&amp;mk=5078279:5078298|offset_7|444444,5078301:5078320|offset_29|444444,5078331:5078350|offset_59|00cc00,5078351:5078370|offset_79|444444&amp;v=5078078:5078570&amp;c=444444", "offset 59")</f>
        <v>offset 59</v>
      </c>
    </row>
    <row r="16438" customFormat="false" ht="12.8" hidden="false" customHeight="false" outlineLevel="0" collapsed="false">
      <c r="A16438" s="0" t="s">
        <v>12</v>
      </c>
      <c r="B16438" s="0" t="n">
        <v>5078350</v>
      </c>
      <c r="C16438" s="0" t="n">
        <v>5078370</v>
      </c>
      <c r="D16438" s="0" t="s">
        <v>54629</v>
      </c>
      <c r="E16438" s="0" t="s">
        <v>75</v>
      </c>
      <c r="F16438" s="0" t="s">
        <v>15</v>
      </c>
      <c r="G16438" s="0" t="s">
        <v>36</v>
      </c>
      <c r="H16438" s="0" t="n">
        <v>79</v>
      </c>
      <c r="I16438" s="0" t="s">
        <v>54639</v>
      </c>
      <c r="J16438" s="0" t="s">
        <v>54640</v>
      </c>
      <c r="K16438" s="0" t="s">
        <v>54641</v>
      </c>
      <c r="L16438" s="0" t="str">
        <f aca="false">HYPERLINK("https://www.ncbi.nlm.nih.gov/nuccore/CP000058.1?report=graph&amp;tracks=[key:gene_model_track,Options:GeneOnly]&amp;mk=5078279:5078298|offset_7|444444,5078301:5078320|offset_29|444444,5078331:5078350|offset_59|444444,5078351:5078370|offset_79|00cc00&amp;v=5078078:5078570&amp;c=444444", "offset 79")</f>
        <v>offset 79</v>
      </c>
    </row>
    <row r="16439" customFormat="false" ht="12.8" hidden="false" customHeight="false" outlineLevel="0" collapsed="false">
      <c r="A16439" s="0" t="s">
        <v>12</v>
      </c>
      <c r="B16439" s="0" t="n">
        <v>5079922</v>
      </c>
      <c r="C16439" s="0" t="n">
        <v>5079942</v>
      </c>
      <c r="D16439" s="0" t="s">
        <v>54642</v>
      </c>
      <c r="E16439" s="0" t="s">
        <v>54643</v>
      </c>
      <c r="F16439" s="0" t="s">
        <v>15</v>
      </c>
      <c r="G16439" s="0" t="s">
        <v>36</v>
      </c>
      <c r="H16439" s="0" t="n">
        <v>23</v>
      </c>
      <c r="I16439" s="0" t="s">
        <v>54644</v>
      </c>
      <c r="J16439" s="0" t="s">
        <v>54645</v>
      </c>
      <c r="K16439" s="0" t="s">
        <v>54646</v>
      </c>
      <c r="L16439" s="0" t="str">
        <f aca="false">HYPERLINK("https://www.ncbi.nlm.nih.gov/nuccore/CP000058.1?report=graph&amp;tracks=[key:gene_model_track,Options:GeneOnly]&amp;mk=5079923:5079942|offset_23|00cc00,5079950:5079969|offset_50|444444,5079973:5079992|offset_73|444444,5079998:5080017|offset_98|444444&amp;v=5079722:5080217&amp;c=444444", "offset 23")</f>
        <v>offset 23</v>
      </c>
    </row>
    <row r="16440" customFormat="false" ht="12.8" hidden="false" customHeight="false" outlineLevel="0" collapsed="false">
      <c r="A16440" s="0" t="s">
        <v>12</v>
      </c>
      <c r="B16440" s="0" t="n">
        <v>5079949</v>
      </c>
      <c r="C16440" s="0" t="n">
        <v>5079969</v>
      </c>
      <c r="D16440" s="0" t="s">
        <v>54642</v>
      </c>
      <c r="E16440" s="0" t="s">
        <v>54643</v>
      </c>
      <c r="F16440" s="0" t="s">
        <v>15</v>
      </c>
      <c r="G16440" s="0" t="s">
        <v>20</v>
      </c>
      <c r="H16440" s="0" t="n">
        <v>50</v>
      </c>
      <c r="I16440" s="0" t="s">
        <v>54647</v>
      </c>
      <c r="J16440" s="0" t="s">
        <v>54648</v>
      </c>
      <c r="K16440" s="0" t="s">
        <v>54649</v>
      </c>
      <c r="L16440" s="0" t="str">
        <f aca="false">HYPERLINK("https://www.ncbi.nlm.nih.gov/nuccore/CP000058.1?report=graph&amp;tracks=[key:gene_model_track,Options:GeneOnly]&amp;mk=5079923:5079942|offset_23|444444,5079950:5079969|offset_50|00cc00,5079973:5079992|offset_73|444444,5079998:5080017|offset_98|444444&amp;v=5079722:5080217&amp;c=444444", "offset 50")</f>
        <v>offset 50</v>
      </c>
    </row>
    <row r="16441" customFormat="false" ht="12.8" hidden="false" customHeight="false" outlineLevel="0" collapsed="false">
      <c r="A16441" s="0" t="s">
        <v>12</v>
      </c>
      <c r="B16441" s="0" t="n">
        <v>5079972</v>
      </c>
      <c r="C16441" s="0" t="n">
        <v>5079992</v>
      </c>
      <c r="D16441" s="0" t="s">
        <v>54642</v>
      </c>
      <c r="E16441" s="0" t="s">
        <v>54643</v>
      </c>
      <c r="F16441" s="0" t="s">
        <v>15</v>
      </c>
      <c r="G16441" s="0" t="s">
        <v>16</v>
      </c>
      <c r="H16441" s="0" t="n">
        <v>73</v>
      </c>
      <c r="I16441" s="0" t="s">
        <v>54650</v>
      </c>
      <c r="J16441" s="0" t="s">
        <v>54651</v>
      </c>
      <c r="K16441" s="0" t="s">
        <v>54652</v>
      </c>
      <c r="L16441" s="0" t="str">
        <f aca="false">HYPERLINK("https://www.ncbi.nlm.nih.gov/nuccore/CP000058.1?report=graph&amp;tracks=[key:gene_model_track,Options:GeneOnly]&amp;mk=5079923:5079942|offset_23|444444,5079950:5079969|offset_50|444444,5079973:5079992|offset_73|00cc00,5079998:5080017|offset_98|444444&amp;v=5079722:5080217&amp;c=444444", "offset 73")</f>
        <v>offset 73</v>
      </c>
    </row>
    <row r="16442" customFormat="false" ht="12.8" hidden="false" customHeight="false" outlineLevel="0" collapsed="false">
      <c r="A16442" s="0" t="s">
        <v>12</v>
      </c>
      <c r="B16442" s="0" t="n">
        <v>5079997</v>
      </c>
      <c r="C16442" s="0" t="n">
        <v>5080017</v>
      </c>
      <c r="D16442" s="0" t="s">
        <v>54642</v>
      </c>
      <c r="E16442" s="0" t="s">
        <v>54643</v>
      </c>
      <c r="F16442" s="0" t="s">
        <v>15</v>
      </c>
      <c r="G16442" s="0" t="s">
        <v>16</v>
      </c>
      <c r="H16442" s="0" t="n">
        <v>98</v>
      </c>
      <c r="I16442" s="0" t="s">
        <v>54653</v>
      </c>
      <c r="J16442" s="0" t="s">
        <v>54654</v>
      </c>
      <c r="K16442" s="0" t="s">
        <v>54655</v>
      </c>
      <c r="L16442" s="0" t="str">
        <f aca="false">HYPERLINK("https://www.ncbi.nlm.nih.gov/nuccore/CP000058.1?report=graph&amp;tracks=[key:gene_model_track,Options:GeneOnly]&amp;mk=5079923:5079942|offset_23|444444,5079950:5079969|offset_50|444444,5079973:5079992|offset_73|444444,5079998:5080017|offset_98|00cc00&amp;v=5079722:5080217&amp;c=444444", "offset 98")</f>
        <v>offset 98</v>
      </c>
    </row>
    <row r="16443" customFormat="false" ht="12.8" hidden="false" customHeight="false" outlineLevel="0" collapsed="false">
      <c r="A16443" s="0" t="s">
        <v>12</v>
      </c>
      <c r="B16443" s="0" t="n">
        <v>5080925</v>
      </c>
      <c r="C16443" s="0" t="n">
        <v>5080945</v>
      </c>
      <c r="D16443" s="0" t="s">
        <v>54656</v>
      </c>
      <c r="E16443" s="0" t="s">
        <v>54657</v>
      </c>
      <c r="F16443" s="0" t="s">
        <v>15</v>
      </c>
      <c r="G16443" s="0" t="s">
        <v>16</v>
      </c>
      <c r="H16443" s="0" t="n">
        <v>16</v>
      </c>
      <c r="I16443" s="0" t="s">
        <v>54658</v>
      </c>
      <c r="J16443" s="0" t="s">
        <v>54659</v>
      </c>
      <c r="K16443" s="0" t="s">
        <v>54660</v>
      </c>
      <c r="L16443" s="0" t="str">
        <f aca="false">HYPERLINK("https://www.ncbi.nlm.nih.gov/nuccore/CP000058.1?report=graph&amp;tracks=[key:gene_model_track,Options:GeneOnly]&amp;mk=5080926:5080945|offset_16|00cc00,5080952:5080971|offset_42|444444,5080984:5081003|offset_74|444444,5081013:5081032|offset_103|444444&amp;v=5080725:5081232&amp;c=444444", "offset 16")</f>
        <v>offset 16</v>
      </c>
    </row>
    <row r="16444" customFormat="false" ht="12.8" hidden="false" customHeight="false" outlineLevel="0" collapsed="false">
      <c r="A16444" s="0" t="s">
        <v>12</v>
      </c>
      <c r="B16444" s="0" t="n">
        <v>5080951</v>
      </c>
      <c r="C16444" s="0" t="n">
        <v>5080971</v>
      </c>
      <c r="D16444" s="0" t="s">
        <v>54656</v>
      </c>
      <c r="E16444" s="0" t="s">
        <v>54657</v>
      </c>
      <c r="F16444" s="0" t="s">
        <v>15</v>
      </c>
      <c r="G16444" s="0" t="s">
        <v>36</v>
      </c>
      <c r="H16444" s="0" t="n">
        <v>42</v>
      </c>
      <c r="I16444" s="0" t="s">
        <v>54661</v>
      </c>
      <c r="J16444" s="0" t="s">
        <v>54662</v>
      </c>
      <c r="K16444" s="0" t="s">
        <v>54663</v>
      </c>
      <c r="L16444" s="0" t="str">
        <f aca="false">HYPERLINK("https://www.ncbi.nlm.nih.gov/nuccore/CP000058.1?report=graph&amp;tracks=[key:gene_model_track,Options:GeneOnly]&amp;mk=5080926:5080945|offset_16|444444,5080952:5080971|offset_42|00cc00,5080984:5081003|offset_74|444444,5081013:5081032|offset_103|444444&amp;v=5080725:5081232&amp;c=444444", "offset 42")</f>
        <v>offset 42</v>
      </c>
    </row>
    <row r="16445" customFormat="false" ht="12.8" hidden="false" customHeight="false" outlineLevel="0" collapsed="false">
      <c r="A16445" s="0" t="s">
        <v>12</v>
      </c>
      <c r="B16445" s="0" t="n">
        <v>5080983</v>
      </c>
      <c r="C16445" s="0" t="n">
        <v>5081003</v>
      </c>
      <c r="D16445" s="0" t="s">
        <v>54656</v>
      </c>
      <c r="E16445" s="0" t="s">
        <v>54657</v>
      </c>
      <c r="F16445" s="0" t="s">
        <v>15</v>
      </c>
      <c r="G16445" s="0" t="s">
        <v>20</v>
      </c>
      <c r="H16445" s="0" t="n">
        <v>74</v>
      </c>
      <c r="I16445" s="0" t="s">
        <v>54664</v>
      </c>
      <c r="J16445" s="0" t="s">
        <v>54665</v>
      </c>
      <c r="K16445" s="0" t="s">
        <v>54666</v>
      </c>
      <c r="L16445" s="0" t="str">
        <f aca="false">HYPERLINK("https://www.ncbi.nlm.nih.gov/nuccore/CP000058.1?report=graph&amp;tracks=[key:gene_model_track,Options:GeneOnly]&amp;mk=5080926:5080945|offset_16|444444,5080952:5080971|offset_42|444444,5080984:5081003|offset_74|00cc00,5081013:5081032|offset_103|444444&amp;v=5080725:5081232&amp;c=444444", "offset 74")</f>
        <v>offset 74</v>
      </c>
    </row>
    <row r="16446" customFormat="false" ht="12.8" hidden="false" customHeight="false" outlineLevel="0" collapsed="false">
      <c r="A16446" s="0" t="s">
        <v>12</v>
      </c>
      <c r="B16446" s="0" t="n">
        <v>5081012</v>
      </c>
      <c r="C16446" s="0" t="n">
        <v>5081032</v>
      </c>
      <c r="D16446" s="0" t="s">
        <v>54656</v>
      </c>
      <c r="E16446" s="0" t="s">
        <v>54657</v>
      </c>
      <c r="F16446" s="0" t="s">
        <v>15</v>
      </c>
      <c r="G16446" s="0" t="s">
        <v>36</v>
      </c>
      <c r="H16446" s="0" t="n">
        <v>103</v>
      </c>
      <c r="I16446" s="0" t="s">
        <v>54667</v>
      </c>
      <c r="J16446" s="0" t="s">
        <v>54668</v>
      </c>
      <c r="K16446" s="0" t="s">
        <v>54669</v>
      </c>
      <c r="L16446" s="0" t="str">
        <f aca="false">HYPERLINK("https://www.ncbi.nlm.nih.gov/nuccore/CP000058.1?report=graph&amp;tracks=[key:gene_model_track,Options:GeneOnly]&amp;mk=5080926:5080945|offset_16|444444,5080952:5080971|offset_42|444444,5080984:5081003|offset_74|444444,5081013:5081032|offset_103|00cc00&amp;v=5080725:5081232&amp;c=444444", "offset 103")</f>
        <v>offset 103</v>
      </c>
    </row>
    <row r="16447" customFormat="false" ht="12.8" hidden="false" customHeight="false" outlineLevel="0" collapsed="false">
      <c r="A16447" s="0" t="s">
        <v>12</v>
      </c>
      <c r="B16447" s="0" t="n">
        <v>5081316</v>
      </c>
      <c r="C16447" s="0" t="n">
        <v>5081336</v>
      </c>
      <c r="D16447" s="0" t="s">
        <v>54670</v>
      </c>
      <c r="E16447" s="0" t="s">
        <v>54671</v>
      </c>
      <c r="F16447" s="0" t="s">
        <v>15</v>
      </c>
      <c r="G16447" s="0" t="s">
        <v>16</v>
      </c>
      <c r="H16447" s="0" t="n">
        <v>19</v>
      </c>
      <c r="I16447" s="0" t="s">
        <v>54672</v>
      </c>
      <c r="J16447" s="0" t="s">
        <v>54673</v>
      </c>
      <c r="K16447" s="0" t="s">
        <v>54674</v>
      </c>
      <c r="L16447" s="0" t="str">
        <f aca="false">HYPERLINK("https://www.ncbi.nlm.nih.gov/nuccore/CP000058.1?report=graph&amp;tracks=[key:gene_model_track,Options:GeneOnly]&amp;mk=5081317:5081336|offset_19|00cc00,5081337:5081356|offset_39|444444,5081365:5081384|offset_67|444444,5081392:5081411|offset_94|444444&amp;v=5081116:5081611&amp;c=444444", "offset 19")</f>
        <v>offset 19</v>
      </c>
    </row>
    <row r="16448" customFormat="false" ht="12.8" hidden="false" customHeight="false" outlineLevel="0" collapsed="false">
      <c r="A16448" s="0" t="s">
        <v>12</v>
      </c>
      <c r="B16448" s="0" t="n">
        <v>5081336</v>
      </c>
      <c r="C16448" s="0" t="n">
        <v>5081356</v>
      </c>
      <c r="D16448" s="0" t="s">
        <v>54670</v>
      </c>
      <c r="E16448" s="0" t="s">
        <v>54671</v>
      </c>
      <c r="F16448" s="0" t="s">
        <v>15</v>
      </c>
      <c r="G16448" s="0" t="s">
        <v>20</v>
      </c>
      <c r="H16448" s="0" t="n">
        <v>39</v>
      </c>
      <c r="I16448" s="0" t="s">
        <v>54675</v>
      </c>
      <c r="J16448" s="0" t="s">
        <v>54676</v>
      </c>
      <c r="K16448" s="0" t="s">
        <v>54677</v>
      </c>
      <c r="L16448" s="0" t="str">
        <f aca="false">HYPERLINK("https://www.ncbi.nlm.nih.gov/nuccore/CP000058.1?report=graph&amp;tracks=[key:gene_model_track,Options:GeneOnly]&amp;mk=5081317:5081336|offset_19|444444,5081337:5081356|offset_39|00cc00,5081365:5081384|offset_67|444444,5081392:5081411|offset_94|444444&amp;v=5081116:5081611&amp;c=444444", "offset 39")</f>
        <v>offset 39</v>
      </c>
    </row>
    <row r="16449" customFormat="false" ht="12.8" hidden="false" customHeight="false" outlineLevel="0" collapsed="false">
      <c r="A16449" s="0" t="s">
        <v>12</v>
      </c>
      <c r="B16449" s="0" t="n">
        <v>5081364</v>
      </c>
      <c r="C16449" s="0" t="n">
        <v>5081384</v>
      </c>
      <c r="D16449" s="0" t="s">
        <v>54670</v>
      </c>
      <c r="E16449" s="0" t="s">
        <v>54671</v>
      </c>
      <c r="F16449" s="0" t="s">
        <v>15</v>
      </c>
      <c r="G16449" s="0" t="s">
        <v>16</v>
      </c>
      <c r="H16449" s="0" t="n">
        <v>67</v>
      </c>
      <c r="I16449" s="0" t="s">
        <v>54678</v>
      </c>
      <c r="J16449" s="0" t="s">
        <v>54679</v>
      </c>
      <c r="K16449" s="0" t="s">
        <v>54680</v>
      </c>
      <c r="L16449" s="0" t="str">
        <f aca="false">HYPERLINK("https://www.ncbi.nlm.nih.gov/nuccore/CP000058.1?report=graph&amp;tracks=[key:gene_model_track,Options:GeneOnly]&amp;mk=5081317:5081336|offset_19|444444,5081337:5081356|offset_39|444444,5081365:5081384|offset_67|00cc00,5081392:5081411|offset_94|444444&amp;v=5081116:5081611&amp;c=444444", "offset 67")</f>
        <v>offset 67</v>
      </c>
    </row>
    <row r="16450" customFormat="false" ht="12.8" hidden="false" customHeight="false" outlineLevel="0" collapsed="false">
      <c r="A16450" s="0" t="s">
        <v>12</v>
      </c>
      <c r="B16450" s="0" t="n">
        <v>5081391</v>
      </c>
      <c r="C16450" s="0" t="n">
        <v>5081411</v>
      </c>
      <c r="D16450" s="0" t="s">
        <v>54670</v>
      </c>
      <c r="E16450" s="0" t="s">
        <v>54671</v>
      </c>
      <c r="F16450" s="0" t="s">
        <v>15</v>
      </c>
      <c r="G16450" s="0" t="s">
        <v>36</v>
      </c>
      <c r="H16450" s="0" t="n">
        <v>94</v>
      </c>
      <c r="I16450" s="0" t="s">
        <v>54681</v>
      </c>
      <c r="J16450" s="0" t="s">
        <v>54682</v>
      </c>
      <c r="K16450" s="0" t="s">
        <v>54683</v>
      </c>
      <c r="L16450" s="0" t="str">
        <f aca="false">HYPERLINK("https://www.ncbi.nlm.nih.gov/nuccore/CP000058.1?report=graph&amp;tracks=[key:gene_model_track,Options:GeneOnly]&amp;mk=5081317:5081336|offset_19|444444,5081337:5081356|offset_39|444444,5081365:5081384|offset_67|444444,5081392:5081411|offset_94|00cc00&amp;v=5081116:5081611&amp;c=444444", "offset 94")</f>
        <v>offset 94</v>
      </c>
    </row>
    <row r="16451" customFormat="false" ht="12.8" hidden="false" customHeight="false" outlineLevel="0" collapsed="false">
      <c r="A16451" s="0" t="s">
        <v>12</v>
      </c>
      <c r="B16451" s="0" t="n">
        <v>5082985</v>
      </c>
      <c r="C16451" s="0" t="n">
        <v>5083005</v>
      </c>
      <c r="D16451" s="0" t="s">
        <v>54684</v>
      </c>
      <c r="E16451" s="0" t="s">
        <v>54685</v>
      </c>
      <c r="F16451" s="0" t="s">
        <v>15</v>
      </c>
      <c r="G16451" s="0" t="s">
        <v>20</v>
      </c>
      <c r="H16451" s="0" t="n">
        <v>11</v>
      </c>
      <c r="I16451" s="0" t="s">
        <v>54686</v>
      </c>
      <c r="J16451" s="0" t="s">
        <v>54687</v>
      </c>
      <c r="K16451" s="0" t="s">
        <v>54688</v>
      </c>
      <c r="L16451" s="0" t="str">
        <f aca="false">HYPERLINK("https://www.ncbi.nlm.nih.gov/nuccore/CP000058.1?report=graph&amp;tracks=[key:gene_model_track,Options:GeneOnly]&amp;mk=5082986:5083005|offset_11|00cc00,5083006:5083025|offset_31|444444,5083075:5083094|offset_100|444444,5083100:5083119|offset_125|444444&amp;v=5082785:5083319&amp;c=444444", "offset 11")</f>
        <v>offset 11</v>
      </c>
    </row>
    <row r="16452" customFormat="false" ht="12.8" hidden="false" customHeight="false" outlineLevel="0" collapsed="false">
      <c r="A16452" s="0" t="s">
        <v>12</v>
      </c>
      <c r="B16452" s="0" t="n">
        <v>5083005</v>
      </c>
      <c r="C16452" s="0" t="n">
        <v>5083025</v>
      </c>
      <c r="D16452" s="0" t="s">
        <v>54684</v>
      </c>
      <c r="E16452" s="0" t="s">
        <v>54685</v>
      </c>
      <c r="F16452" s="0" t="s">
        <v>15</v>
      </c>
      <c r="G16452" s="0" t="s">
        <v>32</v>
      </c>
      <c r="H16452" s="0" t="n">
        <v>31</v>
      </c>
      <c r="I16452" s="0" t="s">
        <v>54689</v>
      </c>
      <c r="J16452" s="0" t="s">
        <v>54690</v>
      </c>
      <c r="K16452" s="0" t="s">
        <v>54691</v>
      </c>
      <c r="L16452" s="0" t="str">
        <f aca="false">HYPERLINK("https://www.ncbi.nlm.nih.gov/nuccore/CP000058.1?report=graph&amp;tracks=[key:gene_model_track,Options:GeneOnly]&amp;mk=5082986:5083005|offset_11|444444,5083006:5083025|offset_31|00cc00,5083075:5083094|offset_100|444444,5083100:5083119|offset_125|444444&amp;v=5082785:5083319&amp;c=444444", "offset 31")</f>
        <v>offset 31</v>
      </c>
    </row>
    <row r="16453" customFormat="false" ht="12.8" hidden="false" customHeight="false" outlineLevel="0" collapsed="false">
      <c r="A16453" s="0" t="s">
        <v>12</v>
      </c>
      <c r="B16453" s="0" t="n">
        <v>5083074</v>
      </c>
      <c r="C16453" s="0" t="n">
        <v>5083094</v>
      </c>
      <c r="D16453" s="0" t="s">
        <v>54684</v>
      </c>
      <c r="E16453" s="0" t="s">
        <v>54685</v>
      </c>
      <c r="F16453" s="0" t="s">
        <v>15</v>
      </c>
      <c r="G16453" s="0" t="s">
        <v>36</v>
      </c>
      <c r="H16453" s="0" t="n">
        <v>100</v>
      </c>
      <c r="I16453" s="0" t="s">
        <v>54692</v>
      </c>
      <c r="J16453" s="0" t="s">
        <v>54693</v>
      </c>
      <c r="K16453" s="0" t="s">
        <v>54694</v>
      </c>
      <c r="L16453" s="0" t="str">
        <f aca="false">HYPERLINK("https://www.ncbi.nlm.nih.gov/nuccore/CP000058.1?report=graph&amp;tracks=[key:gene_model_track,Options:GeneOnly]&amp;mk=5082986:5083005|offset_11|444444,5083006:5083025|offset_31|444444,5083075:5083094|offset_100|00cc00,5083100:5083119|offset_125|444444&amp;v=5082785:5083319&amp;c=444444", "offset 100")</f>
        <v>offset 100</v>
      </c>
    </row>
    <row r="16454" customFormat="false" ht="12.8" hidden="false" customHeight="false" outlineLevel="0" collapsed="false">
      <c r="A16454" s="0" t="s">
        <v>12</v>
      </c>
      <c r="B16454" s="0" t="n">
        <v>5083099</v>
      </c>
      <c r="C16454" s="0" t="n">
        <v>5083119</v>
      </c>
      <c r="D16454" s="0" t="s">
        <v>54684</v>
      </c>
      <c r="E16454" s="0" t="s">
        <v>54685</v>
      </c>
      <c r="F16454" s="0" t="s">
        <v>15</v>
      </c>
      <c r="G16454" s="0" t="s">
        <v>36</v>
      </c>
      <c r="H16454" s="0" t="n">
        <v>125</v>
      </c>
      <c r="I16454" s="0" t="s">
        <v>54695</v>
      </c>
      <c r="J16454" s="0" t="s">
        <v>54696</v>
      </c>
      <c r="K16454" s="0" t="s">
        <v>54697</v>
      </c>
      <c r="L16454" s="0" t="str">
        <f aca="false">HYPERLINK("https://www.ncbi.nlm.nih.gov/nuccore/CP000058.1?report=graph&amp;tracks=[key:gene_model_track,Options:GeneOnly]&amp;mk=5082986:5083005|offset_11|444444,5083006:5083025|offset_31|444444,5083075:5083094|offset_100|444444,5083100:5083119|offset_125|00cc00&amp;v=5082785:5083319&amp;c=444444", "offset 125")</f>
        <v>offset 125</v>
      </c>
    </row>
    <row r="16455" customFormat="false" ht="12.8" hidden="false" customHeight="false" outlineLevel="0" collapsed="false">
      <c r="A16455" s="0" t="s">
        <v>12</v>
      </c>
      <c r="B16455" s="0" t="n">
        <v>5084439</v>
      </c>
      <c r="C16455" s="0" t="n">
        <v>5084459</v>
      </c>
      <c r="D16455" s="0" t="s">
        <v>54698</v>
      </c>
      <c r="E16455" s="0" t="s">
        <v>75</v>
      </c>
      <c r="F16455" s="0" t="s">
        <v>15</v>
      </c>
      <c r="G16455" s="0" t="s">
        <v>32</v>
      </c>
      <c r="H16455" s="0" t="n">
        <v>22</v>
      </c>
      <c r="I16455" s="0" t="s">
        <v>54699</v>
      </c>
      <c r="J16455" s="0" t="s">
        <v>54700</v>
      </c>
      <c r="K16455" s="0" t="s">
        <v>54701</v>
      </c>
      <c r="L16455" s="0" t="str">
        <f aca="false">HYPERLINK("https://www.ncbi.nlm.nih.gov/nuccore/CP000058.1?report=graph&amp;tracks=[key:gene_model_track,Options:GeneOnly]&amp;mk=5084440:5084459|offset_22|00cc00,5084467:5084486|offset_49|444444,5084494:5084513|offset_76|444444,5084536:5084555|offset_118|444444&amp;v=5084239:5084755&amp;c=444444", "offset 22")</f>
        <v>offset 22</v>
      </c>
    </row>
    <row r="16456" customFormat="false" ht="12.8" hidden="false" customHeight="false" outlineLevel="0" collapsed="false">
      <c r="A16456" s="0" t="s">
        <v>12</v>
      </c>
      <c r="B16456" s="0" t="n">
        <v>5084466</v>
      </c>
      <c r="C16456" s="0" t="n">
        <v>5084486</v>
      </c>
      <c r="D16456" s="0" t="s">
        <v>54698</v>
      </c>
      <c r="E16456" s="0" t="s">
        <v>75</v>
      </c>
      <c r="F16456" s="0" t="s">
        <v>15</v>
      </c>
      <c r="G16456" s="0" t="s">
        <v>36</v>
      </c>
      <c r="H16456" s="0" t="n">
        <v>49</v>
      </c>
      <c r="I16456" s="0" t="s">
        <v>54702</v>
      </c>
      <c r="J16456" s="0" t="s">
        <v>54703</v>
      </c>
      <c r="K16456" s="0" t="s">
        <v>54704</v>
      </c>
      <c r="L16456" s="0" t="str">
        <f aca="false">HYPERLINK("https://www.ncbi.nlm.nih.gov/nuccore/CP000058.1?report=graph&amp;tracks=[key:gene_model_track,Options:GeneOnly]&amp;mk=5084440:5084459|offset_22|444444,5084467:5084486|offset_49|00cc00,5084494:5084513|offset_76|444444,5084536:5084555|offset_118|444444&amp;v=5084239:5084755&amp;c=444444", "offset 49")</f>
        <v>offset 49</v>
      </c>
    </row>
    <row r="16457" customFormat="false" ht="12.8" hidden="false" customHeight="false" outlineLevel="0" collapsed="false">
      <c r="A16457" s="0" t="s">
        <v>12</v>
      </c>
      <c r="B16457" s="0" t="n">
        <v>5084493</v>
      </c>
      <c r="C16457" s="0" t="n">
        <v>5084513</v>
      </c>
      <c r="D16457" s="0" t="s">
        <v>54698</v>
      </c>
      <c r="E16457" s="0" t="s">
        <v>75</v>
      </c>
      <c r="F16457" s="0" t="s">
        <v>15</v>
      </c>
      <c r="G16457" s="0" t="s">
        <v>16</v>
      </c>
      <c r="H16457" s="0" t="n">
        <v>76</v>
      </c>
      <c r="I16457" s="0" t="s">
        <v>54705</v>
      </c>
      <c r="J16457" s="0" t="s">
        <v>54706</v>
      </c>
      <c r="K16457" s="0" t="s">
        <v>54707</v>
      </c>
      <c r="L16457" s="0" t="str">
        <f aca="false">HYPERLINK("https://www.ncbi.nlm.nih.gov/nuccore/CP000058.1?report=graph&amp;tracks=[key:gene_model_track,Options:GeneOnly]&amp;mk=5084440:5084459|offset_22|444444,5084467:5084486|offset_49|444444,5084494:5084513|offset_76|00cc00,5084536:5084555|offset_118|444444&amp;v=5084239:5084755&amp;c=444444", "offset 76")</f>
        <v>offset 76</v>
      </c>
    </row>
    <row r="16458" customFormat="false" ht="12.8" hidden="false" customHeight="false" outlineLevel="0" collapsed="false">
      <c r="A16458" s="0" t="s">
        <v>12</v>
      </c>
      <c r="B16458" s="0" t="n">
        <v>5084535</v>
      </c>
      <c r="C16458" s="0" t="n">
        <v>5084555</v>
      </c>
      <c r="D16458" s="0" t="s">
        <v>54698</v>
      </c>
      <c r="E16458" s="0" t="s">
        <v>75</v>
      </c>
      <c r="F16458" s="0" t="s">
        <v>15</v>
      </c>
      <c r="G16458" s="0" t="s">
        <v>36</v>
      </c>
      <c r="H16458" s="0" t="n">
        <v>118</v>
      </c>
      <c r="I16458" s="0" t="s">
        <v>54708</v>
      </c>
      <c r="J16458" s="0" t="s">
        <v>54709</v>
      </c>
      <c r="K16458" s="0" t="s">
        <v>54710</v>
      </c>
      <c r="L16458" s="0" t="str">
        <f aca="false">HYPERLINK("https://www.ncbi.nlm.nih.gov/nuccore/CP000058.1?report=graph&amp;tracks=[key:gene_model_track,Options:GeneOnly]&amp;mk=5084440:5084459|offset_22|444444,5084467:5084486|offset_49|444444,5084494:5084513|offset_76|444444,5084536:5084555|offset_118|00cc00&amp;v=5084239:5084755&amp;c=444444", "offset 118")</f>
        <v>offset 118</v>
      </c>
    </row>
    <row r="16459" customFormat="false" ht="12.8" hidden="false" customHeight="false" outlineLevel="0" collapsed="false">
      <c r="A16459" s="0" t="s">
        <v>12</v>
      </c>
      <c r="B16459" s="0" t="n">
        <v>5087280</v>
      </c>
      <c r="C16459" s="0" t="n">
        <v>5087300</v>
      </c>
      <c r="D16459" s="0" t="s">
        <v>54711</v>
      </c>
      <c r="E16459" s="0" t="s">
        <v>75</v>
      </c>
      <c r="F16459" s="0" t="s">
        <v>15</v>
      </c>
      <c r="G16459" s="0" t="s">
        <v>32</v>
      </c>
      <c r="H16459" s="0" t="n">
        <v>1</v>
      </c>
      <c r="I16459" s="0" t="s">
        <v>54712</v>
      </c>
      <c r="J16459" s="0" t="s">
        <v>54713</v>
      </c>
      <c r="K16459" s="0" t="s">
        <v>54714</v>
      </c>
      <c r="L16459" s="0" t="str">
        <f aca="false">HYPERLINK("https://www.ncbi.nlm.nih.gov/nuccore/CP000058.1?report=graph&amp;tracks=[key:gene_model_track,Options:GeneOnly]&amp;mk=5087281:5087300|offset_1|00cc00,5087333:5087352|offset_53|444444,5087363:5087382|offset_83|444444,5087404:5087423|offset_124|444444&amp;v=5087080:5087623&amp;c=444444", "offset 1")</f>
        <v>offset 1</v>
      </c>
    </row>
    <row r="16460" customFormat="false" ht="12.8" hidden="false" customHeight="false" outlineLevel="0" collapsed="false">
      <c r="A16460" s="0" t="s">
        <v>12</v>
      </c>
      <c r="B16460" s="0" t="n">
        <v>5087332</v>
      </c>
      <c r="C16460" s="0" t="n">
        <v>5087352</v>
      </c>
      <c r="D16460" s="0" t="s">
        <v>54711</v>
      </c>
      <c r="E16460" s="0" t="s">
        <v>75</v>
      </c>
      <c r="F16460" s="0" t="s">
        <v>15</v>
      </c>
      <c r="G16460" s="0" t="s">
        <v>36</v>
      </c>
      <c r="H16460" s="0" t="n">
        <v>53</v>
      </c>
      <c r="I16460" s="0" t="s">
        <v>54715</v>
      </c>
      <c r="J16460" s="0" t="s">
        <v>54716</v>
      </c>
      <c r="K16460" s="0" t="s">
        <v>54717</v>
      </c>
      <c r="L16460" s="0" t="str">
        <f aca="false">HYPERLINK("https://www.ncbi.nlm.nih.gov/nuccore/CP000058.1?report=graph&amp;tracks=[key:gene_model_track,Options:GeneOnly]&amp;mk=5087281:5087300|offset_1|444444,5087333:5087352|offset_53|00cc00,5087363:5087382|offset_83|444444,5087404:5087423|offset_124|444444&amp;v=5087080:5087623&amp;c=444444", "offset 53")</f>
        <v>offset 53</v>
      </c>
    </row>
    <row r="16461" customFormat="false" ht="12.8" hidden="false" customHeight="false" outlineLevel="0" collapsed="false">
      <c r="A16461" s="0" t="s">
        <v>12</v>
      </c>
      <c r="B16461" s="0" t="n">
        <v>5087362</v>
      </c>
      <c r="C16461" s="0" t="n">
        <v>5087382</v>
      </c>
      <c r="D16461" s="0" t="s">
        <v>54711</v>
      </c>
      <c r="E16461" s="0" t="s">
        <v>75</v>
      </c>
      <c r="F16461" s="0" t="s">
        <v>15</v>
      </c>
      <c r="G16461" s="0" t="s">
        <v>20</v>
      </c>
      <c r="H16461" s="0" t="n">
        <v>83</v>
      </c>
      <c r="I16461" s="0" t="s">
        <v>54718</v>
      </c>
      <c r="J16461" s="0" t="s">
        <v>54719</v>
      </c>
      <c r="K16461" s="0" t="s">
        <v>54720</v>
      </c>
      <c r="L16461" s="0" t="str">
        <f aca="false">HYPERLINK("https://www.ncbi.nlm.nih.gov/nuccore/CP000058.1?report=graph&amp;tracks=[key:gene_model_track,Options:GeneOnly]&amp;mk=5087281:5087300|offset_1|444444,5087333:5087352|offset_53|444444,5087363:5087382|offset_83|00cc00,5087404:5087423|offset_124|444444&amp;v=5087080:5087623&amp;c=444444", "offset 83")</f>
        <v>offset 83</v>
      </c>
    </row>
    <row r="16462" customFormat="false" ht="12.8" hidden="false" customHeight="false" outlineLevel="0" collapsed="false">
      <c r="A16462" s="0" t="s">
        <v>12</v>
      </c>
      <c r="B16462" s="0" t="n">
        <v>5087403</v>
      </c>
      <c r="C16462" s="0" t="n">
        <v>5087423</v>
      </c>
      <c r="D16462" s="0" t="s">
        <v>54711</v>
      </c>
      <c r="E16462" s="0" t="s">
        <v>75</v>
      </c>
      <c r="F16462" s="0" t="s">
        <v>15</v>
      </c>
      <c r="G16462" s="0" t="s">
        <v>20</v>
      </c>
      <c r="H16462" s="0" t="n">
        <v>124</v>
      </c>
      <c r="I16462" s="0" t="s">
        <v>54721</v>
      </c>
      <c r="J16462" s="0" t="s">
        <v>54722</v>
      </c>
      <c r="K16462" s="0" t="s">
        <v>54723</v>
      </c>
      <c r="L16462" s="0" t="str">
        <f aca="false">HYPERLINK("https://www.ncbi.nlm.nih.gov/nuccore/CP000058.1?report=graph&amp;tracks=[key:gene_model_track,Options:GeneOnly]&amp;mk=5087281:5087300|offset_1|444444,5087333:5087352|offset_53|444444,5087363:5087382|offset_83|444444,5087404:5087423|offset_124|00cc00&amp;v=5087080:5087623&amp;c=444444", "offset 124")</f>
        <v>offset 124</v>
      </c>
    </row>
    <row r="16463" customFormat="false" ht="12.8" hidden="false" customHeight="false" outlineLevel="0" collapsed="false">
      <c r="A16463" s="0" t="s">
        <v>12</v>
      </c>
      <c r="B16463" s="0" t="n">
        <v>5088454</v>
      </c>
      <c r="C16463" s="0" t="n">
        <v>5088474</v>
      </c>
      <c r="D16463" s="0" t="s">
        <v>54724</v>
      </c>
      <c r="E16463" s="0" t="s">
        <v>75</v>
      </c>
      <c r="F16463" s="0" t="s">
        <v>90</v>
      </c>
      <c r="G16463" s="0" t="s">
        <v>36</v>
      </c>
      <c r="H16463" s="0" t="n">
        <v>44</v>
      </c>
      <c r="I16463" s="0" t="s">
        <v>54725</v>
      </c>
      <c r="J16463" s="0" t="s">
        <v>54726</v>
      </c>
      <c r="K16463" s="0" t="s">
        <v>54727</v>
      </c>
      <c r="L16463" s="0" t="str">
        <f aca="false">HYPERLINK("https://www.ncbi.nlm.nih.gov/nuccore/CP000058.1?report=graph&amp;tracks=[key:gene_model_track,Options:GeneOnly]&amp;mk=5088455:5088474|offset_44|00cc00,5088433:5088452|offset_66|444444,5088317:5088336|offset_182|444444,5088222:5088241|offset_277|444444&amp;v=5088254:5088441&amp;c=444444", "offset 44")</f>
        <v>offset 44</v>
      </c>
    </row>
    <row r="16464" customFormat="false" ht="12.8" hidden="false" customHeight="false" outlineLevel="0" collapsed="false">
      <c r="A16464" s="0" t="s">
        <v>12</v>
      </c>
      <c r="B16464" s="0" t="n">
        <v>5088432</v>
      </c>
      <c r="C16464" s="0" t="n">
        <v>5088452</v>
      </c>
      <c r="D16464" s="0" t="s">
        <v>54724</v>
      </c>
      <c r="E16464" s="0" t="s">
        <v>75</v>
      </c>
      <c r="F16464" s="0" t="s">
        <v>90</v>
      </c>
      <c r="G16464" s="0" t="s">
        <v>16</v>
      </c>
      <c r="H16464" s="0" t="n">
        <v>66</v>
      </c>
      <c r="I16464" s="0" t="s">
        <v>54728</v>
      </c>
      <c r="J16464" s="0" t="s">
        <v>54729</v>
      </c>
      <c r="K16464" s="0" t="s">
        <v>54730</v>
      </c>
      <c r="L16464" s="0" t="str">
        <f aca="false">HYPERLINK("https://www.ncbi.nlm.nih.gov/nuccore/CP000058.1?report=graph&amp;tracks=[key:gene_model_track,Options:GeneOnly]&amp;mk=5088455:5088474|offset_44|444444,5088433:5088452|offset_66|00cc00,5088317:5088336|offset_182|444444,5088222:5088241|offset_277|444444&amp;v=5088254:5088441&amp;c=444444", "offset 66")</f>
        <v>offset 66</v>
      </c>
    </row>
    <row r="16465" customFormat="false" ht="12.8" hidden="false" customHeight="false" outlineLevel="0" collapsed="false">
      <c r="A16465" s="0" t="s">
        <v>12</v>
      </c>
      <c r="B16465" s="0" t="n">
        <v>5088316</v>
      </c>
      <c r="C16465" s="0" t="n">
        <v>5088336</v>
      </c>
      <c r="D16465" s="0" t="s">
        <v>54724</v>
      </c>
      <c r="E16465" s="0" t="s">
        <v>75</v>
      </c>
      <c r="F16465" s="0" t="s">
        <v>90</v>
      </c>
      <c r="G16465" s="0" t="s">
        <v>16</v>
      </c>
      <c r="H16465" s="0" t="n">
        <v>182</v>
      </c>
      <c r="I16465" s="0" t="s">
        <v>54731</v>
      </c>
      <c r="J16465" s="0" t="s">
        <v>54732</v>
      </c>
      <c r="K16465" s="0" t="s">
        <v>54733</v>
      </c>
      <c r="L16465" s="0" t="str">
        <f aca="false">HYPERLINK("https://www.ncbi.nlm.nih.gov/nuccore/CP000058.1?report=graph&amp;tracks=[key:gene_model_track,Options:GeneOnly]&amp;mk=5088455:5088474|offset_44|444444,5088433:5088452|offset_66|444444,5088317:5088336|offset_182|00cc00,5088222:5088241|offset_277|444444&amp;v=5088254:5088441&amp;c=444444", "offset 182")</f>
        <v>offset 182</v>
      </c>
    </row>
    <row r="16466" customFormat="false" ht="12.8" hidden="false" customHeight="false" outlineLevel="0" collapsed="false">
      <c r="A16466" s="0" t="s">
        <v>12</v>
      </c>
      <c r="B16466" s="0" t="n">
        <v>5088221</v>
      </c>
      <c r="C16466" s="0" t="n">
        <v>5088241</v>
      </c>
      <c r="D16466" s="0" t="s">
        <v>54724</v>
      </c>
      <c r="E16466" s="0" t="s">
        <v>75</v>
      </c>
      <c r="F16466" s="0" t="s">
        <v>90</v>
      </c>
      <c r="G16466" s="0" t="s">
        <v>20</v>
      </c>
      <c r="H16466" s="0" t="n">
        <v>277</v>
      </c>
      <c r="I16466" s="0" t="s">
        <v>54734</v>
      </c>
      <c r="J16466" s="0" t="s">
        <v>54735</v>
      </c>
      <c r="K16466" s="0" t="s">
        <v>54736</v>
      </c>
      <c r="L16466" s="0" t="str">
        <f aca="false">HYPERLINK("https://www.ncbi.nlm.nih.gov/nuccore/CP000058.1?report=graph&amp;tracks=[key:gene_model_track,Options:GeneOnly]&amp;mk=5088455:5088474|offset_44|444444,5088433:5088452|offset_66|444444,5088317:5088336|offset_182|444444,5088222:5088241|offset_277|00cc00&amp;v=5088254:5088441&amp;c=444444", "offset 277")</f>
        <v>offset 277</v>
      </c>
    </row>
    <row r="16467" customFormat="false" ht="12.8" hidden="false" customHeight="false" outlineLevel="0" collapsed="false">
      <c r="A16467" s="0" t="s">
        <v>12</v>
      </c>
      <c r="B16467" s="0" t="n">
        <v>5089147</v>
      </c>
      <c r="C16467" s="0" t="n">
        <v>5089167</v>
      </c>
      <c r="D16467" s="0" t="s">
        <v>54737</v>
      </c>
      <c r="E16467" s="0" t="s">
        <v>75</v>
      </c>
      <c r="F16467" s="0" t="s">
        <v>90</v>
      </c>
      <c r="G16467" s="0" t="s">
        <v>36</v>
      </c>
      <c r="H16467" s="0" t="n">
        <v>22</v>
      </c>
      <c r="I16467" s="0" t="s">
        <v>54738</v>
      </c>
      <c r="J16467" s="0" t="s">
        <v>54739</v>
      </c>
      <c r="K16467" s="0" t="s">
        <v>54740</v>
      </c>
      <c r="L16467" s="0" t="str">
        <f aca="false">HYPERLINK("https://www.ncbi.nlm.nih.gov/nuccore/CP000058.1?report=graph&amp;tracks=[key:gene_model_track,Options:GeneOnly]&amp;mk=5089148:5089167|offset_22|00cc00,5089126:5089145|offset_44|444444,5089101:5089120|offset_69|444444,5089049:5089068|offset_121|444444&amp;v=5088947:5089268&amp;c=444444", "offset 22")</f>
        <v>offset 22</v>
      </c>
    </row>
    <row r="16468" customFormat="false" ht="12.8" hidden="false" customHeight="false" outlineLevel="0" collapsed="false">
      <c r="A16468" s="0" t="s">
        <v>12</v>
      </c>
      <c r="B16468" s="0" t="n">
        <v>5089125</v>
      </c>
      <c r="C16468" s="0" t="n">
        <v>5089145</v>
      </c>
      <c r="D16468" s="0" t="s">
        <v>54737</v>
      </c>
      <c r="E16468" s="0" t="s">
        <v>75</v>
      </c>
      <c r="F16468" s="0" t="s">
        <v>90</v>
      </c>
      <c r="G16468" s="0" t="s">
        <v>20</v>
      </c>
      <c r="H16468" s="0" t="n">
        <v>44</v>
      </c>
      <c r="I16468" s="0" t="s">
        <v>54741</v>
      </c>
      <c r="J16468" s="0" t="s">
        <v>54742</v>
      </c>
      <c r="K16468" s="0" t="s">
        <v>54743</v>
      </c>
      <c r="L16468" s="0" t="str">
        <f aca="false">HYPERLINK("https://www.ncbi.nlm.nih.gov/nuccore/CP000058.1?report=graph&amp;tracks=[key:gene_model_track,Options:GeneOnly]&amp;mk=5089148:5089167|offset_22|444444,5089126:5089145|offset_44|00cc00,5089101:5089120|offset_69|444444,5089049:5089068|offset_121|444444&amp;v=5088947:5089268&amp;c=444444", "offset 44")</f>
        <v>offset 44</v>
      </c>
    </row>
    <row r="16469" customFormat="false" ht="12.8" hidden="false" customHeight="false" outlineLevel="0" collapsed="false">
      <c r="A16469" s="0" t="s">
        <v>12</v>
      </c>
      <c r="B16469" s="0" t="n">
        <v>5089100</v>
      </c>
      <c r="C16469" s="0" t="n">
        <v>5089120</v>
      </c>
      <c r="D16469" s="0" t="s">
        <v>54737</v>
      </c>
      <c r="E16469" s="0" t="s">
        <v>75</v>
      </c>
      <c r="F16469" s="0" t="s">
        <v>90</v>
      </c>
      <c r="G16469" s="0" t="s">
        <v>36</v>
      </c>
      <c r="H16469" s="0" t="n">
        <v>69</v>
      </c>
      <c r="I16469" s="0" t="s">
        <v>54744</v>
      </c>
      <c r="J16469" s="0" t="s">
        <v>54745</v>
      </c>
      <c r="K16469" s="0" t="s">
        <v>54746</v>
      </c>
      <c r="L16469" s="0" t="str">
        <f aca="false">HYPERLINK("https://www.ncbi.nlm.nih.gov/nuccore/CP000058.1?report=graph&amp;tracks=[key:gene_model_track,Options:GeneOnly]&amp;mk=5089148:5089167|offset_22|444444,5089126:5089145|offset_44|444444,5089101:5089120|offset_69|00cc00,5089049:5089068|offset_121|444444&amp;v=5088947:5089268&amp;c=444444", "offset 69")</f>
        <v>offset 69</v>
      </c>
    </row>
    <row r="16470" customFormat="false" ht="12.8" hidden="false" customHeight="false" outlineLevel="0" collapsed="false">
      <c r="A16470" s="0" t="s">
        <v>12</v>
      </c>
      <c r="B16470" s="0" t="n">
        <v>5089048</v>
      </c>
      <c r="C16470" s="0" t="n">
        <v>5089068</v>
      </c>
      <c r="D16470" s="0" t="s">
        <v>54737</v>
      </c>
      <c r="E16470" s="0" t="s">
        <v>75</v>
      </c>
      <c r="F16470" s="0" t="s">
        <v>90</v>
      </c>
      <c r="G16470" s="0" t="s">
        <v>16</v>
      </c>
      <c r="H16470" s="0" t="n">
        <v>121</v>
      </c>
      <c r="I16470" s="0" t="s">
        <v>54747</v>
      </c>
      <c r="J16470" s="0" t="s">
        <v>54748</v>
      </c>
      <c r="K16470" s="0" t="s">
        <v>54749</v>
      </c>
      <c r="L16470" s="0" t="str">
        <f aca="false">HYPERLINK("https://www.ncbi.nlm.nih.gov/nuccore/CP000058.1?report=graph&amp;tracks=[key:gene_model_track,Options:GeneOnly]&amp;mk=5089148:5089167|offset_22|444444,5089126:5089145|offset_44|444444,5089101:5089120|offset_69|444444,5089049:5089068|offset_121|00cc00&amp;v=5088947:5089268&amp;c=444444", "offset 121")</f>
        <v>offset 121</v>
      </c>
    </row>
    <row r="16471" customFormat="false" ht="12.8" hidden="false" customHeight="false" outlineLevel="0" collapsed="false">
      <c r="A16471" s="0" t="s">
        <v>12</v>
      </c>
      <c r="B16471" s="0" t="n">
        <v>5089860</v>
      </c>
      <c r="C16471" s="0" t="n">
        <v>5089880</v>
      </c>
      <c r="D16471" s="0" t="s">
        <v>54750</v>
      </c>
      <c r="E16471" s="0" t="s">
        <v>75</v>
      </c>
      <c r="F16471" s="0" t="s">
        <v>90</v>
      </c>
      <c r="G16471" s="0" t="s">
        <v>36</v>
      </c>
      <c r="H16471" s="0" t="n">
        <v>0</v>
      </c>
      <c r="I16471" s="0" t="s">
        <v>54751</v>
      </c>
      <c r="J16471" s="0" t="s">
        <v>54752</v>
      </c>
      <c r="K16471" s="0" t="s">
        <v>54753</v>
      </c>
      <c r="L16471" s="0" t="str">
        <f aca="false">HYPERLINK("https://www.ncbi.nlm.nih.gov/nuccore/CP000058.1?report=graph&amp;tracks=[key:gene_model_track,Options:GeneOnly]&amp;mk=5089861:5089880|offset_0|00cc00,5089839:5089858|offset_22|444444,5089805:5089824|offset_56|444444,5089783:5089802|offset_78|444444&amp;v=5089660:5090002&amp;c=444444", "offset 0")</f>
        <v>offset 0</v>
      </c>
    </row>
    <row r="16472" customFormat="false" ht="12.8" hidden="false" customHeight="false" outlineLevel="0" collapsed="false">
      <c r="A16472" s="0" t="s">
        <v>12</v>
      </c>
      <c r="B16472" s="0" t="n">
        <v>5089838</v>
      </c>
      <c r="C16472" s="0" t="n">
        <v>5089858</v>
      </c>
      <c r="D16472" s="0" t="s">
        <v>54750</v>
      </c>
      <c r="E16472" s="0" t="s">
        <v>75</v>
      </c>
      <c r="F16472" s="0" t="s">
        <v>90</v>
      </c>
      <c r="G16472" s="0" t="s">
        <v>16</v>
      </c>
      <c r="H16472" s="0" t="n">
        <v>22</v>
      </c>
      <c r="I16472" s="0" t="s">
        <v>54754</v>
      </c>
      <c r="J16472" s="0" t="s">
        <v>54755</v>
      </c>
      <c r="K16472" s="0" t="s">
        <v>54756</v>
      </c>
      <c r="L16472" s="0" t="str">
        <f aca="false">HYPERLINK("https://www.ncbi.nlm.nih.gov/nuccore/CP000058.1?report=graph&amp;tracks=[key:gene_model_track,Options:GeneOnly]&amp;mk=5089861:5089880|offset_0|444444,5089839:5089858|offset_22|00cc00,5089805:5089824|offset_56|444444,5089783:5089802|offset_78|444444&amp;v=5089660:5090002&amp;c=444444", "offset 22")</f>
        <v>offset 22</v>
      </c>
    </row>
    <row r="16473" customFormat="false" ht="12.8" hidden="false" customHeight="false" outlineLevel="0" collapsed="false">
      <c r="A16473" s="0" t="s">
        <v>12</v>
      </c>
      <c r="B16473" s="0" t="n">
        <v>5089804</v>
      </c>
      <c r="C16473" s="0" t="n">
        <v>5089824</v>
      </c>
      <c r="D16473" s="0" t="s">
        <v>54750</v>
      </c>
      <c r="E16473" s="0" t="s">
        <v>75</v>
      </c>
      <c r="F16473" s="0" t="s">
        <v>90</v>
      </c>
      <c r="G16473" s="0" t="s">
        <v>36</v>
      </c>
      <c r="H16473" s="0" t="n">
        <v>56</v>
      </c>
      <c r="I16473" s="0" t="s">
        <v>54757</v>
      </c>
      <c r="J16473" s="0" t="s">
        <v>54758</v>
      </c>
      <c r="K16473" s="0" t="s">
        <v>54759</v>
      </c>
      <c r="L16473" s="0" t="str">
        <f aca="false">HYPERLINK("https://www.ncbi.nlm.nih.gov/nuccore/CP000058.1?report=graph&amp;tracks=[key:gene_model_track,Options:GeneOnly]&amp;mk=5089861:5089880|offset_0|444444,5089839:5089858|offset_22|444444,5089805:5089824|offset_56|00cc00,5089783:5089802|offset_78|444444&amp;v=5089660:5090002&amp;c=444444", "offset 56")</f>
        <v>offset 56</v>
      </c>
    </row>
    <row r="16474" customFormat="false" ht="12.8" hidden="false" customHeight="false" outlineLevel="0" collapsed="false">
      <c r="A16474" s="0" t="s">
        <v>12</v>
      </c>
      <c r="B16474" s="0" t="n">
        <v>5089782</v>
      </c>
      <c r="C16474" s="0" t="n">
        <v>5089802</v>
      </c>
      <c r="D16474" s="0" t="s">
        <v>54750</v>
      </c>
      <c r="E16474" s="0" t="s">
        <v>75</v>
      </c>
      <c r="F16474" s="0" t="s">
        <v>90</v>
      </c>
      <c r="G16474" s="0" t="s">
        <v>16</v>
      </c>
      <c r="H16474" s="0" t="n">
        <v>78</v>
      </c>
      <c r="I16474" s="0" t="s">
        <v>54760</v>
      </c>
      <c r="J16474" s="0" t="s">
        <v>54761</v>
      </c>
      <c r="K16474" s="0" t="s">
        <v>54762</v>
      </c>
      <c r="L16474" s="0" t="str">
        <f aca="false">HYPERLINK("https://www.ncbi.nlm.nih.gov/nuccore/CP000058.1?report=graph&amp;tracks=[key:gene_model_track,Options:GeneOnly]&amp;mk=5089861:5089880|offset_0|444444,5089839:5089858|offset_22|444444,5089805:5089824|offset_56|444444,5089783:5089802|offset_78|00cc00&amp;v=5089660:5090002&amp;c=444444", "offset 78")</f>
        <v>offset 78</v>
      </c>
    </row>
    <row r="16475" customFormat="false" ht="12.8" hidden="false" customHeight="false" outlineLevel="0" collapsed="false">
      <c r="A16475" s="0" t="s">
        <v>12</v>
      </c>
      <c r="B16475" s="0" t="n">
        <v>5090714</v>
      </c>
      <c r="C16475" s="0" t="n">
        <v>5090734</v>
      </c>
      <c r="D16475" s="0" t="s">
        <v>54763</v>
      </c>
      <c r="E16475" s="0" t="s">
        <v>75</v>
      </c>
      <c r="F16475" s="0" t="s">
        <v>90</v>
      </c>
      <c r="G16475" s="0" t="s">
        <v>16</v>
      </c>
      <c r="H16475" s="0" t="n">
        <v>31</v>
      </c>
      <c r="I16475" s="0" t="s">
        <v>54764</v>
      </c>
      <c r="J16475" s="0" t="s">
        <v>54765</v>
      </c>
      <c r="K16475" s="0" t="s">
        <v>54766</v>
      </c>
      <c r="L16475" s="0" t="str">
        <f aca="false">HYPERLINK("https://www.ncbi.nlm.nih.gov/nuccore/CP000058.1?report=graph&amp;tracks=[key:gene_model_track,Options:GeneOnly]&amp;mk=5090715:5090734|offset_31|00cc00,5090694:5090713|offset_52|444444,5090661:5090680|offset_85|444444,5090635:5090654|offset_111|444444&amp;v=5090514:5090854&amp;c=444444", "offset 31")</f>
        <v>offset 31</v>
      </c>
    </row>
    <row r="16476" customFormat="false" ht="12.8" hidden="false" customHeight="false" outlineLevel="0" collapsed="false">
      <c r="A16476" s="0" t="s">
        <v>12</v>
      </c>
      <c r="B16476" s="0" t="n">
        <v>5090693</v>
      </c>
      <c r="C16476" s="0" t="n">
        <v>5090713</v>
      </c>
      <c r="D16476" s="0" t="s">
        <v>54763</v>
      </c>
      <c r="E16476" s="0" t="s">
        <v>75</v>
      </c>
      <c r="F16476" s="0" t="s">
        <v>90</v>
      </c>
      <c r="G16476" s="0" t="s">
        <v>16</v>
      </c>
      <c r="H16476" s="0" t="n">
        <v>52</v>
      </c>
      <c r="I16476" s="0" t="s">
        <v>54767</v>
      </c>
      <c r="J16476" s="0" t="s">
        <v>54768</v>
      </c>
      <c r="K16476" s="0" t="s">
        <v>54769</v>
      </c>
      <c r="L16476" s="0" t="str">
        <f aca="false">HYPERLINK("https://www.ncbi.nlm.nih.gov/nuccore/CP000058.1?report=graph&amp;tracks=[key:gene_model_track,Options:GeneOnly]&amp;mk=5090715:5090734|offset_31|444444,5090694:5090713|offset_52|00cc00,5090661:5090680|offset_85|444444,5090635:5090654|offset_111|444444&amp;v=5090514:5090854&amp;c=444444", "offset 52")</f>
        <v>offset 52</v>
      </c>
    </row>
    <row r="16477" customFormat="false" ht="12.8" hidden="false" customHeight="false" outlineLevel="0" collapsed="false">
      <c r="A16477" s="0" t="s">
        <v>12</v>
      </c>
      <c r="B16477" s="0" t="n">
        <v>5090660</v>
      </c>
      <c r="C16477" s="0" t="n">
        <v>5090680</v>
      </c>
      <c r="D16477" s="0" t="s">
        <v>54763</v>
      </c>
      <c r="E16477" s="0" t="s">
        <v>75</v>
      </c>
      <c r="F16477" s="0" t="s">
        <v>90</v>
      </c>
      <c r="G16477" s="0" t="s">
        <v>32</v>
      </c>
      <c r="H16477" s="0" t="n">
        <v>85</v>
      </c>
      <c r="I16477" s="0" t="s">
        <v>54770</v>
      </c>
      <c r="J16477" s="0" t="s">
        <v>54771</v>
      </c>
      <c r="K16477" s="0" t="s">
        <v>54772</v>
      </c>
      <c r="L16477" s="0" t="str">
        <f aca="false">HYPERLINK("https://www.ncbi.nlm.nih.gov/nuccore/CP000058.1?report=graph&amp;tracks=[key:gene_model_track,Options:GeneOnly]&amp;mk=5090715:5090734|offset_31|444444,5090694:5090713|offset_52|444444,5090661:5090680|offset_85|00cc00,5090635:5090654|offset_111|444444&amp;v=5090514:5090854&amp;c=444444", "offset 85")</f>
        <v>offset 85</v>
      </c>
    </row>
    <row r="16478" customFormat="false" ht="12.8" hidden="false" customHeight="false" outlineLevel="0" collapsed="false">
      <c r="A16478" s="0" t="s">
        <v>12</v>
      </c>
      <c r="B16478" s="0" t="n">
        <v>5090634</v>
      </c>
      <c r="C16478" s="0" t="n">
        <v>5090654</v>
      </c>
      <c r="D16478" s="0" t="s">
        <v>54763</v>
      </c>
      <c r="E16478" s="0" t="s">
        <v>75</v>
      </c>
      <c r="F16478" s="0" t="s">
        <v>90</v>
      </c>
      <c r="G16478" s="0" t="s">
        <v>20</v>
      </c>
      <c r="H16478" s="0" t="n">
        <v>111</v>
      </c>
      <c r="I16478" s="0" t="s">
        <v>54773</v>
      </c>
      <c r="J16478" s="0" t="s">
        <v>54774</v>
      </c>
      <c r="K16478" s="0" t="s">
        <v>54775</v>
      </c>
      <c r="L16478" s="0" t="str">
        <f aca="false">HYPERLINK("https://www.ncbi.nlm.nih.gov/nuccore/CP000058.1?report=graph&amp;tracks=[key:gene_model_track,Options:GeneOnly]&amp;mk=5090715:5090734|offset_31|444444,5090694:5090713|offset_52|444444,5090661:5090680|offset_85|444444,5090635:5090654|offset_111|00cc00&amp;v=5090514:5090854&amp;c=444444", "offset 111")</f>
        <v>offset 111</v>
      </c>
    </row>
    <row r="16479" customFormat="false" ht="12.8" hidden="false" customHeight="false" outlineLevel="0" collapsed="false">
      <c r="A16479" s="0" t="s">
        <v>12</v>
      </c>
      <c r="B16479" s="0" t="n">
        <v>5092773</v>
      </c>
      <c r="C16479" s="0" t="n">
        <v>5092793</v>
      </c>
      <c r="D16479" s="0" t="s">
        <v>54776</v>
      </c>
      <c r="E16479" s="0" t="s">
        <v>75</v>
      </c>
      <c r="F16479" s="0" t="s">
        <v>90</v>
      </c>
      <c r="G16479" s="0" t="s">
        <v>32</v>
      </c>
      <c r="H16479" s="0" t="n">
        <v>22</v>
      </c>
      <c r="I16479" s="0" t="s">
        <v>54777</v>
      </c>
      <c r="J16479" s="0" t="s">
        <v>54778</v>
      </c>
      <c r="K16479" s="0" t="s">
        <v>54779</v>
      </c>
      <c r="L16479" s="0" t="str">
        <f aca="false">HYPERLINK("https://www.ncbi.nlm.nih.gov/nuccore/CP000058.1?report=graph&amp;tracks=[key:gene_model_track,Options:GeneOnly]&amp;mk=5092774:5092793|offset_22|00cc00,5092749:5092768|offset_47|444444,5092715:5092734|offset_81|444444,5092695:5092714|offset_101|444444&amp;v=5092573:5092914&amp;c=444444", "offset 22")</f>
        <v>offset 22</v>
      </c>
    </row>
    <row r="16480" customFormat="false" ht="12.8" hidden="false" customHeight="false" outlineLevel="0" collapsed="false">
      <c r="A16480" s="0" t="s">
        <v>12</v>
      </c>
      <c r="B16480" s="0" t="n">
        <v>5092748</v>
      </c>
      <c r="C16480" s="0" t="n">
        <v>5092768</v>
      </c>
      <c r="D16480" s="0" t="s">
        <v>54776</v>
      </c>
      <c r="E16480" s="0" t="s">
        <v>75</v>
      </c>
      <c r="F16480" s="0" t="s">
        <v>90</v>
      </c>
      <c r="G16480" s="0" t="s">
        <v>20</v>
      </c>
      <c r="H16480" s="0" t="n">
        <v>47</v>
      </c>
      <c r="I16480" s="0" t="s">
        <v>54780</v>
      </c>
      <c r="J16480" s="0" t="s">
        <v>54781</v>
      </c>
      <c r="K16480" s="0" t="s">
        <v>54782</v>
      </c>
      <c r="L16480" s="0" t="str">
        <f aca="false">HYPERLINK("https://www.ncbi.nlm.nih.gov/nuccore/CP000058.1?report=graph&amp;tracks=[key:gene_model_track,Options:GeneOnly]&amp;mk=5092774:5092793|offset_22|444444,5092749:5092768|offset_47|00cc00,5092715:5092734|offset_81|444444,5092695:5092714|offset_101|444444&amp;v=5092573:5092914&amp;c=444444", "offset 47")</f>
        <v>offset 47</v>
      </c>
    </row>
    <row r="16481" customFormat="false" ht="12.8" hidden="false" customHeight="false" outlineLevel="0" collapsed="false">
      <c r="A16481" s="0" t="s">
        <v>12</v>
      </c>
      <c r="B16481" s="0" t="n">
        <v>5092714</v>
      </c>
      <c r="C16481" s="0" t="n">
        <v>5092734</v>
      </c>
      <c r="D16481" s="0" t="s">
        <v>54776</v>
      </c>
      <c r="E16481" s="0" t="s">
        <v>75</v>
      </c>
      <c r="F16481" s="0" t="s">
        <v>90</v>
      </c>
      <c r="G16481" s="0" t="s">
        <v>36</v>
      </c>
      <c r="H16481" s="0" t="n">
        <v>81</v>
      </c>
      <c r="I16481" s="0" t="s">
        <v>54783</v>
      </c>
      <c r="J16481" s="0" t="s">
        <v>54784</v>
      </c>
      <c r="K16481" s="0" t="s">
        <v>54785</v>
      </c>
      <c r="L16481" s="0" t="str">
        <f aca="false">HYPERLINK("https://www.ncbi.nlm.nih.gov/nuccore/CP000058.1?report=graph&amp;tracks=[key:gene_model_track,Options:GeneOnly]&amp;mk=5092774:5092793|offset_22|444444,5092749:5092768|offset_47|444444,5092715:5092734|offset_81|00cc00,5092695:5092714|offset_101|444444&amp;v=5092573:5092914&amp;c=444444", "offset 81")</f>
        <v>offset 81</v>
      </c>
    </row>
    <row r="16482" customFormat="false" ht="12.8" hidden="false" customHeight="false" outlineLevel="0" collapsed="false">
      <c r="A16482" s="0" t="s">
        <v>12</v>
      </c>
      <c r="B16482" s="0" t="n">
        <v>5092694</v>
      </c>
      <c r="C16482" s="0" t="n">
        <v>5092714</v>
      </c>
      <c r="D16482" s="0" t="s">
        <v>54776</v>
      </c>
      <c r="E16482" s="0" t="s">
        <v>75</v>
      </c>
      <c r="F16482" s="0" t="s">
        <v>90</v>
      </c>
      <c r="G16482" s="0" t="s">
        <v>20</v>
      </c>
      <c r="H16482" s="0" t="n">
        <v>101</v>
      </c>
      <c r="I16482" s="0" t="s">
        <v>54786</v>
      </c>
      <c r="J16482" s="0" t="s">
        <v>54787</v>
      </c>
      <c r="K16482" s="0" t="s">
        <v>54788</v>
      </c>
      <c r="L16482" s="0" t="str">
        <f aca="false">HYPERLINK("https://www.ncbi.nlm.nih.gov/nuccore/CP000058.1?report=graph&amp;tracks=[key:gene_model_track,Options:GeneOnly]&amp;mk=5092774:5092793|offset_22|444444,5092749:5092768|offset_47|444444,5092715:5092734|offset_81|444444,5092695:5092714|offset_101|00cc00&amp;v=5092573:5092914&amp;c=444444", "offset 101")</f>
        <v>offset 101</v>
      </c>
    </row>
    <row r="16483" customFormat="false" ht="12.8" hidden="false" customHeight="false" outlineLevel="0" collapsed="false">
      <c r="A16483" s="0" t="s">
        <v>12</v>
      </c>
      <c r="B16483" s="0" t="n">
        <v>5093497</v>
      </c>
      <c r="C16483" s="0" t="n">
        <v>5093517</v>
      </c>
      <c r="D16483" s="0" t="s">
        <v>54789</v>
      </c>
      <c r="E16483" s="0" t="s">
        <v>54790</v>
      </c>
      <c r="F16483" s="0" t="s">
        <v>90</v>
      </c>
      <c r="G16483" s="0" t="s">
        <v>20</v>
      </c>
      <c r="H16483" s="0" t="n">
        <v>29</v>
      </c>
      <c r="I16483" s="0" t="s">
        <v>54791</v>
      </c>
      <c r="J16483" s="0" t="s">
        <v>54792</v>
      </c>
      <c r="K16483" s="0" t="s">
        <v>54793</v>
      </c>
      <c r="L16483" s="0" t="str">
        <f aca="false">HYPERLINK("https://www.ncbi.nlm.nih.gov/nuccore/CP000058.1?report=graph&amp;tracks=[key:gene_model_track,Options:GeneOnly]&amp;mk=5093498:5093517|offset_29|00cc00,5093477:5093496|offset_50|444444,5093447:5093466|offset_80|444444,5093409:5093428|offset_118|444444&amp;v=5093297:5093628&amp;c=444444", "offset 29")</f>
        <v>offset 29</v>
      </c>
    </row>
    <row r="16484" customFormat="false" ht="12.8" hidden="false" customHeight="false" outlineLevel="0" collapsed="false">
      <c r="A16484" s="0" t="s">
        <v>12</v>
      </c>
      <c r="B16484" s="0" t="n">
        <v>5093476</v>
      </c>
      <c r="C16484" s="0" t="n">
        <v>5093496</v>
      </c>
      <c r="D16484" s="0" t="s">
        <v>54789</v>
      </c>
      <c r="E16484" s="0" t="s">
        <v>54790</v>
      </c>
      <c r="F16484" s="0" t="s">
        <v>90</v>
      </c>
      <c r="G16484" s="0" t="s">
        <v>36</v>
      </c>
      <c r="H16484" s="0" t="n">
        <v>50</v>
      </c>
      <c r="I16484" s="0" t="s">
        <v>54794</v>
      </c>
      <c r="J16484" s="0" t="s">
        <v>54795</v>
      </c>
      <c r="K16484" s="0" t="s">
        <v>54796</v>
      </c>
      <c r="L16484" s="0" t="str">
        <f aca="false">HYPERLINK("https://www.ncbi.nlm.nih.gov/nuccore/CP000058.1?report=graph&amp;tracks=[key:gene_model_track,Options:GeneOnly]&amp;mk=5093498:5093517|offset_29|444444,5093477:5093496|offset_50|00cc00,5093447:5093466|offset_80|444444,5093409:5093428|offset_118|444444&amp;v=5093297:5093628&amp;c=444444", "offset 50")</f>
        <v>offset 50</v>
      </c>
    </row>
    <row r="16485" customFormat="false" ht="12.8" hidden="false" customHeight="false" outlineLevel="0" collapsed="false">
      <c r="A16485" s="0" t="s">
        <v>12</v>
      </c>
      <c r="B16485" s="0" t="n">
        <v>5093446</v>
      </c>
      <c r="C16485" s="0" t="n">
        <v>5093466</v>
      </c>
      <c r="D16485" s="0" t="s">
        <v>54789</v>
      </c>
      <c r="E16485" s="0" t="s">
        <v>54790</v>
      </c>
      <c r="F16485" s="0" t="s">
        <v>90</v>
      </c>
      <c r="G16485" s="0" t="s">
        <v>20</v>
      </c>
      <c r="H16485" s="0" t="n">
        <v>80</v>
      </c>
      <c r="I16485" s="0" t="s">
        <v>54797</v>
      </c>
      <c r="J16485" s="0" t="s">
        <v>54798</v>
      </c>
      <c r="K16485" s="0" t="s">
        <v>54799</v>
      </c>
      <c r="L16485" s="0" t="str">
        <f aca="false">HYPERLINK("https://www.ncbi.nlm.nih.gov/nuccore/CP000058.1?report=graph&amp;tracks=[key:gene_model_track,Options:GeneOnly]&amp;mk=5093498:5093517|offset_29|444444,5093477:5093496|offset_50|444444,5093447:5093466|offset_80|00cc00,5093409:5093428|offset_118|444444&amp;v=5093297:5093628&amp;c=444444", "offset 80")</f>
        <v>offset 80</v>
      </c>
    </row>
    <row r="16486" customFormat="false" ht="12.8" hidden="false" customHeight="false" outlineLevel="0" collapsed="false">
      <c r="A16486" s="0" t="s">
        <v>12</v>
      </c>
      <c r="B16486" s="0" t="n">
        <v>5093408</v>
      </c>
      <c r="C16486" s="0" t="n">
        <v>5093428</v>
      </c>
      <c r="D16486" s="0" t="s">
        <v>54789</v>
      </c>
      <c r="E16486" s="0" t="s">
        <v>54790</v>
      </c>
      <c r="F16486" s="0" t="s">
        <v>90</v>
      </c>
      <c r="G16486" s="0" t="s">
        <v>32</v>
      </c>
      <c r="H16486" s="0" t="n">
        <v>118</v>
      </c>
      <c r="I16486" s="0" t="s">
        <v>54800</v>
      </c>
      <c r="J16486" s="0" t="s">
        <v>54801</v>
      </c>
      <c r="K16486" s="0" t="s">
        <v>54802</v>
      </c>
      <c r="L16486" s="0" t="str">
        <f aca="false">HYPERLINK("https://www.ncbi.nlm.nih.gov/nuccore/CP000058.1?report=graph&amp;tracks=[key:gene_model_track,Options:GeneOnly]&amp;mk=5093498:5093517|offset_29|444444,5093477:5093496|offset_50|444444,5093447:5093466|offset_80|444444,5093409:5093428|offset_118|00cc00&amp;v=5093297:5093628&amp;c=444444", "offset 118")</f>
        <v>offset 118</v>
      </c>
    </row>
    <row r="16487" customFormat="false" ht="12.8" hidden="false" customHeight="false" outlineLevel="0" collapsed="false">
      <c r="A16487" s="0" t="s">
        <v>12</v>
      </c>
      <c r="B16487" s="0" t="n">
        <v>5094135</v>
      </c>
      <c r="C16487" s="0" t="n">
        <v>5094155</v>
      </c>
      <c r="D16487" s="0" t="s">
        <v>54803</v>
      </c>
      <c r="E16487" s="0" t="s">
        <v>54804</v>
      </c>
      <c r="F16487" s="0" t="s">
        <v>90</v>
      </c>
      <c r="G16487" s="0" t="s">
        <v>16</v>
      </c>
      <c r="H16487" s="0" t="n">
        <v>17</v>
      </c>
      <c r="I16487" s="0" t="s">
        <v>54805</v>
      </c>
      <c r="J16487" s="0" t="s">
        <v>54806</v>
      </c>
      <c r="K16487" s="0" t="s">
        <v>54807</v>
      </c>
      <c r="L16487" s="0" t="str">
        <f aca="false">HYPERLINK("https://www.ncbi.nlm.nih.gov/nuccore/CP000058.1?report=graph&amp;tracks=[key:gene_model_track,Options:GeneOnly]&amp;mk=5094136:5094155|offset_17|00cc00,5094107:5094126|offset_46|444444,5094079:5094098|offset_74|444444,5094058:5094077|offset_95|444444&amp;v=5093935:5094277&amp;c=444444", "offset 17")</f>
        <v>offset 17</v>
      </c>
    </row>
    <row r="16488" customFormat="false" ht="12.8" hidden="false" customHeight="false" outlineLevel="0" collapsed="false">
      <c r="A16488" s="0" t="s">
        <v>12</v>
      </c>
      <c r="B16488" s="0" t="n">
        <v>5094106</v>
      </c>
      <c r="C16488" s="0" t="n">
        <v>5094126</v>
      </c>
      <c r="D16488" s="0" t="s">
        <v>54803</v>
      </c>
      <c r="E16488" s="0" t="s">
        <v>54804</v>
      </c>
      <c r="F16488" s="0" t="s">
        <v>90</v>
      </c>
      <c r="G16488" s="0" t="s">
        <v>20</v>
      </c>
      <c r="H16488" s="0" t="n">
        <v>46</v>
      </c>
      <c r="I16488" s="0" t="s">
        <v>54808</v>
      </c>
      <c r="J16488" s="0" t="s">
        <v>54809</v>
      </c>
      <c r="K16488" s="0" t="s">
        <v>54810</v>
      </c>
      <c r="L16488" s="0" t="str">
        <f aca="false">HYPERLINK("https://www.ncbi.nlm.nih.gov/nuccore/CP000058.1?report=graph&amp;tracks=[key:gene_model_track,Options:GeneOnly]&amp;mk=5094136:5094155|offset_17|444444,5094107:5094126|offset_46|00cc00,5094079:5094098|offset_74|444444,5094058:5094077|offset_95|444444&amp;v=5093935:5094277&amp;c=444444", "offset 46")</f>
        <v>offset 46</v>
      </c>
    </row>
    <row r="16489" customFormat="false" ht="12.8" hidden="false" customHeight="false" outlineLevel="0" collapsed="false">
      <c r="A16489" s="0" t="s">
        <v>12</v>
      </c>
      <c r="B16489" s="0" t="n">
        <v>5094078</v>
      </c>
      <c r="C16489" s="0" t="n">
        <v>5094098</v>
      </c>
      <c r="D16489" s="0" t="s">
        <v>54803</v>
      </c>
      <c r="E16489" s="0" t="s">
        <v>54804</v>
      </c>
      <c r="F16489" s="0" t="s">
        <v>90</v>
      </c>
      <c r="G16489" s="0" t="s">
        <v>20</v>
      </c>
      <c r="H16489" s="0" t="n">
        <v>74</v>
      </c>
      <c r="I16489" s="0" t="s">
        <v>54811</v>
      </c>
      <c r="J16489" s="0" t="s">
        <v>54812</v>
      </c>
      <c r="K16489" s="0" t="s">
        <v>54813</v>
      </c>
      <c r="L16489" s="0" t="str">
        <f aca="false">HYPERLINK("https://www.ncbi.nlm.nih.gov/nuccore/CP000058.1?report=graph&amp;tracks=[key:gene_model_track,Options:GeneOnly]&amp;mk=5094136:5094155|offset_17|444444,5094107:5094126|offset_46|444444,5094079:5094098|offset_74|00cc00,5094058:5094077|offset_95|444444&amp;v=5093935:5094277&amp;c=444444", "offset 74")</f>
        <v>offset 74</v>
      </c>
    </row>
    <row r="16490" customFormat="false" ht="12.8" hidden="false" customHeight="false" outlineLevel="0" collapsed="false">
      <c r="A16490" s="0" t="s">
        <v>12</v>
      </c>
      <c r="B16490" s="0" t="n">
        <v>5094057</v>
      </c>
      <c r="C16490" s="0" t="n">
        <v>5094077</v>
      </c>
      <c r="D16490" s="0" t="s">
        <v>54803</v>
      </c>
      <c r="E16490" s="0" t="s">
        <v>54804</v>
      </c>
      <c r="F16490" s="0" t="s">
        <v>90</v>
      </c>
      <c r="G16490" s="0" t="s">
        <v>20</v>
      </c>
      <c r="H16490" s="0" t="n">
        <v>95</v>
      </c>
      <c r="I16490" s="0" t="s">
        <v>54814</v>
      </c>
      <c r="J16490" s="0" t="s">
        <v>54815</v>
      </c>
      <c r="K16490" s="0" t="s">
        <v>54816</v>
      </c>
      <c r="L16490" s="0" t="str">
        <f aca="false">HYPERLINK("https://www.ncbi.nlm.nih.gov/nuccore/CP000058.1?report=graph&amp;tracks=[key:gene_model_track,Options:GeneOnly]&amp;mk=5094136:5094155|offset_17|444444,5094107:5094126|offset_46|444444,5094079:5094098|offset_74|444444,5094058:5094077|offset_95|00cc00&amp;v=5093935:5094277&amp;c=444444", "offset 95")</f>
        <v>offset 95</v>
      </c>
    </row>
    <row r="16491" customFormat="false" ht="12.8" hidden="false" customHeight="false" outlineLevel="0" collapsed="false">
      <c r="A16491" s="0" t="s">
        <v>12</v>
      </c>
      <c r="B16491" s="0" t="n">
        <v>5095489</v>
      </c>
      <c r="C16491" s="0" t="n">
        <v>5095509</v>
      </c>
      <c r="D16491" s="0" t="s">
        <v>54817</v>
      </c>
      <c r="E16491" s="0" t="s">
        <v>75</v>
      </c>
      <c r="F16491" s="0" t="s">
        <v>90</v>
      </c>
      <c r="G16491" s="0" t="s">
        <v>32</v>
      </c>
      <c r="H16491" s="0" t="n">
        <v>0</v>
      </c>
      <c r="I16491" s="0" t="s">
        <v>54818</v>
      </c>
      <c r="J16491" s="0" t="s">
        <v>54819</v>
      </c>
      <c r="K16491" s="0" t="s">
        <v>54820</v>
      </c>
      <c r="L16491" s="0" t="str">
        <f aca="false">HYPERLINK("https://www.ncbi.nlm.nih.gov/nuccore/CP000058.1?report=graph&amp;tracks=[key:gene_model_track,Options:GeneOnly]&amp;mk=5095490:5095509|offset_0|00cc00,5095459:5095478|offset_31|444444,5095435:5095454|offset_55|444444,5095410:5095429|offset_80|444444&amp;v=5095289:5095629&amp;c=444444", "offset 0")</f>
        <v>offset 0</v>
      </c>
    </row>
    <row r="16492" customFormat="false" ht="12.8" hidden="false" customHeight="false" outlineLevel="0" collapsed="false">
      <c r="A16492" s="0" t="s">
        <v>12</v>
      </c>
      <c r="B16492" s="0" t="n">
        <v>5095458</v>
      </c>
      <c r="C16492" s="0" t="n">
        <v>5095478</v>
      </c>
      <c r="D16492" s="0" t="s">
        <v>54817</v>
      </c>
      <c r="E16492" s="0" t="s">
        <v>75</v>
      </c>
      <c r="F16492" s="0" t="s">
        <v>90</v>
      </c>
      <c r="G16492" s="0" t="s">
        <v>20</v>
      </c>
      <c r="H16492" s="0" t="n">
        <v>31</v>
      </c>
      <c r="I16492" s="0" t="s">
        <v>54821</v>
      </c>
      <c r="J16492" s="0" t="s">
        <v>54822</v>
      </c>
      <c r="K16492" s="0" t="s">
        <v>54823</v>
      </c>
      <c r="L16492" s="0" t="str">
        <f aca="false">HYPERLINK("https://www.ncbi.nlm.nih.gov/nuccore/CP000058.1?report=graph&amp;tracks=[key:gene_model_track,Options:GeneOnly]&amp;mk=5095490:5095509|offset_0|444444,5095459:5095478|offset_31|00cc00,5095435:5095454|offset_55|444444,5095410:5095429|offset_80|444444&amp;v=5095289:5095629&amp;c=444444", "offset 31")</f>
        <v>offset 31</v>
      </c>
    </row>
    <row r="16493" customFormat="false" ht="12.8" hidden="false" customHeight="false" outlineLevel="0" collapsed="false">
      <c r="A16493" s="0" t="s">
        <v>12</v>
      </c>
      <c r="B16493" s="0" t="n">
        <v>5095434</v>
      </c>
      <c r="C16493" s="0" t="n">
        <v>5095454</v>
      </c>
      <c r="D16493" s="0" t="s">
        <v>54817</v>
      </c>
      <c r="E16493" s="0" t="s">
        <v>75</v>
      </c>
      <c r="F16493" s="0" t="s">
        <v>90</v>
      </c>
      <c r="G16493" s="0" t="s">
        <v>20</v>
      </c>
      <c r="H16493" s="0" t="n">
        <v>55</v>
      </c>
      <c r="I16493" s="0" t="s">
        <v>54824</v>
      </c>
      <c r="J16493" s="0" t="s">
        <v>54825</v>
      </c>
      <c r="K16493" s="0" t="s">
        <v>54826</v>
      </c>
      <c r="L16493" s="0" t="str">
        <f aca="false">HYPERLINK("https://www.ncbi.nlm.nih.gov/nuccore/CP000058.1?report=graph&amp;tracks=[key:gene_model_track,Options:GeneOnly]&amp;mk=5095490:5095509|offset_0|444444,5095459:5095478|offset_31|444444,5095435:5095454|offset_55|00cc00,5095410:5095429|offset_80|444444&amp;v=5095289:5095629&amp;c=444444", "offset 55")</f>
        <v>offset 55</v>
      </c>
    </row>
    <row r="16494" customFormat="false" ht="12.8" hidden="false" customHeight="false" outlineLevel="0" collapsed="false">
      <c r="A16494" s="0" t="s">
        <v>12</v>
      </c>
      <c r="B16494" s="0" t="n">
        <v>5095409</v>
      </c>
      <c r="C16494" s="0" t="n">
        <v>5095429</v>
      </c>
      <c r="D16494" s="0" t="s">
        <v>54817</v>
      </c>
      <c r="E16494" s="0" t="s">
        <v>75</v>
      </c>
      <c r="F16494" s="0" t="s">
        <v>90</v>
      </c>
      <c r="G16494" s="0" t="s">
        <v>36</v>
      </c>
      <c r="H16494" s="0" t="n">
        <v>80</v>
      </c>
      <c r="I16494" s="0" t="s">
        <v>54827</v>
      </c>
      <c r="J16494" s="0" t="s">
        <v>54828</v>
      </c>
      <c r="K16494" s="0" t="s">
        <v>54829</v>
      </c>
      <c r="L16494" s="0" t="str">
        <f aca="false">HYPERLINK("https://www.ncbi.nlm.nih.gov/nuccore/CP000058.1?report=graph&amp;tracks=[key:gene_model_track,Options:GeneOnly]&amp;mk=5095490:5095509|offset_0|444444,5095459:5095478|offset_31|444444,5095435:5095454|offset_55|444444,5095410:5095429|offset_80|00cc00&amp;v=5095289:5095629&amp;c=444444", "offset 80")</f>
        <v>offset 80</v>
      </c>
    </row>
    <row r="16495" customFormat="false" ht="12.8" hidden="false" customHeight="false" outlineLevel="0" collapsed="false">
      <c r="A16495" s="0" t="s">
        <v>12</v>
      </c>
      <c r="B16495" s="0" t="n">
        <v>5095643</v>
      </c>
      <c r="C16495" s="0" t="n">
        <v>5095663</v>
      </c>
      <c r="D16495" s="0" t="s">
        <v>54830</v>
      </c>
      <c r="E16495" s="0" t="s">
        <v>54831</v>
      </c>
      <c r="F16495" s="0" t="s">
        <v>15</v>
      </c>
      <c r="G16495" s="0" t="s">
        <v>16</v>
      </c>
      <c r="H16495" s="0" t="n">
        <v>9</v>
      </c>
      <c r="I16495" s="0" t="s">
        <v>54832</v>
      </c>
      <c r="J16495" s="0" t="s">
        <v>54833</v>
      </c>
      <c r="K16495" s="0" t="s">
        <v>54834</v>
      </c>
      <c r="L16495" s="0" t="str">
        <f aca="false">HYPERLINK("https://www.ncbi.nlm.nih.gov/nuccore/CP000058.1?report=graph&amp;tracks=[key:gene_model_track,Options:GeneOnly]&amp;mk=5095644:5095663|offset_9|00cc00,5095688:5095707|offset_53|444444,5095743:5095762|offset_108|444444,5095764:5095783|offset_129|444444&amp;v=5095443:5095983&amp;c=444444", "offset 9")</f>
        <v>offset 9</v>
      </c>
    </row>
    <row r="16496" customFormat="false" ht="12.8" hidden="false" customHeight="false" outlineLevel="0" collapsed="false">
      <c r="A16496" s="0" t="s">
        <v>12</v>
      </c>
      <c r="B16496" s="0" t="n">
        <v>5095687</v>
      </c>
      <c r="C16496" s="0" t="n">
        <v>5095707</v>
      </c>
      <c r="D16496" s="0" t="s">
        <v>54830</v>
      </c>
      <c r="E16496" s="0" t="s">
        <v>54831</v>
      </c>
      <c r="F16496" s="0" t="s">
        <v>15</v>
      </c>
      <c r="G16496" s="0" t="s">
        <v>20</v>
      </c>
      <c r="H16496" s="0" t="n">
        <v>53</v>
      </c>
      <c r="I16496" s="0" t="s">
        <v>54835</v>
      </c>
      <c r="J16496" s="0" t="s">
        <v>54836</v>
      </c>
      <c r="K16496" s="0" t="s">
        <v>54837</v>
      </c>
      <c r="L16496" s="0" t="str">
        <f aca="false">HYPERLINK("https://www.ncbi.nlm.nih.gov/nuccore/CP000058.1?report=graph&amp;tracks=[key:gene_model_track,Options:GeneOnly]&amp;mk=5095644:5095663|offset_9|444444,5095688:5095707|offset_53|00cc00,5095743:5095762|offset_108|444444,5095764:5095783|offset_129|444444&amp;v=5095443:5095983&amp;c=444444", "offset 53")</f>
        <v>offset 53</v>
      </c>
    </row>
    <row r="16497" customFormat="false" ht="12.8" hidden="false" customHeight="false" outlineLevel="0" collapsed="false">
      <c r="A16497" s="0" t="s">
        <v>12</v>
      </c>
      <c r="B16497" s="0" t="n">
        <v>5095742</v>
      </c>
      <c r="C16497" s="0" t="n">
        <v>5095762</v>
      </c>
      <c r="D16497" s="0" t="s">
        <v>54830</v>
      </c>
      <c r="E16497" s="0" t="s">
        <v>54831</v>
      </c>
      <c r="F16497" s="0" t="s">
        <v>15</v>
      </c>
      <c r="G16497" s="0" t="s">
        <v>16</v>
      </c>
      <c r="H16497" s="0" t="n">
        <v>108</v>
      </c>
      <c r="I16497" s="0" t="s">
        <v>54838</v>
      </c>
      <c r="J16497" s="0" t="s">
        <v>54839</v>
      </c>
      <c r="K16497" s="0" t="s">
        <v>54840</v>
      </c>
      <c r="L16497" s="0" t="str">
        <f aca="false">HYPERLINK("https://www.ncbi.nlm.nih.gov/nuccore/CP000058.1?report=graph&amp;tracks=[key:gene_model_track,Options:GeneOnly]&amp;mk=5095644:5095663|offset_9|444444,5095688:5095707|offset_53|444444,5095743:5095762|offset_108|00cc00,5095764:5095783|offset_129|444444&amp;v=5095443:5095983&amp;c=444444", "offset 108")</f>
        <v>offset 108</v>
      </c>
    </row>
    <row r="16498" customFormat="false" ht="12.8" hidden="false" customHeight="false" outlineLevel="0" collapsed="false">
      <c r="A16498" s="0" t="s">
        <v>12</v>
      </c>
      <c r="B16498" s="0" t="n">
        <v>5095763</v>
      </c>
      <c r="C16498" s="0" t="n">
        <v>5095783</v>
      </c>
      <c r="D16498" s="0" t="s">
        <v>54830</v>
      </c>
      <c r="E16498" s="0" t="s">
        <v>54831</v>
      </c>
      <c r="F16498" s="0" t="s">
        <v>15</v>
      </c>
      <c r="G16498" s="0" t="s">
        <v>16</v>
      </c>
      <c r="H16498" s="0" t="n">
        <v>129</v>
      </c>
      <c r="I16498" s="0" t="s">
        <v>54841</v>
      </c>
      <c r="J16498" s="0" t="s">
        <v>54842</v>
      </c>
      <c r="K16498" s="0" t="s">
        <v>54843</v>
      </c>
      <c r="L16498" s="0" t="str">
        <f aca="false">HYPERLINK("https://www.ncbi.nlm.nih.gov/nuccore/CP000058.1?report=graph&amp;tracks=[key:gene_model_track,Options:GeneOnly]&amp;mk=5095644:5095663|offset_9|444444,5095688:5095707|offset_53|444444,5095743:5095762|offset_108|444444,5095764:5095783|offset_129|00cc00&amp;v=5095443:5095983&amp;c=444444", "offset 129")</f>
        <v>offset 129</v>
      </c>
    </row>
    <row r="16499" customFormat="false" ht="12.8" hidden="false" customHeight="false" outlineLevel="0" collapsed="false">
      <c r="A16499" s="0" t="s">
        <v>12</v>
      </c>
      <c r="B16499" s="0" t="n">
        <v>5096852</v>
      </c>
      <c r="C16499" s="0" t="n">
        <v>5096872</v>
      </c>
      <c r="D16499" s="0" t="s">
        <v>54844</v>
      </c>
      <c r="E16499" s="0" t="s">
        <v>54845</v>
      </c>
      <c r="F16499" s="0" t="s">
        <v>15</v>
      </c>
      <c r="G16499" s="0" t="s">
        <v>16</v>
      </c>
      <c r="H16499" s="0" t="n">
        <v>16</v>
      </c>
      <c r="I16499" s="0" t="s">
        <v>54846</v>
      </c>
      <c r="J16499" s="0" t="s">
        <v>54847</v>
      </c>
      <c r="K16499" s="0" t="s">
        <v>54848</v>
      </c>
      <c r="L16499" s="0" t="str">
        <f aca="false">HYPERLINK("https://www.ncbi.nlm.nih.gov/nuccore/CP000058.1?report=graph&amp;tracks=[key:gene_model_track,Options:GeneOnly]&amp;mk=5096853:5096872|offset_16|00cc00,5096884:5096903|offset_47|444444,5096904:5096923|offset_67|444444,5096978:5096997|offset_141|444444&amp;v=5096652:5097197&amp;c=444444", "offset 16")</f>
        <v>offset 16</v>
      </c>
    </row>
    <row r="16500" customFormat="false" ht="12.8" hidden="false" customHeight="false" outlineLevel="0" collapsed="false">
      <c r="A16500" s="0" t="s">
        <v>12</v>
      </c>
      <c r="B16500" s="0" t="n">
        <v>5096883</v>
      </c>
      <c r="C16500" s="0" t="n">
        <v>5096903</v>
      </c>
      <c r="D16500" s="0" t="s">
        <v>54844</v>
      </c>
      <c r="E16500" s="0" t="s">
        <v>54845</v>
      </c>
      <c r="F16500" s="0" t="s">
        <v>15</v>
      </c>
      <c r="G16500" s="0" t="s">
        <v>20</v>
      </c>
      <c r="H16500" s="0" t="n">
        <v>47</v>
      </c>
      <c r="I16500" s="0" t="s">
        <v>54849</v>
      </c>
      <c r="J16500" s="0" t="s">
        <v>54850</v>
      </c>
      <c r="K16500" s="0" t="s">
        <v>54851</v>
      </c>
      <c r="L16500" s="0" t="str">
        <f aca="false">HYPERLINK("https://www.ncbi.nlm.nih.gov/nuccore/CP000058.1?report=graph&amp;tracks=[key:gene_model_track,Options:GeneOnly]&amp;mk=5096853:5096872|offset_16|444444,5096884:5096903|offset_47|00cc00,5096904:5096923|offset_67|444444,5096978:5096997|offset_141|444444&amp;v=5096652:5097197&amp;c=444444", "offset 47")</f>
        <v>offset 47</v>
      </c>
    </row>
    <row r="16501" customFormat="false" ht="12.8" hidden="false" customHeight="false" outlineLevel="0" collapsed="false">
      <c r="A16501" s="0" t="s">
        <v>12</v>
      </c>
      <c r="B16501" s="0" t="n">
        <v>5096903</v>
      </c>
      <c r="C16501" s="0" t="n">
        <v>5096923</v>
      </c>
      <c r="D16501" s="0" t="s">
        <v>54844</v>
      </c>
      <c r="E16501" s="0" t="s">
        <v>54845</v>
      </c>
      <c r="F16501" s="0" t="s">
        <v>15</v>
      </c>
      <c r="G16501" s="0" t="s">
        <v>32</v>
      </c>
      <c r="H16501" s="0" t="n">
        <v>67</v>
      </c>
      <c r="I16501" s="0" t="s">
        <v>54852</v>
      </c>
      <c r="J16501" s="0" t="s">
        <v>54853</v>
      </c>
      <c r="K16501" s="0" t="s">
        <v>54854</v>
      </c>
      <c r="L16501" s="0" t="str">
        <f aca="false">HYPERLINK("https://www.ncbi.nlm.nih.gov/nuccore/CP000058.1?report=graph&amp;tracks=[key:gene_model_track,Options:GeneOnly]&amp;mk=5096853:5096872|offset_16|444444,5096884:5096903|offset_47|444444,5096904:5096923|offset_67|00cc00,5096978:5096997|offset_141|444444&amp;v=5096652:5097197&amp;c=444444", "offset 67")</f>
        <v>offset 67</v>
      </c>
    </row>
    <row r="16502" customFormat="false" ht="12.8" hidden="false" customHeight="false" outlineLevel="0" collapsed="false">
      <c r="A16502" s="0" t="s">
        <v>12</v>
      </c>
      <c r="B16502" s="0" t="n">
        <v>5096977</v>
      </c>
      <c r="C16502" s="0" t="n">
        <v>5096997</v>
      </c>
      <c r="D16502" s="0" t="s">
        <v>54844</v>
      </c>
      <c r="E16502" s="0" t="s">
        <v>54845</v>
      </c>
      <c r="F16502" s="0" t="s">
        <v>15</v>
      </c>
      <c r="G16502" s="0" t="s">
        <v>36</v>
      </c>
      <c r="H16502" s="0" t="n">
        <v>141</v>
      </c>
      <c r="I16502" s="0" t="s">
        <v>54855</v>
      </c>
      <c r="J16502" s="0" t="s">
        <v>54856</v>
      </c>
      <c r="K16502" s="0" t="s">
        <v>54857</v>
      </c>
      <c r="L16502" s="0" t="str">
        <f aca="false">HYPERLINK("https://www.ncbi.nlm.nih.gov/nuccore/CP000058.1?report=graph&amp;tracks=[key:gene_model_track,Options:GeneOnly]&amp;mk=5096853:5096872|offset_16|444444,5096884:5096903|offset_47|444444,5096904:5096923|offset_67|444444,5096978:5096997|offset_141|00cc00&amp;v=5096652:5097197&amp;c=444444", "offset 141")</f>
        <v>offset 141</v>
      </c>
    </row>
    <row r="16503" customFormat="false" ht="12.8" hidden="false" customHeight="false" outlineLevel="0" collapsed="false">
      <c r="A16503" s="0" t="s">
        <v>12</v>
      </c>
      <c r="B16503" s="0" t="n">
        <v>5097979</v>
      </c>
      <c r="C16503" s="0" t="n">
        <v>5097999</v>
      </c>
      <c r="D16503" s="0" t="s">
        <v>54858</v>
      </c>
      <c r="E16503" s="0" t="s">
        <v>75</v>
      </c>
      <c r="F16503" s="0" t="s">
        <v>15</v>
      </c>
      <c r="G16503" s="0" t="s">
        <v>16</v>
      </c>
      <c r="H16503" s="0" t="n">
        <v>34</v>
      </c>
      <c r="I16503" s="0" t="s">
        <v>54859</v>
      </c>
      <c r="J16503" s="0" t="s">
        <v>54860</v>
      </c>
      <c r="K16503" s="0" t="s">
        <v>54861</v>
      </c>
      <c r="L16503" s="0" t="str">
        <f aca="false">HYPERLINK("https://www.ncbi.nlm.nih.gov/nuccore/CP000058.1?report=graph&amp;tracks=[key:gene_model_track,Options:GeneOnly]&amp;mk=5097980:5097999|offset_34|00cc00,5098012:5098031|offset_66|444444,5098051:5098070|offset_105|444444,5098125:5098144|offset_179|444444&amp;v=5097779:5098344&amp;c=444444", "offset 34")</f>
        <v>offset 34</v>
      </c>
    </row>
    <row r="16504" customFormat="false" ht="12.8" hidden="false" customHeight="false" outlineLevel="0" collapsed="false">
      <c r="A16504" s="0" t="s">
        <v>12</v>
      </c>
      <c r="B16504" s="0" t="n">
        <v>5098011</v>
      </c>
      <c r="C16504" s="0" t="n">
        <v>5098031</v>
      </c>
      <c r="D16504" s="0" t="s">
        <v>54858</v>
      </c>
      <c r="E16504" s="0" t="s">
        <v>75</v>
      </c>
      <c r="F16504" s="0" t="s">
        <v>15</v>
      </c>
      <c r="G16504" s="0" t="s">
        <v>20</v>
      </c>
      <c r="H16504" s="0" t="n">
        <v>66</v>
      </c>
      <c r="I16504" s="0" t="s">
        <v>54862</v>
      </c>
      <c r="J16504" s="0" t="s">
        <v>54863</v>
      </c>
      <c r="K16504" s="0" t="s">
        <v>54864</v>
      </c>
      <c r="L16504" s="0" t="str">
        <f aca="false">HYPERLINK("https://www.ncbi.nlm.nih.gov/nuccore/CP000058.1?report=graph&amp;tracks=[key:gene_model_track,Options:GeneOnly]&amp;mk=5097980:5097999|offset_34|444444,5098012:5098031|offset_66|00cc00,5098051:5098070|offset_105|444444,5098125:5098144|offset_179|444444&amp;v=5097779:5098344&amp;c=444444", "offset 66")</f>
        <v>offset 66</v>
      </c>
    </row>
    <row r="16505" customFormat="false" ht="12.8" hidden="false" customHeight="false" outlineLevel="0" collapsed="false">
      <c r="A16505" s="0" t="s">
        <v>12</v>
      </c>
      <c r="B16505" s="0" t="n">
        <v>5098050</v>
      </c>
      <c r="C16505" s="0" t="n">
        <v>5098070</v>
      </c>
      <c r="D16505" s="0" t="s">
        <v>54858</v>
      </c>
      <c r="E16505" s="0" t="s">
        <v>75</v>
      </c>
      <c r="F16505" s="0" t="s">
        <v>15</v>
      </c>
      <c r="G16505" s="0" t="s">
        <v>16</v>
      </c>
      <c r="H16505" s="0" t="n">
        <v>105</v>
      </c>
      <c r="I16505" s="0" t="s">
        <v>54865</v>
      </c>
      <c r="J16505" s="0" t="s">
        <v>54866</v>
      </c>
      <c r="K16505" s="0" t="s">
        <v>54867</v>
      </c>
      <c r="L16505" s="0" t="str">
        <f aca="false">HYPERLINK("https://www.ncbi.nlm.nih.gov/nuccore/CP000058.1?report=graph&amp;tracks=[key:gene_model_track,Options:GeneOnly]&amp;mk=5097980:5097999|offset_34|444444,5098012:5098031|offset_66|444444,5098051:5098070|offset_105|00cc00,5098125:5098144|offset_179|444444&amp;v=5097779:5098344&amp;c=444444", "offset 105")</f>
        <v>offset 105</v>
      </c>
    </row>
    <row r="16506" customFormat="false" ht="12.8" hidden="false" customHeight="false" outlineLevel="0" collapsed="false">
      <c r="A16506" s="0" t="s">
        <v>12</v>
      </c>
      <c r="B16506" s="0" t="n">
        <v>5098124</v>
      </c>
      <c r="C16506" s="0" t="n">
        <v>5098144</v>
      </c>
      <c r="D16506" s="0" t="s">
        <v>54858</v>
      </c>
      <c r="E16506" s="0" t="s">
        <v>75</v>
      </c>
      <c r="F16506" s="0" t="s">
        <v>15</v>
      </c>
      <c r="G16506" s="0" t="s">
        <v>32</v>
      </c>
      <c r="H16506" s="0" t="n">
        <v>179</v>
      </c>
      <c r="I16506" s="0" t="s">
        <v>54868</v>
      </c>
      <c r="J16506" s="0" t="s">
        <v>54869</v>
      </c>
      <c r="K16506" s="0" t="s">
        <v>54870</v>
      </c>
      <c r="L16506" s="0" t="str">
        <f aca="false">HYPERLINK("https://www.ncbi.nlm.nih.gov/nuccore/CP000058.1?report=graph&amp;tracks=[key:gene_model_track,Options:GeneOnly]&amp;mk=5097980:5097999|offset_34|444444,5098012:5098031|offset_66|444444,5098051:5098070|offset_105|444444,5098125:5098144|offset_179|00cc00&amp;v=5097779:5098344&amp;c=444444", "offset 179")</f>
        <v>offset 179</v>
      </c>
    </row>
    <row r="16507" customFormat="false" ht="12.8" hidden="false" customHeight="false" outlineLevel="0" collapsed="false">
      <c r="A16507" s="0" t="s">
        <v>12</v>
      </c>
      <c r="B16507" s="0" t="n">
        <v>5099205</v>
      </c>
      <c r="C16507" s="0" t="n">
        <v>5099225</v>
      </c>
      <c r="D16507" s="0" t="s">
        <v>54871</v>
      </c>
      <c r="E16507" s="0" t="s">
        <v>75</v>
      </c>
      <c r="F16507" s="0" t="s">
        <v>90</v>
      </c>
      <c r="G16507" s="0" t="s">
        <v>16</v>
      </c>
      <c r="H16507" s="0" t="n">
        <v>49</v>
      </c>
      <c r="I16507" s="0" t="s">
        <v>54872</v>
      </c>
      <c r="J16507" s="0" t="s">
        <v>54873</v>
      </c>
      <c r="K16507" s="0" t="s">
        <v>54874</v>
      </c>
      <c r="L16507" s="0" t="str">
        <f aca="false">HYPERLINK("https://www.ncbi.nlm.nih.gov/nuccore/CP000058.1?report=graph&amp;tracks=[key:gene_model_track,Options:GeneOnly]&amp;mk=5099206:5099225|offset_49|00cc00,5099179:5099198|offset_76|444444,5099156:5099175|offset_99|444444,5099100:5099119|offset_155|444444&amp;v=5099005:5099319&amp;c=444444", "offset 49")</f>
        <v>offset 49</v>
      </c>
    </row>
    <row r="16508" customFormat="false" ht="12.8" hidden="false" customHeight="false" outlineLevel="0" collapsed="false">
      <c r="A16508" s="0" t="s">
        <v>12</v>
      </c>
      <c r="B16508" s="0" t="n">
        <v>5099178</v>
      </c>
      <c r="C16508" s="0" t="n">
        <v>5099198</v>
      </c>
      <c r="D16508" s="0" t="s">
        <v>54871</v>
      </c>
      <c r="E16508" s="0" t="s">
        <v>75</v>
      </c>
      <c r="F16508" s="0" t="s">
        <v>90</v>
      </c>
      <c r="G16508" s="0" t="s">
        <v>16</v>
      </c>
      <c r="H16508" s="0" t="n">
        <v>76</v>
      </c>
      <c r="I16508" s="0" t="s">
        <v>54875</v>
      </c>
      <c r="J16508" s="0" t="s">
        <v>54876</v>
      </c>
      <c r="K16508" s="0" t="s">
        <v>54877</v>
      </c>
      <c r="L16508" s="0" t="str">
        <f aca="false">HYPERLINK("https://www.ncbi.nlm.nih.gov/nuccore/CP000058.1?report=graph&amp;tracks=[key:gene_model_track,Options:GeneOnly]&amp;mk=5099206:5099225|offset_49|444444,5099179:5099198|offset_76|00cc00,5099156:5099175|offset_99|444444,5099100:5099119|offset_155|444444&amp;v=5099005:5099319&amp;c=444444", "offset 76")</f>
        <v>offset 76</v>
      </c>
    </row>
    <row r="16509" customFormat="false" ht="12.8" hidden="false" customHeight="false" outlineLevel="0" collapsed="false">
      <c r="A16509" s="0" t="s">
        <v>12</v>
      </c>
      <c r="B16509" s="0" t="n">
        <v>5099155</v>
      </c>
      <c r="C16509" s="0" t="n">
        <v>5099175</v>
      </c>
      <c r="D16509" s="0" t="s">
        <v>54871</v>
      </c>
      <c r="E16509" s="0" t="s">
        <v>75</v>
      </c>
      <c r="F16509" s="0" t="s">
        <v>90</v>
      </c>
      <c r="G16509" s="0" t="s">
        <v>20</v>
      </c>
      <c r="H16509" s="0" t="n">
        <v>99</v>
      </c>
      <c r="I16509" s="0" t="s">
        <v>54878</v>
      </c>
      <c r="J16509" s="0" t="s">
        <v>54879</v>
      </c>
      <c r="K16509" s="0" t="s">
        <v>54880</v>
      </c>
      <c r="L16509" s="0" t="str">
        <f aca="false">HYPERLINK("https://www.ncbi.nlm.nih.gov/nuccore/CP000058.1?report=graph&amp;tracks=[key:gene_model_track,Options:GeneOnly]&amp;mk=5099206:5099225|offset_49|444444,5099179:5099198|offset_76|444444,5099156:5099175|offset_99|00cc00,5099100:5099119|offset_155|444444&amp;v=5099005:5099319&amp;c=444444", "offset 99")</f>
        <v>offset 99</v>
      </c>
    </row>
    <row r="16510" customFormat="false" ht="12.8" hidden="false" customHeight="false" outlineLevel="0" collapsed="false">
      <c r="A16510" s="0" t="s">
        <v>12</v>
      </c>
      <c r="B16510" s="0" t="n">
        <v>5099099</v>
      </c>
      <c r="C16510" s="0" t="n">
        <v>5099119</v>
      </c>
      <c r="D16510" s="0" t="s">
        <v>54871</v>
      </c>
      <c r="E16510" s="0" t="s">
        <v>75</v>
      </c>
      <c r="F16510" s="0" t="s">
        <v>90</v>
      </c>
      <c r="G16510" s="0" t="s">
        <v>32</v>
      </c>
      <c r="H16510" s="0" t="n">
        <v>155</v>
      </c>
      <c r="I16510" s="0" t="s">
        <v>54881</v>
      </c>
      <c r="J16510" s="0" t="s">
        <v>54882</v>
      </c>
      <c r="K16510" s="0" t="s">
        <v>54883</v>
      </c>
      <c r="L16510" s="0" t="str">
        <f aca="false">HYPERLINK("https://www.ncbi.nlm.nih.gov/nuccore/CP000058.1?report=graph&amp;tracks=[key:gene_model_track,Options:GeneOnly]&amp;mk=5099206:5099225|offset_49|444444,5099179:5099198|offset_76|444444,5099156:5099175|offset_99|444444,5099100:5099119|offset_155|00cc00&amp;v=5099005:5099319&amp;c=444444", "offset 155")</f>
        <v>offset 155</v>
      </c>
    </row>
    <row r="16511" customFormat="false" ht="12.8" hidden="false" customHeight="false" outlineLevel="0" collapsed="false">
      <c r="A16511" s="0" t="s">
        <v>12</v>
      </c>
      <c r="B16511" s="0" t="n">
        <v>5099438</v>
      </c>
      <c r="C16511" s="0" t="n">
        <v>5099458</v>
      </c>
      <c r="D16511" s="0" t="s">
        <v>54884</v>
      </c>
      <c r="E16511" s="0" t="s">
        <v>75</v>
      </c>
      <c r="F16511" s="0" t="s">
        <v>15</v>
      </c>
      <c r="G16511" s="0" t="s">
        <v>20</v>
      </c>
      <c r="H16511" s="0" t="n">
        <v>20</v>
      </c>
      <c r="I16511" s="0" t="s">
        <v>54885</v>
      </c>
      <c r="J16511" s="0" t="s">
        <v>54886</v>
      </c>
      <c r="K16511" s="0" t="s">
        <v>54887</v>
      </c>
      <c r="L16511" s="0" t="str">
        <f aca="false">HYPERLINK("https://www.ncbi.nlm.nih.gov/nuccore/CP000058.1?report=graph&amp;tracks=[key:gene_model_track,Options:GeneOnly]&amp;mk=5099439:5099458|offset_20|00cc00,5099461:5099480|offset_42|444444,5099481:5099500|offset_62|444444,5099514:5099533|offset_95|444444&amp;v=5099238:5099733&amp;c=444444", "offset 20")</f>
        <v>offset 20</v>
      </c>
    </row>
    <row r="16512" customFormat="false" ht="12.8" hidden="false" customHeight="false" outlineLevel="0" collapsed="false">
      <c r="A16512" s="0" t="s">
        <v>12</v>
      </c>
      <c r="B16512" s="0" t="n">
        <v>5099460</v>
      </c>
      <c r="C16512" s="0" t="n">
        <v>5099480</v>
      </c>
      <c r="D16512" s="0" t="s">
        <v>54884</v>
      </c>
      <c r="E16512" s="0" t="s">
        <v>75</v>
      </c>
      <c r="F16512" s="0" t="s">
        <v>15</v>
      </c>
      <c r="G16512" s="0" t="s">
        <v>32</v>
      </c>
      <c r="H16512" s="0" t="n">
        <v>42</v>
      </c>
      <c r="I16512" s="0" t="s">
        <v>54888</v>
      </c>
      <c r="J16512" s="0" t="s">
        <v>54889</v>
      </c>
      <c r="K16512" s="0" t="s">
        <v>54890</v>
      </c>
      <c r="L16512" s="0" t="str">
        <f aca="false">HYPERLINK("https://www.ncbi.nlm.nih.gov/nuccore/CP000058.1?report=graph&amp;tracks=[key:gene_model_track,Options:GeneOnly]&amp;mk=5099439:5099458|offset_20|444444,5099461:5099480|offset_42|00cc00,5099481:5099500|offset_62|444444,5099514:5099533|offset_95|444444&amp;v=5099238:5099733&amp;c=444444", "offset 42")</f>
        <v>offset 42</v>
      </c>
    </row>
    <row r="16513" customFormat="false" ht="12.8" hidden="false" customHeight="false" outlineLevel="0" collapsed="false">
      <c r="A16513" s="0" t="s">
        <v>12</v>
      </c>
      <c r="B16513" s="0" t="n">
        <v>5099480</v>
      </c>
      <c r="C16513" s="0" t="n">
        <v>5099500</v>
      </c>
      <c r="D16513" s="0" t="s">
        <v>54884</v>
      </c>
      <c r="E16513" s="0" t="s">
        <v>75</v>
      </c>
      <c r="F16513" s="0" t="s">
        <v>15</v>
      </c>
      <c r="G16513" s="0" t="s">
        <v>32</v>
      </c>
      <c r="H16513" s="0" t="n">
        <v>62</v>
      </c>
      <c r="I16513" s="0" t="s">
        <v>54891</v>
      </c>
      <c r="J16513" s="0" t="s">
        <v>54892</v>
      </c>
      <c r="K16513" s="0" t="s">
        <v>54893</v>
      </c>
      <c r="L16513" s="0" t="str">
        <f aca="false">HYPERLINK("https://www.ncbi.nlm.nih.gov/nuccore/CP000058.1?report=graph&amp;tracks=[key:gene_model_track,Options:GeneOnly]&amp;mk=5099439:5099458|offset_20|444444,5099461:5099480|offset_42|444444,5099481:5099500|offset_62|00cc00,5099514:5099533|offset_95|444444&amp;v=5099238:5099733&amp;c=444444", "offset 62")</f>
        <v>offset 62</v>
      </c>
    </row>
    <row r="16514" customFormat="false" ht="12.8" hidden="false" customHeight="false" outlineLevel="0" collapsed="false">
      <c r="A16514" s="0" t="s">
        <v>12</v>
      </c>
      <c r="B16514" s="0" t="n">
        <v>5099513</v>
      </c>
      <c r="C16514" s="0" t="n">
        <v>5099533</v>
      </c>
      <c r="D16514" s="0" t="s">
        <v>54884</v>
      </c>
      <c r="E16514" s="0" t="s">
        <v>75</v>
      </c>
      <c r="F16514" s="0" t="s">
        <v>15</v>
      </c>
      <c r="G16514" s="0" t="s">
        <v>32</v>
      </c>
      <c r="H16514" s="0" t="n">
        <v>95</v>
      </c>
      <c r="I16514" s="0" t="s">
        <v>54894</v>
      </c>
      <c r="J16514" s="0" t="s">
        <v>54895</v>
      </c>
      <c r="K16514" s="0" t="s">
        <v>54896</v>
      </c>
      <c r="L16514" s="0" t="str">
        <f aca="false">HYPERLINK("https://www.ncbi.nlm.nih.gov/nuccore/CP000058.1?report=graph&amp;tracks=[key:gene_model_track,Options:GeneOnly]&amp;mk=5099439:5099458|offset_20|444444,5099461:5099480|offset_42|444444,5099481:5099500|offset_62|444444,5099514:5099533|offset_95|00cc00&amp;v=5099238:5099733&amp;c=444444", "offset 95")</f>
        <v>offset 95</v>
      </c>
    </row>
    <row r="16515" customFormat="false" ht="12.8" hidden="false" customHeight="false" outlineLevel="0" collapsed="false">
      <c r="A16515" s="0" t="s">
        <v>12</v>
      </c>
      <c r="B16515" s="0" t="n">
        <v>5099910</v>
      </c>
      <c r="C16515" s="0" t="n">
        <v>5099930</v>
      </c>
      <c r="D16515" s="0" t="s">
        <v>54897</v>
      </c>
      <c r="E16515" s="0" t="s">
        <v>75</v>
      </c>
      <c r="F16515" s="0" t="s">
        <v>15</v>
      </c>
      <c r="G16515" s="0" t="s">
        <v>16</v>
      </c>
      <c r="H16515" s="0" t="n">
        <v>98</v>
      </c>
      <c r="I16515" s="0" t="s">
        <v>54898</v>
      </c>
      <c r="J16515" s="0" t="s">
        <v>54899</v>
      </c>
      <c r="K16515" s="0" t="s">
        <v>54900</v>
      </c>
      <c r="L16515" s="0" t="str">
        <f aca="false">HYPERLINK("https://www.ncbi.nlm.nih.gov/nuccore/CP000058.1?report=graph&amp;tracks=[key:gene_model_track,Options:GeneOnly]&amp;mk=5099911:5099930|offset_98|00cc00,5099931:5099950|offset_118|444444,5099962:5099981|offset_149|444444,5099993:5100012|offset_180|444444&amp;v=5099710:5100212&amp;c=444444", "offset 98")</f>
        <v>offset 98</v>
      </c>
    </row>
    <row r="16516" customFormat="false" ht="12.8" hidden="false" customHeight="false" outlineLevel="0" collapsed="false">
      <c r="A16516" s="0" t="s">
        <v>12</v>
      </c>
      <c r="B16516" s="0" t="n">
        <v>5099930</v>
      </c>
      <c r="C16516" s="0" t="n">
        <v>5099950</v>
      </c>
      <c r="D16516" s="0" t="s">
        <v>54897</v>
      </c>
      <c r="E16516" s="0" t="s">
        <v>75</v>
      </c>
      <c r="F16516" s="0" t="s">
        <v>15</v>
      </c>
      <c r="G16516" s="0" t="s">
        <v>32</v>
      </c>
      <c r="H16516" s="0" t="n">
        <v>118</v>
      </c>
      <c r="I16516" s="0" t="s">
        <v>54901</v>
      </c>
      <c r="J16516" s="0" t="s">
        <v>54902</v>
      </c>
      <c r="K16516" s="0" t="s">
        <v>54903</v>
      </c>
      <c r="L16516" s="0" t="str">
        <f aca="false">HYPERLINK("https://www.ncbi.nlm.nih.gov/nuccore/CP000058.1?report=graph&amp;tracks=[key:gene_model_track,Options:GeneOnly]&amp;mk=5099911:5099930|offset_98|444444,5099931:5099950|offset_118|00cc00,5099962:5099981|offset_149|444444,5099993:5100012|offset_180|444444&amp;v=5099710:5100212&amp;c=444444", "offset 118")</f>
        <v>offset 118</v>
      </c>
    </row>
    <row r="16517" customFormat="false" ht="12.8" hidden="false" customHeight="false" outlineLevel="0" collapsed="false">
      <c r="A16517" s="0" t="s">
        <v>12</v>
      </c>
      <c r="B16517" s="0" t="n">
        <v>5099961</v>
      </c>
      <c r="C16517" s="0" t="n">
        <v>5099981</v>
      </c>
      <c r="D16517" s="0" t="s">
        <v>54897</v>
      </c>
      <c r="E16517" s="0" t="s">
        <v>75</v>
      </c>
      <c r="F16517" s="0" t="s">
        <v>15</v>
      </c>
      <c r="G16517" s="0" t="s">
        <v>20</v>
      </c>
      <c r="H16517" s="0" t="n">
        <v>149</v>
      </c>
      <c r="I16517" s="0" t="s">
        <v>54904</v>
      </c>
      <c r="J16517" s="0" t="s">
        <v>54905</v>
      </c>
      <c r="K16517" s="0" t="s">
        <v>54906</v>
      </c>
      <c r="L16517" s="0" t="str">
        <f aca="false">HYPERLINK("https://www.ncbi.nlm.nih.gov/nuccore/CP000058.1?report=graph&amp;tracks=[key:gene_model_track,Options:GeneOnly]&amp;mk=5099911:5099930|offset_98|444444,5099931:5099950|offset_118|444444,5099962:5099981|offset_149|00cc00,5099993:5100012|offset_180|444444&amp;v=5099710:5100212&amp;c=444444", "offset 149")</f>
        <v>offset 149</v>
      </c>
    </row>
    <row r="16518" customFormat="false" ht="12.8" hidden="false" customHeight="false" outlineLevel="0" collapsed="false">
      <c r="A16518" s="0" t="s">
        <v>12</v>
      </c>
      <c r="B16518" s="0" t="n">
        <v>5099992</v>
      </c>
      <c r="C16518" s="0" t="n">
        <v>5100012</v>
      </c>
      <c r="D16518" s="0" t="s">
        <v>54897</v>
      </c>
      <c r="E16518" s="0" t="s">
        <v>75</v>
      </c>
      <c r="F16518" s="0" t="s">
        <v>15</v>
      </c>
      <c r="G16518" s="0" t="s">
        <v>32</v>
      </c>
      <c r="H16518" s="0" t="n">
        <v>180</v>
      </c>
      <c r="I16518" s="0" t="s">
        <v>54907</v>
      </c>
      <c r="J16518" s="0" t="s">
        <v>54908</v>
      </c>
      <c r="K16518" s="0" t="s">
        <v>54909</v>
      </c>
      <c r="L16518" s="0" t="str">
        <f aca="false">HYPERLINK("https://www.ncbi.nlm.nih.gov/nuccore/CP000058.1?report=graph&amp;tracks=[key:gene_model_track,Options:GeneOnly]&amp;mk=5099911:5099930|offset_98|444444,5099931:5099950|offset_118|444444,5099962:5099981|offset_149|444444,5099993:5100012|offset_180|00cc00&amp;v=5099710:5100212&amp;c=444444", "offset 180")</f>
        <v>offset 180</v>
      </c>
    </row>
    <row r="16519" customFormat="false" ht="12.8" hidden="false" customHeight="false" outlineLevel="0" collapsed="false">
      <c r="A16519" s="0" t="s">
        <v>12</v>
      </c>
      <c r="B16519" s="0" t="n">
        <v>5100419</v>
      </c>
      <c r="C16519" s="0" t="n">
        <v>5100439</v>
      </c>
      <c r="D16519" s="0" t="s">
        <v>54910</v>
      </c>
      <c r="E16519" s="0" t="s">
        <v>75</v>
      </c>
      <c r="F16519" s="0" t="s">
        <v>15</v>
      </c>
      <c r="G16519" s="0" t="s">
        <v>32</v>
      </c>
      <c r="H16519" s="0" t="n">
        <v>7</v>
      </c>
      <c r="I16519" s="0" t="s">
        <v>54911</v>
      </c>
      <c r="J16519" s="0" t="s">
        <v>54912</v>
      </c>
      <c r="K16519" s="0" t="s">
        <v>54913</v>
      </c>
      <c r="L16519" s="0" t="str">
        <f aca="false">HYPERLINK("https://www.ncbi.nlm.nih.gov/nuccore/CP000058.1?report=graph&amp;tracks=[key:gene_model_track,Options:GeneOnly]&amp;mk=5100420:5100439|offset_7|00cc00,5100445:5100464|offset_32|444444,5100488:5100507|offset_75|444444,5100513:5100532|offset_100|444444&amp;v=5100219:5100732&amp;c=444444", "offset 7")</f>
        <v>offset 7</v>
      </c>
    </row>
    <row r="16520" customFormat="false" ht="12.8" hidden="false" customHeight="false" outlineLevel="0" collapsed="false">
      <c r="A16520" s="0" t="s">
        <v>12</v>
      </c>
      <c r="B16520" s="0" t="n">
        <v>5100444</v>
      </c>
      <c r="C16520" s="0" t="n">
        <v>5100464</v>
      </c>
      <c r="D16520" s="0" t="s">
        <v>54910</v>
      </c>
      <c r="E16520" s="0" t="s">
        <v>75</v>
      </c>
      <c r="F16520" s="0" t="s">
        <v>15</v>
      </c>
      <c r="G16520" s="0" t="s">
        <v>20</v>
      </c>
      <c r="H16520" s="0" t="n">
        <v>32</v>
      </c>
      <c r="I16520" s="0" t="s">
        <v>54914</v>
      </c>
      <c r="J16520" s="0" t="s">
        <v>54915</v>
      </c>
      <c r="K16520" s="0" t="s">
        <v>54916</v>
      </c>
      <c r="L16520" s="0" t="str">
        <f aca="false">HYPERLINK("https://www.ncbi.nlm.nih.gov/nuccore/CP000058.1?report=graph&amp;tracks=[key:gene_model_track,Options:GeneOnly]&amp;mk=5100420:5100439|offset_7|444444,5100445:5100464|offset_32|00cc00,5100488:5100507|offset_75|444444,5100513:5100532|offset_100|444444&amp;v=5100219:5100732&amp;c=444444", "offset 32")</f>
        <v>offset 32</v>
      </c>
    </row>
    <row r="16521" customFormat="false" ht="12.8" hidden="false" customHeight="false" outlineLevel="0" collapsed="false">
      <c r="A16521" s="0" t="s">
        <v>12</v>
      </c>
      <c r="B16521" s="0" t="n">
        <v>5100487</v>
      </c>
      <c r="C16521" s="0" t="n">
        <v>5100507</v>
      </c>
      <c r="D16521" s="0" t="s">
        <v>54910</v>
      </c>
      <c r="E16521" s="0" t="s">
        <v>75</v>
      </c>
      <c r="F16521" s="0" t="s">
        <v>15</v>
      </c>
      <c r="G16521" s="0" t="s">
        <v>16</v>
      </c>
      <c r="H16521" s="0" t="n">
        <v>75</v>
      </c>
      <c r="I16521" s="0" t="s">
        <v>54917</v>
      </c>
      <c r="J16521" s="0" t="s">
        <v>54918</v>
      </c>
      <c r="K16521" s="0" t="s">
        <v>54919</v>
      </c>
      <c r="L16521" s="0" t="str">
        <f aca="false">HYPERLINK("https://www.ncbi.nlm.nih.gov/nuccore/CP000058.1?report=graph&amp;tracks=[key:gene_model_track,Options:GeneOnly]&amp;mk=5100420:5100439|offset_7|444444,5100445:5100464|offset_32|444444,5100488:5100507|offset_75|00cc00,5100513:5100532|offset_100|444444&amp;v=5100219:5100732&amp;c=444444", "offset 75")</f>
        <v>offset 75</v>
      </c>
    </row>
    <row r="16522" customFormat="false" ht="12.8" hidden="false" customHeight="false" outlineLevel="0" collapsed="false">
      <c r="A16522" s="0" t="s">
        <v>12</v>
      </c>
      <c r="B16522" s="0" t="n">
        <v>5100512</v>
      </c>
      <c r="C16522" s="0" t="n">
        <v>5100532</v>
      </c>
      <c r="D16522" s="0" t="s">
        <v>54910</v>
      </c>
      <c r="E16522" s="0" t="s">
        <v>75</v>
      </c>
      <c r="F16522" s="0" t="s">
        <v>15</v>
      </c>
      <c r="G16522" s="0" t="s">
        <v>16</v>
      </c>
      <c r="H16522" s="0" t="n">
        <v>100</v>
      </c>
      <c r="I16522" s="0" t="s">
        <v>54920</v>
      </c>
      <c r="J16522" s="0" t="s">
        <v>54921</v>
      </c>
      <c r="K16522" s="0" t="s">
        <v>54922</v>
      </c>
      <c r="L16522" s="0" t="str">
        <f aca="false">HYPERLINK("https://www.ncbi.nlm.nih.gov/nuccore/CP000058.1?report=graph&amp;tracks=[key:gene_model_track,Options:GeneOnly]&amp;mk=5100420:5100439|offset_7|444444,5100445:5100464|offset_32|444444,5100488:5100507|offset_75|444444,5100513:5100532|offset_100|00cc00&amp;v=5100219:5100732&amp;c=444444", "offset 100")</f>
        <v>offset 100</v>
      </c>
    </row>
    <row r="16523" customFormat="false" ht="12.8" hidden="false" customHeight="false" outlineLevel="0" collapsed="false">
      <c r="A16523" s="0" t="s">
        <v>12</v>
      </c>
      <c r="B16523" s="0" t="n">
        <v>5102034</v>
      </c>
      <c r="C16523" s="0" t="n">
        <v>5102054</v>
      </c>
      <c r="D16523" s="0" t="s">
        <v>54923</v>
      </c>
      <c r="E16523" s="0" t="s">
        <v>75</v>
      </c>
      <c r="F16523" s="0" t="s">
        <v>15</v>
      </c>
      <c r="G16523" s="0" t="s">
        <v>32</v>
      </c>
      <c r="H16523" s="0" t="n">
        <v>1</v>
      </c>
      <c r="I16523" s="0" t="s">
        <v>54924</v>
      </c>
      <c r="J16523" s="0" t="s">
        <v>54925</v>
      </c>
      <c r="K16523" s="0" t="s">
        <v>54926</v>
      </c>
      <c r="L16523" s="0" t="str">
        <f aca="false">HYPERLINK("https://www.ncbi.nlm.nih.gov/nuccore/CP000058.1?report=graph&amp;tracks=[key:gene_model_track,Options:GeneOnly]&amp;mk=5102035:5102054|offset_1|00cc00,5102064:5102083|offset_30|444444,5102086:5102105|offset_52|444444,5102123:5102142|offset_89|444444&amp;v=5101834:5102342&amp;c=444444", "offset 1")</f>
        <v>offset 1</v>
      </c>
    </row>
    <row r="16524" customFormat="false" ht="12.8" hidden="false" customHeight="false" outlineLevel="0" collapsed="false">
      <c r="A16524" s="0" t="s">
        <v>12</v>
      </c>
      <c r="B16524" s="0" t="n">
        <v>5102063</v>
      </c>
      <c r="C16524" s="0" t="n">
        <v>5102083</v>
      </c>
      <c r="D16524" s="0" t="s">
        <v>54923</v>
      </c>
      <c r="E16524" s="0" t="s">
        <v>75</v>
      </c>
      <c r="F16524" s="0" t="s">
        <v>15</v>
      </c>
      <c r="G16524" s="0" t="s">
        <v>32</v>
      </c>
      <c r="H16524" s="0" t="n">
        <v>30</v>
      </c>
      <c r="I16524" s="0" t="s">
        <v>54927</v>
      </c>
      <c r="J16524" s="0" t="s">
        <v>54928</v>
      </c>
      <c r="K16524" s="0" t="s">
        <v>54929</v>
      </c>
      <c r="L16524" s="0" t="str">
        <f aca="false">HYPERLINK("https://www.ncbi.nlm.nih.gov/nuccore/CP000058.1?report=graph&amp;tracks=[key:gene_model_track,Options:GeneOnly]&amp;mk=5102035:5102054|offset_1|444444,5102064:5102083|offset_30|00cc00,5102086:5102105|offset_52|444444,5102123:5102142|offset_89|444444&amp;v=5101834:5102342&amp;c=444444", "offset 30")</f>
        <v>offset 30</v>
      </c>
    </row>
    <row r="16525" customFormat="false" ht="12.8" hidden="false" customHeight="false" outlineLevel="0" collapsed="false">
      <c r="A16525" s="0" t="s">
        <v>12</v>
      </c>
      <c r="B16525" s="0" t="n">
        <v>5102085</v>
      </c>
      <c r="C16525" s="0" t="n">
        <v>5102105</v>
      </c>
      <c r="D16525" s="0" t="s">
        <v>54923</v>
      </c>
      <c r="E16525" s="0" t="s">
        <v>75</v>
      </c>
      <c r="F16525" s="0" t="s">
        <v>15</v>
      </c>
      <c r="G16525" s="0" t="s">
        <v>32</v>
      </c>
      <c r="H16525" s="0" t="n">
        <v>52</v>
      </c>
      <c r="I16525" s="0" t="s">
        <v>54930</v>
      </c>
      <c r="J16525" s="0" t="s">
        <v>54931</v>
      </c>
      <c r="K16525" s="0" t="s">
        <v>54932</v>
      </c>
      <c r="L16525" s="0" t="str">
        <f aca="false">HYPERLINK("https://www.ncbi.nlm.nih.gov/nuccore/CP000058.1?report=graph&amp;tracks=[key:gene_model_track,Options:GeneOnly]&amp;mk=5102035:5102054|offset_1|444444,5102064:5102083|offset_30|444444,5102086:5102105|offset_52|00cc00,5102123:5102142|offset_89|444444&amp;v=5101834:5102342&amp;c=444444", "offset 52")</f>
        <v>offset 52</v>
      </c>
    </row>
    <row r="16526" customFormat="false" ht="12.8" hidden="false" customHeight="false" outlineLevel="0" collapsed="false">
      <c r="A16526" s="0" t="s">
        <v>12</v>
      </c>
      <c r="B16526" s="0" t="n">
        <v>5102122</v>
      </c>
      <c r="C16526" s="0" t="n">
        <v>5102142</v>
      </c>
      <c r="D16526" s="0" t="s">
        <v>54923</v>
      </c>
      <c r="E16526" s="0" t="s">
        <v>75</v>
      </c>
      <c r="F16526" s="0" t="s">
        <v>15</v>
      </c>
      <c r="G16526" s="0" t="s">
        <v>32</v>
      </c>
      <c r="H16526" s="0" t="n">
        <v>89</v>
      </c>
      <c r="I16526" s="0" t="s">
        <v>54933</v>
      </c>
      <c r="J16526" s="0" t="s">
        <v>54934</v>
      </c>
      <c r="K16526" s="0" t="s">
        <v>54935</v>
      </c>
      <c r="L16526" s="0" t="str">
        <f aca="false">HYPERLINK("https://www.ncbi.nlm.nih.gov/nuccore/CP000058.1?report=graph&amp;tracks=[key:gene_model_track,Options:GeneOnly]&amp;mk=5102035:5102054|offset_1|444444,5102064:5102083|offset_30|444444,5102086:5102105|offset_52|444444,5102123:5102142|offset_89|00cc00&amp;v=5101834:5102342&amp;c=444444", "offset 89")</f>
        <v>offset 89</v>
      </c>
    </row>
    <row r="16527" customFormat="false" ht="12.8" hidden="false" customHeight="false" outlineLevel="0" collapsed="false">
      <c r="A16527" s="0" t="s">
        <v>12</v>
      </c>
      <c r="B16527" s="0" t="n">
        <v>5105744</v>
      </c>
      <c r="C16527" s="0" t="n">
        <v>5105764</v>
      </c>
      <c r="D16527" s="0" t="s">
        <v>54936</v>
      </c>
      <c r="E16527" s="0" t="s">
        <v>75</v>
      </c>
      <c r="F16527" s="0" t="s">
        <v>15</v>
      </c>
      <c r="G16527" s="0" t="s">
        <v>20</v>
      </c>
      <c r="H16527" s="0" t="n">
        <v>17</v>
      </c>
      <c r="I16527" s="0" t="s">
        <v>54937</v>
      </c>
      <c r="J16527" s="0" t="s">
        <v>54938</v>
      </c>
      <c r="K16527" s="0" t="s">
        <v>54939</v>
      </c>
      <c r="L16527" s="0" t="str">
        <f aca="false">HYPERLINK("https://www.ncbi.nlm.nih.gov/nuccore/CP000058.1?report=graph&amp;tracks=[key:gene_model_track,Options:GeneOnly]&amp;mk=5105745:5105764|offset_17|00cc00,5105768:5105787|offset_40|444444,5105795:5105814|offset_67|444444,5105819:5105838|offset_91|444444&amp;v=5105544:5106038&amp;c=444444", "offset 17")</f>
        <v>offset 17</v>
      </c>
    </row>
    <row r="16528" customFormat="false" ht="12.8" hidden="false" customHeight="false" outlineLevel="0" collapsed="false">
      <c r="A16528" s="0" t="s">
        <v>12</v>
      </c>
      <c r="B16528" s="0" t="n">
        <v>5105767</v>
      </c>
      <c r="C16528" s="0" t="n">
        <v>5105787</v>
      </c>
      <c r="D16528" s="0" t="s">
        <v>54936</v>
      </c>
      <c r="E16528" s="0" t="s">
        <v>75</v>
      </c>
      <c r="F16528" s="0" t="s">
        <v>15</v>
      </c>
      <c r="G16528" s="0" t="s">
        <v>16</v>
      </c>
      <c r="H16528" s="0" t="n">
        <v>40</v>
      </c>
      <c r="I16528" s="0" t="s">
        <v>54940</v>
      </c>
      <c r="J16528" s="0" t="s">
        <v>54941</v>
      </c>
      <c r="K16528" s="0" t="s">
        <v>54942</v>
      </c>
      <c r="L16528" s="0" t="str">
        <f aca="false">HYPERLINK("https://www.ncbi.nlm.nih.gov/nuccore/CP000058.1?report=graph&amp;tracks=[key:gene_model_track,Options:GeneOnly]&amp;mk=5105745:5105764|offset_17|444444,5105768:5105787|offset_40|00cc00,5105795:5105814|offset_67|444444,5105819:5105838|offset_91|444444&amp;v=5105544:5106038&amp;c=444444", "offset 40")</f>
        <v>offset 40</v>
      </c>
    </row>
    <row r="16529" customFormat="false" ht="12.8" hidden="false" customHeight="false" outlineLevel="0" collapsed="false">
      <c r="A16529" s="0" t="s">
        <v>12</v>
      </c>
      <c r="B16529" s="0" t="n">
        <v>5105794</v>
      </c>
      <c r="C16529" s="0" t="n">
        <v>5105814</v>
      </c>
      <c r="D16529" s="0" t="s">
        <v>54936</v>
      </c>
      <c r="E16529" s="0" t="s">
        <v>75</v>
      </c>
      <c r="F16529" s="0" t="s">
        <v>15</v>
      </c>
      <c r="G16529" s="0" t="s">
        <v>20</v>
      </c>
      <c r="H16529" s="0" t="n">
        <v>67</v>
      </c>
      <c r="I16529" s="0" t="s">
        <v>54943</v>
      </c>
      <c r="J16529" s="0" t="s">
        <v>54944</v>
      </c>
      <c r="K16529" s="0" t="s">
        <v>54945</v>
      </c>
      <c r="L16529" s="0" t="str">
        <f aca="false">HYPERLINK("https://www.ncbi.nlm.nih.gov/nuccore/CP000058.1?report=graph&amp;tracks=[key:gene_model_track,Options:GeneOnly]&amp;mk=5105745:5105764|offset_17|444444,5105768:5105787|offset_40|444444,5105795:5105814|offset_67|00cc00,5105819:5105838|offset_91|444444&amp;v=5105544:5106038&amp;c=444444", "offset 67")</f>
        <v>offset 67</v>
      </c>
    </row>
    <row r="16530" customFormat="false" ht="12.8" hidden="false" customHeight="false" outlineLevel="0" collapsed="false">
      <c r="A16530" s="0" t="s">
        <v>12</v>
      </c>
      <c r="B16530" s="0" t="n">
        <v>5105818</v>
      </c>
      <c r="C16530" s="0" t="n">
        <v>5105838</v>
      </c>
      <c r="D16530" s="0" t="s">
        <v>54936</v>
      </c>
      <c r="E16530" s="0" t="s">
        <v>75</v>
      </c>
      <c r="F16530" s="0" t="s">
        <v>15</v>
      </c>
      <c r="G16530" s="0" t="s">
        <v>32</v>
      </c>
      <c r="H16530" s="0" t="n">
        <v>91</v>
      </c>
      <c r="I16530" s="0" t="s">
        <v>54946</v>
      </c>
      <c r="J16530" s="0" t="s">
        <v>54947</v>
      </c>
      <c r="K16530" s="0" t="s">
        <v>54948</v>
      </c>
      <c r="L16530" s="0" t="str">
        <f aca="false">HYPERLINK("https://www.ncbi.nlm.nih.gov/nuccore/CP000058.1?report=graph&amp;tracks=[key:gene_model_track,Options:GeneOnly]&amp;mk=5105745:5105764|offset_17|444444,5105768:5105787|offset_40|444444,5105795:5105814|offset_67|444444,5105819:5105838|offset_91|00cc00&amp;v=5105544:5106038&amp;c=444444", "offset 91")</f>
        <v>offset 91</v>
      </c>
    </row>
    <row r="16531" customFormat="false" ht="12.8" hidden="false" customHeight="false" outlineLevel="0" collapsed="false">
      <c r="A16531" s="0" t="s">
        <v>12</v>
      </c>
      <c r="B16531" s="0" t="n">
        <v>5107242</v>
      </c>
      <c r="C16531" s="0" t="n">
        <v>5107262</v>
      </c>
      <c r="D16531" s="0" t="s">
        <v>54949</v>
      </c>
      <c r="E16531" s="0" t="s">
        <v>75</v>
      </c>
      <c r="F16531" s="0" t="s">
        <v>15</v>
      </c>
      <c r="G16531" s="0" t="s">
        <v>20</v>
      </c>
      <c r="H16531" s="0" t="n">
        <v>6</v>
      </c>
      <c r="I16531" s="0" t="s">
        <v>54950</v>
      </c>
      <c r="J16531" s="0" t="s">
        <v>54951</v>
      </c>
      <c r="K16531" s="0" t="s">
        <v>54952</v>
      </c>
      <c r="L16531" s="0" t="str">
        <f aca="false">HYPERLINK("https://www.ncbi.nlm.nih.gov/nuccore/CP000058.1?report=graph&amp;tracks=[key:gene_model_track,Options:GeneOnly]&amp;mk=5107243:5107262|offset_6|00cc00,5107266:5107285|offset_29|444444,5107288:5107307|offset_51|444444,5107313:5107332|offset_76|444444&amp;v=5107042:5107532&amp;c=444444", "offset 6")</f>
        <v>offset 6</v>
      </c>
    </row>
    <row r="16532" customFormat="false" ht="12.8" hidden="false" customHeight="false" outlineLevel="0" collapsed="false">
      <c r="A16532" s="0" t="s">
        <v>12</v>
      </c>
      <c r="B16532" s="0" t="n">
        <v>5107265</v>
      </c>
      <c r="C16532" s="0" t="n">
        <v>5107285</v>
      </c>
      <c r="D16532" s="0" t="s">
        <v>54949</v>
      </c>
      <c r="E16532" s="0" t="s">
        <v>75</v>
      </c>
      <c r="F16532" s="0" t="s">
        <v>15</v>
      </c>
      <c r="G16532" s="0" t="s">
        <v>20</v>
      </c>
      <c r="H16532" s="0" t="n">
        <v>29</v>
      </c>
      <c r="I16532" s="0" t="s">
        <v>54953</v>
      </c>
      <c r="J16532" s="0" t="s">
        <v>54954</v>
      </c>
      <c r="K16532" s="0" t="s">
        <v>54955</v>
      </c>
      <c r="L16532" s="0" t="str">
        <f aca="false">HYPERLINK("https://www.ncbi.nlm.nih.gov/nuccore/CP000058.1?report=graph&amp;tracks=[key:gene_model_track,Options:GeneOnly]&amp;mk=5107243:5107262|offset_6|444444,5107266:5107285|offset_29|00cc00,5107288:5107307|offset_51|444444,5107313:5107332|offset_76|444444&amp;v=5107042:5107532&amp;c=444444", "offset 29")</f>
        <v>offset 29</v>
      </c>
    </row>
    <row r="16533" customFormat="false" ht="12.8" hidden="false" customHeight="false" outlineLevel="0" collapsed="false">
      <c r="A16533" s="0" t="s">
        <v>12</v>
      </c>
      <c r="B16533" s="0" t="n">
        <v>5107287</v>
      </c>
      <c r="C16533" s="0" t="n">
        <v>5107307</v>
      </c>
      <c r="D16533" s="0" t="s">
        <v>54949</v>
      </c>
      <c r="E16533" s="0" t="s">
        <v>75</v>
      </c>
      <c r="F16533" s="0" t="s">
        <v>15</v>
      </c>
      <c r="G16533" s="0" t="s">
        <v>36</v>
      </c>
      <c r="H16533" s="0" t="n">
        <v>51</v>
      </c>
      <c r="I16533" s="0" t="s">
        <v>54956</v>
      </c>
      <c r="J16533" s="0" t="s">
        <v>54957</v>
      </c>
      <c r="K16533" s="0" t="s">
        <v>54958</v>
      </c>
      <c r="L16533" s="0" t="str">
        <f aca="false">HYPERLINK("https://www.ncbi.nlm.nih.gov/nuccore/CP000058.1?report=graph&amp;tracks=[key:gene_model_track,Options:GeneOnly]&amp;mk=5107243:5107262|offset_6|444444,5107266:5107285|offset_29|444444,5107288:5107307|offset_51|00cc00,5107313:5107332|offset_76|444444&amp;v=5107042:5107532&amp;c=444444", "offset 51")</f>
        <v>offset 51</v>
      </c>
    </row>
    <row r="16534" customFormat="false" ht="12.8" hidden="false" customHeight="false" outlineLevel="0" collapsed="false">
      <c r="A16534" s="0" t="s">
        <v>12</v>
      </c>
      <c r="B16534" s="0" t="n">
        <v>5107312</v>
      </c>
      <c r="C16534" s="0" t="n">
        <v>5107332</v>
      </c>
      <c r="D16534" s="0" t="s">
        <v>54949</v>
      </c>
      <c r="E16534" s="0" t="s">
        <v>75</v>
      </c>
      <c r="F16534" s="0" t="s">
        <v>15</v>
      </c>
      <c r="G16534" s="0" t="s">
        <v>32</v>
      </c>
      <c r="H16534" s="0" t="n">
        <v>76</v>
      </c>
      <c r="I16534" s="0" t="s">
        <v>54959</v>
      </c>
      <c r="J16534" s="0" t="s">
        <v>54960</v>
      </c>
      <c r="K16534" s="0" t="s">
        <v>54961</v>
      </c>
      <c r="L16534" s="0" t="str">
        <f aca="false">HYPERLINK("https://www.ncbi.nlm.nih.gov/nuccore/CP000058.1?report=graph&amp;tracks=[key:gene_model_track,Options:GeneOnly]&amp;mk=5107243:5107262|offset_6|444444,5107266:5107285|offset_29|444444,5107288:5107307|offset_51|444444,5107313:5107332|offset_76|00cc00&amp;v=5107042:5107532&amp;c=444444", "offset 76")</f>
        <v>offset 76</v>
      </c>
    </row>
    <row r="16535" customFormat="false" ht="12.8" hidden="false" customHeight="false" outlineLevel="0" collapsed="false">
      <c r="A16535" s="0" t="s">
        <v>12</v>
      </c>
      <c r="B16535" s="0" t="n">
        <v>5108833</v>
      </c>
      <c r="C16535" s="0" t="n">
        <v>5108853</v>
      </c>
      <c r="D16535" s="0" t="s">
        <v>54962</v>
      </c>
      <c r="E16535" s="0" t="s">
        <v>75</v>
      </c>
      <c r="F16535" s="0" t="s">
        <v>15</v>
      </c>
      <c r="G16535" s="0" t="s">
        <v>32</v>
      </c>
      <c r="H16535" s="0" t="n">
        <v>8</v>
      </c>
      <c r="I16535" s="0" t="s">
        <v>54963</v>
      </c>
      <c r="J16535" s="0" t="s">
        <v>54964</v>
      </c>
      <c r="K16535" s="0" t="s">
        <v>54965</v>
      </c>
      <c r="L16535" s="0" t="str">
        <f aca="false">HYPERLINK("https://www.ncbi.nlm.nih.gov/nuccore/CP000058.1?report=graph&amp;tracks=[key:gene_model_track,Options:GeneOnly]&amp;mk=5108834:5108853|offset_8|00cc00,5108854:5108873|offset_28|444444,5108887:5108906|offset_61|444444,5108925:5108944|offset_99|444444&amp;v=5108633:5109144&amp;c=444444", "offset 8")</f>
        <v>offset 8</v>
      </c>
    </row>
    <row r="16536" customFormat="false" ht="12.8" hidden="false" customHeight="false" outlineLevel="0" collapsed="false">
      <c r="A16536" s="0" t="s">
        <v>12</v>
      </c>
      <c r="B16536" s="0" t="n">
        <v>5108853</v>
      </c>
      <c r="C16536" s="0" t="n">
        <v>5108873</v>
      </c>
      <c r="D16536" s="0" t="s">
        <v>54962</v>
      </c>
      <c r="E16536" s="0" t="s">
        <v>75</v>
      </c>
      <c r="F16536" s="0" t="s">
        <v>15</v>
      </c>
      <c r="G16536" s="0" t="s">
        <v>16</v>
      </c>
      <c r="H16536" s="0" t="n">
        <v>28</v>
      </c>
      <c r="I16536" s="0" t="s">
        <v>54966</v>
      </c>
      <c r="J16536" s="0" t="s">
        <v>54967</v>
      </c>
      <c r="K16536" s="0" t="s">
        <v>54968</v>
      </c>
      <c r="L16536" s="0" t="str">
        <f aca="false">HYPERLINK("https://www.ncbi.nlm.nih.gov/nuccore/CP000058.1?report=graph&amp;tracks=[key:gene_model_track,Options:GeneOnly]&amp;mk=5108834:5108853|offset_8|444444,5108854:5108873|offset_28|00cc00,5108887:5108906|offset_61|444444,5108925:5108944|offset_99|444444&amp;v=5108633:5109144&amp;c=444444", "offset 28")</f>
        <v>offset 28</v>
      </c>
    </row>
    <row r="16537" customFormat="false" ht="12.8" hidden="false" customHeight="false" outlineLevel="0" collapsed="false">
      <c r="A16537" s="0" t="s">
        <v>12</v>
      </c>
      <c r="B16537" s="0" t="n">
        <v>5108886</v>
      </c>
      <c r="C16537" s="0" t="n">
        <v>5108906</v>
      </c>
      <c r="D16537" s="0" t="s">
        <v>54962</v>
      </c>
      <c r="E16537" s="0" t="s">
        <v>75</v>
      </c>
      <c r="F16537" s="0" t="s">
        <v>15</v>
      </c>
      <c r="G16537" s="0" t="s">
        <v>16</v>
      </c>
      <c r="H16537" s="0" t="n">
        <v>61</v>
      </c>
      <c r="I16537" s="0" t="s">
        <v>54969</v>
      </c>
      <c r="J16537" s="0" t="s">
        <v>54970</v>
      </c>
      <c r="K16537" s="0" t="s">
        <v>54971</v>
      </c>
      <c r="L16537" s="0" t="str">
        <f aca="false">HYPERLINK("https://www.ncbi.nlm.nih.gov/nuccore/CP000058.1?report=graph&amp;tracks=[key:gene_model_track,Options:GeneOnly]&amp;mk=5108834:5108853|offset_8|444444,5108854:5108873|offset_28|444444,5108887:5108906|offset_61|00cc00,5108925:5108944|offset_99|444444&amp;v=5108633:5109144&amp;c=444444", "offset 61")</f>
        <v>offset 61</v>
      </c>
    </row>
    <row r="16538" customFormat="false" ht="12.8" hidden="false" customHeight="false" outlineLevel="0" collapsed="false">
      <c r="A16538" s="0" t="s">
        <v>12</v>
      </c>
      <c r="B16538" s="0" t="n">
        <v>5108924</v>
      </c>
      <c r="C16538" s="0" t="n">
        <v>5108944</v>
      </c>
      <c r="D16538" s="0" t="s">
        <v>54962</v>
      </c>
      <c r="E16538" s="0" t="s">
        <v>75</v>
      </c>
      <c r="F16538" s="0" t="s">
        <v>15</v>
      </c>
      <c r="G16538" s="0" t="s">
        <v>16</v>
      </c>
      <c r="H16538" s="0" t="n">
        <v>99</v>
      </c>
      <c r="I16538" s="0" t="s">
        <v>54972</v>
      </c>
      <c r="J16538" s="0" t="s">
        <v>54973</v>
      </c>
      <c r="K16538" s="0" t="s">
        <v>54974</v>
      </c>
      <c r="L16538" s="0" t="str">
        <f aca="false">HYPERLINK("https://www.ncbi.nlm.nih.gov/nuccore/CP000058.1?report=graph&amp;tracks=[key:gene_model_track,Options:GeneOnly]&amp;mk=5108834:5108853|offset_8|444444,5108854:5108873|offset_28|444444,5108887:5108906|offset_61|444444,5108925:5108944|offset_99|00cc00&amp;v=5108633:5109144&amp;c=444444", "offset 99")</f>
        <v>offset 99</v>
      </c>
    </row>
    <row r="16539" customFormat="false" ht="12.8" hidden="false" customHeight="false" outlineLevel="0" collapsed="false">
      <c r="A16539" s="0" t="s">
        <v>12</v>
      </c>
      <c r="B16539" s="0" t="n">
        <v>5109911</v>
      </c>
      <c r="C16539" s="0" t="n">
        <v>5109931</v>
      </c>
      <c r="D16539" s="0" t="s">
        <v>54975</v>
      </c>
      <c r="E16539" s="0" t="s">
        <v>75</v>
      </c>
      <c r="F16539" s="0" t="s">
        <v>15</v>
      </c>
      <c r="G16539" s="0" t="s">
        <v>32</v>
      </c>
      <c r="H16539" s="0" t="n">
        <v>10</v>
      </c>
      <c r="I16539" s="0" t="s">
        <v>54976</v>
      </c>
      <c r="J16539" s="0" t="s">
        <v>54977</v>
      </c>
      <c r="K16539" s="0" t="s">
        <v>54978</v>
      </c>
      <c r="L16539" s="0" t="str">
        <f aca="false">HYPERLINK("https://www.ncbi.nlm.nih.gov/nuccore/CP000058.1?report=graph&amp;tracks=[key:gene_model_track,Options:GeneOnly]&amp;mk=5109912:5109931|offset_10|00cc00,5109941:5109960|offset_39|444444,5109972:5109991|offset_70|444444,5110039:5110058|offset_137|444444&amp;v=5109711:5110258&amp;c=444444", "offset 10")</f>
        <v>offset 10</v>
      </c>
    </row>
    <row r="16540" customFormat="false" ht="12.8" hidden="false" customHeight="false" outlineLevel="0" collapsed="false">
      <c r="A16540" s="0" t="s">
        <v>12</v>
      </c>
      <c r="B16540" s="0" t="n">
        <v>5109940</v>
      </c>
      <c r="C16540" s="0" t="n">
        <v>5109960</v>
      </c>
      <c r="D16540" s="0" t="s">
        <v>54975</v>
      </c>
      <c r="E16540" s="0" t="s">
        <v>75</v>
      </c>
      <c r="F16540" s="0" t="s">
        <v>15</v>
      </c>
      <c r="G16540" s="0" t="s">
        <v>16</v>
      </c>
      <c r="H16540" s="0" t="n">
        <v>39</v>
      </c>
      <c r="I16540" s="0" t="s">
        <v>54979</v>
      </c>
      <c r="J16540" s="0" t="s">
        <v>54980</v>
      </c>
      <c r="K16540" s="0" t="s">
        <v>54981</v>
      </c>
      <c r="L16540" s="0" t="str">
        <f aca="false">HYPERLINK("https://www.ncbi.nlm.nih.gov/nuccore/CP000058.1?report=graph&amp;tracks=[key:gene_model_track,Options:GeneOnly]&amp;mk=5109912:5109931|offset_10|444444,5109941:5109960|offset_39|00cc00,5109972:5109991|offset_70|444444,5110039:5110058|offset_137|444444&amp;v=5109711:5110258&amp;c=444444", "offset 39")</f>
        <v>offset 39</v>
      </c>
    </row>
    <row r="16541" customFormat="false" ht="12.8" hidden="false" customHeight="false" outlineLevel="0" collapsed="false">
      <c r="A16541" s="0" t="s">
        <v>12</v>
      </c>
      <c r="B16541" s="0" t="n">
        <v>5109971</v>
      </c>
      <c r="C16541" s="0" t="n">
        <v>5109991</v>
      </c>
      <c r="D16541" s="0" t="s">
        <v>54975</v>
      </c>
      <c r="E16541" s="0" t="s">
        <v>75</v>
      </c>
      <c r="F16541" s="0" t="s">
        <v>15</v>
      </c>
      <c r="G16541" s="0" t="s">
        <v>32</v>
      </c>
      <c r="H16541" s="0" t="n">
        <v>70</v>
      </c>
      <c r="I16541" s="0" t="s">
        <v>54982</v>
      </c>
      <c r="J16541" s="0" t="s">
        <v>54983</v>
      </c>
      <c r="K16541" s="0" t="s">
        <v>54984</v>
      </c>
      <c r="L16541" s="0" t="str">
        <f aca="false">HYPERLINK("https://www.ncbi.nlm.nih.gov/nuccore/CP000058.1?report=graph&amp;tracks=[key:gene_model_track,Options:GeneOnly]&amp;mk=5109912:5109931|offset_10|444444,5109941:5109960|offset_39|444444,5109972:5109991|offset_70|00cc00,5110039:5110058|offset_137|444444&amp;v=5109711:5110258&amp;c=444444", "offset 70")</f>
        <v>offset 70</v>
      </c>
    </row>
    <row r="16542" customFormat="false" ht="12.8" hidden="false" customHeight="false" outlineLevel="0" collapsed="false">
      <c r="A16542" s="0" t="s">
        <v>12</v>
      </c>
      <c r="B16542" s="0" t="n">
        <v>5110038</v>
      </c>
      <c r="C16542" s="0" t="n">
        <v>5110058</v>
      </c>
      <c r="D16542" s="0" t="s">
        <v>54975</v>
      </c>
      <c r="E16542" s="0" t="s">
        <v>75</v>
      </c>
      <c r="F16542" s="0" t="s">
        <v>15</v>
      </c>
      <c r="G16542" s="0" t="s">
        <v>20</v>
      </c>
      <c r="H16542" s="0" t="n">
        <v>137</v>
      </c>
      <c r="I16542" s="0" t="s">
        <v>54985</v>
      </c>
      <c r="J16542" s="0" t="s">
        <v>54986</v>
      </c>
      <c r="K16542" s="0" t="s">
        <v>54987</v>
      </c>
      <c r="L16542" s="0" t="str">
        <f aca="false">HYPERLINK("https://www.ncbi.nlm.nih.gov/nuccore/CP000058.1?report=graph&amp;tracks=[key:gene_model_track,Options:GeneOnly]&amp;mk=5109912:5109931|offset_10|444444,5109941:5109960|offset_39|444444,5109972:5109991|offset_70|444444,5110039:5110058|offset_137|00cc00&amp;v=5109711:5110258&amp;c=444444", "offset 137")</f>
        <v>offset 137</v>
      </c>
    </row>
    <row r="16543" customFormat="false" ht="12.8" hidden="false" customHeight="false" outlineLevel="0" collapsed="false">
      <c r="A16543" s="0" t="s">
        <v>12</v>
      </c>
      <c r="B16543" s="0" t="n">
        <v>5110859</v>
      </c>
      <c r="C16543" s="0" t="n">
        <v>5110879</v>
      </c>
      <c r="D16543" s="0" t="s">
        <v>54988</v>
      </c>
      <c r="E16543" s="0" t="s">
        <v>75</v>
      </c>
      <c r="F16543" s="0" t="s">
        <v>15</v>
      </c>
      <c r="G16543" s="0" t="s">
        <v>32</v>
      </c>
      <c r="H16543" s="0" t="n">
        <v>1</v>
      </c>
      <c r="I16543" s="0" t="s">
        <v>54989</v>
      </c>
      <c r="J16543" s="0" t="s">
        <v>54990</v>
      </c>
      <c r="K16543" s="0" t="s">
        <v>54991</v>
      </c>
      <c r="L16543" s="0" t="str">
        <f aca="false">HYPERLINK("https://www.ncbi.nlm.nih.gov/nuccore/CP000058.1?report=graph&amp;tracks=[key:gene_model_track,Options:GeneOnly]&amp;mk=5110860:5110879|offset_1|00cc00,5110903:5110922|offset_44|444444,5111015:5111034|offset_156|444444,5111052:5111071|offset_193|444444&amp;v=5110659:5111271&amp;c=444444", "offset 1")</f>
        <v>offset 1</v>
      </c>
    </row>
    <row r="16544" customFormat="false" ht="12.8" hidden="false" customHeight="false" outlineLevel="0" collapsed="false">
      <c r="A16544" s="0" t="s">
        <v>12</v>
      </c>
      <c r="B16544" s="0" t="n">
        <v>5110902</v>
      </c>
      <c r="C16544" s="0" t="n">
        <v>5110922</v>
      </c>
      <c r="D16544" s="0" t="s">
        <v>54988</v>
      </c>
      <c r="E16544" s="0" t="s">
        <v>75</v>
      </c>
      <c r="F16544" s="0" t="s">
        <v>15</v>
      </c>
      <c r="G16544" s="0" t="s">
        <v>32</v>
      </c>
      <c r="H16544" s="0" t="n">
        <v>44</v>
      </c>
      <c r="I16544" s="0" t="s">
        <v>54992</v>
      </c>
      <c r="J16544" s="0" t="s">
        <v>54993</v>
      </c>
      <c r="K16544" s="0" t="s">
        <v>54994</v>
      </c>
      <c r="L16544" s="0" t="str">
        <f aca="false">HYPERLINK("https://www.ncbi.nlm.nih.gov/nuccore/CP000058.1?report=graph&amp;tracks=[key:gene_model_track,Options:GeneOnly]&amp;mk=5110860:5110879|offset_1|444444,5110903:5110922|offset_44|00cc00,5111015:5111034|offset_156|444444,5111052:5111071|offset_193|444444&amp;v=5110659:5111271&amp;c=444444", "offset 44")</f>
        <v>offset 44</v>
      </c>
    </row>
    <row r="16545" customFormat="false" ht="12.8" hidden="false" customHeight="false" outlineLevel="0" collapsed="false">
      <c r="A16545" s="0" t="s">
        <v>12</v>
      </c>
      <c r="B16545" s="0" t="n">
        <v>5111014</v>
      </c>
      <c r="C16545" s="0" t="n">
        <v>5111034</v>
      </c>
      <c r="D16545" s="0" t="s">
        <v>54988</v>
      </c>
      <c r="E16545" s="0" t="s">
        <v>75</v>
      </c>
      <c r="F16545" s="0" t="s">
        <v>15</v>
      </c>
      <c r="G16545" s="0" t="s">
        <v>16</v>
      </c>
      <c r="H16545" s="0" t="n">
        <v>156</v>
      </c>
      <c r="I16545" s="0" t="s">
        <v>54995</v>
      </c>
      <c r="J16545" s="0" t="s">
        <v>54996</v>
      </c>
      <c r="K16545" s="0" t="s">
        <v>54997</v>
      </c>
      <c r="L16545" s="0" t="str">
        <f aca="false">HYPERLINK("https://www.ncbi.nlm.nih.gov/nuccore/CP000058.1?report=graph&amp;tracks=[key:gene_model_track,Options:GeneOnly]&amp;mk=5110860:5110879|offset_1|444444,5110903:5110922|offset_44|444444,5111015:5111034|offset_156|00cc00,5111052:5111071|offset_193|444444&amp;v=5110659:5111271&amp;c=444444", "offset 156")</f>
        <v>offset 156</v>
      </c>
    </row>
    <row r="16546" customFormat="false" ht="12.8" hidden="false" customHeight="false" outlineLevel="0" collapsed="false">
      <c r="A16546" s="0" t="s">
        <v>12</v>
      </c>
      <c r="B16546" s="0" t="n">
        <v>5111051</v>
      </c>
      <c r="C16546" s="0" t="n">
        <v>5111071</v>
      </c>
      <c r="D16546" s="0" t="s">
        <v>54988</v>
      </c>
      <c r="E16546" s="0" t="s">
        <v>75</v>
      </c>
      <c r="F16546" s="0" t="s">
        <v>15</v>
      </c>
      <c r="G16546" s="0" t="s">
        <v>32</v>
      </c>
      <c r="H16546" s="0" t="n">
        <v>193</v>
      </c>
      <c r="I16546" s="0" t="s">
        <v>54998</v>
      </c>
      <c r="J16546" s="0" t="s">
        <v>54999</v>
      </c>
      <c r="K16546" s="0" t="s">
        <v>55000</v>
      </c>
      <c r="L16546" s="0" t="str">
        <f aca="false">HYPERLINK("https://www.ncbi.nlm.nih.gov/nuccore/CP000058.1?report=graph&amp;tracks=[key:gene_model_track,Options:GeneOnly]&amp;mk=5110860:5110879|offset_1|444444,5110903:5110922|offset_44|444444,5111015:5111034|offset_156|444444,5111052:5111071|offset_193|00cc00&amp;v=5110659:5111271&amp;c=444444", "offset 193")</f>
        <v>offset 193</v>
      </c>
    </row>
    <row r="16547" customFormat="false" ht="12.8" hidden="false" customHeight="false" outlineLevel="0" collapsed="false">
      <c r="A16547" s="0" t="s">
        <v>12</v>
      </c>
      <c r="B16547" s="0" t="n">
        <v>5111610</v>
      </c>
      <c r="C16547" s="0" t="n">
        <v>5111630</v>
      </c>
      <c r="D16547" s="0" t="s">
        <v>55001</v>
      </c>
      <c r="E16547" s="0" t="s">
        <v>55002</v>
      </c>
      <c r="F16547" s="0" t="s">
        <v>15</v>
      </c>
      <c r="G16547" s="0" t="s">
        <v>32</v>
      </c>
      <c r="H16547" s="0" t="n">
        <v>1</v>
      </c>
      <c r="I16547" s="0" t="s">
        <v>55003</v>
      </c>
      <c r="J16547" s="0" t="s">
        <v>55004</v>
      </c>
      <c r="K16547" s="0" t="s">
        <v>55005</v>
      </c>
      <c r="L16547" s="0" t="str">
        <f aca="false">HYPERLINK("https://www.ncbi.nlm.nih.gov/nuccore/CP000058.1?report=graph&amp;tracks=[key:gene_model_track,Options:GeneOnly]&amp;mk=5111611:5111630|offset_1|00cc00,5111632:5111651|offset_22|444444,5111659:5111678|offset_49|444444,5111681:5111700|offset_71|444444&amp;v=5111410:5111900&amp;c=444444", "offset 1")</f>
        <v>offset 1</v>
      </c>
    </row>
    <row r="16548" customFormat="false" ht="12.8" hidden="false" customHeight="false" outlineLevel="0" collapsed="false">
      <c r="A16548" s="0" t="s">
        <v>12</v>
      </c>
      <c r="B16548" s="0" t="n">
        <v>5111631</v>
      </c>
      <c r="C16548" s="0" t="n">
        <v>5111651</v>
      </c>
      <c r="D16548" s="0" t="s">
        <v>55001</v>
      </c>
      <c r="E16548" s="0" t="s">
        <v>55002</v>
      </c>
      <c r="F16548" s="0" t="s">
        <v>15</v>
      </c>
      <c r="G16548" s="0" t="s">
        <v>16</v>
      </c>
      <c r="H16548" s="0" t="n">
        <v>22</v>
      </c>
      <c r="I16548" s="0" t="s">
        <v>55006</v>
      </c>
      <c r="J16548" s="0" t="s">
        <v>55007</v>
      </c>
      <c r="K16548" s="0" t="s">
        <v>55008</v>
      </c>
      <c r="L16548" s="0" t="str">
        <f aca="false">HYPERLINK("https://www.ncbi.nlm.nih.gov/nuccore/CP000058.1?report=graph&amp;tracks=[key:gene_model_track,Options:GeneOnly]&amp;mk=5111611:5111630|offset_1|444444,5111632:5111651|offset_22|00cc00,5111659:5111678|offset_49|444444,5111681:5111700|offset_71|444444&amp;v=5111410:5111900&amp;c=444444", "offset 22")</f>
        <v>offset 22</v>
      </c>
    </row>
    <row r="16549" customFormat="false" ht="12.8" hidden="false" customHeight="false" outlineLevel="0" collapsed="false">
      <c r="A16549" s="0" t="s">
        <v>12</v>
      </c>
      <c r="B16549" s="0" t="n">
        <v>5111658</v>
      </c>
      <c r="C16549" s="0" t="n">
        <v>5111678</v>
      </c>
      <c r="D16549" s="0" t="s">
        <v>55001</v>
      </c>
      <c r="E16549" s="0" t="s">
        <v>55002</v>
      </c>
      <c r="F16549" s="0" t="s">
        <v>15</v>
      </c>
      <c r="G16549" s="0" t="s">
        <v>16</v>
      </c>
      <c r="H16549" s="0" t="n">
        <v>49</v>
      </c>
      <c r="I16549" s="0" t="s">
        <v>55009</v>
      </c>
      <c r="J16549" s="0" t="s">
        <v>55010</v>
      </c>
      <c r="K16549" s="0" t="s">
        <v>55011</v>
      </c>
      <c r="L16549" s="0" t="str">
        <f aca="false">HYPERLINK("https://www.ncbi.nlm.nih.gov/nuccore/CP000058.1?report=graph&amp;tracks=[key:gene_model_track,Options:GeneOnly]&amp;mk=5111611:5111630|offset_1|444444,5111632:5111651|offset_22|444444,5111659:5111678|offset_49|00cc00,5111681:5111700|offset_71|444444&amp;v=5111410:5111900&amp;c=444444", "offset 49")</f>
        <v>offset 49</v>
      </c>
    </row>
    <row r="16550" customFormat="false" ht="12.8" hidden="false" customHeight="false" outlineLevel="0" collapsed="false">
      <c r="A16550" s="0" t="s">
        <v>12</v>
      </c>
      <c r="B16550" s="0" t="n">
        <v>5111680</v>
      </c>
      <c r="C16550" s="0" t="n">
        <v>5111700</v>
      </c>
      <c r="D16550" s="0" t="s">
        <v>55001</v>
      </c>
      <c r="E16550" s="0" t="s">
        <v>55002</v>
      </c>
      <c r="F16550" s="0" t="s">
        <v>15</v>
      </c>
      <c r="G16550" s="0" t="s">
        <v>16</v>
      </c>
      <c r="H16550" s="0" t="n">
        <v>71</v>
      </c>
      <c r="I16550" s="0" t="s">
        <v>55012</v>
      </c>
      <c r="J16550" s="0" t="s">
        <v>55013</v>
      </c>
      <c r="K16550" s="0" t="s">
        <v>55014</v>
      </c>
      <c r="L16550" s="0" t="str">
        <f aca="false">HYPERLINK("https://www.ncbi.nlm.nih.gov/nuccore/CP000058.1?report=graph&amp;tracks=[key:gene_model_track,Options:GeneOnly]&amp;mk=5111611:5111630|offset_1|444444,5111632:5111651|offset_22|444444,5111659:5111678|offset_49|444444,5111681:5111700|offset_71|00cc00&amp;v=5111410:5111900&amp;c=444444", "offset 71")</f>
        <v>offset 71</v>
      </c>
    </row>
    <row r="16551" customFormat="false" ht="12.8" hidden="false" customHeight="false" outlineLevel="0" collapsed="false">
      <c r="A16551" s="0" t="s">
        <v>12</v>
      </c>
      <c r="B16551" s="0" t="n">
        <v>5112757</v>
      </c>
      <c r="C16551" s="0" t="n">
        <v>5112777</v>
      </c>
      <c r="D16551" s="0" t="s">
        <v>55015</v>
      </c>
      <c r="E16551" s="0" t="s">
        <v>55016</v>
      </c>
      <c r="F16551" s="0" t="s">
        <v>15</v>
      </c>
      <c r="G16551" s="0" t="s">
        <v>36</v>
      </c>
      <c r="H16551" s="0" t="n">
        <v>0</v>
      </c>
      <c r="I16551" s="0" t="s">
        <v>55017</v>
      </c>
      <c r="J16551" s="0" t="s">
        <v>55018</v>
      </c>
      <c r="K16551" s="0" t="s">
        <v>55019</v>
      </c>
      <c r="L16551" s="0" t="str">
        <f aca="false">HYPERLINK("https://www.ncbi.nlm.nih.gov/nuccore/CP000058.1?report=graph&amp;tracks=[key:gene_model_track,Options:GeneOnly]&amp;mk=5112758:5112777|offset_0|00cc00,5112804:5112823|offset_46|444444,5112856:5112875|offset_98|444444,5112915:5112934|offset_157|444444&amp;v=5112557:5113134&amp;c=444444", "offset 0")</f>
        <v>offset 0</v>
      </c>
    </row>
    <row r="16552" customFormat="false" ht="12.8" hidden="false" customHeight="false" outlineLevel="0" collapsed="false">
      <c r="A16552" s="0" t="s">
        <v>12</v>
      </c>
      <c r="B16552" s="0" t="n">
        <v>5112803</v>
      </c>
      <c r="C16552" s="0" t="n">
        <v>5112823</v>
      </c>
      <c r="D16552" s="0" t="s">
        <v>55015</v>
      </c>
      <c r="E16552" s="0" t="s">
        <v>55016</v>
      </c>
      <c r="F16552" s="0" t="s">
        <v>15</v>
      </c>
      <c r="G16552" s="0" t="s">
        <v>16</v>
      </c>
      <c r="H16552" s="0" t="n">
        <v>46</v>
      </c>
      <c r="I16552" s="0" t="s">
        <v>55020</v>
      </c>
      <c r="J16552" s="0" t="s">
        <v>55021</v>
      </c>
      <c r="K16552" s="0" t="s">
        <v>55022</v>
      </c>
      <c r="L16552" s="0" t="str">
        <f aca="false">HYPERLINK("https://www.ncbi.nlm.nih.gov/nuccore/CP000058.1?report=graph&amp;tracks=[key:gene_model_track,Options:GeneOnly]&amp;mk=5112758:5112777|offset_0|444444,5112804:5112823|offset_46|00cc00,5112856:5112875|offset_98|444444,5112915:5112934|offset_157|444444&amp;v=5112557:5113134&amp;c=444444", "offset 46")</f>
        <v>offset 46</v>
      </c>
    </row>
    <row r="16553" customFormat="false" ht="12.8" hidden="false" customHeight="false" outlineLevel="0" collapsed="false">
      <c r="A16553" s="0" t="s">
        <v>12</v>
      </c>
      <c r="B16553" s="0" t="n">
        <v>5112855</v>
      </c>
      <c r="C16553" s="0" t="n">
        <v>5112875</v>
      </c>
      <c r="D16553" s="0" t="s">
        <v>55015</v>
      </c>
      <c r="E16553" s="0" t="s">
        <v>55016</v>
      </c>
      <c r="F16553" s="0" t="s">
        <v>15</v>
      </c>
      <c r="G16553" s="0" t="s">
        <v>36</v>
      </c>
      <c r="H16553" s="0" t="n">
        <v>98</v>
      </c>
      <c r="I16553" s="0" t="s">
        <v>55023</v>
      </c>
      <c r="J16553" s="0" t="s">
        <v>55024</v>
      </c>
      <c r="K16553" s="0" t="s">
        <v>55025</v>
      </c>
      <c r="L16553" s="0" t="str">
        <f aca="false">HYPERLINK("https://www.ncbi.nlm.nih.gov/nuccore/CP000058.1?report=graph&amp;tracks=[key:gene_model_track,Options:GeneOnly]&amp;mk=5112758:5112777|offset_0|444444,5112804:5112823|offset_46|444444,5112856:5112875|offset_98|00cc00,5112915:5112934|offset_157|444444&amp;v=5112557:5113134&amp;c=444444", "offset 98")</f>
        <v>offset 98</v>
      </c>
    </row>
    <row r="16554" customFormat="false" ht="12.8" hidden="false" customHeight="false" outlineLevel="0" collapsed="false">
      <c r="A16554" s="0" t="s">
        <v>12</v>
      </c>
      <c r="B16554" s="0" t="n">
        <v>5112914</v>
      </c>
      <c r="C16554" s="0" t="n">
        <v>5112934</v>
      </c>
      <c r="D16554" s="0" t="s">
        <v>55015</v>
      </c>
      <c r="E16554" s="0" t="s">
        <v>55016</v>
      </c>
      <c r="F16554" s="0" t="s">
        <v>15</v>
      </c>
      <c r="G16554" s="0" t="s">
        <v>16</v>
      </c>
      <c r="H16554" s="0" t="n">
        <v>157</v>
      </c>
      <c r="I16554" s="0" t="s">
        <v>55026</v>
      </c>
      <c r="J16554" s="0" t="s">
        <v>55027</v>
      </c>
      <c r="K16554" s="0" t="s">
        <v>55028</v>
      </c>
      <c r="L16554" s="0" t="str">
        <f aca="false">HYPERLINK("https://www.ncbi.nlm.nih.gov/nuccore/CP000058.1?report=graph&amp;tracks=[key:gene_model_track,Options:GeneOnly]&amp;mk=5112758:5112777|offset_0|444444,5112804:5112823|offset_46|444444,5112856:5112875|offset_98|444444,5112915:5112934|offset_157|00cc00&amp;v=5112557:5113134&amp;c=444444", "offset 157")</f>
        <v>offset 157</v>
      </c>
    </row>
    <row r="16555" customFormat="false" ht="12.8" hidden="false" customHeight="false" outlineLevel="0" collapsed="false">
      <c r="A16555" s="0" t="s">
        <v>12</v>
      </c>
      <c r="B16555" s="0" t="n">
        <v>5113095</v>
      </c>
      <c r="C16555" s="0" t="n">
        <v>5113115</v>
      </c>
      <c r="D16555" s="0" t="s">
        <v>55029</v>
      </c>
      <c r="E16555" s="0" t="s">
        <v>75</v>
      </c>
      <c r="F16555" s="0" t="s">
        <v>15</v>
      </c>
      <c r="G16555" s="0" t="s">
        <v>36</v>
      </c>
      <c r="H16555" s="0" t="n">
        <v>25</v>
      </c>
      <c r="I16555" s="0" t="s">
        <v>55030</v>
      </c>
      <c r="J16555" s="0" t="s">
        <v>55031</v>
      </c>
      <c r="K16555" s="0" t="s">
        <v>55032</v>
      </c>
      <c r="L16555" s="0" t="str">
        <f aca="false">HYPERLINK("https://www.ncbi.nlm.nih.gov/nuccore/CP000058.1?report=graph&amp;tracks=[key:gene_model_track,Options:GeneOnly]&amp;mk=5113096:5113115|offset_25|00cc00,5113153:5113172|offset_82|444444,5113176:5113195|offset_105|444444,5113196:5113215|offset_125|444444&amp;v=5112895:5113415&amp;c=444444", "offset 25")</f>
        <v>offset 25</v>
      </c>
    </row>
    <row r="16556" customFormat="false" ht="12.8" hidden="false" customHeight="false" outlineLevel="0" collapsed="false">
      <c r="A16556" s="0" t="s">
        <v>12</v>
      </c>
      <c r="B16556" s="0" t="n">
        <v>5113152</v>
      </c>
      <c r="C16556" s="0" t="n">
        <v>5113172</v>
      </c>
      <c r="D16556" s="0" t="s">
        <v>55029</v>
      </c>
      <c r="E16556" s="0" t="s">
        <v>75</v>
      </c>
      <c r="F16556" s="0" t="s">
        <v>15</v>
      </c>
      <c r="G16556" s="0" t="s">
        <v>32</v>
      </c>
      <c r="H16556" s="0" t="n">
        <v>82</v>
      </c>
      <c r="I16556" s="0" t="s">
        <v>55033</v>
      </c>
      <c r="J16556" s="0" t="s">
        <v>55034</v>
      </c>
      <c r="K16556" s="0" t="s">
        <v>55035</v>
      </c>
      <c r="L16556" s="0" t="str">
        <f aca="false">HYPERLINK("https://www.ncbi.nlm.nih.gov/nuccore/CP000058.1?report=graph&amp;tracks=[key:gene_model_track,Options:GeneOnly]&amp;mk=5113096:5113115|offset_25|444444,5113153:5113172|offset_82|00cc00,5113176:5113195|offset_105|444444,5113196:5113215|offset_125|444444&amp;v=5112895:5113415&amp;c=444444", "offset 82")</f>
        <v>offset 82</v>
      </c>
    </row>
    <row r="16557" customFormat="false" ht="12.8" hidden="false" customHeight="false" outlineLevel="0" collapsed="false">
      <c r="A16557" s="0" t="s">
        <v>12</v>
      </c>
      <c r="B16557" s="0" t="n">
        <v>5113175</v>
      </c>
      <c r="C16557" s="0" t="n">
        <v>5113195</v>
      </c>
      <c r="D16557" s="0" t="s">
        <v>55029</v>
      </c>
      <c r="E16557" s="0" t="s">
        <v>75</v>
      </c>
      <c r="F16557" s="0" t="s">
        <v>15</v>
      </c>
      <c r="G16557" s="0" t="s">
        <v>16</v>
      </c>
      <c r="H16557" s="0" t="n">
        <v>105</v>
      </c>
      <c r="I16557" s="0" t="s">
        <v>55036</v>
      </c>
      <c r="J16557" s="0" t="s">
        <v>55037</v>
      </c>
      <c r="K16557" s="0" t="s">
        <v>55038</v>
      </c>
      <c r="L16557" s="0" t="str">
        <f aca="false">HYPERLINK("https://www.ncbi.nlm.nih.gov/nuccore/CP000058.1?report=graph&amp;tracks=[key:gene_model_track,Options:GeneOnly]&amp;mk=5113096:5113115|offset_25|444444,5113153:5113172|offset_82|444444,5113176:5113195|offset_105|00cc00,5113196:5113215|offset_125|444444&amp;v=5112895:5113415&amp;c=444444", "offset 105")</f>
        <v>offset 105</v>
      </c>
    </row>
    <row r="16558" customFormat="false" ht="12.8" hidden="false" customHeight="false" outlineLevel="0" collapsed="false">
      <c r="A16558" s="0" t="s">
        <v>12</v>
      </c>
      <c r="B16558" s="0" t="n">
        <v>5113195</v>
      </c>
      <c r="C16558" s="0" t="n">
        <v>5113215</v>
      </c>
      <c r="D16558" s="0" t="s">
        <v>55029</v>
      </c>
      <c r="E16558" s="0" t="s">
        <v>75</v>
      </c>
      <c r="F16558" s="0" t="s">
        <v>15</v>
      </c>
      <c r="G16558" s="0" t="s">
        <v>32</v>
      </c>
      <c r="H16558" s="0" t="n">
        <v>125</v>
      </c>
      <c r="I16558" s="0" t="s">
        <v>55039</v>
      </c>
      <c r="J16558" s="0" t="s">
        <v>55040</v>
      </c>
      <c r="K16558" s="0" t="s">
        <v>55041</v>
      </c>
      <c r="L16558" s="0" t="str">
        <f aca="false">HYPERLINK("https://www.ncbi.nlm.nih.gov/nuccore/CP000058.1?report=graph&amp;tracks=[key:gene_model_track,Options:GeneOnly]&amp;mk=5113096:5113115|offset_25|444444,5113153:5113172|offset_82|444444,5113176:5113195|offset_105|444444,5113196:5113215|offset_125|00cc00&amp;v=5112895:5113415&amp;c=444444", "offset 125")</f>
        <v>offset 125</v>
      </c>
    </row>
    <row r="16559" customFormat="false" ht="12.8" hidden="false" customHeight="false" outlineLevel="0" collapsed="false">
      <c r="A16559" s="0" t="s">
        <v>12</v>
      </c>
      <c r="B16559" s="0" t="n">
        <v>5113624</v>
      </c>
      <c r="C16559" s="0" t="n">
        <v>5113644</v>
      </c>
      <c r="D16559" s="0" t="s">
        <v>55042</v>
      </c>
      <c r="E16559" s="0" t="s">
        <v>55043</v>
      </c>
      <c r="F16559" s="0" t="s">
        <v>15</v>
      </c>
      <c r="G16559" s="0" t="s">
        <v>32</v>
      </c>
      <c r="H16559" s="0" t="n">
        <v>1</v>
      </c>
      <c r="I16559" s="0" t="s">
        <v>55044</v>
      </c>
      <c r="J16559" s="0" t="s">
        <v>55045</v>
      </c>
      <c r="K16559" s="0" t="s">
        <v>55046</v>
      </c>
      <c r="L16559" s="0" t="str">
        <f aca="false">HYPERLINK("https://www.ncbi.nlm.nih.gov/nuccore/CP000058.1?report=graph&amp;tracks=[key:gene_model_track,Options:GeneOnly]&amp;mk=5113625:5113644|offset_1|00cc00,5113655:5113674|offset_31|444444,5113680:5113699|offset_56|444444,5113782:5113801|offset_158|444444&amp;v=5113424:5114001&amp;c=444444", "offset 1")</f>
        <v>offset 1</v>
      </c>
    </row>
    <row r="16560" customFormat="false" ht="12.8" hidden="false" customHeight="false" outlineLevel="0" collapsed="false">
      <c r="A16560" s="0" t="s">
        <v>12</v>
      </c>
      <c r="B16560" s="0" t="n">
        <v>5113654</v>
      </c>
      <c r="C16560" s="0" t="n">
        <v>5113674</v>
      </c>
      <c r="D16560" s="0" t="s">
        <v>55042</v>
      </c>
      <c r="E16560" s="0" t="s">
        <v>55043</v>
      </c>
      <c r="F16560" s="0" t="s">
        <v>15</v>
      </c>
      <c r="G16560" s="0" t="s">
        <v>16</v>
      </c>
      <c r="H16560" s="0" t="n">
        <v>31</v>
      </c>
      <c r="I16560" s="0" t="s">
        <v>55047</v>
      </c>
      <c r="J16560" s="0" t="s">
        <v>55048</v>
      </c>
      <c r="K16560" s="0" t="s">
        <v>55049</v>
      </c>
      <c r="L16560" s="0" t="str">
        <f aca="false">HYPERLINK("https://www.ncbi.nlm.nih.gov/nuccore/CP000058.1?report=graph&amp;tracks=[key:gene_model_track,Options:GeneOnly]&amp;mk=5113625:5113644|offset_1|444444,5113655:5113674|offset_31|00cc00,5113680:5113699|offset_56|444444,5113782:5113801|offset_158|444444&amp;v=5113424:5114001&amp;c=444444", "offset 31")</f>
        <v>offset 31</v>
      </c>
    </row>
    <row r="16561" customFormat="false" ht="12.8" hidden="false" customHeight="false" outlineLevel="0" collapsed="false">
      <c r="A16561" s="0" t="s">
        <v>12</v>
      </c>
      <c r="B16561" s="0" t="n">
        <v>5113679</v>
      </c>
      <c r="C16561" s="0" t="n">
        <v>5113699</v>
      </c>
      <c r="D16561" s="0" t="s">
        <v>55042</v>
      </c>
      <c r="E16561" s="0" t="s">
        <v>55043</v>
      </c>
      <c r="F16561" s="0" t="s">
        <v>15</v>
      </c>
      <c r="G16561" s="0" t="s">
        <v>32</v>
      </c>
      <c r="H16561" s="0" t="n">
        <v>56</v>
      </c>
      <c r="I16561" s="0" t="s">
        <v>55050</v>
      </c>
      <c r="J16561" s="0" t="s">
        <v>55051</v>
      </c>
      <c r="K16561" s="0" t="s">
        <v>55052</v>
      </c>
      <c r="L16561" s="0" t="str">
        <f aca="false">HYPERLINK("https://www.ncbi.nlm.nih.gov/nuccore/CP000058.1?report=graph&amp;tracks=[key:gene_model_track,Options:GeneOnly]&amp;mk=5113625:5113644|offset_1|444444,5113655:5113674|offset_31|444444,5113680:5113699|offset_56|00cc00,5113782:5113801|offset_158|444444&amp;v=5113424:5114001&amp;c=444444", "offset 56")</f>
        <v>offset 56</v>
      </c>
    </row>
    <row r="16562" customFormat="false" ht="12.8" hidden="false" customHeight="false" outlineLevel="0" collapsed="false">
      <c r="A16562" s="0" t="s">
        <v>12</v>
      </c>
      <c r="B16562" s="0" t="n">
        <v>5113781</v>
      </c>
      <c r="C16562" s="0" t="n">
        <v>5113801</v>
      </c>
      <c r="D16562" s="0" t="s">
        <v>55042</v>
      </c>
      <c r="E16562" s="0" t="s">
        <v>55043</v>
      </c>
      <c r="F16562" s="0" t="s">
        <v>15</v>
      </c>
      <c r="G16562" s="0" t="s">
        <v>20</v>
      </c>
      <c r="H16562" s="0" t="n">
        <v>158</v>
      </c>
      <c r="I16562" s="0" t="s">
        <v>55053</v>
      </c>
      <c r="J16562" s="0" t="s">
        <v>55054</v>
      </c>
      <c r="K16562" s="0" t="s">
        <v>55055</v>
      </c>
      <c r="L16562" s="0" t="str">
        <f aca="false">HYPERLINK("https://www.ncbi.nlm.nih.gov/nuccore/CP000058.1?report=graph&amp;tracks=[key:gene_model_track,Options:GeneOnly]&amp;mk=5113625:5113644|offset_1|444444,5113655:5113674|offset_31|444444,5113680:5113699|offset_56|444444,5113782:5113801|offset_158|00cc00&amp;v=5113424:5114001&amp;c=444444", "offset 158")</f>
        <v>offset 158</v>
      </c>
    </row>
    <row r="16563" customFormat="false" ht="12.8" hidden="false" customHeight="false" outlineLevel="0" collapsed="false">
      <c r="A16563" s="0" t="s">
        <v>12</v>
      </c>
      <c r="B16563" s="0" t="n">
        <v>5114161</v>
      </c>
      <c r="C16563" s="0" t="n">
        <v>5114181</v>
      </c>
      <c r="D16563" s="0" t="s">
        <v>55056</v>
      </c>
      <c r="E16563" s="0" t="s">
        <v>55057</v>
      </c>
      <c r="F16563" s="0" t="s">
        <v>15</v>
      </c>
      <c r="G16563" s="0" t="s">
        <v>36</v>
      </c>
      <c r="H16563" s="0" t="n">
        <v>8</v>
      </c>
      <c r="I16563" s="0" t="s">
        <v>55058</v>
      </c>
      <c r="J16563" s="0" t="s">
        <v>55059</v>
      </c>
      <c r="K16563" s="0" t="s">
        <v>55060</v>
      </c>
      <c r="L16563" s="0" t="str">
        <f aca="false">HYPERLINK("https://www.ncbi.nlm.nih.gov/nuccore/CP000058.1?report=graph&amp;tracks=[key:gene_model_track,Options:GeneOnly]&amp;mk=5114162:5114181|offset_8|00cc00,5114184:5114203|offset_30|444444,5114213:5114232|offset_59|444444,5114236:5114255|offset_82|444444&amp;v=5113961:5114455&amp;c=444444", "offset 8")</f>
        <v>offset 8</v>
      </c>
    </row>
    <row r="16564" customFormat="false" ht="12.8" hidden="false" customHeight="false" outlineLevel="0" collapsed="false">
      <c r="A16564" s="0" t="s">
        <v>12</v>
      </c>
      <c r="B16564" s="0" t="n">
        <v>5114183</v>
      </c>
      <c r="C16564" s="0" t="n">
        <v>5114203</v>
      </c>
      <c r="D16564" s="0" t="s">
        <v>55056</v>
      </c>
      <c r="E16564" s="0" t="s">
        <v>55057</v>
      </c>
      <c r="F16564" s="0" t="s">
        <v>15</v>
      </c>
      <c r="G16564" s="0" t="s">
        <v>36</v>
      </c>
      <c r="H16564" s="0" t="n">
        <v>30</v>
      </c>
      <c r="I16564" s="0" t="s">
        <v>55061</v>
      </c>
      <c r="J16564" s="0" t="s">
        <v>55062</v>
      </c>
      <c r="K16564" s="0" t="s">
        <v>55063</v>
      </c>
      <c r="L16564" s="0" t="str">
        <f aca="false">HYPERLINK("https://www.ncbi.nlm.nih.gov/nuccore/CP000058.1?report=graph&amp;tracks=[key:gene_model_track,Options:GeneOnly]&amp;mk=5114162:5114181|offset_8|444444,5114184:5114203|offset_30|00cc00,5114213:5114232|offset_59|444444,5114236:5114255|offset_82|444444&amp;v=5113961:5114455&amp;c=444444", "offset 30")</f>
        <v>offset 30</v>
      </c>
    </row>
    <row r="16565" customFormat="false" ht="12.8" hidden="false" customHeight="false" outlineLevel="0" collapsed="false">
      <c r="A16565" s="0" t="s">
        <v>12</v>
      </c>
      <c r="B16565" s="0" t="n">
        <v>5114212</v>
      </c>
      <c r="C16565" s="0" t="n">
        <v>5114232</v>
      </c>
      <c r="D16565" s="0" t="s">
        <v>55056</v>
      </c>
      <c r="E16565" s="0" t="s">
        <v>55057</v>
      </c>
      <c r="F16565" s="0" t="s">
        <v>15</v>
      </c>
      <c r="G16565" s="0" t="s">
        <v>16</v>
      </c>
      <c r="H16565" s="0" t="n">
        <v>59</v>
      </c>
      <c r="I16565" s="0" t="s">
        <v>55064</v>
      </c>
      <c r="J16565" s="0" t="s">
        <v>55065</v>
      </c>
      <c r="K16565" s="0" t="s">
        <v>55066</v>
      </c>
      <c r="L16565" s="0" t="str">
        <f aca="false">HYPERLINK("https://www.ncbi.nlm.nih.gov/nuccore/CP000058.1?report=graph&amp;tracks=[key:gene_model_track,Options:GeneOnly]&amp;mk=5114162:5114181|offset_8|444444,5114184:5114203|offset_30|444444,5114213:5114232|offset_59|00cc00,5114236:5114255|offset_82|444444&amp;v=5113961:5114455&amp;c=444444", "offset 59")</f>
        <v>offset 59</v>
      </c>
    </row>
    <row r="16566" customFormat="false" ht="12.8" hidden="false" customHeight="false" outlineLevel="0" collapsed="false">
      <c r="A16566" s="0" t="s">
        <v>12</v>
      </c>
      <c r="B16566" s="0" t="n">
        <v>5114235</v>
      </c>
      <c r="C16566" s="0" t="n">
        <v>5114255</v>
      </c>
      <c r="D16566" s="0" t="s">
        <v>55056</v>
      </c>
      <c r="E16566" s="0" t="s">
        <v>55057</v>
      </c>
      <c r="F16566" s="0" t="s">
        <v>15</v>
      </c>
      <c r="G16566" s="0" t="s">
        <v>32</v>
      </c>
      <c r="H16566" s="0" t="n">
        <v>82</v>
      </c>
      <c r="I16566" s="0" t="s">
        <v>55067</v>
      </c>
      <c r="J16566" s="0" t="s">
        <v>55068</v>
      </c>
      <c r="K16566" s="0" t="s">
        <v>55069</v>
      </c>
      <c r="L16566" s="0" t="str">
        <f aca="false">HYPERLINK("https://www.ncbi.nlm.nih.gov/nuccore/CP000058.1?report=graph&amp;tracks=[key:gene_model_track,Options:GeneOnly]&amp;mk=5114162:5114181|offset_8|444444,5114184:5114203|offset_30|444444,5114213:5114232|offset_59|444444,5114236:5114255|offset_82|00cc00&amp;v=5113961:5114455&amp;c=444444", "offset 82")</f>
        <v>offset 82</v>
      </c>
    </row>
    <row r="16567" customFormat="false" ht="12.8" hidden="false" customHeight="false" outlineLevel="0" collapsed="false">
      <c r="A16567" s="0" t="s">
        <v>12</v>
      </c>
      <c r="B16567" s="0" t="n">
        <v>5114807</v>
      </c>
      <c r="C16567" s="0" t="n">
        <v>5114827</v>
      </c>
      <c r="D16567" s="0" t="s">
        <v>55070</v>
      </c>
      <c r="E16567" s="0" t="s">
        <v>55071</v>
      </c>
      <c r="F16567" s="0" t="s">
        <v>15</v>
      </c>
      <c r="G16567" s="0" t="s">
        <v>16</v>
      </c>
      <c r="H16567" s="0" t="n">
        <v>14</v>
      </c>
      <c r="I16567" s="0" t="s">
        <v>55072</v>
      </c>
      <c r="J16567" s="0" t="s">
        <v>55073</v>
      </c>
      <c r="K16567" s="0" t="s">
        <v>55074</v>
      </c>
      <c r="L16567" s="0" t="str">
        <f aca="false">HYPERLINK("https://www.ncbi.nlm.nih.gov/nuccore/CP000058.1?report=graph&amp;tracks=[key:gene_model_track,Options:GeneOnly]&amp;mk=5114808:5114827|offset_14|00cc00,5114835:5114854|offset_41|444444,5114859:5114878|offset_65|444444,5114903:5114922|offset_109|444444&amp;v=5114607:5115122&amp;c=444444", "offset 14")</f>
        <v>offset 14</v>
      </c>
    </row>
    <row r="16568" customFormat="false" ht="12.8" hidden="false" customHeight="false" outlineLevel="0" collapsed="false">
      <c r="A16568" s="0" t="s">
        <v>12</v>
      </c>
      <c r="B16568" s="0" t="n">
        <v>5114834</v>
      </c>
      <c r="C16568" s="0" t="n">
        <v>5114854</v>
      </c>
      <c r="D16568" s="0" t="s">
        <v>55070</v>
      </c>
      <c r="E16568" s="0" t="s">
        <v>55071</v>
      </c>
      <c r="F16568" s="0" t="s">
        <v>15</v>
      </c>
      <c r="G16568" s="0" t="s">
        <v>36</v>
      </c>
      <c r="H16568" s="0" t="n">
        <v>41</v>
      </c>
      <c r="I16568" s="0" t="s">
        <v>55075</v>
      </c>
      <c r="J16568" s="0" t="s">
        <v>55076</v>
      </c>
      <c r="K16568" s="0" t="s">
        <v>55077</v>
      </c>
      <c r="L16568" s="0" t="str">
        <f aca="false">HYPERLINK("https://www.ncbi.nlm.nih.gov/nuccore/CP000058.1?report=graph&amp;tracks=[key:gene_model_track,Options:GeneOnly]&amp;mk=5114808:5114827|offset_14|444444,5114835:5114854|offset_41|00cc00,5114859:5114878|offset_65|444444,5114903:5114922|offset_109|444444&amp;v=5114607:5115122&amp;c=444444", "offset 41")</f>
        <v>offset 41</v>
      </c>
    </row>
    <row r="16569" customFormat="false" ht="12.8" hidden="false" customHeight="false" outlineLevel="0" collapsed="false">
      <c r="A16569" s="0" t="s">
        <v>12</v>
      </c>
      <c r="B16569" s="0" t="n">
        <v>5114858</v>
      </c>
      <c r="C16569" s="0" t="n">
        <v>5114878</v>
      </c>
      <c r="D16569" s="0" t="s">
        <v>55070</v>
      </c>
      <c r="E16569" s="0" t="s">
        <v>55071</v>
      </c>
      <c r="F16569" s="0" t="s">
        <v>15</v>
      </c>
      <c r="G16569" s="0" t="s">
        <v>20</v>
      </c>
      <c r="H16569" s="0" t="n">
        <v>65</v>
      </c>
      <c r="I16569" s="0" t="s">
        <v>55078</v>
      </c>
      <c r="J16569" s="0" t="s">
        <v>55079</v>
      </c>
      <c r="K16569" s="0" t="s">
        <v>55080</v>
      </c>
      <c r="L16569" s="0" t="str">
        <f aca="false">HYPERLINK("https://www.ncbi.nlm.nih.gov/nuccore/CP000058.1?report=graph&amp;tracks=[key:gene_model_track,Options:GeneOnly]&amp;mk=5114808:5114827|offset_14|444444,5114835:5114854|offset_41|444444,5114859:5114878|offset_65|00cc00,5114903:5114922|offset_109|444444&amp;v=5114607:5115122&amp;c=444444", "offset 65")</f>
        <v>offset 65</v>
      </c>
    </row>
    <row r="16570" customFormat="false" ht="12.8" hidden="false" customHeight="false" outlineLevel="0" collapsed="false">
      <c r="A16570" s="0" t="s">
        <v>12</v>
      </c>
      <c r="B16570" s="0" t="n">
        <v>5114902</v>
      </c>
      <c r="C16570" s="0" t="n">
        <v>5114922</v>
      </c>
      <c r="D16570" s="0" t="s">
        <v>55070</v>
      </c>
      <c r="E16570" s="0" t="s">
        <v>55071</v>
      </c>
      <c r="F16570" s="0" t="s">
        <v>15</v>
      </c>
      <c r="G16570" s="0" t="s">
        <v>32</v>
      </c>
      <c r="H16570" s="0" t="n">
        <v>109</v>
      </c>
      <c r="I16570" s="0" t="s">
        <v>55081</v>
      </c>
      <c r="J16570" s="0" t="s">
        <v>55082</v>
      </c>
      <c r="K16570" s="0" t="s">
        <v>55083</v>
      </c>
      <c r="L16570" s="0" t="str">
        <f aca="false">HYPERLINK("https://www.ncbi.nlm.nih.gov/nuccore/CP000058.1?report=graph&amp;tracks=[key:gene_model_track,Options:GeneOnly]&amp;mk=5114808:5114827|offset_14|444444,5114835:5114854|offset_41|444444,5114859:5114878|offset_65|444444,5114903:5114922|offset_109|00cc00&amp;v=5114607:5115122&amp;c=444444", "offset 109")</f>
        <v>offset 109</v>
      </c>
    </row>
    <row r="16571" customFormat="false" ht="12.8" hidden="false" customHeight="false" outlineLevel="0" collapsed="false">
      <c r="A16571" s="0" t="s">
        <v>12</v>
      </c>
      <c r="B16571" s="0" t="n">
        <v>5116812</v>
      </c>
      <c r="C16571" s="0" t="n">
        <v>5116832</v>
      </c>
      <c r="D16571" s="0" t="s">
        <v>55084</v>
      </c>
      <c r="E16571" s="0" t="s">
        <v>75</v>
      </c>
      <c r="F16571" s="0" t="s">
        <v>90</v>
      </c>
      <c r="G16571" s="0" t="s">
        <v>32</v>
      </c>
      <c r="H16571" s="0" t="n">
        <v>1</v>
      </c>
      <c r="I16571" s="0" t="s">
        <v>55085</v>
      </c>
      <c r="J16571" s="0" t="s">
        <v>55086</v>
      </c>
      <c r="K16571" s="0" t="s">
        <v>55087</v>
      </c>
      <c r="L16571" s="0" t="str">
        <f aca="false">HYPERLINK("https://www.ncbi.nlm.nih.gov/nuccore/CP000058.1?report=graph&amp;tracks=[key:gene_model_track,Options:GeneOnly]&amp;mk=5116813:5116832|offset_1|00cc00,5116661:5116680|offset_153|444444,5116630:5116649|offset_184|444444&amp;v=5116612:5116849&amp;c=444444", "offset 1")</f>
        <v>offset 1</v>
      </c>
    </row>
    <row r="16572" customFormat="false" ht="12.8" hidden="false" customHeight="false" outlineLevel="0" collapsed="false">
      <c r="A16572" s="0" t="s">
        <v>12</v>
      </c>
      <c r="B16572" s="0" t="n">
        <v>5116660</v>
      </c>
      <c r="C16572" s="0" t="n">
        <v>5116680</v>
      </c>
      <c r="D16572" s="0" t="s">
        <v>55084</v>
      </c>
      <c r="E16572" s="0" t="s">
        <v>75</v>
      </c>
      <c r="F16572" s="0" t="s">
        <v>90</v>
      </c>
      <c r="G16572" s="0" t="s">
        <v>16</v>
      </c>
      <c r="H16572" s="0" t="n">
        <v>153</v>
      </c>
      <c r="I16572" s="0" t="s">
        <v>55088</v>
      </c>
      <c r="J16572" s="0" t="s">
        <v>55089</v>
      </c>
      <c r="K16572" s="0" t="s">
        <v>55090</v>
      </c>
      <c r="L16572" s="0" t="str">
        <f aca="false">HYPERLINK("https://www.ncbi.nlm.nih.gov/nuccore/CP000058.1?report=graph&amp;tracks=[key:gene_model_track,Options:GeneOnly]&amp;mk=5116813:5116832|offset_1|444444,5116661:5116680|offset_153|00cc00,5116630:5116649|offset_184|444444&amp;v=5116612:5116849&amp;c=444444", "offset 153")</f>
        <v>offset 153</v>
      </c>
    </row>
    <row r="16573" customFormat="false" ht="12.8" hidden="false" customHeight="false" outlineLevel="0" collapsed="false">
      <c r="A16573" s="0" t="s">
        <v>12</v>
      </c>
      <c r="B16573" s="0" t="n">
        <v>5116629</v>
      </c>
      <c r="C16573" s="0" t="n">
        <v>5116649</v>
      </c>
      <c r="D16573" s="0" t="s">
        <v>55084</v>
      </c>
      <c r="E16573" s="0" t="s">
        <v>75</v>
      </c>
      <c r="F16573" s="0" t="s">
        <v>90</v>
      </c>
      <c r="G16573" s="0" t="s">
        <v>32</v>
      </c>
      <c r="H16573" s="0" t="n">
        <v>184</v>
      </c>
      <c r="I16573" s="0" t="s">
        <v>55091</v>
      </c>
      <c r="J16573" s="0" t="s">
        <v>55092</v>
      </c>
      <c r="K16573" s="0" t="s">
        <v>55093</v>
      </c>
      <c r="L16573" s="0" t="str">
        <f aca="false">HYPERLINK("https://www.ncbi.nlm.nih.gov/nuccore/CP000058.1?report=graph&amp;tracks=[key:gene_model_track,Options:GeneOnly]&amp;mk=5116813:5116832|offset_1|444444,5116661:5116680|offset_153|444444,5116630:5116649|offset_184|00cc00&amp;v=5116612:5116849&amp;c=444444", "offset 184")</f>
        <v>offset 184</v>
      </c>
    </row>
    <row r="16574" customFormat="false" ht="12.8" hidden="false" customHeight="false" outlineLevel="0" collapsed="false">
      <c r="A16574" s="0" t="s">
        <v>12</v>
      </c>
      <c r="B16574" s="0" t="n">
        <v>5116997</v>
      </c>
      <c r="C16574" s="0" t="n">
        <v>5117017</v>
      </c>
      <c r="D16574" s="0" t="s">
        <v>55094</v>
      </c>
      <c r="E16574" s="0" t="s">
        <v>75</v>
      </c>
      <c r="F16574" s="0" t="s">
        <v>15</v>
      </c>
      <c r="G16574" s="0" t="s">
        <v>20</v>
      </c>
      <c r="H16574" s="0" t="n">
        <v>8</v>
      </c>
      <c r="I16574" s="0" t="s">
        <v>55095</v>
      </c>
      <c r="J16574" s="0" t="s">
        <v>55096</v>
      </c>
      <c r="K16574" s="0" t="s">
        <v>55097</v>
      </c>
      <c r="L16574" s="0" t="str">
        <f aca="false">HYPERLINK("https://www.ncbi.nlm.nih.gov/nuccore/CP000058.1?report=graph&amp;tracks=[key:gene_model_track,Options:GeneOnly]&amp;mk=5116998:5117017|offset_8|00cc00,5117057:5117076|offset_67|444444,5117078:5117097|offset_88|444444,5117114:5117133|offset_124|444444&amp;v=5116797:5117333&amp;c=444444", "offset 8")</f>
        <v>offset 8</v>
      </c>
    </row>
    <row r="16575" customFormat="false" ht="12.8" hidden="false" customHeight="false" outlineLevel="0" collapsed="false">
      <c r="A16575" s="0" t="s">
        <v>12</v>
      </c>
      <c r="B16575" s="0" t="n">
        <v>5117056</v>
      </c>
      <c r="C16575" s="0" t="n">
        <v>5117076</v>
      </c>
      <c r="D16575" s="0" t="s">
        <v>55094</v>
      </c>
      <c r="E16575" s="0" t="s">
        <v>75</v>
      </c>
      <c r="F16575" s="0" t="s">
        <v>15</v>
      </c>
      <c r="G16575" s="0" t="s">
        <v>32</v>
      </c>
      <c r="H16575" s="0" t="n">
        <v>67</v>
      </c>
      <c r="I16575" s="0" t="s">
        <v>55098</v>
      </c>
      <c r="J16575" s="0" t="s">
        <v>55099</v>
      </c>
      <c r="K16575" s="0" t="s">
        <v>55100</v>
      </c>
      <c r="L16575" s="0" t="str">
        <f aca="false">HYPERLINK("https://www.ncbi.nlm.nih.gov/nuccore/CP000058.1?report=graph&amp;tracks=[key:gene_model_track,Options:GeneOnly]&amp;mk=5116998:5117017|offset_8|444444,5117057:5117076|offset_67|00cc00,5117078:5117097|offset_88|444444,5117114:5117133|offset_124|444444&amp;v=5116797:5117333&amp;c=444444", "offset 67")</f>
        <v>offset 67</v>
      </c>
    </row>
    <row r="16576" customFormat="false" ht="12.8" hidden="false" customHeight="false" outlineLevel="0" collapsed="false">
      <c r="A16576" s="0" t="s">
        <v>12</v>
      </c>
      <c r="B16576" s="0" t="n">
        <v>5117077</v>
      </c>
      <c r="C16576" s="0" t="n">
        <v>5117097</v>
      </c>
      <c r="D16576" s="0" t="s">
        <v>55094</v>
      </c>
      <c r="E16576" s="0" t="s">
        <v>75</v>
      </c>
      <c r="F16576" s="0" t="s">
        <v>15</v>
      </c>
      <c r="G16576" s="0" t="s">
        <v>16</v>
      </c>
      <c r="H16576" s="0" t="n">
        <v>88</v>
      </c>
      <c r="I16576" s="0" t="s">
        <v>55101</v>
      </c>
      <c r="J16576" s="0" t="s">
        <v>55102</v>
      </c>
      <c r="K16576" s="0" t="s">
        <v>55103</v>
      </c>
      <c r="L16576" s="0" t="str">
        <f aca="false">HYPERLINK("https://www.ncbi.nlm.nih.gov/nuccore/CP000058.1?report=graph&amp;tracks=[key:gene_model_track,Options:GeneOnly]&amp;mk=5116998:5117017|offset_8|444444,5117057:5117076|offset_67|444444,5117078:5117097|offset_88|00cc00,5117114:5117133|offset_124|444444&amp;v=5116797:5117333&amp;c=444444", "offset 88")</f>
        <v>offset 88</v>
      </c>
    </row>
    <row r="16577" customFormat="false" ht="12.8" hidden="false" customHeight="false" outlineLevel="0" collapsed="false">
      <c r="A16577" s="0" t="s">
        <v>12</v>
      </c>
      <c r="B16577" s="0" t="n">
        <v>5117113</v>
      </c>
      <c r="C16577" s="0" t="n">
        <v>5117133</v>
      </c>
      <c r="D16577" s="0" t="s">
        <v>55094</v>
      </c>
      <c r="E16577" s="0" t="s">
        <v>75</v>
      </c>
      <c r="F16577" s="0" t="s">
        <v>15</v>
      </c>
      <c r="G16577" s="0" t="s">
        <v>32</v>
      </c>
      <c r="H16577" s="0" t="n">
        <v>124</v>
      </c>
      <c r="I16577" s="0" t="s">
        <v>55104</v>
      </c>
      <c r="J16577" s="0" t="s">
        <v>55105</v>
      </c>
      <c r="K16577" s="0" t="s">
        <v>55106</v>
      </c>
      <c r="L16577" s="0" t="str">
        <f aca="false">HYPERLINK("https://www.ncbi.nlm.nih.gov/nuccore/CP000058.1?report=graph&amp;tracks=[key:gene_model_track,Options:GeneOnly]&amp;mk=5116998:5117017|offset_8|444444,5117057:5117076|offset_67|444444,5117078:5117097|offset_88|444444,5117114:5117133|offset_124|00cc00&amp;v=5116797:5117333&amp;c=444444", "offset 124")</f>
        <v>offset 124</v>
      </c>
    </row>
    <row r="16578" customFormat="false" ht="12.8" hidden="false" customHeight="false" outlineLevel="0" collapsed="false">
      <c r="A16578" s="0" t="s">
        <v>12</v>
      </c>
      <c r="B16578" s="0" t="n">
        <v>5119078</v>
      </c>
      <c r="C16578" s="0" t="n">
        <v>5119098</v>
      </c>
      <c r="D16578" s="0" t="s">
        <v>55107</v>
      </c>
      <c r="E16578" s="0" t="s">
        <v>75</v>
      </c>
      <c r="F16578" s="0" t="s">
        <v>90</v>
      </c>
      <c r="G16578" s="0" t="s">
        <v>16</v>
      </c>
      <c r="H16578" s="0" t="n">
        <v>57</v>
      </c>
      <c r="I16578" s="0" t="s">
        <v>55108</v>
      </c>
      <c r="J16578" s="0" t="s">
        <v>55109</v>
      </c>
      <c r="K16578" s="0" t="s">
        <v>55110</v>
      </c>
      <c r="L16578" s="0" t="str">
        <f aca="false">HYPERLINK("https://www.ncbi.nlm.nih.gov/nuccore/CP000058.1?report=graph&amp;tracks=[key:gene_model_track,Options:GeneOnly]&amp;mk=5119079:5119098|offset_57|00cc00,5119051:5119070|offset_85|444444,5119020:5119039|offset_116|444444,5118970:5118989|offset_166|444444&amp;v=5118878:5119189&amp;c=444444", "offset 57")</f>
        <v>offset 57</v>
      </c>
    </row>
    <row r="16579" customFormat="false" ht="12.8" hidden="false" customHeight="false" outlineLevel="0" collapsed="false">
      <c r="A16579" s="0" t="s">
        <v>12</v>
      </c>
      <c r="B16579" s="0" t="n">
        <v>5119050</v>
      </c>
      <c r="C16579" s="0" t="n">
        <v>5119070</v>
      </c>
      <c r="D16579" s="0" t="s">
        <v>55107</v>
      </c>
      <c r="E16579" s="0" t="s">
        <v>75</v>
      </c>
      <c r="F16579" s="0" t="s">
        <v>90</v>
      </c>
      <c r="G16579" s="0" t="s">
        <v>16</v>
      </c>
      <c r="H16579" s="0" t="n">
        <v>85</v>
      </c>
      <c r="I16579" s="0" t="s">
        <v>55111</v>
      </c>
      <c r="J16579" s="0" t="s">
        <v>55112</v>
      </c>
      <c r="K16579" s="0" t="s">
        <v>55113</v>
      </c>
      <c r="L16579" s="0" t="str">
        <f aca="false">HYPERLINK("https://www.ncbi.nlm.nih.gov/nuccore/CP000058.1?report=graph&amp;tracks=[key:gene_model_track,Options:GeneOnly]&amp;mk=5119079:5119098|offset_57|444444,5119051:5119070|offset_85|00cc00,5119020:5119039|offset_116|444444,5118970:5118989|offset_166|444444&amp;v=5118878:5119189&amp;c=444444", "offset 85")</f>
        <v>offset 85</v>
      </c>
    </row>
    <row r="16580" customFormat="false" ht="12.8" hidden="false" customHeight="false" outlineLevel="0" collapsed="false">
      <c r="A16580" s="0" t="s">
        <v>12</v>
      </c>
      <c r="B16580" s="0" t="n">
        <v>5119019</v>
      </c>
      <c r="C16580" s="0" t="n">
        <v>5119039</v>
      </c>
      <c r="D16580" s="0" t="s">
        <v>55107</v>
      </c>
      <c r="E16580" s="0" t="s">
        <v>75</v>
      </c>
      <c r="F16580" s="0" t="s">
        <v>90</v>
      </c>
      <c r="G16580" s="0" t="s">
        <v>36</v>
      </c>
      <c r="H16580" s="0" t="n">
        <v>116</v>
      </c>
      <c r="I16580" s="0" t="s">
        <v>55114</v>
      </c>
      <c r="J16580" s="0" t="s">
        <v>55115</v>
      </c>
      <c r="K16580" s="0" t="s">
        <v>55116</v>
      </c>
      <c r="L16580" s="0" t="str">
        <f aca="false">HYPERLINK("https://www.ncbi.nlm.nih.gov/nuccore/CP000058.1?report=graph&amp;tracks=[key:gene_model_track,Options:GeneOnly]&amp;mk=5119079:5119098|offset_57|444444,5119051:5119070|offset_85|444444,5119020:5119039|offset_116|00cc00,5118970:5118989|offset_166|444444&amp;v=5118878:5119189&amp;c=444444", "offset 116")</f>
        <v>offset 116</v>
      </c>
    </row>
    <row r="16581" customFormat="false" ht="12.8" hidden="false" customHeight="false" outlineLevel="0" collapsed="false">
      <c r="A16581" s="0" t="s">
        <v>12</v>
      </c>
      <c r="B16581" s="0" t="n">
        <v>5118969</v>
      </c>
      <c r="C16581" s="0" t="n">
        <v>5118989</v>
      </c>
      <c r="D16581" s="0" t="s">
        <v>55107</v>
      </c>
      <c r="E16581" s="0" t="s">
        <v>75</v>
      </c>
      <c r="F16581" s="0" t="s">
        <v>90</v>
      </c>
      <c r="G16581" s="0" t="s">
        <v>16</v>
      </c>
      <c r="H16581" s="0" t="n">
        <v>166</v>
      </c>
      <c r="I16581" s="0" t="s">
        <v>55117</v>
      </c>
      <c r="J16581" s="0" t="s">
        <v>55118</v>
      </c>
      <c r="K16581" s="0" t="s">
        <v>55119</v>
      </c>
      <c r="L16581" s="0" t="str">
        <f aca="false">HYPERLINK("https://www.ncbi.nlm.nih.gov/nuccore/CP000058.1?report=graph&amp;tracks=[key:gene_model_track,Options:GeneOnly]&amp;mk=5119079:5119098|offset_57|444444,5119051:5119070|offset_85|444444,5119020:5119039|offset_116|444444,5118970:5118989|offset_166|00cc00&amp;v=5118878:5119189&amp;c=444444", "offset 166")</f>
        <v>offset 166</v>
      </c>
    </row>
    <row r="16582" customFormat="false" ht="12.8" hidden="false" customHeight="false" outlineLevel="0" collapsed="false">
      <c r="A16582" s="0" t="s">
        <v>12</v>
      </c>
      <c r="B16582" s="0" t="n">
        <v>5119361</v>
      </c>
      <c r="C16582" s="0" t="n">
        <v>5119381</v>
      </c>
      <c r="D16582" s="0" t="s">
        <v>55120</v>
      </c>
      <c r="E16582" s="0" t="s">
        <v>75</v>
      </c>
      <c r="F16582" s="0" t="s">
        <v>15</v>
      </c>
      <c r="G16582" s="0" t="s">
        <v>20</v>
      </c>
      <c r="H16582" s="0" t="n">
        <v>29</v>
      </c>
      <c r="I16582" s="0" t="s">
        <v>55121</v>
      </c>
      <c r="J16582" s="0" t="s">
        <v>55122</v>
      </c>
      <c r="K16582" s="0" t="s">
        <v>55123</v>
      </c>
      <c r="L16582" s="0" t="str">
        <f aca="false">HYPERLINK("https://www.ncbi.nlm.nih.gov/nuccore/CP000058.1?report=graph&amp;tracks=[key:gene_model_track,Options:GeneOnly]&amp;mk=5119362:5119381|offset_29|00cc00&amp;v=5119161:5119581&amp;c=444444", "offset 29")</f>
        <v>offset 29</v>
      </c>
    </row>
    <row r="16583" customFormat="false" ht="12.8" hidden="false" customHeight="false" outlineLevel="0" collapsed="false">
      <c r="A16583" s="0" t="s">
        <v>12</v>
      </c>
      <c r="B16583" s="0" t="n">
        <v>5119477</v>
      </c>
      <c r="C16583" s="0" t="n">
        <v>5119497</v>
      </c>
      <c r="D16583" s="0" t="s">
        <v>55124</v>
      </c>
      <c r="E16583" s="0" t="s">
        <v>75</v>
      </c>
      <c r="F16583" s="0" t="s">
        <v>15</v>
      </c>
      <c r="G16583" s="0" t="s">
        <v>32</v>
      </c>
      <c r="H16583" s="0" t="n">
        <v>11</v>
      </c>
      <c r="I16583" s="0" t="s">
        <v>55125</v>
      </c>
      <c r="J16583" s="0" t="s">
        <v>55126</v>
      </c>
      <c r="K16583" s="0" t="s">
        <v>55127</v>
      </c>
      <c r="L16583" s="0" t="str">
        <f aca="false">HYPERLINK("https://www.ncbi.nlm.nih.gov/nuccore/CP000058.1?report=graph&amp;tracks=[key:gene_model_track,Options:GeneOnly]&amp;mk=5119478:5119497|offset_11|00cc00,5119519:5119538|offset_52|444444,5119545:5119564|offset_78|444444,5119593:5119612|offset_126|444444&amp;v=5119277:5119812&amp;c=444444", "offset 11")</f>
        <v>offset 11</v>
      </c>
    </row>
    <row r="16584" customFormat="false" ht="12.8" hidden="false" customHeight="false" outlineLevel="0" collapsed="false">
      <c r="A16584" s="0" t="s">
        <v>12</v>
      </c>
      <c r="B16584" s="0" t="n">
        <v>5119518</v>
      </c>
      <c r="C16584" s="0" t="n">
        <v>5119538</v>
      </c>
      <c r="D16584" s="0" t="s">
        <v>55124</v>
      </c>
      <c r="E16584" s="0" t="s">
        <v>75</v>
      </c>
      <c r="F16584" s="0" t="s">
        <v>15</v>
      </c>
      <c r="G16584" s="0" t="s">
        <v>32</v>
      </c>
      <c r="H16584" s="0" t="n">
        <v>52</v>
      </c>
      <c r="I16584" s="0" t="s">
        <v>55128</v>
      </c>
      <c r="J16584" s="0" t="s">
        <v>55129</v>
      </c>
      <c r="K16584" s="0" t="s">
        <v>55130</v>
      </c>
      <c r="L16584" s="0" t="str">
        <f aca="false">HYPERLINK("https://www.ncbi.nlm.nih.gov/nuccore/CP000058.1?report=graph&amp;tracks=[key:gene_model_track,Options:GeneOnly]&amp;mk=5119478:5119497|offset_11|444444,5119519:5119538|offset_52|00cc00,5119545:5119564|offset_78|444444,5119593:5119612|offset_126|444444&amp;v=5119277:5119812&amp;c=444444", "offset 52")</f>
        <v>offset 52</v>
      </c>
    </row>
    <row r="16585" customFormat="false" ht="12.8" hidden="false" customHeight="false" outlineLevel="0" collapsed="false">
      <c r="A16585" s="0" t="s">
        <v>12</v>
      </c>
      <c r="B16585" s="0" t="n">
        <v>5119544</v>
      </c>
      <c r="C16585" s="0" t="n">
        <v>5119564</v>
      </c>
      <c r="D16585" s="0" t="s">
        <v>55124</v>
      </c>
      <c r="E16585" s="0" t="s">
        <v>75</v>
      </c>
      <c r="F16585" s="0" t="s">
        <v>15</v>
      </c>
      <c r="G16585" s="0" t="s">
        <v>36</v>
      </c>
      <c r="H16585" s="0" t="n">
        <v>78</v>
      </c>
      <c r="I16585" s="0" t="s">
        <v>55131</v>
      </c>
      <c r="J16585" s="0" t="s">
        <v>55132</v>
      </c>
      <c r="K16585" s="0" t="s">
        <v>55133</v>
      </c>
      <c r="L16585" s="0" t="str">
        <f aca="false">HYPERLINK("https://www.ncbi.nlm.nih.gov/nuccore/CP000058.1?report=graph&amp;tracks=[key:gene_model_track,Options:GeneOnly]&amp;mk=5119478:5119497|offset_11|444444,5119519:5119538|offset_52|444444,5119545:5119564|offset_78|00cc00,5119593:5119612|offset_126|444444&amp;v=5119277:5119812&amp;c=444444", "offset 78")</f>
        <v>offset 78</v>
      </c>
    </row>
    <row r="16586" customFormat="false" ht="12.8" hidden="false" customHeight="false" outlineLevel="0" collapsed="false">
      <c r="A16586" s="0" t="s">
        <v>12</v>
      </c>
      <c r="B16586" s="0" t="n">
        <v>5119592</v>
      </c>
      <c r="C16586" s="0" t="n">
        <v>5119612</v>
      </c>
      <c r="D16586" s="0" t="s">
        <v>55124</v>
      </c>
      <c r="E16586" s="0" t="s">
        <v>75</v>
      </c>
      <c r="F16586" s="0" t="s">
        <v>15</v>
      </c>
      <c r="G16586" s="0" t="s">
        <v>16</v>
      </c>
      <c r="H16586" s="0" t="n">
        <v>126</v>
      </c>
      <c r="I16586" s="0" t="s">
        <v>55134</v>
      </c>
      <c r="J16586" s="0" t="s">
        <v>55135</v>
      </c>
      <c r="K16586" s="0" t="s">
        <v>55136</v>
      </c>
      <c r="L16586" s="0" t="str">
        <f aca="false">HYPERLINK("https://www.ncbi.nlm.nih.gov/nuccore/CP000058.1?report=graph&amp;tracks=[key:gene_model_track,Options:GeneOnly]&amp;mk=5119478:5119497|offset_11|444444,5119519:5119538|offset_52|444444,5119545:5119564|offset_78|444444,5119593:5119612|offset_126|00cc00&amp;v=5119277:5119812&amp;c=444444", "offset 126")</f>
        <v>offset 126</v>
      </c>
    </row>
    <row r="16587" customFormat="false" ht="12.8" hidden="false" customHeight="false" outlineLevel="0" collapsed="false">
      <c r="A16587" s="0" t="s">
        <v>12</v>
      </c>
      <c r="B16587" s="0" t="n">
        <v>5121856</v>
      </c>
      <c r="C16587" s="0" t="n">
        <v>5121876</v>
      </c>
      <c r="D16587" s="0" t="s">
        <v>55137</v>
      </c>
      <c r="E16587" s="0" t="s">
        <v>75</v>
      </c>
      <c r="F16587" s="0" t="s">
        <v>90</v>
      </c>
      <c r="G16587" s="0" t="s">
        <v>32</v>
      </c>
      <c r="H16587" s="0" t="n">
        <v>6</v>
      </c>
      <c r="I16587" s="0" t="s">
        <v>55138</v>
      </c>
      <c r="J16587" s="0" t="s">
        <v>55139</v>
      </c>
      <c r="K16587" s="0" t="s">
        <v>55140</v>
      </c>
      <c r="L16587" s="0" t="str">
        <f aca="false">HYPERLINK("https://www.ncbi.nlm.nih.gov/nuccore/CP000058.1?report=graph&amp;tracks=[key:gene_model_track,Options:GeneOnly]&amp;mk=5121857:5121876|offset_6|00cc00,5121826:5121845|offset_37|444444,5121785:5121804|offset_78|444444,5121757:5121776|offset_106|444444&amp;v=5121656:5121976&amp;c=444444", "offset 6")</f>
        <v>offset 6</v>
      </c>
    </row>
    <row r="16588" customFormat="false" ht="12.8" hidden="false" customHeight="false" outlineLevel="0" collapsed="false">
      <c r="A16588" s="0" t="s">
        <v>12</v>
      </c>
      <c r="B16588" s="0" t="n">
        <v>5121825</v>
      </c>
      <c r="C16588" s="0" t="n">
        <v>5121845</v>
      </c>
      <c r="D16588" s="0" t="s">
        <v>55137</v>
      </c>
      <c r="E16588" s="0" t="s">
        <v>75</v>
      </c>
      <c r="F16588" s="0" t="s">
        <v>90</v>
      </c>
      <c r="G16588" s="0" t="s">
        <v>32</v>
      </c>
      <c r="H16588" s="0" t="n">
        <v>37</v>
      </c>
      <c r="I16588" s="0" t="s">
        <v>55141</v>
      </c>
      <c r="J16588" s="0" t="s">
        <v>55142</v>
      </c>
      <c r="K16588" s="0" t="s">
        <v>55143</v>
      </c>
      <c r="L16588" s="0" t="str">
        <f aca="false">HYPERLINK("https://www.ncbi.nlm.nih.gov/nuccore/CP000058.1?report=graph&amp;tracks=[key:gene_model_track,Options:GeneOnly]&amp;mk=5121857:5121876|offset_6|444444,5121826:5121845|offset_37|00cc00,5121785:5121804|offset_78|444444,5121757:5121776|offset_106|444444&amp;v=5121656:5121976&amp;c=444444", "offset 37")</f>
        <v>offset 37</v>
      </c>
    </row>
    <row r="16589" customFormat="false" ht="12.8" hidden="false" customHeight="false" outlineLevel="0" collapsed="false">
      <c r="A16589" s="0" t="s">
        <v>12</v>
      </c>
      <c r="B16589" s="0" t="n">
        <v>5121784</v>
      </c>
      <c r="C16589" s="0" t="n">
        <v>5121804</v>
      </c>
      <c r="D16589" s="0" t="s">
        <v>55137</v>
      </c>
      <c r="E16589" s="0" t="s">
        <v>75</v>
      </c>
      <c r="F16589" s="0" t="s">
        <v>90</v>
      </c>
      <c r="G16589" s="0" t="s">
        <v>32</v>
      </c>
      <c r="H16589" s="0" t="n">
        <v>78</v>
      </c>
      <c r="I16589" s="0" t="s">
        <v>55144</v>
      </c>
      <c r="J16589" s="0" t="s">
        <v>55145</v>
      </c>
      <c r="K16589" s="0" t="s">
        <v>55146</v>
      </c>
      <c r="L16589" s="0" t="str">
        <f aca="false">HYPERLINK("https://www.ncbi.nlm.nih.gov/nuccore/CP000058.1?report=graph&amp;tracks=[key:gene_model_track,Options:GeneOnly]&amp;mk=5121857:5121876|offset_6|444444,5121826:5121845|offset_37|444444,5121785:5121804|offset_78|00cc00,5121757:5121776|offset_106|444444&amp;v=5121656:5121976&amp;c=444444", "offset 78")</f>
        <v>offset 78</v>
      </c>
    </row>
    <row r="16590" customFormat="false" ht="12.8" hidden="false" customHeight="false" outlineLevel="0" collapsed="false">
      <c r="A16590" s="0" t="s">
        <v>12</v>
      </c>
      <c r="B16590" s="0" t="n">
        <v>5121756</v>
      </c>
      <c r="C16590" s="0" t="n">
        <v>5121776</v>
      </c>
      <c r="D16590" s="0" t="s">
        <v>55137</v>
      </c>
      <c r="E16590" s="0" t="s">
        <v>75</v>
      </c>
      <c r="F16590" s="0" t="s">
        <v>90</v>
      </c>
      <c r="G16590" s="0" t="s">
        <v>16</v>
      </c>
      <c r="H16590" s="0" t="n">
        <v>106</v>
      </c>
      <c r="I16590" s="0" t="s">
        <v>55147</v>
      </c>
      <c r="J16590" s="0" t="s">
        <v>55148</v>
      </c>
      <c r="K16590" s="0" t="s">
        <v>55149</v>
      </c>
      <c r="L16590" s="0" t="str">
        <f aca="false">HYPERLINK("https://www.ncbi.nlm.nih.gov/nuccore/CP000058.1?report=graph&amp;tracks=[key:gene_model_track,Options:GeneOnly]&amp;mk=5121857:5121876|offset_6|444444,5121826:5121845|offset_37|444444,5121785:5121804|offset_78|444444,5121757:5121776|offset_106|00cc00&amp;v=5121656:5121976&amp;c=444444", "offset 106")</f>
        <v>offset 106</v>
      </c>
    </row>
    <row r="16591" customFormat="false" ht="12.8" hidden="false" customHeight="false" outlineLevel="0" collapsed="false">
      <c r="A16591" s="0" t="s">
        <v>12</v>
      </c>
      <c r="B16591" s="0" t="n">
        <v>5122320</v>
      </c>
      <c r="C16591" s="0" t="n">
        <v>5122340</v>
      </c>
      <c r="D16591" s="0" t="s">
        <v>55150</v>
      </c>
      <c r="E16591" s="0" t="s">
        <v>75</v>
      </c>
      <c r="F16591" s="0" t="s">
        <v>90</v>
      </c>
      <c r="G16591" s="0" t="s">
        <v>20</v>
      </c>
      <c r="H16591" s="0" t="n">
        <v>42</v>
      </c>
      <c r="I16591" s="0" t="s">
        <v>55151</v>
      </c>
      <c r="J16591" s="0" t="s">
        <v>55152</v>
      </c>
      <c r="K16591" s="0" t="s">
        <v>55153</v>
      </c>
      <c r="L16591" s="0" t="str">
        <f aca="false">HYPERLINK("https://www.ncbi.nlm.nih.gov/nuccore/CP000058.1?report=graph&amp;tracks=[key:gene_model_track,Options:GeneOnly]&amp;mk=5122321:5122340|offset_42|00cc00,5122251:5122270|offset_112|444444,5122227:5122246|offset_136|444444,5122181:5122200|offset_182|444444&amp;v=5122120:5122400&amp;c=444444", "offset 42")</f>
        <v>offset 42</v>
      </c>
    </row>
    <row r="16592" customFormat="false" ht="12.8" hidden="false" customHeight="false" outlineLevel="0" collapsed="false">
      <c r="A16592" s="0" t="s">
        <v>12</v>
      </c>
      <c r="B16592" s="0" t="n">
        <v>5122250</v>
      </c>
      <c r="C16592" s="0" t="n">
        <v>5122270</v>
      </c>
      <c r="D16592" s="0" t="s">
        <v>55150</v>
      </c>
      <c r="E16592" s="0" t="s">
        <v>75</v>
      </c>
      <c r="F16592" s="0" t="s">
        <v>90</v>
      </c>
      <c r="G16592" s="0" t="s">
        <v>32</v>
      </c>
      <c r="H16592" s="0" t="n">
        <v>112</v>
      </c>
      <c r="I16592" s="0" t="s">
        <v>55154</v>
      </c>
      <c r="J16592" s="0" t="s">
        <v>55155</v>
      </c>
      <c r="K16592" s="0" t="s">
        <v>55156</v>
      </c>
      <c r="L16592" s="0" t="str">
        <f aca="false">HYPERLINK("https://www.ncbi.nlm.nih.gov/nuccore/CP000058.1?report=graph&amp;tracks=[key:gene_model_track,Options:GeneOnly]&amp;mk=5122321:5122340|offset_42|444444,5122251:5122270|offset_112|00cc00,5122227:5122246|offset_136|444444,5122181:5122200|offset_182|444444&amp;v=5122120:5122400&amp;c=444444", "offset 112")</f>
        <v>offset 112</v>
      </c>
    </row>
    <row r="16593" customFormat="false" ht="12.8" hidden="false" customHeight="false" outlineLevel="0" collapsed="false">
      <c r="A16593" s="0" t="s">
        <v>12</v>
      </c>
      <c r="B16593" s="0" t="n">
        <v>5122226</v>
      </c>
      <c r="C16593" s="0" t="n">
        <v>5122246</v>
      </c>
      <c r="D16593" s="0" t="s">
        <v>55150</v>
      </c>
      <c r="E16593" s="0" t="s">
        <v>75</v>
      </c>
      <c r="F16593" s="0" t="s">
        <v>90</v>
      </c>
      <c r="G16593" s="0" t="s">
        <v>32</v>
      </c>
      <c r="H16593" s="0" t="n">
        <v>136</v>
      </c>
      <c r="I16593" s="0" t="s">
        <v>55157</v>
      </c>
      <c r="J16593" s="0" t="s">
        <v>55158</v>
      </c>
      <c r="K16593" s="0" t="s">
        <v>55159</v>
      </c>
      <c r="L16593" s="0" t="str">
        <f aca="false">HYPERLINK("https://www.ncbi.nlm.nih.gov/nuccore/CP000058.1?report=graph&amp;tracks=[key:gene_model_track,Options:GeneOnly]&amp;mk=5122321:5122340|offset_42|444444,5122251:5122270|offset_112|444444,5122227:5122246|offset_136|00cc00,5122181:5122200|offset_182|444444&amp;v=5122120:5122400&amp;c=444444", "offset 136")</f>
        <v>offset 136</v>
      </c>
    </row>
    <row r="16594" customFormat="false" ht="12.8" hidden="false" customHeight="false" outlineLevel="0" collapsed="false">
      <c r="A16594" s="0" t="s">
        <v>12</v>
      </c>
      <c r="B16594" s="0" t="n">
        <v>5122180</v>
      </c>
      <c r="C16594" s="0" t="n">
        <v>5122200</v>
      </c>
      <c r="D16594" s="0" t="s">
        <v>55150</v>
      </c>
      <c r="E16594" s="0" t="s">
        <v>75</v>
      </c>
      <c r="F16594" s="0" t="s">
        <v>90</v>
      </c>
      <c r="G16594" s="0" t="s">
        <v>20</v>
      </c>
      <c r="H16594" s="0" t="n">
        <v>182</v>
      </c>
      <c r="I16594" s="0" t="s">
        <v>55160</v>
      </c>
      <c r="J16594" s="0" t="s">
        <v>55161</v>
      </c>
      <c r="K16594" s="0" t="s">
        <v>55162</v>
      </c>
      <c r="L16594" s="0" t="str">
        <f aca="false">HYPERLINK("https://www.ncbi.nlm.nih.gov/nuccore/CP000058.1?report=graph&amp;tracks=[key:gene_model_track,Options:GeneOnly]&amp;mk=5122321:5122340|offset_42|444444,5122251:5122270|offset_112|444444,5122227:5122246|offset_136|444444,5122181:5122200|offset_182|00cc00&amp;v=5122120:5122400&amp;c=444444", "offset 182")</f>
        <v>offset 182</v>
      </c>
    </row>
    <row r="16595" customFormat="false" ht="12.8" hidden="false" customHeight="false" outlineLevel="0" collapsed="false">
      <c r="A16595" s="0" t="s">
        <v>12</v>
      </c>
      <c r="B16595" s="0" t="n">
        <v>5122531</v>
      </c>
      <c r="C16595" s="0" t="n">
        <v>5122551</v>
      </c>
      <c r="D16595" s="0" t="s">
        <v>55163</v>
      </c>
      <c r="E16595" s="0" t="s">
        <v>75</v>
      </c>
      <c r="F16595" s="0" t="s">
        <v>15</v>
      </c>
      <c r="G16595" s="0" t="s">
        <v>32</v>
      </c>
      <c r="H16595" s="0" t="n">
        <v>18</v>
      </c>
      <c r="I16595" s="0" t="s">
        <v>55164</v>
      </c>
      <c r="J16595" s="0" t="s">
        <v>55165</v>
      </c>
      <c r="K16595" s="0" t="s">
        <v>55166</v>
      </c>
      <c r="L16595" s="0" t="str">
        <f aca="false">HYPERLINK("https://www.ncbi.nlm.nih.gov/nuccore/CP000058.1?report=graph&amp;tracks=[key:gene_model_track,Options:GeneOnly]&amp;mk=5122532:5122551|offset_18|00cc00,5122569:5122588|offset_55|444444,5122601:5122620|offset_87|444444,5122652:5122671|offset_138|444444&amp;v=5122331:5122871&amp;c=444444", "offset 18")</f>
        <v>offset 18</v>
      </c>
    </row>
    <row r="16596" customFormat="false" ht="12.8" hidden="false" customHeight="false" outlineLevel="0" collapsed="false">
      <c r="A16596" s="0" t="s">
        <v>12</v>
      </c>
      <c r="B16596" s="0" t="n">
        <v>5122568</v>
      </c>
      <c r="C16596" s="0" t="n">
        <v>5122588</v>
      </c>
      <c r="D16596" s="0" t="s">
        <v>55163</v>
      </c>
      <c r="E16596" s="0" t="s">
        <v>75</v>
      </c>
      <c r="F16596" s="0" t="s">
        <v>15</v>
      </c>
      <c r="G16596" s="0" t="s">
        <v>16</v>
      </c>
      <c r="H16596" s="0" t="n">
        <v>55</v>
      </c>
      <c r="I16596" s="0" t="s">
        <v>55167</v>
      </c>
      <c r="J16596" s="0" t="s">
        <v>55168</v>
      </c>
      <c r="K16596" s="0" t="s">
        <v>55169</v>
      </c>
      <c r="L16596" s="0" t="str">
        <f aca="false">HYPERLINK("https://www.ncbi.nlm.nih.gov/nuccore/CP000058.1?report=graph&amp;tracks=[key:gene_model_track,Options:GeneOnly]&amp;mk=5122532:5122551|offset_18|444444,5122569:5122588|offset_55|00cc00,5122601:5122620|offset_87|444444,5122652:5122671|offset_138|444444&amp;v=5122331:5122871&amp;c=444444", "offset 55")</f>
        <v>offset 55</v>
      </c>
    </row>
    <row r="16597" customFormat="false" ht="12.8" hidden="false" customHeight="false" outlineLevel="0" collapsed="false">
      <c r="A16597" s="0" t="s">
        <v>12</v>
      </c>
      <c r="B16597" s="0" t="n">
        <v>5122600</v>
      </c>
      <c r="C16597" s="0" t="n">
        <v>5122620</v>
      </c>
      <c r="D16597" s="0" t="s">
        <v>55163</v>
      </c>
      <c r="E16597" s="0" t="s">
        <v>75</v>
      </c>
      <c r="F16597" s="0" t="s">
        <v>15</v>
      </c>
      <c r="G16597" s="0" t="s">
        <v>16</v>
      </c>
      <c r="H16597" s="0" t="n">
        <v>87</v>
      </c>
      <c r="I16597" s="0" t="s">
        <v>55170</v>
      </c>
      <c r="J16597" s="0" t="s">
        <v>55171</v>
      </c>
      <c r="K16597" s="0" t="s">
        <v>55172</v>
      </c>
      <c r="L16597" s="0" t="str">
        <f aca="false">HYPERLINK("https://www.ncbi.nlm.nih.gov/nuccore/CP000058.1?report=graph&amp;tracks=[key:gene_model_track,Options:GeneOnly]&amp;mk=5122532:5122551|offset_18|444444,5122569:5122588|offset_55|444444,5122601:5122620|offset_87|00cc00,5122652:5122671|offset_138|444444&amp;v=5122331:5122871&amp;c=444444", "offset 87")</f>
        <v>offset 87</v>
      </c>
    </row>
    <row r="16598" customFormat="false" ht="12.8" hidden="false" customHeight="false" outlineLevel="0" collapsed="false">
      <c r="A16598" s="0" t="s">
        <v>12</v>
      </c>
      <c r="B16598" s="0" t="n">
        <v>5122651</v>
      </c>
      <c r="C16598" s="0" t="n">
        <v>5122671</v>
      </c>
      <c r="D16598" s="0" t="s">
        <v>55163</v>
      </c>
      <c r="E16598" s="0" t="s">
        <v>75</v>
      </c>
      <c r="F16598" s="0" t="s">
        <v>15</v>
      </c>
      <c r="G16598" s="0" t="s">
        <v>36</v>
      </c>
      <c r="H16598" s="0" t="n">
        <v>138</v>
      </c>
      <c r="I16598" s="0" t="s">
        <v>55173</v>
      </c>
      <c r="J16598" s="0" t="s">
        <v>55174</v>
      </c>
      <c r="K16598" s="0" t="s">
        <v>55175</v>
      </c>
      <c r="L16598" s="0" t="str">
        <f aca="false">HYPERLINK("https://www.ncbi.nlm.nih.gov/nuccore/CP000058.1?report=graph&amp;tracks=[key:gene_model_track,Options:GeneOnly]&amp;mk=5122532:5122551|offset_18|444444,5122569:5122588|offset_55|444444,5122601:5122620|offset_87|444444,5122652:5122671|offset_138|00cc00&amp;v=5122331:5122871&amp;c=444444", "offset 138")</f>
        <v>offset 138</v>
      </c>
    </row>
    <row r="16599" customFormat="false" ht="12.8" hidden="false" customHeight="false" outlineLevel="0" collapsed="false">
      <c r="A16599" s="0" t="s">
        <v>12</v>
      </c>
      <c r="B16599" s="0" t="n">
        <v>5123568</v>
      </c>
      <c r="C16599" s="0" t="n">
        <v>5123588</v>
      </c>
      <c r="D16599" s="0" t="s">
        <v>55176</v>
      </c>
      <c r="E16599" s="0" t="s">
        <v>75</v>
      </c>
      <c r="F16599" s="0" t="s">
        <v>90</v>
      </c>
      <c r="G16599" s="0" t="s">
        <v>20</v>
      </c>
      <c r="H16599" s="0" t="n">
        <v>37</v>
      </c>
      <c r="I16599" s="0" t="s">
        <v>55177</v>
      </c>
      <c r="J16599" s="0" t="s">
        <v>55178</v>
      </c>
      <c r="K16599" s="0" t="s">
        <v>55179</v>
      </c>
      <c r="L16599" s="0" t="str">
        <f aca="false">HYPERLINK("https://www.ncbi.nlm.nih.gov/nuccore/CP000058.1?report=graph&amp;tracks=[key:gene_model_track,Options:GeneOnly]&amp;mk=5123569:5123588|offset_37|00cc00,5123522:5123541|offset_84|444444,5123484:5123503|offset_122|444444,5123449:5123468|offset_157|444444&amp;v=5123368:5123668&amp;c=444444", "offset 37")</f>
        <v>offset 37</v>
      </c>
    </row>
    <row r="16600" customFormat="false" ht="12.8" hidden="false" customHeight="false" outlineLevel="0" collapsed="false">
      <c r="A16600" s="0" t="s">
        <v>12</v>
      </c>
      <c r="B16600" s="0" t="n">
        <v>5123521</v>
      </c>
      <c r="C16600" s="0" t="n">
        <v>5123541</v>
      </c>
      <c r="D16600" s="0" t="s">
        <v>55176</v>
      </c>
      <c r="E16600" s="0" t="s">
        <v>75</v>
      </c>
      <c r="F16600" s="0" t="s">
        <v>90</v>
      </c>
      <c r="G16600" s="0" t="s">
        <v>36</v>
      </c>
      <c r="H16600" s="0" t="n">
        <v>84</v>
      </c>
      <c r="I16600" s="0" t="s">
        <v>55180</v>
      </c>
      <c r="J16600" s="0" t="s">
        <v>55181</v>
      </c>
      <c r="K16600" s="0" t="s">
        <v>55182</v>
      </c>
      <c r="L16600" s="0" t="str">
        <f aca="false">HYPERLINK("https://www.ncbi.nlm.nih.gov/nuccore/CP000058.1?report=graph&amp;tracks=[key:gene_model_track,Options:GeneOnly]&amp;mk=5123569:5123588|offset_37|444444,5123522:5123541|offset_84|00cc00,5123484:5123503|offset_122|444444,5123449:5123468|offset_157|444444&amp;v=5123368:5123668&amp;c=444444", "offset 84")</f>
        <v>offset 84</v>
      </c>
    </row>
    <row r="16601" customFormat="false" ht="12.8" hidden="false" customHeight="false" outlineLevel="0" collapsed="false">
      <c r="A16601" s="0" t="s">
        <v>12</v>
      </c>
      <c r="B16601" s="0" t="n">
        <v>5123483</v>
      </c>
      <c r="C16601" s="0" t="n">
        <v>5123503</v>
      </c>
      <c r="D16601" s="0" t="s">
        <v>55176</v>
      </c>
      <c r="E16601" s="0" t="s">
        <v>75</v>
      </c>
      <c r="F16601" s="0" t="s">
        <v>90</v>
      </c>
      <c r="G16601" s="0" t="s">
        <v>32</v>
      </c>
      <c r="H16601" s="0" t="n">
        <v>122</v>
      </c>
      <c r="I16601" s="0" t="s">
        <v>55183</v>
      </c>
      <c r="J16601" s="0" t="s">
        <v>55184</v>
      </c>
      <c r="K16601" s="0" t="s">
        <v>55185</v>
      </c>
      <c r="L16601" s="0" t="str">
        <f aca="false">HYPERLINK("https://www.ncbi.nlm.nih.gov/nuccore/CP000058.1?report=graph&amp;tracks=[key:gene_model_track,Options:GeneOnly]&amp;mk=5123569:5123588|offset_37|444444,5123522:5123541|offset_84|444444,5123484:5123503|offset_122|00cc00,5123449:5123468|offset_157|444444&amp;v=5123368:5123668&amp;c=444444", "offset 122")</f>
        <v>offset 122</v>
      </c>
    </row>
    <row r="16602" customFormat="false" ht="12.8" hidden="false" customHeight="false" outlineLevel="0" collapsed="false">
      <c r="A16602" s="0" t="s">
        <v>12</v>
      </c>
      <c r="B16602" s="0" t="n">
        <v>5123448</v>
      </c>
      <c r="C16602" s="0" t="n">
        <v>5123468</v>
      </c>
      <c r="D16602" s="0" t="s">
        <v>55176</v>
      </c>
      <c r="E16602" s="0" t="s">
        <v>75</v>
      </c>
      <c r="F16602" s="0" t="s">
        <v>90</v>
      </c>
      <c r="G16602" s="0" t="s">
        <v>16</v>
      </c>
      <c r="H16602" s="0" t="n">
        <v>157</v>
      </c>
      <c r="I16602" s="0" t="s">
        <v>55186</v>
      </c>
      <c r="J16602" s="0" t="s">
        <v>55187</v>
      </c>
      <c r="K16602" s="0" t="s">
        <v>55188</v>
      </c>
      <c r="L16602" s="0" t="str">
        <f aca="false">HYPERLINK("https://www.ncbi.nlm.nih.gov/nuccore/CP000058.1?report=graph&amp;tracks=[key:gene_model_track,Options:GeneOnly]&amp;mk=5123569:5123588|offset_37|444444,5123522:5123541|offset_84|444444,5123484:5123503|offset_122|444444,5123449:5123468|offset_157|00cc00&amp;v=5123368:5123668&amp;c=444444", "offset 157")</f>
        <v>offset 157</v>
      </c>
    </row>
    <row r="16603" customFormat="false" ht="12.8" hidden="false" customHeight="false" outlineLevel="0" collapsed="false">
      <c r="A16603" s="0" t="s">
        <v>12</v>
      </c>
      <c r="B16603" s="0" t="n">
        <v>5123953</v>
      </c>
      <c r="C16603" s="0" t="n">
        <v>5123973</v>
      </c>
      <c r="D16603" s="0" t="s">
        <v>55189</v>
      </c>
      <c r="E16603" s="0" t="s">
        <v>55190</v>
      </c>
      <c r="F16603" s="0" t="s">
        <v>15</v>
      </c>
      <c r="G16603" s="0" t="s">
        <v>16</v>
      </c>
      <c r="H16603" s="0" t="n">
        <v>49</v>
      </c>
      <c r="I16603" s="0" t="s">
        <v>55191</v>
      </c>
      <c r="J16603" s="0" t="s">
        <v>55192</v>
      </c>
      <c r="K16603" s="0" t="s">
        <v>55193</v>
      </c>
      <c r="L16603" s="0" t="str">
        <f aca="false">HYPERLINK("https://www.ncbi.nlm.nih.gov/nuccore/CP000058.1?report=graph&amp;tracks=[key:gene_model_track,Options:GeneOnly]&amp;mk=5123954:5123973|offset_49|00cc00,5123982:5124001|offset_77|444444,5124013:5124032|offset_108|444444,5124048:5124067|offset_143|444444&amp;v=5123753:5124267&amp;c=444444", "offset 49")</f>
        <v>offset 49</v>
      </c>
    </row>
    <row r="16604" customFormat="false" ht="12.8" hidden="false" customHeight="false" outlineLevel="0" collapsed="false">
      <c r="A16604" s="0" t="s">
        <v>12</v>
      </c>
      <c r="B16604" s="0" t="n">
        <v>5123981</v>
      </c>
      <c r="C16604" s="0" t="n">
        <v>5124001</v>
      </c>
      <c r="D16604" s="0" t="s">
        <v>55189</v>
      </c>
      <c r="E16604" s="0" t="s">
        <v>55190</v>
      </c>
      <c r="F16604" s="0" t="s">
        <v>15</v>
      </c>
      <c r="G16604" s="0" t="s">
        <v>36</v>
      </c>
      <c r="H16604" s="0" t="n">
        <v>77</v>
      </c>
      <c r="I16604" s="0" t="s">
        <v>55194</v>
      </c>
      <c r="J16604" s="0" t="s">
        <v>55195</v>
      </c>
      <c r="K16604" s="0" t="s">
        <v>55196</v>
      </c>
      <c r="L16604" s="0" t="str">
        <f aca="false">HYPERLINK("https://www.ncbi.nlm.nih.gov/nuccore/CP000058.1?report=graph&amp;tracks=[key:gene_model_track,Options:GeneOnly]&amp;mk=5123954:5123973|offset_49|444444,5123982:5124001|offset_77|00cc00,5124013:5124032|offset_108|444444,5124048:5124067|offset_143|444444&amp;v=5123753:5124267&amp;c=444444", "offset 77")</f>
        <v>offset 77</v>
      </c>
    </row>
    <row r="16605" customFormat="false" ht="12.8" hidden="false" customHeight="false" outlineLevel="0" collapsed="false">
      <c r="A16605" s="0" t="s">
        <v>12</v>
      </c>
      <c r="B16605" s="0" t="n">
        <v>5124012</v>
      </c>
      <c r="C16605" s="0" t="n">
        <v>5124032</v>
      </c>
      <c r="D16605" s="0" t="s">
        <v>55189</v>
      </c>
      <c r="E16605" s="0" t="s">
        <v>55190</v>
      </c>
      <c r="F16605" s="0" t="s">
        <v>15</v>
      </c>
      <c r="G16605" s="0" t="s">
        <v>16</v>
      </c>
      <c r="H16605" s="0" t="n">
        <v>108</v>
      </c>
      <c r="I16605" s="0" t="s">
        <v>55197</v>
      </c>
      <c r="J16605" s="0" t="s">
        <v>55198</v>
      </c>
      <c r="K16605" s="0" t="s">
        <v>55199</v>
      </c>
      <c r="L16605" s="0" t="str">
        <f aca="false">HYPERLINK("https://www.ncbi.nlm.nih.gov/nuccore/CP000058.1?report=graph&amp;tracks=[key:gene_model_track,Options:GeneOnly]&amp;mk=5123954:5123973|offset_49|444444,5123982:5124001|offset_77|444444,5124013:5124032|offset_108|00cc00,5124048:5124067|offset_143|444444&amp;v=5123753:5124267&amp;c=444444", "offset 108")</f>
        <v>offset 108</v>
      </c>
    </row>
    <row r="16606" customFormat="false" ht="12.8" hidden="false" customHeight="false" outlineLevel="0" collapsed="false">
      <c r="A16606" s="0" t="s">
        <v>12</v>
      </c>
      <c r="B16606" s="0" t="n">
        <v>5124047</v>
      </c>
      <c r="C16606" s="0" t="n">
        <v>5124067</v>
      </c>
      <c r="D16606" s="0" t="s">
        <v>55189</v>
      </c>
      <c r="E16606" s="0" t="s">
        <v>55190</v>
      </c>
      <c r="F16606" s="0" t="s">
        <v>15</v>
      </c>
      <c r="G16606" s="0" t="s">
        <v>32</v>
      </c>
      <c r="H16606" s="0" t="n">
        <v>143</v>
      </c>
      <c r="I16606" s="0" t="s">
        <v>55200</v>
      </c>
      <c r="J16606" s="0" t="s">
        <v>55201</v>
      </c>
      <c r="K16606" s="0" t="s">
        <v>55202</v>
      </c>
      <c r="L16606" s="0" t="str">
        <f aca="false">HYPERLINK("https://www.ncbi.nlm.nih.gov/nuccore/CP000058.1?report=graph&amp;tracks=[key:gene_model_track,Options:GeneOnly]&amp;mk=5123954:5123973|offset_49|444444,5123982:5124001|offset_77|444444,5124013:5124032|offset_108|444444,5124048:5124067|offset_143|00cc00&amp;v=5123753:5124267&amp;c=444444", "offset 143")</f>
        <v>offset 143</v>
      </c>
    </row>
    <row r="16607" customFormat="false" ht="12.8" hidden="false" customHeight="false" outlineLevel="0" collapsed="false">
      <c r="A16607" s="0" t="s">
        <v>12</v>
      </c>
      <c r="B16607" s="0" t="n">
        <v>5124476</v>
      </c>
      <c r="C16607" s="0" t="n">
        <v>5124496</v>
      </c>
      <c r="D16607" s="0" t="s">
        <v>55203</v>
      </c>
      <c r="E16607" s="0" t="s">
        <v>75</v>
      </c>
      <c r="F16607" s="0" t="s">
        <v>15</v>
      </c>
      <c r="G16607" s="0" t="s">
        <v>16</v>
      </c>
      <c r="H16607" s="0" t="n">
        <v>39</v>
      </c>
      <c r="I16607" s="0" t="s">
        <v>55204</v>
      </c>
      <c r="J16607" s="0" t="s">
        <v>55205</v>
      </c>
      <c r="K16607" s="0" t="s">
        <v>55206</v>
      </c>
      <c r="L16607" s="0" t="str">
        <f aca="false">HYPERLINK("https://www.ncbi.nlm.nih.gov/nuccore/CP000058.1?report=graph&amp;tracks=[key:gene_model_track,Options:GeneOnly]&amp;mk=5124477:5124496|offset_39|00cc00,5124523:5124542|offset_85|444444,5124553:5124572|offset_115|444444,5124589:5124608|offset_151|444444&amp;v=5124276:5124808&amp;c=444444", "offset 39")</f>
        <v>offset 39</v>
      </c>
    </row>
    <row r="16608" customFormat="false" ht="12.8" hidden="false" customHeight="false" outlineLevel="0" collapsed="false">
      <c r="A16608" s="0" t="s">
        <v>12</v>
      </c>
      <c r="B16608" s="0" t="n">
        <v>5124522</v>
      </c>
      <c r="C16608" s="0" t="n">
        <v>5124542</v>
      </c>
      <c r="D16608" s="0" t="s">
        <v>55203</v>
      </c>
      <c r="E16608" s="0" t="s">
        <v>75</v>
      </c>
      <c r="F16608" s="0" t="s">
        <v>15</v>
      </c>
      <c r="G16608" s="0" t="s">
        <v>16</v>
      </c>
      <c r="H16608" s="0" t="n">
        <v>85</v>
      </c>
      <c r="I16608" s="0" t="s">
        <v>55207</v>
      </c>
      <c r="J16608" s="0" t="s">
        <v>55208</v>
      </c>
      <c r="K16608" s="0" t="s">
        <v>55209</v>
      </c>
      <c r="L16608" s="0" t="str">
        <f aca="false">HYPERLINK("https://www.ncbi.nlm.nih.gov/nuccore/CP000058.1?report=graph&amp;tracks=[key:gene_model_track,Options:GeneOnly]&amp;mk=5124477:5124496|offset_39|444444,5124523:5124542|offset_85|00cc00,5124553:5124572|offset_115|444444,5124589:5124608|offset_151|444444&amp;v=5124276:5124808&amp;c=444444", "offset 85")</f>
        <v>offset 85</v>
      </c>
    </row>
    <row r="16609" customFormat="false" ht="12.8" hidden="false" customHeight="false" outlineLevel="0" collapsed="false">
      <c r="A16609" s="0" t="s">
        <v>12</v>
      </c>
      <c r="B16609" s="0" t="n">
        <v>5124552</v>
      </c>
      <c r="C16609" s="0" t="n">
        <v>5124572</v>
      </c>
      <c r="D16609" s="0" t="s">
        <v>55203</v>
      </c>
      <c r="E16609" s="0" t="s">
        <v>75</v>
      </c>
      <c r="F16609" s="0" t="s">
        <v>15</v>
      </c>
      <c r="G16609" s="0" t="s">
        <v>20</v>
      </c>
      <c r="H16609" s="0" t="n">
        <v>115</v>
      </c>
      <c r="I16609" s="0" t="s">
        <v>55210</v>
      </c>
      <c r="J16609" s="0" t="s">
        <v>55211</v>
      </c>
      <c r="K16609" s="0" t="s">
        <v>55212</v>
      </c>
      <c r="L16609" s="0" t="str">
        <f aca="false">HYPERLINK("https://www.ncbi.nlm.nih.gov/nuccore/CP000058.1?report=graph&amp;tracks=[key:gene_model_track,Options:GeneOnly]&amp;mk=5124477:5124496|offset_39|444444,5124523:5124542|offset_85|444444,5124553:5124572|offset_115|00cc00,5124589:5124608|offset_151|444444&amp;v=5124276:5124808&amp;c=444444", "offset 115")</f>
        <v>offset 115</v>
      </c>
    </row>
    <row r="16610" customFormat="false" ht="12.8" hidden="false" customHeight="false" outlineLevel="0" collapsed="false">
      <c r="A16610" s="0" t="s">
        <v>12</v>
      </c>
      <c r="B16610" s="0" t="n">
        <v>5124588</v>
      </c>
      <c r="C16610" s="0" t="n">
        <v>5124608</v>
      </c>
      <c r="D16610" s="0" t="s">
        <v>55203</v>
      </c>
      <c r="E16610" s="0" t="s">
        <v>75</v>
      </c>
      <c r="F16610" s="0" t="s">
        <v>15</v>
      </c>
      <c r="G16610" s="0" t="s">
        <v>16</v>
      </c>
      <c r="H16610" s="0" t="n">
        <v>151</v>
      </c>
      <c r="I16610" s="0" t="s">
        <v>55213</v>
      </c>
      <c r="J16610" s="0" t="s">
        <v>55214</v>
      </c>
      <c r="K16610" s="0" t="s">
        <v>55215</v>
      </c>
      <c r="L16610" s="0" t="str">
        <f aca="false">HYPERLINK("https://www.ncbi.nlm.nih.gov/nuccore/CP000058.1?report=graph&amp;tracks=[key:gene_model_track,Options:GeneOnly]&amp;mk=5124477:5124496|offset_39|444444,5124523:5124542|offset_85|444444,5124553:5124572|offset_115|444444,5124589:5124608|offset_151|00cc00&amp;v=5124276:5124808&amp;c=444444", "offset 151")</f>
        <v>offset 151</v>
      </c>
    </row>
    <row r="16611" customFormat="false" ht="12.8" hidden="false" customHeight="false" outlineLevel="0" collapsed="false">
      <c r="A16611" s="0" t="s">
        <v>12</v>
      </c>
      <c r="B16611" s="0" t="n">
        <v>5124936</v>
      </c>
      <c r="C16611" s="0" t="n">
        <v>5124956</v>
      </c>
      <c r="D16611" s="0" t="s">
        <v>55216</v>
      </c>
      <c r="E16611" s="0" t="s">
        <v>75</v>
      </c>
      <c r="F16611" s="0" t="s">
        <v>15</v>
      </c>
      <c r="G16611" s="0" t="s">
        <v>32</v>
      </c>
      <c r="H16611" s="0" t="n">
        <v>1</v>
      </c>
      <c r="I16611" s="0" t="s">
        <v>55217</v>
      </c>
      <c r="J16611" s="0" t="s">
        <v>55218</v>
      </c>
      <c r="K16611" s="0" t="s">
        <v>55219</v>
      </c>
      <c r="L16611" s="0" t="str">
        <f aca="false">HYPERLINK("https://www.ncbi.nlm.nih.gov/nuccore/CP000058.1?report=graph&amp;tracks=[key:gene_model_track,Options:GeneOnly]&amp;mk=5124937:5124956|offset_1|00cc00,5124967:5124986|offset_31|444444,5125011:5125030|offset_75|444444,5125075:5125094|offset_139|444444&amp;v=5124736:5125294&amp;c=444444", "offset 1")</f>
        <v>offset 1</v>
      </c>
    </row>
    <row r="16612" customFormat="false" ht="12.8" hidden="false" customHeight="false" outlineLevel="0" collapsed="false">
      <c r="A16612" s="0" t="s">
        <v>12</v>
      </c>
      <c r="B16612" s="0" t="n">
        <v>5124966</v>
      </c>
      <c r="C16612" s="0" t="n">
        <v>5124986</v>
      </c>
      <c r="D16612" s="0" t="s">
        <v>55216</v>
      </c>
      <c r="E16612" s="0" t="s">
        <v>75</v>
      </c>
      <c r="F16612" s="0" t="s">
        <v>15</v>
      </c>
      <c r="G16612" s="0" t="s">
        <v>32</v>
      </c>
      <c r="H16612" s="0" t="n">
        <v>31</v>
      </c>
      <c r="I16612" s="0" t="s">
        <v>55220</v>
      </c>
      <c r="J16612" s="0" t="s">
        <v>55221</v>
      </c>
      <c r="K16612" s="0" t="s">
        <v>55222</v>
      </c>
      <c r="L16612" s="0" t="str">
        <f aca="false">HYPERLINK("https://www.ncbi.nlm.nih.gov/nuccore/CP000058.1?report=graph&amp;tracks=[key:gene_model_track,Options:GeneOnly]&amp;mk=5124937:5124956|offset_1|444444,5124967:5124986|offset_31|00cc00,5125011:5125030|offset_75|444444,5125075:5125094|offset_139|444444&amp;v=5124736:5125294&amp;c=444444", "offset 31")</f>
        <v>offset 31</v>
      </c>
    </row>
    <row r="16613" customFormat="false" ht="12.8" hidden="false" customHeight="false" outlineLevel="0" collapsed="false">
      <c r="A16613" s="0" t="s">
        <v>12</v>
      </c>
      <c r="B16613" s="0" t="n">
        <v>5125010</v>
      </c>
      <c r="C16613" s="0" t="n">
        <v>5125030</v>
      </c>
      <c r="D16613" s="0" t="s">
        <v>55216</v>
      </c>
      <c r="E16613" s="0" t="s">
        <v>75</v>
      </c>
      <c r="F16613" s="0" t="s">
        <v>15</v>
      </c>
      <c r="G16613" s="0" t="s">
        <v>32</v>
      </c>
      <c r="H16613" s="0" t="n">
        <v>75</v>
      </c>
      <c r="I16613" s="0" t="s">
        <v>55223</v>
      </c>
      <c r="J16613" s="0" t="s">
        <v>55224</v>
      </c>
      <c r="K16613" s="0" t="s">
        <v>55225</v>
      </c>
      <c r="L16613" s="0" t="str">
        <f aca="false">HYPERLINK("https://www.ncbi.nlm.nih.gov/nuccore/CP000058.1?report=graph&amp;tracks=[key:gene_model_track,Options:GeneOnly]&amp;mk=5124937:5124956|offset_1|444444,5124967:5124986|offset_31|444444,5125011:5125030|offset_75|00cc00,5125075:5125094|offset_139|444444&amp;v=5124736:5125294&amp;c=444444", "offset 75")</f>
        <v>offset 75</v>
      </c>
    </row>
    <row r="16614" customFormat="false" ht="12.8" hidden="false" customHeight="false" outlineLevel="0" collapsed="false">
      <c r="A16614" s="0" t="s">
        <v>12</v>
      </c>
      <c r="B16614" s="0" t="n">
        <v>5125074</v>
      </c>
      <c r="C16614" s="0" t="n">
        <v>5125094</v>
      </c>
      <c r="D16614" s="0" t="s">
        <v>55216</v>
      </c>
      <c r="E16614" s="0" t="s">
        <v>75</v>
      </c>
      <c r="F16614" s="0" t="s">
        <v>15</v>
      </c>
      <c r="G16614" s="0" t="s">
        <v>16</v>
      </c>
      <c r="H16614" s="0" t="n">
        <v>139</v>
      </c>
      <c r="I16614" s="0" t="s">
        <v>55226</v>
      </c>
      <c r="J16614" s="0" t="s">
        <v>55227</v>
      </c>
      <c r="K16614" s="0" t="s">
        <v>55228</v>
      </c>
      <c r="L16614" s="0" t="str">
        <f aca="false">HYPERLINK("https://www.ncbi.nlm.nih.gov/nuccore/CP000058.1?report=graph&amp;tracks=[key:gene_model_track,Options:GeneOnly]&amp;mk=5124937:5124956|offset_1|444444,5124967:5124986|offset_31|444444,5125011:5125030|offset_75|444444,5125075:5125094|offset_139|00cc00&amp;v=5124736:5125294&amp;c=444444", "offset 139")</f>
        <v>offset 139</v>
      </c>
    </row>
    <row r="16615" customFormat="false" ht="12.8" hidden="false" customHeight="false" outlineLevel="0" collapsed="false">
      <c r="A16615" s="0" t="s">
        <v>12</v>
      </c>
      <c r="B16615" s="0" t="n">
        <v>5128854</v>
      </c>
      <c r="C16615" s="0" t="n">
        <v>5128874</v>
      </c>
      <c r="D16615" s="0" t="s">
        <v>55229</v>
      </c>
      <c r="E16615" s="0" t="s">
        <v>75</v>
      </c>
      <c r="F16615" s="0" t="s">
        <v>15</v>
      </c>
      <c r="G16615" s="0" t="s">
        <v>16</v>
      </c>
      <c r="H16615" s="0" t="n">
        <v>15</v>
      </c>
      <c r="I16615" s="0" t="s">
        <v>55230</v>
      </c>
      <c r="J16615" s="0" t="s">
        <v>55231</v>
      </c>
      <c r="K16615" s="0" t="s">
        <v>55232</v>
      </c>
      <c r="L16615" s="0" t="str">
        <f aca="false">HYPERLINK("https://www.ncbi.nlm.nih.gov/nuccore/CP000058.1?report=graph&amp;tracks=[key:gene_model_track,Options:GeneOnly]&amp;mk=5128855:5128874|offset_15|00cc00,5128890:5128909|offset_50|444444,5128947:5128966|offset_107|444444,5128988:5129007|offset_148|444444&amp;v=5128654:5129207&amp;c=444444", "offset 15")</f>
        <v>offset 15</v>
      </c>
    </row>
    <row r="16616" customFormat="false" ht="12.8" hidden="false" customHeight="false" outlineLevel="0" collapsed="false">
      <c r="A16616" s="0" t="s">
        <v>12</v>
      </c>
      <c r="B16616" s="0" t="n">
        <v>5128889</v>
      </c>
      <c r="C16616" s="0" t="n">
        <v>5128909</v>
      </c>
      <c r="D16616" s="0" t="s">
        <v>55229</v>
      </c>
      <c r="E16616" s="0" t="s">
        <v>75</v>
      </c>
      <c r="F16616" s="0" t="s">
        <v>15</v>
      </c>
      <c r="G16616" s="0" t="s">
        <v>32</v>
      </c>
      <c r="H16616" s="0" t="n">
        <v>50</v>
      </c>
      <c r="I16616" s="0" t="s">
        <v>55233</v>
      </c>
      <c r="J16616" s="0" t="s">
        <v>55234</v>
      </c>
      <c r="K16616" s="0" t="s">
        <v>55235</v>
      </c>
      <c r="L16616" s="0" t="str">
        <f aca="false">HYPERLINK("https://www.ncbi.nlm.nih.gov/nuccore/CP000058.1?report=graph&amp;tracks=[key:gene_model_track,Options:GeneOnly]&amp;mk=5128855:5128874|offset_15|444444,5128890:5128909|offset_50|00cc00,5128947:5128966|offset_107|444444,5128988:5129007|offset_148|444444&amp;v=5128654:5129207&amp;c=444444", "offset 50")</f>
        <v>offset 50</v>
      </c>
    </row>
    <row r="16617" customFormat="false" ht="12.8" hidden="false" customHeight="false" outlineLevel="0" collapsed="false">
      <c r="A16617" s="0" t="s">
        <v>12</v>
      </c>
      <c r="B16617" s="0" t="n">
        <v>5128946</v>
      </c>
      <c r="C16617" s="0" t="n">
        <v>5128966</v>
      </c>
      <c r="D16617" s="0" t="s">
        <v>55229</v>
      </c>
      <c r="E16617" s="0" t="s">
        <v>75</v>
      </c>
      <c r="F16617" s="0" t="s">
        <v>15</v>
      </c>
      <c r="G16617" s="0" t="s">
        <v>16</v>
      </c>
      <c r="H16617" s="0" t="n">
        <v>107</v>
      </c>
      <c r="I16617" s="0" t="s">
        <v>55236</v>
      </c>
      <c r="J16617" s="0" t="s">
        <v>55237</v>
      </c>
      <c r="K16617" s="0" t="s">
        <v>55238</v>
      </c>
      <c r="L16617" s="0" t="str">
        <f aca="false">HYPERLINK("https://www.ncbi.nlm.nih.gov/nuccore/CP000058.1?report=graph&amp;tracks=[key:gene_model_track,Options:GeneOnly]&amp;mk=5128855:5128874|offset_15|444444,5128890:5128909|offset_50|444444,5128947:5128966|offset_107|00cc00,5128988:5129007|offset_148|444444&amp;v=5128654:5129207&amp;c=444444", "offset 107")</f>
        <v>offset 107</v>
      </c>
    </row>
    <row r="16618" customFormat="false" ht="12.8" hidden="false" customHeight="false" outlineLevel="0" collapsed="false">
      <c r="A16618" s="0" t="s">
        <v>12</v>
      </c>
      <c r="B16618" s="0" t="n">
        <v>5128987</v>
      </c>
      <c r="C16618" s="0" t="n">
        <v>5129007</v>
      </c>
      <c r="D16618" s="0" t="s">
        <v>55229</v>
      </c>
      <c r="E16618" s="0" t="s">
        <v>75</v>
      </c>
      <c r="F16618" s="0" t="s">
        <v>15</v>
      </c>
      <c r="G16618" s="0" t="s">
        <v>16</v>
      </c>
      <c r="H16618" s="0" t="n">
        <v>148</v>
      </c>
      <c r="I16618" s="0" t="s">
        <v>55239</v>
      </c>
      <c r="J16618" s="0" t="s">
        <v>55240</v>
      </c>
      <c r="K16618" s="0" t="s">
        <v>55241</v>
      </c>
      <c r="L16618" s="0" t="str">
        <f aca="false">HYPERLINK("https://www.ncbi.nlm.nih.gov/nuccore/CP000058.1?report=graph&amp;tracks=[key:gene_model_track,Options:GeneOnly]&amp;mk=5128855:5128874|offset_15|444444,5128890:5128909|offset_50|444444,5128947:5128966|offset_107|444444,5128988:5129007|offset_148|00cc00&amp;v=5128654:5129207&amp;c=444444", "offset 148")</f>
        <v>offset 148</v>
      </c>
    </row>
    <row r="16619" customFormat="false" ht="12.8" hidden="false" customHeight="false" outlineLevel="0" collapsed="false">
      <c r="A16619" s="0" t="s">
        <v>12</v>
      </c>
      <c r="B16619" s="0" t="n">
        <v>5131806</v>
      </c>
      <c r="C16619" s="0" t="n">
        <v>5131826</v>
      </c>
      <c r="D16619" s="0" t="s">
        <v>55242</v>
      </c>
      <c r="E16619" s="0" t="s">
        <v>75</v>
      </c>
      <c r="F16619" s="0" t="s">
        <v>90</v>
      </c>
      <c r="G16619" s="0" t="s">
        <v>36</v>
      </c>
      <c r="H16619" s="0" t="n">
        <v>27</v>
      </c>
      <c r="I16619" s="0" t="s">
        <v>55243</v>
      </c>
      <c r="J16619" s="0" t="s">
        <v>55244</v>
      </c>
      <c r="K16619" s="0" t="s">
        <v>55245</v>
      </c>
      <c r="L16619" s="0" t="str">
        <f aca="false">HYPERLINK("https://www.ncbi.nlm.nih.gov/nuccore/CP000058.1?report=graph&amp;tracks=[key:gene_model_track,Options:GeneOnly]&amp;mk=5131807:5131826|offset_27|00cc00,5131761:5131780|offset_73|444444,5131715:5131734|offset_119|444444,5131689:5131708|offset_145|444444&amp;v=5131606:5131908&amp;c=444444", "offset 27")</f>
        <v>offset 27</v>
      </c>
    </row>
    <row r="16620" customFormat="false" ht="12.8" hidden="false" customHeight="false" outlineLevel="0" collapsed="false">
      <c r="A16620" s="0" t="s">
        <v>12</v>
      </c>
      <c r="B16620" s="0" t="n">
        <v>5131760</v>
      </c>
      <c r="C16620" s="0" t="n">
        <v>5131780</v>
      </c>
      <c r="D16620" s="0" t="s">
        <v>55242</v>
      </c>
      <c r="E16620" s="0" t="s">
        <v>75</v>
      </c>
      <c r="F16620" s="0" t="s">
        <v>90</v>
      </c>
      <c r="G16620" s="0" t="s">
        <v>32</v>
      </c>
      <c r="H16620" s="0" t="n">
        <v>73</v>
      </c>
      <c r="I16620" s="0" t="s">
        <v>55246</v>
      </c>
      <c r="J16620" s="0" t="s">
        <v>55247</v>
      </c>
      <c r="K16620" s="0" t="s">
        <v>55248</v>
      </c>
      <c r="L16620" s="0" t="str">
        <f aca="false">HYPERLINK("https://www.ncbi.nlm.nih.gov/nuccore/CP000058.1?report=graph&amp;tracks=[key:gene_model_track,Options:GeneOnly]&amp;mk=5131807:5131826|offset_27|444444,5131761:5131780|offset_73|00cc00,5131715:5131734|offset_119|444444,5131689:5131708|offset_145|444444&amp;v=5131606:5131908&amp;c=444444", "offset 73")</f>
        <v>offset 73</v>
      </c>
    </row>
    <row r="16621" customFormat="false" ht="12.8" hidden="false" customHeight="false" outlineLevel="0" collapsed="false">
      <c r="A16621" s="0" t="s">
        <v>12</v>
      </c>
      <c r="B16621" s="0" t="n">
        <v>5131714</v>
      </c>
      <c r="C16621" s="0" t="n">
        <v>5131734</v>
      </c>
      <c r="D16621" s="0" t="s">
        <v>55242</v>
      </c>
      <c r="E16621" s="0" t="s">
        <v>75</v>
      </c>
      <c r="F16621" s="0" t="s">
        <v>90</v>
      </c>
      <c r="G16621" s="0" t="s">
        <v>16</v>
      </c>
      <c r="H16621" s="0" t="n">
        <v>119</v>
      </c>
      <c r="I16621" s="0" t="s">
        <v>55249</v>
      </c>
      <c r="J16621" s="0" t="s">
        <v>55250</v>
      </c>
      <c r="K16621" s="0" t="s">
        <v>55251</v>
      </c>
      <c r="L16621" s="0" t="str">
        <f aca="false">HYPERLINK("https://www.ncbi.nlm.nih.gov/nuccore/CP000058.1?report=graph&amp;tracks=[key:gene_model_track,Options:GeneOnly]&amp;mk=5131807:5131826|offset_27|444444,5131761:5131780|offset_73|444444,5131715:5131734|offset_119|00cc00,5131689:5131708|offset_145|444444&amp;v=5131606:5131908&amp;c=444444", "offset 119")</f>
        <v>offset 119</v>
      </c>
    </row>
    <row r="16622" customFormat="false" ht="12.8" hidden="false" customHeight="false" outlineLevel="0" collapsed="false">
      <c r="A16622" s="0" t="s">
        <v>12</v>
      </c>
      <c r="B16622" s="0" t="n">
        <v>5131688</v>
      </c>
      <c r="C16622" s="0" t="n">
        <v>5131708</v>
      </c>
      <c r="D16622" s="0" t="s">
        <v>55242</v>
      </c>
      <c r="E16622" s="0" t="s">
        <v>75</v>
      </c>
      <c r="F16622" s="0" t="s">
        <v>90</v>
      </c>
      <c r="G16622" s="0" t="s">
        <v>32</v>
      </c>
      <c r="H16622" s="0" t="n">
        <v>145</v>
      </c>
      <c r="I16622" s="0" t="s">
        <v>55252</v>
      </c>
      <c r="J16622" s="0" t="s">
        <v>55253</v>
      </c>
      <c r="K16622" s="0" t="s">
        <v>55254</v>
      </c>
      <c r="L16622" s="0" t="str">
        <f aca="false">HYPERLINK("https://www.ncbi.nlm.nih.gov/nuccore/CP000058.1?report=graph&amp;tracks=[key:gene_model_track,Options:GeneOnly]&amp;mk=5131807:5131826|offset_27|444444,5131761:5131780|offset_73|444444,5131715:5131734|offset_119|444444,5131689:5131708|offset_145|00cc00&amp;v=5131606:5131908&amp;c=444444", "offset 145")</f>
        <v>offset 145</v>
      </c>
    </row>
    <row r="16623" customFormat="false" ht="12.8" hidden="false" customHeight="false" outlineLevel="0" collapsed="false">
      <c r="A16623" s="0" t="s">
        <v>12</v>
      </c>
      <c r="B16623" s="0" t="n">
        <v>5131972</v>
      </c>
      <c r="C16623" s="0" t="n">
        <v>5131992</v>
      </c>
      <c r="D16623" s="0" t="s">
        <v>55255</v>
      </c>
      <c r="E16623" s="0" t="s">
        <v>75</v>
      </c>
      <c r="F16623" s="0" t="s">
        <v>15</v>
      </c>
      <c r="G16623" s="0" t="s">
        <v>32</v>
      </c>
      <c r="H16623" s="0" t="n">
        <v>1</v>
      </c>
      <c r="I16623" s="0" t="s">
        <v>55256</v>
      </c>
      <c r="J16623" s="0" t="s">
        <v>55257</v>
      </c>
      <c r="K16623" s="0" t="s">
        <v>55258</v>
      </c>
      <c r="L16623" s="0" t="str">
        <f aca="false">HYPERLINK("https://www.ncbi.nlm.nih.gov/nuccore/CP000058.1?report=graph&amp;tracks=[key:gene_model_track,Options:GeneOnly]&amp;mk=5131973:5131992|offset_1|00cc00,5132006:5132025|offset_34|444444,5132030:5132049|offset_58|444444,5132067:5132086|offset_95|444444&amp;v=5131772:5132286&amp;c=444444", "offset 1")</f>
        <v>offset 1</v>
      </c>
    </row>
    <row r="16624" customFormat="false" ht="12.8" hidden="false" customHeight="false" outlineLevel="0" collapsed="false">
      <c r="A16624" s="0" t="s">
        <v>12</v>
      </c>
      <c r="B16624" s="0" t="n">
        <v>5132005</v>
      </c>
      <c r="C16624" s="0" t="n">
        <v>5132025</v>
      </c>
      <c r="D16624" s="0" t="s">
        <v>55255</v>
      </c>
      <c r="E16624" s="0" t="s">
        <v>75</v>
      </c>
      <c r="F16624" s="0" t="s">
        <v>15</v>
      </c>
      <c r="G16624" s="0" t="s">
        <v>36</v>
      </c>
      <c r="H16624" s="0" t="n">
        <v>34</v>
      </c>
      <c r="I16624" s="0" t="s">
        <v>55259</v>
      </c>
      <c r="J16624" s="0" t="s">
        <v>55260</v>
      </c>
      <c r="K16624" s="0" t="s">
        <v>55261</v>
      </c>
      <c r="L16624" s="0" t="str">
        <f aca="false">HYPERLINK("https://www.ncbi.nlm.nih.gov/nuccore/CP000058.1?report=graph&amp;tracks=[key:gene_model_track,Options:GeneOnly]&amp;mk=5131973:5131992|offset_1|444444,5132006:5132025|offset_34|00cc00,5132030:5132049|offset_58|444444,5132067:5132086|offset_95|444444&amp;v=5131772:5132286&amp;c=444444", "offset 34")</f>
        <v>offset 34</v>
      </c>
    </row>
    <row r="16625" customFormat="false" ht="12.8" hidden="false" customHeight="false" outlineLevel="0" collapsed="false">
      <c r="A16625" s="0" t="s">
        <v>12</v>
      </c>
      <c r="B16625" s="0" t="n">
        <v>5132029</v>
      </c>
      <c r="C16625" s="0" t="n">
        <v>5132049</v>
      </c>
      <c r="D16625" s="0" t="s">
        <v>55255</v>
      </c>
      <c r="E16625" s="0" t="s">
        <v>75</v>
      </c>
      <c r="F16625" s="0" t="s">
        <v>15</v>
      </c>
      <c r="G16625" s="0" t="s">
        <v>36</v>
      </c>
      <c r="H16625" s="0" t="n">
        <v>58</v>
      </c>
      <c r="I16625" s="0" t="s">
        <v>55262</v>
      </c>
      <c r="J16625" s="0" t="s">
        <v>55263</v>
      </c>
      <c r="K16625" s="0" t="s">
        <v>55264</v>
      </c>
      <c r="L16625" s="0" t="str">
        <f aca="false">HYPERLINK("https://www.ncbi.nlm.nih.gov/nuccore/CP000058.1?report=graph&amp;tracks=[key:gene_model_track,Options:GeneOnly]&amp;mk=5131973:5131992|offset_1|444444,5132006:5132025|offset_34|444444,5132030:5132049|offset_58|00cc00,5132067:5132086|offset_95|444444&amp;v=5131772:5132286&amp;c=444444", "offset 58")</f>
        <v>offset 58</v>
      </c>
    </row>
    <row r="16626" customFormat="false" ht="12.8" hidden="false" customHeight="false" outlineLevel="0" collapsed="false">
      <c r="A16626" s="0" t="s">
        <v>12</v>
      </c>
      <c r="B16626" s="0" t="n">
        <v>5132066</v>
      </c>
      <c r="C16626" s="0" t="n">
        <v>5132086</v>
      </c>
      <c r="D16626" s="0" t="s">
        <v>55255</v>
      </c>
      <c r="E16626" s="0" t="s">
        <v>75</v>
      </c>
      <c r="F16626" s="0" t="s">
        <v>15</v>
      </c>
      <c r="G16626" s="0" t="s">
        <v>20</v>
      </c>
      <c r="H16626" s="0" t="n">
        <v>95</v>
      </c>
      <c r="I16626" s="0" t="s">
        <v>55265</v>
      </c>
      <c r="J16626" s="0" t="s">
        <v>55266</v>
      </c>
      <c r="K16626" s="0" t="s">
        <v>55267</v>
      </c>
      <c r="L16626" s="0" t="str">
        <f aca="false">HYPERLINK("https://www.ncbi.nlm.nih.gov/nuccore/CP000058.1?report=graph&amp;tracks=[key:gene_model_track,Options:GeneOnly]&amp;mk=5131973:5131992|offset_1|444444,5132006:5132025|offset_34|444444,5132030:5132049|offset_58|444444,5132067:5132086|offset_95|00cc00&amp;v=5131772:5132286&amp;c=444444", "offset 95")</f>
        <v>offset 95</v>
      </c>
    </row>
    <row r="16627" customFormat="false" ht="12.8" hidden="false" customHeight="false" outlineLevel="0" collapsed="false">
      <c r="A16627" s="0" t="s">
        <v>12</v>
      </c>
      <c r="B16627" s="0" t="n">
        <v>5132809</v>
      </c>
      <c r="C16627" s="0" t="n">
        <v>5132829</v>
      </c>
      <c r="D16627" s="0" t="s">
        <v>55268</v>
      </c>
      <c r="E16627" s="0" t="s">
        <v>55269</v>
      </c>
      <c r="F16627" s="0" t="s">
        <v>15</v>
      </c>
      <c r="G16627" s="0" t="s">
        <v>16</v>
      </c>
      <c r="H16627" s="0" t="n">
        <v>20</v>
      </c>
      <c r="I16627" s="0" t="s">
        <v>55270</v>
      </c>
      <c r="J16627" s="0" t="s">
        <v>55271</v>
      </c>
      <c r="K16627" s="0" t="s">
        <v>55272</v>
      </c>
      <c r="L16627" s="0" t="str">
        <f aca="false">HYPERLINK("https://www.ncbi.nlm.nih.gov/nuccore/CP000058.1?report=graph&amp;tracks=[key:gene_model_track,Options:GeneOnly]&amp;mk=5132810:5132829|offset_20|00cc00,5132836:5132855|offset_46|444444,5132879:5132898|offset_89|444444,5132915:5132934|offset_125|444444&amp;v=5132609:5133134&amp;c=444444", "offset 20")</f>
        <v>offset 20</v>
      </c>
    </row>
    <row r="16628" customFormat="false" ht="12.8" hidden="false" customHeight="false" outlineLevel="0" collapsed="false">
      <c r="A16628" s="0" t="s">
        <v>12</v>
      </c>
      <c r="B16628" s="0" t="n">
        <v>5132835</v>
      </c>
      <c r="C16628" s="0" t="n">
        <v>5132855</v>
      </c>
      <c r="D16628" s="0" t="s">
        <v>55268</v>
      </c>
      <c r="E16628" s="0" t="s">
        <v>55269</v>
      </c>
      <c r="F16628" s="0" t="s">
        <v>15</v>
      </c>
      <c r="G16628" s="0" t="s">
        <v>16</v>
      </c>
      <c r="H16628" s="0" t="n">
        <v>46</v>
      </c>
      <c r="I16628" s="0" t="s">
        <v>55273</v>
      </c>
      <c r="J16628" s="0" t="s">
        <v>55274</v>
      </c>
      <c r="K16628" s="0" t="s">
        <v>55275</v>
      </c>
      <c r="L16628" s="0" t="str">
        <f aca="false">HYPERLINK("https://www.ncbi.nlm.nih.gov/nuccore/CP000058.1?report=graph&amp;tracks=[key:gene_model_track,Options:GeneOnly]&amp;mk=5132810:5132829|offset_20|444444,5132836:5132855|offset_46|00cc00,5132879:5132898|offset_89|444444,5132915:5132934|offset_125|444444&amp;v=5132609:5133134&amp;c=444444", "offset 46")</f>
        <v>offset 46</v>
      </c>
    </row>
    <row r="16629" customFormat="false" ht="12.8" hidden="false" customHeight="false" outlineLevel="0" collapsed="false">
      <c r="A16629" s="0" t="s">
        <v>12</v>
      </c>
      <c r="B16629" s="0" t="n">
        <v>5132878</v>
      </c>
      <c r="C16629" s="0" t="n">
        <v>5132898</v>
      </c>
      <c r="D16629" s="0" t="s">
        <v>55268</v>
      </c>
      <c r="E16629" s="0" t="s">
        <v>55269</v>
      </c>
      <c r="F16629" s="0" t="s">
        <v>15</v>
      </c>
      <c r="G16629" s="0" t="s">
        <v>20</v>
      </c>
      <c r="H16629" s="0" t="n">
        <v>89</v>
      </c>
      <c r="I16629" s="0" t="s">
        <v>55276</v>
      </c>
      <c r="J16629" s="0" t="s">
        <v>55277</v>
      </c>
      <c r="K16629" s="0" t="s">
        <v>55278</v>
      </c>
      <c r="L16629" s="0" t="str">
        <f aca="false">HYPERLINK("https://www.ncbi.nlm.nih.gov/nuccore/CP000058.1?report=graph&amp;tracks=[key:gene_model_track,Options:GeneOnly]&amp;mk=5132810:5132829|offset_20|444444,5132836:5132855|offset_46|444444,5132879:5132898|offset_89|00cc00,5132915:5132934|offset_125|444444&amp;v=5132609:5133134&amp;c=444444", "offset 89")</f>
        <v>offset 89</v>
      </c>
    </row>
    <row r="16630" customFormat="false" ht="12.8" hidden="false" customHeight="false" outlineLevel="0" collapsed="false">
      <c r="A16630" s="0" t="s">
        <v>12</v>
      </c>
      <c r="B16630" s="0" t="n">
        <v>5132914</v>
      </c>
      <c r="C16630" s="0" t="n">
        <v>5132934</v>
      </c>
      <c r="D16630" s="0" t="s">
        <v>55268</v>
      </c>
      <c r="E16630" s="0" t="s">
        <v>55269</v>
      </c>
      <c r="F16630" s="0" t="s">
        <v>15</v>
      </c>
      <c r="G16630" s="0" t="s">
        <v>20</v>
      </c>
      <c r="H16630" s="0" t="n">
        <v>125</v>
      </c>
      <c r="I16630" s="0" t="s">
        <v>55279</v>
      </c>
      <c r="J16630" s="0" t="s">
        <v>55280</v>
      </c>
      <c r="K16630" s="0" t="s">
        <v>55281</v>
      </c>
      <c r="L16630" s="0" t="str">
        <f aca="false">HYPERLINK("https://www.ncbi.nlm.nih.gov/nuccore/CP000058.1?report=graph&amp;tracks=[key:gene_model_track,Options:GeneOnly]&amp;mk=5132810:5132829|offset_20|444444,5132836:5132855|offset_46|444444,5132879:5132898|offset_89|444444,5132915:5132934|offset_125|00cc00&amp;v=5132609:5133134&amp;c=444444", "offset 125")</f>
        <v>offset 125</v>
      </c>
    </row>
    <row r="16631" customFormat="false" ht="12.8" hidden="false" customHeight="false" outlineLevel="0" collapsed="false">
      <c r="A16631" s="0" t="s">
        <v>12</v>
      </c>
      <c r="B16631" s="0" t="n">
        <v>5133299</v>
      </c>
      <c r="C16631" s="0" t="n">
        <v>5133319</v>
      </c>
      <c r="D16631" s="0" t="s">
        <v>55282</v>
      </c>
      <c r="E16631" s="0" t="s">
        <v>55283</v>
      </c>
      <c r="F16631" s="0" t="s">
        <v>15</v>
      </c>
      <c r="G16631" s="0" t="s">
        <v>20</v>
      </c>
      <c r="H16631" s="0" t="n">
        <v>13</v>
      </c>
      <c r="I16631" s="0" t="s">
        <v>55284</v>
      </c>
      <c r="J16631" s="0" t="s">
        <v>55285</v>
      </c>
      <c r="K16631" s="0" t="s">
        <v>55286</v>
      </c>
      <c r="L16631" s="0" t="str">
        <f aca="false">HYPERLINK("https://www.ncbi.nlm.nih.gov/nuccore/CP000058.1?report=graph&amp;tracks=[key:gene_model_track,Options:GeneOnly]&amp;mk=5133300:5133319|offset_13|00cc00,5133321:5133340|offset_34|444444,5133375:5133394|offset_88|444444,5133400:5133419|offset_113|444444&amp;v=5133099:5133619&amp;c=444444", "offset 13")</f>
        <v>offset 13</v>
      </c>
    </row>
    <row r="16632" customFormat="false" ht="12.8" hidden="false" customHeight="false" outlineLevel="0" collapsed="false">
      <c r="A16632" s="0" t="s">
        <v>12</v>
      </c>
      <c r="B16632" s="0" t="n">
        <v>5133320</v>
      </c>
      <c r="C16632" s="0" t="n">
        <v>5133340</v>
      </c>
      <c r="D16632" s="0" t="s">
        <v>55282</v>
      </c>
      <c r="E16632" s="0" t="s">
        <v>55283</v>
      </c>
      <c r="F16632" s="0" t="s">
        <v>15</v>
      </c>
      <c r="G16632" s="0" t="s">
        <v>32</v>
      </c>
      <c r="H16632" s="0" t="n">
        <v>34</v>
      </c>
      <c r="I16632" s="0" t="s">
        <v>55287</v>
      </c>
      <c r="J16632" s="0" t="s">
        <v>55288</v>
      </c>
      <c r="K16632" s="0" t="s">
        <v>55289</v>
      </c>
      <c r="L16632" s="0" t="str">
        <f aca="false">HYPERLINK("https://www.ncbi.nlm.nih.gov/nuccore/CP000058.1?report=graph&amp;tracks=[key:gene_model_track,Options:GeneOnly]&amp;mk=5133300:5133319|offset_13|444444,5133321:5133340|offset_34|00cc00,5133375:5133394|offset_88|444444,5133400:5133419|offset_113|444444&amp;v=5133099:5133619&amp;c=444444", "offset 34")</f>
        <v>offset 34</v>
      </c>
    </row>
    <row r="16633" customFormat="false" ht="12.8" hidden="false" customHeight="false" outlineLevel="0" collapsed="false">
      <c r="A16633" s="0" t="s">
        <v>12</v>
      </c>
      <c r="B16633" s="0" t="n">
        <v>5133374</v>
      </c>
      <c r="C16633" s="0" t="n">
        <v>5133394</v>
      </c>
      <c r="D16633" s="0" t="s">
        <v>55282</v>
      </c>
      <c r="E16633" s="0" t="s">
        <v>55283</v>
      </c>
      <c r="F16633" s="0" t="s">
        <v>15</v>
      </c>
      <c r="G16633" s="0" t="s">
        <v>16</v>
      </c>
      <c r="H16633" s="0" t="n">
        <v>88</v>
      </c>
      <c r="I16633" s="0" t="s">
        <v>55290</v>
      </c>
      <c r="J16633" s="0" t="s">
        <v>55291</v>
      </c>
      <c r="K16633" s="0" t="s">
        <v>55292</v>
      </c>
      <c r="L16633" s="0" t="str">
        <f aca="false">HYPERLINK("https://www.ncbi.nlm.nih.gov/nuccore/CP000058.1?report=graph&amp;tracks=[key:gene_model_track,Options:GeneOnly]&amp;mk=5133300:5133319|offset_13|444444,5133321:5133340|offset_34|444444,5133375:5133394|offset_88|00cc00,5133400:5133419|offset_113|444444&amp;v=5133099:5133619&amp;c=444444", "offset 88")</f>
        <v>offset 88</v>
      </c>
    </row>
    <row r="16634" customFormat="false" ht="12.8" hidden="false" customHeight="false" outlineLevel="0" collapsed="false">
      <c r="A16634" s="0" t="s">
        <v>12</v>
      </c>
      <c r="B16634" s="0" t="n">
        <v>5133399</v>
      </c>
      <c r="C16634" s="0" t="n">
        <v>5133419</v>
      </c>
      <c r="D16634" s="0" t="s">
        <v>55282</v>
      </c>
      <c r="E16634" s="0" t="s">
        <v>55283</v>
      </c>
      <c r="F16634" s="0" t="s">
        <v>15</v>
      </c>
      <c r="G16634" s="0" t="s">
        <v>36</v>
      </c>
      <c r="H16634" s="0" t="n">
        <v>113</v>
      </c>
      <c r="I16634" s="0" t="s">
        <v>55293</v>
      </c>
      <c r="J16634" s="0" t="s">
        <v>55294</v>
      </c>
      <c r="K16634" s="0" t="s">
        <v>55295</v>
      </c>
      <c r="L16634" s="0" t="str">
        <f aca="false">HYPERLINK("https://www.ncbi.nlm.nih.gov/nuccore/CP000058.1?report=graph&amp;tracks=[key:gene_model_track,Options:GeneOnly]&amp;mk=5133300:5133319|offset_13|444444,5133321:5133340|offset_34|444444,5133375:5133394|offset_88|444444,5133400:5133419|offset_113|00cc00&amp;v=5133099:5133619&amp;c=444444", "offset 113")</f>
        <v>offset 113</v>
      </c>
    </row>
    <row r="16635" customFormat="false" ht="12.8" hidden="false" customHeight="false" outlineLevel="0" collapsed="false">
      <c r="A16635" s="0" t="s">
        <v>12</v>
      </c>
      <c r="B16635" s="0" t="n">
        <v>5133993</v>
      </c>
      <c r="C16635" s="0" t="n">
        <v>5134013</v>
      </c>
      <c r="D16635" s="0" t="s">
        <v>55296</v>
      </c>
      <c r="E16635" s="0" t="s">
        <v>55297</v>
      </c>
      <c r="F16635" s="0" t="s">
        <v>15</v>
      </c>
      <c r="G16635" s="0" t="s">
        <v>32</v>
      </c>
      <c r="H16635" s="0" t="n">
        <v>11</v>
      </c>
      <c r="I16635" s="0" t="s">
        <v>55298</v>
      </c>
      <c r="J16635" s="0" t="s">
        <v>55299</v>
      </c>
      <c r="K16635" s="0" t="s">
        <v>55300</v>
      </c>
      <c r="L16635" s="0" t="str">
        <f aca="false">HYPERLINK("https://www.ncbi.nlm.nih.gov/nuccore/CP000058.1?report=graph&amp;tracks=[key:gene_model_track,Options:GeneOnly]&amp;mk=5133994:5134013|offset_11|00cc00,5134021:5134040|offset_38|444444,5134063:5134082|offset_80|444444,5134087:5134106|offset_104|444444&amp;v=5133793:5134306&amp;c=444444", "offset 11")</f>
        <v>offset 11</v>
      </c>
    </row>
    <row r="16636" customFormat="false" ht="12.8" hidden="false" customHeight="false" outlineLevel="0" collapsed="false">
      <c r="A16636" s="0" t="s">
        <v>12</v>
      </c>
      <c r="B16636" s="0" t="n">
        <v>5134020</v>
      </c>
      <c r="C16636" s="0" t="n">
        <v>5134040</v>
      </c>
      <c r="D16636" s="0" t="s">
        <v>55296</v>
      </c>
      <c r="E16636" s="0" t="s">
        <v>55297</v>
      </c>
      <c r="F16636" s="0" t="s">
        <v>15</v>
      </c>
      <c r="G16636" s="0" t="s">
        <v>36</v>
      </c>
      <c r="H16636" s="0" t="n">
        <v>38</v>
      </c>
      <c r="I16636" s="0" t="s">
        <v>55301</v>
      </c>
      <c r="J16636" s="0" t="s">
        <v>55302</v>
      </c>
      <c r="K16636" s="0" t="s">
        <v>55303</v>
      </c>
      <c r="L16636" s="0" t="str">
        <f aca="false">HYPERLINK("https://www.ncbi.nlm.nih.gov/nuccore/CP000058.1?report=graph&amp;tracks=[key:gene_model_track,Options:GeneOnly]&amp;mk=5133994:5134013|offset_11|444444,5134021:5134040|offset_38|00cc00,5134063:5134082|offset_80|444444,5134087:5134106|offset_104|444444&amp;v=5133793:5134306&amp;c=444444", "offset 38")</f>
        <v>offset 38</v>
      </c>
    </row>
    <row r="16637" customFormat="false" ht="12.8" hidden="false" customHeight="false" outlineLevel="0" collapsed="false">
      <c r="A16637" s="0" t="s">
        <v>12</v>
      </c>
      <c r="B16637" s="0" t="n">
        <v>5134062</v>
      </c>
      <c r="C16637" s="0" t="n">
        <v>5134082</v>
      </c>
      <c r="D16637" s="0" t="s">
        <v>55296</v>
      </c>
      <c r="E16637" s="0" t="s">
        <v>55297</v>
      </c>
      <c r="F16637" s="0" t="s">
        <v>15</v>
      </c>
      <c r="G16637" s="0" t="s">
        <v>20</v>
      </c>
      <c r="H16637" s="0" t="n">
        <v>80</v>
      </c>
      <c r="I16637" s="0" t="s">
        <v>55304</v>
      </c>
      <c r="J16637" s="0" t="s">
        <v>55305</v>
      </c>
      <c r="K16637" s="0" t="s">
        <v>55306</v>
      </c>
      <c r="L16637" s="0" t="str">
        <f aca="false">HYPERLINK("https://www.ncbi.nlm.nih.gov/nuccore/CP000058.1?report=graph&amp;tracks=[key:gene_model_track,Options:GeneOnly]&amp;mk=5133994:5134013|offset_11|444444,5134021:5134040|offset_38|444444,5134063:5134082|offset_80|00cc00,5134087:5134106|offset_104|444444&amp;v=5133793:5134306&amp;c=444444", "offset 80")</f>
        <v>offset 80</v>
      </c>
    </row>
    <row r="16638" customFormat="false" ht="12.8" hidden="false" customHeight="false" outlineLevel="0" collapsed="false">
      <c r="A16638" s="0" t="s">
        <v>12</v>
      </c>
      <c r="B16638" s="0" t="n">
        <v>5134086</v>
      </c>
      <c r="C16638" s="0" t="n">
        <v>5134106</v>
      </c>
      <c r="D16638" s="0" t="s">
        <v>55296</v>
      </c>
      <c r="E16638" s="0" t="s">
        <v>55297</v>
      </c>
      <c r="F16638" s="0" t="s">
        <v>15</v>
      </c>
      <c r="G16638" s="0" t="s">
        <v>20</v>
      </c>
      <c r="H16638" s="0" t="n">
        <v>104</v>
      </c>
      <c r="I16638" s="0" t="s">
        <v>55307</v>
      </c>
      <c r="J16638" s="0" t="s">
        <v>55308</v>
      </c>
      <c r="K16638" s="0" t="s">
        <v>55309</v>
      </c>
      <c r="L16638" s="0" t="str">
        <f aca="false">HYPERLINK("https://www.ncbi.nlm.nih.gov/nuccore/CP000058.1?report=graph&amp;tracks=[key:gene_model_track,Options:GeneOnly]&amp;mk=5133994:5134013|offset_11|444444,5134021:5134040|offset_38|444444,5134063:5134082|offset_80|444444,5134087:5134106|offset_104|00cc00&amp;v=5133793:5134306&amp;c=444444", "offset 104")</f>
        <v>offset 104</v>
      </c>
    </row>
    <row r="16639" customFormat="false" ht="12.8" hidden="false" customHeight="false" outlineLevel="0" collapsed="false">
      <c r="A16639" s="0" t="s">
        <v>12</v>
      </c>
      <c r="B16639" s="0" t="n">
        <v>5134644</v>
      </c>
      <c r="C16639" s="0" t="n">
        <v>5134664</v>
      </c>
      <c r="D16639" s="0" t="s">
        <v>55310</v>
      </c>
      <c r="E16639" s="0" t="s">
        <v>75</v>
      </c>
      <c r="F16639" s="0" t="s">
        <v>15</v>
      </c>
      <c r="G16639" s="0" t="s">
        <v>36</v>
      </c>
      <c r="H16639" s="0" t="n">
        <v>19</v>
      </c>
      <c r="I16639" s="0" t="s">
        <v>55311</v>
      </c>
      <c r="J16639" s="0" t="s">
        <v>55312</v>
      </c>
      <c r="K16639" s="0" t="s">
        <v>55313</v>
      </c>
      <c r="L16639" s="0" t="str">
        <f aca="false">HYPERLINK("https://www.ncbi.nlm.nih.gov/nuccore/CP000058.1?report=graph&amp;tracks=[key:gene_model_track,Options:GeneOnly]&amp;mk=5134645:5134664|offset_19|00cc00,5134673:5134692|offset_47|444444,5134694:5134713|offset_68|444444,5134733:5134752|offset_107|444444&amp;v=5134444:5134952&amp;c=444444", "offset 19")</f>
        <v>offset 19</v>
      </c>
    </row>
    <row r="16640" customFormat="false" ht="12.8" hidden="false" customHeight="false" outlineLevel="0" collapsed="false">
      <c r="A16640" s="0" t="s">
        <v>12</v>
      </c>
      <c r="B16640" s="0" t="n">
        <v>5134672</v>
      </c>
      <c r="C16640" s="0" t="n">
        <v>5134692</v>
      </c>
      <c r="D16640" s="0" t="s">
        <v>55310</v>
      </c>
      <c r="E16640" s="0" t="s">
        <v>75</v>
      </c>
      <c r="F16640" s="0" t="s">
        <v>15</v>
      </c>
      <c r="G16640" s="0" t="s">
        <v>36</v>
      </c>
      <c r="H16640" s="0" t="n">
        <v>47</v>
      </c>
      <c r="I16640" s="0" t="s">
        <v>55314</v>
      </c>
      <c r="J16640" s="0" t="s">
        <v>55315</v>
      </c>
      <c r="K16640" s="0" t="s">
        <v>55316</v>
      </c>
      <c r="L16640" s="0" t="str">
        <f aca="false">HYPERLINK("https://www.ncbi.nlm.nih.gov/nuccore/CP000058.1?report=graph&amp;tracks=[key:gene_model_track,Options:GeneOnly]&amp;mk=5134645:5134664|offset_19|444444,5134673:5134692|offset_47|00cc00,5134694:5134713|offset_68|444444,5134733:5134752|offset_107|444444&amp;v=5134444:5134952&amp;c=444444", "offset 47")</f>
        <v>offset 47</v>
      </c>
    </row>
    <row r="16641" customFormat="false" ht="12.8" hidden="false" customHeight="false" outlineLevel="0" collapsed="false">
      <c r="A16641" s="0" t="s">
        <v>12</v>
      </c>
      <c r="B16641" s="0" t="n">
        <v>5134693</v>
      </c>
      <c r="C16641" s="0" t="n">
        <v>5134713</v>
      </c>
      <c r="D16641" s="0" t="s">
        <v>55310</v>
      </c>
      <c r="E16641" s="0" t="s">
        <v>75</v>
      </c>
      <c r="F16641" s="0" t="s">
        <v>15</v>
      </c>
      <c r="G16641" s="0" t="s">
        <v>36</v>
      </c>
      <c r="H16641" s="0" t="n">
        <v>68</v>
      </c>
      <c r="I16641" s="0" t="s">
        <v>55317</v>
      </c>
      <c r="J16641" s="0" t="s">
        <v>55318</v>
      </c>
      <c r="K16641" s="0" t="s">
        <v>55319</v>
      </c>
      <c r="L16641" s="0" t="str">
        <f aca="false">HYPERLINK("https://www.ncbi.nlm.nih.gov/nuccore/CP000058.1?report=graph&amp;tracks=[key:gene_model_track,Options:GeneOnly]&amp;mk=5134645:5134664|offset_19|444444,5134673:5134692|offset_47|444444,5134694:5134713|offset_68|00cc00,5134733:5134752|offset_107|444444&amp;v=5134444:5134952&amp;c=444444", "offset 68")</f>
        <v>offset 68</v>
      </c>
    </row>
    <row r="16642" customFormat="false" ht="12.8" hidden="false" customHeight="false" outlineLevel="0" collapsed="false">
      <c r="A16642" s="0" t="s">
        <v>12</v>
      </c>
      <c r="B16642" s="0" t="n">
        <v>5134732</v>
      </c>
      <c r="C16642" s="0" t="n">
        <v>5134752</v>
      </c>
      <c r="D16642" s="0" t="s">
        <v>55310</v>
      </c>
      <c r="E16642" s="0" t="s">
        <v>75</v>
      </c>
      <c r="F16642" s="0" t="s">
        <v>15</v>
      </c>
      <c r="G16642" s="0" t="s">
        <v>32</v>
      </c>
      <c r="H16642" s="0" t="n">
        <v>107</v>
      </c>
      <c r="I16642" s="0" t="s">
        <v>55320</v>
      </c>
      <c r="J16642" s="0" t="s">
        <v>55321</v>
      </c>
      <c r="K16642" s="0" t="s">
        <v>55322</v>
      </c>
      <c r="L16642" s="0" t="str">
        <f aca="false">HYPERLINK("https://www.ncbi.nlm.nih.gov/nuccore/CP000058.1?report=graph&amp;tracks=[key:gene_model_track,Options:GeneOnly]&amp;mk=5134645:5134664|offset_19|444444,5134673:5134692|offset_47|444444,5134694:5134713|offset_68|444444,5134733:5134752|offset_107|00cc00&amp;v=5134444:5134952&amp;c=444444", "offset 107")</f>
        <v>offset 107</v>
      </c>
    </row>
    <row r="16643" customFormat="false" ht="12.8" hidden="false" customHeight="false" outlineLevel="0" collapsed="false">
      <c r="A16643" s="0" t="s">
        <v>12</v>
      </c>
      <c r="B16643" s="0" t="n">
        <v>5135580</v>
      </c>
      <c r="C16643" s="0" t="n">
        <v>5135600</v>
      </c>
      <c r="D16643" s="0" t="s">
        <v>55323</v>
      </c>
      <c r="E16643" s="0" t="s">
        <v>75</v>
      </c>
      <c r="F16643" s="0" t="s">
        <v>90</v>
      </c>
      <c r="G16643" s="0" t="s">
        <v>32</v>
      </c>
      <c r="H16643" s="0" t="n">
        <v>57</v>
      </c>
      <c r="I16643" s="0" t="s">
        <v>55324</v>
      </c>
      <c r="J16643" s="0" t="s">
        <v>55325</v>
      </c>
      <c r="K16643" s="0" t="s">
        <v>55326</v>
      </c>
      <c r="L16643" s="0" t="str">
        <f aca="false">HYPERLINK("https://www.ncbi.nlm.nih.gov/nuccore/CP000058.1?report=graph&amp;tracks=[key:gene_model_track,Options:GeneOnly]&amp;mk=5135581:5135600|offset_57|00cc00,5135550:5135569|offset_88|444444,5135518:5135537|offset_120|444444,5135480:5135499|offset_158|444444&amp;v=5135380:5135699&amp;c=444444", "offset 57")</f>
        <v>offset 57</v>
      </c>
    </row>
    <row r="16644" customFormat="false" ht="12.8" hidden="false" customHeight="false" outlineLevel="0" collapsed="false">
      <c r="A16644" s="0" t="s">
        <v>12</v>
      </c>
      <c r="B16644" s="0" t="n">
        <v>5135549</v>
      </c>
      <c r="C16644" s="0" t="n">
        <v>5135569</v>
      </c>
      <c r="D16644" s="0" t="s">
        <v>55323</v>
      </c>
      <c r="E16644" s="0" t="s">
        <v>75</v>
      </c>
      <c r="F16644" s="0" t="s">
        <v>90</v>
      </c>
      <c r="G16644" s="0" t="s">
        <v>32</v>
      </c>
      <c r="H16644" s="0" t="n">
        <v>88</v>
      </c>
      <c r="I16644" s="0" t="s">
        <v>55327</v>
      </c>
      <c r="J16644" s="0" t="s">
        <v>55328</v>
      </c>
      <c r="K16644" s="0" t="s">
        <v>55329</v>
      </c>
      <c r="L16644" s="0" t="str">
        <f aca="false">HYPERLINK("https://www.ncbi.nlm.nih.gov/nuccore/CP000058.1?report=graph&amp;tracks=[key:gene_model_track,Options:GeneOnly]&amp;mk=5135581:5135600|offset_57|444444,5135550:5135569|offset_88|00cc00,5135518:5135537|offset_120|444444,5135480:5135499|offset_158|444444&amp;v=5135380:5135699&amp;c=444444", "offset 88")</f>
        <v>offset 88</v>
      </c>
    </row>
    <row r="16645" customFormat="false" ht="12.8" hidden="false" customHeight="false" outlineLevel="0" collapsed="false">
      <c r="A16645" s="0" t="s">
        <v>12</v>
      </c>
      <c r="B16645" s="0" t="n">
        <v>5135517</v>
      </c>
      <c r="C16645" s="0" t="n">
        <v>5135537</v>
      </c>
      <c r="D16645" s="0" t="s">
        <v>55323</v>
      </c>
      <c r="E16645" s="0" t="s">
        <v>75</v>
      </c>
      <c r="F16645" s="0" t="s">
        <v>90</v>
      </c>
      <c r="G16645" s="0" t="s">
        <v>16</v>
      </c>
      <c r="H16645" s="0" t="n">
        <v>120</v>
      </c>
      <c r="I16645" s="0" t="s">
        <v>55330</v>
      </c>
      <c r="J16645" s="0" t="s">
        <v>55331</v>
      </c>
      <c r="K16645" s="0" t="s">
        <v>55332</v>
      </c>
      <c r="L16645" s="0" t="str">
        <f aca="false">HYPERLINK("https://www.ncbi.nlm.nih.gov/nuccore/CP000058.1?report=graph&amp;tracks=[key:gene_model_track,Options:GeneOnly]&amp;mk=5135581:5135600|offset_57|444444,5135550:5135569|offset_88|444444,5135518:5135537|offset_120|00cc00,5135480:5135499|offset_158|444444&amp;v=5135380:5135699&amp;c=444444", "offset 120")</f>
        <v>offset 120</v>
      </c>
    </row>
    <row r="16646" customFormat="false" ht="12.8" hidden="false" customHeight="false" outlineLevel="0" collapsed="false">
      <c r="A16646" s="0" t="s">
        <v>12</v>
      </c>
      <c r="B16646" s="0" t="n">
        <v>5135479</v>
      </c>
      <c r="C16646" s="0" t="n">
        <v>5135499</v>
      </c>
      <c r="D16646" s="0" t="s">
        <v>55323</v>
      </c>
      <c r="E16646" s="0" t="s">
        <v>75</v>
      </c>
      <c r="F16646" s="0" t="s">
        <v>90</v>
      </c>
      <c r="G16646" s="0" t="s">
        <v>20</v>
      </c>
      <c r="H16646" s="0" t="n">
        <v>158</v>
      </c>
      <c r="I16646" s="0" t="s">
        <v>55333</v>
      </c>
      <c r="J16646" s="0" t="s">
        <v>55334</v>
      </c>
      <c r="K16646" s="0" t="s">
        <v>55335</v>
      </c>
      <c r="L16646" s="0" t="str">
        <f aca="false">HYPERLINK("https://www.ncbi.nlm.nih.gov/nuccore/CP000058.1?report=graph&amp;tracks=[key:gene_model_track,Options:GeneOnly]&amp;mk=5135581:5135600|offset_57|444444,5135550:5135569|offset_88|444444,5135518:5135537|offset_120|444444,5135480:5135499|offset_158|00cc00&amp;v=5135380:5135699&amp;c=444444", "offset 158")</f>
        <v>offset 158</v>
      </c>
    </row>
    <row r="16647" customFormat="false" ht="12.8" hidden="false" customHeight="false" outlineLevel="0" collapsed="false">
      <c r="A16647" s="0" t="s">
        <v>12</v>
      </c>
      <c r="B16647" s="0" t="n">
        <v>5136292</v>
      </c>
      <c r="C16647" s="0" t="n">
        <v>5136312</v>
      </c>
      <c r="D16647" s="0" t="s">
        <v>55336</v>
      </c>
      <c r="E16647" s="0" t="s">
        <v>55337</v>
      </c>
      <c r="F16647" s="0" t="s">
        <v>90</v>
      </c>
      <c r="G16647" s="0" t="s">
        <v>32</v>
      </c>
      <c r="H16647" s="0" t="n">
        <v>22</v>
      </c>
      <c r="I16647" s="0" t="s">
        <v>55338</v>
      </c>
      <c r="J16647" s="0" t="s">
        <v>55339</v>
      </c>
      <c r="K16647" s="0" t="s">
        <v>55340</v>
      </c>
      <c r="L16647" s="0" t="str">
        <f aca="false">HYPERLINK("https://www.ncbi.nlm.nih.gov/nuccore/CP000058.1?report=graph&amp;tracks=[key:gene_model_track,Options:GeneOnly]&amp;mk=5136293:5136312|offset_22|00cc00,5136261:5136280|offset_54|444444,5136239:5136258|offset_76|444444,5136209:5136228|offset_106|444444&amp;v=5136092:5136428&amp;c=444444", "offset 22")</f>
        <v>offset 22</v>
      </c>
    </row>
    <row r="16648" customFormat="false" ht="12.8" hidden="false" customHeight="false" outlineLevel="0" collapsed="false">
      <c r="A16648" s="0" t="s">
        <v>12</v>
      </c>
      <c r="B16648" s="0" t="n">
        <v>5136260</v>
      </c>
      <c r="C16648" s="0" t="n">
        <v>5136280</v>
      </c>
      <c r="D16648" s="0" t="s">
        <v>55336</v>
      </c>
      <c r="E16648" s="0" t="s">
        <v>55337</v>
      </c>
      <c r="F16648" s="0" t="s">
        <v>90</v>
      </c>
      <c r="G16648" s="0" t="s">
        <v>36</v>
      </c>
      <c r="H16648" s="0" t="n">
        <v>54</v>
      </c>
      <c r="I16648" s="0" t="s">
        <v>55341</v>
      </c>
      <c r="J16648" s="0" t="s">
        <v>55342</v>
      </c>
      <c r="K16648" s="0" t="s">
        <v>55343</v>
      </c>
      <c r="L16648" s="0" t="str">
        <f aca="false">HYPERLINK("https://www.ncbi.nlm.nih.gov/nuccore/CP000058.1?report=graph&amp;tracks=[key:gene_model_track,Options:GeneOnly]&amp;mk=5136293:5136312|offset_22|444444,5136261:5136280|offset_54|00cc00,5136239:5136258|offset_76|444444,5136209:5136228|offset_106|444444&amp;v=5136092:5136428&amp;c=444444", "offset 54")</f>
        <v>offset 54</v>
      </c>
    </row>
    <row r="16649" customFormat="false" ht="12.8" hidden="false" customHeight="false" outlineLevel="0" collapsed="false">
      <c r="A16649" s="0" t="s">
        <v>12</v>
      </c>
      <c r="B16649" s="0" t="n">
        <v>5136238</v>
      </c>
      <c r="C16649" s="0" t="n">
        <v>5136258</v>
      </c>
      <c r="D16649" s="0" t="s">
        <v>55336</v>
      </c>
      <c r="E16649" s="0" t="s">
        <v>55337</v>
      </c>
      <c r="F16649" s="0" t="s">
        <v>90</v>
      </c>
      <c r="G16649" s="0" t="s">
        <v>32</v>
      </c>
      <c r="H16649" s="0" t="n">
        <v>76</v>
      </c>
      <c r="I16649" s="0" t="s">
        <v>55344</v>
      </c>
      <c r="J16649" s="0" t="s">
        <v>55345</v>
      </c>
      <c r="K16649" s="0" t="s">
        <v>55346</v>
      </c>
      <c r="L16649" s="0" t="str">
        <f aca="false">HYPERLINK("https://www.ncbi.nlm.nih.gov/nuccore/CP000058.1?report=graph&amp;tracks=[key:gene_model_track,Options:GeneOnly]&amp;mk=5136293:5136312|offset_22|444444,5136261:5136280|offset_54|444444,5136239:5136258|offset_76|00cc00,5136209:5136228|offset_106|444444&amp;v=5136092:5136428&amp;c=444444", "offset 76")</f>
        <v>offset 76</v>
      </c>
    </row>
    <row r="16650" customFormat="false" ht="12.8" hidden="false" customHeight="false" outlineLevel="0" collapsed="false">
      <c r="A16650" s="0" t="s">
        <v>12</v>
      </c>
      <c r="B16650" s="0" t="n">
        <v>5136208</v>
      </c>
      <c r="C16650" s="0" t="n">
        <v>5136228</v>
      </c>
      <c r="D16650" s="0" t="s">
        <v>55336</v>
      </c>
      <c r="E16650" s="0" t="s">
        <v>55337</v>
      </c>
      <c r="F16650" s="0" t="s">
        <v>90</v>
      </c>
      <c r="G16650" s="0" t="s">
        <v>32</v>
      </c>
      <c r="H16650" s="0" t="n">
        <v>106</v>
      </c>
      <c r="I16650" s="0" t="s">
        <v>55347</v>
      </c>
      <c r="J16650" s="0" t="s">
        <v>55348</v>
      </c>
      <c r="K16650" s="0" t="s">
        <v>55349</v>
      </c>
      <c r="L16650" s="0" t="str">
        <f aca="false">HYPERLINK("https://www.ncbi.nlm.nih.gov/nuccore/CP000058.1?report=graph&amp;tracks=[key:gene_model_track,Options:GeneOnly]&amp;mk=5136293:5136312|offset_22|444444,5136261:5136280|offset_54|444444,5136239:5136258|offset_76|444444,5136209:5136228|offset_106|00cc00&amp;v=5136092:5136428&amp;c=444444", "offset 106")</f>
        <v>offset 106</v>
      </c>
    </row>
    <row r="16651" customFormat="false" ht="12.8" hidden="false" customHeight="false" outlineLevel="0" collapsed="false">
      <c r="A16651" s="0" t="s">
        <v>12</v>
      </c>
      <c r="B16651" s="0" t="n">
        <v>5137343</v>
      </c>
      <c r="C16651" s="0" t="n">
        <v>5137363</v>
      </c>
      <c r="D16651" s="0" t="s">
        <v>55350</v>
      </c>
      <c r="E16651" s="0" t="s">
        <v>55351</v>
      </c>
      <c r="F16651" s="0" t="s">
        <v>90</v>
      </c>
      <c r="G16651" s="0" t="s">
        <v>16</v>
      </c>
      <c r="H16651" s="0" t="n">
        <v>23</v>
      </c>
      <c r="I16651" s="0" t="s">
        <v>55352</v>
      </c>
      <c r="J16651" s="0" t="s">
        <v>55353</v>
      </c>
      <c r="K16651" s="0" t="s">
        <v>55354</v>
      </c>
      <c r="L16651" s="0" t="str">
        <f aca="false">HYPERLINK("https://www.ncbi.nlm.nih.gov/nuccore/CP000058.1?report=graph&amp;tracks=[key:gene_model_track,Options:GeneOnly]&amp;mk=5137344:5137363|offset_23|00cc00,5137322:5137341|offset_45|444444,5137294:5137313|offset_73|444444,5137253:5137272|offset_114|444444&amp;v=5137143:5137472&amp;c=444444", "offset 23")</f>
        <v>offset 23</v>
      </c>
    </row>
    <row r="16652" customFormat="false" ht="12.8" hidden="false" customHeight="false" outlineLevel="0" collapsed="false">
      <c r="A16652" s="0" t="s">
        <v>12</v>
      </c>
      <c r="B16652" s="0" t="n">
        <v>5137321</v>
      </c>
      <c r="C16652" s="0" t="n">
        <v>5137341</v>
      </c>
      <c r="D16652" s="0" t="s">
        <v>55350</v>
      </c>
      <c r="E16652" s="0" t="s">
        <v>55351</v>
      </c>
      <c r="F16652" s="0" t="s">
        <v>90</v>
      </c>
      <c r="G16652" s="0" t="s">
        <v>36</v>
      </c>
      <c r="H16652" s="0" t="n">
        <v>45</v>
      </c>
      <c r="I16652" s="0" t="s">
        <v>55355</v>
      </c>
      <c r="J16652" s="0" t="s">
        <v>55356</v>
      </c>
      <c r="K16652" s="0" t="s">
        <v>55357</v>
      </c>
      <c r="L16652" s="0" t="str">
        <f aca="false">HYPERLINK("https://www.ncbi.nlm.nih.gov/nuccore/CP000058.1?report=graph&amp;tracks=[key:gene_model_track,Options:GeneOnly]&amp;mk=5137344:5137363|offset_23|444444,5137322:5137341|offset_45|00cc00,5137294:5137313|offset_73|444444,5137253:5137272|offset_114|444444&amp;v=5137143:5137472&amp;c=444444", "offset 45")</f>
        <v>offset 45</v>
      </c>
    </row>
    <row r="16653" customFormat="false" ht="12.8" hidden="false" customHeight="false" outlineLevel="0" collapsed="false">
      <c r="A16653" s="0" t="s">
        <v>12</v>
      </c>
      <c r="B16653" s="0" t="n">
        <v>5137293</v>
      </c>
      <c r="C16653" s="0" t="n">
        <v>5137313</v>
      </c>
      <c r="D16653" s="0" t="s">
        <v>55350</v>
      </c>
      <c r="E16653" s="0" t="s">
        <v>55351</v>
      </c>
      <c r="F16653" s="0" t="s">
        <v>90</v>
      </c>
      <c r="G16653" s="0" t="s">
        <v>36</v>
      </c>
      <c r="H16653" s="0" t="n">
        <v>73</v>
      </c>
      <c r="I16653" s="0" t="s">
        <v>55358</v>
      </c>
      <c r="J16653" s="0" t="s">
        <v>55359</v>
      </c>
      <c r="K16653" s="0" t="s">
        <v>55360</v>
      </c>
      <c r="L16653" s="0" t="str">
        <f aca="false">HYPERLINK("https://www.ncbi.nlm.nih.gov/nuccore/CP000058.1?report=graph&amp;tracks=[key:gene_model_track,Options:GeneOnly]&amp;mk=5137344:5137363|offset_23|444444,5137322:5137341|offset_45|444444,5137294:5137313|offset_73|00cc00,5137253:5137272|offset_114|444444&amp;v=5137143:5137472&amp;c=444444", "offset 73")</f>
        <v>offset 73</v>
      </c>
    </row>
    <row r="16654" customFormat="false" ht="12.8" hidden="false" customHeight="false" outlineLevel="0" collapsed="false">
      <c r="A16654" s="0" t="s">
        <v>12</v>
      </c>
      <c r="B16654" s="0" t="n">
        <v>5137252</v>
      </c>
      <c r="C16654" s="0" t="n">
        <v>5137272</v>
      </c>
      <c r="D16654" s="0" t="s">
        <v>55350</v>
      </c>
      <c r="E16654" s="0" t="s">
        <v>55351</v>
      </c>
      <c r="F16654" s="0" t="s">
        <v>90</v>
      </c>
      <c r="G16654" s="0" t="s">
        <v>36</v>
      </c>
      <c r="H16654" s="0" t="n">
        <v>114</v>
      </c>
      <c r="I16654" s="0" t="s">
        <v>55361</v>
      </c>
      <c r="J16654" s="0" t="s">
        <v>55362</v>
      </c>
      <c r="K16654" s="0" t="s">
        <v>55363</v>
      </c>
      <c r="L16654" s="0" t="str">
        <f aca="false">HYPERLINK("https://www.ncbi.nlm.nih.gov/nuccore/CP000058.1?report=graph&amp;tracks=[key:gene_model_track,Options:GeneOnly]&amp;mk=5137344:5137363|offset_23|444444,5137322:5137341|offset_45|444444,5137294:5137313|offset_73|444444,5137253:5137272|offset_114|00cc00&amp;v=5137143:5137472&amp;c=444444", "offset 114")</f>
        <v>offset 114</v>
      </c>
    </row>
    <row r="16655" customFormat="false" ht="12.8" hidden="false" customHeight="false" outlineLevel="0" collapsed="false">
      <c r="A16655" s="0" t="s">
        <v>12</v>
      </c>
      <c r="B16655" s="0" t="n">
        <v>5137870</v>
      </c>
      <c r="C16655" s="0" t="n">
        <v>5137890</v>
      </c>
      <c r="D16655" s="0" t="s">
        <v>55364</v>
      </c>
      <c r="E16655" s="0" t="s">
        <v>55365</v>
      </c>
      <c r="F16655" s="0" t="s">
        <v>90</v>
      </c>
      <c r="G16655" s="0" t="s">
        <v>16</v>
      </c>
      <c r="H16655" s="0" t="n">
        <v>10</v>
      </c>
      <c r="I16655" s="0" t="s">
        <v>55366</v>
      </c>
      <c r="J16655" s="0" t="s">
        <v>55367</v>
      </c>
      <c r="K16655" s="0" t="s">
        <v>55368</v>
      </c>
      <c r="L16655" s="0" t="str">
        <f aca="false">HYPERLINK("https://www.ncbi.nlm.nih.gov/nuccore/CP000058.1?report=graph&amp;tracks=[key:gene_model_track,Options:GeneOnly]&amp;mk=5137871:5137890|offset_10|00cc00,5137849:5137868|offset_32|444444,5137820:5137839|offset_61|444444,5137769:5137788|offset_112|444444&amp;v=5137670:5137988&amp;c=444444", "offset 10")</f>
        <v>offset 10</v>
      </c>
    </row>
    <row r="16656" customFormat="false" ht="12.8" hidden="false" customHeight="false" outlineLevel="0" collapsed="false">
      <c r="A16656" s="0" t="s">
        <v>12</v>
      </c>
      <c r="B16656" s="0" t="n">
        <v>5137848</v>
      </c>
      <c r="C16656" s="0" t="n">
        <v>5137868</v>
      </c>
      <c r="D16656" s="0" t="s">
        <v>55364</v>
      </c>
      <c r="E16656" s="0" t="s">
        <v>55365</v>
      </c>
      <c r="F16656" s="0" t="s">
        <v>90</v>
      </c>
      <c r="G16656" s="0" t="s">
        <v>36</v>
      </c>
      <c r="H16656" s="0" t="n">
        <v>32</v>
      </c>
      <c r="I16656" s="0" t="s">
        <v>55369</v>
      </c>
      <c r="J16656" s="0" t="s">
        <v>55370</v>
      </c>
      <c r="K16656" s="0" t="s">
        <v>55371</v>
      </c>
      <c r="L16656" s="0" t="str">
        <f aca="false">HYPERLINK("https://www.ncbi.nlm.nih.gov/nuccore/CP000058.1?report=graph&amp;tracks=[key:gene_model_track,Options:GeneOnly]&amp;mk=5137871:5137890|offset_10|444444,5137849:5137868|offset_32|00cc00,5137820:5137839|offset_61|444444,5137769:5137788|offset_112|444444&amp;v=5137670:5137988&amp;c=444444", "offset 32")</f>
        <v>offset 32</v>
      </c>
    </row>
    <row r="16657" customFormat="false" ht="12.8" hidden="false" customHeight="false" outlineLevel="0" collapsed="false">
      <c r="A16657" s="0" t="s">
        <v>12</v>
      </c>
      <c r="B16657" s="0" t="n">
        <v>5137819</v>
      </c>
      <c r="C16657" s="0" t="n">
        <v>5137839</v>
      </c>
      <c r="D16657" s="0" t="s">
        <v>55364</v>
      </c>
      <c r="E16657" s="0" t="s">
        <v>55365</v>
      </c>
      <c r="F16657" s="0" t="s">
        <v>90</v>
      </c>
      <c r="G16657" s="0" t="s">
        <v>32</v>
      </c>
      <c r="H16657" s="0" t="n">
        <v>61</v>
      </c>
      <c r="I16657" s="0" t="s">
        <v>55372</v>
      </c>
      <c r="J16657" s="0" t="s">
        <v>55373</v>
      </c>
      <c r="K16657" s="0" t="s">
        <v>55374</v>
      </c>
      <c r="L16657" s="0" t="str">
        <f aca="false">HYPERLINK("https://www.ncbi.nlm.nih.gov/nuccore/CP000058.1?report=graph&amp;tracks=[key:gene_model_track,Options:GeneOnly]&amp;mk=5137871:5137890|offset_10|444444,5137849:5137868|offset_32|444444,5137820:5137839|offset_61|00cc00,5137769:5137788|offset_112|444444&amp;v=5137670:5137988&amp;c=444444", "offset 61")</f>
        <v>offset 61</v>
      </c>
    </row>
    <row r="16658" customFormat="false" ht="12.8" hidden="false" customHeight="false" outlineLevel="0" collapsed="false">
      <c r="A16658" s="0" t="s">
        <v>12</v>
      </c>
      <c r="B16658" s="0" t="n">
        <v>5137768</v>
      </c>
      <c r="C16658" s="0" t="n">
        <v>5137788</v>
      </c>
      <c r="D16658" s="0" t="s">
        <v>55364</v>
      </c>
      <c r="E16658" s="0" t="s">
        <v>55365</v>
      </c>
      <c r="F16658" s="0" t="s">
        <v>90</v>
      </c>
      <c r="G16658" s="0" t="s">
        <v>36</v>
      </c>
      <c r="H16658" s="0" t="n">
        <v>112</v>
      </c>
      <c r="I16658" s="0" t="s">
        <v>55375</v>
      </c>
      <c r="J16658" s="0" t="s">
        <v>55376</v>
      </c>
      <c r="K16658" s="0" t="s">
        <v>55377</v>
      </c>
      <c r="L16658" s="0" t="str">
        <f aca="false">HYPERLINK("https://www.ncbi.nlm.nih.gov/nuccore/CP000058.1?report=graph&amp;tracks=[key:gene_model_track,Options:GeneOnly]&amp;mk=5137871:5137890|offset_10|444444,5137849:5137868|offset_32|444444,5137820:5137839|offset_61|444444,5137769:5137788|offset_112|00cc00&amp;v=5137670:5137988&amp;c=444444", "offset 112")</f>
        <v>offset 112</v>
      </c>
    </row>
    <row r="16659" customFormat="false" ht="12.8" hidden="false" customHeight="false" outlineLevel="0" collapsed="false">
      <c r="A16659" s="0" t="s">
        <v>12</v>
      </c>
      <c r="B16659" s="0" t="n">
        <v>5138346</v>
      </c>
      <c r="C16659" s="0" t="n">
        <v>5138366</v>
      </c>
      <c r="D16659" s="0" t="s">
        <v>55378</v>
      </c>
      <c r="E16659" s="0" t="s">
        <v>75</v>
      </c>
      <c r="F16659" s="0" t="s">
        <v>90</v>
      </c>
      <c r="G16659" s="0" t="s">
        <v>20</v>
      </c>
      <c r="H16659" s="0" t="n">
        <v>7</v>
      </c>
      <c r="I16659" s="0" t="s">
        <v>55379</v>
      </c>
      <c r="J16659" s="0" t="s">
        <v>55380</v>
      </c>
      <c r="K16659" s="0" t="s">
        <v>55381</v>
      </c>
      <c r="L16659" s="0" t="str">
        <f aca="false">HYPERLINK("https://www.ncbi.nlm.nih.gov/nuccore/CP000058.1?report=graph&amp;tracks=[key:gene_model_track,Options:GeneOnly]&amp;mk=5138347:5138366|offset_7|00cc00,5138326:5138345|offset_28|444444,5138299:5138318|offset_55|444444,5138259:5138278|offset_95|444444&amp;v=5138146:5138478&amp;c=444444", "offset 7")</f>
        <v>offset 7</v>
      </c>
    </row>
    <row r="16660" customFormat="false" ht="12.8" hidden="false" customHeight="false" outlineLevel="0" collapsed="false">
      <c r="A16660" s="0" t="s">
        <v>12</v>
      </c>
      <c r="B16660" s="0" t="n">
        <v>5138325</v>
      </c>
      <c r="C16660" s="0" t="n">
        <v>5138345</v>
      </c>
      <c r="D16660" s="0" t="s">
        <v>55378</v>
      </c>
      <c r="E16660" s="0" t="s">
        <v>75</v>
      </c>
      <c r="F16660" s="0" t="s">
        <v>90</v>
      </c>
      <c r="G16660" s="0" t="s">
        <v>20</v>
      </c>
      <c r="H16660" s="0" t="n">
        <v>28</v>
      </c>
      <c r="I16660" s="0" t="s">
        <v>55382</v>
      </c>
      <c r="J16660" s="0" t="s">
        <v>55383</v>
      </c>
      <c r="K16660" s="0" t="s">
        <v>55384</v>
      </c>
      <c r="L16660" s="0" t="str">
        <f aca="false">HYPERLINK("https://www.ncbi.nlm.nih.gov/nuccore/CP000058.1?report=graph&amp;tracks=[key:gene_model_track,Options:GeneOnly]&amp;mk=5138347:5138366|offset_7|444444,5138326:5138345|offset_28|00cc00,5138299:5138318|offset_55|444444,5138259:5138278|offset_95|444444&amp;v=5138146:5138478&amp;c=444444", "offset 28")</f>
        <v>offset 28</v>
      </c>
    </row>
    <row r="16661" customFormat="false" ht="12.8" hidden="false" customHeight="false" outlineLevel="0" collapsed="false">
      <c r="A16661" s="0" t="s">
        <v>12</v>
      </c>
      <c r="B16661" s="0" t="n">
        <v>5138298</v>
      </c>
      <c r="C16661" s="0" t="n">
        <v>5138318</v>
      </c>
      <c r="D16661" s="0" t="s">
        <v>55378</v>
      </c>
      <c r="E16661" s="0" t="s">
        <v>75</v>
      </c>
      <c r="F16661" s="0" t="s">
        <v>90</v>
      </c>
      <c r="G16661" s="0" t="s">
        <v>20</v>
      </c>
      <c r="H16661" s="0" t="n">
        <v>55</v>
      </c>
      <c r="I16661" s="0" t="s">
        <v>55385</v>
      </c>
      <c r="J16661" s="0" t="s">
        <v>55386</v>
      </c>
      <c r="K16661" s="0" t="s">
        <v>55387</v>
      </c>
      <c r="L16661" s="0" t="str">
        <f aca="false">HYPERLINK("https://www.ncbi.nlm.nih.gov/nuccore/CP000058.1?report=graph&amp;tracks=[key:gene_model_track,Options:GeneOnly]&amp;mk=5138347:5138366|offset_7|444444,5138326:5138345|offset_28|444444,5138299:5138318|offset_55|00cc00,5138259:5138278|offset_95|444444&amp;v=5138146:5138478&amp;c=444444", "offset 55")</f>
        <v>offset 55</v>
      </c>
    </row>
    <row r="16662" customFormat="false" ht="12.8" hidden="false" customHeight="false" outlineLevel="0" collapsed="false">
      <c r="A16662" s="0" t="s">
        <v>12</v>
      </c>
      <c r="B16662" s="0" t="n">
        <v>5138258</v>
      </c>
      <c r="C16662" s="0" t="n">
        <v>5138278</v>
      </c>
      <c r="D16662" s="0" t="s">
        <v>55378</v>
      </c>
      <c r="E16662" s="0" t="s">
        <v>75</v>
      </c>
      <c r="F16662" s="0" t="s">
        <v>90</v>
      </c>
      <c r="G16662" s="0" t="s">
        <v>20</v>
      </c>
      <c r="H16662" s="0" t="n">
        <v>95</v>
      </c>
      <c r="I16662" s="0" t="s">
        <v>55388</v>
      </c>
      <c r="J16662" s="0" t="s">
        <v>55389</v>
      </c>
      <c r="K16662" s="0" t="s">
        <v>55390</v>
      </c>
      <c r="L16662" s="0" t="str">
        <f aca="false">HYPERLINK("https://www.ncbi.nlm.nih.gov/nuccore/CP000058.1?report=graph&amp;tracks=[key:gene_model_track,Options:GeneOnly]&amp;mk=5138347:5138366|offset_7|444444,5138326:5138345|offset_28|444444,5138299:5138318|offset_55|444444,5138259:5138278|offset_95|00cc00&amp;v=5138146:5138478&amp;c=444444", "offset 95")</f>
        <v>offset 95</v>
      </c>
    </row>
    <row r="16663" customFormat="false" ht="12.8" hidden="false" customHeight="false" outlineLevel="0" collapsed="false">
      <c r="A16663" s="0" t="s">
        <v>12</v>
      </c>
      <c r="B16663" s="0" t="n">
        <v>5139530</v>
      </c>
      <c r="C16663" s="0" t="n">
        <v>5139550</v>
      </c>
      <c r="D16663" s="0" t="s">
        <v>55391</v>
      </c>
      <c r="E16663" s="0" t="s">
        <v>55392</v>
      </c>
      <c r="F16663" s="0" t="s">
        <v>90</v>
      </c>
      <c r="G16663" s="0" t="s">
        <v>32</v>
      </c>
      <c r="H16663" s="0" t="n">
        <v>44</v>
      </c>
      <c r="I16663" s="0" t="s">
        <v>55393</v>
      </c>
      <c r="J16663" s="0" t="s">
        <v>55394</v>
      </c>
      <c r="K16663" s="0" t="s">
        <v>55395</v>
      </c>
      <c r="L16663" s="0" t="str">
        <f aca="false">HYPERLINK("https://www.ncbi.nlm.nih.gov/nuccore/CP000058.1?report=graph&amp;tracks=[key:gene_model_track,Options:GeneOnly]&amp;mk=5139531:5139550|offset_44|00cc00,5139495:5139514|offset_80|444444,5139466:5139485|offset_109|444444,5139418:5139437|offset_157|444444&amp;v=5139330:5139637&amp;c=444444", "offset 44")</f>
        <v>offset 44</v>
      </c>
    </row>
    <row r="16664" customFormat="false" ht="12.8" hidden="false" customHeight="false" outlineLevel="0" collapsed="false">
      <c r="A16664" s="0" t="s">
        <v>12</v>
      </c>
      <c r="B16664" s="0" t="n">
        <v>5139494</v>
      </c>
      <c r="C16664" s="0" t="n">
        <v>5139514</v>
      </c>
      <c r="D16664" s="0" t="s">
        <v>55391</v>
      </c>
      <c r="E16664" s="0" t="s">
        <v>55392</v>
      </c>
      <c r="F16664" s="0" t="s">
        <v>90</v>
      </c>
      <c r="G16664" s="0" t="s">
        <v>16</v>
      </c>
      <c r="H16664" s="0" t="n">
        <v>80</v>
      </c>
      <c r="I16664" s="0" t="s">
        <v>55396</v>
      </c>
      <c r="J16664" s="0" t="s">
        <v>55397</v>
      </c>
      <c r="K16664" s="0" t="s">
        <v>55398</v>
      </c>
      <c r="L16664" s="0" t="str">
        <f aca="false">HYPERLINK("https://www.ncbi.nlm.nih.gov/nuccore/CP000058.1?report=graph&amp;tracks=[key:gene_model_track,Options:GeneOnly]&amp;mk=5139531:5139550|offset_44|444444,5139495:5139514|offset_80|00cc00,5139466:5139485|offset_109|444444,5139418:5139437|offset_157|444444&amp;v=5139330:5139637&amp;c=444444", "offset 80")</f>
        <v>offset 80</v>
      </c>
    </row>
    <row r="16665" customFormat="false" ht="12.8" hidden="false" customHeight="false" outlineLevel="0" collapsed="false">
      <c r="A16665" s="0" t="s">
        <v>12</v>
      </c>
      <c r="B16665" s="0" t="n">
        <v>5139465</v>
      </c>
      <c r="C16665" s="0" t="n">
        <v>5139485</v>
      </c>
      <c r="D16665" s="0" t="s">
        <v>55391</v>
      </c>
      <c r="E16665" s="0" t="s">
        <v>55392</v>
      </c>
      <c r="F16665" s="0" t="s">
        <v>90</v>
      </c>
      <c r="G16665" s="0" t="s">
        <v>16</v>
      </c>
      <c r="H16665" s="0" t="n">
        <v>109</v>
      </c>
      <c r="I16665" s="0" t="s">
        <v>55399</v>
      </c>
      <c r="J16665" s="0" t="s">
        <v>55400</v>
      </c>
      <c r="K16665" s="0" t="s">
        <v>55401</v>
      </c>
      <c r="L16665" s="0" t="str">
        <f aca="false">HYPERLINK("https://www.ncbi.nlm.nih.gov/nuccore/CP000058.1?report=graph&amp;tracks=[key:gene_model_track,Options:GeneOnly]&amp;mk=5139531:5139550|offset_44|444444,5139495:5139514|offset_80|444444,5139466:5139485|offset_109|00cc00,5139418:5139437|offset_157|444444&amp;v=5139330:5139637&amp;c=444444", "offset 109")</f>
        <v>offset 109</v>
      </c>
    </row>
    <row r="16666" customFormat="false" ht="12.8" hidden="false" customHeight="false" outlineLevel="0" collapsed="false">
      <c r="A16666" s="0" t="s">
        <v>12</v>
      </c>
      <c r="B16666" s="0" t="n">
        <v>5139417</v>
      </c>
      <c r="C16666" s="0" t="n">
        <v>5139437</v>
      </c>
      <c r="D16666" s="0" t="s">
        <v>55391</v>
      </c>
      <c r="E16666" s="0" t="s">
        <v>55392</v>
      </c>
      <c r="F16666" s="0" t="s">
        <v>90</v>
      </c>
      <c r="G16666" s="0" t="s">
        <v>36</v>
      </c>
      <c r="H16666" s="0" t="n">
        <v>157</v>
      </c>
      <c r="I16666" s="0" t="s">
        <v>55402</v>
      </c>
      <c r="J16666" s="0" t="s">
        <v>55403</v>
      </c>
      <c r="K16666" s="0" t="s">
        <v>55404</v>
      </c>
      <c r="L16666" s="0" t="str">
        <f aca="false">HYPERLINK("https://www.ncbi.nlm.nih.gov/nuccore/CP000058.1?report=graph&amp;tracks=[key:gene_model_track,Options:GeneOnly]&amp;mk=5139531:5139550|offset_44|444444,5139495:5139514|offset_80|444444,5139466:5139485|offset_109|444444,5139418:5139437|offset_157|00cc00&amp;v=5139330:5139637&amp;c=444444", "offset 157")</f>
        <v>offset 157</v>
      </c>
    </row>
    <row r="16667" customFormat="false" ht="12.8" hidden="false" customHeight="false" outlineLevel="0" collapsed="false">
      <c r="A16667" s="0" t="s">
        <v>12</v>
      </c>
      <c r="B16667" s="0" t="n">
        <v>5140258</v>
      </c>
      <c r="C16667" s="0" t="n">
        <v>5140278</v>
      </c>
      <c r="D16667" s="0" t="s">
        <v>55405</v>
      </c>
      <c r="E16667" s="0" t="s">
        <v>55406</v>
      </c>
      <c r="F16667" s="0" t="s">
        <v>90</v>
      </c>
      <c r="G16667" s="0" t="s">
        <v>36</v>
      </c>
      <c r="H16667" s="0" t="n">
        <v>0</v>
      </c>
      <c r="I16667" s="0" t="s">
        <v>55407</v>
      </c>
      <c r="J16667" s="0" t="s">
        <v>55408</v>
      </c>
      <c r="K16667" s="0" t="s">
        <v>55409</v>
      </c>
      <c r="L16667" s="0" t="str">
        <f aca="false">HYPERLINK("https://www.ncbi.nlm.nih.gov/nuccore/CP000058.1?report=graph&amp;tracks=[key:gene_model_track,Options:GeneOnly]&amp;mk=5140259:5140278|offset_0|00cc00,5140234:5140253|offset_25|444444,5140208:5140227|offset_51|444444,5140174:5140193|offset_85|444444&amp;v=5140058:5140393&amp;c=444444", "offset 0")</f>
        <v>offset 0</v>
      </c>
    </row>
    <row r="16668" customFormat="false" ht="12.8" hidden="false" customHeight="false" outlineLevel="0" collapsed="false">
      <c r="A16668" s="0" t="s">
        <v>12</v>
      </c>
      <c r="B16668" s="0" t="n">
        <v>5140233</v>
      </c>
      <c r="C16668" s="0" t="n">
        <v>5140253</v>
      </c>
      <c r="D16668" s="0" t="s">
        <v>55405</v>
      </c>
      <c r="E16668" s="0" t="s">
        <v>55406</v>
      </c>
      <c r="F16668" s="0" t="s">
        <v>90</v>
      </c>
      <c r="G16668" s="0" t="s">
        <v>32</v>
      </c>
      <c r="H16668" s="0" t="n">
        <v>25</v>
      </c>
      <c r="I16668" s="0" t="s">
        <v>55410</v>
      </c>
      <c r="J16668" s="0" t="s">
        <v>55411</v>
      </c>
      <c r="K16668" s="0" t="s">
        <v>55412</v>
      </c>
      <c r="L16668" s="0" t="str">
        <f aca="false">HYPERLINK("https://www.ncbi.nlm.nih.gov/nuccore/CP000058.1?report=graph&amp;tracks=[key:gene_model_track,Options:GeneOnly]&amp;mk=5140259:5140278|offset_0|444444,5140234:5140253|offset_25|00cc00,5140208:5140227|offset_51|444444,5140174:5140193|offset_85|444444&amp;v=5140058:5140393&amp;c=444444", "offset 25")</f>
        <v>offset 25</v>
      </c>
    </row>
    <row r="16669" customFormat="false" ht="12.8" hidden="false" customHeight="false" outlineLevel="0" collapsed="false">
      <c r="A16669" s="0" t="s">
        <v>12</v>
      </c>
      <c r="B16669" s="0" t="n">
        <v>5140207</v>
      </c>
      <c r="C16669" s="0" t="n">
        <v>5140227</v>
      </c>
      <c r="D16669" s="0" t="s">
        <v>55405</v>
      </c>
      <c r="E16669" s="0" t="s">
        <v>55406</v>
      </c>
      <c r="F16669" s="0" t="s">
        <v>90</v>
      </c>
      <c r="G16669" s="0" t="s">
        <v>36</v>
      </c>
      <c r="H16669" s="0" t="n">
        <v>51</v>
      </c>
      <c r="I16669" s="0" t="s">
        <v>55413</v>
      </c>
      <c r="J16669" s="0" t="s">
        <v>55414</v>
      </c>
      <c r="K16669" s="0" t="s">
        <v>55415</v>
      </c>
      <c r="L16669" s="0" t="str">
        <f aca="false">HYPERLINK("https://www.ncbi.nlm.nih.gov/nuccore/CP000058.1?report=graph&amp;tracks=[key:gene_model_track,Options:GeneOnly]&amp;mk=5140259:5140278|offset_0|444444,5140234:5140253|offset_25|444444,5140208:5140227|offset_51|00cc00,5140174:5140193|offset_85|444444&amp;v=5140058:5140393&amp;c=444444", "offset 51")</f>
        <v>offset 51</v>
      </c>
    </row>
    <row r="16670" customFormat="false" ht="12.8" hidden="false" customHeight="false" outlineLevel="0" collapsed="false">
      <c r="A16670" s="0" t="s">
        <v>12</v>
      </c>
      <c r="B16670" s="0" t="n">
        <v>5140173</v>
      </c>
      <c r="C16670" s="0" t="n">
        <v>5140193</v>
      </c>
      <c r="D16670" s="0" t="s">
        <v>55405</v>
      </c>
      <c r="E16670" s="0" t="s">
        <v>55406</v>
      </c>
      <c r="F16670" s="0" t="s">
        <v>90</v>
      </c>
      <c r="G16670" s="0" t="s">
        <v>16</v>
      </c>
      <c r="H16670" s="0" t="n">
        <v>85</v>
      </c>
      <c r="I16670" s="0" t="s">
        <v>55416</v>
      </c>
      <c r="J16670" s="0" t="s">
        <v>55417</v>
      </c>
      <c r="K16670" s="0" t="s">
        <v>55418</v>
      </c>
      <c r="L16670" s="0" t="str">
        <f aca="false">HYPERLINK("https://www.ncbi.nlm.nih.gov/nuccore/CP000058.1?report=graph&amp;tracks=[key:gene_model_track,Options:GeneOnly]&amp;mk=5140259:5140278|offset_0|444444,5140234:5140253|offset_25|444444,5140208:5140227|offset_51|444444,5140174:5140193|offset_85|00cc00&amp;v=5140058:5140393&amp;c=444444", "offset 85")</f>
        <v>offset 85</v>
      </c>
    </row>
    <row r="16671" customFormat="false" ht="12.8" hidden="false" customHeight="false" outlineLevel="0" collapsed="false">
      <c r="A16671" s="0" t="s">
        <v>12</v>
      </c>
      <c r="B16671" s="0" t="n">
        <v>5141363</v>
      </c>
      <c r="C16671" s="0" t="n">
        <v>5141383</v>
      </c>
      <c r="D16671" s="0" t="s">
        <v>55419</v>
      </c>
      <c r="E16671" s="0" t="s">
        <v>55420</v>
      </c>
      <c r="F16671" s="0" t="s">
        <v>90</v>
      </c>
      <c r="G16671" s="0" t="s">
        <v>32</v>
      </c>
      <c r="H16671" s="0" t="n">
        <v>79</v>
      </c>
      <c r="I16671" s="0" t="s">
        <v>55421</v>
      </c>
      <c r="J16671" s="0" t="s">
        <v>55422</v>
      </c>
      <c r="K16671" s="0" t="s">
        <v>55423</v>
      </c>
      <c r="L16671" s="0" t="str">
        <f aca="false">HYPERLINK("https://www.ncbi.nlm.nih.gov/nuccore/CP000058.1?report=graph&amp;tracks=[key:gene_model_track,Options:GeneOnly]&amp;mk=5141364:5141383|offset_79|00cc00,5141318:5141337|offset_125|444444,5141278:5141297|offset_165|444444,5141258:5141277|offset_185|444444&amp;v=5141163:5141477&amp;c=444444", "offset 79")</f>
        <v>offset 79</v>
      </c>
    </row>
    <row r="16672" customFormat="false" ht="12.8" hidden="false" customHeight="false" outlineLevel="0" collapsed="false">
      <c r="A16672" s="0" t="s">
        <v>12</v>
      </c>
      <c r="B16672" s="0" t="n">
        <v>5141317</v>
      </c>
      <c r="C16672" s="0" t="n">
        <v>5141337</v>
      </c>
      <c r="D16672" s="0" t="s">
        <v>55419</v>
      </c>
      <c r="E16672" s="0" t="s">
        <v>55420</v>
      </c>
      <c r="F16672" s="0" t="s">
        <v>90</v>
      </c>
      <c r="G16672" s="0" t="s">
        <v>32</v>
      </c>
      <c r="H16672" s="0" t="n">
        <v>125</v>
      </c>
      <c r="I16672" s="0" t="s">
        <v>55424</v>
      </c>
      <c r="J16672" s="0" t="s">
        <v>55425</v>
      </c>
      <c r="K16672" s="0" t="s">
        <v>55426</v>
      </c>
      <c r="L16672" s="0" t="str">
        <f aca="false">HYPERLINK("https://www.ncbi.nlm.nih.gov/nuccore/CP000058.1?report=graph&amp;tracks=[key:gene_model_track,Options:GeneOnly]&amp;mk=5141364:5141383|offset_79|444444,5141318:5141337|offset_125|00cc00,5141278:5141297|offset_165|444444,5141258:5141277|offset_185|444444&amp;v=5141163:5141477&amp;c=444444", "offset 125")</f>
        <v>offset 125</v>
      </c>
    </row>
    <row r="16673" customFormat="false" ht="12.8" hidden="false" customHeight="false" outlineLevel="0" collapsed="false">
      <c r="A16673" s="0" t="s">
        <v>12</v>
      </c>
      <c r="B16673" s="0" t="n">
        <v>5141277</v>
      </c>
      <c r="C16673" s="0" t="n">
        <v>5141297</v>
      </c>
      <c r="D16673" s="0" t="s">
        <v>55419</v>
      </c>
      <c r="E16673" s="0" t="s">
        <v>55420</v>
      </c>
      <c r="F16673" s="0" t="s">
        <v>90</v>
      </c>
      <c r="G16673" s="0" t="s">
        <v>16</v>
      </c>
      <c r="H16673" s="0" t="n">
        <v>165</v>
      </c>
      <c r="I16673" s="0" t="s">
        <v>55427</v>
      </c>
      <c r="J16673" s="0" t="s">
        <v>55428</v>
      </c>
      <c r="K16673" s="0" t="s">
        <v>55429</v>
      </c>
      <c r="L16673" s="0" t="str">
        <f aca="false">HYPERLINK("https://www.ncbi.nlm.nih.gov/nuccore/CP000058.1?report=graph&amp;tracks=[key:gene_model_track,Options:GeneOnly]&amp;mk=5141364:5141383|offset_79|444444,5141318:5141337|offset_125|444444,5141278:5141297|offset_165|00cc00,5141258:5141277|offset_185|444444&amp;v=5141163:5141477&amp;c=444444", "offset 165")</f>
        <v>offset 165</v>
      </c>
    </row>
    <row r="16674" customFormat="false" ht="12.8" hidden="false" customHeight="false" outlineLevel="0" collapsed="false">
      <c r="A16674" s="0" t="s">
        <v>12</v>
      </c>
      <c r="B16674" s="0" t="n">
        <v>5141257</v>
      </c>
      <c r="C16674" s="0" t="n">
        <v>5141277</v>
      </c>
      <c r="D16674" s="0" t="s">
        <v>55419</v>
      </c>
      <c r="E16674" s="0" t="s">
        <v>55420</v>
      </c>
      <c r="F16674" s="0" t="s">
        <v>90</v>
      </c>
      <c r="G16674" s="0" t="s">
        <v>20</v>
      </c>
      <c r="H16674" s="0" t="n">
        <v>185</v>
      </c>
      <c r="I16674" s="0" t="s">
        <v>55430</v>
      </c>
      <c r="J16674" s="0" t="s">
        <v>55431</v>
      </c>
      <c r="K16674" s="0" t="s">
        <v>55432</v>
      </c>
      <c r="L16674" s="0" t="str">
        <f aca="false">HYPERLINK("https://www.ncbi.nlm.nih.gov/nuccore/CP000058.1?report=graph&amp;tracks=[key:gene_model_track,Options:GeneOnly]&amp;mk=5141364:5141383|offset_79|444444,5141318:5141337|offset_125|444444,5141278:5141297|offset_165|444444,5141258:5141277|offset_185|00cc00&amp;v=5141163:5141477&amp;c=444444", "offset 185")</f>
        <v>offset 185</v>
      </c>
    </row>
    <row r="16675" customFormat="false" ht="12.8" hidden="false" customHeight="false" outlineLevel="0" collapsed="false">
      <c r="A16675" s="0" t="s">
        <v>12</v>
      </c>
      <c r="B16675" s="0" t="n">
        <v>5141911</v>
      </c>
      <c r="C16675" s="0" t="n">
        <v>5141931</v>
      </c>
      <c r="D16675" s="0" t="s">
        <v>55433</v>
      </c>
      <c r="E16675" s="0" t="s">
        <v>75</v>
      </c>
      <c r="F16675" s="0" t="s">
        <v>90</v>
      </c>
      <c r="G16675" s="0" t="s">
        <v>32</v>
      </c>
      <c r="H16675" s="0" t="n">
        <v>1</v>
      </c>
      <c r="I16675" s="0" t="s">
        <v>55434</v>
      </c>
      <c r="J16675" s="0" t="s">
        <v>55435</v>
      </c>
      <c r="K16675" s="0" t="s">
        <v>55436</v>
      </c>
      <c r="L16675" s="0" t="str">
        <f aca="false">HYPERLINK("https://www.ncbi.nlm.nih.gov/nuccore/CP000058.1?report=graph&amp;tracks=[key:gene_model_track,Options:GeneOnly]&amp;mk=5141912:5141931|offset_1|00cc00,5141888:5141907|offset_25|444444,5141864:5141883|offset_49|444444,5141833:5141852|offset_80|444444&amp;v=5141711:5142052&amp;c=444444", "offset 1")</f>
        <v>offset 1</v>
      </c>
    </row>
    <row r="16676" customFormat="false" ht="12.8" hidden="false" customHeight="false" outlineLevel="0" collapsed="false">
      <c r="A16676" s="0" t="s">
        <v>12</v>
      </c>
      <c r="B16676" s="0" t="n">
        <v>5141887</v>
      </c>
      <c r="C16676" s="0" t="n">
        <v>5141907</v>
      </c>
      <c r="D16676" s="0" t="s">
        <v>55433</v>
      </c>
      <c r="E16676" s="0" t="s">
        <v>75</v>
      </c>
      <c r="F16676" s="0" t="s">
        <v>90</v>
      </c>
      <c r="G16676" s="0" t="s">
        <v>32</v>
      </c>
      <c r="H16676" s="0" t="n">
        <v>25</v>
      </c>
      <c r="I16676" s="0" t="s">
        <v>55437</v>
      </c>
      <c r="J16676" s="0" t="s">
        <v>55438</v>
      </c>
      <c r="K16676" s="0" t="s">
        <v>55439</v>
      </c>
      <c r="L16676" s="0" t="str">
        <f aca="false">HYPERLINK("https://www.ncbi.nlm.nih.gov/nuccore/CP000058.1?report=graph&amp;tracks=[key:gene_model_track,Options:GeneOnly]&amp;mk=5141912:5141931|offset_1|444444,5141888:5141907|offset_25|00cc00,5141864:5141883|offset_49|444444,5141833:5141852|offset_80|444444&amp;v=5141711:5142052&amp;c=444444", "offset 25")</f>
        <v>offset 25</v>
      </c>
    </row>
    <row r="16677" customFormat="false" ht="12.8" hidden="false" customHeight="false" outlineLevel="0" collapsed="false">
      <c r="A16677" s="0" t="s">
        <v>12</v>
      </c>
      <c r="B16677" s="0" t="n">
        <v>5141863</v>
      </c>
      <c r="C16677" s="0" t="n">
        <v>5141883</v>
      </c>
      <c r="D16677" s="0" t="s">
        <v>55433</v>
      </c>
      <c r="E16677" s="0" t="s">
        <v>75</v>
      </c>
      <c r="F16677" s="0" t="s">
        <v>90</v>
      </c>
      <c r="G16677" s="0" t="s">
        <v>36</v>
      </c>
      <c r="H16677" s="0" t="n">
        <v>49</v>
      </c>
      <c r="I16677" s="0" t="s">
        <v>55440</v>
      </c>
      <c r="J16677" s="0" t="s">
        <v>55441</v>
      </c>
      <c r="K16677" s="0" t="s">
        <v>55442</v>
      </c>
      <c r="L16677" s="0" t="str">
        <f aca="false">HYPERLINK("https://www.ncbi.nlm.nih.gov/nuccore/CP000058.1?report=graph&amp;tracks=[key:gene_model_track,Options:GeneOnly]&amp;mk=5141912:5141931|offset_1|444444,5141888:5141907|offset_25|444444,5141864:5141883|offset_49|00cc00,5141833:5141852|offset_80|444444&amp;v=5141711:5142052&amp;c=444444", "offset 49")</f>
        <v>offset 49</v>
      </c>
    </row>
    <row r="16678" customFormat="false" ht="12.8" hidden="false" customHeight="false" outlineLevel="0" collapsed="false">
      <c r="A16678" s="0" t="s">
        <v>12</v>
      </c>
      <c r="B16678" s="0" t="n">
        <v>5141832</v>
      </c>
      <c r="C16678" s="0" t="n">
        <v>5141852</v>
      </c>
      <c r="D16678" s="0" t="s">
        <v>55433</v>
      </c>
      <c r="E16678" s="0" t="s">
        <v>75</v>
      </c>
      <c r="F16678" s="0" t="s">
        <v>90</v>
      </c>
      <c r="G16678" s="0" t="s">
        <v>16</v>
      </c>
      <c r="H16678" s="0" t="n">
        <v>80</v>
      </c>
      <c r="I16678" s="0" t="s">
        <v>55443</v>
      </c>
      <c r="J16678" s="0" t="s">
        <v>55444</v>
      </c>
      <c r="K16678" s="0" t="s">
        <v>55445</v>
      </c>
      <c r="L16678" s="0" t="str">
        <f aca="false">HYPERLINK("https://www.ncbi.nlm.nih.gov/nuccore/CP000058.1?report=graph&amp;tracks=[key:gene_model_track,Options:GeneOnly]&amp;mk=5141912:5141931|offset_1|444444,5141888:5141907|offset_25|444444,5141864:5141883|offset_49|444444,5141833:5141852|offset_80|00cc00&amp;v=5141711:5142052&amp;c=444444", "offset 80")</f>
        <v>offset 80</v>
      </c>
    </row>
    <row r="16679" customFormat="false" ht="12.8" hidden="false" customHeight="false" outlineLevel="0" collapsed="false">
      <c r="A16679" s="0" t="s">
        <v>12</v>
      </c>
      <c r="B16679" s="0" t="n">
        <v>5142122</v>
      </c>
      <c r="C16679" s="0" t="n">
        <v>5142142</v>
      </c>
      <c r="D16679" s="0" t="s">
        <v>55446</v>
      </c>
      <c r="E16679" s="0" t="s">
        <v>75</v>
      </c>
      <c r="F16679" s="0" t="s">
        <v>15</v>
      </c>
      <c r="G16679" s="0" t="s">
        <v>36</v>
      </c>
      <c r="H16679" s="0" t="n">
        <v>14</v>
      </c>
      <c r="I16679" s="0" t="s">
        <v>55447</v>
      </c>
      <c r="J16679" s="0" t="s">
        <v>55448</v>
      </c>
      <c r="K16679" s="0" t="s">
        <v>55449</v>
      </c>
      <c r="L16679" s="0" t="str">
        <f aca="false">HYPERLINK("https://www.ncbi.nlm.nih.gov/nuccore/CP000058.1?report=graph&amp;tracks=[key:gene_model_track,Options:GeneOnly]&amp;mk=5142123:5142142|offset_14|00cc00,5142158:5142177|offset_49|444444,5142181:5142200|offset_72|444444,5142202:5142221|offset_93|444444&amp;v=5141922:5142421&amp;c=444444", "offset 14")</f>
        <v>offset 14</v>
      </c>
    </row>
    <row r="16680" customFormat="false" ht="12.8" hidden="false" customHeight="false" outlineLevel="0" collapsed="false">
      <c r="A16680" s="0" t="s">
        <v>12</v>
      </c>
      <c r="B16680" s="0" t="n">
        <v>5142157</v>
      </c>
      <c r="C16680" s="0" t="n">
        <v>5142177</v>
      </c>
      <c r="D16680" s="0" t="s">
        <v>55446</v>
      </c>
      <c r="E16680" s="0" t="s">
        <v>75</v>
      </c>
      <c r="F16680" s="0" t="s">
        <v>15</v>
      </c>
      <c r="G16680" s="0" t="s">
        <v>16</v>
      </c>
      <c r="H16680" s="0" t="n">
        <v>49</v>
      </c>
      <c r="I16680" s="0" t="s">
        <v>55450</v>
      </c>
      <c r="J16680" s="0" t="s">
        <v>55451</v>
      </c>
      <c r="K16680" s="0" t="s">
        <v>55452</v>
      </c>
      <c r="L16680" s="0" t="str">
        <f aca="false">HYPERLINK("https://www.ncbi.nlm.nih.gov/nuccore/CP000058.1?report=graph&amp;tracks=[key:gene_model_track,Options:GeneOnly]&amp;mk=5142123:5142142|offset_14|444444,5142158:5142177|offset_49|00cc00,5142181:5142200|offset_72|444444,5142202:5142221|offset_93|444444&amp;v=5141922:5142421&amp;c=444444", "offset 49")</f>
        <v>offset 49</v>
      </c>
    </row>
    <row r="16681" customFormat="false" ht="12.8" hidden="false" customHeight="false" outlineLevel="0" collapsed="false">
      <c r="A16681" s="0" t="s">
        <v>12</v>
      </c>
      <c r="B16681" s="0" t="n">
        <v>5142180</v>
      </c>
      <c r="C16681" s="0" t="n">
        <v>5142200</v>
      </c>
      <c r="D16681" s="0" t="s">
        <v>55446</v>
      </c>
      <c r="E16681" s="0" t="s">
        <v>75</v>
      </c>
      <c r="F16681" s="0" t="s">
        <v>15</v>
      </c>
      <c r="G16681" s="0" t="s">
        <v>32</v>
      </c>
      <c r="H16681" s="0" t="n">
        <v>72</v>
      </c>
      <c r="I16681" s="0" t="s">
        <v>55453</v>
      </c>
      <c r="J16681" s="0" t="s">
        <v>55454</v>
      </c>
      <c r="K16681" s="0" t="s">
        <v>55455</v>
      </c>
      <c r="L16681" s="0" t="str">
        <f aca="false">HYPERLINK("https://www.ncbi.nlm.nih.gov/nuccore/CP000058.1?report=graph&amp;tracks=[key:gene_model_track,Options:GeneOnly]&amp;mk=5142123:5142142|offset_14|444444,5142158:5142177|offset_49|444444,5142181:5142200|offset_72|00cc00,5142202:5142221|offset_93|444444&amp;v=5141922:5142421&amp;c=444444", "offset 72")</f>
        <v>offset 72</v>
      </c>
    </row>
    <row r="16682" customFormat="false" ht="12.8" hidden="false" customHeight="false" outlineLevel="0" collapsed="false">
      <c r="A16682" s="0" t="s">
        <v>12</v>
      </c>
      <c r="B16682" s="0" t="n">
        <v>5142201</v>
      </c>
      <c r="C16682" s="0" t="n">
        <v>5142221</v>
      </c>
      <c r="D16682" s="0" t="s">
        <v>55446</v>
      </c>
      <c r="E16682" s="0" t="s">
        <v>75</v>
      </c>
      <c r="F16682" s="0" t="s">
        <v>15</v>
      </c>
      <c r="G16682" s="0" t="s">
        <v>36</v>
      </c>
      <c r="H16682" s="0" t="n">
        <v>93</v>
      </c>
      <c r="I16682" s="0" t="s">
        <v>55456</v>
      </c>
      <c r="J16682" s="0" t="s">
        <v>55457</v>
      </c>
      <c r="K16682" s="0" t="s">
        <v>55458</v>
      </c>
      <c r="L16682" s="0" t="str">
        <f aca="false">HYPERLINK("https://www.ncbi.nlm.nih.gov/nuccore/CP000058.1?report=graph&amp;tracks=[key:gene_model_track,Options:GeneOnly]&amp;mk=5142123:5142142|offset_14|444444,5142158:5142177|offset_49|444444,5142181:5142200|offset_72|444444,5142202:5142221|offset_93|00cc00&amp;v=5141922:5142421&amp;c=444444", "offset 93")</f>
        <v>offset 93</v>
      </c>
    </row>
    <row r="16683" customFormat="false" ht="12.8" hidden="false" customHeight="false" outlineLevel="0" collapsed="false">
      <c r="A16683" s="0" t="s">
        <v>12</v>
      </c>
      <c r="B16683" s="0" t="n">
        <v>5142566</v>
      </c>
      <c r="C16683" s="0" t="n">
        <v>5142586</v>
      </c>
      <c r="D16683" s="0" t="s">
        <v>55459</v>
      </c>
      <c r="E16683" s="0" t="s">
        <v>75</v>
      </c>
      <c r="F16683" s="0" t="s">
        <v>15</v>
      </c>
      <c r="G16683" s="0" t="s">
        <v>16</v>
      </c>
      <c r="H16683" s="0" t="n">
        <v>12</v>
      </c>
      <c r="I16683" s="0" t="s">
        <v>55460</v>
      </c>
      <c r="J16683" s="0" t="s">
        <v>55461</v>
      </c>
      <c r="K16683" s="0" t="s">
        <v>55462</v>
      </c>
      <c r="L16683" s="0" t="str">
        <f aca="false">HYPERLINK("https://www.ncbi.nlm.nih.gov/nuccore/CP000058.1?report=graph&amp;tracks=[key:gene_model_track,Options:GeneOnly]&amp;mk=5142567:5142586|offset_12|00cc00,5142610:5142629|offset_55|444444,5142670:5142689|offset_115|444444,5142692:5142711|offset_137|444444&amp;v=5142366:5142911&amp;c=444444", "offset 12")</f>
        <v>offset 12</v>
      </c>
    </row>
    <row r="16684" customFormat="false" ht="12.8" hidden="false" customHeight="false" outlineLevel="0" collapsed="false">
      <c r="A16684" s="0" t="s">
        <v>12</v>
      </c>
      <c r="B16684" s="0" t="n">
        <v>5142609</v>
      </c>
      <c r="C16684" s="0" t="n">
        <v>5142629</v>
      </c>
      <c r="D16684" s="0" t="s">
        <v>55459</v>
      </c>
      <c r="E16684" s="0" t="s">
        <v>75</v>
      </c>
      <c r="F16684" s="0" t="s">
        <v>15</v>
      </c>
      <c r="G16684" s="0" t="s">
        <v>36</v>
      </c>
      <c r="H16684" s="0" t="n">
        <v>55</v>
      </c>
      <c r="I16684" s="0" t="s">
        <v>55463</v>
      </c>
      <c r="J16684" s="0" t="s">
        <v>55464</v>
      </c>
      <c r="K16684" s="0" t="s">
        <v>55465</v>
      </c>
      <c r="L16684" s="0" t="str">
        <f aca="false">HYPERLINK("https://www.ncbi.nlm.nih.gov/nuccore/CP000058.1?report=graph&amp;tracks=[key:gene_model_track,Options:GeneOnly]&amp;mk=5142567:5142586|offset_12|444444,5142610:5142629|offset_55|00cc00,5142670:5142689|offset_115|444444,5142692:5142711|offset_137|444444&amp;v=5142366:5142911&amp;c=444444", "offset 55")</f>
        <v>offset 55</v>
      </c>
    </row>
    <row r="16685" customFormat="false" ht="12.8" hidden="false" customHeight="false" outlineLevel="0" collapsed="false">
      <c r="A16685" s="0" t="s">
        <v>12</v>
      </c>
      <c r="B16685" s="0" t="n">
        <v>5142669</v>
      </c>
      <c r="C16685" s="0" t="n">
        <v>5142689</v>
      </c>
      <c r="D16685" s="0" t="s">
        <v>55459</v>
      </c>
      <c r="E16685" s="0" t="s">
        <v>75</v>
      </c>
      <c r="F16685" s="0" t="s">
        <v>15</v>
      </c>
      <c r="G16685" s="0" t="s">
        <v>32</v>
      </c>
      <c r="H16685" s="0" t="n">
        <v>115</v>
      </c>
      <c r="I16685" s="0" t="s">
        <v>55466</v>
      </c>
      <c r="J16685" s="0" t="s">
        <v>55467</v>
      </c>
      <c r="K16685" s="0" t="s">
        <v>55468</v>
      </c>
      <c r="L16685" s="0" t="str">
        <f aca="false">HYPERLINK("https://www.ncbi.nlm.nih.gov/nuccore/CP000058.1?report=graph&amp;tracks=[key:gene_model_track,Options:GeneOnly]&amp;mk=5142567:5142586|offset_12|444444,5142610:5142629|offset_55|444444,5142670:5142689|offset_115|00cc00,5142692:5142711|offset_137|444444&amp;v=5142366:5142911&amp;c=444444", "offset 115")</f>
        <v>offset 115</v>
      </c>
    </row>
    <row r="16686" customFormat="false" ht="12.8" hidden="false" customHeight="false" outlineLevel="0" collapsed="false">
      <c r="A16686" s="0" t="s">
        <v>12</v>
      </c>
      <c r="B16686" s="0" t="n">
        <v>5142691</v>
      </c>
      <c r="C16686" s="0" t="n">
        <v>5142711</v>
      </c>
      <c r="D16686" s="0" t="s">
        <v>55459</v>
      </c>
      <c r="E16686" s="0" t="s">
        <v>75</v>
      </c>
      <c r="F16686" s="0" t="s">
        <v>15</v>
      </c>
      <c r="G16686" s="0" t="s">
        <v>36</v>
      </c>
      <c r="H16686" s="0" t="n">
        <v>137</v>
      </c>
      <c r="I16686" s="0" t="s">
        <v>55469</v>
      </c>
      <c r="J16686" s="0" t="s">
        <v>55470</v>
      </c>
      <c r="K16686" s="0" t="s">
        <v>55471</v>
      </c>
      <c r="L16686" s="0" t="str">
        <f aca="false">HYPERLINK("https://www.ncbi.nlm.nih.gov/nuccore/CP000058.1?report=graph&amp;tracks=[key:gene_model_track,Options:GeneOnly]&amp;mk=5142567:5142586|offset_12|444444,5142610:5142629|offset_55|444444,5142670:5142689|offset_115|444444,5142692:5142711|offset_137|00cc00&amp;v=5142366:5142911&amp;c=444444", "offset 137")</f>
        <v>offset 137</v>
      </c>
    </row>
    <row r="16687" customFormat="false" ht="12.8" hidden="false" customHeight="false" outlineLevel="0" collapsed="false">
      <c r="A16687" s="0" t="s">
        <v>12</v>
      </c>
      <c r="B16687" s="0" t="n">
        <v>5143489</v>
      </c>
      <c r="C16687" s="0" t="n">
        <v>5143509</v>
      </c>
      <c r="D16687" s="0" t="s">
        <v>55472</v>
      </c>
      <c r="E16687" s="0" t="s">
        <v>75</v>
      </c>
      <c r="F16687" s="0" t="s">
        <v>15</v>
      </c>
      <c r="G16687" s="0" t="s">
        <v>32</v>
      </c>
      <c r="H16687" s="0" t="n">
        <v>8</v>
      </c>
      <c r="I16687" s="0" t="s">
        <v>55473</v>
      </c>
      <c r="J16687" s="0" t="s">
        <v>55474</v>
      </c>
      <c r="K16687" s="0" t="s">
        <v>55475</v>
      </c>
      <c r="L16687" s="0" t="str">
        <f aca="false">HYPERLINK("https://www.ncbi.nlm.nih.gov/nuccore/CP000058.1?report=graph&amp;tracks=[key:gene_model_track,Options:GeneOnly]&amp;mk=5143490:5143509|offset_8|00cc00,5143519:5143538|offset_37|444444,5143562:5143581|offset_80|444444,5143588:5143607|offset_106|444444&amp;v=5143289:5143807&amp;c=444444", "offset 8")</f>
        <v>offset 8</v>
      </c>
    </row>
    <row r="16688" customFormat="false" ht="12.8" hidden="false" customHeight="false" outlineLevel="0" collapsed="false">
      <c r="A16688" s="0" t="s">
        <v>12</v>
      </c>
      <c r="B16688" s="0" t="n">
        <v>5143518</v>
      </c>
      <c r="C16688" s="0" t="n">
        <v>5143538</v>
      </c>
      <c r="D16688" s="0" t="s">
        <v>55472</v>
      </c>
      <c r="E16688" s="0" t="s">
        <v>75</v>
      </c>
      <c r="F16688" s="0" t="s">
        <v>15</v>
      </c>
      <c r="G16688" s="0" t="s">
        <v>16</v>
      </c>
      <c r="H16688" s="0" t="n">
        <v>37</v>
      </c>
      <c r="I16688" s="0" t="s">
        <v>55476</v>
      </c>
      <c r="J16688" s="0" t="s">
        <v>55477</v>
      </c>
      <c r="K16688" s="0" t="s">
        <v>55478</v>
      </c>
      <c r="L16688" s="0" t="str">
        <f aca="false">HYPERLINK("https://www.ncbi.nlm.nih.gov/nuccore/CP000058.1?report=graph&amp;tracks=[key:gene_model_track,Options:GeneOnly]&amp;mk=5143490:5143509|offset_8|444444,5143519:5143538|offset_37|00cc00,5143562:5143581|offset_80|444444,5143588:5143607|offset_106|444444&amp;v=5143289:5143807&amp;c=444444", "offset 37")</f>
        <v>offset 37</v>
      </c>
    </row>
    <row r="16689" customFormat="false" ht="12.8" hidden="false" customHeight="false" outlineLevel="0" collapsed="false">
      <c r="A16689" s="0" t="s">
        <v>12</v>
      </c>
      <c r="B16689" s="0" t="n">
        <v>5143561</v>
      </c>
      <c r="C16689" s="0" t="n">
        <v>5143581</v>
      </c>
      <c r="D16689" s="0" t="s">
        <v>55472</v>
      </c>
      <c r="E16689" s="0" t="s">
        <v>75</v>
      </c>
      <c r="F16689" s="0" t="s">
        <v>15</v>
      </c>
      <c r="G16689" s="0" t="s">
        <v>32</v>
      </c>
      <c r="H16689" s="0" t="n">
        <v>80</v>
      </c>
      <c r="I16689" s="0" t="s">
        <v>55479</v>
      </c>
      <c r="J16689" s="0" t="s">
        <v>55480</v>
      </c>
      <c r="K16689" s="0" t="s">
        <v>55481</v>
      </c>
      <c r="L16689" s="0" t="str">
        <f aca="false">HYPERLINK("https://www.ncbi.nlm.nih.gov/nuccore/CP000058.1?report=graph&amp;tracks=[key:gene_model_track,Options:GeneOnly]&amp;mk=5143490:5143509|offset_8|444444,5143519:5143538|offset_37|444444,5143562:5143581|offset_80|00cc00,5143588:5143607|offset_106|444444&amp;v=5143289:5143807&amp;c=444444", "offset 80")</f>
        <v>offset 80</v>
      </c>
    </row>
    <row r="16690" customFormat="false" ht="12.8" hidden="false" customHeight="false" outlineLevel="0" collapsed="false">
      <c r="A16690" s="0" t="s">
        <v>12</v>
      </c>
      <c r="B16690" s="0" t="n">
        <v>5143587</v>
      </c>
      <c r="C16690" s="0" t="n">
        <v>5143607</v>
      </c>
      <c r="D16690" s="0" t="s">
        <v>55472</v>
      </c>
      <c r="E16690" s="0" t="s">
        <v>75</v>
      </c>
      <c r="F16690" s="0" t="s">
        <v>15</v>
      </c>
      <c r="G16690" s="0" t="s">
        <v>16</v>
      </c>
      <c r="H16690" s="0" t="n">
        <v>106</v>
      </c>
      <c r="I16690" s="0" t="s">
        <v>55482</v>
      </c>
      <c r="J16690" s="0" t="s">
        <v>55483</v>
      </c>
      <c r="K16690" s="0" t="s">
        <v>55484</v>
      </c>
      <c r="L16690" s="0" t="str">
        <f aca="false">HYPERLINK("https://www.ncbi.nlm.nih.gov/nuccore/CP000058.1?report=graph&amp;tracks=[key:gene_model_track,Options:GeneOnly]&amp;mk=5143490:5143509|offset_8|444444,5143519:5143538|offset_37|444444,5143562:5143581|offset_80|444444,5143588:5143607|offset_106|00cc00&amp;v=5143289:5143807&amp;c=444444", "offset 106")</f>
        <v>offset 106</v>
      </c>
    </row>
    <row r="16691" customFormat="false" ht="12.8" hidden="false" customHeight="false" outlineLevel="0" collapsed="false">
      <c r="A16691" s="0" t="s">
        <v>12</v>
      </c>
      <c r="B16691" s="0" t="n">
        <v>5144763</v>
      </c>
      <c r="C16691" s="0" t="n">
        <v>5144783</v>
      </c>
      <c r="D16691" s="0" t="s">
        <v>55485</v>
      </c>
      <c r="E16691" s="0" t="s">
        <v>75</v>
      </c>
      <c r="F16691" s="0" t="s">
        <v>90</v>
      </c>
      <c r="G16691" s="0" t="s">
        <v>20</v>
      </c>
      <c r="H16691" s="0" t="n">
        <v>6</v>
      </c>
      <c r="I16691" s="0" t="s">
        <v>55486</v>
      </c>
      <c r="J16691" s="0" t="s">
        <v>55487</v>
      </c>
      <c r="K16691" s="0" t="s">
        <v>55488</v>
      </c>
      <c r="L16691" s="0" t="str">
        <f aca="false">HYPERLINK("https://www.ncbi.nlm.nih.gov/nuccore/CP000058.1?report=graph&amp;tracks=[key:gene_model_track,Options:GeneOnly]&amp;mk=5144764:5144783|offset_6|00cc00,5144721:5144740|offset_49|444444,5144635:5144654|offset_135|444444,5144602:5144621|offset_168|444444&amp;v=5144563:5144821&amp;c=444444", "offset 6")</f>
        <v>offset 6</v>
      </c>
    </row>
    <row r="16692" customFormat="false" ht="12.8" hidden="false" customHeight="false" outlineLevel="0" collapsed="false">
      <c r="A16692" s="0" t="s">
        <v>12</v>
      </c>
      <c r="B16692" s="0" t="n">
        <v>5144720</v>
      </c>
      <c r="C16692" s="0" t="n">
        <v>5144740</v>
      </c>
      <c r="D16692" s="0" t="s">
        <v>55485</v>
      </c>
      <c r="E16692" s="0" t="s">
        <v>75</v>
      </c>
      <c r="F16692" s="0" t="s">
        <v>90</v>
      </c>
      <c r="G16692" s="0" t="s">
        <v>16</v>
      </c>
      <c r="H16692" s="0" t="n">
        <v>49</v>
      </c>
      <c r="I16692" s="0" t="s">
        <v>55489</v>
      </c>
      <c r="J16692" s="0" t="s">
        <v>55490</v>
      </c>
      <c r="K16692" s="0" t="s">
        <v>55491</v>
      </c>
      <c r="L16692" s="0" t="str">
        <f aca="false">HYPERLINK("https://www.ncbi.nlm.nih.gov/nuccore/CP000058.1?report=graph&amp;tracks=[key:gene_model_track,Options:GeneOnly]&amp;mk=5144764:5144783|offset_6|444444,5144721:5144740|offset_49|00cc00,5144635:5144654|offset_135|444444,5144602:5144621|offset_168|444444&amp;v=5144563:5144821&amp;c=444444", "offset 49")</f>
        <v>offset 49</v>
      </c>
    </row>
    <row r="16693" customFormat="false" ht="12.8" hidden="false" customHeight="false" outlineLevel="0" collapsed="false">
      <c r="A16693" s="0" t="s">
        <v>12</v>
      </c>
      <c r="B16693" s="0" t="n">
        <v>5144634</v>
      </c>
      <c r="C16693" s="0" t="n">
        <v>5144654</v>
      </c>
      <c r="D16693" s="0" t="s">
        <v>55485</v>
      </c>
      <c r="E16693" s="0" t="s">
        <v>75</v>
      </c>
      <c r="F16693" s="0" t="s">
        <v>90</v>
      </c>
      <c r="G16693" s="0" t="s">
        <v>36</v>
      </c>
      <c r="H16693" s="0" t="n">
        <v>135</v>
      </c>
      <c r="I16693" s="0" t="s">
        <v>55492</v>
      </c>
      <c r="J16693" s="0" t="s">
        <v>55493</v>
      </c>
      <c r="K16693" s="0" t="s">
        <v>55494</v>
      </c>
      <c r="L16693" s="0" t="str">
        <f aca="false">HYPERLINK("https://www.ncbi.nlm.nih.gov/nuccore/CP000058.1?report=graph&amp;tracks=[key:gene_model_track,Options:GeneOnly]&amp;mk=5144764:5144783|offset_6|444444,5144721:5144740|offset_49|444444,5144635:5144654|offset_135|00cc00,5144602:5144621|offset_168|444444&amp;v=5144563:5144821&amp;c=444444", "offset 135")</f>
        <v>offset 135</v>
      </c>
    </row>
    <row r="16694" customFormat="false" ht="12.8" hidden="false" customHeight="false" outlineLevel="0" collapsed="false">
      <c r="A16694" s="0" t="s">
        <v>12</v>
      </c>
      <c r="B16694" s="0" t="n">
        <v>5144601</v>
      </c>
      <c r="C16694" s="0" t="n">
        <v>5144621</v>
      </c>
      <c r="D16694" s="0" t="s">
        <v>55485</v>
      </c>
      <c r="E16694" s="0" t="s">
        <v>75</v>
      </c>
      <c r="F16694" s="0" t="s">
        <v>90</v>
      </c>
      <c r="G16694" s="0" t="s">
        <v>16</v>
      </c>
      <c r="H16694" s="0" t="n">
        <v>168</v>
      </c>
      <c r="I16694" s="0" t="s">
        <v>55495</v>
      </c>
      <c r="J16694" s="0" t="s">
        <v>55496</v>
      </c>
      <c r="K16694" s="0" t="s">
        <v>55497</v>
      </c>
      <c r="L16694" s="0" t="str">
        <f aca="false">HYPERLINK("https://www.ncbi.nlm.nih.gov/nuccore/CP000058.1?report=graph&amp;tracks=[key:gene_model_track,Options:GeneOnly]&amp;mk=5144764:5144783|offset_6|444444,5144721:5144740|offset_49|444444,5144635:5144654|offset_135|444444,5144602:5144621|offset_168|00cc00&amp;v=5144563:5144821&amp;c=444444", "offset 168")</f>
        <v>offset 168</v>
      </c>
    </row>
    <row r="16695" customFormat="false" ht="12.8" hidden="false" customHeight="false" outlineLevel="0" collapsed="false">
      <c r="A16695" s="0" t="s">
        <v>12</v>
      </c>
      <c r="B16695" s="0" t="n">
        <v>5145212</v>
      </c>
      <c r="C16695" s="0" t="n">
        <v>5145232</v>
      </c>
      <c r="D16695" s="0" t="s">
        <v>55498</v>
      </c>
      <c r="E16695" s="0" t="s">
        <v>75</v>
      </c>
      <c r="F16695" s="0" t="s">
        <v>90</v>
      </c>
      <c r="G16695" s="0" t="s">
        <v>32</v>
      </c>
      <c r="H16695" s="0" t="n">
        <v>14</v>
      </c>
      <c r="I16695" s="0" t="s">
        <v>55499</v>
      </c>
      <c r="J16695" s="0" t="s">
        <v>55500</v>
      </c>
      <c r="K16695" s="0" t="s">
        <v>55501</v>
      </c>
      <c r="L16695" s="0" t="str">
        <f aca="false">HYPERLINK("https://www.ncbi.nlm.nih.gov/nuccore/CP000058.1?report=graph&amp;tracks=[key:gene_model_track,Options:GeneOnly]&amp;mk=5145213:5145232|offset_14|00cc00,5145173:5145192|offset_54|444444,5145151:5145170|offset_76|444444,5145124:5145143|offset_103|444444&amp;v=5145012:5145343&amp;c=444444", "offset 14")</f>
        <v>offset 14</v>
      </c>
    </row>
    <row r="16696" customFormat="false" ht="12.8" hidden="false" customHeight="false" outlineLevel="0" collapsed="false">
      <c r="A16696" s="0" t="s">
        <v>12</v>
      </c>
      <c r="B16696" s="0" t="n">
        <v>5145172</v>
      </c>
      <c r="C16696" s="0" t="n">
        <v>5145192</v>
      </c>
      <c r="D16696" s="0" t="s">
        <v>55498</v>
      </c>
      <c r="E16696" s="0" t="s">
        <v>75</v>
      </c>
      <c r="F16696" s="0" t="s">
        <v>90</v>
      </c>
      <c r="G16696" s="0" t="s">
        <v>32</v>
      </c>
      <c r="H16696" s="0" t="n">
        <v>54</v>
      </c>
      <c r="I16696" s="0" t="s">
        <v>55502</v>
      </c>
      <c r="J16696" s="0" t="s">
        <v>55503</v>
      </c>
      <c r="K16696" s="0" t="s">
        <v>55504</v>
      </c>
      <c r="L16696" s="0" t="str">
        <f aca="false">HYPERLINK("https://www.ncbi.nlm.nih.gov/nuccore/CP000058.1?report=graph&amp;tracks=[key:gene_model_track,Options:GeneOnly]&amp;mk=5145213:5145232|offset_14|444444,5145173:5145192|offset_54|00cc00,5145151:5145170|offset_76|444444,5145124:5145143|offset_103|444444&amp;v=5145012:5145343&amp;c=444444", "offset 54")</f>
        <v>offset 54</v>
      </c>
    </row>
    <row r="16697" customFormat="false" ht="12.8" hidden="false" customHeight="false" outlineLevel="0" collapsed="false">
      <c r="A16697" s="0" t="s">
        <v>12</v>
      </c>
      <c r="B16697" s="0" t="n">
        <v>5145150</v>
      </c>
      <c r="C16697" s="0" t="n">
        <v>5145170</v>
      </c>
      <c r="D16697" s="0" t="s">
        <v>55498</v>
      </c>
      <c r="E16697" s="0" t="s">
        <v>75</v>
      </c>
      <c r="F16697" s="0" t="s">
        <v>90</v>
      </c>
      <c r="G16697" s="0" t="s">
        <v>16</v>
      </c>
      <c r="H16697" s="0" t="n">
        <v>76</v>
      </c>
      <c r="I16697" s="0" t="s">
        <v>55505</v>
      </c>
      <c r="J16697" s="0" t="s">
        <v>55506</v>
      </c>
      <c r="K16697" s="0" t="s">
        <v>55507</v>
      </c>
      <c r="L16697" s="0" t="str">
        <f aca="false">HYPERLINK("https://www.ncbi.nlm.nih.gov/nuccore/CP000058.1?report=graph&amp;tracks=[key:gene_model_track,Options:GeneOnly]&amp;mk=5145213:5145232|offset_14|444444,5145173:5145192|offset_54|444444,5145151:5145170|offset_76|00cc00,5145124:5145143|offset_103|444444&amp;v=5145012:5145343&amp;c=444444", "offset 76")</f>
        <v>offset 76</v>
      </c>
    </row>
    <row r="16698" customFormat="false" ht="12.8" hidden="false" customHeight="false" outlineLevel="0" collapsed="false">
      <c r="A16698" s="0" t="s">
        <v>12</v>
      </c>
      <c r="B16698" s="0" t="n">
        <v>5145123</v>
      </c>
      <c r="C16698" s="0" t="n">
        <v>5145143</v>
      </c>
      <c r="D16698" s="0" t="s">
        <v>55498</v>
      </c>
      <c r="E16698" s="0" t="s">
        <v>75</v>
      </c>
      <c r="F16698" s="0" t="s">
        <v>90</v>
      </c>
      <c r="G16698" s="0" t="s">
        <v>16</v>
      </c>
      <c r="H16698" s="0" t="n">
        <v>103</v>
      </c>
      <c r="I16698" s="0" t="s">
        <v>55508</v>
      </c>
      <c r="J16698" s="0" t="s">
        <v>55509</v>
      </c>
      <c r="K16698" s="0" t="s">
        <v>55510</v>
      </c>
      <c r="L16698" s="0" t="str">
        <f aca="false">HYPERLINK("https://www.ncbi.nlm.nih.gov/nuccore/CP000058.1?report=graph&amp;tracks=[key:gene_model_track,Options:GeneOnly]&amp;mk=5145213:5145232|offset_14|444444,5145173:5145192|offset_54|444444,5145151:5145170|offset_76|444444,5145124:5145143|offset_103|00cc00&amp;v=5145012:5145343&amp;c=444444", "offset 103")</f>
        <v>offset 103</v>
      </c>
    </row>
    <row r="16699" customFormat="false" ht="12.8" hidden="false" customHeight="false" outlineLevel="0" collapsed="false">
      <c r="A16699" s="0" t="s">
        <v>12</v>
      </c>
      <c r="B16699" s="0" t="n">
        <v>5145534</v>
      </c>
      <c r="C16699" s="0" t="n">
        <v>5145554</v>
      </c>
      <c r="D16699" s="0" t="s">
        <v>55511</v>
      </c>
      <c r="E16699" s="0" t="s">
        <v>75</v>
      </c>
      <c r="F16699" s="0" t="s">
        <v>15</v>
      </c>
      <c r="G16699" s="0" t="s">
        <v>16</v>
      </c>
      <c r="H16699" s="0" t="n">
        <v>8</v>
      </c>
      <c r="I16699" s="0" t="s">
        <v>55512</v>
      </c>
      <c r="J16699" s="0" t="s">
        <v>55513</v>
      </c>
      <c r="K16699" s="0" t="s">
        <v>55514</v>
      </c>
      <c r="L16699" s="0" t="str">
        <f aca="false">HYPERLINK("https://www.ncbi.nlm.nih.gov/nuccore/CP000058.1?report=graph&amp;tracks=[key:gene_model_track,Options:GeneOnly]&amp;mk=5145535:5145554|offset_8|00cc00,5145561:5145580|offset_34|444444,5145591:5145610|offset_64|444444,5145639:5145658|offset_112|444444&amp;v=5145334:5145858&amp;c=444444", "offset 8")</f>
        <v>offset 8</v>
      </c>
    </row>
    <row r="16700" customFormat="false" ht="12.8" hidden="false" customHeight="false" outlineLevel="0" collapsed="false">
      <c r="A16700" s="0" t="s">
        <v>12</v>
      </c>
      <c r="B16700" s="0" t="n">
        <v>5145560</v>
      </c>
      <c r="C16700" s="0" t="n">
        <v>5145580</v>
      </c>
      <c r="D16700" s="0" t="s">
        <v>55511</v>
      </c>
      <c r="E16700" s="0" t="s">
        <v>75</v>
      </c>
      <c r="F16700" s="0" t="s">
        <v>15</v>
      </c>
      <c r="G16700" s="0" t="s">
        <v>36</v>
      </c>
      <c r="H16700" s="0" t="n">
        <v>34</v>
      </c>
      <c r="I16700" s="0" t="s">
        <v>55515</v>
      </c>
      <c r="J16700" s="0" t="s">
        <v>55516</v>
      </c>
      <c r="K16700" s="0" t="s">
        <v>55517</v>
      </c>
      <c r="L16700" s="0" t="str">
        <f aca="false">HYPERLINK("https://www.ncbi.nlm.nih.gov/nuccore/CP000058.1?report=graph&amp;tracks=[key:gene_model_track,Options:GeneOnly]&amp;mk=5145535:5145554|offset_8|444444,5145561:5145580|offset_34|00cc00,5145591:5145610|offset_64|444444,5145639:5145658|offset_112|444444&amp;v=5145334:5145858&amp;c=444444", "offset 34")</f>
        <v>offset 34</v>
      </c>
    </row>
    <row r="16701" customFormat="false" ht="12.8" hidden="false" customHeight="false" outlineLevel="0" collapsed="false">
      <c r="A16701" s="0" t="s">
        <v>12</v>
      </c>
      <c r="B16701" s="0" t="n">
        <v>5145590</v>
      </c>
      <c r="C16701" s="0" t="n">
        <v>5145610</v>
      </c>
      <c r="D16701" s="0" t="s">
        <v>55511</v>
      </c>
      <c r="E16701" s="0" t="s">
        <v>75</v>
      </c>
      <c r="F16701" s="0" t="s">
        <v>15</v>
      </c>
      <c r="G16701" s="0" t="s">
        <v>16</v>
      </c>
      <c r="H16701" s="0" t="n">
        <v>64</v>
      </c>
      <c r="I16701" s="0" t="s">
        <v>55518</v>
      </c>
      <c r="J16701" s="0" t="s">
        <v>55519</v>
      </c>
      <c r="K16701" s="0" t="s">
        <v>55520</v>
      </c>
      <c r="L16701" s="0" t="str">
        <f aca="false">HYPERLINK("https://www.ncbi.nlm.nih.gov/nuccore/CP000058.1?report=graph&amp;tracks=[key:gene_model_track,Options:GeneOnly]&amp;mk=5145535:5145554|offset_8|444444,5145561:5145580|offset_34|444444,5145591:5145610|offset_64|00cc00,5145639:5145658|offset_112|444444&amp;v=5145334:5145858&amp;c=444444", "offset 64")</f>
        <v>offset 64</v>
      </c>
    </row>
    <row r="16702" customFormat="false" ht="12.8" hidden="false" customHeight="false" outlineLevel="0" collapsed="false">
      <c r="A16702" s="0" t="s">
        <v>12</v>
      </c>
      <c r="B16702" s="0" t="n">
        <v>5145638</v>
      </c>
      <c r="C16702" s="0" t="n">
        <v>5145658</v>
      </c>
      <c r="D16702" s="0" t="s">
        <v>55511</v>
      </c>
      <c r="E16702" s="0" t="s">
        <v>75</v>
      </c>
      <c r="F16702" s="0" t="s">
        <v>15</v>
      </c>
      <c r="G16702" s="0" t="s">
        <v>36</v>
      </c>
      <c r="H16702" s="0" t="n">
        <v>112</v>
      </c>
      <c r="I16702" s="0" t="s">
        <v>55521</v>
      </c>
      <c r="J16702" s="0" t="s">
        <v>55522</v>
      </c>
      <c r="K16702" s="0" t="s">
        <v>55523</v>
      </c>
      <c r="L16702" s="0" t="str">
        <f aca="false">HYPERLINK("https://www.ncbi.nlm.nih.gov/nuccore/CP000058.1?report=graph&amp;tracks=[key:gene_model_track,Options:GeneOnly]&amp;mk=5145535:5145554|offset_8|444444,5145561:5145580|offset_34|444444,5145591:5145610|offset_64|444444,5145639:5145658|offset_112|00cc00&amp;v=5145334:5145858&amp;c=444444", "offset 112")</f>
        <v>offset 112</v>
      </c>
    </row>
    <row r="16703" customFormat="false" ht="12.8" hidden="false" customHeight="false" outlineLevel="0" collapsed="false">
      <c r="A16703" s="0" t="s">
        <v>12</v>
      </c>
      <c r="B16703" s="0" t="n">
        <v>5146183</v>
      </c>
      <c r="C16703" s="0" t="n">
        <v>5146203</v>
      </c>
      <c r="D16703" s="0" t="s">
        <v>55524</v>
      </c>
      <c r="E16703" s="0" t="s">
        <v>75</v>
      </c>
      <c r="F16703" s="0" t="s">
        <v>15</v>
      </c>
      <c r="G16703" s="0" t="s">
        <v>36</v>
      </c>
      <c r="H16703" s="0" t="n">
        <v>0</v>
      </c>
      <c r="I16703" s="0" t="s">
        <v>55525</v>
      </c>
      <c r="J16703" s="0" t="s">
        <v>55526</v>
      </c>
      <c r="K16703" s="0" t="s">
        <v>55527</v>
      </c>
      <c r="L16703" s="0" t="str">
        <f aca="false">HYPERLINK("https://www.ncbi.nlm.nih.gov/nuccore/CP000058.1?report=graph&amp;tracks=[key:gene_model_track,Options:GeneOnly]&amp;mk=5146184:5146203|offset_0|00cc00,5146216:5146235|offset_32|444444,5146237:5146256|offset_53|444444,5146258:5146277|offset_74|444444&amp;v=5145983:5146477&amp;c=444444", "offset 0")</f>
        <v>offset 0</v>
      </c>
    </row>
    <row r="16704" customFormat="false" ht="12.8" hidden="false" customHeight="false" outlineLevel="0" collapsed="false">
      <c r="A16704" s="0" t="s">
        <v>12</v>
      </c>
      <c r="B16704" s="0" t="n">
        <v>5146215</v>
      </c>
      <c r="C16704" s="0" t="n">
        <v>5146235</v>
      </c>
      <c r="D16704" s="0" t="s">
        <v>55524</v>
      </c>
      <c r="E16704" s="0" t="s">
        <v>75</v>
      </c>
      <c r="F16704" s="0" t="s">
        <v>15</v>
      </c>
      <c r="G16704" s="0" t="s">
        <v>20</v>
      </c>
      <c r="H16704" s="0" t="n">
        <v>32</v>
      </c>
      <c r="I16704" s="0" t="s">
        <v>55528</v>
      </c>
      <c r="J16704" s="0" t="s">
        <v>55529</v>
      </c>
      <c r="K16704" s="0" t="s">
        <v>55530</v>
      </c>
      <c r="L16704" s="0" t="str">
        <f aca="false">HYPERLINK("https://www.ncbi.nlm.nih.gov/nuccore/CP000058.1?report=graph&amp;tracks=[key:gene_model_track,Options:GeneOnly]&amp;mk=5146184:5146203|offset_0|444444,5146216:5146235|offset_32|00cc00,5146237:5146256|offset_53|444444,5146258:5146277|offset_74|444444&amp;v=5145983:5146477&amp;c=444444", "offset 32")</f>
        <v>offset 32</v>
      </c>
    </row>
    <row r="16705" customFormat="false" ht="12.8" hidden="false" customHeight="false" outlineLevel="0" collapsed="false">
      <c r="A16705" s="0" t="s">
        <v>12</v>
      </c>
      <c r="B16705" s="0" t="n">
        <v>5146236</v>
      </c>
      <c r="C16705" s="0" t="n">
        <v>5146256</v>
      </c>
      <c r="D16705" s="0" t="s">
        <v>55524</v>
      </c>
      <c r="E16705" s="0" t="s">
        <v>75</v>
      </c>
      <c r="F16705" s="0" t="s">
        <v>15</v>
      </c>
      <c r="G16705" s="0" t="s">
        <v>32</v>
      </c>
      <c r="H16705" s="0" t="n">
        <v>53</v>
      </c>
      <c r="I16705" s="0" t="s">
        <v>55531</v>
      </c>
      <c r="J16705" s="0" t="s">
        <v>55532</v>
      </c>
      <c r="K16705" s="0" t="s">
        <v>55533</v>
      </c>
      <c r="L16705" s="0" t="str">
        <f aca="false">HYPERLINK("https://www.ncbi.nlm.nih.gov/nuccore/CP000058.1?report=graph&amp;tracks=[key:gene_model_track,Options:GeneOnly]&amp;mk=5146184:5146203|offset_0|444444,5146216:5146235|offset_32|444444,5146237:5146256|offset_53|00cc00,5146258:5146277|offset_74|444444&amp;v=5145983:5146477&amp;c=444444", "offset 53")</f>
        <v>offset 53</v>
      </c>
    </row>
    <row r="16706" customFormat="false" ht="12.8" hidden="false" customHeight="false" outlineLevel="0" collapsed="false">
      <c r="A16706" s="0" t="s">
        <v>12</v>
      </c>
      <c r="B16706" s="0" t="n">
        <v>5146257</v>
      </c>
      <c r="C16706" s="0" t="n">
        <v>5146277</v>
      </c>
      <c r="D16706" s="0" t="s">
        <v>55524</v>
      </c>
      <c r="E16706" s="0" t="s">
        <v>75</v>
      </c>
      <c r="F16706" s="0" t="s">
        <v>15</v>
      </c>
      <c r="G16706" s="0" t="s">
        <v>36</v>
      </c>
      <c r="H16706" s="0" t="n">
        <v>74</v>
      </c>
      <c r="I16706" s="0" t="s">
        <v>55534</v>
      </c>
      <c r="J16706" s="0" t="s">
        <v>55535</v>
      </c>
      <c r="K16706" s="0" t="s">
        <v>55536</v>
      </c>
      <c r="L16706" s="0" t="str">
        <f aca="false">HYPERLINK("https://www.ncbi.nlm.nih.gov/nuccore/CP000058.1?report=graph&amp;tracks=[key:gene_model_track,Options:GeneOnly]&amp;mk=5146184:5146203|offset_0|444444,5146216:5146235|offset_32|444444,5146237:5146256|offset_53|444444,5146258:5146277|offset_74|00cc00&amp;v=5145983:5146477&amp;c=444444", "offset 74")</f>
        <v>offset 74</v>
      </c>
    </row>
    <row r="16707" customFormat="false" ht="12.8" hidden="false" customHeight="false" outlineLevel="0" collapsed="false">
      <c r="A16707" s="0" t="s">
        <v>12</v>
      </c>
      <c r="B16707" s="0" t="n">
        <v>5146923</v>
      </c>
      <c r="C16707" s="0" t="n">
        <v>5146943</v>
      </c>
      <c r="D16707" s="0" t="s">
        <v>55537</v>
      </c>
      <c r="E16707" s="0" t="s">
        <v>75</v>
      </c>
      <c r="F16707" s="0" t="s">
        <v>15</v>
      </c>
      <c r="G16707" s="0" t="s">
        <v>32</v>
      </c>
      <c r="H16707" s="0" t="n">
        <v>28</v>
      </c>
      <c r="I16707" s="0" t="s">
        <v>55538</v>
      </c>
      <c r="J16707" s="0" t="s">
        <v>55539</v>
      </c>
      <c r="K16707" s="0" t="s">
        <v>55540</v>
      </c>
      <c r="L16707" s="0" t="str">
        <f aca="false">HYPERLINK("https://www.ncbi.nlm.nih.gov/nuccore/CP000058.1?report=graph&amp;tracks=[key:gene_model_track,Options:GeneOnly]&amp;mk=5146924:5146943|offset_28|00cc00,5146948:5146967|offset_52|444444,5146969:5146988|offset_73|444444,5146999:5147018|offset_103|444444&amp;v=5146723:5147218&amp;c=444444", "offset 28")</f>
        <v>offset 28</v>
      </c>
    </row>
    <row r="16708" customFormat="false" ht="12.8" hidden="false" customHeight="false" outlineLevel="0" collapsed="false">
      <c r="A16708" s="0" t="s">
        <v>12</v>
      </c>
      <c r="B16708" s="0" t="n">
        <v>5146947</v>
      </c>
      <c r="C16708" s="0" t="n">
        <v>5146967</v>
      </c>
      <c r="D16708" s="0" t="s">
        <v>55537</v>
      </c>
      <c r="E16708" s="0" t="s">
        <v>75</v>
      </c>
      <c r="F16708" s="0" t="s">
        <v>15</v>
      </c>
      <c r="G16708" s="0" t="s">
        <v>16</v>
      </c>
      <c r="H16708" s="0" t="n">
        <v>52</v>
      </c>
      <c r="I16708" s="0" t="s">
        <v>55541</v>
      </c>
      <c r="J16708" s="0" t="s">
        <v>55542</v>
      </c>
      <c r="K16708" s="0" t="s">
        <v>55543</v>
      </c>
      <c r="L16708" s="0" t="str">
        <f aca="false">HYPERLINK("https://www.ncbi.nlm.nih.gov/nuccore/CP000058.1?report=graph&amp;tracks=[key:gene_model_track,Options:GeneOnly]&amp;mk=5146924:5146943|offset_28|444444,5146948:5146967|offset_52|00cc00,5146969:5146988|offset_73|444444,5146999:5147018|offset_103|444444&amp;v=5146723:5147218&amp;c=444444", "offset 52")</f>
        <v>offset 52</v>
      </c>
    </row>
    <row r="16709" customFormat="false" ht="12.8" hidden="false" customHeight="false" outlineLevel="0" collapsed="false">
      <c r="A16709" s="0" t="s">
        <v>12</v>
      </c>
      <c r="B16709" s="0" t="n">
        <v>5146968</v>
      </c>
      <c r="C16709" s="0" t="n">
        <v>5146988</v>
      </c>
      <c r="D16709" s="0" t="s">
        <v>55537</v>
      </c>
      <c r="E16709" s="0" t="s">
        <v>75</v>
      </c>
      <c r="F16709" s="0" t="s">
        <v>15</v>
      </c>
      <c r="G16709" s="0" t="s">
        <v>32</v>
      </c>
      <c r="H16709" s="0" t="n">
        <v>73</v>
      </c>
      <c r="I16709" s="0" t="s">
        <v>55544</v>
      </c>
      <c r="J16709" s="0" t="s">
        <v>55545</v>
      </c>
      <c r="K16709" s="0" t="s">
        <v>55546</v>
      </c>
      <c r="L16709" s="0" t="str">
        <f aca="false">HYPERLINK("https://www.ncbi.nlm.nih.gov/nuccore/CP000058.1?report=graph&amp;tracks=[key:gene_model_track,Options:GeneOnly]&amp;mk=5146924:5146943|offset_28|444444,5146948:5146967|offset_52|444444,5146969:5146988|offset_73|00cc00,5146999:5147018|offset_103|444444&amp;v=5146723:5147218&amp;c=444444", "offset 73")</f>
        <v>offset 73</v>
      </c>
    </row>
    <row r="16710" customFormat="false" ht="12.8" hidden="false" customHeight="false" outlineLevel="0" collapsed="false">
      <c r="A16710" s="0" t="s">
        <v>12</v>
      </c>
      <c r="B16710" s="0" t="n">
        <v>5146998</v>
      </c>
      <c r="C16710" s="0" t="n">
        <v>5147018</v>
      </c>
      <c r="D16710" s="0" t="s">
        <v>55537</v>
      </c>
      <c r="E16710" s="0" t="s">
        <v>75</v>
      </c>
      <c r="F16710" s="0" t="s">
        <v>15</v>
      </c>
      <c r="G16710" s="0" t="s">
        <v>16</v>
      </c>
      <c r="H16710" s="0" t="n">
        <v>103</v>
      </c>
      <c r="I16710" s="0" t="s">
        <v>55547</v>
      </c>
      <c r="J16710" s="0" t="s">
        <v>55548</v>
      </c>
      <c r="K16710" s="0" t="s">
        <v>55549</v>
      </c>
      <c r="L16710" s="0" t="str">
        <f aca="false">HYPERLINK("https://www.ncbi.nlm.nih.gov/nuccore/CP000058.1?report=graph&amp;tracks=[key:gene_model_track,Options:GeneOnly]&amp;mk=5146924:5146943|offset_28|444444,5146948:5146967|offset_52|444444,5146969:5146988|offset_73|444444,5146999:5147018|offset_103|00cc00&amp;v=5146723:5147218&amp;c=444444", "offset 103")</f>
        <v>offset 103</v>
      </c>
    </row>
    <row r="16711" customFormat="false" ht="12.8" hidden="false" customHeight="false" outlineLevel="0" collapsed="false">
      <c r="A16711" s="0" t="s">
        <v>12</v>
      </c>
      <c r="B16711" s="0" t="n">
        <v>5148212</v>
      </c>
      <c r="C16711" s="0" t="n">
        <v>5148232</v>
      </c>
      <c r="D16711" s="0" t="s">
        <v>55550</v>
      </c>
      <c r="E16711" s="0" t="s">
        <v>75</v>
      </c>
      <c r="F16711" s="0" t="s">
        <v>15</v>
      </c>
      <c r="G16711" s="0" t="s">
        <v>32</v>
      </c>
      <c r="H16711" s="0" t="n">
        <v>43</v>
      </c>
      <c r="I16711" s="0" t="s">
        <v>55551</v>
      </c>
      <c r="J16711" s="0" t="s">
        <v>55552</v>
      </c>
      <c r="K16711" s="0" t="s">
        <v>55553</v>
      </c>
      <c r="L16711" s="0" t="str">
        <f aca="false">HYPERLINK("https://www.ncbi.nlm.nih.gov/nuccore/CP000058.1?report=graph&amp;tracks=[key:gene_model_track,Options:GeneOnly]&amp;mk=5148213:5148232|offset_43|00cc00,5148236:5148255|offset_66|444444,5148266:5148285|offset_96|444444,5148290:5148309|offset_120|444444&amp;v=5148012:5148509&amp;c=444444", "offset 43")</f>
        <v>offset 43</v>
      </c>
    </row>
    <row r="16712" customFormat="false" ht="12.8" hidden="false" customHeight="false" outlineLevel="0" collapsed="false">
      <c r="A16712" s="0" t="s">
        <v>12</v>
      </c>
      <c r="B16712" s="0" t="n">
        <v>5148235</v>
      </c>
      <c r="C16712" s="0" t="n">
        <v>5148255</v>
      </c>
      <c r="D16712" s="0" t="s">
        <v>55550</v>
      </c>
      <c r="E16712" s="0" t="s">
        <v>75</v>
      </c>
      <c r="F16712" s="0" t="s">
        <v>15</v>
      </c>
      <c r="G16712" s="0" t="s">
        <v>16</v>
      </c>
      <c r="H16712" s="0" t="n">
        <v>66</v>
      </c>
      <c r="I16712" s="0" t="s">
        <v>55554</v>
      </c>
      <c r="J16712" s="0" t="s">
        <v>55555</v>
      </c>
      <c r="K16712" s="0" t="s">
        <v>55556</v>
      </c>
      <c r="L16712" s="0" t="str">
        <f aca="false">HYPERLINK("https://www.ncbi.nlm.nih.gov/nuccore/CP000058.1?report=graph&amp;tracks=[key:gene_model_track,Options:GeneOnly]&amp;mk=5148213:5148232|offset_43|444444,5148236:5148255|offset_66|00cc00,5148266:5148285|offset_96|444444,5148290:5148309|offset_120|444444&amp;v=5148012:5148509&amp;c=444444", "offset 66")</f>
        <v>offset 66</v>
      </c>
    </row>
    <row r="16713" customFormat="false" ht="12.8" hidden="false" customHeight="false" outlineLevel="0" collapsed="false">
      <c r="A16713" s="0" t="s">
        <v>12</v>
      </c>
      <c r="B16713" s="0" t="n">
        <v>5148265</v>
      </c>
      <c r="C16713" s="0" t="n">
        <v>5148285</v>
      </c>
      <c r="D16713" s="0" t="s">
        <v>55550</v>
      </c>
      <c r="E16713" s="0" t="s">
        <v>75</v>
      </c>
      <c r="F16713" s="0" t="s">
        <v>15</v>
      </c>
      <c r="G16713" s="0" t="s">
        <v>32</v>
      </c>
      <c r="H16713" s="0" t="n">
        <v>96</v>
      </c>
      <c r="I16713" s="0" t="s">
        <v>55557</v>
      </c>
      <c r="J16713" s="0" t="s">
        <v>55558</v>
      </c>
      <c r="K16713" s="0" t="s">
        <v>55559</v>
      </c>
      <c r="L16713" s="0" t="str">
        <f aca="false">HYPERLINK("https://www.ncbi.nlm.nih.gov/nuccore/CP000058.1?report=graph&amp;tracks=[key:gene_model_track,Options:GeneOnly]&amp;mk=5148213:5148232|offset_43|444444,5148236:5148255|offset_66|444444,5148266:5148285|offset_96|00cc00,5148290:5148309|offset_120|444444&amp;v=5148012:5148509&amp;c=444444", "offset 96")</f>
        <v>offset 96</v>
      </c>
    </row>
    <row r="16714" customFormat="false" ht="12.8" hidden="false" customHeight="false" outlineLevel="0" collapsed="false">
      <c r="A16714" s="0" t="s">
        <v>12</v>
      </c>
      <c r="B16714" s="0" t="n">
        <v>5148289</v>
      </c>
      <c r="C16714" s="0" t="n">
        <v>5148309</v>
      </c>
      <c r="D16714" s="0" t="s">
        <v>55550</v>
      </c>
      <c r="E16714" s="0" t="s">
        <v>75</v>
      </c>
      <c r="F16714" s="0" t="s">
        <v>15</v>
      </c>
      <c r="G16714" s="0" t="s">
        <v>16</v>
      </c>
      <c r="H16714" s="0" t="n">
        <v>120</v>
      </c>
      <c r="I16714" s="0" t="s">
        <v>55560</v>
      </c>
      <c r="J16714" s="0" t="s">
        <v>55561</v>
      </c>
      <c r="K16714" s="0" t="s">
        <v>55562</v>
      </c>
      <c r="L16714" s="0" t="str">
        <f aca="false">HYPERLINK("https://www.ncbi.nlm.nih.gov/nuccore/CP000058.1?report=graph&amp;tracks=[key:gene_model_track,Options:GeneOnly]&amp;mk=5148213:5148232|offset_43|444444,5148236:5148255|offset_66|444444,5148266:5148285|offset_96|444444,5148290:5148309|offset_120|00cc00&amp;v=5148012:5148509&amp;c=444444", "offset 120")</f>
        <v>offset 120</v>
      </c>
    </row>
    <row r="16715" customFormat="false" ht="12.8" hidden="false" customHeight="false" outlineLevel="0" collapsed="false">
      <c r="A16715" s="0" t="s">
        <v>12</v>
      </c>
      <c r="B16715" s="0" t="n">
        <v>5148798</v>
      </c>
      <c r="C16715" s="0" t="n">
        <v>5148818</v>
      </c>
      <c r="D16715" s="0" t="s">
        <v>55563</v>
      </c>
      <c r="E16715" s="0" t="s">
        <v>75</v>
      </c>
      <c r="F16715" s="0" t="s">
        <v>15</v>
      </c>
      <c r="G16715" s="0" t="s">
        <v>32</v>
      </c>
      <c r="H16715" s="0" t="n">
        <v>1</v>
      </c>
      <c r="I16715" s="0" t="s">
        <v>55564</v>
      </c>
      <c r="J16715" s="0" t="s">
        <v>55565</v>
      </c>
      <c r="K16715" s="0" t="s">
        <v>55566</v>
      </c>
      <c r="L16715" s="0" t="str">
        <f aca="false">HYPERLINK("https://www.ncbi.nlm.nih.gov/nuccore/CP000058.1?report=graph&amp;tracks=[key:gene_model_track,Options:GeneOnly]&amp;mk=5148799:5148818|offset_1|00cc00,5148826:5148845|offset_28|444444,5148847:5148866|offset_49|444444,5148868:5148887|offset_70|444444&amp;v=5148598:5149087&amp;c=444444", "offset 1")</f>
        <v>offset 1</v>
      </c>
    </row>
    <row r="16716" customFormat="false" ht="12.8" hidden="false" customHeight="false" outlineLevel="0" collapsed="false">
      <c r="A16716" s="0" t="s">
        <v>12</v>
      </c>
      <c r="B16716" s="0" t="n">
        <v>5148825</v>
      </c>
      <c r="C16716" s="0" t="n">
        <v>5148845</v>
      </c>
      <c r="D16716" s="0" t="s">
        <v>55563</v>
      </c>
      <c r="E16716" s="0" t="s">
        <v>75</v>
      </c>
      <c r="F16716" s="0" t="s">
        <v>15</v>
      </c>
      <c r="G16716" s="0" t="s">
        <v>16</v>
      </c>
      <c r="H16716" s="0" t="n">
        <v>28</v>
      </c>
      <c r="I16716" s="0" t="s">
        <v>55567</v>
      </c>
      <c r="J16716" s="0" t="s">
        <v>55568</v>
      </c>
      <c r="K16716" s="0" t="s">
        <v>55569</v>
      </c>
      <c r="L16716" s="0" t="str">
        <f aca="false">HYPERLINK("https://www.ncbi.nlm.nih.gov/nuccore/CP000058.1?report=graph&amp;tracks=[key:gene_model_track,Options:GeneOnly]&amp;mk=5148799:5148818|offset_1|444444,5148826:5148845|offset_28|00cc00,5148847:5148866|offset_49|444444,5148868:5148887|offset_70|444444&amp;v=5148598:5149087&amp;c=444444", "offset 28")</f>
        <v>offset 28</v>
      </c>
    </row>
    <row r="16717" customFormat="false" ht="12.8" hidden="false" customHeight="false" outlineLevel="0" collapsed="false">
      <c r="A16717" s="0" t="s">
        <v>12</v>
      </c>
      <c r="B16717" s="0" t="n">
        <v>5148846</v>
      </c>
      <c r="C16717" s="0" t="n">
        <v>5148866</v>
      </c>
      <c r="D16717" s="0" t="s">
        <v>55563</v>
      </c>
      <c r="E16717" s="0" t="s">
        <v>75</v>
      </c>
      <c r="F16717" s="0" t="s">
        <v>15</v>
      </c>
      <c r="G16717" s="0" t="s">
        <v>16</v>
      </c>
      <c r="H16717" s="0" t="n">
        <v>49</v>
      </c>
      <c r="I16717" s="0" t="s">
        <v>55570</v>
      </c>
      <c r="J16717" s="0" t="s">
        <v>55571</v>
      </c>
      <c r="K16717" s="0" t="s">
        <v>55572</v>
      </c>
      <c r="L16717" s="0" t="str">
        <f aca="false">HYPERLINK("https://www.ncbi.nlm.nih.gov/nuccore/CP000058.1?report=graph&amp;tracks=[key:gene_model_track,Options:GeneOnly]&amp;mk=5148799:5148818|offset_1|444444,5148826:5148845|offset_28|444444,5148847:5148866|offset_49|00cc00,5148868:5148887|offset_70|444444&amp;v=5148598:5149087&amp;c=444444", "offset 49")</f>
        <v>offset 49</v>
      </c>
    </row>
    <row r="16718" customFormat="false" ht="12.8" hidden="false" customHeight="false" outlineLevel="0" collapsed="false">
      <c r="A16718" s="0" t="s">
        <v>12</v>
      </c>
      <c r="B16718" s="0" t="n">
        <v>5148867</v>
      </c>
      <c r="C16718" s="0" t="n">
        <v>5148887</v>
      </c>
      <c r="D16718" s="0" t="s">
        <v>55563</v>
      </c>
      <c r="E16718" s="0" t="s">
        <v>75</v>
      </c>
      <c r="F16718" s="0" t="s">
        <v>15</v>
      </c>
      <c r="G16718" s="0" t="s">
        <v>20</v>
      </c>
      <c r="H16718" s="0" t="n">
        <v>70</v>
      </c>
      <c r="I16718" s="0" t="s">
        <v>55573</v>
      </c>
      <c r="J16718" s="0" t="s">
        <v>55574</v>
      </c>
      <c r="K16718" s="0" t="s">
        <v>55575</v>
      </c>
      <c r="L16718" s="0" t="str">
        <f aca="false">HYPERLINK("https://www.ncbi.nlm.nih.gov/nuccore/CP000058.1?report=graph&amp;tracks=[key:gene_model_track,Options:GeneOnly]&amp;mk=5148799:5148818|offset_1|444444,5148826:5148845|offset_28|444444,5148847:5148866|offset_49|444444,5148868:5148887|offset_70|00cc00&amp;v=5148598:5149087&amp;c=444444", "offset 70")</f>
        <v>offset 70</v>
      </c>
    </row>
    <row r="16719" customFormat="false" ht="12.8" hidden="false" customHeight="false" outlineLevel="0" collapsed="false">
      <c r="A16719" s="0" t="s">
        <v>12</v>
      </c>
      <c r="B16719" s="0" t="n">
        <v>5150664</v>
      </c>
      <c r="C16719" s="0" t="n">
        <v>5150684</v>
      </c>
      <c r="D16719" s="0" t="s">
        <v>55576</v>
      </c>
      <c r="E16719" s="0" t="s">
        <v>75</v>
      </c>
      <c r="F16719" s="0" t="s">
        <v>90</v>
      </c>
      <c r="G16719" s="0" t="s">
        <v>36</v>
      </c>
      <c r="H16719" s="0" t="n">
        <v>13</v>
      </c>
      <c r="I16719" s="0" t="s">
        <v>55577</v>
      </c>
      <c r="J16719" s="0" t="s">
        <v>55578</v>
      </c>
      <c r="K16719" s="0" t="s">
        <v>55579</v>
      </c>
      <c r="L16719" s="0" t="str">
        <f aca="false">HYPERLINK("https://www.ncbi.nlm.nih.gov/nuccore/CP000058.1?report=graph&amp;tracks=[key:gene_model_track,Options:GeneOnly]&amp;mk=5150665:5150684|offset_13|00cc00,5150622:5150641|offset_56|444444,5150602:5150621|offset_76|444444,5150580:5150599|offset_98|444444&amp;v=5150464:5150799&amp;c=444444", "offset 13")</f>
        <v>offset 13</v>
      </c>
    </row>
    <row r="16720" customFormat="false" ht="12.8" hidden="false" customHeight="false" outlineLevel="0" collapsed="false">
      <c r="A16720" s="0" t="s">
        <v>12</v>
      </c>
      <c r="B16720" s="0" t="n">
        <v>5150621</v>
      </c>
      <c r="C16720" s="0" t="n">
        <v>5150641</v>
      </c>
      <c r="D16720" s="0" t="s">
        <v>55576</v>
      </c>
      <c r="E16720" s="0" t="s">
        <v>75</v>
      </c>
      <c r="F16720" s="0" t="s">
        <v>90</v>
      </c>
      <c r="G16720" s="0" t="s">
        <v>20</v>
      </c>
      <c r="H16720" s="0" t="n">
        <v>56</v>
      </c>
      <c r="I16720" s="0" t="s">
        <v>55580</v>
      </c>
      <c r="J16720" s="0" t="s">
        <v>55581</v>
      </c>
      <c r="K16720" s="0" t="s">
        <v>55582</v>
      </c>
      <c r="L16720" s="0" t="str">
        <f aca="false">HYPERLINK("https://www.ncbi.nlm.nih.gov/nuccore/CP000058.1?report=graph&amp;tracks=[key:gene_model_track,Options:GeneOnly]&amp;mk=5150665:5150684|offset_13|444444,5150622:5150641|offset_56|00cc00,5150602:5150621|offset_76|444444,5150580:5150599|offset_98|444444&amp;v=5150464:5150799&amp;c=444444", "offset 56")</f>
        <v>offset 56</v>
      </c>
    </row>
    <row r="16721" customFormat="false" ht="12.8" hidden="false" customHeight="false" outlineLevel="0" collapsed="false">
      <c r="A16721" s="0" t="s">
        <v>12</v>
      </c>
      <c r="B16721" s="0" t="n">
        <v>5150601</v>
      </c>
      <c r="C16721" s="0" t="n">
        <v>5150621</v>
      </c>
      <c r="D16721" s="0" t="s">
        <v>55576</v>
      </c>
      <c r="E16721" s="0" t="s">
        <v>75</v>
      </c>
      <c r="F16721" s="0" t="s">
        <v>90</v>
      </c>
      <c r="G16721" s="0" t="s">
        <v>16</v>
      </c>
      <c r="H16721" s="0" t="n">
        <v>76</v>
      </c>
      <c r="I16721" s="0" t="s">
        <v>55583</v>
      </c>
      <c r="J16721" s="0" t="s">
        <v>55584</v>
      </c>
      <c r="K16721" s="0" t="s">
        <v>55585</v>
      </c>
      <c r="L16721" s="0" t="str">
        <f aca="false">HYPERLINK("https://www.ncbi.nlm.nih.gov/nuccore/CP000058.1?report=graph&amp;tracks=[key:gene_model_track,Options:GeneOnly]&amp;mk=5150665:5150684|offset_13|444444,5150622:5150641|offset_56|444444,5150602:5150621|offset_76|00cc00,5150580:5150599|offset_98|444444&amp;v=5150464:5150799&amp;c=444444", "offset 76")</f>
        <v>offset 76</v>
      </c>
    </row>
    <row r="16722" customFormat="false" ht="12.8" hidden="false" customHeight="false" outlineLevel="0" collapsed="false">
      <c r="A16722" s="0" t="s">
        <v>12</v>
      </c>
      <c r="B16722" s="0" t="n">
        <v>5150579</v>
      </c>
      <c r="C16722" s="0" t="n">
        <v>5150599</v>
      </c>
      <c r="D16722" s="0" t="s">
        <v>55576</v>
      </c>
      <c r="E16722" s="0" t="s">
        <v>75</v>
      </c>
      <c r="F16722" s="0" t="s">
        <v>90</v>
      </c>
      <c r="G16722" s="0" t="s">
        <v>20</v>
      </c>
      <c r="H16722" s="0" t="n">
        <v>98</v>
      </c>
      <c r="I16722" s="0" t="s">
        <v>55586</v>
      </c>
      <c r="J16722" s="0" t="s">
        <v>55587</v>
      </c>
      <c r="K16722" s="0" t="s">
        <v>55588</v>
      </c>
      <c r="L16722" s="0" t="str">
        <f aca="false">HYPERLINK("https://www.ncbi.nlm.nih.gov/nuccore/CP000058.1?report=graph&amp;tracks=[key:gene_model_track,Options:GeneOnly]&amp;mk=5150665:5150684|offset_13|444444,5150622:5150641|offset_56|444444,5150602:5150621|offset_76|444444,5150580:5150599|offset_98|00cc00&amp;v=5150464:5150799&amp;c=444444", "offset 98")</f>
        <v>offset 98</v>
      </c>
    </row>
    <row r="16723" customFormat="false" ht="12.8" hidden="false" customHeight="false" outlineLevel="0" collapsed="false">
      <c r="A16723" s="0" t="s">
        <v>12</v>
      </c>
      <c r="B16723" s="0" t="n">
        <v>5151540</v>
      </c>
      <c r="C16723" s="0" t="n">
        <v>5151560</v>
      </c>
      <c r="D16723" s="0" t="s">
        <v>55589</v>
      </c>
      <c r="E16723" s="0" t="s">
        <v>75</v>
      </c>
      <c r="F16723" s="0" t="s">
        <v>90</v>
      </c>
      <c r="G16723" s="0" t="s">
        <v>20</v>
      </c>
      <c r="H16723" s="0" t="n">
        <v>14</v>
      </c>
      <c r="I16723" s="0" t="s">
        <v>55590</v>
      </c>
      <c r="J16723" s="0" t="s">
        <v>55591</v>
      </c>
      <c r="K16723" s="0" t="s">
        <v>55592</v>
      </c>
      <c r="L16723" s="0" t="str">
        <f aca="false">HYPERLINK("https://www.ncbi.nlm.nih.gov/nuccore/CP000058.1?report=graph&amp;tracks=[key:gene_model_track,Options:GeneOnly]&amp;mk=5151541:5151560|offset_14|00cc00,5151515:5151534|offset_40|444444,5151485:5151504|offset_70|444444,5151459:5151478|offset_96|444444&amp;v=5151340:5151678&amp;c=444444", "offset 14")</f>
        <v>offset 14</v>
      </c>
    </row>
    <row r="16724" customFormat="false" ht="12.8" hidden="false" customHeight="false" outlineLevel="0" collapsed="false">
      <c r="A16724" s="0" t="s">
        <v>12</v>
      </c>
      <c r="B16724" s="0" t="n">
        <v>5151514</v>
      </c>
      <c r="C16724" s="0" t="n">
        <v>5151534</v>
      </c>
      <c r="D16724" s="0" t="s">
        <v>55589</v>
      </c>
      <c r="E16724" s="0" t="s">
        <v>75</v>
      </c>
      <c r="F16724" s="0" t="s">
        <v>90</v>
      </c>
      <c r="G16724" s="0" t="s">
        <v>36</v>
      </c>
      <c r="H16724" s="0" t="n">
        <v>40</v>
      </c>
      <c r="I16724" s="0" t="s">
        <v>55593</v>
      </c>
      <c r="J16724" s="0" t="s">
        <v>55594</v>
      </c>
      <c r="K16724" s="0" t="s">
        <v>55595</v>
      </c>
      <c r="L16724" s="0" t="str">
        <f aca="false">HYPERLINK("https://www.ncbi.nlm.nih.gov/nuccore/CP000058.1?report=graph&amp;tracks=[key:gene_model_track,Options:GeneOnly]&amp;mk=5151541:5151560|offset_14|444444,5151515:5151534|offset_40|00cc00,5151485:5151504|offset_70|444444,5151459:5151478|offset_96|444444&amp;v=5151340:5151678&amp;c=444444", "offset 40")</f>
        <v>offset 40</v>
      </c>
    </row>
    <row r="16725" customFormat="false" ht="12.8" hidden="false" customHeight="false" outlineLevel="0" collapsed="false">
      <c r="A16725" s="0" t="s">
        <v>12</v>
      </c>
      <c r="B16725" s="0" t="n">
        <v>5151484</v>
      </c>
      <c r="C16725" s="0" t="n">
        <v>5151504</v>
      </c>
      <c r="D16725" s="0" t="s">
        <v>55589</v>
      </c>
      <c r="E16725" s="0" t="s">
        <v>75</v>
      </c>
      <c r="F16725" s="0" t="s">
        <v>90</v>
      </c>
      <c r="G16725" s="0" t="s">
        <v>16</v>
      </c>
      <c r="H16725" s="0" t="n">
        <v>70</v>
      </c>
      <c r="I16725" s="0" t="s">
        <v>55596</v>
      </c>
      <c r="J16725" s="0" t="s">
        <v>55597</v>
      </c>
      <c r="K16725" s="0" t="s">
        <v>55598</v>
      </c>
      <c r="L16725" s="0" t="str">
        <f aca="false">HYPERLINK("https://www.ncbi.nlm.nih.gov/nuccore/CP000058.1?report=graph&amp;tracks=[key:gene_model_track,Options:GeneOnly]&amp;mk=5151541:5151560|offset_14|444444,5151515:5151534|offset_40|444444,5151485:5151504|offset_70|00cc00,5151459:5151478|offset_96|444444&amp;v=5151340:5151678&amp;c=444444", "offset 70")</f>
        <v>offset 70</v>
      </c>
    </row>
    <row r="16726" customFormat="false" ht="12.8" hidden="false" customHeight="false" outlineLevel="0" collapsed="false">
      <c r="A16726" s="0" t="s">
        <v>12</v>
      </c>
      <c r="B16726" s="0" t="n">
        <v>5151458</v>
      </c>
      <c r="C16726" s="0" t="n">
        <v>5151478</v>
      </c>
      <c r="D16726" s="0" t="s">
        <v>55589</v>
      </c>
      <c r="E16726" s="0" t="s">
        <v>75</v>
      </c>
      <c r="F16726" s="0" t="s">
        <v>90</v>
      </c>
      <c r="G16726" s="0" t="s">
        <v>32</v>
      </c>
      <c r="H16726" s="0" t="n">
        <v>96</v>
      </c>
      <c r="I16726" s="0" t="s">
        <v>55599</v>
      </c>
      <c r="J16726" s="0" t="s">
        <v>55600</v>
      </c>
      <c r="K16726" s="0" t="s">
        <v>55601</v>
      </c>
      <c r="L16726" s="0" t="str">
        <f aca="false">HYPERLINK("https://www.ncbi.nlm.nih.gov/nuccore/CP000058.1?report=graph&amp;tracks=[key:gene_model_track,Options:GeneOnly]&amp;mk=5151541:5151560|offset_14|444444,5151515:5151534|offset_40|444444,5151485:5151504|offset_70|444444,5151459:5151478|offset_96|00cc00&amp;v=5151340:5151678&amp;c=444444", "offset 96")</f>
        <v>offset 96</v>
      </c>
    </row>
    <row r="16727" customFormat="false" ht="12.8" hidden="false" customHeight="false" outlineLevel="0" collapsed="false">
      <c r="A16727" s="0" t="s">
        <v>12</v>
      </c>
      <c r="B16727" s="0" t="n">
        <v>5153983</v>
      </c>
      <c r="C16727" s="0" t="n">
        <v>5154003</v>
      </c>
      <c r="D16727" s="0" t="s">
        <v>55602</v>
      </c>
      <c r="E16727" s="0" t="s">
        <v>75</v>
      </c>
      <c r="F16727" s="0" t="s">
        <v>90</v>
      </c>
      <c r="G16727" s="0" t="s">
        <v>20</v>
      </c>
      <c r="H16727" s="0" t="n">
        <v>29</v>
      </c>
      <c r="I16727" s="0" t="s">
        <v>55603</v>
      </c>
      <c r="J16727" s="0" t="s">
        <v>55604</v>
      </c>
      <c r="K16727" s="0" t="s">
        <v>55605</v>
      </c>
      <c r="L16727" s="0" t="str">
        <f aca="false">HYPERLINK("https://www.ncbi.nlm.nih.gov/nuccore/CP000058.1?report=graph&amp;tracks=[key:gene_model_track,Options:GeneOnly]&amp;mk=5153984:5154003|offset_29|00cc00,5153945:5153964|offset_68|444444,5153920:5153939|offset_93|444444,5153898:5153917|offset_115|444444&amp;v=5153783:5154117&amp;c=444444", "offset 29")</f>
        <v>offset 29</v>
      </c>
    </row>
    <row r="16728" customFormat="false" ht="12.8" hidden="false" customHeight="false" outlineLevel="0" collapsed="false">
      <c r="A16728" s="0" t="s">
        <v>12</v>
      </c>
      <c r="B16728" s="0" t="n">
        <v>5153944</v>
      </c>
      <c r="C16728" s="0" t="n">
        <v>5153964</v>
      </c>
      <c r="D16728" s="0" t="s">
        <v>55602</v>
      </c>
      <c r="E16728" s="0" t="s">
        <v>75</v>
      </c>
      <c r="F16728" s="0" t="s">
        <v>90</v>
      </c>
      <c r="G16728" s="0" t="s">
        <v>32</v>
      </c>
      <c r="H16728" s="0" t="n">
        <v>68</v>
      </c>
      <c r="I16728" s="0" t="s">
        <v>55606</v>
      </c>
      <c r="J16728" s="0" t="s">
        <v>55607</v>
      </c>
      <c r="K16728" s="0" t="s">
        <v>55608</v>
      </c>
      <c r="L16728" s="0" t="str">
        <f aca="false">HYPERLINK("https://www.ncbi.nlm.nih.gov/nuccore/CP000058.1?report=graph&amp;tracks=[key:gene_model_track,Options:GeneOnly]&amp;mk=5153984:5154003|offset_29|444444,5153945:5153964|offset_68|00cc00,5153920:5153939|offset_93|444444,5153898:5153917|offset_115|444444&amp;v=5153783:5154117&amp;c=444444", "offset 68")</f>
        <v>offset 68</v>
      </c>
    </row>
    <row r="16729" customFormat="false" ht="12.8" hidden="false" customHeight="false" outlineLevel="0" collapsed="false">
      <c r="A16729" s="0" t="s">
        <v>12</v>
      </c>
      <c r="B16729" s="0" t="n">
        <v>5153919</v>
      </c>
      <c r="C16729" s="0" t="n">
        <v>5153939</v>
      </c>
      <c r="D16729" s="0" t="s">
        <v>55602</v>
      </c>
      <c r="E16729" s="0" t="s">
        <v>75</v>
      </c>
      <c r="F16729" s="0" t="s">
        <v>90</v>
      </c>
      <c r="G16729" s="0" t="s">
        <v>32</v>
      </c>
      <c r="H16729" s="0" t="n">
        <v>93</v>
      </c>
      <c r="I16729" s="0" t="s">
        <v>55609</v>
      </c>
      <c r="J16729" s="0" t="s">
        <v>55610</v>
      </c>
      <c r="K16729" s="0" t="s">
        <v>55611</v>
      </c>
      <c r="L16729" s="0" t="str">
        <f aca="false">HYPERLINK("https://www.ncbi.nlm.nih.gov/nuccore/CP000058.1?report=graph&amp;tracks=[key:gene_model_track,Options:GeneOnly]&amp;mk=5153984:5154003|offset_29|444444,5153945:5153964|offset_68|444444,5153920:5153939|offset_93|00cc00,5153898:5153917|offset_115|444444&amp;v=5153783:5154117&amp;c=444444", "offset 93")</f>
        <v>offset 93</v>
      </c>
    </row>
    <row r="16730" customFormat="false" ht="12.8" hidden="false" customHeight="false" outlineLevel="0" collapsed="false">
      <c r="A16730" s="0" t="s">
        <v>12</v>
      </c>
      <c r="B16730" s="0" t="n">
        <v>5153897</v>
      </c>
      <c r="C16730" s="0" t="n">
        <v>5153917</v>
      </c>
      <c r="D16730" s="0" t="s">
        <v>55602</v>
      </c>
      <c r="E16730" s="0" t="s">
        <v>75</v>
      </c>
      <c r="F16730" s="0" t="s">
        <v>90</v>
      </c>
      <c r="G16730" s="0" t="s">
        <v>16</v>
      </c>
      <c r="H16730" s="0" t="n">
        <v>115</v>
      </c>
      <c r="I16730" s="0" t="s">
        <v>55612</v>
      </c>
      <c r="J16730" s="0" t="s">
        <v>55613</v>
      </c>
      <c r="K16730" s="0" t="s">
        <v>55614</v>
      </c>
      <c r="L16730" s="0" t="str">
        <f aca="false">HYPERLINK("https://www.ncbi.nlm.nih.gov/nuccore/CP000058.1?report=graph&amp;tracks=[key:gene_model_track,Options:GeneOnly]&amp;mk=5153984:5154003|offset_29|444444,5153945:5153964|offset_68|444444,5153920:5153939|offset_93|444444,5153898:5153917|offset_115|00cc00&amp;v=5153783:5154117&amp;c=444444", "offset 115")</f>
        <v>offset 115</v>
      </c>
    </row>
    <row r="16731" customFormat="false" ht="12.8" hidden="false" customHeight="false" outlineLevel="0" collapsed="false">
      <c r="A16731" s="0" t="s">
        <v>12</v>
      </c>
      <c r="B16731" s="0" t="n">
        <v>5154065</v>
      </c>
      <c r="C16731" s="0" t="n">
        <v>5154085</v>
      </c>
      <c r="D16731" s="0" t="s">
        <v>55615</v>
      </c>
      <c r="E16731" s="0" t="s">
        <v>55616</v>
      </c>
      <c r="F16731" s="0" t="s">
        <v>15</v>
      </c>
      <c r="G16731" s="0" t="s">
        <v>32</v>
      </c>
      <c r="H16731" s="0" t="n">
        <v>17</v>
      </c>
      <c r="I16731" s="0" t="s">
        <v>55617</v>
      </c>
      <c r="J16731" s="0" t="s">
        <v>55618</v>
      </c>
      <c r="K16731" s="0" t="s">
        <v>55619</v>
      </c>
      <c r="L16731" s="0" t="str">
        <f aca="false">HYPERLINK("https://www.ncbi.nlm.nih.gov/nuccore/CP000058.1?report=graph&amp;tracks=[key:gene_model_track,Options:GeneOnly]&amp;mk=5154066:5154085|offset_17|00cc00,5154094:5154113|offset_45|444444,5154117:5154136|offset_68|444444,5154154:5154173|offset_105|444444&amp;v=5153865:5154373&amp;c=444444", "offset 17")</f>
        <v>offset 17</v>
      </c>
    </row>
    <row r="16732" customFormat="false" ht="12.8" hidden="false" customHeight="false" outlineLevel="0" collapsed="false">
      <c r="A16732" s="0" t="s">
        <v>12</v>
      </c>
      <c r="B16732" s="0" t="n">
        <v>5154093</v>
      </c>
      <c r="C16732" s="0" t="n">
        <v>5154113</v>
      </c>
      <c r="D16732" s="0" t="s">
        <v>55615</v>
      </c>
      <c r="E16732" s="0" t="s">
        <v>55616</v>
      </c>
      <c r="F16732" s="0" t="s">
        <v>15</v>
      </c>
      <c r="G16732" s="0" t="s">
        <v>36</v>
      </c>
      <c r="H16732" s="0" t="n">
        <v>45</v>
      </c>
      <c r="I16732" s="0" t="s">
        <v>55620</v>
      </c>
      <c r="J16732" s="0" t="s">
        <v>55621</v>
      </c>
      <c r="K16732" s="0" t="s">
        <v>55622</v>
      </c>
      <c r="L16732" s="0" t="str">
        <f aca="false">HYPERLINK("https://www.ncbi.nlm.nih.gov/nuccore/CP000058.1?report=graph&amp;tracks=[key:gene_model_track,Options:GeneOnly]&amp;mk=5154066:5154085|offset_17|444444,5154094:5154113|offset_45|00cc00,5154117:5154136|offset_68|444444,5154154:5154173|offset_105|444444&amp;v=5153865:5154373&amp;c=444444", "offset 45")</f>
        <v>offset 45</v>
      </c>
    </row>
    <row r="16733" customFormat="false" ht="12.8" hidden="false" customHeight="false" outlineLevel="0" collapsed="false">
      <c r="A16733" s="0" t="s">
        <v>12</v>
      </c>
      <c r="B16733" s="0" t="n">
        <v>5154116</v>
      </c>
      <c r="C16733" s="0" t="n">
        <v>5154136</v>
      </c>
      <c r="D16733" s="0" t="s">
        <v>55615</v>
      </c>
      <c r="E16733" s="0" t="s">
        <v>55616</v>
      </c>
      <c r="F16733" s="0" t="s">
        <v>15</v>
      </c>
      <c r="G16733" s="0" t="s">
        <v>36</v>
      </c>
      <c r="H16733" s="0" t="n">
        <v>68</v>
      </c>
      <c r="I16733" s="0" t="s">
        <v>55623</v>
      </c>
      <c r="J16733" s="0" t="s">
        <v>55624</v>
      </c>
      <c r="K16733" s="0" t="s">
        <v>55625</v>
      </c>
      <c r="L16733" s="0" t="str">
        <f aca="false">HYPERLINK("https://www.ncbi.nlm.nih.gov/nuccore/CP000058.1?report=graph&amp;tracks=[key:gene_model_track,Options:GeneOnly]&amp;mk=5154066:5154085|offset_17|444444,5154094:5154113|offset_45|444444,5154117:5154136|offset_68|00cc00,5154154:5154173|offset_105|444444&amp;v=5153865:5154373&amp;c=444444", "offset 68")</f>
        <v>offset 68</v>
      </c>
    </row>
    <row r="16734" customFormat="false" ht="12.8" hidden="false" customHeight="false" outlineLevel="0" collapsed="false">
      <c r="A16734" s="0" t="s">
        <v>12</v>
      </c>
      <c r="B16734" s="0" t="n">
        <v>5154153</v>
      </c>
      <c r="C16734" s="0" t="n">
        <v>5154173</v>
      </c>
      <c r="D16734" s="0" t="s">
        <v>55615</v>
      </c>
      <c r="E16734" s="0" t="s">
        <v>55616</v>
      </c>
      <c r="F16734" s="0" t="s">
        <v>15</v>
      </c>
      <c r="G16734" s="0" t="s">
        <v>16</v>
      </c>
      <c r="H16734" s="0" t="n">
        <v>105</v>
      </c>
      <c r="I16734" s="0" t="s">
        <v>55626</v>
      </c>
      <c r="J16734" s="0" t="s">
        <v>55627</v>
      </c>
      <c r="K16734" s="0" t="s">
        <v>55628</v>
      </c>
      <c r="L16734" s="0" t="str">
        <f aca="false">HYPERLINK("https://www.ncbi.nlm.nih.gov/nuccore/CP000058.1?report=graph&amp;tracks=[key:gene_model_track,Options:GeneOnly]&amp;mk=5154066:5154085|offset_17|444444,5154094:5154113|offset_45|444444,5154117:5154136|offset_68|444444,5154154:5154173|offset_105|00cc00&amp;v=5153865:5154373&amp;c=444444", "offset 105")</f>
        <v>offset 105</v>
      </c>
    </row>
    <row r="16735" customFormat="false" ht="12.8" hidden="false" customHeight="false" outlineLevel="0" collapsed="false">
      <c r="A16735" s="0" t="s">
        <v>12</v>
      </c>
      <c r="B16735" s="0" t="n">
        <v>5155974</v>
      </c>
      <c r="C16735" s="0" t="n">
        <v>5155994</v>
      </c>
      <c r="D16735" s="0" t="s">
        <v>55629</v>
      </c>
      <c r="E16735" s="0" t="s">
        <v>75</v>
      </c>
      <c r="F16735" s="0" t="s">
        <v>90</v>
      </c>
      <c r="G16735" s="0" t="s">
        <v>32</v>
      </c>
      <c r="H16735" s="0" t="n">
        <v>32</v>
      </c>
      <c r="I16735" s="0" t="s">
        <v>55630</v>
      </c>
      <c r="J16735" s="0" t="s">
        <v>55631</v>
      </c>
      <c r="K16735" s="0" t="s">
        <v>55632</v>
      </c>
      <c r="L16735" s="0" t="str">
        <f aca="false">HYPERLINK("https://www.ncbi.nlm.nih.gov/nuccore/CP000058.1?report=graph&amp;tracks=[key:gene_model_track,Options:GeneOnly]&amp;mk=5155975:5155994|offset_32|00cc00,5155942:5155961|offset_65|444444,5155888:5155907|offset_119|444444,5155865:5155884|offset_142|444444&amp;v=5155774:5156084&amp;c=444444", "offset 32")</f>
        <v>offset 32</v>
      </c>
    </row>
    <row r="16736" customFormat="false" ht="12.8" hidden="false" customHeight="false" outlineLevel="0" collapsed="false">
      <c r="A16736" s="0" t="s">
        <v>12</v>
      </c>
      <c r="B16736" s="0" t="n">
        <v>5155941</v>
      </c>
      <c r="C16736" s="0" t="n">
        <v>5155961</v>
      </c>
      <c r="D16736" s="0" t="s">
        <v>55629</v>
      </c>
      <c r="E16736" s="0" t="s">
        <v>75</v>
      </c>
      <c r="F16736" s="0" t="s">
        <v>90</v>
      </c>
      <c r="G16736" s="0" t="s">
        <v>32</v>
      </c>
      <c r="H16736" s="0" t="n">
        <v>65</v>
      </c>
      <c r="I16736" s="0" t="s">
        <v>55633</v>
      </c>
      <c r="J16736" s="0" t="s">
        <v>55634</v>
      </c>
      <c r="K16736" s="0" t="s">
        <v>55635</v>
      </c>
      <c r="L16736" s="0" t="str">
        <f aca="false">HYPERLINK("https://www.ncbi.nlm.nih.gov/nuccore/CP000058.1?report=graph&amp;tracks=[key:gene_model_track,Options:GeneOnly]&amp;mk=5155975:5155994|offset_32|444444,5155942:5155961|offset_65|00cc00,5155888:5155907|offset_119|444444,5155865:5155884|offset_142|444444&amp;v=5155774:5156084&amp;c=444444", "offset 65")</f>
        <v>offset 65</v>
      </c>
    </row>
    <row r="16737" customFormat="false" ht="12.8" hidden="false" customHeight="false" outlineLevel="0" collapsed="false">
      <c r="A16737" s="0" t="s">
        <v>12</v>
      </c>
      <c r="B16737" s="0" t="n">
        <v>5155887</v>
      </c>
      <c r="C16737" s="0" t="n">
        <v>5155907</v>
      </c>
      <c r="D16737" s="0" t="s">
        <v>55629</v>
      </c>
      <c r="E16737" s="0" t="s">
        <v>75</v>
      </c>
      <c r="F16737" s="0" t="s">
        <v>90</v>
      </c>
      <c r="G16737" s="0" t="s">
        <v>36</v>
      </c>
      <c r="H16737" s="0" t="n">
        <v>119</v>
      </c>
      <c r="I16737" s="0" t="s">
        <v>55636</v>
      </c>
      <c r="J16737" s="0" t="s">
        <v>55637</v>
      </c>
      <c r="K16737" s="0" t="s">
        <v>55638</v>
      </c>
      <c r="L16737" s="0" t="str">
        <f aca="false">HYPERLINK("https://www.ncbi.nlm.nih.gov/nuccore/CP000058.1?report=graph&amp;tracks=[key:gene_model_track,Options:GeneOnly]&amp;mk=5155975:5155994|offset_32|444444,5155942:5155961|offset_65|444444,5155888:5155907|offset_119|00cc00,5155865:5155884|offset_142|444444&amp;v=5155774:5156084&amp;c=444444", "offset 119")</f>
        <v>offset 119</v>
      </c>
    </row>
    <row r="16738" customFormat="false" ht="12.8" hidden="false" customHeight="false" outlineLevel="0" collapsed="false">
      <c r="A16738" s="0" t="s">
        <v>12</v>
      </c>
      <c r="B16738" s="0" t="n">
        <v>5155864</v>
      </c>
      <c r="C16738" s="0" t="n">
        <v>5155884</v>
      </c>
      <c r="D16738" s="0" t="s">
        <v>55629</v>
      </c>
      <c r="E16738" s="0" t="s">
        <v>75</v>
      </c>
      <c r="F16738" s="0" t="s">
        <v>90</v>
      </c>
      <c r="G16738" s="0" t="s">
        <v>16</v>
      </c>
      <c r="H16738" s="0" t="n">
        <v>142</v>
      </c>
      <c r="I16738" s="0" t="s">
        <v>55639</v>
      </c>
      <c r="J16738" s="0" t="s">
        <v>55640</v>
      </c>
      <c r="K16738" s="0" t="s">
        <v>55641</v>
      </c>
      <c r="L16738" s="0" t="str">
        <f aca="false">HYPERLINK("https://www.ncbi.nlm.nih.gov/nuccore/CP000058.1?report=graph&amp;tracks=[key:gene_model_track,Options:GeneOnly]&amp;mk=5155975:5155994|offset_32|444444,5155942:5155961|offset_65|444444,5155888:5155907|offset_119|444444,5155865:5155884|offset_142|00cc00&amp;v=5155774:5156084&amp;c=444444", "offset 142")</f>
        <v>offset 142</v>
      </c>
    </row>
    <row r="16739" customFormat="false" ht="12.8" hidden="false" customHeight="false" outlineLevel="0" collapsed="false">
      <c r="A16739" s="0" t="s">
        <v>12</v>
      </c>
      <c r="B16739" s="0" t="n">
        <v>5156458</v>
      </c>
      <c r="C16739" s="0" t="n">
        <v>5156478</v>
      </c>
      <c r="D16739" s="0" t="s">
        <v>55642</v>
      </c>
      <c r="E16739" s="0" t="s">
        <v>75</v>
      </c>
      <c r="F16739" s="0" t="s">
        <v>15</v>
      </c>
      <c r="G16739" s="0" t="s">
        <v>16</v>
      </c>
      <c r="H16739" s="0" t="n">
        <v>21</v>
      </c>
      <c r="I16739" s="0" t="s">
        <v>55643</v>
      </c>
      <c r="J16739" s="0" t="s">
        <v>55644</v>
      </c>
      <c r="K16739" s="0" t="s">
        <v>55645</v>
      </c>
      <c r="L16739" s="0" t="str">
        <f aca="false">HYPERLINK("https://www.ncbi.nlm.nih.gov/nuccore/CP000058.1?report=graph&amp;tracks=[key:gene_model_track,Options:GeneOnly]&amp;mk=5156459:5156478|offset_21|00cc00,5156488:5156507|offset_50|444444,5156521:5156540|offset_83|444444,5156544:5156563|offset_106|444444&amp;v=5156258:5156763&amp;c=444444", "offset 21")</f>
        <v>offset 21</v>
      </c>
    </row>
    <row r="16740" customFormat="false" ht="12.8" hidden="false" customHeight="false" outlineLevel="0" collapsed="false">
      <c r="A16740" s="0" t="s">
        <v>12</v>
      </c>
      <c r="B16740" s="0" t="n">
        <v>5156487</v>
      </c>
      <c r="C16740" s="0" t="n">
        <v>5156507</v>
      </c>
      <c r="D16740" s="0" t="s">
        <v>55642</v>
      </c>
      <c r="E16740" s="0" t="s">
        <v>75</v>
      </c>
      <c r="F16740" s="0" t="s">
        <v>15</v>
      </c>
      <c r="G16740" s="0" t="s">
        <v>20</v>
      </c>
      <c r="H16740" s="0" t="n">
        <v>50</v>
      </c>
      <c r="I16740" s="0" t="s">
        <v>55646</v>
      </c>
      <c r="J16740" s="0" t="s">
        <v>55647</v>
      </c>
      <c r="K16740" s="0" t="s">
        <v>55648</v>
      </c>
      <c r="L16740" s="0" t="str">
        <f aca="false">HYPERLINK("https://www.ncbi.nlm.nih.gov/nuccore/CP000058.1?report=graph&amp;tracks=[key:gene_model_track,Options:GeneOnly]&amp;mk=5156459:5156478|offset_21|444444,5156488:5156507|offset_50|00cc00,5156521:5156540|offset_83|444444,5156544:5156563|offset_106|444444&amp;v=5156258:5156763&amp;c=444444", "offset 50")</f>
        <v>offset 50</v>
      </c>
    </row>
    <row r="16741" customFormat="false" ht="12.8" hidden="false" customHeight="false" outlineLevel="0" collapsed="false">
      <c r="A16741" s="0" t="s">
        <v>12</v>
      </c>
      <c r="B16741" s="0" t="n">
        <v>5156520</v>
      </c>
      <c r="C16741" s="0" t="n">
        <v>5156540</v>
      </c>
      <c r="D16741" s="0" t="s">
        <v>55642</v>
      </c>
      <c r="E16741" s="0" t="s">
        <v>75</v>
      </c>
      <c r="F16741" s="0" t="s">
        <v>15</v>
      </c>
      <c r="G16741" s="0" t="s">
        <v>20</v>
      </c>
      <c r="H16741" s="0" t="n">
        <v>83</v>
      </c>
      <c r="I16741" s="0" t="s">
        <v>55649</v>
      </c>
      <c r="J16741" s="0" t="s">
        <v>55650</v>
      </c>
      <c r="K16741" s="0" t="s">
        <v>55651</v>
      </c>
      <c r="L16741" s="0" t="str">
        <f aca="false">HYPERLINK("https://www.ncbi.nlm.nih.gov/nuccore/CP000058.1?report=graph&amp;tracks=[key:gene_model_track,Options:GeneOnly]&amp;mk=5156459:5156478|offset_21|444444,5156488:5156507|offset_50|444444,5156521:5156540|offset_83|00cc00,5156544:5156563|offset_106|444444&amp;v=5156258:5156763&amp;c=444444", "offset 83")</f>
        <v>offset 83</v>
      </c>
    </row>
    <row r="16742" customFormat="false" ht="12.8" hidden="false" customHeight="false" outlineLevel="0" collapsed="false">
      <c r="A16742" s="0" t="s">
        <v>12</v>
      </c>
      <c r="B16742" s="0" t="n">
        <v>5156543</v>
      </c>
      <c r="C16742" s="0" t="n">
        <v>5156563</v>
      </c>
      <c r="D16742" s="0" t="s">
        <v>55642</v>
      </c>
      <c r="E16742" s="0" t="s">
        <v>75</v>
      </c>
      <c r="F16742" s="0" t="s">
        <v>15</v>
      </c>
      <c r="G16742" s="0" t="s">
        <v>16</v>
      </c>
      <c r="H16742" s="0" t="n">
        <v>106</v>
      </c>
      <c r="I16742" s="0" t="s">
        <v>55652</v>
      </c>
      <c r="J16742" s="0" t="s">
        <v>55653</v>
      </c>
      <c r="K16742" s="0" t="s">
        <v>55654</v>
      </c>
      <c r="L16742" s="0" t="str">
        <f aca="false">HYPERLINK("https://www.ncbi.nlm.nih.gov/nuccore/CP000058.1?report=graph&amp;tracks=[key:gene_model_track,Options:GeneOnly]&amp;mk=5156459:5156478|offset_21|444444,5156488:5156507|offset_50|444444,5156521:5156540|offset_83|444444,5156544:5156563|offset_106|00cc00&amp;v=5156258:5156763&amp;c=444444", "offset 106")</f>
        <v>offset 106</v>
      </c>
    </row>
    <row r="16743" customFormat="false" ht="12.8" hidden="false" customHeight="false" outlineLevel="0" collapsed="false">
      <c r="A16743" s="0" t="s">
        <v>12</v>
      </c>
      <c r="B16743" s="0" t="n">
        <v>5158973</v>
      </c>
      <c r="C16743" s="0" t="n">
        <v>5158993</v>
      </c>
      <c r="D16743" s="0" t="s">
        <v>55655</v>
      </c>
      <c r="E16743" s="0" t="s">
        <v>75</v>
      </c>
      <c r="F16743" s="0" t="s">
        <v>15</v>
      </c>
      <c r="G16743" s="0" t="s">
        <v>36</v>
      </c>
      <c r="H16743" s="0" t="n">
        <v>0</v>
      </c>
      <c r="I16743" s="0" t="s">
        <v>55656</v>
      </c>
      <c r="J16743" s="0" t="s">
        <v>55657</v>
      </c>
      <c r="K16743" s="0" t="s">
        <v>55658</v>
      </c>
      <c r="L16743" s="0" t="str">
        <f aca="false">HYPERLINK("https://www.ncbi.nlm.nih.gov/nuccore/CP000058.1?report=graph&amp;tracks=[key:gene_model_track,Options:GeneOnly]&amp;mk=5158974:5158993|offset_0|00cc00,5159003:5159022|offset_29|444444,5159052:5159071|offset_78|444444,5159122:5159141|offset_148|444444&amp;v=5158773:5159341&amp;c=444444", "offset 0")</f>
        <v>offset 0</v>
      </c>
    </row>
    <row r="16744" customFormat="false" ht="12.8" hidden="false" customHeight="false" outlineLevel="0" collapsed="false">
      <c r="A16744" s="0" t="s">
        <v>12</v>
      </c>
      <c r="B16744" s="0" t="n">
        <v>5159002</v>
      </c>
      <c r="C16744" s="0" t="n">
        <v>5159022</v>
      </c>
      <c r="D16744" s="0" t="s">
        <v>55655</v>
      </c>
      <c r="E16744" s="0" t="s">
        <v>75</v>
      </c>
      <c r="F16744" s="0" t="s">
        <v>15</v>
      </c>
      <c r="G16744" s="0" t="s">
        <v>36</v>
      </c>
      <c r="H16744" s="0" t="n">
        <v>29</v>
      </c>
      <c r="I16744" s="0" t="s">
        <v>55659</v>
      </c>
      <c r="J16744" s="0" t="s">
        <v>55660</v>
      </c>
      <c r="K16744" s="0" t="s">
        <v>55661</v>
      </c>
      <c r="L16744" s="0" t="str">
        <f aca="false">HYPERLINK("https://www.ncbi.nlm.nih.gov/nuccore/CP000058.1?report=graph&amp;tracks=[key:gene_model_track,Options:GeneOnly]&amp;mk=5158974:5158993|offset_0|444444,5159003:5159022|offset_29|00cc00,5159052:5159071|offset_78|444444,5159122:5159141|offset_148|444444&amp;v=5158773:5159341&amp;c=444444", "offset 29")</f>
        <v>offset 29</v>
      </c>
    </row>
    <row r="16745" customFormat="false" ht="12.8" hidden="false" customHeight="false" outlineLevel="0" collapsed="false">
      <c r="A16745" s="0" t="s">
        <v>12</v>
      </c>
      <c r="B16745" s="0" t="n">
        <v>5159051</v>
      </c>
      <c r="C16745" s="0" t="n">
        <v>5159071</v>
      </c>
      <c r="D16745" s="0" t="s">
        <v>55655</v>
      </c>
      <c r="E16745" s="0" t="s">
        <v>75</v>
      </c>
      <c r="F16745" s="0" t="s">
        <v>15</v>
      </c>
      <c r="G16745" s="0" t="s">
        <v>20</v>
      </c>
      <c r="H16745" s="0" t="n">
        <v>78</v>
      </c>
      <c r="I16745" s="0" t="s">
        <v>55662</v>
      </c>
      <c r="J16745" s="0" t="s">
        <v>55663</v>
      </c>
      <c r="K16745" s="0" t="s">
        <v>55664</v>
      </c>
      <c r="L16745" s="0" t="str">
        <f aca="false">HYPERLINK("https://www.ncbi.nlm.nih.gov/nuccore/CP000058.1?report=graph&amp;tracks=[key:gene_model_track,Options:GeneOnly]&amp;mk=5158974:5158993|offset_0|444444,5159003:5159022|offset_29|444444,5159052:5159071|offset_78|00cc00,5159122:5159141|offset_148|444444&amp;v=5158773:5159341&amp;c=444444", "offset 78")</f>
        <v>offset 78</v>
      </c>
    </row>
    <row r="16746" customFormat="false" ht="12.8" hidden="false" customHeight="false" outlineLevel="0" collapsed="false">
      <c r="A16746" s="0" t="s">
        <v>12</v>
      </c>
      <c r="B16746" s="0" t="n">
        <v>5159121</v>
      </c>
      <c r="C16746" s="0" t="n">
        <v>5159141</v>
      </c>
      <c r="D16746" s="0" t="s">
        <v>55655</v>
      </c>
      <c r="E16746" s="0" t="s">
        <v>75</v>
      </c>
      <c r="F16746" s="0" t="s">
        <v>15</v>
      </c>
      <c r="G16746" s="0" t="s">
        <v>16</v>
      </c>
      <c r="H16746" s="0" t="n">
        <v>148</v>
      </c>
      <c r="I16746" s="0" t="s">
        <v>55665</v>
      </c>
      <c r="J16746" s="0" t="s">
        <v>55666</v>
      </c>
      <c r="K16746" s="0" t="s">
        <v>55667</v>
      </c>
      <c r="L16746" s="0" t="str">
        <f aca="false">HYPERLINK("https://www.ncbi.nlm.nih.gov/nuccore/CP000058.1?report=graph&amp;tracks=[key:gene_model_track,Options:GeneOnly]&amp;mk=5158974:5158993|offset_0|444444,5159003:5159022|offset_29|444444,5159052:5159071|offset_78|444444,5159122:5159141|offset_148|00cc00&amp;v=5158773:5159341&amp;c=444444", "offset 148")</f>
        <v>offset 148</v>
      </c>
    </row>
    <row r="16747" customFormat="false" ht="12.8" hidden="false" customHeight="false" outlineLevel="0" collapsed="false">
      <c r="A16747" s="0" t="s">
        <v>12</v>
      </c>
      <c r="B16747" s="0" t="n">
        <v>5162255</v>
      </c>
      <c r="C16747" s="0" t="n">
        <v>5162275</v>
      </c>
      <c r="D16747" s="0" t="s">
        <v>55668</v>
      </c>
      <c r="E16747" s="0" t="s">
        <v>75</v>
      </c>
      <c r="F16747" s="0" t="s">
        <v>90</v>
      </c>
      <c r="G16747" s="0" t="s">
        <v>20</v>
      </c>
      <c r="H16747" s="0" t="n">
        <v>20</v>
      </c>
      <c r="I16747" s="0" t="s">
        <v>55669</v>
      </c>
      <c r="J16747" s="0" t="s">
        <v>55670</v>
      </c>
      <c r="K16747" s="0" t="s">
        <v>55671</v>
      </c>
      <c r="L16747" s="0" t="str">
        <f aca="false">HYPERLINK("https://www.ncbi.nlm.nih.gov/nuccore/CP000058.1?report=graph&amp;tracks=[key:gene_model_track,Options:GeneOnly]&amp;mk=5162256:5162275|offset_20|00cc00,5162212:5162231|offset_64|444444,5162160:5162179|offset_116|444444,5162125:5162144|offset_151|444444&amp;v=5162055:5162344&amp;c=444444", "offset 20")</f>
        <v>offset 20</v>
      </c>
    </row>
    <row r="16748" customFormat="false" ht="12.8" hidden="false" customHeight="false" outlineLevel="0" collapsed="false">
      <c r="A16748" s="0" t="s">
        <v>12</v>
      </c>
      <c r="B16748" s="0" t="n">
        <v>5162211</v>
      </c>
      <c r="C16748" s="0" t="n">
        <v>5162231</v>
      </c>
      <c r="D16748" s="0" t="s">
        <v>55668</v>
      </c>
      <c r="E16748" s="0" t="s">
        <v>75</v>
      </c>
      <c r="F16748" s="0" t="s">
        <v>90</v>
      </c>
      <c r="G16748" s="0" t="s">
        <v>32</v>
      </c>
      <c r="H16748" s="0" t="n">
        <v>64</v>
      </c>
      <c r="I16748" s="0" t="s">
        <v>55672</v>
      </c>
      <c r="J16748" s="0" t="s">
        <v>55673</v>
      </c>
      <c r="K16748" s="0" t="s">
        <v>55674</v>
      </c>
      <c r="L16748" s="0" t="str">
        <f aca="false">HYPERLINK("https://www.ncbi.nlm.nih.gov/nuccore/CP000058.1?report=graph&amp;tracks=[key:gene_model_track,Options:GeneOnly]&amp;mk=5162256:5162275|offset_20|444444,5162212:5162231|offset_64|00cc00,5162160:5162179|offset_116|444444,5162125:5162144|offset_151|444444&amp;v=5162055:5162344&amp;c=444444", "offset 64")</f>
        <v>offset 64</v>
      </c>
    </row>
    <row r="16749" customFormat="false" ht="12.8" hidden="false" customHeight="false" outlineLevel="0" collapsed="false">
      <c r="A16749" s="0" t="s">
        <v>12</v>
      </c>
      <c r="B16749" s="0" t="n">
        <v>5162159</v>
      </c>
      <c r="C16749" s="0" t="n">
        <v>5162179</v>
      </c>
      <c r="D16749" s="0" t="s">
        <v>55668</v>
      </c>
      <c r="E16749" s="0" t="s">
        <v>75</v>
      </c>
      <c r="F16749" s="0" t="s">
        <v>90</v>
      </c>
      <c r="G16749" s="0" t="s">
        <v>32</v>
      </c>
      <c r="H16749" s="0" t="n">
        <v>116</v>
      </c>
      <c r="I16749" s="0" t="s">
        <v>55675</v>
      </c>
      <c r="J16749" s="0" t="s">
        <v>55676</v>
      </c>
      <c r="K16749" s="0" t="s">
        <v>55677</v>
      </c>
      <c r="L16749" s="0" t="str">
        <f aca="false">HYPERLINK("https://www.ncbi.nlm.nih.gov/nuccore/CP000058.1?report=graph&amp;tracks=[key:gene_model_track,Options:GeneOnly]&amp;mk=5162256:5162275|offset_20|444444,5162212:5162231|offset_64|444444,5162160:5162179|offset_116|00cc00,5162125:5162144|offset_151|444444&amp;v=5162055:5162344&amp;c=444444", "offset 116")</f>
        <v>offset 116</v>
      </c>
    </row>
    <row r="16750" customFormat="false" ht="12.8" hidden="false" customHeight="false" outlineLevel="0" collapsed="false">
      <c r="A16750" s="0" t="s">
        <v>12</v>
      </c>
      <c r="B16750" s="0" t="n">
        <v>5162124</v>
      </c>
      <c r="C16750" s="0" t="n">
        <v>5162144</v>
      </c>
      <c r="D16750" s="0" t="s">
        <v>55668</v>
      </c>
      <c r="E16750" s="0" t="s">
        <v>75</v>
      </c>
      <c r="F16750" s="0" t="s">
        <v>90</v>
      </c>
      <c r="G16750" s="0" t="s">
        <v>16</v>
      </c>
      <c r="H16750" s="0" t="n">
        <v>151</v>
      </c>
      <c r="I16750" s="0" t="s">
        <v>55678</v>
      </c>
      <c r="J16750" s="0" t="s">
        <v>55679</v>
      </c>
      <c r="K16750" s="0" t="s">
        <v>55680</v>
      </c>
      <c r="L16750" s="0" t="str">
        <f aca="false">HYPERLINK("https://www.ncbi.nlm.nih.gov/nuccore/CP000058.1?report=graph&amp;tracks=[key:gene_model_track,Options:GeneOnly]&amp;mk=5162256:5162275|offset_20|444444,5162212:5162231|offset_64|444444,5162160:5162179|offset_116|444444,5162125:5162144|offset_151|00cc00&amp;v=5162055:5162344&amp;c=444444", "offset 151")</f>
        <v>offset 151</v>
      </c>
    </row>
    <row r="16751" customFormat="false" ht="12.8" hidden="false" customHeight="false" outlineLevel="0" collapsed="false">
      <c r="A16751" s="0" t="s">
        <v>12</v>
      </c>
      <c r="B16751" s="0" t="n">
        <v>5163117</v>
      </c>
      <c r="C16751" s="0" t="n">
        <v>5163137</v>
      </c>
      <c r="D16751" s="0" t="s">
        <v>55681</v>
      </c>
      <c r="E16751" s="0" t="s">
        <v>75</v>
      </c>
      <c r="F16751" s="0" t="s">
        <v>90</v>
      </c>
      <c r="G16751" s="0" t="s">
        <v>20</v>
      </c>
      <c r="H16751" s="0" t="n">
        <v>11</v>
      </c>
      <c r="I16751" s="0" t="s">
        <v>55682</v>
      </c>
      <c r="J16751" s="0" t="s">
        <v>55683</v>
      </c>
      <c r="K16751" s="0" t="s">
        <v>55684</v>
      </c>
      <c r="L16751" s="0" t="str">
        <f aca="false">HYPERLINK("https://www.ncbi.nlm.nih.gov/nuccore/CP000058.1?report=graph&amp;tracks=[key:gene_model_track,Options:GeneOnly]&amp;mk=5163118:5163137|offset_11|00cc00,5163092:5163111|offset_37|444444,5163057:5163076|offset_72|444444,5163026:5163045|offset_103|444444&amp;v=5162917:5163245&amp;c=444444", "offset 11")</f>
        <v>offset 11</v>
      </c>
    </row>
    <row r="16752" customFormat="false" ht="12.8" hidden="false" customHeight="false" outlineLevel="0" collapsed="false">
      <c r="A16752" s="0" t="s">
        <v>12</v>
      </c>
      <c r="B16752" s="0" t="n">
        <v>5163091</v>
      </c>
      <c r="C16752" s="0" t="n">
        <v>5163111</v>
      </c>
      <c r="D16752" s="0" t="s">
        <v>55681</v>
      </c>
      <c r="E16752" s="0" t="s">
        <v>75</v>
      </c>
      <c r="F16752" s="0" t="s">
        <v>90</v>
      </c>
      <c r="G16752" s="0" t="s">
        <v>16</v>
      </c>
      <c r="H16752" s="0" t="n">
        <v>37</v>
      </c>
      <c r="I16752" s="0" t="s">
        <v>55685</v>
      </c>
      <c r="J16752" s="0" t="s">
        <v>55686</v>
      </c>
      <c r="K16752" s="0" t="s">
        <v>55687</v>
      </c>
      <c r="L16752" s="0" t="str">
        <f aca="false">HYPERLINK("https://www.ncbi.nlm.nih.gov/nuccore/CP000058.1?report=graph&amp;tracks=[key:gene_model_track,Options:GeneOnly]&amp;mk=5163118:5163137|offset_11|444444,5163092:5163111|offset_37|00cc00,5163057:5163076|offset_72|444444,5163026:5163045|offset_103|444444&amp;v=5162917:5163245&amp;c=444444", "offset 37")</f>
        <v>offset 37</v>
      </c>
    </row>
    <row r="16753" customFormat="false" ht="12.8" hidden="false" customHeight="false" outlineLevel="0" collapsed="false">
      <c r="A16753" s="0" t="s">
        <v>12</v>
      </c>
      <c r="B16753" s="0" t="n">
        <v>5163056</v>
      </c>
      <c r="C16753" s="0" t="n">
        <v>5163076</v>
      </c>
      <c r="D16753" s="0" t="s">
        <v>55681</v>
      </c>
      <c r="E16753" s="0" t="s">
        <v>75</v>
      </c>
      <c r="F16753" s="0" t="s">
        <v>90</v>
      </c>
      <c r="G16753" s="0" t="s">
        <v>20</v>
      </c>
      <c r="H16753" s="0" t="n">
        <v>72</v>
      </c>
      <c r="I16753" s="0" t="s">
        <v>55688</v>
      </c>
      <c r="J16753" s="0" t="s">
        <v>55689</v>
      </c>
      <c r="K16753" s="0" t="s">
        <v>55690</v>
      </c>
      <c r="L16753" s="0" t="str">
        <f aca="false">HYPERLINK("https://www.ncbi.nlm.nih.gov/nuccore/CP000058.1?report=graph&amp;tracks=[key:gene_model_track,Options:GeneOnly]&amp;mk=5163118:5163137|offset_11|444444,5163092:5163111|offset_37|444444,5163057:5163076|offset_72|00cc00,5163026:5163045|offset_103|444444&amp;v=5162917:5163245&amp;c=444444", "offset 72")</f>
        <v>offset 72</v>
      </c>
    </row>
    <row r="16754" customFormat="false" ht="12.8" hidden="false" customHeight="false" outlineLevel="0" collapsed="false">
      <c r="A16754" s="0" t="s">
        <v>12</v>
      </c>
      <c r="B16754" s="0" t="n">
        <v>5163025</v>
      </c>
      <c r="C16754" s="0" t="n">
        <v>5163045</v>
      </c>
      <c r="D16754" s="0" t="s">
        <v>55681</v>
      </c>
      <c r="E16754" s="0" t="s">
        <v>75</v>
      </c>
      <c r="F16754" s="0" t="s">
        <v>90</v>
      </c>
      <c r="G16754" s="0" t="s">
        <v>32</v>
      </c>
      <c r="H16754" s="0" t="n">
        <v>103</v>
      </c>
      <c r="I16754" s="0" t="s">
        <v>55691</v>
      </c>
      <c r="J16754" s="0" t="s">
        <v>55692</v>
      </c>
      <c r="K16754" s="0" t="s">
        <v>55693</v>
      </c>
      <c r="L16754" s="0" t="str">
        <f aca="false">HYPERLINK("https://www.ncbi.nlm.nih.gov/nuccore/CP000058.1?report=graph&amp;tracks=[key:gene_model_track,Options:GeneOnly]&amp;mk=5163118:5163137|offset_11|444444,5163092:5163111|offset_37|444444,5163057:5163076|offset_72|444444,5163026:5163045|offset_103|00cc00&amp;v=5162917:5163245&amp;c=444444", "offset 103")</f>
        <v>offset 103</v>
      </c>
    </row>
    <row r="16755" customFormat="false" ht="12.8" hidden="false" customHeight="false" outlineLevel="0" collapsed="false">
      <c r="A16755" s="0" t="s">
        <v>12</v>
      </c>
      <c r="B16755" s="0" t="n">
        <v>5163373</v>
      </c>
      <c r="C16755" s="0" t="n">
        <v>5163393</v>
      </c>
      <c r="D16755" s="0" t="s">
        <v>55694</v>
      </c>
      <c r="E16755" s="0" t="s">
        <v>75</v>
      </c>
      <c r="F16755" s="0" t="s">
        <v>90</v>
      </c>
      <c r="G16755" s="0" t="s">
        <v>32</v>
      </c>
      <c r="H16755" s="0" t="n">
        <v>55</v>
      </c>
      <c r="I16755" s="0" t="s">
        <v>55695</v>
      </c>
      <c r="J16755" s="0" t="s">
        <v>55696</v>
      </c>
      <c r="K16755" s="0" t="s">
        <v>55697</v>
      </c>
      <c r="L16755" s="0" t="str">
        <f aca="false">HYPERLINK("https://www.ncbi.nlm.nih.gov/nuccore/CP000058.1?report=graph&amp;tracks=[key:gene_model_track,Options:GeneOnly]&amp;mk=5163374:5163393|offset_55|00cc00,5163348:5163367|offset_81|444444,5163286:5163305|offset_143|444444&amp;v=5163173:5163505&amp;c=444444", "offset 55")</f>
        <v>offset 55</v>
      </c>
    </row>
    <row r="16756" customFormat="false" ht="12.8" hidden="false" customHeight="false" outlineLevel="0" collapsed="false">
      <c r="A16756" s="0" t="s">
        <v>12</v>
      </c>
      <c r="B16756" s="0" t="n">
        <v>5163347</v>
      </c>
      <c r="C16756" s="0" t="n">
        <v>5163367</v>
      </c>
      <c r="D16756" s="0" t="s">
        <v>55694</v>
      </c>
      <c r="E16756" s="0" t="s">
        <v>75</v>
      </c>
      <c r="F16756" s="0" t="s">
        <v>90</v>
      </c>
      <c r="G16756" s="0" t="s">
        <v>32</v>
      </c>
      <c r="H16756" s="0" t="n">
        <v>81</v>
      </c>
      <c r="I16756" s="0" t="s">
        <v>55698</v>
      </c>
      <c r="J16756" s="0" t="s">
        <v>55699</v>
      </c>
      <c r="K16756" s="0" t="s">
        <v>55700</v>
      </c>
      <c r="L16756" s="0" t="str">
        <f aca="false">HYPERLINK("https://www.ncbi.nlm.nih.gov/nuccore/CP000058.1?report=graph&amp;tracks=[key:gene_model_track,Options:GeneOnly]&amp;mk=5163374:5163393|offset_55|444444,5163348:5163367|offset_81|00cc00,5163286:5163305|offset_143|444444&amp;v=5163173:5163505&amp;c=444444", "offset 81")</f>
        <v>offset 81</v>
      </c>
    </row>
    <row r="16757" customFormat="false" ht="12.8" hidden="false" customHeight="false" outlineLevel="0" collapsed="false">
      <c r="A16757" s="0" t="s">
        <v>12</v>
      </c>
      <c r="B16757" s="0" t="n">
        <v>5163285</v>
      </c>
      <c r="C16757" s="0" t="n">
        <v>5163305</v>
      </c>
      <c r="D16757" s="0" t="s">
        <v>55694</v>
      </c>
      <c r="E16757" s="0" t="s">
        <v>75</v>
      </c>
      <c r="F16757" s="0" t="s">
        <v>90</v>
      </c>
      <c r="G16757" s="0" t="s">
        <v>16</v>
      </c>
      <c r="H16757" s="0" t="n">
        <v>143</v>
      </c>
      <c r="I16757" s="0" t="s">
        <v>55701</v>
      </c>
      <c r="J16757" s="0" t="s">
        <v>55702</v>
      </c>
      <c r="K16757" s="0" t="s">
        <v>55703</v>
      </c>
      <c r="L16757" s="0" t="str">
        <f aca="false">HYPERLINK("https://www.ncbi.nlm.nih.gov/nuccore/CP000058.1?report=graph&amp;tracks=[key:gene_model_track,Options:GeneOnly]&amp;mk=5163374:5163393|offset_55|444444,5163348:5163367|offset_81|444444,5163286:5163305|offset_143|00cc00&amp;v=5163173:5163505&amp;c=444444", "offset 143")</f>
        <v>offset 143</v>
      </c>
    </row>
    <row r="16758" customFormat="false" ht="12.8" hidden="false" customHeight="false" outlineLevel="0" collapsed="false">
      <c r="A16758" s="0" t="s">
        <v>12</v>
      </c>
      <c r="B16758" s="0" t="n">
        <v>5164545</v>
      </c>
      <c r="C16758" s="0" t="n">
        <v>5164565</v>
      </c>
      <c r="D16758" s="0" t="s">
        <v>55704</v>
      </c>
      <c r="E16758" s="0" t="s">
        <v>75</v>
      </c>
      <c r="F16758" s="0" t="s">
        <v>90</v>
      </c>
      <c r="G16758" s="0" t="s">
        <v>36</v>
      </c>
      <c r="H16758" s="0" t="n">
        <v>6</v>
      </c>
      <c r="I16758" s="0" t="s">
        <v>55705</v>
      </c>
      <c r="J16758" s="0" t="s">
        <v>55706</v>
      </c>
      <c r="K16758" s="0" t="s">
        <v>55707</v>
      </c>
      <c r="L16758" s="0" t="str">
        <f aca="false">HYPERLINK("https://www.ncbi.nlm.nih.gov/nuccore/CP000058.1?report=graph&amp;tracks=[key:gene_model_track,Options:GeneOnly]&amp;mk=5164546:5164565|offset_6|00cc00,5164514:5164533|offset_38|444444,5164475:5164494|offset_77|444444,5164452:5164471|offset_100|444444&amp;v=5164345:5164671&amp;c=444444", "offset 6")</f>
        <v>offset 6</v>
      </c>
    </row>
    <row r="16759" customFormat="false" ht="12.8" hidden="false" customHeight="false" outlineLevel="0" collapsed="false">
      <c r="A16759" s="0" t="s">
        <v>12</v>
      </c>
      <c r="B16759" s="0" t="n">
        <v>5164513</v>
      </c>
      <c r="C16759" s="0" t="n">
        <v>5164533</v>
      </c>
      <c r="D16759" s="0" t="s">
        <v>55704</v>
      </c>
      <c r="E16759" s="0" t="s">
        <v>75</v>
      </c>
      <c r="F16759" s="0" t="s">
        <v>90</v>
      </c>
      <c r="G16759" s="0" t="s">
        <v>32</v>
      </c>
      <c r="H16759" s="0" t="n">
        <v>38</v>
      </c>
      <c r="I16759" s="0" t="s">
        <v>55708</v>
      </c>
      <c r="J16759" s="0" t="s">
        <v>55709</v>
      </c>
      <c r="K16759" s="0" t="s">
        <v>55710</v>
      </c>
      <c r="L16759" s="0" t="str">
        <f aca="false">HYPERLINK("https://www.ncbi.nlm.nih.gov/nuccore/CP000058.1?report=graph&amp;tracks=[key:gene_model_track,Options:GeneOnly]&amp;mk=5164546:5164565|offset_6|444444,5164514:5164533|offset_38|00cc00,5164475:5164494|offset_77|444444,5164452:5164471|offset_100|444444&amp;v=5164345:5164671&amp;c=444444", "offset 38")</f>
        <v>offset 38</v>
      </c>
    </row>
    <row r="16760" customFormat="false" ht="12.8" hidden="false" customHeight="false" outlineLevel="0" collapsed="false">
      <c r="A16760" s="0" t="s">
        <v>12</v>
      </c>
      <c r="B16760" s="0" t="n">
        <v>5164474</v>
      </c>
      <c r="C16760" s="0" t="n">
        <v>5164494</v>
      </c>
      <c r="D16760" s="0" t="s">
        <v>55704</v>
      </c>
      <c r="E16760" s="0" t="s">
        <v>75</v>
      </c>
      <c r="F16760" s="0" t="s">
        <v>90</v>
      </c>
      <c r="G16760" s="0" t="s">
        <v>20</v>
      </c>
      <c r="H16760" s="0" t="n">
        <v>77</v>
      </c>
      <c r="I16760" s="0" t="s">
        <v>55711</v>
      </c>
      <c r="J16760" s="0" t="s">
        <v>55712</v>
      </c>
      <c r="K16760" s="0" t="s">
        <v>55713</v>
      </c>
      <c r="L16760" s="0" t="str">
        <f aca="false">HYPERLINK("https://www.ncbi.nlm.nih.gov/nuccore/CP000058.1?report=graph&amp;tracks=[key:gene_model_track,Options:GeneOnly]&amp;mk=5164546:5164565|offset_6|444444,5164514:5164533|offset_38|444444,5164475:5164494|offset_77|00cc00,5164452:5164471|offset_100|444444&amp;v=5164345:5164671&amp;c=444444", "offset 77")</f>
        <v>offset 77</v>
      </c>
    </row>
    <row r="16761" customFormat="false" ht="12.8" hidden="false" customHeight="false" outlineLevel="0" collapsed="false">
      <c r="A16761" s="0" t="s">
        <v>12</v>
      </c>
      <c r="B16761" s="0" t="n">
        <v>5164451</v>
      </c>
      <c r="C16761" s="0" t="n">
        <v>5164471</v>
      </c>
      <c r="D16761" s="0" t="s">
        <v>55704</v>
      </c>
      <c r="E16761" s="0" t="s">
        <v>75</v>
      </c>
      <c r="F16761" s="0" t="s">
        <v>90</v>
      </c>
      <c r="G16761" s="0" t="s">
        <v>36</v>
      </c>
      <c r="H16761" s="0" t="n">
        <v>100</v>
      </c>
      <c r="I16761" s="0" t="s">
        <v>55714</v>
      </c>
      <c r="J16761" s="0" t="s">
        <v>55715</v>
      </c>
      <c r="K16761" s="0" t="s">
        <v>55716</v>
      </c>
      <c r="L16761" s="0" t="str">
        <f aca="false">HYPERLINK("https://www.ncbi.nlm.nih.gov/nuccore/CP000058.1?report=graph&amp;tracks=[key:gene_model_track,Options:GeneOnly]&amp;mk=5164546:5164565|offset_6|444444,5164514:5164533|offset_38|444444,5164475:5164494|offset_77|444444,5164452:5164471|offset_100|00cc00&amp;v=5164345:5164671&amp;c=444444", "offset 100")</f>
        <v>offset 100</v>
      </c>
    </row>
    <row r="16762" customFormat="false" ht="12.8" hidden="false" customHeight="false" outlineLevel="0" collapsed="false">
      <c r="A16762" s="0" t="s">
        <v>12</v>
      </c>
      <c r="B16762" s="0" t="n">
        <v>5164742</v>
      </c>
      <c r="C16762" s="0" t="n">
        <v>5164762</v>
      </c>
      <c r="D16762" s="0" t="s">
        <v>55717</v>
      </c>
      <c r="E16762" s="0" t="s">
        <v>55718</v>
      </c>
      <c r="F16762" s="0" t="s">
        <v>15</v>
      </c>
      <c r="G16762" s="0" t="s">
        <v>20</v>
      </c>
      <c r="H16762" s="0" t="n">
        <v>6</v>
      </c>
      <c r="I16762" s="0" t="s">
        <v>55719</v>
      </c>
      <c r="J16762" s="0" t="s">
        <v>55720</v>
      </c>
      <c r="K16762" s="0" t="s">
        <v>55721</v>
      </c>
      <c r="L16762" s="0" t="str">
        <f aca="false">HYPERLINK("https://www.ncbi.nlm.nih.gov/nuccore/CP000058.1?report=graph&amp;tracks=[key:gene_model_track,Options:GeneOnly]&amp;mk=5164743:5164762|offset_6|00cc00,5164765:5164784|offset_28|444444,5164804:5164823|offset_67|444444,5164829:5164848|offset_92|444444&amp;v=5164542:5165048&amp;c=444444", "offset 6")</f>
        <v>offset 6</v>
      </c>
    </row>
    <row r="16763" customFormat="false" ht="12.8" hidden="false" customHeight="false" outlineLevel="0" collapsed="false">
      <c r="A16763" s="0" t="s">
        <v>12</v>
      </c>
      <c r="B16763" s="0" t="n">
        <v>5164764</v>
      </c>
      <c r="C16763" s="0" t="n">
        <v>5164784</v>
      </c>
      <c r="D16763" s="0" t="s">
        <v>55717</v>
      </c>
      <c r="E16763" s="0" t="s">
        <v>55718</v>
      </c>
      <c r="F16763" s="0" t="s">
        <v>15</v>
      </c>
      <c r="G16763" s="0" t="s">
        <v>32</v>
      </c>
      <c r="H16763" s="0" t="n">
        <v>28</v>
      </c>
      <c r="I16763" s="0" t="s">
        <v>55722</v>
      </c>
      <c r="J16763" s="0" t="s">
        <v>55723</v>
      </c>
      <c r="K16763" s="0" t="s">
        <v>55724</v>
      </c>
      <c r="L16763" s="0" t="str">
        <f aca="false">HYPERLINK("https://www.ncbi.nlm.nih.gov/nuccore/CP000058.1?report=graph&amp;tracks=[key:gene_model_track,Options:GeneOnly]&amp;mk=5164743:5164762|offset_6|444444,5164765:5164784|offset_28|00cc00,5164804:5164823|offset_67|444444,5164829:5164848|offset_92|444444&amp;v=5164542:5165048&amp;c=444444", "offset 28")</f>
        <v>offset 28</v>
      </c>
    </row>
    <row r="16764" customFormat="false" ht="12.8" hidden="false" customHeight="false" outlineLevel="0" collapsed="false">
      <c r="A16764" s="0" t="s">
        <v>12</v>
      </c>
      <c r="B16764" s="0" t="n">
        <v>5164803</v>
      </c>
      <c r="C16764" s="0" t="n">
        <v>5164823</v>
      </c>
      <c r="D16764" s="0" t="s">
        <v>55717</v>
      </c>
      <c r="E16764" s="0" t="s">
        <v>55718</v>
      </c>
      <c r="F16764" s="0" t="s">
        <v>15</v>
      </c>
      <c r="G16764" s="0" t="s">
        <v>16</v>
      </c>
      <c r="H16764" s="0" t="n">
        <v>67</v>
      </c>
      <c r="I16764" s="0" t="s">
        <v>55725</v>
      </c>
      <c r="J16764" s="0" t="s">
        <v>55726</v>
      </c>
      <c r="K16764" s="0" t="s">
        <v>55727</v>
      </c>
      <c r="L16764" s="0" t="str">
        <f aca="false">HYPERLINK("https://www.ncbi.nlm.nih.gov/nuccore/CP000058.1?report=graph&amp;tracks=[key:gene_model_track,Options:GeneOnly]&amp;mk=5164743:5164762|offset_6|444444,5164765:5164784|offset_28|444444,5164804:5164823|offset_67|00cc00,5164829:5164848|offset_92|444444&amp;v=5164542:5165048&amp;c=444444", "offset 67")</f>
        <v>offset 67</v>
      </c>
    </row>
    <row r="16765" customFormat="false" ht="12.8" hidden="false" customHeight="false" outlineLevel="0" collapsed="false">
      <c r="A16765" s="0" t="s">
        <v>12</v>
      </c>
      <c r="B16765" s="0" t="n">
        <v>5164828</v>
      </c>
      <c r="C16765" s="0" t="n">
        <v>5164848</v>
      </c>
      <c r="D16765" s="0" t="s">
        <v>55717</v>
      </c>
      <c r="E16765" s="0" t="s">
        <v>55718</v>
      </c>
      <c r="F16765" s="0" t="s">
        <v>15</v>
      </c>
      <c r="G16765" s="0" t="s">
        <v>32</v>
      </c>
      <c r="H16765" s="0" t="n">
        <v>92</v>
      </c>
      <c r="I16765" s="0" t="s">
        <v>55728</v>
      </c>
      <c r="J16765" s="0" t="s">
        <v>55729</v>
      </c>
      <c r="K16765" s="0" t="s">
        <v>55730</v>
      </c>
      <c r="L16765" s="0" t="str">
        <f aca="false">HYPERLINK("https://www.ncbi.nlm.nih.gov/nuccore/CP000058.1?report=graph&amp;tracks=[key:gene_model_track,Options:GeneOnly]&amp;mk=5164743:5164762|offset_6|444444,5164765:5164784|offset_28|444444,5164804:5164823|offset_67|444444,5164829:5164848|offset_92|00cc00&amp;v=5164542:5165048&amp;c=444444", "offset 92")</f>
        <v>offset 92</v>
      </c>
    </row>
    <row r="16766" customFormat="false" ht="12.8" hidden="false" customHeight="false" outlineLevel="0" collapsed="false">
      <c r="A16766" s="0" t="s">
        <v>12</v>
      </c>
      <c r="B16766" s="0" t="n">
        <v>5166058</v>
      </c>
      <c r="C16766" s="0" t="n">
        <v>5166078</v>
      </c>
      <c r="D16766" s="0" t="s">
        <v>55731</v>
      </c>
      <c r="E16766" s="0" t="s">
        <v>55732</v>
      </c>
      <c r="F16766" s="0" t="s">
        <v>15</v>
      </c>
      <c r="G16766" s="0" t="s">
        <v>20</v>
      </c>
      <c r="H16766" s="0" t="n">
        <v>9</v>
      </c>
      <c r="I16766" s="0" t="s">
        <v>55733</v>
      </c>
      <c r="J16766" s="0" t="s">
        <v>55734</v>
      </c>
      <c r="K16766" s="0" t="s">
        <v>55735</v>
      </c>
      <c r="L16766" s="0" t="str">
        <f aca="false">HYPERLINK("https://www.ncbi.nlm.nih.gov/nuccore/CP000058.1?report=graph&amp;tracks=[key:gene_model_track,Options:GeneOnly]&amp;mk=5166059:5166078|offset_9|00cc00,5166085:5166104|offset_35|444444,5166107:5166126|offset_57|444444,5166143:5166162|offset_93|444444&amp;v=5165858:5166362&amp;c=444444", "offset 9")</f>
        <v>offset 9</v>
      </c>
    </row>
    <row r="16767" customFormat="false" ht="12.8" hidden="false" customHeight="false" outlineLevel="0" collapsed="false">
      <c r="A16767" s="0" t="s">
        <v>12</v>
      </c>
      <c r="B16767" s="0" t="n">
        <v>5166084</v>
      </c>
      <c r="C16767" s="0" t="n">
        <v>5166104</v>
      </c>
      <c r="D16767" s="0" t="s">
        <v>55731</v>
      </c>
      <c r="E16767" s="0" t="s">
        <v>55732</v>
      </c>
      <c r="F16767" s="0" t="s">
        <v>15</v>
      </c>
      <c r="G16767" s="0" t="s">
        <v>20</v>
      </c>
      <c r="H16767" s="0" t="n">
        <v>35</v>
      </c>
      <c r="I16767" s="0" t="s">
        <v>55736</v>
      </c>
      <c r="J16767" s="0" t="s">
        <v>55737</v>
      </c>
      <c r="K16767" s="0" t="s">
        <v>55738</v>
      </c>
      <c r="L16767" s="0" t="str">
        <f aca="false">HYPERLINK("https://www.ncbi.nlm.nih.gov/nuccore/CP000058.1?report=graph&amp;tracks=[key:gene_model_track,Options:GeneOnly]&amp;mk=5166059:5166078|offset_9|444444,5166085:5166104|offset_35|00cc00,5166107:5166126|offset_57|444444,5166143:5166162|offset_93|444444&amp;v=5165858:5166362&amp;c=444444", "offset 35")</f>
        <v>offset 35</v>
      </c>
    </row>
    <row r="16768" customFormat="false" ht="12.8" hidden="false" customHeight="false" outlineLevel="0" collapsed="false">
      <c r="A16768" s="0" t="s">
        <v>12</v>
      </c>
      <c r="B16768" s="0" t="n">
        <v>5166106</v>
      </c>
      <c r="C16768" s="0" t="n">
        <v>5166126</v>
      </c>
      <c r="D16768" s="0" t="s">
        <v>55731</v>
      </c>
      <c r="E16768" s="0" t="s">
        <v>55732</v>
      </c>
      <c r="F16768" s="0" t="s">
        <v>15</v>
      </c>
      <c r="G16768" s="0" t="s">
        <v>36</v>
      </c>
      <c r="H16768" s="0" t="n">
        <v>57</v>
      </c>
      <c r="I16768" s="0" t="s">
        <v>55739</v>
      </c>
      <c r="J16768" s="0" t="s">
        <v>55740</v>
      </c>
      <c r="K16768" s="0" t="s">
        <v>55741</v>
      </c>
      <c r="L16768" s="0" t="str">
        <f aca="false">HYPERLINK("https://www.ncbi.nlm.nih.gov/nuccore/CP000058.1?report=graph&amp;tracks=[key:gene_model_track,Options:GeneOnly]&amp;mk=5166059:5166078|offset_9|444444,5166085:5166104|offset_35|444444,5166107:5166126|offset_57|00cc00,5166143:5166162|offset_93|444444&amp;v=5165858:5166362&amp;c=444444", "offset 57")</f>
        <v>offset 57</v>
      </c>
    </row>
    <row r="16769" customFormat="false" ht="12.8" hidden="false" customHeight="false" outlineLevel="0" collapsed="false">
      <c r="A16769" s="0" t="s">
        <v>12</v>
      </c>
      <c r="B16769" s="0" t="n">
        <v>5166142</v>
      </c>
      <c r="C16769" s="0" t="n">
        <v>5166162</v>
      </c>
      <c r="D16769" s="0" t="s">
        <v>55731</v>
      </c>
      <c r="E16769" s="0" t="s">
        <v>55732</v>
      </c>
      <c r="F16769" s="0" t="s">
        <v>15</v>
      </c>
      <c r="G16769" s="0" t="s">
        <v>20</v>
      </c>
      <c r="H16769" s="0" t="n">
        <v>93</v>
      </c>
      <c r="I16769" s="0" t="s">
        <v>55742</v>
      </c>
      <c r="J16769" s="0" t="s">
        <v>55743</v>
      </c>
      <c r="K16769" s="0" t="s">
        <v>55744</v>
      </c>
      <c r="L16769" s="0" t="str">
        <f aca="false">HYPERLINK("https://www.ncbi.nlm.nih.gov/nuccore/CP000058.1?report=graph&amp;tracks=[key:gene_model_track,Options:GeneOnly]&amp;mk=5166059:5166078|offset_9|444444,5166085:5166104|offset_35|444444,5166107:5166126|offset_57|444444,5166143:5166162|offset_93|00cc00&amp;v=5165858:5166362&amp;c=444444", "offset 93")</f>
        <v>offset 93</v>
      </c>
    </row>
    <row r="16770" customFormat="false" ht="12.8" hidden="false" customHeight="false" outlineLevel="0" collapsed="false">
      <c r="A16770" s="0" t="s">
        <v>12</v>
      </c>
      <c r="B16770" s="0" t="n">
        <v>5166956</v>
      </c>
      <c r="C16770" s="0" t="n">
        <v>5166976</v>
      </c>
      <c r="D16770" s="0" t="s">
        <v>55745</v>
      </c>
      <c r="E16770" s="0" t="s">
        <v>55746</v>
      </c>
      <c r="F16770" s="0" t="s">
        <v>15</v>
      </c>
      <c r="G16770" s="0" t="s">
        <v>16</v>
      </c>
      <c r="H16770" s="0" t="n">
        <v>17</v>
      </c>
      <c r="I16770" s="0" t="s">
        <v>55747</v>
      </c>
      <c r="J16770" s="0" t="s">
        <v>55748</v>
      </c>
      <c r="K16770" s="0" t="s">
        <v>55749</v>
      </c>
      <c r="L16770" s="0" t="str">
        <f aca="false">HYPERLINK("https://www.ncbi.nlm.nih.gov/nuccore/CP000058.1?report=graph&amp;tracks=[key:gene_model_track,Options:GeneOnly]&amp;mk=5166957:5166976|offset_17|00cc00,5167018:5167037|offset_78|444444,5167056:5167075|offset_116|444444,5167077:5167096|offset_137|444444&amp;v=5166756:5167296&amp;c=444444", "offset 17")</f>
        <v>offset 17</v>
      </c>
    </row>
    <row r="16771" customFormat="false" ht="12.8" hidden="false" customHeight="false" outlineLevel="0" collapsed="false">
      <c r="A16771" s="0" t="s">
        <v>12</v>
      </c>
      <c r="B16771" s="0" t="n">
        <v>5167017</v>
      </c>
      <c r="C16771" s="0" t="n">
        <v>5167037</v>
      </c>
      <c r="D16771" s="0" t="s">
        <v>55745</v>
      </c>
      <c r="E16771" s="0" t="s">
        <v>55746</v>
      </c>
      <c r="F16771" s="0" t="s">
        <v>15</v>
      </c>
      <c r="G16771" s="0" t="s">
        <v>16</v>
      </c>
      <c r="H16771" s="0" t="n">
        <v>78</v>
      </c>
      <c r="I16771" s="0" t="s">
        <v>55750</v>
      </c>
      <c r="J16771" s="0" t="s">
        <v>55751</v>
      </c>
      <c r="K16771" s="0" t="s">
        <v>55752</v>
      </c>
      <c r="L16771" s="0" t="str">
        <f aca="false">HYPERLINK("https://www.ncbi.nlm.nih.gov/nuccore/CP000058.1?report=graph&amp;tracks=[key:gene_model_track,Options:GeneOnly]&amp;mk=5166957:5166976|offset_17|444444,5167018:5167037|offset_78|00cc00,5167056:5167075|offset_116|444444,5167077:5167096|offset_137|444444&amp;v=5166756:5167296&amp;c=444444", "offset 78")</f>
        <v>offset 78</v>
      </c>
    </row>
    <row r="16772" customFormat="false" ht="12.8" hidden="false" customHeight="false" outlineLevel="0" collapsed="false">
      <c r="A16772" s="0" t="s">
        <v>12</v>
      </c>
      <c r="B16772" s="0" t="n">
        <v>5167055</v>
      </c>
      <c r="C16772" s="0" t="n">
        <v>5167075</v>
      </c>
      <c r="D16772" s="0" t="s">
        <v>55745</v>
      </c>
      <c r="E16772" s="0" t="s">
        <v>55746</v>
      </c>
      <c r="F16772" s="0" t="s">
        <v>15</v>
      </c>
      <c r="G16772" s="0" t="s">
        <v>36</v>
      </c>
      <c r="H16772" s="0" t="n">
        <v>116</v>
      </c>
      <c r="I16772" s="0" t="s">
        <v>55753</v>
      </c>
      <c r="J16772" s="0" t="s">
        <v>55754</v>
      </c>
      <c r="K16772" s="0" t="s">
        <v>55755</v>
      </c>
      <c r="L16772" s="0" t="str">
        <f aca="false">HYPERLINK("https://www.ncbi.nlm.nih.gov/nuccore/CP000058.1?report=graph&amp;tracks=[key:gene_model_track,Options:GeneOnly]&amp;mk=5166957:5166976|offset_17|444444,5167018:5167037|offset_78|444444,5167056:5167075|offset_116|00cc00,5167077:5167096|offset_137|444444&amp;v=5166756:5167296&amp;c=444444", "offset 116")</f>
        <v>offset 116</v>
      </c>
    </row>
    <row r="16773" customFormat="false" ht="12.8" hidden="false" customHeight="false" outlineLevel="0" collapsed="false">
      <c r="A16773" s="0" t="s">
        <v>12</v>
      </c>
      <c r="B16773" s="0" t="n">
        <v>5167076</v>
      </c>
      <c r="C16773" s="0" t="n">
        <v>5167096</v>
      </c>
      <c r="D16773" s="0" t="s">
        <v>55745</v>
      </c>
      <c r="E16773" s="0" t="s">
        <v>55746</v>
      </c>
      <c r="F16773" s="0" t="s">
        <v>15</v>
      </c>
      <c r="G16773" s="0" t="s">
        <v>20</v>
      </c>
      <c r="H16773" s="0" t="n">
        <v>137</v>
      </c>
      <c r="I16773" s="0" t="s">
        <v>55756</v>
      </c>
      <c r="J16773" s="0" t="s">
        <v>55757</v>
      </c>
      <c r="K16773" s="0" t="s">
        <v>55758</v>
      </c>
      <c r="L16773" s="0" t="str">
        <f aca="false">HYPERLINK("https://www.ncbi.nlm.nih.gov/nuccore/CP000058.1?report=graph&amp;tracks=[key:gene_model_track,Options:GeneOnly]&amp;mk=5166957:5166976|offset_17|444444,5167018:5167037|offset_78|444444,5167056:5167075|offset_116|444444,5167077:5167096|offset_137|00cc00&amp;v=5166756:5167296&amp;c=444444", "offset 137")</f>
        <v>offset 137</v>
      </c>
    </row>
    <row r="16774" customFormat="false" ht="12.8" hidden="false" customHeight="false" outlineLevel="0" collapsed="false">
      <c r="A16774" s="0" t="s">
        <v>12</v>
      </c>
      <c r="B16774" s="0" t="n">
        <v>5167845</v>
      </c>
      <c r="C16774" s="0" t="n">
        <v>5167865</v>
      </c>
      <c r="D16774" s="0" t="s">
        <v>55759</v>
      </c>
      <c r="E16774" s="0" t="s">
        <v>55760</v>
      </c>
      <c r="F16774" s="0" t="s">
        <v>15</v>
      </c>
      <c r="G16774" s="0" t="s">
        <v>36</v>
      </c>
      <c r="H16774" s="0" t="n">
        <v>16</v>
      </c>
      <c r="I16774" s="0" t="s">
        <v>55761</v>
      </c>
      <c r="J16774" s="0" t="s">
        <v>55762</v>
      </c>
      <c r="K16774" s="0" t="s">
        <v>55763</v>
      </c>
      <c r="L16774" s="0" t="str">
        <f aca="false">HYPERLINK("https://www.ncbi.nlm.nih.gov/nuccore/CP000058.1?report=graph&amp;tracks=[key:gene_model_track,Options:GeneOnly]&amp;mk=5167846:5167865|offset_16|00cc00,5167874:5167893|offset_44|444444,5167894:5167913|offset_64|444444,5167961:5167980|offset_131|444444&amp;v=5167645:5168180&amp;c=444444", "offset 16")</f>
        <v>offset 16</v>
      </c>
    </row>
    <row r="16775" customFormat="false" ht="12.8" hidden="false" customHeight="false" outlineLevel="0" collapsed="false">
      <c r="A16775" s="0" t="s">
        <v>12</v>
      </c>
      <c r="B16775" s="0" t="n">
        <v>5167873</v>
      </c>
      <c r="C16775" s="0" t="n">
        <v>5167893</v>
      </c>
      <c r="D16775" s="0" t="s">
        <v>55759</v>
      </c>
      <c r="E16775" s="0" t="s">
        <v>55760</v>
      </c>
      <c r="F16775" s="0" t="s">
        <v>15</v>
      </c>
      <c r="G16775" s="0" t="s">
        <v>20</v>
      </c>
      <c r="H16775" s="0" t="n">
        <v>44</v>
      </c>
      <c r="I16775" s="0" t="s">
        <v>55764</v>
      </c>
      <c r="J16775" s="0" t="s">
        <v>55765</v>
      </c>
      <c r="K16775" s="0" t="s">
        <v>55766</v>
      </c>
      <c r="L16775" s="0" t="str">
        <f aca="false">HYPERLINK("https://www.ncbi.nlm.nih.gov/nuccore/CP000058.1?report=graph&amp;tracks=[key:gene_model_track,Options:GeneOnly]&amp;mk=5167846:5167865|offset_16|444444,5167874:5167893|offset_44|00cc00,5167894:5167913|offset_64|444444,5167961:5167980|offset_131|444444&amp;v=5167645:5168180&amp;c=444444", "offset 44")</f>
        <v>offset 44</v>
      </c>
    </row>
    <row r="16776" customFormat="false" ht="12.8" hidden="false" customHeight="false" outlineLevel="0" collapsed="false">
      <c r="A16776" s="0" t="s">
        <v>12</v>
      </c>
      <c r="B16776" s="0" t="n">
        <v>5167893</v>
      </c>
      <c r="C16776" s="0" t="n">
        <v>5167913</v>
      </c>
      <c r="D16776" s="0" t="s">
        <v>55759</v>
      </c>
      <c r="E16776" s="0" t="s">
        <v>55760</v>
      </c>
      <c r="F16776" s="0" t="s">
        <v>15</v>
      </c>
      <c r="G16776" s="0" t="s">
        <v>20</v>
      </c>
      <c r="H16776" s="0" t="n">
        <v>64</v>
      </c>
      <c r="I16776" s="0" t="s">
        <v>55767</v>
      </c>
      <c r="J16776" s="0" t="s">
        <v>55768</v>
      </c>
      <c r="K16776" s="0" t="s">
        <v>55769</v>
      </c>
      <c r="L16776" s="0" t="str">
        <f aca="false">HYPERLINK("https://www.ncbi.nlm.nih.gov/nuccore/CP000058.1?report=graph&amp;tracks=[key:gene_model_track,Options:GeneOnly]&amp;mk=5167846:5167865|offset_16|444444,5167874:5167893|offset_44|444444,5167894:5167913|offset_64|00cc00,5167961:5167980|offset_131|444444&amp;v=5167645:5168180&amp;c=444444", "offset 64")</f>
        <v>offset 64</v>
      </c>
    </row>
    <row r="16777" customFormat="false" ht="12.8" hidden="false" customHeight="false" outlineLevel="0" collapsed="false">
      <c r="A16777" s="0" t="s">
        <v>12</v>
      </c>
      <c r="B16777" s="0" t="n">
        <v>5167960</v>
      </c>
      <c r="C16777" s="0" t="n">
        <v>5167980</v>
      </c>
      <c r="D16777" s="0" t="s">
        <v>55759</v>
      </c>
      <c r="E16777" s="0" t="s">
        <v>55760</v>
      </c>
      <c r="F16777" s="0" t="s">
        <v>15</v>
      </c>
      <c r="G16777" s="0" t="s">
        <v>20</v>
      </c>
      <c r="H16777" s="0" t="n">
        <v>131</v>
      </c>
      <c r="I16777" s="0" t="s">
        <v>55770</v>
      </c>
      <c r="J16777" s="0" t="s">
        <v>55771</v>
      </c>
      <c r="K16777" s="0" t="s">
        <v>55772</v>
      </c>
      <c r="L16777" s="0" t="str">
        <f aca="false">HYPERLINK("https://www.ncbi.nlm.nih.gov/nuccore/CP000058.1?report=graph&amp;tracks=[key:gene_model_track,Options:GeneOnly]&amp;mk=5167846:5167865|offset_16|444444,5167874:5167893|offset_44|444444,5167894:5167913|offset_64|444444,5167961:5167980|offset_131|00cc00&amp;v=5167645:5168180&amp;c=444444", "offset 131")</f>
        <v>offset 131</v>
      </c>
    </row>
    <row r="16778" customFormat="false" ht="12.8" hidden="false" customHeight="false" outlineLevel="0" collapsed="false">
      <c r="A16778" s="0" t="s">
        <v>12</v>
      </c>
      <c r="B16778" s="0" t="n">
        <v>5168943</v>
      </c>
      <c r="C16778" s="0" t="n">
        <v>5168963</v>
      </c>
      <c r="D16778" s="0" t="s">
        <v>55773</v>
      </c>
      <c r="E16778" s="0" t="s">
        <v>75</v>
      </c>
      <c r="F16778" s="0" t="s">
        <v>15</v>
      </c>
      <c r="G16778" s="0" t="s">
        <v>32</v>
      </c>
      <c r="H16778" s="0" t="n">
        <v>1</v>
      </c>
      <c r="I16778" s="0" t="s">
        <v>55774</v>
      </c>
      <c r="J16778" s="0" t="s">
        <v>55775</v>
      </c>
      <c r="K16778" s="0" t="s">
        <v>55776</v>
      </c>
      <c r="L16778" s="0" t="str">
        <f aca="false">HYPERLINK("https://www.ncbi.nlm.nih.gov/nuccore/CP000058.1?report=graph&amp;tracks=[key:gene_model_track,Options:GeneOnly]&amp;mk=5168944:5168963|offset_1|00cc00,5168969:5168988|offset_26|444444,5168998:5169017|offset_55|444444,5169023:5169042|offset_80|444444&amp;v=5168743:5169242&amp;c=444444", "offset 1")</f>
        <v>offset 1</v>
      </c>
    </row>
    <row r="16779" customFormat="false" ht="12.8" hidden="false" customHeight="false" outlineLevel="0" collapsed="false">
      <c r="A16779" s="0" t="s">
        <v>12</v>
      </c>
      <c r="B16779" s="0" t="n">
        <v>5168968</v>
      </c>
      <c r="C16779" s="0" t="n">
        <v>5168988</v>
      </c>
      <c r="D16779" s="0" t="s">
        <v>55773</v>
      </c>
      <c r="E16779" s="0" t="s">
        <v>75</v>
      </c>
      <c r="F16779" s="0" t="s">
        <v>15</v>
      </c>
      <c r="G16779" s="0" t="s">
        <v>16</v>
      </c>
      <c r="H16779" s="0" t="n">
        <v>26</v>
      </c>
      <c r="I16779" s="0" t="s">
        <v>55777</v>
      </c>
      <c r="J16779" s="0" t="s">
        <v>55778</v>
      </c>
      <c r="K16779" s="0" t="s">
        <v>55779</v>
      </c>
      <c r="L16779" s="0" t="str">
        <f aca="false">HYPERLINK("https://www.ncbi.nlm.nih.gov/nuccore/CP000058.1?report=graph&amp;tracks=[key:gene_model_track,Options:GeneOnly]&amp;mk=5168944:5168963|offset_1|444444,5168969:5168988|offset_26|00cc00,5168998:5169017|offset_55|444444,5169023:5169042|offset_80|444444&amp;v=5168743:5169242&amp;c=444444", "offset 26")</f>
        <v>offset 26</v>
      </c>
    </row>
    <row r="16780" customFormat="false" ht="12.8" hidden="false" customHeight="false" outlineLevel="0" collapsed="false">
      <c r="A16780" s="0" t="s">
        <v>12</v>
      </c>
      <c r="B16780" s="0" t="n">
        <v>5168997</v>
      </c>
      <c r="C16780" s="0" t="n">
        <v>5169017</v>
      </c>
      <c r="D16780" s="0" t="s">
        <v>55773</v>
      </c>
      <c r="E16780" s="0" t="s">
        <v>75</v>
      </c>
      <c r="F16780" s="0" t="s">
        <v>15</v>
      </c>
      <c r="G16780" s="0" t="s">
        <v>32</v>
      </c>
      <c r="H16780" s="0" t="n">
        <v>55</v>
      </c>
      <c r="I16780" s="0" t="s">
        <v>55780</v>
      </c>
      <c r="J16780" s="0" t="s">
        <v>55781</v>
      </c>
      <c r="K16780" s="0" t="s">
        <v>55782</v>
      </c>
      <c r="L16780" s="0" t="str">
        <f aca="false">HYPERLINK("https://www.ncbi.nlm.nih.gov/nuccore/CP000058.1?report=graph&amp;tracks=[key:gene_model_track,Options:GeneOnly]&amp;mk=5168944:5168963|offset_1|444444,5168969:5168988|offset_26|444444,5168998:5169017|offset_55|00cc00,5169023:5169042|offset_80|444444&amp;v=5168743:5169242&amp;c=444444", "offset 55")</f>
        <v>offset 55</v>
      </c>
    </row>
    <row r="16781" customFormat="false" ht="12.8" hidden="false" customHeight="false" outlineLevel="0" collapsed="false">
      <c r="A16781" s="0" t="s">
        <v>12</v>
      </c>
      <c r="B16781" s="0" t="n">
        <v>5169022</v>
      </c>
      <c r="C16781" s="0" t="n">
        <v>5169042</v>
      </c>
      <c r="D16781" s="0" t="s">
        <v>55773</v>
      </c>
      <c r="E16781" s="0" t="s">
        <v>75</v>
      </c>
      <c r="F16781" s="0" t="s">
        <v>15</v>
      </c>
      <c r="G16781" s="0" t="s">
        <v>20</v>
      </c>
      <c r="H16781" s="0" t="n">
        <v>80</v>
      </c>
      <c r="I16781" s="0" t="s">
        <v>55783</v>
      </c>
      <c r="J16781" s="0" t="s">
        <v>55784</v>
      </c>
      <c r="K16781" s="0" t="s">
        <v>55785</v>
      </c>
      <c r="L16781" s="0" t="str">
        <f aca="false">HYPERLINK("https://www.ncbi.nlm.nih.gov/nuccore/CP000058.1?report=graph&amp;tracks=[key:gene_model_track,Options:GeneOnly]&amp;mk=5168944:5168963|offset_1|444444,5168969:5168988|offset_26|444444,5168998:5169017|offset_55|444444,5169023:5169042|offset_80|00cc00&amp;v=5168743:5169242&amp;c=444444", "offset 80")</f>
        <v>offset 80</v>
      </c>
    </row>
    <row r="16782" customFormat="false" ht="12.8" hidden="false" customHeight="false" outlineLevel="0" collapsed="false">
      <c r="A16782" s="0" t="s">
        <v>12</v>
      </c>
      <c r="B16782" s="0" t="n">
        <v>5169711</v>
      </c>
      <c r="C16782" s="0" t="n">
        <v>5169731</v>
      </c>
      <c r="D16782" s="0" t="s">
        <v>55786</v>
      </c>
      <c r="E16782" s="0" t="s">
        <v>75</v>
      </c>
      <c r="F16782" s="0" t="s">
        <v>15</v>
      </c>
      <c r="G16782" s="0" t="s">
        <v>16</v>
      </c>
      <c r="H16782" s="0" t="n">
        <v>11</v>
      </c>
      <c r="I16782" s="0" t="s">
        <v>55787</v>
      </c>
      <c r="J16782" s="0" t="s">
        <v>55788</v>
      </c>
      <c r="K16782" s="0" t="s">
        <v>55789</v>
      </c>
      <c r="L16782" s="0" t="str">
        <f aca="false">HYPERLINK("https://www.ncbi.nlm.nih.gov/nuccore/CP000058.1?report=graph&amp;tracks=[key:gene_model_track,Options:GeneOnly]&amp;mk=5169712:5169731|offset_11|00cc00,5169735:5169754|offset_34|444444,5169759:5169778|offset_58|444444,5169781:5169800|offset_80|444444&amp;v=5169511:5170000&amp;c=444444", "offset 11")</f>
        <v>offset 11</v>
      </c>
    </row>
    <row r="16783" customFormat="false" ht="12.8" hidden="false" customHeight="false" outlineLevel="0" collapsed="false">
      <c r="A16783" s="0" t="s">
        <v>12</v>
      </c>
      <c r="B16783" s="0" t="n">
        <v>5169734</v>
      </c>
      <c r="C16783" s="0" t="n">
        <v>5169754</v>
      </c>
      <c r="D16783" s="0" t="s">
        <v>55786</v>
      </c>
      <c r="E16783" s="0" t="s">
        <v>75</v>
      </c>
      <c r="F16783" s="0" t="s">
        <v>15</v>
      </c>
      <c r="G16783" s="0" t="s">
        <v>16</v>
      </c>
      <c r="H16783" s="0" t="n">
        <v>34</v>
      </c>
      <c r="I16783" s="0" t="s">
        <v>55790</v>
      </c>
      <c r="J16783" s="0" t="s">
        <v>55791</v>
      </c>
      <c r="K16783" s="0" t="s">
        <v>55792</v>
      </c>
      <c r="L16783" s="0" t="str">
        <f aca="false">HYPERLINK("https://www.ncbi.nlm.nih.gov/nuccore/CP000058.1?report=graph&amp;tracks=[key:gene_model_track,Options:GeneOnly]&amp;mk=5169712:5169731|offset_11|444444,5169735:5169754|offset_34|00cc00,5169759:5169778|offset_58|444444,5169781:5169800|offset_80|444444&amp;v=5169511:5170000&amp;c=444444", "offset 34")</f>
        <v>offset 34</v>
      </c>
    </row>
    <row r="16784" customFormat="false" ht="12.8" hidden="false" customHeight="false" outlineLevel="0" collapsed="false">
      <c r="A16784" s="0" t="s">
        <v>12</v>
      </c>
      <c r="B16784" s="0" t="n">
        <v>5169758</v>
      </c>
      <c r="C16784" s="0" t="n">
        <v>5169778</v>
      </c>
      <c r="D16784" s="0" t="s">
        <v>55786</v>
      </c>
      <c r="E16784" s="0" t="s">
        <v>75</v>
      </c>
      <c r="F16784" s="0" t="s">
        <v>15</v>
      </c>
      <c r="G16784" s="0" t="s">
        <v>32</v>
      </c>
      <c r="H16784" s="0" t="n">
        <v>58</v>
      </c>
      <c r="I16784" s="0" t="s">
        <v>55793</v>
      </c>
      <c r="J16784" s="0" t="s">
        <v>55794</v>
      </c>
      <c r="K16784" s="0" t="s">
        <v>55795</v>
      </c>
      <c r="L16784" s="0" t="str">
        <f aca="false">HYPERLINK("https://www.ncbi.nlm.nih.gov/nuccore/CP000058.1?report=graph&amp;tracks=[key:gene_model_track,Options:GeneOnly]&amp;mk=5169712:5169731|offset_11|444444,5169735:5169754|offset_34|444444,5169759:5169778|offset_58|00cc00,5169781:5169800|offset_80|444444&amp;v=5169511:5170000&amp;c=444444", "offset 58")</f>
        <v>offset 58</v>
      </c>
    </row>
    <row r="16785" customFormat="false" ht="12.8" hidden="false" customHeight="false" outlineLevel="0" collapsed="false">
      <c r="A16785" s="0" t="s">
        <v>12</v>
      </c>
      <c r="B16785" s="0" t="n">
        <v>5169780</v>
      </c>
      <c r="C16785" s="0" t="n">
        <v>5169800</v>
      </c>
      <c r="D16785" s="0" t="s">
        <v>55786</v>
      </c>
      <c r="E16785" s="0" t="s">
        <v>75</v>
      </c>
      <c r="F16785" s="0" t="s">
        <v>15</v>
      </c>
      <c r="G16785" s="0" t="s">
        <v>32</v>
      </c>
      <c r="H16785" s="0" t="n">
        <v>80</v>
      </c>
      <c r="I16785" s="0" t="s">
        <v>55796</v>
      </c>
      <c r="J16785" s="0" t="s">
        <v>55797</v>
      </c>
      <c r="K16785" s="0" t="s">
        <v>55798</v>
      </c>
      <c r="L16785" s="0" t="str">
        <f aca="false">HYPERLINK("https://www.ncbi.nlm.nih.gov/nuccore/CP000058.1?report=graph&amp;tracks=[key:gene_model_track,Options:GeneOnly]&amp;mk=5169712:5169731|offset_11|444444,5169735:5169754|offset_34|444444,5169759:5169778|offset_58|444444,5169781:5169800|offset_80|00cc00&amp;v=5169511:5170000&amp;c=444444", "offset 80")</f>
        <v>offset 80</v>
      </c>
    </row>
    <row r="16786" customFormat="false" ht="12.8" hidden="false" customHeight="false" outlineLevel="0" collapsed="false">
      <c r="A16786" s="0" t="s">
        <v>12</v>
      </c>
      <c r="B16786" s="0" t="n">
        <v>5170451</v>
      </c>
      <c r="C16786" s="0" t="n">
        <v>5170471</v>
      </c>
      <c r="D16786" s="0" t="s">
        <v>55799</v>
      </c>
      <c r="E16786" s="0" t="s">
        <v>75</v>
      </c>
      <c r="F16786" s="0" t="s">
        <v>15</v>
      </c>
      <c r="G16786" s="0" t="s">
        <v>16</v>
      </c>
      <c r="H16786" s="0" t="n">
        <v>8</v>
      </c>
      <c r="I16786" s="0" t="s">
        <v>55800</v>
      </c>
      <c r="J16786" s="0" t="s">
        <v>55801</v>
      </c>
      <c r="K16786" s="0" t="s">
        <v>55802</v>
      </c>
      <c r="L16786" s="0" t="str">
        <f aca="false">HYPERLINK("https://www.ncbi.nlm.nih.gov/nuccore/CP000058.1?report=graph&amp;tracks=[key:gene_model_track,Options:GeneOnly]&amp;mk=5170452:5170471|offset_8|00cc00,5170488:5170507|offset_44|444444,5170541:5170560|offset_97|444444,5170561:5170580|offset_117|444444&amp;v=5170251:5170780&amp;c=444444", "offset 8")</f>
        <v>offset 8</v>
      </c>
    </row>
    <row r="16787" customFormat="false" ht="12.8" hidden="false" customHeight="false" outlineLevel="0" collapsed="false">
      <c r="A16787" s="0" t="s">
        <v>12</v>
      </c>
      <c r="B16787" s="0" t="n">
        <v>5170487</v>
      </c>
      <c r="C16787" s="0" t="n">
        <v>5170507</v>
      </c>
      <c r="D16787" s="0" t="s">
        <v>55799</v>
      </c>
      <c r="E16787" s="0" t="s">
        <v>75</v>
      </c>
      <c r="F16787" s="0" t="s">
        <v>15</v>
      </c>
      <c r="G16787" s="0" t="s">
        <v>16</v>
      </c>
      <c r="H16787" s="0" t="n">
        <v>44</v>
      </c>
      <c r="I16787" s="0" t="s">
        <v>55803</v>
      </c>
      <c r="J16787" s="0" t="s">
        <v>55804</v>
      </c>
      <c r="K16787" s="0" t="s">
        <v>55805</v>
      </c>
      <c r="L16787" s="0" t="str">
        <f aca="false">HYPERLINK("https://www.ncbi.nlm.nih.gov/nuccore/CP000058.1?report=graph&amp;tracks=[key:gene_model_track,Options:GeneOnly]&amp;mk=5170452:5170471|offset_8|444444,5170488:5170507|offset_44|00cc00,5170541:5170560|offset_97|444444,5170561:5170580|offset_117|444444&amp;v=5170251:5170780&amp;c=444444", "offset 44")</f>
        <v>offset 44</v>
      </c>
    </row>
    <row r="16788" customFormat="false" ht="12.8" hidden="false" customHeight="false" outlineLevel="0" collapsed="false">
      <c r="A16788" s="0" t="s">
        <v>12</v>
      </c>
      <c r="B16788" s="0" t="n">
        <v>5170540</v>
      </c>
      <c r="C16788" s="0" t="n">
        <v>5170560</v>
      </c>
      <c r="D16788" s="0" t="s">
        <v>55799</v>
      </c>
      <c r="E16788" s="0" t="s">
        <v>75</v>
      </c>
      <c r="F16788" s="0" t="s">
        <v>15</v>
      </c>
      <c r="G16788" s="0" t="s">
        <v>20</v>
      </c>
      <c r="H16788" s="0" t="n">
        <v>97</v>
      </c>
      <c r="I16788" s="0" t="s">
        <v>55806</v>
      </c>
      <c r="J16788" s="0" t="s">
        <v>55807</v>
      </c>
      <c r="K16788" s="0" t="s">
        <v>55808</v>
      </c>
      <c r="L16788" s="0" t="str">
        <f aca="false">HYPERLINK("https://www.ncbi.nlm.nih.gov/nuccore/CP000058.1?report=graph&amp;tracks=[key:gene_model_track,Options:GeneOnly]&amp;mk=5170452:5170471|offset_8|444444,5170488:5170507|offset_44|444444,5170541:5170560|offset_97|00cc00,5170561:5170580|offset_117|444444&amp;v=5170251:5170780&amp;c=444444", "offset 97")</f>
        <v>offset 97</v>
      </c>
    </row>
    <row r="16789" customFormat="false" ht="12.8" hidden="false" customHeight="false" outlineLevel="0" collapsed="false">
      <c r="A16789" s="0" t="s">
        <v>12</v>
      </c>
      <c r="B16789" s="0" t="n">
        <v>5170560</v>
      </c>
      <c r="C16789" s="0" t="n">
        <v>5170580</v>
      </c>
      <c r="D16789" s="0" t="s">
        <v>55799</v>
      </c>
      <c r="E16789" s="0" t="s">
        <v>75</v>
      </c>
      <c r="F16789" s="0" t="s">
        <v>15</v>
      </c>
      <c r="G16789" s="0" t="s">
        <v>20</v>
      </c>
      <c r="H16789" s="0" t="n">
        <v>117</v>
      </c>
      <c r="I16789" s="0" t="s">
        <v>55809</v>
      </c>
      <c r="J16789" s="0" t="s">
        <v>55810</v>
      </c>
      <c r="K16789" s="0" t="s">
        <v>55811</v>
      </c>
      <c r="L16789" s="0" t="str">
        <f aca="false">HYPERLINK("https://www.ncbi.nlm.nih.gov/nuccore/CP000058.1?report=graph&amp;tracks=[key:gene_model_track,Options:GeneOnly]&amp;mk=5170452:5170471|offset_8|444444,5170488:5170507|offset_44|444444,5170541:5170560|offset_97|444444,5170561:5170580|offset_117|00cc00&amp;v=5170251:5170780&amp;c=444444", "offset 117")</f>
        <v>offset 117</v>
      </c>
    </row>
    <row r="16790" customFormat="false" ht="12.8" hidden="false" customHeight="false" outlineLevel="0" collapsed="false">
      <c r="A16790" s="0" t="s">
        <v>12</v>
      </c>
      <c r="B16790" s="0" t="n">
        <v>5172221</v>
      </c>
      <c r="C16790" s="0" t="n">
        <v>5172241</v>
      </c>
      <c r="D16790" s="0" t="s">
        <v>55812</v>
      </c>
      <c r="E16790" s="0" t="s">
        <v>75</v>
      </c>
      <c r="F16790" s="0" t="s">
        <v>90</v>
      </c>
      <c r="G16790" s="0" t="s">
        <v>36</v>
      </c>
      <c r="H16790" s="0" t="n">
        <v>7</v>
      </c>
      <c r="I16790" s="0" t="s">
        <v>55813</v>
      </c>
      <c r="J16790" s="0" t="s">
        <v>55814</v>
      </c>
      <c r="K16790" s="0" t="s">
        <v>55815</v>
      </c>
      <c r="L16790" s="0" t="str">
        <f aca="false">HYPERLINK("https://www.ncbi.nlm.nih.gov/nuccore/CP000058.1?report=graph&amp;tracks=[key:gene_model_track,Options:GeneOnly]&amp;mk=5172222:5172241|offset_7|00cc00,5172182:5172201|offset_47|444444,5172157:5172176|offset_72|444444,5172134:5172153|offset_95|444444&amp;v=5172021:5172353&amp;c=444444", "offset 7")</f>
        <v>offset 7</v>
      </c>
    </row>
    <row r="16791" customFormat="false" ht="12.8" hidden="false" customHeight="false" outlineLevel="0" collapsed="false">
      <c r="A16791" s="0" t="s">
        <v>12</v>
      </c>
      <c r="B16791" s="0" t="n">
        <v>5172181</v>
      </c>
      <c r="C16791" s="0" t="n">
        <v>5172201</v>
      </c>
      <c r="D16791" s="0" t="s">
        <v>55812</v>
      </c>
      <c r="E16791" s="0" t="s">
        <v>75</v>
      </c>
      <c r="F16791" s="0" t="s">
        <v>90</v>
      </c>
      <c r="G16791" s="0" t="s">
        <v>32</v>
      </c>
      <c r="H16791" s="0" t="n">
        <v>47</v>
      </c>
      <c r="I16791" s="0" t="s">
        <v>55816</v>
      </c>
      <c r="J16791" s="0" t="s">
        <v>55817</v>
      </c>
      <c r="K16791" s="0" t="s">
        <v>55818</v>
      </c>
      <c r="L16791" s="0" t="str">
        <f aca="false">HYPERLINK("https://www.ncbi.nlm.nih.gov/nuccore/CP000058.1?report=graph&amp;tracks=[key:gene_model_track,Options:GeneOnly]&amp;mk=5172222:5172241|offset_7|444444,5172182:5172201|offset_47|00cc00,5172157:5172176|offset_72|444444,5172134:5172153|offset_95|444444&amp;v=5172021:5172353&amp;c=444444", "offset 47")</f>
        <v>offset 47</v>
      </c>
    </row>
    <row r="16792" customFormat="false" ht="12.8" hidden="false" customHeight="false" outlineLevel="0" collapsed="false">
      <c r="A16792" s="0" t="s">
        <v>12</v>
      </c>
      <c r="B16792" s="0" t="n">
        <v>5172156</v>
      </c>
      <c r="C16792" s="0" t="n">
        <v>5172176</v>
      </c>
      <c r="D16792" s="0" t="s">
        <v>55812</v>
      </c>
      <c r="E16792" s="0" t="s">
        <v>75</v>
      </c>
      <c r="F16792" s="0" t="s">
        <v>90</v>
      </c>
      <c r="G16792" s="0" t="s">
        <v>20</v>
      </c>
      <c r="H16792" s="0" t="n">
        <v>72</v>
      </c>
      <c r="I16792" s="0" t="s">
        <v>55819</v>
      </c>
      <c r="J16792" s="0" t="s">
        <v>55820</v>
      </c>
      <c r="K16792" s="0" t="s">
        <v>55821</v>
      </c>
      <c r="L16792" s="0" t="str">
        <f aca="false">HYPERLINK("https://www.ncbi.nlm.nih.gov/nuccore/CP000058.1?report=graph&amp;tracks=[key:gene_model_track,Options:GeneOnly]&amp;mk=5172222:5172241|offset_7|444444,5172182:5172201|offset_47|444444,5172157:5172176|offset_72|00cc00,5172134:5172153|offset_95|444444&amp;v=5172021:5172353&amp;c=444444", "offset 72")</f>
        <v>offset 72</v>
      </c>
    </row>
    <row r="16793" customFormat="false" ht="12.8" hidden="false" customHeight="false" outlineLevel="0" collapsed="false">
      <c r="A16793" s="0" t="s">
        <v>12</v>
      </c>
      <c r="B16793" s="0" t="n">
        <v>5172133</v>
      </c>
      <c r="C16793" s="0" t="n">
        <v>5172153</v>
      </c>
      <c r="D16793" s="0" t="s">
        <v>55812</v>
      </c>
      <c r="E16793" s="0" t="s">
        <v>75</v>
      </c>
      <c r="F16793" s="0" t="s">
        <v>90</v>
      </c>
      <c r="G16793" s="0" t="s">
        <v>20</v>
      </c>
      <c r="H16793" s="0" t="n">
        <v>95</v>
      </c>
      <c r="I16793" s="0" t="s">
        <v>55822</v>
      </c>
      <c r="J16793" s="0" t="s">
        <v>55823</v>
      </c>
      <c r="K16793" s="0" t="s">
        <v>55824</v>
      </c>
      <c r="L16793" s="0" t="str">
        <f aca="false">HYPERLINK("https://www.ncbi.nlm.nih.gov/nuccore/CP000058.1?report=graph&amp;tracks=[key:gene_model_track,Options:GeneOnly]&amp;mk=5172222:5172241|offset_7|444444,5172182:5172201|offset_47|444444,5172157:5172176|offset_72|444444,5172134:5172153|offset_95|00cc00&amp;v=5172021:5172353&amp;c=444444", "offset 95")</f>
        <v>offset 95</v>
      </c>
    </row>
    <row r="16794" customFormat="false" ht="12.8" hidden="false" customHeight="false" outlineLevel="0" collapsed="false">
      <c r="A16794" s="0" t="s">
        <v>12</v>
      </c>
      <c r="B16794" s="0" t="n">
        <v>5172548</v>
      </c>
      <c r="C16794" s="0" t="n">
        <v>5172568</v>
      </c>
      <c r="D16794" s="0" t="s">
        <v>55825</v>
      </c>
      <c r="E16794" s="0" t="s">
        <v>75</v>
      </c>
      <c r="F16794" s="0" t="s">
        <v>15</v>
      </c>
      <c r="G16794" s="0" t="s">
        <v>36</v>
      </c>
      <c r="H16794" s="0" t="n">
        <v>25</v>
      </c>
      <c r="I16794" s="0" t="s">
        <v>55826</v>
      </c>
      <c r="J16794" s="0" t="s">
        <v>55827</v>
      </c>
      <c r="K16794" s="0" t="s">
        <v>55828</v>
      </c>
      <c r="L16794" s="0" t="str">
        <f aca="false">HYPERLINK("https://www.ncbi.nlm.nih.gov/nuccore/CP000058.1?report=graph&amp;tracks=[key:gene_model_track,Options:GeneOnly]&amp;mk=5172549:5172568|offset_25|00cc00,5172585:5172604|offset_61|444444,5172609:5172628|offset_85|444444,5172634:5172653|offset_110|444444&amp;v=5172348:5172853&amp;c=444444", "offset 25")</f>
        <v>offset 25</v>
      </c>
    </row>
    <row r="16795" customFormat="false" ht="12.8" hidden="false" customHeight="false" outlineLevel="0" collapsed="false">
      <c r="A16795" s="0" t="s">
        <v>12</v>
      </c>
      <c r="B16795" s="0" t="n">
        <v>5172584</v>
      </c>
      <c r="C16795" s="0" t="n">
        <v>5172604</v>
      </c>
      <c r="D16795" s="0" t="s">
        <v>55825</v>
      </c>
      <c r="E16795" s="0" t="s">
        <v>75</v>
      </c>
      <c r="F16795" s="0" t="s">
        <v>15</v>
      </c>
      <c r="G16795" s="0" t="s">
        <v>16</v>
      </c>
      <c r="H16795" s="0" t="n">
        <v>61</v>
      </c>
      <c r="I16795" s="0" t="s">
        <v>55829</v>
      </c>
      <c r="J16795" s="0" t="s">
        <v>55830</v>
      </c>
      <c r="K16795" s="0" t="s">
        <v>55831</v>
      </c>
      <c r="L16795" s="0" t="str">
        <f aca="false">HYPERLINK("https://www.ncbi.nlm.nih.gov/nuccore/CP000058.1?report=graph&amp;tracks=[key:gene_model_track,Options:GeneOnly]&amp;mk=5172549:5172568|offset_25|444444,5172585:5172604|offset_61|00cc00,5172609:5172628|offset_85|444444,5172634:5172653|offset_110|444444&amp;v=5172348:5172853&amp;c=444444", "offset 61")</f>
        <v>offset 61</v>
      </c>
    </row>
    <row r="16796" customFormat="false" ht="12.8" hidden="false" customHeight="false" outlineLevel="0" collapsed="false">
      <c r="A16796" s="0" t="s">
        <v>12</v>
      </c>
      <c r="B16796" s="0" t="n">
        <v>5172608</v>
      </c>
      <c r="C16796" s="0" t="n">
        <v>5172628</v>
      </c>
      <c r="D16796" s="0" t="s">
        <v>55825</v>
      </c>
      <c r="E16796" s="0" t="s">
        <v>75</v>
      </c>
      <c r="F16796" s="0" t="s">
        <v>15</v>
      </c>
      <c r="G16796" s="0" t="s">
        <v>16</v>
      </c>
      <c r="H16796" s="0" t="n">
        <v>85</v>
      </c>
      <c r="I16796" s="0" t="s">
        <v>55832</v>
      </c>
      <c r="J16796" s="0" t="s">
        <v>55833</v>
      </c>
      <c r="K16796" s="0" t="s">
        <v>55834</v>
      </c>
      <c r="L16796" s="0" t="str">
        <f aca="false">HYPERLINK("https://www.ncbi.nlm.nih.gov/nuccore/CP000058.1?report=graph&amp;tracks=[key:gene_model_track,Options:GeneOnly]&amp;mk=5172549:5172568|offset_25|444444,5172585:5172604|offset_61|444444,5172609:5172628|offset_85|00cc00,5172634:5172653|offset_110|444444&amp;v=5172348:5172853&amp;c=444444", "offset 85")</f>
        <v>offset 85</v>
      </c>
    </row>
    <row r="16797" customFormat="false" ht="12.8" hidden="false" customHeight="false" outlineLevel="0" collapsed="false">
      <c r="A16797" s="0" t="s">
        <v>12</v>
      </c>
      <c r="B16797" s="0" t="n">
        <v>5172633</v>
      </c>
      <c r="C16797" s="0" t="n">
        <v>5172653</v>
      </c>
      <c r="D16797" s="0" t="s">
        <v>55825</v>
      </c>
      <c r="E16797" s="0" t="s">
        <v>75</v>
      </c>
      <c r="F16797" s="0" t="s">
        <v>15</v>
      </c>
      <c r="G16797" s="0" t="s">
        <v>16</v>
      </c>
      <c r="H16797" s="0" t="n">
        <v>110</v>
      </c>
      <c r="I16797" s="0" t="s">
        <v>55835</v>
      </c>
      <c r="J16797" s="0" t="s">
        <v>55836</v>
      </c>
      <c r="K16797" s="0" t="s">
        <v>55837</v>
      </c>
      <c r="L16797" s="0" t="str">
        <f aca="false">HYPERLINK("https://www.ncbi.nlm.nih.gov/nuccore/CP000058.1?report=graph&amp;tracks=[key:gene_model_track,Options:GeneOnly]&amp;mk=5172549:5172568|offset_25|444444,5172585:5172604|offset_61|444444,5172609:5172628|offset_85|444444,5172634:5172653|offset_110|00cc00&amp;v=5172348:5172853&amp;c=444444", "offset 110")</f>
        <v>offset 110</v>
      </c>
    </row>
    <row r="16798" customFormat="false" ht="12.8" hidden="false" customHeight="false" outlineLevel="0" collapsed="false">
      <c r="A16798" s="0" t="s">
        <v>12</v>
      </c>
      <c r="B16798" s="0" t="n">
        <v>5173365</v>
      </c>
      <c r="C16798" s="0" t="n">
        <v>5173385</v>
      </c>
      <c r="D16798" s="0" t="s">
        <v>55838</v>
      </c>
      <c r="E16798" s="0" t="s">
        <v>75</v>
      </c>
      <c r="F16798" s="0" t="s">
        <v>15</v>
      </c>
      <c r="G16798" s="0" t="s">
        <v>32</v>
      </c>
      <c r="H16798" s="0" t="n">
        <v>34</v>
      </c>
      <c r="I16798" s="0" t="s">
        <v>55839</v>
      </c>
      <c r="J16798" s="0" t="s">
        <v>55840</v>
      </c>
      <c r="K16798" s="0" t="s">
        <v>55841</v>
      </c>
      <c r="L16798" s="0" t="str">
        <f aca="false">HYPERLINK("https://www.ncbi.nlm.nih.gov/nuccore/CP000058.1?report=graph&amp;tracks=[key:gene_model_track,Options:GeneOnly]&amp;mk=5173366:5173385|offset_34|00cc00,5173391:5173410|offset_59|444444,5173411:5173430|offset_79|444444,5173467:5173486|offset_135|444444&amp;v=5173165:5173686&amp;c=444444", "offset 34")</f>
        <v>offset 34</v>
      </c>
    </row>
    <row r="16799" customFormat="false" ht="12.8" hidden="false" customHeight="false" outlineLevel="0" collapsed="false">
      <c r="A16799" s="0" t="s">
        <v>12</v>
      </c>
      <c r="B16799" s="0" t="n">
        <v>5173390</v>
      </c>
      <c r="C16799" s="0" t="n">
        <v>5173410</v>
      </c>
      <c r="D16799" s="0" t="s">
        <v>55838</v>
      </c>
      <c r="E16799" s="0" t="s">
        <v>75</v>
      </c>
      <c r="F16799" s="0" t="s">
        <v>15</v>
      </c>
      <c r="G16799" s="0" t="s">
        <v>36</v>
      </c>
      <c r="H16799" s="0" t="n">
        <v>59</v>
      </c>
      <c r="I16799" s="0" t="s">
        <v>55842</v>
      </c>
      <c r="J16799" s="0" t="s">
        <v>55843</v>
      </c>
      <c r="K16799" s="0" t="s">
        <v>55844</v>
      </c>
      <c r="L16799" s="0" t="str">
        <f aca="false">HYPERLINK("https://www.ncbi.nlm.nih.gov/nuccore/CP000058.1?report=graph&amp;tracks=[key:gene_model_track,Options:GeneOnly]&amp;mk=5173366:5173385|offset_34|444444,5173391:5173410|offset_59|00cc00,5173411:5173430|offset_79|444444,5173467:5173486|offset_135|444444&amp;v=5173165:5173686&amp;c=444444", "offset 59")</f>
        <v>offset 59</v>
      </c>
    </row>
    <row r="16800" customFormat="false" ht="12.8" hidden="false" customHeight="false" outlineLevel="0" collapsed="false">
      <c r="A16800" s="0" t="s">
        <v>12</v>
      </c>
      <c r="B16800" s="0" t="n">
        <v>5173410</v>
      </c>
      <c r="C16800" s="0" t="n">
        <v>5173430</v>
      </c>
      <c r="D16800" s="0" t="s">
        <v>55838</v>
      </c>
      <c r="E16800" s="0" t="s">
        <v>75</v>
      </c>
      <c r="F16800" s="0" t="s">
        <v>15</v>
      </c>
      <c r="G16800" s="0" t="s">
        <v>32</v>
      </c>
      <c r="H16800" s="0" t="n">
        <v>79</v>
      </c>
      <c r="I16800" s="0" t="s">
        <v>55845</v>
      </c>
      <c r="J16800" s="0" t="s">
        <v>55846</v>
      </c>
      <c r="K16800" s="0" t="s">
        <v>55847</v>
      </c>
      <c r="L16800" s="0" t="str">
        <f aca="false">HYPERLINK("https://www.ncbi.nlm.nih.gov/nuccore/CP000058.1?report=graph&amp;tracks=[key:gene_model_track,Options:GeneOnly]&amp;mk=5173366:5173385|offset_34|444444,5173391:5173410|offset_59|444444,5173411:5173430|offset_79|00cc00,5173467:5173486|offset_135|444444&amp;v=5173165:5173686&amp;c=444444", "offset 79")</f>
        <v>offset 79</v>
      </c>
    </row>
    <row r="16801" customFormat="false" ht="12.8" hidden="false" customHeight="false" outlineLevel="0" collapsed="false">
      <c r="A16801" s="0" t="s">
        <v>12</v>
      </c>
      <c r="B16801" s="0" t="n">
        <v>5173466</v>
      </c>
      <c r="C16801" s="0" t="n">
        <v>5173486</v>
      </c>
      <c r="D16801" s="0" t="s">
        <v>55838</v>
      </c>
      <c r="E16801" s="0" t="s">
        <v>75</v>
      </c>
      <c r="F16801" s="0" t="s">
        <v>15</v>
      </c>
      <c r="G16801" s="0" t="s">
        <v>32</v>
      </c>
      <c r="H16801" s="0" t="n">
        <v>135</v>
      </c>
      <c r="I16801" s="0" t="s">
        <v>55848</v>
      </c>
      <c r="J16801" s="0" t="s">
        <v>55849</v>
      </c>
      <c r="K16801" s="0" t="s">
        <v>55850</v>
      </c>
      <c r="L16801" s="0" t="str">
        <f aca="false">HYPERLINK("https://www.ncbi.nlm.nih.gov/nuccore/CP000058.1?report=graph&amp;tracks=[key:gene_model_track,Options:GeneOnly]&amp;mk=5173366:5173385|offset_34|444444,5173391:5173410|offset_59|444444,5173411:5173430|offset_79|444444,5173467:5173486|offset_135|00cc00&amp;v=5173165:5173686&amp;c=444444", "offset 135")</f>
        <v>offset 135</v>
      </c>
    </row>
    <row r="16802" customFormat="false" ht="12.8" hidden="false" customHeight="false" outlineLevel="0" collapsed="false">
      <c r="A16802" s="0" t="s">
        <v>12</v>
      </c>
      <c r="B16802" s="0" t="n">
        <v>5176816</v>
      </c>
      <c r="C16802" s="0" t="n">
        <v>5176836</v>
      </c>
      <c r="D16802" s="0" t="s">
        <v>55851</v>
      </c>
      <c r="E16802" s="0" t="s">
        <v>75</v>
      </c>
      <c r="F16802" s="0" t="s">
        <v>15</v>
      </c>
      <c r="G16802" s="0" t="s">
        <v>36</v>
      </c>
      <c r="H16802" s="0" t="n">
        <v>0</v>
      </c>
      <c r="I16802" s="0" t="s">
        <v>55852</v>
      </c>
      <c r="J16802" s="0" t="s">
        <v>55853</v>
      </c>
      <c r="K16802" s="0" t="s">
        <v>55854</v>
      </c>
      <c r="L16802" s="0" t="str">
        <f aca="false">HYPERLINK("https://www.ncbi.nlm.nih.gov/nuccore/CP000058.1?report=graph&amp;tracks=[key:gene_model_track,Options:GeneOnly]&amp;mk=5176817:5176836|offset_0|00cc00,5176838:5176857|offset_21|444444,5176891:5176910|offset_74|444444,5176950:5176969|offset_133|444444&amp;v=5176616:5177169&amp;c=444444", "offset 0")</f>
        <v>offset 0</v>
      </c>
    </row>
    <row r="16803" customFormat="false" ht="12.8" hidden="false" customHeight="false" outlineLevel="0" collapsed="false">
      <c r="A16803" s="0" t="s">
        <v>12</v>
      </c>
      <c r="B16803" s="0" t="n">
        <v>5176837</v>
      </c>
      <c r="C16803" s="0" t="n">
        <v>5176857</v>
      </c>
      <c r="D16803" s="0" t="s">
        <v>55851</v>
      </c>
      <c r="E16803" s="0" t="s">
        <v>75</v>
      </c>
      <c r="F16803" s="0" t="s">
        <v>15</v>
      </c>
      <c r="G16803" s="0" t="s">
        <v>20</v>
      </c>
      <c r="H16803" s="0" t="n">
        <v>21</v>
      </c>
      <c r="I16803" s="0" t="s">
        <v>55855</v>
      </c>
      <c r="J16803" s="0" t="s">
        <v>55856</v>
      </c>
      <c r="K16803" s="0" t="s">
        <v>55857</v>
      </c>
      <c r="L16803" s="0" t="str">
        <f aca="false">HYPERLINK("https://www.ncbi.nlm.nih.gov/nuccore/CP000058.1?report=graph&amp;tracks=[key:gene_model_track,Options:GeneOnly]&amp;mk=5176817:5176836|offset_0|444444,5176838:5176857|offset_21|00cc00,5176891:5176910|offset_74|444444,5176950:5176969|offset_133|444444&amp;v=5176616:5177169&amp;c=444444", "offset 21")</f>
        <v>offset 21</v>
      </c>
    </row>
    <row r="16804" customFormat="false" ht="12.8" hidden="false" customHeight="false" outlineLevel="0" collapsed="false">
      <c r="A16804" s="0" t="s">
        <v>12</v>
      </c>
      <c r="B16804" s="0" t="n">
        <v>5176890</v>
      </c>
      <c r="C16804" s="0" t="n">
        <v>5176910</v>
      </c>
      <c r="D16804" s="0" t="s">
        <v>55851</v>
      </c>
      <c r="E16804" s="0" t="s">
        <v>75</v>
      </c>
      <c r="F16804" s="0" t="s">
        <v>15</v>
      </c>
      <c r="G16804" s="0" t="s">
        <v>16</v>
      </c>
      <c r="H16804" s="0" t="n">
        <v>74</v>
      </c>
      <c r="I16804" s="0" t="s">
        <v>55858</v>
      </c>
      <c r="J16804" s="0" t="s">
        <v>55859</v>
      </c>
      <c r="K16804" s="0" t="s">
        <v>55860</v>
      </c>
      <c r="L16804" s="0" t="str">
        <f aca="false">HYPERLINK("https://www.ncbi.nlm.nih.gov/nuccore/CP000058.1?report=graph&amp;tracks=[key:gene_model_track,Options:GeneOnly]&amp;mk=5176817:5176836|offset_0|444444,5176838:5176857|offset_21|444444,5176891:5176910|offset_74|00cc00,5176950:5176969|offset_133|444444&amp;v=5176616:5177169&amp;c=444444", "offset 74")</f>
        <v>offset 74</v>
      </c>
    </row>
    <row r="16805" customFormat="false" ht="12.8" hidden="false" customHeight="false" outlineLevel="0" collapsed="false">
      <c r="A16805" s="0" t="s">
        <v>12</v>
      </c>
      <c r="B16805" s="0" t="n">
        <v>5176949</v>
      </c>
      <c r="C16805" s="0" t="n">
        <v>5176969</v>
      </c>
      <c r="D16805" s="0" t="s">
        <v>55851</v>
      </c>
      <c r="E16805" s="0" t="s">
        <v>75</v>
      </c>
      <c r="F16805" s="0" t="s">
        <v>15</v>
      </c>
      <c r="G16805" s="0" t="s">
        <v>16</v>
      </c>
      <c r="H16805" s="0" t="n">
        <v>133</v>
      </c>
      <c r="I16805" s="0" t="s">
        <v>55861</v>
      </c>
      <c r="J16805" s="0" t="s">
        <v>55862</v>
      </c>
      <c r="K16805" s="0" t="s">
        <v>55863</v>
      </c>
      <c r="L16805" s="0" t="str">
        <f aca="false">HYPERLINK("https://www.ncbi.nlm.nih.gov/nuccore/CP000058.1?report=graph&amp;tracks=[key:gene_model_track,Options:GeneOnly]&amp;mk=5176817:5176836|offset_0|444444,5176838:5176857|offset_21|444444,5176891:5176910|offset_74|444444,5176950:5176969|offset_133|00cc00&amp;v=5176616:5177169&amp;c=444444", "offset 133")</f>
        <v>offset 133</v>
      </c>
    </row>
    <row r="16806" customFormat="false" ht="12.8" hidden="false" customHeight="false" outlineLevel="0" collapsed="false">
      <c r="A16806" s="0" t="s">
        <v>12</v>
      </c>
      <c r="B16806" s="0" t="n">
        <v>5177869</v>
      </c>
      <c r="C16806" s="0" t="n">
        <v>5177889</v>
      </c>
      <c r="D16806" s="0" t="s">
        <v>55864</v>
      </c>
      <c r="E16806" s="0" t="s">
        <v>75</v>
      </c>
      <c r="F16806" s="0" t="s">
        <v>15</v>
      </c>
      <c r="G16806" s="0" t="s">
        <v>32</v>
      </c>
      <c r="H16806" s="0" t="n">
        <v>94</v>
      </c>
      <c r="I16806" s="0" t="s">
        <v>55865</v>
      </c>
      <c r="J16806" s="0" t="s">
        <v>55866</v>
      </c>
      <c r="K16806" s="0" t="s">
        <v>55867</v>
      </c>
      <c r="L16806" s="0" t="str">
        <f aca="false">HYPERLINK("https://www.ncbi.nlm.nih.gov/nuccore/CP000058.1?report=graph&amp;tracks=[key:gene_model_track,Options:GeneOnly]&amp;mk=5177870:5177889|offset_94|00cc00,5177946:5177965|offset_170|444444,5177988:5178007|offset_212|444444,5178108:5178127|offset_332|444444&amp;v=5177669:5178327&amp;c=444444", "offset 94")</f>
        <v>offset 94</v>
      </c>
    </row>
    <row r="16807" customFormat="false" ht="12.8" hidden="false" customHeight="false" outlineLevel="0" collapsed="false">
      <c r="A16807" s="0" t="s">
        <v>12</v>
      </c>
      <c r="B16807" s="0" t="n">
        <v>5177945</v>
      </c>
      <c r="C16807" s="0" t="n">
        <v>5177965</v>
      </c>
      <c r="D16807" s="0" t="s">
        <v>55864</v>
      </c>
      <c r="E16807" s="0" t="s">
        <v>75</v>
      </c>
      <c r="F16807" s="0" t="s">
        <v>15</v>
      </c>
      <c r="G16807" s="0" t="s">
        <v>32</v>
      </c>
      <c r="H16807" s="0" t="n">
        <v>170</v>
      </c>
      <c r="I16807" s="0" t="s">
        <v>55868</v>
      </c>
      <c r="J16807" s="0" t="s">
        <v>55869</v>
      </c>
      <c r="K16807" s="0" t="s">
        <v>55870</v>
      </c>
      <c r="L16807" s="0" t="str">
        <f aca="false">HYPERLINK("https://www.ncbi.nlm.nih.gov/nuccore/CP000058.1?report=graph&amp;tracks=[key:gene_model_track,Options:GeneOnly]&amp;mk=5177870:5177889|offset_94|444444,5177946:5177965|offset_170|00cc00,5177988:5178007|offset_212|444444,5178108:5178127|offset_332|444444&amp;v=5177669:5178327&amp;c=444444", "offset 170")</f>
        <v>offset 170</v>
      </c>
    </row>
    <row r="16808" customFormat="false" ht="12.8" hidden="false" customHeight="false" outlineLevel="0" collapsed="false">
      <c r="A16808" s="0" t="s">
        <v>12</v>
      </c>
      <c r="B16808" s="0" t="n">
        <v>5177987</v>
      </c>
      <c r="C16808" s="0" t="n">
        <v>5178007</v>
      </c>
      <c r="D16808" s="0" t="s">
        <v>55864</v>
      </c>
      <c r="E16808" s="0" t="s">
        <v>75</v>
      </c>
      <c r="F16808" s="0" t="s">
        <v>15</v>
      </c>
      <c r="G16808" s="0" t="s">
        <v>16</v>
      </c>
      <c r="H16808" s="0" t="n">
        <v>212</v>
      </c>
      <c r="I16808" s="0" t="s">
        <v>55871</v>
      </c>
      <c r="J16808" s="0" t="s">
        <v>55872</v>
      </c>
      <c r="K16808" s="0" t="s">
        <v>55873</v>
      </c>
      <c r="L16808" s="0" t="str">
        <f aca="false">HYPERLINK("https://www.ncbi.nlm.nih.gov/nuccore/CP000058.1?report=graph&amp;tracks=[key:gene_model_track,Options:GeneOnly]&amp;mk=5177870:5177889|offset_94|444444,5177946:5177965|offset_170|444444,5177988:5178007|offset_212|00cc00,5178108:5178127|offset_332|444444&amp;v=5177669:5178327&amp;c=444444", "offset 212")</f>
        <v>offset 212</v>
      </c>
    </row>
    <row r="16809" customFormat="false" ht="12.8" hidden="false" customHeight="false" outlineLevel="0" collapsed="false">
      <c r="A16809" s="0" t="s">
        <v>12</v>
      </c>
      <c r="B16809" s="0" t="n">
        <v>5178107</v>
      </c>
      <c r="C16809" s="0" t="n">
        <v>5178127</v>
      </c>
      <c r="D16809" s="0" t="s">
        <v>55864</v>
      </c>
      <c r="E16809" s="0" t="s">
        <v>75</v>
      </c>
      <c r="F16809" s="0" t="s">
        <v>15</v>
      </c>
      <c r="G16809" s="0" t="s">
        <v>16</v>
      </c>
      <c r="H16809" s="0" t="n">
        <v>332</v>
      </c>
      <c r="I16809" s="0" t="s">
        <v>55874</v>
      </c>
      <c r="J16809" s="0" t="s">
        <v>55875</v>
      </c>
      <c r="K16809" s="0" t="s">
        <v>55876</v>
      </c>
      <c r="L16809" s="0" t="str">
        <f aca="false">HYPERLINK("https://www.ncbi.nlm.nih.gov/nuccore/CP000058.1?report=graph&amp;tracks=[key:gene_model_track,Options:GeneOnly]&amp;mk=5177870:5177889|offset_94|444444,5177946:5177965|offset_170|444444,5177988:5178007|offset_212|444444,5178108:5178127|offset_332|00cc00&amp;v=5177669:5178327&amp;c=444444", "offset 332")</f>
        <v>offset 332</v>
      </c>
    </row>
    <row r="16810" customFormat="false" ht="12.8" hidden="false" customHeight="false" outlineLevel="0" collapsed="false">
      <c r="A16810" s="0" t="s">
        <v>12</v>
      </c>
      <c r="B16810" s="0" t="n">
        <v>5179021</v>
      </c>
      <c r="C16810" s="0" t="n">
        <v>5179041</v>
      </c>
      <c r="D16810" s="0" t="s">
        <v>55877</v>
      </c>
      <c r="E16810" s="0" t="s">
        <v>75</v>
      </c>
      <c r="F16810" s="0" t="s">
        <v>90</v>
      </c>
      <c r="G16810" s="0" t="s">
        <v>20</v>
      </c>
      <c r="H16810" s="0" t="n">
        <v>21</v>
      </c>
      <c r="I16810" s="0" t="s">
        <v>55878</v>
      </c>
      <c r="J16810" s="0" t="s">
        <v>55879</v>
      </c>
      <c r="K16810" s="0" t="s">
        <v>55880</v>
      </c>
      <c r="L16810" s="0" t="str">
        <f aca="false">HYPERLINK("https://www.ncbi.nlm.nih.gov/nuccore/CP000058.1?report=graph&amp;tracks=[key:gene_model_track,Options:GeneOnly]&amp;mk=5179022:5179041|offset_21|00cc00,5178974:5178993|offset_69|444444,5178943:5178962|offset_100|444444,5178921:5178940|offset_122|444444&amp;v=5178821:5179140&amp;c=444444", "offset 21")</f>
        <v>offset 21</v>
      </c>
    </row>
    <row r="16811" customFormat="false" ht="12.8" hidden="false" customHeight="false" outlineLevel="0" collapsed="false">
      <c r="A16811" s="0" t="s">
        <v>12</v>
      </c>
      <c r="B16811" s="0" t="n">
        <v>5178973</v>
      </c>
      <c r="C16811" s="0" t="n">
        <v>5178993</v>
      </c>
      <c r="D16811" s="0" t="s">
        <v>55877</v>
      </c>
      <c r="E16811" s="0" t="s">
        <v>75</v>
      </c>
      <c r="F16811" s="0" t="s">
        <v>90</v>
      </c>
      <c r="G16811" s="0" t="s">
        <v>32</v>
      </c>
      <c r="H16811" s="0" t="n">
        <v>69</v>
      </c>
      <c r="I16811" s="0" t="s">
        <v>55881</v>
      </c>
      <c r="J16811" s="0" t="s">
        <v>55882</v>
      </c>
      <c r="K16811" s="0" t="s">
        <v>55883</v>
      </c>
      <c r="L16811" s="0" t="str">
        <f aca="false">HYPERLINK("https://www.ncbi.nlm.nih.gov/nuccore/CP000058.1?report=graph&amp;tracks=[key:gene_model_track,Options:GeneOnly]&amp;mk=5179022:5179041|offset_21|444444,5178974:5178993|offset_69|00cc00,5178943:5178962|offset_100|444444,5178921:5178940|offset_122|444444&amp;v=5178821:5179140&amp;c=444444", "offset 69")</f>
        <v>offset 69</v>
      </c>
    </row>
    <row r="16812" customFormat="false" ht="12.8" hidden="false" customHeight="false" outlineLevel="0" collapsed="false">
      <c r="A16812" s="0" t="s">
        <v>12</v>
      </c>
      <c r="B16812" s="0" t="n">
        <v>5178942</v>
      </c>
      <c r="C16812" s="0" t="n">
        <v>5178962</v>
      </c>
      <c r="D16812" s="0" t="s">
        <v>55877</v>
      </c>
      <c r="E16812" s="0" t="s">
        <v>75</v>
      </c>
      <c r="F16812" s="0" t="s">
        <v>90</v>
      </c>
      <c r="G16812" s="0" t="s">
        <v>16</v>
      </c>
      <c r="H16812" s="0" t="n">
        <v>100</v>
      </c>
      <c r="I16812" s="0" t="s">
        <v>55884</v>
      </c>
      <c r="J16812" s="0" t="s">
        <v>55885</v>
      </c>
      <c r="K16812" s="0" t="s">
        <v>55886</v>
      </c>
      <c r="L16812" s="0" t="str">
        <f aca="false">HYPERLINK("https://www.ncbi.nlm.nih.gov/nuccore/CP000058.1?report=graph&amp;tracks=[key:gene_model_track,Options:GeneOnly]&amp;mk=5179022:5179041|offset_21|444444,5178974:5178993|offset_69|444444,5178943:5178962|offset_100|00cc00,5178921:5178940|offset_122|444444&amp;v=5178821:5179140&amp;c=444444", "offset 100")</f>
        <v>offset 100</v>
      </c>
    </row>
    <row r="16813" customFormat="false" ht="12.8" hidden="false" customHeight="false" outlineLevel="0" collapsed="false">
      <c r="A16813" s="0" t="s">
        <v>12</v>
      </c>
      <c r="B16813" s="0" t="n">
        <v>5178920</v>
      </c>
      <c r="C16813" s="0" t="n">
        <v>5178940</v>
      </c>
      <c r="D16813" s="0" t="s">
        <v>55877</v>
      </c>
      <c r="E16813" s="0" t="s">
        <v>75</v>
      </c>
      <c r="F16813" s="0" t="s">
        <v>90</v>
      </c>
      <c r="G16813" s="0" t="s">
        <v>32</v>
      </c>
      <c r="H16813" s="0" t="n">
        <v>122</v>
      </c>
      <c r="I16813" s="0" t="s">
        <v>55887</v>
      </c>
      <c r="J16813" s="0" t="s">
        <v>55888</v>
      </c>
      <c r="K16813" s="0" t="s">
        <v>55889</v>
      </c>
      <c r="L16813" s="0" t="str">
        <f aca="false">HYPERLINK("https://www.ncbi.nlm.nih.gov/nuccore/CP000058.1?report=graph&amp;tracks=[key:gene_model_track,Options:GeneOnly]&amp;mk=5179022:5179041|offset_21|444444,5178974:5178993|offset_69|444444,5178943:5178962|offset_100|444444,5178921:5178940|offset_122|00cc00&amp;v=5178821:5179140&amp;c=444444", "offset 122")</f>
        <v>offset 122</v>
      </c>
    </row>
    <row r="16814" customFormat="false" ht="12.8" hidden="false" customHeight="false" outlineLevel="0" collapsed="false">
      <c r="A16814" s="0" t="s">
        <v>12</v>
      </c>
      <c r="B16814" s="0" t="n">
        <v>5180205</v>
      </c>
      <c r="C16814" s="0" t="n">
        <v>5180225</v>
      </c>
      <c r="D16814" s="0" t="s">
        <v>55890</v>
      </c>
      <c r="E16814" s="0" t="s">
        <v>75</v>
      </c>
      <c r="F16814" s="0" t="s">
        <v>90</v>
      </c>
      <c r="G16814" s="0" t="s">
        <v>36</v>
      </c>
      <c r="H16814" s="0" t="n">
        <v>23</v>
      </c>
      <c r="I16814" s="0" t="s">
        <v>55891</v>
      </c>
      <c r="J16814" s="0" t="s">
        <v>55892</v>
      </c>
      <c r="K16814" s="0" t="s">
        <v>55893</v>
      </c>
      <c r="L16814" s="0" t="str">
        <f aca="false">HYPERLINK("https://www.ncbi.nlm.nih.gov/nuccore/CP000058.1?report=graph&amp;tracks=[key:gene_model_track,Options:GeneOnly]&amp;mk=5180206:5180225|offset_23|00cc00,5180174:5180193|offset_55|444444,5180144:5180163|offset_85|444444,5180120:5180139|offset_109|444444&amp;v=5180005:5180339&amp;c=444444", "offset 23")</f>
        <v>offset 23</v>
      </c>
    </row>
    <row r="16815" customFormat="false" ht="12.8" hidden="false" customHeight="false" outlineLevel="0" collapsed="false">
      <c r="A16815" s="0" t="s">
        <v>12</v>
      </c>
      <c r="B16815" s="0" t="n">
        <v>5180173</v>
      </c>
      <c r="C16815" s="0" t="n">
        <v>5180193</v>
      </c>
      <c r="D16815" s="0" t="s">
        <v>55890</v>
      </c>
      <c r="E16815" s="0" t="s">
        <v>75</v>
      </c>
      <c r="F16815" s="0" t="s">
        <v>90</v>
      </c>
      <c r="G16815" s="0" t="s">
        <v>16</v>
      </c>
      <c r="H16815" s="0" t="n">
        <v>55</v>
      </c>
      <c r="I16815" s="0" t="s">
        <v>55894</v>
      </c>
      <c r="J16815" s="0" t="s">
        <v>55895</v>
      </c>
      <c r="K16815" s="0" t="s">
        <v>55896</v>
      </c>
      <c r="L16815" s="0" t="str">
        <f aca="false">HYPERLINK("https://www.ncbi.nlm.nih.gov/nuccore/CP000058.1?report=graph&amp;tracks=[key:gene_model_track,Options:GeneOnly]&amp;mk=5180206:5180225|offset_23|444444,5180174:5180193|offset_55|00cc00,5180144:5180163|offset_85|444444,5180120:5180139|offset_109|444444&amp;v=5180005:5180339&amp;c=444444", "offset 55")</f>
        <v>offset 55</v>
      </c>
    </row>
    <row r="16816" customFormat="false" ht="12.8" hidden="false" customHeight="false" outlineLevel="0" collapsed="false">
      <c r="A16816" s="0" t="s">
        <v>12</v>
      </c>
      <c r="B16816" s="0" t="n">
        <v>5180143</v>
      </c>
      <c r="C16816" s="0" t="n">
        <v>5180163</v>
      </c>
      <c r="D16816" s="0" t="s">
        <v>55890</v>
      </c>
      <c r="E16816" s="0" t="s">
        <v>75</v>
      </c>
      <c r="F16816" s="0" t="s">
        <v>90</v>
      </c>
      <c r="G16816" s="0" t="s">
        <v>36</v>
      </c>
      <c r="H16816" s="0" t="n">
        <v>85</v>
      </c>
      <c r="I16816" s="0" t="s">
        <v>55897</v>
      </c>
      <c r="J16816" s="0" t="s">
        <v>55898</v>
      </c>
      <c r="K16816" s="0" t="s">
        <v>55899</v>
      </c>
      <c r="L16816" s="0" t="str">
        <f aca="false">HYPERLINK("https://www.ncbi.nlm.nih.gov/nuccore/CP000058.1?report=graph&amp;tracks=[key:gene_model_track,Options:GeneOnly]&amp;mk=5180206:5180225|offset_23|444444,5180174:5180193|offset_55|444444,5180144:5180163|offset_85|00cc00,5180120:5180139|offset_109|444444&amp;v=5180005:5180339&amp;c=444444", "offset 85")</f>
        <v>offset 85</v>
      </c>
    </row>
    <row r="16817" customFormat="false" ht="12.8" hidden="false" customHeight="false" outlineLevel="0" collapsed="false">
      <c r="A16817" s="0" t="s">
        <v>12</v>
      </c>
      <c r="B16817" s="0" t="n">
        <v>5180119</v>
      </c>
      <c r="C16817" s="0" t="n">
        <v>5180139</v>
      </c>
      <c r="D16817" s="0" t="s">
        <v>55890</v>
      </c>
      <c r="E16817" s="0" t="s">
        <v>75</v>
      </c>
      <c r="F16817" s="0" t="s">
        <v>90</v>
      </c>
      <c r="G16817" s="0" t="s">
        <v>20</v>
      </c>
      <c r="H16817" s="0" t="n">
        <v>109</v>
      </c>
      <c r="I16817" s="0" t="s">
        <v>55900</v>
      </c>
      <c r="J16817" s="0" t="s">
        <v>55901</v>
      </c>
      <c r="K16817" s="0" t="s">
        <v>55902</v>
      </c>
      <c r="L16817" s="0" t="str">
        <f aca="false">HYPERLINK("https://www.ncbi.nlm.nih.gov/nuccore/CP000058.1?report=graph&amp;tracks=[key:gene_model_track,Options:GeneOnly]&amp;mk=5180206:5180225|offset_23|444444,5180174:5180193|offset_55|444444,5180144:5180163|offset_85|444444,5180120:5180139|offset_109|00cc00&amp;v=5180005:5180339&amp;c=444444", "offset 109")</f>
        <v>offset 109</v>
      </c>
    </row>
    <row r="16818" customFormat="false" ht="12.8" hidden="false" customHeight="false" outlineLevel="0" collapsed="false">
      <c r="A16818" s="0" t="s">
        <v>12</v>
      </c>
      <c r="B16818" s="0" t="n">
        <v>5181732</v>
      </c>
      <c r="C16818" s="0" t="n">
        <v>5181752</v>
      </c>
      <c r="D16818" s="0" t="s">
        <v>55903</v>
      </c>
      <c r="E16818" s="0" t="s">
        <v>75</v>
      </c>
      <c r="F16818" s="0" t="s">
        <v>90</v>
      </c>
      <c r="G16818" s="0" t="s">
        <v>32</v>
      </c>
      <c r="H16818" s="0" t="n">
        <v>43</v>
      </c>
      <c r="I16818" s="0" t="s">
        <v>55904</v>
      </c>
      <c r="J16818" s="0" t="s">
        <v>55905</v>
      </c>
      <c r="K16818" s="0" t="s">
        <v>55906</v>
      </c>
      <c r="L16818" s="0" t="str">
        <f aca="false">HYPERLINK("https://www.ncbi.nlm.nih.gov/nuccore/CP000058.1?report=graph&amp;tracks=[key:gene_model_track,Options:GeneOnly]&amp;mk=5181733:5181752|offset_43|00cc00,5181693:5181712|offset_83|444444,5181670:5181689|offset_106|444444,5181625:5181644|offset_151|444444&amp;v=5181532:5181844&amp;c=444444", "offset 43")</f>
        <v>offset 43</v>
      </c>
    </row>
    <row r="16819" customFormat="false" ht="12.8" hidden="false" customHeight="false" outlineLevel="0" collapsed="false">
      <c r="A16819" s="0" t="s">
        <v>12</v>
      </c>
      <c r="B16819" s="0" t="n">
        <v>5181692</v>
      </c>
      <c r="C16819" s="0" t="n">
        <v>5181712</v>
      </c>
      <c r="D16819" s="0" t="s">
        <v>55903</v>
      </c>
      <c r="E16819" s="0" t="s">
        <v>75</v>
      </c>
      <c r="F16819" s="0" t="s">
        <v>90</v>
      </c>
      <c r="G16819" s="0" t="s">
        <v>32</v>
      </c>
      <c r="H16819" s="0" t="n">
        <v>83</v>
      </c>
      <c r="I16819" s="0" t="s">
        <v>55907</v>
      </c>
      <c r="J16819" s="0" t="s">
        <v>55908</v>
      </c>
      <c r="K16819" s="0" t="s">
        <v>55909</v>
      </c>
      <c r="L16819" s="0" t="str">
        <f aca="false">HYPERLINK("https://www.ncbi.nlm.nih.gov/nuccore/CP000058.1?report=graph&amp;tracks=[key:gene_model_track,Options:GeneOnly]&amp;mk=5181733:5181752|offset_43|444444,5181693:5181712|offset_83|00cc00,5181670:5181689|offset_106|444444,5181625:5181644|offset_151|444444&amp;v=5181532:5181844&amp;c=444444", "offset 83")</f>
        <v>offset 83</v>
      </c>
    </row>
    <row r="16820" customFormat="false" ht="12.8" hidden="false" customHeight="false" outlineLevel="0" collapsed="false">
      <c r="A16820" s="0" t="s">
        <v>12</v>
      </c>
      <c r="B16820" s="0" t="n">
        <v>5181669</v>
      </c>
      <c r="C16820" s="0" t="n">
        <v>5181689</v>
      </c>
      <c r="D16820" s="0" t="s">
        <v>55903</v>
      </c>
      <c r="E16820" s="0" t="s">
        <v>75</v>
      </c>
      <c r="F16820" s="0" t="s">
        <v>90</v>
      </c>
      <c r="G16820" s="0" t="s">
        <v>16</v>
      </c>
      <c r="H16820" s="0" t="n">
        <v>106</v>
      </c>
      <c r="I16820" s="0" t="s">
        <v>55910</v>
      </c>
      <c r="J16820" s="0" t="s">
        <v>55911</v>
      </c>
      <c r="K16820" s="0" t="s">
        <v>55912</v>
      </c>
      <c r="L16820" s="0" t="str">
        <f aca="false">HYPERLINK("https://www.ncbi.nlm.nih.gov/nuccore/CP000058.1?report=graph&amp;tracks=[key:gene_model_track,Options:GeneOnly]&amp;mk=5181733:5181752|offset_43|444444,5181693:5181712|offset_83|444444,5181670:5181689|offset_106|00cc00,5181625:5181644|offset_151|444444&amp;v=5181532:5181844&amp;c=444444", "offset 106")</f>
        <v>offset 106</v>
      </c>
    </row>
    <row r="16821" customFormat="false" ht="12.8" hidden="false" customHeight="false" outlineLevel="0" collapsed="false">
      <c r="A16821" s="0" t="s">
        <v>12</v>
      </c>
      <c r="B16821" s="0" t="n">
        <v>5181624</v>
      </c>
      <c r="C16821" s="0" t="n">
        <v>5181644</v>
      </c>
      <c r="D16821" s="0" t="s">
        <v>55903</v>
      </c>
      <c r="E16821" s="0" t="s">
        <v>75</v>
      </c>
      <c r="F16821" s="0" t="s">
        <v>90</v>
      </c>
      <c r="G16821" s="0" t="s">
        <v>20</v>
      </c>
      <c r="H16821" s="0" t="n">
        <v>151</v>
      </c>
      <c r="I16821" s="0" t="s">
        <v>55913</v>
      </c>
      <c r="J16821" s="0" t="s">
        <v>55914</v>
      </c>
      <c r="K16821" s="0" t="s">
        <v>55915</v>
      </c>
      <c r="L16821" s="0" t="str">
        <f aca="false">HYPERLINK("https://www.ncbi.nlm.nih.gov/nuccore/CP000058.1?report=graph&amp;tracks=[key:gene_model_track,Options:GeneOnly]&amp;mk=5181733:5181752|offset_43|444444,5181693:5181712|offset_83|444444,5181670:5181689|offset_106|444444,5181625:5181644|offset_151|00cc00&amp;v=5181532:5181844&amp;c=444444", "offset 151")</f>
        <v>offset 151</v>
      </c>
    </row>
    <row r="16822" customFormat="false" ht="12.8" hidden="false" customHeight="false" outlineLevel="0" collapsed="false">
      <c r="A16822" s="0" t="s">
        <v>12</v>
      </c>
      <c r="B16822" s="0" t="n">
        <v>5183446</v>
      </c>
      <c r="C16822" s="0" t="n">
        <v>5183466</v>
      </c>
      <c r="D16822" s="0" t="s">
        <v>55916</v>
      </c>
      <c r="E16822" s="0" t="s">
        <v>75</v>
      </c>
      <c r="F16822" s="0" t="s">
        <v>90</v>
      </c>
      <c r="G16822" s="0" t="s">
        <v>20</v>
      </c>
      <c r="H16822" s="0" t="n">
        <v>14</v>
      </c>
      <c r="I16822" s="0" t="s">
        <v>55917</v>
      </c>
      <c r="J16822" s="0" t="s">
        <v>55918</v>
      </c>
      <c r="K16822" s="0" t="s">
        <v>55919</v>
      </c>
      <c r="L16822" s="0" t="str">
        <f aca="false">HYPERLINK("https://www.ncbi.nlm.nih.gov/nuccore/CP000058.1?report=graph&amp;tracks=[key:gene_model_track,Options:GeneOnly]&amp;mk=5183447:5183466|offset_14|00cc00,5183423:5183442|offset_38|444444,5183393:5183412|offset_68|444444,5183370:5183389|offset_91|444444&amp;v=5183246:5183589&amp;c=444444", "offset 14")</f>
        <v>offset 14</v>
      </c>
    </row>
    <row r="16823" customFormat="false" ht="12.8" hidden="false" customHeight="false" outlineLevel="0" collapsed="false">
      <c r="A16823" s="0" t="s">
        <v>12</v>
      </c>
      <c r="B16823" s="0" t="n">
        <v>5183422</v>
      </c>
      <c r="C16823" s="0" t="n">
        <v>5183442</v>
      </c>
      <c r="D16823" s="0" t="s">
        <v>55916</v>
      </c>
      <c r="E16823" s="0" t="s">
        <v>75</v>
      </c>
      <c r="F16823" s="0" t="s">
        <v>90</v>
      </c>
      <c r="G16823" s="0" t="s">
        <v>36</v>
      </c>
      <c r="H16823" s="0" t="n">
        <v>38</v>
      </c>
      <c r="I16823" s="0" t="s">
        <v>55920</v>
      </c>
      <c r="J16823" s="0" t="s">
        <v>55921</v>
      </c>
      <c r="K16823" s="0" t="s">
        <v>55922</v>
      </c>
      <c r="L16823" s="0" t="str">
        <f aca="false">HYPERLINK("https://www.ncbi.nlm.nih.gov/nuccore/CP000058.1?report=graph&amp;tracks=[key:gene_model_track,Options:GeneOnly]&amp;mk=5183447:5183466|offset_14|444444,5183423:5183442|offset_38|00cc00,5183393:5183412|offset_68|444444,5183370:5183389|offset_91|444444&amp;v=5183246:5183589&amp;c=444444", "offset 38")</f>
        <v>offset 38</v>
      </c>
    </row>
    <row r="16824" customFormat="false" ht="12.8" hidden="false" customHeight="false" outlineLevel="0" collapsed="false">
      <c r="A16824" s="0" t="s">
        <v>12</v>
      </c>
      <c r="B16824" s="0" t="n">
        <v>5183392</v>
      </c>
      <c r="C16824" s="0" t="n">
        <v>5183412</v>
      </c>
      <c r="D16824" s="0" t="s">
        <v>55916</v>
      </c>
      <c r="E16824" s="0" t="s">
        <v>75</v>
      </c>
      <c r="F16824" s="0" t="s">
        <v>90</v>
      </c>
      <c r="G16824" s="0" t="s">
        <v>20</v>
      </c>
      <c r="H16824" s="0" t="n">
        <v>68</v>
      </c>
      <c r="I16824" s="0" t="s">
        <v>55923</v>
      </c>
      <c r="J16824" s="0" t="s">
        <v>55924</v>
      </c>
      <c r="K16824" s="0" t="s">
        <v>55925</v>
      </c>
      <c r="L16824" s="0" t="str">
        <f aca="false">HYPERLINK("https://www.ncbi.nlm.nih.gov/nuccore/CP000058.1?report=graph&amp;tracks=[key:gene_model_track,Options:GeneOnly]&amp;mk=5183447:5183466|offset_14|444444,5183423:5183442|offset_38|444444,5183393:5183412|offset_68|00cc00,5183370:5183389|offset_91|444444&amp;v=5183246:5183589&amp;c=444444", "offset 68")</f>
        <v>offset 68</v>
      </c>
    </row>
    <row r="16825" customFormat="false" ht="12.8" hidden="false" customHeight="false" outlineLevel="0" collapsed="false">
      <c r="A16825" s="0" t="s">
        <v>12</v>
      </c>
      <c r="B16825" s="0" t="n">
        <v>5183369</v>
      </c>
      <c r="C16825" s="0" t="n">
        <v>5183389</v>
      </c>
      <c r="D16825" s="0" t="s">
        <v>55916</v>
      </c>
      <c r="E16825" s="0" t="s">
        <v>75</v>
      </c>
      <c r="F16825" s="0" t="s">
        <v>90</v>
      </c>
      <c r="G16825" s="0" t="s">
        <v>20</v>
      </c>
      <c r="H16825" s="0" t="n">
        <v>91</v>
      </c>
      <c r="I16825" s="0" t="s">
        <v>55926</v>
      </c>
      <c r="J16825" s="0" t="s">
        <v>55927</v>
      </c>
      <c r="K16825" s="0" t="s">
        <v>55928</v>
      </c>
      <c r="L16825" s="0" t="str">
        <f aca="false">HYPERLINK("https://www.ncbi.nlm.nih.gov/nuccore/CP000058.1?report=graph&amp;tracks=[key:gene_model_track,Options:GeneOnly]&amp;mk=5183447:5183466|offset_14|444444,5183423:5183442|offset_38|444444,5183393:5183412|offset_68|444444,5183370:5183389|offset_91|00cc00&amp;v=5183246:5183589&amp;c=444444", "offset 91")</f>
        <v>offset 91</v>
      </c>
    </row>
    <row r="16826" customFormat="false" ht="12.8" hidden="false" customHeight="false" outlineLevel="0" collapsed="false">
      <c r="A16826" s="0" t="s">
        <v>12</v>
      </c>
      <c r="B16826" s="0" t="n">
        <v>5185762</v>
      </c>
      <c r="C16826" s="0" t="n">
        <v>5185782</v>
      </c>
      <c r="D16826" s="0" t="s">
        <v>55929</v>
      </c>
      <c r="E16826" s="0" t="s">
        <v>75</v>
      </c>
      <c r="F16826" s="0" t="s">
        <v>90</v>
      </c>
      <c r="G16826" s="0" t="s">
        <v>32</v>
      </c>
      <c r="H16826" s="0" t="n">
        <v>6</v>
      </c>
      <c r="I16826" s="0" t="s">
        <v>55930</v>
      </c>
      <c r="J16826" s="0" t="s">
        <v>55931</v>
      </c>
      <c r="K16826" s="0" t="s">
        <v>55932</v>
      </c>
      <c r="L16826" s="0" t="str">
        <f aca="false">HYPERLINK("https://www.ncbi.nlm.nih.gov/nuccore/CP000058.1?report=graph&amp;tracks=[key:gene_model_track,Options:GeneOnly]&amp;mk=5185763:5185782|offset_6|00cc00,5185712:5185731|offset_57|444444,5185657:5185676|offset_112|444444,5185635:5185654|offset_134|444444&amp;v=5185562:5185854&amp;c=444444", "offset 6")</f>
        <v>offset 6</v>
      </c>
    </row>
    <row r="16827" customFormat="false" ht="12.8" hidden="false" customHeight="false" outlineLevel="0" collapsed="false">
      <c r="A16827" s="0" t="s">
        <v>12</v>
      </c>
      <c r="B16827" s="0" t="n">
        <v>5185711</v>
      </c>
      <c r="C16827" s="0" t="n">
        <v>5185731</v>
      </c>
      <c r="D16827" s="0" t="s">
        <v>55929</v>
      </c>
      <c r="E16827" s="0" t="s">
        <v>75</v>
      </c>
      <c r="F16827" s="0" t="s">
        <v>90</v>
      </c>
      <c r="G16827" s="0" t="s">
        <v>32</v>
      </c>
      <c r="H16827" s="0" t="n">
        <v>57</v>
      </c>
      <c r="I16827" s="0" t="s">
        <v>55933</v>
      </c>
      <c r="J16827" s="0" t="s">
        <v>55934</v>
      </c>
      <c r="K16827" s="0" t="s">
        <v>55935</v>
      </c>
      <c r="L16827" s="0" t="str">
        <f aca="false">HYPERLINK("https://www.ncbi.nlm.nih.gov/nuccore/CP000058.1?report=graph&amp;tracks=[key:gene_model_track,Options:GeneOnly]&amp;mk=5185763:5185782|offset_6|444444,5185712:5185731|offset_57|00cc00,5185657:5185676|offset_112|444444,5185635:5185654|offset_134|444444&amp;v=5185562:5185854&amp;c=444444", "offset 57")</f>
        <v>offset 57</v>
      </c>
    </row>
    <row r="16828" customFormat="false" ht="12.8" hidden="false" customHeight="false" outlineLevel="0" collapsed="false">
      <c r="A16828" s="0" t="s">
        <v>12</v>
      </c>
      <c r="B16828" s="0" t="n">
        <v>5185656</v>
      </c>
      <c r="C16828" s="0" t="n">
        <v>5185676</v>
      </c>
      <c r="D16828" s="0" t="s">
        <v>55929</v>
      </c>
      <c r="E16828" s="0" t="s">
        <v>75</v>
      </c>
      <c r="F16828" s="0" t="s">
        <v>90</v>
      </c>
      <c r="G16828" s="0" t="s">
        <v>20</v>
      </c>
      <c r="H16828" s="0" t="n">
        <v>112</v>
      </c>
      <c r="I16828" s="0" t="s">
        <v>55936</v>
      </c>
      <c r="J16828" s="0" t="s">
        <v>55937</v>
      </c>
      <c r="K16828" s="0" t="s">
        <v>55938</v>
      </c>
      <c r="L16828" s="0" t="str">
        <f aca="false">HYPERLINK("https://www.ncbi.nlm.nih.gov/nuccore/CP000058.1?report=graph&amp;tracks=[key:gene_model_track,Options:GeneOnly]&amp;mk=5185763:5185782|offset_6|444444,5185712:5185731|offset_57|444444,5185657:5185676|offset_112|00cc00,5185635:5185654|offset_134|444444&amp;v=5185562:5185854&amp;c=444444", "offset 112")</f>
        <v>offset 112</v>
      </c>
    </row>
    <row r="16829" customFormat="false" ht="12.8" hidden="false" customHeight="false" outlineLevel="0" collapsed="false">
      <c r="A16829" s="0" t="s">
        <v>12</v>
      </c>
      <c r="B16829" s="0" t="n">
        <v>5185634</v>
      </c>
      <c r="C16829" s="0" t="n">
        <v>5185654</v>
      </c>
      <c r="D16829" s="0" t="s">
        <v>55929</v>
      </c>
      <c r="E16829" s="0" t="s">
        <v>75</v>
      </c>
      <c r="F16829" s="0" t="s">
        <v>90</v>
      </c>
      <c r="G16829" s="0" t="s">
        <v>16</v>
      </c>
      <c r="H16829" s="0" t="n">
        <v>134</v>
      </c>
      <c r="I16829" s="0" t="s">
        <v>55939</v>
      </c>
      <c r="J16829" s="0" t="s">
        <v>55940</v>
      </c>
      <c r="K16829" s="0" t="s">
        <v>55941</v>
      </c>
      <c r="L16829" s="0" t="str">
        <f aca="false">HYPERLINK("https://www.ncbi.nlm.nih.gov/nuccore/CP000058.1?report=graph&amp;tracks=[key:gene_model_track,Options:GeneOnly]&amp;mk=5185763:5185782|offset_6|444444,5185712:5185731|offset_57|444444,5185657:5185676|offset_112|444444,5185635:5185654|offset_134|00cc00&amp;v=5185562:5185854&amp;c=444444", "offset 134")</f>
        <v>offset 134</v>
      </c>
    </row>
    <row r="16830" customFormat="false" ht="12.8" hidden="false" customHeight="false" outlineLevel="0" collapsed="false">
      <c r="A16830" s="0" t="s">
        <v>12</v>
      </c>
      <c r="B16830" s="0" t="n">
        <v>5186873</v>
      </c>
      <c r="C16830" s="0" t="n">
        <v>5186893</v>
      </c>
      <c r="D16830" s="0" t="s">
        <v>55942</v>
      </c>
      <c r="E16830" s="0" t="s">
        <v>75</v>
      </c>
      <c r="F16830" s="0" t="s">
        <v>90</v>
      </c>
      <c r="G16830" s="0" t="s">
        <v>36</v>
      </c>
      <c r="H16830" s="0" t="n">
        <v>16</v>
      </c>
      <c r="I16830" s="0" t="s">
        <v>55943</v>
      </c>
      <c r="J16830" s="0" t="s">
        <v>55944</v>
      </c>
      <c r="K16830" s="0" t="s">
        <v>55945</v>
      </c>
      <c r="L16830" s="0" t="str">
        <f aca="false">HYPERLINK("https://www.ncbi.nlm.nih.gov/nuccore/CP000058.1?report=graph&amp;tracks=[key:gene_model_track,Options:GeneOnly]&amp;mk=5186874:5186893|offset_16|00cc00,5186853:5186872|offset_37|444444,5186819:5186838|offset_71|444444,5186793:5186812|offset_97|444444&amp;v=5186673:5187012&amp;c=444444", "offset 16")</f>
        <v>offset 16</v>
      </c>
    </row>
    <row r="16831" customFormat="false" ht="12.8" hidden="false" customHeight="false" outlineLevel="0" collapsed="false">
      <c r="A16831" s="0" t="s">
        <v>12</v>
      </c>
      <c r="B16831" s="0" t="n">
        <v>5186852</v>
      </c>
      <c r="C16831" s="0" t="n">
        <v>5186872</v>
      </c>
      <c r="D16831" s="0" t="s">
        <v>55942</v>
      </c>
      <c r="E16831" s="0" t="s">
        <v>75</v>
      </c>
      <c r="F16831" s="0" t="s">
        <v>90</v>
      </c>
      <c r="G16831" s="0" t="s">
        <v>32</v>
      </c>
      <c r="H16831" s="0" t="n">
        <v>37</v>
      </c>
      <c r="I16831" s="0" t="s">
        <v>55946</v>
      </c>
      <c r="J16831" s="0" t="s">
        <v>55947</v>
      </c>
      <c r="K16831" s="0" t="s">
        <v>55948</v>
      </c>
      <c r="L16831" s="0" t="str">
        <f aca="false">HYPERLINK("https://www.ncbi.nlm.nih.gov/nuccore/CP000058.1?report=graph&amp;tracks=[key:gene_model_track,Options:GeneOnly]&amp;mk=5186874:5186893|offset_16|444444,5186853:5186872|offset_37|00cc00,5186819:5186838|offset_71|444444,5186793:5186812|offset_97|444444&amp;v=5186673:5187012&amp;c=444444", "offset 37")</f>
        <v>offset 37</v>
      </c>
    </row>
    <row r="16832" customFormat="false" ht="12.8" hidden="false" customHeight="false" outlineLevel="0" collapsed="false">
      <c r="A16832" s="0" t="s">
        <v>12</v>
      </c>
      <c r="B16832" s="0" t="n">
        <v>5186818</v>
      </c>
      <c r="C16832" s="0" t="n">
        <v>5186838</v>
      </c>
      <c r="D16832" s="0" t="s">
        <v>55942</v>
      </c>
      <c r="E16832" s="0" t="s">
        <v>75</v>
      </c>
      <c r="F16832" s="0" t="s">
        <v>90</v>
      </c>
      <c r="G16832" s="0" t="s">
        <v>32</v>
      </c>
      <c r="H16832" s="0" t="n">
        <v>71</v>
      </c>
      <c r="I16832" s="0" t="s">
        <v>55949</v>
      </c>
      <c r="J16832" s="0" t="s">
        <v>55950</v>
      </c>
      <c r="K16832" s="0" t="s">
        <v>55951</v>
      </c>
      <c r="L16832" s="0" t="str">
        <f aca="false">HYPERLINK("https://www.ncbi.nlm.nih.gov/nuccore/CP000058.1?report=graph&amp;tracks=[key:gene_model_track,Options:GeneOnly]&amp;mk=5186874:5186893|offset_16|444444,5186853:5186872|offset_37|444444,5186819:5186838|offset_71|00cc00,5186793:5186812|offset_97|444444&amp;v=5186673:5187012&amp;c=444444", "offset 71")</f>
        <v>offset 71</v>
      </c>
    </row>
    <row r="16833" customFormat="false" ht="12.8" hidden="false" customHeight="false" outlineLevel="0" collapsed="false">
      <c r="A16833" s="0" t="s">
        <v>12</v>
      </c>
      <c r="B16833" s="0" t="n">
        <v>5186792</v>
      </c>
      <c r="C16833" s="0" t="n">
        <v>5186812</v>
      </c>
      <c r="D16833" s="0" t="s">
        <v>55942</v>
      </c>
      <c r="E16833" s="0" t="s">
        <v>75</v>
      </c>
      <c r="F16833" s="0" t="s">
        <v>90</v>
      </c>
      <c r="G16833" s="0" t="s">
        <v>16</v>
      </c>
      <c r="H16833" s="0" t="n">
        <v>97</v>
      </c>
      <c r="I16833" s="0" t="s">
        <v>55952</v>
      </c>
      <c r="J16833" s="0" t="s">
        <v>55953</v>
      </c>
      <c r="K16833" s="0" t="s">
        <v>55954</v>
      </c>
      <c r="L16833" s="0" t="str">
        <f aca="false">HYPERLINK("https://www.ncbi.nlm.nih.gov/nuccore/CP000058.1?report=graph&amp;tracks=[key:gene_model_track,Options:GeneOnly]&amp;mk=5186874:5186893|offset_16|444444,5186853:5186872|offset_37|444444,5186819:5186838|offset_71|444444,5186793:5186812|offset_97|00cc00&amp;v=5186673:5187012&amp;c=444444", "offset 97")</f>
        <v>offset 97</v>
      </c>
    </row>
    <row r="16834" customFormat="false" ht="12.8" hidden="false" customHeight="false" outlineLevel="0" collapsed="false">
      <c r="A16834" s="0" t="s">
        <v>12</v>
      </c>
      <c r="B16834" s="0" t="n">
        <v>5188234</v>
      </c>
      <c r="C16834" s="0" t="n">
        <v>5188254</v>
      </c>
      <c r="D16834" s="0" t="s">
        <v>55955</v>
      </c>
      <c r="E16834" s="0" t="s">
        <v>75</v>
      </c>
      <c r="F16834" s="0" t="s">
        <v>90</v>
      </c>
      <c r="G16834" s="0" t="s">
        <v>36</v>
      </c>
      <c r="H16834" s="0" t="n">
        <v>12</v>
      </c>
      <c r="I16834" s="0" t="s">
        <v>55956</v>
      </c>
      <c r="J16834" s="0" t="s">
        <v>55957</v>
      </c>
      <c r="K16834" s="0" t="s">
        <v>55958</v>
      </c>
      <c r="L16834" s="0" t="str">
        <f aca="false">HYPERLINK("https://www.ncbi.nlm.nih.gov/nuccore/CP000058.1?report=graph&amp;tracks=[key:gene_model_track,Options:GeneOnly]&amp;mk=5188235:5188254|offset_12|00cc00,5188205:5188224|offset_42|444444,5188140:5188159|offset_107|444444,5188063:5188082|offset_184|444444&amp;v=5188034:5188282&amp;c=444444", "offset 12")</f>
        <v>offset 12</v>
      </c>
    </row>
    <row r="16835" customFormat="false" ht="12.8" hidden="false" customHeight="false" outlineLevel="0" collapsed="false">
      <c r="A16835" s="0" t="s">
        <v>12</v>
      </c>
      <c r="B16835" s="0" t="n">
        <v>5188204</v>
      </c>
      <c r="C16835" s="0" t="n">
        <v>5188224</v>
      </c>
      <c r="D16835" s="0" t="s">
        <v>55955</v>
      </c>
      <c r="E16835" s="0" t="s">
        <v>75</v>
      </c>
      <c r="F16835" s="0" t="s">
        <v>90</v>
      </c>
      <c r="G16835" s="0" t="s">
        <v>36</v>
      </c>
      <c r="H16835" s="0" t="n">
        <v>42</v>
      </c>
      <c r="I16835" s="0" t="s">
        <v>55959</v>
      </c>
      <c r="J16835" s="0" t="s">
        <v>55960</v>
      </c>
      <c r="K16835" s="0" t="s">
        <v>55961</v>
      </c>
      <c r="L16835" s="0" t="str">
        <f aca="false">HYPERLINK("https://www.ncbi.nlm.nih.gov/nuccore/CP000058.1?report=graph&amp;tracks=[key:gene_model_track,Options:GeneOnly]&amp;mk=5188235:5188254|offset_12|444444,5188205:5188224|offset_42|00cc00,5188140:5188159|offset_107|444444,5188063:5188082|offset_184|444444&amp;v=5188034:5188282&amp;c=444444", "offset 42")</f>
        <v>offset 42</v>
      </c>
    </row>
    <row r="16836" customFormat="false" ht="12.8" hidden="false" customHeight="false" outlineLevel="0" collapsed="false">
      <c r="A16836" s="0" t="s">
        <v>12</v>
      </c>
      <c r="B16836" s="0" t="n">
        <v>5188139</v>
      </c>
      <c r="C16836" s="0" t="n">
        <v>5188159</v>
      </c>
      <c r="D16836" s="0" t="s">
        <v>55955</v>
      </c>
      <c r="E16836" s="0" t="s">
        <v>75</v>
      </c>
      <c r="F16836" s="0" t="s">
        <v>90</v>
      </c>
      <c r="G16836" s="0" t="s">
        <v>32</v>
      </c>
      <c r="H16836" s="0" t="n">
        <v>107</v>
      </c>
      <c r="I16836" s="0" t="s">
        <v>55962</v>
      </c>
      <c r="J16836" s="0" t="s">
        <v>55963</v>
      </c>
      <c r="K16836" s="0" t="s">
        <v>55964</v>
      </c>
      <c r="L16836" s="0" t="str">
        <f aca="false">HYPERLINK("https://www.ncbi.nlm.nih.gov/nuccore/CP000058.1?report=graph&amp;tracks=[key:gene_model_track,Options:GeneOnly]&amp;mk=5188235:5188254|offset_12|444444,5188205:5188224|offset_42|444444,5188140:5188159|offset_107|00cc00,5188063:5188082|offset_184|444444&amp;v=5188034:5188282&amp;c=444444", "offset 107")</f>
        <v>offset 107</v>
      </c>
    </row>
    <row r="16837" customFormat="false" ht="12.8" hidden="false" customHeight="false" outlineLevel="0" collapsed="false">
      <c r="A16837" s="0" t="s">
        <v>12</v>
      </c>
      <c r="B16837" s="0" t="n">
        <v>5188062</v>
      </c>
      <c r="C16837" s="0" t="n">
        <v>5188082</v>
      </c>
      <c r="D16837" s="0" t="s">
        <v>55955</v>
      </c>
      <c r="E16837" s="0" t="s">
        <v>75</v>
      </c>
      <c r="F16837" s="0" t="s">
        <v>90</v>
      </c>
      <c r="G16837" s="0" t="s">
        <v>16</v>
      </c>
      <c r="H16837" s="0" t="n">
        <v>184</v>
      </c>
      <c r="I16837" s="0" t="s">
        <v>55965</v>
      </c>
      <c r="J16837" s="0" t="s">
        <v>55966</v>
      </c>
      <c r="K16837" s="0" t="s">
        <v>55967</v>
      </c>
      <c r="L16837" s="0" t="str">
        <f aca="false">HYPERLINK("https://www.ncbi.nlm.nih.gov/nuccore/CP000058.1?report=graph&amp;tracks=[key:gene_model_track,Options:GeneOnly]&amp;mk=5188235:5188254|offset_12|444444,5188205:5188224|offset_42|444444,5188140:5188159|offset_107|444444,5188063:5188082|offset_184|00cc00&amp;v=5188034:5188282&amp;c=444444", "offset 184")</f>
        <v>offset 184</v>
      </c>
    </row>
    <row r="16838" customFormat="false" ht="12.8" hidden="false" customHeight="false" outlineLevel="0" collapsed="false">
      <c r="A16838" s="0" t="s">
        <v>12</v>
      </c>
      <c r="B16838" s="0" t="n">
        <v>5188655</v>
      </c>
      <c r="C16838" s="0" t="n">
        <v>5188675</v>
      </c>
      <c r="D16838" s="0" t="s">
        <v>55968</v>
      </c>
      <c r="E16838" s="0" t="s">
        <v>75</v>
      </c>
      <c r="F16838" s="0" t="s">
        <v>15</v>
      </c>
      <c r="G16838" s="0" t="s">
        <v>16</v>
      </c>
      <c r="H16838" s="0" t="n">
        <v>16</v>
      </c>
      <c r="I16838" s="0" t="s">
        <v>55969</v>
      </c>
      <c r="J16838" s="0" t="s">
        <v>55970</v>
      </c>
      <c r="K16838" s="0" t="s">
        <v>55971</v>
      </c>
      <c r="L16838" s="0" t="str">
        <f aca="false">HYPERLINK("https://www.ncbi.nlm.nih.gov/nuccore/CP000058.1?report=graph&amp;tracks=[key:gene_model_track,Options:GeneOnly]&amp;mk=5188656:5188675|offset_16|00cc00,5188697:5188716|offset_57|444444,5188728:5188747|offset_88|444444,5188749:5188768|offset_109|444444&amp;v=5188455:5188968&amp;c=444444", "offset 16")</f>
        <v>offset 16</v>
      </c>
    </row>
    <row r="16839" customFormat="false" ht="12.8" hidden="false" customHeight="false" outlineLevel="0" collapsed="false">
      <c r="A16839" s="0" t="s">
        <v>12</v>
      </c>
      <c r="B16839" s="0" t="n">
        <v>5188696</v>
      </c>
      <c r="C16839" s="0" t="n">
        <v>5188716</v>
      </c>
      <c r="D16839" s="0" t="s">
        <v>55968</v>
      </c>
      <c r="E16839" s="0" t="s">
        <v>75</v>
      </c>
      <c r="F16839" s="0" t="s">
        <v>15</v>
      </c>
      <c r="G16839" s="0" t="s">
        <v>20</v>
      </c>
      <c r="H16839" s="0" t="n">
        <v>57</v>
      </c>
      <c r="I16839" s="0" t="s">
        <v>55972</v>
      </c>
      <c r="J16839" s="0" t="s">
        <v>55973</v>
      </c>
      <c r="K16839" s="0" t="s">
        <v>55974</v>
      </c>
      <c r="L16839" s="0" t="str">
        <f aca="false">HYPERLINK("https://www.ncbi.nlm.nih.gov/nuccore/CP000058.1?report=graph&amp;tracks=[key:gene_model_track,Options:GeneOnly]&amp;mk=5188656:5188675|offset_16|444444,5188697:5188716|offset_57|00cc00,5188728:5188747|offset_88|444444,5188749:5188768|offset_109|444444&amp;v=5188455:5188968&amp;c=444444", "offset 57")</f>
        <v>offset 57</v>
      </c>
    </row>
    <row r="16840" customFormat="false" ht="12.8" hidden="false" customHeight="false" outlineLevel="0" collapsed="false">
      <c r="A16840" s="0" t="s">
        <v>12</v>
      </c>
      <c r="B16840" s="0" t="n">
        <v>5188727</v>
      </c>
      <c r="C16840" s="0" t="n">
        <v>5188747</v>
      </c>
      <c r="D16840" s="0" t="s">
        <v>55968</v>
      </c>
      <c r="E16840" s="0" t="s">
        <v>75</v>
      </c>
      <c r="F16840" s="0" t="s">
        <v>15</v>
      </c>
      <c r="G16840" s="0" t="s">
        <v>32</v>
      </c>
      <c r="H16840" s="0" t="n">
        <v>88</v>
      </c>
      <c r="I16840" s="0" t="s">
        <v>55975</v>
      </c>
      <c r="J16840" s="0" t="s">
        <v>55976</v>
      </c>
      <c r="K16840" s="0" t="s">
        <v>55977</v>
      </c>
      <c r="L16840" s="0" t="str">
        <f aca="false">HYPERLINK("https://www.ncbi.nlm.nih.gov/nuccore/CP000058.1?report=graph&amp;tracks=[key:gene_model_track,Options:GeneOnly]&amp;mk=5188656:5188675|offset_16|444444,5188697:5188716|offset_57|444444,5188728:5188747|offset_88|00cc00,5188749:5188768|offset_109|444444&amp;v=5188455:5188968&amp;c=444444", "offset 88")</f>
        <v>offset 88</v>
      </c>
    </row>
    <row r="16841" customFormat="false" ht="12.8" hidden="false" customHeight="false" outlineLevel="0" collapsed="false">
      <c r="A16841" s="0" t="s">
        <v>12</v>
      </c>
      <c r="B16841" s="0" t="n">
        <v>5188748</v>
      </c>
      <c r="C16841" s="0" t="n">
        <v>5188768</v>
      </c>
      <c r="D16841" s="0" t="s">
        <v>55968</v>
      </c>
      <c r="E16841" s="0" t="s">
        <v>75</v>
      </c>
      <c r="F16841" s="0" t="s">
        <v>15</v>
      </c>
      <c r="G16841" s="0" t="s">
        <v>32</v>
      </c>
      <c r="H16841" s="0" t="n">
        <v>109</v>
      </c>
      <c r="I16841" s="0" t="s">
        <v>55978</v>
      </c>
      <c r="J16841" s="0" t="s">
        <v>55979</v>
      </c>
      <c r="K16841" s="0" t="s">
        <v>55980</v>
      </c>
      <c r="L16841" s="0" t="str">
        <f aca="false">HYPERLINK("https://www.ncbi.nlm.nih.gov/nuccore/CP000058.1?report=graph&amp;tracks=[key:gene_model_track,Options:GeneOnly]&amp;mk=5188656:5188675|offset_16|444444,5188697:5188716|offset_57|444444,5188728:5188747|offset_88|444444,5188749:5188768|offset_109|00cc00&amp;v=5188455:5188968&amp;c=444444", "offset 109")</f>
        <v>offset 109</v>
      </c>
    </row>
    <row r="16842" customFormat="false" ht="12.8" hidden="false" customHeight="false" outlineLevel="0" collapsed="false">
      <c r="A16842" s="0" t="s">
        <v>12</v>
      </c>
      <c r="B16842" s="0" t="n">
        <v>5190263</v>
      </c>
      <c r="C16842" s="0" t="n">
        <v>5190283</v>
      </c>
      <c r="D16842" s="0" t="s">
        <v>55981</v>
      </c>
      <c r="E16842" s="0" t="s">
        <v>75</v>
      </c>
      <c r="F16842" s="0" t="s">
        <v>15</v>
      </c>
      <c r="G16842" s="0" t="s">
        <v>16</v>
      </c>
      <c r="H16842" s="0" t="n">
        <v>95</v>
      </c>
      <c r="I16842" s="0" t="s">
        <v>55982</v>
      </c>
      <c r="J16842" s="0" t="s">
        <v>55983</v>
      </c>
      <c r="K16842" s="0" t="s">
        <v>55984</v>
      </c>
      <c r="L16842" s="0" t="str">
        <f aca="false">HYPERLINK("https://www.ncbi.nlm.nih.gov/nuccore/CP000058.1?report=graph&amp;tracks=[key:gene_model_track,Options:GeneOnly]&amp;mk=5190264:5190283|offset_95|00cc00,5190290:5190309|offset_121|444444,5190362:5190381|offset_193|444444,5190385:5190404|offset_216|444444&amp;v=5190063:5190604&amp;c=444444", "offset 95")</f>
        <v>offset 95</v>
      </c>
    </row>
    <row r="16843" customFormat="false" ht="12.8" hidden="false" customHeight="false" outlineLevel="0" collapsed="false">
      <c r="A16843" s="0" t="s">
        <v>12</v>
      </c>
      <c r="B16843" s="0" t="n">
        <v>5190289</v>
      </c>
      <c r="C16843" s="0" t="n">
        <v>5190309</v>
      </c>
      <c r="D16843" s="0" t="s">
        <v>55981</v>
      </c>
      <c r="E16843" s="0" t="s">
        <v>75</v>
      </c>
      <c r="F16843" s="0" t="s">
        <v>15</v>
      </c>
      <c r="G16843" s="0" t="s">
        <v>32</v>
      </c>
      <c r="H16843" s="0" t="n">
        <v>121</v>
      </c>
      <c r="I16843" s="0" t="s">
        <v>55985</v>
      </c>
      <c r="J16843" s="0" t="s">
        <v>55986</v>
      </c>
      <c r="K16843" s="0" t="s">
        <v>55987</v>
      </c>
      <c r="L16843" s="0" t="str">
        <f aca="false">HYPERLINK("https://www.ncbi.nlm.nih.gov/nuccore/CP000058.1?report=graph&amp;tracks=[key:gene_model_track,Options:GeneOnly]&amp;mk=5190264:5190283|offset_95|444444,5190290:5190309|offset_121|00cc00,5190362:5190381|offset_193|444444,5190385:5190404|offset_216|444444&amp;v=5190063:5190604&amp;c=444444", "offset 121")</f>
        <v>offset 121</v>
      </c>
    </row>
    <row r="16844" customFormat="false" ht="12.8" hidden="false" customHeight="false" outlineLevel="0" collapsed="false">
      <c r="A16844" s="0" t="s">
        <v>12</v>
      </c>
      <c r="B16844" s="0" t="n">
        <v>5190361</v>
      </c>
      <c r="C16844" s="0" t="n">
        <v>5190381</v>
      </c>
      <c r="D16844" s="0" t="s">
        <v>55981</v>
      </c>
      <c r="E16844" s="0" t="s">
        <v>75</v>
      </c>
      <c r="F16844" s="0" t="s">
        <v>15</v>
      </c>
      <c r="G16844" s="0" t="s">
        <v>36</v>
      </c>
      <c r="H16844" s="0" t="n">
        <v>193</v>
      </c>
      <c r="I16844" s="0" t="s">
        <v>55988</v>
      </c>
      <c r="J16844" s="0" t="s">
        <v>55989</v>
      </c>
      <c r="K16844" s="0" t="s">
        <v>55990</v>
      </c>
      <c r="L16844" s="0" t="str">
        <f aca="false">HYPERLINK("https://www.ncbi.nlm.nih.gov/nuccore/CP000058.1?report=graph&amp;tracks=[key:gene_model_track,Options:GeneOnly]&amp;mk=5190264:5190283|offset_95|444444,5190290:5190309|offset_121|444444,5190362:5190381|offset_193|00cc00,5190385:5190404|offset_216|444444&amp;v=5190063:5190604&amp;c=444444", "offset 193")</f>
        <v>offset 193</v>
      </c>
    </row>
    <row r="16845" customFormat="false" ht="12.8" hidden="false" customHeight="false" outlineLevel="0" collapsed="false">
      <c r="A16845" s="0" t="s">
        <v>12</v>
      </c>
      <c r="B16845" s="0" t="n">
        <v>5190384</v>
      </c>
      <c r="C16845" s="0" t="n">
        <v>5190404</v>
      </c>
      <c r="D16845" s="0" t="s">
        <v>55981</v>
      </c>
      <c r="E16845" s="0" t="s">
        <v>75</v>
      </c>
      <c r="F16845" s="0" t="s">
        <v>15</v>
      </c>
      <c r="G16845" s="0" t="s">
        <v>36</v>
      </c>
      <c r="H16845" s="0" t="n">
        <v>216</v>
      </c>
      <c r="I16845" s="0" t="s">
        <v>55991</v>
      </c>
      <c r="J16845" s="0" t="s">
        <v>55992</v>
      </c>
      <c r="K16845" s="0" t="s">
        <v>55993</v>
      </c>
      <c r="L16845" s="0" t="str">
        <f aca="false">HYPERLINK("https://www.ncbi.nlm.nih.gov/nuccore/CP000058.1?report=graph&amp;tracks=[key:gene_model_track,Options:GeneOnly]&amp;mk=5190264:5190283|offset_95|444444,5190290:5190309|offset_121|444444,5190362:5190381|offset_193|444444,5190385:5190404|offset_216|00cc00&amp;v=5190063:5190604&amp;c=444444", "offset 216")</f>
        <v>offset 216</v>
      </c>
    </row>
    <row r="16846" customFormat="false" ht="12.8" hidden="false" customHeight="false" outlineLevel="0" collapsed="false">
      <c r="A16846" s="0" t="s">
        <v>12</v>
      </c>
      <c r="B16846" s="0" t="n">
        <v>5191203</v>
      </c>
      <c r="C16846" s="0" t="n">
        <v>5191223</v>
      </c>
      <c r="D16846" s="0" t="s">
        <v>55994</v>
      </c>
      <c r="E16846" s="0" t="s">
        <v>75</v>
      </c>
      <c r="F16846" s="0" t="s">
        <v>15</v>
      </c>
      <c r="G16846" s="0" t="s">
        <v>36</v>
      </c>
      <c r="H16846" s="0" t="n">
        <v>68</v>
      </c>
      <c r="I16846" s="0" t="s">
        <v>55995</v>
      </c>
      <c r="J16846" s="0" t="s">
        <v>55996</v>
      </c>
      <c r="K16846" s="0" t="s">
        <v>55997</v>
      </c>
      <c r="L16846" s="0" t="str">
        <f aca="false">HYPERLINK("https://www.ncbi.nlm.nih.gov/nuccore/CP000058.1?report=graph&amp;tracks=[key:gene_model_track,Options:GeneOnly]&amp;mk=5191204:5191223|offset_68|00cc00,5191260:5191279|offset_124|444444,5191281:5191300|offset_145|444444,5191317:5191336|offset_181|444444&amp;v=5191003:5191536&amp;c=444444", "offset 68")</f>
        <v>offset 68</v>
      </c>
    </row>
    <row r="16847" customFormat="false" ht="12.8" hidden="false" customHeight="false" outlineLevel="0" collapsed="false">
      <c r="A16847" s="0" t="s">
        <v>12</v>
      </c>
      <c r="B16847" s="0" t="n">
        <v>5191259</v>
      </c>
      <c r="C16847" s="0" t="n">
        <v>5191279</v>
      </c>
      <c r="D16847" s="0" t="s">
        <v>55994</v>
      </c>
      <c r="E16847" s="0" t="s">
        <v>75</v>
      </c>
      <c r="F16847" s="0" t="s">
        <v>15</v>
      </c>
      <c r="G16847" s="0" t="s">
        <v>16</v>
      </c>
      <c r="H16847" s="0" t="n">
        <v>124</v>
      </c>
      <c r="I16847" s="0" t="s">
        <v>55998</v>
      </c>
      <c r="J16847" s="0" t="s">
        <v>55999</v>
      </c>
      <c r="K16847" s="0" t="s">
        <v>56000</v>
      </c>
      <c r="L16847" s="0" t="str">
        <f aca="false">HYPERLINK("https://www.ncbi.nlm.nih.gov/nuccore/CP000058.1?report=graph&amp;tracks=[key:gene_model_track,Options:GeneOnly]&amp;mk=5191204:5191223|offset_68|444444,5191260:5191279|offset_124|00cc00,5191281:5191300|offset_145|444444,5191317:5191336|offset_181|444444&amp;v=5191003:5191536&amp;c=444444", "offset 124")</f>
        <v>offset 124</v>
      </c>
    </row>
    <row r="16848" customFormat="false" ht="12.8" hidden="false" customHeight="false" outlineLevel="0" collapsed="false">
      <c r="A16848" s="0" t="s">
        <v>12</v>
      </c>
      <c r="B16848" s="0" t="n">
        <v>5191280</v>
      </c>
      <c r="C16848" s="0" t="n">
        <v>5191300</v>
      </c>
      <c r="D16848" s="0" t="s">
        <v>55994</v>
      </c>
      <c r="E16848" s="0" t="s">
        <v>75</v>
      </c>
      <c r="F16848" s="0" t="s">
        <v>15</v>
      </c>
      <c r="G16848" s="0" t="s">
        <v>36</v>
      </c>
      <c r="H16848" s="0" t="n">
        <v>145</v>
      </c>
      <c r="I16848" s="0" t="s">
        <v>56001</v>
      </c>
      <c r="J16848" s="0" t="s">
        <v>56002</v>
      </c>
      <c r="K16848" s="0" t="s">
        <v>56003</v>
      </c>
      <c r="L16848" s="0" t="str">
        <f aca="false">HYPERLINK("https://www.ncbi.nlm.nih.gov/nuccore/CP000058.1?report=graph&amp;tracks=[key:gene_model_track,Options:GeneOnly]&amp;mk=5191204:5191223|offset_68|444444,5191260:5191279|offset_124|444444,5191281:5191300|offset_145|00cc00,5191317:5191336|offset_181|444444&amp;v=5191003:5191536&amp;c=444444", "offset 145")</f>
        <v>offset 145</v>
      </c>
    </row>
    <row r="16849" customFormat="false" ht="12.8" hidden="false" customHeight="false" outlineLevel="0" collapsed="false">
      <c r="A16849" s="0" t="s">
        <v>12</v>
      </c>
      <c r="B16849" s="0" t="n">
        <v>5191316</v>
      </c>
      <c r="C16849" s="0" t="n">
        <v>5191336</v>
      </c>
      <c r="D16849" s="0" t="s">
        <v>55994</v>
      </c>
      <c r="E16849" s="0" t="s">
        <v>75</v>
      </c>
      <c r="F16849" s="0" t="s">
        <v>15</v>
      </c>
      <c r="G16849" s="0" t="s">
        <v>32</v>
      </c>
      <c r="H16849" s="0" t="n">
        <v>181</v>
      </c>
      <c r="I16849" s="0" t="s">
        <v>56004</v>
      </c>
      <c r="J16849" s="0" t="s">
        <v>56005</v>
      </c>
      <c r="K16849" s="0" t="s">
        <v>56006</v>
      </c>
      <c r="L16849" s="0" t="str">
        <f aca="false">HYPERLINK("https://www.ncbi.nlm.nih.gov/nuccore/CP000058.1?report=graph&amp;tracks=[key:gene_model_track,Options:GeneOnly]&amp;mk=5191204:5191223|offset_68|444444,5191260:5191279|offset_124|444444,5191281:5191300|offset_145|444444,5191317:5191336|offset_181|00cc00&amp;v=5191003:5191536&amp;c=444444", "offset 181")</f>
        <v>offset 181</v>
      </c>
    </row>
    <row r="16850" customFormat="false" ht="12.8" hidden="false" customHeight="false" outlineLevel="0" collapsed="false">
      <c r="A16850" s="0" t="s">
        <v>12</v>
      </c>
      <c r="B16850" s="0" t="n">
        <v>5192090</v>
      </c>
      <c r="C16850" s="0" t="n">
        <v>5192110</v>
      </c>
      <c r="D16850" s="0" t="s">
        <v>56007</v>
      </c>
      <c r="E16850" s="0" t="s">
        <v>75</v>
      </c>
      <c r="F16850" s="0" t="s">
        <v>15</v>
      </c>
      <c r="G16850" s="0" t="s">
        <v>32</v>
      </c>
      <c r="H16850" s="0" t="n">
        <v>9</v>
      </c>
      <c r="I16850" s="0" t="s">
        <v>56008</v>
      </c>
      <c r="J16850" s="0" t="s">
        <v>56009</v>
      </c>
      <c r="K16850" s="0" t="s">
        <v>56010</v>
      </c>
      <c r="L16850" s="0" t="str">
        <f aca="false">HYPERLINK("https://www.ncbi.nlm.nih.gov/nuccore/CP000058.1?report=graph&amp;tracks=[key:gene_model_track,Options:GeneOnly]&amp;mk=5192091:5192110|offset_9|00cc00,5192141:5192160|offset_59|444444,5192180:5192199|offset_98|444444,5192213:5192232|offset_131|444444&amp;v=5191890:5192432&amp;c=444444", "offset 9")</f>
        <v>offset 9</v>
      </c>
    </row>
    <row r="16851" customFormat="false" ht="12.8" hidden="false" customHeight="false" outlineLevel="0" collapsed="false">
      <c r="A16851" s="0" t="s">
        <v>12</v>
      </c>
      <c r="B16851" s="0" t="n">
        <v>5192140</v>
      </c>
      <c r="C16851" s="0" t="n">
        <v>5192160</v>
      </c>
      <c r="D16851" s="0" t="s">
        <v>56007</v>
      </c>
      <c r="E16851" s="0" t="s">
        <v>75</v>
      </c>
      <c r="F16851" s="0" t="s">
        <v>15</v>
      </c>
      <c r="G16851" s="0" t="s">
        <v>20</v>
      </c>
      <c r="H16851" s="0" t="n">
        <v>59</v>
      </c>
      <c r="I16851" s="0" t="s">
        <v>56011</v>
      </c>
      <c r="J16851" s="0" t="s">
        <v>56012</v>
      </c>
      <c r="K16851" s="0" t="s">
        <v>56013</v>
      </c>
      <c r="L16851" s="0" t="str">
        <f aca="false">HYPERLINK("https://www.ncbi.nlm.nih.gov/nuccore/CP000058.1?report=graph&amp;tracks=[key:gene_model_track,Options:GeneOnly]&amp;mk=5192091:5192110|offset_9|444444,5192141:5192160|offset_59|00cc00,5192180:5192199|offset_98|444444,5192213:5192232|offset_131|444444&amp;v=5191890:5192432&amp;c=444444", "offset 59")</f>
        <v>offset 59</v>
      </c>
    </row>
    <row r="16852" customFormat="false" ht="12.8" hidden="false" customHeight="false" outlineLevel="0" collapsed="false">
      <c r="A16852" s="0" t="s">
        <v>12</v>
      </c>
      <c r="B16852" s="0" t="n">
        <v>5192179</v>
      </c>
      <c r="C16852" s="0" t="n">
        <v>5192199</v>
      </c>
      <c r="D16852" s="0" t="s">
        <v>56007</v>
      </c>
      <c r="E16852" s="0" t="s">
        <v>75</v>
      </c>
      <c r="F16852" s="0" t="s">
        <v>15</v>
      </c>
      <c r="G16852" s="0" t="s">
        <v>20</v>
      </c>
      <c r="H16852" s="0" t="n">
        <v>98</v>
      </c>
      <c r="I16852" s="0" t="s">
        <v>56014</v>
      </c>
      <c r="J16852" s="0" t="s">
        <v>56015</v>
      </c>
      <c r="K16852" s="0" t="s">
        <v>56016</v>
      </c>
      <c r="L16852" s="0" t="str">
        <f aca="false">HYPERLINK("https://www.ncbi.nlm.nih.gov/nuccore/CP000058.1?report=graph&amp;tracks=[key:gene_model_track,Options:GeneOnly]&amp;mk=5192091:5192110|offset_9|444444,5192141:5192160|offset_59|444444,5192180:5192199|offset_98|00cc00,5192213:5192232|offset_131|444444&amp;v=5191890:5192432&amp;c=444444", "offset 98")</f>
        <v>offset 98</v>
      </c>
    </row>
    <row r="16853" customFormat="false" ht="12.8" hidden="false" customHeight="false" outlineLevel="0" collapsed="false">
      <c r="A16853" s="0" t="s">
        <v>12</v>
      </c>
      <c r="B16853" s="0" t="n">
        <v>5192212</v>
      </c>
      <c r="C16853" s="0" t="n">
        <v>5192232</v>
      </c>
      <c r="D16853" s="0" t="s">
        <v>56007</v>
      </c>
      <c r="E16853" s="0" t="s">
        <v>75</v>
      </c>
      <c r="F16853" s="0" t="s">
        <v>15</v>
      </c>
      <c r="G16853" s="0" t="s">
        <v>20</v>
      </c>
      <c r="H16853" s="0" t="n">
        <v>131</v>
      </c>
      <c r="I16853" s="0" t="s">
        <v>56017</v>
      </c>
      <c r="J16853" s="0" t="s">
        <v>56018</v>
      </c>
      <c r="K16853" s="0" t="s">
        <v>56019</v>
      </c>
      <c r="L16853" s="0" t="str">
        <f aca="false">HYPERLINK("https://www.ncbi.nlm.nih.gov/nuccore/CP000058.1?report=graph&amp;tracks=[key:gene_model_track,Options:GeneOnly]&amp;mk=5192091:5192110|offset_9|444444,5192141:5192160|offset_59|444444,5192180:5192199|offset_98|444444,5192213:5192232|offset_131|00cc00&amp;v=5191890:5192432&amp;c=444444", "offset 131")</f>
        <v>offset 131</v>
      </c>
    </row>
    <row r="16854" customFormat="false" ht="12.8" hidden="false" customHeight="false" outlineLevel="0" collapsed="false">
      <c r="A16854" s="0" t="s">
        <v>12</v>
      </c>
      <c r="B16854" s="0" t="n">
        <v>5193436</v>
      </c>
      <c r="C16854" s="0" t="n">
        <v>5193456</v>
      </c>
      <c r="D16854" s="0" t="s">
        <v>56020</v>
      </c>
      <c r="E16854" s="0" t="s">
        <v>75</v>
      </c>
      <c r="F16854" s="0" t="s">
        <v>15</v>
      </c>
      <c r="G16854" s="0" t="s">
        <v>20</v>
      </c>
      <c r="H16854" s="0" t="n">
        <v>90</v>
      </c>
      <c r="I16854" s="0" t="s">
        <v>56021</v>
      </c>
      <c r="J16854" s="0" t="s">
        <v>56022</v>
      </c>
      <c r="K16854" s="0" t="s">
        <v>56023</v>
      </c>
      <c r="L16854" s="0" t="str">
        <f aca="false">HYPERLINK("https://www.ncbi.nlm.nih.gov/nuccore/CP000058.1?report=graph&amp;tracks=[key:gene_model_track,Options:GeneOnly]&amp;mk=5193437:5193456|offset_90|00cc00,5193484:5193503|offset_137|444444,5193527:5193546|offset_180|444444,5193569:5193588|offset_222|444444&amp;v=5193236:5193788&amp;c=444444", "offset 90")</f>
        <v>offset 90</v>
      </c>
    </row>
    <row r="16855" customFormat="false" ht="12.8" hidden="false" customHeight="false" outlineLevel="0" collapsed="false">
      <c r="A16855" s="0" t="s">
        <v>12</v>
      </c>
      <c r="B16855" s="0" t="n">
        <v>5193483</v>
      </c>
      <c r="C16855" s="0" t="n">
        <v>5193503</v>
      </c>
      <c r="D16855" s="0" t="s">
        <v>56020</v>
      </c>
      <c r="E16855" s="0" t="s">
        <v>75</v>
      </c>
      <c r="F16855" s="0" t="s">
        <v>15</v>
      </c>
      <c r="G16855" s="0" t="s">
        <v>16</v>
      </c>
      <c r="H16855" s="0" t="n">
        <v>137</v>
      </c>
      <c r="I16855" s="0" t="s">
        <v>56024</v>
      </c>
      <c r="J16855" s="0" t="s">
        <v>56025</v>
      </c>
      <c r="K16855" s="0" t="s">
        <v>56026</v>
      </c>
      <c r="L16855" s="0" t="str">
        <f aca="false">HYPERLINK("https://www.ncbi.nlm.nih.gov/nuccore/CP000058.1?report=graph&amp;tracks=[key:gene_model_track,Options:GeneOnly]&amp;mk=5193437:5193456|offset_90|444444,5193484:5193503|offset_137|00cc00,5193527:5193546|offset_180|444444,5193569:5193588|offset_222|444444&amp;v=5193236:5193788&amp;c=444444", "offset 137")</f>
        <v>offset 137</v>
      </c>
    </row>
    <row r="16856" customFormat="false" ht="12.8" hidden="false" customHeight="false" outlineLevel="0" collapsed="false">
      <c r="A16856" s="0" t="s">
        <v>12</v>
      </c>
      <c r="B16856" s="0" t="n">
        <v>5193526</v>
      </c>
      <c r="C16856" s="0" t="n">
        <v>5193546</v>
      </c>
      <c r="D16856" s="0" t="s">
        <v>56020</v>
      </c>
      <c r="E16856" s="0" t="s">
        <v>75</v>
      </c>
      <c r="F16856" s="0" t="s">
        <v>15</v>
      </c>
      <c r="G16856" s="0" t="s">
        <v>20</v>
      </c>
      <c r="H16856" s="0" t="n">
        <v>180</v>
      </c>
      <c r="I16856" s="0" t="s">
        <v>56027</v>
      </c>
      <c r="J16856" s="0" t="s">
        <v>56028</v>
      </c>
      <c r="K16856" s="0" t="s">
        <v>56029</v>
      </c>
      <c r="L16856" s="0" t="str">
        <f aca="false">HYPERLINK("https://www.ncbi.nlm.nih.gov/nuccore/CP000058.1?report=graph&amp;tracks=[key:gene_model_track,Options:GeneOnly]&amp;mk=5193437:5193456|offset_90|444444,5193484:5193503|offset_137|444444,5193527:5193546|offset_180|00cc00,5193569:5193588|offset_222|444444&amp;v=5193236:5193788&amp;c=444444", "offset 180")</f>
        <v>offset 180</v>
      </c>
    </row>
    <row r="16857" customFormat="false" ht="12.8" hidden="false" customHeight="false" outlineLevel="0" collapsed="false">
      <c r="A16857" s="0" t="s">
        <v>12</v>
      </c>
      <c r="B16857" s="0" t="n">
        <v>5193568</v>
      </c>
      <c r="C16857" s="0" t="n">
        <v>5193588</v>
      </c>
      <c r="D16857" s="0" t="s">
        <v>56020</v>
      </c>
      <c r="E16857" s="0" t="s">
        <v>75</v>
      </c>
      <c r="F16857" s="0" t="s">
        <v>15</v>
      </c>
      <c r="G16857" s="0" t="s">
        <v>16</v>
      </c>
      <c r="H16857" s="0" t="n">
        <v>222</v>
      </c>
      <c r="I16857" s="0" t="s">
        <v>56030</v>
      </c>
      <c r="J16857" s="0" t="s">
        <v>56031</v>
      </c>
      <c r="K16857" s="0" t="s">
        <v>56032</v>
      </c>
      <c r="L16857" s="0" t="str">
        <f aca="false">HYPERLINK("https://www.ncbi.nlm.nih.gov/nuccore/CP000058.1?report=graph&amp;tracks=[key:gene_model_track,Options:GeneOnly]&amp;mk=5193437:5193456|offset_90|444444,5193484:5193503|offset_137|444444,5193527:5193546|offset_180|444444,5193569:5193588|offset_222|00cc00&amp;v=5193236:5193788&amp;c=444444", "offset 222")</f>
        <v>offset 222</v>
      </c>
    </row>
    <row r="16858" customFormat="false" ht="12.8" hidden="false" customHeight="false" outlineLevel="0" collapsed="false">
      <c r="A16858" s="0" t="s">
        <v>12</v>
      </c>
      <c r="B16858" s="0" t="n">
        <v>5194551</v>
      </c>
      <c r="C16858" s="0" t="n">
        <v>5194571</v>
      </c>
      <c r="D16858" s="0" t="s">
        <v>56033</v>
      </c>
      <c r="E16858" s="0" t="s">
        <v>75</v>
      </c>
      <c r="F16858" s="0" t="s">
        <v>15</v>
      </c>
      <c r="G16858" s="0" t="s">
        <v>20</v>
      </c>
      <c r="H16858" s="0" t="n">
        <v>20</v>
      </c>
      <c r="I16858" s="0" t="s">
        <v>56034</v>
      </c>
      <c r="J16858" s="0" t="s">
        <v>56035</v>
      </c>
      <c r="K16858" s="0" t="s">
        <v>56036</v>
      </c>
      <c r="L16858" s="0" t="str">
        <f aca="false">HYPERLINK("https://www.ncbi.nlm.nih.gov/nuccore/CP000058.1?report=graph&amp;tracks=[key:gene_model_track,Options:GeneOnly]&amp;mk=5194552:5194571|offset_20|00cc00,5194576:5194595|offset_44|444444,5194597:5194616|offset_65|444444,5194633:5194652|offset_101|444444&amp;v=5194351:5194852&amp;c=444444", "offset 20")</f>
        <v>offset 20</v>
      </c>
    </row>
    <row r="16859" customFormat="false" ht="12.8" hidden="false" customHeight="false" outlineLevel="0" collapsed="false">
      <c r="A16859" s="0" t="s">
        <v>12</v>
      </c>
      <c r="B16859" s="0" t="n">
        <v>5194575</v>
      </c>
      <c r="C16859" s="0" t="n">
        <v>5194595</v>
      </c>
      <c r="D16859" s="0" t="s">
        <v>56033</v>
      </c>
      <c r="E16859" s="0" t="s">
        <v>75</v>
      </c>
      <c r="F16859" s="0" t="s">
        <v>15</v>
      </c>
      <c r="G16859" s="0" t="s">
        <v>36</v>
      </c>
      <c r="H16859" s="0" t="n">
        <v>44</v>
      </c>
      <c r="I16859" s="0" t="s">
        <v>56037</v>
      </c>
      <c r="J16859" s="0" t="s">
        <v>56038</v>
      </c>
      <c r="K16859" s="0" t="s">
        <v>56039</v>
      </c>
      <c r="L16859" s="0" t="str">
        <f aca="false">HYPERLINK("https://www.ncbi.nlm.nih.gov/nuccore/CP000058.1?report=graph&amp;tracks=[key:gene_model_track,Options:GeneOnly]&amp;mk=5194552:5194571|offset_20|444444,5194576:5194595|offset_44|00cc00,5194597:5194616|offset_65|444444,5194633:5194652|offset_101|444444&amp;v=5194351:5194852&amp;c=444444", "offset 44")</f>
        <v>offset 44</v>
      </c>
    </row>
    <row r="16860" customFormat="false" ht="12.8" hidden="false" customHeight="false" outlineLevel="0" collapsed="false">
      <c r="A16860" s="0" t="s">
        <v>12</v>
      </c>
      <c r="B16860" s="0" t="n">
        <v>5194596</v>
      </c>
      <c r="C16860" s="0" t="n">
        <v>5194616</v>
      </c>
      <c r="D16860" s="0" t="s">
        <v>56033</v>
      </c>
      <c r="E16860" s="0" t="s">
        <v>75</v>
      </c>
      <c r="F16860" s="0" t="s">
        <v>15</v>
      </c>
      <c r="G16860" s="0" t="s">
        <v>16</v>
      </c>
      <c r="H16860" s="0" t="n">
        <v>65</v>
      </c>
      <c r="I16860" s="0" t="s">
        <v>56040</v>
      </c>
      <c r="J16860" s="0" t="s">
        <v>56041</v>
      </c>
      <c r="K16860" s="0" t="s">
        <v>56042</v>
      </c>
      <c r="L16860" s="0" t="str">
        <f aca="false">HYPERLINK("https://www.ncbi.nlm.nih.gov/nuccore/CP000058.1?report=graph&amp;tracks=[key:gene_model_track,Options:GeneOnly]&amp;mk=5194552:5194571|offset_20|444444,5194576:5194595|offset_44|444444,5194597:5194616|offset_65|00cc00,5194633:5194652|offset_101|444444&amp;v=5194351:5194852&amp;c=444444", "offset 65")</f>
        <v>offset 65</v>
      </c>
    </row>
    <row r="16861" customFormat="false" ht="12.8" hidden="false" customHeight="false" outlineLevel="0" collapsed="false">
      <c r="A16861" s="0" t="s">
        <v>12</v>
      </c>
      <c r="B16861" s="0" t="n">
        <v>5194632</v>
      </c>
      <c r="C16861" s="0" t="n">
        <v>5194652</v>
      </c>
      <c r="D16861" s="0" t="s">
        <v>56033</v>
      </c>
      <c r="E16861" s="0" t="s">
        <v>75</v>
      </c>
      <c r="F16861" s="0" t="s">
        <v>15</v>
      </c>
      <c r="G16861" s="0" t="s">
        <v>20</v>
      </c>
      <c r="H16861" s="0" t="n">
        <v>101</v>
      </c>
      <c r="I16861" s="0" t="s">
        <v>56043</v>
      </c>
      <c r="J16861" s="0" t="s">
        <v>56044</v>
      </c>
      <c r="K16861" s="0" t="s">
        <v>56045</v>
      </c>
      <c r="L16861" s="0" t="str">
        <f aca="false">HYPERLINK("https://www.ncbi.nlm.nih.gov/nuccore/CP000058.1?report=graph&amp;tracks=[key:gene_model_track,Options:GeneOnly]&amp;mk=5194552:5194571|offset_20|444444,5194576:5194595|offset_44|444444,5194597:5194616|offset_65|444444,5194633:5194652|offset_101|00cc00&amp;v=5194351:5194852&amp;c=444444", "offset 101")</f>
        <v>offset 101</v>
      </c>
    </row>
    <row r="16862" customFormat="false" ht="12.8" hidden="false" customHeight="false" outlineLevel="0" collapsed="false">
      <c r="A16862" s="0" t="s">
        <v>12</v>
      </c>
      <c r="B16862" s="0" t="n">
        <v>5195911</v>
      </c>
      <c r="C16862" s="0" t="n">
        <v>5195931</v>
      </c>
      <c r="D16862" s="0" t="s">
        <v>56046</v>
      </c>
      <c r="E16862" s="0" t="s">
        <v>75</v>
      </c>
      <c r="F16862" s="0" t="s">
        <v>15</v>
      </c>
      <c r="G16862" s="0" t="s">
        <v>20</v>
      </c>
      <c r="H16862" s="0" t="n">
        <v>8</v>
      </c>
      <c r="I16862" s="0" t="s">
        <v>56047</v>
      </c>
      <c r="J16862" s="0" t="s">
        <v>56048</v>
      </c>
      <c r="K16862" s="0" t="s">
        <v>56049</v>
      </c>
      <c r="L16862" s="0" t="str">
        <f aca="false">HYPERLINK("https://www.ncbi.nlm.nih.gov/nuccore/CP000058.1?report=graph&amp;tracks=[key:gene_model_track,Options:GeneOnly]&amp;mk=5195912:5195931|offset_8|00cc00,5195961:5195980|offset_57|444444,5195981:5196000|offset_77|444444,5196014:5196033|offset_110|444444&amp;v=5195711:5196233&amp;c=444444", "offset 8")</f>
        <v>offset 8</v>
      </c>
    </row>
    <row r="16863" customFormat="false" ht="12.8" hidden="false" customHeight="false" outlineLevel="0" collapsed="false">
      <c r="A16863" s="0" t="s">
        <v>12</v>
      </c>
      <c r="B16863" s="0" t="n">
        <v>5195960</v>
      </c>
      <c r="C16863" s="0" t="n">
        <v>5195980</v>
      </c>
      <c r="D16863" s="0" t="s">
        <v>56046</v>
      </c>
      <c r="E16863" s="0" t="s">
        <v>75</v>
      </c>
      <c r="F16863" s="0" t="s">
        <v>15</v>
      </c>
      <c r="G16863" s="0" t="s">
        <v>16</v>
      </c>
      <c r="H16863" s="0" t="n">
        <v>57</v>
      </c>
      <c r="I16863" s="0" t="s">
        <v>56050</v>
      </c>
      <c r="J16863" s="0" t="s">
        <v>56051</v>
      </c>
      <c r="K16863" s="0" t="s">
        <v>56052</v>
      </c>
      <c r="L16863" s="0" t="str">
        <f aca="false">HYPERLINK("https://www.ncbi.nlm.nih.gov/nuccore/CP000058.1?report=graph&amp;tracks=[key:gene_model_track,Options:GeneOnly]&amp;mk=5195912:5195931|offset_8|444444,5195961:5195980|offset_57|00cc00,5195981:5196000|offset_77|444444,5196014:5196033|offset_110|444444&amp;v=5195711:5196233&amp;c=444444", "offset 57")</f>
        <v>offset 57</v>
      </c>
    </row>
    <row r="16864" customFormat="false" ht="12.8" hidden="false" customHeight="false" outlineLevel="0" collapsed="false">
      <c r="A16864" s="0" t="s">
        <v>12</v>
      </c>
      <c r="B16864" s="0" t="n">
        <v>5195980</v>
      </c>
      <c r="C16864" s="0" t="n">
        <v>5196000</v>
      </c>
      <c r="D16864" s="0" t="s">
        <v>56046</v>
      </c>
      <c r="E16864" s="0" t="s">
        <v>75</v>
      </c>
      <c r="F16864" s="0" t="s">
        <v>15</v>
      </c>
      <c r="G16864" s="0" t="s">
        <v>32</v>
      </c>
      <c r="H16864" s="0" t="n">
        <v>77</v>
      </c>
      <c r="I16864" s="0" t="s">
        <v>56053</v>
      </c>
      <c r="J16864" s="0" t="s">
        <v>56054</v>
      </c>
      <c r="K16864" s="0" t="s">
        <v>56055</v>
      </c>
      <c r="L16864" s="0" t="str">
        <f aca="false">HYPERLINK("https://www.ncbi.nlm.nih.gov/nuccore/CP000058.1?report=graph&amp;tracks=[key:gene_model_track,Options:GeneOnly]&amp;mk=5195912:5195931|offset_8|444444,5195961:5195980|offset_57|444444,5195981:5196000|offset_77|00cc00,5196014:5196033|offset_110|444444&amp;v=5195711:5196233&amp;c=444444", "offset 77")</f>
        <v>offset 77</v>
      </c>
    </row>
    <row r="16865" customFormat="false" ht="12.8" hidden="false" customHeight="false" outlineLevel="0" collapsed="false">
      <c r="A16865" s="0" t="s">
        <v>12</v>
      </c>
      <c r="B16865" s="0" t="n">
        <v>5196013</v>
      </c>
      <c r="C16865" s="0" t="n">
        <v>5196033</v>
      </c>
      <c r="D16865" s="0" t="s">
        <v>56046</v>
      </c>
      <c r="E16865" s="0" t="s">
        <v>75</v>
      </c>
      <c r="F16865" s="0" t="s">
        <v>15</v>
      </c>
      <c r="G16865" s="0" t="s">
        <v>32</v>
      </c>
      <c r="H16865" s="0" t="n">
        <v>110</v>
      </c>
      <c r="I16865" s="0" t="s">
        <v>56056</v>
      </c>
      <c r="J16865" s="0" t="s">
        <v>56057</v>
      </c>
      <c r="K16865" s="0" t="s">
        <v>56058</v>
      </c>
      <c r="L16865" s="0" t="str">
        <f aca="false">HYPERLINK("https://www.ncbi.nlm.nih.gov/nuccore/CP000058.1?report=graph&amp;tracks=[key:gene_model_track,Options:GeneOnly]&amp;mk=5195912:5195931|offset_8|444444,5195961:5195980|offset_57|444444,5195981:5196000|offset_77|444444,5196014:5196033|offset_110|00cc00&amp;v=5195711:5196233&amp;c=444444", "offset 110")</f>
        <v>offset 110</v>
      </c>
    </row>
    <row r="16866" customFormat="false" ht="12.8" hidden="false" customHeight="false" outlineLevel="0" collapsed="false">
      <c r="A16866" s="0" t="s">
        <v>12</v>
      </c>
      <c r="B16866" s="0" t="n">
        <v>5196635</v>
      </c>
      <c r="C16866" s="0" t="n">
        <v>5196655</v>
      </c>
      <c r="D16866" s="0" t="s">
        <v>56059</v>
      </c>
      <c r="E16866" s="0" t="s">
        <v>75</v>
      </c>
      <c r="F16866" s="0" t="s">
        <v>15</v>
      </c>
      <c r="G16866" s="0" t="s">
        <v>16</v>
      </c>
      <c r="H16866" s="0" t="n">
        <v>7</v>
      </c>
      <c r="I16866" s="0" t="s">
        <v>56060</v>
      </c>
      <c r="J16866" s="0" t="s">
        <v>56061</v>
      </c>
      <c r="K16866" s="0" t="s">
        <v>56062</v>
      </c>
      <c r="L16866" s="0" t="str">
        <f aca="false">HYPERLINK("https://www.ncbi.nlm.nih.gov/nuccore/CP000058.1?report=graph&amp;tracks=[key:gene_model_track,Options:GeneOnly]&amp;mk=5196636:5196655|offset_7|00cc00,5196687:5196706|offset_58|444444,5196757:5196776|offset_128|444444,5196789:5196808|offset_160|444444&amp;v=5196435:5197008&amp;c=444444", "offset 7")</f>
        <v>offset 7</v>
      </c>
    </row>
    <row r="16867" customFormat="false" ht="12.8" hidden="false" customHeight="false" outlineLevel="0" collapsed="false">
      <c r="A16867" s="0" t="s">
        <v>12</v>
      </c>
      <c r="B16867" s="0" t="n">
        <v>5196686</v>
      </c>
      <c r="C16867" s="0" t="n">
        <v>5196706</v>
      </c>
      <c r="D16867" s="0" t="s">
        <v>56059</v>
      </c>
      <c r="E16867" s="0" t="s">
        <v>75</v>
      </c>
      <c r="F16867" s="0" t="s">
        <v>15</v>
      </c>
      <c r="G16867" s="0" t="s">
        <v>32</v>
      </c>
      <c r="H16867" s="0" t="n">
        <v>58</v>
      </c>
      <c r="I16867" s="0" t="s">
        <v>56063</v>
      </c>
      <c r="J16867" s="0" t="s">
        <v>56064</v>
      </c>
      <c r="K16867" s="0" t="s">
        <v>56065</v>
      </c>
      <c r="L16867" s="0" t="str">
        <f aca="false">HYPERLINK("https://www.ncbi.nlm.nih.gov/nuccore/CP000058.1?report=graph&amp;tracks=[key:gene_model_track,Options:GeneOnly]&amp;mk=5196636:5196655|offset_7|444444,5196687:5196706|offset_58|00cc00,5196757:5196776|offset_128|444444,5196789:5196808|offset_160|444444&amp;v=5196435:5197008&amp;c=444444", "offset 58")</f>
        <v>offset 58</v>
      </c>
    </row>
    <row r="16868" customFormat="false" ht="12.8" hidden="false" customHeight="false" outlineLevel="0" collapsed="false">
      <c r="A16868" s="0" t="s">
        <v>12</v>
      </c>
      <c r="B16868" s="0" t="n">
        <v>5196756</v>
      </c>
      <c r="C16868" s="0" t="n">
        <v>5196776</v>
      </c>
      <c r="D16868" s="0" t="s">
        <v>56059</v>
      </c>
      <c r="E16868" s="0" t="s">
        <v>75</v>
      </c>
      <c r="F16868" s="0" t="s">
        <v>15</v>
      </c>
      <c r="G16868" s="0" t="s">
        <v>32</v>
      </c>
      <c r="H16868" s="0" t="n">
        <v>128</v>
      </c>
      <c r="I16868" s="0" t="s">
        <v>56066</v>
      </c>
      <c r="J16868" s="0" t="s">
        <v>56067</v>
      </c>
      <c r="K16868" s="0" t="s">
        <v>56068</v>
      </c>
      <c r="L16868" s="0" t="str">
        <f aca="false">HYPERLINK("https://www.ncbi.nlm.nih.gov/nuccore/CP000058.1?report=graph&amp;tracks=[key:gene_model_track,Options:GeneOnly]&amp;mk=5196636:5196655|offset_7|444444,5196687:5196706|offset_58|444444,5196757:5196776|offset_128|00cc00,5196789:5196808|offset_160|444444&amp;v=5196435:5197008&amp;c=444444", "offset 128")</f>
        <v>offset 128</v>
      </c>
    </row>
    <row r="16869" customFormat="false" ht="12.8" hidden="false" customHeight="false" outlineLevel="0" collapsed="false">
      <c r="A16869" s="0" t="s">
        <v>12</v>
      </c>
      <c r="B16869" s="0" t="n">
        <v>5196788</v>
      </c>
      <c r="C16869" s="0" t="n">
        <v>5196808</v>
      </c>
      <c r="D16869" s="0" t="s">
        <v>56059</v>
      </c>
      <c r="E16869" s="0" t="s">
        <v>75</v>
      </c>
      <c r="F16869" s="0" t="s">
        <v>15</v>
      </c>
      <c r="G16869" s="0" t="s">
        <v>20</v>
      </c>
      <c r="H16869" s="0" t="n">
        <v>160</v>
      </c>
      <c r="I16869" s="0" t="s">
        <v>56069</v>
      </c>
      <c r="J16869" s="0" t="s">
        <v>56070</v>
      </c>
      <c r="K16869" s="0" t="s">
        <v>56071</v>
      </c>
      <c r="L16869" s="0" t="str">
        <f aca="false">HYPERLINK("https://www.ncbi.nlm.nih.gov/nuccore/CP000058.1?report=graph&amp;tracks=[key:gene_model_track,Options:GeneOnly]&amp;mk=5196636:5196655|offset_7|444444,5196687:5196706|offset_58|444444,5196757:5196776|offset_128|444444,5196789:5196808|offset_160|00cc00&amp;v=5196435:5197008&amp;c=444444", "offset 160")</f>
        <v>offset 160</v>
      </c>
    </row>
    <row r="16870" customFormat="false" ht="12.8" hidden="false" customHeight="false" outlineLevel="0" collapsed="false">
      <c r="A16870" s="0" t="s">
        <v>12</v>
      </c>
      <c r="B16870" s="0" t="n">
        <v>5198605</v>
      </c>
      <c r="C16870" s="0" t="n">
        <v>5198625</v>
      </c>
      <c r="D16870" s="0" t="s">
        <v>56072</v>
      </c>
      <c r="E16870" s="0" t="s">
        <v>75</v>
      </c>
      <c r="F16870" s="0" t="s">
        <v>90</v>
      </c>
      <c r="G16870" s="0" t="s">
        <v>32</v>
      </c>
      <c r="H16870" s="0" t="n">
        <v>0</v>
      </c>
      <c r="I16870" s="0" t="s">
        <v>56073</v>
      </c>
      <c r="J16870" s="0" t="s">
        <v>56074</v>
      </c>
      <c r="K16870" s="0" t="s">
        <v>56075</v>
      </c>
      <c r="L16870" s="0" t="str">
        <f aca="false">HYPERLINK("https://www.ncbi.nlm.nih.gov/nuccore/CP000058.1?report=graph&amp;tracks=[key:gene_model_track,Options:GeneOnly]&amp;mk=5198606:5198625|offset_0|00cc00,5198561:5198580|offset_45|444444,5198524:5198543|offset_82|444444,5198503:5198522|offset_103|444444&amp;v=5198405:5198722&amp;c=444444", "offset 0")</f>
        <v>offset 0</v>
      </c>
    </row>
    <row r="16871" customFormat="false" ht="12.8" hidden="false" customHeight="false" outlineLevel="0" collapsed="false">
      <c r="A16871" s="0" t="s">
        <v>12</v>
      </c>
      <c r="B16871" s="0" t="n">
        <v>5198560</v>
      </c>
      <c r="C16871" s="0" t="n">
        <v>5198580</v>
      </c>
      <c r="D16871" s="0" t="s">
        <v>56072</v>
      </c>
      <c r="E16871" s="0" t="s">
        <v>75</v>
      </c>
      <c r="F16871" s="0" t="s">
        <v>90</v>
      </c>
      <c r="G16871" s="0" t="s">
        <v>20</v>
      </c>
      <c r="H16871" s="0" t="n">
        <v>45</v>
      </c>
      <c r="I16871" s="0" t="s">
        <v>56076</v>
      </c>
      <c r="J16871" s="0" t="s">
        <v>56077</v>
      </c>
      <c r="K16871" s="0" t="s">
        <v>56078</v>
      </c>
      <c r="L16871" s="0" t="str">
        <f aca="false">HYPERLINK("https://www.ncbi.nlm.nih.gov/nuccore/CP000058.1?report=graph&amp;tracks=[key:gene_model_track,Options:GeneOnly]&amp;mk=5198606:5198625|offset_0|444444,5198561:5198580|offset_45|00cc00,5198524:5198543|offset_82|444444,5198503:5198522|offset_103|444444&amp;v=5198405:5198722&amp;c=444444", "offset 45")</f>
        <v>offset 45</v>
      </c>
    </row>
    <row r="16872" customFormat="false" ht="12.8" hidden="false" customHeight="false" outlineLevel="0" collapsed="false">
      <c r="A16872" s="0" t="s">
        <v>12</v>
      </c>
      <c r="B16872" s="0" t="n">
        <v>5198523</v>
      </c>
      <c r="C16872" s="0" t="n">
        <v>5198543</v>
      </c>
      <c r="D16872" s="0" t="s">
        <v>56072</v>
      </c>
      <c r="E16872" s="0" t="s">
        <v>75</v>
      </c>
      <c r="F16872" s="0" t="s">
        <v>90</v>
      </c>
      <c r="G16872" s="0" t="s">
        <v>16</v>
      </c>
      <c r="H16872" s="0" t="n">
        <v>82</v>
      </c>
      <c r="I16872" s="0" t="s">
        <v>56079</v>
      </c>
      <c r="J16872" s="0" t="s">
        <v>56080</v>
      </c>
      <c r="K16872" s="0" t="s">
        <v>56081</v>
      </c>
      <c r="L16872" s="0" t="str">
        <f aca="false">HYPERLINK("https://www.ncbi.nlm.nih.gov/nuccore/CP000058.1?report=graph&amp;tracks=[key:gene_model_track,Options:GeneOnly]&amp;mk=5198606:5198625|offset_0|444444,5198561:5198580|offset_45|444444,5198524:5198543|offset_82|00cc00,5198503:5198522|offset_103|444444&amp;v=5198405:5198722&amp;c=444444", "offset 82")</f>
        <v>offset 82</v>
      </c>
    </row>
    <row r="16873" customFormat="false" ht="12.8" hidden="false" customHeight="false" outlineLevel="0" collapsed="false">
      <c r="A16873" s="0" t="s">
        <v>12</v>
      </c>
      <c r="B16873" s="0" t="n">
        <v>5198502</v>
      </c>
      <c r="C16873" s="0" t="n">
        <v>5198522</v>
      </c>
      <c r="D16873" s="0" t="s">
        <v>56072</v>
      </c>
      <c r="E16873" s="0" t="s">
        <v>75</v>
      </c>
      <c r="F16873" s="0" t="s">
        <v>90</v>
      </c>
      <c r="G16873" s="0" t="s">
        <v>20</v>
      </c>
      <c r="H16873" s="0" t="n">
        <v>103</v>
      </c>
      <c r="I16873" s="0" t="s">
        <v>56082</v>
      </c>
      <c r="J16873" s="0" t="s">
        <v>56083</v>
      </c>
      <c r="K16873" s="0" t="s">
        <v>56084</v>
      </c>
      <c r="L16873" s="0" t="str">
        <f aca="false">HYPERLINK("https://www.ncbi.nlm.nih.gov/nuccore/CP000058.1?report=graph&amp;tracks=[key:gene_model_track,Options:GeneOnly]&amp;mk=5198606:5198625|offset_0|444444,5198561:5198580|offset_45|444444,5198524:5198543|offset_82|444444,5198503:5198522|offset_103|00cc00&amp;v=5198405:5198722&amp;c=444444", "offset 103")</f>
        <v>offset 103</v>
      </c>
    </row>
    <row r="16874" customFormat="false" ht="12.8" hidden="false" customHeight="false" outlineLevel="0" collapsed="false">
      <c r="A16874" s="0" t="s">
        <v>12</v>
      </c>
      <c r="B16874" s="0" t="n">
        <v>5199005</v>
      </c>
      <c r="C16874" s="0" t="n">
        <v>5199025</v>
      </c>
      <c r="D16874" s="0" t="s">
        <v>56085</v>
      </c>
      <c r="E16874" s="0" t="s">
        <v>75</v>
      </c>
      <c r="F16874" s="0" t="s">
        <v>15</v>
      </c>
      <c r="G16874" s="0" t="s">
        <v>36</v>
      </c>
      <c r="H16874" s="0" t="n">
        <v>176</v>
      </c>
      <c r="I16874" s="0" t="s">
        <v>56086</v>
      </c>
      <c r="J16874" s="0" t="s">
        <v>56087</v>
      </c>
      <c r="K16874" s="0" t="s">
        <v>56088</v>
      </c>
      <c r="L16874" s="0" t="str">
        <f aca="false">HYPERLINK("https://www.ncbi.nlm.nih.gov/nuccore/CP000058.1?report=graph&amp;tracks=[key:gene_model_track,Options:GeneOnly]&amp;mk=5199006:5199025|offset_176|00cc00,5199048:5199067|offset_218|444444,5199068:5199087|offset_238|444444&amp;v=5198805:5199287&amp;c=444444", "offset 176")</f>
        <v>offset 176</v>
      </c>
    </row>
    <row r="16875" customFormat="false" ht="12.8" hidden="false" customHeight="false" outlineLevel="0" collapsed="false">
      <c r="A16875" s="0" t="s">
        <v>12</v>
      </c>
      <c r="B16875" s="0" t="n">
        <v>5199047</v>
      </c>
      <c r="C16875" s="0" t="n">
        <v>5199067</v>
      </c>
      <c r="D16875" s="0" t="s">
        <v>56085</v>
      </c>
      <c r="E16875" s="0" t="s">
        <v>75</v>
      </c>
      <c r="F16875" s="0" t="s">
        <v>15</v>
      </c>
      <c r="G16875" s="0" t="s">
        <v>36</v>
      </c>
      <c r="H16875" s="0" t="n">
        <v>218</v>
      </c>
      <c r="I16875" s="0" t="s">
        <v>56089</v>
      </c>
      <c r="J16875" s="0" t="s">
        <v>56090</v>
      </c>
      <c r="K16875" s="0" t="s">
        <v>56091</v>
      </c>
      <c r="L16875" s="0" t="str">
        <f aca="false">HYPERLINK("https://www.ncbi.nlm.nih.gov/nuccore/CP000058.1?report=graph&amp;tracks=[key:gene_model_track,Options:GeneOnly]&amp;mk=5199006:5199025|offset_176|444444,5199048:5199067|offset_218|00cc00,5199068:5199087|offset_238|444444&amp;v=5198805:5199287&amp;c=444444", "offset 218")</f>
        <v>offset 218</v>
      </c>
    </row>
    <row r="16876" customFormat="false" ht="12.8" hidden="false" customHeight="false" outlineLevel="0" collapsed="false">
      <c r="A16876" s="0" t="s">
        <v>12</v>
      </c>
      <c r="B16876" s="0" t="n">
        <v>5199067</v>
      </c>
      <c r="C16876" s="0" t="n">
        <v>5199087</v>
      </c>
      <c r="D16876" s="0" t="s">
        <v>56085</v>
      </c>
      <c r="E16876" s="0" t="s">
        <v>75</v>
      </c>
      <c r="F16876" s="0" t="s">
        <v>15</v>
      </c>
      <c r="G16876" s="0" t="s">
        <v>16</v>
      </c>
      <c r="H16876" s="0" t="n">
        <v>238</v>
      </c>
      <c r="I16876" s="0" t="s">
        <v>56092</v>
      </c>
      <c r="J16876" s="0" t="s">
        <v>56093</v>
      </c>
      <c r="K16876" s="0" t="s">
        <v>56094</v>
      </c>
      <c r="L16876" s="0" t="str">
        <f aca="false">HYPERLINK("https://www.ncbi.nlm.nih.gov/nuccore/CP000058.1?report=graph&amp;tracks=[key:gene_model_track,Options:GeneOnly]&amp;mk=5199006:5199025|offset_176|444444,5199048:5199067|offset_218|444444,5199068:5199087|offset_238|00cc00&amp;v=5198805:5199287&amp;c=444444", "offset 238")</f>
        <v>offset 238</v>
      </c>
    </row>
    <row r="16877" customFormat="false" ht="12.8" hidden="false" customHeight="false" outlineLevel="0" collapsed="false">
      <c r="A16877" s="0" t="s">
        <v>12</v>
      </c>
      <c r="B16877" s="0" t="n">
        <v>5204613</v>
      </c>
      <c r="C16877" s="0" t="n">
        <v>5204633</v>
      </c>
      <c r="D16877" s="0" t="s">
        <v>56095</v>
      </c>
      <c r="E16877" s="0" t="s">
        <v>75</v>
      </c>
      <c r="F16877" s="0" t="s">
        <v>90</v>
      </c>
      <c r="G16877" s="0" t="s">
        <v>36</v>
      </c>
      <c r="H16877" s="0" t="n">
        <v>39</v>
      </c>
      <c r="I16877" s="0" t="s">
        <v>56096</v>
      </c>
      <c r="J16877" s="0" t="s">
        <v>56097</v>
      </c>
      <c r="K16877" s="0" t="s">
        <v>56098</v>
      </c>
      <c r="L16877" s="0" t="str">
        <f aca="false">HYPERLINK("https://www.ncbi.nlm.nih.gov/nuccore/CP000058.1?report=graph&amp;tracks=[key:gene_model_track,Options:GeneOnly]&amp;mk=5204614:5204633|offset_39|00cc00,5204572:5204591|offset_81|444444,5204544:5204563|offset_109|444444,5204524:5204543|offset_129|444444&amp;v=5204413:5204743&amp;c=444444", "offset 39")</f>
        <v>offset 39</v>
      </c>
    </row>
    <row r="16878" customFormat="false" ht="12.8" hidden="false" customHeight="false" outlineLevel="0" collapsed="false">
      <c r="A16878" s="0" t="s">
        <v>12</v>
      </c>
      <c r="B16878" s="0" t="n">
        <v>5204571</v>
      </c>
      <c r="C16878" s="0" t="n">
        <v>5204591</v>
      </c>
      <c r="D16878" s="0" t="s">
        <v>56095</v>
      </c>
      <c r="E16878" s="0" t="s">
        <v>75</v>
      </c>
      <c r="F16878" s="0" t="s">
        <v>90</v>
      </c>
      <c r="G16878" s="0" t="s">
        <v>36</v>
      </c>
      <c r="H16878" s="0" t="n">
        <v>81</v>
      </c>
      <c r="I16878" s="0" t="s">
        <v>56099</v>
      </c>
      <c r="J16878" s="0" t="s">
        <v>56100</v>
      </c>
      <c r="K16878" s="0" t="s">
        <v>56101</v>
      </c>
      <c r="L16878" s="0" t="str">
        <f aca="false">HYPERLINK("https://www.ncbi.nlm.nih.gov/nuccore/CP000058.1?report=graph&amp;tracks=[key:gene_model_track,Options:GeneOnly]&amp;mk=5204614:5204633|offset_39|444444,5204572:5204591|offset_81|00cc00,5204544:5204563|offset_109|444444,5204524:5204543|offset_129|444444&amp;v=5204413:5204743&amp;c=444444", "offset 81")</f>
        <v>offset 81</v>
      </c>
    </row>
    <row r="16879" customFormat="false" ht="12.8" hidden="false" customHeight="false" outlineLevel="0" collapsed="false">
      <c r="A16879" s="0" t="s">
        <v>12</v>
      </c>
      <c r="B16879" s="0" t="n">
        <v>5204543</v>
      </c>
      <c r="C16879" s="0" t="n">
        <v>5204563</v>
      </c>
      <c r="D16879" s="0" t="s">
        <v>56095</v>
      </c>
      <c r="E16879" s="0" t="s">
        <v>75</v>
      </c>
      <c r="F16879" s="0" t="s">
        <v>90</v>
      </c>
      <c r="G16879" s="0" t="s">
        <v>32</v>
      </c>
      <c r="H16879" s="0" t="n">
        <v>109</v>
      </c>
      <c r="I16879" s="0" t="s">
        <v>56102</v>
      </c>
      <c r="J16879" s="0" t="s">
        <v>56103</v>
      </c>
      <c r="K16879" s="0" t="s">
        <v>56104</v>
      </c>
      <c r="L16879" s="0" t="str">
        <f aca="false">HYPERLINK("https://www.ncbi.nlm.nih.gov/nuccore/CP000058.1?report=graph&amp;tracks=[key:gene_model_track,Options:GeneOnly]&amp;mk=5204614:5204633|offset_39|444444,5204572:5204591|offset_81|444444,5204544:5204563|offset_109|00cc00,5204524:5204543|offset_129|444444&amp;v=5204413:5204743&amp;c=444444", "offset 109")</f>
        <v>offset 109</v>
      </c>
    </row>
    <row r="16880" customFormat="false" ht="12.8" hidden="false" customHeight="false" outlineLevel="0" collapsed="false">
      <c r="A16880" s="0" t="s">
        <v>12</v>
      </c>
      <c r="B16880" s="0" t="n">
        <v>5204523</v>
      </c>
      <c r="C16880" s="0" t="n">
        <v>5204543</v>
      </c>
      <c r="D16880" s="0" t="s">
        <v>56095</v>
      </c>
      <c r="E16880" s="0" t="s">
        <v>75</v>
      </c>
      <c r="F16880" s="0" t="s">
        <v>90</v>
      </c>
      <c r="G16880" s="0" t="s">
        <v>16</v>
      </c>
      <c r="H16880" s="0" t="n">
        <v>129</v>
      </c>
      <c r="I16880" s="0" t="s">
        <v>56105</v>
      </c>
      <c r="J16880" s="0" t="s">
        <v>56106</v>
      </c>
      <c r="K16880" s="0" t="s">
        <v>56107</v>
      </c>
      <c r="L16880" s="0" t="str">
        <f aca="false">HYPERLINK("https://www.ncbi.nlm.nih.gov/nuccore/CP000058.1?report=graph&amp;tracks=[key:gene_model_track,Options:GeneOnly]&amp;mk=5204614:5204633|offset_39|444444,5204572:5204591|offset_81|444444,5204544:5204563|offset_109|444444,5204524:5204543|offset_129|00cc00&amp;v=5204413:5204743&amp;c=444444", "offset 129")</f>
        <v>offset 129</v>
      </c>
    </row>
    <row r="16881" customFormat="false" ht="12.8" hidden="false" customHeight="false" outlineLevel="0" collapsed="false">
      <c r="A16881" s="0" t="s">
        <v>12</v>
      </c>
      <c r="B16881" s="0" t="n">
        <v>5208431</v>
      </c>
      <c r="C16881" s="0" t="n">
        <v>5208451</v>
      </c>
      <c r="D16881" s="0" t="s">
        <v>56108</v>
      </c>
      <c r="E16881" s="0" t="s">
        <v>75</v>
      </c>
      <c r="F16881" s="0" t="s">
        <v>90</v>
      </c>
      <c r="G16881" s="0" t="s">
        <v>32</v>
      </c>
      <c r="H16881" s="0" t="n">
        <v>1</v>
      </c>
      <c r="I16881" s="0" t="s">
        <v>56109</v>
      </c>
      <c r="J16881" s="0" t="s">
        <v>56110</v>
      </c>
      <c r="K16881" s="0" t="s">
        <v>56111</v>
      </c>
      <c r="L16881" s="0" t="str">
        <f aca="false">HYPERLINK("https://www.ncbi.nlm.nih.gov/nuccore/CP000058.1?report=graph&amp;tracks=[key:gene_model_track,Options:GeneOnly]&amp;mk=5208432:5208451|offset_1|00cc00,5208390:5208409|offset_43|444444,5208369:5208388|offset_64|444444,5208325:5208344|offset_108|444444&amp;v=5208231:5208544&amp;c=444444", "offset 1")</f>
        <v>offset 1</v>
      </c>
    </row>
    <row r="16882" customFormat="false" ht="12.8" hidden="false" customHeight="false" outlineLevel="0" collapsed="false">
      <c r="A16882" s="0" t="s">
        <v>12</v>
      </c>
      <c r="B16882" s="0" t="n">
        <v>5208389</v>
      </c>
      <c r="C16882" s="0" t="n">
        <v>5208409</v>
      </c>
      <c r="D16882" s="0" t="s">
        <v>56108</v>
      </c>
      <c r="E16882" s="0" t="s">
        <v>75</v>
      </c>
      <c r="F16882" s="0" t="s">
        <v>90</v>
      </c>
      <c r="G16882" s="0" t="s">
        <v>36</v>
      </c>
      <c r="H16882" s="0" t="n">
        <v>43</v>
      </c>
      <c r="I16882" s="0" t="s">
        <v>56112</v>
      </c>
      <c r="J16882" s="0" t="s">
        <v>56113</v>
      </c>
      <c r="K16882" s="0" t="s">
        <v>56114</v>
      </c>
      <c r="L16882" s="0" t="str">
        <f aca="false">HYPERLINK("https://www.ncbi.nlm.nih.gov/nuccore/CP000058.1?report=graph&amp;tracks=[key:gene_model_track,Options:GeneOnly]&amp;mk=5208432:5208451|offset_1|444444,5208390:5208409|offset_43|00cc00,5208369:5208388|offset_64|444444,5208325:5208344|offset_108|444444&amp;v=5208231:5208544&amp;c=444444", "offset 43")</f>
        <v>offset 43</v>
      </c>
    </row>
    <row r="16883" customFormat="false" ht="12.8" hidden="false" customHeight="false" outlineLevel="0" collapsed="false">
      <c r="A16883" s="0" t="s">
        <v>12</v>
      </c>
      <c r="B16883" s="0" t="n">
        <v>5208368</v>
      </c>
      <c r="C16883" s="0" t="n">
        <v>5208388</v>
      </c>
      <c r="D16883" s="0" t="s">
        <v>56108</v>
      </c>
      <c r="E16883" s="0" t="s">
        <v>75</v>
      </c>
      <c r="F16883" s="0" t="s">
        <v>90</v>
      </c>
      <c r="G16883" s="0" t="s">
        <v>36</v>
      </c>
      <c r="H16883" s="0" t="n">
        <v>64</v>
      </c>
      <c r="I16883" s="0" t="s">
        <v>56115</v>
      </c>
      <c r="J16883" s="0" t="s">
        <v>56116</v>
      </c>
      <c r="K16883" s="0" t="s">
        <v>56117</v>
      </c>
      <c r="L16883" s="0" t="str">
        <f aca="false">HYPERLINK("https://www.ncbi.nlm.nih.gov/nuccore/CP000058.1?report=graph&amp;tracks=[key:gene_model_track,Options:GeneOnly]&amp;mk=5208432:5208451|offset_1|444444,5208390:5208409|offset_43|444444,5208369:5208388|offset_64|00cc00,5208325:5208344|offset_108|444444&amp;v=5208231:5208544&amp;c=444444", "offset 64")</f>
        <v>offset 64</v>
      </c>
    </row>
    <row r="16884" customFormat="false" ht="12.8" hidden="false" customHeight="false" outlineLevel="0" collapsed="false">
      <c r="A16884" s="0" t="s">
        <v>12</v>
      </c>
      <c r="B16884" s="0" t="n">
        <v>5208324</v>
      </c>
      <c r="C16884" s="0" t="n">
        <v>5208344</v>
      </c>
      <c r="D16884" s="0" t="s">
        <v>56108</v>
      </c>
      <c r="E16884" s="0" t="s">
        <v>75</v>
      </c>
      <c r="F16884" s="0" t="s">
        <v>90</v>
      </c>
      <c r="G16884" s="0" t="s">
        <v>16</v>
      </c>
      <c r="H16884" s="0" t="n">
        <v>108</v>
      </c>
      <c r="I16884" s="0" t="s">
        <v>56118</v>
      </c>
      <c r="J16884" s="0" t="s">
        <v>56119</v>
      </c>
      <c r="K16884" s="0" t="s">
        <v>56120</v>
      </c>
      <c r="L16884" s="0" t="str">
        <f aca="false">HYPERLINK("https://www.ncbi.nlm.nih.gov/nuccore/CP000058.1?report=graph&amp;tracks=[key:gene_model_track,Options:GeneOnly]&amp;mk=5208432:5208451|offset_1|444444,5208390:5208409|offset_43|444444,5208369:5208388|offset_64|444444,5208325:5208344|offset_108|00cc00&amp;v=5208231:5208544&amp;c=444444", "offset 108")</f>
        <v>offset 108</v>
      </c>
    </row>
    <row r="16885" customFormat="false" ht="12.8" hidden="false" customHeight="false" outlineLevel="0" collapsed="false">
      <c r="A16885" s="0" t="s">
        <v>12</v>
      </c>
      <c r="B16885" s="0" t="n">
        <v>5208595</v>
      </c>
      <c r="C16885" s="0" t="n">
        <v>5208615</v>
      </c>
      <c r="D16885" s="0" t="s">
        <v>56121</v>
      </c>
      <c r="E16885" s="0" t="s">
        <v>56122</v>
      </c>
      <c r="F16885" s="0" t="s">
        <v>15</v>
      </c>
      <c r="G16885" s="0" t="s">
        <v>20</v>
      </c>
      <c r="H16885" s="0" t="n">
        <v>14</v>
      </c>
      <c r="I16885" s="0" t="s">
        <v>56123</v>
      </c>
      <c r="J16885" s="0" t="s">
        <v>56124</v>
      </c>
      <c r="K16885" s="0" t="s">
        <v>56125</v>
      </c>
      <c r="L16885" s="0" t="str">
        <f aca="false">HYPERLINK("https://www.ncbi.nlm.nih.gov/nuccore/CP000058.1?report=graph&amp;tracks=[key:gene_model_track,Options:GeneOnly]&amp;mk=5208596:5208615|offset_14|00cc00,5208616:5208635|offset_34|444444,5208638:5208657|offset_56|444444,5208673:5208692|offset_91|444444&amp;v=5208395:5208892&amp;c=444444", "offset 14")</f>
        <v>offset 14</v>
      </c>
    </row>
    <row r="16886" customFormat="false" ht="12.8" hidden="false" customHeight="false" outlineLevel="0" collapsed="false">
      <c r="A16886" s="0" t="s">
        <v>12</v>
      </c>
      <c r="B16886" s="0" t="n">
        <v>5208615</v>
      </c>
      <c r="C16886" s="0" t="n">
        <v>5208635</v>
      </c>
      <c r="D16886" s="0" t="s">
        <v>56121</v>
      </c>
      <c r="E16886" s="0" t="s">
        <v>56122</v>
      </c>
      <c r="F16886" s="0" t="s">
        <v>15</v>
      </c>
      <c r="G16886" s="0" t="s">
        <v>36</v>
      </c>
      <c r="H16886" s="0" t="n">
        <v>34</v>
      </c>
      <c r="I16886" s="0" t="s">
        <v>56126</v>
      </c>
      <c r="J16886" s="0" t="s">
        <v>56127</v>
      </c>
      <c r="K16886" s="0" t="s">
        <v>56128</v>
      </c>
      <c r="L16886" s="0" t="str">
        <f aca="false">HYPERLINK("https://www.ncbi.nlm.nih.gov/nuccore/CP000058.1?report=graph&amp;tracks=[key:gene_model_track,Options:GeneOnly]&amp;mk=5208596:5208615|offset_14|444444,5208616:5208635|offset_34|00cc00,5208638:5208657|offset_56|444444,5208673:5208692|offset_91|444444&amp;v=5208395:5208892&amp;c=444444", "offset 34")</f>
        <v>offset 34</v>
      </c>
    </row>
    <row r="16887" customFormat="false" ht="12.8" hidden="false" customHeight="false" outlineLevel="0" collapsed="false">
      <c r="A16887" s="0" t="s">
        <v>12</v>
      </c>
      <c r="B16887" s="0" t="n">
        <v>5208637</v>
      </c>
      <c r="C16887" s="0" t="n">
        <v>5208657</v>
      </c>
      <c r="D16887" s="0" t="s">
        <v>56121</v>
      </c>
      <c r="E16887" s="0" t="s">
        <v>56122</v>
      </c>
      <c r="F16887" s="0" t="s">
        <v>15</v>
      </c>
      <c r="G16887" s="0" t="s">
        <v>20</v>
      </c>
      <c r="H16887" s="0" t="n">
        <v>56</v>
      </c>
      <c r="I16887" s="0" t="s">
        <v>56129</v>
      </c>
      <c r="J16887" s="0" t="s">
        <v>56130</v>
      </c>
      <c r="K16887" s="0" t="s">
        <v>56131</v>
      </c>
      <c r="L16887" s="0" t="str">
        <f aca="false">HYPERLINK("https://www.ncbi.nlm.nih.gov/nuccore/CP000058.1?report=graph&amp;tracks=[key:gene_model_track,Options:GeneOnly]&amp;mk=5208596:5208615|offset_14|444444,5208616:5208635|offset_34|444444,5208638:5208657|offset_56|00cc00,5208673:5208692|offset_91|444444&amp;v=5208395:5208892&amp;c=444444", "offset 56")</f>
        <v>offset 56</v>
      </c>
    </row>
    <row r="16888" customFormat="false" ht="12.8" hidden="false" customHeight="false" outlineLevel="0" collapsed="false">
      <c r="A16888" s="0" t="s">
        <v>12</v>
      </c>
      <c r="B16888" s="0" t="n">
        <v>5208672</v>
      </c>
      <c r="C16888" s="0" t="n">
        <v>5208692</v>
      </c>
      <c r="D16888" s="0" t="s">
        <v>56121</v>
      </c>
      <c r="E16888" s="0" t="s">
        <v>56122</v>
      </c>
      <c r="F16888" s="0" t="s">
        <v>15</v>
      </c>
      <c r="G16888" s="0" t="s">
        <v>16</v>
      </c>
      <c r="H16888" s="0" t="n">
        <v>91</v>
      </c>
      <c r="I16888" s="0" t="s">
        <v>56132</v>
      </c>
      <c r="J16888" s="0" t="s">
        <v>56133</v>
      </c>
      <c r="K16888" s="0" t="s">
        <v>56134</v>
      </c>
      <c r="L16888" s="0" t="str">
        <f aca="false">HYPERLINK("https://www.ncbi.nlm.nih.gov/nuccore/CP000058.1?report=graph&amp;tracks=[key:gene_model_track,Options:GeneOnly]&amp;mk=5208596:5208615|offset_14|444444,5208616:5208635|offset_34|444444,5208638:5208657|offset_56|444444,5208673:5208692|offset_91|00cc00&amp;v=5208395:5208892&amp;c=444444", "offset 91")</f>
        <v>offset 91</v>
      </c>
    </row>
    <row r="16889" customFormat="false" ht="12.8" hidden="false" customHeight="false" outlineLevel="0" collapsed="false">
      <c r="A16889" s="0" t="s">
        <v>12</v>
      </c>
      <c r="B16889" s="0" t="n">
        <v>5211944</v>
      </c>
      <c r="C16889" s="0" t="n">
        <v>5211964</v>
      </c>
      <c r="D16889" s="0" t="s">
        <v>56135</v>
      </c>
      <c r="E16889" s="0" t="s">
        <v>56136</v>
      </c>
      <c r="F16889" s="0" t="s">
        <v>90</v>
      </c>
      <c r="G16889" s="0" t="s">
        <v>32</v>
      </c>
      <c r="H16889" s="0" t="n">
        <v>11</v>
      </c>
      <c r="I16889" s="0" t="s">
        <v>56137</v>
      </c>
      <c r="J16889" s="0" t="s">
        <v>56138</v>
      </c>
      <c r="K16889" s="0" t="s">
        <v>56139</v>
      </c>
      <c r="L16889" s="0" t="str">
        <f aca="false">HYPERLINK("https://www.ncbi.nlm.nih.gov/nuccore/CP000058.1?report=graph&amp;tracks=[key:gene_model_track,Options:GeneOnly]&amp;mk=5211945:5211964|offset_11|00cc00,5211885:5211904|offset_71|444444,5211819:5211838|offset_137|444444,5211768:5211787|offset_188|444444&amp;v=5211744:5211987&amp;c=444444", "offset 11")</f>
        <v>offset 11</v>
      </c>
    </row>
    <row r="16890" customFormat="false" ht="12.8" hidden="false" customHeight="false" outlineLevel="0" collapsed="false">
      <c r="A16890" s="0" t="s">
        <v>12</v>
      </c>
      <c r="B16890" s="0" t="n">
        <v>5211884</v>
      </c>
      <c r="C16890" s="0" t="n">
        <v>5211904</v>
      </c>
      <c r="D16890" s="0" t="s">
        <v>56135</v>
      </c>
      <c r="E16890" s="0" t="s">
        <v>56136</v>
      </c>
      <c r="F16890" s="0" t="s">
        <v>90</v>
      </c>
      <c r="G16890" s="0" t="s">
        <v>32</v>
      </c>
      <c r="H16890" s="0" t="n">
        <v>71</v>
      </c>
      <c r="I16890" s="0" t="s">
        <v>56140</v>
      </c>
      <c r="J16890" s="0" t="s">
        <v>56141</v>
      </c>
      <c r="K16890" s="0" t="s">
        <v>56142</v>
      </c>
      <c r="L16890" s="0" t="str">
        <f aca="false">HYPERLINK("https://www.ncbi.nlm.nih.gov/nuccore/CP000058.1?report=graph&amp;tracks=[key:gene_model_track,Options:GeneOnly]&amp;mk=5211945:5211964|offset_11|444444,5211885:5211904|offset_71|00cc00,5211819:5211838|offset_137|444444,5211768:5211787|offset_188|444444&amp;v=5211744:5211987&amp;c=444444", "offset 71")</f>
        <v>offset 71</v>
      </c>
    </row>
    <row r="16891" customFormat="false" ht="12.8" hidden="false" customHeight="false" outlineLevel="0" collapsed="false">
      <c r="A16891" s="0" t="s">
        <v>12</v>
      </c>
      <c r="B16891" s="0" t="n">
        <v>5211818</v>
      </c>
      <c r="C16891" s="0" t="n">
        <v>5211838</v>
      </c>
      <c r="D16891" s="0" t="s">
        <v>56135</v>
      </c>
      <c r="E16891" s="0" t="s">
        <v>56136</v>
      </c>
      <c r="F16891" s="0" t="s">
        <v>90</v>
      </c>
      <c r="G16891" s="0" t="s">
        <v>32</v>
      </c>
      <c r="H16891" s="0" t="n">
        <v>137</v>
      </c>
      <c r="I16891" s="0" t="s">
        <v>56143</v>
      </c>
      <c r="J16891" s="0" t="s">
        <v>56144</v>
      </c>
      <c r="K16891" s="0" t="s">
        <v>56145</v>
      </c>
      <c r="L16891" s="0" t="str">
        <f aca="false">HYPERLINK("https://www.ncbi.nlm.nih.gov/nuccore/CP000058.1?report=graph&amp;tracks=[key:gene_model_track,Options:GeneOnly]&amp;mk=5211945:5211964|offset_11|444444,5211885:5211904|offset_71|444444,5211819:5211838|offset_137|00cc00,5211768:5211787|offset_188|444444&amp;v=5211744:5211987&amp;c=444444", "offset 137")</f>
        <v>offset 137</v>
      </c>
    </row>
    <row r="16892" customFormat="false" ht="12.8" hidden="false" customHeight="false" outlineLevel="0" collapsed="false">
      <c r="A16892" s="0" t="s">
        <v>12</v>
      </c>
      <c r="B16892" s="0" t="n">
        <v>5211767</v>
      </c>
      <c r="C16892" s="0" t="n">
        <v>5211787</v>
      </c>
      <c r="D16892" s="0" t="s">
        <v>56135</v>
      </c>
      <c r="E16892" s="0" t="s">
        <v>56136</v>
      </c>
      <c r="F16892" s="0" t="s">
        <v>90</v>
      </c>
      <c r="G16892" s="0" t="s">
        <v>20</v>
      </c>
      <c r="H16892" s="0" t="n">
        <v>188</v>
      </c>
      <c r="I16892" s="0" t="s">
        <v>56146</v>
      </c>
      <c r="J16892" s="0" t="s">
        <v>56147</v>
      </c>
      <c r="K16892" s="0" t="s">
        <v>56148</v>
      </c>
      <c r="L16892" s="0" t="str">
        <f aca="false">HYPERLINK("https://www.ncbi.nlm.nih.gov/nuccore/CP000058.1?report=graph&amp;tracks=[key:gene_model_track,Options:GeneOnly]&amp;mk=5211945:5211964|offset_11|444444,5211885:5211904|offset_71|444444,5211819:5211838|offset_137|444444,5211768:5211787|offset_188|00cc00&amp;v=5211744:5211987&amp;c=444444", "offset 188")</f>
        <v>offset 188</v>
      </c>
    </row>
    <row r="16893" customFormat="false" ht="12.8" hidden="false" customHeight="false" outlineLevel="0" collapsed="false">
      <c r="A16893" s="0" t="s">
        <v>12</v>
      </c>
      <c r="B16893" s="0" t="n">
        <v>5213539</v>
      </c>
      <c r="C16893" s="0" t="n">
        <v>5213559</v>
      </c>
      <c r="D16893" s="0" t="s">
        <v>56149</v>
      </c>
      <c r="E16893" s="0" t="s">
        <v>56150</v>
      </c>
      <c r="F16893" s="0" t="s">
        <v>90</v>
      </c>
      <c r="G16893" s="0" t="s">
        <v>36</v>
      </c>
      <c r="H16893" s="0" t="n">
        <v>16</v>
      </c>
      <c r="I16893" s="0" t="s">
        <v>56151</v>
      </c>
      <c r="J16893" s="0" t="s">
        <v>56152</v>
      </c>
      <c r="K16893" s="0" t="s">
        <v>56153</v>
      </c>
      <c r="L16893" s="0" t="str">
        <f aca="false">HYPERLINK("https://www.ncbi.nlm.nih.gov/nuccore/CP000058.1?report=graph&amp;tracks=[key:gene_model_track,Options:GeneOnly]&amp;mk=5213540:5213559|offset_16|00cc00,5213517:5213536|offset_39|444444,5213482:5213501|offset_74|444444,5213452:5213471|offset_104|444444&amp;v=5213339:5213671&amp;c=444444", "offset 16")</f>
        <v>offset 16</v>
      </c>
    </row>
    <row r="16894" customFormat="false" ht="12.8" hidden="false" customHeight="false" outlineLevel="0" collapsed="false">
      <c r="A16894" s="0" t="s">
        <v>12</v>
      </c>
      <c r="B16894" s="0" t="n">
        <v>5213516</v>
      </c>
      <c r="C16894" s="0" t="n">
        <v>5213536</v>
      </c>
      <c r="D16894" s="0" t="s">
        <v>56149</v>
      </c>
      <c r="E16894" s="0" t="s">
        <v>56150</v>
      </c>
      <c r="F16894" s="0" t="s">
        <v>90</v>
      </c>
      <c r="G16894" s="0" t="s">
        <v>32</v>
      </c>
      <c r="H16894" s="0" t="n">
        <v>39</v>
      </c>
      <c r="I16894" s="0" t="s">
        <v>56154</v>
      </c>
      <c r="J16894" s="0" t="s">
        <v>56155</v>
      </c>
      <c r="K16894" s="0" t="s">
        <v>56156</v>
      </c>
      <c r="L16894" s="0" t="str">
        <f aca="false">HYPERLINK("https://www.ncbi.nlm.nih.gov/nuccore/CP000058.1?report=graph&amp;tracks=[key:gene_model_track,Options:GeneOnly]&amp;mk=5213540:5213559|offset_16|444444,5213517:5213536|offset_39|00cc00,5213482:5213501|offset_74|444444,5213452:5213471|offset_104|444444&amp;v=5213339:5213671&amp;c=444444", "offset 39")</f>
        <v>offset 39</v>
      </c>
    </row>
    <row r="16895" customFormat="false" ht="12.8" hidden="false" customHeight="false" outlineLevel="0" collapsed="false">
      <c r="A16895" s="0" t="s">
        <v>12</v>
      </c>
      <c r="B16895" s="0" t="n">
        <v>5213481</v>
      </c>
      <c r="C16895" s="0" t="n">
        <v>5213501</v>
      </c>
      <c r="D16895" s="0" t="s">
        <v>56149</v>
      </c>
      <c r="E16895" s="0" t="s">
        <v>56150</v>
      </c>
      <c r="F16895" s="0" t="s">
        <v>90</v>
      </c>
      <c r="G16895" s="0" t="s">
        <v>36</v>
      </c>
      <c r="H16895" s="0" t="n">
        <v>74</v>
      </c>
      <c r="I16895" s="0" t="s">
        <v>56157</v>
      </c>
      <c r="J16895" s="0" t="s">
        <v>56158</v>
      </c>
      <c r="K16895" s="0" t="s">
        <v>56159</v>
      </c>
      <c r="L16895" s="0" t="str">
        <f aca="false">HYPERLINK("https://www.ncbi.nlm.nih.gov/nuccore/CP000058.1?report=graph&amp;tracks=[key:gene_model_track,Options:GeneOnly]&amp;mk=5213540:5213559|offset_16|444444,5213517:5213536|offset_39|444444,5213482:5213501|offset_74|00cc00,5213452:5213471|offset_104|444444&amp;v=5213339:5213671&amp;c=444444", "offset 74")</f>
        <v>offset 74</v>
      </c>
    </row>
    <row r="16896" customFormat="false" ht="12.8" hidden="false" customHeight="false" outlineLevel="0" collapsed="false">
      <c r="A16896" s="0" t="s">
        <v>12</v>
      </c>
      <c r="B16896" s="0" t="n">
        <v>5213451</v>
      </c>
      <c r="C16896" s="0" t="n">
        <v>5213471</v>
      </c>
      <c r="D16896" s="0" t="s">
        <v>56149</v>
      </c>
      <c r="E16896" s="0" t="s">
        <v>56150</v>
      </c>
      <c r="F16896" s="0" t="s">
        <v>90</v>
      </c>
      <c r="G16896" s="0" t="s">
        <v>32</v>
      </c>
      <c r="H16896" s="0" t="n">
        <v>104</v>
      </c>
      <c r="I16896" s="0" t="s">
        <v>56160</v>
      </c>
      <c r="J16896" s="0" t="s">
        <v>56161</v>
      </c>
      <c r="K16896" s="0" t="s">
        <v>56162</v>
      </c>
      <c r="L16896" s="0" t="str">
        <f aca="false">HYPERLINK("https://www.ncbi.nlm.nih.gov/nuccore/CP000058.1?report=graph&amp;tracks=[key:gene_model_track,Options:GeneOnly]&amp;mk=5213540:5213559|offset_16|444444,5213517:5213536|offset_39|444444,5213482:5213501|offset_74|444444,5213452:5213471|offset_104|00cc00&amp;v=5213339:5213671&amp;c=444444", "offset 104")</f>
        <v>offset 104</v>
      </c>
    </row>
    <row r="16897" customFormat="false" ht="12.8" hidden="false" customHeight="false" outlineLevel="0" collapsed="false">
      <c r="A16897" s="0" t="s">
        <v>12</v>
      </c>
      <c r="B16897" s="0" t="n">
        <v>5214107</v>
      </c>
      <c r="C16897" s="0" t="n">
        <v>5214127</v>
      </c>
      <c r="D16897" s="0" t="s">
        <v>56163</v>
      </c>
      <c r="E16897" s="0" t="s">
        <v>56164</v>
      </c>
      <c r="F16897" s="0" t="s">
        <v>90</v>
      </c>
      <c r="G16897" s="0" t="s">
        <v>32</v>
      </c>
      <c r="H16897" s="0" t="n">
        <v>1</v>
      </c>
      <c r="I16897" s="0" t="s">
        <v>56165</v>
      </c>
      <c r="J16897" s="0" t="s">
        <v>56166</v>
      </c>
      <c r="K16897" s="0" t="s">
        <v>56167</v>
      </c>
      <c r="L16897" s="0" t="str">
        <f aca="false">HYPERLINK("https://www.ncbi.nlm.nih.gov/nuccore/CP000058.1?report=graph&amp;tracks=[key:gene_model_track,Options:GeneOnly]&amp;mk=5214108:5214127|offset_1|00cc00,5214080:5214099|offset_29|444444,5214059:5214078|offset_50|444444,5213997:5214016|offset_112|444444&amp;v=5213907:5214216&amp;c=444444", "offset 1")</f>
        <v>offset 1</v>
      </c>
    </row>
    <row r="16898" customFormat="false" ht="12.8" hidden="false" customHeight="false" outlineLevel="0" collapsed="false">
      <c r="A16898" s="0" t="s">
        <v>12</v>
      </c>
      <c r="B16898" s="0" t="n">
        <v>5214079</v>
      </c>
      <c r="C16898" s="0" t="n">
        <v>5214099</v>
      </c>
      <c r="D16898" s="0" t="s">
        <v>56163</v>
      </c>
      <c r="E16898" s="0" t="s">
        <v>56164</v>
      </c>
      <c r="F16898" s="0" t="s">
        <v>90</v>
      </c>
      <c r="G16898" s="0" t="s">
        <v>20</v>
      </c>
      <c r="H16898" s="0" t="n">
        <v>29</v>
      </c>
      <c r="I16898" s="0" t="s">
        <v>56168</v>
      </c>
      <c r="J16898" s="0" t="s">
        <v>56169</v>
      </c>
      <c r="K16898" s="0" t="s">
        <v>56170</v>
      </c>
      <c r="L16898" s="0" t="str">
        <f aca="false">HYPERLINK("https://www.ncbi.nlm.nih.gov/nuccore/CP000058.1?report=graph&amp;tracks=[key:gene_model_track,Options:GeneOnly]&amp;mk=5214108:5214127|offset_1|444444,5214080:5214099|offset_29|00cc00,5214059:5214078|offset_50|444444,5213997:5214016|offset_112|444444&amp;v=5213907:5214216&amp;c=444444", "offset 29")</f>
        <v>offset 29</v>
      </c>
    </row>
    <row r="16899" customFormat="false" ht="12.8" hidden="false" customHeight="false" outlineLevel="0" collapsed="false">
      <c r="A16899" s="0" t="s">
        <v>12</v>
      </c>
      <c r="B16899" s="0" t="n">
        <v>5214058</v>
      </c>
      <c r="C16899" s="0" t="n">
        <v>5214078</v>
      </c>
      <c r="D16899" s="0" t="s">
        <v>56163</v>
      </c>
      <c r="E16899" s="0" t="s">
        <v>56164</v>
      </c>
      <c r="F16899" s="0" t="s">
        <v>90</v>
      </c>
      <c r="G16899" s="0" t="s">
        <v>16</v>
      </c>
      <c r="H16899" s="0" t="n">
        <v>50</v>
      </c>
      <c r="I16899" s="0" t="s">
        <v>56171</v>
      </c>
      <c r="J16899" s="0" t="s">
        <v>56172</v>
      </c>
      <c r="K16899" s="0" t="s">
        <v>56173</v>
      </c>
      <c r="L16899" s="0" t="str">
        <f aca="false">HYPERLINK("https://www.ncbi.nlm.nih.gov/nuccore/CP000058.1?report=graph&amp;tracks=[key:gene_model_track,Options:GeneOnly]&amp;mk=5214108:5214127|offset_1|444444,5214080:5214099|offset_29|444444,5214059:5214078|offset_50|00cc00,5213997:5214016|offset_112|444444&amp;v=5213907:5214216&amp;c=444444", "offset 50")</f>
        <v>offset 50</v>
      </c>
    </row>
    <row r="16900" customFormat="false" ht="12.8" hidden="false" customHeight="false" outlineLevel="0" collapsed="false">
      <c r="A16900" s="0" t="s">
        <v>12</v>
      </c>
      <c r="B16900" s="0" t="n">
        <v>5213996</v>
      </c>
      <c r="C16900" s="0" t="n">
        <v>5214016</v>
      </c>
      <c r="D16900" s="0" t="s">
        <v>56163</v>
      </c>
      <c r="E16900" s="0" t="s">
        <v>56164</v>
      </c>
      <c r="F16900" s="0" t="s">
        <v>90</v>
      </c>
      <c r="G16900" s="0" t="s">
        <v>36</v>
      </c>
      <c r="H16900" s="0" t="n">
        <v>112</v>
      </c>
      <c r="I16900" s="0" t="s">
        <v>56174</v>
      </c>
      <c r="J16900" s="0" t="s">
        <v>56175</v>
      </c>
      <c r="K16900" s="0" t="s">
        <v>56176</v>
      </c>
      <c r="L16900" s="0" t="str">
        <f aca="false">HYPERLINK("https://www.ncbi.nlm.nih.gov/nuccore/CP000058.1?report=graph&amp;tracks=[key:gene_model_track,Options:GeneOnly]&amp;mk=5214108:5214127|offset_1|444444,5214080:5214099|offset_29|444444,5214059:5214078|offset_50|444444,5213997:5214016|offset_112|00cc00&amp;v=5213907:5214216&amp;c=444444", "offset 112")</f>
        <v>offset 112</v>
      </c>
    </row>
    <row r="16901" customFormat="false" ht="12.8" hidden="false" customHeight="false" outlineLevel="0" collapsed="false">
      <c r="A16901" s="0" t="s">
        <v>12</v>
      </c>
      <c r="B16901" s="0" t="n">
        <v>5215150</v>
      </c>
      <c r="C16901" s="0" t="n">
        <v>5215170</v>
      </c>
      <c r="D16901" s="0" t="s">
        <v>56177</v>
      </c>
      <c r="E16901" s="0" t="s">
        <v>56178</v>
      </c>
      <c r="F16901" s="0" t="s">
        <v>90</v>
      </c>
      <c r="G16901" s="0" t="s">
        <v>32</v>
      </c>
      <c r="H16901" s="0" t="n">
        <v>1</v>
      </c>
      <c r="I16901" s="0" t="s">
        <v>56179</v>
      </c>
      <c r="J16901" s="0" t="s">
        <v>56180</v>
      </c>
      <c r="K16901" s="0" t="s">
        <v>56181</v>
      </c>
      <c r="L16901" s="0" t="str">
        <f aca="false">HYPERLINK("https://www.ncbi.nlm.nih.gov/nuccore/CP000058.1?report=graph&amp;tracks=[key:gene_model_track,Options:GeneOnly]&amp;mk=5215151:5215170|offset_1|00cc00,5215126:5215145|offset_26|444444,5215089:5215108|offset_63|444444,5215062:5215081|offset_90|444444&amp;v=5214950:5215281&amp;c=444444", "offset 1")</f>
        <v>offset 1</v>
      </c>
    </row>
    <row r="16902" customFormat="false" ht="12.8" hidden="false" customHeight="false" outlineLevel="0" collapsed="false">
      <c r="A16902" s="0" t="s">
        <v>12</v>
      </c>
      <c r="B16902" s="0" t="n">
        <v>5215125</v>
      </c>
      <c r="C16902" s="0" t="n">
        <v>5215145</v>
      </c>
      <c r="D16902" s="0" t="s">
        <v>56177</v>
      </c>
      <c r="E16902" s="0" t="s">
        <v>56178</v>
      </c>
      <c r="F16902" s="0" t="s">
        <v>90</v>
      </c>
      <c r="G16902" s="0" t="s">
        <v>20</v>
      </c>
      <c r="H16902" s="0" t="n">
        <v>26</v>
      </c>
      <c r="I16902" s="0" t="s">
        <v>56182</v>
      </c>
      <c r="J16902" s="0" t="s">
        <v>56183</v>
      </c>
      <c r="K16902" s="0" t="s">
        <v>56184</v>
      </c>
      <c r="L16902" s="0" t="str">
        <f aca="false">HYPERLINK("https://www.ncbi.nlm.nih.gov/nuccore/CP000058.1?report=graph&amp;tracks=[key:gene_model_track,Options:GeneOnly]&amp;mk=5215151:5215170|offset_1|444444,5215126:5215145|offset_26|00cc00,5215089:5215108|offset_63|444444,5215062:5215081|offset_90|444444&amp;v=5214950:5215281&amp;c=444444", "offset 26")</f>
        <v>offset 26</v>
      </c>
    </row>
    <row r="16903" customFormat="false" ht="12.8" hidden="false" customHeight="false" outlineLevel="0" collapsed="false">
      <c r="A16903" s="0" t="s">
        <v>12</v>
      </c>
      <c r="B16903" s="0" t="n">
        <v>5215088</v>
      </c>
      <c r="C16903" s="0" t="n">
        <v>5215108</v>
      </c>
      <c r="D16903" s="0" t="s">
        <v>56177</v>
      </c>
      <c r="E16903" s="0" t="s">
        <v>56178</v>
      </c>
      <c r="F16903" s="0" t="s">
        <v>90</v>
      </c>
      <c r="G16903" s="0" t="s">
        <v>32</v>
      </c>
      <c r="H16903" s="0" t="n">
        <v>63</v>
      </c>
      <c r="I16903" s="0" t="s">
        <v>56185</v>
      </c>
      <c r="J16903" s="0" t="s">
        <v>56186</v>
      </c>
      <c r="K16903" s="0" t="s">
        <v>56187</v>
      </c>
      <c r="L16903" s="0" t="str">
        <f aca="false">HYPERLINK("https://www.ncbi.nlm.nih.gov/nuccore/CP000058.1?report=graph&amp;tracks=[key:gene_model_track,Options:GeneOnly]&amp;mk=5215151:5215170|offset_1|444444,5215126:5215145|offset_26|444444,5215089:5215108|offset_63|00cc00,5215062:5215081|offset_90|444444&amp;v=5214950:5215281&amp;c=444444", "offset 63")</f>
        <v>offset 63</v>
      </c>
    </row>
    <row r="16904" customFormat="false" ht="12.8" hidden="false" customHeight="false" outlineLevel="0" collapsed="false">
      <c r="A16904" s="0" t="s">
        <v>12</v>
      </c>
      <c r="B16904" s="0" t="n">
        <v>5215061</v>
      </c>
      <c r="C16904" s="0" t="n">
        <v>5215081</v>
      </c>
      <c r="D16904" s="0" t="s">
        <v>56177</v>
      </c>
      <c r="E16904" s="0" t="s">
        <v>56178</v>
      </c>
      <c r="F16904" s="0" t="s">
        <v>90</v>
      </c>
      <c r="G16904" s="0" t="s">
        <v>20</v>
      </c>
      <c r="H16904" s="0" t="n">
        <v>90</v>
      </c>
      <c r="I16904" s="0" t="s">
        <v>56188</v>
      </c>
      <c r="J16904" s="0" t="s">
        <v>56189</v>
      </c>
      <c r="K16904" s="0" t="s">
        <v>56190</v>
      </c>
      <c r="L16904" s="0" t="str">
        <f aca="false">HYPERLINK("https://www.ncbi.nlm.nih.gov/nuccore/CP000058.1?report=graph&amp;tracks=[key:gene_model_track,Options:GeneOnly]&amp;mk=5215151:5215170|offset_1|444444,5215126:5215145|offset_26|444444,5215089:5215108|offset_63|444444,5215062:5215081|offset_90|00cc00&amp;v=5214950:5215281&amp;c=444444", "offset 90")</f>
        <v>offset 90</v>
      </c>
    </row>
    <row r="16905" customFormat="false" ht="12.8" hidden="false" customHeight="false" outlineLevel="0" collapsed="false">
      <c r="A16905" s="0" t="s">
        <v>12</v>
      </c>
      <c r="B16905" s="0" t="n">
        <v>5215773</v>
      </c>
      <c r="C16905" s="0" t="n">
        <v>5215793</v>
      </c>
      <c r="D16905" s="0" t="s">
        <v>56191</v>
      </c>
      <c r="E16905" s="0" t="s">
        <v>56192</v>
      </c>
      <c r="F16905" s="0" t="s">
        <v>90</v>
      </c>
      <c r="G16905" s="0" t="s">
        <v>32</v>
      </c>
      <c r="H16905" s="0" t="n">
        <v>21</v>
      </c>
      <c r="I16905" s="0" t="s">
        <v>56193</v>
      </c>
      <c r="J16905" s="0" t="s">
        <v>56194</v>
      </c>
      <c r="K16905" s="0" t="s">
        <v>56195</v>
      </c>
      <c r="L16905" s="0" t="str">
        <f aca="false">HYPERLINK("https://www.ncbi.nlm.nih.gov/nuccore/CP000058.1?report=graph&amp;tracks=[key:gene_model_track,Options:GeneOnly]&amp;mk=5215774:5215793|offset_21|00cc00,5215743:5215762|offset_52|444444,5215704:5215723|offset_91|444444,5215681:5215700|offset_114|444444&amp;v=5215573:5215900&amp;c=444444", "offset 21")</f>
        <v>offset 21</v>
      </c>
    </row>
    <row r="16906" customFormat="false" ht="12.8" hidden="false" customHeight="false" outlineLevel="0" collapsed="false">
      <c r="A16906" s="0" t="s">
        <v>12</v>
      </c>
      <c r="B16906" s="0" t="n">
        <v>5215742</v>
      </c>
      <c r="C16906" s="0" t="n">
        <v>5215762</v>
      </c>
      <c r="D16906" s="0" t="s">
        <v>56191</v>
      </c>
      <c r="E16906" s="0" t="s">
        <v>56192</v>
      </c>
      <c r="F16906" s="0" t="s">
        <v>90</v>
      </c>
      <c r="G16906" s="0" t="s">
        <v>16</v>
      </c>
      <c r="H16906" s="0" t="n">
        <v>52</v>
      </c>
      <c r="I16906" s="0" t="s">
        <v>56196</v>
      </c>
      <c r="J16906" s="0" t="s">
        <v>56197</v>
      </c>
      <c r="K16906" s="0" t="s">
        <v>56198</v>
      </c>
      <c r="L16906" s="0" t="str">
        <f aca="false">HYPERLINK("https://www.ncbi.nlm.nih.gov/nuccore/CP000058.1?report=graph&amp;tracks=[key:gene_model_track,Options:GeneOnly]&amp;mk=5215774:5215793|offset_21|444444,5215743:5215762|offset_52|00cc00,5215704:5215723|offset_91|444444,5215681:5215700|offset_114|444444&amp;v=5215573:5215900&amp;c=444444", "offset 52")</f>
        <v>offset 52</v>
      </c>
    </row>
    <row r="16907" customFormat="false" ht="12.8" hidden="false" customHeight="false" outlineLevel="0" collapsed="false">
      <c r="A16907" s="0" t="s">
        <v>12</v>
      </c>
      <c r="B16907" s="0" t="n">
        <v>5215703</v>
      </c>
      <c r="C16907" s="0" t="n">
        <v>5215723</v>
      </c>
      <c r="D16907" s="0" t="s">
        <v>56191</v>
      </c>
      <c r="E16907" s="0" t="s">
        <v>56192</v>
      </c>
      <c r="F16907" s="0" t="s">
        <v>90</v>
      </c>
      <c r="G16907" s="0" t="s">
        <v>32</v>
      </c>
      <c r="H16907" s="0" t="n">
        <v>91</v>
      </c>
      <c r="I16907" s="0" t="s">
        <v>56199</v>
      </c>
      <c r="J16907" s="0" t="s">
        <v>56200</v>
      </c>
      <c r="K16907" s="0" t="s">
        <v>56201</v>
      </c>
      <c r="L16907" s="0" t="str">
        <f aca="false">HYPERLINK("https://www.ncbi.nlm.nih.gov/nuccore/CP000058.1?report=graph&amp;tracks=[key:gene_model_track,Options:GeneOnly]&amp;mk=5215774:5215793|offset_21|444444,5215743:5215762|offset_52|444444,5215704:5215723|offset_91|00cc00,5215681:5215700|offset_114|444444&amp;v=5215573:5215900&amp;c=444444", "offset 91")</f>
        <v>offset 91</v>
      </c>
    </row>
    <row r="16908" customFormat="false" ht="12.8" hidden="false" customHeight="false" outlineLevel="0" collapsed="false">
      <c r="A16908" s="0" t="s">
        <v>12</v>
      </c>
      <c r="B16908" s="0" t="n">
        <v>5215680</v>
      </c>
      <c r="C16908" s="0" t="n">
        <v>5215700</v>
      </c>
      <c r="D16908" s="0" t="s">
        <v>56191</v>
      </c>
      <c r="E16908" s="0" t="s">
        <v>56192</v>
      </c>
      <c r="F16908" s="0" t="s">
        <v>90</v>
      </c>
      <c r="G16908" s="0" t="s">
        <v>32</v>
      </c>
      <c r="H16908" s="0" t="n">
        <v>114</v>
      </c>
      <c r="I16908" s="0" t="s">
        <v>56202</v>
      </c>
      <c r="J16908" s="0" t="s">
        <v>56203</v>
      </c>
      <c r="K16908" s="0" t="s">
        <v>56204</v>
      </c>
      <c r="L16908" s="0" t="str">
        <f aca="false">HYPERLINK("https://www.ncbi.nlm.nih.gov/nuccore/CP000058.1?report=graph&amp;tracks=[key:gene_model_track,Options:GeneOnly]&amp;mk=5215774:5215793|offset_21|444444,5215743:5215762|offset_52|444444,5215704:5215723|offset_91|444444,5215681:5215700|offset_114|00cc00&amp;v=5215573:5215900&amp;c=444444", "offset 114")</f>
        <v>offset 114</v>
      </c>
    </row>
    <row r="16909" customFormat="false" ht="12.8" hidden="false" customHeight="false" outlineLevel="0" collapsed="false">
      <c r="A16909" s="0" t="s">
        <v>12</v>
      </c>
      <c r="B16909" s="0" t="n">
        <v>5216190</v>
      </c>
      <c r="C16909" s="0" t="n">
        <v>5216210</v>
      </c>
      <c r="D16909" s="0" t="s">
        <v>56205</v>
      </c>
      <c r="E16909" s="0" t="s">
        <v>56206</v>
      </c>
      <c r="F16909" s="0" t="s">
        <v>90</v>
      </c>
      <c r="G16909" s="0" t="s">
        <v>20</v>
      </c>
      <c r="H16909" s="0" t="n">
        <v>12</v>
      </c>
      <c r="I16909" s="0" t="s">
        <v>56207</v>
      </c>
      <c r="J16909" s="0" t="s">
        <v>56208</v>
      </c>
      <c r="K16909" s="0" t="s">
        <v>56209</v>
      </c>
      <c r="L16909" s="0" t="str">
        <f aca="false">HYPERLINK("https://www.ncbi.nlm.nih.gov/nuccore/CP000058.1?report=graph&amp;tracks=[key:gene_model_track,Options:GeneOnly]&amp;mk=5216191:5216210|offset_12|00cc00,5216139:5216158|offset_64|444444,5216103:5216122|offset_100|444444,5216064:5216083|offset_139|444444&amp;v=5215990:5216283&amp;c=444444", "offset 12")</f>
        <v>offset 12</v>
      </c>
    </row>
    <row r="16910" customFormat="false" ht="12.8" hidden="false" customHeight="false" outlineLevel="0" collapsed="false">
      <c r="A16910" s="0" t="s">
        <v>12</v>
      </c>
      <c r="B16910" s="0" t="n">
        <v>5216138</v>
      </c>
      <c r="C16910" s="0" t="n">
        <v>5216158</v>
      </c>
      <c r="D16910" s="0" t="s">
        <v>56205</v>
      </c>
      <c r="E16910" s="0" t="s">
        <v>56206</v>
      </c>
      <c r="F16910" s="0" t="s">
        <v>90</v>
      </c>
      <c r="G16910" s="0" t="s">
        <v>36</v>
      </c>
      <c r="H16910" s="0" t="n">
        <v>64</v>
      </c>
      <c r="I16910" s="0" t="s">
        <v>56210</v>
      </c>
      <c r="J16910" s="0" t="s">
        <v>56211</v>
      </c>
      <c r="K16910" s="0" t="s">
        <v>56212</v>
      </c>
      <c r="L16910" s="0" t="str">
        <f aca="false">HYPERLINK("https://www.ncbi.nlm.nih.gov/nuccore/CP000058.1?report=graph&amp;tracks=[key:gene_model_track,Options:GeneOnly]&amp;mk=5216191:5216210|offset_12|444444,5216139:5216158|offset_64|00cc00,5216103:5216122|offset_100|444444,5216064:5216083|offset_139|444444&amp;v=5215990:5216283&amp;c=444444", "offset 64")</f>
        <v>offset 64</v>
      </c>
    </row>
    <row r="16911" customFormat="false" ht="12.8" hidden="false" customHeight="false" outlineLevel="0" collapsed="false">
      <c r="A16911" s="0" t="s">
        <v>12</v>
      </c>
      <c r="B16911" s="0" t="n">
        <v>5216102</v>
      </c>
      <c r="C16911" s="0" t="n">
        <v>5216122</v>
      </c>
      <c r="D16911" s="0" t="s">
        <v>56205</v>
      </c>
      <c r="E16911" s="0" t="s">
        <v>56206</v>
      </c>
      <c r="F16911" s="0" t="s">
        <v>90</v>
      </c>
      <c r="G16911" s="0" t="s">
        <v>32</v>
      </c>
      <c r="H16911" s="0" t="n">
        <v>100</v>
      </c>
      <c r="I16911" s="0" t="s">
        <v>56213</v>
      </c>
      <c r="J16911" s="0" t="s">
        <v>56214</v>
      </c>
      <c r="K16911" s="0" t="s">
        <v>56215</v>
      </c>
      <c r="L16911" s="0" t="str">
        <f aca="false">HYPERLINK("https://www.ncbi.nlm.nih.gov/nuccore/CP000058.1?report=graph&amp;tracks=[key:gene_model_track,Options:GeneOnly]&amp;mk=5216191:5216210|offset_12|444444,5216139:5216158|offset_64|444444,5216103:5216122|offset_100|00cc00,5216064:5216083|offset_139|444444&amp;v=5215990:5216283&amp;c=444444", "offset 100")</f>
        <v>offset 100</v>
      </c>
    </row>
    <row r="16912" customFormat="false" ht="12.8" hidden="false" customHeight="false" outlineLevel="0" collapsed="false">
      <c r="A16912" s="0" t="s">
        <v>12</v>
      </c>
      <c r="B16912" s="0" t="n">
        <v>5216063</v>
      </c>
      <c r="C16912" s="0" t="n">
        <v>5216083</v>
      </c>
      <c r="D16912" s="0" t="s">
        <v>56205</v>
      </c>
      <c r="E16912" s="0" t="s">
        <v>56206</v>
      </c>
      <c r="F16912" s="0" t="s">
        <v>90</v>
      </c>
      <c r="G16912" s="0" t="s">
        <v>20</v>
      </c>
      <c r="H16912" s="0" t="n">
        <v>139</v>
      </c>
      <c r="I16912" s="0" t="s">
        <v>56216</v>
      </c>
      <c r="J16912" s="0" t="s">
        <v>56217</v>
      </c>
      <c r="K16912" s="0" t="s">
        <v>56218</v>
      </c>
      <c r="L16912" s="0" t="str">
        <f aca="false">HYPERLINK("https://www.ncbi.nlm.nih.gov/nuccore/CP000058.1?report=graph&amp;tracks=[key:gene_model_track,Options:GeneOnly]&amp;mk=5216191:5216210|offset_12|444444,5216139:5216158|offset_64|444444,5216103:5216122|offset_100|444444,5216064:5216083|offset_139|00cc00&amp;v=5215990:5216283&amp;c=444444", "offset 139")</f>
        <v>offset 139</v>
      </c>
    </row>
    <row r="16913" customFormat="false" ht="12.8" hidden="false" customHeight="false" outlineLevel="0" collapsed="false">
      <c r="A16913" s="0" t="s">
        <v>12</v>
      </c>
      <c r="B16913" s="0" t="n">
        <v>5216582</v>
      </c>
      <c r="C16913" s="0" t="n">
        <v>5216602</v>
      </c>
      <c r="D16913" s="0" t="s">
        <v>56219</v>
      </c>
      <c r="E16913" s="0" t="s">
        <v>56220</v>
      </c>
      <c r="F16913" s="0" t="s">
        <v>90</v>
      </c>
      <c r="G16913" s="0" t="s">
        <v>36</v>
      </c>
      <c r="H16913" s="0" t="n">
        <v>7</v>
      </c>
      <c r="I16913" s="0" t="s">
        <v>56221</v>
      </c>
      <c r="J16913" s="0" t="s">
        <v>56222</v>
      </c>
      <c r="K16913" s="0" t="s">
        <v>56223</v>
      </c>
      <c r="L16913" s="0" t="str">
        <f aca="false">HYPERLINK("https://www.ncbi.nlm.nih.gov/nuccore/CP000058.1?report=graph&amp;tracks=[key:gene_model_track,Options:GeneOnly]&amp;mk=5216583:5216602|offset_7|00cc00,5216560:5216579|offset_30|444444,5216529:5216548|offset_61|444444,5216505:5216524|offset_85|444444&amp;v=5216382:5216724&amp;c=444444", "offset 7")</f>
        <v>offset 7</v>
      </c>
    </row>
    <row r="16914" customFormat="false" ht="12.8" hidden="false" customHeight="false" outlineLevel="0" collapsed="false">
      <c r="A16914" s="0" t="s">
        <v>12</v>
      </c>
      <c r="B16914" s="0" t="n">
        <v>5216559</v>
      </c>
      <c r="C16914" s="0" t="n">
        <v>5216579</v>
      </c>
      <c r="D16914" s="0" t="s">
        <v>56219</v>
      </c>
      <c r="E16914" s="0" t="s">
        <v>56220</v>
      </c>
      <c r="F16914" s="0" t="s">
        <v>90</v>
      </c>
      <c r="G16914" s="0" t="s">
        <v>32</v>
      </c>
      <c r="H16914" s="0" t="n">
        <v>30</v>
      </c>
      <c r="I16914" s="0" t="s">
        <v>56224</v>
      </c>
      <c r="J16914" s="0" t="s">
        <v>56225</v>
      </c>
      <c r="K16914" s="0" t="s">
        <v>56226</v>
      </c>
      <c r="L16914" s="0" t="str">
        <f aca="false">HYPERLINK("https://www.ncbi.nlm.nih.gov/nuccore/CP000058.1?report=graph&amp;tracks=[key:gene_model_track,Options:GeneOnly]&amp;mk=5216583:5216602|offset_7|444444,5216560:5216579|offset_30|00cc00,5216529:5216548|offset_61|444444,5216505:5216524|offset_85|444444&amp;v=5216382:5216724&amp;c=444444", "offset 30")</f>
        <v>offset 30</v>
      </c>
    </row>
    <row r="16915" customFormat="false" ht="12.8" hidden="false" customHeight="false" outlineLevel="0" collapsed="false">
      <c r="A16915" s="0" t="s">
        <v>12</v>
      </c>
      <c r="B16915" s="0" t="n">
        <v>5216528</v>
      </c>
      <c r="C16915" s="0" t="n">
        <v>5216548</v>
      </c>
      <c r="D16915" s="0" t="s">
        <v>56219</v>
      </c>
      <c r="E16915" s="0" t="s">
        <v>56220</v>
      </c>
      <c r="F16915" s="0" t="s">
        <v>90</v>
      </c>
      <c r="G16915" s="0" t="s">
        <v>20</v>
      </c>
      <c r="H16915" s="0" t="n">
        <v>61</v>
      </c>
      <c r="I16915" s="0" t="s">
        <v>56227</v>
      </c>
      <c r="J16915" s="0" t="s">
        <v>56228</v>
      </c>
      <c r="K16915" s="0" t="s">
        <v>56229</v>
      </c>
      <c r="L16915" s="0" t="str">
        <f aca="false">HYPERLINK("https://www.ncbi.nlm.nih.gov/nuccore/CP000058.1?report=graph&amp;tracks=[key:gene_model_track,Options:GeneOnly]&amp;mk=5216583:5216602|offset_7|444444,5216560:5216579|offset_30|444444,5216529:5216548|offset_61|00cc00,5216505:5216524|offset_85|444444&amp;v=5216382:5216724&amp;c=444444", "offset 61")</f>
        <v>offset 61</v>
      </c>
    </row>
    <row r="16916" customFormat="false" ht="12.8" hidden="false" customHeight="false" outlineLevel="0" collapsed="false">
      <c r="A16916" s="0" t="s">
        <v>12</v>
      </c>
      <c r="B16916" s="0" t="n">
        <v>5216504</v>
      </c>
      <c r="C16916" s="0" t="n">
        <v>5216524</v>
      </c>
      <c r="D16916" s="0" t="s">
        <v>56219</v>
      </c>
      <c r="E16916" s="0" t="s">
        <v>56220</v>
      </c>
      <c r="F16916" s="0" t="s">
        <v>90</v>
      </c>
      <c r="G16916" s="0" t="s">
        <v>32</v>
      </c>
      <c r="H16916" s="0" t="n">
        <v>85</v>
      </c>
      <c r="I16916" s="0" t="s">
        <v>56230</v>
      </c>
      <c r="J16916" s="0" t="s">
        <v>56231</v>
      </c>
      <c r="K16916" s="0" t="s">
        <v>56232</v>
      </c>
      <c r="L16916" s="0" t="str">
        <f aca="false">HYPERLINK("https://www.ncbi.nlm.nih.gov/nuccore/CP000058.1?report=graph&amp;tracks=[key:gene_model_track,Options:GeneOnly]&amp;mk=5216583:5216602|offset_7|444444,5216560:5216579|offset_30|444444,5216529:5216548|offset_61|444444,5216505:5216524|offset_85|00cc00&amp;v=5216382:5216724&amp;c=444444", "offset 85")</f>
        <v>offset 85</v>
      </c>
    </row>
    <row r="16917" customFormat="false" ht="12.8" hidden="false" customHeight="false" outlineLevel="0" collapsed="false">
      <c r="A16917" s="0" t="s">
        <v>12</v>
      </c>
      <c r="B16917" s="0" t="n">
        <v>5216801</v>
      </c>
      <c r="C16917" s="0" t="n">
        <v>5216821</v>
      </c>
      <c r="D16917" s="0" t="s">
        <v>56233</v>
      </c>
      <c r="E16917" s="0" t="s">
        <v>56234</v>
      </c>
      <c r="F16917" s="0" t="s">
        <v>90</v>
      </c>
      <c r="G16917" s="0" t="s">
        <v>16</v>
      </c>
      <c r="H16917" s="0" t="n">
        <v>35</v>
      </c>
      <c r="I16917" s="0" t="s">
        <v>56235</v>
      </c>
      <c r="J16917" s="0" t="s">
        <v>56236</v>
      </c>
      <c r="K16917" s="0" t="s">
        <v>56237</v>
      </c>
      <c r="L16917" s="0" t="str">
        <f aca="false">HYPERLINK("https://www.ncbi.nlm.nih.gov/nuccore/CP000058.1?report=graph&amp;tracks=[key:gene_model_track,Options:GeneOnly]&amp;mk=5216802:5216821|offset_35|00cc00,5216781:5216800|offset_56|444444,5216744:5216763|offset_93|444444&amp;v=5216601:5216963&amp;c=444444", "offset 35")</f>
        <v>offset 35</v>
      </c>
    </row>
    <row r="16918" customFormat="false" ht="12.8" hidden="false" customHeight="false" outlineLevel="0" collapsed="false">
      <c r="A16918" s="0" t="s">
        <v>12</v>
      </c>
      <c r="B16918" s="0" t="n">
        <v>5216780</v>
      </c>
      <c r="C16918" s="0" t="n">
        <v>5216800</v>
      </c>
      <c r="D16918" s="0" t="s">
        <v>56233</v>
      </c>
      <c r="E16918" s="0" t="s">
        <v>56234</v>
      </c>
      <c r="F16918" s="0" t="s">
        <v>90</v>
      </c>
      <c r="G16918" s="0" t="s">
        <v>16</v>
      </c>
      <c r="H16918" s="0" t="n">
        <v>56</v>
      </c>
      <c r="I16918" s="0" t="s">
        <v>56238</v>
      </c>
      <c r="J16918" s="0" t="s">
        <v>56239</v>
      </c>
      <c r="K16918" s="0" t="s">
        <v>56240</v>
      </c>
      <c r="L16918" s="0" t="str">
        <f aca="false">HYPERLINK("https://www.ncbi.nlm.nih.gov/nuccore/CP000058.1?report=graph&amp;tracks=[key:gene_model_track,Options:GeneOnly]&amp;mk=5216802:5216821|offset_35|444444,5216781:5216800|offset_56|00cc00,5216744:5216763|offset_93|444444&amp;v=5216601:5216963&amp;c=444444", "offset 56")</f>
        <v>offset 56</v>
      </c>
    </row>
    <row r="16919" customFormat="false" ht="12.8" hidden="false" customHeight="false" outlineLevel="0" collapsed="false">
      <c r="A16919" s="0" t="s">
        <v>12</v>
      </c>
      <c r="B16919" s="0" t="n">
        <v>5216743</v>
      </c>
      <c r="C16919" s="0" t="n">
        <v>5216763</v>
      </c>
      <c r="D16919" s="0" t="s">
        <v>56233</v>
      </c>
      <c r="E16919" s="0" t="s">
        <v>56234</v>
      </c>
      <c r="F16919" s="0" t="s">
        <v>90</v>
      </c>
      <c r="G16919" s="0" t="s">
        <v>32</v>
      </c>
      <c r="H16919" s="0" t="n">
        <v>93</v>
      </c>
      <c r="I16919" s="0" t="s">
        <v>56241</v>
      </c>
      <c r="J16919" s="0" t="s">
        <v>56242</v>
      </c>
      <c r="K16919" s="0" t="s">
        <v>56243</v>
      </c>
      <c r="L16919" s="0" t="str">
        <f aca="false">HYPERLINK("https://www.ncbi.nlm.nih.gov/nuccore/CP000058.1?report=graph&amp;tracks=[key:gene_model_track,Options:GeneOnly]&amp;mk=5216802:5216821|offset_35|444444,5216781:5216800|offset_56|444444,5216744:5216763|offset_93|00cc00&amp;v=5216601:5216963&amp;c=444444", "offset 93")</f>
        <v>offset 93</v>
      </c>
    </row>
    <row r="16920" customFormat="false" ht="12.8" hidden="false" customHeight="false" outlineLevel="0" collapsed="false">
      <c r="A16920" s="0" t="s">
        <v>12</v>
      </c>
      <c r="B16920" s="0" t="n">
        <v>5218119</v>
      </c>
      <c r="C16920" s="0" t="n">
        <v>5218139</v>
      </c>
      <c r="D16920" s="0" t="s">
        <v>56244</v>
      </c>
      <c r="E16920" s="0" t="s">
        <v>56245</v>
      </c>
      <c r="F16920" s="0" t="s">
        <v>90</v>
      </c>
      <c r="G16920" s="0" t="s">
        <v>20</v>
      </c>
      <c r="H16920" s="0" t="n">
        <v>80</v>
      </c>
      <c r="I16920" s="0" t="s">
        <v>56246</v>
      </c>
      <c r="J16920" s="0" t="s">
        <v>56247</v>
      </c>
      <c r="K16920" s="0" t="s">
        <v>56248</v>
      </c>
      <c r="L16920" s="0" t="str">
        <f aca="false">HYPERLINK("https://www.ncbi.nlm.nih.gov/nuccore/CP000058.1?report=graph&amp;tracks=[key:gene_model_track,Options:GeneOnly]&amp;mk=5218120:5218139|offset_80|00cc00,5218084:5218103|offset_116|444444,5218060:5218079|offset_140|444444,5218025:5218044|offset_175|444444&amp;v=5217919:5218244&amp;c=444444", "offset 80")</f>
        <v>offset 80</v>
      </c>
    </row>
    <row r="16921" customFormat="false" ht="12.8" hidden="false" customHeight="false" outlineLevel="0" collapsed="false">
      <c r="A16921" s="0" t="s">
        <v>12</v>
      </c>
      <c r="B16921" s="0" t="n">
        <v>5218083</v>
      </c>
      <c r="C16921" s="0" t="n">
        <v>5218103</v>
      </c>
      <c r="D16921" s="0" t="s">
        <v>56244</v>
      </c>
      <c r="E16921" s="0" t="s">
        <v>56245</v>
      </c>
      <c r="F16921" s="0" t="s">
        <v>90</v>
      </c>
      <c r="G16921" s="0" t="s">
        <v>36</v>
      </c>
      <c r="H16921" s="0" t="n">
        <v>116</v>
      </c>
      <c r="I16921" s="0" t="s">
        <v>56249</v>
      </c>
      <c r="J16921" s="0" t="s">
        <v>56250</v>
      </c>
      <c r="K16921" s="0" t="s">
        <v>56251</v>
      </c>
      <c r="L16921" s="0" t="str">
        <f aca="false">HYPERLINK("https://www.ncbi.nlm.nih.gov/nuccore/CP000058.1?report=graph&amp;tracks=[key:gene_model_track,Options:GeneOnly]&amp;mk=5218120:5218139|offset_80|444444,5218084:5218103|offset_116|00cc00,5218060:5218079|offset_140|444444,5218025:5218044|offset_175|444444&amp;v=5217919:5218244&amp;c=444444", "offset 116")</f>
        <v>offset 116</v>
      </c>
    </row>
    <row r="16922" customFormat="false" ht="12.8" hidden="false" customHeight="false" outlineLevel="0" collapsed="false">
      <c r="A16922" s="0" t="s">
        <v>12</v>
      </c>
      <c r="B16922" s="0" t="n">
        <v>5218059</v>
      </c>
      <c r="C16922" s="0" t="n">
        <v>5218079</v>
      </c>
      <c r="D16922" s="0" t="s">
        <v>56244</v>
      </c>
      <c r="E16922" s="0" t="s">
        <v>56245</v>
      </c>
      <c r="F16922" s="0" t="s">
        <v>90</v>
      </c>
      <c r="G16922" s="0" t="s">
        <v>16</v>
      </c>
      <c r="H16922" s="0" t="n">
        <v>140</v>
      </c>
      <c r="I16922" s="0" t="s">
        <v>56252</v>
      </c>
      <c r="J16922" s="0" t="s">
        <v>56253</v>
      </c>
      <c r="K16922" s="0" t="s">
        <v>56254</v>
      </c>
      <c r="L16922" s="0" t="str">
        <f aca="false">HYPERLINK("https://www.ncbi.nlm.nih.gov/nuccore/CP000058.1?report=graph&amp;tracks=[key:gene_model_track,Options:GeneOnly]&amp;mk=5218120:5218139|offset_80|444444,5218084:5218103|offset_116|444444,5218060:5218079|offset_140|00cc00,5218025:5218044|offset_175|444444&amp;v=5217919:5218244&amp;c=444444", "offset 140")</f>
        <v>offset 140</v>
      </c>
    </row>
    <row r="16923" customFormat="false" ht="12.8" hidden="false" customHeight="false" outlineLevel="0" collapsed="false">
      <c r="A16923" s="0" t="s">
        <v>12</v>
      </c>
      <c r="B16923" s="0" t="n">
        <v>5218024</v>
      </c>
      <c r="C16923" s="0" t="n">
        <v>5218044</v>
      </c>
      <c r="D16923" s="0" t="s">
        <v>56244</v>
      </c>
      <c r="E16923" s="0" t="s">
        <v>56245</v>
      </c>
      <c r="F16923" s="0" t="s">
        <v>90</v>
      </c>
      <c r="G16923" s="0" t="s">
        <v>32</v>
      </c>
      <c r="H16923" s="0" t="n">
        <v>175</v>
      </c>
      <c r="I16923" s="0" t="s">
        <v>56255</v>
      </c>
      <c r="J16923" s="0" t="s">
        <v>56256</v>
      </c>
      <c r="K16923" s="0" t="s">
        <v>56257</v>
      </c>
      <c r="L16923" s="0" t="str">
        <f aca="false">HYPERLINK("https://www.ncbi.nlm.nih.gov/nuccore/CP000058.1?report=graph&amp;tracks=[key:gene_model_track,Options:GeneOnly]&amp;mk=5218120:5218139|offset_80|444444,5218084:5218103|offset_116|444444,5218060:5218079|offset_140|444444,5218025:5218044|offset_175|00cc00&amp;v=5217919:5218244&amp;c=444444", "offset 175")</f>
        <v>offset 175</v>
      </c>
    </row>
    <row r="16924" customFormat="false" ht="12.8" hidden="false" customHeight="false" outlineLevel="0" collapsed="false">
      <c r="A16924" s="0" t="s">
        <v>12</v>
      </c>
      <c r="B16924" s="0" t="n">
        <v>5218610</v>
      </c>
      <c r="C16924" s="0" t="n">
        <v>5218630</v>
      </c>
      <c r="D16924" s="0" t="s">
        <v>56258</v>
      </c>
      <c r="E16924" s="0" t="s">
        <v>56259</v>
      </c>
      <c r="F16924" s="0" t="s">
        <v>90</v>
      </c>
      <c r="G16924" s="0" t="s">
        <v>32</v>
      </c>
      <c r="H16924" s="0" t="n">
        <v>24</v>
      </c>
      <c r="I16924" s="0" t="s">
        <v>56260</v>
      </c>
      <c r="J16924" s="0" t="s">
        <v>56261</v>
      </c>
      <c r="K16924" s="0" t="s">
        <v>56262</v>
      </c>
      <c r="L16924" s="0" t="str">
        <f aca="false">HYPERLINK("https://www.ncbi.nlm.nih.gov/nuccore/CP000058.1?report=graph&amp;tracks=[key:gene_model_track,Options:GeneOnly]&amp;mk=5218611:5218630|offset_24|00cc00,5218578:5218597|offset_57|444444,5218544:5218563|offset_91|444444,5218514:5218533|offset_121|444444&amp;v=5218410:5218733&amp;c=444444", "offset 24")</f>
        <v>offset 24</v>
      </c>
    </row>
    <row r="16925" customFormat="false" ht="12.8" hidden="false" customHeight="false" outlineLevel="0" collapsed="false">
      <c r="A16925" s="0" t="s">
        <v>12</v>
      </c>
      <c r="B16925" s="0" t="n">
        <v>5218577</v>
      </c>
      <c r="C16925" s="0" t="n">
        <v>5218597</v>
      </c>
      <c r="D16925" s="0" t="s">
        <v>56258</v>
      </c>
      <c r="E16925" s="0" t="s">
        <v>56259</v>
      </c>
      <c r="F16925" s="0" t="s">
        <v>90</v>
      </c>
      <c r="G16925" s="0" t="s">
        <v>16</v>
      </c>
      <c r="H16925" s="0" t="n">
        <v>57</v>
      </c>
      <c r="I16925" s="0" t="s">
        <v>56263</v>
      </c>
      <c r="J16925" s="0" t="s">
        <v>56264</v>
      </c>
      <c r="K16925" s="0" t="s">
        <v>56265</v>
      </c>
      <c r="L16925" s="0" t="str">
        <f aca="false">HYPERLINK("https://www.ncbi.nlm.nih.gov/nuccore/CP000058.1?report=graph&amp;tracks=[key:gene_model_track,Options:GeneOnly]&amp;mk=5218611:5218630|offset_24|444444,5218578:5218597|offset_57|00cc00,5218544:5218563|offset_91|444444,5218514:5218533|offset_121|444444&amp;v=5218410:5218733&amp;c=444444", "offset 57")</f>
        <v>offset 57</v>
      </c>
    </row>
    <row r="16926" customFormat="false" ht="12.8" hidden="false" customHeight="false" outlineLevel="0" collapsed="false">
      <c r="A16926" s="0" t="s">
        <v>12</v>
      </c>
      <c r="B16926" s="0" t="n">
        <v>5218543</v>
      </c>
      <c r="C16926" s="0" t="n">
        <v>5218563</v>
      </c>
      <c r="D16926" s="0" t="s">
        <v>56258</v>
      </c>
      <c r="E16926" s="0" t="s">
        <v>56259</v>
      </c>
      <c r="F16926" s="0" t="s">
        <v>90</v>
      </c>
      <c r="G16926" s="0" t="s">
        <v>16</v>
      </c>
      <c r="H16926" s="0" t="n">
        <v>91</v>
      </c>
      <c r="I16926" s="0" t="s">
        <v>56266</v>
      </c>
      <c r="J16926" s="0" t="s">
        <v>56267</v>
      </c>
      <c r="K16926" s="0" t="s">
        <v>56268</v>
      </c>
      <c r="L16926" s="0" t="str">
        <f aca="false">HYPERLINK("https://www.ncbi.nlm.nih.gov/nuccore/CP000058.1?report=graph&amp;tracks=[key:gene_model_track,Options:GeneOnly]&amp;mk=5218611:5218630|offset_24|444444,5218578:5218597|offset_57|444444,5218544:5218563|offset_91|00cc00,5218514:5218533|offset_121|444444&amp;v=5218410:5218733&amp;c=444444", "offset 91")</f>
        <v>offset 91</v>
      </c>
    </row>
    <row r="16927" customFormat="false" ht="12.8" hidden="false" customHeight="false" outlineLevel="0" collapsed="false">
      <c r="A16927" s="0" t="s">
        <v>12</v>
      </c>
      <c r="B16927" s="0" t="n">
        <v>5218513</v>
      </c>
      <c r="C16927" s="0" t="n">
        <v>5218533</v>
      </c>
      <c r="D16927" s="0" t="s">
        <v>56258</v>
      </c>
      <c r="E16927" s="0" t="s">
        <v>56259</v>
      </c>
      <c r="F16927" s="0" t="s">
        <v>90</v>
      </c>
      <c r="G16927" s="0" t="s">
        <v>36</v>
      </c>
      <c r="H16927" s="0" t="n">
        <v>121</v>
      </c>
      <c r="I16927" s="0" t="s">
        <v>56269</v>
      </c>
      <c r="J16927" s="0" t="s">
        <v>56270</v>
      </c>
      <c r="K16927" s="0" t="s">
        <v>56271</v>
      </c>
      <c r="L16927" s="0" t="str">
        <f aca="false">HYPERLINK("https://www.ncbi.nlm.nih.gov/nuccore/CP000058.1?report=graph&amp;tracks=[key:gene_model_track,Options:GeneOnly]&amp;mk=5218611:5218630|offset_24|444444,5218578:5218597|offset_57|444444,5218544:5218563|offset_91|444444,5218514:5218533|offset_121|00cc00&amp;v=5218410:5218733&amp;c=444444", "offset 121")</f>
        <v>offset 121</v>
      </c>
    </row>
    <row r="16928" customFormat="false" ht="12.8" hidden="false" customHeight="false" outlineLevel="0" collapsed="false">
      <c r="A16928" s="0" t="s">
        <v>12</v>
      </c>
      <c r="B16928" s="0" t="n">
        <v>5218804</v>
      </c>
      <c r="C16928" s="0" t="n">
        <v>5218824</v>
      </c>
      <c r="D16928" s="0" t="s">
        <v>56272</v>
      </c>
      <c r="E16928" s="0" t="s">
        <v>56273</v>
      </c>
      <c r="F16928" s="0" t="s">
        <v>90</v>
      </c>
      <c r="G16928" s="0" t="s">
        <v>16</v>
      </c>
      <c r="H16928" s="0" t="n">
        <v>10</v>
      </c>
      <c r="I16928" s="0" t="s">
        <v>56274</v>
      </c>
      <c r="J16928" s="0" t="s">
        <v>56275</v>
      </c>
      <c r="K16928" s="0" t="s">
        <v>56276</v>
      </c>
      <c r="L16928" s="0" t="str">
        <f aca="false">HYPERLINK("https://www.ncbi.nlm.nih.gov/nuccore/CP000058.1?report=graph&amp;tracks=[key:gene_model_track,Options:GeneOnly]&amp;mk=5218805:5218824|offset_10|00cc00,5218775:5218794|offset_40|444444,5218702:5218721|offset_113|444444&amp;v=5218604:5218921&amp;c=444444", "offset 10")</f>
        <v>offset 10</v>
      </c>
    </row>
    <row r="16929" customFormat="false" ht="12.8" hidden="false" customHeight="false" outlineLevel="0" collapsed="false">
      <c r="A16929" s="0" t="s">
        <v>12</v>
      </c>
      <c r="B16929" s="0" t="n">
        <v>5218774</v>
      </c>
      <c r="C16929" s="0" t="n">
        <v>5218794</v>
      </c>
      <c r="D16929" s="0" t="s">
        <v>56272</v>
      </c>
      <c r="E16929" s="0" t="s">
        <v>56273</v>
      </c>
      <c r="F16929" s="0" t="s">
        <v>90</v>
      </c>
      <c r="G16929" s="0" t="s">
        <v>16</v>
      </c>
      <c r="H16929" s="0" t="n">
        <v>40</v>
      </c>
      <c r="I16929" s="0" t="s">
        <v>56277</v>
      </c>
      <c r="J16929" s="0" t="s">
        <v>56278</v>
      </c>
      <c r="K16929" s="0" t="s">
        <v>56279</v>
      </c>
      <c r="L16929" s="0" t="str">
        <f aca="false">HYPERLINK("https://www.ncbi.nlm.nih.gov/nuccore/CP000058.1?report=graph&amp;tracks=[key:gene_model_track,Options:GeneOnly]&amp;mk=5218805:5218824|offset_10|444444,5218775:5218794|offset_40|00cc00,5218702:5218721|offset_113|444444&amp;v=5218604:5218921&amp;c=444444", "offset 40")</f>
        <v>offset 40</v>
      </c>
    </row>
    <row r="16930" customFormat="false" ht="12.8" hidden="false" customHeight="false" outlineLevel="0" collapsed="false">
      <c r="A16930" s="0" t="s">
        <v>12</v>
      </c>
      <c r="B16930" s="0" t="n">
        <v>5218701</v>
      </c>
      <c r="C16930" s="0" t="n">
        <v>5218721</v>
      </c>
      <c r="D16930" s="0" t="s">
        <v>56272</v>
      </c>
      <c r="E16930" s="0" t="s">
        <v>56273</v>
      </c>
      <c r="F16930" s="0" t="s">
        <v>90</v>
      </c>
      <c r="G16930" s="0" t="s">
        <v>20</v>
      </c>
      <c r="H16930" s="0" t="n">
        <v>113</v>
      </c>
      <c r="I16930" s="0" t="s">
        <v>56280</v>
      </c>
      <c r="J16930" s="0" t="s">
        <v>56281</v>
      </c>
      <c r="K16930" s="0" t="s">
        <v>56282</v>
      </c>
      <c r="L16930" s="0" t="str">
        <f aca="false">HYPERLINK("https://www.ncbi.nlm.nih.gov/nuccore/CP000058.1?report=graph&amp;tracks=[key:gene_model_track,Options:GeneOnly]&amp;mk=5218805:5218824|offset_10|444444,5218775:5218794|offset_40|444444,5218702:5218721|offset_113|00cc00&amp;v=5218604:5218921&amp;c=444444", "offset 113")</f>
        <v>offset 113</v>
      </c>
    </row>
    <row r="16931" customFormat="false" ht="12.8" hidden="false" customHeight="false" outlineLevel="0" collapsed="false">
      <c r="A16931" s="0" t="s">
        <v>12</v>
      </c>
      <c r="B16931" s="0" t="n">
        <v>5219300</v>
      </c>
      <c r="C16931" s="0" t="n">
        <v>5219320</v>
      </c>
      <c r="D16931" s="0" t="s">
        <v>56283</v>
      </c>
      <c r="E16931" s="0" t="s">
        <v>56284</v>
      </c>
      <c r="F16931" s="0" t="s">
        <v>90</v>
      </c>
      <c r="G16931" s="0" t="s">
        <v>32</v>
      </c>
      <c r="H16931" s="0" t="n">
        <v>17</v>
      </c>
      <c r="I16931" s="0" t="s">
        <v>56285</v>
      </c>
      <c r="J16931" s="0" t="s">
        <v>56286</v>
      </c>
      <c r="K16931" s="0" t="s">
        <v>56287</v>
      </c>
      <c r="L16931" s="0" t="str">
        <f aca="false">HYPERLINK("https://www.ncbi.nlm.nih.gov/nuccore/CP000058.1?report=graph&amp;tracks=[key:gene_model_track,Options:GeneOnly]&amp;mk=5219301:5219320|offset_17|00cc00,5219256:5219275|offset_62|444444,5219229:5219248|offset_89|444444,5219203:5219222|offset_115|444444&amp;v=5219100:5219422&amp;c=444444", "offset 17")</f>
        <v>offset 17</v>
      </c>
    </row>
    <row r="16932" customFormat="false" ht="12.8" hidden="false" customHeight="false" outlineLevel="0" collapsed="false">
      <c r="A16932" s="0" t="s">
        <v>12</v>
      </c>
      <c r="B16932" s="0" t="n">
        <v>5219255</v>
      </c>
      <c r="C16932" s="0" t="n">
        <v>5219275</v>
      </c>
      <c r="D16932" s="0" t="s">
        <v>56283</v>
      </c>
      <c r="E16932" s="0" t="s">
        <v>56284</v>
      </c>
      <c r="F16932" s="0" t="s">
        <v>90</v>
      </c>
      <c r="G16932" s="0" t="s">
        <v>16</v>
      </c>
      <c r="H16932" s="0" t="n">
        <v>62</v>
      </c>
      <c r="I16932" s="0" t="s">
        <v>56288</v>
      </c>
      <c r="J16932" s="0" t="s">
        <v>56289</v>
      </c>
      <c r="K16932" s="0" t="s">
        <v>56290</v>
      </c>
      <c r="L16932" s="0" t="str">
        <f aca="false">HYPERLINK("https://www.ncbi.nlm.nih.gov/nuccore/CP000058.1?report=graph&amp;tracks=[key:gene_model_track,Options:GeneOnly]&amp;mk=5219301:5219320|offset_17|444444,5219256:5219275|offset_62|00cc00,5219229:5219248|offset_89|444444,5219203:5219222|offset_115|444444&amp;v=5219100:5219422&amp;c=444444", "offset 62")</f>
        <v>offset 62</v>
      </c>
    </row>
    <row r="16933" customFormat="false" ht="12.8" hidden="false" customHeight="false" outlineLevel="0" collapsed="false">
      <c r="A16933" s="0" t="s">
        <v>12</v>
      </c>
      <c r="B16933" s="0" t="n">
        <v>5219228</v>
      </c>
      <c r="C16933" s="0" t="n">
        <v>5219248</v>
      </c>
      <c r="D16933" s="0" t="s">
        <v>56283</v>
      </c>
      <c r="E16933" s="0" t="s">
        <v>56284</v>
      </c>
      <c r="F16933" s="0" t="s">
        <v>90</v>
      </c>
      <c r="G16933" s="0" t="s">
        <v>16</v>
      </c>
      <c r="H16933" s="0" t="n">
        <v>89</v>
      </c>
      <c r="I16933" s="0" t="s">
        <v>56291</v>
      </c>
      <c r="J16933" s="0" t="s">
        <v>56292</v>
      </c>
      <c r="K16933" s="0" t="s">
        <v>56293</v>
      </c>
      <c r="L16933" s="0" t="str">
        <f aca="false">HYPERLINK("https://www.ncbi.nlm.nih.gov/nuccore/CP000058.1?report=graph&amp;tracks=[key:gene_model_track,Options:GeneOnly]&amp;mk=5219301:5219320|offset_17|444444,5219256:5219275|offset_62|444444,5219229:5219248|offset_89|00cc00,5219203:5219222|offset_115|444444&amp;v=5219100:5219422&amp;c=444444", "offset 89")</f>
        <v>offset 89</v>
      </c>
    </row>
    <row r="16934" customFormat="false" ht="12.8" hidden="false" customHeight="false" outlineLevel="0" collapsed="false">
      <c r="A16934" s="0" t="s">
        <v>12</v>
      </c>
      <c r="B16934" s="0" t="n">
        <v>5219202</v>
      </c>
      <c r="C16934" s="0" t="n">
        <v>5219222</v>
      </c>
      <c r="D16934" s="0" t="s">
        <v>56283</v>
      </c>
      <c r="E16934" s="0" t="s">
        <v>56284</v>
      </c>
      <c r="F16934" s="0" t="s">
        <v>90</v>
      </c>
      <c r="G16934" s="0" t="s">
        <v>16</v>
      </c>
      <c r="H16934" s="0" t="n">
        <v>115</v>
      </c>
      <c r="I16934" s="0" t="s">
        <v>56294</v>
      </c>
      <c r="J16934" s="0" t="s">
        <v>56295</v>
      </c>
      <c r="K16934" s="0" t="s">
        <v>56296</v>
      </c>
      <c r="L16934" s="0" t="str">
        <f aca="false">HYPERLINK("https://www.ncbi.nlm.nih.gov/nuccore/CP000058.1?report=graph&amp;tracks=[key:gene_model_track,Options:GeneOnly]&amp;mk=5219301:5219320|offset_17|444444,5219256:5219275|offset_62|444444,5219229:5219248|offset_89|444444,5219203:5219222|offset_115|00cc00&amp;v=5219100:5219422&amp;c=444444", "offset 115")</f>
        <v>offset 115</v>
      </c>
    </row>
    <row r="16935" customFormat="false" ht="12.8" hidden="false" customHeight="false" outlineLevel="0" collapsed="false">
      <c r="A16935" s="0" t="s">
        <v>12</v>
      </c>
      <c r="B16935" s="0" t="n">
        <v>5219664</v>
      </c>
      <c r="C16935" s="0" t="n">
        <v>5219684</v>
      </c>
      <c r="D16935" s="0" t="s">
        <v>56297</v>
      </c>
      <c r="E16935" s="0" t="s">
        <v>56298</v>
      </c>
      <c r="F16935" s="0" t="s">
        <v>90</v>
      </c>
      <c r="G16935" s="0" t="s">
        <v>16</v>
      </c>
      <c r="H16935" s="0" t="n">
        <v>7</v>
      </c>
      <c r="I16935" s="0" t="s">
        <v>56299</v>
      </c>
      <c r="J16935" s="0" t="s">
        <v>56300</v>
      </c>
      <c r="K16935" s="0" t="s">
        <v>56301</v>
      </c>
      <c r="L16935" s="0" t="str">
        <f aca="false">HYPERLINK("https://www.ncbi.nlm.nih.gov/nuccore/CP000058.1?report=graph&amp;tracks=[key:gene_model_track,Options:GeneOnly]&amp;mk=5219665:5219684|offset_7|00cc00,5219622:5219641|offset_50|444444,5219580:5219599|offset_92|444444,5219557:5219576|offset_115|444444&amp;v=5219464:5219776&amp;c=444444", "offset 7")</f>
        <v>offset 7</v>
      </c>
    </row>
    <row r="16936" customFormat="false" ht="12.8" hidden="false" customHeight="false" outlineLevel="0" collapsed="false">
      <c r="A16936" s="0" t="s">
        <v>12</v>
      </c>
      <c r="B16936" s="0" t="n">
        <v>5219621</v>
      </c>
      <c r="C16936" s="0" t="n">
        <v>5219641</v>
      </c>
      <c r="D16936" s="0" t="s">
        <v>56297</v>
      </c>
      <c r="E16936" s="0" t="s">
        <v>56298</v>
      </c>
      <c r="F16936" s="0" t="s">
        <v>90</v>
      </c>
      <c r="G16936" s="0" t="s">
        <v>20</v>
      </c>
      <c r="H16936" s="0" t="n">
        <v>50</v>
      </c>
      <c r="I16936" s="0" t="s">
        <v>56302</v>
      </c>
      <c r="J16936" s="0" t="s">
        <v>56303</v>
      </c>
      <c r="K16936" s="0" t="s">
        <v>56304</v>
      </c>
      <c r="L16936" s="0" t="str">
        <f aca="false">HYPERLINK("https://www.ncbi.nlm.nih.gov/nuccore/CP000058.1?report=graph&amp;tracks=[key:gene_model_track,Options:GeneOnly]&amp;mk=5219665:5219684|offset_7|444444,5219622:5219641|offset_50|00cc00,5219580:5219599|offset_92|444444,5219557:5219576|offset_115|444444&amp;v=5219464:5219776&amp;c=444444", "offset 50")</f>
        <v>offset 50</v>
      </c>
    </row>
    <row r="16937" customFormat="false" ht="12.8" hidden="false" customHeight="false" outlineLevel="0" collapsed="false">
      <c r="A16937" s="0" t="s">
        <v>12</v>
      </c>
      <c r="B16937" s="0" t="n">
        <v>5219579</v>
      </c>
      <c r="C16937" s="0" t="n">
        <v>5219599</v>
      </c>
      <c r="D16937" s="0" t="s">
        <v>56297</v>
      </c>
      <c r="E16937" s="0" t="s">
        <v>56298</v>
      </c>
      <c r="F16937" s="0" t="s">
        <v>90</v>
      </c>
      <c r="G16937" s="0" t="s">
        <v>16</v>
      </c>
      <c r="H16937" s="0" t="n">
        <v>92</v>
      </c>
      <c r="I16937" s="0" t="s">
        <v>56305</v>
      </c>
      <c r="J16937" s="0" t="s">
        <v>56306</v>
      </c>
      <c r="K16937" s="0" t="s">
        <v>56307</v>
      </c>
      <c r="L16937" s="0" t="str">
        <f aca="false">HYPERLINK("https://www.ncbi.nlm.nih.gov/nuccore/CP000058.1?report=graph&amp;tracks=[key:gene_model_track,Options:GeneOnly]&amp;mk=5219665:5219684|offset_7|444444,5219622:5219641|offset_50|444444,5219580:5219599|offset_92|00cc00,5219557:5219576|offset_115|444444&amp;v=5219464:5219776&amp;c=444444", "offset 92")</f>
        <v>offset 92</v>
      </c>
    </row>
    <row r="16938" customFormat="false" ht="12.8" hidden="false" customHeight="false" outlineLevel="0" collapsed="false">
      <c r="A16938" s="0" t="s">
        <v>12</v>
      </c>
      <c r="B16938" s="0" t="n">
        <v>5219556</v>
      </c>
      <c r="C16938" s="0" t="n">
        <v>5219576</v>
      </c>
      <c r="D16938" s="0" t="s">
        <v>56297</v>
      </c>
      <c r="E16938" s="0" t="s">
        <v>56298</v>
      </c>
      <c r="F16938" s="0" t="s">
        <v>90</v>
      </c>
      <c r="G16938" s="0" t="s">
        <v>36</v>
      </c>
      <c r="H16938" s="0" t="n">
        <v>115</v>
      </c>
      <c r="I16938" s="0" t="s">
        <v>56308</v>
      </c>
      <c r="J16938" s="0" t="s">
        <v>56309</v>
      </c>
      <c r="K16938" s="0" t="s">
        <v>56310</v>
      </c>
      <c r="L16938" s="0" t="str">
        <f aca="false">HYPERLINK("https://www.ncbi.nlm.nih.gov/nuccore/CP000058.1?report=graph&amp;tracks=[key:gene_model_track,Options:GeneOnly]&amp;mk=5219665:5219684|offset_7|444444,5219622:5219641|offset_50|444444,5219580:5219599|offset_92|444444,5219557:5219576|offset_115|00cc00&amp;v=5219464:5219776&amp;c=444444", "offset 115")</f>
        <v>offset 115</v>
      </c>
    </row>
    <row r="16939" customFormat="false" ht="12.8" hidden="false" customHeight="false" outlineLevel="0" collapsed="false">
      <c r="A16939" s="0" t="s">
        <v>12</v>
      </c>
      <c r="B16939" s="0" t="n">
        <v>5220198</v>
      </c>
      <c r="C16939" s="0" t="n">
        <v>5220218</v>
      </c>
      <c r="D16939" s="0" t="s">
        <v>56311</v>
      </c>
      <c r="E16939" s="0" t="s">
        <v>56312</v>
      </c>
      <c r="F16939" s="0" t="s">
        <v>90</v>
      </c>
      <c r="G16939" s="0" t="s">
        <v>36</v>
      </c>
      <c r="H16939" s="0" t="n">
        <v>23</v>
      </c>
      <c r="I16939" s="0" t="s">
        <v>56313</v>
      </c>
      <c r="J16939" s="0" t="s">
        <v>56314</v>
      </c>
      <c r="K16939" s="0" t="s">
        <v>56315</v>
      </c>
      <c r="L16939" s="0" t="str">
        <f aca="false">HYPERLINK("https://www.ncbi.nlm.nih.gov/nuccore/CP000058.1?report=graph&amp;tracks=[key:gene_model_track,Options:GeneOnly]&amp;mk=5220199:5220218|offset_23|00cc00,5220157:5220176|offset_65|444444,5220135:5220154|offset_87|444444,5220109:5220128|offset_113|444444&amp;v=5219998:5220328&amp;c=444444", "offset 23")</f>
        <v>offset 23</v>
      </c>
    </row>
    <row r="16940" customFormat="false" ht="12.8" hidden="false" customHeight="false" outlineLevel="0" collapsed="false">
      <c r="A16940" s="0" t="s">
        <v>12</v>
      </c>
      <c r="B16940" s="0" t="n">
        <v>5220156</v>
      </c>
      <c r="C16940" s="0" t="n">
        <v>5220176</v>
      </c>
      <c r="D16940" s="0" t="s">
        <v>56311</v>
      </c>
      <c r="E16940" s="0" t="s">
        <v>56312</v>
      </c>
      <c r="F16940" s="0" t="s">
        <v>90</v>
      </c>
      <c r="G16940" s="0" t="s">
        <v>32</v>
      </c>
      <c r="H16940" s="0" t="n">
        <v>65</v>
      </c>
      <c r="I16940" s="0" t="s">
        <v>56316</v>
      </c>
      <c r="J16940" s="0" t="s">
        <v>56317</v>
      </c>
      <c r="K16940" s="0" t="s">
        <v>56318</v>
      </c>
      <c r="L16940" s="0" t="str">
        <f aca="false">HYPERLINK("https://www.ncbi.nlm.nih.gov/nuccore/CP000058.1?report=graph&amp;tracks=[key:gene_model_track,Options:GeneOnly]&amp;mk=5220199:5220218|offset_23|444444,5220157:5220176|offset_65|00cc00,5220135:5220154|offset_87|444444,5220109:5220128|offset_113|444444&amp;v=5219998:5220328&amp;c=444444", "offset 65")</f>
        <v>offset 65</v>
      </c>
    </row>
    <row r="16941" customFormat="false" ht="12.8" hidden="false" customHeight="false" outlineLevel="0" collapsed="false">
      <c r="A16941" s="0" t="s">
        <v>12</v>
      </c>
      <c r="B16941" s="0" t="n">
        <v>5220134</v>
      </c>
      <c r="C16941" s="0" t="n">
        <v>5220154</v>
      </c>
      <c r="D16941" s="0" t="s">
        <v>56311</v>
      </c>
      <c r="E16941" s="0" t="s">
        <v>56312</v>
      </c>
      <c r="F16941" s="0" t="s">
        <v>90</v>
      </c>
      <c r="G16941" s="0" t="s">
        <v>36</v>
      </c>
      <c r="H16941" s="0" t="n">
        <v>87</v>
      </c>
      <c r="I16941" s="0" t="s">
        <v>56319</v>
      </c>
      <c r="J16941" s="0" t="s">
        <v>56320</v>
      </c>
      <c r="K16941" s="0" t="s">
        <v>56321</v>
      </c>
      <c r="L16941" s="0" t="str">
        <f aca="false">HYPERLINK("https://www.ncbi.nlm.nih.gov/nuccore/CP000058.1?report=graph&amp;tracks=[key:gene_model_track,Options:GeneOnly]&amp;mk=5220199:5220218|offset_23|444444,5220157:5220176|offset_65|444444,5220135:5220154|offset_87|00cc00,5220109:5220128|offset_113|444444&amp;v=5219998:5220328&amp;c=444444", "offset 87")</f>
        <v>offset 87</v>
      </c>
    </row>
    <row r="16942" customFormat="false" ht="12.8" hidden="false" customHeight="false" outlineLevel="0" collapsed="false">
      <c r="A16942" s="0" t="s">
        <v>12</v>
      </c>
      <c r="B16942" s="0" t="n">
        <v>5220108</v>
      </c>
      <c r="C16942" s="0" t="n">
        <v>5220128</v>
      </c>
      <c r="D16942" s="0" t="s">
        <v>56311</v>
      </c>
      <c r="E16942" s="0" t="s">
        <v>56312</v>
      </c>
      <c r="F16942" s="0" t="s">
        <v>90</v>
      </c>
      <c r="G16942" s="0" t="s">
        <v>32</v>
      </c>
      <c r="H16942" s="0" t="n">
        <v>113</v>
      </c>
      <c r="I16942" s="0" t="s">
        <v>56322</v>
      </c>
      <c r="J16942" s="0" t="s">
        <v>56323</v>
      </c>
      <c r="K16942" s="0" t="s">
        <v>56324</v>
      </c>
      <c r="L16942" s="0" t="str">
        <f aca="false">HYPERLINK("https://www.ncbi.nlm.nih.gov/nuccore/CP000058.1?report=graph&amp;tracks=[key:gene_model_track,Options:GeneOnly]&amp;mk=5220199:5220218|offset_23|444444,5220157:5220176|offset_65|444444,5220135:5220154|offset_87|444444,5220109:5220128|offset_113|00cc00&amp;v=5219998:5220328&amp;c=444444", "offset 113")</f>
        <v>offset 113</v>
      </c>
    </row>
    <row r="16943" customFormat="false" ht="12.8" hidden="false" customHeight="false" outlineLevel="0" collapsed="false">
      <c r="A16943" s="0" t="s">
        <v>12</v>
      </c>
      <c r="B16943" s="0" t="n">
        <v>5220626</v>
      </c>
      <c r="C16943" s="0" t="n">
        <v>5220646</v>
      </c>
      <c r="D16943" s="0" t="s">
        <v>56325</v>
      </c>
      <c r="E16943" s="0" t="s">
        <v>56326</v>
      </c>
      <c r="F16943" s="0" t="s">
        <v>90</v>
      </c>
      <c r="G16943" s="0" t="s">
        <v>36</v>
      </c>
      <c r="H16943" s="0" t="n">
        <v>0</v>
      </c>
      <c r="I16943" s="0" t="s">
        <v>56327</v>
      </c>
      <c r="J16943" s="0" t="s">
        <v>56328</v>
      </c>
      <c r="K16943" s="0" t="s">
        <v>56329</v>
      </c>
      <c r="L16943" s="0" t="str">
        <f aca="false">HYPERLINK("https://www.ncbi.nlm.nih.gov/nuccore/CP000058.1?report=graph&amp;tracks=[key:gene_model_track,Options:GeneOnly]&amp;mk=5220627:5220646|offset_0|00cc00,5220583:5220602|offset_44|444444,5220558:5220577|offset_69|444444,5220536:5220555|offset_91|444444&amp;v=5220426:5220755&amp;c=444444", "offset 0")</f>
        <v>offset 0</v>
      </c>
    </row>
    <row r="16944" customFormat="false" ht="12.8" hidden="false" customHeight="false" outlineLevel="0" collapsed="false">
      <c r="A16944" s="0" t="s">
        <v>12</v>
      </c>
      <c r="B16944" s="0" t="n">
        <v>5220582</v>
      </c>
      <c r="C16944" s="0" t="n">
        <v>5220602</v>
      </c>
      <c r="D16944" s="0" t="s">
        <v>56325</v>
      </c>
      <c r="E16944" s="0" t="s">
        <v>56326</v>
      </c>
      <c r="F16944" s="0" t="s">
        <v>90</v>
      </c>
      <c r="G16944" s="0" t="s">
        <v>16</v>
      </c>
      <c r="H16944" s="0" t="n">
        <v>44</v>
      </c>
      <c r="I16944" s="0" t="s">
        <v>56330</v>
      </c>
      <c r="J16944" s="0" t="s">
        <v>56331</v>
      </c>
      <c r="K16944" s="0" t="s">
        <v>56332</v>
      </c>
      <c r="L16944" s="0" t="str">
        <f aca="false">HYPERLINK("https://www.ncbi.nlm.nih.gov/nuccore/CP000058.1?report=graph&amp;tracks=[key:gene_model_track,Options:GeneOnly]&amp;mk=5220627:5220646|offset_0|444444,5220583:5220602|offset_44|00cc00,5220558:5220577|offset_69|444444,5220536:5220555|offset_91|444444&amp;v=5220426:5220755&amp;c=444444", "offset 44")</f>
        <v>offset 44</v>
      </c>
    </row>
    <row r="16945" customFormat="false" ht="12.8" hidden="false" customHeight="false" outlineLevel="0" collapsed="false">
      <c r="A16945" s="0" t="s">
        <v>12</v>
      </c>
      <c r="B16945" s="0" t="n">
        <v>5220557</v>
      </c>
      <c r="C16945" s="0" t="n">
        <v>5220577</v>
      </c>
      <c r="D16945" s="0" t="s">
        <v>56325</v>
      </c>
      <c r="E16945" s="0" t="s">
        <v>56326</v>
      </c>
      <c r="F16945" s="0" t="s">
        <v>90</v>
      </c>
      <c r="G16945" s="0" t="s">
        <v>36</v>
      </c>
      <c r="H16945" s="0" t="n">
        <v>69</v>
      </c>
      <c r="I16945" s="0" t="s">
        <v>56333</v>
      </c>
      <c r="J16945" s="0" t="s">
        <v>56334</v>
      </c>
      <c r="K16945" s="0" t="s">
        <v>56335</v>
      </c>
      <c r="L16945" s="0" t="str">
        <f aca="false">HYPERLINK("https://www.ncbi.nlm.nih.gov/nuccore/CP000058.1?report=graph&amp;tracks=[key:gene_model_track,Options:GeneOnly]&amp;mk=5220627:5220646|offset_0|444444,5220583:5220602|offset_44|444444,5220558:5220577|offset_69|00cc00,5220536:5220555|offset_91|444444&amp;v=5220426:5220755&amp;c=444444", "offset 69")</f>
        <v>offset 69</v>
      </c>
    </row>
    <row r="16946" customFormat="false" ht="12.8" hidden="false" customHeight="false" outlineLevel="0" collapsed="false">
      <c r="A16946" s="0" t="s">
        <v>12</v>
      </c>
      <c r="B16946" s="0" t="n">
        <v>5220535</v>
      </c>
      <c r="C16946" s="0" t="n">
        <v>5220555</v>
      </c>
      <c r="D16946" s="0" t="s">
        <v>56325</v>
      </c>
      <c r="E16946" s="0" t="s">
        <v>56326</v>
      </c>
      <c r="F16946" s="0" t="s">
        <v>90</v>
      </c>
      <c r="G16946" s="0" t="s">
        <v>32</v>
      </c>
      <c r="H16946" s="0" t="n">
        <v>91</v>
      </c>
      <c r="I16946" s="0" t="s">
        <v>56336</v>
      </c>
      <c r="J16946" s="0" t="s">
        <v>56337</v>
      </c>
      <c r="K16946" s="0" t="s">
        <v>56338</v>
      </c>
      <c r="L16946" s="0" t="str">
        <f aca="false">HYPERLINK("https://www.ncbi.nlm.nih.gov/nuccore/CP000058.1?report=graph&amp;tracks=[key:gene_model_track,Options:GeneOnly]&amp;mk=5220627:5220646|offset_0|444444,5220583:5220602|offset_44|444444,5220558:5220577|offset_69|444444,5220536:5220555|offset_91|00cc00&amp;v=5220426:5220755&amp;c=444444", "offset 91")</f>
        <v>offset 91</v>
      </c>
    </row>
    <row r="16947" customFormat="false" ht="12.8" hidden="false" customHeight="false" outlineLevel="0" collapsed="false">
      <c r="A16947" s="0" t="s">
        <v>12</v>
      </c>
      <c r="B16947" s="0" t="n">
        <v>5221139</v>
      </c>
      <c r="C16947" s="0" t="n">
        <v>5221159</v>
      </c>
      <c r="D16947" s="0" t="s">
        <v>56339</v>
      </c>
      <c r="E16947" s="0" t="s">
        <v>56340</v>
      </c>
      <c r="F16947" s="0" t="s">
        <v>90</v>
      </c>
      <c r="G16947" s="0" t="s">
        <v>32</v>
      </c>
      <c r="H16947" s="0" t="n">
        <v>7</v>
      </c>
      <c r="I16947" s="0" t="s">
        <v>56341</v>
      </c>
      <c r="J16947" s="0" t="s">
        <v>56342</v>
      </c>
      <c r="K16947" s="0" t="s">
        <v>56343</v>
      </c>
      <c r="L16947" s="0" t="str">
        <f aca="false">HYPERLINK("https://www.ncbi.nlm.nih.gov/nuccore/CP000058.1?report=graph&amp;tracks=[key:gene_model_track,Options:GeneOnly]&amp;mk=5221140:5221159|offset_7|00cc00,5221098:5221117|offset_49|444444,5221033:5221052|offset_114|444444,5221011:5221030|offset_136|444444&amp;v=5220939:5221230&amp;c=444444", "offset 7")</f>
        <v>offset 7</v>
      </c>
    </row>
    <row r="16948" customFormat="false" ht="12.8" hidden="false" customHeight="false" outlineLevel="0" collapsed="false">
      <c r="A16948" s="0" t="s">
        <v>12</v>
      </c>
      <c r="B16948" s="0" t="n">
        <v>5221097</v>
      </c>
      <c r="C16948" s="0" t="n">
        <v>5221117</v>
      </c>
      <c r="D16948" s="0" t="s">
        <v>56339</v>
      </c>
      <c r="E16948" s="0" t="s">
        <v>56340</v>
      </c>
      <c r="F16948" s="0" t="s">
        <v>90</v>
      </c>
      <c r="G16948" s="0" t="s">
        <v>16</v>
      </c>
      <c r="H16948" s="0" t="n">
        <v>49</v>
      </c>
      <c r="I16948" s="0" t="s">
        <v>56344</v>
      </c>
      <c r="J16948" s="0" t="s">
        <v>56345</v>
      </c>
      <c r="K16948" s="0" t="s">
        <v>56346</v>
      </c>
      <c r="L16948" s="0" t="str">
        <f aca="false">HYPERLINK("https://www.ncbi.nlm.nih.gov/nuccore/CP000058.1?report=graph&amp;tracks=[key:gene_model_track,Options:GeneOnly]&amp;mk=5221140:5221159|offset_7|444444,5221098:5221117|offset_49|00cc00,5221033:5221052|offset_114|444444,5221011:5221030|offset_136|444444&amp;v=5220939:5221230&amp;c=444444", "offset 49")</f>
        <v>offset 49</v>
      </c>
    </row>
    <row r="16949" customFormat="false" ht="12.8" hidden="false" customHeight="false" outlineLevel="0" collapsed="false">
      <c r="A16949" s="0" t="s">
        <v>12</v>
      </c>
      <c r="B16949" s="0" t="n">
        <v>5221032</v>
      </c>
      <c r="C16949" s="0" t="n">
        <v>5221052</v>
      </c>
      <c r="D16949" s="0" t="s">
        <v>56339</v>
      </c>
      <c r="E16949" s="0" t="s">
        <v>56340</v>
      </c>
      <c r="F16949" s="0" t="s">
        <v>90</v>
      </c>
      <c r="G16949" s="0" t="s">
        <v>32</v>
      </c>
      <c r="H16949" s="0" t="n">
        <v>114</v>
      </c>
      <c r="I16949" s="0" t="s">
        <v>56347</v>
      </c>
      <c r="J16949" s="0" t="s">
        <v>56348</v>
      </c>
      <c r="K16949" s="0" t="s">
        <v>56349</v>
      </c>
      <c r="L16949" s="0" t="str">
        <f aca="false">HYPERLINK("https://www.ncbi.nlm.nih.gov/nuccore/CP000058.1?report=graph&amp;tracks=[key:gene_model_track,Options:GeneOnly]&amp;mk=5221140:5221159|offset_7|444444,5221098:5221117|offset_49|444444,5221033:5221052|offset_114|00cc00,5221011:5221030|offset_136|444444&amp;v=5220939:5221230&amp;c=444444", "offset 114")</f>
        <v>offset 114</v>
      </c>
    </row>
    <row r="16950" customFormat="false" ht="12.8" hidden="false" customHeight="false" outlineLevel="0" collapsed="false">
      <c r="A16950" s="0" t="s">
        <v>12</v>
      </c>
      <c r="B16950" s="0" t="n">
        <v>5221010</v>
      </c>
      <c r="C16950" s="0" t="n">
        <v>5221030</v>
      </c>
      <c r="D16950" s="0" t="s">
        <v>56339</v>
      </c>
      <c r="E16950" s="0" t="s">
        <v>56340</v>
      </c>
      <c r="F16950" s="0" t="s">
        <v>90</v>
      </c>
      <c r="G16950" s="0" t="s">
        <v>16</v>
      </c>
      <c r="H16950" s="0" t="n">
        <v>136</v>
      </c>
      <c r="I16950" s="0" t="s">
        <v>56350</v>
      </c>
      <c r="J16950" s="0" t="s">
        <v>56351</v>
      </c>
      <c r="K16950" s="0" t="s">
        <v>56352</v>
      </c>
      <c r="L16950" s="0" t="str">
        <f aca="false">HYPERLINK("https://www.ncbi.nlm.nih.gov/nuccore/CP000058.1?report=graph&amp;tracks=[key:gene_model_track,Options:GeneOnly]&amp;mk=5221140:5221159|offset_7|444444,5221098:5221117|offset_49|444444,5221033:5221052|offset_114|444444,5221011:5221030|offset_136|00cc00&amp;v=5220939:5221230&amp;c=444444", "offset 136")</f>
        <v>offset 136</v>
      </c>
    </row>
    <row r="16951" customFormat="false" ht="12.8" hidden="false" customHeight="false" outlineLevel="0" collapsed="false">
      <c r="A16951" s="0" t="s">
        <v>12</v>
      </c>
      <c r="B16951" s="0" t="n">
        <v>5221698</v>
      </c>
      <c r="C16951" s="0" t="n">
        <v>5221718</v>
      </c>
      <c r="D16951" s="0" t="s">
        <v>56353</v>
      </c>
      <c r="E16951" s="0" t="s">
        <v>56354</v>
      </c>
      <c r="F16951" s="0" t="s">
        <v>90</v>
      </c>
      <c r="G16951" s="0" t="s">
        <v>32</v>
      </c>
      <c r="H16951" s="0" t="n">
        <v>1</v>
      </c>
      <c r="I16951" s="0" t="s">
        <v>56355</v>
      </c>
      <c r="J16951" s="0" t="s">
        <v>56356</v>
      </c>
      <c r="K16951" s="0" t="s">
        <v>56357</v>
      </c>
      <c r="L16951" s="0" t="str">
        <f aca="false">HYPERLINK("https://www.ncbi.nlm.nih.gov/nuccore/CP000058.1?report=graph&amp;tracks=[key:gene_model_track,Options:GeneOnly]&amp;mk=5221699:5221718|offset_1|00cc00,5221674:5221693|offset_26|444444,5221613:5221632|offset_87|444444,5221593:5221612|offset_107|444444&amp;v=5221498:5221812&amp;c=444444", "offset 1")</f>
        <v>offset 1</v>
      </c>
    </row>
    <row r="16952" customFormat="false" ht="12.8" hidden="false" customHeight="false" outlineLevel="0" collapsed="false">
      <c r="A16952" s="0" t="s">
        <v>12</v>
      </c>
      <c r="B16952" s="0" t="n">
        <v>5221673</v>
      </c>
      <c r="C16952" s="0" t="n">
        <v>5221693</v>
      </c>
      <c r="D16952" s="0" t="s">
        <v>56353</v>
      </c>
      <c r="E16952" s="0" t="s">
        <v>56354</v>
      </c>
      <c r="F16952" s="0" t="s">
        <v>90</v>
      </c>
      <c r="G16952" s="0" t="s">
        <v>16</v>
      </c>
      <c r="H16952" s="0" t="n">
        <v>26</v>
      </c>
      <c r="I16952" s="0" t="s">
        <v>56358</v>
      </c>
      <c r="J16952" s="0" t="s">
        <v>56359</v>
      </c>
      <c r="K16952" s="0" t="s">
        <v>56360</v>
      </c>
      <c r="L16952" s="0" t="str">
        <f aca="false">HYPERLINK("https://www.ncbi.nlm.nih.gov/nuccore/CP000058.1?report=graph&amp;tracks=[key:gene_model_track,Options:GeneOnly]&amp;mk=5221699:5221718|offset_1|444444,5221674:5221693|offset_26|00cc00,5221613:5221632|offset_87|444444,5221593:5221612|offset_107|444444&amp;v=5221498:5221812&amp;c=444444", "offset 26")</f>
        <v>offset 26</v>
      </c>
    </row>
    <row r="16953" customFormat="false" ht="12.8" hidden="false" customHeight="false" outlineLevel="0" collapsed="false">
      <c r="A16953" s="0" t="s">
        <v>12</v>
      </c>
      <c r="B16953" s="0" t="n">
        <v>5221612</v>
      </c>
      <c r="C16953" s="0" t="n">
        <v>5221632</v>
      </c>
      <c r="D16953" s="0" t="s">
        <v>56353</v>
      </c>
      <c r="E16953" s="0" t="s">
        <v>56354</v>
      </c>
      <c r="F16953" s="0" t="s">
        <v>90</v>
      </c>
      <c r="G16953" s="0" t="s">
        <v>16</v>
      </c>
      <c r="H16953" s="0" t="n">
        <v>87</v>
      </c>
      <c r="I16953" s="0" t="s">
        <v>56361</v>
      </c>
      <c r="J16953" s="0" t="s">
        <v>56362</v>
      </c>
      <c r="K16953" s="0" t="s">
        <v>56363</v>
      </c>
      <c r="L16953" s="0" t="str">
        <f aca="false">HYPERLINK("https://www.ncbi.nlm.nih.gov/nuccore/CP000058.1?report=graph&amp;tracks=[key:gene_model_track,Options:GeneOnly]&amp;mk=5221699:5221718|offset_1|444444,5221674:5221693|offset_26|444444,5221613:5221632|offset_87|00cc00,5221593:5221612|offset_107|444444&amp;v=5221498:5221812&amp;c=444444", "offset 87")</f>
        <v>offset 87</v>
      </c>
    </row>
    <row r="16954" customFormat="false" ht="12.8" hidden="false" customHeight="false" outlineLevel="0" collapsed="false">
      <c r="A16954" s="0" t="s">
        <v>12</v>
      </c>
      <c r="B16954" s="0" t="n">
        <v>5221592</v>
      </c>
      <c r="C16954" s="0" t="n">
        <v>5221612</v>
      </c>
      <c r="D16954" s="0" t="s">
        <v>56353</v>
      </c>
      <c r="E16954" s="0" t="s">
        <v>56354</v>
      </c>
      <c r="F16954" s="0" t="s">
        <v>90</v>
      </c>
      <c r="G16954" s="0" t="s">
        <v>20</v>
      </c>
      <c r="H16954" s="0" t="n">
        <v>107</v>
      </c>
      <c r="I16954" s="0" t="s">
        <v>56364</v>
      </c>
      <c r="J16954" s="0" t="s">
        <v>56365</v>
      </c>
      <c r="K16954" s="0" t="s">
        <v>56366</v>
      </c>
      <c r="L16954" s="0" t="str">
        <f aca="false">HYPERLINK("https://www.ncbi.nlm.nih.gov/nuccore/CP000058.1?report=graph&amp;tracks=[key:gene_model_track,Options:GeneOnly]&amp;mk=5221699:5221718|offset_1|444444,5221674:5221693|offset_26|444444,5221613:5221632|offset_87|444444,5221593:5221612|offset_107|00cc00&amp;v=5221498:5221812&amp;c=444444", "offset 107")</f>
        <v>offset 107</v>
      </c>
    </row>
    <row r="16955" customFormat="false" ht="12.8" hidden="false" customHeight="false" outlineLevel="0" collapsed="false">
      <c r="A16955" s="0" t="s">
        <v>12</v>
      </c>
      <c r="B16955" s="0" t="n">
        <v>5221991</v>
      </c>
      <c r="C16955" s="0" t="n">
        <v>5222011</v>
      </c>
      <c r="D16955" s="0" t="s">
        <v>56367</v>
      </c>
      <c r="E16955" s="0" t="s">
        <v>56368</v>
      </c>
      <c r="F16955" s="0" t="s">
        <v>90</v>
      </c>
      <c r="G16955" s="0" t="s">
        <v>16</v>
      </c>
      <c r="H16955" s="0" t="n">
        <v>43</v>
      </c>
      <c r="I16955" s="0" t="s">
        <v>56369</v>
      </c>
      <c r="J16955" s="0" t="s">
        <v>56370</v>
      </c>
      <c r="K16955" s="0" t="s">
        <v>56371</v>
      </c>
      <c r="L16955" s="0" t="str">
        <f aca="false">HYPERLINK("https://www.ncbi.nlm.nih.gov/nuccore/CP000058.1?report=graph&amp;tracks=[key:gene_model_track,Options:GeneOnly]&amp;mk=5221992:5222011|offset_43|00cc00,5221940:5221959|offset_95|444444,5221916:5221935|offset_119|444444,5221894:5221913|offset_141|444444&amp;v=5221791:5222113&amp;c=444444", "offset 43")</f>
        <v>offset 43</v>
      </c>
    </row>
    <row r="16956" customFormat="false" ht="12.8" hidden="false" customHeight="false" outlineLevel="0" collapsed="false">
      <c r="A16956" s="0" t="s">
        <v>12</v>
      </c>
      <c r="B16956" s="0" t="n">
        <v>5221939</v>
      </c>
      <c r="C16956" s="0" t="n">
        <v>5221959</v>
      </c>
      <c r="D16956" s="0" t="s">
        <v>56367</v>
      </c>
      <c r="E16956" s="0" t="s">
        <v>56368</v>
      </c>
      <c r="F16956" s="0" t="s">
        <v>90</v>
      </c>
      <c r="G16956" s="0" t="s">
        <v>16</v>
      </c>
      <c r="H16956" s="0" t="n">
        <v>95</v>
      </c>
      <c r="I16956" s="0" t="s">
        <v>56372</v>
      </c>
      <c r="J16956" s="0" t="s">
        <v>56373</v>
      </c>
      <c r="K16956" s="0" t="s">
        <v>56374</v>
      </c>
      <c r="L16956" s="0" t="str">
        <f aca="false">HYPERLINK("https://www.ncbi.nlm.nih.gov/nuccore/CP000058.1?report=graph&amp;tracks=[key:gene_model_track,Options:GeneOnly]&amp;mk=5221992:5222011|offset_43|444444,5221940:5221959|offset_95|00cc00,5221916:5221935|offset_119|444444,5221894:5221913|offset_141|444444&amp;v=5221791:5222113&amp;c=444444", "offset 95")</f>
        <v>offset 95</v>
      </c>
    </row>
    <row r="16957" customFormat="false" ht="12.8" hidden="false" customHeight="false" outlineLevel="0" collapsed="false">
      <c r="A16957" s="0" t="s">
        <v>12</v>
      </c>
      <c r="B16957" s="0" t="n">
        <v>5221915</v>
      </c>
      <c r="C16957" s="0" t="n">
        <v>5221935</v>
      </c>
      <c r="D16957" s="0" t="s">
        <v>56367</v>
      </c>
      <c r="E16957" s="0" t="s">
        <v>56368</v>
      </c>
      <c r="F16957" s="0" t="s">
        <v>90</v>
      </c>
      <c r="G16957" s="0" t="s">
        <v>20</v>
      </c>
      <c r="H16957" s="0" t="n">
        <v>119</v>
      </c>
      <c r="I16957" s="0" t="s">
        <v>56375</v>
      </c>
      <c r="J16957" s="0" t="s">
        <v>56376</v>
      </c>
      <c r="K16957" s="0" t="s">
        <v>56377</v>
      </c>
      <c r="L16957" s="0" t="str">
        <f aca="false">HYPERLINK("https://www.ncbi.nlm.nih.gov/nuccore/CP000058.1?report=graph&amp;tracks=[key:gene_model_track,Options:GeneOnly]&amp;mk=5221992:5222011|offset_43|444444,5221940:5221959|offset_95|444444,5221916:5221935|offset_119|00cc00,5221894:5221913|offset_141|444444&amp;v=5221791:5222113&amp;c=444444", "offset 119")</f>
        <v>offset 119</v>
      </c>
    </row>
    <row r="16958" customFormat="false" ht="12.8" hidden="false" customHeight="false" outlineLevel="0" collapsed="false">
      <c r="A16958" s="0" t="s">
        <v>12</v>
      </c>
      <c r="B16958" s="0" t="n">
        <v>5221893</v>
      </c>
      <c r="C16958" s="0" t="n">
        <v>5221913</v>
      </c>
      <c r="D16958" s="0" t="s">
        <v>56367</v>
      </c>
      <c r="E16958" s="0" t="s">
        <v>56368</v>
      </c>
      <c r="F16958" s="0" t="s">
        <v>90</v>
      </c>
      <c r="G16958" s="0" t="s">
        <v>32</v>
      </c>
      <c r="H16958" s="0" t="n">
        <v>141</v>
      </c>
      <c r="I16958" s="0" t="s">
        <v>56378</v>
      </c>
      <c r="J16958" s="0" t="s">
        <v>56379</v>
      </c>
      <c r="K16958" s="0" t="s">
        <v>56380</v>
      </c>
      <c r="L16958" s="0" t="str">
        <f aca="false">HYPERLINK("https://www.ncbi.nlm.nih.gov/nuccore/CP000058.1?report=graph&amp;tracks=[key:gene_model_track,Options:GeneOnly]&amp;mk=5221992:5222011|offset_43|444444,5221940:5221959|offset_95|444444,5221916:5221935|offset_119|444444,5221894:5221913|offset_141|00cc00&amp;v=5221791:5222113&amp;c=444444", "offset 141")</f>
        <v>offset 141</v>
      </c>
    </row>
    <row r="16959" customFormat="false" ht="12.8" hidden="false" customHeight="false" outlineLevel="0" collapsed="false">
      <c r="A16959" s="0" t="s">
        <v>12</v>
      </c>
      <c r="B16959" s="0" t="n">
        <v>5222395</v>
      </c>
      <c r="C16959" s="0" t="n">
        <v>5222415</v>
      </c>
      <c r="D16959" s="0" t="s">
        <v>56381</v>
      </c>
      <c r="E16959" s="0" t="s">
        <v>56382</v>
      </c>
      <c r="F16959" s="0" t="s">
        <v>90</v>
      </c>
      <c r="G16959" s="0" t="s">
        <v>32</v>
      </c>
      <c r="H16959" s="0" t="n">
        <v>19</v>
      </c>
      <c r="I16959" s="0" t="s">
        <v>56383</v>
      </c>
      <c r="J16959" s="0" t="s">
        <v>56384</v>
      </c>
      <c r="K16959" s="0" t="s">
        <v>56385</v>
      </c>
      <c r="L16959" s="0" t="str">
        <f aca="false">HYPERLINK("https://www.ncbi.nlm.nih.gov/nuccore/CP000058.1?report=graph&amp;tracks=[key:gene_model_track,Options:GeneOnly]&amp;mk=5222396:5222415|offset_19|00cc00,5222362:5222381|offset_53|444444,5222330:5222349|offset_85|444444,5222288:5222307|offset_127|444444&amp;v=5222195:5222507&amp;c=444444", "offset 19")</f>
        <v>offset 19</v>
      </c>
    </row>
    <row r="16960" customFormat="false" ht="12.8" hidden="false" customHeight="false" outlineLevel="0" collapsed="false">
      <c r="A16960" s="0" t="s">
        <v>12</v>
      </c>
      <c r="B16960" s="0" t="n">
        <v>5222361</v>
      </c>
      <c r="C16960" s="0" t="n">
        <v>5222381</v>
      </c>
      <c r="D16960" s="0" t="s">
        <v>56381</v>
      </c>
      <c r="E16960" s="0" t="s">
        <v>56382</v>
      </c>
      <c r="F16960" s="0" t="s">
        <v>90</v>
      </c>
      <c r="G16960" s="0" t="s">
        <v>16</v>
      </c>
      <c r="H16960" s="0" t="n">
        <v>53</v>
      </c>
      <c r="I16960" s="0" t="s">
        <v>56386</v>
      </c>
      <c r="J16960" s="0" t="s">
        <v>56387</v>
      </c>
      <c r="K16960" s="0" t="s">
        <v>56388</v>
      </c>
      <c r="L16960" s="0" t="str">
        <f aca="false">HYPERLINK("https://www.ncbi.nlm.nih.gov/nuccore/CP000058.1?report=graph&amp;tracks=[key:gene_model_track,Options:GeneOnly]&amp;mk=5222396:5222415|offset_19|444444,5222362:5222381|offset_53|00cc00,5222330:5222349|offset_85|444444,5222288:5222307|offset_127|444444&amp;v=5222195:5222507&amp;c=444444", "offset 53")</f>
        <v>offset 53</v>
      </c>
    </row>
    <row r="16961" customFormat="false" ht="12.8" hidden="false" customHeight="false" outlineLevel="0" collapsed="false">
      <c r="A16961" s="0" t="s">
        <v>12</v>
      </c>
      <c r="B16961" s="0" t="n">
        <v>5222329</v>
      </c>
      <c r="C16961" s="0" t="n">
        <v>5222349</v>
      </c>
      <c r="D16961" s="0" t="s">
        <v>56381</v>
      </c>
      <c r="E16961" s="0" t="s">
        <v>56382</v>
      </c>
      <c r="F16961" s="0" t="s">
        <v>90</v>
      </c>
      <c r="G16961" s="0" t="s">
        <v>36</v>
      </c>
      <c r="H16961" s="0" t="n">
        <v>85</v>
      </c>
      <c r="I16961" s="0" t="s">
        <v>56389</v>
      </c>
      <c r="J16961" s="0" t="s">
        <v>56390</v>
      </c>
      <c r="K16961" s="0" t="s">
        <v>56391</v>
      </c>
      <c r="L16961" s="0" t="str">
        <f aca="false">HYPERLINK("https://www.ncbi.nlm.nih.gov/nuccore/CP000058.1?report=graph&amp;tracks=[key:gene_model_track,Options:GeneOnly]&amp;mk=5222396:5222415|offset_19|444444,5222362:5222381|offset_53|444444,5222330:5222349|offset_85|00cc00,5222288:5222307|offset_127|444444&amp;v=5222195:5222507&amp;c=444444", "offset 85")</f>
        <v>offset 85</v>
      </c>
    </row>
    <row r="16962" customFormat="false" ht="12.8" hidden="false" customHeight="false" outlineLevel="0" collapsed="false">
      <c r="A16962" s="0" t="s">
        <v>12</v>
      </c>
      <c r="B16962" s="0" t="n">
        <v>5222287</v>
      </c>
      <c r="C16962" s="0" t="n">
        <v>5222307</v>
      </c>
      <c r="D16962" s="0" t="s">
        <v>56381</v>
      </c>
      <c r="E16962" s="0" t="s">
        <v>56382</v>
      </c>
      <c r="F16962" s="0" t="s">
        <v>90</v>
      </c>
      <c r="G16962" s="0" t="s">
        <v>16</v>
      </c>
      <c r="H16962" s="0" t="n">
        <v>127</v>
      </c>
      <c r="I16962" s="0" t="s">
        <v>56392</v>
      </c>
      <c r="J16962" s="0" t="s">
        <v>56393</v>
      </c>
      <c r="K16962" s="0" t="s">
        <v>56394</v>
      </c>
      <c r="L16962" s="0" t="str">
        <f aca="false">HYPERLINK("https://www.ncbi.nlm.nih.gov/nuccore/CP000058.1?report=graph&amp;tracks=[key:gene_model_track,Options:GeneOnly]&amp;mk=5222396:5222415|offset_19|444444,5222362:5222381|offset_53|444444,5222330:5222349|offset_85|444444,5222288:5222307|offset_127|00cc00&amp;v=5222195:5222507&amp;c=444444", "offset 127")</f>
        <v>offset 127</v>
      </c>
    </row>
    <row r="16963" customFormat="false" ht="12.8" hidden="false" customHeight="false" outlineLevel="0" collapsed="false">
      <c r="A16963" s="0" t="s">
        <v>12</v>
      </c>
      <c r="B16963" s="0" t="n">
        <v>5222691</v>
      </c>
      <c r="C16963" s="0" t="n">
        <v>5222711</v>
      </c>
      <c r="D16963" s="0" t="s">
        <v>56395</v>
      </c>
      <c r="E16963" s="0" t="s">
        <v>56396</v>
      </c>
      <c r="F16963" s="0" t="s">
        <v>90</v>
      </c>
      <c r="G16963" s="0" t="s">
        <v>16</v>
      </c>
      <c r="H16963" s="0" t="n">
        <v>13</v>
      </c>
      <c r="I16963" s="0" t="s">
        <v>56397</v>
      </c>
      <c r="J16963" s="0" t="s">
        <v>56398</v>
      </c>
      <c r="K16963" s="0" t="s">
        <v>56399</v>
      </c>
      <c r="L16963" s="0" t="str">
        <f aca="false">HYPERLINK("https://www.ncbi.nlm.nih.gov/nuccore/CP000058.1?report=graph&amp;tracks=[key:gene_model_track,Options:GeneOnly]&amp;mk=5222692:5222711|offset_13|00cc00,5222664:5222683|offset_41|444444,5222635:5222654|offset_70|444444,5222601:5222620|offset_104|444444&amp;v=5222491:5222820&amp;c=444444", "offset 13")</f>
        <v>offset 13</v>
      </c>
    </row>
    <row r="16964" customFormat="false" ht="12.8" hidden="false" customHeight="false" outlineLevel="0" collapsed="false">
      <c r="A16964" s="0" t="s">
        <v>12</v>
      </c>
      <c r="B16964" s="0" t="n">
        <v>5222663</v>
      </c>
      <c r="C16964" s="0" t="n">
        <v>5222683</v>
      </c>
      <c r="D16964" s="0" t="s">
        <v>56395</v>
      </c>
      <c r="E16964" s="0" t="s">
        <v>56396</v>
      </c>
      <c r="F16964" s="0" t="s">
        <v>90</v>
      </c>
      <c r="G16964" s="0" t="s">
        <v>16</v>
      </c>
      <c r="H16964" s="0" t="n">
        <v>41</v>
      </c>
      <c r="I16964" s="0" t="s">
        <v>56400</v>
      </c>
      <c r="J16964" s="0" t="s">
        <v>56401</v>
      </c>
      <c r="K16964" s="0" t="s">
        <v>56402</v>
      </c>
      <c r="L16964" s="0" t="str">
        <f aca="false">HYPERLINK("https://www.ncbi.nlm.nih.gov/nuccore/CP000058.1?report=graph&amp;tracks=[key:gene_model_track,Options:GeneOnly]&amp;mk=5222692:5222711|offset_13|444444,5222664:5222683|offset_41|00cc00,5222635:5222654|offset_70|444444,5222601:5222620|offset_104|444444&amp;v=5222491:5222820&amp;c=444444", "offset 41")</f>
        <v>offset 41</v>
      </c>
    </row>
    <row r="16965" customFormat="false" ht="12.8" hidden="false" customHeight="false" outlineLevel="0" collapsed="false">
      <c r="A16965" s="0" t="s">
        <v>12</v>
      </c>
      <c r="B16965" s="0" t="n">
        <v>5222634</v>
      </c>
      <c r="C16965" s="0" t="n">
        <v>5222654</v>
      </c>
      <c r="D16965" s="0" t="s">
        <v>56395</v>
      </c>
      <c r="E16965" s="0" t="s">
        <v>56396</v>
      </c>
      <c r="F16965" s="0" t="s">
        <v>90</v>
      </c>
      <c r="G16965" s="0" t="s">
        <v>32</v>
      </c>
      <c r="H16965" s="0" t="n">
        <v>70</v>
      </c>
      <c r="I16965" s="0" t="s">
        <v>56403</v>
      </c>
      <c r="J16965" s="0" t="s">
        <v>56404</v>
      </c>
      <c r="K16965" s="0" t="s">
        <v>56405</v>
      </c>
      <c r="L16965" s="0" t="str">
        <f aca="false">HYPERLINK("https://www.ncbi.nlm.nih.gov/nuccore/CP000058.1?report=graph&amp;tracks=[key:gene_model_track,Options:GeneOnly]&amp;mk=5222692:5222711|offset_13|444444,5222664:5222683|offset_41|444444,5222635:5222654|offset_70|00cc00,5222601:5222620|offset_104|444444&amp;v=5222491:5222820&amp;c=444444", "offset 70")</f>
        <v>offset 70</v>
      </c>
    </row>
    <row r="16966" customFormat="false" ht="12.8" hidden="false" customHeight="false" outlineLevel="0" collapsed="false">
      <c r="A16966" s="0" t="s">
        <v>12</v>
      </c>
      <c r="B16966" s="0" t="n">
        <v>5222600</v>
      </c>
      <c r="C16966" s="0" t="n">
        <v>5222620</v>
      </c>
      <c r="D16966" s="0" t="s">
        <v>56395</v>
      </c>
      <c r="E16966" s="0" t="s">
        <v>56396</v>
      </c>
      <c r="F16966" s="0" t="s">
        <v>90</v>
      </c>
      <c r="G16966" s="0" t="s">
        <v>36</v>
      </c>
      <c r="H16966" s="0" t="n">
        <v>104</v>
      </c>
      <c r="I16966" s="0" t="s">
        <v>56406</v>
      </c>
      <c r="J16966" s="0" t="s">
        <v>56407</v>
      </c>
      <c r="K16966" s="0" t="s">
        <v>56408</v>
      </c>
      <c r="L16966" s="0" t="str">
        <f aca="false">HYPERLINK("https://www.ncbi.nlm.nih.gov/nuccore/CP000058.1?report=graph&amp;tracks=[key:gene_model_track,Options:GeneOnly]&amp;mk=5222692:5222711|offset_13|444444,5222664:5222683|offset_41|444444,5222635:5222654|offset_70|444444,5222601:5222620|offset_104|00cc00&amp;v=5222491:5222820&amp;c=444444", "offset 104")</f>
        <v>offset 104</v>
      </c>
    </row>
    <row r="16967" customFormat="false" ht="12.8" hidden="false" customHeight="false" outlineLevel="0" collapsed="false">
      <c r="A16967" s="0" t="s">
        <v>12</v>
      </c>
      <c r="B16967" s="0" t="n">
        <v>5222836</v>
      </c>
      <c r="C16967" s="0" t="n">
        <v>5222856</v>
      </c>
      <c r="D16967" s="0" t="s">
        <v>56409</v>
      </c>
      <c r="E16967" s="0" t="s">
        <v>56410</v>
      </c>
      <c r="F16967" s="0" t="s">
        <v>90</v>
      </c>
      <c r="G16967" s="0" t="s">
        <v>20</v>
      </c>
      <c r="H16967" s="0" t="n">
        <v>62</v>
      </c>
      <c r="I16967" s="0" t="s">
        <v>56411</v>
      </c>
      <c r="J16967" s="0" t="s">
        <v>56412</v>
      </c>
      <c r="K16967" s="0" t="s">
        <v>56413</v>
      </c>
      <c r="L16967" s="0" t="str">
        <f aca="false">HYPERLINK("https://www.ncbi.nlm.nih.gov/nuccore/CP000058.1?report=graph&amp;tracks=[key:gene_model_track,Options:GeneOnly]&amp;mk=5222837:5222856|offset_62|00cc00,5222792:5222811|offset_107|444444&amp;v=5222636:5223011&amp;c=444444", "offset 62")</f>
        <v>offset 62</v>
      </c>
    </row>
    <row r="16968" customFormat="false" ht="12.8" hidden="false" customHeight="false" outlineLevel="0" collapsed="false">
      <c r="A16968" s="0" t="s">
        <v>12</v>
      </c>
      <c r="B16968" s="0" t="n">
        <v>5222791</v>
      </c>
      <c r="C16968" s="0" t="n">
        <v>5222811</v>
      </c>
      <c r="D16968" s="0" t="s">
        <v>56409</v>
      </c>
      <c r="E16968" s="0" t="s">
        <v>56410</v>
      </c>
      <c r="F16968" s="0" t="s">
        <v>90</v>
      </c>
      <c r="G16968" s="0" t="s">
        <v>32</v>
      </c>
      <c r="H16968" s="0" t="n">
        <v>107</v>
      </c>
      <c r="I16968" s="0" t="s">
        <v>56414</v>
      </c>
      <c r="J16968" s="0" t="s">
        <v>56415</v>
      </c>
      <c r="K16968" s="0" t="s">
        <v>56416</v>
      </c>
      <c r="L16968" s="0" t="str">
        <f aca="false">HYPERLINK("https://www.ncbi.nlm.nih.gov/nuccore/CP000058.1?report=graph&amp;tracks=[key:gene_model_track,Options:GeneOnly]&amp;mk=5222837:5222856|offset_62|444444,5222792:5222811|offset_107|00cc00&amp;v=5222636:5223011&amp;c=444444", "offset 107")</f>
        <v>offset 107</v>
      </c>
    </row>
    <row r="16969" customFormat="false" ht="12.8" hidden="false" customHeight="false" outlineLevel="0" collapsed="false">
      <c r="A16969" s="0" t="s">
        <v>12</v>
      </c>
      <c r="B16969" s="0" t="n">
        <v>5223299</v>
      </c>
      <c r="C16969" s="0" t="n">
        <v>5223319</v>
      </c>
      <c r="D16969" s="0" t="s">
        <v>56417</v>
      </c>
      <c r="E16969" s="0" t="s">
        <v>56418</v>
      </c>
      <c r="F16969" s="0" t="s">
        <v>90</v>
      </c>
      <c r="G16969" s="0" t="s">
        <v>32</v>
      </c>
      <c r="H16969" s="0" t="n">
        <v>12</v>
      </c>
      <c r="I16969" s="0" t="s">
        <v>56419</v>
      </c>
      <c r="J16969" s="0" t="s">
        <v>56420</v>
      </c>
      <c r="K16969" s="0" t="s">
        <v>56421</v>
      </c>
      <c r="L16969" s="0" t="str">
        <f aca="false">HYPERLINK("https://www.ncbi.nlm.nih.gov/nuccore/CP000058.1?report=graph&amp;tracks=[key:gene_model_track,Options:GeneOnly]&amp;mk=5223300:5223319|offset_12|00cc00,5223269:5223288|offset_43|444444,5223182:5223201|offset_130|444444,5223146:5223165|offset_166|444444&amp;v=5223099:5223365&amp;c=444444", "offset 12")</f>
        <v>offset 12</v>
      </c>
    </row>
    <row r="16970" customFormat="false" ht="12.8" hidden="false" customHeight="false" outlineLevel="0" collapsed="false">
      <c r="A16970" s="0" t="s">
        <v>12</v>
      </c>
      <c r="B16970" s="0" t="n">
        <v>5223268</v>
      </c>
      <c r="C16970" s="0" t="n">
        <v>5223288</v>
      </c>
      <c r="D16970" s="0" t="s">
        <v>56417</v>
      </c>
      <c r="E16970" s="0" t="s">
        <v>56418</v>
      </c>
      <c r="F16970" s="0" t="s">
        <v>90</v>
      </c>
      <c r="G16970" s="0" t="s">
        <v>16</v>
      </c>
      <c r="H16970" s="0" t="n">
        <v>43</v>
      </c>
      <c r="I16970" s="0" t="s">
        <v>56422</v>
      </c>
      <c r="J16970" s="0" t="s">
        <v>56423</v>
      </c>
      <c r="K16970" s="0" t="s">
        <v>56424</v>
      </c>
      <c r="L16970" s="0" t="str">
        <f aca="false">HYPERLINK("https://www.ncbi.nlm.nih.gov/nuccore/CP000058.1?report=graph&amp;tracks=[key:gene_model_track,Options:GeneOnly]&amp;mk=5223300:5223319|offset_12|444444,5223269:5223288|offset_43|00cc00,5223182:5223201|offset_130|444444,5223146:5223165|offset_166|444444&amp;v=5223099:5223365&amp;c=444444", "offset 43")</f>
        <v>offset 43</v>
      </c>
    </row>
    <row r="16971" customFormat="false" ht="12.8" hidden="false" customHeight="false" outlineLevel="0" collapsed="false">
      <c r="A16971" s="0" t="s">
        <v>12</v>
      </c>
      <c r="B16971" s="0" t="n">
        <v>5223181</v>
      </c>
      <c r="C16971" s="0" t="n">
        <v>5223201</v>
      </c>
      <c r="D16971" s="0" t="s">
        <v>56417</v>
      </c>
      <c r="E16971" s="0" t="s">
        <v>56418</v>
      </c>
      <c r="F16971" s="0" t="s">
        <v>90</v>
      </c>
      <c r="G16971" s="0" t="s">
        <v>16</v>
      </c>
      <c r="H16971" s="0" t="n">
        <v>130</v>
      </c>
      <c r="I16971" s="0" t="s">
        <v>56425</v>
      </c>
      <c r="J16971" s="0" t="s">
        <v>56426</v>
      </c>
      <c r="K16971" s="0" t="s">
        <v>56427</v>
      </c>
      <c r="L16971" s="0" t="str">
        <f aca="false">HYPERLINK("https://www.ncbi.nlm.nih.gov/nuccore/CP000058.1?report=graph&amp;tracks=[key:gene_model_track,Options:GeneOnly]&amp;mk=5223300:5223319|offset_12|444444,5223269:5223288|offset_43|444444,5223182:5223201|offset_130|00cc00,5223146:5223165|offset_166|444444&amp;v=5223099:5223365&amp;c=444444", "offset 130")</f>
        <v>offset 130</v>
      </c>
    </row>
    <row r="16972" customFormat="false" ht="12.8" hidden="false" customHeight="false" outlineLevel="0" collapsed="false">
      <c r="A16972" s="0" t="s">
        <v>12</v>
      </c>
      <c r="B16972" s="0" t="n">
        <v>5223145</v>
      </c>
      <c r="C16972" s="0" t="n">
        <v>5223165</v>
      </c>
      <c r="D16972" s="0" t="s">
        <v>56417</v>
      </c>
      <c r="E16972" s="0" t="s">
        <v>56418</v>
      </c>
      <c r="F16972" s="0" t="s">
        <v>90</v>
      </c>
      <c r="G16972" s="0" t="s">
        <v>36</v>
      </c>
      <c r="H16972" s="0" t="n">
        <v>166</v>
      </c>
      <c r="I16972" s="0" t="s">
        <v>56428</v>
      </c>
      <c r="J16972" s="0" t="s">
        <v>56429</v>
      </c>
      <c r="K16972" s="0" t="s">
        <v>56430</v>
      </c>
      <c r="L16972" s="0" t="str">
        <f aca="false">HYPERLINK("https://www.ncbi.nlm.nih.gov/nuccore/CP000058.1?report=graph&amp;tracks=[key:gene_model_track,Options:GeneOnly]&amp;mk=5223300:5223319|offset_12|444444,5223269:5223288|offset_43|444444,5223182:5223201|offset_130|444444,5223146:5223165|offset_166|00cc00&amp;v=5223099:5223365&amp;c=444444", "offset 166")</f>
        <v>offset 166</v>
      </c>
    </row>
    <row r="16973" customFormat="false" ht="12.8" hidden="false" customHeight="false" outlineLevel="0" collapsed="false">
      <c r="A16973" s="0" t="s">
        <v>12</v>
      </c>
      <c r="B16973" s="0" t="n">
        <v>5223989</v>
      </c>
      <c r="C16973" s="0" t="n">
        <v>5224009</v>
      </c>
      <c r="D16973" s="0" t="s">
        <v>56431</v>
      </c>
      <c r="E16973" s="0" t="s">
        <v>56432</v>
      </c>
      <c r="F16973" s="0" t="s">
        <v>90</v>
      </c>
      <c r="G16973" s="0" t="s">
        <v>36</v>
      </c>
      <c r="H16973" s="0" t="n">
        <v>21</v>
      </c>
      <c r="I16973" s="0" t="s">
        <v>56433</v>
      </c>
      <c r="J16973" s="0" t="s">
        <v>56434</v>
      </c>
      <c r="K16973" s="0" t="s">
        <v>56435</v>
      </c>
      <c r="L16973" s="0" t="str">
        <f aca="false">HYPERLINK("https://www.ncbi.nlm.nih.gov/nuccore/CP000058.1?report=graph&amp;tracks=[key:gene_model_track,Options:GeneOnly]&amp;mk=5223990:5224009|offset_21|00cc00,5223953:5223972|offset_58|444444,5223883:5223902|offset_128|444444,5223857:5223876|offset_154|444444&amp;v=5223789:5224076&amp;c=444444", "offset 21")</f>
        <v>offset 21</v>
      </c>
    </row>
    <row r="16974" customFormat="false" ht="12.8" hidden="false" customHeight="false" outlineLevel="0" collapsed="false">
      <c r="A16974" s="0" t="s">
        <v>12</v>
      </c>
      <c r="B16974" s="0" t="n">
        <v>5223952</v>
      </c>
      <c r="C16974" s="0" t="n">
        <v>5223972</v>
      </c>
      <c r="D16974" s="0" t="s">
        <v>56431</v>
      </c>
      <c r="E16974" s="0" t="s">
        <v>56432</v>
      </c>
      <c r="F16974" s="0" t="s">
        <v>90</v>
      </c>
      <c r="G16974" s="0" t="s">
        <v>20</v>
      </c>
      <c r="H16974" s="0" t="n">
        <v>58</v>
      </c>
      <c r="I16974" s="0" t="s">
        <v>56436</v>
      </c>
      <c r="J16974" s="0" t="s">
        <v>56437</v>
      </c>
      <c r="K16974" s="0" t="s">
        <v>56438</v>
      </c>
      <c r="L16974" s="0" t="str">
        <f aca="false">HYPERLINK("https://www.ncbi.nlm.nih.gov/nuccore/CP000058.1?report=graph&amp;tracks=[key:gene_model_track,Options:GeneOnly]&amp;mk=5223990:5224009|offset_21|444444,5223953:5223972|offset_58|00cc00,5223883:5223902|offset_128|444444,5223857:5223876|offset_154|444444&amp;v=5223789:5224076&amp;c=444444", "offset 58")</f>
        <v>offset 58</v>
      </c>
    </row>
    <row r="16975" customFormat="false" ht="12.8" hidden="false" customHeight="false" outlineLevel="0" collapsed="false">
      <c r="A16975" s="0" t="s">
        <v>12</v>
      </c>
      <c r="B16975" s="0" t="n">
        <v>5223882</v>
      </c>
      <c r="C16975" s="0" t="n">
        <v>5223902</v>
      </c>
      <c r="D16975" s="0" t="s">
        <v>56431</v>
      </c>
      <c r="E16975" s="0" t="s">
        <v>56432</v>
      </c>
      <c r="F16975" s="0" t="s">
        <v>90</v>
      </c>
      <c r="G16975" s="0" t="s">
        <v>20</v>
      </c>
      <c r="H16975" s="0" t="n">
        <v>128</v>
      </c>
      <c r="I16975" s="0" t="s">
        <v>56439</v>
      </c>
      <c r="J16975" s="0" t="s">
        <v>56440</v>
      </c>
      <c r="K16975" s="0" t="s">
        <v>56441</v>
      </c>
      <c r="L16975" s="0" t="str">
        <f aca="false">HYPERLINK("https://www.ncbi.nlm.nih.gov/nuccore/CP000058.1?report=graph&amp;tracks=[key:gene_model_track,Options:GeneOnly]&amp;mk=5223990:5224009|offset_21|444444,5223953:5223972|offset_58|444444,5223883:5223902|offset_128|00cc00,5223857:5223876|offset_154|444444&amp;v=5223789:5224076&amp;c=444444", "offset 128")</f>
        <v>offset 128</v>
      </c>
    </row>
    <row r="16976" customFormat="false" ht="12.8" hidden="false" customHeight="false" outlineLevel="0" collapsed="false">
      <c r="A16976" s="0" t="s">
        <v>12</v>
      </c>
      <c r="B16976" s="0" t="n">
        <v>5223856</v>
      </c>
      <c r="C16976" s="0" t="n">
        <v>5223876</v>
      </c>
      <c r="D16976" s="0" t="s">
        <v>56431</v>
      </c>
      <c r="E16976" s="0" t="s">
        <v>56432</v>
      </c>
      <c r="F16976" s="0" t="s">
        <v>90</v>
      </c>
      <c r="G16976" s="0" t="s">
        <v>16</v>
      </c>
      <c r="H16976" s="0" t="n">
        <v>154</v>
      </c>
      <c r="I16976" s="0" t="s">
        <v>56442</v>
      </c>
      <c r="J16976" s="0" t="s">
        <v>56443</v>
      </c>
      <c r="K16976" s="0" t="s">
        <v>56444</v>
      </c>
      <c r="L16976" s="0" t="str">
        <f aca="false">HYPERLINK("https://www.ncbi.nlm.nih.gov/nuccore/CP000058.1?report=graph&amp;tracks=[key:gene_model_track,Options:GeneOnly]&amp;mk=5223990:5224009|offset_21|444444,5223953:5223972|offset_58|444444,5223883:5223902|offset_128|444444,5223857:5223876|offset_154|00cc00&amp;v=5223789:5224076&amp;c=444444", "offset 154")</f>
        <v>offset 154</v>
      </c>
    </row>
    <row r="16977" customFormat="false" ht="12.8" hidden="false" customHeight="false" outlineLevel="0" collapsed="false">
      <c r="A16977" s="0" t="s">
        <v>12</v>
      </c>
      <c r="B16977" s="0" t="n">
        <v>5224343</v>
      </c>
      <c r="C16977" s="0" t="n">
        <v>5224363</v>
      </c>
      <c r="D16977" s="0" t="s">
        <v>56445</v>
      </c>
      <c r="E16977" s="0" t="s">
        <v>56446</v>
      </c>
      <c r="F16977" s="0" t="s">
        <v>90</v>
      </c>
      <c r="G16977" s="0" t="s">
        <v>16</v>
      </c>
      <c r="H16977" s="0" t="n">
        <v>13</v>
      </c>
      <c r="I16977" s="0" t="s">
        <v>56447</v>
      </c>
      <c r="J16977" s="0" t="s">
        <v>56448</v>
      </c>
      <c r="K16977" s="0" t="s">
        <v>56449</v>
      </c>
      <c r="L16977" s="0" t="str">
        <f aca="false">HYPERLINK("https://www.ncbi.nlm.nih.gov/nuccore/CP000058.1?report=graph&amp;tracks=[key:gene_model_track,Options:GeneOnly]&amp;mk=5224344:5224363|offset_13|00cc00,5224317:5224336|offset_40|444444,5224293:5224312|offset_64|444444,5224253:5224272|offset_104|444444&amp;v=5224143:5224472&amp;c=444444", "offset 13")</f>
        <v>offset 13</v>
      </c>
    </row>
    <row r="16978" customFormat="false" ht="12.8" hidden="false" customHeight="false" outlineLevel="0" collapsed="false">
      <c r="A16978" s="0" t="s">
        <v>12</v>
      </c>
      <c r="B16978" s="0" t="n">
        <v>5224316</v>
      </c>
      <c r="C16978" s="0" t="n">
        <v>5224336</v>
      </c>
      <c r="D16978" s="0" t="s">
        <v>56445</v>
      </c>
      <c r="E16978" s="0" t="s">
        <v>56446</v>
      </c>
      <c r="F16978" s="0" t="s">
        <v>90</v>
      </c>
      <c r="G16978" s="0" t="s">
        <v>16</v>
      </c>
      <c r="H16978" s="0" t="n">
        <v>40</v>
      </c>
      <c r="I16978" s="0" t="s">
        <v>56450</v>
      </c>
      <c r="J16978" s="0" t="s">
        <v>56451</v>
      </c>
      <c r="K16978" s="0" t="s">
        <v>56452</v>
      </c>
      <c r="L16978" s="0" t="str">
        <f aca="false">HYPERLINK("https://www.ncbi.nlm.nih.gov/nuccore/CP000058.1?report=graph&amp;tracks=[key:gene_model_track,Options:GeneOnly]&amp;mk=5224344:5224363|offset_13|444444,5224317:5224336|offset_40|00cc00,5224293:5224312|offset_64|444444,5224253:5224272|offset_104|444444&amp;v=5224143:5224472&amp;c=444444", "offset 40")</f>
        <v>offset 40</v>
      </c>
    </row>
    <row r="16979" customFormat="false" ht="12.8" hidden="false" customHeight="false" outlineLevel="0" collapsed="false">
      <c r="A16979" s="0" t="s">
        <v>12</v>
      </c>
      <c r="B16979" s="0" t="n">
        <v>5224292</v>
      </c>
      <c r="C16979" s="0" t="n">
        <v>5224312</v>
      </c>
      <c r="D16979" s="0" t="s">
        <v>56445</v>
      </c>
      <c r="E16979" s="0" t="s">
        <v>56446</v>
      </c>
      <c r="F16979" s="0" t="s">
        <v>90</v>
      </c>
      <c r="G16979" s="0" t="s">
        <v>16</v>
      </c>
      <c r="H16979" s="0" t="n">
        <v>64</v>
      </c>
      <c r="I16979" s="0" t="s">
        <v>56453</v>
      </c>
      <c r="J16979" s="0" t="s">
        <v>56454</v>
      </c>
      <c r="K16979" s="0" t="s">
        <v>56455</v>
      </c>
      <c r="L16979" s="0" t="str">
        <f aca="false">HYPERLINK("https://www.ncbi.nlm.nih.gov/nuccore/CP000058.1?report=graph&amp;tracks=[key:gene_model_track,Options:GeneOnly]&amp;mk=5224344:5224363|offset_13|444444,5224317:5224336|offset_40|444444,5224293:5224312|offset_64|00cc00,5224253:5224272|offset_104|444444&amp;v=5224143:5224472&amp;c=444444", "offset 64")</f>
        <v>offset 64</v>
      </c>
    </row>
    <row r="16980" customFormat="false" ht="12.8" hidden="false" customHeight="false" outlineLevel="0" collapsed="false">
      <c r="A16980" s="0" t="s">
        <v>12</v>
      </c>
      <c r="B16980" s="0" t="n">
        <v>5224252</v>
      </c>
      <c r="C16980" s="0" t="n">
        <v>5224272</v>
      </c>
      <c r="D16980" s="0" t="s">
        <v>56445</v>
      </c>
      <c r="E16980" s="0" t="s">
        <v>56446</v>
      </c>
      <c r="F16980" s="0" t="s">
        <v>90</v>
      </c>
      <c r="G16980" s="0" t="s">
        <v>20</v>
      </c>
      <c r="H16980" s="0" t="n">
        <v>104</v>
      </c>
      <c r="I16980" s="0" t="s">
        <v>56456</v>
      </c>
      <c r="J16980" s="0" t="s">
        <v>56457</v>
      </c>
      <c r="K16980" s="0" t="s">
        <v>56458</v>
      </c>
      <c r="L16980" s="0" t="str">
        <f aca="false">HYPERLINK("https://www.ncbi.nlm.nih.gov/nuccore/CP000058.1?report=graph&amp;tracks=[key:gene_model_track,Options:GeneOnly]&amp;mk=5224344:5224363|offset_13|444444,5224317:5224336|offset_40|444444,5224293:5224312|offset_64|444444,5224253:5224272|offset_104|00cc00&amp;v=5224143:5224472&amp;c=444444", "offset 104")</f>
        <v>offset 104</v>
      </c>
    </row>
    <row r="16981" customFormat="false" ht="12.8" hidden="false" customHeight="false" outlineLevel="0" collapsed="false">
      <c r="A16981" s="0" t="s">
        <v>12</v>
      </c>
      <c r="B16981" s="0" t="n">
        <v>5224639</v>
      </c>
      <c r="C16981" s="0" t="n">
        <v>5224659</v>
      </c>
      <c r="D16981" s="0" t="s">
        <v>56459</v>
      </c>
      <c r="E16981" s="0" t="s">
        <v>56460</v>
      </c>
      <c r="F16981" s="0" t="s">
        <v>90</v>
      </c>
      <c r="G16981" s="0" t="s">
        <v>32</v>
      </c>
      <c r="H16981" s="0" t="n">
        <v>6</v>
      </c>
      <c r="I16981" s="0" t="s">
        <v>56461</v>
      </c>
      <c r="J16981" s="0" t="s">
        <v>56462</v>
      </c>
      <c r="K16981" s="0" t="s">
        <v>56463</v>
      </c>
      <c r="L16981" s="0" t="str">
        <f aca="false">HYPERLINK("https://www.ncbi.nlm.nih.gov/nuccore/CP000058.1?report=graph&amp;tracks=[key:gene_model_track,Options:GeneOnly]&amp;mk=5224640:5224659|offset_6|00cc00,5224619:5224638|offset_27|444444,5224556:5224575|offset_90|444444,5224524:5224543|offset_122|444444&amp;v=5224439:5224743&amp;c=444444", "offset 6")</f>
        <v>offset 6</v>
      </c>
    </row>
    <row r="16982" customFormat="false" ht="12.8" hidden="false" customHeight="false" outlineLevel="0" collapsed="false">
      <c r="A16982" s="0" t="s">
        <v>12</v>
      </c>
      <c r="B16982" s="0" t="n">
        <v>5224618</v>
      </c>
      <c r="C16982" s="0" t="n">
        <v>5224638</v>
      </c>
      <c r="D16982" s="0" t="s">
        <v>56459</v>
      </c>
      <c r="E16982" s="0" t="s">
        <v>56460</v>
      </c>
      <c r="F16982" s="0" t="s">
        <v>90</v>
      </c>
      <c r="G16982" s="0" t="s">
        <v>20</v>
      </c>
      <c r="H16982" s="0" t="n">
        <v>27</v>
      </c>
      <c r="I16982" s="0" t="s">
        <v>56464</v>
      </c>
      <c r="J16982" s="0" t="s">
        <v>56465</v>
      </c>
      <c r="K16982" s="0" t="s">
        <v>56466</v>
      </c>
      <c r="L16982" s="0" t="str">
        <f aca="false">HYPERLINK("https://www.ncbi.nlm.nih.gov/nuccore/CP000058.1?report=graph&amp;tracks=[key:gene_model_track,Options:GeneOnly]&amp;mk=5224640:5224659|offset_6|444444,5224619:5224638|offset_27|00cc00,5224556:5224575|offset_90|444444,5224524:5224543|offset_122|444444&amp;v=5224439:5224743&amp;c=444444", "offset 27")</f>
        <v>offset 27</v>
      </c>
    </row>
    <row r="16983" customFormat="false" ht="12.8" hidden="false" customHeight="false" outlineLevel="0" collapsed="false">
      <c r="A16983" s="0" t="s">
        <v>12</v>
      </c>
      <c r="B16983" s="0" t="n">
        <v>5224555</v>
      </c>
      <c r="C16983" s="0" t="n">
        <v>5224575</v>
      </c>
      <c r="D16983" s="0" t="s">
        <v>56459</v>
      </c>
      <c r="E16983" s="0" t="s">
        <v>56460</v>
      </c>
      <c r="F16983" s="0" t="s">
        <v>90</v>
      </c>
      <c r="G16983" s="0" t="s">
        <v>32</v>
      </c>
      <c r="H16983" s="0" t="n">
        <v>90</v>
      </c>
      <c r="I16983" s="0" t="s">
        <v>56467</v>
      </c>
      <c r="J16983" s="0" t="s">
        <v>56468</v>
      </c>
      <c r="K16983" s="0" t="s">
        <v>56469</v>
      </c>
      <c r="L16983" s="0" t="str">
        <f aca="false">HYPERLINK("https://www.ncbi.nlm.nih.gov/nuccore/CP000058.1?report=graph&amp;tracks=[key:gene_model_track,Options:GeneOnly]&amp;mk=5224640:5224659|offset_6|444444,5224619:5224638|offset_27|444444,5224556:5224575|offset_90|00cc00,5224524:5224543|offset_122|444444&amp;v=5224439:5224743&amp;c=444444", "offset 90")</f>
        <v>offset 90</v>
      </c>
    </row>
    <row r="16984" customFormat="false" ht="12.8" hidden="false" customHeight="false" outlineLevel="0" collapsed="false">
      <c r="A16984" s="0" t="s">
        <v>12</v>
      </c>
      <c r="B16984" s="0" t="n">
        <v>5224523</v>
      </c>
      <c r="C16984" s="0" t="n">
        <v>5224543</v>
      </c>
      <c r="D16984" s="0" t="s">
        <v>56459</v>
      </c>
      <c r="E16984" s="0" t="s">
        <v>56460</v>
      </c>
      <c r="F16984" s="0" t="s">
        <v>90</v>
      </c>
      <c r="G16984" s="0" t="s">
        <v>20</v>
      </c>
      <c r="H16984" s="0" t="n">
        <v>122</v>
      </c>
      <c r="I16984" s="0" t="s">
        <v>56470</v>
      </c>
      <c r="J16984" s="0" t="s">
        <v>56471</v>
      </c>
      <c r="K16984" s="0" t="s">
        <v>56472</v>
      </c>
      <c r="L16984" s="0" t="str">
        <f aca="false">HYPERLINK("https://www.ncbi.nlm.nih.gov/nuccore/CP000058.1?report=graph&amp;tracks=[key:gene_model_track,Options:GeneOnly]&amp;mk=5224640:5224659|offset_6|444444,5224619:5224638|offset_27|444444,5224556:5224575|offset_90|444444,5224524:5224543|offset_122|00cc00&amp;v=5224439:5224743&amp;c=444444", "offset 122")</f>
        <v>offset 122</v>
      </c>
    </row>
    <row r="16985" customFormat="false" ht="12.8" hidden="false" customHeight="false" outlineLevel="0" collapsed="false">
      <c r="A16985" s="0" t="s">
        <v>12</v>
      </c>
      <c r="B16985" s="0" t="n">
        <v>5225462</v>
      </c>
      <c r="C16985" s="0" t="n">
        <v>5225482</v>
      </c>
      <c r="D16985" s="0" t="s">
        <v>56473</v>
      </c>
      <c r="E16985" s="0" t="s">
        <v>56474</v>
      </c>
      <c r="F16985" s="0" t="s">
        <v>90</v>
      </c>
      <c r="G16985" s="0" t="s">
        <v>16</v>
      </c>
      <c r="H16985" s="0" t="n">
        <v>24</v>
      </c>
      <c r="I16985" s="0" t="s">
        <v>56475</v>
      </c>
      <c r="J16985" s="0" t="s">
        <v>56476</v>
      </c>
      <c r="K16985" s="0" t="s">
        <v>56477</v>
      </c>
      <c r="L16985" s="0" t="str">
        <f aca="false">HYPERLINK("https://www.ncbi.nlm.nih.gov/nuccore/CP000058.1?report=graph&amp;tracks=[key:gene_model_track,Options:GeneOnly]&amp;mk=5225463:5225482|offset_24|00cc00,5225422:5225441|offset_65|444444,5225400:5225419|offset_87|444444,5225333:5225352|offset_154|444444&amp;v=5225262:5225552&amp;c=444444", "offset 24")</f>
        <v>offset 24</v>
      </c>
    </row>
    <row r="16986" customFormat="false" ht="12.8" hidden="false" customHeight="false" outlineLevel="0" collapsed="false">
      <c r="A16986" s="0" t="s">
        <v>12</v>
      </c>
      <c r="B16986" s="0" t="n">
        <v>5225421</v>
      </c>
      <c r="C16986" s="0" t="n">
        <v>5225441</v>
      </c>
      <c r="D16986" s="0" t="s">
        <v>56473</v>
      </c>
      <c r="E16986" s="0" t="s">
        <v>56474</v>
      </c>
      <c r="F16986" s="0" t="s">
        <v>90</v>
      </c>
      <c r="G16986" s="0" t="s">
        <v>32</v>
      </c>
      <c r="H16986" s="0" t="n">
        <v>65</v>
      </c>
      <c r="I16986" s="0" t="s">
        <v>56478</v>
      </c>
      <c r="J16986" s="0" t="s">
        <v>56479</v>
      </c>
      <c r="K16986" s="0" t="s">
        <v>56480</v>
      </c>
      <c r="L16986" s="0" t="str">
        <f aca="false">HYPERLINK("https://www.ncbi.nlm.nih.gov/nuccore/CP000058.1?report=graph&amp;tracks=[key:gene_model_track,Options:GeneOnly]&amp;mk=5225463:5225482|offset_24|444444,5225422:5225441|offset_65|00cc00,5225400:5225419|offset_87|444444,5225333:5225352|offset_154|444444&amp;v=5225262:5225552&amp;c=444444", "offset 65")</f>
        <v>offset 65</v>
      </c>
    </row>
    <row r="16987" customFormat="false" ht="12.8" hidden="false" customHeight="false" outlineLevel="0" collapsed="false">
      <c r="A16987" s="0" t="s">
        <v>12</v>
      </c>
      <c r="B16987" s="0" t="n">
        <v>5225399</v>
      </c>
      <c r="C16987" s="0" t="n">
        <v>5225419</v>
      </c>
      <c r="D16987" s="0" t="s">
        <v>56473</v>
      </c>
      <c r="E16987" s="0" t="s">
        <v>56474</v>
      </c>
      <c r="F16987" s="0" t="s">
        <v>90</v>
      </c>
      <c r="G16987" s="0" t="s">
        <v>20</v>
      </c>
      <c r="H16987" s="0" t="n">
        <v>87</v>
      </c>
      <c r="I16987" s="0" t="s">
        <v>56481</v>
      </c>
      <c r="J16987" s="0" t="s">
        <v>56482</v>
      </c>
      <c r="K16987" s="0" t="s">
        <v>56483</v>
      </c>
      <c r="L16987" s="0" t="str">
        <f aca="false">HYPERLINK("https://www.ncbi.nlm.nih.gov/nuccore/CP000058.1?report=graph&amp;tracks=[key:gene_model_track,Options:GeneOnly]&amp;mk=5225463:5225482|offset_24|444444,5225422:5225441|offset_65|444444,5225400:5225419|offset_87|00cc00,5225333:5225352|offset_154|444444&amp;v=5225262:5225552&amp;c=444444", "offset 87")</f>
        <v>offset 87</v>
      </c>
    </row>
    <row r="16988" customFormat="false" ht="12.8" hidden="false" customHeight="false" outlineLevel="0" collapsed="false">
      <c r="A16988" s="0" t="s">
        <v>12</v>
      </c>
      <c r="B16988" s="0" t="n">
        <v>5225332</v>
      </c>
      <c r="C16988" s="0" t="n">
        <v>5225352</v>
      </c>
      <c r="D16988" s="0" t="s">
        <v>56473</v>
      </c>
      <c r="E16988" s="0" t="s">
        <v>56474</v>
      </c>
      <c r="F16988" s="0" t="s">
        <v>90</v>
      </c>
      <c r="G16988" s="0" t="s">
        <v>36</v>
      </c>
      <c r="H16988" s="0" t="n">
        <v>154</v>
      </c>
      <c r="I16988" s="0" t="s">
        <v>56484</v>
      </c>
      <c r="J16988" s="0" t="s">
        <v>56485</v>
      </c>
      <c r="K16988" s="0" t="s">
        <v>56486</v>
      </c>
      <c r="L16988" s="0" t="str">
        <f aca="false">HYPERLINK("https://www.ncbi.nlm.nih.gov/nuccore/CP000058.1?report=graph&amp;tracks=[key:gene_model_track,Options:GeneOnly]&amp;mk=5225463:5225482|offset_24|444444,5225422:5225441|offset_65|444444,5225400:5225419|offset_87|444444,5225333:5225352|offset_154|00cc00&amp;v=5225262:5225552&amp;c=444444", "offset 154")</f>
        <v>offset 154</v>
      </c>
    </row>
    <row r="16989" customFormat="false" ht="12.8" hidden="false" customHeight="false" outlineLevel="0" collapsed="false">
      <c r="A16989" s="0" t="s">
        <v>12</v>
      </c>
      <c r="B16989" s="0" t="n">
        <v>5225792</v>
      </c>
      <c r="C16989" s="0" t="n">
        <v>5225812</v>
      </c>
      <c r="D16989" s="0" t="s">
        <v>56487</v>
      </c>
      <c r="E16989" s="0" t="s">
        <v>56488</v>
      </c>
      <c r="F16989" s="0" t="s">
        <v>90</v>
      </c>
      <c r="G16989" s="0" t="s">
        <v>32</v>
      </c>
      <c r="H16989" s="0" t="n">
        <v>8</v>
      </c>
      <c r="I16989" s="0" t="s">
        <v>56489</v>
      </c>
      <c r="J16989" s="0" t="s">
        <v>56490</v>
      </c>
      <c r="K16989" s="0" t="s">
        <v>56491</v>
      </c>
      <c r="L16989" s="0" t="str">
        <f aca="false">HYPERLINK("https://www.ncbi.nlm.nih.gov/nuccore/CP000058.1?report=graph&amp;tracks=[key:gene_model_track,Options:GeneOnly]&amp;mk=5225793:5225812|offset_8|00cc00,5225763:5225782|offset_38|444444,5225686:5225705|offset_115|444444,5225665:5225684|offset_136|444444&amp;v=5225592:5225884&amp;c=444444", "offset 8")</f>
        <v>offset 8</v>
      </c>
    </row>
    <row r="16990" customFormat="false" ht="12.8" hidden="false" customHeight="false" outlineLevel="0" collapsed="false">
      <c r="A16990" s="0" t="s">
        <v>12</v>
      </c>
      <c r="B16990" s="0" t="n">
        <v>5225762</v>
      </c>
      <c r="C16990" s="0" t="n">
        <v>5225782</v>
      </c>
      <c r="D16990" s="0" t="s">
        <v>56487</v>
      </c>
      <c r="E16990" s="0" t="s">
        <v>56488</v>
      </c>
      <c r="F16990" s="0" t="s">
        <v>90</v>
      </c>
      <c r="G16990" s="0" t="s">
        <v>36</v>
      </c>
      <c r="H16990" s="0" t="n">
        <v>38</v>
      </c>
      <c r="I16990" s="0" t="s">
        <v>56492</v>
      </c>
      <c r="J16990" s="0" t="s">
        <v>56493</v>
      </c>
      <c r="K16990" s="0" t="s">
        <v>56494</v>
      </c>
      <c r="L16990" s="0" t="str">
        <f aca="false">HYPERLINK("https://www.ncbi.nlm.nih.gov/nuccore/CP000058.1?report=graph&amp;tracks=[key:gene_model_track,Options:GeneOnly]&amp;mk=5225793:5225812|offset_8|444444,5225763:5225782|offset_38|00cc00,5225686:5225705|offset_115|444444,5225665:5225684|offset_136|444444&amp;v=5225592:5225884&amp;c=444444", "offset 38")</f>
        <v>offset 38</v>
      </c>
    </row>
    <row r="16991" customFormat="false" ht="12.8" hidden="false" customHeight="false" outlineLevel="0" collapsed="false">
      <c r="A16991" s="0" t="s">
        <v>12</v>
      </c>
      <c r="B16991" s="0" t="n">
        <v>5225685</v>
      </c>
      <c r="C16991" s="0" t="n">
        <v>5225705</v>
      </c>
      <c r="D16991" s="0" t="s">
        <v>56487</v>
      </c>
      <c r="E16991" s="0" t="s">
        <v>56488</v>
      </c>
      <c r="F16991" s="0" t="s">
        <v>90</v>
      </c>
      <c r="G16991" s="0" t="s">
        <v>32</v>
      </c>
      <c r="H16991" s="0" t="n">
        <v>115</v>
      </c>
      <c r="I16991" s="0" t="s">
        <v>56495</v>
      </c>
      <c r="J16991" s="0" t="s">
        <v>56496</v>
      </c>
      <c r="K16991" s="0" t="s">
        <v>56497</v>
      </c>
      <c r="L16991" s="0" t="str">
        <f aca="false">HYPERLINK("https://www.ncbi.nlm.nih.gov/nuccore/CP000058.1?report=graph&amp;tracks=[key:gene_model_track,Options:GeneOnly]&amp;mk=5225793:5225812|offset_8|444444,5225763:5225782|offset_38|444444,5225686:5225705|offset_115|00cc00,5225665:5225684|offset_136|444444&amp;v=5225592:5225884&amp;c=444444", "offset 115")</f>
        <v>offset 115</v>
      </c>
    </row>
    <row r="16992" customFormat="false" ht="12.8" hidden="false" customHeight="false" outlineLevel="0" collapsed="false">
      <c r="A16992" s="0" t="s">
        <v>12</v>
      </c>
      <c r="B16992" s="0" t="n">
        <v>5225664</v>
      </c>
      <c r="C16992" s="0" t="n">
        <v>5225684</v>
      </c>
      <c r="D16992" s="0" t="s">
        <v>56487</v>
      </c>
      <c r="E16992" s="0" t="s">
        <v>56488</v>
      </c>
      <c r="F16992" s="0" t="s">
        <v>90</v>
      </c>
      <c r="G16992" s="0" t="s">
        <v>16</v>
      </c>
      <c r="H16992" s="0" t="n">
        <v>136</v>
      </c>
      <c r="I16992" s="0" t="s">
        <v>56498</v>
      </c>
      <c r="J16992" s="0" t="s">
        <v>56499</v>
      </c>
      <c r="K16992" s="0" t="s">
        <v>56500</v>
      </c>
      <c r="L16992" s="0" t="str">
        <f aca="false">HYPERLINK("https://www.ncbi.nlm.nih.gov/nuccore/CP000058.1?report=graph&amp;tracks=[key:gene_model_track,Options:GeneOnly]&amp;mk=5225793:5225812|offset_8|444444,5225763:5225782|offset_38|444444,5225686:5225705|offset_115|444444,5225665:5225684|offset_136|00cc00&amp;v=5225592:5225884&amp;c=444444", "offset 136")</f>
        <v>offset 136</v>
      </c>
    </row>
    <row r="16993" customFormat="false" ht="12.8" hidden="false" customHeight="false" outlineLevel="0" collapsed="false">
      <c r="A16993" s="0" t="s">
        <v>12</v>
      </c>
      <c r="B16993" s="0" t="n">
        <v>5226356</v>
      </c>
      <c r="C16993" s="0" t="n">
        <v>5226376</v>
      </c>
      <c r="D16993" s="0" t="s">
        <v>56501</v>
      </c>
      <c r="E16993" s="0" t="s">
        <v>56502</v>
      </c>
      <c r="F16993" s="0" t="s">
        <v>90</v>
      </c>
      <c r="G16993" s="0" t="s">
        <v>16</v>
      </c>
      <c r="H16993" s="0" t="n">
        <v>43</v>
      </c>
      <c r="I16993" s="0" t="s">
        <v>56503</v>
      </c>
      <c r="J16993" s="0" t="s">
        <v>56504</v>
      </c>
      <c r="K16993" s="0" t="s">
        <v>56505</v>
      </c>
      <c r="L16993" s="0" t="str">
        <f aca="false">HYPERLINK("https://www.ncbi.nlm.nih.gov/nuccore/CP000058.1?report=graph&amp;tracks=[key:gene_model_track,Options:GeneOnly]&amp;mk=5226357:5226376|offset_43|00cc00,5226314:5226333|offset_86|444444,5226258:5226277|offset_142|444444,5226227:5226246|offset_173|444444&amp;v=5226156:5226446&amp;c=444444", "offset 43")</f>
        <v>offset 43</v>
      </c>
    </row>
    <row r="16994" customFormat="false" ht="12.8" hidden="false" customHeight="false" outlineLevel="0" collapsed="false">
      <c r="A16994" s="0" t="s">
        <v>12</v>
      </c>
      <c r="B16994" s="0" t="n">
        <v>5226313</v>
      </c>
      <c r="C16994" s="0" t="n">
        <v>5226333</v>
      </c>
      <c r="D16994" s="0" t="s">
        <v>56501</v>
      </c>
      <c r="E16994" s="0" t="s">
        <v>56502</v>
      </c>
      <c r="F16994" s="0" t="s">
        <v>90</v>
      </c>
      <c r="G16994" s="0" t="s">
        <v>32</v>
      </c>
      <c r="H16994" s="0" t="n">
        <v>86</v>
      </c>
      <c r="I16994" s="0" t="s">
        <v>56506</v>
      </c>
      <c r="J16994" s="0" t="s">
        <v>56507</v>
      </c>
      <c r="K16994" s="0" t="s">
        <v>56508</v>
      </c>
      <c r="L16994" s="0" t="str">
        <f aca="false">HYPERLINK("https://www.ncbi.nlm.nih.gov/nuccore/CP000058.1?report=graph&amp;tracks=[key:gene_model_track,Options:GeneOnly]&amp;mk=5226357:5226376|offset_43|444444,5226314:5226333|offset_86|00cc00,5226258:5226277|offset_142|444444,5226227:5226246|offset_173|444444&amp;v=5226156:5226446&amp;c=444444", "offset 86")</f>
        <v>offset 86</v>
      </c>
    </row>
    <row r="16995" customFormat="false" ht="12.8" hidden="false" customHeight="false" outlineLevel="0" collapsed="false">
      <c r="A16995" s="0" t="s">
        <v>12</v>
      </c>
      <c r="B16995" s="0" t="n">
        <v>5226257</v>
      </c>
      <c r="C16995" s="0" t="n">
        <v>5226277</v>
      </c>
      <c r="D16995" s="0" t="s">
        <v>56501</v>
      </c>
      <c r="E16995" s="0" t="s">
        <v>56502</v>
      </c>
      <c r="F16995" s="0" t="s">
        <v>90</v>
      </c>
      <c r="G16995" s="0" t="s">
        <v>36</v>
      </c>
      <c r="H16995" s="0" t="n">
        <v>142</v>
      </c>
      <c r="I16995" s="0" t="s">
        <v>56509</v>
      </c>
      <c r="J16995" s="0" t="s">
        <v>56510</v>
      </c>
      <c r="K16995" s="0" t="s">
        <v>56511</v>
      </c>
      <c r="L16995" s="0" t="str">
        <f aca="false">HYPERLINK("https://www.ncbi.nlm.nih.gov/nuccore/CP000058.1?report=graph&amp;tracks=[key:gene_model_track,Options:GeneOnly]&amp;mk=5226357:5226376|offset_43|444444,5226314:5226333|offset_86|444444,5226258:5226277|offset_142|00cc00,5226227:5226246|offset_173|444444&amp;v=5226156:5226446&amp;c=444444", "offset 142")</f>
        <v>offset 142</v>
      </c>
    </row>
    <row r="16996" customFormat="false" ht="12.8" hidden="false" customHeight="false" outlineLevel="0" collapsed="false">
      <c r="A16996" s="0" t="s">
        <v>12</v>
      </c>
      <c r="B16996" s="0" t="n">
        <v>5226226</v>
      </c>
      <c r="C16996" s="0" t="n">
        <v>5226246</v>
      </c>
      <c r="D16996" s="0" t="s">
        <v>56501</v>
      </c>
      <c r="E16996" s="0" t="s">
        <v>56502</v>
      </c>
      <c r="F16996" s="0" t="s">
        <v>90</v>
      </c>
      <c r="G16996" s="0" t="s">
        <v>36</v>
      </c>
      <c r="H16996" s="0" t="n">
        <v>173</v>
      </c>
      <c r="I16996" s="0" t="s">
        <v>56512</v>
      </c>
      <c r="J16996" s="0" t="s">
        <v>56513</v>
      </c>
      <c r="K16996" s="0" t="s">
        <v>56514</v>
      </c>
      <c r="L16996" s="0" t="str">
        <f aca="false">HYPERLINK("https://www.ncbi.nlm.nih.gov/nuccore/CP000058.1?report=graph&amp;tracks=[key:gene_model_track,Options:GeneOnly]&amp;mk=5226357:5226376|offset_43|444444,5226314:5226333|offset_86|444444,5226258:5226277|offset_142|444444,5226227:5226246|offset_173|00cc00&amp;v=5226156:5226446&amp;c=444444", "offset 173")</f>
        <v>offset 173</v>
      </c>
    </row>
    <row r="16997" customFormat="false" ht="12.8" hidden="false" customHeight="false" outlineLevel="0" collapsed="false">
      <c r="A16997" s="0" t="s">
        <v>12</v>
      </c>
      <c r="B16997" s="0" t="n">
        <v>5227007</v>
      </c>
      <c r="C16997" s="0" t="n">
        <v>5227027</v>
      </c>
      <c r="D16997" s="0" t="s">
        <v>56515</v>
      </c>
      <c r="E16997" s="0" t="s">
        <v>56516</v>
      </c>
      <c r="F16997" s="0" t="s">
        <v>90</v>
      </c>
      <c r="G16997" s="0" t="s">
        <v>36</v>
      </c>
      <c r="H16997" s="0" t="n">
        <v>40</v>
      </c>
      <c r="I16997" s="0" t="s">
        <v>56517</v>
      </c>
      <c r="J16997" s="0" t="s">
        <v>56518</v>
      </c>
      <c r="K16997" s="0" t="s">
        <v>56519</v>
      </c>
      <c r="L16997" s="0" t="str">
        <f aca="false">HYPERLINK("https://www.ncbi.nlm.nih.gov/nuccore/CP000058.1?report=graph&amp;tracks=[key:gene_model_track,Options:GeneOnly]&amp;mk=5227008:5227027|offset_40|00cc00,5226981:5227000|offset_67|444444,5226952:5226971|offset_96|444444,5226927:5226946|offset_121|444444&amp;v=5226807:5227146&amp;c=444444", "offset 40")</f>
        <v>offset 40</v>
      </c>
    </row>
    <row r="16998" customFormat="false" ht="12.8" hidden="false" customHeight="false" outlineLevel="0" collapsed="false">
      <c r="A16998" s="0" t="s">
        <v>12</v>
      </c>
      <c r="B16998" s="0" t="n">
        <v>5226980</v>
      </c>
      <c r="C16998" s="0" t="n">
        <v>5227000</v>
      </c>
      <c r="D16998" s="0" t="s">
        <v>56515</v>
      </c>
      <c r="E16998" s="0" t="s">
        <v>56516</v>
      </c>
      <c r="F16998" s="0" t="s">
        <v>90</v>
      </c>
      <c r="G16998" s="0" t="s">
        <v>32</v>
      </c>
      <c r="H16998" s="0" t="n">
        <v>67</v>
      </c>
      <c r="I16998" s="0" t="s">
        <v>56520</v>
      </c>
      <c r="J16998" s="0" t="s">
        <v>56521</v>
      </c>
      <c r="K16998" s="0" t="s">
        <v>56522</v>
      </c>
      <c r="L16998" s="0" t="str">
        <f aca="false">HYPERLINK("https://www.ncbi.nlm.nih.gov/nuccore/CP000058.1?report=graph&amp;tracks=[key:gene_model_track,Options:GeneOnly]&amp;mk=5227008:5227027|offset_40|444444,5226981:5227000|offset_67|00cc00,5226952:5226971|offset_96|444444,5226927:5226946|offset_121|444444&amp;v=5226807:5227146&amp;c=444444", "offset 67")</f>
        <v>offset 67</v>
      </c>
    </row>
    <row r="16999" customFormat="false" ht="12.8" hidden="false" customHeight="false" outlineLevel="0" collapsed="false">
      <c r="A16999" s="0" t="s">
        <v>12</v>
      </c>
      <c r="B16999" s="0" t="n">
        <v>5226951</v>
      </c>
      <c r="C16999" s="0" t="n">
        <v>5226971</v>
      </c>
      <c r="D16999" s="0" t="s">
        <v>56515</v>
      </c>
      <c r="E16999" s="0" t="s">
        <v>56516</v>
      </c>
      <c r="F16999" s="0" t="s">
        <v>90</v>
      </c>
      <c r="G16999" s="0" t="s">
        <v>16</v>
      </c>
      <c r="H16999" s="0" t="n">
        <v>96</v>
      </c>
      <c r="I16999" s="0" t="s">
        <v>56523</v>
      </c>
      <c r="J16999" s="0" t="s">
        <v>56524</v>
      </c>
      <c r="K16999" s="0" t="s">
        <v>56525</v>
      </c>
      <c r="L16999" s="0" t="str">
        <f aca="false">HYPERLINK("https://www.ncbi.nlm.nih.gov/nuccore/CP000058.1?report=graph&amp;tracks=[key:gene_model_track,Options:GeneOnly]&amp;mk=5227008:5227027|offset_40|444444,5226981:5227000|offset_67|444444,5226952:5226971|offset_96|00cc00,5226927:5226946|offset_121|444444&amp;v=5226807:5227146&amp;c=444444", "offset 96")</f>
        <v>offset 96</v>
      </c>
    </row>
    <row r="17000" customFormat="false" ht="12.8" hidden="false" customHeight="false" outlineLevel="0" collapsed="false">
      <c r="A17000" s="0" t="s">
        <v>12</v>
      </c>
      <c r="B17000" s="0" t="n">
        <v>5226926</v>
      </c>
      <c r="C17000" s="0" t="n">
        <v>5226946</v>
      </c>
      <c r="D17000" s="0" t="s">
        <v>56515</v>
      </c>
      <c r="E17000" s="0" t="s">
        <v>56516</v>
      </c>
      <c r="F17000" s="0" t="s">
        <v>90</v>
      </c>
      <c r="G17000" s="0" t="s">
        <v>16</v>
      </c>
      <c r="H17000" s="0" t="n">
        <v>121</v>
      </c>
      <c r="I17000" s="0" t="s">
        <v>56526</v>
      </c>
      <c r="J17000" s="0" t="s">
        <v>56527</v>
      </c>
      <c r="K17000" s="0" t="s">
        <v>56528</v>
      </c>
      <c r="L17000" s="0" t="str">
        <f aca="false">HYPERLINK("https://www.ncbi.nlm.nih.gov/nuccore/CP000058.1?report=graph&amp;tracks=[key:gene_model_track,Options:GeneOnly]&amp;mk=5227008:5227027|offset_40|444444,5226981:5227000|offset_67|444444,5226952:5226971|offset_96|444444,5226927:5226946|offset_121|00cc00&amp;v=5226807:5227146&amp;c=444444", "offset 121")</f>
        <v>offset 121</v>
      </c>
    </row>
    <row r="17001" customFormat="false" ht="12.8" hidden="false" customHeight="false" outlineLevel="0" collapsed="false">
      <c r="A17001" s="0" t="s">
        <v>12</v>
      </c>
      <c r="B17001" s="0" t="n">
        <v>5227495</v>
      </c>
      <c r="C17001" s="0" t="n">
        <v>5227515</v>
      </c>
      <c r="D17001" s="0" t="s">
        <v>56529</v>
      </c>
      <c r="E17001" s="0" t="s">
        <v>56530</v>
      </c>
      <c r="F17001" s="0" t="s">
        <v>90</v>
      </c>
      <c r="G17001" s="0" t="s">
        <v>20</v>
      </c>
      <c r="H17001" s="0" t="n">
        <v>26</v>
      </c>
      <c r="I17001" s="0" t="s">
        <v>56531</v>
      </c>
      <c r="J17001" s="0" t="s">
        <v>56532</v>
      </c>
      <c r="K17001" s="0" t="s">
        <v>56533</v>
      </c>
      <c r="L17001" s="0" t="str">
        <f aca="false">HYPERLINK("https://www.ncbi.nlm.nih.gov/nuccore/CP000058.1?report=graph&amp;tracks=[key:gene_model_track,Options:GeneOnly]&amp;mk=5227496:5227515|offset_26|00cc00,5227441:5227460|offset_81|444444,5227421:5227440|offset_101|444444,5227397:5227416|offset_125|444444&amp;v=5227295:5227616&amp;c=444444", "offset 26")</f>
        <v>offset 26</v>
      </c>
    </row>
    <row r="17002" customFormat="false" ht="12.8" hidden="false" customHeight="false" outlineLevel="0" collapsed="false">
      <c r="A17002" s="0" t="s">
        <v>12</v>
      </c>
      <c r="B17002" s="0" t="n">
        <v>5227440</v>
      </c>
      <c r="C17002" s="0" t="n">
        <v>5227460</v>
      </c>
      <c r="D17002" s="0" t="s">
        <v>56529</v>
      </c>
      <c r="E17002" s="0" t="s">
        <v>56530</v>
      </c>
      <c r="F17002" s="0" t="s">
        <v>90</v>
      </c>
      <c r="G17002" s="0" t="s">
        <v>32</v>
      </c>
      <c r="H17002" s="0" t="n">
        <v>81</v>
      </c>
      <c r="I17002" s="0" t="s">
        <v>56534</v>
      </c>
      <c r="J17002" s="0" t="s">
        <v>56535</v>
      </c>
      <c r="K17002" s="0" t="s">
        <v>56536</v>
      </c>
      <c r="L17002" s="0" t="str">
        <f aca="false">HYPERLINK("https://www.ncbi.nlm.nih.gov/nuccore/CP000058.1?report=graph&amp;tracks=[key:gene_model_track,Options:GeneOnly]&amp;mk=5227496:5227515|offset_26|444444,5227441:5227460|offset_81|00cc00,5227421:5227440|offset_101|444444,5227397:5227416|offset_125|444444&amp;v=5227295:5227616&amp;c=444444", "offset 81")</f>
        <v>offset 81</v>
      </c>
    </row>
    <row r="17003" customFormat="false" ht="12.8" hidden="false" customHeight="false" outlineLevel="0" collapsed="false">
      <c r="A17003" s="0" t="s">
        <v>12</v>
      </c>
      <c r="B17003" s="0" t="n">
        <v>5227420</v>
      </c>
      <c r="C17003" s="0" t="n">
        <v>5227440</v>
      </c>
      <c r="D17003" s="0" t="s">
        <v>56529</v>
      </c>
      <c r="E17003" s="0" t="s">
        <v>56530</v>
      </c>
      <c r="F17003" s="0" t="s">
        <v>90</v>
      </c>
      <c r="G17003" s="0" t="s">
        <v>16</v>
      </c>
      <c r="H17003" s="0" t="n">
        <v>101</v>
      </c>
      <c r="I17003" s="0" t="s">
        <v>56537</v>
      </c>
      <c r="J17003" s="0" t="s">
        <v>56538</v>
      </c>
      <c r="K17003" s="0" t="s">
        <v>56539</v>
      </c>
      <c r="L17003" s="0" t="str">
        <f aca="false">HYPERLINK("https://www.ncbi.nlm.nih.gov/nuccore/CP000058.1?report=graph&amp;tracks=[key:gene_model_track,Options:GeneOnly]&amp;mk=5227496:5227515|offset_26|444444,5227441:5227460|offset_81|444444,5227421:5227440|offset_101|00cc00,5227397:5227416|offset_125|444444&amp;v=5227295:5227616&amp;c=444444", "offset 101")</f>
        <v>offset 101</v>
      </c>
    </row>
    <row r="17004" customFormat="false" ht="12.8" hidden="false" customHeight="false" outlineLevel="0" collapsed="false">
      <c r="A17004" s="0" t="s">
        <v>12</v>
      </c>
      <c r="B17004" s="0" t="n">
        <v>5227396</v>
      </c>
      <c r="C17004" s="0" t="n">
        <v>5227416</v>
      </c>
      <c r="D17004" s="0" t="s">
        <v>56529</v>
      </c>
      <c r="E17004" s="0" t="s">
        <v>56530</v>
      </c>
      <c r="F17004" s="0" t="s">
        <v>90</v>
      </c>
      <c r="G17004" s="0" t="s">
        <v>32</v>
      </c>
      <c r="H17004" s="0" t="n">
        <v>125</v>
      </c>
      <c r="I17004" s="0" t="s">
        <v>56540</v>
      </c>
      <c r="J17004" s="0" t="s">
        <v>56541</v>
      </c>
      <c r="K17004" s="0" t="s">
        <v>56542</v>
      </c>
      <c r="L17004" s="0" t="str">
        <f aca="false">HYPERLINK("https://www.ncbi.nlm.nih.gov/nuccore/CP000058.1?report=graph&amp;tracks=[key:gene_model_track,Options:GeneOnly]&amp;mk=5227496:5227515|offset_26|444444,5227441:5227460|offset_81|444444,5227421:5227440|offset_101|444444,5227397:5227416|offset_125|00cc00&amp;v=5227295:5227616&amp;c=444444", "offset 125")</f>
        <v>offset 125</v>
      </c>
    </row>
    <row r="17005" customFormat="false" ht="12.8" hidden="false" customHeight="false" outlineLevel="0" collapsed="false">
      <c r="A17005" s="0" t="s">
        <v>12</v>
      </c>
      <c r="B17005" s="0" t="n">
        <v>5228747</v>
      </c>
      <c r="C17005" s="0" t="n">
        <v>5228767</v>
      </c>
      <c r="D17005" s="0" t="s">
        <v>56543</v>
      </c>
      <c r="E17005" s="0" t="s">
        <v>56544</v>
      </c>
      <c r="F17005" s="0" t="s">
        <v>90</v>
      </c>
      <c r="G17005" s="0" t="s">
        <v>36</v>
      </c>
      <c r="H17005" s="0" t="n">
        <v>28</v>
      </c>
      <c r="I17005" s="0" t="s">
        <v>56545</v>
      </c>
      <c r="J17005" s="0" t="s">
        <v>56546</v>
      </c>
      <c r="K17005" s="0" t="s">
        <v>56547</v>
      </c>
      <c r="L17005" s="0" t="str">
        <f aca="false">HYPERLINK("https://www.ncbi.nlm.nih.gov/nuccore/CP000058.1?report=graph&amp;tracks=[key:gene_model_track,Options:GeneOnly]&amp;mk=5228748:5228767|offset_28|00cc00,5228724:5228743|offset_52|444444,5228688:5228707|offset_88|444444,5228664:5228683|offset_112|444444&amp;v=5228547:5228883&amp;c=444444", "offset 28")</f>
        <v>offset 28</v>
      </c>
    </row>
    <row r="17006" customFormat="false" ht="12.8" hidden="false" customHeight="false" outlineLevel="0" collapsed="false">
      <c r="A17006" s="0" t="s">
        <v>12</v>
      </c>
      <c r="B17006" s="0" t="n">
        <v>5228723</v>
      </c>
      <c r="C17006" s="0" t="n">
        <v>5228743</v>
      </c>
      <c r="D17006" s="0" t="s">
        <v>56543</v>
      </c>
      <c r="E17006" s="0" t="s">
        <v>56544</v>
      </c>
      <c r="F17006" s="0" t="s">
        <v>90</v>
      </c>
      <c r="G17006" s="0" t="s">
        <v>32</v>
      </c>
      <c r="H17006" s="0" t="n">
        <v>52</v>
      </c>
      <c r="I17006" s="0" t="s">
        <v>56548</v>
      </c>
      <c r="J17006" s="0" t="s">
        <v>56549</v>
      </c>
      <c r="K17006" s="0" t="s">
        <v>56550</v>
      </c>
      <c r="L17006" s="0" t="str">
        <f aca="false">HYPERLINK("https://www.ncbi.nlm.nih.gov/nuccore/CP000058.1?report=graph&amp;tracks=[key:gene_model_track,Options:GeneOnly]&amp;mk=5228748:5228767|offset_28|444444,5228724:5228743|offset_52|00cc00,5228688:5228707|offset_88|444444,5228664:5228683|offset_112|444444&amp;v=5228547:5228883&amp;c=444444", "offset 52")</f>
        <v>offset 52</v>
      </c>
    </row>
    <row r="17007" customFormat="false" ht="12.8" hidden="false" customHeight="false" outlineLevel="0" collapsed="false">
      <c r="A17007" s="0" t="s">
        <v>12</v>
      </c>
      <c r="B17007" s="0" t="n">
        <v>5228687</v>
      </c>
      <c r="C17007" s="0" t="n">
        <v>5228707</v>
      </c>
      <c r="D17007" s="0" t="s">
        <v>56543</v>
      </c>
      <c r="E17007" s="0" t="s">
        <v>56544</v>
      </c>
      <c r="F17007" s="0" t="s">
        <v>90</v>
      </c>
      <c r="G17007" s="0" t="s">
        <v>16</v>
      </c>
      <c r="H17007" s="0" t="n">
        <v>88</v>
      </c>
      <c r="I17007" s="0" t="s">
        <v>56551</v>
      </c>
      <c r="J17007" s="0" t="s">
        <v>56552</v>
      </c>
      <c r="K17007" s="0" t="s">
        <v>56553</v>
      </c>
      <c r="L17007" s="0" t="str">
        <f aca="false">HYPERLINK("https://www.ncbi.nlm.nih.gov/nuccore/CP000058.1?report=graph&amp;tracks=[key:gene_model_track,Options:GeneOnly]&amp;mk=5228748:5228767|offset_28|444444,5228724:5228743|offset_52|444444,5228688:5228707|offset_88|00cc00,5228664:5228683|offset_112|444444&amp;v=5228547:5228883&amp;c=444444", "offset 88")</f>
        <v>offset 88</v>
      </c>
    </row>
    <row r="17008" customFormat="false" ht="12.8" hidden="false" customHeight="false" outlineLevel="0" collapsed="false">
      <c r="A17008" s="0" t="s">
        <v>12</v>
      </c>
      <c r="B17008" s="0" t="n">
        <v>5228663</v>
      </c>
      <c r="C17008" s="0" t="n">
        <v>5228683</v>
      </c>
      <c r="D17008" s="0" t="s">
        <v>56543</v>
      </c>
      <c r="E17008" s="0" t="s">
        <v>56544</v>
      </c>
      <c r="F17008" s="0" t="s">
        <v>90</v>
      </c>
      <c r="G17008" s="0" t="s">
        <v>16</v>
      </c>
      <c r="H17008" s="0" t="n">
        <v>112</v>
      </c>
      <c r="I17008" s="0" t="s">
        <v>56554</v>
      </c>
      <c r="J17008" s="0" t="s">
        <v>56555</v>
      </c>
      <c r="K17008" s="0" t="s">
        <v>56556</v>
      </c>
      <c r="L17008" s="0" t="str">
        <f aca="false">HYPERLINK("https://www.ncbi.nlm.nih.gov/nuccore/CP000058.1?report=graph&amp;tracks=[key:gene_model_track,Options:GeneOnly]&amp;mk=5228748:5228767|offset_28|444444,5228724:5228743|offset_52|444444,5228688:5228707|offset_88|444444,5228664:5228683|offset_112|00cc00&amp;v=5228547:5228883&amp;c=444444", "offset 112")</f>
        <v>offset 112</v>
      </c>
    </row>
    <row r="17009" customFormat="false" ht="12.8" hidden="false" customHeight="false" outlineLevel="0" collapsed="false">
      <c r="A17009" s="0" t="s">
        <v>12</v>
      </c>
      <c r="B17009" s="0" t="n">
        <v>5230894</v>
      </c>
      <c r="C17009" s="0" t="n">
        <v>5230914</v>
      </c>
      <c r="D17009" s="0" t="s">
        <v>56557</v>
      </c>
      <c r="E17009" s="0" t="s">
        <v>56558</v>
      </c>
      <c r="F17009" s="0" t="s">
        <v>90</v>
      </c>
      <c r="G17009" s="0" t="s">
        <v>16</v>
      </c>
      <c r="H17009" s="0" t="n">
        <v>18</v>
      </c>
      <c r="I17009" s="0" t="s">
        <v>56559</v>
      </c>
      <c r="J17009" s="0" t="s">
        <v>56560</v>
      </c>
      <c r="K17009" s="0" t="s">
        <v>56561</v>
      </c>
      <c r="L17009" s="0" t="str">
        <f aca="false">HYPERLINK("https://www.ncbi.nlm.nih.gov/nuccore/CP000058.1?report=graph&amp;tracks=[key:gene_model_track,Options:GeneOnly]&amp;mk=5230895:5230914|offset_18|00cc00,5230840:5230859|offset_73|444444,5230810:5230829|offset_103|444444,5230771:5230790|offset_142|444444&amp;v=5230694:5230990&amp;c=444444", "offset 18")</f>
        <v>offset 18</v>
      </c>
    </row>
    <row r="17010" customFormat="false" ht="12.8" hidden="false" customHeight="false" outlineLevel="0" collapsed="false">
      <c r="A17010" s="0" t="s">
        <v>12</v>
      </c>
      <c r="B17010" s="0" t="n">
        <v>5230839</v>
      </c>
      <c r="C17010" s="0" t="n">
        <v>5230859</v>
      </c>
      <c r="D17010" s="0" t="s">
        <v>56557</v>
      </c>
      <c r="E17010" s="0" t="s">
        <v>56558</v>
      </c>
      <c r="F17010" s="0" t="s">
        <v>90</v>
      </c>
      <c r="G17010" s="0" t="s">
        <v>32</v>
      </c>
      <c r="H17010" s="0" t="n">
        <v>73</v>
      </c>
      <c r="I17010" s="0" t="s">
        <v>56562</v>
      </c>
      <c r="J17010" s="0" t="s">
        <v>56563</v>
      </c>
      <c r="K17010" s="0" t="s">
        <v>56564</v>
      </c>
      <c r="L17010" s="0" t="str">
        <f aca="false">HYPERLINK("https://www.ncbi.nlm.nih.gov/nuccore/CP000058.1?report=graph&amp;tracks=[key:gene_model_track,Options:GeneOnly]&amp;mk=5230895:5230914|offset_18|444444,5230840:5230859|offset_73|00cc00,5230810:5230829|offset_103|444444,5230771:5230790|offset_142|444444&amp;v=5230694:5230990&amp;c=444444", "offset 73")</f>
        <v>offset 73</v>
      </c>
    </row>
    <row r="17011" customFormat="false" ht="12.8" hidden="false" customHeight="false" outlineLevel="0" collapsed="false">
      <c r="A17011" s="0" t="s">
        <v>12</v>
      </c>
      <c r="B17011" s="0" t="n">
        <v>5230809</v>
      </c>
      <c r="C17011" s="0" t="n">
        <v>5230829</v>
      </c>
      <c r="D17011" s="0" t="s">
        <v>56557</v>
      </c>
      <c r="E17011" s="0" t="s">
        <v>56558</v>
      </c>
      <c r="F17011" s="0" t="s">
        <v>90</v>
      </c>
      <c r="G17011" s="0" t="s">
        <v>16</v>
      </c>
      <c r="H17011" s="0" t="n">
        <v>103</v>
      </c>
      <c r="I17011" s="0" t="s">
        <v>56565</v>
      </c>
      <c r="J17011" s="0" t="s">
        <v>56566</v>
      </c>
      <c r="K17011" s="0" t="s">
        <v>56567</v>
      </c>
      <c r="L17011" s="0" t="str">
        <f aca="false">HYPERLINK("https://www.ncbi.nlm.nih.gov/nuccore/CP000058.1?report=graph&amp;tracks=[key:gene_model_track,Options:GeneOnly]&amp;mk=5230895:5230914|offset_18|444444,5230840:5230859|offset_73|444444,5230810:5230829|offset_103|00cc00,5230771:5230790|offset_142|444444&amp;v=5230694:5230990&amp;c=444444", "offset 103")</f>
        <v>offset 103</v>
      </c>
    </row>
    <row r="17012" customFormat="false" ht="12.8" hidden="false" customHeight="false" outlineLevel="0" collapsed="false">
      <c r="A17012" s="0" t="s">
        <v>12</v>
      </c>
      <c r="B17012" s="0" t="n">
        <v>5230770</v>
      </c>
      <c r="C17012" s="0" t="n">
        <v>5230790</v>
      </c>
      <c r="D17012" s="0" t="s">
        <v>56557</v>
      </c>
      <c r="E17012" s="0" t="s">
        <v>56558</v>
      </c>
      <c r="F17012" s="0" t="s">
        <v>90</v>
      </c>
      <c r="G17012" s="0" t="s">
        <v>16</v>
      </c>
      <c r="H17012" s="0" t="n">
        <v>142</v>
      </c>
      <c r="I17012" s="0" t="s">
        <v>56568</v>
      </c>
      <c r="J17012" s="0" t="s">
        <v>56569</v>
      </c>
      <c r="K17012" s="0" t="s">
        <v>56570</v>
      </c>
      <c r="L17012" s="0" t="str">
        <f aca="false">HYPERLINK("https://www.ncbi.nlm.nih.gov/nuccore/CP000058.1?report=graph&amp;tracks=[key:gene_model_track,Options:GeneOnly]&amp;mk=5230895:5230914|offset_18|444444,5230840:5230859|offset_73|444444,5230810:5230829|offset_103|444444,5230771:5230790|offset_142|00cc00&amp;v=5230694:5230990&amp;c=444444", "offset 142")</f>
        <v>offset 142</v>
      </c>
    </row>
    <row r="17013" customFormat="false" ht="12.8" hidden="false" customHeight="false" outlineLevel="0" collapsed="false">
      <c r="A17013" s="0" t="s">
        <v>12</v>
      </c>
      <c r="B17013" s="0" t="n">
        <v>5231412</v>
      </c>
      <c r="C17013" s="0" t="n">
        <v>5231432</v>
      </c>
      <c r="D17013" s="0" t="s">
        <v>56571</v>
      </c>
      <c r="E17013" s="0" t="s">
        <v>56572</v>
      </c>
      <c r="F17013" s="0" t="s">
        <v>90</v>
      </c>
      <c r="G17013" s="0" t="s">
        <v>32</v>
      </c>
      <c r="H17013" s="0" t="n">
        <v>1</v>
      </c>
      <c r="I17013" s="0" t="s">
        <v>56573</v>
      </c>
      <c r="J17013" s="0" t="s">
        <v>56574</v>
      </c>
      <c r="K17013" s="0" t="s">
        <v>56575</v>
      </c>
      <c r="L17013" s="0" t="str">
        <f aca="false">HYPERLINK("https://www.ncbi.nlm.nih.gov/nuccore/CP000058.1?report=graph&amp;tracks=[key:gene_model_track,Options:GeneOnly]&amp;mk=5231413:5231432|offset_1|00cc00,5231389:5231408|offset_25|444444,5231366:5231385|offset_48|444444,5231346:5231365|offset_68|444444&amp;v=5231212:5231565&amp;c=444444", "offset 1")</f>
        <v>offset 1</v>
      </c>
    </row>
    <row r="17014" customFormat="false" ht="12.8" hidden="false" customHeight="false" outlineLevel="0" collapsed="false">
      <c r="A17014" s="0" t="s">
        <v>12</v>
      </c>
      <c r="B17014" s="0" t="n">
        <v>5231388</v>
      </c>
      <c r="C17014" s="0" t="n">
        <v>5231408</v>
      </c>
      <c r="D17014" s="0" t="s">
        <v>56571</v>
      </c>
      <c r="E17014" s="0" t="s">
        <v>56572</v>
      </c>
      <c r="F17014" s="0" t="s">
        <v>90</v>
      </c>
      <c r="G17014" s="0" t="s">
        <v>32</v>
      </c>
      <c r="H17014" s="0" t="n">
        <v>25</v>
      </c>
      <c r="I17014" s="0" t="s">
        <v>56576</v>
      </c>
      <c r="J17014" s="0" t="s">
        <v>56577</v>
      </c>
      <c r="K17014" s="0" t="s">
        <v>56578</v>
      </c>
      <c r="L17014" s="0" t="str">
        <f aca="false">HYPERLINK("https://www.ncbi.nlm.nih.gov/nuccore/CP000058.1?report=graph&amp;tracks=[key:gene_model_track,Options:GeneOnly]&amp;mk=5231413:5231432|offset_1|444444,5231389:5231408|offset_25|00cc00,5231366:5231385|offset_48|444444,5231346:5231365|offset_68|444444&amp;v=5231212:5231565&amp;c=444444", "offset 25")</f>
        <v>offset 25</v>
      </c>
    </row>
    <row r="17015" customFormat="false" ht="12.8" hidden="false" customHeight="false" outlineLevel="0" collapsed="false">
      <c r="A17015" s="0" t="s">
        <v>12</v>
      </c>
      <c r="B17015" s="0" t="n">
        <v>5231365</v>
      </c>
      <c r="C17015" s="0" t="n">
        <v>5231385</v>
      </c>
      <c r="D17015" s="0" t="s">
        <v>56571</v>
      </c>
      <c r="E17015" s="0" t="s">
        <v>56572</v>
      </c>
      <c r="F17015" s="0" t="s">
        <v>90</v>
      </c>
      <c r="G17015" s="0" t="s">
        <v>32</v>
      </c>
      <c r="H17015" s="0" t="n">
        <v>48</v>
      </c>
      <c r="I17015" s="0" t="s">
        <v>56579</v>
      </c>
      <c r="J17015" s="0" t="s">
        <v>56580</v>
      </c>
      <c r="K17015" s="0" t="s">
        <v>56581</v>
      </c>
      <c r="L17015" s="0" t="str">
        <f aca="false">HYPERLINK("https://www.ncbi.nlm.nih.gov/nuccore/CP000058.1?report=graph&amp;tracks=[key:gene_model_track,Options:GeneOnly]&amp;mk=5231413:5231432|offset_1|444444,5231389:5231408|offset_25|444444,5231366:5231385|offset_48|00cc00,5231346:5231365|offset_68|444444&amp;v=5231212:5231565&amp;c=444444", "offset 48")</f>
        <v>offset 48</v>
      </c>
    </row>
    <row r="17016" customFormat="false" ht="12.8" hidden="false" customHeight="false" outlineLevel="0" collapsed="false">
      <c r="A17016" s="0" t="s">
        <v>12</v>
      </c>
      <c r="B17016" s="0" t="n">
        <v>5231345</v>
      </c>
      <c r="C17016" s="0" t="n">
        <v>5231365</v>
      </c>
      <c r="D17016" s="0" t="s">
        <v>56571</v>
      </c>
      <c r="E17016" s="0" t="s">
        <v>56572</v>
      </c>
      <c r="F17016" s="0" t="s">
        <v>90</v>
      </c>
      <c r="G17016" s="0" t="s">
        <v>20</v>
      </c>
      <c r="H17016" s="0" t="n">
        <v>68</v>
      </c>
      <c r="I17016" s="0" t="s">
        <v>56582</v>
      </c>
      <c r="J17016" s="0" t="s">
        <v>56583</v>
      </c>
      <c r="K17016" s="0" t="s">
        <v>56584</v>
      </c>
      <c r="L17016" s="0" t="str">
        <f aca="false">HYPERLINK("https://www.ncbi.nlm.nih.gov/nuccore/CP000058.1?report=graph&amp;tracks=[key:gene_model_track,Options:GeneOnly]&amp;mk=5231413:5231432|offset_1|444444,5231389:5231408|offset_25|444444,5231366:5231385|offset_48|444444,5231346:5231365|offset_68|00cc00&amp;v=5231212:5231565&amp;c=444444", "offset 68")</f>
        <v>offset 68</v>
      </c>
    </row>
    <row r="17017" customFormat="false" ht="12.8" hidden="false" customHeight="false" outlineLevel="0" collapsed="false">
      <c r="A17017" s="0" t="s">
        <v>12</v>
      </c>
      <c r="B17017" s="0" t="n">
        <v>5231890</v>
      </c>
      <c r="C17017" s="0" t="n">
        <v>5231910</v>
      </c>
      <c r="D17017" s="0" t="s">
        <v>56585</v>
      </c>
      <c r="E17017" s="0" t="s">
        <v>56586</v>
      </c>
      <c r="F17017" s="0" t="s">
        <v>90</v>
      </c>
      <c r="G17017" s="0" t="s">
        <v>32</v>
      </c>
      <c r="H17017" s="0" t="n">
        <v>17</v>
      </c>
      <c r="I17017" s="0" t="s">
        <v>56587</v>
      </c>
      <c r="J17017" s="0" t="s">
        <v>56588</v>
      </c>
      <c r="K17017" s="0" t="s">
        <v>56589</v>
      </c>
      <c r="L17017" s="0" t="str">
        <f aca="false">HYPERLINK("https://www.ncbi.nlm.nih.gov/nuccore/CP000058.1?report=graph&amp;tracks=[key:gene_model_track,Options:GeneOnly]&amp;mk=5231891:5231910|offset_17|00cc00,5231850:5231869|offset_58|444444,5231825:5231844|offset_83|444444,5231790:5231809|offset_118|444444&amp;v=5231690:5232009&amp;c=444444", "offset 17")</f>
        <v>offset 17</v>
      </c>
    </row>
    <row r="17018" customFormat="false" ht="12.8" hidden="false" customHeight="false" outlineLevel="0" collapsed="false">
      <c r="A17018" s="0" t="s">
        <v>12</v>
      </c>
      <c r="B17018" s="0" t="n">
        <v>5231849</v>
      </c>
      <c r="C17018" s="0" t="n">
        <v>5231869</v>
      </c>
      <c r="D17018" s="0" t="s">
        <v>56585</v>
      </c>
      <c r="E17018" s="0" t="s">
        <v>56586</v>
      </c>
      <c r="F17018" s="0" t="s">
        <v>90</v>
      </c>
      <c r="G17018" s="0" t="s">
        <v>16</v>
      </c>
      <c r="H17018" s="0" t="n">
        <v>58</v>
      </c>
      <c r="I17018" s="0" t="s">
        <v>56590</v>
      </c>
      <c r="J17018" s="0" t="s">
        <v>56591</v>
      </c>
      <c r="K17018" s="0" t="s">
        <v>56592</v>
      </c>
      <c r="L17018" s="0" t="str">
        <f aca="false">HYPERLINK("https://www.ncbi.nlm.nih.gov/nuccore/CP000058.1?report=graph&amp;tracks=[key:gene_model_track,Options:GeneOnly]&amp;mk=5231891:5231910|offset_17|444444,5231850:5231869|offset_58|00cc00,5231825:5231844|offset_83|444444,5231790:5231809|offset_118|444444&amp;v=5231690:5232009&amp;c=444444", "offset 58")</f>
        <v>offset 58</v>
      </c>
    </row>
    <row r="17019" customFormat="false" ht="12.8" hidden="false" customHeight="false" outlineLevel="0" collapsed="false">
      <c r="A17019" s="0" t="s">
        <v>12</v>
      </c>
      <c r="B17019" s="0" t="n">
        <v>5231824</v>
      </c>
      <c r="C17019" s="0" t="n">
        <v>5231844</v>
      </c>
      <c r="D17019" s="0" t="s">
        <v>56585</v>
      </c>
      <c r="E17019" s="0" t="s">
        <v>56586</v>
      </c>
      <c r="F17019" s="0" t="s">
        <v>90</v>
      </c>
      <c r="G17019" s="0" t="s">
        <v>36</v>
      </c>
      <c r="H17019" s="0" t="n">
        <v>83</v>
      </c>
      <c r="I17019" s="0" t="s">
        <v>56593</v>
      </c>
      <c r="J17019" s="0" t="s">
        <v>56594</v>
      </c>
      <c r="K17019" s="0" t="s">
        <v>56595</v>
      </c>
      <c r="L17019" s="0" t="str">
        <f aca="false">HYPERLINK("https://www.ncbi.nlm.nih.gov/nuccore/CP000058.1?report=graph&amp;tracks=[key:gene_model_track,Options:GeneOnly]&amp;mk=5231891:5231910|offset_17|444444,5231850:5231869|offset_58|444444,5231825:5231844|offset_83|00cc00,5231790:5231809|offset_118|444444&amp;v=5231690:5232009&amp;c=444444", "offset 83")</f>
        <v>offset 83</v>
      </c>
    </row>
    <row r="17020" customFormat="false" ht="12.8" hidden="false" customHeight="false" outlineLevel="0" collapsed="false">
      <c r="A17020" s="0" t="s">
        <v>12</v>
      </c>
      <c r="B17020" s="0" t="n">
        <v>5231789</v>
      </c>
      <c r="C17020" s="0" t="n">
        <v>5231809</v>
      </c>
      <c r="D17020" s="0" t="s">
        <v>56585</v>
      </c>
      <c r="E17020" s="0" t="s">
        <v>56586</v>
      </c>
      <c r="F17020" s="0" t="s">
        <v>90</v>
      </c>
      <c r="G17020" s="0" t="s">
        <v>32</v>
      </c>
      <c r="H17020" s="0" t="n">
        <v>118</v>
      </c>
      <c r="I17020" s="0" t="s">
        <v>56596</v>
      </c>
      <c r="J17020" s="0" t="s">
        <v>56597</v>
      </c>
      <c r="K17020" s="0" t="s">
        <v>56598</v>
      </c>
      <c r="L17020" s="0" t="str">
        <f aca="false">HYPERLINK("https://www.ncbi.nlm.nih.gov/nuccore/CP000058.1?report=graph&amp;tracks=[key:gene_model_track,Options:GeneOnly]&amp;mk=5231891:5231910|offset_17|444444,5231850:5231869|offset_58|444444,5231825:5231844|offset_83|444444,5231790:5231809|offset_118|00cc00&amp;v=5231690:5232009&amp;c=444444", "offset 118")</f>
        <v>offset 118</v>
      </c>
    </row>
    <row r="17021" customFormat="false" ht="12.8" hidden="false" customHeight="false" outlineLevel="0" collapsed="false">
      <c r="A17021" s="0" t="s">
        <v>12</v>
      </c>
      <c r="B17021" s="0" t="n">
        <v>5236304</v>
      </c>
      <c r="C17021" s="0" t="n">
        <v>5236324</v>
      </c>
      <c r="D17021" s="0" t="s">
        <v>56599</v>
      </c>
      <c r="E17021" s="0" t="s">
        <v>56600</v>
      </c>
      <c r="F17021" s="0" t="s">
        <v>90</v>
      </c>
      <c r="G17021" s="0" t="s">
        <v>20</v>
      </c>
      <c r="H17021" s="0" t="n">
        <v>1</v>
      </c>
      <c r="I17021" s="0" t="s">
        <v>56601</v>
      </c>
      <c r="J17021" s="0" t="s">
        <v>56602</v>
      </c>
      <c r="K17021" s="0" t="s">
        <v>56603</v>
      </c>
      <c r="L17021" s="0" t="str">
        <f aca="false">HYPERLINK("https://www.ncbi.nlm.nih.gov/nuccore/CP000058.1?report=graph&amp;tracks=[key:gene_model_track,Options:GeneOnly]&amp;mk=5236305:5236324|offset_1|00cc00,5236274:5236293|offset_32|444444,5236244:5236263|offset_62|444444,5236214:5236233|offset_92|444444&amp;v=5236104:5236433&amp;c=444444", "offset 1")</f>
        <v>offset 1</v>
      </c>
    </row>
    <row r="17022" customFormat="false" ht="12.8" hidden="false" customHeight="false" outlineLevel="0" collapsed="false">
      <c r="A17022" s="0" t="s">
        <v>12</v>
      </c>
      <c r="B17022" s="0" t="n">
        <v>5236273</v>
      </c>
      <c r="C17022" s="0" t="n">
        <v>5236293</v>
      </c>
      <c r="D17022" s="0" t="s">
        <v>56599</v>
      </c>
      <c r="E17022" s="0" t="s">
        <v>56600</v>
      </c>
      <c r="F17022" s="0" t="s">
        <v>90</v>
      </c>
      <c r="G17022" s="0" t="s">
        <v>32</v>
      </c>
      <c r="H17022" s="0" t="n">
        <v>32</v>
      </c>
      <c r="I17022" s="0" t="s">
        <v>56604</v>
      </c>
      <c r="J17022" s="0" t="s">
        <v>56605</v>
      </c>
      <c r="K17022" s="0" t="s">
        <v>56606</v>
      </c>
      <c r="L17022" s="0" t="str">
        <f aca="false">HYPERLINK("https://www.ncbi.nlm.nih.gov/nuccore/CP000058.1?report=graph&amp;tracks=[key:gene_model_track,Options:GeneOnly]&amp;mk=5236305:5236324|offset_1|444444,5236274:5236293|offset_32|00cc00,5236244:5236263|offset_62|444444,5236214:5236233|offset_92|444444&amp;v=5236104:5236433&amp;c=444444", "offset 32")</f>
        <v>offset 32</v>
      </c>
    </row>
    <row r="17023" customFormat="false" ht="12.8" hidden="false" customHeight="false" outlineLevel="0" collapsed="false">
      <c r="A17023" s="0" t="s">
        <v>12</v>
      </c>
      <c r="B17023" s="0" t="n">
        <v>5236243</v>
      </c>
      <c r="C17023" s="0" t="n">
        <v>5236263</v>
      </c>
      <c r="D17023" s="0" t="s">
        <v>56599</v>
      </c>
      <c r="E17023" s="0" t="s">
        <v>56600</v>
      </c>
      <c r="F17023" s="0" t="s">
        <v>90</v>
      </c>
      <c r="G17023" s="0" t="s">
        <v>16</v>
      </c>
      <c r="H17023" s="0" t="n">
        <v>62</v>
      </c>
      <c r="I17023" s="0" t="s">
        <v>56607</v>
      </c>
      <c r="J17023" s="0" t="s">
        <v>56608</v>
      </c>
      <c r="K17023" s="0" t="s">
        <v>56609</v>
      </c>
      <c r="L17023" s="0" t="str">
        <f aca="false">HYPERLINK("https://www.ncbi.nlm.nih.gov/nuccore/CP000058.1?report=graph&amp;tracks=[key:gene_model_track,Options:GeneOnly]&amp;mk=5236305:5236324|offset_1|444444,5236274:5236293|offset_32|444444,5236244:5236263|offset_62|00cc00,5236214:5236233|offset_92|444444&amp;v=5236104:5236433&amp;c=444444", "offset 62")</f>
        <v>offset 62</v>
      </c>
    </row>
    <row r="17024" customFormat="false" ht="12.8" hidden="false" customHeight="false" outlineLevel="0" collapsed="false">
      <c r="A17024" s="0" t="s">
        <v>12</v>
      </c>
      <c r="B17024" s="0" t="n">
        <v>5236213</v>
      </c>
      <c r="C17024" s="0" t="n">
        <v>5236233</v>
      </c>
      <c r="D17024" s="0" t="s">
        <v>56599</v>
      </c>
      <c r="E17024" s="0" t="s">
        <v>56600</v>
      </c>
      <c r="F17024" s="0" t="s">
        <v>90</v>
      </c>
      <c r="G17024" s="0" t="s">
        <v>16</v>
      </c>
      <c r="H17024" s="0" t="n">
        <v>92</v>
      </c>
      <c r="I17024" s="0" t="s">
        <v>56610</v>
      </c>
      <c r="J17024" s="0" t="s">
        <v>56611</v>
      </c>
      <c r="K17024" s="0" t="s">
        <v>56612</v>
      </c>
      <c r="L17024" s="0" t="str">
        <f aca="false">HYPERLINK("https://www.ncbi.nlm.nih.gov/nuccore/CP000058.1?report=graph&amp;tracks=[key:gene_model_track,Options:GeneOnly]&amp;mk=5236305:5236324|offset_1|444444,5236274:5236293|offset_32|444444,5236244:5236263|offset_62|444444,5236214:5236233|offset_92|00cc00&amp;v=5236104:5236433&amp;c=444444", "offset 92")</f>
        <v>offset 92</v>
      </c>
    </row>
    <row r="17025" customFormat="false" ht="12.8" hidden="false" customHeight="false" outlineLevel="0" collapsed="false">
      <c r="A17025" s="0" t="s">
        <v>12</v>
      </c>
      <c r="B17025" s="0" t="n">
        <v>5240408</v>
      </c>
      <c r="C17025" s="0" t="n">
        <v>5240428</v>
      </c>
      <c r="D17025" s="0" t="s">
        <v>56613</v>
      </c>
      <c r="E17025" s="0" t="s">
        <v>56614</v>
      </c>
      <c r="F17025" s="0" t="s">
        <v>90</v>
      </c>
      <c r="G17025" s="0" t="s">
        <v>16</v>
      </c>
      <c r="H17025" s="0" t="n">
        <v>35</v>
      </c>
      <c r="I17025" s="0" t="s">
        <v>56615</v>
      </c>
      <c r="J17025" s="0" t="s">
        <v>56616</v>
      </c>
      <c r="K17025" s="0" t="s">
        <v>56617</v>
      </c>
      <c r="L17025" s="0" t="str">
        <f aca="false">HYPERLINK("https://www.ncbi.nlm.nih.gov/nuccore/CP000058.1?report=graph&amp;tracks=[key:gene_model_track,Options:GeneOnly]&amp;mk=5240409:5240428|offset_35|00cc00,5240387:5240406|offset_57|444444,5240356:5240375|offset_88|444444,5240328:5240347|offset_116|444444&amp;v=5240208:5240547&amp;c=444444", "offset 35")</f>
        <v>offset 35</v>
      </c>
    </row>
    <row r="17026" customFormat="false" ht="12.8" hidden="false" customHeight="false" outlineLevel="0" collapsed="false">
      <c r="A17026" s="0" t="s">
        <v>12</v>
      </c>
      <c r="B17026" s="0" t="n">
        <v>5240386</v>
      </c>
      <c r="C17026" s="0" t="n">
        <v>5240406</v>
      </c>
      <c r="D17026" s="0" t="s">
        <v>56613</v>
      </c>
      <c r="E17026" s="0" t="s">
        <v>56614</v>
      </c>
      <c r="F17026" s="0" t="s">
        <v>90</v>
      </c>
      <c r="G17026" s="0" t="s">
        <v>16</v>
      </c>
      <c r="H17026" s="0" t="n">
        <v>57</v>
      </c>
      <c r="I17026" s="0" t="s">
        <v>56618</v>
      </c>
      <c r="J17026" s="0" t="s">
        <v>56619</v>
      </c>
      <c r="K17026" s="0" t="s">
        <v>56620</v>
      </c>
      <c r="L17026" s="0" t="str">
        <f aca="false">HYPERLINK("https://www.ncbi.nlm.nih.gov/nuccore/CP000058.1?report=graph&amp;tracks=[key:gene_model_track,Options:GeneOnly]&amp;mk=5240409:5240428|offset_35|444444,5240387:5240406|offset_57|00cc00,5240356:5240375|offset_88|444444,5240328:5240347|offset_116|444444&amp;v=5240208:5240547&amp;c=444444", "offset 57")</f>
        <v>offset 57</v>
      </c>
    </row>
    <row r="17027" customFormat="false" ht="12.8" hidden="false" customHeight="false" outlineLevel="0" collapsed="false">
      <c r="A17027" s="0" t="s">
        <v>12</v>
      </c>
      <c r="B17027" s="0" t="n">
        <v>5240355</v>
      </c>
      <c r="C17027" s="0" t="n">
        <v>5240375</v>
      </c>
      <c r="D17027" s="0" t="s">
        <v>56613</v>
      </c>
      <c r="E17027" s="0" t="s">
        <v>56614</v>
      </c>
      <c r="F17027" s="0" t="s">
        <v>90</v>
      </c>
      <c r="G17027" s="0" t="s">
        <v>32</v>
      </c>
      <c r="H17027" s="0" t="n">
        <v>88</v>
      </c>
      <c r="I17027" s="0" t="s">
        <v>56621</v>
      </c>
      <c r="J17027" s="0" t="s">
        <v>56622</v>
      </c>
      <c r="K17027" s="0" t="s">
        <v>56623</v>
      </c>
      <c r="L17027" s="0" t="str">
        <f aca="false">HYPERLINK("https://www.ncbi.nlm.nih.gov/nuccore/CP000058.1?report=graph&amp;tracks=[key:gene_model_track,Options:GeneOnly]&amp;mk=5240409:5240428|offset_35|444444,5240387:5240406|offset_57|444444,5240356:5240375|offset_88|00cc00,5240328:5240347|offset_116|444444&amp;v=5240208:5240547&amp;c=444444", "offset 88")</f>
        <v>offset 88</v>
      </c>
    </row>
    <row r="17028" customFormat="false" ht="12.8" hidden="false" customHeight="false" outlineLevel="0" collapsed="false">
      <c r="A17028" s="0" t="s">
        <v>12</v>
      </c>
      <c r="B17028" s="0" t="n">
        <v>5240327</v>
      </c>
      <c r="C17028" s="0" t="n">
        <v>5240347</v>
      </c>
      <c r="D17028" s="0" t="s">
        <v>56613</v>
      </c>
      <c r="E17028" s="0" t="s">
        <v>56614</v>
      </c>
      <c r="F17028" s="0" t="s">
        <v>90</v>
      </c>
      <c r="G17028" s="0" t="s">
        <v>20</v>
      </c>
      <c r="H17028" s="0" t="n">
        <v>116</v>
      </c>
      <c r="I17028" s="0" t="s">
        <v>56624</v>
      </c>
      <c r="J17028" s="0" t="s">
        <v>56625</v>
      </c>
      <c r="K17028" s="0" t="s">
        <v>56626</v>
      </c>
      <c r="L17028" s="0" t="str">
        <f aca="false">HYPERLINK("https://www.ncbi.nlm.nih.gov/nuccore/CP000058.1?report=graph&amp;tracks=[key:gene_model_track,Options:GeneOnly]&amp;mk=5240409:5240428|offset_35|444444,5240387:5240406|offset_57|444444,5240356:5240375|offset_88|444444,5240328:5240347|offset_116|00cc00&amp;v=5240208:5240547&amp;c=444444", "offset 116")</f>
        <v>offset 116</v>
      </c>
    </row>
    <row r="17029" customFormat="false" ht="12.8" hidden="false" customHeight="false" outlineLevel="0" collapsed="false">
      <c r="A17029" s="0" t="s">
        <v>12</v>
      </c>
      <c r="B17029" s="0" t="n">
        <v>5241023</v>
      </c>
      <c r="C17029" s="0" t="n">
        <v>5241043</v>
      </c>
      <c r="D17029" s="0" t="s">
        <v>56627</v>
      </c>
      <c r="E17029" s="0" t="s">
        <v>56628</v>
      </c>
      <c r="F17029" s="0" t="s">
        <v>90</v>
      </c>
      <c r="G17029" s="0" t="s">
        <v>32</v>
      </c>
      <c r="H17029" s="0" t="n">
        <v>7</v>
      </c>
      <c r="I17029" s="0" t="s">
        <v>56629</v>
      </c>
      <c r="J17029" s="0" t="s">
        <v>56630</v>
      </c>
      <c r="K17029" s="0" t="s">
        <v>56631</v>
      </c>
      <c r="L17029" s="0" t="str">
        <f aca="false">HYPERLINK("https://www.ncbi.nlm.nih.gov/nuccore/CP000058.1?report=graph&amp;tracks=[key:gene_model_track,Options:GeneOnly]&amp;mk=5241024:5241043|offset_7|00cc00,5240997:5241016|offset_34|444444,5240928:5240947|offset_103|444444,5240905:5240924|offset_126|444444&amp;v=5240823:5241124&amp;c=444444", "offset 7")</f>
        <v>offset 7</v>
      </c>
    </row>
    <row r="17030" customFormat="false" ht="12.8" hidden="false" customHeight="false" outlineLevel="0" collapsed="false">
      <c r="A17030" s="0" t="s">
        <v>12</v>
      </c>
      <c r="B17030" s="0" t="n">
        <v>5240996</v>
      </c>
      <c r="C17030" s="0" t="n">
        <v>5241016</v>
      </c>
      <c r="D17030" s="0" t="s">
        <v>56627</v>
      </c>
      <c r="E17030" s="0" t="s">
        <v>56628</v>
      </c>
      <c r="F17030" s="0" t="s">
        <v>90</v>
      </c>
      <c r="G17030" s="0" t="s">
        <v>16</v>
      </c>
      <c r="H17030" s="0" t="n">
        <v>34</v>
      </c>
      <c r="I17030" s="0" t="s">
        <v>56632</v>
      </c>
      <c r="J17030" s="0" t="s">
        <v>56633</v>
      </c>
      <c r="K17030" s="0" t="s">
        <v>56634</v>
      </c>
      <c r="L17030" s="0" t="str">
        <f aca="false">HYPERLINK("https://www.ncbi.nlm.nih.gov/nuccore/CP000058.1?report=graph&amp;tracks=[key:gene_model_track,Options:GeneOnly]&amp;mk=5241024:5241043|offset_7|444444,5240997:5241016|offset_34|00cc00,5240928:5240947|offset_103|444444,5240905:5240924|offset_126|444444&amp;v=5240823:5241124&amp;c=444444", "offset 34")</f>
        <v>offset 34</v>
      </c>
    </row>
    <row r="17031" customFormat="false" ht="12.8" hidden="false" customHeight="false" outlineLevel="0" collapsed="false">
      <c r="A17031" s="0" t="s">
        <v>12</v>
      </c>
      <c r="B17031" s="0" t="n">
        <v>5240927</v>
      </c>
      <c r="C17031" s="0" t="n">
        <v>5240947</v>
      </c>
      <c r="D17031" s="0" t="s">
        <v>56627</v>
      </c>
      <c r="E17031" s="0" t="s">
        <v>56628</v>
      </c>
      <c r="F17031" s="0" t="s">
        <v>90</v>
      </c>
      <c r="G17031" s="0" t="s">
        <v>16</v>
      </c>
      <c r="H17031" s="0" t="n">
        <v>103</v>
      </c>
      <c r="I17031" s="0" t="s">
        <v>56635</v>
      </c>
      <c r="J17031" s="0" t="s">
        <v>56636</v>
      </c>
      <c r="K17031" s="0" t="s">
        <v>56637</v>
      </c>
      <c r="L17031" s="0" t="str">
        <f aca="false">HYPERLINK("https://www.ncbi.nlm.nih.gov/nuccore/CP000058.1?report=graph&amp;tracks=[key:gene_model_track,Options:GeneOnly]&amp;mk=5241024:5241043|offset_7|444444,5240997:5241016|offset_34|444444,5240928:5240947|offset_103|00cc00,5240905:5240924|offset_126|444444&amp;v=5240823:5241124&amp;c=444444", "offset 103")</f>
        <v>offset 103</v>
      </c>
    </row>
    <row r="17032" customFormat="false" ht="12.8" hidden="false" customHeight="false" outlineLevel="0" collapsed="false">
      <c r="A17032" s="0" t="s">
        <v>12</v>
      </c>
      <c r="B17032" s="0" t="n">
        <v>5240904</v>
      </c>
      <c r="C17032" s="0" t="n">
        <v>5240924</v>
      </c>
      <c r="D17032" s="0" t="s">
        <v>56627</v>
      </c>
      <c r="E17032" s="0" t="s">
        <v>56628</v>
      </c>
      <c r="F17032" s="0" t="s">
        <v>90</v>
      </c>
      <c r="G17032" s="0" t="s">
        <v>32</v>
      </c>
      <c r="H17032" s="0" t="n">
        <v>126</v>
      </c>
      <c r="I17032" s="0" t="s">
        <v>56638</v>
      </c>
      <c r="J17032" s="0" t="s">
        <v>56639</v>
      </c>
      <c r="K17032" s="0" t="s">
        <v>56640</v>
      </c>
      <c r="L17032" s="0" t="str">
        <f aca="false">HYPERLINK("https://www.ncbi.nlm.nih.gov/nuccore/CP000058.1?report=graph&amp;tracks=[key:gene_model_track,Options:GeneOnly]&amp;mk=5241024:5241043|offset_7|444444,5240997:5241016|offset_34|444444,5240928:5240947|offset_103|444444,5240905:5240924|offset_126|00cc00&amp;v=5240823:5241124&amp;c=444444", "offset 126")</f>
        <v>offset 126</v>
      </c>
    </row>
    <row r="17033" customFormat="false" ht="12.8" hidden="false" customHeight="false" outlineLevel="0" collapsed="false">
      <c r="A17033" s="0" t="s">
        <v>12</v>
      </c>
      <c r="B17033" s="0" t="n">
        <v>5241610</v>
      </c>
      <c r="C17033" s="0" t="n">
        <v>5241630</v>
      </c>
      <c r="D17033" s="0" t="s">
        <v>56641</v>
      </c>
      <c r="E17033" s="0" t="s">
        <v>56642</v>
      </c>
      <c r="F17033" s="0" t="s">
        <v>90</v>
      </c>
      <c r="G17033" s="0" t="s">
        <v>36</v>
      </c>
      <c r="H17033" s="0" t="n">
        <v>0</v>
      </c>
      <c r="I17033" s="0" t="s">
        <v>56643</v>
      </c>
      <c r="J17033" s="0" t="s">
        <v>56644</v>
      </c>
      <c r="K17033" s="0" t="s">
        <v>56645</v>
      </c>
      <c r="L17033" s="0" t="str">
        <f aca="false">HYPERLINK("https://www.ncbi.nlm.nih.gov/nuccore/CP000058.1?report=graph&amp;tracks=[key:gene_model_track,Options:GeneOnly]&amp;mk=5241611:5241630|offset_0|00cc00,5241580:5241599|offset_31|444444,5241553:5241572|offset_58|444444,5241520:5241539|offset_91|444444&amp;v=5241410:5241739&amp;c=444444", "offset 0")</f>
        <v>offset 0</v>
      </c>
    </row>
    <row r="17034" customFormat="false" ht="12.8" hidden="false" customHeight="false" outlineLevel="0" collapsed="false">
      <c r="A17034" s="0" t="s">
        <v>12</v>
      </c>
      <c r="B17034" s="0" t="n">
        <v>5241579</v>
      </c>
      <c r="C17034" s="0" t="n">
        <v>5241599</v>
      </c>
      <c r="D17034" s="0" t="s">
        <v>56641</v>
      </c>
      <c r="E17034" s="0" t="s">
        <v>56642</v>
      </c>
      <c r="F17034" s="0" t="s">
        <v>90</v>
      </c>
      <c r="G17034" s="0" t="s">
        <v>32</v>
      </c>
      <c r="H17034" s="0" t="n">
        <v>31</v>
      </c>
      <c r="I17034" s="0" t="s">
        <v>56646</v>
      </c>
      <c r="J17034" s="0" t="s">
        <v>56647</v>
      </c>
      <c r="K17034" s="0" t="s">
        <v>56648</v>
      </c>
      <c r="L17034" s="0" t="str">
        <f aca="false">HYPERLINK("https://www.ncbi.nlm.nih.gov/nuccore/CP000058.1?report=graph&amp;tracks=[key:gene_model_track,Options:GeneOnly]&amp;mk=5241611:5241630|offset_0|444444,5241580:5241599|offset_31|00cc00,5241553:5241572|offset_58|444444,5241520:5241539|offset_91|444444&amp;v=5241410:5241739&amp;c=444444", "offset 31")</f>
        <v>offset 31</v>
      </c>
    </row>
    <row r="17035" customFormat="false" ht="12.8" hidden="false" customHeight="false" outlineLevel="0" collapsed="false">
      <c r="A17035" s="0" t="s">
        <v>12</v>
      </c>
      <c r="B17035" s="0" t="n">
        <v>5241552</v>
      </c>
      <c r="C17035" s="0" t="n">
        <v>5241572</v>
      </c>
      <c r="D17035" s="0" t="s">
        <v>56641</v>
      </c>
      <c r="E17035" s="0" t="s">
        <v>56642</v>
      </c>
      <c r="F17035" s="0" t="s">
        <v>90</v>
      </c>
      <c r="G17035" s="0" t="s">
        <v>32</v>
      </c>
      <c r="H17035" s="0" t="n">
        <v>58</v>
      </c>
      <c r="I17035" s="0" t="s">
        <v>56649</v>
      </c>
      <c r="J17035" s="0" t="s">
        <v>56650</v>
      </c>
      <c r="K17035" s="0" t="s">
        <v>56651</v>
      </c>
      <c r="L17035" s="0" t="str">
        <f aca="false">HYPERLINK("https://www.ncbi.nlm.nih.gov/nuccore/CP000058.1?report=graph&amp;tracks=[key:gene_model_track,Options:GeneOnly]&amp;mk=5241611:5241630|offset_0|444444,5241580:5241599|offset_31|444444,5241553:5241572|offset_58|00cc00,5241520:5241539|offset_91|444444&amp;v=5241410:5241739&amp;c=444444", "offset 58")</f>
        <v>offset 58</v>
      </c>
    </row>
    <row r="17036" customFormat="false" ht="12.8" hidden="false" customHeight="false" outlineLevel="0" collapsed="false">
      <c r="A17036" s="0" t="s">
        <v>12</v>
      </c>
      <c r="B17036" s="0" t="n">
        <v>5241519</v>
      </c>
      <c r="C17036" s="0" t="n">
        <v>5241539</v>
      </c>
      <c r="D17036" s="0" t="s">
        <v>56641</v>
      </c>
      <c r="E17036" s="0" t="s">
        <v>56642</v>
      </c>
      <c r="F17036" s="0" t="s">
        <v>90</v>
      </c>
      <c r="G17036" s="0" t="s">
        <v>36</v>
      </c>
      <c r="H17036" s="0" t="n">
        <v>91</v>
      </c>
      <c r="I17036" s="0" t="s">
        <v>56652</v>
      </c>
      <c r="J17036" s="0" t="s">
        <v>56653</v>
      </c>
      <c r="K17036" s="0" t="s">
        <v>56654</v>
      </c>
      <c r="L17036" s="0" t="str">
        <f aca="false">HYPERLINK("https://www.ncbi.nlm.nih.gov/nuccore/CP000058.1?report=graph&amp;tracks=[key:gene_model_track,Options:GeneOnly]&amp;mk=5241611:5241630|offset_0|444444,5241580:5241599|offset_31|444444,5241553:5241572|offset_58|444444,5241520:5241539|offset_91|00cc00&amp;v=5241410:5241739&amp;c=444444", "offset 91")</f>
        <v>offset 91</v>
      </c>
    </row>
    <row r="17037" customFormat="false" ht="12.8" hidden="false" customHeight="false" outlineLevel="0" collapsed="false">
      <c r="A17037" s="0" t="s">
        <v>12</v>
      </c>
      <c r="B17037" s="0" t="n">
        <v>5242491</v>
      </c>
      <c r="C17037" s="0" t="n">
        <v>5242511</v>
      </c>
      <c r="D17037" s="0" t="s">
        <v>56655</v>
      </c>
      <c r="E17037" s="0" t="s">
        <v>56656</v>
      </c>
      <c r="F17037" s="0" t="s">
        <v>90</v>
      </c>
      <c r="G17037" s="0" t="s">
        <v>32</v>
      </c>
      <c r="H17037" s="0" t="n">
        <v>16</v>
      </c>
      <c r="I17037" s="0" t="s">
        <v>56657</v>
      </c>
      <c r="J17037" s="0" t="s">
        <v>56658</v>
      </c>
      <c r="K17037" s="0" t="s">
        <v>56659</v>
      </c>
      <c r="L17037" s="0" t="str">
        <f aca="false">HYPERLINK("https://www.ncbi.nlm.nih.gov/nuccore/CP000058.1?report=graph&amp;tracks=[key:gene_model_track,Options:GeneOnly]&amp;mk=5242492:5242511|offset_16|00cc00,5242471:5242490|offset_37|444444,5242429:5242448|offset_79|444444,5242402:5242421|offset_106|444444&amp;v=5242291:5242621&amp;c=444444", "offset 16")</f>
        <v>offset 16</v>
      </c>
    </row>
    <row r="17038" customFormat="false" ht="12.8" hidden="false" customHeight="false" outlineLevel="0" collapsed="false">
      <c r="A17038" s="0" t="s">
        <v>12</v>
      </c>
      <c r="B17038" s="0" t="n">
        <v>5242470</v>
      </c>
      <c r="C17038" s="0" t="n">
        <v>5242490</v>
      </c>
      <c r="D17038" s="0" t="s">
        <v>56655</v>
      </c>
      <c r="E17038" s="0" t="s">
        <v>56656</v>
      </c>
      <c r="F17038" s="0" t="s">
        <v>90</v>
      </c>
      <c r="G17038" s="0" t="s">
        <v>32</v>
      </c>
      <c r="H17038" s="0" t="n">
        <v>37</v>
      </c>
      <c r="I17038" s="0" t="s">
        <v>56660</v>
      </c>
      <c r="J17038" s="0" t="s">
        <v>56661</v>
      </c>
      <c r="K17038" s="0" t="s">
        <v>56662</v>
      </c>
      <c r="L17038" s="0" t="str">
        <f aca="false">HYPERLINK("https://www.ncbi.nlm.nih.gov/nuccore/CP000058.1?report=graph&amp;tracks=[key:gene_model_track,Options:GeneOnly]&amp;mk=5242492:5242511|offset_16|444444,5242471:5242490|offset_37|00cc00,5242429:5242448|offset_79|444444,5242402:5242421|offset_106|444444&amp;v=5242291:5242621&amp;c=444444", "offset 37")</f>
        <v>offset 37</v>
      </c>
    </row>
    <row r="17039" customFormat="false" ht="12.8" hidden="false" customHeight="false" outlineLevel="0" collapsed="false">
      <c r="A17039" s="0" t="s">
        <v>12</v>
      </c>
      <c r="B17039" s="0" t="n">
        <v>5242428</v>
      </c>
      <c r="C17039" s="0" t="n">
        <v>5242448</v>
      </c>
      <c r="D17039" s="0" t="s">
        <v>56655</v>
      </c>
      <c r="E17039" s="0" t="s">
        <v>56656</v>
      </c>
      <c r="F17039" s="0" t="s">
        <v>90</v>
      </c>
      <c r="G17039" s="0" t="s">
        <v>16</v>
      </c>
      <c r="H17039" s="0" t="n">
        <v>79</v>
      </c>
      <c r="I17039" s="0" t="s">
        <v>56663</v>
      </c>
      <c r="J17039" s="0" t="s">
        <v>56664</v>
      </c>
      <c r="K17039" s="0" t="s">
        <v>56665</v>
      </c>
      <c r="L17039" s="0" t="str">
        <f aca="false">HYPERLINK("https://www.ncbi.nlm.nih.gov/nuccore/CP000058.1?report=graph&amp;tracks=[key:gene_model_track,Options:GeneOnly]&amp;mk=5242492:5242511|offset_16|444444,5242471:5242490|offset_37|444444,5242429:5242448|offset_79|00cc00,5242402:5242421|offset_106|444444&amp;v=5242291:5242621&amp;c=444444", "offset 79")</f>
        <v>offset 79</v>
      </c>
    </row>
    <row r="17040" customFormat="false" ht="12.8" hidden="false" customHeight="false" outlineLevel="0" collapsed="false">
      <c r="A17040" s="0" t="s">
        <v>12</v>
      </c>
      <c r="B17040" s="0" t="n">
        <v>5242401</v>
      </c>
      <c r="C17040" s="0" t="n">
        <v>5242421</v>
      </c>
      <c r="D17040" s="0" t="s">
        <v>56655</v>
      </c>
      <c r="E17040" s="0" t="s">
        <v>56656</v>
      </c>
      <c r="F17040" s="0" t="s">
        <v>90</v>
      </c>
      <c r="G17040" s="0" t="s">
        <v>16</v>
      </c>
      <c r="H17040" s="0" t="n">
        <v>106</v>
      </c>
      <c r="I17040" s="0" t="s">
        <v>56666</v>
      </c>
      <c r="J17040" s="0" t="s">
        <v>56667</v>
      </c>
      <c r="K17040" s="0" t="s">
        <v>56668</v>
      </c>
      <c r="L17040" s="0" t="str">
        <f aca="false">HYPERLINK("https://www.ncbi.nlm.nih.gov/nuccore/CP000058.1?report=graph&amp;tracks=[key:gene_model_track,Options:GeneOnly]&amp;mk=5242492:5242511|offset_16|444444,5242471:5242490|offset_37|444444,5242429:5242448|offset_79|444444,5242402:5242421|offset_106|00cc00&amp;v=5242291:5242621&amp;c=444444", "offset 106")</f>
        <v>offset 106</v>
      </c>
    </row>
    <row r="17041" customFormat="false" ht="12.8" hidden="false" customHeight="false" outlineLevel="0" collapsed="false">
      <c r="A17041" s="0" t="s">
        <v>12</v>
      </c>
      <c r="B17041" s="0" t="n">
        <v>5242931</v>
      </c>
      <c r="C17041" s="0" t="n">
        <v>5242951</v>
      </c>
      <c r="D17041" s="0" t="s">
        <v>56669</v>
      </c>
      <c r="E17041" s="0" t="s">
        <v>56670</v>
      </c>
      <c r="F17041" s="0" t="s">
        <v>90</v>
      </c>
      <c r="G17041" s="0" t="s">
        <v>32</v>
      </c>
      <c r="H17041" s="0" t="n">
        <v>7</v>
      </c>
      <c r="I17041" s="0" t="s">
        <v>56671</v>
      </c>
      <c r="J17041" s="0" t="s">
        <v>56672</v>
      </c>
      <c r="K17041" s="0" t="s">
        <v>56673</v>
      </c>
      <c r="L17041" s="0" t="str">
        <f aca="false">HYPERLINK("https://www.ncbi.nlm.nih.gov/nuccore/CP000058.1?report=graph&amp;tracks=[key:gene_model_track,Options:GeneOnly]&amp;mk=5242932:5242951|offset_7|00cc00,5242893:5242912|offset_46|444444,5242873:5242892|offset_66|444444,5242806:5242825|offset_133|444444&amp;v=5242731:5243025&amp;c=444444", "offset 7")</f>
        <v>offset 7</v>
      </c>
    </row>
    <row r="17042" customFormat="false" ht="12.8" hidden="false" customHeight="false" outlineLevel="0" collapsed="false">
      <c r="A17042" s="0" t="s">
        <v>12</v>
      </c>
      <c r="B17042" s="0" t="n">
        <v>5242892</v>
      </c>
      <c r="C17042" s="0" t="n">
        <v>5242912</v>
      </c>
      <c r="D17042" s="0" t="s">
        <v>56669</v>
      </c>
      <c r="E17042" s="0" t="s">
        <v>56670</v>
      </c>
      <c r="F17042" s="0" t="s">
        <v>90</v>
      </c>
      <c r="G17042" s="0" t="s">
        <v>16</v>
      </c>
      <c r="H17042" s="0" t="n">
        <v>46</v>
      </c>
      <c r="I17042" s="0" t="s">
        <v>56674</v>
      </c>
      <c r="J17042" s="0" t="s">
        <v>56675</v>
      </c>
      <c r="K17042" s="0" t="s">
        <v>56676</v>
      </c>
      <c r="L17042" s="0" t="str">
        <f aca="false">HYPERLINK("https://www.ncbi.nlm.nih.gov/nuccore/CP000058.1?report=graph&amp;tracks=[key:gene_model_track,Options:GeneOnly]&amp;mk=5242932:5242951|offset_7|444444,5242893:5242912|offset_46|00cc00,5242873:5242892|offset_66|444444,5242806:5242825|offset_133|444444&amp;v=5242731:5243025&amp;c=444444", "offset 46")</f>
        <v>offset 46</v>
      </c>
    </row>
    <row r="17043" customFormat="false" ht="12.8" hidden="false" customHeight="false" outlineLevel="0" collapsed="false">
      <c r="A17043" s="0" t="s">
        <v>12</v>
      </c>
      <c r="B17043" s="0" t="n">
        <v>5242872</v>
      </c>
      <c r="C17043" s="0" t="n">
        <v>5242892</v>
      </c>
      <c r="D17043" s="0" t="s">
        <v>56669</v>
      </c>
      <c r="E17043" s="0" t="s">
        <v>56670</v>
      </c>
      <c r="F17043" s="0" t="s">
        <v>90</v>
      </c>
      <c r="G17043" s="0" t="s">
        <v>16</v>
      </c>
      <c r="H17043" s="0" t="n">
        <v>66</v>
      </c>
      <c r="I17043" s="0" t="s">
        <v>56677</v>
      </c>
      <c r="J17043" s="0" t="s">
        <v>56678</v>
      </c>
      <c r="K17043" s="0" t="s">
        <v>56679</v>
      </c>
      <c r="L17043" s="0" t="str">
        <f aca="false">HYPERLINK("https://www.ncbi.nlm.nih.gov/nuccore/CP000058.1?report=graph&amp;tracks=[key:gene_model_track,Options:GeneOnly]&amp;mk=5242932:5242951|offset_7|444444,5242893:5242912|offset_46|444444,5242873:5242892|offset_66|00cc00,5242806:5242825|offset_133|444444&amp;v=5242731:5243025&amp;c=444444", "offset 66")</f>
        <v>offset 66</v>
      </c>
    </row>
    <row r="17044" customFormat="false" ht="12.8" hidden="false" customHeight="false" outlineLevel="0" collapsed="false">
      <c r="A17044" s="0" t="s">
        <v>12</v>
      </c>
      <c r="B17044" s="0" t="n">
        <v>5242805</v>
      </c>
      <c r="C17044" s="0" t="n">
        <v>5242825</v>
      </c>
      <c r="D17044" s="0" t="s">
        <v>56669</v>
      </c>
      <c r="E17044" s="0" t="s">
        <v>56670</v>
      </c>
      <c r="F17044" s="0" t="s">
        <v>90</v>
      </c>
      <c r="G17044" s="0" t="s">
        <v>36</v>
      </c>
      <c r="H17044" s="0" t="n">
        <v>133</v>
      </c>
      <c r="I17044" s="0" t="s">
        <v>56680</v>
      </c>
      <c r="J17044" s="0" t="s">
        <v>56681</v>
      </c>
      <c r="K17044" s="0" t="s">
        <v>56682</v>
      </c>
      <c r="L17044" s="0" t="str">
        <f aca="false">HYPERLINK("https://www.ncbi.nlm.nih.gov/nuccore/CP000058.1?report=graph&amp;tracks=[key:gene_model_track,Options:GeneOnly]&amp;mk=5242932:5242951|offset_7|444444,5242893:5242912|offset_46|444444,5242873:5242892|offset_66|444444,5242806:5242825|offset_133|00cc00&amp;v=5242731:5243025&amp;c=444444", "offset 133")</f>
        <v>offset 133</v>
      </c>
    </row>
    <row r="17045" customFormat="false" ht="12.8" hidden="false" customHeight="false" outlineLevel="0" collapsed="false">
      <c r="A17045" s="0" t="s">
        <v>12</v>
      </c>
      <c r="B17045" s="0" t="n">
        <v>5243590</v>
      </c>
      <c r="C17045" s="0" t="n">
        <v>5243610</v>
      </c>
      <c r="D17045" s="0" t="s">
        <v>56683</v>
      </c>
      <c r="E17045" s="0" t="s">
        <v>56684</v>
      </c>
      <c r="F17045" s="0" t="s">
        <v>90</v>
      </c>
      <c r="G17045" s="0" t="s">
        <v>36</v>
      </c>
      <c r="H17045" s="0" t="n">
        <v>0</v>
      </c>
      <c r="I17045" s="0" t="s">
        <v>56685</v>
      </c>
      <c r="J17045" s="0" t="s">
        <v>56686</v>
      </c>
      <c r="K17045" s="0" t="s">
        <v>56687</v>
      </c>
      <c r="L17045" s="0" t="str">
        <f aca="false">HYPERLINK("https://www.ncbi.nlm.nih.gov/nuccore/CP000058.1?report=graph&amp;tracks=[key:gene_model_track,Options:GeneOnly]&amp;mk=5243591:5243610|offset_0|00cc00,5243468:5243487|offset_123|444444,5243436:5243455|offset_155|444444,5243406:5243425|offset_185|444444&amp;v=5243390:5243625&amp;c=444444", "offset 0")</f>
        <v>offset 0</v>
      </c>
    </row>
    <row r="17046" customFormat="false" ht="12.8" hidden="false" customHeight="false" outlineLevel="0" collapsed="false">
      <c r="A17046" s="0" t="s">
        <v>12</v>
      </c>
      <c r="B17046" s="0" t="n">
        <v>5243467</v>
      </c>
      <c r="C17046" s="0" t="n">
        <v>5243487</v>
      </c>
      <c r="D17046" s="0" t="s">
        <v>56683</v>
      </c>
      <c r="E17046" s="0" t="s">
        <v>56684</v>
      </c>
      <c r="F17046" s="0" t="s">
        <v>90</v>
      </c>
      <c r="G17046" s="0" t="s">
        <v>36</v>
      </c>
      <c r="H17046" s="0" t="n">
        <v>123</v>
      </c>
      <c r="I17046" s="0" t="s">
        <v>56688</v>
      </c>
      <c r="J17046" s="0" t="s">
        <v>56689</v>
      </c>
      <c r="K17046" s="0" t="s">
        <v>56690</v>
      </c>
      <c r="L17046" s="0" t="str">
        <f aca="false">HYPERLINK("https://www.ncbi.nlm.nih.gov/nuccore/CP000058.1?report=graph&amp;tracks=[key:gene_model_track,Options:GeneOnly]&amp;mk=5243591:5243610|offset_0|444444,5243468:5243487|offset_123|00cc00,5243436:5243455|offset_155|444444,5243406:5243425|offset_185|444444&amp;v=5243390:5243625&amp;c=444444", "offset 123")</f>
        <v>offset 123</v>
      </c>
    </row>
    <row r="17047" customFormat="false" ht="12.8" hidden="false" customHeight="false" outlineLevel="0" collapsed="false">
      <c r="A17047" s="0" t="s">
        <v>12</v>
      </c>
      <c r="B17047" s="0" t="n">
        <v>5243435</v>
      </c>
      <c r="C17047" s="0" t="n">
        <v>5243455</v>
      </c>
      <c r="D17047" s="0" t="s">
        <v>56683</v>
      </c>
      <c r="E17047" s="0" t="s">
        <v>56684</v>
      </c>
      <c r="F17047" s="0" t="s">
        <v>90</v>
      </c>
      <c r="G17047" s="0" t="s">
        <v>32</v>
      </c>
      <c r="H17047" s="0" t="n">
        <v>155</v>
      </c>
      <c r="I17047" s="0" t="s">
        <v>56691</v>
      </c>
      <c r="J17047" s="0" t="s">
        <v>56692</v>
      </c>
      <c r="K17047" s="0" t="s">
        <v>56693</v>
      </c>
      <c r="L17047" s="0" t="str">
        <f aca="false">HYPERLINK("https://www.ncbi.nlm.nih.gov/nuccore/CP000058.1?report=graph&amp;tracks=[key:gene_model_track,Options:GeneOnly]&amp;mk=5243591:5243610|offset_0|444444,5243468:5243487|offset_123|444444,5243436:5243455|offset_155|00cc00,5243406:5243425|offset_185|444444&amp;v=5243390:5243625&amp;c=444444", "offset 155")</f>
        <v>offset 155</v>
      </c>
    </row>
    <row r="17048" customFormat="false" ht="12.8" hidden="false" customHeight="false" outlineLevel="0" collapsed="false">
      <c r="A17048" s="0" t="s">
        <v>12</v>
      </c>
      <c r="B17048" s="0" t="n">
        <v>5243405</v>
      </c>
      <c r="C17048" s="0" t="n">
        <v>5243425</v>
      </c>
      <c r="D17048" s="0" t="s">
        <v>56683</v>
      </c>
      <c r="E17048" s="0" t="s">
        <v>56684</v>
      </c>
      <c r="F17048" s="0" t="s">
        <v>90</v>
      </c>
      <c r="G17048" s="0" t="s">
        <v>36</v>
      </c>
      <c r="H17048" s="0" t="n">
        <v>185</v>
      </c>
      <c r="I17048" s="0" t="s">
        <v>56694</v>
      </c>
      <c r="J17048" s="0" t="s">
        <v>56695</v>
      </c>
      <c r="K17048" s="0" t="s">
        <v>56696</v>
      </c>
      <c r="L17048" s="0" t="str">
        <f aca="false">HYPERLINK("https://www.ncbi.nlm.nih.gov/nuccore/CP000058.1?report=graph&amp;tracks=[key:gene_model_track,Options:GeneOnly]&amp;mk=5243591:5243610|offset_0|444444,5243468:5243487|offset_123|444444,5243436:5243455|offset_155|444444,5243406:5243425|offset_185|00cc00&amp;v=5243390:5243625&amp;c=444444", "offset 185")</f>
        <v>offset 185</v>
      </c>
    </row>
    <row r="17049" customFormat="false" ht="12.8" hidden="false" customHeight="false" outlineLevel="0" collapsed="false">
      <c r="A17049" s="0" t="s">
        <v>12</v>
      </c>
      <c r="B17049" s="0" t="n">
        <v>5243959</v>
      </c>
      <c r="C17049" s="0" t="n">
        <v>5243979</v>
      </c>
      <c r="D17049" s="0" t="s">
        <v>56697</v>
      </c>
      <c r="E17049" s="0" t="s">
        <v>56698</v>
      </c>
      <c r="F17049" s="0" t="s">
        <v>90</v>
      </c>
      <c r="G17049" s="0" t="s">
        <v>36</v>
      </c>
      <c r="H17049" s="0" t="n">
        <v>9</v>
      </c>
      <c r="I17049" s="0" t="s">
        <v>56699</v>
      </c>
      <c r="J17049" s="0" t="s">
        <v>56700</v>
      </c>
      <c r="K17049" s="0" t="s">
        <v>56701</v>
      </c>
      <c r="L17049" s="0" t="str">
        <f aca="false">HYPERLINK("https://www.ncbi.nlm.nih.gov/nuccore/CP000058.1?report=graph&amp;tracks=[key:gene_model_track,Options:GeneOnly]&amp;mk=5243960:5243979|offset_9|00cc00,5243913:5243932|offset_56|444444,5243855:5243874|offset_114|444444,5243829:5243848|offset_140|444444&amp;v=5243759:5244048&amp;c=444444", "offset 9")</f>
        <v>offset 9</v>
      </c>
    </row>
    <row r="17050" customFormat="false" ht="12.8" hidden="false" customHeight="false" outlineLevel="0" collapsed="false">
      <c r="A17050" s="0" t="s">
        <v>12</v>
      </c>
      <c r="B17050" s="0" t="n">
        <v>5243912</v>
      </c>
      <c r="C17050" s="0" t="n">
        <v>5243932</v>
      </c>
      <c r="D17050" s="0" t="s">
        <v>56697</v>
      </c>
      <c r="E17050" s="0" t="s">
        <v>56698</v>
      </c>
      <c r="F17050" s="0" t="s">
        <v>90</v>
      </c>
      <c r="G17050" s="0" t="s">
        <v>20</v>
      </c>
      <c r="H17050" s="0" t="n">
        <v>56</v>
      </c>
      <c r="I17050" s="0" t="s">
        <v>56702</v>
      </c>
      <c r="J17050" s="0" t="s">
        <v>56703</v>
      </c>
      <c r="K17050" s="0" t="s">
        <v>56704</v>
      </c>
      <c r="L17050" s="0" t="str">
        <f aca="false">HYPERLINK("https://www.ncbi.nlm.nih.gov/nuccore/CP000058.1?report=graph&amp;tracks=[key:gene_model_track,Options:GeneOnly]&amp;mk=5243960:5243979|offset_9|444444,5243913:5243932|offset_56|00cc00,5243855:5243874|offset_114|444444,5243829:5243848|offset_140|444444&amp;v=5243759:5244048&amp;c=444444", "offset 56")</f>
        <v>offset 56</v>
      </c>
    </row>
    <row r="17051" customFormat="false" ht="12.8" hidden="false" customHeight="false" outlineLevel="0" collapsed="false">
      <c r="A17051" s="0" t="s">
        <v>12</v>
      </c>
      <c r="B17051" s="0" t="n">
        <v>5243854</v>
      </c>
      <c r="C17051" s="0" t="n">
        <v>5243874</v>
      </c>
      <c r="D17051" s="0" t="s">
        <v>56697</v>
      </c>
      <c r="E17051" s="0" t="s">
        <v>56698</v>
      </c>
      <c r="F17051" s="0" t="s">
        <v>90</v>
      </c>
      <c r="G17051" s="0" t="s">
        <v>16</v>
      </c>
      <c r="H17051" s="0" t="n">
        <v>114</v>
      </c>
      <c r="I17051" s="0" t="s">
        <v>56705</v>
      </c>
      <c r="J17051" s="0" t="s">
        <v>56706</v>
      </c>
      <c r="K17051" s="0" t="s">
        <v>56707</v>
      </c>
      <c r="L17051" s="0" t="str">
        <f aca="false">HYPERLINK("https://www.ncbi.nlm.nih.gov/nuccore/CP000058.1?report=graph&amp;tracks=[key:gene_model_track,Options:GeneOnly]&amp;mk=5243960:5243979|offset_9|444444,5243913:5243932|offset_56|444444,5243855:5243874|offset_114|00cc00,5243829:5243848|offset_140|444444&amp;v=5243759:5244048&amp;c=444444", "offset 114")</f>
        <v>offset 114</v>
      </c>
    </row>
    <row r="17052" customFormat="false" ht="12.8" hidden="false" customHeight="false" outlineLevel="0" collapsed="false">
      <c r="A17052" s="0" t="s">
        <v>12</v>
      </c>
      <c r="B17052" s="0" t="n">
        <v>5243828</v>
      </c>
      <c r="C17052" s="0" t="n">
        <v>5243848</v>
      </c>
      <c r="D17052" s="0" t="s">
        <v>56697</v>
      </c>
      <c r="E17052" s="0" t="s">
        <v>56698</v>
      </c>
      <c r="F17052" s="0" t="s">
        <v>90</v>
      </c>
      <c r="G17052" s="0" t="s">
        <v>20</v>
      </c>
      <c r="H17052" s="0" t="n">
        <v>140</v>
      </c>
      <c r="I17052" s="0" t="s">
        <v>56708</v>
      </c>
      <c r="J17052" s="0" t="s">
        <v>56709</v>
      </c>
      <c r="K17052" s="0" t="s">
        <v>56710</v>
      </c>
      <c r="L17052" s="0" t="str">
        <f aca="false">HYPERLINK("https://www.ncbi.nlm.nih.gov/nuccore/CP000058.1?report=graph&amp;tracks=[key:gene_model_track,Options:GeneOnly]&amp;mk=5243960:5243979|offset_9|444444,5243913:5243932|offset_56|444444,5243855:5243874|offset_114|444444,5243829:5243848|offset_140|00cc00&amp;v=5243759:5244048&amp;c=444444", "offset 140")</f>
        <v>offset 140</v>
      </c>
    </row>
    <row r="17053" customFormat="false" ht="12.8" hidden="false" customHeight="false" outlineLevel="0" collapsed="false">
      <c r="A17053" s="0" t="s">
        <v>12</v>
      </c>
      <c r="B17053" s="0" t="n">
        <v>5245071</v>
      </c>
      <c r="C17053" s="0" t="n">
        <v>5245091</v>
      </c>
      <c r="D17053" s="0" t="s">
        <v>56711</v>
      </c>
      <c r="E17053" s="0" t="s">
        <v>75</v>
      </c>
      <c r="F17053" s="0" t="s">
        <v>90</v>
      </c>
      <c r="G17053" s="0" t="s">
        <v>20</v>
      </c>
      <c r="H17053" s="0" t="n">
        <v>40</v>
      </c>
      <c r="I17053" s="0" t="s">
        <v>56712</v>
      </c>
      <c r="J17053" s="0" t="s">
        <v>56713</v>
      </c>
      <c r="K17053" s="0" t="s">
        <v>56714</v>
      </c>
      <c r="L17053" s="0" t="str">
        <f aca="false">HYPERLINK("https://www.ncbi.nlm.nih.gov/nuccore/CP000058.1?report=graph&amp;tracks=[key:gene_model_track,Options:GeneOnly]&amp;mk=5245072:5245091|offset_40|00cc00,5245040:5245059|offset_72|444444,5245016:5245035|offset_96|444444,5244995:5245014|offset_117|444444&amp;v=5244871:5245214&amp;c=444444", "offset 40")</f>
        <v>offset 40</v>
      </c>
    </row>
    <row r="17054" customFormat="false" ht="12.8" hidden="false" customHeight="false" outlineLevel="0" collapsed="false">
      <c r="A17054" s="0" t="s">
        <v>12</v>
      </c>
      <c r="B17054" s="0" t="n">
        <v>5245039</v>
      </c>
      <c r="C17054" s="0" t="n">
        <v>5245059</v>
      </c>
      <c r="D17054" s="0" t="s">
        <v>56711</v>
      </c>
      <c r="E17054" s="0" t="s">
        <v>75</v>
      </c>
      <c r="F17054" s="0" t="s">
        <v>90</v>
      </c>
      <c r="G17054" s="0" t="s">
        <v>16</v>
      </c>
      <c r="H17054" s="0" t="n">
        <v>72</v>
      </c>
      <c r="I17054" s="0" t="s">
        <v>56715</v>
      </c>
      <c r="J17054" s="0" t="s">
        <v>56716</v>
      </c>
      <c r="K17054" s="0" t="s">
        <v>56717</v>
      </c>
      <c r="L17054" s="0" t="str">
        <f aca="false">HYPERLINK("https://www.ncbi.nlm.nih.gov/nuccore/CP000058.1?report=graph&amp;tracks=[key:gene_model_track,Options:GeneOnly]&amp;mk=5245072:5245091|offset_40|444444,5245040:5245059|offset_72|00cc00,5245016:5245035|offset_96|444444,5244995:5245014|offset_117|444444&amp;v=5244871:5245214&amp;c=444444", "offset 72")</f>
        <v>offset 72</v>
      </c>
    </row>
    <row r="17055" customFormat="false" ht="12.8" hidden="false" customHeight="false" outlineLevel="0" collapsed="false">
      <c r="A17055" s="0" t="s">
        <v>12</v>
      </c>
      <c r="B17055" s="0" t="n">
        <v>5245015</v>
      </c>
      <c r="C17055" s="0" t="n">
        <v>5245035</v>
      </c>
      <c r="D17055" s="0" t="s">
        <v>56711</v>
      </c>
      <c r="E17055" s="0" t="s">
        <v>75</v>
      </c>
      <c r="F17055" s="0" t="s">
        <v>90</v>
      </c>
      <c r="G17055" s="0" t="s">
        <v>32</v>
      </c>
      <c r="H17055" s="0" t="n">
        <v>96</v>
      </c>
      <c r="I17055" s="0" t="s">
        <v>56718</v>
      </c>
      <c r="J17055" s="0" t="s">
        <v>56719</v>
      </c>
      <c r="K17055" s="0" t="s">
        <v>56720</v>
      </c>
      <c r="L17055" s="0" t="str">
        <f aca="false">HYPERLINK("https://www.ncbi.nlm.nih.gov/nuccore/CP000058.1?report=graph&amp;tracks=[key:gene_model_track,Options:GeneOnly]&amp;mk=5245072:5245091|offset_40|444444,5245040:5245059|offset_72|444444,5245016:5245035|offset_96|00cc00,5244995:5245014|offset_117|444444&amp;v=5244871:5245214&amp;c=444444", "offset 96")</f>
        <v>offset 96</v>
      </c>
    </row>
    <row r="17056" customFormat="false" ht="12.8" hidden="false" customHeight="false" outlineLevel="0" collapsed="false">
      <c r="A17056" s="0" t="s">
        <v>12</v>
      </c>
      <c r="B17056" s="0" t="n">
        <v>5244994</v>
      </c>
      <c r="C17056" s="0" t="n">
        <v>5245014</v>
      </c>
      <c r="D17056" s="0" t="s">
        <v>56711</v>
      </c>
      <c r="E17056" s="0" t="s">
        <v>75</v>
      </c>
      <c r="F17056" s="0" t="s">
        <v>90</v>
      </c>
      <c r="G17056" s="0" t="s">
        <v>36</v>
      </c>
      <c r="H17056" s="0" t="n">
        <v>117</v>
      </c>
      <c r="I17056" s="0" t="s">
        <v>56721</v>
      </c>
      <c r="J17056" s="0" t="s">
        <v>56722</v>
      </c>
      <c r="K17056" s="0" t="s">
        <v>56723</v>
      </c>
      <c r="L17056" s="0" t="str">
        <f aca="false">HYPERLINK("https://www.ncbi.nlm.nih.gov/nuccore/CP000058.1?report=graph&amp;tracks=[key:gene_model_track,Options:GeneOnly]&amp;mk=5245072:5245091|offset_40|444444,5245040:5245059|offset_72|444444,5245016:5245035|offset_96|444444,5244995:5245014|offset_117|00cc00&amp;v=5244871:5245214&amp;c=444444", "offset 117")</f>
        <v>offset 117</v>
      </c>
    </row>
    <row r="17057" customFormat="false" ht="12.8" hidden="false" customHeight="false" outlineLevel="0" collapsed="false">
      <c r="A17057" s="0" t="s">
        <v>12</v>
      </c>
      <c r="B17057" s="0" t="n">
        <v>5245771</v>
      </c>
      <c r="C17057" s="0" t="n">
        <v>5245791</v>
      </c>
      <c r="D17057" s="0" t="s">
        <v>56724</v>
      </c>
      <c r="E17057" s="0" t="s">
        <v>75</v>
      </c>
      <c r="F17057" s="0" t="s">
        <v>90</v>
      </c>
      <c r="G17057" s="0" t="s">
        <v>16</v>
      </c>
      <c r="H17057" s="0" t="n">
        <v>97</v>
      </c>
      <c r="I17057" s="0" t="s">
        <v>56725</v>
      </c>
      <c r="J17057" s="0" t="s">
        <v>56726</v>
      </c>
      <c r="K17057" s="0" t="s">
        <v>56727</v>
      </c>
      <c r="L17057" s="0" t="str">
        <f aca="false">HYPERLINK("https://www.ncbi.nlm.nih.gov/nuccore/CP000058.1?report=graph&amp;tracks=[key:gene_model_track,Options:GeneOnly]&amp;mk=5245772:5245791|offset_97|00cc00,5245737:5245756|offset_132|444444,5245714:5245733|offset_155|444444,5245691:5245710|offset_178|444444&amp;v=5245571:5245910&amp;c=444444", "offset 97")</f>
        <v>offset 97</v>
      </c>
    </row>
    <row r="17058" customFormat="false" ht="12.8" hidden="false" customHeight="false" outlineLevel="0" collapsed="false">
      <c r="A17058" s="0" t="s">
        <v>12</v>
      </c>
      <c r="B17058" s="0" t="n">
        <v>5245736</v>
      </c>
      <c r="C17058" s="0" t="n">
        <v>5245756</v>
      </c>
      <c r="D17058" s="0" t="s">
        <v>56724</v>
      </c>
      <c r="E17058" s="0" t="s">
        <v>75</v>
      </c>
      <c r="F17058" s="0" t="s">
        <v>90</v>
      </c>
      <c r="G17058" s="0" t="s">
        <v>20</v>
      </c>
      <c r="H17058" s="0" t="n">
        <v>132</v>
      </c>
      <c r="I17058" s="0" t="s">
        <v>56728</v>
      </c>
      <c r="J17058" s="0" t="s">
        <v>56729</v>
      </c>
      <c r="K17058" s="0" t="s">
        <v>56730</v>
      </c>
      <c r="L17058" s="0" t="str">
        <f aca="false">HYPERLINK("https://www.ncbi.nlm.nih.gov/nuccore/CP000058.1?report=graph&amp;tracks=[key:gene_model_track,Options:GeneOnly]&amp;mk=5245772:5245791|offset_97|444444,5245737:5245756|offset_132|00cc00,5245714:5245733|offset_155|444444,5245691:5245710|offset_178|444444&amp;v=5245571:5245910&amp;c=444444", "offset 132")</f>
        <v>offset 132</v>
      </c>
    </row>
    <row r="17059" customFormat="false" ht="12.8" hidden="false" customHeight="false" outlineLevel="0" collapsed="false">
      <c r="A17059" s="0" t="s">
        <v>12</v>
      </c>
      <c r="B17059" s="0" t="n">
        <v>5245713</v>
      </c>
      <c r="C17059" s="0" t="n">
        <v>5245733</v>
      </c>
      <c r="D17059" s="0" t="s">
        <v>56724</v>
      </c>
      <c r="E17059" s="0" t="s">
        <v>75</v>
      </c>
      <c r="F17059" s="0" t="s">
        <v>90</v>
      </c>
      <c r="G17059" s="0" t="s">
        <v>16</v>
      </c>
      <c r="H17059" s="0" t="n">
        <v>155</v>
      </c>
      <c r="I17059" s="0" t="s">
        <v>56731</v>
      </c>
      <c r="J17059" s="0" t="s">
        <v>56732</v>
      </c>
      <c r="K17059" s="0" t="s">
        <v>56733</v>
      </c>
      <c r="L17059" s="0" t="str">
        <f aca="false">HYPERLINK("https://www.ncbi.nlm.nih.gov/nuccore/CP000058.1?report=graph&amp;tracks=[key:gene_model_track,Options:GeneOnly]&amp;mk=5245772:5245791|offset_97|444444,5245737:5245756|offset_132|444444,5245714:5245733|offset_155|00cc00,5245691:5245710|offset_178|444444&amp;v=5245571:5245910&amp;c=444444", "offset 155")</f>
        <v>offset 155</v>
      </c>
    </row>
    <row r="17060" customFormat="false" ht="12.8" hidden="false" customHeight="false" outlineLevel="0" collapsed="false">
      <c r="A17060" s="0" t="s">
        <v>12</v>
      </c>
      <c r="B17060" s="0" t="n">
        <v>5245690</v>
      </c>
      <c r="C17060" s="0" t="n">
        <v>5245710</v>
      </c>
      <c r="D17060" s="0" t="s">
        <v>56724</v>
      </c>
      <c r="E17060" s="0" t="s">
        <v>75</v>
      </c>
      <c r="F17060" s="0" t="s">
        <v>90</v>
      </c>
      <c r="G17060" s="0" t="s">
        <v>16</v>
      </c>
      <c r="H17060" s="0" t="n">
        <v>178</v>
      </c>
      <c r="I17060" s="0" t="s">
        <v>56734</v>
      </c>
      <c r="J17060" s="0" t="s">
        <v>56735</v>
      </c>
      <c r="K17060" s="0" t="s">
        <v>56736</v>
      </c>
      <c r="L17060" s="0" t="str">
        <f aca="false">HYPERLINK("https://www.ncbi.nlm.nih.gov/nuccore/CP000058.1?report=graph&amp;tracks=[key:gene_model_track,Options:GeneOnly]&amp;mk=5245772:5245791|offset_97|444444,5245737:5245756|offset_132|444444,5245714:5245733|offset_155|444444,5245691:5245710|offset_178|00cc00&amp;v=5245571:5245910&amp;c=444444", "offset 178")</f>
        <v>offset 178</v>
      </c>
    </row>
    <row r="17061" customFormat="false" ht="12.8" hidden="false" customHeight="false" outlineLevel="0" collapsed="false">
      <c r="A17061" s="0" t="s">
        <v>12</v>
      </c>
      <c r="B17061" s="0" t="n">
        <v>5246807</v>
      </c>
      <c r="C17061" s="0" t="n">
        <v>5246827</v>
      </c>
      <c r="D17061" s="0" t="s">
        <v>56737</v>
      </c>
      <c r="E17061" s="0" t="s">
        <v>75</v>
      </c>
      <c r="F17061" s="0" t="s">
        <v>90</v>
      </c>
      <c r="G17061" s="0" t="s">
        <v>20</v>
      </c>
      <c r="H17061" s="0" t="n">
        <v>10</v>
      </c>
      <c r="I17061" s="0" t="s">
        <v>56738</v>
      </c>
      <c r="J17061" s="0" t="s">
        <v>56739</v>
      </c>
      <c r="K17061" s="0" t="s">
        <v>56740</v>
      </c>
      <c r="L17061" s="0" t="str">
        <f aca="false">HYPERLINK("https://www.ncbi.nlm.nih.gov/nuccore/CP000058.1?report=graph&amp;tracks=[key:gene_model_track,Options:GeneOnly]&amp;mk=5246808:5246827|offset_10|00cc00,5246751:5246770|offset_67|444444,5246696:5246715|offset_122|444444,5246644:5246663|offset_174|444444&amp;v=5246607:5246863&amp;c=444444", "offset 10")</f>
        <v>offset 10</v>
      </c>
    </row>
    <row r="17062" customFormat="false" ht="12.8" hidden="false" customHeight="false" outlineLevel="0" collapsed="false">
      <c r="A17062" s="0" t="s">
        <v>12</v>
      </c>
      <c r="B17062" s="0" t="n">
        <v>5246750</v>
      </c>
      <c r="C17062" s="0" t="n">
        <v>5246770</v>
      </c>
      <c r="D17062" s="0" t="s">
        <v>56737</v>
      </c>
      <c r="E17062" s="0" t="s">
        <v>75</v>
      </c>
      <c r="F17062" s="0" t="s">
        <v>90</v>
      </c>
      <c r="G17062" s="0" t="s">
        <v>36</v>
      </c>
      <c r="H17062" s="0" t="n">
        <v>67</v>
      </c>
      <c r="I17062" s="0" t="s">
        <v>56741</v>
      </c>
      <c r="J17062" s="0" t="s">
        <v>56742</v>
      </c>
      <c r="K17062" s="0" t="s">
        <v>56743</v>
      </c>
      <c r="L17062" s="0" t="str">
        <f aca="false">HYPERLINK("https://www.ncbi.nlm.nih.gov/nuccore/CP000058.1?report=graph&amp;tracks=[key:gene_model_track,Options:GeneOnly]&amp;mk=5246808:5246827|offset_10|444444,5246751:5246770|offset_67|00cc00,5246696:5246715|offset_122|444444,5246644:5246663|offset_174|444444&amp;v=5246607:5246863&amp;c=444444", "offset 67")</f>
        <v>offset 67</v>
      </c>
    </row>
    <row r="17063" customFormat="false" ht="12.8" hidden="false" customHeight="false" outlineLevel="0" collapsed="false">
      <c r="A17063" s="0" t="s">
        <v>12</v>
      </c>
      <c r="B17063" s="0" t="n">
        <v>5246695</v>
      </c>
      <c r="C17063" s="0" t="n">
        <v>5246715</v>
      </c>
      <c r="D17063" s="0" t="s">
        <v>56737</v>
      </c>
      <c r="E17063" s="0" t="s">
        <v>75</v>
      </c>
      <c r="F17063" s="0" t="s">
        <v>90</v>
      </c>
      <c r="G17063" s="0" t="s">
        <v>20</v>
      </c>
      <c r="H17063" s="0" t="n">
        <v>122</v>
      </c>
      <c r="I17063" s="0" t="s">
        <v>56744</v>
      </c>
      <c r="J17063" s="0" t="s">
        <v>56745</v>
      </c>
      <c r="K17063" s="0" t="s">
        <v>56746</v>
      </c>
      <c r="L17063" s="0" t="str">
        <f aca="false">HYPERLINK("https://www.ncbi.nlm.nih.gov/nuccore/CP000058.1?report=graph&amp;tracks=[key:gene_model_track,Options:GeneOnly]&amp;mk=5246808:5246827|offset_10|444444,5246751:5246770|offset_67|444444,5246696:5246715|offset_122|00cc00,5246644:5246663|offset_174|444444&amp;v=5246607:5246863&amp;c=444444", "offset 122")</f>
        <v>offset 122</v>
      </c>
    </row>
    <row r="17064" customFormat="false" ht="12.8" hidden="false" customHeight="false" outlineLevel="0" collapsed="false">
      <c r="A17064" s="0" t="s">
        <v>12</v>
      </c>
      <c r="B17064" s="0" t="n">
        <v>5246643</v>
      </c>
      <c r="C17064" s="0" t="n">
        <v>5246663</v>
      </c>
      <c r="D17064" s="0" t="s">
        <v>56737</v>
      </c>
      <c r="E17064" s="0" t="s">
        <v>75</v>
      </c>
      <c r="F17064" s="0" t="s">
        <v>90</v>
      </c>
      <c r="G17064" s="0" t="s">
        <v>20</v>
      </c>
      <c r="H17064" s="0" t="n">
        <v>174</v>
      </c>
      <c r="I17064" s="0" t="s">
        <v>56747</v>
      </c>
      <c r="J17064" s="0" t="s">
        <v>56748</v>
      </c>
      <c r="K17064" s="0" t="s">
        <v>56749</v>
      </c>
      <c r="L17064" s="0" t="str">
        <f aca="false">HYPERLINK("https://www.ncbi.nlm.nih.gov/nuccore/CP000058.1?report=graph&amp;tracks=[key:gene_model_track,Options:GeneOnly]&amp;mk=5246808:5246827|offset_10|444444,5246751:5246770|offset_67|444444,5246696:5246715|offset_122|444444,5246644:5246663|offset_174|00cc00&amp;v=5246607:5246863&amp;c=444444", "offset 174")</f>
        <v>offset 174</v>
      </c>
    </row>
    <row r="17065" customFormat="false" ht="12.8" hidden="false" customHeight="false" outlineLevel="0" collapsed="false">
      <c r="A17065" s="0" t="s">
        <v>12</v>
      </c>
      <c r="B17065" s="0" t="n">
        <v>5254299</v>
      </c>
      <c r="C17065" s="0" t="n">
        <v>5254319</v>
      </c>
      <c r="D17065" s="0" t="s">
        <v>56750</v>
      </c>
      <c r="E17065" s="0" t="s">
        <v>56751</v>
      </c>
      <c r="F17065" s="0" t="s">
        <v>90</v>
      </c>
      <c r="G17065" s="0" t="s">
        <v>32</v>
      </c>
      <c r="H17065" s="0" t="n">
        <v>1</v>
      </c>
      <c r="I17065" s="0" t="s">
        <v>56752</v>
      </c>
      <c r="J17065" s="0" t="s">
        <v>56753</v>
      </c>
      <c r="K17065" s="0" t="s">
        <v>56754</v>
      </c>
      <c r="L17065" s="0" t="str">
        <f aca="false">HYPERLINK("https://www.ncbi.nlm.nih.gov/nuccore/CP000058.1?report=graph&amp;tracks=[key:gene_model_track,Options:GeneOnly]&amp;mk=5254300:5254319|offset_1|00cc00,5254275:5254294|offset_26|444444,5254248:5254267|offset_53|444444,5254226:5254245|offset_75|444444&amp;v=5254099:5254445&amp;c=444444", "offset 1")</f>
        <v>offset 1</v>
      </c>
    </row>
    <row r="17066" customFormat="false" ht="12.8" hidden="false" customHeight="false" outlineLevel="0" collapsed="false">
      <c r="A17066" s="0" t="s">
        <v>12</v>
      </c>
      <c r="B17066" s="0" t="n">
        <v>5254274</v>
      </c>
      <c r="C17066" s="0" t="n">
        <v>5254294</v>
      </c>
      <c r="D17066" s="0" t="s">
        <v>56750</v>
      </c>
      <c r="E17066" s="0" t="s">
        <v>56751</v>
      </c>
      <c r="F17066" s="0" t="s">
        <v>90</v>
      </c>
      <c r="G17066" s="0" t="s">
        <v>32</v>
      </c>
      <c r="H17066" s="0" t="n">
        <v>26</v>
      </c>
      <c r="I17066" s="0" t="s">
        <v>56755</v>
      </c>
      <c r="J17066" s="0" t="s">
        <v>56756</v>
      </c>
      <c r="K17066" s="0" t="s">
        <v>56757</v>
      </c>
      <c r="L17066" s="0" t="str">
        <f aca="false">HYPERLINK("https://www.ncbi.nlm.nih.gov/nuccore/CP000058.1?report=graph&amp;tracks=[key:gene_model_track,Options:GeneOnly]&amp;mk=5254300:5254319|offset_1|444444,5254275:5254294|offset_26|00cc00,5254248:5254267|offset_53|444444,5254226:5254245|offset_75|444444&amp;v=5254099:5254445&amp;c=444444", "offset 26")</f>
        <v>offset 26</v>
      </c>
    </row>
    <row r="17067" customFormat="false" ht="12.8" hidden="false" customHeight="false" outlineLevel="0" collapsed="false">
      <c r="A17067" s="0" t="s">
        <v>12</v>
      </c>
      <c r="B17067" s="0" t="n">
        <v>5254247</v>
      </c>
      <c r="C17067" s="0" t="n">
        <v>5254267</v>
      </c>
      <c r="D17067" s="0" t="s">
        <v>56750</v>
      </c>
      <c r="E17067" s="0" t="s">
        <v>56751</v>
      </c>
      <c r="F17067" s="0" t="s">
        <v>90</v>
      </c>
      <c r="G17067" s="0" t="s">
        <v>16</v>
      </c>
      <c r="H17067" s="0" t="n">
        <v>53</v>
      </c>
      <c r="I17067" s="0" t="s">
        <v>56758</v>
      </c>
      <c r="J17067" s="0" t="s">
        <v>56759</v>
      </c>
      <c r="K17067" s="0" t="s">
        <v>56760</v>
      </c>
      <c r="L17067" s="0" t="str">
        <f aca="false">HYPERLINK("https://www.ncbi.nlm.nih.gov/nuccore/CP000058.1?report=graph&amp;tracks=[key:gene_model_track,Options:GeneOnly]&amp;mk=5254300:5254319|offset_1|444444,5254275:5254294|offset_26|444444,5254248:5254267|offset_53|00cc00,5254226:5254245|offset_75|444444&amp;v=5254099:5254445&amp;c=444444", "offset 53")</f>
        <v>offset 53</v>
      </c>
    </row>
    <row r="17068" customFormat="false" ht="12.8" hidden="false" customHeight="false" outlineLevel="0" collapsed="false">
      <c r="A17068" s="0" t="s">
        <v>12</v>
      </c>
      <c r="B17068" s="0" t="n">
        <v>5254225</v>
      </c>
      <c r="C17068" s="0" t="n">
        <v>5254245</v>
      </c>
      <c r="D17068" s="0" t="s">
        <v>56750</v>
      </c>
      <c r="E17068" s="0" t="s">
        <v>56751</v>
      </c>
      <c r="F17068" s="0" t="s">
        <v>90</v>
      </c>
      <c r="G17068" s="0" t="s">
        <v>16</v>
      </c>
      <c r="H17068" s="0" t="n">
        <v>75</v>
      </c>
      <c r="I17068" s="0" t="s">
        <v>56761</v>
      </c>
      <c r="J17068" s="0" t="s">
        <v>56762</v>
      </c>
      <c r="K17068" s="0" t="s">
        <v>56763</v>
      </c>
      <c r="L17068" s="0" t="str">
        <f aca="false">HYPERLINK("https://www.ncbi.nlm.nih.gov/nuccore/CP000058.1?report=graph&amp;tracks=[key:gene_model_track,Options:GeneOnly]&amp;mk=5254300:5254319|offset_1|444444,5254275:5254294|offset_26|444444,5254248:5254267|offset_53|444444,5254226:5254245|offset_75|00cc00&amp;v=5254099:5254445&amp;c=444444", "offset 75")</f>
        <v>offset 75</v>
      </c>
    </row>
    <row r="17069" customFormat="false" ht="12.8" hidden="false" customHeight="false" outlineLevel="0" collapsed="false">
      <c r="A17069" s="0" t="s">
        <v>12</v>
      </c>
      <c r="B17069" s="0" t="n">
        <v>5255751</v>
      </c>
      <c r="C17069" s="0" t="n">
        <v>5255771</v>
      </c>
      <c r="D17069" s="0" t="s">
        <v>56764</v>
      </c>
      <c r="E17069" s="0" t="s">
        <v>75</v>
      </c>
      <c r="F17069" s="0" t="s">
        <v>90</v>
      </c>
      <c r="G17069" s="0" t="s">
        <v>36</v>
      </c>
      <c r="H17069" s="0" t="n">
        <v>0</v>
      </c>
      <c r="I17069" s="0" t="s">
        <v>56765</v>
      </c>
      <c r="J17069" s="0" t="s">
        <v>56766</v>
      </c>
      <c r="K17069" s="0" t="s">
        <v>56767</v>
      </c>
      <c r="L17069" s="0" t="str">
        <f aca="false">HYPERLINK("https://www.ncbi.nlm.nih.gov/nuccore/CP000058.1?report=graph&amp;tracks=[key:gene_model_track,Options:GeneOnly]&amp;mk=5255752:5255771|offset_0|00cc00,5255722:5255741|offset_30|444444,5255694:5255713|offset_58|444444,5255660:5255679|offset_92|444444&amp;v=5255551:5255879&amp;c=444444", "offset 0")</f>
        <v>offset 0</v>
      </c>
    </row>
    <row r="17070" customFormat="false" ht="12.8" hidden="false" customHeight="false" outlineLevel="0" collapsed="false">
      <c r="A17070" s="0" t="s">
        <v>12</v>
      </c>
      <c r="B17070" s="0" t="n">
        <v>5255721</v>
      </c>
      <c r="C17070" s="0" t="n">
        <v>5255741</v>
      </c>
      <c r="D17070" s="0" t="s">
        <v>56764</v>
      </c>
      <c r="E17070" s="0" t="s">
        <v>75</v>
      </c>
      <c r="F17070" s="0" t="s">
        <v>90</v>
      </c>
      <c r="G17070" s="0" t="s">
        <v>20</v>
      </c>
      <c r="H17070" s="0" t="n">
        <v>30</v>
      </c>
      <c r="I17070" s="0" t="s">
        <v>56768</v>
      </c>
      <c r="J17070" s="0" t="s">
        <v>56769</v>
      </c>
      <c r="K17070" s="0" t="s">
        <v>56770</v>
      </c>
      <c r="L17070" s="0" t="str">
        <f aca="false">HYPERLINK("https://www.ncbi.nlm.nih.gov/nuccore/CP000058.1?report=graph&amp;tracks=[key:gene_model_track,Options:GeneOnly]&amp;mk=5255752:5255771|offset_0|444444,5255722:5255741|offset_30|00cc00,5255694:5255713|offset_58|444444,5255660:5255679|offset_92|444444&amp;v=5255551:5255879&amp;c=444444", "offset 30")</f>
        <v>offset 30</v>
      </c>
    </row>
    <row r="17071" customFormat="false" ht="12.8" hidden="false" customHeight="false" outlineLevel="0" collapsed="false">
      <c r="A17071" s="0" t="s">
        <v>12</v>
      </c>
      <c r="B17071" s="0" t="n">
        <v>5255693</v>
      </c>
      <c r="C17071" s="0" t="n">
        <v>5255713</v>
      </c>
      <c r="D17071" s="0" t="s">
        <v>56764</v>
      </c>
      <c r="E17071" s="0" t="s">
        <v>75</v>
      </c>
      <c r="F17071" s="0" t="s">
        <v>90</v>
      </c>
      <c r="G17071" s="0" t="s">
        <v>36</v>
      </c>
      <c r="H17071" s="0" t="n">
        <v>58</v>
      </c>
      <c r="I17071" s="0" t="s">
        <v>56771</v>
      </c>
      <c r="J17071" s="0" t="s">
        <v>56772</v>
      </c>
      <c r="K17071" s="0" t="s">
        <v>56773</v>
      </c>
      <c r="L17071" s="0" t="str">
        <f aca="false">HYPERLINK("https://www.ncbi.nlm.nih.gov/nuccore/CP000058.1?report=graph&amp;tracks=[key:gene_model_track,Options:GeneOnly]&amp;mk=5255752:5255771|offset_0|444444,5255722:5255741|offset_30|444444,5255694:5255713|offset_58|00cc00,5255660:5255679|offset_92|444444&amp;v=5255551:5255879&amp;c=444444", "offset 58")</f>
        <v>offset 58</v>
      </c>
    </row>
    <row r="17072" customFormat="false" ht="12.8" hidden="false" customHeight="false" outlineLevel="0" collapsed="false">
      <c r="A17072" s="0" t="s">
        <v>12</v>
      </c>
      <c r="B17072" s="0" t="n">
        <v>5255659</v>
      </c>
      <c r="C17072" s="0" t="n">
        <v>5255679</v>
      </c>
      <c r="D17072" s="0" t="s">
        <v>56764</v>
      </c>
      <c r="E17072" s="0" t="s">
        <v>75</v>
      </c>
      <c r="F17072" s="0" t="s">
        <v>90</v>
      </c>
      <c r="G17072" s="0" t="s">
        <v>32</v>
      </c>
      <c r="H17072" s="0" t="n">
        <v>92</v>
      </c>
      <c r="I17072" s="0" t="s">
        <v>56774</v>
      </c>
      <c r="J17072" s="0" t="s">
        <v>56775</v>
      </c>
      <c r="K17072" s="0" t="s">
        <v>56776</v>
      </c>
      <c r="L17072" s="0" t="str">
        <f aca="false">HYPERLINK("https://www.ncbi.nlm.nih.gov/nuccore/CP000058.1?report=graph&amp;tracks=[key:gene_model_track,Options:GeneOnly]&amp;mk=5255752:5255771|offset_0|444444,5255722:5255741|offset_30|444444,5255694:5255713|offset_58|444444,5255660:5255679|offset_92|00cc00&amp;v=5255551:5255879&amp;c=444444", "offset 92")</f>
        <v>offset 92</v>
      </c>
    </row>
    <row r="17073" customFormat="false" ht="12.8" hidden="false" customHeight="false" outlineLevel="0" collapsed="false">
      <c r="A17073" s="0" t="s">
        <v>12</v>
      </c>
      <c r="B17073" s="0" t="n">
        <v>5255894</v>
      </c>
      <c r="C17073" s="0" t="n">
        <v>5255914</v>
      </c>
      <c r="D17073" s="0" t="s">
        <v>56777</v>
      </c>
      <c r="E17073" s="0" t="s">
        <v>75</v>
      </c>
      <c r="F17073" s="0" t="s">
        <v>15</v>
      </c>
      <c r="G17073" s="0" t="s">
        <v>16</v>
      </c>
      <c r="H17073" s="0" t="n">
        <v>11</v>
      </c>
      <c r="I17073" s="0" t="s">
        <v>56778</v>
      </c>
      <c r="J17073" s="0" t="s">
        <v>56779</v>
      </c>
      <c r="K17073" s="0" t="s">
        <v>56780</v>
      </c>
      <c r="L17073" s="0" t="str">
        <f aca="false">HYPERLINK("https://www.ncbi.nlm.nih.gov/nuccore/CP000058.1?report=graph&amp;tracks=[key:gene_model_track,Options:GeneOnly]&amp;mk=5255895:5255914|offset_11|00cc00,5255937:5255956|offset_53|444444,5255984:5256003|offset_100|444444,5256012:5256031|offset_128|444444&amp;v=5255694:5256231&amp;c=444444", "offset 11")</f>
        <v>offset 11</v>
      </c>
    </row>
    <row r="17074" customFormat="false" ht="12.8" hidden="false" customHeight="false" outlineLevel="0" collapsed="false">
      <c r="A17074" s="0" t="s">
        <v>12</v>
      </c>
      <c r="B17074" s="0" t="n">
        <v>5255936</v>
      </c>
      <c r="C17074" s="0" t="n">
        <v>5255956</v>
      </c>
      <c r="D17074" s="0" t="s">
        <v>56777</v>
      </c>
      <c r="E17074" s="0" t="s">
        <v>75</v>
      </c>
      <c r="F17074" s="0" t="s">
        <v>15</v>
      </c>
      <c r="G17074" s="0" t="s">
        <v>16</v>
      </c>
      <c r="H17074" s="0" t="n">
        <v>53</v>
      </c>
      <c r="I17074" s="0" t="s">
        <v>56781</v>
      </c>
      <c r="J17074" s="0" t="s">
        <v>56782</v>
      </c>
      <c r="K17074" s="0" t="s">
        <v>56783</v>
      </c>
      <c r="L17074" s="0" t="str">
        <f aca="false">HYPERLINK("https://www.ncbi.nlm.nih.gov/nuccore/CP000058.1?report=graph&amp;tracks=[key:gene_model_track,Options:GeneOnly]&amp;mk=5255895:5255914|offset_11|444444,5255937:5255956|offset_53|00cc00,5255984:5256003|offset_100|444444,5256012:5256031|offset_128|444444&amp;v=5255694:5256231&amp;c=444444", "offset 53")</f>
        <v>offset 53</v>
      </c>
    </row>
    <row r="17075" customFormat="false" ht="12.8" hidden="false" customHeight="false" outlineLevel="0" collapsed="false">
      <c r="A17075" s="0" t="s">
        <v>12</v>
      </c>
      <c r="B17075" s="0" t="n">
        <v>5255983</v>
      </c>
      <c r="C17075" s="0" t="n">
        <v>5256003</v>
      </c>
      <c r="D17075" s="0" t="s">
        <v>56777</v>
      </c>
      <c r="E17075" s="0" t="s">
        <v>75</v>
      </c>
      <c r="F17075" s="0" t="s">
        <v>15</v>
      </c>
      <c r="G17075" s="0" t="s">
        <v>16</v>
      </c>
      <c r="H17075" s="0" t="n">
        <v>100</v>
      </c>
      <c r="I17075" s="0" t="s">
        <v>56784</v>
      </c>
      <c r="J17075" s="0" t="s">
        <v>56785</v>
      </c>
      <c r="K17075" s="0" t="s">
        <v>56786</v>
      </c>
      <c r="L17075" s="0" t="str">
        <f aca="false">HYPERLINK("https://www.ncbi.nlm.nih.gov/nuccore/CP000058.1?report=graph&amp;tracks=[key:gene_model_track,Options:GeneOnly]&amp;mk=5255895:5255914|offset_11|444444,5255937:5255956|offset_53|444444,5255984:5256003|offset_100|00cc00,5256012:5256031|offset_128|444444&amp;v=5255694:5256231&amp;c=444444", "offset 100")</f>
        <v>offset 100</v>
      </c>
    </row>
    <row r="17076" customFormat="false" ht="12.8" hidden="false" customHeight="false" outlineLevel="0" collapsed="false">
      <c r="A17076" s="0" t="s">
        <v>12</v>
      </c>
      <c r="B17076" s="0" t="n">
        <v>5256011</v>
      </c>
      <c r="C17076" s="0" t="n">
        <v>5256031</v>
      </c>
      <c r="D17076" s="0" t="s">
        <v>56777</v>
      </c>
      <c r="E17076" s="0" t="s">
        <v>75</v>
      </c>
      <c r="F17076" s="0" t="s">
        <v>15</v>
      </c>
      <c r="G17076" s="0" t="s">
        <v>16</v>
      </c>
      <c r="H17076" s="0" t="n">
        <v>128</v>
      </c>
      <c r="I17076" s="0" t="s">
        <v>56787</v>
      </c>
      <c r="J17076" s="0" t="s">
        <v>56788</v>
      </c>
      <c r="K17076" s="0" t="s">
        <v>56789</v>
      </c>
      <c r="L17076" s="0" t="str">
        <f aca="false">HYPERLINK("https://www.ncbi.nlm.nih.gov/nuccore/CP000058.1?report=graph&amp;tracks=[key:gene_model_track,Options:GeneOnly]&amp;mk=5255895:5255914|offset_11|444444,5255937:5255956|offset_53|444444,5255984:5256003|offset_100|444444,5256012:5256031|offset_128|00cc00&amp;v=5255694:5256231&amp;c=444444", "offset 128")</f>
        <v>offset 128</v>
      </c>
    </row>
    <row r="17077" customFormat="false" ht="12.8" hidden="false" customHeight="false" outlineLevel="0" collapsed="false">
      <c r="A17077" s="0" t="s">
        <v>12</v>
      </c>
      <c r="B17077" s="0" t="n">
        <v>5256990</v>
      </c>
      <c r="C17077" s="0" t="n">
        <v>5257010</v>
      </c>
      <c r="D17077" s="0" t="s">
        <v>56790</v>
      </c>
      <c r="E17077" s="0" t="s">
        <v>75</v>
      </c>
      <c r="F17077" s="0" t="s">
        <v>15</v>
      </c>
      <c r="G17077" s="0" t="s">
        <v>32</v>
      </c>
      <c r="H17077" s="0" t="n">
        <v>1</v>
      </c>
      <c r="I17077" s="0" t="s">
        <v>56791</v>
      </c>
      <c r="J17077" s="0" t="s">
        <v>56792</v>
      </c>
      <c r="K17077" s="0" t="s">
        <v>56793</v>
      </c>
      <c r="L17077" s="0" t="str">
        <f aca="false">HYPERLINK("https://www.ncbi.nlm.nih.gov/nuccore/CP000058.1?report=graph&amp;tracks=[key:gene_model_track,Options:GeneOnly]&amp;mk=5256991:5257010|offset_1|00cc00,5257022:5257041|offset_32|444444,5257046:5257065|offset_56|444444,5257079:5257098|offset_89|444444&amp;v=5256790:5257298&amp;c=444444", "offset 1")</f>
        <v>offset 1</v>
      </c>
    </row>
    <row r="17078" customFormat="false" ht="12.8" hidden="false" customHeight="false" outlineLevel="0" collapsed="false">
      <c r="A17078" s="0" t="s">
        <v>12</v>
      </c>
      <c r="B17078" s="0" t="n">
        <v>5257021</v>
      </c>
      <c r="C17078" s="0" t="n">
        <v>5257041</v>
      </c>
      <c r="D17078" s="0" t="s">
        <v>56790</v>
      </c>
      <c r="E17078" s="0" t="s">
        <v>75</v>
      </c>
      <c r="F17078" s="0" t="s">
        <v>15</v>
      </c>
      <c r="G17078" s="0" t="s">
        <v>20</v>
      </c>
      <c r="H17078" s="0" t="n">
        <v>32</v>
      </c>
      <c r="I17078" s="0" t="s">
        <v>56794</v>
      </c>
      <c r="J17078" s="0" t="s">
        <v>56795</v>
      </c>
      <c r="K17078" s="0" t="s">
        <v>56796</v>
      </c>
      <c r="L17078" s="0" t="str">
        <f aca="false">HYPERLINK("https://www.ncbi.nlm.nih.gov/nuccore/CP000058.1?report=graph&amp;tracks=[key:gene_model_track,Options:GeneOnly]&amp;mk=5256991:5257010|offset_1|444444,5257022:5257041|offset_32|00cc00,5257046:5257065|offset_56|444444,5257079:5257098|offset_89|444444&amp;v=5256790:5257298&amp;c=444444", "offset 32")</f>
        <v>offset 32</v>
      </c>
    </row>
    <row r="17079" customFormat="false" ht="12.8" hidden="false" customHeight="false" outlineLevel="0" collapsed="false">
      <c r="A17079" s="0" t="s">
        <v>12</v>
      </c>
      <c r="B17079" s="0" t="n">
        <v>5257045</v>
      </c>
      <c r="C17079" s="0" t="n">
        <v>5257065</v>
      </c>
      <c r="D17079" s="0" t="s">
        <v>56790</v>
      </c>
      <c r="E17079" s="0" t="s">
        <v>75</v>
      </c>
      <c r="F17079" s="0" t="s">
        <v>15</v>
      </c>
      <c r="G17079" s="0" t="s">
        <v>36</v>
      </c>
      <c r="H17079" s="0" t="n">
        <v>56</v>
      </c>
      <c r="I17079" s="0" t="s">
        <v>56797</v>
      </c>
      <c r="J17079" s="0" t="s">
        <v>56798</v>
      </c>
      <c r="K17079" s="0" t="s">
        <v>56799</v>
      </c>
      <c r="L17079" s="0" t="str">
        <f aca="false">HYPERLINK("https://www.ncbi.nlm.nih.gov/nuccore/CP000058.1?report=graph&amp;tracks=[key:gene_model_track,Options:GeneOnly]&amp;mk=5256991:5257010|offset_1|444444,5257022:5257041|offset_32|444444,5257046:5257065|offset_56|00cc00,5257079:5257098|offset_89|444444&amp;v=5256790:5257298&amp;c=444444", "offset 56")</f>
        <v>offset 56</v>
      </c>
    </row>
    <row r="17080" customFormat="false" ht="12.8" hidden="false" customHeight="false" outlineLevel="0" collapsed="false">
      <c r="A17080" s="0" t="s">
        <v>12</v>
      </c>
      <c r="B17080" s="0" t="n">
        <v>5257078</v>
      </c>
      <c r="C17080" s="0" t="n">
        <v>5257098</v>
      </c>
      <c r="D17080" s="0" t="s">
        <v>56790</v>
      </c>
      <c r="E17080" s="0" t="s">
        <v>75</v>
      </c>
      <c r="F17080" s="0" t="s">
        <v>15</v>
      </c>
      <c r="G17080" s="0" t="s">
        <v>32</v>
      </c>
      <c r="H17080" s="0" t="n">
        <v>89</v>
      </c>
      <c r="I17080" s="0" t="s">
        <v>56800</v>
      </c>
      <c r="J17080" s="0" t="s">
        <v>56801</v>
      </c>
      <c r="K17080" s="0" t="s">
        <v>56802</v>
      </c>
      <c r="L17080" s="0" t="str">
        <f aca="false">HYPERLINK("https://www.ncbi.nlm.nih.gov/nuccore/CP000058.1?report=graph&amp;tracks=[key:gene_model_track,Options:GeneOnly]&amp;mk=5256991:5257010|offset_1|444444,5257022:5257041|offset_32|444444,5257046:5257065|offset_56|444444,5257079:5257098|offset_89|00cc00&amp;v=5256790:5257298&amp;c=444444", "offset 89")</f>
        <v>offset 89</v>
      </c>
    </row>
    <row r="17081" customFormat="false" ht="12.8" hidden="false" customHeight="false" outlineLevel="0" collapsed="false">
      <c r="A17081" s="0" t="s">
        <v>12</v>
      </c>
      <c r="B17081" s="0" t="n">
        <v>5258482</v>
      </c>
      <c r="C17081" s="0" t="n">
        <v>5258502</v>
      </c>
      <c r="D17081" s="0" t="s">
        <v>56803</v>
      </c>
      <c r="E17081" s="0" t="s">
        <v>75</v>
      </c>
      <c r="F17081" s="0" t="s">
        <v>15</v>
      </c>
      <c r="G17081" s="0" t="s">
        <v>36</v>
      </c>
      <c r="H17081" s="0" t="n">
        <v>0</v>
      </c>
      <c r="I17081" s="0" t="s">
        <v>56804</v>
      </c>
      <c r="J17081" s="0" t="s">
        <v>56805</v>
      </c>
      <c r="K17081" s="0" t="s">
        <v>56806</v>
      </c>
      <c r="L17081" s="0" t="str">
        <f aca="false">HYPERLINK("https://www.ncbi.nlm.nih.gov/nuccore/CP000058.1?report=graph&amp;tracks=[key:gene_model_track,Options:GeneOnly]&amp;mk=5258483:5258502|offset_0|00cc00,5258523:5258542|offset_40|444444,5258569:5258588|offset_86|444444,5258592:5258611|offset_109|444444&amp;v=5258282:5258811&amp;c=444444", "offset 0")</f>
        <v>offset 0</v>
      </c>
    </row>
    <row r="17082" customFormat="false" ht="12.8" hidden="false" customHeight="false" outlineLevel="0" collapsed="false">
      <c r="A17082" s="0" t="s">
        <v>12</v>
      </c>
      <c r="B17082" s="0" t="n">
        <v>5258522</v>
      </c>
      <c r="C17082" s="0" t="n">
        <v>5258542</v>
      </c>
      <c r="D17082" s="0" t="s">
        <v>56803</v>
      </c>
      <c r="E17082" s="0" t="s">
        <v>75</v>
      </c>
      <c r="F17082" s="0" t="s">
        <v>15</v>
      </c>
      <c r="G17082" s="0" t="s">
        <v>32</v>
      </c>
      <c r="H17082" s="0" t="n">
        <v>40</v>
      </c>
      <c r="I17082" s="0" t="s">
        <v>56807</v>
      </c>
      <c r="J17082" s="0" t="s">
        <v>56808</v>
      </c>
      <c r="K17082" s="0" t="s">
        <v>56809</v>
      </c>
      <c r="L17082" s="0" t="str">
        <f aca="false">HYPERLINK("https://www.ncbi.nlm.nih.gov/nuccore/CP000058.1?report=graph&amp;tracks=[key:gene_model_track,Options:GeneOnly]&amp;mk=5258483:5258502|offset_0|444444,5258523:5258542|offset_40|00cc00,5258569:5258588|offset_86|444444,5258592:5258611|offset_109|444444&amp;v=5258282:5258811&amp;c=444444", "offset 40")</f>
        <v>offset 40</v>
      </c>
    </row>
    <row r="17083" customFormat="false" ht="12.8" hidden="false" customHeight="false" outlineLevel="0" collapsed="false">
      <c r="A17083" s="0" t="s">
        <v>12</v>
      </c>
      <c r="B17083" s="0" t="n">
        <v>5258568</v>
      </c>
      <c r="C17083" s="0" t="n">
        <v>5258588</v>
      </c>
      <c r="D17083" s="0" t="s">
        <v>56803</v>
      </c>
      <c r="E17083" s="0" t="s">
        <v>75</v>
      </c>
      <c r="F17083" s="0" t="s">
        <v>15</v>
      </c>
      <c r="G17083" s="0" t="s">
        <v>32</v>
      </c>
      <c r="H17083" s="0" t="n">
        <v>86</v>
      </c>
      <c r="I17083" s="0" t="s">
        <v>56810</v>
      </c>
      <c r="J17083" s="0" t="s">
        <v>56811</v>
      </c>
      <c r="K17083" s="0" t="s">
        <v>56812</v>
      </c>
      <c r="L17083" s="0" t="str">
        <f aca="false">HYPERLINK("https://www.ncbi.nlm.nih.gov/nuccore/CP000058.1?report=graph&amp;tracks=[key:gene_model_track,Options:GeneOnly]&amp;mk=5258483:5258502|offset_0|444444,5258523:5258542|offset_40|444444,5258569:5258588|offset_86|00cc00,5258592:5258611|offset_109|444444&amp;v=5258282:5258811&amp;c=444444", "offset 86")</f>
        <v>offset 86</v>
      </c>
    </row>
    <row r="17084" customFormat="false" ht="12.8" hidden="false" customHeight="false" outlineLevel="0" collapsed="false">
      <c r="A17084" s="0" t="s">
        <v>12</v>
      </c>
      <c r="B17084" s="0" t="n">
        <v>5258591</v>
      </c>
      <c r="C17084" s="0" t="n">
        <v>5258611</v>
      </c>
      <c r="D17084" s="0" t="s">
        <v>56803</v>
      </c>
      <c r="E17084" s="0" t="s">
        <v>75</v>
      </c>
      <c r="F17084" s="0" t="s">
        <v>15</v>
      </c>
      <c r="G17084" s="0" t="s">
        <v>36</v>
      </c>
      <c r="H17084" s="0" t="n">
        <v>109</v>
      </c>
      <c r="I17084" s="0" t="s">
        <v>56813</v>
      </c>
      <c r="J17084" s="0" t="s">
        <v>56814</v>
      </c>
      <c r="K17084" s="0" t="s">
        <v>56815</v>
      </c>
      <c r="L17084" s="0" t="str">
        <f aca="false">HYPERLINK("https://www.ncbi.nlm.nih.gov/nuccore/CP000058.1?report=graph&amp;tracks=[key:gene_model_track,Options:GeneOnly]&amp;mk=5258483:5258502|offset_0|444444,5258523:5258542|offset_40|444444,5258569:5258588|offset_86|444444,5258592:5258611|offset_109|00cc00&amp;v=5258282:5258811&amp;c=444444", "offset 109")</f>
        <v>offset 109</v>
      </c>
    </row>
    <row r="17085" customFormat="false" ht="12.8" hidden="false" customHeight="false" outlineLevel="0" collapsed="false">
      <c r="A17085" s="0" t="s">
        <v>12</v>
      </c>
      <c r="B17085" s="0" t="n">
        <v>5259183</v>
      </c>
      <c r="C17085" s="0" t="n">
        <v>5259203</v>
      </c>
      <c r="D17085" s="0" t="s">
        <v>56816</v>
      </c>
      <c r="E17085" s="0" t="s">
        <v>75</v>
      </c>
      <c r="F17085" s="0" t="s">
        <v>15</v>
      </c>
      <c r="G17085" s="0" t="s">
        <v>20</v>
      </c>
      <c r="H17085" s="0" t="n">
        <v>6</v>
      </c>
      <c r="I17085" s="0" t="s">
        <v>56817</v>
      </c>
      <c r="J17085" s="0" t="s">
        <v>56818</v>
      </c>
      <c r="K17085" s="0" t="s">
        <v>56819</v>
      </c>
      <c r="L17085" s="0" t="str">
        <f aca="false">HYPERLINK("https://www.ncbi.nlm.nih.gov/nuccore/CP000058.1?report=graph&amp;tracks=[key:gene_model_track,Options:GeneOnly]&amp;mk=5259184:5259203|offset_6|00cc00,5259225:5259244|offset_47|444444,5259245:5259264|offset_67|444444,5259267:5259286|offset_89|444444&amp;v=5258983:5259486&amp;c=444444", "offset 6")</f>
        <v>offset 6</v>
      </c>
    </row>
    <row r="17086" customFormat="false" ht="12.8" hidden="false" customHeight="false" outlineLevel="0" collapsed="false">
      <c r="A17086" s="0" t="s">
        <v>12</v>
      </c>
      <c r="B17086" s="0" t="n">
        <v>5259224</v>
      </c>
      <c r="C17086" s="0" t="n">
        <v>5259244</v>
      </c>
      <c r="D17086" s="0" t="s">
        <v>56816</v>
      </c>
      <c r="E17086" s="0" t="s">
        <v>75</v>
      </c>
      <c r="F17086" s="0" t="s">
        <v>15</v>
      </c>
      <c r="G17086" s="0" t="s">
        <v>16</v>
      </c>
      <c r="H17086" s="0" t="n">
        <v>47</v>
      </c>
      <c r="I17086" s="0" t="s">
        <v>56820</v>
      </c>
      <c r="J17086" s="0" t="s">
        <v>56821</v>
      </c>
      <c r="K17086" s="0" t="s">
        <v>56822</v>
      </c>
      <c r="L17086" s="0" t="str">
        <f aca="false">HYPERLINK("https://www.ncbi.nlm.nih.gov/nuccore/CP000058.1?report=graph&amp;tracks=[key:gene_model_track,Options:GeneOnly]&amp;mk=5259184:5259203|offset_6|444444,5259225:5259244|offset_47|00cc00,5259245:5259264|offset_67|444444,5259267:5259286|offset_89|444444&amp;v=5258983:5259486&amp;c=444444", "offset 47")</f>
        <v>offset 47</v>
      </c>
    </row>
    <row r="17087" customFormat="false" ht="12.8" hidden="false" customHeight="false" outlineLevel="0" collapsed="false">
      <c r="A17087" s="0" t="s">
        <v>12</v>
      </c>
      <c r="B17087" s="0" t="n">
        <v>5259244</v>
      </c>
      <c r="C17087" s="0" t="n">
        <v>5259264</v>
      </c>
      <c r="D17087" s="0" t="s">
        <v>56816</v>
      </c>
      <c r="E17087" s="0" t="s">
        <v>75</v>
      </c>
      <c r="F17087" s="0" t="s">
        <v>15</v>
      </c>
      <c r="G17087" s="0" t="s">
        <v>36</v>
      </c>
      <c r="H17087" s="0" t="n">
        <v>67</v>
      </c>
      <c r="I17087" s="0" t="s">
        <v>56823</v>
      </c>
      <c r="J17087" s="0" t="s">
        <v>56824</v>
      </c>
      <c r="K17087" s="0" t="s">
        <v>56825</v>
      </c>
      <c r="L17087" s="0" t="str">
        <f aca="false">HYPERLINK("https://www.ncbi.nlm.nih.gov/nuccore/CP000058.1?report=graph&amp;tracks=[key:gene_model_track,Options:GeneOnly]&amp;mk=5259184:5259203|offset_6|444444,5259225:5259244|offset_47|444444,5259245:5259264|offset_67|00cc00,5259267:5259286|offset_89|444444&amp;v=5258983:5259486&amp;c=444444", "offset 67")</f>
        <v>offset 67</v>
      </c>
    </row>
    <row r="17088" customFormat="false" ht="12.8" hidden="false" customHeight="false" outlineLevel="0" collapsed="false">
      <c r="A17088" s="0" t="s">
        <v>12</v>
      </c>
      <c r="B17088" s="0" t="n">
        <v>5259266</v>
      </c>
      <c r="C17088" s="0" t="n">
        <v>5259286</v>
      </c>
      <c r="D17088" s="0" t="s">
        <v>56816</v>
      </c>
      <c r="E17088" s="0" t="s">
        <v>75</v>
      </c>
      <c r="F17088" s="0" t="s">
        <v>15</v>
      </c>
      <c r="G17088" s="0" t="s">
        <v>36</v>
      </c>
      <c r="H17088" s="0" t="n">
        <v>89</v>
      </c>
      <c r="I17088" s="0" t="s">
        <v>56826</v>
      </c>
      <c r="J17088" s="0" t="s">
        <v>56827</v>
      </c>
      <c r="K17088" s="0" t="s">
        <v>56828</v>
      </c>
      <c r="L17088" s="0" t="str">
        <f aca="false">HYPERLINK("https://www.ncbi.nlm.nih.gov/nuccore/CP000058.1?report=graph&amp;tracks=[key:gene_model_track,Options:GeneOnly]&amp;mk=5259184:5259203|offset_6|444444,5259225:5259244|offset_47|444444,5259245:5259264|offset_67|444444,5259267:5259286|offset_89|00cc00&amp;v=5258983:5259486&amp;c=444444", "offset 89")</f>
        <v>offset 89</v>
      </c>
    </row>
    <row r="17089" customFormat="false" ht="12.8" hidden="false" customHeight="false" outlineLevel="0" collapsed="false">
      <c r="A17089" s="0" t="s">
        <v>12</v>
      </c>
      <c r="B17089" s="0" t="n">
        <v>5260304</v>
      </c>
      <c r="C17089" s="0" t="n">
        <v>5260324</v>
      </c>
      <c r="D17089" s="0" t="s">
        <v>56829</v>
      </c>
      <c r="E17089" s="0" t="s">
        <v>75</v>
      </c>
      <c r="F17089" s="0" t="s">
        <v>15</v>
      </c>
      <c r="G17089" s="0" t="s">
        <v>32</v>
      </c>
      <c r="H17089" s="0" t="n">
        <v>11</v>
      </c>
      <c r="I17089" s="0" t="s">
        <v>56830</v>
      </c>
      <c r="J17089" s="0" t="s">
        <v>56831</v>
      </c>
      <c r="K17089" s="0" t="s">
        <v>56832</v>
      </c>
      <c r="L17089" s="0" t="str">
        <f aca="false">HYPERLINK("https://www.ncbi.nlm.nih.gov/nuccore/CP000058.1?report=graph&amp;tracks=[key:gene_model_track,Options:GeneOnly]&amp;mk=5260305:5260324|offset_11|00cc00,5260335:5260354|offset_41|444444,5260355:5260374|offset_61|444444,5260383:5260402|offset_89|444444&amp;v=5260104:5260602&amp;c=444444", "offset 11")</f>
        <v>offset 11</v>
      </c>
    </row>
    <row r="17090" customFormat="false" ht="12.8" hidden="false" customHeight="false" outlineLevel="0" collapsed="false">
      <c r="A17090" s="0" t="s">
        <v>12</v>
      </c>
      <c r="B17090" s="0" t="n">
        <v>5260334</v>
      </c>
      <c r="C17090" s="0" t="n">
        <v>5260354</v>
      </c>
      <c r="D17090" s="0" t="s">
        <v>56829</v>
      </c>
      <c r="E17090" s="0" t="s">
        <v>75</v>
      </c>
      <c r="F17090" s="0" t="s">
        <v>15</v>
      </c>
      <c r="G17090" s="0" t="s">
        <v>32</v>
      </c>
      <c r="H17090" s="0" t="n">
        <v>41</v>
      </c>
      <c r="I17090" s="0" t="s">
        <v>56833</v>
      </c>
      <c r="J17090" s="0" t="s">
        <v>56834</v>
      </c>
      <c r="K17090" s="0" t="s">
        <v>56835</v>
      </c>
      <c r="L17090" s="0" t="str">
        <f aca="false">HYPERLINK("https://www.ncbi.nlm.nih.gov/nuccore/CP000058.1?report=graph&amp;tracks=[key:gene_model_track,Options:GeneOnly]&amp;mk=5260305:5260324|offset_11|444444,5260335:5260354|offset_41|00cc00,5260355:5260374|offset_61|444444,5260383:5260402|offset_89|444444&amp;v=5260104:5260602&amp;c=444444", "offset 41")</f>
        <v>offset 41</v>
      </c>
    </row>
    <row r="17091" customFormat="false" ht="12.8" hidden="false" customHeight="false" outlineLevel="0" collapsed="false">
      <c r="A17091" s="0" t="s">
        <v>12</v>
      </c>
      <c r="B17091" s="0" t="n">
        <v>5260354</v>
      </c>
      <c r="C17091" s="0" t="n">
        <v>5260374</v>
      </c>
      <c r="D17091" s="0" t="s">
        <v>56829</v>
      </c>
      <c r="E17091" s="0" t="s">
        <v>75</v>
      </c>
      <c r="F17091" s="0" t="s">
        <v>15</v>
      </c>
      <c r="G17091" s="0" t="s">
        <v>16</v>
      </c>
      <c r="H17091" s="0" t="n">
        <v>61</v>
      </c>
      <c r="I17091" s="0" t="s">
        <v>56836</v>
      </c>
      <c r="J17091" s="0" t="s">
        <v>56837</v>
      </c>
      <c r="K17091" s="0" t="s">
        <v>56838</v>
      </c>
      <c r="L17091" s="0" t="str">
        <f aca="false">HYPERLINK("https://www.ncbi.nlm.nih.gov/nuccore/CP000058.1?report=graph&amp;tracks=[key:gene_model_track,Options:GeneOnly]&amp;mk=5260305:5260324|offset_11|444444,5260335:5260354|offset_41|444444,5260355:5260374|offset_61|00cc00,5260383:5260402|offset_89|444444&amp;v=5260104:5260602&amp;c=444444", "offset 61")</f>
        <v>offset 61</v>
      </c>
    </row>
    <row r="17092" customFormat="false" ht="12.8" hidden="false" customHeight="false" outlineLevel="0" collapsed="false">
      <c r="A17092" s="0" t="s">
        <v>12</v>
      </c>
      <c r="B17092" s="0" t="n">
        <v>5260382</v>
      </c>
      <c r="C17092" s="0" t="n">
        <v>5260402</v>
      </c>
      <c r="D17092" s="0" t="s">
        <v>56829</v>
      </c>
      <c r="E17092" s="0" t="s">
        <v>75</v>
      </c>
      <c r="F17092" s="0" t="s">
        <v>15</v>
      </c>
      <c r="G17092" s="0" t="s">
        <v>20</v>
      </c>
      <c r="H17092" s="0" t="n">
        <v>89</v>
      </c>
      <c r="I17092" s="0" t="s">
        <v>56839</v>
      </c>
      <c r="J17092" s="0" t="s">
        <v>56840</v>
      </c>
      <c r="K17092" s="0" t="s">
        <v>56841</v>
      </c>
      <c r="L17092" s="0" t="str">
        <f aca="false">HYPERLINK("https://www.ncbi.nlm.nih.gov/nuccore/CP000058.1?report=graph&amp;tracks=[key:gene_model_track,Options:GeneOnly]&amp;mk=5260305:5260324|offset_11|444444,5260335:5260354|offset_41|444444,5260355:5260374|offset_61|444444,5260383:5260402|offset_89|00cc00&amp;v=5260104:5260602&amp;c=444444", "offset 89")</f>
        <v>offset 89</v>
      </c>
    </row>
    <row r="17093" customFormat="false" ht="12.8" hidden="false" customHeight="false" outlineLevel="0" collapsed="false">
      <c r="A17093" s="0" t="s">
        <v>12</v>
      </c>
      <c r="B17093" s="0" t="n">
        <v>5261879</v>
      </c>
      <c r="C17093" s="0" t="n">
        <v>5261899</v>
      </c>
      <c r="D17093" s="0" t="s">
        <v>56842</v>
      </c>
      <c r="E17093" s="0" t="s">
        <v>75</v>
      </c>
      <c r="F17093" s="0" t="s">
        <v>15</v>
      </c>
      <c r="G17093" s="0" t="s">
        <v>16</v>
      </c>
      <c r="H17093" s="0" t="n">
        <v>21</v>
      </c>
      <c r="I17093" s="0" t="s">
        <v>56843</v>
      </c>
      <c r="J17093" s="0" t="s">
        <v>56844</v>
      </c>
      <c r="K17093" s="0" t="s">
        <v>56845</v>
      </c>
      <c r="L17093" s="0" t="str">
        <f aca="false">HYPERLINK("https://www.ncbi.nlm.nih.gov/nuccore/CP000058.1?report=graph&amp;tracks=[key:gene_model_track,Options:GeneOnly]&amp;mk=5261880:5261899|offset_21|00cc00,5261902:5261921|offset_43|444444,5261932:5261951|offset_73|444444,5261972:5261991|offset_113|444444&amp;v=5261679:5262191&amp;c=444444", "offset 21")</f>
        <v>offset 21</v>
      </c>
    </row>
    <row r="17094" customFormat="false" ht="12.8" hidden="false" customHeight="false" outlineLevel="0" collapsed="false">
      <c r="A17094" s="0" t="s">
        <v>12</v>
      </c>
      <c r="B17094" s="0" t="n">
        <v>5261901</v>
      </c>
      <c r="C17094" s="0" t="n">
        <v>5261921</v>
      </c>
      <c r="D17094" s="0" t="s">
        <v>56842</v>
      </c>
      <c r="E17094" s="0" t="s">
        <v>75</v>
      </c>
      <c r="F17094" s="0" t="s">
        <v>15</v>
      </c>
      <c r="G17094" s="0" t="s">
        <v>32</v>
      </c>
      <c r="H17094" s="0" t="n">
        <v>43</v>
      </c>
      <c r="I17094" s="0" t="s">
        <v>56846</v>
      </c>
      <c r="J17094" s="0" t="s">
        <v>56847</v>
      </c>
      <c r="K17094" s="0" t="s">
        <v>56848</v>
      </c>
      <c r="L17094" s="0" t="str">
        <f aca="false">HYPERLINK("https://www.ncbi.nlm.nih.gov/nuccore/CP000058.1?report=graph&amp;tracks=[key:gene_model_track,Options:GeneOnly]&amp;mk=5261880:5261899|offset_21|444444,5261902:5261921|offset_43|00cc00,5261932:5261951|offset_73|444444,5261972:5261991|offset_113|444444&amp;v=5261679:5262191&amp;c=444444", "offset 43")</f>
        <v>offset 43</v>
      </c>
    </row>
    <row r="17095" customFormat="false" ht="12.8" hidden="false" customHeight="false" outlineLevel="0" collapsed="false">
      <c r="A17095" s="0" t="s">
        <v>12</v>
      </c>
      <c r="B17095" s="0" t="n">
        <v>5261931</v>
      </c>
      <c r="C17095" s="0" t="n">
        <v>5261951</v>
      </c>
      <c r="D17095" s="0" t="s">
        <v>56842</v>
      </c>
      <c r="E17095" s="0" t="s">
        <v>75</v>
      </c>
      <c r="F17095" s="0" t="s">
        <v>15</v>
      </c>
      <c r="G17095" s="0" t="s">
        <v>16</v>
      </c>
      <c r="H17095" s="0" t="n">
        <v>73</v>
      </c>
      <c r="I17095" s="0" t="s">
        <v>56849</v>
      </c>
      <c r="J17095" s="0" t="s">
        <v>56850</v>
      </c>
      <c r="K17095" s="0" t="s">
        <v>56851</v>
      </c>
      <c r="L17095" s="0" t="str">
        <f aca="false">HYPERLINK("https://www.ncbi.nlm.nih.gov/nuccore/CP000058.1?report=graph&amp;tracks=[key:gene_model_track,Options:GeneOnly]&amp;mk=5261880:5261899|offset_21|444444,5261902:5261921|offset_43|444444,5261932:5261951|offset_73|00cc00,5261972:5261991|offset_113|444444&amp;v=5261679:5262191&amp;c=444444", "offset 73")</f>
        <v>offset 73</v>
      </c>
    </row>
    <row r="17096" customFormat="false" ht="12.8" hidden="false" customHeight="false" outlineLevel="0" collapsed="false">
      <c r="A17096" s="0" t="s">
        <v>12</v>
      </c>
      <c r="B17096" s="0" t="n">
        <v>5261971</v>
      </c>
      <c r="C17096" s="0" t="n">
        <v>5261991</v>
      </c>
      <c r="D17096" s="0" t="s">
        <v>56842</v>
      </c>
      <c r="E17096" s="0" t="s">
        <v>75</v>
      </c>
      <c r="F17096" s="0" t="s">
        <v>15</v>
      </c>
      <c r="G17096" s="0" t="s">
        <v>20</v>
      </c>
      <c r="H17096" s="0" t="n">
        <v>113</v>
      </c>
      <c r="I17096" s="0" t="s">
        <v>56852</v>
      </c>
      <c r="J17096" s="0" t="s">
        <v>56853</v>
      </c>
      <c r="K17096" s="0" t="s">
        <v>56854</v>
      </c>
      <c r="L17096" s="0" t="str">
        <f aca="false">HYPERLINK("https://www.ncbi.nlm.nih.gov/nuccore/CP000058.1?report=graph&amp;tracks=[key:gene_model_track,Options:GeneOnly]&amp;mk=5261880:5261899|offset_21|444444,5261902:5261921|offset_43|444444,5261932:5261951|offset_73|444444,5261972:5261991|offset_113|00cc00&amp;v=5261679:5262191&amp;c=444444", "offset 113")</f>
        <v>offset 113</v>
      </c>
    </row>
    <row r="17097" customFormat="false" ht="12.8" hidden="false" customHeight="false" outlineLevel="0" collapsed="false">
      <c r="A17097" s="0" t="s">
        <v>12</v>
      </c>
      <c r="B17097" s="0" t="n">
        <v>5262972</v>
      </c>
      <c r="C17097" s="0" t="n">
        <v>5262992</v>
      </c>
      <c r="D17097" s="0" t="s">
        <v>56855</v>
      </c>
      <c r="E17097" s="0" t="s">
        <v>75</v>
      </c>
      <c r="F17097" s="0" t="s">
        <v>15</v>
      </c>
      <c r="G17097" s="0" t="s">
        <v>20</v>
      </c>
      <c r="H17097" s="0" t="n">
        <v>14</v>
      </c>
      <c r="I17097" s="0" t="s">
        <v>56856</v>
      </c>
      <c r="J17097" s="0" t="s">
        <v>56857</v>
      </c>
      <c r="K17097" s="0" t="s">
        <v>56858</v>
      </c>
      <c r="L17097" s="0" t="str">
        <f aca="false">HYPERLINK("https://www.ncbi.nlm.nih.gov/nuccore/CP000058.1?report=graph&amp;tracks=[key:gene_model_track,Options:GeneOnly]&amp;mk=5262973:5262992|offset_14|00cc00,5262996:5263015|offset_37|444444,5263016:5263035|offset_57|444444,5263072:5263091|offset_113|444444&amp;v=5262772:5263291&amp;c=444444", "offset 14")</f>
        <v>offset 14</v>
      </c>
    </row>
    <row r="17098" customFormat="false" ht="12.8" hidden="false" customHeight="false" outlineLevel="0" collapsed="false">
      <c r="A17098" s="0" t="s">
        <v>12</v>
      </c>
      <c r="B17098" s="0" t="n">
        <v>5262995</v>
      </c>
      <c r="C17098" s="0" t="n">
        <v>5263015</v>
      </c>
      <c r="D17098" s="0" t="s">
        <v>56855</v>
      </c>
      <c r="E17098" s="0" t="s">
        <v>75</v>
      </c>
      <c r="F17098" s="0" t="s">
        <v>15</v>
      </c>
      <c r="G17098" s="0" t="s">
        <v>32</v>
      </c>
      <c r="H17098" s="0" t="n">
        <v>37</v>
      </c>
      <c r="I17098" s="0" t="s">
        <v>56859</v>
      </c>
      <c r="J17098" s="0" t="s">
        <v>56860</v>
      </c>
      <c r="K17098" s="0" t="s">
        <v>56861</v>
      </c>
      <c r="L17098" s="0" t="str">
        <f aca="false">HYPERLINK("https://www.ncbi.nlm.nih.gov/nuccore/CP000058.1?report=graph&amp;tracks=[key:gene_model_track,Options:GeneOnly]&amp;mk=5262973:5262992|offset_14|444444,5262996:5263015|offset_37|00cc00,5263016:5263035|offset_57|444444,5263072:5263091|offset_113|444444&amp;v=5262772:5263291&amp;c=444444", "offset 37")</f>
        <v>offset 37</v>
      </c>
    </row>
    <row r="17099" customFormat="false" ht="12.8" hidden="false" customHeight="false" outlineLevel="0" collapsed="false">
      <c r="A17099" s="0" t="s">
        <v>12</v>
      </c>
      <c r="B17099" s="0" t="n">
        <v>5263015</v>
      </c>
      <c r="C17099" s="0" t="n">
        <v>5263035</v>
      </c>
      <c r="D17099" s="0" t="s">
        <v>56855</v>
      </c>
      <c r="E17099" s="0" t="s">
        <v>75</v>
      </c>
      <c r="F17099" s="0" t="s">
        <v>15</v>
      </c>
      <c r="G17099" s="0" t="s">
        <v>36</v>
      </c>
      <c r="H17099" s="0" t="n">
        <v>57</v>
      </c>
      <c r="I17099" s="0" t="s">
        <v>56862</v>
      </c>
      <c r="J17099" s="0" t="s">
        <v>56863</v>
      </c>
      <c r="K17099" s="0" t="s">
        <v>56864</v>
      </c>
      <c r="L17099" s="0" t="str">
        <f aca="false">HYPERLINK("https://www.ncbi.nlm.nih.gov/nuccore/CP000058.1?report=graph&amp;tracks=[key:gene_model_track,Options:GeneOnly]&amp;mk=5262973:5262992|offset_14|444444,5262996:5263015|offset_37|444444,5263016:5263035|offset_57|00cc00,5263072:5263091|offset_113|444444&amp;v=5262772:5263291&amp;c=444444", "offset 57")</f>
        <v>offset 57</v>
      </c>
    </row>
    <row r="17100" customFormat="false" ht="12.8" hidden="false" customHeight="false" outlineLevel="0" collapsed="false">
      <c r="A17100" s="0" t="s">
        <v>12</v>
      </c>
      <c r="B17100" s="0" t="n">
        <v>5263071</v>
      </c>
      <c r="C17100" s="0" t="n">
        <v>5263091</v>
      </c>
      <c r="D17100" s="0" t="s">
        <v>56855</v>
      </c>
      <c r="E17100" s="0" t="s">
        <v>75</v>
      </c>
      <c r="F17100" s="0" t="s">
        <v>15</v>
      </c>
      <c r="G17100" s="0" t="s">
        <v>20</v>
      </c>
      <c r="H17100" s="0" t="n">
        <v>113</v>
      </c>
      <c r="I17100" s="0" t="s">
        <v>56865</v>
      </c>
      <c r="J17100" s="0" t="s">
        <v>56866</v>
      </c>
      <c r="K17100" s="0" t="s">
        <v>56867</v>
      </c>
      <c r="L17100" s="0" t="str">
        <f aca="false">HYPERLINK("https://www.ncbi.nlm.nih.gov/nuccore/CP000058.1?report=graph&amp;tracks=[key:gene_model_track,Options:GeneOnly]&amp;mk=5262973:5262992|offset_14|444444,5262996:5263015|offset_37|444444,5263016:5263035|offset_57|444444,5263072:5263091|offset_113|00cc00&amp;v=5262772:5263291&amp;c=444444", "offset 113")</f>
        <v>offset 113</v>
      </c>
    </row>
    <row r="17101" customFormat="false" ht="12.8" hidden="false" customHeight="false" outlineLevel="0" collapsed="false">
      <c r="A17101" s="0" t="s">
        <v>12</v>
      </c>
      <c r="B17101" s="0" t="n">
        <v>5264131</v>
      </c>
      <c r="C17101" s="0" t="n">
        <v>5264151</v>
      </c>
      <c r="D17101" s="0" t="s">
        <v>56868</v>
      </c>
      <c r="E17101" s="0" t="s">
        <v>75</v>
      </c>
      <c r="F17101" s="0" t="s">
        <v>15</v>
      </c>
      <c r="G17101" s="0" t="s">
        <v>32</v>
      </c>
      <c r="H17101" s="0" t="n">
        <v>7</v>
      </c>
      <c r="I17101" s="0" t="s">
        <v>56869</v>
      </c>
      <c r="J17101" s="0" t="s">
        <v>56870</v>
      </c>
      <c r="K17101" s="0" t="s">
        <v>56871</v>
      </c>
      <c r="L17101" s="0" t="str">
        <f aca="false">HYPERLINK("https://www.ncbi.nlm.nih.gov/nuccore/CP000058.1?report=graph&amp;tracks=[key:gene_model_track,Options:GeneOnly]&amp;mk=5264132:5264151|offset_7|00cc00,5264175:5264194|offset_50|444444,5264204:5264223|offset_79|444444,5264225:5264244|offset_100|444444&amp;v=5263931:5264444&amp;c=444444", "offset 7")</f>
        <v>offset 7</v>
      </c>
    </row>
    <row r="17102" customFormat="false" ht="12.8" hidden="false" customHeight="false" outlineLevel="0" collapsed="false">
      <c r="A17102" s="0" t="s">
        <v>12</v>
      </c>
      <c r="B17102" s="0" t="n">
        <v>5264174</v>
      </c>
      <c r="C17102" s="0" t="n">
        <v>5264194</v>
      </c>
      <c r="D17102" s="0" t="s">
        <v>56868</v>
      </c>
      <c r="E17102" s="0" t="s">
        <v>75</v>
      </c>
      <c r="F17102" s="0" t="s">
        <v>15</v>
      </c>
      <c r="G17102" s="0" t="s">
        <v>20</v>
      </c>
      <c r="H17102" s="0" t="n">
        <v>50</v>
      </c>
      <c r="I17102" s="0" t="s">
        <v>56872</v>
      </c>
      <c r="J17102" s="0" t="s">
        <v>56873</v>
      </c>
      <c r="K17102" s="0" t="s">
        <v>56874</v>
      </c>
      <c r="L17102" s="0" t="str">
        <f aca="false">HYPERLINK("https://www.ncbi.nlm.nih.gov/nuccore/CP000058.1?report=graph&amp;tracks=[key:gene_model_track,Options:GeneOnly]&amp;mk=5264132:5264151|offset_7|444444,5264175:5264194|offset_50|00cc00,5264204:5264223|offset_79|444444,5264225:5264244|offset_100|444444&amp;v=5263931:5264444&amp;c=444444", "offset 50")</f>
        <v>offset 50</v>
      </c>
    </row>
    <row r="17103" customFormat="false" ht="12.8" hidden="false" customHeight="false" outlineLevel="0" collapsed="false">
      <c r="A17103" s="0" t="s">
        <v>12</v>
      </c>
      <c r="B17103" s="0" t="n">
        <v>5264203</v>
      </c>
      <c r="C17103" s="0" t="n">
        <v>5264223</v>
      </c>
      <c r="D17103" s="0" t="s">
        <v>56868</v>
      </c>
      <c r="E17103" s="0" t="s">
        <v>75</v>
      </c>
      <c r="F17103" s="0" t="s">
        <v>15</v>
      </c>
      <c r="G17103" s="0" t="s">
        <v>16</v>
      </c>
      <c r="H17103" s="0" t="n">
        <v>79</v>
      </c>
      <c r="I17103" s="0" t="s">
        <v>56875</v>
      </c>
      <c r="J17103" s="0" t="s">
        <v>56876</v>
      </c>
      <c r="K17103" s="0" t="s">
        <v>56877</v>
      </c>
      <c r="L17103" s="0" t="str">
        <f aca="false">HYPERLINK("https://www.ncbi.nlm.nih.gov/nuccore/CP000058.1?report=graph&amp;tracks=[key:gene_model_track,Options:GeneOnly]&amp;mk=5264132:5264151|offset_7|444444,5264175:5264194|offset_50|444444,5264204:5264223|offset_79|00cc00,5264225:5264244|offset_100|444444&amp;v=5263931:5264444&amp;c=444444", "offset 79")</f>
        <v>offset 79</v>
      </c>
    </row>
    <row r="17104" customFormat="false" ht="12.8" hidden="false" customHeight="false" outlineLevel="0" collapsed="false">
      <c r="A17104" s="0" t="s">
        <v>12</v>
      </c>
      <c r="B17104" s="0" t="n">
        <v>5264224</v>
      </c>
      <c r="C17104" s="0" t="n">
        <v>5264244</v>
      </c>
      <c r="D17104" s="0" t="s">
        <v>56868</v>
      </c>
      <c r="E17104" s="0" t="s">
        <v>75</v>
      </c>
      <c r="F17104" s="0" t="s">
        <v>15</v>
      </c>
      <c r="G17104" s="0" t="s">
        <v>16</v>
      </c>
      <c r="H17104" s="0" t="n">
        <v>100</v>
      </c>
      <c r="I17104" s="0" t="s">
        <v>56878</v>
      </c>
      <c r="J17104" s="0" t="s">
        <v>56879</v>
      </c>
      <c r="K17104" s="0" t="s">
        <v>56880</v>
      </c>
      <c r="L17104" s="0" t="str">
        <f aca="false">HYPERLINK("https://www.ncbi.nlm.nih.gov/nuccore/CP000058.1?report=graph&amp;tracks=[key:gene_model_track,Options:GeneOnly]&amp;mk=5264132:5264151|offset_7|444444,5264175:5264194|offset_50|444444,5264204:5264223|offset_79|444444,5264225:5264244|offset_100|00cc00&amp;v=5263931:5264444&amp;c=444444", "offset 100")</f>
        <v>offset 100</v>
      </c>
    </row>
    <row r="17105" customFormat="false" ht="12.8" hidden="false" customHeight="false" outlineLevel="0" collapsed="false">
      <c r="A17105" s="0" t="s">
        <v>12</v>
      </c>
      <c r="B17105" s="0" t="n">
        <v>5264937</v>
      </c>
      <c r="C17105" s="0" t="n">
        <v>5264957</v>
      </c>
      <c r="D17105" s="0" t="s">
        <v>56881</v>
      </c>
      <c r="E17105" s="0" t="s">
        <v>75</v>
      </c>
      <c r="F17105" s="0" t="s">
        <v>15</v>
      </c>
      <c r="G17105" s="0" t="s">
        <v>36</v>
      </c>
      <c r="H17105" s="0" t="n">
        <v>0</v>
      </c>
      <c r="I17105" s="0" t="s">
        <v>56882</v>
      </c>
      <c r="J17105" s="0" t="s">
        <v>56883</v>
      </c>
      <c r="K17105" s="0" t="s">
        <v>56884</v>
      </c>
      <c r="L17105" s="0" t="str">
        <f aca="false">HYPERLINK("https://www.ncbi.nlm.nih.gov/nuccore/CP000058.1?report=graph&amp;tracks=[key:gene_model_track,Options:GeneOnly]&amp;mk=5264938:5264957|offset_0|00cc00,5264971:5264990|offset_33|444444,5264997:5265016|offset_59|444444,5265053:5265072|offset_115|444444&amp;v=5264737:5265272&amp;c=444444", "offset 0")</f>
        <v>offset 0</v>
      </c>
    </row>
    <row r="17106" customFormat="false" ht="12.8" hidden="false" customHeight="false" outlineLevel="0" collapsed="false">
      <c r="A17106" s="0" t="s">
        <v>12</v>
      </c>
      <c r="B17106" s="0" t="n">
        <v>5264970</v>
      </c>
      <c r="C17106" s="0" t="n">
        <v>5264990</v>
      </c>
      <c r="D17106" s="0" t="s">
        <v>56881</v>
      </c>
      <c r="E17106" s="0" t="s">
        <v>75</v>
      </c>
      <c r="F17106" s="0" t="s">
        <v>15</v>
      </c>
      <c r="G17106" s="0" t="s">
        <v>36</v>
      </c>
      <c r="H17106" s="0" t="n">
        <v>33</v>
      </c>
      <c r="I17106" s="0" t="s">
        <v>56885</v>
      </c>
      <c r="J17106" s="0" t="s">
        <v>56886</v>
      </c>
      <c r="K17106" s="0" t="s">
        <v>56887</v>
      </c>
      <c r="L17106" s="0" t="str">
        <f aca="false">HYPERLINK("https://www.ncbi.nlm.nih.gov/nuccore/CP000058.1?report=graph&amp;tracks=[key:gene_model_track,Options:GeneOnly]&amp;mk=5264938:5264957|offset_0|444444,5264971:5264990|offset_33|00cc00,5264997:5265016|offset_59|444444,5265053:5265072|offset_115|444444&amp;v=5264737:5265272&amp;c=444444", "offset 33")</f>
        <v>offset 33</v>
      </c>
    </row>
    <row r="17107" customFormat="false" ht="12.8" hidden="false" customHeight="false" outlineLevel="0" collapsed="false">
      <c r="A17107" s="0" t="s">
        <v>12</v>
      </c>
      <c r="B17107" s="0" t="n">
        <v>5264996</v>
      </c>
      <c r="C17107" s="0" t="n">
        <v>5265016</v>
      </c>
      <c r="D17107" s="0" t="s">
        <v>56881</v>
      </c>
      <c r="E17107" s="0" t="s">
        <v>75</v>
      </c>
      <c r="F17107" s="0" t="s">
        <v>15</v>
      </c>
      <c r="G17107" s="0" t="s">
        <v>20</v>
      </c>
      <c r="H17107" s="0" t="n">
        <v>59</v>
      </c>
      <c r="I17107" s="0" t="s">
        <v>56888</v>
      </c>
      <c r="J17107" s="0" t="s">
        <v>56889</v>
      </c>
      <c r="K17107" s="0" t="s">
        <v>56890</v>
      </c>
      <c r="L17107" s="0" t="str">
        <f aca="false">HYPERLINK("https://www.ncbi.nlm.nih.gov/nuccore/CP000058.1?report=graph&amp;tracks=[key:gene_model_track,Options:GeneOnly]&amp;mk=5264938:5264957|offset_0|444444,5264971:5264990|offset_33|444444,5264997:5265016|offset_59|00cc00,5265053:5265072|offset_115|444444&amp;v=5264737:5265272&amp;c=444444", "offset 59")</f>
        <v>offset 59</v>
      </c>
    </row>
    <row r="17108" customFormat="false" ht="12.8" hidden="false" customHeight="false" outlineLevel="0" collapsed="false">
      <c r="A17108" s="0" t="s">
        <v>12</v>
      </c>
      <c r="B17108" s="0" t="n">
        <v>5265052</v>
      </c>
      <c r="C17108" s="0" t="n">
        <v>5265072</v>
      </c>
      <c r="D17108" s="0" t="s">
        <v>56881</v>
      </c>
      <c r="E17108" s="0" t="s">
        <v>75</v>
      </c>
      <c r="F17108" s="0" t="s">
        <v>15</v>
      </c>
      <c r="G17108" s="0" t="s">
        <v>16</v>
      </c>
      <c r="H17108" s="0" t="n">
        <v>115</v>
      </c>
      <c r="I17108" s="0" t="s">
        <v>56891</v>
      </c>
      <c r="J17108" s="0" t="s">
        <v>56892</v>
      </c>
      <c r="K17108" s="0" t="s">
        <v>56893</v>
      </c>
      <c r="L17108" s="0" t="str">
        <f aca="false">HYPERLINK("https://www.ncbi.nlm.nih.gov/nuccore/CP000058.1?report=graph&amp;tracks=[key:gene_model_track,Options:GeneOnly]&amp;mk=5264938:5264957|offset_0|444444,5264971:5264990|offset_33|444444,5264997:5265016|offset_59|444444,5265053:5265072|offset_115|00cc00&amp;v=5264737:5265272&amp;c=444444", "offset 115")</f>
        <v>offset 115</v>
      </c>
    </row>
    <row r="17109" customFormat="false" ht="12.8" hidden="false" customHeight="false" outlineLevel="0" collapsed="false">
      <c r="A17109" s="0" t="s">
        <v>12</v>
      </c>
      <c r="B17109" s="0" t="n">
        <v>5267404</v>
      </c>
      <c r="C17109" s="0" t="n">
        <v>5267424</v>
      </c>
      <c r="D17109" s="0" t="s">
        <v>56894</v>
      </c>
      <c r="E17109" s="0" t="s">
        <v>75</v>
      </c>
      <c r="F17109" s="0" t="s">
        <v>90</v>
      </c>
      <c r="G17109" s="0" t="s">
        <v>20</v>
      </c>
      <c r="H17109" s="0" t="n">
        <v>64</v>
      </c>
      <c r="I17109" s="0" t="s">
        <v>56895</v>
      </c>
      <c r="J17109" s="0" t="s">
        <v>56896</v>
      </c>
      <c r="K17109" s="0" t="s">
        <v>56897</v>
      </c>
      <c r="L17109" s="0" t="str">
        <f aca="false">HYPERLINK("https://www.ncbi.nlm.nih.gov/nuccore/CP000058.1?report=graph&amp;tracks=[key:gene_model_track,Options:GeneOnly]&amp;mk=5267405:5267424|offset_64|00cc00,5267318:5267337|offset_151|444444,5267294:5267313|offset_175|444444,5267266:5267285|offset_203|444444&amp;v=5267204:5267485&amp;c=444444", "offset 64")</f>
        <v>offset 64</v>
      </c>
    </row>
    <row r="17110" customFormat="false" ht="12.8" hidden="false" customHeight="false" outlineLevel="0" collapsed="false">
      <c r="A17110" s="0" t="s">
        <v>12</v>
      </c>
      <c r="B17110" s="0" t="n">
        <v>5267317</v>
      </c>
      <c r="C17110" s="0" t="n">
        <v>5267337</v>
      </c>
      <c r="D17110" s="0" t="s">
        <v>56894</v>
      </c>
      <c r="E17110" s="0" t="s">
        <v>75</v>
      </c>
      <c r="F17110" s="0" t="s">
        <v>90</v>
      </c>
      <c r="G17110" s="0" t="s">
        <v>20</v>
      </c>
      <c r="H17110" s="0" t="n">
        <v>151</v>
      </c>
      <c r="I17110" s="0" t="s">
        <v>56898</v>
      </c>
      <c r="J17110" s="0" t="s">
        <v>56899</v>
      </c>
      <c r="K17110" s="0" t="s">
        <v>56900</v>
      </c>
      <c r="L17110" s="0" t="str">
        <f aca="false">HYPERLINK("https://www.ncbi.nlm.nih.gov/nuccore/CP000058.1?report=graph&amp;tracks=[key:gene_model_track,Options:GeneOnly]&amp;mk=5267405:5267424|offset_64|444444,5267318:5267337|offset_151|00cc00,5267294:5267313|offset_175|444444,5267266:5267285|offset_203|444444&amp;v=5267204:5267485&amp;c=444444", "offset 151")</f>
        <v>offset 151</v>
      </c>
    </row>
    <row r="17111" customFormat="false" ht="12.8" hidden="false" customHeight="false" outlineLevel="0" collapsed="false">
      <c r="A17111" s="0" t="s">
        <v>12</v>
      </c>
      <c r="B17111" s="0" t="n">
        <v>5267293</v>
      </c>
      <c r="C17111" s="0" t="n">
        <v>5267313</v>
      </c>
      <c r="D17111" s="0" t="s">
        <v>56894</v>
      </c>
      <c r="E17111" s="0" t="s">
        <v>75</v>
      </c>
      <c r="F17111" s="0" t="s">
        <v>90</v>
      </c>
      <c r="G17111" s="0" t="s">
        <v>16</v>
      </c>
      <c r="H17111" s="0" t="n">
        <v>175</v>
      </c>
      <c r="I17111" s="0" t="s">
        <v>56901</v>
      </c>
      <c r="J17111" s="0" t="s">
        <v>56902</v>
      </c>
      <c r="K17111" s="0" t="s">
        <v>56903</v>
      </c>
      <c r="L17111" s="0" t="str">
        <f aca="false">HYPERLINK("https://www.ncbi.nlm.nih.gov/nuccore/CP000058.1?report=graph&amp;tracks=[key:gene_model_track,Options:GeneOnly]&amp;mk=5267405:5267424|offset_64|444444,5267318:5267337|offset_151|444444,5267294:5267313|offset_175|00cc00,5267266:5267285|offset_203|444444&amp;v=5267204:5267485&amp;c=444444", "offset 175")</f>
        <v>offset 175</v>
      </c>
    </row>
    <row r="17112" customFormat="false" ht="12.8" hidden="false" customHeight="false" outlineLevel="0" collapsed="false">
      <c r="A17112" s="0" t="s">
        <v>12</v>
      </c>
      <c r="B17112" s="0" t="n">
        <v>5267265</v>
      </c>
      <c r="C17112" s="0" t="n">
        <v>5267285</v>
      </c>
      <c r="D17112" s="0" t="s">
        <v>56894</v>
      </c>
      <c r="E17112" s="0" t="s">
        <v>75</v>
      </c>
      <c r="F17112" s="0" t="s">
        <v>90</v>
      </c>
      <c r="G17112" s="0" t="s">
        <v>36</v>
      </c>
      <c r="H17112" s="0" t="n">
        <v>203</v>
      </c>
      <c r="I17112" s="0" t="s">
        <v>56904</v>
      </c>
      <c r="J17112" s="0" t="s">
        <v>56905</v>
      </c>
      <c r="K17112" s="0" t="s">
        <v>56906</v>
      </c>
      <c r="L17112" s="0" t="str">
        <f aca="false">HYPERLINK("https://www.ncbi.nlm.nih.gov/nuccore/CP000058.1?report=graph&amp;tracks=[key:gene_model_track,Options:GeneOnly]&amp;mk=5267405:5267424|offset_64|444444,5267318:5267337|offset_151|444444,5267294:5267313|offset_175|444444,5267266:5267285|offset_203|00cc00&amp;v=5267204:5267485&amp;c=444444", "offset 203")</f>
        <v>offset 203</v>
      </c>
    </row>
    <row r="17113" customFormat="false" ht="12.8" hidden="false" customHeight="false" outlineLevel="0" collapsed="false">
      <c r="A17113" s="0" t="s">
        <v>12</v>
      </c>
      <c r="B17113" s="0" t="n">
        <v>5267734</v>
      </c>
      <c r="C17113" s="0" t="n">
        <v>5267754</v>
      </c>
      <c r="D17113" s="0" t="s">
        <v>56907</v>
      </c>
      <c r="E17113" s="0" t="s">
        <v>56908</v>
      </c>
      <c r="F17113" s="0" t="s">
        <v>15</v>
      </c>
      <c r="G17113" s="0" t="s">
        <v>16</v>
      </c>
      <c r="H17113" s="0" t="n">
        <v>1</v>
      </c>
      <c r="I17113" s="0" t="s">
        <v>56909</v>
      </c>
      <c r="J17113" s="0" t="s">
        <v>56910</v>
      </c>
      <c r="K17113" s="0" t="s">
        <v>56911</v>
      </c>
      <c r="L17113" s="0" t="str">
        <f aca="false">HYPERLINK("https://www.ncbi.nlm.nih.gov/nuccore/CP000058.1?report=graph&amp;tracks=[key:gene_model_track,Options:GeneOnly]&amp;mk=5267735:5267754|offset_1|00cc00,5267755:5267774|offset_21|444444,5267775:5267794|offset_41|444444,5267798:5267817|offset_64|444444&amp;v=5267534:5268017&amp;c=444444", "offset 1")</f>
        <v>offset 1</v>
      </c>
    </row>
    <row r="17114" customFormat="false" ht="12.8" hidden="false" customHeight="false" outlineLevel="0" collapsed="false">
      <c r="A17114" s="0" t="s">
        <v>12</v>
      </c>
      <c r="B17114" s="0" t="n">
        <v>5267754</v>
      </c>
      <c r="C17114" s="0" t="n">
        <v>5267774</v>
      </c>
      <c r="D17114" s="0" t="s">
        <v>56907</v>
      </c>
      <c r="E17114" s="0" t="s">
        <v>56908</v>
      </c>
      <c r="F17114" s="0" t="s">
        <v>15</v>
      </c>
      <c r="G17114" s="0" t="s">
        <v>16</v>
      </c>
      <c r="H17114" s="0" t="n">
        <v>21</v>
      </c>
      <c r="I17114" s="0" t="s">
        <v>56912</v>
      </c>
      <c r="J17114" s="0" t="s">
        <v>56913</v>
      </c>
      <c r="K17114" s="0" t="s">
        <v>56914</v>
      </c>
      <c r="L17114" s="0" t="str">
        <f aca="false">HYPERLINK("https://www.ncbi.nlm.nih.gov/nuccore/CP000058.1?report=graph&amp;tracks=[key:gene_model_track,Options:GeneOnly]&amp;mk=5267735:5267754|offset_1|444444,5267755:5267774|offset_21|00cc00,5267775:5267794|offset_41|444444,5267798:5267817|offset_64|444444&amp;v=5267534:5268017&amp;c=444444", "offset 21")</f>
        <v>offset 21</v>
      </c>
    </row>
    <row r="17115" customFormat="false" ht="12.8" hidden="false" customHeight="false" outlineLevel="0" collapsed="false">
      <c r="A17115" s="0" t="s">
        <v>12</v>
      </c>
      <c r="B17115" s="0" t="n">
        <v>5267774</v>
      </c>
      <c r="C17115" s="0" t="n">
        <v>5267794</v>
      </c>
      <c r="D17115" s="0" t="s">
        <v>56907</v>
      </c>
      <c r="E17115" s="0" t="s">
        <v>56908</v>
      </c>
      <c r="F17115" s="0" t="s">
        <v>15</v>
      </c>
      <c r="G17115" s="0" t="s">
        <v>20</v>
      </c>
      <c r="H17115" s="0" t="n">
        <v>41</v>
      </c>
      <c r="I17115" s="0" t="s">
        <v>56915</v>
      </c>
      <c r="J17115" s="0" t="s">
        <v>56916</v>
      </c>
      <c r="K17115" s="0" t="s">
        <v>56917</v>
      </c>
      <c r="L17115" s="0" t="str">
        <f aca="false">HYPERLINK("https://www.ncbi.nlm.nih.gov/nuccore/CP000058.1?report=graph&amp;tracks=[key:gene_model_track,Options:GeneOnly]&amp;mk=5267735:5267754|offset_1|444444,5267755:5267774|offset_21|444444,5267775:5267794|offset_41|00cc00,5267798:5267817|offset_64|444444&amp;v=5267534:5268017&amp;c=444444", "offset 41")</f>
        <v>offset 41</v>
      </c>
    </row>
    <row r="17116" customFormat="false" ht="12.8" hidden="false" customHeight="false" outlineLevel="0" collapsed="false">
      <c r="A17116" s="0" t="s">
        <v>12</v>
      </c>
      <c r="B17116" s="0" t="n">
        <v>5267797</v>
      </c>
      <c r="C17116" s="0" t="n">
        <v>5267817</v>
      </c>
      <c r="D17116" s="0" t="s">
        <v>56907</v>
      </c>
      <c r="E17116" s="0" t="s">
        <v>56908</v>
      </c>
      <c r="F17116" s="0" t="s">
        <v>15</v>
      </c>
      <c r="G17116" s="0" t="s">
        <v>16</v>
      </c>
      <c r="H17116" s="0" t="n">
        <v>64</v>
      </c>
      <c r="I17116" s="0" t="s">
        <v>56918</v>
      </c>
      <c r="J17116" s="0" t="s">
        <v>56919</v>
      </c>
      <c r="K17116" s="0" t="s">
        <v>56920</v>
      </c>
      <c r="L17116" s="0" t="str">
        <f aca="false">HYPERLINK("https://www.ncbi.nlm.nih.gov/nuccore/CP000058.1?report=graph&amp;tracks=[key:gene_model_track,Options:GeneOnly]&amp;mk=5267735:5267754|offset_1|444444,5267755:5267774|offset_21|444444,5267775:5267794|offset_41|444444,5267798:5267817|offset_64|00cc00&amp;v=5267534:5268017&amp;c=444444", "offset 64")</f>
        <v>offset 64</v>
      </c>
    </row>
    <row r="17117" customFormat="false" ht="12.8" hidden="false" customHeight="false" outlineLevel="0" collapsed="false">
      <c r="A17117" s="0" t="s">
        <v>12</v>
      </c>
      <c r="B17117" s="0" t="n">
        <v>5268688</v>
      </c>
      <c r="C17117" s="0" t="n">
        <v>5268708</v>
      </c>
      <c r="D17117" s="0" t="s">
        <v>56921</v>
      </c>
      <c r="E17117" s="0" t="s">
        <v>56922</v>
      </c>
      <c r="F17117" s="0" t="s">
        <v>15</v>
      </c>
      <c r="G17117" s="0" t="s">
        <v>16</v>
      </c>
      <c r="H17117" s="0" t="n">
        <v>19</v>
      </c>
      <c r="I17117" s="0" t="s">
        <v>56923</v>
      </c>
      <c r="J17117" s="0" t="s">
        <v>56924</v>
      </c>
      <c r="K17117" s="0" t="s">
        <v>56925</v>
      </c>
      <c r="L17117" s="0" t="str">
        <f aca="false">HYPERLINK("https://www.ncbi.nlm.nih.gov/nuccore/CP000058.1?report=graph&amp;tracks=[key:gene_model_track,Options:GeneOnly]&amp;mk=5268689:5268708|offset_19|00cc00,5268728:5268747|offset_58|444444,5268761:5268780|offset_91|444444,5268786:5268805|offset_116|444444&amp;v=5268488:5269005&amp;c=444444", "offset 19")</f>
        <v>offset 19</v>
      </c>
    </row>
    <row r="17118" customFormat="false" ht="12.8" hidden="false" customHeight="false" outlineLevel="0" collapsed="false">
      <c r="A17118" s="0" t="s">
        <v>12</v>
      </c>
      <c r="B17118" s="0" t="n">
        <v>5268727</v>
      </c>
      <c r="C17118" s="0" t="n">
        <v>5268747</v>
      </c>
      <c r="D17118" s="0" t="s">
        <v>56921</v>
      </c>
      <c r="E17118" s="0" t="s">
        <v>56922</v>
      </c>
      <c r="F17118" s="0" t="s">
        <v>15</v>
      </c>
      <c r="G17118" s="0" t="s">
        <v>36</v>
      </c>
      <c r="H17118" s="0" t="n">
        <v>58</v>
      </c>
      <c r="I17118" s="0" t="s">
        <v>56926</v>
      </c>
      <c r="J17118" s="0" t="s">
        <v>56927</v>
      </c>
      <c r="K17118" s="0" t="s">
        <v>56928</v>
      </c>
      <c r="L17118" s="0" t="str">
        <f aca="false">HYPERLINK("https://www.ncbi.nlm.nih.gov/nuccore/CP000058.1?report=graph&amp;tracks=[key:gene_model_track,Options:GeneOnly]&amp;mk=5268689:5268708|offset_19|444444,5268728:5268747|offset_58|00cc00,5268761:5268780|offset_91|444444,5268786:5268805|offset_116|444444&amp;v=5268488:5269005&amp;c=444444", "offset 58")</f>
        <v>offset 58</v>
      </c>
    </row>
    <row r="17119" customFormat="false" ht="12.8" hidden="false" customHeight="false" outlineLevel="0" collapsed="false">
      <c r="A17119" s="0" t="s">
        <v>12</v>
      </c>
      <c r="B17119" s="0" t="n">
        <v>5268760</v>
      </c>
      <c r="C17119" s="0" t="n">
        <v>5268780</v>
      </c>
      <c r="D17119" s="0" t="s">
        <v>56921</v>
      </c>
      <c r="E17119" s="0" t="s">
        <v>56922</v>
      </c>
      <c r="F17119" s="0" t="s">
        <v>15</v>
      </c>
      <c r="G17119" s="0" t="s">
        <v>20</v>
      </c>
      <c r="H17119" s="0" t="n">
        <v>91</v>
      </c>
      <c r="I17119" s="0" t="s">
        <v>56929</v>
      </c>
      <c r="J17119" s="0" t="s">
        <v>56930</v>
      </c>
      <c r="K17119" s="0" t="s">
        <v>56931</v>
      </c>
      <c r="L17119" s="0" t="str">
        <f aca="false">HYPERLINK("https://www.ncbi.nlm.nih.gov/nuccore/CP000058.1?report=graph&amp;tracks=[key:gene_model_track,Options:GeneOnly]&amp;mk=5268689:5268708|offset_19|444444,5268728:5268747|offset_58|444444,5268761:5268780|offset_91|00cc00,5268786:5268805|offset_116|444444&amp;v=5268488:5269005&amp;c=444444", "offset 91")</f>
        <v>offset 91</v>
      </c>
    </row>
    <row r="17120" customFormat="false" ht="12.8" hidden="false" customHeight="false" outlineLevel="0" collapsed="false">
      <c r="A17120" s="0" t="s">
        <v>12</v>
      </c>
      <c r="B17120" s="0" t="n">
        <v>5268785</v>
      </c>
      <c r="C17120" s="0" t="n">
        <v>5268805</v>
      </c>
      <c r="D17120" s="0" t="s">
        <v>56921</v>
      </c>
      <c r="E17120" s="0" t="s">
        <v>56922</v>
      </c>
      <c r="F17120" s="0" t="s">
        <v>15</v>
      </c>
      <c r="G17120" s="0" t="s">
        <v>16</v>
      </c>
      <c r="H17120" s="0" t="n">
        <v>116</v>
      </c>
      <c r="I17120" s="0" t="s">
        <v>56932</v>
      </c>
      <c r="J17120" s="0" t="s">
        <v>56933</v>
      </c>
      <c r="K17120" s="0" t="s">
        <v>56934</v>
      </c>
      <c r="L17120" s="0" t="str">
        <f aca="false">HYPERLINK("https://www.ncbi.nlm.nih.gov/nuccore/CP000058.1?report=graph&amp;tracks=[key:gene_model_track,Options:GeneOnly]&amp;mk=5268689:5268708|offset_19|444444,5268728:5268747|offset_58|444444,5268761:5268780|offset_91|444444,5268786:5268805|offset_116|00cc00&amp;v=5268488:5269005&amp;c=444444", "offset 116")</f>
        <v>offset 116</v>
      </c>
    </row>
    <row r="17121" customFormat="false" ht="12.8" hidden="false" customHeight="false" outlineLevel="0" collapsed="false">
      <c r="A17121" s="0" t="s">
        <v>12</v>
      </c>
      <c r="B17121" s="0" t="n">
        <v>5269648</v>
      </c>
      <c r="C17121" s="0" t="n">
        <v>5269668</v>
      </c>
      <c r="D17121" s="0" t="s">
        <v>56935</v>
      </c>
      <c r="E17121" s="0" t="s">
        <v>56936</v>
      </c>
      <c r="F17121" s="0" t="s">
        <v>15</v>
      </c>
      <c r="G17121" s="0" t="s">
        <v>32</v>
      </c>
      <c r="H17121" s="0" t="n">
        <v>8</v>
      </c>
      <c r="I17121" s="0" t="s">
        <v>56937</v>
      </c>
      <c r="J17121" s="0" t="s">
        <v>56938</v>
      </c>
      <c r="K17121" s="0" t="s">
        <v>56939</v>
      </c>
      <c r="L17121" s="0" t="str">
        <f aca="false">HYPERLINK("https://www.ncbi.nlm.nih.gov/nuccore/CP000058.1?report=graph&amp;tracks=[key:gene_model_track,Options:GeneOnly]&amp;mk=5269649:5269668|offset_8|00cc00,5269696:5269715|offset_55|444444,5269723:5269742|offset_82|444444,5269757:5269776|offset_116|444444&amp;v=5269448:5269976&amp;c=444444", "offset 8")</f>
        <v>offset 8</v>
      </c>
    </row>
    <row r="17122" customFormat="false" ht="12.8" hidden="false" customHeight="false" outlineLevel="0" collapsed="false">
      <c r="A17122" s="0" t="s">
        <v>12</v>
      </c>
      <c r="B17122" s="0" t="n">
        <v>5269695</v>
      </c>
      <c r="C17122" s="0" t="n">
        <v>5269715</v>
      </c>
      <c r="D17122" s="0" t="s">
        <v>56935</v>
      </c>
      <c r="E17122" s="0" t="s">
        <v>56936</v>
      </c>
      <c r="F17122" s="0" t="s">
        <v>15</v>
      </c>
      <c r="G17122" s="0" t="s">
        <v>16</v>
      </c>
      <c r="H17122" s="0" t="n">
        <v>55</v>
      </c>
      <c r="I17122" s="0" t="s">
        <v>56940</v>
      </c>
      <c r="J17122" s="0" t="s">
        <v>56941</v>
      </c>
      <c r="K17122" s="0" t="s">
        <v>56942</v>
      </c>
      <c r="L17122" s="0" t="str">
        <f aca="false">HYPERLINK("https://www.ncbi.nlm.nih.gov/nuccore/CP000058.1?report=graph&amp;tracks=[key:gene_model_track,Options:GeneOnly]&amp;mk=5269649:5269668|offset_8|444444,5269696:5269715|offset_55|00cc00,5269723:5269742|offset_82|444444,5269757:5269776|offset_116|444444&amp;v=5269448:5269976&amp;c=444444", "offset 55")</f>
        <v>offset 55</v>
      </c>
    </row>
    <row r="17123" customFormat="false" ht="12.8" hidden="false" customHeight="false" outlineLevel="0" collapsed="false">
      <c r="A17123" s="0" t="s">
        <v>12</v>
      </c>
      <c r="B17123" s="0" t="n">
        <v>5269722</v>
      </c>
      <c r="C17123" s="0" t="n">
        <v>5269742</v>
      </c>
      <c r="D17123" s="0" t="s">
        <v>56935</v>
      </c>
      <c r="E17123" s="0" t="s">
        <v>56936</v>
      </c>
      <c r="F17123" s="0" t="s">
        <v>15</v>
      </c>
      <c r="G17123" s="0" t="s">
        <v>16</v>
      </c>
      <c r="H17123" s="0" t="n">
        <v>82</v>
      </c>
      <c r="I17123" s="0" t="s">
        <v>56943</v>
      </c>
      <c r="J17123" s="0" t="s">
        <v>56944</v>
      </c>
      <c r="K17123" s="0" t="s">
        <v>56945</v>
      </c>
      <c r="L17123" s="0" t="str">
        <f aca="false">HYPERLINK("https://www.ncbi.nlm.nih.gov/nuccore/CP000058.1?report=graph&amp;tracks=[key:gene_model_track,Options:GeneOnly]&amp;mk=5269649:5269668|offset_8|444444,5269696:5269715|offset_55|444444,5269723:5269742|offset_82|00cc00,5269757:5269776|offset_116|444444&amp;v=5269448:5269976&amp;c=444444", "offset 82")</f>
        <v>offset 82</v>
      </c>
    </row>
    <row r="17124" customFormat="false" ht="12.8" hidden="false" customHeight="false" outlineLevel="0" collapsed="false">
      <c r="A17124" s="0" t="s">
        <v>12</v>
      </c>
      <c r="B17124" s="0" t="n">
        <v>5269756</v>
      </c>
      <c r="C17124" s="0" t="n">
        <v>5269776</v>
      </c>
      <c r="D17124" s="0" t="s">
        <v>56935</v>
      </c>
      <c r="E17124" s="0" t="s">
        <v>56936</v>
      </c>
      <c r="F17124" s="0" t="s">
        <v>15</v>
      </c>
      <c r="G17124" s="0" t="s">
        <v>20</v>
      </c>
      <c r="H17124" s="0" t="n">
        <v>116</v>
      </c>
      <c r="I17124" s="0" t="s">
        <v>56946</v>
      </c>
      <c r="J17124" s="0" t="s">
        <v>56947</v>
      </c>
      <c r="K17124" s="0" t="s">
        <v>56948</v>
      </c>
      <c r="L17124" s="0" t="str">
        <f aca="false">HYPERLINK("https://www.ncbi.nlm.nih.gov/nuccore/CP000058.1?report=graph&amp;tracks=[key:gene_model_track,Options:GeneOnly]&amp;mk=5269649:5269668|offset_8|444444,5269696:5269715|offset_55|444444,5269723:5269742|offset_82|444444,5269757:5269776|offset_116|00cc00&amp;v=5269448:5269976&amp;c=444444", "offset 116")</f>
        <v>offset 116</v>
      </c>
    </row>
    <row r="17125" customFormat="false" ht="12.8" hidden="false" customHeight="false" outlineLevel="0" collapsed="false">
      <c r="A17125" s="0" t="s">
        <v>12</v>
      </c>
      <c r="B17125" s="0" t="n">
        <v>5270613</v>
      </c>
      <c r="C17125" s="0" t="n">
        <v>5270633</v>
      </c>
      <c r="D17125" s="0" t="s">
        <v>56949</v>
      </c>
      <c r="E17125" s="0" t="s">
        <v>75</v>
      </c>
      <c r="F17125" s="0" t="s">
        <v>15</v>
      </c>
      <c r="G17125" s="0" t="s">
        <v>36</v>
      </c>
      <c r="H17125" s="0" t="n">
        <v>0</v>
      </c>
      <c r="I17125" s="0" t="s">
        <v>56950</v>
      </c>
      <c r="J17125" s="0" t="s">
        <v>56951</v>
      </c>
      <c r="K17125" s="0" t="s">
        <v>56952</v>
      </c>
      <c r="L17125" s="0" t="str">
        <f aca="false">HYPERLINK("https://www.ncbi.nlm.nih.gov/nuccore/CP000058.1?report=graph&amp;tracks=[key:gene_model_track,Options:GeneOnly]&amp;mk=5270614:5270633|offset_0|00cc00,5270679:5270698|offset_65|444444,5270699:5270718|offset_85|444444,5270724:5270743|offset_110|444444&amp;v=5270413:5270943&amp;c=444444", "offset 0")</f>
        <v>offset 0</v>
      </c>
    </row>
    <row r="17126" customFormat="false" ht="12.8" hidden="false" customHeight="false" outlineLevel="0" collapsed="false">
      <c r="A17126" s="0" t="s">
        <v>12</v>
      </c>
      <c r="B17126" s="0" t="n">
        <v>5270678</v>
      </c>
      <c r="C17126" s="0" t="n">
        <v>5270698</v>
      </c>
      <c r="D17126" s="0" t="s">
        <v>56949</v>
      </c>
      <c r="E17126" s="0" t="s">
        <v>75</v>
      </c>
      <c r="F17126" s="0" t="s">
        <v>15</v>
      </c>
      <c r="G17126" s="0" t="s">
        <v>20</v>
      </c>
      <c r="H17126" s="0" t="n">
        <v>65</v>
      </c>
      <c r="I17126" s="0" t="s">
        <v>56953</v>
      </c>
      <c r="J17126" s="0" t="s">
        <v>56954</v>
      </c>
      <c r="K17126" s="0" t="s">
        <v>56955</v>
      </c>
      <c r="L17126" s="0" t="str">
        <f aca="false">HYPERLINK("https://www.ncbi.nlm.nih.gov/nuccore/CP000058.1?report=graph&amp;tracks=[key:gene_model_track,Options:GeneOnly]&amp;mk=5270614:5270633|offset_0|444444,5270679:5270698|offset_65|00cc00,5270699:5270718|offset_85|444444,5270724:5270743|offset_110|444444&amp;v=5270413:5270943&amp;c=444444", "offset 65")</f>
        <v>offset 65</v>
      </c>
    </row>
    <row r="17127" customFormat="false" ht="12.8" hidden="false" customHeight="false" outlineLevel="0" collapsed="false">
      <c r="A17127" s="0" t="s">
        <v>12</v>
      </c>
      <c r="B17127" s="0" t="n">
        <v>5270698</v>
      </c>
      <c r="C17127" s="0" t="n">
        <v>5270718</v>
      </c>
      <c r="D17127" s="0" t="s">
        <v>56949</v>
      </c>
      <c r="E17127" s="0" t="s">
        <v>75</v>
      </c>
      <c r="F17127" s="0" t="s">
        <v>15</v>
      </c>
      <c r="G17127" s="0" t="s">
        <v>16</v>
      </c>
      <c r="H17127" s="0" t="n">
        <v>85</v>
      </c>
      <c r="I17127" s="0" t="s">
        <v>56956</v>
      </c>
      <c r="J17127" s="0" t="s">
        <v>56957</v>
      </c>
      <c r="K17127" s="0" t="s">
        <v>56958</v>
      </c>
      <c r="L17127" s="0" t="str">
        <f aca="false">HYPERLINK("https://www.ncbi.nlm.nih.gov/nuccore/CP000058.1?report=graph&amp;tracks=[key:gene_model_track,Options:GeneOnly]&amp;mk=5270614:5270633|offset_0|444444,5270679:5270698|offset_65|444444,5270699:5270718|offset_85|00cc00,5270724:5270743|offset_110|444444&amp;v=5270413:5270943&amp;c=444444", "offset 85")</f>
        <v>offset 85</v>
      </c>
    </row>
    <row r="17128" customFormat="false" ht="12.8" hidden="false" customHeight="false" outlineLevel="0" collapsed="false">
      <c r="A17128" s="0" t="s">
        <v>12</v>
      </c>
      <c r="B17128" s="0" t="n">
        <v>5270723</v>
      </c>
      <c r="C17128" s="0" t="n">
        <v>5270743</v>
      </c>
      <c r="D17128" s="0" t="s">
        <v>56949</v>
      </c>
      <c r="E17128" s="0" t="s">
        <v>75</v>
      </c>
      <c r="F17128" s="0" t="s">
        <v>15</v>
      </c>
      <c r="G17128" s="0" t="s">
        <v>36</v>
      </c>
      <c r="H17128" s="0" t="n">
        <v>110</v>
      </c>
      <c r="I17128" s="0" t="s">
        <v>56959</v>
      </c>
      <c r="J17128" s="0" t="s">
        <v>56960</v>
      </c>
      <c r="K17128" s="0" t="s">
        <v>56961</v>
      </c>
      <c r="L17128" s="0" t="str">
        <f aca="false">HYPERLINK("https://www.ncbi.nlm.nih.gov/nuccore/CP000058.1?report=graph&amp;tracks=[key:gene_model_track,Options:GeneOnly]&amp;mk=5270614:5270633|offset_0|444444,5270679:5270698|offset_65|444444,5270699:5270718|offset_85|444444,5270724:5270743|offset_110|00cc00&amp;v=5270413:5270943&amp;c=444444", "offset 110")</f>
        <v>offset 110</v>
      </c>
    </row>
    <row r="17129" customFormat="false" ht="12.8" hidden="false" customHeight="false" outlineLevel="0" collapsed="false">
      <c r="A17129" s="0" t="s">
        <v>12</v>
      </c>
      <c r="B17129" s="0" t="n">
        <v>5271688</v>
      </c>
      <c r="C17129" s="0" t="n">
        <v>5271708</v>
      </c>
      <c r="D17129" s="0" t="s">
        <v>56962</v>
      </c>
      <c r="E17129" s="0" t="s">
        <v>75</v>
      </c>
      <c r="F17129" s="0" t="s">
        <v>15</v>
      </c>
      <c r="G17129" s="0" t="s">
        <v>16</v>
      </c>
      <c r="H17129" s="0" t="n">
        <v>0</v>
      </c>
      <c r="I17129" s="0" t="s">
        <v>56963</v>
      </c>
      <c r="J17129" s="0" t="s">
        <v>56964</v>
      </c>
      <c r="K17129" s="0" t="s">
        <v>56965</v>
      </c>
      <c r="L17129" s="0" t="str">
        <f aca="false">HYPERLINK("https://www.ncbi.nlm.nih.gov/nuccore/CP000058.1?report=graph&amp;tracks=[key:gene_model_track,Options:GeneOnly]&amp;mk=5271689:5271708|offset_0|00cc00,5271716:5271735|offset_27|444444,5271738:5271757|offset_49|444444,5271765:5271784|offset_76|444444&amp;v=5271488:5271984&amp;c=444444", "offset 0")</f>
        <v>offset 0</v>
      </c>
    </row>
    <row r="17130" customFormat="false" ht="12.8" hidden="false" customHeight="false" outlineLevel="0" collapsed="false">
      <c r="A17130" s="0" t="s">
        <v>12</v>
      </c>
      <c r="B17130" s="0" t="n">
        <v>5271715</v>
      </c>
      <c r="C17130" s="0" t="n">
        <v>5271735</v>
      </c>
      <c r="D17130" s="0" t="s">
        <v>56962</v>
      </c>
      <c r="E17130" s="0" t="s">
        <v>75</v>
      </c>
      <c r="F17130" s="0" t="s">
        <v>15</v>
      </c>
      <c r="G17130" s="0" t="s">
        <v>20</v>
      </c>
      <c r="H17130" s="0" t="n">
        <v>27</v>
      </c>
      <c r="I17130" s="0" t="s">
        <v>56966</v>
      </c>
      <c r="J17130" s="0" t="s">
        <v>56967</v>
      </c>
      <c r="K17130" s="0" t="s">
        <v>56968</v>
      </c>
      <c r="L17130" s="0" t="str">
        <f aca="false">HYPERLINK("https://www.ncbi.nlm.nih.gov/nuccore/CP000058.1?report=graph&amp;tracks=[key:gene_model_track,Options:GeneOnly]&amp;mk=5271689:5271708|offset_0|444444,5271716:5271735|offset_27|00cc00,5271738:5271757|offset_49|444444,5271765:5271784|offset_76|444444&amp;v=5271488:5271984&amp;c=444444", "offset 27")</f>
        <v>offset 27</v>
      </c>
    </row>
    <row r="17131" customFormat="false" ht="12.8" hidden="false" customHeight="false" outlineLevel="0" collapsed="false">
      <c r="A17131" s="0" t="s">
        <v>12</v>
      </c>
      <c r="B17131" s="0" t="n">
        <v>5271737</v>
      </c>
      <c r="C17131" s="0" t="n">
        <v>5271757</v>
      </c>
      <c r="D17131" s="0" t="s">
        <v>56962</v>
      </c>
      <c r="E17131" s="0" t="s">
        <v>75</v>
      </c>
      <c r="F17131" s="0" t="s">
        <v>15</v>
      </c>
      <c r="G17131" s="0" t="s">
        <v>32</v>
      </c>
      <c r="H17131" s="0" t="n">
        <v>49</v>
      </c>
      <c r="I17131" s="0" t="s">
        <v>56969</v>
      </c>
      <c r="J17131" s="0" t="s">
        <v>56970</v>
      </c>
      <c r="K17131" s="0" t="s">
        <v>56971</v>
      </c>
      <c r="L17131" s="0" t="str">
        <f aca="false">HYPERLINK("https://www.ncbi.nlm.nih.gov/nuccore/CP000058.1?report=graph&amp;tracks=[key:gene_model_track,Options:GeneOnly]&amp;mk=5271689:5271708|offset_0|444444,5271716:5271735|offset_27|444444,5271738:5271757|offset_49|00cc00,5271765:5271784|offset_76|444444&amp;v=5271488:5271984&amp;c=444444", "offset 49")</f>
        <v>offset 49</v>
      </c>
    </row>
    <row r="17132" customFormat="false" ht="12.8" hidden="false" customHeight="false" outlineLevel="0" collapsed="false">
      <c r="A17132" s="0" t="s">
        <v>12</v>
      </c>
      <c r="B17132" s="0" t="n">
        <v>5271764</v>
      </c>
      <c r="C17132" s="0" t="n">
        <v>5271784</v>
      </c>
      <c r="D17132" s="0" t="s">
        <v>56962</v>
      </c>
      <c r="E17132" s="0" t="s">
        <v>75</v>
      </c>
      <c r="F17132" s="0" t="s">
        <v>15</v>
      </c>
      <c r="G17132" s="0" t="s">
        <v>32</v>
      </c>
      <c r="H17132" s="0" t="n">
        <v>76</v>
      </c>
      <c r="I17132" s="0" t="s">
        <v>56972</v>
      </c>
      <c r="J17132" s="0" t="s">
        <v>56973</v>
      </c>
      <c r="K17132" s="0" t="s">
        <v>56974</v>
      </c>
      <c r="L17132" s="0" t="str">
        <f aca="false">HYPERLINK("https://www.ncbi.nlm.nih.gov/nuccore/CP000058.1?report=graph&amp;tracks=[key:gene_model_track,Options:GeneOnly]&amp;mk=5271689:5271708|offset_0|444444,5271716:5271735|offset_27|444444,5271738:5271757|offset_49|444444,5271765:5271784|offset_76|00cc00&amp;v=5271488:5271984&amp;c=444444", "offset 76")</f>
        <v>offset 76</v>
      </c>
    </row>
    <row r="17133" customFormat="false" ht="12.8" hidden="false" customHeight="false" outlineLevel="0" collapsed="false">
      <c r="A17133" s="0" t="s">
        <v>12</v>
      </c>
      <c r="B17133" s="0" t="n">
        <v>5272866</v>
      </c>
      <c r="C17133" s="0" t="n">
        <v>5272886</v>
      </c>
      <c r="D17133" s="0" t="s">
        <v>56975</v>
      </c>
      <c r="E17133" s="0" t="s">
        <v>75</v>
      </c>
      <c r="F17133" s="0" t="s">
        <v>15</v>
      </c>
      <c r="G17133" s="0" t="s">
        <v>32</v>
      </c>
      <c r="H17133" s="0" t="n">
        <v>8</v>
      </c>
      <c r="I17133" s="0" t="s">
        <v>56976</v>
      </c>
      <c r="J17133" s="0" t="s">
        <v>56977</v>
      </c>
      <c r="K17133" s="0" t="s">
        <v>56978</v>
      </c>
      <c r="L17133" s="0" t="str">
        <f aca="false">HYPERLINK("https://www.ncbi.nlm.nih.gov/nuccore/CP000058.1?report=graph&amp;tracks=[key:gene_model_track,Options:GeneOnly]&amp;mk=5272867:5272886|offset_8|00cc00,5272890:5272909|offset_31|444444,5272917:5272936|offset_58|444444,5272950:5272969|offset_91|444444&amp;v=5272666:5273169&amp;c=444444", "offset 8")</f>
        <v>offset 8</v>
      </c>
    </row>
    <row r="17134" customFormat="false" ht="12.8" hidden="false" customHeight="false" outlineLevel="0" collapsed="false">
      <c r="A17134" s="0" t="s">
        <v>12</v>
      </c>
      <c r="B17134" s="0" t="n">
        <v>5272889</v>
      </c>
      <c r="C17134" s="0" t="n">
        <v>5272909</v>
      </c>
      <c r="D17134" s="0" t="s">
        <v>56975</v>
      </c>
      <c r="E17134" s="0" t="s">
        <v>75</v>
      </c>
      <c r="F17134" s="0" t="s">
        <v>15</v>
      </c>
      <c r="G17134" s="0" t="s">
        <v>36</v>
      </c>
      <c r="H17134" s="0" t="n">
        <v>31</v>
      </c>
      <c r="I17134" s="0" t="s">
        <v>56979</v>
      </c>
      <c r="J17134" s="0" t="s">
        <v>56980</v>
      </c>
      <c r="K17134" s="0" t="s">
        <v>56981</v>
      </c>
      <c r="L17134" s="0" t="str">
        <f aca="false">HYPERLINK("https://www.ncbi.nlm.nih.gov/nuccore/CP000058.1?report=graph&amp;tracks=[key:gene_model_track,Options:GeneOnly]&amp;mk=5272867:5272886|offset_8|444444,5272890:5272909|offset_31|00cc00,5272917:5272936|offset_58|444444,5272950:5272969|offset_91|444444&amp;v=5272666:5273169&amp;c=444444", "offset 31")</f>
        <v>offset 31</v>
      </c>
    </row>
    <row r="17135" customFormat="false" ht="12.8" hidden="false" customHeight="false" outlineLevel="0" collapsed="false">
      <c r="A17135" s="0" t="s">
        <v>12</v>
      </c>
      <c r="B17135" s="0" t="n">
        <v>5272916</v>
      </c>
      <c r="C17135" s="0" t="n">
        <v>5272936</v>
      </c>
      <c r="D17135" s="0" t="s">
        <v>56975</v>
      </c>
      <c r="E17135" s="0" t="s">
        <v>75</v>
      </c>
      <c r="F17135" s="0" t="s">
        <v>15</v>
      </c>
      <c r="G17135" s="0" t="s">
        <v>20</v>
      </c>
      <c r="H17135" s="0" t="n">
        <v>58</v>
      </c>
      <c r="I17135" s="0" t="s">
        <v>56982</v>
      </c>
      <c r="J17135" s="0" t="s">
        <v>56983</v>
      </c>
      <c r="K17135" s="0" t="s">
        <v>56984</v>
      </c>
      <c r="L17135" s="0" t="str">
        <f aca="false">HYPERLINK("https://www.ncbi.nlm.nih.gov/nuccore/CP000058.1?report=graph&amp;tracks=[key:gene_model_track,Options:GeneOnly]&amp;mk=5272867:5272886|offset_8|444444,5272890:5272909|offset_31|444444,5272917:5272936|offset_58|00cc00,5272950:5272969|offset_91|444444&amp;v=5272666:5273169&amp;c=444444", "offset 58")</f>
        <v>offset 58</v>
      </c>
    </row>
    <row r="17136" customFormat="false" ht="12.8" hidden="false" customHeight="false" outlineLevel="0" collapsed="false">
      <c r="A17136" s="0" t="s">
        <v>12</v>
      </c>
      <c r="B17136" s="0" t="n">
        <v>5272949</v>
      </c>
      <c r="C17136" s="0" t="n">
        <v>5272969</v>
      </c>
      <c r="D17136" s="0" t="s">
        <v>56975</v>
      </c>
      <c r="E17136" s="0" t="s">
        <v>75</v>
      </c>
      <c r="F17136" s="0" t="s">
        <v>15</v>
      </c>
      <c r="G17136" s="0" t="s">
        <v>20</v>
      </c>
      <c r="H17136" s="0" t="n">
        <v>91</v>
      </c>
      <c r="I17136" s="0" t="s">
        <v>56985</v>
      </c>
      <c r="J17136" s="0" t="s">
        <v>56986</v>
      </c>
      <c r="K17136" s="0" t="s">
        <v>56987</v>
      </c>
      <c r="L17136" s="0" t="str">
        <f aca="false">HYPERLINK("https://www.ncbi.nlm.nih.gov/nuccore/CP000058.1?report=graph&amp;tracks=[key:gene_model_track,Options:GeneOnly]&amp;mk=5272867:5272886|offset_8|444444,5272890:5272909|offset_31|444444,5272917:5272936|offset_58|444444,5272950:5272969|offset_91|00cc00&amp;v=5272666:5273169&amp;c=444444", "offset 91")</f>
        <v>offset 91</v>
      </c>
    </row>
    <row r="17137" customFormat="false" ht="12.8" hidden="false" customHeight="false" outlineLevel="0" collapsed="false">
      <c r="A17137" s="0" t="s">
        <v>12</v>
      </c>
      <c r="B17137" s="0" t="n">
        <v>5273924</v>
      </c>
      <c r="C17137" s="0" t="n">
        <v>5273944</v>
      </c>
      <c r="D17137" s="0" t="s">
        <v>56988</v>
      </c>
      <c r="E17137" s="0" t="s">
        <v>56989</v>
      </c>
      <c r="F17137" s="0" t="s">
        <v>15</v>
      </c>
      <c r="G17137" s="0" t="s">
        <v>36</v>
      </c>
      <c r="H17137" s="0" t="n">
        <v>22</v>
      </c>
      <c r="I17137" s="0" t="s">
        <v>56990</v>
      </c>
      <c r="J17137" s="0" t="s">
        <v>56991</v>
      </c>
      <c r="K17137" s="0" t="s">
        <v>56992</v>
      </c>
      <c r="L17137" s="0" t="str">
        <f aca="false">HYPERLINK("https://www.ncbi.nlm.nih.gov/nuccore/CP000058.1?report=graph&amp;tracks=[key:gene_model_track,Options:GeneOnly]&amp;mk=5273925:5273944|offset_22|00cc00,5273953:5273972|offset_50|444444,5273973:5273992|offset_70|444444,5274012:5274031|offset_109|444444&amp;v=5273724:5274231&amp;c=444444", "offset 22")</f>
        <v>offset 22</v>
      </c>
    </row>
    <row r="17138" customFormat="false" ht="12.8" hidden="false" customHeight="false" outlineLevel="0" collapsed="false">
      <c r="A17138" s="0" t="s">
        <v>12</v>
      </c>
      <c r="B17138" s="0" t="n">
        <v>5273952</v>
      </c>
      <c r="C17138" s="0" t="n">
        <v>5273972</v>
      </c>
      <c r="D17138" s="0" t="s">
        <v>56988</v>
      </c>
      <c r="E17138" s="0" t="s">
        <v>56989</v>
      </c>
      <c r="F17138" s="0" t="s">
        <v>15</v>
      </c>
      <c r="G17138" s="0" t="s">
        <v>20</v>
      </c>
      <c r="H17138" s="0" t="n">
        <v>50</v>
      </c>
      <c r="I17138" s="0" t="s">
        <v>56993</v>
      </c>
      <c r="J17138" s="0" t="s">
        <v>56994</v>
      </c>
      <c r="K17138" s="0" t="s">
        <v>56995</v>
      </c>
      <c r="L17138" s="0" t="str">
        <f aca="false">HYPERLINK("https://www.ncbi.nlm.nih.gov/nuccore/CP000058.1?report=graph&amp;tracks=[key:gene_model_track,Options:GeneOnly]&amp;mk=5273925:5273944|offset_22|444444,5273953:5273972|offset_50|00cc00,5273973:5273992|offset_70|444444,5274012:5274031|offset_109|444444&amp;v=5273724:5274231&amp;c=444444", "offset 50")</f>
        <v>offset 50</v>
      </c>
    </row>
    <row r="17139" customFormat="false" ht="12.8" hidden="false" customHeight="false" outlineLevel="0" collapsed="false">
      <c r="A17139" s="0" t="s">
        <v>12</v>
      </c>
      <c r="B17139" s="0" t="n">
        <v>5273972</v>
      </c>
      <c r="C17139" s="0" t="n">
        <v>5273992</v>
      </c>
      <c r="D17139" s="0" t="s">
        <v>56988</v>
      </c>
      <c r="E17139" s="0" t="s">
        <v>56989</v>
      </c>
      <c r="F17139" s="0" t="s">
        <v>15</v>
      </c>
      <c r="G17139" s="0" t="s">
        <v>16</v>
      </c>
      <c r="H17139" s="0" t="n">
        <v>70</v>
      </c>
      <c r="I17139" s="0" t="s">
        <v>56996</v>
      </c>
      <c r="J17139" s="0" t="s">
        <v>56997</v>
      </c>
      <c r="K17139" s="0" t="s">
        <v>56998</v>
      </c>
      <c r="L17139" s="0" t="str">
        <f aca="false">HYPERLINK("https://www.ncbi.nlm.nih.gov/nuccore/CP000058.1?report=graph&amp;tracks=[key:gene_model_track,Options:GeneOnly]&amp;mk=5273925:5273944|offset_22|444444,5273953:5273972|offset_50|444444,5273973:5273992|offset_70|00cc00,5274012:5274031|offset_109|444444&amp;v=5273724:5274231&amp;c=444444", "offset 70")</f>
        <v>offset 70</v>
      </c>
    </row>
    <row r="17140" customFormat="false" ht="12.8" hidden="false" customHeight="false" outlineLevel="0" collapsed="false">
      <c r="A17140" s="0" t="s">
        <v>12</v>
      </c>
      <c r="B17140" s="0" t="n">
        <v>5274011</v>
      </c>
      <c r="C17140" s="0" t="n">
        <v>5274031</v>
      </c>
      <c r="D17140" s="0" t="s">
        <v>56988</v>
      </c>
      <c r="E17140" s="0" t="s">
        <v>56989</v>
      </c>
      <c r="F17140" s="0" t="s">
        <v>15</v>
      </c>
      <c r="G17140" s="0" t="s">
        <v>36</v>
      </c>
      <c r="H17140" s="0" t="n">
        <v>109</v>
      </c>
      <c r="I17140" s="0" t="s">
        <v>56999</v>
      </c>
      <c r="J17140" s="0" t="s">
        <v>57000</v>
      </c>
      <c r="K17140" s="0" t="s">
        <v>57001</v>
      </c>
      <c r="L17140" s="0" t="str">
        <f aca="false">HYPERLINK("https://www.ncbi.nlm.nih.gov/nuccore/CP000058.1?report=graph&amp;tracks=[key:gene_model_track,Options:GeneOnly]&amp;mk=5273925:5273944|offset_22|444444,5273953:5273972|offset_50|444444,5273973:5273992|offset_70|444444,5274012:5274031|offset_109|00cc00&amp;v=5273724:5274231&amp;c=444444", "offset 109")</f>
        <v>offset 109</v>
      </c>
    </row>
    <row r="17141" customFormat="false" ht="12.8" hidden="false" customHeight="false" outlineLevel="0" collapsed="false">
      <c r="A17141" s="0" t="s">
        <v>12</v>
      </c>
      <c r="B17141" s="0" t="n">
        <v>5275775</v>
      </c>
      <c r="C17141" s="0" t="n">
        <v>5275795</v>
      </c>
      <c r="D17141" s="0" t="s">
        <v>57002</v>
      </c>
      <c r="E17141" s="0" t="s">
        <v>75</v>
      </c>
      <c r="F17141" s="0" t="s">
        <v>90</v>
      </c>
      <c r="G17141" s="0" t="s">
        <v>20</v>
      </c>
      <c r="H17141" s="0" t="n">
        <v>15</v>
      </c>
      <c r="I17141" s="0" t="s">
        <v>57003</v>
      </c>
      <c r="J17141" s="0" t="s">
        <v>57004</v>
      </c>
      <c r="K17141" s="0" t="s">
        <v>57005</v>
      </c>
      <c r="L17141" s="0" t="str">
        <f aca="false">HYPERLINK("https://www.ncbi.nlm.nih.gov/nuccore/CP000058.1?report=graph&amp;tracks=[key:gene_model_track,Options:GeneOnly]&amp;mk=5275776:5275795|offset_15|00cc00,5275745:5275764|offset_46|444444,5275692:5275711|offset_99|444444,5275655:5275674|offset_136|444444&amp;v=5275575:5275874&amp;c=444444", "offset 15")</f>
        <v>offset 15</v>
      </c>
    </row>
    <row r="17142" customFormat="false" ht="12.8" hidden="false" customHeight="false" outlineLevel="0" collapsed="false">
      <c r="A17142" s="0" t="s">
        <v>12</v>
      </c>
      <c r="B17142" s="0" t="n">
        <v>5275744</v>
      </c>
      <c r="C17142" s="0" t="n">
        <v>5275764</v>
      </c>
      <c r="D17142" s="0" t="s">
        <v>57002</v>
      </c>
      <c r="E17142" s="0" t="s">
        <v>75</v>
      </c>
      <c r="F17142" s="0" t="s">
        <v>90</v>
      </c>
      <c r="G17142" s="0" t="s">
        <v>16</v>
      </c>
      <c r="H17142" s="0" t="n">
        <v>46</v>
      </c>
      <c r="I17142" s="0" t="s">
        <v>57006</v>
      </c>
      <c r="J17142" s="0" t="s">
        <v>57007</v>
      </c>
      <c r="K17142" s="0" t="s">
        <v>57008</v>
      </c>
      <c r="L17142" s="0" t="str">
        <f aca="false">HYPERLINK("https://www.ncbi.nlm.nih.gov/nuccore/CP000058.1?report=graph&amp;tracks=[key:gene_model_track,Options:GeneOnly]&amp;mk=5275776:5275795|offset_15|444444,5275745:5275764|offset_46|00cc00,5275692:5275711|offset_99|444444,5275655:5275674|offset_136|444444&amp;v=5275575:5275874&amp;c=444444", "offset 46")</f>
        <v>offset 46</v>
      </c>
    </row>
    <row r="17143" customFormat="false" ht="12.8" hidden="false" customHeight="false" outlineLevel="0" collapsed="false">
      <c r="A17143" s="0" t="s">
        <v>12</v>
      </c>
      <c r="B17143" s="0" t="n">
        <v>5275691</v>
      </c>
      <c r="C17143" s="0" t="n">
        <v>5275711</v>
      </c>
      <c r="D17143" s="0" t="s">
        <v>57002</v>
      </c>
      <c r="E17143" s="0" t="s">
        <v>75</v>
      </c>
      <c r="F17143" s="0" t="s">
        <v>90</v>
      </c>
      <c r="G17143" s="0" t="s">
        <v>20</v>
      </c>
      <c r="H17143" s="0" t="n">
        <v>99</v>
      </c>
      <c r="I17143" s="0" t="s">
        <v>57009</v>
      </c>
      <c r="J17143" s="0" t="s">
        <v>57010</v>
      </c>
      <c r="K17143" s="0" t="s">
        <v>57011</v>
      </c>
      <c r="L17143" s="0" t="str">
        <f aca="false">HYPERLINK("https://www.ncbi.nlm.nih.gov/nuccore/CP000058.1?report=graph&amp;tracks=[key:gene_model_track,Options:GeneOnly]&amp;mk=5275776:5275795|offset_15|444444,5275745:5275764|offset_46|444444,5275692:5275711|offset_99|00cc00,5275655:5275674|offset_136|444444&amp;v=5275575:5275874&amp;c=444444", "offset 99")</f>
        <v>offset 99</v>
      </c>
    </row>
    <row r="17144" customFormat="false" ht="12.8" hidden="false" customHeight="false" outlineLevel="0" collapsed="false">
      <c r="A17144" s="0" t="s">
        <v>12</v>
      </c>
      <c r="B17144" s="0" t="n">
        <v>5275654</v>
      </c>
      <c r="C17144" s="0" t="n">
        <v>5275674</v>
      </c>
      <c r="D17144" s="0" t="s">
        <v>57002</v>
      </c>
      <c r="E17144" s="0" t="s">
        <v>75</v>
      </c>
      <c r="F17144" s="0" t="s">
        <v>90</v>
      </c>
      <c r="G17144" s="0" t="s">
        <v>20</v>
      </c>
      <c r="H17144" s="0" t="n">
        <v>136</v>
      </c>
      <c r="I17144" s="0" t="s">
        <v>57012</v>
      </c>
      <c r="J17144" s="0" t="s">
        <v>57013</v>
      </c>
      <c r="K17144" s="0" t="s">
        <v>57014</v>
      </c>
      <c r="L17144" s="0" t="str">
        <f aca="false">HYPERLINK("https://www.ncbi.nlm.nih.gov/nuccore/CP000058.1?report=graph&amp;tracks=[key:gene_model_track,Options:GeneOnly]&amp;mk=5275776:5275795|offset_15|444444,5275745:5275764|offset_46|444444,5275692:5275711|offset_99|444444,5275655:5275674|offset_136|00cc00&amp;v=5275575:5275874&amp;c=444444", "offset 136")</f>
        <v>offset 136</v>
      </c>
    </row>
    <row r="17145" customFormat="false" ht="12.8" hidden="false" customHeight="false" outlineLevel="0" collapsed="false">
      <c r="A17145" s="0" t="s">
        <v>12</v>
      </c>
      <c r="B17145" s="0" t="n">
        <v>5277107</v>
      </c>
      <c r="C17145" s="0" t="n">
        <v>5277127</v>
      </c>
      <c r="D17145" s="0" t="s">
        <v>57015</v>
      </c>
      <c r="E17145" s="0" t="s">
        <v>75</v>
      </c>
      <c r="F17145" s="0" t="s">
        <v>90</v>
      </c>
      <c r="G17145" s="0" t="s">
        <v>20</v>
      </c>
      <c r="H17145" s="0" t="n">
        <v>47</v>
      </c>
      <c r="I17145" s="0" t="s">
        <v>57016</v>
      </c>
      <c r="J17145" s="0" t="s">
        <v>57017</v>
      </c>
      <c r="K17145" s="0" t="s">
        <v>57018</v>
      </c>
      <c r="L17145" s="0" t="str">
        <f aca="false">HYPERLINK("https://www.ncbi.nlm.nih.gov/nuccore/CP000058.1?report=graph&amp;tracks=[key:gene_model_track,Options:GeneOnly]&amp;mk=5277108:5277127|offset_47|00cc00,5277055:5277074|offset_100|444444,5276995:5277014|offset_160|444444,5276974:5276993|offset_181|444444&amp;v=5276907:5277193&amp;c=444444", "offset 47")</f>
        <v>offset 47</v>
      </c>
    </row>
    <row r="17146" customFormat="false" ht="12.8" hidden="false" customHeight="false" outlineLevel="0" collapsed="false">
      <c r="A17146" s="0" t="s">
        <v>12</v>
      </c>
      <c r="B17146" s="0" t="n">
        <v>5277054</v>
      </c>
      <c r="C17146" s="0" t="n">
        <v>5277074</v>
      </c>
      <c r="D17146" s="0" t="s">
        <v>57015</v>
      </c>
      <c r="E17146" s="0" t="s">
        <v>75</v>
      </c>
      <c r="F17146" s="0" t="s">
        <v>90</v>
      </c>
      <c r="G17146" s="0" t="s">
        <v>32</v>
      </c>
      <c r="H17146" s="0" t="n">
        <v>100</v>
      </c>
      <c r="I17146" s="0" t="s">
        <v>57019</v>
      </c>
      <c r="J17146" s="0" t="s">
        <v>57020</v>
      </c>
      <c r="K17146" s="0" t="s">
        <v>57021</v>
      </c>
      <c r="L17146" s="0" t="str">
        <f aca="false">HYPERLINK("https://www.ncbi.nlm.nih.gov/nuccore/CP000058.1?report=graph&amp;tracks=[key:gene_model_track,Options:GeneOnly]&amp;mk=5277108:5277127|offset_47|444444,5277055:5277074|offset_100|00cc00,5276995:5277014|offset_160|444444,5276974:5276993|offset_181|444444&amp;v=5276907:5277193&amp;c=444444", "offset 100")</f>
        <v>offset 100</v>
      </c>
    </row>
    <row r="17147" customFormat="false" ht="12.8" hidden="false" customHeight="false" outlineLevel="0" collapsed="false">
      <c r="A17147" s="0" t="s">
        <v>12</v>
      </c>
      <c r="B17147" s="0" t="n">
        <v>5276994</v>
      </c>
      <c r="C17147" s="0" t="n">
        <v>5277014</v>
      </c>
      <c r="D17147" s="0" t="s">
        <v>57015</v>
      </c>
      <c r="E17147" s="0" t="s">
        <v>75</v>
      </c>
      <c r="F17147" s="0" t="s">
        <v>90</v>
      </c>
      <c r="G17147" s="0" t="s">
        <v>36</v>
      </c>
      <c r="H17147" s="0" t="n">
        <v>160</v>
      </c>
      <c r="I17147" s="0" t="s">
        <v>57022</v>
      </c>
      <c r="J17147" s="0" t="s">
        <v>57023</v>
      </c>
      <c r="K17147" s="0" t="s">
        <v>57024</v>
      </c>
      <c r="L17147" s="0" t="str">
        <f aca="false">HYPERLINK("https://www.ncbi.nlm.nih.gov/nuccore/CP000058.1?report=graph&amp;tracks=[key:gene_model_track,Options:GeneOnly]&amp;mk=5277108:5277127|offset_47|444444,5277055:5277074|offset_100|444444,5276995:5277014|offset_160|00cc00,5276974:5276993|offset_181|444444&amp;v=5276907:5277193&amp;c=444444", "offset 160")</f>
        <v>offset 160</v>
      </c>
    </row>
    <row r="17148" customFormat="false" ht="12.8" hidden="false" customHeight="false" outlineLevel="0" collapsed="false">
      <c r="A17148" s="0" t="s">
        <v>12</v>
      </c>
      <c r="B17148" s="0" t="n">
        <v>5276973</v>
      </c>
      <c r="C17148" s="0" t="n">
        <v>5276993</v>
      </c>
      <c r="D17148" s="0" t="s">
        <v>57015</v>
      </c>
      <c r="E17148" s="0" t="s">
        <v>75</v>
      </c>
      <c r="F17148" s="0" t="s">
        <v>90</v>
      </c>
      <c r="G17148" s="0" t="s">
        <v>16</v>
      </c>
      <c r="H17148" s="0" t="n">
        <v>181</v>
      </c>
      <c r="I17148" s="0" t="s">
        <v>57025</v>
      </c>
      <c r="J17148" s="0" t="s">
        <v>57026</v>
      </c>
      <c r="K17148" s="0" t="s">
        <v>57027</v>
      </c>
      <c r="L17148" s="0" t="str">
        <f aca="false">HYPERLINK("https://www.ncbi.nlm.nih.gov/nuccore/CP000058.1?report=graph&amp;tracks=[key:gene_model_track,Options:GeneOnly]&amp;mk=5277108:5277127|offset_47|444444,5277055:5277074|offset_100|444444,5276995:5277014|offset_160|444444,5276974:5276993|offset_181|00cc00&amp;v=5276907:5277193&amp;c=444444", "offset 181")</f>
        <v>offset 181</v>
      </c>
    </row>
    <row r="17149" customFormat="false" ht="12.8" hidden="false" customHeight="false" outlineLevel="0" collapsed="false">
      <c r="A17149" s="0" t="s">
        <v>12</v>
      </c>
      <c r="B17149" s="0" t="n">
        <v>5277309</v>
      </c>
      <c r="C17149" s="0" t="n">
        <v>5277329</v>
      </c>
      <c r="D17149" s="0" t="s">
        <v>57028</v>
      </c>
      <c r="E17149" s="0" t="s">
        <v>75</v>
      </c>
      <c r="F17149" s="0" t="s">
        <v>15</v>
      </c>
      <c r="G17149" s="0" t="s">
        <v>32</v>
      </c>
      <c r="H17149" s="0" t="n">
        <v>23</v>
      </c>
      <c r="I17149" s="0" t="s">
        <v>57029</v>
      </c>
      <c r="J17149" s="0" t="s">
        <v>57030</v>
      </c>
      <c r="K17149" s="0" t="s">
        <v>57031</v>
      </c>
      <c r="L17149" s="0" t="str">
        <f aca="false">HYPERLINK("https://www.ncbi.nlm.nih.gov/nuccore/CP000058.1?report=graph&amp;tracks=[key:gene_model_track,Options:GeneOnly]&amp;mk=5277310:5277329|offset_23|00cc00,5277359:5277378|offset_72|444444,5277405:5277424|offset_118|444444,5277429:5277448|offset_142|444444&amp;v=5277109:5277648&amp;c=444444", "offset 23")</f>
        <v>offset 23</v>
      </c>
    </row>
    <row r="17150" customFormat="false" ht="12.8" hidden="false" customHeight="false" outlineLevel="0" collapsed="false">
      <c r="A17150" s="0" t="s">
        <v>12</v>
      </c>
      <c r="B17150" s="0" t="n">
        <v>5277358</v>
      </c>
      <c r="C17150" s="0" t="n">
        <v>5277378</v>
      </c>
      <c r="D17150" s="0" t="s">
        <v>57028</v>
      </c>
      <c r="E17150" s="0" t="s">
        <v>75</v>
      </c>
      <c r="F17150" s="0" t="s">
        <v>15</v>
      </c>
      <c r="G17150" s="0" t="s">
        <v>20</v>
      </c>
      <c r="H17150" s="0" t="n">
        <v>72</v>
      </c>
      <c r="I17150" s="0" t="s">
        <v>57032</v>
      </c>
      <c r="J17150" s="0" t="s">
        <v>57033</v>
      </c>
      <c r="K17150" s="0" t="s">
        <v>57034</v>
      </c>
      <c r="L17150" s="0" t="str">
        <f aca="false">HYPERLINK("https://www.ncbi.nlm.nih.gov/nuccore/CP000058.1?report=graph&amp;tracks=[key:gene_model_track,Options:GeneOnly]&amp;mk=5277310:5277329|offset_23|444444,5277359:5277378|offset_72|00cc00,5277405:5277424|offset_118|444444,5277429:5277448|offset_142|444444&amp;v=5277109:5277648&amp;c=444444", "offset 72")</f>
        <v>offset 72</v>
      </c>
    </row>
    <row r="17151" customFormat="false" ht="12.8" hidden="false" customHeight="false" outlineLevel="0" collapsed="false">
      <c r="A17151" s="0" t="s">
        <v>12</v>
      </c>
      <c r="B17151" s="0" t="n">
        <v>5277404</v>
      </c>
      <c r="C17151" s="0" t="n">
        <v>5277424</v>
      </c>
      <c r="D17151" s="0" t="s">
        <v>57028</v>
      </c>
      <c r="E17151" s="0" t="s">
        <v>75</v>
      </c>
      <c r="F17151" s="0" t="s">
        <v>15</v>
      </c>
      <c r="G17151" s="0" t="s">
        <v>32</v>
      </c>
      <c r="H17151" s="0" t="n">
        <v>118</v>
      </c>
      <c r="I17151" s="0" t="s">
        <v>57035</v>
      </c>
      <c r="J17151" s="0" t="s">
        <v>57036</v>
      </c>
      <c r="K17151" s="0" t="s">
        <v>57037</v>
      </c>
      <c r="L17151" s="0" t="str">
        <f aca="false">HYPERLINK("https://www.ncbi.nlm.nih.gov/nuccore/CP000058.1?report=graph&amp;tracks=[key:gene_model_track,Options:GeneOnly]&amp;mk=5277310:5277329|offset_23|444444,5277359:5277378|offset_72|444444,5277405:5277424|offset_118|00cc00,5277429:5277448|offset_142|444444&amp;v=5277109:5277648&amp;c=444444", "offset 118")</f>
        <v>offset 118</v>
      </c>
    </row>
    <row r="17152" customFormat="false" ht="12.8" hidden="false" customHeight="false" outlineLevel="0" collapsed="false">
      <c r="A17152" s="0" t="s">
        <v>12</v>
      </c>
      <c r="B17152" s="0" t="n">
        <v>5277428</v>
      </c>
      <c r="C17152" s="0" t="n">
        <v>5277448</v>
      </c>
      <c r="D17152" s="0" t="s">
        <v>57028</v>
      </c>
      <c r="E17152" s="0" t="s">
        <v>75</v>
      </c>
      <c r="F17152" s="0" t="s">
        <v>15</v>
      </c>
      <c r="G17152" s="0" t="s">
        <v>32</v>
      </c>
      <c r="H17152" s="0" t="n">
        <v>142</v>
      </c>
      <c r="I17152" s="0" t="s">
        <v>57038</v>
      </c>
      <c r="J17152" s="0" t="s">
        <v>57039</v>
      </c>
      <c r="K17152" s="0" t="s">
        <v>57040</v>
      </c>
      <c r="L17152" s="0" t="str">
        <f aca="false">HYPERLINK("https://www.ncbi.nlm.nih.gov/nuccore/CP000058.1?report=graph&amp;tracks=[key:gene_model_track,Options:GeneOnly]&amp;mk=5277310:5277329|offset_23|444444,5277359:5277378|offset_72|444444,5277405:5277424|offset_118|444444,5277429:5277448|offset_142|00cc00&amp;v=5277109:5277648&amp;c=444444", "offset 142")</f>
        <v>offset 142</v>
      </c>
    </row>
    <row r="17153" customFormat="false" ht="12.8" hidden="false" customHeight="false" outlineLevel="0" collapsed="false">
      <c r="A17153" s="0" t="s">
        <v>12</v>
      </c>
      <c r="B17153" s="0" t="n">
        <v>5279531</v>
      </c>
      <c r="C17153" s="0" t="n">
        <v>5279551</v>
      </c>
      <c r="D17153" s="0" t="s">
        <v>57041</v>
      </c>
      <c r="E17153" s="0" t="s">
        <v>75</v>
      </c>
      <c r="F17153" s="0" t="s">
        <v>90</v>
      </c>
      <c r="G17153" s="0" t="s">
        <v>16</v>
      </c>
      <c r="H17153" s="0" t="n">
        <v>0</v>
      </c>
      <c r="I17153" s="0" t="s">
        <v>57042</v>
      </c>
      <c r="J17153" s="0" t="s">
        <v>57043</v>
      </c>
      <c r="K17153" s="0" t="s">
        <v>57044</v>
      </c>
      <c r="L17153" s="0" t="str">
        <f aca="false">HYPERLINK("https://www.ncbi.nlm.nih.gov/nuccore/CP000058.1?report=graph&amp;tracks=[key:gene_model_track,Options:GeneOnly]&amp;mk=5279532:5279551|offset_0|00cc00,5279512:5279531|offset_20|444444,5279489:5279508|offset_43|444444,5279457:5279476|offset_75|444444&amp;v=5279331:5279676&amp;c=444444", "offset 0")</f>
        <v>offset 0</v>
      </c>
    </row>
    <row r="17154" customFormat="false" ht="12.8" hidden="false" customHeight="false" outlineLevel="0" collapsed="false">
      <c r="A17154" s="0" t="s">
        <v>12</v>
      </c>
      <c r="B17154" s="0" t="n">
        <v>5279511</v>
      </c>
      <c r="C17154" s="0" t="n">
        <v>5279531</v>
      </c>
      <c r="D17154" s="0" t="s">
        <v>57041</v>
      </c>
      <c r="E17154" s="0" t="s">
        <v>75</v>
      </c>
      <c r="F17154" s="0" t="s">
        <v>90</v>
      </c>
      <c r="G17154" s="0" t="s">
        <v>20</v>
      </c>
      <c r="H17154" s="0" t="n">
        <v>20</v>
      </c>
      <c r="I17154" s="0" t="s">
        <v>57045</v>
      </c>
      <c r="J17154" s="0" t="s">
        <v>57046</v>
      </c>
      <c r="K17154" s="0" t="s">
        <v>57047</v>
      </c>
      <c r="L17154" s="0" t="str">
        <f aca="false">HYPERLINK("https://www.ncbi.nlm.nih.gov/nuccore/CP000058.1?report=graph&amp;tracks=[key:gene_model_track,Options:GeneOnly]&amp;mk=5279532:5279551|offset_0|444444,5279512:5279531|offset_20|00cc00,5279489:5279508|offset_43|444444,5279457:5279476|offset_75|444444&amp;v=5279331:5279676&amp;c=444444", "offset 20")</f>
        <v>offset 20</v>
      </c>
    </row>
    <row r="17155" customFormat="false" ht="12.8" hidden="false" customHeight="false" outlineLevel="0" collapsed="false">
      <c r="A17155" s="0" t="s">
        <v>12</v>
      </c>
      <c r="B17155" s="0" t="n">
        <v>5279488</v>
      </c>
      <c r="C17155" s="0" t="n">
        <v>5279508</v>
      </c>
      <c r="D17155" s="0" t="s">
        <v>57041</v>
      </c>
      <c r="E17155" s="0" t="s">
        <v>75</v>
      </c>
      <c r="F17155" s="0" t="s">
        <v>90</v>
      </c>
      <c r="G17155" s="0" t="s">
        <v>20</v>
      </c>
      <c r="H17155" s="0" t="n">
        <v>43</v>
      </c>
      <c r="I17155" s="0" t="s">
        <v>57048</v>
      </c>
      <c r="J17155" s="0" t="s">
        <v>57049</v>
      </c>
      <c r="K17155" s="0" t="s">
        <v>57050</v>
      </c>
      <c r="L17155" s="0" t="str">
        <f aca="false">HYPERLINK("https://www.ncbi.nlm.nih.gov/nuccore/CP000058.1?report=graph&amp;tracks=[key:gene_model_track,Options:GeneOnly]&amp;mk=5279532:5279551|offset_0|444444,5279512:5279531|offset_20|444444,5279489:5279508|offset_43|00cc00,5279457:5279476|offset_75|444444&amp;v=5279331:5279676&amp;c=444444", "offset 43")</f>
        <v>offset 43</v>
      </c>
    </row>
    <row r="17156" customFormat="false" ht="12.8" hidden="false" customHeight="false" outlineLevel="0" collapsed="false">
      <c r="A17156" s="0" t="s">
        <v>12</v>
      </c>
      <c r="B17156" s="0" t="n">
        <v>5279456</v>
      </c>
      <c r="C17156" s="0" t="n">
        <v>5279476</v>
      </c>
      <c r="D17156" s="0" t="s">
        <v>57041</v>
      </c>
      <c r="E17156" s="0" t="s">
        <v>75</v>
      </c>
      <c r="F17156" s="0" t="s">
        <v>90</v>
      </c>
      <c r="G17156" s="0" t="s">
        <v>20</v>
      </c>
      <c r="H17156" s="0" t="n">
        <v>75</v>
      </c>
      <c r="I17156" s="0" t="s">
        <v>57051</v>
      </c>
      <c r="J17156" s="0" t="s">
        <v>57052</v>
      </c>
      <c r="K17156" s="0" t="s">
        <v>57053</v>
      </c>
      <c r="L17156" s="0" t="str">
        <f aca="false">HYPERLINK("https://www.ncbi.nlm.nih.gov/nuccore/CP000058.1?report=graph&amp;tracks=[key:gene_model_track,Options:GeneOnly]&amp;mk=5279532:5279551|offset_0|444444,5279512:5279531|offset_20|444444,5279489:5279508|offset_43|444444,5279457:5279476|offset_75|00cc00&amp;v=5279331:5279676&amp;c=444444", "offset 75")</f>
        <v>offset 75</v>
      </c>
    </row>
    <row r="17157" customFormat="false" ht="12.8" hidden="false" customHeight="false" outlineLevel="0" collapsed="false">
      <c r="A17157" s="0" t="s">
        <v>12</v>
      </c>
      <c r="B17157" s="0" t="n">
        <v>5279865</v>
      </c>
      <c r="C17157" s="0" t="n">
        <v>5279885</v>
      </c>
      <c r="D17157" s="0" t="s">
        <v>57054</v>
      </c>
      <c r="E17157" s="0" t="s">
        <v>75</v>
      </c>
      <c r="F17157" s="0" t="s">
        <v>90</v>
      </c>
      <c r="G17157" s="0" t="s">
        <v>32</v>
      </c>
      <c r="H17157" s="0" t="n">
        <v>1</v>
      </c>
      <c r="I17157" s="0" t="s">
        <v>57055</v>
      </c>
      <c r="J17157" s="0" t="s">
        <v>57056</v>
      </c>
      <c r="K17157" s="0" t="s">
        <v>57057</v>
      </c>
      <c r="L17157" s="0" t="str">
        <f aca="false">HYPERLINK("https://www.ncbi.nlm.nih.gov/nuccore/CP000058.1?report=graph&amp;tracks=[key:gene_model_track,Options:GeneOnly]&amp;mk=5279866:5279885|offset_1|00cc00,5279836:5279855|offset_31|444444,5279787:5279806|offset_80|444444,5279758:5279777|offset_109|444444&amp;v=5279665:5279977&amp;c=444444", "offset 1")</f>
        <v>offset 1</v>
      </c>
    </row>
    <row r="17158" customFormat="false" ht="12.8" hidden="false" customHeight="false" outlineLevel="0" collapsed="false">
      <c r="A17158" s="0" t="s">
        <v>12</v>
      </c>
      <c r="B17158" s="0" t="n">
        <v>5279835</v>
      </c>
      <c r="C17158" s="0" t="n">
        <v>5279855</v>
      </c>
      <c r="D17158" s="0" t="s">
        <v>57054</v>
      </c>
      <c r="E17158" s="0" t="s">
        <v>75</v>
      </c>
      <c r="F17158" s="0" t="s">
        <v>90</v>
      </c>
      <c r="G17158" s="0" t="s">
        <v>20</v>
      </c>
      <c r="H17158" s="0" t="n">
        <v>31</v>
      </c>
      <c r="I17158" s="0" t="s">
        <v>57058</v>
      </c>
      <c r="J17158" s="0" t="s">
        <v>57059</v>
      </c>
      <c r="K17158" s="0" t="s">
        <v>57060</v>
      </c>
      <c r="L17158" s="0" t="str">
        <f aca="false">HYPERLINK("https://www.ncbi.nlm.nih.gov/nuccore/CP000058.1?report=graph&amp;tracks=[key:gene_model_track,Options:GeneOnly]&amp;mk=5279866:5279885|offset_1|444444,5279836:5279855|offset_31|00cc00,5279787:5279806|offset_80|444444,5279758:5279777|offset_109|444444&amp;v=5279665:5279977&amp;c=444444", "offset 31")</f>
        <v>offset 31</v>
      </c>
    </row>
    <row r="17159" customFormat="false" ht="12.8" hidden="false" customHeight="false" outlineLevel="0" collapsed="false">
      <c r="A17159" s="0" t="s">
        <v>12</v>
      </c>
      <c r="B17159" s="0" t="n">
        <v>5279786</v>
      </c>
      <c r="C17159" s="0" t="n">
        <v>5279806</v>
      </c>
      <c r="D17159" s="0" t="s">
        <v>57054</v>
      </c>
      <c r="E17159" s="0" t="s">
        <v>75</v>
      </c>
      <c r="F17159" s="0" t="s">
        <v>90</v>
      </c>
      <c r="G17159" s="0" t="s">
        <v>36</v>
      </c>
      <c r="H17159" s="0" t="n">
        <v>80</v>
      </c>
      <c r="I17159" s="0" t="s">
        <v>57061</v>
      </c>
      <c r="J17159" s="0" t="s">
        <v>57062</v>
      </c>
      <c r="K17159" s="0" t="s">
        <v>57063</v>
      </c>
      <c r="L17159" s="0" t="str">
        <f aca="false">HYPERLINK("https://www.ncbi.nlm.nih.gov/nuccore/CP000058.1?report=graph&amp;tracks=[key:gene_model_track,Options:GeneOnly]&amp;mk=5279866:5279885|offset_1|444444,5279836:5279855|offset_31|444444,5279787:5279806|offset_80|00cc00,5279758:5279777|offset_109|444444&amp;v=5279665:5279977&amp;c=444444", "offset 80")</f>
        <v>offset 80</v>
      </c>
    </row>
    <row r="17160" customFormat="false" ht="12.8" hidden="false" customHeight="false" outlineLevel="0" collapsed="false">
      <c r="A17160" s="0" t="s">
        <v>12</v>
      </c>
      <c r="B17160" s="0" t="n">
        <v>5279757</v>
      </c>
      <c r="C17160" s="0" t="n">
        <v>5279777</v>
      </c>
      <c r="D17160" s="0" t="s">
        <v>57054</v>
      </c>
      <c r="E17160" s="0" t="s">
        <v>75</v>
      </c>
      <c r="F17160" s="0" t="s">
        <v>90</v>
      </c>
      <c r="G17160" s="0" t="s">
        <v>32</v>
      </c>
      <c r="H17160" s="0" t="n">
        <v>109</v>
      </c>
      <c r="I17160" s="0" t="s">
        <v>57064</v>
      </c>
      <c r="J17160" s="0" t="s">
        <v>57065</v>
      </c>
      <c r="K17160" s="0" t="s">
        <v>57066</v>
      </c>
      <c r="L17160" s="0" t="str">
        <f aca="false">HYPERLINK("https://www.ncbi.nlm.nih.gov/nuccore/CP000058.1?report=graph&amp;tracks=[key:gene_model_track,Options:GeneOnly]&amp;mk=5279866:5279885|offset_1|444444,5279836:5279855|offset_31|444444,5279787:5279806|offset_80|444444,5279758:5279777|offset_109|00cc00&amp;v=5279665:5279977&amp;c=444444", "offset 109")</f>
        <v>offset 109</v>
      </c>
    </row>
    <row r="17161" customFormat="false" ht="12.8" hidden="false" customHeight="false" outlineLevel="0" collapsed="false">
      <c r="A17161" s="0" t="s">
        <v>12</v>
      </c>
      <c r="B17161" s="0" t="n">
        <v>5280055</v>
      </c>
      <c r="C17161" s="0" t="n">
        <v>5280075</v>
      </c>
      <c r="D17161" s="0" t="s">
        <v>57067</v>
      </c>
      <c r="E17161" s="0" t="s">
        <v>75</v>
      </c>
      <c r="F17161" s="0" t="s">
        <v>15</v>
      </c>
      <c r="G17161" s="0" t="s">
        <v>20</v>
      </c>
      <c r="H17161" s="0" t="n">
        <v>23</v>
      </c>
      <c r="I17161" s="0" t="s">
        <v>57068</v>
      </c>
      <c r="J17161" s="0" t="s">
        <v>57069</v>
      </c>
      <c r="K17161" s="0" t="s">
        <v>57070</v>
      </c>
      <c r="L17161" s="0" t="str">
        <f aca="false">HYPERLINK("https://www.ncbi.nlm.nih.gov/nuccore/CP000058.1?report=graph&amp;tracks=[key:gene_model_track,Options:GeneOnly]&amp;mk=5280056:5280075|offset_23|00cc00,5280090:5280109|offset_57|444444,5280122:5280141|offset_89|444444,5280143:5280162|offset_110|444444&amp;v=5279855:5280362&amp;c=444444", "offset 23")</f>
        <v>offset 23</v>
      </c>
    </row>
    <row r="17162" customFormat="false" ht="12.8" hidden="false" customHeight="false" outlineLevel="0" collapsed="false">
      <c r="A17162" s="0" t="s">
        <v>12</v>
      </c>
      <c r="B17162" s="0" t="n">
        <v>5280089</v>
      </c>
      <c r="C17162" s="0" t="n">
        <v>5280109</v>
      </c>
      <c r="D17162" s="0" t="s">
        <v>57067</v>
      </c>
      <c r="E17162" s="0" t="s">
        <v>75</v>
      </c>
      <c r="F17162" s="0" t="s">
        <v>15</v>
      </c>
      <c r="G17162" s="0" t="s">
        <v>36</v>
      </c>
      <c r="H17162" s="0" t="n">
        <v>57</v>
      </c>
      <c r="I17162" s="0" t="s">
        <v>57071</v>
      </c>
      <c r="J17162" s="0" t="s">
        <v>57072</v>
      </c>
      <c r="K17162" s="0" t="s">
        <v>57073</v>
      </c>
      <c r="L17162" s="0" t="str">
        <f aca="false">HYPERLINK("https://www.ncbi.nlm.nih.gov/nuccore/CP000058.1?report=graph&amp;tracks=[key:gene_model_track,Options:GeneOnly]&amp;mk=5280056:5280075|offset_23|444444,5280090:5280109|offset_57|00cc00,5280122:5280141|offset_89|444444,5280143:5280162|offset_110|444444&amp;v=5279855:5280362&amp;c=444444", "offset 57")</f>
        <v>offset 57</v>
      </c>
    </row>
    <row r="17163" customFormat="false" ht="12.8" hidden="false" customHeight="false" outlineLevel="0" collapsed="false">
      <c r="A17163" s="0" t="s">
        <v>12</v>
      </c>
      <c r="B17163" s="0" t="n">
        <v>5280121</v>
      </c>
      <c r="C17163" s="0" t="n">
        <v>5280141</v>
      </c>
      <c r="D17163" s="0" t="s">
        <v>57067</v>
      </c>
      <c r="E17163" s="0" t="s">
        <v>75</v>
      </c>
      <c r="F17163" s="0" t="s">
        <v>15</v>
      </c>
      <c r="G17163" s="0" t="s">
        <v>20</v>
      </c>
      <c r="H17163" s="0" t="n">
        <v>89</v>
      </c>
      <c r="I17163" s="0" t="s">
        <v>57074</v>
      </c>
      <c r="J17163" s="0" t="s">
        <v>57075</v>
      </c>
      <c r="K17163" s="0" t="s">
        <v>57076</v>
      </c>
      <c r="L17163" s="0" t="str">
        <f aca="false">HYPERLINK("https://www.ncbi.nlm.nih.gov/nuccore/CP000058.1?report=graph&amp;tracks=[key:gene_model_track,Options:GeneOnly]&amp;mk=5280056:5280075|offset_23|444444,5280090:5280109|offset_57|444444,5280122:5280141|offset_89|00cc00,5280143:5280162|offset_110|444444&amp;v=5279855:5280362&amp;c=444444", "offset 89")</f>
        <v>offset 89</v>
      </c>
    </row>
    <row r="17164" customFormat="false" ht="12.8" hidden="false" customHeight="false" outlineLevel="0" collapsed="false">
      <c r="A17164" s="0" t="s">
        <v>12</v>
      </c>
      <c r="B17164" s="0" t="n">
        <v>5280142</v>
      </c>
      <c r="C17164" s="0" t="n">
        <v>5280162</v>
      </c>
      <c r="D17164" s="0" t="s">
        <v>57067</v>
      </c>
      <c r="E17164" s="0" t="s">
        <v>75</v>
      </c>
      <c r="F17164" s="0" t="s">
        <v>15</v>
      </c>
      <c r="G17164" s="0" t="s">
        <v>20</v>
      </c>
      <c r="H17164" s="0" t="n">
        <v>110</v>
      </c>
      <c r="I17164" s="0" t="s">
        <v>57077</v>
      </c>
      <c r="J17164" s="0" t="s">
        <v>57078</v>
      </c>
      <c r="K17164" s="0" t="s">
        <v>57079</v>
      </c>
      <c r="L17164" s="0" t="str">
        <f aca="false">HYPERLINK("https://www.ncbi.nlm.nih.gov/nuccore/CP000058.1?report=graph&amp;tracks=[key:gene_model_track,Options:GeneOnly]&amp;mk=5280056:5280075|offset_23|444444,5280090:5280109|offset_57|444444,5280122:5280141|offset_89|444444,5280143:5280162|offset_110|00cc00&amp;v=5279855:5280362&amp;c=444444", "offset 110")</f>
        <v>offset 110</v>
      </c>
    </row>
    <row r="17165" customFormat="false" ht="12.8" hidden="false" customHeight="false" outlineLevel="0" collapsed="false">
      <c r="A17165" s="0" t="s">
        <v>12</v>
      </c>
      <c r="B17165" s="0" t="n">
        <v>5280495</v>
      </c>
      <c r="C17165" s="0" t="n">
        <v>5280515</v>
      </c>
      <c r="D17165" s="0" t="s">
        <v>57080</v>
      </c>
      <c r="E17165" s="0" t="s">
        <v>75</v>
      </c>
      <c r="F17165" s="0" t="s">
        <v>15</v>
      </c>
      <c r="G17165" s="0" t="s">
        <v>32</v>
      </c>
      <c r="H17165" s="0" t="n">
        <v>13</v>
      </c>
      <c r="I17165" s="0" t="s">
        <v>57081</v>
      </c>
      <c r="J17165" s="0" t="s">
        <v>57082</v>
      </c>
      <c r="K17165" s="0" t="s">
        <v>57083</v>
      </c>
      <c r="L17165" s="0" t="str">
        <f aca="false">HYPERLINK("https://www.ncbi.nlm.nih.gov/nuccore/CP000058.1?report=graph&amp;tracks=[key:gene_model_track,Options:GeneOnly]&amp;mk=5280496:5280515|offset_13|00cc00,5280529:5280548|offset_46|444444,5280568:5280587|offset_85|444444,5280602:5280621|offset_119|444444&amp;v=5280295:5280821&amp;c=444444", "offset 13")</f>
        <v>offset 13</v>
      </c>
    </row>
    <row r="17166" customFormat="false" ht="12.8" hidden="false" customHeight="false" outlineLevel="0" collapsed="false">
      <c r="A17166" s="0" t="s">
        <v>12</v>
      </c>
      <c r="B17166" s="0" t="n">
        <v>5280528</v>
      </c>
      <c r="C17166" s="0" t="n">
        <v>5280548</v>
      </c>
      <c r="D17166" s="0" t="s">
        <v>57080</v>
      </c>
      <c r="E17166" s="0" t="s">
        <v>75</v>
      </c>
      <c r="F17166" s="0" t="s">
        <v>15</v>
      </c>
      <c r="G17166" s="0" t="s">
        <v>20</v>
      </c>
      <c r="H17166" s="0" t="n">
        <v>46</v>
      </c>
      <c r="I17166" s="0" t="s">
        <v>57084</v>
      </c>
      <c r="J17166" s="0" t="s">
        <v>57085</v>
      </c>
      <c r="K17166" s="0" t="s">
        <v>57086</v>
      </c>
      <c r="L17166" s="0" t="str">
        <f aca="false">HYPERLINK("https://www.ncbi.nlm.nih.gov/nuccore/CP000058.1?report=graph&amp;tracks=[key:gene_model_track,Options:GeneOnly]&amp;mk=5280496:5280515|offset_13|444444,5280529:5280548|offset_46|00cc00,5280568:5280587|offset_85|444444,5280602:5280621|offset_119|444444&amp;v=5280295:5280821&amp;c=444444", "offset 46")</f>
        <v>offset 46</v>
      </c>
    </row>
    <row r="17167" customFormat="false" ht="12.8" hidden="false" customHeight="false" outlineLevel="0" collapsed="false">
      <c r="A17167" s="0" t="s">
        <v>12</v>
      </c>
      <c r="B17167" s="0" t="n">
        <v>5280567</v>
      </c>
      <c r="C17167" s="0" t="n">
        <v>5280587</v>
      </c>
      <c r="D17167" s="0" t="s">
        <v>57080</v>
      </c>
      <c r="E17167" s="0" t="s">
        <v>75</v>
      </c>
      <c r="F17167" s="0" t="s">
        <v>15</v>
      </c>
      <c r="G17167" s="0" t="s">
        <v>32</v>
      </c>
      <c r="H17167" s="0" t="n">
        <v>85</v>
      </c>
      <c r="I17167" s="0" t="s">
        <v>57087</v>
      </c>
      <c r="J17167" s="0" t="s">
        <v>57088</v>
      </c>
      <c r="K17167" s="0" t="s">
        <v>57089</v>
      </c>
      <c r="L17167" s="0" t="str">
        <f aca="false">HYPERLINK("https://www.ncbi.nlm.nih.gov/nuccore/CP000058.1?report=graph&amp;tracks=[key:gene_model_track,Options:GeneOnly]&amp;mk=5280496:5280515|offset_13|444444,5280529:5280548|offset_46|444444,5280568:5280587|offset_85|00cc00,5280602:5280621|offset_119|444444&amp;v=5280295:5280821&amp;c=444444", "offset 85")</f>
        <v>offset 85</v>
      </c>
    </row>
    <row r="17168" customFormat="false" ht="12.8" hidden="false" customHeight="false" outlineLevel="0" collapsed="false">
      <c r="A17168" s="0" t="s">
        <v>12</v>
      </c>
      <c r="B17168" s="0" t="n">
        <v>5280601</v>
      </c>
      <c r="C17168" s="0" t="n">
        <v>5280621</v>
      </c>
      <c r="D17168" s="0" t="s">
        <v>57080</v>
      </c>
      <c r="E17168" s="0" t="s">
        <v>75</v>
      </c>
      <c r="F17168" s="0" t="s">
        <v>15</v>
      </c>
      <c r="G17168" s="0" t="s">
        <v>20</v>
      </c>
      <c r="H17168" s="0" t="n">
        <v>119</v>
      </c>
      <c r="I17168" s="0" t="s">
        <v>57090</v>
      </c>
      <c r="J17168" s="0" t="s">
        <v>57091</v>
      </c>
      <c r="K17168" s="0" t="s">
        <v>57092</v>
      </c>
      <c r="L17168" s="0" t="str">
        <f aca="false">HYPERLINK("https://www.ncbi.nlm.nih.gov/nuccore/CP000058.1?report=graph&amp;tracks=[key:gene_model_track,Options:GeneOnly]&amp;mk=5280496:5280515|offset_13|444444,5280529:5280548|offset_46|444444,5280568:5280587|offset_85|444444,5280602:5280621|offset_119|00cc00&amp;v=5280295:5280821&amp;c=444444", "offset 119")</f>
        <v>offset 119</v>
      </c>
    </row>
    <row r="17169" customFormat="false" ht="12.8" hidden="false" customHeight="false" outlineLevel="0" collapsed="false">
      <c r="A17169" s="0" t="s">
        <v>12</v>
      </c>
      <c r="B17169" s="0" t="n">
        <v>5282730</v>
      </c>
      <c r="C17169" s="0" t="n">
        <v>5282750</v>
      </c>
      <c r="D17169" s="0" t="s">
        <v>57093</v>
      </c>
      <c r="E17169" s="0" t="s">
        <v>57094</v>
      </c>
      <c r="F17169" s="0" t="s">
        <v>15</v>
      </c>
      <c r="G17169" s="0" t="s">
        <v>16</v>
      </c>
      <c r="H17169" s="0" t="n">
        <v>53</v>
      </c>
      <c r="I17169" s="0" t="s">
        <v>57095</v>
      </c>
      <c r="J17169" s="0" t="s">
        <v>57096</v>
      </c>
      <c r="K17169" s="0" t="s">
        <v>57097</v>
      </c>
      <c r="L17169" s="0" t="str">
        <f aca="false">HYPERLINK("https://www.ncbi.nlm.nih.gov/nuccore/CP000058.1?report=graph&amp;tracks=[key:gene_model_track,Options:GeneOnly]&amp;mk=5282731:5282750|offset_53|00cc00,5282752:5282771|offset_74|444444,5282791:5282810|offset_113|444444,5282845:5282864|offset_167|444444&amp;v=5282530:5283064&amp;c=444444", "offset 53")</f>
        <v>offset 53</v>
      </c>
    </row>
    <row r="17170" customFormat="false" ht="12.8" hidden="false" customHeight="false" outlineLevel="0" collapsed="false">
      <c r="A17170" s="0" t="s">
        <v>12</v>
      </c>
      <c r="B17170" s="0" t="n">
        <v>5282751</v>
      </c>
      <c r="C17170" s="0" t="n">
        <v>5282771</v>
      </c>
      <c r="D17170" s="0" t="s">
        <v>57093</v>
      </c>
      <c r="E17170" s="0" t="s">
        <v>57094</v>
      </c>
      <c r="F17170" s="0" t="s">
        <v>15</v>
      </c>
      <c r="G17170" s="0" t="s">
        <v>20</v>
      </c>
      <c r="H17170" s="0" t="n">
        <v>74</v>
      </c>
      <c r="I17170" s="0" t="s">
        <v>57098</v>
      </c>
      <c r="J17170" s="0" t="s">
        <v>57099</v>
      </c>
      <c r="K17170" s="0" t="s">
        <v>57100</v>
      </c>
      <c r="L17170" s="0" t="str">
        <f aca="false">HYPERLINK("https://www.ncbi.nlm.nih.gov/nuccore/CP000058.1?report=graph&amp;tracks=[key:gene_model_track,Options:GeneOnly]&amp;mk=5282731:5282750|offset_53|444444,5282752:5282771|offset_74|00cc00,5282791:5282810|offset_113|444444,5282845:5282864|offset_167|444444&amp;v=5282530:5283064&amp;c=444444", "offset 74")</f>
        <v>offset 74</v>
      </c>
    </row>
    <row r="17171" customFormat="false" ht="12.8" hidden="false" customHeight="false" outlineLevel="0" collapsed="false">
      <c r="A17171" s="0" t="s">
        <v>12</v>
      </c>
      <c r="B17171" s="0" t="n">
        <v>5282790</v>
      </c>
      <c r="C17171" s="0" t="n">
        <v>5282810</v>
      </c>
      <c r="D17171" s="0" t="s">
        <v>57093</v>
      </c>
      <c r="E17171" s="0" t="s">
        <v>57094</v>
      </c>
      <c r="F17171" s="0" t="s">
        <v>15</v>
      </c>
      <c r="G17171" s="0" t="s">
        <v>20</v>
      </c>
      <c r="H17171" s="0" t="n">
        <v>113</v>
      </c>
      <c r="I17171" s="0" t="s">
        <v>57101</v>
      </c>
      <c r="J17171" s="0" t="s">
        <v>57102</v>
      </c>
      <c r="K17171" s="0" t="s">
        <v>57103</v>
      </c>
      <c r="L17171" s="0" t="str">
        <f aca="false">HYPERLINK("https://www.ncbi.nlm.nih.gov/nuccore/CP000058.1?report=graph&amp;tracks=[key:gene_model_track,Options:GeneOnly]&amp;mk=5282731:5282750|offset_53|444444,5282752:5282771|offset_74|444444,5282791:5282810|offset_113|00cc00,5282845:5282864|offset_167|444444&amp;v=5282530:5283064&amp;c=444444", "offset 113")</f>
        <v>offset 113</v>
      </c>
    </row>
    <row r="17172" customFormat="false" ht="12.8" hidden="false" customHeight="false" outlineLevel="0" collapsed="false">
      <c r="A17172" s="0" t="s">
        <v>12</v>
      </c>
      <c r="B17172" s="0" t="n">
        <v>5282844</v>
      </c>
      <c r="C17172" s="0" t="n">
        <v>5282864</v>
      </c>
      <c r="D17172" s="0" t="s">
        <v>57093</v>
      </c>
      <c r="E17172" s="0" t="s">
        <v>57094</v>
      </c>
      <c r="F17172" s="0" t="s">
        <v>15</v>
      </c>
      <c r="G17172" s="0" t="s">
        <v>20</v>
      </c>
      <c r="H17172" s="0" t="n">
        <v>167</v>
      </c>
      <c r="I17172" s="0" t="s">
        <v>57104</v>
      </c>
      <c r="J17172" s="0" t="s">
        <v>57105</v>
      </c>
      <c r="K17172" s="0" t="s">
        <v>57106</v>
      </c>
      <c r="L17172" s="0" t="str">
        <f aca="false">HYPERLINK("https://www.ncbi.nlm.nih.gov/nuccore/CP000058.1?report=graph&amp;tracks=[key:gene_model_track,Options:GeneOnly]&amp;mk=5282731:5282750|offset_53|444444,5282752:5282771|offset_74|444444,5282791:5282810|offset_113|444444,5282845:5282864|offset_167|00cc00&amp;v=5282530:5283064&amp;c=444444", "offset 167")</f>
        <v>offset 167</v>
      </c>
    </row>
    <row r="17173" customFormat="false" ht="12.8" hidden="false" customHeight="false" outlineLevel="0" collapsed="false">
      <c r="A17173" s="0" t="s">
        <v>12</v>
      </c>
      <c r="B17173" s="0" t="n">
        <v>5284132</v>
      </c>
      <c r="C17173" s="0" t="n">
        <v>5284152</v>
      </c>
      <c r="D17173" s="0" t="s">
        <v>57107</v>
      </c>
      <c r="E17173" s="0" t="s">
        <v>75</v>
      </c>
      <c r="F17173" s="0" t="s">
        <v>90</v>
      </c>
      <c r="G17173" s="0" t="s">
        <v>20</v>
      </c>
      <c r="H17173" s="0" t="n">
        <v>12</v>
      </c>
      <c r="I17173" s="0" t="s">
        <v>57108</v>
      </c>
      <c r="J17173" s="0" t="s">
        <v>57109</v>
      </c>
      <c r="K17173" s="0" t="s">
        <v>57110</v>
      </c>
      <c r="L17173" s="0" t="str">
        <f aca="false">HYPERLINK("https://www.ncbi.nlm.nih.gov/nuccore/CP000058.1?report=graph&amp;tracks=[key:gene_model_track,Options:GeneOnly]&amp;mk=5284133:5284152|offset_12|00cc00,5284080:5284099|offset_65|444444,5284015:5284034|offset_130|444444,5283981:5284000|offset_164|444444&amp;v=5283932:5284200&amp;c=444444", "offset 12")</f>
        <v>offset 12</v>
      </c>
    </row>
    <row r="17174" customFormat="false" ht="12.8" hidden="false" customHeight="false" outlineLevel="0" collapsed="false">
      <c r="A17174" s="0" t="s">
        <v>12</v>
      </c>
      <c r="B17174" s="0" t="n">
        <v>5284079</v>
      </c>
      <c r="C17174" s="0" t="n">
        <v>5284099</v>
      </c>
      <c r="D17174" s="0" t="s">
        <v>57107</v>
      </c>
      <c r="E17174" s="0" t="s">
        <v>75</v>
      </c>
      <c r="F17174" s="0" t="s">
        <v>90</v>
      </c>
      <c r="G17174" s="0" t="s">
        <v>36</v>
      </c>
      <c r="H17174" s="0" t="n">
        <v>65</v>
      </c>
      <c r="I17174" s="0" t="s">
        <v>57111</v>
      </c>
      <c r="J17174" s="0" t="s">
        <v>57112</v>
      </c>
      <c r="K17174" s="0" t="s">
        <v>57113</v>
      </c>
      <c r="L17174" s="0" t="str">
        <f aca="false">HYPERLINK("https://www.ncbi.nlm.nih.gov/nuccore/CP000058.1?report=graph&amp;tracks=[key:gene_model_track,Options:GeneOnly]&amp;mk=5284133:5284152|offset_12|444444,5284080:5284099|offset_65|00cc00,5284015:5284034|offset_130|444444,5283981:5284000|offset_164|444444&amp;v=5283932:5284200&amp;c=444444", "offset 65")</f>
        <v>offset 65</v>
      </c>
    </row>
    <row r="17175" customFormat="false" ht="12.8" hidden="false" customHeight="false" outlineLevel="0" collapsed="false">
      <c r="A17175" s="0" t="s">
        <v>12</v>
      </c>
      <c r="B17175" s="0" t="n">
        <v>5284014</v>
      </c>
      <c r="C17175" s="0" t="n">
        <v>5284034</v>
      </c>
      <c r="D17175" s="0" t="s">
        <v>57107</v>
      </c>
      <c r="E17175" s="0" t="s">
        <v>75</v>
      </c>
      <c r="F17175" s="0" t="s">
        <v>90</v>
      </c>
      <c r="G17175" s="0" t="s">
        <v>32</v>
      </c>
      <c r="H17175" s="0" t="n">
        <v>130</v>
      </c>
      <c r="I17175" s="0" t="s">
        <v>57114</v>
      </c>
      <c r="J17175" s="0" t="s">
        <v>57115</v>
      </c>
      <c r="K17175" s="0" t="s">
        <v>57116</v>
      </c>
      <c r="L17175" s="0" t="str">
        <f aca="false">HYPERLINK("https://www.ncbi.nlm.nih.gov/nuccore/CP000058.1?report=graph&amp;tracks=[key:gene_model_track,Options:GeneOnly]&amp;mk=5284133:5284152|offset_12|444444,5284080:5284099|offset_65|444444,5284015:5284034|offset_130|00cc00,5283981:5284000|offset_164|444444&amp;v=5283932:5284200&amp;c=444444", "offset 130")</f>
        <v>offset 130</v>
      </c>
    </row>
    <row r="17176" customFormat="false" ht="12.8" hidden="false" customHeight="false" outlineLevel="0" collapsed="false">
      <c r="A17176" s="0" t="s">
        <v>12</v>
      </c>
      <c r="B17176" s="0" t="n">
        <v>5283980</v>
      </c>
      <c r="C17176" s="0" t="n">
        <v>5284000</v>
      </c>
      <c r="D17176" s="0" t="s">
        <v>57107</v>
      </c>
      <c r="E17176" s="0" t="s">
        <v>75</v>
      </c>
      <c r="F17176" s="0" t="s">
        <v>90</v>
      </c>
      <c r="G17176" s="0" t="s">
        <v>16</v>
      </c>
      <c r="H17176" s="0" t="n">
        <v>164</v>
      </c>
      <c r="I17176" s="0" t="s">
        <v>57117</v>
      </c>
      <c r="J17176" s="0" t="s">
        <v>57118</v>
      </c>
      <c r="K17176" s="0" t="s">
        <v>57119</v>
      </c>
      <c r="L17176" s="0" t="str">
        <f aca="false">HYPERLINK("https://www.ncbi.nlm.nih.gov/nuccore/CP000058.1?report=graph&amp;tracks=[key:gene_model_track,Options:GeneOnly]&amp;mk=5284133:5284152|offset_12|444444,5284080:5284099|offset_65|444444,5284015:5284034|offset_130|444444,5283981:5284000|offset_164|00cc00&amp;v=5283932:5284200&amp;c=444444", "offset 164")</f>
        <v>offset 164</v>
      </c>
    </row>
    <row r="17177" customFormat="false" ht="12.8" hidden="false" customHeight="false" outlineLevel="0" collapsed="false">
      <c r="A17177" s="0" t="s">
        <v>12</v>
      </c>
      <c r="B17177" s="0" t="n">
        <v>5285186</v>
      </c>
      <c r="C17177" s="0" t="n">
        <v>5285206</v>
      </c>
      <c r="D17177" s="0" t="s">
        <v>57120</v>
      </c>
      <c r="E17177" s="0" t="s">
        <v>75</v>
      </c>
      <c r="F17177" s="0" t="s">
        <v>90</v>
      </c>
      <c r="G17177" s="0" t="s">
        <v>16</v>
      </c>
      <c r="H17177" s="0" t="n">
        <v>6</v>
      </c>
      <c r="I17177" s="0" t="s">
        <v>57121</v>
      </c>
      <c r="J17177" s="0" t="s">
        <v>57122</v>
      </c>
      <c r="K17177" s="0" t="s">
        <v>57123</v>
      </c>
      <c r="L17177" s="0" t="str">
        <f aca="false">HYPERLINK("https://www.ncbi.nlm.nih.gov/nuccore/CP000058.1?report=graph&amp;tracks=[key:gene_model_track,Options:GeneOnly]&amp;mk=5285187:5285206|offset_6|00cc00,5285157:5285176|offset_36|444444,5285136:5285155|offset_57|444444,5285113:5285132|offset_80|444444&amp;v=5284986:5285332&amp;c=444444", "offset 6")</f>
        <v>offset 6</v>
      </c>
    </row>
    <row r="17178" customFormat="false" ht="12.8" hidden="false" customHeight="false" outlineLevel="0" collapsed="false">
      <c r="A17178" s="0" t="s">
        <v>12</v>
      </c>
      <c r="B17178" s="0" t="n">
        <v>5285156</v>
      </c>
      <c r="C17178" s="0" t="n">
        <v>5285176</v>
      </c>
      <c r="D17178" s="0" t="s">
        <v>57120</v>
      </c>
      <c r="E17178" s="0" t="s">
        <v>75</v>
      </c>
      <c r="F17178" s="0" t="s">
        <v>90</v>
      </c>
      <c r="G17178" s="0" t="s">
        <v>36</v>
      </c>
      <c r="H17178" s="0" t="n">
        <v>36</v>
      </c>
      <c r="I17178" s="0" t="s">
        <v>57124</v>
      </c>
      <c r="J17178" s="0" t="s">
        <v>57125</v>
      </c>
      <c r="K17178" s="0" t="s">
        <v>57126</v>
      </c>
      <c r="L17178" s="0" t="str">
        <f aca="false">HYPERLINK("https://www.ncbi.nlm.nih.gov/nuccore/CP000058.1?report=graph&amp;tracks=[key:gene_model_track,Options:GeneOnly]&amp;mk=5285187:5285206|offset_6|444444,5285157:5285176|offset_36|00cc00,5285136:5285155|offset_57|444444,5285113:5285132|offset_80|444444&amp;v=5284986:5285332&amp;c=444444", "offset 36")</f>
        <v>offset 36</v>
      </c>
    </row>
    <row r="17179" customFormat="false" ht="12.8" hidden="false" customHeight="false" outlineLevel="0" collapsed="false">
      <c r="A17179" s="0" t="s">
        <v>12</v>
      </c>
      <c r="B17179" s="0" t="n">
        <v>5285135</v>
      </c>
      <c r="C17179" s="0" t="n">
        <v>5285155</v>
      </c>
      <c r="D17179" s="0" t="s">
        <v>57120</v>
      </c>
      <c r="E17179" s="0" t="s">
        <v>75</v>
      </c>
      <c r="F17179" s="0" t="s">
        <v>90</v>
      </c>
      <c r="G17179" s="0" t="s">
        <v>16</v>
      </c>
      <c r="H17179" s="0" t="n">
        <v>57</v>
      </c>
      <c r="I17179" s="0" t="s">
        <v>57127</v>
      </c>
      <c r="J17179" s="0" t="s">
        <v>57128</v>
      </c>
      <c r="K17179" s="0" t="s">
        <v>57129</v>
      </c>
      <c r="L17179" s="0" t="str">
        <f aca="false">HYPERLINK("https://www.ncbi.nlm.nih.gov/nuccore/CP000058.1?report=graph&amp;tracks=[key:gene_model_track,Options:GeneOnly]&amp;mk=5285187:5285206|offset_6|444444,5285157:5285176|offset_36|444444,5285136:5285155|offset_57|00cc00,5285113:5285132|offset_80|444444&amp;v=5284986:5285332&amp;c=444444", "offset 57")</f>
        <v>offset 57</v>
      </c>
    </row>
    <row r="17180" customFormat="false" ht="12.8" hidden="false" customHeight="false" outlineLevel="0" collapsed="false">
      <c r="A17180" s="0" t="s">
        <v>12</v>
      </c>
      <c r="B17180" s="0" t="n">
        <v>5285112</v>
      </c>
      <c r="C17180" s="0" t="n">
        <v>5285132</v>
      </c>
      <c r="D17180" s="0" t="s">
        <v>57120</v>
      </c>
      <c r="E17180" s="0" t="s">
        <v>75</v>
      </c>
      <c r="F17180" s="0" t="s">
        <v>90</v>
      </c>
      <c r="G17180" s="0" t="s">
        <v>36</v>
      </c>
      <c r="H17180" s="0" t="n">
        <v>80</v>
      </c>
      <c r="I17180" s="0" t="s">
        <v>57130</v>
      </c>
      <c r="J17180" s="0" t="s">
        <v>57131</v>
      </c>
      <c r="K17180" s="0" t="s">
        <v>57132</v>
      </c>
      <c r="L17180" s="0" t="str">
        <f aca="false">HYPERLINK("https://www.ncbi.nlm.nih.gov/nuccore/CP000058.1?report=graph&amp;tracks=[key:gene_model_track,Options:GeneOnly]&amp;mk=5285187:5285206|offset_6|444444,5285157:5285176|offset_36|444444,5285136:5285155|offset_57|444444,5285113:5285132|offset_80|00cc00&amp;v=5284986:5285332&amp;c=444444", "offset 80")</f>
        <v>offset 80</v>
      </c>
    </row>
    <row r="17181" customFormat="false" ht="12.8" hidden="false" customHeight="false" outlineLevel="0" collapsed="false">
      <c r="A17181" s="0" t="s">
        <v>12</v>
      </c>
      <c r="B17181" s="0" t="n">
        <v>5285334</v>
      </c>
      <c r="C17181" s="0" t="n">
        <v>5285354</v>
      </c>
      <c r="D17181" s="0" t="s">
        <v>57133</v>
      </c>
      <c r="E17181" s="0" t="s">
        <v>75</v>
      </c>
      <c r="F17181" s="0" t="s">
        <v>15</v>
      </c>
      <c r="G17181" s="0" t="s">
        <v>16</v>
      </c>
      <c r="H17181" s="0" t="n">
        <v>37</v>
      </c>
      <c r="I17181" s="0" t="s">
        <v>57134</v>
      </c>
      <c r="J17181" s="0" t="s">
        <v>57135</v>
      </c>
      <c r="K17181" s="0" t="s">
        <v>57136</v>
      </c>
      <c r="L17181" s="0" t="str">
        <f aca="false">HYPERLINK("https://www.ncbi.nlm.nih.gov/nuccore/CP000058.1?report=graph&amp;tracks=[key:gene_model_track,Options:GeneOnly]&amp;mk=5285335:5285354|offset_37|00cc00,5285377:5285396|offset_79|444444,5285404:5285423|offset_106|444444,5285477:5285496|offset_179|444444&amp;v=5285134:5285696&amp;c=444444", "offset 37")</f>
        <v>offset 37</v>
      </c>
    </row>
    <row r="17182" customFormat="false" ht="12.8" hidden="false" customHeight="false" outlineLevel="0" collapsed="false">
      <c r="A17182" s="0" t="s">
        <v>12</v>
      </c>
      <c r="B17182" s="0" t="n">
        <v>5285376</v>
      </c>
      <c r="C17182" s="0" t="n">
        <v>5285396</v>
      </c>
      <c r="D17182" s="0" t="s">
        <v>57133</v>
      </c>
      <c r="E17182" s="0" t="s">
        <v>75</v>
      </c>
      <c r="F17182" s="0" t="s">
        <v>15</v>
      </c>
      <c r="G17182" s="0" t="s">
        <v>20</v>
      </c>
      <c r="H17182" s="0" t="n">
        <v>79</v>
      </c>
      <c r="I17182" s="0" t="s">
        <v>57137</v>
      </c>
      <c r="J17182" s="0" t="s">
        <v>57138</v>
      </c>
      <c r="K17182" s="0" t="s">
        <v>57139</v>
      </c>
      <c r="L17182" s="0" t="str">
        <f aca="false">HYPERLINK("https://www.ncbi.nlm.nih.gov/nuccore/CP000058.1?report=graph&amp;tracks=[key:gene_model_track,Options:GeneOnly]&amp;mk=5285335:5285354|offset_37|444444,5285377:5285396|offset_79|00cc00,5285404:5285423|offset_106|444444,5285477:5285496|offset_179|444444&amp;v=5285134:5285696&amp;c=444444", "offset 79")</f>
        <v>offset 79</v>
      </c>
    </row>
    <row r="17183" customFormat="false" ht="12.8" hidden="false" customHeight="false" outlineLevel="0" collapsed="false">
      <c r="A17183" s="0" t="s">
        <v>12</v>
      </c>
      <c r="B17183" s="0" t="n">
        <v>5285403</v>
      </c>
      <c r="C17183" s="0" t="n">
        <v>5285423</v>
      </c>
      <c r="D17183" s="0" t="s">
        <v>57133</v>
      </c>
      <c r="E17183" s="0" t="s">
        <v>75</v>
      </c>
      <c r="F17183" s="0" t="s">
        <v>15</v>
      </c>
      <c r="G17183" s="0" t="s">
        <v>16</v>
      </c>
      <c r="H17183" s="0" t="n">
        <v>106</v>
      </c>
      <c r="I17183" s="0" t="s">
        <v>57140</v>
      </c>
      <c r="J17183" s="0" t="s">
        <v>57141</v>
      </c>
      <c r="K17183" s="0" t="s">
        <v>57142</v>
      </c>
      <c r="L17183" s="0" t="str">
        <f aca="false">HYPERLINK("https://www.ncbi.nlm.nih.gov/nuccore/CP000058.1?report=graph&amp;tracks=[key:gene_model_track,Options:GeneOnly]&amp;mk=5285335:5285354|offset_37|444444,5285377:5285396|offset_79|444444,5285404:5285423|offset_106|00cc00,5285477:5285496|offset_179|444444&amp;v=5285134:5285696&amp;c=444444", "offset 106")</f>
        <v>offset 106</v>
      </c>
    </row>
    <row r="17184" customFormat="false" ht="12.8" hidden="false" customHeight="false" outlineLevel="0" collapsed="false">
      <c r="A17184" s="0" t="s">
        <v>12</v>
      </c>
      <c r="B17184" s="0" t="n">
        <v>5285476</v>
      </c>
      <c r="C17184" s="0" t="n">
        <v>5285496</v>
      </c>
      <c r="D17184" s="0" t="s">
        <v>57133</v>
      </c>
      <c r="E17184" s="0" t="s">
        <v>75</v>
      </c>
      <c r="F17184" s="0" t="s">
        <v>15</v>
      </c>
      <c r="G17184" s="0" t="s">
        <v>20</v>
      </c>
      <c r="H17184" s="0" t="n">
        <v>179</v>
      </c>
      <c r="I17184" s="0" t="s">
        <v>57143</v>
      </c>
      <c r="J17184" s="0" t="s">
        <v>57144</v>
      </c>
      <c r="K17184" s="0" t="s">
        <v>57145</v>
      </c>
      <c r="L17184" s="0" t="str">
        <f aca="false">HYPERLINK("https://www.ncbi.nlm.nih.gov/nuccore/CP000058.1?report=graph&amp;tracks=[key:gene_model_track,Options:GeneOnly]&amp;mk=5285335:5285354|offset_37|444444,5285377:5285396|offset_79|444444,5285404:5285423|offset_106|444444,5285477:5285496|offset_179|00cc00&amp;v=5285134:5285696&amp;c=444444", "offset 179")</f>
        <v>offset 179</v>
      </c>
    </row>
    <row r="17185" customFormat="false" ht="12.8" hidden="false" customHeight="false" outlineLevel="0" collapsed="false">
      <c r="A17185" s="0" t="s">
        <v>12</v>
      </c>
      <c r="B17185" s="0" t="n">
        <v>5287682</v>
      </c>
      <c r="C17185" s="0" t="n">
        <v>5287702</v>
      </c>
      <c r="D17185" s="0" t="s">
        <v>57146</v>
      </c>
      <c r="E17185" s="0" t="s">
        <v>75</v>
      </c>
      <c r="F17185" s="0" t="s">
        <v>90</v>
      </c>
      <c r="G17185" s="0" t="s">
        <v>20</v>
      </c>
      <c r="H17185" s="0" t="n">
        <v>28</v>
      </c>
      <c r="I17185" s="0" t="s">
        <v>57147</v>
      </c>
      <c r="J17185" s="0" t="s">
        <v>57148</v>
      </c>
      <c r="K17185" s="0" t="s">
        <v>57149</v>
      </c>
      <c r="L17185" s="0" t="str">
        <f aca="false">HYPERLINK("https://www.ncbi.nlm.nih.gov/nuccore/CP000058.1?report=graph&amp;tracks=[key:gene_model_track,Options:GeneOnly]&amp;mk=5287683:5287702|offset_28|00cc00,5287656:5287675|offset_55|444444,5287610:5287629|offset_101|444444,5287585:5287604|offset_126|444444&amp;v=5287482:5287804&amp;c=444444", "offset 28")</f>
        <v>offset 28</v>
      </c>
    </row>
    <row r="17186" customFormat="false" ht="12.8" hidden="false" customHeight="false" outlineLevel="0" collapsed="false">
      <c r="A17186" s="0" t="s">
        <v>12</v>
      </c>
      <c r="B17186" s="0" t="n">
        <v>5287655</v>
      </c>
      <c r="C17186" s="0" t="n">
        <v>5287675</v>
      </c>
      <c r="D17186" s="0" t="s">
        <v>57146</v>
      </c>
      <c r="E17186" s="0" t="s">
        <v>75</v>
      </c>
      <c r="F17186" s="0" t="s">
        <v>90</v>
      </c>
      <c r="G17186" s="0" t="s">
        <v>32</v>
      </c>
      <c r="H17186" s="0" t="n">
        <v>55</v>
      </c>
      <c r="I17186" s="0" t="s">
        <v>57150</v>
      </c>
      <c r="J17186" s="0" t="s">
        <v>57151</v>
      </c>
      <c r="K17186" s="0" t="s">
        <v>57152</v>
      </c>
      <c r="L17186" s="0" t="str">
        <f aca="false">HYPERLINK("https://www.ncbi.nlm.nih.gov/nuccore/CP000058.1?report=graph&amp;tracks=[key:gene_model_track,Options:GeneOnly]&amp;mk=5287683:5287702|offset_28|444444,5287656:5287675|offset_55|00cc00,5287610:5287629|offset_101|444444,5287585:5287604|offset_126|444444&amp;v=5287482:5287804&amp;c=444444", "offset 55")</f>
        <v>offset 55</v>
      </c>
    </row>
    <row r="17187" customFormat="false" ht="12.8" hidden="false" customHeight="false" outlineLevel="0" collapsed="false">
      <c r="A17187" s="0" t="s">
        <v>12</v>
      </c>
      <c r="B17187" s="0" t="n">
        <v>5287609</v>
      </c>
      <c r="C17187" s="0" t="n">
        <v>5287629</v>
      </c>
      <c r="D17187" s="0" t="s">
        <v>57146</v>
      </c>
      <c r="E17187" s="0" t="s">
        <v>75</v>
      </c>
      <c r="F17187" s="0" t="s">
        <v>90</v>
      </c>
      <c r="G17187" s="0" t="s">
        <v>16</v>
      </c>
      <c r="H17187" s="0" t="n">
        <v>101</v>
      </c>
      <c r="I17187" s="0" t="s">
        <v>57153</v>
      </c>
      <c r="J17187" s="0" t="s">
        <v>57154</v>
      </c>
      <c r="K17187" s="0" t="s">
        <v>57155</v>
      </c>
      <c r="L17187" s="0" t="str">
        <f aca="false">HYPERLINK("https://www.ncbi.nlm.nih.gov/nuccore/CP000058.1?report=graph&amp;tracks=[key:gene_model_track,Options:GeneOnly]&amp;mk=5287683:5287702|offset_28|444444,5287656:5287675|offset_55|444444,5287610:5287629|offset_101|00cc00,5287585:5287604|offset_126|444444&amp;v=5287482:5287804&amp;c=444444", "offset 101")</f>
        <v>offset 101</v>
      </c>
    </row>
    <row r="17188" customFormat="false" ht="12.8" hidden="false" customHeight="false" outlineLevel="0" collapsed="false">
      <c r="A17188" s="0" t="s">
        <v>12</v>
      </c>
      <c r="B17188" s="0" t="n">
        <v>5287584</v>
      </c>
      <c r="C17188" s="0" t="n">
        <v>5287604</v>
      </c>
      <c r="D17188" s="0" t="s">
        <v>57146</v>
      </c>
      <c r="E17188" s="0" t="s">
        <v>75</v>
      </c>
      <c r="F17188" s="0" t="s">
        <v>90</v>
      </c>
      <c r="G17188" s="0" t="s">
        <v>20</v>
      </c>
      <c r="H17188" s="0" t="n">
        <v>126</v>
      </c>
      <c r="I17188" s="0" t="s">
        <v>57156</v>
      </c>
      <c r="J17188" s="0" t="s">
        <v>57157</v>
      </c>
      <c r="K17188" s="0" t="s">
        <v>57158</v>
      </c>
      <c r="L17188" s="0" t="str">
        <f aca="false">HYPERLINK("https://www.ncbi.nlm.nih.gov/nuccore/CP000058.1?report=graph&amp;tracks=[key:gene_model_track,Options:GeneOnly]&amp;mk=5287683:5287702|offset_28|444444,5287656:5287675|offset_55|444444,5287610:5287629|offset_101|444444,5287585:5287604|offset_126|00cc00&amp;v=5287482:5287804&amp;c=444444", "offset 126")</f>
        <v>offset 126</v>
      </c>
    </row>
    <row r="17189" customFormat="false" ht="12.8" hidden="false" customHeight="false" outlineLevel="0" collapsed="false">
      <c r="A17189" s="0" t="s">
        <v>12</v>
      </c>
      <c r="B17189" s="0" t="n">
        <v>5287939</v>
      </c>
      <c r="C17189" s="0" t="n">
        <v>5287959</v>
      </c>
      <c r="D17189" s="0" t="s">
        <v>57159</v>
      </c>
      <c r="E17189" s="0" t="s">
        <v>75</v>
      </c>
      <c r="F17189" s="0" t="s">
        <v>90</v>
      </c>
      <c r="G17189" s="0" t="s">
        <v>36</v>
      </c>
      <c r="H17189" s="0" t="n">
        <v>82</v>
      </c>
      <c r="I17189" s="0" t="s">
        <v>57160</v>
      </c>
      <c r="J17189" s="0" t="s">
        <v>57161</v>
      </c>
      <c r="K17189" s="0" t="s">
        <v>57162</v>
      </c>
      <c r="L17189" s="0" t="str">
        <f aca="false">HYPERLINK("https://www.ncbi.nlm.nih.gov/nuccore/CP000058.1?report=graph&amp;tracks=[key:gene_model_track,Options:GeneOnly]&amp;mk=5287940:5287959|offset_82|00cc00,5287859:5287878|offset_163|444444,5287837:5287856|offset_185|444444,5287805:5287824|offset_217|444444&amp;v=5287739:5288024&amp;c=444444", "offset 82")</f>
        <v>offset 82</v>
      </c>
    </row>
    <row r="17190" customFormat="false" ht="12.8" hidden="false" customHeight="false" outlineLevel="0" collapsed="false">
      <c r="A17190" s="0" t="s">
        <v>12</v>
      </c>
      <c r="B17190" s="0" t="n">
        <v>5287858</v>
      </c>
      <c r="C17190" s="0" t="n">
        <v>5287878</v>
      </c>
      <c r="D17190" s="0" t="s">
        <v>57159</v>
      </c>
      <c r="E17190" s="0" t="s">
        <v>75</v>
      </c>
      <c r="F17190" s="0" t="s">
        <v>90</v>
      </c>
      <c r="G17190" s="0" t="s">
        <v>16</v>
      </c>
      <c r="H17190" s="0" t="n">
        <v>163</v>
      </c>
      <c r="I17190" s="0" t="s">
        <v>57163</v>
      </c>
      <c r="J17190" s="0" t="s">
        <v>57164</v>
      </c>
      <c r="K17190" s="0" t="s">
        <v>57165</v>
      </c>
      <c r="L17190" s="0" t="str">
        <f aca="false">HYPERLINK("https://www.ncbi.nlm.nih.gov/nuccore/CP000058.1?report=graph&amp;tracks=[key:gene_model_track,Options:GeneOnly]&amp;mk=5287940:5287959|offset_82|444444,5287859:5287878|offset_163|00cc00,5287837:5287856|offset_185|444444,5287805:5287824|offset_217|444444&amp;v=5287739:5288024&amp;c=444444", "offset 163")</f>
        <v>offset 163</v>
      </c>
    </row>
    <row r="17191" customFormat="false" ht="12.8" hidden="false" customHeight="false" outlineLevel="0" collapsed="false">
      <c r="A17191" s="0" t="s">
        <v>12</v>
      </c>
      <c r="B17191" s="0" t="n">
        <v>5287836</v>
      </c>
      <c r="C17191" s="0" t="n">
        <v>5287856</v>
      </c>
      <c r="D17191" s="0" t="s">
        <v>57159</v>
      </c>
      <c r="E17191" s="0" t="s">
        <v>75</v>
      </c>
      <c r="F17191" s="0" t="s">
        <v>90</v>
      </c>
      <c r="G17191" s="0" t="s">
        <v>20</v>
      </c>
      <c r="H17191" s="0" t="n">
        <v>185</v>
      </c>
      <c r="I17191" s="0" t="s">
        <v>57166</v>
      </c>
      <c r="J17191" s="0" t="s">
        <v>57167</v>
      </c>
      <c r="K17191" s="0" t="s">
        <v>57168</v>
      </c>
      <c r="L17191" s="0" t="str">
        <f aca="false">HYPERLINK("https://www.ncbi.nlm.nih.gov/nuccore/CP000058.1?report=graph&amp;tracks=[key:gene_model_track,Options:GeneOnly]&amp;mk=5287940:5287959|offset_82|444444,5287859:5287878|offset_163|444444,5287837:5287856|offset_185|00cc00,5287805:5287824|offset_217|444444&amp;v=5287739:5288024&amp;c=444444", "offset 185")</f>
        <v>offset 185</v>
      </c>
    </row>
    <row r="17192" customFormat="false" ht="12.8" hidden="false" customHeight="false" outlineLevel="0" collapsed="false">
      <c r="A17192" s="0" t="s">
        <v>12</v>
      </c>
      <c r="B17192" s="0" t="n">
        <v>5287804</v>
      </c>
      <c r="C17192" s="0" t="n">
        <v>5287824</v>
      </c>
      <c r="D17192" s="0" t="s">
        <v>57159</v>
      </c>
      <c r="E17192" s="0" t="s">
        <v>75</v>
      </c>
      <c r="F17192" s="0" t="s">
        <v>90</v>
      </c>
      <c r="G17192" s="0" t="s">
        <v>16</v>
      </c>
      <c r="H17192" s="0" t="n">
        <v>217</v>
      </c>
      <c r="I17192" s="0" t="s">
        <v>57169</v>
      </c>
      <c r="J17192" s="0" t="s">
        <v>57170</v>
      </c>
      <c r="K17192" s="0" t="s">
        <v>57171</v>
      </c>
      <c r="L17192" s="0" t="str">
        <f aca="false">HYPERLINK("https://www.ncbi.nlm.nih.gov/nuccore/CP000058.1?report=graph&amp;tracks=[key:gene_model_track,Options:GeneOnly]&amp;mk=5287940:5287959|offset_82|444444,5287859:5287878|offset_163|444444,5287837:5287856|offset_185|444444,5287805:5287824|offset_217|00cc00&amp;v=5287739:5288024&amp;c=444444", "offset 217")</f>
        <v>offset 217</v>
      </c>
    </row>
    <row r="17193" customFormat="false" ht="12.8" hidden="false" customHeight="false" outlineLevel="0" collapsed="false">
      <c r="A17193" s="0" t="s">
        <v>12</v>
      </c>
      <c r="B17193" s="0" t="n">
        <v>5289534</v>
      </c>
      <c r="C17193" s="0" t="n">
        <v>5289554</v>
      </c>
      <c r="D17193" s="0" t="s">
        <v>57172</v>
      </c>
      <c r="E17193" s="0" t="s">
        <v>75</v>
      </c>
      <c r="F17193" s="0" t="s">
        <v>90</v>
      </c>
      <c r="G17193" s="0" t="s">
        <v>32</v>
      </c>
      <c r="H17193" s="0" t="n">
        <v>1</v>
      </c>
      <c r="I17193" s="0" t="s">
        <v>57173</v>
      </c>
      <c r="J17193" s="0" t="s">
        <v>57174</v>
      </c>
      <c r="K17193" s="0" t="s">
        <v>57175</v>
      </c>
      <c r="L17193" s="0" t="str">
        <f aca="false">HYPERLINK("https://www.ncbi.nlm.nih.gov/nuccore/CP000058.1?report=graph&amp;tracks=[key:gene_model_track,Options:GeneOnly]&amp;mk=5289535:5289554|offset_1|00cc00,5289511:5289530|offset_25|444444,5289488:5289507|offset_48|444444,5289468:5289487|offset_68|444444&amp;v=5289334:5289687&amp;c=444444", "offset 1")</f>
        <v>offset 1</v>
      </c>
    </row>
    <row r="17194" customFormat="false" ht="12.8" hidden="false" customHeight="false" outlineLevel="0" collapsed="false">
      <c r="A17194" s="0" t="s">
        <v>12</v>
      </c>
      <c r="B17194" s="0" t="n">
        <v>5289510</v>
      </c>
      <c r="C17194" s="0" t="n">
        <v>5289530</v>
      </c>
      <c r="D17194" s="0" t="s">
        <v>57172</v>
      </c>
      <c r="E17194" s="0" t="s">
        <v>75</v>
      </c>
      <c r="F17194" s="0" t="s">
        <v>90</v>
      </c>
      <c r="G17194" s="0" t="s">
        <v>32</v>
      </c>
      <c r="H17194" s="0" t="n">
        <v>25</v>
      </c>
      <c r="I17194" s="0" t="s">
        <v>57176</v>
      </c>
      <c r="J17194" s="0" t="s">
        <v>57177</v>
      </c>
      <c r="K17194" s="0" t="s">
        <v>57178</v>
      </c>
      <c r="L17194" s="0" t="str">
        <f aca="false">HYPERLINK("https://www.ncbi.nlm.nih.gov/nuccore/CP000058.1?report=graph&amp;tracks=[key:gene_model_track,Options:GeneOnly]&amp;mk=5289535:5289554|offset_1|444444,5289511:5289530|offset_25|00cc00,5289488:5289507|offset_48|444444,5289468:5289487|offset_68|444444&amp;v=5289334:5289687&amp;c=444444", "offset 25")</f>
        <v>offset 25</v>
      </c>
    </row>
    <row r="17195" customFormat="false" ht="12.8" hidden="false" customHeight="false" outlineLevel="0" collapsed="false">
      <c r="A17195" s="0" t="s">
        <v>12</v>
      </c>
      <c r="B17195" s="0" t="n">
        <v>5289487</v>
      </c>
      <c r="C17195" s="0" t="n">
        <v>5289507</v>
      </c>
      <c r="D17195" s="0" t="s">
        <v>57172</v>
      </c>
      <c r="E17195" s="0" t="s">
        <v>75</v>
      </c>
      <c r="F17195" s="0" t="s">
        <v>90</v>
      </c>
      <c r="G17195" s="0" t="s">
        <v>16</v>
      </c>
      <c r="H17195" s="0" t="n">
        <v>48</v>
      </c>
      <c r="I17195" s="0" t="s">
        <v>57179</v>
      </c>
      <c r="J17195" s="0" t="s">
        <v>57180</v>
      </c>
      <c r="K17195" s="0" t="s">
        <v>57181</v>
      </c>
      <c r="L17195" s="0" t="str">
        <f aca="false">HYPERLINK("https://www.ncbi.nlm.nih.gov/nuccore/CP000058.1?report=graph&amp;tracks=[key:gene_model_track,Options:GeneOnly]&amp;mk=5289535:5289554|offset_1|444444,5289511:5289530|offset_25|444444,5289488:5289507|offset_48|00cc00,5289468:5289487|offset_68|444444&amp;v=5289334:5289687&amp;c=444444", "offset 48")</f>
        <v>offset 48</v>
      </c>
    </row>
    <row r="17196" customFormat="false" ht="12.8" hidden="false" customHeight="false" outlineLevel="0" collapsed="false">
      <c r="A17196" s="0" t="s">
        <v>12</v>
      </c>
      <c r="B17196" s="0" t="n">
        <v>5289467</v>
      </c>
      <c r="C17196" s="0" t="n">
        <v>5289487</v>
      </c>
      <c r="D17196" s="0" t="s">
        <v>57172</v>
      </c>
      <c r="E17196" s="0" t="s">
        <v>75</v>
      </c>
      <c r="F17196" s="0" t="s">
        <v>90</v>
      </c>
      <c r="G17196" s="0" t="s">
        <v>36</v>
      </c>
      <c r="H17196" s="0" t="n">
        <v>68</v>
      </c>
      <c r="I17196" s="0" t="s">
        <v>57182</v>
      </c>
      <c r="J17196" s="0" t="s">
        <v>57183</v>
      </c>
      <c r="K17196" s="0" t="s">
        <v>57184</v>
      </c>
      <c r="L17196" s="0" t="str">
        <f aca="false">HYPERLINK("https://www.ncbi.nlm.nih.gov/nuccore/CP000058.1?report=graph&amp;tracks=[key:gene_model_track,Options:GeneOnly]&amp;mk=5289535:5289554|offset_1|444444,5289511:5289530|offset_25|444444,5289488:5289507|offset_48|444444,5289468:5289487|offset_68|00cc00&amp;v=5289334:5289687&amp;c=444444", "offset 68")</f>
        <v>offset 68</v>
      </c>
    </row>
    <row r="17197" customFormat="false" ht="12.8" hidden="false" customHeight="false" outlineLevel="0" collapsed="false">
      <c r="A17197" s="0" t="s">
        <v>12</v>
      </c>
      <c r="B17197" s="0" t="n">
        <v>5289664</v>
      </c>
      <c r="C17197" s="0" t="n">
        <v>5289684</v>
      </c>
      <c r="D17197" s="0" t="s">
        <v>57185</v>
      </c>
      <c r="E17197" s="0" t="s">
        <v>75</v>
      </c>
      <c r="F17197" s="0" t="s">
        <v>15</v>
      </c>
      <c r="G17197" s="0" t="s">
        <v>32</v>
      </c>
      <c r="H17197" s="0" t="n">
        <v>1</v>
      </c>
      <c r="I17197" s="0" t="s">
        <v>57186</v>
      </c>
      <c r="J17197" s="0" t="s">
        <v>57187</v>
      </c>
      <c r="K17197" s="0" t="s">
        <v>57188</v>
      </c>
      <c r="L17197" s="0" t="str">
        <f aca="false">HYPERLINK("https://www.ncbi.nlm.nih.gov/nuccore/CP000058.1?report=graph&amp;tracks=[key:gene_model_track,Options:GeneOnly]&amp;mk=5289665:5289684|offset_1|00cc00,5289695:5289714|offset_31|444444,5289728:5289747|offset_64|444444,5289753:5289772|offset_89|444444&amp;v=5289464:5289972&amp;c=444444", "offset 1")</f>
        <v>offset 1</v>
      </c>
    </row>
    <row r="17198" customFormat="false" ht="12.8" hidden="false" customHeight="false" outlineLevel="0" collapsed="false">
      <c r="A17198" s="0" t="s">
        <v>12</v>
      </c>
      <c r="B17198" s="0" t="n">
        <v>5289694</v>
      </c>
      <c r="C17198" s="0" t="n">
        <v>5289714</v>
      </c>
      <c r="D17198" s="0" t="s">
        <v>57185</v>
      </c>
      <c r="E17198" s="0" t="s">
        <v>75</v>
      </c>
      <c r="F17198" s="0" t="s">
        <v>15</v>
      </c>
      <c r="G17198" s="0" t="s">
        <v>32</v>
      </c>
      <c r="H17198" s="0" t="n">
        <v>31</v>
      </c>
      <c r="I17198" s="0" t="s">
        <v>57189</v>
      </c>
      <c r="J17198" s="0" t="s">
        <v>57190</v>
      </c>
      <c r="K17198" s="0" t="s">
        <v>57191</v>
      </c>
      <c r="L17198" s="0" t="str">
        <f aca="false">HYPERLINK("https://www.ncbi.nlm.nih.gov/nuccore/CP000058.1?report=graph&amp;tracks=[key:gene_model_track,Options:GeneOnly]&amp;mk=5289665:5289684|offset_1|444444,5289695:5289714|offset_31|00cc00,5289728:5289747|offset_64|444444,5289753:5289772|offset_89|444444&amp;v=5289464:5289972&amp;c=444444", "offset 31")</f>
        <v>offset 31</v>
      </c>
    </row>
    <row r="17199" customFormat="false" ht="12.8" hidden="false" customHeight="false" outlineLevel="0" collapsed="false">
      <c r="A17199" s="0" t="s">
        <v>12</v>
      </c>
      <c r="B17199" s="0" t="n">
        <v>5289727</v>
      </c>
      <c r="C17199" s="0" t="n">
        <v>5289747</v>
      </c>
      <c r="D17199" s="0" t="s">
        <v>57185</v>
      </c>
      <c r="E17199" s="0" t="s">
        <v>75</v>
      </c>
      <c r="F17199" s="0" t="s">
        <v>15</v>
      </c>
      <c r="G17199" s="0" t="s">
        <v>16</v>
      </c>
      <c r="H17199" s="0" t="n">
        <v>64</v>
      </c>
      <c r="I17199" s="0" t="s">
        <v>57192</v>
      </c>
      <c r="J17199" s="0" t="s">
        <v>57193</v>
      </c>
      <c r="K17199" s="0" t="s">
        <v>57194</v>
      </c>
      <c r="L17199" s="0" t="str">
        <f aca="false">HYPERLINK("https://www.ncbi.nlm.nih.gov/nuccore/CP000058.1?report=graph&amp;tracks=[key:gene_model_track,Options:GeneOnly]&amp;mk=5289665:5289684|offset_1|444444,5289695:5289714|offset_31|444444,5289728:5289747|offset_64|00cc00,5289753:5289772|offset_89|444444&amp;v=5289464:5289972&amp;c=444444", "offset 64")</f>
        <v>offset 64</v>
      </c>
    </row>
    <row r="17200" customFormat="false" ht="12.8" hidden="false" customHeight="false" outlineLevel="0" collapsed="false">
      <c r="A17200" s="0" t="s">
        <v>12</v>
      </c>
      <c r="B17200" s="0" t="n">
        <v>5289752</v>
      </c>
      <c r="C17200" s="0" t="n">
        <v>5289772</v>
      </c>
      <c r="D17200" s="0" t="s">
        <v>57185</v>
      </c>
      <c r="E17200" s="0" t="s">
        <v>75</v>
      </c>
      <c r="F17200" s="0" t="s">
        <v>15</v>
      </c>
      <c r="G17200" s="0" t="s">
        <v>20</v>
      </c>
      <c r="H17200" s="0" t="n">
        <v>89</v>
      </c>
      <c r="I17200" s="0" t="s">
        <v>57195</v>
      </c>
      <c r="J17200" s="0" t="s">
        <v>57196</v>
      </c>
      <c r="K17200" s="0" t="s">
        <v>57197</v>
      </c>
      <c r="L17200" s="0" t="str">
        <f aca="false">HYPERLINK("https://www.ncbi.nlm.nih.gov/nuccore/CP000058.1?report=graph&amp;tracks=[key:gene_model_track,Options:GeneOnly]&amp;mk=5289665:5289684|offset_1|444444,5289695:5289714|offset_31|444444,5289728:5289747|offset_64|444444,5289753:5289772|offset_89|00cc00&amp;v=5289464:5289972&amp;c=444444", "offset 89")</f>
        <v>offset 89</v>
      </c>
    </row>
    <row r="17201" customFormat="false" ht="12.8" hidden="false" customHeight="false" outlineLevel="0" collapsed="false">
      <c r="A17201" s="0" t="s">
        <v>12</v>
      </c>
      <c r="B17201" s="0" t="n">
        <v>5291072</v>
      </c>
      <c r="C17201" s="0" t="n">
        <v>5291092</v>
      </c>
      <c r="D17201" s="0" t="s">
        <v>57198</v>
      </c>
      <c r="E17201" s="0" t="s">
        <v>75</v>
      </c>
      <c r="F17201" s="0" t="s">
        <v>15</v>
      </c>
      <c r="G17201" s="0" t="s">
        <v>20</v>
      </c>
      <c r="H17201" s="0" t="n">
        <v>23</v>
      </c>
      <c r="I17201" s="0" t="s">
        <v>57199</v>
      </c>
      <c r="J17201" s="0" t="s">
        <v>57200</v>
      </c>
      <c r="K17201" s="0" t="s">
        <v>57201</v>
      </c>
      <c r="L17201" s="0" t="str">
        <f aca="false">HYPERLINK("https://www.ncbi.nlm.nih.gov/nuccore/CP000058.1?report=graph&amp;tracks=[key:gene_model_track,Options:GeneOnly]&amp;mk=5291073:5291092|offset_23|00cc00,5291096:5291115|offset_46|444444,5291149:5291168|offset_99|444444,5291186:5291205|offset_136|444444&amp;v=5290872:5291405&amp;c=444444", "offset 23")</f>
        <v>offset 23</v>
      </c>
    </row>
    <row r="17202" customFormat="false" ht="12.8" hidden="false" customHeight="false" outlineLevel="0" collapsed="false">
      <c r="A17202" s="0" t="s">
        <v>12</v>
      </c>
      <c r="B17202" s="0" t="n">
        <v>5291095</v>
      </c>
      <c r="C17202" s="0" t="n">
        <v>5291115</v>
      </c>
      <c r="D17202" s="0" t="s">
        <v>57198</v>
      </c>
      <c r="E17202" s="0" t="s">
        <v>75</v>
      </c>
      <c r="F17202" s="0" t="s">
        <v>15</v>
      </c>
      <c r="G17202" s="0" t="s">
        <v>32</v>
      </c>
      <c r="H17202" s="0" t="n">
        <v>46</v>
      </c>
      <c r="I17202" s="0" t="s">
        <v>57202</v>
      </c>
      <c r="J17202" s="0" t="s">
        <v>57203</v>
      </c>
      <c r="K17202" s="0" t="s">
        <v>57204</v>
      </c>
      <c r="L17202" s="0" t="str">
        <f aca="false">HYPERLINK("https://www.ncbi.nlm.nih.gov/nuccore/CP000058.1?report=graph&amp;tracks=[key:gene_model_track,Options:GeneOnly]&amp;mk=5291073:5291092|offset_23|444444,5291096:5291115|offset_46|00cc00,5291149:5291168|offset_99|444444,5291186:5291205|offset_136|444444&amp;v=5290872:5291405&amp;c=444444", "offset 46")</f>
        <v>offset 46</v>
      </c>
    </row>
    <row r="17203" customFormat="false" ht="12.8" hidden="false" customHeight="false" outlineLevel="0" collapsed="false">
      <c r="A17203" s="0" t="s">
        <v>12</v>
      </c>
      <c r="B17203" s="0" t="n">
        <v>5291148</v>
      </c>
      <c r="C17203" s="0" t="n">
        <v>5291168</v>
      </c>
      <c r="D17203" s="0" t="s">
        <v>57198</v>
      </c>
      <c r="E17203" s="0" t="s">
        <v>75</v>
      </c>
      <c r="F17203" s="0" t="s">
        <v>15</v>
      </c>
      <c r="G17203" s="0" t="s">
        <v>36</v>
      </c>
      <c r="H17203" s="0" t="n">
        <v>99</v>
      </c>
      <c r="I17203" s="0" t="s">
        <v>57205</v>
      </c>
      <c r="J17203" s="0" t="s">
        <v>57206</v>
      </c>
      <c r="K17203" s="0" t="s">
        <v>57207</v>
      </c>
      <c r="L17203" s="0" t="str">
        <f aca="false">HYPERLINK("https://www.ncbi.nlm.nih.gov/nuccore/CP000058.1?report=graph&amp;tracks=[key:gene_model_track,Options:GeneOnly]&amp;mk=5291073:5291092|offset_23|444444,5291096:5291115|offset_46|444444,5291149:5291168|offset_99|00cc00,5291186:5291205|offset_136|444444&amp;v=5290872:5291405&amp;c=444444", "offset 99")</f>
        <v>offset 99</v>
      </c>
    </row>
    <row r="17204" customFormat="false" ht="12.8" hidden="false" customHeight="false" outlineLevel="0" collapsed="false">
      <c r="A17204" s="0" t="s">
        <v>12</v>
      </c>
      <c r="B17204" s="0" t="n">
        <v>5291185</v>
      </c>
      <c r="C17204" s="0" t="n">
        <v>5291205</v>
      </c>
      <c r="D17204" s="0" t="s">
        <v>57198</v>
      </c>
      <c r="E17204" s="0" t="s">
        <v>75</v>
      </c>
      <c r="F17204" s="0" t="s">
        <v>15</v>
      </c>
      <c r="G17204" s="0" t="s">
        <v>16</v>
      </c>
      <c r="H17204" s="0" t="n">
        <v>136</v>
      </c>
      <c r="I17204" s="0" t="s">
        <v>57208</v>
      </c>
      <c r="J17204" s="0" t="s">
        <v>57209</v>
      </c>
      <c r="K17204" s="0" t="s">
        <v>57210</v>
      </c>
      <c r="L17204" s="0" t="str">
        <f aca="false">HYPERLINK("https://www.ncbi.nlm.nih.gov/nuccore/CP000058.1?report=graph&amp;tracks=[key:gene_model_track,Options:GeneOnly]&amp;mk=5291073:5291092|offset_23|444444,5291096:5291115|offset_46|444444,5291149:5291168|offset_99|444444,5291186:5291205|offset_136|00cc00&amp;v=5290872:5291405&amp;c=444444", "offset 136")</f>
        <v>offset 136</v>
      </c>
    </row>
    <row r="17205" customFormat="false" ht="12.8" hidden="false" customHeight="false" outlineLevel="0" collapsed="false">
      <c r="A17205" s="0" t="s">
        <v>12</v>
      </c>
      <c r="B17205" s="0" t="n">
        <v>5292049</v>
      </c>
      <c r="C17205" s="0" t="n">
        <v>5292069</v>
      </c>
      <c r="D17205" s="0" t="s">
        <v>57211</v>
      </c>
      <c r="E17205" s="0" t="s">
        <v>75</v>
      </c>
      <c r="F17205" s="0" t="s">
        <v>15</v>
      </c>
      <c r="G17205" s="0" t="s">
        <v>36</v>
      </c>
      <c r="H17205" s="0" t="n">
        <v>22</v>
      </c>
      <c r="I17205" s="0" t="s">
        <v>57212</v>
      </c>
      <c r="J17205" s="0" t="s">
        <v>57213</v>
      </c>
      <c r="K17205" s="0" t="s">
        <v>57214</v>
      </c>
      <c r="L17205" s="0" t="str">
        <f aca="false">HYPERLINK("https://www.ncbi.nlm.nih.gov/nuccore/CP000058.1?report=graph&amp;tracks=[key:gene_model_track,Options:GeneOnly]&amp;mk=5292050:5292069|offset_22|00cc00,5292075:5292094|offset_47|444444,5292102:5292121|offset_74|444444,5292125:5292144|offset_97|444444&amp;v=5291849:5292344&amp;c=444444", "offset 22")</f>
        <v>offset 22</v>
      </c>
    </row>
    <row r="17206" customFormat="false" ht="12.8" hidden="false" customHeight="false" outlineLevel="0" collapsed="false">
      <c r="A17206" s="0" t="s">
        <v>12</v>
      </c>
      <c r="B17206" s="0" t="n">
        <v>5292074</v>
      </c>
      <c r="C17206" s="0" t="n">
        <v>5292094</v>
      </c>
      <c r="D17206" s="0" t="s">
        <v>57211</v>
      </c>
      <c r="E17206" s="0" t="s">
        <v>75</v>
      </c>
      <c r="F17206" s="0" t="s">
        <v>15</v>
      </c>
      <c r="G17206" s="0" t="s">
        <v>32</v>
      </c>
      <c r="H17206" s="0" t="n">
        <v>47</v>
      </c>
      <c r="I17206" s="0" t="s">
        <v>57215</v>
      </c>
      <c r="J17206" s="0" t="s">
        <v>57216</v>
      </c>
      <c r="K17206" s="0" t="s">
        <v>57217</v>
      </c>
      <c r="L17206" s="0" t="str">
        <f aca="false">HYPERLINK("https://www.ncbi.nlm.nih.gov/nuccore/CP000058.1?report=graph&amp;tracks=[key:gene_model_track,Options:GeneOnly]&amp;mk=5292050:5292069|offset_22|444444,5292075:5292094|offset_47|00cc00,5292102:5292121|offset_74|444444,5292125:5292144|offset_97|444444&amp;v=5291849:5292344&amp;c=444444", "offset 47")</f>
        <v>offset 47</v>
      </c>
    </row>
    <row r="17207" customFormat="false" ht="12.8" hidden="false" customHeight="false" outlineLevel="0" collapsed="false">
      <c r="A17207" s="0" t="s">
        <v>12</v>
      </c>
      <c r="B17207" s="0" t="n">
        <v>5292101</v>
      </c>
      <c r="C17207" s="0" t="n">
        <v>5292121</v>
      </c>
      <c r="D17207" s="0" t="s">
        <v>57211</v>
      </c>
      <c r="E17207" s="0" t="s">
        <v>75</v>
      </c>
      <c r="F17207" s="0" t="s">
        <v>15</v>
      </c>
      <c r="G17207" s="0" t="s">
        <v>36</v>
      </c>
      <c r="H17207" s="0" t="n">
        <v>74</v>
      </c>
      <c r="I17207" s="0" t="s">
        <v>57218</v>
      </c>
      <c r="J17207" s="0" t="s">
        <v>57219</v>
      </c>
      <c r="K17207" s="0" t="s">
        <v>57220</v>
      </c>
      <c r="L17207" s="0" t="str">
        <f aca="false">HYPERLINK("https://www.ncbi.nlm.nih.gov/nuccore/CP000058.1?report=graph&amp;tracks=[key:gene_model_track,Options:GeneOnly]&amp;mk=5292050:5292069|offset_22|444444,5292075:5292094|offset_47|444444,5292102:5292121|offset_74|00cc00,5292125:5292144|offset_97|444444&amp;v=5291849:5292344&amp;c=444444", "offset 74")</f>
        <v>offset 74</v>
      </c>
    </row>
    <row r="17208" customFormat="false" ht="12.8" hidden="false" customHeight="false" outlineLevel="0" collapsed="false">
      <c r="A17208" s="0" t="s">
        <v>12</v>
      </c>
      <c r="B17208" s="0" t="n">
        <v>5292124</v>
      </c>
      <c r="C17208" s="0" t="n">
        <v>5292144</v>
      </c>
      <c r="D17208" s="0" t="s">
        <v>57211</v>
      </c>
      <c r="E17208" s="0" t="s">
        <v>75</v>
      </c>
      <c r="F17208" s="0" t="s">
        <v>15</v>
      </c>
      <c r="G17208" s="0" t="s">
        <v>32</v>
      </c>
      <c r="H17208" s="0" t="n">
        <v>97</v>
      </c>
      <c r="I17208" s="0" t="s">
        <v>57221</v>
      </c>
      <c r="J17208" s="0" t="s">
        <v>57222</v>
      </c>
      <c r="K17208" s="0" t="s">
        <v>57223</v>
      </c>
      <c r="L17208" s="0" t="str">
        <f aca="false">HYPERLINK("https://www.ncbi.nlm.nih.gov/nuccore/CP000058.1?report=graph&amp;tracks=[key:gene_model_track,Options:GeneOnly]&amp;mk=5292050:5292069|offset_22|444444,5292075:5292094|offset_47|444444,5292102:5292121|offset_74|444444,5292125:5292144|offset_97|00cc00&amp;v=5291849:5292344&amp;c=444444", "offset 97")</f>
        <v>offset 97</v>
      </c>
    </row>
    <row r="17209" customFormat="false" ht="12.8" hidden="false" customHeight="false" outlineLevel="0" collapsed="false">
      <c r="A17209" s="0" t="s">
        <v>12</v>
      </c>
      <c r="B17209" s="0" t="n">
        <v>5292352</v>
      </c>
      <c r="C17209" s="0" t="n">
        <v>5292372</v>
      </c>
      <c r="D17209" s="0" t="s">
        <v>57224</v>
      </c>
      <c r="E17209" s="0" t="s">
        <v>75</v>
      </c>
      <c r="F17209" s="0" t="s">
        <v>15</v>
      </c>
      <c r="G17209" s="0" t="s">
        <v>32</v>
      </c>
      <c r="H17209" s="0" t="n">
        <v>23</v>
      </c>
      <c r="I17209" s="0" t="s">
        <v>57225</v>
      </c>
      <c r="J17209" s="0" t="s">
        <v>57226</v>
      </c>
      <c r="K17209" s="0" t="s">
        <v>57227</v>
      </c>
      <c r="L17209" s="0" t="str">
        <f aca="false">HYPERLINK("https://www.ncbi.nlm.nih.gov/nuccore/CP000058.1?report=graph&amp;tracks=[key:gene_model_track,Options:GeneOnly]&amp;mk=5292353:5292372|offset_23|00cc00,5292394:5292413|offset_64|444444,5292427:5292446|offset_97|444444,5292447:5292466|offset_117|444444&amp;v=5292152:5292666&amp;c=444444", "offset 23")</f>
        <v>offset 23</v>
      </c>
    </row>
    <row r="17210" customFormat="false" ht="12.8" hidden="false" customHeight="false" outlineLevel="0" collapsed="false">
      <c r="A17210" s="0" t="s">
        <v>12</v>
      </c>
      <c r="B17210" s="0" t="n">
        <v>5292393</v>
      </c>
      <c r="C17210" s="0" t="n">
        <v>5292413</v>
      </c>
      <c r="D17210" s="0" t="s">
        <v>57224</v>
      </c>
      <c r="E17210" s="0" t="s">
        <v>75</v>
      </c>
      <c r="F17210" s="0" t="s">
        <v>15</v>
      </c>
      <c r="G17210" s="0" t="s">
        <v>32</v>
      </c>
      <c r="H17210" s="0" t="n">
        <v>64</v>
      </c>
      <c r="I17210" s="0" t="s">
        <v>57228</v>
      </c>
      <c r="J17210" s="0" t="s">
        <v>57229</v>
      </c>
      <c r="K17210" s="0" t="s">
        <v>57230</v>
      </c>
      <c r="L17210" s="0" t="str">
        <f aca="false">HYPERLINK("https://www.ncbi.nlm.nih.gov/nuccore/CP000058.1?report=graph&amp;tracks=[key:gene_model_track,Options:GeneOnly]&amp;mk=5292353:5292372|offset_23|444444,5292394:5292413|offset_64|00cc00,5292427:5292446|offset_97|444444,5292447:5292466|offset_117|444444&amp;v=5292152:5292666&amp;c=444444", "offset 64")</f>
        <v>offset 64</v>
      </c>
    </row>
    <row r="17211" customFormat="false" ht="12.8" hidden="false" customHeight="false" outlineLevel="0" collapsed="false">
      <c r="A17211" s="0" t="s">
        <v>12</v>
      </c>
      <c r="B17211" s="0" t="n">
        <v>5292426</v>
      </c>
      <c r="C17211" s="0" t="n">
        <v>5292446</v>
      </c>
      <c r="D17211" s="0" t="s">
        <v>57224</v>
      </c>
      <c r="E17211" s="0" t="s">
        <v>75</v>
      </c>
      <c r="F17211" s="0" t="s">
        <v>15</v>
      </c>
      <c r="G17211" s="0" t="s">
        <v>16</v>
      </c>
      <c r="H17211" s="0" t="n">
        <v>97</v>
      </c>
      <c r="I17211" s="0" t="s">
        <v>57231</v>
      </c>
      <c r="J17211" s="0" t="s">
        <v>57232</v>
      </c>
      <c r="K17211" s="0" t="s">
        <v>57233</v>
      </c>
      <c r="L17211" s="0" t="str">
        <f aca="false">HYPERLINK("https://www.ncbi.nlm.nih.gov/nuccore/CP000058.1?report=graph&amp;tracks=[key:gene_model_track,Options:GeneOnly]&amp;mk=5292353:5292372|offset_23|444444,5292394:5292413|offset_64|444444,5292427:5292446|offset_97|00cc00,5292447:5292466|offset_117|444444&amp;v=5292152:5292666&amp;c=444444", "offset 97")</f>
        <v>offset 97</v>
      </c>
    </row>
    <row r="17212" customFormat="false" ht="12.8" hidden="false" customHeight="false" outlineLevel="0" collapsed="false">
      <c r="A17212" s="0" t="s">
        <v>12</v>
      </c>
      <c r="B17212" s="0" t="n">
        <v>5292446</v>
      </c>
      <c r="C17212" s="0" t="n">
        <v>5292466</v>
      </c>
      <c r="D17212" s="0" t="s">
        <v>57224</v>
      </c>
      <c r="E17212" s="0" t="s">
        <v>75</v>
      </c>
      <c r="F17212" s="0" t="s">
        <v>15</v>
      </c>
      <c r="G17212" s="0" t="s">
        <v>36</v>
      </c>
      <c r="H17212" s="0" t="n">
        <v>117</v>
      </c>
      <c r="I17212" s="0" t="s">
        <v>57234</v>
      </c>
      <c r="J17212" s="0" t="s">
        <v>57235</v>
      </c>
      <c r="K17212" s="0" t="s">
        <v>57236</v>
      </c>
      <c r="L17212" s="0" t="str">
        <f aca="false">HYPERLINK("https://www.ncbi.nlm.nih.gov/nuccore/CP000058.1?report=graph&amp;tracks=[key:gene_model_track,Options:GeneOnly]&amp;mk=5292353:5292372|offset_23|444444,5292394:5292413|offset_64|444444,5292427:5292446|offset_97|444444,5292447:5292466|offset_117|00cc00&amp;v=5292152:5292666&amp;c=444444", "offset 117")</f>
        <v>offset 117</v>
      </c>
    </row>
    <row r="17213" customFormat="false" ht="12.8" hidden="false" customHeight="false" outlineLevel="0" collapsed="false">
      <c r="A17213" s="0" t="s">
        <v>12</v>
      </c>
      <c r="B17213" s="0" t="n">
        <v>5293099</v>
      </c>
      <c r="C17213" s="0" t="n">
        <v>5293119</v>
      </c>
      <c r="D17213" s="0" t="s">
        <v>57237</v>
      </c>
      <c r="E17213" s="0" t="s">
        <v>75</v>
      </c>
      <c r="F17213" s="0" t="s">
        <v>15</v>
      </c>
      <c r="G17213" s="0" t="s">
        <v>32</v>
      </c>
      <c r="H17213" s="0" t="n">
        <v>1</v>
      </c>
      <c r="I17213" s="0" t="s">
        <v>57238</v>
      </c>
      <c r="J17213" s="0" t="s">
        <v>57239</v>
      </c>
      <c r="K17213" s="0" t="s">
        <v>57240</v>
      </c>
      <c r="L17213" s="0" t="str">
        <f aca="false">HYPERLINK("https://www.ncbi.nlm.nih.gov/nuccore/CP000058.1?report=graph&amp;tracks=[key:gene_model_track,Options:GeneOnly]&amp;mk=5293100:5293119|offset_1|00cc00,5293127:5293146|offset_28|444444,5293167:5293186|offset_68|444444,5293190:5293209|offset_91|444444&amp;v=5292899:5293409&amp;c=444444", "offset 1")</f>
        <v>offset 1</v>
      </c>
    </row>
    <row r="17214" customFormat="false" ht="12.8" hidden="false" customHeight="false" outlineLevel="0" collapsed="false">
      <c r="A17214" s="0" t="s">
        <v>12</v>
      </c>
      <c r="B17214" s="0" t="n">
        <v>5293126</v>
      </c>
      <c r="C17214" s="0" t="n">
        <v>5293146</v>
      </c>
      <c r="D17214" s="0" t="s">
        <v>57237</v>
      </c>
      <c r="E17214" s="0" t="s">
        <v>75</v>
      </c>
      <c r="F17214" s="0" t="s">
        <v>15</v>
      </c>
      <c r="G17214" s="0" t="s">
        <v>16</v>
      </c>
      <c r="H17214" s="0" t="n">
        <v>28</v>
      </c>
      <c r="I17214" s="0" t="s">
        <v>57241</v>
      </c>
      <c r="J17214" s="0" t="s">
        <v>57242</v>
      </c>
      <c r="K17214" s="0" t="s">
        <v>57243</v>
      </c>
      <c r="L17214" s="0" t="str">
        <f aca="false">HYPERLINK("https://www.ncbi.nlm.nih.gov/nuccore/CP000058.1?report=graph&amp;tracks=[key:gene_model_track,Options:GeneOnly]&amp;mk=5293100:5293119|offset_1|444444,5293127:5293146|offset_28|00cc00,5293167:5293186|offset_68|444444,5293190:5293209|offset_91|444444&amp;v=5292899:5293409&amp;c=444444", "offset 28")</f>
        <v>offset 28</v>
      </c>
    </row>
    <row r="17215" customFormat="false" ht="12.8" hidden="false" customHeight="false" outlineLevel="0" collapsed="false">
      <c r="A17215" s="0" t="s">
        <v>12</v>
      </c>
      <c r="B17215" s="0" t="n">
        <v>5293166</v>
      </c>
      <c r="C17215" s="0" t="n">
        <v>5293186</v>
      </c>
      <c r="D17215" s="0" t="s">
        <v>57237</v>
      </c>
      <c r="E17215" s="0" t="s">
        <v>75</v>
      </c>
      <c r="F17215" s="0" t="s">
        <v>15</v>
      </c>
      <c r="G17215" s="0" t="s">
        <v>32</v>
      </c>
      <c r="H17215" s="0" t="n">
        <v>68</v>
      </c>
      <c r="I17215" s="0" t="s">
        <v>57244</v>
      </c>
      <c r="J17215" s="0" t="s">
        <v>57245</v>
      </c>
      <c r="K17215" s="0" t="s">
        <v>57246</v>
      </c>
      <c r="L17215" s="0" t="str">
        <f aca="false">HYPERLINK("https://www.ncbi.nlm.nih.gov/nuccore/CP000058.1?report=graph&amp;tracks=[key:gene_model_track,Options:GeneOnly]&amp;mk=5293100:5293119|offset_1|444444,5293127:5293146|offset_28|444444,5293167:5293186|offset_68|00cc00,5293190:5293209|offset_91|444444&amp;v=5292899:5293409&amp;c=444444", "offset 68")</f>
        <v>offset 68</v>
      </c>
    </row>
    <row r="17216" customFormat="false" ht="12.8" hidden="false" customHeight="false" outlineLevel="0" collapsed="false">
      <c r="A17216" s="0" t="s">
        <v>12</v>
      </c>
      <c r="B17216" s="0" t="n">
        <v>5293189</v>
      </c>
      <c r="C17216" s="0" t="n">
        <v>5293209</v>
      </c>
      <c r="D17216" s="0" t="s">
        <v>57237</v>
      </c>
      <c r="E17216" s="0" t="s">
        <v>75</v>
      </c>
      <c r="F17216" s="0" t="s">
        <v>15</v>
      </c>
      <c r="G17216" s="0" t="s">
        <v>32</v>
      </c>
      <c r="H17216" s="0" t="n">
        <v>91</v>
      </c>
      <c r="I17216" s="0" t="s">
        <v>57247</v>
      </c>
      <c r="J17216" s="0" t="s">
        <v>57248</v>
      </c>
      <c r="K17216" s="0" t="s">
        <v>57249</v>
      </c>
      <c r="L17216" s="0" t="str">
        <f aca="false">HYPERLINK("https://www.ncbi.nlm.nih.gov/nuccore/CP000058.1?report=graph&amp;tracks=[key:gene_model_track,Options:GeneOnly]&amp;mk=5293100:5293119|offset_1|444444,5293127:5293146|offset_28|444444,5293167:5293186|offset_68|444444,5293190:5293209|offset_91|00cc00&amp;v=5292899:5293409&amp;c=444444", "offset 91")</f>
        <v>offset 91</v>
      </c>
    </row>
    <row r="17217" customFormat="false" ht="12.8" hidden="false" customHeight="false" outlineLevel="0" collapsed="false">
      <c r="A17217" s="0" t="s">
        <v>12</v>
      </c>
      <c r="B17217" s="0" t="n">
        <v>5293756</v>
      </c>
      <c r="C17217" s="0" t="n">
        <v>5293776</v>
      </c>
      <c r="D17217" s="0" t="s">
        <v>57250</v>
      </c>
      <c r="E17217" s="0" t="s">
        <v>75</v>
      </c>
      <c r="F17217" s="0" t="s">
        <v>15</v>
      </c>
      <c r="G17217" s="0" t="s">
        <v>32</v>
      </c>
      <c r="H17217" s="0" t="n">
        <v>1</v>
      </c>
      <c r="I17217" s="0" t="s">
        <v>57251</v>
      </c>
      <c r="J17217" s="0" t="s">
        <v>57252</v>
      </c>
      <c r="K17217" s="0" t="s">
        <v>57253</v>
      </c>
      <c r="L17217" s="0" t="str">
        <f aca="false">HYPERLINK("https://www.ncbi.nlm.nih.gov/nuccore/CP000058.1?report=graph&amp;tracks=[key:gene_model_track,Options:GeneOnly]&amp;mk=5293757:5293776|offset_1|00cc00,5293784:5293803|offset_28|444444,5293805:5293824|offset_49|444444,5293841:5293860|offset_85|444444&amp;v=5293556:5294060&amp;c=444444", "offset 1")</f>
        <v>offset 1</v>
      </c>
    </row>
    <row r="17218" customFormat="false" ht="12.8" hidden="false" customHeight="false" outlineLevel="0" collapsed="false">
      <c r="A17218" s="0" t="s">
        <v>12</v>
      </c>
      <c r="B17218" s="0" t="n">
        <v>5293783</v>
      </c>
      <c r="C17218" s="0" t="n">
        <v>5293803</v>
      </c>
      <c r="D17218" s="0" t="s">
        <v>57250</v>
      </c>
      <c r="E17218" s="0" t="s">
        <v>75</v>
      </c>
      <c r="F17218" s="0" t="s">
        <v>15</v>
      </c>
      <c r="G17218" s="0" t="s">
        <v>20</v>
      </c>
      <c r="H17218" s="0" t="n">
        <v>28</v>
      </c>
      <c r="I17218" s="0" t="s">
        <v>57254</v>
      </c>
      <c r="J17218" s="0" t="s">
        <v>57255</v>
      </c>
      <c r="K17218" s="0" t="s">
        <v>57256</v>
      </c>
      <c r="L17218" s="0" t="str">
        <f aca="false">HYPERLINK("https://www.ncbi.nlm.nih.gov/nuccore/CP000058.1?report=graph&amp;tracks=[key:gene_model_track,Options:GeneOnly]&amp;mk=5293757:5293776|offset_1|444444,5293784:5293803|offset_28|00cc00,5293805:5293824|offset_49|444444,5293841:5293860|offset_85|444444&amp;v=5293556:5294060&amp;c=444444", "offset 28")</f>
        <v>offset 28</v>
      </c>
    </row>
    <row r="17219" customFormat="false" ht="12.8" hidden="false" customHeight="false" outlineLevel="0" collapsed="false">
      <c r="A17219" s="0" t="s">
        <v>12</v>
      </c>
      <c r="B17219" s="0" t="n">
        <v>5293804</v>
      </c>
      <c r="C17219" s="0" t="n">
        <v>5293824</v>
      </c>
      <c r="D17219" s="0" t="s">
        <v>57250</v>
      </c>
      <c r="E17219" s="0" t="s">
        <v>75</v>
      </c>
      <c r="F17219" s="0" t="s">
        <v>15</v>
      </c>
      <c r="G17219" s="0" t="s">
        <v>20</v>
      </c>
      <c r="H17219" s="0" t="n">
        <v>49</v>
      </c>
      <c r="I17219" s="0" t="s">
        <v>57257</v>
      </c>
      <c r="J17219" s="0" t="s">
        <v>57258</v>
      </c>
      <c r="K17219" s="0" t="s">
        <v>57259</v>
      </c>
      <c r="L17219" s="0" t="str">
        <f aca="false">HYPERLINK("https://www.ncbi.nlm.nih.gov/nuccore/CP000058.1?report=graph&amp;tracks=[key:gene_model_track,Options:GeneOnly]&amp;mk=5293757:5293776|offset_1|444444,5293784:5293803|offset_28|444444,5293805:5293824|offset_49|00cc00,5293841:5293860|offset_85|444444&amp;v=5293556:5294060&amp;c=444444", "offset 49")</f>
        <v>offset 49</v>
      </c>
    </row>
    <row r="17220" customFormat="false" ht="12.8" hidden="false" customHeight="false" outlineLevel="0" collapsed="false">
      <c r="A17220" s="0" t="s">
        <v>12</v>
      </c>
      <c r="B17220" s="0" t="n">
        <v>5293840</v>
      </c>
      <c r="C17220" s="0" t="n">
        <v>5293860</v>
      </c>
      <c r="D17220" s="0" t="s">
        <v>57250</v>
      </c>
      <c r="E17220" s="0" t="s">
        <v>75</v>
      </c>
      <c r="F17220" s="0" t="s">
        <v>15</v>
      </c>
      <c r="G17220" s="0" t="s">
        <v>36</v>
      </c>
      <c r="H17220" s="0" t="n">
        <v>85</v>
      </c>
      <c r="I17220" s="0" t="s">
        <v>57260</v>
      </c>
      <c r="J17220" s="0" t="s">
        <v>57261</v>
      </c>
      <c r="K17220" s="0" t="s">
        <v>57262</v>
      </c>
      <c r="L17220" s="0" t="str">
        <f aca="false">HYPERLINK("https://www.ncbi.nlm.nih.gov/nuccore/CP000058.1?report=graph&amp;tracks=[key:gene_model_track,Options:GeneOnly]&amp;mk=5293757:5293776|offset_1|444444,5293784:5293803|offset_28|444444,5293805:5293824|offset_49|444444,5293841:5293860|offset_85|00cc00&amp;v=5293556:5294060&amp;c=444444", "offset 85")</f>
        <v>offset 85</v>
      </c>
    </row>
    <row r="17221" customFormat="false" ht="12.8" hidden="false" customHeight="false" outlineLevel="0" collapsed="false">
      <c r="A17221" s="0" t="s">
        <v>12</v>
      </c>
      <c r="B17221" s="0" t="n">
        <v>5294933</v>
      </c>
      <c r="C17221" s="0" t="n">
        <v>5294953</v>
      </c>
      <c r="D17221" s="0" t="s">
        <v>57263</v>
      </c>
      <c r="E17221" s="0" t="s">
        <v>75</v>
      </c>
      <c r="F17221" s="0" t="s">
        <v>90</v>
      </c>
      <c r="G17221" s="0" t="s">
        <v>32</v>
      </c>
      <c r="H17221" s="0" t="n">
        <v>1</v>
      </c>
      <c r="I17221" s="0" t="s">
        <v>57264</v>
      </c>
      <c r="J17221" s="0" t="s">
        <v>57265</v>
      </c>
      <c r="K17221" s="0" t="s">
        <v>57266</v>
      </c>
      <c r="L17221" s="0" t="str">
        <f aca="false">HYPERLINK("https://www.ncbi.nlm.nih.gov/nuccore/CP000058.1?report=graph&amp;tracks=[key:gene_model_track,Options:GeneOnly]&amp;mk=5294934:5294953|offset_1|00cc00,5294914:5294933|offset_21|444444,5294893:5294912|offset_42|444444,5294837:5294856|offset_98|444444&amp;v=5294733:5295056&amp;c=444444", "offset 1")</f>
        <v>offset 1</v>
      </c>
    </row>
    <row r="17222" customFormat="false" ht="12.8" hidden="false" customHeight="false" outlineLevel="0" collapsed="false">
      <c r="A17222" s="0" t="s">
        <v>12</v>
      </c>
      <c r="B17222" s="0" t="n">
        <v>5294913</v>
      </c>
      <c r="C17222" s="0" t="n">
        <v>5294933</v>
      </c>
      <c r="D17222" s="0" t="s">
        <v>57263</v>
      </c>
      <c r="E17222" s="0" t="s">
        <v>75</v>
      </c>
      <c r="F17222" s="0" t="s">
        <v>90</v>
      </c>
      <c r="G17222" s="0" t="s">
        <v>16</v>
      </c>
      <c r="H17222" s="0" t="n">
        <v>21</v>
      </c>
      <c r="I17222" s="0" t="s">
        <v>57267</v>
      </c>
      <c r="J17222" s="0" t="s">
        <v>57268</v>
      </c>
      <c r="K17222" s="0" t="s">
        <v>57269</v>
      </c>
      <c r="L17222" s="0" t="str">
        <f aca="false">HYPERLINK("https://www.ncbi.nlm.nih.gov/nuccore/CP000058.1?report=graph&amp;tracks=[key:gene_model_track,Options:GeneOnly]&amp;mk=5294934:5294953|offset_1|444444,5294914:5294933|offset_21|00cc00,5294893:5294912|offset_42|444444,5294837:5294856|offset_98|444444&amp;v=5294733:5295056&amp;c=444444", "offset 21")</f>
        <v>offset 21</v>
      </c>
    </row>
    <row r="17223" customFormat="false" ht="12.8" hidden="false" customHeight="false" outlineLevel="0" collapsed="false">
      <c r="A17223" s="0" t="s">
        <v>12</v>
      </c>
      <c r="B17223" s="0" t="n">
        <v>5294892</v>
      </c>
      <c r="C17223" s="0" t="n">
        <v>5294912</v>
      </c>
      <c r="D17223" s="0" t="s">
        <v>57263</v>
      </c>
      <c r="E17223" s="0" t="s">
        <v>75</v>
      </c>
      <c r="F17223" s="0" t="s">
        <v>90</v>
      </c>
      <c r="G17223" s="0" t="s">
        <v>32</v>
      </c>
      <c r="H17223" s="0" t="n">
        <v>42</v>
      </c>
      <c r="I17223" s="0" t="s">
        <v>57270</v>
      </c>
      <c r="J17223" s="0" t="s">
        <v>57271</v>
      </c>
      <c r="K17223" s="0" t="s">
        <v>57272</v>
      </c>
      <c r="L17223" s="0" t="str">
        <f aca="false">HYPERLINK("https://www.ncbi.nlm.nih.gov/nuccore/CP000058.1?report=graph&amp;tracks=[key:gene_model_track,Options:GeneOnly]&amp;mk=5294934:5294953|offset_1|444444,5294914:5294933|offset_21|444444,5294893:5294912|offset_42|00cc00,5294837:5294856|offset_98|444444&amp;v=5294733:5295056&amp;c=444444", "offset 42")</f>
        <v>offset 42</v>
      </c>
    </row>
    <row r="17224" customFormat="false" ht="12.8" hidden="false" customHeight="false" outlineLevel="0" collapsed="false">
      <c r="A17224" s="0" t="s">
        <v>12</v>
      </c>
      <c r="B17224" s="0" t="n">
        <v>5294836</v>
      </c>
      <c r="C17224" s="0" t="n">
        <v>5294856</v>
      </c>
      <c r="D17224" s="0" t="s">
        <v>57263</v>
      </c>
      <c r="E17224" s="0" t="s">
        <v>75</v>
      </c>
      <c r="F17224" s="0" t="s">
        <v>90</v>
      </c>
      <c r="G17224" s="0" t="s">
        <v>16</v>
      </c>
      <c r="H17224" s="0" t="n">
        <v>98</v>
      </c>
      <c r="I17224" s="0" t="s">
        <v>57273</v>
      </c>
      <c r="J17224" s="0" t="s">
        <v>57274</v>
      </c>
      <c r="K17224" s="0" t="s">
        <v>57275</v>
      </c>
      <c r="L17224" s="0" t="str">
        <f aca="false">HYPERLINK("https://www.ncbi.nlm.nih.gov/nuccore/CP000058.1?report=graph&amp;tracks=[key:gene_model_track,Options:GeneOnly]&amp;mk=5294934:5294953|offset_1|444444,5294914:5294933|offset_21|444444,5294893:5294912|offset_42|444444,5294837:5294856|offset_98|00cc00&amp;v=5294733:5295056&amp;c=444444", "offset 98")</f>
        <v>offset 98</v>
      </c>
    </row>
    <row r="17225" customFormat="false" ht="12.8" hidden="false" customHeight="false" outlineLevel="0" collapsed="false">
      <c r="A17225" s="0" t="s">
        <v>12</v>
      </c>
      <c r="B17225" s="0" t="n">
        <v>5295620</v>
      </c>
      <c r="C17225" s="0" t="n">
        <v>5295640</v>
      </c>
      <c r="D17225" s="0" t="s">
        <v>57276</v>
      </c>
      <c r="E17225" s="0" t="s">
        <v>75</v>
      </c>
      <c r="F17225" s="0" t="s">
        <v>90</v>
      </c>
      <c r="G17225" s="0" t="s">
        <v>32</v>
      </c>
      <c r="H17225" s="0" t="n">
        <v>44</v>
      </c>
      <c r="I17225" s="0" t="s">
        <v>57277</v>
      </c>
      <c r="J17225" s="0" t="s">
        <v>57278</v>
      </c>
      <c r="K17225" s="0" t="s">
        <v>57279</v>
      </c>
      <c r="L17225" s="0" t="str">
        <f aca="false">HYPERLINK("https://www.ncbi.nlm.nih.gov/nuccore/CP000058.1?report=graph&amp;tracks=[key:gene_model_track,Options:GeneOnly]&amp;mk=5295621:5295640|offset_44|00cc00,5295595:5295614|offset_70|444444,5295553:5295572|offset_112|444444,5295533:5295552|offset_132|444444&amp;v=5295420:5295752&amp;c=444444", "offset 44")</f>
        <v>offset 44</v>
      </c>
    </row>
    <row r="17226" customFormat="false" ht="12.8" hidden="false" customHeight="false" outlineLevel="0" collapsed="false">
      <c r="A17226" s="0" t="s">
        <v>12</v>
      </c>
      <c r="B17226" s="0" t="n">
        <v>5295594</v>
      </c>
      <c r="C17226" s="0" t="n">
        <v>5295614</v>
      </c>
      <c r="D17226" s="0" t="s">
        <v>57276</v>
      </c>
      <c r="E17226" s="0" t="s">
        <v>75</v>
      </c>
      <c r="F17226" s="0" t="s">
        <v>90</v>
      </c>
      <c r="G17226" s="0" t="s">
        <v>36</v>
      </c>
      <c r="H17226" s="0" t="n">
        <v>70</v>
      </c>
      <c r="I17226" s="0" t="s">
        <v>57280</v>
      </c>
      <c r="J17226" s="0" t="s">
        <v>57281</v>
      </c>
      <c r="K17226" s="0" t="s">
        <v>57282</v>
      </c>
      <c r="L17226" s="0" t="str">
        <f aca="false">HYPERLINK("https://www.ncbi.nlm.nih.gov/nuccore/CP000058.1?report=graph&amp;tracks=[key:gene_model_track,Options:GeneOnly]&amp;mk=5295621:5295640|offset_44|444444,5295595:5295614|offset_70|00cc00,5295553:5295572|offset_112|444444,5295533:5295552|offset_132|444444&amp;v=5295420:5295752&amp;c=444444", "offset 70")</f>
        <v>offset 70</v>
      </c>
    </row>
    <row r="17227" customFormat="false" ht="12.8" hidden="false" customHeight="false" outlineLevel="0" collapsed="false">
      <c r="A17227" s="0" t="s">
        <v>12</v>
      </c>
      <c r="B17227" s="0" t="n">
        <v>5295552</v>
      </c>
      <c r="C17227" s="0" t="n">
        <v>5295572</v>
      </c>
      <c r="D17227" s="0" t="s">
        <v>57276</v>
      </c>
      <c r="E17227" s="0" t="s">
        <v>75</v>
      </c>
      <c r="F17227" s="0" t="s">
        <v>90</v>
      </c>
      <c r="G17227" s="0" t="s">
        <v>36</v>
      </c>
      <c r="H17227" s="0" t="n">
        <v>112</v>
      </c>
      <c r="I17227" s="0" t="s">
        <v>57283</v>
      </c>
      <c r="J17227" s="0" t="s">
        <v>57284</v>
      </c>
      <c r="K17227" s="0" t="s">
        <v>57285</v>
      </c>
      <c r="L17227" s="0" t="str">
        <f aca="false">HYPERLINK("https://www.ncbi.nlm.nih.gov/nuccore/CP000058.1?report=graph&amp;tracks=[key:gene_model_track,Options:GeneOnly]&amp;mk=5295621:5295640|offset_44|444444,5295595:5295614|offset_70|444444,5295553:5295572|offset_112|00cc00,5295533:5295552|offset_132|444444&amp;v=5295420:5295752&amp;c=444444", "offset 112")</f>
        <v>offset 112</v>
      </c>
    </row>
    <row r="17228" customFormat="false" ht="12.8" hidden="false" customHeight="false" outlineLevel="0" collapsed="false">
      <c r="A17228" s="0" t="s">
        <v>12</v>
      </c>
      <c r="B17228" s="0" t="n">
        <v>5295532</v>
      </c>
      <c r="C17228" s="0" t="n">
        <v>5295552</v>
      </c>
      <c r="D17228" s="0" t="s">
        <v>57276</v>
      </c>
      <c r="E17228" s="0" t="s">
        <v>75</v>
      </c>
      <c r="F17228" s="0" t="s">
        <v>90</v>
      </c>
      <c r="G17228" s="0" t="s">
        <v>16</v>
      </c>
      <c r="H17228" s="0" t="n">
        <v>132</v>
      </c>
      <c r="I17228" s="0" t="s">
        <v>57286</v>
      </c>
      <c r="J17228" s="0" t="s">
        <v>57287</v>
      </c>
      <c r="K17228" s="0" t="s">
        <v>57288</v>
      </c>
      <c r="L17228" s="0" t="str">
        <f aca="false">HYPERLINK("https://www.ncbi.nlm.nih.gov/nuccore/CP000058.1?report=graph&amp;tracks=[key:gene_model_track,Options:GeneOnly]&amp;mk=5295621:5295640|offset_44|444444,5295595:5295614|offset_70|444444,5295553:5295572|offset_112|444444,5295533:5295552|offset_132|00cc00&amp;v=5295420:5295752&amp;c=444444", "offset 132")</f>
        <v>offset 132</v>
      </c>
    </row>
    <row r="17229" customFormat="false" ht="12.8" hidden="false" customHeight="false" outlineLevel="0" collapsed="false">
      <c r="A17229" s="0" t="s">
        <v>12</v>
      </c>
      <c r="B17229" s="0" t="n">
        <v>5296131</v>
      </c>
      <c r="C17229" s="0" t="n">
        <v>5296151</v>
      </c>
      <c r="D17229" s="0" t="s">
        <v>57289</v>
      </c>
      <c r="E17229" s="0" t="s">
        <v>75</v>
      </c>
      <c r="F17229" s="0" t="s">
        <v>90</v>
      </c>
      <c r="G17229" s="0" t="s">
        <v>16</v>
      </c>
      <c r="H17229" s="0" t="n">
        <v>9</v>
      </c>
      <c r="I17229" s="0" t="s">
        <v>57290</v>
      </c>
      <c r="J17229" s="0" t="s">
        <v>57291</v>
      </c>
      <c r="K17229" s="0" t="s">
        <v>57292</v>
      </c>
      <c r="L17229" s="0" t="str">
        <f aca="false">HYPERLINK("https://www.ncbi.nlm.nih.gov/nuccore/CP000058.1?report=graph&amp;tracks=[key:gene_model_track,Options:GeneOnly]&amp;mk=5296132:5296151|offset_9|00cc00,5296099:5296118|offset_42|444444,5296060:5296079|offset_81|444444,5296032:5296051|offset_109|444444&amp;v=5295931:5296251&amp;c=444444", "offset 9")</f>
        <v>offset 9</v>
      </c>
    </row>
    <row r="17230" customFormat="false" ht="12.8" hidden="false" customHeight="false" outlineLevel="0" collapsed="false">
      <c r="A17230" s="0" t="s">
        <v>12</v>
      </c>
      <c r="B17230" s="0" t="n">
        <v>5296098</v>
      </c>
      <c r="C17230" s="0" t="n">
        <v>5296118</v>
      </c>
      <c r="D17230" s="0" t="s">
        <v>57289</v>
      </c>
      <c r="E17230" s="0" t="s">
        <v>75</v>
      </c>
      <c r="F17230" s="0" t="s">
        <v>90</v>
      </c>
      <c r="G17230" s="0" t="s">
        <v>36</v>
      </c>
      <c r="H17230" s="0" t="n">
        <v>42</v>
      </c>
      <c r="I17230" s="0" t="s">
        <v>57293</v>
      </c>
      <c r="J17230" s="0" t="s">
        <v>57294</v>
      </c>
      <c r="K17230" s="0" t="s">
        <v>57295</v>
      </c>
      <c r="L17230" s="0" t="str">
        <f aca="false">HYPERLINK("https://www.ncbi.nlm.nih.gov/nuccore/CP000058.1?report=graph&amp;tracks=[key:gene_model_track,Options:GeneOnly]&amp;mk=5296132:5296151|offset_9|444444,5296099:5296118|offset_42|00cc00,5296060:5296079|offset_81|444444,5296032:5296051|offset_109|444444&amp;v=5295931:5296251&amp;c=444444", "offset 42")</f>
        <v>offset 42</v>
      </c>
    </row>
    <row r="17231" customFormat="false" ht="12.8" hidden="false" customHeight="false" outlineLevel="0" collapsed="false">
      <c r="A17231" s="0" t="s">
        <v>12</v>
      </c>
      <c r="B17231" s="0" t="n">
        <v>5296059</v>
      </c>
      <c r="C17231" s="0" t="n">
        <v>5296079</v>
      </c>
      <c r="D17231" s="0" t="s">
        <v>57289</v>
      </c>
      <c r="E17231" s="0" t="s">
        <v>75</v>
      </c>
      <c r="F17231" s="0" t="s">
        <v>90</v>
      </c>
      <c r="G17231" s="0" t="s">
        <v>16</v>
      </c>
      <c r="H17231" s="0" t="n">
        <v>81</v>
      </c>
      <c r="I17231" s="0" t="s">
        <v>57296</v>
      </c>
      <c r="J17231" s="0" t="s">
        <v>57297</v>
      </c>
      <c r="K17231" s="0" t="s">
        <v>57298</v>
      </c>
      <c r="L17231" s="0" t="str">
        <f aca="false">HYPERLINK("https://www.ncbi.nlm.nih.gov/nuccore/CP000058.1?report=graph&amp;tracks=[key:gene_model_track,Options:GeneOnly]&amp;mk=5296132:5296151|offset_9|444444,5296099:5296118|offset_42|444444,5296060:5296079|offset_81|00cc00,5296032:5296051|offset_109|444444&amp;v=5295931:5296251&amp;c=444444", "offset 81")</f>
        <v>offset 81</v>
      </c>
    </row>
    <row r="17232" customFormat="false" ht="12.8" hidden="false" customHeight="false" outlineLevel="0" collapsed="false">
      <c r="A17232" s="0" t="s">
        <v>12</v>
      </c>
      <c r="B17232" s="0" t="n">
        <v>5296031</v>
      </c>
      <c r="C17232" s="0" t="n">
        <v>5296051</v>
      </c>
      <c r="D17232" s="0" t="s">
        <v>57289</v>
      </c>
      <c r="E17232" s="0" t="s">
        <v>75</v>
      </c>
      <c r="F17232" s="0" t="s">
        <v>90</v>
      </c>
      <c r="G17232" s="0" t="s">
        <v>16</v>
      </c>
      <c r="H17232" s="0" t="n">
        <v>109</v>
      </c>
      <c r="I17232" s="0" t="s">
        <v>57299</v>
      </c>
      <c r="J17232" s="0" t="s">
        <v>57300</v>
      </c>
      <c r="K17232" s="0" t="s">
        <v>57301</v>
      </c>
      <c r="L17232" s="0" t="str">
        <f aca="false">HYPERLINK("https://www.ncbi.nlm.nih.gov/nuccore/CP000058.1?report=graph&amp;tracks=[key:gene_model_track,Options:GeneOnly]&amp;mk=5296132:5296151|offset_9|444444,5296099:5296118|offset_42|444444,5296060:5296079|offset_81|444444,5296032:5296051|offset_109|00cc00&amp;v=5295931:5296251&amp;c=444444", "offset 109")</f>
        <v>offset 109</v>
      </c>
    </row>
    <row r="17233" customFormat="false" ht="12.8" hidden="false" customHeight="false" outlineLevel="0" collapsed="false">
      <c r="A17233" s="0" t="s">
        <v>12</v>
      </c>
      <c r="B17233" s="0" t="n">
        <v>5296254</v>
      </c>
      <c r="C17233" s="0" t="n">
        <v>5296274</v>
      </c>
      <c r="D17233" s="0" t="s">
        <v>57302</v>
      </c>
      <c r="E17233" s="0" t="s">
        <v>57303</v>
      </c>
      <c r="F17233" s="0" t="s">
        <v>15</v>
      </c>
      <c r="G17233" s="0" t="s">
        <v>20</v>
      </c>
      <c r="H17233" s="0" t="n">
        <v>6</v>
      </c>
      <c r="I17233" s="0" t="s">
        <v>57304</v>
      </c>
      <c r="J17233" s="0" t="s">
        <v>57305</v>
      </c>
      <c r="K17233" s="0" t="s">
        <v>57306</v>
      </c>
      <c r="L17233" s="0" t="str">
        <f aca="false">HYPERLINK("https://www.ncbi.nlm.nih.gov/nuccore/CP000058.1?report=graph&amp;tracks=[key:gene_model_track,Options:GeneOnly]&amp;mk=5296255:5296274|offset_6|00cc00,5296322:5296341|offset_73|444444,5296344:5296363|offset_95|444444,5296371:5296390|offset_122|444444&amp;v=5296054:5296590&amp;c=444444", "offset 6")</f>
        <v>offset 6</v>
      </c>
    </row>
    <row r="17234" customFormat="false" ht="12.8" hidden="false" customHeight="false" outlineLevel="0" collapsed="false">
      <c r="A17234" s="0" t="s">
        <v>12</v>
      </c>
      <c r="B17234" s="0" t="n">
        <v>5296321</v>
      </c>
      <c r="C17234" s="0" t="n">
        <v>5296341</v>
      </c>
      <c r="D17234" s="0" t="s">
        <v>57302</v>
      </c>
      <c r="E17234" s="0" t="s">
        <v>57303</v>
      </c>
      <c r="F17234" s="0" t="s">
        <v>15</v>
      </c>
      <c r="G17234" s="0" t="s">
        <v>32</v>
      </c>
      <c r="H17234" s="0" t="n">
        <v>73</v>
      </c>
      <c r="I17234" s="0" t="s">
        <v>57307</v>
      </c>
      <c r="J17234" s="0" t="s">
        <v>57308</v>
      </c>
      <c r="K17234" s="0" t="s">
        <v>57309</v>
      </c>
      <c r="L17234" s="0" t="str">
        <f aca="false">HYPERLINK("https://www.ncbi.nlm.nih.gov/nuccore/CP000058.1?report=graph&amp;tracks=[key:gene_model_track,Options:GeneOnly]&amp;mk=5296255:5296274|offset_6|444444,5296322:5296341|offset_73|00cc00,5296344:5296363|offset_95|444444,5296371:5296390|offset_122|444444&amp;v=5296054:5296590&amp;c=444444", "offset 73")</f>
        <v>offset 73</v>
      </c>
    </row>
    <row r="17235" customFormat="false" ht="12.8" hidden="false" customHeight="false" outlineLevel="0" collapsed="false">
      <c r="A17235" s="0" t="s">
        <v>12</v>
      </c>
      <c r="B17235" s="0" t="n">
        <v>5296343</v>
      </c>
      <c r="C17235" s="0" t="n">
        <v>5296363</v>
      </c>
      <c r="D17235" s="0" t="s">
        <v>57302</v>
      </c>
      <c r="E17235" s="0" t="s">
        <v>57303</v>
      </c>
      <c r="F17235" s="0" t="s">
        <v>15</v>
      </c>
      <c r="G17235" s="0" t="s">
        <v>20</v>
      </c>
      <c r="H17235" s="0" t="n">
        <v>95</v>
      </c>
      <c r="I17235" s="0" t="s">
        <v>57310</v>
      </c>
      <c r="J17235" s="0" t="s">
        <v>57311</v>
      </c>
      <c r="K17235" s="0" t="s">
        <v>57312</v>
      </c>
      <c r="L17235" s="0" t="str">
        <f aca="false">HYPERLINK("https://www.ncbi.nlm.nih.gov/nuccore/CP000058.1?report=graph&amp;tracks=[key:gene_model_track,Options:GeneOnly]&amp;mk=5296255:5296274|offset_6|444444,5296322:5296341|offset_73|444444,5296344:5296363|offset_95|00cc00,5296371:5296390|offset_122|444444&amp;v=5296054:5296590&amp;c=444444", "offset 95")</f>
        <v>offset 95</v>
      </c>
    </row>
    <row r="17236" customFormat="false" ht="12.8" hidden="false" customHeight="false" outlineLevel="0" collapsed="false">
      <c r="A17236" s="0" t="s">
        <v>12</v>
      </c>
      <c r="B17236" s="0" t="n">
        <v>5296370</v>
      </c>
      <c r="C17236" s="0" t="n">
        <v>5296390</v>
      </c>
      <c r="D17236" s="0" t="s">
        <v>57302</v>
      </c>
      <c r="E17236" s="0" t="s">
        <v>57303</v>
      </c>
      <c r="F17236" s="0" t="s">
        <v>15</v>
      </c>
      <c r="G17236" s="0" t="s">
        <v>32</v>
      </c>
      <c r="H17236" s="0" t="n">
        <v>122</v>
      </c>
      <c r="I17236" s="0" t="s">
        <v>57313</v>
      </c>
      <c r="J17236" s="0" t="s">
        <v>57314</v>
      </c>
      <c r="K17236" s="0" t="s">
        <v>57315</v>
      </c>
      <c r="L17236" s="0" t="str">
        <f aca="false">HYPERLINK("https://www.ncbi.nlm.nih.gov/nuccore/CP000058.1?report=graph&amp;tracks=[key:gene_model_track,Options:GeneOnly]&amp;mk=5296255:5296274|offset_6|444444,5296322:5296341|offset_73|444444,5296344:5296363|offset_95|444444,5296371:5296390|offset_122|00cc00&amp;v=5296054:5296590&amp;c=444444", "offset 122")</f>
        <v>offset 122</v>
      </c>
    </row>
    <row r="17237" customFormat="false" ht="12.8" hidden="false" customHeight="false" outlineLevel="0" collapsed="false">
      <c r="A17237" s="0" t="s">
        <v>12</v>
      </c>
      <c r="B17237" s="0" t="n">
        <v>5296862</v>
      </c>
      <c r="C17237" s="0" t="n">
        <v>5296882</v>
      </c>
      <c r="D17237" s="0" t="s">
        <v>57316</v>
      </c>
      <c r="E17237" s="0" t="s">
        <v>75</v>
      </c>
      <c r="F17237" s="0" t="s">
        <v>15</v>
      </c>
      <c r="G17237" s="0" t="s">
        <v>32</v>
      </c>
      <c r="H17237" s="0" t="n">
        <v>18</v>
      </c>
      <c r="I17237" s="0" t="s">
        <v>57317</v>
      </c>
      <c r="J17237" s="0" t="s">
        <v>57318</v>
      </c>
      <c r="K17237" s="0" t="s">
        <v>57319</v>
      </c>
      <c r="L17237" s="0" t="str">
        <f aca="false">HYPERLINK("https://www.ncbi.nlm.nih.gov/nuccore/CP000058.1?report=graph&amp;tracks=[key:gene_model_track,Options:GeneOnly]&amp;mk=5296863:5296882|offset_18|00cc00,5296917:5296936|offset_72|444444,5296985:5297004|offset_140|444444,5297005:5297024|offset_160|444444&amp;v=5296662:5297224&amp;c=444444", "offset 18")</f>
        <v>offset 18</v>
      </c>
    </row>
    <row r="17238" customFormat="false" ht="12.8" hidden="false" customHeight="false" outlineLevel="0" collapsed="false">
      <c r="A17238" s="0" t="s">
        <v>12</v>
      </c>
      <c r="B17238" s="0" t="n">
        <v>5296916</v>
      </c>
      <c r="C17238" s="0" t="n">
        <v>5296936</v>
      </c>
      <c r="D17238" s="0" t="s">
        <v>57316</v>
      </c>
      <c r="E17238" s="0" t="s">
        <v>75</v>
      </c>
      <c r="F17238" s="0" t="s">
        <v>15</v>
      </c>
      <c r="G17238" s="0" t="s">
        <v>32</v>
      </c>
      <c r="H17238" s="0" t="n">
        <v>72</v>
      </c>
      <c r="I17238" s="0" t="s">
        <v>57320</v>
      </c>
      <c r="J17238" s="0" t="s">
        <v>57321</v>
      </c>
      <c r="K17238" s="0" t="s">
        <v>57322</v>
      </c>
      <c r="L17238" s="0" t="str">
        <f aca="false">HYPERLINK("https://www.ncbi.nlm.nih.gov/nuccore/CP000058.1?report=graph&amp;tracks=[key:gene_model_track,Options:GeneOnly]&amp;mk=5296863:5296882|offset_18|444444,5296917:5296936|offset_72|00cc00,5296985:5297004|offset_140|444444,5297005:5297024|offset_160|444444&amp;v=5296662:5297224&amp;c=444444", "offset 72")</f>
        <v>offset 72</v>
      </c>
    </row>
    <row r="17239" customFormat="false" ht="12.8" hidden="false" customHeight="false" outlineLevel="0" collapsed="false">
      <c r="A17239" s="0" t="s">
        <v>12</v>
      </c>
      <c r="B17239" s="0" t="n">
        <v>5296984</v>
      </c>
      <c r="C17239" s="0" t="n">
        <v>5297004</v>
      </c>
      <c r="D17239" s="0" t="s">
        <v>57316</v>
      </c>
      <c r="E17239" s="0" t="s">
        <v>75</v>
      </c>
      <c r="F17239" s="0" t="s">
        <v>15</v>
      </c>
      <c r="G17239" s="0" t="s">
        <v>32</v>
      </c>
      <c r="H17239" s="0" t="n">
        <v>140</v>
      </c>
      <c r="I17239" s="0" t="s">
        <v>57323</v>
      </c>
      <c r="J17239" s="0" t="s">
        <v>57324</v>
      </c>
      <c r="K17239" s="0" t="s">
        <v>57325</v>
      </c>
      <c r="L17239" s="0" t="str">
        <f aca="false">HYPERLINK("https://www.ncbi.nlm.nih.gov/nuccore/CP000058.1?report=graph&amp;tracks=[key:gene_model_track,Options:GeneOnly]&amp;mk=5296863:5296882|offset_18|444444,5296917:5296936|offset_72|444444,5296985:5297004|offset_140|00cc00,5297005:5297024|offset_160|444444&amp;v=5296662:5297224&amp;c=444444", "offset 140")</f>
        <v>offset 140</v>
      </c>
    </row>
    <row r="17240" customFormat="false" ht="12.8" hidden="false" customHeight="false" outlineLevel="0" collapsed="false">
      <c r="A17240" s="0" t="s">
        <v>12</v>
      </c>
      <c r="B17240" s="0" t="n">
        <v>5297004</v>
      </c>
      <c r="C17240" s="0" t="n">
        <v>5297024</v>
      </c>
      <c r="D17240" s="0" t="s">
        <v>57316</v>
      </c>
      <c r="E17240" s="0" t="s">
        <v>75</v>
      </c>
      <c r="F17240" s="0" t="s">
        <v>15</v>
      </c>
      <c r="G17240" s="0" t="s">
        <v>32</v>
      </c>
      <c r="H17240" s="0" t="n">
        <v>160</v>
      </c>
      <c r="I17240" s="0" t="s">
        <v>57326</v>
      </c>
      <c r="J17240" s="0" t="s">
        <v>57327</v>
      </c>
      <c r="K17240" s="0" t="s">
        <v>57328</v>
      </c>
      <c r="L17240" s="0" t="str">
        <f aca="false">HYPERLINK("https://www.ncbi.nlm.nih.gov/nuccore/CP000058.1?report=graph&amp;tracks=[key:gene_model_track,Options:GeneOnly]&amp;mk=5296863:5296882|offset_18|444444,5296917:5296936|offset_72|444444,5296985:5297004|offset_140|444444,5297005:5297024|offset_160|00cc00&amp;v=5296662:5297224&amp;c=444444", "offset 160")</f>
        <v>offset 160</v>
      </c>
    </row>
    <row r="17241" customFormat="false" ht="12.8" hidden="false" customHeight="false" outlineLevel="0" collapsed="false">
      <c r="A17241" s="0" t="s">
        <v>12</v>
      </c>
      <c r="B17241" s="0" t="n">
        <v>5298615</v>
      </c>
      <c r="C17241" s="0" t="n">
        <v>5298635</v>
      </c>
      <c r="D17241" s="0" t="s">
        <v>57329</v>
      </c>
      <c r="E17241" s="0" t="s">
        <v>75</v>
      </c>
      <c r="F17241" s="0" t="s">
        <v>15</v>
      </c>
      <c r="G17241" s="0" t="s">
        <v>16</v>
      </c>
      <c r="H17241" s="0" t="n">
        <v>15</v>
      </c>
      <c r="I17241" s="0" t="s">
        <v>57330</v>
      </c>
      <c r="J17241" s="0" t="s">
        <v>57331</v>
      </c>
      <c r="K17241" s="0" t="s">
        <v>57332</v>
      </c>
      <c r="L17241" s="0" t="str">
        <f aca="false">HYPERLINK("https://www.ncbi.nlm.nih.gov/nuccore/CP000058.1?report=graph&amp;tracks=[key:gene_model_track,Options:GeneOnly]&amp;mk=5298616:5298635|offset_15|00cc00,5298641:5298660|offset_40|444444,5298672:5298691|offset_71|444444,5298699:5298718|offset_98|444444&amp;v=5298415:5298918&amp;c=444444", "offset 15")</f>
        <v>offset 15</v>
      </c>
    </row>
    <row r="17242" customFormat="false" ht="12.8" hidden="false" customHeight="false" outlineLevel="0" collapsed="false">
      <c r="A17242" s="0" t="s">
        <v>12</v>
      </c>
      <c r="B17242" s="0" t="n">
        <v>5298640</v>
      </c>
      <c r="C17242" s="0" t="n">
        <v>5298660</v>
      </c>
      <c r="D17242" s="0" t="s">
        <v>57329</v>
      </c>
      <c r="E17242" s="0" t="s">
        <v>75</v>
      </c>
      <c r="F17242" s="0" t="s">
        <v>15</v>
      </c>
      <c r="G17242" s="0" t="s">
        <v>32</v>
      </c>
      <c r="H17242" s="0" t="n">
        <v>40</v>
      </c>
      <c r="I17242" s="0" t="s">
        <v>57333</v>
      </c>
      <c r="J17242" s="0" t="s">
        <v>57334</v>
      </c>
      <c r="K17242" s="0" t="s">
        <v>57335</v>
      </c>
      <c r="L17242" s="0" t="str">
        <f aca="false">HYPERLINK("https://www.ncbi.nlm.nih.gov/nuccore/CP000058.1?report=graph&amp;tracks=[key:gene_model_track,Options:GeneOnly]&amp;mk=5298616:5298635|offset_15|444444,5298641:5298660|offset_40|00cc00,5298672:5298691|offset_71|444444,5298699:5298718|offset_98|444444&amp;v=5298415:5298918&amp;c=444444", "offset 40")</f>
        <v>offset 40</v>
      </c>
    </row>
    <row r="17243" customFormat="false" ht="12.8" hidden="false" customHeight="false" outlineLevel="0" collapsed="false">
      <c r="A17243" s="0" t="s">
        <v>12</v>
      </c>
      <c r="B17243" s="0" t="n">
        <v>5298671</v>
      </c>
      <c r="C17243" s="0" t="n">
        <v>5298691</v>
      </c>
      <c r="D17243" s="0" t="s">
        <v>57329</v>
      </c>
      <c r="E17243" s="0" t="s">
        <v>75</v>
      </c>
      <c r="F17243" s="0" t="s">
        <v>15</v>
      </c>
      <c r="G17243" s="0" t="s">
        <v>16</v>
      </c>
      <c r="H17243" s="0" t="n">
        <v>71</v>
      </c>
      <c r="I17243" s="0" t="s">
        <v>57336</v>
      </c>
      <c r="J17243" s="0" t="s">
        <v>57337</v>
      </c>
      <c r="K17243" s="0" t="s">
        <v>57338</v>
      </c>
      <c r="L17243" s="0" t="str">
        <f aca="false">HYPERLINK("https://www.ncbi.nlm.nih.gov/nuccore/CP000058.1?report=graph&amp;tracks=[key:gene_model_track,Options:GeneOnly]&amp;mk=5298616:5298635|offset_15|444444,5298641:5298660|offset_40|444444,5298672:5298691|offset_71|00cc00,5298699:5298718|offset_98|444444&amp;v=5298415:5298918&amp;c=444444", "offset 71")</f>
        <v>offset 71</v>
      </c>
    </row>
    <row r="17244" customFormat="false" ht="12.8" hidden="false" customHeight="false" outlineLevel="0" collapsed="false">
      <c r="A17244" s="0" t="s">
        <v>12</v>
      </c>
      <c r="B17244" s="0" t="n">
        <v>5298698</v>
      </c>
      <c r="C17244" s="0" t="n">
        <v>5298718</v>
      </c>
      <c r="D17244" s="0" t="s">
        <v>57329</v>
      </c>
      <c r="E17244" s="0" t="s">
        <v>75</v>
      </c>
      <c r="F17244" s="0" t="s">
        <v>15</v>
      </c>
      <c r="G17244" s="0" t="s">
        <v>16</v>
      </c>
      <c r="H17244" s="0" t="n">
        <v>98</v>
      </c>
      <c r="I17244" s="0" t="s">
        <v>57339</v>
      </c>
      <c r="J17244" s="0" t="s">
        <v>57340</v>
      </c>
      <c r="K17244" s="0" t="s">
        <v>57341</v>
      </c>
      <c r="L17244" s="0" t="str">
        <f aca="false">HYPERLINK("https://www.ncbi.nlm.nih.gov/nuccore/CP000058.1?report=graph&amp;tracks=[key:gene_model_track,Options:GeneOnly]&amp;mk=5298616:5298635|offset_15|444444,5298641:5298660|offset_40|444444,5298672:5298691|offset_71|444444,5298699:5298718|offset_98|00cc00&amp;v=5298415:5298918&amp;c=444444", "offset 98")</f>
        <v>offset 98</v>
      </c>
    </row>
    <row r="17245" customFormat="false" ht="12.8" hidden="false" customHeight="false" outlineLevel="0" collapsed="false">
      <c r="A17245" s="0" t="s">
        <v>12</v>
      </c>
      <c r="B17245" s="0" t="n">
        <v>5299598</v>
      </c>
      <c r="C17245" s="0" t="n">
        <v>5299618</v>
      </c>
      <c r="D17245" s="0" t="s">
        <v>57342</v>
      </c>
      <c r="E17245" s="0" t="s">
        <v>75</v>
      </c>
      <c r="F17245" s="0" t="s">
        <v>90</v>
      </c>
      <c r="G17245" s="0" t="s">
        <v>32</v>
      </c>
      <c r="H17245" s="0" t="n">
        <v>61</v>
      </c>
      <c r="I17245" s="0" t="s">
        <v>57343</v>
      </c>
      <c r="J17245" s="0" t="s">
        <v>57344</v>
      </c>
      <c r="K17245" s="0" t="s">
        <v>57345</v>
      </c>
      <c r="L17245" s="0" t="str">
        <f aca="false">HYPERLINK("https://www.ncbi.nlm.nih.gov/nuccore/CP000058.1?report=graph&amp;tracks=[key:gene_model_track,Options:GeneOnly]&amp;mk=5299599:5299618|offset_61|00cc00,5299570:5299589|offset_90|444444,5299496:5299515|offset_164|444444,5299468:5299487|offset_192|444444&amp;v=5299398:5299687&amp;c=444444", "offset 61")</f>
        <v>offset 61</v>
      </c>
    </row>
    <row r="17246" customFormat="false" ht="12.8" hidden="false" customHeight="false" outlineLevel="0" collapsed="false">
      <c r="A17246" s="0" t="s">
        <v>12</v>
      </c>
      <c r="B17246" s="0" t="n">
        <v>5299569</v>
      </c>
      <c r="C17246" s="0" t="n">
        <v>5299589</v>
      </c>
      <c r="D17246" s="0" t="s">
        <v>57342</v>
      </c>
      <c r="E17246" s="0" t="s">
        <v>75</v>
      </c>
      <c r="F17246" s="0" t="s">
        <v>90</v>
      </c>
      <c r="G17246" s="0" t="s">
        <v>20</v>
      </c>
      <c r="H17246" s="0" t="n">
        <v>90</v>
      </c>
      <c r="I17246" s="0" t="s">
        <v>57346</v>
      </c>
      <c r="J17246" s="0" t="s">
        <v>57347</v>
      </c>
      <c r="K17246" s="0" t="s">
        <v>57348</v>
      </c>
      <c r="L17246" s="0" t="str">
        <f aca="false">HYPERLINK("https://www.ncbi.nlm.nih.gov/nuccore/CP000058.1?report=graph&amp;tracks=[key:gene_model_track,Options:GeneOnly]&amp;mk=5299599:5299618|offset_61|444444,5299570:5299589|offset_90|00cc00,5299496:5299515|offset_164|444444,5299468:5299487|offset_192|444444&amp;v=5299398:5299687&amp;c=444444", "offset 90")</f>
        <v>offset 90</v>
      </c>
    </row>
    <row r="17247" customFormat="false" ht="12.8" hidden="false" customHeight="false" outlineLevel="0" collapsed="false">
      <c r="A17247" s="0" t="s">
        <v>12</v>
      </c>
      <c r="B17247" s="0" t="n">
        <v>5299495</v>
      </c>
      <c r="C17247" s="0" t="n">
        <v>5299515</v>
      </c>
      <c r="D17247" s="0" t="s">
        <v>57342</v>
      </c>
      <c r="E17247" s="0" t="s">
        <v>75</v>
      </c>
      <c r="F17247" s="0" t="s">
        <v>90</v>
      </c>
      <c r="G17247" s="0" t="s">
        <v>16</v>
      </c>
      <c r="H17247" s="0" t="n">
        <v>164</v>
      </c>
      <c r="I17247" s="0" t="s">
        <v>57349</v>
      </c>
      <c r="J17247" s="0" t="s">
        <v>57350</v>
      </c>
      <c r="K17247" s="0" t="s">
        <v>57351</v>
      </c>
      <c r="L17247" s="0" t="str">
        <f aca="false">HYPERLINK("https://www.ncbi.nlm.nih.gov/nuccore/CP000058.1?report=graph&amp;tracks=[key:gene_model_track,Options:GeneOnly]&amp;mk=5299599:5299618|offset_61|444444,5299570:5299589|offset_90|444444,5299496:5299515|offset_164|00cc00,5299468:5299487|offset_192|444444&amp;v=5299398:5299687&amp;c=444444", "offset 164")</f>
        <v>offset 164</v>
      </c>
    </row>
    <row r="17248" customFormat="false" ht="12.8" hidden="false" customHeight="false" outlineLevel="0" collapsed="false">
      <c r="A17248" s="0" t="s">
        <v>12</v>
      </c>
      <c r="B17248" s="0" t="n">
        <v>5299467</v>
      </c>
      <c r="C17248" s="0" t="n">
        <v>5299487</v>
      </c>
      <c r="D17248" s="0" t="s">
        <v>57342</v>
      </c>
      <c r="E17248" s="0" t="s">
        <v>75</v>
      </c>
      <c r="F17248" s="0" t="s">
        <v>90</v>
      </c>
      <c r="G17248" s="0" t="s">
        <v>16</v>
      </c>
      <c r="H17248" s="0" t="n">
        <v>192</v>
      </c>
      <c r="I17248" s="0" t="s">
        <v>57352</v>
      </c>
      <c r="J17248" s="0" t="s">
        <v>57353</v>
      </c>
      <c r="K17248" s="0" t="s">
        <v>57354</v>
      </c>
      <c r="L17248" s="0" t="str">
        <f aca="false">HYPERLINK("https://www.ncbi.nlm.nih.gov/nuccore/CP000058.1?report=graph&amp;tracks=[key:gene_model_track,Options:GeneOnly]&amp;mk=5299599:5299618|offset_61|444444,5299570:5299589|offset_90|444444,5299496:5299515|offset_164|444444,5299468:5299487|offset_192|00cc00&amp;v=5299398:5299687&amp;c=444444", "offset 192")</f>
        <v>offset 192</v>
      </c>
    </row>
    <row r="17249" customFormat="false" ht="12.8" hidden="false" customHeight="false" outlineLevel="0" collapsed="false">
      <c r="A17249" s="0" t="s">
        <v>12</v>
      </c>
      <c r="B17249" s="0" t="n">
        <v>5300261</v>
      </c>
      <c r="C17249" s="0" t="n">
        <v>5300281</v>
      </c>
      <c r="D17249" s="0" t="s">
        <v>57355</v>
      </c>
      <c r="E17249" s="0" t="s">
        <v>75</v>
      </c>
      <c r="F17249" s="0" t="s">
        <v>90</v>
      </c>
      <c r="G17249" s="0" t="s">
        <v>36</v>
      </c>
      <c r="H17249" s="0" t="n">
        <v>11</v>
      </c>
      <c r="I17249" s="0" t="s">
        <v>57356</v>
      </c>
      <c r="J17249" s="0" t="s">
        <v>57357</v>
      </c>
      <c r="K17249" s="0" t="s">
        <v>57358</v>
      </c>
      <c r="L17249" s="0" t="str">
        <f aca="false">HYPERLINK("https://www.ncbi.nlm.nih.gov/nuccore/CP000058.1?report=graph&amp;tracks=[key:gene_model_track,Options:GeneOnly]&amp;mk=5300262:5300281|offset_11|00cc00,5300236:5300255|offset_37|444444,5300178:5300197|offset_95|444444,5300149:5300168|offset_124|444444&amp;v=5300061:5300368&amp;c=444444", "offset 11")</f>
        <v>offset 11</v>
      </c>
    </row>
    <row r="17250" customFormat="false" ht="12.8" hidden="false" customHeight="false" outlineLevel="0" collapsed="false">
      <c r="A17250" s="0" t="s">
        <v>12</v>
      </c>
      <c r="B17250" s="0" t="n">
        <v>5300235</v>
      </c>
      <c r="C17250" s="0" t="n">
        <v>5300255</v>
      </c>
      <c r="D17250" s="0" t="s">
        <v>57355</v>
      </c>
      <c r="E17250" s="0" t="s">
        <v>75</v>
      </c>
      <c r="F17250" s="0" t="s">
        <v>90</v>
      </c>
      <c r="G17250" s="0" t="s">
        <v>16</v>
      </c>
      <c r="H17250" s="0" t="n">
        <v>37</v>
      </c>
      <c r="I17250" s="0" t="s">
        <v>57359</v>
      </c>
      <c r="J17250" s="0" t="s">
        <v>57360</v>
      </c>
      <c r="K17250" s="0" t="s">
        <v>57361</v>
      </c>
      <c r="L17250" s="0" t="str">
        <f aca="false">HYPERLINK("https://www.ncbi.nlm.nih.gov/nuccore/CP000058.1?report=graph&amp;tracks=[key:gene_model_track,Options:GeneOnly]&amp;mk=5300262:5300281|offset_11|444444,5300236:5300255|offset_37|00cc00,5300178:5300197|offset_95|444444,5300149:5300168|offset_124|444444&amp;v=5300061:5300368&amp;c=444444", "offset 37")</f>
        <v>offset 37</v>
      </c>
    </row>
    <row r="17251" customFormat="false" ht="12.8" hidden="false" customHeight="false" outlineLevel="0" collapsed="false">
      <c r="A17251" s="0" t="s">
        <v>12</v>
      </c>
      <c r="B17251" s="0" t="n">
        <v>5300177</v>
      </c>
      <c r="C17251" s="0" t="n">
        <v>5300197</v>
      </c>
      <c r="D17251" s="0" t="s">
        <v>57355</v>
      </c>
      <c r="E17251" s="0" t="s">
        <v>75</v>
      </c>
      <c r="F17251" s="0" t="s">
        <v>90</v>
      </c>
      <c r="G17251" s="0" t="s">
        <v>16</v>
      </c>
      <c r="H17251" s="0" t="n">
        <v>95</v>
      </c>
      <c r="I17251" s="0" t="s">
        <v>57362</v>
      </c>
      <c r="J17251" s="0" t="s">
        <v>57363</v>
      </c>
      <c r="K17251" s="0" t="s">
        <v>57364</v>
      </c>
      <c r="L17251" s="0" t="str">
        <f aca="false">HYPERLINK("https://www.ncbi.nlm.nih.gov/nuccore/CP000058.1?report=graph&amp;tracks=[key:gene_model_track,Options:GeneOnly]&amp;mk=5300262:5300281|offset_11|444444,5300236:5300255|offset_37|444444,5300178:5300197|offset_95|00cc00,5300149:5300168|offset_124|444444&amp;v=5300061:5300368&amp;c=444444", "offset 95")</f>
        <v>offset 95</v>
      </c>
    </row>
    <row r="17252" customFormat="false" ht="12.8" hidden="false" customHeight="false" outlineLevel="0" collapsed="false">
      <c r="A17252" s="0" t="s">
        <v>12</v>
      </c>
      <c r="B17252" s="0" t="n">
        <v>5300148</v>
      </c>
      <c r="C17252" s="0" t="n">
        <v>5300168</v>
      </c>
      <c r="D17252" s="0" t="s">
        <v>57355</v>
      </c>
      <c r="E17252" s="0" t="s">
        <v>75</v>
      </c>
      <c r="F17252" s="0" t="s">
        <v>90</v>
      </c>
      <c r="G17252" s="0" t="s">
        <v>16</v>
      </c>
      <c r="H17252" s="0" t="n">
        <v>124</v>
      </c>
      <c r="I17252" s="0" t="s">
        <v>57365</v>
      </c>
      <c r="J17252" s="0" t="s">
        <v>57366</v>
      </c>
      <c r="K17252" s="0" t="s">
        <v>57367</v>
      </c>
      <c r="L17252" s="0" t="str">
        <f aca="false">HYPERLINK("https://www.ncbi.nlm.nih.gov/nuccore/CP000058.1?report=graph&amp;tracks=[key:gene_model_track,Options:GeneOnly]&amp;mk=5300262:5300281|offset_11|444444,5300236:5300255|offset_37|444444,5300178:5300197|offset_95|444444,5300149:5300168|offset_124|00cc00&amp;v=5300061:5300368&amp;c=444444", "offset 124")</f>
        <v>offset 124</v>
      </c>
    </row>
    <row r="17253" customFormat="false" ht="12.8" hidden="false" customHeight="false" outlineLevel="0" collapsed="false">
      <c r="A17253" s="0" t="s">
        <v>12</v>
      </c>
      <c r="B17253" s="0" t="n">
        <v>5301666</v>
      </c>
      <c r="C17253" s="0" t="n">
        <v>5301686</v>
      </c>
      <c r="D17253" s="0" t="s">
        <v>57368</v>
      </c>
      <c r="E17253" s="0" t="s">
        <v>57369</v>
      </c>
      <c r="F17253" s="0" t="s">
        <v>90</v>
      </c>
      <c r="G17253" s="0" t="s">
        <v>32</v>
      </c>
      <c r="H17253" s="0" t="n">
        <v>21</v>
      </c>
      <c r="I17253" s="0" t="s">
        <v>57370</v>
      </c>
      <c r="J17253" s="0" t="s">
        <v>57371</v>
      </c>
      <c r="K17253" s="0" t="s">
        <v>57372</v>
      </c>
      <c r="L17253" s="0" t="str">
        <f aca="false">HYPERLINK("https://www.ncbi.nlm.nih.gov/nuccore/CP000058.1?report=graph&amp;tracks=[key:gene_model_track,Options:GeneOnly]&amp;mk=5301667:5301686|offset_21|00cc00,5301644:5301663|offset_44|444444,5301602:5301621|offset_86|444444,5301558:5301577|offset_130|444444&amp;v=5301466:5301777&amp;c=444444", "offset 21")</f>
        <v>offset 21</v>
      </c>
    </row>
    <row r="17254" customFormat="false" ht="12.8" hidden="false" customHeight="false" outlineLevel="0" collapsed="false">
      <c r="A17254" s="0" t="s">
        <v>12</v>
      </c>
      <c r="B17254" s="0" t="n">
        <v>5301643</v>
      </c>
      <c r="C17254" s="0" t="n">
        <v>5301663</v>
      </c>
      <c r="D17254" s="0" t="s">
        <v>57368</v>
      </c>
      <c r="E17254" s="0" t="s">
        <v>57369</v>
      </c>
      <c r="F17254" s="0" t="s">
        <v>90</v>
      </c>
      <c r="G17254" s="0" t="s">
        <v>20</v>
      </c>
      <c r="H17254" s="0" t="n">
        <v>44</v>
      </c>
      <c r="I17254" s="0" t="s">
        <v>57373</v>
      </c>
      <c r="J17254" s="0" t="s">
        <v>57374</v>
      </c>
      <c r="K17254" s="0" t="s">
        <v>57375</v>
      </c>
      <c r="L17254" s="0" t="str">
        <f aca="false">HYPERLINK("https://www.ncbi.nlm.nih.gov/nuccore/CP000058.1?report=graph&amp;tracks=[key:gene_model_track,Options:GeneOnly]&amp;mk=5301667:5301686|offset_21|444444,5301644:5301663|offset_44|00cc00,5301602:5301621|offset_86|444444,5301558:5301577|offset_130|444444&amp;v=5301466:5301777&amp;c=444444", "offset 44")</f>
        <v>offset 44</v>
      </c>
    </row>
    <row r="17255" customFormat="false" ht="12.8" hidden="false" customHeight="false" outlineLevel="0" collapsed="false">
      <c r="A17255" s="0" t="s">
        <v>12</v>
      </c>
      <c r="B17255" s="0" t="n">
        <v>5301601</v>
      </c>
      <c r="C17255" s="0" t="n">
        <v>5301621</v>
      </c>
      <c r="D17255" s="0" t="s">
        <v>57368</v>
      </c>
      <c r="E17255" s="0" t="s">
        <v>57369</v>
      </c>
      <c r="F17255" s="0" t="s">
        <v>90</v>
      </c>
      <c r="G17255" s="0" t="s">
        <v>20</v>
      </c>
      <c r="H17255" s="0" t="n">
        <v>86</v>
      </c>
      <c r="I17255" s="0" t="s">
        <v>57376</v>
      </c>
      <c r="J17255" s="0" t="s">
        <v>57377</v>
      </c>
      <c r="K17255" s="0" t="s">
        <v>57378</v>
      </c>
      <c r="L17255" s="0" t="str">
        <f aca="false">HYPERLINK("https://www.ncbi.nlm.nih.gov/nuccore/CP000058.1?report=graph&amp;tracks=[key:gene_model_track,Options:GeneOnly]&amp;mk=5301667:5301686|offset_21|444444,5301644:5301663|offset_44|444444,5301602:5301621|offset_86|00cc00,5301558:5301577|offset_130|444444&amp;v=5301466:5301777&amp;c=444444", "offset 86")</f>
        <v>offset 86</v>
      </c>
    </row>
    <row r="17256" customFormat="false" ht="12.8" hidden="false" customHeight="false" outlineLevel="0" collapsed="false">
      <c r="A17256" s="0" t="s">
        <v>12</v>
      </c>
      <c r="B17256" s="0" t="n">
        <v>5301557</v>
      </c>
      <c r="C17256" s="0" t="n">
        <v>5301577</v>
      </c>
      <c r="D17256" s="0" t="s">
        <v>57368</v>
      </c>
      <c r="E17256" s="0" t="s">
        <v>57369</v>
      </c>
      <c r="F17256" s="0" t="s">
        <v>90</v>
      </c>
      <c r="G17256" s="0" t="s">
        <v>32</v>
      </c>
      <c r="H17256" s="0" t="n">
        <v>130</v>
      </c>
      <c r="I17256" s="0" t="s">
        <v>57379</v>
      </c>
      <c r="J17256" s="0" t="s">
        <v>57380</v>
      </c>
      <c r="K17256" s="0" t="s">
        <v>57381</v>
      </c>
      <c r="L17256" s="0" t="str">
        <f aca="false">HYPERLINK("https://www.ncbi.nlm.nih.gov/nuccore/CP000058.1?report=graph&amp;tracks=[key:gene_model_track,Options:GeneOnly]&amp;mk=5301667:5301686|offset_21|444444,5301644:5301663|offset_44|444444,5301602:5301621|offset_86|444444,5301558:5301577|offset_130|00cc00&amp;v=5301466:5301777&amp;c=444444", "offset 130")</f>
        <v>offset 130</v>
      </c>
    </row>
    <row r="17257" customFormat="false" ht="12.8" hidden="false" customHeight="false" outlineLevel="0" collapsed="false">
      <c r="A17257" s="0" t="s">
        <v>12</v>
      </c>
      <c r="B17257" s="0" t="n">
        <v>5301881</v>
      </c>
      <c r="C17257" s="0" t="n">
        <v>5301901</v>
      </c>
      <c r="D17257" s="0" t="s">
        <v>57382</v>
      </c>
      <c r="E17257" s="0" t="s">
        <v>75</v>
      </c>
      <c r="F17257" s="0" t="s">
        <v>15</v>
      </c>
      <c r="G17257" s="0" t="s">
        <v>36</v>
      </c>
      <c r="H17257" s="0" t="n">
        <v>18</v>
      </c>
      <c r="I17257" s="0" t="s">
        <v>57383</v>
      </c>
      <c r="J17257" s="0" t="s">
        <v>57384</v>
      </c>
      <c r="K17257" s="0" t="s">
        <v>57385</v>
      </c>
      <c r="L17257" s="0" t="str">
        <f aca="false">HYPERLINK("https://www.ncbi.nlm.nih.gov/nuccore/CP000058.1?report=graph&amp;tracks=[key:gene_model_track,Options:GeneOnly]&amp;mk=5301882:5301901|offset_18|00cc00,5301954:5301973|offset_90|444444,5301976:5301995|offset_112|444444,5302003:5302022|offset_139|444444&amp;v=5301681:5302222&amp;c=444444", "offset 18")</f>
        <v>offset 18</v>
      </c>
    </row>
    <row r="17258" customFormat="false" ht="12.8" hidden="false" customHeight="false" outlineLevel="0" collapsed="false">
      <c r="A17258" s="0" t="s">
        <v>12</v>
      </c>
      <c r="B17258" s="0" t="n">
        <v>5301953</v>
      </c>
      <c r="C17258" s="0" t="n">
        <v>5301973</v>
      </c>
      <c r="D17258" s="0" t="s">
        <v>57382</v>
      </c>
      <c r="E17258" s="0" t="s">
        <v>75</v>
      </c>
      <c r="F17258" s="0" t="s">
        <v>15</v>
      </c>
      <c r="G17258" s="0" t="s">
        <v>16</v>
      </c>
      <c r="H17258" s="0" t="n">
        <v>90</v>
      </c>
      <c r="I17258" s="0" t="s">
        <v>57386</v>
      </c>
      <c r="J17258" s="0" t="s">
        <v>57387</v>
      </c>
      <c r="K17258" s="0" t="s">
        <v>57388</v>
      </c>
      <c r="L17258" s="0" t="str">
        <f aca="false">HYPERLINK("https://www.ncbi.nlm.nih.gov/nuccore/CP000058.1?report=graph&amp;tracks=[key:gene_model_track,Options:GeneOnly]&amp;mk=5301882:5301901|offset_18|444444,5301954:5301973|offset_90|00cc00,5301976:5301995|offset_112|444444,5302003:5302022|offset_139|444444&amp;v=5301681:5302222&amp;c=444444", "offset 90")</f>
        <v>offset 90</v>
      </c>
    </row>
    <row r="17259" customFormat="false" ht="12.8" hidden="false" customHeight="false" outlineLevel="0" collapsed="false">
      <c r="A17259" s="0" t="s">
        <v>12</v>
      </c>
      <c r="B17259" s="0" t="n">
        <v>5301975</v>
      </c>
      <c r="C17259" s="0" t="n">
        <v>5301995</v>
      </c>
      <c r="D17259" s="0" t="s">
        <v>57382</v>
      </c>
      <c r="E17259" s="0" t="s">
        <v>75</v>
      </c>
      <c r="F17259" s="0" t="s">
        <v>15</v>
      </c>
      <c r="G17259" s="0" t="s">
        <v>32</v>
      </c>
      <c r="H17259" s="0" t="n">
        <v>112</v>
      </c>
      <c r="I17259" s="0" t="s">
        <v>57389</v>
      </c>
      <c r="J17259" s="0" t="s">
        <v>57390</v>
      </c>
      <c r="K17259" s="0" t="s">
        <v>57391</v>
      </c>
      <c r="L17259" s="0" t="str">
        <f aca="false">HYPERLINK("https://www.ncbi.nlm.nih.gov/nuccore/CP000058.1?report=graph&amp;tracks=[key:gene_model_track,Options:GeneOnly]&amp;mk=5301882:5301901|offset_18|444444,5301954:5301973|offset_90|444444,5301976:5301995|offset_112|00cc00,5302003:5302022|offset_139|444444&amp;v=5301681:5302222&amp;c=444444", "offset 112")</f>
        <v>offset 112</v>
      </c>
    </row>
    <row r="17260" customFormat="false" ht="12.8" hidden="false" customHeight="false" outlineLevel="0" collapsed="false">
      <c r="A17260" s="0" t="s">
        <v>12</v>
      </c>
      <c r="B17260" s="0" t="n">
        <v>5302002</v>
      </c>
      <c r="C17260" s="0" t="n">
        <v>5302022</v>
      </c>
      <c r="D17260" s="0" t="s">
        <v>57382</v>
      </c>
      <c r="E17260" s="0" t="s">
        <v>75</v>
      </c>
      <c r="F17260" s="0" t="s">
        <v>15</v>
      </c>
      <c r="G17260" s="0" t="s">
        <v>32</v>
      </c>
      <c r="H17260" s="0" t="n">
        <v>139</v>
      </c>
      <c r="I17260" s="0" t="s">
        <v>57392</v>
      </c>
      <c r="J17260" s="0" t="s">
        <v>57393</v>
      </c>
      <c r="K17260" s="0" t="s">
        <v>57394</v>
      </c>
      <c r="L17260" s="0" t="str">
        <f aca="false">HYPERLINK("https://www.ncbi.nlm.nih.gov/nuccore/CP000058.1?report=graph&amp;tracks=[key:gene_model_track,Options:GeneOnly]&amp;mk=5301882:5301901|offset_18|444444,5301954:5301973|offset_90|444444,5301976:5301995|offset_112|444444,5302003:5302022|offset_139|00cc00&amp;v=5301681:5302222&amp;c=444444", "offset 139")</f>
        <v>offset 139</v>
      </c>
    </row>
    <row r="17261" customFormat="false" ht="12.8" hidden="false" customHeight="false" outlineLevel="0" collapsed="false">
      <c r="A17261" s="0" t="s">
        <v>12</v>
      </c>
      <c r="B17261" s="0" t="n">
        <v>5304911</v>
      </c>
      <c r="C17261" s="0" t="n">
        <v>5304931</v>
      </c>
      <c r="D17261" s="0" t="s">
        <v>57395</v>
      </c>
      <c r="E17261" s="0" t="s">
        <v>57396</v>
      </c>
      <c r="F17261" s="0" t="s">
        <v>15</v>
      </c>
      <c r="G17261" s="0" t="s">
        <v>36</v>
      </c>
      <c r="H17261" s="0" t="n">
        <v>16</v>
      </c>
      <c r="I17261" s="0" t="s">
        <v>57397</v>
      </c>
      <c r="J17261" s="0" t="s">
        <v>57398</v>
      </c>
      <c r="K17261" s="0" t="s">
        <v>57399</v>
      </c>
      <c r="L17261" s="0" t="str">
        <f aca="false">HYPERLINK("https://www.ncbi.nlm.nih.gov/nuccore/CP000058.1?report=graph&amp;tracks=[key:gene_model_track,Options:GeneOnly]&amp;mk=5304912:5304931|offset_16|00cc00,5304937:5304956|offset_41|444444,5304966:5304985|offset_70|444444,5304987:5305006|offset_91|444444&amp;v=5304711:5305206&amp;c=444444", "offset 16")</f>
        <v>offset 16</v>
      </c>
    </row>
    <row r="17262" customFormat="false" ht="12.8" hidden="false" customHeight="false" outlineLevel="0" collapsed="false">
      <c r="A17262" s="0" t="s">
        <v>12</v>
      </c>
      <c r="B17262" s="0" t="n">
        <v>5304936</v>
      </c>
      <c r="C17262" s="0" t="n">
        <v>5304956</v>
      </c>
      <c r="D17262" s="0" t="s">
        <v>57395</v>
      </c>
      <c r="E17262" s="0" t="s">
        <v>57396</v>
      </c>
      <c r="F17262" s="0" t="s">
        <v>15</v>
      </c>
      <c r="G17262" s="0" t="s">
        <v>16</v>
      </c>
      <c r="H17262" s="0" t="n">
        <v>41</v>
      </c>
      <c r="I17262" s="0" t="s">
        <v>57400</v>
      </c>
      <c r="J17262" s="0" t="s">
        <v>57401</v>
      </c>
      <c r="K17262" s="0" t="s">
        <v>57402</v>
      </c>
      <c r="L17262" s="0" t="str">
        <f aca="false">HYPERLINK("https://www.ncbi.nlm.nih.gov/nuccore/CP000058.1?report=graph&amp;tracks=[key:gene_model_track,Options:GeneOnly]&amp;mk=5304912:5304931|offset_16|444444,5304937:5304956|offset_41|00cc00,5304966:5304985|offset_70|444444,5304987:5305006|offset_91|444444&amp;v=5304711:5305206&amp;c=444444", "offset 41")</f>
        <v>offset 41</v>
      </c>
    </row>
    <row r="17263" customFormat="false" ht="12.8" hidden="false" customHeight="false" outlineLevel="0" collapsed="false">
      <c r="A17263" s="0" t="s">
        <v>12</v>
      </c>
      <c r="B17263" s="0" t="n">
        <v>5304965</v>
      </c>
      <c r="C17263" s="0" t="n">
        <v>5304985</v>
      </c>
      <c r="D17263" s="0" t="s">
        <v>57395</v>
      </c>
      <c r="E17263" s="0" t="s">
        <v>57396</v>
      </c>
      <c r="F17263" s="0" t="s">
        <v>15</v>
      </c>
      <c r="G17263" s="0" t="s">
        <v>32</v>
      </c>
      <c r="H17263" s="0" t="n">
        <v>70</v>
      </c>
      <c r="I17263" s="0" t="s">
        <v>57403</v>
      </c>
      <c r="J17263" s="0" t="s">
        <v>57404</v>
      </c>
      <c r="K17263" s="0" t="s">
        <v>57405</v>
      </c>
      <c r="L17263" s="0" t="str">
        <f aca="false">HYPERLINK("https://www.ncbi.nlm.nih.gov/nuccore/CP000058.1?report=graph&amp;tracks=[key:gene_model_track,Options:GeneOnly]&amp;mk=5304912:5304931|offset_16|444444,5304937:5304956|offset_41|444444,5304966:5304985|offset_70|00cc00,5304987:5305006|offset_91|444444&amp;v=5304711:5305206&amp;c=444444", "offset 70")</f>
        <v>offset 70</v>
      </c>
    </row>
    <row r="17264" customFormat="false" ht="12.8" hidden="false" customHeight="false" outlineLevel="0" collapsed="false">
      <c r="A17264" s="0" t="s">
        <v>12</v>
      </c>
      <c r="B17264" s="0" t="n">
        <v>5304986</v>
      </c>
      <c r="C17264" s="0" t="n">
        <v>5305006</v>
      </c>
      <c r="D17264" s="0" t="s">
        <v>57395</v>
      </c>
      <c r="E17264" s="0" t="s">
        <v>57396</v>
      </c>
      <c r="F17264" s="0" t="s">
        <v>15</v>
      </c>
      <c r="G17264" s="0" t="s">
        <v>16</v>
      </c>
      <c r="H17264" s="0" t="n">
        <v>91</v>
      </c>
      <c r="I17264" s="0" t="s">
        <v>57406</v>
      </c>
      <c r="J17264" s="0" t="s">
        <v>57407</v>
      </c>
      <c r="K17264" s="0" t="s">
        <v>57408</v>
      </c>
      <c r="L17264" s="0" t="str">
        <f aca="false">HYPERLINK("https://www.ncbi.nlm.nih.gov/nuccore/CP000058.1?report=graph&amp;tracks=[key:gene_model_track,Options:GeneOnly]&amp;mk=5304912:5304931|offset_16|444444,5304937:5304956|offset_41|444444,5304966:5304985|offset_70|444444,5304987:5305006|offset_91|00cc00&amp;v=5304711:5305206&amp;c=444444", "offset 91")</f>
        <v>offset 91</v>
      </c>
    </row>
    <row r="17265" customFormat="false" ht="12.8" hidden="false" customHeight="false" outlineLevel="0" collapsed="false">
      <c r="A17265" s="0" t="s">
        <v>12</v>
      </c>
      <c r="B17265" s="0" t="n">
        <v>5306301</v>
      </c>
      <c r="C17265" s="0" t="n">
        <v>5306321</v>
      </c>
      <c r="D17265" s="0" t="s">
        <v>57409</v>
      </c>
      <c r="E17265" s="0" t="s">
        <v>57410</v>
      </c>
      <c r="F17265" s="0" t="s">
        <v>15</v>
      </c>
      <c r="G17265" s="0" t="s">
        <v>16</v>
      </c>
      <c r="H17265" s="0" t="n">
        <v>0</v>
      </c>
      <c r="I17265" s="0" t="s">
        <v>57411</v>
      </c>
      <c r="J17265" s="0" t="s">
        <v>57412</v>
      </c>
      <c r="K17265" s="0" t="s">
        <v>57413</v>
      </c>
      <c r="L17265" s="0" t="str">
        <f aca="false">HYPERLINK("https://www.ncbi.nlm.nih.gov/nuccore/CP000058.1?report=graph&amp;tracks=[key:gene_model_track,Options:GeneOnly]&amp;mk=5306302:5306321|offset_0|00cc00,5306327:5306346|offset_25|444444,5306358:5306377|offset_56|444444,5306393:5306412|offset_91|444444&amp;v=5306101:5306612&amp;c=444444", "offset 0")</f>
        <v>offset 0</v>
      </c>
    </row>
    <row r="17266" customFormat="false" ht="12.8" hidden="false" customHeight="false" outlineLevel="0" collapsed="false">
      <c r="A17266" s="0" t="s">
        <v>12</v>
      </c>
      <c r="B17266" s="0" t="n">
        <v>5306326</v>
      </c>
      <c r="C17266" s="0" t="n">
        <v>5306346</v>
      </c>
      <c r="D17266" s="0" t="s">
        <v>57409</v>
      </c>
      <c r="E17266" s="0" t="s">
        <v>57410</v>
      </c>
      <c r="F17266" s="0" t="s">
        <v>15</v>
      </c>
      <c r="G17266" s="0" t="s">
        <v>16</v>
      </c>
      <c r="H17266" s="0" t="n">
        <v>25</v>
      </c>
      <c r="I17266" s="0" t="s">
        <v>57414</v>
      </c>
      <c r="J17266" s="0" t="s">
        <v>57415</v>
      </c>
      <c r="K17266" s="0" t="s">
        <v>57416</v>
      </c>
      <c r="L17266" s="0" t="str">
        <f aca="false">HYPERLINK("https://www.ncbi.nlm.nih.gov/nuccore/CP000058.1?report=graph&amp;tracks=[key:gene_model_track,Options:GeneOnly]&amp;mk=5306302:5306321|offset_0|444444,5306327:5306346|offset_25|00cc00,5306358:5306377|offset_56|444444,5306393:5306412|offset_91|444444&amp;v=5306101:5306612&amp;c=444444", "offset 25")</f>
        <v>offset 25</v>
      </c>
    </row>
    <row r="17267" customFormat="false" ht="12.8" hidden="false" customHeight="false" outlineLevel="0" collapsed="false">
      <c r="A17267" s="0" t="s">
        <v>12</v>
      </c>
      <c r="B17267" s="0" t="n">
        <v>5306357</v>
      </c>
      <c r="C17267" s="0" t="n">
        <v>5306377</v>
      </c>
      <c r="D17267" s="0" t="s">
        <v>57409</v>
      </c>
      <c r="E17267" s="0" t="s">
        <v>57410</v>
      </c>
      <c r="F17267" s="0" t="s">
        <v>15</v>
      </c>
      <c r="G17267" s="0" t="s">
        <v>16</v>
      </c>
      <c r="H17267" s="0" t="n">
        <v>56</v>
      </c>
      <c r="I17267" s="0" t="s">
        <v>57417</v>
      </c>
      <c r="J17267" s="0" t="s">
        <v>57418</v>
      </c>
      <c r="K17267" s="0" t="s">
        <v>57419</v>
      </c>
      <c r="L17267" s="0" t="str">
        <f aca="false">HYPERLINK("https://www.ncbi.nlm.nih.gov/nuccore/CP000058.1?report=graph&amp;tracks=[key:gene_model_track,Options:GeneOnly]&amp;mk=5306302:5306321|offset_0|444444,5306327:5306346|offset_25|444444,5306358:5306377|offset_56|00cc00,5306393:5306412|offset_91|444444&amp;v=5306101:5306612&amp;c=444444", "offset 56")</f>
        <v>offset 56</v>
      </c>
    </row>
    <row r="17268" customFormat="false" ht="12.8" hidden="false" customHeight="false" outlineLevel="0" collapsed="false">
      <c r="A17268" s="0" t="s">
        <v>12</v>
      </c>
      <c r="B17268" s="0" t="n">
        <v>5306392</v>
      </c>
      <c r="C17268" s="0" t="n">
        <v>5306412</v>
      </c>
      <c r="D17268" s="0" t="s">
        <v>57409</v>
      </c>
      <c r="E17268" s="0" t="s">
        <v>57410</v>
      </c>
      <c r="F17268" s="0" t="s">
        <v>15</v>
      </c>
      <c r="G17268" s="0" t="s">
        <v>16</v>
      </c>
      <c r="H17268" s="0" t="n">
        <v>91</v>
      </c>
      <c r="I17268" s="0" t="s">
        <v>57420</v>
      </c>
      <c r="J17268" s="0" t="s">
        <v>57421</v>
      </c>
      <c r="K17268" s="0" t="s">
        <v>57422</v>
      </c>
      <c r="L17268" s="0" t="str">
        <f aca="false">HYPERLINK("https://www.ncbi.nlm.nih.gov/nuccore/CP000058.1?report=graph&amp;tracks=[key:gene_model_track,Options:GeneOnly]&amp;mk=5306302:5306321|offset_0|444444,5306327:5306346|offset_25|444444,5306358:5306377|offset_56|444444,5306393:5306412|offset_91|00cc00&amp;v=5306101:5306612&amp;c=444444", "offset 91")</f>
        <v>offset 91</v>
      </c>
    </row>
    <row r="17269" customFormat="false" ht="12.8" hidden="false" customHeight="false" outlineLevel="0" collapsed="false">
      <c r="A17269" s="0" t="s">
        <v>12</v>
      </c>
      <c r="B17269" s="0" t="n">
        <v>5307234</v>
      </c>
      <c r="C17269" s="0" t="n">
        <v>5307254</v>
      </c>
      <c r="D17269" s="0" t="s">
        <v>57423</v>
      </c>
      <c r="E17269" s="0" t="s">
        <v>75</v>
      </c>
      <c r="F17269" s="0" t="s">
        <v>15</v>
      </c>
      <c r="G17269" s="0" t="s">
        <v>32</v>
      </c>
      <c r="H17269" s="0" t="n">
        <v>1</v>
      </c>
      <c r="I17269" s="0" t="s">
        <v>57424</v>
      </c>
      <c r="J17269" s="0" t="s">
        <v>57425</v>
      </c>
      <c r="K17269" s="0" t="s">
        <v>57426</v>
      </c>
      <c r="L17269" s="0" t="str">
        <f aca="false">HYPERLINK("https://www.ncbi.nlm.nih.gov/nuccore/CP000058.1?report=graph&amp;tracks=[key:gene_model_track,Options:GeneOnly]&amp;mk=5307235:5307254|offset_1|00cc00,5307266:5307285|offset_32|444444,5307299:5307318|offset_65|444444,5307321:5307340|offset_87|444444&amp;v=5307034:5307540&amp;c=444444", "offset 1")</f>
        <v>offset 1</v>
      </c>
    </row>
    <row r="17270" customFormat="false" ht="12.8" hidden="false" customHeight="false" outlineLevel="0" collapsed="false">
      <c r="A17270" s="0" t="s">
        <v>12</v>
      </c>
      <c r="B17270" s="0" t="n">
        <v>5307265</v>
      </c>
      <c r="C17270" s="0" t="n">
        <v>5307285</v>
      </c>
      <c r="D17270" s="0" t="s">
        <v>57423</v>
      </c>
      <c r="E17270" s="0" t="s">
        <v>75</v>
      </c>
      <c r="F17270" s="0" t="s">
        <v>15</v>
      </c>
      <c r="G17270" s="0" t="s">
        <v>20</v>
      </c>
      <c r="H17270" s="0" t="n">
        <v>32</v>
      </c>
      <c r="I17270" s="0" t="s">
        <v>57427</v>
      </c>
      <c r="J17270" s="0" t="s">
        <v>57428</v>
      </c>
      <c r="K17270" s="0" t="s">
        <v>57429</v>
      </c>
      <c r="L17270" s="0" t="str">
        <f aca="false">HYPERLINK("https://www.ncbi.nlm.nih.gov/nuccore/CP000058.1?report=graph&amp;tracks=[key:gene_model_track,Options:GeneOnly]&amp;mk=5307235:5307254|offset_1|444444,5307266:5307285|offset_32|00cc00,5307299:5307318|offset_65|444444,5307321:5307340|offset_87|444444&amp;v=5307034:5307540&amp;c=444444", "offset 32")</f>
        <v>offset 32</v>
      </c>
    </row>
    <row r="17271" customFormat="false" ht="12.8" hidden="false" customHeight="false" outlineLevel="0" collapsed="false">
      <c r="A17271" s="0" t="s">
        <v>12</v>
      </c>
      <c r="B17271" s="0" t="n">
        <v>5307298</v>
      </c>
      <c r="C17271" s="0" t="n">
        <v>5307318</v>
      </c>
      <c r="D17271" s="0" t="s">
        <v>57423</v>
      </c>
      <c r="E17271" s="0" t="s">
        <v>75</v>
      </c>
      <c r="F17271" s="0" t="s">
        <v>15</v>
      </c>
      <c r="G17271" s="0" t="s">
        <v>16</v>
      </c>
      <c r="H17271" s="0" t="n">
        <v>65</v>
      </c>
      <c r="I17271" s="0" t="s">
        <v>57430</v>
      </c>
      <c r="J17271" s="0" t="s">
        <v>57431</v>
      </c>
      <c r="K17271" s="0" t="s">
        <v>57432</v>
      </c>
      <c r="L17271" s="0" t="str">
        <f aca="false">HYPERLINK("https://www.ncbi.nlm.nih.gov/nuccore/CP000058.1?report=graph&amp;tracks=[key:gene_model_track,Options:GeneOnly]&amp;mk=5307235:5307254|offset_1|444444,5307266:5307285|offset_32|444444,5307299:5307318|offset_65|00cc00,5307321:5307340|offset_87|444444&amp;v=5307034:5307540&amp;c=444444", "offset 65")</f>
        <v>offset 65</v>
      </c>
    </row>
    <row r="17272" customFormat="false" ht="12.8" hidden="false" customHeight="false" outlineLevel="0" collapsed="false">
      <c r="A17272" s="0" t="s">
        <v>12</v>
      </c>
      <c r="B17272" s="0" t="n">
        <v>5307320</v>
      </c>
      <c r="C17272" s="0" t="n">
        <v>5307340</v>
      </c>
      <c r="D17272" s="0" t="s">
        <v>57423</v>
      </c>
      <c r="E17272" s="0" t="s">
        <v>75</v>
      </c>
      <c r="F17272" s="0" t="s">
        <v>15</v>
      </c>
      <c r="G17272" s="0" t="s">
        <v>16</v>
      </c>
      <c r="H17272" s="0" t="n">
        <v>87</v>
      </c>
      <c r="I17272" s="0" t="s">
        <v>57433</v>
      </c>
      <c r="J17272" s="0" t="s">
        <v>57434</v>
      </c>
      <c r="K17272" s="0" t="s">
        <v>57435</v>
      </c>
      <c r="L17272" s="0" t="str">
        <f aca="false">HYPERLINK("https://www.ncbi.nlm.nih.gov/nuccore/CP000058.1?report=graph&amp;tracks=[key:gene_model_track,Options:GeneOnly]&amp;mk=5307235:5307254|offset_1|444444,5307266:5307285|offset_32|444444,5307299:5307318|offset_65|444444,5307321:5307340|offset_87|00cc00&amp;v=5307034:5307540&amp;c=444444", "offset 87")</f>
        <v>offset 87</v>
      </c>
    </row>
    <row r="17273" customFormat="false" ht="12.8" hidden="false" customHeight="false" outlineLevel="0" collapsed="false">
      <c r="A17273" s="0" t="s">
        <v>12</v>
      </c>
      <c r="B17273" s="0" t="n">
        <v>5307897</v>
      </c>
      <c r="C17273" s="0" t="n">
        <v>5307917</v>
      </c>
      <c r="D17273" s="0" t="s">
        <v>57436</v>
      </c>
      <c r="E17273" s="0" t="s">
        <v>75</v>
      </c>
      <c r="F17273" s="0" t="s">
        <v>15</v>
      </c>
      <c r="G17273" s="0" t="s">
        <v>16</v>
      </c>
      <c r="H17273" s="0" t="n">
        <v>15</v>
      </c>
      <c r="I17273" s="0" t="s">
        <v>57437</v>
      </c>
      <c r="J17273" s="0" t="s">
        <v>57438</v>
      </c>
      <c r="K17273" s="0" t="s">
        <v>57439</v>
      </c>
      <c r="L17273" s="0" t="str">
        <f aca="false">HYPERLINK("https://www.ncbi.nlm.nih.gov/nuccore/CP000058.1?report=graph&amp;tracks=[key:gene_model_track,Options:GeneOnly]&amp;mk=5307898:5307917|offset_15|00cc00,5307930:5307949|offset_47|444444,5308001:5308020|offset_118|444444,5308023:5308042|offset_140|444444&amp;v=5307697:5308242&amp;c=444444", "offset 15")</f>
        <v>offset 15</v>
      </c>
    </row>
    <row r="17274" customFormat="false" ht="12.8" hidden="false" customHeight="false" outlineLevel="0" collapsed="false">
      <c r="A17274" s="0" t="s">
        <v>12</v>
      </c>
      <c r="B17274" s="0" t="n">
        <v>5307929</v>
      </c>
      <c r="C17274" s="0" t="n">
        <v>5307949</v>
      </c>
      <c r="D17274" s="0" t="s">
        <v>57436</v>
      </c>
      <c r="E17274" s="0" t="s">
        <v>75</v>
      </c>
      <c r="F17274" s="0" t="s">
        <v>15</v>
      </c>
      <c r="G17274" s="0" t="s">
        <v>20</v>
      </c>
      <c r="H17274" s="0" t="n">
        <v>47</v>
      </c>
      <c r="I17274" s="0" t="s">
        <v>57440</v>
      </c>
      <c r="J17274" s="0" t="s">
        <v>57441</v>
      </c>
      <c r="K17274" s="0" t="s">
        <v>57442</v>
      </c>
      <c r="L17274" s="0" t="str">
        <f aca="false">HYPERLINK("https://www.ncbi.nlm.nih.gov/nuccore/CP000058.1?report=graph&amp;tracks=[key:gene_model_track,Options:GeneOnly]&amp;mk=5307898:5307917|offset_15|444444,5307930:5307949|offset_47|00cc00,5308001:5308020|offset_118|444444,5308023:5308042|offset_140|444444&amp;v=5307697:5308242&amp;c=444444", "offset 47")</f>
        <v>offset 47</v>
      </c>
    </row>
    <row r="17275" customFormat="false" ht="12.8" hidden="false" customHeight="false" outlineLevel="0" collapsed="false">
      <c r="A17275" s="0" t="s">
        <v>12</v>
      </c>
      <c r="B17275" s="0" t="n">
        <v>5308000</v>
      </c>
      <c r="C17275" s="0" t="n">
        <v>5308020</v>
      </c>
      <c r="D17275" s="0" t="s">
        <v>57436</v>
      </c>
      <c r="E17275" s="0" t="s">
        <v>75</v>
      </c>
      <c r="F17275" s="0" t="s">
        <v>15</v>
      </c>
      <c r="G17275" s="0" t="s">
        <v>16</v>
      </c>
      <c r="H17275" s="0" t="n">
        <v>118</v>
      </c>
      <c r="I17275" s="0" t="s">
        <v>57443</v>
      </c>
      <c r="J17275" s="0" t="s">
        <v>57444</v>
      </c>
      <c r="K17275" s="0" t="s">
        <v>57445</v>
      </c>
      <c r="L17275" s="0" t="str">
        <f aca="false">HYPERLINK("https://www.ncbi.nlm.nih.gov/nuccore/CP000058.1?report=graph&amp;tracks=[key:gene_model_track,Options:GeneOnly]&amp;mk=5307898:5307917|offset_15|444444,5307930:5307949|offset_47|444444,5308001:5308020|offset_118|00cc00,5308023:5308042|offset_140|444444&amp;v=5307697:5308242&amp;c=444444", "offset 118")</f>
        <v>offset 118</v>
      </c>
    </row>
    <row r="17276" customFormat="false" ht="12.8" hidden="false" customHeight="false" outlineLevel="0" collapsed="false">
      <c r="A17276" s="0" t="s">
        <v>12</v>
      </c>
      <c r="B17276" s="0" t="n">
        <v>5308022</v>
      </c>
      <c r="C17276" s="0" t="n">
        <v>5308042</v>
      </c>
      <c r="D17276" s="0" t="s">
        <v>57436</v>
      </c>
      <c r="E17276" s="0" t="s">
        <v>75</v>
      </c>
      <c r="F17276" s="0" t="s">
        <v>15</v>
      </c>
      <c r="G17276" s="0" t="s">
        <v>20</v>
      </c>
      <c r="H17276" s="0" t="n">
        <v>140</v>
      </c>
      <c r="I17276" s="0" t="s">
        <v>57446</v>
      </c>
      <c r="J17276" s="0" t="s">
        <v>57447</v>
      </c>
      <c r="K17276" s="0" t="s">
        <v>57448</v>
      </c>
      <c r="L17276" s="0" t="str">
        <f aca="false">HYPERLINK("https://www.ncbi.nlm.nih.gov/nuccore/CP000058.1?report=graph&amp;tracks=[key:gene_model_track,Options:GeneOnly]&amp;mk=5307898:5307917|offset_15|444444,5307930:5307949|offset_47|444444,5308001:5308020|offset_118|444444,5308023:5308042|offset_140|00cc00&amp;v=5307697:5308242&amp;c=444444", "offset 140")</f>
        <v>offset 140</v>
      </c>
    </row>
    <row r="17277" customFormat="false" ht="12.8" hidden="false" customHeight="false" outlineLevel="0" collapsed="false">
      <c r="A17277" s="0" t="s">
        <v>12</v>
      </c>
      <c r="B17277" s="0" t="n">
        <v>5308576</v>
      </c>
      <c r="C17277" s="0" t="n">
        <v>5308596</v>
      </c>
      <c r="D17277" s="0" t="s">
        <v>57449</v>
      </c>
      <c r="E17277" s="0" t="s">
        <v>75</v>
      </c>
      <c r="F17277" s="0" t="s">
        <v>15</v>
      </c>
      <c r="G17277" s="0" t="s">
        <v>32</v>
      </c>
      <c r="H17277" s="0" t="n">
        <v>43</v>
      </c>
      <c r="I17277" s="0" t="s">
        <v>57450</v>
      </c>
      <c r="J17277" s="0" t="s">
        <v>57451</v>
      </c>
      <c r="K17277" s="0" t="s">
        <v>57452</v>
      </c>
      <c r="L17277" s="0" t="str">
        <f aca="false">HYPERLINK("https://www.ncbi.nlm.nih.gov/nuccore/CP000058.1?report=graph&amp;tracks=[key:gene_model_track,Options:GeneOnly]&amp;mk=5308577:5308596|offset_43|00cc00,5308627:5308646|offset_93|444444,5308676:5308695|offset_142|444444,5308704:5308723|offset_170|444444&amp;v=5308376:5308923&amp;c=444444", "offset 43")</f>
        <v>offset 43</v>
      </c>
    </row>
    <row r="17278" customFormat="false" ht="12.8" hidden="false" customHeight="false" outlineLevel="0" collapsed="false">
      <c r="A17278" s="0" t="s">
        <v>12</v>
      </c>
      <c r="B17278" s="0" t="n">
        <v>5308626</v>
      </c>
      <c r="C17278" s="0" t="n">
        <v>5308646</v>
      </c>
      <c r="D17278" s="0" t="s">
        <v>57449</v>
      </c>
      <c r="E17278" s="0" t="s">
        <v>75</v>
      </c>
      <c r="F17278" s="0" t="s">
        <v>15</v>
      </c>
      <c r="G17278" s="0" t="s">
        <v>16</v>
      </c>
      <c r="H17278" s="0" t="n">
        <v>93</v>
      </c>
      <c r="I17278" s="0" t="s">
        <v>57453</v>
      </c>
      <c r="J17278" s="0" t="s">
        <v>57454</v>
      </c>
      <c r="K17278" s="0" t="s">
        <v>57455</v>
      </c>
      <c r="L17278" s="0" t="str">
        <f aca="false">HYPERLINK("https://www.ncbi.nlm.nih.gov/nuccore/CP000058.1?report=graph&amp;tracks=[key:gene_model_track,Options:GeneOnly]&amp;mk=5308577:5308596|offset_43|444444,5308627:5308646|offset_93|00cc00,5308676:5308695|offset_142|444444,5308704:5308723|offset_170|444444&amp;v=5308376:5308923&amp;c=444444", "offset 93")</f>
        <v>offset 93</v>
      </c>
    </row>
    <row r="17279" customFormat="false" ht="12.8" hidden="false" customHeight="false" outlineLevel="0" collapsed="false">
      <c r="A17279" s="0" t="s">
        <v>12</v>
      </c>
      <c r="B17279" s="0" t="n">
        <v>5308675</v>
      </c>
      <c r="C17279" s="0" t="n">
        <v>5308695</v>
      </c>
      <c r="D17279" s="0" t="s">
        <v>57449</v>
      </c>
      <c r="E17279" s="0" t="s">
        <v>75</v>
      </c>
      <c r="F17279" s="0" t="s">
        <v>15</v>
      </c>
      <c r="G17279" s="0" t="s">
        <v>20</v>
      </c>
      <c r="H17279" s="0" t="n">
        <v>142</v>
      </c>
      <c r="I17279" s="0" t="s">
        <v>57456</v>
      </c>
      <c r="J17279" s="0" t="s">
        <v>57457</v>
      </c>
      <c r="K17279" s="0" t="s">
        <v>57458</v>
      </c>
      <c r="L17279" s="0" t="str">
        <f aca="false">HYPERLINK("https://www.ncbi.nlm.nih.gov/nuccore/CP000058.1?report=graph&amp;tracks=[key:gene_model_track,Options:GeneOnly]&amp;mk=5308577:5308596|offset_43|444444,5308627:5308646|offset_93|444444,5308676:5308695|offset_142|00cc00,5308704:5308723|offset_170|444444&amp;v=5308376:5308923&amp;c=444444", "offset 142")</f>
        <v>offset 142</v>
      </c>
    </row>
    <row r="17280" customFormat="false" ht="12.8" hidden="false" customHeight="false" outlineLevel="0" collapsed="false">
      <c r="A17280" s="0" t="s">
        <v>12</v>
      </c>
      <c r="B17280" s="0" t="n">
        <v>5308703</v>
      </c>
      <c r="C17280" s="0" t="n">
        <v>5308723</v>
      </c>
      <c r="D17280" s="0" t="s">
        <v>57449</v>
      </c>
      <c r="E17280" s="0" t="s">
        <v>75</v>
      </c>
      <c r="F17280" s="0" t="s">
        <v>15</v>
      </c>
      <c r="G17280" s="0" t="s">
        <v>20</v>
      </c>
      <c r="H17280" s="0" t="n">
        <v>170</v>
      </c>
      <c r="I17280" s="0" t="s">
        <v>57459</v>
      </c>
      <c r="J17280" s="0" t="s">
        <v>57460</v>
      </c>
      <c r="K17280" s="0" t="s">
        <v>57461</v>
      </c>
      <c r="L17280" s="0" t="str">
        <f aca="false">HYPERLINK("https://www.ncbi.nlm.nih.gov/nuccore/CP000058.1?report=graph&amp;tracks=[key:gene_model_track,Options:GeneOnly]&amp;mk=5308577:5308596|offset_43|444444,5308627:5308646|offset_93|444444,5308676:5308695|offset_142|444444,5308704:5308723|offset_170|00cc00&amp;v=5308376:5308923&amp;c=444444", "offset 170")</f>
        <v>offset 170</v>
      </c>
    </row>
    <row r="17281" customFormat="false" ht="12.8" hidden="false" customHeight="false" outlineLevel="0" collapsed="false">
      <c r="A17281" s="0" t="s">
        <v>12</v>
      </c>
      <c r="B17281" s="0" t="n">
        <v>5309453</v>
      </c>
      <c r="C17281" s="0" t="n">
        <v>5309473</v>
      </c>
      <c r="D17281" s="0" t="s">
        <v>57462</v>
      </c>
      <c r="E17281" s="0" t="s">
        <v>57463</v>
      </c>
      <c r="F17281" s="0" t="s">
        <v>15</v>
      </c>
      <c r="G17281" s="0" t="s">
        <v>32</v>
      </c>
      <c r="H17281" s="0" t="n">
        <v>0</v>
      </c>
      <c r="I17281" s="0" t="s">
        <v>57464</v>
      </c>
      <c r="J17281" s="0" t="s">
        <v>57465</v>
      </c>
      <c r="K17281" s="0" t="s">
        <v>57466</v>
      </c>
      <c r="L17281" s="0" t="str">
        <f aca="false">HYPERLINK("https://www.ncbi.nlm.nih.gov/nuccore/CP000058.1?report=graph&amp;tracks=[key:gene_model_track,Options:GeneOnly]&amp;mk=5309454:5309473|offset_0|00cc00,5309475:5309494|offset_21|444444,5309522:5309541|offset_68|444444,5309566:5309585|offset_112|444444&amp;v=5309253:5309785&amp;c=444444", "offset 0")</f>
        <v>offset 0</v>
      </c>
    </row>
    <row r="17282" customFormat="false" ht="12.8" hidden="false" customHeight="false" outlineLevel="0" collapsed="false">
      <c r="A17282" s="0" t="s">
        <v>12</v>
      </c>
      <c r="B17282" s="0" t="n">
        <v>5309474</v>
      </c>
      <c r="C17282" s="0" t="n">
        <v>5309494</v>
      </c>
      <c r="D17282" s="0" t="s">
        <v>57462</v>
      </c>
      <c r="E17282" s="0" t="s">
        <v>57463</v>
      </c>
      <c r="F17282" s="0" t="s">
        <v>15</v>
      </c>
      <c r="G17282" s="0" t="s">
        <v>16</v>
      </c>
      <c r="H17282" s="0" t="n">
        <v>21</v>
      </c>
      <c r="I17282" s="0" t="s">
        <v>57467</v>
      </c>
      <c r="J17282" s="0" t="s">
        <v>57468</v>
      </c>
      <c r="K17282" s="0" t="s">
        <v>57469</v>
      </c>
      <c r="L17282" s="0" t="str">
        <f aca="false">HYPERLINK("https://www.ncbi.nlm.nih.gov/nuccore/CP000058.1?report=graph&amp;tracks=[key:gene_model_track,Options:GeneOnly]&amp;mk=5309454:5309473|offset_0|444444,5309475:5309494|offset_21|00cc00,5309522:5309541|offset_68|444444,5309566:5309585|offset_112|444444&amp;v=5309253:5309785&amp;c=444444", "offset 21")</f>
        <v>offset 21</v>
      </c>
    </row>
    <row r="17283" customFormat="false" ht="12.8" hidden="false" customHeight="false" outlineLevel="0" collapsed="false">
      <c r="A17283" s="0" t="s">
        <v>12</v>
      </c>
      <c r="B17283" s="0" t="n">
        <v>5309521</v>
      </c>
      <c r="C17283" s="0" t="n">
        <v>5309541</v>
      </c>
      <c r="D17283" s="0" t="s">
        <v>57462</v>
      </c>
      <c r="E17283" s="0" t="s">
        <v>57463</v>
      </c>
      <c r="F17283" s="0" t="s">
        <v>15</v>
      </c>
      <c r="G17283" s="0" t="s">
        <v>36</v>
      </c>
      <c r="H17283" s="0" t="n">
        <v>68</v>
      </c>
      <c r="I17283" s="0" t="s">
        <v>57470</v>
      </c>
      <c r="J17283" s="0" t="s">
        <v>57471</v>
      </c>
      <c r="K17283" s="0" t="s">
        <v>57472</v>
      </c>
      <c r="L17283" s="0" t="str">
        <f aca="false">HYPERLINK("https://www.ncbi.nlm.nih.gov/nuccore/CP000058.1?report=graph&amp;tracks=[key:gene_model_track,Options:GeneOnly]&amp;mk=5309454:5309473|offset_0|444444,5309475:5309494|offset_21|444444,5309522:5309541|offset_68|00cc00,5309566:5309585|offset_112|444444&amp;v=5309253:5309785&amp;c=444444", "offset 68")</f>
        <v>offset 68</v>
      </c>
    </row>
    <row r="17284" customFormat="false" ht="12.8" hidden="false" customHeight="false" outlineLevel="0" collapsed="false">
      <c r="A17284" s="0" t="s">
        <v>12</v>
      </c>
      <c r="B17284" s="0" t="n">
        <v>5309565</v>
      </c>
      <c r="C17284" s="0" t="n">
        <v>5309585</v>
      </c>
      <c r="D17284" s="0" t="s">
        <v>57462</v>
      </c>
      <c r="E17284" s="0" t="s">
        <v>57463</v>
      </c>
      <c r="F17284" s="0" t="s">
        <v>15</v>
      </c>
      <c r="G17284" s="0" t="s">
        <v>16</v>
      </c>
      <c r="H17284" s="0" t="n">
        <v>112</v>
      </c>
      <c r="I17284" s="0" t="s">
        <v>57473</v>
      </c>
      <c r="J17284" s="0" t="s">
        <v>57474</v>
      </c>
      <c r="K17284" s="0" t="s">
        <v>57475</v>
      </c>
      <c r="L17284" s="0" t="str">
        <f aca="false">HYPERLINK("https://www.ncbi.nlm.nih.gov/nuccore/CP000058.1?report=graph&amp;tracks=[key:gene_model_track,Options:GeneOnly]&amp;mk=5309454:5309473|offset_0|444444,5309475:5309494|offset_21|444444,5309522:5309541|offset_68|444444,5309566:5309585|offset_112|00cc00&amp;v=5309253:5309785&amp;c=444444", "offset 112")</f>
        <v>offset 112</v>
      </c>
    </row>
    <row r="17285" customFormat="false" ht="12.8" hidden="false" customHeight="false" outlineLevel="0" collapsed="false">
      <c r="A17285" s="0" t="s">
        <v>12</v>
      </c>
      <c r="B17285" s="0" t="n">
        <v>5310338</v>
      </c>
      <c r="C17285" s="0" t="n">
        <v>5310358</v>
      </c>
      <c r="D17285" s="0" t="s">
        <v>57476</v>
      </c>
      <c r="E17285" s="0" t="s">
        <v>75</v>
      </c>
      <c r="F17285" s="0" t="s">
        <v>15</v>
      </c>
      <c r="G17285" s="0" t="s">
        <v>20</v>
      </c>
      <c r="H17285" s="0" t="n">
        <v>0</v>
      </c>
      <c r="I17285" s="0" t="s">
        <v>57477</v>
      </c>
      <c r="J17285" s="0" t="s">
        <v>57478</v>
      </c>
      <c r="K17285" s="0" t="s">
        <v>57479</v>
      </c>
      <c r="L17285" s="0" t="str">
        <f aca="false">HYPERLINK("https://www.ncbi.nlm.nih.gov/nuccore/CP000058.1?report=graph&amp;tracks=[key:gene_model_track,Options:GeneOnly]&amp;mk=5310339:5310358|offset_0|00cc00,5310365:5310384|offset_26|444444,5310386:5310405|offset_47|444444,5310412:5310431|offset_73|444444&amp;v=5310138:5310631&amp;c=444444", "offset 0")</f>
        <v>offset 0</v>
      </c>
    </row>
    <row r="17286" customFormat="false" ht="12.8" hidden="false" customHeight="false" outlineLevel="0" collapsed="false">
      <c r="A17286" s="0" t="s">
        <v>12</v>
      </c>
      <c r="B17286" s="0" t="n">
        <v>5310364</v>
      </c>
      <c r="C17286" s="0" t="n">
        <v>5310384</v>
      </c>
      <c r="D17286" s="0" t="s">
        <v>57476</v>
      </c>
      <c r="E17286" s="0" t="s">
        <v>75</v>
      </c>
      <c r="F17286" s="0" t="s">
        <v>15</v>
      </c>
      <c r="G17286" s="0" t="s">
        <v>16</v>
      </c>
      <c r="H17286" s="0" t="n">
        <v>26</v>
      </c>
      <c r="I17286" s="0" t="s">
        <v>57480</v>
      </c>
      <c r="J17286" s="0" t="s">
        <v>57481</v>
      </c>
      <c r="K17286" s="0" t="s">
        <v>57482</v>
      </c>
      <c r="L17286" s="0" t="str">
        <f aca="false">HYPERLINK("https://www.ncbi.nlm.nih.gov/nuccore/CP000058.1?report=graph&amp;tracks=[key:gene_model_track,Options:GeneOnly]&amp;mk=5310339:5310358|offset_0|444444,5310365:5310384|offset_26|00cc00,5310386:5310405|offset_47|444444,5310412:5310431|offset_73|444444&amp;v=5310138:5310631&amp;c=444444", "offset 26")</f>
        <v>offset 26</v>
      </c>
    </row>
    <row r="17287" customFormat="false" ht="12.8" hidden="false" customHeight="false" outlineLevel="0" collapsed="false">
      <c r="A17287" s="0" t="s">
        <v>12</v>
      </c>
      <c r="B17287" s="0" t="n">
        <v>5310385</v>
      </c>
      <c r="C17287" s="0" t="n">
        <v>5310405</v>
      </c>
      <c r="D17287" s="0" t="s">
        <v>57476</v>
      </c>
      <c r="E17287" s="0" t="s">
        <v>75</v>
      </c>
      <c r="F17287" s="0" t="s">
        <v>15</v>
      </c>
      <c r="G17287" s="0" t="s">
        <v>32</v>
      </c>
      <c r="H17287" s="0" t="n">
        <v>47</v>
      </c>
      <c r="I17287" s="0" t="s">
        <v>57483</v>
      </c>
      <c r="J17287" s="0" t="s">
        <v>57484</v>
      </c>
      <c r="K17287" s="0" t="s">
        <v>57485</v>
      </c>
      <c r="L17287" s="0" t="str">
        <f aca="false">HYPERLINK("https://www.ncbi.nlm.nih.gov/nuccore/CP000058.1?report=graph&amp;tracks=[key:gene_model_track,Options:GeneOnly]&amp;mk=5310339:5310358|offset_0|444444,5310365:5310384|offset_26|444444,5310386:5310405|offset_47|00cc00,5310412:5310431|offset_73|444444&amp;v=5310138:5310631&amp;c=444444", "offset 47")</f>
        <v>offset 47</v>
      </c>
    </row>
    <row r="17288" customFormat="false" ht="12.8" hidden="false" customHeight="false" outlineLevel="0" collapsed="false">
      <c r="A17288" s="0" t="s">
        <v>12</v>
      </c>
      <c r="B17288" s="0" t="n">
        <v>5310411</v>
      </c>
      <c r="C17288" s="0" t="n">
        <v>5310431</v>
      </c>
      <c r="D17288" s="0" t="s">
        <v>57476</v>
      </c>
      <c r="E17288" s="0" t="s">
        <v>75</v>
      </c>
      <c r="F17288" s="0" t="s">
        <v>15</v>
      </c>
      <c r="G17288" s="0" t="s">
        <v>32</v>
      </c>
      <c r="H17288" s="0" t="n">
        <v>73</v>
      </c>
      <c r="I17288" s="0" t="s">
        <v>57486</v>
      </c>
      <c r="J17288" s="0" t="s">
        <v>57487</v>
      </c>
      <c r="K17288" s="0" t="s">
        <v>57488</v>
      </c>
      <c r="L17288" s="0" t="str">
        <f aca="false">HYPERLINK("https://www.ncbi.nlm.nih.gov/nuccore/CP000058.1?report=graph&amp;tracks=[key:gene_model_track,Options:GeneOnly]&amp;mk=5310339:5310358|offset_0|444444,5310365:5310384|offset_26|444444,5310386:5310405|offset_47|444444,5310412:5310431|offset_73|00cc00&amp;v=5310138:5310631&amp;c=444444", "offset 73")</f>
        <v>offset 73</v>
      </c>
    </row>
    <row r="17289" customFormat="false" ht="12.8" hidden="false" customHeight="false" outlineLevel="0" collapsed="false">
      <c r="A17289" s="0" t="s">
        <v>12</v>
      </c>
      <c r="B17289" s="0" t="n">
        <v>5311487</v>
      </c>
      <c r="C17289" s="0" t="n">
        <v>5311507</v>
      </c>
      <c r="D17289" s="0" t="s">
        <v>57489</v>
      </c>
      <c r="E17289" s="0" t="s">
        <v>75</v>
      </c>
      <c r="F17289" s="0" t="s">
        <v>15</v>
      </c>
      <c r="G17289" s="0" t="s">
        <v>16</v>
      </c>
      <c r="H17289" s="0" t="n">
        <v>10</v>
      </c>
      <c r="I17289" s="0" t="s">
        <v>57490</v>
      </c>
      <c r="J17289" s="0" t="s">
        <v>57491</v>
      </c>
      <c r="K17289" s="0" t="s">
        <v>57492</v>
      </c>
      <c r="L17289" s="0" t="str">
        <f aca="false">HYPERLINK("https://www.ncbi.nlm.nih.gov/nuccore/CP000058.1?report=graph&amp;tracks=[key:gene_model_track,Options:GeneOnly]&amp;mk=5311488:5311507|offset_10|00cc00,5311548:5311567|offset_70|444444,5311572:5311591|offset_94|444444,5311620:5311639|offset_142|444444&amp;v=5311287:5311839&amp;c=444444", "offset 10")</f>
        <v>offset 10</v>
      </c>
    </row>
    <row r="17290" customFormat="false" ht="12.8" hidden="false" customHeight="false" outlineLevel="0" collapsed="false">
      <c r="A17290" s="0" t="s">
        <v>12</v>
      </c>
      <c r="B17290" s="0" t="n">
        <v>5311547</v>
      </c>
      <c r="C17290" s="0" t="n">
        <v>5311567</v>
      </c>
      <c r="D17290" s="0" t="s">
        <v>57489</v>
      </c>
      <c r="E17290" s="0" t="s">
        <v>75</v>
      </c>
      <c r="F17290" s="0" t="s">
        <v>15</v>
      </c>
      <c r="G17290" s="0" t="s">
        <v>16</v>
      </c>
      <c r="H17290" s="0" t="n">
        <v>70</v>
      </c>
      <c r="I17290" s="0" t="s">
        <v>57493</v>
      </c>
      <c r="J17290" s="0" t="s">
        <v>57494</v>
      </c>
      <c r="K17290" s="0" t="s">
        <v>57495</v>
      </c>
      <c r="L17290" s="0" t="str">
        <f aca="false">HYPERLINK("https://www.ncbi.nlm.nih.gov/nuccore/CP000058.1?report=graph&amp;tracks=[key:gene_model_track,Options:GeneOnly]&amp;mk=5311488:5311507|offset_10|444444,5311548:5311567|offset_70|00cc00,5311572:5311591|offset_94|444444,5311620:5311639|offset_142|444444&amp;v=5311287:5311839&amp;c=444444", "offset 70")</f>
        <v>offset 70</v>
      </c>
    </row>
    <row r="17291" customFormat="false" ht="12.8" hidden="false" customHeight="false" outlineLevel="0" collapsed="false">
      <c r="A17291" s="0" t="s">
        <v>12</v>
      </c>
      <c r="B17291" s="0" t="n">
        <v>5311571</v>
      </c>
      <c r="C17291" s="0" t="n">
        <v>5311591</v>
      </c>
      <c r="D17291" s="0" t="s">
        <v>57489</v>
      </c>
      <c r="E17291" s="0" t="s">
        <v>75</v>
      </c>
      <c r="F17291" s="0" t="s">
        <v>15</v>
      </c>
      <c r="G17291" s="0" t="s">
        <v>32</v>
      </c>
      <c r="H17291" s="0" t="n">
        <v>94</v>
      </c>
      <c r="I17291" s="0" t="s">
        <v>57496</v>
      </c>
      <c r="J17291" s="0" t="s">
        <v>57497</v>
      </c>
      <c r="K17291" s="0" t="s">
        <v>57498</v>
      </c>
      <c r="L17291" s="0" t="str">
        <f aca="false">HYPERLINK("https://www.ncbi.nlm.nih.gov/nuccore/CP000058.1?report=graph&amp;tracks=[key:gene_model_track,Options:GeneOnly]&amp;mk=5311488:5311507|offset_10|444444,5311548:5311567|offset_70|444444,5311572:5311591|offset_94|00cc00,5311620:5311639|offset_142|444444&amp;v=5311287:5311839&amp;c=444444", "offset 94")</f>
        <v>offset 94</v>
      </c>
    </row>
    <row r="17292" customFormat="false" ht="12.8" hidden="false" customHeight="false" outlineLevel="0" collapsed="false">
      <c r="A17292" s="0" t="s">
        <v>12</v>
      </c>
      <c r="B17292" s="0" t="n">
        <v>5311619</v>
      </c>
      <c r="C17292" s="0" t="n">
        <v>5311639</v>
      </c>
      <c r="D17292" s="0" t="s">
        <v>57489</v>
      </c>
      <c r="E17292" s="0" t="s">
        <v>75</v>
      </c>
      <c r="F17292" s="0" t="s">
        <v>15</v>
      </c>
      <c r="G17292" s="0" t="s">
        <v>16</v>
      </c>
      <c r="H17292" s="0" t="n">
        <v>142</v>
      </c>
      <c r="I17292" s="0" t="s">
        <v>57499</v>
      </c>
      <c r="J17292" s="0" t="s">
        <v>57500</v>
      </c>
      <c r="K17292" s="0" t="s">
        <v>57501</v>
      </c>
      <c r="L17292" s="0" t="str">
        <f aca="false">HYPERLINK("https://www.ncbi.nlm.nih.gov/nuccore/CP000058.1?report=graph&amp;tracks=[key:gene_model_track,Options:GeneOnly]&amp;mk=5311488:5311507|offset_10|444444,5311548:5311567|offset_70|444444,5311572:5311591|offset_94|444444,5311620:5311639|offset_142|00cc00&amp;v=5311287:5311839&amp;c=444444", "offset 142")</f>
        <v>offset 142</v>
      </c>
    </row>
    <row r="17293" customFormat="false" ht="12.8" hidden="false" customHeight="false" outlineLevel="0" collapsed="false">
      <c r="A17293" s="0" t="s">
        <v>12</v>
      </c>
      <c r="B17293" s="0" t="n">
        <v>5312772</v>
      </c>
      <c r="C17293" s="0" t="n">
        <v>5312792</v>
      </c>
      <c r="D17293" s="0" t="s">
        <v>57502</v>
      </c>
      <c r="E17293" s="0" t="s">
        <v>75</v>
      </c>
      <c r="F17293" s="0" t="s">
        <v>90</v>
      </c>
      <c r="G17293" s="0" t="s">
        <v>20</v>
      </c>
      <c r="H17293" s="0" t="n">
        <v>6</v>
      </c>
      <c r="I17293" s="0" t="s">
        <v>57503</v>
      </c>
      <c r="J17293" s="0" t="s">
        <v>57504</v>
      </c>
      <c r="K17293" s="0" t="s">
        <v>57505</v>
      </c>
      <c r="L17293" s="0" t="str">
        <f aca="false">HYPERLINK("https://www.ncbi.nlm.nih.gov/nuccore/CP000058.1?report=graph&amp;tracks=[key:gene_model_track,Options:GeneOnly]&amp;mk=5312773:5312792|offset_6|00cc00,5312751:5312770|offset_28|444444,5312729:5312748|offset_50|444444,5312708:5312727|offset_71|444444&amp;v=5312572:5312927&amp;c=444444", "offset 6")</f>
        <v>offset 6</v>
      </c>
    </row>
    <row r="17294" customFormat="false" ht="12.8" hidden="false" customHeight="false" outlineLevel="0" collapsed="false">
      <c r="A17294" s="0" t="s">
        <v>12</v>
      </c>
      <c r="B17294" s="0" t="n">
        <v>5312750</v>
      </c>
      <c r="C17294" s="0" t="n">
        <v>5312770</v>
      </c>
      <c r="D17294" s="0" t="s">
        <v>57502</v>
      </c>
      <c r="E17294" s="0" t="s">
        <v>75</v>
      </c>
      <c r="F17294" s="0" t="s">
        <v>90</v>
      </c>
      <c r="G17294" s="0" t="s">
        <v>32</v>
      </c>
      <c r="H17294" s="0" t="n">
        <v>28</v>
      </c>
      <c r="I17294" s="0" t="s">
        <v>57506</v>
      </c>
      <c r="J17294" s="0" t="s">
        <v>57507</v>
      </c>
      <c r="K17294" s="0" t="s">
        <v>57508</v>
      </c>
      <c r="L17294" s="0" t="str">
        <f aca="false">HYPERLINK("https://www.ncbi.nlm.nih.gov/nuccore/CP000058.1?report=graph&amp;tracks=[key:gene_model_track,Options:GeneOnly]&amp;mk=5312773:5312792|offset_6|444444,5312751:5312770|offset_28|00cc00,5312729:5312748|offset_50|444444,5312708:5312727|offset_71|444444&amp;v=5312572:5312927&amp;c=444444", "offset 28")</f>
        <v>offset 28</v>
      </c>
    </row>
    <row r="17295" customFormat="false" ht="12.8" hidden="false" customHeight="false" outlineLevel="0" collapsed="false">
      <c r="A17295" s="0" t="s">
        <v>12</v>
      </c>
      <c r="B17295" s="0" t="n">
        <v>5312728</v>
      </c>
      <c r="C17295" s="0" t="n">
        <v>5312748</v>
      </c>
      <c r="D17295" s="0" t="s">
        <v>57502</v>
      </c>
      <c r="E17295" s="0" t="s">
        <v>75</v>
      </c>
      <c r="F17295" s="0" t="s">
        <v>90</v>
      </c>
      <c r="G17295" s="0" t="s">
        <v>32</v>
      </c>
      <c r="H17295" s="0" t="n">
        <v>50</v>
      </c>
      <c r="I17295" s="0" t="s">
        <v>57509</v>
      </c>
      <c r="J17295" s="0" t="s">
        <v>57510</v>
      </c>
      <c r="K17295" s="0" t="s">
        <v>57511</v>
      </c>
      <c r="L17295" s="0" t="str">
        <f aca="false">HYPERLINK("https://www.ncbi.nlm.nih.gov/nuccore/CP000058.1?report=graph&amp;tracks=[key:gene_model_track,Options:GeneOnly]&amp;mk=5312773:5312792|offset_6|444444,5312751:5312770|offset_28|444444,5312729:5312748|offset_50|00cc00,5312708:5312727|offset_71|444444&amp;v=5312572:5312927&amp;c=444444", "offset 50")</f>
        <v>offset 50</v>
      </c>
    </row>
    <row r="17296" customFormat="false" ht="12.8" hidden="false" customHeight="false" outlineLevel="0" collapsed="false">
      <c r="A17296" s="0" t="s">
        <v>12</v>
      </c>
      <c r="B17296" s="0" t="n">
        <v>5312707</v>
      </c>
      <c r="C17296" s="0" t="n">
        <v>5312727</v>
      </c>
      <c r="D17296" s="0" t="s">
        <v>57502</v>
      </c>
      <c r="E17296" s="0" t="s">
        <v>75</v>
      </c>
      <c r="F17296" s="0" t="s">
        <v>90</v>
      </c>
      <c r="G17296" s="0" t="s">
        <v>20</v>
      </c>
      <c r="H17296" s="0" t="n">
        <v>71</v>
      </c>
      <c r="I17296" s="0" t="s">
        <v>57512</v>
      </c>
      <c r="J17296" s="0" t="s">
        <v>57513</v>
      </c>
      <c r="K17296" s="0" t="s">
        <v>57514</v>
      </c>
      <c r="L17296" s="0" t="str">
        <f aca="false">HYPERLINK("https://www.ncbi.nlm.nih.gov/nuccore/CP000058.1?report=graph&amp;tracks=[key:gene_model_track,Options:GeneOnly]&amp;mk=5312773:5312792|offset_6|444444,5312751:5312770|offset_28|444444,5312729:5312748|offset_50|444444,5312708:5312727|offset_71|00cc00&amp;v=5312572:5312927&amp;c=444444", "offset 71")</f>
        <v>offset 71</v>
      </c>
    </row>
    <row r="17297" customFormat="false" ht="12.8" hidden="false" customHeight="false" outlineLevel="0" collapsed="false">
      <c r="A17297" s="0" t="s">
        <v>12</v>
      </c>
      <c r="B17297" s="0" t="n">
        <v>5313393</v>
      </c>
      <c r="C17297" s="0" t="n">
        <v>5313413</v>
      </c>
      <c r="D17297" s="0" t="s">
        <v>57515</v>
      </c>
      <c r="E17297" s="0" t="s">
        <v>75</v>
      </c>
      <c r="F17297" s="0" t="s">
        <v>90</v>
      </c>
      <c r="G17297" s="0" t="s">
        <v>36</v>
      </c>
      <c r="H17297" s="0" t="n">
        <v>32</v>
      </c>
      <c r="I17297" s="0" t="s">
        <v>57516</v>
      </c>
      <c r="J17297" s="0" t="s">
        <v>57517</v>
      </c>
      <c r="K17297" s="0" t="s">
        <v>57518</v>
      </c>
      <c r="L17297" s="0" t="str">
        <f aca="false">HYPERLINK("https://www.ncbi.nlm.nih.gov/nuccore/CP000058.1?report=graph&amp;tracks=[key:gene_model_track,Options:GeneOnly]&amp;mk=5313394:5313413|offset_32|00cc00,5313356:5313375|offset_70|444444,5313325:5313344|offset_101|444444,5313304:5313323|offset_122|444444&amp;v=5313193:5313523&amp;c=444444", "offset 32")</f>
        <v>offset 32</v>
      </c>
    </row>
    <row r="17298" customFormat="false" ht="12.8" hidden="false" customHeight="false" outlineLevel="0" collapsed="false">
      <c r="A17298" s="0" t="s">
        <v>12</v>
      </c>
      <c r="B17298" s="0" t="n">
        <v>5313355</v>
      </c>
      <c r="C17298" s="0" t="n">
        <v>5313375</v>
      </c>
      <c r="D17298" s="0" t="s">
        <v>57515</v>
      </c>
      <c r="E17298" s="0" t="s">
        <v>75</v>
      </c>
      <c r="F17298" s="0" t="s">
        <v>90</v>
      </c>
      <c r="G17298" s="0" t="s">
        <v>36</v>
      </c>
      <c r="H17298" s="0" t="n">
        <v>70</v>
      </c>
      <c r="I17298" s="0" t="s">
        <v>57519</v>
      </c>
      <c r="J17298" s="0" t="s">
        <v>57520</v>
      </c>
      <c r="K17298" s="0" t="s">
        <v>57521</v>
      </c>
      <c r="L17298" s="0" t="str">
        <f aca="false">HYPERLINK("https://www.ncbi.nlm.nih.gov/nuccore/CP000058.1?report=graph&amp;tracks=[key:gene_model_track,Options:GeneOnly]&amp;mk=5313394:5313413|offset_32|444444,5313356:5313375|offset_70|00cc00,5313325:5313344|offset_101|444444,5313304:5313323|offset_122|444444&amp;v=5313193:5313523&amp;c=444444", "offset 70")</f>
        <v>offset 70</v>
      </c>
    </row>
    <row r="17299" customFormat="false" ht="12.8" hidden="false" customHeight="false" outlineLevel="0" collapsed="false">
      <c r="A17299" s="0" t="s">
        <v>12</v>
      </c>
      <c r="B17299" s="0" t="n">
        <v>5313324</v>
      </c>
      <c r="C17299" s="0" t="n">
        <v>5313344</v>
      </c>
      <c r="D17299" s="0" t="s">
        <v>57515</v>
      </c>
      <c r="E17299" s="0" t="s">
        <v>75</v>
      </c>
      <c r="F17299" s="0" t="s">
        <v>90</v>
      </c>
      <c r="G17299" s="0" t="s">
        <v>36</v>
      </c>
      <c r="H17299" s="0" t="n">
        <v>101</v>
      </c>
      <c r="I17299" s="0" t="s">
        <v>57522</v>
      </c>
      <c r="J17299" s="0" t="s">
        <v>57523</v>
      </c>
      <c r="K17299" s="0" t="s">
        <v>57524</v>
      </c>
      <c r="L17299" s="0" t="str">
        <f aca="false">HYPERLINK("https://www.ncbi.nlm.nih.gov/nuccore/CP000058.1?report=graph&amp;tracks=[key:gene_model_track,Options:GeneOnly]&amp;mk=5313394:5313413|offset_32|444444,5313356:5313375|offset_70|444444,5313325:5313344|offset_101|00cc00,5313304:5313323|offset_122|444444&amp;v=5313193:5313523&amp;c=444444", "offset 101")</f>
        <v>offset 101</v>
      </c>
    </row>
    <row r="17300" customFormat="false" ht="12.8" hidden="false" customHeight="false" outlineLevel="0" collapsed="false">
      <c r="A17300" s="0" t="s">
        <v>12</v>
      </c>
      <c r="B17300" s="0" t="n">
        <v>5313303</v>
      </c>
      <c r="C17300" s="0" t="n">
        <v>5313323</v>
      </c>
      <c r="D17300" s="0" t="s">
        <v>57515</v>
      </c>
      <c r="E17300" s="0" t="s">
        <v>75</v>
      </c>
      <c r="F17300" s="0" t="s">
        <v>90</v>
      </c>
      <c r="G17300" s="0" t="s">
        <v>16</v>
      </c>
      <c r="H17300" s="0" t="n">
        <v>122</v>
      </c>
      <c r="I17300" s="0" t="s">
        <v>57525</v>
      </c>
      <c r="J17300" s="0" t="s">
        <v>57526</v>
      </c>
      <c r="K17300" s="0" t="s">
        <v>57527</v>
      </c>
      <c r="L17300" s="0" t="str">
        <f aca="false">HYPERLINK("https://www.ncbi.nlm.nih.gov/nuccore/CP000058.1?report=graph&amp;tracks=[key:gene_model_track,Options:GeneOnly]&amp;mk=5313394:5313413|offset_32|444444,5313356:5313375|offset_70|444444,5313325:5313344|offset_101|444444,5313304:5313323|offset_122|00cc00&amp;v=5313193:5313523&amp;c=444444", "offset 122")</f>
        <v>offset 122</v>
      </c>
    </row>
    <row r="17301" customFormat="false" ht="12.8" hidden="false" customHeight="false" outlineLevel="0" collapsed="false">
      <c r="A17301" s="0" t="s">
        <v>12</v>
      </c>
      <c r="B17301" s="0" t="n">
        <v>5315196</v>
      </c>
      <c r="C17301" s="0" t="n">
        <v>5315216</v>
      </c>
      <c r="D17301" s="0" t="s">
        <v>57528</v>
      </c>
      <c r="E17301" s="0" t="s">
        <v>75</v>
      </c>
      <c r="F17301" s="0" t="s">
        <v>90</v>
      </c>
      <c r="G17301" s="0" t="s">
        <v>32</v>
      </c>
      <c r="H17301" s="0" t="n">
        <v>1</v>
      </c>
      <c r="I17301" s="0" t="s">
        <v>57529</v>
      </c>
      <c r="J17301" s="0" t="s">
        <v>57530</v>
      </c>
      <c r="K17301" s="0" t="s">
        <v>57531</v>
      </c>
      <c r="L17301" s="0" t="str">
        <f aca="false">HYPERLINK("https://www.ncbi.nlm.nih.gov/nuccore/CP000058.1?report=graph&amp;tracks=[key:gene_model_track,Options:GeneOnly]&amp;mk=5315197:5315216|offset_1|00cc00,5315172:5315191|offset_26|444444,5315139:5315158|offset_59|444444,5315118:5315137|offset_80|444444&amp;v=5314996:5315337&amp;c=444444", "offset 1")</f>
        <v>offset 1</v>
      </c>
    </row>
    <row r="17302" customFormat="false" ht="12.8" hidden="false" customHeight="false" outlineLevel="0" collapsed="false">
      <c r="A17302" s="0" t="s">
        <v>12</v>
      </c>
      <c r="B17302" s="0" t="n">
        <v>5315171</v>
      </c>
      <c r="C17302" s="0" t="n">
        <v>5315191</v>
      </c>
      <c r="D17302" s="0" t="s">
        <v>57528</v>
      </c>
      <c r="E17302" s="0" t="s">
        <v>75</v>
      </c>
      <c r="F17302" s="0" t="s">
        <v>90</v>
      </c>
      <c r="G17302" s="0" t="s">
        <v>32</v>
      </c>
      <c r="H17302" s="0" t="n">
        <v>26</v>
      </c>
      <c r="I17302" s="0" t="s">
        <v>57532</v>
      </c>
      <c r="J17302" s="0" t="s">
        <v>57533</v>
      </c>
      <c r="K17302" s="0" t="s">
        <v>57534</v>
      </c>
      <c r="L17302" s="0" t="str">
        <f aca="false">HYPERLINK("https://www.ncbi.nlm.nih.gov/nuccore/CP000058.1?report=graph&amp;tracks=[key:gene_model_track,Options:GeneOnly]&amp;mk=5315197:5315216|offset_1|444444,5315172:5315191|offset_26|00cc00,5315139:5315158|offset_59|444444,5315118:5315137|offset_80|444444&amp;v=5314996:5315337&amp;c=444444", "offset 26")</f>
        <v>offset 26</v>
      </c>
    </row>
    <row r="17303" customFormat="false" ht="12.8" hidden="false" customHeight="false" outlineLevel="0" collapsed="false">
      <c r="A17303" s="0" t="s">
        <v>12</v>
      </c>
      <c r="B17303" s="0" t="n">
        <v>5315138</v>
      </c>
      <c r="C17303" s="0" t="n">
        <v>5315158</v>
      </c>
      <c r="D17303" s="0" t="s">
        <v>57528</v>
      </c>
      <c r="E17303" s="0" t="s">
        <v>75</v>
      </c>
      <c r="F17303" s="0" t="s">
        <v>90</v>
      </c>
      <c r="G17303" s="0" t="s">
        <v>20</v>
      </c>
      <c r="H17303" s="0" t="n">
        <v>59</v>
      </c>
      <c r="I17303" s="0" t="s">
        <v>57535</v>
      </c>
      <c r="J17303" s="0" t="s">
        <v>57536</v>
      </c>
      <c r="K17303" s="0" t="s">
        <v>57537</v>
      </c>
      <c r="L17303" s="0" t="str">
        <f aca="false">HYPERLINK("https://www.ncbi.nlm.nih.gov/nuccore/CP000058.1?report=graph&amp;tracks=[key:gene_model_track,Options:GeneOnly]&amp;mk=5315197:5315216|offset_1|444444,5315172:5315191|offset_26|444444,5315139:5315158|offset_59|00cc00,5315118:5315137|offset_80|444444&amp;v=5314996:5315337&amp;c=444444", "offset 59")</f>
        <v>offset 59</v>
      </c>
    </row>
    <row r="17304" customFormat="false" ht="12.8" hidden="false" customHeight="false" outlineLevel="0" collapsed="false">
      <c r="A17304" s="0" t="s">
        <v>12</v>
      </c>
      <c r="B17304" s="0" t="n">
        <v>5315117</v>
      </c>
      <c r="C17304" s="0" t="n">
        <v>5315137</v>
      </c>
      <c r="D17304" s="0" t="s">
        <v>57528</v>
      </c>
      <c r="E17304" s="0" t="s">
        <v>75</v>
      </c>
      <c r="F17304" s="0" t="s">
        <v>90</v>
      </c>
      <c r="G17304" s="0" t="s">
        <v>20</v>
      </c>
      <c r="H17304" s="0" t="n">
        <v>80</v>
      </c>
      <c r="I17304" s="0" t="s">
        <v>57538</v>
      </c>
      <c r="J17304" s="0" t="s">
        <v>57539</v>
      </c>
      <c r="K17304" s="0" t="s">
        <v>57540</v>
      </c>
      <c r="L17304" s="0" t="str">
        <f aca="false">HYPERLINK("https://www.ncbi.nlm.nih.gov/nuccore/CP000058.1?report=graph&amp;tracks=[key:gene_model_track,Options:GeneOnly]&amp;mk=5315197:5315216|offset_1|444444,5315172:5315191|offset_26|444444,5315139:5315158|offset_59|444444,5315118:5315137|offset_80|00cc00&amp;v=5314996:5315337&amp;c=444444", "offset 80")</f>
        <v>offset 80</v>
      </c>
    </row>
    <row r="17305" customFormat="false" ht="12.8" hidden="false" customHeight="false" outlineLevel="0" collapsed="false">
      <c r="A17305" s="0" t="s">
        <v>12</v>
      </c>
      <c r="B17305" s="0" t="n">
        <v>5315461</v>
      </c>
      <c r="C17305" s="0" t="n">
        <v>5315481</v>
      </c>
      <c r="D17305" s="0" t="s">
        <v>57541</v>
      </c>
      <c r="E17305" s="0" t="s">
        <v>75</v>
      </c>
      <c r="F17305" s="0" t="s">
        <v>90</v>
      </c>
      <c r="G17305" s="0" t="s">
        <v>20</v>
      </c>
      <c r="H17305" s="0" t="n">
        <v>60</v>
      </c>
      <c r="I17305" s="0" t="s">
        <v>57542</v>
      </c>
      <c r="J17305" s="0" t="s">
        <v>57543</v>
      </c>
      <c r="K17305" s="0" t="s">
        <v>57544</v>
      </c>
      <c r="L17305" s="0" t="str">
        <f aca="false">HYPERLINK("https://www.ncbi.nlm.nih.gov/nuccore/CP000058.1?report=graph&amp;tracks=[key:gene_model_track,Options:GeneOnly]&amp;mk=5315462:5315481|offset_60|00cc00,5315440:5315459|offset_82|444444,5315415:5315434|offset_107|444444,5315392:5315411|offset_130|444444&amp;v=5315261:5315611&amp;c=444444", "offset 60")</f>
        <v>offset 60</v>
      </c>
    </row>
    <row r="17306" customFormat="false" ht="12.8" hidden="false" customHeight="false" outlineLevel="0" collapsed="false">
      <c r="A17306" s="0" t="s">
        <v>12</v>
      </c>
      <c r="B17306" s="0" t="n">
        <v>5315439</v>
      </c>
      <c r="C17306" s="0" t="n">
        <v>5315459</v>
      </c>
      <c r="D17306" s="0" t="s">
        <v>57541</v>
      </c>
      <c r="E17306" s="0" t="s">
        <v>75</v>
      </c>
      <c r="F17306" s="0" t="s">
        <v>90</v>
      </c>
      <c r="G17306" s="0" t="s">
        <v>20</v>
      </c>
      <c r="H17306" s="0" t="n">
        <v>82</v>
      </c>
      <c r="I17306" s="0" t="s">
        <v>57545</v>
      </c>
      <c r="J17306" s="0" t="s">
        <v>57546</v>
      </c>
      <c r="K17306" s="0" t="s">
        <v>57547</v>
      </c>
      <c r="L17306" s="0" t="str">
        <f aca="false">HYPERLINK("https://www.ncbi.nlm.nih.gov/nuccore/CP000058.1?report=graph&amp;tracks=[key:gene_model_track,Options:GeneOnly]&amp;mk=5315462:5315481|offset_60|444444,5315440:5315459|offset_82|00cc00,5315415:5315434|offset_107|444444,5315392:5315411|offset_130|444444&amp;v=5315261:5315611&amp;c=444444", "offset 82")</f>
        <v>offset 82</v>
      </c>
    </row>
    <row r="17307" customFormat="false" ht="12.8" hidden="false" customHeight="false" outlineLevel="0" collapsed="false">
      <c r="A17307" s="0" t="s">
        <v>12</v>
      </c>
      <c r="B17307" s="0" t="n">
        <v>5315414</v>
      </c>
      <c r="C17307" s="0" t="n">
        <v>5315434</v>
      </c>
      <c r="D17307" s="0" t="s">
        <v>57541</v>
      </c>
      <c r="E17307" s="0" t="s">
        <v>75</v>
      </c>
      <c r="F17307" s="0" t="s">
        <v>90</v>
      </c>
      <c r="G17307" s="0" t="s">
        <v>32</v>
      </c>
      <c r="H17307" s="0" t="n">
        <v>107</v>
      </c>
      <c r="I17307" s="0" t="s">
        <v>57548</v>
      </c>
      <c r="J17307" s="0" t="s">
        <v>57549</v>
      </c>
      <c r="K17307" s="0" t="s">
        <v>57550</v>
      </c>
      <c r="L17307" s="0" t="str">
        <f aca="false">HYPERLINK("https://www.ncbi.nlm.nih.gov/nuccore/CP000058.1?report=graph&amp;tracks=[key:gene_model_track,Options:GeneOnly]&amp;mk=5315462:5315481|offset_60|444444,5315440:5315459|offset_82|444444,5315415:5315434|offset_107|00cc00,5315392:5315411|offset_130|444444&amp;v=5315261:5315611&amp;c=444444", "offset 107")</f>
        <v>offset 107</v>
      </c>
    </row>
    <row r="17308" customFormat="false" ht="12.8" hidden="false" customHeight="false" outlineLevel="0" collapsed="false">
      <c r="A17308" s="0" t="s">
        <v>12</v>
      </c>
      <c r="B17308" s="0" t="n">
        <v>5315391</v>
      </c>
      <c r="C17308" s="0" t="n">
        <v>5315411</v>
      </c>
      <c r="D17308" s="0" t="s">
        <v>57541</v>
      </c>
      <c r="E17308" s="0" t="s">
        <v>75</v>
      </c>
      <c r="F17308" s="0" t="s">
        <v>90</v>
      </c>
      <c r="G17308" s="0" t="s">
        <v>36</v>
      </c>
      <c r="H17308" s="0" t="n">
        <v>130</v>
      </c>
      <c r="I17308" s="0" t="s">
        <v>57551</v>
      </c>
      <c r="J17308" s="0" t="s">
        <v>57552</v>
      </c>
      <c r="K17308" s="0" t="s">
        <v>57553</v>
      </c>
      <c r="L17308" s="0" t="str">
        <f aca="false">HYPERLINK("https://www.ncbi.nlm.nih.gov/nuccore/CP000058.1?report=graph&amp;tracks=[key:gene_model_track,Options:GeneOnly]&amp;mk=5315462:5315481|offset_60|444444,5315440:5315459|offset_82|444444,5315415:5315434|offset_107|444444,5315392:5315411|offset_130|00cc00&amp;v=5315261:5315611&amp;c=444444", "offset 130")</f>
        <v>offset 130</v>
      </c>
    </row>
    <row r="17309" customFormat="false" ht="12.8" hidden="false" customHeight="false" outlineLevel="0" collapsed="false">
      <c r="A17309" s="0" t="s">
        <v>12</v>
      </c>
      <c r="B17309" s="0" t="n">
        <v>5316178</v>
      </c>
      <c r="C17309" s="0" t="n">
        <v>5316198</v>
      </c>
      <c r="D17309" s="0" t="s">
        <v>57554</v>
      </c>
      <c r="E17309" s="0" t="s">
        <v>75</v>
      </c>
      <c r="F17309" s="0" t="s">
        <v>90</v>
      </c>
      <c r="G17309" s="0" t="s">
        <v>36</v>
      </c>
      <c r="H17309" s="0" t="n">
        <v>71</v>
      </c>
      <c r="I17309" s="0" t="s">
        <v>57555</v>
      </c>
      <c r="J17309" s="0" t="s">
        <v>57556</v>
      </c>
      <c r="K17309" s="0" t="s">
        <v>57557</v>
      </c>
      <c r="L17309" s="0" t="str">
        <f aca="false">HYPERLINK("https://www.ncbi.nlm.nih.gov/nuccore/CP000058.1?report=graph&amp;tracks=[key:gene_model_track,Options:GeneOnly]&amp;mk=5316179:5316198|offset_71|00cc00,5316148:5316167|offset_102|444444,5316106:5316125|offset_144|444444,5316056:5316075|offset_194|444444&amp;v=5315978:5316275&amp;c=444444", "offset 71")</f>
        <v>offset 71</v>
      </c>
    </row>
    <row r="17310" customFormat="false" ht="12.8" hidden="false" customHeight="false" outlineLevel="0" collapsed="false">
      <c r="A17310" s="0" t="s">
        <v>12</v>
      </c>
      <c r="B17310" s="0" t="n">
        <v>5316147</v>
      </c>
      <c r="C17310" s="0" t="n">
        <v>5316167</v>
      </c>
      <c r="D17310" s="0" t="s">
        <v>57554</v>
      </c>
      <c r="E17310" s="0" t="s">
        <v>75</v>
      </c>
      <c r="F17310" s="0" t="s">
        <v>90</v>
      </c>
      <c r="G17310" s="0" t="s">
        <v>32</v>
      </c>
      <c r="H17310" s="0" t="n">
        <v>102</v>
      </c>
      <c r="I17310" s="0" t="s">
        <v>57558</v>
      </c>
      <c r="J17310" s="0" t="s">
        <v>57559</v>
      </c>
      <c r="K17310" s="0" t="s">
        <v>57560</v>
      </c>
      <c r="L17310" s="0" t="str">
        <f aca="false">HYPERLINK("https://www.ncbi.nlm.nih.gov/nuccore/CP000058.1?report=graph&amp;tracks=[key:gene_model_track,Options:GeneOnly]&amp;mk=5316179:5316198|offset_71|444444,5316148:5316167|offset_102|00cc00,5316106:5316125|offset_144|444444,5316056:5316075|offset_194|444444&amp;v=5315978:5316275&amp;c=444444", "offset 102")</f>
        <v>offset 102</v>
      </c>
    </row>
    <row r="17311" customFormat="false" ht="12.8" hidden="false" customHeight="false" outlineLevel="0" collapsed="false">
      <c r="A17311" s="0" t="s">
        <v>12</v>
      </c>
      <c r="B17311" s="0" t="n">
        <v>5316105</v>
      </c>
      <c r="C17311" s="0" t="n">
        <v>5316125</v>
      </c>
      <c r="D17311" s="0" t="s">
        <v>57554</v>
      </c>
      <c r="E17311" s="0" t="s">
        <v>75</v>
      </c>
      <c r="F17311" s="0" t="s">
        <v>90</v>
      </c>
      <c r="G17311" s="0" t="s">
        <v>16</v>
      </c>
      <c r="H17311" s="0" t="n">
        <v>144</v>
      </c>
      <c r="I17311" s="0" t="s">
        <v>57561</v>
      </c>
      <c r="J17311" s="0" t="s">
        <v>57562</v>
      </c>
      <c r="K17311" s="0" t="s">
        <v>57563</v>
      </c>
      <c r="L17311" s="0" t="str">
        <f aca="false">HYPERLINK("https://www.ncbi.nlm.nih.gov/nuccore/CP000058.1?report=graph&amp;tracks=[key:gene_model_track,Options:GeneOnly]&amp;mk=5316179:5316198|offset_71|444444,5316148:5316167|offset_102|444444,5316106:5316125|offset_144|00cc00,5316056:5316075|offset_194|444444&amp;v=5315978:5316275&amp;c=444444", "offset 144")</f>
        <v>offset 144</v>
      </c>
    </row>
    <row r="17312" customFormat="false" ht="12.8" hidden="false" customHeight="false" outlineLevel="0" collapsed="false">
      <c r="A17312" s="0" t="s">
        <v>12</v>
      </c>
      <c r="B17312" s="0" t="n">
        <v>5316055</v>
      </c>
      <c r="C17312" s="0" t="n">
        <v>5316075</v>
      </c>
      <c r="D17312" s="0" t="s">
        <v>57554</v>
      </c>
      <c r="E17312" s="0" t="s">
        <v>75</v>
      </c>
      <c r="F17312" s="0" t="s">
        <v>90</v>
      </c>
      <c r="G17312" s="0" t="s">
        <v>20</v>
      </c>
      <c r="H17312" s="0" t="n">
        <v>194</v>
      </c>
      <c r="I17312" s="0" t="s">
        <v>57564</v>
      </c>
      <c r="J17312" s="0" t="s">
        <v>57565</v>
      </c>
      <c r="K17312" s="0" t="s">
        <v>57566</v>
      </c>
      <c r="L17312" s="0" t="str">
        <f aca="false">HYPERLINK("https://www.ncbi.nlm.nih.gov/nuccore/CP000058.1?report=graph&amp;tracks=[key:gene_model_track,Options:GeneOnly]&amp;mk=5316179:5316198|offset_71|444444,5316148:5316167|offset_102|444444,5316106:5316125|offset_144|444444,5316056:5316075|offset_194|00cc00&amp;v=5315978:5316275&amp;c=444444", "offset 194")</f>
        <v>offset 194</v>
      </c>
    </row>
    <row r="17313" customFormat="false" ht="12.8" hidden="false" customHeight="false" outlineLevel="0" collapsed="false">
      <c r="A17313" s="0" t="s">
        <v>12</v>
      </c>
      <c r="B17313" s="0" t="n">
        <v>5316846</v>
      </c>
      <c r="C17313" s="0" t="n">
        <v>5316866</v>
      </c>
      <c r="D17313" s="0" t="s">
        <v>57567</v>
      </c>
      <c r="E17313" s="0" t="s">
        <v>75</v>
      </c>
      <c r="F17313" s="0" t="s">
        <v>90</v>
      </c>
      <c r="G17313" s="0" t="s">
        <v>20</v>
      </c>
      <c r="H17313" s="0" t="n">
        <v>38</v>
      </c>
      <c r="I17313" s="0" t="s">
        <v>57568</v>
      </c>
      <c r="J17313" s="0" t="s">
        <v>57569</v>
      </c>
      <c r="K17313" s="0" t="s">
        <v>57570</v>
      </c>
      <c r="L17313" s="0" t="str">
        <f aca="false">HYPERLINK("https://www.ncbi.nlm.nih.gov/nuccore/CP000058.1?report=graph&amp;tracks=[key:gene_model_track,Options:GeneOnly]&amp;mk=5316847:5316866|offset_38|00cc00,5316803:5316822|offset_82|444444,5316772:5316791|offset_113|444444,5316741:5316760|offset_144|444444&amp;v=5316646:5316960&amp;c=444444", "offset 38")</f>
        <v>offset 38</v>
      </c>
    </row>
    <row r="17314" customFormat="false" ht="12.8" hidden="false" customHeight="false" outlineLevel="0" collapsed="false">
      <c r="A17314" s="0" t="s">
        <v>12</v>
      </c>
      <c r="B17314" s="0" t="n">
        <v>5316802</v>
      </c>
      <c r="C17314" s="0" t="n">
        <v>5316822</v>
      </c>
      <c r="D17314" s="0" t="s">
        <v>57567</v>
      </c>
      <c r="E17314" s="0" t="s">
        <v>75</v>
      </c>
      <c r="F17314" s="0" t="s">
        <v>90</v>
      </c>
      <c r="G17314" s="0" t="s">
        <v>36</v>
      </c>
      <c r="H17314" s="0" t="n">
        <v>82</v>
      </c>
      <c r="I17314" s="0" t="s">
        <v>57571</v>
      </c>
      <c r="J17314" s="0" t="s">
        <v>57572</v>
      </c>
      <c r="K17314" s="0" t="s">
        <v>57573</v>
      </c>
      <c r="L17314" s="0" t="str">
        <f aca="false">HYPERLINK("https://www.ncbi.nlm.nih.gov/nuccore/CP000058.1?report=graph&amp;tracks=[key:gene_model_track,Options:GeneOnly]&amp;mk=5316847:5316866|offset_38|444444,5316803:5316822|offset_82|00cc00,5316772:5316791|offset_113|444444,5316741:5316760|offset_144|444444&amp;v=5316646:5316960&amp;c=444444", "offset 82")</f>
        <v>offset 82</v>
      </c>
    </row>
    <row r="17315" customFormat="false" ht="12.8" hidden="false" customHeight="false" outlineLevel="0" collapsed="false">
      <c r="A17315" s="0" t="s">
        <v>12</v>
      </c>
      <c r="B17315" s="0" t="n">
        <v>5316771</v>
      </c>
      <c r="C17315" s="0" t="n">
        <v>5316791</v>
      </c>
      <c r="D17315" s="0" t="s">
        <v>57567</v>
      </c>
      <c r="E17315" s="0" t="s">
        <v>75</v>
      </c>
      <c r="F17315" s="0" t="s">
        <v>90</v>
      </c>
      <c r="G17315" s="0" t="s">
        <v>32</v>
      </c>
      <c r="H17315" s="0" t="n">
        <v>113</v>
      </c>
      <c r="I17315" s="0" t="s">
        <v>57574</v>
      </c>
      <c r="J17315" s="0" t="s">
        <v>57575</v>
      </c>
      <c r="K17315" s="0" t="s">
        <v>57576</v>
      </c>
      <c r="L17315" s="0" t="str">
        <f aca="false">HYPERLINK("https://www.ncbi.nlm.nih.gov/nuccore/CP000058.1?report=graph&amp;tracks=[key:gene_model_track,Options:GeneOnly]&amp;mk=5316847:5316866|offset_38|444444,5316803:5316822|offset_82|444444,5316772:5316791|offset_113|00cc00,5316741:5316760|offset_144|444444&amp;v=5316646:5316960&amp;c=444444", "offset 113")</f>
        <v>offset 113</v>
      </c>
    </row>
    <row r="17316" customFormat="false" ht="12.8" hidden="false" customHeight="false" outlineLevel="0" collapsed="false">
      <c r="A17316" s="0" t="s">
        <v>12</v>
      </c>
      <c r="B17316" s="0" t="n">
        <v>5316740</v>
      </c>
      <c r="C17316" s="0" t="n">
        <v>5316760</v>
      </c>
      <c r="D17316" s="0" t="s">
        <v>57567</v>
      </c>
      <c r="E17316" s="0" t="s">
        <v>75</v>
      </c>
      <c r="F17316" s="0" t="s">
        <v>90</v>
      </c>
      <c r="G17316" s="0" t="s">
        <v>36</v>
      </c>
      <c r="H17316" s="0" t="n">
        <v>144</v>
      </c>
      <c r="I17316" s="0" t="s">
        <v>57577</v>
      </c>
      <c r="J17316" s="0" t="s">
        <v>57578</v>
      </c>
      <c r="K17316" s="0" t="s">
        <v>57579</v>
      </c>
      <c r="L17316" s="0" t="str">
        <f aca="false">HYPERLINK("https://www.ncbi.nlm.nih.gov/nuccore/CP000058.1?report=graph&amp;tracks=[key:gene_model_track,Options:GeneOnly]&amp;mk=5316847:5316866|offset_38|444444,5316803:5316822|offset_82|444444,5316772:5316791|offset_113|444444,5316741:5316760|offset_144|00cc00&amp;v=5316646:5316960&amp;c=444444", "offset 144")</f>
        <v>offset 144</v>
      </c>
    </row>
    <row r="17317" customFormat="false" ht="12.8" hidden="false" customHeight="false" outlineLevel="0" collapsed="false">
      <c r="A17317" s="0" t="s">
        <v>12</v>
      </c>
      <c r="B17317" s="0" t="n">
        <v>5317489</v>
      </c>
      <c r="C17317" s="0" t="n">
        <v>5317509</v>
      </c>
      <c r="D17317" s="0" t="s">
        <v>57580</v>
      </c>
      <c r="E17317" s="0" t="s">
        <v>75</v>
      </c>
      <c r="F17317" s="0" t="s">
        <v>90</v>
      </c>
      <c r="G17317" s="0" t="s">
        <v>32</v>
      </c>
      <c r="H17317" s="0" t="n">
        <v>17</v>
      </c>
      <c r="I17317" s="0" t="s">
        <v>57581</v>
      </c>
      <c r="J17317" s="0" t="s">
        <v>57582</v>
      </c>
      <c r="K17317" s="0" t="s">
        <v>57583</v>
      </c>
      <c r="L17317" s="0" t="str">
        <f aca="false">HYPERLINK("https://www.ncbi.nlm.nih.gov/nuccore/CP000058.1?report=graph&amp;tracks=[key:gene_model_track,Options:GeneOnly]&amp;mk=5317490:5317509|offset_17|00cc00,5317465:5317484|offset_42|444444,5317436:5317455|offset_71|444444,5317404:5317423|offset_103|444444&amp;v=5317289:5317623&amp;c=444444", "offset 17")</f>
        <v>offset 17</v>
      </c>
    </row>
    <row r="17318" customFormat="false" ht="12.8" hidden="false" customHeight="false" outlineLevel="0" collapsed="false">
      <c r="A17318" s="0" t="s">
        <v>12</v>
      </c>
      <c r="B17318" s="0" t="n">
        <v>5317464</v>
      </c>
      <c r="C17318" s="0" t="n">
        <v>5317484</v>
      </c>
      <c r="D17318" s="0" t="s">
        <v>57580</v>
      </c>
      <c r="E17318" s="0" t="s">
        <v>75</v>
      </c>
      <c r="F17318" s="0" t="s">
        <v>90</v>
      </c>
      <c r="G17318" s="0" t="s">
        <v>16</v>
      </c>
      <c r="H17318" s="0" t="n">
        <v>42</v>
      </c>
      <c r="I17318" s="0" t="s">
        <v>57584</v>
      </c>
      <c r="J17318" s="0" t="s">
        <v>57585</v>
      </c>
      <c r="K17318" s="0" t="s">
        <v>57586</v>
      </c>
      <c r="L17318" s="0" t="str">
        <f aca="false">HYPERLINK("https://www.ncbi.nlm.nih.gov/nuccore/CP000058.1?report=graph&amp;tracks=[key:gene_model_track,Options:GeneOnly]&amp;mk=5317490:5317509|offset_17|444444,5317465:5317484|offset_42|00cc00,5317436:5317455|offset_71|444444,5317404:5317423|offset_103|444444&amp;v=5317289:5317623&amp;c=444444", "offset 42")</f>
        <v>offset 42</v>
      </c>
    </row>
    <row r="17319" customFormat="false" ht="12.8" hidden="false" customHeight="false" outlineLevel="0" collapsed="false">
      <c r="A17319" s="0" t="s">
        <v>12</v>
      </c>
      <c r="B17319" s="0" t="n">
        <v>5317435</v>
      </c>
      <c r="C17319" s="0" t="n">
        <v>5317455</v>
      </c>
      <c r="D17319" s="0" t="s">
        <v>57580</v>
      </c>
      <c r="E17319" s="0" t="s">
        <v>75</v>
      </c>
      <c r="F17319" s="0" t="s">
        <v>90</v>
      </c>
      <c r="G17319" s="0" t="s">
        <v>16</v>
      </c>
      <c r="H17319" s="0" t="n">
        <v>71</v>
      </c>
      <c r="I17319" s="0" t="s">
        <v>57587</v>
      </c>
      <c r="J17319" s="0" t="s">
        <v>57588</v>
      </c>
      <c r="K17319" s="0" t="s">
        <v>57589</v>
      </c>
      <c r="L17319" s="0" t="str">
        <f aca="false">HYPERLINK("https://www.ncbi.nlm.nih.gov/nuccore/CP000058.1?report=graph&amp;tracks=[key:gene_model_track,Options:GeneOnly]&amp;mk=5317490:5317509|offset_17|444444,5317465:5317484|offset_42|444444,5317436:5317455|offset_71|00cc00,5317404:5317423|offset_103|444444&amp;v=5317289:5317623&amp;c=444444", "offset 71")</f>
        <v>offset 71</v>
      </c>
    </row>
    <row r="17320" customFormat="false" ht="12.8" hidden="false" customHeight="false" outlineLevel="0" collapsed="false">
      <c r="A17320" s="0" t="s">
        <v>12</v>
      </c>
      <c r="B17320" s="0" t="n">
        <v>5317403</v>
      </c>
      <c r="C17320" s="0" t="n">
        <v>5317423</v>
      </c>
      <c r="D17320" s="0" t="s">
        <v>57580</v>
      </c>
      <c r="E17320" s="0" t="s">
        <v>75</v>
      </c>
      <c r="F17320" s="0" t="s">
        <v>90</v>
      </c>
      <c r="G17320" s="0" t="s">
        <v>16</v>
      </c>
      <c r="H17320" s="0" t="n">
        <v>103</v>
      </c>
      <c r="I17320" s="0" t="s">
        <v>57590</v>
      </c>
      <c r="J17320" s="0" t="s">
        <v>57591</v>
      </c>
      <c r="K17320" s="0" t="s">
        <v>57592</v>
      </c>
      <c r="L17320" s="0" t="str">
        <f aca="false">HYPERLINK("https://www.ncbi.nlm.nih.gov/nuccore/CP000058.1?report=graph&amp;tracks=[key:gene_model_track,Options:GeneOnly]&amp;mk=5317490:5317509|offset_17|444444,5317465:5317484|offset_42|444444,5317436:5317455|offset_71|444444,5317404:5317423|offset_103|00cc00&amp;v=5317289:5317623&amp;c=444444", "offset 103")</f>
        <v>offset 103</v>
      </c>
    </row>
    <row r="17321" customFormat="false" ht="12.8" hidden="false" customHeight="false" outlineLevel="0" collapsed="false">
      <c r="A17321" s="0" t="s">
        <v>12</v>
      </c>
      <c r="B17321" s="0" t="n">
        <v>5318248</v>
      </c>
      <c r="C17321" s="0" t="n">
        <v>5318268</v>
      </c>
      <c r="D17321" s="0" t="s">
        <v>57593</v>
      </c>
      <c r="E17321" s="0" t="s">
        <v>75</v>
      </c>
      <c r="F17321" s="0" t="s">
        <v>90</v>
      </c>
      <c r="G17321" s="0" t="s">
        <v>16</v>
      </c>
      <c r="H17321" s="0" t="n">
        <v>21</v>
      </c>
      <c r="I17321" s="0" t="s">
        <v>57594</v>
      </c>
      <c r="J17321" s="0" t="s">
        <v>57595</v>
      </c>
      <c r="K17321" s="0" t="s">
        <v>57596</v>
      </c>
      <c r="L17321" s="0" t="str">
        <f aca="false">HYPERLINK("https://www.ncbi.nlm.nih.gov/nuccore/CP000058.1?report=graph&amp;tracks=[key:gene_model_track,Options:GeneOnly]&amp;mk=5318249:5318268|offset_21|00cc00,5318206:5318225|offset_64|444444,5318186:5318205|offset_84|444444,5318145:5318164|offset_125|444444&amp;v=5318048:5318364&amp;c=444444", "offset 21")</f>
        <v>offset 21</v>
      </c>
    </row>
    <row r="17322" customFormat="false" ht="12.8" hidden="false" customHeight="false" outlineLevel="0" collapsed="false">
      <c r="A17322" s="0" t="s">
        <v>12</v>
      </c>
      <c r="B17322" s="0" t="n">
        <v>5318205</v>
      </c>
      <c r="C17322" s="0" t="n">
        <v>5318225</v>
      </c>
      <c r="D17322" s="0" t="s">
        <v>57593</v>
      </c>
      <c r="E17322" s="0" t="s">
        <v>75</v>
      </c>
      <c r="F17322" s="0" t="s">
        <v>90</v>
      </c>
      <c r="G17322" s="0" t="s">
        <v>16</v>
      </c>
      <c r="H17322" s="0" t="n">
        <v>64</v>
      </c>
      <c r="I17322" s="0" t="s">
        <v>57597</v>
      </c>
      <c r="J17322" s="0" t="s">
        <v>57598</v>
      </c>
      <c r="K17322" s="0" t="s">
        <v>57599</v>
      </c>
      <c r="L17322" s="0" t="str">
        <f aca="false">HYPERLINK("https://www.ncbi.nlm.nih.gov/nuccore/CP000058.1?report=graph&amp;tracks=[key:gene_model_track,Options:GeneOnly]&amp;mk=5318249:5318268|offset_21|444444,5318206:5318225|offset_64|00cc00,5318186:5318205|offset_84|444444,5318145:5318164|offset_125|444444&amp;v=5318048:5318364&amp;c=444444", "offset 64")</f>
        <v>offset 64</v>
      </c>
    </row>
    <row r="17323" customFormat="false" ht="12.8" hidden="false" customHeight="false" outlineLevel="0" collapsed="false">
      <c r="A17323" s="0" t="s">
        <v>12</v>
      </c>
      <c r="B17323" s="0" t="n">
        <v>5318185</v>
      </c>
      <c r="C17323" s="0" t="n">
        <v>5318205</v>
      </c>
      <c r="D17323" s="0" t="s">
        <v>57593</v>
      </c>
      <c r="E17323" s="0" t="s">
        <v>75</v>
      </c>
      <c r="F17323" s="0" t="s">
        <v>90</v>
      </c>
      <c r="G17323" s="0" t="s">
        <v>20</v>
      </c>
      <c r="H17323" s="0" t="n">
        <v>84</v>
      </c>
      <c r="I17323" s="0" t="s">
        <v>57600</v>
      </c>
      <c r="J17323" s="0" t="s">
        <v>57601</v>
      </c>
      <c r="K17323" s="0" t="s">
        <v>57602</v>
      </c>
      <c r="L17323" s="0" t="str">
        <f aca="false">HYPERLINK("https://www.ncbi.nlm.nih.gov/nuccore/CP000058.1?report=graph&amp;tracks=[key:gene_model_track,Options:GeneOnly]&amp;mk=5318249:5318268|offset_21|444444,5318206:5318225|offset_64|444444,5318186:5318205|offset_84|00cc00,5318145:5318164|offset_125|444444&amp;v=5318048:5318364&amp;c=444444", "offset 84")</f>
        <v>offset 84</v>
      </c>
    </row>
    <row r="17324" customFormat="false" ht="12.8" hidden="false" customHeight="false" outlineLevel="0" collapsed="false">
      <c r="A17324" s="0" t="s">
        <v>12</v>
      </c>
      <c r="B17324" s="0" t="n">
        <v>5318144</v>
      </c>
      <c r="C17324" s="0" t="n">
        <v>5318164</v>
      </c>
      <c r="D17324" s="0" t="s">
        <v>57593</v>
      </c>
      <c r="E17324" s="0" t="s">
        <v>75</v>
      </c>
      <c r="F17324" s="0" t="s">
        <v>90</v>
      </c>
      <c r="G17324" s="0" t="s">
        <v>20</v>
      </c>
      <c r="H17324" s="0" t="n">
        <v>125</v>
      </c>
      <c r="I17324" s="0" t="s">
        <v>57603</v>
      </c>
      <c r="J17324" s="0" t="s">
        <v>57604</v>
      </c>
      <c r="K17324" s="0" t="s">
        <v>57605</v>
      </c>
      <c r="L17324" s="0" t="str">
        <f aca="false">HYPERLINK("https://www.ncbi.nlm.nih.gov/nuccore/CP000058.1?report=graph&amp;tracks=[key:gene_model_track,Options:GeneOnly]&amp;mk=5318249:5318268|offset_21|444444,5318206:5318225|offset_64|444444,5318186:5318205|offset_84|444444,5318145:5318164|offset_125|00cc00&amp;v=5318048:5318364&amp;c=444444", "offset 125")</f>
        <v>offset 125</v>
      </c>
    </row>
    <row r="17325" customFormat="false" ht="12.8" hidden="false" customHeight="false" outlineLevel="0" collapsed="false">
      <c r="A17325" s="0" t="s">
        <v>12</v>
      </c>
      <c r="B17325" s="0" t="n">
        <v>5319025</v>
      </c>
      <c r="C17325" s="0" t="n">
        <v>5319045</v>
      </c>
      <c r="D17325" s="0" t="s">
        <v>57606</v>
      </c>
      <c r="E17325" s="0" t="s">
        <v>75</v>
      </c>
      <c r="F17325" s="0" t="s">
        <v>90</v>
      </c>
      <c r="G17325" s="0" t="s">
        <v>16</v>
      </c>
      <c r="H17325" s="0" t="n">
        <v>8</v>
      </c>
      <c r="I17325" s="0" t="s">
        <v>57607</v>
      </c>
      <c r="J17325" s="0" t="s">
        <v>57608</v>
      </c>
      <c r="K17325" s="0" t="s">
        <v>57609</v>
      </c>
      <c r="L17325" s="0" t="str">
        <f aca="false">HYPERLINK("https://www.ncbi.nlm.nih.gov/nuccore/CP000058.1?report=graph&amp;tracks=[key:gene_model_track,Options:GeneOnly]&amp;mk=5319026:5319045|offset_8|00cc00,5319002:5319021|offset_32|444444,5318978:5318997|offset_56|444444,5318942:5318961|offset_92|444444&amp;v=5318825:5319161&amp;c=444444", "offset 8")</f>
        <v>offset 8</v>
      </c>
    </row>
    <row r="17326" customFormat="false" ht="12.8" hidden="false" customHeight="false" outlineLevel="0" collapsed="false">
      <c r="A17326" s="0" t="s">
        <v>12</v>
      </c>
      <c r="B17326" s="0" t="n">
        <v>5319001</v>
      </c>
      <c r="C17326" s="0" t="n">
        <v>5319021</v>
      </c>
      <c r="D17326" s="0" t="s">
        <v>57606</v>
      </c>
      <c r="E17326" s="0" t="s">
        <v>75</v>
      </c>
      <c r="F17326" s="0" t="s">
        <v>90</v>
      </c>
      <c r="G17326" s="0" t="s">
        <v>20</v>
      </c>
      <c r="H17326" s="0" t="n">
        <v>32</v>
      </c>
      <c r="I17326" s="0" t="s">
        <v>57610</v>
      </c>
      <c r="J17326" s="0" t="s">
        <v>57611</v>
      </c>
      <c r="K17326" s="0" t="s">
        <v>57612</v>
      </c>
      <c r="L17326" s="0" t="str">
        <f aca="false">HYPERLINK("https://www.ncbi.nlm.nih.gov/nuccore/CP000058.1?report=graph&amp;tracks=[key:gene_model_track,Options:GeneOnly]&amp;mk=5319026:5319045|offset_8|444444,5319002:5319021|offset_32|00cc00,5318978:5318997|offset_56|444444,5318942:5318961|offset_92|444444&amp;v=5318825:5319161&amp;c=444444", "offset 32")</f>
        <v>offset 32</v>
      </c>
    </row>
    <row r="17327" customFormat="false" ht="12.8" hidden="false" customHeight="false" outlineLevel="0" collapsed="false">
      <c r="A17327" s="0" t="s">
        <v>12</v>
      </c>
      <c r="B17327" s="0" t="n">
        <v>5318977</v>
      </c>
      <c r="C17327" s="0" t="n">
        <v>5318997</v>
      </c>
      <c r="D17327" s="0" t="s">
        <v>57606</v>
      </c>
      <c r="E17327" s="0" t="s">
        <v>75</v>
      </c>
      <c r="F17327" s="0" t="s">
        <v>90</v>
      </c>
      <c r="G17327" s="0" t="s">
        <v>32</v>
      </c>
      <c r="H17327" s="0" t="n">
        <v>56</v>
      </c>
      <c r="I17327" s="0" t="s">
        <v>57613</v>
      </c>
      <c r="J17327" s="0" t="s">
        <v>57614</v>
      </c>
      <c r="K17327" s="0" t="s">
        <v>57615</v>
      </c>
      <c r="L17327" s="0" t="str">
        <f aca="false">HYPERLINK("https://www.ncbi.nlm.nih.gov/nuccore/CP000058.1?report=graph&amp;tracks=[key:gene_model_track,Options:GeneOnly]&amp;mk=5319026:5319045|offset_8|444444,5319002:5319021|offset_32|444444,5318978:5318997|offset_56|00cc00,5318942:5318961|offset_92|444444&amp;v=5318825:5319161&amp;c=444444", "offset 56")</f>
        <v>offset 56</v>
      </c>
    </row>
    <row r="17328" customFormat="false" ht="12.8" hidden="false" customHeight="false" outlineLevel="0" collapsed="false">
      <c r="A17328" s="0" t="s">
        <v>12</v>
      </c>
      <c r="B17328" s="0" t="n">
        <v>5318941</v>
      </c>
      <c r="C17328" s="0" t="n">
        <v>5318961</v>
      </c>
      <c r="D17328" s="0" t="s">
        <v>57606</v>
      </c>
      <c r="E17328" s="0" t="s">
        <v>75</v>
      </c>
      <c r="F17328" s="0" t="s">
        <v>90</v>
      </c>
      <c r="G17328" s="0" t="s">
        <v>20</v>
      </c>
      <c r="H17328" s="0" t="n">
        <v>92</v>
      </c>
      <c r="I17328" s="0" t="s">
        <v>57616</v>
      </c>
      <c r="J17328" s="0" t="s">
        <v>57617</v>
      </c>
      <c r="K17328" s="0" t="s">
        <v>57618</v>
      </c>
      <c r="L17328" s="0" t="str">
        <f aca="false">HYPERLINK("https://www.ncbi.nlm.nih.gov/nuccore/CP000058.1?report=graph&amp;tracks=[key:gene_model_track,Options:GeneOnly]&amp;mk=5319026:5319045|offset_8|444444,5319002:5319021|offset_32|444444,5318978:5318997|offset_56|444444,5318942:5318961|offset_92|00cc00&amp;v=5318825:5319161&amp;c=444444", "offset 92")</f>
        <v>offset 92</v>
      </c>
    </row>
    <row r="17329" customFormat="false" ht="12.8" hidden="false" customHeight="false" outlineLevel="0" collapsed="false">
      <c r="A17329" s="0" t="s">
        <v>12</v>
      </c>
      <c r="B17329" s="0" t="n">
        <v>5319266</v>
      </c>
      <c r="C17329" s="0" t="n">
        <v>5319286</v>
      </c>
      <c r="D17329" s="0" t="s">
        <v>57619</v>
      </c>
      <c r="E17329" s="0" t="s">
        <v>75</v>
      </c>
      <c r="F17329" s="0" t="s">
        <v>90</v>
      </c>
      <c r="G17329" s="0" t="s">
        <v>36</v>
      </c>
      <c r="H17329" s="0" t="n">
        <v>39</v>
      </c>
      <c r="I17329" s="0" t="s">
        <v>57620</v>
      </c>
      <c r="J17329" s="0" t="s">
        <v>57621</v>
      </c>
      <c r="K17329" s="0" t="s">
        <v>57622</v>
      </c>
      <c r="L17329" s="0" t="str">
        <f aca="false">HYPERLINK("https://www.ncbi.nlm.nih.gov/nuccore/CP000058.1?report=graph&amp;tracks=[key:gene_model_track,Options:GeneOnly]&amp;mk=5319267:5319286|offset_39|00cc00,5319246:5319265|offset_60|444444,5319219:5319238|offset_87|444444,5319194:5319213|offset_112|444444&amp;v=5319066:5319413&amp;c=444444", "offset 39")</f>
        <v>offset 39</v>
      </c>
    </row>
    <row r="17330" customFormat="false" ht="12.8" hidden="false" customHeight="false" outlineLevel="0" collapsed="false">
      <c r="A17330" s="0" t="s">
        <v>12</v>
      </c>
      <c r="B17330" s="0" t="n">
        <v>5319245</v>
      </c>
      <c r="C17330" s="0" t="n">
        <v>5319265</v>
      </c>
      <c r="D17330" s="0" t="s">
        <v>57619</v>
      </c>
      <c r="E17330" s="0" t="s">
        <v>75</v>
      </c>
      <c r="F17330" s="0" t="s">
        <v>90</v>
      </c>
      <c r="G17330" s="0" t="s">
        <v>32</v>
      </c>
      <c r="H17330" s="0" t="n">
        <v>60</v>
      </c>
      <c r="I17330" s="0" t="s">
        <v>57623</v>
      </c>
      <c r="J17330" s="0" t="s">
        <v>57624</v>
      </c>
      <c r="K17330" s="0" t="s">
        <v>57625</v>
      </c>
      <c r="L17330" s="0" t="str">
        <f aca="false">HYPERLINK("https://www.ncbi.nlm.nih.gov/nuccore/CP000058.1?report=graph&amp;tracks=[key:gene_model_track,Options:GeneOnly]&amp;mk=5319267:5319286|offset_39|444444,5319246:5319265|offset_60|00cc00,5319219:5319238|offset_87|444444,5319194:5319213|offset_112|444444&amp;v=5319066:5319413&amp;c=444444", "offset 60")</f>
        <v>offset 60</v>
      </c>
    </row>
    <row r="17331" customFormat="false" ht="12.8" hidden="false" customHeight="false" outlineLevel="0" collapsed="false">
      <c r="A17331" s="0" t="s">
        <v>12</v>
      </c>
      <c r="B17331" s="0" t="n">
        <v>5319218</v>
      </c>
      <c r="C17331" s="0" t="n">
        <v>5319238</v>
      </c>
      <c r="D17331" s="0" t="s">
        <v>57619</v>
      </c>
      <c r="E17331" s="0" t="s">
        <v>75</v>
      </c>
      <c r="F17331" s="0" t="s">
        <v>90</v>
      </c>
      <c r="G17331" s="0" t="s">
        <v>36</v>
      </c>
      <c r="H17331" s="0" t="n">
        <v>87</v>
      </c>
      <c r="I17331" s="0" t="s">
        <v>57626</v>
      </c>
      <c r="J17331" s="0" t="s">
        <v>57627</v>
      </c>
      <c r="K17331" s="0" t="s">
        <v>57628</v>
      </c>
      <c r="L17331" s="0" t="str">
        <f aca="false">HYPERLINK("https://www.ncbi.nlm.nih.gov/nuccore/CP000058.1?report=graph&amp;tracks=[key:gene_model_track,Options:GeneOnly]&amp;mk=5319267:5319286|offset_39|444444,5319246:5319265|offset_60|444444,5319219:5319238|offset_87|00cc00,5319194:5319213|offset_112|444444&amp;v=5319066:5319413&amp;c=444444", "offset 87")</f>
        <v>offset 87</v>
      </c>
    </row>
    <row r="17332" customFormat="false" ht="12.8" hidden="false" customHeight="false" outlineLevel="0" collapsed="false">
      <c r="A17332" s="0" t="s">
        <v>12</v>
      </c>
      <c r="B17332" s="0" t="n">
        <v>5319193</v>
      </c>
      <c r="C17332" s="0" t="n">
        <v>5319213</v>
      </c>
      <c r="D17332" s="0" t="s">
        <v>57619</v>
      </c>
      <c r="E17332" s="0" t="s">
        <v>75</v>
      </c>
      <c r="F17332" s="0" t="s">
        <v>90</v>
      </c>
      <c r="G17332" s="0" t="s">
        <v>36</v>
      </c>
      <c r="H17332" s="0" t="n">
        <v>112</v>
      </c>
      <c r="I17332" s="0" t="s">
        <v>57629</v>
      </c>
      <c r="J17332" s="0" t="s">
        <v>57630</v>
      </c>
      <c r="K17332" s="0" t="s">
        <v>57631</v>
      </c>
      <c r="L17332" s="0" t="str">
        <f aca="false">HYPERLINK("https://www.ncbi.nlm.nih.gov/nuccore/CP000058.1?report=graph&amp;tracks=[key:gene_model_track,Options:GeneOnly]&amp;mk=5319267:5319286|offset_39|444444,5319246:5319265|offset_60|444444,5319219:5319238|offset_87|444444,5319194:5319213|offset_112|00cc00&amp;v=5319066:5319413&amp;c=444444", "offset 112")</f>
        <v>offset 112</v>
      </c>
    </row>
    <row r="17333" customFormat="false" ht="12.8" hidden="false" customHeight="false" outlineLevel="0" collapsed="false">
      <c r="A17333" s="0" t="s">
        <v>12</v>
      </c>
      <c r="B17333" s="0" t="n">
        <v>5320672</v>
      </c>
      <c r="C17333" s="0" t="n">
        <v>5320692</v>
      </c>
      <c r="D17333" s="0" t="s">
        <v>57632</v>
      </c>
      <c r="E17333" s="0" t="s">
        <v>75</v>
      </c>
      <c r="F17333" s="0" t="s">
        <v>15</v>
      </c>
      <c r="G17333" s="0" t="s">
        <v>20</v>
      </c>
      <c r="H17333" s="0" t="n">
        <v>47</v>
      </c>
      <c r="I17333" s="0" t="s">
        <v>57633</v>
      </c>
      <c r="J17333" s="0" t="s">
        <v>57634</v>
      </c>
      <c r="K17333" s="0" t="s">
        <v>57635</v>
      </c>
      <c r="L17333" s="0" t="str">
        <f aca="false">HYPERLINK("https://www.ncbi.nlm.nih.gov/nuccore/CP000058.1?report=graph&amp;tracks=[key:gene_model_track,Options:GeneOnly]&amp;mk=5320673:5320692|offset_47|00cc00,5320693:5320712|offset_67|444444,5320719:5320738|offset_93|444444,5320757:5320776|offset_131|444444&amp;v=5320472:5320976&amp;c=444444", "offset 47")</f>
        <v>offset 47</v>
      </c>
    </row>
    <row r="17334" customFormat="false" ht="12.8" hidden="false" customHeight="false" outlineLevel="0" collapsed="false">
      <c r="A17334" s="0" t="s">
        <v>12</v>
      </c>
      <c r="B17334" s="0" t="n">
        <v>5320692</v>
      </c>
      <c r="C17334" s="0" t="n">
        <v>5320712</v>
      </c>
      <c r="D17334" s="0" t="s">
        <v>57632</v>
      </c>
      <c r="E17334" s="0" t="s">
        <v>75</v>
      </c>
      <c r="F17334" s="0" t="s">
        <v>15</v>
      </c>
      <c r="G17334" s="0" t="s">
        <v>32</v>
      </c>
      <c r="H17334" s="0" t="n">
        <v>67</v>
      </c>
      <c r="I17334" s="0" t="s">
        <v>57636</v>
      </c>
      <c r="J17334" s="0" t="s">
        <v>57637</v>
      </c>
      <c r="K17334" s="0" t="s">
        <v>57638</v>
      </c>
      <c r="L17334" s="0" t="str">
        <f aca="false">HYPERLINK("https://www.ncbi.nlm.nih.gov/nuccore/CP000058.1?report=graph&amp;tracks=[key:gene_model_track,Options:GeneOnly]&amp;mk=5320673:5320692|offset_47|444444,5320693:5320712|offset_67|00cc00,5320719:5320738|offset_93|444444,5320757:5320776|offset_131|444444&amp;v=5320472:5320976&amp;c=444444", "offset 67")</f>
        <v>offset 67</v>
      </c>
    </row>
    <row r="17335" customFormat="false" ht="12.8" hidden="false" customHeight="false" outlineLevel="0" collapsed="false">
      <c r="A17335" s="0" t="s">
        <v>12</v>
      </c>
      <c r="B17335" s="0" t="n">
        <v>5320718</v>
      </c>
      <c r="C17335" s="0" t="n">
        <v>5320738</v>
      </c>
      <c r="D17335" s="0" t="s">
        <v>57632</v>
      </c>
      <c r="E17335" s="0" t="s">
        <v>75</v>
      </c>
      <c r="F17335" s="0" t="s">
        <v>15</v>
      </c>
      <c r="G17335" s="0" t="s">
        <v>20</v>
      </c>
      <c r="H17335" s="0" t="n">
        <v>93</v>
      </c>
      <c r="I17335" s="0" t="s">
        <v>57639</v>
      </c>
      <c r="J17335" s="0" t="s">
        <v>57640</v>
      </c>
      <c r="K17335" s="0" t="s">
        <v>57641</v>
      </c>
      <c r="L17335" s="0" t="str">
        <f aca="false">HYPERLINK("https://www.ncbi.nlm.nih.gov/nuccore/CP000058.1?report=graph&amp;tracks=[key:gene_model_track,Options:GeneOnly]&amp;mk=5320673:5320692|offset_47|444444,5320693:5320712|offset_67|444444,5320719:5320738|offset_93|00cc00,5320757:5320776|offset_131|444444&amp;v=5320472:5320976&amp;c=444444", "offset 93")</f>
        <v>offset 93</v>
      </c>
    </row>
    <row r="17336" customFormat="false" ht="12.8" hidden="false" customHeight="false" outlineLevel="0" collapsed="false">
      <c r="A17336" s="0" t="s">
        <v>12</v>
      </c>
      <c r="B17336" s="0" t="n">
        <v>5320756</v>
      </c>
      <c r="C17336" s="0" t="n">
        <v>5320776</v>
      </c>
      <c r="D17336" s="0" t="s">
        <v>57632</v>
      </c>
      <c r="E17336" s="0" t="s">
        <v>75</v>
      </c>
      <c r="F17336" s="0" t="s">
        <v>15</v>
      </c>
      <c r="G17336" s="0" t="s">
        <v>36</v>
      </c>
      <c r="H17336" s="0" t="n">
        <v>131</v>
      </c>
      <c r="I17336" s="0" t="s">
        <v>57642</v>
      </c>
      <c r="J17336" s="0" t="s">
        <v>57643</v>
      </c>
      <c r="K17336" s="0" t="s">
        <v>57644</v>
      </c>
      <c r="L17336" s="0" t="str">
        <f aca="false">HYPERLINK("https://www.ncbi.nlm.nih.gov/nuccore/CP000058.1?report=graph&amp;tracks=[key:gene_model_track,Options:GeneOnly]&amp;mk=5320673:5320692|offset_47|444444,5320693:5320712|offset_67|444444,5320719:5320738|offset_93|444444,5320757:5320776|offset_131|00cc00&amp;v=5320472:5320976&amp;c=444444", "offset 131")</f>
        <v>offset 131</v>
      </c>
    </row>
    <row r="17337" customFormat="false" ht="12.8" hidden="false" customHeight="false" outlineLevel="0" collapsed="false">
      <c r="A17337" s="0" t="s">
        <v>12</v>
      </c>
      <c r="B17337" s="0" t="n">
        <v>5323913</v>
      </c>
      <c r="C17337" s="0" t="n">
        <v>5323933</v>
      </c>
      <c r="D17337" s="0" t="s">
        <v>57645</v>
      </c>
      <c r="E17337" s="0" t="s">
        <v>75</v>
      </c>
      <c r="F17337" s="0" t="s">
        <v>15</v>
      </c>
      <c r="G17337" s="0" t="s">
        <v>20</v>
      </c>
      <c r="H17337" s="0" t="n">
        <v>13</v>
      </c>
      <c r="I17337" s="0" t="s">
        <v>57646</v>
      </c>
      <c r="J17337" s="0" t="s">
        <v>57647</v>
      </c>
      <c r="K17337" s="0" t="s">
        <v>57648</v>
      </c>
      <c r="L17337" s="0" t="str">
        <f aca="false">HYPERLINK("https://www.ncbi.nlm.nih.gov/nuccore/CP000058.1?report=graph&amp;tracks=[key:gene_model_track,Options:GeneOnly]&amp;mk=5323914:5323933|offset_13|00cc00&amp;v=5323713:5324133&amp;c=444444", "offset 13")</f>
        <v>offset 13</v>
      </c>
    </row>
    <row r="17338" customFormat="false" ht="12.8" hidden="false" customHeight="false" outlineLevel="0" collapsed="false">
      <c r="A17338" s="0" t="s">
        <v>12</v>
      </c>
      <c r="B17338" s="0" t="n">
        <v>5325285</v>
      </c>
      <c r="C17338" s="0" t="n">
        <v>5325305</v>
      </c>
      <c r="D17338" s="0" t="s">
        <v>57649</v>
      </c>
      <c r="E17338" s="0" t="s">
        <v>75</v>
      </c>
      <c r="F17338" s="0" t="s">
        <v>15</v>
      </c>
      <c r="G17338" s="0" t="s">
        <v>32</v>
      </c>
      <c r="H17338" s="0" t="n">
        <v>1</v>
      </c>
      <c r="I17338" s="0" t="s">
        <v>57650</v>
      </c>
      <c r="J17338" s="0" t="s">
        <v>57651</v>
      </c>
      <c r="K17338" s="0" t="s">
        <v>57652</v>
      </c>
      <c r="L17338" s="0" t="str">
        <f aca="false">HYPERLINK("https://www.ncbi.nlm.nih.gov/nuccore/CP000058.1?report=graph&amp;tracks=[key:gene_model_track,Options:GeneOnly]&amp;mk=5325286:5325305|offset_1|00cc00,5325325:5325344|offset_40|444444,5325349:5325368|offset_64|444444,5325377:5325396|offset_92|444444&amp;v=5325085:5325596&amp;c=444444", "offset 1")</f>
        <v>offset 1</v>
      </c>
    </row>
    <row r="17339" customFormat="false" ht="12.8" hidden="false" customHeight="false" outlineLevel="0" collapsed="false">
      <c r="A17339" s="0" t="s">
        <v>12</v>
      </c>
      <c r="B17339" s="0" t="n">
        <v>5325324</v>
      </c>
      <c r="C17339" s="0" t="n">
        <v>5325344</v>
      </c>
      <c r="D17339" s="0" t="s">
        <v>57649</v>
      </c>
      <c r="E17339" s="0" t="s">
        <v>75</v>
      </c>
      <c r="F17339" s="0" t="s">
        <v>15</v>
      </c>
      <c r="G17339" s="0" t="s">
        <v>16</v>
      </c>
      <c r="H17339" s="0" t="n">
        <v>40</v>
      </c>
      <c r="I17339" s="0" t="s">
        <v>57653</v>
      </c>
      <c r="J17339" s="0" t="s">
        <v>57654</v>
      </c>
      <c r="K17339" s="0" t="s">
        <v>57655</v>
      </c>
      <c r="L17339" s="0" t="str">
        <f aca="false">HYPERLINK("https://www.ncbi.nlm.nih.gov/nuccore/CP000058.1?report=graph&amp;tracks=[key:gene_model_track,Options:GeneOnly]&amp;mk=5325286:5325305|offset_1|444444,5325325:5325344|offset_40|00cc00,5325349:5325368|offset_64|444444,5325377:5325396|offset_92|444444&amp;v=5325085:5325596&amp;c=444444", "offset 40")</f>
        <v>offset 40</v>
      </c>
    </row>
    <row r="17340" customFormat="false" ht="12.8" hidden="false" customHeight="false" outlineLevel="0" collapsed="false">
      <c r="A17340" s="0" t="s">
        <v>12</v>
      </c>
      <c r="B17340" s="0" t="n">
        <v>5325348</v>
      </c>
      <c r="C17340" s="0" t="n">
        <v>5325368</v>
      </c>
      <c r="D17340" s="0" t="s">
        <v>57649</v>
      </c>
      <c r="E17340" s="0" t="s">
        <v>75</v>
      </c>
      <c r="F17340" s="0" t="s">
        <v>15</v>
      </c>
      <c r="G17340" s="0" t="s">
        <v>36</v>
      </c>
      <c r="H17340" s="0" t="n">
        <v>64</v>
      </c>
      <c r="I17340" s="0" t="s">
        <v>57656</v>
      </c>
      <c r="J17340" s="0" t="s">
        <v>57657</v>
      </c>
      <c r="K17340" s="0" t="s">
        <v>57658</v>
      </c>
      <c r="L17340" s="0" t="str">
        <f aca="false">HYPERLINK("https://www.ncbi.nlm.nih.gov/nuccore/CP000058.1?report=graph&amp;tracks=[key:gene_model_track,Options:GeneOnly]&amp;mk=5325286:5325305|offset_1|444444,5325325:5325344|offset_40|444444,5325349:5325368|offset_64|00cc00,5325377:5325396|offset_92|444444&amp;v=5325085:5325596&amp;c=444444", "offset 64")</f>
        <v>offset 64</v>
      </c>
    </row>
    <row r="17341" customFormat="false" ht="12.8" hidden="false" customHeight="false" outlineLevel="0" collapsed="false">
      <c r="A17341" s="0" t="s">
        <v>12</v>
      </c>
      <c r="B17341" s="0" t="n">
        <v>5325376</v>
      </c>
      <c r="C17341" s="0" t="n">
        <v>5325396</v>
      </c>
      <c r="D17341" s="0" t="s">
        <v>57649</v>
      </c>
      <c r="E17341" s="0" t="s">
        <v>75</v>
      </c>
      <c r="F17341" s="0" t="s">
        <v>15</v>
      </c>
      <c r="G17341" s="0" t="s">
        <v>20</v>
      </c>
      <c r="H17341" s="0" t="n">
        <v>92</v>
      </c>
      <c r="I17341" s="0" t="s">
        <v>57659</v>
      </c>
      <c r="J17341" s="0" t="s">
        <v>57660</v>
      </c>
      <c r="K17341" s="0" t="s">
        <v>57661</v>
      </c>
      <c r="L17341" s="0" t="str">
        <f aca="false">HYPERLINK("https://www.ncbi.nlm.nih.gov/nuccore/CP000058.1?report=graph&amp;tracks=[key:gene_model_track,Options:GeneOnly]&amp;mk=5325286:5325305|offset_1|444444,5325325:5325344|offset_40|444444,5325349:5325368|offset_64|444444,5325377:5325396|offset_92|00cc00&amp;v=5325085:5325596&amp;c=444444", "offset 92")</f>
        <v>offset 92</v>
      </c>
    </row>
    <row r="17342" customFormat="false" ht="12.8" hidden="false" customHeight="false" outlineLevel="0" collapsed="false">
      <c r="A17342" s="0" t="s">
        <v>12</v>
      </c>
      <c r="B17342" s="0" t="n">
        <v>5326873</v>
      </c>
      <c r="C17342" s="0" t="n">
        <v>5326893</v>
      </c>
      <c r="D17342" s="0" t="s">
        <v>57662</v>
      </c>
      <c r="E17342" s="0" t="s">
        <v>75</v>
      </c>
      <c r="F17342" s="0" t="s">
        <v>90</v>
      </c>
      <c r="G17342" s="0" t="s">
        <v>20</v>
      </c>
      <c r="H17342" s="0" t="n">
        <v>0</v>
      </c>
      <c r="I17342" s="0" t="s">
        <v>57663</v>
      </c>
      <c r="J17342" s="0" t="s">
        <v>57664</v>
      </c>
      <c r="K17342" s="0" t="s">
        <v>57665</v>
      </c>
      <c r="L17342" s="0" t="str">
        <f aca="false">HYPERLINK("https://www.ncbi.nlm.nih.gov/nuccore/CP000058.1?report=graph&amp;tracks=[key:gene_model_track,Options:GeneOnly]&amp;mk=5326874:5326893|offset_0|00cc00,5326842:5326861|offset_32|444444,5326820:5326839|offset_54|444444,5326795:5326814|offset_79|444444&amp;v=5326673:5327014&amp;c=444444", "offset 0")</f>
        <v>offset 0</v>
      </c>
    </row>
    <row r="17343" customFormat="false" ht="12.8" hidden="false" customHeight="false" outlineLevel="0" collapsed="false">
      <c r="A17343" s="0" t="s">
        <v>12</v>
      </c>
      <c r="B17343" s="0" t="n">
        <v>5326841</v>
      </c>
      <c r="C17343" s="0" t="n">
        <v>5326861</v>
      </c>
      <c r="D17343" s="0" t="s">
        <v>57662</v>
      </c>
      <c r="E17343" s="0" t="s">
        <v>75</v>
      </c>
      <c r="F17343" s="0" t="s">
        <v>90</v>
      </c>
      <c r="G17343" s="0" t="s">
        <v>36</v>
      </c>
      <c r="H17343" s="0" t="n">
        <v>32</v>
      </c>
      <c r="I17343" s="0" t="s">
        <v>57666</v>
      </c>
      <c r="J17343" s="0" t="s">
        <v>57667</v>
      </c>
      <c r="K17343" s="0" t="s">
        <v>57668</v>
      </c>
      <c r="L17343" s="0" t="str">
        <f aca="false">HYPERLINK("https://www.ncbi.nlm.nih.gov/nuccore/CP000058.1?report=graph&amp;tracks=[key:gene_model_track,Options:GeneOnly]&amp;mk=5326874:5326893|offset_0|444444,5326842:5326861|offset_32|00cc00,5326820:5326839|offset_54|444444,5326795:5326814|offset_79|444444&amp;v=5326673:5327014&amp;c=444444", "offset 32")</f>
        <v>offset 32</v>
      </c>
    </row>
    <row r="17344" customFormat="false" ht="12.8" hidden="false" customHeight="false" outlineLevel="0" collapsed="false">
      <c r="A17344" s="0" t="s">
        <v>12</v>
      </c>
      <c r="B17344" s="0" t="n">
        <v>5326819</v>
      </c>
      <c r="C17344" s="0" t="n">
        <v>5326839</v>
      </c>
      <c r="D17344" s="0" t="s">
        <v>57662</v>
      </c>
      <c r="E17344" s="0" t="s">
        <v>75</v>
      </c>
      <c r="F17344" s="0" t="s">
        <v>90</v>
      </c>
      <c r="G17344" s="0" t="s">
        <v>20</v>
      </c>
      <c r="H17344" s="0" t="n">
        <v>54</v>
      </c>
      <c r="I17344" s="0" t="s">
        <v>57669</v>
      </c>
      <c r="J17344" s="0" t="s">
        <v>57670</v>
      </c>
      <c r="K17344" s="0" t="s">
        <v>57671</v>
      </c>
      <c r="L17344" s="0" t="str">
        <f aca="false">HYPERLINK("https://www.ncbi.nlm.nih.gov/nuccore/CP000058.1?report=graph&amp;tracks=[key:gene_model_track,Options:GeneOnly]&amp;mk=5326874:5326893|offset_0|444444,5326842:5326861|offset_32|444444,5326820:5326839|offset_54|00cc00,5326795:5326814|offset_79|444444&amp;v=5326673:5327014&amp;c=444444", "offset 54")</f>
        <v>offset 54</v>
      </c>
    </row>
    <row r="17345" customFormat="false" ht="12.8" hidden="false" customHeight="false" outlineLevel="0" collapsed="false">
      <c r="A17345" s="0" t="s">
        <v>12</v>
      </c>
      <c r="B17345" s="0" t="n">
        <v>5326794</v>
      </c>
      <c r="C17345" s="0" t="n">
        <v>5326814</v>
      </c>
      <c r="D17345" s="0" t="s">
        <v>57662</v>
      </c>
      <c r="E17345" s="0" t="s">
        <v>75</v>
      </c>
      <c r="F17345" s="0" t="s">
        <v>90</v>
      </c>
      <c r="G17345" s="0" t="s">
        <v>20</v>
      </c>
      <c r="H17345" s="0" t="n">
        <v>79</v>
      </c>
      <c r="I17345" s="0" t="s">
        <v>57672</v>
      </c>
      <c r="J17345" s="0" t="s">
        <v>57673</v>
      </c>
      <c r="K17345" s="0" t="s">
        <v>57674</v>
      </c>
      <c r="L17345" s="0" t="str">
        <f aca="false">HYPERLINK("https://www.ncbi.nlm.nih.gov/nuccore/CP000058.1?report=graph&amp;tracks=[key:gene_model_track,Options:GeneOnly]&amp;mk=5326874:5326893|offset_0|444444,5326842:5326861|offset_32|444444,5326820:5326839|offset_54|444444,5326795:5326814|offset_79|00cc00&amp;v=5326673:5327014&amp;c=444444", "offset 79")</f>
        <v>offset 79</v>
      </c>
    </row>
    <row r="17346" customFormat="false" ht="12.8" hidden="false" customHeight="false" outlineLevel="0" collapsed="false">
      <c r="A17346" s="0" t="s">
        <v>12</v>
      </c>
      <c r="B17346" s="0" t="n">
        <v>5327708</v>
      </c>
      <c r="C17346" s="0" t="n">
        <v>5327728</v>
      </c>
      <c r="D17346" s="0" t="s">
        <v>57675</v>
      </c>
      <c r="E17346" s="0" t="s">
        <v>75</v>
      </c>
      <c r="F17346" s="0" t="s">
        <v>90</v>
      </c>
      <c r="G17346" s="0" t="s">
        <v>20</v>
      </c>
      <c r="H17346" s="0" t="n">
        <v>6</v>
      </c>
      <c r="I17346" s="0" t="s">
        <v>57676</v>
      </c>
      <c r="J17346" s="0" t="s">
        <v>57677</v>
      </c>
      <c r="K17346" s="0" t="s">
        <v>57678</v>
      </c>
      <c r="L17346" s="0" t="str">
        <f aca="false">HYPERLINK("https://www.ncbi.nlm.nih.gov/nuccore/CP000058.1?report=graph&amp;tracks=[key:gene_model_track,Options:GeneOnly]&amp;mk=5327709:5327728|offset_6|00cc00,5327689:5327708|offset_26|444444,5327630:5327649|offset_85|444444,5327588:5327607|offset_127|444444&amp;v=5327508:5327807&amp;c=444444", "offset 6")</f>
        <v>offset 6</v>
      </c>
    </row>
    <row r="17347" customFormat="false" ht="12.8" hidden="false" customHeight="false" outlineLevel="0" collapsed="false">
      <c r="A17347" s="0" t="s">
        <v>12</v>
      </c>
      <c r="B17347" s="0" t="n">
        <v>5327688</v>
      </c>
      <c r="C17347" s="0" t="n">
        <v>5327708</v>
      </c>
      <c r="D17347" s="0" t="s">
        <v>57675</v>
      </c>
      <c r="E17347" s="0" t="s">
        <v>75</v>
      </c>
      <c r="F17347" s="0" t="s">
        <v>90</v>
      </c>
      <c r="G17347" s="0" t="s">
        <v>20</v>
      </c>
      <c r="H17347" s="0" t="n">
        <v>26</v>
      </c>
      <c r="I17347" s="0" t="s">
        <v>57679</v>
      </c>
      <c r="J17347" s="0" t="s">
        <v>57680</v>
      </c>
      <c r="K17347" s="0" t="s">
        <v>57681</v>
      </c>
      <c r="L17347" s="0" t="str">
        <f aca="false">HYPERLINK("https://www.ncbi.nlm.nih.gov/nuccore/CP000058.1?report=graph&amp;tracks=[key:gene_model_track,Options:GeneOnly]&amp;mk=5327709:5327728|offset_6|444444,5327689:5327708|offset_26|00cc00,5327630:5327649|offset_85|444444,5327588:5327607|offset_127|444444&amp;v=5327508:5327807&amp;c=444444", "offset 26")</f>
        <v>offset 26</v>
      </c>
    </row>
    <row r="17348" customFormat="false" ht="12.8" hidden="false" customHeight="false" outlineLevel="0" collapsed="false">
      <c r="A17348" s="0" t="s">
        <v>12</v>
      </c>
      <c r="B17348" s="0" t="n">
        <v>5327629</v>
      </c>
      <c r="C17348" s="0" t="n">
        <v>5327649</v>
      </c>
      <c r="D17348" s="0" t="s">
        <v>57675</v>
      </c>
      <c r="E17348" s="0" t="s">
        <v>75</v>
      </c>
      <c r="F17348" s="0" t="s">
        <v>90</v>
      </c>
      <c r="G17348" s="0" t="s">
        <v>20</v>
      </c>
      <c r="H17348" s="0" t="n">
        <v>85</v>
      </c>
      <c r="I17348" s="0" t="s">
        <v>57682</v>
      </c>
      <c r="J17348" s="0" t="s">
        <v>57683</v>
      </c>
      <c r="K17348" s="0" t="s">
        <v>57684</v>
      </c>
      <c r="L17348" s="0" t="str">
        <f aca="false">HYPERLINK("https://www.ncbi.nlm.nih.gov/nuccore/CP000058.1?report=graph&amp;tracks=[key:gene_model_track,Options:GeneOnly]&amp;mk=5327709:5327728|offset_6|444444,5327689:5327708|offset_26|444444,5327630:5327649|offset_85|00cc00,5327588:5327607|offset_127|444444&amp;v=5327508:5327807&amp;c=444444", "offset 85")</f>
        <v>offset 85</v>
      </c>
    </row>
    <row r="17349" customFormat="false" ht="12.8" hidden="false" customHeight="false" outlineLevel="0" collapsed="false">
      <c r="A17349" s="0" t="s">
        <v>12</v>
      </c>
      <c r="B17349" s="0" t="n">
        <v>5327587</v>
      </c>
      <c r="C17349" s="0" t="n">
        <v>5327607</v>
      </c>
      <c r="D17349" s="0" t="s">
        <v>57675</v>
      </c>
      <c r="E17349" s="0" t="s">
        <v>75</v>
      </c>
      <c r="F17349" s="0" t="s">
        <v>90</v>
      </c>
      <c r="G17349" s="0" t="s">
        <v>36</v>
      </c>
      <c r="H17349" s="0" t="n">
        <v>127</v>
      </c>
      <c r="I17349" s="0" t="s">
        <v>57685</v>
      </c>
      <c r="J17349" s="0" t="s">
        <v>57686</v>
      </c>
      <c r="K17349" s="0" t="s">
        <v>57687</v>
      </c>
      <c r="L17349" s="0" t="str">
        <f aca="false">HYPERLINK("https://www.ncbi.nlm.nih.gov/nuccore/CP000058.1?report=graph&amp;tracks=[key:gene_model_track,Options:GeneOnly]&amp;mk=5327709:5327728|offset_6|444444,5327689:5327708|offset_26|444444,5327630:5327649|offset_85|444444,5327588:5327607|offset_127|00cc00&amp;v=5327508:5327807&amp;c=444444", "offset 127")</f>
        <v>offset 127</v>
      </c>
    </row>
    <row r="17350" customFormat="false" ht="12.8" hidden="false" customHeight="false" outlineLevel="0" collapsed="false">
      <c r="A17350" s="0" t="s">
        <v>12</v>
      </c>
      <c r="B17350" s="0" t="n">
        <v>5328226</v>
      </c>
      <c r="C17350" s="0" t="n">
        <v>5328246</v>
      </c>
      <c r="D17350" s="0" t="s">
        <v>57688</v>
      </c>
      <c r="E17350" s="0" t="s">
        <v>75</v>
      </c>
      <c r="F17350" s="0" t="s">
        <v>90</v>
      </c>
      <c r="G17350" s="0" t="s">
        <v>36</v>
      </c>
      <c r="H17350" s="0" t="n">
        <v>7</v>
      </c>
      <c r="I17350" s="0" t="s">
        <v>57689</v>
      </c>
      <c r="J17350" s="0" t="s">
        <v>57690</v>
      </c>
      <c r="K17350" s="0" t="s">
        <v>57691</v>
      </c>
      <c r="L17350" s="0" t="str">
        <f aca="false">HYPERLINK("https://www.ncbi.nlm.nih.gov/nuccore/CP000058.1?report=graph&amp;tracks=[key:gene_model_track,Options:GeneOnly]&amp;mk=5328227:5328246|offset_7|00cc00,5328206:5328225|offset_28|444444,5328176:5328195|offset_58|444444,5328146:5328165|offset_88|444444&amp;v=5328026:5328365&amp;c=444444", "offset 7")</f>
        <v>offset 7</v>
      </c>
    </row>
    <row r="17351" customFormat="false" ht="12.8" hidden="false" customHeight="false" outlineLevel="0" collapsed="false">
      <c r="A17351" s="0" t="s">
        <v>12</v>
      </c>
      <c r="B17351" s="0" t="n">
        <v>5328205</v>
      </c>
      <c r="C17351" s="0" t="n">
        <v>5328225</v>
      </c>
      <c r="D17351" s="0" t="s">
        <v>57688</v>
      </c>
      <c r="E17351" s="0" t="s">
        <v>75</v>
      </c>
      <c r="F17351" s="0" t="s">
        <v>90</v>
      </c>
      <c r="G17351" s="0" t="s">
        <v>36</v>
      </c>
      <c r="H17351" s="0" t="n">
        <v>28</v>
      </c>
      <c r="I17351" s="0" t="s">
        <v>57692</v>
      </c>
      <c r="J17351" s="0" t="s">
        <v>57693</v>
      </c>
      <c r="K17351" s="0" t="s">
        <v>57694</v>
      </c>
      <c r="L17351" s="0" t="str">
        <f aca="false">HYPERLINK("https://www.ncbi.nlm.nih.gov/nuccore/CP000058.1?report=graph&amp;tracks=[key:gene_model_track,Options:GeneOnly]&amp;mk=5328227:5328246|offset_7|444444,5328206:5328225|offset_28|00cc00,5328176:5328195|offset_58|444444,5328146:5328165|offset_88|444444&amp;v=5328026:5328365&amp;c=444444", "offset 28")</f>
        <v>offset 28</v>
      </c>
    </row>
    <row r="17352" customFormat="false" ht="12.8" hidden="false" customHeight="false" outlineLevel="0" collapsed="false">
      <c r="A17352" s="0" t="s">
        <v>12</v>
      </c>
      <c r="B17352" s="0" t="n">
        <v>5328175</v>
      </c>
      <c r="C17352" s="0" t="n">
        <v>5328195</v>
      </c>
      <c r="D17352" s="0" t="s">
        <v>57688</v>
      </c>
      <c r="E17352" s="0" t="s">
        <v>75</v>
      </c>
      <c r="F17352" s="0" t="s">
        <v>90</v>
      </c>
      <c r="G17352" s="0" t="s">
        <v>36</v>
      </c>
      <c r="H17352" s="0" t="n">
        <v>58</v>
      </c>
      <c r="I17352" s="0" t="s">
        <v>57695</v>
      </c>
      <c r="J17352" s="0" t="s">
        <v>57696</v>
      </c>
      <c r="K17352" s="0" t="s">
        <v>57697</v>
      </c>
      <c r="L17352" s="0" t="str">
        <f aca="false">HYPERLINK("https://www.ncbi.nlm.nih.gov/nuccore/CP000058.1?report=graph&amp;tracks=[key:gene_model_track,Options:GeneOnly]&amp;mk=5328227:5328246|offset_7|444444,5328206:5328225|offset_28|444444,5328176:5328195|offset_58|00cc00,5328146:5328165|offset_88|444444&amp;v=5328026:5328365&amp;c=444444", "offset 58")</f>
        <v>offset 58</v>
      </c>
    </row>
    <row r="17353" customFormat="false" ht="12.8" hidden="false" customHeight="false" outlineLevel="0" collapsed="false">
      <c r="A17353" s="0" t="s">
        <v>12</v>
      </c>
      <c r="B17353" s="0" t="n">
        <v>5328145</v>
      </c>
      <c r="C17353" s="0" t="n">
        <v>5328165</v>
      </c>
      <c r="D17353" s="0" t="s">
        <v>57688</v>
      </c>
      <c r="E17353" s="0" t="s">
        <v>75</v>
      </c>
      <c r="F17353" s="0" t="s">
        <v>90</v>
      </c>
      <c r="G17353" s="0" t="s">
        <v>32</v>
      </c>
      <c r="H17353" s="0" t="n">
        <v>88</v>
      </c>
      <c r="I17353" s="0" t="s">
        <v>57698</v>
      </c>
      <c r="J17353" s="0" t="s">
        <v>57699</v>
      </c>
      <c r="K17353" s="0" t="s">
        <v>57700</v>
      </c>
      <c r="L17353" s="0" t="str">
        <f aca="false">HYPERLINK("https://www.ncbi.nlm.nih.gov/nuccore/CP000058.1?report=graph&amp;tracks=[key:gene_model_track,Options:GeneOnly]&amp;mk=5328227:5328246|offset_7|444444,5328206:5328225|offset_28|444444,5328176:5328195|offset_58|444444,5328146:5328165|offset_88|00cc00&amp;v=5328026:5328365&amp;c=444444", "offset 88")</f>
        <v>offset 88</v>
      </c>
    </row>
    <row r="17354" customFormat="false" ht="12.8" hidden="false" customHeight="false" outlineLevel="0" collapsed="false">
      <c r="A17354" s="0" t="s">
        <v>12</v>
      </c>
      <c r="B17354" s="0" t="n">
        <v>5328553</v>
      </c>
      <c r="C17354" s="0" t="n">
        <v>5328573</v>
      </c>
      <c r="D17354" s="0" t="s">
        <v>57701</v>
      </c>
      <c r="E17354" s="0" t="s">
        <v>75</v>
      </c>
      <c r="F17354" s="0" t="s">
        <v>90</v>
      </c>
      <c r="G17354" s="0" t="s">
        <v>36</v>
      </c>
      <c r="H17354" s="0" t="n">
        <v>13</v>
      </c>
      <c r="I17354" s="0" t="s">
        <v>57702</v>
      </c>
      <c r="J17354" s="0" t="s">
        <v>57703</v>
      </c>
      <c r="K17354" s="0" t="s">
        <v>57704</v>
      </c>
      <c r="L17354" s="0" t="str">
        <f aca="false">HYPERLINK("https://www.ncbi.nlm.nih.gov/nuccore/CP000058.1?report=graph&amp;tracks=[key:gene_model_track,Options:GeneOnly]&amp;mk=5328554:5328573|offset_13|00cc00,5328514:5328533|offset_53|444444,5328488:5328507|offset_79|444444,5328467:5328486|offset_100|444444&amp;v=5328353:5328686&amp;c=444444", "offset 13")</f>
        <v>offset 13</v>
      </c>
    </row>
    <row r="17355" customFormat="false" ht="12.8" hidden="false" customHeight="false" outlineLevel="0" collapsed="false">
      <c r="A17355" s="0" t="s">
        <v>12</v>
      </c>
      <c r="B17355" s="0" t="n">
        <v>5328513</v>
      </c>
      <c r="C17355" s="0" t="n">
        <v>5328533</v>
      </c>
      <c r="D17355" s="0" t="s">
        <v>57701</v>
      </c>
      <c r="E17355" s="0" t="s">
        <v>75</v>
      </c>
      <c r="F17355" s="0" t="s">
        <v>90</v>
      </c>
      <c r="G17355" s="0" t="s">
        <v>16</v>
      </c>
      <c r="H17355" s="0" t="n">
        <v>53</v>
      </c>
      <c r="I17355" s="0" t="s">
        <v>57705</v>
      </c>
      <c r="J17355" s="0" t="s">
        <v>57706</v>
      </c>
      <c r="K17355" s="0" t="s">
        <v>57707</v>
      </c>
      <c r="L17355" s="0" t="str">
        <f aca="false">HYPERLINK("https://www.ncbi.nlm.nih.gov/nuccore/CP000058.1?report=graph&amp;tracks=[key:gene_model_track,Options:GeneOnly]&amp;mk=5328554:5328573|offset_13|444444,5328514:5328533|offset_53|00cc00,5328488:5328507|offset_79|444444,5328467:5328486|offset_100|444444&amp;v=5328353:5328686&amp;c=444444", "offset 53")</f>
        <v>offset 53</v>
      </c>
    </row>
    <row r="17356" customFormat="false" ht="12.8" hidden="false" customHeight="false" outlineLevel="0" collapsed="false">
      <c r="A17356" s="0" t="s">
        <v>12</v>
      </c>
      <c r="B17356" s="0" t="n">
        <v>5328487</v>
      </c>
      <c r="C17356" s="0" t="n">
        <v>5328507</v>
      </c>
      <c r="D17356" s="0" t="s">
        <v>57701</v>
      </c>
      <c r="E17356" s="0" t="s">
        <v>75</v>
      </c>
      <c r="F17356" s="0" t="s">
        <v>90</v>
      </c>
      <c r="G17356" s="0" t="s">
        <v>32</v>
      </c>
      <c r="H17356" s="0" t="n">
        <v>79</v>
      </c>
      <c r="I17356" s="0" t="s">
        <v>57708</v>
      </c>
      <c r="J17356" s="0" t="s">
        <v>57709</v>
      </c>
      <c r="K17356" s="0" t="s">
        <v>57710</v>
      </c>
      <c r="L17356" s="0" t="str">
        <f aca="false">HYPERLINK("https://www.ncbi.nlm.nih.gov/nuccore/CP000058.1?report=graph&amp;tracks=[key:gene_model_track,Options:GeneOnly]&amp;mk=5328554:5328573|offset_13|444444,5328514:5328533|offset_53|444444,5328488:5328507|offset_79|00cc00,5328467:5328486|offset_100|444444&amp;v=5328353:5328686&amp;c=444444", "offset 79")</f>
        <v>offset 79</v>
      </c>
    </row>
    <row r="17357" customFormat="false" ht="12.8" hidden="false" customHeight="false" outlineLevel="0" collapsed="false">
      <c r="A17357" s="0" t="s">
        <v>12</v>
      </c>
      <c r="B17357" s="0" t="n">
        <v>5328466</v>
      </c>
      <c r="C17357" s="0" t="n">
        <v>5328486</v>
      </c>
      <c r="D17357" s="0" t="s">
        <v>57701</v>
      </c>
      <c r="E17357" s="0" t="s">
        <v>75</v>
      </c>
      <c r="F17357" s="0" t="s">
        <v>90</v>
      </c>
      <c r="G17357" s="0" t="s">
        <v>16</v>
      </c>
      <c r="H17357" s="0" t="n">
        <v>100</v>
      </c>
      <c r="I17357" s="0" t="s">
        <v>57711</v>
      </c>
      <c r="J17357" s="0" t="s">
        <v>57712</v>
      </c>
      <c r="K17357" s="0" t="s">
        <v>57713</v>
      </c>
      <c r="L17357" s="0" t="str">
        <f aca="false">HYPERLINK("https://www.ncbi.nlm.nih.gov/nuccore/CP000058.1?report=graph&amp;tracks=[key:gene_model_track,Options:GeneOnly]&amp;mk=5328554:5328573|offset_13|444444,5328514:5328533|offset_53|444444,5328488:5328507|offset_79|444444,5328467:5328486|offset_100|00cc00&amp;v=5328353:5328686&amp;c=444444", "offset 100")</f>
        <v>offset 100</v>
      </c>
    </row>
    <row r="17358" customFormat="false" ht="12.8" hidden="false" customHeight="false" outlineLevel="0" collapsed="false">
      <c r="A17358" s="0" t="s">
        <v>12</v>
      </c>
      <c r="B17358" s="0" t="n">
        <v>5329281</v>
      </c>
      <c r="C17358" s="0" t="n">
        <v>5329301</v>
      </c>
      <c r="D17358" s="0" t="s">
        <v>57714</v>
      </c>
      <c r="E17358" s="0" t="s">
        <v>75</v>
      </c>
      <c r="F17358" s="0" t="s">
        <v>90</v>
      </c>
      <c r="G17358" s="0" t="s">
        <v>36</v>
      </c>
      <c r="H17358" s="0" t="n">
        <v>9</v>
      </c>
      <c r="I17358" s="0" t="s">
        <v>57715</v>
      </c>
      <c r="J17358" s="0" t="s">
        <v>57716</v>
      </c>
      <c r="K17358" s="0" t="s">
        <v>57717</v>
      </c>
      <c r="L17358" s="0" t="str">
        <f aca="false">HYPERLINK("https://www.ncbi.nlm.nih.gov/nuccore/CP000058.1?report=graph&amp;tracks=[key:gene_model_track,Options:GeneOnly]&amp;mk=5329282:5329301|offset_9|00cc00,5329250:5329269|offset_41|444444,5329226:5329245|offset_65|444444,5329191:5329210|offset_100|444444&amp;v=5329081:5329410&amp;c=444444", "offset 9")</f>
        <v>offset 9</v>
      </c>
    </row>
    <row r="17359" customFormat="false" ht="12.8" hidden="false" customHeight="false" outlineLevel="0" collapsed="false">
      <c r="A17359" s="0" t="s">
        <v>12</v>
      </c>
      <c r="B17359" s="0" t="n">
        <v>5329249</v>
      </c>
      <c r="C17359" s="0" t="n">
        <v>5329269</v>
      </c>
      <c r="D17359" s="0" t="s">
        <v>57714</v>
      </c>
      <c r="E17359" s="0" t="s">
        <v>75</v>
      </c>
      <c r="F17359" s="0" t="s">
        <v>90</v>
      </c>
      <c r="G17359" s="0" t="s">
        <v>32</v>
      </c>
      <c r="H17359" s="0" t="n">
        <v>41</v>
      </c>
      <c r="I17359" s="0" t="s">
        <v>57718</v>
      </c>
      <c r="J17359" s="0" t="s">
        <v>57719</v>
      </c>
      <c r="K17359" s="0" t="s">
        <v>57720</v>
      </c>
      <c r="L17359" s="0" t="str">
        <f aca="false">HYPERLINK("https://www.ncbi.nlm.nih.gov/nuccore/CP000058.1?report=graph&amp;tracks=[key:gene_model_track,Options:GeneOnly]&amp;mk=5329282:5329301|offset_9|444444,5329250:5329269|offset_41|00cc00,5329226:5329245|offset_65|444444,5329191:5329210|offset_100|444444&amp;v=5329081:5329410&amp;c=444444", "offset 41")</f>
        <v>offset 41</v>
      </c>
    </row>
    <row r="17360" customFormat="false" ht="12.8" hidden="false" customHeight="false" outlineLevel="0" collapsed="false">
      <c r="A17360" s="0" t="s">
        <v>12</v>
      </c>
      <c r="B17360" s="0" t="n">
        <v>5329225</v>
      </c>
      <c r="C17360" s="0" t="n">
        <v>5329245</v>
      </c>
      <c r="D17360" s="0" t="s">
        <v>57714</v>
      </c>
      <c r="E17360" s="0" t="s">
        <v>75</v>
      </c>
      <c r="F17360" s="0" t="s">
        <v>90</v>
      </c>
      <c r="G17360" s="0" t="s">
        <v>36</v>
      </c>
      <c r="H17360" s="0" t="n">
        <v>65</v>
      </c>
      <c r="I17360" s="0" t="s">
        <v>57721</v>
      </c>
      <c r="J17360" s="0" t="s">
        <v>57722</v>
      </c>
      <c r="K17360" s="0" t="s">
        <v>57723</v>
      </c>
      <c r="L17360" s="0" t="str">
        <f aca="false">HYPERLINK("https://www.ncbi.nlm.nih.gov/nuccore/CP000058.1?report=graph&amp;tracks=[key:gene_model_track,Options:GeneOnly]&amp;mk=5329282:5329301|offset_9|444444,5329250:5329269|offset_41|444444,5329226:5329245|offset_65|00cc00,5329191:5329210|offset_100|444444&amp;v=5329081:5329410&amp;c=444444", "offset 65")</f>
        <v>offset 65</v>
      </c>
    </row>
    <row r="17361" customFormat="false" ht="12.8" hidden="false" customHeight="false" outlineLevel="0" collapsed="false">
      <c r="A17361" s="0" t="s">
        <v>12</v>
      </c>
      <c r="B17361" s="0" t="n">
        <v>5329190</v>
      </c>
      <c r="C17361" s="0" t="n">
        <v>5329210</v>
      </c>
      <c r="D17361" s="0" t="s">
        <v>57714</v>
      </c>
      <c r="E17361" s="0" t="s">
        <v>75</v>
      </c>
      <c r="F17361" s="0" t="s">
        <v>90</v>
      </c>
      <c r="G17361" s="0" t="s">
        <v>32</v>
      </c>
      <c r="H17361" s="0" t="n">
        <v>100</v>
      </c>
      <c r="I17361" s="0" t="s">
        <v>57724</v>
      </c>
      <c r="J17361" s="0" t="s">
        <v>57725</v>
      </c>
      <c r="K17361" s="0" t="s">
        <v>57726</v>
      </c>
      <c r="L17361" s="0" t="str">
        <f aca="false">HYPERLINK("https://www.ncbi.nlm.nih.gov/nuccore/CP000058.1?report=graph&amp;tracks=[key:gene_model_track,Options:GeneOnly]&amp;mk=5329282:5329301|offset_9|444444,5329250:5329269|offset_41|444444,5329226:5329245|offset_65|444444,5329191:5329210|offset_100|00cc00&amp;v=5329081:5329410&amp;c=444444", "offset 100")</f>
        <v>offset 100</v>
      </c>
    </row>
    <row r="17362" customFormat="false" ht="12.8" hidden="false" customHeight="false" outlineLevel="0" collapsed="false">
      <c r="A17362" s="0" t="s">
        <v>12</v>
      </c>
      <c r="B17362" s="0" t="n">
        <v>5332830</v>
      </c>
      <c r="C17362" s="0" t="n">
        <v>5332850</v>
      </c>
      <c r="D17362" s="0" t="s">
        <v>57727</v>
      </c>
      <c r="E17362" s="0" t="s">
        <v>75</v>
      </c>
      <c r="F17362" s="0" t="s">
        <v>90</v>
      </c>
      <c r="G17362" s="0" t="s">
        <v>16</v>
      </c>
      <c r="H17362" s="0" t="n">
        <v>8</v>
      </c>
      <c r="I17362" s="0" t="s">
        <v>57728</v>
      </c>
      <c r="J17362" s="0" t="s">
        <v>57729</v>
      </c>
      <c r="K17362" s="0" t="s">
        <v>57730</v>
      </c>
      <c r="L17362" s="0" t="str">
        <f aca="false">HYPERLINK("https://www.ncbi.nlm.nih.gov/nuccore/CP000058.1?report=graph&amp;tracks=[key:gene_model_track,Options:GeneOnly]&amp;mk=5332831:5332850|offset_8|00cc00,5332775:5332794|offset_64|444444,5332748:5332767|offset_91|444444,5332726:5332745|offset_113|444444&amp;v=5332630:5332945&amp;c=444444", "offset 8")</f>
        <v>offset 8</v>
      </c>
    </row>
    <row r="17363" customFormat="false" ht="12.8" hidden="false" customHeight="false" outlineLevel="0" collapsed="false">
      <c r="A17363" s="0" t="s">
        <v>12</v>
      </c>
      <c r="B17363" s="0" t="n">
        <v>5332774</v>
      </c>
      <c r="C17363" s="0" t="n">
        <v>5332794</v>
      </c>
      <c r="D17363" s="0" t="s">
        <v>57727</v>
      </c>
      <c r="E17363" s="0" t="s">
        <v>75</v>
      </c>
      <c r="F17363" s="0" t="s">
        <v>90</v>
      </c>
      <c r="G17363" s="0" t="s">
        <v>16</v>
      </c>
      <c r="H17363" s="0" t="n">
        <v>64</v>
      </c>
      <c r="I17363" s="0" t="s">
        <v>57731</v>
      </c>
      <c r="J17363" s="0" t="s">
        <v>57732</v>
      </c>
      <c r="K17363" s="0" t="s">
        <v>57733</v>
      </c>
      <c r="L17363" s="0" t="str">
        <f aca="false">HYPERLINK("https://www.ncbi.nlm.nih.gov/nuccore/CP000058.1?report=graph&amp;tracks=[key:gene_model_track,Options:GeneOnly]&amp;mk=5332831:5332850|offset_8|444444,5332775:5332794|offset_64|00cc00,5332748:5332767|offset_91|444444,5332726:5332745|offset_113|444444&amp;v=5332630:5332945&amp;c=444444", "offset 64")</f>
        <v>offset 64</v>
      </c>
    </row>
    <row r="17364" customFormat="false" ht="12.8" hidden="false" customHeight="false" outlineLevel="0" collapsed="false">
      <c r="A17364" s="0" t="s">
        <v>12</v>
      </c>
      <c r="B17364" s="0" t="n">
        <v>5332747</v>
      </c>
      <c r="C17364" s="0" t="n">
        <v>5332767</v>
      </c>
      <c r="D17364" s="0" t="s">
        <v>57727</v>
      </c>
      <c r="E17364" s="0" t="s">
        <v>75</v>
      </c>
      <c r="F17364" s="0" t="s">
        <v>90</v>
      </c>
      <c r="G17364" s="0" t="s">
        <v>36</v>
      </c>
      <c r="H17364" s="0" t="n">
        <v>91</v>
      </c>
      <c r="I17364" s="0" t="s">
        <v>57734</v>
      </c>
      <c r="J17364" s="0" t="s">
        <v>57735</v>
      </c>
      <c r="K17364" s="0" t="s">
        <v>57736</v>
      </c>
      <c r="L17364" s="0" t="str">
        <f aca="false">HYPERLINK("https://www.ncbi.nlm.nih.gov/nuccore/CP000058.1?report=graph&amp;tracks=[key:gene_model_track,Options:GeneOnly]&amp;mk=5332831:5332850|offset_8|444444,5332775:5332794|offset_64|444444,5332748:5332767|offset_91|00cc00,5332726:5332745|offset_113|444444&amp;v=5332630:5332945&amp;c=444444", "offset 91")</f>
        <v>offset 91</v>
      </c>
    </row>
    <row r="17365" customFormat="false" ht="12.8" hidden="false" customHeight="false" outlineLevel="0" collapsed="false">
      <c r="A17365" s="0" t="s">
        <v>12</v>
      </c>
      <c r="B17365" s="0" t="n">
        <v>5332725</v>
      </c>
      <c r="C17365" s="0" t="n">
        <v>5332745</v>
      </c>
      <c r="D17365" s="0" t="s">
        <v>57727</v>
      </c>
      <c r="E17365" s="0" t="s">
        <v>75</v>
      </c>
      <c r="F17365" s="0" t="s">
        <v>90</v>
      </c>
      <c r="G17365" s="0" t="s">
        <v>20</v>
      </c>
      <c r="H17365" s="0" t="n">
        <v>113</v>
      </c>
      <c r="I17365" s="0" t="s">
        <v>57737</v>
      </c>
      <c r="J17365" s="0" t="s">
        <v>57738</v>
      </c>
      <c r="K17365" s="0" t="s">
        <v>57739</v>
      </c>
      <c r="L17365" s="0" t="str">
        <f aca="false">HYPERLINK("https://www.ncbi.nlm.nih.gov/nuccore/CP000058.1?report=graph&amp;tracks=[key:gene_model_track,Options:GeneOnly]&amp;mk=5332831:5332850|offset_8|444444,5332775:5332794|offset_64|444444,5332748:5332767|offset_91|444444,5332726:5332745|offset_113|00cc00&amp;v=5332630:5332945&amp;c=444444", "offset 113")</f>
        <v>offset 113</v>
      </c>
    </row>
    <row r="17366" customFormat="false" ht="12.8" hidden="false" customHeight="false" outlineLevel="0" collapsed="false">
      <c r="A17366" s="0" t="s">
        <v>12</v>
      </c>
      <c r="B17366" s="0" t="n">
        <v>5332984</v>
      </c>
      <c r="C17366" s="0" t="n">
        <v>5333004</v>
      </c>
      <c r="D17366" s="0" t="s">
        <v>57740</v>
      </c>
      <c r="E17366" s="0" t="s">
        <v>75</v>
      </c>
      <c r="F17366" s="0" t="s">
        <v>15</v>
      </c>
      <c r="G17366" s="0" t="s">
        <v>32</v>
      </c>
      <c r="H17366" s="0" t="n">
        <v>46</v>
      </c>
      <c r="I17366" s="0" t="s">
        <v>57741</v>
      </c>
      <c r="J17366" s="0" t="s">
        <v>57742</v>
      </c>
      <c r="K17366" s="0" t="s">
        <v>57743</v>
      </c>
      <c r="L17366" s="0" t="str">
        <f aca="false">HYPERLINK("https://www.ncbi.nlm.nih.gov/nuccore/CP000058.1?report=graph&amp;tracks=[key:gene_model_track,Options:GeneOnly]&amp;mk=5332985:5333004|offset_46|00cc00,5333005:5333024|offset_66|444444,5333042:5333061|offset_103|444444,5333062:5333081|offset_123|444444&amp;v=5332784:5333281&amp;c=444444", "offset 46")</f>
        <v>offset 46</v>
      </c>
    </row>
    <row r="17367" customFormat="false" ht="12.8" hidden="false" customHeight="false" outlineLevel="0" collapsed="false">
      <c r="A17367" s="0" t="s">
        <v>12</v>
      </c>
      <c r="B17367" s="0" t="n">
        <v>5333004</v>
      </c>
      <c r="C17367" s="0" t="n">
        <v>5333024</v>
      </c>
      <c r="D17367" s="0" t="s">
        <v>57740</v>
      </c>
      <c r="E17367" s="0" t="s">
        <v>75</v>
      </c>
      <c r="F17367" s="0" t="s">
        <v>15</v>
      </c>
      <c r="G17367" s="0" t="s">
        <v>36</v>
      </c>
      <c r="H17367" s="0" t="n">
        <v>66</v>
      </c>
      <c r="I17367" s="0" t="s">
        <v>57744</v>
      </c>
      <c r="J17367" s="0" t="s">
        <v>57745</v>
      </c>
      <c r="K17367" s="0" t="s">
        <v>57746</v>
      </c>
      <c r="L17367" s="0" t="str">
        <f aca="false">HYPERLINK("https://www.ncbi.nlm.nih.gov/nuccore/CP000058.1?report=graph&amp;tracks=[key:gene_model_track,Options:GeneOnly]&amp;mk=5332985:5333004|offset_46|444444,5333005:5333024|offset_66|00cc00,5333042:5333061|offset_103|444444,5333062:5333081|offset_123|444444&amp;v=5332784:5333281&amp;c=444444", "offset 66")</f>
        <v>offset 66</v>
      </c>
    </row>
    <row r="17368" customFormat="false" ht="12.8" hidden="false" customHeight="false" outlineLevel="0" collapsed="false">
      <c r="A17368" s="0" t="s">
        <v>12</v>
      </c>
      <c r="B17368" s="0" t="n">
        <v>5333041</v>
      </c>
      <c r="C17368" s="0" t="n">
        <v>5333061</v>
      </c>
      <c r="D17368" s="0" t="s">
        <v>57740</v>
      </c>
      <c r="E17368" s="0" t="s">
        <v>75</v>
      </c>
      <c r="F17368" s="0" t="s">
        <v>15</v>
      </c>
      <c r="G17368" s="0" t="s">
        <v>32</v>
      </c>
      <c r="H17368" s="0" t="n">
        <v>103</v>
      </c>
      <c r="I17368" s="0" t="s">
        <v>57747</v>
      </c>
      <c r="J17368" s="0" t="s">
        <v>57748</v>
      </c>
      <c r="K17368" s="0" t="s">
        <v>57749</v>
      </c>
      <c r="L17368" s="0" t="str">
        <f aca="false">HYPERLINK("https://www.ncbi.nlm.nih.gov/nuccore/CP000058.1?report=graph&amp;tracks=[key:gene_model_track,Options:GeneOnly]&amp;mk=5332985:5333004|offset_46|444444,5333005:5333024|offset_66|444444,5333042:5333061|offset_103|00cc00,5333062:5333081|offset_123|444444&amp;v=5332784:5333281&amp;c=444444", "offset 103")</f>
        <v>offset 103</v>
      </c>
    </row>
    <row r="17369" customFormat="false" ht="12.8" hidden="false" customHeight="false" outlineLevel="0" collapsed="false">
      <c r="A17369" s="0" t="s">
        <v>12</v>
      </c>
      <c r="B17369" s="0" t="n">
        <v>5333061</v>
      </c>
      <c r="C17369" s="0" t="n">
        <v>5333081</v>
      </c>
      <c r="D17369" s="0" t="s">
        <v>57740</v>
      </c>
      <c r="E17369" s="0" t="s">
        <v>75</v>
      </c>
      <c r="F17369" s="0" t="s">
        <v>15</v>
      </c>
      <c r="G17369" s="0" t="s">
        <v>16</v>
      </c>
      <c r="H17369" s="0" t="n">
        <v>123</v>
      </c>
      <c r="I17369" s="0" t="s">
        <v>57750</v>
      </c>
      <c r="J17369" s="0" t="s">
        <v>57751</v>
      </c>
      <c r="K17369" s="0" t="s">
        <v>57752</v>
      </c>
      <c r="L17369" s="0" t="str">
        <f aca="false">HYPERLINK("https://www.ncbi.nlm.nih.gov/nuccore/CP000058.1?report=graph&amp;tracks=[key:gene_model_track,Options:GeneOnly]&amp;mk=5332985:5333004|offset_46|444444,5333005:5333024|offset_66|444444,5333042:5333061|offset_103|444444,5333062:5333081|offset_123|00cc00&amp;v=5332784:5333281&amp;c=444444", "offset 123")</f>
        <v>offset 123</v>
      </c>
    </row>
    <row r="17370" customFormat="false" ht="12.8" hidden="false" customHeight="false" outlineLevel="0" collapsed="false">
      <c r="A17370" s="0" t="s">
        <v>12</v>
      </c>
      <c r="B17370" s="0" t="n">
        <v>5334628</v>
      </c>
      <c r="C17370" s="0" t="n">
        <v>5334648</v>
      </c>
      <c r="D17370" s="0" t="s">
        <v>57753</v>
      </c>
      <c r="E17370" s="0" t="s">
        <v>75</v>
      </c>
      <c r="F17370" s="0" t="s">
        <v>15</v>
      </c>
      <c r="G17370" s="0" t="s">
        <v>36</v>
      </c>
      <c r="H17370" s="0" t="n">
        <v>30</v>
      </c>
      <c r="I17370" s="0" t="s">
        <v>57754</v>
      </c>
      <c r="J17370" s="0" t="s">
        <v>57755</v>
      </c>
      <c r="K17370" s="0" t="s">
        <v>57756</v>
      </c>
      <c r="L17370" s="0" t="str">
        <f aca="false">HYPERLINK("https://www.ncbi.nlm.nih.gov/nuccore/CP000058.1?report=graph&amp;tracks=[key:gene_model_track,Options:GeneOnly]&amp;mk=5334629:5334648|offset_30|00cc00,5334656:5334675|offset_57|444444,5334676:5334695|offset_77|444444,5334700:5334719|offset_101|444444&amp;v=5334428:5334919&amp;c=444444", "offset 30")</f>
        <v>offset 30</v>
      </c>
    </row>
    <row r="17371" customFormat="false" ht="12.8" hidden="false" customHeight="false" outlineLevel="0" collapsed="false">
      <c r="A17371" s="0" t="s">
        <v>12</v>
      </c>
      <c r="B17371" s="0" t="n">
        <v>5334655</v>
      </c>
      <c r="C17371" s="0" t="n">
        <v>5334675</v>
      </c>
      <c r="D17371" s="0" t="s">
        <v>57753</v>
      </c>
      <c r="E17371" s="0" t="s">
        <v>75</v>
      </c>
      <c r="F17371" s="0" t="s">
        <v>15</v>
      </c>
      <c r="G17371" s="0" t="s">
        <v>16</v>
      </c>
      <c r="H17371" s="0" t="n">
        <v>57</v>
      </c>
      <c r="I17371" s="0" t="s">
        <v>57757</v>
      </c>
      <c r="J17371" s="0" t="s">
        <v>57758</v>
      </c>
      <c r="K17371" s="0" t="s">
        <v>57759</v>
      </c>
      <c r="L17371" s="0" t="str">
        <f aca="false">HYPERLINK("https://www.ncbi.nlm.nih.gov/nuccore/CP000058.1?report=graph&amp;tracks=[key:gene_model_track,Options:GeneOnly]&amp;mk=5334629:5334648|offset_30|444444,5334656:5334675|offset_57|00cc00,5334676:5334695|offset_77|444444,5334700:5334719|offset_101|444444&amp;v=5334428:5334919&amp;c=444444", "offset 57")</f>
        <v>offset 57</v>
      </c>
    </row>
    <row r="17372" customFormat="false" ht="12.8" hidden="false" customHeight="false" outlineLevel="0" collapsed="false">
      <c r="A17372" s="0" t="s">
        <v>12</v>
      </c>
      <c r="B17372" s="0" t="n">
        <v>5334675</v>
      </c>
      <c r="C17372" s="0" t="n">
        <v>5334695</v>
      </c>
      <c r="D17372" s="0" t="s">
        <v>57753</v>
      </c>
      <c r="E17372" s="0" t="s">
        <v>75</v>
      </c>
      <c r="F17372" s="0" t="s">
        <v>15</v>
      </c>
      <c r="G17372" s="0" t="s">
        <v>16</v>
      </c>
      <c r="H17372" s="0" t="n">
        <v>77</v>
      </c>
      <c r="I17372" s="0" t="s">
        <v>57760</v>
      </c>
      <c r="J17372" s="0" t="s">
        <v>57761</v>
      </c>
      <c r="K17372" s="0" t="s">
        <v>57762</v>
      </c>
      <c r="L17372" s="0" t="str">
        <f aca="false">HYPERLINK("https://www.ncbi.nlm.nih.gov/nuccore/CP000058.1?report=graph&amp;tracks=[key:gene_model_track,Options:GeneOnly]&amp;mk=5334629:5334648|offset_30|444444,5334656:5334675|offset_57|444444,5334676:5334695|offset_77|00cc00,5334700:5334719|offset_101|444444&amp;v=5334428:5334919&amp;c=444444", "offset 77")</f>
        <v>offset 77</v>
      </c>
    </row>
    <row r="17373" customFormat="false" ht="12.8" hidden="false" customHeight="false" outlineLevel="0" collapsed="false">
      <c r="A17373" s="0" t="s">
        <v>12</v>
      </c>
      <c r="B17373" s="0" t="n">
        <v>5334699</v>
      </c>
      <c r="C17373" s="0" t="n">
        <v>5334719</v>
      </c>
      <c r="D17373" s="0" t="s">
        <v>57753</v>
      </c>
      <c r="E17373" s="0" t="s">
        <v>75</v>
      </c>
      <c r="F17373" s="0" t="s">
        <v>15</v>
      </c>
      <c r="G17373" s="0" t="s">
        <v>32</v>
      </c>
      <c r="H17373" s="0" t="n">
        <v>101</v>
      </c>
      <c r="I17373" s="0" t="s">
        <v>57763</v>
      </c>
      <c r="J17373" s="0" t="s">
        <v>57764</v>
      </c>
      <c r="K17373" s="0" t="s">
        <v>57765</v>
      </c>
      <c r="L17373" s="0" t="str">
        <f aca="false">HYPERLINK("https://www.ncbi.nlm.nih.gov/nuccore/CP000058.1?report=graph&amp;tracks=[key:gene_model_track,Options:GeneOnly]&amp;mk=5334629:5334648|offset_30|444444,5334656:5334675|offset_57|444444,5334676:5334695|offset_77|444444,5334700:5334719|offset_101|00cc00&amp;v=5334428:5334919&amp;c=444444", "offset 101")</f>
        <v>offset 101</v>
      </c>
    </row>
    <row r="17374" customFormat="false" ht="12.8" hidden="false" customHeight="false" outlineLevel="0" collapsed="false">
      <c r="A17374" s="0" t="s">
        <v>12</v>
      </c>
      <c r="B17374" s="0" t="n">
        <v>5335676</v>
      </c>
      <c r="C17374" s="0" t="n">
        <v>5335696</v>
      </c>
      <c r="D17374" s="0" t="s">
        <v>57766</v>
      </c>
      <c r="E17374" s="0" t="s">
        <v>75</v>
      </c>
      <c r="F17374" s="0" t="s">
        <v>15</v>
      </c>
      <c r="G17374" s="0" t="s">
        <v>36</v>
      </c>
      <c r="H17374" s="0" t="n">
        <v>0</v>
      </c>
      <c r="I17374" s="0" t="s">
        <v>57767</v>
      </c>
      <c r="J17374" s="0" t="s">
        <v>57768</v>
      </c>
      <c r="K17374" s="0" t="s">
        <v>57769</v>
      </c>
      <c r="L17374" s="0" t="str">
        <f aca="false">HYPERLINK("https://www.ncbi.nlm.nih.gov/nuccore/CP000058.1?report=graph&amp;tracks=[key:gene_model_track,Options:GeneOnly]&amp;mk=5335677:5335696|offset_0|00cc00,5335698:5335717|offset_21|444444,5335765:5335784|offset_88|444444,5335792:5335811|offset_115|444444&amp;v=5335476:5336011&amp;c=444444", "offset 0")</f>
        <v>offset 0</v>
      </c>
    </row>
    <row r="17375" customFormat="false" ht="12.8" hidden="false" customHeight="false" outlineLevel="0" collapsed="false">
      <c r="A17375" s="0" t="s">
        <v>12</v>
      </c>
      <c r="B17375" s="0" t="n">
        <v>5335697</v>
      </c>
      <c r="C17375" s="0" t="n">
        <v>5335717</v>
      </c>
      <c r="D17375" s="0" t="s">
        <v>57766</v>
      </c>
      <c r="E17375" s="0" t="s">
        <v>75</v>
      </c>
      <c r="F17375" s="0" t="s">
        <v>15</v>
      </c>
      <c r="G17375" s="0" t="s">
        <v>36</v>
      </c>
      <c r="H17375" s="0" t="n">
        <v>21</v>
      </c>
      <c r="I17375" s="0" t="s">
        <v>57770</v>
      </c>
      <c r="J17375" s="0" t="s">
        <v>57771</v>
      </c>
      <c r="K17375" s="0" t="s">
        <v>57772</v>
      </c>
      <c r="L17375" s="0" t="str">
        <f aca="false">HYPERLINK("https://www.ncbi.nlm.nih.gov/nuccore/CP000058.1?report=graph&amp;tracks=[key:gene_model_track,Options:GeneOnly]&amp;mk=5335677:5335696|offset_0|444444,5335698:5335717|offset_21|00cc00,5335765:5335784|offset_88|444444,5335792:5335811|offset_115|444444&amp;v=5335476:5336011&amp;c=444444", "offset 21")</f>
        <v>offset 21</v>
      </c>
    </row>
    <row r="17376" customFormat="false" ht="12.8" hidden="false" customHeight="false" outlineLevel="0" collapsed="false">
      <c r="A17376" s="0" t="s">
        <v>12</v>
      </c>
      <c r="B17376" s="0" t="n">
        <v>5335764</v>
      </c>
      <c r="C17376" s="0" t="n">
        <v>5335784</v>
      </c>
      <c r="D17376" s="0" t="s">
        <v>57766</v>
      </c>
      <c r="E17376" s="0" t="s">
        <v>75</v>
      </c>
      <c r="F17376" s="0" t="s">
        <v>15</v>
      </c>
      <c r="G17376" s="0" t="s">
        <v>32</v>
      </c>
      <c r="H17376" s="0" t="n">
        <v>88</v>
      </c>
      <c r="I17376" s="0" t="s">
        <v>57773</v>
      </c>
      <c r="J17376" s="0" t="s">
        <v>57774</v>
      </c>
      <c r="K17376" s="0" t="s">
        <v>57775</v>
      </c>
      <c r="L17376" s="0" t="str">
        <f aca="false">HYPERLINK("https://www.ncbi.nlm.nih.gov/nuccore/CP000058.1?report=graph&amp;tracks=[key:gene_model_track,Options:GeneOnly]&amp;mk=5335677:5335696|offset_0|444444,5335698:5335717|offset_21|444444,5335765:5335784|offset_88|00cc00,5335792:5335811|offset_115|444444&amp;v=5335476:5336011&amp;c=444444", "offset 88")</f>
        <v>offset 88</v>
      </c>
    </row>
    <row r="17377" customFormat="false" ht="12.8" hidden="false" customHeight="false" outlineLevel="0" collapsed="false">
      <c r="A17377" s="0" t="s">
        <v>12</v>
      </c>
      <c r="B17377" s="0" t="n">
        <v>5335791</v>
      </c>
      <c r="C17377" s="0" t="n">
        <v>5335811</v>
      </c>
      <c r="D17377" s="0" t="s">
        <v>57766</v>
      </c>
      <c r="E17377" s="0" t="s">
        <v>75</v>
      </c>
      <c r="F17377" s="0" t="s">
        <v>15</v>
      </c>
      <c r="G17377" s="0" t="s">
        <v>36</v>
      </c>
      <c r="H17377" s="0" t="n">
        <v>115</v>
      </c>
      <c r="I17377" s="0" t="s">
        <v>57776</v>
      </c>
      <c r="J17377" s="0" t="s">
        <v>57777</v>
      </c>
      <c r="K17377" s="0" t="s">
        <v>57778</v>
      </c>
      <c r="L17377" s="0" t="str">
        <f aca="false">HYPERLINK("https://www.ncbi.nlm.nih.gov/nuccore/CP000058.1?report=graph&amp;tracks=[key:gene_model_track,Options:GeneOnly]&amp;mk=5335677:5335696|offset_0|444444,5335698:5335717|offset_21|444444,5335765:5335784|offset_88|444444,5335792:5335811|offset_115|00cc00&amp;v=5335476:5336011&amp;c=444444", "offset 115")</f>
        <v>offset 115</v>
      </c>
    </row>
    <row r="17378" customFormat="false" ht="12.8" hidden="false" customHeight="false" outlineLevel="0" collapsed="false">
      <c r="A17378" s="0" t="s">
        <v>12</v>
      </c>
      <c r="B17378" s="0" t="n">
        <v>5336344</v>
      </c>
      <c r="C17378" s="0" t="n">
        <v>5336364</v>
      </c>
      <c r="D17378" s="0" t="s">
        <v>57779</v>
      </c>
      <c r="E17378" s="0" t="s">
        <v>75</v>
      </c>
      <c r="F17378" s="0" t="s">
        <v>15</v>
      </c>
      <c r="G17378" s="0" t="s">
        <v>36</v>
      </c>
      <c r="H17378" s="0" t="n">
        <v>11</v>
      </c>
      <c r="I17378" s="0" t="s">
        <v>57780</v>
      </c>
      <c r="J17378" s="0" t="s">
        <v>57781</v>
      </c>
      <c r="K17378" s="0" t="s">
        <v>57782</v>
      </c>
      <c r="L17378" s="0" t="str">
        <f aca="false">HYPERLINK("https://www.ncbi.nlm.nih.gov/nuccore/CP000058.1?report=graph&amp;tracks=[key:gene_model_track,Options:GeneOnly]&amp;mk=5336345:5336364|offset_11|00cc00,5336384:5336403|offset_50|444444,5336405:5336424|offset_71|444444,5336446:5336465|offset_112|444444&amp;v=5336144:5336665&amp;c=444444", "offset 11")</f>
        <v>offset 11</v>
      </c>
    </row>
    <row r="17379" customFormat="false" ht="12.8" hidden="false" customHeight="false" outlineLevel="0" collapsed="false">
      <c r="A17379" s="0" t="s">
        <v>12</v>
      </c>
      <c r="B17379" s="0" t="n">
        <v>5336383</v>
      </c>
      <c r="C17379" s="0" t="n">
        <v>5336403</v>
      </c>
      <c r="D17379" s="0" t="s">
        <v>57779</v>
      </c>
      <c r="E17379" s="0" t="s">
        <v>75</v>
      </c>
      <c r="F17379" s="0" t="s">
        <v>15</v>
      </c>
      <c r="G17379" s="0" t="s">
        <v>36</v>
      </c>
      <c r="H17379" s="0" t="n">
        <v>50</v>
      </c>
      <c r="I17379" s="0" t="s">
        <v>57783</v>
      </c>
      <c r="J17379" s="0" t="s">
        <v>57784</v>
      </c>
      <c r="K17379" s="0" t="s">
        <v>57785</v>
      </c>
      <c r="L17379" s="0" t="str">
        <f aca="false">HYPERLINK("https://www.ncbi.nlm.nih.gov/nuccore/CP000058.1?report=graph&amp;tracks=[key:gene_model_track,Options:GeneOnly]&amp;mk=5336345:5336364|offset_11|444444,5336384:5336403|offset_50|00cc00,5336405:5336424|offset_71|444444,5336446:5336465|offset_112|444444&amp;v=5336144:5336665&amp;c=444444", "offset 50")</f>
        <v>offset 50</v>
      </c>
    </row>
    <row r="17380" customFormat="false" ht="12.8" hidden="false" customHeight="false" outlineLevel="0" collapsed="false">
      <c r="A17380" s="0" t="s">
        <v>12</v>
      </c>
      <c r="B17380" s="0" t="n">
        <v>5336404</v>
      </c>
      <c r="C17380" s="0" t="n">
        <v>5336424</v>
      </c>
      <c r="D17380" s="0" t="s">
        <v>57779</v>
      </c>
      <c r="E17380" s="0" t="s">
        <v>75</v>
      </c>
      <c r="F17380" s="0" t="s">
        <v>15</v>
      </c>
      <c r="G17380" s="0" t="s">
        <v>36</v>
      </c>
      <c r="H17380" s="0" t="n">
        <v>71</v>
      </c>
      <c r="I17380" s="0" t="s">
        <v>57786</v>
      </c>
      <c r="J17380" s="0" t="s">
        <v>57787</v>
      </c>
      <c r="K17380" s="0" t="s">
        <v>57788</v>
      </c>
      <c r="L17380" s="0" t="str">
        <f aca="false">HYPERLINK("https://www.ncbi.nlm.nih.gov/nuccore/CP000058.1?report=graph&amp;tracks=[key:gene_model_track,Options:GeneOnly]&amp;mk=5336345:5336364|offset_11|444444,5336384:5336403|offset_50|444444,5336405:5336424|offset_71|00cc00,5336446:5336465|offset_112|444444&amp;v=5336144:5336665&amp;c=444444", "offset 71")</f>
        <v>offset 71</v>
      </c>
    </row>
    <row r="17381" customFormat="false" ht="12.8" hidden="false" customHeight="false" outlineLevel="0" collapsed="false">
      <c r="A17381" s="0" t="s">
        <v>12</v>
      </c>
      <c r="B17381" s="0" t="n">
        <v>5336445</v>
      </c>
      <c r="C17381" s="0" t="n">
        <v>5336465</v>
      </c>
      <c r="D17381" s="0" t="s">
        <v>57779</v>
      </c>
      <c r="E17381" s="0" t="s">
        <v>75</v>
      </c>
      <c r="F17381" s="0" t="s">
        <v>15</v>
      </c>
      <c r="G17381" s="0" t="s">
        <v>16</v>
      </c>
      <c r="H17381" s="0" t="n">
        <v>112</v>
      </c>
      <c r="I17381" s="0" t="s">
        <v>57789</v>
      </c>
      <c r="J17381" s="0" t="s">
        <v>57790</v>
      </c>
      <c r="K17381" s="0" t="s">
        <v>57791</v>
      </c>
      <c r="L17381" s="0" t="str">
        <f aca="false">HYPERLINK("https://www.ncbi.nlm.nih.gov/nuccore/CP000058.1?report=graph&amp;tracks=[key:gene_model_track,Options:GeneOnly]&amp;mk=5336345:5336364|offset_11|444444,5336384:5336403|offset_50|444444,5336405:5336424|offset_71|444444,5336446:5336465|offset_112|00cc00&amp;v=5336144:5336665&amp;c=444444", "offset 112")</f>
        <v>offset 112</v>
      </c>
    </row>
    <row r="17382" customFormat="false" ht="12.8" hidden="false" customHeight="false" outlineLevel="0" collapsed="false">
      <c r="A17382" s="0" t="s">
        <v>12</v>
      </c>
      <c r="B17382" s="0" t="n">
        <v>5337983</v>
      </c>
      <c r="C17382" s="0" t="n">
        <v>5338003</v>
      </c>
      <c r="D17382" s="0" t="s">
        <v>57792</v>
      </c>
      <c r="E17382" s="0" t="s">
        <v>75</v>
      </c>
      <c r="F17382" s="0" t="s">
        <v>15</v>
      </c>
      <c r="G17382" s="0" t="s">
        <v>32</v>
      </c>
      <c r="H17382" s="0" t="n">
        <v>1</v>
      </c>
      <c r="I17382" s="0" t="s">
        <v>57793</v>
      </c>
      <c r="J17382" s="0" t="s">
        <v>57794</v>
      </c>
      <c r="K17382" s="0" t="s">
        <v>57795</v>
      </c>
      <c r="L17382" s="0" t="str">
        <f aca="false">HYPERLINK("https://www.ncbi.nlm.nih.gov/nuccore/CP000058.1?report=graph&amp;tracks=[key:gene_model_track,Options:GeneOnly]&amp;mk=5337984:5338003|offset_1|00cc00,5338013:5338032|offset_30|444444,5338039:5338058|offset_56|444444,5338062:5338081|offset_79|444444&amp;v=5337783:5338281&amp;c=444444", "offset 1")</f>
        <v>offset 1</v>
      </c>
    </row>
    <row r="17383" customFormat="false" ht="12.8" hidden="false" customHeight="false" outlineLevel="0" collapsed="false">
      <c r="A17383" s="0" t="s">
        <v>12</v>
      </c>
      <c r="B17383" s="0" t="n">
        <v>5338012</v>
      </c>
      <c r="C17383" s="0" t="n">
        <v>5338032</v>
      </c>
      <c r="D17383" s="0" t="s">
        <v>57792</v>
      </c>
      <c r="E17383" s="0" t="s">
        <v>75</v>
      </c>
      <c r="F17383" s="0" t="s">
        <v>15</v>
      </c>
      <c r="G17383" s="0" t="s">
        <v>16</v>
      </c>
      <c r="H17383" s="0" t="n">
        <v>30</v>
      </c>
      <c r="I17383" s="0" t="s">
        <v>57796</v>
      </c>
      <c r="J17383" s="0" t="s">
        <v>57797</v>
      </c>
      <c r="K17383" s="0" t="s">
        <v>57798</v>
      </c>
      <c r="L17383" s="0" t="str">
        <f aca="false">HYPERLINK("https://www.ncbi.nlm.nih.gov/nuccore/CP000058.1?report=graph&amp;tracks=[key:gene_model_track,Options:GeneOnly]&amp;mk=5337984:5338003|offset_1|444444,5338013:5338032|offset_30|00cc00,5338039:5338058|offset_56|444444,5338062:5338081|offset_79|444444&amp;v=5337783:5338281&amp;c=444444", "offset 30")</f>
        <v>offset 30</v>
      </c>
    </row>
    <row r="17384" customFormat="false" ht="12.8" hidden="false" customHeight="false" outlineLevel="0" collapsed="false">
      <c r="A17384" s="0" t="s">
        <v>12</v>
      </c>
      <c r="B17384" s="0" t="n">
        <v>5338038</v>
      </c>
      <c r="C17384" s="0" t="n">
        <v>5338058</v>
      </c>
      <c r="D17384" s="0" t="s">
        <v>57792</v>
      </c>
      <c r="E17384" s="0" t="s">
        <v>75</v>
      </c>
      <c r="F17384" s="0" t="s">
        <v>15</v>
      </c>
      <c r="G17384" s="0" t="s">
        <v>20</v>
      </c>
      <c r="H17384" s="0" t="n">
        <v>56</v>
      </c>
      <c r="I17384" s="0" t="s">
        <v>57799</v>
      </c>
      <c r="J17384" s="0" t="s">
        <v>57800</v>
      </c>
      <c r="K17384" s="0" t="s">
        <v>57801</v>
      </c>
      <c r="L17384" s="0" t="str">
        <f aca="false">HYPERLINK("https://www.ncbi.nlm.nih.gov/nuccore/CP000058.1?report=graph&amp;tracks=[key:gene_model_track,Options:GeneOnly]&amp;mk=5337984:5338003|offset_1|444444,5338013:5338032|offset_30|444444,5338039:5338058|offset_56|00cc00,5338062:5338081|offset_79|444444&amp;v=5337783:5338281&amp;c=444444", "offset 56")</f>
        <v>offset 56</v>
      </c>
    </row>
    <row r="17385" customFormat="false" ht="12.8" hidden="false" customHeight="false" outlineLevel="0" collapsed="false">
      <c r="A17385" s="0" t="s">
        <v>12</v>
      </c>
      <c r="B17385" s="0" t="n">
        <v>5338061</v>
      </c>
      <c r="C17385" s="0" t="n">
        <v>5338081</v>
      </c>
      <c r="D17385" s="0" t="s">
        <v>57792</v>
      </c>
      <c r="E17385" s="0" t="s">
        <v>75</v>
      </c>
      <c r="F17385" s="0" t="s">
        <v>15</v>
      </c>
      <c r="G17385" s="0" t="s">
        <v>36</v>
      </c>
      <c r="H17385" s="0" t="n">
        <v>79</v>
      </c>
      <c r="I17385" s="0" t="s">
        <v>57802</v>
      </c>
      <c r="J17385" s="0" t="s">
        <v>57803</v>
      </c>
      <c r="K17385" s="0" t="s">
        <v>57804</v>
      </c>
      <c r="L17385" s="0" t="str">
        <f aca="false">HYPERLINK("https://www.ncbi.nlm.nih.gov/nuccore/CP000058.1?report=graph&amp;tracks=[key:gene_model_track,Options:GeneOnly]&amp;mk=5337984:5338003|offset_1|444444,5338013:5338032|offset_30|444444,5338039:5338058|offset_56|444444,5338062:5338081|offset_79|00cc00&amp;v=5337783:5338281&amp;c=444444", "offset 79")</f>
        <v>offset 79</v>
      </c>
    </row>
    <row r="17386" customFormat="false" ht="12.8" hidden="false" customHeight="false" outlineLevel="0" collapsed="false">
      <c r="A17386" s="0" t="s">
        <v>12</v>
      </c>
      <c r="B17386" s="0" t="n">
        <v>5338948</v>
      </c>
      <c r="C17386" s="0" t="n">
        <v>5338968</v>
      </c>
      <c r="D17386" s="0" t="s">
        <v>57805</v>
      </c>
      <c r="E17386" s="0" t="s">
        <v>57806</v>
      </c>
      <c r="F17386" s="0" t="s">
        <v>15</v>
      </c>
      <c r="G17386" s="0" t="s">
        <v>16</v>
      </c>
      <c r="H17386" s="0" t="n">
        <v>1</v>
      </c>
      <c r="I17386" s="0" t="s">
        <v>57807</v>
      </c>
      <c r="J17386" s="0" t="s">
        <v>57808</v>
      </c>
      <c r="K17386" s="0" t="s">
        <v>57809</v>
      </c>
      <c r="L17386" s="0" t="str">
        <f aca="false">HYPERLINK("https://www.ncbi.nlm.nih.gov/nuccore/CP000058.1?report=graph&amp;tracks=[key:gene_model_track,Options:GeneOnly]&amp;mk=5338949:5338968|offset_1|00cc00,5338970:5338989|offset_22|444444,5338995:5339014|offset_47|444444,5339038:5339057|offset_90|444444&amp;v=5338748:5339257&amp;c=444444", "offset 1")</f>
        <v>offset 1</v>
      </c>
    </row>
    <row r="17387" customFormat="false" ht="12.8" hidden="false" customHeight="false" outlineLevel="0" collapsed="false">
      <c r="A17387" s="0" t="s">
        <v>12</v>
      </c>
      <c r="B17387" s="0" t="n">
        <v>5338969</v>
      </c>
      <c r="C17387" s="0" t="n">
        <v>5338989</v>
      </c>
      <c r="D17387" s="0" t="s">
        <v>57805</v>
      </c>
      <c r="E17387" s="0" t="s">
        <v>57806</v>
      </c>
      <c r="F17387" s="0" t="s">
        <v>15</v>
      </c>
      <c r="G17387" s="0" t="s">
        <v>36</v>
      </c>
      <c r="H17387" s="0" t="n">
        <v>22</v>
      </c>
      <c r="I17387" s="0" t="s">
        <v>57810</v>
      </c>
      <c r="J17387" s="0" t="s">
        <v>57811</v>
      </c>
      <c r="K17387" s="0" t="s">
        <v>57812</v>
      </c>
      <c r="L17387" s="0" t="str">
        <f aca="false">HYPERLINK("https://www.ncbi.nlm.nih.gov/nuccore/CP000058.1?report=graph&amp;tracks=[key:gene_model_track,Options:GeneOnly]&amp;mk=5338949:5338968|offset_1|444444,5338970:5338989|offset_22|00cc00,5338995:5339014|offset_47|444444,5339038:5339057|offset_90|444444&amp;v=5338748:5339257&amp;c=444444", "offset 22")</f>
        <v>offset 22</v>
      </c>
    </row>
    <row r="17388" customFormat="false" ht="12.8" hidden="false" customHeight="false" outlineLevel="0" collapsed="false">
      <c r="A17388" s="0" t="s">
        <v>12</v>
      </c>
      <c r="B17388" s="0" t="n">
        <v>5338994</v>
      </c>
      <c r="C17388" s="0" t="n">
        <v>5339014</v>
      </c>
      <c r="D17388" s="0" t="s">
        <v>57805</v>
      </c>
      <c r="E17388" s="0" t="s">
        <v>57806</v>
      </c>
      <c r="F17388" s="0" t="s">
        <v>15</v>
      </c>
      <c r="G17388" s="0" t="s">
        <v>20</v>
      </c>
      <c r="H17388" s="0" t="n">
        <v>47</v>
      </c>
      <c r="I17388" s="0" t="s">
        <v>57813</v>
      </c>
      <c r="J17388" s="0" t="s">
        <v>57814</v>
      </c>
      <c r="K17388" s="0" t="s">
        <v>57815</v>
      </c>
      <c r="L17388" s="0" t="str">
        <f aca="false">HYPERLINK("https://www.ncbi.nlm.nih.gov/nuccore/CP000058.1?report=graph&amp;tracks=[key:gene_model_track,Options:GeneOnly]&amp;mk=5338949:5338968|offset_1|444444,5338970:5338989|offset_22|444444,5338995:5339014|offset_47|00cc00,5339038:5339057|offset_90|444444&amp;v=5338748:5339257&amp;c=444444", "offset 47")</f>
        <v>offset 47</v>
      </c>
    </row>
    <row r="17389" customFormat="false" ht="12.8" hidden="false" customHeight="false" outlineLevel="0" collapsed="false">
      <c r="A17389" s="0" t="s">
        <v>12</v>
      </c>
      <c r="B17389" s="0" t="n">
        <v>5339037</v>
      </c>
      <c r="C17389" s="0" t="n">
        <v>5339057</v>
      </c>
      <c r="D17389" s="0" t="s">
        <v>57805</v>
      </c>
      <c r="E17389" s="0" t="s">
        <v>57806</v>
      </c>
      <c r="F17389" s="0" t="s">
        <v>15</v>
      </c>
      <c r="G17389" s="0" t="s">
        <v>16</v>
      </c>
      <c r="H17389" s="0" t="n">
        <v>90</v>
      </c>
      <c r="I17389" s="0" t="s">
        <v>57816</v>
      </c>
      <c r="J17389" s="0" t="s">
        <v>57817</v>
      </c>
      <c r="K17389" s="0" t="s">
        <v>57818</v>
      </c>
      <c r="L17389" s="0" t="str">
        <f aca="false">HYPERLINK("https://www.ncbi.nlm.nih.gov/nuccore/CP000058.1?report=graph&amp;tracks=[key:gene_model_track,Options:GeneOnly]&amp;mk=5338949:5338968|offset_1|444444,5338970:5338989|offset_22|444444,5338995:5339014|offset_47|444444,5339038:5339057|offset_90|00cc00&amp;v=5338748:5339257&amp;c=444444", "offset 90")</f>
        <v>offset 90</v>
      </c>
    </row>
    <row r="17390" customFormat="false" ht="12.8" hidden="false" customHeight="false" outlineLevel="0" collapsed="false">
      <c r="A17390" s="0" t="s">
        <v>12</v>
      </c>
      <c r="B17390" s="0" t="n">
        <v>5341422</v>
      </c>
      <c r="C17390" s="0" t="n">
        <v>5341442</v>
      </c>
      <c r="D17390" s="0" t="s">
        <v>57819</v>
      </c>
      <c r="E17390" s="0" t="s">
        <v>57820</v>
      </c>
      <c r="F17390" s="0" t="s">
        <v>15</v>
      </c>
      <c r="G17390" s="0" t="s">
        <v>20</v>
      </c>
      <c r="H17390" s="0" t="n">
        <v>18</v>
      </c>
      <c r="I17390" s="0" t="s">
        <v>57821</v>
      </c>
      <c r="J17390" s="0" t="s">
        <v>57822</v>
      </c>
      <c r="K17390" s="0" t="s">
        <v>57823</v>
      </c>
      <c r="L17390" s="0" t="str">
        <f aca="false">HYPERLINK("https://www.ncbi.nlm.nih.gov/nuccore/CP000058.1?report=graph&amp;tracks=[key:gene_model_track,Options:GeneOnly]&amp;mk=5341423:5341442|offset_18|00cc00,5341460:5341479|offset_55|444444&amp;v=5341222:5341679&amp;c=444444", "offset 18")</f>
        <v>offset 18</v>
      </c>
    </row>
    <row r="17391" customFormat="false" ht="12.8" hidden="false" customHeight="false" outlineLevel="0" collapsed="false">
      <c r="A17391" s="0" t="s">
        <v>12</v>
      </c>
      <c r="B17391" s="0" t="n">
        <v>5341459</v>
      </c>
      <c r="C17391" s="0" t="n">
        <v>5341479</v>
      </c>
      <c r="D17391" s="0" t="s">
        <v>57819</v>
      </c>
      <c r="E17391" s="0" t="s">
        <v>57820</v>
      </c>
      <c r="F17391" s="0" t="s">
        <v>15</v>
      </c>
      <c r="G17391" s="0" t="s">
        <v>32</v>
      </c>
      <c r="H17391" s="0" t="n">
        <v>55</v>
      </c>
      <c r="I17391" s="0" t="s">
        <v>57824</v>
      </c>
      <c r="J17391" s="0" t="s">
        <v>57825</v>
      </c>
      <c r="K17391" s="0" t="s">
        <v>57826</v>
      </c>
      <c r="L17391" s="0" t="str">
        <f aca="false">HYPERLINK("https://www.ncbi.nlm.nih.gov/nuccore/CP000058.1?report=graph&amp;tracks=[key:gene_model_track,Options:GeneOnly]&amp;mk=5341423:5341442|offset_18|444444,5341460:5341479|offset_55|00cc00&amp;v=5341222:5341679&amp;c=444444", "offset 55")</f>
        <v>offset 55</v>
      </c>
    </row>
    <row r="17392" customFormat="false" ht="12.8" hidden="false" customHeight="false" outlineLevel="0" collapsed="false">
      <c r="A17392" s="0" t="s">
        <v>12</v>
      </c>
      <c r="B17392" s="0" t="n">
        <v>5341578</v>
      </c>
      <c r="C17392" s="0" t="n">
        <v>5341598</v>
      </c>
      <c r="D17392" s="0" t="s">
        <v>57827</v>
      </c>
      <c r="E17392" s="0" t="s">
        <v>57828</v>
      </c>
      <c r="F17392" s="0" t="s">
        <v>15</v>
      </c>
      <c r="G17392" s="0" t="s">
        <v>32</v>
      </c>
      <c r="H17392" s="0" t="n">
        <v>11</v>
      </c>
      <c r="I17392" s="0" t="s">
        <v>57829</v>
      </c>
      <c r="J17392" s="0" t="s">
        <v>57830</v>
      </c>
      <c r="K17392" s="0" t="s">
        <v>57831</v>
      </c>
      <c r="L17392" s="0" t="str">
        <f aca="false">HYPERLINK("https://www.ncbi.nlm.nih.gov/nuccore/CP000058.1?report=graph&amp;tracks=[key:gene_model_track,Options:GeneOnly]&amp;mk=5341579:5341598|offset_11|00cc00,5341612:5341631|offset_44|444444,5341663:5341682|offset_95|444444,5341683:5341702|offset_115|444444&amp;v=5341378:5341902&amp;c=444444", "offset 11")</f>
        <v>offset 11</v>
      </c>
    </row>
    <row r="17393" customFormat="false" ht="12.8" hidden="false" customHeight="false" outlineLevel="0" collapsed="false">
      <c r="A17393" s="0" t="s">
        <v>12</v>
      </c>
      <c r="B17393" s="0" t="n">
        <v>5341611</v>
      </c>
      <c r="C17393" s="0" t="n">
        <v>5341631</v>
      </c>
      <c r="D17393" s="0" t="s">
        <v>57827</v>
      </c>
      <c r="E17393" s="0" t="s">
        <v>57828</v>
      </c>
      <c r="F17393" s="0" t="s">
        <v>15</v>
      </c>
      <c r="G17393" s="0" t="s">
        <v>36</v>
      </c>
      <c r="H17393" s="0" t="n">
        <v>44</v>
      </c>
      <c r="I17393" s="0" t="s">
        <v>57832</v>
      </c>
      <c r="J17393" s="0" t="s">
        <v>57833</v>
      </c>
      <c r="K17393" s="0" t="s">
        <v>57834</v>
      </c>
      <c r="L17393" s="0" t="str">
        <f aca="false">HYPERLINK("https://www.ncbi.nlm.nih.gov/nuccore/CP000058.1?report=graph&amp;tracks=[key:gene_model_track,Options:GeneOnly]&amp;mk=5341579:5341598|offset_11|444444,5341612:5341631|offset_44|00cc00,5341663:5341682|offset_95|444444,5341683:5341702|offset_115|444444&amp;v=5341378:5341902&amp;c=444444", "offset 44")</f>
        <v>offset 44</v>
      </c>
    </row>
    <row r="17394" customFormat="false" ht="12.8" hidden="false" customHeight="false" outlineLevel="0" collapsed="false">
      <c r="A17394" s="0" t="s">
        <v>12</v>
      </c>
      <c r="B17394" s="0" t="n">
        <v>5341662</v>
      </c>
      <c r="C17394" s="0" t="n">
        <v>5341682</v>
      </c>
      <c r="D17394" s="0" t="s">
        <v>57827</v>
      </c>
      <c r="E17394" s="0" t="s">
        <v>57828</v>
      </c>
      <c r="F17394" s="0" t="s">
        <v>15</v>
      </c>
      <c r="G17394" s="0" t="s">
        <v>20</v>
      </c>
      <c r="H17394" s="0" t="n">
        <v>95</v>
      </c>
      <c r="I17394" s="0" t="s">
        <v>57835</v>
      </c>
      <c r="J17394" s="0" t="s">
        <v>57836</v>
      </c>
      <c r="K17394" s="0" t="s">
        <v>57837</v>
      </c>
      <c r="L17394" s="0" t="str">
        <f aca="false">HYPERLINK("https://www.ncbi.nlm.nih.gov/nuccore/CP000058.1?report=graph&amp;tracks=[key:gene_model_track,Options:GeneOnly]&amp;mk=5341579:5341598|offset_11|444444,5341612:5341631|offset_44|444444,5341663:5341682|offset_95|00cc00,5341683:5341702|offset_115|444444&amp;v=5341378:5341902&amp;c=444444", "offset 95")</f>
        <v>offset 95</v>
      </c>
    </row>
    <row r="17395" customFormat="false" ht="12.8" hidden="false" customHeight="false" outlineLevel="0" collapsed="false">
      <c r="A17395" s="0" t="s">
        <v>12</v>
      </c>
      <c r="B17395" s="0" t="n">
        <v>5341682</v>
      </c>
      <c r="C17395" s="0" t="n">
        <v>5341702</v>
      </c>
      <c r="D17395" s="0" t="s">
        <v>57827</v>
      </c>
      <c r="E17395" s="0" t="s">
        <v>57828</v>
      </c>
      <c r="F17395" s="0" t="s">
        <v>15</v>
      </c>
      <c r="G17395" s="0" t="s">
        <v>36</v>
      </c>
      <c r="H17395" s="0" t="n">
        <v>115</v>
      </c>
      <c r="I17395" s="0" t="s">
        <v>57838</v>
      </c>
      <c r="J17395" s="0" t="s">
        <v>57839</v>
      </c>
      <c r="K17395" s="0" t="s">
        <v>57840</v>
      </c>
      <c r="L17395" s="0" t="str">
        <f aca="false">HYPERLINK("https://www.ncbi.nlm.nih.gov/nuccore/CP000058.1?report=graph&amp;tracks=[key:gene_model_track,Options:GeneOnly]&amp;mk=5341579:5341598|offset_11|444444,5341612:5341631|offset_44|444444,5341663:5341682|offset_95|444444,5341683:5341702|offset_115|00cc00&amp;v=5341378:5341902&amp;c=444444", "offset 115")</f>
        <v>offset 115</v>
      </c>
    </row>
    <row r="17396" customFormat="false" ht="12.8" hidden="false" customHeight="false" outlineLevel="0" collapsed="false">
      <c r="A17396" s="0" t="s">
        <v>12</v>
      </c>
      <c r="B17396" s="0" t="n">
        <v>5342513</v>
      </c>
      <c r="C17396" s="0" t="n">
        <v>5342533</v>
      </c>
      <c r="D17396" s="0" t="s">
        <v>57841</v>
      </c>
      <c r="E17396" s="0" t="s">
        <v>57842</v>
      </c>
      <c r="F17396" s="0" t="s">
        <v>15</v>
      </c>
      <c r="G17396" s="0" t="s">
        <v>36</v>
      </c>
      <c r="H17396" s="0" t="n">
        <v>26</v>
      </c>
      <c r="I17396" s="0" t="s">
        <v>57843</v>
      </c>
      <c r="J17396" s="0" t="s">
        <v>57844</v>
      </c>
      <c r="K17396" s="0" t="s">
        <v>57845</v>
      </c>
      <c r="L17396" s="0" t="str">
        <f aca="false">HYPERLINK("https://www.ncbi.nlm.nih.gov/nuccore/CP000058.1?report=graph&amp;tracks=[key:gene_model_track,Options:GeneOnly]&amp;mk=5342514:5342533|offset_26|00cc00,5342534:5342553|offset_46|444444,5342559:5342578|offset_71|444444,5342606:5342625|offset_118|444444&amp;v=5342313:5342825&amp;c=444444", "offset 26")</f>
        <v>offset 26</v>
      </c>
    </row>
    <row r="17397" customFormat="false" ht="12.8" hidden="false" customHeight="false" outlineLevel="0" collapsed="false">
      <c r="A17397" s="0" t="s">
        <v>12</v>
      </c>
      <c r="B17397" s="0" t="n">
        <v>5342533</v>
      </c>
      <c r="C17397" s="0" t="n">
        <v>5342553</v>
      </c>
      <c r="D17397" s="0" t="s">
        <v>57841</v>
      </c>
      <c r="E17397" s="0" t="s">
        <v>57842</v>
      </c>
      <c r="F17397" s="0" t="s">
        <v>15</v>
      </c>
      <c r="G17397" s="0" t="s">
        <v>20</v>
      </c>
      <c r="H17397" s="0" t="n">
        <v>46</v>
      </c>
      <c r="I17397" s="0" t="s">
        <v>57846</v>
      </c>
      <c r="J17397" s="0" t="s">
        <v>57847</v>
      </c>
      <c r="K17397" s="0" t="s">
        <v>57848</v>
      </c>
      <c r="L17397" s="0" t="str">
        <f aca="false">HYPERLINK("https://www.ncbi.nlm.nih.gov/nuccore/CP000058.1?report=graph&amp;tracks=[key:gene_model_track,Options:GeneOnly]&amp;mk=5342514:5342533|offset_26|444444,5342534:5342553|offset_46|00cc00,5342559:5342578|offset_71|444444,5342606:5342625|offset_118|444444&amp;v=5342313:5342825&amp;c=444444", "offset 46")</f>
        <v>offset 46</v>
      </c>
    </row>
    <row r="17398" customFormat="false" ht="12.8" hidden="false" customHeight="false" outlineLevel="0" collapsed="false">
      <c r="A17398" s="0" t="s">
        <v>12</v>
      </c>
      <c r="B17398" s="0" t="n">
        <v>5342558</v>
      </c>
      <c r="C17398" s="0" t="n">
        <v>5342578</v>
      </c>
      <c r="D17398" s="0" t="s">
        <v>57841</v>
      </c>
      <c r="E17398" s="0" t="s">
        <v>57842</v>
      </c>
      <c r="F17398" s="0" t="s">
        <v>15</v>
      </c>
      <c r="G17398" s="0" t="s">
        <v>32</v>
      </c>
      <c r="H17398" s="0" t="n">
        <v>71</v>
      </c>
      <c r="I17398" s="0" t="s">
        <v>57849</v>
      </c>
      <c r="J17398" s="0" t="s">
        <v>57850</v>
      </c>
      <c r="K17398" s="0" t="s">
        <v>57851</v>
      </c>
      <c r="L17398" s="0" t="str">
        <f aca="false">HYPERLINK("https://www.ncbi.nlm.nih.gov/nuccore/CP000058.1?report=graph&amp;tracks=[key:gene_model_track,Options:GeneOnly]&amp;mk=5342514:5342533|offset_26|444444,5342534:5342553|offset_46|444444,5342559:5342578|offset_71|00cc00,5342606:5342625|offset_118|444444&amp;v=5342313:5342825&amp;c=444444", "offset 71")</f>
        <v>offset 71</v>
      </c>
    </row>
    <row r="17399" customFormat="false" ht="12.8" hidden="false" customHeight="false" outlineLevel="0" collapsed="false">
      <c r="A17399" s="0" t="s">
        <v>12</v>
      </c>
      <c r="B17399" s="0" t="n">
        <v>5342605</v>
      </c>
      <c r="C17399" s="0" t="n">
        <v>5342625</v>
      </c>
      <c r="D17399" s="0" t="s">
        <v>57841</v>
      </c>
      <c r="E17399" s="0" t="s">
        <v>57842</v>
      </c>
      <c r="F17399" s="0" t="s">
        <v>15</v>
      </c>
      <c r="G17399" s="0" t="s">
        <v>36</v>
      </c>
      <c r="H17399" s="0" t="n">
        <v>118</v>
      </c>
      <c r="I17399" s="0" t="s">
        <v>57852</v>
      </c>
      <c r="J17399" s="0" t="s">
        <v>57853</v>
      </c>
      <c r="K17399" s="0" t="s">
        <v>57854</v>
      </c>
      <c r="L17399" s="0" t="str">
        <f aca="false">HYPERLINK("https://www.ncbi.nlm.nih.gov/nuccore/CP000058.1?report=graph&amp;tracks=[key:gene_model_track,Options:GeneOnly]&amp;mk=5342514:5342533|offset_26|444444,5342534:5342553|offset_46|444444,5342559:5342578|offset_71|444444,5342606:5342625|offset_118|00cc00&amp;v=5342313:5342825&amp;c=444444", "offset 118")</f>
        <v>offset 118</v>
      </c>
    </row>
    <row r="17400" customFormat="false" ht="12.8" hidden="false" customHeight="false" outlineLevel="0" collapsed="false">
      <c r="A17400" s="0" t="s">
        <v>12</v>
      </c>
      <c r="B17400" s="0" t="n">
        <v>5343254</v>
      </c>
      <c r="C17400" s="0" t="n">
        <v>5343274</v>
      </c>
      <c r="D17400" s="0" t="s">
        <v>57855</v>
      </c>
      <c r="E17400" s="0" t="s">
        <v>57856</v>
      </c>
      <c r="F17400" s="0" t="s">
        <v>15</v>
      </c>
      <c r="G17400" s="0" t="s">
        <v>16</v>
      </c>
      <c r="H17400" s="0" t="n">
        <v>15</v>
      </c>
      <c r="I17400" s="0" t="s">
        <v>57857</v>
      </c>
      <c r="J17400" s="0" t="s">
        <v>57858</v>
      </c>
      <c r="K17400" s="0" t="s">
        <v>57859</v>
      </c>
      <c r="L17400" s="0" t="str">
        <f aca="false">HYPERLINK("https://www.ncbi.nlm.nih.gov/nuccore/CP000058.1?report=graph&amp;tracks=[key:gene_model_track,Options:GeneOnly]&amp;mk=5343255:5343274|offset_15|00cc00,5343276:5343295|offset_36|444444,5343312:5343331|offset_72|444444,5343342:5343361|offset_102|444444&amp;v=5343054:5343561&amp;c=444444", "offset 15")</f>
        <v>offset 15</v>
      </c>
    </row>
    <row r="17401" customFormat="false" ht="12.8" hidden="false" customHeight="false" outlineLevel="0" collapsed="false">
      <c r="A17401" s="0" t="s">
        <v>12</v>
      </c>
      <c r="B17401" s="0" t="n">
        <v>5343275</v>
      </c>
      <c r="C17401" s="0" t="n">
        <v>5343295</v>
      </c>
      <c r="D17401" s="0" t="s">
        <v>57855</v>
      </c>
      <c r="E17401" s="0" t="s">
        <v>57856</v>
      </c>
      <c r="F17401" s="0" t="s">
        <v>15</v>
      </c>
      <c r="G17401" s="0" t="s">
        <v>36</v>
      </c>
      <c r="H17401" s="0" t="n">
        <v>36</v>
      </c>
      <c r="I17401" s="0" t="s">
        <v>57860</v>
      </c>
      <c r="J17401" s="0" t="s">
        <v>57861</v>
      </c>
      <c r="K17401" s="0" t="s">
        <v>57862</v>
      </c>
      <c r="L17401" s="0" t="str">
        <f aca="false">HYPERLINK("https://www.ncbi.nlm.nih.gov/nuccore/CP000058.1?report=graph&amp;tracks=[key:gene_model_track,Options:GeneOnly]&amp;mk=5343255:5343274|offset_15|444444,5343276:5343295|offset_36|00cc00,5343312:5343331|offset_72|444444,5343342:5343361|offset_102|444444&amp;v=5343054:5343561&amp;c=444444", "offset 36")</f>
        <v>offset 36</v>
      </c>
    </row>
    <row r="17402" customFormat="false" ht="12.8" hidden="false" customHeight="false" outlineLevel="0" collapsed="false">
      <c r="A17402" s="0" t="s">
        <v>12</v>
      </c>
      <c r="B17402" s="0" t="n">
        <v>5343311</v>
      </c>
      <c r="C17402" s="0" t="n">
        <v>5343331</v>
      </c>
      <c r="D17402" s="0" t="s">
        <v>57855</v>
      </c>
      <c r="E17402" s="0" t="s">
        <v>57856</v>
      </c>
      <c r="F17402" s="0" t="s">
        <v>15</v>
      </c>
      <c r="G17402" s="0" t="s">
        <v>20</v>
      </c>
      <c r="H17402" s="0" t="n">
        <v>72</v>
      </c>
      <c r="I17402" s="0" t="s">
        <v>57863</v>
      </c>
      <c r="J17402" s="0" t="s">
        <v>57864</v>
      </c>
      <c r="K17402" s="0" t="s">
        <v>57865</v>
      </c>
      <c r="L17402" s="0" t="str">
        <f aca="false">HYPERLINK("https://www.ncbi.nlm.nih.gov/nuccore/CP000058.1?report=graph&amp;tracks=[key:gene_model_track,Options:GeneOnly]&amp;mk=5343255:5343274|offset_15|444444,5343276:5343295|offset_36|444444,5343312:5343331|offset_72|00cc00,5343342:5343361|offset_102|444444&amp;v=5343054:5343561&amp;c=444444", "offset 72")</f>
        <v>offset 72</v>
      </c>
    </row>
    <row r="17403" customFormat="false" ht="12.8" hidden="false" customHeight="false" outlineLevel="0" collapsed="false">
      <c r="A17403" s="0" t="s">
        <v>12</v>
      </c>
      <c r="B17403" s="0" t="n">
        <v>5343341</v>
      </c>
      <c r="C17403" s="0" t="n">
        <v>5343361</v>
      </c>
      <c r="D17403" s="0" t="s">
        <v>57855</v>
      </c>
      <c r="E17403" s="0" t="s">
        <v>57856</v>
      </c>
      <c r="F17403" s="0" t="s">
        <v>15</v>
      </c>
      <c r="G17403" s="0" t="s">
        <v>20</v>
      </c>
      <c r="H17403" s="0" t="n">
        <v>102</v>
      </c>
      <c r="I17403" s="0" t="s">
        <v>57866</v>
      </c>
      <c r="J17403" s="0" t="s">
        <v>57867</v>
      </c>
      <c r="K17403" s="0" t="s">
        <v>57868</v>
      </c>
      <c r="L17403" s="0" t="str">
        <f aca="false">HYPERLINK("https://www.ncbi.nlm.nih.gov/nuccore/CP000058.1?report=graph&amp;tracks=[key:gene_model_track,Options:GeneOnly]&amp;mk=5343255:5343274|offset_15|444444,5343276:5343295|offset_36|444444,5343312:5343331|offset_72|444444,5343342:5343361|offset_102|00cc00&amp;v=5343054:5343561&amp;c=444444", "offset 102")</f>
        <v>offset 102</v>
      </c>
    </row>
    <row r="17404" customFormat="false" ht="12.8" hidden="false" customHeight="false" outlineLevel="0" collapsed="false">
      <c r="A17404" s="0" t="s">
        <v>12</v>
      </c>
      <c r="B17404" s="0" t="n">
        <v>5343532</v>
      </c>
      <c r="C17404" s="0" t="n">
        <v>5343552</v>
      </c>
      <c r="D17404" s="0" t="s">
        <v>57869</v>
      </c>
      <c r="E17404" s="0" t="s">
        <v>57870</v>
      </c>
      <c r="F17404" s="0" t="s">
        <v>15</v>
      </c>
      <c r="G17404" s="0" t="s">
        <v>36</v>
      </c>
      <c r="H17404" s="0" t="n">
        <v>16</v>
      </c>
      <c r="I17404" s="0" t="s">
        <v>57871</v>
      </c>
      <c r="J17404" s="0" t="s">
        <v>57872</v>
      </c>
      <c r="K17404" s="0" t="s">
        <v>57873</v>
      </c>
      <c r="L17404" s="0" t="str">
        <f aca="false">HYPERLINK("https://www.ncbi.nlm.nih.gov/nuccore/CP000058.1?report=graph&amp;tracks=[key:gene_model_track,Options:GeneOnly]&amp;mk=5343533:5343552|offset_16|00cc00,5343559:5343578|offset_42|444444,5343583:5343602|offset_66|444444,5343608:5343627|offset_91|444444&amp;v=5343332:5343827&amp;c=444444", "offset 16")</f>
        <v>offset 16</v>
      </c>
    </row>
    <row r="17405" customFormat="false" ht="12.8" hidden="false" customHeight="false" outlineLevel="0" collapsed="false">
      <c r="A17405" s="0" t="s">
        <v>12</v>
      </c>
      <c r="B17405" s="0" t="n">
        <v>5343558</v>
      </c>
      <c r="C17405" s="0" t="n">
        <v>5343578</v>
      </c>
      <c r="D17405" s="0" t="s">
        <v>57869</v>
      </c>
      <c r="E17405" s="0" t="s">
        <v>57870</v>
      </c>
      <c r="F17405" s="0" t="s">
        <v>15</v>
      </c>
      <c r="G17405" s="0" t="s">
        <v>16</v>
      </c>
      <c r="H17405" s="0" t="n">
        <v>42</v>
      </c>
      <c r="I17405" s="0" t="s">
        <v>57874</v>
      </c>
      <c r="J17405" s="0" t="s">
        <v>57875</v>
      </c>
      <c r="K17405" s="0" t="s">
        <v>57876</v>
      </c>
      <c r="L17405" s="0" t="str">
        <f aca="false">HYPERLINK("https://www.ncbi.nlm.nih.gov/nuccore/CP000058.1?report=graph&amp;tracks=[key:gene_model_track,Options:GeneOnly]&amp;mk=5343533:5343552|offset_16|444444,5343559:5343578|offset_42|00cc00,5343583:5343602|offset_66|444444,5343608:5343627|offset_91|444444&amp;v=5343332:5343827&amp;c=444444", "offset 42")</f>
        <v>offset 42</v>
      </c>
    </row>
    <row r="17406" customFormat="false" ht="12.8" hidden="false" customHeight="false" outlineLevel="0" collapsed="false">
      <c r="A17406" s="0" t="s">
        <v>12</v>
      </c>
      <c r="B17406" s="0" t="n">
        <v>5343582</v>
      </c>
      <c r="C17406" s="0" t="n">
        <v>5343602</v>
      </c>
      <c r="D17406" s="0" t="s">
        <v>57869</v>
      </c>
      <c r="E17406" s="0" t="s">
        <v>57870</v>
      </c>
      <c r="F17406" s="0" t="s">
        <v>15</v>
      </c>
      <c r="G17406" s="0" t="s">
        <v>32</v>
      </c>
      <c r="H17406" s="0" t="n">
        <v>66</v>
      </c>
      <c r="I17406" s="0" t="s">
        <v>57877</v>
      </c>
      <c r="J17406" s="0" t="s">
        <v>57878</v>
      </c>
      <c r="K17406" s="0" t="s">
        <v>57879</v>
      </c>
      <c r="L17406" s="0" t="str">
        <f aca="false">HYPERLINK("https://www.ncbi.nlm.nih.gov/nuccore/CP000058.1?report=graph&amp;tracks=[key:gene_model_track,Options:GeneOnly]&amp;mk=5343533:5343552|offset_16|444444,5343559:5343578|offset_42|444444,5343583:5343602|offset_66|00cc00,5343608:5343627|offset_91|444444&amp;v=5343332:5343827&amp;c=444444", "offset 66")</f>
        <v>offset 66</v>
      </c>
    </row>
    <row r="17407" customFormat="false" ht="12.8" hidden="false" customHeight="false" outlineLevel="0" collapsed="false">
      <c r="A17407" s="0" t="s">
        <v>12</v>
      </c>
      <c r="B17407" s="0" t="n">
        <v>5343607</v>
      </c>
      <c r="C17407" s="0" t="n">
        <v>5343627</v>
      </c>
      <c r="D17407" s="0" t="s">
        <v>57869</v>
      </c>
      <c r="E17407" s="0" t="s">
        <v>57870</v>
      </c>
      <c r="F17407" s="0" t="s">
        <v>15</v>
      </c>
      <c r="G17407" s="0" t="s">
        <v>20</v>
      </c>
      <c r="H17407" s="0" t="n">
        <v>91</v>
      </c>
      <c r="I17407" s="0" t="s">
        <v>57880</v>
      </c>
      <c r="J17407" s="0" t="s">
        <v>57881</v>
      </c>
      <c r="K17407" s="0" t="s">
        <v>57882</v>
      </c>
      <c r="L17407" s="0" t="str">
        <f aca="false">HYPERLINK("https://www.ncbi.nlm.nih.gov/nuccore/CP000058.1?report=graph&amp;tracks=[key:gene_model_track,Options:GeneOnly]&amp;mk=5343533:5343552|offset_16|444444,5343559:5343578|offset_42|444444,5343583:5343602|offset_66|444444,5343608:5343627|offset_91|00cc00&amp;v=5343332:5343827&amp;c=444444", "offset 91")</f>
        <v>offset 91</v>
      </c>
    </row>
    <row r="17408" customFormat="false" ht="12.8" hidden="false" customHeight="false" outlineLevel="0" collapsed="false">
      <c r="A17408" s="0" t="s">
        <v>12</v>
      </c>
      <c r="B17408" s="0" t="n">
        <v>5344692</v>
      </c>
      <c r="C17408" s="0" t="n">
        <v>5344712</v>
      </c>
      <c r="D17408" s="0" t="s">
        <v>57883</v>
      </c>
      <c r="E17408" s="0" t="s">
        <v>75</v>
      </c>
      <c r="F17408" s="0" t="s">
        <v>15</v>
      </c>
      <c r="G17408" s="0" t="s">
        <v>20</v>
      </c>
      <c r="H17408" s="0" t="n">
        <v>44</v>
      </c>
      <c r="I17408" s="0" t="s">
        <v>57884</v>
      </c>
      <c r="J17408" s="0" t="s">
        <v>57885</v>
      </c>
      <c r="K17408" s="0" t="s">
        <v>57886</v>
      </c>
      <c r="L17408" s="0" t="str">
        <f aca="false">HYPERLINK("https://www.ncbi.nlm.nih.gov/nuccore/CP000058.1?report=graph&amp;tracks=[key:gene_model_track,Options:GeneOnly]&amp;mk=5344693:5344712|offset_44|00cc00,5344734:5344753|offset_85|444444,5344759:5344778|offset_110|444444,5344780:5344799|offset_131|444444&amp;v=5344492:5344999&amp;c=444444", "offset 44")</f>
        <v>offset 44</v>
      </c>
    </row>
    <row r="17409" customFormat="false" ht="12.8" hidden="false" customHeight="false" outlineLevel="0" collapsed="false">
      <c r="A17409" s="0" t="s">
        <v>12</v>
      </c>
      <c r="B17409" s="0" t="n">
        <v>5344733</v>
      </c>
      <c r="C17409" s="0" t="n">
        <v>5344753</v>
      </c>
      <c r="D17409" s="0" t="s">
        <v>57883</v>
      </c>
      <c r="E17409" s="0" t="s">
        <v>75</v>
      </c>
      <c r="F17409" s="0" t="s">
        <v>15</v>
      </c>
      <c r="G17409" s="0" t="s">
        <v>16</v>
      </c>
      <c r="H17409" s="0" t="n">
        <v>85</v>
      </c>
      <c r="I17409" s="0" t="s">
        <v>57887</v>
      </c>
      <c r="J17409" s="0" t="s">
        <v>57888</v>
      </c>
      <c r="K17409" s="0" t="s">
        <v>57889</v>
      </c>
      <c r="L17409" s="0" t="str">
        <f aca="false">HYPERLINK("https://www.ncbi.nlm.nih.gov/nuccore/CP000058.1?report=graph&amp;tracks=[key:gene_model_track,Options:GeneOnly]&amp;mk=5344693:5344712|offset_44|444444,5344734:5344753|offset_85|00cc00,5344759:5344778|offset_110|444444,5344780:5344799|offset_131|444444&amp;v=5344492:5344999&amp;c=444444", "offset 85")</f>
        <v>offset 85</v>
      </c>
    </row>
    <row r="17410" customFormat="false" ht="12.8" hidden="false" customHeight="false" outlineLevel="0" collapsed="false">
      <c r="A17410" s="0" t="s">
        <v>12</v>
      </c>
      <c r="B17410" s="0" t="n">
        <v>5344758</v>
      </c>
      <c r="C17410" s="0" t="n">
        <v>5344778</v>
      </c>
      <c r="D17410" s="0" t="s">
        <v>57883</v>
      </c>
      <c r="E17410" s="0" t="s">
        <v>75</v>
      </c>
      <c r="F17410" s="0" t="s">
        <v>15</v>
      </c>
      <c r="G17410" s="0" t="s">
        <v>20</v>
      </c>
      <c r="H17410" s="0" t="n">
        <v>110</v>
      </c>
      <c r="I17410" s="0" t="s">
        <v>57890</v>
      </c>
      <c r="J17410" s="0" t="s">
        <v>57891</v>
      </c>
      <c r="K17410" s="0" t="s">
        <v>57892</v>
      </c>
      <c r="L17410" s="0" t="str">
        <f aca="false">HYPERLINK("https://www.ncbi.nlm.nih.gov/nuccore/CP000058.1?report=graph&amp;tracks=[key:gene_model_track,Options:GeneOnly]&amp;mk=5344693:5344712|offset_44|444444,5344734:5344753|offset_85|444444,5344759:5344778|offset_110|00cc00,5344780:5344799|offset_131|444444&amp;v=5344492:5344999&amp;c=444444", "offset 110")</f>
        <v>offset 110</v>
      </c>
    </row>
    <row r="17411" customFormat="false" ht="12.8" hidden="false" customHeight="false" outlineLevel="0" collapsed="false">
      <c r="A17411" s="0" t="s">
        <v>12</v>
      </c>
      <c r="B17411" s="0" t="n">
        <v>5344779</v>
      </c>
      <c r="C17411" s="0" t="n">
        <v>5344799</v>
      </c>
      <c r="D17411" s="0" t="s">
        <v>57883</v>
      </c>
      <c r="E17411" s="0" t="s">
        <v>75</v>
      </c>
      <c r="F17411" s="0" t="s">
        <v>15</v>
      </c>
      <c r="G17411" s="0" t="s">
        <v>36</v>
      </c>
      <c r="H17411" s="0" t="n">
        <v>131</v>
      </c>
      <c r="I17411" s="0" t="s">
        <v>57893</v>
      </c>
      <c r="J17411" s="0" t="s">
        <v>57894</v>
      </c>
      <c r="K17411" s="0" t="s">
        <v>57895</v>
      </c>
      <c r="L17411" s="0" t="str">
        <f aca="false">HYPERLINK("https://www.ncbi.nlm.nih.gov/nuccore/CP000058.1?report=graph&amp;tracks=[key:gene_model_track,Options:GeneOnly]&amp;mk=5344693:5344712|offset_44|444444,5344734:5344753|offset_85|444444,5344759:5344778|offset_110|444444,5344780:5344799|offset_131|00cc00&amp;v=5344492:5344999&amp;c=444444", "offset 131")</f>
        <v>offset 131</v>
      </c>
    </row>
    <row r="17412" customFormat="false" ht="12.8" hidden="false" customHeight="false" outlineLevel="0" collapsed="false">
      <c r="A17412" s="0" t="s">
        <v>12</v>
      </c>
      <c r="B17412" s="0" t="n">
        <v>5346730</v>
      </c>
      <c r="C17412" s="0" t="n">
        <v>5346750</v>
      </c>
      <c r="D17412" s="0" t="s">
        <v>57896</v>
      </c>
      <c r="E17412" s="0" t="s">
        <v>75</v>
      </c>
      <c r="F17412" s="0" t="s">
        <v>90</v>
      </c>
      <c r="G17412" s="0" t="s">
        <v>32</v>
      </c>
      <c r="H17412" s="0" t="n">
        <v>7</v>
      </c>
      <c r="I17412" s="0" t="s">
        <v>57897</v>
      </c>
      <c r="J17412" s="0" t="s">
        <v>57898</v>
      </c>
      <c r="K17412" s="0" t="s">
        <v>57899</v>
      </c>
      <c r="L17412" s="0" t="str">
        <f aca="false">HYPERLINK("https://www.ncbi.nlm.nih.gov/nuccore/CP000058.1?report=graph&amp;tracks=[key:gene_model_track,Options:GeneOnly]&amp;mk=5346731:5346750|offset_7|00cc00,5346674:5346693|offset_64|444444,5346607:5346626|offset_131|444444,5346583:5346602|offset_155|444444&amp;v=5346530:5346802&amp;c=444444", "offset 7")</f>
        <v>offset 7</v>
      </c>
    </row>
    <row r="17413" customFormat="false" ht="12.8" hidden="false" customHeight="false" outlineLevel="0" collapsed="false">
      <c r="A17413" s="0" t="s">
        <v>12</v>
      </c>
      <c r="B17413" s="0" t="n">
        <v>5346673</v>
      </c>
      <c r="C17413" s="0" t="n">
        <v>5346693</v>
      </c>
      <c r="D17413" s="0" t="s">
        <v>57896</v>
      </c>
      <c r="E17413" s="0" t="s">
        <v>75</v>
      </c>
      <c r="F17413" s="0" t="s">
        <v>90</v>
      </c>
      <c r="G17413" s="0" t="s">
        <v>32</v>
      </c>
      <c r="H17413" s="0" t="n">
        <v>64</v>
      </c>
      <c r="I17413" s="0" t="s">
        <v>57900</v>
      </c>
      <c r="J17413" s="0" t="s">
        <v>57901</v>
      </c>
      <c r="K17413" s="0" t="s">
        <v>57902</v>
      </c>
      <c r="L17413" s="0" t="str">
        <f aca="false">HYPERLINK("https://www.ncbi.nlm.nih.gov/nuccore/CP000058.1?report=graph&amp;tracks=[key:gene_model_track,Options:GeneOnly]&amp;mk=5346731:5346750|offset_7|444444,5346674:5346693|offset_64|00cc00,5346607:5346626|offset_131|444444,5346583:5346602|offset_155|444444&amp;v=5346530:5346802&amp;c=444444", "offset 64")</f>
        <v>offset 64</v>
      </c>
    </row>
    <row r="17414" customFormat="false" ht="12.8" hidden="false" customHeight="false" outlineLevel="0" collapsed="false">
      <c r="A17414" s="0" t="s">
        <v>12</v>
      </c>
      <c r="B17414" s="0" t="n">
        <v>5346606</v>
      </c>
      <c r="C17414" s="0" t="n">
        <v>5346626</v>
      </c>
      <c r="D17414" s="0" t="s">
        <v>57896</v>
      </c>
      <c r="E17414" s="0" t="s">
        <v>75</v>
      </c>
      <c r="F17414" s="0" t="s">
        <v>90</v>
      </c>
      <c r="G17414" s="0" t="s">
        <v>20</v>
      </c>
      <c r="H17414" s="0" t="n">
        <v>131</v>
      </c>
      <c r="I17414" s="0" t="s">
        <v>57903</v>
      </c>
      <c r="J17414" s="0" t="s">
        <v>57904</v>
      </c>
      <c r="K17414" s="0" t="s">
        <v>57905</v>
      </c>
      <c r="L17414" s="0" t="str">
        <f aca="false">HYPERLINK("https://www.ncbi.nlm.nih.gov/nuccore/CP000058.1?report=graph&amp;tracks=[key:gene_model_track,Options:GeneOnly]&amp;mk=5346731:5346750|offset_7|444444,5346674:5346693|offset_64|444444,5346607:5346626|offset_131|00cc00,5346583:5346602|offset_155|444444&amp;v=5346530:5346802&amp;c=444444", "offset 131")</f>
        <v>offset 131</v>
      </c>
    </row>
    <row r="17415" customFormat="false" ht="12.8" hidden="false" customHeight="false" outlineLevel="0" collapsed="false">
      <c r="A17415" s="0" t="s">
        <v>12</v>
      </c>
      <c r="B17415" s="0" t="n">
        <v>5346582</v>
      </c>
      <c r="C17415" s="0" t="n">
        <v>5346602</v>
      </c>
      <c r="D17415" s="0" t="s">
        <v>57896</v>
      </c>
      <c r="E17415" s="0" t="s">
        <v>75</v>
      </c>
      <c r="F17415" s="0" t="s">
        <v>90</v>
      </c>
      <c r="G17415" s="0" t="s">
        <v>36</v>
      </c>
      <c r="H17415" s="0" t="n">
        <v>155</v>
      </c>
      <c r="I17415" s="0" t="s">
        <v>57906</v>
      </c>
      <c r="J17415" s="0" t="s">
        <v>57907</v>
      </c>
      <c r="K17415" s="0" t="s">
        <v>57908</v>
      </c>
      <c r="L17415" s="0" t="str">
        <f aca="false">HYPERLINK("https://www.ncbi.nlm.nih.gov/nuccore/CP000058.1?report=graph&amp;tracks=[key:gene_model_track,Options:GeneOnly]&amp;mk=5346731:5346750|offset_7|444444,5346674:5346693|offset_64|444444,5346607:5346626|offset_131|444444,5346583:5346602|offset_155|00cc00&amp;v=5346530:5346802&amp;c=444444", "offset 155")</f>
        <v>offset 155</v>
      </c>
    </row>
    <row r="17416" customFormat="false" ht="12.8" hidden="false" customHeight="false" outlineLevel="0" collapsed="false">
      <c r="A17416" s="0" t="s">
        <v>12</v>
      </c>
      <c r="B17416" s="0" t="n">
        <v>5346962</v>
      </c>
      <c r="C17416" s="0" t="n">
        <v>5346982</v>
      </c>
      <c r="D17416" s="0" t="s">
        <v>57909</v>
      </c>
      <c r="E17416" s="0" t="s">
        <v>75</v>
      </c>
      <c r="F17416" s="0" t="s">
        <v>90</v>
      </c>
      <c r="G17416" s="0" t="s">
        <v>20</v>
      </c>
      <c r="H17416" s="0" t="n">
        <v>61</v>
      </c>
      <c r="I17416" s="0" t="s">
        <v>57910</v>
      </c>
      <c r="J17416" s="0" t="s">
        <v>57911</v>
      </c>
      <c r="K17416" s="0" t="s">
        <v>57912</v>
      </c>
      <c r="L17416" s="0" t="str">
        <f aca="false">HYPERLINK("https://www.ncbi.nlm.nih.gov/nuccore/CP000058.1?report=graph&amp;tracks=[key:gene_model_track,Options:GeneOnly]&amp;mk=5346963:5346982|offset_61|00cc00,5346913:5346932|offset_111|444444,5346860:5346879|offset_164|444444,5346836:5346855|offset_188|444444&amp;v=5346762:5347055&amp;c=444444", "offset 61")</f>
        <v>offset 61</v>
      </c>
    </row>
    <row r="17417" customFormat="false" ht="12.8" hidden="false" customHeight="false" outlineLevel="0" collapsed="false">
      <c r="A17417" s="0" t="s">
        <v>12</v>
      </c>
      <c r="B17417" s="0" t="n">
        <v>5346912</v>
      </c>
      <c r="C17417" s="0" t="n">
        <v>5346932</v>
      </c>
      <c r="D17417" s="0" t="s">
        <v>57909</v>
      </c>
      <c r="E17417" s="0" t="s">
        <v>75</v>
      </c>
      <c r="F17417" s="0" t="s">
        <v>90</v>
      </c>
      <c r="G17417" s="0" t="s">
        <v>36</v>
      </c>
      <c r="H17417" s="0" t="n">
        <v>111</v>
      </c>
      <c r="I17417" s="0" t="s">
        <v>57913</v>
      </c>
      <c r="J17417" s="0" t="s">
        <v>57914</v>
      </c>
      <c r="K17417" s="0" t="s">
        <v>57915</v>
      </c>
      <c r="L17417" s="0" t="str">
        <f aca="false">HYPERLINK("https://www.ncbi.nlm.nih.gov/nuccore/CP000058.1?report=graph&amp;tracks=[key:gene_model_track,Options:GeneOnly]&amp;mk=5346963:5346982|offset_61|444444,5346913:5346932|offset_111|00cc00,5346860:5346879|offset_164|444444,5346836:5346855|offset_188|444444&amp;v=5346762:5347055&amp;c=444444", "offset 111")</f>
        <v>offset 111</v>
      </c>
    </row>
    <row r="17418" customFormat="false" ht="12.8" hidden="false" customHeight="false" outlineLevel="0" collapsed="false">
      <c r="A17418" s="0" t="s">
        <v>12</v>
      </c>
      <c r="B17418" s="0" t="n">
        <v>5346859</v>
      </c>
      <c r="C17418" s="0" t="n">
        <v>5346879</v>
      </c>
      <c r="D17418" s="0" t="s">
        <v>57909</v>
      </c>
      <c r="E17418" s="0" t="s">
        <v>75</v>
      </c>
      <c r="F17418" s="0" t="s">
        <v>90</v>
      </c>
      <c r="G17418" s="0" t="s">
        <v>16</v>
      </c>
      <c r="H17418" s="0" t="n">
        <v>164</v>
      </c>
      <c r="I17418" s="0" t="s">
        <v>57916</v>
      </c>
      <c r="J17418" s="0" t="s">
        <v>57917</v>
      </c>
      <c r="K17418" s="0" t="s">
        <v>57918</v>
      </c>
      <c r="L17418" s="0" t="str">
        <f aca="false">HYPERLINK("https://www.ncbi.nlm.nih.gov/nuccore/CP000058.1?report=graph&amp;tracks=[key:gene_model_track,Options:GeneOnly]&amp;mk=5346963:5346982|offset_61|444444,5346913:5346932|offset_111|444444,5346860:5346879|offset_164|00cc00,5346836:5346855|offset_188|444444&amp;v=5346762:5347055&amp;c=444444", "offset 164")</f>
        <v>offset 164</v>
      </c>
    </row>
    <row r="17419" customFormat="false" ht="12.8" hidden="false" customHeight="false" outlineLevel="0" collapsed="false">
      <c r="A17419" s="0" t="s">
        <v>12</v>
      </c>
      <c r="B17419" s="0" t="n">
        <v>5346835</v>
      </c>
      <c r="C17419" s="0" t="n">
        <v>5346855</v>
      </c>
      <c r="D17419" s="0" t="s">
        <v>57909</v>
      </c>
      <c r="E17419" s="0" t="s">
        <v>75</v>
      </c>
      <c r="F17419" s="0" t="s">
        <v>90</v>
      </c>
      <c r="G17419" s="0" t="s">
        <v>36</v>
      </c>
      <c r="H17419" s="0" t="n">
        <v>188</v>
      </c>
      <c r="I17419" s="0" t="s">
        <v>57919</v>
      </c>
      <c r="J17419" s="0" t="s">
        <v>57920</v>
      </c>
      <c r="K17419" s="0" t="s">
        <v>57921</v>
      </c>
      <c r="L17419" s="0" t="str">
        <f aca="false">HYPERLINK("https://www.ncbi.nlm.nih.gov/nuccore/CP000058.1?report=graph&amp;tracks=[key:gene_model_track,Options:GeneOnly]&amp;mk=5346963:5346982|offset_61|444444,5346913:5346932|offset_111|444444,5346860:5346879|offset_164|444444,5346836:5346855|offset_188|00cc00&amp;v=5346762:5347055&amp;c=444444", "offset 188")</f>
        <v>offset 188</v>
      </c>
    </row>
    <row r="17420" customFormat="false" ht="12.8" hidden="false" customHeight="false" outlineLevel="0" collapsed="false">
      <c r="A17420" s="0" t="s">
        <v>12</v>
      </c>
      <c r="B17420" s="0" t="n">
        <v>5348883</v>
      </c>
      <c r="C17420" s="0" t="n">
        <v>5348903</v>
      </c>
      <c r="D17420" s="0" t="s">
        <v>57922</v>
      </c>
      <c r="E17420" s="0" t="s">
        <v>75</v>
      </c>
      <c r="F17420" s="0" t="s">
        <v>90</v>
      </c>
      <c r="G17420" s="0" t="s">
        <v>32</v>
      </c>
      <c r="H17420" s="0" t="n">
        <v>1</v>
      </c>
      <c r="I17420" s="0" t="s">
        <v>57923</v>
      </c>
      <c r="J17420" s="0" t="s">
        <v>57924</v>
      </c>
      <c r="K17420" s="0" t="s">
        <v>57925</v>
      </c>
      <c r="L17420" s="0" t="str">
        <f aca="false">HYPERLINK("https://www.ncbi.nlm.nih.gov/nuccore/CP000058.1?report=graph&amp;tracks=[key:gene_model_track,Options:GeneOnly]&amp;mk=5348884:5348903|offset_1|00cc00,5348864:5348883|offset_21|444444,5348841:5348860|offset_44|444444,5348798:5348817|offset_87|444444&amp;v=5348683:5349017&amp;c=444444", "offset 1")</f>
        <v>offset 1</v>
      </c>
    </row>
    <row r="17421" customFormat="false" ht="12.8" hidden="false" customHeight="false" outlineLevel="0" collapsed="false">
      <c r="A17421" s="0" t="s">
        <v>12</v>
      </c>
      <c r="B17421" s="0" t="n">
        <v>5348863</v>
      </c>
      <c r="C17421" s="0" t="n">
        <v>5348883</v>
      </c>
      <c r="D17421" s="0" t="s">
        <v>57922</v>
      </c>
      <c r="E17421" s="0" t="s">
        <v>75</v>
      </c>
      <c r="F17421" s="0" t="s">
        <v>90</v>
      </c>
      <c r="G17421" s="0" t="s">
        <v>32</v>
      </c>
      <c r="H17421" s="0" t="n">
        <v>21</v>
      </c>
      <c r="I17421" s="0" t="s">
        <v>57926</v>
      </c>
      <c r="J17421" s="0" t="s">
        <v>57927</v>
      </c>
      <c r="K17421" s="0" t="s">
        <v>57928</v>
      </c>
      <c r="L17421" s="0" t="str">
        <f aca="false">HYPERLINK("https://www.ncbi.nlm.nih.gov/nuccore/CP000058.1?report=graph&amp;tracks=[key:gene_model_track,Options:GeneOnly]&amp;mk=5348884:5348903|offset_1|444444,5348864:5348883|offset_21|00cc00,5348841:5348860|offset_44|444444,5348798:5348817|offset_87|444444&amp;v=5348683:5349017&amp;c=444444", "offset 21")</f>
        <v>offset 21</v>
      </c>
    </row>
    <row r="17422" customFormat="false" ht="12.8" hidden="false" customHeight="false" outlineLevel="0" collapsed="false">
      <c r="A17422" s="0" t="s">
        <v>12</v>
      </c>
      <c r="B17422" s="0" t="n">
        <v>5348840</v>
      </c>
      <c r="C17422" s="0" t="n">
        <v>5348860</v>
      </c>
      <c r="D17422" s="0" t="s">
        <v>57922</v>
      </c>
      <c r="E17422" s="0" t="s">
        <v>75</v>
      </c>
      <c r="F17422" s="0" t="s">
        <v>90</v>
      </c>
      <c r="G17422" s="0" t="s">
        <v>20</v>
      </c>
      <c r="H17422" s="0" t="n">
        <v>44</v>
      </c>
      <c r="I17422" s="0" t="s">
        <v>57929</v>
      </c>
      <c r="J17422" s="0" t="s">
        <v>57930</v>
      </c>
      <c r="K17422" s="0" t="s">
        <v>57931</v>
      </c>
      <c r="L17422" s="0" t="str">
        <f aca="false">HYPERLINK("https://www.ncbi.nlm.nih.gov/nuccore/CP000058.1?report=graph&amp;tracks=[key:gene_model_track,Options:GeneOnly]&amp;mk=5348884:5348903|offset_1|444444,5348864:5348883|offset_21|444444,5348841:5348860|offset_44|00cc00,5348798:5348817|offset_87|444444&amp;v=5348683:5349017&amp;c=444444", "offset 44")</f>
        <v>offset 44</v>
      </c>
    </row>
    <row r="17423" customFormat="false" ht="12.8" hidden="false" customHeight="false" outlineLevel="0" collapsed="false">
      <c r="A17423" s="0" t="s">
        <v>12</v>
      </c>
      <c r="B17423" s="0" t="n">
        <v>5348797</v>
      </c>
      <c r="C17423" s="0" t="n">
        <v>5348817</v>
      </c>
      <c r="D17423" s="0" t="s">
        <v>57922</v>
      </c>
      <c r="E17423" s="0" t="s">
        <v>75</v>
      </c>
      <c r="F17423" s="0" t="s">
        <v>90</v>
      </c>
      <c r="G17423" s="0" t="s">
        <v>36</v>
      </c>
      <c r="H17423" s="0" t="n">
        <v>87</v>
      </c>
      <c r="I17423" s="0" t="s">
        <v>57932</v>
      </c>
      <c r="J17423" s="0" t="s">
        <v>57933</v>
      </c>
      <c r="K17423" s="0" t="s">
        <v>57934</v>
      </c>
      <c r="L17423" s="0" t="str">
        <f aca="false">HYPERLINK("https://www.ncbi.nlm.nih.gov/nuccore/CP000058.1?report=graph&amp;tracks=[key:gene_model_track,Options:GeneOnly]&amp;mk=5348884:5348903|offset_1|444444,5348864:5348883|offset_21|444444,5348841:5348860|offset_44|444444,5348798:5348817|offset_87|00cc00&amp;v=5348683:5349017&amp;c=444444", "offset 87")</f>
        <v>offset 87</v>
      </c>
    </row>
    <row r="17424" customFormat="false" ht="12.8" hidden="false" customHeight="false" outlineLevel="0" collapsed="false">
      <c r="A17424" s="0" t="s">
        <v>12</v>
      </c>
      <c r="B17424" s="0" t="n">
        <v>5350343</v>
      </c>
      <c r="C17424" s="0" t="n">
        <v>5350363</v>
      </c>
      <c r="D17424" s="0" t="s">
        <v>57935</v>
      </c>
      <c r="E17424" s="0" t="s">
        <v>75</v>
      </c>
      <c r="F17424" s="0" t="s">
        <v>90</v>
      </c>
      <c r="G17424" s="0" t="s">
        <v>32</v>
      </c>
      <c r="H17424" s="0" t="n">
        <v>12</v>
      </c>
      <c r="I17424" s="0" t="s">
        <v>57936</v>
      </c>
      <c r="J17424" s="0" t="s">
        <v>57937</v>
      </c>
      <c r="K17424" s="0" t="s">
        <v>57938</v>
      </c>
      <c r="L17424" s="0" t="str">
        <f aca="false">HYPERLINK("https://www.ncbi.nlm.nih.gov/nuccore/CP000058.1?report=graph&amp;tracks=[key:gene_model_track,Options:GeneOnly]&amp;mk=5350344:5350363|offset_12|00cc00,5350264:5350283|offset_92|444444,5350216:5350235|offset_140|444444,5350139:5350158|offset_217|444444&amp;v=5350143:5350358&amp;c=444444", "offset 12")</f>
        <v>offset 12</v>
      </c>
    </row>
    <row r="17425" customFormat="false" ht="12.8" hidden="false" customHeight="false" outlineLevel="0" collapsed="false">
      <c r="A17425" s="0" t="s">
        <v>12</v>
      </c>
      <c r="B17425" s="0" t="n">
        <v>5350263</v>
      </c>
      <c r="C17425" s="0" t="n">
        <v>5350283</v>
      </c>
      <c r="D17425" s="0" t="s">
        <v>57935</v>
      </c>
      <c r="E17425" s="0" t="s">
        <v>75</v>
      </c>
      <c r="F17425" s="0" t="s">
        <v>90</v>
      </c>
      <c r="G17425" s="0" t="s">
        <v>20</v>
      </c>
      <c r="H17425" s="0" t="n">
        <v>92</v>
      </c>
      <c r="I17425" s="0" t="s">
        <v>57939</v>
      </c>
      <c r="J17425" s="0" t="s">
        <v>57940</v>
      </c>
      <c r="K17425" s="0" t="s">
        <v>57941</v>
      </c>
      <c r="L17425" s="0" t="str">
        <f aca="false">HYPERLINK("https://www.ncbi.nlm.nih.gov/nuccore/CP000058.1?report=graph&amp;tracks=[key:gene_model_track,Options:GeneOnly]&amp;mk=5350344:5350363|offset_12|444444,5350264:5350283|offset_92|00cc00,5350216:5350235|offset_140|444444,5350139:5350158|offset_217|444444&amp;v=5350143:5350358&amp;c=444444", "offset 92")</f>
        <v>offset 92</v>
      </c>
    </row>
    <row r="17426" customFormat="false" ht="12.8" hidden="false" customHeight="false" outlineLevel="0" collapsed="false">
      <c r="A17426" s="0" t="s">
        <v>12</v>
      </c>
      <c r="B17426" s="0" t="n">
        <v>5350215</v>
      </c>
      <c r="C17426" s="0" t="n">
        <v>5350235</v>
      </c>
      <c r="D17426" s="0" t="s">
        <v>57935</v>
      </c>
      <c r="E17426" s="0" t="s">
        <v>75</v>
      </c>
      <c r="F17426" s="0" t="s">
        <v>90</v>
      </c>
      <c r="G17426" s="0" t="s">
        <v>20</v>
      </c>
      <c r="H17426" s="0" t="n">
        <v>140</v>
      </c>
      <c r="I17426" s="0" t="s">
        <v>57942</v>
      </c>
      <c r="J17426" s="0" t="s">
        <v>57943</v>
      </c>
      <c r="K17426" s="0" t="s">
        <v>57944</v>
      </c>
      <c r="L17426" s="0" t="str">
        <f aca="false">HYPERLINK("https://www.ncbi.nlm.nih.gov/nuccore/CP000058.1?report=graph&amp;tracks=[key:gene_model_track,Options:GeneOnly]&amp;mk=5350344:5350363|offset_12|444444,5350264:5350283|offset_92|444444,5350216:5350235|offset_140|00cc00,5350139:5350158|offset_217|444444&amp;v=5350143:5350358&amp;c=444444", "offset 140")</f>
        <v>offset 140</v>
      </c>
    </row>
    <row r="17427" customFormat="false" ht="12.8" hidden="false" customHeight="false" outlineLevel="0" collapsed="false">
      <c r="A17427" s="0" t="s">
        <v>12</v>
      </c>
      <c r="B17427" s="0" t="n">
        <v>5350138</v>
      </c>
      <c r="C17427" s="0" t="n">
        <v>5350158</v>
      </c>
      <c r="D17427" s="0" t="s">
        <v>57935</v>
      </c>
      <c r="E17427" s="0" t="s">
        <v>75</v>
      </c>
      <c r="F17427" s="0" t="s">
        <v>90</v>
      </c>
      <c r="G17427" s="0" t="s">
        <v>20</v>
      </c>
      <c r="H17427" s="0" t="n">
        <v>217</v>
      </c>
      <c r="I17427" s="0" t="s">
        <v>57945</v>
      </c>
      <c r="J17427" s="0" t="s">
        <v>57946</v>
      </c>
      <c r="K17427" s="0" t="s">
        <v>57947</v>
      </c>
      <c r="L17427" s="0" t="str">
        <f aca="false">HYPERLINK("https://www.ncbi.nlm.nih.gov/nuccore/CP000058.1?report=graph&amp;tracks=[key:gene_model_track,Options:GeneOnly]&amp;mk=5350344:5350363|offset_12|444444,5350264:5350283|offset_92|444444,5350216:5350235|offset_140|444444,5350139:5350158|offset_217|00cc00&amp;v=5350143:5350358&amp;c=444444", "offset 217")</f>
        <v>offset 217</v>
      </c>
    </row>
    <row r="17428" customFormat="false" ht="12.8" hidden="false" customHeight="false" outlineLevel="0" collapsed="false">
      <c r="A17428" s="0" t="s">
        <v>12</v>
      </c>
      <c r="B17428" s="0" t="n">
        <v>5353713</v>
      </c>
      <c r="C17428" s="0" t="n">
        <v>5353733</v>
      </c>
      <c r="D17428" s="0" t="s">
        <v>57948</v>
      </c>
      <c r="E17428" s="0" t="s">
        <v>75</v>
      </c>
      <c r="F17428" s="0" t="s">
        <v>90</v>
      </c>
      <c r="G17428" s="0" t="s">
        <v>20</v>
      </c>
      <c r="H17428" s="0" t="n">
        <v>6</v>
      </c>
      <c r="I17428" s="0" t="s">
        <v>57949</v>
      </c>
      <c r="J17428" s="0" t="s">
        <v>57950</v>
      </c>
      <c r="K17428" s="0" t="s">
        <v>57951</v>
      </c>
      <c r="L17428" s="0" t="str">
        <f aca="false">HYPERLINK("https://www.ncbi.nlm.nih.gov/nuccore/CP000058.1?report=graph&amp;tracks=[key:gene_model_track,Options:GeneOnly]&amp;mk=5353714:5353733|offset_6|00cc00,5353676:5353695|offset_44|444444,5353633:5353652|offset_87|444444,5353613:5353632|offset_107|444444&amp;v=5353513:5353832&amp;c=444444", "offset 6")</f>
        <v>offset 6</v>
      </c>
    </row>
    <row r="17429" customFormat="false" ht="12.8" hidden="false" customHeight="false" outlineLevel="0" collapsed="false">
      <c r="A17429" s="0" t="s">
        <v>12</v>
      </c>
      <c r="B17429" s="0" t="n">
        <v>5353675</v>
      </c>
      <c r="C17429" s="0" t="n">
        <v>5353695</v>
      </c>
      <c r="D17429" s="0" t="s">
        <v>57948</v>
      </c>
      <c r="E17429" s="0" t="s">
        <v>75</v>
      </c>
      <c r="F17429" s="0" t="s">
        <v>90</v>
      </c>
      <c r="G17429" s="0" t="s">
        <v>16</v>
      </c>
      <c r="H17429" s="0" t="n">
        <v>44</v>
      </c>
      <c r="I17429" s="0" t="s">
        <v>57952</v>
      </c>
      <c r="J17429" s="0" t="s">
        <v>57953</v>
      </c>
      <c r="K17429" s="0" t="s">
        <v>57954</v>
      </c>
      <c r="L17429" s="0" t="str">
        <f aca="false">HYPERLINK("https://www.ncbi.nlm.nih.gov/nuccore/CP000058.1?report=graph&amp;tracks=[key:gene_model_track,Options:GeneOnly]&amp;mk=5353714:5353733|offset_6|444444,5353676:5353695|offset_44|00cc00,5353633:5353652|offset_87|444444,5353613:5353632|offset_107|444444&amp;v=5353513:5353832&amp;c=444444", "offset 44")</f>
        <v>offset 44</v>
      </c>
    </row>
    <row r="17430" customFormat="false" ht="12.8" hidden="false" customHeight="false" outlineLevel="0" collapsed="false">
      <c r="A17430" s="0" t="s">
        <v>12</v>
      </c>
      <c r="B17430" s="0" t="n">
        <v>5353632</v>
      </c>
      <c r="C17430" s="0" t="n">
        <v>5353652</v>
      </c>
      <c r="D17430" s="0" t="s">
        <v>57948</v>
      </c>
      <c r="E17430" s="0" t="s">
        <v>75</v>
      </c>
      <c r="F17430" s="0" t="s">
        <v>90</v>
      </c>
      <c r="G17430" s="0" t="s">
        <v>32</v>
      </c>
      <c r="H17430" s="0" t="n">
        <v>87</v>
      </c>
      <c r="I17430" s="0" t="s">
        <v>57955</v>
      </c>
      <c r="J17430" s="0" t="s">
        <v>57956</v>
      </c>
      <c r="K17430" s="0" t="s">
        <v>57957</v>
      </c>
      <c r="L17430" s="0" t="str">
        <f aca="false">HYPERLINK("https://www.ncbi.nlm.nih.gov/nuccore/CP000058.1?report=graph&amp;tracks=[key:gene_model_track,Options:GeneOnly]&amp;mk=5353714:5353733|offset_6|444444,5353676:5353695|offset_44|444444,5353633:5353652|offset_87|00cc00,5353613:5353632|offset_107|444444&amp;v=5353513:5353832&amp;c=444444", "offset 87")</f>
        <v>offset 87</v>
      </c>
    </row>
    <row r="17431" customFormat="false" ht="12.8" hidden="false" customHeight="false" outlineLevel="0" collapsed="false">
      <c r="A17431" s="0" t="s">
        <v>12</v>
      </c>
      <c r="B17431" s="0" t="n">
        <v>5353612</v>
      </c>
      <c r="C17431" s="0" t="n">
        <v>5353632</v>
      </c>
      <c r="D17431" s="0" t="s">
        <v>57948</v>
      </c>
      <c r="E17431" s="0" t="s">
        <v>75</v>
      </c>
      <c r="F17431" s="0" t="s">
        <v>90</v>
      </c>
      <c r="G17431" s="0" t="s">
        <v>36</v>
      </c>
      <c r="H17431" s="0" t="n">
        <v>107</v>
      </c>
      <c r="I17431" s="0" t="s">
        <v>57958</v>
      </c>
      <c r="J17431" s="0" t="s">
        <v>57959</v>
      </c>
      <c r="K17431" s="0" t="s">
        <v>57960</v>
      </c>
      <c r="L17431" s="0" t="str">
        <f aca="false">HYPERLINK("https://www.ncbi.nlm.nih.gov/nuccore/CP000058.1?report=graph&amp;tracks=[key:gene_model_track,Options:GeneOnly]&amp;mk=5353714:5353733|offset_6|444444,5353676:5353695|offset_44|444444,5353633:5353652|offset_87|444444,5353613:5353632|offset_107|00cc00&amp;v=5353513:5353832&amp;c=444444", "offset 107")</f>
        <v>offset 107</v>
      </c>
    </row>
    <row r="17432" customFormat="false" ht="12.8" hidden="false" customHeight="false" outlineLevel="0" collapsed="false">
      <c r="A17432" s="0" t="s">
        <v>12</v>
      </c>
      <c r="B17432" s="0" t="n">
        <v>5354352</v>
      </c>
      <c r="C17432" s="0" t="n">
        <v>5354372</v>
      </c>
      <c r="D17432" s="0" t="s">
        <v>57961</v>
      </c>
      <c r="E17432" s="0" t="s">
        <v>75</v>
      </c>
      <c r="F17432" s="0" t="s">
        <v>90</v>
      </c>
      <c r="G17432" s="0" t="s">
        <v>32</v>
      </c>
      <c r="H17432" s="0" t="n">
        <v>13</v>
      </c>
      <c r="I17432" s="0" t="s">
        <v>57962</v>
      </c>
      <c r="J17432" s="0" t="s">
        <v>57963</v>
      </c>
      <c r="K17432" s="0" t="s">
        <v>57964</v>
      </c>
      <c r="L17432" s="0" t="str">
        <f aca="false">HYPERLINK("https://www.ncbi.nlm.nih.gov/nuccore/CP000058.1?report=graph&amp;tracks=[key:gene_model_track,Options:GeneOnly]&amp;mk=5354353:5354372|offset_13|00cc00,5354333:5354352|offset_33|444444,5354281:5354300|offset_85|444444,5354241:5354260|offset_125|444444&amp;v=5354152:5354460&amp;c=444444", "offset 13")</f>
        <v>offset 13</v>
      </c>
    </row>
    <row r="17433" customFormat="false" ht="12.8" hidden="false" customHeight="false" outlineLevel="0" collapsed="false">
      <c r="A17433" s="0" t="s">
        <v>12</v>
      </c>
      <c r="B17433" s="0" t="n">
        <v>5354332</v>
      </c>
      <c r="C17433" s="0" t="n">
        <v>5354352</v>
      </c>
      <c r="D17433" s="0" t="s">
        <v>57961</v>
      </c>
      <c r="E17433" s="0" t="s">
        <v>75</v>
      </c>
      <c r="F17433" s="0" t="s">
        <v>90</v>
      </c>
      <c r="G17433" s="0" t="s">
        <v>16</v>
      </c>
      <c r="H17433" s="0" t="n">
        <v>33</v>
      </c>
      <c r="I17433" s="0" t="s">
        <v>57965</v>
      </c>
      <c r="J17433" s="0" t="s">
        <v>57966</v>
      </c>
      <c r="K17433" s="0" t="s">
        <v>57967</v>
      </c>
      <c r="L17433" s="0" t="str">
        <f aca="false">HYPERLINK("https://www.ncbi.nlm.nih.gov/nuccore/CP000058.1?report=graph&amp;tracks=[key:gene_model_track,Options:GeneOnly]&amp;mk=5354353:5354372|offset_13|444444,5354333:5354352|offset_33|00cc00,5354281:5354300|offset_85|444444,5354241:5354260|offset_125|444444&amp;v=5354152:5354460&amp;c=444444", "offset 33")</f>
        <v>offset 33</v>
      </c>
    </row>
    <row r="17434" customFormat="false" ht="12.8" hidden="false" customHeight="false" outlineLevel="0" collapsed="false">
      <c r="A17434" s="0" t="s">
        <v>12</v>
      </c>
      <c r="B17434" s="0" t="n">
        <v>5354280</v>
      </c>
      <c r="C17434" s="0" t="n">
        <v>5354300</v>
      </c>
      <c r="D17434" s="0" t="s">
        <v>57961</v>
      </c>
      <c r="E17434" s="0" t="s">
        <v>75</v>
      </c>
      <c r="F17434" s="0" t="s">
        <v>90</v>
      </c>
      <c r="G17434" s="0" t="s">
        <v>36</v>
      </c>
      <c r="H17434" s="0" t="n">
        <v>85</v>
      </c>
      <c r="I17434" s="0" t="s">
        <v>57968</v>
      </c>
      <c r="J17434" s="0" t="s">
        <v>57969</v>
      </c>
      <c r="K17434" s="0" t="s">
        <v>57970</v>
      </c>
      <c r="L17434" s="0" t="str">
        <f aca="false">HYPERLINK("https://www.ncbi.nlm.nih.gov/nuccore/CP000058.1?report=graph&amp;tracks=[key:gene_model_track,Options:GeneOnly]&amp;mk=5354353:5354372|offset_13|444444,5354333:5354352|offset_33|444444,5354281:5354300|offset_85|00cc00,5354241:5354260|offset_125|444444&amp;v=5354152:5354460&amp;c=444444", "offset 85")</f>
        <v>offset 85</v>
      </c>
    </row>
    <row r="17435" customFormat="false" ht="12.8" hidden="false" customHeight="false" outlineLevel="0" collapsed="false">
      <c r="A17435" s="0" t="s">
        <v>12</v>
      </c>
      <c r="B17435" s="0" t="n">
        <v>5354240</v>
      </c>
      <c r="C17435" s="0" t="n">
        <v>5354260</v>
      </c>
      <c r="D17435" s="0" t="s">
        <v>57961</v>
      </c>
      <c r="E17435" s="0" t="s">
        <v>75</v>
      </c>
      <c r="F17435" s="0" t="s">
        <v>90</v>
      </c>
      <c r="G17435" s="0" t="s">
        <v>32</v>
      </c>
      <c r="H17435" s="0" t="n">
        <v>125</v>
      </c>
      <c r="I17435" s="0" t="s">
        <v>57971</v>
      </c>
      <c r="J17435" s="0" t="s">
        <v>57972</v>
      </c>
      <c r="K17435" s="0" t="s">
        <v>57973</v>
      </c>
      <c r="L17435" s="0" t="str">
        <f aca="false">HYPERLINK("https://www.ncbi.nlm.nih.gov/nuccore/CP000058.1?report=graph&amp;tracks=[key:gene_model_track,Options:GeneOnly]&amp;mk=5354353:5354372|offset_13|444444,5354333:5354352|offset_33|444444,5354281:5354300|offset_85|444444,5354241:5354260|offset_125|00cc00&amp;v=5354152:5354460&amp;c=444444", "offset 125")</f>
        <v>offset 125</v>
      </c>
    </row>
    <row r="17436" customFormat="false" ht="12.8" hidden="false" customHeight="false" outlineLevel="0" collapsed="false">
      <c r="A17436" s="0" t="s">
        <v>12</v>
      </c>
      <c r="B17436" s="0" t="n">
        <v>5355175</v>
      </c>
      <c r="C17436" s="0" t="n">
        <v>5355195</v>
      </c>
      <c r="D17436" s="0" t="s">
        <v>57974</v>
      </c>
      <c r="E17436" s="0" t="s">
        <v>75</v>
      </c>
      <c r="F17436" s="0" t="s">
        <v>90</v>
      </c>
      <c r="G17436" s="0" t="s">
        <v>16</v>
      </c>
      <c r="H17436" s="0" t="n">
        <v>25</v>
      </c>
      <c r="I17436" s="0" t="s">
        <v>57975</v>
      </c>
      <c r="J17436" s="0" t="s">
        <v>57976</v>
      </c>
      <c r="K17436" s="0" t="s">
        <v>57977</v>
      </c>
      <c r="L17436" s="0" t="str">
        <f aca="false">HYPERLINK("https://www.ncbi.nlm.nih.gov/nuccore/CP000058.1?report=graph&amp;tracks=[key:gene_model_track,Options:GeneOnly]&amp;mk=5355176:5355195|offset_25|00cc00,5355149:5355168|offset_52|444444,5355122:5355141|offset_79|444444,5355098:5355117|offset_103|444444&amp;v=5354975:5355317&amp;c=444444", "offset 25")</f>
        <v>offset 25</v>
      </c>
    </row>
    <row r="17437" customFormat="false" ht="12.8" hidden="false" customHeight="false" outlineLevel="0" collapsed="false">
      <c r="A17437" s="0" t="s">
        <v>12</v>
      </c>
      <c r="B17437" s="0" t="n">
        <v>5355148</v>
      </c>
      <c r="C17437" s="0" t="n">
        <v>5355168</v>
      </c>
      <c r="D17437" s="0" t="s">
        <v>57974</v>
      </c>
      <c r="E17437" s="0" t="s">
        <v>75</v>
      </c>
      <c r="F17437" s="0" t="s">
        <v>90</v>
      </c>
      <c r="G17437" s="0" t="s">
        <v>32</v>
      </c>
      <c r="H17437" s="0" t="n">
        <v>52</v>
      </c>
      <c r="I17437" s="0" t="s">
        <v>57978</v>
      </c>
      <c r="J17437" s="0" t="s">
        <v>57979</v>
      </c>
      <c r="K17437" s="0" t="s">
        <v>57980</v>
      </c>
      <c r="L17437" s="0" t="str">
        <f aca="false">HYPERLINK("https://www.ncbi.nlm.nih.gov/nuccore/CP000058.1?report=graph&amp;tracks=[key:gene_model_track,Options:GeneOnly]&amp;mk=5355176:5355195|offset_25|444444,5355149:5355168|offset_52|00cc00,5355122:5355141|offset_79|444444,5355098:5355117|offset_103|444444&amp;v=5354975:5355317&amp;c=444444", "offset 52")</f>
        <v>offset 52</v>
      </c>
    </row>
    <row r="17438" customFormat="false" ht="12.8" hidden="false" customHeight="false" outlineLevel="0" collapsed="false">
      <c r="A17438" s="0" t="s">
        <v>12</v>
      </c>
      <c r="B17438" s="0" t="n">
        <v>5355121</v>
      </c>
      <c r="C17438" s="0" t="n">
        <v>5355141</v>
      </c>
      <c r="D17438" s="0" t="s">
        <v>57974</v>
      </c>
      <c r="E17438" s="0" t="s">
        <v>75</v>
      </c>
      <c r="F17438" s="0" t="s">
        <v>90</v>
      </c>
      <c r="G17438" s="0" t="s">
        <v>16</v>
      </c>
      <c r="H17438" s="0" t="n">
        <v>79</v>
      </c>
      <c r="I17438" s="0" t="s">
        <v>57981</v>
      </c>
      <c r="J17438" s="0" t="s">
        <v>57982</v>
      </c>
      <c r="K17438" s="0" t="s">
        <v>57983</v>
      </c>
      <c r="L17438" s="0" t="str">
        <f aca="false">HYPERLINK("https://www.ncbi.nlm.nih.gov/nuccore/CP000058.1?report=graph&amp;tracks=[key:gene_model_track,Options:GeneOnly]&amp;mk=5355176:5355195|offset_25|444444,5355149:5355168|offset_52|444444,5355122:5355141|offset_79|00cc00,5355098:5355117|offset_103|444444&amp;v=5354975:5355317&amp;c=444444", "offset 79")</f>
        <v>offset 79</v>
      </c>
    </row>
    <row r="17439" customFormat="false" ht="12.8" hidden="false" customHeight="false" outlineLevel="0" collapsed="false">
      <c r="A17439" s="0" t="s">
        <v>12</v>
      </c>
      <c r="B17439" s="0" t="n">
        <v>5355097</v>
      </c>
      <c r="C17439" s="0" t="n">
        <v>5355117</v>
      </c>
      <c r="D17439" s="0" t="s">
        <v>57974</v>
      </c>
      <c r="E17439" s="0" t="s">
        <v>75</v>
      </c>
      <c r="F17439" s="0" t="s">
        <v>90</v>
      </c>
      <c r="G17439" s="0" t="s">
        <v>16</v>
      </c>
      <c r="H17439" s="0" t="n">
        <v>103</v>
      </c>
      <c r="I17439" s="0" t="s">
        <v>57984</v>
      </c>
      <c r="J17439" s="0" t="s">
        <v>57985</v>
      </c>
      <c r="K17439" s="0" t="s">
        <v>57986</v>
      </c>
      <c r="L17439" s="0" t="str">
        <f aca="false">HYPERLINK("https://www.ncbi.nlm.nih.gov/nuccore/CP000058.1?report=graph&amp;tracks=[key:gene_model_track,Options:GeneOnly]&amp;mk=5355176:5355195|offset_25|444444,5355149:5355168|offset_52|444444,5355122:5355141|offset_79|444444,5355098:5355117|offset_103|00cc00&amp;v=5354975:5355317&amp;c=444444", "offset 103")</f>
        <v>offset 103</v>
      </c>
    </row>
    <row r="17440" customFormat="false" ht="12.8" hidden="false" customHeight="false" outlineLevel="0" collapsed="false">
      <c r="A17440" s="0" t="s">
        <v>12</v>
      </c>
      <c r="B17440" s="0" t="n">
        <v>5356019</v>
      </c>
      <c r="C17440" s="0" t="n">
        <v>5356039</v>
      </c>
      <c r="D17440" s="0" t="s">
        <v>57987</v>
      </c>
      <c r="E17440" s="0" t="s">
        <v>57988</v>
      </c>
      <c r="F17440" s="0" t="s">
        <v>90</v>
      </c>
      <c r="G17440" s="0" t="s">
        <v>36</v>
      </c>
      <c r="H17440" s="0" t="n">
        <v>21</v>
      </c>
      <c r="I17440" s="0" t="s">
        <v>57989</v>
      </c>
      <c r="J17440" s="0" t="s">
        <v>57990</v>
      </c>
      <c r="K17440" s="0" t="s">
        <v>57991</v>
      </c>
      <c r="L17440" s="0" t="str">
        <f aca="false">HYPERLINK("https://www.ncbi.nlm.nih.gov/nuccore/CP000058.1?report=graph&amp;tracks=[key:gene_model_track,Options:GeneOnly]&amp;mk=5356020:5356039|offset_21|00cc00,5355999:5356018|offset_42|444444,5355968:5355987|offset_73|444444,5355938:5355957|offset_103|444444&amp;v=5355819:5356157&amp;c=444444", "offset 21")</f>
        <v>offset 21</v>
      </c>
    </row>
    <row r="17441" customFormat="false" ht="12.8" hidden="false" customHeight="false" outlineLevel="0" collapsed="false">
      <c r="A17441" s="0" t="s">
        <v>12</v>
      </c>
      <c r="B17441" s="0" t="n">
        <v>5355998</v>
      </c>
      <c r="C17441" s="0" t="n">
        <v>5356018</v>
      </c>
      <c r="D17441" s="0" t="s">
        <v>57987</v>
      </c>
      <c r="E17441" s="0" t="s">
        <v>57988</v>
      </c>
      <c r="F17441" s="0" t="s">
        <v>90</v>
      </c>
      <c r="G17441" s="0" t="s">
        <v>16</v>
      </c>
      <c r="H17441" s="0" t="n">
        <v>42</v>
      </c>
      <c r="I17441" s="0" t="s">
        <v>57992</v>
      </c>
      <c r="J17441" s="0" t="s">
        <v>57993</v>
      </c>
      <c r="K17441" s="0" t="s">
        <v>57994</v>
      </c>
      <c r="L17441" s="0" t="str">
        <f aca="false">HYPERLINK("https://www.ncbi.nlm.nih.gov/nuccore/CP000058.1?report=graph&amp;tracks=[key:gene_model_track,Options:GeneOnly]&amp;mk=5356020:5356039|offset_21|444444,5355999:5356018|offset_42|00cc00,5355968:5355987|offset_73|444444,5355938:5355957|offset_103|444444&amp;v=5355819:5356157&amp;c=444444", "offset 42")</f>
        <v>offset 42</v>
      </c>
    </row>
    <row r="17442" customFormat="false" ht="12.8" hidden="false" customHeight="false" outlineLevel="0" collapsed="false">
      <c r="A17442" s="0" t="s">
        <v>12</v>
      </c>
      <c r="B17442" s="0" t="n">
        <v>5355967</v>
      </c>
      <c r="C17442" s="0" t="n">
        <v>5355987</v>
      </c>
      <c r="D17442" s="0" t="s">
        <v>57987</v>
      </c>
      <c r="E17442" s="0" t="s">
        <v>57988</v>
      </c>
      <c r="F17442" s="0" t="s">
        <v>90</v>
      </c>
      <c r="G17442" s="0" t="s">
        <v>36</v>
      </c>
      <c r="H17442" s="0" t="n">
        <v>73</v>
      </c>
      <c r="I17442" s="0" t="s">
        <v>57995</v>
      </c>
      <c r="J17442" s="0" t="s">
        <v>57996</v>
      </c>
      <c r="K17442" s="0" t="s">
        <v>57997</v>
      </c>
      <c r="L17442" s="0" t="str">
        <f aca="false">HYPERLINK("https://www.ncbi.nlm.nih.gov/nuccore/CP000058.1?report=graph&amp;tracks=[key:gene_model_track,Options:GeneOnly]&amp;mk=5356020:5356039|offset_21|444444,5355999:5356018|offset_42|444444,5355968:5355987|offset_73|00cc00,5355938:5355957|offset_103|444444&amp;v=5355819:5356157&amp;c=444444", "offset 73")</f>
        <v>offset 73</v>
      </c>
    </row>
    <row r="17443" customFormat="false" ht="12.8" hidden="false" customHeight="false" outlineLevel="0" collapsed="false">
      <c r="A17443" s="0" t="s">
        <v>12</v>
      </c>
      <c r="B17443" s="0" t="n">
        <v>5355937</v>
      </c>
      <c r="C17443" s="0" t="n">
        <v>5355957</v>
      </c>
      <c r="D17443" s="0" t="s">
        <v>57987</v>
      </c>
      <c r="E17443" s="0" t="s">
        <v>57988</v>
      </c>
      <c r="F17443" s="0" t="s">
        <v>90</v>
      </c>
      <c r="G17443" s="0" t="s">
        <v>16</v>
      </c>
      <c r="H17443" s="0" t="n">
        <v>103</v>
      </c>
      <c r="I17443" s="0" t="s">
        <v>57998</v>
      </c>
      <c r="J17443" s="0" t="s">
        <v>57999</v>
      </c>
      <c r="K17443" s="0" t="s">
        <v>58000</v>
      </c>
      <c r="L17443" s="0" t="str">
        <f aca="false">HYPERLINK("https://www.ncbi.nlm.nih.gov/nuccore/CP000058.1?report=graph&amp;tracks=[key:gene_model_track,Options:GeneOnly]&amp;mk=5356020:5356039|offset_21|444444,5355999:5356018|offset_42|444444,5355968:5355987|offset_73|444444,5355938:5355957|offset_103|00cc00&amp;v=5355819:5356157&amp;c=444444", "offset 103")</f>
        <v>offset 103</v>
      </c>
    </row>
    <row r="17444" customFormat="false" ht="12.8" hidden="false" customHeight="false" outlineLevel="0" collapsed="false">
      <c r="A17444" s="0" t="s">
        <v>12</v>
      </c>
      <c r="B17444" s="0" t="n">
        <v>5356737</v>
      </c>
      <c r="C17444" s="0" t="n">
        <v>5356757</v>
      </c>
      <c r="D17444" s="0" t="s">
        <v>58001</v>
      </c>
      <c r="E17444" s="0" t="s">
        <v>58002</v>
      </c>
      <c r="F17444" s="0" t="s">
        <v>90</v>
      </c>
      <c r="G17444" s="0" t="s">
        <v>16</v>
      </c>
      <c r="H17444" s="0" t="n">
        <v>27</v>
      </c>
      <c r="I17444" s="0" t="s">
        <v>58003</v>
      </c>
      <c r="J17444" s="0" t="s">
        <v>58004</v>
      </c>
      <c r="K17444" s="0" t="s">
        <v>58005</v>
      </c>
      <c r="L17444" s="0" t="str">
        <f aca="false">HYPERLINK("https://www.ncbi.nlm.nih.gov/nuccore/CP000058.1?report=graph&amp;tracks=[key:gene_model_track,Options:GeneOnly]&amp;mk=5356738:5356757|offset_27|00cc00,5356714:5356733|offset_51|444444,5356670:5356689|offset_95|444444,5356625:5356644|offset_140|444444&amp;v=5356537:5356844&amp;c=444444", "offset 27")</f>
        <v>offset 27</v>
      </c>
    </row>
    <row r="17445" customFormat="false" ht="12.8" hidden="false" customHeight="false" outlineLevel="0" collapsed="false">
      <c r="A17445" s="0" t="s">
        <v>12</v>
      </c>
      <c r="B17445" s="0" t="n">
        <v>5356713</v>
      </c>
      <c r="C17445" s="0" t="n">
        <v>5356733</v>
      </c>
      <c r="D17445" s="0" t="s">
        <v>58001</v>
      </c>
      <c r="E17445" s="0" t="s">
        <v>58002</v>
      </c>
      <c r="F17445" s="0" t="s">
        <v>90</v>
      </c>
      <c r="G17445" s="0" t="s">
        <v>16</v>
      </c>
      <c r="H17445" s="0" t="n">
        <v>51</v>
      </c>
      <c r="I17445" s="0" t="s">
        <v>58006</v>
      </c>
      <c r="J17445" s="0" t="s">
        <v>58007</v>
      </c>
      <c r="K17445" s="0" t="s">
        <v>58008</v>
      </c>
      <c r="L17445" s="0" t="str">
        <f aca="false">HYPERLINK("https://www.ncbi.nlm.nih.gov/nuccore/CP000058.1?report=graph&amp;tracks=[key:gene_model_track,Options:GeneOnly]&amp;mk=5356738:5356757|offset_27|444444,5356714:5356733|offset_51|00cc00,5356670:5356689|offset_95|444444,5356625:5356644|offset_140|444444&amp;v=5356537:5356844&amp;c=444444", "offset 51")</f>
        <v>offset 51</v>
      </c>
    </row>
    <row r="17446" customFormat="false" ht="12.8" hidden="false" customHeight="false" outlineLevel="0" collapsed="false">
      <c r="A17446" s="0" t="s">
        <v>12</v>
      </c>
      <c r="B17446" s="0" t="n">
        <v>5356669</v>
      </c>
      <c r="C17446" s="0" t="n">
        <v>5356689</v>
      </c>
      <c r="D17446" s="0" t="s">
        <v>58001</v>
      </c>
      <c r="E17446" s="0" t="s">
        <v>58002</v>
      </c>
      <c r="F17446" s="0" t="s">
        <v>90</v>
      </c>
      <c r="G17446" s="0" t="s">
        <v>20</v>
      </c>
      <c r="H17446" s="0" t="n">
        <v>95</v>
      </c>
      <c r="I17446" s="0" t="s">
        <v>58009</v>
      </c>
      <c r="J17446" s="0" t="s">
        <v>58010</v>
      </c>
      <c r="K17446" s="0" t="s">
        <v>58011</v>
      </c>
      <c r="L17446" s="0" t="str">
        <f aca="false">HYPERLINK("https://www.ncbi.nlm.nih.gov/nuccore/CP000058.1?report=graph&amp;tracks=[key:gene_model_track,Options:GeneOnly]&amp;mk=5356738:5356757|offset_27|444444,5356714:5356733|offset_51|444444,5356670:5356689|offset_95|00cc00,5356625:5356644|offset_140|444444&amp;v=5356537:5356844&amp;c=444444", "offset 95")</f>
        <v>offset 95</v>
      </c>
    </row>
    <row r="17447" customFormat="false" ht="12.8" hidden="false" customHeight="false" outlineLevel="0" collapsed="false">
      <c r="A17447" s="0" t="s">
        <v>12</v>
      </c>
      <c r="B17447" s="0" t="n">
        <v>5356624</v>
      </c>
      <c r="C17447" s="0" t="n">
        <v>5356644</v>
      </c>
      <c r="D17447" s="0" t="s">
        <v>58001</v>
      </c>
      <c r="E17447" s="0" t="s">
        <v>58002</v>
      </c>
      <c r="F17447" s="0" t="s">
        <v>90</v>
      </c>
      <c r="G17447" s="0" t="s">
        <v>20</v>
      </c>
      <c r="H17447" s="0" t="n">
        <v>140</v>
      </c>
      <c r="I17447" s="0" t="s">
        <v>58012</v>
      </c>
      <c r="J17447" s="0" t="s">
        <v>58013</v>
      </c>
      <c r="K17447" s="0" t="s">
        <v>58014</v>
      </c>
      <c r="L17447" s="0" t="str">
        <f aca="false">HYPERLINK("https://www.ncbi.nlm.nih.gov/nuccore/CP000058.1?report=graph&amp;tracks=[key:gene_model_track,Options:GeneOnly]&amp;mk=5356738:5356757|offset_27|444444,5356714:5356733|offset_51|444444,5356670:5356689|offset_95|444444,5356625:5356644|offset_140|00cc00&amp;v=5356537:5356844&amp;c=444444", "offset 140")</f>
        <v>offset 140</v>
      </c>
    </row>
    <row r="17448" customFormat="false" ht="12.8" hidden="false" customHeight="false" outlineLevel="0" collapsed="false">
      <c r="A17448" s="0" t="s">
        <v>12</v>
      </c>
      <c r="B17448" s="0" t="n">
        <v>5357930</v>
      </c>
      <c r="C17448" s="0" t="n">
        <v>5357950</v>
      </c>
      <c r="D17448" s="0" t="s">
        <v>58015</v>
      </c>
      <c r="E17448" s="0" t="s">
        <v>58016</v>
      </c>
      <c r="F17448" s="0" t="s">
        <v>90</v>
      </c>
      <c r="G17448" s="0" t="s">
        <v>16</v>
      </c>
      <c r="H17448" s="0" t="n">
        <v>17</v>
      </c>
      <c r="I17448" s="0" t="s">
        <v>58017</v>
      </c>
      <c r="J17448" s="0" t="s">
        <v>58018</v>
      </c>
      <c r="K17448" s="0" t="s">
        <v>58019</v>
      </c>
      <c r="L17448" s="0" t="str">
        <f aca="false">HYPERLINK("https://www.ncbi.nlm.nih.gov/nuccore/CP000058.1?report=graph&amp;tracks=[key:gene_model_track,Options:GeneOnly]&amp;mk=5357931:5357950|offset_17|00cc00,5357905:5357924|offset_43|444444,5357883:5357902|offset_65|444444,5357859:5357878|offset_89|444444&amp;v=5357730:5358078&amp;c=444444", "offset 17")</f>
        <v>offset 17</v>
      </c>
    </row>
    <row r="17449" customFormat="false" ht="12.8" hidden="false" customHeight="false" outlineLevel="0" collapsed="false">
      <c r="A17449" s="0" t="s">
        <v>12</v>
      </c>
      <c r="B17449" s="0" t="n">
        <v>5357904</v>
      </c>
      <c r="C17449" s="0" t="n">
        <v>5357924</v>
      </c>
      <c r="D17449" s="0" t="s">
        <v>58015</v>
      </c>
      <c r="E17449" s="0" t="s">
        <v>58016</v>
      </c>
      <c r="F17449" s="0" t="s">
        <v>90</v>
      </c>
      <c r="G17449" s="0" t="s">
        <v>16</v>
      </c>
      <c r="H17449" s="0" t="n">
        <v>43</v>
      </c>
      <c r="I17449" s="0" t="s">
        <v>58020</v>
      </c>
      <c r="J17449" s="0" t="s">
        <v>58021</v>
      </c>
      <c r="K17449" s="0" t="s">
        <v>58022</v>
      </c>
      <c r="L17449" s="0" t="str">
        <f aca="false">HYPERLINK("https://www.ncbi.nlm.nih.gov/nuccore/CP000058.1?report=graph&amp;tracks=[key:gene_model_track,Options:GeneOnly]&amp;mk=5357931:5357950|offset_17|444444,5357905:5357924|offset_43|00cc00,5357883:5357902|offset_65|444444,5357859:5357878|offset_89|444444&amp;v=5357730:5358078&amp;c=444444", "offset 43")</f>
        <v>offset 43</v>
      </c>
    </row>
    <row r="17450" customFormat="false" ht="12.8" hidden="false" customHeight="false" outlineLevel="0" collapsed="false">
      <c r="A17450" s="0" t="s">
        <v>12</v>
      </c>
      <c r="B17450" s="0" t="n">
        <v>5357882</v>
      </c>
      <c r="C17450" s="0" t="n">
        <v>5357902</v>
      </c>
      <c r="D17450" s="0" t="s">
        <v>58015</v>
      </c>
      <c r="E17450" s="0" t="s">
        <v>58016</v>
      </c>
      <c r="F17450" s="0" t="s">
        <v>90</v>
      </c>
      <c r="G17450" s="0" t="s">
        <v>36</v>
      </c>
      <c r="H17450" s="0" t="n">
        <v>65</v>
      </c>
      <c r="I17450" s="0" t="s">
        <v>58023</v>
      </c>
      <c r="J17450" s="0" t="s">
        <v>58024</v>
      </c>
      <c r="K17450" s="0" t="s">
        <v>58025</v>
      </c>
      <c r="L17450" s="0" t="str">
        <f aca="false">HYPERLINK("https://www.ncbi.nlm.nih.gov/nuccore/CP000058.1?report=graph&amp;tracks=[key:gene_model_track,Options:GeneOnly]&amp;mk=5357931:5357950|offset_17|444444,5357905:5357924|offset_43|444444,5357883:5357902|offset_65|00cc00,5357859:5357878|offset_89|444444&amp;v=5357730:5358078&amp;c=444444", "offset 65")</f>
        <v>offset 65</v>
      </c>
    </row>
    <row r="17451" customFormat="false" ht="12.8" hidden="false" customHeight="false" outlineLevel="0" collapsed="false">
      <c r="A17451" s="0" t="s">
        <v>12</v>
      </c>
      <c r="B17451" s="0" t="n">
        <v>5357858</v>
      </c>
      <c r="C17451" s="0" t="n">
        <v>5357878</v>
      </c>
      <c r="D17451" s="0" t="s">
        <v>58015</v>
      </c>
      <c r="E17451" s="0" t="s">
        <v>58016</v>
      </c>
      <c r="F17451" s="0" t="s">
        <v>90</v>
      </c>
      <c r="G17451" s="0" t="s">
        <v>36</v>
      </c>
      <c r="H17451" s="0" t="n">
        <v>89</v>
      </c>
      <c r="I17451" s="0" t="s">
        <v>58026</v>
      </c>
      <c r="J17451" s="0" t="s">
        <v>58027</v>
      </c>
      <c r="K17451" s="0" t="s">
        <v>58028</v>
      </c>
      <c r="L17451" s="0" t="str">
        <f aca="false">HYPERLINK("https://www.ncbi.nlm.nih.gov/nuccore/CP000058.1?report=graph&amp;tracks=[key:gene_model_track,Options:GeneOnly]&amp;mk=5357931:5357950|offset_17|444444,5357905:5357924|offset_43|444444,5357883:5357902|offset_65|444444,5357859:5357878|offset_89|00cc00&amp;v=5357730:5358078&amp;c=444444", "offset 89")</f>
        <v>offset 89</v>
      </c>
    </row>
    <row r="17452" customFormat="false" ht="12.8" hidden="false" customHeight="false" outlineLevel="0" collapsed="false">
      <c r="A17452" s="0" t="s">
        <v>12</v>
      </c>
      <c r="B17452" s="0" t="n">
        <v>5359070</v>
      </c>
      <c r="C17452" s="0" t="n">
        <v>5359090</v>
      </c>
      <c r="D17452" s="0" t="s">
        <v>58029</v>
      </c>
      <c r="E17452" s="0" t="s">
        <v>58030</v>
      </c>
      <c r="F17452" s="0" t="s">
        <v>90</v>
      </c>
      <c r="G17452" s="0" t="s">
        <v>16</v>
      </c>
      <c r="H17452" s="0" t="n">
        <v>0</v>
      </c>
      <c r="I17452" s="0" t="s">
        <v>58031</v>
      </c>
      <c r="J17452" s="0" t="s">
        <v>58032</v>
      </c>
      <c r="K17452" s="0" t="s">
        <v>58033</v>
      </c>
      <c r="L17452" s="0" t="str">
        <f aca="false">HYPERLINK("https://www.ncbi.nlm.nih.gov/nuccore/CP000058.1?report=graph&amp;tracks=[key:gene_model_track,Options:GeneOnly]&amp;mk=5359071:5359090|offset_0|00cc00,5359022:5359041|offset_49|444444,5358996:5359015|offset_75|444444,5358958:5358977|offset_113|444444&amp;v=5358870:5359177&amp;c=444444", "offset 0")</f>
        <v>offset 0</v>
      </c>
    </row>
    <row r="17453" customFormat="false" ht="12.8" hidden="false" customHeight="false" outlineLevel="0" collapsed="false">
      <c r="A17453" s="0" t="s">
        <v>12</v>
      </c>
      <c r="B17453" s="0" t="n">
        <v>5359021</v>
      </c>
      <c r="C17453" s="0" t="n">
        <v>5359041</v>
      </c>
      <c r="D17453" s="0" t="s">
        <v>58029</v>
      </c>
      <c r="E17453" s="0" t="s">
        <v>58030</v>
      </c>
      <c r="F17453" s="0" t="s">
        <v>90</v>
      </c>
      <c r="G17453" s="0" t="s">
        <v>16</v>
      </c>
      <c r="H17453" s="0" t="n">
        <v>49</v>
      </c>
      <c r="I17453" s="0" t="s">
        <v>58034</v>
      </c>
      <c r="J17453" s="0" t="s">
        <v>58035</v>
      </c>
      <c r="K17453" s="0" t="s">
        <v>58036</v>
      </c>
      <c r="L17453" s="0" t="str">
        <f aca="false">HYPERLINK("https://www.ncbi.nlm.nih.gov/nuccore/CP000058.1?report=graph&amp;tracks=[key:gene_model_track,Options:GeneOnly]&amp;mk=5359071:5359090|offset_0|444444,5359022:5359041|offset_49|00cc00,5358996:5359015|offset_75|444444,5358958:5358977|offset_113|444444&amp;v=5358870:5359177&amp;c=444444", "offset 49")</f>
        <v>offset 49</v>
      </c>
    </row>
    <row r="17454" customFormat="false" ht="12.8" hidden="false" customHeight="false" outlineLevel="0" collapsed="false">
      <c r="A17454" s="0" t="s">
        <v>12</v>
      </c>
      <c r="B17454" s="0" t="n">
        <v>5358995</v>
      </c>
      <c r="C17454" s="0" t="n">
        <v>5359015</v>
      </c>
      <c r="D17454" s="0" t="s">
        <v>58029</v>
      </c>
      <c r="E17454" s="0" t="s">
        <v>58030</v>
      </c>
      <c r="F17454" s="0" t="s">
        <v>90</v>
      </c>
      <c r="G17454" s="0" t="s">
        <v>32</v>
      </c>
      <c r="H17454" s="0" t="n">
        <v>75</v>
      </c>
      <c r="I17454" s="0" t="s">
        <v>58037</v>
      </c>
      <c r="J17454" s="0" t="s">
        <v>58038</v>
      </c>
      <c r="K17454" s="0" t="s">
        <v>58039</v>
      </c>
      <c r="L17454" s="0" t="str">
        <f aca="false">HYPERLINK("https://www.ncbi.nlm.nih.gov/nuccore/CP000058.1?report=graph&amp;tracks=[key:gene_model_track,Options:GeneOnly]&amp;mk=5359071:5359090|offset_0|444444,5359022:5359041|offset_49|444444,5358996:5359015|offset_75|00cc00,5358958:5358977|offset_113|444444&amp;v=5358870:5359177&amp;c=444444", "offset 75")</f>
        <v>offset 75</v>
      </c>
    </row>
    <row r="17455" customFormat="false" ht="12.8" hidden="false" customHeight="false" outlineLevel="0" collapsed="false">
      <c r="A17455" s="0" t="s">
        <v>12</v>
      </c>
      <c r="B17455" s="0" t="n">
        <v>5358957</v>
      </c>
      <c r="C17455" s="0" t="n">
        <v>5358977</v>
      </c>
      <c r="D17455" s="0" t="s">
        <v>58029</v>
      </c>
      <c r="E17455" s="0" t="s">
        <v>58030</v>
      </c>
      <c r="F17455" s="0" t="s">
        <v>90</v>
      </c>
      <c r="G17455" s="0" t="s">
        <v>16</v>
      </c>
      <c r="H17455" s="0" t="n">
        <v>113</v>
      </c>
      <c r="I17455" s="0" t="s">
        <v>58040</v>
      </c>
      <c r="J17455" s="0" t="s">
        <v>58041</v>
      </c>
      <c r="K17455" s="0" t="s">
        <v>58042</v>
      </c>
      <c r="L17455" s="0" t="str">
        <f aca="false">HYPERLINK("https://www.ncbi.nlm.nih.gov/nuccore/CP000058.1?report=graph&amp;tracks=[key:gene_model_track,Options:GeneOnly]&amp;mk=5359071:5359090|offset_0|444444,5359022:5359041|offset_49|444444,5358996:5359015|offset_75|444444,5358958:5358977|offset_113|00cc00&amp;v=5358870:5359177&amp;c=444444", "offset 113")</f>
        <v>offset 113</v>
      </c>
    </row>
    <row r="17456" customFormat="false" ht="12.8" hidden="false" customHeight="false" outlineLevel="0" collapsed="false">
      <c r="A17456" s="0" t="s">
        <v>12</v>
      </c>
      <c r="B17456" s="0" t="n">
        <v>5359180</v>
      </c>
      <c r="C17456" s="0" t="n">
        <v>5359200</v>
      </c>
      <c r="D17456" s="0" t="s">
        <v>58043</v>
      </c>
      <c r="E17456" s="0" t="s">
        <v>58044</v>
      </c>
      <c r="F17456" s="0" t="s">
        <v>15</v>
      </c>
      <c r="G17456" s="0" t="s">
        <v>32</v>
      </c>
      <c r="H17456" s="0" t="n">
        <v>1</v>
      </c>
      <c r="I17456" s="0" t="s">
        <v>58045</v>
      </c>
      <c r="J17456" s="0" t="s">
        <v>58046</v>
      </c>
      <c r="K17456" s="0" t="s">
        <v>58047</v>
      </c>
      <c r="L17456" s="0" t="str">
        <f aca="false">HYPERLINK("https://www.ncbi.nlm.nih.gov/nuccore/CP000058.1?report=graph&amp;tracks=[key:gene_model_track,Options:GeneOnly]&amp;mk=5359181:5359200|offset_1|00cc00,5359203:5359222|offset_23|444444,5359273:5359292|offset_93|444444,5359301:5359320|offset_121|444444&amp;v=5358980:5359520&amp;c=444444", "offset 1")</f>
        <v>offset 1</v>
      </c>
    </row>
    <row r="17457" customFormat="false" ht="12.8" hidden="false" customHeight="false" outlineLevel="0" collapsed="false">
      <c r="A17457" s="0" t="s">
        <v>12</v>
      </c>
      <c r="B17457" s="0" t="n">
        <v>5359202</v>
      </c>
      <c r="C17457" s="0" t="n">
        <v>5359222</v>
      </c>
      <c r="D17457" s="0" t="s">
        <v>58043</v>
      </c>
      <c r="E17457" s="0" t="s">
        <v>58044</v>
      </c>
      <c r="F17457" s="0" t="s">
        <v>15</v>
      </c>
      <c r="G17457" s="0" t="s">
        <v>32</v>
      </c>
      <c r="H17457" s="0" t="n">
        <v>23</v>
      </c>
      <c r="I17457" s="0" t="s">
        <v>58048</v>
      </c>
      <c r="J17457" s="0" t="s">
        <v>58049</v>
      </c>
      <c r="K17457" s="0" t="s">
        <v>58050</v>
      </c>
      <c r="L17457" s="0" t="str">
        <f aca="false">HYPERLINK("https://www.ncbi.nlm.nih.gov/nuccore/CP000058.1?report=graph&amp;tracks=[key:gene_model_track,Options:GeneOnly]&amp;mk=5359181:5359200|offset_1|444444,5359203:5359222|offset_23|00cc00,5359273:5359292|offset_93|444444,5359301:5359320|offset_121|444444&amp;v=5358980:5359520&amp;c=444444", "offset 23")</f>
        <v>offset 23</v>
      </c>
    </row>
    <row r="17458" customFormat="false" ht="12.8" hidden="false" customHeight="false" outlineLevel="0" collapsed="false">
      <c r="A17458" s="0" t="s">
        <v>12</v>
      </c>
      <c r="B17458" s="0" t="n">
        <v>5359272</v>
      </c>
      <c r="C17458" s="0" t="n">
        <v>5359292</v>
      </c>
      <c r="D17458" s="0" t="s">
        <v>58043</v>
      </c>
      <c r="E17458" s="0" t="s">
        <v>58044</v>
      </c>
      <c r="F17458" s="0" t="s">
        <v>15</v>
      </c>
      <c r="G17458" s="0" t="s">
        <v>32</v>
      </c>
      <c r="H17458" s="0" t="n">
        <v>93</v>
      </c>
      <c r="I17458" s="0" t="s">
        <v>58051</v>
      </c>
      <c r="J17458" s="0" t="s">
        <v>58052</v>
      </c>
      <c r="K17458" s="0" t="s">
        <v>58053</v>
      </c>
      <c r="L17458" s="0" t="str">
        <f aca="false">HYPERLINK("https://www.ncbi.nlm.nih.gov/nuccore/CP000058.1?report=graph&amp;tracks=[key:gene_model_track,Options:GeneOnly]&amp;mk=5359181:5359200|offset_1|444444,5359203:5359222|offset_23|444444,5359273:5359292|offset_93|00cc00,5359301:5359320|offset_121|444444&amp;v=5358980:5359520&amp;c=444444", "offset 93")</f>
        <v>offset 93</v>
      </c>
    </row>
    <row r="17459" customFormat="false" ht="12.8" hidden="false" customHeight="false" outlineLevel="0" collapsed="false">
      <c r="A17459" s="0" t="s">
        <v>12</v>
      </c>
      <c r="B17459" s="0" t="n">
        <v>5359300</v>
      </c>
      <c r="C17459" s="0" t="n">
        <v>5359320</v>
      </c>
      <c r="D17459" s="0" t="s">
        <v>58043</v>
      </c>
      <c r="E17459" s="0" t="s">
        <v>58044</v>
      </c>
      <c r="F17459" s="0" t="s">
        <v>15</v>
      </c>
      <c r="G17459" s="0" t="s">
        <v>16</v>
      </c>
      <c r="H17459" s="0" t="n">
        <v>121</v>
      </c>
      <c r="I17459" s="0" t="s">
        <v>58054</v>
      </c>
      <c r="J17459" s="0" t="s">
        <v>58055</v>
      </c>
      <c r="K17459" s="0" t="s">
        <v>58056</v>
      </c>
      <c r="L17459" s="0" t="str">
        <f aca="false">HYPERLINK("https://www.ncbi.nlm.nih.gov/nuccore/CP000058.1?report=graph&amp;tracks=[key:gene_model_track,Options:GeneOnly]&amp;mk=5359181:5359200|offset_1|444444,5359203:5359222|offset_23|444444,5359273:5359292|offset_93|444444,5359301:5359320|offset_121|00cc00&amp;v=5358980:5359520&amp;c=444444", "offset 121")</f>
        <v>offset 121</v>
      </c>
    </row>
    <row r="17460" customFormat="false" ht="12.8" hidden="false" customHeight="false" outlineLevel="0" collapsed="false">
      <c r="A17460" s="0" t="s">
        <v>12</v>
      </c>
      <c r="B17460" s="0" t="n">
        <v>5360359</v>
      </c>
      <c r="C17460" s="0" t="n">
        <v>5360379</v>
      </c>
      <c r="D17460" s="0" t="s">
        <v>58057</v>
      </c>
      <c r="E17460" s="0" t="s">
        <v>75</v>
      </c>
      <c r="F17460" s="0" t="s">
        <v>15</v>
      </c>
      <c r="G17460" s="0" t="s">
        <v>16</v>
      </c>
      <c r="H17460" s="0" t="n">
        <v>58</v>
      </c>
      <c r="I17460" s="0" t="s">
        <v>58058</v>
      </c>
      <c r="J17460" s="0" t="s">
        <v>58059</v>
      </c>
      <c r="K17460" s="0" t="s">
        <v>58060</v>
      </c>
      <c r="L17460" s="0" t="str">
        <f aca="false">HYPERLINK("https://www.ncbi.nlm.nih.gov/nuccore/CP000058.1?report=graph&amp;tracks=[key:gene_model_track,Options:GeneOnly]&amp;mk=5360360:5360379|offset_58|00cc00,5360382:5360401|offset_80|444444,5360408:5360427|offset_106|444444,5360450:5360469|offset_148|444444&amp;v=5360159:5360669&amp;c=444444", "offset 58")</f>
        <v>offset 58</v>
      </c>
    </row>
    <row r="17461" customFormat="false" ht="12.8" hidden="false" customHeight="false" outlineLevel="0" collapsed="false">
      <c r="A17461" s="0" t="s">
        <v>12</v>
      </c>
      <c r="B17461" s="0" t="n">
        <v>5360381</v>
      </c>
      <c r="C17461" s="0" t="n">
        <v>5360401</v>
      </c>
      <c r="D17461" s="0" t="s">
        <v>58057</v>
      </c>
      <c r="E17461" s="0" t="s">
        <v>75</v>
      </c>
      <c r="F17461" s="0" t="s">
        <v>15</v>
      </c>
      <c r="G17461" s="0" t="s">
        <v>20</v>
      </c>
      <c r="H17461" s="0" t="n">
        <v>80</v>
      </c>
      <c r="I17461" s="0" t="s">
        <v>58061</v>
      </c>
      <c r="J17461" s="0" t="s">
        <v>58062</v>
      </c>
      <c r="K17461" s="0" t="s">
        <v>58063</v>
      </c>
      <c r="L17461" s="0" t="str">
        <f aca="false">HYPERLINK("https://www.ncbi.nlm.nih.gov/nuccore/CP000058.1?report=graph&amp;tracks=[key:gene_model_track,Options:GeneOnly]&amp;mk=5360360:5360379|offset_58|444444,5360382:5360401|offset_80|00cc00,5360408:5360427|offset_106|444444,5360450:5360469|offset_148|444444&amp;v=5360159:5360669&amp;c=444444", "offset 80")</f>
        <v>offset 80</v>
      </c>
    </row>
    <row r="17462" customFormat="false" ht="12.8" hidden="false" customHeight="false" outlineLevel="0" collapsed="false">
      <c r="A17462" s="0" t="s">
        <v>12</v>
      </c>
      <c r="B17462" s="0" t="n">
        <v>5360407</v>
      </c>
      <c r="C17462" s="0" t="n">
        <v>5360427</v>
      </c>
      <c r="D17462" s="0" t="s">
        <v>58057</v>
      </c>
      <c r="E17462" s="0" t="s">
        <v>75</v>
      </c>
      <c r="F17462" s="0" t="s">
        <v>15</v>
      </c>
      <c r="G17462" s="0" t="s">
        <v>32</v>
      </c>
      <c r="H17462" s="0" t="n">
        <v>106</v>
      </c>
      <c r="I17462" s="0" t="s">
        <v>58064</v>
      </c>
      <c r="J17462" s="0" t="s">
        <v>58065</v>
      </c>
      <c r="K17462" s="0" t="s">
        <v>58066</v>
      </c>
      <c r="L17462" s="0" t="str">
        <f aca="false">HYPERLINK("https://www.ncbi.nlm.nih.gov/nuccore/CP000058.1?report=graph&amp;tracks=[key:gene_model_track,Options:GeneOnly]&amp;mk=5360360:5360379|offset_58|444444,5360382:5360401|offset_80|444444,5360408:5360427|offset_106|00cc00,5360450:5360469|offset_148|444444&amp;v=5360159:5360669&amp;c=444444", "offset 106")</f>
        <v>offset 106</v>
      </c>
    </row>
    <row r="17463" customFormat="false" ht="12.8" hidden="false" customHeight="false" outlineLevel="0" collapsed="false">
      <c r="A17463" s="0" t="s">
        <v>12</v>
      </c>
      <c r="B17463" s="0" t="n">
        <v>5360449</v>
      </c>
      <c r="C17463" s="0" t="n">
        <v>5360469</v>
      </c>
      <c r="D17463" s="0" t="s">
        <v>58057</v>
      </c>
      <c r="E17463" s="0" t="s">
        <v>75</v>
      </c>
      <c r="F17463" s="0" t="s">
        <v>15</v>
      </c>
      <c r="G17463" s="0" t="s">
        <v>36</v>
      </c>
      <c r="H17463" s="0" t="n">
        <v>148</v>
      </c>
      <c r="I17463" s="0" t="s">
        <v>58067</v>
      </c>
      <c r="J17463" s="0" t="s">
        <v>58068</v>
      </c>
      <c r="K17463" s="0" t="s">
        <v>58069</v>
      </c>
      <c r="L17463" s="0" t="str">
        <f aca="false">HYPERLINK("https://www.ncbi.nlm.nih.gov/nuccore/CP000058.1?report=graph&amp;tracks=[key:gene_model_track,Options:GeneOnly]&amp;mk=5360360:5360379|offset_58|444444,5360382:5360401|offset_80|444444,5360408:5360427|offset_106|444444,5360450:5360469|offset_148|00cc00&amp;v=5360159:5360669&amp;c=444444", "offset 148")</f>
        <v>offset 148</v>
      </c>
    </row>
    <row r="17464" customFormat="false" ht="12.8" hidden="false" customHeight="false" outlineLevel="0" collapsed="false">
      <c r="A17464" s="0" t="s">
        <v>12</v>
      </c>
      <c r="B17464" s="0" t="n">
        <v>5360935</v>
      </c>
      <c r="C17464" s="0" t="n">
        <v>5360955</v>
      </c>
      <c r="D17464" s="0" t="s">
        <v>58070</v>
      </c>
      <c r="E17464" s="0" t="s">
        <v>75</v>
      </c>
      <c r="F17464" s="0" t="s">
        <v>15</v>
      </c>
      <c r="G17464" s="0" t="s">
        <v>32</v>
      </c>
      <c r="H17464" s="0" t="n">
        <v>28</v>
      </c>
      <c r="I17464" s="0" t="s">
        <v>58071</v>
      </c>
      <c r="J17464" s="0" t="s">
        <v>58072</v>
      </c>
      <c r="K17464" s="0" t="s">
        <v>58073</v>
      </c>
      <c r="L17464" s="0" t="str">
        <f aca="false">HYPERLINK("https://www.ncbi.nlm.nih.gov/nuccore/CP000058.1?report=graph&amp;tracks=[key:gene_model_track,Options:GeneOnly]&amp;mk=5360936:5360955|offset_28|00cc00,5360976:5360995|offset_68|444444,5361008:5361027|offset_100|444444,5361042:5361061|offset_134|444444&amp;v=5360735:5361261&amp;c=444444", "offset 28")</f>
        <v>offset 28</v>
      </c>
    </row>
    <row r="17465" customFormat="false" ht="12.8" hidden="false" customHeight="false" outlineLevel="0" collapsed="false">
      <c r="A17465" s="0" t="s">
        <v>12</v>
      </c>
      <c r="B17465" s="0" t="n">
        <v>5360975</v>
      </c>
      <c r="C17465" s="0" t="n">
        <v>5360995</v>
      </c>
      <c r="D17465" s="0" t="s">
        <v>58070</v>
      </c>
      <c r="E17465" s="0" t="s">
        <v>75</v>
      </c>
      <c r="F17465" s="0" t="s">
        <v>15</v>
      </c>
      <c r="G17465" s="0" t="s">
        <v>20</v>
      </c>
      <c r="H17465" s="0" t="n">
        <v>68</v>
      </c>
      <c r="I17465" s="0" t="s">
        <v>58074</v>
      </c>
      <c r="J17465" s="0" t="s">
        <v>58075</v>
      </c>
      <c r="K17465" s="0" t="s">
        <v>58076</v>
      </c>
      <c r="L17465" s="0" t="str">
        <f aca="false">HYPERLINK("https://www.ncbi.nlm.nih.gov/nuccore/CP000058.1?report=graph&amp;tracks=[key:gene_model_track,Options:GeneOnly]&amp;mk=5360936:5360955|offset_28|444444,5360976:5360995|offset_68|00cc00,5361008:5361027|offset_100|444444,5361042:5361061|offset_134|444444&amp;v=5360735:5361261&amp;c=444444", "offset 68")</f>
        <v>offset 68</v>
      </c>
    </row>
    <row r="17466" customFormat="false" ht="12.8" hidden="false" customHeight="false" outlineLevel="0" collapsed="false">
      <c r="A17466" s="0" t="s">
        <v>12</v>
      </c>
      <c r="B17466" s="0" t="n">
        <v>5361007</v>
      </c>
      <c r="C17466" s="0" t="n">
        <v>5361027</v>
      </c>
      <c r="D17466" s="0" t="s">
        <v>58070</v>
      </c>
      <c r="E17466" s="0" t="s">
        <v>75</v>
      </c>
      <c r="F17466" s="0" t="s">
        <v>15</v>
      </c>
      <c r="G17466" s="0" t="s">
        <v>36</v>
      </c>
      <c r="H17466" s="0" t="n">
        <v>100</v>
      </c>
      <c r="I17466" s="0" t="s">
        <v>58077</v>
      </c>
      <c r="J17466" s="0" t="s">
        <v>58078</v>
      </c>
      <c r="K17466" s="0" t="s">
        <v>58079</v>
      </c>
      <c r="L17466" s="0" t="str">
        <f aca="false">HYPERLINK("https://www.ncbi.nlm.nih.gov/nuccore/CP000058.1?report=graph&amp;tracks=[key:gene_model_track,Options:GeneOnly]&amp;mk=5360936:5360955|offset_28|444444,5360976:5360995|offset_68|444444,5361008:5361027|offset_100|00cc00,5361042:5361061|offset_134|444444&amp;v=5360735:5361261&amp;c=444444", "offset 100")</f>
        <v>offset 100</v>
      </c>
    </row>
    <row r="17467" customFormat="false" ht="12.8" hidden="false" customHeight="false" outlineLevel="0" collapsed="false">
      <c r="A17467" s="0" t="s">
        <v>12</v>
      </c>
      <c r="B17467" s="0" t="n">
        <v>5361041</v>
      </c>
      <c r="C17467" s="0" t="n">
        <v>5361061</v>
      </c>
      <c r="D17467" s="0" t="s">
        <v>58070</v>
      </c>
      <c r="E17467" s="0" t="s">
        <v>75</v>
      </c>
      <c r="F17467" s="0" t="s">
        <v>15</v>
      </c>
      <c r="G17467" s="0" t="s">
        <v>20</v>
      </c>
      <c r="H17467" s="0" t="n">
        <v>134</v>
      </c>
      <c r="I17467" s="0" t="s">
        <v>58080</v>
      </c>
      <c r="J17467" s="0" t="s">
        <v>58081</v>
      </c>
      <c r="K17467" s="0" t="s">
        <v>58082</v>
      </c>
      <c r="L17467" s="0" t="str">
        <f aca="false">HYPERLINK("https://www.ncbi.nlm.nih.gov/nuccore/CP000058.1?report=graph&amp;tracks=[key:gene_model_track,Options:GeneOnly]&amp;mk=5360936:5360955|offset_28|444444,5360976:5360995|offset_68|444444,5361008:5361027|offset_100|444444,5361042:5361061|offset_134|00cc00&amp;v=5360735:5361261&amp;c=444444", "offset 134")</f>
        <v>offset 134</v>
      </c>
    </row>
    <row r="17468" customFormat="false" ht="12.8" hidden="false" customHeight="false" outlineLevel="0" collapsed="false">
      <c r="A17468" s="0" t="s">
        <v>12</v>
      </c>
      <c r="B17468" s="0" t="n">
        <v>5363897</v>
      </c>
      <c r="C17468" s="0" t="n">
        <v>5363917</v>
      </c>
      <c r="D17468" s="0" t="s">
        <v>58083</v>
      </c>
      <c r="E17468" s="0" t="s">
        <v>75</v>
      </c>
      <c r="F17468" s="0" t="s">
        <v>90</v>
      </c>
      <c r="G17468" s="0" t="s">
        <v>16</v>
      </c>
      <c r="H17468" s="0" t="n">
        <v>12</v>
      </c>
      <c r="I17468" s="0" t="s">
        <v>58084</v>
      </c>
      <c r="J17468" s="0" t="s">
        <v>58085</v>
      </c>
      <c r="K17468" s="0" t="s">
        <v>58086</v>
      </c>
      <c r="L17468" s="0" t="str">
        <f aca="false">HYPERLINK("https://www.ncbi.nlm.nih.gov/nuccore/CP000058.1?report=graph&amp;tracks=[key:gene_model_track,Options:GeneOnly]&amp;mk=5363898:5363917|offset_12|00cc00,5363866:5363885|offset_44|444444,5363843:5363862|offset_67|444444,5363809:5363828|offset_101|444444&amp;v=5363697:5364028&amp;c=444444", "offset 12")</f>
        <v>offset 12</v>
      </c>
    </row>
    <row r="17469" customFormat="false" ht="12.8" hidden="false" customHeight="false" outlineLevel="0" collapsed="false">
      <c r="A17469" s="0" t="s">
        <v>12</v>
      </c>
      <c r="B17469" s="0" t="n">
        <v>5363865</v>
      </c>
      <c r="C17469" s="0" t="n">
        <v>5363885</v>
      </c>
      <c r="D17469" s="0" t="s">
        <v>58083</v>
      </c>
      <c r="E17469" s="0" t="s">
        <v>75</v>
      </c>
      <c r="F17469" s="0" t="s">
        <v>90</v>
      </c>
      <c r="G17469" s="0" t="s">
        <v>20</v>
      </c>
      <c r="H17469" s="0" t="n">
        <v>44</v>
      </c>
      <c r="I17469" s="0" t="s">
        <v>58087</v>
      </c>
      <c r="J17469" s="0" t="s">
        <v>58088</v>
      </c>
      <c r="K17469" s="0" t="s">
        <v>58089</v>
      </c>
      <c r="L17469" s="0" t="str">
        <f aca="false">HYPERLINK("https://www.ncbi.nlm.nih.gov/nuccore/CP000058.1?report=graph&amp;tracks=[key:gene_model_track,Options:GeneOnly]&amp;mk=5363898:5363917|offset_12|444444,5363866:5363885|offset_44|00cc00,5363843:5363862|offset_67|444444,5363809:5363828|offset_101|444444&amp;v=5363697:5364028&amp;c=444444", "offset 44")</f>
        <v>offset 44</v>
      </c>
    </row>
    <row r="17470" customFormat="false" ht="12.8" hidden="false" customHeight="false" outlineLevel="0" collapsed="false">
      <c r="A17470" s="0" t="s">
        <v>12</v>
      </c>
      <c r="B17470" s="0" t="n">
        <v>5363842</v>
      </c>
      <c r="C17470" s="0" t="n">
        <v>5363862</v>
      </c>
      <c r="D17470" s="0" t="s">
        <v>58083</v>
      </c>
      <c r="E17470" s="0" t="s">
        <v>75</v>
      </c>
      <c r="F17470" s="0" t="s">
        <v>90</v>
      </c>
      <c r="G17470" s="0" t="s">
        <v>20</v>
      </c>
      <c r="H17470" s="0" t="n">
        <v>67</v>
      </c>
      <c r="I17470" s="0" t="s">
        <v>58090</v>
      </c>
      <c r="J17470" s="0" t="s">
        <v>58091</v>
      </c>
      <c r="K17470" s="0" t="s">
        <v>58092</v>
      </c>
      <c r="L17470" s="0" t="str">
        <f aca="false">HYPERLINK("https://www.ncbi.nlm.nih.gov/nuccore/CP000058.1?report=graph&amp;tracks=[key:gene_model_track,Options:GeneOnly]&amp;mk=5363898:5363917|offset_12|444444,5363866:5363885|offset_44|444444,5363843:5363862|offset_67|00cc00,5363809:5363828|offset_101|444444&amp;v=5363697:5364028&amp;c=444444", "offset 67")</f>
        <v>offset 67</v>
      </c>
    </row>
    <row r="17471" customFormat="false" ht="12.8" hidden="false" customHeight="false" outlineLevel="0" collapsed="false">
      <c r="A17471" s="0" t="s">
        <v>12</v>
      </c>
      <c r="B17471" s="0" t="n">
        <v>5363808</v>
      </c>
      <c r="C17471" s="0" t="n">
        <v>5363828</v>
      </c>
      <c r="D17471" s="0" t="s">
        <v>58083</v>
      </c>
      <c r="E17471" s="0" t="s">
        <v>75</v>
      </c>
      <c r="F17471" s="0" t="s">
        <v>90</v>
      </c>
      <c r="G17471" s="0" t="s">
        <v>16</v>
      </c>
      <c r="H17471" s="0" t="n">
        <v>101</v>
      </c>
      <c r="I17471" s="0" t="s">
        <v>58093</v>
      </c>
      <c r="J17471" s="0" t="s">
        <v>58094</v>
      </c>
      <c r="K17471" s="0" t="s">
        <v>58095</v>
      </c>
      <c r="L17471" s="0" t="str">
        <f aca="false">HYPERLINK("https://www.ncbi.nlm.nih.gov/nuccore/CP000058.1?report=graph&amp;tracks=[key:gene_model_track,Options:GeneOnly]&amp;mk=5363898:5363917|offset_12|444444,5363866:5363885|offset_44|444444,5363843:5363862|offset_67|444444,5363809:5363828|offset_101|00cc00&amp;v=5363697:5364028&amp;c=444444", "offset 101")</f>
        <v>offset 101</v>
      </c>
    </row>
    <row r="17472" customFormat="false" ht="12.8" hidden="false" customHeight="false" outlineLevel="0" collapsed="false">
      <c r="A17472" s="0" t="s">
        <v>12</v>
      </c>
      <c r="B17472" s="0" t="n">
        <v>5364949</v>
      </c>
      <c r="C17472" s="0" t="n">
        <v>5364969</v>
      </c>
      <c r="D17472" s="0" t="s">
        <v>58096</v>
      </c>
      <c r="E17472" s="0" t="s">
        <v>75</v>
      </c>
      <c r="F17472" s="0" t="s">
        <v>90</v>
      </c>
      <c r="G17472" s="0" t="s">
        <v>32</v>
      </c>
      <c r="H17472" s="0" t="n">
        <v>16</v>
      </c>
      <c r="I17472" s="0" t="s">
        <v>58097</v>
      </c>
      <c r="J17472" s="0" t="s">
        <v>58098</v>
      </c>
      <c r="K17472" s="0" t="s">
        <v>58099</v>
      </c>
      <c r="L17472" s="0" t="str">
        <f aca="false">HYPERLINK("https://www.ncbi.nlm.nih.gov/nuccore/CP000058.1?report=graph&amp;tracks=[key:gene_model_track,Options:GeneOnly]&amp;mk=5364950:5364969|offset_16|00cc00,5364917:5364936|offset_49|444444,5364873:5364892|offset_93|444444,5364842:5364861|offset_124|444444&amp;v=5364749:5365061&amp;c=444444", "offset 16")</f>
        <v>offset 16</v>
      </c>
    </row>
    <row r="17473" customFormat="false" ht="12.8" hidden="false" customHeight="false" outlineLevel="0" collapsed="false">
      <c r="A17473" s="0" t="s">
        <v>12</v>
      </c>
      <c r="B17473" s="0" t="n">
        <v>5364916</v>
      </c>
      <c r="C17473" s="0" t="n">
        <v>5364936</v>
      </c>
      <c r="D17473" s="0" t="s">
        <v>58096</v>
      </c>
      <c r="E17473" s="0" t="s">
        <v>75</v>
      </c>
      <c r="F17473" s="0" t="s">
        <v>90</v>
      </c>
      <c r="G17473" s="0" t="s">
        <v>16</v>
      </c>
      <c r="H17473" s="0" t="n">
        <v>49</v>
      </c>
      <c r="I17473" s="0" t="s">
        <v>58100</v>
      </c>
      <c r="J17473" s="0" t="s">
        <v>58101</v>
      </c>
      <c r="K17473" s="0" t="s">
        <v>58102</v>
      </c>
      <c r="L17473" s="0" t="str">
        <f aca="false">HYPERLINK("https://www.ncbi.nlm.nih.gov/nuccore/CP000058.1?report=graph&amp;tracks=[key:gene_model_track,Options:GeneOnly]&amp;mk=5364950:5364969|offset_16|444444,5364917:5364936|offset_49|00cc00,5364873:5364892|offset_93|444444,5364842:5364861|offset_124|444444&amp;v=5364749:5365061&amp;c=444444", "offset 49")</f>
        <v>offset 49</v>
      </c>
    </row>
    <row r="17474" customFormat="false" ht="12.8" hidden="false" customHeight="false" outlineLevel="0" collapsed="false">
      <c r="A17474" s="0" t="s">
        <v>12</v>
      </c>
      <c r="B17474" s="0" t="n">
        <v>5364872</v>
      </c>
      <c r="C17474" s="0" t="n">
        <v>5364892</v>
      </c>
      <c r="D17474" s="0" t="s">
        <v>58096</v>
      </c>
      <c r="E17474" s="0" t="s">
        <v>75</v>
      </c>
      <c r="F17474" s="0" t="s">
        <v>90</v>
      </c>
      <c r="G17474" s="0" t="s">
        <v>20</v>
      </c>
      <c r="H17474" s="0" t="n">
        <v>93</v>
      </c>
      <c r="I17474" s="0" t="s">
        <v>58103</v>
      </c>
      <c r="J17474" s="0" t="s">
        <v>58104</v>
      </c>
      <c r="K17474" s="0" t="s">
        <v>58105</v>
      </c>
      <c r="L17474" s="0" t="str">
        <f aca="false">HYPERLINK("https://www.ncbi.nlm.nih.gov/nuccore/CP000058.1?report=graph&amp;tracks=[key:gene_model_track,Options:GeneOnly]&amp;mk=5364950:5364969|offset_16|444444,5364917:5364936|offset_49|444444,5364873:5364892|offset_93|00cc00,5364842:5364861|offset_124|444444&amp;v=5364749:5365061&amp;c=444444", "offset 93")</f>
        <v>offset 93</v>
      </c>
    </row>
    <row r="17475" customFormat="false" ht="12.8" hidden="false" customHeight="false" outlineLevel="0" collapsed="false">
      <c r="A17475" s="0" t="s">
        <v>12</v>
      </c>
      <c r="B17475" s="0" t="n">
        <v>5364841</v>
      </c>
      <c r="C17475" s="0" t="n">
        <v>5364861</v>
      </c>
      <c r="D17475" s="0" t="s">
        <v>58096</v>
      </c>
      <c r="E17475" s="0" t="s">
        <v>75</v>
      </c>
      <c r="F17475" s="0" t="s">
        <v>90</v>
      </c>
      <c r="G17475" s="0" t="s">
        <v>16</v>
      </c>
      <c r="H17475" s="0" t="n">
        <v>124</v>
      </c>
      <c r="I17475" s="0" t="s">
        <v>58106</v>
      </c>
      <c r="J17475" s="0" t="s">
        <v>58107</v>
      </c>
      <c r="K17475" s="0" t="s">
        <v>58108</v>
      </c>
      <c r="L17475" s="0" t="str">
        <f aca="false">HYPERLINK("https://www.ncbi.nlm.nih.gov/nuccore/CP000058.1?report=graph&amp;tracks=[key:gene_model_track,Options:GeneOnly]&amp;mk=5364950:5364969|offset_16|444444,5364917:5364936|offset_49|444444,5364873:5364892|offset_93|444444,5364842:5364861|offset_124|00cc00&amp;v=5364749:5365061&amp;c=444444", "offset 124")</f>
        <v>offset 124</v>
      </c>
    </row>
    <row r="17476" customFormat="false" ht="12.8" hidden="false" customHeight="false" outlineLevel="0" collapsed="false">
      <c r="A17476" s="0" t="s">
        <v>12</v>
      </c>
      <c r="B17476" s="0" t="n">
        <v>5365741</v>
      </c>
      <c r="C17476" s="0" t="n">
        <v>5365761</v>
      </c>
      <c r="D17476" s="0" t="s">
        <v>58109</v>
      </c>
      <c r="E17476" s="0" t="s">
        <v>75</v>
      </c>
      <c r="F17476" s="0" t="s">
        <v>90</v>
      </c>
      <c r="G17476" s="0" t="s">
        <v>32</v>
      </c>
      <c r="H17476" s="0" t="n">
        <v>15</v>
      </c>
      <c r="I17476" s="0" t="s">
        <v>58110</v>
      </c>
      <c r="J17476" s="0" t="s">
        <v>58111</v>
      </c>
      <c r="K17476" s="0" t="s">
        <v>58112</v>
      </c>
      <c r="L17476" s="0" t="str">
        <f aca="false">HYPERLINK("https://www.ncbi.nlm.nih.gov/nuccore/CP000058.1?report=graph&amp;tracks=[key:gene_model_track,Options:GeneOnly]&amp;mk=5365742:5365761|offset_15|00cc00,5365686:5365705|offset_71|444444,5365663:5365682|offset_94|444444,5365635:5365654|offset_122|444444&amp;v=5365541:5365854&amp;c=444444", "offset 15")</f>
        <v>offset 15</v>
      </c>
    </row>
    <row r="17477" customFormat="false" ht="12.8" hidden="false" customHeight="false" outlineLevel="0" collapsed="false">
      <c r="A17477" s="0" t="s">
        <v>12</v>
      </c>
      <c r="B17477" s="0" t="n">
        <v>5365685</v>
      </c>
      <c r="C17477" s="0" t="n">
        <v>5365705</v>
      </c>
      <c r="D17477" s="0" t="s">
        <v>58109</v>
      </c>
      <c r="E17477" s="0" t="s">
        <v>75</v>
      </c>
      <c r="F17477" s="0" t="s">
        <v>90</v>
      </c>
      <c r="G17477" s="0" t="s">
        <v>36</v>
      </c>
      <c r="H17477" s="0" t="n">
        <v>71</v>
      </c>
      <c r="I17477" s="0" t="s">
        <v>58113</v>
      </c>
      <c r="J17477" s="0" t="s">
        <v>58114</v>
      </c>
      <c r="K17477" s="0" t="s">
        <v>58115</v>
      </c>
      <c r="L17477" s="0" t="str">
        <f aca="false">HYPERLINK("https://www.ncbi.nlm.nih.gov/nuccore/CP000058.1?report=graph&amp;tracks=[key:gene_model_track,Options:GeneOnly]&amp;mk=5365742:5365761|offset_15|444444,5365686:5365705|offset_71|00cc00,5365663:5365682|offset_94|444444,5365635:5365654|offset_122|444444&amp;v=5365541:5365854&amp;c=444444", "offset 71")</f>
        <v>offset 71</v>
      </c>
    </row>
    <row r="17478" customFormat="false" ht="12.8" hidden="false" customHeight="false" outlineLevel="0" collapsed="false">
      <c r="A17478" s="0" t="s">
        <v>12</v>
      </c>
      <c r="B17478" s="0" t="n">
        <v>5365662</v>
      </c>
      <c r="C17478" s="0" t="n">
        <v>5365682</v>
      </c>
      <c r="D17478" s="0" t="s">
        <v>58109</v>
      </c>
      <c r="E17478" s="0" t="s">
        <v>75</v>
      </c>
      <c r="F17478" s="0" t="s">
        <v>90</v>
      </c>
      <c r="G17478" s="0" t="s">
        <v>16</v>
      </c>
      <c r="H17478" s="0" t="n">
        <v>94</v>
      </c>
      <c r="I17478" s="0" t="s">
        <v>58116</v>
      </c>
      <c r="J17478" s="0" t="s">
        <v>58117</v>
      </c>
      <c r="K17478" s="0" t="s">
        <v>58118</v>
      </c>
      <c r="L17478" s="0" t="str">
        <f aca="false">HYPERLINK("https://www.ncbi.nlm.nih.gov/nuccore/CP000058.1?report=graph&amp;tracks=[key:gene_model_track,Options:GeneOnly]&amp;mk=5365742:5365761|offset_15|444444,5365686:5365705|offset_71|444444,5365663:5365682|offset_94|00cc00,5365635:5365654|offset_122|444444&amp;v=5365541:5365854&amp;c=444444", "offset 94")</f>
        <v>offset 94</v>
      </c>
    </row>
    <row r="17479" customFormat="false" ht="12.8" hidden="false" customHeight="false" outlineLevel="0" collapsed="false">
      <c r="A17479" s="0" t="s">
        <v>12</v>
      </c>
      <c r="B17479" s="0" t="n">
        <v>5365634</v>
      </c>
      <c r="C17479" s="0" t="n">
        <v>5365654</v>
      </c>
      <c r="D17479" s="0" t="s">
        <v>58109</v>
      </c>
      <c r="E17479" s="0" t="s">
        <v>75</v>
      </c>
      <c r="F17479" s="0" t="s">
        <v>90</v>
      </c>
      <c r="G17479" s="0" t="s">
        <v>20</v>
      </c>
      <c r="H17479" s="0" t="n">
        <v>122</v>
      </c>
      <c r="I17479" s="0" t="s">
        <v>58119</v>
      </c>
      <c r="J17479" s="0" t="s">
        <v>58120</v>
      </c>
      <c r="K17479" s="0" t="s">
        <v>58121</v>
      </c>
      <c r="L17479" s="0" t="str">
        <f aca="false">HYPERLINK("https://www.ncbi.nlm.nih.gov/nuccore/CP000058.1?report=graph&amp;tracks=[key:gene_model_track,Options:GeneOnly]&amp;mk=5365742:5365761|offset_15|444444,5365686:5365705|offset_71|444444,5365663:5365682|offset_94|444444,5365635:5365654|offset_122|00cc00&amp;v=5365541:5365854&amp;c=444444", "offset 122")</f>
        <v>offset 122</v>
      </c>
    </row>
    <row r="17480" customFormat="false" ht="12.8" hidden="false" customHeight="false" outlineLevel="0" collapsed="false">
      <c r="A17480" s="0" t="s">
        <v>12</v>
      </c>
      <c r="B17480" s="0" t="n">
        <v>5366618</v>
      </c>
      <c r="C17480" s="0" t="n">
        <v>5366638</v>
      </c>
      <c r="D17480" s="0" t="s">
        <v>58122</v>
      </c>
      <c r="E17480" s="0" t="s">
        <v>75</v>
      </c>
      <c r="F17480" s="0" t="s">
        <v>90</v>
      </c>
      <c r="G17480" s="0" t="s">
        <v>20</v>
      </c>
      <c r="H17480" s="0" t="n">
        <v>10</v>
      </c>
      <c r="I17480" s="0" t="s">
        <v>58123</v>
      </c>
      <c r="J17480" s="0" t="s">
        <v>58124</v>
      </c>
      <c r="K17480" s="0" t="s">
        <v>58125</v>
      </c>
      <c r="L17480" s="0" t="str">
        <f aca="false">HYPERLINK("https://www.ncbi.nlm.nih.gov/nuccore/CP000058.1?report=graph&amp;tracks=[key:gene_model_track,Options:GeneOnly]&amp;mk=5366619:5366638|offset_10|00cc00,5366561:5366580|offset_68|444444,5366536:5366555|offset_93|444444,5366500:5366519|offset_129|444444&amp;v=5366418:5366719&amp;c=444444", "offset 10")</f>
        <v>offset 10</v>
      </c>
    </row>
    <row r="17481" customFormat="false" ht="12.8" hidden="false" customHeight="false" outlineLevel="0" collapsed="false">
      <c r="A17481" s="0" t="s">
        <v>12</v>
      </c>
      <c r="B17481" s="0" t="n">
        <v>5366560</v>
      </c>
      <c r="C17481" s="0" t="n">
        <v>5366580</v>
      </c>
      <c r="D17481" s="0" t="s">
        <v>58122</v>
      </c>
      <c r="E17481" s="0" t="s">
        <v>75</v>
      </c>
      <c r="F17481" s="0" t="s">
        <v>90</v>
      </c>
      <c r="G17481" s="0" t="s">
        <v>36</v>
      </c>
      <c r="H17481" s="0" t="n">
        <v>68</v>
      </c>
      <c r="I17481" s="0" t="s">
        <v>58126</v>
      </c>
      <c r="J17481" s="0" t="s">
        <v>58127</v>
      </c>
      <c r="K17481" s="0" t="s">
        <v>58128</v>
      </c>
      <c r="L17481" s="0" t="str">
        <f aca="false">HYPERLINK("https://www.ncbi.nlm.nih.gov/nuccore/CP000058.1?report=graph&amp;tracks=[key:gene_model_track,Options:GeneOnly]&amp;mk=5366619:5366638|offset_10|444444,5366561:5366580|offset_68|00cc00,5366536:5366555|offset_93|444444,5366500:5366519|offset_129|444444&amp;v=5366418:5366719&amp;c=444444", "offset 68")</f>
        <v>offset 68</v>
      </c>
    </row>
    <row r="17482" customFormat="false" ht="12.8" hidden="false" customHeight="false" outlineLevel="0" collapsed="false">
      <c r="A17482" s="0" t="s">
        <v>12</v>
      </c>
      <c r="B17482" s="0" t="n">
        <v>5366535</v>
      </c>
      <c r="C17482" s="0" t="n">
        <v>5366555</v>
      </c>
      <c r="D17482" s="0" t="s">
        <v>58122</v>
      </c>
      <c r="E17482" s="0" t="s">
        <v>75</v>
      </c>
      <c r="F17482" s="0" t="s">
        <v>90</v>
      </c>
      <c r="G17482" s="0" t="s">
        <v>16</v>
      </c>
      <c r="H17482" s="0" t="n">
        <v>93</v>
      </c>
      <c r="I17482" s="0" t="s">
        <v>58129</v>
      </c>
      <c r="J17482" s="0" t="s">
        <v>58130</v>
      </c>
      <c r="K17482" s="0" t="s">
        <v>58131</v>
      </c>
      <c r="L17482" s="0" t="str">
        <f aca="false">HYPERLINK("https://www.ncbi.nlm.nih.gov/nuccore/CP000058.1?report=graph&amp;tracks=[key:gene_model_track,Options:GeneOnly]&amp;mk=5366619:5366638|offset_10|444444,5366561:5366580|offset_68|444444,5366536:5366555|offset_93|00cc00,5366500:5366519|offset_129|444444&amp;v=5366418:5366719&amp;c=444444", "offset 93")</f>
        <v>offset 93</v>
      </c>
    </row>
    <row r="17483" customFormat="false" ht="12.8" hidden="false" customHeight="false" outlineLevel="0" collapsed="false">
      <c r="A17483" s="0" t="s">
        <v>12</v>
      </c>
      <c r="B17483" s="0" t="n">
        <v>5366499</v>
      </c>
      <c r="C17483" s="0" t="n">
        <v>5366519</v>
      </c>
      <c r="D17483" s="0" t="s">
        <v>58122</v>
      </c>
      <c r="E17483" s="0" t="s">
        <v>75</v>
      </c>
      <c r="F17483" s="0" t="s">
        <v>90</v>
      </c>
      <c r="G17483" s="0" t="s">
        <v>16</v>
      </c>
      <c r="H17483" s="0" t="n">
        <v>129</v>
      </c>
      <c r="I17483" s="0" t="s">
        <v>58132</v>
      </c>
      <c r="J17483" s="0" t="s">
        <v>58133</v>
      </c>
      <c r="K17483" s="0" t="s">
        <v>58134</v>
      </c>
      <c r="L17483" s="0" t="str">
        <f aca="false">HYPERLINK("https://www.ncbi.nlm.nih.gov/nuccore/CP000058.1?report=graph&amp;tracks=[key:gene_model_track,Options:GeneOnly]&amp;mk=5366619:5366638|offset_10|444444,5366561:5366580|offset_68|444444,5366536:5366555|offset_93|444444,5366500:5366519|offset_129|00cc00&amp;v=5366418:5366719&amp;c=444444", "offset 129")</f>
        <v>offset 129</v>
      </c>
    </row>
    <row r="17484" customFormat="false" ht="12.8" hidden="false" customHeight="false" outlineLevel="0" collapsed="false">
      <c r="A17484" s="0" t="s">
        <v>12</v>
      </c>
      <c r="B17484" s="0" t="n">
        <v>5367606</v>
      </c>
      <c r="C17484" s="0" t="n">
        <v>5367626</v>
      </c>
      <c r="D17484" s="0" t="s">
        <v>58135</v>
      </c>
      <c r="E17484" s="0" t="s">
        <v>75</v>
      </c>
      <c r="F17484" s="0" t="s">
        <v>90</v>
      </c>
      <c r="G17484" s="0" t="s">
        <v>20</v>
      </c>
      <c r="H17484" s="0" t="n">
        <v>23</v>
      </c>
      <c r="I17484" s="0" t="s">
        <v>58136</v>
      </c>
      <c r="J17484" s="0" t="s">
        <v>58137</v>
      </c>
      <c r="K17484" s="0" t="s">
        <v>58138</v>
      </c>
      <c r="L17484" s="0" t="str">
        <f aca="false">HYPERLINK("https://www.ncbi.nlm.nih.gov/nuccore/CP000058.1?report=graph&amp;tracks=[key:gene_model_track,Options:GeneOnly]&amp;mk=5367607:5367626|offset_23|00cc00,5367578:5367597|offset_52|444444,5367554:5367573|offset_76|444444,5367534:5367553|offset_96|444444&amp;v=5367406:5367753&amp;c=444444", "offset 23")</f>
        <v>offset 23</v>
      </c>
    </row>
    <row r="17485" customFormat="false" ht="12.8" hidden="false" customHeight="false" outlineLevel="0" collapsed="false">
      <c r="A17485" s="0" t="s">
        <v>12</v>
      </c>
      <c r="B17485" s="0" t="n">
        <v>5367577</v>
      </c>
      <c r="C17485" s="0" t="n">
        <v>5367597</v>
      </c>
      <c r="D17485" s="0" t="s">
        <v>58135</v>
      </c>
      <c r="E17485" s="0" t="s">
        <v>75</v>
      </c>
      <c r="F17485" s="0" t="s">
        <v>90</v>
      </c>
      <c r="G17485" s="0" t="s">
        <v>32</v>
      </c>
      <c r="H17485" s="0" t="n">
        <v>52</v>
      </c>
      <c r="I17485" s="0" t="s">
        <v>58139</v>
      </c>
      <c r="J17485" s="0" t="s">
        <v>58140</v>
      </c>
      <c r="K17485" s="0" t="s">
        <v>58141</v>
      </c>
      <c r="L17485" s="0" t="str">
        <f aca="false">HYPERLINK("https://www.ncbi.nlm.nih.gov/nuccore/CP000058.1?report=graph&amp;tracks=[key:gene_model_track,Options:GeneOnly]&amp;mk=5367607:5367626|offset_23|444444,5367578:5367597|offset_52|00cc00,5367554:5367573|offset_76|444444,5367534:5367553|offset_96|444444&amp;v=5367406:5367753&amp;c=444444", "offset 52")</f>
        <v>offset 52</v>
      </c>
    </row>
    <row r="17486" customFormat="false" ht="12.8" hidden="false" customHeight="false" outlineLevel="0" collapsed="false">
      <c r="A17486" s="0" t="s">
        <v>12</v>
      </c>
      <c r="B17486" s="0" t="n">
        <v>5367553</v>
      </c>
      <c r="C17486" s="0" t="n">
        <v>5367573</v>
      </c>
      <c r="D17486" s="0" t="s">
        <v>58135</v>
      </c>
      <c r="E17486" s="0" t="s">
        <v>75</v>
      </c>
      <c r="F17486" s="0" t="s">
        <v>90</v>
      </c>
      <c r="G17486" s="0" t="s">
        <v>16</v>
      </c>
      <c r="H17486" s="0" t="n">
        <v>76</v>
      </c>
      <c r="I17486" s="0" t="s">
        <v>58142</v>
      </c>
      <c r="J17486" s="0" t="s">
        <v>58143</v>
      </c>
      <c r="K17486" s="0" t="s">
        <v>58144</v>
      </c>
      <c r="L17486" s="0" t="str">
        <f aca="false">HYPERLINK("https://www.ncbi.nlm.nih.gov/nuccore/CP000058.1?report=graph&amp;tracks=[key:gene_model_track,Options:GeneOnly]&amp;mk=5367607:5367626|offset_23|444444,5367578:5367597|offset_52|444444,5367554:5367573|offset_76|00cc00,5367534:5367553|offset_96|444444&amp;v=5367406:5367753&amp;c=444444", "offset 76")</f>
        <v>offset 76</v>
      </c>
    </row>
    <row r="17487" customFormat="false" ht="12.8" hidden="false" customHeight="false" outlineLevel="0" collapsed="false">
      <c r="A17487" s="0" t="s">
        <v>12</v>
      </c>
      <c r="B17487" s="0" t="n">
        <v>5367533</v>
      </c>
      <c r="C17487" s="0" t="n">
        <v>5367553</v>
      </c>
      <c r="D17487" s="0" t="s">
        <v>58135</v>
      </c>
      <c r="E17487" s="0" t="s">
        <v>75</v>
      </c>
      <c r="F17487" s="0" t="s">
        <v>90</v>
      </c>
      <c r="G17487" s="0" t="s">
        <v>16</v>
      </c>
      <c r="H17487" s="0" t="n">
        <v>96</v>
      </c>
      <c r="I17487" s="0" t="s">
        <v>58145</v>
      </c>
      <c r="J17487" s="0" t="s">
        <v>58146</v>
      </c>
      <c r="K17487" s="0" t="s">
        <v>58147</v>
      </c>
      <c r="L17487" s="0" t="str">
        <f aca="false">HYPERLINK("https://www.ncbi.nlm.nih.gov/nuccore/CP000058.1?report=graph&amp;tracks=[key:gene_model_track,Options:GeneOnly]&amp;mk=5367607:5367626|offset_23|444444,5367578:5367597|offset_52|444444,5367554:5367573|offset_76|444444,5367534:5367553|offset_96|00cc00&amp;v=5367406:5367753&amp;c=444444", "offset 96")</f>
        <v>offset 96</v>
      </c>
    </row>
    <row r="17488" customFormat="false" ht="12.8" hidden="false" customHeight="false" outlineLevel="0" collapsed="false">
      <c r="A17488" s="0" t="s">
        <v>12</v>
      </c>
      <c r="B17488" s="0" t="n">
        <v>5368769</v>
      </c>
      <c r="C17488" s="0" t="n">
        <v>5368789</v>
      </c>
      <c r="D17488" s="0" t="s">
        <v>58148</v>
      </c>
      <c r="E17488" s="0" t="s">
        <v>75</v>
      </c>
      <c r="F17488" s="0" t="s">
        <v>90</v>
      </c>
      <c r="G17488" s="0" t="s">
        <v>16</v>
      </c>
      <c r="H17488" s="0" t="n">
        <v>16</v>
      </c>
      <c r="I17488" s="0" t="s">
        <v>58149</v>
      </c>
      <c r="J17488" s="0" t="s">
        <v>58150</v>
      </c>
      <c r="K17488" s="0" t="s">
        <v>58151</v>
      </c>
      <c r="L17488" s="0" t="str">
        <f aca="false">HYPERLINK("https://www.ncbi.nlm.nih.gov/nuccore/CP000058.1?report=graph&amp;tracks=[key:gene_model_track,Options:GeneOnly]&amp;mk=5368770:5368789|offset_16|00cc00,5368750:5368769|offset_36|444444,5368714:5368733|offset_72|444444,5368684:5368703|offset_102|444444&amp;v=5368569:5368903&amp;c=444444", "offset 16")</f>
        <v>offset 16</v>
      </c>
    </row>
    <row r="17489" customFormat="false" ht="12.8" hidden="false" customHeight="false" outlineLevel="0" collapsed="false">
      <c r="A17489" s="0" t="s">
        <v>12</v>
      </c>
      <c r="B17489" s="0" t="n">
        <v>5368749</v>
      </c>
      <c r="C17489" s="0" t="n">
        <v>5368769</v>
      </c>
      <c r="D17489" s="0" t="s">
        <v>58148</v>
      </c>
      <c r="E17489" s="0" t="s">
        <v>75</v>
      </c>
      <c r="F17489" s="0" t="s">
        <v>90</v>
      </c>
      <c r="G17489" s="0" t="s">
        <v>36</v>
      </c>
      <c r="H17489" s="0" t="n">
        <v>36</v>
      </c>
      <c r="I17489" s="0" t="s">
        <v>58152</v>
      </c>
      <c r="J17489" s="0" t="s">
        <v>58153</v>
      </c>
      <c r="K17489" s="0" t="s">
        <v>58154</v>
      </c>
      <c r="L17489" s="0" t="str">
        <f aca="false">HYPERLINK("https://www.ncbi.nlm.nih.gov/nuccore/CP000058.1?report=graph&amp;tracks=[key:gene_model_track,Options:GeneOnly]&amp;mk=5368770:5368789|offset_16|444444,5368750:5368769|offset_36|00cc00,5368714:5368733|offset_72|444444,5368684:5368703|offset_102|444444&amp;v=5368569:5368903&amp;c=444444", "offset 36")</f>
        <v>offset 36</v>
      </c>
    </row>
    <row r="17490" customFormat="false" ht="12.8" hidden="false" customHeight="false" outlineLevel="0" collapsed="false">
      <c r="A17490" s="0" t="s">
        <v>12</v>
      </c>
      <c r="B17490" s="0" t="n">
        <v>5368713</v>
      </c>
      <c r="C17490" s="0" t="n">
        <v>5368733</v>
      </c>
      <c r="D17490" s="0" t="s">
        <v>58148</v>
      </c>
      <c r="E17490" s="0" t="s">
        <v>75</v>
      </c>
      <c r="F17490" s="0" t="s">
        <v>90</v>
      </c>
      <c r="G17490" s="0" t="s">
        <v>32</v>
      </c>
      <c r="H17490" s="0" t="n">
        <v>72</v>
      </c>
      <c r="I17490" s="0" t="s">
        <v>58155</v>
      </c>
      <c r="J17490" s="0" t="s">
        <v>58156</v>
      </c>
      <c r="K17490" s="0" t="s">
        <v>58157</v>
      </c>
      <c r="L17490" s="0" t="str">
        <f aca="false">HYPERLINK("https://www.ncbi.nlm.nih.gov/nuccore/CP000058.1?report=graph&amp;tracks=[key:gene_model_track,Options:GeneOnly]&amp;mk=5368770:5368789|offset_16|444444,5368750:5368769|offset_36|444444,5368714:5368733|offset_72|00cc00,5368684:5368703|offset_102|444444&amp;v=5368569:5368903&amp;c=444444", "offset 72")</f>
        <v>offset 72</v>
      </c>
    </row>
    <row r="17491" customFormat="false" ht="12.8" hidden="false" customHeight="false" outlineLevel="0" collapsed="false">
      <c r="A17491" s="0" t="s">
        <v>12</v>
      </c>
      <c r="B17491" s="0" t="n">
        <v>5368683</v>
      </c>
      <c r="C17491" s="0" t="n">
        <v>5368703</v>
      </c>
      <c r="D17491" s="0" t="s">
        <v>58148</v>
      </c>
      <c r="E17491" s="0" t="s">
        <v>75</v>
      </c>
      <c r="F17491" s="0" t="s">
        <v>90</v>
      </c>
      <c r="G17491" s="0" t="s">
        <v>32</v>
      </c>
      <c r="H17491" s="0" t="n">
        <v>102</v>
      </c>
      <c r="I17491" s="0" t="s">
        <v>58158</v>
      </c>
      <c r="J17491" s="0" t="s">
        <v>58159</v>
      </c>
      <c r="K17491" s="0" t="s">
        <v>58160</v>
      </c>
      <c r="L17491" s="0" t="str">
        <f aca="false">HYPERLINK("https://www.ncbi.nlm.nih.gov/nuccore/CP000058.1?report=graph&amp;tracks=[key:gene_model_track,Options:GeneOnly]&amp;mk=5368770:5368789|offset_16|444444,5368750:5368769|offset_36|444444,5368714:5368733|offset_72|444444,5368684:5368703|offset_102|00cc00&amp;v=5368569:5368903&amp;c=444444", "offset 102")</f>
        <v>offset 102</v>
      </c>
    </row>
    <row r="17492" customFormat="false" ht="12.8" hidden="false" customHeight="false" outlineLevel="0" collapsed="false">
      <c r="A17492" s="0" t="s">
        <v>12</v>
      </c>
      <c r="B17492" s="0" t="n">
        <v>5368857</v>
      </c>
      <c r="C17492" s="0" t="n">
        <v>5368877</v>
      </c>
      <c r="D17492" s="0" t="s">
        <v>58161</v>
      </c>
      <c r="E17492" s="0" t="s">
        <v>75</v>
      </c>
      <c r="F17492" s="0" t="s">
        <v>15</v>
      </c>
      <c r="G17492" s="0" t="s">
        <v>36</v>
      </c>
      <c r="H17492" s="0" t="n">
        <v>11</v>
      </c>
      <c r="I17492" s="0" t="s">
        <v>58162</v>
      </c>
      <c r="J17492" s="0" t="s">
        <v>58163</v>
      </c>
      <c r="K17492" s="0" t="s">
        <v>58164</v>
      </c>
      <c r="L17492" s="0" t="str">
        <f aca="false">HYPERLINK("https://www.ncbi.nlm.nih.gov/nuccore/CP000058.1?report=graph&amp;tracks=[key:gene_model_track,Options:GeneOnly]&amp;mk=5368858:5368877|offset_11|00cc00,5368878:5368897|offset_31|444444,5368926:5368945|offset_79|444444,5368957:5368976|offset_110|444444&amp;v=5368657:5369176&amp;c=444444", "offset 11")</f>
        <v>offset 11</v>
      </c>
    </row>
    <row r="17493" customFormat="false" ht="12.8" hidden="false" customHeight="false" outlineLevel="0" collapsed="false">
      <c r="A17493" s="0" t="s">
        <v>12</v>
      </c>
      <c r="B17493" s="0" t="n">
        <v>5368877</v>
      </c>
      <c r="C17493" s="0" t="n">
        <v>5368897</v>
      </c>
      <c r="D17493" s="0" t="s">
        <v>58161</v>
      </c>
      <c r="E17493" s="0" t="s">
        <v>75</v>
      </c>
      <c r="F17493" s="0" t="s">
        <v>15</v>
      </c>
      <c r="G17493" s="0" t="s">
        <v>16</v>
      </c>
      <c r="H17493" s="0" t="n">
        <v>31</v>
      </c>
      <c r="I17493" s="0" t="s">
        <v>58165</v>
      </c>
      <c r="J17493" s="0" t="s">
        <v>58166</v>
      </c>
      <c r="K17493" s="0" t="s">
        <v>58167</v>
      </c>
      <c r="L17493" s="0" t="str">
        <f aca="false">HYPERLINK("https://www.ncbi.nlm.nih.gov/nuccore/CP000058.1?report=graph&amp;tracks=[key:gene_model_track,Options:GeneOnly]&amp;mk=5368858:5368877|offset_11|444444,5368878:5368897|offset_31|00cc00,5368926:5368945|offset_79|444444,5368957:5368976|offset_110|444444&amp;v=5368657:5369176&amp;c=444444", "offset 31")</f>
        <v>offset 31</v>
      </c>
    </row>
    <row r="17494" customFormat="false" ht="12.8" hidden="false" customHeight="false" outlineLevel="0" collapsed="false">
      <c r="A17494" s="0" t="s">
        <v>12</v>
      </c>
      <c r="B17494" s="0" t="n">
        <v>5368925</v>
      </c>
      <c r="C17494" s="0" t="n">
        <v>5368945</v>
      </c>
      <c r="D17494" s="0" t="s">
        <v>58161</v>
      </c>
      <c r="E17494" s="0" t="s">
        <v>75</v>
      </c>
      <c r="F17494" s="0" t="s">
        <v>15</v>
      </c>
      <c r="G17494" s="0" t="s">
        <v>36</v>
      </c>
      <c r="H17494" s="0" t="n">
        <v>79</v>
      </c>
      <c r="I17494" s="0" t="s">
        <v>58168</v>
      </c>
      <c r="J17494" s="0" t="s">
        <v>58169</v>
      </c>
      <c r="K17494" s="0" t="s">
        <v>58170</v>
      </c>
      <c r="L17494" s="0" t="str">
        <f aca="false">HYPERLINK("https://www.ncbi.nlm.nih.gov/nuccore/CP000058.1?report=graph&amp;tracks=[key:gene_model_track,Options:GeneOnly]&amp;mk=5368858:5368877|offset_11|444444,5368878:5368897|offset_31|444444,5368926:5368945|offset_79|00cc00,5368957:5368976|offset_110|444444&amp;v=5368657:5369176&amp;c=444444", "offset 79")</f>
        <v>offset 79</v>
      </c>
    </row>
    <row r="17495" customFormat="false" ht="12.8" hidden="false" customHeight="false" outlineLevel="0" collapsed="false">
      <c r="A17495" s="0" t="s">
        <v>12</v>
      </c>
      <c r="B17495" s="0" t="n">
        <v>5368956</v>
      </c>
      <c r="C17495" s="0" t="n">
        <v>5368976</v>
      </c>
      <c r="D17495" s="0" t="s">
        <v>58161</v>
      </c>
      <c r="E17495" s="0" t="s">
        <v>75</v>
      </c>
      <c r="F17495" s="0" t="s">
        <v>15</v>
      </c>
      <c r="G17495" s="0" t="s">
        <v>16</v>
      </c>
      <c r="H17495" s="0" t="n">
        <v>110</v>
      </c>
      <c r="I17495" s="0" t="s">
        <v>58171</v>
      </c>
      <c r="J17495" s="0" t="s">
        <v>58172</v>
      </c>
      <c r="K17495" s="0" t="s">
        <v>58173</v>
      </c>
      <c r="L17495" s="0" t="str">
        <f aca="false">HYPERLINK("https://www.ncbi.nlm.nih.gov/nuccore/CP000058.1?report=graph&amp;tracks=[key:gene_model_track,Options:GeneOnly]&amp;mk=5368858:5368877|offset_11|444444,5368878:5368897|offset_31|444444,5368926:5368945|offset_79|444444,5368957:5368976|offset_110|00cc00&amp;v=5368657:5369176&amp;c=444444", "offset 110")</f>
        <v>offset 110</v>
      </c>
    </row>
    <row r="17496" customFormat="false" ht="12.8" hidden="false" customHeight="false" outlineLevel="0" collapsed="false">
      <c r="A17496" s="0" t="s">
        <v>12</v>
      </c>
      <c r="B17496" s="0" t="n">
        <v>5370043</v>
      </c>
      <c r="C17496" s="0" t="n">
        <v>5370063</v>
      </c>
      <c r="D17496" s="0" t="s">
        <v>58174</v>
      </c>
      <c r="E17496" s="0" t="s">
        <v>58175</v>
      </c>
      <c r="F17496" s="0" t="s">
        <v>15</v>
      </c>
      <c r="G17496" s="0" t="s">
        <v>32</v>
      </c>
      <c r="H17496" s="0" t="n">
        <v>1</v>
      </c>
      <c r="I17496" s="0" t="s">
        <v>58176</v>
      </c>
      <c r="J17496" s="0" t="s">
        <v>58177</v>
      </c>
      <c r="K17496" s="0" t="s">
        <v>58178</v>
      </c>
      <c r="L17496" s="0" t="str">
        <f aca="false">HYPERLINK("https://www.ncbi.nlm.nih.gov/nuccore/CP000058.1?report=graph&amp;tracks=[key:gene_model_track,Options:GeneOnly]&amp;mk=5370044:5370063|offset_1|00cc00,5370066:5370085|offset_23|444444,5370098:5370117|offset_55|444444,5370131:5370150|offset_88|444444&amp;v=5369843:5370350&amp;c=444444", "offset 1")</f>
        <v>offset 1</v>
      </c>
    </row>
    <row r="17497" customFormat="false" ht="12.8" hidden="false" customHeight="false" outlineLevel="0" collapsed="false">
      <c r="A17497" s="0" t="s">
        <v>12</v>
      </c>
      <c r="B17497" s="0" t="n">
        <v>5370065</v>
      </c>
      <c r="C17497" s="0" t="n">
        <v>5370085</v>
      </c>
      <c r="D17497" s="0" t="s">
        <v>58174</v>
      </c>
      <c r="E17497" s="0" t="s">
        <v>58175</v>
      </c>
      <c r="F17497" s="0" t="s">
        <v>15</v>
      </c>
      <c r="G17497" s="0" t="s">
        <v>16</v>
      </c>
      <c r="H17497" s="0" t="n">
        <v>23</v>
      </c>
      <c r="I17497" s="0" t="s">
        <v>58179</v>
      </c>
      <c r="J17497" s="0" t="s">
        <v>58180</v>
      </c>
      <c r="K17497" s="0" t="s">
        <v>58181</v>
      </c>
      <c r="L17497" s="0" t="str">
        <f aca="false">HYPERLINK("https://www.ncbi.nlm.nih.gov/nuccore/CP000058.1?report=graph&amp;tracks=[key:gene_model_track,Options:GeneOnly]&amp;mk=5370044:5370063|offset_1|444444,5370066:5370085|offset_23|00cc00,5370098:5370117|offset_55|444444,5370131:5370150|offset_88|444444&amp;v=5369843:5370350&amp;c=444444", "offset 23")</f>
        <v>offset 23</v>
      </c>
    </row>
    <row r="17498" customFormat="false" ht="12.8" hidden="false" customHeight="false" outlineLevel="0" collapsed="false">
      <c r="A17498" s="0" t="s">
        <v>12</v>
      </c>
      <c r="B17498" s="0" t="n">
        <v>5370097</v>
      </c>
      <c r="C17498" s="0" t="n">
        <v>5370117</v>
      </c>
      <c r="D17498" s="0" t="s">
        <v>58174</v>
      </c>
      <c r="E17498" s="0" t="s">
        <v>58175</v>
      </c>
      <c r="F17498" s="0" t="s">
        <v>15</v>
      </c>
      <c r="G17498" s="0" t="s">
        <v>32</v>
      </c>
      <c r="H17498" s="0" t="n">
        <v>55</v>
      </c>
      <c r="I17498" s="0" t="s">
        <v>58182</v>
      </c>
      <c r="J17498" s="0" t="s">
        <v>58183</v>
      </c>
      <c r="K17498" s="0" t="s">
        <v>58184</v>
      </c>
      <c r="L17498" s="0" t="str">
        <f aca="false">HYPERLINK("https://www.ncbi.nlm.nih.gov/nuccore/CP000058.1?report=graph&amp;tracks=[key:gene_model_track,Options:GeneOnly]&amp;mk=5370044:5370063|offset_1|444444,5370066:5370085|offset_23|444444,5370098:5370117|offset_55|00cc00,5370131:5370150|offset_88|444444&amp;v=5369843:5370350&amp;c=444444", "offset 55")</f>
        <v>offset 55</v>
      </c>
    </row>
    <row r="17499" customFormat="false" ht="12.8" hidden="false" customHeight="false" outlineLevel="0" collapsed="false">
      <c r="A17499" s="0" t="s">
        <v>12</v>
      </c>
      <c r="B17499" s="0" t="n">
        <v>5370130</v>
      </c>
      <c r="C17499" s="0" t="n">
        <v>5370150</v>
      </c>
      <c r="D17499" s="0" t="s">
        <v>58174</v>
      </c>
      <c r="E17499" s="0" t="s">
        <v>58175</v>
      </c>
      <c r="F17499" s="0" t="s">
        <v>15</v>
      </c>
      <c r="G17499" s="0" t="s">
        <v>32</v>
      </c>
      <c r="H17499" s="0" t="n">
        <v>88</v>
      </c>
      <c r="I17499" s="0" t="s">
        <v>58185</v>
      </c>
      <c r="J17499" s="0" t="s">
        <v>58186</v>
      </c>
      <c r="K17499" s="0" t="s">
        <v>58187</v>
      </c>
      <c r="L17499" s="0" t="str">
        <f aca="false">HYPERLINK("https://www.ncbi.nlm.nih.gov/nuccore/CP000058.1?report=graph&amp;tracks=[key:gene_model_track,Options:GeneOnly]&amp;mk=5370044:5370063|offset_1|444444,5370066:5370085|offset_23|444444,5370098:5370117|offset_55|444444,5370131:5370150|offset_88|00cc00&amp;v=5369843:5370350&amp;c=444444", "offset 88")</f>
        <v>offset 88</v>
      </c>
    </row>
    <row r="17500" customFormat="false" ht="12.8" hidden="false" customHeight="false" outlineLevel="0" collapsed="false">
      <c r="A17500" s="0" t="s">
        <v>12</v>
      </c>
      <c r="B17500" s="0" t="n">
        <v>5371869</v>
      </c>
      <c r="C17500" s="0" t="n">
        <v>5371889</v>
      </c>
      <c r="D17500" s="0" t="s">
        <v>58188</v>
      </c>
      <c r="E17500" s="0" t="s">
        <v>75</v>
      </c>
      <c r="F17500" s="0" t="s">
        <v>90</v>
      </c>
      <c r="G17500" s="0" t="s">
        <v>16</v>
      </c>
      <c r="H17500" s="0" t="n">
        <v>29</v>
      </c>
      <c r="I17500" s="0" t="s">
        <v>58189</v>
      </c>
      <c r="J17500" s="0" t="s">
        <v>58190</v>
      </c>
      <c r="K17500" s="0" t="s">
        <v>58191</v>
      </c>
      <c r="L17500" s="0" t="str">
        <f aca="false">HYPERLINK("https://www.ncbi.nlm.nih.gov/nuccore/CP000058.1?report=graph&amp;tracks=[key:gene_model_track,Options:GeneOnly]&amp;mk=5371870:5371889|offset_29|00cc00,5371788:5371807|offset_111|444444,5371766:5371785|offset_133|444444,5371735:5371754|offset_164|444444&amp;v=5371669:5371954&amp;c=444444", "offset 29")</f>
        <v>offset 29</v>
      </c>
    </row>
    <row r="17501" customFormat="false" ht="12.8" hidden="false" customHeight="false" outlineLevel="0" collapsed="false">
      <c r="A17501" s="0" t="s">
        <v>12</v>
      </c>
      <c r="B17501" s="0" t="n">
        <v>5371787</v>
      </c>
      <c r="C17501" s="0" t="n">
        <v>5371807</v>
      </c>
      <c r="D17501" s="0" t="s">
        <v>58188</v>
      </c>
      <c r="E17501" s="0" t="s">
        <v>75</v>
      </c>
      <c r="F17501" s="0" t="s">
        <v>90</v>
      </c>
      <c r="G17501" s="0" t="s">
        <v>36</v>
      </c>
      <c r="H17501" s="0" t="n">
        <v>111</v>
      </c>
      <c r="I17501" s="0" t="s">
        <v>58192</v>
      </c>
      <c r="J17501" s="0" t="s">
        <v>58193</v>
      </c>
      <c r="K17501" s="0" t="s">
        <v>58194</v>
      </c>
      <c r="L17501" s="0" t="str">
        <f aca="false">HYPERLINK("https://www.ncbi.nlm.nih.gov/nuccore/CP000058.1?report=graph&amp;tracks=[key:gene_model_track,Options:GeneOnly]&amp;mk=5371870:5371889|offset_29|444444,5371788:5371807|offset_111|00cc00,5371766:5371785|offset_133|444444,5371735:5371754|offset_164|444444&amp;v=5371669:5371954&amp;c=444444", "offset 111")</f>
        <v>offset 111</v>
      </c>
    </row>
    <row r="17502" customFormat="false" ht="12.8" hidden="false" customHeight="false" outlineLevel="0" collapsed="false">
      <c r="A17502" s="0" t="s">
        <v>12</v>
      </c>
      <c r="B17502" s="0" t="n">
        <v>5371765</v>
      </c>
      <c r="C17502" s="0" t="n">
        <v>5371785</v>
      </c>
      <c r="D17502" s="0" t="s">
        <v>58188</v>
      </c>
      <c r="E17502" s="0" t="s">
        <v>75</v>
      </c>
      <c r="F17502" s="0" t="s">
        <v>90</v>
      </c>
      <c r="G17502" s="0" t="s">
        <v>32</v>
      </c>
      <c r="H17502" s="0" t="n">
        <v>133</v>
      </c>
      <c r="I17502" s="0" t="s">
        <v>58195</v>
      </c>
      <c r="J17502" s="0" t="s">
        <v>58196</v>
      </c>
      <c r="K17502" s="0" t="s">
        <v>58197</v>
      </c>
      <c r="L17502" s="0" t="str">
        <f aca="false">HYPERLINK("https://www.ncbi.nlm.nih.gov/nuccore/CP000058.1?report=graph&amp;tracks=[key:gene_model_track,Options:GeneOnly]&amp;mk=5371870:5371889|offset_29|444444,5371788:5371807|offset_111|444444,5371766:5371785|offset_133|00cc00,5371735:5371754|offset_164|444444&amp;v=5371669:5371954&amp;c=444444", "offset 133")</f>
        <v>offset 133</v>
      </c>
    </row>
    <row r="17503" customFormat="false" ht="12.8" hidden="false" customHeight="false" outlineLevel="0" collapsed="false">
      <c r="A17503" s="0" t="s">
        <v>12</v>
      </c>
      <c r="B17503" s="0" t="n">
        <v>5371734</v>
      </c>
      <c r="C17503" s="0" t="n">
        <v>5371754</v>
      </c>
      <c r="D17503" s="0" t="s">
        <v>58188</v>
      </c>
      <c r="E17503" s="0" t="s">
        <v>75</v>
      </c>
      <c r="F17503" s="0" t="s">
        <v>90</v>
      </c>
      <c r="G17503" s="0" t="s">
        <v>16</v>
      </c>
      <c r="H17503" s="0" t="n">
        <v>164</v>
      </c>
      <c r="I17503" s="0" t="s">
        <v>58198</v>
      </c>
      <c r="J17503" s="0" t="s">
        <v>58199</v>
      </c>
      <c r="K17503" s="0" t="s">
        <v>58200</v>
      </c>
      <c r="L17503" s="0" t="str">
        <f aca="false">HYPERLINK("https://www.ncbi.nlm.nih.gov/nuccore/CP000058.1?report=graph&amp;tracks=[key:gene_model_track,Options:GeneOnly]&amp;mk=5371870:5371889|offset_29|444444,5371788:5371807|offset_111|444444,5371766:5371785|offset_133|444444,5371735:5371754|offset_164|00cc00&amp;v=5371669:5371954&amp;c=444444", "offset 164")</f>
        <v>offset 164</v>
      </c>
    </row>
    <row r="17504" customFormat="false" ht="12.8" hidden="false" customHeight="false" outlineLevel="0" collapsed="false">
      <c r="A17504" s="0" t="s">
        <v>12</v>
      </c>
      <c r="B17504" s="0" t="n">
        <v>5372022</v>
      </c>
      <c r="C17504" s="0" t="n">
        <v>5372042</v>
      </c>
      <c r="D17504" s="0" t="s">
        <v>58201</v>
      </c>
      <c r="E17504" s="0" t="s">
        <v>58202</v>
      </c>
      <c r="F17504" s="0" t="s">
        <v>15</v>
      </c>
      <c r="G17504" s="0" t="s">
        <v>20</v>
      </c>
      <c r="H17504" s="0" t="n">
        <v>29</v>
      </c>
      <c r="I17504" s="0" t="s">
        <v>58203</v>
      </c>
      <c r="J17504" s="0" t="s">
        <v>58204</v>
      </c>
      <c r="K17504" s="0" t="s">
        <v>58205</v>
      </c>
      <c r="L17504" s="0" t="str">
        <f aca="false">HYPERLINK("https://www.ncbi.nlm.nih.gov/nuccore/CP000058.1?report=graph&amp;tracks=[key:gene_model_track,Options:GeneOnly]&amp;mk=5372023:5372042|offset_29|00cc00,5372067:5372086|offset_73|444444,5372091:5372110|offset_97|444444,5372116:5372135|offset_122|444444&amp;v=5371822:5372335&amp;c=444444", "offset 29")</f>
        <v>offset 29</v>
      </c>
    </row>
    <row r="17505" customFormat="false" ht="12.8" hidden="false" customHeight="false" outlineLevel="0" collapsed="false">
      <c r="A17505" s="0" t="s">
        <v>12</v>
      </c>
      <c r="B17505" s="0" t="n">
        <v>5372066</v>
      </c>
      <c r="C17505" s="0" t="n">
        <v>5372086</v>
      </c>
      <c r="D17505" s="0" t="s">
        <v>58201</v>
      </c>
      <c r="E17505" s="0" t="s">
        <v>58202</v>
      </c>
      <c r="F17505" s="0" t="s">
        <v>15</v>
      </c>
      <c r="G17505" s="0" t="s">
        <v>32</v>
      </c>
      <c r="H17505" s="0" t="n">
        <v>73</v>
      </c>
      <c r="I17505" s="0" t="s">
        <v>58206</v>
      </c>
      <c r="J17505" s="0" t="s">
        <v>58207</v>
      </c>
      <c r="K17505" s="0" t="s">
        <v>58208</v>
      </c>
      <c r="L17505" s="0" t="str">
        <f aca="false">HYPERLINK("https://www.ncbi.nlm.nih.gov/nuccore/CP000058.1?report=graph&amp;tracks=[key:gene_model_track,Options:GeneOnly]&amp;mk=5372023:5372042|offset_29|444444,5372067:5372086|offset_73|00cc00,5372091:5372110|offset_97|444444,5372116:5372135|offset_122|444444&amp;v=5371822:5372335&amp;c=444444", "offset 73")</f>
        <v>offset 73</v>
      </c>
    </row>
    <row r="17506" customFormat="false" ht="12.8" hidden="false" customHeight="false" outlineLevel="0" collapsed="false">
      <c r="A17506" s="0" t="s">
        <v>12</v>
      </c>
      <c r="B17506" s="0" t="n">
        <v>5372090</v>
      </c>
      <c r="C17506" s="0" t="n">
        <v>5372110</v>
      </c>
      <c r="D17506" s="0" t="s">
        <v>58201</v>
      </c>
      <c r="E17506" s="0" t="s">
        <v>58202</v>
      </c>
      <c r="F17506" s="0" t="s">
        <v>15</v>
      </c>
      <c r="G17506" s="0" t="s">
        <v>32</v>
      </c>
      <c r="H17506" s="0" t="n">
        <v>97</v>
      </c>
      <c r="I17506" s="0" t="s">
        <v>58209</v>
      </c>
      <c r="J17506" s="0" t="s">
        <v>58210</v>
      </c>
      <c r="K17506" s="0" t="s">
        <v>58211</v>
      </c>
      <c r="L17506" s="0" t="str">
        <f aca="false">HYPERLINK("https://www.ncbi.nlm.nih.gov/nuccore/CP000058.1?report=graph&amp;tracks=[key:gene_model_track,Options:GeneOnly]&amp;mk=5372023:5372042|offset_29|444444,5372067:5372086|offset_73|444444,5372091:5372110|offset_97|00cc00,5372116:5372135|offset_122|444444&amp;v=5371822:5372335&amp;c=444444", "offset 97")</f>
        <v>offset 97</v>
      </c>
    </row>
    <row r="17507" customFormat="false" ht="12.8" hidden="false" customHeight="false" outlineLevel="0" collapsed="false">
      <c r="A17507" s="0" t="s">
        <v>12</v>
      </c>
      <c r="B17507" s="0" t="n">
        <v>5372115</v>
      </c>
      <c r="C17507" s="0" t="n">
        <v>5372135</v>
      </c>
      <c r="D17507" s="0" t="s">
        <v>58201</v>
      </c>
      <c r="E17507" s="0" t="s">
        <v>58202</v>
      </c>
      <c r="F17507" s="0" t="s">
        <v>15</v>
      </c>
      <c r="G17507" s="0" t="s">
        <v>32</v>
      </c>
      <c r="H17507" s="0" t="n">
        <v>122</v>
      </c>
      <c r="I17507" s="0" t="s">
        <v>58212</v>
      </c>
      <c r="J17507" s="0" t="s">
        <v>58213</v>
      </c>
      <c r="K17507" s="0" t="s">
        <v>58214</v>
      </c>
      <c r="L17507" s="0" t="str">
        <f aca="false">HYPERLINK("https://www.ncbi.nlm.nih.gov/nuccore/CP000058.1?report=graph&amp;tracks=[key:gene_model_track,Options:GeneOnly]&amp;mk=5372023:5372042|offset_29|444444,5372067:5372086|offset_73|444444,5372091:5372110|offset_97|444444,5372116:5372135|offset_122|00cc00&amp;v=5371822:5372335&amp;c=444444", "offset 122")</f>
        <v>offset 122</v>
      </c>
    </row>
    <row r="17508" customFormat="false" ht="12.8" hidden="false" customHeight="false" outlineLevel="0" collapsed="false">
      <c r="A17508" s="0" t="s">
        <v>12</v>
      </c>
      <c r="B17508" s="0" t="n">
        <v>5376074</v>
      </c>
      <c r="C17508" s="0" t="n">
        <v>5376094</v>
      </c>
      <c r="D17508" s="0" t="s">
        <v>58215</v>
      </c>
      <c r="E17508" s="0" t="s">
        <v>58216</v>
      </c>
      <c r="F17508" s="0" t="s">
        <v>15</v>
      </c>
      <c r="G17508" s="0" t="s">
        <v>20</v>
      </c>
      <c r="H17508" s="0" t="n">
        <v>7</v>
      </c>
      <c r="I17508" s="0" t="s">
        <v>58217</v>
      </c>
      <c r="J17508" s="0" t="s">
        <v>58218</v>
      </c>
      <c r="K17508" s="0" t="s">
        <v>58219</v>
      </c>
      <c r="L17508" s="0" t="str">
        <f aca="false">HYPERLINK("https://www.ncbi.nlm.nih.gov/nuccore/CP000058.1?report=graph&amp;tracks=[key:gene_model_track,Options:GeneOnly]&amp;mk=5376075:5376094|offset_7|00cc00,5376102:5376121|offset_34|444444,5376140:5376159|offset_72|444444,5376167:5376186|offset_99|444444&amp;v=5375874:5376386&amp;c=444444", "offset 7")</f>
        <v>offset 7</v>
      </c>
    </row>
    <row r="17509" customFormat="false" ht="12.8" hidden="false" customHeight="false" outlineLevel="0" collapsed="false">
      <c r="A17509" s="0" t="s">
        <v>12</v>
      </c>
      <c r="B17509" s="0" t="n">
        <v>5376101</v>
      </c>
      <c r="C17509" s="0" t="n">
        <v>5376121</v>
      </c>
      <c r="D17509" s="0" t="s">
        <v>58215</v>
      </c>
      <c r="E17509" s="0" t="s">
        <v>58216</v>
      </c>
      <c r="F17509" s="0" t="s">
        <v>15</v>
      </c>
      <c r="G17509" s="0" t="s">
        <v>36</v>
      </c>
      <c r="H17509" s="0" t="n">
        <v>34</v>
      </c>
      <c r="I17509" s="0" t="s">
        <v>58220</v>
      </c>
      <c r="J17509" s="0" t="s">
        <v>58221</v>
      </c>
      <c r="K17509" s="0" t="s">
        <v>58222</v>
      </c>
      <c r="L17509" s="0" t="str">
        <f aca="false">HYPERLINK("https://www.ncbi.nlm.nih.gov/nuccore/CP000058.1?report=graph&amp;tracks=[key:gene_model_track,Options:GeneOnly]&amp;mk=5376075:5376094|offset_7|444444,5376102:5376121|offset_34|00cc00,5376140:5376159|offset_72|444444,5376167:5376186|offset_99|444444&amp;v=5375874:5376386&amp;c=444444", "offset 34")</f>
        <v>offset 34</v>
      </c>
    </row>
    <row r="17510" customFormat="false" ht="12.8" hidden="false" customHeight="false" outlineLevel="0" collapsed="false">
      <c r="A17510" s="0" t="s">
        <v>12</v>
      </c>
      <c r="B17510" s="0" t="n">
        <v>5376139</v>
      </c>
      <c r="C17510" s="0" t="n">
        <v>5376159</v>
      </c>
      <c r="D17510" s="0" t="s">
        <v>58215</v>
      </c>
      <c r="E17510" s="0" t="s">
        <v>58216</v>
      </c>
      <c r="F17510" s="0" t="s">
        <v>15</v>
      </c>
      <c r="G17510" s="0" t="s">
        <v>16</v>
      </c>
      <c r="H17510" s="0" t="n">
        <v>72</v>
      </c>
      <c r="I17510" s="0" t="s">
        <v>58223</v>
      </c>
      <c r="J17510" s="0" t="s">
        <v>58224</v>
      </c>
      <c r="K17510" s="0" t="s">
        <v>58225</v>
      </c>
      <c r="L17510" s="0" t="str">
        <f aca="false">HYPERLINK("https://www.ncbi.nlm.nih.gov/nuccore/CP000058.1?report=graph&amp;tracks=[key:gene_model_track,Options:GeneOnly]&amp;mk=5376075:5376094|offset_7|444444,5376102:5376121|offset_34|444444,5376140:5376159|offset_72|00cc00,5376167:5376186|offset_99|444444&amp;v=5375874:5376386&amp;c=444444", "offset 72")</f>
        <v>offset 72</v>
      </c>
    </row>
    <row r="17511" customFormat="false" ht="12.8" hidden="false" customHeight="false" outlineLevel="0" collapsed="false">
      <c r="A17511" s="0" t="s">
        <v>12</v>
      </c>
      <c r="B17511" s="0" t="n">
        <v>5376166</v>
      </c>
      <c r="C17511" s="0" t="n">
        <v>5376186</v>
      </c>
      <c r="D17511" s="0" t="s">
        <v>58215</v>
      </c>
      <c r="E17511" s="0" t="s">
        <v>58216</v>
      </c>
      <c r="F17511" s="0" t="s">
        <v>15</v>
      </c>
      <c r="G17511" s="0" t="s">
        <v>16</v>
      </c>
      <c r="H17511" s="0" t="n">
        <v>99</v>
      </c>
      <c r="I17511" s="0" t="s">
        <v>58226</v>
      </c>
      <c r="J17511" s="0" t="s">
        <v>58227</v>
      </c>
      <c r="K17511" s="0" t="s">
        <v>58228</v>
      </c>
      <c r="L17511" s="0" t="str">
        <f aca="false">HYPERLINK("https://www.ncbi.nlm.nih.gov/nuccore/CP000058.1?report=graph&amp;tracks=[key:gene_model_track,Options:GeneOnly]&amp;mk=5376075:5376094|offset_7|444444,5376102:5376121|offset_34|444444,5376140:5376159|offset_72|444444,5376167:5376186|offset_99|00cc00&amp;v=5375874:5376386&amp;c=444444", "offset 99")</f>
        <v>offset 99</v>
      </c>
    </row>
    <row r="17512" customFormat="false" ht="12.8" hidden="false" customHeight="false" outlineLevel="0" collapsed="false">
      <c r="A17512" s="0" t="s">
        <v>12</v>
      </c>
      <c r="B17512" s="0" t="n">
        <v>5380559</v>
      </c>
      <c r="C17512" s="0" t="n">
        <v>5380579</v>
      </c>
      <c r="D17512" s="0" t="s">
        <v>58229</v>
      </c>
      <c r="E17512" s="0" t="s">
        <v>75</v>
      </c>
      <c r="F17512" s="0" t="s">
        <v>90</v>
      </c>
      <c r="G17512" s="0" t="s">
        <v>36</v>
      </c>
      <c r="H17512" s="0" t="n">
        <v>12</v>
      </c>
      <c r="I17512" s="0" t="s">
        <v>58230</v>
      </c>
      <c r="J17512" s="0" t="s">
        <v>58231</v>
      </c>
      <c r="K17512" s="0" t="s">
        <v>58232</v>
      </c>
      <c r="L17512" s="0" t="str">
        <f aca="false">HYPERLINK("https://www.ncbi.nlm.nih.gov/nuccore/CP000058.1?report=graph&amp;tracks=[key:gene_model_track,Options:GeneOnly]&amp;mk=5380560:5380579|offset_12|00cc00,5380493:5380512|offset_79|444444,5380457:5380476|offset_115|444444,5380423:5380442|offset_149|444444&amp;v=5380359:5380642&amp;c=444444", "offset 12")</f>
        <v>offset 12</v>
      </c>
    </row>
    <row r="17513" customFormat="false" ht="12.8" hidden="false" customHeight="false" outlineLevel="0" collapsed="false">
      <c r="A17513" s="0" t="s">
        <v>12</v>
      </c>
      <c r="B17513" s="0" t="n">
        <v>5380492</v>
      </c>
      <c r="C17513" s="0" t="n">
        <v>5380512</v>
      </c>
      <c r="D17513" s="0" t="s">
        <v>58229</v>
      </c>
      <c r="E17513" s="0" t="s">
        <v>75</v>
      </c>
      <c r="F17513" s="0" t="s">
        <v>90</v>
      </c>
      <c r="G17513" s="0" t="s">
        <v>16</v>
      </c>
      <c r="H17513" s="0" t="n">
        <v>79</v>
      </c>
      <c r="I17513" s="0" t="s">
        <v>58233</v>
      </c>
      <c r="J17513" s="0" t="s">
        <v>58234</v>
      </c>
      <c r="K17513" s="0" t="s">
        <v>58235</v>
      </c>
      <c r="L17513" s="0" t="str">
        <f aca="false">HYPERLINK("https://www.ncbi.nlm.nih.gov/nuccore/CP000058.1?report=graph&amp;tracks=[key:gene_model_track,Options:GeneOnly]&amp;mk=5380560:5380579|offset_12|444444,5380493:5380512|offset_79|00cc00,5380457:5380476|offset_115|444444,5380423:5380442|offset_149|444444&amp;v=5380359:5380642&amp;c=444444", "offset 79")</f>
        <v>offset 79</v>
      </c>
    </row>
    <row r="17514" customFormat="false" ht="12.8" hidden="false" customHeight="false" outlineLevel="0" collapsed="false">
      <c r="A17514" s="0" t="s">
        <v>12</v>
      </c>
      <c r="B17514" s="0" t="n">
        <v>5380456</v>
      </c>
      <c r="C17514" s="0" t="n">
        <v>5380476</v>
      </c>
      <c r="D17514" s="0" t="s">
        <v>58229</v>
      </c>
      <c r="E17514" s="0" t="s">
        <v>75</v>
      </c>
      <c r="F17514" s="0" t="s">
        <v>90</v>
      </c>
      <c r="G17514" s="0" t="s">
        <v>16</v>
      </c>
      <c r="H17514" s="0" t="n">
        <v>115</v>
      </c>
      <c r="I17514" s="0" t="s">
        <v>58236</v>
      </c>
      <c r="J17514" s="0" t="s">
        <v>58237</v>
      </c>
      <c r="K17514" s="0" t="s">
        <v>58238</v>
      </c>
      <c r="L17514" s="0" t="str">
        <f aca="false">HYPERLINK("https://www.ncbi.nlm.nih.gov/nuccore/CP000058.1?report=graph&amp;tracks=[key:gene_model_track,Options:GeneOnly]&amp;mk=5380560:5380579|offset_12|444444,5380493:5380512|offset_79|444444,5380457:5380476|offset_115|00cc00,5380423:5380442|offset_149|444444&amp;v=5380359:5380642&amp;c=444444", "offset 115")</f>
        <v>offset 115</v>
      </c>
    </row>
    <row r="17515" customFormat="false" ht="12.8" hidden="false" customHeight="false" outlineLevel="0" collapsed="false">
      <c r="A17515" s="0" t="s">
        <v>12</v>
      </c>
      <c r="B17515" s="0" t="n">
        <v>5380422</v>
      </c>
      <c r="C17515" s="0" t="n">
        <v>5380442</v>
      </c>
      <c r="D17515" s="0" t="s">
        <v>58229</v>
      </c>
      <c r="E17515" s="0" t="s">
        <v>75</v>
      </c>
      <c r="F17515" s="0" t="s">
        <v>90</v>
      </c>
      <c r="G17515" s="0" t="s">
        <v>32</v>
      </c>
      <c r="H17515" s="0" t="n">
        <v>149</v>
      </c>
      <c r="I17515" s="0" t="s">
        <v>58239</v>
      </c>
      <c r="J17515" s="0" t="s">
        <v>58240</v>
      </c>
      <c r="K17515" s="0" t="s">
        <v>58241</v>
      </c>
      <c r="L17515" s="0" t="str">
        <f aca="false">HYPERLINK("https://www.ncbi.nlm.nih.gov/nuccore/CP000058.1?report=graph&amp;tracks=[key:gene_model_track,Options:GeneOnly]&amp;mk=5380560:5380579|offset_12|444444,5380493:5380512|offset_79|444444,5380457:5380476|offset_115|444444,5380423:5380442|offset_149|00cc00&amp;v=5380359:5380642&amp;c=444444", "offset 149")</f>
        <v>offset 149</v>
      </c>
    </row>
    <row r="17516" customFormat="false" ht="12.8" hidden="false" customHeight="false" outlineLevel="0" collapsed="false">
      <c r="A17516" s="0" t="s">
        <v>12</v>
      </c>
      <c r="B17516" s="0" t="n">
        <v>5380719</v>
      </c>
      <c r="C17516" s="0" t="n">
        <v>5380739</v>
      </c>
      <c r="D17516" s="0" t="s">
        <v>58242</v>
      </c>
      <c r="E17516" s="0" t="s">
        <v>75</v>
      </c>
      <c r="F17516" s="0" t="s">
        <v>15</v>
      </c>
      <c r="G17516" s="0" t="s">
        <v>20</v>
      </c>
      <c r="H17516" s="0" t="n">
        <v>35</v>
      </c>
      <c r="I17516" s="0" t="s">
        <v>58243</v>
      </c>
      <c r="J17516" s="0" t="s">
        <v>58244</v>
      </c>
      <c r="K17516" s="0" t="s">
        <v>58245</v>
      </c>
      <c r="L17516" s="0" t="str">
        <f aca="false">HYPERLINK("https://www.ncbi.nlm.nih.gov/nuccore/CP000058.1?report=graph&amp;tracks=[key:gene_model_track,Options:GeneOnly]&amp;mk=5380720:5380739|offset_35|00cc00,5380743:5380762|offset_58|444444&amp;v=5380519:5380962&amp;c=444444", "offset 35")</f>
        <v>offset 35</v>
      </c>
    </row>
    <row r="17517" customFormat="false" ht="12.8" hidden="false" customHeight="false" outlineLevel="0" collapsed="false">
      <c r="A17517" s="0" t="s">
        <v>12</v>
      </c>
      <c r="B17517" s="0" t="n">
        <v>5380742</v>
      </c>
      <c r="C17517" s="0" t="n">
        <v>5380762</v>
      </c>
      <c r="D17517" s="0" t="s">
        <v>58242</v>
      </c>
      <c r="E17517" s="0" t="s">
        <v>75</v>
      </c>
      <c r="F17517" s="0" t="s">
        <v>15</v>
      </c>
      <c r="G17517" s="0" t="s">
        <v>32</v>
      </c>
      <c r="H17517" s="0" t="n">
        <v>58</v>
      </c>
      <c r="I17517" s="0" t="s">
        <v>58246</v>
      </c>
      <c r="J17517" s="0" t="s">
        <v>58247</v>
      </c>
      <c r="K17517" s="0" t="s">
        <v>58248</v>
      </c>
      <c r="L17517" s="0" t="str">
        <f aca="false">HYPERLINK("https://www.ncbi.nlm.nih.gov/nuccore/CP000058.1?report=graph&amp;tracks=[key:gene_model_track,Options:GeneOnly]&amp;mk=5380720:5380739|offset_35|444444,5380743:5380762|offset_58|00cc00&amp;v=5380519:5380962&amp;c=444444", "offset 58")</f>
        <v>offset 58</v>
      </c>
    </row>
    <row r="17518" customFormat="false" ht="12.8" hidden="false" customHeight="false" outlineLevel="0" collapsed="false">
      <c r="A17518" s="0" t="s">
        <v>12</v>
      </c>
      <c r="B17518" s="0" t="n">
        <v>5380944</v>
      </c>
      <c r="C17518" s="0" t="n">
        <v>5380964</v>
      </c>
      <c r="D17518" s="0" t="s">
        <v>58249</v>
      </c>
      <c r="E17518" s="0" t="s">
        <v>75</v>
      </c>
      <c r="F17518" s="0" t="s">
        <v>15</v>
      </c>
      <c r="G17518" s="0" t="s">
        <v>32</v>
      </c>
      <c r="H17518" s="0" t="n">
        <v>1</v>
      </c>
      <c r="I17518" s="0" t="s">
        <v>58250</v>
      </c>
      <c r="J17518" s="0" t="s">
        <v>58251</v>
      </c>
      <c r="K17518" s="0" t="s">
        <v>58252</v>
      </c>
      <c r="L17518" s="0" t="str">
        <f aca="false">HYPERLINK("https://www.ncbi.nlm.nih.gov/nuccore/CP000058.1?report=graph&amp;tracks=[key:gene_model_track,Options:GeneOnly]&amp;mk=5380945:5380964|offset_1|00cc00,5380967:5380986|offset_23|444444,5381006:5381025|offset_62|444444,5381027:5381046|offset_83|444444&amp;v=5380744:5381246&amp;c=444444", "offset 1")</f>
        <v>offset 1</v>
      </c>
    </row>
    <row r="17519" customFormat="false" ht="12.8" hidden="false" customHeight="false" outlineLevel="0" collapsed="false">
      <c r="A17519" s="0" t="s">
        <v>12</v>
      </c>
      <c r="B17519" s="0" t="n">
        <v>5380966</v>
      </c>
      <c r="C17519" s="0" t="n">
        <v>5380986</v>
      </c>
      <c r="D17519" s="0" t="s">
        <v>58249</v>
      </c>
      <c r="E17519" s="0" t="s">
        <v>75</v>
      </c>
      <c r="F17519" s="0" t="s">
        <v>15</v>
      </c>
      <c r="G17519" s="0" t="s">
        <v>36</v>
      </c>
      <c r="H17519" s="0" t="n">
        <v>23</v>
      </c>
      <c r="I17519" s="0" t="s">
        <v>58253</v>
      </c>
      <c r="J17519" s="0" t="s">
        <v>58254</v>
      </c>
      <c r="K17519" s="0" t="s">
        <v>58255</v>
      </c>
      <c r="L17519" s="0" t="str">
        <f aca="false">HYPERLINK("https://www.ncbi.nlm.nih.gov/nuccore/CP000058.1?report=graph&amp;tracks=[key:gene_model_track,Options:GeneOnly]&amp;mk=5380945:5380964|offset_1|444444,5380967:5380986|offset_23|00cc00,5381006:5381025|offset_62|444444,5381027:5381046|offset_83|444444&amp;v=5380744:5381246&amp;c=444444", "offset 23")</f>
        <v>offset 23</v>
      </c>
    </row>
    <row r="17520" customFormat="false" ht="12.8" hidden="false" customHeight="false" outlineLevel="0" collapsed="false">
      <c r="A17520" s="0" t="s">
        <v>12</v>
      </c>
      <c r="B17520" s="0" t="n">
        <v>5381005</v>
      </c>
      <c r="C17520" s="0" t="n">
        <v>5381025</v>
      </c>
      <c r="D17520" s="0" t="s">
        <v>58249</v>
      </c>
      <c r="E17520" s="0" t="s">
        <v>75</v>
      </c>
      <c r="F17520" s="0" t="s">
        <v>15</v>
      </c>
      <c r="G17520" s="0" t="s">
        <v>20</v>
      </c>
      <c r="H17520" s="0" t="n">
        <v>62</v>
      </c>
      <c r="I17520" s="0" t="s">
        <v>58256</v>
      </c>
      <c r="J17520" s="0" t="s">
        <v>58257</v>
      </c>
      <c r="K17520" s="0" t="s">
        <v>58258</v>
      </c>
      <c r="L17520" s="0" t="str">
        <f aca="false">HYPERLINK("https://www.ncbi.nlm.nih.gov/nuccore/CP000058.1?report=graph&amp;tracks=[key:gene_model_track,Options:GeneOnly]&amp;mk=5380945:5380964|offset_1|444444,5380967:5380986|offset_23|444444,5381006:5381025|offset_62|00cc00,5381027:5381046|offset_83|444444&amp;v=5380744:5381246&amp;c=444444", "offset 62")</f>
        <v>offset 62</v>
      </c>
    </row>
    <row r="17521" customFormat="false" ht="12.8" hidden="false" customHeight="false" outlineLevel="0" collapsed="false">
      <c r="A17521" s="0" t="s">
        <v>12</v>
      </c>
      <c r="B17521" s="0" t="n">
        <v>5381026</v>
      </c>
      <c r="C17521" s="0" t="n">
        <v>5381046</v>
      </c>
      <c r="D17521" s="0" t="s">
        <v>58249</v>
      </c>
      <c r="E17521" s="0" t="s">
        <v>75</v>
      </c>
      <c r="F17521" s="0" t="s">
        <v>15</v>
      </c>
      <c r="G17521" s="0" t="s">
        <v>16</v>
      </c>
      <c r="H17521" s="0" t="n">
        <v>83</v>
      </c>
      <c r="I17521" s="0" t="s">
        <v>58259</v>
      </c>
      <c r="J17521" s="0" t="s">
        <v>58260</v>
      </c>
      <c r="K17521" s="0" t="s">
        <v>58261</v>
      </c>
      <c r="L17521" s="0" t="str">
        <f aca="false">HYPERLINK("https://www.ncbi.nlm.nih.gov/nuccore/CP000058.1?report=graph&amp;tracks=[key:gene_model_track,Options:GeneOnly]&amp;mk=5380945:5380964|offset_1|444444,5380967:5380986|offset_23|444444,5381006:5381025|offset_62|444444,5381027:5381046|offset_83|00cc00&amp;v=5380744:5381246&amp;c=444444", "offset 83")</f>
        <v>offset 83</v>
      </c>
    </row>
    <row r="17522" customFormat="false" ht="12.8" hidden="false" customHeight="false" outlineLevel="0" collapsed="false">
      <c r="A17522" s="0" t="s">
        <v>12</v>
      </c>
      <c r="B17522" s="0" t="n">
        <v>5382816</v>
      </c>
      <c r="C17522" s="0" t="n">
        <v>5382836</v>
      </c>
      <c r="D17522" s="0" t="s">
        <v>58262</v>
      </c>
      <c r="E17522" s="0" t="s">
        <v>75</v>
      </c>
      <c r="F17522" s="0" t="s">
        <v>15</v>
      </c>
      <c r="G17522" s="0" t="s">
        <v>20</v>
      </c>
      <c r="H17522" s="0" t="n">
        <v>8</v>
      </c>
      <c r="I17522" s="0" t="s">
        <v>58263</v>
      </c>
      <c r="J17522" s="0" t="s">
        <v>58264</v>
      </c>
      <c r="K17522" s="0" t="s">
        <v>58265</v>
      </c>
      <c r="L17522" s="0" t="str">
        <f aca="false">HYPERLINK("https://www.ncbi.nlm.nih.gov/nuccore/CP000058.1?report=graph&amp;tracks=[key:gene_model_track,Options:GeneOnly]&amp;mk=5382817:5382836|offset_8|00cc00,5382854:5382873|offset_45|444444,5382880:5382899|offset_71|444444,5382907:5382926|offset_98|444444&amp;v=5382616:5383126&amp;c=444444", "offset 8")</f>
        <v>offset 8</v>
      </c>
    </row>
    <row r="17523" customFormat="false" ht="12.8" hidden="false" customHeight="false" outlineLevel="0" collapsed="false">
      <c r="A17523" s="0" t="s">
        <v>12</v>
      </c>
      <c r="B17523" s="0" t="n">
        <v>5382853</v>
      </c>
      <c r="C17523" s="0" t="n">
        <v>5382873</v>
      </c>
      <c r="D17523" s="0" t="s">
        <v>58262</v>
      </c>
      <c r="E17523" s="0" t="s">
        <v>75</v>
      </c>
      <c r="F17523" s="0" t="s">
        <v>15</v>
      </c>
      <c r="G17523" s="0" t="s">
        <v>36</v>
      </c>
      <c r="H17523" s="0" t="n">
        <v>45</v>
      </c>
      <c r="I17523" s="0" t="s">
        <v>58266</v>
      </c>
      <c r="J17523" s="0" t="s">
        <v>58267</v>
      </c>
      <c r="K17523" s="0" t="s">
        <v>58268</v>
      </c>
      <c r="L17523" s="0" t="str">
        <f aca="false">HYPERLINK("https://www.ncbi.nlm.nih.gov/nuccore/CP000058.1?report=graph&amp;tracks=[key:gene_model_track,Options:GeneOnly]&amp;mk=5382817:5382836|offset_8|444444,5382854:5382873|offset_45|00cc00,5382880:5382899|offset_71|444444,5382907:5382926|offset_98|444444&amp;v=5382616:5383126&amp;c=444444", "offset 45")</f>
        <v>offset 45</v>
      </c>
    </row>
    <row r="17524" customFormat="false" ht="12.8" hidden="false" customHeight="false" outlineLevel="0" collapsed="false">
      <c r="A17524" s="0" t="s">
        <v>12</v>
      </c>
      <c r="B17524" s="0" t="n">
        <v>5382879</v>
      </c>
      <c r="C17524" s="0" t="n">
        <v>5382899</v>
      </c>
      <c r="D17524" s="0" t="s">
        <v>58262</v>
      </c>
      <c r="E17524" s="0" t="s">
        <v>75</v>
      </c>
      <c r="F17524" s="0" t="s">
        <v>15</v>
      </c>
      <c r="G17524" s="0" t="s">
        <v>20</v>
      </c>
      <c r="H17524" s="0" t="n">
        <v>71</v>
      </c>
      <c r="I17524" s="0" t="s">
        <v>58269</v>
      </c>
      <c r="J17524" s="0" t="s">
        <v>58270</v>
      </c>
      <c r="K17524" s="0" t="s">
        <v>58271</v>
      </c>
      <c r="L17524" s="0" t="str">
        <f aca="false">HYPERLINK("https://www.ncbi.nlm.nih.gov/nuccore/CP000058.1?report=graph&amp;tracks=[key:gene_model_track,Options:GeneOnly]&amp;mk=5382817:5382836|offset_8|444444,5382854:5382873|offset_45|444444,5382880:5382899|offset_71|00cc00,5382907:5382926|offset_98|444444&amp;v=5382616:5383126&amp;c=444444", "offset 71")</f>
        <v>offset 71</v>
      </c>
    </row>
    <row r="17525" customFormat="false" ht="12.8" hidden="false" customHeight="false" outlineLevel="0" collapsed="false">
      <c r="A17525" s="0" t="s">
        <v>12</v>
      </c>
      <c r="B17525" s="0" t="n">
        <v>5382906</v>
      </c>
      <c r="C17525" s="0" t="n">
        <v>5382926</v>
      </c>
      <c r="D17525" s="0" t="s">
        <v>58262</v>
      </c>
      <c r="E17525" s="0" t="s">
        <v>75</v>
      </c>
      <c r="F17525" s="0" t="s">
        <v>15</v>
      </c>
      <c r="G17525" s="0" t="s">
        <v>20</v>
      </c>
      <c r="H17525" s="0" t="n">
        <v>98</v>
      </c>
      <c r="I17525" s="0" t="s">
        <v>58272</v>
      </c>
      <c r="J17525" s="0" t="s">
        <v>58273</v>
      </c>
      <c r="K17525" s="0" t="s">
        <v>58274</v>
      </c>
      <c r="L17525" s="0" t="str">
        <f aca="false">HYPERLINK("https://www.ncbi.nlm.nih.gov/nuccore/CP000058.1?report=graph&amp;tracks=[key:gene_model_track,Options:GeneOnly]&amp;mk=5382817:5382836|offset_8|444444,5382854:5382873|offset_45|444444,5382880:5382899|offset_71|444444,5382907:5382926|offset_98|00cc00&amp;v=5382616:5383126&amp;c=444444", "offset 98")</f>
        <v>offset 98</v>
      </c>
    </row>
    <row r="17526" customFormat="false" ht="12.8" hidden="false" customHeight="false" outlineLevel="0" collapsed="false">
      <c r="A17526" s="0" t="s">
        <v>12</v>
      </c>
      <c r="B17526" s="0" t="n">
        <v>5383802</v>
      </c>
      <c r="C17526" s="0" t="n">
        <v>5383822</v>
      </c>
      <c r="D17526" s="0" t="s">
        <v>58275</v>
      </c>
      <c r="E17526" s="0" t="s">
        <v>75</v>
      </c>
      <c r="F17526" s="0" t="s">
        <v>90</v>
      </c>
      <c r="G17526" s="0" t="s">
        <v>16</v>
      </c>
      <c r="H17526" s="0" t="n">
        <v>28</v>
      </c>
      <c r="I17526" s="0" t="s">
        <v>58276</v>
      </c>
      <c r="J17526" s="0" t="s">
        <v>58277</v>
      </c>
      <c r="K17526" s="0" t="s">
        <v>58278</v>
      </c>
      <c r="L17526" s="0" t="str">
        <f aca="false">HYPERLINK("https://www.ncbi.nlm.nih.gov/nuccore/CP000058.1?report=graph&amp;tracks=[key:gene_model_track,Options:GeneOnly]&amp;mk=5383803:5383822|offset_28|00cc00,5383762:5383781|offset_69|444444,5383742:5383761|offset_89|444444,5383704:5383723|offset_127|444444&amp;v=5383602:5383923&amp;c=444444", "offset 28")</f>
        <v>offset 28</v>
      </c>
    </row>
    <row r="17527" customFormat="false" ht="12.8" hidden="false" customHeight="false" outlineLevel="0" collapsed="false">
      <c r="A17527" s="0" t="s">
        <v>12</v>
      </c>
      <c r="B17527" s="0" t="n">
        <v>5383761</v>
      </c>
      <c r="C17527" s="0" t="n">
        <v>5383781</v>
      </c>
      <c r="D17527" s="0" t="s">
        <v>58275</v>
      </c>
      <c r="E17527" s="0" t="s">
        <v>75</v>
      </c>
      <c r="F17527" s="0" t="s">
        <v>90</v>
      </c>
      <c r="G17527" s="0" t="s">
        <v>16</v>
      </c>
      <c r="H17527" s="0" t="n">
        <v>69</v>
      </c>
      <c r="I17527" s="0" t="s">
        <v>58279</v>
      </c>
      <c r="J17527" s="0" t="s">
        <v>58280</v>
      </c>
      <c r="K17527" s="0" t="s">
        <v>58281</v>
      </c>
      <c r="L17527" s="0" t="str">
        <f aca="false">HYPERLINK("https://www.ncbi.nlm.nih.gov/nuccore/CP000058.1?report=graph&amp;tracks=[key:gene_model_track,Options:GeneOnly]&amp;mk=5383803:5383822|offset_28|444444,5383762:5383781|offset_69|00cc00,5383742:5383761|offset_89|444444,5383704:5383723|offset_127|444444&amp;v=5383602:5383923&amp;c=444444", "offset 69")</f>
        <v>offset 69</v>
      </c>
    </row>
    <row r="17528" customFormat="false" ht="12.8" hidden="false" customHeight="false" outlineLevel="0" collapsed="false">
      <c r="A17528" s="0" t="s">
        <v>12</v>
      </c>
      <c r="B17528" s="0" t="n">
        <v>5383741</v>
      </c>
      <c r="C17528" s="0" t="n">
        <v>5383761</v>
      </c>
      <c r="D17528" s="0" t="s">
        <v>58275</v>
      </c>
      <c r="E17528" s="0" t="s">
        <v>75</v>
      </c>
      <c r="F17528" s="0" t="s">
        <v>90</v>
      </c>
      <c r="G17528" s="0" t="s">
        <v>20</v>
      </c>
      <c r="H17528" s="0" t="n">
        <v>89</v>
      </c>
      <c r="I17528" s="0" t="s">
        <v>58282</v>
      </c>
      <c r="J17528" s="0" t="s">
        <v>58283</v>
      </c>
      <c r="K17528" s="0" t="s">
        <v>58284</v>
      </c>
      <c r="L17528" s="0" t="str">
        <f aca="false">HYPERLINK("https://www.ncbi.nlm.nih.gov/nuccore/CP000058.1?report=graph&amp;tracks=[key:gene_model_track,Options:GeneOnly]&amp;mk=5383803:5383822|offset_28|444444,5383762:5383781|offset_69|444444,5383742:5383761|offset_89|00cc00,5383704:5383723|offset_127|444444&amp;v=5383602:5383923&amp;c=444444", "offset 89")</f>
        <v>offset 89</v>
      </c>
    </row>
    <row r="17529" customFormat="false" ht="12.8" hidden="false" customHeight="false" outlineLevel="0" collapsed="false">
      <c r="A17529" s="0" t="s">
        <v>12</v>
      </c>
      <c r="B17529" s="0" t="n">
        <v>5383703</v>
      </c>
      <c r="C17529" s="0" t="n">
        <v>5383723</v>
      </c>
      <c r="D17529" s="0" t="s">
        <v>58275</v>
      </c>
      <c r="E17529" s="0" t="s">
        <v>75</v>
      </c>
      <c r="F17529" s="0" t="s">
        <v>90</v>
      </c>
      <c r="G17529" s="0" t="s">
        <v>16</v>
      </c>
      <c r="H17529" s="0" t="n">
        <v>127</v>
      </c>
      <c r="I17529" s="0" t="s">
        <v>58285</v>
      </c>
      <c r="J17529" s="0" t="s">
        <v>58286</v>
      </c>
      <c r="K17529" s="0" t="s">
        <v>58287</v>
      </c>
      <c r="L17529" s="0" t="str">
        <f aca="false">HYPERLINK("https://www.ncbi.nlm.nih.gov/nuccore/CP000058.1?report=graph&amp;tracks=[key:gene_model_track,Options:GeneOnly]&amp;mk=5383803:5383822|offset_28|444444,5383762:5383781|offset_69|444444,5383742:5383761|offset_89|444444,5383704:5383723|offset_127|00cc00&amp;v=5383602:5383923&amp;c=444444", "offset 127")</f>
        <v>offset 127</v>
      </c>
    </row>
    <row r="17530" customFormat="false" ht="12.8" hidden="false" customHeight="false" outlineLevel="0" collapsed="false">
      <c r="A17530" s="0" t="s">
        <v>12</v>
      </c>
      <c r="B17530" s="0" t="n">
        <v>5384084</v>
      </c>
      <c r="C17530" s="0" t="n">
        <v>5384104</v>
      </c>
      <c r="D17530" s="0" t="s">
        <v>58288</v>
      </c>
      <c r="E17530" s="0" t="s">
        <v>58289</v>
      </c>
      <c r="F17530" s="0" t="s">
        <v>90</v>
      </c>
      <c r="G17530" s="0" t="s">
        <v>16</v>
      </c>
      <c r="H17530" s="0" t="n">
        <v>0</v>
      </c>
      <c r="I17530" s="0" t="s">
        <v>58290</v>
      </c>
      <c r="J17530" s="0" t="s">
        <v>58291</v>
      </c>
      <c r="K17530" s="0" t="s">
        <v>58292</v>
      </c>
      <c r="L17530" s="0" t="str">
        <f aca="false">HYPERLINK("https://www.ncbi.nlm.nih.gov/nuccore/CP000058.1?report=graph&amp;tracks=[key:gene_model_track,Options:GeneOnly]&amp;mk=5384085:5384104|offset_0|00cc00,5384048:5384067|offset_37|444444,5383999:5384018|offset_86|444444,5383964:5383983|offset_121|444444&amp;v=5383884:5384183&amp;c=444444", "offset 0")</f>
        <v>offset 0</v>
      </c>
    </row>
    <row r="17531" customFormat="false" ht="12.8" hidden="false" customHeight="false" outlineLevel="0" collapsed="false">
      <c r="A17531" s="0" t="s">
        <v>12</v>
      </c>
      <c r="B17531" s="0" t="n">
        <v>5384047</v>
      </c>
      <c r="C17531" s="0" t="n">
        <v>5384067</v>
      </c>
      <c r="D17531" s="0" t="s">
        <v>58288</v>
      </c>
      <c r="E17531" s="0" t="s">
        <v>58289</v>
      </c>
      <c r="F17531" s="0" t="s">
        <v>90</v>
      </c>
      <c r="G17531" s="0" t="s">
        <v>20</v>
      </c>
      <c r="H17531" s="0" t="n">
        <v>37</v>
      </c>
      <c r="I17531" s="0" t="s">
        <v>58293</v>
      </c>
      <c r="J17531" s="0" t="s">
        <v>58294</v>
      </c>
      <c r="K17531" s="0" t="s">
        <v>58295</v>
      </c>
      <c r="L17531" s="0" t="str">
        <f aca="false">HYPERLINK("https://www.ncbi.nlm.nih.gov/nuccore/CP000058.1?report=graph&amp;tracks=[key:gene_model_track,Options:GeneOnly]&amp;mk=5384085:5384104|offset_0|444444,5384048:5384067|offset_37|00cc00,5383999:5384018|offset_86|444444,5383964:5383983|offset_121|444444&amp;v=5383884:5384183&amp;c=444444", "offset 37")</f>
        <v>offset 37</v>
      </c>
    </row>
    <row r="17532" customFormat="false" ht="12.8" hidden="false" customHeight="false" outlineLevel="0" collapsed="false">
      <c r="A17532" s="0" t="s">
        <v>12</v>
      </c>
      <c r="B17532" s="0" t="n">
        <v>5383998</v>
      </c>
      <c r="C17532" s="0" t="n">
        <v>5384018</v>
      </c>
      <c r="D17532" s="0" t="s">
        <v>58288</v>
      </c>
      <c r="E17532" s="0" t="s">
        <v>58289</v>
      </c>
      <c r="F17532" s="0" t="s">
        <v>90</v>
      </c>
      <c r="G17532" s="0" t="s">
        <v>32</v>
      </c>
      <c r="H17532" s="0" t="n">
        <v>86</v>
      </c>
      <c r="I17532" s="0" t="s">
        <v>58296</v>
      </c>
      <c r="J17532" s="0" t="s">
        <v>58297</v>
      </c>
      <c r="K17532" s="0" t="s">
        <v>58298</v>
      </c>
      <c r="L17532" s="0" t="str">
        <f aca="false">HYPERLINK("https://www.ncbi.nlm.nih.gov/nuccore/CP000058.1?report=graph&amp;tracks=[key:gene_model_track,Options:GeneOnly]&amp;mk=5384085:5384104|offset_0|444444,5384048:5384067|offset_37|444444,5383999:5384018|offset_86|00cc00,5383964:5383983|offset_121|444444&amp;v=5383884:5384183&amp;c=444444", "offset 86")</f>
        <v>offset 86</v>
      </c>
    </row>
    <row r="17533" customFormat="false" ht="12.8" hidden="false" customHeight="false" outlineLevel="0" collapsed="false">
      <c r="A17533" s="0" t="s">
        <v>12</v>
      </c>
      <c r="B17533" s="0" t="n">
        <v>5383963</v>
      </c>
      <c r="C17533" s="0" t="n">
        <v>5383983</v>
      </c>
      <c r="D17533" s="0" t="s">
        <v>58288</v>
      </c>
      <c r="E17533" s="0" t="s">
        <v>58289</v>
      </c>
      <c r="F17533" s="0" t="s">
        <v>90</v>
      </c>
      <c r="G17533" s="0" t="s">
        <v>16</v>
      </c>
      <c r="H17533" s="0" t="n">
        <v>121</v>
      </c>
      <c r="I17533" s="0" t="s">
        <v>58299</v>
      </c>
      <c r="J17533" s="0" t="s">
        <v>58300</v>
      </c>
      <c r="K17533" s="0" t="s">
        <v>58301</v>
      </c>
      <c r="L17533" s="0" t="str">
        <f aca="false">HYPERLINK("https://www.ncbi.nlm.nih.gov/nuccore/CP000058.1?report=graph&amp;tracks=[key:gene_model_track,Options:GeneOnly]&amp;mk=5384085:5384104|offset_0|444444,5384048:5384067|offset_37|444444,5383999:5384018|offset_86|444444,5383964:5383983|offset_121|00cc00&amp;v=5383884:5384183&amp;c=444444", "offset 121")</f>
        <v>offset 121</v>
      </c>
    </row>
    <row r="17534" customFormat="false" ht="12.8" hidden="false" customHeight="false" outlineLevel="0" collapsed="false">
      <c r="A17534" s="0" t="s">
        <v>12</v>
      </c>
      <c r="B17534" s="0" t="n">
        <v>5384508</v>
      </c>
      <c r="C17534" s="0" t="n">
        <v>5384528</v>
      </c>
      <c r="D17534" s="0" t="s">
        <v>58302</v>
      </c>
      <c r="E17534" s="0" t="s">
        <v>75</v>
      </c>
      <c r="F17534" s="0" t="s">
        <v>15</v>
      </c>
      <c r="G17534" s="0" t="s">
        <v>36</v>
      </c>
      <c r="H17534" s="0" t="n">
        <v>7</v>
      </c>
      <c r="I17534" s="0" t="s">
        <v>58303</v>
      </c>
      <c r="J17534" s="0" t="s">
        <v>58304</v>
      </c>
      <c r="K17534" s="0" t="s">
        <v>58305</v>
      </c>
      <c r="L17534" s="0" t="str">
        <f aca="false">HYPERLINK("https://www.ncbi.nlm.nih.gov/nuccore/CP000058.1?report=graph&amp;tracks=[key:gene_model_track,Options:GeneOnly]&amp;mk=5384509:5384528|offset_7|00cc00,5384532:5384551|offset_30|444444,5384554:5384573|offset_52|444444,5384615:5384634|offset_113|444444&amp;v=5384308:5384834&amp;c=444444", "offset 7")</f>
        <v>offset 7</v>
      </c>
    </row>
    <row r="17535" customFormat="false" ht="12.8" hidden="false" customHeight="false" outlineLevel="0" collapsed="false">
      <c r="A17535" s="0" t="s">
        <v>12</v>
      </c>
      <c r="B17535" s="0" t="n">
        <v>5384531</v>
      </c>
      <c r="C17535" s="0" t="n">
        <v>5384551</v>
      </c>
      <c r="D17535" s="0" t="s">
        <v>58302</v>
      </c>
      <c r="E17535" s="0" t="s">
        <v>75</v>
      </c>
      <c r="F17535" s="0" t="s">
        <v>15</v>
      </c>
      <c r="G17535" s="0" t="s">
        <v>36</v>
      </c>
      <c r="H17535" s="0" t="n">
        <v>30</v>
      </c>
      <c r="I17535" s="0" t="s">
        <v>58306</v>
      </c>
      <c r="J17535" s="0" t="s">
        <v>58307</v>
      </c>
      <c r="K17535" s="0" t="s">
        <v>58308</v>
      </c>
      <c r="L17535" s="0" t="str">
        <f aca="false">HYPERLINK("https://www.ncbi.nlm.nih.gov/nuccore/CP000058.1?report=graph&amp;tracks=[key:gene_model_track,Options:GeneOnly]&amp;mk=5384509:5384528|offset_7|444444,5384532:5384551|offset_30|00cc00,5384554:5384573|offset_52|444444,5384615:5384634|offset_113|444444&amp;v=5384308:5384834&amp;c=444444", "offset 30")</f>
        <v>offset 30</v>
      </c>
    </row>
    <row r="17536" customFormat="false" ht="12.8" hidden="false" customHeight="false" outlineLevel="0" collapsed="false">
      <c r="A17536" s="0" t="s">
        <v>12</v>
      </c>
      <c r="B17536" s="0" t="n">
        <v>5384553</v>
      </c>
      <c r="C17536" s="0" t="n">
        <v>5384573</v>
      </c>
      <c r="D17536" s="0" t="s">
        <v>58302</v>
      </c>
      <c r="E17536" s="0" t="s">
        <v>75</v>
      </c>
      <c r="F17536" s="0" t="s">
        <v>15</v>
      </c>
      <c r="G17536" s="0" t="s">
        <v>32</v>
      </c>
      <c r="H17536" s="0" t="n">
        <v>52</v>
      </c>
      <c r="I17536" s="0" t="s">
        <v>58309</v>
      </c>
      <c r="J17536" s="0" t="s">
        <v>58310</v>
      </c>
      <c r="K17536" s="0" t="s">
        <v>58311</v>
      </c>
      <c r="L17536" s="0" t="str">
        <f aca="false">HYPERLINK("https://www.ncbi.nlm.nih.gov/nuccore/CP000058.1?report=graph&amp;tracks=[key:gene_model_track,Options:GeneOnly]&amp;mk=5384509:5384528|offset_7|444444,5384532:5384551|offset_30|444444,5384554:5384573|offset_52|00cc00,5384615:5384634|offset_113|444444&amp;v=5384308:5384834&amp;c=444444", "offset 52")</f>
        <v>offset 52</v>
      </c>
    </row>
    <row r="17537" customFormat="false" ht="12.8" hidden="false" customHeight="false" outlineLevel="0" collapsed="false">
      <c r="A17537" s="0" t="s">
        <v>12</v>
      </c>
      <c r="B17537" s="0" t="n">
        <v>5384614</v>
      </c>
      <c r="C17537" s="0" t="n">
        <v>5384634</v>
      </c>
      <c r="D17537" s="0" t="s">
        <v>58302</v>
      </c>
      <c r="E17537" s="0" t="s">
        <v>75</v>
      </c>
      <c r="F17537" s="0" t="s">
        <v>15</v>
      </c>
      <c r="G17537" s="0" t="s">
        <v>16</v>
      </c>
      <c r="H17537" s="0" t="n">
        <v>113</v>
      </c>
      <c r="I17537" s="0" t="s">
        <v>58312</v>
      </c>
      <c r="J17537" s="0" t="s">
        <v>58313</v>
      </c>
      <c r="K17537" s="0" t="s">
        <v>58314</v>
      </c>
      <c r="L17537" s="0" t="str">
        <f aca="false">HYPERLINK("https://www.ncbi.nlm.nih.gov/nuccore/CP000058.1?report=graph&amp;tracks=[key:gene_model_track,Options:GeneOnly]&amp;mk=5384509:5384528|offset_7|444444,5384532:5384551|offset_30|444444,5384554:5384573|offset_52|444444,5384615:5384634|offset_113|00cc00&amp;v=5384308:5384834&amp;c=444444", "offset 113")</f>
        <v>offset 113</v>
      </c>
    </row>
    <row r="17538" customFormat="false" ht="12.8" hidden="false" customHeight="false" outlineLevel="0" collapsed="false">
      <c r="A17538" s="0" t="s">
        <v>12</v>
      </c>
      <c r="B17538" s="0" t="n">
        <v>5387292</v>
      </c>
      <c r="C17538" s="0" t="n">
        <v>5387312</v>
      </c>
      <c r="D17538" s="0" t="s">
        <v>58315</v>
      </c>
      <c r="E17538" s="0" t="s">
        <v>75</v>
      </c>
      <c r="F17538" s="0" t="s">
        <v>90</v>
      </c>
      <c r="G17538" s="0" t="s">
        <v>20</v>
      </c>
      <c r="H17538" s="0" t="n">
        <v>30</v>
      </c>
      <c r="I17538" s="0" t="s">
        <v>58316</v>
      </c>
      <c r="J17538" s="0" t="s">
        <v>58317</v>
      </c>
      <c r="K17538" s="0" t="s">
        <v>58318</v>
      </c>
      <c r="L17538" s="0" t="str">
        <f aca="false">HYPERLINK("https://www.ncbi.nlm.nih.gov/nuccore/CP000058.1?report=graph&amp;tracks=[key:gene_model_track,Options:GeneOnly]&amp;mk=5387293:5387312|offset_30|00cc00,5387271:5387290|offset_52|444444,5387241:5387260|offset_82|444444,5387212:5387231|offset_111|444444&amp;v=5387092:5387431&amp;c=444444", "offset 30")</f>
        <v>offset 30</v>
      </c>
    </row>
    <row r="17539" customFormat="false" ht="12.8" hidden="false" customHeight="false" outlineLevel="0" collapsed="false">
      <c r="A17539" s="0" t="s">
        <v>12</v>
      </c>
      <c r="B17539" s="0" t="n">
        <v>5387270</v>
      </c>
      <c r="C17539" s="0" t="n">
        <v>5387290</v>
      </c>
      <c r="D17539" s="0" t="s">
        <v>58315</v>
      </c>
      <c r="E17539" s="0" t="s">
        <v>75</v>
      </c>
      <c r="F17539" s="0" t="s">
        <v>90</v>
      </c>
      <c r="G17539" s="0" t="s">
        <v>32</v>
      </c>
      <c r="H17539" s="0" t="n">
        <v>52</v>
      </c>
      <c r="I17539" s="0" t="s">
        <v>58319</v>
      </c>
      <c r="J17539" s="0" t="s">
        <v>58320</v>
      </c>
      <c r="K17539" s="0" t="s">
        <v>58321</v>
      </c>
      <c r="L17539" s="0" t="str">
        <f aca="false">HYPERLINK("https://www.ncbi.nlm.nih.gov/nuccore/CP000058.1?report=graph&amp;tracks=[key:gene_model_track,Options:GeneOnly]&amp;mk=5387293:5387312|offset_30|444444,5387271:5387290|offset_52|00cc00,5387241:5387260|offset_82|444444,5387212:5387231|offset_111|444444&amp;v=5387092:5387431&amp;c=444444", "offset 52")</f>
        <v>offset 52</v>
      </c>
    </row>
    <row r="17540" customFormat="false" ht="12.8" hidden="false" customHeight="false" outlineLevel="0" collapsed="false">
      <c r="A17540" s="0" t="s">
        <v>12</v>
      </c>
      <c r="B17540" s="0" t="n">
        <v>5387240</v>
      </c>
      <c r="C17540" s="0" t="n">
        <v>5387260</v>
      </c>
      <c r="D17540" s="0" t="s">
        <v>58315</v>
      </c>
      <c r="E17540" s="0" t="s">
        <v>75</v>
      </c>
      <c r="F17540" s="0" t="s">
        <v>90</v>
      </c>
      <c r="G17540" s="0" t="s">
        <v>36</v>
      </c>
      <c r="H17540" s="0" t="n">
        <v>82</v>
      </c>
      <c r="I17540" s="0" t="s">
        <v>58322</v>
      </c>
      <c r="J17540" s="0" t="s">
        <v>58323</v>
      </c>
      <c r="K17540" s="0" t="s">
        <v>58324</v>
      </c>
      <c r="L17540" s="0" t="str">
        <f aca="false">HYPERLINK("https://www.ncbi.nlm.nih.gov/nuccore/CP000058.1?report=graph&amp;tracks=[key:gene_model_track,Options:GeneOnly]&amp;mk=5387293:5387312|offset_30|444444,5387271:5387290|offset_52|444444,5387241:5387260|offset_82|00cc00,5387212:5387231|offset_111|444444&amp;v=5387092:5387431&amp;c=444444", "offset 82")</f>
        <v>offset 82</v>
      </c>
    </row>
    <row r="17541" customFormat="false" ht="12.8" hidden="false" customHeight="false" outlineLevel="0" collapsed="false">
      <c r="A17541" s="0" t="s">
        <v>12</v>
      </c>
      <c r="B17541" s="0" t="n">
        <v>5387211</v>
      </c>
      <c r="C17541" s="0" t="n">
        <v>5387231</v>
      </c>
      <c r="D17541" s="0" t="s">
        <v>58315</v>
      </c>
      <c r="E17541" s="0" t="s">
        <v>75</v>
      </c>
      <c r="F17541" s="0" t="s">
        <v>90</v>
      </c>
      <c r="G17541" s="0" t="s">
        <v>20</v>
      </c>
      <c r="H17541" s="0" t="n">
        <v>111</v>
      </c>
      <c r="I17541" s="0" t="s">
        <v>58325</v>
      </c>
      <c r="J17541" s="0" t="s">
        <v>58326</v>
      </c>
      <c r="K17541" s="0" t="s">
        <v>58327</v>
      </c>
      <c r="L17541" s="0" t="str">
        <f aca="false">HYPERLINK("https://www.ncbi.nlm.nih.gov/nuccore/CP000058.1?report=graph&amp;tracks=[key:gene_model_track,Options:GeneOnly]&amp;mk=5387293:5387312|offset_30|444444,5387271:5387290|offset_52|444444,5387241:5387260|offset_82|444444,5387212:5387231|offset_111|00cc00&amp;v=5387092:5387431&amp;c=444444", "offset 111")</f>
        <v>offset 111</v>
      </c>
    </row>
    <row r="17542" customFormat="false" ht="12.8" hidden="false" customHeight="false" outlineLevel="0" collapsed="false">
      <c r="A17542" s="0" t="s">
        <v>12</v>
      </c>
      <c r="B17542" s="0" t="n">
        <v>5388839</v>
      </c>
      <c r="C17542" s="0" t="n">
        <v>5388859</v>
      </c>
      <c r="D17542" s="0" t="s">
        <v>58328</v>
      </c>
      <c r="E17542" s="0" t="s">
        <v>75</v>
      </c>
      <c r="F17542" s="0" t="s">
        <v>90</v>
      </c>
      <c r="G17542" s="0" t="s">
        <v>20</v>
      </c>
      <c r="H17542" s="0" t="n">
        <v>32</v>
      </c>
      <c r="I17542" s="0" t="s">
        <v>58329</v>
      </c>
      <c r="J17542" s="0" t="s">
        <v>58330</v>
      </c>
      <c r="K17542" s="0" t="s">
        <v>58331</v>
      </c>
      <c r="L17542" s="0" t="str">
        <f aca="false">HYPERLINK("https://www.ncbi.nlm.nih.gov/nuccore/CP000058.1?report=graph&amp;tracks=[key:gene_model_track,Options:GeneOnly]&amp;mk=5388840:5388859|offset_32|00cc00,5388809:5388828|offset_63|444444&amp;v=5388639:5389028&amp;c=444444", "offset 32")</f>
        <v>offset 32</v>
      </c>
    </row>
    <row r="17543" customFormat="false" ht="12.8" hidden="false" customHeight="false" outlineLevel="0" collapsed="false">
      <c r="A17543" s="0" t="s">
        <v>12</v>
      </c>
      <c r="B17543" s="0" t="n">
        <v>5388808</v>
      </c>
      <c r="C17543" s="0" t="n">
        <v>5388828</v>
      </c>
      <c r="D17543" s="0" t="s">
        <v>58328</v>
      </c>
      <c r="E17543" s="0" t="s">
        <v>75</v>
      </c>
      <c r="F17543" s="0" t="s">
        <v>90</v>
      </c>
      <c r="G17543" s="0" t="s">
        <v>36</v>
      </c>
      <c r="H17543" s="0" t="n">
        <v>63</v>
      </c>
      <c r="I17543" s="0" t="s">
        <v>58332</v>
      </c>
      <c r="J17543" s="0" t="s">
        <v>58333</v>
      </c>
      <c r="K17543" s="0" t="s">
        <v>58334</v>
      </c>
      <c r="L17543" s="0" t="str">
        <f aca="false">HYPERLINK("https://www.ncbi.nlm.nih.gov/nuccore/CP000058.1?report=graph&amp;tracks=[key:gene_model_track,Options:GeneOnly]&amp;mk=5388840:5388859|offset_32|444444,5388809:5388828|offset_63|00cc00&amp;v=5388639:5389028&amp;c=444444", "offset 63")</f>
        <v>offset 63</v>
      </c>
    </row>
    <row r="17544" customFormat="false" ht="12.8" hidden="false" customHeight="false" outlineLevel="0" collapsed="false">
      <c r="A17544" s="0" t="s">
        <v>12</v>
      </c>
      <c r="B17544" s="0" t="n">
        <v>5389303</v>
      </c>
      <c r="C17544" s="0" t="n">
        <v>5389323</v>
      </c>
      <c r="D17544" s="0" t="s">
        <v>58335</v>
      </c>
      <c r="E17544" s="0" t="s">
        <v>75</v>
      </c>
      <c r="F17544" s="0" t="s">
        <v>15</v>
      </c>
      <c r="G17544" s="0" t="s">
        <v>36</v>
      </c>
      <c r="H17544" s="0" t="n">
        <v>0</v>
      </c>
      <c r="I17544" s="0" t="s">
        <v>58336</v>
      </c>
      <c r="J17544" s="0" t="s">
        <v>58337</v>
      </c>
      <c r="K17544" s="0" t="s">
        <v>58338</v>
      </c>
      <c r="L17544" s="0" t="str">
        <f aca="false">HYPERLINK("https://www.ncbi.nlm.nih.gov/nuccore/CP000058.1?report=graph&amp;tracks=[key:gene_model_track,Options:GeneOnly]&amp;mk=5389304:5389323|offset_0|00cc00,5389335:5389354|offset_31|444444,5389371:5389390|offset_67|444444,5389404:5389423|offset_100|444444&amp;v=5389103:5389623&amp;c=444444", "offset 0")</f>
        <v>offset 0</v>
      </c>
    </row>
    <row r="17545" customFormat="false" ht="12.8" hidden="false" customHeight="false" outlineLevel="0" collapsed="false">
      <c r="A17545" s="0" t="s">
        <v>12</v>
      </c>
      <c r="B17545" s="0" t="n">
        <v>5389334</v>
      </c>
      <c r="C17545" s="0" t="n">
        <v>5389354</v>
      </c>
      <c r="D17545" s="0" t="s">
        <v>58335</v>
      </c>
      <c r="E17545" s="0" t="s">
        <v>75</v>
      </c>
      <c r="F17545" s="0" t="s">
        <v>15</v>
      </c>
      <c r="G17545" s="0" t="s">
        <v>16</v>
      </c>
      <c r="H17545" s="0" t="n">
        <v>31</v>
      </c>
      <c r="I17545" s="0" t="s">
        <v>58339</v>
      </c>
      <c r="J17545" s="0" t="s">
        <v>58340</v>
      </c>
      <c r="K17545" s="0" t="s">
        <v>58341</v>
      </c>
      <c r="L17545" s="0" t="str">
        <f aca="false">HYPERLINK("https://www.ncbi.nlm.nih.gov/nuccore/CP000058.1?report=graph&amp;tracks=[key:gene_model_track,Options:GeneOnly]&amp;mk=5389304:5389323|offset_0|444444,5389335:5389354|offset_31|00cc00,5389371:5389390|offset_67|444444,5389404:5389423|offset_100|444444&amp;v=5389103:5389623&amp;c=444444", "offset 31")</f>
        <v>offset 31</v>
      </c>
    </row>
    <row r="17546" customFormat="false" ht="12.8" hidden="false" customHeight="false" outlineLevel="0" collapsed="false">
      <c r="A17546" s="0" t="s">
        <v>12</v>
      </c>
      <c r="B17546" s="0" t="n">
        <v>5389370</v>
      </c>
      <c r="C17546" s="0" t="n">
        <v>5389390</v>
      </c>
      <c r="D17546" s="0" t="s">
        <v>58335</v>
      </c>
      <c r="E17546" s="0" t="s">
        <v>75</v>
      </c>
      <c r="F17546" s="0" t="s">
        <v>15</v>
      </c>
      <c r="G17546" s="0" t="s">
        <v>16</v>
      </c>
      <c r="H17546" s="0" t="n">
        <v>67</v>
      </c>
      <c r="I17546" s="0" t="s">
        <v>58342</v>
      </c>
      <c r="J17546" s="0" t="s">
        <v>58343</v>
      </c>
      <c r="K17546" s="0" t="s">
        <v>58344</v>
      </c>
      <c r="L17546" s="0" t="str">
        <f aca="false">HYPERLINK("https://www.ncbi.nlm.nih.gov/nuccore/CP000058.1?report=graph&amp;tracks=[key:gene_model_track,Options:GeneOnly]&amp;mk=5389304:5389323|offset_0|444444,5389335:5389354|offset_31|444444,5389371:5389390|offset_67|00cc00,5389404:5389423|offset_100|444444&amp;v=5389103:5389623&amp;c=444444", "offset 67")</f>
        <v>offset 67</v>
      </c>
    </row>
    <row r="17547" customFormat="false" ht="12.8" hidden="false" customHeight="false" outlineLevel="0" collapsed="false">
      <c r="A17547" s="0" t="s">
        <v>12</v>
      </c>
      <c r="B17547" s="0" t="n">
        <v>5389403</v>
      </c>
      <c r="C17547" s="0" t="n">
        <v>5389423</v>
      </c>
      <c r="D17547" s="0" t="s">
        <v>58335</v>
      </c>
      <c r="E17547" s="0" t="s">
        <v>75</v>
      </c>
      <c r="F17547" s="0" t="s">
        <v>15</v>
      </c>
      <c r="G17547" s="0" t="s">
        <v>16</v>
      </c>
      <c r="H17547" s="0" t="n">
        <v>100</v>
      </c>
      <c r="I17547" s="0" t="s">
        <v>58345</v>
      </c>
      <c r="J17547" s="0" t="s">
        <v>58346</v>
      </c>
      <c r="K17547" s="0" t="s">
        <v>58347</v>
      </c>
      <c r="L17547" s="0" t="str">
        <f aca="false">HYPERLINK("https://www.ncbi.nlm.nih.gov/nuccore/CP000058.1?report=graph&amp;tracks=[key:gene_model_track,Options:GeneOnly]&amp;mk=5389304:5389323|offset_0|444444,5389335:5389354|offset_31|444444,5389371:5389390|offset_67|444444,5389404:5389423|offset_100|00cc00&amp;v=5389103:5389623&amp;c=444444", "offset 100")</f>
        <v>offset 100</v>
      </c>
    </row>
    <row r="17548" customFormat="false" ht="12.8" hidden="false" customHeight="false" outlineLevel="0" collapsed="false">
      <c r="A17548" s="0" t="s">
        <v>12</v>
      </c>
      <c r="B17548" s="0" t="n">
        <v>5390332</v>
      </c>
      <c r="C17548" s="0" t="n">
        <v>5390352</v>
      </c>
      <c r="D17548" s="0" t="s">
        <v>58348</v>
      </c>
      <c r="E17548" s="0" t="s">
        <v>75</v>
      </c>
      <c r="F17548" s="0" t="s">
        <v>15</v>
      </c>
      <c r="G17548" s="0" t="s">
        <v>32</v>
      </c>
      <c r="H17548" s="0" t="n">
        <v>14</v>
      </c>
      <c r="I17548" s="0" t="s">
        <v>58349</v>
      </c>
      <c r="J17548" s="0" t="s">
        <v>58350</v>
      </c>
      <c r="K17548" s="0" t="s">
        <v>58351</v>
      </c>
      <c r="L17548" s="0" t="str">
        <f aca="false">HYPERLINK("https://www.ncbi.nlm.nih.gov/nuccore/CP000058.1?report=graph&amp;tracks=[key:gene_model_track,Options:GeneOnly]&amp;mk=5390333:5390352|offset_14|00cc00,5390362:5390381|offset_43|444444,5390386:5390405|offset_67|444444,5390416:5390435|offset_97|444444&amp;v=5390132:5390635&amp;c=444444", "offset 14")</f>
        <v>offset 14</v>
      </c>
    </row>
    <row r="17549" customFormat="false" ht="12.8" hidden="false" customHeight="false" outlineLevel="0" collapsed="false">
      <c r="A17549" s="0" t="s">
        <v>12</v>
      </c>
      <c r="B17549" s="0" t="n">
        <v>5390361</v>
      </c>
      <c r="C17549" s="0" t="n">
        <v>5390381</v>
      </c>
      <c r="D17549" s="0" t="s">
        <v>58348</v>
      </c>
      <c r="E17549" s="0" t="s">
        <v>75</v>
      </c>
      <c r="F17549" s="0" t="s">
        <v>15</v>
      </c>
      <c r="G17549" s="0" t="s">
        <v>16</v>
      </c>
      <c r="H17549" s="0" t="n">
        <v>43</v>
      </c>
      <c r="I17549" s="0" t="s">
        <v>58352</v>
      </c>
      <c r="J17549" s="0" t="s">
        <v>58353</v>
      </c>
      <c r="K17549" s="0" t="s">
        <v>58354</v>
      </c>
      <c r="L17549" s="0" t="str">
        <f aca="false">HYPERLINK("https://www.ncbi.nlm.nih.gov/nuccore/CP000058.1?report=graph&amp;tracks=[key:gene_model_track,Options:GeneOnly]&amp;mk=5390333:5390352|offset_14|444444,5390362:5390381|offset_43|00cc00,5390386:5390405|offset_67|444444,5390416:5390435|offset_97|444444&amp;v=5390132:5390635&amp;c=444444", "offset 43")</f>
        <v>offset 43</v>
      </c>
    </row>
    <row r="17550" customFormat="false" ht="12.8" hidden="false" customHeight="false" outlineLevel="0" collapsed="false">
      <c r="A17550" s="0" t="s">
        <v>12</v>
      </c>
      <c r="B17550" s="0" t="n">
        <v>5390385</v>
      </c>
      <c r="C17550" s="0" t="n">
        <v>5390405</v>
      </c>
      <c r="D17550" s="0" t="s">
        <v>58348</v>
      </c>
      <c r="E17550" s="0" t="s">
        <v>75</v>
      </c>
      <c r="F17550" s="0" t="s">
        <v>15</v>
      </c>
      <c r="G17550" s="0" t="s">
        <v>32</v>
      </c>
      <c r="H17550" s="0" t="n">
        <v>67</v>
      </c>
      <c r="I17550" s="0" t="s">
        <v>58355</v>
      </c>
      <c r="J17550" s="0" t="s">
        <v>58356</v>
      </c>
      <c r="K17550" s="0" t="s">
        <v>58357</v>
      </c>
      <c r="L17550" s="0" t="str">
        <f aca="false">HYPERLINK("https://www.ncbi.nlm.nih.gov/nuccore/CP000058.1?report=graph&amp;tracks=[key:gene_model_track,Options:GeneOnly]&amp;mk=5390333:5390352|offset_14|444444,5390362:5390381|offset_43|444444,5390386:5390405|offset_67|00cc00,5390416:5390435|offset_97|444444&amp;v=5390132:5390635&amp;c=444444", "offset 67")</f>
        <v>offset 67</v>
      </c>
    </row>
    <row r="17551" customFormat="false" ht="12.8" hidden="false" customHeight="false" outlineLevel="0" collapsed="false">
      <c r="A17551" s="0" t="s">
        <v>12</v>
      </c>
      <c r="B17551" s="0" t="n">
        <v>5390415</v>
      </c>
      <c r="C17551" s="0" t="n">
        <v>5390435</v>
      </c>
      <c r="D17551" s="0" t="s">
        <v>58348</v>
      </c>
      <c r="E17551" s="0" t="s">
        <v>75</v>
      </c>
      <c r="F17551" s="0" t="s">
        <v>15</v>
      </c>
      <c r="G17551" s="0" t="s">
        <v>20</v>
      </c>
      <c r="H17551" s="0" t="n">
        <v>97</v>
      </c>
      <c r="I17551" s="0" t="s">
        <v>58358</v>
      </c>
      <c r="J17551" s="0" t="s">
        <v>58359</v>
      </c>
      <c r="K17551" s="0" t="s">
        <v>58360</v>
      </c>
      <c r="L17551" s="0" t="str">
        <f aca="false">HYPERLINK("https://www.ncbi.nlm.nih.gov/nuccore/CP000058.1?report=graph&amp;tracks=[key:gene_model_track,Options:GeneOnly]&amp;mk=5390333:5390352|offset_14|444444,5390362:5390381|offset_43|444444,5390386:5390405|offset_67|444444,5390416:5390435|offset_97|00cc00&amp;v=5390132:5390635&amp;c=444444", "offset 97")</f>
        <v>offset 97</v>
      </c>
    </row>
    <row r="17552" customFormat="false" ht="12.8" hidden="false" customHeight="false" outlineLevel="0" collapsed="false">
      <c r="A17552" s="0" t="s">
        <v>12</v>
      </c>
      <c r="B17552" s="0" t="n">
        <v>5391203</v>
      </c>
      <c r="C17552" s="0" t="n">
        <v>5391223</v>
      </c>
      <c r="D17552" s="0" t="s">
        <v>58361</v>
      </c>
      <c r="E17552" s="0" t="s">
        <v>75</v>
      </c>
      <c r="F17552" s="0" t="s">
        <v>15</v>
      </c>
      <c r="G17552" s="0" t="s">
        <v>32</v>
      </c>
      <c r="H17552" s="0" t="n">
        <v>43</v>
      </c>
      <c r="I17552" s="0" t="s">
        <v>58362</v>
      </c>
      <c r="J17552" s="0" t="s">
        <v>58363</v>
      </c>
      <c r="K17552" s="0" t="s">
        <v>58364</v>
      </c>
      <c r="L17552" s="0" t="str">
        <f aca="false">HYPERLINK("https://www.ncbi.nlm.nih.gov/nuccore/CP000058.1?report=graph&amp;tracks=[key:gene_model_track,Options:GeneOnly]&amp;mk=5391204:5391223|offset_43|00cc00,5391256:5391275|offset_95|444444,5391300:5391319|offset_139|444444,5391363:5391382|offset_202|444444&amp;v=5391003:5391582&amp;c=444444", "offset 43")</f>
        <v>offset 43</v>
      </c>
    </row>
    <row r="17553" customFormat="false" ht="12.8" hidden="false" customHeight="false" outlineLevel="0" collapsed="false">
      <c r="A17553" s="0" t="s">
        <v>12</v>
      </c>
      <c r="B17553" s="0" t="n">
        <v>5391255</v>
      </c>
      <c r="C17553" s="0" t="n">
        <v>5391275</v>
      </c>
      <c r="D17553" s="0" t="s">
        <v>58361</v>
      </c>
      <c r="E17553" s="0" t="s">
        <v>75</v>
      </c>
      <c r="F17553" s="0" t="s">
        <v>15</v>
      </c>
      <c r="G17553" s="0" t="s">
        <v>32</v>
      </c>
      <c r="H17553" s="0" t="n">
        <v>95</v>
      </c>
      <c r="I17553" s="0" t="s">
        <v>58365</v>
      </c>
      <c r="J17553" s="0" t="s">
        <v>58366</v>
      </c>
      <c r="K17553" s="0" t="s">
        <v>58367</v>
      </c>
      <c r="L17553" s="0" t="str">
        <f aca="false">HYPERLINK("https://www.ncbi.nlm.nih.gov/nuccore/CP000058.1?report=graph&amp;tracks=[key:gene_model_track,Options:GeneOnly]&amp;mk=5391204:5391223|offset_43|444444,5391256:5391275|offset_95|00cc00,5391300:5391319|offset_139|444444,5391363:5391382|offset_202|444444&amp;v=5391003:5391582&amp;c=444444", "offset 95")</f>
        <v>offset 95</v>
      </c>
    </row>
    <row r="17554" customFormat="false" ht="12.8" hidden="false" customHeight="false" outlineLevel="0" collapsed="false">
      <c r="A17554" s="0" t="s">
        <v>12</v>
      </c>
      <c r="B17554" s="0" t="n">
        <v>5391299</v>
      </c>
      <c r="C17554" s="0" t="n">
        <v>5391319</v>
      </c>
      <c r="D17554" s="0" t="s">
        <v>58361</v>
      </c>
      <c r="E17554" s="0" t="s">
        <v>75</v>
      </c>
      <c r="F17554" s="0" t="s">
        <v>15</v>
      </c>
      <c r="G17554" s="0" t="s">
        <v>32</v>
      </c>
      <c r="H17554" s="0" t="n">
        <v>139</v>
      </c>
      <c r="I17554" s="0" t="s">
        <v>58368</v>
      </c>
      <c r="J17554" s="0" t="s">
        <v>58369</v>
      </c>
      <c r="K17554" s="0" t="s">
        <v>58370</v>
      </c>
      <c r="L17554" s="0" t="str">
        <f aca="false">HYPERLINK("https://www.ncbi.nlm.nih.gov/nuccore/CP000058.1?report=graph&amp;tracks=[key:gene_model_track,Options:GeneOnly]&amp;mk=5391204:5391223|offset_43|444444,5391256:5391275|offset_95|444444,5391300:5391319|offset_139|00cc00,5391363:5391382|offset_202|444444&amp;v=5391003:5391582&amp;c=444444", "offset 139")</f>
        <v>offset 139</v>
      </c>
    </row>
    <row r="17555" customFormat="false" ht="12.8" hidden="false" customHeight="false" outlineLevel="0" collapsed="false">
      <c r="A17555" s="0" t="s">
        <v>12</v>
      </c>
      <c r="B17555" s="0" t="n">
        <v>5391362</v>
      </c>
      <c r="C17555" s="0" t="n">
        <v>5391382</v>
      </c>
      <c r="D17555" s="0" t="s">
        <v>58361</v>
      </c>
      <c r="E17555" s="0" t="s">
        <v>75</v>
      </c>
      <c r="F17555" s="0" t="s">
        <v>15</v>
      </c>
      <c r="G17555" s="0" t="s">
        <v>32</v>
      </c>
      <c r="H17555" s="0" t="n">
        <v>202</v>
      </c>
      <c r="I17555" s="0" t="s">
        <v>58371</v>
      </c>
      <c r="J17555" s="0" t="s">
        <v>58372</v>
      </c>
      <c r="K17555" s="0" t="s">
        <v>58373</v>
      </c>
      <c r="L17555" s="0" t="str">
        <f aca="false">HYPERLINK("https://www.ncbi.nlm.nih.gov/nuccore/CP000058.1?report=graph&amp;tracks=[key:gene_model_track,Options:GeneOnly]&amp;mk=5391204:5391223|offset_43|444444,5391256:5391275|offset_95|444444,5391300:5391319|offset_139|444444,5391363:5391382|offset_202|00cc00&amp;v=5391003:5391582&amp;c=444444", "offset 202")</f>
        <v>offset 202</v>
      </c>
    </row>
    <row r="17556" customFormat="false" ht="12.8" hidden="false" customHeight="false" outlineLevel="0" collapsed="false">
      <c r="A17556" s="0" t="s">
        <v>12</v>
      </c>
      <c r="B17556" s="0" t="n">
        <v>5392628</v>
      </c>
      <c r="C17556" s="0" t="n">
        <v>5392648</v>
      </c>
      <c r="D17556" s="0" t="s">
        <v>58374</v>
      </c>
      <c r="E17556" s="0" t="s">
        <v>58375</v>
      </c>
      <c r="F17556" s="0" t="s">
        <v>15</v>
      </c>
      <c r="G17556" s="0" t="s">
        <v>32</v>
      </c>
      <c r="H17556" s="0" t="n">
        <v>20</v>
      </c>
      <c r="I17556" s="0" t="s">
        <v>58376</v>
      </c>
      <c r="J17556" s="0" t="s">
        <v>58377</v>
      </c>
      <c r="K17556" s="0" t="s">
        <v>58378</v>
      </c>
      <c r="L17556" s="0" t="str">
        <f aca="false">HYPERLINK("https://www.ncbi.nlm.nih.gov/nuccore/CP000058.1?report=graph&amp;tracks=[key:gene_model_track,Options:GeneOnly]&amp;mk=5392629:5392648|offset_20|00cc00,5392695:5392714|offset_86|444444,5392788:5392807|offset_179|444444,5392844:5392863|offset_235|444444&amp;v=5392428:5393063&amp;c=444444", "offset 20")</f>
        <v>offset 20</v>
      </c>
    </row>
    <row r="17557" customFormat="false" ht="12.8" hidden="false" customHeight="false" outlineLevel="0" collapsed="false">
      <c r="A17557" s="0" t="s">
        <v>12</v>
      </c>
      <c r="B17557" s="0" t="n">
        <v>5392694</v>
      </c>
      <c r="C17557" s="0" t="n">
        <v>5392714</v>
      </c>
      <c r="D17557" s="0" t="s">
        <v>58374</v>
      </c>
      <c r="E17557" s="0" t="s">
        <v>58375</v>
      </c>
      <c r="F17557" s="0" t="s">
        <v>15</v>
      </c>
      <c r="G17557" s="0" t="s">
        <v>32</v>
      </c>
      <c r="H17557" s="0" t="n">
        <v>86</v>
      </c>
      <c r="I17557" s="0" t="s">
        <v>58379</v>
      </c>
      <c r="J17557" s="0" t="s">
        <v>58380</v>
      </c>
      <c r="K17557" s="0" t="s">
        <v>58381</v>
      </c>
      <c r="L17557" s="0" t="str">
        <f aca="false">HYPERLINK("https://www.ncbi.nlm.nih.gov/nuccore/CP000058.1?report=graph&amp;tracks=[key:gene_model_track,Options:GeneOnly]&amp;mk=5392629:5392648|offset_20|444444,5392695:5392714|offset_86|00cc00,5392788:5392807|offset_179|444444,5392844:5392863|offset_235|444444&amp;v=5392428:5393063&amp;c=444444", "offset 86")</f>
        <v>offset 86</v>
      </c>
    </row>
    <row r="17558" customFormat="false" ht="12.8" hidden="false" customHeight="false" outlineLevel="0" collapsed="false">
      <c r="A17558" s="0" t="s">
        <v>12</v>
      </c>
      <c r="B17558" s="0" t="n">
        <v>5392787</v>
      </c>
      <c r="C17558" s="0" t="n">
        <v>5392807</v>
      </c>
      <c r="D17558" s="0" t="s">
        <v>58374</v>
      </c>
      <c r="E17558" s="0" t="s">
        <v>58375</v>
      </c>
      <c r="F17558" s="0" t="s">
        <v>15</v>
      </c>
      <c r="G17558" s="0" t="s">
        <v>36</v>
      </c>
      <c r="H17558" s="0" t="n">
        <v>179</v>
      </c>
      <c r="I17558" s="0" t="s">
        <v>58382</v>
      </c>
      <c r="J17558" s="0" t="s">
        <v>58383</v>
      </c>
      <c r="K17558" s="0" t="s">
        <v>58384</v>
      </c>
      <c r="L17558" s="0" t="str">
        <f aca="false">HYPERLINK("https://www.ncbi.nlm.nih.gov/nuccore/CP000058.1?report=graph&amp;tracks=[key:gene_model_track,Options:GeneOnly]&amp;mk=5392629:5392648|offset_20|444444,5392695:5392714|offset_86|444444,5392788:5392807|offset_179|00cc00,5392844:5392863|offset_235|444444&amp;v=5392428:5393063&amp;c=444444", "offset 179")</f>
        <v>offset 179</v>
      </c>
    </row>
    <row r="17559" customFormat="false" ht="12.8" hidden="false" customHeight="false" outlineLevel="0" collapsed="false">
      <c r="A17559" s="0" t="s">
        <v>12</v>
      </c>
      <c r="B17559" s="0" t="n">
        <v>5392843</v>
      </c>
      <c r="C17559" s="0" t="n">
        <v>5392863</v>
      </c>
      <c r="D17559" s="0" t="s">
        <v>58374</v>
      </c>
      <c r="E17559" s="0" t="s">
        <v>58375</v>
      </c>
      <c r="F17559" s="0" t="s">
        <v>15</v>
      </c>
      <c r="G17559" s="0" t="s">
        <v>32</v>
      </c>
      <c r="H17559" s="0" t="n">
        <v>235</v>
      </c>
      <c r="I17559" s="0" t="s">
        <v>58385</v>
      </c>
      <c r="J17559" s="0" t="s">
        <v>58386</v>
      </c>
      <c r="K17559" s="0" t="s">
        <v>58387</v>
      </c>
      <c r="L17559" s="0" t="str">
        <f aca="false">HYPERLINK("https://www.ncbi.nlm.nih.gov/nuccore/CP000058.1?report=graph&amp;tracks=[key:gene_model_track,Options:GeneOnly]&amp;mk=5392629:5392648|offset_20|444444,5392695:5392714|offset_86|444444,5392788:5392807|offset_179|444444,5392844:5392863|offset_235|00cc00&amp;v=5392428:5393063&amp;c=444444", "offset 235")</f>
        <v>offset 235</v>
      </c>
    </row>
    <row r="17560" customFormat="false" ht="12.8" hidden="false" customHeight="false" outlineLevel="0" collapsed="false">
      <c r="A17560" s="0" t="s">
        <v>12</v>
      </c>
      <c r="B17560" s="0" t="n">
        <v>5393905</v>
      </c>
      <c r="C17560" s="0" t="n">
        <v>5393925</v>
      </c>
      <c r="D17560" s="0" t="s">
        <v>58388</v>
      </c>
      <c r="E17560" s="0" t="s">
        <v>58389</v>
      </c>
      <c r="F17560" s="0" t="s">
        <v>15</v>
      </c>
      <c r="G17560" s="0" t="s">
        <v>20</v>
      </c>
      <c r="H17560" s="0" t="n">
        <v>26</v>
      </c>
      <c r="I17560" s="0" t="s">
        <v>58390</v>
      </c>
      <c r="J17560" s="0" t="s">
        <v>58391</v>
      </c>
      <c r="K17560" s="0" t="s">
        <v>58392</v>
      </c>
      <c r="L17560" s="0" t="str">
        <f aca="false">HYPERLINK("https://www.ncbi.nlm.nih.gov/nuccore/CP000058.1?report=graph&amp;tracks=[key:gene_model_track,Options:GeneOnly]&amp;mk=5393906:5393925|offset_26|00cc00,5393927:5393946|offset_47|444444,5393961:5393980|offset_81|444444,5394025:5394044|offset_145|444444&amp;v=5393705:5394244&amp;c=444444", "offset 26")</f>
        <v>offset 26</v>
      </c>
    </row>
    <row r="17561" customFormat="false" ht="12.8" hidden="false" customHeight="false" outlineLevel="0" collapsed="false">
      <c r="A17561" s="0" t="s">
        <v>12</v>
      </c>
      <c r="B17561" s="0" t="n">
        <v>5393926</v>
      </c>
      <c r="C17561" s="0" t="n">
        <v>5393946</v>
      </c>
      <c r="D17561" s="0" t="s">
        <v>58388</v>
      </c>
      <c r="E17561" s="0" t="s">
        <v>58389</v>
      </c>
      <c r="F17561" s="0" t="s">
        <v>15</v>
      </c>
      <c r="G17561" s="0" t="s">
        <v>32</v>
      </c>
      <c r="H17561" s="0" t="n">
        <v>47</v>
      </c>
      <c r="I17561" s="0" t="s">
        <v>58393</v>
      </c>
      <c r="J17561" s="0" t="s">
        <v>58394</v>
      </c>
      <c r="K17561" s="0" t="s">
        <v>58395</v>
      </c>
      <c r="L17561" s="0" t="str">
        <f aca="false">HYPERLINK("https://www.ncbi.nlm.nih.gov/nuccore/CP000058.1?report=graph&amp;tracks=[key:gene_model_track,Options:GeneOnly]&amp;mk=5393906:5393925|offset_26|444444,5393927:5393946|offset_47|00cc00,5393961:5393980|offset_81|444444,5394025:5394044|offset_145|444444&amp;v=5393705:5394244&amp;c=444444", "offset 47")</f>
        <v>offset 47</v>
      </c>
    </row>
    <row r="17562" customFormat="false" ht="12.8" hidden="false" customHeight="false" outlineLevel="0" collapsed="false">
      <c r="A17562" s="0" t="s">
        <v>12</v>
      </c>
      <c r="B17562" s="0" t="n">
        <v>5393960</v>
      </c>
      <c r="C17562" s="0" t="n">
        <v>5393980</v>
      </c>
      <c r="D17562" s="0" t="s">
        <v>58388</v>
      </c>
      <c r="E17562" s="0" t="s">
        <v>58389</v>
      </c>
      <c r="F17562" s="0" t="s">
        <v>15</v>
      </c>
      <c r="G17562" s="0" t="s">
        <v>16</v>
      </c>
      <c r="H17562" s="0" t="n">
        <v>81</v>
      </c>
      <c r="I17562" s="0" t="s">
        <v>58396</v>
      </c>
      <c r="J17562" s="0" t="s">
        <v>58397</v>
      </c>
      <c r="K17562" s="0" t="s">
        <v>58398</v>
      </c>
      <c r="L17562" s="0" t="str">
        <f aca="false">HYPERLINK("https://www.ncbi.nlm.nih.gov/nuccore/CP000058.1?report=graph&amp;tracks=[key:gene_model_track,Options:GeneOnly]&amp;mk=5393906:5393925|offset_26|444444,5393927:5393946|offset_47|444444,5393961:5393980|offset_81|00cc00,5394025:5394044|offset_145|444444&amp;v=5393705:5394244&amp;c=444444", "offset 81")</f>
        <v>offset 81</v>
      </c>
    </row>
    <row r="17563" customFormat="false" ht="12.8" hidden="false" customHeight="false" outlineLevel="0" collapsed="false">
      <c r="A17563" s="0" t="s">
        <v>12</v>
      </c>
      <c r="B17563" s="0" t="n">
        <v>5394024</v>
      </c>
      <c r="C17563" s="0" t="n">
        <v>5394044</v>
      </c>
      <c r="D17563" s="0" t="s">
        <v>58388</v>
      </c>
      <c r="E17563" s="0" t="s">
        <v>58389</v>
      </c>
      <c r="F17563" s="0" t="s">
        <v>15</v>
      </c>
      <c r="G17563" s="0" t="s">
        <v>20</v>
      </c>
      <c r="H17563" s="0" t="n">
        <v>145</v>
      </c>
      <c r="I17563" s="0" t="s">
        <v>58399</v>
      </c>
      <c r="J17563" s="0" t="s">
        <v>58400</v>
      </c>
      <c r="K17563" s="0" t="s">
        <v>58401</v>
      </c>
      <c r="L17563" s="0" t="str">
        <f aca="false">HYPERLINK("https://www.ncbi.nlm.nih.gov/nuccore/CP000058.1?report=graph&amp;tracks=[key:gene_model_track,Options:GeneOnly]&amp;mk=5393906:5393925|offset_26|444444,5393927:5393946|offset_47|444444,5393961:5393980|offset_81|444444,5394025:5394044|offset_145|00cc00&amp;v=5393705:5394244&amp;c=444444", "offset 145")</f>
        <v>offset 145</v>
      </c>
    </row>
    <row r="17564" customFormat="false" ht="12.8" hidden="false" customHeight="false" outlineLevel="0" collapsed="false">
      <c r="A17564" s="0" t="s">
        <v>12</v>
      </c>
      <c r="B17564" s="0" t="n">
        <v>5395146</v>
      </c>
      <c r="C17564" s="0" t="n">
        <v>5395166</v>
      </c>
      <c r="D17564" s="0" t="s">
        <v>58402</v>
      </c>
      <c r="E17564" s="0" t="s">
        <v>58403</v>
      </c>
      <c r="F17564" s="0" t="s">
        <v>15</v>
      </c>
      <c r="G17564" s="0" t="s">
        <v>32</v>
      </c>
      <c r="H17564" s="0" t="n">
        <v>1</v>
      </c>
      <c r="I17564" s="0" t="s">
        <v>58404</v>
      </c>
      <c r="J17564" s="0" t="s">
        <v>58405</v>
      </c>
      <c r="K17564" s="0" t="s">
        <v>58406</v>
      </c>
      <c r="L17564" s="0" t="str">
        <f aca="false">HYPERLINK("https://www.ncbi.nlm.nih.gov/nuccore/CP000058.1?report=graph&amp;tracks=[key:gene_model_track,Options:GeneOnly]&amp;mk=5395147:5395166|offset_1|00cc00,5395167:5395186|offset_21|444444,5395189:5395208|offset_43|444444,5395210:5395229|offset_64|444444&amp;v=5394946:5395429&amp;c=444444", "offset 1")</f>
        <v>offset 1</v>
      </c>
    </row>
    <row r="17565" customFormat="false" ht="12.8" hidden="false" customHeight="false" outlineLevel="0" collapsed="false">
      <c r="A17565" s="0" t="s">
        <v>12</v>
      </c>
      <c r="B17565" s="0" t="n">
        <v>5395166</v>
      </c>
      <c r="C17565" s="0" t="n">
        <v>5395186</v>
      </c>
      <c r="D17565" s="0" t="s">
        <v>58402</v>
      </c>
      <c r="E17565" s="0" t="s">
        <v>58403</v>
      </c>
      <c r="F17565" s="0" t="s">
        <v>15</v>
      </c>
      <c r="G17565" s="0" t="s">
        <v>20</v>
      </c>
      <c r="H17565" s="0" t="n">
        <v>21</v>
      </c>
      <c r="I17565" s="0" t="s">
        <v>58407</v>
      </c>
      <c r="J17565" s="0" t="s">
        <v>58408</v>
      </c>
      <c r="K17565" s="0" t="s">
        <v>58409</v>
      </c>
      <c r="L17565" s="0" t="str">
        <f aca="false">HYPERLINK("https://www.ncbi.nlm.nih.gov/nuccore/CP000058.1?report=graph&amp;tracks=[key:gene_model_track,Options:GeneOnly]&amp;mk=5395147:5395166|offset_1|444444,5395167:5395186|offset_21|00cc00,5395189:5395208|offset_43|444444,5395210:5395229|offset_64|444444&amp;v=5394946:5395429&amp;c=444444", "offset 21")</f>
        <v>offset 21</v>
      </c>
    </row>
    <row r="17566" customFormat="false" ht="12.8" hidden="false" customHeight="false" outlineLevel="0" collapsed="false">
      <c r="A17566" s="0" t="s">
        <v>12</v>
      </c>
      <c r="B17566" s="0" t="n">
        <v>5395188</v>
      </c>
      <c r="C17566" s="0" t="n">
        <v>5395208</v>
      </c>
      <c r="D17566" s="0" t="s">
        <v>58402</v>
      </c>
      <c r="E17566" s="0" t="s">
        <v>58403</v>
      </c>
      <c r="F17566" s="0" t="s">
        <v>15</v>
      </c>
      <c r="G17566" s="0" t="s">
        <v>16</v>
      </c>
      <c r="H17566" s="0" t="n">
        <v>43</v>
      </c>
      <c r="I17566" s="0" t="s">
        <v>58410</v>
      </c>
      <c r="J17566" s="0" t="s">
        <v>58411</v>
      </c>
      <c r="K17566" s="0" t="s">
        <v>58412</v>
      </c>
      <c r="L17566" s="0" t="str">
        <f aca="false">HYPERLINK("https://www.ncbi.nlm.nih.gov/nuccore/CP000058.1?report=graph&amp;tracks=[key:gene_model_track,Options:GeneOnly]&amp;mk=5395147:5395166|offset_1|444444,5395167:5395186|offset_21|444444,5395189:5395208|offset_43|00cc00,5395210:5395229|offset_64|444444&amp;v=5394946:5395429&amp;c=444444", "offset 43")</f>
        <v>offset 43</v>
      </c>
    </row>
    <row r="17567" customFormat="false" ht="12.8" hidden="false" customHeight="false" outlineLevel="0" collapsed="false">
      <c r="A17567" s="0" t="s">
        <v>12</v>
      </c>
      <c r="B17567" s="0" t="n">
        <v>5395209</v>
      </c>
      <c r="C17567" s="0" t="n">
        <v>5395229</v>
      </c>
      <c r="D17567" s="0" t="s">
        <v>58402</v>
      </c>
      <c r="E17567" s="0" t="s">
        <v>58403</v>
      </c>
      <c r="F17567" s="0" t="s">
        <v>15</v>
      </c>
      <c r="G17567" s="0" t="s">
        <v>16</v>
      </c>
      <c r="H17567" s="0" t="n">
        <v>64</v>
      </c>
      <c r="I17567" s="0" t="s">
        <v>58413</v>
      </c>
      <c r="J17567" s="0" t="s">
        <v>58414</v>
      </c>
      <c r="K17567" s="0" t="s">
        <v>58415</v>
      </c>
      <c r="L17567" s="0" t="str">
        <f aca="false">HYPERLINK("https://www.ncbi.nlm.nih.gov/nuccore/CP000058.1?report=graph&amp;tracks=[key:gene_model_track,Options:GeneOnly]&amp;mk=5395147:5395166|offset_1|444444,5395167:5395186|offset_21|444444,5395189:5395208|offset_43|444444,5395210:5395229|offset_64|00cc00&amp;v=5394946:5395429&amp;c=444444", "offset 64")</f>
        <v>offset 64</v>
      </c>
    </row>
    <row r="17568" customFormat="false" ht="12.8" hidden="false" customHeight="false" outlineLevel="0" collapsed="false">
      <c r="A17568" s="0" t="s">
        <v>12</v>
      </c>
      <c r="B17568" s="0" t="n">
        <v>5395446</v>
      </c>
      <c r="C17568" s="0" t="n">
        <v>5395466</v>
      </c>
      <c r="D17568" s="0" t="s">
        <v>58416</v>
      </c>
      <c r="E17568" s="0" t="s">
        <v>58417</v>
      </c>
      <c r="F17568" s="0" t="s">
        <v>15</v>
      </c>
      <c r="G17568" s="0" t="s">
        <v>32</v>
      </c>
      <c r="H17568" s="0" t="n">
        <v>8</v>
      </c>
      <c r="I17568" s="0" t="s">
        <v>58418</v>
      </c>
      <c r="J17568" s="0" t="s">
        <v>58419</v>
      </c>
      <c r="K17568" s="0" t="s">
        <v>58420</v>
      </c>
      <c r="L17568" s="0" t="str">
        <f aca="false">HYPERLINK("https://www.ncbi.nlm.nih.gov/nuccore/CP000058.1?report=graph&amp;tracks=[key:gene_model_track,Options:GeneOnly]&amp;mk=5395447:5395466|offset_8|00cc00,5395474:5395493|offset_35|444444,5395506:5395525|offset_67|444444,5395551:5395570|offset_112|444444&amp;v=5395246:5395770&amp;c=444444", "offset 8")</f>
        <v>offset 8</v>
      </c>
    </row>
    <row r="17569" customFormat="false" ht="12.8" hidden="false" customHeight="false" outlineLevel="0" collapsed="false">
      <c r="A17569" s="0" t="s">
        <v>12</v>
      </c>
      <c r="B17569" s="0" t="n">
        <v>5395473</v>
      </c>
      <c r="C17569" s="0" t="n">
        <v>5395493</v>
      </c>
      <c r="D17569" s="0" t="s">
        <v>58416</v>
      </c>
      <c r="E17569" s="0" t="s">
        <v>58417</v>
      </c>
      <c r="F17569" s="0" t="s">
        <v>15</v>
      </c>
      <c r="G17569" s="0" t="s">
        <v>16</v>
      </c>
      <c r="H17569" s="0" t="n">
        <v>35</v>
      </c>
      <c r="I17569" s="0" t="s">
        <v>58421</v>
      </c>
      <c r="J17569" s="0" t="s">
        <v>58422</v>
      </c>
      <c r="K17569" s="0" t="s">
        <v>58423</v>
      </c>
      <c r="L17569" s="0" t="str">
        <f aca="false">HYPERLINK("https://www.ncbi.nlm.nih.gov/nuccore/CP000058.1?report=graph&amp;tracks=[key:gene_model_track,Options:GeneOnly]&amp;mk=5395447:5395466|offset_8|444444,5395474:5395493|offset_35|00cc00,5395506:5395525|offset_67|444444,5395551:5395570|offset_112|444444&amp;v=5395246:5395770&amp;c=444444", "offset 35")</f>
        <v>offset 35</v>
      </c>
    </row>
    <row r="17570" customFormat="false" ht="12.8" hidden="false" customHeight="false" outlineLevel="0" collapsed="false">
      <c r="A17570" s="0" t="s">
        <v>12</v>
      </c>
      <c r="B17570" s="0" t="n">
        <v>5395505</v>
      </c>
      <c r="C17570" s="0" t="n">
        <v>5395525</v>
      </c>
      <c r="D17570" s="0" t="s">
        <v>58416</v>
      </c>
      <c r="E17570" s="0" t="s">
        <v>58417</v>
      </c>
      <c r="F17570" s="0" t="s">
        <v>15</v>
      </c>
      <c r="G17570" s="0" t="s">
        <v>20</v>
      </c>
      <c r="H17570" s="0" t="n">
        <v>67</v>
      </c>
      <c r="I17570" s="0" t="s">
        <v>58424</v>
      </c>
      <c r="J17570" s="0" t="s">
        <v>58425</v>
      </c>
      <c r="K17570" s="0" t="s">
        <v>58426</v>
      </c>
      <c r="L17570" s="0" t="str">
        <f aca="false">HYPERLINK("https://www.ncbi.nlm.nih.gov/nuccore/CP000058.1?report=graph&amp;tracks=[key:gene_model_track,Options:GeneOnly]&amp;mk=5395447:5395466|offset_8|444444,5395474:5395493|offset_35|444444,5395506:5395525|offset_67|00cc00,5395551:5395570|offset_112|444444&amp;v=5395246:5395770&amp;c=444444", "offset 67")</f>
        <v>offset 67</v>
      </c>
    </row>
    <row r="17571" customFormat="false" ht="12.8" hidden="false" customHeight="false" outlineLevel="0" collapsed="false">
      <c r="A17571" s="0" t="s">
        <v>12</v>
      </c>
      <c r="B17571" s="0" t="n">
        <v>5395550</v>
      </c>
      <c r="C17571" s="0" t="n">
        <v>5395570</v>
      </c>
      <c r="D17571" s="0" t="s">
        <v>58416</v>
      </c>
      <c r="E17571" s="0" t="s">
        <v>58417</v>
      </c>
      <c r="F17571" s="0" t="s">
        <v>15</v>
      </c>
      <c r="G17571" s="0" t="s">
        <v>20</v>
      </c>
      <c r="H17571" s="0" t="n">
        <v>112</v>
      </c>
      <c r="I17571" s="0" t="s">
        <v>58427</v>
      </c>
      <c r="J17571" s="0" t="s">
        <v>58428</v>
      </c>
      <c r="K17571" s="0" t="s">
        <v>58429</v>
      </c>
      <c r="L17571" s="0" t="str">
        <f aca="false">HYPERLINK("https://www.ncbi.nlm.nih.gov/nuccore/CP000058.1?report=graph&amp;tracks=[key:gene_model_track,Options:GeneOnly]&amp;mk=5395447:5395466|offset_8|444444,5395474:5395493|offset_35|444444,5395506:5395525|offset_67|444444,5395551:5395570|offset_112|00cc00&amp;v=5395246:5395770&amp;c=444444", "offset 112")</f>
        <v>offset 112</v>
      </c>
    </row>
    <row r="17572" customFormat="false" ht="12.8" hidden="false" customHeight="false" outlineLevel="0" collapsed="false">
      <c r="A17572" s="0" t="s">
        <v>12</v>
      </c>
      <c r="B17572" s="0" t="n">
        <v>5398517</v>
      </c>
      <c r="C17572" s="0" t="n">
        <v>5398537</v>
      </c>
      <c r="D17572" s="0" t="s">
        <v>58430</v>
      </c>
      <c r="E17572" s="0" t="s">
        <v>58431</v>
      </c>
      <c r="F17572" s="0" t="s">
        <v>15</v>
      </c>
      <c r="G17572" s="0" t="s">
        <v>32</v>
      </c>
      <c r="H17572" s="0" t="n">
        <v>7</v>
      </c>
      <c r="I17572" s="0" t="s">
        <v>58432</v>
      </c>
      <c r="J17572" s="0" t="s">
        <v>58433</v>
      </c>
      <c r="K17572" s="0" t="s">
        <v>58434</v>
      </c>
      <c r="L17572" s="0" t="str">
        <f aca="false">HYPERLINK("https://www.ncbi.nlm.nih.gov/nuccore/CP000058.1?report=graph&amp;tracks=[key:gene_model_track,Options:GeneOnly]&amp;mk=5398518:5398537|offset_7|00cc00,5398543:5398562|offset_32|444444,5398563:5398582|offset_52|444444,5398588:5398607|offset_77|444444&amp;v=5398317:5398807&amp;c=444444", "offset 7")</f>
        <v>offset 7</v>
      </c>
    </row>
    <row r="17573" customFormat="false" ht="12.8" hidden="false" customHeight="false" outlineLevel="0" collapsed="false">
      <c r="A17573" s="0" t="s">
        <v>12</v>
      </c>
      <c r="B17573" s="0" t="n">
        <v>5398542</v>
      </c>
      <c r="C17573" s="0" t="n">
        <v>5398562</v>
      </c>
      <c r="D17573" s="0" t="s">
        <v>58430</v>
      </c>
      <c r="E17573" s="0" t="s">
        <v>58431</v>
      </c>
      <c r="F17573" s="0" t="s">
        <v>15</v>
      </c>
      <c r="G17573" s="0" t="s">
        <v>36</v>
      </c>
      <c r="H17573" s="0" t="n">
        <v>32</v>
      </c>
      <c r="I17573" s="0" t="s">
        <v>58435</v>
      </c>
      <c r="J17573" s="0" t="s">
        <v>58436</v>
      </c>
      <c r="K17573" s="0" t="s">
        <v>58437</v>
      </c>
      <c r="L17573" s="0" t="str">
        <f aca="false">HYPERLINK("https://www.ncbi.nlm.nih.gov/nuccore/CP000058.1?report=graph&amp;tracks=[key:gene_model_track,Options:GeneOnly]&amp;mk=5398518:5398537|offset_7|444444,5398543:5398562|offset_32|00cc00,5398563:5398582|offset_52|444444,5398588:5398607|offset_77|444444&amp;v=5398317:5398807&amp;c=444444", "offset 32")</f>
        <v>offset 32</v>
      </c>
    </row>
    <row r="17574" customFormat="false" ht="12.8" hidden="false" customHeight="false" outlineLevel="0" collapsed="false">
      <c r="A17574" s="0" t="s">
        <v>12</v>
      </c>
      <c r="B17574" s="0" t="n">
        <v>5398562</v>
      </c>
      <c r="C17574" s="0" t="n">
        <v>5398582</v>
      </c>
      <c r="D17574" s="0" t="s">
        <v>58430</v>
      </c>
      <c r="E17574" s="0" t="s">
        <v>58431</v>
      </c>
      <c r="F17574" s="0" t="s">
        <v>15</v>
      </c>
      <c r="G17574" s="0" t="s">
        <v>16</v>
      </c>
      <c r="H17574" s="0" t="n">
        <v>52</v>
      </c>
      <c r="I17574" s="0" t="s">
        <v>58438</v>
      </c>
      <c r="J17574" s="0" t="s">
        <v>58439</v>
      </c>
      <c r="K17574" s="0" t="s">
        <v>58440</v>
      </c>
      <c r="L17574" s="0" t="str">
        <f aca="false">HYPERLINK("https://www.ncbi.nlm.nih.gov/nuccore/CP000058.1?report=graph&amp;tracks=[key:gene_model_track,Options:GeneOnly]&amp;mk=5398518:5398537|offset_7|444444,5398543:5398562|offset_32|444444,5398563:5398582|offset_52|00cc00,5398588:5398607|offset_77|444444&amp;v=5398317:5398807&amp;c=444444", "offset 52")</f>
        <v>offset 52</v>
      </c>
    </row>
    <row r="17575" customFormat="false" ht="12.8" hidden="false" customHeight="false" outlineLevel="0" collapsed="false">
      <c r="A17575" s="0" t="s">
        <v>12</v>
      </c>
      <c r="B17575" s="0" t="n">
        <v>5398587</v>
      </c>
      <c r="C17575" s="0" t="n">
        <v>5398607</v>
      </c>
      <c r="D17575" s="0" t="s">
        <v>58430</v>
      </c>
      <c r="E17575" s="0" t="s">
        <v>58431</v>
      </c>
      <c r="F17575" s="0" t="s">
        <v>15</v>
      </c>
      <c r="G17575" s="0" t="s">
        <v>20</v>
      </c>
      <c r="H17575" s="0" t="n">
        <v>77</v>
      </c>
      <c r="I17575" s="0" t="s">
        <v>58441</v>
      </c>
      <c r="J17575" s="0" t="s">
        <v>58442</v>
      </c>
      <c r="K17575" s="0" t="s">
        <v>58443</v>
      </c>
      <c r="L17575" s="0" t="str">
        <f aca="false">HYPERLINK("https://www.ncbi.nlm.nih.gov/nuccore/CP000058.1?report=graph&amp;tracks=[key:gene_model_track,Options:GeneOnly]&amp;mk=5398518:5398537|offset_7|444444,5398543:5398562|offset_32|444444,5398563:5398582|offset_52|444444,5398588:5398607|offset_77|00cc00&amp;v=5398317:5398807&amp;c=444444", "offset 77")</f>
        <v>offset 77</v>
      </c>
    </row>
    <row r="17576" customFormat="false" ht="12.8" hidden="false" customHeight="false" outlineLevel="0" collapsed="false">
      <c r="A17576" s="0" t="s">
        <v>12</v>
      </c>
      <c r="B17576" s="0" t="n">
        <v>5399401</v>
      </c>
      <c r="C17576" s="0" t="n">
        <v>5399421</v>
      </c>
      <c r="D17576" s="0" t="s">
        <v>58444</v>
      </c>
      <c r="E17576" s="0" t="s">
        <v>58445</v>
      </c>
      <c r="F17576" s="0" t="s">
        <v>15</v>
      </c>
      <c r="G17576" s="0" t="s">
        <v>16</v>
      </c>
      <c r="H17576" s="0" t="n">
        <v>8</v>
      </c>
      <c r="I17576" s="0" t="s">
        <v>58446</v>
      </c>
      <c r="J17576" s="0" t="s">
        <v>58447</v>
      </c>
      <c r="K17576" s="0" t="s">
        <v>58448</v>
      </c>
      <c r="L17576" s="0" t="str">
        <f aca="false">HYPERLINK("https://www.ncbi.nlm.nih.gov/nuccore/CP000058.1?report=graph&amp;tracks=[key:gene_model_track,Options:GeneOnly]&amp;mk=5399402:5399421|offset_8|00cc00,5399428:5399447|offset_34|444444,5399470:5399489|offset_76|444444,5399510:5399529|offset_116|444444&amp;v=5399201:5399729&amp;c=444444", "offset 8")</f>
        <v>offset 8</v>
      </c>
    </row>
    <row r="17577" customFormat="false" ht="12.8" hidden="false" customHeight="false" outlineLevel="0" collapsed="false">
      <c r="A17577" s="0" t="s">
        <v>12</v>
      </c>
      <c r="B17577" s="0" t="n">
        <v>5399427</v>
      </c>
      <c r="C17577" s="0" t="n">
        <v>5399447</v>
      </c>
      <c r="D17577" s="0" t="s">
        <v>58444</v>
      </c>
      <c r="E17577" s="0" t="s">
        <v>58445</v>
      </c>
      <c r="F17577" s="0" t="s">
        <v>15</v>
      </c>
      <c r="G17577" s="0" t="s">
        <v>16</v>
      </c>
      <c r="H17577" s="0" t="n">
        <v>34</v>
      </c>
      <c r="I17577" s="0" t="s">
        <v>58449</v>
      </c>
      <c r="J17577" s="0" t="s">
        <v>58450</v>
      </c>
      <c r="K17577" s="0" t="s">
        <v>58451</v>
      </c>
      <c r="L17577" s="0" t="str">
        <f aca="false">HYPERLINK("https://www.ncbi.nlm.nih.gov/nuccore/CP000058.1?report=graph&amp;tracks=[key:gene_model_track,Options:GeneOnly]&amp;mk=5399402:5399421|offset_8|444444,5399428:5399447|offset_34|00cc00,5399470:5399489|offset_76|444444,5399510:5399529|offset_116|444444&amp;v=5399201:5399729&amp;c=444444", "offset 34")</f>
        <v>offset 34</v>
      </c>
    </row>
    <row r="17578" customFormat="false" ht="12.8" hidden="false" customHeight="false" outlineLevel="0" collapsed="false">
      <c r="A17578" s="0" t="s">
        <v>12</v>
      </c>
      <c r="B17578" s="0" t="n">
        <v>5399469</v>
      </c>
      <c r="C17578" s="0" t="n">
        <v>5399489</v>
      </c>
      <c r="D17578" s="0" t="s">
        <v>58444</v>
      </c>
      <c r="E17578" s="0" t="s">
        <v>58445</v>
      </c>
      <c r="F17578" s="0" t="s">
        <v>15</v>
      </c>
      <c r="G17578" s="0" t="s">
        <v>36</v>
      </c>
      <c r="H17578" s="0" t="n">
        <v>76</v>
      </c>
      <c r="I17578" s="0" t="s">
        <v>58452</v>
      </c>
      <c r="J17578" s="0" t="s">
        <v>58453</v>
      </c>
      <c r="K17578" s="0" t="s">
        <v>58454</v>
      </c>
      <c r="L17578" s="0" t="str">
        <f aca="false">HYPERLINK("https://www.ncbi.nlm.nih.gov/nuccore/CP000058.1?report=graph&amp;tracks=[key:gene_model_track,Options:GeneOnly]&amp;mk=5399402:5399421|offset_8|444444,5399428:5399447|offset_34|444444,5399470:5399489|offset_76|00cc00,5399510:5399529|offset_116|444444&amp;v=5399201:5399729&amp;c=444444", "offset 76")</f>
        <v>offset 76</v>
      </c>
    </row>
    <row r="17579" customFormat="false" ht="12.8" hidden="false" customHeight="false" outlineLevel="0" collapsed="false">
      <c r="A17579" s="0" t="s">
        <v>12</v>
      </c>
      <c r="B17579" s="0" t="n">
        <v>5399509</v>
      </c>
      <c r="C17579" s="0" t="n">
        <v>5399529</v>
      </c>
      <c r="D17579" s="0" t="s">
        <v>58444</v>
      </c>
      <c r="E17579" s="0" t="s">
        <v>58445</v>
      </c>
      <c r="F17579" s="0" t="s">
        <v>15</v>
      </c>
      <c r="G17579" s="0" t="s">
        <v>32</v>
      </c>
      <c r="H17579" s="0" t="n">
        <v>116</v>
      </c>
      <c r="I17579" s="0" t="s">
        <v>58455</v>
      </c>
      <c r="J17579" s="0" t="s">
        <v>58456</v>
      </c>
      <c r="K17579" s="0" t="s">
        <v>58457</v>
      </c>
      <c r="L17579" s="0" t="str">
        <f aca="false">HYPERLINK("https://www.ncbi.nlm.nih.gov/nuccore/CP000058.1?report=graph&amp;tracks=[key:gene_model_track,Options:GeneOnly]&amp;mk=5399402:5399421|offset_8|444444,5399428:5399447|offset_34|444444,5399470:5399489|offset_76|444444,5399510:5399529|offset_116|00cc00&amp;v=5399201:5399729&amp;c=444444", "offset 116")</f>
        <v>offset 116</v>
      </c>
    </row>
    <row r="17580" customFormat="false" ht="12.8" hidden="false" customHeight="false" outlineLevel="0" collapsed="false">
      <c r="A17580" s="0" t="s">
        <v>12</v>
      </c>
      <c r="B17580" s="0" t="n">
        <v>5400362</v>
      </c>
      <c r="C17580" s="0" t="n">
        <v>5400382</v>
      </c>
      <c r="D17580" s="0" t="s">
        <v>58458</v>
      </c>
      <c r="E17580" s="0" t="s">
        <v>58459</v>
      </c>
      <c r="F17580" s="0" t="s">
        <v>15</v>
      </c>
      <c r="G17580" s="0" t="s">
        <v>36</v>
      </c>
      <c r="H17580" s="0" t="n">
        <v>62</v>
      </c>
      <c r="I17580" s="0" t="s">
        <v>58460</v>
      </c>
      <c r="J17580" s="0" t="s">
        <v>58461</v>
      </c>
      <c r="K17580" s="0" t="s">
        <v>58462</v>
      </c>
      <c r="L17580" s="0" t="str">
        <f aca="false">HYPERLINK("https://www.ncbi.nlm.nih.gov/nuccore/CP000058.1?report=graph&amp;tracks=[key:gene_model_track,Options:GeneOnly]&amp;mk=5400363:5400382|offset_62|00cc00,5400384:5400403|offset_83|444444,5400417:5400436|offset_116|444444,5400453:5400472|offset_152|444444&amp;v=5400162:5400672&amp;c=444444", "offset 62")</f>
        <v>offset 62</v>
      </c>
    </row>
    <row r="17581" customFormat="false" ht="12.8" hidden="false" customHeight="false" outlineLevel="0" collapsed="false">
      <c r="A17581" s="0" t="s">
        <v>12</v>
      </c>
      <c r="B17581" s="0" t="n">
        <v>5400383</v>
      </c>
      <c r="C17581" s="0" t="n">
        <v>5400403</v>
      </c>
      <c r="D17581" s="0" t="s">
        <v>58458</v>
      </c>
      <c r="E17581" s="0" t="s">
        <v>58459</v>
      </c>
      <c r="F17581" s="0" t="s">
        <v>15</v>
      </c>
      <c r="G17581" s="0" t="s">
        <v>36</v>
      </c>
      <c r="H17581" s="0" t="n">
        <v>83</v>
      </c>
      <c r="I17581" s="0" t="s">
        <v>58463</v>
      </c>
      <c r="J17581" s="0" t="s">
        <v>58464</v>
      </c>
      <c r="K17581" s="0" t="s">
        <v>58465</v>
      </c>
      <c r="L17581" s="0" t="str">
        <f aca="false">HYPERLINK("https://www.ncbi.nlm.nih.gov/nuccore/CP000058.1?report=graph&amp;tracks=[key:gene_model_track,Options:GeneOnly]&amp;mk=5400363:5400382|offset_62|444444,5400384:5400403|offset_83|00cc00,5400417:5400436|offset_116|444444,5400453:5400472|offset_152|444444&amp;v=5400162:5400672&amp;c=444444", "offset 83")</f>
        <v>offset 83</v>
      </c>
    </row>
    <row r="17582" customFormat="false" ht="12.8" hidden="false" customHeight="false" outlineLevel="0" collapsed="false">
      <c r="A17582" s="0" t="s">
        <v>12</v>
      </c>
      <c r="B17582" s="0" t="n">
        <v>5400416</v>
      </c>
      <c r="C17582" s="0" t="n">
        <v>5400436</v>
      </c>
      <c r="D17582" s="0" t="s">
        <v>58458</v>
      </c>
      <c r="E17582" s="0" t="s">
        <v>58459</v>
      </c>
      <c r="F17582" s="0" t="s">
        <v>15</v>
      </c>
      <c r="G17582" s="0" t="s">
        <v>20</v>
      </c>
      <c r="H17582" s="0" t="n">
        <v>116</v>
      </c>
      <c r="I17582" s="0" t="s">
        <v>58466</v>
      </c>
      <c r="J17582" s="0" t="s">
        <v>58467</v>
      </c>
      <c r="K17582" s="0" t="s">
        <v>58468</v>
      </c>
      <c r="L17582" s="0" t="str">
        <f aca="false">HYPERLINK("https://www.ncbi.nlm.nih.gov/nuccore/CP000058.1?report=graph&amp;tracks=[key:gene_model_track,Options:GeneOnly]&amp;mk=5400363:5400382|offset_62|444444,5400384:5400403|offset_83|444444,5400417:5400436|offset_116|00cc00,5400453:5400472|offset_152|444444&amp;v=5400162:5400672&amp;c=444444", "offset 116")</f>
        <v>offset 116</v>
      </c>
    </row>
    <row r="17583" customFormat="false" ht="12.8" hidden="false" customHeight="false" outlineLevel="0" collapsed="false">
      <c r="A17583" s="0" t="s">
        <v>12</v>
      </c>
      <c r="B17583" s="0" t="n">
        <v>5400452</v>
      </c>
      <c r="C17583" s="0" t="n">
        <v>5400472</v>
      </c>
      <c r="D17583" s="0" t="s">
        <v>58458</v>
      </c>
      <c r="E17583" s="0" t="s">
        <v>58459</v>
      </c>
      <c r="F17583" s="0" t="s">
        <v>15</v>
      </c>
      <c r="G17583" s="0" t="s">
        <v>32</v>
      </c>
      <c r="H17583" s="0" t="n">
        <v>152</v>
      </c>
      <c r="I17583" s="0" t="s">
        <v>58469</v>
      </c>
      <c r="J17583" s="0" t="s">
        <v>58470</v>
      </c>
      <c r="K17583" s="0" t="s">
        <v>58471</v>
      </c>
      <c r="L17583" s="0" t="str">
        <f aca="false">HYPERLINK("https://www.ncbi.nlm.nih.gov/nuccore/CP000058.1?report=graph&amp;tracks=[key:gene_model_track,Options:GeneOnly]&amp;mk=5400363:5400382|offset_62|444444,5400384:5400403|offset_83|444444,5400417:5400436|offset_116|444444,5400453:5400472|offset_152|00cc00&amp;v=5400162:5400672&amp;c=444444", "offset 152")</f>
        <v>offset 152</v>
      </c>
    </row>
    <row r="17584" customFormat="false" ht="12.8" hidden="false" customHeight="false" outlineLevel="0" collapsed="false">
      <c r="A17584" s="0" t="s">
        <v>12</v>
      </c>
      <c r="B17584" s="0" t="n">
        <v>5403818</v>
      </c>
      <c r="C17584" s="0" t="n">
        <v>5403838</v>
      </c>
      <c r="D17584" s="0" t="s">
        <v>58472</v>
      </c>
      <c r="E17584" s="0" t="s">
        <v>75</v>
      </c>
      <c r="F17584" s="0" t="s">
        <v>15</v>
      </c>
      <c r="G17584" s="0" t="s">
        <v>36</v>
      </c>
      <c r="H17584" s="0" t="n">
        <v>14</v>
      </c>
      <c r="I17584" s="0" t="s">
        <v>58473</v>
      </c>
      <c r="J17584" s="0" t="s">
        <v>58474</v>
      </c>
      <c r="K17584" s="0" t="s">
        <v>58475</v>
      </c>
      <c r="L17584" s="0" t="str">
        <f aca="false">HYPERLINK("https://www.ncbi.nlm.nih.gov/nuccore/CP000058.1?report=graph&amp;tracks=[key:gene_model_track,Options:GeneOnly]&amp;mk=5403819:5403838|offset_14|00cc00,5403863:5403882|offset_58|444444,5403889:5403908|offset_84|444444,5403910:5403929|offset_105|444444&amp;v=5403618:5404129&amp;c=444444", "offset 14")</f>
        <v>offset 14</v>
      </c>
    </row>
    <row r="17585" customFormat="false" ht="12.8" hidden="false" customHeight="false" outlineLevel="0" collapsed="false">
      <c r="A17585" s="0" t="s">
        <v>12</v>
      </c>
      <c r="B17585" s="0" t="n">
        <v>5403862</v>
      </c>
      <c r="C17585" s="0" t="n">
        <v>5403882</v>
      </c>
      <c r="D17585" s="0" t="s">
        <v>58472</v>
      </c>
      <c r="E17585" s="0" t="s">
        <v>75</v>
      </c>
      <c r="F17585" s="0" t="s">
        <v>15</v>
      </c>
      <c r="G17585" s="0" t="s">
        <v>20</v>
      </c>
      <c r="H17585" s="0" t="n">
        <v>58</v>
      </c>
      <c r="I17585" s="0" t="s">
        <v>58476</v>
      </c>
      <c r="J17585" s="0" t="s">
        <v>58477</v>
      </c>
      <c r="K17585" s="0" t="s">
        <v>58478</v>
      </c>
      <c r="L17585" s="0" t="str">
        <f aca="false">HYPERLINK("https://www.ncbi.nlm.nih.gov/nuccore/CP000058.1?report=graph&amp;tracks=[key:gene_model_track,Options:GeneOnly]&amp;mk=5403819:5403838|offset_14|444444,5403863:5403882|offset_58|00cc00,5403889:5403908|offset_84|444444,5403910:5403929|offset_105|444444&amp;v=5403618:5404129&amp;c=444444", "offset 58")</f>
        <v>offset 58</v>
      </c>
    </row>
    <row r="17586" customFormat="false" ht="12.8" hidden="false" customHeight="false" outlineLevel="0" collapsed="false">
      <c r="A17586" s="0" t="s">
        <v>12</v>
      </c>
      <c r="B17586" s="0" t="n">
        <v>5403888</v>
      </c>
      <c r="C17586" s="0" t="n">
        <v>5403908</v>
      </c>
      <c r="D17586" s="0" t="s">
        <v>58472</v>
      </c>
      <c r="E17586" s="0" t="s">
        <v>75</v>
      </c>
      <c r="F17586" s="0" t="s">
        <v>15</v>
      </c>
      <c r="G17586" s="0" t="s">
        <v>20</v>
      </c>
      <c r="H17586" s="0" t="n">
        <v>84</v>
      </c>
      <c r="I17586" s="0" t="s">
        <v>58479</v>
      </c>
      <c r="J17586" s="0" t="s">
        <v>58480</v>
      </c>
      <c r="K17586" s="0" t="s">
        <v>58481</v>
      </c>
      <c r="L17586" s="0" t="str">
        <f aca="false">HYPERLINK("https://www.ncbi.nlm.nih.gov/nuccore/CP000058.1?report=graph&amp;tracks=[key:gene_model_track,Options:GeneOnly]&amp;mk=5403819:5403838|offset_14|444444,5403863:5403882|offset_58|444444,5403889:5403908|offset_84|00cc00,5403910:5403929|offset_105|444444&amp;v=5403618:5404129&amp;c=444444", "offset 84")</f>
        <v>offset 84</v>
      </c>
    </row>
    <row r="17587" customFormat="false" ht="12.8" hidden="false" customHeight="false" outlineLevel="0" collapsed="false">
      <c r="A17587" s="0" t="s">
        <v>12</v>
      </c>
      <c r="B17587" s="0" t="n">
        <v>5403909</v>
      </c>
      <c r="C17587" s="0" t="n">
        <v>5403929</v>
      </c>
      <c r="D17587" s="0" t="s">
        <v>58472</v>
      </c>
      <c r="E17587" s="0" t="s">
        <v>75</v>
      </c>
      <c r="F17587" s="0" t="s">
        <v>15</v>
      </c>
      <c r="G17587" s="0" t="s">
        <v>16</v>
      </c>
      <c r="H17587" s="0" t="n">
        <v>105</v>
      </c>
      <c r="I17587" s="0" t="s">
        <v>58482</v>
      </c>
      <c r="J17587" s="0" t="s">
        <v>58483</v>
      </c>
      <c r="K17587" s="0" t="s">
        <v>58484</v>
      </c>
      <c r="L17587" s="0" t="str">
        <f aca="false">HYPERLINK("https://www.ncbi.nlm.nih.gov/nuccore/CP000058.1?report=graph&amp;tracks=[key:gene_model_track,Options:GeneOnly]&amp;mk=5403819:5403838|offset_14|444444,5403863:5403882|offset_58|444444,5403889:5403908|offset_84|444444,5403910:5403929|offset_105|00cc00&amp;v=5403618:5404129&amp;c=444444", "offset 105")</f>
        <v>offset 105</v>
      </c>
    </row>
    <row r="17588" customFormat="false" ht="12.8" hidden="false" customHeight="false" outlineLevel="0" collapsed="false">
      <c r="A17588" s="0" t="s">
        <v>12</v>
      </c>
      <c r="B17588" s="0" t="n">
        <v>5405382</v>
      </c>
      <c r="C17588" s="0" t="n">
        <v>5405402</v>
      </c>
      <c r="D17588" s="0" t="s">
        <v>58485</v>
      </c>
      <c r="E17588" s="0" t="s">
        <v>75</v>
      </c>
      <c r="F17588" s="0" t="s">
        <v>90</v>
      </c>
      <c r="G17588" s="0" t="s">
        <v>32</v>
      </c>
      <c r="H17588" s="0" t="n">
        <v>1</v>
      </c>
      <c r="I17588" s="0" t="s">
        <v>58486</v>
      </c>
      <c r="J17588" s="0" t="s">
        <v>58487</v>
      </c>
      <c r="K17588" s="0" t="s">
        <v>58488</v>
      </c>
      <c r="L17588" s="0" t="str">
        <f aca="false">HYPERLINK("https://www.ncbi.nlm.nih.gov/nuccore/CP000058.1?report=graph&amp;tracks=[key:gene_model_track,Options:GeneOnly]&amp;mk=5405383:5405402|offset_1|00cc00,5405312:5405331|offset_72|444444,5405271:5405290|offset_113|444444,5405245:5405264|offset_139|444444&amp;v=5405182:5405464&amp;c=444444", "offset 1")</f>
        <v>offset 1</v>
      </c>
    </row>
    <row r="17589" customFormat="false" ht="12.8" hidden="false" customHeight="false" outlineLevel="0" collapsed="false">
      <c r="A17589" s="0" t="s">
        <v>12</v>
      </c>
      <c r="B17589" s="0" t="n">
        <v>5405311</v>
      </c>
      <c r="C17589" s="0" t="n">
        <v>5405331</v>
      </c>
      <c r="D17589" s="0" t="s">
        <v>58485</v>
      </c>
      <c r="E17589" s="0" t="s">
        <v>75</v>
      </c>
      <c r="F17589" s="0" t="s">
        <v>90</v>
      </c>
      <c r="G17589" s="0" t="s">
        <v>16</v>
      </c>
      <c r="H17589" s="0" t="n">
        <v>72</v>
      </c>
      <c r="I17589" s="0" t="s">
        <v>58489</v>
      </c>
      <c r="J17589" s="0" t="s">
        <v>58490</v>
      </c>
      <c r="K17589" s="0" t="s">
        <v>58491</v>
      </c>
      <c r="L17589" s="0" t="str">
        <f aca="false">HYPERLINK("https://www.ncbi.nlm.nih.gov/nuccore/CP000058.1?report=graph&amp;tracks=[key:gene_model_track,Options:GeneOnly]&amp;mk=5405383:5405402|offset_1|444444,5405312:5405331|offset_72|00cc00,5405271:5405290|offset_113|444444,5405245:5405264|offset_139|444444&amp;v=5405182:5405464&amp;c=444444", "offset 72")</f>
        <v>offset 72</v>
      </c>
    </row>
    <row r="17590" customFormat="false" ht="12.8" hidden="false" customHeight="false" outlineLevel="0" collapsed="false">
      <c r="A17590" s="0" t="s">
        <v>12</v>
      </c>
      <c r="B17590" s="0" t="n">
        <v>5405270</v>
      </c>
      <c r="C17590" s="0" t="n">
        <v>5405290</v>
      </c>
      <c r="D17590" s="0" t="s">
        <v>58485</v>
      </c>
      <c r="E17590" s="0" t="s">
        <v>75</v>
      </c>
      <c r="F17590" s="0" t="s">
        <v>90</v>
      </c>
      <c r="G17590" s="0" t="s">
        <v>16</v>
      </c>
      <c r="H17590" s="0" t="n">
        <v>113</v>
      </c>
      <c r="I17590" s="0" t="s">
        <v>58492</v>
      </c>
      <c r="J17590" s="0" t="s">
        <v>58493</v>
      </c>
      <c r="K17590" s="0" t="s">
        <v>58494</v>
      </c>
      <c r="L17590" s="0" t="str">
        <f aca="false">HYPERLINK("https://www.ncbi.nlm.nih.gov/nuccore/CP000058.1?report=graph&amp;tracks=[key:gene_model_track,Options:GeneOnly]&amp;mk=5405383:5405402|offset_1|444444,5405312:5405331|offset_72|444444,5405271:5405290|offset_113|00cc00,5405245:5405264|offset_139|444444&amp;v=5405182:5405464&amp;c=444444", "offset 113")</f>
        <v>offset 113</v>
      </c>
    </row>
    <row r="17591" customFormat="false" ht="12.8" hidden="false" customHeight="false" outlineLevel="0" collapsed="false">
      <c r="A17591" s="0" t="s">
        <v>12</v>
      </c>
      <c r="B17591" s="0" t="n">
        <v>5405244</v>
      </c>
      <c r="C17591" s="0" t="n">
        <v>5405264</v>
      </c>
      <c r="D17591" s="0" t="s">
        <v>58485</v>
      </c>
      <c r="E17591" s="0" t="s">
        <v>75</v>
      </c>
      <c r="F17591" s="0" t="s">
        <v>90</v>
      </c>
      <c r="G17591" s="0" t="s">
        <v>16</v>
      </c>
      <c r="H17591" s="0" t="n">
        <v>139</v>
      </c>
      <c r="I17591" s="0" t="s">
        <v>58495</v>
      </c>
      <c r="J17591" s="0" t="s">
        <v>58496</v>
      </c>
      <c r="K17591" s="0" t="s">
        <v>58497</v>
      </c>
      <c r="L17591" s="0" t="str">
        <f aca="false">HYPERLINK("https://www.ncbi.nlm.nih.gov/nuccore/CP000058.1?report=graph&amp;tracks=[key:gene_model_track,Options:GeneOnly]&amp;mk=5405383:5405402|offset_1|444444,5405312:5405331|offset_72|444444,5405271:5405290|offset_113|444444,5405245:5405264|offset_139|00cc00&amp;v=5405182:5405464&amp;c=444444", "offset 139")</f>
        <v>offset 139</v>
      </c>
    </row>
    <row r="17592" customFormat="false" ht="12.8" hidden="false" customHeight="false" outlineLevel="0" collapsed="false">
      <c r="A17592" s="0" t="s">
        <v>12</v>
      </c>
      <c r="B17592" s="0" t="n">
        <v>5405605</v>
      </c>
      <c r="C17592" s="0" t="n">
        <v>5405625</v>
      </c>
      <c r="D17592" s="0" t="s">
        <v>58498</v>
      </c>
      <c r="E17592" s="0" t="s">
        <v>75</v>
      </c>
      <c r="F17592" s="0" t="s">
        <v>15</v>
      </c>
      <c r="G17592" s="0" t="s">
        <v>16</v>
      </c>
      <c r="H17592" s="0" t="n">
        <v>9</v>
      </c>
      <c r="I17592" s="0" t="s">
        <v>58499</v>
      </c>
      <c r="J17592" s="0" t="s">
        <v>58500</v>
      </c>
      <c r="K17592" s="0" t="s">
        <v>58501</v>
      </c>
      <c r="L17592" s="0" t="str">
        <f aca="false">HYPERLINK("https://www.ncbi.nlm.nih.gov/nuccore/CP000058.1?report=graph&amp;tracks=[key:gene_model_track,Options:GeneOnly]&amp;mk=5405606:5405625|offset_9|00cc00,5405634:5405653|offset_37|444444,5405657:5405676|offset_60|444444,5405704:5405723|offset_107|444444&amp;v=5405405:5405923&amp;c=444444", "offset 9")</f>
        <v>offset 9</v>
      </c>
    </row>
    <row r="17593" customFormat="false" ht="12.8" hidden="false" customHeight="false" outlineLevel="0" collapsed="false">
      <c r="A17593" s="0" t="s">
        <v>12</v>
      </c>
      <c r="B17593" s="0" t="n">
        <v>5405633</v>
      </c>
      <c r="C17593" s="0" t="n">
        <v>5405653</v>
      </c>
      <c r="D17593" s="0" t="s">
        <v>58498</v>
      </c>
      <c r="E17593" s="0" t="s">
        <v>75</v>
      </c>
      <c r="F17593" s="0" t="s">
        <v>15</v>
      </c>
      <c r="G17593" s="0" t="s">
        <v>36</v>
      </c>
      <c r="H17593" s="0" t="n">
        <v>37</v>
      </c>
      <c r="I17593" s="0" t="s">
        <v>58502</v>
      </c>
      <c r="J17593" s="0" t="s">
        <v>58503</v>
      </c>
      <c r="K17593" s="0" t="s">
        <v>58504</v>
      </c>
      <c r="L17593" s="0" t="str">
        <f aca="false">HYPERLINK("https://www.ncbi.nlm.nih.gov/nuccore/CP000058.1?report=graph&amp;tracks=[key:gene_model_track,Options:GeneOnly]&amp;mk=5405606:5405625|offset_9|444444,5405634:5405653|offset_37|00cc00,5405657:5405676|offset_60|444444,5405704:5405723|offset_107|444444&amp;v=5405405:5405923&amp;c=444444", "offset 37")</f>
        <v>offset 37</v>
      </c>
    </row>
    <row r="17594" customFormat="false" ht="12.8" hidden="false" customHeight="false" outlineLevel="0" collapsed="false">
      <c r="A17594" s="0" t="s">
        <v>12</v>
      </c>
      <c r="B17594" s="0" t="n">
        <v>5405656</v>
      </c>
      <c r="C17594" s="0" t="n">
        <v>5405676</v>
      </c>
      <c r="D17594" s="0" t="s">
        <v>58498</v>
      </c>
      <c r="E17594" s="0" t="s">
        <v>75</v>
      </c>
      <c r="F17594" s="0" t="s">
        <v>15</v>
      </c>
      <c r="G17594" s="0" t="s">
        <v>16</v>
      </c>
      <c r="H17594" s="0" t="n">
        <v>60</v>
      </c>
      <c r="I17594" s="0" t="s">
        <v>58505</v>
      </c>
      <c r="J17594" s="0" t="s">
        <v>58506</v>
      </c>
      <c r="K17594" s="0" t="s">
        <v>58507</v>
      </c>
      <c r="L17594" s="0" t="str">
        <f aca="false">HYPERLINK("https://www.ncbi.nlm.nih.gov/nuccore/CP000058.1?report=graph&amp;tracks=[key:gene_model_track,Options:GeneOnly]&amp;mk=5405606:5405625|offset_9|444444,5405634:5405653|offset_37|444444,5405657:5405676|offset_60|00cc00,5405704:5405723|offset_107|444444&amp;v=5405405:5405923&amp;c=444444", "offset 60")</f>
        <v>offset 60</v>
      </c>
    </row>
    <row r="17595" customFormat="false" ht="12.8" hidden="false" customHeight="false" outlineLevel="0" collapsed="false">
      <c r="A17595" s="0" t="s">
        <v>12</v>
      </c>
      <c r="B17595" s="0" t="n">
        <v>5405703</v>
      </c>
      <c r="C17595" s="0" t="n">
        <v>5405723</v>
      </c>
      <c r="D17595" s="0" t="s">
        <v>58498</v>
      </c>
      <c r="E17595" s="0" t="s">
        <v>75</v>
      </c>
      <c r="F17595" s="0" t="s">
        <v>15</v>
      </c>
      <c r="G17595" s="0" t="s">
        <v>32</v>
      </c>
      <c r="H17595" s="0" t="n">
        <v>107</v>
      </c>
      <c r="I17595" s="0" t="s">
        <v>58508</v>
      </c>
      <c r="J17595" s="0" t="s">
        <v>58509</v>
      </c>
      <c r="K17595" s="0" t="s">
        <v>58510</v>
      </c>
      <c r="L17595" s="0" t="str">
        <f aca="false">HYPERLINK("https://www.ncbi.nlm.nih.gov/nuccore/CP000058.1?report=graph&amp;tracks=[key:gene_model_track,Options:GeneOnly]&amp;mk=5405606:5405625|offset_9|444444,5405634:5405653|offset_37|444444,5405657:5405676|offset_60|444444,5405704:5405723|offset_107|00cc00&amp;v=5405405:5405923&amp;c=444444", "offset 107")</f>
        <v>offset 107</v>
      </c>
    </row>
    <row r="17596" customFormat="false" ht="12.8" hidden="false" customHeight="false" outlineLevel="0" collapsed="false">
      <c r="A17596" s="0" t="s">
        <v>12</v>
      </c>
      <c r="B17596" s="0" t="n">
        <v>5406784</v>
      </c>
      <c r="C17596" s="0" t="n">
        <v>5406804</v>
      </c>
      <c r="D17596" s="0" t="s">
        <v>58511</v>
      </c>
      <c r="E17596" s="0" t="s">
        <v>75</v>
      </c>
      <c r="F17596" s="0" t="s">
        <v>90</v>
      </c>
      <c r="G17596" s="0" t="s">
        <v>16</v>
      </c>
      <c r="H17596" s="0" t="n">
        <v>22</v>
      </c>
      <c r="I17596" s="0" t="s">
        <v>58512</v>
      </c>
      <c r="J17596" s="0" t="s">
        <v>58513</v>
      </c>
      <c r="K17596" s="0" t="s">
        <v>58514</v>
      </c>
      <c r="L17596" s="0" t="str">
        <f aca="false">HYPERLINK("https://www.ncbi.nlm.nih.gov/nuccore/CP000058.1?report=graph&amp;tracks=[key:gene_model_track,Options:GeneOnly]&amp;mk=5406785:5406804|offset_22|00cc00,5406740:5406759|offset_67|444444,5406710:5406729|offset_97|444444,5406688:5406707|offset_119|444444&amp;v=5406584:5406907&amp;c=444444", "offset 22")</f>
        <v>offset 22</v>
      </c>
    </row>
    <row r="17597" customFormat="false" ht="12.8" hidden="false" customHeight="false" outlineLevel="0" collapsed="false">
      <c r="A17597" s="0" t="s">
        <v>12</v>
      </c>
      <c r="B17597" s="0" t="n">
        <v>5406739</v>
      </c>
      <c r="C17597" s="0" t="n">
        <v>5406759</v>
      </c>
      <c r="D17597" s="0" t="s">
        <v>58511</v>
      </c>
      <c r="E17597" s="0" t="s">
        <v>75</v>
      </c>
      <c r="F17597" s="0" t="s">
        <v>90</v>
      </c>
      <c r="G17597" s="0" t="s">
        <v>16</v>
      </c>
      <c r="H17597" s="0" t="n">
        <v>67</v>
      </c>
      <c r="I17597" s="0" t="s">
        <v>58515</v>
      </c>
      <c r="J17597" s="0" t="s">
        <v>58516</v>
      </c>
      <c r="K17597" s="0" t="s">
        <v>58517</v>
      </c>
      <c r="L17597" s="0" t="str">
        <f aca="false">HYPERLINK("https://www.ncbi.nlm.nih.gov/nuccore/CP000058.1?report=graph&amp;tracks=[key:gene_model_track,Options:GeneOnly]&amp;mk=5406785:5406804|offset_22|444444,5406740:5406759|offset_67|00cc00,5406710:5406729|offset_97|444444,5406688:5406707|offset_119|444444&amp;v=5406584:5406907&amp;c=444444", "offset 67")</f>
        <v>offset 67</v>
      </c>
    </row>
    <row r="17598" customFormat="false" ht="12.8" hidden="false" customHeight="false" outlineLevel="0" collapsed="false">
      <c r="A17598" s="0" t="s">
        <v>12</v>
      </c>
      <c r="B17598" s="0" t="n">
        <v>5406709</v>
      </c>
      <c r="C17598" s="0" t="n">
        <v>5406729</v>
      </c>
      <c r="D17598" s="0" t="s">
        <v>58511</v>
      </c>
      <c r="E17598" s="0" t="s">
        <v>75</v>
      </c>
      <c r="F17598" s="0" t="s">
        <v>90</v>
      </c>
      <c r="G17598" s="0" t="s">
        <v>32</v>
      </c>
      <c r="H17598" s="0" t="n">
        <v>97</v>
      </c>
      <c r="I17598" s="0" t="s">
        <v>58518</v>
      </c>
      <c r="J17598" s="0" t="s">
        <v>58519</v>
      </c>
      <c r="K17598" s="0" t="s">
        <v>58520</v>
      </c>
      <c r="L17598" s="0" t="str">
        <f aca="false">HYPERLINK("https://www.ncbi.nlm.nih.gov/nuccore/CP000058.1?report=graph&amp;tracks=[key:gene_model_track,Options:GeneOnly]&amp;mk=5406785:5406804|offset_22|444444,5406740:5406759|offset_67|444444,5406710:5406729|offset_97|00cc00,5406688:5406707|offset_119|444444&amp;v=5406584:5406907&amp;c=444444", "offset 97")</f>
        <v>offset 97</v>
      </c>
    </row>
    <row r="17599" customFormat="false" ht="12.8" hidden="false" customHeight="false" outlineLevel="0" collapsed="false">
      <c r="A17599" s="0" t="s">
        <v>12</v>
      </c>
      <c r="B17599" s="0" t="n">
        <v>5406687</v>
      </c>
      <c r="C17599" s="0" t="n">
        <v>5406707</v>
      </c>
      <c r="D17599" s="0" t="s">
        <v>58511</v>
      </c>
      <c r="E17599" s="0" t="s">
        <v>75</v>
      </c>
      <c r="F17599" s="0" t="s">
        <v>90</v>
      </c>
      <c r="G17599" s="0" t="s">
        <v>36</v>
      </c>
      <c r="H17599" s="0" t="n">
        <v>119</v>
      </c>
      <c r="I17599" s="0" t="s">
        <v>58521</v>
      </c>
      <c r="J17599" s="0" t="s">
        <v>58522</v>
      </c>
      <c r="K17599" s="0" t="s">
        <v>58523</v>
      </c>
      <c r="L17599" s="0" t="str">
        <f aca="false">HYPERLINK("https://www.ncbi.nlm.nih.gov/nuccore/CP000058.1?report=graph&amp;tracks=[key:gene_model_track,Options:GeneOnly]&amp;mk=5406785:5406804|offset_22|444444,5406740:5406759|offset_67|444444,5406710:5406729|offset_97|444444,5406688:5406707|offset_119|00cc00&amp;v=5406584:5406907&amp;c=444444", "offset 119")</f>
        <v>offset 119</v>
      </c>
    </row>
    <row r="17600" customFormat="false" ht="12.8" hidden="false" customHeight="false" outlineLevel="0" collapsed="false">
      <c r="A17600" s="0" t="s">
        <v>12</v>
      </c>
      <c r="B17600" s="0" t="n">
        <v>5407063</v>
      </c>
      <c r="C17600" s="0" t="n">
        <v>5407083</v>
      </c>
      <c r="D17600" s="0" t="s">
        <v>58524</v>
      </c>
      <c r="E17600" s="0" t="s">
        <v>75</v>
      </c>
      <c r="F17600" s="0" t="s">
        <v>90</v>
      </c>
      <c r="G17600" s="0" t="s">
        <v>32</v>
      </c>
      <c r="H17600" s="0" t="n">
        <v>10</v>
      </c>
      <c r="I17600" s="0" t="s">
        <v>58525</v>
      </c>
      <c r="J17600" s="0" t="s">
        <v>58526</v>
      </c>
      <c r="K17600" s="0" t="s">
        <v>58527</v>
      </c>
      <c r="L17600" s="0" t="str">
        <f aca="false">HYPERLINK("https://www.ncbi.nlm.nih.gov/nuccore/CP000058.1?report=graph&amp;tracks=[key:gene_model_track,Options:GeneOnly]&amp;mk=5407064:5407083|offset_10|00cc00,5407040:5407059|offset_34|444444,5406989:5407008|offset_85|444444,5406929:5406948|offset_145|444444&amp;v=5406863:5407148&amp;c=444444", "offset 10")</f>
        <v>offset 10</v>
      </c>
    </row>
    <row r="17601" customFormat="false" ht="12.8" hidden="false" customHeight="false" outlineLevel="0" collapsed="false">
      <c r="A17601" s="0" t="s">
        <v>12</v>
      </c>
      <c r="B17601" s="0" t="n">
        <v>5407039</v>
      </c>
      <c r="C17601" s="0" t="n">
        <v>5407059</v>
      </c>
      <c r="D17601" s="0" t="s">
        <v>58524</v>
      </c>
      <c r="E17601" s="0" t="s">
        <v>75</v>
      </c>
      <c r="F17601" s="0" t="s">
        <v>90</v>
      </c>
      <c r="G17601" s="0" t="s">
        <v>20</v>
      </c>
      <c r="H17601" s="0" t="n">
        <v>34</v>
      </c>
      <c r="I17601" s="0" t="s">
        <v>58528</v>
      </c>
      <c r="J17601" s="0" t="s">
        <v>58529</v>
      </c>
      <c r="K17601" s="0" t="s">
        <v>58530</v>
      </c>
      <c r="L17601" s="0" t="str">
        <f aca="false">HYPERLINK("https://www.ncbi.nlm.nih.gov/nuccore/CP000058.1?report=graph&amp;tracks=[key:gene_model_track,Options:GeneOnly]&amp;mk=5407064:5407083|offset_10|444444,5407040:5407059|offset_34|00cc00,5406989:5407008|offset_85|444444,5406929:5406948|offset_145|444444&amp;v=5406863:5407148&amp;c=444444", "offset 34")</f>
        <v>offset 34</v>
      </c>
    </row>
    <row r="17602" customFormat="false" ht="12.8" hidden="false" customHeight="false" outlineLevel="0" collapsed="false">
      <c r="A17602" s="0" t="s">
        <v>12</v>
      </c>
      <c r="B17602" s="0" t="n">
        <v>5406988</v>
      </c>
      <c r="C17602" s="0" t="n">
        <v>5407008</v>
      </c>
      <c r="D17602" s="0" t="s">
        <v>58524</v>
      </c>
      <c r="E17602" s="0" t="s">
        <v>75</v>
      </c>
      <c r="F17602" s="0" t="s">
        <v>90</v>
      </c>
      <c r="G17602" s="0" t="s">
        <v>16</v>
      </c>
      <c r="H17602" s="0" t="n">
        <v>85</v>
      </c>
      <c r="I17602" s="0" t="s">
        <v>58531</v>
      </c>
      <c r="J17602" s="0" t="s">
        <v>58532</v>
      </c>
      <c r="K17602" s="0" t="s">
        <v>58533</v>
      </c>
      <c r="L17602" s="0" t="str">
        <f aca="false">HYPERLINK("https://www.ncbi.nlm.nih.gov/nuccore/CP000058.1?report=graph&amp;tracks=[key:gene_model_track,Options:GeneOnly]&amp;mk=5407064:5407083|offset_10|444444,5407040:5407059|offset_34|444444,5406989:5407008|offset_85|00cc00,5406929:5406948|offset_145|444444&amp;v=5406863:5407148&amp;c=444444", "offset 85")</f>
        <v>offset 85</v>
      </c>
    </row>
    <row r="17603" customFormat="false" ht="12.8" hidden="false" customHeight="false" outlineLevel="0" collapsed="false">
      <c r="A17603" s="0" t="s">
        <v>12</v>
      </c>
      <c r="B17603" s="0" t="n">
        <v>5406928</v>
      </c>
      <c r="C17603" s="0" t="n">
        <v>5406948</v>
      </c>
      <c r="D17603" s="0" t="s">
        <v>58524</v>
      </c>
      <c r="E17603" s="0" t="s">
        <v>75</v>
      </c>
      <c r="F17603" s="0" t="s">
        <v>90</v>
      </c>
      <c r="G17603" s="0" t="s">
        <v>36</v>
      </c>
      <c r="H17603" s="0" t="n">
        <v>145</v>
      </c>
      <c r="I17603" s="0" t="s">
        <v>58534</v>
      </c>
      <c r="J17603" s="0" t="s">
        <v>58535</v>
      </c>
      <c r="K17603" s="0" t="s">
        <v>58536</v>
      </c>
      <c r="L17603" s="0" t="str">
        <f aca="false">HYPERLINK("https://www.ncbi.nlm.nih.gov/nuccore/CP000058.1?report=graph&amp;tracks=[key:gene_model_track,Options:GeneOnly]&amp;mk=5407064:5407083|offset_10|444444,5407040:5407059|offset_34|444444,5406989:5407008|offset_85|444444,5406929:5406948|offset_145|00cc00&amp;v=5406863:5407148&amp;c=444444", "offset 145")</f>
        <v>offset 145</v>
      </c>
    </row>
    <row r="17604" customFormat="false" ht="12.8" hidden="false" customHeight="false" outlineLevel="0" collapsed="false">
      <c r="A17604" s="0" t="s">
        <v>12</v>
      </c>
      <c r="B17604" s="0" t="n">
        <v>5408202</v>
      </c>
      <c r="C17604" s="0" t="n">
        <v>5408222</v>
      </c>
      <c r="D17604" s="0" t="s">
        <v>58537</v>
      </c>
      <c r="E17604" s="0" t="s">
        <v>75</v>
      </c>
      <c r="F17604" s="0" t="s">
        <v>90</v>
      </c>
      <c r="G17604" s="0" t="s">
        <v>32</v>
      </c>
      <c r="H17604" s="0" t="n">
        <v>1</v>
      </c>
      <c r="I17604" s="0" t="s">
        <v>58538</v>
      </c>
      <c r="J17604" s="0" t="s">
        <v>58539</v>
      </c>
      <c r="K17604" s="0" t="s">
        <v>58540</v>
      </c>
      <c r="L17604" s="0" t="str">
        <f aca="false">HYPERLINK("https://www.ncbi.nlm.nih.gov/nuccore/CP000058.1?report=graph&amp;tracks=[key:gene_model_track,Options:GeneOnly]&amp;mk=5408203:5408222|offset_1|00cc00,5408181:5408200|offset_23|444444,5408161:5408180|offset_43|444444,5408140:5408159|offset_64|444444&amp;v=5408002:5408359&amp;c=444444", "offset 1")</f>
        <v>offset 1</v>
      </c>
    </row>
    <row r="17605" customFormat="false" ht="12.8" hidden="false" customHeight="false" outlineLevel="0" collapsed="false">
      <c r="A17605" s="0" t="s">
        <v>12</v>
      </c>
      <c r="B17605" s="0" t="n">
        <v>5408180</v>
      </c>
      <c r="C17605" s="0" t="n">
        <v>5408200</v>
      </c>
      <c r="D17605" s="0" t="s">
        <v>58537</v>
      </c>
      <c r="E17605" s="0" t="s">
        <v>75</v>
      </c>
      <c r="F17605" s="0" t="s">
        <v>90</v>
      </c>
      <c r="G17605" s="0" t="s">
        <v>16</v>
      </c>
      <c r="H17605" s="0" t="n">
        <v>23</v>
      </c>
      <c r="I17605" s="0" t="s">
        <v>58541</v>
      </c>
      <c r="J17605" s="0" t="s">
        <v>58542</v>
      </c>
      <c r="K17605" s="0" t="s">
        <v>58543</v>
      </c>
      <c r="L17605" s="0" t="str">
        <f aca="false">HYPERLINK("https://www.ncbi.nlm.nih.gov/nuccore/CP000058.1?report=graph&amp;tracks=[key:gene_model_track,Options:GeneOnly]&amp;mk=5408203:5408222|offset_1|444444,5408181:5408200|offset_23|00cc00,5408161:5408180|offset_43|444444,5408140:5408159|offset_64|444444&amp;v=5408002:5408359&amp;c=444444", "offset 23")</f>
        <v>offset 23</v>
      </c>
    </row>
    <row r="17606" customFormat="false" ht="12.8" hidden="false" customHeight="false" outlineLevel="0" collapsed="false">
      <c r="A17606" s="0" t="s">
        <v>12</v>
      </c>
      <c r="B17606" s="0" t="n">
        <v>5408160</v>
      </c>
      <c r="C17606" s="0" t="n">
        <v>5408180</v>
      </c>
      <c r="D17606" s="0" t="s">
        <v>58537</v>
      </c>
      <c r="E17606" s="0" t="s">
        <v>75</v>
      </c>
      <c r="F17606" s="0" t="s">
        <v>90</v>
      </c>
      <c r="G17606" s="0" t="s">
        <v>20</v>
      </c>
      <c r="H17606" s="0" t="n">
        <v>43</v>
      </c>
      <c r="I17606" s="0" t="s">
        <v>58544</v>
      </c>
      <c r="J17606" s="0" t="s">
        <v>58545</v>
      </c>
      <c r="K17606" s="0" t="s">
        <v>58546</v>
      </c>
      <c r="L17606" s="0" t="str">
        <f aca="false">HYPERLINK("https://www.ncbi.nlm.nih.gov/nuccore/CP000058.1?report=graph&amp;tracks=[key:gene_model_track,Options:GeneOnly]&amp;mk=5408203:5408222|offset_1|444444,5408181:5408200|offset_23|444444,5408161:5408180|offset_43|00cc00,5408140:5408159|offset_64|444444&amp;v=5408002:5408359&amp;c=444444", "offset 43")</f>
        <v>offset 43</v>
      </c>
    </row>
    <row r="17607" customFormat="false" ht="12.8" hidden="false" customHeight="false" outlineLevel="0" collapsed="false">
      <c r="A17607" s="0" t="s">
        <v>12</v>
      </c>
      <c r="B17607" s="0" t="n">
        <v>5408139</v>
      </c>
      <c r="C17607" s="0" t="n">
        <v>5408159</v>
      </c>
      <c r="D17607" s="0" t="s">
        <v>58537</v>
      </c>
      <c r="E17607" s="0" t="s">
        <v>75</v>
      </c>
      <c r="F17607" s="0" t="s">
        <v>90</v>
      </c>
      <c r="G17607" s="0" t="s">
        <v>36</v>
      </c>
      <c r="H17607" s="0" t="n">
        <v>64</v>
      </c>
      <c r="I17607" s="0" t="s">
        <v>58547</v>
      </c>
      <c r="J17607" s="0" t="s">
        <v>58548</v>
      </c>
      <c r="K17607" s="0" t="s">
        <v>58549</v>
      </c>
      <c r="L17607" s="0" t="str">
        <f aca="false">HYPERLINK("https://www.ncbi.nlm.nih.gov/nuccore/CP000058.1?report=graph&amp;tracks=[key:gene_model_track,Options:GeneOnly]&amp;mk=5408203:5408222|offset_1|444444,5408181:5408200|offset_23|444444,5408161:5408180|offset_43|444444,5408140:5408159|offset_64|00cc00&amp;v=5408002:5408359&amp;c=444444", "offset 64")</f>
        <v>offset 64</v>
      </c>
    </row>
    <row r="17608" customFormat="false" ht="12.8" hidden="false" customHeight="false" outlineLevel="0" collapsed="false">
      <c r="A17608" s="0" t="s">
        <v>12</v>
      </c>
      <c r="B17608" s="0" t="n">
        <v>5409298</v>
      </c>
      <c r="C17608" s="0" t="n">
        <v>5409318</v>
      </c>
      <c r="D17608" s="0" t="s">
        <v>58550</v>
      </c>
      <c r="E17608" s="0" t="s">
        <v>75</v>
      </c>
      <c r="F17608" s="0" t="s">
        <v>90</v>
      </c>
      <c r="G17608" s="0" t="s">
        <v>32</v>
      </c>
      <c r="H17608" s="0" t="n">
        <v>10</v>
      </c>
      <c r="I17608" s="0" t="s">
        <v>58551</v>
      </c>
      <c r="J17608" s="0" t="s">
        <v>58552</v>
      </c>
      <c r="K17608" s="0" t="s">
        <v>58553</v>
      </c>
      <c r="L17608" s="0" t="str">
        <f aca="false">HYPERLINK("https://www.ncbi.nlm.nih.gov/nuccore/CP000058.1?report=graph&amp;tracks=[key:gene_model_track,Options:GeneOnly]&amp;mk=5409299:5409318|offset_10|00cc00,5409269:5409288|offset_40|444444,5409200:5409219|offset_109|444444,5409176:5409195|offset_133|444444&amp;v=5409098:5409395&amp;c=444444", "offset 10")</f>
        <v>offset 10</v>
      </c>
    </row>
    <row r="17609" customFormat="false" ht="12.8" hidden="false" customHeight="false" outlineLevel="0" collapsed="false">
      <c r="A17609" s="0" t="s">
        <v>12</v>
      </c>
      <c r="B17609" s="0" t="n">
        <v>5409268</v>
      </c>
      <c r="C17609" s="0" t="n">
        <v>5409288</v>
      </c>
      <c r="D17609" s="0" t="s">
        <v>58550</v>
      </c>
      <c r="E17609" s="0" t="s">
        <v>75</v>
      </c>
      <c r="F17609" s="0" t="s">
        <v>90</v>
      </c>
      <c r="G17609" s="0" t="s">
        <v>16</v>
      </c>
      <c r="H17609" s="0" t="n">
        <v>40</v>
      </c>
      <c r="I17609" s="0" t="s">
        <v>58554</v>
      </c>
      <c r="J17609" s="0" t="s">
        <v>58555</v>
      </c>
      <c r="K17609" s="0" t="s">
        <v>58556</v>
      </c>
      <c r="L17609" s="0" t="str">
        <f aca="false">HYPERLINK("https://www.ncbi.nlm.nih.gov/nuccore/CP000058.1?report=graph&amp;tracks=[key:gene_model_track,Options:GeneOnly]&amp;mk=5409299:5409318|offset_10|444444,5409269:5409288|offset_40|00cc00,5409200:5409219|offset_109|444444,5409176:5409195|offset_133|444444&amp;v=5409098:5409395&amp;c=444444", "offset 40")</f>
        <v>offset 40</v>
      </c>
    </row>
    <row r="17610" customFormat="false" ht="12.8" hidden="false" customHeight="false" outlineLevel="0" collapsed="false">
      <c r="A17610" s="0" t="s">
        <v>12</v>
      </c>
      <c r="B17610" s="0" t="n">
        <v>5409199</v>
      </c>
      <c r="C17610" s="0" t="n">
        <v>5409219</v>
      </c>
      <c r="D17610" s="0" t="s">
        <v>58550</v>
      </c>
      <c r="E17610" s="0" t="s">
        <v>75</v>
      </c>
      <c r="F17610" s="0" t="s">
        <v>90</v>
      </c>
      <c r="G17610" s="0" t="s">
        <v>16</v>
      </c>
      <c r="H17610" s="0" t="n">
        <v>109</v>
      </c>
      <c r="I17610" s="0" t="s">
        <v>58557</v>
      </c>
      <c r="J17610" s="0" t="s">
        <v>58558</v>
      </c>
      <c r="K17610" s="0" t="s">
        <v>58559</v>
      </c>
      <c r="L17610" s="0" t="str">
        <f aca="false">HYPERLINK("https://www.ncbi.nlm.nih.gov/nuccore/CP000058.1?report=graph&amp;tracks=[key:gene_model_track,Options:GeneOnly]&amp;mk=5409299:5409318|offset_10|444444,5409269:5409288|offset_40|444444,5409200:5409219|offset_109|00cc00,5409176:5409195|offset_133|444444&amp;v=5409098:5409395&amp;c=444444", "offset 109")</f>
        <v>offset 109</v>
      </c>
    </row>
    <row r="17611" customFormat="false" ht="12.8" hidden="false" customHeight="false" outlineLevel="0" collapsed="false">
      <c r="A17611" s="0" t="s">
        <v>12</v>
      </c>
      <c r="B17611" s="0" t="n">
        <v>5409175</v>
      </c>
      <c r="C17611" s="0" t="n">
        <v>5409195</v>
      </c>
      <c r="D17611" s="0" t="s">
        <v>58550</v>
      </c>
      <c r="E17611" s="0" t="s">
        <v>75</v>
      </c>
      <c r="F17611" s="0" t="s">
        <v>90</v>
      </c>
      <c r="G17611" s="0" t="s">
        <v>20</v>
      </c>
      <c r="H17611" s="0" t="n">
        <v>133</v>
      </c>
      <c r="I17611" s="0" t="s">
        <v>58560</v>
      </c>
      <c r="J17611" s="0" t="s">
        <v>58561</v>
      </c>
      <c r="K17611" s="0" t="s">
        <v>58562</v>
      </c>
      <c r="L17611" s="0" t="str">
        <f aca="false">HYPERLINK("https://www.ncbi.nlm.nih.gov/nuccore/CP000058.1?report=graph&amp;tracks=[key:gene_model_track,Options:GeneOnly]&amp;mk=5409299:5409318|offset_10|444444,5409269:5409288|offset_40|444444,5409200:5409219|offset_109|444444,5409176:5409195|offset_133|00cc00&amp;v=5409098:5409395&amp;c=444444", "offset 133")</f>
        <v>offset 133</v>
      </c>
    </row>
    <row r="17612" customFormat="false" ht="12.8" hidden="false" customHeight="false" outlineLevel="0" collapsed="false">
      <c r="A17612" s="0" t="s">
        <v>12</v>
      </c>
      <c r="B17612" s="0" t="n">
        <v>5409809</v>
      </c>
      <c r="C17612" s="0" t="n">
        <v>5409829</v>
      </c>
      <c r="D17612" s="0" t="s">
        <v>58563</v>
      </c>
      <c r="E17612" s="0" t="s">
        <v>75</v>
      </c>
      <c r="F17612" s="0" t="s">
        <v>90</v>
      </c>
      <c r="G17612" s="0" t="s">
        <v>36</v>
      </c>
      <c r="H17612" s="0" t="n">
        <v>14</v>
      </c>
      <c r="I17612" s="0" t="s">
        <v>58564</v>
      </c>
      <c r="J17612" s="0" t="s">
        <v>58565</v>
      </c>
      <c r="K17612" s="0" t="s">
        <v>58566</v>
      </c>
      <c r="L17612" s="0" t="str">
        <f aca="false">HYPERLINK("https://www.ncbi.nlm.nih.gov/nuccore/CP000058.1?report=graph&amp;tracks=[key:gene_model_track,Options:GeneOnly]&amp;mk=5409810:5409829|offset_14|00cc00,5409748:5409767|offset_76|444444,5409727:5409746|offset_97|444444,5409653:5409672|offset_171|444444&amp;v=5409609:5409872&amp;c=444444", "offset 14")</f>
        <v>offset 14</v>
      </c>
    </row>
    <row r="17613" customFormat="false" ht="12.8" hidden="false" customHeight="false" outlineLevel="0" collapsed="false">
      <c r="A17613" s="0" t="s">
        <v>12</v>
      </c>
      <c r="B17613" s="0" t="n">
        <v>5409747</v>
      </c>
      <c r="C17613" s="0" t="n">
        <v>5409767</v>
      </c>
      <c r="D17613" s="0" t="s">
        <v>58563</v>
      </c>
      <c r="E17613" s="0" t="s">
        <v>75</v>
      </c>
      <c r="F17613" s="0" t="s">
        <v>90</v>
      </c>
      <c r="G17613" s="0" t="s">
        <v>20</v>
      </c>
      <c r="H17613" s="0" t="n">
        <v>76</v>
      </c>
      <c r="I17613" s="0" t="s">
        <v>58567</v>
      </c>
      <c r="J17613" s="0" t="s">
        <v>58568</v>
      </c>
      <c r="K17613" s="0" t="s">
        <v>58569</v>
      </c>
      <c r="L17613" s="0" t="str">
        <f aca="false">HYPERLINK("https://www.ncbi.nlm.nih.gov/nuccore/CP000058.1?report=graph&amp;tracks=[key:gene_model_track,Options:GeneOnly]&amp;mk=5409810:5409829|offset_14|444444,5409748:5409767|offset_76|00cc00,5409727:5409746|offset_97|444444,5409653:5409672|offset_171|444444&amp;v=5409609:5409872&amp;c=444444", "offset 76")</f>
        <v>offset 76</v>
      </c>
    </row>
    <row r="17614" customFormat="false" ht="12.8" hidden="false" customHeight="false" outlineLevel="0" collapsed="false">
      <c r="A17614" s="0" t="s">
        <v>12</v>
      </c>
      <c r="B17614" s="0" t="n">
        <v>5409726</v>
      </c>
      <c r="C17614" s="0" t="n">
        <v>5409746</v>
      </c>
      <c r="D17614" s="0" t="s">
        <v>58563</v>
      </c>
      <c r="E17614" s="0" t="s">
        <v>75</v>
      </c>
      <c r="F17614" s="0" t="s">
        <v>90</v>
      </c>
      <c r="G17614" s="0" t="s">
        <v>20</v>
      </c>
      <c r="H17614" s="0" t="n">
        <v>97</v>
      </c>
      <c r="I17614" s="0" t="s">
        <v>58570</v>
      </c>
      <c r="J17614" s="0" t="s">
        <v>58571</v>
      </c>
      <c r="K17614" s="0" t="s">
        <v>58572</v>
      </c>
      <c r="L17614" s="0" t="str">
        <f aca="false">HYPERLINK("https://www.ncbi.nlm.nih.gov/nuccore/CP000058.1?report=graph&amp;tracks=[key:gene_model_track,Options:GeneOnly]&amp;mk=5409810:5409829|offset_14|444444,5409748:5409767|offset_76|444444,5409727:5409746|offset_97|00cc00,5409653:5409672|offset_171|444444&amp;v=5409609:5409872&amp;c=444444", "offset 97")</f>
        <v>offset 97</v>
      </c>
    </row>
    <row r="17615" customFormat="false" ht="12.8" hidden="false" customHeight="false" outlineLevel="0" collapsed="false">
      <c r="A17615" s="0" t="s">
        <v>12</v>
      </c>
      <c r="B17615" s="0" t="n">
        <v>5409652</v>
      </c>
      <c r="C17615" s="0" t="n">
        <v>5409672</v>
      </c>
      <c r="D17615" s="0" t="s">
        <v>58563</v>
      </c>
      <c r="E17615" s="0" t="s">
        <v>75</v>
      </c>
      <c r="F17615" s="0" t="s">
        <v>90</v>
      </c>
      <c r="G17615" s="0" t="s">
        <v>36</v>
      </c>
      <c r="H17615" s="0" t="n">
        <v>171</v>
      </c>
      <c r="I17615" s="0" t="s">
        <v>58573</v>
      </c>
      <c r="J17615" s="0" t="s">
        <v>58574</v>
      </c>
      <c r="K17615" s="0" t="s">
        <v>58575</v>
      </c>
      <c r="L17615" s="0" t="str">
        <f aca="false">HYPERLINK("https://www.ncbi.nlm.nih.gov/nuccore/CP000058.1?report=graph&amp;tracks=[key:gene_model_track,Options:GeneOnly]&amp;mk=5409810:5409829|offset_14|444444,5409748:5409767|offset_76|444444,5409727:5409746|offset_97|444444,5409653:5409672|offset_171|00cc00&amp;v=5409609:5409872&amp;c=444444", "offset 171")</f>
        <v>offset 171</v>
      </c>
    </row>
    <row r="17616" customFormat="false" ht="12.8" hidden="false" customHeight="false" outlineLevel="0" collapsed="false">
      <c r="A17616" s="0" t="s">
        <v>12</v>
      </c>
      <c r="B17616" s="0" t="n">
        <v>5411800</v>
      </c>
      <c r="C17616" s="0" t="n">
        <v>5411820</v>
      </c>
      <c r="D17616" s="0" t="s">
        <v>58576</v>
      </c>
      <c r="E17616" s="0" t="s">
        <v>58577</v>
      </c>
      <c r="F17616" s="0" t="s">
        <v>90</v>
      </c>
      <c r="G17616" s="0" t="s">
        <v>16</v>
      </c>
      <c r="H17616" s="0" t="n">
        <v>16</v>
      </c>
      <c r="I17616" s="0" t="s">
        <v>58578</v>
      </c>
      <c r="J17616" s="0" t="s">
        <v>58579</v>
      </c>
      <c r="K17616" s="0" t="s">
        <v>58580</v>
      </c>
      <c r="L17616" s="0" t="str">
        <f aca="false">HYPERLINK("https://www.ncbi.nlm.nih.gov/nuccore/CP000058.1?report=graph&amp;tracks=[key:gene_model_track,Options:GeneOnly]&amp;mk=5411801:5411820|offset_16|00cc00,5411774:5411793|offset_43|444444,5411747:5411766|offset_70|444444,5411702:5411721|offset_115|444444&amp;v=5411600:5411921&amp;c=444444", "offset 16")</f>
        <v>offset 16</v>
      </c>
    </row>
    <row r="17617" customFormat="false" ht="12.8" hidden="false" customHeight="false" outlineLevel="0" collapsed="false">
      <c r="A17617" s="0" t="s">
        <v>12</v>
      </c>
      <c r="B17617" s="0" t="n">
        <v>5411773</v>
      </c>
      <c r="C17617" s="0" t="n">
        <v>5411793</v>
      </c>
      <c r="D17617" s="0" t="s">
        <v>58576</v>
      </c>
      <c r="E17617" s="0" t="s">
        <v>58577</v>
      </c>
      <c r="F17617" s="0" t="s">
        <v>90</v>
      </c>
      <c r="G17617" s="0" t="s">
        <v>16</v>
      </c>
      <c r="H17617" s="0" t="n">
        <v>43</v>
      </c>
      <c r="I17617" s="0" t="s">
        <v>58581</v>
      </c>
      <c r="J17617" s="0" t="s">
        <v>58582</v>
      </c>
      <c r="K17617" s="0" t="s">
        <v>58583</v>
      </c>
      <c r="L17617" s="0" t="str">
        <f aca="false">HYPERLINK("https://www.ncbi.nlm.nih.gov/nuccore/CP000058.1?report=graph&amp;tracks=[key:gene_model_track,Options:GeneOnly]&amp;mk=5411801:5411820|offset_16|444444,5411774:5411793|offset_43|00cc00,5411747:5411766|offset_70|444444,5411702:5411721|offset_115|444444&amp;v=5411600:5411921&amp;c=444444", "offset 43")</f>
        <v>offset 43</v>
      </c>
    </row>
    <row r="17618" customFormat="false" ht="12.8" hidden="false" customHeight="false" outlineLevel="0" collapsed="false">
      <c r="A17618" s="0" t="s">
        <v>12</v>
      </c>
      <c r="B17618" s="0" t="n">
        <v>5411746</v>
      </c>
      <c r="C17618" s="0" t="n">
        <v>5411766</v>
      </c>
      <c r="D17618" s="0" t="s">
        <v>58576</v>
      </c>
      <c r="E17618" s="0" t="s">
        <v>58577</v>
      </c>
      <c r="F17618" s="0" t="s">
        <v>90</v>
      </c>
      <c r="G17618" s="0" t="s">
        <v>36</v>
      </c>
      <c r="H17618" s="0" t="n">
        <v>70</v>
      </c>
      <c r="I17618" s="0" t="s">
        <v>58584</v>
      </c>
      <c r="J17618" s="0" t="s">
        <v>58585</v>
      </c>
      <c r="K17618" s="0" t="s">
        <v>58586</v>
      </c>
      <c r="L17618" s="0" t="str">
        <f aca="false">HYPERLINK("https://www.ncbi.nlm.nih.gov/nuccore/CP000058.1?report=graph&amp;tracks=[key:gene_model_track,Options:GeneOnly]&amp;mk=5411801:5411820|offset_16|444444,5411774:5411793|offset_43|444444,5411747:5411766|offset_70|00cc00,5411702:5411721|offset_115|444444&amp;v=5411600:5411921&amp;c=444444", "offset 70")</f>
        <v>offset 70</v>
      </c>
    </row>
    <row r="17619" customFormat="false" ht="12.8" hidden="false" customHeight="false" outlineLevel="0" collapsed="false">
      <c r="A17619" s="0" t="s">
        <v>12</v>
      </c>
      <c r="B17619" s="0" t="n">
        <v>5411701</v>
      </c>
      <c r="C17619" s="0" t="n">
        <v>5411721</v>
      </c>
      <c r="D17619" s="0" t="s">
        <v>58576</v>
      </c>
      <c r="E17619" s="0" t="s">
        <v>58577</v>
      </c>
      <c r="F17619" s="0" t="s">
        <v>90</v>
      </c>
      <c r="G17619" s="0" t="s">
        <v>16</v>
      </c>
      <c r="H17619" s="0" t="n">
        <v>115</v>
      </c>
      <c r="I17619" s="0" t="s">
        <v>58587</v>
      </c>
      <c r="J17619" s="0" t="s">
        <v>58588</v>
      </c>
      <c r="K17619" s="0" t="s">
        <v>58589</v>
      </c>
      <c r="L17619" s="0" t="str">
        <f aca="false">HYPERLINK("https://www.ncbi.nlm.nih.gov/nuccore/CP000058.1?report=graph&amp;tracks=[key:gene_model_track,Options:GeneOnly]&amp;mk=5411801:5411820|offset_16|444444,5411774:5411793|offset_43|444444,5411747:5411766|offset_70|444444,5411702:5411721|offset_115|00cc00&amp;v=5411600:5411921&amp;c=444444", "offset 115")</f>
        <v>offset 115</v>
      </c>
    </row>
    <row r="17620" customFormat="false" ht="12.8" hidden="false" customHeight="false" outlineLevel="0" collapsed="false">
      <c r="A17620" s="0" t="s">
        <v>12</v>
      </c>
      <c r="B17620" s="0" t="n">
        <v>5413422</v>
      </c>
      <c r="C17620" s="0" t="n">
        <v>5413442</v>
      </c>
      <c r="D17620" s="0" t="s">
        <v>58590</v>
      </c>
      <c r="E17620" s="0" t="s">
        <v>58591</v>
      </c>
      <c r="F17620" s="0" t="s">
        <v>90</v>
      </c>
      <c r="G17620" s="0" t="s">
        <v>36</v>
      </c>
      <c r="H17620" s="0" t="n">
        <v>7</v>
      </c>
      <c r="I17620" s="0" t="s">
        <v>58592</v>
      </c>
      <c r="J17620" s="0" t="s">
        <v>58593</v>
      </c>
      <c r="K17620" s="0" t="s">
        <v>58594</v>
      </c>
      <c r="L17620" s="0" t="str">
        <f aca="false">HYPERLINK("https://www.ncbi.nlm.nih.gov/nuccore/CP000058.1?report=graph&amp;tracks=[key:gene_model_track,Options:GeneOnly]&amp;mk=5413423:5413442|offset_7|00cc00,5413375:5413394|offset_55|444444,5413351:5413370|offset_79|444444,5413314:5413333|offset_116|444444&amp;v=5413222:5413533&amp;c=444444", "offset 7")</f>
        <v>offset 7</v>
      </c>
    </row>
    <row r="17621" customFormat="false" ht="12.8" hidden="false" customHeight="false" outlineLevel="0" collapsed="false">
      <c r="A17621" s="0" t="s">
        <v>12</v>
      </c>
      <c r="B17621" s="0" t="n">
        <v>5413374</v>
      </c>
      <c r="C17621" s="0" t="n">
        <v>5413394</v>
      </c>
      <c r="D17621" s="0" t="s">
        <v>58590</v>
      </c>
      <c r="E17621" s="0" t="s">
        <v>58591</v>
      </c>
      <c r="F17621" s="0" t="s">
        <v>90</v>
      </c>
      <c r="G17621" s="0" t="s">
        <v>32</v>
      </c>
      <c r="H17621" s="0" t="n">
        <v>55</v>
      </c>
      <c r="I17621" s="0" t="s">
        <v>58595</v>
      </c>
      <c r="J17621" s="0" t="s">
        <v>58596</v>
      </c>
      <c r="K17621" s="0" t="s">
        <v>58597</v>
      </c>
      <c r="L17621" s="0" t="str">
        <f aca="false">HYPERLINK("https://www.ncbi.nlm.nih.gov/nuccore/CP000058.1?report=graph&amp;tracks=[key:gene_model_track,Options:GeneOnly]&amp;mk=5413423:5413442|offset_7|444444,5413375:5413394|offset_55|00cc00,5413351:5413370|offset_79|444444,5413314:5413333|offset_116|444444&amp;v=5413222:5413533&amp;c=444444", "offset 55")</f>
        <v>offset 55</v>
      </c>
    </row>
    <row r="17622" customFormat="false" ht="12.8" hidden="false" customHeight="false" outlineLevel="0" collapsed="false">
      <c r="A17622" s="0" t="s">
        <v>12</v>
      </c>
      <c r="B17622" s="0" t="n">
        <v>5413350</v>
      </c>
      <c r="C17622" s="0" t="n">
        <v>5413370</v>
      </c>
      <c r="D17622" s="0" t="s">
        <v>58590</v>
      </c>
      <c r="E17622" s="0" t="s">
        <v>58591</v>
      </c>
      <c r="F17622" s="0" t="s">
        <v>90</v>
      </c>
      <c r="G17622" s="0" t="s">
        <v>32</v>
      </c>
      <c r="H17622" s="0" t="n">
        <v>79</v>
      </c>
      <c r="I17622" s="0" t="s">
        <v>58598</v>
      </c>
      <c r="J17622" s="0" t="s">
        <v>58599</v>
      </c>
      <c r="K17622" s="0" t="s">
        <v>58600</v>
      </c>
      <c r="L17622" s="0" t="str">
        <f aca="false">HYPERLINK("https://www.ncbi.nlm.nih.gov/nuccore/CP000058.1?report=graph&amp;tracks=[key:gene_model_track,Options:GeneOnly]&amp;mk=5413423:5413442|offset_7|444444,5413375:5413394|offset_55|444444,5413351:5413370|offset_79|00cc00,5413314:5413333|offset_116|444444&amp;v=5413222:5413533&amp;c=444444", "offset 79")</f>
        <v>offset 79</v>
      </c>
    </row>
    <row r="17623" customFormat="false" ht="12.8" hidden="false" customHeight="false" outlineLevel="0" collapsed="false">
      <c r="A17623" s="0" t="s">
        <v>12</v>
      </c>
      <c r="B17623" s="0" t="n">
        <v>5413313</v>
      </c>
      <c r="C17623" s="0" t="n">
        <v>5413333</v>
      </c>
      <c r="D17623" s="0" t="s">
        <v>58590</v>
      </c>
      <c r="E17623" s="0" t="s">
        <v>58591</v>
      </c>
      <c r="F17623" s="0" t="s">
        <v>90</v>
      </c>
      <c r="G17623" s="0" t="s">
        <v>32</v>
      </c>
      <c r="H17623" s="0" t="n">
        <v>116</v>
      </c>
      <c r="I17623" s="0" t="s">
        <v>58601</v>
      </c>
      <c r="J17623" s="0" t="s">
        <v>58602</v>
      </c>
      <c r="K17623" s="0" t="s">
        <v>58603</v>
      </c>
      <c r="L17623" s="0" t="str">
        <f aca="false">HYPERLINK("https://www.ncbi.nlm.nih.gov/nuccore/CP000058.1?report=graph&amp;tracks=[key:gene_model_track,Options:GeneOnly]&amp;mk=5413423:5413442|offset_7|444444,5413375:5413394|offset_55|444444,5413351:5413370|offset_79|444444,5413314:5413333|offset_116|00cc00&amp;v=5413222:5413533&amp;c=444444", "offset 116")</f>
        <v>offset 116</v>
      </c>
    </row>
    <row r="17624" customFormat="false" ht="12.8" hidden="false" customHeight="false" outlineLevel="0" collapsed="false">
      <c r="A17624" s="0" t="s">
        <v>12</v>
      </c>
      <c r="B17624" s="0" t="n">
        <v>5414125</v>
      </c>
      <c r="C17624" s="0" t="n">
        <v>5414145</v>
      </c>
      <c r="D17624" s="0" t="s">
        <v>58604</v>
      </c>
      <c r="E17624" s="0" t="s">
        <v>58605</v>
      </c>
      <c r="F17624" s="0" t="s">
        <v>90</v>
      </c>
      <c r="G17624" s="0" t="s">
        <v>32</v>
      </c>
      <c r="H17624" s="0" t="n">
        <v>0</v>
      </c>
      <c r="I17624" s="0" t="s">
        <v>58606</v>
      </c>
      <c r="J17624" s="0" t="s">
        <v>58607</v>
      </c>
      <c r="K17624" s="0" t="s">
        <v>58608</v>
      </c>
      <c r="L17624" s="0" t="str">
        <f aca="false">HYPERLINK("https://www.ncbi.nlm.nih.gov/nuccore/CP000058.1?report=graph&amp;tracks=[key:gene_model_track,Options:GeneOnly]&amp;mk=5414126:5414145|offset_0|00cc00,5414102:5414121|offset_24|444444,5414074:5414093|offset_52|444444,5414035:5414054|offset_91|444444&amp;v=5413925:5414254&amp;c=444444", "offset 0")</f>
        <v>offset 0</v>
      </c>
    </row>
    <row r="17625" customFormat="false" ht="12.8" hidden="false" customHeight="false" outlineLevel="0" collapsed="false">
      <c r="A17625" s="0" t="s">
        <v>12</v>
      </c>
      <c r="B17625" s="0" t="n">
        <v>5414101</v>
      </c>
      <c r="C17625" s="0" t="n">
        <v>5414121</v>
      </c>
      <c r="D17625" s="0" t="s">
        <v>58604</v>
      </c>
      <c r="E17625" s="0" t="s">
        <v>58605</v>
      </c>
      <c r="F17625" s="0" t="s">
        <v>90</v>
      </c>
      <c r="G17625" s="0" t="s">
        <v>36</v>
      </c>
      <c r="H17625" s="0" t="n">
        <v>24</v>
      </c>
      <c r="I17625" s="0" t="s">
        <v>58609</v>
      </c>
      <c r="J17625" s="0" t="s">
        <v>58610</v>
      </c>
      <c r="K17625" s="0" t="s">
        <v>58611</v>
      </c>
      <c r="L17625" s="0" t="str">
        <f aca="false">HYPERLINK("https://www.ncbi.nlm.nih.gov/nuccore/CP000058.1?report=graph&amp;tracks=[key:gene_model_track,Options:GeneOnly]&amp;mk=5414126:5414145|offset_0|444444,5414102:5414121|offset_24|00cc00,5414074:5414093|offset_52|444444,5414035:5414054|offset_91|444444&amp;v=5413925:5414254&amp;c=444444", "offset 24")</f>
        <v>offset 24</v>
      </c>
    </row>
    <row r="17626" customFormat="false" ht="12.8" hidden="false" customHeight="false" outlineLevel="0" collapsed="false">
      <c r="A17626" s="0" t="s">
        <v>12</v>
      </c>
      <c r="B17626" s="0" t="n">
        <v>5414073</v>
      </c>
      <c r="C17626" s="0" t="n">
        <v>5414093</v>
      </c>
      <c r="D17626" s="0" t="s">
        <v>58604</v>
      </c>
      <c r="E17626" s="0" t="s">
        <v>58605</v>
      </c>
      <c r="F17626" s="0" t="s">
        <v>90</v>
      </c>
      <c r="G17626" s="0" t="s">
        <v>32</v>
      </c>
      <c r="H17626" s="0" t="n">
        <v>52</v>
      </c>
      <c r="I17626" s="0" t="s">
        <v>58612</v>
      </c>
      <c r="J17626" s="0" t="s">
        <v>58613</v>
      </c>
      <c r="K17626" s="0" t="s">
        <v>58614</v>
      </c>
      <c r="L17626" s="0" t="str">
        <f aca="false">HYPERLINK("https://www.ncbi.nlm.nih.gov/nuccore/CP000058.1?report=graph&amp;tracks=[key:gene_model_track,Options:GeneOnly]&amp;mk=5414126:5414145|offset_0|444444,5414102:5414121|offset_24|444444,5414074:5414093|offset_52|00cc00,5414035:5414054|offset_91|444444&amp;v=5413925:5414254&amp;c=444444", "offset 52")</f>
        <v>offset 52</v>
      </c>
    </row>
    <row r="17627" customFormat="false" ht="12.8" hidden="false" customHeight="false" outlineLevel="0" collapsed="false">
      <c r="A17627" s="0" t="s">
        <v>12</v>
      </c>
      <c r="B17627" s="0" t="n">
        <v>5414034</v>
      </c>
      <c r="C17627" s="0" t="n">
        <v>5414054</v>
      </c>
      <c r="D17627" s="0" t="s">
        <v>58604</v>
      </c>
      <c r="E17627" s="0" t="s">
        <v>58605</v>
      </c>
      <c r="F17627" s="0" t="s">
        <v>90</v>
      </c>
      <c r="G17627" s="0" t="s">
        <v>32</v>
      </c>
      <c r="H17627" s="0" t="n">
        <v>91</v>
      </c>
      <c r="I17627" s="0" t="s">
        <v>58615</v>
      </c>
      <c r="J17627" s="0" t="s">
        <v>58616</v>
      </c>
      <c r="K17627" s="0" t="s">
        <v>58617</v>
      </c>
      <c r="L17627" s="0" t="str">
        <f aca="false">HYPERLINK("https://www.ncbi.nlm.nih.gov/nuccore/CP000058.1?report=graph&amp;tracks=[key:gene_model_track,Options:GeneOnly]&amp;mk=5414126:5414145|offset_0|444444,5414102:5414121|offset_24|444444,5414074:5414093|offset_52|444444,5414035:5414054|offset_91|00cc00&amp;v=5413925:5414254&amp;c=444444", "offset 91")</f>
        <v>offset 91</v>
      </c>
    </row>
    <row r="17628" customFormat="false" ht="12.8" hidden="false" customHeight="false" outlineLevel="0" collapsed="false">
      <c r="A17628" s="0" t="s">
        <v>12</v>
      </c>
      <c r="B17628" s="0" t="n">
        <v>5415800</v>
      </c>
      <c r="C17628" s="0" t="n">
        <v>5415820</v>
      </c>
      <c r="D17628" s="0" t="s">
        <v>58618</v>
      </c>
      <c r="E17628" s="0" t="s">
        <v>75</v>
      </c>
      <c r="F17628" s="0" t="s">
        <v>90</v>
      </c>
      <c r="G17628" s="0" t="s">
        <v>16</v>
      </c>
      <c r="H17628" s="0" t="n">
        <v>23</v>
      </c>
      <c r="I17628" s="0" t="s">
        <v>58619</v>
      </c>
      <c r="J17628" s="0" t="s">
        <v>58620</v>
      </c>
      <c r="K17628" s="0" t="s">
        <v>58621</v>
      </c>
      <c r="L17628" s="0" t="str">
        <f aca="false">HYPERLINK("https://www.ncbi.nlm.nih.gov/nuccore/CP000058.1?report=graph&amp;tracks=[key:gene_model_track,Options:GeneOnly]&amp;mk=5415801:5415820|offset_23|00cc00,5415774:5415793|offset_50|444444,5415739:5415758|offset_85|444444,5415702:5415721|offset_122|444444&amp;v=5415600:5415921&amp;c=444444", "offset 23")</f>
        <v>offset 23</v>
      </c>
    </row>
    <row r="17629" customFormat="false" ht="12.8" hidden="false" customHeight="false" outlineLevel="0" collapsed="false">
      <c r="A17629" s="0" t="s">
        <v>12</v>
      </c>
      <c r="B17629" s="0" t="n">
        <v>5415773</v>
      </c>
      <c r="C17629" s="0" t="n">
        <v>5415793</v>
      </c>
      <c r="D17629" s="0" t="s">
        <v>58618</v>
      </c>
      <c r="E17629" s="0" t="s">
        <v>75</v>
      </c>
      <c r="F17629" s="0" t="s">
        <v>90</v>
      </c>
      <c r="G17629" s="0" t="s">
        <v>32</v>
      </c>
      <c r="H17629" s="0" t="n">
        <v>50</v>
      </c>
      <c r="I17629" s="0" t="s">
        <v>58622</v>
      </c>
      <c r="J17629" s="0" t="s">
        <v>58623</v>
      </c>
      <c r="K17629" s="0" t="s">
        <v>58624</v>
      </c>
      <c r="L17629" s="0" t="str">
        <f aca="false">HYPERLINK("https://www.ncbi.nlm.nih.gov/nuccore/CP000058.1?report=graph&amp;tracks=[key:gene_model_track,Options:GeneOnly]&amp;mk=5415801:5415820|offset_23|444444,5415774:5415793|offset_50|00cc00,5415739:5415758|offset_85|444444,5415702:5415721|offset_122|444444&amp;v=5415600:5415921&amp;c=444444", "offset 50")</f>
        <v>offset 50</v>
      </c>
    </row>
    <row r="17630" customFormat="false" ht="12.8" hidden="false" customHeight="false" outlineLevel="0" collapsed="false">
      <c r="A17630" s="0" t="s">
        <v>12</v>
      </c>
      <c r="B17630" s="0" t="n">
        <v>5415738</v>
      </c>
      <c r="C17630" s="0" t="n">
        <v>5415758</v>
      </c>
      <c r="D17630" s="0" t="s">
        <v>58618</v>
      </c>
      <c r="E17630" s="0" t="s">
        <v>75</v>
      </c>
      <c r="F17630" s="0" t="s">
        <v>90</v>
      </c>
      <c r="G17630" s="0" t="s">
        <v>36</v>
      </c>
      <c r="H17630" s="0" t="n">
        <v>85</v>
      </c>
      <c r="I17630" s="0" t="s">
        <v>58625</v>
      </c>
      <c r="J17630" s="0" t="s">
        <v>58626</v>
      </c>
      <c r="K17630" s="0" t="s">
        <v>58627</v>
      </c>
      <c r="L17630" s="0" t="str">
        <f aca="false">HYPERLINK("https://www.ncbi.nlm.nih.gov/nuccore/CP000058.1?report=graph&amp;tracks=[key:gene_model_track,Options:GeneOnly]&amp;mk=5415801:5415820|offset_23|444444,5415774:5415793|offset_50|444444,5415739:5415758|offset_85|00cc00,5415702:5415721|offset_122|444444&amp;v=5415600:5415921&amp;c=444444", "offset 85")</f>
        <v>offset 85</v>
      </c>
    </row>
    <row r="17631" customFormat="false" ht="12.8" hidden="false" customHeight="false" outlineLevel="0" collapsed="false">
      <c r="A17631" s="0" t="s">
        <v>12</v>
      </c>
      <c r="B17631" s="0" t="n">
        <v>5415701</v>
      </c>
      <c r="C17631" s="0" t="n">
        <v>5415721</v>
      </c>
      <c r="D17631" s="0" t="s">
        <v>58618</v>
      </c>
      <c r="E17631" s="0" t="s">
        <v>75</v>
      </c>
      <c r="F17631" s="0" t="s">
        <v>90</v>
      </c>
      <c r="G17631" s="0" t="s">
        <v>16</v>
      </c>
      <c r="H17631" s="0" t="n">
        <v>122</v>
      </c>
      <c r="I17631" s="0" t="s">
        <v>58628</v>
      </c>
      <c r="J17631" s="0" t="s">
        <v>58629</v>
      </c>
      <c r="K17631" s="0" t="s">
        <v>58630</v>
      </c>
      <c r="L17631" s="0" t="str">
        <f aca="false">HYPERLINK("https://www.ncbi.nlm.nih.gov/nuccore/CP000058.1?report=graph&amp;tracks=[key:gene_model_track,Options:GeneOnly]&amp;mk=5415801:5415820|offset_23|444444,5415774:5415793|offset_50|444444,5415739:5415758|offset_85|444444,5415702:5415721|offset_122|00cc00&amp;v=5415600:5415921&amp;c=444444", "offset 122")</f>
        <v>offset 122</v>
      </c>
    </row>
    <row r="17632" customFormat="false" ht="12.8" hidden="false" customHeight="false" outlineLevel="0" collapsed="false">
      <c r="A17632" s="0" t="s">
        <v>12</v>
      </c>
      <c r="B17632" s="0" t="n">
        <v>5417179</v>
      </c>
      <c r="C17632" s="0" t="n">
        <v>5417199</v>
      </c>
      <c r="D17632" s="0" t="s">
        <v>58631</v>
      </c>
      <c r="E17632" s="0" t="s">
        <v>75</v>
      </c>
      <c r="F17632" s="0" t="s">
        <v>90</v>
      </c>
      <c r="G17632" s="0" t="s">
        <v>36</v>
      </c>
      <c r="H17632" s="0" t="n">
        <v>16</v>
      </c>
      <c r="I17632" s="0" t="s">
        <v>58632</v>
      </c>
      <c r="J17632" s="0" t="s">
        <v>58633</v>
      </c>
      <c r="K17632" s="0" t="s">
        <v>58634</v>
      </c>
      <c r="L17632" s="0" t="str">
        <f aca="false">HYPERLINK("https://www.ncbi.nlm.nih.gov/nuccore/CP000058.1?report=graph&amp;tracks=[key:gene_model_track,Options:GeneOnly]&amp;mk=5417180:5417199|offset_16|00cc00,5417156:5417175|offset_40|444444,5417102:5417121|offset_94|444444,5417081:5417100|offset_115|444444&amp;v=5416979:5417300&amp;c=444444", "offset 16")</f>
        <v>offset 16</v>
      </c>
    </row>
    <row r="17633" customFormat="false" ht="12.8" hidden="false" customHeight="false" outlineLevel="0" collapsed="false">
      <c r="A17633" s="0" t="s">
        <v>12</v>
      </c>
      <c r="B17633" s="0" t="n">
        <v>5417155</v>
      </c>
      <c r="C17633" s="0" t="n">
        <v>5417175</v>
      </c>
      <c r="D17633" s="0" t="s">
        <v>58631</v>
      </c>
      <c r="E17633" s="0" t="s">
        <v>75</v>
      </c>
      <c r="F17633" s="0" t="s">
        <v>90</v>
      </c>
      <c r="G17633" s="0" t="s">
        <v>16</v>
      </c>
      <c r="H17633" s="0" t="n">
        <v>40</v>
      </c>
      <c r="I17633" s="0" t="s">
        <v>58635</v>
      </c>
      <c r="J17633" s="0" t="s">
        <v>58636</v>
      </c>
      <c r="K17633" s="0" t="s">
        <v>58637</v>
      </c>
      <c r="L17633" s="0" t="str">
        <f aca="false">HYPERLINK("https://www.ncbi.nlm.nih.gov/nuccore/CP000058.1?report=graph&amp;tracks=[key:gene_model_track,Options:GeneOnly]&amp;mk=5417180:5417199|offset_16|444444,5417156:5417175|offset_40|00cc00,5417102:5417121|offset_94|444444,5417081:5417100|offset_115|444444&amp;v=5416979:5417300&amp;c=444444", "offset 40")</f>
        <v>offset 40</v>
      </c>
    </row>
    <row r="17634" customFormat="false" ht="12.8" hidden="false" customHeight="false" outlineLevel="0" collapsed="false">
      <c r="A17634" s="0" t="s">
        <v>12</v>
      </c>
      <c r="B17634" s="0" t="n">
        <v>5417101</v>
      </c>
      <c r="C17634" s="0" t="n">
        <v>5417121</v>
      </c>
      <c r="D17634" s="0" t="s">
        <v>58631</v>
      </c>
      <c r="E17634" s="0" t="s">
        <v>75</v>
      </c>
      <c r="F17634" s="0" t="s">
        <v>90</v>
      </c>
      <c r="G17634" s="0" t="s">
        <v>32</v>
      </c>
      <c r="H17634" s="0" t="n">
        <v>94</v>
      </c>
      <c r="I17634" s="0" t="s">
        <v>58638</v>
      </c>
      <c r="J17634" s="0" t="s">
        <v>58639</v>
      </c>
      <c r="K17634" s="0" t="s">
        <v>58640</v>
      </c>
      <c r="L17634" s="0" t="str">
        <f aca="false">HYPERLINK("https://www.ncbi.nlm.nih.gov/nuccore/CP000058.1?report=graph&amp;tracks=[key:gene_model_track,Options:GeneOnly]&amp;mk=5417180:5417199|offset_16|444444,5417156:5417175|offset_40|444444,5417102:5417121|offset_94|00cc00,5417081:5417100|offset_115|444444&amp;v=5416979:5417300&amp;c=444444", "offset 94")</f>
        <v>offset 94</v>
      </c>
    </row>
    <row r="17635" customFormat="false" ht="12.8" hidden="false" customHeight="false" outlineLevel="0" collapsed="false">
      <c r="A17635" s="0" t="s">
        <v>12</v>
      </c>
      <c r="B17635" s="0" t="n">
        <v>5417080</v>
      </c>
      <c r="C17635" s="0" t="n">
        <v>5417100</v>
      </c>
      <c r="D17635" s="0" t="s">
        <v>58631</v>
      </c>
      <c r="E17635" s="0" t="s">
        <v>75</v>
      </c>
      <c r="F17635" s="0" t="s">
        <v>90</v>
      </c>
      <c r="G17635" s="0" t="s">
        <v>16</v>
      </c>
      <c r="H17635" s="0" t="n">
        <v>115</v>
      </c>
      <c r="I17635" s="0" t="s">
        <v>58641</v>
      </c>
      <c r="J17635" s="0" t="s">
        <v>58642</v>
      </c>
      <c r="K17635" s="0" t="s">
        <v>58643</v>
      </c>
      <c r="L17635" s="0" t="str">
        <f aca="false">HYPERLINK("https://www.ncbi.nlm.nih.gov/nuccore/CP000058.1?report=graph&amp;tracks=[key:gene_model_track,Options:GeneOnly]&amp;mk=5417180:5417199|offset_16|444444,5417156:5417175|offset_40|444444,5417102:5417121|offset_94|444444,5417081:5417100|offset_115|00cc00&amp;v=5416979:5417300&amp;c=444444", "offset 115")</f>
        <v>offset 115</v>
      </c>
    </row>
    <row r="17636" customFormat="false" ht="12.8" hidden="false" customHeight="false" outlineLevel="0" collapsed="false">
      <c r="A17636" s="0" t="s">
        <v>12</v>
      </c>
      <c r="B17636" s="0" t="n">
        <v>5417341</v>
      </c>
      <c r="C17636" s="0" t="n">
        <v>5417361</v>
      </c>
      <c r="D17636" s="0" t="s">
        <v>58644</v>
      </c>
      <c r="E17636" s="0" t="s">
        <v>58645</v>
      </c>
      <c r="F17636" s="0" t="s">
        <v>15</v>
      </c>
      <c r="G17636" s="0" t="s">
        <v>36</v>
      </c>
      <c r="H17636" s="0" t="n">
        <v>17</v>
      </c>
      <c r="I17636" s="0" t="s">
        <v>58646</v>
      </c>
      <c r="J17636" s="0" t="s">
        <v>58647</v>
      </c>
      <c r="K17636" s="0" t="s">
        <v>58648</v>
      </c>
      <c r="L17636" s="0" t="str">
        <f aca="false">HYPERLINK("https://www.ncbi.nlm.nih.gov/nuccore/CP000058.1?report=graph&amp;tracks=[key:gene_model_track,Options:GeneOnly]&amp;mk=5417342:5417361|offset_17|00cc00,5417362:5417381|offset_37|444444,5417398:5417417|offset_73|444444,5417440:5417459|offset_115|444444&amp;v=5417141:5417659&amp;c=444444", "offset 17")</f>
        <v>offset 17</v>
      </c>
    </row>
    <row r="17637" customFormat="false" ht="12.8" hidden="false" customHeight="false" outlineLevel="0" collapsed="false">
      <c r="A17637" s="0" t="s">
        <v>12</v>
      </c>
      <c r="B17637" s="0" t="n">
        <v>5417361</v>
      </c>
      <c r="C17637" s="0" t="n">
        <v>5417381</v>
      </c>
      <c r="D17637" s="0" t="s">
        <v>58644</v>
      </c>
      <c r="E17637" s="0" t="s">
        <v>58645</v>
      </c>
      <c r="F17637" s="0" t="s">
        <v>15</v>
      </c>
      <c r="G17637" s="0" t="s">
        <v>36</v>
      </c>
      <c r="H17637" s="0" t="n">
        <v>37</v>
      </c>
      <c r="I17637" s="0" t="s">
        <v>58649</v>
      </c>
      <c r="J17637" s="0" t="s">
        <v>58650</v>
      </c>
      <c r="K17637" s="0" t="s">
        <v>58651</v>
      </c>
      <c r="L17637" s="0" t="str">
        <f aca="false">HYPERLINK("https://www.ncbi.nlm.nih.gov/nuccore/CP000058.1?report=graph&amp;tracks=[key:gene_model_track,Options:GeneOnly]&amp;mk=5417342:5417361|offset_17|444444,5417362:5417381|offset_37|00cc00,5417398:5417417|offset_73|444444,5417440:5417459|offset_115|444444&amp;v=5417141:5417659&amp;c=444444", "offset 37")</f>
        <v>offset 37</v>
      </c>
    </row>
    <row r="17638" customFormat="false" ht="12.8" hidden="false" customHeight="false" outlineLevel="0" collapsed="false">
      <c r="A17638" s="0" t="s">
        <v>12</v>
      </c>
      <c r="B17638" s="0" t="n">
        <v>5417397</v>
      </c>
      <c r="C17638" s="0" t="n">
        <v>5417417</v>
      </c>
      <c r="D17638" s="0" t="s">
        <v>58644</v>
      </c>
      <c r="E17638" s="0" t="s">
        <v>58645</v>
      </c>
      <c r="F17638" s="0" t="s">
        <v>15</v>
      </c>
      <c r="G17638" s="0" t="s">
        <v>32</v>
      </c>
      <c r="H17638" s="0" t="n">
        <v>73</v>
      </c>
      <c r="I17638" s="0" t="s">
        <v>58652</v>
      </c>
      <c r="J17638" s="0" t="s">
        <v>58653</v>
      </c>
      <c r="K17638" s="0" t="s">
        <v>58654</v>
      </c>
      <c r="L17638" s="0" t="str">
        <f aca="false">HYPERLINK("https://www.ncbi.nlm.nih.gov/nuccore/CP000058.1?report=graph&amp;tracks=[key:gene_model_track,Options:GeneOnly]&amp;mk=5417342:5417361|offset_17|444444,5417362:5417381|offset_37|444444,5417398:5417417|offset_73|00cc00,5417440:5417459|offset_115|444444&amp;v=5417141:5417659&amp;c=444444", "offset 73")</f>
        <v>offset 73</v>
      </c>
    </row>
    <row r="17639" customFormat="false" ht="12.8" hidden="false" customHeight="false" outlineLevel="0" collapsed="false">
      <c r="A17639" s="0" t="s">
        <v>12</v>
      </c>
      <c r="B17639" s="0" t="n">
        <v>5417439</v>
      </c>
      <c r="C17639" s="0" t="n">
        <v>5417459</v>
      </c>
      <c r="D17639" s="0" t="s">
        <v>58644</v>
      </c>
      <c r="E17639" s="0" t="s">
        <v>58645</v>
      </c>
      <c r="F17639" s="0" t="s">
        <v>15</v>
      </c>
      <c r="G17639" s="0" t="s">
        <v>32</v>
      </c>
      <c r="H17639" s="0" t="n">
        <v>115</v>
      </c>
      <c r="I17639" s="0" t="s">
        <v>58655</v>
      </c>
      <c r="J17639" s="0" t="s">
        <v>58656</v>
      </c>
      <c r="K17639" s="0" t="s">
        <v>58657</v>
      </c>
      <c r="L17639" s="0" t="str">
        <f aca="false">HYPERLINK("https://www.ncbi.nlm.nih.gov/nuccore/CP000058.1?report=graph&amp;tracks=[key:gene_model_track,Options:GeneOnly]&amp;mk=5417342:5417361|offset_17|444444,5417362:5417381|offset_37|444444,5417398:5417417|offset_73|444444,5417440:5417459|offset_115|00cc00&amp;v=5417141:5417659&amp;c=444444", "offset 115")</f>
        <v>offset 115</v>
      </c>
    </row>
    <row r="17640" customFormat="false" ht="12.8" hidden="false" customHeight="false" outlineLevel="0" collapsed="false">
      <c r="A17640" s="0" t="s">
        <v>12</v>
      </c>
      <c r="B17640" s="0" t="n">
        <v>5418027</v>
      </c>
      <c r="C17640" s="0" t="n">
        <v>5418047</v>
      </c>
      <c r="D17640" s="0" t="s">
        <v>58658</v>
      </c>
      <c r="E17640" s="0" t="s">
        <v>75</v>
      </c>
      <c r="F17640" s="0" t="s">
        <v>15</v>
      </c>
      <c r="G17640" s="0" t="s">
        <v>20</v>
      </c>
      <c r="H17640" s="0" t="n">
        <v>0</v>
      </c>
      <c r="I17640" s="0" t="s">
        <v>58659</v>
      </c>
      <c r="J17640" s="0" t="s">
        <v>58660</v>
      </c>
      <c r="K17640" s="0" t="s">
        <v>58661</v>
      </c>
      <c r="L17640" s="0" t="str">
        <f aca="false">HYPERLINK("https://www.ncbi.nlm.nih.gov/nuccore/CP000058.1?report=graph&amp;tracks=[key:gene_model_track,Options:GeneOnly]&amp;mk=5418028:5418047|offset_0|00cc00,5418062:5418081|offset_34|444444,5418084:5418103|offset_56|444444,5418118:5418137|offset_90|444444&amp;v=5417827:5418337&amp;c=444444", "offset 0")</f>
        <v>offset 0</v>
      </c>
    </row>
    <row r="17641" customFormat="false" ht="12.8" hidden="false" customHeight="false" outlineLevel="0" collapsed="false">
      <c r="A17641" s="0" t="s">
        <v>12</v>
      </c>
      <c r="B17641" s="0" t="n">
        <v>5418061</v>
      </c>
      <c r="C17641" s="0" t="n">
        <v>5418081</v>
      </c>
      <c r="D17641" s="0" t="s">
        <v>58658</v>
      </c>
      <c r="E17641" s="0" t="s">
        <v>75</v>
      </c>
      <c r="F17641" s="0" t="s">
        <v>15</v>
      </c>
      <c r="G17641" s="0" t="s">
        <v>16</v>
      </c>
      <c r="H17641" s="0" t="n">
        <v>34</v>
      </c>
      <c r="I17641" s="0" t="s">
        <v>58662</v>
      </c>
      <c r="J17641" s="0" t="s">
        <v>58663</v>
      </c>
      <c r="K17641" s="0" t="s">
        <v>58664</v>
      </c>
      <c r="L17641" s="0" t="str">
        <f aca="false">HYPERLINK("https://www.ncbi.nlm.nih.gov/nuccore/CP000058.1?report=graph&amp;tracks=[key:gene_model_track,Options:GeneOnly]&amp;mk=5418028:5418047|offset_0|444444,5418062:5418081|offset_34|00cc00,5418084:5418103|offset_56|444444,5418118:5418137|offset_90|444444&amp;v=5417827:5418337&amp;c=444444", "offset 34")</f>
        <v>offset 34</v>
      </c>
    </row>
    <row r="17642" customFormat="false" ht="12.8" hidden="false" customHeight="false" outlineLevel="0" collapsed="false">
      <c r="A17642" s="0" t="s">
        <v>12</v>
      </c>
      <c r="B17642" s="0" t="n">
        <v>5418083</v>
      </c>
      <c r="C17642" s="0" t="n">
        <v>5418103</v>
      </c>
      <c r="D17642" s="0" t="s">
        <v>58658</v>
      </c>
      <c r="E17642" s="0" t="s">
        <v>75</v>
      </c>
      <c r="F17642" s="0" t="s">
        <v>15</v>
      </c>
      <c r="G17642" s="0" t="s">
        <v>32</v>
      </c>
      <c r="H17642" s="0" t="n">
        <v>56</v>
      </c>
      <c r="I17642" s="0" t="s">
        <v>58665</v>
      </c>
      <c r="J17642" s="0" t="s">
        <v>58666</v>
      </c>
      <c r="K17642" s="0" t="s">
        <v>58667</v>
      </c>
      <c r="L17642" s="0" t="str">
        <f aca="false">HYPERLINK("https://www.ncbi.nlm.nih.gov/nuccore/CP000058.1?report=graph&amp;tracks=[key:gene_model_track,Options:GeneOnly]&amp;mk=5418028:5418047|offset_0|444444,5418062:5418081|offset_34|444444,5418084:5418103|offset_56|00cc00,5418118:5418137|offset_90|444444&amp;v=5417827:5418337&amp;c=444444", "offset 56")</f>
        <v>offset 56</v>
      </c>
    </row>
    <row r="17643" customFormat="false" ht="12.8" hidden="false" customHeight="false" outlineLevel="0" collapsed="false">
      <c r="A17643" s="0" t="s">
        <v>12</v>
      </c>
      <c r="B17643" s="0" t="n">
        <v>5418117</v>
      </c>
      <c r="C17643" s="0" t="n">
        <v>5418137</v>
      </c>
      <c r="D17643" s="0" t="s">
        <v>58658</v>
      </c>
      <c r="E17643" s="0" t="s">
        <v>75</v>
      </c>
      <c r="F17643" s="0" t="s">
        <v>15</v>
      </c>
      <c r="G17643" s="0" t="s">
        <v>36</v>
      </c>
      <c r="H17643" s="0" t="n">
        <v>90</v>
      </c>
      <c r="I17643" s="0" t="s">
        <v>58668</v>
      </c>
      <c r="J17643" s="0" t="s">
        <v>58669</v>
      </c>
      <c r="K17643" s="0" t="s">
        <v>58670</v>
      </c>
      <c r="L17643" s="0" t="str">
        <f aca="false">HYPERLINK("https://www.ncbi.nlm.nih.gov/nuccore/CP000058.1?report=graph&amp;tracks=[key:gene_model_track,Options:GeneOnly]&amp;mk=5418028:5418047|offset_0|444444,5418062:5418081|offset_34|444444,5418084:5418103|offset_56|444444,5418118:5418137|offset_90|00cc00&amp;v=5417827:5418337&amp;c=444444", "offset 90")</f>
        <v>offset 90</v>
      </c>
    </row>
    <row r="17644" customFormat="false" ht="12.8" hidden="false" customHeight="false" outlineLevel="0" collapsed="false">
      <c r="A17644" s="0" t="s">
        <v>12</v>
      </c>
      <c r="B17644" s="0" t="n">
        <v>5419821</v>
      </c>
      <c r="C17644" s="0" t="n">
        <v>5419841</v>
      </c>
      <c r="D17644" s="0" t="s">
        <v>58671</v>
      </c>
      <c r="E17644" s="0" t="s">
        <v>58672</v>
      </c>
      <c r="F17644" s="0" t="s">
        <v>90</v>
      </c>
      <c r="G17644" s="0" t="s">
        <v>16</v>
      </c>
      <c r="H17644" s="0" t="n">
        <v>21</v>
      </c>
      <c r="I17644" s="0" t="s">
        <v>58673</v>
      </c>
      <c r="J17644" s="0" t="s">
        <v>58674</v>
      </c>
      <c r="K17644" s="0" t="s">
        <v>58675</v>
      </c>
      <c r="L17644" s="0" t="str">
        <f aca="false">HYPERLINK("https://www.ncbi.nlm.nih.gov/nuccore/CP000058.1?report=graph&amp;tracks=[key:gene_model_track,Options:GeneOnly]&amp;mk=5419822:5419841|offset_21|00cc00,5419781:5419800|offset_62|444444,5419746:5419765|offset_97|444444,5419715:5419734|offset_128|444444&amp;v=5419621:5419934&amp;c=444444", "offset 21")</f>
        <v>offset 21</v>
      </c>
    </row>
    <row r="17645" customFormat="false" ht="12.8" hidden="false" customHeight="false" outlineLevel="0" collapsed="false">
      <c r="A17645" s="0" t="s">
        <v>12</v>
      </c>
      <c r="B17645" s="0" t="n">
        <v>5419780</v>
      </c>
      <c r="C17645" s="0" t="n">
        <v>5419800</v>
      </c>
      <c r="D17645" s="0" t="s">
        <v>58671</v>
      </c>
      <c r="E17645" s="0" t="s">
        <v>58672</v>
      </c>
      <c r="F17645" s="0" t="s">
        <v>90</v>
      </c>
      <c r="G17645" s="0" t="s">
        <v>36</v>
      </c>
      <c r="H17645" s="0" t="n">
        <v>62</v>
      </c>
      <c r="I17645" s="0" t="s">
        <v>58676</v>
      </c>
      <c r="J17645" s="0" t="s">
        <v>58677</v>
      </c>
      <c r="K17645" s="0" t="s">
        <v>58678</v>
      </c>
      <c r="L17645" s="0" t="str">
        <f aca="false">HYPERLINK("https://www.ncbi.nlm.nih.gov/nuccore/CP000058.1?report=graph&amp;tracks=[key:gene_model_track,Options:GeneOnly]&amp;mk=5419822:5419841|offset_21|444444,5419781:5419800|offset_62|00cc00,5419746:5419765|offset_97|444444,5419715:5419734|offset_128|444444&amp;v=5419621:5419934&amp;c=444444", "offset 62")</f>
        <v>offset 62</v>
      </c>
    </row>
    <row r="17646" customFormat="false" ht="12.8" hidden="false" customHeight="false" outlineLevel="0" collapsed="false">
      <c r="A17646" s="0" t="s">
        <v>12</v>
      </c>
      <c r="B17646" s="0" t="n">
        <v>5419745</v>
      </c>
      <c r="C17646" s="0" t="n">
        <v>5419765</v>
      </c>
      <c r="D17646" s="0" t="s">
        <v>58671</v>
      </c>
      <c r="E17646" s="0" t="s">
        <v>58672</v>
      </c>
      <c r="F17646" s="0" t="s">
        <v>90</v>
      </c>
      <c r="G17646" s="0" t="s">
        <v>16</v>
      </c>
      <c r="H17646" s="0" t="n">
        <v>97</v>
      </c>
      <c r="I17646" s="0" t="s">
        <v>58679</v>
      </c>
      <c r="J17646" s="0" t="s">
        <v>58680</v>
      </c>
      <c r="K17646" s="0" t="s">
        <v>58681</v>
      </c>
      <c r="L17646" s="0" t="str">
        <f aca="false">HYPERLINK("https://www.ncbi.nlm.nih.gov/nuccore/CP000058.1?report=graph&amp;tracks=[key:gene_model_track,Options:GeneOnly]&amp;mk=5419822:5419841|offset_21|444444,5419781:5419800|offset_62|444444,5419746:5419765|offset_97|00cc00,5419715:5419734|offset_128|444444&amp;v=5419621:5419934&amp;c=444444", "offset 97")</f>
        <v>offset 97</v>
      </c>
    </row>
    <row r="17647" customFormat="false" ht="12.8" hidden="false" customHeight="false" outlineLevel="0" collapsed="false">
      <c r="A17647" s="0" t="s">
        <v>12</v>
      </c>
      <c r="B17647" s="0" t="n">
        <v>5419714</v>
      </c>
      <c r="C17647" s="0" t="n">
        <v>5419734</v>
      </c>
      <c r="D17647" s="0" t="s">
        <v>58671</v>
      </c>
      <c r="E17647" s="0" t="s">
        <v>58672</v>
      </c>
      <c r="F17647" s="0" t="s">
        <v>90</v>
      </c>
      <c r="G17647" s="0" t="s">
        <v>20</v>
      </c>
      <c r="H17647" s="0" t="n">
        <v>128</v>
      </c>
      <c r="I17647" s="0" t="s">
        <v>58682</v>
      </c>
      <c r="J17647" s="0" t="s">
        <v>58683</v>
      </c>
      <c r="K17647" s="0" t="s">
        <v>58684</v>
      </c>
      <c r="L17647" s="0" t="str">
        <f aca="false">HYPERLINK("https://www.ncbi.nlm.nih.gov/nuccore/CP000058.1?report=graph&amp;tracks=[key:gene_model_track,Options:GeneOnly]&amp;mk=5419822:5419841|offset_21|444444,5419781:5419800|offset_62|444444,5419746:5419765|offset_97|444444,5419715:5419734|offset_128|00cc00&amp;v=5419621:5419934&amp;c=444444", "offset 128")</f>
        <v>offset 128</v>
      </c>
    </row>
    <row r="17648" customFormat="false" ht="12.8" hidden="false" customHeight="false" outlineLevel="0" collapsed="false">
      <c r="A17648" s="0" t="s">
        <v>12</v>
      </c>
      <c r="B17648" s="0" t="n">
        <v>5420647</v>
      </c>
      <c r="C17648" s="0" t="n">
        <v>5420667</v>
      </c>
      <c r="D17648" s="0" t="s">
        <v>58685</v>
      </c>
      <c r="E17648" s="0" t="s">
        <v>58686</v>
      </c>
      <c r="F17648" s="0" t="s">
        <v>90</v>
      </c>
      <c r="G17648" s="0" t="s">
        <v>16</v>
      </c>
      <c r="H17648" s="0" t="n">
        <v>0</v>
      </c>
      <c r="I17648" s="0" t="s">
        <v>58687</v>
      </c>
      <c r="J17648" s="0" t="s">
        <v>58688</v>
      </c>
      <c r="K17648" s="0" t="s">
        <v>58689</v>
      </c>
      <c r="L17648" s="0" t="str">
        <f aca="false">HYPERLINK("https://www.ncbi.nlm.nih.gov/nuccore/CP000058.1?report=graph&amp;tracks=[key:gene_model_track,Options:GeneOnly]&amp;mk=5420648:5420667|offset_0|00cc00,5420621:5420640|offset_27|444444,5420572:5420591|offset_76|444444,5420545:5420564|offset_103|444444&amp;v=5420447:5420764&amp;c=444444", "offset 0")</f>
        <v>offset 0</v>
      </c>
    </row>
    <row r="17649" customFormat="false" ht="12.8" hidden="false" customHeight="false" outlineLevel="0" collapsed="false">
      <c r="A17649" s="0" t="s">
        <v>12</v>
      </c>
      <c r="B17649" s="0" t="n">
        <v>5420620</v>
      </c>
      <c r="C17649" s="0" t="n">
        <v>5420640</v>
      </c>
      <c r="D17649" s="0" t="s">
        <v>58685</v>
      </c>
      <c r="E17649" s="0" t="s">
        <v>58686</v>
      </c>
      <c r="F17649" s="0" t="s">
        <v>90</v>
      </c>
      <c r="G17649" s="0" t="s">
        <v>36</v>
      </c>
      <c r="H17649" s="0" t="n">
        <v>27</v>
      </c>
      <c r="I17649" s="0" t="s">
        <v>58690</v>
      </c>
      <c r="J17649" s="0" t="s">
        <v>58691</v>
      </c>
      <c r="K17649" s="0" t="s">
        <v>58692</v>
      </c>
      <c r="L17649" s="0" t="str">
        <f aca="false">HYPERLINK("https://www.ncbi.nlm.nih.gov/nuccore/CP000058.1?report=graph&amp;tracks=[key:gene_model_track,Options:GeneOnly]&amp;mk=5420648:5420667|offset_0|444444,5420621:5420640|offset_27|00cc00,5420572:5420591|offset_76|444444,5420545:5420564|offset_103|444444&amp;v=5420447:5420764&amp;c=444444", "offset 27")</f>
        <v>offset 27</v>
      </c>
    </row>
    <row r="17650" customFormat="false" ht="12.8" hidden="false" customHeight="false" outlineLevel="0" collapsed="false">
      <c r="A17650" s="0" t="s">
        <v>12</v>
      </c>
      <c r="B17650" s="0" t="n">
        <v>5420571</v>
      </c>
      <c r="C17650" s="0" t="n">
        <v>5420591</v>
      </c>
      <c r="D17650" s="0" t="s">
        <v>58685</v>
      </c>
      <c r="E17650" s="0" t="s">
        <v>58686</v>
      </c>
      <c r="F17650" s="0" t="s">
        <v>90</v>
      </c>
      <c r="G17650" s="0" t="s">
        <v>16</v>
      </c>
      <c r="H17650" s="0" t="n">
        <v>76</v>
      </c>
      <c r="I17650" s="0" t="s">
        <v>58693</v>
      </c>
      <c r="J17650" s="0" t="s">
        <v>58694</v>
      </c>
      <c r="K17650" s="0" t="s">
        <v>58695</v>
      </c>
      <c r="L17650" s="0" t="str">
        <f aca="false">HYPERLINK("https://www.ncbi.nlm.nih.gov/nuccore/CP000058.1?report=graph&amp;tracks=[key:gene_model_track,Options:GeneOnly]&amp;mk=5420648:5420667|offset_0|444444,5420621:5420640|offset_27|444444,5420572:5420591|offset_76|00cc00,5420545:5420564|offset_103|444444&amp;v=5420447:5420764&amp;c=444444", "offset 76")</f>
        <v>offset 76</v>
      </c>
    </row>
    <row r="17651" customFormat="false" ht="12.8" hidden="false" customHeight="false" outlineLevel="0" collapsed="false">
      <c r="A17651" s="0" t="s">
        <v>12</v>
      </c>
      <c r="B17651" s="0" t="n">
        <v>5420544</v>
      </c>
      <c r="C17651" s="0" t="n">
        <v>5420564</v>
      </c>
      <c r="D17651" s="0" t="s">
        <v>58685</v>
      </c>
      <c r="E17651" s="0" t="s">
        <v>58686</v>
      </c>
      <c r="F17651" s="0" t="s">
        <v>90</v>
      </c>
      <c r="G17651" s="0" t="s">
        <v>36</v>
      </c>
      <c r="H17651" s="0" t="n">
        <v>103</v>
      </c>
      <c r="I17651" s="0" t="s">
        <v>58696</v>
      </c>
      <c r="J17651" s="0" t="s">
        <v>58697</v>
      </c>
      <c r="K17651" s="0" t="s">
        <v>58698</v>
      </c>
      <c r="L17651" s="0" t="str">
        <f aca="false">HYPERLINK("https://www.ncbi.nlm.nih.gov/nuccore/CP000058.1?report=graph&amp;tracks=[key:gene_model_track,Options:GeneOnly]&amp;mk=5420648:5420667|offset_0|444444,5420621:5420640|offset_27|444444,5420572:5420591|offset_76|444444,5420545:5420564|offset_103|00cc00&amp;v=5420447:5420764&amp;c=444444", "offset 103")</f>
        <v>offset 103</v>
      </c>
    </row>
    <row r="17652" customFormat="false" ht="12.8" hidden="false" customHeight="false" outlineLevel="0" collapsed="false">
      <c r="A17652" s="0" t="s">
        <v>12</v>
      </c>
      <c r="B17652" s="0" t="n">
        <v>5420960</v>
      </c>
      <c r="C17652" s="0" t="n">
        <v>5420980</v>
      </c>
      <c r="D17652" s="0" t="s">
        <v>58699</v>
      </c>
      <c r="E17652" s="0" t="s">
        <v>58700</v>
      </c>
      <c r="F17652" s="0" t="s">
        <v>90</v>
      </c>
      <c r="G17652" s="0" t="s">
        <v>20</v>
      </c>
      <c r="H17652" s="0" t="n">
        <v>12</v>
      </c>
      <c r="I17652" s="0" t="s">
        <v>58701</v>
      </c>
      <c r="J17652" s="0" t="s">
        <v>58702</v>
      </c>
      <c r="K17652" s="0" t="s">
        <v>58703</v>
      </c>
      <c r="L17652" s="0" t="str">
        <f aca="false">HYPERLINK("https://www.ncbi.nlm.nih.gov/nuccore/CP000058.1?report=graph&amp;tracks=[key:gene_model_track,Options:GeneOnly]&amp;mk=5420961:5420980|offset_12|00cc00,5420925:5420944|offset_48|444444,5420874:5420893|offset_99|444444,5420849:5420868|offset_124|444444&amp;v=5420760:5421068&amp;c=444444", "offset 12")</f>
        <v>offset 12</v>
      </c>
    </row>
    <row r="17653" customFormat="false" ht="12.8" hidden="false" customHeight="false" outlineLevel="0" collapsed="false">
      <c r="A17653" s="0" t="s">
        <v>12</v>
      </c>
      <c r="B17653" s="0" t="n">
        <v>5420924</v>
      </c>
      <c r="C17653" s="0" t="n">
        <v>5420944</v>
      </c>
      <c r="D17653" s="0" t="s">
        <v>58699</v>
      </c>
      <c r="E17653" s="0" t="s">
        <v>58700</v>
      </c>
      <c r="F17653" s="0" t="s">
        <v>90</v>
      </c>
      <c r="G17653" s="0" t="s">
        <v>36</v>
      </c>
      <c r="H17653" s="0" t="n">
        <v>48</v>
      </c>
      <c r="I17653" s="0" t="s">
        <v>58704</v>
      </c>
      <c r="J17653" s="0" t="s">
        <v>58705</v>
      </c>
      <c r="K17653" s="0" t="s">
        <v>58706</v>
      </c>
      <c r="L17653" s="0" t="str">
        <f aca="false">HYPERLINK("https://www.ncbi.nlm.nih.gov/nuccore/CP000058.1?report=graph&amp;tracks=[key:gene_model_track,Options:GeneOnly]&amp;mk=5420961:5420980|offset_12|444444,5420925:5420944|offset_48|00cc00,5420874:5420893|offset_99|444444,5420849:5420868|offset_124|444444&amp;v=5420760:5421068&amp;c=444444", "offset 48")</f>
        <v>offset 48</v>
      </c>
    </row>
    <row r="17654" customFormat="false" ht="12.8" hidden="false" customHeight="false" outlineLevel="0" collapsed="false">
      <c r="A17654" s="0" t="s">
        <v>12</v>
      </c>
      <c r="B17654" s="0" t="n">
        <v>5420873</v>
      </c>
      <c r="C17654" s="0" t="n">
        <v>5420893</v>
      </c>
      <c r="D17654" s="0" t="s">
        <v>58699</v>
      </c>
      <c r="E17654" s="0" t="s">
        <v>58700</v>
      </c>
      <c r="F17654" s="0" t="s">
        <v>90</v>
      </c>
      <c r="G17654" s="0" t="s">
        <v>36</v>
      </c>
      <c r="H17654" s="0" t="n">
        <v>99</v>
      </c>
      <c r="I17654" s="0" t="s">
        <v>58707</v>
      </c>
      <c r="J17654" s="0" t="s">
        <v>58708</v>
      </c>
      <c r="K17654" s="0" t="s">
        <v>58709</v>
      </c>
      <c r="L17654" s="0" t="str">
        <f aca="false">HYPERLINK("https://www.ncbi.nlm.nih.gov/nuccore/CP000058.1?report=graph&amp;tracks=[key:gene_model_track,Options:GeneOnly]&amp;mk=5420961:5420980|offset_12|444444,5420925:5420944|offset_48|444444,5420874:5420893|offset_99|00cc00,5420849:5420868|offset_124|444444&amp;v=5420760:5421068&amp;c=444444", "offset 99")</f>
        <v>offset 99</v>
      </c>
    </row>
    <row r="17655" customFormat="false" ht="12.8" hidden="false" customHeight="false" outlineLevel="0" collapsed="false">
      <c r="A17655" s="0" t="s">
        <v>12</v>
      </c>
      <c r="B17655" s="0" t="n">
        <v>5420848</v>
      </c>
      <c r="C17655" s="0" t="n">
        <v>5420868</v>
      </c>
      <c r="D17655" s="0" t="s">
        <v>58699</v>
      </c>
      <c r="E17655" s="0" t="s">
        <v>58700</v>
      </c>
      <c r="F17655" s="0" t="s">
        <v>90</v>
      </c>
      <c r="G17655" s="0" t="s">
        <v>16</v>
      </c>
      <c r="H17655" s="0" t="n">
        <v>124</v>
      </c>
      <c r="I17655" s="0" t="s">
        <v>58710</v>
      </c>
      <c r="J17655" s="0" t="s">
        <v>58711</v>
      </c>
      <c r="K17655" s="0" t="s">
        <v>58712</v>
      </c>
      <c r="L17655" s="0" t="str">
        <f aca="false">HYPERLINK("https://www.ncbi.nlm.nih.gov/nuccore/CP000058.1?report=graph&amp;tracks=[key:gene_model_track,Options:GeneOnly]&amp;mk=5420961:5420980|offset_12|444444,5420925:5420944|offset_48|444444,5420874:5420893|offset_99|444444,5420849:5420868|offset_124|00cc00&amp;v=5420760:5421068&amp;c=444444", "offset 124")</f>
        <v>offset 124</v>
      </c>
    </row>
    <row r="17656" customFormat="false" ht="12.8" hidden="false" customHeight="false" outlineLevel="0" collapsed="false">
      <c r="A17656" s="0" t="s">
        <v>12</v>
      </c>
      <c r="B17656" s="0" t="n">
        <v>5421362</v>
      </c>
      <c r="C17656" s="0" t="n">
        <v>5421382</v>
      </c>
      <c r="D17656" s="0" t="s">
        <v>58713</v>
      </c>
      <c r="E17656" s="0" t="s">
        <v>75</v>
      </c>
      <c r="F17656" s="0" t="s">
        <v>90</v>
      </c>
      <c r="G17656" s="0" t="s">
        <v>20</v>
      </c>
      <c r="H17656" s="0" t="n">
        <v>31</v>
      </c>
      <c r="I17656" s="0" t="s">
        <v>58714</v>
      </c>
      <c r="J17656" s="0" t="s">
        <v>58715</v>
      </c>
      <c r="K17656" s="0" t="s">
        <v>58716</v>
      </c>
      <c r="L17656" s="0" t="str">
        <f aca="false">HYPERLINK("https://www.ncbi.nlm.nih.gov/nuccore/CP000058.1?report=graph&amp;tracks=[key:gene_model_track,Options:GeneOnly]&amp;mk=5421363:5421382|offset_31|00cc00,5421324:5421343|offset_70|444444,5421302:5421321|offset_92|444444,5421257:5421276|offset_137|444444&amp;v=5421162:5421476&amp;c=444444", "offset 31")</f>
        <v>offset 31</v>
      </c>
    </row>
    <row r="17657" customFormat="false" ht="12.8" hidden="false" customHeight="false" outlineLevel="0" collapsed="false">
      <c r="A17657" s="0" t="s">
        <v>12</v>
      </c>
      <c r="B17657" s="0" t="n">
        <v>5421323</v>
      </c>
      <c r="C17657" s="0" t="n">
        <v>5421343</v>
      </c>
      <c r="D17657" s="0" t="s">
        <v>58713</v>
      </c>
      <c r="E17657" s="0" t="s">
        <v>75</v>
      </c>
      <c r="F17657" s="0" t="s">
        <v>90</v>
      </c>
      <c r="G17657" s="0" t="s">
        <v>16</v>
      </c>
      <c r="H17657" s="0" t="n">
        <v>70</v>
      </c>
      <c r="I17657" s="0" t="s">
        <v>58717</v>
      </c>
      <c r="J17657" s="0" t="s">
        <v>58718</v>
      </c>
      <c r="K17657" s="0" t="s">
        <v>58719</v>
      </c>
      <c r="L17657" s="0" t="str">
        <f aca="false">HYPERLINK("https://www.ncbi.nlm.nih.gov/nuccore/CP000058.1?report=graph&amp;tracks=[key:gene_model_track,Options:GeneOnly]&amp;mk=5421363:5421382|offset_31|444444,5421324:5421343|offset_70|00cc00,5421302:5421321|offset_92|444444,5421257:5421276|offset_137|444444&amp;v=5421162:5421476&amp;c=444444", "offset 70")</f>
        <v>offset 70</v>
      </c>
    </row>
    <row r="17658" customFormat="false" ht="12.8" hidden="false" customHeight="false" outlineLevel="0" collapsed="false">
      <c r="A17658" s="0" t="s">
        <v>12</v>
      </c>
      <c r="B17658" s="0" t="n">
        <v>5421301</v>
      </c>
      <c r="C17658" s="0" t="n">
        <v>5421321</v>
      </c>
      <c r="D17658" s="0" t="s">
        <v>58713</v>
      </c>
      <c r="E17658" s="0" t="s">
        <v>75</v>
      </c>
      <c r="F17658" s="0" t="s">
        <v>90</v>
      </c>
      <c r="G17658" s="0" t="s">
        <v>20</v>
      </c>
      <c r="H17658" s="0" t="n">
        <v>92</v>
      </c>
      <c r="I17658" s="0" t="s">
        <v>58720</v>
      </c>
      <c r="J17658" s="0" t="s">
        <v>58721</v>
      </c>
      <c r="K17658" s="0" t="s">
        <v>58722</v>
      </c>
      <c r="L17658" s="0" t="str">
        <f aca="false">HYPERLINK("https://www.ncbi.nlm.nih.gov/nuccore/CP000058.1?report=graph&amp;tracks=[key:gene_model_track,Options:GeneOnly]&amp;mk=5421363:5421382|offset_31|444444,5421324:5421343|offset_70|444444,5421302:5421321|offset_92|00cc00,5421257:5421276|offset_137|444444&amp;v=5421162:5421476&amp;c=444444", "offset 92")</f>
        <v>offset 92</v>
      </c>
    </row>
    <row r="17659" customFormat="false" ht="12.8" hidden="false" customHeight="false" outlineLevel="0" collapsed="false">
      <c r="A17659" s="0" t="s">
        <v>12</v>
      </c>
      <c r="B17659" s="0" t="n">
        <v>5421256</v>
      </c>
      <c r="C17659" s="0" t="n">
        <v>5421276</v>
      </c>
      <c r="D17659" s="0" t="s">
        <v>58713</v>
      </c>
      <c r="E17659" s="0" t="s">
        <v>75</v>
      </c>
      <c r="F17659" s="0" t="s">
        <v>90</v>
      </c>
      <c r="G17659" s="0" t="s">
        <v>32</v>
      </c>
      <c r="H17659" s="0" t="n">
        <v>137</v>
      </c>
      <c r="I17659" s="0" t="s">
        <v>58723</v>
      </c>
      <c r="J17659" s="0" t="s">
        <v>58724</v>
      </c>
      <c r="K17659" s="0" t="s">
        <v>58725</v>
      </c>
      <c r="L17659" s="0" t="str">
        <f aca="false">HYPERLINK("https://www.ncbi.nlm.nih.gov/nuccore/CP000058.1?report=graph&amp;tracks=[key:gene_model_track,Options:GeneOnly]&amp;mk=5421363:5421382|offset_31|444444,5421324:5421343|offset_70|444444,5421302:5421321|offset_92|444444,5421257:5421276|offset_137|00cc00&amp;v=5421162:5421476&amp;c=444444", "offset 137")</f>
        <v>offset 137</v>
      </c>
    </row>
    <row r="17660" customFormat="false" ht="12.8" hidden="false" customHeight="false" outlineLevel="0" collapsed="false">
      <c r="A17660" s="0" t="s">
        <v>12</v>
      </c>
      <c r="B17660" s="0" t="n">
        <v>5421510</v>
      </c>
      <c r="C17660" s="0" t="n">
        <v>5421530</v>
      </c>
      <c r="D17660" s="0" t="s">
        <v>58726</v>
      </c>
      <c r="E17660" s="0" t="s">
        <v>58727</v>
      </c>
      <c r="F17660" s="0" t="s">
        <v>15</v>
      </c>
      <c r="G17660" s="0" t="s">
        <v>20</v>
      </c>
      <c r="H17660" s="0" t="n">
        <v>17</v>
      </c>
      <c r="I17660" s="0" t="s">
        <v>58728</v>
      </c>
      <c r="J17660" s="0" t="s">
        <v>58729</v>
      </c>
      <c r="K17660" s="0" t="s">
        <v>58730</v>
      </c>
      <c r="L17660" s="0" t="str">
        <f aca="false">HYPERLINK("https://www.ncbi.nlm.nih.gov/nuccore/CP000058.1?report=graph&amp;tracks=[key:gene_model_track,Options:GeneOnly]&amp;mk=5421511:5421530|offset_17|00cc00,5421531:5421550|offset_37|444444,5421587:5421606|offset_93|444444,5421630:5421649|offset_136|444444&amp;v=5421310:5421849&amp;c=444444", "offset 17")</f>
        <v>offset 17</v>
      </c>
    </row>
    <row r="17661" customFormat="false" ht="12.8" hidden="false" customHeight="false" outlineLevel="0" collapsed="false">
      <c r="A17661" s="0" t="s">
        <v>12</v>
      </c>
      <c r="B17661" s="0" t="n">
        <v>5421530</v>
      </c>
      <c r="C17661" s="0" t="n">
        <v>5421550</v>
      </c>
      <c r="D17661" s="0" t="s">
        <v>58726</v>
      </c>
      <c r="E17661" s="0" t="s">
        <v>58727</v>
      </c>
      <c r="F17661" s="0" t="s">
        <v>15</v>
      </c>
      <c r="G17661" s="0" t="s">
        <v>36</v>
      </c>
      <c r="H17661" s="0" t="n">
        <v>37</v>
      </c>
      <c r="I17661" s="0" t="s">
        <v>58731</v>
      </c>
      <c r="J17661" s="0" t="s">
        <v>58732</v>
      </c>
      <c r="K17661" s="0" t="s">
        <v>58733</v>
      </c>
      <c r="L17661" s="0" t="str">
        <f aca="false">HYPERLINK("https://www.ncbi.nlm.nih.gov/nuccore/CP000058.1?report=graph&amp;tracks=[key:gene_model_track,Options:GeneOnly]&amp;mk=5421511:5421530|offset_17|444444,5421531:5421550|offset_37|00cc00,5421587:5421606|offset_93|444444,5421630:5421649|offset_136|444444&amp;v=5421310:5421849&amp;c=444444", "offset 37")</f>
        <v>offset 37</v>
      </c>
    </row>
    <row r="17662" customFormat="false" ht="12.8" hidden="false" customHeight="false" outlineLevel="0" collapsed="false">
      <c r="A17662" s="0" t="s">
        <v>12</v>
      </c>
      <c r="B17662" s="0" t="n">
        <v>5421586</v>
      </c>
      <c r="C17662" s="0" t="n">
        <v>5421606</v>
      </c>
      <c r="D17662" s="0" t="s">
        <v>58726</v>
      </c>
      <c r="E17662" s="0" t="s">
        <v>58727</v>
      </c>
      <c r="F17662" s="0" t="s">
        <v>15</v>
      </c>
      <c r="G17662" s="0" t="s">
        <v>16</v>
      </c>
      <c r="H17662" s="0" t="n">
        <v>93</v>
      </c>
      <c r="I17662" s="0" t="s">
        <v>58734</v>
      </c>
      <c r="J17662" s="0" t="s">
        <v>58735</v>
      </c>
      <c r="K17662" s="0" t="s">
        <v>58736</v>
      </c>
      <c r="L17662" s="0" t="str">
        <f aca="false">HYPERLINK("https://www.ncbi.nlm.nih.gov/nuccore/CP000058.1?report=graph&amp;tracks=[key:gene_model_track,Options:GeneOnly]&amp;mk=5421511:5421530|offset_17|444444,5421531:5421550|offset_37|444444,5421587:5421606|offset_93|00cc00,5421630:5421649|offset_136|444444&amp;v=5421310:5421849&amp;c=444444", "offset 93")</f>
        <v>offset 93</v>
      </c>
    </row>
    <row r="17663" customFormat="false" ht="12.8" hidden="false" customHeight="false" outlineLevel="0" collapsed="false">
      <c r="A17663" s="0" t="s">
        <v>12</v>
      </c>
      <c r="B17663" s="0" t="n">
        <v>5421629</v>
      </c>
      <c r="C17663" s="0" t="n">
        <v>5421649</v>
      </c>
      <c r="D17663" s="0" t="s">
        <v>58726</v>
      </c>
      <c r="E17663" s="0" t="s">
        <v>58727</v>
      </c>
      <c r="F17663" s="0" t="s">
        <v>15</v>
      </c>
      <c r="G17663" s="0" t="s">
        <v>20</v>
      </c>
      <c r="H17663" s="0" t="n">
        <v>136</v>
      </c>
      <c r="I17663" s="0" t="s">
        <v>58737</v>
      </c>
      <c r="J17663" s="0" t="s">
        <v>58738</v>
      </c>
      <c r="K17663" s="0" t="s">
        <v>58739</v>
      </c>
      <c r="L17663" s="0" t="str">
        <f aca="false">HYPERLINK("https://www.ncbi.nlm.nih.gov/nuccore/CP000058.1?report=graph&amp;tracks=[key:gene_model_track,Options:GeneOnly]&amp;mk=5421511:5421530|offset_17|444444,5421531:5421550|offset_37|444444,5421587:5421606|offset_93|444444,5421630:5421649|offset_136|00cc00&amp;v=5421310:5421849&amp;c=444444", "offset 136")</f>
        <v>offset 136</v>
      </c>
    </row>
    <row r="17664" customFormat="false" ht="12.8" hidden="false" customHeight="false" outlineLevel="0" collapsed="false">
      <c r="A17664" s="0" t="s">
        <v>12</v>
      </c>
      <c r="B17664" s="0" t="n">
        <v>5423203</v>
      </c>
      <c r="C17664" s="0" t="n">
        <v>5423223</v>
      </c>
      <c r="D17664" s="0" t="s">
        <v>58740</v>
      </c>
      <c r="E17664" s="0" t="s">
        <v>58741</v>
      </c>
      <c r="F17664" s="0" t="s">
        <v>90</v>
      </c>
      <c r="G17664" s="0" t="s">
        <v>32</v>
      </c>
      <c r="H17664" s="0" t="n">
        <v>7</v>
      </c>
      <c r="I17664" s="0" t="s">
        <v>58742</v>
      </c>
      <c r="J17664" s="0" t="s">
        <v>58743</v>
      </c>
      <c r="K17664" s="0" t="s">
        <v>58744</v>
      </c>
      <c r="L17664" s="0" t="str">
        <f aca="false">HYPERLINK("https://www.ncbi.nlm.nih.gov/nuccore/CP000058.1?report=graph&amp;tracks=[key:gene_model_track,Options:GeneOnly]&amp;mk=5423204:5423223|offset_7|00cc00,5423173:5423192|offset_38|444444,5423153:5423172|offset_58|444444,5423127:5423146|offset_84|444444&amp;v=5423003:5423346&amp;c=444444", "offset 7")</f>
        <v>offset 7</v>
      </c>
    </row>
    <row r="17665" customFormat="false" ht="12.8" hidden="false" customHeight="false" outlineLevel="0" collapsed="false">
      <c r="A17665" s="0" t="s">
        <v>12</v>
      </c>
      <c r="B17665" s="0" t="n">
        <v>5423172</v>
      </c>
      <c r="C17665" s="0" t="n">
        <v>5423192</v>
      </c>
      <c r="D17665" s="0" t="s">
        <v>58740</v>
      </c>
      <c r="E17665" s="0" t="s">
        <v>58741</v>
      </c>
      <c r="F17665" s="0" t="s">
        <v>90</v>
      </c>
      <c r="G17665" s="0" t="s">
        <v>36</v>
      </c>
      <c r="H17665" s="0" t="n">
        <v>38</v>
      </c>
      <c r="I17665" s="0" t="s">
        <v>58745</v>
      </c>
      <c r="J17665" s="0" t="s">
        <v>58746</v>
      </c>
      <c r="K17665" s="0" t="s">
        <v>58747</v>
      </c>
      <c r="L17665" s="0" t="str">
        <f aca="false">HYPERLINK("https://www.ncbi.nlm.nih.gov/nuccore/CP000058.1?report=graph&amp;tracks=[key:gene_model_track,Options:GeneOnly]&amp;mk=5423204:5423223|offset_7|444444,5423173:5423192|offset_38|00cc00,5423153:5423172|offset_58|444444,5423127:5423146|offset_84|444444&amp;v=5423003:5423346&amp;c=444444", "offset 38")</f>
        <v>offset 38</v>
      </c>
    </row>
    <row r="17666" customFormat="false" ht="12.8" hidden="false" customHeight="false" outlineLevel="0" collapsed="false">
      <c r="A17666" s="0" t="s">
        <v>12</v>
      </c>
      <c r="B17666" s="0" t="n">
        <v>5423152</v>
      </c>
      <c r="C17666" s="0" t="n">
        <v>5423172</v>
      </c>
      <c r="D17666" s="0" t="s">
        <v>58740</v>
      </c>
      <c r="E17666" s="0" t="s">
        <v>58741</v>
      </c>
      <c r="F17666" s="0" t="s">
        <v>90</v>
      </c>
      <c r="G17666" s="0" t="s">
        <v>20</v>
      </c>
      <c r="H17666" s="0" t="n">
        <v>58</v>
      </c>
      <c r="I17666" s="0" t="s">
        <v>58748</v>
      </c>
      <c r="J17666" s="0" t="s">
        <v>58749</v>
      </c>
      <c r="K17666" s="0" t="s">
        <v>58750</v>
      </c>
      <c r="L17666" s="0" t="str">
        <f aca="false">HYPERLINK("https://www.ncbi.nlm.nih.gov/nuccore/CP000058.1?report=graph&amp;tracks=[key:gene_model_track,Options:GeneOnly]&amp;mk=5423204:5423223|offset_7|444444,5423173:5423192|offset_38|444444,5423153:5423172|offset_58|00cc00,5423127:5423146|offset_84|444444&amp;v=5423003:5423346&amp;c=444444", "offset 58")</f>
        <v>offset 58</v>
      </c>
    </row>
    <row r="17667" customFormat="false" ht="12.8" hidden="false" customHeight="false" outlineLevel="0" collapsed="false">
      <c r="A17667" s="0" t="s">
        <v>12</v>
      </c>
      <c r="B17667" s="0" t="n">
        <v>5423126</v>
      </c>
      <c r="C17667" s="0" t="n">
        <v>5423146</v>
      </c>
      <c r="D17667" s="0" t="s">
        <v>58740</v>
      </c>
      <c r="E17667" s="0" t="s">
        <v>58741</v>
      </c>
      <c r="F17667" s="0" t="s">
        <v>90</v>
      </c>
      <c r="G17667" s="0" t="s">
        <v>36</v>
      </c>
      <c r="H17667" s="0" t="n">
        <v>84</v>
      </c>
      <c r="I17667" s="0" t="s">
        <v>58751</v>
      </c>
      <c r="J17667" s="0" t="s">
        <v>58752</v>
      </c>
      <c r="K17667" s="0" t="s">
        <v>58753</v>
      </c>
      <c r="L17667" s="0" t="str">
        <f aca="false">HYPERLINK("https://www.ncbi.nlm.nih.gov/nuccore/CP000058.1?report=graph&amp;tracks=[key:gene_model_track,Options:GeneOnly]&amp;mk=5423204:5423223|offset_7|444444,5423173:5423192|offset_38|444444,5423153:5423172|offset_58|444444,5423127:5423146|offset_84|00cc00&amp;v=5423003:5423346&amp;c=444444", "offset 84")</f>
        <v>offset 84</v>
      </c>
    </row>
    <row r="17668" customFormat="false" ht="12.8" hidden="false" customHeight="false" outlineLevel="0" collapsed="false">
      <c r="A17668" s="0" t="s">
        <v>12</v>
      </c>
      <c r="B17668" s="0" t="n">
        <v>5424343</v>
      </c>
      <c r="C17668" s="0" t="n">
        <v>5424363</v>
      </c>
      <c r="D17668" s="0" t="s">
        <v>58754</v>
      </c>
      <c r="E17668" s="0" t="s">
        <v>58755</v>
      </c>
      <c r="F17668" s="0" t="s">
        <v>90</v>
      </c>
      <c r="G17668" s="0" t="s">
        <v>36</v>
      </c>
      <c r="H17668" s="0" t="n">
        <v>20</v>
      </c>
      <c r="I17668" s="0" t="s">
        <v>58756</v>
      </c>
      <c r="J17668" s="0" t="s">
        <v>58757</v>
      </c>
      <c r="K17668" s="0" t="s">
        <v>58758</v>
      </c>
      <c r="L17668" s="0" t="str">
        <f aca="false">HYPERLINK("https://www.ncbi.nlm.nih.gov/nuccore/CP000058.1?report=graph&amp;tracks=[key:gene_model_track,Options:GeneOnly]&amp;mk=5424344:5424363|offset_20|00cc00,5424319:5424338|offset_45|444444,5424298:5424317|offset_66|444444,5424269:5424288|offset_95|444444&amp;v=5424143:5424488&amp;c=444444", "offset 20")</f>
        <v>offset 20</v>
      </c>
    </row>
    <row r="17669" customFormat="false" ht="12.8" hidden="false" customHeight="false" outlineLevel="0" collapsed="false">
      <c r="A17669" s="0" t="s">
        <v>12</v>
      </c>
      <c r="B17669" s="0" t="n">
        <v>5424318</v>
      </c>
      <c r="C17669" s="0" t="n">
        <v>5424338</v>
      </c>
      <c r="D17669" s="0" t="s">
        <v>58754</v>
      </c>
      <c r="E17669" s="0" t="s">
        <v>58755</v>
      </c>
      <c r="F17669" s="0" t="s">
        <v>90</v>
      </c>
      <c r="G17669" s="0" t="s">
        <v>36</v>
      </c>
      <c r="H17669" s="0" t="n">
        <v>45</v>
      </c>
      <c r="I17669" s="0" t="s">
        <v>58759</v>
      </c>
      <c r="J17669" s="0" t="s">
        <v>58760</v>
      </c>
      <c r="K17669" s="0" t="s">
        <v>58761</v>
      </c>
      <c r="L17669" s="0" t="str">
        <f aca="false">HYPERLINK("https://www.ncbi.nlm.nih.gov/nuccore/CP000058.1?report=graph&amp;tracks=[key:gene_model_track,Options:GeneOnly]&amp;mk=5424344:5424363|offset_20|444444,5424319:5424338|offset_45|00cc00,5424298:5424317|offset_66|444444,5424269:5424288|offset_95|444444&amp;v=5424143:5424488&amp;c=444444", "offset 45")</f>
        <v>offset 45</v>
      </c>
    </row>
    <row r="17670" customFormat="false" ht="12.8" hidden="false" customHeight="false" outlineLevel="0" collapsed="false">
      <c r="A17670" s="0" t="s">
        <v>12</v>
      </c>
      <c r="B17670" s="0" t="n">
        <v>5424297</v>
      </c>
      <c r="C17670" s="0" t="n">
        <v>5424317</v>
      </c>
      <c r="D17670" s="0" t="s">
        <v>58754</v>
      </c>
      <c r="E17670" s="0" t="s">
        <v>58755</v>
      </c>
      <c r="F17670" s="0" t="s">
        <v>90</v>
      </c>
      <c r="G17670" s="0" t="s">
        <v>16</v>
      </c>
      <c r="H17670" s="0" t="n">
        <v>66</v>
      </c>
      <c r="I17670" s="0" t="s">
        <v>58762</v>
      </c>
      <c r="J17670" s="0" t="s">
        <v>58763</v>
      </c>
      <c r="K17670" s="0" t="s">
        <v>58764</v>
      </c>
      <c r="L17670" s="0" t="str">
        <f aca="false">HYPERLINK("https://www.ncbi.nlm.nih.gov/nuccore/CP000058.1?report=graph&amp;tracks=[key:gene_model_track,Options:GeneOnly]&amp;mk=5424344:5424363|offset_20|444444,5424319:5424338|offset_45|444444,5424298:5424317|offset_66|00cc00,5424269:5424288|offset_95|444444&amp;v=5424143:5424488&amp;c=444444", "offset 66")</f>
        <v>offset 66</v>
      </c>
    </row>
    <row r="17671" customFormat="false" ht="12.8" hidden="false" customHeight="false" outlineLevel="0" collapsed="false">
      <c r="A17671" s="0" t="s">
        <v>12</v>
      </c>
      <c r="B17671" s="0" t="n">
        <v>5424268</v>
      </c>
      <c r="C17671" s="0" t="n">
        <v>5424288</v>
      </c>
      <c r="D17671" s="0" t="s">
        <v>58754</v>
      </c>
      <c r="E17671" s="0" t="s">
        <v>58755</v>
      </c>
      <c r="F17671" s="0" t="s">
        <v>90</v>
      </c>
      <c r="G17671" s="0" t="s">
        <v>32</v>
      </c>
      <c r="H17671" s="0" t="n">
        <v>95</v>
      </c>
      <c r="I17671" s="0" t="s">
        <v>58765</v>
      </c>
      <c r="J17671" s="0" t="s">
        <v>58766</v>
      </c>
      <c r="K17671" s="0" t="s">
        <v>58767</v>
      </c>
      <c r="L17671" s="0" t="str">
        <f aca="false">HYPERLINK("https://www.ncbi.nlm.nih.gov/nuccore/CP000058.1?report=graph&amp;tracks=[key:gene_model_track,Options:GeneOnly]&amp;mk=5424344:5424363|offset_20|444444,5424319:5424338|offset_45|444444,5424298:5424317|offset_66|444444,5424269:5424288|offset_95|00cc00&amp;v=5424143:5424488&amp;c=444444", "offset 95")</f>
        <v>offset 95</v>
      </c>
    </row>
    <row r="17672" customFormat="false" ht="12.8" hidden="false" customHeight="false" outlineLevel="0" collapsed="false">
      <c r="A17672" s="0" t="s">
        <v>12</v>
      </c>
      <c r="B17672" s="0" t="n">
        <v>5424996</v>
      </c>
      <c r="C17672" s="0" t="n">
        <v>5425016</v>
      </c>
      <c r="D17672" s="0" t="s">
        <v>58768</v>
      </c>
      <c r="E17672" s="0" t="s">
        <v>58769</v>
      </c>
      <c r="F17672" s="0" t="s">
        <v>90</v>
      </c>
      <c r="G17672" s="0" t="s">
        <v>36</v>
      </c>
      <c r="H17672" s="0" t="n">
        <v>35</v>
      </c>
      <c r="I17672" s="0" t="s">
        <v>58770</v>
      </c>
      <c r="J17672" s="0" t="s">
        <v>58771</v>
      </c>
      <c r="K17672" s="0" t="s">
        <v>58772</v>
      </c>
      <c r="L17672" s="0" t="str">
        <f aca="false">HYPERLINK("https://www.ncbi.nlm.nih.gov/nuccore/CP000058.1?report=graph&amp;tracks=[key:gene_model_track,Options:GeneOnly]&amp;mk=5424997:5425016|offset_35|00cc00,5424920:5424939|offset_112|444444,5424892:5424911|offset_140|444444,5424870:5424889|offset_162|444444&amp;v=5424796:5425089&amp;c=444444", "offset 35")</f>
        <v>offset 35</v>
      </c>
    </row>
    <row r="17673" customFormat="false" ht="12.8" hidden="false" customHeight="false" outlineLevel="0" collapsed="false">
      <c r="A17673" s="0" t="s">
        <v>12</v>
      </c>
      <c r="B17673" s="0" t="n">
        <v>5424919</v>
      </c>
      <c r="C17673" s="0" t="n">
        <v>5424939</v>
      </c>
      <c r="D17673" s="0" t="s">
        <v>58768</v>
      </c>
      <c r="E17673" s="0" t="s">
        <v>58769</v>
      </c>
      <c r="F17673" s="0" t="s">
        <v>90</v>
      </c>
      <c r="G17673" s="0" t="s">
        <v>16</v>
      </c>
      <c r="H17673" s="0" t="n">
        <v>112</v>
      </c>
      <c r="I17673" s="0" t="s">
        <v>58773</v>
      </c>
      <c r="J17673" s="0" t="s">
        <v>58774</v>
      </c>
      <c r="K17673" s="0" t="s">
        <v>58775</v>
      </c>
      <c r="L17673" s="0" t="str">
        <f aca="false">HYPERLINK("https://www.ncbi.nlm.nih.gov/nuccore/CP000058.1?report=graph&amp;tracks=[key:gene_model_track,Options:GeneOnly]&amp;mk=5424997:5425016|offset_35|444444,5424920:5424939|offset_112|00cc00,5424892:5424911|offset_140|444444,5424870:5424889|offset_162|444444&amp;v=5424796:5425089&amp;c=444444", "offset 112")</f>
        <v>offset 112</v>
      </c>
    </row>
    <row r="17674" customFormat="false" ht="12.8" hidden="false" customHeight="false" outlineLevel="0" collapsed="false">
      <c r="A17674" s="0" t="s">
        <v>12</v>
      </c>
      <c r="B17674" s="0" t="n">
        <v>5424891</v>
      </c>
      <c r="C17674" s="0" t="n">
        <v>5424911</v>
      </c>
      <c r="D17674" s="0" t="s">
        <v>58768</v>
      </c>
      <c r="E17674" s="0" t="s">
        <v>58769</v>
      </c>
      <c r="F17674" s="0" t="s">
        <v>90</v>
      </c>
      <c r="G17674" s="0" t="s">
        <v>20</v>
      </c>
      <c r="H17674" s="0" t="n">
        <v>140</v>
      </c>
      <c r="I17674" s="0" t="s">
        <v>58776</v>
      </c>
      <c r="J17674" s="0" t="s">
        <v>58777</v>
      </c>
      <c r="K17674" s="0" t="s">
        <v>58778</v>
      </c>
      <c r="L17674" s="0" t="str">
        <f aca="false">HYPERLINK("https://www.ncbi.nlm.nih.gov/nuccore/CP000058.1?report=graph&amp;tracks=[key:gene_model_track,Options:GeneOnly]&amp;mk=5424997:5425016|offset_35|444444,5424920:5424939|offset_112|444444,5424892:5424911|offset_140|00cc00,5424870:5424889|offset_162|444444&amp;v=5424796:5425089&amp;c=444444", "offset 140")</f>
        <v>offset 140</v>
      </c>
    </row>
    <row r="17675" customFormat="false" ht="12.8" hidden="false" customHeight="false" outlineLevel="0" collapsed="false">
      <c r="A17675" s="0" t="s">
        <v>12</v>
      </c>
      <c r="B17675" s="0" t="n">
        <v>5424869</v>
      </c>
      <c r="C17675" s="0" t="n">
        <v>5424889</v>
      </c>
      <c r="D17675" s="0" t="s">
        <v>58768</v>
      </c>
      <c r="E17675" s="0" t="s">
        <v>58769</v>
      </c>
      <c r="F17675" s="0" t="s">
        <v>90</v>
      </c>
      <c r="G17675" s="0" t="s">
        <v>16</v>
      </c>
      <c r="H17675" s="0" t="n">
        <v>162</v>
      </c>
      <c r="I17675" s="0" t="s">
        <v>58779</v>
      </c>
      <c r="J17675" s="0" t="s">
        <v>58780</v>
      </c>
      <c r="K17675" s="0" t="s">
        <v>58781</v>
      </c>
      <c r="L17675" s="0" t="str">
        <f aca="false">HYPERLINK("https://www.ncbi.nlm.nih.gov/nuccore/CP000058.1?report=graph&amp;tracks=[key:gene_model_track,Options:GeneOnly]&amp;mk=5424997:5425016|offset_35|444444,5424920:5424939|offset_112|444444,5424892:5424911|offset_140|444444,5424870:5424889|offset_162|00cc00&amp;v=5424796:5425089&amp;c=444444", "offset 162")</f>
        <v>offset 162</v>
      </c>
    </row>
    <row r="17676" customFormat="false" ht="12.8" hidden="false" customHeight="false" outlineLevel="0" collapsed="false">
      <c r="A17676" s="0" t="s">
        <v>12</v>
      </c>
      <c r="B17676" s="0" t="n">
        <v>5426529</v>
      </c>
      <c r="C17676" s="0" t="n">
        <v>5426549</v>
      </c>
      <c r="D17676" s="0" t="s">
        <v>58782</v>
      </c>
      <c r="E17676" s="0" t="s">
        <v>58783</v>
      </c>
      <c r="F17676" s="0" t="s">
        <v>90</v>
      </c>
      <c r="G17676" s="0" t="s">
        <v>32</v>
      </c>
      <c r="H17676" s="0" t="n">
        <v>1</v>
      </c>
      <c r="I17676" s="0" t="s">
        <v>58784</v>
      </c>
      <c r="J17676" s="0" t="s">
        <v>58785</v>
      </c>
      <c r="K17676" s="0" t="s">
        <v>58786</v>
      </c>
      <c r="L17676" s="0" t="str">
        <f aca="false">HYPERLINK("https://www.ncbi.nlm.nih.gov/nuccore/CP000058.1?report=graph&amp;tracks=[key:gene_model_track,Options:GeneOnly]&amp;mk=5426530:5426549|offset_1|00cc00,5426500:5426519|offset_31|444444,5426472:5426491|offset_59|444444,5426447:5426466|offset_84|444444&amp;v=5426329:5426666&amp;c=444444", "offset 1")</f>
        <v>offset 1</v>
      </c>
    </row>
    <row r="17677" customFormat="false" ht="12.8" hidden="false" customHeight="false" outlineLevel="0" collapsed="false">
      <c r="A17677" s="0" t="s">
        <v>12</v>
      </c>
      <c r="B17677" s="0" t="n">
        <v>5426499</v>
      </c>
      <c r="C17677" s="0" t="n">
        <v>5426519</v>
      </c>
      <c r="D17677" s="0" t="s">
        <v>58782</v>
      </c>
      <c r="E17677" s="0" t="s">
        <v>58783</v>
      </c>
      <c r="F17677" s="0" t="s">
        <v>90</v>
      </c>
      <c r="G17677" s="0" t="s">
        <v>36</v>
      </c>
      <c r="H17677" s="0" t="n">
        <v>31</v>
      </c>
      <c r="I17677" s="0" t="s">
        <v>58787</v>
      </c>
      <c r="J17677" s="0" t="s">
        <v>58788</v>
      </c>
      <c r="K17677" s="0" t="s">
        <v>58789</v>
      </c>
      <c r="L17677" s="0" t="str">
        <f aca="false">HYPERLINK("https://www.ncbi.nlm.nih.gov/nuccore/CP000058.1?report=graph&amp;tracks=[key:gene_model_track,Options:GeneOnly]&amp;mk=5426530:5426549|offset_1|444444,5426500:5426519|offset_31|00cc00,5426472:5426491|offset_59|444444,5426447:5426466|offset_84|444444&amp;v=5426329:5426666&amp;c=444444", "offset 31")</f>
        <v>offset 31</v>
      </c>
    </row>
    <row r="17678" customFormat="false" ht="12.8" hidden="false" customHeight="false" outlineLevel="0" collapsed="false">
      <c r="A17678" s="0" t="s">
        <v>12</v>
      </c>
      <c r="B17678" s="0" t="n">
        <v>5426471</v>
      </c>
      <c r="C17678" s="0" t="n">
        <v>5426491</v>
      </c>
      <c r="D17678" s="0" t="s">
        <v>58782</v>
      </c>
      <c r="E17678" s="0" t="s">
        <v>58783</v>
      </c>
      <c r="F17678" s="0" t="s">
        <v>90</v>
      </c>
      <c r="G17678" s="0" t="s">
        <v>20</v>
      </c>
      <c r="H17678" s="0" t="n">
        <v>59</v>
      </c>
      <c r="I17678" s="0" t="s">
        <v>58790</v>
      </c>
      <c r="J17678" s="0" t="s">
        <v>58791</v>
      </c>
      <c r="K17678" s="0" t="s">
        <v>58792</v>
      </c>
      <c r="L17678" s="0" t="str">
        <f aca="false">HYPERLINK("https://www.ncbi.nlm.nih.gov/nuccore/CP000058.1?report=graph&amp;tracks=[key:gene_model_track,Options:GeneOnly]&amp;mk=5426530:5426549|offset_1|444444,5426500:5426519|offset_31|444444,5426472:5426491|offset_59|00cc00,5426447:5426466|offset_84|444444&amp;v=5426329:5426666&amp;c=444444", "offset 59")</f>
        <v>offset 59</v>
      </c>
    </row>
    <row r="17679" customFormat="false" ht="12.8" hidden="false" customHeight="false" outlineLevel="0" collapsed="false">
      <c r="A17679" s="0" t="s">
        <v>12</v>
      </c>
      <c r="B17679" s="0" t="n">
        <v>5426446</v>
      </c>
      <c r="C17679" s="0" t="n">
        <v>5426466</v>
      </c>
      <c r="D17679" s="0" t="s">
        <v>58782</v>
      </c>
      <c r="E17679" s="0" t="s">
        <v>58783</v>
      </c>
      <c r="F17679" s="0" t="s">
        <v>90</v>
      </c>
      <c r="G17679" s="0" t="s">
        <v>16</v>
      </c>
      <c r="H17679" s="0" t="n">
        <v>84</v>
      </c>
      <c r="I17679" s="0" t="s">
        <v>58793</v>
      </c>
      <c r="J17679" s="0" t="s">
        <v>58794</v>
      </c>
      <c r="K17679" s="0" t="s">
        <v>58795</v>
      </c>
      <c r="L17679" s="0" t="str">
        <f aca="false">HYPERLINK("https://www.ncbi.nlm.nih.gov/nuccore/CP000058.1?report=graph&amp;tracks=[key:gene_model_track,Options:GeneOnly]&amp;mk=5426530:5426549|offset_1|444444,5426500:5426519|offset_31|444444,5426472:5426491|offset_59|444444,5426447:5426466|offset_84|00cc00&amp;v=5426329:5426666&amp;c=444444", "offset 84")</f>
        <v>offset 84</v>
      </c>
    </row>
    <row r="17680" customFormat="false" ht="12.8" hidden="false" customHeight="false" outlineLevel="0" collapsed="false">
      <c r="A17680" s="0" t="s">
        <v>12</v>
      </c>
      <c r="B17680" s="0" t="n">
        <v>5426823</v>
      </c>
      <c r="C17680" s="0" t="n">
        <v>5426843</v>
      </c>
      <c r="D17680" s="0" t="s">
        <v>58796</v>
      </c>
      <c r="E17680" s="0" t="s">
        <v>75</v>
      </c>
      <c r="F17680" s="0" t="s">
        <v>15</v>
      </c>
      <c r="G17680" s="0" t="s">
        <v>16</v>
      </c>
      <c r="H17680" s="0" t="n">
        <v>17</v>
      </c>
      <c r="I17680" s="0" t="s">
        <v>58797</v>
      </c>
      <c r="J17680" s="0" t="s">
        <v>58798</v>
      </c>
      <c r="K17680" s="0" t="s">
        <v>58799</v>
      </c>
      <c r="L17680" s="0" t="str">
        <f aca="false">HYPERLINK("https://www.ncbi.nlm.nih.gov/nuccore/CP000058.1?report=graph&amp;tracks=[key:gene_model_track,Options:GeneOnly]&amp;mk=5426824:5426843|offset_17|00cc00,5426864:5426883|offset_57|444444,5426894:5426913|offset_87|444444,5426938:5426957|offset_131|444444&amp;v=5426623:5427157&amp;c=444444", "offset 17")</f>
        <v>offset 17</v>
      </c>
    </row>
    <row r="17681" customFormat="false" ht="12.8" hidden="false" customHeight="false" outlineLevel="0" collapsed="false">
      <c r="A17681" s="0" t="s">
        <v>12</v>
      </c>
      <c r="B17681" s="0" t="n">
        <v>5426863</v>
      </c>
      <c r="C17681" s="0" t="n">
        <v>5426883</v>
      </c>
      <c r="D17681" s="0" t="s">
        <v>58796</v>
      </c>
      <c r="E17681" s="0" t="s">
        <v>75</v>
      </c>
      <c r="F17681" s="0" t="s">
        <v>15</v>
      </c>
      <c r="G17681" s="0" t="s">
        <v>36</v>
      </c>
      <c r="H17681" s="0" t="n">
        <v>57</v>
      </c>
      <c r="I17681" s="0" t="s">
        <v>58800</v>
      </c>
      <c r="J17681" s="0" t="s">
        <v>58801</v>
      </c>
      <c r="K17681" s="0" t="s">
        <v>58802</v>
      </c>
      <c r="L17681" s="0" t="str">
        <f aca="false">HYPERLINK("https://www.ncbi.nlm.nih.gov/nuccore/CP000058.1?report=graph&amp;tracks=[key:gene_model_track,Options:GeneOnly]&amp;mk=5426824:5426843|offset_17|444444,5426864:5426883|offset_57|00cc00,5426894:5426913|offset_87|444444,5426938:5426957|offset_131|444444&amp;v=5426623:5427157&amp;c=444444", "offset 57")</f>
        <v>offset 57</v>
      </c>
    </row>
    <row r="17682" customFormat="false" ht="12.8" hidden="false" customHeight="false" outlineLevel="0" collapsed="false">
      <c r="A17682" s="0" t="s">
        <v>12</v>
      </c>
      <c r="B17682" s="0" t="n">
        <v>5426893</v>
      </c>
      <c r="C17682" s="0" t="n">
        <v>5426913</v>
      </c>
      <c r="D17682" s="0" t="s">
        <v>58796</v>
      </c>
      <c r="E17682" s="0" t="s">
        <v>75</v>
      </c>
      <c r="F17682" s="0" t="s">
        <v>15</v>
      </c>
      <c r="G17682" s="0" t="s">
        <v>16</v>
      </c>
      <c r="H17682" s="0" t="n">
        <v>87</v>
      </c>
      <c r="I17682" s="0" t="s">
        <v>58803</v>
      </c>
      <c r="J17682" s="0" t="s">
        <v>58804</v>
      </c>
      <c r="K17682" s="0" t="s">
        <v>58805</v>
      </c>
      <c r="L17682" s="0" t="str">
        <f aca="false">HYPERLINK("https://www.ncbi.nlm.nih.gov/nuccore/CP000058.1?report=graph&amp;tracks=[key:gene_model_track,Options:GeneOnly]&amp;mk=5426824:5426843|offset_17|444444,5426864:5426883|offset_57|444444,5426894:5426913|offset_87|00cc00,5426938:5426957|offset_131|444444&amp;v=5426623:5427157&amp;c=444444", "offset 87")</f>
        <v>offset 87</v>
      </c>
    </row>
    <row r="17683" customFormat="false" ht="12.8" hidden="false" customHeight="false" outlineLevel="0" collapsed="false">
      <c r="A17683" s="0" t="s">
        <v>12</v>
      </c>
      <c r="B17683" s="0" t="n">
        <v>5426937</v>
      </c>
      <c r="C17683" s="0" t="n">
        <v>5426957</v>
      </c>
      <c r="D17683" s="0" t="s">
        <v>58796</v>
      </c>
      <c r="E17683" s="0" t="s">
        <v>75</v>
      </c>
      <c r="F17683" s="0" t="s">
        <v>15</v>
      </c>
      <c r="G17683" s="0" t="s">
        <v>16</v>
      </c>
      <c r="H17683" s="0" t="n">
        <v>131</v>
      </c>
      <c r="I17683" s="0" t="s">
        <v>58806</v>
      </c>
      <c r="J17683" s="0" t="s">
        <v>58807</v>
      </c>
      <c r="K17683" s="0" t="s">
        <v>58808</v>
      </c>
      <c r="L17683" s="0" t="str">
        <f aca="false">HYPERLINK("https://www.ncbi.nlm.nih.gov/nuccore/CP000058.1?report=graph&amp;tracks=[key:gene_model_track,Options:GeneOnly]&amp;mk=5426824:5426843|offset_17|444444,5426864:5426883|offset_57|444444,5426894:5426913|offset_87|444444,5426938:5426957|offset_131|00cc00&amp;v=5426623:5427157&amp;c=444444", "offset 131")</f>
        <v>offset 131</v>
      </c>
    </row>
    <row r="17684" customFormat="false" ht="12.8" hidden="false" customHeight="false" outlineLevel="0" collapsed="false">
      <c r="A17684" s="0" t="s">
        <v>12</v>
      </c>
      <c r="B17684" s="0" t="n">
        <v>5428176</v>
      </c>
      <c r="C17684" s="0" t="n">
        <v>5428196</v>
      </c>
      <c r="D17684" s="0" t="s">
        <v>58809</v>
      </c>
      <c r="E17684" s="0" t="s">
        <v>75</v>
      </c>
      <c r="F17684" s="0" t="s">
        <v>15</v>
      </c>
      <c r="G17684" s="0" t="s">
        <v>32</v>
      </c>
      <c r="H17684" s="0" t="n">
        <v>21</v>
      </c>
      <c r="I17684" s="0" t="s">
        <v>58810</v>
      </c>
      <c r="J17684" s="0" t="s">
        <v>58811</v>
      </c>
      <c r="K17684" s="0" t="s">
        <v>58812</v>
      </c>
      <c r="L17684" s="0" t="str">
        <f aca="false">HYPERLINK("https://www.ncbi.nlm.nih.gov/nuccore/CP000058.1?report=graph&amp;tracks=[key:gene_model_track,Options:GeneOnly]&amp;mk=5428177:5428196|offset_21|00cc00,5428197:5428216|offset_41|444444,5428223:5428242|offset_67|444444,5428247:5428266|offset_91|444444&amp;v=5427976:5428466&amp;c=444444", "offset 21")</f>
        <v>offset 21</v>
      </c>
    </row>
    <row r="17685" customFormat="false" ht="12.8" hidden="false" customHeight="false" outlineLevel="0" collapsed="false">
      <c r="A17685" s="0" t="s">
        <v>12</v>
      </c>
      <c r="B17685" s="0" t="n">
        <v>5428196</v>
      </c>
      <c r="C17685" s="0" t="n">
        <v>5428216</v>
      </c>
      <c r="D17685" s="0" t="s">
        <v>58809</v>
      </c>
      <c r="E17685" s="0" t="s">
        <v>75</v>
      </c>
      <c r="F17685" s="0" t="s">
        <v>15</v>
      </c>
      <c r="G17685" s="0" t="s">
        <v>20</v>
      </c>
      <c r="H17685" s="0" t="n">
        <v>41</v>
      </c>
      <c r="I17685" s="0" t="s">
        <v>58813</v>
      </c>
      <c r="J17685" s="0" t="s">
        <v>58814</v>
      </c>
      <c r="K17685" s="0" t="s">
        <v>58815</v>
      </c>
      <c r="L17685" s="0" t="str">
        <f aca="false">HYPERLINK("https://www.ncbi.nlm.nih.gov/nuccore/CP000058.1?report=graph&amp;tracks=[key:gene_model_track,Options:GeneOnly]&amp;mk=5428177:5428196|offset_21|444444,5428197:5428216|offset_41|00cc00,5428223:5428242|offset_67|444444,5428247:5428266|offset_91|444444&amp;v=5427976:5428466&amp;c=444444", "offset 41")</f>
        <v>offset 41</v>
      </c>
    </row>
    <row r="17686" customFormat="false" ht="12.8" hidden="false" customHeight="false" outlineLevel="0" collapsed="false">
      <c r="A17686" s="0" t="s">
        <v>12</v>
      </c>
      <c r="B17686" s="0" t="n">
        <v>5428222</v>
      </c>
      <c r="C17686" s="0" t="n">
        <v>5428242</v>
      </c>
      <c r="D17686" s="0" t="s">
        <v>58809</v>
      </c>
      <c r="E17686" s="0" t="s">
        <v>75</v>
      </c>
      <c r="F17686" s="0" t="s">
        <v>15</v>
      </c>
      <c r="G17686" s="0" t="s">
        <v>20</v>
      </c>
      <c r="H17686" s="0" t="n">
        <v>67</v>
      </c>
      <c r="I17686" s="0" t="s">
        <v>58816</v>
      </c>
      <c r="J17686" s="0" t="s">
        <v>58817</v>
      </c>
      <c r="K17686" s="0" t="s">
        <v>58818</v>
      </c>
      <c r="L17686" s="0" t="str">
        <f aca="false">HYPERLINK("https://www.ncbi.nlm.nih.gov/nuccore/CP000058.1?report=graph&amp;tracks=[key:gene_model_track,Options:GeneOnly]&amp;mk=5428177:5428196|offset_21|444444,5428197:5428216|offset_41|444444,5428223:5428242|offset_67|00cc00,5428247:5428266|offset_91|444444&amp;v=5427976:5428466&amp;c=444444", "offset 67")</f>
        <v>offset 67</v>
      </c>
    </row>
    <row r="17687" customFormat="false" ht="12.8" hidden="false" customHeight="false" outlineLevel="0" collapsed="false">
      <c r="A17687" s="0" t="s">
        <v>12</v>
      </c>
      <c r="B17687" s="0" t="n">
        <v>5428246</v>
      </c>
      <c r="C17687" s="0" t="n">
        <v>5428266</v>
      </c>
      <c r="D17687" s="0" t="s">
        <v>58809</v>
      </c>
      <c r="E17687" s="0" t="s">
        <v>75</v>
      </c>
      <c r="F17687" s="0" t="s">
        <v>15</v>
      </c>
      <c r="G17687" s="0" t="s">
        <v>16</v>
      </c>
      <c r="H17687" s="0" t="n">
        <v>91</v>
      </c>
      <c r="I17687" s="0" t="s">
        <v>58819</v>
      </c>
      <c r="J17687" s="0" t="s">
        <v>58820</v>
      </c>
      <c r="K17687" s="0" t="s">
        <v>58821</v>
      </c>
      <c r="L17687" s="0" t="str">
        <f aca="false">HYPERLINK("https://www.ncbi.nlm.nih.gov/nuccore/CP000058.1?report=graph&amp;tracks=[key:gene_model_track,Options:GeneOnly]&amp;mk=5428177:5428196|offset_21|444444,5428197:5428216|offset_41|444444,5428223:5428242|offset_67|444444,5428247:5428266|offset_91|00cc00&amp;v=5427976:5428466&amp;c=444444", "offset 91")</f>
        <v>offset 91</v>
      </c>
    </row>
    <row r="17688" customFormat="false" ht="12.8" hidden="false" customHeight="false" outlineLevel="0" collapsed="false">
      <c r="A17688" s="0" t="s">
        <v>12</v>
      </c>
      <c r="B17688" s="0" t="n">
        <v>5429655</v>
      </c>
      <c r="C17688" s="0" t="n">
        <v>5429675</v>
      </c>
      <c r="D17688" s="0" t="s">
        <v>58822</v>
      </c>
      <c r="E17688" s="0" t="s">
        <v>75</v>
      </c>
      <c r="F17688" s="0" t="s">
        <v>15</v>
      </c>
      <c r="G17688" s="0" t="s">
        <v>32</v>
      </c>
      <c r="H17688" s="0" t="n">
        <v>7</v>
      </c>
      <c r="I17688" s="0" t="s">
        <v>58823</v>
      </c>
      <c r="J17688" s="0" t="s">
        <v>58824</v>
      </c>
      <c r="K17688" s="0" t="s">
        <v>58825</v>
      </c>
      <c r="L17688" s="0" t="str">
        <f aca="false">HYPERLINK("https://www.ncbi.nlm.nih.gov/nuccore/CP000058.1?report=graph&amp;tracks=[key:gene_model_track,Options:GeneOnly]&amp;mk=5429656:5429675|offset_7|00cc00,5429723:5429742|offset_74|444444,5429746:5429765|offset_97|444444,5429766:5429785|offset_117|444444&amp;v=5429455:5429985&amp;c=444444", "offset 7")</f>
        <v>offset 7</v>
      </c>
    </row>
    <row r="17689" customFormat="false" ht="12.8" hidden="false" customHeight="false" outlineLevel="0" collapsed="false">
      <c r="A17689" s="0" t="s">
        <v>12</v>
      </c>
      <c r="B17689" s="0" t="n">
        <v>5429722</v>
      </c>
      <c r="C17689" s="0" t="n">
        <v>5429742</v>
      </c>
      <c r="D17689" s="0" t="s">
        <v>58822</v>
      </c>
      <c r="E17689" s="0" t="s">
        <v>75</v>
      </c>
      <c r="F17689" s="0" t="s">
        <v>15</v>
      </c>
      <c r="G17689" s="0" t="s">
        <v>16</v>
      </c>
      <c r="H17689" s="0" t="n">
        <v>74</v>
      </c>
      <c r="I17689" s="0" t="s">
        <v>58826</v>
      </c>
      <c r="J17689" s="0" t="s">
        <v>58827</v>
      </c>
      <c r="K17689" s="0" t="s">
        <v>58828</v>
      </c>
      <c r="L17689" s="0" t="str">
        <f aca="false">HYPERLINK("https://www.ncbi.nlm.nih.gov/nuccore/CP000058.1?report=graph&amp;tracks=[key:gene_model_track,Options:GeneOnly]&amp;mk=5429656:5429675|offset_7|444444,5429723:5429742|offset_74|00cc00,5429746:5429765|offset_97|444444,5429766:5429785|offset_117|444444&amp;v=5429455:5429985&amp;c=444444", "offset 74")</f>
        <v>offset 74</v>
      </c>
    </row>
    <row r="17690" customFormat="false" ht="12.8" hidden="false" customHeight="false" outlineLevel="0" collapsed="false">
      <c r="A17690" s="0" t="s">
        <v>12</v>
      </c>
      <c r="B17690" s="0" t="n">
        <v>5429745</v>
      </c>
      <c r="C17690" s="0" t="n">
        <v>5429765</v>
      </c>
      <c r="D17690" s="0" t="s">
        <v>58822</v>
      </c>
      <c r="E17690" s="0" t="s">
        <v>75</v>
      </c>
      <c r="F17690" s="0" t="s">
        <v>15</v>
      </c>
      <c r="G17690" s="0" t="s">
        <v>36</v>
      </c>
      <c r="H17690" s="0" t="n">
        <v>97</v>
      </c>
      <c r="I17690" s="0" t="s">
        <v>58829</v>
      </c>
      <c r="J17690" s="0" t="s">
        <v>58830</v>
      </c>
      <c r="K17690" s="0" t="s">
        <v>58831</v>
      </c>
      <c r="L17690" s="0" t="str">
        <f aca="false">HYPERLINK("https://www.ncbi.nlm.nih.gov/nuccore/CP000058.1?report=graph&amp;tracks=[key:gene_model_track,Options:GeneOnly]&amp;mk=5429656:5429675|offset_7|444444,5429723:5429742|offset_74|444444,5429746:5429765|offset_97|00cc00,5429766:5429785|offset_117|444444&amp;v=5429455:5429985&amp;c=444444", "offset 97")</f>
        <v>offset 97</v>
      </c>
    </row>
    <row r="17691" customFormat="false" ht="12.8" hidden="false" customHeight="false" outlineLevel="0" collapsed="false">
      <c r="A17691" s="0" t="s">
        <v>12</v>
      </c>
      <c r="B17691" s="0" t="n">
        <v>5429765</v>
      </c>
      <c r="C17691" s="0" t="n">
        <v>5429785</v>
      </c>
      <c r="D17691" s="0" t="s">
        <v>58822</v>
      </c>
      <c r="E17691" s="0" t="s">
        <v>75</v>
      </c>
      <c r="F17691" s="0" t="s">
        <v>15</v>
      </c>
      <c r="G17691" s="0" t="s">
        <v>20</v>
      </c>
      <c r="H17691" s="0" t="n">
        <v>117</v>
      </c>
      <c r="I17691" s="0" t="s">
        <v>58832</v>
      </c>
      <c r="J17691" s="0" t="s">
        <v>58833</v>
      </c>
      <c r="K17691" s="0" t="s">
        <v>58834</v>
      </c>
      <c r="L17691" s="0" t="str">
        <f aca="false">HYPERLINK("https://www.ncbi.nlm.nih.gov/nuccore/CP000058.1?report=graph&amp;tracks=[key:gene_model_track,Options:GeneOnly]&amp;mk=5429656:5429675|offset_7|444444,5429723:5429742|offset_74|444444,5429746:5429765|offset_97|444444,5429766:5429785|offset_117|00cc00&amp;v=5429455:5429985&amp;c=444444", "offset 117")</f>
        <v>offset 117</v>
      </c>
    </row>
    <row r="17692" customFormat="false" ht="12.8" hidden="false" customHeight="false" outlineLevel="0" collapsed="false">
      <c r="A17692" s="0" t="s">
        <v>12</v>
      </c>
      <c r="B17692" s="0" t="n">
        <v>5431895</v>
      </c>
      <c r="C17692" s="0" t="n">
        <v>5431915</v>
      </c>
      <c r="D17692" s="0" t="s">
        <v>58835</v>
      </c>
      <c r="E17692" s="0" t="s">
        <v>75</v>
      </c>
      <c r="F17692" s="0" t="s">
        <v>90</v>
      </c>
      <c r="G17692" s="0" t="s">
        <v>36</v>
      </c>
      <c r="H17692" s="0" t="n">
        <v>13</v>
      </c>
      <c r="I17692" s="0" t="s">
        <v>58836</v>
      </c>
      <c r="J17692" s="0" t="s">
        <v>58837</v>
      </c>
      <c r="K17692" s="0" t="s">
        <v>58838</v>
      </c>
      <c r="L17692" s="0" t="str">
        <f aca="false">HYPERLINK("https://www.ncbi.nlm.nih.gov/nuccore/CP000058.1?report=graph&amp;tracks=[key:gene_model_track,Options:GeneOnly]&amp;mk=5431896:5431915|offset_13|00cc00,5431868:5431887|offset_41|444444,5431843:5431862|offset_66|444444,5431800:5431819|offset_109|444444&amp;v=5431695:5432019&amp;c=444444", "offset 13")</f>
        <v>offset 13</v>
      </c>
    </row>
    <row r="17693" customFormat="false" ht="12.8" hidden="false" customHeight="false" outlineLevel="0" collapsed="false">
      <c r="A17693" s="0" t="s">
        <v>12</v>
      </c>
      <c r="B17693" s="0" t="n">
        <v>5431867</v>
      </c>
      <c r="C17693" s="0" t="n">
        <v>5431887</v>
      </c>
      <c r="D17693" s="0" t="s">
        <v>58835</v>
      </c>
      <c r="E17693" s="0" t="s">
        <v>75</v>
      </c>
      <c r="F17693" s="0" t="s">
        <v>90</v>
      </c>
      <c r="G17693" s="0" t="s">
        <v>16</v>
      </c>
      <c r="H17693" s="0" t="n">
        <v>41</v>
      </c>
      <c r="I17693" s="0" t="s">
        <v>58839</v>
      </c>
      <c r="J17693" s="0" t="s">
        <v>58840</v>
      </c>
      <c r="K17693" s="0" t="s">
        <v>58841</v>
      </c>
      <c r="L17693" s="0" t="str">
        <f aca="false">HYPERLINK("https://www.ncbi.nlm.nih.gov/nuccore/CP000058.1?report=graph&amp;tracks=[key:gene_model_track,Options:GeneOnly]&amp;mk=5431896:5431915|offset_13|444444,5431868:5431887|offset_41|00cc00,5431843:5431862|offset_66|444444,5431800:5431819|offset_109|444444&amp;v=5431695:5432019&amp;c=444444", "offset 41")</f>
        <v>offset 41</v>
      </c>
    </row>
    <row r="17694" customFormat="false" ht="12.8" hidden="false" customHeight="false" outlineLevel="0" collapsed="false">
      <c r="A17694" s="0" t="s">
        <v>12</v>
      </c>
      <c r="B17694" s="0" t="n">
        <v>5431842</v>
      </c>
      <c r="C17694" s="0" t="n">
        <v>5431862</v>
      </c>
      <c r="D17694" s="0" t="s">
        <v>58835</v>
      </c>
      <c r="E17694" s="0" t="s">
        <v>75</v>
      </c>
      <c r="F17694" s="0" t="s">
        <v>90</v>
      </c>
      <c r="G17694" s="0" t="s">
        <v>36</v>
      </c>
      <c r="H17694" s="0" t="n">
        <v>66</v>
      </c>
      <c r="I17694" s="0" t="s">
        <v>58842</v>
      </c>
      <c r="J17694" s="0" t="s">
        <v>58843</v>
      </c>
      <c r="K17694" s="0" t="s">
        <v>58844</v>
      </c>
      <c r="L17694" s="0" t="str">
        <f aca="false">HYPERLINK("https://www.ncbi.nlm.nih.gov/nuccore/CP000058.1?report=graph&amp;tracks=[key:gene_model_track,Options:GeneOnly]&amp;mk=5431896:5431915|offset_13|444444,5431868:5431887|offset_41|444444,5431843:5431862|offset_66|00cc00,5431800:5431819|offset_109|444444&amp;v=5431695:5432019&amp;c=444444", "offset 66")</f>
        <v>offset 66</v>
      </c>
    </row>
    <row r="17695" customFormat="false" ht="12.8" hidden="false" customHeight="false" outlineLevel="0" collapsed="false">
      <c r="A17695" s="0" t="s">
        <v>12</v>
      </c>
      <c r="B17695" s="0" t="n">
        <v>5431799</v>
      </c>
      <c r="C17695" s="0" t="n">
        <v>5431819</v>
      </c>
      <c r="D17695" s="0" t="s">
        <v>58835</v>
      </c>
      <c r="E17695" s="0" t="s">
        <v>75</v>
      </c>
      <c r="F17695" s="0" t="s">
        <v>90</v>
      </c>
      <c r="G17695" s="0" t="s">
        <v>36</v>
      </c>
      <c r="H17695" s="0" t="n">
        <v>109</v>
      </c>
      <c r="I17695" s="0" t="s">
        <v>58845</v>
      </c>
      <c r="J17695" s="0" t="s">
        <v>58846</v>
      </c>
      <c r="K17695" s="0" t="s">
        <v>58847</v>
      </c>
      <c r="L17695" s="0" t="str">
        <f aca="false">HYPERLINK("https://www.ncbi.nlm.nih.gov/nuccore/CP000058.1?report=graph&amp;tracks=[key:gene_model_track,Options:GeneOnly]&amp;mk=5431896:5431915|offset_13|444444,5431868:5431887|offset_41|444444,5431843:5431862|offset_66|444444,5431800:5431819|offset_109|00cc00&amp;v=5431695:5432019&amp;c=444444", "offset 109")</f>
        <v>offset 109</v>
      </c>
    </row>
    <row r="17696" customFormat="false" ht="12.8" hidden="false" customHeight="false" outlineLevel="0" collapsed="false">
      <c r="A17696" s="0" t="s">
        <v>12</v>
      </c>
      <c r="B17696" s="0" t="n">
        <v>5432232</v>
      </c>
      <c r="C17696" s="0" t="n">
        <v>5432252</v>
      </c>
      <c r="D17696" s="0" t="s">
        <v>58848</v>
      </c>
      <c r="E17696" s="0" t="s">
        <v>75</v>
      </c>
      <c r="F17696" s="0" t="s">
        <v>15</v>
      </c>
      <c r="G17696" s="0" t="s">
        <v>32</v>
      </c>
      <c r="H17696" s="0" t="n">
        <v>7</v>
      </c>
      <c r="I17696" s="0" t="s">
        <v>58849</v>
      </c>
      <c r="J17696" s="0" t="s">
        <v>58850</v>
      </c>
      <c r="K17696" s="0" t="s">
        <v>58851</v>
      </c>
      <c r="L17696" s="0" t="str">
        <f aca="false">HYPERLINK("https://www.ncbi.nlm.nih.gov/nuccore/CP000058.1?report=graph&amp;tracks=[key:gene_model_track,Options:GeneOnly]&amp;mk=5432233:5432252|offset_7|00cc00,5432254:5432273|offset_28|444444,5432274:5432293|offset_48|444444,5432295:5432314|offset_69|444444&amp;v=5432032:5432514&amp;c=444444", "offset 7")</f>
        <v>offset 7</v>
      </c>
    </row>
    <row r="17697" customFormat="false" ht="12.8" hidden="false" customHeight="false" outlineLevel="0" collapsed="false">
      <c r="A17697" s="0" t="s">
        <v>12</v>
      </c>
      <c r="B17697" s="0" t="n">
        <v>5432253</v>
      </c>
      <c r="C17697" s="0" t="n">
        <v>5432273</v>
      </c>
      <c r="D17697" s="0" t="s">
        <v>58848</v>
      </c>
      <c r="E17697" s="0" t="s">
        <v>75</v>
      </c>
      <c r="F17697" s="0" t="s">
        <v>15</v>
      </c>
      <c r="G17697" s="0" t="s">
        <v>36</v>
      </c>
      <c r="H17697" s="0" t="n">
        <v>28</v>
      </c>
      <c r="I17697" s="0" t="s">
        <v>58852</v>
      </c>
      <c r="J17697" s="0" t="s">
        <v>58853</v>
      </c>
      <c r="K17697" s="0" t="s">
        <v>58854</v>
      </c>
      <c r="L17697" s="0" t="str">
        <f aca="false">HYPERLINK("https://www.ncbi.nlm.nih.gov/nuccore/CP000058.1?report=graph&amp;tracks=[key:gene_model_track,Options:GeneOnly]&amp;mk=5432233:5432252|offset_7|444444,5432254:5432273|offset_28|00cc00,5432274:5432293|offset_48|444444,5432295:5432314|offset_69|444444&amp;v=5432032:5432514&amp;c=444444", "offset 28")</f>
        <v>offset 28</v>
      </c>
    </row>
    <row r="17698" customFormat="false" ht="12.8" hidden="false" customHeight="false" outlineLevel="0" collapsed="false">
      <c r="A17698" s="0" t="s">
        <v>12</v>
      </c>
      <c r="B17698" s="0" t="n">
        <v>5432273</v>
      </c>
      <c r="C17698" s="0" t="n">
        <v>5432293</v>
      </c>
      <c r="D17698" s="0" t="s">
        <v>58848</v>
      </c>
      <c r="E17698" s="0" t="s">
        <v>75</v>
      </c>
      <c r="F17698" s="0" t="s">
        <v>15</v>
      </c>
      <c r="G17698" s="0" t="s">
        <v>16</v>
      </c>
      <c r="H17698" s="0" t="n">
        <v>48</v>
      </c>
      <c r="I17698" s="0" t="s">
        <v>58855</v>
      </c>
      <c r="J17698" s="0" t="s">
        <v>58856</v>
      </c>
      <c r="K17698" s="0" t="s">
        <v>58857</v>
      </c>
      <c r="L17698" s="0" t="str">
        <f aca="false">HYPERLINK("https://www.ncbi.nlm.nih.gov/nuccore/CP000058.1?report=graph&amp;tracks=[key:gene_model_track,Options:GeneOnly]&amp;mk=5432233:5432252|offset_7|444444,5432254:5432273|offset_28|444444,5432274:5432293|offset_48|00cc00,5432295:5432314|offset_69|444444&amp;v=5432032:5432514&amp;c=444444", "offset 48")</f>
        <v>offset 48</v>
      </c>
    </row>
    <row r="17699" customFormat="false" ht="12.8" hidden="false" customHeight="false" outlineLevel="0" collapsed="false">
      <c r="A17699" s="0" t="s">
        <v>12</v>
      </c>
      <c r="B17699" s="0" t="n">
        <v>5432294</v>
      </c>
      <c r="C17699" s="0" t="n">
        <v>5432314</v>
      </c>
      <c r="D17699" s="0" t="s">
        <v>58848</v>
      </c>
      <c r="E17699" s="0" t="s">
        <v>75</v>
      </c>
      <c r="F17699" s="0" t="s">
        <v>15</v>
      </c>
      <c r="G17699" s="0" t="s">
        <v>16</v>
      </c>
      <c r="H17699" s="0" t="n">
        <v>69</v>
      </c>
      <c r="I17699" s="0" t="s">
        <v>58858</v>
      </c>
      <c r="J17699" s="0" t="s">
        <v>58859</v>
      </c>
      <c r="K17699" s="0" t="s">
        <v>58860</v>
      </c>
      <c r="L17699" s="0" t="str">
        <f aca="false">HYPERLINK("https://www.ncbi.nlm.nih.gov/nuccore/CP000058.1?report=graph&amp;tracks=[key:gene_model_track,Options:GeneOnly]&amp;mk=5432233:5432252|offset_7|444444,5432254:5432273|offset_28|444444,5432274:5432293|offset_48|444444,5432295:5432314|offset_69|00cc00&amp;v=5432032:5432514&amp;c=444444", "offset 69")</f>
        <v>offset 69</v>
      </c>
    </row>
    <row r="17700" customFormat="false" ht="12.8" hidden="false" customHeight="false" outlineLevel="0" collapsed="false">
      <c r="A17700" s="0" t="s">
        <v>12</v>
      </c>
      <c r="B17700" s="0" t="n">
        <v>5434098</v>
      </c>
      <c r="C17700" s="0" t="n">
        <v>5434118</v>
      </c>
      <c r="D17700" s="0" t="s">
        <v>58861</v>
      </c>
      <c r="E17700" s="0" t="s">
        <v>75</v>
      </c>
      <c r="F17700" s="0" t="s">
        <v>90</v>
      </c>
      <c r="G17700" s="0" t="s">
        <v>32</v>
      </c>
      <c r="H17700" s="0" t="n">
        <v>7</v>
      </c>
      <c r="I17700" s="0" t="s">
        <v>58862</v>
      </c>
      <c r="J17700" s="0" t="s">
        <v>58863</v>
      </c>
      <c r="K17700" s="0" t="s">
        <v>58864</v>
      </c>
      <c r="L17700" s="0" t="str">
        <f aca="false">HYPERLINK("https://www.ncbi.nlm.nih.gov/nuccore/CP000058.1?report=graph&amp;tracks=[key:gene_model_track,Options:GeneOnly]&amp;mk=5434099:5434118|offset_7|00cc00,5434079:5434098|offset_27|444444,5434051:5434070|offset_55|444444,5434026:5434045|offset_80|444444&amp;v=5433898:5434245&amp;c=444444", "offset 7")</f>
        <v>offset 7</v>
      </c>
    </row>
    <row r="17701" customFormat="false" ht="12.8" hidden="false" customHeight="false" outlineLevel="0" collapsed="false">
      <c r="A17701" s="0" t="s">
        <v>12</v>
      </c>
      <c r="B17701" s="0" t="n">
        <v>5434078</v>
      </c>
      <c r="C17701" s="0" t="n">
        <v>5434098</v>
      </c>
      <c r="D17701" s="0" t="s">
        <v>58861</v>
      </c>
      <c r="E17701" s="0" t="s">
        <v>75</v>
      </c>
      <c r="F17701" s="0" t="s">
        <v>90</v>
      </c>
      <c r="G17701" s="0" t="s">
        <v>36</v>
      </c>
      <c r="H17701" s="0" t="n">
        <v>27</v>
      </c>
      <c r="I17701" s="0" t="s">
        <v>58865</v>
      </c>
      <c r="J17701" s="0" t="s">
        <v>58866</v>
      </c>
      <c r="K17701" s="0" t="s">
        <v>58867</v>
      </c>
      <c r="L17701" s="0" t="str">
        <f aca="false">HYPERLINK("https://www.ncbi.nlm.nih.gov/nuccore/CP000058.1?report=graph&amp;tracks=[key:gene_model_track,Options:GeneOnly]&amp;mk=5434099:5434118|offset_7|444444,5434079:5434098|offset_27|00cc00,5434051:5434070|offset_55|444444,5434026:5434045|offset_80|444444&amp;v=5433898:5434245&amp;c=444444", "offset 27")</f>
        <v>offset 27</v>
      </c>
    </row>
    <row r="17702" customFormat="false" ht="12.8" hidden="false" customHeight="false" outlineLevel="0" collapsed="false">
      <c r="A17702" s="0" t="s">
        <v>12</v>
      </c>
      <c r="B17702" s="0" t="n">
        <v>5434050</v>
      </c>
      <c r="C17702" s="0" t="n">
        <v>5434070</v>
      </c>
      <c r="D17702" s="0" t="s">
        <v>58861</v>
      </c>
      <c r="E17702" s="0" t="s">
        <v>75</v>
      </c>
      <c r="F17702" s="0" t="s">
        <v>90</v>
      </c>
      <c r="G17702" s="0" t="s">
        <v>36</v>
      </c>
      <c r="H17702" s="0" t="n">
        <v>55</v>
      </c>
      <c r="I17702" s="0" t="s">
        <v>58868</v>
      </c>
      <c r="J17702" s="0" t="s">
        <v>58869</v>
      </c>
      <c r="K17702" s="0" t="s">
        <v>58870</v>
      </c>
      <c r="L17702" s="0" t="str">
        <f aca="false">HYPERLINK("https://www.ncbi.nlm.nih.gov/nuccore/CP000058.1?report=graph&amp;tracks=[key:gene_model_track,Options:GeneOnly]&amp;mk=5434099:5434118|offset_7|444444,5434079:5434098|offset_27|444444,5434051:5434070|offset_55|00cc00,5434026:5434045|offset_80|444444&amp;v=5433898:5434245&amp;c=444444", "offset 55")</f>
        <v>offset 55</v>
      </c>
    </row>
    <row r="17703" customFormat="false" ht="12.8" hidden="false" customHeight="false" outlineLevel="0" collapsed="false">
      <c r="A17703" s="0" t="s">
        <v>12</v>
      </c>
      <c r="B17703" s="0" t="n">
        <v>5434025</v>
      </c>
      <c r="C17703" s="0" t="n">
        <v>5434045</v>
      </c>
      <c r="D17703" s="0" t="s">
        <v>58861</v>
      </c>
      <c r="E17703" s="0" t="s">
        <v>75</v>
      </c>
      <c r="F17703" s="0" t="s">
        <v>90</v>
      </c>
      <c r="G17703" s="0" t="s">
        <v>16</v>
      </c>
      <c r="H17703" s="0" t="n">
        <v>80</v>
      </c>
      <c r="I17703" s="0" t="s">
        <v>58871</v>
      </c>
      <c r="J17703" s="0" t="s">
        <v>58872</v>
      </c>
      <c r="K17703" s="0" t="s">
        <v>58873</v>
      </c>
      <c r="L17703" s="0" t="str">
        <f aca="false">HYPERLINK("https://www.ncbi.nlm.nih.gov/nuccore/CP000058.1?report=graph&amp;tracks=[key:gene_model_track,Options:GeneOnly]&amp;mk=5434099:5434118|offset_7|444444,5434079:5434098|offset_27|444444,5434051:5434070|offset_55|444444,5434026:5434045|offset_80|00cc00&amp;v=5433898:5434245&amp;c=444444", "offset 80")</f>
        <v>offset 80</v>
      </c>
    </row>
    <row r="17704" customFormat="false" ht="12.8" hidden="false" customHeight="false" outlineLevel="0" collapsed="false">
      <c r="A17704" s="0" t="s">
        <v>12</v>
      </c>
      <c r="B17704" s="0" t="n">
        <v>5434812</v>
      </c>
      <c r="C17704" s="0" t="n">
        <v>5434832</v>
      </c>
      <c r="D17704" s="0" t="s">
        <v>58874</v>
      </c>
      <c r="E17704" s="0" t="s">
        <v>75</v>
      </c>
      <c r="F17704" s="0" t="s">
        <v>90</v>
      </c>
      <c r="G17704" s="0" t="s">
        <v>36</v>
      </c>
      <c r="H17704" s="0" t="n">
        <v>10</v>
      </c>
      <c r="I17704" s="0" t="s">
        <v>58875</v>
      </c>
      <c r="J17704" s="0" t="s">
        <v>58876</v>
      </c>
      <c r="K17704" s="0" t="s">
        <v>58877</v>
      </c>
      <c r="L17704" s="0" t="str">
        <f aca="false">HYPERLINK("https://www.ncbi.nlm.nih.gov/nuccore/CP000058.1?report=graph&amp;tracks=[key:gene_model_track,Options:GeneOnly]&amp;mk=5434813:5434832|offset_10|00cc00,5434738:5434757|offset_85|444444,5434686:5434705|offset_137|444444,5434657:5434676|offset_166|444444&amp;v=5434612:5434876&amp;c=444444", "offset 10")</f>
        <v>offset 10</v>
      </c>
    </row>
    <row r="17705" customFormat="false" ht="12.8" hidden="false" customHeight="false" outlineLevel="0" collapsed="false">
      <c r="A17705" s="0" t="s">
        <v>12</v>
      </c>
      <c r="B17705" s="0" t="n">
        <v>5434737</v>
      </c>
      <c r="C17705" s="0" t="n">
        <v>5434757</v>
      </c>
      <c r="D17705" s="0" t="s">
        <v>58874</v>
      </c>
      <c r="E17705" s="0" t="s">
        <v>75</v>
      </c>
      <c r="F17705" s="0" t="s">
        <v>90</v>
      </c>
      <c r="G17705" s="0" t="s">
        <v>32</v>
      </c>
      <c r="H17705" s="0" t="n">
        <v>85</v>
      </c>
      <c r="I17705" s="0" t="s">
        <v>58878</v>
      </c>
      <c r="J17705" s="0" t="s">
        <v>58879</v>
      </c>
      <c r="K17705" s="0" t="s">
        <v>58880</v>
      </c>
      <c r="L17705" s="0" t="str">
        <f aca="false">HYPERLINK("https://www.ncbi.nlm.nih.gov/nuccore/CP000058.1?report=graph&amp;tracks=[key:gene_model_track,Options:GeneOnly]&amp;mk=5434813:5434832|offset_10|444444,5434738:5434757|offset_85|00cc00,5434686:5434705|offset_137|444444,5434657:5434676|offset_166|444444&amp;v=5434612:5434876&amp;c=444444", "offset 85")</f>
        <v>offset 85</v>
      </c>
    </row>
    <row r="17706" customFormat="false" ht="12.8" hidden="false" customHeight="false" outlineLevel="0" collapsed="false">
      <c r="A17706" s="0" t="s">
        <v>12</v>
      </c>
      <c r="B17706" s="0" t="n">
        <v>5434685</v>
      </c>
      <c r="C17706" s="0" t="n">
        <v>5434705</v>
      </c>
      <c r="D17706" s="0" t="s">
        <v>58874</v>
      </c>
      <c r="E17706" s="0" t="s">
        <v>75</v>
      </c>
      <c r="F17706" s="0" t="s">
        <v>90</v>
      </c>
      <c r="G17706" s="0" t="s">
        <v>32</v>
      </c>
      <c r="H17706" s="0" t="n">
        <v>137</v>
      </c>
      <c r="I17706" s="0" t="s">
        <v>58881</v>
      </c>
      <c r="J17706" s="0" t="s">
        <v>58882</v>
      </c>
      <c r="K17706" s="0" t="s">
        <v>58883</v>
      </c>
      <c r="L17706" s="0" t="str">
        <f aca="false">HYPERLINK("https://www.ncbi.nlm.nih.gov/nuccore/CP000058.1?report=graph&amp;tracks=[key:gene_model_track,Options:GeneOnly]&amp;mk=5434813:5434832|offset_10|444444,5434738:5434757|offset_85|444444,5434686:5434705|offset_137|00cc00,5434657:5434676|offset_166|444444&amp;v=5434612:5434876&amp;c=444444", "offset 137")</f>
        <v>offset 137</v>
      </c>
    </row>
    <row r="17707" customFormat="false" ht="12.8" hidden="false" customHeight="false" outlineLevel="0" collapsed="false">
      <c r="A17707" s="0" t="s">
        <v>12</v>
      </c>
      <c r="B17707" s="0" t="n">
        <v>5434656</v>
      </c>
      <c r="C17707" s="0" t="n">
        <v>5434676</v>
      </c>
      <c r="D17707" s="0" t="s">
        <v>58874</v>
      </c>
      <c r="E17707" s="0" t="s">
        <v>75</v>
      </c>
      <c r="F17707" s="0" t="s">
        <v>90</v>
      </c>
      <c r="G17707" s="0" t="s">
        <v>16</v>
      </c>
      <c r="H17707" s="0" t="n">
        <v>166</v>
      </c>
      <c r="I17707" s="0" t="s">
        <v>58884</v>
      </c>
      <c r="J17707" s="0" t="s">
        <v>58885</v>
      </c>
      <c r="K17707" s="0" t="s">
        <v>58886</v>
      </c>
      <c r="L17707" s="0" t="str">
        <f aca="false">HYPERLINK("https://www.ncbi.nlm.nih.gov/nuccore/CP000058.1?report=graph&amp;tracks=[key:gene_model_track,Options:GeneOnly]&amp;mk=5434813:5434832|offset_10|444444,5434738:5434757|offset_85|444444,5434686:5434705|offset_137|444444,5434657:5434676|offset_166|00cc00&amp;v=5434612:5434876&amp;c=444444", "offset 166")</f>
        <v>offset 166</v>
      </c>
    </row>
    <row r="17708" customFormat="false" ht="12.8" hidden="false" customHeight="false" outlineLevel="0" collapsed="false">
      <c r="A17708" s="0" t="s">
        <v>12</v>
      </c>
      <c r="B17708" s="0" t="n">
        <v>5435098</v>
      </c>
      <c r="C17708" s="0" t="n">
        <v>5435118</v>
      </c>
      <c r="D17708" s="0" t="s">
        <v>58887</v>
      </c>
      <c r="E17708" s="0" t="s">
        <v>58888</v>
      </c>
      <c r="F17708" s="0" t="s">
        <v>15</v>
      </c>
      <c r="G17708" s="0" t="s">
        <v>36</v>
      </c>
      <c r="H17708" s="0" t="n">
        <v>26</v>
      </c>
      <c r="I17708" s="0" t="s">
        <v>58889</v>
      </c>
      <c r="J17708" s="0" t="s">
        <v>58890</v>
      </c>
      <c r="K17708" s="0" t="s">
        <v>58891</v>
      </c>
      <c r="L17708" s="0" t="str">
        <f aca="false">HYPERLINK("https://www.ncbi.nlm.nih.gov/nuccore/CP000058.1?report=graph&amp;tracks=[key:gene_model_track,Options:GeneOnly]&amp;mk=5435099:5435118|offset_26|00cc00,5435120:5435139|offset_47|444444,5435143:5435162|offset_70|444444,5435165:5435184|offset_92|444444&amp;v=5434898:5435384&amp;c=444444", "offset 26")</f>
        <v>offset 26</v>
      </c>
    </row>
    <row r="17709" customFormat="false" ht="12.8" hidden="false" customHeight="false" outlineLevel="0" collapsed="false">
      <c r="A17709" s="0" t="s">
        <v>12</v>
      </c>
      <c r="B17709" s="0" t="n">
        <v>5435119</v>
      </c>
      <c r="C17709" s="0" t="n">
        <v>5435139</v>
      </c>
      <c r="D17709" s="0" t="s">
        <v>58887</v>
      </c>
      <c r="E17709" s="0" t="s">
        <v>58888</v>
      </c>
      <c r="F17709" s="0" t="s">
        <v>15</v>
      </c>
      <c r="G17709" s="0" t="s">
        <v>32</v>
      </c>
      <c r="H17709" s="0" t="n">
        <v>47</v>
      </c>
      <c r="I17709" s="0" t="s">
        <v>58892</v>
      </c>
      <c r="J17709" s="0" t="s">
        <v>58893</v>
      </c>
      <c r="K17709" s="0" t="s">
        <v>58894</v>
      </c>
      <c r="L17709" s="0" t="str">
        <f aca="false">HYPERLINK("https://www.ncbi.nlm.nih.gov/nuccore/CP000058.1?report=graph&amp;tracks=[key:gene_model_track,Options:GeneOnly]&amp;mk=5435099:5435118|offset_26|444444,5435120:5435139|offset_47|00cc00,5435143:5435162|offset_70|444444,5435165:5435184|offset_92|444444&amp;v=5434898:5435384&amp;c=444444", "offset 47")</f>
        <v>offset 47</v>
      </c>
    </row>
    <row r="17710" customFormat="false" ht="12.8" hidden="false" customHeight="false" outlineLevel="0" collapsed="false">
      <c r="A17710" s="0" t="s">
        <v>12</v>
      </c>
      <c r="B17710" s="0" t="n">
        <v>5435142</v>
      </c>
      <c r="C17710" s="0" t="n">
        <v>5435162</v>
      </c>
      <c r="D17710" s="0" t="s">
        <v>58887</v>
      </c>
      <c r="E17710" s="0" t="s">
        <v>58888</v>
      </c>
      <c r="F17710" s="0" t="s">
        <v>15</v>
      </c>
      <c r="G17710" s="0" t="s">
        <v>16</v>
      </c>
      <c r="H17710" s="0" t="n">
        <v>70</v>
      </c>
      <c r="I17710" s="0" t="s">
        <v>58895</v>
      </c>
      <c r="J17710" s="0" t="s">
        <v>58896</v>
      </c>
      <c r="K17710" s="0" t="s">
        <v>58897</v>
      </c>
      <c r="L17710" s="0" t="str">
        <f aca="false">HYPERLINK("https://www.ncbi.nlm.nih.gov/nuccore/CP000058.1?report=graph&amp;tracks=[key:gene_model_track,Options:GeneOnly]&amp;mk=5435099:5435118|offset_26|444444,5435120:5435139|offset_47|444444,5435143:5435162|offset_70|00cc00,5435165:5435184|offset_92|444444&amp;v=5434898:5435384&amp;c=444444", "offset 70")</f>
        <v>offset 70</v>
      </c>
    </row>
    <row r="17711" customFormat="false" ht="12.8" hidden="false" customHeight="false" outlineLevel="0" collapsed="false">
      <c r="A17711" s="0" t="s">
        <v>12</v>
      </c>
      <c r="B17711" s="0" t="n">
        <v>5435164</v>
      </c>
      <c r="C17711" s="0" t="n">
        <v>5435184</v>
      </c>
      <c r="D17711" s="0" t="s">
        <v>58887</v>
      </c>
      <c r="E17711" s="0" t="s">
        <v>58888</v>
      </c>
      <c r="F17711" s="0" t="s">
        <v>15</v>
      </c>
      <c r="G17711" s="0" t="s">
        <v>16</v>
      </c>
      <c r="H17711" s="0" t="n">
        <v>92</v>
      </c>
      <c r="I17711" s="0" t="s">
        <v>58898</v>
      </c>
      <c r="J17711" s="0" t="s">
        <v>58899</v>
      </c>
      <c r="K17711" s="0" t="s">
        <v>58900</v>
      </c>
      <c r="L17711" s="0" t="str">
        <f aca="false">HYPERLINK("https://www.ncbi.nlm.nih.gov/nuccore/CP000058.1?report=graph&amp;tracks=[key:gene_model_track,Options:GeneOnly]&amp;mk=5435099:5435118|offset_26|444444,5435120:5435139|offset_47|444444,5435143:5435162|offset_70|444444,5435165:5435184|offset_92|00cc00&amp;v=5434898:5435384&amp;c=444444", "offset 92")</f>
        <v>offset 92</v>
      </c>
    </row>
    <row r="17712" customFormat="false" ht="12.8" hidden="false" customHeight="false" outlineLevel="0" collapsed="false">
      <c r="A17712" s="0" t="s">
        <v>12</v>
      </c>
      <c r="B17712" s="0" t="n">
        <v>5435741</v>
      </c>
      <c r="C17712" s="0" t="n">
        <v>5435761</v>
      </c>
      <c r="D17712" s="0" t="s">
        <v>58901</v>
      </c>
      <c r="E17712" s="0" t="s">
        <v>75</v>
      </c>
      <c r="F17712" s="0" t="s">
        <v>15</v>
      </c>
      <c r="G17712" s="0" t="s">
        <v>36</v>
      </c>
      <c r="H17712" s="0" t="n">
        <v>7</v>
      </c>
      <c r="I17712" s="0" t="s">
        <v>58902</v>
      </c>
      <c r="J17712" s="0" t="s">
        <v>58903</v>
      </c>
      <c r="K17712" s="0" t="s">
        <v>58904</v>
      </c>
      <c r="L17712" s="0" t="str">
        <f aca="false">HYPERLINK("https://www.ncbi.nlm.nih.gov/nuccore/CP000058.1?report=graph&amp;tracks=[key:gene_model_track,Options:GeneOnly]&amp;mk=5435742:5435761|offset_7|00cc00,5435786:5435805|offset_51|444444,5435839:5435858|offset_104|444444,5435879:5435898|offset_144|444444&amp;v=5435541:5436098&amp;c=444444", "offset 7")</f>
        <v>offset 7</v>
      </c>
    </row>
    <row r="17713" customFormat="false" ht="12.8" hidden="false" customHeight="false" outlineLevel="0" collapsed="false">
      <c r="A17713" s="0" t="s">
        <v>12</v>
      </c>
      <c r="B17713" s="0" t="n">
        <v>5435785</v>
      </c>
      <c r="C17713" s="0" t="n">
        <v>5435805</v>
      </c>
      <c r="D17713" s="0" t="s">
        <v>58901</v>
      </c>
      <c r="E17713" s="0" t="s">
        <v>75</v>
      </c>
      <c r="F17713" s="0" t="s">
        <v>15</v>
      </c>
      <c r="G17713" s="0" t="s">
        <v>36</v>
      </c>
      <c r="H17713" s="0" t="n">
        <v>51</v>
      </c>
      <c r="I17713" s="0" t="s">
        <v>58905</v>
      </c>
      <c r="J17713" s="0" t="s">
        <v>58906</v>
      </c>
      <c r="K17713" s="0" t="s">
        <v>58907</v>
      </c>
      <c r="L17713" s="0" t="str">
        <f aca="false">HYPERLINK("https://www.ncbi.nlm.nih.gov/nuccore/CP000058.1?report=graph&amp;tracks=[key:gene_model_track,Options:GeneOnly]&amp;mk=5435742:5435761|offset_7|444444,5435786:5435805|offset_51|00cc00,5435839:5435858|offset_104|444444,5435879:5435898|offset_144|444444&amp;v=5435541:5436098&amp;c=444444", "offset 51")</f>
        <v>offset 51</v>
      </c>
    </row>
    <row r="17714" customFormat="false" ht="12.8" hidden="false" customHeight="false" outlineLevel="0" collapsed="false">
      <c r="A17714" s="0" t="s">
        <v>12</v>
      </c>
      <c r="B17714" s="0" t="n">
        <v>5435838</v>
      </c>
      <c r="C17714" s="0" t="n">
        <v>5435858</v>
      </c>
      <c r="D17714" s="0" t="s">
        <v>58901</v>
      </c>
      <c r="E17714" s="0" t="s">
        <v>75</v>
      </c>
      <c r="F17714" s="0" t="s">
        <v>15</v>
      </c>
      <c r="G17714" s="0" t="s">
        <v>36</v>
      </c>
      <c r="H17714" s="0" t="n">
        <v>104</v>
      </c>
      <c r="I17714" s="0" t="s">
        <v>58908</v>
      </c>
      <c r="J17714" s="0" t="s">
        <v>58909</v>
      </c>
      <c r="K17714" s="0" t="s">
        <v>58910</v>
      </c>
      <c r="L17714" s="0" t="str">
        <f aca="false">HYPERLINK("https://www.ncbi.nlm.nih.gov/nuccore/CP000058.1?report=graph&amp;tracks=[key:gene_model_track,Options:GeneOnly]&amp;mk=5435742:5435761|offset_7|444444,5435786:5435805|offset_51|444444,5435839:5435858|offset_104|00cc00,5435879:5435898|offset_144|444444&amp;v=5435541:5436098&amp;c=444444", "offset 104")</f>
        <v>offset 104</v>
      </c>
    </row>
    <row r="17715" customFormat="false" ht="12.8" hidden="false" customHeight="false" outlineLevel="0" collapsed="false">
      <c r="A17715" s="0" t="s">
        <v>12</v>
      </c>
      <c r="B17715" s="0" t="n">
        <v>5435878</v>
      </c>
      <c r="C17715" s="0" t="n">
        <v>5435898</v>
      </c>
      <c r="D17715" s="0" t="s">
        <v>58901</v>
      </c>
      <c r="E17715" s="0" t="s">
        <v>75</v>
      </c>
      <c r="F17715" s="0" t="s">
        <v>15</v>
      </c>
      <c r="G17715" s="0" t="s">
        <v>20</v>
      </c>
      <c r="H17715" s="0" t="n">
        <v>144</v>
      </c>
      <c r="I17715" s="0" t="s">
        <v>58911</v>
      </c>
      <c r="J17715" s="0" t="s">
        <v>58912</v>
      </c>
      <c r="K17715" s="0" t="s">
        <v>58913</v>
      </c>
      <c r="L17715" s="0" t="str">
        <f aca="false">HYPERLINK("https://www.ncbi.nlm.nih.gov/nuccore/CP000058.1?report=graph&amp;tracks=[key:gene_model_track,Options:GeneOnly]&amp;mk=5435742:5435761|offset_7|444444,5435786:5435805|offset_51|444444,5435839:5435858|offset_104|444444,5435879:5435898|offset_144|00cc00&amp;v=5435541:5436098&amp;c=444444", "offset 144")</f>
        <v>offset 144</v>
      </c>
    </row>
    <row r="17716" customFormat="false" ht="12.8" hidden="false" customHeight="false" outlineLevel="0" collapsed="false">
      <c r="A17716" s="0" t="s">
        <v>12</v>
      </c>
      <c r="B17716" s="0" t="n">
        <v>5436312</v>
      </c>
      <c r="C17716" s="0" t="n">
        <v>5436332</v>
      </c>
      <c r="D17716" s="0" t="s">
        <v>58914</v>
      </c>
      <c r="E17716" s="0" t="s">
        <v>75</v>
      </c>
      <c r="F17716" s="0" t="s">
        <v>90</v>
      </c>
      <c r="G17716" s="0" t="s">
        <v>32</v>
      </c>
      <c r="H17716" s="0" t="n">
        <v>1</v>
      </c>
      <c r="I17716" s="0" t="s">
        <v>58915</v>
      </c>
      <c r="J17716" s="0" t="s">
        <v>58916</v>
      </c>
      <c r="K17716" s="0" t="s">
        <v>58917</v>
      </c>
      <c r="L17716" s="0" t="str">
        <f aca="false">HYPERLINK("https://www.ncbi.nlm.nih.gov/nuccore/CP000058.1?report=graph&amp;tracks=[key:gene_model_track,Options:GeneOnly]&amp;mk=5436313:5436332|offset_1|00cc00,5436264:5436283|offset_50|444444,5436241:5436260|offset_73|444444,5436212:5436231|offset_102|444444&amp;v=5436112:5436431&amp;c=444444", "offset 1")</f>
        <v>offset 1</v>
      </c>
    </row>
    <row r="17717" customFormat="false" ht="12.8" hidden="false" customHeight="false" outlineLevel="0" collapsed="false">
      <c r="A17717" s="0" t="s">
        <v>12</v>
      </c>
      <c r="B17717" s="0" t="n">
        <v>5436263</v>
      </c>
      <c r="C17717" s="0" t="n">
        <v>5436283</v>
      </c>
      <c r="D17717" s="0" t="s">
        <v>58914</v>
      </c>
      <c r="E17717" s="0" t="s">
        <v>75</v>
      </c>
      <c r="F17717" s="0" t="s">
        <v>90</v>
      </c>
      <c r="G17717" s="0" t="s">
        <v>20</v>
      </c>
      <c r="H17717" s="0" t="n">
        <v>50</v>
      </c>
      <c r="I17717" s="0" t="s">
        <v>58918</v>
      </c>
      <c r="J17717" s="0" t="s">
        <v>58919</v>
      </c>
      <c r="K17717" s="0" t="s">
        <v>58920</v>
      </c>
      <c r="L17717" s="0" t="str">
        <f aca="false">HYPERLINK("https://www.ncbi.nlm.nih.gov/nuccore/CP000058.1?report=graph&amp;tracks=[key:gene_model_track,Options:GeneOnly]&amp;mk=5436313:5436332|offset_1|444444,5436264:5436283|offset_50|00cc00,5436241:5436260|offset_73|444444,5436212:5436231|offset_102|444444&amp;v=5436112:5436431&amp;c=444444", "offset 50")</f>
        <v>offset 50</v>
      </c>
    </row>
    <row r="17718" customFormat="false" ht="12.8" hidden="false" customHeight="false" outlineLevel="0" collapsed="false">
      <c r="A17718" s="0" t="s">
        <v>12</v>
      </c>
      <c r="B17718" s="0" t="n">
        <v>5436240</v>
      </c>
      <c r="C17718" s="0" t="n">
        <v>5436260</v>
      </c>
      <c r="D17718" s="0" t="s">
        <v>58914</v>
      </c>
      <c r="E17718" s="0" t="s">
        <v>75</v>
      </c>
      <c r="F17718" s="0" t="s">
        <v>90</v>
      </c>
      <c r="G17718" s="0" t="s">
        <v>16</v>
      </c>
      <c r="H17718" s="0" t="n">
        <v>73</v>
      </c>
      <c r="I17718" s="0" t="s">
        <v>58921</v>
      </c>
      <c r="J17718" s="0" t="s">
        <v>58922</v>
      </c>
      <c r="K17718" s="0" t="s">
        <v>58923</v>
      </c>
      <c r="L17718" s="0" t="str">
        <f aca="false">HYPERLINK("https://www.ncbi.nlm.nih.gov/nuccore/CP000058.1?report=graph&amp;tracks=[key:gene_model_track,Options:GeneOnly]&amp;mk=5436313:5436332|offset_1|444444,5436264:5436283|offset_50|444444,5436241:5436260|offset_73|00cc00,5436212:5436231|offset_102|444444&amp;v=5436112:5436431&amp;c=444444", "offset 73")</f>
        <v>offset 73</v>
      </c>
    </row>
    <row r="17719" customFormat="false" ht="12.8" hidden="false" customHeight="false" outlineLevel="0" collapsed="false">
      <c r="A17719" s="0" t="s">
        <v>12</v>
      </c>
      <c r="B17719" s="0" t="n">
        <v>5436211</v>
      </c>
      <c r="C17719" s="0" t="n">
        <v>5436231</v>
      </c>
      <c r="D17719" s="0" t="s">
        <v>58914</v>
      </c>
      <c r="E17719" s="0" t="s">
        <v>75</v>
      </c>
      <c r="F17719" s="0" t="s">
        <v>90</v>
      </c>
      <c r="G17719" s="0" t="s">
        <v>16</v>
      </c>
      <c r="H17719" s="0" t="n">
        <v>102</v>
      </c>
      <c r="I17719" s="0" t="s">
        <v>58924</v>
      </c>
      <c r="J17719" s="0" t="s">
        <v>58925</v>
      </c>
      <c r="K17719" s="0" t="s">
        <v>58926</v>
      </c>
      <c r="L17719" s="0" t="str">
        <f aca="false">HYPERLINK("https://www.ncbi.nlm.nih.gov/nuccore/CP000058.1?report=graph&amp;tracks=[key:gene_model_track,Options:GeneOnly]&amp;mk=5436313:5436332|offset_1|444444,5436264:5436283|offset_50|444444,5436241:5436260|offset_73|444444,5436212:5436231|offset_102|00cc00&amp;v=5436112:5436431&amp;c=444444", "offset 102")</f>
        <v>offset 102</v>
      </c>
    </row>
    <row r="17720" customFormat="false" ht="12.8" hidden="false" customHeight="false" outlineLevel="0" collapsed="false">
      <c r="A17720" s="0" t="s">
        <v>12</v>
      </c>
      <c r="B17720" s="0" t="n">
        <v>5437218</v>
      </c>
      <c r="C17720" s="0" t="n">
        <v>5437238</v>
      </c>
      <c r="D17720" s="0" t="s">
        <v>58927</v>
      </c>
      <c r="E17720" s="0" t="s">
        <v>58928</v>
      </c>
      <c r="F17720" s="0" t="s">
        <v>90</v>
      </c>
      <c r="G17720" s="0" t="s">
        <v>20</v>
      </c>
      <c r="H17720" s="0" t="n">
        <v>6</v>
      </c>
      <c r="I17720" s="0" t="s">
        <v>58929</v>
      </c>
      <c r="J17720" s="0" t="s">
        <v>58930</v>
      </c>
      <c r="K17720" s="0" t="s">
        <v>58931</v>
      </c>
      <c r="L17720" s="0" t="str">
        <f aca="false">HYPERLINK("https://www.ncbi.nlm.nih.gov/nuccore/CP000058.1?report=graph&amp;tracks=[key:gene_model_track,Options:GeneOnly]&amp;mk=5437219:5437238|offset_6|00cc00,5437194:5437213|offset_31|444444,5437151:5437170|offset_74|444444,5437130:5437149|offset_95|444444&amp;v=5437018:5437349&amp;c=444444", "offset 6")</f>
        <v>offset 6</v>
      </c>
    </row>
    <row r="17721" customFormat="false" ht="12.8" hidden="false" customHeight="false" outlineLevel="0" collapsed="false">
      <c r="A17721" s="0" t="s">
        <v>12</v>
      </c>
      <c r="B17721" s="0" t="n">
        <v>5437193</v>
      </c>
      <c r="C17721" s="0" t="n">
        <v>5437213</v>
      </c>
      <c r="D17721" s="0" t="s">
        <v>58927</v>
      </c>
      <c r="E17721" s="0" t="s">
        <v>58928</v>
      </c>
      <c r="F17721" s="0" t="s">
        <v>90</v>
      </c>
      <c r="G17721" s="0" t="s">
        <v>36</v>
      </c>
      <c r="H17721" s="0" t="n">
        <v>31</v>
      </c>
      <c r="I17721" s="0" t="s">
        <v>58932</v>
      </c>
      <c r="J17721" s="0" t="s">
        <v>58933</v>
      </c>
      <c r="K17721" s="0" t="s">
        <v>58934</v>
      </c>
      <c r="L17721" s="0" t="str">
        <f aca="false">HYPERLINK("https://www.ncbi.nlm.nih.gov/nuccore/CP000058.1?report=graph&amp;tracks=[key:gene_model_track,Options:GeneOnly]&amp;mk=5437219:5437238|offset_6|444444,5437194:5437213|offset_31|00cc00,5437151:5437170|offset_74|444444,5437130:5437149|offset_95|444444&amp;v=5437018:5437349&amp;c=444444", "offset 31")</f>
        <v>offset 31</v>
      </c>
    </row>
    <row r="17722" customFormat="false" ht="12.8" hidden="false" customHeight="false" outlineLevel="0" collapsed="false">
      <c r="A17722" s="0" t="s">
        <v>12</v>
      </c>
      <c r="B17722" s="0" t="n">
        <v>5437150</v>
      </c>
      <c r="C17722" s="0" t="n">
        <v>5437170</v>
      </c>
      <c r="D17722" s="0" t="s">
        <v>58927</v>
      </c>
      <c r="E17722" s="0" t="s">
        <v>58928</v>
      </c>
      <c r="F17722" s="0" t="s">
        <v>90</v>
      </c>
      <c r="G17722" s="0" t="s">
        <v>16</v>
      </c>
      <c r="H17722" s="0" t="n">
        <v>74</v>
      </c>
      <c r="I17722" s="0" t="s">
        <v>58935</v>
      </c>
      <c r="J17722" s="0" t="s">
        <v>58936</v>
      </c>
      <c r="K17722" s="0" t="s">
        <v>58937</v>
      </c>
      <c r="L17722" s="0" t="str">
        <f aca="false">HYPERLINK("https://www.ncbi.nlm.nih.gov/nuccore/CP000058.1?report=graph&amp;tracks=[key:gene_model_track,Options:GeneOnly]&amp;mk=5437219:5437238|offset_6|444444,5437194:5437213|offset_31|444444,5437151:5437170|offset_74|00cc00,5437130:5437149|offset_95|444444&amp;v=5437018:5437349&amp;c=444444", "offset 74")</f>
        <v>offset 74</v>
      </c>
    </row>
    <row r="17723" customFormat="false" ht="12.8" hidden="false" customHeight="false" outlineLevel="0" collapsed="false">
      <c r="A17723" s="0" t="s">
        <v>12</v>
      </c>
      <c r="B17723" s="0" t="n">
        <v>5437129</v>
      </c>
      <c r="C17723" s="0" t="n">
        <v>5437149</v>
      </c>
      <c r="D17723" s="0" t="s">
        <v>58927</v>
      </c>
      <c r="E17723" s="0" t="s">
        <v>58928</v>
      </c>
      <c r="F17723" s="0" t="s">
        <v>90</v>
      </c>
      <c r="G17723" s="0" t="s">
        <v>16</v>
      </c>
      <c r="H17723" s="0" t="n">
        <v>95</v>
      </c>
      <c r="I17723" s="0" t="s">
        <v>58938</v>
      </c>
      <c r="J17723" s="0" t="s">
        <v>58939</v>
      </c>
      <c r="K17723" s="0" t="s">
        <v>58940</v>
      </c>
      <c r="L17723" s="0" t="str">
        <f aca="false">HYPERLINK("https://www.ncbi.nlm.nih.gov/nuccore/CP000058.1?report=graph&amp;tracks=[key:gene_model_track,Options:GeneOnly]&amp;mk=5437219:5437238|offset_6|444444,5437194:5437213|offset_31|444444,5437151:5437170|offset_74|444444,5437130:5437149|offset_95|00cc00&amp;v=5437018:5437349&amp;c=444444", "offset 95")</f>
        <v>offset 95</v>
      </c>
    </row>
    <row r="17724" customFormat="false" ht="12.8" hidden="false" customHeight="false" outlineLevel="0" collapsed="false">
      <c r="A17724" s="0" t="s">
        <v>12</v>
      </c>
      <c r="B17724" s="0" t="n">
        <v>5438076</v>
      </c>
      <c r="C17724" s="0" t="n">
        <v>5438096</v>
      </c>
      <c r="D17724" s="0" t="s">
        <v>58941</v>
      </c>
      <c r="E17724" s="0" t="s">
        <v>75</v>
      </c>
      <c r="F17724" s="0" t="s">
        <v>90</v>
      </c>
      <c r="G17724" s="0" t="s">
        <v>36</v>
      </c>
      <c r="H17724" s="0" t="n">
        <v>6</v>
      </c>
      <c r="I17724" s="0" t="s">
        <v>58942</v>
      </c>
      <c r="J17724" s="0" t="s">
        <v>58943</v>
      </c>
      <c r="K17724" s="0" t="s">
        <v>58944</v>
      </c>
      <c r="L17724" s="0" t="str">
        <f aca="false">HYPERLINK("https://www.ncbi.nlm.nih.gov/nuccore/CP000058.1?report=graph&amp;tracks=[key:gene_model_track,Options:GeneOnly]&amp;mk=5438077:5438096|offset_6|00cc00,5438029:5438048|offset_54|444444,5437984:5438003|offset_99|444444,5437934:5437953|offset_149|444444&amp;v=5437876:5438153&amp;c=444444", "offset 6")</f>
        <v>offset 6</v>
      </c>
    </row>
    <row r="17725" customFormat="false" ht="12.8" hidden="false" customHeight="false" outlineLevel="0" collapsed="false">
      <c r="A17725" s="0" t="s">
        <v>12</v>
      </c>
      <c r="B17725" s="0" t="n">
        <v>5438028</v>
      </c>
      <c r="C17725" s="0" t="n">
        <v>5438048</v>
      </c>
      <c r="D17725" s="0" t="s">
        <v>58941</v>
      </c>
      <c r="E17725" s="0" t="s">
        <v>75</v>
      </c>
      <c r="F17725" s="0" t="s">
        <v>90</v>
      </c>
      <c r="G17725" s="0" t="s">
        <v>36</v>
      </c>
      <c r="H17725" s="0" t="n">
        <v>54</v>
      </c>
      <c r="I17725" s="0" t="s">
        <v>58945</v>
      </c>
      <c r="J17725" s="0" t="s">
        <v>58946</v>
      </c>
      <c r="K17725" s="0" t="s">
        <v>58947</v>
      </c>
      <c r="L17725" s="0" t="str">
        <f aca="false">HYPERLINK("https://www.ncbi.nlm.nih.gov/nuccore/CP000058.1?report=graph&amp;tracks=[key:gene_model_track,Options:GeneOnly]&amp;mk=5438077:5438096|offset_6|444444,5438029:5438048|offset_54|00cc00,5437984:5438003|offset_99|444444,5437934:5437953|offset_149|444444&amp;v=5437876:5438153&amp;c=444444", "offset 54")</f>
        <v>offset 54</v>
      </c>
    </row>
    <row r="17726" customFormat="false" ht="12.8" hidden="false" customHeight="false" outlineLevel="0" collapsed="false">
      <c r="A17726" s="0" t="s">
        <v>12</v>
      </c>
      <c r="B17726" s="0" t="n">
        <v>5437983</v>
      </c>
      <c r="C17726" s="0" t="n">
        <v>5438003</v>
      </c>
      <c r="D17726" s="0" t="s">
        <v>58941</v>
      </c>
      <c r="E17726" s="0" t="s">
        <v>75</v>
      </c>
      <c r="F17726" s="0" t="s">
        <v>90</v>
      </c>
      <c r="G17726" s="0" t="s">
        <v>16</v>
      </c>
      <c r="H17726" s="0" t="n">
        <v>99</v>
      </c>
      <c r="I17726" s="0" t="s">
        <v>58948</v>
      </c>
      <c r="J17726" s="0" t="s">
        <v>58949</v>
      </c>
      <c r="K17726" s="0" t="s">
        <v>58950</v>
      </c>
      <c r="L17726" s="0" t="str">
        <f aca="false">HYPERLINK("https://www.ncbi.nlm.nih.gov/nuccore/CP000058.1?report=graph&amp;tracks=[key:gene_model_track,Options:GeneOnly]&amp;mk=5438077:5438096|offset_6|444444,5438029:5438048|offset_54|444444,5437984:5438003|offset_99|00cc00,5437934:5437953|offset_149|444444&amp;v=5437876:5438153&amp;c=444444", "offset 99")</f>
        <v>offset 99</v>
      </c>
    </row>
    <row r="17727" customFormat="false" ht="12.8" hidden="false" customHeight="false" outlineLevel="0" collapsed="false">
      <c r="A17727" s="0" t="s">
        <v>12</v>
      </c>
      <c r="B17727" s="0" t="n">
        <v>5437933</v>
      </c>
      <c r="C17727" s="0" t="n">
        <v>5437953</v>
      </c>
      <c r="D17727" s="0" t="s">
        <v>58941</v>
      </c>
      <c r="E17727" s="0" t="s">
        <v>75</v>
      </c>
      <c r="F17727" s="0" t="s">
        <v>90</v>
      </c>
      <c r="G17727" s="0" t="s">
        <v>20</v>
      </c>
      <c r="H17727" s="0" t="n">
        <v>149</v>
      </c>
      <c r="I17727" s="0" t="s">
        <v>58951</v>
      </c>
      <c r="J17727" s="0" t="s">
        <v>58952</v>
      </c>
      <c r="K17727" s="0" t="s">
        <v>58953</v>
      </c>
      <c r="L17727" s="0" t="str">
        <f aca="false">HYPERLINK("https://www.ncbi.nlm.nih.gov/nuccore/CP000058.1?report=graph&amp;tracks=[key:gene_model_track,Options:GeneOnly]&amp;mk=5438077:5438096|offset_6|444444,5438029:5438048|offset_54|444444,5437984:5438003|offset_99|444444,5437934:5437953|offset_149|00cc00&amp;v=5437876:5438153&amp;c=444444", "offset 149")</f>
        <v>offset 149</v>
      </c>
    </row>
    <row r="17728" customFormat="false" ht="12.8" hidden="false" customHeight="false" outlineLevel="0" collapsed="false">
      <c r="A17728" s="0" t="s">
        <v>12</v>
      </c>
      <c r="B17728" s="0" t="n">
        <v>5438193</v>
      </c>
      <c r="C17728" s="0" t="n">
        <v>5438213</v>
      </c>
      <c r="D17728" s="0" t="s">
        <v>58954</v>
      </c>
      <c r="E17728" s="0" t="s">
        <v>58955</v>
      </c>
      <c r="F17728" s="0" t="s">
        <v>15</v>
      </c>
      <c r="G17728" s="0" t="s">
        <v>36</v>
      </c>
      <c r="H17728" s="0" t="n">
        <v>0</v>
      </c>
      <c r="I17728" s="0" t="s">
        <v>58956</v>
      </c>
      <c r="J17728" s="0" t="s">
        <v>58957</v>
      </c>
      <c r="K17728" s="0" t="s">
        <v>58958</v>
      </c>
      <c r="L17728" s="0" t="str">
        <f aca="false">HYPERLINK("https://www.ncbi.nlm.nih.gov/nuccore/CP000058.1?report=graph&amp;tracks=[key:gene_model_track,Options:GeneOnly]&amp;mk=5438194:5438213|offset_0|00cc00,5438218:5438237|offset_24|444444,5438247:5438266|offset_53|444444,5438292:5438311|offset_98|444444&amp;v=5437993:5438511&amp;c=444444", "offset 0")</f>
        <v>offset 0</v>
      </c>
    </row>
    <row r="17729" customFormat="false" ht="12.8" hidden="false" customHeight="false" outlineLevel="0" collapsed="false">
      <c r="A17729" s="0" t="s">
        <v>12</v>
      </c>
      <c r="B17729" s="0" t="n">
        <v>5438217</v>
      </c>
      <c r="C17729" s="0" t="n">
        <v>5438237</v>
      </c>
      <c r="D17729" s="0" t="s">
        <v>58954</v>
      </c>
      <c r="E17729" s="0" t="s">
        <v>58955</v>
      </c>
      <c r="F17729" s="0" t="s">
        <v>15</v>
      </c>
      <c r="G17729" s="0" t="s">
        <v>36</v>
      </c>
      <c r="H17729" s="0" t="n">
        <v>24</v>
      </c>
      <c r="I17729" s="0" t="s">
        <v>58959</v>
      </c>
      <c r="J17729" s="0" t="s">
        <v>58960</v>
      </c>
      <c r="K17729" s="0" t="s">
        <v>58961</v>
      </c>
      <c r="L17729" s="0" t="str">
        <f aca="false">HYPERLINK("https://www.ncbi.nlm.nih.gov/nuccore/CP000058.1?report=graph&amp;tracks=[key:gene_model_track,Options:GeneOnly]&amp;mk=5438194:5438213|offset_0|444444,5438218:5438237|offset_24|00cc00,5438247:5438266|offset_53|444444,5438292:5438311|offset_98|444444&amp;v=5437993:5438511&amp;c=444444", "offset 24")</f>
        <v>offset 24</v>
      </c>
    </row>
    <row r="17730" customFormat="false" ht="12.8" hidden="false" customHeight="false" outlineLevel="0" collapsed="false">
      <c r="A17730" s="0" t="s">
        <v>12</v>
      </c>
      <c r="B17730" s="0" t="n">
        <v>5438246</v>
      </c>
      <c r="C17730" s="0" t="n">
        <v>5438266</v>
      </c>
      <c r="D17730" s="0" t="s">
        <v>58954</v>
      </c>
      <c r="E17730" s="0" t="s">
        <v>58955</v>
      </c>
      <c r="F17730" s="0" t="s">
        <v>15</v>
      </c>
      <c r="G17730" s="0" t="s">
        <v>32</v>
      </c>
      <c r="H17730" s="0" t="n">
        <v>53</v>
      </c>
      <c r="I17730" s="0" t="s">
        <v>58962</v>
      </c>
      <c r="J17730" s="0" t="s">
        <v>58963</v>
      </c>
      <c r="K17730" s="0" t="s">
        <v>58964</v>
      </c>
      <c r="L17730" s="0" t="str">
        <f aca="false">HYPERLINK("https://www.ncbi.nlm.nih.gov/nuccore/CP000058.1?report=graph&amp;tracks=[key:gene_model_track,Options:GeneOnly]&amp;mk=5438194:5438213|offset_0|444444,5438218:5438237|offset_24|444444,5438247:5438266|offset_53|00cc00,5438292:5438311|offset_98|444444&amp;v=5437993:5438511&amp;c=444444", "offset 53")</f>
        <v>offset 53</v>
      </c>
    </row>
    <row r="17731" customFormat="false" ht="12.8" hidden="false" customHeight="false" outlineLevel="0" collapsed="false">
      <c r="A17731" s="0" t="s">
        <v>12</v>
      </c>
      <c r="B17731" s="0" t="n">
        <v>5438291</v>
      </c>
      <c r="C17731" s="0" t="n">
        <v>5438311</v>
      </c>
      <c r="D17731" s="0" t="s">
        <v>58954</v>
      </c>
      <c r="E17731" s="0" t="s">
        <v>58955</v>
      </c>
      <c r="F17731" s="0" t="s">
        <v>15</v>
      </c>
      <c r="G17731" s="0" t="s">
        <v>20</v>
      </c>
      <c r="H17731" s="0" t="n">
        <v>98</v>
      </c>
      <c r="I17731" s="0" t="s">
        <v>58965</v>
      </c>
      <c r="J17731" s="0" t="s">
        <v>58966</v>
      </c>
      <c r="K17731" s="0" t="s">
        <v>58967</v>
      </c>
      <c r="L17731" s="0" t="str">
        <f aca="false">HYPERLINK("https://www.ncbi.nlm.nih.gov/nuccore/CP000058.1?report=graph&amp;tracks=[key:gene_model_track,Options:GeneOnly]&amp;mk=5438194:5438213|offset_0|444444,5438218:5438237|offset_24|444444,5438247:5438266|offset_53|444444,5438292:5438311|offset_98|00cc00&amp;v=5437993:5438511&amp;c=444444", "offset 98")</f>
        <v>offset 98</v>
      </c>
    </row>
    <row r="17732" customFormat="false" ht="12.8" hidden="false" customHeight="false" outlineLevel="0" collapsed="false">
      <c r="A17732" s="0" t="s">
        <v>12</v>
      </c>
      <c r="B17732" s="0" t="n">
        <v>5438968</v>
      </c>
      <c r="C17732" s="0" t="n">
        <v>5438988</v>
      </c>
      <c r="D17732" s="0" t="s">
        <v>58968</v>
      </c>
      <c r="E17732" s="0" t="s">
        <v>75</v>
      </c>
      <c r="F17732" s="0" t="s">
        <v>15</v>
      </c>
      <c r="G17732" s="0" t="s">
        <v>36</v>
      </c>
      <c r="H17732" s="0" t="n">
        <v>7</v>
      </c>
      <c r="I17732" s="0" t="s">
        <v>58969</v>
      </c>
      <c r="J17732" s="0" t="s">
        <v>58970</v>
      </c>
      <c r="K17732" s="0" t="s">
        <v>58971</v>
      </c>
      <c r="L17732" s="0" t="str">
        <f aca="false">HYPERLINK("https://www.ncbi.nlm.nih.gov/nuccore/CP000058.1?report=graph&amp;tracks=[key:gene_model_track,Options:GeneOnly]&amp;mk=5438969:5438988|offset_7|00cc00,5438999:5439018|offset_37|444444,5439056:5439075|offset_94|444444,5439083:5439102|offset_121|444444&amp;v=5438768:5439302&amp;c=444444", "offset 7")</f>
        <v>offset 7</v>
      </c>
    </row>
    <row r="17733" customFormat="false" ht="12.8" hidden="false" customHeight="false" outlineLevel="0" collapsed="false">
      <c r="A17733" s="0" t="s">
        <v>12</v>
      </c>
      <c r="B17733" s="0" t="n">
        <v>5438998</v>
      </c>
      <c r="C17733" s="0" t="n">
        <v>5439018</v>
      </c>
      <c r="D17733" s="0" t="s">
        <v>58968</v>
      </c>
      <c r="E17733" s="0" t="s">
        <v>75</v>
      </c>
      <c r="F17733" s="0" t="s">
        <v>15</v>
      </c>
      <c r="G17733" s="0" t="s">
        <v>16</v>
      </c>
      <c r="H17733" s="0" t="n">
        <v>37</v>
      </c>
      <c r="I17733" s="0" t="s">
        <v>58972</v>
      </c>
      <c r="J17733" s="0" t="s">
        <v>58973</v>
      </c>
      <c r="K17733" s="0" t="s">
        <v>58974</v>
      </c>
      <c r="L17733" s="0" t="str">
        <f aca="false">HYPERLINK("https://www.ncbi.nlm.nih.gov/nuccore/CP000058.1?report=graph&amp;tracks=[key:gene_model_track,Options:GeneOnly]&amp;mk=5438969:5438988|offset_7|444444,5438999:5439018|offset_37|00cc00,5439056:5439075|offset_94|444444,5439083:5439102|offset_121|444444&amp;v=5438768:5439302&amp;c=444444", "offset 37")</f>
        <v>offset 37</v>
      </c>
    </row>
    <row r="17734" customFormat="false" ht="12.8" hidden="false" customHeight="false" outlineLevel="0" collapsed="false">
      <c r="A17734" s="0" t="s">
        <v>12</v>
      </c>
      <c r="B17734" s="0" t="n">
        <v>5439055</v>
      </c>
      <c r="C17734" s="0" t="n">
        <v>5439075</v>
      </c>
      <c r="D17734" s="0" t="s">
        <v>58968</v>
      </c>
      <c r="E17734" s="0" t="s">
        <v>75</v>
      </c>
      <c r="F17734" s="0" t="s">
        <v>15</v>
      </c>
      <c r="G17734" s="0" t="s">
        <v>16</v>
      </c>
      <c r="H17734" s="0" t="n">
        <v>94</v>
      </c>
      <c r="I17734" s="0" t="s">
        <v>58975</v>
      </c>
      <c r="J17734" s="0" t="s">
        <v>58976</v>
      </c>
      <c r="K17734" s="0" t="s">
        <v>58977</v>
      </c>
      <c r="L17734" s="0" t="str">
        <f aca="false">HYPERLINK("https://www.ncbi.nlm.nih.gov/nuccore/CP000058.1?report=graph&amp;tracks=[key:gene_model_track,Options:GeneOnly]&amp;mk=5438969:5438988|offset_7|444444,5438999:5439018|offset_37|444444,5439056:5439075|offset_94|00cc00,5439083:5439102|offset_121|444444&amp;v=5438768:5439302&amp;c=444444", "offset 94")</f>
        <v>offset 94</v>
      </c>
    </row>
    <row r="17735" customFormat="false" ht="12.8" hidden="false" customHeight="false" outlineLevel="0" collapsed="false">
      <c r="A17735" s="0" t="s">
        <v>12</v>
      </c>
      <c r="B17735" s="0" t="n">
        <v>5439082</v>
      </c>
      <c r="C17735" s="0" t="n">
        <v>5439102</v>
      </c>
      <c r="D17735" s="0" t="s">
        <v>58968</v>
      </c>
      <c r="E17735" s="0" t="s">
        <v>75</v>
      </c>
      <c r="F17735" s="0" t="s">
        <v>15</v>
      </c>
      <c r="G17735" s="0" t="s">
        <v>16</v>
      </c>
      <c r="H17735" s="0" t="n">
        <v>121</v>
      </c>
      <c r="I17735" s="0" t="s">
        <v>58978</v>
      </c>
      <c r="J17735" s="0" t="s">
        <v>58979</v>
      </c>
      <c r="K17735" s="0" t="s">
        <v>58980</v>
      </c>
      <c r="L17735" s="0" t="str">
        <f aca="false">HYPERLINK("https://www.ncbi.nlm.nih.gov/nuccore/CP000058.1?report=graph&amp;tracks=[key:gene_model_track,Options:GeneOnly]&amp;mk=5438969:5438988|offset_7|444444,5438999:5439018|offset_37|444444,5439056:5439075|offset_94|444444,5439083:5439102|offset_121|00cc00&amp;v=5438768:5439302&amp;c=444444", "offset 121")</f>
        <v>offset 121</v>
      </c>
    </row>
    <row r="17736" customFormat="false" ht="12.8" hidden="false" customHeight="false" outlineLevel="0" collapsed="false">
      <c r="A17736" s="0" t="s">
        <v>12</v>
      </c>
      <c r="B17736" s="0" t="n">
        <v>5440980</v>
      </c>
      <c r="C17736" s="0" t="n">
        <v>5441000</v>
      </c>
      <c r="D17736" s="0" t="s">
        <v>58981</v>
      </c>
      <c r="E17736" s="0" t="s">
        <v>75</v>
      </c>
      <c r="F17736" s="0" t="s">
        <v>90</v>
      </c>
      <c r="G17736" s="0" t="s">
        <v>32</v>
      </c>
      <c r="H17736" s="0" t="n">
        <v>13</v>
      </c>
      <c r="I17736" s="0" t="s">
        <v>58982</v>
      </c>
      <c r="J17736" s="0" t="s">
        <v>58983</v>
      </c>
      <c r="K17736" s="0" t="s">
        <v>58984</v>
      </c>
      <c r="L17736" s="0" t="str">
        <f aca="false">HYPERLINK("https://www.ncbi.nlm.nih.gov/nuccore/CP000058.1?report=graph&amp;tracks=[key:gene_model_track,Options:GeneOnly]&amp;mk=5440981:5441000|offset_13|00cc00,5440941:5440960|offset_53|444444,5440859:5440878|offset_135|444444,5440819:5440838|offset_175|444444&amp;v=5440780:5441038&amp;c=444444", "offset 13")</f>
        <v>offset 13</v>
      </c>
    </row>
    <row r="17737" customFormat="false" ht="12.8" hidden="false" customHeight="false" outlineLevel="0" collapsed="false">
      <c r="A17737" s="0" t="s">
        <v>12</v>
      </c>
      <c r="B17737" s="0" t="n">
        <v>5440940</v>
      </c>
      <c r="C17737" s="0" t="n">
        <v>5440960</v>
      </c>
      <c r="D17737" s="0" t="s">
        <v>58981</v>
      </c>
      <c r="E17737" s="0" t="s">
        <v>75</v>
      </c>
      <c r="F17737" s="0" t="s">
        <v>90</v>
      </c>
      <c r="G17737" s="0" t="s">
        <v>20</v>
      </c>
      <c r="H17737" s="0" t="n">
        <v>53</v>
      </c>
      <c r="I17737" s="0" t="s">
        <v>58985</v>
      </c>
      <c r="J17737" s="0" t="s">
        <v>58986</v>
      </c>
      <c r="K17737" s="0" t="s">
        <v>58987</v>
      </c>
      <c r="L17737" s="0" t="str">
        <f aca="false">HYPERLINK("https://www.ncbi.nlm.nih.gov/nuccore/CP000058.1?report=graph&amp;tracks=[key:gene_model_track,Options:GeneOnly]&amp;mk=5440981:5441000|offset_13|444444,5440941:5440960|offset_53|00cc00,5440859:5440878|offset_135|444444,5440819:5440838|offset_175|444444&amp;v=5440780:5441038&amp;c=444444", "offset 53")</f>
        <v>offset 53</v>
      </c>
    </row>
    <row r="17738" customFormat="false" ht="12.8" hidden="false" customHeight="false" outlineLevel="0" collapsed="false">
      <c r="A17738" s="0" t="s">
        <v>12</v>
      </c>
      <c r="B17738" s="0" t="n">
        <v>5440858</v>
      </c>
      <c r="C17738" s="0" t="n">
        <v>5440878</v>
      </c>
      <c r="D17738" s="0" t="s">
        <v>58981</v>
      </c>
      <c r="E17738" s="0" t="s">
        <v>75</v>
      </c>
      <c r="F17738" s="0" t="s">
        <v>90</v>
      </c>
      <c r="G17738" s="0" t="s">
        <v>16</v>
      </c>
      <c r="H17738" s="0" t="n">
        <v>135</v>
      </c>
      <c r="I17738" s="0" t="s">
        <v>58988</v>
      </c>
      <c r="J17738" s="0" t="s">
        <v>58989</v>
      </c>
      <c r="K17738" s="0" t="s">
        <v>58990</v>
      </c>
      <c r="L17738" s="0" t="str">
        <f aca="false">HYPERLINK("https://www.ncbi.nlm.nih.gov/nuccore/CP000058.1?report=graph&amp;tracks=[key:gene_model_track,Options:GeneOnly]&amp;mk=5440981:5441000|offset_13|444444,5440941:5440960|offset_53|444444,5440859:5440878|offset_135|00cc00,5440819:5440838|offset_175|444444&amp;v=5440780:5441038&amp;c=444444", "offset 135")</f>
        <v>offset 135</v>
      </c>
    </row>
    <row r="17739" customFormat="false" ht="12.8" hidden="false" customHeight="false" outlineLevel="0" collapsed="false">
      <c r="A17739" s="0" t="s">
        <v>12</v>
      </c>
      <c r="B17739" s="0" t="n">
        <v>5440818</v>
      </c>
      <c r="C17739" s="0" t="n">
        <v>5440838</v>
      </c>
      <c r="D17739" s="0" t="s">
        <v>58981</v>
      </c>
      <c r="E17739" s="0" t="s">
        <v>75</v>
      </c>
      <c r="F17739" s="0" t="s">
        <v>90</v>
      </c>
      <c r="G17739" s="0" t="s">
        <v>16</v>
      </c>
      <c r="H17739" s="0" t="n">
        <v>175</v>
      </c>
      <c r="I17739" s="0" t="s">
        <v>58991</v>
      </c>
      <c r="J17739" s="0" t="s">
        <v>58992</v>
      </c>
      <c r="K17739" s="0" t="s">
        <v>58993</v>
      </c>
      <c r="L17739" s="0" t="str">
        <f aca="false">HYPERLINK("https://www.ncbi.nlm.nih.gov/nuccore/CP000058.1?report=graph&amp;tracks=[key:gene_model_track,Options:GeneOnly]&amp;mk=5440981:5441000|offset_13|444444,5440941:5440960|offset_53|444444,5440859:5440878|offset_135|444444,5440819:5440838|offset_175|00cc00&amp;v=5440780:5441038&amp;c=444444", "offset 175")</f>
        <v>offset 175</v>
      </c>
    </row>
    <row r="17740" customFormat="false" ht="12.8" hidden="false" customHeight="false" outlineLevel="0" collapsed="false">
      <c r="A17740" s="0" t="s">
        <v>12</v>
      </c>
      <c r="B17740" s="0" t="n">
        <v>5442296</v>
      </c>
      <c r="C17740" s="0" t="n">
        <v>5442316</v>
      </c>
      <c r="D17740" s="0" t="s">
        <v>58994</v>
      </c>
      <c r="E17740" s="0" t="s">
        <v>75</v>
      </c>
      <c r="F17740" s="0" t="s">
        <v>15</v>
      </c>
      <c r="G17740" s="0" t="s">
        <v>16</v>
      </c>
      <c r="H17740" s="0" t="n">
        <v>16</v>
      </c>
      <c r="I17740" s="0" t="s">
        <v>58995</v>
      </c>
      <c r="J17740" s="0" t="s">
        <v>58996</v>
      </c>
      <c r="K17740" s="0" t="s">
        <v>58997</v>
      </c>
      <c r="L17740" s="0" t="str">
        <f aca="false">HYPERLINK("https://www.ncbi.nlm.nih.gov/nuccore/CP000058.1?report=graph&amp;tracks=[key:gene_model_track,Options:GeneOnly]&amp;mk=5442297:5442316|offset_16|00cc00,5442351:5442370|offset_70|444444,5442372:5442391|offset_91|444444,5442405:5442424|offset_124|444444&amp;v=5442096:5442624&amp;c=444444", "offset 16")</f>
        <v>offset 16</v>
      </c>
    </row>
    <row r="17741" customFormat="false" ht="12.8" hidden="false" customHeight="false" outlineLevel="0" collapsed="false">
      <c r="A17741" s="0" t="s">
        <v>12</v>
      </c>
      <c r="B17741" s="0" t="n">
        <v>5442350</v>
      </c>
      <c r="C17741" s="0" t="n">
        <v>5442370</v>
      </c>
      <c r="D17741" s="0" t="s">
        <v>58994</v>
      </c>
      <c r="E17741" s="0" t="s">
        <v>75</v>
      </c>
      <c r="F17741" s="0" t="s">
        <v>15</v>
      </c>
      <c r="G17741" s="0" t="s">
        <v>16</v>
      </c>
      <c r="H17741" s="0" t="n">
        <v>70</v>
      </c>
      <c r="I17741" s="0" t="s">
        <v>58998</v>
      </c>
      <c r="J17741" s="0" t="s">
        <v>58999</v>
      </c>
      <c r="K17741" s="0" t="s">
        <v>59000</v>
      </c>
      <c r="L17741" s="0" t="str">
        <f aca="false">HYPERLINK("https://www.ncbi.nlm.nih.gov/nuccore/CP000058.1?report=graph&amp;tracks=[key:gene_model_track,Options:GeneOnly]&amp;mk=5442297:5442316|offset_16|444444,5442351:5442370|offset_70|00cc00,5442372:5442391|offset_91|444444,5442405:5442424|offset_124|444444&amp;v=5442096:5442624&amp;c=444444", "offset 70")</f>
        <v>offset 70</v>
      </c>
    </row>
    <row r="17742" customFormat="false" ht="12.8" hidden="false" customHeight="false" outlineLevel="0" collapsed="false">
      <c r="A17742" s="0" t="s">
        <v>12</v>
      </c>
      <c r="B17742" s="0" t="n">
        <v>5442371</v>
      </c>
      <c r="C17742" s="0" t="n">
        <v>5442391</v>
      </c>
      <c r="D17742" s="0" t="s">
        <v>58994</v>
      </c>
      <c r="E17742" s="0" t="s">
        <v>75</v>
      </c>
      <c r="F17742" s="0" t="s">
        <v>15</v>
      </c>
      <c r="G17742" s="0" t="s">
        <v>16</v>
      </c>
      <c r="H17742" s="0" t="n">
        <v>91</v>
      </c>
      <c r="I17742" s="0" t="s">
        <v>59001</v>
      </c>
      <c r="J17742" s="0" t="s">
        <v>59002</v>
      </c>
      <c r="K17742" s="0" t="s">
        <v>59003</v>
      </c>
      <c r="L17742" s="0" t="str">
        <f aca="false">HYPERLINK("https://www.ncbi.nlm.nih.gov/nuccore/CP000058.1?report=graph&amp;tracks=[key:gene_model_track,Options:GeneOnly]&amp;mk=5442297:5442316|offset_16|444444,5442351:5442370|offset_70|444444,5442372:5442391|offset_91|00cc00,5442405:5442424|offset_124|444444&amp;v=5442096:5442624&amp;c=444444", "offset 91")</f>
        <v>offset 91</v>
      </c>
    </row>
    <row r="17743" customFormat="false" ht="12.8" hidden="false" customHeight="false" outlineLevel="0" collapsed="false">
      <c r="A17743" s="0" t="s">
        <v>12</v>
      </c>
      <c r="B17743" s="0" t="n">
        <v>5442404</v>
      </c>
      <c r="C17743" s="0" t="n">
        <v>5442424</v>
      </c>
      <c r="D17743" s="0" t="s">
        <v>58994</v>
      </c>
      <c r="E17743" s="0" t="s">
        <v>75</v>
      </c>
      <c r="F17743" s="0" t="s">
        <v>15</v>
      </c>
      <c r="G17743" s="0" t="s">
        <v>16</v>
      </c>
      <c r="H17743" s="0" t="n">
        <v>124</v>
      </c>
      <c r="I17743" s="0" t="s">
        <v>59004</v>
      </c>
      <c r="J17743" s="0" t="s">
        <v>59005</v>
      </c>
      <c r="K17743" s="0" t="s">
        <v>59006</v>
      </c>
      <c r="L17743" s="0" t="str">
        <f aca="false">HYPERLINK("https://www.ncbi.nlm.nih.gov/nuccore/CP000058.1?report=graph&amp;tracks=[key:gene_model_track,Options:GeneOnly]&amp;mk=5442297:5442316|offset_16|444444,5442351:5442370|offset_70|444444,5442372:5442391|offset_91|444444,5442405:5442424|offset_124|00cc00&amp;v=5442096:5442624&amp;c=444444", "offset 124")</f>
        <v>offset 124</v>
      </c>
    </row>
    <row r="17744" customFormat="false" ht="12.8" hidden="false" customHeight="false" outlineLevel="0" collapsed="false">
      <c r="A17744" s="0" t="s">
        <v>12</v>
      </c>
      <c r="B17744" s="0" t="n">
        <v>5443685</v>
      </c>
      <c r="C17744" s="0" t="n">
        <v>5443705</v>
      </c>
      <c r="D17744" s="0" t="s">
        <v>59007</v>
      </c>
      <c r="E17744" s="0" t="s">
        <v>75</v>
      </c>
      <c r="F17744" s="0" t="s">
        <v>15</v>
      </c>
      <c r="G17744" s="0" t="s">
        <v>32</v>
      </c>
      <c r="H17744" s="0" t="n">
        <v>11</v>
      </c>
      <c r="I17744" s="0" t="s">
        <v>59008</v>
      </c>
      <c r="J17744" s="0" t="s">
        <v>59009</v>
      </c>
      <c r="K17744" s="0" t="s">
        <v>59010</v>
      </c>
      <c r="L17744" s="0" t="str">
        <f aca="false">HYPERLINK("https://www.ncbi.nlm.nih.gov/nuccore/CP000058.1?report=graph&amp;tracks=[key:gene_model_track,Options:GeneOnly]&amp;mk=5443686:5443705|offset_11|00cc00,5443712:5443731|offset_37|444444,5443734:5443753|offset_59|444444,5443757:5443776|offset_82|444444&amp;v=5443485:5443976&amp;c=444444", "offset 11")</f>
        <v>offset 11</v>
      </c>
    </row>
    <row r="17745" customFormat="false" ht="12.8" hidden="false" customHeight="false" outlineLevel="0" collapsed="false">
      <c r="A17745" s="0" t="s">
        <v>12</v>
      </c>
      <c r="B17745" s="0" t="n">
        <v>5443711</v>
      </c>
      <c r="C17745" s="0" t="n">
        <v>5443731</v>
      </c>
      <c r="D17745" s="0" t="s">
        <v>59007</v>
      </c>
      <c r="E17745" s="0" t="s">
        <v>75</v>
      </c>
      <c r="F17745" s="0" t="s">
        <v>15</v>
      </c>
      <c r="G17745" s="0" t="s">
        <v>16</v>
      </c>
      <c r="H17745" s="0" t="n">
        <v>37</v>
      </c>
      <c r="I17745" s="0" t="s">
        <v>59011</v>
      </c>
      <c r="J17745" s="0" t="s">
        <v>59012</v>
      </c>
      <c r="K17745" s="0" t="s">
        <v>59013</v>
      </c>
      <c r="L17745" s="0" t="str">
        <f aca="false">HYPERLINK("https://www.ncbi.nlm.nih.gov/nuccore/CP000058.1?report=graph&amp;tracks=[key:gene_model_track,Options:GeneOnly]&amp;mk=5443686:5443705|offset_11|444444,5443712:5443731|offset_37|00cc00,5443734:5443753|offset_59|444444,5443757:5443776|offset_82|444444&amp;v=5443485:5443976&amp;c=444444", "offset 37")</f>
        <v>offset 37</v>
      </c>
    </row>
    <row r="17746" customFormat="false" ht="12.8" hidden="false" customHeight="false" outlineLevel="0" collapsed="false">
      <c r="A17746" s="0" t="s">
        <v>12</v>
      </c>
      <c r="B17746" s="0" t="n">
        <v>5443733</v>
      </c>
      <c r="C17746" s="0" t="n">
        <v>5443753</v>
      </c>
      <c r="D17746" s="0" t="s">
        <v>59007</v>
      </c>
      <c r="E17746" s="0" t="s">
        <v>75</v>
      </c>
      <c r="F17746" s="0" t="s">
        <v>15</v>
      </c>
      <c r="G17746" s="0" t="s">
        <v>36</v>
      </c>
      <c r="H17746" s="0" t="n">
        <v>59</v>
      </c>
      <c r="I17746" s="0" t="s">
        <v>59014</v>
      </c>
      <c r="J17746" s="0" t="s">
        <v>59015</v>
      </c>
      <c r="K17746" s="0" t="s">
        <v>59016</v>
      </c>
      <c r="L17746" s="0" t="str">
        <f aca="false">HYPERLINK("https://www.ncbi.nlm.nih.gov/nuccore/CP000058.1?report=graph&amp;tracks=[key:gene_model_track,Options:GeneOnly]&amp;mk=5443686:5443705|offset_11|444444,5443712:5443731|offset_37|444444,5443734:5443753|offset_59|00cc00,5443757:5443776|offset_82|444444&amp;v=5443485:5443976&amp;c=444444", "offset 59")</f>
        <v>offset 59</v>
      </c>
    </row>
    <row r="17747" customFormat="false" ht="12.8" hidden="false" customHeight="false" outlineLevel="0" collapsed="false">
      <c r="A17747" s="0" t="s">
        <v>12</v>
      </c>
      <c r="B17747" s="0" t="n">
        <v>5443756</v>
      </c>
      <c r="C17747" s="0" t="n">
        <v>5443776</v>
      </c>
      <c r="D17747" s="0" t="s">
        <v>59007</v>
      </c>
      <c r="E17747" s="0" t="s">
        <v>75</v>
      </c>
      <c r="F17747" s="0" t="s">
        <v>15</v>
      </c>
      <c r="G17747" s="0" t="s">
        <v>20</v>
      </c>
      <c r="H17747" s="0" t="n">
        <v>82</v>
      </c>
      <c r="I17747" s="0" t="s">
        <v>59017</v>
      </c>
      <c r="J17747" s="0" t="s">
        <v>59018</v>
      </c>
      <c r="K17747" s="0" t="s">
        <v>59019</v>
      </c>
      <c r="L17747" s="0" t="str">
        <f aca="false">HYPERLINK("https://www.ncbi.nlm.nih.gov/nuccore/CP000058.1?report=graph&amp;tracks=[key:gene_model_track,Options:GeneOnly]&amp;mk=5443686:5443705|offset_11|444444,5443712:5443731|offset_37|444444,5443734:5443753|offset_59|444444,5443757:5443776|offset_82|00cc00&amp;v=5443485:5443976&amp;c=444444", "offset 82")</f>
        <v>offset 82</v>
      </c>
    </row>
    <row r="17748" customFormat="false" ht="12.8" hidden="false" customHeight="false" outlineLevel="0" collapsed="false">
      <c r="A17748" s="0" t="s">
        <v>12</v>
      </c>
      <c r="B17748" s="0" t="n">
        <v>5445051</v>
      </c>
      <c r="C17748" s="0" t="n">
        <v>5445071</v>
      </c>
      <c r="D17748" s="0" t="s">
        <v>59020</v>
      </c>
      <c r="E17748" s="0" t="s">
        <v>75</v>
      </c>
      <c r="F17748" s="0" t="s">
        <v>15</v>
      </c>
      <c r="G17748" s="0" t="s">
        <v>20</v>
      </c>
      <c r="H17748" s="0" t="n">
        <v>41</v>
      </c>
      <c r="I17748" s="0" t="s">
        <v>59021</v>
      </c>
      <c r="J17748" s="0" t="s">
        <v>59022</v>
      </c>
      <c r="K17748" s="0" t="s">
        <v>59023</v>
      </c>
      <c r="L17748" s="0" t="str">
        <f aca="false">HYPERLINK("https://www.ncbi.nlm.nih.gov/nuccore/CP000058.1?report=graph&amp;tracks=[key:gene_model_track,Options:GeneOnly]&amp;mk=5445052:5445071|offset_41|00cc00,5445078:5445097|offset_67|444444,5445100:5445119|offset_89|444444,5445123:5445142|offset_112|444444&amp;v=5444851:5445342&amp;c=444444", "offset 41")</f>
        <v>offset 41</v>
      </c>
    </row>
    <row r="17749" customFormat="false" ht="12.8" hidden="false" customHeight="false" outlineLevel="0" collapsed="false">
      <c r="A17749" s="0" t="s">
        <v>12</v>
      </c>
      <c r="B17749" s="0" t="n">
        <v>5445077</v>
      </c>
      <c r="C17749" s="0" t="n">
        <v>5445097</v>
      </c>
      <c r="D17749" s="0" t="s">
        <v>59020</v>
      </c>
      <c r="E17749" s="0" t="s">
        <v>75</v>
      </c>
      <c r="F17749" s="0" t="s">
        <v>15</v>
      </c>
      <c r="G17749" s="0" t="s">
        <v>32</v>
      </c>
      <c r="H17749" s="0" t="n">
        <v>67</v>
      </c>
      <c r="I17749" s="0" t="s">
        <v>59024</v>
      </c>
      <c r="J17749" s="0" t="s">
        <v>59025</v>
      </c>
      <c r="K17749" s="0" t="s">
        <v>59026</v>
      </c>
      <c r="L17749" s="0" t="str">
        <f aca="false">HYPERLINK("https://www.ncbi.nlm.nih.gov/nuccore/CP000058.1?report=graph&amp;tracks=[key:gene_model_track,Options:GeneOnly]&amp;mk=5445052:5445071|offset_41|444444,5445078:5445097|offset_67|00cc00,5445100:5445119|offset_89|444444,5445123:5445142|offset_112|444444&amp;v=5444851:5445342&amp;c=444444", "offset 67")</f>
        <v>offset 67</v>
      </c>
    </row>
    <row r="17750" customFormat="false" ht="12.8" hidden="false" customHeight="false" outlineLevel="0" collapsed="false">
      <c r="A17750" s="0" t="s">
        <v>12</v>
      </c>
      <c r="B17750" s="0" t="n">
        <v>5445099</v>
      </c>
      <c r="C17750" s="0" t="n">
        <v>5445119</v>
      </c>
      <c r="D17750" s="0" t="s">
        <v>59020</v>
      </c>
      <c r="E17750" s="0" t="s">
        <v>75</v>
      </c>
      <c r="F17750" s="0" t="s">
        <v>15</v>
      </c>
      <c r="G17750" s="0" t="s">
        <v>20</v>
      </c>
      <c r="H17750" s="0" t="n">
        <v>89</v>
      </c>
      <c r="I17750" s="0" t="s">
        <v>59027</v>
      </c>
      <c r="J17750" s="0" t="s">
        <v>59028</v>
      </c>
      <c r="K17750" s="0" t="s">
        <v>59029</v>
      </c>
      <c r="L17750" s="0" t="str">
        <f aca="false">HYPERLINK("https://www.ncbi.nlm.nih.gov/nuccore/CP000058.1?report=graph&amp;tracks=[key:gene_model_track,Options:GeneOnly]&amp;mk=5445052:5445071|offset_41|444444,5445078:5445097|offset_67|444444,5445100:5445119|offset_89|00cc00,5445123:5445142|offset_112|444444&amp;v=5444851:5445342&amp;c=444444", "offset 89")</f>
        <v>offset 89</v>
      </c>
    </row>
    <row r="17751" customFormat="false" ht="12.8" hidden="false" customHeight="false" outlineLevel="0" collapsed="false">
      <c r="A17751" s="0" t="s">
        <v>12</v>
      </c>
      <c r="B17751" s="0" t="n">
        <v>5445122</v>
      </c>
      <c r="C17751" s="0" t="n">
        <v>5445142</v>
      </c>
      <c r="D17751" s="0" t="s">
        <v>59020</v>
      </c>
      <c r="E17751" s="0" t="s">
        <v>75</v>
      </c>
      <c r="F17751" s="0" t="s">
        <v>15</v>
      </c>
      <c r="G17751" s="0" t="s">
        <v>16</v>
      </c>
      <c r="H17751" s="0" t="n">
        <v>112</v>
      </c>
      <c r="I17751" s="0" t="s">
        <v>59030</v>
      </c>
      <c r="J17751" s="0" t="s">
        <v>59031</v>
      </c>
      <c r="K17751" s="0" t="s">
        <v>59032</v>
      </c>
      <c r="L17751" s="0" t="str">
        <f aca="false">HYPERLINK("https://www.ncbi.nlm.nih.gov/nuccore/CP000058.1?report=graph&amp;tracks=[key:gene_model_track,Options:GeneOnly]&amp;mk=5445052:5445071|offset_41|444444,5445078:5445097|offset_67|444444,5445100:5445119|offset_89|444444,5445123:5445142|offset_112|00cc00&amp;v=5444851:5445342&amp;c=444444", "offset 112")</f>
        <v>offset 112</v>
      </c>
    </row>
    <row r="17752" customFormat="false" ht="12.8" hidden="false" customHeight="false" outlineLevel="0" collapsed="false">
      <c r="A17752" s="0" t="s">
        <v>12</v>
      </c>
      <c r="B17752" s="0" t="n">
        <v>5446684</v>
      </c>
      <c r="C17752" s="0" t="n">
        <v>5446704</v>
      </c>
      <c r="D17752" s="0" t="s">
        <v>59033</v>
      </c>
      <c r="E17752" s="0" t="s">
        <v>75</v>
      </c>
      <c r="F17752" s="0" t="s">
        <v>15</v>
      </c>
      <c r="G17752" s="0" t="s">
        <v>32</v>
      </c>
      <c r="H17752" s="0" t="n">
        <v>11</v>
      </c>
      <c r="I17752" s="0" t="s">
        <v>59034</v>
      </c>
      <c r="J17752" s="0" t="s">
        <v>59035</v>
      </c>
      <c r="K17752" s="0" t="s">
        <v>59036</v>
      </c>
      <c r="L17752" s="0" t="str">
        <f aca="false">HYPERLINK("https://www.ncbi.nlm.nih.gov/nuccore/CP000058.1?report=graph&amp;tracks=[key:gene_model_track,Options:GeneOnly]&amp;mk=5446685:5446704|offset_11|00cc00,5446708:5446727|offset_34|444444,5446734:5446753|offset_60|444444,5446783:5446802|offset_109|444444&amp;v=5446484:5447002&amp;c=444444", "offset 11")</f>
        <v>offset 11</v>
      </c>
    </row>
    <row r="17753" customFormat="false" ht="12.8" hidden="false" customHeight="false" outlineLevel="0" collapsed="false">
      <c r="A17753" s="0" t="s">
        <v>12</v>
      </c>
      <c r="B17753" s="0" t="n">
        <v>5446707</v>
      </c>
      <c r="C17753" s="0" t="n">
        <v>5446727</v>
      </c>
      <c r="D17753" s="0" t="s">
        <v>59033</v>
      </c>
      <c r="E17753" s="0" t="s">
        <v>75</v>
      </c>
      <c r="F17753" s="0" t="s">
        <v>15</v>
      </c>
      <c r="G17753" s="0" t="s">
        <v>16</v>
      </c>
      <c r="H17753" s="0" t="n">
        <v>34</v>
      </c>
      <c r="I17753" s="0" t="s">
        <v>59037</v>
      </c>
      <c r="J17753" s="0" t="s">
        <v>59038</v>
      </c>
      <c r="K17753" s="0" t="s">
        <v>59039</v>
      </c>
      <c r="L17753" s="0" t="str">
        <f aca="false">HYPERLINK("https://www.ncbi.nlm.nih.gov/nuccore/CP000058.1?report=graph&amp;tracks=[key:gene_model_track,Options:GeneOnly]&amp;mk=5446685:5446704|offset_11|444444,5446708:5446727|offset_34|00cc00,5446734:5446753|offset_60|444444,5446783:5446802|offset_109|444444&amp;v=5446484:5447002&amp;c=444444", "offset 34")</f>
        <v>offset 34</v>
      </c>
    </row>
    <row r="17754" customFormat="false" ht="12.8" hidden="false" customHeight="false" outlineLevel="0" collapsed="false">
      <c r="A17754" s="0" t="s">
        <v>12</v>
      </c>
      <c r="B17754" s="0" t="n">
        <v>5446733</v>
      </c>
      <c r="C17754" s="0" t="n">
        <v>5446753</v>
      </c>
      <c r="D17754" s="0" t="s">
        <v>59033</v>
      </c>
      <c r="E17754" s="0" t="s">
        <v>75</v>
      </c>
      <c r="F17754" s="0" t="s">
        <v>15</v>
      </c>
      <c r="G17754" s="0" t="s">
        <v>32</v>
      </c>
      <c r="H17754" s="0" t="n">
        <v>60</v>
      </c>
      <c r="I17754" s="0" t="s">
        <v>59040</v>
      </c>
      <c r="J17754" s="0" t="s">
        <v>59041</v>
      </c>
      <c r="K17754" s="0" t="s">
        <v>59042</v>
      </c>
      <c r="L17754" s="0" t="str">
        <f aca="false">HYPERLINK("https://www.ncbi.nlm.nih.gov/nuccore/CP000058.1?report=graph&amp;tracks=[key:gene_model_track,Options:GeneOnly]&amp;mk=5446685:5446704|offset_11|444444,5446708:5446727|offset_34|444444,5446734:5446753|offset_60|00cc00,5446783:5446802|offset_109|444444&amp;v=5446484:5447002&amp;c=444444", "offset 60")</f>
        <v>offset 60</v>
      </c>
    </row>
    <row r="17755" customFormat="false" ht="12.8" hidden="false" customHeight="false" outlineLevel="0" collapsed="false">
      <c r="A17755" s="0" t="s">
        <v>12</v>
      </c>
      <c r="B17755" s="0" t="n">
        <v>5446782</v>
      </c>
      <c r="C17755" s="0" t="n">
        <v>5446802</v>
      </c>
      <c r="D17755" s="0" t="s">
        <v>59033</v>
      </c>
      <c r="E17755" s="0" t="s">
        <v>75</v>
      </c>
      <c r="F17755" s="0" t="s">
        <v>15</v>
      </c>
      <c r="G17755" s="0" t="s">
        <v>32</v>
      </c>
      <c r="H17755" s="0" t="n">
        <v>109</v>
      </c>
      <c r="I17755" s="0" t="s">
        <v>59043</v>
      </c>
      <c r="J17755" s="0" t="s">
        <v>59044</v>
      </c>
      <c r="K17755" s="0" t="s">
        <v>59045</v>
      </c>
      <c r="L17755" s="0" t="str">
        <f aca="false">HYPERLINK("https://www.ncbi.nlm.nih.gov/nuccore/CP000058.1?report=graph&amp;tracks=[key:gene_model_track,Options:GeneOnly]&amp;mk=5446685:5446704|offset_11|444444,5446708:5446727|offset_34|444444,5446734:5446753|offset_60|444444,5446783:5446802|offset_109|00cc00&amp;v=5446484:5447002&amp;c=444444", "offset 109")</f>
        <v>offset 109</v>
      </c>
    </row>
    <row r="17756" customFormat="false" ht="12.8" hidden="false" customHeight="false" outlineLevel="0" collapsed="false">
      <c r="A17756" s="0" t="s">
        <v>12</v>
      </c>
      <c r="B17756" s="0" t="n">
        <v>5449559</v>
      </c>
      <c r="C17756" s="0" t="n">
        <v>5449579</v>
      </c>
      <c r="D17756" s="0" t="s">
        <v>59046</v>
      </c>
      <c r="E17756" s="0" t="s">
        <v>59047</v>
      </c>
      <c r="F17756" s="0" t="s">
        <v>15</v>
      </c>
      <c r="G17756" s="0" t="s">
        <v>36</v>
      </c>
      <c r="H17756" s="0" t="n">
        <v>45</v>
      </c>
      <c r="I17756" s="0" t="s">
        <v>59048</v>
      </c>
      <c r="J17756" s="0" t="s">
        <v>59049</v>
      </c>
      <c r="K17756" s="0" t="s">
        <v>59050</v>
      </c>
      <c r="L17756" s="0" t="str">
        <f aca="false">HYPERLINK("https://www.ncbi.nlm.nih.gov/nuccore/CP000058.1?report=graph&amp;tracks=[key:gene_model_track,Options:GeneOnly]&amp;mk=5449560:5449579|offset_45|00cc00,5449581:5449600|offset_66|444444,5449608:5449627|offset_93|444444,5449634:5449653|offset_119|444444&amp;v=5449359:5449853&amp;c=444444", "offset 45")</f>
        <v>offset 45</v>
      </c>
    </row>
    <row r="17757" customFormat="false" ht="12.8" hidden="false" customHeight="false" outlineLevel="0" collapsed="false">
      <c r="A17757" s="0" t="s">
        <v>12</v>
      </c>
      <c r="B17757" s="0" t="n">
        <v>5449580</v>
      </c>
      <c r="C17757" s="0" t="n">
        <v>5449600</v>
      </c>
      <c r="D17757" s="0" t="s">
        <v>59046</v>
      </c>
      <c r="E17757" s="0" t="s">
        <v>59047</v>
      </c>
      <c r="F17757" s="0" t="s">
        <v>15</v>
      </c>
      <c r="G17757" s="0" t="s">
        <v>16</v>
      </c>
      <c r="H17757" s="0" t="n">
        <v>66</v>
      </c>
      <c r="I17757" s="0" t="s">
        <v>59051</v>
      </c>
      <c r="J17757" s="0" t="s">
        <v>59052</v>
      </c>
      <c r="K17757" s="0" t="s">
        <v>59053</v>
      </c>
      <c r="L17757" s="0" t="str">
        <f aca="false">HYPERLINK("https://www.ncbi.nlm.nih.gov/nuccore/CP000058.1?report=graph&amp;tracks=[key:gene_model_track,Options:GeneOnly]&amp;mk=5449560:5449579|offset_45|444444,5449581:5449600|offset_66|00cc00,5449608:5449627|offset_93|444444,5449634:5449653|offset_119|444444&amp;v=5449359:5449853&amp;c=444444", "offset 66")</f>
        <v>offset 66</v>
      </c>
    </row>
    <row r="17758" customFormat="false" ht="12.8" hidden="false" customHeight="false" outlineLevel="0" collapsed="false">
      <c r="A17758" s="0" t="s">
        <v>12</v>
      </c>
      <c r="B17758" s="0" t="n">
        <v>5449607</v>
      </c>
      <c r="C17758" s="0" t="n">
        <v>5449627</v>
      </c>
      <c r="D17758" s="0" t="s">
        <v>59046</v>
      </c>
      <c r="E17758" s="0" t="s">
        <v>59047</v>
      </c>
      <c r="F17758" s="0" t="s">
        <v>15</v>
      </c>
      <c r="G17758" s="0" t="s">
        <v>16</v>
      </c>
      <c r="H17758" s="0" t="n">
        <v>93</v>
      </c>
      <c r="I17758" s="0" t="s">
        <v>59054</v>
      </c>
      <c r="J17758" s="0" t="s">
        <v>59055</v>
      </c>
      <c r="K17758" s="0" t="s">
        <v>59056</v>
      </c>
      <c r="L17758" s="0" t="str">
        <f aca="false">HYPERLINK("https://www.ncbi.nlm.nih.gov/nuccore/CP000058.1?report=graph&amp;tracks=[key:gene_model_track,Options:GeneOnly]&amp;mk=5449560:5449579|offset_45|444444,5449581:5449600|offset_66|444444,5449608:5449627|offset_93|00cc00,5449634:5449653|offset_119|444444&amp;v=5449359:5449853&amp;c=444444", "offset 93")</f>
        <v>offset 93</v>
      </c>
    </row>
    <row r="17759" customFormat="false" ht="12.8" hidden="false" customHeight="false" outlineLevel="0" collapsed="false">
      <c r="A17759" s="0" t="s">
        <v>12</v>
      </c>
      <c r="B17759" s="0" t="n">
        <v>5449633</v>
      </c>
      <c r="C17759" s="0" t="n">
        <v>5449653</v>
      </c>
      <c r="D17759" s="0" t="s">
        <v>59046</v>
      </c>
      <c r="E17759" s="0" t="s">
        <v>59047</v>
      </c>
      <c r="F17759" s="0" t="s">
        <v>15</v>
      </c>
      <c r="G17759" s="0" t="s">
        <v>36</v>
      </c>
      <c r="H17759" s="0" t="n">
        <v>119</v>
      </c>
      <c r="I17759" s="0" t="s">
        <v>59057</v>
      </c>
      <c r="J17759" s="0" t="s">
        <v>59058</v>
      </c>
      <c r="K17759" s="0" t="s">
        <v>59059</v>
      </c>
      <c r="L17759" s="0" t="str">
        <f aca="false">HYPERLINK("https://www.ncbi.nlm.nih.gov/nuccore/CP000058.1?report=graph&amp;tracks=[key:gene_model_track,Options:GeneOnly]&amp;mk=5449560:5449579|offset_45|444444,5449581:5449600|offset_66|444444,5449608:5449627|offset_93|444444,5449634:5449653|offset_119|00cc00&amp;v=5449359:5449853&amp;c=444444", "offset 119")</f>
        <v>offset 119</v>
      </c>
    </row>
    <row r="17760" customFormat="false" ht="12.8" hidden="false" customHeight="false" outlineLevel="0" collapsed="false">
      <c r="A17760" s="0" t="s">
        <v>12</v>
      </c>
      <c r="B17760" s="0" t="n">
        <v>5451093</v>
      </c>
      <c r="C17760" s="0" t="n">
        <v>5451113</v>
      </c>
      <c r="D17760" s="0" t="s">
        <v>59060</v>
      </c>
      <c r="E17760" s="0" t="s">
        <v>75</v>
      </c>
      <c r="F17760" s="0" t="s">
        <v>90</v>
      </c>
      <c r="G17760" s="0" t="s">
        <v>32</v>
      </c>
      <c r="H17760" s="0" t="n">
        <v>1</v>
      </c>
      <c r="I17760" s="0" t="s">
        <v>59061</v>
      </c>
      <c r="J17760" s="0" t="s">
        <v>59062</v>
      </c>
      <c r="K17760" s="0" t="s">
        <v>59063</v>
      </c>
      <c r="L17760" s="0" t="str">
        <f aca="false">HYPERLINK("https://www.ncbi.nlm.nih.gov/nuccore/CP000058.1?report=graph&amp;tracks=[key:gene_model_track,Options:GeneOnly]&amp;mk=5451094:5451113|offset_1|00cc00,5451072:5451091|offset_23|444444,5451039:5451058|offset_56|444444,5451016:5451035|offset_79|444444&amp;v=5450893:5451235&amp;c=444444", "offset 1")</f>
        <v>offset 1</v>
      </c>
    </row>
    <row r="17761" customFormat="false" ht="12.8" hidden="false" customHeight="false" outlineLevel="0" collapsed="false">
      <c r="A17761" s="0" t="s">
        <v>12</v>
      </c>
      <c r="B17761" s="0" t="n">
        <v>5451071</v>
      </c>
      <c r="C17761" s="0" t="n">
        <v>5451091</v>
      </c>
      <c r="D17761" s="0" t="s">
        <v>59060</v>
      </c>
      <c r="E17761" s="0" t="s">
        <v>75</v>
      </c>
      <c r="F17761" s="0" t="s">
        <v>90</v>
      </c>
      <c r="G17761" s="0" t="s">
        <v>32</v>
      </c>
      <c r="H17761" s="0" t="n">
        <v>23</v>
      </c>
      <c r="I17761" s="0" t="s">
        <v>59064</v>
      </c>
      <c r="J17761" s="0" t="s">
        <v>59065</v>
      </c>
      <c r="K17761" s="0" t="s">
        <v>59066</v>
      </c>
      <c r="L17761" s="0" t="str">
        <f aca="false">HYPERLINK("https://www.ncbi.nlm.nih.gov/nuccore/CP000058.1?report=graph&amp;tracks=[key:gene_model_track,Options:GeneOnly]&amp;mk=5451094:5451113|offset_1|444444,5451072:5451091|offset_23|00cc00,5451039:5451058|offset_56|444444,5451016:5451035|offset_79|444444&amp;v=5450893:5451235&amp;c=444444", "offset 23")</f>
        <v>offset 23</v>
      </c>
    </row>
    <row r="17762" customFormat="false" ht="12.8" hidden="false" customHeight="false" outlineLevel="0" collapsed="false">
      <c r="A17762" s="0" t="s">
        <v>12</v>
      </c>
      <c r="B17762" s="0" t="n">
        <v>5451038</v>
      </c>
      <c r="C17762" s="0" t="n">
        <v>5451058</v>
      </c>
      <c r="D17762" s="0" t="s">
        <v>59060</v>
      </c>
      <c r="E17762" s="0" t="s">
        <v>75</v>
      </c>
      <c r="F17762" s="0" t="s">
        <v>90</v>
      </c>
      <c r="G17762" s="0" t="s">
        <v>20</v>
      </c>
      <c r="H17762" s="0" t="n">
        <v>56</v>
      </c>
      <c r="I17762" s="0" t="s">
        <v>59067</v>
      </c>
      <c r="J17762" s="0" t="s">
        <v>59068</v>
      </c>
      <c r="K17762" s="0" t="s">
        <v>59069</v>
      </c>
      <c r="L17762" s="0" t="str">
        <f aca="false">HYPERLINK("https://www.ncbi.nlm.nih.gov/nuccore/CP000058.1?report=graph&amp;tracks=[key:gene_model_track,Options:GeneOnly]&amp;mk=5451094:5451113|offset_1|444444,5451072:5451091|offset_23|444444,5451039:5451058|offset_56|00cc00,5451016:5451035|offset_79|444444&amp;v=5450893:5451235&amp;c=444444", "offset 56")</f>
        <v>offset 56</v>
      </c>
    </row>
    <row r="17763" customFormat="false" ht="12.8" hidden="false" customHeight="false" outlineLevel="0" collapsed="false">
      <c r="A17763" s="0" t="s">
        <v>12</v>
      </c>
      <c r="B17763" s="0" t="n">
        <v>5451015</v>
      </c>
      <c r="C17763" s="0" t="n">
        <v>5451035</v>
      </c>
      <c r="D17763" s="0" t="s">
        <v>59060</v>
      </c>
      <c r="E17763" s="0" t="s">
        <v>75</v>
      </c>
      <c r="F17763" s="0" t="s">
        <v>90</v>
      </c>
      <c r="G17763" s="0" t="s">
        <v>36</v>
      </c>
      <c r="H17763" s="0" t="n">
        <v>79</v>
      </c>
      <c r="I17763" s="0" t="s">
        <v>59070</v>
      </c>
      <c r="J17763" s="0" t="s">
        <v>59071</v>
      </c>
      <c r="K17763" s="0" t="s">
        <v>59072</v>
      </c>
      <c r="L17763" s="0" t="str">
        <f aca="false">HYPERLINK("https://www.ncbi.nlm.nih.gov/nuccore/CP000058.1?report=graph&amp;tracks=[key:gene_model_track,Options:GeneOnly]&amp;mk=5451094:5451113|offset_1|444444,5451072:5451091|offset_23|444444,5451039:5451058|offset_56|444444,5451016:5451035|offset_79|00cc00&amp;v=5450893:5451235&amp;c=444444", "offset 79")</f>
        <v>offset 79</v>
      </c>
    </row>
    <row r="17764" customFormat="false" ht="12.8" hidden="false" customHeight="false" outlineLevel="0" collapsed="false">
      <c r="A17764" s="0" t="s">
        <v>12</v>
      </c>
      <c r="B17764" s="0" t="n">
        <v>5452063</v>
      </c>
      <c r="C17764" s="0" t="n">
        <v>5452083</v>
      </c>
      <c r="D17764" s="0" t="s">
        <v>59073</v>
      </c>
      <c r="E17764" s="0" t="s">
        <v>75</v>
      </c>
      <c r="F17764" s="0" t="s">
        <v>90</v>
      </c>
      <c r="G17764" s="0" t="s">
        <v>16</v>
      </c>
      <c r="H17764" s="0" t="n">
        <v>20</v>
      </c>
      <c r="I17764" s="0" t="s">
        <v>59074</v>
      </c>
      <c r="J17764" s="0" t="s">
        <v>59075</v>
      </c>
      <c r="K17764" s="0" t="s">
        <v>59076</v>
      </c>
      <c r="L17764" s="0" t="str">
        <f aca="false">HYPERLINK("https://www.ncbi.nlm.nih.gov/nuccore/CP000058.1?report=graph&amp;tracks=[key:gene_model_track,Options:GeneOnly]&amp;mk=5452064:5452083|offset_20|00cc00,5452031:5452050|offset_53|444444,5451999:5452018|offset_85|444444,5451942:5451961|offset_142|444444&amp;v=5451863:5452161&amp;c=444444", "offset 20")</f>
        <v>offset 20</v>
      </c>
    </row>
    <row r="17765" customFormat="false" ht="12.8" hidden="false" customHeight="false" outlineLevel="0" collapsed="false">
      <c r="A17765" s="0" t="s">
        <v>12</v>
      </c>
      <c r="B17765" s="0" t="n">
        <v>5452030</v>
      </c>
      <c r="C17765" s="0" t="n">
        <v>5452050</v>
      </c>
      <c r="D17765" s="0" t="s">
        <v>59073</v>
      </c>
      <c r="E17765" s="0" t="s">
        <v>75</v>
      </c>
      <c r="F17765" s="0" t="s">
        <v>90</v>
      </c>
      <c r="G17765" s="0" t="s">
        <v>20</v>
      </c>
      <c r="H17765" s="0" t="n">
        <v>53</v>
      </c>
      <c r="I17765" s="0" t="s">
        <v>59077</v>
      </c>
      <c r="J17765" s="0" t="s">
        <v>59078</v>
      </c>
      <c r="K17765" s="0" t="s">
        <v>59079</v>
      </c>
      <c r="L17765" s="0" t="str">
        <f aca="false">HYPERLINK("https://www.ncbi.nlm.nih.gov/nuccore/CP000058.1?report=graph&amp;tracks=[key:gene_model_track,Options:GeneOnly]&amp;mk=5452064:5452083|offset_20|444444,5452031:5452050|offset_53|00cc00,5451999:5452018|offset_85|444444,5451942:5451961|offset_142|444444&amp;v=5451863:5452161&amp;c=444444", "offset 53")</f>
        <v>offset 53</v>
      </c>
    </row>
    <row r="17766" customFormat="false" ht="12.8" hidden="false" customHeight="false" outlineLevel="0" collapsed="false">
      <c r="A17766" s="0" t="s">
        <v>12</v>
      </c>
      <c r="B17766" s="0" t="n">
        <v>5451998</v>
      </c>
      <c r="C17766" s="0" t="n">
        <v>5452018</v>
      </c>
      <c r="D17766" s="0" t="s">
        <v>59073</v>
      </c>
      <c r="E17766" s="0" t="s">
        <v>75</v>
      </c>
      <c r="F17766" s="0" t="s">
        <v>90</v>
      </c>
      <c r="G17766" s="0" t="s">
        <v>16</v>
      </c>
      <c r="H17766" s="0" t="n">
        <v>85</v>
      </c>
      <c r="I17766" s="0" t="s">
        <v>59080</v>
      </c>
      <c r="J17766" s="0" t="s">
        <v>59081</v>
      </c>
      <c r="K17766" s="0" t="s">
        <v>59082</v>
      </c>
      <c r="L17766" s="0" t="str">
        <f aca="false">HYPERLINK("https://www.ncbi.nlm.nih.gov/nuccore/CP000058.1?report=graph&amp;tracks=[key:gene_model_track,Options:GeneOnly]&amp;mk=5452064:5452083|offset_20|444444,5452031:5452050|offset_53|444444,5451999:5452018|offset_85|00cc00,5451942:5451961|offset_142|444444&amp;v=5451863:5452161&amp;c=444444", "offset 85")</f>
        <v>offset 85</v>
      </c>
    </row>
    <row r="17767" customFormat="false" ht="12.8" hidden="false" customHeight="false" outlineLevel="0" collapsed="false">
      <c r="A17767" s="0" t="s">
        <v>12</v>
      </c>
      <c r="B17767" s="0" t="n">
        <v>5451941</v>
      </c>
      <c r="C17767" s="0" t="n">
        <v>5451961</v>
      </c>
      <c r="D17767" s="0" t="s">
        <v>59073</v>
      </c>
      <c r="E17767" s="0" t="s">
        <v>75</v>
      </c>
      <c r="F17767" s="0" t="s">
        <v>90</v>
      </c>
      <c r="G17767" s="0" t="s">
        <v>16</v>
      </c>
      <c r="H17767" s="0" t="n">
        <v>142</v>
      </c>
      <c r="I17767" s="0" t="s">
        <v>59083</v>
      </c>
      <c r="J17767" s="0" t="s">
        <v>59084</v>
      </c>
      <c r="K17767" s="0" t="s">
        <v>59085</v>
      </c>
      <c r="L17767" s="0" t="str">
        <f aca="false">HYPERLINK("https://www.ncbi.nlm.nih.gov/nuccore/CP000058.1?report=graph&amp;tracks=[key:gene_model_track,Options:GeneOnly]&amp;mk=5452064:5452083|offset_20|444444,5452031:5452050|offset_53|444444,5451999:5452018|offset_85|444444,5451942:5451961|offset_142|00cc00&amp;v=5451863:5452161&amp;c=444444", "offset 142")</f>
        <v>offset 142</v>
      </c>
    </row>
    <row r="17768" customFormat="false" ht="12.8" hidden="false" customHeight="false" outlineLevel="0" collapsed="false">
      <c r="A17768" s="0" t="s">
        <v>12</v>
      </c>
      <c r="B17768" s="0" t="n">
        <v>5453459</v>
      </c>
      <c r="C17768" s="0" t="n">
        <v>5453479</v>
      </c>
      <c r="D17768" s="0" t="s">
        <v>59086</v>
      </c>
      <c r="E17768" s="0" t="s">
        <v>75</v>
      </c>
      <c r="F17768" s="0" t="s">
        <v>90</v>
      </c>
      <c r="G17768" s="0" t="s">
        <v>20</v>
      </c>
      <c r="H17768" s="0" t="n">
        <v>17</v>
      </c>
      <c r="I17768" s="0" t="s">
        <v>59087</v>
      </c>
      <c r="J17768" s="0" t="s">
        <v>59088</v>
      </c>
      <c r="K17768" s="0" t="s">
        <v>59089</v>
      </c>
      <c r="L17768" s="0" t="str">
        <f aca="false">HYPERLINK("https://www.ncbi.nlm.nih.gov/nuccore/CP000058.1?report=graph&amp;tracks=[key:gene_model_track,Options:GeneOnly]&amp;mk=5453460:5453479|offset_17|00cc00,5453431:5453450|offset_46|444444,5453394:5453413|offset_83|444444,5453356:5453375|offset_121|444444&amp;v=5453259:5453575&amp;c=444444", "offset 17")</f>
        <v>offset 17</v>
      </c>
    </row>
    <row r="17769" customFormat="false" ht="12.8" hidden="false" customHeight="false" outlineLevel="0" collapsed="false">
      <c r="A17769" s="0" t="s">
        <v>12</v>
      </c>
      <c r="B17769" s="0" t="n">
        <v>5453430</v>
      </c>
      <c r="C17769" s="0" t="n">
        <v>5453450</v>
      </c>
      <c r="D17769" s="0" t="s">
        <v>59086</v>
      </c>
      <c r="E17769" s="0" t="s">
        <v>75</v>
      </c>
      <c r="F17769" s="0" t="s">
        <v>90</v>
      </c>
      <c r="G17769" s="0" t="s">
        <v>32</v>
      </c>
      <c r="H17769" s="0" t="n">
        <v>46</v>
      </c>
      <c r="I17769" s="0" t="s">
        <v>59090</v>
      </c>
      <c r="J17769" s="0" t="s">
        <v>59091</v>
      </c>
      <c r="K17769" s="0" t="s">
        <v>59092</v>
      </c>
      <c r="L17769" s="0" t="str">
        <f aca="false">HYPERLINK("https://www.ncbi.nlm.nih.gov/nuccore/CP000058.1?report=graph&amp;tracks=[key:gene_model_track,Options:GeneOnly]&amp;mk=5453460:5453479|offset_17|444444,5453431:5453450|offset_46|00cc00,5453394:5453413|offset_83|444444,5453356:5453375|offset_121|444444&amp;v=5453259:5453575&amp;c=444444", "offset 46")</f>
        <v>offset 46</v>
      </c>
    </row>
    <row r="17770" customFormat="false" ht="12.8" hidden="false" customHeight="false" outlineLevel="0" collapsed="false">
      <c r="A17770" s="0" t="s">
        <v>12</v>
      </c>
      <c r="B17770" s="0" t="n">
        <v>5453393</v>
      </c>
      <c r="C17770" s="0" t="n">
        <v>5453413</v>
      </c>
      <c r="D17770" s="0" t="s">
        <v>59086</v>
      </c>
      <c r="E17770" s="0" t="s">
        <v>75</v>
      </c>
      <c r="F17770" s="0" t="s">
        <v>90</v>
      </c>
      <c r="G17770" s="0" t="s">
        <v>32</v>
      </c>
      <c r="H17770" s="0" t="n">
        <v>83</v>
      </c>
      <c r="I17770" s="0" t="s">
        <v>59093</v>
      </c>
      <c r="J17770" s="0" t="s">
        <v>59094</v>
      </c>
      <c r="K17770" s="0" t="s">
        <v>59095</v>
      </c>
      <c r="L17770" s="0" t="str">
        <f aca="false">HYPERLINK("https://www.ncbi.nlm.nih.gov/nuccore/CP000058.1?report=graph&amp;tracks=[key:gene_model_track,Options:GeneOnly]&amp;mk=5453460:5453479|offset_17|444444,5453431:5453450|offset_46|444444,5453394:5453413|offset_83|00cc00,5453356:5453375|offset_121|444444&amp;v=5453259:5453575&amp;c=444444", "offset 83")</f>
        <v>offset 83</v>
      </c>
    </row>
    <row r="17771" customFormat="false" ht="12.8" hidden="false" customHeight="false" outlineLevel="0" collapsed="false">
      <c r="A17771" s="0" t="s">
        <v>12</v>
      </c>
      <c r="B17771" s="0" t="n">
        <v>5453355</v>
      </c>
      <c r="C17771" s="0" t="n">
        <v>5453375</v>
      </c>
      <c r="D17771" s="0" t="s">
        <v>59086</v>
      </c>
      <c r="E17771" s="0" t="s">
        <v>75</v>
      </c>
      <c r="F17771" s="0" t="s">
        <v>90</v>
      </c>
      <c r="G17771" s="0" t="s">
        <v>16</v>
      </c>
      <c r="H17771" s="0" t="n">
        <v>121</v>
      </c>
      <c r="I17771" s="0" t="s">
        <v>59096</v>
      </c>
      <c r="J17771" s="0" t="s">
        <v>59097</v>
      </c>
      <c r="K17771" s="0" t="s">
        <v>59098</v>
      </c>
      <c r="L17771" s="0" t="str">
        <f aca="false">HYPERLINK("https://www.ncbi.nlm.nih.gov/nuccore/CP000058.1?report=graph&amp;tracks=[key:gene_model_track,Options:GeneOnly]&amp;mk=5453460:5453479|offset_17|444444,5453431:5453450|offset_46|444444,5453394:5453413|offset_83|444444,5453356:5453375|offset_121|00cc00&amp;v=5453259:5453575&amp;c=444444", "offset 121")</f>
        <v>offset 121</v>
      </c>
    </row>
    <row r="17772" customFormat="false" ht="12.8" hidden="false" customHeight="false" outlineLevel="0" collapsed="false">
      <c r="A17772" s="0" t="s">
        <v>12</v>
      </c>
      <c r="B17772" s="0" t="n">
        <v>5453896</v>
      </c>
      <c r="C17772" s="0" t="n">
        <v>5453916</v>
      </c>
      <c r="D17772" s="0" t="s">
        <v>59099</v>
      </c>
      <c r="E17772" s="0" t="s">
        <v>75</v>
      </c>
      <c r="F17772" s="0" t="s">
        <v>15</v>
      </c>
      <c r="G17772" s="0" t="s">
        <v>20</v>
      </c>
      <c r="H17772" s="0" t="n">
        <v>25</v>
      </c>
      <c r="I17772" s="0" t="s">
        <v>59100</v>
      </c>
      <c r="J17772" s="0" t="s">
        <v>59101</v>
      </c>
      <c r="K17772" s="0" t="s">
        <v>59102</v>
      </c>
      <c r="L17772" s="0" t="str">
        <f aca="false">HYPERLINK("https://www.ncbi.nlm.nih.gov/nuccore/CP000058.1?report=graph&amp;tracks=[key:gene_model_track,Options:GeneOnly]&amp;mk=5453897:5453916|offset_25|00cc00,5453931:5453950|offset_59|444444,5453984:5454003|offset_112|444444,5454004:5454023|offset_132|444444&amp;v=5453696:5454223&amp;c=444444", "offset 25")</f>
        <v>offset 25</v>
      </c>
    </row>
    <row r="17773" customFormat="false" ht="12.8" hidden="false" customHeight="false" outlineLevel="0" collapsed="false">
      <c r="A17773" s="0" t="s">
        <v>12</v>
      </c>
      <c r="B17773" s="0" t="n">
        <v>5453930</v>
      </c>
      <c r="C17773" s="0" t="n">
        <v>5453950</v>
      </c>
      <c r="D17773" s="0" t="s">
        <v>59099</v>
      </c>
      <c r="E17773" s="0" t="s">
        <v>75</v>
      </c>
      <c r="F17773" s="0" t="s">
        <v>15</v>
      </c>
      <c r="G17773" s="0" t="s">
        <v>16</v>
      </c>
      <c r="H17773" s="0" t="n">
        <v>59</v>
      </c>
      <c r="I17773" s="0" t="s">
        <v>59103</v>
      </c>
      <c r="J17773" s="0" t="s">
        <v>59104</v>
      </c>
      <c r="K17773" s="0" t="s">
        <v>59105</v>
      </c>
      <c r="L17773" s="0" t="str">
        <f aca="false">HYPERLINK("https://www.ncbi.nlm.nih.gov/nuccore/CP000058.1?report=graph&amp;tracks=[key:gene_model_track,Options:GeneOnly]&amp;mk=5453897:5453916|offset_25|444444,5453931:5453950|offset_59|00cc00,5453984:5454003|offset_112|444444,5454004:5454023|offset_132|444444&amp;v=5453696:5454223&amp;c=444444", "offset 59")</f>
        <v>offset 59</v>
      </c>
    </row>
    <row r="17774" customFormat="false" ht="12.8" hidden="false" customHeight="false" outlineLevel="0" collapsed="false">
      <c r="A17774" s="0" t="s">
        <v>12</v>
      </c>
      <c r="B17774" s="0" t="n">
        <v>5453983</v>
      </c>
      <c r="C17774" s="0" t="n">
        <v>5454003</v>
      </c>
      <c r="D17774" s="0" t="s">
        <v>59099</v>
      </c>
      <c r="E17774" s="0" t="s">
        <v>75</v>
      </c>
      <c r="F17774" s="0" t="s">
        <v>15</v>
      </c>
      <c r="G17774" s="0" t="s">
        <v>16</v>
      </c>
      <c r="H17774" s="0" t="n">
        <v>112</v>
      </c>
      <c r="I17774" s="0" t="s">
        <v>59106</v>
      </c>
      <c r="J17774" s="0" t="s">
        <v>59107</v>
      </c>
      <c r="K17774" s="0" t="s">
        <v>59108</v>
      </c>
      <c r="L17774" s="0" t="str">
        <f aca="false">HYPERLINK("https://www.ncbi.nlm.nih.gov/nuccore/CP000058.1?report=graph&amp;tracks=[key:gene_model_track,Options:GeneOnly]&amp;mk=5453897:5453916|offset_25|444444,5453931:5453950|offset_59|444444,5453984:5454003|offset_112|00cc00,5454004:5454023|offset_132|444444&amp;v=5453696:5454223&amp;c=444444", "offset 112")</f>
        <v>offset 112</v>
      </c>
    </row>
    <row r="17775" customFormat="false" ht="12.8" hidden="false" customHeight="false" outlineLevel="0" collapsed="false">
      <c r="A17775" s="0" t="s">
        <v>12</v>
      </c>
      <c r="B17775" s="0" t="n">
        <v>5454003</v>
      </c>
      <c r="C17775" s="0" t="n">
        <v>5454023</v>
      </c>
      <c r="D17775" s="0" t="s">
        <v>59099</v>
      </c>
      <c r="E17775" s="0" t="s">
        <v>75</v>
      </c>
      <c r="F17775" s="0" t="s">
        <v>15</v>
      </c>
      <c r="G17775" s="0" t="s">
        <v>16</v>
      </c>
      <c r="H17775" s="0" t="n">
        <v>132</v>
      </c>
      <c r="I17775" s="0" t="s">
        <v>59109</v>
      </c>
      <c r="J17775" s="0" t="s">
        <v>59110</v>
      </c>
      <c r="K17775" s="0" t="s">
        <v>59111</v>
      </c>
      <c r="L17775" s="0" t="str">
        <f aca="false">HYPERLINK("https://www.ncbi.nlm.nih.gov/nuccore/CP000058.1?report=graph&amp;tracks=[key:gene_model_track,Options:GeneOnly]&amp;mk=5453897:5453916|offset_25|444444,5453931:5453950|offset_59|444444,5453984:5454003|offset_112|444444,5454004:5454023|offset_132|00cc00&amp;v=5453696:5454223&amp;c=444444", "offset 132")</f>
        <v>offset 132</v>
      </c>
    </row>
    <row r="17776" customFormat="false" ht="12.8" hidden="false" customHeight="false" outlineLevel="0" collapsed="false">
      <c r="A17776" s="0" t="s">
        <v>12</v>
      </c>
      <c r="B17776" s="0" t="n">
        <v>5455318</v>
      </c>
      <c r="C17776" s="0" t="n">
        <v>5455338</v>
      </c>
      <c r="D17776" s="0" t="s">
        <v>59112</v>
      </c>
      <c r="E17776" s="0" t="s">
        <v>75</v>
      </c>
      <c r="F17776" s="0" t="s">
        <v>15</v>
      </c>
      <c r="G17776" s="0" t="s">
        <v>36</v>
      </c>
      <c r="H17776" s="0" t="n">
        <v>11</v>
      </c>
      <c r="I17776" s="0" t="s">
        <v>59113</v>
      </c>
      <c r="J17776" s="0" t="s">
        <v>59114</v>
      </c>
      <c r="K17776" s="0" t="s">
        <v>59115</v>
      </c>
      <c r="L17776" s="0" t="str">
        <f aca="false">HYPERLINK("https://www.ncbi.nlm.nih.gov/nuccore/CP000058.1?report=graph&amp;tracks=[key:gene_model_track,Options:GeneOnly]&amp;mk=5455319:5455338|offset_11|00cc00,5455354:5455373|offset_46|444444,5455374:5455393|offset_66|444444,5455422:5455441|offset_114|444444&amp;v=5455118:5455641&amp;c=444444", "offset 11")</f>
        <v>offset 11</v>
      </c>
    </row>
    <row r="17777" customFormat="false" ht="12.8" hidden="false" customHeight="false" outlineLevel="0" collapsed="false">
      <c r="A17777" s="0" t="s">
        <v>12</v>
      </c>
      <c r="B17777" s="0" t="n">
        <v>5455353</v>
      </c>
      <c r="C17777" s="0" t="n">
        <v>5455373</v>
      </c>
      <c r="D17777" s="0" t="s">
        <v>59112</v>
      </c>
      <c r="E17777" s="0" t="s">
        <v>75</v>
      </c>
      <c r="F17777" s="0" t="s">
        <v>15</v>
      </c>
      <c r="G17777" s="0" t="s">
        <v>16</v>
      </c>
      <c r="H17777" s="0" t="n">
        <v>46</v>
      </c>
      <c r="I17777" s="0" t="s">
        <v>59116</v>
      </c>
      <c r="J17777" s="0" t="s">
        <v>59117</v>
      </c>
      <c r="K17777" s="0" t="s">
        <v>59118</v>
      </c>
      <c r="L17777" s="0" t="str">
        <f aca="false">HYPERLINK("https://www.ncbi.nlm.nih.gov/nuccore/CP000058.1?report=graph&amp;tracks=[key:gene_model_track,Options:GeneOnly]&amp;mk=5455319:5455338|offset_11|444444,5455354:5455373|offset_46|00cc00,5455374:5455393|offset_66|444444,5455422:5455441|offset_114|444444&amp;v=5455118:5455641&amp;c=444444", "offset 46")</f>
        <v>offset 46</v>
      </c>
    </row>
    <row r="17778" customFormat="false" ht="12.8" hidden="false" customHeight="false" outlineLevel="0" collapsed="false">
      <c r="A17778" s="0" t="s">
        <v>12</v>
      </c>
      <c r="B17778" s="0" t="n">
        <v>5455373</v>
      </c>
      <c r="C17778" s="0" t="n">
        <v>5455393</v>
      </c>
      <c r="D17778" s="0" t="s">
        <v>59112</v>
      </c>
      <c r="E17778" s="0" t="s">
        <v>75</v>
      </c>
      <c r="F17778" s="0" t="s">
        <v>15</v>
      </c>
      <c r="G17778" s="0" t="s">
        <v>16</v>
      </c>
      <c r="H17778" s="0" t="n">
        <v>66</v>
      </c>
      <c r="I17778" s="0" t="s">
        <v>59119</v>
      </c>
      <c r="J17778" s="0" t="s">
        <v>59120</v>
      </c>
      <c r="K17778" s="0" t="s">
        <v>59121</v>
      </c>
      <c r="L17778" s="0" t="str">
        <f aca="false">HYPERLINK("https://www.ncbi.nlm.nih.gov/nuccore/CP000058.1?report=graph&amp;tracks=[key:gene_model_track,Options:GeneOnly]&amp;mk=5455319:5455338|offset_11|444444,5455354:5455373|offset_46|444444,5455374:5455393|offset_66|00cc00,5455422:5455441|offset_114|444444&amp;v=5455118:5455641&amp;c=444444", "offset 66")</f>
        <v>offset 66</v>
      </c>
    </row>
    <row r="17779" customFormat="false" ht="12.8" hidden="false" customHeight="false" outlineLevel="0" collapsed="false">
      <c r="A17779" s="0" t="s">
        <v>12</v>
      </c>
      <c r="B17779" s="0" t="n">
        <v>5455421</v>
      </c>
      <c r="C17779" s="0" t="n">
        <v>5455441</v>
      </c>
      <c r="D17779" s="0" t="s">
        <v>59112</v>
      </c>
      <c r="E17779" s="0" t="s">
        <v>75</v>
      </c>
      <c r="F17779" s="0" t="s">
        <v>15</v>
      </c>
      <c r="G17779" s="0" t="s">
        <v>20</v>
      </c>
      <c r="H17779" s="0" t="n">
        <v>114</v>
      </c>
      <c r="I17779" s="0" t="s">
        <v>59122</v>
      </c>
      <c r="J17779" s="0" t="s">
        <v>59123</v>
      </c>
      <c r="K17779" s="0" t="s">
        <v>59124</v>
      </c>
      <c r="L17779" s="0" t="str">
        <f aca="false">HYPERLINK("https://www.ncbi.nlm.nih.gov/nuccore/CP000058.1?report=graph&amp;tracks=[key:gene_model_track,Options:GeneOnly]&amp;mk=5455319:5455338|offset_11|444444,5455354:5455373|offset_46|444444,5455374:5455393|offset_66|444444,5455422:5455441|offset_114|00cc00&amp;v=5455118:5455641&amp;c=444444", "offset 114")</f>
        <v>offset 114</v>
      </c>
    </row>
    <row r="17780" customFormat="false" ht="12.8" hidden="false" customHeight="false" outlineLevel="0" collapsed="false">
      <c r="A17780" s="0" t="s">
        <v>12</v>
      </c>
      <c r="B17780" s="0" t="n">
        <v>5459318</v>
      </c>
      <c r="C17780" s="0" t="n">
        <v>5459338</v>
      </c>
      <c r="D17780" s="0" t="s">
        <v>59125</v>
      </c>
      <c r="E17780" s="0" t="s">
        <v>75</v>
      </c>
      <c r="F17780" s="0" t="s">
        <v>90</v>
      </c>
      <c r="G17780" s="0" t="s">
        <v>32</v>
      </c>
      <c r="H17780" s="0" t="n">
        <v>58</v>
      </c>
      <c r="I17780" s="0" t="s">
        <v>59126</v>
      </c>
      <c r="J17780" s="0" t="s">
        <v>59127</v>
      </c>
      <c r="K17780" s="0" t="s">
        <v>59128</v>
      </c>
      <c r="L17780" s="0" t="str">
        <f aca="false">HYPERLINK("https://www.ncbi.nlm.nih.gov/nuccore/CP000058.1?report=graph&amp;tracks=[key:gene_model_track,Options:GeneOnly]&amp;mk=5459319:5459338|offset_58|00cc00,5459285:5459304|offset_92|444444,5459262:5459281|offset_115|444444,5459211:5459230|offset_166|444444&amp;v=5459118:5459430&amp;c=444444", "offset 58")</f>
        <v>offset 58</v>
      </c>
    </row>
    <row r="17781" customFormat="false" ht="12.8" hidden="false" customHeight="false" outlineLevel="0" collapsed="false">
      <c r="A17781" s="0" t="s">
        <v>12</v>
      </c>
      <c r="B17781" s="0" t="n">
        <v>5459284</v>
      </c>
      <c r="C17781" s="0" t="n">
        <v>5459304</v>
      </c>
      <c r="D17781" s="0" t="s">
        <v>59125</v>
      </c>
      <c r="E17781" s="0" t="s">
        <v>75</v>
      </c>
      <c r="F17781" s="0" t="s">
        <v>90</v>
      </c>
      <c r="G17781" s="0" t="s">
        <v>16</v>
      </c>
      <c r="H17781" s="0" t="n">
        <v>92</v>
      </c>
      <c r="I17781" s="0" t="s">
        <v>59129</v>
      </c>
      <c r="J17781" s="0" t="s">
        <v>59130</v>
      </c>
      <c r="K17781" s="0" t="s">
        <v>59131</v>
      </c>
      <c r="L17781" s="0" t="str">
        <f aca="false">HYPERLINK("https://www.ncbi.nlm.nih.gov/nuccore/CP000058.1?report=graph&amp;tracks=[key:gene_model_track,Options:GeneOnly]&amp;mk=5459319:5459338|offset_58|444444,5459285:5459304|offset_92|00cc00,5459262:5459281|offset_115|444444,5459211:5459230|offset_166|444444&amp;v=5459118:5459430&amp;c=444444", "offset 92")</f>
        <v>offset 92</v>
      </c>
    </row>
    <row r="17782" customFormat="false" ht="12.8" hidden="false" customHeight="false" outlineLevel="0" collapsed="false">
      <c r="A17782" s="0" t="s">
        <v>12</v>
      </c>
      <c r="B17782" s="0" t="n">
        <v>5459261</v>
      </c>
      <c r="C17782" s="0" t="n">
        <v>5459281</v>
      </c>
      <c r="D17782" s="0" t="s">
        <v>59125</v>
      </c>
      <c r="E17782" s="0" t="s">
        <v>75</v>
      </c>
      <c r="F17782" s="0" t="s">
        <v>90</v>
      </c>
      <c r="G17782" s="0" t="s">
        <v>16</v>
      </c>
      <c r="H17782" s="0" t="n">
        <v>115</v>
      </c>
      <c r="I17782" s="0" t="s">
        <v>59132</v>
      </c>
      <c r="J17782" s="0" t="s">
        <v>59133</v>
      </c>
      <c r="K17782" s="0" t="s">
        <v>59134</v>
      </c>
      <c r="L17782" s="0" t="str">
        <f aca="false">HYPERLINK("https://www.ncbi.nlm.nih.gov/nuccore/CP000058.1?report=graph&amp;tracks=[key:gene_model_track,Options:GeneOnly]&amp;mk=5459319:5459338|offset_58|444444,5459285:5459304|offset_92|444444,5459262:5459281|offset_115|00cc00,5459211:5459230|offset_166|444444&amp;v=5459118:5459430&amp;c=444444", "offset 115")</f>
        <v>offset 115</v>
      </c>
    </row>
    <row r="17783" customFormat="false" ht="12.8" hidden="false" customHeight="false" outlineLevel="0" collapsed="false">
      <c r="A17783" s="0" t="s">
        <v>12</v>
      </c>
      <c r="B17783" s="0" t="n">
        <v>5459210</v>
      </c>
      <c r="C17783" s="0" t="n">
        <v>5459230</v>
      </c>
      <c r="D17783" s="0" t="s">
        <v>59125</v>
      </c>
      <c r="E17783" s="0" t="s">
        <v>75</v>
      </c>
      <c r="F17783" s="0" t="s">
        <v>90</v>
      </c>
      <c r="G17783" s="0" t="s">
        <v>16</v>
      </c>
      <c r="H17783" s="0" t="n">
        <v>166</v>
      </c>
      <c r="I17783" s="0" t="s">
        <v>59135</v>
      </c>
      <c r="J17783" s="0" t="s">
        <v>59136</v>
      </c>
      <c r="K17783" s="0" t="s">
        <v>59137</v>
      </c>
      <c r="L17783" s="0" t="str">
        <f aca="false">HYPERLINK("https://www.ncbi.nlm.nih.gov/nuccore/CP000058.1?report=graph&amp;tracks=[key:gene_model_track,Options:GeneOnly]&amp;mk=5459319:5459338|offset_58|444444,5459285:5459304|offset_92|444444,5459262:5459281|offset_115|444444,5459211:5459230|offset_166|00cc00&amp;v=5459118:5459430&amp;c=444444", "offset 166")</f>
        <v>offset 166</v>
      </c>
    </row>
    <row r="17784" customFormat="false" ht="12.8" hidden="false" customHeight="false" outlineLevel="0" collapsed="false">
      <c r="A17784" s="0" t="s">
        <v>12</v>
      </c>
      <c r="B17784" s="0" t="n">
        <v>5460346</v>
      </c>
      <c r="C17784" s="0" t="n">
        <v>5460366</v>
      </c>
      <c r="D17784" s="0" t="s">
        <v>59138</v>
      </c>
      <c r="E17784" s="0" t="s">
        <v>75</v>
      </c>
      <c r="F17784" s="0" t="s">
        <v>90</v>
      </c>
      <c r="G17784" s="0" t="s">
        <v>16</v>
      </c>
      <c r="H17784" s="0" t="n">
        <v>12</v>
      </c>
      <c r="I17784" s="0" t="s">
        <v>59139</v>
      </c>
      <c r="J17784" s="0" t="s">
        <v>59140</v>
      </c>
      <c r="K17784" s="0" t="s">
        <v>59141</v>
      </c>
      <c r="L17784" s="0" t="str">
        <f aca="false">HYPERLINK("https://www.ncbi.nlm.nih.gov/nuccore/CP000058.1?report=graph&amp;tracks=[key:gene_model_track,Options:GeneOnly]&amp;mk=5460347:5460366|offset_12|00cc00,5460326:5460345|offset_33|444444,5460302:5460321|offset_57|444444,5460282:5460301|offset_77|444444&amp;v=5460146:5460501&amp;c=444444", "offset 12")</f>
        <v>offset 12</v>
      </c>
    </row>
    <row r="17785" customFormat="false" ht="12.8" hidden="false" customHeight="false" outlineLevel="0" collapsed="false">
      <c r="A17785" s="0" t="s">
        <v>12</v>
      </c>
      <c r="B17785" s="0" t="n">
        <v>5460325</v>
      </c>
      <c r="C17785" s="0" t="n">
        <v>5460345</v>
      </c>
      <c r="D17785" s="0" t="s">
        <v>59138</v>
      </c>
      <c r="E17785" s="0" t="s">
        <v>75</v>
      </c>
      <c r="F17785" s="0" t="s">
        <v>90</v>
      </c>
      <c r="G17785" s="0" t="s">
        <v>32</v>
      </c>
      <c r="H17785" s="0" t="n">
        <v>33</v>
      </c>
      <c r="I17785" s="0" t="s">
        <v>59142</v>
      </c>
      <c r="J17785" s="0" t="s">
        <v>59143</v>
      </c>
      <c r="K17785" s="0" t="s">
        <v>59144</v>
      </c>
      <c r="L17785" s="0" t="str">
        <f aca="false">HYPERLINK("https://www.ncbi.nlm.nih.gov/nuccore/CP000058.1?report=graph&amp;tracks=[key:gene_model_track,Options:GeneOnly]&amp;mk=5460347:5460366|offset_12|444444,5460326:5460345|offset_33|00cc00,5460302:5460321|offset_57|444444,5460282:5460301|offset_77|444444&amp;v=5460146:5460501&amp;c=444444", "offset 33")</f>
        <v>offset 33</v>
      </c>
    </row>
    <row r="17786" customFormat="false" ht="12.8" hidden="false" customHeight="false" outlineLevel="0" collapsed="false">
      <c r="A17786" s="0" t="s">
        <v>12</v>
      </c>
      <c r="B17786" s="0" t="n">
        <v>5460301</v>
      </c>
      <c r="C17786" s="0" t="n">
        <v>5460321</v>
      </c>
      <c r="D17786" s="0" t="s">
        <v>59138</v>
      </c>
      <c r="E17786" s="0" t="s">
        <v>75</v>
      </c>
      <c r="F17786" s="0" t="s">
        <v>90</v>
      </c>
      <c r="G17786" s="0" t="s">
        <v>36</v>
      </c>
      <c r="H17786" s="0" t="n">
        <v>57</v>
      </c>
      <c r="I17786" s="0" t="s">
        <v>59145</v>
      </c>
      <c r="J17786" s="0" t="s">
        <v>59146</v>
      </c>
      <c r="K17786" s="0" t="s">
        <v>59147</v>
      </c>
      <c r="L17786" s="0" t="str">
        <f aca="false">HYPERLINK("https://www.ncbi.nlm.nih.gov/nuccore/CP000058.1?report=graph&amp;tracks=[key:gene_model_track,Options:GeneOnly]&amp;mk=5460347:5460366|offset_12|444444,5460326:5460345|offset_33|444444,5460302:5460321|offset_57|00cc00,5460282:5460301|offset_77|444444&amp;v=5460146:5460501&amp;c=444444", "offset 57")</f>
        <v>offset 57</v>
      </c>
    </row>
    <row r="17787" customFormat="false" ht="12.8" hidden="false" customHeight="false" outlineLevel="0" collapsed="false">
      <c r="A17787" s="0" t="s">
        <v>12</v>
      </c>
      <c r="B17787" s="0" t="n">
        <v>5460281</v>
      </c>
      <c r="C17787" s="0" t="n">
        <v>5460301</v>
      </c>
      <c r="D17787" s="0" t="s">
        <v>59138</v>
      </c>
      <c r="E17787" s="0" t="s">
        <v>75</v>
      </c>
      <c r="F17787" s="0" t="s">
        <v>90</v>
      </c>
      <c r="G17787" s="0" t="s">
        <v>20</v>
      </c>
      <c r="H17787" s="0" t="n">
        <v>77</v>
      </c>
      <c r="I17787" s="0" t="s">
        <v>59148</v>
      </c>
      <c r="J17787" s="0" t="s">
        <v>59149</v>
      </c>
      <c r="K17787" s="0" t="s">
        <v>59150</v>
      </c>
      <c r="L17787" s="0" t="str">
        <f aca="false">HYPERLINK("https://www.ncbi.nlm.nih.gov/nuccore/CP000058.1?report=graph&amp;tracks=[key:gene_model_track,Options:GeneOnly]&amp;mk=5460347:5460366|offset_12|444444,5460326:5460345|offset_33|444444,5460302:5460321|offset_57|444444,5460282:5460301|offset_77|00cc00&amp;v=5460146:5460501&amp;c=444444", "offset 77")</f>
        <v>offset 77</v>
      </c>
    </row>
    <row r="17788" customFormat="false" ht="12.8" hidden="false" customHeight="false" outlineLevel="0" collapsed="false">
      <c r="A17788" s="0" t="s">
        <v>12</v>
      </c>
      <c r="B17788" s="0" t="n">
        <v>5462534</v>
      </c>
      <c r="C17788" s="0" t="n">
        <v>5462554</v>
      </c>
      <c r="D17788" s="0" t="s">
        <v>59151</v>
      </c>
      <c r="E17788" s="0" t="s">
        <v>75</v>
      </c>
      <c r="F17788" s="0" t="s">
        <v>90</v>
      </c>
      <c r="G17788" s="0" t="s">
        <v>36</v>
      </c>
      <c r="H17788" s="0" t="n">
        <v>13</v>
      </c>
      <c r="I17788" s="0" t="s">
        <v>59152</v>
      </c>
      <c r="J17788" s="0" t="s">
        <v>59153</v>
      </c>
      <c r="K17788" s="0" t="s">
        <v>59154</v>
      </c>
      <c r="L17788" s="0" t="str">
        <f aca="false">HYPERLINK("https://www.ncbi.nlm.nih.gov/nuccore/CP000058.1?report=graph&amp;tracks=[key:gene_model_track,Options:GeneOnly]&amp;mk=5462535:5462554|offset_13|00cc00,5462508:5462527|offset_40|444444,5462449:5462468|offset_99|444444,5462415:5462434|offset_133|444444&amp;v=5462334:5462634&amp;c=444444", "offset 13")</f>
        <v>offset 13</v>
      </c>
    </row>
    <row r="17789" customFormat="false" ht="12.8" hidden="false" customHeight="false" outlineLevel="0" collapsed="false">
      <c r="A17789" s="0" t="s">
        <v>12</v>
      </c>
      <c r="B17789" s="0" t="n">
        <v>5462507</v>
      </c>
      <c r="C17789" s="0" t="n">
        <v>5462527</v>
      </c>
      <c r="D17789" s="0" t="s">
        <v>59151</v>
      </c>
      <c r="E17789" s="0" t="s">
        <v>75</v>
      </c>
      <c r="F17789" s="0" t="s">
        <v>90</v>
      </c>
      <c r="G17789" s="0" t="s">
        <v>36</v>
      </c>
      <c r="H17789" s="0" t="n">
        <v>40</v>
      </c>
      <c r="I17789" s="0" t="s">
        <v>59155</v>
      </c>
      <c r="J17789" s="0" t="s">
        <v>59156</v>
      </c>
      <c r="K17789" s="0" t="s">
        <v>59157</v>
      </c>
      <c r="L17789" s="0" t="str">
        <f aca="false">HYPERLINK("https://www.ncbi.nlm.nih.gov/nuccore/CP000058.1?report=graph&amp;tracks=[key:gene_model_track,Options:GeneOnly]&amp;mk=5462535:5462554|offset_13|444444,5462508:5462527|offset_40|00cc00,5462449:5462468|offset_99|444444,5462415:5462434|offset_133|444444&amp;v=5462334:5462634&amp;c=444444", "offset 40")</f>
        <v>offset 40</v>
      </c>
    </row>
    <row r="17790" customFormat="false" ht="12.8" hidden="false" customHeight="false" outlineLevel="0" collapsed="false">
      <c r="A17790" s="0" t="s">
        <v>12</v>
      </c>
      <c r="B17790" s="0" t="n">
        <v>5462448</v>
      </c>
      <c r="C17790" s="0" t="n">
        <v>5462468</v>
      </c>
      <c r="D17790" s="0" t="s">
        <v>59151</v>
      </c>
      <c r="E17790" s="0" t="s">
        <v>75</v>
      </c>
      <c r="F17790" s="0" t="s">
        <v>90</v>
      </c>
      <c r="G17790" s="0" t="s">
        <v>36</v>
      </c>
      <c r="H17790" s="0" t="n">
        <v>99</v>
      </c>
      <c r="I17790" s="0" t="s">
        <v>59158</v>
      </c>
      <c r="J17790" s="0" t="s">
        <v>59159</v>
      </c>
      <c r="K17790" s="0" t="s">
        <v>59160</v>
      </c>
      <c r="L17790" s="0" t="str">
        <f aca="false">HYPERLINK("https://www.ncbi.nlm.nih.gov/nuccore/CP000058.1?report=graph&amp;tracks=[key:gene_model_track,Options:GeneOnly]&amp;mk=5462535:5462554|offset_13|444444,5462508:5462527|offset_40|444444,5462449:5462468|offset_99|00cc00,5462415:5462434|offset_133|444444&amp;v=5462334:5462634&amp;c=444444", "offset 99")</f>
        <v>offset 99</v>
      </c>
    </row>
    <row r="17791" customFormat="false" ht="12.8" hidden="false" customHeight="false" outlineLevel="0" collapsed="false">
      <c r="A17791" s="0" t="s">
        <v>12</v>
      </c>
      <c r="B17791" s="0" t="n">
        <v>5462414</v>
      </c>
      <c r="C17791" s="0" t="n">
        <v>5462434</v>
      </c>
      <c r="D17791" s="0" t="s">
        <v>59151</v>
      </c>
      <c r="E17791" s="0" t="s">
        <v>75</v>
      </c>
      <c r="F17791" s="0" t="s">
        <v>90</v>
      </c>
      <c r="G17791" s="0" t="s">
        <v>32</v>
      </c>
      <c r="H17791" s="0" t="n">
        <v>133</v>
      </c>
      <c r="I17791" s="0" t="s">
        <v>59161</v>
      </c>
      <c r="J17791" s="0" t="s">
        <v>59162</v>
      </c>
      <c r="K17791" s="0" t="s">
        <v>59163</v>
      </c>
      <c r="L17791" s="0" t="str">
        <f aca="false">HYPERLINK("https://www.ncbi.nlm.nih.gov/nuccore/CP000058.1?report=graph&amp;tracks=[key:gene_model_track,Options:GeneOnly]&amp;mk=5462535:5462554|offset_13|444444,5462508:5462527|offset_40|444444,5462449:5462468|offset_99|444444,5462415:5462434|offset_133|00cc00&amp;v=5462334:5462634&amp;c=444444", "offset 133")</f>
        <v>offset 133</v>
      </c>
    </row>
    <row r="17792" customFormat="false" ht="12.8" hidden="false" customHeight="false" outlineLevel="0" collapsed="false">
      <c r="A17792" s="0" t="s">
        <v>12</v>
      </c>
      <c r="B17792" s="0" t="n">
        <v>5464701</v>
      </c>
      <c r="C17792" s="0" t="n">
        <v>5464721</v>
      </c>
      <c r="D17792" s="0" t="s">
        <v>59164</v>
      </c>
      <c r="E17792" s="0" t="s">
        <v>59165</v>
      </c>
      <c r="F17792" s="0" t="s">
        <v>90</v>
      </c>
      <c r="G17792" s="0" t="s">
        <v>32</v>
      </c>
      <c r="H17792" s="0" t="n">
        <v>23</v>
      </c>
      <c r="I17792" s="0" t="s">
        <v>59166</v>
      </c>
      <c r="J17792" s="0" t="s">
        <v>59167</v>
      </c>
      <c r="K17792" s="0" t="s">
        <v>59168</v>
      </c>
      <c r="L17792" s="0" t="str">
        <f aca="false">HYPERLINK("https://www.ncbi.nlm.nih.gov/nuccore/CP000058.1?report=graph&amp;tracks=[key:gene_model_track,Options:GeneOnly]&amp;mk=5464702:5464721|offset_23|00cc00,5464672:5464691|offset_53|444444,5464652:5464671|offset_73|444444,5464631:5464650|offset_94|444444&amp;v=5464501:5464850&amp;c=444444", "offset 23")</f>
        <v>offset 23</v>
      </c>
    </row>
    <row r="17793" customFormat="false" ht="12.8" hidden="false" customHeight="false" outlineLevel="0" collapsed="false">
      <c r="A17793" s="0" t="s">
        <v>12</v>
      </c>
      <c r="B17793" s="0" t="n">
        <v>5464671</v>
      </c>
      <c r="C17793" s="0" t="n">
        <v>5464691</v>
      </c>
      <c r="D17793" s="0" t="s">
        <v>59164</v>
      </c>
      <c r="E17793" s="0" t="s">
        <v>59165</v>
      </c>
      <c r="F17793" s="0" t="s">
        <v>90</v>
      </c>
      <c r="G17793" s="0" t="s">
        <v>16</v>
      </c>
      <c r="H17793" s="0" t="n">
        <v>53</v>
      </c>
      <c r="I17793" s="0" t="s">
        <v>59169</v>
      </c>
      <c r="J17793" s="0" t="s">
        <v>59170</v>
      </c>
      <c r="K17793" s="0" t="s">
        <v>59171</v>
      </c>
      <c r="L17793" s="0" t="str">
        <f aca="false">HYPERLINK("https://www.ncbi.nlm.nih.gov/nuccore/CP000058.1?report=graph&amp;tracks=[key:gene_model_track,Options:GeneOnly]&amp;mk=5464702:5464721|offset_23|444444,5464672:5464691|offset_53|00cc00,5464652:5464671|offset_73|444444,5464631:5464650|offset_94|444444&amp;v=5464501:5464850&amp;c=444444", "offset 53")</f>
        <v>offset 53</v>
      </c>
    </row>
    <row r="17794" customFormat="false" ht="12.8" hidden="false" customHeight="false" outlineLevel="0" collapsed="false">
      <c r="A17794" s="0" t="s">
        <v>12</v>
      </c>
      <c r="B17794" s="0" t="n">
        <v>5464651</v>
      </c>
      <c r="C17794" s="0" t="n">
        <v>5464671</v>
      </c>
      <c r="D17794" s="0" t="s">
        <v>59164</v>
      </c>
      <c r="E17794" s="0" t="s">
        <v>59165</v>
      </c>
      <c r="F17794" s="0" t="s">
        <v>90</v>
      </c>
      <c r="G17794" s="0" t="s">
        <v>16</v>
      </c>
      <c r="H17794" s="0" t="n">
        <v>73</v>
      </c>
      <c r="I17794" s="0" t="s">
        <v>59172</v>
      </c>
      <c r="J17794" s="0" t="s">
        <v>59173</v>
      </c>
      <c r="K17794" s="0" t="s">
        <v>59174</v>
      </c>
      <c r="L17794" s="0" t="str">
        <f aca="false">HYPERLINK("https://www.ncbi.nlm.nih.gov/nuccore/CP000058.1?report=graph&amp;tracks=[key:gene_model_track,Options:GeneOnly]&amp;mk=5464702:5464721|offset_23|444444,5464672:5464691|offset_53|444444,5464652:5464671|offset_73|00cc00,5464631:5464650|offset_94|444444&amp;v=5464501:5464850&amp;c=444444", "offset 73")</f>
        <v>offset 73</v>
      </c>
    </row>
    <row r="17795" customFormat="false" ht="12.8" hidden="false" customHeight="false" outlineLevel="0" collapsed="false">
      <c r="A17795" s="0" t="s">
        <v>12</v>
      </c>
      <c r="B17795" s="0" t="n">
        <v>5464630</v>
      </c>
      <c r="C17795" s="0" t="n">
        <v>5464650</v>
      </c>
      <c r="D17795" s="0" t="s">
        <v>59164</v>
      </c>
      <c r="E17795" s="0" t="s">
        <v>59165</v>
      </c>
      <c r="F17795" s="0" t="s">
        <v>90</v>
      </c>
      <c r="G17795" s="0" t="s">
        <v>32</v>
      </c>
      <c r="H17795" s="0" t="n">
        <v>94</v>
      </c>
      <c r="I17795" s="0" t="s">
        <v>59175</v>
      </c>
      <c r="J17795" s="0" t="s">
        <v>59176</v>
      </c>
      <c r="K17795" s="0" t="s">
        <v>59177</v>
      </c>
      <c r="L17795" s="0" t="str">
        <f aca="false">HYPERLINK("https://www.ncbi.nlm.nih.gov/nuccore/CP000058.1?report=graph&amp;tracks=[key:gene_model_track,Options:GeneOnly]&amp;mk=5464702:5464721|offset_23|444444,5464672:5464691|offset_53|444444,5464652:5464671|offset_73|444444,5464631:5464650|offset_94|00cc00&amp;v=5464501:5464850&amp;c=444444", "offset 94")</f>
        <v>offset 94</v>
      </c>
    </row>
    <row r="17796" customFormat="false" ht="12.8" hidden="false" customHeight="false" outlineLevel="0" collapsed="false">
      <c r="A17796" s="0" t="s">
        <v>12</v>
      </c>
      <c r="B17796" s="0" t="n">
        <v>5466323</v>
      </c>
      <c r="C17796" s="0" t="n">
        <v>5466343</v>
      </c>
      <c r="D17796" s="0" t="s">
        <v>59178</v>
      </c>
      <c r="E17796" s="0" t="s">
        <v>75</v>
      </c>
      <c r="F17796" s="0" t="s">
        <v>90</v>
      </c>
      <c r="G17796" s="0" t="s">
        <v>36</v>
      </c>
      <c r="H17796" s="0" t="n">
        <v>8</v>
      </c>
      <c r="I17796" s="0" t="s">
        <v>59179</v>
      </c>
      <c r="J17796" s="0" t="s">
        <v>59180</v>
      </c>
      <c r="K17796" s="0" t="s">
        <v>59181</v>
      </c>
      <c r="L17796" s="0" t="str">
        <f aca="false">HYPERLINK("https://www.ncbi.nlm.nih.gov/nuccore/CP000058.1?report=graph&amp;tracks=[key:gene_model_track,Options:GeneOnly]&amp;mk=5466324:5466343|offset_8|00cc00,5466274:5466293|offset_58|444444,5466231:5466250|offset_101|444444,5466189:5466208|offset_143|444444&amp;v=5466123:5466408&amp;c=444444", "offset 8")</f>
        <v>offset 8</v>
      </c>
    </row>
    <row r="17797" customFormat="false" ht="12.8" hidden="false" customHeight="false" outlineLevel="0" collapsed="false">
      <c r="A17797" s="0" t="s">
        <v>12</v>
      </c>
      <c r="B17797" s="0" t="n">
        <v>5466273</v>
      </c>
      <c r="C17797" s="0" t="n">
        <v>5466293</v>
      </c>
      <c r="D17797" s="0" t="s">
        <v>59178</v>
      </c>
      <c r="E17797" s="0" t="s">
        <v>75</v>
      </c>
      <c r="F17797" s="0" t="s">
        <v>90</v>
      </c>
      <c r="G17797" s="0" t="s">
        <v>32</v>
      </c>
      <c r="H17797" s="0" t="n">
        <v>58</v>
      </c>
      <c r="I17797" s="0" t="s">
        <v>59182</v>
      </c>
      <c r="J17797" s="0" t="s">
        <v>59183</v>
      </c>
      <c r="K17797" s="0" t="s">
        <v>59184</v>
      </c>
      <c r="L17797" s="0" t="str">
        <f aca="false">HYPERLINK("https://www.ncbi.nlm.nih.gov/nuccore/CP000058.1?report=graph&amp;tracks=[key:gene_model_track,Options:GeneOnly]&amp;mk=5466324:5466343|offset_8|444444,5466274:5466293|offset_58|00cc00,5466231:5466250|offset_101|444444,5466189:5466208|offset_143|444444&amp;v=5466123:5466408&amp;c=444444", "offset 58")</f>
        <v>offset 58</v>
      </c>
    </row>
    <row r="17798" customFormat="false" ht="12.8" hidden="false" customHeight="false" outlineLevel="0" collapsed="false">
      <c r="A17798" s="0" t="s">
        <v>12</v>
      </c>
      <c r="B17798" s="0" t="n">
        <v>5466230</v>
      </c>
      <c r="C17798" s="0" t="n">
        <v>5466250</v>
      </c>
      <c r="D17798" s="0" t="s">
        <v>59178</v>
      </c>
      <c r="E17798" s="0" t="s">
        <v>75</v>
      </c>
      <c r="F17798" s="0" t="s">
        <v>90</v>
      </c>
      <c r="G17798" s="0" t="s">
        <v>20</v>
      </c>
      <c r="H17798" s="0" t="n">
        <v>101</v>
      </c>
      <c r="I17798" s="0" t="s">
        <v>59185</v>
      </c>
      <c r="J17798" s="0" t="s">
        <v>59186</v>
      </c>
      <c r="K17798" s="0" t="s">
        <v>59187</v>
      </c>
      <c r="L17798" s="0" t="str">
        <f aca="false">HYPERLINK("https://www.ncbi.nlm.nih.gov/nuccore/CP000058.1?report=graph&amp;tracks=[key:gene_model_track,Options:GeneOnly]&amp;mk=5466324:5466343|offset_8|444444,5466274:5466293|offset_58|444444,5466231:5466250|offset_101|00cc00,5466189:5466208|offset_143|444444&amp;v=5466123:5466408&amp;c=444444", "offset 101")</f>
        <v>offset 101</v>
      </c>
    </row>
    <row r="17799" customFormat="false" ht="12.8" hidden="false" customHeight="false" outlineLevel="0" collapsed="false">
      <c r="A17799" s="0" t="s">
        <v>12</v>
      </c>
      <c r="B17799" s="0" t="n">
        <v>5466188</v>
      </c>
      <c r="C17799" s="0" t="n">
        <v>5466208</v>
      </c>
      <c r="D17799" s="0" t="s">
        <v>59178</v>
      </c>
      <c r="E17799" s="0" t="s">
        <v>75</v>
      </c>
      <c r="F17799" s="0" t="s">
        <v>90</v>
      </c>
      <c r="G17799" s="0" t="s">
        <v>32</v>
      </c>
      <c r="H17799" s="0" t="n">
        <v>143</v>
      </c>
      <c r="I17799" s="0" t="s">
        <v>59188</v>
      </c>
      <c r="J17799" s="0" t="s">
        <v>59189</v>
      </c>
      <c r="K17799" s="0" t="s">
        <v>59190</v>
      </c>
      <c r="L17799" s="0" t="str">
        <f aca="false">HYPERLINK("https://www.ncbi.nlm.nih.gov/nuccore/CP000058.1?report=graph&amp;tracks=[key:gene_model_track,Options:GeneOnly]&amp;mk=5466324:5466343|offset_8|444444,5466274:5466293|offset_58|444444,5466231:5466250|offset_101|444444,5466189:5466208|offset_143|00cc00&amp;v=5466123:5466408&amp;c=444444", "offset 143")</f>
        <v>offset 143</v>
      </c>
    </row>
    <row r="17800" customFormat="false" ht="12.8" hidden="false" customHeight="false" outlineLevel="0" collapsed="false">
      <c r="A17800" s="0" t="s">
        <v>12</v>
      </c>
      <c r="B17800" s="0" t="n">
        <v>5466601</v>
      </c>
      <c r="C17800" s="0" t="n">
        <v>5466621</v>
      </c>
      <c r="D17800" s="0" t="s">
        <v>59191</v>
      </c>
      <c r="E17800" s="0" t="s">
        <v>75</v>
      </c>
      <c r="F17800" s="0" t="s">
        <v>15</v>
      </c>
      <c r="G17800" s="0" t="s">
        <v>36</v>
      </c>
      <c r="H17800" s="0" t="n">
        <v>22</v>
      </c>
      <c r="I17800" s="0" t="s">
        <v>59192</v>
      </c>
      <c r="J17800" s="0" t="s">
        <v>59193</v>
      </c>
      <c r="K17800" s="0" t="s">
        <v>59194</v>
      </c>
      <c r="L17800" s="0" t="str">
        <f aca="false">HYPERLINK("https://www.ncbi.nlm.nih.gov/nuccore/CP000058.1?report=graph&amp;tracks=[key:gene_model_track,Options:GeneOnly]&amp;mk=5466602:5466621|offset_22|00cc00,5466651:5466670|offset_71|444444,5466717:5466736|offset_137|444444,5466759:5466778|offset_179|444444&amp;v=5466401:5466978&amp;c=444444", "offset 22")</f>
        <v>offset 22</v>
      </c>
    </row>
    <row r="17801" customFormat="false" ht="12.8" hidden="false" customHeight="false" outlineLevel="0" collapsed="false">
      <c r="A17801" s="0" t="s">
        <v>12</v>
      </c>
      <c r="B17801" s="0" t="n">
        <v>5466650</v>
      </c>
      <c r="C17801" s="0" t="n">
        <v>5466670</v>
      </c>
      <c r="D17801" s="0" t="s">
        <v>59191</v>
      </c>
      <c r="E17801" s="0" t="s">
        <v>75</v>
      </c>
      <c r="F17801" s="0" t="s">
        <v>15</v>
      </c>
      <c r="G17801" s="0" t="s">
        <v>36</v>
      </c>
      <c r="H17801" s="0" t="n">
        <v>71</v>
      </c>
      <c r="I17801" s="0" t="s">
        <v>59195</v>
      </c>
      <c r="J17801" s="0" t="s">
        <v>59196</v>
      </c>
      <c r="K17801" s="0" t="s">
        <v>59197</v>
      </c>
      <c r="L17801" s="0" t="str">
        <f aca="false">HYPERLINK("https://www.ncbi.nlm.nih.gov/nuccore/CP000058.1?report=graph&amp;tracks=[key:gene_model_track,Options:GeneOnly]&amp;mk=5466602:5466621|offset_22|444444,5466651:5466670|offset_71|00cc00,5466717:5466736|offset_137|444444,5466759:5466778|offset_179|444444&amp;v=5466401:5466978&amp;c=444444", "offset 71")</f>
        <v>offset 71</v>
      </c>
    </row>
    <row r="17802" customFormat="false" ht="12.8" hidden="false" customHeight="false" outlineLevel="0" collapsed="false">
      <c r="A17802" s="0" t="s">
        <v>12</v>
      </c>
      <c r="B17802" s="0" t="n">
        <v>5466716</v>
      </c>
      <c r="C17802" s="0" t="n">
        <v>5466736</v>
      </c>
      <c r="D17802" s="0" t="s">
        <v>59191</v>
      </c>
      <c r="E17802" s="0" t="s">
        <v>75</v>
      </c>
      <c r="F17802" s="0" t="s">
        <v>15</v>
      </c>
      <c r="G17802" s="0" t="s">
        <v>16</v>
      </c>
      <c r="H17802" s="0" t="n">
        <v>137</v>
      </c>
      <c r="I17802" s="0" t="s">
        <v>59198</v>
      </c>
      <c r="J17802" s="0" t="s">
        <v>59199</v>
      </c>
      <c r="K17802" s="0" t="s">
        <v>59200</v>
      </c>
      <c r="L17802" s="0" t="str">
        <f aca="false">HYPERLINK("https://www.ncbi.nlm.nih.gov/nuccore/CP000058.1?report=graph&amp;tracks=[key:gene_model_track,Options:GeneOnly]&amp;mk=5466602:5466621|offset_22|444444,5466651:5466670|offset_71|444444,5466717:5466736|offset_137|00cc00,5466759:5466778|offset_179|444444&amp;v=5466401:5466978&amp;c=444444", "offset 137")</f>
        <v>offset 137</v>
      </c>
    </row>
    <row r="17803" customFormat="false" ht="12.8" hidden="false" customHeight="false" outlineLevel="0" collapsed="false">
      <c r="A17803" s="0" t="s">
        <v>12</v>
      </c>
      <c r="B17803" s="0" t="n">
        <v>5466758</v>
      </c>
      <c r="C17803" s="0" t="n">
        <v>5466778</v>
      </c>
      <c r="D17803" s="0" t="s">
        <v>59191</v>
      </c>
      <c r="E17803" s="0" t="s">
        <v>75</v>
      </c>
      <c r="F17803" s="0" t="s">
        <v>15</v>
      </c>
      <c r="G17803" s="0" t="s">
        <v>20</v>
      </c>
      <c r="H17803" s="0" t="n">
        <v>179</v>
      </c>
      <c r="I17803" s="0" t="s">
        <v>59201</v>
      </c>
      <c r="J17803" s="0" t="s">
        <v>59202</v>
      </c>
      <c r="K17803" s="0" t="s">
        <v>59203</v>
      </c>
      <c r="L17803" s="0" t="str">
        <f aca="false">HYPERLINK("https://www.ncbi.nlm.nih.gov/nuccore/CP000058.1?report=graph&amp;tracks=[key:gene_model_track,Options:GeneOnly]&amp;mk=5466602:5466621|offset_22|444444,5466651:5466670|offset_71|444444,5466717:5466736|offset_137|444444,5466759:5466778|offset_179|00cc00&amp;v=5466401:5466978&amp;c=444444", "offset 179")</f>
        <v>offset 179</v>
      </c>
    </row>
    <row r="17804" customFormat="false" ht="12.8" hidden="false" customHeight="false" outlineLevel="0" collapsed="false">
      <c r="A17804" s="0" t="s">
        <v>12</v>
      </c>
      <c r="B17804" s="0" t="n">
        <v>5467085</v>
      </c>
      <c r="C17804" s="0" t="n">
        <v>5467105</v>
      </c>
      <c r="D17804" s="0" t="s">
        <v>59204</v>
      </c>
      <c r="E17804" s="0" t="s">
        <v>75</v>
      </c>
      <c r="F17804" s="0" t="s">
        <v>15</v>
      </c>
      <c r="G17804" s="0" t="s">
        <v>32</v>
      </c>
      <c r="H17804" s="0" t="n">
        <v>40</v>
      </c>
      <c r="I17804" s="0" t="s">
        <v>59205</v>
      </c>
      <c r="J17804" s="0" t="s">
        <v>59206</v>
      </c>
      <c r="K17804" s="0" t="s">
        <v>59207</v>
      </c>
      <c r="L17804" s="0" t="str">
        <f aca="false">HYPERLINK("https://www.ncbi.nlm.nih.gov/nuccore/CP000058.1?report=graph&amp;tracks=[key:gene_model_track,Options:GeneOnly]&amp;mk=5467086:5467105|offset_40|00cc00,5467133:5467152|offset_87|444444,5467176:5467195|offset_130|444444,5467197:5467216|offset_151|444444&amp;v=5466885:5467416&amp;c=444444", "offset 40")</f>
        <v>offset 40</v>
      </c>
    </row>
    <row r="17805" customFormat="false" ht="12.8" hidden="false" customHeight="false" outlineLevel="0" collapsed="false">
      <c r="A17805" s="0" t="s">
        <v>12</v>
      </c>
      <c r="B17805" s="0" t="n">
        <v>5467132</v>
      </c>
      <c r="C17805" s="0" t="n">
        <v>5467152</v>
      </c>
      <c r="D17805" s="0" t="s">
        <v>59204</v>
      </c>
      <c r="E17805" s="0" t="s">
        <v>75</v>
      </c>
      <c r="F17805" s="0" t="s">
        <v>15</v>
      </c>
      <c r="G17805" s="0" t="s">
        <v>16</v>
      </c>
      <c r="H17805" s="0" t="n">
        <v>87</v>
      </c>
      <c r="I17805" s="0" t="s">
        <v>59208</v>
      </c>
      <c r="J17805" s="0" t="s">
        <v>59209</v>
      </c>
      <c r="K17805" s="0" t="s">
        <v>59210</v>
      </c>
      <c r="L17805" s="0" t="str">
        <f aca="false">HYPERLINK("https://www.ncbi.nlm.nih.gov/nuccore/CP000058.1?report=graph&amp;tracks=[key:gene_model_track,Options:GeneOnly]&amp;mk=5467086:5467105|offset_40|444444,5467133:5467152|offset_87|00cc00,5467176:5467195|offset_130|444444,5467197:5467216|offset_151|444444&amp;v=5466885:5467416&amp;c=444444", "offset 87")</f>
        <v>offset 87</v>
      </c>
    </row>
    <row r="17806" customFormat="false" ht="12.8" hidden="false" customHeight="false" outlineLevel="0" collapsed="false">
      <c r="A17806" s="0" t="s">
        <v>12</v>
      </c>
      <c r="B17806" s="0" t="n">
        <v>5467175</v>
      </c>
      <c r="C17806" s="0" t="n">
        <v>5467195</v>
      </c>
      <c r="D17806" s="0" t="s">
        <v>59204</v>
      </c>
      <c r="E17806" s="0" t="s">
        <v>75</v>
      </c>
      <c r="F17806" s="0" t="s">
        <v>15</v>
      </c>
      <c r="G17806" s="0" t="s">
        <v>16</v>
      </c>
      <c r="H17806" s="0" t="n">
        <v>130</v>
      </c>
      <c r="I17806" s="0" t="s">
        <v>59211</v>
      </c>
      <c r="J17806" s="0" t="s">
        <v>59212</v>
      </c>
      <c r="K17806" s="0" t="s">
        <v>59213</v>
      </c>
      <c r="L17806" s="0" t="str">
        <f aca="false">HYPERLINK("https://www.ncbi.nlm.nih.gov/nuccore/CP000058.1?report=graph&amp;tracks=[key:gene_model_track,Options:GeneOnly]&amp;mk=5467086:5467105|offset_40|444444,5467133:5467152|offset_87|444444,5467176:5467195|offset_130|00cc00,5467197:5467216|offset_151|444444&amp;v=5466885:5467416&amp;c=444444", "offset 130")</f>
        <v>offset 130</v>
      </c>
    </row>
    <row r="17807" customFormat="false" ht="12.8" hidden="false" customHeight="false" outlineLevel="0" collapsed="false">
      <c r="A17807" s="0" t="s">
        <v>12</v>
      </c>
      <c r="B17807" s="0" t="n">
        <v>5467196</v>
      </c>
      <c r="C17807" s="0" t="n">
        <v>5467216</v>
      </c>
      <c r="D17807" s="0" t="s">
        <v>59204</v>
      </c>
      <c r="E17807" s="0" t="s">
        <v>75</v>
      </c>
      <c r="F17807" s="0" t="s">
        <v>15</v>
      </c>
      <c r="G17807" s="0" t="s">
        <v>32</v>
      </c>
      <c r="H17807" s="0" t="n">
        <v>151</v>
      </c>
      <c r="I17807" s="0" t="s">
        <v>59214</v>
      </c>
      <c r="J17807" s="0" t="s">
        <v>59215</v>
      </c>
      <c r="K17807" s="0" t="s">
        <v>59216</v>
      </c>
      <c r="L17807" s="0" t="str">
        <f aca="false">HYPERLINK("https://www.ncbi.nlm.nih.gov/nuccore/CP000058.1?report=graph&amp;tracks=[key:gene_model_track,Options:GeneOnly]&amp;mk=5467086:5467105|offset_40|444444,5467133:5467152|offset_87|444444,5467176:5467195|offset_130|444444,5467197:5467216|offset_151|00cc00&amp;v=5466885:5467416&amp;c=444444", "offset 151")</f>
        <v>offset 151</v>
      </c>
    </row>
    <row r="17808" customFormat="false" ht="12.8" hidden="false" customHeight="false" outlineLevel="0" collapsed="false">
      <c r="A17808" s="0" t="s">
        <v>12</v>
      </c>
      <c r="B17808" s="0" t="n">
        <v>5468688</v>
      </c>
      <c r="C17808" s="0" t="n">
        <v>5468708</v>
      </c>
      <c r="D17808" s="0" t="s">
        <v>59217</v>
      </c>
      <c r="E17808" s="0" t="s">
        <v>59218</v>
      </c>
      <c r="F17808" s="0" t="s">
        <v>90</v>
      </c>
      <c r="G17808" s="0" t="s">
        <v>32</v>
      </c>
      <c r="H17808" s="0" t="n">
        <v>23</v>
      </c>
      <c r="I17808" s="0" t="s">
        <v>59219</v>
      </c>
      <c r="J17808" s="0" t="s">
        <v>59220</v>
      </c>
      <c r="K17808" s="0" t="s">
        <v>59221</v>
      </c>
      <c r="L17808" s="0" t="str">
        <f aca="false">HYPERLINK("https://www.ncbi.nlm.nih.gov/nuccore/CP000058.1?report=graph&amp;tracks=[key:gene_model_track,Options:GeneOnly]&amp;mk=5468689:5468708|offset_23|00cc00,5468669:5468688|offset_43|444444,5468649:5468668|offset_63|444444,5468629:5468648|offset_83|444444&amp;v=5468488:5468848&amp;c=444444", "offset 23")</f>
        <v>offset 23</v>
      </c>
    </row>
    <row r="17809" customFormat="false" ht="12.8" hidden="false" customHeight="false" outlineLevel="0" collapsed="false">
      <c r="A17809" s="0" t="s">
        <v>12</v>
      </c>
      <c r="B17809" s="0" t="n">
        <v>5468668</v>
      </c>
      <c r="C17809" s="0" t="n">
        <v>5468688</v>
      </c>
      <c r="D17809" s="0" t="s">
        <v>59217</v>
      </c>
      <c r="E17809" s="0" t="s">
        <v>59218</v>
      </c>
      <c r="F17809" s="0" t="s">
        <v>90</v>
      </c>
      <c r="G17809" s="0" t="s">
        <v>16</v>
      </c>
      <c r="H17809" s="0" t="n">
        <v>43</v>
      </c>
      <c r="I17809" s="0" t="s">
        <v>59222</v>
      </c>
      <c r="J17809" s="0" t="s">
        <v>59223</v>
      </c>
      <c r="K17809" s="0" t="s">
        <v>59224</v>
      </c>
      <c r="L17809" s="0" t="str">
        <f aca="false">HYPERLINK("https://www.ncbi.nlm.nih.gov/nuccore/CP000058.1?report=graph&amp;tracks=[key:gene_model_track,Options:GeneOnly]&amp;mk=5468689:5468708|offset_23|444444,5468669:5468688|offset_43|00cc00,5468649:5468668|offset_63|444444,5468629:5468648|offset_83|444444&amp;v=5468488:5468848&amp;c=444444", "offset 43")</f>
        <v>offset 43</v>
      </c>
    </row>
    <row r="17810" customFormat="false" ht="12.8" hidden="false" customHeight="false" outlineLevel="0" collapsed="false">
      <c r="A17810" s="0" t="s">
        <v>12</v>
      </c>
      <c r="B17810" s="0" t="n">
        <v>5468648</v>
      </c>
      <c r="C17810" s="0" t="n">
        <v>5468668</v>
      </c>
      <c r="D17810" s="0" t="s">
        <v>59217</v>
      </c>
      <c r="E17810" s="0" t="s">
        <v>59218</v>
      </c>
      <c r="F17810" s="0" t="s">
        <v>90</v>
      </c>
      <c r="G17810" s="0" t="s">
        <v>32</v>
      </c>
      <c r="H17810" s="0" t="n">
        <v>63</v>
      </c>
      <c r="I17810" s="0" t="s">
        <v>59225</v>
      </c>
      <c r="J17810" s="0" t="s">
        <v>59226</v>
      </c>
      <c r="K17810" s="0" t="s">
        <v>59227</v>
      </c>
      <c r="L17810" s="0" t="str">
        <f aca="false">HYPERLINK("https://www.ncbi.nlm.nih.gov/nuccore/CP000058.1?report=graph&amp;tracks=[key:gene_model_track,Options:GeneOnly]&amp;mk=5468689:5468708|offset_23|444444,5468669:5468688|offset_43|444444,5468649:5468668|offset_63|00cc00,5468629:5468648|offset_83|444444&amp;v=5468488:5468848&amp;c=444444", "offset 63")</f>
        <v>offset 63</v>
      </c>
    </row>
    <row r="17811" customFormat="false" ht="12.8" hidden="false" customHeight="false" outlineLevel="0" collapsed="false">
      <c r="A17811" s="0" t="s">
        <v>12</v>
      </c>
      <c r="B17811" s="0" t="n">
        <v>5468628</v>
      </c>
      <c r="C17811" s="0" t="n">
        <v>5468648</v>
      </c>
      <c r="D17811" s="0" t="s">
        <v>59217</v>
      </c>
      <c r="E17811" s="0" t="s">
        <v>59218</v>
      </c>
      <c r="F17811" s="0" t="s">
        <v>90</v>
      </c>
      <c r="G17811" s="0" t="s">
        <v>20</v>
      </c>
      <c r="H17811" s="0" t="n">
        <v>83</v>
      </c>
      <c r="I17811" s="0" t="s">
        <v>59228</v>
      </c>
      <c r="J17811" s="0" t="s">
        <v>59229</v>
      </c>
      <c r="K17811" s="0" t="s">
        <v>59230</v>
      </c>
      <c r="L17811" s="0" t="str">
        <f aca="false">HYPERLINK("https://www.ncbi.nlm.nih.gov/nuccore/CP000058.1?report=graph&amp;tracks=[key:gene_model_track,Options:GeneOnly]&amp;mk=5468689:5468708|offset_23|444444,5468669:5468688|offset_43|444444,5468649:5468668|offset_63|444444,5468629:5468648|offset_83|00cc00&amp;v=5468488:5468848&amp;c=444444", "offset 83")</f>
        <v>offset 83</v>
      </c>
    </row>
    <row r="17812" customFormat="false" ht="12.8" hidden="false" customHeight="false" outlineLevel="0" collapsed="false">
      <c r="A17812" s="0" t="s">
        <v>12</v>
      </c>
      <c r="B17812" s="0" t="n">
        <v>5469701</v>
      </c>
      <c r="C17812" s="0" t="n">
        <v>5469721</v>
      </c>
      <c r="D17812" s="0" t="s">
        <v>59231</v>
      </c>
      <c r="E17812" s="0" t="s">
        <v>75</v>
      </c>
      <c r="F17812" s="0" t="s">
        <v>90</v>
      </c>
      <c r="G17812" s="0" t="s">
        <v>16</v>
      </c>
      <c r="H17812" s="0" t="n">
        <v>45</v>
      </c>
      <c r="I17812" s="0" t="s">
        <v>59232</v>
      </c>
      <c r="J17812" s="0" t="s">
        <v>59233</v>
      </c>
      <c r="K17812" s="0" t="s">
        <v>59234</v>
      </c>
      <c r="L17812" s="0" t="str">
        <f aca="false">HYPERLINK("https://www.ncbi.nlm.nih.gov/nuccore/CP000058.1?report=graph&amp;tracks=[key:gene_model_track,Options:GeneOnly]&amp;mk=5469702:5469721|offset_45|00cc00,5469674:5469693|offset_73|444444,5469629:5469648|offset_118|444444,5469581:5469600|offset_166|444444&amp;v=5469501:5469800&amp;c=444444", "offset 45")</f>
        <v>offset 45</v>
      </c>
    </row>
    <row r="17813" customFormat="false" ht="12.8" hidden="false" customHeight="false" outlineLevel="0" collapsed="false">
      <c r="A17813" s="0" t="s">
        <v>12</v>
      </c>
      <c r="B17813" s="0" t="n">
        <v>5469673</v>
      </c>
      <c r="C17813" s="0" t="n">
        <v>5469693</v>
      </c>
      <c r="D17813" s="0" t="s">
        <v>59231</v>
      </c>
      <c r="E17813" s="0" t="s">
        <v>75</v>
      </c>
      <c r="F17813" s="0" t="s">
        <v>90</v>
      </c>
      <c r="G17813" s="0" t="s">
        <v>16</v>
      </c>
      <c r="H17813" s="0" t="n">
        <v>73</v>
      </c>
      <c r="I17813" s="0" t="s">
        <v>59235</v>
      </c>
      <c r="J17813" s="0" t="s">
        <v>59236</v>
      </c>
      <c r="K17813" s="0" t="s">
        <v>59237</v>
      </c>
      <c r="L17813" s="0" t="str">
        <f aca="false">HYPERLINK("https://www.ncbi.nlm.nih.gov/nuccore/CP000058.1?report=graph&amp;tracks=[key:gene_model_track,Options:GeneOnly]&amp;mk=5469702:5469721|offset_45|444444,5469674:5469693|offset_73|00cc00,5469629:5469648|offset_118|444444,5469581:5469600|offset_166|444444&amp;v=5469501:5469800&amp;c=444444", "offset 73")</f>
        <v>offset 73</v>
      </c>
    </row>
    <row r="17814" customFormat="false" ht="12.8" hidden="false" customHeight="false" outlineLevel="0" collapsed="false">
      <c r="A17814" s="0" t="s">
        <v>12</v>
      </c>
      <c r="B17814" s="0" t="n">
        <v>5469628</v>
      </c>
      <c r="C17814" s="0" t="n">
        <v>5469648</v>
      </c>
      <c r="D17814" s="0" t="s">
        <v>59231</v>
      </c>
      <c r="E17814" s="0" t="s">
        <v>75</v>
      </c>
      <c r="F17814" s="0" t="s">
        <v>90</v>
      </c>
      <c r="G17814" s="0" t="s">
        <v>36</v>
      </c>
      <c r="H17814" s="0" t="n">
        <v>118</v>
      </c>
      <c r="I17814" s="0" t="s">
        <v>59238</v>
      </c>
      <c r="J17814" s="0" t="s">
        <v>59239</v>
      </c>
      <c r="K17814" s="0" t="s">
        <v>59240</v>
      </c>
      <c r="L17814" s="0" t="str">
        <f aca="false">HYPERLINK("https://www.ncbi.nlm.nih.gov/nuccore/CP000058.1?report=graph&amp;tracks=[key:gene_model_track,Options:GeneOnly]&amp;mk=5469702:5469721|offset_45|444444,5469674:5469693|offset_73|444444,5469629:5469648|offset_118|00cc00,5469581:5469600|offset_166|444444&amp;v=5469501:5469800&amp;c=444444", "offset 118")</f>
        <v>offset 118</v>
      </c>
    </row>
    <row r="17815" customFormat="false" ht="12.8" hidden="false" customHeight="false" outlineLevel="0" collapsed="false">
      <c r="A17815" s="0" t="s">
        <v>12</v>
      </c>
      <c r="B17815" s="0" t="n">
        <v>5469580</v>
      </c>
      <c r="C17815" s="0" t="n">
        <v>5469600</v>
      </c>
      <c r="D17815" s="0" t="s">
        <v>59231</v>
      </c>
      <c r="E17815" s="0" t="s">
        <v>75</v>
      </c>
      <c r="F17815" s="0" t="s">
        <v>90</v>
      </c>
      <c r="G17815" s="0" t="s">
        <v>16</v>
      </c>
      <c r="H17815" s="0" t="n">
        <v>166</v>
      </c>
      <c r="I17815" s="0" t="s">
        <v>59241</v>
      </c>
      <c r="J17815" s="0" t="s">
        <v>59242</v>
      </c>
      <c r="K17815" s="0" t="s">
        <v>59243</v>
      </c>
      <c r="L17815" s="0" t="str">
        <f aca="false">HYPERLINK("https://www.ncbi.nlm.nih.gov/nuccore/CP000058.1?report=graph&amp;tracks=[key:gene_model_track,Options:GeneOnly]&amp;mk=5469702:5469721|offset_45|444444,5469674:5469693|offset_73|444444,5469629:5469648|offset_118|444444,5469581:5469600|offset_166|00cc00&amp;v=5469501:5469800&amp;c=444444", "offset 166")</f>
        <v>offset 166</v>
      </c>
    </row>
    <row r="17816" customFormat="false" ht="12.8" hidden="false" customHeight="false" outlineLevel="0" collapsed="false">
      <c r="A17816" s="0" t="s">
        <v>12</v>
      </c>
      <c r="B17816" s="0" t="n">
        <v>5470903</v>
      </c>
      <c r="C17816" s="0" t="n">
        <v>5470923</v>
      </c>
      <c r="D17816" s="0" t="s">
        <v>59244</v>
      </c>
      <c r="E17816" s="0" t="s">
        <v>59245</v>
      </c>
      <c r="F17816" s="0" t="s">
        <v>90</v>
      </c>
      <c r="G17816" s="0" t="s">
        <v>16</v>
      </c>
      <c r="H17816" s="0" t="n">
        <v>7</v>
      </c>
      <c r="I17816" s="0" t="s">
        <v>59246</v>
      </c>
      <c r="J17816" s="0" t="s">
        <v>59247</v>
      </c>
      <c r="K17816" s="0" t="s">
        <v>59248</v>
      </c>
      <c r="L17816" s="0" t="str">
        <f aca="false">HYPERLINK("https://www.ncbi.nlm.nih.gov/nuccore/CP000058.1?report=graph&amp;tracks=[key:gene_model_track,Options:GeneOnly]&amp;mk=5470904:5470923|offset_7|00cc00,5470855:5470874|offset_56|444444,5470793:5470812|offset_118|444444,5470751:5470770|offset_160|444444&amp;v=5470703:5470970&amp;c=444444", "offset 7")</f>
        <v>offset 7</v>
      </c>
    </row>
    <row r="17817" customFormat="false" ht="12.8" hidden="false" customHeight="false" outlineLevel="0" collapsed="false">
      <c r="A17817" s="0" t="s">
        <v>12</v>
      </c>
      <c r="B17817" s="0" t="n">
        <v>5470854</v>
      </c>
      <c r="C17817" s="0" t="n">
        <v>5470874</v>
      </c>
      <c r="D17817" s="0" t="s">
        <v>59244</v>
      </c>
      <c r="E17817" s="0" t="s">
        <v>59245</v>
      </c>
      <c r="F17817" s="0" t="s">
        <v>90</v>
      </c>
      <c r="G17817" s="0" t="s">
        <v>16</v>
      </c>
      <c r="H17817" s="0" t="n">
        <v>56</v>
      </c>
      <c r="I17817" s="0" t="s">
        <v>59249</v>
      </c>
      <c r="J17817" s="0" t="s">
        <v>59250</v>
      </c>
      <c r="K17817" s="0" t="s">
        <v>59251</v>
      </c>
      <c r="L17817" s="0" t="str">
        <f aca="false">HYPERLINK("https://www.ncbi.nlm.nih.gov/nuccore/CP000058.1?report=graph&amp;tracks=[key:gene_model_track,Options:GeneOnly]&amp;mk=5470904:5470923|offset_7|444444,5470855:5470874|offset_56|00cc00,5470793:5470812|offset_118|444444,5470751:5470770|offset_160|444444&amp;v=5470703:5470970&amp;c=444444", "offset 56")</f>
        <v>offset 56</v>
      </c>
    </row>
    <row r="17818" customFormat="false" ht="12.8" hidden="false" customHeight="false" outlineLevel="0" collapsed="false">
      <c r="A17818" s="0" t="s">
        <v>12</v>
      </c>
      <c r="B17818" s="0" t="n">
        <v>5470792</v>
      </c>
      <c r="C17818" s="0" t="n">
        <v>5470812</v>
      </c>
      <c r="D17818" s="0" t="s">
        <v>59244</v>
      </c>
      <c r="E17818" s="0" t="s">
        <v>59245</v>
      </c>
      <c r="F17818" s="0" t="s">
        <v>90</v>
      </c>
      <c r="G17818" s="0" t="s">
        <v>20</v>
      </c>
      <c r="H17818" s="0" t="n">
        <v>118</v>
      </c>
      <c r="I17818" s="0" t="s">
        <v>59252</v>
      </c>
      <c r="J17818" s="0" t="s">
        <v>59253</v>
      </c>
      <c r="K17818" s="0" t="s">
        <v>59254</v>
      </c>
      <c r="L17818" s="0" t="str">
        <f aca="false">HYPERLINK("https://www.ncbi.nlm.nih.gov/nuccore/CP000058.1?report=graph&amp;tracks=[key:gene_model_track,Options:GeneOnly]&amp;mk=5470904:5470923|offset_7|444444,5470855:5470874|offset_56|444444,5470793:5470812|offset_118|00cc00,5470751:5470770|offset_160|444444&amp;v=5470703:5470970&amp;c=444444", "offset 118")</f>
        <v>offset 118</v>
      </c>
    </row>
    <row r="17819" customFormat="false" ht="12.8" hidden="false" customHeight="false" outlineLevel="0" collapsed="false">
      <c r="A17819" s="0" t="s">
        <v>12</v>
      </c>
      <c r="B17819" s="0" t="n">
        <v>5470750</v>
      </c>
      <c r="C17819" s="0" t="n">
        <v>5470770</v>
      </c>
      <c r="D17819" s="0" t="s">
        <v>59244</v>
      </c>
      <c r="E17819" s="0" t="s">
        <v>59245</v>
      </c>
      <c r="F17819" s="0" t="s">
        <v>90</v>
      </c>
      <c r="G17819" s="0" t="s">
        <v>16</v>
      </c>
      <c r="H17819" s="0" t="n">
        <v>160</v>
      </c>
      <c r="I17819" s="0" t="s">
        <v>59255</v>
      </c>
      <c r="J17819" s="0" t="s">
        <v>59256</v>
      </c>
      <c r="K17819" s="0" t="s">
        <v>59257</v>
      </c>
      <c r="L17819" s="0" t="str">
        <f aca="false">HYPERLINK("https://www.ncbi.nlm.nih.gov/nuccore/CP000058.1?report=graph&amp;tracks=[key:gene_model_track,Options:GeneOnly]&amp;mk=5470904:5470923|offset_7|444444,5470855:5470874|offset_56|444444,5470793:5470812|offset_118|444444,5470751:5470770|offset_160|00cc00&amp;v=5470703:5470970&amp;c=444444", "offset 160")</f>
        <v>offset 160</v>
      </c>
    </row>
    <row r="17820" customFormat="false" ht="12.8" hidden="false" customHeight="false" outlineLevel="0" collapsed="false">
      <c r="A17820" s="0" t="s">
        <v>12</v>
      </c>
      <c r="B17820" s="0" t="n">
        <v>5471970</v>
      </c>
      <c r="C17820" s="0" t="n">
        <v>5471990</v>
      </c>
      <c r="D17820" s="0" t="s">
        <v>59258</v>
      </c>
      <c r="E17820" s="0" t="s">
        <v>59259</v>
      </c>
      <c r="F17820" s="0" t="s">
        <v>90</v>
      </c>
      <c r="G17820" s="0" t="s">
        <v>36</v>
      </c>
      <c r="H17820" s="0" t="n">
        <v>6</v>
      </c>
      <c r="I17820" s="0" t="s">
        <v>59260</v>
      </c>
      <c r="J17820" s="0" t="s">
        <v>59261</v>
      </c>
      <c r="K17820" s="0" t="s">
        <v>59262</v>
      </c>
      <c r="L17820" s="0" t="str">
        <f aca="false">HYPERLINK("https://www.ncbi.nlm.nih.gov/nuccore/CP000058.1?report=graph&amp;tracks=[key:gene_model_track,Options:GeneOnly]&amp;mk=5471971:5471990|offset_6|00cc00,5471930:5471949|offset_47|444444,5471886:5471905|offset_91|444444,5471862:5471881|offset_115|444444&amp;v=5471770:5472081&amp;c=444444", "offset 6")</f>
        <v>offset 6</v>
      </c>
    </row>
    <row r="17821" customFormat="false" ht="12.8" hidden="false" customHeight="false" outlineLevel="0" collapsed="false">
      <c r="A17821" s="0" t="s">
        <v>12</v>
      </c>
      <c r="B17821" s="0" t="n">
        <v>5471929</v>
      </c>
      <c r="C17821" s="0" t="n">
        <v>5471949</v>
      </c>
      <c r="D17821" s="0" t="s">
        <v>59258</v>
      </c>
      <c r="E17821" s="0" t="s">
        <v>59259</v>
      </c>
      <c r="F17821" s="0" t="s">
        <v>90</v>
      </c>
      <c r="G17821" s="0" t="s">
        <v>16</v>
      </c>
      <c r="H17821" s="0" t="n">
        <v>47</v>
      </c>
      <c r="I17821" s="0" t="s">
        <v>59263</v>
      </c>
      <c r="J17821" s="0" t="s">
        <v>59264</v>
      </c>
      <c r="K17821" s="0" t="s">
        <v>59265</v>
      </c>
      <c r="L17821" s="0" t="str">
        <f aca="false">HYPERLINK("https://www.ncbi.nlm.nih.gov/nuccore/CP000058.1?report=graph&amp;tracks=[key:gene_model_track,Options:GeneOnly]&amp;mk=5471971:5471990|offset_6|444444,5471930:5471949|offset_47|00cc00,5471886:5471905|offset_91|444444,5471862:5471881|offset_115|444444&amp;v=5471770:5472081&amp;c=444444", "offset 47")</f>
        <v>offset 47</v>
      </c>
    </row>
    <row r="17822" customFormat="false" ht="12.8" hidden="false" customHeight="false" outlineLevel="0" collapsed="false">
      <c r="A17822" s="0" t="s">
        <v>12</v>
      </c>
      <c r="B17822" s="0" t="n">
        <v>5471885</v>
      </c>
      <c r="C17822" s="0" t="n">
        <v>5471905</v>
      </c>
      <c r="D17822" s="0" t="s">
        <v>59258</v>
      </c>
      <c r="E17822" s="0" t="s">
        <v>59259</v>
      </c>
      <c r="F17822" s="0" t="s">
        <v>90</v>
      </c>
      <c r="G17822" s="0" t="s">
        <v>32</v>
      </c>
      <c r="H17822" s="0" t="n">
        <v>91</v>
      </c>
      <c r="I17822" s="0" t="s">
        <v>59266</v>
      </c>
      <c r="J17822" s="0" t="s">
        <v>59267</v>
      </c>
      <c r="K17822" s="0" t="s">
        <v>59268</v>
      </c>
      <c r="L17822" s="0" t="str">
        <f aca="false">HYPERLINK("https://www.ncbi.nlm.nih.gov/nuccore/CP000058.1?report=graph&amp;tracks=[key:gene_model_track,Options:GeneOnly]&amp;mk=5471971:5471990|offset_6|444444,5471930:5471949|offset_47|444444,5471886:5471905|offset_91|00cc00,5471862:5471881|offset_115|444444&amp;v=5471770:5472081&amp;c=444444", "offset 91")</f>
        <v>offset 91</v>
      </c>
    </row>
    <row r="17823" customFormat="false" ht="12.8" hidden="false" customHeight="false" outlineLevel="0" collapsed="false">
      <c r="A17823" s="0" t="s">
        <v>12</v>
      </c>
      <c r="B17823" s="0" t="n">
        <v>5471861</v>
      </c>
      <c r="C17823" s="0" t="n">
        <v>5471881</v>
      </c>
      <c r="D17823" s="0" t="s">
        <v>59258</v>
      </c>
      <c r="E17823" s="0" t="s">
        <v>59259</v>
      </c>
      <c r="F17823" s="0" t="s">
        <v>90</v>
      </c>
      <c r="G17823" s="0" t="s">
        <v>32</v>
      </c>
      <c r="H17823" s="0" t="n">
        <v>115</v>
      </c>
      <c r="I17823" s="0" t="s">
        <v>59269</v>
      </c>
      <c r="J17823" s="0" t="s">
        <v>59270</v>
      </c>
      <c r="K17823" s="0" t="s">
        <v>59271</v>
      </c>
      <c r="L17823" s="0" t="str">
        <f aca="false">HYPERLINK("https://www.ncbi.nlm.nih.gov/nuccore/CP000058.1?report=graph&amp;tracks=[key:gene_model_track,Options:GeneOnly]&amp;mk=5471971:5471990|offset_6|444444,5471930:5471949|offset_47|444444,5471886:5471905|offset_91|444444,5471862:5471881|offset_115|00cc00&amp;v=5471770:5472081&amp;c=444444", "offset 115")</f>
        <v>offset 115</v>
      </c>
    </row>
    <row r="17824" customFormat="false" ht="12.8" hidden="false" customHeight="false" outlineLevel="0" collapsed="false">
      <c r="A17824" s="0" t="s">
        <v>12</v>
      </c>
      <c r="B17824" s="0" t="n">
        <v>5474119</v>
      </c>
      <c r="C17824" s="0" t="n">
        <v>5474139</v>
      </c>
      <c r="D17824" s="0" t="s">
        <v>59272</v>
      </c>
      <c r="E17824" s="0" t="s">
        <v>59273</v>
      </c>
      <c r="F17824" s="0" t="s">
        <v>90</v>
      </c>
      <c r="G17824" s="0" t="s">
        <v>32</v>
      </c>
      <c r="H17824" s="0" t="n">
        <v>6</v>
      </c>
      <c r="I17824" s="0" t="s">
        <v>59274</v>
      </c>
      <c r="J17824" s="0" t="s">
        <v>59275</v>
      </c>
      <c r="K17824" s="0" t="s">
        <v>59276</v>
      </c>
      <c r="L17824" s="0" t="str">
        <f aca="false">HYPERLINK("https://www.ncbi.nlm.nih.gov/nuccore/CP000058.1?report=graph&amp;tracks=[key:gene_model_track,Options:GeneOnly]&amp;mk=5474120:5474139|offset_6|00cc00,5474086:5474105|offset_40|444444,5474059:5474078|offset_67|444444,5474038:5474057|offset_88|444444&amp;v=5473919:5474257&amp;c=444444", "offset 6")</f>
        <v>offset 6</v>
      </c>
    </row>
    <row r="17825" customFormat="false" ht="12.8" hidden="false" customHeight="false" outlineLevel="0" collapsed="false">
      <c r="A17825" s="0" t="s">
        <v>12</v>
      </c>
      <c r="B17825" s="0" t="n">
        <v>5474085</v>
      </c>
      <c r="C17825" s="0" t="n">
        <v>5474105</v>
      </c>
      <c r="D17825" s="0" t="s">
        <v>59272</v>
      </c>
      <c r="E17825" s="0" t="s">
        <v>59273</v>
      </c>
      <c r="F17825" s="0" t="s">
        <v>90</v>
      </c>
      <c r="G17825" s="0" t="s">
        <v>36</v>
      </c>
      <c r="H17825" s="0" t="n">
        <v>40</v>
      </c>
      <c r="I17825" s="0" t="s">
        <v>59277</v>
      </c>
      <c r="J17825" s="0" t="s">
        <v>59278</v>
      </c>
      <c r="K17825" s="0" t="s">
        <v>59279</v>
      </c>
      <c r="L17825" s="0" t="str">
        <f aca="false">HYPERLINK("https://www.ncbi.nlm.nih.gov/nuccore/CP000058.1?report=graph&amp;tracks=[key:gene_model_track,Options:GeneOnly]&amp;mk=5474120:5474139|offset_6|444444,5474086:5474105|offset_40|00cc00,5474059:5474078|offset_67|444444,5474038:5474057|offset_88|444444&amp;v=5473919:5474257&amp;c=444444", "offset 40")</f>
        <v>offset 40</v>
      </c>
    </row>
    <row r="17826" customFormat="false" ht="12.8" hidden="false" customHeight="false" outlineLevel="0" collapsed="false">
      <c r="A17826" s="0" t="s">
        <v>12</v>
      </c>
      <c r="B17826" s="0" t="n">
        <v>5474058</v>
      </c>
      <c r="C17826" s="0" t="n">
        <v>5474078</v>
      </c>
      <c r="D17826" s="0" t="s">
        <v>59272</v>
      </c>
      <c r="E17826" s="0" t="s">
        <v>59273</v>
      </c>
      <c r="F17826" s="0" t="s">
        <v>90</v>
      </c>
      <c r="G17826" s="0" t="s">
        <v>32</v>
      </c>
      <c r="H17826" s="0" t="n">
        <v>67</v>
      </c>
      <c r="I17826" s="0" t="s">
        <v>59280</v>
      </c>
      <c r="J17826" s="0" t="s">
        <v>59281</v>
      </c>
      <c r="K17826" s="0" t="s">
        <v>59282</v>
      </c>
      <c r="L17826" s="0" t="str">
        <f aca="false">HYPERLINK("https://www.ncbi.nlm.nih.gov/nuccore/CP000058.1?report=graph&amp;tracks=[key:gene_model_track,Options:GeneOnly]&amp;mk=5474120:5474139|offset_6|444444,5474086:5474105|offset_40|444444,5474059:5474078|offset_67|00cc00,5474038:5474057|offset_88|444444&amp;v=5473919:5474257&amp;c=444444", "offset 67")</f>
        <v>offset 67</v>
      </c>
    </row>
    <row r="17827" customFormat="false" ht="12.8" hidden="false" customHeight="false" outlineLevel="0" collapsed="false">
      <c r="A17827" s="0" t="s">
        <v>12</v>
      </c>
      <c r="B17827" s="0" t="n">
        <v>5474037</v>
      </c>
      <c r="C17827" s="0" t="n">
        <v>5474057</v>
      </c>
      <c r="D17827" s="0" t="s">
        <v>59272</v>
      </c>
      <c r="E17827" s="0" t="s">
        <v>59273</v>
      </c>
      <c r="F17827" s="0" t="s">
        <v>90</v>
      </c>
      <c r="G17827" s="0" t="s">
        <v>36</v>
      </c>
      <c r="H17827" s="0" t="n">
        <v>88</v>
      </c>
      <c r="I17827" s="0" t="s">
        <v>59283</v>
      </c>
      <c r="J17827" s="0" t="s">
        <v>59284</v>
      </c>
      <c r="K17827" s="0" t="s">
        <v>59285</v>
      </c>
      <c r="L17827" s="0" t="str">
        <f aca="false">HYPERLINK("https://www.ncbi.nlm.nih.gov/nuccore/CP000058.1?report=graph&amp;tracks=[key:gene_model_track,Options:GeneOnly]&amp;mk=5474120:5474139|offset_6|444444,5474086:5474105|offset_40|444444,5474059:5474078|offset_67|444444,5474038:5474057|offset_88|00cc00&amp;v=5473919:5474257&amp;c=444444", "offset 88")</f>
        <v>offset 88</v>
      </c>
    </row>
    <row r="17828" customFormat="false" ht="12.8" hidden="false" customHeight="false" outlineLevel="0" collapsed="false">
      <c r="A17828" s="0" t="s">
        <v>12</v>
      </c>
      <c r="B17828" s="0" t="n">
        <v>5474412</v>
      </c>
      <c r="C17828" s="0" t="n">
        <v>5474432</v>
      </c>
      <c r="D17828" s="0" t="s">
        <v>59286</v>
      </c>
      <c r="E17828" s="0" t="s">
        <v>75</v>
      </c>
      <c r="F17828" s="0" t="s">
        <v>15</v>
      </c>
      <c r="G17828" s="0" t="s">
        <v>20</v>
      </c>
      <c r="H17828" s="0" t="n">
        <v>8</v>
      </c>
      <c r="I17828" s="0" t="s">
        <v>59287</v>
      </c>
      <c r="J17828" s="0" t="s">
        <v>59288</v>
      </c>
      <c r="K17828" s="0" t="s">
        <v>59289</v>
      </c>
      <c r="L17828" s="0" t="str">
        <f aca="false">HYPERLINK("https://www.ncbi.nlm.nih.gov/nuccore/CP000058.1?report=graph&amp;tracks=[key:gene_model_track,Options:GeneOnly]&amp;mk=5474413:5474432|offset_8|00cc00,5474434:5474453|offset_29|444444,5474472:5474491|offset_67|444444,5474514:5474533|offset_109|444444&amp;v=5474212:5474733&amp;c=444444", "offset 8")</f>
        <v>offset 8</v>
      </c>
    </row>
    <row r="17829" customFormat="false" ht="12.8" hidden="false" customHeight="false" outlineLevel="0" collapsed="false">
      <c r="A17829" s="0" t="s">
        <v>12</v>
      </c>
      <c r="B17829" s="0" t="n">
        <v>5474433</v>
      </c>
      <c r="C17829" s="0" t="n">
        <v>5474453</v>
      </c>
      <c r="D17829" s="0" t="s">
        <v>59286</v>
      </c>
      <c r="E17829" s="0" t="s">
        <v>75</v>
      </c>
      <c r="F17829" s="0" t="s">
        <v>15</v>
      </c>
      <c r="G17829" s="0" t="s">
        <v>32</v>
      </c>
      <c r="H17829" s="0" t="n">
        <v>29</v>
      </c>
      <c r="I17829" s="0" t="s">
        <v>59290</v>
      </c>
      <c r="J17829" s="0" t="s">
        <v>59291</v>
      </c>
      <c r="K17829" s="0" t="s">
        <v>59292</v>
      </c>
      <c r="L17829" s="0" t="str">
        <f aca="false">HYPERLINK("https://www.ncbi.nlm.nih.gov/nuccore/CP000058.1?report=graph&amp;tracks=[key:gene_model_track,Options:GeneOnly]&amp;mk=5474413:5474432|offset_8|444444,5474434:5474453|offset_29|00cc00,5474472:5474491|offset_67|444444,5474514:5474533|offset_109|444444&amp;v=5474212:5474733&amp;c=444444", "offset 29")</f>
        <v>offset 29</v>
      </c>
    </row>
    <row r="17830" customFormat="false" ht="12.8" hidden="false" customHeight="false" outlineLevel="0" collapsed="false">
      <c r="A17830" s="0" t="s">
        <v>12</v>
      </c>
      <c r="B17830" s="0" t="n">
        <v>5474471</v>
      </c>
      <c r="C17830" s="0" t="n">
        <v>5474491</v>
      </c>
      <c r="D17830" s="0" t="s">
        <v>59286</v>
      </c>
      <c r="E17830" s="0" t="s">
        <v>75</v>
      </c>
      <c r="F17830" s="0" t="s">
        <v>15</v>
      </c>
      <c r="G17830" s="0" t="s">
        <v>16</v>
      </c>
      <c r="H17830" s="0" t="n">
        <v>67</v>
      </c>
      <c r="I17830" s="0" t="s">
        <v>59293</v>
      </c>
      <c r="J17830" s="0" t="s">
        <v>59294</v>
      </c>
      <c r="K17830" s="0" t="s">
        <v>59295</v>
      </c>
      <c r="L17830" s="0" t="str">
        <f aca="false">HYPERLINK("https://www.ncbi.nlm.nih.gov/nuccore/CP000058.1?report=graph&amp;tracks=[key:gene_model_track,Options:GeneOnly]&amp;mk=5474413:5474432|offset_8|444444,5474434:5474453|offset_29|444444,5474472:5474491|offset_67|00cc00,5474514:5474533|offset_109|444444&amp;v=5474212:5474733&amp;c=444444", "offset 67")</f>
        <v>offset 67</v>
      </c>
    </row>
    <row r="17831" customFormat="false" ht="12.8" hidden="false" customHeight="false" outlineLevel="0" collapsed="false">
      <c r="A17831" s="0" t="s">
        <v>12</v>
      </c>
      <c r="B17831" s="0" t="n">
        <v>5474513</v>
      </c>
      <c r="C17831" s="0" t="n">
        <v>5474533</v>
      </c>
      <c r="D17831" s="0" t="s">
        <v>59286</v>
      </c>
      <c r="E17831" s="0" t="s">
        <v>75</v>
      </c>
      <c r="F17831" s="0" t="s">
        <v>15</v>
      </c>
      <c r="G17831" s="0" t="s">
        <v>32</v>
      </c>
      <c r="H17831" s="0" t="n">
        <v>109</v>
      </c>
      <c r="I17831" s="0" t="s">
        <v>59296</v>
      </c>
      <c r="J17831" s="0" t="s">
        <v>59297</v>
      </c>
      <c r="K17831" s="0" t="s">
        <v>59298</v>
      </c>
      <c r="L17831" s="0" t="str">
        <f aca="false">HYPERLINK("https://www.ncbi.nlm.nih.gov/nuccore/CP000058.1?report=graph&amp;tracks=[key:gene_model_track,Options:GeneOnly]&amp;mk=5474413:5474432|offset_8|444444,5474434:5474453|offset_29|444444,5474472:5474491|offset_67|444444,5474514:5474533|offset_109|00cc00&amp;v=5474212:5474733&amp;c=444444", "offset 109")</f>
        <v>offset 109</v>
      </c>
    </row>
    <row r="17832" customFormat="false" ht="12.8" hidden="false" customHeight="false" outlineLevel="0" collapsed="false">
      <c r="A17832" s="0" t="s">
        <v>12</v>
      </c>
      <c r="B17832" s="0" t="n">
        <v>5475445</v>
      </c>
      <c r="C17832" s="0" t="n">
        <v>5475465</v>
      </c>
      <c r="D17832" s="0" t="s">
        <v>59299</v>
      </c>
      <c r="E17832" s="0" t="s">
        <v>59300</v>
      </c>
      <c r="F17832" s="0" t="s">
        <v>15</v>
      </c>
      <c r="G17832" s="0" t="s">
        <v>20</v>
      </c>
      <c r="H17832" s="0" t="n">
        <v>25</v>
      </c>
      <c r="I17832" s="0" t="s">
        <v>59301</v>
      </c>
      <c r="J17832" s="0" t="s">
        <v>59302</v>
      </c>
      <c r="K17832" s="0" t="s">
        <v>59303</v>
      </c>
      <c r="L17832" s="0" t="str">
        <f aca="false">HYPERLINK("https://www.ncbi.nlm.nih.gov/nuccore/CP000058.1?report=graph&amp;tracks=[key:gene_model_track,Options:GeneOnly]&amp;mk=5475446:5475465|offset_25|00cc00,5475472:5475491|offset_51|444444,5475497:5475516|offset_76|444444,5475539:5475558|offset_118|444444&amp;v=5475245:5475758&amp;c=444444", "offset 25")</f>
        <v>offset 25</v>
      </c>
    </row>
    <row r="17833" customFormat="false" ht="12.8" hidden="false" customHeight="false" outlineLevel="0" collapsed="false">
      <c r="A17833" s="0" t="s">
        <v>12</v>
      </c>
      <c r="B17833" s="0" t="n">
        <v>5475471</v>
      </c>
      <c r="C17833" s="0" t="n">
        <v>5475491</v>
      </c>
      <c r="D17833" s="0" t="s">
        <v>59299</v>
      </c>
      <c r="E17833" s="0" t="s">
        <v>59300</v>
      </c>
      <c r="F17833" s="0" t="s">
        <v>15</v>
      </c>
      <c r="G17833" s="0" t="s">
        <v>16</v>
      </c>
      <c r="H17833" s="0" t="n">
        <v>51</v>
      </c>
      <c r="I17833" s="0" t="s">
        <v>59304</v>
      </c>
      <c r="J17833" s="0" t="s">
        <v>59305</v>
      </c>
      <c r="K17833" s="0" t="s">
        <v>59306</v>
      </c>
      <c r="L17833" s="0" t="str">
        <f aca="false">HYPERLINK("https://www.ncbi.nlm.nih.gov/nuccore/CP000058.1?report=graph&amp;tracks=[key:gene_model_track,Options:GeneOnly]&amp;mk=5475446:5475465|offset_25|444444,5475472:5475491|offset_51|00cc00,5475497:5475516|offset_76|444444,5475539:5475558|offset_118|444444&amp;v=5475245:5475758&amp;c=444444", "offset 51")</f>
        <v>offset 51</v>
      </c>
    </row>
    <row r="17834" customFormat="false" ht="12.8" hidden="false" customHeight="false" outlineLevel="0" collapsed="false">
      <c r="A17834" s="0" t="s">
        <v>12</v>
      </c>
      <c r="B17834" s="0" t="n">
        <v>5475496</v>
      </c>
      <c r="C17834" s="0" t="n">
        <v>5475516</v>
      </c>
      <c r="D17834" s="0" t="s">
        <v>59299</v>
      </c>
      <c r="E17834" s="0" t="s">
        <v>59300</v>
      </c>
      <c r="F17834" s="0" t="s">
        <v>15</v>
      </c>
      <c r="G17834" s="0" t="s">
        <v>16</v>
      </c>
      <c r="H17834" s="0" t="n">
        <v>76</v>
      </c>
      <c r="I17834" s="0" t="s">
        <v>59307</v>
      </c>
      <c r="J17834" s="0" t="s">
        <v>59308</v>
      </c>
      <c r="K17834" s="0" t="s">
        <v>59309</v>
      </c>
      <c r="L17834" s="0" t="str">
        <f aca="false">HYPERLINK("https://www.ncbi.nlm.nih.gov/nuccore/CP000058.1?report=graph&amp;tracks=[key:gene_model_track,Options:GeneOnly]&amp;mk=5475446:5475465|offset_25|444444,5475472:5475491|offset_51|444444,5475497:5475516|offset_76|00cc00,5475539:5475558|offset_118|444444&amp;v=5475245:5475758&amp;c=444444", "offset 76")</f>
        <v>offset 76</v>
      </c>
    </row>
    <row r="17835" customFormat="false" ht="12.8" hidden="false" customHeight="false" outlineLevel="0" collapsed="false">
      <c r="A17835" s="0" t="s">
        <v>12</v>
      </c>
      <c r="B17835" s="0" t="n">
        <v>5475538</v>
      </c>
      <c r="C17835" s="0" t="n">
        <v>5475558</v>
      </c>
      <c r="D17835" s="0" t="s">
        <v>59299</v>
      </c>
      <c r="E17835" s="0" t="s">
        <v>59300</v>
      </c>
      <c r="F17835" s="0" t="s">
        <v>15</v>
      </c>
      <c r="G17835" s="0" t="s">
        <v>36</v>
      </c>
      <c r="H17835" s="0" t="n">
        <v>118</v>
      </c>
      <c r="I17835" s="0" t="s">
        <v>59310</v>
      </c>
      <c r="J17835" s="0" t="s">
        <v>59311</v>
      </c>
      <c r="K17835" s="0" t="s">
        <v>59312</v>
      </c>
      <c r="L17835" s="0" t="str">
        <f aca="false">HYPERLINK("https://www.ncbi.nlm.nih.gov/nuccore/CP000058.1?report=graph&amp;tracks=[key:gene_model_track,Options:GeneOnly]&amp;mk=5475446:5475465|offset_25|444444,5475472:5475491|offset_51|444444,5475497:5475516|offset_76|444444,5475539:5475558|offset_118|00cc00&amp;v=5475245:5475758&amp;c=444444", "offset 118")</f>
        <v>offset 118</v>
      </c>
    </row>
    <row r="17836" customFormat="false" ht="12.8" hidden="false" customHeight="false" outlineLevel="0" collapsed="false">
      <c r="A17836" s="0" t="s">
        <v>12</v>
      </c>
      <c r="B17836" s="0" t="n">
        <v>5478752</v>
      </c>
      <c r="C17836" s="0" t="n">
        <v>5478772</v>
      </c>
      <c r="D17836" s="0" t="s">
        <v>59313</v>
      </c>
      <c r="E17836" s="0" t="s">
        <v>75</v>
      </c>
      <c r="F17836" s="0" t="s">
        <v>15</v>
      </c>
      <c r="G17836" s="0" t="s">
        <v>32</v>
      </c>
      <c r="H17836" s="0" t="n">
        <v>18</v>
      </c>
      <c r="I17836" s="0" t="s">
        <v>59314</v>
      </c>
      <c r="J17836" s="0" t="s">
        <v>59315</v>
      </c>
      <c r="K17836" s="0" t="s">
        <v>59316</v>
      </c>
      <c r="L17836" s="0" t="str">
        <f aca="false">HYPERLINK("https://www.ncbi.nlm.nih.gov/nuccore/CP000058.1?report=graph&amp;tracks=[key:gene_model_track,Options:GeneOnly]&amp;mk=5478753:5478772|offset_18|00cc00,5478816:5478835|offset_81|444444,5478845:5478864|offset_110|444444,5478874:5478893|offset_139|444444&amp;v=5478552:5479093&amp;c=444444", "offset 18")</f>
        <v>offset 18</v>
      </c>
    </row>
    <row r="17837" customFormat="false" ht="12.8" hidden="false" customHeight="false" outlineLevel="0" collapsed="false">
      <c r="A17837" s="0" t="s">
        <v>12</v>
      </c>
      <c r="B17837" s="0" t="n">
        <v>5478815</v>
      </c>
      <c r="C17837" s="0" t="n">
        <v>5478835</v>
      </c>
      <c r="D17837" s="0" t="s">
        <v>59313</v>
      </c>
      <c r="E17837" s="0" t="s">
        <v>75</v>
      </c>
      <c r="F17837" s="0" t="s">
        <v>15</v>
      </c>
      <c r="G17837" s="0" t="s">
        <v>36</v>
      </c>
      <c r="H17837" s="0" t="n">
        <v>81</v>
      </c>
      <c r="I17837" s="0" t="s">
        <v>59317</v>
      </c>
      <c r="J17837" s="0" t="s">
        <v>59318</v>
      </c>
      <c r="K17837" s="0" t="s">
        <v>59319</v>
      </c>
      <c r="L17837" s="0" t="str">
        <f aca="false">HYPERLINK("https://www.ncbi.nlm.nih.gov/nuccore/CP000058.1?report=graph&amp;tracks=[key:gene_model_track,Options:GeneOnly]&amp;mk=5478753:5478772|offset_18|444444,5478816:5478835|offset_81|00cc00,5478845:5478864|offset_110|444444,5478874:5478893|offset_139|444444&amp;v=5478552:5479093&amp;c=444444", "offset 81")</f>
        <v>offset 81</v>
      </c>
    </row>
    <row r="17838" customFormat="false" ht="12.8" hidden="false" customHeight="false" outlineLevel="0" collapsed="false">
      <c r="A17838" s="0" t="s">
        <v>12</v>
      </c>
      <c r="B17838" s="0" t="n">
        <v>5478844</v>
      </c>
      <c r="C17838" s="0" t="n">
        <v>5478864</v>
      </c>
      <c r="D17838" s="0" t="s">
        <v>59313</v>
      </c>
      <c r="E17838" s="0" t="s">
        <v>75</v>
      </c>
      <c r="F17838" s="0" t="s">
        <v>15</v>
      </c>
      <c r="G17838" s="0" t="s">
        <v>32</v>
      </c>
      <c r="H17838" s="0" t="n">
        <v>110</v>
      </c>
      <c r="I17838" s="0" t="s">
        <v>59320</v>
      </c>
      <c r="J17838" s="0" t="s">
        <v>59321</v>
      </c>
      <c r="K17838" s="0" t="s">
        <v>59322</v>
      </c>
      <c r="L17838" s="0" t="str">
        <f aca="false">HYPERLINK("https://www.ncbi.nlm.nih.gov/nuccore/CP000058.1?report=graph&amp;tracks=[key:gene_model_track,Options:GeneOnly]&amp;mk=5478753:5478772|offset_18|444444,5478816:5478835|offset_81|444444,5478845:5478864|offset_110|00cc00,5478874:5478893|offset_139|444444&amp;v=5478552:5479093&amp;c=444444", "offset 110")</f>
        <v>offset 110</v>
      </c>
    </row>
    <row r="17839" customFormat="false" ht="12.8" hidden="false" customHeight="false" outlineLevel="0" collapsed="false">
      <c r="A17839" s="0" t="s">
        <v>12</v>
      </c>
      <c r="B17839" s="0" t="n">
        <v>5478873</v>
      </c>
      <c r="C17839" s="0" t="n">
        <v>5478893</v>
      </c>
      <c r="D17839" s="0" t="s">
        <v>59313</v>
      </c>
      <c r="E17839" s="0" t="s">
        <v>75</v>
      </c>
      <c r="F17839" s="0" t="s">
        <v>15</v>
      </c>
      <c r="G17839" s="0" t="s">
        <v>32</v>
      </c>
      <c r="H17839" s="0" t="n">
        <v>139</v>
      </c>
      <c r="I17839" s="0" t="s">
        <v>59323</v>
      </c>
      <c r="J17839" s="0" t="s">
        <v>59324</v>
      </c>
      <c r="K17839" s="0" t="s">
        <v>59325</v>
      </c>
      <c r="L17839" s="0" t="str">
        <f aca="false">HYPERLINK("https://www.ncbi.nlm.nih.gov/nuccore/CP000058.1?report=graph&amp;tracks=[key:gene_model_track,Options:GeneOnly]&amp;mk=5478753:5478772|offset_18|444444,5478816:5478835|offset_81|444444,5478845:5478864|offset_110|444444,5478874:5478893|offset_139|00cc00&amp;v=5478552:5479093&amp;c=444444", "offset 139")</f>
        <v>offset 139</v>
      </c>
    </row>
    <row r="17840" customFormat="false" ht="12.8" hidden="false" customHeight="false" outlineLevel="0" collapsed="false">
      <c r="A17840" s="0" t="s">
        <v>12</v>
      </c>
      <c r="B17840" s="0" t="n">
        <v>5479529</v>
      </c>
      <c r="C17840" s="0" t="n">
        <v>5479549</v>
      </c>
      <c r="D17840" s="0" t="s">
        <v>59326</v>
      </c>
      <c r="E17840" s="0" t="s">
        <v>75</v>
      </c>
      <c r="F17840" s="0" t="s">
        <v>90</v>
      </c>
      <c r="G17840" s="0" t="s">
        <v>16</v>
      </c>
      <c r="H17840" s="0" t="n">
        <v>45</v>
      </c>
      <c r="I17840" s="0" t="s">
        <v>59327</v>
      </c>
      <c r="J17840" s="0" t="s">
        <v>59328</v>
      </c>
      <c r="K17840" s="0" t="s">
        <v>59329</v>
      </c>
      <c r="L17840" s="0" t="str">
        <f aca="false">HYPERLINK("https://www.ncbi.nlm.nih.gov/nuccore/CP000058.1?report=graph&amp;tracks=[key:gene_model_track,Options:GeneOnly]&amp;mk=5479530:5479549|offset_45|00cc00,5479508:5479527|offset_67|444444,5479464:5479483|offset_111|444444,5479432:5479451|offset_143|444444&amp;v=5479329:5479651&amp;c=444444", "offset 45")</f>
        <v>offset 45</v>
      </c>
    </row>
    <row r="17841" customFormat="false" ht="12.8" hidden="false" customHeight="false" outlineLevel="0" collapsed="false">
      <c r="A17841" s="0" t="s">
        <v>12</v>
      </c>
      <c r="B17841" s="0" t="n">
        <v>5479507</v>
      </c>
      <c r="C17841" s="0" t="n">
        <v>5479527</v>
      </c>
      <c r="D17841" s="0" t="s">
        <v>59326</v>
      </c>
      <c r="E17841" s="0" t="s">
        <v>75</v>
      </c>
      <c r="F17841" s="0" t="s">
        <v>90</v>
      </c>
      <c r="G17841" s="0" t="s">
        <v>32</v>
      </c>
      <c r="H17841" s="0" t="n">
        <v>67</v>
      </c>
      <c r="I17841" s="0" t="s">
        <v>59330</v>
      </c>
      <c r="J17841" s="0" t="s">
        <v>59331</v>
      </c>
      <c r="K17841" s="0" t="s">
        <v>59332</v>
      </c>
      <c r="L17841" s="0" t="str">
        <f aca="false">HYPERLINK("https://www.ncbi.nlm.nih.gov/nuccore/CP000058.1?report=graph&amp;tracks=[key:gene_model_track,Options:GeneOnly]&amp;mk=5479530:5479549|offset_45|444444,5479508:5479527|offset_67|00cc00,5479464:5479483|offset_111|444444,5479432:5479451|offset_143|444444&amp;v=5479329:5479651&amp;c=444444", "offset 67")</f>
        <v>offset 67</v>
      </c>
    </row>
    <row r="17842" customFormat="false" ht="12.8" hidden="false" customHeight="false" outlineLevel="0" collapsed="false">
      <c r="A17842" s="0" t="s">
        <v>12</v>
      </c>
      <c r="B17842" s="0" t="n">
        <v>5479463</v>
      </c>
      <c r="C17842" s="0" t="n">
        <v>5479483</v>
      </c>
      <c r="D17842" s="0" t="s">
        <v>59326</v>
      </c>
      <c r="E17842" s="0" t="s">
        <v>75</v>
      </c>
      <c r="F17842" s="0" t="s">
        <v>90</v>
      </c>
      <c r="G17842" s="0" t="s">
        <v>16</v>
      </c>
      <c r="H17842" s="0" t="n">
        <v>111</v>
      </c>
      <c r="I17842" s="0" t="s">
        <v>59333</v>
      </c>
      <c r="J17842" s="0" t="s">
        <v>59334</v>
      </c>
      <c r="K17842" s="0" t="s">
        <v>59335</v>
      </c>
      <c r="L17842" s="0" t="str">
        <f aca="false">HYPERLINK("https://www.ncbi.nlm.nih.gov/nuccore/CP000058.1?report=graph&amp;tracks=[key:gene_model_track,Options:GeneOnly]&amp;mk=5479530:5479549|offset_45|444444,5479508:5479527|offset_67|444444,5479464:5479483|offset_111|00cc00,5479432:5479451|offset_143|444444&amp;v=5479329:5479651&amp;c=444444", "offset 111")</f>
        <v>offset 111</v>
      </c>
    </row>
    <row r="17843" customFormat="false" ht="12.8" hidden="false" customHeight="false" outlineLevel="0" collapsed="false">
      <c r="A17843" s="0" t="s">
        <v>12</v>
      </c>
      <c r="B17843" s="0" t="n">
        <v>5479431</v>
      </c>
      <c r="C17843" s="0" t="n">
        <v>5479451</v>
      </c>
      <c r="D17843" s="0" t="s">
        <v>59326</v>
      </c>
      <c r="E17843" s="0" t="s">
        <v>75</v>
      </c>
      <c r="F17843" s="0" t="s">
        <v>90</v>
      </c>
      <c r="G17843" s="0" t="s">
        <v>36</v>
      </c>
      <c r="H17843" s="0" t="n">
        <v>143</v>
      </c>
      <c r="I17843" s="0" t="s">
        <v>59336</v>
      </c>
      <c r="J17843" s="0" t="s">
        <v>59337</v>
      </c>
      <c r="K17843" s="0" t="s">
        <v>59338</v>
      </c>
      <c r="L17843" s="0" t="str">
        <f aca="false">HYPERLINK("https://www.ncbi.nlm.nih.gov/nuccore/CP000058.1?report=graph&amp;tracks=[key:gene_model_track,Options:GeneOnly]&amp;mk=5479530:5479549|offset_45|444444,5479508:5479527|offset_67|444444,5479464:5479483|offset_111|444444,5479432:5479451|offset_143|00cc00&amp;v=5479329:5479651&amp;c=444444", "offset 143")</f>
        <v>offset 143</v>
      </c>
    </row>
    <row r="17844" customFormat="false" ht="12.8" hidden="false" customHeight="false" outlineLevel="0" collapsed="false">
      <c r="A17844" s="0" t="s">
        <v>12</v>
      </c>
      <c r="B17844" s="0" t="n">
        <v>5481071</v>
      </c>
      <c r="C17844" s="0" t="n">
        <v>5481091</v>
      </c>
      <c r="D17844" s="0" t="s">
        <v>59339</v>
      </c>
      <c r="E17844" s="0" t="s">
        <v>75</v>
      </c>
      <c r="F17844" s="0" t="s">
        <v>90</v>
      </c>
      <c r="G17844" s="0" t="s">
        <v>16</v>
      </c>
      <c r="H17844" s="0" t="n">
        <v>9</v>
      </c>
      <c r="I17844" s="0" t="s">
        <v>59340</v>
      </c>
      <c r="J17844" s="0" t="s">
        <v>59341</v>
      </c>
      <c r="K17844" s="0" t="s">
        <v>59342</v>
      </c>
      <c r="L17844" s="0" t="str">
        <f aca="false">HYPERLINK("https://www.ncbi.nlm.nih.gov/nuccore/CP000058.1?report=graph&amp;tracks=[key:gene_model_track,Options:GeneOnly]&amp;mk=5481072:5481091|offset_9|00cc00,5481052:5481071|offset_29|444444,5480977:5480996|offset_104|444444,5480957:5480976|offset_124|444444&amp;v=5480871:5481176&amp;c=444444", "offset 9")</f>
        <v>offset 9</v>
      </c>
    </row>
    <row r="17845" customFormat="false" ht="12.8" hidden="false" customHeight="false" outlineLevel="0" collapsed="false">
      <c r="A17845" s="0" t="s">
        <v>12</v>
      </c>
      <c r="B17845" s="0" t="n">
        <v>5481051</v>
      </c>
      <c r="C17845" s="0" t="n">
        <v>5481071</v>
      </c>
      <c r="D17845" s="0" t="s">
        <v>59339</v>
      </c>
      <c r="E17845" s="0" t="s">
        <v>75</v>
      </c>
      <c r="F17845" s="0" t="s">
        <v>90</v>
      </c>
      <c r="G17845" s="0" t="s">
        <v>20</v>
      </c>
      <c r="H17845" s="0" t="n">
        <v>29</v>
      </c>
      <c r="I17845" s="0" t="s">
        <v>59343</v>
      </c>
      <c r="J17845" s="0" t="s">
        <v>59344</v>
      </c>
      <c r="K17845" s="0" t="s">
        <v>59345</v>
      </c>
      <c r="L17845" s="0" t="str">
        <f aca="false">HYPERLINK("https://www.ncbi.nlm.nih.gov/nuccore/CP000058.1?report=graph&amp;tracks=[key:gene_model_track,Options:GeneOnly]&amp;mk=5481072:5481091|offset_9|444444,5481052:5481071|offset_29|00cc00,5480977:5480996|offset_104|444444,5480957:5480976|offset_124|444444&amp;v=5480871:5481176&amp;c=444444", "offset 29")</f>
        <v>offset 29</v>
      </c>
    </row>
    <row r="17846" customFormat="false" ht="12.8" hidden="false" customHeight="false" outlineLevel="0" collapsed="false">
      <c r="A17846" s="0" t="s">
        <v>12</v>
      </c>
      <c r="B17846" s="0" t="n">
        <v>5480976</v>
      </c>
      <c r="C17846" s="0" t="n">
        <v>5480996</v>
      </c>
      <c r="D17846" s="0" t="s">
        <v>59339</v>
      </c>
      <c r="E17846" s="0" t="s">
        <v>75</v>
      </c>
      <c r="F17846" s="0" t="s">
        <v>90</v>
      </c>
      <c r="G17846" s="0" t="s">
        <v>16</v>
      </c>
      <c r="H17846" s="0" t="n">
        <v>104</v>
      </c>
      <c r="I17846" s="0" t="s">
        <v>59346</v>
      </c>
      <c r="J17846" s="0" t="s">
        <v>59347</v>
      </c>
      <c r="K17846" s="0" t="s">
        <v>59348</v>
      </c>
      <c r="L17846" s="0" t="str">
        <f aca="false">HYPERLINK("https://www.ncbi.nlm.nih.gov/nuccore/CP000058.1?report=graph&amp;tracks=[key:gene_model_track,Options:GeneOnly]&amp;mk=5481072:5481091|offset_9|444444,5481052:5481071|offset_29|444444,5480977:5480996|offset_104|00cc00,5480957:5480976|offset_124|444444&amp;v=5480871:5481176&amp;c=444444", "offset 104")</f>
        <v>offset 104</v>
      </c>
    </row>
    <row r="17847" customFormat="false" ht="12.8" hidden="false" customHeight="false" outlineLevel="0" collapsed="false">
      <c r="A17847" s="0" t="s">
        <v>12</v>
      </c>
      <c r="B17847" s="0" t="n">
        <v>5480956</v>
      </c>
      <c r="C17847" s="0" t="n">
        <v>5480976</v>
      </c>
      <c r="D17847" s="0" t="s">
        <v>59339</v>
      </c>
      <c r="E17847" s="0" t="s">
        <v>75</v>
      </c>
      <c r="F17847" s="0" t="s">
        <v>90</v>
      </c>
      <c r="G17847" s="0" t="s">
        <v>16</v>
      </c>
      <c r="H17847" s="0" t="n">
        <v>124</v>
      </c>
      <c r="I17847" s="0" t="s">
        <v>59349</v>
      </c>
      <c r="J17847" s="0" t="s">
        <v>59350</v>
      </c>
      <c r="K17847" s="0" t="s">
        <v>59351</v>
      </c>
      <c r="L17847" s="0" t="str">
        <f aca="false">HYPERLINK("https://www.ncbi.nlm.nih.gov/nuccore/CP000058.1?report=graph&amp;tracks=[key:gene_model_track,Options:GeneOnly]&amp;mk=5481072:5481091|offset_9|444444,5481052:5481071|offset_29|444444,5480977:5480996|offset_104|444444,5480957:5480976|offset_124|00cc00&amp;v=5480871:5481176&amp;c=444444", "offset 124")</f>
        <v>offset 124</v>
      </c>
    </row>
    <row r="17848" customFormat="false" ht="12.8" hidden="false" customHeight="false" outlineLevel="0" collapsed="false">
      <c r="A17848" s="0" t="s">
        <v>12</v>
      </c>
      <c r="B17848" s="0" t="n">
        <v>5481740</v>
      </c>
      <c r="C17848" s="0" t="n">
        <v>5481760</v>
      </c>
      <c r="D17848" s="0" t="s">
        <v>59352</v>
      </c>
      <c r="E17848" s="0" t="s">
        <v>75</v>
      </c>
      <c r="F17848" s="0" t="s">
        <v>90</v>
      </c>
      <c r="G17848" s="0" t="s">
        <v>20</v>
      </c>
      <c r="H17848" s="0" t="n">
        <v>11</v>
      </c>
      <c r="I17848" s="0" t="s">
        <v>59353</v>
      </c>
      <c r="J17848" s="0" t="s">
        <v>59354</v>
      </c>
      <c r="K17848" s="0" t="s">
        <v>59355</v>
      </c>
      <c r="L17848" s="0" t="str">
        <f aca="false">HYPERLINK("https://www.ncbi.nlm.nih.gov/nuccore/CP000058.1?report=graph&amp;tracks=[key:gene_model_track,Options:GeneOnly]&amp;mk=5481741:5481760|offset_11|00cc00,5481712:5481731|offset_40|444444,5481688:5481707|offset_64|444444,5481655:5481674|offset_97|444444&amp;v=5481540:5481874&amp;c=444444", "offset 11")</f>
        <v>offset 11</v>
      </c>
    </row>
    <row r="17849" customFormat="false" ht="12.8" hidden="false" customHeight="false" outlineLevel="0" collapsed="false">
      <c r="A17849" s="0" t="s">
        <v>12</v>
      </c>
      <c r="B17849" s="0" t="n">
        <v>5481711</v>
      </c>
      <c r="C17849" s="0" t="n">
        <v>5481731</v>
      </c>
      <c r="D17849" s="0" t="s">
        <v>59352</v>
      </c>
      <c r="E17849" s="0" t="s">
        <v>75</v>
      </c>
      <c r="F17849" s="0" t="s">
        <v>90</v>
      </c>
      <c r="G17849" s="0" t="s">
        <v>16</v>
      </c>
      <c r="H17849" s="0" t="n">
        <v>40</v>
      </c>
      <c r="I17849" s="0" t="s">
        <v>59356</v>
      </c>
      <c r="J17849" s="0" t="s">
        <v>59357</v>
      </c>
      <c r="K17849" s="0" t="s">
        <v>59358</v>
      </c>
      <c r="L17849" s="0" t="str">
        <f aca="false">HYPERLINK("https://www.ncbi.nlm.nih.gov/nuccore/CP000058.1?report=graph&amp;tracks=[key:gene_model_track,Options:GeneOnly]&amp;mk=5481741:5481760|offset_11|444444,5481712:5481731|offset_40|00cc00,5481688:5481707|offset_64|444444,5481655:5481674|offset_97|444444&amp;v=5481540:5481874&amp;c=444444", "offset 40")</f>
        <v>offset 40</v>
      </c>
    </row>
    <row r="17850" customFormat="false" ht="12.8" hidden="false" customHeight="false" outlineLevel="0" collapsed="false">
      <c r="A17850" s="0" t="s">
        <v>12</v>
      </c>
      <c r="B17850" s="0" t="n">
        <v>5481687</v>
      </c>
      <c r="C17850" s="0" t="n">
        <v>5481707</v>
      </c>
      <c r="D17850" s="0" t="s">
        <v>59352</v>
      </c>
      <c r="E17850" s="0" t="s">
        <v>75</v>
      </c>
      <c r="F17850" s="0" t="s">
        <v>90</v>
      </c>
      <c r="G17850" s="0" t="s">
        <v>16</v>
      </c>
      <c r="H17850" s="0" t="n">
        <v>64</v>
      </c>
      <c r="I17850" s="0" t="s">
        <v>59359</v>
      </c>
      <c r="J17850" s="0" t="s">
        <v>59360</v>
      </c>
      <c r="K17850" s="0" t="s">
        <v>59361</v>
      </c>
      <c r="L17850" s="0" t="str">
        <f aca="false">HYPERLINK("https://www.ncbi.nlm.nih.gov/nuccore/CP000058.1?report=graph&amp;tracks=[key:gene_model_track,Options:GeneOnly]&amp;mk=5481741:5481760|offset_11|444444,5481712:5481731|offset_40|444444,5481688:5481707|offset_64|00cc00,5481655:5481674|offset_97|444444&amp;v=5481540:5481874&amp;c=444444", "offset 64")</f>
        <v>offset 64</v>
      </c>
    </row>
    <row r="17851" customFormat="false" ht="12.8" hidden="false" customHeight="false" outlineLevel="0" collapsed="false">
      <c r="A17851" s="0" t="s">
        <v>12</v>
      </c>
      <c r="B17851" s="0" t="n">
        <v>5481654</v>
      </c>
      <c r="C17851" s="0" t="n">
        <v>5481674</v>
      </c>
      <c r="D17851" s="0" t="s">
        <v>59352</v>
      </c>
      <c r="E17851" s="0" t="s">
        <v>75</v>
      </c>
      <c r="F17851" s="0" t="s">
        <v>90</v>
      </c>
      <c r="G17851" s="0" t="s">
        <v>16</v>
      </c>
      <c r="H17851" s="0" t="n">
        <v>97</v>
      </c>
      <c r="I17851" s="0" t="s">
        <v>59362</v>
      </c>
      <c r="J17851" s="0" t="s">
        <v>59363</v>
      </c>
      <c r="K17851" s="0" t="s">
        <v>59364</v>
      </c>
      <c r="L17851" s="0" t="str">
        <f aca="false">HYPERLINK("https://www.ncbi.nlm.nih.gov/nuccore/CP000058.1?report=graph&amp;tracks=[key:gene_model_track,Options:GeneOnly]&amp;mk=5481741:5481760|offset_11|444444,5481712:5481731|offset_40|444444,5481688:5481707|offset_64|444444,5481655:5481674|offset_97|00cc00&amp;v=5481540:5481874&amp;c=444444", "offset 97")</f>
        <v>offset 97</v>
      </c>
    </row>
    <row r="17852" customFormat="false" ht="12.8" hidden="false" customHeight="false" outlineLevel="0" collapsed="false">
      <c r="A17852" s="0" t="s">
        <v>12</v>
      </c>
      <c r="B17852" s="0" t="n">
        <v>5482050</v>
      </c>
      <c r="C17852" s="0" t="n">
        <v>5482070</v>
      </c>
      <c r="D17852" s="0" t="s">
        <v>59365</v>
      </c>
      <c r="E17852" s="0" t="s">
        <v>75</v>
      </c>
      <c r="F17852" s="0" t="s">
        <v>15</v>
      </c>
      <c r="G17852" s="0" t="s">
        <v>16</v>
      </c>
      <c r="H17852" s="0" t="n">
        <v>13</v>
      </c>
      <c r="I17852" s="0" t="s">
        <v>59366</v>
      </c>
      <c r="J17852" s="0" t="s">
        <v>59367</v>
      </c>
      <c r="K17852" s="0" t="s">
        <v>59368</v>
      </c>
      <c r="L17852" s="0" t="str">
        <f aca="false">HYPERLINK("https://www.ncbi.nlm.nih.gov/nuccore/CP000058.1?report=graph&amp;tracks=[key:gene_model_track,Options:GeneOnly]&amp;mk=5482051:5482070|offset_13|00cc00,5482074:5482093|offset_36|444444,5482102:5482121|offset_64|444444,5482138:5482157|offset_100|444444&amp;v=5481850:5482357&amp;c=444444", "offset 13")</f>
        <v>offset 13</v>
      </c>
    </row>
    <row r="17853" customFormat="false" ht="12.8" hidden="false" customHeight="false" outlineLevel="0" collapsed="false">
      <c r="A17853" s="0" t="s">
        <v>12</v>
      </c>
      <c r="B17853" s="0" t="n">
        <v>5482073</v>
      </c>
      <c r="C17853" s="0" t="n">
        <v>5482093</v>
      </c>
      <c r="D17853" s="0" t="s">
        <v>59365</v>
      </c>
      <c r="E17853" s="0" t="s">
        <v>75</v>
      </c>
      <c r="F17853" s="0" t="s">
        <v>15</v>
      </c>
      <c r="G17853" s="0" t="s">
        <v>32</v>
      </c>
      <c r="H17853" s="0" t="n">
        <v>36</v>
      </c>
      <c r="I17853" s="0" t="s">
        <v>59369</v>
      </c>
      <c r="J17853" s="0" t="s">
        <v>59370</v>
      </c>
      <c r="K17853" s="0" t="s">
        <v>59371</v>
      </c>
      <c r="L17853" s="0" t="str">
        <f aca="false">HYPERLINK("https://www.ncbi.nlm.nih.gov/nuccore/CP000058.1?report=graph&amp;tracks=[key:gene_model_track,Options:GeneOnly]&amp;mk=5482051:5482070|offset_13|444444,5482074:5482093|offset_36|00cc00,5482102:5482121|offset_64|444444,5482138:5482157|offset_100|444444&amp;v=5481850:5482357&amp;c=444444", "offset 36")</f>
        <v>offset 36</v>
      </c>
    </row>
    <row r="17854" customFormat="false" ht="12.8" hidden="false" customHeight="false" outlineLevel="0" collapsed="false">
      <c r="A17854" s="0" t="s">
        <v>12</v>
      </c>
      <c r="B17854" s="0" t="n">
        <v>5482101</v>
      </c>
      <c r="C17854" s="0" t="n">
        <v>5482121</v>
      </c>
      <c r="D17854" s="0" t="s">
        <v>59365</v>
      </c>
      <c r="E17854" s="0" t="s">
        <v>75</v>
      </c>
      <c r="F17854" s="0" t="s">
        <v>15</v>
      </c>
      <c r="G17854" s="0" t="s">
        <v>36</v>
      </c>
      <c r="H17854" s="0" t="n">
        <v>64</v>
      </c>
      <c r="I17854" s="0" t="s">
        <v>59372</v>
      </c>
      <c r="J17854" s="0" t="s">
        <v>59373</v>
      </c>
      <c r="K17854" s="0" t="s">
        <v>59374</v>
      </c>
      <c r="L17854" s="0" t="str">
        <f aca="false">HYPERLINK("https://www.ncbi.nlm.nih.gov/nuccore/CP000058.1?report=graph&amp;tracks=[key:gene_model_track,Options:GeneOnly]&amp;mk=5482051:5482070|offset_13|444444,5482074:5482093|offset_36|444444,5482102:5482121|offset_64|00cc00,5482138:5482157|offset_100|444444&amp;v=5481850:5482357&amp;c=444444", "offset 64")</f>
        <v>offset 64</v>
      </c>
    </row>
    <row r="17855" customFormat="false" ht="12.8" hidden="false" customHeight="false" outlineLevel="0" collapsed="false">
      <c r="A17855" s="0" t="s">
        <v>12</v>
      </c>
      <c r="B17855" s="0" t="n">
        <v>5482137</v>
      </c>
      <c r="C17855" s="0" t="n">
        <v>5482157</v>
      </c>
      <c r="D17855" s="0" t="s">
        <v>59365</v>
      </c>
      <c r="E17855" s="0" t="s">
        <v>75</v>
      </c>
      <c r="F17855" s="0" t="s">
        <v>15</v>
      </c>
      <c r="G17855" s="0" t="s">
        <v>20</v>
      </c>
      <c r="H17855" s="0" t="n">
        <v>100</v>
      </c>
      <c r="I17855" s="0" t="s">
        <v>59375</v>
      </c>
      <c r="J17855" s="0" t="s">
        <v>59376</v>
      </c>
      <c r="K17855" s="0" t="s">
        <v>59377</v>
      </c>
      <c r="L17855" s="0" t="str">
        <f aca="false">HYPERLINK("https://www.ncbi.nlm.nih.gov/nuccore/CP000058.1?report=graph&amp;tracks=[key:gene_model_track,Options:GeneOnly]&amp;mk=5482051:5482070|offset_13|444444,5482074:5482093|offset_36|444444,5482102:5482121|offset_64|444444,5482138:5482157|offset_100|00cc00&amp;v=5481850:5482357&amp;c=444444", "offset 100")</f>
        <v>offset 100</v>
      </c>
    </row>
    <row r="17856" customFormat="false" ht="12.8" hidden="false" customHeight="false" outlineLevel="0" collapsed="false">
      <c r="A17856" s="0" t="s">
        <v>12</v>
      </c>
      <c r="B17856" s="0" t="n">
        <v>5483356</v>
      </c>
      <c r="C17856" s="0" t="n">
        <v>5483376</v>
      </c>
      <c r="D17856" s="0" t="s">
        <v>59378</v>
      </c>
      <c r="E17856" s="0" t="s">
        <v>75</v>
      </c>
      <c r="F17856" s="0" t="s">
        <v>15</v>
      </c>
      <c r="G17856" s="0" t="s">
        <v>32</v>
      </c>
      <c r="H17856" s="0" t="n">
        <v>25</v>
      </c>
      <c r="I17856" s="0" t="s">
        <v>59379</v>
      </c>
      <c r="J17856" s="0" t="s">
        <v>59380</v>
      </c>
      <c r="K17856" s="0" t="s">
        <v>59381</v>
      </c>
      <c r="L17856" s="0" t="str">
        <f aca="false">HYPERLINK("https://www.ncbi.nlm.nih.gov/nuccore/CP000058.1?report=graph&amp;tracks=[key:gene_model_track,Options:GeneOnly]&amp;mk=5483357:5483376|offset_25|00cc00,5483378:5483397|offset_46|444444,5483409:5483428|offset_77|444444,5483443:5483462|offset_111|444444&amp;v=5483156:5483662&amp;c=444444", "offset 25")</f>
        <v>offset 25</v>
      </c>
    </row>
    <row r="17857" customFormat="false" ht="12.8" hidden="false" customHeight="false" outlineLevel="0" collapsed="false">
      <c r="A17857" s="0" t="s">
        <v>12</v>
      </c>
      <c r="B17857" s="0" t="n">
        <v>5483377</v>
      </c>
      <c r="C17857" s="0" t="n">
        <v>5483397</v>
      </c>
      <c r="D17857" s="0" t="s">
        <v>59378</v>
      </c>
      <c r="E17857" s="0" t="s">
        <v>75</v>
      </c>
      <c r="F17857" s="0" t="s">
        <v>15</v>
      </c>
      <c r="G17857" s="0" t="s">
        <v>32</v>
      </c>
      <c r="H17857" s="0" t="n">
        <v>46</v>
      </c>
      <c r="I17857" s="0" t="s">
        <v>59382</v>
      </c>
      <c r="J17857" s="0" t="s">
        <v>59383</v>
      </c>
      <c r="K17857" s="0" t="s">
        <v>59384</v>
      </c>
      <c r="L17857" s="0" t="str">
        <f aca="false">HYPERLINK("https://www.ncbi.nlm.nih.gov/nuccore/CP000058.1?report=graph&amp;tracks=[key:gene_model_track,Options:GeneOnly]&amp;mk=5483357:5483376|offset_25|444444,5483378:5483397|offset_46|00cc00,5483409:5483428|offset_77|444444,5483443:5483462|offset_111|444444&amp;v=5483156:5483662&amp;c=444444", "offset 46")</f>
        <v>offset 46</v>
      </c>
    </row>
    <row r="17858" customFormat="false" ht="12.8" hidden="false" customHeight="false" outlineLevel="0" collapsed="false">
      <c r="A17858" s="0" t="s">
        <v>12</v>
      </c>
      <c r="B17858" s="0" t="n">
        <v>5483408</v>
      </c>
      <c r="C17858" s="0" t="n">
        <v>5483428</v>
      </c>
      <c r="D17858" s="0" t="s">
        <v>59378</v>
      </c>
      <c r="E17858" s="0" t="s">
        <v>75</v>
      </c>
      <c r="F17858" s="0" t="s">
        <v>15</v>
      </c>
      <c r="G17858" s="0" t="s">
        <v>36</v>
      </c>
      <c r="H17858" s="0" t="n">
        <v>77</v>
      </c>
      <c r="I17858" s="0" t="s">
        <v>59385</v>
      </c>
      <c r="J17858" s="0" t="s">
        <v>59386</v>
      </c>
      <c r="K17858" s="0" t="s">
        <v>59387</v>
      </c>
      <c r="L17858" s="0" t="str">
        <f aca="false">HYPERLINK("https://www.ncbi.nlm.nih.gov/nuccore/CP000058.1?report=graph&amp;tracks=[key:gene_model_track,Options:GeneOnly]&amp;mk=5483357:5483376|offset_25|444444,5483378:5483397|offset_46|444444,5483409:5483428|offset_77|00cc00,5483443:5483462|offset_111|444444&amp;v=5483156:5483662&amp;c=444444", "offset 77")</f>
        <v>offset 77</v>
      </c>
    </row>
    <row r="17859" customFormat="false" ht="12.8" hidden="false" customHeight="false" outlineLevel="0" collapsed="false">
      <c r="A17859" s="0" t="s">
        <v>12</v>
      </c>
      <c r="B17859" s="0" t="n">
        <v>5483442</v>
      </c>
      <c r="C17859" s="0" t="n">
        <v>5483462</v>
      </c>
      <c r="D17859" s="0" t="s">
        <v>59378</v>
      </c>
      <c r="E17859" s="0" t="s">
        <v>75</v>
      </c>
      <c r="F17859" s="0" t="s">
        <v>15</v>
      </c>
      <c r="G17859" s="0" t="s">
        <v>32</v>
      </c>
      <c r="H17859" s="0" t="n">
        <v>111</v>
      </c>
      <c r="I17859" s="0" t="s">
        <v>59388</v>
      </c>
      <c r="J17859" s="0" t="s">
        <v>59389</v>
      </c>
      <c r="K17859" s="0" t="s">
        <v>59390</v>
      </c>
      <c r="L17859" s="0" t="str">
        <f aca="false">HYPERLINK("https://www.ncbi.nlm.nih.gov/nuccore/CP000058.1?report=graph&amp;tracks=[key:gene_model_track,Options:GeneOnly]&amp;mk=5483357:5483376|offset_25|444444,5483378:5483397|offset_46|444444,5483409:5483428|offset_77|444444,5483443:5483462|offset_111|00cc00&amp;v=5483156:5483662&amp;c=444444", "offset 111")</f>
        <v>offset 111</v>
      </c>
    </row>
    <row r="17860" customFormat="false" ht="12.8" hidden="false" customHeight="false" outlineLevel="0" collapsed="false">
      <c r="A17860" s="0" t="s">
        <v>12</v>
      </c>
      <c r="B17860" s="0" t="n">
        <v>5484610</v>
      </c>
      <c r="C17860" s="0" t="n">
        <v>5484630</v>
      </c>
      <c r="D17860" s="0" t="s">
        <v>59391</v>
      </c>
      <c r="E17860" s="0" t="s">
        <v>75</v>
      </c>
      <c r="F17860" s="0" t="s">
        <v>15</v>
      </c>
      <c r="G17860" s="0" t="s">
        <v>32</v>
      </c>
      <c r="H17860" s="0" t="n">
        <v>1</v>
      </c>
      <c r="I17860" s="0" t="s">
        <v>59392</v>
      </c>
      <c r="J17860" s="0" t="s">
        <v>59393</v>
      </c>
      <c r="K17860" s="0" t="s">
        <v>59394</v>
      </c>
      <c r="L17860" s="0" t="str">
        <f aca="false">HYPERLINK("https://www.ncbi.nlm.nih.gov/nuccore/CP000058.1?report=graph&amp;tracks=[key:gene_model_track,Options:GeneOnly]&amp;mk=5484611:5484630|offset_1|00cc00,5484698:5484717|offset_88|444444,5484725:5484744|offset_115|444444,5484772:5484791|offset_162|444444&amp;v=5484410:5484991&amp;c=444444", "offset 1")</f>
        <v>offset 1</v>
      </c>
    </row>
    <row r="17861" customFormat="false" ht="12.8" hidden="false" customHeight="false" outlineLevel="0" collapsed="false">
      <c r="A17861" s="0" t="s">
        <v>12</v>
      </c>
      <c r="B17861" s="0" t="n">
        <v>5484697</v>
      </c>
      <c r="C17861" s="0" t="n">
        <v>5484717</v>
      </c>
      <c r="D17861" s="0" t="s">
        <v>59391</v>
      </c>
      <c r="E17861" s="0" t="s">
        <v>75</v>
      </c>
      <c r="F17861" s="0" t="s">
        <v>15</v>
      </c>
      <c r="G17861" s="0" t="s">
        <v>32</v>
      </c>
      <c r="H17861" s="0" t="n">
        <v>88</v>
      </c>
      <c r="I17861" s="0" t="s">
        <v>59395</v>
      </c>
      <c r="J17861" s="0" t="s">
        <v>59396</v>
      </c>
      <c r="K17861" s="0" t="s">
        <v>59397</v>
      </c>
      <c r="L17861" s="0" t="str">
        <f aca="false">HYPERLINK("https://www.ncbi.nlm.nih.gov/nuccore/CP000058.1?report=graph&amp;tracks=[key:gene_model_track,Options:GeneOnly]&amp;mk=5484611:5484630|offset_1|444444,5484698:5484717|offset_88|00cc00,5484725:5484744|offset_115|444444,5484772:5484791|offset_162|444444&amp;v=5484410:5484991&amp;c=444444", "offset 88")</f>
        <v>offset 88</v>
      </c>
    </row>
    <row r="17862" customFormat="false" ht="12.8" hidden="false" customHeight="false" outlineLevel="0" collapsed="false">
      <c r="A17862" s="0" t="s">
        <v>12</v>
      </c>
      <c r="B17862" s="0" t="n">
        <v>5484724</v>
      </c>
      <c r="C17862" s="0" t="n">
        <v>5484744</v>
      </c>
      <c r="D17862" s="0" t="s">
        <v>59391</v>
      </c>
      <c r="E17862" s="0" t="s">
        <v>75</v>
      </c>
      <c r="F17862" s="0" t="s">
        <v>15</v>
      </c>
      <c r="G17862" s="0" t="s">
        <v>16</v>
      </c>
      <c r="H17862" s="0" t="n">
        <v>115</v>
      </c>
      <c r="I17862" s="0" t="s">
        <v>59398</v>
      </c>
      <c r="J17862" s="0" t="s">
        <v>59399</v>
      </c>
      <c r="K17862" s="0" t="s">
        <v>59400</v>
      </c>
      <c r="L17862" s="0" t="str">
        <f aca="false">HYPERLINK("https://www.ncbi.nlm.nih.gov/nuccore/CP000058.1?report=graph&amp;tracks=[key:gene_model_track,Options:GeneOnly]&amp;mk=5484611:5484630|offset_1|444444,5484698:5484717|offset_88|444444,5484725:5484744|offset_115|00cc00,5484772:5484791|offset_162|444444&amp;v=5484410:5484991&amp;c=444444", "offset 115")</f>
        <v>offset 115</v>
      </c>
    </row>
    <row r="17863" customFormat="false" ht="12.8" hidden="false" customHeight="false" outlineLevel="0" collapsed="false">
      <c r="A17863" s="0" t="s">
        <v>12</v>
      </c>
      <c r="B17863" s="0" t="n">
        <v>5484771</v>
      </c>
      <c r="C17863" s="0" t="n">
        <v>5484791</v>
      </c>
      <c r="D17863" s="0" t="s">
        <v>59391</v>
      </c>
      <c r="E17863" s="0" t="s">
        <v>75</v>
      </c>
      <c r="F17863" s="0" t="s">
        <v>15</v>
      </c>
      <c r="G17863" s="0" t="s">
        <v>36</v>
      </c>
      <c r="H17863" s="0" t="n">
        <v>162</v>
      </c>
      <c r="I17863" s="0" t="s">
        <v>59401</v>
      </c>
      <c r="J17863" s="0" t="s">
        <v>59402</v>
      </c>
      <c r="K17863" s="0" t="s">
        <v>59403</v>
      </c>
      <c r="L17863" s="0" t="str">
        <f aca="false">HYPERLINK("https://www.ncbi.nlm.nih.gov/nuccore/CP000058.1?report=graph&amp;tracks=[key:gene_model_track,Options:GeneOnly]&amp;mk=5484611:5484630|offset_1|444444,5484698:5484717|offset_88|444444,5484725:5484744|offset_115|444444,5484772:5484791|offset_162|00cc00&amp;v=5484410:5484991&amp;c=444444", "offset 162")</f>
        <v>offset 162</v>
      </c>
    </row>
    <row r="17864" customFormat="false" ht="12.8" hidden="false" customHeight="false" outlineLevel="0" collapsed="false">
      <c r="A17864" s="0" t="s">
        <v>12</v>
      </c>
      <c r="B17864" s="0" t="n">
        <v>5488068</v>
      </c>
      <c r="C17864" s="0" t="n">
        <v>5488088</v>
      </c>
      <c r="D17864" s="0" t="s">
        <v>59404</v>
      </c>
      <c r="E17864" s="0" t="s">
        <v>75</v>
      </c>
      <c r="F17864" s="0" t="s">
        <v>15</v>
      </c>
      <c r="G17864" s="0" t="s">
        <v>32</v>
      </c>
      <c r="H17864" s="0" t="n">
        <v>13</v>
      </c>
      <c r="I17864" s="0" t="s">
        <v>59405</v>
      </c>
      <c r="J17864" s="0" t="s">
        <v>59406</v>
      </c>
      <c r="K17864" s="0" t="s">
        <v>59407</v>
      </c>
      <c r="L17864" s="0" t="str">
        <f aca="false">HYPERLINK("https://www.ncbi.nlm.nih.gov/nuccore/CP000058.1?report=graph&amp;tracks=[key:gene_model_track,Options:GeneOnly]&amp;mk=5488069:5488088|offset_13|00cc00,5488090:5488109|offset_34|444444,5488114:5488133|offset_58|444444,5488141:5488160|offset_85|444444&amp;v=5487868:5488360&amp;c=444444", "offset 13")</f>
        <v>offset 13</v>
      </c>
    </row>
    <row r="17865" customFormat="false" ht="12.8" hidden="false" customHeight="false" outlineLevel="0" collapsed="false">
      <c r="A17865" s="0" t="s">
        <v>12</v>
      </c>
      <c r="B17865" s="0" t="n">
        <v>5488089</v>
      </c>
      <c r="C17865" s="0" t="n">
        <v>5488109</v>
      </c>
      <c r="D17865" s="0" t="s">
        <v>59404</v>
      </c>
      <c r="E17865" s="0" t="s">
        <v>75</v>
      </c>
      <c r="F17865" s="0" t="s">
        <v>15</v>
      </c>
      <c r="G17865" s="0" t="s">
        <v>16</v>
      </c>
      <c r="H17865" s="0" t="n">
        <v>34</v>
      </c>
      <c r="I17865" s="0" t="s">
        <v>59408</v>
      </c>
      <c r="J17865" s="0" t="s">
        <v>59409</v>
      </c>
      <c r="K17865" s="0" t="s">
        <v>59410</v>
      </c>
      <c r="L17865" s="0" t="str">
        <f aca="false">HYPERLINK("https://www.ncbi.nlm.nih.gov/nuccore/CP000058.1?report=graph&amp;tracks=[key:gene_model_track,Options:GeneOnly]&amp;mk=5488069:5488088|offset_13|444444,5488090:5488109|offset_34|00cc00,5488114:5488133|offset_58|444444,5488141:5488160|offset_85|444444&amp;v=5487868:5488360&amp;c=444444", "offset 34")</f>
        <v>offset 34</v>
      </c>
    </row>
    <row r="17866" customFormat="false" ht="12.8" hidden="false" customHeight="false" outlineLevel="0" collapsed="false">
      <c r="A17866" s="0" t="s">
        <v>12</v>
      </c>
      <c r="B17866" s="0" t="n">
        <v>5488113</v>
      </c>
      <c r="C17866" s="0" t="n">
        <v>5488133</v>
      </c>
      <c r="D17866" s="0" t="s">
        <v>59404</v>
      </c>
      <c r="E17866" s="0" t="s">
        <v>75</v>
      </c>
      <c r="F17866" s="0" t="s">
        <v>15</v>
      </c>
      <c r="G17866" s="0" t="s">
        <v>36</v>
      </c>
      <c r="H17866" s="0" t="n">
        <v>58</v>
      </c>
      <c r="I17866" s="0" t="s">
        <v>59411</v>
      </c>
      <c r="J17866" s="0" t="s">
        <v>59412</v>
      </c>
      <c r="K17866" s="0" t="s">
        <v>59413</v>
      </c>
      <c r="L17866" s="0" t="str">
        <f aca="false">HYPERLINK("https://www.ncbi.nlm.nih.gov/nuccore/CP000058.1?report=graph&amp;tracks=[key:gene_model_track,Options:GeneOnly]&amp;mk=5488069:5488088|offset_13|444444,5488090:5488109|offset_34|444444,5488114:5488133|offset_58|00cc00,5488141:5488160|offset_85|444444&amp;v=5487868:5488360&amp;c=444444", "offset 58")</f>
        <v>offset 58</v>
      </c>
    </row>
    <row r="17867" customFormat="false" ht="12.8" hidden="false" customHeight="false" outlineLevel="0" collapsed="false">
      <c r="A17867" s="0" t="s">
        <v>12</v>
      </c>
      <c r="B17867" s="0" t="n">
        <v>5488140</v>
      </c>
      <c r="C17867" s="0" t="n">
        <v>5488160</v>
      </c>
      <c r="D17867" s="0" t="s">
        <v>59404</v>
      </c>
      <c r="E17867" s="0" t="s">
        <v>75</v>
      </c>
      <c r="F17867" s="0" t="s">
        <v>15</v>
      </c>
      <c r="G17867" s="0" t="s">
        <v>16</v>
      </c>
      <c r="H17867" s="0" t="n">
        <v>85</v>
      </c>
      <c r="I17867" s="0" t="s">
        <v>59414</v>
      </c>
      <c r="J17867" s="0" t="s">
        <v>59415</v>
      </c>
      <c r="K17867" s="0" t="s">
        <v>59416</v>
      </c>
      <c r="L17867" s="0" t="str">
        <f aca="false">HYPERLINK("https://www.ncbi.nlm.nih.gov/nuccore/CP000058.1?report=graph&amp;tracks=[key:gene_model_track,Options:GeneOnly]&amp;mk=5488069:5488088|offset_13|444444,5488090:5488109|offset_34|444444,5488114:5488133|offset_58|444444,5488141:5488160|offset_85|00cc00&amp;v=5487868:5488360&amp;c=444444", "offset 85")</f>
        <v>offset 85</v>
      </c>
    </row>
    <row r="17868" customFormat="false" ht="12.8" hidden="false" customHeight="false" outlineLevel="0" collapsed="false">
      <c r="A17868" s="0" t="s">
        <v>12</v>
      </c>
      <c r="B17868" s="0" t="n">
        <v>5488768</v>
      </c>
      <c r="C17868" s="0" t="n">
        <v>5488788</v>
      </c>
      <c r="D17868" s="0" t="s">
        <v>59417</v>
      </c>
      <c r="E17868" s="0" t="s">
        <v>75</v>
      </c>
      <c r="F17868" s="0" t="s">
        <v>15</v>
      </c>
      <c r="G17868" s="0" t="s">
        <v>16</v>
      </c>
      <c r="H17868" s="0" t="n">
        <v>13</v>
      </c>
      <c r="I17868" s="0" t="s">
        <v>59418</v>
      </c>
      <c r="J17868" s="0" t="s">
        <v>59419</v>
      </c>
      <c r="K17868" s="0" t="s">
        <v>59420</v>
      </c>
      <c r="L17868" s="0" t="str">
        <f aca="false">HYPERLINK("https://www.ncbi.nlm.nih.gov/nuccore/CP000058.1?report=graph&amp;tracks=[key:gene_model_track,Options:GeneOnly]&amp;mk=5488769:5488788|offset_13|00cc00,5488799:5488818|offset_43|444444,5488868:5488887|offset_112|444444,5488904:5488923|offset_148|444444&amp;v=5488568:5489123&amp;c=444444", "offset 13")</f>
        <v>offset 13</v>
      </c>
    </row>
    <row r="17869" customFormat="false" ht="12.8" hidden="false" customHeight="false" outlineLevel="0" collapsed="false">
      <c r="A17869" s="0" t="s">
        <v>12</v>
      </c>
      <c r="B17869" s="0" t="n">
        <v>5488798</v>
      </c>
      <c r="C17869" s="0" t="n">
        <v>5488818</v>
      </c>
      <c r="D17869" s="0" t="s">
        <v>59417</v>
      </c>
      <c r="E17869" s="0" t="s">
        <v>75</v>
      </c>
      <c r="F17869" s="0" t="s">
        <v>15</v>
      </c>
      <c r="G17869" s="0" t="s">
        <v>16</v>
      </c>
      <c r="H17869" s="0" t="n">
        <v>43</v>
      </c>
      <c r="I17869" s="0" t="s">
        <v>59421</v>
      </c>
      <c r="J17869" s="0" t="s">
        <v>59422</v>
      </c>
      <c r="K17869" s="0" t="s">
        <v>59423</v>
      </c>
      <c r="L17869" s="0" t="str">
        <f aca="false">HYPERLINK("https://www.ncbi.nlm.nih.gov/nuccore/CP000058.1?report=graph&amp;tracks=[key:gene_model_track,Options:GeneOnly]&amp;mk=5488769:5488788|offset_13|444444,5488799:5488818|offset_43|00cc00,5488868:5488887|offset_112|444444,5488904:5488923|offset_148|444444&amp;v=5488568:5489123&amp;c=444444", "offset 43")</f>
        <v>offset 43</v>
      </c>
    </row>
    <row r="17870" customFormat="false" ht="12.8" hidden="false" customHeight="false" outlineLevel="0" collapsed="false">
      <c r="A17870" s="0" t="s">
        <v>12</v>
      </c>
      <c r="B17870" s="0" t="n">
        <v>5488867</v>
      </c>
      <c r="C17870" s="0" t="n">
        <v>5488887</v>
      </c>
      <c r="D17870" s="0" t="s">
        <v>59417</v>
      </c>
      <c r="E17870" s="0" t="s">
        <v>75</v>
      </c>
      <c r="F17870" s="0" t="s">
        <v>15</v>
      </c>
      <c r="G17870" s="0" t="s">
        <v>16</v>
      </c>
      <c r="H17870" s="0" t="n">
        <v>112</v>
      </c>
      <c r="I17870" s="0" t="s">
        <v>59424</v>
      </c>
      <c r="J17870" s="0" t="s">
        <v>59425</v>
      </c>
      <c r="K17870" s="0" t="s">
        <v>59426</v>
      </c>
      <c r="L17870" s="0" t="str">
        <f aca="false">HYPERLINK("https://www.ncbi.nlm.nih.gov/nuccore/CP000058.1?report=graph&amp;tracks=[key:gene_model_track,Options:GeneOnly]&amp;mk=5488769:5488788|offset_13|444444,5488799:5488818|offset_43|444444,5488868:5488887|offset_112|00cc00,5488904:5488923|offset_148|444444&amp;v=5488568:5489123&amp;c=444444", "offset 112")</f>
        <v>offset 112</v>
      </c>
    </row>
    <row r="17871" customFormat="false" ht="12.8" hidden="false" customHeight="false" outlineLevel="0" collapsed="false">
      <c r="A17871" s="0" t="s">
        <v>12</v>
      </c>
      <c r="B17871" s="0" t="n">
        <v>5488903</v>
      </c>
      <c r="C17871" s="0" t="n">
        <v>5488923</v>
      </c>
      <c r="D17871" s="0" t="s">
        <v>59417</v>
      </c>
      <c r="E17871" s="0" t="s">
        <v>75</v>
      </c>
      <c r="F17871" s="0" t="s">
        <v>15</v>
      </c>
      <c r="G17871" s="0" t="s">
        <v>32</v>
      </c>
      <c r="H17871" s="0" t="n">
        <v>148</v>
      </c>
      <c r="I17871" s="0" t="s">
        <v>59427</v>
      </c>
      <c r="J17871" s="0" t="s">
        <v>59428</v>
      </c>
      <c r="K17871" s="0" t="s">
        <v>59429</v>
      </c>
      <c r="L17871" s="0" t="str">
        <f aca="false">HYPERLINK("https://www.ncbi.nlm.nih.gov/nuccore/CP000058.1?report=graph&amp;tracks=[key:gene_model_track,Options:GeneOnly]&amp;mk=5488769:5488788|offset_13|444444,5488799:5488818|offset_43|444444,5488868:5488887|offset_112|444444,5488904:5488923|offset_148|00cc00&amp;v=5488568:5489123&amp;c=444444", "offset 148")</f>
        <v>offset 148</v>
      </c>
    </row>
    <row r="17872" customFormat="false" ht="12.8" hidden="false" customHeight="false" outlineLevel="0" collapsed="false">
      <c r="A17872" s="0" t="s">
        <v>12</v>
      </c>
      <c r="B17872" s="0" t="n">
        <v>5493738</v>
      </c>
      <c r="C17872" s="0" t="n">
        <v>5493758</v>
      </c>
      <c r="D17872" s="0" t="s">
        <v>59430</v>
      </c>
      <c r="E17872" s="0" t="s">
        <v>75</v>
      </c>
      <c r="F17872" s="0" t="s">
        <v>15</v>
      </c>
      <c r="G17872" s="0" t="s">
        <v>16</v>
      </c>
      <c r="H17872" s="0" t="n">
        <v>155</v>
      </c>
      <c r="I17872" s="0" t="s">
        <v>59431</v>
      </c>
      <c r="J17872" s="0" t="s">
        <v>59432</v>
      </c>
      <c r="K17872" s="0" t="s">
        <v>59433</v>
      </c>
      <c r="L17872" s="0" t="str">
        <f aca="false">HYPERLINK("https://www.ncbi.nlm.nih.gov/nuccore/CP000058.1?report=graph&amp;tracks=[key:gene_model_track,Options:GeneOnly]&amp;mk=5493739:5493758|offset_155|00cc00,5493897:5493916|offset_313|444444,5493945:5493964|offset_361|444444,5493967:5493986|offset_383|444444&amp;v=5493538:5494186&amp;c=444444", "offset 155")</f>
        <v>offset 155</v>
      </c>
    </row>
    <row r="17873" customFormat="false" ht="12.8" hidden="false" customHeight="false" outlineLevel="0" collapsed="false">
      <c r="A17873" s="0" t="s">
        <v>12</v>
      </c>
      <c r="B17873" s="0" t="n">
        <v>5493896</v>
      </c>
      <c r="C17873" s="0" t="n">
        <v>5493916</v>
      </c>
      <c r="D17873" s="0" t="s">
        <v>59430</v>
      </c>
      <c r="E17873" s="0" t="s">
        <v>75</v>
      </c>
      <c r="F17873" s="0" t="s">
        <v>15</v>
      </c>
      <c r="G17873" s="0" t="s">
        <v>32</v>
      </c>
      <c r="H17873" s="0" t="n">
        <v>313</v>
      </c>
      <c r="I17873" s="0" t="s">
        <v>59434</v>
      </c>
      <c r="J17873" s="0" t="s">
        <v>59435</v>
      </c>
      <c r="K17873" s="0" t="s">
        <v>59436</v>
      </c>
      <c r="L17873" s="0" t="str">
        <f aca="false">HYPERLINK("https://www.ncbi.nlm.nih.gov/nuccore/CP000058.1?report=graph&amp;tracks=[key:gene_model_track,Options:GeneOnly]&amp;mk=5493739:5493758|offset_155|444444,5493897:5493916|offset_313|00cc00,5493945:5493964|offset_361|444444,5493967:5493986|offset_383|444444&amp;v=5493538:5494186&amp;c=444444", "offset 313")</f>
        <v>offset 313</v>
      </c>
    </row>
    <row r="17874" customFormat="false" ht="12.8" hidden="false" customHeight="false" outlineLevel="0" collapsed="false">
      <c r="A17874" s="0" t="s">
        <v>12</v>
      </c>
      <c r="B17874" s="0" t="n">
        <v>5493944</v>
      </c>
      <c r="C17874" s="0" t="n">
        <v>5493964</v>
      </c>
      <c r="D17874" s="0" t="s">
        <v>59430</v>
      </c>
      <c r="E17874" s="0" t="s">
        <v>75</v>
      </c>
      <c r="F17874" s="0" t="s">
        <v>15</v>
      </c>
      <c r="G17874" s="0" t="s">
        <v>16</v>
      </c>
      <c r="H17874" s="0" t="n">
        <v>361</v>
      </c>
      <c r="I17874" s="0" t="s">
        <v>59437</v>
      </c>
      <c r="J17874" s="0" t="s">
        <v>59438</v>
      </c>
      <c r="K17874" s="0" t="s">
        <v>59439</v>
      </c>
      <c r="L17874" s="0" t="str">
        <f aca="false">HYPERLINK("https://www.ncbi.nlm.nih.gov/nuccore/CP000058.1?report=graph&amp;tracks=[key:gene_model_track,Options:GeneOnly]&amp;mk=5493739:5493758|offset_155|444444,5493897:5493916|offset_313|444444,5493945:5493964|offset_361|00cc00,5493967:5493986|offset_383|444444&amp;v=5493538:5494186&amp;c=444444", "offset 361")</f>
        <v>offset 361</v>
      </c>
    </row>
    <row r="17875" customFormat="false" ht="12.8" hidden="false" customHeight="false" outlineLevel="0" collapsed="false">
      <c r="A17875" s="0" t="s">
        <v>12</v>
      </c>
      <c r="B17875" s="0" t="n">
        <v>5493966</v>
      </c>
      <c r="C17875" s="0" t="n">
        <v>5493986</v>
      </c>
      <c r="D17875" s="0" t="s">
        <v>59430</v>
      </c>
      <c r="E17875" s="0" t="s">
        <v>75</v>
      </c>
      <c r="F17875" s="0" t="s">
        <v>15</v>
      </c>
      <c r="G17875" s="0" t="s">
        <v>32</v>
      </c>
      <c r="H17875" s="0" t="n">
        <v>383</v>
      </c>
      <c r="I17875" s="0" t="s">
        <v>59440</v>
      </c>
      <c r="J17875" s="0" t="s">
        <v>59441</v>
      </c>
      <c r="K17875" s="0" t="s">
        <v>59442</v>
      </c>
      <c r="L17875" s="0" t="str">
        <f aca="false">HYPERLINK("https://www.ncbi.nlm.nih.gov/nuccore/CP000058.1?report=graph&amp;tracks=[key:gene_model_track,Options:GeneOnly]&amp;mk=5493739:5493758|offset_155|444444,5493897:5493916|offset_313|444444,5493945:5493964|offset_361|444444,5493967:5493986|offset_383|00cc00&amp;v=5493538:5494186&amp;c=444444", "offset 383")</f>
        <v>offset 383</v>
      </c>
    </row>
    <row r="17876" customFormat="false" ht="12.8" hidden="false" customHeight="false" outlineLevel="0" collapsed="false">
      <c r="A17876" s="0" t="s">
        <v>12</v>
      </c>
      <c r="B17876" s="0" t="n">
        <v>5498366</v>
      </c>
      <c r="C17876" s="0" t="n">
        <v>5498386</v>
      </c>
      <c r="D17876" s="0" t="s">
        <v>59443</v>
      </c>
      <c r="E17876" s="0" t="s">
        <v>75</v>
      </c>
      <c r="F17876" s="0" t="s">
        <v>90</v>
      </c>
      <c r="G17876" s="0" t="s">
        <v>16</v>
      </c>
      <c r="H17876" s="0" t="n">
        <v>34</v>
      </c>
      <c r="I17876" s="0" t="s">
        <v>59444</v>
      </c>
      <c r="J17876" s="0" t="s">
        <v>59445</v>
      </c>
      <c r="K17876" s="0" t="s">
        <v>59446</v>
      </c>
      <c r="L17876" s="0" t="str">
        <f aca="false">HYPERLINK("https://www.ncbi.nlm.nih.gov/nuccore/CP000058.1?report=graph&amp;tracks=[key:gene_model_track,Options:GeneOnly]&amp;mk=5498367:5498386|offset_34|00cc00,5498340:5498359|offset_61|444444,5498241:5498260|offset_160|444444,5498211:5498230|offset_190|444444&amp;v=5498166:5498430&amp;c=444444", "offset 34")</f>
        <v>offset 34</v>
      </c>
    </row>
    <row r="17877" customFormat="false" ht="12.8" hidden="false" customHeight="false" outlineLevel="0" collapsed="false">
      <c r="A17877" s="0" t="s">
        <v>12</v>
      </c>
      <c r="B17877" s="0" t="n">
        <v>5498339</v>
      </c>
      <c r="C17877" s="0" t="n">
        <v>5498359</v>
      </c>
      <c r="D17877" s="0" t="s">
        <v>59443</v>
      </c>
      <c r="E17877" s="0" t="s">
        <v>75</v>
      </c>
      <c r="F17877" s="0" t="s">
        <v>90</v>
      </c>
      <c r="G17877" s="0" t="s">
        <v>20</v>
      </c>
      <c r="H17877" s="0" t="n">
        <v>61</v>
      </c>
      <c r="I17877" s="0" t="s">
        <v>59447</v>
      </c>
      <c r="J17877" s="0" t="s">
        <v>59448</v>
      </c>
      <c r="K17877" s="0" t="s">
        <v>59449</v>
      </c>
      <c r="L17877" s="0" t="str">
        <f aca="false">HYPERLINK("https://www.ncbi.nlm.nih.gov/nuccore/CP000058.1?report=graph&amp;tracks=[key:gene_model_track,Options:GeneOnly]&amp;mk=5498367:5498386|offset_34|444444,5498340:5498359|offset_61|00cc00,5498241:5498260|offset_160|444444,5498211:5498230|offset_190|444444&amp;v=5498166:5498430&amp;c=444444", "offset 61")</f>
        <v>offset 61</v>
      </c>
    </row>
    <row r="17878" customFormat="false" ht="12.8" hidden="false" customHeight="false" outlineLevel="0" collapsed="false">
      <c r="A17878" s="0" t="s">
        <v>12</v>
      </c>
      <c r="B17878" s="0" t="n">
        <v>5498240</v>
      </c>
      <c r="C17878" s="0" t="n">
        <v>5498260</v>
      </c>
      <c r="D17878" s="0" t="s">
        <v>59443</v>
      </c>
      <c r="E17878" s="0" t="s">
        <v>75</v>
      </c>
      <c r="F17878" s="0" t="s">
        <v>90</v>
      </c>
      <c r="G17878" s="0" t="s">
        <v>16</v>
      </c>
      <c r="H17878" s="0" t="n">
        <v>160</v>
      </c>
      <c r="I17878" s="0" t="s">
        <v>59450</v>
      </c>
      <c r="J17878" s="0" t="s">
        <v>59451</v>
      </c>
      <c r="K17878" s="0" t="s">
        <v>59452</v>
      </c>
      <c r="L17878" s="0" t="str">
        <f aca="false">HYPERLINK("https://www.ncbi.nlm.nih.gov/nuccore/CP000058.1?report=graph&amp;tracks=[key:gene_model_track,Options:GeneOnly]&amp;mk=5498367:5498386|offset_34|444444,5498340:5498359|offset_61|444444,5498241:5498260|offset_160|00cc00,5498211:5498230|offset_190|444444&amp;v=5498166:5498430&amp;c=444444", "offset 160")</f>
        <v>offset 160</v>
      </c>
    </row>
    <row r="17879" customFormat="false" ht="12.8" hidden="false" customHeight="false" outlineLevel="0" collapsed="false">
      <c r="A17879" s="0" t="s">
        <v>12</v>
      </c>
      <c r="B17879" s="0" t="n">
        <v>5498210</v>
      </c>
      <c r="C17879" s="0" t="n">
        <v>5498230</v>
      </c>
      <c r="D17879" s="0" t="s">
        <v>59443</v>
      </c>
      <c r="E17879" s="0" t="s">
        <v>75</v>
      </c>
      <c r="F17879" s="0" t="s">
        <v>90</v>
      </c>
      <c r="G17879" s="0" t="s">
        <v>32</v>
      </c>
      <c r="H17879" s="0" t="n">
        <v>190</v>
      </c>
      <c r="I17879" s="0" t="s">
        <v>59453</v>
      </c>
      <c r="J17879" s="0" t="s">
        <v>59454</v>
      </c>
      <c r="K17879" s="0" t="s">
        <v>59455</v>
      </c>
      <c r="L17879" s="0" t="str">
        <f aca="false">HYPERLINK("https://www.ncbi.nlm.nih.gov/nuccore/CP000058.1?report=graph&amp;tracks=[key:gene_model_track,Options:GeneOnly]&amp;mk=5498367:5498386|offset_34|444444,5498340:5498359|offset_61|444444,5498241:5498260|offset_160|444444,5498211:5498230|offset_190|00cc00&amp;v=5498166:5498430&amp;c=444444", "offset 190")</f>
        <v>offset 190</v>
      </c>
    </row>
    <row r="17880" customFormat="false" ht="12.8" hidden="false" customHeight="false" outlineLevel="0" collapsed="false">
      <c r="A17880" s="0" t="s">
        <v>12</v>
      </c>
      <c r="B17880" s="0" t="n">
        <v>5498650</v>
      </c>
      <c r="C17880" s="0" t="n">
        <v>5498670</v>
      </c>
      <c r="D17880" s="0" t="s">
        <v>59456</v>
      </c>
      <c r="E17880" s="0" t="s">
        <v>75</v>
      </c>
      <c r="F17880" s="0" t="s">
        <v>15</v>
      </c>
      <c r="G17880" s="0" t="s">
        <v>16</v>
      </c>
      <c r="H17880" s="0" t="n">
        <v>10</v>
      </c>
      <c r="I17880" s="0" t="s">
        <v>59457</v>
      </c>
      <c r="J17880" s="0" t="s">
        <v>59458</v>
      </c>
      <c r="K17880" s="0" t="s">
        <v>59459</v>
      </c>
      <c r="L17880" s="0" t="str">
        <f aca="false">HYPERLINK("https://www.ncbi.nlm.nih.gov/nuccore/CP000058.1?report=graph&amp;tracks=[key:gene_model_track,Options:GeneOnly]&amp;mk=5498651:5498670|offset_10|00cc00,5498689:5498708|offset_48|444444,5498711:5498730|offset_70|444444,5498732:5498751|offset_91|444444&amp;v=5498450:5498951&amp;c=444444", "offset 10")</f>
        <v>offset 10</v>
      </c>
    </row>
    <row r="17881" customFormat="false" ht="12.8" hidden="false" customHeight="false" outlineLevel="0" collapsed="false">
      <c r="A17881" s="0" t="s">
        <v>12</v>
      </c>
      <c r="B17881" s="0" t="n">
        <v>5498688</v>
      </c>
      <c r="C17881" s="0" t="n">
        <v>5498708</v>
      </c>
      <c r="D17881" s="0" t="s">
        <v>59456</v>
      </c>
      <c r="E17881" s="0" t="s">
        <v>75</v>
      </c>
      <c r="F17881" s="0" t="s">
        <v>15</v>
      </c>
      <c r="G17881" s="0" t="s">
        <v>32</v>
      </c>
      <c r="H17881" s="0" t="n">
        <v>48</v>
      </c>
      <c r="I17881" s="0" t="s">
        <v>59460</v>
      </c>
      <c r="J17881" s="0" t="s">
        <v>59461</v>
      </c>
      <c r="K17881" s="0" t="s">
        <v>59462</v>
      </c>
      <c r="L17881" s="0" t="str">
        <f aca="false">HYPERLINK("https://www.ncbi.nlm.nih.gov/nuccore/CP000058.1?report=graph&amp;tracks=[key:gene_model_track,Options:GeneOnly]&amp;mk=5498651:5498670|offset_10|444444,5498689:5498708|offset_48|00cc00,5498711:5498730|offset_70|444444,5498732:5498751|offset_91|444444&amp;v=5498450:5498951&amp;c=444444", "offset 48")</f>
        <v>offset 48</v>
      </c>
    </row>
    <row r="17882" customFormat="false" ht="12.8" hidden="false" customHeight="false" outlineLevel="0" collapsed="false">
      <c r="A17882" s="0" t="s">
        <v>12</v>
      </c>
      <c r="B17882" s="0" t="n">
        <v>5498710</v>
      </c>
      <c r="C17882" s="0" t="n">
        <v>5498730</v>
      </c>
      <c r="D17882" s="0" t="s">
        <v>59456</v>
      </c>
      <c r="E17882" s="0" t="s">
        <v>75</v>
      </c>
      <c r="F17882" s="0" t="s">
        <v>15</v>
      </c>
      <c r="G17882" s="0" t="s">
        <v>32</v>
      </c>
      <c r="H17882" s="0" t="n">
        <v>70</v>
      </c>
      <c r="I17882" s="0" t="s">
        <v>59463</v>
      </c>
      <c r="J17882" s="0" t="s">
        <v>59464</v>
      </c>
      <c r="K17882" s="0" t="s">
        <v>59465</v>
      </c>
      <c r="L17882" s="0" t="str">
        <f aca="false">HYPERLINK("https://www.ncbi.nlm.nih.gov/nuccore/CP000058.1?report=graph&amp;tracks=[key:gene_model_track,Options:GeneOnly]&amp;mk=5498651:5498670|offset_10|444444,5498689:5498708|offset_48|444444,5498711:5498730|offset_70|00cc00,5498732:5498751|offset_91|444444&amp;v=5498450:5498951&amp;c=444444", "offset 70")</f>
        <v>offset 70</v>
      </c>
    </row>
    <row r="17883" customFormat="false" ht="12.8" hidden="false" customHeight="false" outlineLevel="0" collapsed="false">
      <c r="A17883" s="0" t="s">
        <v>12</v>
      </c>
      <c r="B17883" s="0" t="n">
        <v>5498731</v>
      </c>
      <c r="C17883" s="0" t="n">
        <v>5498751</v>
      </c>
      <c r="D17883" s="0" t="s">
        <v>59456</v>
      </c>
      <c r="E17883" s="0" t="s">
        <v>75</v>
      </c>
      <c r="F17883" s="0" t="s">
        <v>15</v>
      </c>
      <c r="G17883" s="0" t="s">
        <v>32</v>
      </c>
      <c r="H17883" s="0" t="n">
        <v>91</v>
      </c>
      <c r="I17883" s="0" t="s">
        <v>59466</v>
      </c>
      <c r="J17883" s="0" t="s">
        <v>59467</v>
      </c>
      <c r="K17883" s="0" t="s">
        <v>59468</v>
      </c>
      <c r="L17883" s="0" t="str">
        <f aca="false">HYPERLINK("https://www.ncbi.nlm.nih.gov/nuccore/CP000058.1?report=graph&amp;tracks=[key:gene_model_track,Options:GeneOnly]&amp;mk=5498651:5498670|offset_10|444444,5498689:5498708|offset_48|444444,5498711:5498730|offset_70|444444,5498732:5498751|offset_91|00cc00&amp;v=5498450:5498951&amp;c=444444", "offset 91")</f>
        <v>offset 91</v>
      </c>
    </row>
    <row r="17884" customFormat="false" ht="12.8" hidden="false" customHeight="false" outlineLevel="0" collapsed="false">
      <c r="A17884" s="0" t="s">
        <v>12</v>
      </c>
      <c r="B17884" s="0" t="n">
        <v>5499281</v>
      </c>
      <c r="C17884" s="0" t="n">
        <v>5499301</v>
      </c>
      <c r="D17884" s="0" t="s">
        <v>59469</v>
      </c>
      <c r="E17884" s="0" t="s">
        <v>75</v>
      </c>
      <c r="F17884" s="0" t="s">
        <v>15</v>
      </c>
      <c r="G17884" s="0" t="s">
        <v>20</v>
      </c>
      <c r="H17884" s="0" t="n">
        <v>32</v>
      </c>
      <c r="I17884" s="0" t="s">
        <v>59470</v>
      </c>
      <c r="J17884" s="0" t="s">
        <v>59471</v>
      </c>
      <c r="K17884" s="0" t="s">
        <v>59472</v>
      </c>
      <c r="L17884" s="0" t="str">
        <f aca="false">HYPERLINK("https://www.ncbi.nlm.nih.gov/nuccore/CP000058.1?report=graph&amp;tracks=[key:gene_model_track,Options:GeneOnly]&amp;mk=5499282:5499301|offset_32|00cc00,5499328:5499347|offset_78|444444,5499353:5499372|offset_103|444444,5499403:5499422|offset_153|444444&amp;v=5499081:5499622&amp;c=444444", "offset 32")</f>
        <v>offset 32</v>
      </c>
    </row>
    <row r="17885" customFormat="false" ht="12.8" hidden="false" customHeight="false" outlineLevel="0" collapsed="false">
      <c r="A17885" s="0" t="s">
        <v>12</v>
      </c>
      <c r="B17885" s="0" t="n">
        <v>5499327</v>
      </c>
      <c r="C17885" s="0" t="n">
        <v>5499347</v>
      </c>
      <c r="D17885" s="0" t="s">
        <v>59469</v>
      </c>
      <c r="E17885" s="0" t="s">
        <v>75</v>
      </c>
      <c r="F17885" s="0" t="s">
        <v>15</v>
      </c>
      <c r="G17885" s="0" t="s">
        <v>16</v>
      </c>
      <c r="H17885" s="0" t="n">
        <v>78</v>
      </c>
      <c r="I17885" s="0" t="s">
        <v>59473</v>
      </c>
      <c r="J17885" s="0" t="s">
        <v>59474</v>
      </c>
      <c r="K17885" s="0" t="s">
        <v>59475</v>
      </c>
      <c r="L17885" s="0" t="str">
        <f aca="false">HYPERLINK("https://www.ncbi.nlm.nih.gov/nuccore/CP000058.1?report=graph&amp;tracks=[key:gene_model_track,Options:GeneOnly]&amp;mk=5499282:5499301|offset_32|444444,5499328:5499347|offset_78|00cc00,5499353:5499372|offset_103|444444,5499403:5499422|offset_153|444444&amp;v=5499081:5499622&amp;c=444444", "offset 78")</f>
        <v>offset 78</v>
      </c>
    </row>
    <row r="17886" customFormat="false" ht="12.8" hidden="false" customHeight="false" outlineLevel="0" collapsed="false">
      <c r="A17886" s="0" t="s">
        <v>12</v>
      </c>
      <c r="B17886" s="0" t="n">
        <v>5499352</v>
      </c>
      <c r="C17886" s="0" t="n">
        <v>5499372</v>
      </c>
      <c r="D17886" s="0" t="s">
        <v>59469</v>
      </c>
      <c r="E17886" s="0" t="s">
        <v>75</v>
      </c>
      <c r="F17886" s="0" t="s">
        <v>15</v>
      </c>
      <c r="G17886" s="0" t="s">
        <v>16</v>
      </c>
      <c r="H17886" s="0" t="n">
        <v>103</v>
      </c>
      <c r="I17886" s="0" t="s">
        <v>59476</v>
      </c>
      <c r="J17886" s="0" t="s">
        <v>59477</v>
      </c>
      <c r="K17886" s="0" t="s">
        <v>59478</v>
      </c>
      <c r="L17886" s="0" t="str">
        <f aca="false">HYPERLINK("https://www.ncbi.nlm.nih.gov/nuccore/CP000058.1?report=graph&amp;tracks=[key:gene_model_track,Options:GeneOnly]&amp;mk=5499282:5499301|offset_32|444444,5499328:5499347|offset_78|444444,5499353:5499372|offset_103|00cc00,5499403:5499422|offset_153|444444&amp;v=5499081:5499622&amp;c=444444", "offset 103")</f>
        <v>offset 103</v>
      </c>
    </row>
    <row r="17887" customFormat="false" ht="12.8" hidden="false" customHeight="false" outlineLevel="0" collapsed="false">
      <c r="A17887" s="0" t="s">
        <v>12</v>
      </c>
      <c r="B17887" s="0" t="n">
        <v>5499402</v>
      </c>
      <c r="C17887" s="0" t="n">
        <v>5499422</v>
      </c>
      <c r="D17887" s="0" t="s">
        <v>59469</v>
      </c>
      <c r="E17887" s="0" t="s">
        <v>75</v>
      </c>
      <c r="F17887" s="0" t="s">
        <v>15</v>
      </c>
      <c r="G17887" s="0" t="s">
        <v>36</v>
      </c>
      <c r="H17887" s="0" t="n">
        <v>153</v>
      </c>
      <c r="I17887" s="0" t="s">
        <v>59479</v>
      </c>
      <c r="J17887" s="0" t="s">
        <v>59480</v>
      </c>
      <c r="K17887" s="0" t="s">
        <v>59481</v>
      </c>
      <c r="L17887" s="0" t="str">
        <f aca="false">HYPERLINK("https://www.ncbi.nlm.nih.gov/nuccore/CP000058.1?report=graph&amp;tracks=[key:gene_model_track,Options:GeneOnly]&amp;mk=5499282:5499301|offset_32|444444,5499328:5499347|offset_78|444444,5499353:5499372|offset_103|444444,5499403:5499422|offset_153|00cc00&amp;v=5499081:5499622&amp;c=444444", "offset 153")</f>
        <v>offset 153</v>
      </c>
    </row>
    <row r="17888" customFormat="false" ht="12.8" hidden="false" customHeight="false" outlineLevel="0" collapsed="false">
      <c r="A17888" s="0" t="s">
        <v>12</v>
      </c>
      <c r="B17888" s="0" t="n">
        <v>5501383</v>
      </c>
      <c r="C17888" s="0" t="n">
        <v>5501403</v>
      </c>
      <c r="D17888" s="0" t="s">
        <v>59482</v>
      </c>
      <c r="E17888" s="0" t="s">
        <v>75</v>
      </c>
      <c r="F17888" s="0" t="s">
        <v>90</v>
      </c>
      <c r="G17888" s="0" t="s">
        <v>20</v>
      </c>
      <c r="H17888" s="0" t="n">
        <v>6</v>
      </c>
      <c r="I17888" s="0" t="s">
        <v>59483</v>
      </c>
      <c r="J17888" s="0" t="s">
        <v>59484</v>
      </c>
      <c r="K17888" s="0" t="s">
        <v>59485</v>
      </c>
      <c r="L17888" s="0" t="str">
        <f aca="false">HYPERLINK("https://www.ncbi.nlm.nih.gov/nuccore/CP000058.1?report=graph&amp;tracks=[key:gene_model_track,Options:GeneOnly]&amp;mk=5501384:5501403|offset_6|00cc00,5501351:5501370|offset_39|444444,5501328:5501347|offset_62|444444,5501285:5501304|offset_105|444444&amp;v=5501183:5501504&amp;c=444444", "offset 6")</f>
        <v>offset 6</v>
      </c>
    </row>
    <row r="17889" customFormat="false" ht="12.8" hidden="false" customHeight="false" outlineLevel="0" collapsed="false">
      <c r="A17889" s="0" t="s">
        <v>12</v>
      </c>
      <c r="B17889" s="0" t="n">
        <v>5501350</v>
      </c>
      <c r="C17889" s="0" t="n">
        <v>5501370</v>
      </c>
      <c r="D17889" s="0" t="s">
        <v>59482</v>
      </c>
      <c r="E17889" s="0" t="s">
        <v>75</v>
      </c>
      <c r="F17889" s="0" t="s">
        <v>90</v>
      </c>
      <c r="G17889" s="0" t="s">
        <v>36</v>
      </c>
      <c r="H17889" s="0" t="n">
        <v>39</v>
      </c>
      <c r="I17889" s="0" t="s">
        <v>59486</v>
      </c>
      <c r="J17889" s="0" t="s">
        <v>59487</v>
      </c>
      <c r="K17889" s="0" t="s">
        <v>59488</v>
      </c>
      <c r="L17889" s="0" t="str">
        <f aca="false">HYPERLINK("https://www.ncbi.nlm.nih.gov/nuccore/CP000058.1?report=graph&amp;tracks=[key:gene_model_track,Options:GeneOnly]&amp;mk=5501384:5501403|offset_6|444444,5501351:5501370|offset_39|00cc00,5501328:5501347|offset_62|444444,5501285:5501304|offset_105|444444&amp;v=5501183:5501504&amp;c=444444", "offset 39")</f>
        <v>offset 39</v>
      </c>
    </row>
    <row r="17890" customFormat="false" ht="12.8" hidden="false" customHeight="false" outlineLevel="0" collapsed="false">
      <c r="A17890" s="0" t="s">
        <v>12</v>
      </c>
      <c r="B17890" s="0" t="n">
        <v>5501327</v>
      </c>
      <c r="C17890" s="0" t="n">
        <v>5501347</v>
      </c>
      <c r="D17890" s="0" t="s">
        <v>59482</v>
      </c>
      <c r="E17890" s="0" t="s">
        <v>75</v>
      </c>
      <c r="F17890" s="0" t="s">
        <v>90</v>
      </c>
      <c r="G17890" s="0" t="s">
        <v>36</v>
      </c>
      <c r="H17890" s="0" t="n">
        <v>62</v>
      </c>
      <c r="I17890" s="0" t="s">
        <v>59489</v>
      </c>
      <c r="J17890" s="0" t="s">
        <v>59490</v>
      </c>
      <c r="K17890" s="0" t="s">
        <v>59491</v>
      </c>
      <c r="L17890" s="0" t="str">
        <f aca="false">HYPERLINK("https://www.ncbi.nlm.nih.gov/nuccore/CP000058.1?report=graph&amp;tracks=[key:gene_model_track,Options:GeneOnly]&amp;mk=5501384:5501403|offset_6|444444,5501351:5501370|offset_39|444444,5501328:5501347|offset_62|00cc00,5501285:5501304|offset_105|444444&amp;v=5501183:5501504&amp;c=444444", "offset 62")</f>
        <v>offset 62</v>
      </c>
    </row>
    <row r="17891" customFormat="false" ht="12.8" hidden="false" customHeight="false" outlineLevel="0" collapsed="false">
      <c r="A17891" s="0" t="s">
        <v>12</v>
      </c>
      <c r="B17891" s="0" t="n">
        <v>5501284</v>
      </c>
      <c r="C17891" s="0" t="n">
        <v>5501304</v>
      </c>
      <c r="D17891" s="0" t="s">
        <v>59482</v>
      </c>
      <c r="E17891" s="0" t="s">
        <v>75</v>
      </c>
      <c r="F17891" s="0" t="s">
        <v>90</v>
      </c>
      <c r="G17891" s="0" t="s">
        <v>36</v>
      </c>
      <c r="H17891" s="0" t="n">
        <v>105</v>
      </c>
      <c r="I17891" s="0" t="s">
        <v>59492</v>
      </c>
      <c r="J17891" s="0" t="s">
        <v>59493</v>
      </c>
      <c r="K17891" s="0" t="s">
        <v>59494</v>
      </c>
      <c r="L17891" s="0" t="str">
        <f aca="false">HYPERLINK("https://www.ncbi.nlm.nih.gov/nuccore/CP000058.1?report=graph&amp;tracks=[key:gene_model_track,Options:GeneOnly]&amp;mk=5501384:5501403|offset_6|444444,5501351:5501370|offset_39|444444,5501328:5501347|offset_62|444444,5501285:5501304|offset_105|00cc00&amp;v=5501183:5501504&amp;c=444444", "offset 105")</f>
        <v>offset 105</v>
      </c>
    </row>
    <row r="17892" customFormat="false" ht="12.8" hidden="false" customHeight="false" outlineLevel="0" collapsed="false">
      <c r="A17892" s="0" t="s">
        <v>12</v>
      </c>
      <c r="B17892" s="0" t="n">
        <v>5501701</v>
      </c>
      <c r="C17892" s="0" t="n">
        <v>5501721</v>
      </c>
      <c r="D17892" s="0" t="s">
        <v>59495</v>
      </c>
      <c r="E17892" s="0" t="s">
        <v>75</v>
      </c>
      <c r="F17892" s="0" t="s">
        <v>15</v>
      </c>
      <c r="G17892" s="0" t="s">
        <v>16</v>
      </c>
      <c r="H17892" s="0" t="n">
        <v>11</v>
      </c>
      <c r="I17892" s="0" t="s">
        <v>59496</v>
      </c>
      <c r="J17892" s="0" t="s">
        <v>59497</v>
      </c>
      <c r="K17892" s="0" t="s">
        <v>59498</v>
      </c>
      <c r="L17892" s="0" t="str">
        <f aca="false">HYPERLINK("https://www.ncbi.nlm.nih.gov/nuccore/CP000058.1?report=graph&amp;tracks=[key:gene_model_track,Options:GeneOnly]&amp;mk=5501702:5501721|offset_11|00cc00,5501740:5501759|offset_49|444444,5501764:5501783|offset_73|444444,5501785:5501804|offset_94|444444&amp;v=5501501:5502004&amp;c=444444", "offset 11")</f>
        <v>offset 11</v>
      </c>
    </row>
    <row r="17893" customFormat="false" ht="12.8" hidden="false" customHeight="false" outlineLevel="0" collapsed="false">
      <c r="A17893" s="0" t="s">
        <v>12</v>
      </c>
      <c r="B17893" s="0" t="n">
        <v>5501739</v>
      </c>
      <c r="C17893" s="0" t="n">
        <v>5501759</v>
      </c>
      <c r="D17893" s="0" t="s">
        <v>59495</v>
      </c>
      <c r="E17893" s="0" t="s">
        <v>75</v>
      </c>
      <c r="F17893" s="0" t="s">
        <v>15</v>
      </c>
      <c r="G17893" s="0" t="s">
        <v>32</v>
      </c>
      <c r="H17893" s="0" t="n">
        <v>49</v>
      </c>
      <c r="I17893" s="0" t="s">
        <v>59499</v>
      </c>
      <c r="J17893" s="0" t="s">
        <v>59500</v>
      </c>
      <c r="K17893" s="0" t="s">
        <v>59501</v>
      </c>
      <c r="L17893" s="0" t="str">
        <f aca="false">HYPERLINK("https://www.ncbi.nlm.nih.gov/nuccore/CP000058.1?report=graph&amp;tracks=[key:gene_model_track,Options:GeneOnly]&amp;mk=5501702:5501721|offset_11|444444,5501740:5501759|offset_49|00cc00,5501764:5501783|offset_73|444444,5501785:5501804|offset_94|444444&amp;v=5501501:5502004&amp;c=444444", "offset 49")</f>
        <v>offset 49</v>
      </c>
    </row>
    <row r="17894" customFormat="false" ht="12.8" hidden="false" customHeight="false" outlineLevel="0" collapsed="false">
      <c r="A17894" s="0" t="s">
        <v>12</v>
      </c>
      <c r="B17894" s="0" t="n">
        <v>5501763</v>
      </c>
      <c r="C17894" s="0" t="n">
        <v>5501783</v>
      </c>
      <c r="D17894" s="0" t="s">
        <v>59495</v>
      </c>
      <c r="E17894" s="0" t="s">
        <v>75</v>
      </c>
      <c r="F17894" s="0" t="s">
        <v>15</v>
      </c>
      <c r="G17894" s="0" t="s">
        <v>32</v>
      </c>
      <c r="H17894" s="0" t="n">
        <v>73</v>
      </c>
      <c r="I17894" s="0" t="s">
        <v>59502</v>
      </c>
      <c r="J17894" s="0" t="s">
        <v>59503</v>
      </c>
      <c r="K17894" s="0" t="s">
        <v>59504</v>
      </c>
      <c r="L17894" s="0" t="str">
        <f aca="false">HYPERLINK("https://www.ncbi.nlm.nih.gov/nuccore/CP000058.1?report=graph&amp;tracks=[key:gene_model_track,Options:GeneOnly]&amp;mk=5501702:5501721|offset_11|444444,5501740:5501759|offset_49|444444,5501764:5501783|offset_73|00cc00,5501785:5501804|offset_94|444444&amp;v=5501501:5502004&amp;c=444444", "offset 73")</f>
        <v>offset 73</v>
      </c>
    </row>
    <row r="17895" customFormat="false" ht="12.8" hidden="false" customHeight="false" outlineLevel="0" collapsed="false">
      <c r="A17895" s="0" t="s">
        <v>12</v>
      </c>
      <c r="B17895" s="0" t="n">
        <v>5501784</v>
      </c>
      <c r="C17895" s="0" t="n">
        <v>5501804</v>
      </c>
      <c r="D17895" s="0" t="s">
        <v>59495</v>
      </c>
      <c r="E17895" s="0" t="s">
        <v>75</v>
      </c>
      <c r="F17895" s="0" t="s">
        <v>15</v>
      </c>
      <c r="G17895" s="0" t="s">
        <v>32</v>
      </c>
      <c r="H17895" s="0" t="n">
        <v>94</v>
      </c>
      <c r="I17895" s="0" t="s">
        <v>59505</v>
      </c>
      <c r="J17895" s="0" t="s">
        <v>59506</v>
      </c>
      <c r="K17895" s="0" t="s">
        <v>59507</v>
      </c>
      <c r="L17895" s="0" t="str">
        <f aca="false">HYPERLINK("https://www.ncbi.nlm.nih.gov/nuccore/CP000058.1?report=graph&amp;tracks=[key:gene_model_track,Options:GeneOnly]&amp;mk=5501702:5501721|offset_11|444444,5501740:5501759|offset_49|444444,5501764:5501783|offset_73|444444,5501785:5501804|offset_94|00cc00&amp;v=5501501:5502004&amp;c=444444", "offset 94")</f>
        <v>offset 94</v>
      </c>
    </row>
    <row r="17896" customFormat="false" ht="12.8" hidden="false" customHeight="false" outlineLevel="0" collapsed="false">
      <c r="A17896" s="0" t="s">
        <v>12</v>
      </c>
      <c r="B17896" s="0" t="n">
        <v>5503972</v>
      </c>
      <c r="C17896" s="0" t="n">
        <v>5503992</v>
      </c>
      <c r="D17896" s="0" t="s">
        <v>59508</v>
      </c>
      <c r="E17896" s="0" t="s">
        <v>75</v>
      </c>
      <c r="F17896" s="0" t="s">
        <v>15</v>
      </c>
      <c r="G17896" s="0" t="s">
        <v>20</v>
      </c>
      <c r="H17896" s="0" t="n">
        <v>0</v>
      </c>
      <c r="I17896" s="0" t="s">
        <v>59509</v>
      </c>
      <c r="J17896" s="0" t="s">
        <v>59510</v>
      </c>
      <c r="K17896" s="0" t="s">
        <v>59511</v>
      </c>
      <c r="L17896" s="0" t="str">
        <f aca="false">HYPERLINK("https://www.ncbi.nlm.nih.gov/nuccore/CP000058.1?report=graph&amp;tracks=[key:gene_model_track,Options:GeneOnly]&amp;mk=5503973:5503992|offset_0|00cc00,5503993:5504012|offset_20|444444,5504079:5504098|offset_106|444444,5504116:5504135|offset_143|444444&amp;v=5503772:5504335&amp;c=444444", "offset 0")</f>
        <v>offset 0</v>
      </c>
    </row>
    <row r="17897" customFormat="false" ht="12.8" hidden="false" customHeight="false" outlineLevel="0" collapsed="false">
      <c r="A17897" s="0" t="s">
        <v>12</v>
      </c>
      <c r="B17897" s="0" t="n">
        <v>5503992</v>
      </c>
      <c r="C17897" s="0" t="n">
        <v>5504012</v>
      </c>
      <c r="D17897" s="0" t="s">
        <v>59508</v>
      </c>
      <c r="E17897" s="0" t="s">
        <v>75</v>
      </c>
      <c r="F17897" s="0" t="s">
        <v>15</v>
      </c>
      <c r="G17897" s="0" t="s">
        <v>16</v>
      </c>
      <c r="H17897" s="0" t="n">
        <v>20</v>
      </c>
      <c r="I17897" s="0" t="s">
        <v>59512</v>
      </c>
      <c r="J17897" s="0" t="s">
        <v>59513</v>
      </c>
      <c r="K17897" s="0" t="s">
        <v>59514</v>
      </c>
      <c r="L17897" s="0" t="str">
        <f aca="false">HYPERLINK("https://www.ncbi.nlm.nih.gov/nuccore/CP000058.1?report=graph&amp;tracks=[key:gene_model_track,Options:GeneOnly]&amp;mk=5503973:5503992|offset_0|444444,5503993:5504012|offset_20|00cc00,5504079:5504098|offset_106|444444,5504116:5504135|offset_143|444444&amp;v=5503772:5504335&amp;c=444444", "offset 20")</f>
        <v>offset 20</v>
      </c>
    </row>
    <row r="17898" customFormat="false" ht="12.8" hidden="false" customHeight="false" outlineLevel="0" collapsed="false">
      <c r="A17898" s="0" t="s">
        <v>12</v>
      </c>
      <c r="B17898" s="0" t="n">
        <v>5504078</v>
      </c>
      <c r="C17898" s="0" t="n">
        <v>5504098</v>
      </c>
      <c r="D17898" s="0" t="s">
        <v>59508</v>
      </c>
      <c r="E17898" s="0" t="s">
        <v>75</v>
      </c>
      <c r="F17898" s="0" t="s">
        <v>15</v>
      </c>
      <c r="G17898" s="0" t="s">
        <v>32</v>
      </c>
      <c r="H17898" s="0" t="n">
        <v>106</v>
      </c>
      <c r="I17898" s="0" t="s">
        <v>59515</v>
      </c>
      <c r="J17898" s="0" t="s">
        <v>59516</v>
      </c>
      <c r="K17898" s="0" t="s">
        <v>59517</v>
      </c>
      <c r="L17898" s="0" t="str">
        <f aca="false">HYPERLINK("https://www.ncbi.nlm.nih.gov/nuccore/CP000058.1?report=graph&amp;tracks=[key:gene_model_track,Options:GeneOnly]&amp;mk=5503973:5503992|offset_0|444444,5503993:5504012|offset_20|444444,5504079:5504098|offset_106|00cc00,5504116:5504135|offset_143|444444&amp;v=5503772:5504335&amp;c=444444", "offset 106")</f>
        <v>offset 106</v>
      </c>
    </row>
    <row r="17899" customFormat="false" ht="12.8" hidden="false" customHeight="false" outlineLevel="0" collapsed="false">
      <c r="A17899" s="0" t="s">
        <v>12</v>
      </c>
      <c r="B17899" s="0" t="n">
        <v>5504115</v>
      </c>
      <c r="C17899" s="0" t="n">
        <v>5504135</v>
      </c>
      <c r="D17899" s="0" t="s">
        <v>59508</v>
      </c>
      <c r="E17899" s="0" t="s">
        <v>75</v>
      </c>
      <c r="F17899" s="0" t="s">
        <v>15</v>
      </c>
      <c r="G17899" s="0" t="s">
        <v>16</v>
      </c>
      <c r="H17899" s="0" t="n">
        <v>143</v>
      </c>
      <c r="I17899" s="0" t="s">
        <v>59518</v>
      </c>
      <c r="J17899" s="0" t="s">
        <v>59519</v>
      </c>
      <c r="K17899" s="0" t="s">
        <v>59520</v>
      </c>
      <c r="L17899" s="0" t="str">
        <f aca="false">HYPERLINK("https://www.ncbi.nlm.nih.gov/nuccore/CP000058.1?report=graph&amp;tracks=[key:gene_model_track,Options:GeneOnly]&amp;mk=5503973:5503992|offset_0|444444,5503993:5504012|offset_20|444444,5504079:5504098|offset_106|444444,5504116:5504135|offset_143|00cc00&amp;v=5503772:5504335&amp;c=444444", "offset 143")</f>
        <v>offset 143</v>
      </c>
    </row>
    <row r="17900" customFormat="false" ht="12.8" hidden="false" customHeight="false" outlineLevel="0" collapsed="false">
      <c r="A17900" s="0" t="s">
        <v>12</v>
      </c>
      <c r="B17900" s="0" t="n">
        <v>5506802</v>
      </c>
      <c r="C17900" s="0" t="n">
        <v>5506822</v>
      </c>
      <c r="D17900" s="0" t="s">
        <v>59521</v>
      </c>
      <c r="E17900" s="0" t="s">
        <v>59522</v>
      </c>
      <c r="F17900" s="0" t="s">
        <v>90</v>
      </c>
      <c r="G17900" s="0" t="s">
        <v>36</v>
      </c>
      <c r="H17900" s="0" t="n">
        <v>6</v>
      </c>
      <c r="I17900" s="0" t="s">
        <v>59523</v>
      </c>
      <c r="J17900" s="0" t="s">
        <v>59524</v>
      </c>
      <c r="K17900" s="0" t="s">
        <v>59525</v>
      </c>
      <c r="L17900" s="0" t="str">
        <f aca="false">HYPERLINK("https://www.ncbi.nlm.nih.gov/nuccore/CP000058.1?report=graph&amp;tracks=[key:gene_model_track,Options:GeneOnly]&amp;mk=5506803:5506822|offset_6|00cc00,5506773:5506792|offset_36|444444,5506747:5506766|offset_62|444444,5506708:5506727|offset_101|444444&amp;v=5506602:5506927&amp;c=444444", "offset 6")</f>
        <v>offset 6</v>
      </c>
    </row>
    <row r="17901" customFormat="false" ht="12.8" hidden="false" customHeight="false" outlineLevel="0" collapsed="false">
      <c r="A17901" s="0" t="s">
        <v>12</v>
      </c>
      <c r="B17901" s="0" t="n">
        <v>5506772</v>
      </c>
      <c r="C17901" s="0" t="n">
        <v>5506792</v>
      </c>
      <c r="D17901" s="0" t="s">
        <v>59521</v>
      </c>
      <c r="E17901" s="0" t="s">
        <v>59522</v>
      </c>
      <c r="F17901" s="0" t="s">
        <v>90</v>
      </c>
      <c r="G17901" s="0" t="s">
        <v>16</v>
      </c>
      <c r="H17901" s="0" t="n">
        <v>36</v>
      </c>
      <c r="I17901" s="0" t="s">
        <v>59526</v>
      </c>
      <c r="J17901" s="0" t="s">
        <v>59527</v>
      </c>
      <c r="K17901" s="0" t="s">
        <v>59528</v>
      </c>
      <c r="L17901" s="0" t="str">
        <f aca="false">HYPERLINK("https://www.ncbi.nlm.nih.gov/nuccore/CP000058.1?report=graph&amp;tracks=[key:gene_model_track,Options:GeneOnly]&amp;mk=5506803:5506822|offset_6|444444,5506773:5506792|offset_36|00cc00,5506747:5506766|offset_62|444444,5506708:5506727|offset_101|444444&amp;v=5506602:5506927&amp;c=444444", "offset 36")</f>
        <v>offset 36</v>
      </c>
    </row>
    <row r="17902" customFormat="false" ht="12.8" hidden="false" customHeight="false" outlineLevel="0" collapsed="false">
      <c r="A17902" s="0" t="s">
        <v>12</v>
      </c>
      <c r="B17902" s="0" t="n">
        <v>5506746</v>
      </c>
      <c r="C17902" s="0" t="n">
        <v>5506766</v>
      </c>
      <c r="D17902" s="0" t="s">
        <v>59521</v>
      </c>
      <c r="E17902" s="0" t="s">
        <v>59522</v>
      </c>
      <c r="F17902" s="0" t="s">
        <v>90</v>
      </c>
      <c r="G17902" s="0" t="s">
        <v>16</v>
      </c>
      <c r="H17902" s="0" t="n">
        <v>62</v>
      </c>
      <c r="I17902" s="0" t="s">
        <v>59529</v>
      </c>
      <c r="J17902" s="0" t="s">
        <v>59530</v>
      </c>
      <c r="K17902" s="0" t="s">
        <v>59531</v>
      </c>
      <c r="L17902" s="0" t="str">
        <f aca="false">HYPERLINK("https://www.ncbi.nlm.nih.gov/nuccore/CP000058.1?report=graph&amp;tracks=[key:gene_model_track,Options:GeneOnly]&amp;mk=5506803:5506822|offset_6|444444,5506773:5506792|offset_36|444444,5506747:5506766|offset_62|00cc00,5506708:5506727|offset_101|444444&amp;v=5506602:5506927&amp;c=444444", "offset 62")</f>
        <v>offset 62</v>
      </c>
    </row>
    <row r="17903" customFormat="false" ht="12.8" hidden="false" customHeight="false" outlineLevel="0" collapsed="false">
      <c r="A17903" s="0" t="s">
        <v>12</v>
      </c>
      <c r="B17903" s="0" t="n">
        <v>5506707</v>
      </c>
      <c r="C17903" s="0" t="n">
        <v>5506727</v>
      </c>
      <c r="D17903" s="0" t="s">
        <v>59521</v>
      </c>
      <c r="E17903" s="0" t="s">
        <v>59522</v>
      </c>
      <c r="F17903" s="0" t="s">
        <v>90</v>
      </c>
      <c r="G17903" s="0" t="s">
        <v>20</v>
      </c>
      <c r="H17903" s="0" t="n">
        <v>101</v>
      </c>
      <c r="I17903" s="0" t="s">
        <v>59532</v>
      </c>
      <c r="J17903" s="0" t="s">
        <v>59533</v>
      </c>
      <c r="K17903" s="0" t="s">
        <v>59534</v>
      </c>
      <c r="L17903" s="0" t="str">
        <f aca="false">HYPERLINK("https://www.ncbi.nlm.nih.gov/nuccore/CP000058.1?report=graph&amp;tracks=[key:gene_model_track,Options:GeneOnly]&amp;mk=5506803:5506822|offset_6|444444,5506773:5506792|offset_36|444444,5506747:5506766|offset_62|444444,5506708:5506727|offset_101|00cc00&amp;v=5506602:5506927&amp;c=444444", "offset 101")</f>
        <v>offset 101</v>
      </c>
    </row>
    <row r="17904" customFormat="false" ht="12.8" hidden="false" customHeight="false" outlineLevel="0" collapsed="false">
      <c r="A17904" s="0" t="s">
        <v>12</v>
      </c>
      <c r="B17904" s="0" t="n">
        <v>5508312</v>
      </c>
      <c r="C17904" s="0" t="n">
        <v>5508332</v>
      </c>
      <c r="D17904" s="0" t="s">
        <v>59535</v>
      </c>
      <c r="E17904" s="0" t="s">
        <v>59536</v>
      </c>
      <c r="F17904" s="0" t="s">
        <v>90</v>
      </c>
      <c r="G17904" s="0" t="s">
        <v>16</v>
      </c>
      <c r="H17904" s="0" t="n">
        <v>14</v>
      </c>
      <c r="I17904" s="0" t="s">
        <v>59537</v>
      </c>
      <c r="J17904" s="0" t="s">
        <v>59538</v>
      </c>
      <c r="K17904" s="0" t="s">
        <v>59539</v>
      </c>
      <c r="L17904" s="0" t="str">
        <f aca="false">HYPERLINK("https://www.ncbi.nlm.nih.gov/nuccore/CP000058.1?report=graph&amp;tracks=[key:gene_model_track,Options:GeneOnly]&amp;mk=5508313:5508332|offset_14|00cc00,5508278:5508297|offset_49|444444,5508237:5508256|offset_90|444444,5508217:5508236|offset_110|444444&amp;v=5508112:5508436&amp;c=444444", "offset 14")</f>
        <v>offset 14</v>
      </c>
    </row>
    <row r="17905" customFormat="false" ht="12.8" hidden="false" customHeight="false" outlineLevel="0" collapsed="false">
      <c r="A17905" s="0" t="s">
        <v>12</v>
      </c>
      <c r="B17905" s="0" t="n">
        <v>5508277</v>
      </c>
      <c r="C17905" s="0" t="n">
        <v>5508297</v>
      </c>
      <c r="D17905" s="0" t="s">
        <v>59535</v>
      </c>
      <c r="E17905" s="0" t="s">
        <v>59536</v>
      </c>
      <c r="F17905" s="0" t="s">
        <v>90</v>
      </c>
      <c r="G17905" s="0" t="s">
        <v>20</v>
      </c>
      <c r="H17905" s="0" t="n">
        <v>49</v>
      </c>
      <c r="I17905" s="0" t="s">
        <v>59540</v>
      </c>
      <c r="J17905" s="0" t="s">
        <v>59541</v>
      </c>
      <c r="K17905" s="0" t="s">
        <v>59542</v>
      </c>
      <c r="L17905" s="0" t="str">
        <f aca="false">HYPERLINK("https://www.ncbi.nlm.nih.gov/nuccore/CP000058.1?report=graph&amp;tracks=[key:gene_model_track,Options:GeneOnly]&amp;mk=5508313:5508332|offset_14|444444,5508278:5508297|offset_49|00cc00,5508237:5508256|offset_90|444444,5508217:5508236|offset_110|444444&amp;v=5508112:5508436&amp;c=444444", "offset 49")</f>
        <v>offset 49</v>
      </c>
    </row>
    <row r="17906" customFormat="false" ht="12.8" hidden="false" customHeight="false" outlineLevel="0" collapsed="false">
      <c r="A17906" s="0" t="s">
        <v>12</v>
      </c>
      <c r="B17906" s="0" t="n">
        <v>5508236</v>
      </c>
      <c r="C17906" s="0" t="n">
        <v>5508256</v>
      </c>
      <c r="D17906" s="0" t="s">
        <v>59535</v>
      </c>
      <c r="E17906" s="0" t="s">
        <v>59536</v>
      </c>
      <c r="F17906" s="0" t="s">
        <v>90</v>
      </c>
      <c r="G17906" s="0" t="s">
        <v>32</v>
      </c>
      <c r="H17906" s="0" t="n">
        <v>90</v>
      </c>
      <c r="I17906" s="0" t="s">
        <v>59543</v>
      </c>
      <c r="J17906" s="0" t="s">
        <v>59544</v>
      </c>
      <c r="K17906" s="0" t="s">
        <v>59545</v>
      </c>
      <c r="L17906" s="0" t="str">
        <f aca="false">HYPERLINK("https://www.ncbi.nlm.nih.gov/nuccore/CP000058.1?report=graph&amp;tracks=[key:gene_model_track,Options:GeneOnly]&amp;mk=5508313:5508332|offset_14|444444,5508278:5508297|offset_49|444444,5508237:5508256|offset_90|00cc00,5508217:5508236|offset_110|444444&amp;v=5508112:5508436&amp;c=444444", "offset 90")</f>
        <v>offset 90</v>
      </c>
    </row>
    <row r="17907" customFormat="false" ht="12.8" hidden="false" customHeight="false" outlineLevel="0" collapsed="false">
      <c r="A17907" s="0" t="s">
        <v>12</v>
      </c>
      <c r="B17907" s="0" t="n">
        <v>5508216</v>
      </c>
      <c r="C17907" s="0" t="n">
        <v>5508236</v>
      </c>
      <c r="D17907" s="0" t="s">
        <v>59535</v>
      </c>
      <c r="E17907" s="0" t="s">
        <v>59536</v>
      </c>
      <c r="F17907" s="0" t="s">
        <v>90</v>
      </c>
      <c r="G17907" s="0" t="s">
        <v>36</v>
      </c>
      <c r="H17907" s="0" t="n">
        <v>110</v>
      </c>
      <c r="I17907" s="0" t="s">
        <v>59546</v>
      </c>
      <c r="J17907" s="0" t="s">
        <v>59547</v>
      </c>
      <c r="K17907" s="0" t="s">
        <v>59548</v>
      </c>
      <c r="L17907" s="0" t="str">
        <f aca="false">HYPERLINK("https://www.ncbi.nlm.nih.gov/nuccore/CP000058.1?report=graph&amp;tracks=[key:gene_model_track,Options:GeneOnly]&amp;mk=5508313:5508332|offset_14|444444,5508278:5508297|offset_49|444444,5508237:5508256|offset_90|444444,5508217:5508236|offset_110|00cc00&amp;v=5508112:5508436&amp;c=444444", "offset 110")</f>
        <v>offset 110</v>
      </c>
    </row>
    <row r="17908" customFormat="false" ht="12.8" hidden="false" customHeight="false" outlineLevel="0" collapsed="false">
      <c r="A17908" s="0" t="s">
        <v>12</v>
      </c>
      <c r="B17908" s="0" t="n">
        <v>5508619</v>
      </c>
      <c r="C17908" s="0" t="n">
        <v>5508639</v>
      </c>
      <c r="D17908" s="0" t="s">
        <v>59549</v>
      </c>
      <c r="E17908" s="0" t="s">
        <v>59550</v>
      </c>
      <c r="F17908" s="0" t="s">
        <v>15</v>
      </c>
      <c r="G17908" s="0" t="s">
        <v>32</v>
      </c>
      <c r="H17908" s="0" t="n">
        <v>1</v>
      </c>
      <c r="I17908" s="0" t="s">
        <v>59551</v>
      </c>
      <c r="J17908" s="0" t="s">
        <v>59552</v>
      </c>
      <c r="K17908" s="0" t="s">
        <v>59553</v>
      </c>
      <c r="L17908" s="0" t="str">
        <f aca="false">HYPERLINK("https://www.ncbi.nlm.nih.gov/nuccore/CP000058.1?report=graph&amp;tracks=[key:gene_model_track,Options:GeneOnly]&amp;mk=5508620:5508639|offset_1|00cc00,5508705:5508724|offset_86|444444,5508776:5508795|offset_157|444444,5508809:5508828|offset_190|444444&amp;v=5508419:5509028&amp;c=444444", "offset 1")</f>
        <v>offset 1</v>
      </c>
    </row>
    <row r="17909" customFormat="false" ht="12.8" hidden="false" customHeight="false" outlineLevel="0" collapsed="false">
      <c r="A17909" s="0" t="s">
        <v>12</v>
      </c>
      <c r="B17909" s="0" t="n">
        <v>5508704</v>
      </c>
      <c r="C17909" s="0" t="n">
        <v>5508724</v>
      </c>
      <c r="D17909" s="0" t="s">
        <v>59549</v>
      </c>
      <c r="E17909" s="0" t="s">
        <v>59550</v>
      </c>
      <c r="F17909" s="0" t="s">
        <v>15</v>
      </c>
      <c r="G17909" s="0" t="s">
        <v>32</v>
      </c>
      <c r="H17909" s="0" t="n">
        <v>86</v>
      </c>
      <c r="I17909" s="0" t="s">
        <v>59554</v>
      </c>
      <c r="J17909" s="0" t="s">
        <v>59555</v>
      </c>
      <c r="K17909" s="0" t="s">
        <v>59556</v>
      </c>
      <c r="L17909" s="0" t="str">
        <f aca="false">HYPERLINK("https://www.ncbi.nlm.nih.gov/nuccore/CP000058.1?report=graph&amp;tracks=[key:gene_model_track,Options:GeneOnly]&amp;mk=5508620:5508639|offset_1|444444,5508705:5508724|offset_86|00cc00,5508776:5508795|offset_157|444444,5508809:5508828|offset_190|444444&amp;v=5508419:5509028&amp;c=444444", "offset 86")</f>
        <v>offset 86</v>
      </c>
    </row>
    <row r="17910" customFormat="false" ht="12.8" hidden="false" customHeight="false" outlineLevel="0" collapsed="false">
      <c r="A17910" s="0" t="s">
        <v>12</v>
      </c>
      <c r="B17910" s="0" t="n">
        <v>5508775</v>
      </c>
      <c r="C17910" s="0" t="n">
        <v>5508795</v>
      </c>
      <c r="D17910" s="0" t="s">
        <v>59549</v>
      </c>
      <c r="E17910" s="0" t="s">
        <v>59550</v>
      </c>
      <c r="F17910" s="0" t="s">
        <v>15</v>
      </c>
      <c r="G17910" s="0" t="s">
        <v>20</v>
      </c>
      <c r="H17910" s="0" t="n">
        <v>157</v>
      </c>
      <c r="I17910" s="0" t="s">
        <v>59557</v>
      </c>
      <c r="J17910" s="0" t="s">
        <v>59558</v>
      </c>
      <c r="K17910" s="0" t="s">
        <v>59559</v>
      </c>
      <c r="L17910" s="0" t="str">
        <f aca="false">HYPERLINK("https://www.ncbi.nlm.nih.gov/nuccore/CP000058.1?report=graph&amp;tracks=[key:gene_model_track,Options:GeneOnly]&amp;mk=5508620:5508639|offset_1|444444,5508705:5508724|offset_86|444444,5508776:5508795|offset_157|00cc00,5508809:5508828|offset_190|444444&amp;v=5508419:5509028&amp;c=444444", "offset 157")</f>
        <v>offset 157</v>
      </c>
    </row>
    <row r="17911" customFormat="false" ht="12.8" hidden="false" customHeight="false" outlineLevel="0" collapsed="false">
      <c r="A17911" s="0" t="s">
        <v>12</v>
      </c>
      <c r="B17911" s="0" t="n">
        <v>5508808</v>
      </c>
      <c r="C17911" s="0" t="n">
        <v>5508828</v>
      </c>
      <c r="D17911" s="0" t="s">
        <v>59549</v>
      </c>
      <c r="E17911" s="0" t="s">
        <v>59550</v>
      </c>
      <c r="F17911" s="0" t="s">
        <v>15</v>
      </c>
      <c r="G17911" s="0" t="s">
        <v>16</v>
      </c>
      <c r="H17911" s="0" t="n">
        <v>190</v>
      </c>
      <c r="I17911" s="0" t="s">
        <v>59560</v>
      </c>
      <c r="J17911" s="0" t="s">
        <v>59561</v>
      </c>
      <c r="K17911" s="0" t="s">
        <v>59562</v>
      </c>
      <c r="L17911" s="0" t="str">
        <f aca="false">HYPERLINK("https://www.ncbi.nlm.nih.gov/nuccore/CP000058.1?report=graph&amp;tracks=[key:gene_model_track,Options:GeneOnly]&amp;mk=5508620:5508639|offset_1|444444,5508705:5508724|offset_86|444444,5508776:5508795|offset_157|444444,5508809:5508828|offset_190|00cc00&amp;v=5508419:5509028&amp;c=444444", "offset 190")</f>
        <v>offset 190</v>
      </c>
    </row>
    <row r="17912" customFormat="false" ht="12.8" hidden="false" customHeight="false" outlineLevel="0" collapsed="false">
      <c r="A17912" s="0" t="s">
        <v>12</v>
      </c>
      <c r="B17912" s="0" t="n">
        <v>5510126</v>
      </c>
      <c r="C17912" s="0" t="n">
        <v>5510146</v>
      </c>
      <c r="D17912" s="0" t="s">
        <v>59563</v>
      </c>
      <c r="E17912" s="0" t="s">
        <v>75</v>
      </c>
      <c r="F17912" s="0" t="s">
        <v>15</v>
      </c>
      <c r="G17912" s="0" t="s">
        <v>16</v>
      </c>
      <c r="H17912" s="0" t="n">
        <v>21</v>
      </c>
      <c r="I17912" s="0" t="s">
        <v>59564</v>
      </c>
      <c r="J17912" s="0" t="s">
        <v>59565</v>
      </c>
      <c r="K17912" s="0" t="s">
        <v>59566</v>
      </c>
      <c r="L17912" s="0" t="str">
        <f aca="false">HYPERLINK("https://www.ncbi.nlm.nih.gov/nuccore/CP000058.1?report=graph&amp;tracks=[key:gene_model_track,Options:GeneOnly]&amp;mk=5510127:5510146|offset_21|00cc00,5510174:5510193|offset_68|444444,5510196:5510215|offset_90|444444,5510221:5510240|offset_115|444444&amp;v=5509926:5510440&amp;c=444444", "offset 21")</f>
        <v>offset 21</v>
      </c>
    </row>
    <row r="17913" customFormat="false" ht="12.8" hidden="false" customHeight="false" outlineLevel="0" collapsed="false">
      <c r="A17913" s="0" t="s">
        <v>12</v>
      </c>
      <c r="B17913" s="0" t="n">
        <v>5510173</v>
      </c>
      <c r="C17913" s="0" t="n">
        <v>5510193</v>
      </c>
      <c r="D17913" s="0" t="s">
        <v>59563</v>
      </c>
      <c r="E17913" s="0" t="s">
        <v>75</v>
      </c>
      <c r="F17913" s="0" t="s">
        <v>15</v>
      </c>
      <c r="G17913" s="0" t="s">
        <v>32</v>
      </c>
      <c r="H17913" s="0" t="n">
        <v>68</v>
      </c>
      <c r="I17913" s="0" t="s">
        <v>59567</v>
      </c>
      <c r="J17913" s="0" t="s">
        <v>59568</v>
      </c>
      <c r="K17913" s="0" t="s">
        <v>59569</v>
      </c>
      <c r="L17913" s="0" t="str">
        <f aca="false">HYPERLINK("https://www.ncbi.nlm.nih.gov/nuccore/CP000058.1?report=graph&amp;tracks=[key:gene_model_track,Options:GeneOnly]&amp;mk=5510127:5510146|offset_21|444444,5510174:5510193|offset_68|00cc00,5510196:5510215|offset_90|444444,5510221:5510240|offset_115|444444&amp;v=5509926:5510440&amp;c=444444", "offset 68")</f>
        <v>offset 68</v>
      </c>
    </row>
    <row r="17914" customFormat="false" ht="12.8" hidden="false" customHeight="false" outlineLevel="0" collapsed="false">
      <c r="A17914" s="0" t="s">
        <v>12</v>
      </c>
      <c r="B17914" s="0" t="n">
        <v>5510195</v>
      </c>
      <c r="C17914" s="0" t="n">
        <v>5510215</v>
      </c>
      <c r="D17914" s="0" t="s">
        <v>59563</v>
      </c>
      <c r="E17914" s="0" t="s">
        <v>75</v>
      </c>
      <c r="F17914" s="0" t="s">
        <v>15</v>
      </c>
      <c r="G17914" s="0" t="s">
        <v>36</v>
      </c>
      <c r="H17914" s="0" t="n">
        <v>90</v>
      </c>
      <c r="I17914" s="0" t="s">
        <v>59570</v>
      </c>
      <c r="J17914" s="0" t="s">
        <v>59571</v>
      </c>
      <c r="K17914" s="0" t="s">
        <v>59572</v>
      </c>
      <c r="L17914" s="0" t="str">
        <f aca="false">HYPERLINK("https://www.ncbi.nlm.nih.gov/nuccore/CP000058.1?report=graph&amp;tracks=[key:gene_model_track,Options:GeneOnly]&amp;mk=5510127:5510146|offset_21|444444,5510174:5510193|offset_68|444444,5510196:5510215|offset_90|00cc00,5510221:5510240|offset_115|444444&amp;v=5509926:5510440&amp;c=444444", "offset 90")</f>
        <v>offset 90</v>
      </c>
    </row>
    <row r="17915" customFormat="false" ht="12.8" hidden="false" customHeight="false" outlineLevel="0" collapsed="false">
      <c r="A17915" s="0" t="s">
        <v>12</v>
      </c>
      <c r="B17915" s="0" t="n">
        <v>5510220</v>
      </c>
      <c r="C17915" s="0" t="n">
        <v>5510240</v>
      </c>
      <c r="D17915" s="0" t="s">
        <v>59563</v>
      </c>
      <c r="E17915" s="0" t="s">
        <v>75</v>
      </c>
      <c r="F17915" s="0" t="s">
        <v>15</v>
      </c>
      <c r="G17915" s="0" t="s">
        <v>36</v>
      </c>
      <c r="H17915" s="0" t="n">
        <v>115</v>
      </c>
      <c r="I17915" s="0" t="s">
        <v>59573</v>
      </c>
      <c r="J17915" s="0" t="s">
        <v>59574</v>
      </c>
      <c r="K17915" s="0" t="s">
        <v>59575</v>
      </c>
      <c r="L17915" s="0" t="str">
        <f aca="false">HYPERLINK("https://www.ncbi.nlm.nih.gov/nuccore/CP000058.1?report=graph&amp;tracks=[key:gene_model_track,Options:GeneOnly]&amp;mk=5510127:5510146|offset_21|444444,5510174:5510193|offset_68|444444,5510196:5510215|offset_90|444444,5510221:5510240|offset_115|00cc00&amp;v=5509926:5510440&amp;c=444444", "offset 115")</f>
        <v>offset 115</v>
      </c>
    </row>
    <row r="17916" customFormat="false" ht="12.8" hidden="false" customHeight="false" outlineLevel="0" collapsed="false">
      <c r="A17916" s="0" t="s">
        <v>12</v>
      </c>
      <c r="B17916" s="0" t="n">
        <v>5510737</v>
      </c>
      <c r="C17916" s="0" t="n">
        <v>5510757</v>
      </c>
      <c r="D17916" s="0" t="s">
        <v>59576</v>
      </c>
      <c r="E17916" s="0" t="s">
        <v>59577</v>
      </c>
      <c r="F17916" s="0" t="s">
        <v>15</v>
      </c>
      <c r="G17916" s="0" t="s">
        <v>20</v>
      </c>
      <c r="H17916" s="0" t="n">
        <v>8</v>
      </c>
      <c r="I17916" s="0" t="s">
        <v>59578</v>
      </c>
      <c r="J17916" s="0" t="s">
        <v>59579</v>
      </c>
      <c r="K17916" s="0" t="s">
        <v>59580</v>
      </c>
      <c r="L17916" s="0" t="str">
        <f aca="false">HYPERLINK("https://www.ncbi.nlm.nih.gov/nuccore/CP000058.1?report=graph&amp;tracks=[key:gene_model_track,Options:GeneOnly]&amp;mk=5510738:5510757|offset_8|00cc00,5510764:5510783|offset_34|444444,5510797:5510816|offset_67|444444,5510826:5510845|offset_96|444444&amp;v=5510537:5511045&amp;c=444444", "offset 8")</f>
        <v>offset 8</v>
      </c>
    </row>
    <row r="17917" customFormat="false" ht="12.8" hidden="false" customHeight="false" outlineLevel="0" collapsed="false">
      <c r="A17917" s="0" t="s">
        <v>12</v>
      </c>
      <c r="B17917" s="0" t="n">
        <v>5510763</v>
      </c>
      <c r="C17917" s="0" t="n">
        <v>5510783</v>
      </c>
      <c r="D17917" s="0" t="s">
        <v>59576</v>
      </c>
      <c r="E17917" s="0" t="s">
        <v>59577</v>
      </c>
      <c r="F17917" s="0" t="s">
        <v>15</v>
      </c>
      <c r="G17917" s="0" t="s">
        <v>36</v>
      </c>
      <c r="H17917" s="0" t="n">
        <v>34</v>
      </c>
      <c r="I17917" s="0" t="s">
        <v>59581</v>
      </c>
      <c r="J17917" s="0" t="s">
        <v>59582</v>
      </c>
      <c r="K17917" s="0" t="s">
        <v>59583</v>
      </c>
      <c r="L17917" s="0" t="str">
        <f aca="false">HYPERLINK("https://www.ncbi.nlm.nih.gov/nuccore/CP000058.1?report=graph&amp;tracks=[key:gene_model_track,Options:GeneOnly]&amp;mk=5510738:5510757|offset_8|444444,5510764:5510783|offset_34|00cc00,5510797:5510816|offset_67|444444,5510826:5510845|offset_96|444444&amp;v=5510537:5511045&amp;c=444444", "offset 34")</f>
        <v>offset 34</v>
      </c>
    </row>
    <row r="17918" customFormat="false" ht="12.8" hidden="false" customHeight="false" outlineLevel="0" collapsed="false">
      <c r="A17918" s="0" t="s">
        <v>12</v>
      </c>
      <c r="B17918" s="0" t="n">
        <v>5510796</v>
      </c>
      <c r="C17918" s="0" t="n">
        <v>5510816</v>
      </c>
      <c r="D17918" s="0" t="s">
        <v>59576</v>
      </c>
      <c r="E17918" s="0" t="s">
        <v>59577</v>
      </c>
      <c r="F17918" s="0" t="s">
        <v>15</v>
      </c>
      <c r="G17918" s="0" t="s">
        <v>16</v>
      </c>
      <c r="H17918" s="0" t="n">
        <v>67</v>
      </c>
      <c r="I17918" s="0" t="s">
        <v>59584</v>
      </c>
      <c r="J17918" s="0" t="s">
        <v>59585</v>
      </c>
      <c r="K17918" s="0" t="s">
        <v>59586</v>
      </c>
      <c r="L17918" s="0" t="str">
        <f aca="false">HYPERLINK("https://www.ncbi.nlm.nih.gov/nuccore/CP000058.1?report=graph&amp;tracks=[key:gene_model_track,Options:GeneOnly]&amp;mk=5510738:5510757|offset_8|444444,5510764:5510783|offset_34|444444,5510797:5510816|offset_67|00cc00,5510826:5510845|offset_96|444444&amp;v=5510537:5511045&amp;c=444444", "offset 67")</f>
        <v>offset 67</v>
      </c>
    </row>
    <row r="17919" customFormat="false" ht="12.8" hidden="false" customHeight="false" outlineLevel="0" collapsed="false">
      <c r="A17919" s="0" t="s">
        <v>12</v>
      </c>
      <c r="B17919" s="0" t="n">
        <v>5510825</v>
      </c>
      <c r="C17919" s="0" t="n">
        <v>5510845</v>
      </c>
      <c r="D17919" s="0" t="s">
        <v>59576</v>
      </c>
      <c r="E17919" s="0" t="s">
        <v>59577</v>
      </c>
      <c r="F17919" s="0" t="s">
        <v>15</v>
      </c>
      <c r="G17919" s="0" t="s">
        <v>16</v>
      </c>
      <c r="H17919" s="0" t="n">
        <v>96</v>
      </c>
      <c r="I17919" s="0" t="s">
        <v>59587</v>
      </c>
      <c r="J17919" s="0" t="s">
        <v>59588</v>
      </c>
      <c r="K17919" s="0" t="s">
        <v>59589</v>
      </c>
      <c r="L17919" s="0" t="str">
        <f aca="false">HYPERLINK("https://www.ncbi.nlm.nih.gov/nuccore/CP000058.1?report=graph&amp;tracks=[key:gene_model_track,Options:GeneOnly]&amp;mk=5510738:5510757|offset_8|444444,5510764:5510783|offset_34|444444,5510797:5510816|offset_67|444444,5510826:5510845|offset_96|00cc00&amp;v=5510537:5511045&amp;c=444444", "offset 96")</f>
        <v>offset 96</v>
      </c>
    </row>
    <row r="17920" customFormat="false" ht="12.8" hidden="false" customHeight="false" outlineLevel="0" collapsed="false">
      <c r="A17920" s="0" t="s">
        <v>12</v>
      </c>
      <c r="B17920" s="0" t="n">
        <v>5511379</v>
      </c>
      <c r="C17920" s="0" t="n">
        <v>5511399</v>
      </c>
      <c r="D17920" s="0" t="s">
        <v>59590</v>
      </c>
      <c r="E17920" s="0" t="s">
        <v>75</v>
      </c>
      <c r="F17920" s="0" t="s">
        <v>15</v>
      </c>
      <c r="G17920" s="0" t="s">
        <v>20</v>
      </c>
      <c r="H17920" s="0" t="n">
        <v>14</v>
      </c>
      <c r="I17920" s="0" t="s">
        <v>59591</v>
      </c>
      <c r="J17920" s="0" t="s">
        <v>59592</v>
      </c>
      <c r="K17920" s="0" t="s">
        <v>59593</v>
      </c>
      <c r="L17920" s="0" t="str">
        <f aca="false">HYPERLINK("https://www.ncbi.nlm.nih.gov/nuccore/CP000058.1?report=graph&amp;tracks=[key:gene_model_track,Options:GeneOnly]&amp;mk=5511380:5511399|offset_14|00cc00,5511407:5511426|offset_41|444444,5511439:5511458|offset_73|444444,5511474:5511493|offset_108|444444&amp;v=5511179:5511693&amp;c=444444", "offset 14")</f>
        <v>offset 14</v>
      </c>
    </row>
    <row r="17921" customFormat="false" ht="12.8" hidden="false" customHeight="false" outlineLevel="0" collapsed="false">
      <c r="A17921" s="0" t="s">
        <v>12</v>
      </c>
      <c r="B17921" s="0" t="n">
        <v>5511406</v>
      </c>
      <c r="C17921" s="0" t="n">
        <v>5511426</v>
      </c>
      <c r="D17921" s="0" t="s">
        <v>59590</v>
      </c>
      <c r="E17921" s="0" t="s">
        <v>75</v>
      </c>
      <c r="F17921" s="0" t="s">
        <v>15</v>
      </c>
      <c r="G17921" s="0" t="s">
        <v>20</v>
      </c>
      <c r="H17921" s="0" t="n">
        <v>41</v>
      </c>
      <c r="I17921" s="0" t="s">
        <v>59594</v>
      </c>
      <c r="J17921" s="0" t="s">
        <v>59595</v>
      </c>
      <c r="K17921" s="0" t="s">
        <v>59596</v>
      </c>
      <c r="L17921" s="0" t="str">
        <f aca="false">HYPERLINK("https://www.ncbi.nlm.nih.gov/nuccore/CP000058.1?report=graph&amp;tracks=[key:gene_model_track,Options:GeneOnly]&amp;mk=5511380:5511399|offset_14|444444,5511407:5511426|offset_41|00cc00,5511439:5511458|offset_73|444444,5511474:5511493|offset_108|444444&amp;v=5511179:5511693&amp;c=444444", "offset 41")</f>
        <v>offset 41</v>
      </c>
    </row>
    <row r="17922" customFormat="false" ht="12.8" hidden="false" customHeight="false" outlineLevel="0" collapsed="false">
      <c r="A17922" s="0" t="s">
        <v>12</v>
      </c>
      <c r="B17922" s="0" t="n">
        <v>5511438</v>
      </c>
      <c r="C17922" s="0" t="n">
        <v>5511458</v>
      </c>
      <c r="D17922" s="0" t="s">
        <v>59590</v>
      </c>
      <c r="E17922" s="0" t="s">
        <v>75</v>
      </c>
      <c r="F17922" s="0" t="s">
        <v>15</v>
      </c>
      <c r="G17922" s="0" t="s">
        <v>16</v>
      </c>
      <c r="H17922" s="0" t="n">
        <v>73</v>
      </c>
      <c r="I17922" s="0" t="s">
        <v>59597</v>
      </c>
      <c r="J17922" s="0" t="s">
        <v>59598</v>
      </c>
      <c r="K17922" s="0" t="s">
        <v>59599</v>
      </c>
      <c r="L17922" s="0" t="str">
        <f aca="false">HYPERLINK("https://www.ncbi.nlm.nih.gov/nuccore/CP000058.1?report=graph&amp;tracks=[key:gene_model_track,Options:GeneOnly]&amp;mk=5511380:5511399|offset_14|444444,5511407:5511426|offset_41|444444,5511439:5511458|offset_73|00cc00,5511474:5511493|offset_108|444444&amp;v=5511179:5511693&amp;c=444444", "offset 73")</f>
        <v>offset 73</v>
      </c>
    </row>
    <row r="17923" customFormat="false" ht="12.8" hidden="false" customHeight="false" outlineLevel="0" collapsed="false">
      <c r="A17923" s="0" t="s">
        <v>12</v>
      </c>
      <c r="B17923" s="0" t="n">
        <v>5511473</v>
      </c>
      <c r="C17923" s="0" t="n">
        <v>5511493</v>
      </c>
      <c r="D17923" s="0" t="s">
        <v>59590</v>
      </c>
      <c r="E17923" s="0" t="s">
        <v>75</v>
      </c>
      <c r="F17923" s="0" t="s">
        <v>15</v>
      </c>
      <c r="G17923" s="0" t="s">
        <v>32</v>
      </c>
      <c r="H17923" s="0" t="n">
        <v>108</v>
      </c>
      <c r="I17923" s="0" t="s">
        <v>59600</v>
      </c>
      <c r="J17923" s="0" t="s">
        <v>59601</v>
      </c>
      <c r="K17923" s="0" t="s">
        <v>59602</v>
      </c>
      <c r="L17923" s="0" t="str">
        <f aca="false">HYPERLINK("https://www.ncbi.nlm.nih.gov/nuccore/CP000058.1?report=graph&amp;tracks=[key:gene_model_track,Options:GeneOnly]&amp;mk=5511380:5511399|offset_14|444444,5511407:5511426|offset_41|444444,5511439:5511458|offset_73|444444,5511474:5511493|offset_108|00cc00&amp;v=5511179:5511693&amp;c=444444", "offset 108")</f>
        <v>offset 108</v>
      </c>
    </row>
    <row r="17924" customFormat="false" ht="12.8" hidden="false" customHeight="false" outlineLevel="0" collapsed="false">
      <c r="A17924" s="0" t="s">
        <v>12</v>
      </c>
      <c r="B17924" s="0" t="n">
        <v>5511958</v>
      </c>
      <c r="C17924" s="0" t="n">
        <v>5511978</v>
      </c>
      <c r="D17924" s="0" t="s">
        <v>59603</v>
      </c>
      <c r="E17924" s="0" t="s">
        <v>75</v>
      </c>
      <c r="F17924" s="0" t="s">
        <v>15</v>
      </c>
      <c r="G17924" s="0" t="s">
        <v>32</v>
      </c>
      <c r="H17924" s="0" t="n">
        <v>60</v>
      </c>
      <c r="I17924" s="0" t="s">
        <v>59604</v>
      </c>
      <c r="J17924" s="0" t="s">
        <v>59605</v>
      </c>
      <c r="K17924" s="0" t="s">
        <v>59606</v>
      </c>
      <c r="L17924" s="0" t="str">
        <f aca="false">HYPERLINK("https://www.ncbi.nlm.nih.gov/nuccore/CP000058.1?report=graph&amp;tracks=[key:gene_model_track,Options:GeneOnly]&amp;mk=5511959:5511978|offset_60|00cc00,5511981:5512000|offset_82|444444,5512014:5512033|offset_115|444444,5512035:5512054|offset_136|444444&amp;v=5511758:5512254&amp;c=444444", "offset 60")</f>
        <v>offset 60</v>
      </c>
    </row>
    <row r="17925" customFormat="false" ht="12.8" hidden="false" customHeight="false" outlineLevel="0" collapsed="false">
      <c r="A17925" s="0" t="s">
        <v>12</v>
      </c>
      <c r="B17925" s="0" t="n">
        <v>5511980</v>
      </c>
      <c r="C17925" s="0" t="n">
        <v>5512000</v>
      </c>
      <c r="D17925" s="0" t="s">
        <v>59603</v>
      </c>
      <c r="E17925" s="0" t="s">
        <v>75</v>
      </c>
      <c r="F17925" s="0" t="s">
        <v>15</v>
      </c>
      <c r="G17925" s="0" t="s">
        <v>20</v>
      </c>
      <c r="H17925" s="0" t="n">
        <v>82</v>
      </c>
      <c r="I17925" s="0" t="s">
        <v>59607</v>
      </c>
      <c r="J17925" s="0" t="s">
        <v>59608</v>
      </c>
      <c r="K17925" s="0" t="s">
        <v>59609</v>
      </c>
      <c r="L17925" s="0" t="str">
        <f aca="false">HYPERLINK("https://www.ncbi.nlm.nih.gov/nuccore/CP000058.1?report=graph&amp;tracks=[key:gene_model_track,Options:GeneOnly]&amp;mk=5511959:5511978|offset_60|444444,5511981:5512000|offset_82|00cc00,5512014:5512033|offset_115|444444,5512035:5512054|offset_136|444444&amp;v=5511758:5512254&amp;c=444444", "offset 82")</f>
        <v>offset 82</v>
      </c>
    </row>
    <row r="17926" customFormat="false" ht="12.8" hidden="false" customHeight="false" outlineLevel="0" collapsed="false">
      <c r="A17926" s="0" t="s">
        <v>12</v>
      </c>
      <c r="B17926" s="0" t="n">
        <v>5512013</v>
      </c>
      <c r="C17926" s="0" t="n">
        <v>5512033</v>
      </c>
      <c r="D17926" s="0" t="s">
        <v>59603</v>
      </c>
      <c r="E17926" s="0" t="s">
        <v>75</v>
      </c>
      <c r="F17926" s="0" t="s">
        <v>15</v>
      </c>
      <c r="G17926" s="0" t="s">
        <v>16</v>
      </c>
      <c r="H17926" s="0" t="n">
        <v>115</v>
      </c>
      <c r="I17926" s="0" t="s">
        <v>59610</v>
      </c>
      <c r="J17926" s="0" t="s">
        <v>59611</v>
      </c>
      <c r="K17926" s="0" t="s">
        <v>59612</v>
      </c>
      <c r="L17926" s="0" t="str">
        <f aca="false">HYPERLINK("https://www.ncbi.nlm.nih.gov/nuccore/CP000058.1?report=graph&amp;tracks=[key:gene_model_track,Options:GeneOnly]&amp;mk=5511959:5511978|offset_60|444444,5511981:5512000|offset_82|444444,5512014:5512033|offset_115|00cc00,5512035:5512054|offset_136|444444&amp;v=5511758:5512254&amp;c=444444", "offset 115")</f>
        <v>offset 115</v>
      </c>
    </row>
    <row r="17927" customFormat="false" ht="12.8" hidden="false" customHeight="false" outlineLevel="0" collapsed="false">
      <c r="A17927" s="0" t="s">
        <v>12</v>
      </c>
      <c r="B17927" s="0" t="n">
        <v>5512034</v>
      </c>
      <c r="C17927" s="0" t="n">
        <v>5512054</v>
      </c>
      <c r="D17927" s="0" t="s">
        <v>59603</v>
      </c>
      <c r="E17927" s="0" t="s">
        <v>75</v>
      </c>
      <c r="F17927" s="0" t="s">
        <v>15</v>
      </c>
      <c r="G17927" s="0" t="s">
        <v>32</v>
      </c>
      <c r="H17927" s="0" t="n">
        <v>136</v>
      </c>
      <c r="I17927" s="0" t="s">
        <v>59613</v>
      </c>
      <c r="J17927" s="0" t="s">
        <v>59614</v>
      </c>
      <c r="K17927" s="0" t="s">
        <v>59615</v>
      </c>
      <c r="L17927" s="0" t="str">
        <f aca="false">HYPERLINK("https://www.ncbi.nlm.nih.gov/nuccore/CP000058.1?report=graph&amp;tracks=[key:gene_model_track,Options:GeneOnly]&amp;mk=5511959:5511978|offset_60|444444,5511981:5512000|offset_82|444444,5512014:5512033|offset_115|444444,5512035:5512054|offset_136|00cc00&amp;v=5511758:5512254&amp;c=444444", "offset 136")</f>
        <v>offset 136</v>
      </c>
    </row>
    <row r="17928" customFormat="false" ht="12.8" hidden="false" customHeight="false" outlineLevel="0" collapsed="false">
      <c r="A17928" s="0" t="s">
        <v>12</v>
      </c>
      <c r="B17928" s="0" t="n">
        <v>5512858</v>
      </c>
      <c r="C17928" s="0" t="n">
        <v>5512878</v>
      </c>
      <c r="D17928" s="0" t="s">
        <v>59616</v>
      </c>
      <c r="E17928" s="0" t="s">
        <v>59617</v>
      </c>
      <c r="F17928" s="0" t="s">
        <v>15</v>
      </c>
      <c r="G17928" s="0" t="s">
        <v>20</v>
      </c>
      <c r="H17928" s="0" t="n">
        <v>44</v>
      </c>
      <c r="I17928" s="0" t="s">
        <v>59618</v>
      </c>
      <c r="J17928" s="0" t="s">
        <v>59619</v>
      </c>
      <c r="K17928" s="0" t="s">
        <v>59620</v>
      </c>
      <c r="L17928" s="0" t="str">
        <f aca="false">HYPERLINK("https://www.ncbi.nlm.nih.gov/nuccore/CP000058.1?report=graph&amp;tracks=[key:gene_model_track,Options:GeneOnly]&amp;mk=5512859:5512878|offset_44|00cc00,5512888:5512907|offset_73|444444,5512913:5512932|offset_98|444444,5512936:5512955|offset_121|444444&amp;v=5512658:5513155&amp;c=444444", "offset 44")</f>
        <v>offset 44</v>
      </c>
    </row>
    <row r="17929" customFormat="false" ht="12.8" hidden="false" customHeight="false" outlineLevel="0" collapsed="false">
      <c r="A17929" s="0" t="s">
        <v>12</v>
      </c>
      <c r="B17929" s="0" t="n">
        <v>5512887</v>
      </c>
      <c r="C17929" s="0" t="n">
        <v>5512907</v>
      </c>
      <c r="D17929" s="0" t="s">
        <v>59616</v>
      </c>
      <c r="E17929" s="0" t="s">
        <v>59617</v>
      </c>
      <c r="F17929" s="0" t="s">
        <v>15</v>
      </c>
      <c r="G17929" s="0" t="s">
        <v>16</v>
      </c>
      <c r="H17929" s="0" t="n">
        <v>73</v>
      </c>
      <c r="I17929" s="0" t="s">
        <v>59621</v>
      </c>
      <c r="J17929" s="0" t="s">
        <v>59622</v>
      </c>
      <c r="K17929" s="0" t="s">
        <v>59623</v>
      </c>
      <c r="L17929" s="0" t="str">
        <f aca="false">HYPERLINK("https://www.ncbi.nlm.nih.gov/nuccore/CP000058.1?report=graph&amp;tracks=[key:gene_model_track,Options:GeneOnly]&amp;mk=5512859:5512878|offset_44|444444,5512888:5512907|offset_73|00cc00,5512913:5512932|offset_98|444444,5512936:5512955|offset_121|444444&amp;v=5512658:5513155&amp;c=444444", "offset 73")</f>
        <v>offset 73</v>
      </c>
    </row>
    <row r="17930" customFormat="false" ht="12.8" hidden="false" customHeight="false" outlineLevel="0" collapsed="false">
      <c r="A17930" s="0" t="s">
        <v>12</v>
      </c>
      <c r="B17930" s="0" t="n">
        <v>5512912</v>
      </c>
      <c r="C17930" s="0" t="n">
        <v>5512932</v>
      </c>
      <c r="D17930" s="0" t="s">
        <v>59616</v>
      </c>
      <c r="E17930" s="0" t="s">
        <v>59617</v>
      </c>
      <c r="F17930" s="0" t="s">
        <v>15</v>
      </c>
      <c r="G17930" s="0" t="s">
        <v>36</v>
      </c>
      <c r="H17930" s="0" t="n">
        <v>98</v>
      </c>
      <c r="I17930" s="0" t="s">
        <v>59624</v>
      </c>
      <c r="J17930" s="0" t="s">
        <v>59625</v>
      </c>
      <c r="K17930" s="0" t="s">
        <v>59626</v>
      </c>
      <c r="L17930" s="0" t="str">
        <f aca="false">HYPERLINK("https://www.ncbi.nlm.nih.gov/nuccore/CP000058.1?report=graph&amp;tracks=[key:gene_model_track,Options:GeneOnly]&amp;mk=5512859:5512878|offset_44|444444,5512888:5512907|offset_73|444444,5512913:5512932|offset_98|00cc00,5512936:5512955|offset_121|444444&amp;v=5512658:5513155&amp;c=444444", "offset 98")</f>
        <v>offset 98</v>
      </c>
    </row>
    <row r="17931" customFormat="false" ht="12.8" hidden="false" customHeight="false" outlineLevel="0" collapsed="false">
      <c r="A17931" s="0" t="s">
        <v>12</v>
      </c>
      <c r="B17931" s="0" t="n">
        <v>5512935</v>
      </c>
      <c r="C17931" s="0" t="n">
        <v>5512955</v>
      </c>
      <c r="D17931" s="0" t="s">
        <v>59616</v>
      </c>
      <c r="E17931" s="0" t="s">
        <v>59617</v>
      </c>
      <c r="F17931" s="0" t="s">
        <v>15</v>
      </c>
      <c r="G17931" s="0" t="s">
        <v>32</v>
      </c>
      <c r="H17931" s="0" t="n">
        <v>121</v>
      </c>
      <c r="I17931" s="0" t="s">
        <v>59627</v>
      </c>
      <c r="J17931" s="0" t="s">
        <v>59628</v>
      </c>
      <c r="K17931" s="0" t="s">
        <v>59629</v>
      </c>
      <c r="L17931" s="0" t="str">
        <f aca="false">HYPERLINK("https://www.ncbi.nlm.nih.gov/nuccore/CP000058.1?report=graph&amp;tracks=[key:gene_model_track,Options:GeneOnly]&amp;mk=5512859:5512878|offset_44|444444,5512888:5512907|offset_73|444444,5512913:5512932|offset_98|444444,5512936:5512955|offset_121|00cc00&amp;v=5512658:5513155&amp;c=444444", "offset 121")</f>
        <v>offset 121</v>
      </c>
    </row>
    <row r="17932" customFormat="false" ht="12.8" hidden="false" customHeight="false" outlineLevel="0" collapsed="false">
      <c r="A17932" s="0" t="s">
        <v>12</v>
      </c>
      <c r="B17932" s="0" t="n">
        <v>5513904</v>
      </c>
      <c r="C17932" s="0" t="n">
        <v>5513924</v>
      </c>
      <c r="D17932" s="0" t="s">
        <v>59630</v>
      </c>
      <c r="E17932" s="0" t="s">
        <v>59631</v>
      </c>
      <c r="F17932" s="0" t="s">
        <v>15</v>
      </c>
      <c r="G17932" s="0" t="s">
        <v>16</v>
      </c>
      <c r="H17932" s="0" t="n">
        <v>8</v>
      </c>
      <c r="I17932" s="0" t="s">
        <v>59632</v>
      </c>
      <c r="J17932" s="0" t="s">
        <v>59633</v>
      </c>
      <c r="K17932" s="0" t="s">
        <v>59634</v>
      </c>
      <c r="L17932" s="0" t="str">
        <f aca="false">HYPERLINK("https://www.ncbi.nlm.nih.gov/nuccore/CP000058.1?report=graph&amp;tracks=[key:gene_model_track,Options:GeneOnly]&amp;mk=5513905:5513924|offset_8|00cc00,5513947:5513966|offset_50|444444,5513988:5514007|offset_91|444444,5514009:5514028|offset_112|444444&amp;v=5513704:5514228&amp;c=444444", "offset 8")</f>
        <v>offset 8</v>
      </c>
    </row>
    <row r="17933" customFormat="false" ht="12.8" hidden="false" customHeight="false" outlineLevel="0" collapsed="false">
      <c r="A17933" s="0" t="s">
        <v>12</v>
      </c>
      <c r="B17933" s="0" t="n">
        <v>5513946</v>
      </c>
      <c r="C17933" s="0" t="n">
        <v>5513966</v>
      </c>
      <c r="D17933" s="0" t="s">
        <v>59630</v>
      </c>
      <c r="E17933" s="0" t="s">
        <v>59631</v>
      </c>
      <c r="F17933" s="0" t="s">
        <v>15</v>
      </c>
      <c r="G17933" s="0" t="s">
        <v>16</v>
      </c>
      <c r="H17933" s="0" t="n">
        <v>50</v>
      </c>
      <c r="I17933" s="0" t="s">
        <v>59635</v>
      </c>
      <c r="J17933" s="0" t="s">
        <v>59636</v>
      </c>
      <c r="K17933" s="0" t="s">
        <v>59637</v>
      </c>
      <c r="L17933" s="0" t="str">
        <f aca="false">HYPERLINK("https://www.ncbi.nlm.nih.gov/nuccore/CP000058.1?report=graph&amp;tracks=[key:gene_model_track,Options:GeneOnly]&amp;mk=5513905:5513924|offset_8|444444,5513947:5513966|offset_50|00cc00,5513988:5514007|offset_91|444444,5514009:5514028|offset_112|444444&amp;v=5513704:5514228&amp;c=444444", "offset 50")</f>
        <v>offset 50</v>
      </c>
    </row>
    <row r="17934" customFormat="false" ht="12.8" hidden="false" customHeight="false" outlineLevel="0" collapsed="false">
      <c r="A17934" s="0" t="s">
        <v>12</v>
      </c>
      <c r="B17934" s="0" t="n">
        <v>5513987</v>
      </c>
      <c r="C17934" s="0" t="n">
        <v>5514007</v>
      </c>
      <c r="D17934" s="0" t="s">
        <v>59630</v>
      </c>
      <c r="E17934" s="0" t="s">
        <v>59631</v>
      </c>
      <c r="F17934" s="0" t="s">
        <v>15</v>
      </c>
      <c r="G17934" s="0" t="s">
        <v>32</v>
      </c>
      <c r="H17934" s="0" t="n">
        <v>91</v>
      </c>
      <c r="I17934" s="0" t="s">
        <v>59638</v>
      </c>
      <c r="J17934" s="0" t="s">
        <v>59639</v>
      </c>
      <c r="K17934" s="0" t="s">
        <v>59640</v>
      </c>
      <c r="L17934" s="0" t="str">
        <f aca="false">HYPERLINK("https://www.ncbi.nlm.nih.gov/nuccore/CP000058.1?report=graph&amp;tracks=[key:gene_model_track,Options:GeneOnly]&amp;mk=5513905:5513924|offset_8|444444,5513947:5513966|offset_50|444444,5513988:5514007|offset_91|00cc00,5514009:5514028|offset_112|444444&amp;v=5513704:5514228&amp;c=444444", "offset 91")</f>
        <v>offset 91</v>
      </c>
    </row>
    <row r="17935" customFormat="false" ht="12.8" hidden="false" customHeight="false" outlineLevel="0" collapsed="false">
      <c r="A17935" s="0" t="s">
        <v>12</v>
      </c>
      <c r="B17935" s="0" t="n">
        <v>5514008</v>
      </c>
      <c r="C17935" s="0" t="n">
        <v>5514028</v>
      </c>
      <c r="D17935" s="0" t="s">
        <v>59630</v>
      </c>
      <c r="E17935" s="0" t="s">
        <v>59631</v>
      </c>
      <c r="F17935" s="0" t="s">
        <v>15</v>
      </c>
      <c r="G17935" s="0" t="s">
        <v>16</v>
      </c>
      <c r="H17935" s="0" t="n">
        <v>112</v>
      </c>
      <c r="I17935" s="0" t="s">
        <v>59641</v>
      </c>
      <c r="J17935" s="0" t="s">
        <v>59642</v>
      </c>
      <c r="K17935" s="0" t="s">
        <v>59643</v>
      </c>
      <c r="L17935" s="0" t="str">
        <f aca="false">HYPERLINK("https://www.ncbi.nlm.nih.gov/nuccore/CP000058.1?report=graph&amp;tracks=[key:gene_model_track,Options:GeneOnly]&amp;mk=5513905:5513924|offset_8|444444,5513947:5513966|offset_50|444444,5513988:5514007|offset_91|444444,5514009:5514028|offset_112|00cc00&amp;v=5513704:5514228&amp;c=444444", "offset 112")</f>
        <v>offset 112</v>
      </c>
    </row>
    <row r="17936" customFormat="false" ht="12.8" hidden="false" customHeight="false" outlineLevel="0" collapsed="false">
      <c r="A17936" s="0" t="s">
        <v>12</v>
      </c>
      <c r="B17936" s="0" t="n">
        <v>5516521</v>
      </c>
      <c r="C17936" s="0" t="n">
        <v>5516541</v>
      </c>
      <c r="D17936" s="0" t="s">
        <v>59644</v>
      </c>
      <c r="E17936" s="0" t="s">
        <v>75</v>
      </c>
      <c r="F17936" s="0" t="s">
        <v>90</v>
      </c>
      <c r="G17936" s="0" t="s">
        <v>20</v>
      </c>
      <c r="H17936" s="0" t="n">
        <v>7</v>
      </c>
      <c r="I17936" s="0" t="s">
        <v>59645</v>
      </c>
      <c r="J17936" s="0" t="s">
        <v>59646</v>
      </c>
      <c r="K17936" s="0" t="s">
        <v>59647</v>
      </c>
      <c r="L17936" s="0" t="str">
        <f aca="false">HYPERLINK("https://www.ncbi.nlm.nih.gov/nuccore/CP000058.1?report=graph&amp;tracks=[key:gene_model_track,Options:GeneOnly]&amp;mk=5516522:5516541|offset_7|00cc00,5516487:5516506|offset_42|444444,5516451:5516470|offset_78|444444,5516406:5516425|offset_123|444444&amp;v=5516321:5516625&amp;c=444444", "offset 7")</f>
        <v>offset 7</v>
      </c>
    </row>
    <row r="17937" customFormat="false" ht="12.8" hidden="false" customHeight="false" outlineLevel="0" collapsed="false">
      <c r="A17937" s="0" t="s">
        <v>12</v>
      </c>
      <c r="B17937" s="0" t="n">
        <v>5516486</v>
      </c>
      <c r="C17937" s="0" t="n">
        <v>5516506</v>
      </c>
      <c r="D17937" s="0" t="s">
        <v>59644</v>
      </c>
      <c r="E17937" s="0" t="s">
        <v>75</v>
      </c>
      <c r="F17937" s="0" t="s">
        <v>90</v>
      </c>
      <c r="G17937" s="0" t="s">
        <v>20</v>
      </c>
      <c r="H17937" s="0" t="n">
        <v>42</v>
      </c>
      <c r="I17937" s="0" t="s">
        <v>59648</v>
      </c>
      <c r="J17937" s="0" t="s">
        <v>59649</v>
      </c>
      <c r="K17937" s="0" t="s">
        <v>59650</v>
      </c>
      <c r="L17937" s="0" t="str">
        <f aca="false">HYPERLINK("https://www.ncbi.nlm.nih.gov/nuccore/CP000058.1?report=graph&amp;tracks=[key:gene_model_track,Options:GeneOnly]&amp;mk=5516522:5516541|offset_7|444444,5516487:5516506|offset_42|00cc00,5516451:5516470|offset_78|444444,5516406:5516425|offset_123|444444&amp;v=5516321:5516625&amp;c=444444", "offset 42")</f>
        <v>offset 42</v>
      </c>
    </row>
    <row r="17938" customFormat="false" ht="12.8" hidden="false" customHeight="false" outlineLevel="0" collapsed="false">
      <c r="A17938" s="0" t="s">
        <v>12</v>
      </c>
      <c r="B17938" s="0" t="n">
        <v>5516450</v>
      </c>
      <c r="C17938" s="0" t="n">
        <v>5516470</v>
      </c>
      <c r="D17938" s="0" t="s">
        <v>59644</v>
      </c>
      <c r="E17938" s="0" t="s">
        <v>75</v>
      </c>
      <c r="F17938" s="0" t="s">
        <v>90</v>
      </c>
      <c r="G17938" s="0" t="s">
        <v>16</v>
      </c>
      <c r="H17938" s="0" t="n">
        <v>78</v>
      </c>
      <c r="I17938" s="0" t="s">
        <v>59651</v>
      </c>
      <c r="J17938" s="0" t="s">
        <v>59652</v>
      </c>
      <c r="K17938" s="0" t="s">
        <v>59653</v>
      </c>
      <c r="L17938" s="0" t="str">
        <f aca="false">HYPERLINK("https://www.ncbi.nlm.nih.gov/nuccore/CP000058.1?report=graph&amp;tracks=[key:gene_model_track,Options:GeneOnly]&amp;mk=5516522:5516541|offset_7|444444,5516487:5516506|offset_42|444444,5516451:5516470|offset_78|00cc00,5516406:5516425|offset_123|444444&amp;v=5516321:5516625&amp;c=444444", "offset 78")</f>
        <v>offset 78</v>
      </c>
    </row>
    <row r="17939" customFormat="false" ht="12.8" hidden="false" customHeight="false" outlineLevel="0" collapsed="false">
      <c r="A17939" s="0" t="s">
        <v>12</v>
      </c>
      <c r="B17939" s="0" t="n">
        <v>5516405</v>
      </c>
      <c r="C17939" s="0" t="n">
        <v>5516425</v>
      </c>
      <c r="D17939" s="0" t="s">
        <v>59644</v>
      </c>
      <c r="E17939" s="0" t="s">
        <v>75</v>
      </c>
      <c r="F17939" s="0" t="s">
        <v>90</v>
      </c>
      <c r="G17939" s="0" t="s">
        <v>16</v>
      </c>
      <c r="H17939" s="0" t="n">
        <v>123</v>
      </c>
      <c r="I17939" s="0" t="s">
        <v>59654</v>
      </c>
      <c r="J17939" s="0" t="s">
        <v>59655</v>
      </c>
      <c r="K17939" s="0" t="s">
        <v>59656</v>
      </c>
      <c r="L17939" s="0" t="str">
        <f aca="false">HYPERLINK("https://www.ncbi.nlm.nih.gov/nuccore/CP000058.1?report=graph&amp;tracks=[key:gene_model_track,Options:GeneOnly]&amp;mk=5516522:5516541|offset_7|444444,5516487:5516506|offset_42|444444,5516451:5516470|offset_78|444444,5516406:5516425|offset_123|00cc00&amp;v=5516321:5516625&amp;c=444444", "offset 123")</f>
        <v>offset 123</v>
      </c>
    </row>
    <row r="17940" customFormat="false" ht="12.8" hidden="false" customHeight="false" outlineLevel="0" collapsed="false">
      <c r="A17940" s="0" t="s">
        <v>12</v>
      </c>
      <c r="B17940" s="0" t="n">
        <v>5517545</v>
      </c>
      <c r="C17940" s="0" t="n">
        <v>5517565</v>
      </c>
      <c r="D17940" s="0" t="s">
        <v>59657</v>
      </c>
      <c r="E17940" s="0" t="s">
        <v>75</v>
      </c>
      <c r="F17940" s="0" t="s">
        <v>90</v>
      </c>
      <c r="G17940" s="0" t="s">
        <v>36</v>
      </c>
      <c r="H17940" s="0" t="n">
        <v>0</v>
      </c>
      <c r="I17940" s="0" t="s">
        <v>59658</v>
      </c>
      <c r="J17940" s="0" t="s">
        <v>59659</v>
      </c>
      <c r="K17940" s="0" t="s">
        <v>59660</v>
      </c>
      <c r="L17940" s="0" t="str">
        <f aca="false">HYPERLINK("https://www.ncbi.nlm.nih.gov/nuccore/CP000058.1?report=graph&amp;tracks=[key:gene_model_track,Options:GeneOnly]&amp;mk=5517546:5517565|offset_0|00cc00,5517521:5517540|offset_25|444444,5517485:5517504|offset_61|444444,5517419:5517438|offset_127|444444&amp;v=5517345:5517638&amp;c=444444", "offset 0")</f>
        <v>offset 0</v>
      </c>
    </row>
    <row r="17941" customFormat="false" ht="12.8" hidden="false" customHeight="false" outlineLevel="0" collapsed="false">
      <c r="A17941" s="0" t="s">
        <v>12</v>
      </c>
      <c r="B17941" s="0" t="n">
        <v>5517520</v>
      </c>
      <c r="C17941" s="0" t="n">
        <v>5517540</v>
      </c>
      <c r="D17941" s="0" t="s">
        <v>59657</v>
      </c>
      <c r="E17941" s="0" t="s">
        <v>75</v>
      </c>
      <c r="F17941" s="0" t="s">
        <v>90</v>
      </c>
      <c r="G17941" s="0" t="s">
        <v>16</v>
      </c>
      <c r="H17941" s="0" t="n">
        <v>25</v>
      </c>
      <c r="I17941" s="0" t="s">
        <v>59661</v>
      </c>
      <c r="J17941" s="0" t="s">
        <v>59662</v>
      </c>
      <c r="K17941" s="0" t="s">
        <v>59663</v>
      </c>
      <c r="L17941" s="0" t="str">
        <f aca="false">HYPERLINK("https://www.ncbi.nlm.nih.gov/nuccore/CP000058.1?report=graph&amp;tracks=[key:gene_model_track,Options:GeneOnly]&amp;mk=5517546:5517565|offset_0|444444,5517521:5517540|offset_25|00cc00,5517485:5517504|offset_61|444444,5517419:5517438|offset_127|444444&amp;v=5517345:5517638&amp;c=444444", "offset 25")</f>
        <v>offset 25</v>
      </c>
    </row>
    <row r="17942" customFormat="false" ht="12.8" hidden="false" customHeight="false" outlineLevel="0" collapsed="false">
      <c r="A17942" s="0" t="s">
        <v>12</v>
      </c>
      <c r="B17942" s="0" t="n">
        <v>5517484</v>
      </c>
      <c r="C17942" s="0" t="n">
        <v>5517504</v>
      </c>
      <c r="D17942" s="0" t="s">
        <v>59657</v>
      </c>
      <c r="E17942" s="0" t="s">
        <v>75</v>
      </c>
      <c r="F17942" s="0" t="s">
        <v>90</v>
      </c>
      <c r="G17942" s="0" t="s">
        <v>20</v>
      </c>
      <c r="H17942" s="0" t="n">
        <v>61</v>
      </c>
      <c r="I17942" s="0" t="s">
        <v>59664</v>
      </c>
      <c r="J17942" s="0" t="s">
        <v>59665</v>
      </c>
      <c r="K17942" s="0" t="s">
        <v>59666</v>
      </c>
      <c r="L17942" s="0" t="str">
        <f aca="false">HYPERLINK("https://www.ncbi.nlm.nih.gov/nuccore/CP000058.1?report=graph&amp;tracks=[key:gene_model_track,Options:GeneOnly]&amp;mk=5517546:5517565|offset_0|444444,5517521:5517540|offset_25|444444,5517485:5517504|offset_61|00cc00,5517419:5517438|offset_127|444444&amp;v=5517345:5517638&amp;c=444444", "offset 61")</f>
        <v>offset 61</v>
      </c>
    </row>
    <row r="17943" customFormat="false" ht="12.8" hidden="false" customHeight="false" outlineLevel="0" collapsed="false">
      <c r="A17943" s="0" t="s">
        <v>12</v>
      </c>
      <c r="B17943" s="0" t="n">
        <v>5517418</v>
      </c>
      <c r="C17943" s="0" t="n">
        <v>5517438</v>
      </c>
      <c r="D17943" s="0" t="s">
        <v>59657</v>
      </c>
      <c r="E17943" s="0" t="s">
        <v>75</v>
      </c>
      <c r="F17943" s="0" t="s">
        <v>90</v>
      </c>
      <c r="G17943" s="0" t="s">
        <v>32</v>
      </c>
      <c r="H17943" s="0" t="n">
        <v>127</v>
      </c>
      <c r="I17943" s="0" t="s">
        <v>59667</v>
      </c>
      <c r="J17943" s="0" t="s">
        <v>59668</v>
      </c>
      <c r="K17943" s="0" t="s">
        <v>59669</v>
      </c>
      <c r="L17943" s="0" t="str">
        <f aca="false">HYPERLINK("https://www.ncbi.nlm.nih.gov/nuccore/CP000058.1?report=graph&amp;tracks=[key:gene_model_track,Options:GeneOnly]&amp;mk=5517546:5517565|offset_0|444444,5517521:5517540|offset_25|444444,5517485:5517504|offset_61|444444,5517419:5517438|offset_127|00cc00&amp;v=5517345:5517638&amp;c=444444", "offset 127")</f>
        <v>offset 127</v>
      </c>
    </row>
    <row r="17944" customFormat="false" ht="12.8" hidden="false" customHeight="false" outlineLevel="0" collapsed="false">
      <c r="A17944" s="0" t="s">
        <v>12</v>
      </c>
      <c r="B17944" s="0" t="n">
        <v>5518933</v>
      </c>
      <c r="C17944" s="0" t="n">
        <v>5518953</v>
      </c>
      <c r="D17944" s="0" t="s">
        <v>59670</v>
      </c>
      <c r="E17944" s="0" t="s">
        <v>75</v>
      </c>
      <c r="F17944" s="0" t="s">
        <v>90</v>
      </c>
      <c r="G17944" s="0" t="s">
        <v>32</v>
      </c>
      <c r="H17944" s="0" t="n">
        <v>49</v>
      </c>
      <c r="I17944" s="0" t="s">
        <v>59671</v>
      </c>
      <c r="J17944" s="0" t="s">
        <v>59672</v>
      </c>
      <c r="K17944" s="0" t="s">
        <v>59673</v>
      </c>
      <c r="L17944" s="0" t="str">
        <f aca="false">HYPERLINK("https://www.ncbi.nlm.nih.gov/nuccore/CP000058.1?report=graph&amp;tracks=[key:gene_model_track,Options:GeneOnly]&amp;mk=5518934:5518953|offset_49|00cc00,5518903:5518922|offset_80|444444,5518850:5518869|offset_133|444444,5518793:5518812|offset_190|444444&amp;v=5518733:5519012&amp;c=444444", "offset 49")</f>
        <v>offset 49</v>
      </c>
    </row>
    <row r="17945" customFormat="false" ht="12.8" hidden="false" customHeight="false" outlineLevel="0" collapsed="false">
      <c r="A17945" s="0" t="s">
        <v>12</v>
      </c>
      <c r="B17945" s="0" t="n">
        <v>5518902</v>
      </c>
      <c r="C17945" s="0" t="n">
        <v>5518922</v>
      </c>
      <c r="D17945" s="0" t="s">
        <v>59670</v>
      </c>
      <c r="E17945" s="0" t="s">
        <v>75</v>
      </c>
      <c r="F17945" s="0" t="s">
        <v>90</v>
      </c>
      <c r="G17945" s="0" t="s">
        <v>36</v>
      </c>
      <c r="H17945" s="0" t="n">
        <v>80</v>
      </c>
      <c r="I17945" s="0" t="s">
        <v>59674</v>
      </c>
      <c r="J17945" s="0" t="s">
        <v>59675</v>
      </c>
      <c r="K17945" s="0" t="s">
        <v>59676</v>
      </c>
      <c r="L17945" s="0" t="str">
        <f aca="false">HYPERLINK("https://www.ncbi.nlm.nih.gov/nuccore/CP000058.1?report=graph&amp;tracks=[key:gene_model_track,Options:GeneOnly]&amp;mk=5518934:5518953|offset_49|444444,5518903:5518922|offset_80|00cc00,5518850:5518869|offset_133|444444,5518793:5518812|offset_190|444444&amp;v=5518733:5519012&amp;c=444444", "offset 80")</f>
        <v>offset 80</v>
      </c>
    </row>
    <row r="17946" customFormat="false" ht="12.8" hidden="false" customHeight="false" outlineLevel="0" collapsed="false">
      <c r="A17946" s="0" t="s">
        <v>12</v>
      </c>
      <c r="B17946" s="0" t="n">
        <v>5518849</v>
      </c>
      <c r="C17946" s="0" t="n">
        <v>5518869</v>
      </c>
      <c r="D17946" s="0" t="s">
        <v>59670</v>
      </c>
      <c r="E17946" s="0" t="s">
        <v>75</v>
      </c>
      <c r="F17946" s="0" t="s">
        <v>90</v>
      </c>
      <c r="G17946" s="0" t="s">
        <v>32</v>
      </c>
      <c r="H17946" s="0" t="n">
        <v>133</v>
      </c>
      <c r="I17946" s="0" t="s">
        <v>59677</v>
      </c>
      <c r="J17946" s="0" t="s">
        <v>59678</v>
      </c>
      <c r="K17946" s="0" t="s">
        <v>59679</v>
      </c>
      <c r="L17946" s="0" t="str">
        <f aca="false">HYPERLINK("https://www.ncbi.nlm.nih.gov/nuccore/CP000058.1?report=graph&amp;tracks=[key:gene_model_track,Options:GeneOnly]&amp;mk=5518934:5518953|offset_49|444444,5518903:5518922|offset_80|444444,5518850:5518869|offset_133|00cc00,5518793:5518812|offset_190|444444&amp;v=5518733:5519012&amp;c=444444", "offset 133")</f>
        <v>offset 133</v>
      </c>
    </row>
    <row r="17947" customFormat="false" ht="12.8" hidden="false" customHeight="false" outlineLevel="0" collapsed="false">
      <c r="A17947" s="0" t="s">
        <v>12</v>
      </c>
      <c r="B17947" s="0" t="n">
        <v>5518792</v>
      </c>
      <c r="C17947" s="0" t="n">
        <v>5518812</v>
      </c>
      <c r="D17947" s="0" t="s">
        <v>59670</v>
      </c>
      <c r="E17947" s="0" t="s">
        <v>75</v>
      </c>
      <c r="F17947" s="0" t="s">
        <v>90</v>
      </c>
      <c r="G17947" s="0" t="s">
        <v>16</v>
      </c>
      <c r="H17947" s="0" t="n">
        <v>190</v>
      </c>
      <c r="I17947" s="0" t="s">
        <v>59680</v>
      </c>
      <c r="J17947" s="0" t="s">
        <v>59681</v>
      </c>
      <c r="K17947" s="0" t="s">
        <v>59682</v>
      </c>
      <c r="L17947" s="0" t="str">
        <f aca="false">HYPERLINK("https://www.ncbi.nlm.nih.gov/nuccore/CP000058.1?report=graph&amp;tracks=[key:gene_model_track,Options:GeneOnly]&amp;mk=5518934:5518953|offset_49|444444,5518903:5518922|offset_80|444444,5518850:5518869|offset_133|444444,5518793:5518812|offset_190|00cc00&amp;v=5518733:5519012&amp;c=444444", "offset 190")</f>
        <v>offset 190</v>
      </c>
    </row>
    <row r="17948" customFormat="false" ht="12.8" hidden="false" customHeight="false" outlineLevel="0" collapsed="false">
      <c r="A17948" s="0" t="s">
        <v>12</v>
      </c>
      <c r="B17948" s="0" t="n">
        <v>5521333</v>
      </c>
      <c r="C17948" s="0" t="n">
        <v>5521353</v>
      </c>
      <c r="D17948" s="0" t="s">
        <v>59683</v>
      </c>
      <c r="E17948" s="0" t="s">
        <v>75</v>
      </c>
      <c r="F17948" s="0" t="s">
        <v>90</v>
      </c>
      <c r="G17948" s="0" t="s">
        <v>32</v>
      </c>
      <c r="H17948" s="0" t="n">
        <v>0</v>
      </c>
      <c r="I17948" s="0" t="s">
        <v>59684</v>
      </c>
      <c r="J17948" s="0" t="s">
        <v>59685</v>
      </c>
      <c r="K17948" s="0" t="s">
        <v>59686</v>
      </c>
      <c r="L17948" s="0" t="str">
        <f aca="false">HYPERLINK("https://www.ncbi.nlm.nih.gov/nuccore/CP000058.1?report=graph&amp;tracks=[key:gene_model_track,Options:GeneOnly]&amp;mk=5521334:5521353|offset_0|00cc00,5521234:5521253|offset_100|444444,5521203:5521222|offset_131|444444,5521166:5521185|offset_168|444444&amp;v=5521133:5521385&amp;c=444444", "offset 0")</f>
        <v>offset 0</v>
      </c>
    </row>
    <row r="17949" customFormat="false" ht="12.8" hidden="false" customHeight="false" outlineLevel="0" collapsed="false">
      <c r="A17949" s="0" t="s">
        <v>12</v>
      </c>
      <c r="B17949" s="0" t="n">
        <v>5521233</v>
      </c>
      <c r="C17949" s="0" t="n">
        <v>5521253</v>
      </c>
      <c r="D17949" s="0" t="s">
        <v>59683</v>
      </c>
      <c r="E17949" s="0" t="s">
        <v>75</v>
      </c>
      <c r="F17949" s="0" t="s">
        <v>90</v>
      </c>
      <c r="G17949" s="0" t="s">
        <v>32</v>
      </c>
      <c r="H17949" s="0" t="n">
        <v>100</v>
      </c>
      <c r="I17949" s="0" t="s">
        <v>59687</v>
      </c>
      <c r="J17949" s="0" t="s">
        <v>59688</v>
      </c>
      <c r="K17949" s="0" t="s">
        <v>59689</v>
      </c>
      <c r="L17949" s="0" t="str">
        <f aca="false">HYPERLINK("https://www.ncbi.nlm.nih.gov/nuccore/CP000058.1?report=graph&amp;tracks=[key:gene_model_track,Options:GeneOnly]&amp;mk=5521334:5521353|offset_0|444444,5521234:5521253|offset_100|00cc00,5521203:5521222|offset_131|444444,5521166:5521185|offset_168|444444&amp;v=5521133:5521385&amp;c=444444", "offset 100")</f>
        <v>offset 100</v>
      </c>
    </row>
    <row r="17950" customFormat="false" ht="12.8" hidden="false" customHeight="false" outlineLevel="0" collapsed="false">
      <c r="A17950" s="0" t="s">
        <v>12</v>
      </c>
      <c r="B17950" s="0" t="n">
        <v>5521202</v>
      </c>
      <c r="C17950" s="0" t="n">
        <v>5521222</v>
      </c>
      <c r="D17950" s="0" t="s">
        <v>59683</v>
      </c>
      <c r="E17950" s="0" t="s">
        <v>75</v>
      </c>
      <c r="F17950" s="0" t="s">
        <v>90</v>
      </c>
      <c r="G17950" s="0" t="s">
        <v>16</v>
      </c>
      <c r="H17950" s="0" t="n">
        <v>131</v>
      </c>
      <c r="I17950" s="0" t="s">
        <v>59690</v>
      </c>
      <c r="J17950" s="0" t="s">
        <v>59691</v>
      </c>
      <c r="K17950" s="0" t="s">
        <v>59692</v>
      </c>
      <c r="L17950" s="0" t="str">
        <f aca="false">HYPERLINK("https://www.ncbi.nlm.nih.gov/nuccore/CP000058.1?report=graph&amp;tracks=[key:gene_model_track,Options:GeneOnly]&amp;mk=5521334:5521353|offset_0|444444,5521234:5521253|offset_100|444444,5521203:5521222|offset_131|00cc00,5521166:5521185|offset_168|444444&amp;v=5521133:5521385&amp;c=444444", "offset 131")</f>
        <v>offset 131</v>
      </c>
    </row>
    <row r="17951" customFormat="false" ht="12.8" hidden="false" customHeight="false" outlineLevel="0" collapsed="false">
      <c r="A17951" s="0" t="s">
        <v>12</v>
      </c>
      <c r="B17951" s="0" t="n">
        <v>5521165</v>
      </c>
      <c r="C17951" s="0" t="n">
        <v>5521185</v>
      </c>
      <c r="D17951" s="0" t="s">
        <v>59683</v>
      </c>
      <c r="E17951" s="0" t="s">
        <v>75</v>
      </c>
      <c r="F17951" s="0" t="s">
        <v>90</v>
      </c>
      <c r="G17951" s="0" t="s">
        <v>32</v>
      </c>
      <c r="H17951" s="0" t="n">
        <v>168</v>
      </c>
      <c r="I17951" s="0" t="s">
        <v>59693</v>
      </c>
      <c r="J17951" s="0" t="s">
        <v>59694</v>
      </c>
      <c r="K17951" s="0" t="s">
        <v>59695</v>
      </c>
      <c r="L17951" s="0" t="str">
        <f aca="false">HYPERLINK("https://www.ncbi.nlm.nih.gov/nuccore/CP000058.1?report=graph&amp;tracks=[key:gene_model_track,Options:GeneOnly]&amp;mk=5521334:5521353|offset_0|444444,5521234:5521253|offset_100|444444,5521203:5521222|offset_131|444444,5521166:5521185|offset_168|00cc00&amp;v=5521133:5521385&amp;c=444444", "offset 168")</f>
        <v>offset 168</v>
      </c>
    </row>
    <row r="17952" customFormat="false" ht="12.8" hidden="false" customHeight="false" outlineLevel="0" collapsed="false">
      <c r="A17952" s="0" t="s">
        <v>12</v>
      </c>
      <c r="B17952" s="0" t="n">
        <v>5521532</v>
      </c>
      <c r="C17952" s="0" t="n">
        <v>5521552</v>
      </c>
      <c r="D17952" s="0" t="s">
        <v>59696</v>
      </c>
      <c r="E17952" s="0" t="s">
        <v>75</v>
      </c>
      <c r="F17952" s="0" t="s">
        <v>15</v>
      </c>
      <c r="G17952" s="0" t="s">
        <v>16</v>
      </c>
      <c r="H17952" s="0" t="n">
        <v>7</v>
      </c>
      <c r="I17952" s="0" t="s">
        <v>59697</v>
      </c>
      <c r="J17952" s="0" t="s">
        <v>59698</v>
      </c>
      <c r="K17952" s="0" t="s">
        <v>59699</v>
      </c>
      <c r="L17952" s="0" t="str">
        <f aca="false">HYPERLINK("https://www.ncbi.nlm.nih.gov/nuccore/CP000058.1?report=graph&amp;tracks=[key:gene_model_track,Options:GeneOnly]&amp;mk=5521533:5521552|offset_7|00cc00,5521561:5521580|offset_35|444444,5521605:5521624|offset_79|444444,5521646:5521665|offset_120|444444&amp;v=5521332:5521865&amp;c=444444", "offset 7")</f>
        <v>offset 7</v>
      </c>
    </row>
    <row r="17953" customFormat="false" ht="12.8" hidden="false" customHeight="false" outlineLevel="0" collapsed="false">
      <c r="A17953" s="0" t="s">
        <v>12</v>
      </c>
      <c r="B17953" s="0" t="n">
        <v>5521560</v>
      </c>
      <c r="C17953" s="0" t="n">
        <v>5521580</v>
      </c>
      <c r="D17953" s="0" t="s">
        <v>59696</v>
      </c>
      <c r="E17953" s="0" t="s">
        <v>75</v>
      </c>
      <c r="F17953" s="0" t="s">
        <v>15</v>
      </c>
      <c r="G17953" s="0" t="s">
        <v>16</v>
      </c>
      <c r="H17953" s="0" t="n">
        <v>35</v>
      </c>
      <c r="I17953" s="0" t="s">
        <v>59700</v>
      </c>
      <c r="J17953" s="0" t="s">
        <v>59701</v>
      </c>
      <c r="K17953" s="0" t="s">
        <v>59702</v>
      </c>
      <c r="L17953" s="0" t="str">
        <f aca="false">HYPERLINK("https://www.ncbi.nlm.nih.gov/nuccore/CP000058.1?report=graph&amp;tracks=[key:gene_model_track,Options:GeneOnly]&amp;mk=5521533:5521552|offset_7|444444,5521561:5521580|offset_35|00cc00,5521605:5521624|offset_79|444444,5521646:5521665|offset_120|444444&amp;v=5521332:5521865&amp;c=444444", "offset 35")</f>
        <v>offset 35</v>
      </c>
    </row>
    <row r="17954" customFormat="false" ht="12.8" hidden="false" customHeight="false" outlineLevel="0" collapsed="false">
      <c r="A17954" s="0" t="s">
        <v>12</v>
      </c>
      <c r="B17954" s="0" t="n">
        <v>5521604</v>
      </c>
      <c r="C17954" s="0" t="n">
        <v>5521624</v>
      </c>
      <c r="D17954" s="0" t="s">
        <v>59696</v>
      </c>
      <c r="E17954" s="0" t="s">
        <v>75</v>
      </c>
      <c r="F17954" s="0" t="s">
        <v>15</v>
      </c>
      <c r="G17954" s="0" t="s">
        <v>16</v>
      </c>
      <c r="H17954" s="0" t="n">
        <v>79</v>
      </c>
      <c r="I17954" s="0" t="s">
        <v>59703</v>
      </c>
      <c r="J17954" s="0" t="s">
        <v>59704</v>
      </c>
      <c r="K17954" s="0" t="s">
        <v>59705</v>
      </c>
      <c r="L17954" s="0" t="str">
        <f aca="false">HYPERLINK("https://www.ncbi.nlm.nih.gov/nuccore/CP000058.1?report=graph&amp;tracks=[key:gene_model_track,Options:GeneOnly]&amp;mk=5521533:5521552|offset_7|444444,5521561:5521580|offset_35|444444,5521605:5521624|offset_79|00cc00,5521646:5521665|offset_120|444444&amp;v=5521332:5521865&amp;c=444444", "offset 79")</f>
        <v>offset 79</v>
      </c>
    </row>
    <row r="17955" customFormat="false" ht="12.8" hidden="false" customHeight="false" outlineLevel="0" collapsed="false">
      <c r="A17955" s="0" t="s">
        <v>12</v>
      </c>
      <c r="B17955" s="0" t="n">
        <v>5521645</v>
      </c>
      <c r="C17955" s="0" t="n">
        <v>5521665</v>
      </c>
      <c r="D17955" s="0" t="s">
        <v>59696</v>
      </c>
      <c r="E17955" s="0" t="s">
        <v>75</v>
      </c>
      <c r="F17955" s="0" t="s">
        <v>15</v>
      </c>
      <c r="G17955" s="0" t="s">
        <v>16</v>
      </c>
      <c r="H17955" s="0" t="n">
        <v>120</v>
      </c>
      <c r="I17955" s="0" t="s">
        <v>59706</v>
      </c>
      <c r="J17955" s="0" t="s">
        <v>59707</v>
      </c>
      <c r="K17955" s="0" t="s">
        <v>59708</v>
      </c>
      <c r="L17955" s="0" t="str">
        <f aca="false">HYPERLINK("https://www.ncbi.nlm.nih.gov/nuccore/CP000058.1?report=graph&amp;tracks=[key:gene_model_track,Options:GeneOnly]&amp;mk=5521533:5521552|offset_7|444444,5521561:5521580|offset_35|444444,5521605:5521624|offset_79|444444,5521646:5521665|offset_120|00cc00&amp;v=5521332:5521865&amp;c=444444", "offset 120")</f>
        <v>offset 120</v>
      </c>
    </row>
    <row r="17956" customFormat="false" ht="12.8" hidden="false" customHeight="false" outlineLevel="0" collapsed="false">
      <c r="A17956" s="0" t="s">
        <v>12</v>
      </c>
      <c r="B17956" s="0" t="n">
        <v>5524707</v>
      </c>
      <c r="C17956" s="0" t="n">
        <v>5524727</v>
      </c>
      <c r="D17956" s="0" t="s">
        <v>59709</v>
      </c>
      <c r="E17956" s="0" t="s">
        <v>75</v>
      </c>
      <c r="F17956" s="0" t="s">
        <v>90</v>
      </c>
      <c r="G17956" s="0" t="s">
        <v>16</v>
      </c>
      <c r="H17956" s="0" t="n">
        <v>0</v>
      </c>
      <c r="I17956" s="0" t="s">
        <v>59710</v>
      </c>
      <c r="J17956" s="0" t="s">
        <v>59711</v>
      </c>
      <c r="K17956" s="0" t="s">
        <v>59712</v>
      </c>
      <c r="L17956" s="0" t="str">
        <f aca="false">HYPERLINK("https://www.ncbi.nlm.nih.gov/nuccore/CP000058.1?report=graph&amp;tracks=[key:gene_model_track,Options:GeneOnly]&amp;mk=5524708:5524727|offset_0|00cc00,5524670:5524689|offset_38|444444,5524598:5524617|offset_110|444444,5524551:5524570|offset_157|444444&amp;v=5524507:5524770&amp;c=444444", "offset 0")</f>
        <v>offset 0</v>
      </c>
    </row>
    <row r="17957" customFormat="false" ht="12.8" hidden="false" customHeight="false" outlineLevel="0" collapsed="false">
      <c r="A17957" s="0" t="s">
        <v>12</v>
      </c>
      <c r="B17957" s="0" t="n">
        <v>5524669</v>
      </c>
      <c r="C17957" s="0" t="n">
        <v>5524689</v>
      </c>
      <c r="D17957" s="0" t="s">
        <v>59709</v>
      </c>
      <c r="E17957" s="0" t="s">
        <v>75</v>
      </c>
      <c r="F17957" s="0" t="s">
        <v>90</v>
      </c>
      <c r="G17957" s="0" t="s">
        <v>16</v>
      </c>
      <c r="H17957" s="0" t="n">
        <v>38</v>
      </c>
      <c r="I17957" s="0" t="s">
        <v>59713</v>
      </c>
      <c r="J17957" s="0" t="s">
        <v>59714</v>
      </c>
      <c r="K17957" s="0" t="s">
        <v>59715</v>
      </c>
      <c r="L17957" s="0" t="str">
        <f aca="false">HYPERLINK("https://www.ncbi.nlm.nih.gov/nuccore/CP000058.1?report=graph&amp;tracks=[key:gene_model_track,Options:GeneOnly]&amp;mk=5524708:5524727|offset_0|444444,5524670:5524689|offset_38|00cc00,5524598:5524617|offset_110|444444,5524551:5524570|offset_157|444444&amp;v=5524507:5524770&amp;c=444444", "offset 38")</f>
        <v>offset 38</v>
      </c>
    </row>
    <row r="17958" customFormat="false" ht="12.8" hidden="false" customHeight="false" outlineLevel="0" collapsed="false">
      <c r="A17958" s="0" t="s">
        <v>12</v>
      </c>
      <c r="B17958" s="0" t="n">
        <v>5524597</v>
      </c>
      <c r="C17958" s="0" t="n">
        <v>5524617</v>
      </c>
      <c r="D17958" s="0" t="s">
        <v>59709</v>
      </c>
      <c r="E17958" s="0" t="s">
        <v>75</v>
      </c>
      <c r="F17958" s="0" t="s">
        <v>90</v>
      </c>
      <c r="G17958" s="0" t="s">
        <v>36</v>
      </c>
      <c r="H17958" s="0" t="n">
        <v>110</v>
      </c>
      <c r="I17958" s="0" t="s">
        <v>59716</v>
      </c>
      <c r="J17958" s="0" t="s">
        <v>59717</v>
      </c>
      <c r="K17958" s="0" t="s">
        <v>59718</v>
      </c>
      <c r="L17958" s="0" t="str">
        <f aca="false">HYPERLINK("https://www.ncbi.nlm.nih.gov/nuccore/CP000058.1?report=graph&amp;tracks=[key:gene_model_track,Options:GeneOnly]&amp;mk=5524708:5524727|offset_0|444444,5524670:5524689|offset_38|444444,5524598:5524617|offset_110|00cc00,5524551:5524570|offset_157|444444&amp;v=5524507:5524770&amp;c=444444", "offset 110")</f>
        <v>offset 110</v>
      </c>
    </row>
    <row r="17959" customFormat="false" ht="12.8" hidden="false" customHeight="false" outlineLevel="0" collapsed="false">
      <c r="A17959" s="0" t="s">
        <v>12</v>
      </c>
      <c r="B17959" s="0" t="n">
        <v>5524550</v>
      </c>
      <c r="C17959" s="0" t="n">
        <v>5524570</v>
      </c>
      <c r="D17959" s="0" t="s">
        <v>59709</v>
      </c>
      <c r="E17959" s="0" t="s">
        <v>75</v>
      </c>
      <c r="F17959" s="0" t="s">
        <v>90</v>
      </c>
      <c r="G17959" s="0" t="s">
        <v>32</v>
      </c>
      <c r="H17959" s="0" t="n">
        <v>157</v>
      </c>
      <c r="I17959" s="0" t="s">
        <v>59719</v>
      </c>
      <c r="J17959" s="0" t="s">
        <v>59720</v>
      </c>
      <c r="K17959" s="0" t="s">
        <v>59721</v>
      </c>
      <c r="L17959" s="0" t="str">
        <f aca="false">HYPERLINK("https://www.ncbi.nlm.nih.gov/nuccore/CP000058.1?report=graph&amp;tracks=[key:gene_model_track,Options:GeneOnly]&amp;mk=5524708:5524727|offset_0|444444,5524670:5524689|offset_38|444444,5524598:5524617|offset_110|444444,5524551:5524570|offset_157|00cc00&amp;v=5524507:5524770&amp;c=444444", "offset 157")</f>
        <v>offset 157</v>
      </c>
    </row>
    <row r="17960" customFormat="false" ht="12.8" hidden="false" customHeight="false" outlineLevel="0" collapsed="false">
      <c r="A17960" s="0" t="s">
        <v>12</v>
      </c>
      <c r="B17960" s="0" t="n">
        <v>5525346</v>
      </c>
      <c r="C17960" s="0" t="n">
        <v>5525366</v>
      </c>
      <c r="D17960" s="0" t="s">
        <v>59722</v>
      </c>
      <c r="E17960" s="0" t="s">
        <v>59723</v>
      </c>
      <c r="F17960" s="0" t="s">
        <v>15</v>
      </c>
      <c r="G17960" s="0" t="s">
        <v>16</v>
      </c>
      <c r="H17960" s="0" t="n">
        <v>7</v>
      </c>
      <c r="I17960" s="0" t="s">
        <v>59724</v>
      </c>
      <c r="J17960" s="0" t="s">
        <v>59725</v>
      </c>
      <c r="K17960" s="0" t="s">
        <v>59726</v>
      </c>
      <c r="L17960" s="0" t="str">
        <f aca="false">HYPERLINK("https://www.ncbi.nlm.nih.gov/nuccore/CP000058.1?report=graph&amp;tracks=[key:gene_model_track,Options:GeneOnly]&amp;mk=5525347:5525366|offset_7|00cc00,5525380:5525399|offset_40|444444,5525410:5525429|offset_70|444444,5525431:5525450|offset_91|444444&amp;v=5525146:5525650&amp;c=444444", "offset 7")</f>
        <v>offset 7</v>
      </c>
    </row>
    <row r="17961" customFormat="false" ht="12.8" hidden="false" customHeight="false" outlineLevel="0" collapsed="false">
      <c r="A17961" s="0" t="s">
        <v>12</v>
      </c>
      <c r="B17961" s="0" t="n">
        <v>5525379</v>
      </c>
      <c r="C17961" s="0" t="n">
        <v>5525399</v>
      </c>
      <c r="D17961" s="0" t="s">
        <v>59722</v>
      </c>
      <c r="E17961" s="0" t="s">
        <v>59723</v>
      </c>
      <c r="F17961" s="0" t="s">
        <v>15</v>
      </c>
      <c r="G17961" s="0" t="s">
        <v>36</v>
      </c>
      <c r="H17961" s="0" t="n">
        <v>40</v>
      </c>
      <c r="I17961" s="0" t="s">
        <v>59727</v>
      </c>
      <c r="J17961" s="0" t="s">
        <v>59728</v>
      </c>
      <c r="K17961" s="0" t="s">
        <v>59729</v>
      </c>
      <c r="L17961" s="0" t="str">
        <f aca="false">HYPERLINK("https://www.ncbi.nlm.nih.gov/nuccore/CP000058.1?report=graph&amp;tracks=[key:gene_model_track,Options:GeneOnly]&amp;mk=5525347:5525366|offset_7|444444,5525380:5525399|offset_40|00cc00,5525410:5525429|offset_70|444444,5525431:5525450|offset_91|444444&amp;v=5525146:5525650&amp;c=444444", "offset 40")</f>
        <v>offset 40</v>
      </c>
    </row>
    <row r="17962" customFormat="false" ht="12.8" hidden="false" customHeight="false" outlineLevel="0" collapsed="false">
      <c r="A17962" s="0" t="s">
        <v>12</v>
      </c>
      <c r="B17962" s="0" t="n">
        <v>5525409</v>
      </c>
      <c r="C17962" s="0" t="n">
        <v>5525429</v>
      </c>
      <c r="D17962" s="0" t="s">
        <v>59722</v>
      </c>
      <c r="E17962" s="0" t="s">
        <v>59723</v>
      </c>
      <c r="F17962" s="0" t="s">
        <v>15</v>
      </c>
      <c r="G17962" s="0" t="s">
        <v>20</v>
      </c>
      <c r="H17962" s="0" t="n">
        <v>70</v>
      </c>
      <c r="I17962" s="0" t="s">
        <v>59730</v>
      </c>
      <c r="J17962" s="0" t="s">
        <v>59731</v>
      </c>
      <c r="K17962" s="0" t="s">
        <v>59732</v>
      </c>
      <c r="L17962" s="0" t="str">
        <f aca="false">HYPERLINK("https://www.ncbi.nlm.nih.gov/nuccore/CP000058.1?report=graph&amp;tracks=[key:gene_model_track,Options:GeneOnly]&amp;mk=5525347:5525366|offset_7|444444,5525380:5525399|offset_40|444444,5525410:5525429|offset_70|00cc00,5525431:5525450|offset_91|444444&amp;v=5525146:5525650&amp;c=444444", "offset 70")</f>
        <v>offset 70</v>
      </c>
    </row>
    <row r="17963" customFormat="false" ht="12.8" hidden="false" customHeight="false" outlineLevel="0" collapsed="false">
      <c r="A17963" s="0" t="s">
        <v>12</v>
      </c>
      <c r="B17963" s="0" t="n">
        <v>5525430</v>
      </c>
      <c r="C17963" s="0" t="n">
        <v>5525450</v>
      </c>
      <c r="D17963" s="0" t="s">
        <v>59722</v>
      </c>
      <c r="E17963" s="0" t="s">
        <v>59723</v>
      </c>
      <c r="F17963" s="0" t="s">
        <v>15</v>
      </c>
      <c r="G17963" s="0" t="s">
        <v>32</v>
      </c>
      <c r="H17963" s="0" t="n">
        <v>91</v>
      </c>
      <c r="I17963" s="0" t="s">
        <v>59733</v>
      </c>
      <c r="J17963" s="0" t="s">
        <v>59734</v>
      </c>
      <c r="K17963" s="0" t="s">
        <v>59735</v>
      </c>
      <c r="L17963" s="0" t="str">
        <f aca="false">HYPERLINK("https://www.ncbi.nlm.nih.gov/nuccore/CP000058.1?report=graph&amp;tracks=[key:gene_model_track,Options:GeneOnly]&amp;mk=5525347:5525366|offset_7|444444,5525380:5525399|offset_40|444444,5525410:5525429|offset_70|444444,5525431:5525450|offset_91|00cc00&amp;v=5525146:5525650&amp;c=444444", "offset 91")</f>
        <v>offset 91</v>
      </c>
    </row>
    <row r="17964" customFormat="false" ht="12.8" hidden="false" customHeight="false" outlineLevel="0" collapsed="false">
      <c r="A17964" s="0" t="s">
        <v>12</v>
      </c>
      <c r="B17964" s="0" t="n">
        <v>5527169</v>
      </c>
      <c r="C17964" s="0" t="n">
        <v>5527189</v>
      </c>
      <c r="D17964" s="0" t="s">
        <v>59736</v>
      </c>
      <c r="E17964" s="0" t="s">
        <v>75</v>
      </c>
      <c r="F17964" s="0" t="s">
        <v>15</v>
      </c>
      <c r="G17964" s="0" t="s">
        <v>36</v>
      </c>
      <c r="H17964" s="0" t="n">
        <v>19</v>
      </c>
      <c r="I17964" s="0" t="s">
        <v>59737</v>
      </c>
      <c r="J17964" s="0" t="s">
        <v>59738</v>
      </c>
      <c r="K17964" s="0" t="s">
        <v>59739</v>
      </c>
      <c r="L17964" s="0" t="str">
        <f aca="false">HYPERLINK("https://www.ncbi.nlm.nih.gov/nuccore/CP000058.1?report=graph&amp;tracks=[key:gene_model_track,Options:GeneOnly]&amp;mk=5527170:5527189|offset_19|00cc00,5527198:5527217|offset_47|444444,5527230:5527249|offset_79|444444,5527253:5527272|offset_102|444444&amp;v=5526969:5527472&amp;c=444444", "offset 19")</f>
        <v>offset 19</v>
      </c>
    </row>
    <row r="17965" customFormat="false" ht="12.8" hidden="false" customHeight="false" outlineLevel="0" collapsed="false">
      <c r="A17965" s="0" t="s">
        <v>12</v>
      </c>
      <c r="B17965" s="0" t="n">
        <v>5527197</v>
      </c>
      <c r="C17965" s="0" t="n">
        <v>5527217</v>
      </c>
      <c r="D17965" s="0" t="s">
        <v>59736</v>
      </c>
      <c r="E17965" s="0" t="s">
        <v>75</v>
      </c>
      <c r="F17965" s="0" t="s">
        <v>15</v>
      </c>
      <c r="G17965" s="0" t="s">
        <v>20</v>
      </c>
      <c r="H17965" s="0" t="n">
        <v>47</v>
      </c>
      <c r="I17965" s="0" t="s">
        <v>59740</v>
      </c>
      <c r="J17965" s="0" t="s">
        <v>59741</v>
      </c>
      <c r="K17965" s="0" t="s">
        <v>59742</v>
      </c>
      <c r="L17965" s="0" t="str">
        <f aca="false">HYPERLINK("https://www.ncbi.nlm.nih.gov/nuccore/CP000058.1?report=graph&amp;tracks=[key:gene_model_track,Options:GeneOnly]&amp;mk=5527170:5527189|offset_19|444444,5527198:5527217|offset_47|00cc00,5527230:5527249|offset_79|444444,5527253:5527272|offset_102|444444&amp;v=5526969:5527472&amp;c=444444", "offset 47")</f>
        <v>offset 47</v>
      </c>
    </row>
    <row r="17966" customFormat="false" ht="12.8" hidden="false" customHeight="false" outlineLevel="0" collapsed="false">
      <c r="A17966" s="0" t="s">
        <v>12</v>
      </c>
      <c r="B17966" s="0" t="n">
        <v>5527229</v>
      </c>
      <c r="C17966" s="0" t="n">
        <v>5527249</v>
      </c>
      <c r="D17966" s="0" t="s">
        <v>59736</v>
      </c>
      <c r="E17966" s="0" t="s">
        <v>75</v>
      </c>
      <c r="F17966" s="0" t="s">
        <v>15</v>
      </c>
      <c r="G17966" s="0" t="s">
        <v>16</v>
      </c>
      <c r="H17966" s="0" t="n">
        <v>79</v>
      </c>
      <c r="I17966" s="0" t="s">
        <v>59743</v>
      </c>
      <c r="J17966" s="0" t="s">
        <v>59744</v>
      </c>
      <c r="K17966" s="0" t="s">
        <v>59745</v>
      </c>
      <c r="L17966" s="0" t="str">
        <f aca="false">HYPERLINK("https://www.ncbi.nlm.nih.gov/nuccore/CP000058.1?report=graph&amp;tracks=[key:gene_model_track,Options:GeneOnly]&amp;mk=5527170:5527189|offset_19|444444,5527198:5527217|offset_47|444444,5527230:5527249|offset_79|00cc00,5527253:5527272|offset_102|444444&amp;v=5526969:5527472&amp;c=444444", "offset 79")</f>
        <v>offset 79</v>
      </c>
    </row>
    <row r="17967" customFormat="false" ht="12.8" hidden="false" customHeight="false" outlineLevel="0" collapsed="false">
      <c r="A17967" s="0" t="s">
        <v>12</v>
      </c>
      <c r="B17967" s="0" t="n">
        <v>5527252</v>
      </c>
      <c r="C17967" s="0" t="n">
        <v>5527272</v>
      </c>
      <c r="D17967" s="0" t="s">
        <v>59736</v>
      </c>
      <c r="E17967" s="0" t="s">
        <v>75</v>
      </c>
      <c r="F17967" s="0" t="s">
        <v>15</v>
      </c>
      <c r="G17967" s="0" t="s">
        <v>16</v>
      </c>
      <c r="H17967" s="0" t="n">
        <v>102</v>
      </c>
      <c r="I17967" s="0" t="s">
        <v>59746</v>
      </c>
      <c r="J17967" s="0" t="s">
        <v>59747</v>
      </c>
      <c r="K17967" s="0" t="s">
        <v>59748</v>
      </c>
      <c r="L17967" s="0" t="str">
        <f aca="false">HYPERLINK("https://www.ncbi.nlm.nih.gov/nuccore/CP000058.1?report=graph&amp;tracks=[key:gene_model_track,Options:GeneOnly]&amp;mk=5527170:5527189|offset_19|444444,5527198:5527217|offset_47|444444,5527230:5527249|offset_79|444444,5527253:5527272|offset_102|00cc00&amp;v=5526969:5527472&amp;c=444444", "offset 102")</f>
        <v>offset 102</v>
      </c>
    </row>
    <row r="17968" customFormat="false" ht="12.8" hidden="false" customHeight="false" outlineLevel="0" collapsed="false">
      <c r="A17968" s="0" t="s">
        <v>12</v>
      </c>
      <c r="B17968" s="0" t="n">
        <v>5528201</v>
      </c>
      <c r="C17968" s="0" t="n">
        <v>5528221</v>
      </c>
      <c r="D17968" s="0" t="s">
        <v>59749</v>
      </c>
      <c r="E17968" s="0" t="s">
        <v>75</v>
      </c>
      <c r="F17968" s="0" t="s">
        <v>15</v>
      </c>
      <c r="G17968" s="0" t="s">
        <v>20</v>
      </c>
      <c r="H17968" s="0" t="n">
        <v>9</v>
      </c>
      <c r="I17968" s="0" t="s">
        <v>59750</v>
      </c>
      <c r="J17968" s="0" t="s">
        <v>59751</v>
      </c>
      <c r="K17968" s="0" t="s">
        <v>59752</v>
      </c>
      <c r="L17968" s="0" t="str">
        <f aca="false">HYPERLINK("https://www.ncbi.nlm.nih.gov/nuccore/CP000058.1?report=graph&amp;tracks=[key:gene_model_track,Options:GeneOnly]&amp;mk=5528202:5528221|offset_9|00cc00,5528227:5528246|offset_34|444444,5528282:5528301|offset_89|444444,5528311:5528330|offset_118|444444&amp;v=5528001:5528530&amp;c=444444", "offset 9")</f>
        <v>offset 9</v>
      </c>
    </row>
    <row r="17969" customFormat="false" ht="12.8" hidden="false" customHeight="false" outlineLevel="0" collapsed="false">
      <c r="A17969" s="0" t="s">
        <v>12</v>
      </c>
      <c r="B17969" s="0" t="n">
        <v>5528226</v>
      </c>
      <c r="C17969" s="0" t="n">
        <v>5528246</v>
      </c>
      <c r="D17969" s="0" t="s">
        <v>59749</v>
      </c>
      <c r="E17969" s="0" t="s">
        <v>75</v>
      </c>
      <c r="F17969" s="0" t="s">
        <v>15</v>
      </c>
      <c r="G17969" s="0" t="s">
        <v>32</v>
      </c>
      <c r="H17969" s="0" t="n">
        <v>34</v>
      </c>
      <c r="I17969" s="0" t="s">
        <v>59753</v>
      </c>
      <c r="J17969" s="0" t="s">
        <v>59754</v>
      </c>
      <c r="K17969" s="0" t="s">
        <v>59755</v>
      </c>
      <c r="L17969" s="0" t="str">
        <f aca="false">HYPERLINK("https://www.ncbi.nlm.nih.gov/nuccore/CP000058.1?report=graph&amp;tracks=[key:gene_model_track,Options:GeneOnly]&amp;mk=5528202:5528221|offset_9|444444,5528227:5528246|offset_34|00cc00,5528282:5528301|offset_89|444444,5528311:5528330|offset_118|444444&amp;v=5528001:5528530&amp;c=444444", "offset 34")</f>
        <v>offset 34</v>
      </c>
    </row>
    <row r="17970" customFormat="false" ht="12.8" hidden="false" customHeight="false" outlineLevel="0" collapsed="false">
      <c r="A17970" s="0" t="s">
        <v>12</v>
      </c>
      <c r="B17970" s="0" t="n">
        <v>5528281</v>
      </c>
      <c r="C17970" s="0" t="n">
        <v>5528301</v>
      </c>
      <c r="D17970" s="0" t="s">
        <v>59749</v>
      </c>
      <c r="E17970" s="0" t="s">
        <v>75</v>
      </c>
      <c r="F17970" s="0" t="s">
        <v>15</v>
      </c>
      <c r="G17970" s="0" t="s">
        <v>16</v>
      </c>
      <c r="H17970" s="0" t="n">
        <v>89</v>
      </c>
      <c r="I17970" s="0" t="s">
        <v>59756</v>
      </c>
      <c r="J17970" s="0" t="s">
        <v>59757</v>
      </c>
      <c r="K17970" s="0" t="s">
        <v>59758</v>
      </c>
      <c r="L17970" s="0" t="str">
        <f aca="false">HYPERLINK("https://www.ncbi.nlm.nih.gov/nuccore/CP000058.1?report=graph&amp;tracks=[key:gene_model_track,Options:GeneOnly]&amp;mk=5528202:5528221|offset_9|444444,5528227:5528246|offset_34|444444,5528282:5528301|offset_89|00cc00,5528311:5528330|offset_118|444444&amp;v=5528001:5528530&amp;c=444444", "offset 89")</f>
        <v>offset 89</v>
      </c>
    </row>
    <row r="17971" customFormat="false" ht="12.8" hidden="false" customHeight="false" outlineLevel="0" collapsed="false">
      <c r="A17971" s="0" t="s">
        <v>12</v>
      </c>
      <c r="B17971" s="0" t="n">
        <v>5528310</v>
      </c>
      <c r="C17971" s="0" t="n">
        <v>5528330</v>
      </c>
      <c r="D17971" s="0" t="s">
        <v>59749</v>
      </c>
      <c r="E17971" s="0" t="s">
        <v>75</v>
      </c>
      <c r="F17971" s="0" t="s">
        <v>15</v>
      </c>
      <c r="G17971" s="0" t="s">
        <v>32</v>
      </c>
      <c r="H17971" s="0" t="n">
        <v>118</v>
      </c>
      <c r="I17971" s="0" t="s">
        <v>59759</v>
      </c>
      <c r="J17971" s="0" t="s">
        <v>59760</v>
      </c>
      <c r="K17971" s="0" t="s">
        <v>59761</v>
      </c>
      <c r="L17971" s="0" t="str">
        <f aca="false">HYPERLINK("https://www.ncbi.nlm.nih.gov/nuccore/CP000058.1?report=graph&amp;tracks=[key:gene_model_track,Options:GeneOnly]&amp;mk=5528202:5528221|offset_9|444444,5528227:5528246|offset_34|444444,5528282:5528301|offset_89|444444,5528311:5528330|offset_118|00cc00&amp;v=5528001:5528530&amp;c=444444", "offset 118")</f>
        <v>offset 118</v>
      </c>
    </row>
    <row r="17972" customFormat="false" ht="12.8" hidden="false" customHeight="false" outlineLevel="0" collapsed="false">
      <c r="A17972" s="0" t="s">
        <v>12</v>
      </c>
      <c r="B17972" s="0" t="n">
        <v>5529058</v>
      </c>
      <c r="C17972" s="0" t="n">
        <v>5529078</v>
      </c>
      <c r="D17972" s="0" t="s">
        <v>59762</v>
      </c>
      <c r="E17972" s="0" t="s">
        <v>75</v>
      </c>
      <c r="F17972" s="0" t="s">
        <v>15</v>
      </c>
      <c r="G17972" s="0" t="s">
        <v>16</v>
      </c>
      <c r="H17972" s="0" t="n">
        <v>18</v>
      </c>
      <c r="I17972" s="0" t="s">
        <v>59763</v>
      </c>
      <c r="J17972" s="0" t="s">
        <v>59764</v>
      </c>
      <c r="K17972" s="0" t="s">
        <v>59765</v>
      </c>
      <c r="L17972" s="0" t="str">
        <f aca="false">HYPERLINK("https://www.ncbi.nlm.nih.gov/nuccore/CP000058.1?report=graph&amp;tracks=[key:gene_model_track,Options:GeneOnly]&amp;mk=5529059:5529078|offset_18|00cc00,5529103:5529122|offset_62|444444,5529139:5529158|offset_98|444444,5529193:5529212|offset_152|444444&amp;v=5528858:5529412&amp;c=444444", "offset 18")</f>
        <v>offset 18</v>
      </c>
    </row>
    <row r="17973" customFormat="false" ht="12.8" hidden="false" customHeight="false" outlineLevel="0" collapsed="false">
      <c r="A17973" s="0" t="s">
        <v>12</v>
      </c>
      <c r="B17973" s="0" t="n">
        <v>5529102</v>
      </c>
      <c r="C17973" s="0" t="n">
        <v>5529122</v>
      </c>
      <c r="D17973" s="0" t="s">
        <v>59762</v>
      </c>
      <c r="E17973" s="0" t="s">
        <v>75</v>
      </c>
      <c r="F17973" s="0" t="s">
        <v>15</v>
      </c>
      <c r="G17973" s="0" t="s">
        <v>16</v>
      </c>
      <c r="H17973" s="0" t="n">
        <v>62</v>
      </c>
      <c r="I17973" s="0" t="s">
        <v>59766</v>
      </c>
      <c r="J17973" s="0" t="s">
        <v>59767</v>
      </c>
      <c r="K17973" s="0" t="s">
        <v>59768</v>
      </c>
      <c r="L17973" s="0" t="str">
        <f aca="false">HYPERLINK("https://www.ncbi.nlm.nih.gov/nuccore/CP000058.1?report=graph&amp;tracks=[key:gene_model_track,Options:GeneOnly]&amp;mk=5529059:5529078|offset_18|444444,5529103:5529122|offset_62|00cc00,5529139:5529158|offset_98|444444,5529193:5529212|offset_152|444444&amp;v=5528858:5529412&amp;c=444444", "offset 62")</f>
        <v>offset 62</v>
      </c>
    </row>
    <row r="17974" customFormat="false" ht="12.8" hidden="false" customHeight="false" outlineLevel="0" collapsed="false">
      <c r="A17974" s="0" t="s">
        <v>12</v>
      </c>
      <c r="B17974" s="0" t="n">
        <v>5529138</v>
      </c>
      <c r="C17974" s="0" t="n">
        <v>5529158</v>
      </c>
      <c r="D17974" s="0" t="s">
        <v>59762</v>
      </c>
      <c r="E17974" s="0" t="s">
        <v>75</v>
      </c>
      <c r="F17974" s="0" t="s">
        <v>15</v>
      </c>
      <c r="G17974" s="0" t="s">
        <v>32</v>
      </c>
      <c r="H17974" s="0" t="n">
        <v>98</v>
      </c>
      <c r="I17974" s="0" t="s">
        <v>59769</v>
      </c>
      <c r="J17974" s="0" t="s">
        <v>59770</v>
      </c>
      <c r="K17974" s="0" t="s">
        <v>59771</v>
      </c>
      <c r="L17974" s="0" t="str">
        <f aca="false">HYPERLINK("https://www.ncbi.nlm.nih.gov/nuccore/CP000058.1?report=graph&amp;tracks=[key:gene_model_track,Options:GeneOnly]&amp;mk=5529059:5529078|offset_18|444444,5529103:5529122|offset_62|444444,5529139:5529158|offset_98|00cc00,5529193:5529212|offset_152|444444&amp;v=5528858:5529412&amp;c=444444", "offset 98")</f>
        <v>offset 98</v>
      </c>
    </row>
    <row r="17975" customFormat="false" ht="12.8" hidden="false" customHeight="false" outlineLevel="0" collapsed="false">
      <c r="A17975" s="0" t="s">
        <v>12</v>
      </c>
      <c r="B17975" s="0" t="n">
        <v>5529192</v>
      </c>
      <c r="C17975" s="0" t="n">
        <v>5529212</v>
      </c>
      <c r="D17975" s="0" t="s">
        <v>59762</v>
      </c>
      <c r="E17975" s="0" t="s">
        <v>75</v>
      </c>
      <c r="F17975" s="0" t="s">
        <v>15</v>
      </c>
      <c r="G17975" s="0" t="s">
        <v>20</v>
      </c>
      <c r="H17975" s="0" t="n">
        <v>152</v>
      </c>
      <c r="I17975" s="0" t="s">
        <v>59772</v>
      </c>
      <c r="J17975" s="0" t="s">
        <v>59773</v>
      </c>
      <c r="K17975" s="0" t="s">
        <v>59774</v>
      </c>
      <c r="L17975" s="0" t="str">
        <f aca="false">HYPERLINK("https://www.ncbi.nlm.nih.gov/nuccore/CP000058.1?report=graph&amp;tracks=[key:gene_model_track,Options:GeneOnly]&amp;mk=5529059:5529078|offset_18|444444,5529103:5529122|offset_62|444444,5529139:5529158|offset_98|444444,5529193:5529212|offset_152|00cc00&amp;v=5528858:5529412&amp;c=444444", "offset 152")</f>
        <v>offset 152</v>
      </c>
    </row>
    <row r="17976" customFormat="false" ht="12.8" hidden="false" customHeight="false" outlineLevel="0" collapsed="false">
      <c r="A17976" s="0" t="s">
        <v>12</v>
      </c>
      <c r="B17976" s="0" t="n">
        <v>5529920</v>
      </c>
      <c r="C17976" s="0" t="n">
        <v>5529940</v>
      </c>
      <c r="D17976" s="0" t="s">
        <v>59775</v>
      </c>
      <c r="E17976" s="0" t="s">
        <v>59776</v>
      </c>
      <c r="F17976" s="0" t="s">
        <v>15</v>
      </c>
      <c r="G17976" s="0" t="s">
        <v>36</v>
      </c>
      <c r="H17976" s="0" t="n">
        <v>37</v>
      </c>
      <c r="I17976" s="0" t="s">
        <v>59777</v>
      </c>
      <c r="J17976" s="0" t="s">
        <v>59778</v>
      </c>
      <c r="K17976" s="0" t="s">
        <v>59779</v>
      </c>
      <c r="L17976" s="0" t="str">
        <f aca="false">HYPERLINK("https://www.ncbi.nlm.nih.gov/nuccore/CP000058.1?report=graph&amp;tracks=[key:gene_model_track,Options:GeneOnly]&amp;mk=5529921:5529940|offset_37|00cc00,5529948:5529967|offset_64|444444,5529987:5530006|offset_103|444444,5530017:5530036|offset_133|444444&amp;v=5529720:5530236&amp;c=444444", "offset 37")</f>
        <v>offset 37</v>
      </c>
    </row>
    <row r="17977" customFormat="false" ht="12.8" hidden="false" customHeight="false" outlineLevel="0" collapsed="false">
      <c r="A17977" s="0" t="s">
        <v>12</v>
      </c>
      <c r="B17977" s="0" t="n">
        <v>5529947</v>
      </c>
      <c r="C17977" s="0" t="n">
        <v>5529967</v>
      </c>
      <c r="D17977" s="0" t="s">
        <v>59775</v>
      </c>
      <c r="E17977" s="0" t="s">
        <v>59776</v>
      </c>
      <c r="F17977" s="0" t="s">
        <v>15</v>
      </c>
      <c r="G17977" s="0" t="s">
        <v>16</v>
      </c>
      <c r="H17977" s="0" t="n">
        <v>64</v>
      </c>
      <c r="I17977" s="0" t="s">
        <v>59780</v>
      </c>
      <c r="J17977" s="0" t="s">
        <v>59781</v>
      </c>
      <c r="K17977" s="0" t="s">
        <v>59782</v>
      </c>
      <c r="L17977" s="0" t="str">
        <f aca="false">HYPERLINK("https://www.ncbi.nlm.nih.gov/nuccore/CP000058.1?report=graph&amp;tracks=[key:gene_model_track,Options:GeneOnly]&amp;mk=5529921:5529940|offset_37|444444,5529948:5529967|offset_64|00cc00,5529987:5530006|offset_103|444444,5530017:5530036|offset_133|444444&amp;v=5529720:5530236&amp;c=444444", "offset 64")</f>
        <v>offset 64</v>
      </c>
    </row>
    <row r="17978" customFormat="false" ht="12.8" hidden="false" customHeight="false" outlineLevel="0" collapsed="false">
      <c r="A17978" s="0" t="s">
        <v>12</v>
      </c>
      <c r="B17978" s="0" t="n">
        <v>5529986</v>
      </c>
      <c r="C17978" s="0" t="n">
        <v>5530006</v>
      </c>
      <c r="D17978" s="0" t="s">
        <v>59775</v>
      </c>
      <c r="E17978" s="0" t="s">
        <v>59776</v>
      </c>
      <c r="F17978" s="0" t="s">
        <v>15</v>
      </c>
      <c r="G17978" s="0" t="s">
        <v>16</v>
      </c>
      <c r="H17978" s="0" t="n">
        <v>103</v>
      </c>
      <c r="I17978" s="0" t="s">
        <v>59783</v>
      </c>
      <c r="J17978" s="0" t="s">
        <v>59784</v>
      </c>
      <c r="K17978" s="0" t="s">
        <v>59785</v>
      </c>
      <c r="L17978" s="0" t="str">
        <f aca="false">HYPERLINK("https://www.ncbi.nlm.nih.gov/nuccore/CP000058.1?report=graph&amp;tracks=[key:gene_model_track,Options:GeneOnly]&amp;mk=5529921:5529940|offset_37|444444,5529948:5529967|offset_64|444444,5529987:5530006|offset_103|00cc00,5530017:5530036|offset_133|444444&amp;v=5529720:5530236&amp;c=444444", "offset 103")</f>
        <v>offset 103</v>
      </c>
    </row>
    <row r="17979" customFormat="false" ht="12.8" hidden="false" customHeight="false" outlineLevel="0" collapsed="false">
      <c r="A17979" s="0" t="s">
        <v>12</v>
      </c>
      <c r="B17979" s="0" t="n">
        <v>5530016</v>
      </c>
      <c r="C17979" s="0" t="n">
        <v>5530036</v>
      </c>
      <c r="D17979" s="0" t="s">
        <v>59775</v>
      </c>
      <c r="E17979" s="0" t="s">
        <v>59776</v>
      </c>
      <c r="F17979" s="0" t="s">
        <v>15</v>
      </c>
      <c r="G17979" s="0" t="s">
        <v>32</v>
      </c>
      <c r="H17979" s="0" t="n">
        <v>133</v>
      </c>
      <c r="I17979" s="0" t="s">
        <v>59786</v>
      </c>
      <c r="J17979" s="0" t="s">
        <v>59787</v>
      </c>
      <c r="K17979" s="0" t="s">
        <v>59788</v>
      </c>
      <c r="L17979" s="0" t="str">
        <f aca="false">HYPERLINK("https://www.ncbi.nlm.nih.gov/nuccore/CP000058.1?report=graph&amp;tracks=[key:gene_model_track,Options:GeneOnly]&amp;mk=5529921:5529940|offset_37|444444,5529948:5529967|offset_64|444444,5529987:5530006|offset_103|444444,5530017:5530036|offset_133|00cc00&amp;v=5529720:5530236&amp;c=444444", "offset 133")</f>
        <v>offset 133</v>
      </c>
    </row>
    <row r="17980" customFormat="false" ht="12.8" hidden="false" customHeight="false" outlineLevel="0" collapsed="false">
      <c r="A17980" s="0" t="s">
        <v>12</v>
      </c>
      <c r="B17980" s="0" t="n">
        <v>5531487</v>
      </c>
      <c r="C17980" s="0" t="n">
        <v>5531507</v>
      </c>
      <c r="D17980" s="0" t="s">
        <v>59789</v>
      </c>
      <c r="E17980" s="0" t="s">
        <v>59790</v>
      </c>
      <c r="F17980" s="0" t="s">
        <v>15</v>
      </c>
      <c r="G17980" s="0" t="s">
        <v>32</v>
      </c>
      <c r="H17980" s="0" t="n">
        <v>7</v>
      </c>
      <c r="I17980" s="0" t="s">
        <v>59791</v>
      </c>
      <c r="J17980" s="0" t="s">
        <v>59792</v>
      </c>
      <c r="K17980" s="0" t="s">
        <v>59793</v>
      </c>
      <c r="L17980" s="0" t="str">
        <f aca="false">HYPERLINK("https://www.ncbi.nlm.nih.gov/nuccore/CP000058.1?report=graph&amp;tracks=[key:gene_model_track,Options:GeneOnly]&amp;mk=5531488:5531507|offset_7|00cc00,5531513:5531532|offset_32|444444,5531533:5531552|offset_52|444444,5531565:5531584|offset_84|444444&amp;v=5531287:5531784&amp;c=444444", "offset 7")</f>
        <v>offset 7</v>
      </c>
    </row>
    <row r="17981" customFormat="false" ht="12.8" hidden="false" customHeight="false" outlineLevel="0" collapsed="false">
      <c r="A17981" s="0" t="s">
        <v>12</v>
      </c>
      <c r="B17981" s="0" t="n">
        <v>5531512</v>
      </c>
      <c r="C17981" s="0" t="n">
        <v>5531532</v>
      </c>
      <c r="D17981" s="0" t="s">
        <v>59789</v>
      </c>
      <c r="E17981" s="0" t="s">
        <v>59790</v>
      </c>
      <c r="F17981" s="0" t="s">
        <v>15</v>
      </c>
      <c r="G17981" s="0" t="s">
        <v>20</v>
      </c>
      <c r="H17981" s="0" t="n">
        <v>32</v>
      </c>
      <c r="I17981" s="0" t="s">
        <v>59794</v>
      </c>
      <c r="J17981" s="0" t="s">
        <v>59795</v>
      </c>
      <c r="K17981" s="0" t="s">
        <v>59796</v>
      </c>
      <c r="L17981" s="0" t="str">
        <f aca="false">HYPERLINK("https://www.ncbi.nlm.nih.gov/nuccore/CP000058.1?report=graph&amp;tracks=[key:gene_model_track,Options:GeneOnly]&amp;mk=5531488:5531507|offset_7|444444,5531513:5531532|offset_32|00cc00,5531533:5531552|offset_52|444444,5531565:5531584|offset_84|444444&amp;v=5531287:5531784&amp;c=444444", "offset 32")</f>
        <v>offset 32</v>
      </c>
    </row>
    <row r="17982" customFormat="false" ht="12.8" hidden="false" customHeight="false" outlineLevel="0" collapsed="false">
      <c r="A17982" s="0" t="s">
        <v>12</v>
      </c>
      <c r="B17982" s="0" t="n">
        <v>5531532</v>
      </c>
      <c r="C17982" s="0" t="n">
        <v>5531552</v>
      </c>
      <c r="D17982" s="0" t="s">
        <v>59789</v>
      </c>
      <c r="E17982" s="0" t="s">
        <v>59790</v>
      </c>
      <c r="F17982" s="0" t="s">
        <v>15</v>
      </c>
      <c r="G17982" s="0" t="s">
        <v>36</v>
      </c>
      <c r="H17982" s="0" t="n">
        <v>52</v>
      </c>
      <c r="I17982" s="0" t="s">
        <v>59797</v>
      </c>
      <c r="J17982" s="0" t="s">
        <v>59798</v>
      </c>
      <c r="K17982" s="0" t="s">
        <v>59799</v>
      </c>
      <c r="L17982" s="0" t="str">
        <f aca="false">HYPERLINK("https://www.ncbi.nlm.nih.gov/nuccore/CP000058.1?report=graph&amp;tracks=[key:gene_model_track,Options:GeneOnly]&amp;mk=5531488:5531507|offset_7|444444,5531513:5531532|offset_32|444444,5531533:5531552|offset_52|00cc00,5531565:5531584|offset_84|444444&amp;v=5531287:5531784&amp;c=444444", "offset 52")</f>
        <v>offset 52</v>
      </c>
    </row>
    <row r="17983" customFormat="false" ht="12.8" hidden="false" customHeight="false" outlineLevel="0" collapsed="false">
      <c r="A17983" s="0" t="s">
        <v>12</v>
      </c>
      <c r="B17983" s="0" t="n">
        <v>5531564</v>
      </c>
      <c r="C17983" s="0" t="n">
        <v>5531584</v>
      </c>
      <c r="D17983" s="0" t="s">
        <v>59789</v>
      </c>
      <c r="E17983" s="0" t="s">
        <v>59790</v>
      </c>
      <c r="F17983" s="0" t="s">
        <v>15</v>
      </c>
      <c r="G17983" s="0" t="s">
        <v>16</v>
      </c>
      <c r="H17983" s="0" t="n">
        <v>84</v>
      </c>
      <c r="I17983" s="0" t="s">
        <v>59800</v>
      </c>
      <c r="J17983" s="0" t="s">
        <v>59801</v>
      </c>
      <c r="K17983" s="0" t="s">
        <v>59802</v>
      </c>
      <c r="L17983" s="0" t="str">
        <f aca="false">HYPERLINK("https://www.ncbi.nlm.nih.gov/nuccore/CP000058.1?report=graph&amp;tracks=[key:gene_model_track,Options:GeneOnly]&amp;mk=5531488:5531507|offset_7|444444,5531513:5531532|offset_32|444444,5531533:5531552|offset_52|444444,5531565:5531584|offset_84|00cc00&amp;v=5531287:5531784&amp;c=444444", "offset 84")</f>
        <v>offset 84</v>
      </c>
    </row>
    <row r="17984" customFormat="false" ht="12.8" hidden="false" customHeight="false" outlineLevel="0" collapsed="false">
      <c r="A17984" s="0" t="s">
        <v>12</v>
      </c>
      <c r="B17984" s="0" t="n">
        <v>5533171</v>
      </c>
      <c r="C17984" s="0" t="n">
        <v>5533191</v>
      </c>
      <c r="D17984" s="0" t="s">
        <v>59803</v>
      </c>
      <c r="E17984" s="0" t="s">
        <v>75</v>
      </c>
      <c r="F17984" s="0" t="s">
        <v>15</v>
      </c>
      <c r="G17984" s="0" t="s">
        <v>16</v>
      </c>
      <c r="H17984" s="0" t="n">
        <v>37</v>
      </c>
      <c r="I17984" s="0" t="s">
        <v>59804</v>
      </c>
      <c r="J17984" s="0" t="s">
        <v>59805</v>
      </c>
      <c r="K17984" s="0" t="s">
        <v>59806</v>
      </c>
      <c r="L17984" s="0" t="str">
        <f aca="false">HYPERLINK("https://www.ncbi.nlm.nih.gov/nuccore/CP000058.1?report=graph&amp;tracks=[key:gene_model_track,Options:GeneOnly]&amp;mk=5533172:5533191|offset_37|00cc00,5533196:5533215|offset_61|444444,5533238:5533257|offset_103|444444,5533261:5533280|offset_126|444444&amp;v=5532971:5533480&amp;c=444444", "offset 37")</f>
        <v>offset 37</v>
      </c>
    </row>
    <row r="17985" customFormat="false" ht="12.8" hidden="false" customHeight="false" outlineLevel="0" collapsed="false">
      <c r="A17985" s="0" t="s">
        <v>12</v>
      </c>
      <c r="B17985" s="0" t="n">
        <v>5533195</v>
      </c>
      <c r="C17985" s="0" t="n">
        <v>5533215</v>
      </c>
      <c r="D17985" s="0" t="s">
        <v>59803</v>
      </c>
      <c r="E17985" s="0" t="s">
        <v>75</v>
      </c>
      <c r="F17985" s="0" t="s">
        <v>15</v>
      </c>
      <c r="G17985" s="0" t="s">
        <v>36</v>
      </c>
      <c r="H17985" s="0" t="n">
        <v>61</v>
      </c>
      <c r="I17985" s="0" t="s">
        <v>59807</v>
      </c>
      <c r="J17985" s="0" t="s">
        <v>59808</v>
      </c>
      <c r="K17985" s="0" t="s">
        <v>59809</v>
      </c>
      <c r="L17985" s="0" t="str">
        <f aca="false">HYPERLINK("https://www.ncbi.nlm.nih.gov/nuccore/CP000058.1?report=graph&amp;tracks=[key:gene_model_track,Options:GeneOnly]&amp;mk=5533172:5533191|offset_37|444444,5533196:5533215|offset_61|00cc00,5533238:5533257|offset_103|444444,5533261:5533280|offset_126|444444&amp;v=5532971:5533480&amp;c=444444", "offset 61")</f>
        <v>offset 61</v>
      </c>
    </row>
    <row r="17986" customFormat="false" ht="12.8" hidden="false" customHeight="false" outlineLevel="0" collapsed="false">
      <c r="A17986" s="0" t="s">
        <v>12</v>
      </c>
      <c r="B17986" s="0" t="n">
        <v>5533237</v>
      </c>
      <c r="C17986" s="0" t="n">
        <v>5533257</v>
      </c>
      <c r="D17986" s="0" t="s">
        <v>59803</v>
      </c>
      <c r="E17986" s="0" t="s">
        <v>75</v>
      </c>
      <c r="F17986" s="0" t="s">
        <v>15</v>
      </c>
      <c r="G17986" s="0" t="s">
        <v>20</v>
      </c>
      <c r="H17986" s="0" t="n">
        <v>103</v>
      </c>
      <c r="I17986" s="0" t="s">
        <v>59810</v>
      </c>
      <c r="J17986" s="0" t="s">
        <v>59811</v>
      </c>
      <c r="K17986" s="0" t="s">
        <v>59812</v>
      </c>
      <c r="L17986" s="0" t="str">
        <f aca="false">HYPERLINK("https://www.ncbi.nlm.nih.gov/nuccore/CP000058.1?report=graph&amp;tracks=[key:gene_model_track,Options:GeneOnly]&amp;mk=5533172:5533191|offset_37|444444,5533196:5533215|offset_61|444444,5533238:5533257|offset_103|00cc00,5533261:5533280|offset_126|444444&amp;v=5532971:5533480&amp;c=444444", "offset 103")</f>
        <v>offset 103</v>
      </c>
    </row>
    <row r="17987" customFormat="false" ht="12.8" hidden="false" customHeight="false" outlineLevel="0" collapsed="false">
      <c r="A17987" s="0" t="s">
        <v>12</v>
      </c>
      <c r="B17987" s="0" t="n">
        <v>5533260</v>
      </c>
      <c r="C17987" s="0" t="n">
        <v>5533280</v>
      </c>
      <c r="D17987" s="0" t="s">
        <v>59803</v>
      </c>
      <c r="E17987" s="0" t="s">
        <v>75</v>
      </c>
      <c r="F17987" s="0" t="s">
        <v>15</v>
      </c>
      <c r="G17987" s="0" t="s">
        <v>16</v>
      </c>
      <c r="H17987" s="0" t="n">
        <v>126</v>
      </c>
      <c r="I17987" s="0" t="s">
        <v>59813</v>
      </c>
      <c r="J17987" s="0" t="s">
        <v>59814</v>
      </c>
      <c r="K17987" s="0" t="s">
        <v>59815</v>
      </c>
      <c r="L17987" s="0" t="str">
        <f aca="false">HYPERLINK("https://www.ncbi.nlm.nih.gov/nuccore/CP000058.1?report=graph&amp;tracks=[key:gene_model_track,Options:GeneOnly]&amp;mk=5533172:5533191|offset_37|444444,5533196:5533215|offset_61|444444,5533238:5533257|offset_103|444444,5533261:5533280|offset_126|00cc00&amp;v=5532971:5533480&amp;c=444444", "offset 126")</f>
        <v>offset 126</v>
      </c>
    </row>
    <row r="17988" customFormat="false" ht="12.8" hidden="false" customHeight="false" outlineLevel="0" collapsed="false">
      <c r="A17988" s="0" t="s">
        <v>12</v>
      </c>
      <c r="B17988" s="0" t="n">
        <v>5534599</v>
      </c>
      <c r="C17988" s="0" t="n">
        <v>5534619</v>
      </c>
      <c r="D17988" s="0" t="s">
        <v>59816</v>
      </c>
      <c r="E17988" s="0" t="s">
        <v>59817</v>
      </c>
      <c r="F17988" s="0" t="s">
        <v>15</v>
      </c>
      <c r="G17988" s="0" t="s">
        <v>16</v>
      </c>
      <c r="H17988" s="0" t="n">
        <v>73</v>
      </c>
      <c r="I17988" s="0" t="s">
        <v>59818</v>
      </c>
      <c r="J17988" s="0" t="s">
        <v>59819</v>
      </c>
      <c r="K17988" s="0" t="s">
        <v>59820</v>
      </c>
      <c r="L17988" s="0" t="str">
        <f aca="false">HYPERLINK("https://www.ncbi.nlm.nih.gov/nuccore/CP000058.1?report=graph&amp;tracks=[key:gene_model_track,Options:GeneOnly]&amp;mk=5534600:5534619|offset_73|00cc00,5534641:5534660|offset_114|444444,5534662:5534681|offset_135|444444,5534712:5534731|offset_185|444444&amp;v=5534399:5534931&amp;c=444444", "offset 73")</f>
        <v>offset 73</v>
      </c>
    </row>
    <row r="17989" customFormat="false" ht="12.8" hidden="false" customHeight="false" outlineLevel="0" collapsed="false">
      <c r="A17989" s="0" t="s">
        <v>12</v>
      </c>
      <c r="B17989" s="0" t="n">
        <v>5534640</v>
      </c>
      <c r="C17989" s="0" t="n">
        <v>5534660</v>
      </c>
      <c r="D17989" s="0" t="s">
        <v>59816</v>
      </c>
      <c r="E17989" s="0" t="s">
        <v>59817</v>
      </c>
      <c r="F17989" s="0" t="s">
        <v>15</v>
      </c>
      <c r="G17989" s="0" t="s">
        <v>20</v>
      </c>
      <c r="H17989" s="0" t="n">
        <v>114</v>
      </c>
      <c r="I17989" s="0" t="s">
        <v>59821</v>
      </c>
      <c r="J17989" s="0" t="s">
        <v>59822</v>
      </c>
      <c r="K17989" s="0" t="s">
        <v>59823</v>
      </c>
      <c r="L17989" s="0" t="str">
        <f aca="false">HYPERLINK("https://www.ncbi.nlm.nih.gov/nuccore/CP000058.1?report=graph&amp;tracks=[key:gene_model_track,Options:GeneOnly]&amp;mk=5534600:5534619|offset_73|444444,5534641:5534660|offset_114|00cc00,5534662:5534681|offset_135|444444,5534712:5534731|offset_185|444444&amp;v=5534399:5534931&amp;c=444444", "offset 114")</f>
        <v>offset 114</v>
      </c>
    </row>
    <row r="17990" customFormat="false" ht="12.8" hidden="false" customHeight="false" outlineLevel="0" collapsed="false">
      <c r="A17990" s="0" t="s">
        <v>12</v>
      </c>
      <c r="B17990" s="0" t="n">
        <v>5534661</v>
      </c>
      <c r="C17990" s="0" t="n">
        <v>5534681</v>
      </c>
      <c r="D17990" s="0" t="s">
        <v>59816</v>
      </c>
      <c r="E17990" s="0" t="s">
        <v>59817</v>
      </c>
      <c r="F17990" s="0" t="s">
        <v>15</v>
      </c>
      <c r="G17990" s="0" t="s">
        <v>16</v>
      </c>
      <c r="H17990" s="0" t="n">
        <v>135</v>
      </c>
      <c r="I17990" s="0" t="s">
        <v>59824</v>
      </c>
      <c r="J17990" s="0" t="s">
        <v>59825</v>
      </c>
      <c r="K17990" s="0" t="s">
        <v>59826</v>
      </c>
      <c r="L17990" s="0" t="str">
        <f aca="false">HYPERLINK("https://www.ncbi.nlm.nih.gov/nuccore/CP000058.1?report=graph&amp;tracks=[key:gene_model_track,Options:GeneOnly]&amp;mk=5534600:5534619|offset_73|444444,5534641:5534660|offset_114|444444,5534662:5534681|offset_135|00cc00,5534712:5534731|offset_185|444444&amp;v=5534399:5534931&amp;c=444444", "offset 135")</f>
        <v>offset 135</v>
      </c>
    </row>
    <row r="17991" customFormat="false" ht="12.8" hidden="false" customHeight="false" outlineLevel="0" collapsed="false">
      <c r="A17991" s="0" t="s">
        <v>12</v>
      </c>
      <c r="B17991" s="0" t="n">
        <v>5534711</v>
      </c>
      <c r="C17991" s="0" t="n">
        <v>5534731</v>
      </c>
      <c r="D17991" s="0" t="s">
        <v>59816</v>
      </c>
      <c r="E17991" s="0" t="s">
        <v>59817</v>
      </c>
      <c r="F17991" s="0" t="s">
        <v>15</v>
      </c>
      <c r="G17991" s="0" t="s">
        <v>20</v>
      </c>
      <c r="H17991" s="0" t="n">
        <v>185</v>
      </c>
      <c r="I17991" s="0" t="s">
        <v>59827</v>
      </c>
      <c r="J17991" s="0" t="s">
        <v>59828</v>
      </c>
      <c r="K17991" s="0" t="s">
        <v>59829</v>
      </c>
      <c r="L17991" s="0" t="str">
        <f aca="false">HYPERLINK("https://www.ncbi.nlm.nih.gov/nuccore/CP000058.1?report=graph&amp;tracks=[key:gene_model_track,Options:GeneOnly]&amp;mk=5534600:5534619|offset_73|444444,5534641:5534660|offset_114|444444,5534662:5534681|offset_135|444444,5534712:5534731|offset_185|00cc00&amp;v=5534399:5534931&amp;c=444444", "offset 185")</f>
        <v>offset 185</v>
      </c>
    </row>
    <row r="17992" customFormat="false" ht="12.8" hidden="false" customHeight="false" outlineLevel="0" collapsed="false">
      <c r="A17992" s="0" t="s">
        <v>12</v>
      </c>
      <c r="B17992" s="0" t="n">
        <v>5538921</v>
      </c>
      <c r="C17992" s="0" t="n">
        <v>5538941</v>
      </c>
      <c r="D17992" s="0" t="s">
        <v>59830</v>
      </c>
      <c r="E17992" s="0" t="s">
        <v>75</v>
      </c>
      <c r="F17992" s="0" t="s">
        <v>90</v>
      </c>
      <c r="G17992" s="0" t="s">
        <v>36</v>
      </c>
      <c r="H17992" s="0" t="n">
        <v>25</v>
      </c>
      <c r="I17992" s="0" t="s">
        <v>59831</v>
      </c>
      <c r="J17992" s="0" t="s">
        <v>59832</v>
      </c>
      <c r="K17992" s="0" t="s">
        <v>59833</v>
      </c>
      <c r="L17992" s="0" t="str">
        <f aca="false">HYPERLINK("https://www.ncbi.nlm.nih.gov/nuccore/CP000058.1?report=graph&amp;tracks=[key:gene_model_track,Options:GeneOnly]&amp;mk=5538922:5538941|offset_25|00cc00,5538897:5538916|offset_50|444444,5538869:5538888|offset_78|444444,5538829:5538848|offset_118|444444&amp;v=5538721:5539048&amp;c=444444", "offset 25")</f>
        <v>offset 25</v>
      </c>
    </row>
    <row r="17993" customFormat="false" ht="12.8" hidden="false" customHeight="false" outlineLevel="0" collapsed="false">
      <c r="A17993" s="0" t="s">
        <v>12</v>
      </c>
      <c r="B17993" s="0" t="n">
        <v>5538896</v>
      </c>
      <c r="C17993" s="0" t="n">
        <v>5538916</v>
      </c>
      <c r="D17993" s="0" t="s">
        <v>59830</v>
      </c>
      <c r="E17993" s="0" t="s">
        <v>75</v>
      </c>
      <c r="F17993" s="0" t="s">
        <v>90</v>
      </c>
      <c r="G17993" s="0" t="s">
        <v>32</v>
      </c>
      <c r="H17993" s="0" t="n">
        <v>50</v>
      </c>
      <c r="I17993" s="0" t="s">
        <v>59834</v>
      </c>
      <c r="J17993" s="0" t="s">
        <v>59835</v>
      </c>
      <c r="K17993" s="0" t="s">
        <v>59836</v>
      </c>
      <c r="L17993" s="0" t="str">
        <f aca="false">HYPERLINK("https://www.ncbi.nlm.nih.gov/nuccore/CP000058.1?report=graph&amp;tracks=[key:gene_model_track,Options:GeneOnly]&amp;mk=5538922:5538941|offset_25|444444,5538897:5538916|offset_50|00cc00,5538869:5538888|offset_78|444444,5538829:5538848|offset_118|444444&amp;v=5538721:5539048&amp;c=444444", "offset 50")</f>
        <v>offset 50</v>
      </c>
    </row>
    <row r="17994" customFormat="false" ht="12.8" hidden="false" customHeight="false" outlineLevel="0" collapsed="false">
      <c r="A17994" s="0" t="s">
        <v>12</v>
      </c>
      <c r="B17994" s="0" t="n">
        <v>5538868</v>
      </c>
      <c r="C17994" s="0" t="n">
        <v>5538888</v>
      </c>
      <c r="D17994" s="0" t="s">
        <v>59830</v>
      </c>
      <c r="E17994" s="0" t="s">
        <v>75</v>
      </c>
      <c r="F17994" s="0" t="s">
        <v>90</v>
      </c>
      <c r="G17994" s="0" t="s">
        <v>20</v>
      </c>
      <c r="H17994" s="0" t="n">
        <v>78</v>
      </c>
      <c r="I17994" s="0" t="s">
        <v>59837</v>
      </c>
      <c r="J17994" s="0" t="s">
        <v>59838</v>
      </c>
      <c r="K17994" s="0" t="s">
        <v>59839</v>
      </c>
      <c r="L17994" s="0" t="str">
        <f aca="false">HYPERLINK("https://www.ncbi.nlm.nih.gov/nuccore/CP000058.1?report=graph&amp;tracks=[key:gene_model_track,Options:GeneOnly]&amp;mk=5538922:5538941|offset_25|444444,5538897:5538916|offset_50|444444,5538869:5538888|offset_78|00cc00,5538829:5538848|offset_118|444444&amp;v=5538721:5539048&amp;c=444444", "offset 78")</f>
        <v>offset 78</v>
      </c>
    </row>
    <row r="17995" customFormat="false" ht="12.8" hidden="false" customHeight="false" outlineLevel="0" collapsed="false">
      <c r="A17995" s="0" t="s">
        <v>12</v>
      </c>
      <c r="B17995" s="0" t="n">
        <v>5538828</v>
      </c>
      <c r="C17995" s="0" t="n">
        <v>5538848</v>
      </c>
      <c r="D17995" s="0" t="s">
        <v>59830</v>
      </c>
      <c r="E17995" s="0" t="s">
        <v>75</v>
      </c>
      <c r="F17995" s="0" t="s">
        <v>90</v>
      </c>
      <c r="G17995" s="0" t="s">
        <v>32</v>
      </c>
      <c r="H17995" s="0" t="n">
        <v>118</v>
      </c>
      <c r="I17995" s="0" t="s">
        <v>59840</v>
      </c>
      <c r="J17995" s="0" t="s">
        <v>59841</v>
      </c>
      <c r="K17995" s="0" t="s">
        <v>59842</v>
      </c>
      <c r="L17995" s="0" t="str">
        <f aca="false">HYPERLINK("https://www.ncbi.nlm.nih.gov/nuccore/CP000058.1?report=graph&amp;tracks=[key:gene_model_track,Options:GeneOnly]&amp;mk=5538922:5538941|offset_25|444444,5538897:5538916|offset_50|444444,5538869:5538888|offset_78|444444,5538829:5538848|offset_118|00cc00&amp;v=5538721:5539048&amp;c=444444", "offset 118")</f>
        <v>offset 118</v>
      </c>
    </row>
    <row r="17996" customFormat="false" ht="12.8" hidden="false" customHeight="false" outlineLevel="0" collapsed="false">
      <c r="A17996" s="0" t="s">
        <v>12</v>
      </c>
      <c r="B17996" s="0" t="n">
        <v>5539082</v>
      </c>
      <c r="C17996" s="0" t="n">
        <v>5539102</v>
      </c>
      <c r="D17996" s="0" t="s">
        <v>59843</v>
      </c>
      <c r="E17996" s="0" t="s">
        <v>59844</v>
      </c>
      <c r="F17996" s="0" t="s">
        <v>15</v>
      </c>
      <c r="G17996" s="0" t="s">
        <v>16</v>
      </c>
      <c r="H17996" s="0" t="n">
        <v>31</v>
      </c>
      <c r="I17996" s="0" t="s">
        <v>59845</v>
      </c>
      <c r="J17996" s="0" t="s">
        <v>59846</v>
      </c>
      <c r="K17996" s="0" t="s">
        <v>59847</v>
      </c>
      <c r="L17996" s="0" t="str">
        <f aca="false">HYPERLINK("https://www.ncbi.nlm.nih.gov/nuccore/CP000058.1?report=graph&amp;tracks=[key:gene_model_track,Options:GeneOnly]&amp;mk=5539083:5539102|offset_31|00cc00,5539105:5539124|offset_53|444444,5539126:5539145|offset_74|444444,5539162:5539181|offset_110|444444&amp;v=5538882:5539381&amp;c=444444", "offset 31")</f>
        <v>offset 31</v>
      </c>
    </row>
    <row r="17997" customFormat="false" ht="12.8" hidden="false" customHeight="false" outlineLevel="0" collapsed="false">
      <c r="A17997" s="0" t="s">
        <v>12</v>
      </c>
      <c r="B17997" s="0" t="n">
        <v>5539104</v>
      </c>
      <c r="C17997" s="0" t="n">
        <v>5539124</v>
      </c>
      <c r="D17997" s="0" t="s">
        <v>59843</v>
      </c>
      <c r="E17997" s="0" t="s">
        <v>59844</v>
      </c>
      <c r="F17997" s="0" t="s">
        <v>15</v>
      </c>
      <c r="G17997" s="0" t="s">
        <v>16</v>
      </c>
      <c r="H17997" s="0" t="n">
        <v>53</v>
      </c>
      <c r="I17997" s="0" t="s">
        <v>59848</v>
      </c>
      <c r="J17997" s="0" t="s">
        <v>59849</v>
      </c>
      <c r="K17997" s="0" t="s">
        <v>59850</v>
      </c>
      <c r="L17997" s="0" t="str">
        <f aca="false">HYPERLINK("https://www.ncbi.nlm.nih.gov/nuccore/CP000058.1?report=graph&amp;tracks=[key:gene_model_track,Options:GeneOnly]&amp;mk=5539083:5539102|offset_31|444444,5539105:5539124|offset_53|00cc00,5539126:5539145|offset_74|444444,5539162:5539181|offset_110|444444&amp;v=5538882:5539381&amp;c=444444", "offset 53")</f>
        <v>offset 53</v>
      </c>
    </row>
    <row r="17998" customFormat="false" ht="12.8" hidden="false" customHeight="false" outlineLevel="0" collapsed="false">
      <c r="A17998" s="0" t="s">
        <v>12</v>
      </c>
      <c r="B17998" s="0" t="n">
        <v>5539125</v>
      </c>
      <c r="C17998" s="0" t="n">
        <v>5539145</v>
      </c>
      <c r="D17998" s="0" t="s">
        <v>59843</v>
      </c>
      <c r="E17998" s="0" t="s">
        <v>59844</v>
      </c>
      <c r="F17998" s="0" t="s">
        <v>15</v>
      </c>
      <c r="G17998" s="0" t="s">
        <v>20</v>
      </c>
      <c r="H17998" s="0" t="n">
        <v>74</v>
      </c>
      <c r="I17998" s="0" t="s">
        <v>59851</v>
      </c>
      <c r="J17998" s="0" t="s">
        <v>59852</v>
      </c>
      <c r="K17998" s="0" t="s">
        <v>59853</v>
      </c>
      <c r="L17998" s="0" t="str">
        <f aca="false">HYPERLINK("https://www.ncbi.nlm.nih.gov/nuccore/CP000058.1?report=graph&amp;tracks=[key:gene_model_track,Options:GeneOnly]&amp;mk=5539083:5539102|offset_31|444444,5539105:5539124|offset_53|444444,5539126:5539145|offset_74|00cc00,5539162:5539181|offset_110|444444&amp;v=5538882:5539381&amp;c=444444", "offset 74")</f>
        <v>offset 74</v>
      </c>
    </row>
    <row r="17999" customFormat="false" ht="12.8" hidden="false" customHeight="false" outlineLevel="0" collapsed="false">
      <c r="A17999" s="0" t="s">
        <v>12</v>
      </c>
      <c r="B17999" s="0" t="n">
        <v>5539161</v>
      </c>
      <c r="C17999" s="0" t="n">
        <v>5539181</v>
      </c>
      <c r="D17999" s="0" t="s">
        <v>59843</v>
      </c>
      <c r="E17999" s="0" t="s">
        <v>59844</v>
      </c>
      <c r="F17999" s="0" t="s">
        <v>15</v>
      </c>
      <c r="G17999" s="0" t="s">
        <v>16</v>
      </c>
      <c r="H17999" s="0" t="n">
        <v>110</v>
      </c>
      <c r="I17999" s="0" t="s">
        <v>59854</v>
      </c>
      <c r="J17999" s="0" t="s">
        <v>59855</v>
      </c>
      <c r="K17999" s="0" t="s">
        <v>59856</v>
      </c>
      <c r="L17999" s="0" t="str">
        <f aca="false">HYPERLINK("https://www.ncbi.nlm.nih.gov/nuccore/CP000058.1?report=graph&amp;tracks=[key:gene_model_track,Options:GeneOnly]&amp;mk=5539083:5539102|offset_31|444444,5539105:5539124|offset_53|444444,5539126:5539145|offset_74|444444,5539162:5539181|offset_110|00cc00&amp;v=5538882:5539381&amp;c=444444", "offset 110")</f>
        <v>offset 110</v>
      </c>
    </row>
    <row r="18000" customFormat="false" ht="12.8" hidden="false" customHeight="false" outlineLevel="0" collapsed="false">
      <c r="A18000" s="0" t="s">
        <v>12</v>
      </c>
      <c r="B18000" s="0" t="n">
        <v>5539942</v>
      </c>
      <c r="C18000" s="0" t="n">
        <v>5539962</v>
      </c>
      <c r="D18000" s="0" t="s">
        <v>59857</v>
      </c>
      <c r="E18000" s="0" t="s">
        <v>75</v>
      </c>
      <c r="F18000" s="0" t="s">
        <v>90</v>
      </c>
      <c r="G18000" s="0" t="s">
        <v>20</v>
      </c>
      <c r="H18000" s="0" t="n">
        <v>7</v>
      </c>
      <c r="I18000" s="0" t="s">
        <v>59858</v>
      </c>
      <c r="J18000" s="0" t="s">
        <v>59859</v>
      </c>
      <c r="K18000" s="0" t="s">
        <v>59860</v>
      </c>
      <c r="L18000" s="0" t="str">
        <f aca="false">HYPERLINK("https://www.ncbi.nlm.nih.gov/nuccore/CP000058.1?report=graph&amp;tracks=[key:gene_model_track,Options:GeneOnly]&amp;mk=5539943:5539962|offset_7|00cc00,5539912:5539931|offset_38|444444,5539808:5539827|offset_142|444444,5539764:5539783|offset_186|444444&amp;v=5539742:5539983&amp;c=444444", "offset 7")</f>
        <v>offset 7</v>
      </c>
    </row>
    <row r="18001" customFormat="false" ht="12.8" hidden="false" customHeight="false" outlineLevel="0" collapsed="false">
      <c r="A18001" s="0" t="s">
        <v>12</v>
      </c>
      <c r="B18001" s="0" t="n">
        <v>5539911</v>
      </c>
      <c r="C18001" s="0" t="n">
        <v>5539931</v>
      </c>
      <c r="D18001" s="0" t="s">
        <v>59857</v>
      </c>
      <c r="E18001" s="0" t="s">
        <v>75</v>
      </c>
      <c r="F18001" s="0" t="s">
        <v>90</v>
      </c>
      <c r="G18001" s="0" t="s">
        <v>36</v>
      </c>
      <c r="H18001" s="0" t="n">
        <v>38</v>
      </c>
      <c r="I18001" s="0" t="s">
        <v>59861</v>
      </c>
      <c r="J18001" s="0" t="s">
        <v>59862</v>
      </c>
      <c r="K18001" s="0" t="s">
        <v>59863</v>
      </c>
      <c r="L18001" s="0" t="str">
        <f aca="false">HYPERLINK("https://www.ncbi.nlm.nih.gov/nuccore/CP000058.1?report=graph&amp;tracks=[key:gene_model_track,Options:GeneOnly]&amp;mk=5539943:5539962|offset_7|444444,5539912:5539931|offset_38|00cc00,5539808:5539827|offset_142|444444,5539764:5539783|offset_186|444444&amp;v=5539742:5539983&amp;c=444444", "offset 38")</f>
        <v>offset 38</v>
      </c>
    </row>
    <row r="18002" customFormat="false" ht="12.8" hidden="false" customHeight="false" outlineLevel="0" collapsed="false">
      <c r="A18002" s="0" t="s">
        <v>12</v>
      </c>
      <c r="B18002" s="0" t="n">
        <v>5539807</v>
      </c>
      <c r="C18002" s="0" t="n">
        <v>5539827</v>
      </c>
      <c r="D18002" s="0" t="s">
        <v>59857</v>
      </c>
      <c r="E18002" s="0" t="s">
        <v>75</v>
      </c>
      <c r="F18002" s="0" t="s">
        <v>90</v>
      </c>
      <c r="G18002" s="0" t="s">
        <v>36</v>
      </c>
      <c r="H18002" s="0" t="n">
        <v>142</v>
      </c>
      <c r="I18002" s="0" t="s">
        <v>59864</v>
      </c>
      <c r="J18002" s="0" t="s">
        <v>59865</v>
      </c>
      <c r="K18002" s="0" t="s">
        <v>59866</v>
      </c>
      <c r="L18002" s="0" t="str">
        <f aca="false">HYPERLINK("https://www.ncbi.nlm.nih.gov/nuccore/CP000058.1?report=graph&amp;tracks=[key:gene_model_track,Options:GeneOnly]&amp;mk=5539943:5539962|offset_7|444444,5539912:5539931|offset_38|444444,5539808:5539827|offset_142|00cc00,5539764:5539783|offset_186|444444&amp;v=5539742:5539983&amp;c=444444", "offset 142")</f>
        <v>offset 142</v>
      </c>
    </row>
    <row r="18003" customFormat="false" ht="12.8" hidden="false" customHeight="false" outlineLevel="0" collapsed="false">
      <c r="A18003" s="0" t="s">
        <v>12</v>
      </c>
      <c r="B18003" s="0" t="n">
        <v>5539763</v>
      </c>
      <c r="C18003" s="0" t="n">
        <v>5539783</v>
      </c>
      <c r="D18003" s="0" t="s">
        <v>59857</v>
      </c>
      <c r="E18003" s="0" t="s">
        <v>75</v>
      </c>
      <c r="F18003" s="0" t="s">
        <v>90</v>
      </c>
      <c r="G18003" s="0" t="s">
        <v>36</v>
      </c>
      <c r="H18003" s="0" t="n">
        <v>186</v>
      </c>
      <c r="I18003" s="0" t="s">
        <v>59867</v>
      </c>
      <c r="J18003" s="0" t="s">
        <v>59868</v>
      </c>
      <c r="K18003" s="0" t="s">
        <v>59869</v>
      </c>
      <c r="L18003" s="0" t="str">
        <f aca="false">HYPERLINK("https://www.ncbi.nlm.nih.gov/nuccore/CP000058.1?report=graph&amp;tracks=[key:gene_model_track,Options:GeneOnly]&amp;mk=5539943:5539962|offset_7|444444,5539912:5539931|offset_38|444444,5539808:5539827|offset_142|444444,5539764:5539783|offset_186|00cc00&amp;v=5539742:5539983&amp;c=444444", "offset 186")</f>
        <v>offset 186</v>
      </c>
    </row>
    <row r="18004" customFormat="false" ht="12.8" hidden="false" customHeight="false" outlineLevel="0" collapsed="false">
      <c r="A18004" s="0" t="s">
        <v>12</v>
      </c>
      <c r="B18004" s="0" t="n">
        <v>5541595</v>
      </c>
      <c r="C18004" s="0" t="n">
        <v>5541615</v>
      </c>
      <c r="D18004" s="0" t="s">
        <v>59870</v>
      </c>
      <c r="E18004" s="0" t="s">
        <v>59871</v>
      </c>
      <c r="F18004" s="0" t="s">
        <v>90</v>
      </c>
      <c r="G18004" s="0" t="s">
        <v>20</v>
      </c>
      <c r="H18004" s="0" t="n">
        <v>49</v>
      </c>
      <c r="I18004" s="0" t="s">
        <v>59872</v>
      </c>
      <c r="J18004" s="0" t="s">
        <v>59873</v>
      </c>
      <c r="K18004" s="0" t="s">
        <v>59874</v>
      </c>
      <c r="L18004" s="0" t="str">
        <f aca="false">HYPERLINK("https://www.ncbi.nlm.nih.gov/nuccore/CP000058.1?report=graph&amp;tracks=[key:gene_model_track,Options:GeneOnly]&amp;mk=5541596:5541615|offset_49|00cc00,5541566:5541585|offset_79|444444,5541516:5541535|offset_129|444444,5541479:5541498|offset_166|444444&amp;v=5541395:5541698&amp;c=444444", "offset 49")</f>
        <v>offset 49</v>
      </c>
    </row>
    <row r="18005" customFormat="false" ht="12.8" hidden="false" customHeight="false" outlineLevel="0" collapsed="false">
      <c r="A18005" s="0" t="s">
        <v>12</v>
      </c>
      <c r="B18005" s="0" t="n">
        <v>5541565</v>
      </c>
      <c r="C18005" s="0" t="n">
        <v>5541585</v>
      </c>
      <c r="D18005" s="0" t="s">
        <v>59870</v>
      </c>
      <c r="E18005" s="0" t="s">
        <v>59871</v>
      </c>
      <c r="F18005" s="0" t="s">
        <v>90</v>
      </c>
      <c r="G18005" s="0" t="s">
        <v>32</v>
      </c>
      <c r="H18005" s="0" t="n">
        <v>79</v>
      </c>
      <c r="I18005" s="0" t="s">
        <v>59875</v>
      </c>
      <c r="J18005" s="0" t="s">
        <v>59876</v>
      </c>
      <c r="K18005" s="0" t="s">
        <v>59877</v>
      </c>
      <c r="L18005" s="0" t="str">
        <f aca="false">HYPERLINK("https://www.ncbi.nlm.nih.gov/nuccore/CP000058.1?report=graph&amp;tracks=[key:gene_model_track,Options:GeneOnly]&amp;mk=5541596:5541615|offset_49|444444,5541566:5541585|offset_79|00cc00,5541516:5541535|offset_129|444444,5541479:5541498|offset_166|444444&amp;v=5541395:5541698&amp;c=444444", "offset 79")</f>
        <v>offset 79</v>
      </c>
    </row>
    <row r="18006" customFormat="false" ht="12.8" hidden="false" customHeight="false" outlineLevel="0" collapsed="false">
      <c r="A18006" s="0" t="s">
        <v>12</v>
      </c>
      <c r="B18006" s="0" t="n">
        <v>5541515</v>
      </c>
      <c r="C18006" s="0" t="n">
        <v>5541535</v>
      </c>
      <c r="D18006" s="0" t="s">
        <v>59870</v>
      </c>
      <c r="E18006" s="0" t="s">
        <v>59871</v>
      </c>
      <c r="F18006" s="0" t="s">
        <v>90</v>
      </c>
      <c r="G18006" s="0" t="s">
        <v>16</v>
      </c>
      <c r="H18006" s="0" t="n">
        <v>129</v>
      </c>
      <c r="I18006" s="0" t="s">
        <v>59878</v>
      </c>
      <c r="J18006" s="0" t="s">
        <v>59879</v>
      </c>
      <c r="K18006" s="0" t="s">
        <v>59880</v>
      </c>
      <c r="L18006" s="0" t="str">
        <f aca="false">HYPERLINK("https://www.ncbi.nlm.nih.gov/nuccore/CP000058.1?report=graph&amp;tracks=[key:gene_model_track,Options:GeneOnly]&amp;mk=5541596:5541615|offset_49|444444,5541566:5541585|offset_79|444444,5541516:5541535|offset_129|00cc00,5541479:5541498|offset_166|444444&amp;v=5541395:5541698&amp;c=444444", "offset 129")</f>
        <v>offset 129</v>
      </c>
    </row>
    <row r="18007" customFormat="false" ht="12.8" hidden="false" customHeight="false" outlineLevel="0" collapsed="false">
      <c r="A18007" s="0" t="s">
        <v>12</v>
      </c>
      <c r="B18007" s="0" t="n">
        <v>5541478</v>
      </c>
      <c r="C18007" s="0" t="n">
        <v>5541498</v>
      </c>
      <c r="D18007" s="0" t="s">
        <v>59870</v>
      </c>
      <c r="E18007" s="0" t="s">
        <v>59871</v>
      </c>
      <c r="F18007" s="0" t="s">
        <v>90</v>
      </c>
      <c r="G18007" s="0" t="s">
        <v>32</v>
      </c>
      <c r="H18007" s="0" t="n">
        <v>166</v>
      </c>
      <c r="I18007" s="0" t="s">
        <v>59881</v>
      </c>
      <c r="J18007" s="0" t="s">
        <v>59882</v>
      </c>
      <c r="K18007" s="0" t="s">
        <v>59883</v>
      </c>
      <c r="L18007" s="0" t="str">
        <f aca="false">HYPERLINK("https://www.ncbi.nlm.nih.gov/nuccore/CP000058.1?report=graph&amp;tracks=[key:gene_model_track,Options:GeneOnly]&amp;mk=5541596:5541615|offset_49|444444,5541566:5541585|offset_79|444444,5541516:5541535|offset_129|444444,5541479:5541498|offset_166|00cc00&amp;v=5541395:5541698&amp;c=444444", "offset 166")</f>
        <v>offset 166</v>
      </c>
    </row>
    <row r="18008" customFormat="false" ht="12.8" hidden="false" customHeight="false" outlineLevel="0" collapsed="false">
      <c r="A18008" s="0" t="s">
        <v>12</v>
      </c>
      <c r="B18008" s="0" t="n">
        <v>5542500</v>
      </c>
      <c r="C18008" s="0" t="n">
        <v>5542520</v>
      </c>
      <c r="D18008" s="0" t="s">
        <v>59884</v>
      </c>
      <c r="E18008" s="0" t="s">
        <v>59885</v>
      </c>
      <c r="F18008" s="0" t="s">
        <v>90</v>
      </c>
      <c r="G18008" s="0" t="s">
        <v>20</v>
      </c>
      <c r="H18008" s="0" t="n">
        <v>9</v>
      </c>
      <c r="I18008" s="0" t="s">
        <v>59886</v>
      </c>
      <c r="J18008" s="0" t="s">
        <v>59887</v>
      </c>
      <c r="K18008" s="0" t="s">
        <v>59888</v>
      </c>
      <c r="L18008" s="0" t="str">
        <f aca="false">HYPERLINK("https://www.ncbi.nlm.nih.gov/nuccore/CP000058.1?report=graph&amp;tracks=[key:gene_model_track,Options:GeneOnly]&amp;mk=5542501:5542520|offset_9|00cc00,5542463:5542482|offset_47|444444,5542430:5542449|offset_80|444444,5542410:5542429|offset_100|444444&amp;v=5542300:5542629&amp;c=444444", "offset 9")</f>
        <v>offset 9</v>
      </c>
    </row>
    <row r="18009" customFormat="false" ht="12.8" hidden="false" customHeight="false" outlineLevel="0" collapsed="false">
      <c r="A18009" s="0" t="s">
        <v>12</v>
      </c>
      <c r="B18009" s="0" t="n">
        <v>5542462</v>
      </c>
      <c r="C18009" s="0" t="n">
        <v>5542482</v>
      </c>
      <c r="D18009" s="0" t="s">
        <v>59884</v>
      </c>
      <c r="E18009" s="0" t="s">
        <v>59885</v>
      </c>
      <c r="F18009" s="0" t="s">
        <v>90</v>
      </c>
      <c r="G18009" s="0" t="s">
        <v>36</v>
      </c>
      <c r="H18009" s="0" t="n">
        <v>47</v>
      </c>
      <c r="I18009" s="0" t="s">
        <v>59889</v>
      </c>
      <c r="J18009" s="0" t="s">
        <v>59890</v>
      </c>
      <c r="K18009" s="0" t="s">
        <v>59891</v>
      </c>
      <c r="L18009" s="0" t="str">
        <f aca="false">HYPERLINK("https://www.ncbi.nlm.nih.gov/nuccore/CP000058.1?report=graph&amp;tracks=[key:gene_model_track,Options:GeneOnly]&amp;mk=5542501:5542520|offset_9|444444,5542463:5542482|offset_47|00cc00,5542430:5542449|offset_80|444444,5542410:5542429|offset_100|444444&amp;v=5542300:5542629&amp;c=444444", "offset 47")</f>
        <v>offset 47</v>
      </c>
    </row>
    <row r="18010" customFormat="false" ht="12.8" hidden="false" customHeight="false" outlineLevel="0" collapsed="false">
      <c r="A18010" s="0" t="s">
        <v>12</v>
      </c>
      <c r="B18010" s="0" t="n">
        <v>5542429</v>
      </c>
      <c r="C18010" s="0" t="n">
        <v>5542449</v>
      </c>
      <c r="D18010" s="0" t="s">
        <v>59884</v>
      </c>
      <c r="E18010" s="0" t="s">
        <v>59885</v>
      </c>
      <c r="F18010" s="0" t="s">
        <v>90</v>
      </c>
      <c r="G18010" s="0" t="s">
        <v>20</v>
      </c>
      <c r="H18010" s="0" t="n">
        <v>80</v>
      </c>
      <c r="I18010" s="0" t="s">
        <v>59892</v>
      </c>
      <c r="J18010" s="0" t="s">
        <v>59893</v>
      </c>
      <c r="K18010" s="0" t="s">
        <v>59894</v>
      </c>
      <c r="L18010" s="0" t="str">
        <f aca="false">HYPERLINK("https://www.ncbi.nlm.nih.gov/nuccore/CP000058.1?report=graph&amp;tracks=[key:gene_model_track,Options:GeneOnly]&amp;mk=5542501:5542520|offset_9|444444,5542463:5542482|offset_47|444444,5542430:5542449|offset_80|00cc00,5542410:5542429|offset_100|444444&amp;v=5542300:5542629&amp;c=444444", "offset 80")</f>
        <v>offset 80</v>
      </c>
    </row>
    <row r="18011" customFormat="false" ht="12.8" hidden="false" customHeight="false" outlineLevel="0" collapsed="false">
      <c r="A18011" s="0" t="s">
        <v>12</v>
      </c>
      <c r="B18011" s="0" t="n">
        <v>5542409</v>
      </c>
      <c r="C18011" s="0" t="n">
        <v>5542429</v>
      </c>
      <c r="D18011" s="0" t="s">
        <v>59884</v>
      </c>
      <c r="E18011" s="0" t="s">
        <v>59885</v>
      </c>
      <c r="F18011" s="0" t="s">
        <v>90</v>
      </c>
      <c r="G18011" s="0" t="s">
        <v>20</v>
      </c>
      <c r="H18011" s="0" t="n">
        <v>100</v>
      </c>
      <c r="I18011" s="0" t="s">
        <v>59895</v>
      </c>
      <c r="J18011" s="0" t="s">
        <v>59896</v>
      </c>
      <c r="K18011" s="0" t="s">
        <v>59897</v>
      </c>
      <c r="L18011" s="0" t="str">
        <f aca="false">HYPERLINK("https://www.ncbi.nlm.nih.gov/nuccore/CP000058.1?report=graph&amp;tracks=[key:gene_model_track,Options:GeneOnly]&amp;mk=5542501:5542520|offset_9|444444,5542463:5542482|offset_47|444444,5542430:5542449|offset_80|444444,5542410:5542429|offset_100|00cc00&amp;v=5542300:5542629&amp;c=444444", "offset 100")</f>
        <v>offset 100</v>
      </c>
    </row>
    <row r="18012" customFormat="false" ht="12.8" hidden="false" customHeight="false" outlineLevel="0" collapsed="false">
      <c r="A18012" s="0" t="s">
        <v>12</v>
      </c>
      <c r="B18012" s="0" t="n">
        <v>5545233</v>
      </c>
      <c r="C18012" s="0" t="n">
        <v>5545253</v>
      </c>
      <c r="D18012" s="0" t="s">
        <v>59898</v>
      </c>
      <c r="E18012" s="0" t="s">
        <v>59899</v>
      </c>
      <c r="F18012" s="0" t="s">
        <v>90</v>
      </c>
      <c r="G18012" s="0" t="s">
        <v>32</v>
      </c>
      <c r="H18012" s="0" t="n">
        <v>1</v>
      </c>
      <c r="I18012" s="0" t="s">
        <v>59900</v>
      </c>
      <c r="J18012" s="0" t="s">
        <v>59901</v>
      </c>
      <c r="K18012" s="0" t="s">
        <v>59902</v>
      </c>
      <c r="L18012" s="0" t="str">
        <f aca="false">HYPERLINK("https://www.ncbi.nlm.nih.gov/nuccore/CP000058.1?report=graph&amp;tracks=[key:gene_model_track,Options:GeneOnly]&amp;mk=5545234:5545253|offset_1|00cc00,5545206:5545225|offset_29|444444,5545138:5545157|offset_97|444444,5545110:5545129|offset_125|444444&amp;v=5545033:5545329&amp;c=444444", "offset 1")</f>
        <v>offset 1</v>
      </c>
    </row>
    <row r="18013" customFormat="false" ht="12.8" hidden="false" customHeight="false" outlineLevel="0" collapsed="false">
      <c r="A18013" s="0" t="s">
        <v>12</v>
      </c>
      <c r="B18013" s="0" t="n">
        <v>5545205</v>
      </c>
      <c r="C18013" s="0" t="n">
        <v>5545225</v>
      </c>
      <c r="D18013" s="0" t="s">
        <v>59898</v>
      </c>
      <c r="E18013" s="0" t="s">
        <v>59899</v>
      </c>
      <c r="F18013" s="0" t="s">
        <v>90</v>
      </c>
      <c r="G18013" s="0" t="s">
        <v>32</v>
      </c>
      <c r="H18013" s="0" t="n">
        <v>29</v>
      </c>
      <c r="I18013" s="0" t="s">
        <v>59903</v>
      </c>
      <c r="J18013" s="0" t="s">
        <v>59904</v>
      </c>
      <c r="K18013" s="0" t="s">
        <v>59905</v>
      </c>
      <c r="L18013" s="0" t="str">
        <f aca="false">HYPERLINK("https://www.ncbi.nlm.nih.gov/nuccore/CP000058.1?report=graph&amp;tracks=[key:gene_model_track,Options:GeneOnly]&amp;mk=5545234:5545253|offset_1|444444,5545206:5545225|offset_29|00cc00,5545138:5545157|offset_97|444444,5545110:5545129|offset_125|444444&amp;v=5545033:5545329&amp;c=444444", "offset 29")</f>
        <v>offset 29</v>
      </c>
    </row>
    <row r="18014" customFormat="false" ht="12.8" hidden="false" customHeight="false" outlineLevel="0" collapsed="false">
      <c r="A18014" s="0" t="s">
        <v>12</v>
      </c>
      <c r="B18014" s="0" t="n">
        <v>5545137</v>
      </c>
      <c r="C18014" s="0" t="n">
        <v>5545157</v>
      </c>
      <c r="D18014" s="0" t="s">
        <v>59898</v>
      </c>
      <c r="E18014" s="0" t="s">
        <v>59899</v>
      </c>
      <c r="F18014" s="0" t="s">
        <v>90</v>
      </c>
      <c r="G18014" s="0" t="s">
        <v>32</v>
      </c>
      <c r="H18014" s="0" t="n">
        <v>97</v>
      </c>
      <c r="I18014" s="0" t="s">
        <v>59906</v>
      </c>
      <c r="J18014" s="0" t="s">
        <v>59907</v>
      </c>
      <c r="K18014" s="0" t="s">
        <v>59908</v>
      </c>
      <c r="L18014" s="0" t="str">
        <f aca="false">HYPERLINK("https://www.ncbi.nlm.nih.gov/nuccore/CP000058.1?report=graph&amp;tracks=[key:gene_model_track,Options:GeneOnly]&amp;mk=5545234:5545253|offset_1|444444,5545206:5545225|offset_29|444444,5545138:5545157|offset_97|00cc00,5545110:5545129|offset_125|444444&amp;v=5545033:5545329&amp;c=444444", "offset 97")</f>
        <v>offset 97</v>
      </c>
    </row>
    <row r="18015" customFormat="false" ht="12.8" hidden="false" customHeight="false" outlineLevel="0" collapsed="false">
      <c r="A18015" s="0" t="s">
        <v>12</v>
      </c>
      <c r="B18015" s="0" t="n">
        <v>5545109</v>
      </c>
      <c r="C18015" s="0" t="n">
        <v>5545129</v>
      </c>
      <c r="D18015" s="0" t="s">
        <v>59898</v>
      </c>
      <c r="E18015" s="0" t="s">
        <v>59899</v>
      </c>
      <c r="F18015" s="0" t="s">
        <v>90</v>
      </c>
      <c r="G18015" s="0" t="s">
        <v>20</v>
      </c>
      <c r="H18015" s="0" t="n">
        <v>125</v>
      </c>
      <c r="I18015" s="0" t="s">
        <v>59909</v>
      </c>
      <c r="J18015" s="0" t="s">
        <v>59910</v>
      </c>
      <c r="K18015" s="0" t="s">
        <v>59911</v>
      </c>
      <c r="L18015" s="0" t="str">
        <f aca="false">HYPERLINK("https://www.ncbi.nlm.nih.gov/nuccore/CP000058.1?report=graph&amp;tracks=[key:gene_model_track,Options:GeneOnly]&amp;mk=5545234:5545253|offset_1|444444,5545206:5545225|offset_29|444444,5545138:5545157|offset_97|444444,5545110:5545129|offset_125|00cc00&amp;v=5545033:5545329&amp;c=444444", "offset 125")</f>
        <v>offset 125</v>
      </c>
    </row>
    <row r="18016" customFormat="false" ht="12.8" hidden="false" customHeight="false" outlineLevel="0" collapsed="false">
      <c r="A18016" s="0" t="s">
        <v>12</v>
      </c>
      <c r="B18016" s="0" t="n">
        <v>5545734</v>
      </c>
      <c r="C18016" s="0" t="n">
        <v>5545754</v>
      </c>
      <c r="D18016" s="0" t="s">
        <v>59912</v>
      </c>
      <c r="E18016" s="0" t="s">
        <v>59913</v>
      </c>
      <c r="F18016" s="0" t="s">
        <v>90</v>
      </c>
      <c r="G18016" s="0" t="s">
        <v>16</v>
      </c>
      <c r="H18016" s="0" t="n">
        <v>1</v>
      </c>
      <c r="I18016" s="0" t="s">
        <v>59914</v>
      </c>
      <c r="J18016" s="0" t="s">
        <v>59915</v>
      </c>
      <c r="K18016" s="0" t="s">
        <v>59916</v>
      </c>
      <c r="L18016" s="0" t="str">
        <f aca="false">HYPERLINK("https://www.ncbi.nlm.nih.gov/nuccore/CP000058.1?report=graph&amp;tracks=[key:gene_model_track,Options:GeneOnly]&amp;mk=5545735:5545754|offset_1|00cc00,5545713:5545732|offset_23|444444,5545668:5545687|offset_68|444444,5545647:5545666|offset_89|444444&amp;v=5545534:5545866&amp;c=444444", "offset 1")</f>
        <v>offset 1</v>
      </c>
    </row>
    <row r="18017" customFormat="false" ht="12.8" hidden="false" customHeight="false" outlineLevel="0" collapsed="false">
      <c r="A18017" s="0" t="s">
        <v>12</v>
      </c>
      <c r="B18017" s="0" t="n">
        <v>5545712</v>
      </c>
      <c r="C18017" s="0" t="n">
        <v>5545732</v>
      </c>
      <c r="D18017" s="0" t="s">
        <v>59912</v>
      </c>
      <c r="E18017" s="0" t="s">
        <v>59913</v>
      </c>
      <c r="F18017" s="0" t="s">
        <v>90</v>
      </c>
      <c r="G18017" s="0" t="s">
        <v>16</v>
      </c>
      <c r="H18017" s="0" t="n">
        <v>23</v>
      </c>
      <c r="I18017" s="0" t="s">
        <v>59917</v>
      </c>
      <c r="J18017" s="0" t="s">
        <v>59918</v>
      </c>
      <c r="K18017" s="0" t="s">
        <v>59919</v>
      </c>
      <c r="L18017" s="0" t="str">
        <f aca="false">HYPERLINK("https://www.ncbi.nlm.nih.gov/nuccore/CP000058.1?report=graph&amp;tracks=[key:gene_model_track,Options:GeneOnly]&amp;mk=5545735:5545754|offset_1|444444,5545713:5545732|offset_23|00cc00,5545668:5545687|offset_68|444444,5545647:5545666|offset_89|444444&amp;v=5545534:5545866&amp;c=444444", "offset 23")</f>
        <v>offset 23</v>
      </c>
    </row>
    <row r="18018" customFormat="false" ht="12.8" hidden="false" customHeight="false" outlineLevel="0" collapsed="false">
      <c r="A18018" s="0" t="s">
        <v>12</v>
      </c>
      <c r="B18018" s="0" t="n">
        <v>5545667</v>
      </c>
      <c r="C18018" s="0" t="n">
        <v>5545687</v>
      </c>
      <c r="D18018" s="0" t="s">
        <v>59912</v>
      </c>
      <c r="E18018" s="0" t="s">
        <v>59913</v>
      </c>
      <c r="F18018" s="0" t="s">
        <v>90</v>
      </c>
      <c r="G18018" s="0" t="s">
        <v>20</v>
      </c>
      <c r="H18018" s="0" t="n">
        <v>68</v>
      </c>
      <c r="I18018" s="0" t="s">
        <v>59920</v>
      </c>
      <c r="J18018" s="0" t="s">
        <v>59921</v>
      </c>
      <c r="K18018" s="0" t="s">
        <v>59922</v>
      </c>
      <c r="L18018" s="0" t="str">
        <f aca="false">HYPERLINK("https://www.ncbi.nlm.nih.gov/nuccore/CP000058.1?report=graph&amp;tracks=[key:gene_model_track,Options:GeneOnly]&amp;mk=5545735:5545754|offset_1|444444,5545713:5545732|offset_23|444444,5545668:5545687|offset_68|00cc00,5545647:5545666|offset_89|444444&amp;v=5545534:5545866&amp;c=444444", "offset 68")</f>
        <v>offset 68</v>
      </c>
    </row>
    <row r="18019" customFormat="false" ht="12.8" hidden="false" customHeight="false" outlineLevel="0" collapsed="false">
      <c r="A18019" s="0" t="s">
        <v>12</v>
      </c>
      <c r="B18019" s="0" t="n">
        <v>5545646</v>
      </c>
      <c r="C18019" s="0" t="n">
        <v>5545666</v>
      </c>
      <c r="D18019" s="0" t="s">
        <v>59912</v>
      </c>
      <c r="E18019" s="0" t="s">
        <v>59913</v>
      </c>
      <c r="F18019" s="0" t="s">
        <v>90</v>
      </c>
      <c r="G18019" s="0" t="s">
        <v>32</v>
      </c>
      <c r="H18019" s="0" t="n">
        <v>89</v>
      </c>
      <c r="I18019" s="0" t="s">
        <v>59923</v>
      </c>
      <c r="J18019" s="0" t="s">
        <v>59924</v>
      </c>
      <c r="K18019" s="0" t="s">
        <v>59925</v>
      </c>
      <c r="L18019" s="0" t="str">
        <f aca="false">HYPERLINK("https://www.ncbi.nlm.nih.gov/nuccore/CP000058.1?report=graph&amp;tracks=[key:gene_model_track,Options:GeneOnly]&amp;mk=5545735:5545754|offset_1|444444,5545713:5545732|offset_23|444444,5545668:5545687|offset_68|444444,5545647:5545666|offset_89|00cc00&amp;v=5545534:5545866&amp;c=444444", "offset 89")</f>
        <v>offset 89</v>
      </c>
    </row>
    <row r="18020" customFormat="false" ht="12.8" hidden="false" customHeight="false" outlineLevel="0" collapsed="false">
      <c r="A18020" s="0" t="s">
        <v>12</v>
      </c>
      <c r="B18020" s="0" t="n">
        <v>5545897</v>
      </c>
      <c r="C18020" s="0" t="n">
        <v>5545917</v>
      </c>
      <c r="D18020" s="0" t="s">
        <v>59926</v>
      </c>
      <c r="E18020" s="0" t="s">
        <v>75</v>
      </c>
      <c r="F18020" s="0" t="s">
        <v>15</v>
      </c>
      <c r="G18020" s="0" t="s">
        <v>20</v>
      </c>
      <c r="H18020" s="0" t="n">
        <v>0</v>
      </c>
      <c r="I18020" s="0" t="s">
        <v>59927</v>
      </c>
      <c r="J18020" s="0" t="s">
        <v>59928</v>
      </c>
      <c r="K18020" s="0" t="s">
        <v>59929</v>
      </c>
      <c r="L18020" s="0" t="str">
        <f aca="false">HYPERLINK("https://www.ncbi.nlm.nih.gov/nuccore/CP000058.1?report=graph&amp;tracks=[key:gene_model_track,Options:GeneOnly]&amp;mk=5545898:5545917|offset_0|00cc00,5545954:5545973|offset_56|444444,5545978:5545997|offset_80|444444,5545998:5546017|offset_100|444444&amp;v=5545697:5546217&amp;c=444444", "offset 0")</f>
        <v>offset 0</v>
      </c>
    </row>
    <row r="18021" customFormat="false" ht="12.8" hidden="false" customHeight="false" outlineLevel="0" collapsed="false">
      <c r="A18021" s="0" t="s">
        <v>12</v>
      </c>
      <c r="B18021" s="0" t="n">
        <v>5545953</v>
      </c>
      <c r="C18021" s="0" t="n">
        <v>5545973</v>
      </c>
      <c r="D18021" s="0" t="s">
        <v>59926</v>
      </c>
      <c r="E18021" s="0" t="s">
        <v>75</v>
      </c>
      <c r="F18021" s="0" t="s">
        <v>15</v>
      </c>
      <c r="G18021" s="0" t="s">
        <v>32</v>
      </c>
      <c r="H18021" s="0" t="n">
        <v>56</v>
      </c>
      <c r="I18021" s="0" t="s">
        <v>59930</v>
      </c>
      <c r="J18021" s="0" t="s">
        <v>59931</v>
      </c>
      <c r="K18021" s="0" t="s">
        <v>59932</v>
      </c>
      <c r="L18021" s="0" t="str">
        <f aca="false">HYPERLINK("https://www.ncbi.nlm.nih.gov/nuccore/CP000058.1?report=graph&amp;tracks=[key:gene_model_track,Options:GeneOnly]&amp;mk=5545898:5545917|offset_0|444444,5545954:5545973|offset_56|00cc00,5545978:5545997|offset_80|444444,5545998:5546017|offset_100|444444&amp;v=5545697:5546217&amp;c=444444", "offset 56")</f>
        <v>offset 56</v>
      </c>
    </row>
    <row r="18022" customFormat="false" ht="12.8" hidden="false" customHeight="false" outlineLevel="0" collapsed="false">
      <c r="A18022" s="0" t="s">
        <v>12</v>
      </c>
      <c r="B18022" s="0" t="n">
        <v>5545977</v>
      </c>
      <c r="C18022" s="0" t="n">
        <v>5545997</v>
      </c>
      <c r="D18022" s="0" t="s">
        <v>59926</v>
      </c>
      <c r="E18022" s="0" t="s">
        <v>75</v>
      </c>
      <c r="F18022" s="0" t="s">
        <v>15</v>
      </c>
      <c r="G18022" s="0" t="s">
        <v>16</v>
      </c>
      <c r="H18022" s="0" t="n">
        <v>80</v>
      </c>
      <c r="I18022" s="0" t="s">
        <v>59933</v>
      </c>
      <c r="J18022" s="0" t="s">
        <v>59934</v>
      </c>
      <c r="K18022" s="0" t="s">
        <v>59935</v>
      </c>
      <c r="L18022" s="0" t="str">
        <f aca="false">HYPERLINK("https://www.ncbi.nlm.nih.gov/nuccore/CP000058.1?report=graph&amp;tracks=[key:gene_model_track,Options:GeneOnly]&amp;mk=5545898:5545917|offset_0|444444,5545954:5545973|offset_56|444444,5545978:5545997|offset_80|00cc00,5545998:5546017|offset_100|444444&amp;v=5545697:5546217&amp;c=444444", "offset 80")</f>
        <v>offset 80</v>
      </c>
    </row>
    <row r="18023" customFormat="false" ht="12.8" hidden="false" customHeight="false" outlineLevel="0" collapsed="false">
      <c r="A18023" s="0" t="s">
        <v>12</v>
      </c>
      <c r="B18023" s="0" t="n">
        <v>5545997</v>
      </c>
      <c r="C18023" s="0" t="n">
        <v>5546017</v>
      </c>
      <c r="D18023" s="0" t="s">
        <v>59926</v>
      </c>
      <c r="E18023" s="0" t="s">
        <v>75</v>
      </c>
      <c r="F18023" s="0" t="s">
        <v>15</v>
      </c>
      <c r="G18023" s="0" t="s">
        <v>16</v>
      </c>
      <c r="H18023" s="0" t="n">
        <v>100</v>
      </c>
      <c r="I18023" s="0" t="s">
        <v>59936</v>
      </c>
      <c r="J18023" s="0" t="s">
        <v>59937</v>
      </c>
      <c r="K18023" s="0" t="s">
        <v>59938</v>
      </c>
      <c r="L18023" s="0" t="str">
        <f aca="false">HYPERLINK("https://www.ncbi.nlm.nih.gov/nuccore/CP000058.1?report=graph&amp;tracks=[key:gene_model_track,Options:GeneOnly]&amp;mk=5545898:5545917|offset_0|444444,5545954:5545973|offset_56|444444,5545978:5545997|offset_80|444444,5545998:5546017|offset_100|00cc00&amp;v=5545697:5546217&amp;c=444444", "offset 100")</f>
        <v>offset 100</v>
      </c>
    </row>
    <row r="18024" customFormat="false" ht="12.8" hidden="false" customHeight="false" outlineLevel="0" collapsed="false">
      <c r="A18024" s="0" t="s">
        <v>12</v>
      </c>
      <c r="B18024" s="0" t="n">
        <v>5546967</v>
      </c>
      <c r="C18024" s="0" t="n">
        <v>5546987</v>
      </c>
      <c r="D18024" s="0" t="s">
        <v>59939</v>
      </c>
      <c r="E18024" s="0" t="s">
        <v>75</v>
      </c>
      <c r="F18024" s="0" t="s">
        <v>90</v>
      </c>
      <c r="G18024" s="0" t="s">
        <v>36</v>
      </c>
      <c r="H18024" s="0" t="n">
        <v>9</v>
      </c>
      <c r="I18024" s="0" t="s">
        <v>59940</v>
      </c>
      <c r="J18024" s="0" t="s">
        <v>59941</v>
      </c>
      <c r="K18024" s="0" t="s">
        <v>59942</v>
      </c>
      <c r="L18024" s="0" t="str">
        <f aca="false">HYPERLINK("https://www.ncbi.nlm.nih.gov/nuccore/CP000058.1?report=graph&amp;tracks=[key:gene_model_track,Options:GeneOnly]&amp;mk=5546968:5546987|offset_9|00cc00,5546934:5546953|offset_43|444444,5546898:5546917|offset_79|444444,5546859:5546878|offset_118|444444&amp;v=5546767:5547078&amp;c=444444", "offset 9")</f>
        <v>offset 9</v>
      </c>
    </row>
    <row r="18025" customFormat="false" ht="12.8" hidden="false" customHeight="false" outlineLevel="0" collapsed="false">
      <c r="A18025" s="0" t="s">
        <v>12</v>
      </c>
      <c r="B18025" s="0" t="n">
        <v>5546933</v>
      </c>
      <c r="C18025" s="0" t="n">
        <v>5546953</v>
      </c>
      <c r="D18025" s="0" t="s">
        <v>59939</v>
      </c>
      <c r="E18025" s="0" t="s">
        <v>75</v>
      </c>
      <c r="F18025" s="0" t="s">
        <v>90</v>
      </c>
      <c r="G18025" s="0" t="s">
        <v>32</v>
      </c>
      <c r="H18025" s="0" t="n">
        <v>43</v>
      </c>
      <c r="I18025" s="0" t="s">
        <v>59943</v>
      </c>
      <c r="J18025" s="0" t="s">
        <v>59944</v>
      </c>
      <c r="K18025" s="0" t="s">
        <v>59945</v>
      </c>
      <c r="L18025" s="0" t="str">
        <f aca="false">HYPERLINK("https://www.ncbi.nlm.nih.gov/nuccore/CP000058.1?report=graph&amp;tracks=[key:gene_model_track,Options:GeneOnly]&amp;mk=5546968:5546987|offset_9|444444,5546934:5546953|offset_43|00cc00,5546898:5546917|offset_79|444444,5546859:5546878|offset_118|444444&amp;v=5546767:5547078&amp;c=444444", "offset 43")</f>
        <v>offset 43</v>
      </c>
    </row>
    <row r="18026" customFormat="false" ht="12.8" hidden="false" customHeight="false" outlineLevel="0" collapsed="false">
      <c r="A18026" s="0" t="s">
        <v>12</v>
      </c>
      <c r="B18026" s="0" t="n">
        <v>5546897</v>
      </c>
      <c r="C18026" s="0" t="n">
        <v>5546917</v>
      </c>
      <c r="D18026" s="0" t="s">
        <v>59939</v>
      </c>
      <c r="E18026" s="0" t="s">
        <v>75</v>
      </c>
      <c r="F18026" s="0" t="s">
        <v>90</v>
      </c>
      <c r="G18026" s="0" t="s">
        <v>32</v>
      </c>
      <c r="H18026" s="0" t="n">
        <v>79</v>
      </c>
      <c r="I18026" s="0" t="s">
        <v>59946</v>
      </c>
      <c r="J18026" s="0" t="s">
        <v>59947</v>
      </c>
      <c r="K18026" s="0" t="s">
        <v>59948</v>
      </c>
      <c r="L18026" s="0" t="str">
        <f aca="false">HYPERLINK("https://www.ncbi.nlm.nih.gov/nuccore/CP000058.1?report=graph&amp;tracks=[key:gene_model_track,Options:GeneOnly]&amp;mk=5546968:5546987|offset_9|444444,5546934:5546953|offset_43|444444,5546898:5546917|offset_79|00cc00,5546859:5546878|offset_118|444444&amp;v=5546767:5547078&amp;c=444444", "offset 79")</f>
        <v>offset 79</v>
      </c>
    </row>
    <row r="18027" customFormat="false" ht="12.8" hidden="false" customHeight="false" outlineLevel="0" collapsed="false">
      <c r="A18027" s="0" t="s">
        <v>12</v>
      </c>
      <c r="B18027" s="0" t="n">
        <v>5546858</v>
      </c>
      <c r="C18027" s="0" t="n">
        <v>5546878</v>
      </c>
      <c r="D18027" s="0" t="s">
        <v>59939</v>
      </c>
      <c r="E18027" s="0" t="s">
        <v>75</v>
      </c>
      <c r="F18027" s="0" t="s">
        <v>90</v>
      </c>
      <c r="G18027" s="0" t="s">
        <v>32</v>
      </c>
      <c r="H18027" s="0" t="n">
        <v>118</v>
      </c>
      <c r="I18027" s="0" t="s">
        <v>59949</v>
      </c>
      <c r="J18027" s="0" t="s">
        <v>59950</v>
      </c>
      <c r="K18027" s="0" t="s">
        <v>59951</v>
      </c>
      <c r="L18027" s="0" t="str">
        <f aca="false">HYPERLINK("https://www.ncbi.nlm.nih.gov/nuccore/CP000058.1?report=graph&amp;tracks=[key:gene_model_track,Options:GeneOnly]&amp;mk=5546968:5546987|offset_9|444444,5546934:5546953|offset_43|444444,5546898:5546917|offset_79|444444,5546859:5546878|offset_118|00cc00&amp;v=5546767:5547078&amp;c=444444", "offset 118")</f>
        <v>offset 118</v>
      </c>
    </row>
    <row r="18028" customFormat="false" ht="12.8" hidden="false" customHeight="false" outlineLevel="0" collapsed="false">
      <c r="A18028" s="0" t="s">
        <v>12</v>
      </c>
      <c r="B18028" s="0" t="n">
        <v>5548225</v>
      </c>
      <c r="C18028" s="0" t="n">
        <v>5548245</v>
      </c>
      <c r="D18028" s="0" t="s">
        <v>59952</v>
      </c>
      <c r="E18028" s="0" t="s">
        <v>59953</v>
      </c>
      <c r="F18028" s="0" t="s">
        <v>90</v>
      </c>
      <c r="G18028" s="0" t="s">
        <v>16</v>
      </c>
      <c r="H18028" s="0" t="n">
        <v>26</v>
      </c>
      <c r="I18028" s="0" t="s">
        <v>59954</v>
      </c>
      <c r="J18028" s="0" t="s">
        <v>59955</v>
      </c>
      <c r="K18028" s="0" t="s">
        <v>59956</v>
      </c>
      <c r="L18028" s="0" t="str">
        <f aca="false">HYPERLINK("https://www.ncbi.nlm.nih.gov/nuccore/CP000058.1?report=graph&amp;tracks=[key:gene_model_track,Options:GeneOnly]&amp;mk=5548226:5548245|offset_26|00cc00&amp;v=5548025:5548445&amp;c=444444", "offset 26")</f>
        <v>offset 26</v>
      </c>
    </row>
    <row r="18029" customFormat="false" ht="12.8" hidden="false" customHeight="false" outlineLevel="0" collapsed="false">
      <c r="A18029" s="0" t="s">
        <v>12</v>
      </c>
      <c r="B18029" s="0" t="n">
        <v>5549768</v>
      </c>
      <c r="C18029" s="0" t="n">
        <v>5549788</v>
      </c>
      <c r="D18029" s="0" t="s">
        <v>59957</v>
      </c>
      <c r="E18029" s="0" t="s">
        <v>59958</v>
      </c>
      <c r="F18029" s="0" t="s">
        <v>90</v>
      </c>
      <c r="G18029" s="0" t="s">
        <v>16</v>
      </c>
      <c r="H18029" s="0" t="n">
        <v>0</v>
      </c>
      <c r="I18029" s="0" t="s">
        <v>59959</v>
      </c>
      <c r="J18029" s="0" t="s">
        <v>59960</v>
      </c>
      <c r="K18029" s="0" t="s">
        <v>59961</v>
      </c>
      <c r="L18029" s="0" t="str">
        <f aca="false">HYPERLINK("https://www.ncbi.nlm.nih.gov/nuccore/CP000058.1?report=graph&amp;tracks=[key:gene_model_track,Options:GeneOnly]&amp;mk=5549769:5549788|offset_0|00cc00,5549735:5549754|offset_34|444444,5549678:5549697|offset_91|444444,5549395:5549414|offset_374|444444&amp;v=5549568:5549614&amp;c=444444", "offset 0")</f>
        <v>offset 0</v>
      </c>
    </row>
    <row r="18030" customFormat="false" ht="12.8" hidden="false" customHeight="false" outlineLevel="0" collapsed="false">
      <c r="A18030" s="0" t="s">
        <v>12</v>
      </c>
      <c r="B18030" s="0" t="n">
        <v>5549734</v>
      </c>
      <c r="C18030" s="0" t="n">
        <v>5549754</v>
      </c>
      <c r="D18030" s="0" t="s">
        <v>59957</v>
      </c>
      <c r="E18030" s="0" t="s">
        <v>59958</v>
      </c>
      <c r="F18030" s="0" t="s">
        <v>90</v>
      </c>
      <c r="G18030" s="0" t="s">
        <v>20</v>
      </c>
      <c r="H18030" s="0" t="n">
        <v>34</v>
      </c>
      <c r="I18030" s="0" t="s">
        <v>59962</v>
      </c>
      <c r="J18030" s="0" t="s">
        <v>59963</v>
      </c>
      <c r="K18030" s="0" t="s">
        <v>59964</v>
      </c>
      <c r="L18030" s="0" t="str">
        <f aca="false">HYPERLINK("https://www.ncbi.nlm.nih.gov/nuccore/CP000058.1?report=graph&amp;tracks=[key:gene_model_track,Options:GeneOnly]&amp;mk=5549769:5549788|offset_0|444444,5549735:5549754|offset_34|00cc00,5549678:5549697|offset_91|444444,5549395:5549414|offset_374|444444&amp;v=5549568:5549614&amp;c=444444", "offset 34")</f>
        <v>offset 34</v>
      </c>
    </row>
    <row r="18031" customFormat="false" ht="12.8" hidden="false" customHeight="false" outlineLevel="0" collapsed="false">
      <c r="A18031" s="0" t="s">
        <v>12</v>
      </c>
      <c r="B18031" s="0" t="n">
        <v>5549677</v>
      </c>
      <c r="C18031" s="0" t="n">
        <v>5549697</v>
      </c>
      <c r="D18031" s="0" t="s">
        <v>59957</v>
      </c>
      <c r="E18031" s="0" t="s">
        <v>59958</v>
      </c>
      <c r="F18031" s="0" t="s">
        <v>90</v>
      </c>
      <c r="G18031" s="0" t="s">
        <v>16</v>
      </c>
      <c r="H18031" s="0" t="n">
        <v>91</v>
      </c>
      <c r="I18031" s="0" t="s">
        <v>59965</v>
      </c>
      <c r="J18031" s="0" t="s">
        <v>59966</v>
      </c>
      <c r="K18031" s="0" t="s">
        <v>59967</v>
      </c>
      <c r="L18031" s="0" t="str">
        <f aca="false">HYPERLINK("https://www.ncbi.nlm.nih.gov/nuccore/CP000058.1?report=graph&amp;tracks=[key:gene_model_track,Options:GeneOnly]&amp;mk=5549769:5549788|offset_0|444444,5549735:5549754|offset_34|444444,5549678:5549697|offset_91|00cc00,5549395:5549414|offset_374|444444&amp;v=5549568:5549614&amp;c=444444", "offset 91")</f>
        <v>offset 91</v>
      </c>
    </row>
    <row r="18032" customFormat="false" ht="12.8" hidden="false" customHeight="false" outlineLevel="0" collapsed="false">
      <c r="A18032" s="0" t="s">
        <v>12</v>
      </c>
      <c r="B18032" s="0" t="n">
        <v>5549394</v>
      </c>
      <c r="C18032" s="0" t="n">
        <v>5549414</v>
      </c>
      <c r="D18032" s="0" t="s">
        <v>59957</v>
      </c>
      <c r="E18032" s="0" t="s">
        <v>59958</v>
      </c>
      <c r="F18032" s="0" t="s">
        <v>90</v>
      </c>
      <c r="G18032" s="0" t="s">
        <v>36</v>
      </c>
      <c r="H18032" s="0" t="n">
        <v>374</v>
      </c>
      <c r="I18032" s="0" t="s">
        <v>59968</v>
      </c>
      <c r="J18032" s="0" t="s">
        <v>59969</v>
      </c>
      <c r="K18032" s="0" t="s">
        <v>59970</v>
      </c>
      <c r="L18032" s="0" t="str">
        <f aca="false">HYPERLINK("https://www.ncbi.nlm.nih.gov/nuccore/CP000058.1?report=graph&amp;tracks=[key:gene_model_track,Options:GeneOnly]&amp;mk=5549769:5549788|offset_0|444444,5549735:5549754|offset_34|444444,5549678:5549697|offset_91|444444,5549395:5549414|offset_374|00cc00&amp;v=5549568:5549614&amp;c=444444", "offset 374")</f>
        <v>offset 374</v>
      </c>
    </row>
    <row r="18033" customFormat="false" ht="12.8" hidden="false" customHeight="false" outlineLevel="0" collapsed="false">
      <c r="A18033" s="0" t="s">
        <v>12</v>
      </c>
      <c r="B18033" s="0" t="n">
        <v>5549958</v>
      </c>
      <c r="C18033" s="0" t="n">
        <v>5549978</v>
      </c>
      <c r="D18033" s="0" t="s">
        <v>59971</v>
      </c>
      <c r="E18033" s="0" t="s">
        <v>59972</v>
      </c>
      <c r="F18033" s="0" t="s">
        <v>15</v>
      </c>
      <c r="G18033" s="0" t="s">
        <v>36</v>
      </c>
      <c r="H18033" s="0" t="n">
        <v>7</v>
      </c>
      <c r="I18033" s="0" t="s">
        <v>59973</v>
      </c>
      <c r="J18033" s="0" t="s">
        <v>59974</v>
      </c>
      <c r="K18033" s="0" t="s">
        <v>59975</v>
      </c>
      <c r="L18033" s="0" t="str">
        <f aca="false">HYPERLINK("https://www.ncbi.nlm.nih.gov/nuccore/CP000058.1?report=graph&amp;tracks=[key:gene_model_track,Options:GeneOnly]&amp;mk=5549959:5549978|offset_7|00cc00,5549986:5550005|offset_34|444444,5550008:5550027|offset_56|444444,5550049:5550068|offset_97|444444&amp;v=5549758:5550268&amp;c=444444", "offset 7")</f>
        <v>offset 7</v>
      </c>
    </row>
    <row r="18034" customFormat="false" ht="12.8" hidden="false" customHeight="false" outlineLevel="0" collapsed="false">
      <c r="A18034" s="0" t="s">
        <v>12</v>
      </c>
      <c r="B18034" s="0" t="n">
        <v>5549985</v>
      </c>
      <c r="C18034" s="0" t="n">
        <v>5550005</v>
      </c>
      <c r="D18034" s="0" t="s">
        <v>59971</v>
      </c>
      <c r="E18034" s="0" t="s">
        <v>59972</v>
      </c>
      <c r="F18034" s="0" t="s">
        <v>15</v>
      </c>
      <c r="G18034" s="0" t="s">
        <v>36</v>
      </c>
      <c r="H18034" s="0" t="n">
        <v>34</v>
      </c>
      <c r="I18034" s="0" t="s">
        <v>59976</v>
      </c>
      <c r="J18034" s="0" t="s">
        <v>59977</v>
      </c>
      <c r="K18034" s="0" t="s">
        <v>59978</v>
      </c>
      <c r="L18034" s="0" t="str">
        <f aca="false">HYPERLINK("https://www.ncbi.nlm.nih.gov/nuccore/CP000058.1?report=graph&amp;tracks=[key:gene_model_track,Options:GeneOnly]&amp;mk=5549959:5549978|offset_7|444444,5549986:5550005|offset_34|00cc00,5550008:5550027|offset_56|444444,5550049:5550068|offset_97|444444&amp;v=5549758:5550268&amp;c=444444", "offset 34")</f>
        <v>offset 34</v>
      </c>
    </row>
    <row r="18035" customFormat="false" ht="12.8" hidden="false" customHeight="false" outlineLevel="0" collapsed="false">
      <c r="A18035" s="0" t="s">
        <v>12</v>
      </c>
      <c r="B18035" s="0" t="n">
        <v>5550007</v>
      </c>
      <c r="C18035" s="0" t="n">
        <v>5550027</v>
      </c>
      <c r="D18035" s="0" t="s">
        <v>59971</v>
      </c>
      <c r="E18035" s="0" t="s">
        <v>59972</v>
      </c>
      <c r="F18035" s="0" t="s">
        <v>15</v>
      </c>
      <c r="G18035" s="0" t="s">
        <v>20</v>
      </c>
      <c r="H18035" s="0" t="n">
        <v>56</v>
      </c>
      <c r="I18035" s="0" t="s">
        <v>59979</v>
      </c>
      <c r="J18035" s="0" t="s">
        <v>59980</v>
      </c>
      <c r="K18035" s="0" t="s">
        <v>59981</v>
      </c>
      <c r="L18035" s="0" t="str">
        <f aca="false">HYPERLINK("https://www.ncbi.nlm.nih.gov/nuccore/CP000058.1?report=graph&amp;tracks=[key:gene_model_track,Options:GeneOnly]&amp;mk=5549959:5549978|offset_7|444444,5549986:5550005|offset_34|444444,5550008:5550027|offset_56|00cc00,5550049:5550068|offset_97|444444&amp;v=5549758:5550268&amp;c=444444", "offset 56")</f>
        <v>offset 56</v>
      </c>
    </row>
    <row r="18036" customFormat="false" ht="12.8" hidden="false" customHeight="false" outlineLevel="0" collapsed="false">
      <c r="A18036" s="0" t="s">
        <v>12</v>
      </c>
      <c r="B18036" s="0" t="n">
        <v>5550048</v>
      </c>
      <c r="C18036" s="0" t="n">
        <v>5550068</v>
      </c>
      <c r="D18036" s="0" t="s">
        <v>59971</v>
      </c>
      <c r="E18036" s="0" t="s">
        <v>59972</v>
      </c>
      <c r="F18036" s="0" t="s">
        <v>15</v>
      </c>
      <c r="G18036" s="0" t="s">
        <v>16</v>
      </c>
      <c r="H18036" s="0" t="n">
        <v>97</v>
      </c>
      <c r="I18036" s="0" t="s">
        <v>59982</v>
      </c>
      <c r="J18036" s="0" t="s">
        <v>59983</v>
      </c>
      <c r="K18036" s="0" t="s">
        <v>59984</v>
      </c>
      <c r="L18036" s="0" t="str">
        <f aca="false">HYPERLINK("https://www.ncbi.nlm.nih.gov/nuccore/CP000058.1?report=graph&amp;tracks=[key:gene_model_track,Options:GeneOnly]&amp;mk=5549959:5549978|offset_7|444444,5549986:5550005|offset_34|444444,5550008:5550027|offset_56|444444,5550049:5550068|offset_97|00cc00&amp;v=5549758:5550268&amp;c=444444", "offset 97")</f>
        <v>offset 97</v>
      </c>
    </row>
    <row r="18037" customFormat="false" ht="12.8" hidden="false" customHeight="false" outlineLevel="0" collapsed="false">
      <c r="A18037" s="0" t="s">
        <v>12</v>
      </c>
      <c r="B18037" s="0" t="n">
        <v>5552619</v>
      </c>
      <c r="C18037" s="0" t="n">
        <v>5552639</v>
      </c>
      <c r="D18037" s="0" t="s">
        <v>59985</v>
      </c>
      <c r="E18037" s="0" t="s">
        <v>75</v>
      </c>
      <c r="F18037" s="0" t="s">
        <v>90</v>
      </c>
      <c r="G18037" s="0" t="s">
        <v>32</v>
      </c>
      <c r="H18037" s="0" t="n">
        <v>7</v>
      </c>
      <c r="I18037" s="0" t="s">
        <v>59986</v>
      </c>
      <c r="J18037" s="0" t="s">
        <v>59987</v>
      </c>
      <c r="K18037" s="0" t="s">
        <v>59988</v>
      </c>
      <c r="L18037" s="0" t="str">
        <f aca="false">HYPERLINK("https://www.ncbi.nlm.nih.gov/nuccore/CP000058.1?report=graph&amp;tracks=[key:gene_model_track,Options:GeneOnly]&amp;mk=5552620:5552639|offset_7|00cc00,5552600:5552619|offset_27|444444,5552533:5552552|offset_94|444444,5552512:5552531|offset_115|444444&amp;v=5552419:5552731&amp;c=444444", "offset 7")</f>
        <v>offset 7</v>
      </c>
    </row>
    <row r="18038" customFormat="false" ht="12.8" hidden="false" customHeight="false" outlineLevel="0" collapsed="false">
      <c r="A18038" s="0" t="s">
        <v>12</v>
      </c>
      <c r="B18038" s="0" t="n">
        <v>5552599</v>
      </c>
      <c r="C18038" s="0" t="n">
        <v>5552619</v>
      </c>
      <c r="D18038" s="0" t="s">
        <v>59985</v>
      </c>
      <c r="E18038" s="0" t="s">
        <v>75</v>
      </c>
      <c r="F18038" s="0" t="s">
        <v>90</v>
      </c>
      <c r="G18038" s="0" t="s">
        <v>20</v>
      </c>
      <c r="H18038" s="0" t="n">
        <v>27</v>
      </c>
      <c r="I18038" s="0" t="s">
        <v>59989</v>
      </c>
      <c r="J18038" s="0" t="s">
        <v>59990</v>
      </c>
      <c r="K18038" s="0" t="s">
        <v>59991</v>
      </c>
      <c r="L18038" s="0" t="str">
        <f aca="false">HYPERLINK("https://www.ncbi.nlm.nih.gov/nuccore/CP000058.1?report=graph&amp;tracks=[key:gene_model_track,Options:GeneOnly]&amp;mk=5552620:5552639|offset_7|444444,5552600:5552619|offset_27|00cc00,5552533:5552552|offset_94|444444,5552512:5552531|offset_115|444444&amp;v=5552419:5552731&amp;c=444444", "offset 27")</f>
        <v>offset 27</v>
      </c>
    </row>
    <row r="18039" customFormat="false" ht="12.8" hidden="false" customHeight="false" outlineLevel="0" collapsed="false">
      <c r="A18039" s="0" t="s">
        <v>12</v>
      </c>
      <c r="B18039" s="0" t="n">
        <v>5552532</v>
      </c>
      <c r="C18039" s="0" t="n">
        <v>5552552</v>
      </c>
      <c r="D18039" s="0" t="s">
        <v>59985</v>
      </c>
      <c r="E18039" s="0" t="s">
        <v>75</v>
      </c>
      <c r="F18039" s="0" t="s">
        <v>90</v>
      </c>
      <c r="G18039" s="0" t="s">
        <v>20</v>
      </c>
      <c r="H18039" s="0" t="n">
        <v>94</v>
      </c>
      <c r="I18039" s="0" t="s">
        <v>59992</v>
      </c>
      <c r="J18039" s="0" t="s">
        <v>59993</v>
      </c>
      <c r="K18039" s="0" t="s">
        <v>59994</v>
      </c>
      <c r="L18039" s="0" t="str">
        <f aca="false">HYPERLINK("https://www.ncbi.nlm.nih.gov/nuccore/CP000058.1?report=graph&amp;tracks=[key:gene_model_track,Options:GeneOnly]&amp;mk=5552620:5552639|offset_7|444444,5552600:5552619|offset_27|444444,5552533:5552552|offset_94|00cc00,5552512:5552531|offset_115|444444&amp;v=5552419:5552731&amp;c=444444", "offset 94")</f>
        <v>offset 94</v>
      </c>
    </row>
    <row r="18040" customFormat="false" ht="12.8" hidden="false" customHeight="false" outlineLevel="0" collapsed="false">
      <c r="A18040" s="0" t="s">
        <v>12</v>
      </c>
      <c r="B18040" s="0" t="n">
        <v>5552511</v>
      </c>
      <c r="C18040" s="0" t="n">
        <v>5552531</v>
      </c>
      <c r="D18040" s="0" t="s">
        <v>59985</v>
      </c>
      <c r="E18040" s="0" t="s">
        <v>75</v>
      </c>
      <c r="F18040" s="0" t="s">
        <v>90</v>
      </c>
      <c r="G18040" s="0" t="s">
        <v>20</v>
      </c>
      <c r="H18040" s="0" t="n">
        <v>115</v>
      </c>
      <c r="I18040" s="0" t="s">
        <v>59995</v>
      </c>
      <c r="J18040" s="0" t="s">
        <v>59996</v>
      </c>
      <c r="K18040" s="0" t="s">
        <v>59997</v>
      </c>
      <c r="L18040" s="0" t="str">
        <f aca="false">HYPERLINK("https://www.ncbi.nlm.nih.gov/nuccore/CP000058.1?report=graph&amp;tracks=[key:gene_model_track,Options:GeneOnly]&amp;mk=5552620:5552639|offset_7|444444,5552600:5552619|offset_27|444444,5552533:5552552|offset_94|444444,5552512:5552531|offset_115|00cc00&amp;v=5552419:5552731&amp;c=444444", "offset 115")</f>
        <v>offset 115</v>
      </c>
    </row>
    <row r="18041" customFormat="false" ht="12.8" hidden="false" customHeight="false" outlineLevel="0" collapsed="false">
      <c r="A18041" s="0" t="s">
        <v>12</v>
      </c>
      <c r="B18041" s="0" t="n">
        <v>5553463</v>
      </c>
      <c r="C18041" s="0" t="n">
        <v>5553483</v>
      </c>
      <c r="D18041" s="0" t="s">
        <v>59998</v>
      </c>
      <c r="E18041" s="0" t="s">
        <v>75</v>
      </c>
      <c r="F18041" s="0" t="s">
        <v>90</v>
      </c>
      <c r="G18041" s="0" t="s">
        <v>32</v>
      </c>
      <c r="H18041" s="0" t="n">
        <v>11</v>
      </c>
      <c r="I18041" s="0" t="s">
        <v>59999</v>
      </c>
      <c r="J18041" s="0" t="s">
        <v>60000</v>
      </c>
      <c r="K18041" s="0" t="s">
        <v>60001</v>
      </c>
      <c r="L18041" s="0" t="str">
        <f aca="false">HYPERLINK("https://www.ncbi.nlm.nih.gov/nuccore/CP000058.1?report=graph&amp;tracks=[key:gene_model_track,Options:GeneOnly]&amp;mk=5553464:5553483|offset_11|00cc00,5553441:5553460|offset_34|444444,5553390:5553409|offset_85|444444,5553358:5553377|offset_117|444444&amp;v=5553263:5553577&amp;c=444444", "offset 11")</f>
        <v>offset 11</v>
      </c>
    </row>
    <row r="18042" customFormat="false" ht="12.8" hidden="false" customHeight="false" outlineLevel="0" collapsed="false">
      <c r="A18042" s="0" t="s">
        <v>12</v>
      </c>
      <c r="B18042" s="0" t="n">
        <v>5553440</v>
      </c>
      <c r="C18042" s="0" t="n">
        <v>5553460</v>
      </c>
      <c r="D18042" s="0" t="s">
        <v>59998</v>
      </c>
      <c r="E18042" s="0" t="s">
        <v>75</v>
      </c>
      <c r="F18042" s="0" t="s">
        <v>90</v>
      </c>
      <c r="G18042" s="0" t="s">
        <v>32</v>
      </c>
      <c r="H18042" s="0" t="n">
        <v>34</v>
      </c>
      <c r="I18042" s="0" t="s">
        <v>60002</v>
      </c>
      <c r="J18042" s="0" t="s">
        <v>60003</v>
      </c>
      <c r="K18042" s="0" t="s">
        <v>60004</v>
      </c>
      <c r="L18042" s="0" t="str">
        <f aca="false">HYPERLINK("https://www.ncbi.nlm.nih.gov/nuccore/CP000058.1?report=graph&amp;tracks=[key:gene_model_track,Options:GeneOnly]&amp;mk=5553464:5553483|offset_11|444444,5553441:5553460|offset_34|00cc00,5553390:5553409|offset_85|444444,5553358:5553377|offset_117|444444&amp;v=5553263:5553577&amp;c=444444", "offset 34")</f>
        <v>offset 34</v>
      </c>
    </row>
    <row r="18043" customFormat="false" ht="12.8" hidden="false" customHeight="false" outlineLevel="0" collapsed="false">
      <c r="A18043" s="0" t="s">
        <v>12</v>
      </c>
      <c r="B18043" s="0" t="n">
        <v>5553389</v>
      </c>
      <c r="C18043" s="0" t="n">
        <v>5553409</v>
      </c>
      <c r="D18043" s="0" t="s">
        <v>59998</v>
      </c>
      <c r="E18043" s="0" t="s">
        <v>75</v>
      </c>
      <c r="F18043" s="0" t="s">
        <v>90</v>
      </c>
      <c r="G18043" s="0" t="s">
        <v>16</v>
      </c>
      <c r="H18043" s="0" t="n">
        <v>85</v>
      </c>
      <c r="I18043" s="0" t="s">
        <v>60005</v>
      </c>
      <c r="J18043" s="0" t="s">
        <v>60006</v>
      </c>
      <c r="K18043" s="0" t="s">
        <v>60007</v>
      </c>
      <c r="L18043" s="0" t="str">
        <f aca="false">HYPERLINK("https://www.ncbi.nlm.nih.gov/nuccore/CP000058.1?report=graph&amp;tracks=[key:gene_model_track,Options:GeneOnly]&amp;mk=5553464:5553483|offset_11|444444,5553441:5553460|offset_34|444444,5553390:5553409|offset_85|00cc00,5553358:5553377|offset_117|444444&amp;v=5553263:5553577&amp;c=444444", "offset 85")</f>
        <v>offset 85</v>
      </c>
    </row>
    <row r="18044" customFormat="false" ht="12.8" hidden="false" customHeight="false" outlineLevel="0" collapsed="false">
      <c r="A18044" s="0" t="s">
        <v>12</v>
      </c>
      <c r="B18044" s="0" t="n">
        <v>5553357</v>
      </c>
      <c r="C18044" s="0" t="n">
        <v>5553377</v>
      </c>
      <c r="D18044" s="0" t="s">
        <v>59998</v>
      </c>
      <c r="E18044" s="0" t="s">
        <v>75</v>
      </c>
      <c r="F18044" s="0" t="s">
        <v>90</v>
      </c>
      <c r="G18044" s="0" t="s">
        <v>20</v>
      </c>
      <c r="H18044" s="0" t="n">
        <v>117</v>
      </c>
      <c r="I18044" s="0" t="s">
        <v>60008</v>
      </c>
      <c r="J18044" s="0" t="s">
        <v>60009</v>
      </c>
      <c r="K18044" s="0" t="s">
        <v>60010</v>
      </c>
      <c r="L18044" s="0" t="str">
        <f aca="false">HYPERLINK("https://www.ncbi.nlm.nih.gov/nuccore/CP000058.1?report=graph&amp;tracks=[key:gene_model_track,Options:GeneOnly]&amp;mk=5553464:5553483|offset_11|444444,5553441:5553460|offset_34|444444,5553390:5553409|offset_85|444444,5553358:5553377|offset_117|00cc00&amp;v=5553263:5553577&amp;c=444444", "offset 117")</f>
        <v>offset 117</v>
      </c>
    </row>
    <row r="18045" customFormat="false" ht="12.8" hidden="false" customHeight="false" outlineLevel="0" collapsed="false">
      <c r="A18045" s="0" t="s">
        <v>12</v>
      </c>
      <c r="B18045" s="0" t="n">
        <v>5554928</v>
      </c>
      <c r="C18045" s="0" t="n">
        <v>5554948</v>
      </c>
      <c r="D18045" s="0" t="s">
        <v>60011</v>
      </c>
      <c r="E18045" s="0" t="s">
        <v>75</v>
      </c>
      <c r="F18045" s="0" t="s">
        <v>90</v>
      </c>
      <c r="G18045" s="0" t="s">
        <v>16</v>
      </c>
      <c r="H18045" s="0" t="n">
        <v>7</v>
      </c>
      <c r="I18045" s="0" t="s">
        <v>60012</v>
      </c>
      <c r="J18045" s="0" t="s">
        <v>60013</v>
      </c>
      <c r="K18045" s="0" t="s">
        <v>60014</v>
      </c>
      <c r="L18045" s="0" t="str">
        <f aca="false">HYPERLINK("https://www.ncbi.nlm.nih.gov/nuccore/CP000058.1?report=graph&amp;tracks=[key:gene_model_track,Options:GeneOnly]&amp;mk=5554929:5554948|offset_7|00cc00,5554899:5554918|offset_37|444444,5554872:5554891|offset_64|444444,5554833:5554852|offset_103|444444&amp;v=5554728:5555052&amp;c=444444", "offset 7")</f>
        <v>offset 7</v>
      </c>
    </row>
    <row r="18046" customFormat="false" ht="12.8" hidden="false" customHeight="false" outlineLevel="0" collapsed="false">
      <c r="A18046" s="0" t="s">
        <v>12</v>
      </c>
      <c r="B18046" s="0" t="n">
        <v>5554898</v>
      </c>
      <c r="C18046" s="0" t="n">
        <v>5554918</v>
      </c>
      <c r="D18046" s="0" t="s">
        <v>60011</v>
      </c>
      <c r="E18046" s="0" t="s">
        <v>75</v>
      </c>
      <c r="F18046" s="0" t="s">
        <v>90</v>
      </c>
      <c r="G18046" s="0" t="s">
        <v>36</v>
      </c>
      <c r="H18046" s="0" t="n">
        <v>37</v>
      </c>
      <c r="I18046" s="0" t="s">
        <v>60015</v>
      </c>
      <c r="J18046" s="0" t="s">
        <v>60016</v>
      </c>
      <c r="K18046" s="0" t="s">
        <v>60017</v>
      </c>
      <c r="L18046" s="0" t="str">
        <f aca="false">HYPERLINK("https://www.ncbi.nlm.nih.gov/nuccore/CP000058.1?report=graph&amp;tracks=[key:gene_model_track,Options:GeneOnly]&amp;mk=5554929:5554948|offset_7|444444,5554899:5554918|offset_37|00cc00,5554872:5554891|offset_64|444444,5554833:5554852|offset_103|444444&amp;v=5554728:5555052&amp;c=444444", "offset 37")</f>
        <v>offset 37</v>
      </c>
    </row>
    <row r="18047" customFormat="false" ht="12.8" hidden="false" customHeight="false" outlineLevel="0" collapsed="false">
      <c r="A18047" s="0" t="s">
        <v>12</v>
      </c>
      <c r="B18047" s="0" t="n">
        <v>5554871</v>
      </c>
      <c r="C18047" s="0" t="n">
        <v>5554891</v>
      </c>
      <c r="D18047" s="0" t="s">
        <v>60011</v>
      </c>
      <c r="E18047" s="0" t="s">
        <v>75</v>
      </c>
      <c r="F18047" s="0" t="s">
        <v>90</v>
      </c>
      <c r="G18047" s="0" t="s">
        <v>16</v>
      </c>
      <c r="H18047" s="0" t="n">
        <v>64</v>
      </c>
      <c r="I18047" s="0" t="s">
        <v>60018</v>
      </c>
      <c r="J18047" s="0" t="s">
        <v>60019</v>
      </c>
      <c r="K18047" s="0" t="s">
        <v>60020</v>
      </c>
      <c r="L18047" s="0" t="str">
        <f aca="false">HYPERLINK("https://www.ncbi.nlm.nih.gov/nuccore/CP000058.1?report=graph&amp;tracks=[key:gene_model_track,Options:GeneOnly]&amp;mk=5554929:5554948|offset_7|444444,5554899:5554918|offset_37|444444,5554872:5554891|offset_64|00cc00,5554833:5554852|offset_103|444444&amp;v=5554728:5555052&amp;c=444444", "offset 64")</f>
        <v>offset 64</v>
      </c>
    </row>
    <row r="18048" customFormat="false" ht="12.8" hidden="false" customHeight="false" outlineLevel="0" collapsed="false">
      <c r="A18048" s="0" t="s">
        <v>12</v>
      </c>
      <c r="B18048" s="0" t="n">
        <v>5554832</v>
      </c>
      <c r="C18048" s="0" t="n">
        <v>5554852</v>
      </c>
      <c r="D18048" s="0" t="s">
        <v>60011</v>
      </c>
      <c r="E18048" s="0" t="s">
        <v>75</v>
      </c>
      <c r="F18048" s="0" t="s">
        <v>90</v>
      </c>
      <c r="G18048" s="0" t="s">
        <v>32</v>
      </c>
      <c r="H18048" s="0" t="n">
        <v>103</v>
      </c>
      <c r="I18048" s="0" t="s">
        <v>60021</v>
      </c>
      <c r="J18048" s="0" t="s">
        <v>60022</v>
      </c>
      <c r="K18048" s="0" t="s">
        <v>60023</v>
      </c>
      <c r="L18048" s="0" t="str">
        <f aca="false">HYPERLINK("https://www.ncbi.nlm.nih.gov/nuccore/CP000058.1?report=graph&amp;tracks=[key:gene_model_track,Options:GeneOnly]&amp;mk=5554929:5554948|offset_7|444444,5554899:5554918|offset_37|444444,5554872:5554891|offset_64|444444,5554833:5554852|offset_103|00cc00&amp;v=5554728:5555052&amp;c=444444", "offset 103")</f>
        <v>offset 103</v>
      </c>
    </row>
    <row r="18049" customFormat="false" ht="12.8" hidden="false" customHeight="false" outlineLevel="0" collapsed="false">
      <c r="A18049" s="0" t="s">
        <v>12</v>
      </c>
      <c r="B18049" s="0" t="n">
        <v>5555061</v>
      </c>
      <c r="C18049" s="0" t="n">
        <v>5555081</v>
      </c>
      <c r="D18049" s="0" t="s">
        <v>60024</v>
      </c>
      <c r="E18049" s="0" t="s">
        <v>60025</v>
      </c>
      <c r="F18049" s="0" t="s">
        <v>15</v>
      </c>
      <c r="G18049" s="0" t="s">
        <v>36</v>
      </c>
      <c r="H18049" s="0" t="n">
        <v>6</v>
      </c>
      <c r="I18049" s="0" t="s">
        <v>60026</v>
      </c>
      <c r="J18049" s="0" t="s">
        <v>60027</v>
      </c>
      <c r="K18049" s="0" t="s">
        <v>60028</v>
      </c>
      <c r="L18049" s="0" t="str">
        <f aca="false">HYPERLINK("https://www.ncbi.nlm.nih.gov/nuccore/CP000058.1?report=graph&amp;tracks=[key:gene_model_track,Options:GeneOnly]&amp;mk=5555062:5555081|offset_6|00cc00,5555082:5555101|offset_26|444444,5555132:5555151|offset_76|444444,5555157:5555176|offset_101|444444&amp;v=5554861:5555376&amp;c=444444", "offset 6")</f>
        <v>offset 6</v>
      </c>
    </row>
    <row r="18050" customFormat="false" ht="12.8" hidden="false" customHeight="false" outlineLevel="0" collapsed="false">
      <c r="A18050" s="0" t="s">
        <v>12</v>
      </c>
      <c r="B18050" s="0" t="n">
        <v>5555081</v>
      </c>
      <c r="C18050" s="0" t="n">
        <v>5555101</v>
      </c>
      <c r="D18050" s="0" t="s">
        <v>60024</v>
      </c>
      <c r="E18050" s="0" t="s">
        <v>60025</v>
      </c>
      <c r="F18050" s="0" t="s">
        <v>15</v>
      </c>
      <c r="G18050" s="0" t="s">
        <v>36</v>
      </c>
      <c r="H18050" s="0" t="n">
        <v>26</v>
      </c>
      <c r="I18050" s="0" t="s">
        <v>60029</v>
      </c>
      <c r="J18050" s="0" t="s">
        <v>60030</v>
      </c>
      <c r="K18050" s="0" t="s">
        <v>60031</v>
      </c>
      <c r="L18050" s="0" t="str">
        <f aca="false">HYPERLINK("https://www.ncbi.nlm.nih.gov/nuccore/CP000058.1?report=graph&amp;tracks=[key:gene_model_track,Options:GeneOnly]&amp;mk=5555062:5555081|offset_6|444444,5555082:5555101|offset_26|00cc00,5555132:5555151|offset_76|444444,5555157:5555176|offset_101|444444&amp;v=5554861:5555376&amp;c=444444", "offset 26")</f>
        <v>offset 26</v>
      </c>
    </row>
    <row r="18051" customFormat="false" ht="12.8" hidden="false" customHeight="false" outlineLevel="0" collapsed="false">
      <c r="A18051" s="0" t="s">
        <v>12</v>
      </c>
      <c r="B18051" s="0" t="n">
        <v>5555131</v>
      </c>
      <c r="C18051" s="0" t="n">
        <v>5555151</v>
      </c>
      <c r="D18051" s="0" t="s">
        <v>60024</v>
      </c>
      <c r="E18051" s="0" t="s">
        <v>60025</v>
      </c>
      <c r="F18051" s="0" t="s">
        <v>15</v>
      </c>
      <c r="G18051" s="0" t="s">
        <v>36</v>
      </c>
      <c r="H18051" s="0" t="n">
        <v>76</v>
      </c>
      <c r="I18051" s="0" t="s">
        <v>60032</v>
      </c>
      <c r="J18051" s="0" t="s">
        <v>60033</v>
      </c>
      <c r="K18051" s="0" t="s">
        <v>60034</v>
      </c>
      <c r="L18051" s="0" t="str">
        <f aca="false">HYPERLINK("https://www.ncbi.nlm.nih.gov/nuccore/CP000058.1?report=graph&amp;tracks=[key:gene_model_track,Options:GeneOnly]&amp;mk=5555062:5555081|offset_6|444444,5555082:5555101|offset_26|444444,5555132:5555151|offset_76|00cc00,5555157:5555176|offset_101|444444&amp;v=5554861:5555376&amp;c=444444", "offset 76")</f>
        <v>offset 76</v>
      </c>
    </row>
    <row r="18052" customFormat="false" ht="12.8" hidden="false" customHeight="false" outlineLevel="0" collapsed="false">
      <c r="A18052" s="0" t="s">
        <v>12</v>
      </c>
      <c r="B18052" s="0" t="n">
        <v>5555156</v>
      </c>
      <c r="C18052" s="0" t="n">
        <v>5555176</v>
      </c>
      <c r="D18052" s="0" t="s">
        <v>60024</v>
      </c>
      <c r="E18052" s="0" t="s">
        <v>60025</v>
      </c>
      <c r="F18052" s="0" t="s">
        <v>15</v>
      </c>
      <c r="G18052" s="0" t="s">
        <v>20</v>
      </c>
      <c r="H18052" s="0" t="n">
        <v>101</v>
      </c>
      <c r="I18052" s="0" t="s">
        <v>60035</v>
      </c>
      <c r="J18052" s="0" t="s">
        <v>60036</v>
      </c>
      <c r="K18052" s="0" t="s">
        <v>60037</v>
      </c>
      <c r="L18052" s="0" t="str">
        <f aca="false">HYPERLINK("https://www.ncbi.nlm.nih.gov/nuccore/CP000058.1?report=graph&amp;tracks=[key:gene_model_track,Options:GeneOnly]&amp;mk=5555062:5555081|offset_6|444444,5555082:5555101|offset_26|444444,5555132:5555151|offset_76|444444,5555157:5555176|offset_101|00cc00&amp;v=5554861:5555376&amp;c=444444", "offset 101")</f>
        <v>offset 101</v>
      </c>
    </row>
    <row r="18053" customFormat="false" ht="12.8" hidden="false" customHeight="false" outlineLevel="0" collapsed="false">
      <c r="A18053" s="0" t="s">
        <v>12</v>
      </c>
      <c r="B18053" s="0" t="n">
        <v>5556988</v>
      </c>
      <c r="C18053" s="0" t="n">
        <v>5557008</v>
      </c>
      <c r="D18053" s="0" t="s">
        <v>60038</v>
      </c>
      <c r="E18053" s="0" t="s">
        <v>75</v>
      </c>
      <c r="F18053" s="0" t="s">
        <v>90</v>
      </c>
      <c r="G18053" s="0" t="s">
        <v>20</v>
      </c>
      <c r="H18053" s="0" t="n">
        <v>10</v>
      </c>
      <c r="I18053" s="0" t="s">
        <v>60039</v>
      </c>
      <c r="J18053" s="0" t="s">
        <v>60040</v>
      </c>
      <c r="K18053" s="0" t="s">
        <v>60041</v>
      </c>
      <c r="L18053" s="0" t="str">
        <f aca="false">HYPERLINK("https://www.ncbi.nlm.nih.gov/nuccore/CP000058.1?report=graph&amp;tracks=[key:gene_model_track,Options:GeneOnly]&amp;mk=5556989:5557008|offset_10|00cc00,5556961:5556980|offset_38|444444,5556929:5556948|offset_70|444444,5556905:5556924|offset_94|444444&amp;v=5556788:5557124&amp;c=444444", "offset 10")</f>
        <v>offset 10</v>
      </c>
    </row>
    <row r="18054" customFormat="false" ht="12.8" hidden="false" customHeight="false" outlineLevel="0" collapsed="false">
      <c r="A18054" s="0" t="s">
        <v>12</v>
      </c>
      <c r="B18054" s="0" t="n">
        <v>5556960</v>
      </c>
      <c r="C18054" s="0" t="n">
        <v>5556980</v>
      </c>
      <c r="D18054" s="0" t="s">
        <v>60038</v>
      </c>
      <c r="E18054" s="0" t="s">
        <v>75</v>
      </c>
      <c r="F18054" s="0" t="s">
        <v>90</v>
      </c>
      <c r="G18054" s="0" t="s">
        <v>20</v>
      </c>
      <c r="H18054" s="0" t="n">
        <v>38</v>
      </c>
      <c r="I18054" s="0" t="s">
        <v>60042</v>
      </c>
      <c r="J18054" s="0" t="s">
        <v>60043</v>
      </c>
      <c r="K18054" s="0" t="s">
        <v>60044</v>
      </c>
      <c r="L18054" s="0" t="str">
        <f aca="false">HYPERLINK("https://www.ncbi.nlm.nih.gov/nuccore/CP000058.1?report=graph&amp;tracks=[key:gene_model_track,Options:GeneOnly]&amp;mk=5556989:5557008|offset_10|444444,5556961:5556980|offset_38|00cc00,5556929:5556948|offset_70|444444,5556905:5556924|offset_94|444444&amp;v=5556788:5557124&amp;c=444444", "offset 38")</f>
        <v>offset 38</v>
      </c>
    </row>
    <row r="18055" customFormat="false" ht="12.8" hidden="false" customHeight="false" outlineLevel="0" collapsed="false">
      <c r="A18055" s="0" t="s">
        <v>12</v>
      </c>
      <c r="B18055" s="0" t="n">
        <v>5556928</v>
      </c>
      <c r="C18055" s="0" t="n">
        <v>5556948</v>
      </c>
      <c r="D18055" s="0" t="s">
        <v>60038</v>
      </c>
      <c r="E18055" s="0" t="s">
        <v>75</v>
      </c>
      <c r="F18055" s="0" t="s">
        <v>90</v>
      </c>
      <c r="G18055" s="0" t="s">
        <v>16</v>
      </c>
      <c r="H18055" s="0" t="n">
        <v>70</v>
      </c>
      <c r="I18055" s="0" t="s">
        <v>60045</v>
      </c>
      <c r="J18055" s="0" t="s">
        <v>60046</v>
      </c>
      <c r="K18055" s="0" t="s">
        <v>60047</v>
      </c>
      <c r="L18055" s="0" t="str">
        <f aca="false">HYPERLINK("https://www.ncbi.nlm.nih.gov/nuccore/CP000058.1?report=graph&amp;tracks=[key:gene_model_track,Options:GeneOnly]&amp;mk=5556989:5557008|offset_10|444444,5556961:5556980|offset_38|444444,5556929:5556948|offset_70|00cc00,5556905:5556924|offset_94|444444&amp;v=5556788:5557124&amp;c=444444", "offset 70")</f>
        <v>offset 70</v>
      </c>
    </row>
    <row r="18056" customFormat="false" ht="12.8" hidden="false" customHeight="false" outlineLevel="0" collapsed="false">
      <c r="A18056" s="0" t="s">
        <v>12</v>
      </c>
      <c r="B18056" s="0" t="n">
        <v>5556904</v>
      </c>
      <c r="C18056" s="0" t="n">
        <v>5556924</v>
      </c>
      <c r="D18056" s="0" t="s">
        <v>60038</v>
      </c>
      <c r="E18056" s="0" t="s">
        <v>75</v>
      </c>
      <c r="F18056" s="0" t="s">
        <v>90</v>
      </c>
      <c r="G18056" s="0" t="s">
        <v>36</v>
      </c>
      <c r="H18056" s="0" t="n">
        <v>94</v>
      </c>
      <c r="I18056" s="0" t="s">
        <v>60048</v>
      </c>
      <c r="J18056" s="0" t="s">
        <v>60049</v>
      </c>
      <c r="K18056" s="0" t="s">
        <v>60050</v>
      </c>
      <c r="L18056" s="0" t="str">
        <f aca="false">HYPERLINK("https://www.ncbi.nlm.nih.gov/nuccore/CP000058.1?report=graph&amp;tracks=[key:gene_model_track,Options:GeneOnly]&amp;mk=5556989:5557008|offset_10|444444,5556961:5556980|offset_38|444444,5556929:5556948|offset_70|444444,5556905:5556924|offset_94|00cc00&amp;v=5556788:5557124&amp;c=444444", "offset 94")</f>
        <v>offset 94</v>
      </c>
    </row>
    <row r="18057" customFormat="false" ht="12.8" hidden="false" customHeight="false" outlineLevel="0" collapsed="false">
      <c r="A18057" s="0" t="s">
        <v>12</v>
      </c>
      <c r="B18057" s="0" t="n">
        <v>5557842</v>
      </c>
      <c r="C18057" s="0" t="n">
        <v>5557862</v>
      </c>
      <c r="D18057" s="0" t="s">
        <v>60051</v>
      </c>
      <c r="E18057" s="0" t="s">
        <v>75</v>
      </c>
      <c r="F18057" s="0" t="s">
        <v>90</v>
      </c>
      <c r="G18057" s="0" t="s">
        <v>16</v>
      </c>
      <c r="H18057" s="0" t="n">
        <v>26</v>
      </c>
      <c r="I18057" s="0" t="s">
        <v>60052</v>
      </c>
      <c r="J18057" s="0" t="s">
        <v>60053</v>
      </c>
      <c r="K18057" s="0" t="s">
        <v>60054</v>
      </c>
      <c r="L18057" s="0" t="str">
        <f aca="false">HYPERLINK("https://www.ncbi.nlm.nih.gov/nuccore/CP000058.1?report=graph&amp;tracks=[key:gene_model_track,Options:GeneOnly]&amp;mk=5557843:5557862|offset_26|00cc00,5557811:5557830|offset_58|444444,5557760:5557779|offset_109|444444,5557738:5557757|offset_131|444444&amp;v=5557642:5557957&amp;c=444444", "offset 26")</f>
        <v>offset 26</v>
      </c>
    </row>
    <row r="18058" customFormat="false" ht="12.8" hidden="false" customHeight="false" outlineLevel="0" collapsed="false">
      <c r="A18058" s="0" t="s">
        <v>12</v>
      </c>
      <c r="B18058" s="0" t="n">
        <v>5557810</v>
      </c>
      <c r="C18058" s="0" t="n">
        <v>5557830</v>
      </c>
      <c r="D18058" s="0" t="s">
        <v>60051</v>
      </c>
      <c r="E18058" s="0" t="s">
        <v>75</v>
      </c>
      <c r="F18058" s="0" t="s">
        <v>90</v>
      </c>
      <c r="G18058" s="0" t="s">
        <v>32</v>
      </c>
      <c r="H18058" s="0" t="n">
        <v>58</v>
      </c>
      <c r="I18058" s="0" t="s">
        <v>60055</v>
      </c>
      <c r="J18058" s="0" t="s">
        <v>60056</v>
      </c>
      <c r="K18058" s="0" t="s">
        <v>60057</v>
      </c>
      <c r="L18058" s="0" t="str">
        <f aca="false">HYPERLINK("https://www.ncbi.nlm.nih.gov/nuccore/CP000058.1?report=graph&amp;tracks=[key:gene_model_track,Options:GeneOnly]&amp;mk=5557843:5557862|offset_26|444444,5557811:5557830|offset_58|00cc00,5557760:5557779|offset_109|444444,5557738:5557757|offset_131|444444&amp;v=5557642:5557957&amp;c=444444", "offset 58")</f>
        <v>offset 58</v>
      </c>
    </row>
    <row r="18059" customFormat="false" ht="12.8" hidden="false" customHeight="false" outlineLevel="0" collapsed="false">
      <c r="A18059" s="0" t="s">
        <v>12</v>
      </c>
      <c r="B18059" s="0" t="n">
        <v>5557759</v>
      </c>
      <c r="C18059" s="0" t="n">
        <v>5557779</v>
      </c>
      <c r="D18059" s="0" t="s">
        <v>60051</v>
      </c>
      <c r="E18059" s="0" t="s">
        <v>75</v>
      </c>
      <c r="F18059" s="0" t="s">
        <v>90</v>
      </c>
      <c r="G18059" s="0" t="s">
        <v>32</v>
      </c>
      <c r="H18059" s="0" t="n">
        <v>109</v>
      </c>
      <c r="I18059" s="0" t="s">
        <v>60058</v>
      </c>
      <c r="J18059" s="0" t="s">
        <v>60059</v>
      </c>
      <c r="K18059" s="0" t="s">
        <v>60060</v>
      </c>
      <c r="L18059" s="0" t="str">
        <f aca="false">HYPERLINK("https://www.ncbi.nlm.nih.gov/nuccore/CP000058.1?report=graph&amp;tracks=[key:gene_model_track,Options:GeneOnly]&amp;mk=5557843:5557862|offset_26|444444,5557811:5557830|offset_58|444444,5557760:5557779|offset_109|00cc00,5557738:5557757|offset_131|444444&amp;v=5557642:5557957&amp;c=444444", "offset 109")</f>
        <v>offset 109</v>
      </c>
    </row>
    <row r="18060" customFormat="false" ht="12.8" hidden="false" customHeight="false" outlineLevel="0" collapsed="false">
      <c r="A18060" s="0" t="s">
        <v>12</v>
      </c>
      <c r="B18060" s="0" t="n">
        <v>5557737</v>
      </c>
      <c r="C18060" s="0" t="n">
        <v>5557757</v>
      </c>
      <c r="D18060" s="0" t="s">
        <v>60051</v>
      </c>
      <c r="E18060" s="0" t="s">
        <v>75</v>
      </c>
      <c r="F18060" s="0" t="s">
        <v>90</v>
      </c>
      <c r="G18060" s="0" t="s">
        <v>36</v>
      </c>
      <c r="H18060" s="0" t="n">
        <v>131</v>
      </c>
      <c r="I18060" s="0" t="s">
        <v>60061</v>
      </c>
      <c r="J18060" s="0" t="s">
        <v>60062</v>
      </c>
      <c r="K18060" s="0" t="s">
        <v>60063</v>
      </c>
      <c r="L18060" s="0" t="str">
        <f aca="false">HYPERLINK("https://www.ncbi.nlm.nih.gov/nuccore/CP000058.1?report=graph&amp;tracks=[key:gene_model_track,Options:GeneOnly]&amp;mk=5557843:5557862|offset_26|444444,5557811:5557830|offset_58|444444,5557760:5557779|offset_109|444444,5557738:5557757|offset_131|00cc00&amp;v=5557642:5557957&amp;c=444444", "offset 131")</f>
        <v>offset 131</v>
      </c>
    </row>
    <row r="18061" customFormat="false" ht="12.8" hidden="false" customHeight="false" outlineLevel="0" collapsed="false">
      <c r="A18061" s="0" t="s">
        <v>12</v>
      </c>
      <c r="B18061" s="0" t="n">
        <v>5557930</v>
      </c>
      <c r="C18061" s="0" t="n">
        <v>5557950</v>
      </c>
      <c r="D18061" s="0" t="s">
        <v>60064</v>
      </c>
      <c r="E18061" s="0" t="s">
        <v>75</v>
      </c>
      <c r="F18061" s="0" t="s">
        <v>15</v>
      </c>
      <c r="G18061" s="0" t="s">
        <v>32</v>
      </c>
      <c r="H18061" s="0" t="n">
        <v>0</v>
      </c>
      <c r="I18061" s="0" t="s">
        <v>60065</v>
      </c>
      <c r="J18061" s="0" t="s">
        <v>60066</v>
      </c>
      <c r="K18061" s="0" t="s">
        <v>60067</v>
      </c>
      <c r="L18061" s="0" t="str">
        <f aca="false">HYPERLINK("https://www.ncbi.nlm.nih.gov/nuccore/CP000058.1?report=graph&amp;tracks=[key:gene_model_track,Options:GeneOnly]&amp;mk=5557931:5557950|offset_0|00cc00,5557971:5557990|offset_40|444444,5558013:5558032|offset_82|444444,5558086:5558105|offset_155|444444&amp;v=5557730:5558305&amp;c=444444", "offset 0")</f>
        <v>offset 0</v>
      </c>
    </row>
    <row r="18062" customFormat="false" ht="12.8" hidden="false" customHeight="false" outlineLevel="0" collapsed="false">
      <c r="A18062" s="0" t="s">
        <v>12</v>
      </c>
      <c r="B18062" s="0" t="n">
        <v>5557970</v>
      </c>
      <c r="C18062" s="0" t="n">
        <v>5557990</v>
      </c>
      <c r="D18062" s="0" t="s">
        <v>60064</v>
      </c>
      <c r="E18062" s="0" t="s">
        <v>75</v>
      </c>
      <c r="F18062" s="0" t="s">
        <v>15</v>
      </c>
      <c r="G18062" s="0" t="s">
        <v>20</v>
      </c>
      <c r="H18062" s="0" t="n">
        <v>40</v>
      </c>
      <c r="I18062" s="0" t="s">
        <v>60068</v>
      </c>
      <c r="J18062" s="0" t="s">
        <v>60069</v>
      </c>
      <c r="K18062" s="0" t="s">
        <v>60070</v>
      </c>
      <c r="L18062" s="0" t="str">
        <f aca="false">HYPERLINK("https://www.ncbi.nlm.nih.gov/nuccore/CP000058.1?report=graph&amp;tracks=[key:gene_model_track,Options:GeneOnly]&amp;mk=5557931:5557950|offset_0|444444,5557971:5557990|offset_40|00cc00,5558013:5558032|offset_82|444444,5558086:5558105|offset_155|444444&amp;v=5557730:5558305&amp;c=444444", "offset 40")</f>
        <v>offset 40</v>
      </c>
    </row>
    <row r="18063" customFormat="false" ht="12.8" hidden="false" customHeight="false" outlineLevel="0" collapsed="false">
      <c r="A18063" s="0" t="s">
        <v>12</v>
      </c>
      <c r="B18063" s="0" t="n">
        <v>5558012</v>
      </c>
      <c r="C18063" s="0" t="n">
        <v>5558032</v>
      </c>
      <c r="D18063" s="0" t="s">
        <v>60064</v>
      </c>
      <c r="E18063" s="0" t="s">
        <v>75</v>
      </c>
      <c r="F18063" s="0" t="s">
        <v>15</v>
      </c>
      <c r="G18063" s="0" t="s">
        <v>16</v>
      </c>
      <c r="H18063" s="0" t="n">
        <v>82</v>
      </c>
      <c r="I18063" s="0" t="s">
        <v>60071</v>
      </c>
      <c r="J18063" s="0" t="s">
        <v>60072</v>
      </c>
      <c r="K18063" s="0" t="s">
        <v>60073</v>
      </c>
      <c r="L18063" s="0" t="str">
        <f aca="false">HYPERLINK("https://www.ncbi.nlm.nih.gov/nuccore/CP000058.1?report=graph&amp;tracks=[key:gene_model_track,Options:GeneOnly]&amp;mk=5557931:5557950|offset_0|444444,5557971:5557990|offset_40|444444,5558013:5558032|offset_82|00cc00,5558086:5558105|offset_155|444444&amp;v=5557730:5558305&amp;c=444444", "offset 82")</f>
        <v>offset 82</v>
      </c>
    </row>
    <row r="18064" customFormat="false" ht="12.8" hidden="false" customHeight="false" outlineLevel="0" collapsed="false">
      <c r="A18064" s="0" t="s">
        <v>12</v>
      </c>
      <c r="B18064" s="0" t="n">
        <v>5558085</v>
      </c>
      <c r="C18064" s="0" t="n">
        <v>5558105</v>
      </c>
      <c r="D18064" s="0" t="s">
        <v>60064</v>
      </c>
      <c r="E18064" s="0" t="s">
        <v>75</v>
      </c>
      <c r="F18064" s="0" t="s">
        <v>15</v>
      </c>
      <c r="G18064" s="0" t="s">
        <v>20</v>
      </c>
      <c r="H18064" s="0" t="n">
        <v>155</v>
      </c>
      <c r="I18064" s="0" t="s">
        <v>60074</v>
      </c>
      <c r="J18064" s="0" t="s">
        <v>60075</v>
      </c>
      <c r="K18064" s="0" t="s">
        <v>60076</v>
      </c>
      <c r="L18064" s="0" t="str">
        <f aca="false">HYPERLINK("https://www.ncbi.nlm.nih.gov/nuccore/CP000058.1?report=graph&amp;tracks=[key:gene_model_track,Options:GeneOnly]&amp;mk=5557931:5557950|offset_0|444444,5557971:5557990|offset_40|444444,5558013:5558032|offset_82|444444,5558086:5558105|offset_155|00cc00&amp;v=5557730:5558305&amp;c=444444", "offset 155")</f>
        <v>offset 155</v>
      </c>
    </row>
    <row r="18065" customFormat="false" ht="12.8" hidden="false" customHeight="false" outlineLevel="0" collapsed="false">
      <c r="A18065" s="0" t="s">
        <v>12</v>
      </c>
      <c r="B18065" s="0" t="n">
        <v>5559612</v>
      </c>
      <c r="C18065" s="0" t="n">
        <v>5559632</v>
      </c>
      <c r="D18065" s="0" t="s">
        <v>60077</v>
      </c>
      <c r="E18065" s="0" t="s">
        <v>75</v>
      </c>
      <c r="F18065" s="0" t="s">
        <v>90</v>
      </c>
      <c r="G18065" s="0" t="s">
        <v>16</v>
      </c>
      <c r="H18065" s="0" t="n">
        <v>7</v>
      </c>
      <c r="I18065" s="0" t="s">
        <v>60078</v>
      </c>
      <c r="J18065" s="0" t="s">
        <v>60079</v>
      </c>
      <c r="K18065" s="0" t="s">
        <v>60080</v>
      </c>
      <c r="L18065" s="0" t="str">
        <f aca="false">HYPERLINK("https://www.ncbi.nlm.nih.gov/nuccore/CP000058.1?report=graph&amp;tracks=[key:gene_model_track,Options:GeneOnly]&amp;mk=5559613:5559632|offset_7|00cc00,5559583:5559602|offset_37|444444,5559555:5559574|offset_65|444444,5559532:5559551|offset_88|444444&amp;v=5559412:5559751&amp;c=444444", "offset 7")</f>
        <v>offset 7</v>
      </c>
    </row>
    <row r="18066" customFormat="false" ht="12.8" hidden="false" customHeight="false" outlineLevel="0" collapsed="false">
      <c r="A18066" s="0" t="s">
        <v>12</v>
      </c>
      <c r="B18066" s="0" t="n">
        <v>5559582</v>
      </c>
      <c r="C18066" s="0" t="n">
        <v>5559602</v>
      </c>
      <c r="D18066" s="0" t="s">
        <v>60077</v>
      </c>
      <c r="E18066" s="0" t="s">
        <v>75</v>
      </c>
      <c r="F18066" s="0" t="s">
        <v>90</v>
      </c>
      <c r="G18066" s="0" t="s">
        <v>32</v>
      </c>
      <c r="H18066" s="0" t="n">
        <v>37</v>
      </c>
      <c r="I18066" s="0" t="s">
        <v>60081</v>
      </c>
      <c r="J18066" s="0" t="s">
        <v>60082</v>
      </c>
      <c r="K18066" s="0" t="s">
        <v>60083</v>
      </c>
      <c r="L18066" s="0" t="str">
        <f aca="false">HYPERLINK("https://www.ncbi.nlm.nih.gov/nuccore/CP000058.1?report=graph&amp;tracks=[key:gene_model_track,Options:GeneOnly]&amp;mk=5559613:5559632|offset_7|444444,5559583:5559602|offset_37|00cc00,5559555:5559574|offset_65|444444,5559532:5559551|offset_88|444444&amp;v=5559412:5559751&amp;c=444444", "offset 37")</f>
        <v>offset 37</v>
      </c>
    </row>
    <row r="18067" customFormat="false" ht="12.8" hidden="false" customHeight="false" outlineLevel="0" collapsed="false">
      <c r="A18067" s="0" t="s">
        <v>12</v>
      </c>
      <c r="B18067" s="0" t="n">
        <v>5559554</v>
      </c>
      <c r="C18067" s="0" t="n">
        <v>5559574</v>
      </c>
      <c r="D18067" s="0" t="s">
        <v>60077</v>
      </c>
      <c r="E18067" s="0" t="s">
        <v>75</v>
      </c>
      <c r="F18067" s="0" t="s">
        <v>90</v>
      </c>
      <c r="G18067" s="0" t="s">
        <v>36</v>
      </c>
      <c r="H18067" s="0" t="n">
        <v>65</v>
      </c>
      <c r="I18067" s="0" t="s">
        <v>60084</v>
      </c>
      <c r="J18067" s="0" t="s">
        <v>60085</v>
      </c>
      <c r="K18067" s="0" t="s">
        <v>60086</v>
      </c>
      <c r="L18067" s="0" t="str">
        <f aca="false">HYPERLINK("https://www.ncbi.nlm.nih.gov/nuccore/CP000058.1?report=graph&amp;tracks=[key:gene_model_track,Options:GeneOnly]&amp;mk=5559613:5559632|offset_7|444444,5559583:5559602|offset_37|444444,5559555:5559574|offset_65|00cc00,5559532:5559551|offset_88|444444&amp;v=5559412:5559751&amp;c=444444", "offset 65")</f>
        <v>offset 65</v>
      </c>
    </row>
    <row r="18068" customFormat="false" ht="12.8" hidden="false" customHeight="false" outlineLevel="0" collapsed="false">
      <c r="A18068" s="0" t="s">
        <v>12</v>
      </c>
      <c r="B18068" s="0" t="n">
        <v>5559531</v>
      </c>
      <c r="C18068" s="0" t="n">
        <v>5559551</v>
      </c>
      <c r="D18068" s="0" t="s">
        <v>60077</v>
      </c>
      <c r="E18068" s="0" t="s">
        <v>75</v>
      </c>
      <c r="F18068" s="0" t="s">
        <v>90</v>
      </c>
      <c r="G18068" s="0" t="s">
        <v>20</v>
      </c>
      <c r="H18068" s="0" t="n">
        <v>88</v>
      </c>
      <c r="I18068" s="0" t="s">
        <v>60087</v>
      </c>
      <c r="J18068" s="0" t="s">
        <v>60088</v>
      </c>
      <c r="K18068" s="0" t="s">
        <v>60089</v>
      </c>
      <c r="L18068" s="0" t="str">
        <f aca="false">HYPERLINK("https://www.ncbi.nlm.nih.gov/nuccore/CP000058.1?report=graph&amp;tracks=[key:gene_model_track,Options:GeneOnly]&amp;mk=5559613:5559632|offset_7|444444,5559583:5559602|offset_37|444444,5559555:5559574|offset_65|444444,5559532:5559551|offset_88|00cc00&amp;v=5559412:5559751&amp;c=444444", "offset 88")</f>
        <v>offset 88</v>
      </c>
    </row>
    <row r="18069" customFormat="false" ht="12.8" hidden="false" customHeight="false" outlineLevel="0" collapsed="false">
      <c r="A18069" s="0" t="s">
        <v>12</v>
      </c>
      <c r="B18069" s="0" t="n">
        <v>5559931</v>
      </c>
      <c r="C18069" s="0" t="n">
        <v>5559951</v>
      </c>
      <c r="D18069" s="0" t="s">
        <v>60090</v>
      </c>
      <c r="E18069" s="0" t="s">
        <v>75</v>
      </c>
      <c r="F18069" s="0" t="s">
        <v>15</v>
      </c>
      <c r="G18069" s="0" t="s">
        <v>20</v>
      </c>
      <c r="H18069" s="0" t="n">
        <v>14</v>
      </c>
      <c r="I18069" s="0" t="s">
        <v>60091</v>
      </c>
      <c r="J18069" s="0" t="s">
        <v>60092</v>
      </c>
      <c r="K18069" s="0" t="s">
        <v>60093</v>
      </c>
      <c r="L18069" s="0" t="str">
        <f aca="false">HYPERLINK("https://www.ncbi.nlm.nih.gov/nuccore/CP000058.1?report=graph&amp;tracks=[key:gene_model_track,Options:GeneOnly]&amp;mk=5559932:5559951|offset_14|00cc00,5559958:5559977|offset_40|444444,5560002:5560021|offset_84|444444,5560024:5560043|offset_106|444444&amp;v=5559731:5560243&amp;c=444444", "offset 14")</f>
        <v>offset 14</v>
      </c>
    </row>
    <row r="18070" customFormat="false" ht="12.8" hidden="false" customHeight="false" outlineLevel="0" collapsed="false">
      <c r="A18070" s="0" t="s">
        <v>12</v>
      </c>
      <c r="B18070" s="0" t="n">
        <v>5559957</v>
      </c>
      <c r="C18070" s="0" t="n">
        <v>5559977</v>
      </c>
      <c r="D18070" s="0" t="s">
        <v>60090</v>
      </c>
      <c r="E18070" s="0" t="s">
        <v>75</v>
      </c>
      <c r="F18070" s="0" t="s">
        <v>15</v>
      </c>
      <c r="G18070" s="0" t="s">
        <v>32</v>
      </c>
      <c r="H18070" s="0" t="n">
        <v>40</v>
      </c>
      <c r="I18070" s="0" t="s">
        <v>60094</v>
      </c>
      <c r="J18070" s="0" t="s">
        <v>60095</v>
      </c>
      <c r="K18070" s="0" t="s">
        <v>60096</v>
      </c>
      <c r="L18070" s="0" t="str">
        <f aca="false">HYPERLINK("https://www.ncbi.nlm.nih.gov/nuccore/CP000058.1?report=graph&amp;tracks=[key:gene_model_track,Options:GeneOnly]&amp;mk=5559932:5559951|offset_14|444444,5559958:5559977|offset_40|00cc00,5560002:5560021|offset_84|444444,5560024:5560043|offset_106|444444&amp;v=5559731:5560243&amp;c=444444", "offset 40")</f>
        <v>offset 40</v>
      </c>
    </row>
    <row r="18071" customFormat="false" ht="12.8" hidden="false" customHeight="false" outlineLevel="0" collapsed="false">
      <c r="A18071" s="0" t="s">
        <v>12</v>
      </c>
      <c r="B18071" s="0" t="n">
        <v>5560001</v>
      </c>
      <c r="C18071" s="0" t="n">
        <v>5560021</v>
      </c>
      <c r="D18071" s="0" t="s">
        <v>60090</v>
      </c>
      <c r="E18071" s="0" t="s">
        <v>75</v>
      </c>
      <c r="F18071" s="0" t="s">
        <v>15</v>
      </c>
      <c r="G18071" s="0" t="s">
        <v>16</v>
      </c>
      <c r="H18071" s="0" t="n">
        <v>84</v>
      </c>
      <c r="I18071" s="0" t="s">
        <v>60097</v>
      </c>
      <c r="J18071" s="0" t="s">
        <v>60098</v>
      </c>
      <c r="K18071" s="0" t="s">
        <v>60099</v>
      </c>
      <c r="L18071" s="0" t="str">
        <f aca="false">HYPERLINK("https://www.ncbi.nlm.nih.gov/nuccore/CP000058.1?report=graph&amp;tracks=[key:gene_model_track,Options:GeneOnly]&amp;mk=5559932:5559951|offset_14|444444,5559958:5559977|offset_40|444444,5560002:5560021|offset_84|00cc00,5560024:5560043|offset_106|444444&amp;v=5559731:5560243&amp;c=444444", "offset 84")</f>
        <v>offset 84</v>
      </c>
    </row>
    <row r="18072" customFormat="false" ht="12.8" hidden="false" customHeight="false" outlineLevel="0" collapsed="false">
      <c r="A18072" s="0" t="s">
        <v>12</v>
      </c>
      <c r="B18072" s="0" t="n">
        <v>5560023</v>
      </c>
      <c r="C18072" s="0" t="n">
        <v>5560043</v>
      </c>
      <c r="D18072" s="0" t="s">
        <v>60090</v>
      </c>
      <c r="E18072" s="0" t="s">
        <v>75</v>
      </c>
      <c r="F18072" s="0" t="s">
        <v>15</v>
      </c>
      <c r="G18072" s="0" t="s">
        <v>32</v>
      </c>
      <c r="H18072" s="0" t="n">
        <v>106</v>
      </c>
      <c r="I18072" s="0" t="s">
        <v>60100</v>
      </c>
      <c r="J18072" s="0" t="s">
        <v>60101</v>
      </c>
      <c r="K18072" s="0" t="s">
        <v>60102</v>
      </c>
      <c r="L18072" s="0" t="str">
        <f aca="false">HYPERLINK("https://www.ncbi.nlm.nih.gov/nuccore/CP000058.1?report=graph&amp;tracks=[key:gene_model_track,Options:GeneOnly]&amp;mk=5559932:5559951|offset_14|444444,5559958:5559977|offset_40|444444,5560002:5560021|offset_84|444444,5560024:5560043|offset_106|00cc00&amp;v=5559731:5560243&amp;c=444444", "offset 106")</f>
        <v>offset 106</v>
      </c>
    </row>
    <row r="18073" customFormat="false" ht="12.8" hidden="false" customHeight="false" outlineLevel="0" collapsed="false">
      <c r="A18073" s="0" t="s">
        <v>12</v>
      </c>
      <c r="B18073" s="0" t="n">
        <v>5563487</v>
      </c>
      <c r="C18073" s="0" t="n">
        <v>5563507</v>
      </c>
      <c r="D18073" s="0" t="s">
        <v>60103</v>
      </c>
      <c r="E18073" s="0" t="s">
        <v>60104</v>
      </c>
      <c r="F18073" s="0" t="s">
        <v>90</v>
      </c>
      <c r="G18073" s="0" t="s">
        <v>16</v>
      </c>
      <c r="H18073" s="0" t="n">
        <v>8</v>
      </c>
      <c r="I18073" s="0" t="s">
        <v>60105</v>
      </c>
      <c r="J18073" s="0" t="s">
        <v>60106</v>
      </c>
      <c r="K18073" s="0" t="s">
        <v>60107</v>
      </c>
      <c r="L18073" s="0" t="str">
        <f aca="false">HYPERLINK("https://www.ncbi.nlm.nih.gov/nuccore/CP000058.1?report=graph&amp;tracks=[key:gene_model_track,Options:GeneOnly]&amp;mk=5563488:5563507|offset_8|00cc00,5563433:5563452|offset_63|444444,5563399:5563418|offset_97|444444,5563347:5563366|offset_149|444444&amp;v=5563287:5563566&amp;c=444444", "offset 8")</f>
        <v>offset 8</v>
      </c>
    </row>
    <row r="18074" customFormat="false" ht="12.8" hidden="false" customHeight="false" outlineLevel="0" collapsed="false">
      <c r="A18074" s="0" t="s">
        <v>12</v>
      </c>
      <c r="B18074" s="0" t="n">
        <v>5563432</v>
      </c>
      <c r="C18074" s="0" t="n">
        <v>5563452</v>
      </c>
      <c r="D18074" s="0" t="s">
        <v>60103</v>
      </c>
      <c r="E18074" s="0" t="s">
        <v>60104</v>
      </c>
      <c r="F18074" s="0" t="s">
        <v>90</v>
      </c>
      <c r="G18074" s="0" t="s">
        <v>16</v>
      </c>
      <c r="H18074" s="0" t="n">
        <v>63</v>
      </c>
      <c r="I18074" s="0" t="s">
        <v>60108</v>
      </c>
      <c r="J18074" s="0" t="s">
        <v>60109</v>
      </c>
      <c r="K18074" s="0" t="s">
        <v>60110</v>
      </c>
      <c r="L18074" s="0" t="str">
        <f aca="false">HYPERLINK("https://www.ncbi.nlm.nih.gov/nuccore/CP000058.1?report=graph&amp;tracks=[key:gene_model_track,Options:GeneOnly]&amp;mk=5563488:5563507|offset_8|444444,5563433:5563452|offset_63|00cc00,5563399:5563418|offset_97|444444,5563347:5563366|offset_149|444444&amp;v=5563287:5563566&amp;c=444444", "offset 63")</f>
        <v>offset 63</v>
      </c>
    </row>
    <row r="18075" customFormat="false" ht="12.8" hidden="false" customHeight="false" outlineLevel="0" collapsed="false">
      <c r="A18075" s="0" t="s">
        <v>12</v>
      </c>
      <c r="B18075" s="0" t="n">
        <v>5563398</v>
      </c>
      <c r="C18075" s="0" t="n">
        <v>5563418</v>
      </c>
      <c r="D18075" s="0" t="s">
        <v>60103</v>
      </c>
      <c r="E18075" s="0" t="s">
        <v>60104</v>
      </c>
      <c r="F18075" s="0" t="s">
        <v>90</v>
      </c>
      <c r="G18075" s="0" t="s">
        <v>20</v>
      </c>
      <c r="H18075" s="0" t="n">
        <v>97</v>
      </c>
      <c r="I18075" s="0" t="s">
        <v>60111</v>
      </c>
      <c r="J18075" s="0" t="s">
        <v>60112</v>
      </c>
      <c r="K18075" s="0" t="s">
        <v>60113</v>
      </c>
      <c r="L18075" s="0" t="str">
        <f aca="false">HYPERLINK("https://www.ncbi.nlm.nih.gov/nuccore/CP000058.1?report=graph&amp;tracks=[key:gene_model_track,Options:GeneOnly]&amp;mk=5563488:5563507|offset_8|444444,5563433:5563452|offset_63|444444,5563399:5563418|offset_97|00cc00,5563347:5563366|offset_149|444444&amp;v=5563287:5563566&amp;c=444444", "offset 97")</f>
        <v>offset 97</v>
      </c>
    </row>
    <row r="18076" customFormat="false" ht="12.8" hidden="false" customHeight="false" outlineLevel="0" collapsed="false">
      <c r="A18076" s="0" t="s">
        <v>12</v>
      </c>
      <c r="B18076" s="0" t="n">
        <v>5563346</v>
      </c>
      <c r="C18076" s="0" t="n">
        <v>5563366</v>
      </c>
      <c r="D18076" s="0" t="s">
        <v>60103</v>
      </c>
      <c r="E18076" s="0" t="s">
        <v>60104</v>
      </c>
      <c r="F18076" s="0" t="s">
        <v>90</v>
      </c>
      <c r="G18076" s="0" t="s">
        <v>20</v>
      </c>
      <c r="H18076" s="0" t="n">
        <v>149</v>
      </c>
      <c r="I18076" s="0" t="s">
        <v>60114</v>
      </c>
      <c r="J18076" s="0" t="s">
        <v>60115</v>
      </c>
      <c r="K18076" s="0" t="s">
        <v>60116</v>
      </c>
      <c r="L18076" s="0" t="str">
        <f aca="false">HYPERLINK("https://www.ncbi.nlm.nih.gov/nuccore/CP000058.1?report=graph&amp;tracks=[key:gene_model_track,Options:GeneOnly]&amp;mk=5563488:5563507|offset_8|444444,5563433:5563452|offset_63|444444,5563399:5563418|offset_97|444444,5563347:5563366|offset_149|00cc00&amp;v=5563287:5563566&amp;c=444444", "offset 149")</f>
        <v>offset 149</v>
      </c>
    </row>
    <row r="18077" customFormat="false" ht="12.8" hidden="false" customHeight="false" outlineLevel="0" collapsed="false">
      <c r="A18077" s="0" t="s">
        <v>12</v>
      </c>
      <c r="B18077" s="0" t="n">
        <v>5564401</v>
      </c>
      <c r="C18077" s="0" t="n">
        <v>5564421</v>
      </c>
      <c r="D18077" s="0" t="s">
        <v>60117</v>
      </c>
      <c r="E18077" s="0" t="s">
        <v>60118</v>
      </c>
      <c r="F18077" s="0" t="s">
        <v>90</v>
      </c>
      <c r="G18077" s="0" t="s">
        <v>16</v>
      </c>
      <c r="H18077" s="0" t="n">
        <v>47</v>
      </c>
      <c r="I18077" s="0" t="s">
        <v>60119</v>
      </c>
      <c r="J18077" s="0" t="s">
        <v>60120</v>
      </c>
      <c r="K18077" s="0" t="s">
        <v>60121</v>
      </c>
      <c r="L18077" s="0" t="str">
        <f aca="false">HYPERLINK("https://www.ncbi.nlm.nih.gov/nuccore/CP000058.1?report=graph&amp;tracks=[key:gene_model_track,Options:GeneOnly]&amp;mk=5564402:5564421|offset_47|00cc00,5564368:5564387|offset_81|444444,5564338:5564357|offset_111|444444,5564310:5564329|offset_139|444444&amp;v=5564201:5564529&amp;c=444444", "offset 47")</f>
        <v>offset 47</v>
      </c>
    </row>
    <row r="18078" customFormat="false" ht="12.8" hidden="false" customHeight="false" outlineLevel="0" collapsed="false">
      <c r="A18078" s="0" t="s">
        <v>12</v>
      </c>
      <c r="B18078" s="0" t="n">
        <v>5564367</v>
      </c>
      <c r="C18078" s="0" t="n">
        <v>5564387</v>
      </c>
      <c r="D18078" s="0" t="s">
        <v>60117</v>
      </c>
      <c r="E18078" s="0" t="s">
        <v>60118</v>
      </c>
      <c r="F18078" s="0" t="s">
        <v>90</v>
      </c>
      <c r="G18078" s="0" t="s">
        <v>36</v>
      </c>
      <c r="H18078" s="0" t="n">
        <v>81</v>
      </c>
      <c r="I18078" s="0" t="s">
        <v>60122</v>
      </c>
      <c r="J18078" s="0" t="s">
        <v>60123</v>
      </c>
      <c r="K18078" s="0" t="s">
        <v>60124</v>
      </c>
      <c r="L18078" s="0" t="str">
        <f aca="false">HYPERLINK("https://www.ncbi.nlm.nih.gov/nuccore/CP000058.1?report=graph&amp;tracks=[key:gene_model_track,Options:GeneOnly]&amp;mk=5564402:5564421|offset_47|444444,5564368:5564387|offset_81|00cc00,5564338:5564357|offset_111|444444,5564310:5564329|offset_139|444444&amp;v=5564201:5564529&amp;c=444444", "offset 81")</f>
        <v>offset 81</v>
      </c>
    </row>
    <row r="18079" customFormat="false" ht="12.8" hidden="false" customHeight="false" outlineLevel="0" collapsed="false">
      <c r="A18079" s="0" t="s">
        <v>12</v>
      </c>
      <c r="B18079" s="0" t="n">
        <v>5564337</v>
      </c>
      <c r="C18079" s="0" t="n">
        <v>5564357</v>
      </c>
      <c r="D18079" s="0" t="s">
        <v>60117</v>
      </c>
      <c r="E18079" s="0" t="s">
        <v>60118</v>
      </c>
      <c r="F18079" s="0" t="s">
        <v>90</v>
      </c>
      <c r="G18079" s="0" t="s">
        <v>16</v>
      </c>
      <c r="H18079" s="0" t="n">
        <v>111</v>
      </c>
      <c r="I18079" s="0" t="s">
        <v>60125</v>
      </c>
      <c r="J18079" s="0" t="s">
        <v>60126</v>
      </c>
      <c r="K18079" s="0" t="s">
        <v>60127</v>
      </c>
      <c r="L18079" s="0" t="str">
        <f aca="false">HYPERLINK("https://www.ncbi.nlm.nih.gov/nuccore/CP000058.1?report=graph&amp;tracks=[key:gene_model_track,Options:GeneOnly]&amp;mk=5564402:5564421|offset_47|444444,5564368:5564387|offset_81|444444,5564338:5564357|offset_111|00cc00,5564310:5564329|offset_139|444444&amp;v=5564201:5564529&amp;c=444444", "offset 111")</f>
        <v>offset 111</v>
      </c>
    </row>
    <row r="18080" customFormat="false" ht="12.8" hidden="false" customHeight="false" outlineLevel="0" collapsed="false">
      <c r="A18080" s="0" t="s">
        <v>12</v>
      </c>
      <c r="B18080" s="0" t="n">
        <v>5564309</v>
      </c>
      <c r="C18080" s="0" t="n">
        <v>5564329</v>
      </c>
      <c r="D18080" s="0" t="s">
        <v>60117</v>
      </c>
      <c r="E18080" s="0" t="s">
        <v>60118</v>
      </c>
      <c r="F18080" s="0" t="s">
        <v>90</v>
      </c>
      <c r="G18080" s="0" t="s">
        <v>36</v>
      </c>
      <c r="H18080" s="0" t="n">
        <v>139</v>
      </c>
      <c r="I18080" s="0" t="s">
        <v>60128</v>
      </c>
      <c r="J18080" s="0" t="s">
        <v>60129</v>
      </c>
      <c r="K18080" s="0" t="s">
        <v>60130</v>
      </c>
      <c r="L18080" s="0" t="str">
        <f aca="false">HYPERLINK("https://www.ncbi.nlm.nih.gov/nuccore/CP000058.1?report=graph&amp;tracks=[key:gene_model_track,Options:GeneOnly]&amp;mk=5564402:5564421|offset_47|444444,5564368:5564387|offset_81|444444,5564338:5564357|offset_111|444444,5564310:5564329|offset_139|00cc00&amp;v=5564201:5564529&amp;c=444444", "offset 139")</f>
        <v>offset 139</v>
      </c>
    </row>
    <row r="18081" customFormat="false" ht="12.8" hidden="false" customHeight="false" outlineLevel="0" collapsed="false">
      <c r="A18081" s="0" t="s">
        <v>12</v>
      </c>
      <c r="B18081" s="0" t="n">
        <v>5565551</v>
      </c>
      <c r="C18081" s="0" t="n">
        <v>5565571</v>
      </c>
      <c r="D18081" s="0" t="s">
        <v>60131</v>
      </c>
      <c r="E18081" s="0" t="s">
        <v>60132</v>
      </c>
      <c r="F18081" s="0" t="s">
        <v>90</v>
      </c>
      <c r="G18081" s="0" t="s">
        <v>36</v>
      </c>
      <c r="H18081" s="0" t="n">
        <v>0</v>
      </c>
      <c r="I18081" s="0" t="s">
        <v>60133</v>
      </c>
      <c r="J18081" s="0" t="s">
        <v>60134</v>
      </c>
      <c r="K18081" s="0" t="s">
        <v>60135</v>
      </c>
      <c r="L18081" s="0" t="str">
        <f aca="false">HYPERLINK("https://www.ncbi.nlm.nih.gov/nuccore/CP000058.1?report=graph&amp;tracks=[key:gene_model_track,Options:GeneOnly]&amp;mk=5565552:5565571|offset_0|00cc00,5565530:5565549|offset_22|444444,5565498:5565517|offset_54|444444,5565395:5565414|offset_157|444444&amp;v=5565351:5565614&amp;c=444444", "offset 0")</f>
        <v>offset 0</v>
      </c>
    </row>
    <row r="18082" customFormat="false" ht="12.8" hidden="false" customHeight="false" outlineLevel="0" collapsed="false">
      <c r="A18082" s="0" t="s">
        <v>12</v>
      </c>
      <c r="B18082" s="0" t="n">
        <v>5565529</v>
      </c>
      <c r="C18082" s="0" t="n">
        <v>5565549</v>
      </c>
      <c r="D18082" s="0" t="s">
        <v>60131</v>
      </c>
      <c r="E18082" s="0" t="s">
        <v>60132</v>
      </c>
      <c r="F18082" s="0" t="s">
        <v>90</v>
      </c>
      <c r="G18082" s="0" t="s">
        <v>20</v>
      </c>
      <c r="H18082" s="0" t="n">
        <v>22</v>
      </c>
      <c r="I18082" s="0" t="s">
        <v>60136</v>
      </c>
      <c r="J18082" s="0" t="s">
        <v>60137</v>
      </c>
      <c r="K18082" s="0" t="s">
        <v>60138</v>
      </c>
      <c r="L18082" s="0" t="str">
        <f aca="false">HYPERLINK("https://www.ncbi.nlm.nih.gov/nuccore/CP000058.1?report=graph&amp;tracks=[key:gene_model_track,Options:GeneOnly]&amp;mk=5565552:5565571|offset_0|444444,5565530:5565549|offset_22|00cc00,5565498:5565517|offset_54|444444,5565395:5565414|offset_157|444444&amp;v=5565351:5565614&amp;c=444444", "offset 22")</f>
        <v>offset 22</v>
      </c>
    </row>
    <row r="18083" customFormat="false" ht="12.8" hidden="false" customHeight="false" outlineLevel="0" collapsed="false">
      <c r="A18083" s="0" t="s">
        <v>12</v>
      </c>
      <c r="B18083" s="0" t="n">
        <v>5565497</v>
      </c>
      <c r="C18083" s="0" t="n">
        <v>5565517</v>
      </c>
      <c r="D18083" s="0" t="s">
        <v>60131</v>
      </c>
      <c r="E18083" s="0" t="s">
        <v>60132</v>
      </c>
      <c r="F18083" s="0" t="s">
        <v>90</v>
      </c>
      <c r="G18083" s="0" t="s">
        <v>36</v>
      </c>
      <c r="H18083" s="0" t="n">
        <v>54</v>
      </c>
      <c r="I18083" s="0" t="s">
        <v>60139</v>
      </c>
      <c r="J18083" s="0" t="s">
        <v>60140</v>
      </c>
      <c r="K18083" s="0" t="s">
        <v>60141</v>
      </c>
      <c r="L18083" s="0" t="str">
        <f aca="false">HYPERLINK("https://www.ncbi.nlm.nih.gov/nuccore/CP000058.1?report=graph&amp;tracks=[key:gene_model_track,Options:GeneOnly]&amp;mk=5565552:5565571|offset_0|444444,5565530:5565549|offset_22|444444,5565498:5565517|offset_54|00cc00,5565395:5565414|offset_157|444444&amp;v=5565351:5565614&amp;c=444444", "offset 54")</f>
        <v>offset 54</v>
      </c>
    </row>
    <row r="18084" customFormat="false" ht="12.8" hidden="false" customHeight="false" outlineLevel="0" collapsed="false">
      <c r="A18084" s="0" t="s">
        <v>12</v>
      </c>
      <c r="B18084" s="0" t="n">
        <v>5565394</v>
      </c>
      <c r="C18084" s="0" t="n">
        <v>5565414</v>
      </c>
      <c r="D18084" s="0" t="s">
        <v>60131</v>
      </c>
      <c r="E18084" s="0" t="s">
        <v>60132</v>
      </c>
      <c r="F18084" s="0" t="s">
        <v>90</v>
      </c>
      <c r="G18084" s="0" t="s">
        <v>36</v>
      </c>
      <c r="H18084" s="0" t="n">
        <v>157</v>
      </c>
      <c r="I18084" s="0" t="s">
        <v>60142</v>
      </c>
      <c r="J18084" s="0" t="s">
        <v>60143</v>
      </c>
      <c r="K18084" s="0" t="s">
        <v>60144</v>
      </c>
      <c r="L18084" s="0" t="str">
        <f aca="false">HYPERLINK("https://www.ncbi.nlm.nih.gov/nuccore/CP000058.1?report=graph&amp;tracks=[key:gene_model_track,Options:GeneOnly]&amp;mk=5565552:5565571|offset_0|444444,5565530:5565549|offset_22|444444,5565498:5565517|offset_54|444444,5565395:5565414|offset_157|00cc00&amp;v=5565351:5565614&amp;c=444444", "offset 157")</f>
        <v>offset 157</v>
      </c>
    </row>
    <row r="18085" customFormat="false" ht="12.8" hidden="false" customHeight="false" outlineLevel="0" collapsed="false">
      <c r="A18085" s="0" t="s">
        <v>12</v>
      </c>
      <c r="B18085" s="0" t="n">
        <v>5566678</v>
      </c>
      <c r="C18085" s="0" t="n">
        <v>5566698</v>
      </c>
      <c r="D18085" s="0" t="s">
        <v>60145</v>
      </c>
      <c r="E18085" s="0" t="s">
        <v>75</v>
      </c>
      <c r="F18085" s="0" t="s">
        <v>90</v>
      </c>
      <c r="G18085" s="0" t="s">
        <v>32</v>
      </c>
      <c r="H18085" s="0" t="n">
        <v>22</v>
      </c>
      <c r="I18085" s="0" t="s">
        <v>60146</v>
      </c>
      <c r="J18085" s="0" t="s">
        <v>60147</v>
      </c>
      <c r="K18085" s="0" t="s">
        <v>60148</v>
      </c>
      <c r="L18085" s="0" t="str">
        <f aca="false">HYPERLINK("https://www.ncbi.nlm.nih.gov/nuccore/CP000058.1?report=graph&amp;tracks=[key:gene_model_track,Options:GeneOnly]&amp;mk=5566679:5566698|offset_22|00cc00,5566658:5566677|offset_43|444444,5566634:5566653|offset_67|444444,5566598:5566617|offset_103|444444&amp;v=5566478:5566817&amp;c=444444", "offset 22")</f>
        <v>offset 22</v>
      </c>
    </row>
    <row r="18086" customFormat="false" ht="12.8" hidden="false" customHeight="false" outlineLevel="0" collapsed="false">
      <c r="A18086" s="0" t="s">
        <v>12</v>
      </c>
      <c r="B18086" s="0" t="n">
        <v>5566657</v>
      </c>
      <c r="C18086" s="0" t="n">
        <v>5566677</v>
      </c>
      <c r="D18086" s="0" t="s">
        <v>60145</v>
      </c>
      <c r="E18086" s="0" t="s">
        <v>75</v>
      </c>
      <c r="F18086" s="0" t="s">
        <v>90</v>
      </c>
      <c r="G18086" s="0" t="s">
        <v>16</v>
      </c>
      <c r="H18086" s="0" t="n">
        <v>43</v>
      </c>
      <c r="I18086" s="0" t="s">
        <v>60149</v>
      </c>
      <c r="J18086" s="0" t="s">
        <v>60150</v>
      </c>
      <c r="K18086" s="0" t="s">
        <v>60151</v>
      </c>
      <c r="L18086" s="0" t="str">
        <f aca="false">HYPERLINK("https://www.ncbi.nlm.nih.gov/nuccore/CP000058.1?report=graph&amp;tracks=[key:gene_model_track,Options:GeneOnly]&amp;mk=5566679:5566698|offset_22|444444,5566658:5566677|offset_43|00cc00,5566634:5566653|offset_67|444444,5566598:5566617|offset_103|444444&amp;v=5566478:5566817&amp;c=444444", "offset 43")</f>
        <v>offset 43</v>
      </c>
    </row>
    <row r="18087" customFormat="false" ht="12.8" hidden="false" customHeight="false" outlineLevel="0" collapsed="false">
      <c r="A18087" s="0" t="s">
        <v>12</v>
      </c>
      <c r="B18087" s="0" t="n">
        <v>5566633</v>
      </c>
      <c r="C18087" s="0" t="n">
        <v>5566653</v>
      </c>
      <c r="D18087" s="0" t="s">
        <v>60145</v>
      </c>
      <c r="E18087" s="0" t="s">
        <v>75</v>
      </c>
      <c r="F18087" s="0" t="s">
        <v>90</v>
      </c>
      <c r="G18087" s="0" t="s">
        <v>36</v>
      </c>
      <c r="H18087" s="0" t="n">
        <v>67</v>
      </c>
      <c r="I18087" s="0" t="s">
        <v>60152</v>
      </c>
      <c r="J18087" s="0" t="s">
        <v>60153</v>
      </c>
      <c r="K18087" s="0" t="s">
        <v>60154</v>
      </c>
      <c r="L18087" s="0" t="str">
        <f aca="false">HYPERLINK("https://www.ncbi.nlm.nih.gov/nuccore/CP000058.1?report=graph&amp;tracks=[key:gene_model_track,Options:GeneOnly]&amp;mk=5566679:5566698|offset_22|444444,5566658:5566677|offset_43|444444,5566634:5566653|offset_67|00cc00,5566598:5566617|offset_103|444444&amp;v=5566478:5566817&amp;c=444444", "offset 67")</f>
        <v>offset 67</v>
      </c>
    </row>
    <row r="18088" customFormat="false" ht="12.8" hidden="false" customHeight="false" outlineLevel="0" collapsed="false">
      <c r="A18088" s="0" t="s">
        <v>12</v>
      </c>
      <c r="B18088" s="0" t="n">
        <v>5566597</v>
      </c>
      <c r="C18088" s="0" t="n">
        <v>5566617</v>
      </c>
      <c r="D18088" s="0" t="s">
        <v>60145</v>
      </c>
      <c r="E18088" s="0" t="s">
        <v>75</v>
      </c>
      <c r="F18088" s="0" t="s">
        <v>90</v>
      </c>
      <c r="G18088" s="0" t="s">
        <v>16</v>
      </c>
      <c r="H18088" s="0" t="n">
        <v>103</v>
      </c>
      <c r="I18088" s="0" t="s">
        <v>60155</v>
      </c>
      <c r="J18088" s="0" t="s">
        <v>60156</v>
      </c>
      <c r="K18088" s="0" t="s">
        <v>60157</v>
      </c>
      <c r="L18088" s="0" t="str">
        <f aca="false">HYPERLINK("https://www.ncbi.nlm.nih.gov/nuccore/CP000058.1?report=graph&amp;tracks=[key:gene_model_track,Options:GeneOnly]&amp;mk=5566679:5566698|offset_22|444444,5566658:5566677|offset_43|444444,5566634:5566653|offset_67|444444,5566598:5566617|offset_103|00cc00&amp;v=5566478:5566817&amp;c=444444", "offset 103")</f>
        <v>offset 103</v>
      </c>
    </row>
    <row r="18089" customFormat="false" ht="12.8" hidden="false" customHeight="false" outlineLevel="0" collapsed="false">
      <c r="A18089" s="0" t="s">
        <v>12</v>
      </c>
      <c r="B18089" s="0" t="n">
        <v>5567947</v>
      </c>
      <c r="C18089" s="0" t="n">
        <v>5567967</v>
      </c>
      <c r="D18089" s="0" t="s">
        <v>60158</v>
      </c>
      <c r="E18089" s="0" t="s">
        <v>75</v>
      </c>
      <c r="F18089" s="0" t="s">
        <v>90</v>
      </c>
      <c r="G18089" s="0" t="s">
        <v>36</v>
      </c>
      <c r="H18089" s="0" t="n">
        <v>22</v>
      </c>
      <c r="I18089" s="0" t="s">
        <v>60159</v>
      </c>
      <c r="J18089" s="0" t="s">
        <v>60160</v>
      </c>
      <c r="K18089" s="0" t="s">
        <v>60161</v>
      </c>
      <c r="L18089" s="0" t="str">
        <f aca="false">HYPERLINK("https://www.ncbi.nlm.nih.gov/nuccore/CP000058.1?report=graph&amp;tracks=[key:gene_model_track,Options:GeneOnly]&amp;mk=5567948:5567967|offset_22|00cc00,5567915:5567934|offset_55|444444,5567867:5567886|offset_103|444444,5567846:5567865|offset_124|444444&amp;v=5567747:5568065&amp;c=444444", "offset 22")</f>
        <v>offset 22</v>
      </c>
    </row>
    <row r="18090" customFormat="false" ht="12.8" hidden="false" customHeight="false" outlineLevel="0" collapsed="false">
      <c r="A18090" s="0" t="s">
        <v>12</v>
      </c>
      <c r="B18090" s="0" t="n">
        <v>5567914</v>
      </c>
      <c r="C18090" s="0" t="n">
        <v>5567934</v>
      </c>
      <c r="D18090" s="0" t="s">
        <v>60158</v>
      </c>
      <c r="E18090" s="0" t="s">
        <v>75</v>
      </c>
      <c r="F18090" s="0" t="s">
        <v>90</v>
      </c>
      <c r="G18090" s="0" t="s">
        <v>16</v>
      </c>
      <c r="H18090" s="0" t="n">
        <v>55</v>
      </c>
      <c r="I18090" s="0" t="s">
        <v>60162</v>
      </c>
      <c r="J18090" s="0" t="s">
        <v>60163</v>
      </c>
      <c r="K18090" s="0" t="s">
        <v>60164</v>
      </c>
      <c r="L18090" s="0" t="str">
        <f aca="false">HYPERLINK("https://www.ncbi.nlm.nih.gov/nuccore/CP000058.1?report=graph&amp;tracks=[key:gene_model_track,Options:GeneOnly]&amp;mk=5567948:5567967|offset_22|444444,5567915:5567934|offset_55|00cc00,5567867:5567886|offset_103|444444,5567846:5567865|offset_124|444444&amp;v=5567747:5568065&amp;c=444444", "offset 55")</f>
        <v>offset 55</v>
      </c>
    </row>
    <row r="18091" customFormat="false" ht="12.8" hidden="false" customHeight="false" outlineLevel="0" collapsed="false">
      <c r="A18091" s="0" t="s">
        <v>12</v>
      </c>
      <c r="B18091" s="0" t="n">
        <v>5567866</v>
      </c>
      <c r="C18091" s="0" t="n">
        <v>5567886</v>
      </c>
      <c r="D18091" s="0" t="s">
        <v>60158</v>
      </c>
      <c r="E18091" s="0" t="s">
        <v>75</v>
      </c>
      <c r="F18091" s="0" t="s">
        <v>90</v>
      </c>
      <c r="G18091" s="0" t="s">
        <v>16</v>
      </c>
      <c r="H18091" s="0" t="n">
        <v>103</v>
      </c>
      <c r="I18091" s="0" t="s">
        <v>60165</v>
      </c>
      <c r="J18091" s="0" t="s">
        <v>60166</v>
      </c>
      <c r="K18091" s="0" t="s">
        <v>60167</v>
      </c>
      <c r="L18091" s="0" t="str">
        <f aca="false">HYPERLINK("https://www.ncbi.nlm.nih.gov/nuccore/CP000058.1?report=graph&amp;tracks=[key:gene_model_track,Options:GeneOnly]&amp;mk=5567948:5567967|offset_22|444444,5567915:5567934|offset_55|444444,5567867:5567886|offset_103|00cc00,5567846:5567865|offset_124|444444&amp;v=5567747:5568065&amp;c=444444", "offset 103")</f>
        <v>offset 103</v>
      </c>
    </row>
    <row r="18092" customFormat="false" ht="12.8" hidden="false" customHeight="false" outlineLevel="0" collapsed="false">
      <c r="A18092" s="0" t="s">
        <v>12</v>
      </c>
      <c r="B18092" s="0" t="n">
        <v>5567845</v>
      </c>
      <c r="C18092" s="0" t="n">
        <v>5567865</v>
      </c>
      <c r="D18092" s="0" t="s">
        <v>60158</v>
      </c>
      <c r="E18092" s="0" t="s">
        <v>75</v>
      </c>
      <c r="F18092" s="0" t="s">
        <v>90</v>
      </c>
      <c r="G18092" s="0" t="s">
        <v>16</v>
      </c>
      <c r="H18092" s="0" t="n">
        <v>124</v>
      </c>
      <c r="I18092" s="0" t="s">
        <v>60168</v>
      </c>
      <c r="J18092" s="0" t="s">
        <v>60169</v>
      </c>
      <c r="K18092" s="0" t="s">
        <v>60170</v>
      </c>
      <c r="L18092" s="0" t="str">
        <f aca="false">HYPERLINK("https://www.ncbi.nlm.nih.gov/nuccore/CP000058.1?report=graph&amp;tracks=[key:gene_model_track,Options:GeneOnly]&amp;mk=5567948:5567967|offset_22|444444,5567915:5567934|offset_55|444444,5567867:5567886|offset_103|444444,5567846:5567865|offset_124|00cc00&amp;v=5567747:5568065&amp;c=444444", "offset 124")</f>
        <v>offset 124</v>
      </c>
    </row>
    <row r="18093" customFormat="false" ht="12.8" hidden="false" customHeight="false" outlineLevel="0" collapsed="false">
      <c r="A18093" s="0" t="s">
        <v>12</v>
      </c>
      <c r="B18093" s="0" t="n">
        <v>5569466</v>
      </c>
      <c r="C18093" s="0" t="n">
        <v>5569486</v>
      </c>
      <c r="D18093" s="0" t="s">
        <v>60171</v>
      </c>
      <c r="E18093" s="0" t="s">
        <v>75</v>
      </c>
      <c r="F18093" s="0" t="s">
        <v>90</v>
      </c>
      <c r="G18093" s="0" t="s">
        <v>36</v>
      </c>
      <c r="H18093" s="0" t="n">
        <v>10</v>
      </c>
      <c r="I18093" s="0" t="s">
        <v>60172</v>
      </c>
      <c r="J18093" s="0" t="s">
        <v>60173</v>
      </c>
      <c r="K18093" s="0" t="s">
        <v>60174</v>
      </c>
      <c r="L18093" s="0" t="str">
        <f aca="false">HYPERLINK("https://www.ncbi.nlm.nih.gov/nuccore/CP000058.1?report=graph&amp;tracks=[key:gene_model_track,Options:GeneOnly]&amp;mk=5569467:5569486|offset_10|00cc00,5569434:5569453|offset_43|444444,5569408:5569427|offset_69|444444,5569373:5569392|offset_104|444444&amp;v=5569266:5569592&amp;c=444444", "offset 10")</f>
        <v>offset 10</v>
      </c>
    </row>
    <row r="18094" customFormat="false" ht="12.8" hidden="false" customHeight="false" outlineLevel="0" collapsed="false">
      <c r="A18094" s="0" t="s">
        <v>12</v>
      </c>
      <c r="B18094" s="0" t="n">
        <v>5569433</v>
      </c>
      <c r="C18094" s="0" t="n">
        <v>5569453</v>
      </c>
      <c r="D18094" s="0" t="s">
        <v>60171</v>
      </c>
      <c r="E18094" s="0" t="s">
        <v>75</v>
      </c>
      <c r="F18094" s="0" t="s">
        <v>90</v>
      </c>
      <c r="G18094" s="0" t="s">
        <v>20</v>
      </c>
      <c r="H18094" s="0" t="n">
        <v>43</v>
      </c>
      <c r="I18094" s="0" t="s">
        <v>60175</v>
      </c>
      <c r="J18094" s="0" t="s">
        <v>60176</v>
      </c>
      <c r="K18094" s="0" t="s">
        <v>60177</v>
      </c>
      <c r="L18094" s="0" t="str">
        <f aca="false">HYPERLINK("https://www.ncbi.nlm.nih.gov/nuccore/CP000058.1?report=graph&amp;tracks=[key:gene_model_track,Options:GeneOnly]&amp;mk=5569467:5569486|offset_10|444444,5569434:5569453|offset_43|00cc00,5569408:5569427|offset_69|444444,5569373:5569392|offset_104|444444&amp;v=5569266:5569592&amp;c=444444", "offset 43")</f>
        <v>offset 43</v>
      </c>
    </row>
    <row r="18095" customFormat="false" ht="12.8" hidden="false" customHeight="false" outlineLevel="0" collapsed="false">
      <c r="A18095" s="0" t="s">
        <v>12</v>
      </c>
      <c r="B18095" s="0" t="n">
        <v>5569407</v>
      </c>
      <c r="C18095" s="0" t="n">
        <v>5569427</v>
      </c>
      <c r="D18095" s="0" t="s">
        <v>60171</v>
      </c>
      <c r="E18095" s="0" t="s">
        <v>75</v>
      </c>
      <c r="F18095" s="0" t="s">
        <v>90</v>
      </c>
      <c r="G18095" s="0" t="s">
        <v>16</v>
      </c>
      <c r="H18095" s="0" t="n">
        <v>69</v>
      </c>
      <c r="I18095" s="0" t="s">
        <v>60178</v>
      </c>
      <c r="J18095" s="0" t="s">
        <v>60179</v>
      </c>
      <c r="K18095" s="0" t="s">
        <v>60180</v>
      </c>
      <c r="L18095" s="0" t="str">
        <f aca="false">HYPERLINK("https://www.ncbi.nlm.nih.gov/nuccore/CP000058.1?report=graph&amp;tracks=[key:gene_model_track,Options:GeneOnly]&amp;mk=5569467:5569486|offset_10|444444,5569434:5569453|offset_43|444444,5569408:5569427|offset_69|00cc00,5569373:5569392|offset_104|444444&amp;v=5569266:5569592&amp;c=444444", "offset 69")</f>
        <v>offset 69</v>
      </c>
    </row>
    <row r="18096" customFormat="false" ht="12.8" hidden="false" customHeight="false" outlineLevel="0" collapsed="false">
      <c r="A18096" s="0" t="s">
        <v>12</v>
      </c>
      <c r="B18096" s="0" t="n">
        <v>5569372</v>
      </c>
      <c r="C18096" s="0" t="n">
        <v>5569392</v>
      </c>
      <c r="D18096" s="0" t="s">
        <v>60171</v>
      </c>
      <c r="E18096" s="0" t="s">
        <v>75</v>
      </c>
      <c r="F18096" s="0" t="s">
        <v>90</v>
      </c>
      <c r="G18096" s="0" t="s">
        <v>36</v>
      </c>
      <c r="H18096" s="0" t="n">
        <v>104</v>
      </c>
      <c r="I18096" s="0" t="s">
        <v>60181</v>
      </c>
      <c r="J18096" s="0" t="s">
        <v>60182</v>
      </c>
      <c r="K18096" s="0" t="s">
        <v>60183</v>
      </c>
      <c r="L18096" s="0" t="str">
        <f aca="false">HYPERLINK("https://www.ncbi.nlm.nih.gov/nuccore/CP000058.1?report=graph&amp;tracks=[key:gene_model_track,Options:GeneOnly]&amp;mk=5569467:5569486|offset_10|444444,5569434:5569453|offset_43|444444,5569408:5569427|offset_69|444444,5569373:5569392|offset_104|00cc00&amp;v=5569266:5569592&amp;c=444444", "offset 104")</f>
        <v>offset 104</v>
      </c>
    </row>
    <row r="18097" customFormat="false" ht="12.8" hidden="false" customHeight="false" outlineLevel="0" collapsed="false">
      <c r="A18097" s="0" t="s">
        <v>12</v>
      </c>
      <c r="B18097" s="0" t="n">
        <v>5570894</v>
      </c>
      <c r="C18097" s="0" t="n">
        <v>5570914</v>
      </c>
      <c r="D18097" s="0" t="s">
        <v>60184</v>
      </c>
      <c r="E18097" s="0" t="s">
        <v>75</v>
      </c>
      <c r="F18097" s="0" t="s">
        <v>90</v>
      </c>
      <c r="G18097" s="0" t="s">
        <v>32</v>
      </c>
      <c r="H18097" s="0" t="n">
        <v>10</v>
      </c>
      <c r="I18097" s="0" t="s">
        <v>60185</v>
      </c>
      <c r="J18097" s="0" t="s">
        <v>60186</v>
      </c>
      <c r="K18097" s="0" t="s">
        <v>60187</v>
      </c>
      <c r="L18097" s="0" t="str">
        <f aca="false">HYPERLINK("https://www.ncbi.nlm.nih.gov/nuccore/CP000058.1?report=graph&amp;tracks=[key:gene_model_track,Options:GeneOnly]&amp;mk=5570895:5570914|offset_10|00cc00,5570850:5570869|offset_55|444444,5570829:5570848|offset_76|444444,5570794:5570813|offset_111|444444&amp;v=5570694:5571013&amp;c=444444", "offset 10")</f>
        <v>offset 10</v>
      </c>
    </row>
    <row r="18098" customFormat="false" ht="12.8" hidden="false" customHeight="false" outlineLevel="0" collapsed="false">
      <c r="A18098" s="0" t="s">
        <v>12</v>
      </c>
      <c r="B18098" s="0" t="n">
        <v>5570849</v>
      </c>
      <c r="C18098" s="0" t="n">
        <v>5570869</v>
      </c>
      <c r="D18098" s="0" t="s">
        <v>60184</v>
      </c>
      <c r="E18098" s="0" t="s">
        <v>75</v>
      </c>
      <c r="F18098" s="0" t="s">
        <v>90</v>
      </c>
      <c r="G18098" s="0" t="s">
        <v>16</v>
      </c>
      <c r="H18098" s="0" t="n">
        <v>55</v>
      </c>
      <c r="I18098" s="0" t="s">
        <v>60188</v>
      </c>
      <c r="J18098" s="0" t="s">
        <v>60189</v>
      </c>
      <c r="K18098" s="0" t="s">
        <v>60190</v>
      </c>
      <c r="L18098" s="0" t="str">
        <f aca="false">HYPERLINK("https://www.ncbi.nlm.nih.gov/nuccore/CP000058.1?report=graph&amp;tracks=[key:gene_model_track,Options:GeneOnly]&amp;mk=5570895:5570914|offset_10|444444,5570850:5570869|offset_55|00cc00,5570829:5570848|offset_76|444444,5570794:5570813|offset_111|444444&amp;v=5570694:5571013&amp;c=444444", "offset 55")</f>
        <v>offset 55</v>
      </c>
    </row>
    <row r="18099" customFormat="false" ht="12.8" hidden="false" customHeight="false" outlineLevel="0" collapsed="false">
      <c r="A18099" s="0" t="s">
        <v>12</v>
      </c>
      <c r="B18099" s="0" t="n">
        <v>5570828</v>
      </c>
      <c r="C18099" s="0" t="n">
        <v>5570848</v>
      </c>
      <c r="D18099" s="0" t="s">
        <v>60184</v>
      </c>
      <c r="E18099" s="0" t="s">
        <v>75</v>
      </c>
      <c r="F18099" s="0" t="s">
        <v>90</v>
      </c>
      <c r="G18099" s="0" t="s">
        <v>16</v>
      </c>
      <c r="H18099" s="0" t="n">
        <v>76</v>
      </c>
      <c r="I18099" s="0" t="s">
        <v>60191</v>
      </c>
      <c r="J18099" s="0" t="s">
        <v>60192</v>
      </c>
      <c r="K18099" s="0" t="s">
        <v>60193</v>
      </c>
      <c r="L18099" s="0" t="str">
        <f aca="false">HYPERLINK("https://www.ncbi.nlm.nih.gov/nuccore/CP000058.1?report=graph&amp;tracks=[key:gene_model_track,Options:GeneOnly]&amp;mk=5570895:5570914|offset_10|444444,5570850:5570869|offset_55|444444,5570829:5570848|offset_76|00cc00,5570794:5570813|offset_111|444444&amp;v=5570694:5571013&amp;c=444444", "offset 76")</f>
        <v>offset 76</v>
      </c>
    </row>
    <row r="18100" customFormat="false" ht="12.8" hidden="false" customHeight="false" outlineLevel="0" collapsed="false">
      <c r="A18100" s="0" t="s">
        <v>12</v>
      </c>
      <c r="B18100" s="0" t="n">
        <v>5570793</v>
      </c>
      <c r="C18100" s="0" t="n">
        <v>5570813</v>
      </c>
      <c r="D18100" s="0" t="s">
        <v>60184</v>
      </c>
      <c r="E18100" s="0" t="s">
        <v>75</v>
      </c>
      <c r="F18100" s="0" t="s">
        <v>90</v>
      </c>
      <c r="G18100" s="0" t="s">
        <v>16</v>
      </c>
      <c r="H18100" s="0" t="n">
        <v>111</v>
      </c>
      <c r="I18100" s="0" t="s">
        <v>60194</v>
      </c>
      <c r="J18100" s="0" t="s">
        <v>60195</v>
      </c>
      <c r="K18100" s="0" t="s">
        <v>60196</v>
      </c>
      <c r="L18100" s="0" t="str">
        <f aca="false">HYPERLINK("https://www.ncbi.nlm.nih.gov/nuccore/CP000058.1?report=graph&amp;tracks=[key:gene_model_track,Options:GeneOnly]&amp;mk=5570895:5570914|offset_10|444444,5570850:5570869|offset_55|444444,5570829:5570848|offset_76|444444,5570794:5570813|offset_111|00cc00&amp;v=5570694:5571013&amp;c=444444", "offset 111")</f>
        <v>offset 111</v>
      </c>
    </row>
    <row r="18101" customFormat="false" ht="12.8" hidden="false" customHeight="false" outlineLevel="0" collapsed="false">
      <c r="A18101" s="0" t="s">
        <v>12</v>
      </c>
      <c r="B18101" s="0" t="n">
        <v>5571530</v>
      </c>
      <c r="C18101" s="0" t="n">
        <v>5571550</v>
      </c>
      <c r="D18101" s="0" t="s">
        <v>60197</v>
      </c>
      <c r="E18101" s="0" t="s">
        <v>75</v>
      </c>
      <c r="F18101" s="0" t="s">
        <v>15</v>
      </c>
      <c r="G18101" s="0" t="s">
        <v>36</v>
      </c>
      <c r="H18101" s="0" t="n">
        <v>12</v>
      </c>
      <c r="I18101" s="0" t="s">
        <v>60198</v>
      </c>
      <c r="J18101" s="0" t="s">
        <v>60199</v>
      </c>
      <c r="K18101" s="0" t="s">
        <v>60200</v>
      </c>
      <c r="L18101" s="0" t="str">
        <f aca="false">HYPERLINK("https://www.ncbi.nlm.nih.gov/nuccore/CP000058.1?report=graph&amp;tracks=[key:gene_model_track,Options:GeneOnly]&amp;mk=5571531:5571550|offset_12|00cc00,5571569:5571588|offset_50|444444,5571602:5571621|offset_83|444444,5571655:5571674|offset_136|444444&amp;v=5571330:5571874&amp;c=444444", "offset 12")</f>
        <v>offset 12</v>
      </c>
    </row>
    <row r="18102" customFormat="false" ht="12.8" hidden="false" customHeight="false" outlineLevel="0" collapsed="false">
      <c r="A18102" s="0" t="s">
        <v>12</v>
      </c>
      <c r="B18102" s="0" t="n">
        <v>5571568</v>
      </c>
      <c r="C18102" s="0" t="n">
        <v>5571588</v>
      </c>
      <c r="D18102" s="0" t="s">
        <v>60197</v>
      </c>
      <c r="E18102" s="0" t="s">
        <v>75</v>
      </c>
      <c r="F18102" s="0" t="s">
        <v>15</v>
      </c>
      <c r="G18102" s="0" t="s">
        <v>20</v>
      </c>
      <c r="H18102" s="0" t="n">
        <v>50</v>
      </c>
      <c r="I18102" s="0" t="s">
        <v>60201</v>
      </c>
      <c r="J18102" s="0" t="s">
        <v>60202</v>
      </c>
      <c r="K18102" s="0" t="s">
        <v>60203</v>
      </c>
      <c r="L18102" s="0" t="str">
        <f aca="false">HYPERLINK("https://www.ncbi.nlm.nih.gov/nuccore/CP000058.1?report=graph&amp;tracks=[key:gene_model_track,Options:GeneOnly]&amp;mk=5571531:5571550|offset_12|444444,5571569:5571588|offset_50|00cc00,5571602:5571621|offset_83|444444,5571655:5571674|offset_136|444444&amp;v=5571330:5571874&amp;c=444444", "offset 50")</f>
        <v>offset 50</v>
      </c>
    </row>
    <row r="18103" customFormat="false" ht="12.8" hidden="false" customHeight="false" outlineLevel="0" collapsed="false">
      <c r="A18103" s="0" t="s">
        <v>12</v>
      </c>
      <c r="B18103" s="0" t="n">
        <v>5571601</v>
      </c>
      <c r="C18103" s="0" t="n">
        <v>5571621</v>
      </c>
      <c r="D18103" s="0" t="s">
        <v>60197</v>
      </c>
      <c r="E18103" s="0" t="s">
        <v>75</v>
      </c>
      <c r="F18103" s="0" t="s">
        <v>15</v>
      </c>
      <c r="G18103" s="0" t="s">
        <v>20</v>
      </c>
      <c r="H18103" s="0" t="n">
        <v>83</v>
      </c>
      <c r="I18103" s="0" t="s">
        <v>60204</v>
      </c>
      <c r="J18103" s="0" t="s">
        <v>60205</v>
      </c>
      <c r="K18103" s="0" t="s">
        <v>60206</v>
      </c>
      <c r="L18103" s="0" t="str">
        <f aca="false">HYPERLINK("https://www.ncbi.nlm.nih.gov/nuccore/CP000058.1?report=graph&amp;tracks=[key:gene_model_track,Options:GeneOnly]&amp;mk=5571531:5571550|offset_12|444444,5571569:5571588|offset_50|444444,5571602:5571621|offset_83|00cc00,5571655:5571674|offset_136|444444&amp;v=5571330:5571874&amp;c=444444", "offset 83")</f>
        <v>offset 83</v>
      </c>
    </row>
    <row r="18104" customFormat="false" ht="12.8" hidden="false" customHeight="false" outlineLevel="0" collapsed="false">
      <c r="A18104" s="0" t="s">
        <v>12</v>
      </c>
      <c r="B18104" s="0" t="n">
        <v>5571654</v>
      </c>
      <c r="C18104" s="0" t="n">
        <v>5571674</v>
      </c>
      <c r="D18104" s="0" t="s">
        <v>60197</v>
      </c>
      <c r="E18104" s="0" t="s">
        <v>75</v>
      </c>
      <c r="F18104" s="0" t="s">
        <v>15</v>
      </c>
      <c r="G18104" s="0" t="s">
        <v>32</v>
      </c>
      <c r="H18104" s="0" t="n">
        <v>136</v>
      </c>
      <c r="I18104" s="0" t="s">
        <v>60207</v>
      </c>
      <c r="J18104" s="0" t="s">
        <v>60208</v>
      </c>
      <c r="K18104" s="0" t="s">
        <v>60209</v>
      </c>
      <c r="L18104" s="0" t="str">
        <f aca="false">HYPERLINK("https://www.ncbi.nlm.nih.gov/nuccore/CP000058.1?report=graph&amp;tracks=[key:gene_model_track,Options:GeneOnly]&amp;mk=5571531:5571550|offset_12|444444,5571569:5571588|offset_50|444444,5571602:5571621|offset_83|444444,5571655:5571674|offset_136|00cc00&amp;v=5571330:5571874&amp;c=444444", "offset 136")</f>
        <v>offset 136</v>
      </c>
    </row>
    <row r="18105" customFormat="false" ht="12.8" hidden="false" customHeight="false" outlineLevel="0" collapsed="false">
      <c r="A18105" s="0" t="s">
        <v>12</v>
      </c>
      <c r="B18105" s="0" t="n">
        <v>5573114</v>
      </c>
      <c r="C18105" s="0" t="n">
        <v>5573134</v>
      </c>
      <c r="D18105" s="0" t="s">
        <v>60210</v>
      </c>
      <c r="E18105" s="0" t="s">
        <v>75</v>
      </c>
      <c r="F18105" s="0" t="s">
        <v>15</v>
      </c>
      <c r="G18105" s="0" t="s">
        <v>36</v>
      </c>
      <c r="H18105" s="0" t="n">
        <v>0</v>
      </c>
      <c r="I18105" s="0" t="s">
        <v>60211</v>
      </c>
      <c r="J18105" s="0" t="s">
        <v>60212</v>
      </c>
      <c r="K18105" s="0" t="s">
        <v>60213</v>
      </c>
      <c r="L18105" s="0" t="str">
        <f aca="false">HYPERLINK("https://www.ncbi.nlm.nih.gov/nuccore/CP000058.1?report=graph&amp;tracks=[key:gene_model_track,Options:GeneOnly]&amp;mk=5573115:5573134|offset_0|00cc00,5573136:5573155|offset_21|444444,5573159:5573178|offset_44|444444,5573188:5573207|offset_73|444444&amp;v=5572914:5573407&amp;c=444444", "offset 0")</f>
        <v>offset 0</v>
      </c>
    </row>
    <row r="18106" customFormat="false" ht="12.8" hidden="false" customHeight="false" outlineLevel="0" collapsed="false">
      <c r="A18106" s="0" t="s">
        <v>12</v>
      </c>
      <c r="B18106" s="0" t="n">
        <v>5573135</v>
      </c>
      <c r="C18106" s="0" t="n">
        <v>5573155</v>
      </c>
      <c r="D18106" s="0" t="s">
        <v>60210</v>
      </c>
      <c r="E18106" s="0" t="s">
        <v>75</v>
      </c>
      <c r="F18106" s="0" t="s">
        <v>15</v>
      </c>
      <c r="G18106" s="0" t="s">
        <v>36</v>
      </c>
      <c r="H18106" s="0" t="n">
        <v>21</v>
      </c>
      <c r="I18106" s="0" t="s">
        <v>60214</v>
      </c>
      <c r="J18106" s="0" t="s">
        <v>60215</v>
      </c>
      <c r="K18106" s="0" t="s">
        <v>60216</v>
      </c>
      <c r="L18106" s="0" t="str">
        <f aca="false">HYPERLINK("https://www.ncbi.nlm.nih.gov/nuccore/CP000058.1?report=graph&amp;tracks=[key:gene_model_track,Options:GeneOnly]&amp;mk=5573115:5573134|offset_0|444444,5573136:5573155|offset_21|00cc00,5573159:5573178|offset_44|444444,5573188:5573207|offset_73|444444&amp;v=5572914:5573407&amp;c=444444", "offset 21")</f>
        <v>offset 21</v>
      </c>
    </row>
    <row r="18107" customFormat="false" ht="12.8" hidden="false" customHeight="false" outlineLevel="0" collapsed="false">
      <c r="A18107" s="0" t="s">
        <v>12</v>
      </c>
      <c r="B18107" s="0" t="n">
        <v>5573158</v>
      </c>
      <c r="C18107" s="0" t="n">
        <v>5573178</v>
      </c>
      <c r="D18107" s="0" t="s">
        <v>60210</v>
      </c>
      <c r="E18107" s="0" t="s">
        <v>75</v>
      </c>
      <c r="F18107" s="0" t="s">
        <v>15</v>
      </c>
      <c r="G18107" s="0" t="s">
        <v>32</v>
      </c>
      <c r="H18107" s="0" t="n">
        <v>44</v>
      </c>
      <c r="I18107" s="0" t="s">
        <v>60217</v>
      </c>
      <c r="J18107" s="0" t="s">
        <v>60218</v>
      </c>
      <c r="K18107" s="0" t="s">
        <v>60219</v>
      </c>
      <c r="L18107" s="0" t="str">
        <f aca="false">HYPERLINK("https://www.ncbi.nlm.nih.gov/nuccore/CP000058.1?report=graph&amp;tracks=[key:gene_model_track,Options:GeneOnly]&amp;mk=5573115:5573134|offset_0|444444,5573136:5573155|offset_21|444444,5573159:5573178|offset_44|00cc00,5573188:5573207|offset_73|444444&amp;v=5572914:5573407&amp;c=444444", "offset 44")</f>
        <v>offset 44</v>
      </c>
    </row>
    <row r="18108" customFormat="false" ht="12.8" hidden="false" customHeight="false" outlineLevel="0" collapsed="false">
      <c r="A18108" s="0" t="s">
        <v>12</v>
      </c>
      <c r="B18108" s="0" t="n">
        <v>5573187</v>
      </c>
      <c r="C18108" s="0" t="n">
        <v>5573207</v>
      </c>
      <c r="D18108" s="0" t="s">
        <v>60210</v>
      </c>
      <c r="E18108" s="0" t="s">
        <v>75</v>
      </c>
      <c r="F18108" s="0" t="s">
        <v>15</v>
      </c>
      <c r="G18108" s="0" t="s">
        <v>16</v>
      </c>
      <c r="H18108" s="0" t="n">
        <v>73</v>
      </c>
      <c r="I18108" s="0" t="s">
        <v>60220</v>
      </c>
      <c r="J18108" s="0" t="s">
        <v>60221</v>
      </c>
      <c r="K18108" s="0" t="s">
        <v>60222</v>
      </c>
      <c r="L18108" s="0" t="str">
        <f aca="false">HYPERLINK("https://www.ncbi.nlm.nih.gov/nuccore/CP000058.1?report=graph&amp;tracks=[key:gene_model_track,Options:GeneOnly]&amp;mk=5573115:5573134|offset_0|444444,5573136:5573155|offset_21|444444,5573159:5573178|offset_44|444444,5573188:5573207|offset_73|00cc00&amp;v=5572914:5573407&amp;c=444444", "offset 73")</f>
        <v>offset 73</v>
      </c>
    </row>
    <row r="18109" customFormat="false" ht="12.8" hidden="false" customHeight="false" outlineLevel="0" collapsed="false">
      <c r="A18109" s="0" t="s">
        <v>12</v>
      </c>
      <c r="B18109" s="0" t="n">
        <v>5574779</v>
      </c>
      <c r="C18109" s="0" t="n">
        <v>5574799</v>
      </c>
      <c r="D18109" s="0" t="s">
        <v>60223</v>
      </c>
      <c r="E18109" s="0" t="s">
        <v>75</v>
      </c>
      <c r="F18109" s="0" t="s">
        <v>90</v>
      </c>
      <c r="G18109" s="0" t="s">
        <v>32</v>
      </c>
      <c r="H18109" s="0" t="n">
        <v>1</v>
      </c>
      <c r="I18109" s="0" t="s">
        <v>60224</v>
      </c>
      <c r="J18109" s="0" t="s">
        <v>60225</v>
      </c>
      <c r="K18109" s="0" t="s">
        <v>60226</v>
      </c>
      <c r="L18109" s="0" t="str">
        <f aca="false">HYPERLINK("https://www.ncbi.nlm.nih.gov/nuccore/CP000058.1?report=graph&amp;tracks=[key:gene_model_track,Options:GeneOnly]&amp;mk=5574780:5574799|offset_1|00cc00,5574749:5574768|offset_32|444444,5574725:5574744|offset_56|444444,5574686:5574705|offset_95|444444&amp;v=5574579:5574905&amp;c=444444", "offset 1")</f>
        <v>offset 1</v>
      </c>
    </row>
    <row r="18110" customFormat="false" ht="12.8" hidden="false" customHeight="false" outlineLevel="0" collapsed="false">
      <c r="A18110" s="0" t="s">
        <v>12</v>
      </c>
      <c r="B18110" s="0" t="n">
        <v>5574748</v>
      </c>
      <c r="C18110" s="0" t="n">
        <v>5574768</v>
      </c>
      <c r="D18110" s="0" t="s">
        <v>60223</v>
      </c>
      <c r="E18110" s="0" t="s">
        <v>75</v>
      </c>
      <c r="F18110" s="0" t="s">
        <v>90</v>
      </c>
      <c r="G18110" s="0" t="s">
        <v>16</v>
      </c>
      <c r="H18110" s="0" t="n">
        <v>32</v>
      </c>
      <c r="I18110" s="0" t="s">
        <v>60227</v>
      </c>
      <c r="J18110" s="0" t="s">
        <v>60228</v>
      </c>
      <c r="K18110" s="0" t="s">
        <v>60229</v>
      </c>
      <c r="L18110" s="0" t="str">
        <f aca="false">HYPERLINK("https://www.ncbi.nlm.nih.gov/nuccore/CP000058.1?report=graph&amp;tracks=[key:gene_model_track,Options:GeneOnly]&amp;mk=5574780:5574799|offset_1|444444,5574749:5574768|offset_32|00cc00,5574725:5574744|offset_56|444444,5574686:5574705|offset_95|444444&amp;v=5574579:5574905&amp;c=444444", "offset 32")</f>
        <v>offset 32</v>
      </c>
    </row>
    <row r="18111" customFormat="false" ht="12.8" hidden="false" customHeight="false" outlineLevel="0" collapsed="false">
      <c r="A18111" s="0" t="s">
        <v>12</v>
      </c>
      <c r="B18111" s="0" t="n">
        <v>5574724</v>
      </c>
      <c r="C18111" s="0" t="n">
        <v>5574744</v>
      </c>
      <c r="D18111" s="0" t="s">
        <v>60223</v>
      </c>
      <c r="E18111" s="0" t="s">
        <v>75</v>
      </c>
      <c r="F18111" s="0" t="s">
        <v>90</v>
      </c>
      <c r="G18111" s="0" t="s">
        <v>16</v>
      </c>
      <c r="H18111" s="0" t="n">
        <v>56</v>
      </c>
      <c r="I18111" s="0" t="s">
        <v>60230</v>
      </c>
      <c r="J18111" s="0" t="s">
        <v>60231</v>
      </c>
      <c r="K18111" s="0" t="s">
        <v>60232</v>
      </c>
      <c r="L18111" s="0" t="str">
        <f aca="false">HYPERLINK("https://www.ncbi.nlm.nih.gov/nuccore/CP000058.1?report=graph&amp;tracks=[key:gene_model_track,Options:GeneOnly]&amp;mk=5574780:5574799|offset_1|444444,5574749:5574768|offset_32|444444,5574725:5574744|offset_56|00cc00,5574686:5574705|offset_95|444444&amp;v=5574579:5574905&amp;c=444444", "offset 56")</f>
        <v>offset 56</v>
      </c>
    </row>
    <row r="18112" customFormat="false" ht="12.8" hidden="false" customHeight="false" outlineLevel="0" collapsed="false">
      <c r="A18112" s="0" t="s">
        <v>12</v>
      </c>
      <c r="B18112" s="0" t="n">
        <v>5574685</v>
      </c>
      <c r="C18112" s="0" t="n">
        <v>5574705</v>
      </c>
      <c r="D18112" s="0" t="s">
        <v>60223</v>
      </c>
      <c r="E18112" s="0" t="s">
        <v>75</v>
      </c>
      <c r="F18112" s="0" t="s">
        <v>90</v>
      </c>
      <c r="G18112" s="0" t="s">
        <v>32</v>
      </c>
      <c r="H18112" s="0" t="n">
        <v>95</v>
      </c>
      <c r="I18112" s="0" t="s">
        <v>60233</v>
      </c>
      <c r="J18112" s="0" t="s">
        <v>60234</v>
      </c>
      <c r="K18112" s="0" t="s">
        <v>60235</v>
      </c>
      <c r="L18112" s="0" t="str">
        <f aca="false">HYPERLINK("https://www.ncbi.nlm.nih.gov/nuccore/CP000058.1?report=graph&amp;tracks=[key:gene_model_track,Options:GeneOnly]&amp;mk=5574780:5574799|offset_1|444444,5574749:5574768|offset_32|444444,5574725:5574744|offset_56|444444,5574686:5574705|offset_95|00cc00&amp;v=5574579:5574905&amp;c=444444", "offset 95")</f>
        <v>offset 95</v>
      </c>
    </row>
    <row r="18113" customFormat="false" ht="12.8" hidden="false" customHeight="false" outlineLevel="0" collapsed="false">
      <c r="A18113" s="0" t="s">
        <v>12</v>
      </c>
      <c r="B18113" s="0" t="n">
        <v>5576309</v>
      </c>
      <c r="C18113" s="0" t="n">
        <v>5576329</v>
      </c>
      <c r="D18113" s="0" t="s">
        <v>60236</v>
      </c>
      <c r="E18113" s="0" t="s">
        <v>75</v>
      </c>
      <c r="F18113" s="0" t="s">
        <v>90</v>
      </c>
      <c r="G18113" s="0" t="s">
        <v>32</v>
      </c>
      <c r="H18113" s="0" t="n">
        <v>1</v>
      </c>
      <c r="I18113" s="0" t="s">
        <v>60237</v>
      </c>
      <c r="J18113" s="0" t="s">
        <v>60238</v>
      </c>
      <c r="K18113" s="0" t="s">
        <v>60239</v>
      </c>
      <c r="L18113" s="0" t="str">
        <f aca="false">HYPERLINK("https://www.ncbi.nlm.nih.gov/nuccore/CP000058.1?report=graph&amp;tracks=[key:gene_model_track,Options:GeneOnly]&amp;mk=5576310:5576329|offset_1|00cc00,5576279:5576298|offset_32|444444,5576249:5576268|offset_62|444444,5576214:5576233|offset_97|444444&amp;v=5576109:5576433&amp;c=444444", "offset 1")</f>
        <v>offset 1</v>
      </c>
    </row>
    <row r="18114" customFormat="false" ht="12.8" hidden="false" customHeight="false" outlineLevel="0" collapsed="false">
      <c r="A18114" s="0" t="s">
        <v>12</v>
      </c>
      <c r="B18114" s="0" t="n">
        <v>5576278</v>
      </c>
      <c r="C18114" s="0" t="n">
        <v>5576298</v>
      </c>
      <c r="D18114" s="0" t="s">
        <v>60236</v>
      </c>
      <c r="E18114" s="0" t="s">
        <v>75</v>
      </c>
      <c r="F18114" s="0" t="s">
        <v>90</v>
      </c>
      <c r="G18114" s="0" t="s">
        <v>32</v>
      </c>
      <c r="H18114" s="0" t="n">
        <v>32</v>
      </c>
      <c r="I18114" s="0" t="s">
        <v>60240</v>
      </c>
      <c r="J18114" s="0" t="s">
        <v>60241</v>
      </c>
      <c r="K18114" s="0" t="s">
        <v>60242</v>
      </c>
      <c r="L18114" s="0" t="str">
        <f aca="false">HYPERLINK("https://www.ncbi.nlm.nih.gov/nuccore/CP000058.1?report=graph&amp;tracks=[key:gene_model_track,Options:GeneOnly]&amp;mk=5576310:5576329|offset_1|444444,5576279:5576298|offset_32|00cc00,5576249:5576268|offset_62|444444,5576214:5576233|offset_97|444444&amp;v=5576109:5576433&amp;c=444444", "offset 32")</f>
        <v>offset 32</v>
      </c>
    </row>
    <row r="18115" customFormat="false" ht="12.8" hidden="false" customHeight="false" outlineLevel="0" collapsed="false">
      <c r="A18115" s="0" t="s">
        <v>12</v>
      </c>
      <c r="B18115" s="0" t="n">
        <v>5576248</v>
      </c>
      <c r="C18115" s="0" t="n">
        <v>5576268</v>
      </c>
      <c r="D18115" s="0" t="s">
        <v>60236</v>
      </c>
      <c r="E18115" s="0" t="s">
        <v>75</v>
      </c>
      <c r="F18115" s="0" t="s">
        <v>90</v>
      </c>
      <c r="G18115" s="0" t="s">
        <v>32</v>
      </c>
      <c r="H18115" s="0" t="n">
        <v>62</v>
      </c>
      <c r="I18115" s="0" t="s">
        <v>60243</v>
      </c>
      <c r="J18115" s="0" t="s">
        <v>60244</v>
      </c>
      <c r="K18115" s="0" t="s">
        <v>60245</v>
      </c>
      <c r="L18115" s="0" t="str">
        <f aca="false">HYPERLINK("https://www.ncbi.nlm.nih.gov/nuccore/CP000058.1?report=graph&amp;tracks=[key:gene_model_track,Options:GeneOnly]&amp;mk=5576310:5576329|offset_1|444444,5576279:5576298|offset_32|444444,5576249:5576268|offset_62|00cc00,5576214:5576233|offset_97|444444&amp;v=5576109:5576433&amp;c=444444", "offset 62")</f>
        <v>offset 62</v>
      </c>
    </row>
    <row r="18116" customFormat="false" ht="12.8" hidden="false" customHeight="false" outlineLevel="0" collapsed="false">
      <c r="A18116" s="0" t="s">
        <v>12</v>
      </c>
      <c r="B18116" s="0" t="n">
        <v>5576213</v>
      </c>
      <c r="C18116" s="0" t="n">
        <v>5576233</v>
      </c>
      <c r="D18116" s="0" t="s">
        <v>60236</v>
      </c>
      <c r="E18116" s="0" t="s">
        <v>75</v>
      </c>
      <c r="F18116" s="0" t="s">
        <v>90</v>
      </c>
      <c r="G18116" s="0" t="s">
        <v>16</v>
      </c>
      <c r="H18116" s="0" t="n">
        <v>97</v>
      </c>
      <c r="I18116" s="0" t="s">
        <v>60246</v>
      </c>
      <c r="J18116" s="0" t="s">
        <v>60247</v>
      </c>
      <c r="K18116" s="0" t="s">
        <v>60248</v>
      </c>
      <c r="L18116" s="0" t="str">
        <f aca="false">HYPERLINK("https://www.ncbi.nlm.nih.gov/nuccore/CP000058.1?report=graph&amp;tracks=[key:gene_model_track,Options:GeneOnly]&amp;mk=5576310:5576329|offset_1|444444,5576279:5576298|offset_32|444444,5576249:5576268|offset_62|444444,5576214:5576233|offset_97|00cc00&amp;v=5576109:5576433&amp;c=444444", "offset 97")</f>
        <v>offset 97</v>
      </c>
    </row>
    <row r="18117" customFormat="false" ht="12.8" hidden="false" customHeight="false" outlineLevel="0" collapsed="false">
      <c r="A18117" s="0" t="s">
        <v>12</v>
      </c>
      <c r="B18117" s="0" t="n">
        <v>5577142</v>
      </c>
      <c r="C18117" s="0" t="n">
        <v>5577162</v>
      </c>
      <c r="D18117" s="0" t="s">
        <v>60249</v>
      </c>
      <c r="E18117" s="0" t="s">
        <v>75</v>
      </c>
      <c r="F18117" s="0" t="s">
        <v>90</v>
      </c>
      <c r="G18117" s="0" t="s">
        <v>32</v>
      </c>
      <c r="H18117" s="0" t="n">
        <v>7</v>
      </c>
      <c r="I18117" s="0" t="s">
        <v>60250</v>
      </c>
      <c r="J18117" s="0" t="s">
        <v>60251</v>
      </c>
      <c r="K18117" s="0" t="s">
        <v>60252</v>
      </c>
      <c r="L18117" s="0" t="str">
        <f aca="false">HYPERLINK("https://www.ncbi.nlm.nih.gov/nuccore/CP000058.1?report=graph&amp;tracks=[key:gene_model_track,Options:GeneOnly]&amp;mk=5577143:5577162|offset_7|00cc00,5577123:5577142|offset_27|444444,5577102:5577121|offset_48|444444,5577040:5577059|offset_110|444444&amp;v=5576942:5577259&amp;c=444444", "offset 7")</f>
        <v>offset 7</v>
      </c>
    </row>
    <row r="18118" customFormat="false" ht="12.8" hidden="false" customHeight="false" outlineLevel="0" collapsed="false">
      <c r="A18118" s="0" t="s">
        <v>12</v>
      </c>
      <c r="B18118" s="0" t="n">
        <v>5577122</v>
      </c>
      <c r="C18118" s="0" t="n">
        <v>5577142</v>
      </c>
      <c r="D18118" s="0" t="s">
        <v>60249</v>
      </c>
      <c r="E18118" s="0" t="s">
        <v>75</v>
      </c>
      <c r="F18118" s="0" t="s">
        <v>90</v>
      </c>
      <c r="G18118" s="0" t="s">
        <v>32</v>
      </c>
      <c r="H18118" s="0" t="n">
        <v>27</v>
      </c>
      <c r="I18118" s="0" t="s">
        <v>60253</v>
      </c>
      <c r="J18118" s="0" t="s">
        <v>60254</v>
      </c>
      <c r="K18118" s="0" t="s">
        <v>60255</v>
      </c>
      <c r="L18118" s="0" t="str">
        <f aca="false">HYPERLINK("https://www.ncbi.nlm.nih.gov/nuccore/CP000058.1?report=graph&amp;tracks=[key:gene_model_track,Options:GeneOnly]&amp;mk=5577143:5577162|offset_7|444444,5577123:5577142|offset_27|00cc00,5577102:5577121|offset_48|444444,5577040:5577059|offset_110|444444&amp;v=5576942:5577259&amp;c=444444", "offset 27")</f>
        <v>offset 27</v>
      </c>
    </row>
    <row r="18119" customFormat="false" ht="12.8" hidden="false" customHeight="false" outlineLevel="0" collapsed="false">
      <c r="A18119" s="0" t="s">
        <v>12</v>
      </c>
      <c r="B18119" s="0" t="n">
        <v>5577101</v>
      </c>
      <c r="C18119" s="0" t="n">
        <v>5577121</v>
      </c>
      <c r="D18119" s="0" t="s">
        <v>60249</v>
      </c>
      <c r="E18119" s="0" t="s">
        <v>75</v>
      </c>
      <c r="F18119" s="0" t="s">
        <v>90</v>
      </c>
      <c r="G18119" s="0" t="s">
        <v>16</v>
      </c>
      <c r="H18119" s="0" t="n">
        <v>48</v>
      </c>
      <c r="I18119" s="0" t="s">
        <v>60256</v>
      </c>
      <c r="J18119" s="0" t="s">
        <v>60257</v>
      </c>
      <c r="K18119" s="0" t="s">
        <v>60258</v>
      </c>
      <c r="L18119" s="0" t="str">
        <f aca="false">HYPERLINK("https://www.ncbi.nlm.nih.gov/nuccore/CP000058.1?report=graph&amp;tracks=[key:gene_model_track,Options:GeneOnly]&amp;mk=5577143:5577162|offset_7|444444,5577123:5577142|offset_27|444444,5577102:5577121|offset_48|00cc00,5577040:5577059|offset_110|444444&amp;v=5576942:5577259&amp;c=444444", "offset 48")</f>
        <v>offset 48</v>
      </c>
    </row>
    <row r="18120" customFormat="false" ht="12.8" hidden="false" customHeight="false" outlineLevel="0" collapsed="false">
      <c r="A18120" s="0" t="s">
        <v>12</v>
      </c>
      <c r="B18120" s="0" t="n">
        <v>5577039</v>
      </c>
      <c r="C18120" s="0" t="n">
        <v>5577059</v>
      </c>
      <c r="D18120" s="0" t="s">
        <v>60249</v>
      </c>
      <c r="E18120" s="0" t="s">
        <v>75</v>
      </c>
      <c r="F18120" s="0" t="s">
        <v>90</v>
      </c>
      <c r="G18120" s="0" t="s">
        <v>20</v>
      </c>
      <c r="H18120" s="0" t="n">
        <v>110</v>
      </c>
      <c r="I18120" s="0" t="s">
        <v>60259</v>
      </c>
      <c r="J18120" s="0" t="s">
        <v>60260</v>
      </c>
      <c r="K18120" s="0" t="s">
        <v>60261</v>
      </c>
      <c r="L18120" s="0" t="str">
        <f aca="false">HYPERLINK("https://www.ncbi.nlm.nih.gov/nuccore/CP000058.1?report=graph&amp;tracks=[key:gene_model_track,Options:GeneOnly]&amp;mk=5577143:5577162|offset_7|444444,5577123:5577142|offset_27|444444,5577102:5577121|offset_48|444444,5577040:5577059|offset_110|00cc00&amp;v=5576942:5577259&amp;c=444444", "offset 110")</f>
        <v>offset 110</v>
      </c>
    </row>
    <row r="18121" customFormat="false" ht="12.8" hidden="false" customHeight="false" outlineLevel="0" collapsed="false">
      <c r="A18121" s="0" t="s">
        <v>12</v>
      </c>
      <c r="B18121" s="0" t="n">
        <v>5577942</v>
      </c>
      <c r="C18121" s="0" t="n">
        <v>5577962</v>
      </c>
      <c r="D18121" s="0" t="s">
        <v>60262</v>
      </c>
      <c r="E18121" s="0" t="s">
        <v>60263</v>
      </c>
      <c r="F18121" s="0" t="s">
        <v>90</v>
      </c>
      <c r="G18121" s="0" t="s">
        <v>32</v>
      </c>
      <c r="H18121" s="0" t="n">
        <v>1</v>
      </c>
      <c r="I18121" s="0" t="s">
        <v>60264</v>
      </c>
      <c r="J18121" s="0" t="s">
        <v>60265</v>
      </c>
      <c r="K18121" s="0" t="s">
        <v>60266</v>
      </c>
      <c r="L18121" s="0" t="str">
        <f aca="false">HYPERLINK("https://www.ncbi.nlm.nih.gov/nuccore/CP000058.1?report=graph&amp;tracks=[key:gene_model_track,Options:GeneOnly]&amp;mk=5577943:5577962|offset_1|00cc00,5577909:5577928|offset_35|444444,5577887:5577906|offset_57|444444,5577835:5577854|offset_109|444444&amp;v=5577742:5578054&amp;c=444444", "offset 1")</f>
        <v>offset 1</v>
      </c>
    </row>
    <row r="18122" customFormat="false" ht="12.8" hidden="false" customHeight="false" outlineLevel="0" collapsed="false">
      <c r="A18122" s="0" t="s">
        <v>12</v>
      </c>
      <c r="B18122" s="0" t="n">
        <v>5577908</v>
      </c>
      <c r="C18122" s="0" t="n">
        <v>5577928</v>
      </c>
      <c r="D18122" s="0" t="s">
        <v>60262</v>
      </c>
      <c r="E18122" s="0" t="s">
        <v>60263</v>
      </c>
      <c r="F18122" s="0" t="s">
        <v>90</v>
      </c>
      <c r="G18122" s="0" t="s">
        <v>16</v>
      </c>
      <c r="H18122" s="0" t="n">
        <v>35</v>
      </c>
      <c r="I18122" s="0" t="s">
        <v>60267</v>
      </c>
      <c r="J18122" s="0" t="s">
        <v>60268</v>
      </c>
      <c r="K18122" s="0" t="s">
        <v>60269</v>
      </c>
      <c r="L18122" s="0" t="str">
        <f aca="false">HYPERLINK("https://www.ncbi.nlm.nih.gov/nuccore/CP000058.1?report=graph&amp;tracks=[key:gene_model_track,Options:GeneOnly]&amp;mk=5577943:5577962|offset_1|444444,5577909:5577928|offset_35|00cc00,5577887:5577906|offset_57|444444,5577835:5577854|offset_109|444444&amp;v=5577742:5578054&amp;c=444444", "offset 35")</f>
        <v>offset 35</v>
      </c>
    </row>
    <row r="18123" customFormat="false" ht="12.8" hidden="false" customHeight="false" outlineLevel="0" collapsed="false">
      <c r="A18123" s="0" t="s">
        <v>12</v>
      </c>
      <c r="B18123" s="0" t="n">
        <v>5577886</v>
      </c>
      <c r="C18123" s="0" t="n">
        <v>5577906</v>
      </c>
      <c r="D18123" s="0" t="s">
        <v>60262</v>
      </c>
      <c r="E18123" s="0" t="s">
        <v>60263</v>
      </c>
      <c r="F18123" s="0" t="s">
        <v>90</v>
      </c>
      <c r="G18123" s="0" t="s">
        <v>32</v>
      </c>
      <c r="H18123" s="0" t="n">
        <v>57</v>
      </c>
      <c r="I18123" s="0" t="s">
        <v>60270</v>
      </c>
      <c r="J18123" s="0" t="s">
        <v>60271</v>
      </c>
      <c r="K18123" s="0" t="s">
        <v>60272</v>
      </c>
      <c r="L18123" s="0" t="str">
        <f aca="false">HYPERLINK("https://www.ncbi.nlm.nih.gov/nuccore/CP000058.1?report=graph&amp;tracks=[key:gene_model_track,Options:GeneOnly]&amp;mk=5577943:5577962|offset_1|444444,5577909:5577928|offset_35|444444,5577887:5577906|offset_57|00cc00,5577835:5577854|offset_109|444444&amp;v=5577742:5578054&amp;c=444444", "offset 57")</f>
        <v>offset 57</v>
      </c>
    </row>
    <row r="18124" customFormat="false" ht="12.8" hidden="false" customHeight="false" outlineLevel="0" collapsed="false">
      <c r="A18124" s="0" t="s">
        <v>12</v>
      </c>
      <c r="B18124" s="0" t="n">
        <v>5577834</v>
      </c>
      <c r="C18124" s="0" t="n">
        <v>5577854</v>
      </c>
      <c r="D18124" s="0" t="s">
        <v>60262</v>
      </c>
      <c r="E18124" s="0" t="s">
        <v>60263</v>
      </c>
      <c r="F18124" s="0" t="s">
        <v>90</v>
      </c>
      <c r="G18124" s="0" t="s">
        <v>32</v>
      </c>
      <c r="H18124" s="0" t="n">
        <v>109</v>
      </c>
      <c r="I18124" s="0" t="s">
        <v>60273</v>
      </c>
      <c r="J18124" s="0" t="s">
        <v>60274</v>
      </c>
      <c r="K18124" s="0" t="s">
        <v>60275</v>
      </c>
      <c r="L18124" s="0" t="str">
        <f aca="false">HYPERLINK("https://www.ncbi.nlm.nih.gov/nuccore/CP000058.1?report=graph&amp;tracks=[key:gene_model_track,Options:GeneOnly]&amp;mk=5577943:5577962|offset_1|444444,5577909:5577928|offset_35|444444,5577887:5577906|offset_57|444444,5577835:5577854|offset_109|00cc00&amp;v=5577742:5578054&amp;c=444444", "offset 109")</f>
        <v>offset 109</v>
      </c>
    </row>
    <row r="18125" customFormat="false" ht="12.8" hidden="false" customHeight="false" outlineLevel="0" collapsed="false">
      <c r="A18125" s="0" t="s">
        <v>12</v>
      </c>
      <c r="B18125" s="0" t="n">
        <v>5578908</v>
      </c>
      <c r="C18125" s="0" t="n">
        <v>5578928</v>
      </c>
      <c r="D18125" s="0" t="s">
        <v>60276</v>
      </c>
      <c r="E18125" s="0" t="s">
        <v>75</v>
      </c>
      <c r="F18125" s="0" t="s">
        <v>90</v>
      </c>
      <c r="G18125" s="0" t="s">
        <v>20</v>
      </c>
      <c r="H18125" s="0" t="n">
        <v>29</v>
      </c>
      <c r="I18125" s="0" t="s">
        <v>60277</v>
      </c>
      <c r="J18125" s="0" t="s">
        <v>60278</v>
      </c>
      <c r="K18125" s="0" t="s">
        <v>60279</v>
      </c>
      <c r="L18125" s="0" t="str">
        <f aca="false">HYPERLINK("https://www.ncbi.nlm.nih.gov/nuccore/CP000058.1?report=graph&amp;tracks=[key:gene_model_track,Options:GeneOnly]&amp;mk=5578909:5578928|offset_29|00cc00,5578865:5578884|offset_73|444444,5578799:5578818|offset_139|444444,5578772:5578791|offset_166|444444&amp;v=5578708:5578991&amp;c=444444", "offset 29")</f>
        <v>offset 29</v>
      </c>
    </row>
    <row r="18126" customFormat="false" ht="12.8" hidden="false" customHeight="false" outlineLevel="0" collapsed="false">
      <c r="A18126" s="0" t="s">
        <v>12</v>
      </c>
      <c r="B18126" s="0" t="n">
        <v>5578864</v>
      </c>
      <c r="C18126" s="0" t="n">
        <v>5578884</v>
      </c>
      <c r="D18126" s="0" t="s">
        <v>60276</v>
      </c>
      <c r="E18126" s="0" t="s">
        <v>75</v>
      </c>
      <c r="F18126" s="0" t="s">
        <v>90</v>
      </c>
      <c r="G18126" s="0" t="s">
        <v>36</v>
      </c>
      <c r="H18126" s="0" t="n">
        <v>73</v>
      </c>
      <c r="I18126" s="0" t="s">
        <v>60280</v>
      </c>
      <c r="J18126" s="0" t="s">
        <v>60281</v>
      </c>
      <c r="K18126" s="0" t="s">
        <v>60282</v>
      </c>
      <c r="L18126" s="0" t="str">
        <f aca="false">HYPERLINK("https://www.ncbi.nlm.nih.gov/nuccore/CP000058.1?report=graph&amp;tracks=[key:gene_model_track,Options:GeneOnly]&amp;mk=5578909:5578928|offset_29|444444,5578865:5578884|offset_73|00cc00,5578799:5578818|offset_139|444444,5578772:5578791|offset_166|444444&amp;v=5578708:5578991&amp;c=444444", "offset 73")</f>
        <v>offset 73</v>
      </c>
    </row>
    <row r="18127" customFormat="false" ht="12.8" hidden="false" customHeight="false" outlineLevel="0" collapsed="false">
      <c r="A18127" s="0" t="s">
        <v>12</v>
      </c>
      <c r="B18127" s="0" t="n">
        <v>5578798</v>
      </c>
      <c r="C18127" s="0" t="n">
        <v>5578818</v>
      </c>
      <c r="D18127" s="0" t="s">
        <v>60276</v>
      </c>
      <c r="E18127" s="0" t="s">
        <v>75</v>
      </c>
      <c r="F18127" s="0" t="s">
        <v>90</v>
      </c>
      <c r="G18127" s="0" t="s">
        <v>32</v>
      </c>
      <c r="H18127" s="0" t="n">
        <v>139</v>
      </c>
      <c r="I18127" s="0" t="s">
        <v>60283</v>
      </c>
      <c r="J18127" s="0" t="s">
        <v>60284</v>
      </c>
      <c r="K18127" s="0" t="s">
        <v>60285</v>
      </c>
      <c r="L18127" s="0" t="str">
        <f aca="false">HYPERLINK("https://www.ncbi.nlm.nih.gov/nuccore/CP000058.1?report=graph&amp;tracks=[key:gene_model_track,Options:GeneOnly]&amp;mk=5578909:5578928|offset_29|444444,5578865:5578884|offset_73|444444,5578799:5578818|offset_139|00cc00,5578772:5578791|offset_166|444444&amp;v=5578708:5578991&amp;c=444444", "offset 139")</f>
        <v>offset 139</v>
      </c>
    </row>
    <row r="18128" customFormat="false" ht="12.8" hidden="false" customHeight="false" outlineLevel="0" collapsed="false">
      <c r="A18128" s="0" t="s">
        <v>12</v>
      </c>
      <c r="B18128" s="0" t="n">
        <v>5578771</v>
      </c>
      <c r="C18128" s="0" t="n">
        <v>5578791</v>
      </c>
      <c r="D18128" s="0" t="s">
        <v>60276</v>
      </c>
      <c r="E18128" s="0" t="s">
        <v>75</v>
      </c>
      <c r="F18128" s="0" t="s">
        <v>90</v>
      </c>
      <c r="G18128" s="0" t="s">
        <v>16</v>
      </c>
      <c r="H18128" s="0" t="n">
        <v>166</v>
      </c>
      <c r="I18128" s="0" t="s">
        <v>60286</v>
      </c>
      <c r="J18128" s="0" t="s">
        <v>60287</v>
      </c>
      <c r="K18128" s="0" t="s">
        <v>60288</v>
      </c>
      <c r="L18128" s="0" t="str">
        <f aca="false">HYPERLINK("https://www.ncbi.nlm.nih.gov/nuccore/CP000058.1?report=graph&amp;tracks=[key:gene_model_track,Options:GeneOnly]&amp;mk=5578909:5578928|offset_29|444444,5578865:5578884|offset_73|444444,5578799:5578818|offset_139|444444,5578772:5578791|offset_166|00cc00&amp;v=5578708:5578991&amp;c=444444", "offset 166")</f>
        <v>offset 166</v>
      </c>
    </row>
    <row r="18129" customFormat="false" ht="12.8" hidden="false" customHeight="false" outlineLevel="0" collapsed="false">
      <c r="A18129" s="0" t="s">
        <v>12</v>
      </c>
      <c r="B18129" s="0" t="n">
        <v>5580022</v>
      </c>
      <c r="C18129" s="0" t="n">
        <v>5580042</v>
      </c>
      <c r="D18129" s="0" t="s">
        <v>60289</v>
      </c>
      <c r="E18129" s="0" t="s">
        <v>75</v>
      </c>
      <c r="F18129" s="0" t="s">
        <v>90</v>
      </c>
      <c r="G18129" s="0" t="s">
        <v>32</v>
      </c>
      <c r="H18129" s="0" t="n">
        <v>1</v>
      </c>
      <c r="I18129" s="0" t="s">
        <v>60290</v>
      </c>
      <c r="J18129" s="0" t="s">
        <v>60291</v>
      </c>
      <c r="K18129" s="0" t="s">
        <v>60292</v>
      </c>
      <c r="L18129" s="0" t="str">
        <f aca="false">HYPERLINK("https://www.ncbi.nlm.nih.gov/nuccore/CP000058.1?report=graph&amp;tracks=[key:gene_model_track,Options:GeneOnly]&amp;mk=5580023:5580042|offset_1|00cc00,5579996:5580015|offset_28|444444,5579975:5579994|offset_49|444444,5579953:5579972|offset_71|444444&amp;v=5579822:5580172&amp;c=444444", "offset 1")</f>
        <v>offset 1</v>
      </c>
    </row>
    <row r="18130" customFormat="false" ht="12.8" hidden="false" customHeight="false" outlineLevel="0" collapsed="false">
      <c r="A18130" s="0" t="s">
        <v>12</v>
      </c>
      <c r="B18130" s="0" t="n">
        <v>5579995</v>
      </c>
      <c r="C18130" s="0" t="n">
        <v>5580015</v>
      </c>
      <c r="D18130" s="0" t="s">
        <v>60289</v>
      </c>
      <c r="E18130" s="0" t="s">
        <v>75</v>
      </c>
      <c r="F18130" s="0" t="s">
        <v>90</v>
      </c>
      <c r="G18130" s="0" t="s">
        <v>36</v>
      </c>
      <c r="H18130" s="0" t="n">
        <v>28</v>
      </c>
      <c r="I18130" s="0" t="s">
        <v>60293</v>
      </c>
      <c r="J18130" s="0" t="s">
        <v>60294</v>
      </c>
      <c r="K18130" s="0" t="s">
        <v>60295</v>
      </c>
      <c r="L18130" s="0" t="str">
        <f aca="false">HYPERLINK("https://www.ncbi.nlm.nih.gov/nuccore/CP000058.1?report=graph&amp;tracks=[key:gene_model_track,Options:GeneOnly]&amp;mk=5580023:5580042|offset_1|444444,5579996:5580015|offset_28|00cc00,5579975:5579994|offset_49|444444,5579953:5579972|offset_71|444444&amp;v=5579822:5580172&amp;c=444444", "offset 28")</f>
        <v>offset 28</v>
      </c>
    </row>
    <row r="18131" customFormat="false" ht="12.8" hidden="false" customHeight="false" outlineLevel="0" collapsed="false">
      <c r="A18131" s="0" t="s">
        <v>12</v>
      </c>
      <c r="B18131" s="0" t="n">
        <v>5579974</v>
      </c>
      <c r="C18131" s="0" t="n">
        <v>5579994</v>
      </c>
      <c r="D18131" s="0" t="s">
        <v>60289</v>
      </c>
      <c r="E18131" s="0" t="s">
        <v>75</v>
      </c>
      <c r="F18131" s="0" t="s">
        <v>90</v>
      </c>
      <c r="G18131" s="0" t="s">
        <v>32</v>
      </c>
      <c r="H18131" s="0" t="n">
        <v>49</v>
      </c>
      <c r="I18131" s="0" t="s">
        <v>60296</v>
      </c>
      <c r="J18131" s="0" t="s">
        <v>60297</v>
      </c>
      <c r="K18131" s="0" t="s">
        <v>60298</v>
      </c>
      <c r="L18131" s="0" t="str">
        <f aca="false">HYPERLINK("https://www.ncbi.nlm.nih.gov/nuccore/CP000058.1?report=graph&amp;tracks=[key:gene_model_track,Options:GeneOnly]&amp;mk=5580023:5580042|offset_1|444444,5579996:5580015|offset_28|444444,5579975:5579994|offset_49|00cc00,5579953:5579972|offset_71|444444&amp;v=5579822:5580172&amp;c=444444", "offset 49")</f>
        <v>offset 49</v>
      </c>
    </row>
    <row r="18132" customFormat="false" ht="12.8" hidden="false" customHeight="false" outlineLevel="0" collapsed="false">
      <c r="A18132" s="0" t="s">
        <v>12</v>
      </c>
      <c r="B18132" s="0" t="n">
        <v>5579952</v>
      </c>
      <c r="C18132" s="0" t="n">
        <v>5579972</v>
      </c>
      <c r="D18132" s="0" t="s">
        <v>60289</v>
      </c>
      <c r="E18132" s="0" t="s">
        <v>75</v>
      </c>
      <c r="F18132" s="0" t="s">
        <v>90</v>
      </c>
      <c r="G18132" s="0" t="s">
        <v>32</v>
      </c>
      <c r="H18132" s="0" t="n">
        <v>71</v>
      </c>
      <c r="I18132" s="0" t="s">
        <v>60299</v>
      </c>
      <c r="J18132" s="0" t="s">
        <v>60300</v>
      </c>
      <c r="K18132" s="0" t="s">
        <v>60301</v>
      </c>
      <c r="L18132" s="0" t="str">
        <f aca="false">HYPERLINK("https://www.ncbi.nlm.nih.gov/nuccore/CP000058.1?report=graph&amp;tracks=[key:gene_model_track,Options:GeneOnly]&amp;mk=5580023:5580042|offset_1|444444,5579996:5580015|offset_28|444444,5579975:5579994|offset_49|444444,5579953:5579972|offset_71|00cc00&amp;v=5579822:5580172&amp;c=444444", "offset 71")</f>
        <v>offset 71</v>
      </c>
    </row>
    <row r="18133" customFormat="false" ht="12.8" hidden="false" customHeight="false" outlineLevel="0" collapsed="false">
      <c r="A18133" s="0" t="s">
        <v>12</v>
      </c>
      <c r="B18133" s="0" t="n">
        <v>5581541</v>
      </c>
      <c r="C18133" s="0" t="n">
        <v>5581561</v>
      </c>
      <c r="D18133" s="0" t="s">
        <v>60302</v>
      </c>
      <c r="E18133" s="0" t="s">
        <v>75</v>
      </c>
      <c r="F18133" s="0" t="s">
        <v>90</v>
      </c>
      <c r="G18133" s="0" t="s">
        <v>32</v>
      </c>
      <c r="H18133" s="0" t="n">
        <v>13</v>
      </c>
      <c r="I18133" s="0" t="s">
        <v>60303</v>
      </c>
      <c r="J18133" s="0" t="s">
        <v>60304</v>
      </c>
      <c r="K18133" s="0" t="s">
        <v>60305</v>
      </c>
      <c r="L18133" s="0" t="str">
        <f aca="false">HYPERLINK("https://www.ncbi.nlm.nih.gov/nuccore/CP000058.1?report=graph&amp;tracks=[key:gene_model_track,Options:GeneOnly]&amp;mk=5581542:5581561|offset_13|00cc00,5581521:5581540|offset_34|444444,5581497:5581516|offset_58|444444,5581461:5581480|offset_94|444444&amp;v=5581341:5581680&amp;c=444444", "offset 13")</f>
        <v>offset 13</v>
      </c>
    </row>
    <row r="18134" customFormat="false" ht="12.8" hidden="false" customHeight="false" outlineLevel="0" collapsed="false">
      <c r="A18134" s="0" t="s">
        <v>12</v>
      </c>
      <c r="B18134" s="0" t="n">
        <v>5581520</v>
      </c>
      <c r="C18134" s="0" t="n">
        <v>5581540</v>
      </c>
      <c r="D18134" s="0" t="s">
        <v>60302</v>
      </c>
      <c r="E18134" s="0" t="s">
        <v>75</v>
      </c>
      <c r="F18134" s="0" t="s">
        <v>90</v>
      </c>
      <c r="G18134" s="0" t="s">
        <v>16</v>
      </c>
      <c r="H18134" s="0" t="n">
        <v>34</v>
      </c>
      <c r="I18134" s="0" t="s">
        <v>60306</v>
      </c>
      <c r="J18134" s="0" t="s">
        <v>60307</v>
      </c>
      <c r="K18134" s="0" t="s">
        <v>60308</v>
      </c>
      <c r="L18134" s="0" t="str">
        <f aca="false">HYPERLINK("https://www.ncbi.nlm.nih.gov/nuccore/CP000058.1?report=graph&amp;tracks=[key:gene_model_track,Options:GeneOnly]&amp;mk=5581542:5581561|offset_13|444444,5581521:5581540|offset_34|00cc00,5581497:5581516|offset_58|444444,5581461:5581480|offset_94|444444&amp;v=5581341:5581680&amp;c=444444", "offset 34")</f>
        <v>offset 34</v>
      </c>
    </row>
    <row r="18135" customFormat="false" ht="12.8" hidden="false" customHeight="false" outlineLevel="0" collapsed="false">
      <c r="A18135" s="0" t="s">
        <v>12</v>
      </c>
      <c r="B18135" s="0" t="n">
        <v>5581496</v>
      </c>
      <c r="C18135" s="0" t="n">
        <v>5581516</v>
      </c>
      <c r="D18135" s="0" t="s">
        <v>60302</v>
      </c>
      <c r="E18135" s="0" t="s">
        <v>75</v>
      </c>
      <c r="F18135" s="0" t="s">
        <v>90</v>
      </c>
      <c r="G18135" s="0" t="s">
        <v>16</v>
      </c>
      <c r="H18135" s="0" t="n">
        <v>58</v>
      </c>
      <c r="I18135" s="0" t="s">
        <v>60309</v>
      </c>
      <c r="J18135" s="0" t="s">
        <v>60310</v>
      </c>
      <c r="K18135" s="0" t="s">
        <v>60311</v>
      </c>
      <c r="L18135" s="0" t="str">
        <f aca="false">HYPERLINK("https://www.ncbi.nlm.nih.gov/nuccore/CP000058.1?report=graph&amp;tracks=[key:gene_model_track,Options:GeneOnly]&amp;mk=5581542:5581561|offset_13|444444,5581521:5581540|offset_34|444444,5581497:5581516|offset_58|00cc00,5581461:5581480|offset_94|444444&amp;v=5581341:5581680&amp;c=444444", "offset 58")</f>
        <v>offset 58</v>
      </c>
    </row>
    <row r="18136" customFormat="false" ht="12.8" hidden="false" customHeight="false" outlineLevel="0" collapsed="false">
      <c r="A18136" s="0" t="s">
        <v>12</v>
      </c>
      <c r="B18136" s="0" t="n">
        <v>5581460</v>
      </c>
      <c r="C18136" s="0" t="n">
        <v>5581480</v>
      </c>
      <c r="D18136" s="0" t="s">
        <v>60302</v>
      </c>
      <c r="E18136" s="0" t="s">
        <v>75</v>
      </c>
      <c r="F18136" s="0" t="s">
        <v>90</v>
      </c>
      <c r="G18136" s="0" t="s">
        <v>16</v>
      </c>
      <c r="H18136" s="0" t="n">
        <v>94</v>
      </c>
      <c r="I18136" s="0" t="s">
        <v>60312</v>
      </c>
      <c r="J18136" s="0" t="s">
        <v>60313</v>
      </c>
      <c r="K18136" s="0" t="s">
        <v>60314</v>
      </c>
      <c r="L18136" s="0" t="str">
        <f aca="false">HYPERLINK("https://www.ncbi.nlm.nih.gov/nuccore/CP000058.1?report=graph&amp;tracks=[key:gene_model_track,Options:GeneOnly]&amp;mk=5581542:5581561|offset_13|444444,5581521:5581540|offset_34|444444,5581497:5581516|offset_58|444444,5581461:5581480|offset_94|00cc00&amp;v=5581341:5581680&amp;c=444444", "offset 94")</f>
        <v>offset 94</v>
      </c>
    </row>
    <row r="18137" customFormat="false" ht="12.8" hidden="false" customHeight="false" outlineLevel="0" collapsed="false">
      <c r="A18137" s="0" t="s">
        <v>12</v>
      </c>
      <c r="B18137" s="0" t="n">
        <v>5582363</v>
      </c>
      <c r="C18137" s="0" t="n">
        <v>5582383</v>
      </c>
      <c r="D18137" s="0" t="s">
        <v>60315</v>
      </c>
      <c r="E18137" s="0" t="s">
        <v>60316</v>
      </c>
      <c r="F18137" s="0" t="s">
        <v>15</v>
      </c>
      <c r="G18137" s="0" t="s">
        <v>36</v>
      </c>
      <c r="H18137" s="0" t="n">
        <v>19</v>
      </c>
      <c r="I18137" s="0" t="s">
        <v>60317</v>
      </c>
      <c r="J18137" s="0" t="s">
        <v>60318</v>
      </c>
      <c r="K18137" s="0" t="s">
        <v>60319</v>
      </c>
      <c r="L18137" s="0" t="str">
        <f aca="false">HYPERLINK("https://www.ncbi.nlm.nih.gov/nuccore/CP000058.1?report=graph&amp;tracks=[key:gene_model_track,Options:GeneOnly]&amp;mk=5582364:5582383|offset_19|00cc00,5582430:5582449|offset_85|444444,5582455:5582474|offset_110|444444,5582475:5582494|offset_130|444444&amp;v=5582163:5582694&amp;c=444444", "offset 19")</f>
        <v>offset 19</v>
      </c>
    </row>
    <row r="18138" customFormat="false" ht="12.8" hidden="false" customHeight="false" outlineLevel="0" collapsed="false">
      <c r="A18138" s="0" t="s">
        <v>12</v>
      </c>
      <c r="B18138" s="0" t="n">
        <v>5582429</v>
      </c>
      <c r="C18138" s="0" t="n">
        <v>5582449</v>
      </c>
      <c r="D18138" s="0" t="s">
        <v>60315</v>
      </c>
      <c r="E18138" s="0" t="s">
        <v>60316</v>
      </c>
      <c r="F18138" s="0" t="s">
        <v>15</v>
      </c>
      <c r="G18138" s="0" t="s">
        <v>16</v>
      </c>
      <c r="H18138" s="0" t="n">
        <v>85</v>
      </c>
      <c r="I18138" s="0" t="s">
        <v>60320</v>
      </c>
      <c r="J18138" s="0" t="s">
        <v>60321</v>
      </c>
      <c r="K18138" s="0" t="s">
        <v>60322</v>
      </c>
      <c r="L18138" s="0" t="str">
        <f aca="false">HYPERLINK("https://www.ncbi.nlm.nih.gov/nuccore/CP000058.1?report=graph&amp;tracks=[key:gene_model_track,Options:GeneOnly]&amp;mk=5582364:5582383|offset_19|444444,5582430:5582449|offset_85|00cc00,5582455:5582474|offset_110|444444,5582475:5582494|offset_130|444444&amp;v=5582163:5582694&amp;c=444444", "offset 85")</f>
        <v>offset 85</v>
      </c>
    </row>
    <row r="18139" customFormat="false" ht="12.8" hidden="false" customHeight="false" outlineLevel="0" collapsed="false">
      <c r="A18139" s="0" t="s">
        <v>12</v>
      </c>
      <c r="B18139" s="0" t="n">
        <v>5582454</v>
      </c>
      <c r="C18139" s="0" t="n">
        <v>5582474</v>
      </c>
      <c r="D18139" s="0" t="s">
        <v>60315</v>
      </c>
      <c r="E18139" s="0" t="s">
        <v>60316</v>
      </c>
      <c r="F18139" s="0" t="s">
        <v>15</v>
      </c>
      <c r="G18139" s="0" t="s">
        <v>36</v>
      </c>
      <c r="H18139" s="0" t="n">
        <v>110</v>
      </c>
      <c r="I18139" s="0" t="s">
        <v>60323</v>
      </c>
      <c r="J18139" s="0" t="s">
        <v>60324</v>
      </c>
      <c r="K18139" s="0" t="s">
        <v>60325</v>
      </c>
      <c r="L18139" s="0" t="str">
        <f aca="false">HYPERLINK("https://www.ncbi.nlm.nih.gov/nuccore/CP000058.1?report=graph&amp;tracks=[key:gene_model_track,Options:GeneOnly]&amp;mk=5582364:5582383|offset_19|444444,5582430:5582449|offset_85|444444,5582455:5582474|offset_110|00cc00,5582475:5582494|offset_130|444444&amp;v=5582163:5582694&amp;c=444444", "offset 110")</f>
        <v>offset 110</v>
      </c>
    </row>
    <row r="18140" customFormat="false" ht="12.8" hidden="false" customHeight="false" outlineLevel="0" collapsed="false">
      <c r="A18140" s="0" t="s">
        <v>12</v>
      </c>
      <c r="B18140" s="0" t="n">
        <v>5582474</v>
      </c>
      <c r="C18140" s="0" t="n">
        <v>5582494</v>
      </c>
      <c r="D18140" s="0" t="s">
        <v>60315</v>
      </c>
      <c r="E18140" s="0" t="s">
        <v>60316</v>
      </c>
      <c r="F18140" s="0" t="s">
        <v>15</v>
      </c>
      <c r="G18140" s="0" t="s">
        <v>16</v>
      </c>
      <c r="H18140" s="0" t="n">
        <v>130</v>
      </c>
      <c r="I18140" s="0" t="s">
        <v>60326</v>
      </c>
      <c r="J18140" s="0" t="s">
        <v>60327</v>
      </c>
      <c r="K18140" s="0" t="s">
        <v>60328</v>
      </c>
      <c r="L18140" s="0" t="str">
        <f aca="false">HYPERLINK("https://www.ncbi.nlm.nih.gov/nuccore/CP000058.1?report=graph&amp;tracks=[key:gene_model_track,Options:GeneOnly]&amp;mk=5582364:5582383|offset_19|444444,5582430:5582449|offset_85|444444,5582455:5582474|offset_110|444444,5582475:5582494|offset_130|00cc00&amp;v=5582163:5582694&amp;c=444444", "offset 130")</f>
        <v>offset 130</v>
      </c>
    </row>
    <row r="18141" customFormat="false" ht="12.8" hidden="false" customHeight="false" outlineLevel="0" collapsed="false">
      <c r="A18141" s="0" t="s">
        <v>12</v>
      </c>
      <c r="B18141" s="0" t="n">
        <v>5583388</v>
      </c>
      <c r="C18141" s="0" t="n">
        <v>5583408</v>
      </c>
      <c r="D18141" s="0" t="s">
        <v>60329</v>
      </c>
      <c r="E18141" s="0" t="s">
        <v>60330</v>
      </c>
      <c r="F18141" s="0" t="s">
        <v>15</v>
      </c>
      <c r="G18141" s="0" t="s">
        <v>36</v>
      </c>
      <c r="H18141" s="0" t="n">
        <v>41</v>
      </c>
      <c r="I18141" s="0" t="s">
        <v>60331</v>
      </c>
      <c r="J18141" s="0" t="s">
        <v>60332</v>
      </c>
      <c r="K18141" s="0" t="s">
        <v>60333</v>
      </c>
      <c r="L18141" s="0" t="str">
        <f aca="false">HYPERLINK("https://www.ncbi.nlm.nih.gov/nuccore/CP000058.1?report=graph&amp;tracks=[key:gene_model_track,Options:GeneOnly]&amp;mk=5583389:5583408|offset_41|00cc00,5583425:5583444|offset_77|444444,5583465:5583484|offset_117|444444,5583497:5583516|offset_149|444444&amp;v=5583188:5583716&amp;c=444444", "offset 41")</f>
        <v>offset 41</v>
      </c>
    </row>
    <row r="18142" customFormat="false" ht="12.8" hidden="false" customHeight="false" outlineLevel="0" collapsed="false">
      <c r="A18142" s="0" t="s">
        <v>12</v>
      </c>
      <c r="B18142" s="0" t="n">
        <v>5583424</v>
      </c>
      <c r="C18142" s="0" t="n">
        <v>5583444</v>
      </c>
      <c r="D18142" s="0" t="s">
        <v>60329</v>
      </c>
      <c r="E18142" s="0" t="s">
        <v>60330</v>
      </c>
      <c r="F18142" s="0" t="s">
        <v>15</v>
      </c>
      <c r="G18142" s="0" t="s">
        <v>20</v>
      </c>
      <c r="H18142" s="0" t="n">
        <v>77</v>
      </c>
      <c r="I18142" s="0" t="s">
        <v>60334</v>
      </c>
      <c r="J18142" s="0" t="s">
        <v>60335</v>
      </c>
      <c r="K18142" s="0" t="s">
        <v>60336</v>
      </c>
      <c r="L18142" s="0" t="str">
        <f aca="false">HYPERLINK("https://www.ncbi.nlm.nih.gov/nuccore/CP000058.1?report=graph&amp;tracks=[key:gene_model_track,Options:GeneOnly]&amp;mk=5583389:5583408|offset_41|444444,5583425:5583444|offset_77|00cc00,5583465:5583484|offset_117|444444,5583497:5583516|offset_149|444444&amp;v=5583188:5583716&amp;c=444444", "offset 77")</f>
        <v>offset 77</v>
      </c>
    </row>
    <row r="18143" customFormat="false" ht="12.8" hidden="false" customHeight="false" outlineLevel="0" collapsed="false">
      <c r="A18143" s="0" t="s">
        <v>12</v>
      </c>
      <c r="B18143" s="0" t="n">
        <v>5583464</v>
      </c>
      <c r="C18143" s="0" t="n">
        <v>5583484</v>
      </c>
      <c r="D18143" s="0" t="s">
        <v>60329</v>
      </c>
      <c r="E18143" s="0" t="s">
        <v>60330</v>
      </c>
      <c r="F18143" s="0" t="s">
        <v>15</v>
      </c>
      <c r="G18143" s="0" t="s">
        <v>20</v>
      </c>
      <c r="H18143" s="0" t="n">
        <v>117</v>
      </c>
      <c r="I18143" s="0" t="s">
        <v>60337</v>
      </c>
      <c r="J18143" s="0" t="s">
        <v>60338</v>
      </c>
      <c r="K18143" s="0" t="s">
        <v>60339</v>
      </c>
      <c r="L18143" s="0" t="str">
        <f aca="false">HYPERLINK("https://www.ncbi.nlm.nih.gov/nuccore/CP000058.1?report=graph&amp;tracks=[key:gene_model_track,Options:GeneOnly]&amp;mk=5583389:5583408|offset_41|444444,5583425:5583444|offset_77|444444,5583465:5583484|offset_117|00cc00,5583497:5583516|offset_149|444444&amp;v=5583188:5583716&amp;c=444444", "offset 117")</f>
        <v>offset 117</v>
      </c>
    </row>
    <row r="18144" customFormat="false" ht="12.8" hidden="false" customHeight="false" outlineLevel="0" collapsed="false">
      <c r="A18144" s="0" t="s">
        <v>12</v>
      </c>
      <c r="B18144" s="0" t="n">
        <v>5583496</v>
      </c>
      <c r="C18144" s="0" t="n">
        <v>5583516</v>
      </c>
      <c r="D18144" s="0" t="s">
        <v>60329</v>
      </c>
      <c r="E18144" s="0" t="s">
        <v>60330</v>
      </c>
      <c r="F18144" s="0" t="s">
        <v>15</v>
      </c>
      <c r="G18144" s="0" t="s">
        <v>20</v>
      </c>
      <c r="H18144" s="0" t="n">
        <v>149</v>
      </c>
      <c r="I18144" s="0" t="s">
        <v>60340</v>
      </c>
      <c r="J18144" s="0" t="s">
        <v>60341</v>
      </c>
      <c r="K18144" s="0" t="s">
        <v>60342</v>
      </c>
      <c r="L18144" s="0" t="str">
        <f aca="false">HYPERLINK("https://www.ncbi.nlm.nih.gov/nuccore/CP000058.1?report=graph&amp;tracks=[key:gene_model_track,Options:GeneOnly]&amp;mk=5583389:5583408|offset_41|444444,5583425:5583444|offset_77|444444,5583465:5583484|offset_117|444444,5583497:5583516|offset_149|00cc00&amp;v=5583188:5583716&amp;c=444444", "offset 149")</f>
        <v>offset 149</v>
      </c>
    </row>
    <row r="18145" customFormat="false" ht="12.8" hidden="false" customHeight="false" outlineLevel="0" collapsed="false">
      <c r="A18145" s="0" t="s">
        <v>12</v>
      </c>
      <c r="B18145" s="0" t="n">
        <v>5584147</v>
      </c>
      <c r="C18145" s="0" t="n">
        <v>5584167</v>
      </c>
      <c r="D18145" s="0" t="s">
        <v>60343</v>
      </c>
      <c r="E18145" s="0" t="s">
        <v>75</v>
      </c>
      <c r="F18145" s="0" t="s">
        <v>15</v>
      </c>
      <c r="G18145" s="0" t="s">
        <v>20</v>
      </c>
      <c r="H18145" s="0" t="n">
        <v>18</v>
      </c>
      <c r="I18145" s="0" t="s">
        <v>60344</v>
      </c>
      <c r="J18145" s="0" t="s">
        <v>60345</v>
      </c>
      <c r="K18145" s="0" t="s">
        <v>60346</v>
      </c>
      <c r="L18145" s="0" t="str">
        <f aca="false">HYPERLINK("https://www.ncbi.nlm.nih.gov/nuccore/CP000058.1?report=graph&amp;tracks=[key:gene_model_track,Options:GeneOnly]&amp;mk=5584148:5584167|offset_18|00cc00,5584188:5584207|offset_58|444444,5584209:5584228|offset_79|444444,5584232:5584251|offset_102|444444&amp;v=5583947:5584451&amp;c=444444", "offset 18")</f>
        <v>offset 18</v>
      </c>
    </row>
    <row r="18146" customFormat="false" ht="12.8" hidden="false" customHeight="false" outlineLevel="0" collapsed="false">
      <c r="A18146" s="0" t="s">
        <v>12</v>
      </c>
      <c r="B18146" s="0" t="n">
        <v>5584187</v>
      </c>
      <c r="C18146" s="0" t="n">
        <v>5584207</v>
      </c>
      <c r="D18146" s="0" t="s">
        <v>60343</v>
      </c>
      <c r="E18146" s="0" t="s">
        <v>75</v>
      </c>
      <c r="F18146" s="0" t="s">
        <v>15</v>
      </c>
      <c r="G18146" s="0" t="s">
        <v>16</v>
      </c>
      <c r="H18146" s="0" t="n">
        <v>58</v>
      </c>
      <c r="I18146" s="0" t="s">
        <v>60347</v>
      </c>
      <c r="J18146" s="0" t="s">
        <v>60348</v>
      </c>
      <c r="K18146" s="0" t="s">
        <v>60349</v>
      </c>
      <c r="L18146" s="0" t="str">
        <f aca="false">HYPERLINK("https://www.ncbi.nlm.nih.gov/nuccore/CP000058.1?report=graph&amp;tracks=[key:gene_model_track,Options:GeneOnly]&amp;mk=5584148:5584167|offset_18|444444,5584188:5584207|offset_58|00cc00,5584209:5584228|offset_79|444444,5584232:5584251|offset_102|444444&amp;v=5583947:5584451&amp;c=444444", "offset 58")</f>
        <v>offset 58</v>
      </c>
    </row>
    <row r="18147" customFormat="false" ht="12.8" hidden="false" customHeight="false" outlineLevel="0" collapsed="false">
      <c r="A18147" s="0" t="s">
        <v>12</v>
      </c>
      <c r="B18147" s="0" t="n">
        <v>5584208</v>
      </c>
      <c r="C18147" s="0" t="n">
        <v>5584228</v>
      </c>
      <c r="D18147" s="0" t="s">
        <v>60343</v>
      </c>
      <c r="E18147" s="0" t="s">
        <v>75</v>
      </c>
      <c r="F18147" s="0" t="s">
        <v>15</v>
      </c>
      <c r="G18147" s="0" t="s">
        <v>32</v>
      </c>
      <c r="H18147" s="0" t="n">
        <v>79</v>
      </c>
      <c r="I18147" s="0" t="s">
        <v>60350</v>
      </c>
      <c r="J18147" s="0" t="s">
        <v>60351</v>
      </c>
      <c r="K18147" s="0" t="s">
        <v>60352</v>
      </c>
      <c r="L18147" s="0" t="str">
        <f aca="false">HYPERLINK("https://www.ncbi.nlm.nih.gov/nuccore/CP000058.1?report=graph&amp;tracks=[key:gene_model_track,Options:GeneOnly]&amp;mk=5584148:5584167|offset_18|444444,5584188:5584207|offset_58|444444,5584209:5584228|offset_79|00cc00,5584232:5584251|offset_102|444444&amp;v=5583947:5584451&amp;c=444444", "offset 79")</f>
        <v>offset 79</v>
      </c>
    </row>
    <row r="18148" customFormat="false" ht="12.8" hidden="false" customHeight="false" outlineLevel="0" collapsed="false">
      <c r="A18148" s="0" t="s">
        <v>12</v>
      </c>
      <c r="B18148" s="0" t="n">
        <v>5584231</v>
      </c>
      <c r="C18148" s="0" t="n">
        <v>5584251</v>
      </c>
      <c r="D18148" s="0" t="s">
        <v>60343</v>
      </c>
      <c r="E18148" s="0" t="s">
        <v>75</v>
      </c>
      <c r="F18148" s="0" t="s">
        <v>15</v>
      </c>
      <c r="G18148" s="0" t="s">
        <v>16</v>
      </c>
      <c r="H18148" s="0" t="n">
        <v>102</v>
      </c>
      <c r="I18148" s="0" t="s">
        <v>60353</v>
      </c>
      <c r="J18148" s="0" t="s">
        <v>60354</v>
      </c>
      <c r="K18148" s="0" t="s">
        <v>60355</v>
      </c>
      <c r="L18148" s="0" t="str">
        <f aca="false">HYPERLINK("https://www.ncbi.nlm.nih.gov/nuccore/CP000058.1?report=graph&amp;tracks=[key:gene_model_track,Options:GeneOnly]&amp;mk=5584148:5584167|offset_18|444444,5584188:5584207|offset_58|444444,5584209:5584228|offset_79|444444,5584232:5584251|offset_102|00cc00&amp;v=5583947:5584451&amp;c=444444", "offset 102")</f>
        <v>offset 102</v>
      </c>
    </row>
    <row r="18149" customFormat="false" ht="12.8" hidden="false" customHeight="false" outlineLevel="0" collapsed="false">
      <c r="A18149" s="0" t="s">
        <v>12</v>
      </c>
      <c r="B18149" s="0" t="n">
        <v>5585759</v>
      </c>
      <c r="C18149" s="0" t="n">
        <v>5585779</v>
      </c>
      <c r="D18149" s="0" t="s">
        <v>60356</v>
      </c>
      <c r="E18149" s="0" t="s">
        <v>75</v>
      </c>
      <c r="F18149" s="0" t="s">
        <v>90</v>
      </c>
      <c r="G18149" s="0" t="s">
        <v>16</v>
      </c>
      <c r="H18149" s="0" t="n">
        <v>13</v>
      </c>
      <c r="I18149" s="0" t="s">
        <v>60357</v>
      </c>
      <c r="J18149" s="0" t="s">
        <v>60358</v>
      </c>
      <c r="K18149" s="0" t="s">
        <v>60359</v>
      </c>
      <c r="L18149" s="0" t="str">
        <f aca="false">HYPERLINK("https://www.ncbi.nlm.nih.gov/nuccore/CP000058.1?report=graph&amp;tracks=[key:gene_model_track,Options:GeneOnly]&amp;mk=5585760:5585779|offset_13|00cc00,5585733:5585752|offset_40|444444,5585713:5585732|offset_60|444444,5585664:5585683|offset_109|444444&amp;v=5585559:5585883&amp;c=444444", "offset 13")</f>
        <v>offset 13</v>
      </c>
    </row>
    <row r="18150" customFormat="false" ht="12.8" hidden="false" customHeight="false" outlineLevel="0" collapsed="false">
      <c r="A18150" s="0" t="s">
        <v>12</v>
      </c>
      <c r="B18150" s="0" t="n">
        <v>5585732</v>
      </c>
      <c r="C18150" s="0" t="n">
        <v>5585752</v>
      </c>
      <c r="D18150" s="0" t="s">
        <v>60356</v>
      </c>
      <c r="E18150" s="0" t="s">
        <v>75</v>
      </c>
      <c r="F18150" s="0" t="s">
        <v>90</v>
      </c>
      <c r="G18150" s="0" t="s">
        <v>36</v>
      </c>
      <c r="H18150" s="0" t="n">
        <v>40</v>
      </c>
      <c r="I18150" s="0" t="s">
        <v>60360</v>
      </c>
      <c r="J18150" s="0" t="s">
        <v>60361</v>
      </c>
      <c r="K18150" s="0" t="s">
        <v>60362</v>
      </c>
      <c r="L18150" s="0" t="str">
        <f aca="false">HYPERLINK("https://www.ncbi.nlm.nih.gov/nuccore/CP000058.1?report=graph&amp;tracks=[key:gene_model_track,Options:GeneOnly]&amp;mk=5585760:5585779|offset_13|444444,5585733:5585752|offset_40|00cc00,5585713:5585732|offset_60|444444,5585664:5585683|offset_109|444444&amp;v=5585559:5585883&amp;c=444444", "offset 40")</f>
        <v>offset 40</v>
      </c>
    </row>
    <row r="18151" customFormat="false" ht="12.8" hidden="false" customHeight="false" outlineLevel="0" collapsed="false">
      <c r="A18151" s="0" t="s">
        <v>12</v>
      </c>
      <c r="B18151" s="0" t="n">
        <v>5585712</v>
      </c>
      <c r="C18151" s="0" t="n">
        <v>5585732</v>
      </c>
      <c r="D18151" s="0" t="s">
        <v>60356</v>
      </c>
      <c r="E18151" s="0" t="s">
        <v>75</v>
      </c>
      <c r="F18151" s="0" t="s">
        <v>90</v>
      </c>
      <c r="G18151" s="0" t="s">
        <v>16</v>
      </c>
      <c r="H18151" s="0" t="n">
        <v>60</v>
      </c>
      <c r="I18151" s="0" t="s">
        <v>60363</v>
      </c>
      <c r="J18151" s="0" t="s">
        <v>60364</v>
      </c>
      <c r="K18151" s="0" t="s">
        <v>60365</v>
      </c>
      <c r="L18151" s="0" t="str">
        <f aca="false">HYPERLINK("https://www.ncbi.nlm.nih.gov/nuccore/CP000058.1?report=graph&amp;tracks=[key:gene_model_track,Options:GeneOnly]&amp;mk=5585760:5585779|offset_13|444444,5585733:5585752|offset_40|444444,5585713:5585732|offset_60|00cc00,5585664:5585683|offset_109|444444&amp;v=5585559:5585883&amp;c=444444", "offset 60")</f>
        <v>offset 60</v>
      </c>
    </row>
    <row r="18152" customFormat="false" ht="12.8" hidden="false" customHeight="false" outlineLevel="0" collapsed="false">
      <c r="A18152" s="0" t="s">
        <v>12</v>
      </c>
      <c r="B18152" s="0" t="n">
        <v>5585663</v>
      </c>
      <c r="C18152" s="0" t="n">
        <v>5585683</v>
      </c>
      <c r="D18152" s="0" t="s">
        <v>60356</v>
      </c>
      <c r="E18152" s="0" t="s">
        <v>75</v>
      </c>
      <c r="F18152" s="0" t="s">
        <v>90</v>
      </c>
      <c r="G18152" s="0" t="s">
        <v>16</v>
      </c>
      <c r="H18152" s="0" t="n">
        <v>109</v>
      </c>
      <c r="I18152" s="0" t="s">
        <v>60366</v>
      </c>
      <c r="J18152" s="0" t="s">
        <v>60367</v>
      </c>
      <c r="K18152" s="0" t="s">
        <v>60368</v>
      </c>
      <c r="L18152" s="0" t="str">
        <f aca="false">HYPERLINK("https://www.ncbi.nlm.nih.gov/nuccore/CP000058.1?report=graph&amp;tracks=[key:gene_model_track,Options:GeneOnly]&amp;mk=5585760:5585779|offset_13|444444,5585733:5585752|offset_40|444444,5585713:5585732|offset_60|444444,5585664:5585683|offset_109|00cc00&amp;v=5585559:5585883&amp;c=444444", "offset 109")</f>
        <v>offset 109</v>
      </c>
    </row>
    <row r="18153" customFormat="false" ht="12.8" hidden="false" customHeight="false" outlineLevel="0" collapsed="false">
      <c r="A18153" s="0" t="s">
        <v>12</v>
      </c>
      <c r="B18153" s="0" t="n">
        <v>5585807</v>
      </c>
      <c r="C18153" s="0" t="n">
        <v>5585827</v>
      </c>
      <c r="D18153" s="0" t="s">
        <v>60369</v>
      </c>
      <c r="E18153" s="0" t="s">
        <v>75</v>
      </c>
      <c r="F18153" s="0" t="s">
        <v>15</v>
      </c>
      <c r="G18153" s="0" t="s">
        <v>20</v>
      </c>
      <c r="H18153" s="0" t="n">
        <v>17</v>
      </c>
      <c r="I18153" s="0" t="s">
        <v>60370</v>
      </c>
      <c r="J18153" s="0" t="s">
        <v>60371</v>
      </c>
      <c r="K18153" s="0" t="s">
        <v>60372</v>
      </c>
      <c r="L18153" s="0" t="str">
        <f aca="false">HYPERLINK("https://www.ncbi.nlm.nih.gov/nuccore/CP000058.1?report=graph&amp;tracks=[key:gene_model_track,Options:GeneOnly]&amp;mk=5585808:5585827|offset_17|00cc00,5585830:5585849|offset_39|444444,5585861:5585880|offset_70|444444,5585893:5585912|offset_102|444444&amp;v=5585607:5586112&amp;c=444444", "offset 17")</f>
        <v>offset 17</v>
      </c>
    </row>
    <row r="18154" customFormat="false" ht="12.8" hidden="false" customHeight="false" outlineLevel="0" collapsed="false">
      <c r="A18154" s="0" t="s">
        <v>12</v>
      </c>
      <c r="B18154" s="0" t="n">
        <v>5585829</v>
      </c>
      <c r="C18154" s="0" t="n">
        <v>5585849</v>
      </c>
      <c r="D18154" s="0" t="s">
        <v>60369</v>
      </c>
      <c r="E18154" s="0" t="s">
        <v>75</v>
      </c>
      <c r="F18154" s="0" t="s">
        <v>15</v>
      </c>
      <c r="G18154" s="0" t="s">
        <v>16</v>
      </c>
      <c r="H18154" s="0" t="n">
        <v>39</v>
      </c>
      <c r="I18154" s="0" t="s">
        <v>60373</v>
      </c>
      <c r="J18154" s="0" t="s">
        <v>60374</v>
      </c>
      <c r="K18154" s="0" t="s">
        <v>60375</v>
      </c>
      <c r="L18154" s="0" t="str">
        <f aca="false">HYPERLINK("https://www.ncbi.nlm.nih.gov/nuccore/CP000058.1?report=graph&amp;tracks=[key:gene_model_track,Options:GeneOnly]&amp;mk=5585808:5585827|offset_17|444444,5585830:5585849|offset_39|00cc00,5585861:5585880|offset_70|444444,5585893:5585912|offset_102|444444&amp;v=5585607:5586112&amp;c=444444", "offset 39")</f>
        <v>offset 39</v>
      </c>
    </row>
    <row r="18155" customFormat="false" ht="12.8" hidden="false" customHeight="false" outlineLevel="0" collapsed="false">
      <c r="A18155" s="0" t="s">
        <v>12</v>
      </c>
      <c r="B18155" s="0" t="n">
        <v>5585860</v>
      </c>
      <c r="C18155" s="0" t="n">
        <v>5585880</v>
      </c>
      <c r="D18155" s="0" t="s">
        <v>60369</v>
      </c>
      <c r="E18155" s="0" t="s">
        <v>75</v>
      </c>
      <c r="F18155" s="0" t="s">
        <v>15</v>
      </c>
      <c r="G18155" s="0" t="s">
        <v>32</v>
      </c>
      <c r="H18155" s="0" t="n">
        <v>70</v>
      </c>
      <c r="I18155" s="0" t="s">
        <v>60376</v>
      </c>
      <c r="J18155" s="0" t="s">
        <v>60377</v>
      </c>
      <c r="K18155" s="0" t="s">
        <v>60378</v>
      </c>
      <c r="L18155" s="0" t="str">
        <f aca="false">HYPERLINK("https://www.ncbi.nlm.nih.gov/nuccore/CP000058.1?report=graph&amp;tracks=[key:gene_model_track,Options:GeneOnly]&amp;mk=5585808:5585827|offset_17|444444,5585830:5585849|offset_39|444444,5585861:5585880|offset_70|00cc00,5585893:5585912|offset_102|444444&amp;v=5585607:5586112&amp;c=444444", "offset 70")</f>
        <v>offset 70</v>
      </c>
    </row>
    <row r="18156" customFormat="false" ht="12.8" hidden="false" customHeight="false" outlineLevel="0" collapsed="false">
      <c r="A18156" s="0" t="s">
        <v>12</v>
      </c>
      <c r="B18156" s="0" t="n">
        <v>5585892</v>
      </c>
      <c r="C18156" s="0" t="n">
        <v>5585912</v>
      </c>
      <c r="D18156" s="0" t="s">
        <v>60369</v>
      </c>
      <c r="E18156" s="0" t="s">
        <v>75</v>
      </c>
      <c r="F18156" s="0" t="s">
        <v>15</v>
      </c>
      <c r="G18156" s="0" t="s">
        <v>36</v>
      </c>
      <c r="H18156" s="0" t="n">
        <v>102</v>
      </c>
      <c r="I18156" s="0" t="s">
        <v>60379</v>
      </c>
      <c r="J18156" s="0" t="s">
        <v>60380</v>
      </c>
      <c r="K18156" s="0" t="s">
        <v>60381</v>
      </c>
      <c r="L18156" s="0" t="str">
        <f aca="false">HYPERLINK("https://www.ncbi.nlm.nih.gov/nuccore/CP000058.1?report=graph&amp;tracks=[key:gene_model_track,Options:GeneOnly]&amp;mk=5585808:5585827|offset_17|444444,5585830:5585849|offset_39|444444,5585861:5585880|offset_70|444444,5585893:5585912|offset_102|00cc00&amp;v=5585607:5586112&amp;c=444444", "offset 102")</f>
        <v>offset 102</v>
      </c>
    </row>
    <row r="18157" customFormat="false" ht="12.8" hidden="false" customHeight="false" outlineLevel="0" collapsed="false">
      <c r="A18157" s="0" t="s">
        <v>12</v>
      </c>
      <c r="B18157" s="0" t="n">
        <v>5586777</v>
      </c>
      <c r="C18157" s="0" t="n">
        <v>5586797</v>
      </c>
      <c r="D18157" s="0" t="s">
        <v>60382</v>
      </c>
      <c r="E18157" s="0" t="s">
        <v>60383</v>
      </c>
      <c r="F18157" s="0" t="s">
        <v>90</v>
      </c>
      <c r="G18157" s="0" t="s">
        <v>16</v>
      </c>
      <c r="H18157" s="0" t="n">
        <v>7</v>
      </c>
      <c r="I18157" s="0" t="s">
        <v>60384</v>
      </c>
      <c r="J18157" s="0" t="s">
        <v>60385</v>
      </c>
      <c r="K18157" s="0" t="s">
        <v>60386</v>
      </c>
      <c r="L18157" s="0" t="str">
        <f aca="false">HYPERLINK("https://www.ncbi.nlm.nih.gov/nuccore/CP000058.1?report=graph&amp;tracks=[key:gene_model_track,Options:GeneOnly]&amp;mk=5586778:5586797|offset_7|00cc00,5586751:5586770|offset_34|444444,5586724:5586743|offset_61|444444,5586699:5586718|offset_86|444444&amp;v=5586577:5586918&amp;c=444444", "offset 7")</f>
        <v>offset 7</v>
      </c>
    </row>
    <row r="18158" customFormat="false" ht="12.8" hidden="false" customHeight="false" outlineLevel="0" collapsed="false">
      <c r="A18158" s="0" t="s">
        <v>12</v>
      </c>
      <c r="B18158" s="0" t="n">
        <v>5586750</v>
      </c>
      <c r="C18158" s="0" t="n">
        <v>5586770</v>
      </c>
      <c r="D18158" s="0" t="s">
        <v>60382</v>
      </c>
      <c r="E18158" s="0" t="s">
        <v>60383</v>
      </c>
      <c r="F18158" s="0" t="s">
        <v>90</v>
      </c>
      <c r="G18158" s="0" t="s">
        <v>32</v>
      </c>
      <c r="H18158" s="0" t="n">
        <v>34</v>
      </c>
      <c r="I18158" s="0" t="s">
        <v>60387</v>
      </c>
      <c r="J18158" s="0" t="s">
        <v>60388</v>
      </c>
      <c r="K18158" s="0" t="s">
        <v>60389</v>
      </c>
      <c r="L18158" s="0" t="str">
        <f aca="false">HYPERLINK("https://www.ncbi.nlm.nih.gov/nuccore/CP000058.1?report=graph&amp;tracks=[key:gene_model_track,Options:GeneOnly]&amp;mk=5586778:5586797|offset_7|444444,5586751:5586770|offset_34|00cc00,5586724:5586743|offset_61|444444,5586699:5586718|offset_86|444444&amp;v=5586577:5586918&amp;c=444444", "offset 34")</f>
        <v>offset 34</v>
      </c>
    </row>
    <row r="18159" customFormat="false" ht="12.8" hidden="false" customHeight="false" outlineLevel="0" collapsed="false">
      <c r="A18159" s="0" t="s">
        <v>12</v>
      </c>
      <c r="B18159" s="0" t="n">
        <v>5586723</v>
      </c>
      <c r="C18159" s="0" t="n">
        <v>5586743</v>
      </c>
      <c r="D18159" s="0" t="s">
        <v>60382</v>
      </c>
      <c r="E18159" s="0" t="s">
        <v>60383</v>
      </c>
      <c r="F18159" s="0" t="s">
        <v>90</v>
      </c>
      <c r="G18159" s="0" t="s">
        <v>36</v>
      </c>
      <c r="H18159" s="0" t="n">
        <v>61</v>
      </c>
      <c r="I18159" s="0" t="s">
        <v>60390</v>
      </c>
      <c r="J18159" s="0" t="s">
        <v>60391</v>
      </c>
      <c r="K18159" s="0" t="s">
        <v>60392</v>
      </c>
      <c r="L18159" s="0" t="str">
        <f aca="false">HYPERLINK("https://www.ncbi.nlm.nih.gov/nuccore/CP000058.1?report=graph&amp;tracks=[key:gene_model_track,Options:GeneOnly]&amp;mk=5586778:5586797|offset_7|444444,5586751:5586770|offset_34|444444,5586724:5586743|offset_61|00cc00,5586699:5586718|offset_86|444444&amp;v=5586577:5586918&amp;c=444444", "offset 61")</f>
        <v>offset 61</v>
      </c>
    </row>
    <row r="18160" customFormat="false" ht="12.8" hidden="false" customHeight="false" outlineLevel="0" collapsed="false">
      <c r="A18160" s="0" t="s">
        <v>12</v>
      </c>
      <c r="B18160" s="0" t="n">
        <v>5586698</v>
      </c>
      <c r="C18160" s="0" t="n">
        <v>5586718</v>
      </c>
      <c r="D18160" s="0" t="s">
        <v>60382</v>
      </c>
      <c r="E18160" s="0" t="s">
        <v>60383</v>
      </c>
      <c r="F18160" s="0" t="s">
        <v>90</v>
      </c>
      <c r="G18160" s="0" t="s">
        <v>20</v>
      </c>
      <c r="H18160" s="0" t="n">
        <v>86</v>
      </c>
      <c r="I18160" s="0" t="s">
        <v>60393</v>
      </c>
      <c r="J18160" s="0" t="s">
        <v>60394</v>
      </c>
      <c r="K18160" s="0" t="s">
        <v>60395</v>
      </c>
      <c r="L18160" s="0" t="str">
        <f aca="false">HYPERLINK("https://www.ncbi.nlm.nih.gov/nuccore/CP000058.1?report=graph&amp;tracks=[key:gene_model_track,Options:GeneOnly]&amp;mk=5586778:5586797|offset_7|444444,5586751:5586770|offset_34|444444,5586724:5586743|offset_61|444444,5586699:5586718|offset_86|00cc00&amp;v=5586577:5586918&amp;c=444444", "offset 86")</f>
        <v>offset 86</v>
      </c>
    </row>
    <row r="18161" customFormat="false" ht="12.8" hidden="false" customHeight="false" outlineLevel="0" collapsed="false">
      <c r="A18161" s="0" t="s">
        <v>12</v>
      </c>
      <c r="B18161" s="0" t="n">
        <v>5587051</v>
      </c>
      <c r="C18161" s="0" t="n">
        <v>5587071</v>
      </c>
      <c r="D18161" s="0" t="s">
        <v>60396</v>
      </c>
      <c r="E18161" s="0" t="s">
        <v>60397</v>
      </c>
      <c r="F18161" s="0" t="s">
        <v>90</v>
      </c>
      <c r="G18161" s="0" t="s">
        <v>32</v>
      </c>
      <c r="H18161" s="0" t="n">
        <v>25</v>
      </c>
      <c r="I18161" s="0" t="s">
        <v>60398</v>
      </c>
      <c r="J18161" s="0" t="s">
        <v>60399</v>
      </c>
      <c r="K18161" s="0" t="s">
        <v>60400</v>
      </c>
      <c r="L18161" s="0" t="str">
        <f aca="false">HYPERLINK("https://www.ncbi.nlm.nih.gov/nuccore/CP000058.1?report=graph&amp;tracks=[key:gene_model_track,Options:GeneOnly]&amp;mk=5587052:5587071|offset_25|00cc00,5587022:5587041|offset_55|444444,5586992:5587011|offset_85|444444,5586963:5586982|offset_114|444444&amp;v=5586851:5587182&amp;c=444444", "offset 25")</f>
        <v>offset 25</v>
      </c>
    </row>
    <row r="18162" customFormat="false" ht="12.8" hidden="false" customHeight="false" outlineLevel="0" collapsed="false">
      <c r="A18162" s="0" t="s">
        <v>12</v>
      </c>
      <c r="B18162" s="0" t="n">
        <v>5587021</v>
      </c>
      <c r="C18162" s="0" t="n">
        <v>5587041</v>
      </c>
      <c r="D18162" s="0" t="s">
        <v>60396</v>
      </c>
      <c r="E18162" s="0" t="s">
        <v>60397</v>
      </c>
      <c r="F18162" s="0" t="s">
        <v>90</v>
      </c>
      <c r="G18162" s="0" t="s">
        <v>32</v>
      </c>
      <c r="H18162" s="0" t="n">
        <v>55</v>
      </c>
      <c r="I18162" s="0" t="s">
        <v>60401</v>
      </c>
      <c r="J18162" s="0" t="s">
        <v>60402</v>
      </c>
      <c r="K18162" s="0" t="s">
        <v>60403</v>
      </c>
      <c r="L18162" s="0" t="str">
        <f aca="false">HYPERLINK("https://www.ncbi.nlm.nih.gov/nuccore/CP000058.1?report=graph&amp;tracks=[key:gene_model_track,Options:GeneOnly]&amp;mk=5587052:5587071|offset_25|444444,5587022:5587041|offset_55|00cc00,5586992:5587011|offset_85|444444,5586963:5586982|offset_114|444444&amp;v=5586851:5587182&amp;c=444444", "offset 55")</f>
        <v>offset 55</v>
      </c>
    </row>
    <row r="18163" customFormat="false" ht="12.8" hidden="false" customHeight="false" outlineLevel="0" collapsed="false">
      <c r="A18163" s="0" t="s">
        <v>12</v>
      </c>
      <c r="B18163" s="0" t="n">
        <v>5586991</v>
      </c>
      <c r="C18163" s="0" t="n">
        <v>5587011</v>
      </c>
      <c r="D18163" s="0" t="s">
        <v>60396</v>
      </c>
      <c r="E18163" s="0" t="s">
        <v>60397</v>
      </c>
      <c r="F18163" s="0" t="s">
        <v>90</v>
      </c>
      <c r="G18163" s="0" t="s">
        <v>20</v>
      </c>
      <c r="H18163" s="0" t="n">
        <v>85</v>
      </c>
      <c r="I18163" s="0" t="s">
        <v>60404</v>
      </c>
      <c r="J18163" s="0" t="s">
        <v>60405</v>
      </c>
      <c r="K18163" s="0" t="s">
        <v>60406</v>
      </c>
      <c r="L18163" s="0" t="str">
        <f aca="false">HYPERLINK("https://www.ncbi.nlm.nih.gov/nuccore/CP000058.1?report=graph&amp;tracks=[key:gene_model_track,Options:GeneOnly]&amp;mk=5587052:5587071|offset_25|444444,5587022:5587041|offset_55|444444,5586992:5587011|offset_85|00cc00,5586963:5586982|offset_114|444444&amp;v=5586851:5587182&amp;c=444444", "offset 85")</f>
        <v>offset 85</v>
      </c>
    </row>
    <row r="18164" customFormat="false" ht="12.8" hidden="false" customHeight="false" outlineLevel="0" collapsed="false">
      <c r="A18164" s="0" t="s">
        <v>12</v>
      </c>
      <c r="B18164" s="0" t="n">
        <v>5586962</v>
      </c>
      <c r="C18164" s="0" t="n">
        <v>5586982</v>
      </c>
      <c r="D18164" s="0" t="s">
        <v>60396</v>
      </c>
      <c r="E18164" s="0" t="s">
        <v>60397</v>
      </c>
      <c r="F18164" s="0" t="s">
        <v>90</v>
      </c>
      <c r="G18164" s="0" t="s">
        <v>16</v>
      </c>
      <c r="H18164" s="0" t="n">
        <v>114</v>
      </c>
      <c r="I18164" s="0" t="s">
        <v>60407</v>
      </c>
      <c r="J18164" s="0" t="s">
        <v>60408</v>
      </c>
      <c r="K18164" s="0" t="s">
        <v>60409</v>
      </c>
      <c r="L18164" s="0" t="str">
        <f aca="false">HYPERLINK("https://www.ncbi.nlm.nih.gov/nuccore/CP000058.1?report=graph&amp;tracks=[key:gene_model_track,Options:GeneOnly]&amp;mk=5587052:5587071|offset_25|444444,5587022:5587041|offset_55|444444,5586992:5587011|offset_85|444444,5586963:5586982|offset_114|00cc00&amp;v=5586851:5587182&amp;c=444444", "offset 114")</f>
        <v>offset 114</v>
      </c>
    </row>
    <row r="18165" customFormat="false" ht="12.8" hidden="false" customHeight="false" outlineLevel="0" collapsed="false">
      <c r="A18165" s="0" t="s">
        <v>12</v>
      </c>
      <c r="B18165" s="0" t="n">
        <v>5587478</v>
      </c>
      <c r="C18165" s="0" t="n">
        <v>5587498</v>
      </c>
      <c r="D18165" s="0" t="s">
        <v>60410</v>
      </c>
      <c r="E18165" s="0" t="s">
        <v>75</v>
      </c>
      <c r="F18165" s="0" t="s">
        <v>90</v>
      </c>
      <c r="G18165" s="0" t="s">
        <v>20</v>
      </c>
      <c r="H18165" s="0" t="n">
        <v>14</v>
      </c>
      <c r="I18165" s="0" t="s">
        <v>60411</v>
      </c>
      <c r="J18165" s="0" t="s">
        <v>60412</v>
      </c>
      <c r="K18165" s="0" t="s">
        <v>60413</v>
      </c>
      <c r="L18165" s="0" t="str">
        <f aca="false">HYPERLINK("https://www.ncbi.nlm.nih.gov/nuccore/CP000058.1?report=graph&amp;tracks=[key:gene_model_track,Options:GeneOnly]&amp;mk=5587479:5587498|offset_14|00cc00,5587458:5587477|offset_35|444444,5587438:5587457|offset_55|444444,5587384:5587403|offset_109|444444&amp;v=5587278:5587603&amp;c=444444", "offset 14")</f>
        <v>offset 14</v>
      </c>
    </row>
    <row r="18166" customFormat="false" ht="12.8" hidden="false" customHeight="false" outlineLevel="0" collapsed="false">
      <c r="A18166" s="0" t="s">
        <v>12</v>
      </c>
      <c r="B18166" s="0" t="n">
        <v>5587457</v>
      </c>
      <c r="C18166" s="0" t="n">
        <v>5587477</v>
      </c>
      <c r="D18166" s="0" t="s">
        <v>60410</v>
      </c>
      <c r="E18166" s="0" t="s">
        <v>75</v>
      </c>
      <c r="F18166" s="0" t="s">
        <v>90</v>
      </c>
      <c r="G18166" s="0" t="s">
        <v>32</v>
      </c>
      <c r="H18166" s="0" t="n">
        <v>35</v>
      </c>
      <c r="I18166" s="0" t="s">
        <v>60414</v>
      </c>
      <c r="J18166" s="0" t="s">
        <v>60415</v>
      </c>
      <c r="K18166" s="0" t="s">
        <v>60416</v>
      </c>
      <c r="L18166" s="0" t="str">
        <f aca="false">HYPERLINK("https://www.ncbi.nlm.nih.gov/nuccore/CP000058.1?report=graph&amp;tracks=[key:gene_model_track,Options:GeneOnly]&amp;mk=5587479:5587498|offset_14|444444,5587458:5587477|offset_35|00cc00,5587438:5587457|offset_55|444444,5587384:5587403|offset_109|444444&amp;v=5587278:5587603&amp;c=444444", "offset 35")</f>
        <v>offset 35</v>
      </c>
    </row>
    <row r="18167" customFormat="false" ht="12.8" hidden="false" customHeight="false" outlineLevel="0" collapsed="false">
      <c r="A18167" s="0" t="s">
        <v>12</v>
      </c>
      <c r="B18167" s="0" t="n">
        <v>5587437</v>
      </c>
      <c r="C18167" s="0" t="n">
        <v>5587457</v>
      </c>
      <c r="D18167" s="0" t="s">
        <v>60410</v>
      </c>
      <c r="E18167" s="0" t="s">
        <v>75</v>
      </c>
      <c r="F18167" s="0" t="s">
        <v>90</v>
      </c>
      <c r="G18167" s="0" t="s">
        <v>20</v>
      </c>
      <c r="H18167" s="0" t="n">
        <v>55</v>
      </c>
      <c r="I18167" s="0" t="s">
        <v>60417</v>
      </c>
      <c r="J18167" s="0" t="s">
        <v>60418</v>
      </c>
      <c r="K18167" s="0" t="s">
        <v>60419</v>
      </c>
      <c r="L18167" s="0" t="str">
        <f aca="false">HYPERLINK("https://www.ncbi.nlm.nih.gov/nuccore/CP000058.1?report=graph&amp;tracks=[key:gene_model_track,Options:GeneOnly]&amp;mk=5587479:5587498|offset_14|444444,5587458:5587477|offset_35|444444,5587438:5587457|offset_55|00cc00,5587384:5587403|offset_109|444444&amp;v=5587278:5587603&amp;c=444444", "offset 55")</f>
        <v>offset 55</v>
      </c>
    </row>
    <row r="18168" customFormat="false" ht="12.8" hidden="false" customHeight="false" outlineLevel="0" collapsed="false">
      <c r="A18168" s="0" t="s">
        <v>12</v>
      </c>
      <c r="B18168" s="0" t="n">
        <v>5587383</v>
      </c>
      <c r="C18168" s="0" t="n">
        <v>5587403</v>
      </c>
      <c r="D18168" s="0" t="s">
        <v>60410</v>
      </c>
      <c r="E18168" s="0" t="s">
        <v>75</v>
      </c>
      <c r="F18168" s="0" t="s">
        <v>90</v>
      </c>
      <c r="G18168" s="0" t="s">
        <v>32</v>
      </c>
      <c r="H18168" s="0" t="n">
        <v>109</v>
      </c>
      <c r="I18168" s="0" t="s">
        <v>60420</v>
      </c>
      <c r="J18168" s="0" t="s">
        <v>60421</v>
      </c>
      <c r="K18168" s="0" t="s">
        <v>60422</v>
      </c>
      <c r="L18168" s="0" t="str">
        <f aca="false">HYPERLINK("https://www.ncbi.nlm.nih.gov/nuccore/CP000058.1?report=graph&amp;tracks=[key:gene_model_track,Options:GeneOnly]&amp;mk=5587479:5587498|offset_14|444444,5587458:5587477|offset_35|444444,5587438:5587457|offset_55|444444,5587384:5587403|offset_109|00cc00&amp;v=5587278:5587603&amp;c=444444", "offset 109")</f>
        <v>offset 109</v>
      </c>
    </row>
    <row r="18169" customFormat="false" ht="12.8" hidden="false" customHeight="false" outlineLevel="0" collapsed="false">
      <c r="A18169" s="0" t="s">
        <v>12</v>
      </c>
      <c r="B18169" s="0" t="n">
        <v>5587678</v>
      </c>
      <c r="C18169" s="0" t="n">
        <v>5587698</v>
      </c>
      <c r="D18169" s="0" t="s">
        <v>60423</v>
      </c>
      <c r="E18169" s="0" t="s">
        <v>60424</v>
      </c>
      <c r="F18169" s="0" t="s">
        <v>15</v>
      </c>
      <c r="G18169" s="0" t="s">
        <v>32</v>
      </c>
      <c r="H18169" s="0" t="n">
        <v>10</v>
      </c>
      <c r="I18169" s="0" t="s">
        <v>60425</v>
      </c>
      <c r="J18169" s="0" t="s">
        <v>60426</v>
      </c>
      <c r="K18169" s="0" t="s">
        <v>60427</v>
      </c>
      <c r="L18169" s="0" t="str">
        <f aca="false">HYPERLINK("https://www.ncbi.nlm.nih.gov/nuccore/CP000058.1?report=graph&amp;tracks=[key:gene_model_track,Options:GeneOnly]&amp;mk=5587679:5587698|offset_10|00cc00,5587707:5587726|offset_38|444444,5587734:5587753|offset_65|444444,5587757:5587776|offset_88|444444&amp;v=5587478:5587976&amp;c=444444", "offset 10")</f>
        <v>offset 10</v>
      </c>
    </row>
    <row r="18170" customFormat="false" ht="12.8" hidden="false" customHeight="false" outlineLevel="0" collapsed="false">
      <c r="A18170" s="0" t="s">
        <v>12</v>
      </c>
      <c r="B18170" s="0" t="n">
        <v>5587706</v>
      </c>
      <c r="C18170" s="0" t="n">
        <v>5587726</v>
      </c>
      <c r="D18170" s="0" t="s">
        <v>60423</v>
      </c>
      <c r="E18170" s="0" t="s">
        <v>60424</v>
      </c>
      <c r="F18170" s="0" t="s">
        <v>15</v>
      </c>
      <c r="G18170" s="0" t="s">
        <v>20</v>
      </c>
      <c r="H18170" s="0" t="n">
        <v>38</v>
      </c>
      <c r="I18170" s="0" t="s">
        <v>60428</v>
      </c>
      <c r="J18170" s="0" t="s">
        <v>60429</v>
      </c>
      <c r="K18170" s="0" t="s">
        <v>60430</v>
      </c>
      <c r="L18170" s="0" t="str">
        <f aca="false">HYPERLINK("https://www.ncbi.nlm.nih.gov/nuccore/CP000058.1?report=graph&amp;tracks=[key:gene_model_track,Options:GeneOnly]&amp;mk=5587679:5587698|offset_10|444444,5587707:5587726|offset_38|00cc00,5587734:5587753|offset_65|444444,5587757:5587776|offset_88|444444&amp;v=5587478:5587976&amp;c=444444", "offset 38")</f>
        <v>offset 38</v>
      </c>
    </row>
    <row r="18171" customFormat="false" ht="12.8" hidden="false" customHeight="false" outlineLevel="0" collapsed="false">
      <c r="A18171" s="0" t="s">
        <v>12</v>
      </c>
      <c r="B18171" s="0" t="n">
        <v>5587733</v>
      </c>
      <c r="C18171" s="0" t="n">
        <v>5587753</v>
      </c>
      <c r="D18171" s="0" t="s">
        <v>60423</v>
      </c>
      <c r="E18171" s="0" t="s">
        <v>60424</v>
      </c>
      <c r="F18171" s="0" t="s">
        <v>15</v>
      </c>
      <c r="G18171" s="0" t="s">
        <v>32</v>
      </c>
      <c r="H18171" s="0" t="n">
        <v>65</v>
      </c>
      <c r="I18171" s="0" t="s">
        <v>60431</v>
      </c>
      <c r="J18171" s="0" t="s">
        <v>60432</v>
      </c>
      <c r="K18171" s="0" t="s">
        <v>60433</v>
      </c>
      <c r="L18171" s="0" t="str">
        <f aca="false">HYPERLINK("https://www.ncbi.nlm.nih.gov/nuccore/CP000058.1?report=graph&amp;tracks=[key:gene_model_track,Options:GeneOnly]&amp;mk=5587679:5587698|offset_10|444444,5587707:5587726|offset_38|444444,5587734:5587753|offset_65|00cc00,5587757:5587776|offset_88|444444&amp;v=5587478:5587976&amp;c=444444", "offset 65")</f>
        <v>offset 65</v>
      </c>
    </row>
    <row r="18172" customFormat="false" ht="12.8" hidden="false" customHeight="false" outlineLevel="0" collapsed="false">
      <c r="A18172" s="0" t="s">
        <v>12</v>
      </c>
      <c r="B18172" s="0" t="n">
        <v>5587756</v>
      </c>
      <c r="C18172" s="0" t="n">
        <v>5587776</v>
      </c>
      <c r="D18172" s="0" t="s">
        <v>60423</v>
      </c>
      <c r="E18172" s="0" t="s">
        <v>60424</v>
      </c>
      <c r="F18172" s="0" t="s">
        <v>15</v>
      </c>
      <c r="G18172" s="0" t="s">
        <v>16</v>
      </c>
      <c r="H18172" s="0" t="n">
        <v>88</v>
      </c>
      <c r="I18172" s="0" t="s">
        <v>60434</v>
      </c>
      <c r="J18172" s="0" t="s">
        <v>60435</v>
      </c>
      <c r="K18172" s="0" t="s">
        <v>60436</v>
      </c>
      <c r="L18172" s="0" t="str">
        <f aca="false">HYPERLINK("https://www.ncbi.nlm.nih.gov/nuccore/CP000058.1?report=graph&amp;tracks=[key:gene_model_track,Options:GeneOnly]&amp;mk=5587679:5587698|offset_10|444444,5587707:5587726|offset_38|444444,5587734:5587753|offset_65|444444,5587757:5587776|offset_88|00cc00&amp;v=5587478:5587976&amp;c=444444", "offset 88")</f>
        <v>offset 88</v>
      </c>
    </row>
    <row r="18173" customFormat="false" ht="12.8" hidden="false" customHeight="false" outlineLevel="0" collapsed="false">
      <c r="A18173" s="0" t="s">
        <v>12</v>
      </c>
      <c r="B18173" s="0" t="n">
        <v>5589259</v>
      </c>
      <c r="C18173" s="0" t="n">
        <v>5589279</v>
      </c>
      <c r="D18173" s="0" t="s">
        <v>60437</v>
      </c>
      <c r="E18173" s="0" t="s">
        <v>75</v>
      </c>
      <c r="F18173" s="0" t="s">
        <v>15</v>
      </c>
      <c r="G18173" s="0" t="s">
        <v>36</v>
      </c>
      <c r="H18173" s="0" t="n">
        <v>13</v>
      </c>
      <c r="I18173" s="0" t="s">
        <v>60438</v>
      </c>
      <c r="J18173" s="0" t="s">
        <v>60439</v>
      </c>
      <c r="K18173" s="0" t="s">
        <v>60440</v>
      </c>
      <c r="L18173" s="0" t="str">
        <f aca="false">HYPERLINK("https://www.ncbi.nlm.nih.gov/nuccore/CP000058.1?report=graph&amp;tracks=[key:gene_model_track,Options:GeneOnly]&amp;mk=5589260:5589279|offset_13|00cc00,5589316:5589335|offset_69|444444,5589338:5589357|offset_91|444444,5589368:5589387|offset_121|444444&amp;v=5589059:5589587&amp;c=444444", "offset 13")</f>
        <v>offset 13</v>
      </c>
    </row>
    <row r="18174" customFormat="false" ht="12.8" hidden="false" customHeight="false" outlineLevel="0" collapsed="false">
      <c r="A18174" s="0" t="s">
        <v>12</v>
      </c>
      <c r="B18174" s="0" t="n">
        <v>5589315</v>
      </c>
      <c r="C18174" s="0" t="n">
        <v>5589335</v>
      </c>
      <c r="D18174" s="0" t="s">
        <v>60437</v>
      </c>
      <c r="E18174" s="0" t="s">
        <v>75</v>
      </c>
      <c r="F18174" s="0" t="s">
        <v>15</v>
      </c>
      <c r="G18174" s="0" t="s">
        <v>20</v>
      </c>
      <c r="H18174" s="0" t="n">
        <v>69</v>
      </c>
      <c r="I18174" s="0" t="s">
        <v>60441</v>
      </c>
      <c r="J18174" s="0" t="s">
        <v>60442</v>
      </c>
      <c r="K18174" s="0" t="s">
        <v>60443</v>
      </c>
      <c r="L18174" s="0" t="str">
        <f aca="false">HYPERLINK("https://www.ncbi.nlm.nih.gov/nuccore/CP000058.1?report=graph&amp;tracks=[key:gene_model_track,Options:GeneOnly]&amp;mk=5589260:5589279|offset_13|444444,5589316:5589335|offset_69|00cc00,5589338:5589357|offset_91|444444,5589368:5589387|offset_121|444444&amp;v=5589059:5589587&amp;c=444444", "offset 69")</f>
        <v>offset 69</v>
      </c>
    </row>
    <row r="18175" customFormat="false" ht="12.8" hidden="false" customHeight="false" outlineLevel="0" collapsed="false">
      <c r="A18175" s="0" t="s">
        <v>12</v>
      </c>
      <c r="B18175" s="0" t="n">
        <v>5589337</v>
      </c>
      <c r="C18175" s="0" t="n">
        <v>5589357</v>
      </c>
      <c r="D18175" s="0" t="s">
        <v>60437</v>
      </c>
      <c r="E18175" s="0" t="s">
        <v>75</v>
      </c>
      <c r="F18175" s="0" t="s">
        <v>15</v>
      </c>
      <c r="G18175" s="0" t="s">
        <v>20</v>
      </c>
      <c r="H18175" s="0" t="n">
        <v>91</v>
      </c>
      <c r="I18175" s="0" t="s">
        <v>60444</v>
      </c>
      <c r="J18175" s="0" t="s">
        <v>60445</v>
      </c>
      <c r="K18175" s="0" t="s">
        <v>60446</v>
      </c>
      <c r="L18175" s="0" t="str">
        <f aca="false">HYPERLINK("https://www.ncbi.nlm.nih.gov/nuccore/CP000058.1?report=graph&amp;tracks=[key:gene_model_track,Options:GeneOnly]&amp;mk=5589260:5589279|offset_13|444444,5589316:5589335|offset_69|444444,5589338:5589357|offset_91|00cc00,5589368:5589387|offset_121|444444&amp;v=5589059:5589587&amp;c=444444", "offset 91")</f>
        <v>offset 91</v>
      </c>
    </row>
    <row r="18176" customFormat="false" ht="12.8" hidden="false" customHeight="false" outlineLevel="0" collapsed="false">
      <c r="A18176" s="0" t="s">
        <v>12</v>
      </c>
      <c r="B18176" s="0" t="n">
        <v>5589367</v>
      </c>
      <c r="C18176" s="0" t="n">
        <v>5589387</v>
      </c>
      <c r="D18176" s="0" t="s">
        <v>60437</v>
      </c>
      <c r="E18176" s="0" t="s">
        <v>75</v>
      </c>
      <c r="F18176" s="0" t="s">
        <v>15</v>
      </c>
      <c r="G18176" s="0" t="s">
        <v>20</v>
      </c>
      <c r="H18176" s="0" t="n">
        <v>121</v>
      </c>
      <c r="I18176" s="0" t="s">
        <v>60447</v>
      </c>
      <c r="J18176" s="0" t="s">
        <v>60448</v>
      </c>
      <c r="K18176" s="0" t="s">
        <v>60449</v>
      </c>
      <c r="L18176" s="0" t="str">
        <f aca="false">HYPERLINK("https://www.ncbi.nlm.nih.gov/nuccore/CP000058.1?report=graph&amp;tracks=[key:gene_model_track,Options:GeneOnly]&amp;mk=5589260:5589279|offset_13|444444,5589316:5589335|offset_69|444444,5589338:5589357|offset_91|444444,5589368:5589387|offset_121|00cc00&amp;v=5589059:5589587&amp;c=444444", "offset 121")</f>
        <v>offset 121</v>
      </c>
    </row>
    <row r="18177" customFormat="false" ht="12.8" hidden="false" customHeight="false" outlineLevel="0" collapsed="false">
      <c r="A18177" s="0" t="s">
        <v>12</v>
      </c>
      <c r="B18177" s="0" t="n">
        <v>5590726</v>
      </c>
      <c r="C18177" s="0" t="n">
        <v>5590746</v>
      </c>
      <c r="D18177" s="0" t="s">
        <v>60450</v>
      </c>
      <c r="E18177" s="0" t="s">
        <v>75</v>
      </c>
      <c r="F18177" s="0" t="s">
        <v>15</v>
      </c>
      <c r="G18177" s="0" t="s">
        <v>36</v>
      </c>
      <c r="H18177" s="0" t="n">
        <v>16</v>
      </c>
      <c r="I18177" s="0" t="s">
        <v>60451</v>
      </c>
      <c r="J18177" s="0" t="s">
        <v>60452</v>
      </c>
      <c r="K18177" s="0" t="s">
        <v>60453</v>
      </c>
      <c r="L18177" s="0" t="str">
        <f aca="false">HYPERLINK("https://www.ncbi.nlm.nih.gov/nuccore/CP000058.1?report=graph&amp;tracks=[key:gene_model_track,Options:GeneOnly]&amp;mk=5590727:5590746|offset_16|00cc00,5590757:5590776|offset_46|444444,5590790:5590809|offset_79|444444,5590813:5590832|offset_102|444444&amp;v=5590526:5591032&amp;c=444444", "offset 16")</f>
        <v>offset 16</v>
      </c>
    </row>
    <row r="18178" customFormat="false" ht="12.8" hidden="false" customHeight="false" outlineLevel="0" collapsed="false">
      <c r="A18178" s="0" t="s">
        <v>12</v>
      </c>
      <c r="B18178" s="0" t="n">
        <v>5590756</v>
      </c>
      <c r="C18178" s="0" t="n">
        <v>5590776</v>
      </c>
      <c r="D18178" s="0" t="s">
        <v>60450</v>
      </c>
      <c r="E18178" s="0" t="s">
        <v>75</v>
      </c>
      <c r="F18178" s="0" t="s">
        <v>15</v>
      </c>
      <c r="G18178" s="0" t="s">
        <v>32</v>
      </c>
      <c r="H18178" s="0" t="n">
        <v>46</v>
      </c>
      <c r="I18178" s="0" t="s">
        <v>60454</v>
      </c>
      <c r="J18178" s="0" t="s">
        <v>60455</v>
      </c>
      <c r="K18178" s="0" t="s">
        <v>60456</v>
      </c>
      <c r="L18178" s="0" t="str">
        <f aca="false">HYPERLINK("https://www.ncbi.nlm.nih.gov/nuccore/CP000058.1?report=graph&amp;tracks=[key:gene_model_track,Options:GeneOnly]&amp;mk=5590727:5590746|offset_16|444444,5590757:5590776|offset_46|00cc00,5590790:5590809|offset_79|444444,5590813:5590832|offset_102|444444&amp;v=5590526:5591032&amp;c=444444", "offset 46")</f>
        <v>offset 46</v>
      </c>
    </row>
    <row r="18179" customFormat="false" ht="12.8" hidden="false" customHeight="false" outlineLevel="0" collapsed="false">
      <c r="A18179" s="0" t="s">
        <v>12</v>
      </c>
      <c r="B18179" s="0" t="n">
        <v>5590789</v>
      </c>
      <c r="C18179" s="0" t="n">
        <v>5590809</v>
      </c>
      <c r="D18179" s="0" t="s">
        <v>60450</v>
      </c>
      <c r="E18179" s="0" t="s">
        <v>75</v>
      </c>
      <c r="F18179" s="0" t="s">
        <v>15</v>
      </c>
      <c r="G18179" s="0" t="s">
        <v>16</v>
      </c>
      <c r="H18179" s="0" t="n">
        <v>79</v>
      </c>
      <c r="I18179" s="0" t="s">
        <v>60457</v>
      </c>
      <c r="J18179" s="0" t="s">
        <v>60458</v>
      </c>
      <c r="K18179" s="0" t="s">
        <v>60459</v>
      </c>
      <c r="L18179" s="0" t="str">
        <f aca="false">HYPERLINK("https://www.ncbi.nlm.nih.gov/nuccore/CP000058.1?report=graph&amp;tracks=[key:gene_model_track,Options:GeneOnly]&amp;mk=5590727:5590746|offset_16|444444,5590757:5590776|offset_46|444444,5590790:5590809|offset_79|00cc00,5590813:5590832|offset_102|444444&amp;v=5590526:5591032&amp;c=444444", "offset 79")</f>
        <v>offset 79</v>
      </c>
    </row>
    <row r="18180" customFormat="false" ht="12.8" hidden="false" customHeight="false" outlineLevel="0" collapsed="false">
      <c r="A18180" s="0" t="s">
        <v>12</v>
      </c>
      <c r="B18180" s="0" t="n">
        <v>5590812</v>
      </c>
      <c r="C18180" s="0" t="n">
        <v>5590832</v>
      </c>
      <c r="D18180" s="0" t="s">
        <v>60450</v>
      </c>
      <c r="E18180" s="0" t="s">
        <v>75</v>
      </c>
      <c r="F18180" s="0" t="s">
        <v>15</v>
      </c>
      <c r="G18180" s="0" t="s">
        <v>20</v>
      </c>
      <c r="H18180" s="0" t="n">
        <v>102</v>
      </c>
      <c r="I18180" s="0" t="s">
        <v>60460</v>
      </c>
      <c r="J18180" s="0" t="s">
        <v>60461</v>
      </c>
      <c r="K18180" s="0" t="s">
        <v>60462</v>
      </c>
      <c r="L18180" s="0" t="str">
        <f aca="false">HYPERLINK("https://www.ncbi.nlm.nih.gov/nuccore/CP000058.1?report=graph&amp;tracks=[key:gene_model_track,Options:GeneOnly]&amp;mk=5590727:5590746|offset_16|444444,5590757:5590776|offset_46|444444,5590790:5590809|offset_79|444444,5590813:5590832|offset_102|00cc00&amp;v=5590526:5591032&amp;c=444444", "offset 102")</f>
        <v>offset 102</v>
      </c>
    </row>
    <row r="18181" customFormat="false" ht="12.8" hidden="false" customHeight="false" outlineLevel="0" collapsed="false">
      <c r="A18181" s="0" t="s">
        <v>12</v>
      </c>
      <c r="B18181" s="0" t="n">
        <v>5592103</v>
      </c>
      <c r="C18181" s="0" t="n">
        <v>5592123</v>
      </c>
      <c r="D18181" s="0" t="s">
        <v>60463</v>
      </c>
      <c r="E18181" s="0" t="s">
        <v>75</v>
      </c>
      <c r="F18181" s="0" t="s">
        <v>15</v>
      </c>
      <c r="G18181" s="0" t="s">
        <v>36</v>
      </c>
      <c r="H18181" s="0" t="n">
        <v>52</v>
      </c>
      <c r="I18181" s="0" t="s">
        <v>60464</v>
      </c>
      <c r="J18181" s="0" t="s">
        <v>60465</v>
      </c>
      <c r="K18181" s="0" t="s">
        <v>60466</v>
      </c>
      <c r="L18181" s="0" t="str">
        <f aca="false">HYPERLINK("https://www.ncbi.nlm.nih.gov/nuccore/CP000058.1?report=graph&amp;tracks=[key:gene_model_track,Options:GeneOnly]&amp;mk=5592104:5592123|offset_52|00cc00,5592136:5592155|offset_84|444444,5592156:5592175|offset_104|444444,5592183:5592202|offset_131|444444&amp;v=5591903:5592402&amp;c=444444", "offset 52")</f>
        <v>offset 52</v>
      </c>
    </row>
    <row r="18182" customFormat="false" ht="12.8" hidden="false" customHeight="false" outlineLevel="0" collapsed="false">
      <c r="A18182" s="0" t="s">
        <v>12</v>
      </c>
      <c r="B18182" s="0" t="n">
        <v>5592135</v>
      </c>
      <c r="C18182" s="0" t="n">
        <v>5592155</v>
      </c>
      <c r="D18182" s="0" t="s">
        <v>60463</v>
      </c>
      <c r="E18182" s="0" t="s">
        <v>75</v>
      </c>
      <c r="F18182" s="0" t="s">
        <v>15</v>
      </c>
      <c r="G18182" s="0" t="s">
        <v>16</v>
      </c>
      <c r="H18182" s="0" t="n">
        <v>84</v>
      </c>
      <c r="I18182" s="0" t="s">
        <v>60467</v>
      </c>
      <c r="J18182" s="0" t="s">
        <v>60468</v>
      </c>
      <c r="K18182" s="0" t="s">
        <v>60469</v>
      </c>
      <c r="L18182" s="0" t="str">
        <f aca="false">HYPERLINK("https://www.ncbi.nlm.nih.gov/nuccore/CP000058.1?report=graph&amp;tracks=[key:gene_model_track,Options:GeneOnly]&amp;mk=5592104:5592123|offset_52|444444,5592136:5592155|offset_84|00cc00,5592156:5592175|offset_104|444444,5592183:5592202|offset_131|444444&amp;v=5591903:5592402&amp;c=444444", "offset 84")</f>
        <v>offset 84</v>
      </c>
    </row>
    <row r="18183" customFormat="false" ht="12.8" hidden="false" customHeight="false" outlineLevel="0" collapsed="false">
      <c r="A18183" s="0" t="s">
        <v>12</v>
      </c>
      <c r="B18183" s="0" t="n">
        <v>5592155</v>
      </c>
      <c r="C18183" s="0" t="n">
        <v>5592175</v>
      </c>
      <c r="D18183" s="0" t="s">
        <v>60463</v>
      </c>
      <c r="E18183" s="0" t="s">
        <v>75</v>
      </c>
      <c r="F18183" s="0" t="s">
        <v>15</v>
      </c>
      <c r="G18183" s="0" t="s">
        <v>20</v>
      </c>
      <c r="H18183" s="0" t="n">
        <v>104</v>
      </c>
      <c r="I18183" s="0" t="s">
        <v>60470</v>
      </c>
      <c r="J18183" s="0" t="s">
        <v>60471</v>
      </c>
      <c r="K18183" s="0" t="s">
        <v>60472</v>
      </c>
      <c r="L18183" s="0" t="str">
        <f aca="false">HYPERLINK("https://www.ncbi.nlm.nih.gov/nuccore/CP000058.1?report=graph&amp;tracks=[key:gene_model_track,Options:GeneOnly]&amp;mk=5592104:5592123|offset_52|444444,5592136:5592155|offset_84|444444,5592156:5592175|offset_104|00cc00,5592183:5592202|offset_131|444444&amp;v=5591903:5592402&amp;c=444444", "offset 104")</f>
        <v>offset 104</v>
      </c>
    </row>
    <row r="18184" customFormat="false" ht="12.8" hidden="false" customHeight="false" outlineLevel="0" collapsed="false">
      <c r="A18184" s="0" t="s">
        <v>12</v>
      </c>
      <c r="B18184" s="0" t="n">
        <v>5592182</v>
      </c>
      <c r="C18184" s="0" t="n">
        <v>5592202</v>
      </c>
      <c r="D18184" s="0" t="s">
        <v>60463</v>
      </c>
      <c r="E18184" s="0" t="s">
        <v>75</v>
      </c>
      <c r="F18184" s="0" t="s">
        <v>15</v>
      </c>
      <c r="G18184" s="0" t="s">
        <v>36</v>
      </c>
      <c r="H18184" s="0" t="n">
        <v>131</v>
      </c>
      <c r="I18184" s="0" t="s">
        <v>60473</v>
      </c>
      <c r="J18184" s="0" t="s">
        <v>60474</v>
      </c>
      <c r="K18184" s="0" t="s">
        <v>60475</v>
      </c>
      <c r="L18184" s="0" t="str">
        <f aca="false">HYPERLINK("https://www.ncbi.nlm.nih.gov/nuccore/CP000058.1?report=graph&amp;tracks=[key:gene_model_track,Options:GeneOnly]&amp;mk=5592104:5592123|offset_52|444444,5592136:5592155|offset_84|444444,5592156:5592175|offset_104|444444,5592183:5592202|offset_131|00cc00&amp;v=5591903:5592402&amp;c=444444", "offset 131")</f>
        <v>offset 131</v>
      </c>
    </row>
    <row r="18185" customFormat="false" ht="12.8" hidden="false" customHeight="false" outlineLevel="0" collapsed="false">
      <c r="A18185" s="0" t="s">
        <v>12</v>
      </c>
      <c r="B18185" s="0" t="n">
        <v>5593279</v>
      </c>
      <c r="C18185" s="0" t="n">
        <v>5593299</v>
      </c>
      <c r="D18185" s="0" t="s">
        <v>60476</v>
      </c>
      <c r="E18185" s="0" t="s">
        <v>75</v>
      </c>
      <c r="F18185" s="0" t="s">
        <v>90</v>
      </c>
      <c r="G18185" s="0" t="s">
        <v>32</v>
      </c>
      <c r="H18185" s="0" t="n">
        <v>15</v>
      </c>
      <c r="I18185" s="0" t="s">
        <v>60477</v>
      </c>
      <c r="J18185" s="0" t="s">
        <v>60478</v>
      </c>
      <c r="K18185" s="0" t="s">
        <v>60479</v>
      </c>
      <c r="L18185" s="0" t="str">
        <f aca="false">HYPERLINK("https://www.ncbi.nlm.nih.gov/nuccore/CP000058.1?report=graph&amp;tracks=[key:gene_model_track,Options:GeneOnly]&amp;mk=5593280:5593299|offset_15|00cc00,5593259:5593278|offset_36|444444,5593235:5593254|offset_60|444444,5593213:5593232|offset_82|444444&amp;v=5593079:5593432&amp;c=444444", "offset 15")</f>
        <v>offset 15</v>
      </c>
    </row>
    <row r="18186" customFormat="false" ht="12.8" hidden="false" customHeight="false" outlineLevel="0" collapsed="false">
      <c r="A18186" s="0" t="s">
        <v>12</v>
      </c>
      <c r="B18186" s="0" t="n">
        <v>5593258</v>
      </c>
      <c r="C18186" s="0" t="n">
        <v>5593278</v>
      </c>
      <c r="D18186" s="0" t="s">
        <v>60476</v>
      </c>
      <c r="E18186" s="0" t="s">
        <v>75</v>
      </c>
      <c r="F18186" s="0" t="s">
        <v>90</v>
      </c>
      <c r="G18186" s="0" t="s">
        <v>16</v>
      </c>
      <c r="H18186" s="0" t="n">
        <v>36</v>
      </c>
      <c r="I18186" s="0" t="s">
        <v>60480</v>
      </c>
      <c r="J18186" s="0" t="s">
        <v>60481</v>
      </c>
      <c r="K18186" s="0" t="s">
        <v>60482</v>
      </c>
      <c r="L18186" s="0" t="str">
        <f aca="false">HYPERLINK("https://www.ncbi.nlm.nih.gov/nuccore/CP000058.1?report=graph&amp;tracks=[key:gene_model_track,Options:GeneOnly]&amp;mk=5593280:5593299|offset_15|444444,5593259:5593278|offset_36|00cc00,5593235:5593254|offset_60|444444,5593213:5593232|offset_82|444444&amp;v=5593079:5593432&amp;c=444444", "offset 36")</f>
        <v>offset 36</v>
      </c>
    </row>
    <row r="18187" customFormat="false" ht="12.8" hidden="false" customHeight="false" outlineLevel="0" collapsed="false">
      <c r="A18187" s="0" t="s">
        <v>12</v>
      </c>
      <c r="B18187" s="0" t="n">
        <v>5593234</v>
      </c>
      <c r="C18187" s="0" t="n">
        <v>5593254</v>
      </c>
      <c r="D18187" s="0" t="s">
        <v>60476</v>
      </c>
      <c r="E18187" s="0" t="s">
        <v>75</v>
      </c>
      <c r="F18187" s="0" t="s">
        <v>90</v>
      </c>
      <c r="G18187" s="0" t="s">
        <v>32</v>
      </c>
      <c r="H18187" s="0" t="n">
        <v>60</v>
      </c>
      <c r="I18187" s="0" t="s">
        <v>60483</v>
      </c>
      <c r="J18187" s="0" t="s">
        <v>60484</v>
      </c>
      <c r="K18187" s="0" t="s">
        <v>60485</v>
      </c>
      <c r="L18187" s="0" t="str">
        <f aca="false">HYPERLINK("https://www.ncbi.nlm.nih.gov/nuccore/CP000058.1?report=graph&amp;tracks=[key:gene_model_track,Options:GeneOnly]&amp;mk=5593280:5593299|offset_15|444444,5593259:5593278|offset_36|444444,5593235:5593254|offset_60|00cc00,5593213:5593232|offset_82|444444&amp;v=5593079:5593432&amp;c=444444", "offset 60")</f>
        <v>offset 60</v>
      </c>
    </row>
    <row r="18188" customFormat="false" ht="12.8" hidden="false" customHeight="false" outlineLevel="0" collapsed="false">
      <c r="A18188" s="0" t="s">
        <v>12</v>
      </c>
      <c r="B18188" s="0" t="n">
        <v>5593212</v>
      </c>
      <c r="C18188" s="0" t="n">
        <v>5593232</v>
      </c>
      <c r="D18188" s="0" t="s">
        <v>60476</v>
      </c>
      <c r="E18188" s="0" t="s">
        <v>75</v>
      </c>
      <c r="F18188" s="0" t="s">
        <v>90</v>
      </c>
      <c r="G18188" s="0" t="s">
        <v>20</v>
      </c>
      <c r="H18188" s="0" t="n">
        <v>82</v>
      </c>
      <c r="I18188" s="0" t="s">
        <v>60486</v>
      </c>
      <c r="J18188" s="0" t="s">
        <v>60487</v>
      </c>
      <c r="K18188" s="0" t="s">
        <v>60488</v>
      </c>
      <c r="L18188" s="0" t="str">
        <f aca="false">HYPERLINK("https://www.ncbi.nlm.nih.gov/nuccore/CP000058.1?report=graph&amp;tracks=[key:gene_model_track,Options:GeneOnly]&amp;mk=5593280:5593299|offset_15|444444,5593259:5593278|offset_36|444444,5593235:5593254|offset_60|444444,5593213:5593232|offset_82|00cc00&amp;v=5593079:5593432&amp;c=444444", "offset 82")</f>
        <v>offset 82</v>
      </c>
    </row>
    <row r="18189" customFormat="false" ht="12.8" hidden="false" customHeight="false" outlineLevel="0" collapsed="false">
      <c r="A18189" s="0" t="s">
        <v>12</v>
      </c>
      <c r="B18189" s="0" t="n">
        <v>5594875</v>
      </c>
      <c r="C18189" s="0" t="n">
        <v>5594895</v>
      </c>
      <c r="D18189" s="0" t="s">
        <v>60489</v>
      </c>
      <c r="E18189" s="0" t="s">
        <v>75</v>
      </c>
      <c r="F18189" s="0" t="s">
        <v>90</v>
      </c>
      <c r="G18189" s="0" t="s">
        <v>16</v>
      </c>
      <c r="H18189" s="0" t="n">
        <v>8</v>
      </c>
      <c r="I18189" s="0" t="s">
        <v>60490</v>
      </c>
      <c r="J18189" s="0" t="s">
        <v>60491</v>
      </c>
      <c r="K18189" s="0" t="s">
        <v>60492</v>
      </c>
      <c r="L18189" s="0" t="str">
        <f aca="false">HYPERLINK("https://www.ncbi.nlm.nih.gov/nuccore/CP000058.1?report=graph&amp;tracks=[key:gene_model_track,Options:GeneOnly]&amp;mk=5594876:5594895|offset_8|00cc00,5594834:5594853|offset_50|444444,5594763:5594782|offset_121|444444,5594727:5594746|offset_157|444444&amp;v=5594675:5594946&amp;c=444444", "offset 8")</f>
        <v>offset 8</v>
      </c>
    </row>
    <row r="18190" customFormat="false" ht="12.8" hidden="false" customHeight="false" outlineLevel="0" collapsed="false">
      <c r="A18190" s="0" t="s">
        <v>12</v>
      </c>
      <c r="B18190" s="0" t="n">
        <v>5594833</v>
      </c>
      <c r="C18190" s="0" t="n">
        <v>5594853</v>
      </c>
      <c r="D18190" s="0" t="s">
        <v>60489</v>
      </c>
      <c r="E18190" s="0" t="s">
        <v>75</v>
      </c>
      <c r="F18190" s="0" t="s">
        <v>90</v>
      </c>
      <c r="G18190" s="0" t="s">
        <v>16</v>
      </c>
      <c r="H18190" s="0" t="n">
        <v>50</v>
      </c>
      <c r="I18190" s="0" t="s">
        <v>60493</v>
      </c>
      <c r="J18190" s="0" t="s">
        <v>60494</v>
      </c>
      <c r="K18190" s="0" t="s">
        <v>60495</v>
      </c>
      <c r="L18190" s="0" t="str">
        <f aca="false">HYPERLINK("https://www.ncbi.nlm.nih.gov/nuccore/CP000058.1?report=graph&amp;tracks=[key:gene_model_track,Options:GeneOnly]&amp;mk=5594876:5594895|offset_8|444444,5594834:5594853|offset_50|00cc00,5594763:5594782|offset_121|444444,5594727:5594746|offset_157|444444&amp;v=5594675:5594946&amp;c=444444", "offset 50")</f>
        <v>offset 50</v>
      </c>
    </row>
    <row r="18191" customFormat="false" ht="12.8" hidden="false" customHeight="false" outlineLevel="0" collapsed="false">
      <c r="A18191" s="0" t="s">
        <v>12</v>
      </c>
      <c r="B18191" s="0" t="n">
        <v>5594762</v>
      </c>
      <c r="C18191" s="0" t="n">
        <v>5594782</v>
      </c>
      <c r="D18191" s="0" t="s">
        <v>60489</v>
      </c>
      <c r="E18191" s="0" t="s">
        <v>75</v>
      </c>
      <c r="F18191" s="0" t="s">
        <v>90</v>
      </c>
      <c r="G18191" s="0" t="s">
        <v>32</v>
      </c>
      <c r="H18191" s="0" t="n">
        <v>121</v>
      </c>
      <c r="I18191" s="0" t="s">
        <v>60496</v>
      </c>
      <c r="J18191" s="0" t="s">
        <v>60497</v>
      </c>
      <c r="K18191" s="0" t="s">
        <v>60498</v>
      </c>
      <c r="L18191" s="0" t="str">
        <f aca="false">HYPERLINK("https://www.ncbi.nlm.nih.gov/nuccore/CP000058.1?report=graph&amp;tracks=[key:gene_model_track,Options:GeneOnly]&amp;mk=5594876:5594895|offset_8|444444,5594834:5594853|offset_50|444444,5594763:5594782|offset_121|00cc00,5594727:5594746|offset_157|444444&amp;v=5594675:5594946&amp;c=444444", "offset 121")</f>
        <v>offset 121</v>
      </c>
    </row>
    <row r="18192" customFormat="false" ht="12.8" hidden="false" customHeight="false" outlineLevel="0" collapsed="false">
      <c r="A18192" s="0" t="s">
        <v>12</v>
      </c>
      <c r="B18192" s="0" t="n">
        <v>5594726</v>
      </c>
      <c r="C18192" s="0" t="n">
        <v>5594746</v>
      </c>
      <c r="D18192" s="0" t="s">
        <v>60489</v>
      </c>
      <c r="E18192" s="0" t="s">
        <v>75</v>
      </c>
      <c r="F18192" s="0" t="s">
        <v>90</v>
      </c>
      <c r="G18192" s="0" t="s">
        <v>16</v>
      </c>
      <c r="H18192" s="0" t="n">
        <v>157</v>
      </c>
      <c r="I18192" s="0" t="s">
        <v>60499</v>
      </c>
      <c r="J18192" s="0" t="s">
        <v>60500</v>
      </c>
      <c r="K18192" s="0" t="s">
        <v>60501</v>
      </c>
      <c r="L18192" s="0" t="str">
        <f aca="false">HYPERLINK("https://www.ncbi.nlm.nih.gov/nuccore/CP000058.1?report=graph&amp;tracks=[key:gene_model_track,Options:GeneOnly]&amp;mk=5594876:5594895|offset_8|444444,5594834:5594853|offset_50|444444,5594763:5594782|offset_121|444444,5594727:5594746|offset_157|00cc00&amp;v=5594675:5594946&amp;c=444444", "offset 157")</f>
        <v>offset 157</v>
      </c>
    </row>
    <row r="18193" customFormat="false" ht="12.8" hidden="false" customHeight="false" outlineLevel="0" collapsed="false">
      <c r="A18193" s="0" t="s">
        <v>12</v>
      </c>
      <c r="B18193" s="0" t="n">
        <v>5595785</v>
      </c>
      <c r="C18193" s="0" t="n">
        <v>5595805</v>
      </c>
      <c r="D18193" s="0" t="s">
        <v>60502</v>
      </c>
      <c r="E18193" s="0" t="s">
        <v>75</v>
      </c>
      <c r="F18193" s="0" t="s">
        <v>90</v>
      </c>
      <c r="G18193" s="0" t="s">
        <v>20</v>
      </c>
      <c r="H18193" s="0" t="n">
        <v>0</v>
      </c>
      <c r="I18193" s="0" t="s">
        <v>60503</v>
      </c>
      <c r="J18193" s="0" t="s">
        <v>60504</v>
      </c>
      <c r="K18193" s="0" t="s">
        <v>60505</v>
      </c>
      <c r="L18193" s="0" t="str">
        <f aca="false">HYPERLINK("https://www.ncbi.nlm.nih.gov/nuccore/CP000058.1?report=graph&amp;tracks=[key:gene_model_track,Options:GeneOnly]&amp;mk=5595786:5595805|offset_0|00cc00,5595760:5595779|offset_26|444444,5595703:5595722|offset_83|444444,5595650:5595669|offset_136|444444&amp;v=5595585:5595869&amp;c=444444", "offset 0")</f>
        <v>offset 0</v>
      </c>
    </row>
    <row r="18194" customFormat="false" ht="12.8" hidden="false" customHeight="false" outlineLevel="0" collapsed="false">
      <c r="A18194" s="0" t="s">
        <v>12</v>
      </c>
      <c r="B18194" s="0" t="n">
        <v>5595759</v>
      </c>
      <c r="C18194" s="0" t="n">
        <v>5595779</v>
      </c>
      <c r="D18194" s="0" t="s">
        <v>60502</v>
      </c>
      <c r="E18194" s="0" t="s">
        <v>75</v>
      </c>
      <c r="F18194" s="0" t="s">
        <v>90</v>
      </c>
      <c r="G18194" s="0" t="s">
        <v>36</v>
      </c>
      <c r="H18194" s="0" t="n">
        <v>26</v>
      </c>
      <c r="I18194" s="0" t="s">
        <v>60506</v>
      </c>
      <c r="J18194" s="0" t="s">
        <v>60507</v>
      </c>
      <c r="K18194" s="0" t="s">
        <v>60508</v>
      </c>
      <c r="L18194" s="0" t="str">
        <f aca="false">HYPERLINK("https://www.ncbi.nlm.nih.gov/nuccore/CP000058.1?report=graph&amp;tracks=[key:gene_model_track,Options:GeneOnly]&amp;mk=5595786:5595805|offset_0|444444,5595760:5595779|offset_26|00cc00,5595703:5595722|offset_83|444444,5595650:5595669|offset_136|444444&amp;v=5595585:5595869&amp;c=444444", "offset 26")</f>
        <v>offset 26</v>
      </c>
    </row>
    <row r="18195" customFormat="false" ht="12.8" hidden="false" customHeight="false" outlineLevel="0" collapsed="false">
      <c r="A18195" s="0" t="s">
        <v>12</v>
      </c>
      <c r="B18195" s="0" t="n">
        <v>5595702</v>
      </c>
      <c r="C18195" s="0" t="n">
        <v>5595722</v>
      </c>
      <c r="D18195" s="0" t="s">
        <v>60502</v>
      </c>
      <c r="E18195" s="0" t="s">
        <v>75</v>
      </c>
      <c r="F18195" s="0" t="s">
        <v>90</v>
      </c>
      <c r="G18195" s="0" t="s">
        <v>16</v>
      </c>
      <c r="H18195" s="0" t="n">
        <v>83</v>
      </c>
      <c r="I18195" s="0" t="s">
        <v>60509</v>
      </c>
      <c r="J18195" s="0" t="s">
        <v>60510</v>
      </c>
      <c r="K18195" s="0" t="s">
        <v>60511</v>
      </c>
      <c r="L18195" s="0" t="str">
        <f aca="false">HYPERLINK("https://www.ncbi.nlm.nih.gov/nuccore/CP000058.1?report=graph&amp;tracks=[key:gene_model_track,Options:GeneOnly]&amp;mk=5595786:5595805|offset_0|444444,5595760:5595779|offset_26|444444,5595703:5595722|offset_83|00cc00,5595650:5595669|offset_136|444444&amp;v=5595585:5595869&amp;c=444444", "offset 83")</f>
        <v>offset 83</v>
      </c>
    </row>
    <row r="18196" customFormat="false" ht="12.8" hidden="false" customHeight="false" outlineLevel="0" collapsed="false">
      <c r="A18196" s="0" t="s">
        <v>12</v>
      </c>
      <c r="B18196" s="0" t="n">
        <v>5595649</v>
      </c>
      <c r="C18196" s="0" t="n">
        <v>5595669</v>
      </c>
      <c r="D18196" s="0" t="s">
        <v>60502</v>
      </c>
      <c r="E18196" s="0" t="s">
        <v>75</v>
      </c>
      <c r="F18196" s="0" t="s">
        <v>90</v>
      </c>
      <c r="G18196" s="0" t="s">
        <v>16</v>
      </c>
      <c r="H18196" s="0" t="n">
        <v>136</v>
      </c>
      <c r="I18196" s="0" t="s">
        <v>60512</v>
      </c>
      <c r="J18196" s="0" t="s">
        <v>60513</v>
      </c>
      <c r="K18196" s="0" t="s">
        <v>60514</v>
      </c>
      <c r="L18196" s="0" t="str">
        <f aca="false">HYPERLINK("https://www.ncbi.nlm.nih.gov/nuccore/CP000058.1?report=graph&amp;tracks=[key:gene_model_track,Options:GeneOnly]&amp;mk=5595786:5595805|offset_0|444444,5595760:5595779|offset_26|444444,5595703:5595722|offset_83|444444,5595650:5595669|offset_136|00cc00&amp;v=5595585:5595869&amp;c=444444", "offset 136")</f>
        <v>offset 136</v>
      </c>
    </row>
    <row r="18197" customFormat="false" ht="12.8" hidden="false" customHeight="false" outlineLevel="0" collapsed="false">
      <c r="A18197" s="0" t="s">
        <v>12</v>
      </c>
      <c r="B18197" s="0" t="n">
        <v>5596528</v>
      </c>
      <c r="C18197" s="0" t="n">
        <v>5596548</v>
      </c>
      <c r="D18197" s="0" t="s">
        <v>60515</v>
      </c>
      <c r="E18197" s="0" t="s">
        <v>60516</v>
      </c>
      <c r="F18197" s="0" t="s">
        <v>90</v>
      </c>
      <c r="G18197" s="0" t="s">
        <v>36</v>
      </c>
      <c r="H18197" s="0" t="n">
        <v>14</v>
      </c>
      <c r="I18197" s="0" t="s">
        <v>60517</v>
      </c>
      <c r="J18197" s="0" t="s">
        <v>60518</v>
      </c>
      <c r="K18197" s="0" t="s">
        <v>60519</v>
      </c>
      <c r="L18197" s="0" t="str">
        <f aca="false">HYPERLINK("https://www.ncbi.nlm.nih.gov/nuccore/CP000058.1?report=graph&amp;tracks=[key:gene_model_track,Options:GeneOnly]&amp;mk=5596529:5596548|offset_14|00cc00,5596503:5596522|offset_40|444444,5596481:5596500|offset_62|444444,5596448:5596467|offset_95|444444&amp;v=5596328:5596667&amp;c=444444", "offset 14")</f>
        <v>offset 14</v>
      </c>
    </row>
    <row r="18198" customFormat="false" ht="12.8" hidden="false" customHeight="false" outlineLevel="0" collapsed="false">
      <c r="A18198" s="0" t="s">
        <v>12</v>
      </c>
      <c r="B18198" s="0" t="n">
        <v>5596502</v>
      </c>
      <c r="C18198" s="0" t="n">
        <v>5596522</v>
      </c>
      <c r="D18198" s="0" t="s">
        <v>60515</v>
      </c>
      <c r="E18198" s="0" t="s">
        <v>60516</v>
      </c>
      <c r="F18198" s="0" t="s">
        <v>90</v>
      </c>
      <c r="G18198" s="0" t="s">
        <v>20</v>
      </c>
      <c r="H18198" s="0" t="n">
        <v>40</v>
      </c>
      <c r="I18198" s="0" t="s">
        <v>60520</v>
      </c>
      <c r="J18198" s="0" t="s">
        <v>60521</v>
      </c>
      <c r="K18198" s="0" t="s">
        <v>60522</v>
      </c>
      <c r="L18198" s="0" t="str">
        <f aca="false">HYPERLINK("https://www.ncbi.nlm.nih.gov/nuccore/CP000058.1?report=graph&amp;tracks=[key:gene_model_track,Options:GeneOnly]&amp;mk=5596529:5596548|offset_14|444444,5596503:5596522|offset_40|00cc00,5596481:5596500|offset_62|444444,5596448:5596467|offset_95|444444&amp;v=5596328:5596667&amp;c=444444", "offset 40")</f>
        <v>offset 40</v>
      </c>
    </row>
    <row r="18199" customFormat="false" ht="12.8" hidden="false" customHeight="false" outlineLevel="0" collapsed="false">
      <c r="A18199" s="0" t="s">
        <v>12</v>
      </c>
      <c r="B18199" s="0" t="n">
        <v>5596480</v>
      </c>
      <c r="C18199" s="0" t="n">
        <v>5596500</v>
      </c>
      <c r="D18199" s="0" t="s">
        <v>60515</v>
      </c>
      <c r="E18199" s="0" t="s">
        <v>60516</v>
      </c>
      <c r="F18199" s="0" t="s">
        <v>90</v>
      </c>
      <c r="G18199" s="0" t="s">
        <v>16</v>
      </c>
      <c r="H18199" s="0" t="n">
        <v>62</v>
      </c>
      <c r="I18199" s="0" t="s">
        <v>60523</v>
      </c>
      <c r="J18199" s="0" t="s">
        <v>60524</v>
      </c>
      <c r="K18199" s="0" t="s">
        <v>60525</v>
      </c>
      <c r="L18199" s="0" t="str">
        <f aca="false">HYPERLINK("https://www.ncbi.nlm.nih.gov/nuccore/CP000058.1?report=graph&amp;tracks=[key:gene_model_track,Options:GeneOnly]&amp;mk=5596529:5596548|offset_14|444444,5596503:5596522|offset_40|444444,5596481:5596500|offset_62|00cc00,5596448:5596467|offset_95|444444&amp;v=5596328:5596667&amp;c=444444", "offset 62")</f>
        <v>offset 62</v>
      </c>
    </row>
    <row r="18200" customFormat="false" ht="12.8" hidden="false" customHeight="false" outlineLevel="0" collapsed="false">
      <c r="A18200" s="0" t="s">
        <v>12</v>
      </c>
      <c r="B18200" s="0" t="n">
        <v>5596447</v>
      </c>
      <c r="C18200" s="0" t="n">
        <v>5596467</v>
      </c>
      <c r="D18200" s="0" t="s">
        <v>60515</v>
      </c>
      <c r="E18200" s="0" t="s">
        <v>60516</v>
      </c>
      <c r="F18200" s="0" t="s">
        <v>90</v>
      </c>
      <c r="G18200" s="0" t="s">
        <v>36</v>
      </c>
      <c r="H18200" s="0" t="n">
        <v>95</v>
      </c>
      <c r="I18200" s="0" t="s">
        <v>60526</v>
      </c>
      <c r="J18200" s="0" t="s">
        <v>60527</v>
      </c>
      <c r="K18200" s="0" t="s">
        <v>60528</v>
      </c>
      <c r="L18200" s="0" t="str">
        <f aca="false">HYPERLINK("https://www.ncbi.nlm.nih.gov/nuccore/CP000058.1?report=graph&amp;tracks=[key:gene_model_track,Options:GeneOnly]&amp;mk=5596529:5596548|offset_14|444444,5596503:5596522|offset_40|444444,5596481:5596500|offset_62|444444,5596448:5596467|offset_95|00cc00&amp;v=5596328:5596667&amp;c=444444", "offset 95")</f>
        <v>offset 95</v>
      </c>
    </row>
    <row r="18201" customFormat="false" ht="12.8" hidden="false" customHeight="false" outlineLevel="0" collapsed="false">
      <c r="A18201" s="0" t="s">
        <v>12</v>
      </c>
      <c r="B18201" s="0" t="n">
        <v>5596897</v>
      </c>
      <c r="C18201" s="0" t="n">
        <v>5596917</v>
      </c>
      <c r="D18201" s="0" t="s">
        <v>60529</v>
      </c>
      <c r="E18201" s="0" t="s">
        <v>75</v>
      </c>
      <c r="F18201" s="0" t="s">
        <v>90</v>
      </c>
      <c r="G18201" s="0" t="s">
        <v>32</v>
      </c>
      <c r="H18201" s="0" t="n">
        <v>31</v>
      </c>
      <c r="I18201" s="0" t="s">
        <v>60530</v>
      </c>
      <c r="J18201" s="0" t="s">
        <v>60531</v>
      </c>
      <c r="K18201" s="0" t="s">
        <v>60532</v>
      </c>
      <c r="L18201" s="0" t="str">
        <f aca="false">HYPERLINK("https://www.ncbi.nlm.nih.gov/nuccore/CP000058.1?report=graph&amp;tracks=[key:gene_model_track,Options:GeneOnly]&amp;mk=5596898:5596917|offset_31|00cc00,5596874:5596893|offset_55|444444,5596828:5596847|offset_101|444444,5596760:5596779|offset_169|444444&amp;v=5596697:5596979&amp;c=444444", "offset 31")</f>
        <v>offset 31</v>
      </c>
    </row>
    <row r="18202" customFormat="false" ht="12.8" hidden="false" customHeight="false" outlineLevel="0" collapsed="false">
      <c r="A18202" s="0" t="s">
        <v>12</v>
      </c>
      <c r="B18202" s="0" t="n">
        <v>5596873</v>
      </c>
      <c r="C18202" s="0" t="n">
        <v>5596893</v>
      </c>
      <c r="D18202" s="0" t="s">
        <v>60529</v>
      </c>
      <c r="E18202" s="0" t="s">
        <v>75</v>
      </c>
      <c r="F18202" s="0" t="s">
        <v>90</v>
      </c>
      <c r="G18202" s="0" t="s">
        <v>36</v>
      </c>
      <c r="H18202" s="0" t="n">
        <v>55</v>
      </c>
      <c r="I18202" s="0" t="s">
        <v>60533</v>
      </c>
      <c r="J18202" s="0" t="s">
        <v>60534</v>
      </c>
      <c r="K18202" s="0" t="s">
        <v>60535</v>
      </c>
      <c r="L18202" s="0" t="str">
        <f aca="false">HYPERLINK("https://www.ncbi.nlm.nih.gov/nuccore/CP000058.1?report=graph&amp;tracks=[key:gene_model_track,Options:GeneOnly]&amp;mk=5596898:5596917|offset_31|444444,5596874:5596893|offset_55|00cc00,5596828:5596847|offset_101|444444,5596760:5596779|offset_169|444444&amp;v=5596697:5596979&amp;c=444444", "offset 55")</f>
        <v>offset 55</v>
      </c>
    </row>
    <row r="18203" customFormat="false" ht="12.8" hidden="false" customHeight="false" outlineLevel="0" collapsed="false">
      <c r="A18203" s="0" t="s">
        <v>12</v>
      </c>
      <c r="B18203" s="0" t="n">
        <v>5596827</v>
      </c>
      <c r="C18203" s="0" t="n">
        <v>5596847</v>
      </c>
      <c r="D18203" s="0" t="s">
        <v>60529</v>
      </c>
      <c r="E18203" s="0" t="s">
        <v>75</v>
      </c>
      <c r="F18203" s="0" t="s">
        <v>90</v>
      </c>
      <c r="G18203" s="0" t="s">
        <v>20</v>
      </c>
      <c r="H18203" s="0" t="n">
        <v>101</v>
      </c>
      <c r="I18203" s="0" t="s">
        <v>60536</v>
      </c>
      <c r="J18203" s="0" t="s">
        <v>60537</v>
      </c>
      <c r="K18203" s="0" t="s">
        <v>60538</v>
      </c>
      <c r="L18203" s="0" t="str">
        <f aca="false">HYPERLINK("https://www.ncbi.nlm.nih.gov/nuccore/CP000058.1?report=graph&amp;tracks=[key:gene_model_track,Options:GeneOnly]&amp;mk=5596898:5596917|offset_31|444444,5596874:5596893|offset_55|444444,5596828:5596847|offset_101|00cc00,5596760:5596779|offset_169|444444&amp;v=5596697:5596979&amp;c=444444", "offset 101")</f>
        <v>offset 101</v>
      </c>
    </row>
    <row r="18204" customFormat="false" ht="12.8" hidden="false" customHeight="false" outlineLevel="0" collapsed="false">
      <c r="A18204" s="0" t="s">
        <v>12</v>
      </c>
      <c r="B18204" s="0" t="n">
        <v>5596759</v>
      </c>
      <c r="C18204" s="0" t="n">
        <v>5596779</v>
      </c>
      <c r="D18204" s="0" t="s">
        <v>60529</v>
      </c>
      <c r="E18204" s="0" t="s">
        <v>75</v>
      </c>
      <c r="F18204" s="0" t="s">
        <v>90</v>
      </c>
      <c r="G18204" s="0" t="s">
        <v>36</v>
      </c>
      <c r="H18204" s="0" t="n">
        <v>169</v>
      </c>
      <c r="I18204" s="0" t="s">
        <v>60539</v>
      </c>
      <c r="J18204" s="0" t="s">
        <v>60540</v>
      </c>
      <c r="K18204" s="0" t="s">
        <v>60541</v>
      </c>
      <c r="L18204" s="0" t="str">
        <f aca="false">HYPERLINK("https://www.ncbi.nlm.nih.gov/nuccore/CP000058.1?report=graph&amp;tracks=[key:gene_model_track,Options:GeneOnly]&amp;mk=5596898:5596917|offset_31|444444,5596874:5596893|offset_55|444444,5596828:5596847|offset_101|444444,5596760:5596779|offset_169|00cc00&amp;v=5596697:5596979&amp;c=444444", "offset 169")</f>
        <v>offset 169</v>
      </c>
    </row>
    <row r="18205" customFormat="false" ht="12.8" hidden="false" customHeight="false" outlineLevel="0" collapsed="false">
      <c r="A18205" s="0" t="s">
        <v>12</v>
      </c>
      <c r="B18205" s="0" t="n">
        <v>5597512</v>
      </c>
      <c r="C18205" s="0" t="n">
        <v>5597532</v>
      </c>
      <c r="D18205" s="0" t="s">
        <v>60542</v>
      </c>
      <c r="E18205" s="0" t="s">
        <v>60543</v>
      </c>
      <c r="F18205" s="0" t="s">
        <v>90</v>
      </c>
      <c r="G18205" s="0" t="s">
        <v>20</v>
      </c>
      <c r="H18205" s="0" t="n">
        <v>41</v>
      </c>
      <c r="I18205" s="0" t="s">
        <v>60544</v>
      </c>
      <c r="J18205" s="0" t="s">
        <v>60545</v>
      </c>
      <c r="K18205" s="0" t="s">
        <v>60546</v>
      </c>
      <c r="L18205" s="0" t="str">
        <f aca="false">HYPERLINK("https://www.ncbi.nlm.nih.gov/nuccore/CP000058.1?report=graph&amp;tracks=[key:gene_model_track,Options:GeneOnly]&amp;mk=5597513:5597532|offset_41|00cc00,5597471:5597490|offset_83|444444,5597448:5597467|offset_106|444444,5597426:5597445|offset_128|444444&amp;v=5597312:5597645&amp;c=444444", "offset 41")</f>
        <v>offset 41</v>
      </c>
    </row>
    <row r="18206" customFormat="false" ht="12.8" hidden="false" customHeight="false" outlineLevel="0" collapsed="false">
      <c r="A18206" s="0" t="s">
        <v>12</v>
      </c>
      <c r="B18206" s="0" t="n">
        <v>5597470</v>
      </c>
      <c r="C18206" s="0" t="n">
        <v>5597490</v>
      </c>
      <c r="D18206" s="0" t="s">
        <v>60542</v>
      </c>
      <c r="E18206" s="0" t="s">
        <v>60543</v>
      </c>
      <c r="F18206" s="0" t="s">
        <v>90</v>
      </c>
      <c r="G18206" s="0" t="s">
        <v>16</v>
      </c>
      <c r="H18206" s="0" t="n">
        <v>83</v>
      </c>
      <c r="I18206" s="0" t="s">
        <v>60547</v>
      </c>
      <c r="J18206" s="0" t="s">
        <v>60548</v>
      </c>
      <c r="K18206" s="0" t="s">
        <v>60549</v>
      </c>
      <c r="L18206" s="0" t="str">
        <f aca="false">HYPERLINK("https://www.ncbi.nlm.nih.gov/nuccore/CP000058.1?report=graph&amp;tracks=[key:gene_model_track,Options:GeneOnly]&amp;mk=5597513:5597532|offset_41|444444,5597471:5597490|offset_83|00cc00,5597448:5597467|offset_106|444444,5597426:5597445|offset_128|444444&amp;v=5597312:5597645&amp;c=444444", "offset 83")</f>
        <v>offset 83</v>
      </c>
    </row>
    <row r="18207" customFormat="false" ht="12.8" hidden="false" customHeight="false" outlineLevel="0" collapsed="false">
      <c r="A18207" s="0" t="s">
        <v>12</v>
      </c>
      <c r="B18207" s="0" t="n">
        <v>5597447</v>
      </c>
      <c r="C18207" s="0" t="n">
        <v>5597467</v>
      </c>
      <c r="D18207" s="0" t="s">
        <v>60542</v>
      </c>
      <c r="E18207" s="0" t="s">
        <v>60543</v>
      </c>
      <c r="F18207" s="0" t="s">
        <v>90</v>
      </c>
      <c r="G18207" s="0" t="s">
        <v>32</v>
      </c>
      <c r="H18207" s="0" t="n">
        <v>106</v>
      </c>
      <c r="I18207" s="0" t="s">
        <v>60550</v>
      </c>
      <c r="J18207" s="0" t="s">
        <v>60551</v>
      </c>
      <c r="K18207" s="0" t="s">
        <v>60552</v>
      </c>
      <c r="L18207" s="0" t="str">
        <f aca="false">HYPERLINK("https://www.ncbi.nlm.nih.gov/nuccore/CP000058.1?report=graph&amp;tracks=[key:gene_model_track,Options:GeneOnly]&amp;mk=5597513:5597532|offset_41|444444,5597471:5597490|offset_83|444444,5597448:5597467|offset_106|00cc00,5597426:5597445|offset_128|444444&amp;v=5597312:5597645&amp;c=444444", "offset 106")</f>
        <v>offset 106</v>
      </c>
    </row>
    <row r="18208" customFormat="false" ht="12.8" hidden="false" customHeight="false" outlineLevel="0" collapsed="false">
      <c r="A18208" s="0" t="s">
        <v>12</v>
      </c>
      <c r="B18208" s="0" t="n">
        <v>5597425</v>
      </c>
      <c r="C18208" s="0" t="n">
        <v>5597445</v>
      </c>
      <c r="D18208" s="0" t="s">
        <v>60542</v>
      </c>
      <c r="E18208" s="0" t="s">
        <v>60543</v>
      </c>
      <c r="F18208" s="0" t="s">
        <v>90</v>
      </c>
      <c r="G18208" s="0" t="s">
        <v>16</v>
      </c>
      <c r="H18208" s="0" t="n">
        <v>128</v>
      </c>
      <c r="I18208" s="0" t="s">
        <v>60553</v>
      </c>
      <c r="J18208" s="0" t="s">
        <v>60554</v>
      </c>
      <c r="K18208" s="0" t="s">
        <v>60555</v>
      </c>
      <c r="L18208" s="0" t="str">
        <f aca="false">HYPERLINK("https://www.ncbi.nlm.nih.gov/nuccore/CP000058.1?report=graph&amp;tracks=[key:gene_model_track,Options:GeneOnly]&amp;mk=5597513:5597532|offset_41|444444,5597471:5597490|offset_83|444444,5597448:5597467|offset_106|444444,5597426:5597445|offset_128|00cc00&amp;v=5597312:5597645&amp;c=444444", "offset 128")</f>
        <v>offset 128</v>
      </c>
    </row>
    <row r="18209" customFormat="false" ht="12.8" hidden="false" customHeight="false" outlineLevel="0" collapsed="false">
      <c r="A18209" s="0" t="s">
        <v>12</v>
      </c>
      <c r="B18209" s="0" t="n">
        <v>5598139</v>
      </c>
      <c r="C18209" s="0" t="n">
        <v>5598159</v>
      </c>
      <c r="D18209" s="0" t="s">
        <v>60556</v>
      </c>
      <c r="E18209" s="0" t="s">
        <v>60557</v>
      </c>
      <c r="F18209" s="0" t="s">
        <v>90</v>
      </c>
      <c r="G18209" s="0" t="s">
        <v>16</v>
      </c>
      <c r="H18209" s="0" t="n">
        <v>7</v>
      </c>
      <c r="I18209" s="0" t="s">
        <v>60558</v>
      </c>
      <c r="J18209" s="0" t="s">
        <v>60559</v>
      </c>
      <c r="K18209" s="0" t="s">
        <v>60560</v>
      </c>
      <c r="L18209" s="0" t="str">
        <f aca="false">HYPERLINK("https://www.ncbi.nlm.nih.gov/nuccore/CP000058.1?report=graph&amp;tracks=[key:gene_model_track,Options:GeneOnly]&amp;mk=5598140:5598159|offset_7|00cc00,5598101:5598120|offset_46|444444,5598079:5598098|offset_68|444444,5598059:5598078|offset_88|444444&amp;v=5597939:5598278&amp;c=444444", "offset 7")</f>
        <v>offset 7</v>
      </c>
    </row>
    <row r="18210" customFormat="false" ht="12.8" hidden="false" customHeight="false" outlineLevel="0" collapsed="false">
      <c r="A18210" s="0" t="s">
        <v>12</v>
      </c>
      <c r="B18210" s="0" t="n">
        <v>5598100</v>
      </c>
      <c r="C18210" s="0" t="n">
        <v>5598120</v>
      </c>
      <c r="D18210" s="0" t="s">
        <v>60556</v>
      </c>
      <c r="E18210" s="0" t="s">
        <v>60557</v>
      </c>
      <c r="F18210" s="0" t="s">
        <v>90</v>
      </c>
      <c r="G18210" s="0" t="s">
        <v>36</v>
      </c>
      <c r="H18210" s="0" t="n">
        <v>46</v>
      </c>
      <c r="I18210" s="0" t="s">
        <v>60561</v>
      </c>
      <c r="J18210" s="0" t="s">
        <v>60562</v>
      </c>
      <c r="K18210" s="0" t="s">
        <v>60563</v>
      </c>
      <c r="L18210" s="0" t="str">
        <f aca="false">HYPERLINK("https://www.ncbi.nlm.nih.gov/nuccore/CP000058.1?report=graph&amp;tracks=[key:gene_model_track,Options:GeneOnly]&amp;mk=5598140:5598159|offset_7|444444,5598101:5598120|offset_46|00cc00,5598079:5598098|offset_68|444444,5598059:5598078|offset_88|444444&amp;v=5597939:5598278&amp;c=444444", "offset 46")</f>
        <v>offset 46</v>
      </c>
    </row>
    <row r="18211" customFormat="false" ht="12.8" hidden="false" customHeight="false" outlineLevel="0" collapsed="false">
      <c r="A18211" s="0" t="s">
        <v>12</v>
      </c>
      <c r="B18211" s="0" t="n">
        <v>5598078</v>
      </c>
      <c r="C18211" s="0" t="n">
        <v>5598098</v>
      </c>
      <c r="D18211" s="0" t="s">
        <v>60556</v>
      </c>
      <c r="E18211" s="0" t="s">
        <v>60557</v>
      </c>
      <c r="F18211" s="0" t="s">
        <v>90</v>
      </c>
      <c r="G18211" s="0" t="s">
        <v>20</v>
      </c>
      <c r="H18211" s="0" t="n">
        <v>68</v>
      </c>
      <c r="I18211" s="0" t="s">
        <v>60564</v>
      </c>
      <c r="J18211" s="0" t="s">
        <v>60565</v>
      </c>
      <c r="K18211" s="0" t="s">
        <v>60566</v>
      </c>
      <c r="L18211" s="0" t="str">
        <f aca="false">HYPERLINK("https://www.ncbi.nlm.nih.gov/nuccore/CP000058.1?report=graph&amp;tracks=[key:gene_model_track,Options:GeneOnly]&amp;mk=5598140:5598159|offset_7|444444,5598101:5598120|offset_46|444444,5598079:5598098|offset_68|00cc00,5598059:5598078|offset_88|444444&amp;v=5597939:5598278&amp;c=444444", "offset 68")</f>
        <v>offset 68</v>
      </c>
    </row>
    <row r="18212" customFormat="false" ht="12.8" hidden="false" customHeight="false" outlineLevel="0" collapsed="false">
      <c r="A18212" s="0" t="s">
        <v>12</v>
      </c>
      <c r="B18212" s="0" t="n">
        <v>5598058</v>
      </c>
      <c r="C18212" s="0" t="n">
        <v>5598078</v>
      </c>
      <c r="D18212" s="0" t="s">
        <v>60556</v>
      </c>
      <c r="E18212" s="0" t="s">
        <v>60557</v>
      </c>
      <c r="F18212" s="0" t="s">
        <v>90</v>
      </c>
      <c r="G18212" s="0" t="s">
        <v>36</v>
      </c>
      <c r="H18212" s="0" t="n">
        <v>88</v>
      </c>
      <c r="I18212" s="0" t="s">
        <v>60567</v>
      </c>
      <c r="J18212" s="0" t="s">
        <v>60568</v>
      </c>
      <c r="K18212" s="0" t="s">
        <v>60569</v>
      </c>
      <c r="L18212" s="0" t="str">
        <f aca="false">HYPERLINK("https://www.ncbi.nlm.nih.gov/nuccore/CP000058.1?report=graph&amp;tracks=[key:gene_model_track,Options:GeneOnly]&amp;mk=5598140:5598159|offset_7|444444,5598101:5598120|offset_46|444444,5598079:5598098|offset_68|444444,5598059:5598078|offset_88|00cc00&amp;v=5597939:5598278&amp;c=444444", "offset 88")</f>
        <v>offset 88</v>
      </c>
    </row>
    <row r="18213" customFormat="false" ht="12.8" hidden="false" customHeight="false" outlineLevel="0" collapsed="false">
      <c r="A18213" s="0" t="s">
        <v>12</v>
      </c>
      <c r="B18213" s="0" t="n">
        <v>5599428</v>
      </c>
      <c r="C18213" s="0" t="n">
        <v>5599448</v>
      </c>
      <c r="D18213" s="0" t="s">
        <v>60570</v>
      </c>
      <c r="E18213" s="0" t="s">
        <v>60571</v>
      </c>
      <c r="F18213" s="0" t="s">
        <v>90</v>
      </c>
      <c r="G18213" s="0" t="s">
        <v>36</v>
      </c>
      <c r="H18213" s="0" t="n">
        <v>10</v>
      </c>
      <c r="I18213" s="0" t="s">
        <v>60572</v>
      </c>
      <c r="J18213" s="0" t="s">
        <v>60573</v>
      </c>
      <c r="K18213" s="0" t="s">
        <v>60574</v>
      </c>
      <c r="L18213" s="0" t="str">
        <f aca="false">HYPERLINK("https://www.ncbi.nlm.nih.gov/nuccore/CP000058.1?report=graph&amp;tracks=[key:gene_model_track,Options:GeneOnly]&amp;mk=5599429:5599448|offset_10|00cc00,5599403:5599422|offset_36|444444,5599381:5599400|offset_58|444444,5599314:5599333|offset_125|444444&amp;v=5599228:5599533&amp;c=444444", "offset 10")</f>
        <v>offset 10</v>
      </c>
    </row>
    <row r="18214" customFormat="false" ht="12.8" hidden="false" customHeight="false" outlineLevel="0" collapsed="false">
      <c r="A18214" s="0" t="s">
        <v>12</v>
      </c>
      <c r="B18214" s="0" t="n">
        <v>5599402</v>
      </c>
      <c r="C18214" s="0" t="n">
        <v>5599422</v>
      </c>
      <c r="D18214" s="0" t="s">
        <v>60570</v>
      </c>
      <c r="E18214" s="0" t="s">
        <v>60571</v>
      </c>
      <c r="F18214" s="0" t="s">
        <v>90</v>
      </c>
      <c r="G18214" s="0" t="s">
        <v>16</v>
      </c>
      <c r="H18214" s="0" t="n">
        <v>36</v>
      </c>
      <c r="I18214" s="0" t="s">
        <v>60575</v>
      </c>
      <c r="J18214" s="0" t="s">
        <v>60576</v>
      </c>
      <c r="K18214" s="0" t="s">
        <v>60577</v>
      </c>
      <c r="L18214" s="0" t="str">
        <f aca="false">HYPERLINK("https://www.ncbi.nlm.nih.gov/nuccore/CP000058.1?report=graph&amp;tracks=[key:gene_model_track,Options:GeneOnly]&amp;mk=5599429:5599448|offset_10|444444,5599403:5599422|offset_36|00cc00,5599381:5599400|offset_58|444444,5599314:5599333|offset_125|444444&amp;v=5599228:5599533&amp;c=444444", "offset 36")</f>
        <v>offset 36</v>
      </c>
    </row>
    <row r="18215" customFormat="false" ht="12.8" hidden="false" customHeight="false" outlineLevel="0" collapsed="false">
      <c r="A18215" s="0" t="s">
        <v>12</v>
      </c>
      <c r="B18215" s="0" t="n">
        <v>5599380</v>
      </c>
      <c r="C18215" s="0" t="n">
        <v>5599400</v>
      </c>
      <c r="D18215" s="0" t="s">
        <v>60570</v>
      </c>
      <c r="E18215" s="0" t="s">
        <v>60571</v>
      </c>
      <c r="F18215" s="0" t="s">
        <v>90</v>
      </c>
      <c r="G18215" s="0" t="s">
        <v>20</v>
      </c>
      <c r="H18215" s="0" t="n">
        <v>58</v>
      </c>
      <c r="I18215" s="0" t="s">
        <v>60578</v>
      </c>
      <c r="J18215" s="0" t="s">
        <v>60579</v>
      </c>
      <c r="K18215" s="0" t="s">
        <v>60580</v>
      </c>
      <c r="L18215" s="0" t="str">
        <f aca="false">HYPERLINK("https://www.ncbi.nlm.nih.gov/nuccore/CP000058.1?report=graph&amp;tracks=[key:gene_model_track,Options:GeneOnly]&amp;mk=5599429:5599448|offset_10|444444,5599403:5599422|offset_36|444444,5599381:5599400|offset_58|00cc00,5599314:5599333|offset_125|444444&amp;v=5599228:5599533&amp;c=444444", "offset 58")</f>
        <v>offset 58</v>
      </c>
    </row>
    <row r="18216" customFormat="false" ht="12.8" hidden="false" customHeight="false" outlineLevel="0" collapsed="false">
      <c r="A18216" s="0" t="s">
        <v>12</v>
      </c>
      <c r="B18216" s="0" t="n">
        <v>5599313</v>
      </c>
      <c r="C18216" s="0" t="n">
        <v>5599333</v>
      </c>
      <c r="D18216" s="0" t="s">
        <v>60570</v>
      </c>
      <c r="E18216" s="0" t="s">
        <v>60571</v>
      </c>
      <c r="F18216" s="0" t="s">
        <v>90</v>
      </c>
      <c r="G18216" s="0" t="s">
        <v>16</v>
      </c>
      <c r="H18216" s="0" t="n">
        <v>125</v>
      </c>
      <c r="I18216" s="0" t="s">
        <v>60581</v>
      </c>
      <c r="J18216" s="0" t="s">
        <v>60582</v>
      </c>
      <c r="K18216" s="0" t="s">
        <v>60583</v>
      </c>
      <c r="L18216" s="0" t="str">
        <f aca="false">HYPERLINK("https://www.ncbi.nlm.nih.gov/nuccore/CP000058.1?report=graph&amp;tracks=[key:gene_model_track,Options:GeneOnly]&amp;mk=5599429:5599448|offset_10|444444,5599403:5599422|offset_36|444444,5599381:5599400|offset_58|444444,5599314:5599333|offset_125|00cc00&amp;v=5599228:5599533&amp;c=444444", "offset 125")</f>
        <v>offset 125</v>
      </c>
    </row>
    <row r="18217" customFormat="false" ht="12.8" hidden="false" customHeight="false" outlineLevel="0" collapsed="false">
      <c r="A18217" s="0" t="s">
        <v>12</v>
      </c>
      <c r="B18217" s="0" t="n">
        <v>5601432</v>
      </c>
      <c r="C18217" s="0" t="n">
        <v>5601452</v>
      </c>
      <c r="D18217" s="0" t="s">
        <v>60584</v>
      </c>
      <c r="E18217" s="0" t="s">
        <v>75</v>
      </c>
      <c r="F18217" s="0" t="s">
        <v>90</v>
      </c>
      <c r="G18217" s="0" t="s">
        <v>16</v>
      </c>
      <c r="H18217" s="0" t="n">
        <v>7</v>
      </c>
      <c r="I18217" s="0" t="s">
        <v>60585</v>
      </c>
      <c r="J18217" s="0" t="s">
        <v>60586</v>
      </c>
      <c r="K18217" s="0" t="s">
        <v>60587</v>
      </c>
      <c r="L18217" s="0" t="str">
        <f aca="false">HYPERLINK("https://www.ncbi.nlm.nih.gov/nuccore/CP000058.1?report=graph&amp;tracks=[key:gene_model_track,Options:GeneOnly]&amp;mk=5601433:5601452|offset_7|00cc00,5601407:5601426|offset_33|444444,5601349:5601368|offset_91|444444,5601326:5601345|offset_114|444444&amp;v=5601232:5601545&amp;c=444444", "offset 7")</f>
        <v>offset 7</v>
      </c>
    </row>
    <row r="18218" customFormat="false" ht="12.8" hidden="false" customHeight="false" outlineLevel="0" collapsed="false">
      <c r="A18218" s="0" t="s">
        <v>12</v>
      </c>
      <c r="B18218" s="0" t="n">
        <v>5601406</v>
      </c>
      <c r="C18218" s="0" t="n">
        <v>5601426</v>
      </c>
      <c r="D18218" s="0" t="s">
        <v>60584</v>
      </c>
      <c r="E18218" s="0" t="s">
        <v>75</v>
      </c>
      <c r="F18218" s="0" t="s">
        <v>90</v>
      </c>
      <c r="G18218" s="0" t="s">
        <v>32</v>
      </c>
      <c r="H18218" s="0" t="n">
        <v>33</v>
      </c>
      <c r="I18218" s="0" t="s">
        <v>60588</v>
      </c>
      <c r="J18218" s="0" t="s">
        <v>60589</v>
      </c>
      <c r="K18218" s="0" t="s">
        <v>60590</v>
      </c>
      <c r="L18218" s="0" t="str">
        <f aca="false">HYPERLINK("https://www.ncbi.nlm.nih.gov/nuccore/CP000058.1?report=graph&amp;tracks=[key:gene_model_track,Options:GeneOnly]&amp;mk=5601433:5601452|offset_7|444444,5601407:5601426|offset_33|00cc00,5601349:5601368|offset_91|444444,5601326:5601345|offset_114|444444&amp;v=5601232:5601545&amp;c=444444", "offset 33")</f>
        <v>offset 33</v>
      </c>
    </row>
    <row r="18219" customFormat="false" ht="12.8" hidden="false" customHeight="false" outlineLevel="0" collapsed="false">
      <c r="A18219" s="0" t="s">
        <v>12</v>
      </c>
      <c r="B18219" s="0" t="n">
        <v>5601348</v>
      </c>
      <c r="C18219" s="0" t="n">
        <v>5601368</v>
      </c>
      <c r="D18219" s="0" t="s">
        <v>60584</v>
      </c>
      <c r="E18219" s="0" t="s">
        <v>75</v>
      </c>
      <c r="F18219" s="0" t="s">
        <v>90</v>
      </c>
      <c r="G18219" s="0" t="s">
        <v>20</v>
      </c>
      <c r="H18219" s="0" t="n">
        <v>91</v>
      </c>
      <c r="I18219" s="0" t="s">
        <v>60591</v>
      </c>
      <c r="J18219" s="0" t="s">
        <v>60592</v>
      </c>
      <c r="K18219" s="0" t="s">
        <v>60593</v>
      </c>
      <c r="L18219" s="0" t="str">
        <f aca="false">HYPERLINK("https://www.ncbi.nlm.nih.gov/nuccore/CP000058.1?report=graph&amp;tracks=[key:gene_model_track,Options:GeneOnly]&amp;mk=5601433:5601452|offset_7|444444,5601407:5601426|offset_33|444444,5601349:5601368|offset_91|00cc00,5601326:5601345|offset_114|444444&amp;v=5601232:5601545&amp;c=444444", "offset 91")</f>
        <v>offset 91</v>
      </c>
    </row>
    <row r="18220" customFormat="false" ht="12.8" hidden="false" customHeight="false" outlineLevel="0" collapsed="false">
      <c r="A18220" s="0" t="s">
        <v>12</v>
      </c>
      <c r="B18220" s="0" t="n">
        <v>5601325</v>
      </c>
      <c r="C18220" s="0" t="n">
        <v>5601345</v>
      </c>
      <c r="D18220" s="0" t="s">
        <v>60584</v>
      </c>
      <c r="E18220" s="0" t="s">
        <v>75</v>
      </c>
      <c r="F18220" s="0" t="s">
        <v>90</v>
      </c>
      <c r="G18220" s="0" t="s">
        <v>20</v>
      </c>
      <c r="H18220" s="0" t="n">
        <v>114</v>
      </c>
      <c r="I18220" s="0" t="s">
        <v>60594</v>
      </c>
      <c r="J18220" s="0" t="s">
        <v>60595</v>
      </c>
      <c r="K18220" s="0" t="s">
        <v>60596</v>
      </c>
      <c r="L18220" s="0" t="str">
        <f aca="false">HYPERLINK("https://www.ncbi.nlm.nih.gov/nuccore/CP000058.1?report=graph&amp;tracks=[key:gene_model_track,Options:GeneOnly]&amp;mk=5601433:5601452|offset_7|444444,5601407:5601426|offset_33|444444,5601349:5601368|offset_91|444444,5601326:5601345|offset_114|00cc00&amp;v=5601232:5601545&amp;c=444444", "offset 114")</f>
        <v>offset 114</v>
      </c>
    </row>
    <row r="18221" customFormat="false" ht="12.8" hidden="false" customHeight="false" outlineLevel="0" collapsed="false">
      <c r="A18221" s="0" t="s">
        <v>12</v>
      </c>
      <c r="B18221" s="0" t="n">
        <v>5601815</v>
      </c>
      <c r="C18221" s="0" t="n">
        <v>5601835</v>
      </c>
      <c r="D18221" s="0" t="s">
        <v>60597</v>
      </c>
      <c r="E18221" s="0" t="s">
        <v>75</v>
      </c>
      <c r="F18221" s="0" t="s">
        <v>15</v>
      </c>
      <c r="G18221" s="0" t="s">
        <v>36</v>
      </c>
      <c r="H18221" s="0" t="n">
        <v>0</v>
      </c>
      <c r="I18221" s="0" t="s">
        <v>60598</v>
      </c>
      <c r="J18221" s="0" t="s">
        <v>60599</v>
      </c>
      <c r="K18221" s="0" t="s">
        <v>60600</v>
      </c>
      <c r="L18221" s="0" t="str">
        <f aca="false">HYPERLINK("https://www.ncbi.nlm.nih.gov/nuccore/CP000058.1?report=graph&amp;tracks=[key:gene_model_track,Options:GeneOnly]&amp;mk=5601816:5601835|offset_0|00cc00,5601839:5601858|offset_23|444444,5601892:5601911|offset_76|444444,5601912:5601931|offset_96|444444&amp;v=5601615:5602131&amp;c=444444", "offset 0")</f>
        <v>offset 0</v>
      </c>
    </row>
    <row r="18222" customFormat="false" ht="12.8" hidden="false" customHeight="false" outlineLevel="0" collapsed="false">
      <c r="A18222" s="0" t="s">
        <v>12</v>
      </c>
      <c r="B18222" s="0" t="n">
        <v>5601838</v>
      </c>
      <c r="C18222" s="0" t="n">
        <v>5601858</v>
      </c>
      <c r="D18222" s="0" t="s">
        <v>60597</v>
      </c>
      <c r="E18222" s="0" t="s">
        <v>75</v>
      </c>
      <c r="F18222" s="0" t="s">
        <v>15</v>
      </c>
      <c r="G18222" s="0" t="s">
        <v>20</v>
      </c>
      <c r="H18222" s="0" t="n">
        <v>23</v>
      </c>
      <c r="I18222" s="0" t="s">
        <v>60601</v>
      </c>
      <c r="J18222" s="0" t="s">
        <v>60602</v>
      </c>
      <c r="K18222" s="0" t="s">
        <v>60603</v>
      </c>
      <c r="L18222" s="0" t="str">
        <f aca="false">HYPERLINK("https://www.ncbi.nlm.nih.gov/nuccore/CP000058.1?report=graph&amp;tracks=[key:gene_model_track,Options:GeneOnly]&amp;mk=5601816:5601835|offset_0|444444,5601839:5601858|offset_23|00cc00,5601892:5601911|offset_76|444444,5601912:5601931|offset_96|444444&amp;v=5601615:5602131&amp;c=444444", "offset 23")</f>
        <v>offset 23</v>
      </c>
    </row>
    <row r="18223" customFormat="false" ht="12.8" hidden="false" customHeight="false" outlineLevel="0" collapsed="false">
      <c r="A18223" s="0" t="s">
        <v>12</v>
      </c>
      <c r="B18223" s="0" t="n">
        <v>5601891</v>
      </c>
      <c r="C18223" s="0" t="n">
        <v>5601911</v>
      </c>
      <c r="D18223" s="0" t="s">
        <v>60597</v>
      </c>
      <c r="E18223" s="0" t="s">
        <v>75</v>
      </c>
      <c r="F18223" s="0" t="s">
        <v>15</v>
      </c>
      <c r="G18223" s="0" t="s">
        <v>36</v>
      </c>
      <c r="H18223" s="0" t="n">
        <v>76</v>
      </c>
      <c r="I18223" s="0" t="s">
        <v>60604</v>
      </c>
      <c r="J18223" s="0" t="s">
        <v>60605</v>
      </c>
      <c r="K18223" s="0" t="s">
        <v>60606</v>
      </c>
      <c r="L18223" s="0" t="str">
        <f aca="false">HYPERLINK("https://www.ncbi.nlm.nih.gov/nuccore/CP000058.1?report=graph&amp;tracks=[key:gene_model_track,Options:GeneOnly]&amp;mk=5601816:5601835|offset_0|444444,5601839:5601858|offset_23|444444,5601892:5601911|offset_76|00cc00,5601912:5601931|offset_96|444444&amp;v=5601615:5602131&amp;c=444444", "offset 76")</f>
        <v>offset 76</v>
      </c>
    </row>
    <row r="18224" customFormat="false" ht="12.8" hidden="false" customHeight="false" outlineLevel="0" collapsed="false">
      <c r="A18224" s="0" t="s">
        <v>12</v>
      </c>
      <c r="B18224" s="0" t="n">
        <v>5601911</v>
      </c>
      <c r="C18224" s="0" t="n">
        <v>5601931</v>
      </c>
      <c r="D18224" s="0" t="s">
        <v>60597</v>
      </c>
      <c r="E18224" s="0" t="s">
        <v>75</v>
      </c>
      <c r="F18224" s="0" t="s">
        <v>15</v>
      </c>
      <c r="G18224" s="0" t="s">
        <v>36</v>
      </c>
      <c r="H18224" s="0" t="n">
        <v>96</v>
      </c>
      <c r="I18224" s="0" t="s">
        <v>60607</v>
      </c>
      <c r="J18224" s="0" t="s">
        <v>60608</v>
      </c>
      <c r="K18224" s="0" t="s">
        <v>60609</v>
      </c>
      <c r="L18224" s="0" t="str">
        <f aca="false">HYPERLINK("https://www.ncbi.nlm.nih.gov/nuccore/CP000058.1?report=graph&amp;tracks=[key:gene_model_track,Options:GeneOnly]&amp;mk=5601816:5601835|offset_0|444444,5601839:5601858|offset_23|444444,5601892:5601911|offset_76|444444,5601912:5601931|offset_96|00cc00&amp;v=5601615:5602131&amp;c=444444", "offset 96")</f>
        <v>offset 96</v>
      </c>
    </row>
    <row r="18225" customFormat="false" ht="12.8" hidden="false" customHeight="false" outlineLevel="0" collapsed="false">
      <c r="A18225" s="0" t="s">
        <v>12</v>
      </c>
      <c r="B18225" s="0" t="n">
        <v>5604138</v>
      </c>
      <c r="C18225" s="0" t="n">
        <v>5604158</v>
      </c>
      <c r="D18225" s="0" t="s">
        <v>60610</v>
      </c>
      <c r="E18225" s="0" t="s">
        <v>60611</v>
      </c>
      <c r="F18225" s="0" t="s">
        <v>15</v>
      </c>
      <c r="G18225" s="0" t="s">
        <v>32</v>
      </c>
      <c r="H18225" s="0" t="n">
        <v>1</v>
      </c>
      <c r="I18225" s="0" t="s">
        <v>60612</v>
      </c>
      <c r="J18225" s="0" t="s">
        <v>60613</v>
      </c>
      <c r="K18225" s="0" t="s">
        <v>60614</v>
      </c>
      <c r="L18225" s="0" t="str">
        <f aca="false">HYPERLINK("https://www.ncbi.nlm.nih.gov/nuccore/CP000058.1?report=graph&amp;tracks=[key:gene_model_track,Options:GeneOnly]&amp;mk=5604139:5604158|offset_1|00cc00,5604160:5604179|offset_22|444444,5604185:5604204|offset_47|444444,5604207:5604226|offset_69|444444&amp;v=5603938:5604426&amp;c=444444", "offset 1")</f>
        <v>offset 1</v>
      </c>
    </row>
    <row r="18226" customFormat="false" ht="12.8" hidden="false" customHeight="false" outlineLevel="0" collapsed="false">
      <c r="A18226" s="0" t="s">
        <v>12</v>
      </c>
      <c r="B18226" s="0" t="n">
        <v>5604159</v>
      </c>
      <c r="C18226" s="0" t="n">
        <v>5604179</v>
      </c>
      <c r="D18226" s="0" t="s">
        <v>60610</v>
      </c>
      <c r="E18226" s="0" t="s">
        <v>60611</v>
      </c>
      <c r="F18226" s="0" t="s">
        <v>15</v>
      </c>
      <c r="G18226" s="0" t="s">
        <v>32</v>
      </c>
      <c r="H18226" s="0" t="n">
        <v>22</v>
      </c>
      <c r="I18226" s="0" t="s">
        <v>60615</v>
      </c>
      <c r="J18226" s="0" t="s">
        <v>60616</v>
      </c>
      <c r="K18226" s="0" t="s">
        <v>60617</v>
      </c>
      <c r="L18226" s="0" t="str">
        <f aca="false">HYPERLINK("https://www.ncbi.nlm.nih.gov/nuccore/CP000058.1?report=graph&amp;tracks=[key:gene_model_track,Options:GeneOnly]&amp;mk=5604139:5604158|offset_1|444444,5604160:5604179|offset_22|00cc00,5604185:5604204|offset_47|444444,5604207:5604226|offset_69|444444&amp;v=5603938:5604426&amp;c=444444", "offset 22")</f>
        <v>offset 22</v>
      </c>
    </row>
    <row r="18227" customFormat="false" ht="12.8" hidden="false" customHeight="false" outlineLevel="0" collapsed="false">
      <c r="A18227" s="0" t="s">
        <v>12</v>
      </c>
      <c r="B18227" s="0" t="n">
        <v>5604184</v>
      </c>
      <c r="C18227" s="0" t="n">
        <v>5604204</v>
      </c>
      <c r="D18227" s="0" t="s">
        <v>60610</v>
      </c>
      <c r="E18227" s="0" t="s">
        <v>60611</v>
      </c>
      <c r="F18227" s="0" t="s">
        <v>15</v>
      </c>
      <c r="G18227" s="0" t="s">
        <v>16</v>
      </c>
      <c r="H18227" s="0" t="n">
        <v>47</v>
      </c>
      <c r="I18227" s="0" t="s">
        <v>60618</v>
      </c>
      <c r="J18227" s="0" t="s">
        <v>60619</v>
      </c>
      <c r="K18227" s="0" t="s">
        <v>60620</v>
      </c>
      <c r="L18227" s="0" t="str">
        <f aca="false">HYPERLINK("https://www.ncbi.nlm.nih.gov/nuccore/CP000058.1?report=graph&amp;tracks=[key:gene_model_track,Options:GeneOnly]&amp;mk=5604139:5604158|offset_1|444444,5604160:5604179|offset_22|444444,5604185:5604204|offset_47|00cc00,5604207:5604226|offset_69|444444&amp;v=5603938:5604426&amp;c=444444", "offset 47")</f>
        <v>offset 47</v>
      </c>
    </row>
    <row r="18228" customFormat="false" ht="12.8" hidden="false" customHeight="false" outlineLevel="0" collapsed="false">
      <c r="A18228" s="0" t="s">
        <v>12</v>
      </c>
      <c r="B18228" s="0" t="n">
        <v>5604206</v>
      </c>
      <c r="C18228" s="0" t="n">
        <v>5604226</v>
      </c>
      <c r="D18228" s="0" t="s">
        <v>60610</v>
      </c>
      <c r="E18228" s="0" t="s">
        <v>60611</v>
      </c>
      <c r="F18228" s="0" t="s">
        <v>15</v>
      </c>
      <c r="G18228" s="0" t="s">
        <v>36</v>
      </c>
      <c r="H18228" s="0" t="n">
        <v>69</v>
      </c>
      <c r="I18228" s="0" t="s">
        <v>60621</v>
      </c>
      <c r="J18228" s="0" t="s">
        <v>60622</v>
      </c>
      <c r="K18228" s="0" t="s">
        <v>60623</v>
      </c>
      <c r="L18228" s="0" t="str">
        <f aca="false">HYPERLINK("https://www.ncbi.nlm.nih.gov/nuccore/CP000058.1?report=graph&amp;tracks=[key:gene_model_track,Options:GeneOnly]&amp;mk=5604139:5604158|offset_1|444444,5604160:5604179|offset_22|444444,5604185:5604204|offset_47|444444,5604207:5604226|offset_69|00cc00&amp;v=5603938:5604426&amp;c=444444", "offset 69")</f>
        <v>offset 69</v>
      </c>
    </row>
    <row r="18229" customFormat="false" ht="12.8" hidden="false" customHeight="false" outlineLevel="0" collapsed="false">
      <c r="A18229" s="0" t="s">
        <v>12</v>
      </c>
      <c r="B18229" s="0" t="n">
        <v>5605208</v>
      </c>
      <c r="C18229" s="0" t="n">
        <v>5605228</v>
      </c>
      <c r="D18229" s="0" t="s">
        <v>60624</v>
      </c>
      <c r="E18229" s="0" t="s">
        <v>75</v>
      </c>
      <c r="F18229" s="0" t="s">
        <v>15</v>
      </c>
      <c r="G18229" s="0" t="s">
        <v>36</v>
      </c>
      <c r="H18229" s="0" t="n">
        <v>7</v>
      </c>
      <c r="I18229" s="0" t="s">
        <v>60625</v>
      </c>
      <c r="J18229" s="0" t="s">
        <v>60626</v>
      </c>
      <c r="K18229" s="0" t="s">
        <v>60627</v>
      </c>
      <c r="L18229" s="0" t="str">
        <f aca="false">HYPERLINK("https://www.ncbi.nlm.nih.gov/nuccore/CP000058.1?report=graph&amp;tracks=[key:gene_model_track,Options:GeneOnly]&amp;mk=5605209:5605228|offset_7|00cc00,5605247:5605266|offset_45|444444,5605270:5605289|offset_68|444444,5605300:5605319|offset_98|444444&amp;v=5605008:5605519&amp;c=444444", "offset 7")</f>
        <v>offset 7</v>
      </c>
    </row>
    <row r="18230" customFormat="false" ht="12.8" hidden="false" customHeight="false" outlineLevel="0" collapsed="false">
      <c r="A18230" s="0" t="s">
        <v>12</v>
      </c>
      <c r="B18230" s="0" t="n">
        <v>5605246</v>
      </c>
      <c r="C18230" s="0" t="n">
        <v>5605266</v>
      </c>
      <c r="D18230" s="0" t="s">
        <v>60624</v>
      </c>
      <c r="E18230" s="0" t="s">
        <v>75</v>
      </c>
      <c r="F18230" s="0" t="s">
        <v>15</v>
      </c>
      <c r="G18230" s="0" t="s">
        <v>36</v>
      </c>
      <c r="H18230" s="0" t="n">
        <v>45</v>
      </c>
      <c r="I18230" s="0" t="s">
        <v>60628</v>
      </c>
      <c r="J18230" s="0" t="s">
        <v>60629</v>
      </c>
      <c r="K18230" s="0" t="s">
        <v>60630</v>
      </c>
      <c r="L18230" s="0" t="str">
        <f aca="false">HYPERLINK("https://www.ncbi.nlm.nih.gov/nuccore/CP000058.1?report=graph&amp;tracks=[key:gene_model_track,Options:GeneOnly]&amp;mk=5605209:5605228|offset_7|444444,5605247:5605266|offset_45|00cc00,5605270:5605289|offset_68|444444,5605300:5605319|offset_98|444444&amp;v=5605008:5605519&amp;c=444444", "offset 45")</f>
        <v>offset 45</v>
      </c>
    </row>
    <row r="18231" customFormat="false" ht="12.8" hidden="false" customHeight="false" outlineLevel="0" collapsed="false">
      <c r="A18231" s="0" t="s">
        <v>12</v>
      </c>
      <c r="B18231" s="0" t="n">
        <v>5605269</v>
      </c>
      <c r="C18231" s="0" t="n">
        <v>5605289</v>
      </c>
      <c r="D18231" s="0" t="s">
        <v>60624</v>
      </c>
      <c r="E18231" s="0" t="s">
        <v>75</v>
      </c>
      <c r="F18231" s="0" t="s">
        <v>15</v>
      </c>
      <c r="G18231" s="0" t="s">
        <v>36</v>
      </c>
      <c r="H18231" s="0" t="n">
        <v>68</v>
      </c>
      <c r="I18231" s="0" t="s">
        <v>60631</v>
      </c>
      <c r="J18231" s="0" t="s">
        <v>60632</v>
      </c>
      <c r="K18231" s="0" t="s">
        <v>60633</v>
      </c>
      <c r="L18231" s="0" t="str">
        <f aca="false">HYPERLINK("https://www.ncbi.nlm.nih.gov/nuccore/CP000058.1?report=graph&amp;tracks=[key:gene_model_track,Options:GeneOnly]&amp;mk=5605209:5605228|offset_7|444444,5605247:5605266|offset_45|444444,5605270:5605289|offset_68|00cc00,5605300:5605319|offset_98|444444&amp;v=5605008:5605519&amp;c=444444", "offset 68")</f>
        <v>offset 68</v>
      </c>
    </row>
    <row r="18232" customFormat="false" ht="12.8" hidden="false" customHeight="false" outlineLevel="0" collapsed="false">
      <c r="A18232" s="0" t="s">
        <v>12</v>
      </c>
      <c r="B18232" s="0" t="n">
        <v>5605299</v>
      </c>
      <c r="C18232" s="0" t="n">
        <v>5605319</v>
      </c>
      <c r="D18232" s="0" t="s">
        <v>60624</v>
      </c>
      <c r="E18232" s="0" t="s">
        <v>75</v>
      </c>
      <c r="F18232" s="0" t="s">
        <v>15</v>
      </c>
      <c r="G18232" s="0" t="s">
        <v>32</v>
      </c>
      <c r="H18232" s="0" t="n">
        <v>98</v>
      </c>
      <c r="I18232" s="0" t="s">
        <v>60634</v>
      </c>
      <c r="J18232" s="0" t="s">
        <v>60635</v>
      </c>
      <c r="K18232" s="0" t="s">
        <v>60636</v>
      </c>
      <c r="L18232" s="0" t="str">
        <f aca="false">HYPERLINK("https://www.ncbi.nlm.nih.gov/nuccore/CP000058.1?report=graph&amp;tracks=[key:gene_model_track,Options:GeneOnly]&amp;mk=5605209:5605228|offset_7|444444,5605247:5605266|offset_45|444444,5605270:5605289|offset_68|444444,5605300:5605319|offset_98|00cc00&amp;v=5605008:5605519&amp;c=444444", "offset 98")</f>
        <v>offset 98</v>
      </c>
    </row>
    <row r="18233" customFormat="false" ht="12.8" hidden="false" customHeight="false" outlineLevel="0" collapsed="false">
      <c r="A18233" s="0" t="s">
        <v>12</v>
      </c>
      <c r="B18233" s="0" t="n">
        <v>5607578</v>
      </c>
      <c r="C18233" s="0" t="n">
        <v>5607598</v>
      </c>
      <c r="D18233" s="0" t="s">
        <v>60637</v>
      </c>
      <c r="E18233" s="0" t="s">
        <v>75</v>
      </c>
      <c r="F18233" s="0" t="s">
        <v>15</v>
      </c>
      <c r="G18233" s="0" t="s">
        <v>20</v>
      </c>
      <c r="H18233" s="0" t="n">
        <v>19</v>
      </c>
      <c r="I18233" s="0" t="s">
        <v>60638</v>
      </c>
      <c r="J18233" s="0" t="s">
        <v>60639</v>
      </c>
      <c r="K18233" s="0" t="s">
        <v>60640</v>
      </c>
      <c r="L18233" s="0" t="str">
        <f aca="false">HYPERLINK("https://www.ncbi.nlm.nih.gov/nuccore/CP000058.1?report=graph&amp;tracks=[key:gene_model_track,Options:GeneOnly]&amp;mk=5607579:5607598|offset_19|00cc00,5607600:5607619|offset_40|444444,5607675:5607694|offset_115|444444,5607696:5607715|offset_136|444444&amp;v=5607378:5607915&amp;c=444444", "offset 19")</f>
        <v>offset 19</v>
      </c>
    </row>
    <row r="18234" customFormat="false" ht="12.8" hidden="false" customHeight="false" outlineLevel="0" collapsed="false">
      <c r="A18234" s="0" t="s">
        <v>12</v>
      </c>
      <c r="B18234" s="0" t="n">
        <v>5607599</v>
      </c>
      <c r="C18234" s="0" t="n">
        <v>5607619</v>
      </c>
      <c r="D18234" s="0" t="s">
        <v>60637</v>
      </c>
      <c r="E18234" s="0" t="s">
        <v>75</v>
      </c>
      <c r="F18234" s="0" t="s">
        <v>15</v>
      </c>
      <c r="G18234" s="0" t="s">
        <v>32</v>
      </c>
      <c r="H18234" s="0" t="n">
        <v>40</v>
      </c>
      <c r="I18234" s="0" t="s">
        <v>60641</v>
      </c>
      <c r="J18234" s="0" t="s">
        <v>60642</v>
      </c>
      <c r="K18234" s="0" t="s">
        <v>60643</v>
      </c>
      <c r="L18234" s="0" t="str">
        <f aca="false">HYPERLINK("https://www.ncbi.nlm.nih.gov/nuccore/CP000058.1?report=graph&amp;tracks=[key:gene_model_track,Options:GeneOnly]&amp;mk=5607579:5607598|offset_19|444444,5607600:5607619|offset_40|00cc00,5607675:5607694|offset_115|444444,5607696:5607715|offset_136|444444&amp;v=5607378:5607915&amp;c=444444", "offset 40")</f>
        <v>offset 40</v>
      </c>
    </row>
    <row r="18235" customFormat="false" ht="12.8" hidden="false" customHeight="false" outlineLevel="0" collapsed="false">
      <c r="A18235" s="0" t="s">
        <v>12</v>
      </c>
      <c r="B18235" s="0" t="n">
        <v>5607674</v>
      </c>
      <c r="C18235" s="0" t="n">
        <v>5607694</v>
      </c>
      <c r="D18235" s="0" t="s">
        <v>60637</v>
      </c>
      <c r="E18235" s="0" t="s">
        <v>75</v>
      </c>
      <c r="F18235" s="0" t="s">
        <v>15</v>
      </c>
      <c r="G18235" s="0" t="s">
        <v>36</v>
      </c>
      <c r="H18235" s="0" t="n">
        <v>115</v>
      </c>
      <c r="I18235" s="0" t="s">
        <v>60644</v>
      </c>
      <c r="J18235" s="0" t="s">
        <v>60645</v>
      </c>
      <c r="K18235" s="0" t="s">
        <v>60646</v>
      </c>
      <c r="L18235" s="0" t="str">
        <f aca="false">HYPERLINK("https://www.ncbi.nlm.nih.gov/nuccore/CP000058.1?report=graph&amp;tracks=[key:gene_model_track,Options:GeneOnly]&amp;mk=5607579:5607598|offset_19|444444,5607600:5607619|offset_40|444444,5607675:5607694|offset_115|00cc00,5607696:5607715|offset_136|444444&amp;v=5607378:5607915&amp;c=444444", "offset 115")</f>
        <v>offset 115</v>
      </c>
    </row>
    <row r="18236" customFormat="false" ht="12.8" hidden="false" customHeight="false" outlineLevel="0" collapsed="false">
      <c r="A18236" s="0" t="s">
        <v>12</v>
      </c>
      <c r="B18236" s="0" t="n">
        <v>5607695</v>
      </c>
      <c r="C18236" s="0" t="n">
        <v>5607715</v>
      </c>
      <c r="D18236" s="0" t="s">
        <v>60637</v>
      </c>
      <c r="E18236" s="0" t="s">
        <v>75</v>
      </c>
      <c r="F18236" s="0" t="s">
        <v>15</v>
      </c>
      <c r="G18236" s="0" t="s">
        <v>36</v>
      </c>
      <c r="H18236" s="0" t="n">
        <v>136</v>
      </c>
      <c r="I18236" s="0" t="s">
        <v>60647</v>
      </c>
      <c r="J18236" s="0" t="s">
        <v>60648</v>
      </c>
      <c r="K18236" s="0" t="s">
        <v>60649</v>
      </c>
      <c r="L18236" s="0" t="str">
        <f aca="false">HYPERLINK("https://www.ncbi.nlm.nih.gov/nuccore/CP000058.1?report=graph&amp;tracks=[key:gene_model_track,Options:GeneOnly]&amp;mk=5607579:5607598|offset_19|444444,5607600:5607619|offset_40|444444,5607675:5607694|offset_115|444444,5607696:5607715|offset_136|00cc00&amp;v=5607378:5607915&amp;c=444444", "offset 136")</f>
        <v>offset 136</v>
      </c>
    </row>
    <row r="18237" customFormat="false" ht="12.8" hidden="false" customHeight="false" outlineLevel="0" collapsed="false">
      <c r="A18237" s="0" t="s">
        <v>12</v>
      </c>
      <c r="B18237" s="0" t="n">
        <v>5608188</v>
      </c>
      <c r="C18237" s="0" t="n">
        <v>5608208</v>
      </c>
      <c r="D18237" s="0" t="s">
        <v>60650</v>
      </c>
      <c r="E18237" s="0" t="s">
        <v>75</v>
      </c>
      <c r="F18237" s="0" t="s">
        <v>15</v>
      </c>
      <c r="G18237" s="0" t="s">
        <v>32</v>
      </c>
      <c r="H18237" s="0" t="n">
        <v>37</v>
      </c>
      <c r="I18237" s="0" t="s">
        <v>60651</v>
      </c>
      <c r="J18237" s="0" t="s">
        <v>60652</v>
      </c>
      <c r="K18237" s="0" t="s">
        <v>60653</v>
      </c>
      <c r="L18237" s="0" t="str">
        <f aca="false">HYPERLINK("https://www.ncbi.nlm.nih.gov/nuccore/CP000058.1?report=graph&amp;tracks=[key:gene_model_track,Options:GeneOnly]&amp;mk=5608189:5608208|offset_37|00cc00,5608280:5608299|offset_128|444444,5608301:5608320|offset_149|444444,5608324:5608343|offset_172|444444&amp;v=5607988:5608543&amp;c=444444", "offset 37")</f>
        <v>offset 37</v>
      </c>
    </row>
    <row r="18238" customFormat="false" ht="12.8" hidden="false" customHeight="false" outlineLevel="0" collapsed="false">
      <c r="A18238" s="0" t="s">
        <v>12</v>
      </c>
      <c r="B18238" s="0" t="n">
        <v>5608279</v>
      </c>
      <c r="C18238" s="0" t="n">
        <v>5608299</v>
      </c>
      <c r="D18238" s="0" t="s">
        <v>60650</v>
      </c>
      <c r="E18238" s="0" t="s">
        <v>75</v>
      </c>
      <c r="F18238" s="0" t="s">
        <v>15</v>
      </c>
      <c r="G18238" s="0" t="s">
        <v>20</v>
      </c>
      <c r="H18238" s="0" t="n">
        <v>128</v>
      </c>
      <c r="I18238" s="0" t="s">
        <v>60654</v>
      </c>
      <c r="J18238" s="0" t="s">
        <v>60655</v>
      </c>
      <c r="K18238" s="0" t="s">
        <v>60656</v>
      </c>
      <c r="L18238" s="0" t="str">
        <f aca="false">HYPERLINK("https://www.ncbi.nlm.nih.gov/nuccore/CP000058.1?report=graph&amp;tracks=[key:gene_model_track,Options:GeneOnly]&amp;mk=5608189:5608208|offset_37|444444,5608280:5608299|offset_128|00cc00,5608301:5608320|offset_149|444444,5608324:5608343|offset_172|444444&amp;v=5607988:5608543&amp;c=444444", "offset 128")</f>
        <v>offset 128</v>
      </c>
    </row>
    <row r="18239" customFormat="false" ht="12.8" hidden="false" customHeight="false" outlineLevel="0" collapsed="false">
      <c r="A18239" s="0" t="s">
        <v>12</v>
      </c>
      <c r="B18239" s="0" t="n">
        <v>5608300</v>
      </c>
      <c r="C18239" s="0" t="n">
        <v>5608320</v>
      </c>
      <c r="D18239" s="0" t="s">
        <v>60650</v>
      </c>
      <c r="E18239" s="0" t="s">
        <v>75</v>
      </c>
      <c r="F18239" s="0" t="s">
        <v>15</v>
      </c>
      <c r="G18239" s="0" t="s">
        <v>20</v>
      </c>
      <c r="H18239" s="0" t="n">
        <v>149</v>
      </c>
      <c r="I18239" s="0" t="s">
        <v>60657</v>
      </c>
      <c r="J18239" s="0" t="s">
        <v>60658</v>
      </c>
      <c r="K18239" s="0" t="s">
        <v>60659</v>
      </c>
      <c r="L18239" s="0" t="str">
        <f aca="false">HYPERLINK("https://www.ncbi.nlm.nih.gov/nuccore/CP000058.1?report=graph&amp;tracks=[key:gene_model_track,Options:GeneOnly]&amp;mk=5608189:5608208|offset_37|444444,5608280:5608299|offset_128|444444,5608301:5608320|offset_149|00cc00,5608324:5608343|offset_172|444444&amp;v=5607988:5608543&amp;c=444444", "offset 149")</f>
        <v>offset 149</v>
      </c>
    </row>
    <row r="18240" customFormat="false" ht="12.8" hidden="false" customHeight="false" outlineLevel="0" collapsed="false">
      <c r="A18240" s="0" t="s">
        <v>12</v>
      </c>
      <c r="B18240" s="0" t="n">
        <v>5608323</v>
      </c>
      <c r="C18240" s="0" t="n">
        <v>5608343</v>
      </c>
      <c r="D18240" s="0" t="s">
        <v>60650</v>
      </c>
      <c r="E18240" s="0" t="s">
        <v>75</v>
      </c>
      <c r="F18240" s="0" t="s">
        <v>15</v>
      </c>
      <c r="G18240" s="0" t="s">
        <v>16</v>
      </c>
      <c r="H18240" s="0" t="n">
        <v>172</v>
      </c>
      <c r="I18240" s="0" t="s">
        <v>60660</v>
      </c>
      <c r="J18240" s="0" t="s">
        <v>60661</v>
      </c>
      <c r="K18240" s="0" t="s">
        <v>60662</v>
      </c>
      <c r="L18240" s="0" t="str">
        <f aca="false">HYPERLINK("https://www.ncbi.nlm.nih.gov/nuccore/CP000058.1?report=graph&amp;tracks=[key:gene_model_track,Options:GeneOnly]&amp;mk=5608189:5608208|offset_37|444444,5608280:5608299|offset_128|444444,5608301:5608320|offset_149|444444,5608324:5608343|offset_172|00cc00&amp;v=5607988:5608543&amp;c=444444", "offset 172")</f>
        <v>offset 172</v>
      </c>
    </row>
    <row r="18241" customFormat="false" ht="12.8" hidden="false" customHeight="false" outlineLevel="0" collapsed="false">
      <c r="A18241" s="0" t="s">
        <v>12</v>
      </c>
      <c r="B18241" s="0" t="n">
        <v>5609646</v>
      </c>
      <c r="C18241" s="0" t="n">
        <v>5609666</v>
      </c>
      <c r="D18241" s="0" t="s">
        <v>60663</v>
      </c>
      <c r="E18241" s="0" t="s">
        <v>75</v>
      </c>
      <c r="F18241" s="0" t="s">
        <v>15</v>
      </c>
      <c r="G18241" s="0" t="s">
        <v>20</v>
      </c>
      <c r="H18241" s="0" t="n">
        <v>7</v>
      </c>
      <c r="I18241" s="0" t="s">
        <v>60664</v>
      </c>
      <c r="J18241" s="0" t="s">
        <v>60665</v>
      </c>
      <c r="K18241" s="0" t="s">
        <v>60666</v>
      </c>
      <c r="L18241" s="0" t="str">
        <f aca="false">HYPERLINK("https://www.ncbi.nlm.nih.gov/nuccore/CP000058.1?report=graph&amp;tracks=[key:gene_model_track,Options:GeneOnly]&amp;mk=5609647:5609666|offset_7|00cc00,5609674:5609693|offset_34|444444,5609695:5609714|offset_55|444444,5609725:5609744|offset_85|444444&amp;v=5609446:5609944&amp;c=444444", "offset 7")</f>
        <v>offset 7</v>
      </c>
    </row>
    <row r="18242" customFormat="false" ht="12.8" hidden="false" customHeight="false" outlineLevel="0" collapsed="false">
      <c r="A18242" s="0" t="s">
        <v>12</v>
      </c>
      <c r="B18242" s="0" t="n">
        <v>5609673</v>
      </c>
      <c r="C18242" s="0" t="n">
        <v>5609693</v>
      </c>
      <c r="D18242" s="0" t="s">
        <v>60663</v>
      </c>
      <c r="E18242" s="0" t="s">
        <v>75</v>
      </c>
      <c r="F18242" s="0" t="s">
        <v>15</v>
      </c>
      <c r="G18242" s="0" t="s">
        <v>32</v>
      </c>
      <c r="H18242" s="0" t="n">
        <v>34</v>
      </c>
      <c r="I18242" s="0" t="s">
        <v>60667</v>
      </c>
      <c r="J18242" s="0" t="s">
        <v>60668</v>
      </c>
      <c r="K18242" s="0" t="s">
        <v>60669</v>
      </c>
      <c r="L18242" s="0" t="str">
        <f aca="false">HYPERLINK("https://www.ncbi.nlm.nih.gov/nuccore/CP000058.1?report=graph&amp;tracks=[key:gene_model_track,Options:GeneOnly]&amp;mk=5609647:5609666|offset_7|444444,5609674:5609693|offset_34|00cc00,5609695:5609714|offset_55|444444,5609725:5609744|offset_85|444444&amp;v=5609446:5609944&amp;c=444444", "offset 34")</f>
        <v>offset 34</v>
      </c>
    </row>
    <row r="18243" customFormat="false" ht="12.8" hidden="false" customHeight="false" outlineLevel="0" collapsed="false">
      <c r="A18243" s="0" t="s">
        <v>12</v>
      </c>
      <c r="B18243" s="0" t="n">
        <v>5609694</v>
      </c>
      <c r="C18243" s="0" t="n">
        <v>5609714</v>
      </c>
      <c r="D18243" s="0" t="s">
        <v>60663</v>
      </c>
      <c r="E18243" s="0" t="s">
        <v>75</v>
      </c>
      <c r="F18243" s="0" t="s">
        <v>15</v>
      </c>
      <c r="G18243" s="0" t="s">
        <v>32</v>
      </c>
      <c r="H18243" s="0" t="n">
        <v>55</v>
      </c>
      <c r="I18243" s="0" t="s">
        <v>60670</v>
      </c>
      <c r="J18243" s="0" t="s">
        <v>60671</v>
      </c>
      <c r="K18243" s="0" t="s">
        <v>60672</v>
      </c>
      <c r="L18243" s="0" t="str">
        <f aca="false">HYPERLINK("https://www.ncbi.nlm.nih.gov/nuccore/CP000058.1?report=graph&amp;tracks=[key:gene_model_track,Options:GeneOnly]&amp;mk=5609647:5609666|offset_7|444444,5609674:5609693|offset_34|444444,5609695:5609714|offset_55|00cc00,5609725:5609744|offset_85|444444&amp;v=5609446:5609944&amp;c=444444", "offset 55")</f>
        <v>offset 55</v>
      </c>
    </row>
    <row r="18244" customFormat="false" ht="12.8" hidden="false" customHeight="false" outlineLevel="0" collapsed="false">
      <c r="A18244" s="0" t="s">
        <v>12</v>
      </c>
      <c r="B18244" s="0" t="n">
        <v>5609724</v>
      </c>
      <c r="C18244" s="0" t="n">
        <v>5609744</v>
      </c>
      <c r="D18244" s="0" t="s">
        <v>60663</v>
      </c>
      <c r="E18244" s="0" t="s">
        <v>75</v>
      </c>
      <c r="F18244" s="0" t="s">
        <v>15</v>
      </c>
      <c r="G18244" s="0" t="s">
        <v>32</v>
      </c>
      <c r="H18244" s="0" t="n">
        <v>85</v>
      </c>
      <c r="I18244" s="0" t="s">
        <v>60673</v>
      </c>
      <c r="J18244" s="0" t="s">
        <v>60674</v>
      </c>
      <c r="K18244" s="0" t="s">
        <v>60675</v>
      </c>
      <c r="L18244" s="0" t="str">
        <f aca="false">HYPERLINK("https://www.ncbi.nlm.nih.gov/nuccore/CP000058.1?report=graph&amp;tracks=[key:gene_model_track,Options:GeneOnly]&amp;mk=5609647:5609666|offset_7|444444,5609674:5609693|offset_34|444444,5609695:5609714|offset_55|444444,5609725:5609744|offset_85|00cc00&amp;v=5609446:5609944&amp;c=444444", "offset 85")</f>
        <v>offset 85</v>
      </c>
    </row>
    <row r="18245" customFormat="false" ht="12.8" hidden="false" customHeight="false" outlineLevel="0" collapsed="false">
      <c r="A18245" s="0" t="s">
        <v>12</v>
      </c>
      <c r="B18245" s="0" t="n">
        <v>5611531</v>
      </c>
      <c r="C18245" s="0" t="n">
        <v>5611551</v>
      </c>
      <c r="D18245" s="0" t="s">
        <v>60676</v>
      </c>
      <c r="E18245" s="0" t="s">
        <v>60677</v>
      </c>
      <c r="F18245" s="0" t="s">
        <v>90</v>
      </c>
      <c r="G18245" s="0" t="s">
        <v>16</v>
      </c>
      <c r="H18245" s="0" t="n">
        <v>13</v>
      </c>
      <c r="I18245" s="0" t="s">
        <v>60678</v>
      </c>
      <c r="J18245" s="0" t="s">
        <v>60679</v>
      </c>
      <c r="K18245" s="0" t="s">
        <v>60680</v>
      </c>
      <c r="L18245" s="0" t="str">
        <f aca="false">HYPERLINK("https://www.ncbi.nlm.nih.gov/nuccore/CP000058.1?report=graph&amp;tracks=[key:gene_model_track,Options:GeneOnly]&amp;mk=5611532:5611551|offset_13|00cc00,5611497:5611516|offset_48|444444,5611469:5611488|offset_76|444444,5611436:5611455|offset_109|444444&amp;v=5611331:5611655&amp;c=444444", "offset 13")</f>
        <v>offset 13</v>
      </c>
    </row>
    <row r="18246" customFormat="false" ht="12.8" hidden="false" customHeight="false" outlineLevel="0" collapsed="false">
      <c r="A18246" s="0" t="s">
        <v>12</v>
      </c>
      <c r="B18246" s="0" t="n">
        <v>5611496</v>
      </c>
      <c r="C18246" s="0" t="n">
        <v>5611516</v>
      </c>
      <c r="D18246" s="0" t="s">
        <v>60676</v>
      </c>
      <c r="E18246" s="0" t="s">
        <v>60677</v>
      </c>
      <c r="F18246" s="0" t="s">
        <v>90</v>
      </c>
      <c r="G18246" s="0" t="s">
        <v>16</v>
      </c>
      <c r="H18246" s="0" t="n">
        <v>48</v>
      </c>
      <c r="I18246" s="0" t="s">
        <v>60681</v>
      </c>
      <c r="J18246" s="0" t="s">
        <v>60682</v>
      </c>
      <c r="K18246" s="0" t="s">
        <v>60683</v>
      </c>
      <c r="L18246" s="0" t="str">
        <f aca="false">HYPERLINK("https://www.ncbi.nlm.nih.gov/nuccore/CP000058.1?report=graph&amp;tracks=[key:gene_model_track,Options:GeneOnly]&amp;mk=5611532:5611551|offset_13|444444,5611497:5611516|offset_48|00cc00,5611469:5611488|offset_76|444444,5611436:5611455|offset_109|444444&amp;v=5611331:5611655&amp;c=444444", "offset 48")</f>
        <v>offset 48</v>
      </c>
    </row>
    <row r="18247" customFormat="false" ht="12.8" hidden="false" customHeight="false" outlineLevel="0" collapsed="false">
      <c r="A18247" s="0" t="s">
        <v>12</v>
      </c>
      <c r="B18247" s="0" t="n">
        <v>5611468</v>
      </c>
      <c r="C18247" s="0" t="n">
        <v>5611488</v>
      </c>
      <c r="D18247" s="0" t="s">
        <v>60676</v>
      </c>
      <c r="E18247" s="0" t="s">
        <v>60677</v>
      </c>
      <c r="F18247" s="0" t="s">
        <v>90</v>
      </c>
      <c r="G18247" s="0" t="s">
        <v>16</v>
      </c>
      <c r="H18247" s="0" t="n">
        <v>76</v>
      </c>
      <c r="I18247" s="0" t="s">
        <v>60684</v>
      </c>
      <c r="J18247" s="0" t="s">
        <v>60685</v>
      </c>
      <c r="K18247" s="0" t="s">
        <v>60686</v>
      </c>
      <c r="L18247" s="0" t="str">
        <f aca="false">HYPERLINK("https://www.ncbi.nlm.nih.gov/nuccore/CP000058.1?report=graph&amp;tracks=[key:gene_model_track,Options:GeneOnly]&amp;mk=5611532:5611551|offset_13|444444,5611497:5611516|offset_48|444444,5611469:5611488|offset_76|00cc00,5611436:5611455|offset_109|444444&amp;v=5611331:5611655&amp;c=444444", "offset 76")</f>
        <v>offset 76</v>
      </c>
    </row>
    <row r="18248" customFormat="false" ht="12.8" hidden="false" customHeight="false" outlineLevel="0" collapsed="false">
      <c r="A18248" s="0" t="s">
        <v>12</v>
      </c>
      <c r="B18248" s="0" t="n">
        <v>5611435</v>
      </c>
      <c r="C18248" s="0" t="n">
        <v>5611455</v>
      </c>
      <c r="D18248" s="0" t="s">
        <v>60676</v>
      </c>
      <c r="E18248" s="0" t="s">
        <v>60677</v>
      </c>
      <c r="F18248" s="0" t="s">
        <v>90</v>
      </c>
      <c r="G18248" s="0" t="s">
        <v>16</v>
      </c>
      <c r="H18248" s="0" t="n">
        <v>109</v>
      </c>
      <c r="I18248" s="0" t="s">
        <v>60687</v>
      </c>
      <c r="J18248" s="0" t="s">
        <v>60688</v>
      </c>
      <c r="K18248" s="0" t="s">
        <v>60689</v>
      </c>
      <c r="L18248" s="0" t="str">
        <f aca="false">HYPERLINK("https://www.ncbi.nlm.nih.gov/nuccore/CP000058.1?report=graph&amp;tracks=[key:gene_model_track,Options:GeneOnly]&amp;mk=5611532:5611551|offset_13|444444,5611497:5611516|offset_48|444444,5611469:5611488|offset_76|444444,5611436:5611455|offset_109|00cc00&amp;v=5611331:5611655&amp;c=444444", "offset 109")</f>
        <v>offset 109</v>
      </c>
    </row>
    <row r="18249" customFormat="false" ht="12.8" hidden="false" customHeight="false" outlineLevel="0" collapsed="false">
      <c r="A18249" s="0" t="s">
        <v>12</v>
      </c>
      <c r="B18249" s="0" t="n">
        <v>5612096</v>
      </c>
      <c r="C18249" s="0" t="n">
        <v>5612116</v>
      </c>
      <c r="D18249" s="0" t="s">
        <v>60690</v>
      </c>
      <c r="E18249" s="0" t="s">
        <v>75</v>
      </c>
      <c r="F18249" s="0" t="s">
        <v>15</v>
      </c>
      <c r="G18249" s="0" t="s">
        <v>16</v>
      </c>
      <c r="H18249" s="0" t="n">
        <v>7</v>
      </c>
      <c r="I18249" s="0" t="s">
        <v>60691</v>
      </c>
      <c r="J18249" s="0" t="s">
        <v>60692</v>
      </c>
      <c r="K18249" s="0" t="s">
        <v>60693</v>
      </c>
      <c r="L18249" s="0" t="str">
        <f aca="false">HYPERLINK("https://www.ncbi.nlm.nih.gov/nuccore/CP000058.1?report=graph&amp;tracks=[key:gene_model_track,Options:GeneOnly]&amp;mk=5612097:5612116|offset_7|00cc00,5612122:5612141|offset_32|444444,5612178:5612197|offset_88|444444,5612206:5612225|offset_116|444444&amp;v=5611896:5612425&amp;c=444444", "offset 7")</f>
        <v>offset 7</v>
      </c>
    </row>
    <row r="18250" customFormat="false" ht="12.8" hidden="false" customHeight="false" outlineLevel="0" collapsed="false">
      <c r="A18250" s="0" t="s">
        <v>12</v>
      </c>
      <c r="B18250" s="0" t="n">
        <v>5612121</v>
      </c>
      <c r="C18250" s="0" t="n">
        <v>5612141</v>
      </c>
      <c r="D18250" s="0" t="s">
        <v>60690</v>
      </c>
      <c r="E18250" s="0" t="s">
        <v>75</v>
      </c>
      <c r="F18250" s="0" t="s">
        <v>15</v>
      </c>
      <c r="G18250" s="0" t="s">
        <v>16</v>
      </c>
      <c r="H18250" s="0" t="n">
        <v>32</v>
      </c>
      <c r="I18250" s="0" t="s">
        <v>60694</v>
      </c>
      <c r="J18250" s="0" t="s">
        <v>60695</v>
      </c>
      <c r="K18250" s="0" t="s">
        <v>60696</v>
      </c>
      <c r="L18250" s="0" t="str">
        <f aca="false">HYPERLINK("https://www.ncbi.nlm.nih.gov/nuccore/CP000058.1?report=graph&amp;tracks=[key:gene_model_track,Options:GeneOnly]&amp;mk=5612097:5612116|offset_7|444444,5612122:5612141|offset_32|00cc00,5612178:5612197|offset_88|444444,5612206:5612225|offset_116|444444&amp;v=5611896:5612425&amp;c=444444", "offset 32")</f>
        <v>offset 32</v>
      </c>
    </row>
    <row r="18251" customFormat="false" ht="12.8" hidden="false" customHeight="false" outlineLevel="0" collapsed="false">
      <c r="A18251" s="0" t="s">
        <v>12</v>
      </c>
      <c r="B18251" s="0" t="n">
        <v>5612177</v>
      </c>
      <c r="C18251" s="0" t="n">
        <v>5612197</v>
      </c>
      <c r="D18251" s="0" t="s">
        <v>60690</v>
      </c>
      <c r="E18251" s="0" t="s">
        <v>75</v>
      </c>
      <c r="F18251" s="0" t="s">
        <v>15</v>
      </c>
      <c r="G18251" s="0" t="s">
        <v>16</v>
      </c>
      <c r="H18251" s="0" t="n">
        <v>88</v>
      </c>
      <c r="I18251" s="0" t="s">
        <v>60697</v>
      </c>
      <c r="J18251" s="0" t="s">
        <v>60698</v>
      </c>
      <c r="K18251" s="0" t="s">
        <v>60699</v>
      </c>
      <c r="L18251" s="0" t="str">
        <f aca="false">HYPERLINK("https://www.ncbi.nlm.nih.gov/nuccore/CP000058.1?report=graph&amp;tracks=[key:gene_model_track,Options:GeneOnly]&amp;mk=5612097:5612116|offset_7|444444,5612122:5612141|offset_32|444444,5612178:5612197|offset_88|00cc00,5612206:5612225|offset_116|444444&amp;v=5611896:5612425&amp;c=444444", "offset 88")</f>
        <v>offset 88</v>
      </c>
    </row>
    <row r="18252" customFormat="false" ht="12.8" hidden="false" customHeight="false" outlineLevel="0" collapsed="false">
      <c r="A18252" s="0" t="s">
        <v>12</v>
      </c>
      <c r="B18252" s="0" t="n">
        <v>5612205</v>
      </c>
      <c r="C18252" s="0" t="n">
        <v>5612225</v>
      </c>
      <c r="D18252" s="0" t="s">
        <v>60690</v>
      </c>
      <c r="E18252" s="0" t="s">
        <v>75</v>
      </c>
      <c r="F18252" s="0" t="s">
        <v>15</v>
      </c>
      <c r="G18252" s="0" t="s">
        <v>20</v>
      </c>
      <c r="H18252" s="0" t="n">
        <v>116</v>
      </c>
      <c r="I18252" s="0" t="s">
        <v>60700</v>
      </c>
      <c r="J18252" s="0" t="s">
        <v>60701</v>
      </c>
      <c r="K18252" s="0" t="s">
        <v>60702</v>
      </c>
      <c r="L18252" s="0" t="str">
        <f aca="false">HYPERLINK("https://www.ncbi.nlm.nih.gov/nuccore/CP000058.1?report=graph&amp;tracks=[key:gene_model_track,Options:GeneOnly]&amp;mk=5612097:5612116|offset_7|444444,5612122:5612141|offset_32|444444,5612178:5612197|offset_88|444444,5612206:5612225|offset_116|00cc00&amp;v=5611896:5612425&amp;c=444444", "offset 116")</f>
        <v>offset 116</v>
      </c>
    </row>
    <row r="18253" customFormat="false" ht="12.8" hidden="false" customHeight="false" outlineLevel="0" collapsed="false">
      <c r="A18253" s="0" t="s">
        <v>12</v>
      </c>
      <c r="B18253" s="0" t="n">
        <v>5612876</v>
      </c>
      <c r="C18253" s="0" t="n">
        <v>5612896</v>
      </c>
      <c r="D18253" s="0" t="s">
        <v>60703</v>
      </c>
      <c r="E18253" s="0" t="s">
        <v>75</v>
      </c>
      <c r="F18253" s="0" t="s">
        <v>15</v>
      </c>
      <c r="G18253" s="0" t="s">
        <v>36</v>
      </c>
      <c r="H18253" s="0" t="n">
        <v>0</v>
      </c>
      <c r="I18253" s="0" t="s">
        <v>60704</v>
      </c>
      <c r="J18253" s="0" t="s">
        <v>60705</v>
      </c>
      <c r="K18253" s="0" t="s">
        <v>60706</v>
      </c>
      <c r="L18253" s="0" t="str">
        <f aca="false">HYPERLINK("https://www.ncbi.nlm.nih.gov/nuccore/CP000058.1?report=graph&amp;tracks=[key:gene_model_track,Options:GeneOnly]&amp;mk=5612877:5612896|offset_0|00cc00,5612917:5612936|offset_40|444444,5612941:5612960|offset_64|444444,5612977:5612996|offset_100|444444&amp;v=5612676:5613196&amp;c=444444", "offset 0")</f>
        <v>offset 0</v>
      </c>
    </row>
    <row r="18254" customFormat="false" ht="12.8" hidden="false" customHeight="false" outlineLevel="0" collapsed="false">
      <c r="A18254" s="0" t="s">
        <v>12</v>
      </c>
      <c r="B18254" s="0" t="n">
        <v>5612916</v>
      </c>
      <c r="C18254" s="0" t="n">
        <v>5612936</v>
      </c>
      <c r="D18254" s="0" t="s">
        <v>60703</v>
      </c>
      <c r="E18254" s="0" t="s">
        <v>75</v>
      </c>
      <c r="F18254" s="0" t="s">
        <v>15</v>
      </c>
      <c r="G18254" s="0" t="s">
        <v>32</v>
      </c>
      <c r="H18254" s="0" t="n">
        <v>40</v>
      </c>
      <c r="I18254" s="0" t="s">
        <v>60707</v>
      </c>
      <c r="J18254" s="0" t="s">
        <v>60708</v>
      </c>
      <c r="K18254" s="0" t="s">
        <v>60709</v>
      </c>
      <c r="L18254" s="0" t="str">
        <f aca="false">HYPERLINK("https://www.ncbi.nlm.nih.gov/nuccore/CP000058.1?report=graph&amp;tracks=[key:gene_model_track,Options:GeneOnly]&amp;mk=5612877:5612896|offset_0|444444,5612917:5612936|offset_40|00cc00,5612941:5612960|offset_64|444444,5612977:5612996|offset_100|444444&amp;v=5612676:5613196&amp;c=444444", "offset 40")</f>
        <v>offset 40</v>
      </c>
    </row>
    <row r="18255" customFormat="false" ht="12.8" hidden="false" customHeight="false" outlineLevel="0" collapsed="false">
      <c r="A18255" s="0" t="s">
        <v>12</v>
      </c>
      <c r="B18255" s="0" t="n">
        <v>5612940</v>
      </c>
      <c r="C18255" s="0" t="n">
        <v>5612960</v>
      </c>
      <c r="D18255" s="0" t="s">
        <v>60703</v>
      </c>
      <c r="E18255" s="0" t="s">
        <v>75</v>
      </c>
      <c r="F18255" s="0" t="s">
        <v>15</v>
      </c>
      <c r="G18255" s="0" t="s">
        <v>20</v>
      </c>
      <c r="H18255" s="0" t="n">
        <v>64</v>
      </c>
      <c r="I18255" s="0" t="s">
        <v>60710</v>
      </c>
      <c r="J18255" s="0" t="s">
        <v>60711</v>
      </c>
      <c r="K18255" s="0" t="s">
        <v>60712</v>
      </c>
      <c r="L18255" s="0" t="str">
        <f aca="false">HYPERLINK("https://www.ncbi.nlm.nih.gov/nuccore/CP000058.1?report=graph&amp;tracks=[key:gene_model_track,Options:GeneOnly]&amp;mk=5612877:5612896|offset_0|444444,5612917:5612936|offset_40|444444,5612941:5612960|offset_64|00cc00,5612977:5612996|offset_100|444444&amp;v=5612676:5613196&amp;c=444444", "offset 64")</f>
        <v>offset 64</v>
      </c>
    </row>
    <row r="18256" customFormat="false" ht="12.8" hidden="false" customHeight="false" outlineLevel="0" collapsed="false">
      <c r="A18256" s="0" t="s">
        <v>12</v>
      </c>
      <c r="B18256" s="0" t="n">
        <v>5612976</v>
      </c>
      <c r="C18256" s="0" t="n">
        <v>5612996</v>
      </c>
      <c r="D18256" s="0" t="s">
        <v>60703</v>
      </c>
      <c r="E18256" s="0" t="s">
        <v>75</v>
      </c>
      <c r="F18256" s="0" t="s">
        <v>15</v>
      </c>
      <c r="G18256" s="0" t="s">
        <v>20</v>
      </c>
      <c r="H18256" s="0" t="n">
        <v>100</v>
      </c>
      <c r="I18256" s="0" t="s">
        <v>60713</v>
      </c>
      <c r="J18256" s="0" t="s">
        <v>60714</v>
      </c>
      <c r="K18256" s="0" t="s">
        <v>60715</v>
      </c>
      <c r="L18256" s="0" t="str">
        <f aca="false">HYPERLINK("https://www.ncbi.nlm.nih.gov/nuccore/CP000058.1?report=graph&amp;tracks=[key:gene_model_track,Options:GeneOnly]&amp;mk=5612877:5612896|offset_0|444444,5612917:5612936|offset_40|444444,5612941:5612960|offset_64|444444,5612977:5612996|offset_100|00cc00&amp;v=5612676:5613196&amp;c=444444", "offset 100")</f>
        <v>offset 100</v>
      </c>
    </row>
    <row r="18257" customFormat="false" ht="12.8" hidden="false" customHeight="false" outlineLevel="0" collapsed="false">
      <c r="A18257" s="0" t="s">
        <v>12</v>
      </c>
      <c r="B18257" s="0" t="n">
        <v>5614431</v>
      </c>
      <c r="C18257" s="0" t="n">
        <v>5614451</v>
      </c>
      <c r="D18257" s="0" t="s">
        <v>60716</v>
      </c>
      <c r="E18257" s="0" t="s">
        <v>75</v>
      </c>
      <c r="F18257" s="0" t="s">
        <v>15</v>
      </c>
      <c r="G18257" s="0" t="s">
        <v>32</v>
      </c>
      <c r="H18257" s="0" t="n">
        <v>33</v>
      </c>
      <c r="I18257" s="0" t="s">
        <v>60717</v>
      </c>
      <c r="J18257" s="0" t="s">
        <v>60718</v>
      </c>
      <c r="K18257" s="0" t="s">
        <v>60719</v>
      </c>
      <c r="L18257" s="0" t="str">
        <f aca="false">HYPERLINK("https://www.ncbi.nlm.nih.gov/nuccore/CP000058.1?report=graph&amp;tracks=[key:gene_model_track,Options:GeneOnly]&amp;mk=5614432:5614451|offset_33|00cc00,5614454:5614473|offset_55|444444,5614481:5614500|offset_82|444444,5614505:5614524|offset_106|444444&amp;v=5614231:5614724&amp;c=444444", "offset 33")</f>
        <v>offset 33</v>
      </c>
    </row>
    <row r="18258" customFormat="false" ht="12.8" hidden="false" customHeight="false" outlineLevel="0" collapsed="false">
      <c r="A18258" s="0" t="s">
        <v>12</v>
      </c>
      <c r="B18258" s="0" t="n">
        <v>5614453</v>
      </c>
      <c r="C18258" s="0" t="n">
        <v>5614473</v>
      </c>
      <c r="D18258" s="0" t="s">
        <v>60716</v>
      </c>
      <c r="E18258" s="0" t="s">
        <v>75</v>
      </c>
      <c r="F18258" s="0" t="s">
        <v>15</v>
      </c>
      <c r="G18258" s="0" t="s">
        <v>36</v>
      </c>
      <c r="H18258" s="0" t="n">
        <v>55</v>
      </c>
      <c r="I18258" s="0" t="s">
        <v>60720</v>
      </c>
      <c r="J18258" s="0" t="s">
        <v>60721</v>
      </c>
      <c r="K18258" s="0" t="s">
        <v>60722</v>
      </c>
      <c r="L18258" s="0" t="str">
        <f aca="false">HYPERLINK("https://www.ncbi.nlm.nih.gov/nuccore/CP000058.1?report=graph&amp;tracks=[key:gene_model_track,Options:GeneOnly]&amp;mk=5614432:5614451|offset_33|444444,5614454:5614473|offset_55|00cc00,5614481:5614500|offset_82|444444,5614505:5614524|offset_106|444444&amp;v=5614231:5614724&amp;c=444444", "offset 55")</f>
        <v>offset 55</v>
      </c>
    </row>
    <row r="18259" customFormat="false" ht="12.8" hidden="false" customHeight="false" outlineLevel="0" collapsed="false">
      <c r="A18259" s="0" t="s">
        <v>12</v>
      </c>
      <c r="B18259" s="0" t="n">
        <v>5614480</v>
      </c>
      <c r="C18259" s="0" t="n">
        <v>5614500</v>
      </c>
      <c r="D18259" s="0" t="s">
        <v>60716</v>
      </c>
      <c r="E18259" s="0" t="s">
        <v>75</v>
      </c>
      <c r="F18259" s="0" t="s">
        <v>15</v>
      </c>
      <c r="G18259" s="0" t="s">
        <v>16</v>
      </c>
      <c r="H18259" s="0" t="n">
        <v>82</v>
      </c>
      <c r="I18259" s="0" t="s">
        <v>60723</v>
      </c>
      <c r="J18259" s="0" t="s">
        <v>60724</v>
      </c>
      <c r="K18259" s="0" t="s">
        <v>60725</v>
      </c>
      <c r="L18259" s="0" t="str">
        <f aca="false">HYPERLINK("https://www.ncbi.nlm.nih.gov/nuccore/CP000058.1?report=graph&amp;tracks=[key:gene_model_track,Options:GeneOnly]&amp;mk=5614432:5614451|offset_33|444444,5614454:5614473|offset_55|444444,5614481:5614500|offset_82|00cc00,5614505:5614524|offset_106|444444&amp;v=5614231:5614724&amp;c=444444", "offset 82")</f>
        <v>offset 82</v>
      </c>
    </row>
    <row r="18260" customFormat="false" ht="12.8" hidden="false" customHeight="false" outlineLevel="0" collapsed="false">
      <c r="A18260" s="0" t="s">
        <v>12</v>
      </c>
      <c r="B18260" s="0" t="n">
        <v>5614504</v>
      </c>
      <c r="C18260" s="0" t="n">
        <v>5614524</v>
      </c>
      <c r="D18260" s="0" t="s">
        <v>60716</v>
      </c>
      <c r="E18260" s="0" t="s">
        <v>75</v>
      </c>
      <c r="F18260" s="0" t="s">
        <v>15</v>
      </c>
      <c r="G18260" s="0" t="s">
        <v>32</v>
      </c>
      <c r="H18260" s="0" t="n">
        <v>106</v>
      </c>
      <c r="I18260" s="0" t="s">
        <v>60726</v>
      </c>
      <c r="J18260" s="0" t="s">
        <v>60727</v>
      </c>
      <c r="K18260" s="0" t="s">
        <v>60728</v>
      </c>
      <c r="L18260" s="0" t="str">
        <f aca="false">HYPERLINK("https://www.ncbi.nlm.nih.gov/nuccore/CP000058.1?report=graph&amp;tracks=[key:gene_model_track,Options:GeneOnly]&amp;mk=5614432:5614451|offset_33|444444,5614454:5614473|offset_55|444444,5614481:5614500|offset_82|444444,5614505:5614524|offset_106|00cc00&amp;v=5614231:5614724&amp;c=444444", "offset 106")</f>
        <v>offset 106</v>
      </c>
    </row>
    <row r="18261" customFormat="false" ht="12.8" hidden="false" customHeight="false" outlineLevel="0" collapsed="false">
      <c r="A18261" s="0" t="s">
        <v>12</v>
      </c>
      <c r="B18261" s="0" t="n">
        <v>5615112</v>
      </c>
      <c r="C18261" s="0" t="n">
        <v>5615132</v>
      </c>
      <c r="D18261" s="0" t="s">
        <v>60729</v>
      </c>
      <c r="E18261" s="0" t="s">
        <v>75</v>
      </c>
      <c r="F18261" s="0" t="s">
        <v>15</v>
      </c>
      <c r="G18261" s="0" t="s">
        <v>36</v>
      </c>
      <c r="H18261" s="0" t="n">
        <v>23</v>
      </c>
      <c r="I18261" s="0" t="s">
        <v>60730</v>
      </c>
      <c r="J18261" s="0" t="s">
        <v>60731</v>
      </c>
      <c r="K18261" s="0" t="s">
        <v>60732</v>
      </c>
      <c r="L18261" s="0" t="str">
        <f aca="false">HYPERLINK("https://www.ncbi.nlm.nih.gov/nuccore/CP000058.1?report=graph&amp;tracks=[key:gene_model_track,Options:GeneOnly]&amp;mk=5615113:5615132|offset_23|00cc00,5615139:5615158|offset_49|444444,5615159:5615178|offset_69|444444,5615179:5615198|offset_89|444444&amp;v=5614912:5615398&amp;c=444444", "offset 23")</f>
        <v>offset 23</v>
      </c>
    </row>
    <row r="18262" customFormat="false" ht="12.8" hidden="false" customHeight="false" outlineLevel="0" collapsed="false">
      <c r="A18262" s="0" t="s">
        <v>12</v>
      </c>
      <c r="B18262" s="0" t="n">
        <v>5615138</v>
      </c>
      <c r="C18262" s="0" t="n">
        <v>5615158</v>
      </c>
      <c r="D18262" s="0" t="s">
        <v>60729</v>
      </c>
      <c r="E18262" s="0" t="s">
        <v>75</v>
      </c>
      <c r="F18262" s="0" t="s">
        <v>15</v>
      </c>
      <c r="G18262" s="0" t="s">
        <v>16</v>
      </c>
      <c r="H18262" s="0" t="n">
        <v>49</v>
      </c>
      <c r="I18262" s="0" t="s">
        <v>60733</v>
      </c>
      <c r="J18262" s="0" t="s">
        <v>60734</v>
      </c>
      <c r="K18262" s="0" t="s">
        <v>60735</v>
      </c>
      <c r="L18262" s="0" t="str">
        <f aca="false">HYPERLINK("https://www.ncbi.nlm.nih.gov/nuccore/CP000058.1?report=graph&amp;tracks=[key:gene_model_track,Options:GeneOnly]&amp;mk=5615113:5615132|offset_23|444444,5615139:5615158|offset_49|00cc00,5615159:5615178|offset_69|444444,5615179:5615198|offset_89|444444&amp;v=5614912:5615398&amp;c=444444", "offset 49")</f>
        <v>offset 49</v>
      </c>
    </row>
    <row r="18263" customFormat="false" ht="12.8" hidden="false" customHeight="false" outlineLevel="0" collapsed="false">
      <c r="A18263" s="0" t="s">
        <v>12</v>
      </c>
      <c r="B18263" s="0" t="n">
        <v>5615158</v>
      </c>
      <c r="C18263" s="0" t="n">
        <v>5615178</v>
      </c>
      <c r="D18263" s="0" t="s">
        <v>60729</v>
      </c>
      <c r="E18263" s="0" t="s">
        <v>75</v>
      </c>
      <c r="F18263" s="0" t="s">
        <v>15</v>
      </c>
      <c r="G18263" s="0" t="s">
        <v>20</v>
      </c>
      <c r="H18263" s="0" t="n">
        <v>69</v>
      </c>
      <c r="I18263" s="0" t="s">
        <v>60736</v>
      </c>
      <c r="J18263" s="0" t="s">
        <v>60737</v>
      </c>
      <c r="K18263" s="0" t="s">
        <v>60738</v>
      </c>
      <c r="L18263" s="0" t="str">
        <f aca="false">HYPERLINK("https://www.ncbi.nlm.nih.gov/nuccore/CP000058.1?report=graph&amp;tracks=[key:gene_model_track,Options:GeneOnly]&amp;mk=5615113:5615132|offset_23|444444,5615139:5615158|offset_49|444444,5615159:5615178|offset_69|00cc00,5615179:5615198|offset_89|444444&amp;v=5614912:5615398&amp;c=444444", "offset 69")</f>
        <v>offset 69</v>
      </c>
    </row>
    <row r="18264" customFormat="false" ht="12.8" hidden="false" customHeight="false" outlineLevel="0" collapsed="false">
      <c r="A18264" s="0" t="s">
        <v>12</v>
      </c>
      <c r="B18264" s="0" t="n">
        <v>5615178</v>
      </c>
      <c r="C18264" s="0" t="n">
        <v>5615198</v>
      </c>
      <c r="D18264" s="0" t="s">
        <v>60729</v>
      </c>
      <c r="E18264" s="0" t="s">
        <v>75</v>
      </c>
      <c r="F18264" s="0" t="s">
        <v>15</v>
      </c>
      <c r="G18264" s="0" t="s">
        <v>20</v>
      </c>
      <c r="H18264" s="0" t="n">
        <v>89</v>
      </c>
      <c r="I18264" s="0" t="s">
        <v>60739</v>
      </c>
      <c r="J18264" s="0" t="s">
        <v>60740</v>
      </c>
      <c r="K18264" s="0" t="s">
        <v>60741</v>
      </c>
      <c r="L18264" s="0" t="str">
        <f aca="false">HYPERLINK("https://www.ncbi.nlm.nih.gov/nuccore/CP000058.1?report=graph&amp;tracks=[key:gene_model_track,Options:GeneOnly]&amp;mk=5615113:5615132|offset_23|444444,5615139:5615158|offset_49|444444,5615159:5615178|offset_69|444444,5615179:5615198|offset_89|00cc00&amp;v=5614912:5615398&amp;c=444444", "offset 89")</f>
        <v>offset 89</v>
      </c>
    </row>
    <row r="18265" customFormat="false" ht="12.8" hidden="false" customHeight="false" outlineLevel="0" collapsed="false">
      <c r="A18265" s="0" t="s">
        <v>12</v>
      </c>
      <c r="B18265" s="0" t="n">
        <v>5616944</v>
      </c>
      <c r="C18265" s="0" t="n">
        <v>5616964</v>
      </c>
      <c r="D18265" s="0" t="s">
        <v>60742</v>
      </c>
      <c r="E18265" s="0" t="s">
        <v>75</v>
      </c>
      <c r="F18265" s="0" t="s">
        <v>90</v>
      </c>
      <c r="G18265" s="0" t="s">
        <v>36</v>
      </c>
      <c r="H18265" s="0" t="n">
        <v>16</v>
      </c>
      <c r="I18265" s="0" t="s">
        <v>60743</v>
      </c>
      <c r="J18265" s="0" t="s">
        <v>60744</v>
      </c>
      <c r="K18265" s="0" t="s">
        <v>60745</v>
      </c>
      <c r="L18265" s="0" t="str">
        <f aca="false">HYPERLINK("https://www.ncbi.nlm.nih.gov/nuccore/CP000058.1?report=graph&amp;tracks=[key:gene_model_track,Options:GeneOnly]&amp;mk=5616945:5616964|offset_16|00cc00,5616924:5616943|offset_37|444444,5616882:5616901|offset_79|444444,5616860:5616879|offset_101|444444&amp;v=5616744:5617079&amp;c=444444", "offset 16")</f>
        <v>offset 16</v>
      </c>
    </row>
    <row r="18266" customFormat="false" ht="12.8" hidden="false" customHeight="false" outlineLevel="0" collapsed="false">
      <c r="A18266" s="0" t="s">
        <v>12</v>
      </c>
      <c r="B18266" s="0" t="n">
        <v>5616923</v>
      </c>
      <c r="C18266" s="0" t="n">
        <v>5616943</v>
      </c>
      <c r="D18266" s="0" t="s">
        <v>60742</v>
      </c>
      <c r="E18266" s="0" t="s">
        <v>75</v>
      </c>
      <c r="F18266" s="0" t="s">
        <v>90</v>
      </c>
      <c r="G18266" s="0" t="s">
        <v>32</v>
      </c>
      <c r="H18266" s="0" t="n">
        <v>37</v>
      </c>
      <c r="I18266" s="0" t="s">
        <v>60746</v>
      </c>
      <c r="J18266" s="0" t="s">
        <v>60747</v>
      </c>
      <c r="K18266" s="0" t="s">
        <v>60748</v>
      </c>
      <c r="L18266" s="0" t="str">
        <f aca="false">HYPERLINK("https://www.ncbi.nlm.nih.gov/nuccore/CP000058.1?report=graph&amp;tracks=[key:gene_model_track,Options:GeneOnly]&amp;mk=5616945:5616964|offset_16|444444,5616924:5616943|offset_37|00cc00,5616882:5616901|offset_79|444444,5616860:5616879|offset_101|444444&amp;v=5616744:5617079&amp;c=444444", "offset 37")</f>
        <v>offset 37</v>
      </c>
    </row>
    <row r="18267" customFormat="false" ht="12.8" hidden="false" customHeight="false" outlineLevel="0" collapsed="false">
      <c r="A18267" s="0" t="s">
        <v>12</v>
      </c>
      <c r="B18267" s="0" t="n">
        <v>5616881</v>
      </c>
      <c r="C18267" s="0" t="n">
        <v>5616901</v>
      </c>
      <c r="D18267" s="0" t="s">
        <v>60742</v>
      </c>
      <c r="E18267" s="0" t="s">
        <v>75</v>
      </c>
      <c r="F18267" s="0" t="s">
        <v>90</v>
      </c>
      <c r="G18267" s="0" t="s">
        <v>32</v>
      </c>
      <c r="H18267" s="0" t="n">
        <v>79</v>
      </c>
      <c r="I18267" s="0" t="s">
        <v>60749</v>
      </c>
      <c r="J18267" s="0" t="s">
        <v>60750</v>
      </c>
      <c r="K18267" s="0" t="s">
        <v>60751</v>
      </c>
      <c r="L18267" s="0" t="str">
        <f aca="false">HYPERLINK("https://www.ncbi.nlm.nih.gov/nuccore/CP000058.1?report=graph&amp;tracks=[key:gene_model_track,Options:GeneOnly]&amp;mk=5616945:5616964|offset_16|444444,5616924:5616943|offset_37|444444,5616882:5616901|offset_79|00cc00,5616860:5616879|offset_101|444444&amp;v=5616744:5617079&amp;c=444444", "offset 79")</f>
        <v>offset 79</v>
      </c>
    </row>
    <row r="18268" customFormat="false" ht="12.8" hidden="false" customHeight="false" outlineLevel="0" collapsed="false">
      <c r="A18268" s="0" t="s">
        <v>12</v>
      </c>
      <c r="B18268" s="0" t="n">
        <v>5616859</v>
      </c>
      <c r="C18268" s="0" t="n">
        <v>5616879</v>
      </c>
      <c r="D18268" s="0" t="s">
        <v>60742</v>
      </c>
      <c r="E18268" s="0" t="s">
        <v>75</v>
      </c>
      <c r="F18268" s="0" t="s">
        <v>90</v>
      </c>
      <c r="G18268" s="0" t="s">
        <v>36</v>
      </c>
      <c r="H18268" s="0" t="n">
        <v>101</v>
      </c>
      <c r="I18268" s="0" t="s">
        <v>60752</v>
      </c>
      <c r="J18268" s="0" t="s">
        <v>60753</v>
      </c>
      <c r="K18268" s="0" t="s">
        <v>60754</v>
      </c>
      <c r="L18268" s="0" t="str">
        <f aca="false">HYPERLINK("https://www.ncbi.nlm.nih.gov/nuccore/CP000058.1?report=graph&amp;tracks=[key:gene_model_track,Options:GeneOnly]&amp;mk=5616945:5616964|offset_16|444444,5616924:5616943|offset_37|444444,5616882:5616901|offset_79|444444,5616860:5616879|offset_101|00cc00&amp;v=5616744:5617079&amp;c=444444", "offset 101")</f>
        <v>offset 101</v>
      </c>
    </row>
    <row r="18269" customFormat="false" ht="12.8" hidden="false" customHeight="false" outlineLevel="0" collapsed="false">
      <c r="A18269" s="0" t="s">
        <v>12</v>
      </c>
      <c r="B18269" s="0" t="n">
        <v>5618534</v>
      </c>
      <c r="C18269" s="0" t="n">
        <v>5618554</v>
      </c>
      <c r="D18269" s="0" t="s">
        <v>60755</v>
      </c>
      <c r="E18269" s="0" t="s">
        <v>75</v>
      </c>
      <c r="F18269" s="0" t="s">
        <v>90</v>
      </c>
      <c r="G18269" s="0" t="s">
        <v>36</v>
      </c>
      <c r="H18269" s="0" t="n">
        <v>55</v>
      </c>
      <c r="I18269" s="0" t="s">
        <v>60756</v>
      </c>
      <c r="J18269" s="0" t="s">
        <v>60757</v>
      </c>
      <c r="K18269" s="0" t="s">
        <v>60758</v>
      </c>
      <c r="L18269" s="0" t="str">
        <f aca="false">HYPERLINK("https://www.ncbi.nlm.nih.gov/nuccore/CP000058.1?report=graph&amp;tracks=[key:gene_model_track,Options:GeneOnly]&amp;mk=5618535:5618554|offset_55|00cc00,5618453:5618472|offset_137|444444,5618422:5618441|offset_168|444444,5618392:5618411|offset_198|444444&amp;v=5618334:5618611&amp;c=444444", "offset 55")</f>
        <v>offset 55</v>
      </c>
    </row>
    <row r="18270" customFormat="false" ht="12.8" hidden="false" customHeight="false" outlineLevel="0" collapsed="false">
      <c r="A18270" s="0" t="s">
        <v>12</v>
      </c>
      <c r="B18270" s="0" t="n">
        <v>5618452</v>
      </c>
      <c r="C18270" s="0" t="n">
        <v>5618472</v>
      </c>
      <c r="D18270" s="0" t="s">
        <v>60755</v>
      </c>
      <c r="E18270" s="0" t="s">
        <v>75</v>
      </c>
      <c r="F18270" s="0" t="s">
        <v>90</v>
      </c>
      <c r="G18270" s="0" t="s">
        <v>16</v>
      </c>
      <c r="H18270" s="0" t="n">
        <v>137</v>
      </c>
      <c r="I18270" s="0" t="s">
        <v>60759</v>
      </c>
      <c r="J18270" s="0" t="s">
        <v>60760</v>
      </c>
      <c r="K18270" s="0" t="s">
        <v>60761</v>
      </c>
      <c r="L18270" s="0" t="str">
        <f aca="false">HYPERLINK("https://www.ncbi.nlm.nih.gov/nuccore/CP000058.1?report=graph&amp;tracks=[key:gene_model_track,Options:GeneOnly]&amp;mk=5618535:5618554|offset_55|444444,5618453:5618472|offset_137|00cc00,5618422:5618441|offset_168|444444,5618392:5618411|offset_198|444444&amp;v=5618334:5618611&amp;c=444444", "offset 137")</f>
        <v>offset 137</v>
      </c>
    </row>
    <row r="18271" customFormat="false" ht="12.8" hidden="false" customHeight="false" outlineLevel="0" collapsed="false">
      <c r="A18271" s="0" t="s">
        <v>12</v>
      </c>
      <c r="B18271" s="0" t="n">
        <v>5618421</v>
      </c>
      <c r="C18271" s="0" t="n">
        <v>5618441</v>
      </c>
      <c r="D18271" s="0" t="s">
        <v>60755</v>
      </c>
      <c r="E18271" s="0" t="s">
        <v>75</v>
      </c>
      <c r="F18271" s="0" t="s">
        <v>90</v>
      </c>
      <c r="G18271" s="0" t="s">
        <v>32</v>
      </c>
      <c r="H18271" s="0" t="n">
        <v>168</v>
      </c>
      <c r="I18271" s="0" t="s">
        <v>60762</v>
      </c>
      <c r="J18271" s="0" t="s">
        <v>60763</v>
      </c>
      <c r="K18271" s="0" t="s">
        <v>60764</v>
      </c>
      <c r="L18271" s="0" t="str">
        <f aca="false">HYPERLINK("https://www.ncbi.nlm.nih.gov/nuccore/CP000058.1?report=graph&amp;tracks=[key:gene_model_track,Options:GeneOnly]&amp;mk=5618535:5618554|offset_55|444444,5618453:5618472|offset_137|444444,5618422:5618441|offset_168|00cc00,5618392:5618411|offset_198|444444&amp;v=5618334:5618611&amp;c=444444", "offset 168")</f>
        <v>offset 168</v>
      </c>
    </row>
    <row r="18272" customFormat="false" ht="12.8" hidden="false" customHeight="false" outlineLevel="0" collapsed="false">
      <c r="A18272" s="0" t="s">
        <v>12</v>
      </c>
      <c r="B18272" s="0" t="n">
        <v>5618391</v>
      </c>
      <c r="C18272" s="0" t="n">
        <v>5618411</v>
      </c>
      <c r="D18272" s="0" t="s">
        <v>60755</v>
      </c>
      <c r="E18272" s="0" t="s">
        <v>75</v>
      </c>
      <c r="F18272" s="0" t="s">
        <v>90</v>
      </c>
      <c r="G18272" s="0" t="s">
        <v>36</v>
      </c>
      <c r="H18272" s="0" t="n">
        <v>198</v>
      </c>
      <c r="I18272" s="0" t="s">
        <v>60765</v>
      </c>
      <c r="J18272" s="0" t="s">
        <v>60766</v>
      </c>
      <c r="K18272" s="0" t="s">
        <v>60767</v>
      </c>
      <c r="L18272" s="0" t="str">
        <f aca="false">HYPERLINK("https://www.ncbi.nlm.nih.gov/nuccore/CP000058.1?report=graph&amp;tracks=[key:gene_model_track,Options:GeneOnly]&amp;mk=5618535:5618554|offset_55|444444,5618453:5618472|offset_137|444444,5618422:5618441|offset_168|444444,5618392:5618411|offset_198|00cc00&amp;v=5618334:5618611&amp;c=444444", "offset 198")</f>
        <v>offset 198</v>
      </c>
    </row>
    <row r="18273" customFormat="false" ht="12.8" hidden="false" customHeight="false" outlineLevel="0" collapsed="false">
      <c r="A18273" s="0" t="s">
        <v>12</v>
      </c>
      <c r="B18273" s="0" t="n">
        <v>5620332</v>
      </c>
      <c r="C18273" s="0" t="n">
        <v>5620352</v>
      </c>
      <c r="D18273" s="0" t="s">
        <v>60768</v>
      </c>
      <c r="E18273" s="0" t="s">
        <v>75</v>
      </c>
      <c r="F18273" s="0" t="s">
        <v>15</v>
      </c>
      <c r="G18273" s="0" t="s">
        <v>32</v>
      </c>
      <c r="H18273" s="0" t="n">
        <v>12</v>
      </c>
      <c r="I18273" s="0" t="s">
        <v>60769</v>
      </c>
      <c r="J18273" s="0" t="s">
        <v>60770</v>
      </c>
      <c r="K18273" s="0" t="s">
        <v>60771</v>
      </c>
      <c r="L18273" s="0" t="str">
        <f aca="false">HYPERLINK("https://www.ncbi.nlm.nih.gov/nuccore/CP000058.1?report=graph&amp;tracks=[key:gene_model_track,Options:GeneOnly]&amp;mk=5620333:5620352|offset_12|00cc00,5620457:5620476|offset_136|444444,5620482:5620501|offset_161|444444,5620523:5620542|offset_202|444444&amp;v=5620132:5620742&amp;c=444444", "offset 12")</f>
        <v>offset 12</v>
      </c>
    </row>
    <row r="18274" customFormat="false" ht="12.8" hidden="false" customHeight="false" outlineLevel="0" collapsed="false">
      <c r="A18274" s="0" t="s">
        <v>12</v>
      </c>
      <c r="B18274" s="0" t="n">
        <v>5620456</v>
      </c>
      <c r="C18274" s="0" t="n">
        <v>5620476</v>
      </c>
      <c r="D18274" s="0" t="s">
        <v>60768</v>
      </c>
      <c r="E18274" s="0" t="s">
        <v>75</v>
      </c>
      <c r="F18274" s="0" t="s">
        <v>15</v>
      </c>
      <c r="G18274" s="0" t="s">
        <v>16</v>
      </c>
      <c r="H18274" s="0" t="n">
        <v>136</v>
      </c>
      <c r="I18274" s="0" t="s">
        <v>60772</v>
      </c>
      <c r="J18274" s="0" t="s">
        <v>60773</v>
      </c>
      <c r="K18274" s="0" t="s">
        <v>60774</v>
      </c>
      <c r="L18274" s="0" t="str">
        <f aca="false">HYPERLINK("https://www.ncbi.nlm.nih.gov/nuccore/CP000058.1?report=graph&amp;tracks=[key:gene_model_track,Options:GeneOnly]&amp;mk=5620333:5620352|offset_12|444444,5620457:5620476|offset_136|00cc00,5620482:5620501|offset_161|444444,5620523:5620542|offset_202|444444&amp;v=5620132:5620742&amp;c=444444", "offset 136")</f>
        <v>offset 136</v>
      </c>
    </row>
    <row r="18275" customFormat="false" ht="12.8" hidden="false" customHeight="false" outlineLevel="0" collapsed="false">
      <c r="A18275" s="0" t="s">
        <v>12</v>
      </c>
      <c r="B18275" s="0" t="n">
        <v>5620481</v>
      </c>
      <c r="C18275" s="0" t="n">
        <v>5620501</v>
      </c>
      <c r="D18275" s="0" t="s">
        <v>60768</v>
      </c>
      <c r="E18275" s="0" t="s">
        <v>75</v>
      </c>
      <c r="F18275" s="0" t="s">
        <v>15</v>
      </c>
      <c r="G18275" s="0" t="s">
        <v>32</v>
      </c>
      <c r="H18275" s="0" t="n">
        <v>161</v>
      </c>
      <c r="I18275" s="0" t="s">
        <v>60775</v>
      </c>
      <c r="J18275" s="0" t="s">
        <v>60776</v>
      </c>
      <c r="K18275" s="0" t="s">
        <v>60777</v>
      </c>
      <c r="L18275" s="0" t="str">
        <f aca="false">HYPERLINK("https://www.ncbi.nlm.nih.gov/nuccore/CP000058.1?report=graph&amp;tracks=[key:gene_model_track,Options:GeneOnly]&amp;mk=5620333:5620352|offset_12|444444,5620457:5620476|offset_136|444444,5620482:5620501|offset_161|00cc00,5620523:5620542|offset_202|444444&amp;v=5620132:5620742&amp;c=444444", "offset 161")</f>
        <v>offset 161</v>
      </c>
    </row>
    <row r="18276" customFormat="false" ht="12.8" hidden="false" customHeight="false" outlineLevel="0" collapsed="false">
      <c r="A18276" s="0" t="s">
        <v>12</v>
      </c>
      <c r="B18276" s="0" t="n">
        <v>5620522</v>
      </c>
      <c r="C18276" s="0" t="n">
        <v>5620542</v>
      </c>
      <c r="D18276" s="0" t="s">
        <v>60768</v>
      </c>
      <c r="E18276" s="0" t="s">
        <v>75</v>
      </c>
      <c r="F18276" s="0" t="s">
        <v>15</v>
      </c>
      <c r="G18276" s="0" t="s">
        <v>20</v>
      </c>
      <c r="H18276" s="0" t="n">
        <v>202</v>
      </c>
      <c r="I18276" s="0" t="s">
        <v>60778</v>
      </c>
      <c r="J18276" s="0" t="s">
        <v>60779</v>
      </c>
      <c r="K18276" s="0" t="s">
        <v>60780</v>
      </c>
      <c r="L18276" s="0" t="str">
        <f aca="false">HYPERLINK("https://www.ncbi.nlm.nih.gov/nuccore/CP000058.1?report=graph&amp;tracks=[key:gene_model_track,Options:GeneOnly]&amp;mk=5620333:5620352|offset_12|444444,5620457:5620476|offset_136|444444,5620482:5620501|offset_161|444444,5620523:5620542|offset_202|00cc00&amp;v=5620132:5620742&amp;c=444444", "offset 202")</f>
        <v>offset 202</v>
      </c>
    </row>
    <row r="18277" customFormat="false" ht="12.8" hidden="false" customHeight="false" outlineLevel="0" collapsed="false">
      <c r="A18277" s="0" t="s">
        <v>12</v>
      </c>
      <c r="B18277" s="0" t="n">
        <v>5620655</v>
      </c>
      <c r="C18277" s="0" t="n">
        <v>5620675</v>
      </c>
      <c r="D18277" s="0" t="s">
        <v>60781</v>
      </c>
      <c r="E18277" s="0" t="s">
        <v>75</v>
      </c>
      <c r="F18277" s="0" t="s">
        <v>15</v>
      </c>
      <c r="G18277" s="0" t="s">
        <v>32</v>
      </c>
      <c r="H18277" s="0" t="n">
        <v>21</v>
      </c>
      <c r="I18277" s="0" t="s">
        <v>60782</v>
      </c>
      <c r="J18277" s="0" t="s">
        <v>60783</v>
      </c>
      <c r="K18277" s="0" t="s">
        <v>60784</v>
      </c>
      <c r="L18277" s="0" t="str">
        <f aca="false">HYPERLINK("https://www.ncbi.nlm.nih.gov/nuccore/CP000058.1?report=graph&amp;tracks=[key:gene_model_track,Options:GeneOnly]&amp;mk=5620656:5620675|offset_21|00cc00,5620686:5620705|offset_51|444444,5620733:5620752|offset_98|444444,5620777:5620796|offset_142|444444&amp;v=5620455:5620996&amp;c=444444", "offset 21")</f>
        <v>offset 21</v>
      </c>
    </row>
    <row r="18278" customFormat="false" ht="12.8" hidden="false" customHeight="false" outlineLevel="0" collapsed="false">
      <c r="A18278" s="0" t="s">
        <v>12</v>
      </c>
      <c r="B18278" s="0" t="n">
        <v>5620685</v>
      </c>
      <c r="C18278" s="0" t="n">
        <v>5620705</v>
      </c>
      <c r="D18278" s="0" t="s">
        <v>60781</v>
      </c>
      <c r="E18278" s="0" t="s">
        <v>75</v>
      </c>
      <c r="F18278" s="0" t="s">
        <v>15</v>
      </c>
      <c r="G18278" s="0" t="s">
        <v>36</v>
      </c>
      <c r="H18278" s="0" t="n">
        <v>51</v>
      </c>
      <c r="I18278" s="0" t="s">
        <v>60785</v>
      </c>
      <c r="J18278" s="0" t="s">
        <v>60786</v>
      </c>
      <c r="K18278" s="0" t="s">
        <v>60787</v>
      </c>
      <c r="L18278" s="0" t="str">
        <f aca="false">HYPERLINK("https://www.ncbi.nlm.nih.gov/nuccore/CP000058.1?report=graph&amp;tracks=[key:gene_model_track,Options:GeneOnly]&amp;mk=5620656:5620675|offset_21|444444,5620686:5620705|offset_51|00cc00,5620733:5620752|offset_98|444444,5620777:5620796|offset_142|444444&amp;v=5620455:5620996&amp;c=444444", "offset 51")</f>
        <v>offset 51</v>
      </c>
    </row>
    <row r="18279" customFormat="false" ht="12.8" hidden="false" customHeight="false" outlineLevel="0" collapsed="false">
      <c r="A18279" s="0" t="s">
        <v>12</v>
      </c>
      <c r="B18279" s="0" t="n">
        <v>5620732</v>
      </c>
      <c r="C18279" s="0" t="n">
        <v>5620752</v>
      </c>
      <c r="D18279" s="0" t="s">
        <v>60781</v>
      </c>
      <c r="E18279" s="0" t="s">
        <v>75</v>
      </c>
      <c r="F18279" s="0" t="s">
        <v>15</v>
      </c>
      <c r="G18279" s="0" t="s">
        <v>16</v>
      </c>
      <c r="H18279" s="0" t="n">
        <v>98</v>
      </c>
      <c r="I18279" s="0" t="s">
        <v>60788</v>
      </c>
      <c r="J18279" s="0" t="s">
        <v>60789</v>
      </c>
      <c r="K18279" s="0" t="s">
        <v>60790</v>
      </c>
      <c r="L18279" s="0" t="str">
        <f aca="false">HYPERLINK("https://www.ncbi.nlm.nih.gov/nuccore/CP000058.1?report=graph&amp;tracks=[key:gene_model_track,Options:GeneOnly]&amp;mk=5620656:5620675|offset_21|444444,5620686:5620705|offset_51|444444,5620733:5620752|offset_98|00cc00,5620777:5620796|offset_142|444444&amp;v=5620455:5620996&amp;c=444444", "offset 98")</f>
        <v>offset 98</v>
      </c>
    </row>
    <row r="18280" customFormat="false" ht="12.8" hidden="false" customHeight="false" outlineLevel="0" collapsed="false">
      <c r="A18280" s="0" t="s">
        <v>12</v>
      </c>
      <c r="B18280" s="0" t="n">
        <v>5620776</v>
      </c>
      <c r="C18280" s="0" t="n">
        <v>5620796</v>
      </c>
      <c r="D18280" s="0" t="s">
        <v>60781</v>
      </c>
      <c r="E18280" s="0" t="s">
        <v>75</v>
      </c>
      <c r="F18280" s="0" t="s">
        <v>15</v>
      </c>
      <c r="G18280" s="0" t="s">
        <v>20</v>
      </c>
      <c r="H18280" s="0" t="n">
        <v>142</v>
      </c>
      <c r="I18280" s="0" t="s">
        <v>60791</v>
      </c>
      <c r="J18280" s="0" t="s">
        <v>60792</v>
      </c>
      <c r="K18280" s="0" t="s">
        <v>60793</v>
      </c>
      <c r="L18280" s="0" t="str">
        <f aca="false">HYPERLINK("https://www.ncbi.nlm.nih.gov/nuccore/CP000058.1?report=graph&amp;tracks=[key:gene_model_track,Options:GeneOnly]&amp;mk=5620656:5620675|offset_21|444444,5620686:5620705|offset_51|444444,5620733:5620752|offset_98|444444,5620777:5620796|offset_142|00cc00&amp;v=5620455:5620996&amp;c=444444", "offset 142")</f>
        <v>offset 142</v>
      </c>
    </row>
    <row r="18281" customFormat="false" ht="12.8" hidden="false" customHeight="false" outlineLevel="0" collapsed="false">
      <c r="A18281" s="0" t="s">
        <v>12</v>
      </c>
      <c r="B18281" s="0" t="n">
        <v>5621183</v>
      </c>
      <c r="C18281" s="0" t="n">
        <v>5621203</v>
      </c>
      <c r="D18281" s="0" t="s">
        <v>60794</v>
      </c>
      <c r="E18281" s="0" t="s">
        <v>75</v>
      </c>
      <c r="F18281" s="0" t="s">
        <v>90</v>
      </c>
      <c r="G18281" s="0" t="s">
        <v>32</v>
      </c>
      <c r="H18281" s="0" t="n">
        <v>13</v>
      </c>
      <c r="I18281" s="0" t="s">
        <v>60795</v>
      </c>
      <c r="J18281" s="0" t="s">
        <v>60796</v>
      </c>
      <c r="K18281" s="0" t="s">
        <v>60797</v>
      </c>
      <c r="L18281" s="0" t="str">
        <f aca="false">HYPERLINK("https://www.ncbi.nlm.nih.gov/nuccore/CP000058.1?report=graph&amp;tracks=[key:gene_model_track,Options:GeneOnly]&amp;mk=5621184:5621203|offset_13|00cc00,5621147:5621166|offset_50|444444&amp;v=5620983:5621366&amp;c=444444", "offset 13")</f>
        <v>offset 13</v>
      </c>
    </row>
    <row r="18282" customFormat="false" ht="12.8" hidden="false" customHeight="false" outlineLevel="0" collapsed="false">
      <c r="A18282" s="0" t="s">
        <v>12</v>
      </c>
      <c r="B18282" s="0" t="n">
        <v>5621146</v>
      </c>
      <c r="C18282" s="0" t="n">
        <v>5621166</v>
      </c>
      <c r="D18282" s="0" t="s">
        <v>60794</v>
      </c>
      <c r="E18282" s="0" t="s">
        <v>75</v>
      </c>
      <c r="F18282" s="0" t="s">
        <v>90</v>
      </c>
      <c r="G18282" s="0" t="s">
        <v>32</v>
      </c>
      <c r="H18282" s="0" t="n">
        <v>50</v>
      </c>
      <c r="I18282" s="0" t="s">
        <v>60798</v>
      </c>
      <c r="J18282" s="0" t="s">
        <v>60799</v>
      </c>
      <c r="K18282" s="0" t="s">
        <v>60800</v>
      </c>
      <c r="L18282" s="0" t="str">
        <f aca="false">HYPERLINK("https://www.ncbi.nlm.nih.gov/nuccore/CP000058.1?report=graph&amp;tracks=[key:gene_model_track,Options:GeneOnly]&amp;mk=5621184:5621203|offset_13|444444,5621147:5621166|offset_50|00cc00&amp;v=5620983:5621366&amp;c=444444", "offset 50")</f>
        <v>offset 50</v>
      </c>
    </row>
    <row r="18283" customFormat="false" ht="12.8" hidden="false" customHeight="false" outlineLevel="0" collapsed="false">
      <c r="A18283" s="0" t="s">
        <v>12</v>
      </c>
      <c r="B18283" s="0" t="n">
        <v>5624121</v>
      </c>
      <c r="C18283" s="0" t="n">
        <v>5624141</v>
      </c>
      <c r="D18283" s="0" t="s">
        <v>60801</v>
      </c>
      <c r="E18283" s="0" t="s">
        <v>75</v>
      </c>
      <c r="F18283" s="0" t="s">
        <v>90</v>
      </c>
      <c r="G18283" s="0" t="s">
        <v>32</v>
      </c>
      <c r="H18283" s="0" t="n">
        <v>38</v>
      </c>
      <c r="I18283" s="0" t="s">
        <v>60802</v>
      </c>
      <c r="J18283" s="0" t="s">
        <v>60803</v>
      </c>
      <c r="K18283" s="0" t="s">
        <v>60804</v>
      </c>
      <c r="L18283" s="0" t="str">
        <f aca="false">HYPERLINK("https://www.ncbi.nlm.nih.gov/nuccore/CP000058.1?report=graph&amp;tracks=[key:gene_model_track,Options:GeneOnly]&amp;mk=5624122:5624141|offset_38|00cc00,5624102:5624121|offset_58|444444,5624068:5624087|offset_92|444444,5624028:5624047|offset_132|444444&amp;v=5623921:5624247&amp;c=444444", "offset 38")</f>
        <v>offset 38</v>
      </c>
    </row>
    <row r="18284" customFormat="false" ht="12.8" hidden="false" customHeight="false" outlineLevel="0" collapsed="false">
      <c r="A18284" s="0" t="s">
        <v>12</v>
      </c>
      <c r="B18284" s="0" t="n">
        <v>5624101</v>
      </c>
      <c r="C18284" s="0" t="n">
        <v>5624121</v>
      </c>
      <c r="D18284" s="0" t="s">
        <v>60801</v>
      </c>
      <c r="E18284" s="0" t="s">
        <v>75</v>
      </c>
      <c r="F18284" s="0" t="s">
        <v>90</v>
      </c>
      <c r="G18284" s="0" t="s">
        <v>32</v>
      </c>
      <c r="H18284" s="0" t="n">
        <v>58</v>
      </c>
      <c r="I18284" s="0" t="s">
        <v>60805</v>
      </c>
      <c r="J18284" s="0" t="s">
        <v>60806</v>
      </c>
      <c r="K18284" s="0" t="s">
        <v>60807</v>
      </c>
      <c r="L18284" s="0" t="str">
        <f aca="false">HYPERLINK("https://www.ncbi.nlm.nih.gov/nuccore/CP000058.1?report=graph&amp;tracks=[key:gene_model_track,Options:GeneOnly]&amp;mk=5624122:5624141|offset_38|444444,5624102:5624121|offset_58|00cc00,5624068:5624087|offset_92|444444,5624028:5624047|offset_132|444444&amp;v=5623921:5624247&amp;c=444444", "offset 58")</f>
        <v>offset 58</v>
      </c>
    </row>
    <row r="18285" customFormat="false" ht="12.8" hidden="false" customHeight="false" outlineLevel="0" collapsed="false">
      <c r="A18285" s="0" t="s">
        <v>12</v>
      </c>
      <c r="B18285" s="0" t="n">
        <v>5624067</v>
      </c>
      <c r="C18285" s="0" t="n">
        <v>5624087</v>
      </c>
      <c r="D18285" s="0" t="s">
        <v>60801</v>
      </c>
      <c r="E18285" s="0" t="s">
        <v>75</v>
      </c>
      <c r="F18285" s="0" t="s">
        <v>90</v>
      </c>
      <c r="G18285" s="0" t="s">
        <v>32</v>
      </c>
      <c r="H18285" s="0" t="n">
        <v>92</v>
      </c>
      <c r="I18285" s="0" t="s">
        <v>60808</v>
      </c>
      <c r="J18285" s="0" t="s">
        <v>60809</v>
      </c>
      <c r="K18285" s="0" t="s">
        <v>60810</v>
      </c>
      <c r="L18285" s="0" t="str">
        <f aca="false">HYPERLINK("https://www.ncbi.nlm.nih.gov/nuccore/CP000058.1?report=graph&amp;tracks=[key:gene_model_track,Options:GeneOnly]&amp;mk=5624122:5624141|offset_38|444444,5624102:5624121|offset_58|444444,5624068:5624087|offset_92|00cc00,5624028:5624047|offset_132|444444&amp;v=5623921:5624247&amp;c=444444", "offset 92")</f>
        <v>offset 92</v>
      </c>
    </row>
    <row r="18286" customFormat="false" ht="12.8" hidden="false" customHeight="false" outlineLevel="0" collapsed="false">
      <c r="A18286" s="0" t="s">
        <v>12</v>
      </c>
      <c r="B18286" s="0" t="n">
        <v>5624027</v>
      </c>
      <c r="C18286" s="0" t="n">
        <v>5624047</v>
      </c>
      <c r="D18286" s="0" t="s">
        <v>60801</v>
      </c>
      <c r="E18286" s="0" t="s">
        <v>75</v>
      </c>
      <c r="F18286" s="0" t="s">
        <v>90</v>
      </c>
      <c r="G18286" s="0" t="s">
        <v>36</v>
      </c>
      <c r="H18286" s="0" t="n">
        <v>132</v>
      </c>
      <c r="I18286" s="0" t="s">
        <v>60811</v>
      </c>
      <c r="J18286" s="0" t="s">
        <v>60812</v>
      </c>
      <c r="K18286" s="0" t="s">
        <v>60813</v>
      </c>
      <c r="L18286" s="0" t="str">
        <f aca="false">HYPERLINK("https://www.ncbi.nlm.nih.gov/nuccore/CP000058.1?report=graph&amp;tracks=[key:gene_model_track,Options:GeneOnly]&amp;mk=5624122:5624141|offset_38|444444,5624102:5624121|offset_58|444444,5624068:5624087|offset_92|444444,5624028:5624047|offset_132|00cc00&amp;v=5623921:5624247&amp;c=444444", "offset 132")</f>
        <v>offset 132</v>
      </c>
    </row>
    <row r="18287" customFormat="false" ht="12.8" hidden="false" customHeight="false" outlineLevel="0" collapsed="false">
      <c r="A18287" s="0" t="s">
        <v>12</v>
      </c>
      <c r="B18287" s="0" t="n">
        <v>5625069</v>
      </c>
      <c r="C18287" s="0" t="n">
        <v>5625089</v>
      </c>
      <c r="D18287" s="0" t="s">
        <v>60814</v>
      </c>
      <c r="E18287" s="0" t="s">
        <v>75</v>
      </c>
      <c r="F18287" s="0" t="s">
        <v>90</v>
      </c>
      <c r="G18287" s="0" t="s">
        <v>32</v>
      </c>
      <c r="H18287" s="0" t="n">
        <v>13</v>
      </c>
      <c r="I18287" s="0" t="s">
        <v>60815</v>
      </c>
      <c r="J18287" s="0" t="s">
        <v>60816</v>
      </c>
      <c r="K18287" s="0" t="s">
        <v>60817</v>
      </c>
      <c r="L18287" s="0" t="str">
        <f aca="false">HYPERLINK("https://www.ncbi.nlm.nih.gov/nuccore/CP000058.1?report=graph&amp;tracks=[key:gene_model_track,Options:GeneOnly]&amp;mk=5625070:5625089|offset_13|00cc00,5625050:5625069|offset_33|444444,5625024:5625043|offset_59|444444,5624962:5624981|offset_121|444444&amp;v=5624869:5625181&amp;c=444444", "offset 13")</f>
        <v>offset 13</v>
      </c>
    </row>
    <row r="18288" customFormat="false" ht="12.8" hidden="false" customHeight="false" outlineLevel="0" collapsed="false">
      <c r="A18288" s="0" t="s">
        <v>12</v>
      </c>
      <c r="B18288" s="0" t="n">
        <v>5625049</v>
      </c>
      <c r="C18288" s="0" t="n">
        <v>5625069</v>
      </c>
      <c r="D18288" s="0" t="s">
        <v>60814</v>
      </c>
      <c r="E18288" s="0" t="s">
        <v>75</v>
      </c>
      <c r="F18288" s="0" t="s">
        <v>90</v>
      </c>
      <c r="G18288" s="0" t="s">
        <v>16</v>
      </c>
      <c r="H18288" s="0" t="n">
        <v>33</v>
      </c>
      <c r="I18288" s="0" t="s">
        <v>60818</v>
      </c>
      <c r="J18288" s="0" t="s">
        <v>60819</v>
      </c>
      <c r="K18288" s="0" t="s">
        <v>60820</v>
      </c>
      <c r="L18288" s="0" t="str">
        <f aca="false">HYPERLINK("https://www.ncbi.nlm.nih.gov/nuccore/CP000058.1?report=graph&amp;tracks=[key:gene_model_track,Options:GeneOnly]&amp;mk=5625070:5625089|offset_13|444444,5625050:5625069|offset_33|00cc00,5625024:5625043|offset_59|444444,5624962:5624981|offset_121|444444&amp;v=5624869:5625181&amp;c=444444", "offset 33")</f>
        <v>offset 33</v>
      </c>
    </row>
    <row r="18289" customFormat="false" ht="12.8" hidden="false" customHeight="false" outlineLevel="0" collapsed="false">
      <c r="A18289" s="0" t="s">
        <v>12</v>
      </c>
      <c r="B18289" s="0" t="n">
        <v>5625023</v>
      </c>
      <c r="C18289" s="0" t="n">
        <v>5625043</v>
      </c>
      <c r="D18289" s="0" t="s">
        <v>60814</v>
      </c>
      <c r="E18289" s="0" t="s">
        <v>75</v>
      </c>
      <c r="F18289" s="0" t="s">
        <v>90</v>
      </c>
      <c r="G18289" s="0" t="s">
        <v>32</v>
      </c>
      <c r="H18289" s="0" t="n">
        <v>59</v>
      </c>
      <c r="I18289" s="0" t="s">
        <v>60821</v>
      </c>
      <c r="J18289" s="0" t="s">
        <v>60822</v>
      </c>
      <c r="K18289" s="0" t="s">
        <v>60823</v>
      </c>
      <c r="L18289" s="0" t="str">
        <f aca="false">HYPERLINK("https://www.ncbi.nlm.nih.gov/nuccore/CP000058.1?report=graph&amp;tracks=[key:gene_model_track,Options:GeneOnly]&amp;mk=5625070:5625089|offset_13|444444,5625050:5625069|offset_33|444444,5625024:5625043|offset_59|00cc00,5624962:5624981|offset_121|444444&amp;v=5624869:5625181&amp;c=444444", "offset 59")</f>
        <v>offset 59</v>
      </c>
    </row>
    <row r="18290" customFormat="false" ht="12.8" hidden="false" customHeight="false" outlineLevel="0" collapsed="false">
      <c r="A18290" s="0" t="s">
        <v>12</v>
      </c>
      <c r="B18290" s="0" t="n">
        <v>5624961</v>
      </c>
      <c r="C18290" s="0" t="n">
        <v>5624981</v>
      </c>
      <c r="D18290" s="0" t="s">
        <v>60814</v>
      </c>
      <c r="E18290" s="0" t="s">
        <v>75</v>
      </c>
      <c r="F18290" s="0" t="s">
        <v>90</v>
      </c>
      <c r="G18290" s="0" t="s">
        <v>32</v>
      </c>
      <c r="H18290" s="0" t="n">
        <v>121</v>
      </c>
      <c r="I18290" s="0" t="s">
        <v>60824</v>
      </c>
      <c r="J18290" s="0" t="s">
        <v>60825</v>
      </c>
      <c r="K18290" s="0" t="s">
        <v>60826</v>
      </c>
      <c r="L18290" s="0" t="str">
        <f aca="false">HYPERLINK("https://www.ncbi.nlm.nih.gov/nuccore/CP000058.1?report=graph&amp;tracks=[key:gene_model_track,Options:GeneOnly]&amp;mk=5625070:5625089|offset_13|444444,5625050:5625069|offset_33|444444,5625024:5625043|offset_59|444444,5624962:5624981|offset_121|00cc00&amp;v=5624869:5625181&amp;c=444444", "offset 121")</f>
        <v>offset 121</v>
      </c>
    </row>
    <row r="18291" customFormat="false" ht="12.8" hidden="false" customHeight="false" outlineLevel="0" collapsed="false">
      <c r="A18291" s="0" t="s">
        <v>12</v>
      </c>
      <c r="B18291" s="0" t="n">
        <v>5625516</v>
      </c>
      <c r="C18291" s="0" t="n">
        <v>5625536</v>
      </c>
      <c r="D18291" s="0" t="s">
        <v>60827</v>
      </c>
      <c r="E18291" s="0" t="s">
        <v>75</v>
      </c>
      <c r="F18291" s="0" t="s">
        <v>90</v>
      </c>
      <c r="G18291" s="0" t="s">
        <v>16</v>
      </c>
      <c r="H18291" s="0" t="n">
        <v>0</v>
      </c>
      <c r="I18291" s="0" t="s">
        <v>60828</v>
      </c>
      <c r="J18291" s="0" t="s">
        <v>60829</v>
      </c>
      <c r="K18291" s="0" t="s">
        <v>60830</v>
      </c>
      <c r="L18291" s="0" t="str">
        <f aca="false">HYPERLINK("https://www.ncbi.nlm.nih.gov/nuccore/CP000058.1?report=graph&amp;tracks=[key:gene_model_track,Options:GeneOnly]&amp;mk=5625517:5625536|offset_0|00cc00,5625488:5625507|offset_29|444444,5625460:5625479|offset_57|444444,5625404:5625423|offset_113|444444&amp;v=5625316:5625623&amp;c=444444", "offset 0")</f>
        <v>offset 0</v>
      </c>
    </row>
    <row r="18292" customFormat="false" ht="12.8" hidden="false" customHeight="false" outlineLevel="0" collapsed="false">
      <c r="A18292" s="0" t="s">
        <v>12</v>
      </c>
      <c r="B18292" s="0" t="n">
        <v>5625487</v>
      </c>
      <c r="C18292" s="0" t="n">
        <v>5625507</v>
      </c>
      <c r="D18292" s="0" t="s">
        <v>60827</v>
      </c>
      <c r="E18292" s="0" t="s">
        <v>75</v>
      </c>
      <c r="F18292" s="0" t="s">
        <v>90</v>
      </c>
      <c r="G18292" s="0" t="s">
        <v>36</v>
      </c>
      <c r="H18292" s="0" t="n">
        <v>29</v>
      </c>
      <c r="I18292" s="0" t="s">
        <v>60831</v>
      </c>
      <c r="J18292" s="0" t="s">
        <v>60832</v>
      </c>
      <c r="K18292" s="0" t="s">
        <v>60833</v>
      </c>
      <c r="L18292" s="0" t="str">
        <f aca="false">HYPERLINK("https://www.ncbi.nlm.nih.gov/nuccore/CP000058.1?report=graph&amp;tracks=[key:gene_model_track,Options:GeneOnly]&amp;mk=5625517:5625536|offset_0|444444,5625488:5625507|offset_29|00cc00,5625460:5625479|offset_57|444444,5625404:5625423|offset_113|444444&amp;v=5625316:5625623&amp;c=444444", "offset 29")</f>
        <v>offset 29</v>
      </c>
    </row>
    <row r="18293" customFormat="false" ht="12.8" hidden="false" customHeight="false" outlineLevel="0" collapsed="false">
      <c r="A18293" s="0" t="s">
        <v>12</v>
      </c>
      <c r="B18293" s="0" t="n">
        <v>5625459</v>
      </c>
      <c r="C18293" s="0" t="n">
        <v>5625479</v>
      </c>
      <c r="D18293" s="0" t="s">
        <v>60827</v>
      </c>
      <c r="E18293" s="0" t="s">
        <v>75</v>
      </c>
      <c r="F18293" s="0" t="s">
        <v>90</v>
      </c>
      <c r="G18293" s="0" t="s">
        <v>16</v>
      </c>
      <c r="H18293" s="0" t="n">
        <v>57</v>
      </c>
      <c r="I18293" s="0" t="s">
        <v>60834</v>
      </c>
      <c r="J18293" s="0" t="s">
        <v>60835</v>
      </c>
      <c r="K18293" s="0" t="s">
        <v>60836</v>
      </c>
      <c r="L18293" s="0" t="str">
        <f aca="false">HYPERLINK("https://www.ncbi.nlm.nih.gov/nuccore/CP000058.1?report=graph&amp;tracks=[key:gene_model_track,Options:GeneOnly]&amp;mk=5625517:5625536|offset_0|444444,5625488:5625507|offset_29|444444,5625460:5625479|offset_57|00cc00,5625404:5625423|offset_113|444444&amp;v=5625316:5625623&amp;c=444444", "offset 57")</f>
        <v>offset 57</v>
      </c>
    </row>
    <row r="18294" customFormat="false" ht="12.8" hidden="false" customHeight="false" outlineLevel="0" collapsed="false">
      <c r="A18294" s="0" t="s">
        <v>12</v>
      </c>
      <c r="B18294" s="0" t="n">
        <v>5625403</v>
      </c>
      <c r="C18294" s="0" t="n">
        <v>5625423</v>
      </c>
      <c r="D18294" s="0" t="s">
        <v>60827</v>
      </c>
      <c r="E18294" s="0" t="s">
        <v>75</v>
      </c>
      <c r="F18294" s="0" t="s">
        <v>90</v>
      </c>
      <c r="G18294" s="0" t="s">
        <v>32</v>
      </c>
      <c r="H18294" s="0" t="n">
        <v>113</v>
      </c>
      <c r="I18294" s="0" t="s">
        <v>60837</v>
      </c>
      <c r="J18294" s="0" t="s">
        <v>60838</v>
      </c>
      <c r="K18294" s="0" t="s">
        <v>60839</v>
      </c>
      <c r="L18294" s="0" t="str">
        <f aca="false">HYPERLINK("https://www.ncbi.nlm.nih.gov/nuccore/CP000058.1?report=graph&amp;tracks=[key:gene_model_track,Options:GeneOnly]&amp;mk=5625517:5625536|offset_0|444444,5625488:5625507|offset_29|444444,5625460:5625479|offset_57|444444,5625404:5625423|offset_113|00cc00&amp;v=5625316:5625623&amp;c=444444", "offset 113")</f>
        <v>offset 113</v>
      </c>
    </row>
    <row r="18295" customFormat="false" ht="12.8" hidden="false" customHeight="false" outlineLevel="0" collapsed="false">
      <c r="A18295" s="0" t="s">
        <v>12</v>
      </c>
      <c r="B18295" s="0" t="n">
        <v>5628104</v>
      </c>
      <c r="C18295" s="0" t="n">
        <v>5628124</v>
      </c>
      <c r="D18295" s="0" t="s">
        <v>60840</v>
      </c>
      <c r="E18295" s="0" t="s">
        <v>75</v>
      </c>
      <c r="F18295" s="0" t="s">
        <v>90</v>
      </c>
      <c r="G18295" s="0" t="s">
        <v>36</v>
      </c>
      <c r="H18295" s="0" t="n">
        <v>19</v>
      </c>
      <c r="I18295" s="0" t="s">
        <v>60841</v>
      </c>
      <c r="J18295" s="0" t="s">
        <v>60842</v>
      </c>
      <c r="K18295" s="0" t="s">
        <v>60843</v>
      </c>
      <c r="L18295" s="0" t="str">
        <f aca="false">HYPERLINK("https://www.ncbi.nlm.nih.gov/nuccore/CP000058.1?report=graph&amp;tracks=[key:gene_model_track,Options:GeneOnly]&amp;mk=5628105:5628124|offset_19|00cc00,5628081:5628100|offset_43|444444,5628058:5628077|offset_66|444444,5628030:5628049|offset_94|444444&amp;v=5627904:5628249&amp;c=444444", "offset 19")</f>
        <v>offset 19</v>
      </c>
    </row>
    <row r="18296" customFormat="false" ht="12.8" hidden="false" customHeight="false" outlineLevel="0" collapsed="false">
      <c r="A18296" s="0" t="s">
        <v>12</v>
      </c>
      <c r="B18296" s="0" t="n">
        <v>5628080</v>
      </c>
      <c r="C18296" s="0" t="n">
        <v>5628100</v>
      </c>
      <c r="D18296" s="0" t="s">
        <v>60840</v>
      </c>
      <c r="E18296" s="0" t="s">
        <v>75</v>
      </c>
      <c r="F18296" s="0" t="s">
        <v>90</v>
      </c>
      <c r="G18296" s="0" t="s">
        <v>36</v>
      </c>
      <c r="H18296" s="0" t="n">
        <v>43</v>
      </c>
      <c r="I18296" s="0" t="s">
        <v>60844</v>
      </c>
      <c r="J18296" s="0" t="s">
        <v>60845</v>
      </c>
      <c r="K18296" s="0" t="s">
        <v>60846</v>
      </c>
      <c r="L18296" s="0" t="str">
        <f aca="false">HYPERLINK("https://www.ncbi.nlm.nih.gov/nuccore/CP000058.1?report=graph&amp;tracks=[key:gene_model_track,Options:GeneOnly]&amp;mk=5628105:5628124|offset_19|444444,5628081:5628100|offset_43|00cc00,5628058:5628077|offset_66|444444,5628030:5628049|offset_94|444444&amp;v=5627904:5628249&amp;c=444444", "offset 43")</f>
        <v>offset 43</v>
      </c>
    </row>
    <row r="18297" customFormat="false" ht="12.8" hidden="false" customHeight="false" outlineLevel="0" collapsed="false">
      <c r="A18297" s="0" t="s">
        <v>12</v>
      </c>
      <c r="B18297" s="0" t="n">
        <v>5628057</v>
      </c>
      <c r="C18297" s="0" t="n">
        <v>5628077</v>
      </c>
      <c r="D18297" s="0" t="s">
        <v>60840</v>
      </c>
      <c r="E18297" s="0" t="s">
        <v>75</v>
      </c>
      <c r="F18297" s="0" t="s">
        <v>90</v>
      </c>
      <c r="G18297" s="0" t="s">
        <v>16</v>
      </c>
      <c r="H18297" s="0" t="n">
        <v>66</v>
      </c>
      <c r="I18297" s="0" t="s">
        <v>60847</v>
      </c>
      <c r="J18297" s="0" t="s">
        <v>60848</v>
      </c>
      <c r="K18297" s="0" t="s">
        <v>60849</v>
      </c>
      <c r="L18297" s="0" t="str">
        <f aca="false">HYPERLINK("https://www.ncbi.nlm.nih.gov/nuccore/CP000058.1?report=graph&amp;tracks=[key:gene_model_track,Options:GeneOnly]&amp;mk=5628105:5628124|offset_19|444444,5628081:5628100|offset_43|444444,5628058:5628077|offset_66|00cc00,5628030:5628049|offset_94|444444&amp;v=5627904:5628249&amp;c=444444", "offset 66")</f>
        <v>offset 66</v>
      </c>
    </row>
    <row r="18298" customFormat="false" ht="12.8" hidden="false" customHeight="false" outlineLevel="0" collapsed="false">
      <c r="A18298" s="0" t="s">
        <v>12</v>
      </c>
      <c r="B18298" s="0" t="n">
        <v>5628029</v>
      </c>
      <c r="C18298" s="0" t="n">
        <v>5628049</v>
      </c>
      <c r="D18298" s="0" t="s">
        <v>60840</v>
      </c>
      <c r="E18298" s="0" t="s">
        <v>75</v>
      </c>
      <c r="F18298" s="0" t="s">
        <v>90</v>
      </c>
      <c r="G18298" s="0" t="s">
        <v>32</v>
      </c>
      <c r="H18298" s="0" t="n">
        <v>94</v>
      </c>
      <c r="I18298" s="0" t="s">
        <v>60850</v>
      </c>
      <c r="J18298" s="0" t="s">
        <v>60851</v>
      </c>
      <c r="K18298" s="0" t="s">
        <v>60852</v>
      </c>
      <c r="L18298" s="0" t="str">
        <f aca="false">HYPERLINK("https://www.ncbi.nlm.nih.gov/nuccore/CP000058.1?report=graph&amp;tracks=[key:gene_model_track,Options:GeneOnly]&amp;mk=5628105:5628124|offset_19|444444,5628081:5628100|offset_43|444444,5628058:5628077|offset_66|444444,5628030:5628049|offset_94|00cc00&amp;v=5627904:5628249&amp;c=444444", "offset 94")</f>
        <v>offset 94</v>
      </c>
    </row>
    <row r="18299" customFormat="false" ht="12.8" hidden="false" customHeight="false" outlineLevel="0" collapsed="false">
      <c r="A18299" s="0" t="s">
        <v>12</v>
      </c>
      <c r="B18299" s="0" t="n">
        <v>5628635</v>
      </c>
      <c r="C18299" s="0" t="n">
        <v>5628655</v>
      </c>
      <c r="D18299" s="0" t="s">
        <v>60853</v>
      </c>
      <c r="E18299" s="0" t="s">
        <v>75</v>
      </c>
      <c r="F18299" s="0" t="s">
        <v>90</v>
      </c>
      <c r="G18299" s="0" t="s">
        <v>16</v>
      </c>
      <c r="H18299" s="0" t="n">
        <v>21</v>
      </c>
      <c r="I18299" s="0" t="s">
        <v>60854</v>
      </c>
      <c r="J18299" s="0" t="s">
        <v>60855</v>
      </c>
      <c r="K18299" s="0" t="s">
        <v>60856</v>
      </c>
      <c r="L18299" s="0" t="str">
        <f aca="false">HYPERLINK("https://www.ncbi.nlm.nih.gov/nuccore/CP000058.1?report=graph&amp;tracks=[key:gene_model_track,Options:GeneOnly]&amp;mk=5628636:5628655|offset_21|00cc00,5628608:5628627|offset_49|444444,5628569:5628588|offset_88|444444,5628549:5628568|offset_108|444444&amp;v=5628435:5628768&amp;c=444444", "offset 21")</f>
        <v>offset 21</v>
      </c>
    </row>
    <row r="18300" customFormat="false" ht="12.8" hidden="false" customHeight="false" outlineLevel="0" collapsed="false">
      <c r="A18300" s="0" t="s">
        <v>12</v>
      </c>
      <c r="B18300" s="0" t="n">
        <v>5628607</v>
      </c>
      <c r="C18300" s="0" t="n">
        <v>5628627</v>
      </c>
      <c r="D18300" s="0" t="s">
        <v>60853</v>
      </c>
      <c r="E18300" s="0" t="s">
        <v>75</v>
      </c>
      <c r="F18300" s="0" t="s">
        <v>90</v>
      </c>
      <c r="G18300" s="0" t="s">
        <v>32</v>
      </c>
      <c r="H18300" s="0" t="n">
        <v>49</v>
      </c>
      <c r="I18300" s="0" t="s">
        <v>60857</v>
      </c>
      <c r="J18300" s="0" t="s">
        <v>60858</v>
      </c>
      <c r="K18300" s="0" t="s">
        <v>60859</v>
      </c>
      <c r="L18300" s="0" t="str">
        <f aca="false">HYPERLINK("https://www.ncbi.nlm.nih.gov/nuccore/CP000058.1?report=graph&amp;tracks=[key:gene_model_track,Options:GeneOnly]&amp;mk=5628636:5628655|offset_21|444444,5628608:5628627|offset_49|00cc00,5628569:5628588|offset_88|444444,5628549:5628568|offset_108|444444&amp;v=5628435:5628768&amp;c=444444", "offset 49")</f>
        <v>offset 49</v>
      </c>
    </row>
    <row r="18301" customFormat="false" ht="12.8" hidden="false" customHeight="false" outlineLevel="0" collapsed="false">
      <c r="A18301" s="0" t="s">
        <v>12</v>
      </c>
      <c r="B18301" s="0" t="n">
        <v>5628568</v>
      </c>
      <c r="C18301" s="0" t="n">
        <v>5628588</v>
      </c>
      <c r="D18301" s="0" t="s">
        <v>60853</v>
      </c>
      <c r="E18301" s="0" t="s">
        <v>75</v>
      </c>
      <c r="F18301" s="0" t="s">
        <v>90</v>
      </c>
      <c r="G18301" s="0" t="s">
        <v>32</v>
      </c>
      <c r="H18301" s="0" t="n">
        <v>88</v>
      </c>
      <c r="I18301" s="0" t="s">
        <v>60860</v>
      </c>
      <c r="J18301" s="0" t="s">
        <v>60861</v>
      </c>
      <c r="K18301" s="0" t="s">
        <v>60862</v>
      </c>
      <c r="L18301" s="0" t="str">
        <f aca="false">HYPERLINK("https://www.ncbi.nlm.nih.gov/nuccore/CP000058.1?report=graph&amp;tracks=[key:gene_model_track,Options:GeneOnly]&amp;mk=5628636:5628655|offset_21|444444,5628608:5628627|offset_49|444444,5628569:5628588|offset_88|00cc00,5628549:5628568|offset_108|444444&amp;v=5628435:5628768&amp;c=444444", "offset 88")</f>
        <v>offset 88</v>
      </c>
    </row>
    <row r="18302" customFormat="false" ht="12.8" hidden="false" customHeight="false" outlineLevel="0" collapsed="false">
      <c r="A18302" s="0" t="s">
        <v>12</v>
      </c>
      <c r="B18302" s="0" t="n">
        <v>5628548</v>
      </c>
      <c r="C18302" s="0" t="n">
        <v>5628568</v>
      </c>
      <c r="D18302" s="0" t="s">
        <v>60853</v>
      </c>
      <c r="E18302" s="0" t="s">
        <v>75</v>
      </c>
      <c r="F18302" s="0" t="s">
        <v>90</v>
      </c>
      <c r="G18302" s="0" t="s">
        <v>16</v>
      </c>
      <c r="H18302" s="0" t="n">
        <v>108</v>
      </c>
      <c r="I18302" s="0" t="s">
        <v>60863</v>
      </c>
      <c r="J18302" s="0" t="s">
        <v>60864</v>
      </c>
      <c r="K18302" s="0" t="s">
        <v>60865</v>
      </c>
      <c r="L18302" s="0" t="str">
        <f aca="false">HYPERLINK("https://www.ncbi.nlm.nih.gov/nuccore/CP000058.1?report=graph&amp;tracks=[key:gene_model_track,Options:GeneOnly]&amp;mk=5628636:5628655|offset_21|444444,5628608:5628627|offset_49|444444,5628569:5628588|offset_88|444444,5628549:5628568|offset_108|00cc00&amp;v=5628435:5628768&amp;c=444444", "offset 108")</f>
        <v>offset 108</v>
      </c>
    </row>
    <row r="18303" customFormat="false" ht="12.8" hidden="false" customHeight="false" outlineLevel="0" collapsed="false">
      <c r="A18303" s="0" t="s">
        <v>12</v>
      </c>
      <c r="B18303" s="0" t="n">
        <v>5629815</v>
      </c>
      <c r="C18303" s="0" t="n">
        <v>5629835</v>
      </c>
      <c r="D18303" s="0" t="s">
        <v>60866</v>
      </c>
      <c r="E18303" s="0" t="s">
        <v>75</v>
      </c>
      <c r="F18303" s="0" t="s">
        <v>90</v>
      </c>
      <c r="G18303" s="0" t="s">
        <v>16</v>
      </c>
      <c r="H18303" s="0" t="n">
        <v>7</v>
      </c>
      <c r="I18303" s="0" t="s">
        <v>60867</v>
      </c>
      <c r="J18303" s="0" t="s">
        <v>60868</v>
      </c>
      <c r="K18303" s="0" t="s">
        <v>60869</v>
      </c>
      <c r="L18303" s="0" t="str">
        <f aca="false">HYPERLINK("https://www.ncbi.nlm.nih.gov/nuccore/CP000058.1?report=graph&amp;tracks=[key:gene_model_track,Options:GeneOnly]&amp;mk=5629816:5629835|offset_7|00cc00,5629786:5629805|offset_37|444444,5629750:5629769|offset_73|444444,5629711:5629730|offset_112|444444&amp;v=5629615:5629930&amp;c=444444", "offset 7")</f>
        <v>offset 7</v>
      </c>
    </row>
    <row r="18304" customFormat="false" ht="12.8" hidden="false" customHeight="false" outlineLevel="0" collapsed="false">
      <c r="A18304" s="0" t="s">
        <v>12</v>
      </c>
      <c r="B18304" s="0" t="n">
        <v>5629785</v>
      </c>
      <c r="C18304" s="0" t="n">
        <v>5629805</v>
      </c>
      <c r="D18304" s="0" t="s">
        <v>60866</v>
      </c>
      <c r="E18304" s="0" t="s">
        <v>75</v>
      </c>
      <c r="F18304" s="0" t="s">
        <v>90</v>
      </c>
      <c r="G18304" s="0" t="s">
        <v>16</v>
      </c>
      <c r="H18304" s="0" t="n">
        <v>37</v>
      </c>
      <c r="I18304" s="0" t="s">
        <v>60870</v>
      </c>
      <c r="J18304" s="0" t="s">
        <v>60871</v>
      </c>
      <c r="K18304" s="0" t="s">
        <v>60872</v>
      </c>
      <c r="L18304" s="0" t="str">
        <f aca="false">HYPERLINK("https://www.ncbi.nlm.nih.gov/nuccore/CP000058.1?report=graph&amp;tracks=[key:gene_model_track,Options:GeneOnly]&amp;mk=5629816:5629835|offset_7|444444,5629786:5629805|offset_37|00cc00,5629750:5629769|offset_73|444444,5629711:5629730|offset_112|444444&amp;v=5629615:5629930&amp;c=444444", "offset 37")</f>
        <v>offset 37</v>
      </c>
    </row>
    <row r="18305" customFormat="false" ht="12.8" hidden="false" customHeight="false" outlineLevel="0" collapsed="false">
      <c r="A18305" s="0" t="s">
        <v>12</v>
      </c>
      <c r="B18305" s="0" t="n">
        <v>5629749</v>
      </c>
      <c r="C18305" s="0" t="n">
        <v>5629769</v>
      </c>
      <c r="D18305" s="0" t="s">
        <v>60866</v>
      </c>
      <c r="E18305" s="0" t="s">
        <v>75</v>
      </c>
      <c r="F18305" s="0" t="s">
        <v>90</v>
      </c>
      <c r="G18305" s="0" t="s">
        <v>20</v>
      </c>
      <c r="H18305" s="0" t="n">
        <v>73</v>
      </c>
      <c r="I18305" s="0" t="s">
        <v>60873</v>
      </c>
      <c r="J18305" s="0" t="s">
        <v>60874</v>
      </c>
      <c r="K18305" s="0" t="s">
        <v>60875</v>
      </c>
      <c r="L18305" s="0" t="str">
        <f aca="false">HYPERLINK("https://www.ncbi.nlm.nih.gov/nuccore/CP000058.1?report=graph&amp;tracks=[key:gene_model_track,Options:GeneOnly]&amp;mk=5629816:5629835|offset_7|444444,5629786:5629805|offset_37|444444,5629750:5629769|offset_73|00cc00,5629711:5629730|offset_112|444444&amp;v=5629615:5629930&amp;c=444444", "offset 73")</f>
        <v>offset 73</v>
      </c>
    </row>
    <row r="18306" customFormat="false" ht="12.8" hidden="false" customHeight="false" outlineLevel="0" collapsed="false">
      <c r="A18306" s="0" t="s">
        <v>12</v>
      </c>
      <c r="B18306" s="0" t="n">
        <v>5629710</v>
      </c>
      <c r="C18306" s="0" t="n">
        <v>5629730</v>
      </c>
      <c r="D18306" s="0" t="s">
        <v>60866</v>
      </c>
      <c r="E18306" s="0" t="s">
        <v>75</v>
      </c>
      <c r="F18306" s="0" t="s">
        <v>90</v>
      </c>
      <c r="G18306" s="0" t="s">
        <v>32</v>
      </c>
      <c r="H18306" s="0" t="n">
        <v>112</v>
      </c>
      <c r="I18306" s="0" t="s">
        <v>60876</v>
      </c>
      <c r="J18306" s="0" t="s">
        <v>60877</v>
      </c>
      <c r="K18306" s="0" t="s">
        <v>60878</v>
      </c>
      <c r="L18306" s="0" t="str">
        <f aca="false">HYPERLINK("https://www.ncbi.nlm.nih.gov/nuccore/CP000058.1?report=graph&amp;tracks=[key:gene_model_track,Options:GeneOnly]&amp;mk=5629816:5629835|offset_7|444444,5629786:5629805|offset_37|444444,5629750:5629769|offset_73|444444,5629711:5629730|offset_112|00cc00&amp;v=5629615:5629930&amp;c=444444", "offset 112")</f>
        <v>offset 112</v>
      </c>
    </row>
    <row r="18307" customFormat="false" ht="12.8" hidden="false" customHeight="false" outlineLevel="0" collapsed="false">
      <c r="A18307" s="0" t="s">
        <v>12</v>
      </c>
      <c r="B18307" s="0" t="n">
        <v>5630116</v>
      </c>
      <c r="C18307" s="0" t="n">
        <v>5630136</v>
      </c>
      <c r="D18307" s="0" t="s">
        <v>60879</v>
      </c>
      <c r="E18307" s="0" t="s">
        <v>75</v>
      </c>
      <c r="F18307" s="0" t="s">
        <v>90</v>
      </c>
      <c r="G18307" s="0" t="s">
        <v>20</v>
      </c>
      <c r="H18307" s="0" t="n">
        <v>20</v>
      </c>
      <c r="I18307" s="0" t="s">
        <v>60880</v>
      </c>
      <c r="J18307" s="0" t="s">
        <v>60881</v>
      </c>
      <c r="K18307" s="0" t="s">
        <v>60882</v>
      </c>
      <c r="L18307" s="0" t="str">
        <f aca="false">HYPERLINK("https://www.ncbi.nlm.nih.gov/nuccore/CP000058.1?report=graph&amp;tracks=[key:gene_model_track,Options:GeneOnly]&amp;mk=5630117:5630136|offset_20|00cc00,5630096:5630115|offset_41|444444,5630075:5630094|offset_62|444444,5630054:5630073|offset_83|444444&amp;v=5629916:5630273&amp;c=444444", "offset 20")</f>
        <v>offset 20</v>
      </c>
    </row>
    <row r="18308" customFormat="false" ht="12.8" hidden="false" customHeight="false" outlineLevel="0" collapsed="false">
      <c r="A18308" s="0" t="s">
        <v>12</v>
      </c>
      <c r="B18308" s="0" t="n">
        <v>5630095</v>
      </c>
      <c r="C18308" s="0" t="n">
        <v>5630115</v>
      </c>
      <c r="D18308" s="0" t="s">
        <v>60879</v>
      </c>
      <c r="E18308" s="0" t="s">
        <v>75</v>
      </c>
      <c r="F18308" s="0" t="s">
        <v>90</v>
      </c>
      <c r="G18308" s="0" t="s">
        <v>20</v>
      </c>
      <c r="H18308" s="0" t="n">
        <v>41</v>
      </c>
      <c r="I18308" s="0" t="s">
        <v>60883</v>
      </c>
      <c r="J18308" s="0" t="s">
        <v>60884</v>
      </c>
      <c r="K18308" s="0" t="s">
        <v>60885</v>
      </c>
      <c r="L18308" s="0" t="str">
        <f aca="false">HYPERLINK("https://www.ncbi.nlm.nih.gov/nuccore/CP000058.1?report=graph&amp;tracks=[key:gene_model_track,Options:GeneOnly]&amp;mk=5630117:5630136|offset_20|444444,5630096:5630115|offset_41|00cc00,5630075:5630094|offset_62|444444,5630054:5630073|offset_83|444444&amp;v=5629916:5630273&amp;c=444444", "offset 41")</f>
        <v>offset 41</v>
      </c>
    </row>
    <row r="18309" customFormat="false" ht="12.8" hidden="false" customHeight="false" outlineLevel="0" collapsed="false">
      <c r="A18309" s="0" t="s">
        <v>12</v>
      </c>
      <c r="B18309" s="0" t="n">
        <v>5630074</v>
      </c>
      <c r="C18309" s="0" t="n">
        <v>5630094</v>
      </c>
      <c r="D18309" s="0" t="s">
        <v>60879</v>
      </c>
      <c r="E18309" s="0" t="s">
        <v>75</v>
      </c>
      <c r="F18309" s="0" t="s">
        <v>90</v>
      </c>
      <c r="G18309" s="0" t="s">
        <v>32</v>
      </c>
      <c r="H18309" s="0" t="n">
        <v>62</v>
      </c>
      <c r="I18309" s="0" t="s">
        <v>60886</v>
      </c>
      <c r="J18309" s="0" t="s">
        <v>60887</v>
      </c>
      <c r="K18309" s="0" t="s">
        <v>60888</v>
      </c>
      <c r="L18309" s="0" t="str">
        <f aca="false">HYPERLINK("https://www.ncbi.nlm.nih.gov/nuccore/CP000058.1?report=graph&amp;tracks=[key:gene_model_track,Options:GeneOnly]&amp;mk=5630117:5630136|offset_20|444444,5630096:5630115|offset_41|444444,5630075:5630094|offset_62|00cc00,5630054:5630073|offset_83|444444&amp;v=5629916:5630273&amp;c=444444", "offset 62")</f>
        <v>offset 62</v>
      </c>
    </row>
    <row r="18310" customFormat="false" ht="12.8" hidden="false" customHeight="false" outlineLevel="0" collapsed="false">
      <c r="A18310" s="0" t="s">
        <v>12</v>
      </c>
      <c r="B18310" s="0" t="n">
        <v>5630053</v>
      </c>
      <c r="C18310" s="0" t="n">
        <v>5630073</v>
      </c>
      <c r="D18310" s="0" t="s">
        <v>60879</v>
      </c>
      <c r="E18310" s="0" t="s">
        <v>75</v>
      </c>
      <c r="F18310" s="0" t="s">
        <v>90</v>
      </c>
      <c r="G18310" s="0" t="s">
        <v>16</v>
      </c>
      <c r="H18310" s="0" t="n">
        <v>83</v>
      </c>
      <c r="I18310" s="0" t="s">
        <v>60889</v>
      </c>
      <c r="J18310" s="0" t="s">
        <v>60890</v>
      </c>
      <c r="K18310" s="0" t="s">
        <v>60891</v>
      </c>
      <c r="L18310" s="0" t="str">
        <f aca="false">HYPERLINK("https://www.ncbi.nlm.nih.gov/nuccore/CP000058.1?report=graph&amp;tracks=[key:gene_model_track,Options:GeneOnly]&amp;mk=5630117:5630136|offset_20|444444,5630096:5630115|offset_41|444444,5630075:5630094|offset_62|444444,5630054:5630073|offset_83|00cc00&amp;v=5629916:5630273&amp;c=444444", "offset 83")</f>
        <v>offset 83</v>
      </c>
    </row>
    <row r="18311" customFormat="false" ht="12.8" hidden="false" customHeight="false" outlineLevel="0" collapsed="false">
      <c r="A18311" s="0" t="s">
        <v>12</v>
      </c>
      <c r="B18311" s="0" t="n">
        <v>5632425</v>
      </c>
      <c r="C18311" s="0" t="n">
        <v>5632445</v>
      </c>
      <c r="D18311" s="0" t="s">
        <v>60892</v>
      </c>
      <c r="E18311" s="0" t="s">
        <v>75</v>
      </c>
      <c r="F18311" s="0" t="s">
        <v>90</v>
      </c>
      <c r="G18311" s="0" t="s">
        <v>16</v>
      </c>
      <c r="H18311" s="0" t="n">
        <v>11</v>
      </c>
      <c r="I18311" s="0" t="s">
        <v>60893</v>
      </c>
      <c r="J18311" s="0" t="s">
        <v>60894</v>
      </c>
      <c r="K18311" s="0" t="s">
        <v>60895</v>
      </c>
      <c r="L18311" s="0" t="str">
        <f aca="false">HYPERLINK("https://www.ncbi.nlm.nih.gov/nuccore/CP000058.1?report=graph&amp;tracks=[key:gene_model_track,Options:GeneOnly]&amp;mk=5632426:5632445|offset_11|00cc00,5632402:5632421|offset_35|444444,5632376:5632395|offset_61|444444,5632355:5632374|offset_82|444444&amp;v=5632225:5632574&amp;c=444444", "offset 11")</f>
        <v>offset 11</v>
      </c>
    </row>
    <row r="18312" customFormat="false" ht="12.8" hidden="false" customHeight="false" outlineLevel="0" collapsed="false">
      <c r="A18312" s="0" t="s">
        <v>12</v>
      </c>
      <c r="B18312" s="0" t="n">
        <v>5632401</v>
      </c>
      <c r="C18312" s="0" t="n">
        <v>5632421</v>
      </c>
      <c r="D18312" s="0" t="s">
        <v>60892</v>
      </c>
      <c r="E18312" s="0" t="s">
        <v>75</v>
      </c>
      <c r="F18312" s="0" t="s">
        <v>90</v>
      </c>
      <c r="G18312" s="0" t="s">
        <v>20</v>
      </c>
      <c r="H18312" s="0" t="n">
        <v>35</v>
      </c>
      <c r="I18312" s="0" t="s">
        <v>60896</v>
      </c>
      <c r="J18312" s="0" t="s">
        <v>60897</v>
      </c>
      <c r="K18312" s="0" t="s">
        <v>60898</v>
      </c>
      <c r="L18312" s="0" t="str">
        <f aca="false">HYPERLINK("https://www.ncbi.nlm.nih.gov/nuccore/CP000058.1?report=graph&amp;tracks=[key:gene_model_track,Options:GeneOnly]&amp;mk=5632426:5632445|offset_11|444444,5632402:5632421|offset_35|00cc00,5632376:5632395|offset_61|444444,5632355:5632374|offset_82|444444&amp;v=5632225:5632574&amp;c=444444", "offset 35")</f>
        <v>offset 35</v>
      </c>
    </row>
    <row r="18313" customFormat="false" ht="12.8" hidden="false" customHeight="false" outlineLevel="0" collapsed="false">
      <c r="A18313" s="0" t="s">
        <v>12</v>
      </c>
      <c r="B18313" s="0" t="n">
        <v>5632375</v>
      </c>
      <c r="C18313" s="0" t="n">
        <v>5632395</v>
      </c>
      <c r="D18313" s="0" t="s">
        <v>60892</v>
      </c>
      <c r="E18313" s="0" t="s">
        <v>75</v>
      </c>
      <c r="F18313" s="0" t="s">
        <v>90</v>
      </c>
      <c r="G18313" s="0" t="s">
        <v>36</v>
      </c>
      <c r="H18313" s="0" t="n">
        <v>61</v>
      </c>
      <c r="I18313" s="0" t="s">
        <v>60899</v>
      </c>
      <c r="J18313" s="0" t="s">
        <v>60900</v>
      </c>
      <c r="K18313" s="0" t="s">
        <v>60901</v>
      </c>
      <c r="L18313" s="0" t="str">
        <f aca="false">HYPERLINK("https://www.ncbi.nlm.nih.gov/nuccore/CP000058.1?report=graph&amp;tracks=[key:gene_model_track,Options:GeneOnly]&amp;mk=5632426:5632445|offset_11|444444,5632402:5632421|offset_35|444444,5632376:5632395|offset_61|00cc00,5632355:5632374|offset_82|444444&amp;v=5632225:5632574&amp;c=444444", "offset 61")</f>
        <v>offset 61</v>
      </c>
    </row>
    <row r="18314" customFormat="false" ht="12.8" hidden="false" customHeight="false" outlineLevel="0" collapsed="false">
      <c r="A18314" s="0" t="s">
        <v>12</v>
      </c>
      <c r="B18314" s="0" t="n">
        <v>5632354</v>
      </c>
      <c r="C18314" s="0" t="n">
        <v>5632374</v>
      </c>
      <c r="D18314" s="0" t="s">
        <v>60892</v>
      </c>
      <c r="E18314" s="0" t="s">
        <v>75</v>
      </c>
      <c r="F18314" s="0" t="s">
        <v>90</v>
      </c>
      <c r="G18314" s="0" t="s">
        <v>32</v>
      </c>
      <c r="H18314" s="0" t="n">
        <v>82</v>
      </c>
      <c r="I18314" s="0" t="s">
        <v>60902</v>
      </c>
      <c r="J18314" s="0" t="s">
        <v>60903</v>
      </c>
      <c r="K18314" s="0" t="s">
        <v>60904</v>
      </c>
      <c r="L18314" s="0" t="str">
        <f aca="false">HYPERLINK("https://www.ncbi.nlm.nih.gov/nuccore/CP000058.1?report=graph&amp;tracks=[key:gene_model_track,Options:GeneOnly]&amp;mk=5632426:5632445|offset_11|444444,5632402:5632421|offset_35|444444,5632376:5632395|offset_61|444444,5632355:5632374|offset_82|00cc00&amp;v=5632225:5632574&amp;c=444444", "offset 82")</f>
        <v>offset 82</v>
      </c>
    </row>
    <row r="18315" customFormat="false" ht="12.8" hidden="false" customHeight="false" outlineLevel="0" collapsed="false">
      <c r="A18315" s="0" t="s">
        <v>12</v>
      </c>
      <c r="B18315" s="0" t="n">
        <v>5632575</v>
      </c>
      <c r="C18315" s="0" t="n">
        <v>5632595</v>
      </c>
      <c r="D18315" s="0" t="s">
        <v>60905</v>
      </c>
      <c r="E18315" s="0" t="s">
        <v>75</v>
      </c>
      <c r="F18315" s="0" t="s">
        <v>90</v>
      </c>
      <c r="G18315" s="0" t="s">
        <v>20</v>
      </c>
      <c r="H18315" s="0" t="n">
        <v>10</v>
      </c>
      <c r="I18315" s="0" t="s">
        <v>60906</v>
      </c>
      <c r="J18315" s="0" t="s">
        <v>60907</v>
      </c>
      <c r="K18315" s="0" t="s">
        <v>60908</v>
      </c>
      <c r="L18315" s="0" t="str">
        <f aca="false">HYPERLINK("https://www.ncbi.nlm.nih.gov/nuccore/CP000058.1?report=graph&amp;tracks=[key:gene_model_track,Options:GeneOnly]&amp;mk=5632576:5632595|offset_10|00cc00,5632556:5632575|offset_30|444444,5632522:5632541|offset_64|444444,5632477:5632496|offset_109|444444&amp;v=5632375:5632696&amp;c=444444", "offset 10")</f>
        <v>offset 10</v>
      </c>
    </row>
    <row r="18316" customFormat="false" ht="12.8" hidden="false" customHeight="false" outlineLevel="0" collapsed="false">
      <c r="A18316" s="0" t="s">
        <v>12</v>
      </c>
      <c r="B18316" s="0" t="n">
        <v>5632555</v>
      </c>
      <c r="C18316" s="0" t="n">
        <v>5632575</v>
      </c>
      <c r="D18316" s="0" t="s">
        <v>60905</v>
      </c>
      <c r="E18316" s="0" t="s">
        <v>75</v>
      </c>
      <c r="F18316" s="0" t="s">
        <v>90</v>
      </c>
      <c r="G18316" s="0" t="s">
        <v>20</v>
      </c>
      <c r="H18316" s="0" t="n">
        <v>30</v>
      </c>
      <c r="I18316" s="0" t="s">
        <v>60909</v>
      </c>
      <c r="J18316" s="0" t="s">
        <v>60910</v>
      </c>
      <c r="K18316" s="0" t="s">
        <v>60911</v>
      </c>
      <c r="L18316" s="0" t="str">
        <f aca="false">HYPERLINK("https://www.ncbi.nlm.nih.gov/nuccore/CP000058.1?report=graph&amp;tracks=[key:gene_model_track,Options:GeneOnly]&amp;mk=5632576:5632595|offset_10|444444,5632556:5632575|offset_30|00cc00,5632522:5632541|offset_64|444444,5632477:5632496|offset_109|444444&amp;v=5632375:5632696&amp;c=444444", "offset 30")</f>
        <v>offset 30</v>
      </c>
    </row>
    <row r="18317" customFormat="false" ht="12.8" hidden="false" customHeight="false" outlineLevel="0" collapsed="false">
      <c r="A18317" s="0" t="s">
        <v>12</v>
      </c>
      <c r="B18317" s="0" t="n">
        <v>5632521</v>
      </c>
      <c r="C18317" s="0" t="n">
        <v>5632541</v>
      </c>
      <c r="D18317" s="0" t="s">
        <v>60905</v>
      </c>
      <c r="E18317" s="0" t="s">
        <v>75</v>
      </c>
      <c r="F18317" s="0" t="s">
        <v>90</v>
      </c>
      <c r="G18317" s="0" t="s">
        <v>16</v>
      </c>
      <c r="H18317" s="0" t="n">
        <v>64</v>
      </c>
      <c r="I18317" s="0" t="s">
        <v>60912</v>
      </c>
      <c r="J18317" s="0" t="s">
        <v>60913</v>
      </c>
      <c r="K18317" s="0" t="s">
        <v>60914</v>
      </c>
      <c r="L18317" s="0" t="str">
        <f aca="false">HYPERLINK("https://www.ncbi.nlm.nih.gov/nuccore/CP000058.1?report=graph&amp;tracks=[key:gene_model_track,Options:GeneOnly]&amp;mk=5632576:5632595|offset_10|444444,5632556:5632575|offset_30|444444,5632522:5632541|offset_64|00cc00,5632477:5632496|offset_109|444444&amp;v=5632375:5632696&amp;c=444444", "offset 64")</f>
        <v>offset 64</v>
      </c>
    </row>
    <row r="18318" customFormat="false" ht="12.8" hidden="false" customHeight="false" outlineLevel="0" collapsed="false">
      <c r="A18318" s="0" t="s">
        <v>12</v>
      </c>
      <c r="B18318" s="0" t="n">
        <v>5632476</v>
      </c>
      <c r="C18318" s="0" t="n">
        <v>5632496</v>
      </c>
      <c r="D18318" s="0" t="s">
        <v>60905</v>
      </c>
      <c r="E18318" s="0" t="s">
        <v>75</v>
      </c>
      <c r="F18318" s="0" t="s">
        <v>90</v>
      </c>
      <c r="G18318" s="0" t="s">
        <v>16</v>
      </c>
      <c r="H18318" s="0" t="n">
        <v>109</v>
      </c>
      <c r="I18318" s="0" t="s">
        <v>60915</v>
      </c>
      <c r="J18318" s="0" t="s">
        <v>60916</v>
      </c>
      <c r="K18318" s="0" t="s">
        <v>60917</v>
      </c>
      <c r="L18318" s="0" t="str">
        <f aca="false">HYPERLINK("https://www.ncbi.nlm.nih.gov/nuccore/CP000058.1?report=graph&amp;tracks=[key:gene_model_track,Options:GeneOnly]&amp;mk=5632576:5632595|offset_10|444444,5632556:5632575|offset_30|444444,5632522:5632541|offset_64|444444,5632477:5632496|offset_109|00cc00&amp;v=5632375:5632696&amp;c=444444", "offset 109")</f>
        <v>offset 109</v>
      </c>
    </row>
    <row r="18319" customFormat="false" ht="12.8" hidden="false" customHeight="false" outlineLevel="0" collapsed="false">
      <c r="A18319" s="0" t="s">
        <v>12</v>
      </c>
      <c r="B18319" s="0" t="n">
        <v>5632841</v>
      </c>
      <c r="C18319" s="0" t="n">
        <v>5632861</v>
      </c>
      <c r="D18319" s="0" t="s">
        <v>60918</v>
      </c>
      <c r="E18319" s="0" t="s">
        <v>75</v>
      </c>
      <c r="F18319" s="0" t="s">
        <v>90</v>
      </c>
      <c r="G18319" s="0" t="s">
        <v>20</v>
      </c>
      <c r="H18319" s="0" t="n">
        <v>55</v>
      </c>
      <c r="I18319" s="0" t="s">
        <v>60919</v>
      </c>
      <c r="J18319" s="0" t="s">
        <v>60920</v>
      </c>
      <c r="K18319" s="0" t="s">
        <v>60921</v>
      </c>
      <c r="L18319" s="0" t="str">
        <f aca="false">HYPERLINK("https://www.ncbi.nlm.nih.gov/nuccore/CP000058.1?report=graph&amp;tracks=[key:gene_model_track,Options:GeneOnly]&amp;mk=5632842:5632861|offset_55|00cc00,5632815:5632834|offset_82|444444,5632794:5632813|offset_103|444444,5632774:5632793|offset_123|444444&amp;v=5632641:5632993&amp;c=444444", "offset 55")</f>
        <v>offset 55</v>
      </c>
    </row>
    <row r="18320" customFormat="false" ht="12.8" hidden="false" customHeight="false" outlineLevel="0" collapsed="false">
      <c r="A18320" s="0" t="s">
        <v>12</v>
      </c>
      <c r="B18320" s="0" t="n">
        <v>5632814</v>
      </c>
      <c r="C18320" s="0" t="n">
        <v>5632834</v>
      </c>
      <c r="D18320" s="0" t="s">
        <v>60918</v>
      </c>
      <c r="E18320" s="0" t="s">
        <v>75</v>
      </c>
      <c r="F18320" s="0" t="s">
        <v>90</v>
      </c>
      <c r="G18320" s="0" t="s">
        <v>32</v>
      </c>
      <c r="H18320" s="0" t="n">
        <v>82</v>
      </c>
      <c r="I18320" s="0" t="s">
        <v>60922</v>
      </c>
      <c r="J18320" s="0" t="s">
        <v>60923</v>
      </c>
      <c r="K18320" s="0" t="s">
        <v>60924</v>
      </c>
      <c r="L18320" s="0" t="str">
        <f aca="false">HYPERLINK("https://www.ncbi.nlm.nih.gov/nuccore/CP000058.1?report=graph&amp;tracks=[key:gene_model_track,Options:GeneOnly]&amp;mk=5632842:5632861|offset_55|444444,5632815:5632834|offset_82|00cc00,5632794:5632813|offset_103|444444,5632774:5632793|offset_123|444444&amp;v=5632641:5632993&amp;c=444444", "offset 82")</f>
        <v>offset 82</v>
      </c>
    </row>
    <row r="18321" customFormat="false" ht="12.8" hidden="false" customHeight="false" outlineLevel="0" collapsed="false">
      <c r="A18321" s="0" t="s">
        <v>12</v>
      </c>
      <c r="B18321" s="0" t="n">
        <v>5632793</v>
      </c>
      <c r="C18321" s="0" t="n">
        <v>5632813</v>
      </c>
      <c r="D18321" s="0" t="s">
        <v>60918</v>
      </c>
      <c r="E18321" s="0" t="s">
        <v>75</v>
      </c>
      <c r="F18321" s="0" t="s">
        <v>90</v>
      </c>
      <c r="G18321" s="0" t="s">
        <v>36</v>
      </c>
      <c r="H18321" s="0" t="n">
        <v>103</v>
      </c>
      <c r="I18321" s="0" t="s">
        <v>60925</v>
      </c>
      <c r="J18321" s="0" t="s">
        <v>60926</v>
      </c>
      <c r="K18321" s="0" t="s">
        <v>60927</v>
      </c>
      <c r="L18321" s="0" t="str">
        <f aca="false">HYPERLINK("https://www.ncbi.nlm.nih.gov/nuccore/CP000058.1?report=graph&amp;tracks=[key:gene_model_track,Options:GeneOnly]&amp;mk=5632842:5632861|offset_55|444444,5632815:5632834|offset_82|444444,5632794:5632813|offset_103|00cc00,5632774:5632793|offset_123|444444&amp;v=5632641:5632993&amp;c=444444", "offset 103")</f>
        <v>offset 103</v>
      </c>
    </row>
    <row r="18322" customFormat="false" ht="12.8" hidden="false" customHeight="false" outlineLevel="0" collapsed="false">
      <c r="A18322" s="0" t="s">
        <v>12</v>
      </c>
      <c r="B18322" s="0" t="n">
        <v>5632773</v>
      </c>
      <c r="C18322" s="0" t="n">
        <v>5632793</v>
      </c>
      <c r="D18322" s="0" t="s">
        <v>60918</v>
      </c>
      <c r="E18322" s="0" t="s">
        <v>75</v>
      </c>
      <c r="F18322" s="0" t="s">
        <v>90</v>
      </c>
      <c r="G18322" s="0" t="s">
        <v>16</v>
      </c>
      <c r="H18322" s="0" t="n">
        <v>123</v>
      </c>
      <c r="I18322" s="0" t="s">
        <v>60928</v>
      </c>
      <c r="J18322" s="0" t="s">
        <v>60929</v>
      </c>
      <c r="K18322" s="0" t="s">
        <v>60930</v>
      </c>
      <c r="L18322" s="0" t="str">
        <f aca="false">HYPERLINK("https://www.ncbi.nlm.nih.gov/nuccore/CP000058.1?report=graph&amp;tracks=[key:gene_model_track,Options:GeneOnly]&amp;mk=5632842:5632861|offset_55|444444,5632815:5632834|offset_82|444444,5632794:5632813|offset_103|444444,5632774:5632793|offset_123|00cc00&amp;v=5632641:5632993&amp;c=444444", "offset 123")</f>
        <v>offset 123</v>
      </c>
    </row>
    <row r="18323" customFormat="false" ht="12.8" hidden="false" customHeight="false" outlineLevel="0" collapsed="false">
      <c r="A18323" s="0" t="s">
        <v>12</v>
      </c>
      <c r="B18323" s="0" t="n">
        <v>5633402</v>
      </c>
      <c r="C18323" s="0" t="n">
        <v>5633422</v>
      </c>
      <c r="D18323" s="0" t="s">
        <v>60931</v>
      </c>
      <c r="E18323" s="0" t="s">
        <v>75</v>
      </c>
      <c r="F18323" s="0" t="s">
        <v>90</v>
      </c>
      <c r="G18323" s="0" t="s">
        <v>32</v>
      </c>
      <c r="H18323" s="0" t="n">
        <v>7</v>
      </c>
      <c r="I18323" s="0" t="s">
        <v>60932</v>
      </c>
      <c r="J18323" s="0" t="s">
        <v>60933</v>
      </c>
      <c r="K18323" s="0" t="s">
        <v>60934</v>
      </c>
      <c r="L18323" s="0" t="str">
        <f aca="false">HYPERLINK("https://www.ncbi.nlm.nih.gov/nuccore/CP000058.1?report=graph&amp;tracks=[key:gene_model_track,Options:GeneOnly]&amp;mk=5633403:5633422|offset_7|00cc00,5633373:5633392|offset_37|444444,5633343:5633362|offset_67|444444,5633313:5633332|offset_97|444444&amp;v=5633202:5633532&amp;c=444444", "offset 7")</f>
        <v>offset 7</v>
      </c>
    </row>
    <row r="18324" customFormat="false" ht="12.8" hidden="false" customHeight="false" outlineLevel="0" collapsed="false">
      <c r="A18324" s="0" t="s">
        <v>12</v>
      </c>
      <c r="B18324" s="0" t="n">
        <v>5633372</v>
      </c>
      <c r="C18324" s="0" t="n">
        <v>5633392</v>
      </c>
      <c r="D18324" s="0" t="s">
        <v>60931</v>
      </c>
      <c r="E18324" s="0" t="s">
        <v>75</v>
      </c>
      <c r="F18324" s="0" t="s">
        <v>90</v>
      </c>
      <c r="G18324" s="0" t="s">
        <v>36</v>
      </c>
      <c r="H18324" s="0" t="n">
        <v>37</v>
      </c>
      <c r="I18324" s="0" t="s">
        <v>60935</v>
      </c>
      <c r="J18324" s="0" t="s">
        <v>60936</v>
      </c>
      <c r="K18324" s="0" t="s">
        <v>60937</v>
      </c>
      <c r="L18324" s="0" t="str">
        <f aca="false">HYPERLINK("https://www.ncbi.nlm.nih.gov/nuccore/CP000058.1?report=graph&amp;tracks=[key:gene_model_track,Options:GeneOnly]&amp;mk=5633403:5633422|offset_7|444444,5633373:5633392|offset_37|00cc00,5633343:5633362|offset_67|444444,5633313:5633332|offset_97|444444&amp;v=5633202:5633532&amp;c=444444", "offset 37")</f>
        <v>offset 37</v>
      </c>
    </row>
    <row r="18325" customFormat="false" ht="12.8" hidden="false" customHeight="false" outlineLevel="0" collapsed="false">
      <c r="A18325" s="0" t="s">
        <v>12</v>
      </c>
      <c r="B18325" s="0" t="n">
        <v>5633342</v>
      </c>
      <c r="C18325" s="0" t="n">
        <v>5633362</v>
      </c>
      <c r="D18325" s="0" t="s">
        <v>60931</v>
      </c>
      <c r="E18325" s="0" t="s">
        <v>75</v>
      </c>
      <c r="F18325" s="0" t="s">
        <v>90</v>
      </c>
      <c r="G18325" s="0" t="s">
        <v>16</v>
      </c>
      <c r="H18325" s="0" t="n">
        <v>67</v>
      </c>
      <c r="I18325" s="0" t="s">
        <v>60938</v>
      </c>
      <c r="J18325" s="0" t="s">
        <v>60939</v>
      </c>
      <c r="K18325" s="0" t="s">
        <v>60940</v>
      </c>
      <c r="L18325" s="0" t="str">
        <f aca="false">HYPERLINK("https://www.ncbi.nlm.nih.gov/nuccore/CP000058.1?report=graph&amp;tracks=[key:gene_model_track,Options:GeneOnly]&amp;mk=5633403:5633422|offset_7|444444,5633373:5633392|offset_37|444444,5633343:5633362|offset_67|00cc00,5633313:5633332|offset_97|444444&amp;v=5633202:5633532&amp;c=444444", "offset 67")</f>
        <v>offset 67</v>
      </c>
    </row>
    <row r="18326" customFormat="false" ht="12.8" hidden="false" customHeight="false" outlineLevel="0" collapsed="false">
      <c r="A18326" s="0" t="s">
        <v>12</v>
      </c>
      <c r="B18326" s="0" t="n">
        <v>5633312</v>
      </c>
      <c r="C18326" s="0" t="n">
        <v>5633332</v>
      </c>
      <c r="D18326" s="0" t="s">
        <v>60931</v>
      </c>
      <c r="E18326" s="0" t="s">
        <v>75</v>
      </c>
      <c r="F18326" s="0" t="s">
        <v>90</v>
      </c>
      <c r="G18326" s="0" t="s">
        <v>16</v>
      </c>
      <c r="H18326" s="0" t="n">
        <v>97</v>
      </c>
      <c r="I18326" s="0" t="s">
        <v>60941</v>
      </c>
      <c r="J18326" s="0" t="s">
        <v>60942</v>
      </c>
      <c r="K18326" s="0" t="s">
        <v>60943</v>
      </c>
      <c r="L18326" s="0" t="str">
        <f aca="false">HYPERLINK("https://www.ncbi.nlm.nih.gov/nuccore/CP000058.1?report=graph&amp;tracks=[key:gene_model_track,Options:GeneOnly]&amp;mk=5633403:5633422|offset_7|444444,5633373:5633392|offset_37|444444,5633343:5633362|offset_67|444444,5633313:5633332|offset_97|00cc00&amp;v=5633202:5633532&amp;c=444444", "offset 97")</f>
        <v>offset 97</v>
      </c>
    </row>
    <row r="18327" customFormat="false" ht="12.8" hidden="false" customHeight="false" outlineLevel="0" collapsed="false">
      <c r="A18327" s="0" t="s">
        <v>12</v>
      </c>
      <c r="B18327" s="0" t="n">
        <v>5633925</v>
      </c>
      <c r="C18327" s="0" t="n">
        <v>5633945</v>
      </c>
      <c r="D18327" s="0" t="s">
        <v>60944</v>
      </c>
      <c r="E18327" s="0" t="s">
        <v>75</v>
      </c>
      <c r="F18327" s="0" t="s">
        <v>90</v>
      </c>
      <c r="G18327" s="0" t="s">
        <v>20</v>
      </c>
      <c r="H18327" s="0" t="n">
        <v>8</v>
      </c>
      <c r="I18327" s="0" t="s">
        <v>60945</v>
      </c>
      <c r="J18327" s="0" t="s">
        <v>60946</v>
      </c>
      <c r="K18327" s="0" t="s">
        <v>60947</v>
      </c>
      <c r="L18327" s="0" t="str">
        <f aca="false">HYPERLINK("https://www.ncbi.nlm.nih.gov/nuccore/CP000058.1?report=graph&amp;tracks=[key:gene_model_track,Options:GeneOnly]&amp;mk=5633926:5633945|offset_8|00cc00,5633906:5633925|offset_28|444444,5633873:5633892|offset_61|444444,5633842:5633861|offset_92|444444&amp;v=5633725:5634061&amp;c=444444", "offset 8")</f>
        <v>offset 8</v>
      </c>
    </row>
    <row r="18328" customFormat="false" ht="12.8" hidden="false" customHeight="false" outlineLevel="0" collapsed="false">
      <c r="A18328" s="0" t="s">
        <v>12</v>
      </c>
      <c r="B18328" s="0" t="n">
        <v>5633905</v>
      </c>
      <c r="C18328" s="0" t="n">
        <v>5633925</v>
      </c>
      <c r="D18328" s="0" t="s">
        <v>60944</v>
      </c>
      <c r="E18328" s="0" t="s">
        <v>75</v>
      </c>
      <c r="F18328" s="0" t="s">
        <v>90</v>
      </c>
      <c r="G18328" s="0" t="s">
        <v>16</v>
      </c>
      <c r="H18328" s="0" t="n">
        <v>28</v>
      </c>
      <c r="I18328" s="0" t="s">
        <v>60948</v>
      </c>
      <c r="J18328" s="0" t="s">
        <v>60949</v>
      </c>
      <c r="K18328" s="0" t="s">
        <v>60950</v>
      </c>
      <c r="L18328" s="0" t="str">
        <f aca="false">HYPERLINK("https://www.ncbi.nlm.nih.gov/nuccore/CP000058.1?report=graph&amp;tracks=[key:gene_model_track,Options:GeneOnly]&amp;mk=5633926:5633945|offset_8|444444,5633906:5633925|offset_28|00cc00,5633873:5633892|offset_61|444444,5633842:5633861|offset_92|444444&amp;v=5633725:5634061&amp;c=444444", "offset 28")</f>
        <v>offset 28</v>
      </c>
    </row>
    <row r="18329" customFormat="false" ht="12.8" hidden="false" customHeight="false" outlineLevel="0" collapsed="false">
      <c r="A18329" s="0" t="s">
        <v>12</v>
      </c>
      <c r="B18329" s="0" t="n">
        <v>5633872</v>
      </c>
      <c r="C18329" s="0" t="n">
        <v>5633892</v>
      </c>
      <c r="D18329" s="0" t="s">
        <v>60944</v>
      </c>
      <c r="E18329" s="0" t="s">
        <v>75</v>
      </c>
      <c r="F18329" s="0" t="s">
        <v>90</v>
      </c>
      <c r="G18329" s="0" t="s">
        <v>16</v>
      </c>
      <c r="H18329" s="0" t="n">
        <v>61</v>
      </c>
      <c r="I18329" s="0" t="s">
        <v>60951</v>
      </c>
      <c r="J18329" s="0" t="s">
        <v>60952</v>
      </c>
      <c r="K18329" s="0" t="s">
        <v>60953</v>
      </c>
      <c r="L18329" s="0" t="str">
        <f aca="false">HYPERLINK("https://www.ncbi.nlm.nih.gov/nuccore/CP000058.1?report=graph&amp;tracks=[key:gene_model_track,Options:GeneOnly]&amp;mk=5633926:5633945|offset_8|444444,5633906:5633925|offset_28|444444,5633873:5633892|offset_61|00cc00,5633842:5633861|offset_92|444444&amp;v=5633725:5634061&amp;c=444444", "offset 61")</f>
        <v>offset 61</v>
      </c>
    </row>
    <row r="18330" customFormat="false" ht="12.8" hidden="false" customHeight="false" outlineLevel="0" collapsed="false">
      <c r="A18330" s="0" t="s">
        <v>12</v>
      </c>
      <c r="B18330" s="0" t="n">
        <v>5633841</v>
      </c>
      <c r="C18330" s="0" t="n">
        <v>5633861</v>
      </c>
      <c r="D18330" s="0" t="s">
        <v>60944</v>
      </c>
      <c r="E18330" s="0" t="s">
        <v>75</v>
      </c>
      <c r="F18330" s="0" t="s">
        <v>90</v>
      </c>
      <c r="G18330" s="0" t="s">
        <v>32</v>
      </c>
      <c r="H18330" s="0" t="n">
        <v>92</v>
      </c>
      <c r="I18330" s="0" t="s">
        <v>60954</v>
      </c>
      <c r="J18330" s="0" t="s">
        <v>60955</v>
      </c>
      <c r="K18330" s="0" t="s">
        <v>60956</v>
      </c>
      <c r="L18330" s="0" t="str">
        <f aca="false">HYPERLINK("https://www.ncbi.nlm.nih.gov/nuccore/CP000058.1?report=graph&amp;tracks=[key:gene_model_track,Options:GeneOnly]&amp;mk=5633926:5633945|offset_8|444444,5633906:5633925|offset_28|444444,5633873:5633892|offset_61|444444,5633842:5633861|offset_92|00cc00&amp;v=5633725:5634061&amp;c=444444", "offset 92")</f>
        <v>offset 92</v>
      </c>
    </row>
    <row r="18331" customFormat="false" ht="12.8" hidden="false" customHeight="false" outlineLevel="0" collapsed="false">
      <c r="A18331" s="0" t="s">
        <v>12</v>
      </c>
      <c r="B18331" s="0" t="n">
        <v>5634334</v>
      </c>
      <c r="C18331" s="0" t="n">
        <v>5634354</v>
      </c>
      <c r="D18331" s="0" t="s">
        <v>60957</v>
      </c>
      <c r="E18331" s="0" t="s">
        <v>75</v>
      </c>
      <c r="F18331" s="0" t="s">
        <v>90</v>
      </c>
      <c r="G18331" s="0" t="s">
        <v>36</v>
      </c>
      <c r="H18331" s="0" t="n">
        <v>11</v>
      </c>
      <c r="I18331" s="0" t="s">
        <v>60958</v>
      </c>
      <c r="J18331" s="0" t="s">
        <v>60959</v>
      </c>
      <c r="K18331" s="0" t="s">
        <v>60960</v>
      </c>
      <c r="L18331" s="0" t="str">
        <f aca="false">HYPERLINK("https://www.ncbi.nlm.nih.gov/nuccore/CP000058.1?report=graph&amp;tracks=[key:gene_model_track,Options:GeneOnly]&amp;mk=5634335:5634354|offset_11|00cc00,5634293:5634312|offset_53|444444,5634270:5634289|offset_76|444444,5634250:5634269|offset_96|444444&amp;v=5634134:5634469&amp;c=444444", "offset 11")</f>
        <v>offset 11</v>
      </c>
    </row>
    <row r="18332" customFormat="false" ht="12.8" hidden="false" customHeight="false" outlineLevel="0" collapsed="false">
      <c r="A18332" s="0" t="s">
        <v>12</v>
      </c>
      <c r="B18332" s="0" t="n">
        <v>5634292</v>
      </c>
      <c r="C18332" s="0" t="n">
        <v>5634312</v>
      </c>
      <c r="D18332" s="0" t="s">
        <v>60957</v>
      </c>
      <c r="E18332" s="0" t="s">
        <v>75</v>
      </c>
      <c r="F18332" s="0" t="s">
        <v>90</v>
      </c>
      <c r="G18332" s="0" t="s">
        <v>32</v>
      </c>
      <c r="H18332" s="0" t="n">
        <v>53</v>
      </c>
      <c r="I18332" s="0" t="s">
        <v>60961</v>
      </c>
      <c r="J18332" s="0" t="s">
        <v>60962</v>
      </c>
      <c r="K18332" s="0" t="s">
        <v>60963</v>
      </c>
      <c r="L18332" s="0" t="str">
        <f aca="false">HYPERLINK("https://www.ncbi.nlm.nih.gov/nuccore/CP000058.1?report=graph&amp;tracks=[key:gene_model_track,Options:GeneOnly]&amp;mk=5634335:5634354|offset_11|444444,5634293:5634312|offset_53|00cc00,5634270:5634289|offset_76|444444,5634250:5634269|offset_96|444444&amp;v=5634134:5634469&amp;c=444444", "offset 53")</f>
        <v>offset 53</v>
      </c>
    </row>
    <row r="18333" customFormat="false" ht="12.8" hidden="false" customHeight="false" outlineLevel="0" collapsed="false">
      <c r="A18333" s="0" t="s">
        <v>12</v>
      </c>
      <c r="B18333" s="0" t="n">
        <v>5634269</v>
      </c>
      <c r="C18333" s="0" t="n">
        <v>5634289</v>
      </c>
      <c r="D18333" s="0" t="s">
        <v>60957</v>
      </c>
      <c r="E18333" s="0" t="s">
        <v>75</v>
      </c>
      <c r="F18333" s="0" t="s">
        <v>90</v>
      </c>
      <c r="G18333" s="0" t="s">
        <v>32</v>
      </c>
      <c r="H18333" s="0" t="n">
        <v>76</v>
      </c>
      <c r="I18333" s="0" t="s">
        <v>60964</v>
      </c>
      <c r="J18333" s="0" t="s">
        <v>60965</v>
      </c>
      <c r="K18333" s="0" t="s">
        <v>60966</v>
      </c>
      <c r="L18333" s="0" t="str">
        <f aca="false">HYPERLINK("https://www.ncbi.nlm.nih.gov/nuccore/CP000058.1?report=graph&amp;tracks=[key:gene_model_track,Options:GeneOnly]&amp;mk=5634335:5634354|offset_11|444444,5634293:5634312|offset_53|444444,5634270:5634289|offset_76|00cc00,5634250:5634269|offset_96|444444&amp;v=5634134:5634469&amp;c=444444", "offset 76")</f>
        <v>offset 76</v>
      </c>
    </row>
    <row r="18334" customFormat="false" ht="12.8" hidden="false" customHeight="false" outlineLevel="0" collapsed="false">
      <c r="A18334" s="0" t="s">
        <v>12</v>
      </c>
      <c r="B18334" s="0" t="n">
        <v>5634249</v>
      </c>
      <c r="C18334" s="0" t="n">
        <v>5634269</v>
      </c>
      <c r="D18334" s="0" t="s">
        <v>60957</v>
      </c>
      <c r="E18334" s="0" t="s">
        <v>75</v>
      </c>
      <c r="F18334" s="0" t="s">
        <v>90</v>
      </c>
      <c r="G18334" s="0" t="s">
        <v>16</v>
      </c>
      <c r="H18334" s="0" t="n">
        <v>96</v>
      </c>
      <c r="I18334" s="0" t="s">
        <v>60967</v>
      </c>
      <c r="J18334" s="0" t="s">
        <v>60968</v>
      </c>
      <c r="K18334" s="0" t="s">
        <v>60969</v>
      </c>
      <c r="L18334" s="0" t="str">
        <f aca="false">HYPERLINK("https://www.ncbi.nlm.nih.gov/nuccore/CP000058.1?report=graph&amp;tracks=[key:gene_model_track,Options:GeneOnly]&amp;mk=5634335:5634354|offset_11|444444,5634293:5634312|offset_53|444444,5634270:5634289|offset_76|444444,5634250:5634269|offset_96|00cc00&amp;v=5634134:5634469&amp;c=444444", "offset 96")</f>
        <v>offset 96</v>
      </c>
    </row>
    <row r="18335" customFormat="false" ht="12.8" hidden="false" customHeight="false" outlineLevel="0" collapsed="false">
      <c r="A18335" s="0" t="s">
        <v>12</v>
      </c>
      <c r="B18335" s="0" t="n">
        <v>5634797</v>
      </c>
      <c r="C18335" s="0" t="n">
        <v>5634817</v>
      </c>
      <c r="D18335" s="0" t="s">
        <v>60970</v>
      </c>
      <c r="E18335" s="0" t="s">
        <v>75</v>
      </c>
      <c r="F18335" s="0" t="s">
        <v>90</v>
      </c>
      <c r="G18335" s="0" t="s">
        <v>36</v>
      </c>
      <c r="H18335" s="0" t="n">
        <v>0</v>
      </c>
      <c r="I18335" s="0" t="s">
        <v>60971</v>
      </c>
      <c r="J18335" s="0" t="s">
        <v>60972</v>
      </c>
      <c r="K18335" s="0" t="s">
        <v>60973</v>
      </c>
      <c r="L18335" s="0" t="str">
        <f aca="false">HYPERLINK("https://www.ncbi.nlm.nih.gov/nuccore/CP000058.1?report=graph&amp;tracks=[key:gene_model_track,Options:GeneOnly]&amp;mk=5634798:5634817|offset_0|00cc00,5634728:5634747|offset_70|444444,5634698:5634717|offset_100|444444,5634675:5634694|offset_123|444444&amp;v=5634597:5634894&amp;c=444444", "offset 0")</f>
        <v>offset 0</v>
      </c>
    </row>
    <row r="18336" customFormat="false" ht="12.8" hidden="false" customHeight="false" outlineLevel="0" collapsed="false">
      <c r="A18336" s="0" t="s">
        <v>12</v>
      </c>
      <c r="B18336" s="0" t="n">
        <v>5634727</v>
      </c>
      <c r="C18336" s="0" t="n">
        <v>5634747</v>
      </c>
      <c r="D18336" s="0" t="s">
        <v>60970</v>
      </c>
      <c r="E18336" s="0" t="s">
        <v>75</v>
      </c>
      <c r="F18336" s="0" t="s">
        <v>90</v>
      </c>
      <c r="G18336" s="0" t="s">
        <v>16</v>
      </c>
      <c r="H18336" s="0" t="n">
        <v>70</v>
      </c>
      <c r="I18336" s="0" t="s">
        <v>60974</v>
      </c>
      <c r="J18336" s="0" t="s">
        <v>60975</v>
      </c>
      <c r="K18336" s="0" t="s">
        <v>60976</v>
      </c>
      <c r="L18336" s="0" t="str">
        <f aca="false">HYPERLINK("https://www.ncbi.nlm.nih.gov/nuccore/CP000058.1?report=graph&amp;tracks=[key:gene_model_track,Options:GeneOnly]&amp;mk=5634798:5634817|offset_0|444444,5634728:5634747|offset_70|00cc00,5634698:5634717|offset_100|444444,5634675:5634694|offset_123|444444&amp;v=5634597:5634894&amp;c=444444", "offset 70")</f>
        <v>offset 70</v>
      </c>
    </row>
    <row r="18337" customFormat="false" ht="12.8" hidden="false" customHeight="false" outlineLevel="0" collapsed="false">
      <c r="A18337" s="0" t="s">
        <v>12</v>
      </c>
      <c r="B18337" s="0" t="n">
        <v>5634697</v>
      </c>
      <c r="C18337" s="0" t="n">
        <v>5634717</v>
      </c>
      <c r="D18337" s="0" t="s">
        <v>60970</v>
      </c>
      <c r="E18337" s="0" t="s">
        <v>75</v>
      </c>
      <c r="F18337" s="0" t="s">
        <v>90</v>
      </c>
      <c r="G18337" s="0" t="s">
        <v>16</v>
      </c>
      <c r="H18337" s="0" t="n">
        <v>100</v>
      </c>
      <c r="I18337" s="0" t="s">
        <v>60977</v>
      </c>
      <c r="J18337" s="0" t="s">
        <v>60978</v>
      </c>
      <c r="K18337" s="0" t="s">
        <v>60979</v>
      </c>
      <c r="L18337" s="0" t="str">
        <f aca="false">HYPERLINK("https://www.ncbi.nlm.nih.gov/nuccore/CP000058.1?report=graph&amp;tracks=[key:gene_model_track,Options:GeneOnly]&amp;mk=5634798:5634817|offset_0|444444,5634728:5634747|offset_70|444444,5634698:5634717|offset_100|00cc00,5634675:5634694|offset_123|444444&amp;v=5634597:5634894&amp;c=444444", "offset 100")</f>
        <v>offset 100</v>
      </c>
    </row>
    <row r="18338" customFormat="false" ht="12.8" hidden="false" customHeight="false" outlineLevel="0" collapsed="false">
      <c r="A18338" s="0" t="s">
        <v>12</v>
      </c>
      <c r="B18338" s="0" t="n">
        <v>5634674</v>
      </c>
      <c r="C18338" s="0" t="n">
        <v>5634694</v>
      </c>
      <c r="D18338" s="0" t="s">
        <v>60970</v>
      </c>
      <c r="E18338" s="0" t="s">
        <v>75</v>
      </c>
      <c r="F18338" s="0" t="s">
        <v>90</v>
      </c>
      <c r="G18338" s="0" t="s">
        <v>36</v>
      </c>
      <c r="H18338" s="0" t="n">
        <v>123</v>
      </c>
      <c r="I18338" s="0" t="s">
        <v>60980</v>
      </c>
      <c r="J18338" s="0" t="s">
        <v>60981</v>
      </c>
      <c r="K18338" s="0" t="s">
        <v>60982</v>
      </c>
      <c r="L18338" s="0" t="str">
        <f aca="false">HYPERLINK("https://www.ncbi.nlm.nih.gov/nuccore/CP000058.1?report=graph&amp;tracks=[key:gene_model_track,Options:GeneOnly]&amp;mk=5634798:5634817|offset_0|444444,5634728:5634747|offset_70|444444,5634698:5634717|offset_100|444444,5634675:5634694|offset_123|00cc00&amp;v=5634597:5634894&amp;c=444444", "offset 123")</f>
        <v>offset 123</v>
      </c>
    </row>
    <row r="18339" customFormat="false" ht="12.8" hidden="false" customHeight="false" outlineLevel="0" collapsed="false">
      <c r="A18339" s="0" t="s">
        <v>12</v>
      </c>
      <c r="B18339" s="0" t="n">
        <v>5635875</v>
      </c>
      <c r="C18339" s="0" t="n">
        <v>5635895</v>
      </c>
      <c r="D18339" s="0" t="s">
        <v>60983</v>
      </c>
      <c r="E18339" s="0" t="s">
        <v>75</v>
      </c>
      <c r="F18339" s="0" t="s">
        <v>90</v>
      </c>
      <c r="G18339" s="0" t="s">
        <v>20</v>
      </c>
      <c r="H18339" s="0" t="n">
        <v>38</v>
      </c>
      <c r="I18339" s="0" t="s">
        <v>60984</v>
      </c>
      <c r="J18339" s="0" t="s">
        <v>60985</v>
      </c>
      <c r="K18339" s="0" t="s">
        <v>60986</v>
      </c>
      <c r="L18339" s="0" t="str">
        <f aca="false">HYPERLINK("https://www.ncbi.nlm.nih.gov/nuccore/CP000058.1?report=graph&amp;tracks=[key:gene_model_track,Options:GeneOnly]&amp;mk=5635876:5635895|offset_38|00cc00,5635837:5635856|offset_77|444444,5635817:5635836|offset_97|444444,5635795:5635814|offset_119|444444&amp;v=5635675:5636014&amp;c=444444", "offset 38")</f>
        <v>offset 38</v>
      </c>
    </row>
    <row r="18340" customFormat="false" ht="12.8" hidden="false" customHeight="false" outlineLevel="0" collapsed="false">
      <c r="A18340" s="0" t="s">
        <v>12</v>
      </c>
      <c r="B18340" s="0" t="n">
        <v>5635836</v>
      </c>
      <c r="C18340" s="0" t="n">
        <v>5635856</v>
      </c>
      <c r="D18340" s="0" t="s">
        <v>60983</v>
      </c>
      <c r="E18340" s="0" t="s">
        <v>75</v>
      </c>
      <c r="F18340" s="0" t="s">
        <v>90</v>
      </c>
      <c r="G18340" s="0" t="s">
        <v>20</v>
      </c>
      <c r="H18340" s="0" t="n">
        <v>77</v>
      </c>
      <c r="I18340" s="0" t="s">
        <v>60987</v>
      </c>
      <c r="J18340" s="0" t="s">
        <v>60988</v>
      </c>
      <c r="K18340" s="0" t="s">
        <v>60989</v>
      </c>
      <c r="L18340" s="0" t="str">
        <f aca="false">HYPERLINK("https://www.ncbi.nlm.nih.gov/nuccore/CP000058.1?report=graph&amp;tracks=[key:gene_model_track,Options:GeneOnly]&amp;mk=5635876:5635895|offset_38|444444,5635837:5635856|offset_77|00cc00,5635817:5635836|offset_97|444444,5635795:5635814|offset_119|444444&amp;v=5635675:5636014&amp;c=444444", "offset 77")</f>
        <v>offset 77</v>
      </c>
    </row>
    <row r="18341" customFormat="false" ht="12.8" hidden="false" customHeight="false" outlineLevel="0" collapsed="false">
      <c r="A18341" s="0" t="s">
        <v>12</v>
      </c>
      <c r="B18341" s="0" t="n">
        <v>5635816</v>
      </c>
      <c r="C18341" s="0" t="n">
        <v>5635836</v>
      </c>
      <c r="D18341" s="0" t="s">
        <v>60983</v>
      </c>
      <c r="E18341" s="0" t="s">
        <v>75</v>
      </c>
      <c r="F18341" s="0" t="s">
        <v>90</v>
      </c>
      <c r="G18341" s="0" t="s">
        <v>32</v>
      </c>
      <c r="H18341" s="0" t="n">
        <v>97</v>
      </c>
      <c r="I18341" s="0" t="s">
        <v>60990</v>
      </c>
      <c r="J18341" s="0" t="s">
        <v>60991</v>
      </c>
      <c r="K18341" s="0" t="s">
        <v>60992</v>
      </c>
      <c r="L18341" s="0" t="str">
        <f aca="false">HYPERLINK("https://www.ncbi.nlm.nih.gov/nuccore/CP000058.1?report=graph&amp;tracks=[key:gene_model_track,Options:GeneOnly]&amp;mk=5635876:5635895|offset_38|444444,5635837:5635856|offset_77|444444,5635817:5635836|offset_97|00cc00,5635795:5635814|offset_119|444444&amp;v=5635675:5636014&amp;c=444444", "offset 97")</f>
        <v>offset 97</v>
      </c>
    </row>
    <row r="18342" customFormat="false" ht="12.8" hidden="false" customHeight="false" outlineLevel="0" collapsed="false">
      <c r="A18342" s="0" t="s">
        <v>12</v>
      </c>
      <c r="B18342" s="0" t="n">
        <v>5635794</v>
      </c>
      <c r="C18342" s="0" t="n">
        <v>5635814</v>
      </c>
      <c r="D18342" s="0" t="s">
        <v>60983</v>
      </c>
      <c r="E18342" s="0" t="s">
        <v>75</v>
      </c>
      <c r="F18342" s="0" t="s">
        <v>90</v>
      </c>
      <c r="G18342" s="0" t="s">
        <v>36</v>
      </c>
      <c r="H18342" s="0" t="n">
        <v>119</v>
      </c>
      <c r="I18342" s="0" t="s">
        <v>60993</v>
      </c>
      <c r="J18342" s="0" t="s">
        <v>60994</v>
      </c>
      <c r="K18342" s="0" t="s">
        <v>60995</v>
      </c>
      <c r="L18342" s="0" t="str">
        <f aca="false">HYPERLINK("https://www.ncbi.nlm.nih.gov/nuccore/CP000058.1?report=graph&amp;tracks=[key:gene_model_track,Options:GeneOnly]&amp;mk=5635876:5635895|offset_38|444444,5635837:5635856|offset_77|444444,5635817:5635836|offset_97|444444,5635795:5635814|offset_119|00cc00&amp;v=5635675:5636014&amp;c=444444", "offset 119")</f>
        <v>offset 119</v>
      </c>
    </row>
    <row r="18343" customFormat="false" ht="12.8" hidden="false" customHeight="false" outlineLevel="0" collapsed="false">
      <c r="A18343" s="0" t="s">
        <v>12</v>
      </c>
      <c r="B18343" s="0" t="n">
        <v>5636556</v>
      </c>
      <c r="C18343" s="0" t="n">
        <v>5636576</v>
      </c>
      <c r="D18343" s="0" t="s">
        <v>60996</v>
      </c>
      <c r="E18343" s="0" t="s">
        <v>75</v>
      </c>
      <c r="F18343" s="0" t="s">
        <v>90</v>
      </c>
      <c r="G18343" s="0" t="s">
        <v>36</v>
      </c>
      <c r="H18343" s="0" t="n">
        <v>40</v>
      </c>
      <c r="I18343" s="0" t="s">
        <v>60997</v>
      </c>
      <c r="J18343" s="0" t="s">
        <v>60998</v>
      </c>
      <c r="K18343" s="0" t="s">
        <v>60999</v>
      </c>
      <c r="L18343" s="0" t="str">
        <f aca="false">HYPERLINK("https://www.ncbi.nlm.nih.gov/nuccore/CP000058.1?report=graph&amp;tracks=[key:gene_model_track,Options:GeneOnly]&amp;mk=5636557:5636576|offset_40|00cc00,5636528:5636547|offset_69|444444,5636491:5636510|offset_106|444444,5636469:5636488|offset_128|444444&amp;v=5636356:5636688&amp;c=444444", "offset 40")</f>
        <v>offset 40</v>
      </c>
    </row>
    <row r="18344" customFormat="false" ht="12.8" hidden="false" customHeight="false" outlineLevel="0" collapsed="false">
      <c r="A18344" s="0" t="s">
        <v>12</v>
      </c>
      <c r="B18344" s="0" t="n">
        <v>5636527</v>
      </c>
      <c r="C18344" s="0" t="n">
        <v>5636547</v>
      </c>
      <c r="D18344" s="0" t="s">
        <v>60996</v>
      </c>
      <c r="E18344" s="0" t="s">
        <v>75</v>
      </c>
      <c r="F18344" s="0" t="s">
        <v>90</v>
      </c>
      <c r="G18344" s="0" t="s">
        <v>16</v>
      </c>
      <c r="H18344" s="0" t="n">
        <v>69</v>
      </c>
      <c r="I18344" s="0" t="s">
        <v>61000</v>
      </c>
      <c r="J18344" s="0" t="s">
        <v>61001</v>
      </c>
      <c r="K18344" s="0" t="s">
        <v>61002</v>
      </c>
      <c r="L18344" s="0" t="str">
        <f aca="false">HYPERLINK("https://www.ncbi.nlm.nih.gov/nuccore/CP000058.1?report=graph&amp;tracks=[key:gene_model_track,Options:GeneOnly]&amp;mk=5636557:5636576|offset_40|444444,5636528:5636547|offset_69|00cc00,5636491:5636510|offset_106|444444,5636469:5636488|offset_128|444444&amp;v=5636356:5636688&amp;c=444444", "offset 69")</f>
        <v>offset 69</v>
      </c>
    </row>
    <row r="18345" customFormat="false" ht="12.8" hidden="false" customHeight="false" outlineLevel="0" collapsed="false">
      <c r="A18345" s="0" t="s">
        <v>12</v>
      </c>
      <c r="B18345" s="0" t="n">
        <v>5636490</v>
      </c>
      <c r="C18345" s="0" t="n">
        <v>5636510</v>
      </c>
      <c r="D18345" s="0" t="s">
        <v>60996</v>
      </c>
      <c r="E18345" s="0" t="s">
        <v>75</v>
      </c>
      <c r="F18345" s="0" t="s">
        <v>90</v>
      </c>
      <c r="G18345" s="0" t="s">
        <v>32</v>
      </c>
      <c r="H18345" s="0" t="n">
        <v>106</v>
      </c>
      <c r="I18345" s="0" t="s">
        <v>61003</v>
      </c>
      <c r="J18345" s="0" t="s">
        <v>61004</v>
      </c>
      <c r="K18345" s="0" t="s">
        <v>61005</v>
      </c>
      <c r="L18345" s="0" t="str">
        <f aca="false">HYPERLINK("https://www.ncbi.nlm.nih.gov/nuccore/CP000058.1?report=graph&amp;tracks=[key:gene_model_track,Options:GeneOnly]&amp;mk=5636557:5636576|offset_40|444444,5636528:5636547|offset_69|444444,5636491:5636510|offset_106|00cc00,5636469:5636488|offset_128|444444&amp;v=5636356:5636688&amp;c=444444", "offset 106")</f>
        <v>offset 106</v>
      </c>
    </row>
    <row r="18346" customFormat="false" ht="12.8" hidden="false" customHeight="false" outlineLevel="0" collapsed="false">
      <c r="A18346" s="0" t="s">
        <v>12</v>
      </c>
      <c r="B18346" s="0" t="n">
        <v>5636468</v>
      </c>
      <c r="C18346" s="0" t="n">
        <v>5636488</v>
      </c>
      <c r="D18346" s="0" t="s">
        <v>60996</v>
      </c>
      <c r="E18346" s="0" t="s">
        <v>75</v>
      </c>
      <c r="F18346" s="0" t="s">
        <v>90</v>
      </c>
      <c r="G18346" s="0" t="s">
        <v>16</v>
      </c>
      <c r="H18346" s="0" t="n">
        <v>128</v>
      </c>
      <c r="I18346" s="0" t="s">
        <v>61006</v>
      </c>
      <c r="J18346" s="0" t="s">
        <v>61007</v>
      </c>
      <c r="K18346" s="0" t="s">
        <v>61008</v>
      </c>
      <c r="L18346" s="0" t="str">
        <f aca="false">HYPERLINK("https://www.ncbi.nlm.nih.gov/nuccore/CP000058.1?report=graph&amp;tracks=[key:gene_model_track,Options:GeneOnly]&amp;mk=5636557:5636576|offset_40|444444,5636528:5636547|offset_69|444444,5636491:5636510|offset_106|444444,5636469:5636488|offset_128|00cc00&amp;v=5636356:5636688&amp;c=444444", "offset 128")</f>
        <v>offset 128</v>
      </c>
    </row>
    <row r="18347" customFormat="false" ht="12.8" hidden="false" customHeight="false" outlineLevel="0" collapsed="false">
      <c r="A18347" s="0" t="s">
        <v>12</v>
      </c>
      <c r="B18347" s="0" t="n">
        <v>5637004</v>
      </c>
      <c r="C18347" s="0" t="n">
        <v>5637024</v>
      </c>
      <c r="D18347" s="0" t="s">
        <v>61009</v>
      </c>
      <c r="E18347" s="0" t="s">
        <v>75</v>
      </c>
      <c r="F18347" s="0" t="s">
        <v>90</v>
      </c>
      <c r="G18347" s="0" t="s">
        <v>16</v>
      </c>
      <c r="H18347" s="0" t="n">
        <v>25</v>
      </c>
      <c r="I18347" s="0" t="s">
        <v>61010</v>
      </c>
      <c r="J18347" s="0" t="s">
        <v>61011</v>
      </c>
      <c r="K18347" s="0" t="s">
        <v>61012</v>
      </c>
      <c r="L18347" s="0" t="str">
        <f aca="false">HYPERLINK("https://www.ncbi.nlm.nih.gov/nuccore/CP000058.1?report=graph&amp;tracks=[key:gene_model_track,Options:GeneOnly]&amp;mk=5637005:5637024|offset_25|00cc00,5636973:5636992|offset_57|444444,5636951:5636970|offset_79|444444,5636919:5636938|offset_111|444444&amp;v=5636804:5637138&amp;c=444444", "offset 25")</f>
        <v>offset 25</v>
      </c>
    </row>
    <row r="18348" customFormat="false" ht="12.8" hidden="false" customHeight="false" outlineLevel="0" collapsed="false">
      <c r="A18348" s="0" t="s">
        <v>12</v>
      </c>
      <c r="B18348" s="0" t="n">
        <v>5636972</v>
      </c>
      <c r="C18348" s="0" t="n">
        <v>5636992</v>
      </c>
      <c r="D18348" s="0" t="s">
        <v>61009</v>
      </c>
      <c r="E18348" s="0" t="s">
        <v>75</v>
      </c>
      <c r="F18348" s="0" t="s">
        <v>90</v>
      </c>
      <c r="G18348" s="0" t="s">
        <v>20</v>
      </c>
      <c r="H18348" s="0" t="n">
        <v>57</v>
      </c>
      <c r="I18348" s="0" t="s">
        <v>61013</v>
      </c>
      <c r="J18348" s="0" t="s">
        <v>61014</v>
      </c>
      <c r="K18348" s="0" t="s">
        <v>61015</v>
      </c>
      <c r="L18348" s="0" t="str">
        <f aca="false">HYPERLINK("https://www.ncbi.nlm.nih.gov/nuccore/CP000058.1?report=graph&amp;tracks=[key:gene_model_track,Options:GeneOnly]&amp;mk=5637005:5637024|offset_25|444444,5636973:5636992|offset_57|00cc00,5636951:5636970|offset_79|444444,5636919:5636938|offset_111|444444&amp;v=5636804:5637138&amp;c=444444", "offset 57")</f>
        <v>offset 57</v>
      </c>
    </row>
    <row r="18349" customFormat="false" ht="12.8" hidden="false" customHeight="false" outlineLevel="0" collapsed="false">
      <c r="A18349" s="0" t="s">
        <v>12</v>
      </c>
      <c r="B18349" s="0" t="n">
        <v>5636950</v>
      </c>
      <c r="C18349" s="0" t="n">
        <v>5636970</v>
      </c>
      <c r="D18349" s="0" t="s">
        <v>61009</v>
      </c>
      <c r="E18349" s="0" t="s">
        <v>75</v>
      </c>
      <c r="F18349" s="0" t="s">
        <v>90</v>
      </c>
      <c r="G18349" s="0" t="s">
        <v>16</v>
      </c>
      <c r="H18349" s="0" t="n">
        <v>79</v>
      </c>
      <c r="I18349" s="0" t="s">
        <v>61016</v>
      </c>
      <c r="J18349" s="0" t="s">
        <v>61017</v>
      </c>
      <c r="K18349" s="0" t="s">
        <v>61018</v>
      </c>
      <c r="L18349" s="0" t="str">
        <f aca="false">HYPERLINK("https://www.ncbi.nlm.nih.gov/nuccore/CP000058.1?report=graph&amp;tracks=[key:gene_model_track,Options:GeneOnly]&amp;mk=5637005:5637024|offset_25|444444,5636973:5636992|offset_57|444444,5636951:5636970|offset_79|00cc00,5636919:5636938|offset_111|444444&amp;v=5636804:5637138&amp;c=444444", "offset 79")</f>
        <v>offset 79</v>
      </c>
    </row>
    <row r="18350" customFormat="false" ht="12.8" hidden="false" customHeight="false" outlineLevel="0" collapsed="false">
      <c r="A18350" s="0" t="s">
        <v>12</v>
      </c>
      <c r="B18350" s="0" t="n">
        <v>5636918</v>
      </c>
      <c r="C18350" s="0" t="n">
        <v>5636938</v>
      </c>
      <c r="D18350" s="0" t="s">
        <v>61009</v>
      </c>
      <c r="E18350" s="0" t="s">
        <v>75</v>
      </c>
      <c r="F18350" s="0" t="s">
        <v>90</v>
      </c>
      <c r="G18350" s="0" t="s">
        <v>20</v>
      </c>
      <c r="H18350" s="0" t="n">
        <v>111</v>
      </c>
      <c r="I18350" s="0" t="s">
        <v>61019</v>
      </c>
      <c r="J18350" s="0" t="s">
        <v>61020</v>
      </c>
      <c r="K18350" s="0" t="s">
        <v>61021</v>
      </c>
      <c r="L18350" s="0" t="str">
        <f aca="false">HYPERLINK("https://www.ncbi.nlm.nih.gov/nuccore/CP000058.1?report=graph&amp;tracks=[key:gene_model_track,Options:GeneOnly]&amp;mk=5637005:5637024|offset_25|444444,5636973:5636992|offset_57|444444,5636951:5636970|offset_79|444444,5636919:5636938|offset_111|00cc00&amp;v=5636804:5637138&amp;c=444444", "offset 111")</f>
        <v>offset 111</v>
      </c>
    </row>
    <row r="18351" customFormat="false" ht="12.8" hidden="false" customHeight="false" outlineLevel="0" collapsed="false">
      <c r="A18351" s="0" t="s">
        <v>12</v>
      </c>
      <c r="B18351" s="0" t="n">
        <v>5637474</v>
      </c>
      <c r="C18351" s="0" t="n">
        <v>5637494</v>
      </c>
      <c r="D18351" s="0" t="s">
        <v>61022</v>
      </c>
      <c r="E18351" s="0" t="s">
        <v>75</v>
      </c>
      <c r="F18351" s="0" t="s">
        <v>90</v>
      </c>
      <c r="G18351" s="0" t="s">
        <v>16</v>
      </c>
      <c r="H18351" s="0" t="n">
        <v>13</v>
      </c>
      <c r="I18351" s="0" t="s">
        <v>61023</v>
      </c>
      <c r="J18351" s="0" t="s">
        <v>61024</v>
      </c>
      <c r="K18351" s="0" t="s">
        <v>61025</v>
      </c>
      <c r="L18351" s="0" t="str">
        <f aca="false">HYPERLINK("https://www.ncbi.nlm.nih.gov/nuccore/CP000058.1?report=graph&amp;tracks=[key:gene_model_track,Options:GeneOnly]&amp;mk=5637475:5637494|offset_13|00cc00,5637422:5637441|offset_66|444444,5637387:5637406|offset_101|444444,5637352:5637371|offset_136|444444&amp;v=5637274:5637571&amp;c=444444", "offset 13")</f>
        <v>offset 13</v>
      </c>
    </row>
    <row r="18352" customFormat="false" ht="12.8" hidden="false" customHeight="false" outlineLevel="0" collapsed="false">
      <c r="A18352" s="0" t="s">
        <v>12</v>
      </c>
      <c r="B18352" s="0" t="n">
        <v>5637421</v>
      </c>
      <c r="C18352" s="0" t="n">
        <v>5637441</v>
      </c>
      <c r="D18352" s="0" t="s">
        <v>61022</v>
      </c>
      <c r="E18352" s="0" t="s">
        <v>75</v>
      </c>
      <c r="F18352" s="0" t="s">
        <v>90</v>
      </c>
      <c r="G18352" s="0" t="s">
        <v>20</v>
      </c>
      <c r="H18352" s="0" t="n">
        <v>66</v>
      </c>
      <c r="I18352" s="0" t="s">
        <v>61026</v>
      </c>
      <c r="J18352" s="0" t="s">
        <v>61027</v>
      </c>
      <c r="K18352" s="0" t="s">
        <v>61028</v>
      </c>
      <c r="L18352" s="0" t="str">
        <f aca="false">HYPERLINK("https://www.ncbi.nlm.nih.gov/nuccore/CP000058.1?report=graph&amp;tracks=[key:gene_model_track,Options:GeneOnly]&amp;mk=5637475:5637494|offset_13|444444,5637422:5637441|offset_66|00cc00,5637387:5637406|offset_101|444444,5637352:5637371|offset_136|444444&amp;v=5637274:5637571&amp;c=444444", "offset 66")</f>
        <v>offset 66</v>
      </c>
    </row>
    <row r="18353" customFormat="false" ht="12.8" hidden="false" customHeight="false" outlineLevel="0" collapsed="false">
      <c r="A18353" s="0" t="s">
        <v>12</v>
      </c>
      <c r="B18353" s="0" t="n">
        <v>5637386</v>
      </c>
      <c r="C18353" s="0" t="n">
        <v>5637406</v>
      </c>
      <c r="D18353" s="0" t="s">
        <v>61022</v>
      </c>
      <c r="E18353" s="0" t="s">
        <v>75</v>
      </c>
      <c r="F18353" s="0" t="s">
        <v>90</v>
      </c>
      <c r="G18353" s="0" t="s">
        <v>16</v>
      </c>
      <c r="H18353" s="0" t="n">
        <v>101</v>
      </c>
      <c r="I18353" s="0" t="s">
        <v>61029</v>
      </c>
      <c r="J18353" s="0" t="s">
        <v>61030</v>
      </c>
      <c r="K18353" s="0" t="s">
        <v>61031</v>
      </c>
      <c r="L18353" s="0" t="str">
        <f aca="false">HYPERLINK("https://www.ncbi.nlm.nih.gov/nuccore/CP000058.1?report=graph&amp;tracks=[key:gene_model_track,Options:GeneOnly]&amp;mk=5637475:5637494|offset_13|444444,5637422:5637441|offset_66|444444,5637387:5637406|offset_101|00cc00,5637352:5637371|offset_136|444444&amp;v=5637274:5637571&amp;c=444444", "offset 101")</f>
        <v>offset 101</v>
      </c>
    </row>
    <row r="18354" customFormat="false" ht="12.8" hidden="false" customHeight="false" outlineLevel="0" collapsed="false">
      <c r="A18354" s="0" t="s">
        <v>12</v>
      </c>
      <c r="B18354" s="0" t="n">
        <v>5637351</v>
      </c>
      <c r="C18354" s="0" t="n">
        <v>5637371</v>
      </c>
      <c r="D18354" s="0" t="s">
        <v>61022</v>
      </c>
      <c r="E18354" s="0" t="s">
        <v>75</v>
      </c>
      <c r="F18354" s="0" t="s">
        <v>90</v>
      </c>
      <c r="G18354" s="0" t="s">
        <v>16</v>
      </c>
      <c r="H18354" s="0" t="n">
        <v>136</v>
      </c>
      <c r="I18354" s="0" t="s">
        <v>61032</v>
      </c>
      <c r="J18354" s="0" t="s">
        <v>61033</v>
      </c>
      <c r="K18354" s="0" t="s">
        <v>61034</v>
      </c>
      <c r="L18354" s="0" t="str">
        <f aca="false">HYPERLINK("https://www.ncbi.nlm.nih.gov/nuccore/CP000058.1?report=graph&amp;tracks=[key:gene_model_track,Options:GeneOnly]&amp;mk=5637475:5637494|offset_13|444444,5637422:5637441|offset_66|444444,5637387:5637406|offset_101|444444,5637352:5637371|offset_136|00cc00&amp;v=5637274:5637571&amp;c=444444", "offset 136")</f>
        <v>offset 136</v>
      </c>
    </row>
    <row r="18355" customFormat="false" ht="12.8" hidden="false" customHeight="false" outlineLevel="0" collapsed="false">
      <c r="A18355" s="0" t="s">
        <v>12</v>
      </c>
      <c r="B18355" s="0" t="n">
        <v>5639137</v>
      </c>
      <c r="C18355" s="0" t="n">
        <v>5639157</v>
      </c>
      <c r="D18355" s="0" t="s">
        <v>61035</v>
      </c>
      <c r="E18355" s="0" t="s">
        <v>75</v>
      </c>
      <c r="F18355" s="0" t="s">
        <v>90</v>
      </c>
      <c r="G18355" s="0" t="s">
        <v>16</v>
      </c>
      <c r="H18355" s="0" t="n">
        <v>7</v>
      </c>
      <c r="I18355" s="0" t="s">
        <v>61036</v>
      </c>
      <c r="J18355" s="0" t="s">
        <v>61037</v>
      </c>
      <c r="K18355" s="0" t="s">
        <v>61038</v>
      </c>
      <c r="L18355" s="0" t="str">
        <f aca="false">HYPERLINK("https://www.ncbi.nlm.nih.gov/nuccore/CP000058.1?report=graph&amp;tracks=[key:gene_model_track,Options:GeneOnly]&amp;mk=5639138:5639157|offset_7|00cc00,5639113:5639132|offset_32|444444,5639090:5639109|offset_55|444444,5639069:5639088|offset_76|444444&amp;v=5638937:5639288&amp;c=444444", "offset 7")</f>
        <v>offset 7</v>
      </c>
    </row>
    <row r="18356" customFormat="false" ht="12.8" hidden="false" customHeight="false" outlineLevel="0" collapsed="false">
      <c r="A18356" s="0" t="s">
        <v>12</v>
      </c>
      <c r="B18356" s="0" t="n">
        <v>5639112</v>
      </c>
      <c r="C18356" s="0" t="n">
        <v>5639132</v>
      </c>
      <c r="D18356" s="0" t="s">
        <v>61035</v>
      </c>
      <c r="E18356" s="0" t="s">
        <v>75</v>
      </c>
      <c r="F18356" s="0" t="s">
        <v>90</v>
      </c>
      <c r="G18356" s="0" t="s">
        <v>20</v>
      </c>
      <c r="H18356" s="0" t="n">
        <v>32</v>
      </c>
      <c r="I18356" s="0" t="s">
        <v>61039</v>
      </c>
      <c r="J18356" s="0" t="s">
        <v>61040</v>
      </c>
      <c r="K18356" s="0" t="s">
        <v>61041</v>
      </c>
      <c r="L18356" s="0" t="str">
        <f aca="false">HYPERLINK("https://www.ncbi.nlm.nih.gov/nuccore/CP000058.1?report=graph&amp;tracks=[key:gene_model_track,Options:GeneOnly]&amp;mk=5639138:5639157|offset_7|444444,5639113:5639132|offset_32|00cc00,5639090:5639109|offset_55|444444,5639069:5639088|offset_76|444444&amp;v=5638937:5639288&amp;c=444444", "offset 32")</f>
        <v>offset 32</v>
      </c>
    </row>
    <row r="18357" customFormat="false" ht="12.8" hidden="false" customHeight="false" outlineLevel="0" collapsed="false">
      <c r="A18357" s="0" t="s">
        <v>12</v>
      </c>
      <c r="B18357" s="0" t="n">
        <v>5639089</v>
      </c>
      <c r="C18357" s="0" t="n">
        <v>5639109</v>
      </c>
      <c r="D18357" s="0" t="s">
        <v>61035</v>
      </c>
      <c r="E18357" s="0" t="s">
        <v>75</v>
      </c>
      <c r="F18357" s="0" t="s">
        <v>90</v>
      </c>
      <c r="G18357" s="0" t="s">
        <v>16</v>
      </c>
      <c r="H18357" s="0" t="n">
        <v>55</v>
      </c>
      <c r="I18357" s="0" t="s">
        <v>61042</v>
      </c>
      <c r="J18357" s="0" t="s">
        <v>61043</v>
      </c>
      <c r="K18357" s="0" t="s">
        <v>61044</v>
      </c>
      <c r="L18357" s="0" t="str">
        <f aca="false">HYPERLINK("https://www.ncbi.nlm.nih.gov/nuccore/CP000058.1?report=graph&amp;tracks=[key:gene_model_track,Options:GeneOnly]&amp;mk=5639138:5639157|offset_7|444444,5639113:5639132|offset_32|444444,5639090:5639109|offset_55|00cc00,5639069:5639088|offset_76|444444&amp;v=5638937:5639288&amp;c=444444", "offset 55")</f>
        <v>offset 55</v>
      </c>
    </row>
    <row r="18358" customFormat="false" ht="12.8" hidden="false" customHeight="false" outlineLevel="0" collapsed="false">
      <c r="A18358" s="0" t="s">
        <v>12</v>
      </c>
      <c r="B18358" s="0" t="n">
        <v>5639068</v>
      </c>
      <c r="C18358" s="0" t="n">
        <v>5639088</v>
      </c>
      <c r="D18358" s="0" t="s">
        <v>61035</v>
      </c>
      <c r="E18358" s="0" t="s">
        <v>75</v>
      </c>
      <c r="F18358" s="0" t="s">
        <v>90</v>
      </c>
      <c r="G18358" s="0" t="s">
        <v>32</v>
      </c>
      <c r="H18358" s="0" t="n">
        <v>76</v>
      </c>
      <c r="I18358" s="0" t="s">
        <v>61045</v>
      </c>
      <c r="J18358" s="0" t="s">
        <v>61046</v>
      </c>
      <c r="K18358" s="0" t="s">
        <v>61047</v>
      </c>
      <c r="L18358" s="0" t="str">
        <f aca="false">HYPERLINK("https://www.ncbi.nlm.nih.gov/nuccore/CP000058.1?report=graph&amp;tracks=[key:gene_model_track,Options:GeneOnly]&amp;mk=5639138:5639157|offset_7|444444,5639113:5639132|offset_32|444444,5639090:5639109|offset_55|444444,5639069:5639088|offset_76|00cc00&amp;v=5638937:5639288&amp;c=444444", "offset 76")</f>
        <v>offset 76</v>
      </c>
    </row>
    <row r="18359" customFormat="false" ht="12.8" hidden="false" customHeight="false" outlineLevel="0" collapsed="false">
      <c r="A18359" s="0" t="s">
        <v>12</v>
      </c>
      <c r="B18359" s="0" t="n">
        <v>5639517</v>
      </c>
      <c r="C18359" s="0" t="n">
        <v>5639537</v>
      </c>
      <c r="D18359" s="0" t="s">
        <v>61048</v>
      </c>
      <c r="E18359" s="0" t="s">
        <v>75</v>
      </c>
      <c r="F18359" s="0" t="s">
        <v>15</v>
      </c>
      <c r="G18359" s="0" t="s">
        <v>32</v>
      </c>
      <c r="H18359" s="0" t="n">
        <v>58</v>
      </c>
      <c r="I18359" s="0" t="s">
        <v>61049</v>
      </c>
      <c r="J18359" s="0" t="s">
        <v>61050</v>
      </c>
      <c r="K18359" s="0" t="s">
        <v>61051</v>
      </c>
      <c r="L18359" s="0" t="str">
        <f aca="false">HYPERLINK("https://www.ncbi.nlm.nih.gov/nuccore/CP000058.1?report=graph&amp;tracks=[key:gene_model_track,Options:GeneOnly]&amp;mk=5639518:5639537|offset_58|00cc00,5639554:5639573|offset_94|444444,5639575:5639594|offset_115|444444,5639595:5639614|offset_135|444444&amp;v=5639317:5639814&amp;c=444444", "offset 58")</f>
        <v>offset 58</v>
      </c>
    </row>
    <row r="18360" customFormat="false" ht="12.8" hidden="false" customHeight="false" outlineLevel="0" collapsed="false">
      <c r="A18360" s="0" t="s">
        <v>12</v>
      </c>
      <c r="B18360" s="0" t="n">
        <v>5639553</v>
      </c>
      <c r="C18360" s="0" t="n">
        <v>5639573</v>
      </c>
      <c r="D18360" s="0" t="s">
        <v>61048</v>
      </c>
      <c r="E18360" s="0" t="s">
        <v>75</v>
      </c>
      <c r="F18360" s="0" t="s">
        <v>15</v>
      </c>
      <c r="G18360" s="0" t="s">
        <v>20</v>
      </c>
      <c r="H18360" s="0" t="n">
        <v>94</v>
      </c>
      <c r="I18360" s="0" t="s">
        <v>61052</v>
      </c>
      <c r="J18360" s="0" t="s">
        <v>61053</v>
      </c>
      <c r="K18360" s="0" t="s">
        <v>61054</v>
      </c>
      <c r="L18360" s="0" t="str">
        <f aca="false">HYPERLINK("https://www.ncbi.nlm.nih.gov/nuccore/CP000058.1?report=graph&amp;tracks=[key:gene_model_track,Options:GeneOnly]&amp;mk=5639518:5639537|offset_58|444444,5639554:5639573|offset_94|00cc00,5639575:5639594|offset_115|444444,5639595:5639614|offset_135|444444&amp;v=5639317:5639814&amp;c=444444", "offset 94")</f>
        <v>offset 94</v>
      </c>
    </row>
    <row r="18361" customFormat="false" ht="12.8" hidden="false" customHeight="false" outlineLevel="0" collapsed="false">
      <c r="A18361" s="0" t="s">
        <v>12</v>
      </c>
      <c r="B18361" s="0" t="n">
        <v>5639574</v>
      </c>
      <c r="C18361" s="0" t="n">
        <v>5639594</v>
      </c>
      <c r="D18361" s="0" t="s">
        <v>61048</v>
      </c>
      <c r="E18361" s="0" t="s">
        <v>75</v>
      </c>
      <c r="F18361" s="0" t="s">
        <v>15</v>
      </c>
      <c r="G18361" s="0" t="s">
        <v>16</v>
      </c>
      <c r="H18361" s="0" t="n">
        <v>115</v>
      </c>
      <c r="I18361" s="0" t="s">
        <v>61055</v>
      </c>
      <c r="J18361" s="0" t="s">
        <v>61056</v>
      </c>
      <c r="K18361" s="0" t="s">
        <v>61057</v>
      </c>
      <c r="L18361" s="0" t="str">
        <f aca="false">HYPERLINK("https://www.ncbi.nlm.nih.gov/nuccore/CP000058.1?report=graph&amp;tracks=[key:gene_model_track,Options:GeneOnly]&amp;mk=5639518:5639537|offset_58|444444,5639554:5639573|offset_94|444444,5639575:5639594|offset_115|00cc00,5639595:5639614|offset_135|444444&amp;v=5639317:5639814&amp;c=444444", "offset 115")</f>
        <v>offset 115</v>
      </c>
    </row>
    <row r="18362" customFormat="false" ht="12.8" hidden="false" customHeight="false" outlineLevel="0" collapsed="false">
      <c r="A18362" s="0" t="s">
        <v>12</v>
      </c>
      <c r="B18362" s="0" t="n">
        <v>5639594</v>
      </c>
      <c r="C18362" s="0" t="n">
        <v>5639614</v>
      </c>
      <c r="D18362" s="0" t="s">
        <v>61048</v>
      </c>
      <c r="E18362" s="0" t="s">
        <v>75</v>
      </c>
      <c r="F18362" s="0" t="s">
        <v>15</v>
      </c>
      <c r="G18362" s="0" t="s">
        <v>16</v>
      </c>
      <c r="H18362" s="0" t="n">
        <v>135</v>
      </c>
      <c r="I18362" s="0" t="s">
        <v>61058</v>
      </c>
      <c r="J18362" s="0" t="s">
        <v>61059</v>
      </c>
      <c r="K18362" s="0" t="s">
        <v>61060</v>
      </c>
      <c r="L18362" s="0" t="str">
        <f aca="false">HYPERLINK("https://www.ncbi.nlm.nih.gov/nuccore/CP000058.1?report=graph&amp;tracks=[key:gene_model_track,Options:GeneOnly]&amp;mk=5639518:5639537|offset_58|444444,5639554:5639573|offset_94|444444,5639575:5639594|offset_115|444444,5639595:5639614|offset_135|00cc00&amp;v=5639317:5639814&amp;c=444444", "offset 135")</f>
        <v>offset 135</v>
      </c>
    </row>
    <row r="18363" customFormat="false" ht="12.8" hidden="false" customHeight="false" outlineLevel="0" collapsed="false">
      <c r="A18363" s="0" t="s">
        <v>12</v>
      </c>
      <c r="B18363" s="0" t="n">
        <v>5639846</v>
      </c>
      <c r="C18363" s="0" t="n">
        <v>5639866</v>
      </c>
      <c r="D18363" s="0" t="s">
        <v>61061</v>
      </c>
      <c r="E18363" s="0" t="s">
        <v>75</v>
      </c>
      <c r="F18363" s="0" t="s">
        <v>15</v>
      </c>
      <c r="G18363" s="0" t="s">
        <v>16</v>
      </c>
      <c r="H18363" s="0" t="n">
        <v>31</v>
      </c>
      <c r="I18363" s="0" t="s">
        <v>61062</v>
      </c>
      <c r="J18363" s="0" t="s">
        <v>61063</v>
      </c>
      <c r="K18363" s="0" t="s">
        <v>61064</v>
      </c>
      <c r="L18363" s="0" t="str">
        <f aca="false">HYPERLINK("https://www.ncbi.nlm.nih.gov/nuccore/CP000058.1?report=graph&amp;tracks=[key:gene_model_track,Options:GeneOnly]&amp;mk=5639847:5639866|offset_31|00cc00,5639892:5639911|offset_76|444444,5639914:5639933|offset_98|444444,5639957:5639976|offset_141|444444&amp;v=5639646:5640176&amp;c=444444", "offset 31")</f>
        <v>offset 31</v>
      </c>
    </row>
    <row r="18364" customFormat="false" ht="12.8" hidden="false" customHeight="false" outlineLevel="0" collapsed="false">
      <c r="A18364" s="0" t="s">
        <v>12</v>
      </c>
      <c r="B18364" s="0" t="n">
        <v>5639891</v>
      </c>
      <c r="C18364" s="0" t="n">
        <v>5639911</v>
      </c>
      <c r="D18364" s="0" t="s">
        <v>61061</v>
      </c>
      <c r="E18364" s="0" t="s">
        <v>75</v>
      </c>
      <c r="F18364" s="0" t="s">
        <v>15</v>
      </c>
      <c r="G18364" s="0" t="s">
        <v>16</v>
      </c>
      <c r="H18364" s="0" t="n">
        <v>76</v>
      </c>
      <c r="I18364" s="0" t="s">
        <v>61065</v>
      </c>
      <c r="J18364" s="0" t="s">
        <v>61066</v>
      </c>
      <c r="K18364" s="0" t="s">
        <v>61067</v>
      </c>
      <c r="L18364" s="0" t="str">
        <f aca="false">HYPERLINK("https://www.ncbi.nlm.nih.gov/nuccore/CP000058.1?report=graph&amp;tracks=[key:gene_model_track,Options:GeneOnly]&amp;mk=5639847:5639866|offset_31|444444,5639892:5639911|offset_76|00cc00,5639914:5639933|offset_98|444444,5639957:5639976|offset_141|444444&amp;v=5639646:5640176&amp;c=444444", "offset 76")</f>
        <v>offset 76</v>
      </c>
    </row>
    <row r="18365" customFormat="false" ht="12.8" hidden="false" customHeight="false" outlineLevel="0" collapsed="false">
      <c r="A18365" s="0" t="s">
        <v>12</v>
      </c>
      <c r="B18365" s="0" t="n">
        <v>5639913</v>
      </c>
      <c r="C18365" s="0" t="n">
        <v>5639933</v>
      </c>
      <c r="D18365" s="0" t="s">
        <v>61061</v>
      </c>
      <c r="E18365" s="0" t="s">
        <v>75</v>
      </c>
      <c r="F18365" s="0" t="s">
        <v>15</v>
      </c>
      <c r="G18365" s="0" t="s">
        <v>16</v>
      </c>
      <c r="H18365" s="0" t="n">
        <v>98</v>
      </c>
      <c r="I18365" s="0" t="s">
        <v>61068</v>
      </c>
      <c r="J18365" s="0" t="s">
        <v>61069</v>
      </c>
      <c r="K18365" s="0" t="s">
        <v>61070</v>
      </c>
      <c r="L18365" s="0" t="str">
        <f aca="false">HYPERLINK("https://www.ncbi.nlm.nih.gov/nuccore/CP000058.1?report=graph&amp;tracks=[key:gene_model_track,Options:GeneOnly]&amp;mk=5639847:5639866|offset_31|444444,5639892:5639911|offset_76|444444,5639914:5639933|offset_98|00cc00,5639957:5639976|offset_141|444444&amp;v=5639646:5640176&amp;c=444444", "offset 98")</f>
        <v>offset 98</v>
      </c>
    </row>
    <row r="18366" customFormat="false" ht="12.8" hidden="false" customHeight="false" outlineLevel="0" collapsed="false">
      <c r="A18366" s="0" t="s">
        <v>12</v>
      </c>
      <c r="B18366" s="0" t="n">
        <v>5639956</v>
      </c>
      <c r="C18366" s="0" t="n">
        <v>5639976</v>
      </c>
      <c r="D18366" s="0" t="s">
        <v>61061</v>
      </c>
      <c r="E18366" s="0" t="s">
        <v>75</v>
      </c>
      <c r="F18366" s="0" t="s">
        <v>15</v>
      </c>
      <c r="G18366" s="0" t="s">
        <v>16</v>
      </c>
      <c r="H18366" s="0" t="n">
        <v>141</v>
      </c>
      <c r="I18366" s="0" t="s">
        <v>61071</v>
      </c>
      <c r="J18366" s="0" t="s">
        <v>61072</v>
      </c>
      <c r="K18366" s="0" t="s">
        <v>61073</v>
      </c>
      <c r="L18366" s="0" t="str">
        <f aca="false">HYPERLINK("https://www.ncbi.nlm.nih.gov/nuccore/CP000058.1?report=graph&amp;tracks=[key:gene_model_track,Options:GeneOnly]&amp;mk=5639847:5639866|offset_31|444444,5639892:5639911|offset_76|444444,5639914:5639933|offset_98|444444,5639957:5639976|offset_141|00cc00&amp;v=5639646:5640176&amp;c=444444", "offset 141")</f>
        <v>offset 141</v>
      </c>
    </row>
    <row r="18367" customFormat="false" ht="12.8" hidden="false" customHeight="false" outlineLevel="0" collapsed="false">
      <c r="A18367" s="0" t="s">
        <v>12</v>
      </c>
      <c r="B18367" s="0" t="n">
        <v>5641092</v>
      </c>
      <c r="C18367" s="0" t="n">
        <v>5641112</v>
      </c>
      <c r="D18367" s="0" t="s">
        <v>61074</v>
      </c>
      <c r="E18367" s="0" t="s">
        <v>75</v>
      </c>
      <c r="F18367" s="0" t="s">
        <v>15</v>
      </c>
      <c r="G18367" s="0" t="s">
        <v>36</v>
      </c>
      <c r="H18367" s="0" t="n">
        <v>17</v>
      </c>
      <c r="I18367" s="0" t="s">
        <v>61075</v>
      </c>
      <c r="J18367" s="0" t="s">
        <v>61076</v>
      </c>
      <c r="K18367" s="0" t="s">
        <v>61077</v>
      </c>
      <c r="L18367" s="0" t="str">
        <f aca="false">HYPERLINK("https://www.ncbi.nlm.nih.gov/nuccore/CP000058.1?report=graph&amp;tracks=[key:gene_model_track,Options:GeneOnly]&amp;mk=5641093:5641112|offset_17|00cc00,5641124:5641143|offset_48|444444,5641177:5641196|offset_101|444444,5641219:5641238|offset_143|444444&amp;v=5640892:5641438&amp;c=444444", "offset 17")</f>
        <v>offset 17</v>
      </c>
    </row>
    <row r="18368" customFormat="false" ht="12.8" hidden="false" customHeight="false" outlineLevel="0" collapsed="false">
      <c r="A18368" s="0" t="s">
        <v>12</v>
      </c>
      <c r="B18368" s="0" t="n">
        <v>5641123</v>
      </c>
      <c r="C18368" s="0" t="n">
        <v>5641143</v>
      </c>
      <c r="D18368" s="0" t="s">
        <v>61074</v>
      </c>
      <c r="E18368" s="0" t="s">
        <v>75</v>
      </c>
      <c r="F18368" s="0" t="s">
        <v>15</v>
      </c>
      <c r="G18368" s="0" t="s">
        <v>32</v>
      </c>
      <c r="H18368" s="0" t="n">
        <v>48</v>
      </c>
      <c r="I18368" s="0" t="s">
        <v>61078</v>
      </c>
      <c r="J18368" s="0" t="s">
        <v>61079</v>
      </c>
      <c r="K18368" s="0" t="s">
        <v>61080</v>
      </c>
      <c r="L18368" s="0" t="str">
        <f aca="false">HYPERLINK("https://www.ncbi.nlm.nih.gov/nuccore/CP000058.1?report=graph&amp;tracks=[key:gene_model_track,Options:GeneOnly]&amp;mk=5641093:5641112|offset_17|444444,5641124:5641143|offset_48|00cc00,5641177:5641196|offset_101|444444,5641219:5641238|offset_143|444444&amp;v=5640892:5641438&amp;c=444444", "offset 48")</f>
        <v>offset 48</v>
      </c>
    </row>
    <row r="18369" customFormat="false" ht="12.8" hidden="false" customHeight="false" outlineLevel="0" collapsed="false">
      <c r="A18369" s="0" t="s">
        <v>12</v>
      </c>
      <c r="B18369" s="0" t="n">
        <v>5641176</v>
      </c>
      <c r="C18369" s="0" t="n">
        <v>5641196</v>
      </c>
      <c r="D18369" s="0" t="s">
        <v>61074</v>
      </c>
      <c r="E18369" s="0" t="s">
        <v>75</v>
      </c>
      <c r="F18369" s="0" t="s">
        <v>15</v>
      </c>
      <c r="G18369" s="0" t="s">
        <v>32</v>
      </c>
      <c r="H18369" s="0" t="n">
        <v>101</v>
      </c>
      <c r="I18369" s="0" t="s">
        <v>61081</v>
      </c>
      <c r="J18369" s="0" t="s">
        <v>61082</v>
      </c>
      <c r="K18369" s="0" t="s">
        <v>61083</v>
      </c>
      <c r="L18369" s="0" t="str">
        <f aca="false">HYPERLINK("https://www.ncbi.nlm.nih.gov/nuccore/CP000058.1?report=graph&amp;tracks=[key:gene_model_track,Options:GeneOnly]&amp;mk=5641093:5641112|offset_17|444444,5641124:5641143|offset_48|444444,5641177:5641196|offset_101|00cc00,5641219:5641238|offset_143|444444&amp;v=5640892:5641438&amp;c=444444", "offset 101")</f>
        <v>offset 101</v>
      </c>
    </row>
    <row r="18370" customFormat="false" ht="12.8" hidden="false" customHeight="false" outlineLevel="0" collapsed="false">
      <c r="A18370" s="0" t="s">
        <v>12</v>
      </c>
      <c r="B18370" s="0" t="n">
        <v>5641218</v>
      </c>
      <c r="C18370" s="0" t="n">
        <v>5641238</v>
      </c>
      <c r="D18370" s="0" t="s">
        <v>61074</v>
      </c>
      <c r="E18370" s="0" t="s">
        <v>75</v>
      </c>
      <c r="F18370" s="0" t="s">
        <v>15</v>
      </c>
      <c r="G18370" s="0" t="s">
        <v>20</v>
      </c>
      <c r="H18370" s="0" t="n">
        <v>143</v>
      </c>
      <c r="I18370" s="0" t="s">
        <v>61084</v>
      </c>
      <c r="J18370" s="0" t="s">
        <v>61085</v>
      </c>
      <c r="K18370" s="0" t="s">
        <v>61086</v>
      </c>
      <c r="L18370" s="0" t="str">
        <f aca="false">HYPERLINK("https://www.ncbi.nlm.nih.gov/nuccore/CP000058.1?report=graph&amp;tracks=[key:gene_model_track,Options:GeneOnly]&amp;mk=5641093:5641112|offset_17|444444,5641124:5641143|offset_48|444444,5641177:5641196|offset_101|444444,5641219:5641238|offset_143|00cc00&amp;v=5640892:5641438&amp;c=444444", "offset 143")</f>
        <v>offset 143</v>
      </c>
    </row>
    <row r="18371" customFormat="false" ht="12.8" hidden="false" customHeight="false" outlineLevel="0" collapsed="false">
      <c r="A18371" s="0" t="s">
        <v>12</v>
      </c>
      <c r="B18371" s="0" t="n">
        <v>5641635</v>
      </c>
      <c r="C18371" s="0" t="n">
        <v>5641655</v>
      </c>
      <c r="D18371" s="0" t="s">
        <v>61087</v>
      </c>
      <c r="E18371" s="0" t="s">
        <v>75</v>
      </c>
      <c r="F18371" s="0" t="s">
        <v>15</v>
      </c>
      <c r="G18371" s="0" t="s">
        <v>36</v>
      </c>
      <c r="H18371" s="0" t="n">
        <v>41</v>
      </c>
      <c r="I18371" s="0" t="s">
        <v>61088</v>
      </c>
      <c r="J18371" s="0" t="s">
        <v>61089</v>
      </c>
      <c r="K18371" s="0" t="s">
        <v>61090</v>
      </c>
      <c r="L18371" s="0" t="str">
        <f aca="false">HYPERLINK("https://www.ncbi.nlm.nih.gov/nuccore/CP000058.1?report=graph&amp;tracks=[key:gene_model_track,Options:GeneOnly]&amp;mk=5641636:5641655|offset_41|00cc00,5641930:5641949|offset_335|444444,5641980:5641999|offset_385|444444,5642011:5642030|offset_416|444444&amp;v=5641435:5642230&amp;c=444444", "offset 41")</f>
        <v>offset 41</v>
      </c>
    </row>
    <row r="18372" customFormat="false" ht="12.8" hidden="false" customHeight="false" outlineLevel="0" collapsed="false">
      <c r="A18372" s="0" t="s">
        <v>12</v>
      </c>
      <c r="B18372" s="0" t="n">
        <v>5641929</v>
      </c>
      <c r="C18372" s="0" t="n">
        <v>5641949</v>
      </c>
      <c r="D18372" s="0" t="s">
        <v>61087</v>
      </c>
      <c r="E18372" s="0" t="s">
        <v>75</v>
      </c>
      <c r="F18372" s="0" t="s">
        <v>15</v>
      </c>
      <c r="G18372" s="0" t="s">
        <v>36</v>
      </c>
      <c r="H18372" s="0" t="n">
        <v>335</v>
      </c>
      <c r="I18372" s="0" t="s">
        <v>61091</v>
      </c>
      <c r="J18372" s="0" t="s">
        <v>61092</v>
      </c>
      <c r="K18372" s="0" t="s">
        <v>61093</v>
      </c>
      <c r="L18372" s="0" t="str">
        <f aca="false">HYPERLINK("https://www.ncbi.nlm.nih.gov/nuccore/CP000058.1?report=graph&amp;tracks=[key:gene_model_track,Options:GeneOnly]&amp;mk=5641636:5641655|offset_41|444444,5641930:5641949|offset_335|00cc00,5641980:5641999|offset_385|444444,5642011:5642030|offset_416|444444&amp;v=5641435:5642230&amp;c=444444", "offset 335")</f>
        <v>offset 335</v>
      </c>
    </row>
    <row r="18373" customFormat="false" ht="12.8" hidden="false" customHeight="false" outlineLevel="0" collapsed="false">
      <c r="A18373" s="0" t="s">
        <v>12</v>
      </c>
      <c r="B18373" s="0" t="n">
        <v>5641979</v>
      </c>
      <c r="C18373" s="0" t="n">
        <v>5641999</v>
      </c>
      <c r="D18373" s="0" t="s">
        <v>61087</v>
      </c>
      <c r="E18373" s="0" t="s">
        <v>75</v>
      </c>
      <c r="F18373" s="0" t="s">
        <v>15</v>
      </c>
      <c r="G18373" s="0" t="s">
        <v>16</v>
      </c>
      <c r="H18373" s="0" t="n">
        <v>385</v>
      </c>
      <c r="I18373" s="0" t="s">
        <v>61094</v>
      </c>
      <c r="J18373" s="0" t="s">
        <v>61095</v>
      </c>
      <c r="K18373" s="0" t="s">
        <v>61096</v>
      </c>
      <c r="L18373" s="0" t="str">
        <f aca="false">HYPERLINK("https://www.ncbi.nlm.nih.gov/nuccore/CP000058.1?report=graph&amp;tracks=[key:gene_model_track,Options:GeneOnly]&amp;mk=5641636:5641655|offset_41|444444,5641930:5641949|offset_335|444444,5641980:5641999|offset_385|00cc00,5642011:5642030|offset_416|444444&amp;v=5641435:5642230&amp;c=444444", "offset 385")</f>
        <v>offset 385</v>
      </c>
    </row>
    <row r="18374" customFormat="false" ht="12.8" hidden="false" customHeight="false" outlineLevel="0" collapsed="false">
      <c r="A18374" s="0" t="s">
        <v>12</v>
      </c>
      <c r="B18374" s="0" t="n">
        <v>5642010</v>
      </c>
      <c r="C18374" s="0" t="n">
        <v>5642030</v>
      </c>
      <c r="D18374" s="0" t="s">
        <v>61087</v>
      </c>
      <c r="E18374" s="0" t="s">
        <v>75</v>
      </c>
      <c r="F18374" s="0" t="s">
        <v>15</v>
      </c>
      <c r="G18374" s="0" t="s">
        <v>20</v>
      </c>
      <c r="H18374" s="0" t="n">
        <v>416</v>
      </c>
      <c r="I18374" s="0" t="s">
        <v>61097</v>
      </c>
      <c r="J18374" s="0" t="s">
        <v>61098</v>
      </c>
      <c r="K18374" s="0" t="s">
        <v>61099</v>
      </c>
      <c r="L18374" s="0" t="str">
        <f aca="false">HYPERLINK("https://www.ncbi.nlm.nih.gov/nuccore/CP000058.1?report=graph&amp;tracks=[key:gene_model_track,Options:GeneOnly]&amp;mk=5641636:5641655|offset_41|444444,5641930:5641949|offset_335|444444,5641980:5641999|offset_385|444444,5642011:5642030|offset_416|00cc00&amp;v=5641435:5642230&amp;c=444444", "offset 416")</f>
        <v>offset 416</v>
      </c>
    </row>
    <row r="18375" customFormat="false" ht="12.8" hidden="false" customHeight="false" outlineLevel="0" collapsed="false">
      <c r="A18375" s="0" t="s">
        <v>12</v>
      </c>
      <c r="B18375" s="0" t="n">
        <v>5642992</v>
      </c>
      <c r="C18375" s="0" t="n">
        <v>5643012</v>
      </c>
      <c r="D18375" s="0" t="s">
        <v>61100</v>
      </c>
      <c r="E18375" s="0" t="s">
        <v>75</v>
      </c>
      <c r="F18375" s="0" t="s">
        <v>15</v>
      </c>
      <c r="G18375" s="0" t="s">
        <v>36</v>
      </c>
      <c r="H18375" s="0" t="n">
        <v>0</v>
      </c>
      <c r="I18375" s="0" t="s">
        <v>61101</v>
      </c>
      <c r="J18375" s="0" t="s">
        <v>61102</v>
      </c>
      <c r="K18375" s="0" t="s">
        <v>61103</v>
      </c>
      <c r="L18375" s="0" t="str">
        <f aca="false">HYPERLINK("https://www.ncbi.nlm.nih.gov/nuccore/CP000058.1?report=graph&amp;tracks=[key:gene_model_track,Options:GeneOnly]&amp;mk=5642993:5643012|offset_0|00cc00,5643021:5643040|offset_28|444444,5643049:5643068|offset_56|444444,5643103:5643122|offset_110|444444&amp;v=5642792:5643322&amp;c=444444", "offset 0")</f>
        <v>offset 0</v>
      </c>
    </row>
    <row r="18376" customFormat="false" ht="12.8" hidden="false" customHeight="false" outlineLevel="0" collapsed="false">
      <c r="A18376" s="0" t="s">
        <v>12</v>
      </c>
      <c r="B18376" s="0" t="n">
        <v>5643020</v>
      </c>
      <c r="C18376" s="0" t="n">
        <v>5643040</v>
      </c>
      <c r="D18376" s="0" t="s">
        <v>61100</v>
      </c>
      <c r="E18376" s="0" t="s">
        <v>75</v>
      </c>
      <c r="F18376" s="0" t="s">
        <v>15</v>
      </c>
      <c r="G18376" s="0" t="s">
        <v>36</v>
      </c>
      <c r="H18376" s="0" t="n">
        <v>28</v>
      </c>
      <c r="I18376" s="0" t="s">
        <v>61104</v>
      </c>
      <c r="J18376" s="0" t="s">
        <v>61105</v>
      </c>
      <c r="K18376" s="0" t="s">
        <v>61106</v>
      </c>
      <c r="L18376" s="0" t="str">
        <f aca="false">HYPERLINK("https://www.ncbi.nlm.nih.gov/nuccore/CP000058.1?report=graph&amp;tracks=[key:gene_model_track,Options:GeneOnly]&amp;mk=5642993:5643012|offset_0|444444,5643021:5643040|offset_28|00cc00,5643049:5643068|offset_56|444444,5643103:5643122|offset_110|444444&amp;v=5642792:5643322&amp;c=444444", "offset 28")</f>
        <v>offset 28</v>
      </c>
    </row>
    <row r="18377" customFormat="false" ht="12.8" hidden="false" customHeight="false" outlineLevel="0" collapsed="false">
      <c r="A18377" s="0" t="s">
        <v>12</v>
      </c>
      <c r="B18377" s="0" t="n">
        <v>5643048</v>
      </c>
      <c r="C18377" s="0" t="n">
        <v>5643068</v>
      </c>
      <c r="D18377" s="0" t="s">
        <v>61100</v>
      </c>
      <c r="E18377" s="0" t="s">
        <v>75</v>
      </c>
      <c r="F18377" s="0" t="s">
        <v>15</v>
      </c>
      <c r="G18377" s="0" t="s">
        <v>16</v>
      </c>
      <c r="H18377" s="0" t="n">
        <v>56</v>
      </c>
      <c r="I18377" s="0" t="s">
        <v>61107</v>
      </c>
      <c r="J18377" s="0" t="s">
        <v>61108</v>
      </c>
      <c r="K18377" s="0" t="s">
        <v>61109</v>
      </c>
      <c r="L18377" s="0" t="str">
        <f aca="false">HYPERLINK("https://www.ncbi.nlm.nih.gov/nuccore/CP000058.1?report=graph&amp;tracks=[key:gene_model_track,Options:GeneOnly]&amp;mk=5642993:5643012|offset_0|444444,5643021:5643040|offset_28|444444,5643049:5643068|offset_56|00cc00,5643103:5643122|offset_110|444444&amp;v=5642792:5643322&amp;c=444444", "offset 56")</f>
        <v>offset 56</v>
      </c>
    </row>
    <row r="18378" customFormat="false" ht="12.8" hidden="false" customHeight="false" outlineLevel="0" collapsed="false">
      <c r="A18378" s="0" t="s">
        <v>12</v>
      </c>
      <c r="B18378" s="0" t="n">
        <v>5643102</v>
      </c>
      <c r="C18378" s="0" t="n">
        <v>5643122</v>
      </c>
      <c r="D18378" s="0" t="s">
        <v>61100</v>
      </c>
      <c r="E18378" s="0" t="s">
        <v>75</v>
      </c>
      <c r="F18378" s="0" t="s">
        <v>15</v>
      </c>
      <c r="G18378" s="0" t="s">
        <v>16</v>
      </c>
      <c r="H18378" s="0" t="n">
        <v>110</v>
      </c>
      <c r="I18378" s="0" t="s">
        <v>61110</v>
      </c>
      <c r="J18378" s="0" t="s">
        <v>61111</v>
      </c>
      <c r="K18378" s="0" t="s">
        <v>61112</v>
      </c>
      <c r="L18378" s="0" t="str">
        <f aca="false">HYPERLINK("https://www.ncbi.nlm.nih.gov/nuccore/CP000058.1?report=graph&amp;tracks=[key:gene_model_track,Options:GeneOnly]&amp;mk=5642993:5643012|offset_0|444444,5643021:5643040|offset_28|444444,5643049:5643068|offset_56|444444,5643103:5643122|offset_110|00cc00&amp;v=5642792:5643322&amp;c=444444", "offset 110")</f>
        <v>offset 110</v>
      </c>
    </row>
    <row r="18379" customFormat="false" ht="12.8" hidden="false" customHeight="false" outlineLevel="0" collapsed="false">
      <c r="A18379" s="0" t="s">
        <v>12</v>
      </c>
      <c r="B18379" s="0" t="n">
        <v>5643549</v>
      </c>
      <c r="C18379" s="0" t="n">
        <v>5643569</v>
      </c>
      <c r="D18379" s="0" t="s">
        <v>61113</v>
      </c>
      <c r="E18379" s="0" t="s">
        <v>75</v>
      </c>
      <c r="F18379" s="0" t="s">
        <v>15</v>
      </c>
      <c r="G18379" s="0" t="s">
        <v>16</v>
      </c>
      <c r="H18379" s="0" t="n">
        <v>6</v>
      </c>
      <c r="I18379" s="0" t="s">
        <v>61114</v>
      </c>
      <c r="J18379" s="0" t="s">
        <v>61115</v>
      </c>
      <c r="K18379" s="0" t="s">
        <v>61116</v>
      </c>
      <c r="L18379" s="0" t="str">
        <f aca="false">HYPERLINK("https://www.ncbi.nlm.nih.gov/nuccore/CP000058.1?report=graph&amp;tracks=[key:gene_model_track,Options:GeneOnly]&amp;mk=5643550:5643569|offset_6|00cc00,5643598:5643617|offset_54|444444,5643631:5643650|offset_87|444444,5643690:5643709|offset_146|444444&amp;v=5643349:5643909&amp;c=444444", "offset 6")</f>
        <v>offset 6</v>
      </c>
    </row>
    <row r="18380" customFormat="false" ht="12.8" hidden="false" customHeight="false" outlineLevel="0" collapsed="false">
      <c r="A18380" s="0" t="s">
        <v>12</v>
      </c>
      <c r="B18380" s="0" t="n">
        <v>5643597</v>
      </c>
      <c r="C18380" s="0" t="n">
        <v>5643617</v>
      </c>
      <c r="D18380" s="0" t="s">
        <v>61113</v>
      </c>
      <c r="E18380" s="0" t="s">
        <v>75</v>
      </c>
      <c r="F18380" s="0" t="s">
        <v>15</v>
      </c>
      <c r="G18380" s="0" t="s">
        <v>20</v>
      </c>
      <c r="H18380" s="0" t="n">
        <v>54</v>
      </c>
      <c r="I18380" s="0" t="s">
        <v>61117</v>
      </c>
      <c r="J18380" s="0" t="s">
        <v>61118</v>
      </c>
      <c r="K18380" s="0" t="s">
        <v>61119</v>
      </c>
      <c r="L18380" s="0" t="str">
        <f aca="false">HYPERLINK("https://www.ncbi.nlm.nih.gov/nuccore/CP000058.1?report=graph&amp;tracks=[key:gene_model_track,Options:GeneOnly]&amp;mk=5643550:5643569|offset_6|444444,5643598:5643617|offset_54|00cc00,5643631:5643650|offset_87|444444,5643690:5643709|offset_146|444444&amp;v=5643349:5643909&amp;c=444444", "offset 54")</f>
        <v>offset 54</v>
      </c>
    </row>
    <row r="18381" customFormat="false" ht="12.8" hidden="false" customHeight="false" outlineLevel="0" collapsed="false">
      <c r="A18381" s="0" t="s">
        <v>12</v>
      </c>
      <c r="B18381" s="0" t="n">
        <v>5643630</v>
      </c>
      <c r="C18381" s="0" t="n">
        <v>5643650</v>
      </c>
      <c r="D18381" s="0" t="s">
        <v>61113</v>
      </c>
      <c r="E18381" s="0" t="s">
        <v>75</v>
      </c>
      <c r="F18381" s="0" t="s">
        <v>15</v>
      </c>
      <c r="G18381" s="0" t="s">
        <v>20</v>
      </c>
      <c r="H18381" s="0" t="n">
        <v>87</v>
      </c>
      <c r="I18381" s="0" t="s">
        <v>61120</v>
      </c>
      <c r="J18381" s="0" t="s">
        <v>61121</v>
      </c>
      <c r="K18381" s="0" t="s">
        <v>61122</v>
      </c>
      <c r="L18381" s="0" t="str">
        <f aca="false">HYPERLINK("https://www.ncbi.nlm.nih.gov/nuccore/CP000058.1?report=graph&amp;tracks=[key:gene_model_track,Options:GeneOnly]&amp;mk=5643550:5643569|offset_6|444444,5643598:5643617|offset_54|444444,5643631:5643650|offset_87|00cc00,5643690:5643709|offset_146|444444&amp;v=5643349:5643909&amp;c=444444", "offset 87")</f>
        <v>offset 87</v>
      </c>
    </row>
    <row r="18382" customFormat="false" ht="12.8" hidden="false" customHeight="false" outlineLevel="0" collapsed="false">
      <c r="A18382" s="0" t="s">
        <v>12</v>
      </c>
      <c r="B18382" s="0" t="n">
        <v>5643689</v>
      </c>
      <c r="C18382" s="0" t="n">
        <v>5643709</v>
      </c>
      <c r="D18382" s="0" t="s">
        <v>61113</v>
      </c>
      <c r="E18382" s="0" t="s">
        <v>75</v>
      </c>
      <c r="F18382" s="0" t="s">
        <v>15</v>
      </c>
      <c r="G18382" s="0" t="s">
        <v>32</v>
      </c>
      <c r="H18382" s="0" t="n">
        <v>146</v>
      </c>
      <c r="I18382" s="0" t="s">
        <v>61123</v>
      </c>
      <c r="J18382" s="0" t="s">
        <v>61124</v>
      </c>
      <c r="K18382" s="0" t="s">
        <v>61125</v>
      </c>
      <c r="L18382" s="0" t="str">
        <f aca="false">HYPERLINK("https://www.ncbi.nlm.nih.gov/nuccore/CP000058.1?report=graph&amp;tracks=[key:gene_model_track,Options:GeneOnly]&amp;mk=5643550:5643569|offset_6|444444,5643598:5643617|offset_54|444444,5643631:5643650|offset_87|444444,5643690:5643709|offset_146|00cc00&amp;v=5643349:5643909&amp;c=444444", "offset 146")</f>
        <v>offset 146</v>
      </c>
    </row>
    <row r="18383" customFormat="false" ht="12.8" hidden="false" customHeight="false" outlineLevel="0" collapsed="false">
      <c r="A18383" s="0" t="s">
        <v>12</v>
      </c>
      <c r="B18383" s="0" t="n">
        <v>5645258</v>
      </c>
      <c r="C18383" s="0" t="n">
        <v>5645278</v>
      </c>
      <c r="D18383" s="0" t="s">
        <v>61126</v>
      </c>
      <c r="E18383" s="0" t="s">
        <v>75</v>
      </c>
      <c r="F18383" s="0" t="s">
        <v>15</v>
      </c>
      <c r="G18383" s="0" t="s">
        <v>20</v>
      </c>
      <c r="H18383" s="0" t="n">
        <v>7</v>
      </c>
      <c r="I18383" s="0" t="s">
        <v>61127</v>
      </c>
      <c r="J18383" s="0" t="s">
        <v>61128</v>
      </c>
      <c r="K18383" s="0" t="s">
        <v>61129</v>
      </c>
      <c r="L18383" s="0" t="str">
        <f aca="false">HYPERLINK("https://www.ncbi.nlm.nih.gov/nuccore/CP000058.1?report=graph&amp;tracks=[key:gene_model_track,Options:GeneOnly]&amp;mk=5645259:5645278|offset_7|00cc00,5645283:5645302|offset_31|444444,5645366:5645385|offset_114|444444,5645416:5645435|offset_164|444444&amp;v=5645058:5645635&amp;c=444444", "offset 7")</f>
        <v>offset 7</v>
      </c>
    </row>
    <row r="18384" customFormat="false" ht="12.8" hidden="false" customHeight="false" outlineLevel="0" collapsed="false">
      <c r="A18384" s="0" t="s">
        <v>12</v>
      </c>
      <c r="B18384" s="0" t="n">
        <v>5645282</v>
      </c>
      <c r="C18384" s="0" t="n">
        <v>5645302</v>
      </c>
      <c r="D18384" s="0" t="s">
        <v>61126</v>
      </c>
      <c r="E18384" s="0" t="s">
        <v>75</v>
      </c>
      <c r="F18384" s="0" t="s">
        <v>15</v>
      </c>
      <c r="G18384" s="0" t="s">
        <v>36</v>
      </c>
      <c r="H18384" s="0" t="n">
        <v>31</v>
      </c>
      <c r="I18384" s="0" t="s">
        <v>61130</v>
      </c>
      <c r="J18384" s="0" t="s">
        <v>61131</v>
      </c>
      <c r="K18384" s="0" t="s">
        <v>61132</v>
      </c>
      <c r="L18384" s="0" t="str">
        <f aca="false">HYPERLINK("https://www.ncbi.nlm.nih.gov/nuccore/CP000058.1?report=graph&amp;tracks=[key:gene_model_track,Options:GeneOnly]&amp;mk=5645259:5645278|offset_7|444444,5645283:5645302|offset_31|00cc00,5645366:5645385|offset_114|444444,5645416:5645435|offset_164|444444&amp;v=5645058:5645635&amp;c=444444", "offset 31")</f>
        <v>offset 31</v>
      </c>
    </row>
    <row r="18385" customFormat="false" ht="12.8" hidden="false" customHeight="false" outlineLevel="0" collapsed="false">
      <c r="A18385" s="0" t="s">
        <v>12</v>
      </c>
      <c r="B18385" s="0" t="n">
        <v>5645365</v>
      </c>
      <c r="C18385" s="0" t="n">
        <v>5645385</v>
      </c>
      <c r="D18385" s="0" t="s">
        <v>61126</v>
      </c>
      <c r="E18385" s="0" t="s">
        <v>75</v>
      </c>
      <c r="F18385" s="0" t="s">
        <v>15</v>
      </c>
      <c r="G18385" s="0" t="s">
        <v>36</v>
      </c>
      <c r="H18385" s="0" t="n">
        <v>114</v>
      </c>
      <c r="I18385" s="0" t="s">
        <v>61133</v>
      </c>
      <c r="J18385" s="0" t="s">
        <v>61134</v>
      </c>
      <c r="K18385" s="0" t="s">
        <v>61135</v>
      </c>
      <c r="L18385" s="0" t="str">
        <f aca="false">HYPERLINK("https://www.ncbi.nlm.nih.gov/nuccore/CP000058.1?report=graph&amp;tracks=[key:gene_model_track,Options:GeneOnly]&amp;mk=5645259:5645278|offset_7|444444,5645283:5645302|offset_31|444444,5645366:5645385|offset_114|00cc00,5645416:5645435|offset_164|444444&amp;v=5645058:5645635&amp;c=444444", "offset 114")</f>
        <v>offset 114</v>
      </c>
    </row>
    <row r="18386" customFormat="false" ht="12.8" hidden="false" customHeight="false" outlineLevel="0" collapsed="false">
      <c r="A18386" s="0" t="s">
        <v>12</v>
      </c>
      <c r="B18386" s="0" t="n">
        <v>5645415</v>
      </c>
      <c r="C18386" s="0" t="n">
        <v>5645435</v>
      </c>
      <c r="D18386" s="0" t="s">
        <v>61126</v>
      </c>
      <c r="E18386" s="0" t="s">
        <v>75</v>
      </c>
      <c r="F18386" s="0" t="s">
        <v>15</v>
      </c>
      <c r="G18386" s="0" t="s">
        <v>32</v>
      </c>
      <c r="H18386" s="0" t="n">
        <v>164</v>
      </c>
      <c r="I18386" s="0" t="s">
        <v>61136</v>
      </c>
      <c r="J18386" s="0" t="s">
        <v>61137</v>
      </c>
      <c r="K18386" s="0" t="s">
        <v>61138</v>
      </c>
      <c r="L18386" s="0" t="str">
        <f aca="false">HYPERLINK("https://www.ncbi.nlm.nih.gov/nuccore/CP000058.1?report=graph&amp;tracks=[key:gene_model_track,Options:GeneOnly]&amp;mk=5645259:5645278|offset_7|444444,5645283:5645302|offset_31|444444,5645366:5645385|offset_114|444444,5645416:5645435|offset_164|00cc00&amp;v=5645058:5645635&amp;c=444444", "offset 164")</f>
        <v>offset 164</v>
      </c>
    </row>
    <row r="18387" customFormat="false" ht="12.8" hidden="false" customHeight="false" outlineLevel="0" collapsed="false">
      <c r="A18387" s="0" t="s">
        <v>12</v>
      </c>
      <c r="B18387" s="0" t="n">
        <v>5646128</v>
      </c>
      <c r="C18387" s="0" t="n">
        <v>5646148</v>
      </c>
      <c r="D18387" s="0" t="s">
        <v>61139</v>
      </c>
      <c r="E18387" s="0" t="s">
        <v>75</v>
      </c>
      <c r="F18387" s="0" t="s">
        <v>15</v>
      </c>
      <c r="G18387" s="0" t="s">
        <v>36</v>
      </c>
      <c r="H18387" s="0" t="n">
        <v>9</v>
      </c>
      <c r="I18387" s="0" t="s">
        <v>61140</v>
      </c>
      <c r="J18387" s="0" t="s">
        <v>61141</v>
      </c>
      <c r="K18387" s="0" t="s">
        <v>61142</v>
      </c>
      <c r="L18387" s="0" t="str">
        <f aca="false">HYPERLINK("https://www.ncbi.nlm.nih.gov/nuccore/CP000058.1?report=graph&amp;tracks=[key:gene_model_track,Options:GeneOnly]&amp;mk=5646129:5646148|offset_9|00cc00,5646155:5646174|offset_35|444444,5646175:5646194|offset_55|444444,5646221:5646240|offset_101|444444&amp;v=5645928:5646440&amp;c=444444", "offset 9")</f>
        <v>offset 9</v>
      </c>
    </row>
    <row r="18388" customFormat="false" ht="12.8" hidden="false" customHeight="false" outlineLevel="0" collapsed="false">
      <c r="A18388" s="0" t="s">
        <v>12</v>
      </c>
      <c r="B18388" s="0" t="n">
        <v>5646154</v>
      </c>
      <c r="C18388" s="0" t="n">
        <v>5646174</v>
      </c>
      <c r="D18388" s="0" t="s">
        <v>61139</v>
      </c>
      <c r="E18388" s="0" t="s">
        <v>75</v>
      </c>
      <c r="F18388" s="0" t="s">
        <v>15</v>
      </c>
      <c r="G18388" s="0" t="s">
        <v>20</v>
      </c>
      <c r="H18388" s="0" t="n">
        <v>35</v>
      </c>
      <c r="I18388" s="0" t="s">
        <v>61143</v>
      </c>
      <c r="J18388" s="0" t="s">
        <v>61144</v>
      </c>
      <c r="K18388" s="0" t="s">
        <v>61145</v>
      </c>
      <c r="L18388" s="0" t="str">
        <f aca="false">HYPERLINK("https://www.ncbi.nlm.nih.gov/nuccore/CP000058.1?report=graph&amp;tracks=[key:gene_model_track,Options:GeneOnly]&amp;mk=5646129:5646148|offset_9|444444,5646155:5646174|offset_35|00cc00,5646175:5646194|offset_55|444444,5646221:5646240|offset_101|444444&amp;v=5645928:5646440&amp;c=444444", "offset 35")</f>
        <v>offset 35</v>
      </c>
    </row>
    <row r="18389" customFormat="false" ht="12.8" hidden="false" customHeight="false" outlineLevel="0" collapsed="false">
      <c r="A18389" s="0" t="s">
        <v>12</v>
      </c>
      <c r="B18389" s="0" t="n">
        <v>5646174</v>
      </c>
      <c r="C18389" s="0" t="n">
        <v>5646194</v>
      </c>
      <c r="D18389" s="0" t="s">
        <v>61139</v>
      </c>
      <c r="E18389" s="0" t="s">
        <v>75</v>
      </c>
      <c r="F18389" s="0" t="s">
        <v>15</v>
      </c>
      <c r="G18389" s="0" t="s">
        <v>20</v>
      </c>
      <c r="H18389" s="0" t="n">
        <v>55</v>
      </c>
      <c r="I18389" s="0" t="s">
        <v>61146</v>
      </c>
      <c r="J18389" s="0" t="s">
        <v>61147</v>
      </c>
      <c r="K18389" s="0" t="s">
        <v>61148</v>
      </c>
      <c r="L18389" s="0" t="str">
        <f aca="false">HYPERLINK("https://www.ncbi.nlm.nih.gov/nuccore/CP000058.1?report=graph&amp;tracks=[key:gene_model_track,Options:GeneOnly]&amp;mk=5646129:5646148|offset_9|444444,5646155:5646174|offset_35|444444,5646175:5646194|offset_55|00cc00,5646221:5646240|offset_101|444444&amp;v=5645928:5646440&amp;c=444444", "offset 55")</f>
        <v>offset 55</v>
      </c>
    </row>
    <row r="18390" customFormat="false" ht="12.8" hidden="false" customHeight="false" outlineLevel="0" collapsed="false">
      <c r="A18390" s="0" t="s">
        <v>12</v>
      </c>
      <c r="B18390" s="0" t="n">
        <v>5646220</v>
      </c>
      <c r="C18390" s="0" t="n">
        <v>5646240</v>
      </c>
      <c r="D18390" s="0" t="s">
        <v>61139</v>
      </c>
      <c r="E18390" s="0" t="s">
        <v>75</v>
      </c>
      <c r="F18390" s="0" t="s">
        <v>15</v>
      </c>
      <c r="G18390" s="0" t="s">
        <v>20</v>
      </c>
      <c r="H18390" s="0" t="n">
        <v>101</v>
      </c>
      <c r="I18390" s="0" t="s">
        <v>61149</v>
      </c>
      <c r="J18390" s="0" t="s">
        <v>61150</v>
      </c>
      <c r="K18390" s="0" t="s">
        <v>61151</v>
      </c>
      <c r="L18390" s="0" t="str">
        <f aca="false">HYPERLINK("https://www.ncbi.nlm.nih.gov/nuccore/CP000058.1?report=graph&amp;tracks=[key:gene_model_track,Options:GeneOnly]&amp;mk=5646129:5646148|offset_9|444444,5646155:5646174|offset_35|444444,5646175:5646194|offset_55|444444,5646221:5646240|offset_101|00cc00&amp;v=5645928:5646440&amp;c=444444", "offset 101")</f>
        <v>offset 101</v>
      </c>
    </row>
    <row r="18391" customFormat="false" ht="12.8" hidden="false" customHeight="false" outlineLevel="0" collapsed="false">
      <c r="A18391" s="0" t="s">
        <v>12</v>
      </c>
      <c r="B18391" s="0" t="n">
        <v>5646883</v>
      </c>
      <c r="C18391" s="0" t="n">
        <v>5646903</v>
      </c>
      <c r="D18391" s="0" t="s">
        <v>61152</v>
      </c>
      <c r="E18391" s="0" t="s">
        <v>75</v>
      </c>
      <c r="F18391" s="0" t="s">
        <v>15</v>
      </c>
      <c r="G18391" s="0" t="s">
        <v>36</v>
      </c>
      <c r="H18391" s="0" t="n">
        <v>40</v>
      </c>
      <c r="I18391" s="0" t="s">
        <v>61153</v>
      </c>
      <c r="J18391" s="0" t="s">
        <v>61154</v>
      </c>
      <c r="K18391" s="0" t="s">
        <v>61155</v>
      </c>
      <c r="L18391" s="0" t="str">
        <f aca="false">HYPERLINK("https://www.ncbi.nlm.nih.gov/nuccore/CP000058.1?report=graph&amp;tracks=[key:gene_model_track,Options:GeneOnly]&amp;mk=5646884:5646903|offset_40|00cc00,5646932:5646951|offset_88|444444,5646979:5646998|offset_135|444444,5647007:5647026|offset_163|444444&amp;v=5646683:5647226&amp;c=444444", "offset 40")</f>
        <v>offset 40</v>
      </c>
    </row>
    <row r="18392" customFormat="false" ht="12.8" hidden="false" customHeight="false" outlineLevel="0" collapsed="false">
      <c r="A18392" s="0" t="s">
        <v>12</v>
      </c>
      <c r="B18392" s="0" t="n">
        <v>5646931</v>
      </c>
      <c r="C18392" s="0" t="n">
        <v>5646951</v>
      </c>
      <c r="D18392" s="0" t="s">
        <v>61152</v>
      </c>
      <c r="E18392" s="0" t="s">
        <v>75</v>
      </c>
      <c r="F18392" s="0" t="s">
        <v>15</v>
      </c>
      <c r="G18392" s="0" t="s">
        <v>20</v>
      </c>
      <c r="H18392" s="0" t="n">
        <v>88</v>
      </c>
      <c r="I18392" s="0" t="s">
        <v>61156</v>
      </c>
      <c r="J18392" s="0" t="s">
        <v>61157</v>
      </c>
      <c r="K18392" s="0" t="s">
        <v>61158</v>
      </c>
      <c r="L18392" s="0" t="str">
        <f aca="false">HYPERLINK("https://www.ncbi.nlm.nih.gov/nuccore/CP000058.1?report=graph&amp;tracks=[key:gene_model_track,Options:GeneOnly]&amp;mk=5646884:5646903|offset_40|444444,5646932:5646951|offset_88|00cc00,5646979:5646998|offset_135|444444,5647007:5647026|offset_163|444444&amp;v=5646683:5647226&amp;c=444444", "offset 88")</f>
        <v>offset 88</v>
      </c>
    </row>
    <row r="18393" customFormat="false" ht="12.8" hidden="false" customHeight="false" outlineLevel="0" collapsed="false">
      <c r="A18393" s="0" t="s">
        <v>12</v>
      </c>
      <c r="B18393" s="0" t="n">
        <v>5646978</v>
      </c>
      <c r="C18393" s="0" t="n">
        <v>5646998</v>
      </c>
      <c r="D18393" s="0" t="s">
        <v>61152</v>
      </c>
      <c r="E18393" s="0" t="s">
        <v>75</v>
      </c>
      <c r="F18393" s="0" t="s">
        <v>15</v>
      </c>
      <c r="G18393" s="0" t="s">
        <v>20</v>
      </c>
      <c r="H18393" s="0" t="n">
        <v>135</v>
      </c>
      <c r="I18393" s="0" t="s">
        <v>61159</v>
      </c>
      <c r="J18393" s="0" t="s">
        <v>61160</v>
      </c>
      <c r="K18393" s="0" t="s">
        <v>61161</v>
      </c>
      <c r="L18393" s="0" t="str">
        <f aca="false">HYPERLINK("https://www.ncbi.nlm.nih.gov/nuccore/CP000058.1?report=graph&amp;tracks=[key:gene_model_track,Options:GeneOnly]&amp;mk=5646884:5646903|offset_40|444444,5646932:5646951|offset_88|444444,5646979:5646998|offset_135|00cc00,5647007:5647026|offset_163|444444&amp;v=5646683:5647226&amp;c=444444", "offset 135")</f>
        <v>offset 135</v>
      </c>
    </row>
    <row r="18394" customFormat="false" ht="12.8" hidden="false" customHeight="false" outlineLevel="0" collapsed="false">
      <c r="A18394" s="0" t="s">
        <v>12</v>
      </c>
      <c r="B18394" s="0" t="n">
        <v>5647006</v>
      </c>
      <c r="C18394" s="0" t="n">
        <v>5647026</v>
      </c>
      <c r="D18394" s="0" t="s">
        <v>61152</v>
      </c>
      <c r="E18394" s="0" t="s">
        <v>75</v>
      </c>
      <c r="F18394" s="0" t="s">
        <v>15</v>
      </c>
      <c r="G18394" s="0" t="s">
        <v>36</v>
      </c>
      <c r="H18394" s="0" t="n">
        <v>163</v>
      </c>
      <c r="I18394" s="0" t="s">
        <v>61162</v>
      </c>
      <c r="J18394" s="0" t="s">
        <v>61163</v>
      </c>
      <c r="K18394" s="0" t="s">
        <v>61164</v>
      </c>
      <c r="L18394" s="0" t="str">
        <f aca="false">HYPERLINK("https://www.ncbi.nlm.nih.gov/nuccore/CP000058.1?report=graph&amp;tracks=[key:gene_model_track,Options:GeneOnly]&amp;mk=5646884:5646903|offset_40|444444,5646932:5646951|offset_88|444444,5646979:5646998|offset_135|444444,5647007:5647026|offset_163|00cc00&amp;v=5646683:5647226&amp;c=444444", "offset 163")</f>
        <v>offset 163</v>
      </c>
    </row>
    <row r="18395" customFormat="false" ht="12.8" hidden="false" customHeight="false" outlineLevel="0" collapsed="false">
      <c r="A18395" s="0" t="s">
        <v>12</v>
      </c>
      <c r="B18395" s="0" t="n">
        <v>5650381</v>
      </c>
      <c r="C18395" s="0" t="n">
        <v>5650401</v>
      </c>
      <c r="D18395" s="0" t="s">
        <v>61165</v>
      </c>
      <c r="E18395" s="0" t="s">
        <v>75</v>
      </c>
      <c r="F18395" s="0" t="s">
        <v>90</v>
      </c>
      <c r="G18395" s="0" t="s">
        <v>32</v>
      </c>
      <c r="H18395" s="0" t="n">
        <v>32</v>
      </c>
      <c r="I18395" s="0" t="s">
        <v>61166</v>
      </c>
      <c r="J18395" s="0" t="s">
        <v>61167</v>
      </c>
      <c r="K18395" s="0" t="s">
        <v>61168</v>
      </c>
      <c r="L18395" s="0" t="str">
        <f aca="false">HYPERLINK("https://www.ncbi.nlm.nih.gov/nuccore/CP000058.1?report=graph&amp;tracks=[key:gene_model_track,Options:GeneOnly]&amp;mk=5650382:5650401|offset_32|00cc00,5650349:5650368|offset_65|444444,5650304:5650323|offset_110|444444,5650284:5650303|offset_130|444444&amp;v=5650181:5650503&amp;c=444444", "offset 32")</f>
        <v>offset 32</v>
      </c>
    </row>
    <row r="18396" customFormat="false" ht="12.8" hidden="false" customHeight="false" outlineLevel="0" collapsed="false">
      <c r="A18396" s="0" t="s">
        <v>12</v>
      </c>
      <c r="B18396" s="0" t="n">
        <v>5650348</v>
      </c>
      <c r="C18396" s="0" t="n">
        <v>5650368</v>
      </c>
      <c r="D18396" s="0" t="s">
        <v>61165</v>
      </c>
      <c r="E18396" s="0" t="s">
        <v>75</v>
      </c>
      <c r="F18396" s="0" t="s">
        <v>90</v>
      </c>
      <c r="G18396" s="0" t="s">
        <v>16</v>
      </c>
      <c r="H18396" s="0" t="n">
        <v>65</v>
      </c>
      <c r="I18396" s="0" t="s">
        <v>61169</v>
      </c>
      <c r="J18396" s="0" t="s">
        <v>61170</v>
      </c>
      <c r="K18396" s="0" t="s">
        <v>61171</v>
      </c>
      <c r="L18396" s="0" t="str">
        <f aca="false">HYPERLINK("https://www.ncbi.nlm.nih.gov/nuccore/CP000058.1?report=graph&amp;tracks=[key:gene_model_track,Options:GeneOnly]&amp;mk=5650382:5650401|offset_32|444444,5650349:5650368|offset_65|00cc00,5650304:5650323|offset_110|444444,5650284:5650303|offset_130|444444&amp;v=5650181:5650503&amp;c=444444", "offset 65")</f>
        <v>offset 65</v>
      </c>
    </row>
    <row r="18397" customFormat="false" ht="12.8" hidden="false" customHeight="false" outlineLevel="0" collapsed="false">
      <c r="A18397" s="0" t="s">
        <v>12</v>
      </c>
      <c r="B18397" s="0" t="n">
        <v>5650303</v>
      </c>
      <c r="C18397" s="0" t="n">
        <v>5650323</v>
      </c>
      <c r="D18397" s="0" t="s">
        <v>61165</v>
      </c>
      <c r="E18397" s="0" t="s">
        <v>75</v>
      </c>
      <c r="F18397" s="0" t="s">
        <v>90</v>
      </c>
      <c r="G18397" s="0" t="s">
        <v>16</v>
      </c>
      <c r="H18397" s="0" t="n">
        <v>110</v>
      </c>
      <c r="I18397" s="0" t="s">
        <v>61172</v>
      </c>
      <c r="J18397" s="0" t="s">
        <v>61173</v>
      </c>
      <c r="K18397" s="0" t="s">
        <v>61174</v>
      </c>
      <c r="L18397" s="0" t="str">
        <f aca="false">HYPERLINK("https://www.ncbi.nlm.nih.gov/nuccore/CP000058.1?report=graph&amp;tracks=[key:gene_model_track,Options:GeneOnly]&amp;mk=5650382:5650401|offset_32|444444,5650349:5650368|offset_65|444444,5650304:5650323|offset_110|00cc00,5650284:5650303|offset_130|444444&amp;v=5650181:5650503&amp;c=444444", "offset 110")</f>
        <v>offset 110</v>
      </c>
    </row>
    <row r="18398" customFormat="false" ht="12.8" hidden="false" customHeight="false" outlineLevel="0" collapsed="false">
      <c r="A18398" s="0" t="s">
        <v>12</v>
      </c>
      <c r="B18398" s="0" t="n">
        <v>5650283</v>
      </c>
      <c r="C18398" s="0" t="n">
        <v>5650303</v>
      </c>
      <c r="D18398" s="0" t="s">
        <v>61165</v>
      </c>
      <c r="E18398" s="0" t="s">
        <v>75</v>
      </c>
      <c r="F18398" s="0" t="s">
        <v>90</v>
      </c>
      <c r="G18398" s="0" t="s">
        <v>32</v>
      </c>
      <c r="H18398" s="0" t="n">
        <v>130</v>
      </c>
      <c r="I18398" s="0" t="s">
        <v>61175</v>
      </c>
      <c r="J18398" s="0" t="s">
        <v>61176</v>
      </c>
      <c r="K18398" s="0" t="s">
        <v>61177</v>
      </c>
      <c r="L18398" s="0" t="str">
        <f aca="false">HYPERLINK("https://www.ncbi.nlm.nih.gov/nuccore/CP000058.1?report=graph&amp;tracks=[key:gene_model_track,Options:GeneOnly]&amp;mk=5650382:5650401|offset_32|444444,5650349:5650368|offset_65|444444,5650304:5650323|offset_110|444444,5650284:5650303|offset_130|00cc00&amp;v=5650181:5650503&amp;c=444444", "offset 130")</f>
        <v>offset 130</v>
      </c>
    </row>
    <row r="18399" customFormat="false" ht="12.8" hidden="false" customHeight="false" outlineLevel="0" collapsed="false">
      <c r="A18399" s="0" t="s">
        <v>12</v>
      </c>
      <c r="B18399" s="0" t="n">
        <v>5650876</v>
      </c>
      <c r="C18399" s="0" t="n">
        <v>5650896</v>
      </c>
      <c r="D18399" s="0" t="s">
        <v>61178</v>
      </c>
      <c r="E18399" s="0" t="s">
        <v>75</v>
      </c>
      <c r="F18399" s="0" t="s">
        <v>15</v>
      </c>
      <c r="G18399" s="0" t="s">
        <v>36</v>
      </c>
      <c r="H18399" s="0" t="n">
        <v>61</v>
      </c>
      <c r="I18399" s="0" t="s">
        <v>61179</v>
      </c>
      <c r="J18399" s="0" t="s">
        <v>61180</v>
      </c>
      <c r="K18399" s="0" t="s">
        <v>61181</v>
      </c>
      <c r="L18399" s="0" t="str">
        <f aca="false">HYPERLINK("https://www.ncbi.nlm.nih.gov/nuccore/CP000058.1?report=graph&amp;tracks=[key:gene_model_track,Options:GeneOnly]&amp;mk=5650877:5650896|offset_61|00cc00,5650904:5650923|offset_88|444444,5650940:5650959|offset_124|444444,5651082:5651101|offset_266|444444&amp;v=5650676:5651301&amp;c=444444", "offset 61")</f>
        <v>offset 61</v>
      </c>
    </row>
    <row r="18400" customFormat="false" ht="12.8" hidden="false" customHeight="false" outlineLevel="0" collapsed="false">
      <c r="A18400" s="0" t="s">
        <v>12</v>
      </c>
      <c r="B18400" s="0" t="n">
        <v>5650903</v>
      </c>
      <c r="C18400" s="0" t="n">
        <v>5650923</v>
      </c>
      <c r="D18400" s="0" t="s">
        <v>61178</v>
      </c>
      <c r="E18400" s="0" t="s">
        <v>75</v>
      </c>
      <c r="F18400" s="0" t="s">
        <v>15</v>
      </c>
      <c r="G18400" s="0" t="s">
        <v>20</v>
      </c>
      <c r="H18400" s="0" t="n">
        <v>88</v>
      </c>
      <c r="I18400" s="0" t="s">
        <v>61182</v>
      </c>
      <c r="J18400" s="0" t="s">
        <v>61183</v>
      </c>
      <c r="K18400" s="0" t="s">
        <v>61184</v>
      </c>
      <c r="L18400" s="0" t="str">
        <f aca="false">HYPERLINK("https://www.ncbi.nlm.nih.gov/nuccore/CP000058.1?report=graph&amp;tracks=[key:gene_model_track,Options:GeneOnly]&amp;mk=5650877:5650896|offset_61|444444,5650904:5650923|offset_88|00cc00,5650940:5650959|offset_124|444444,5651082:5651101|offset_266|444444&amp;v=5650676:5651301&amp;c=444444", "offset 88")</f>
        <v>offset 88</v>
      </c>
    </row>
    <row r="18401" customFormat="false" ht="12.8" hidden="false" customHeight="false" outlineLevel="0" collapsed="false">
      <c r="A18401" s="0" t="s">
        <v>12</v>
      </c>
      <c r="B18401" s="0" t="n">
        <v>5650939</v>
      </c>
      <c r="C18401" s="0" t="n">
        <v>5650959</v>
      </c>
      <c r="D18401" s="0" t="s">
        <v>61178</v>
      </c>
      <c r="E18401" s="0" t="s">
        <v>75</v>
      </c>
      <c r="F18401" s="0" t="s">
        <v>15</v>
      </c>
      <c r="G18401" s="0" t="s">
        <v>16</v>
      </c>
      <c r="H18401" s="0" t="n">
        <v>124</v>
      </c>
      <c r="I18401" s="0" t="s">
        <v>61185</v>
      </c>
      <c r="J18401" s="0" t="s">
        <v>61186</v>
      </c>
      <c r="K18401" s="0" t="s">
        <v>61187</v>
      </c>
      <c r="L18401" s="0" t="str">
        <f aca="false">HYPERLINK("https://www.ncbi.nlm.nih.gov/nuccore/CP000058.1?report=graph&amp;tracks=[key:gene_model_track,Options:GeneOnly]&amp;mk=5650877:5650896|offset_61|444444,5650904:5650923|offset_88|444444,5650940:5650959|offset_124|00cc00,5651082:5651101|offset_266|444444&amp;v=5650676:5651301&amp;c=444444", "offset 124")</f>
        <v>offset 124</v>
      </c>
    </row>
    <row r="18402" customFormat="false" ht="12.8" hidden="false" customHeight="false" outlineLevel="0" collapsed="false">
      <c r="A18402" s="0" t="s">
        <v>12</v>
      </c>
      <c r="B18402" s="0" t="n">
        <v>5651081</v>
      </c>
      <c r="C18402" s="0" t="n">
        <v>5651101</v>
      </c>
      <c r="D18402" s="0" t="s">
        <v>61178</v>
      </c>
      <c r="E18402" s="0" t="s">
        <v>75</v>
      </c>
      <c r="F18402" s="0" t="s">
        <v>15</v>
      </c>
      <c r="G18402" s="0" t="s">
        <v>32</v>
      </c>
      <c r="H18402" s="0" t="n">
        <v>266</v>
      </c>
      <c r="I18402" s="0" t="s">
        <v>61188</v>
      </c>
      <c r="J18402" s="0" t="s">
        <v>61189</v>
      </c>
      <c r="K18402" s="0" t="s">
        <v>61190</v>
      </c>
      <c r="L18402" s="0" t="str">
        <f aca="false">HYPERLINK("https://www.ncbi.nlm.nih.gov/nuccore/CP000058.1?report=graph&amp;tracks=[key:gene_model_track,Options:GeneOnly]&amp;mk=5650877:5650896|offset_61|444444,5650904:5650923|offset_88|444444,5650940:5650959|offset_124|444444,5651082:5651101|offset_266|00cc00&amp;v=5650676:5651301&amp;c=444444", "offset 266")</f>
        <v>offset 266</v>
      </c>
    </row>
    <row r="18403" customFormat="false" ht="12.8" hidden="false" customHeight="false" outlineLevel="0" collapsed="false">
      <c r="A18403" s="0" t="s">
        <v>12</v>
      </c>
      <c r="B18403" s="0" t="n">
        <v>5652261</v>
      </c>
      <c r="C18403" s="0" t="n">
        <v>5652281</v>
      </c>
      <c r="D18403" s="0" t="s">
        <v>61191</v>
      </c>
      <c r="E18403" s="0" t="s">
        <v>75</v>
      </c>
      <c r="F18403" s="0" t="s">
        <v>90</v>
      </c>
      <c r="G18403" s="0" t="s">
        <v>16</v>
      </c>
      <c r="H18403" s="0" t="n">
        <v>21</v>
      </c>
      <c r="I18403" s="0" t="s">
        <v>61192</v>
      </c>
      <c r="J18403" s="0" t="s">
        <v>61193</v>
      </c>
      <c r="K18403" s="0" t="s">
        <v>61194</v>
      </c>
      <c r="L18403" s="0" t="str">
        <f aca="false">HYPERLINK("https://www.ncbi.nlm.nih.gov/nuccore/CP000058.1?report=graph&amp;tracks=[key:gene_model_track,Options:GeneOnly]&amp;mk=5652262:5652281|offset_21|00cc00,5652202:5652221|offset_81|444444,5652170:5652189|offset_113|444444,5652114:5652133|offset_169|444444&amp;v=5652061:5652333&amp;c=444444", "offset 21")</f>
        <v>offset 21</v>
      </c>
    </row>
    <row r="18404" customFormat="false" ht="12.8" hidden="false" customHeight="false" outlineLevel="0" collapsed="false">
      <c r="A18404" s="0" t="s">
        <v>12</v>
      </c>
      <c r="B18404" s="0" t="n">
        <v>5652201</v>
      </c>
      <c r="C18404" s="0" t="n">
        <v>5652221</v>
      </c>
      <c r="D18404" s="0" t="s">
        <v>61191</v>
      </c>
      <c r="E18404" s="0" t="s">
        <v>75</v>
      </c>
      <c r="F18404" s="0" t="s">
        <v>90</v>
      </c>
      <c r="G18404" s="0" t="s">
        <v>32</v>
      </c>
      <c r="H18404" s="0" t="n">
        <v>81</v>
      </c>
      <c r="I18404" s="0" t="s">
        <v>61195</v>
      </c>
      <c r="J18404" s="0" t="s">
        <v>61196</v>
      </c>
      <c r="K18404" s="0" t="s">
        <v>61197</v>
      </c>
      <c r="L18404" s="0" t="str">
        <f aca="false">HYPERLINK("https://www.ncbi.nlm.nih.gov/nuccore/CP000058.1?report=graph&amp;tracks=[key:gene_model_track,Options:GeneOnly]&amp;mk=5652262:5652281|offset_21|444444,5652202:5652221|offset_81|00cc00,5652170:5652189|offset_113|444444,5652114:5652133|offset_169|444444&amp;v=5652061:5652333&amp;c=444444", "offset 81")</f>
        <v>offset 81</v>
      </c>
    </row>
    <row r="18405" customFormat="false" ht="12.8" hidden="false" customHeight="false" outlineLevel="0" collapsed="false">
      <c r="A18405" s="0" t="s">
        <v>12</v>
      </c>
      <c r="B18405" s="0" t="n">
        <v>5652169</v>
      </c>
      <c r="C18405" s="0" t="n">
        <v>5652189</v>
      </c>
      <c r="D18405" s="0" t="s">
        <v>61191</v>
      </c>
      <c r="E18405" s="0" t="s">
        <v>75</v>
      </c>
      <c r="F18405" s="0" t="s">
        <v>90</v>
      </c>
      <c r="G18405" s="0" t="s">
        <v>32</v>
      </c>
      <c r="H18405" s="0" t="n">
        <v>113</v>
      </c>
      <c r="I18405" s="0" t="s">
        <v>61198</v>
      </c>
      <c r="J18405" s="0" t="s">
        <v>61199</v>
      </c>
      <c r="K18405" s="0" t="s">
        <v>61200</v>
      </c>
      <c r="L18405" s="0" t="str">
        <f aca="false">HYPERLINK("https://www.ncbi.nlm.nih.gov/nuccore/CP000058.1?report=graph&amp;tracks=[key:gene_model_track,Options:GeneOnly]&amp;mk=5652262:5652281|offset_21|444444,5652202:5652221|offset_81|444444,5652170:5652189|offset_113|00cc00,5652114:5652133|offset_169|444444&amp;v=5652061:5652333&amp;c=444444", "offset 113")</f>
        <v>offset 113</v>
      </c>
    </row>
    <row r="18406" customFormat="false" ht="12.8" hidden="false" customHeight="false" outlineLevel="0" collapsed="false">
      <c r="A18406" s="0" t="s">
        <v>12</v>
      </c>
      <c r="B18406" s="0" t="n">
        <v>5652113</v>
      </c>
      <c r="C18406" s="0" t="n">
        <v>5652133</v>
      </c>
      <c r="D18406" s="0" t="s">
        <v>61191</v>
      </c>
      <c r="E18406" s="0" t="s">
        <v>75</v>
      </c>
      <c r="F18406" s="0" t="s">
        <v>90</v>
      </c>
      <c r="G18406" s="0" t="s">
        <v>16</v>
      </c>
      <c r="H18406" s="0" t="n">
        <v>169</v>
      </c>
      <c r="I18406" s="0" t="s">
        <v>61201</v>
      </c>
      <c r="J18406" s="0" t="s">
        <v>61202</v>
      </c>
      <c r="K18406" s="0" t="s">
        <v>61203</v>
      </c>
      <c r="L18406" s="0" t="str">
        <f aca="false">HYPERLINK("https://www.ncbi.nlm.nih.gov/nuccore/CP000058.1?report=graph&amp;tracks=[key:gene_model_track,Options:GeneOnly]&amp;mk=5652262:5652281|offset_21|444444,5652202:5652221|offset_81|444444,5652170:5652189|offset_113|444444,5652114:5652133|offset_169|00cc00&amp;v=5652061:5652333&amp;c=444444", "offset 169")</f>
        <v>offset 169</v>
      </c>
    </row>
    <row r="18407" customFormat="false" ht="12.8" hidden="false" customHeight="false" outlineLevel="0" collapsed="false">
      <c r="A18407" s="0" t="s">
        <v>12</v>
      </c>
      <c r="B18407" s="0" t="n">
        <v>5653027</v>
      </c>
      <c r="C18407" s="0" t="n">
        <v>5653047</v>
      </c>
      <c r="D18407" s="0" t="s">
        <v>61204</v>
      </c>
      <c r="E18407" s="0" t="s">
        <v>75</v>
      </c>
      <c r="F18407" s="0" t="s">
        <v>90</v>
      </c>
      <c r="G18407" s="0" t="s">
        <v>36</v>
      </c>
      <c r="H18407" s="0" t="n">
        <v>143</v>
      </c>
      <c r="I18407" s="0" t="s">
        <v>61205</v>
      </c>
      <c r="J18407" s="0" t="s">
        <v>61206</v>
      </c>
      <c r="K18407" s="0" t="s">
        <v>61207</v>
      </c>
      <c r="L18407" s="0" t="str">
        <f aca="false">HYPERLINK("https://www.ncbi.nlm.nih.gov/nuccore/CP000058.1?report=graph&amp;tracks=[key:gene_model_track,Options:GeneOnly]&amp;mk=5653028:5653047|offset_143|00cc00,5652995:5653014|offset_176|444444,5652887:5652906|offset_284|444444,5652866:5652885|offset_305|444444&amp;v=5652827:5653085&amp;c=444444", "offset 143")</f>
        <v>offset 143</v>
      </c>
    </row>
    <row r="18408" customFormat="false" ht="12.8" hidden="false" customHeight="false" outlineLevel="0" collapsed="false">
      <c r="A18408" s="0" t="s">
        <v>12</v>
      </c>
      <c r="B18408" s="0" t="n">
        <v>5652994</v>
      </c>
      <c r="C18408" s="0" t="n">
        <v>5653014</v>
      </c>
      <c r="D18408" s="0" t="s">
        <v>61204</v>
      </c>
      <c r="E18408" s="0" t="s">
        <v>75</v>
      </c>
      <c r="F18408" s="0" t="s">
        <v>90</v>
      </c>
      <c r="G18408" s="0" t="s">
        <v>20</v>
      </c>
      <c r="H18408" s="0" t="n">
        <v>176</v>
      </c>
      <c r="I18408" s="0" t="s">
        <v>61208</v>
      </c>
      <c r="J18408" s="0" t="s">
        <v>61209</v>
      </c>
      <c r="K18408" s="0" t="s">
        <v>61210</v>
      </c>
      <c r="L18408" s="0" t="str">
        <f aca="false">HYPERLINK("https://www.ncbi.nlm.nih.gov/nuccore/CP000058.1?report=graph&amp;tracks=[key:gene_model_track,Options:GeneOnly]&amp;mk=5653028:5653047|offset_143|444444,5652995:5653014|offset_176|00cc00,5652887:5652906|offset_284|444444,5652866:5652885|offset_305|444444&amp;v=5652827:5653085&amp;c=444444", "offset 176")</f>
        <v>offset 176</v>
      </c>
    </row>
    <row r="18409" customFormat="false" ht="12.8" hidden="false" customHeight="false" outlineLevel="0" collapsed="false">
      <c r="A18409" s="0" t="s">
        <v>12</v>
      </c>
      <c r="B18409" s="0" t="n">
        <v>5652886</v>
      </c>
      <c r="C18409" s="0" t="n">
        <v>5652906</v>
      </c>
      <c r="D18409" s="0" t="s">
        <v>61204</v>
      </c>
      <c r="E18409" s="0" t="s">
        <v>75</v>
      </c>
      <c r="F18409" s="0" t="s">
        <v>90</v>
      </c>
      <c r="G18409" s="0" t="s">
        <v>36</v>
      </c>
      <c r="H18409" s="0" t="n">
        <v>284</v>
      </c>
      <c r="I18409" s="0" t="s">
        <v>61211</v>
      </c>
      <c r="J18409" s="0" t="s">
        <v>61212</v>
      </c>
      <c r="K18409" s="0" t="s">
        <v>61213</v>
      </c>
      <c r="L18409" s="0" t="str">
        <f aca="false">HYPERLINK("https://www.ncbi.nlm.nih.gov/nuccore/CP000058.1?report=graph&amp;tracks=[key:gene_model_track,Options:GeneOnly]&amp;mk=5653028:5653047|offset_143|444444,5652995:5653014|offset_176|444444,5652887:5652906|offset_284|00cc00,5652866:5652885|offset_305|444444&amp;v=5652827:5653085&amp;c=444444", "offset 284")</f>
        <v>offset 284</v>
      </c>
    </row>
    <row r="18410" customFormat="false" ht="12.8" hidden="false" customHeight="false" outlineLevel="0" collapsed="false">
      <c r="A18410" s="0" t="s">
        <v>12</v>
      </c>
      <c r="B18410" s="0" t="n">
        <v>5652865</v>
      </c>
      <c r="C18410" s="0" t="n">
        <v>5652885</v>
      </c>
      <c r="D18410" s="0" t="s">
        <v>61204</v>
      </c>
      <c r="E18410" s="0" t="s">
        <v>75</v>
      </c>
      <c r="F18410" s="0" t="s">
        <v>90</v>
      </c>
      <c r="G18410" s="0" t="s">
        <v>32</v>
      </c>
      <c r="H18410" s="0" t="n">
        <v>305</v>
      </c>
      <c r="I18410" s="0" t="s">
        <v>61214</v>
      </c>
      <c r="J18410" s="0" t="s">
        <v>61215</v>
      </c>
      <c r="K18410" s="0" t="s">
        <v>61216</v>
      </c>
      <c r="L18410" s="0" t="str">
        <f aca="false">HYPERLINK("https://www.ncbi.nlm.nih.gov/nuccore/CP000058.1?report=graph&amp;tracks=[key:gene_model_track,Options:GeneOnly]&amp;mk=5653028:5653047|offset_143|444444,5652995:5653014|offset_176|444444,5652887:5652906|offset_284|444444,5652866:5652885|offset_305|00cc00&amp;v=5652827:5653085&amp;c=444444", "offset 305")</f>
        <v>offset 305</v>
      </c>
    </row>
    <row r="18411" customFormat="false" ht="12.8" hidden="false" customHeight="false" outlineLevel="0" collapsed="false">
      <c r="A18411" s="0" t="s">
        <v>12</v>
      </c>
      <c r="B18411" s="0" t="n">
        <v>5654620</v>
      </c>
      <c r="C18411" s="0" t="n">
        <v>5654640</v>
      </c>
      <c r="D18411" s="0" t="s">
        <v>61217</v>
      </c>
      <c r="E18411" s="0" t="s">
        <v>75</v>
      </c>
      <c r="F18411" s="0" t="s">
        <v>90</v>
      </c>
      <c r="G18411" s="0" t="s">
        <v>20</v>
      </c>
      <c r="H18411" s="0" t="n">
        <v>55</v>
      </c>
      <c r="I18411" s="0" t="s">
        <v>61218</v>
      </c>
      <c r="J18411" s="0" t="s">
        <v>61219</v>
      </c>
      <c r="K18411" s="0" t="s">
        <v>61220</v>
      </c>
      <c r="L18411" s="0" t="str">
        <f aca="false">HYPERLINK("https://www.ncbi.nlm.nih.gov/nuccore/CP000058.1?report=graph&amp;tracks=[key:gene_model_track,Options:GeneOnly]&amp;mk=5654621:5654640|offset_55|00cc00,5654597:5654616|offset_79|444444,5654572:5654591|offset_104|444444,5654546:5654565|offset_130|444444&amp;v=5654420:5654765&amp;c=444444", "offset 55")</f>
        <v>offset 55</v>
      </c>
    </row>
    <row r="18412" customFormat="false" ht="12.8" hidden="false" customHeight="false" outlineLevel="0" collapsed="false">
      <c r="A18412" s="0" t="s">
        <v>12</v>
      </c>
      <c r="B18412" s="0" t="n">
        <v>5654596</v>
      </c>
      <c r="C18412" s="0" t="n">
        <v>5654616</v>
      </c>
      <c r="D18412" s="0" t="s">
        <v>61217</v>
      </c>
      <c r="E18412" s="0" t="s">
        <v>75</v>
      </c>
      <c r="F18412" s="0" t="s">
        <v>90</v>
      </c>
      <c r="G18412" s="0" t="s">
        <v>32</v>
      </c>
      <c r="H18412" s="0" t="n">
        <v>79</v>
      </c>
      <c r="I18412" s="0" t="s">
        <v>61221</v>
      </c>
      <c r="J18412" s="0" t="s">
        <v>61222</v>
      </c>
      <c r="K18412" s="0" t="s">
        <v>61223</v>
      </c>
      <c r="L18412" s="0" t="str">
        <f aca="false">HYPERLINK("https://www.ncbi.nlm.nih.gov/nuccore/CP000058.1?report=graph&amp;tracks=[key:gene_model_track,Options:GeneOnly]&amp;mk=5654621:5654640|offset_55|444444,5654597:5654616|offset_79|00cc00,5654572:5654591|offset_104|444444,5654546:5654565|offset_130|444444&amp;v=5654420:5654765&amp;c=444444", "offset 79")</f>
        <v>offset 79</v>
      </c>
    </row>
    <row r="18413" customFormat="false" ht="12.8" hidden="false" customHeight="false" outlineLevel="0" collapsed="false">
      <c r="A18413" s="0" t="s">
        <v>12</v>
      </c>
      <c r="B18413" s="0" t="n">
        <v>5654571</v>
      </c>
      <c r="C18413" s="0" t="n">
        <v>5654591</v>
      </c>
      <c r="D18413" s="0" t="s">
        <v>61217</v>
      </c>
      <c r="E18413" s="0" t="s">
        <v>75</v>
      </c>
      <c r="F18413" s="0" t="s">
        <v>90</v>
      </c>
      <c r="G18413" s="0" t="s">
        <v>20</v>
      </c>
      <c r="H18413" s="0" t="n">
        <v>104</v>
      </c>
      <c r="I18413" s="0" t="s">
        <v>61224</v>
      </c>
      <c r="J18413" s="0" t="s">
        <v>61225</v>
      </c>
      <c r="K18413" s="0" t="s">
        <v>61226</v>
      </c>
      <c r="L18413" s="0" t="str">
        <f aca="false">HYPERLINK("https://www.ncbi.nlm.nih.gov/nuccore/CP000058.1?report=graph&amp;tracks=[key:gene_model_track,Options:GeneOnly]&amp;mk=5654621:5654640|offset_55|444444,5654597:5654616|offset_79|444444,5654572:5654591|offset_104|00cc00,5654546:5654565|offset_130|444444&amp;v=5654420:5654765&amp;c=444444", "offset 104")</f>
        <v>offset 104</v>
      </c>
    </row>
    <row r="18414" customFormat="false" ht="12.8" hidden="false" customHeight="false" outlineLevel="0" collapsed="false">
      <c r="A18414" s="0" t="s">
        <v>12</v>
      </c>
      <c r="B18414" s="0" t="n">
        <v>5654545</v>
      </c>
      <c r="C18414" s="0" t="n">
        <v>5654565</v>
      </c>
      <c r="D18414" s="0" t="s">
        <v>61217</v>
      </c>
      <c r="E18414" s="0" t="s">
        <v>75</v>
      </c>
      <c r="F18414" s="0" t="s">
        <v>90</v>
      </c>
      <c r="G18414" s="0" t="s">
        <v>20</v>
      </c>
      <c r="H18414" s="0" t="n">
        <v>130</v>
      </c>
      <c r="I18414" s="0" t="s">
        <v>61227</v>
      </c>
      <c r="J18414" s="0" t="s">
        <v>61228</v>
      </c>
      <c r="K18414" s="0" t="s">
        <v>61229</v>
      </c>
      <c r="L18414" s="0" t="str">
        <f aca="false">HYPERLINK("https://www.ncbi.nlm.nih.gov/nuccore/CP000058.1?report=graph&amp;tracks=[key:gene_model_track,Options:GeneOnly]&amp;mk=5654621:5654640|offset_55|444444,5654597:5654616|offset_79|444444,5654572:5654591|offset_104|444444,5654546:5654565|offset_130|00cc00&amp;v=5654420:5654765&amp;c=444444", "offset 130")</f>
        <v>offset 130</v>
      </c>
    </row>
    <row r="18415" customFormat="false" ht="12.8" hidden="false" customHeight="false" outlineLevel="0" collapsed="false">
      <c r="A18415" s="0" t="s">
        <v>12</v>
      </c>
      <c r="B18415" s="0" t="n">
        <v>5655343</v>
      </c>
      <c r="C18415" s="0" t="n">
        <v>5655363</v>
      </c>
      <c r="D18415" s="0" t="s">
        <v>61230</v>
      </c>
      <c r="E18415" s="0" t="s">
        <v>75</v>
      </c>
      <c r="F18415" s="0" t="s">
        <v>15</v>
      </c>
      <c r="G18415" s="0" t="s">
        <v>36</v>
      </c>
      <c r="H18415" s="0" t="n">
        <v>335</v>
      </c>
      <c r="I18415" s="0" t="s">
        <v>61231</v>
      </c>
      <c r="J18415" s="0" t="s">
        <v>61232</v>
      </c>
      <c r="K18415" s="0" t="s">
        <v>61233</v>
      </c>
      <c r="L18415" s="0" t="str">
        <f aca="false">HYPERLINK("https://www.ncbi.nlm.nih.gov/nuccore/CP000058.1?report=graph&amp;tracks=[key:gene_model_track,Options:GeneOnly]&amp;mk=5655344:5655363|offset_335|00cc00,5655563:5655582|offset_554|444444,5655605:5655624|offset_596|444444,5655721:5655740|offset_712|444444&amp;v=5655143:5655940&amp;c=444444", "offset 335")</f>
        <v>offset 335</v>
      </c>
    </row>
    <row r="18416" customFormat="false" ht="12.8" hidden="false" customHeight="false" outlineLevel="0" collapsed="false">
      <c r="A18416" s="0" t="s">
        <v>12</v>
      </c>
      <c r="B18416" s="0" t="n">
        <v>5655562</v>
      </c>
      <c r="C18416" s="0" t="n">
        <v>5655582</v>
      </c>
      <c r="D18416" s="0" t="s">
        <v>61230</v>
      </c>
      <c r="E18416" s="0" t="s">
        <v>75</v>
      </c>
      <c r="F18416" s="0" t="s">
        <v>15</v>
      </c>
      <c r="G18416" s="0" t="s">
        <v>16</v>
      </c>
      <c r="H18416" s="0" t="n">
        <v>554</v>
      </c>
      <c r="I18416" s="0" t="s">
        <v>61234</v>
      </c>
      <c r="J18416" s="0" t="s">
        <v>61235</v>
      </c>
      <c r="K18416" s="0" t="s">
        <v>61236</v>
      </c>
      <c r="L18416" s="0" t="str">
        <f aca="false">HYPERLINK("https://www.ncbi.nlm.nih.gov/nuccore/CP000058.1?report=graph&amp;tracks=[key:gene_model_track,Options:GeneOnly]&amp;mk=5655344:5655363|offset_335|444444,5655563:5655582|offset_554|00cc00,5655605:5655624|offset_596|444444,5655721:5655740|offset_712|444444&amp;v=5655143:5655940&amp;c=444444", "offset 554")</f>
        <v>offset 554</v>
      </c>
    </row>
    <row r="18417" customFormat="false" ht="12.8" hidden="false" customHeight="false" outlineLevel="0" collapsed="false">
      <c r="A18417" s="0" t="s">
        <v>12</v>
      </c>
      <c r="B18417" s="0" t="n">
        <v>5655604</v>
      </c>
      <c r="C18417" s="0" t="n">
        <v>5655624</v>
      </c>
      <c r="D18417" s="0" t="s">
        <v>61230</v>
      </c>
      <c r="E18417" s="0" t="s">
        <v>75</v>
      </c>
      <c r="F18417" s="0" t="s">
        <v>15</v>
      </c>
      <c r="G18417" s="0" t="s">
        <v>16</v>
      </c>
      <c r="H18417" s="0" t="n">
        <v>596</v>
      </c>
      <c r="I18417" s="0" t="s">
        <v>61237</v>
      </c>
      <c r="J18417" s="0" t="s">
        <v>61238</v>
      </c>
      <c r="K18417" s="0" t="s">
        <v>61239</v>
      </c>
      <c r="L18417" s="0" t="str">
        <f aca="false">HYPERLINK("https://www.ncbi.nlm.nih.gov/nuccore/CP000058.1?report=graph&amp;tracks=[key:gene_model_track,Options:GeneOnly]&amp;mk=5655344:5655363|offset_335|444444,5655563:5655582|offset_554|444444,5655605:5655624|offset_596|00cc00,5655721:5655740|offset_712|444444&amp;v=5655143:5655940&amp;c=444444", "offset 596")</f>
        <v>offset 596</v>
      </c>
    </row>
    <row r="18418" customFormat="false" ht="12.8" hidden="false" customHeight="false" outlineLevel="0" collapsed="false">
      <c r="A18418" s="0" t="s">
        <v>12</v>
      </c>
      <c r="B18418" s="0" t="n">
        <v>5655720</v>
      </c>
      <c r="C18418" s="0" t="n">
        <v>5655740</v>
      </c>
      <c r="D18418" s="0" t="s">
        <v>61230</v>
      </c>
      <c r="E18418" s="0" t="s">
        <v>75</v>
      </c>
      <c r="F18418" s="0" t="s">
        <v>15</v>
      </c>
      <c r="G18418" s="0" t="s">
        <v>36</v>
      </c>
      <c r="H18418" s="0" t="n">
        <v>712</v>
      </c>
      <c r="I18418" s="0" t="s">
        <v>61240</v>
      </c>
      <c r="J18418" s="0" t="s">
        <v>61241</v>
      </c>
      <c r="K18418" s="0" t="s">
        <v>61242</v>
      </c>
      <c r="L18418" s="0" t="str">
        <f aca="false">HYPERLINK("https://www.ncbi.nlm.nih.gov/nuccore/CP000058.1?report=graph&amp;tracks=[key:gene_model_track,Options:GeneOnly]&amp;mk=5655344:5655363|offset_335|444444,5655563:5655582|offset_554|444444,5655605:5655624|offset_596|444444,5655721:5655740|offset_712|00cc00&amp;v=5655143:5655940&amp;c=444444", "offset 712")</f>
        <v>offset 712</v>
      </c>
    </row>
    <row r="18419" customFormat="false" ht="12.8" hidden="false" customHeight="false" outlineLevel="0" collapsed="false">
      <c r="A18419" s="0" t="s">
        <v>12</v>
      </c>
      <c r="B18419" s="0" t="n">
        <v>5656952</v>
      </c>
      <c r="C18419" s="0" t="n">
        <v>5656972</v>
      </c>
      <c r="D18419" s="0" t="s">
        <v>61243</v>
      </c>
      <c r="E18419" s="0" t="s">
        <v>75</v>
      </c>
      <c r="F18419" s="0" t="s">
        <v>15</v>
      </c>
      <c r="G18419" s="0" t="s">
        <v>20</v>
      </c>
      <c r="H18419" s="0" t="n">
        <v>7</v>
      </c>
      <c r="I18419" s="0" t="s">
        <v>61244</v>
      </c>
      <c r="J18419" s="0" t="s">
        <v>61245</v>
      </c>
      <c r="K18419" s="0" t="s">
        <v>61246</v>
      </c>
      <c r="L18419" s="0" t="str">
        <f aca="false">HYPERLINK("https://www.ncbi.nlm.nih.gov/nuccore/CP000058.1?report=graph&amp;tracks=[key:gene_model_track,Options:GeneOnly]&amp;mk=5656953:5656972|offset_7|00cc00,5656985:5657004|offset_39|444444,5657041:5657060|offset_95|444444,5657061:5657080|offset_115|444444&amp;v=5656752:5657280&amp;c=444444", "offset 7")</f>
        <v>offset 7</v>
      </c>
    </row>
    <row r="18420" customFormat="false" ht="12.8" hidden="false" customHeight="false" outlineLevel="0" collapsed="false">
      <c r="A18420" s="0" t="s">
        <v>12</v>
      </c>
      <c r="B18420" s="0" t="n">
        <v>5656984</v>
      </c>
      <c r="C18420" s="0" t="n">
        <v>5657004</v>
      </c>
      <c r="D18420" s="0" t="s">
        <v>61243</v>
      </c>
      <c r="E18420" s="0" t="s">
        <v>75</v>
      </c>
      <c r="F18420" s="0" t="s">
        <v>15</v>
      </c>
      <c r="G18420" s="0" t="s">
        <v>32</v>
      </c>
      <c r="H18420" s="0" t="n">
        <v>39</v>
      </c>
      <c r="I18420" s="0" t="s">
        <v>61247</v>
      </c>
      <c r="J18420" s="0" t="s">
        <v>61248</v>
      </c>
      <c r="K18420" s="0" t="s">
        <v>61249</v>
      </c>
      <c r="L18420" s="0" t="str">
        <f aca="false">HYPERLINK("https://www.ncbi.nlm.nih.gov/nuccore/CP000058.1?report=graph&amp;tracks=[key:gene_model_track,Options:GeneOnly]&amp;mk=5656953:5656972|offset_7|444444,5656985:5657004|offset_39|00cc00,5657041:5657060|offset_95|444444,5657061:5657080|offset_115|444444&amp;v=5656752:5657280&amp;c=444444", "offset 39")</f>
        <v>offset 39</v>
      </c>
    </row>
    <row r="18421" customFormat="false" ht="12.8" hidden="false" customHeight="false" outlineLevel="0" collapsed="false">
      <c r="A18421" s="0" t="s">
        <v>12</v>
      </c>
      <c r="B18421" s="0" t="n">
        <v>5657040</v>
      </c>
      <c r="C18421" s="0" t="n">
        <v>5657060</v>
      </c>
      <c r="D18421" s="0" t="s">
        <v>61243</v>
      </c>
      <c r="E18421" s="0" t="s">
        <v>75</v>
      </c>
      <c r="F18421" s="0" t="s">
        <v>15</v>
      </c>
      <c r="G18421" s="0" t="s">
        <v>20</v>
      </c>
      <c r="H18421" s="0" t="n">
        <v>95</v>
      </c>
      <c r="I18421" s="0" t="s">
        <v>61250</v>
      </c>
      <c r="J18421" s="0" t="s">
        <v>61251</v>
      </c>
      <c r="K18421" s="0" t="s">
        <v>61252</v>
      </c>
      <c r="L18421" s="0" t="str">
        <f aca="false">HYPERLINK("https://www.ncbi.nlm.nih.gov/nuccore/CP000058.1?report=graph&amp;tracks=[key:gene_model_track,Options:GeneOnly]&amp;mk=5656953:5656972|offset_7|444444,5656985:5657004|offset_39|444444,5657041:5657060|offset_95|00cc00,5657061:5657080|offset_115|444444&amp;v=5656752:5657280&amp;c=444444", "offset 95")</f>
        <v>offset 95</v>
      </c>
    </row>
    <row r="18422" customFormat="false" ht="12.8" hidden="false" customHeight="false" outlineLevel="0" collapsed="false">
      <c r="A18422" s="0" t="s">
        <v>12</v>
      </c>
      <c r="B18422" s="0" t="n">
        <v>5657060</v>
      </c>
      <c r="C18422" s="0" t="n">
        <v>5657080</v>
      </c>
      <c r="D18422" s="0" t="s">
        <v>61243</v>
      </c>
      <c r="E18422" s="0" t="s">
        <v>75</v>
      </c>
      <c r="F18422" s="0" t="s">
        <v>15</v>
      </c>
      <c r="G18422" s="0" t="s">
        <v>20</v>
      </c>
      <c r="H18422" s="0" t="n">
        <v>115</v>
      </c>
      <c r="I18422" s="0" t="s">
        <v>61253</v>
      </c>
      <c r="J18422" s="0" t="s">
        <v>61254</v>
      </c>
      <c r="K18422" s="0" t="s">
        <v>61255</v>
      </c>
      <c r="L18422" s="0" t="str">
        <f aca="false">HYPERLINK("https://www.ncbi.nlm.nih.gov/nuccore/CP000058.1?report=graph&amp;tracks=[key:gene_model_track,Options:GeneOnly]&amp;mk=5656953:5656972|offset_7|444444,5656985:5657004|offset_39|444444,5657041:5657060|offset_95|444444,5657061:5657080|offset_115|00cc00&amp;v=5656752:5657280&amp;c=444444", "offset 115")</f>
        <v>offset 115</v>
      </c>
    </row>
    <row r="18423" customFormat="false" ht="12.8" hidden="false" customHeight="false" outlineLevel="0" collapsed="false">
      <c r="A18423" s="0" t="s">
        <v>12</v>
      </c>
      <c r="B18423" s="0" t="n">
        <v>5657470</v>
      </c>
      <c r="C18423" s="0" t="n">
        <v>5657490</v>
      </c>
      <c r="D18423" s="0" t="s">
        <v>61256</v>
      </c>
      <c r="E18423" s="0" t="s">
        <v>75</v>
      </c>
      <c r="F18423" s="0" t="s">
        <v>15</v>
      </c>
      <c r="G18423" s="0" t="s">
        <v>36</v>
      </c>
      <c r="H18423" s="0" t="n">
        <v>6</v>
      </c>
      <c r="I18423" s="0" t="s">
        <v>61257</v>
      </c>
      <c r="J18423" s="0" t="s">
        <v>61258</v>
      </c>
      <c r="K18423" s="0" t="s">
        <v>61259</v>
      </c>
      <c r="L18423" s="0" t="str">
        <f aca="false">HYPERLINK("https://www.ncbi.nlm.nih.gov/nuccore/CP000058.1?report=graph&amp;tracks=[key:gene_model_track,Options:GeneOnly]&amp;mk=5657471:5657490|offset_6|00cc00,5657496:5657515|offset_31|444444,5657533:5657552|offset_68|444444,5657604:5657623|offset_139|444444&amp;v=5657270:5657823&amp;c=444444", "offset 6")</f>
        <v>offset 6</v>
      </c>
    </row>
    <row r="18424" customFormat="false" ht="12.8" hidden="false" customHeight="false" outlineLevel="0" collapsed="false">
      <c r="A18424" s="0" t="s">
        <v>12</v>
      </c>
      <c r="B18424" s="0" t="n">
        <v>5657495</v>
      </c>
      <c r="C18424" s="0" t="n">
        <v>5657515</v>
      </c>
      <c r="D18424" s="0" t="s">
        <v>61256</v>
      </c>
      <c r="E18424" s="0" t="s">
        <v>75</v>
      </c>
      <c r="F18424" s="0" t="s">
        <v>15</v>
      </c>
      <c r="G18424" s="0" t="s">
        <v>32</v>
      </c>
      <c r="H18424" s="0" t="n">
        <v>31</v>
      </c>
      <c r="I18424" s="0" t="s">
        <v>61260</v>
      </c>
      <c r="J18424" s="0" t="s">
        <v>61261</v>
      </c>
      <c r="K18424" s="0" t="s">
        <v>61262</v>
      </c>
      <c r="L18424" s="0" t="str">
        <f aca="false">HYPERLINK("https://www.ncbi.nlm.nih.gov/nuccore/CP000058.1?report=graph&amp;tracks=[key:gene_model_track,Options:GeneOnly]&amp;mk=5657471:5657490|offset_6|444444,5657496:5657515|offset_31|00cc00,5657533:5657552|offset_68|444444,5657604:5657623|offset_139|444444&amp;v=5657270:5657823&amp;c=444444", "offset 31")</f>
        <v>offset 31</v>
      </c>
    </row>
    <row r="18425" customFormat="false" ht="12.8" hidden="false" customHeight="false" outlineLevel="0" collapsed="false">
      <c r="A18425" s="0" t="s">
        <v>12</v>
      </c>
      <c r="B18425" s="0" t="n">
        <v>5657532</v>
      </c>
      <c r="C18425" s="0" t="n">
        <v>5657552</v>
      </c>
      <c r="D18425" s="0" t="s">
        <v>61256</v>
      </c>
      <c r="E18425" s="0" t="s">
        <v>75</v>
      </c>
      <c r="F18425" s="0" t="s">
        <v>15</v>
      </c>
      <c r="G18425" s="0" t="s">
        <v>32</v>
      </c>
      <c r="H18425" s="0" t="n">
        <v>68</v>
      </c>
      <c r="I18425" s="0" t="s">
        <v>61263</v>
      </c>
      <c r="J18425" s="0" t="s">
        <v>61264</v>
      </c>
      <c r="K18425" s="0" t="s">
        <v>61265</v>
      </c>
      <c r="L18425" s="0" t="str">
        <f aca="false">HYPERLINK("https://www.ncbi.nlm.nih.gov/nuccore/CP000058.1?report=graph&amp;tracks=[key:gene_model_track,Options:GeneOnly]&amp;mk=5657471:5657490|offset_6|444444,5657496:5657515|offset_31|444444,5657533:5657552|offset_68|00cc00,5657604:5657623|offset_139|444444&amp;v=5657270:5657823&amp;c=444444", "offset 68")</f>
        <v>offset 68</v>
      </c>
    </row>
    <row r="18426" customFormat="false" ht="12.8" hidden="false" customHeight="false" outlineLevel="0" collapsed="false">
      <c r="A18426" s="0" t="s">
        <v>12</v>
      </c>
      <c r="B18426" s="0" t="n">
        <v>5657603</v>
      </c>
      <c r="C18426" s="0" t="n">
        <v>5657623</v>
      </c>
      <c r="D18426" s="0" t="s">
        <v>61256</v>
      </c>
      <c r="E18426" s="0" t="s">
        <v>75</v>
      </c>
      <c r="F18426" s="0" t="s">
        <v>15</v>
      </c>
      <c r="G18426" s="0" t="s">
        <v>32</v>
      </c>
      <c r="H18426" s="0" t="n">
        <v>139</v>
      </c>
      <c r="I18426" s="0" t="s">
        <v>61266</v>
      </c>
      <c r="J18426" s="0" t="s">
        <v>61267</v>
      </c>
      <c r="K18426" s="0" t="s">
        <v>61268</v>
      </c>
      <c r="L18426" s="0" t="str">
        <f aca="false">HYPERLINK("https://www.ncbi.nlm.nih.gov/nuccore/CP000058.1?report=graph&amp;tracks=[key:gene_model_track,Options:GeneOnly]&amp;mk=5657471:5657490|offset_6|444444,5657496:5657515|offset_31|444444,5657533:5657552|offset_68|444444,5657604:5657623|offset_139|00cc00&amp;v=5657270:5657823&amp;c=444444", "offset 139")</f>
        <v>offset 139</v>
      </c>
    </row>
    <row r="18427" customFormat="false" ht="12.8" hidden="false" customHeight="false" outlineLevel="0" collapsed="false">
      <c r="A18427" s="0" t="s">
        <v>12</v>
      </c>
      <c r="B18427" s="0" t="n">
        <v>5659196</v>
      </c>
      <c r="C18427" s="0" t="n">
        <v>5659216</v>
      </c>
      <c r="D18427" s="0" t="s">
        <v>61269</v>
      </c>
      <c r="E18427" s="0" t="s">
        <v>75</v>
      </c>
      <c r="F18427" s="0" t="s">
        <v>90</v>
      </c>
      <c r="G18427" s="0" t="s">
        <v>20</v>
      </c>
      <c r="H18427" s="0" t="n">
        <v>686</v>
      </c>
      <c r="I18427" s="0" t="s">
        <v>61270</v>
      </c>
      <c r="J18427" s="0" t="s">
        <v>61271</v>
      </c>
      <c r="K18427" s="0" t="s">
        <v>61272</v>
      </c>
      <c r="L18427" s="0" t="str">
        <f aca="false">HYPERLINK("https://www.ncbi.nlm.nih.gov/nuccore/CP000058.1?report=graph&amp;tracks=[key:gene_model_track,Options:GeneOnly]&amp;mk=5659197:5659216|offset_686|00cc00&amp;v=5658996:5659416&amp;c=444444", "offset 686")</f>
        <v>offset 686</v>
      </c>
    </row>
    <row r="18428" customFormat="false" ht="12.8" hidden="false" customHeight="false" outlineLevel="0" collapsed="false">
      <c r="A18428" s="0" t="s">
        <v>12</v>
      </c>
      <c r="B18428" s="0" t="n">
        <v>5661483</v>
      </c>
      <c r="C18428" s="0" t="n">
        <v>5661503</v>
      </c>
      <c r="D18428" s="0" t="s">
        <v>61273</v>
      </c>
      <c r="E18428" s="0" t="s">
        <v>75</v>
      </c>
      <c r="F18428" s="0" t="s">
        <v>90</v>
      </c>
      <c r="G18428" s="0" t="s">
        <v>16</v>
      </c>
      <c r="H18428" s="0" t="n">
        <v>118</v>
      </c>
      <c r="I18428" s="0" t="s">
        <v>61274</v>
      </c>
      <c r="J18428" s="0" t="s">
        <v>61275</v>
      </c>
      <c r="K18428" s="0" t="s">
        <v>61276</v>
      </c>
      <c r="L18428" s="0" t="str">
        <f aca="false">HYPERLINK("https://www.ncbi.nlm.nih.gov/nuccore/CP000058.1?report=graph&amp;tracks=[key:gene_model_track,Options:GeneOnly]&amp;mk=5661484:5661503|offset_118|00cc00,5661463:5661482|offset_139|444444,5661386:5661405|offset_216|444444,5661313:5661332|offset_289|444444&amp;v=5661283:5661532&amp;c=444444", "offset 118")</f>
        <v>offset 118</v>
      </c>
    </row>
    <row r="18429" customFormat="false" ht="12.8" hidden="false" customHeight="false" outlineLevel="0" collapsed="false">
      <c r="A18429" s="0" t="s">
        <v>12</v>
      </c>
      <c r="B18429" s="0" t="n">
        <v>5661462</v>
      </c>
      <c r="C18429" s="0" t="n">
        <v>5661482</v>
      </c>
      <c r="D18429" s="0" t="s">
        <v>61273</v>
      </c>
      <c r="E18429" s="0" t="s">
        <v>75</v>
      </c>
      <c r="F18429" s="0" t="s">
        <v>90</v>
      </c>
      <c r="G18429" s="0" t="s">
        <v>32</v>
      </c>
      <c r="H18429" s="0" t="n">
        <v>139</v>
      </c>
      <c r="I18429" s="0" t="s">
        <v>61277</v>
      </c>
      <c r="J18429" s="0" t="s">
        <v>61278</v>
      </c>
      <c r="K18429" s="0" t="s">
        <v>61279</v>
      </c>
      <c r="L18429" s="0" t="str">
        <f aca="false">HYPERLINK("https://www.ncbi.nlm.nih.gov/nuccore/CP000058.1?report=graph&amp;tracks=[key:gene_model_track,Options:GeneOnly]&amp;mk=5661484:5661503|offset_118|444444,5661463:5661482|offset_139|00cc00,5661386:5661405|offset_216|444444,5661313:5661332|offset_289|444444&amp;v=5661283:5661532&amp;c=444444", "offset 139")</f>
        <v>offset 139</v>
      </c>
    </row>
    <row r="18430" customFormat="false" ht="12.8" hidden="false" customHeight="false" outlineLevel="0" collapsed="false">
      <c r="A18430" s="0" t="s">
        <v>12</v>
      </c>
      <c r="B18430" s="0" t="n">
        <v>5661385</v>
      </c>
      <c r="C18430" s="0" t="n">
        <v>5661405</v>
      </c>
      <c r="D18430" s="0" t="s">
        <v>61273</v>
      </c>
      <c r="E18430" s="0" t="s">
        <v>75</v>
      </c>
      <c r="F18430" s="0" t="s">
        <v>90</v>
      </c>
      <c r="G18430" s="0" t="s">
        <v>16</v>
      </c>
      <c r="H18430" s="0" t="n">
        <v>216</v>
      </c>
      <c r="I18430" s="0" t="s">
        <v>61280</v>
      </c>
      <c r="J18430" s="0" t="s">
        <v>61281</v>
      </c>
      <c r="K18430" s="0" t="s">
        <v>61282</v>
      </c>
      <c r="L18430" s="0" t="str">
        <f aca="false">HYPERLINK("https://www.ncbi.nlm.nih.gov/nuccore/CP000058.1?report=graph&amp;tracks=[key:gene_model_track,Options:GeneOnly]&amp;mk=5661484:5661503|offset_118|444444,5661463:5661482|offset_139|444444,5661386:5661405|offset_216|00cc00,5661313:5661332|offset_289|444444&amp;v=5661283:5661532&amp;c=444444", "offset 216")</f>
        <v>offset 216</v>
      </c>
    </row>
    <row r="18431" customFormat="false" ht="12.8" hidden="false" customHeight="false" outlineLevel="0" collapsed="false">
      <c r="A18431" s="0" t="s">
        <v>12</v>
      </c>
      <c r="B18431" s="0" t="n">
        <v>5661312</v>
      </c>
      <c r="C18431" s="0" t="n">
        <v>5661332</v>
      </c>
      <c r="D18431" s="0" t="s">
        <v>61273</v>
      </c>
      <c r="E18431" s="0" t="s">
        <v>75</v>
      </c>
      <c r="F18431" s="0" t="s">
        <v>90</v>
      </c>
      <c r="G18431" s="0" t="s">
        <v>32</v>
      </c>
      <c r="H18431" s="0" t="n">
        <v>289</v>
      </c>
      <c r="I18431" s="0" t="s">
        <v>61283</v>
      </c>
      <c r="J18431" s="0" t="s">
        <v>61284</v>
      </c>
      <c r="K18431" s="0" t="s">
        <v>61285</v>
      </c>
      <c r="L18431" s="0" t="str">
        <f aca="false">HYPERLINK("https://www.ncbi.nlm.nih.gov/nuccore/CP000058.1?report=graph&amp;tracks=[key:gene_model_track,Options:GeneOnly]&amp;mk=5661484:5661503|offset_118|444444,5661463:5661482|offset_139|444444,5661386:5661405|offset_216|444444,5661313:5661332|offset_289|00cc00&amp;v=5661283:5661532&amp;c=444444", "offset 289")</f>
        <v>offset 289</v>
      </c>
    </row>
    <row r="18432" customFormat="false" ht="12.8" hidden="false" customHeight="false" outlineLevel="0" collapsed="false">
      <c r="A18432" s="0" t="s">
        <v>12</v>
      </c>
      <c r="B18432" s="0" t="n">
        <v>5662254</v>
      </c>
      <c r="C18432" s="0" t="n">
        <v>5662274</v>
      </c>
      <c r="D18432" s="0" t="s">
        <v>61286</v>
      </c>
      <c r="E18432" s="0" t="s">
        <v>75</v>
      </c>
      <c r="F18432" s="0" t="s">
        <v>90</v>
      </c>
      <c r="G18432" s="0" t="s">
        <v>32</v>
      </c>
      <c r="H18432" s="0" t="n">
        <v>1</v>
      </c>
      <c r="I18432" s="0" t="s">
        <v>61287</v>
      </c>
      <c r="J18432" s="0" t="s">
        <v>61288</v>
      </c>
      <c r="K18432" s="0" t="s">
        <v>61289</v>
      </c>
      <c r="L18432" s="0" t="str">
        <f aca="false">HYPERLINK("https://www.ncbi.nlm.nih.gov/nuccore/CP000058.1?report=graph&amp;tracks=[key:gene_model_track,Options:GeneOnly]&amp;mk=5662255:5662274|offset_1|00cc00,5662164:5662183|offset_92|444444,5662135:5662154|offset_121|444444,5662114:5662133|offset_142|444444&amp;v=5662054:5662333&amp;c=444444", "offset 1")</f>
        <v>offset 1</v>
      </c>
    </row>
    <row r="18433" customFormat="false" ht="12.8" hidden="false" customHeight="false" outlineLevel="0" collapsed="false">
      <c r="A18433" s="0" t="s">
        <v>12</v>
      </c>
      <c r="B18433" s="0" t="n">
        <v>5662163</v>
      </c>
      <c r="C18433" s="0" t="n">
        <v>5662183</v>
      </c>
      <c r="D18433" s="0" t="s">
        <v>61286</v>
      </c>
      <c r="E18433" s="0" t="s">
        <v>75</v>
      </c>
      <c r="F18433" s="0" t="s">
        <v>90</v>
      </c>
      <c r="G18433" s="0" t="s">
        <v>20</v>
      </c>
      <c r="H18433" s="0" t="n">
        <v>92</v>
      </c>
      <c r="I18433" s="0" t="s">
        <v>61290</v>
      </c>
      <c r="J18433" s="0" t="s">
        <v>61291</v>
      </c>
      <c r="K18433" s="0" t="s">
        <v>61292</v>
      </c>
      <c r="L18433" s="0" t="str">
        <f aca="false">HYPERLINK("https://www.ncbi.nlm.nih.gov/nuccore/CP000058.1?report=graph&amp;tracks=[key:gene_model_track,Options:GeneOnly]&amp;mk=5662255:5662274|offset_1|444444,5662164:5662183|offset_92|00cc00,5662135:5662154|offset_121|444444,5662114:5662133|offset_142|444444&amp;v=5662054:5662333&amp;c=444444", "offset 92")</f>
        <v>offset 92</v>
      </c>
    </row>
    <row r="18434" customFormat="false" ht="12.8" hidden="false" customHeight="false" outlineLevel="0" collapsed="false">
      <c r="A18434" s="0" t="s">
        <v>12</v>
      </c>
      <c r="B18434" s="0" t="n">
        <v>5662134</v>
      </c>
      <c r="C18434" s="0" t="n">
        <v>5662154</v>
      </c>
      <c r="D18434" s="0" t="s">
        <v>61286</v>
      </c>
      <c r="E18434" s="0" t="s">
        <v>75</v>
      </c>
      <c r="F18434" s="0" t="s">
        <v>90</v>
      </c>
      <c r="G18434" s="0" t="s">
        <v>20</v>
      </c>
      <c r="H18434" s="0" t="n">
        <v>121</v>
      </c>
      <c r="I18434" s="0" t="s">
        <v>61293</v>
      </c>
      <c r="J18434" s="0" t="s">
        <v>61294</v>
      </c>
      <c r="K18434" s="0" t="s">
        <v>61295</v>
      </c>
      <c r="L18434" s="0" t="str">
        <f aca="false">HYPERLINK("https://www.ncbi.nlm.nih.gov/nuccore/CP000058.1?report=graph&amp;tracks=[key:gene_model_track,Options:GeneOnly]&amp;mk=5662255:5662274|offset_1|444444,5662164:5662183|offset_92|444444,5662135:5662154|offset_121|00cc00,5662114:5662133|offset_142|444444&amp;v=5662054:5662333&amp;c=444444", "offset 121")</f>
        <v>offset 121</v>
      </c>
    </row>
    <row r="18435" customFormat="false" ht="12.8" hidden="false" customHeight="false" outlineLevel="0" collapsed="false">
      <c r="A18435" s="0" t="s">
        <v>12</v>
      </c>
      <c r="B18435" s="0" t="n">
        <v>5662113</v>
      </c>
      <c r="C18435" s="0" t="n">
        <v>5662133</v>
      </c>
      <c r="D18435" s="0" t="s">
        <v>61286</v>
      </c>
      <c r="E18435" s="0" t="s">
        <v>75</v>
      </c>
      <c r="F18435" s="0" t="s">
        <v>90</v>
      </c>
      <c r="G18435" s="0" t="s">
        <v>36</v>
      </c>
      <c r="H18435" s="0" t="n">
        <v>142</v>
      </c>
      <c r="I18435" s="0" t="s">
        <v>61296</v>
      </c>
      <c r="J18435" s="0" t="s">
        <v>61297</v>
      </c>
      <c r="K18435" s="0" t="s">
        <v>61298</v>
      </c>
      <c r="L18435" s="0" t="str">
        <f aca="false">HYPERLINK("https://www.ncbi.nlm.nih.gov/nuccore/CP000058.1?report=graph&amp;tracks=[key:gene_model_track,Options:GeneOnly]&amp;mk=5662255:5662274|offset_1|444444,5662164:5662183|offset_92|444444,5662135:5662154|offset_121|444444,5662114:5662133|offset_142|00cc00&amp;v=5662054:5662333&amp;c=444444", "offset 142")</f>
        <v>offset 142</v>
      </c>
    </row>
    <row r="18436" customFormat="false" ht="12.8" hidden="false" customHeight="false" outlineLevel="0" collapsed="false">
      <c r="A18436" s="0" t="s">
        <v>12</v>
      </c>
      <c r="B18436" s="0" t="n">
        <v>5663110</v>
      </c>
      <c r="C18436" s="0" t="n">
        <v>5663130</v>
      </c>
      <c r="D18436" s="0" t="s">
        <v>61299</v>
      </c>
      <c r="E18436" s="0" t="s">
        <v>75</v>
      </c>
      <c r="F18436" s="0" t="s">
        <v>90</v>
      </c>
      <c r="G18436" s="0" t="s">
        <v>36</v>
      </c>
      <c r="H18436" s="0" t="n">
        <v>15</v>
      </c>
      <c r="I18436" s="0" t="s">
        <v>61300</v>
      </c>
      <c r="J18436" s="0" t="s">
        <v>61301</v>
      </c>
      <c r="K18436" s="0" t="s">
        <v>61302</v>
      </c>
      <c r="L18436" s="0" t="str">
        <f aca="false">HYPERLINK("https://www.ncbi.nlm.nih.gov/nuccore/CP000058.1?report=graph&amp;tracks=[key:gene_model_track,Options:GeneOnly]&amp;mk=5663111:5663130|offset_15|00cc00,5663042:5663061|offset_84|444444,5663006:5663025|offset_120|444444,5662982:5663001|offset_144|444444&amp;v=5662910:5663201&amp;c=444444", "offset 15")</f>
        <v>offset 15</v>
      </c>
    </row>
    <row r="18437" customFormat="false" ht="12.8" hidden="false" customHeight="false" outlineLevel="0" collapsed="false">
      <c r="A18437" s="0" t="s">
        <v>12</v>
      </c>
      <c r="B18437" s="0" t="n">
        <v>5663041</v>
      </c>
      <c r="C18437" s="0" t="n">
        <v>5663061</v>
      </c>
      <c r="D18437" s="0" t="s">
        <v>61299</v>
      </c>
      <c r="E18437" s="0" t="s">
        <v>75</v>
      </c>
      <c r="F18437" s="0" t="s">
        <v>90</v>
      </c>
      <c r="G18437" s="0" t="s">
        <v>36</v>
      </c>
      <c r="H18437" s="0" t="n">
        <v>84</v>
      </c>
      <c r="I18437" s="0" t="s">
        <v>61303</v>
      </c>
      <c r="J18437" s="0" t="s">
        <v>61304</v>
      </c>
      <c r="K18437" s="0" t="s">
        <v>61305</v>
      </c>
      <c r="L18437" s="0" t="str">
        <f aca="false">HYPERLINK("https://www.ncbi.nlm.nih.gov/nuccore/CP000058.1?report=graph&amp;tracks=[key:gene_model_track,Options:GeneOnly]&amp;mk=5663111:5663130|offset_15|444444,5663042:5663061|offset_84|00cc00,5663006:5663025|offset_120|444444,5662982:5663001|offset_144|444444&amp;v=5662910:5663201&amp;c=444444", "offset 84")</f>
        <v>offset 84</v>
      </c>
    </row>
    <row r="18438" customFormat="false" ht="12.8" hidden="false" customHeight="false" outlineLevel="0" collapsed="false">
      <c r="A18438" s="0" t="s">
        <v>12</v>
      </c>
      <c r="B18438" s="0" t="n">
        <v>5663005</v>
      </c>
      <c r="C18438" s="0" t="n">
        <v>5663025</v>
      </c>
      <c r="D18438" s="0" t="s">
        <v>61299</v>
      </c>
      <c r="E18438" s="0" t="s">
        <v>75</v>
      </c>
      <c r="F18438" s="0" t="s">
        <v>90</v>
      </c>
      <c r="G18438" s="0" t="s">
        <v>20</v>
      </c>
      <c r="H18438" s="0" t="n">
        <v>120</v>
      </c>
      <c r="I18438" s="0" t="s">
        <v>61306</v>
      </c>
      <c r="J18438" s="0" t="s">
        <v>61307</v>
      </c>
      <c r="K18438" s="0" t="s">
        <v>61308</v>
      </c>
      <c r="L18438" s="0" t="str">
        <f aca="false">HYPERLINK("https://www.ncbi.nlm.nih.gov/nuccore/CP000058.1?report=graph&amp;tracks=[key:gene_model_track,Options:GeneOnly]&amp;mk=5663111:5663130|offset_15|444444,5663042:5663061|offset_84|444444,5663006:5663025|offset_120|00cc00,5662982:5663001|offset_144|444444&amp;v=5662910:5663201&amp;c=444444", "offset 120")</f>
        <v>offset 120</v>
      </c>
    </row>
    <row r="18439" customFormat="false" ht="12.8" hidden="false" customHeight="false" outlineLevel="0" collapsed="false">
      <c r="A18439" s="0" t="s">
        <v>12</v>
      </c>
      <c r="B18439" s="0" t="n">
        <v>5662981</v>
      </c>
      <c r="C18439" s="0" t="n">
        <v>5663001</v>
      </c>
      <c r="D18439" s="0" t="s">
        <v>61299</v>
      </c>
      <c r="E18439" s="0" t="s">
        <v>75</v>
      </c>
      <c r="F18439" s="0" t="s">
        <v>90</v>
      </c>
      <c r="G18439" s="0" t="s">
        <v>36</v>
      </c>
      <c r="H18439" s="0" t="n">
        <v>144</v>
      </c>
      <c r="I18439" s="0" t="s">
        <v>61309</v>
      </c>
      <c r="J18439" s="0" t="s">
        <v>61310</v>
      </c>
      <c r="K18439" s="0" t="s">
        <v>61311</v>
      </c>
      <c r="L18439" s="0" t="str">
        <f aca="false">HYPERLINK("https://www.ncbi.nlm.nih.gov/nuccore/CP000058.1?report=graph&amp;tracks=[key:gene_model_track,Options:GeneOnly]&amp;mk=5663111:5663130|offset_15|444444,5663042:5663061|offset_84|444444,5663006:5663025|offset_120|444444,5662982:5663001|offset_144|00cc00&amp;v=5662910:5663201&amp;c=444444", "offset 144")</f>
        <v>offset 144</v>
      </c>
    </row>
    <row r="18440" customFormat="false" ht="12.8" hidden="false" customHeight="false" outlineLevel="0" collapsed="false">
      <c r="A18440" s="0" t="s">
        <v>12</v>
      </c>
      <c r="B18440" s="0" t="n">
        <v>5663244</v>
      </c>
      <c r="C18440" s="0" t="n">
        <v>5663264</v>
      </c>
      <c r="D18440" s="0" t="s">
        <v>61312</v>
      </c>
      <c r="E18440" s="0" t="s">
        <v>75</v>
      </c>
      <c r="F18440" s="0" t="s">
        <v>15</v>
      </c>
      <c r="G18440" s="0" t="s">
        <v>32</v>
      </c>
      <c r="H18440" s="0" t="n">
        <v>7</v>
      </c>
      <c r="I18440" s="0" t="s">
        <v>61313</v>
      </c>
      <c r="J18440" s="0" t="s">
        <v>61314</v>
      </c>
      <c r="K18440" s="0" t="s">
        <v>61315</v>
      </c>
      <c r="L18440" s="0" t="str">
        <f aca="false">HYPERLINK("https://www.ncbi.nlm.nih.gov/nuccore/CP000058.1?report=graph&amp;tracks=[key:gene_model_track,Options:GeneOnly]&amp;mk=5663245:5663264|offset_7|00cc00,5663267:5663286|offset_29|444444,5663310:5663329|offset_72|444444,5663357:5663376|offset_119|444444&amp;v=5663044:5663576&amp;c=444444", "offset 7")</f>
        <v>offset 7</v>
      </c>
    </row>
    <row r="18441" customFormat="false" ht="12.8" hidden="false" customHeight="false" outlineLevel="0" collapsed="false">
      <c r="A18441" s="0" t="s">
        <v>12</v>
      </c>
      <c r="B18441" s="0" t="n">
        <v>5663266</v>
      </c>
      <c r="C18441" s="0" t="n">
        <v>5663286</v>
      </c>
      <c r="D18441" s="0" t="s">
        <v>61312</v>
      </c>
      <c r="E18441" s="0" t="s">
        <v>75</v>
      </c>
      <c r="F18441" s="0" t="s">
        <v>15</v>
      </c>
      <c r="G18441" s="0" t="s">
        <v>32</v>
      </c>
      <c r="H18441" s="0" t="n">
        <v>29</v>
      </c>
      <c r="I18441" s="0" t="s">
        <v>61316</v>
      </c>
      <c r="J18441" s="0" t="s">
        <v>61317</v>
      </c>
      <c r="K18441" s="0" t="s">
        <v>61318</v>
      </c>
      <c r="L18441" s="0" t="str">
        <f aca="false">HYPERLINK("https://www.ncbi.nlm.nih.gov/nuccore/CP000058.1?report=graph&amp;tracks=[key:gene_model_track,Options:GeneOnly]&amp;mk=5663245:5663264|offset_7|444444,5663267:5663286|offset_29|00cc00,5663310:5663329|offset_72|444444,5663357:5663376|offset_119|444444&amp;v=5663044:5663576&amp;c=444444", "offset 29")</f>
        <v>offset 29</v>
      </c>
    </row>
    <row r="18442" customFormat="false" ht="12.8" hidden="false" customHeight="false" outlineLevel="0" collapsed="false">
      <c r="A18442" s="0" t="s">
        <v>12</v>
      </c>
      <c r="B18442" s="0" t="n">
        <v>5663309</v>
      </c>
      <c r="C18442" s="0" t="n">
        <v>5663329</v>
      </c>
      <c r="D18442" s="0" t="s">
        <v>61312</v>
      </c>
      <c r="E18442" s="0" t="s">
        <v>75</v>
      </c>
      <c r="F18442" s="0" t="s">
        <v>15</v>
      </c>
      <c r="G18442" s="0" t="s">
        <v>36</v>
      </c>
      <c r="H18442" s="0" t="n">
        <v>72</v>
      </c>
      <c r="I18442" s="0" t="s">
        <v>61319</v>
      </c>
      <c r="J18442" s="0" t="s">
        <v>61320</v>
      </c>
      <c r="K18442" s="0" t="s">
        <v>61321</v>
      </c>
      <c r="L18442" s="0" t="str">
        <f aca="false">HYPERLINK("https://www.ncbi.nlm.nih.gov/nuccore/CP000058.1?report=graph&amp;tracks=[key:gene_model_track,Options:GeneOnly]&amp;mk=5663245:5663264|offset_7|444444,5663267:5663286|offset_29|444444,5663310:5663329|offset_72|00cc00,5663357:5663376|offset_119|444444&amp;v=5663044:5663576&amp;c=444444", "offset 72")</f>
        <v>offset 72</v>
      </c>
    </row>
    <row r="18443" customFormat="false" ht="12.8" hidden="false" customHeight="false" outlineLevel="0" collapsed="false">
      <c r="A18443" s="0" t="s">
        <v>12</v>
      </c>
      <c r="B18443" s="0" t="n">
        <v>5663356</v>
      </c>
      <c r="C18443" s="0" t="n">
        <v>5663376</v>
      </c>
      <c r="D18443" s="0" t="s">
        <v>61312</v>
      </c>
      <c r="E18443" s="0" t="s">
        <v>75</v>
      </c>
      <c r="F18443" s="0" t="s">
        <v>15</v>
      </c>
      <c r="G18443" s="0" t="s">
        <v>36</v>
      </c>
      <c r="H18443" s="0" t="n">
        <v>119</v>
      </c>
      <c r="I18443" s="0" t="s">
        <v>61322</v>
      </c>
      <c r="J18443" s="0" t="s">
        <v>61323</v>
      </c>
      <c r="K18443" s="0" t="s">
        <v>61324</v>
      </c>
      <c r="L18443" s="0" t="str">
        <f aca="false">HYPERLINK("https://www.ncbi.nlm.nih.gov/nuccore/CP000058.1?report=graph&amp;tracks=[key:gene_model_track,Options:GeneOnly]&amp;mk=5663245:5663264|offset_7|444444,5663267:5663286|offset_29|444444,5663310:5663329|offset_72|444444,5663357:5663376|offset_119|00cc00&amp;v=5663044:5663576&amp;c=444444", "offset 119")</f>
        <v>offset 119</v>
      </c>
    </row>
    <row r="18444" customFormat="false" ht="12.8" hidden="false" customHeight="false" outlineLevel="0" collapsed="false">
      <c r="A18444" s="0" t="s">
        <v>12</v>
      </c>
      <c r="B18444" s="0" t="n">
        <v>5664635</v>
      </c>
      <c r="C18444" s="0" t="n">
        <v>5664655</v>
      </c>
      <c r="D18444" s="0" t="s">
        <v>61325</v>
      </c>
      <c r="E18444" s="0" t="s">
        <v>75</v>
      </c>
      <c r="F18444" s="0" t="s">
        <v>15</v>
      </c>
      <c r="G18444" s="0" t="s">
        <v>20</v>
      </c>
      <c r="H18444" s="0" t="n">
        <v>23</v>
      </c>
      <c r="I18444" s="0" t="s">
        <v>61326</v>
      </c>
      <c r="J18444" s="0" t="s">
        <v>61327</v>
      </c>
      <c r="K18444" s="0" t="s">
        <v>61328</v>
      </c>
      <c r="L18444" s="0" t="str">
        <f aca="false">HYPERLINK("https://www.ncbi.nlm.nih.gov/nuccore/CP000058.1?report=graph&amp;tracks=[key:gene_model_track,Options:GeneOnly]&amp;mk=5664636:5664655|offset_23|00cc00,5664679:5664698|offset_66|444444,5664746:5664765|offset_133|444444,5664785:5664804|offset_172|444444&amp;v=5664435:5665004&amp;c=444444", "offset 23")</f>
        <v>offset 23</v>
      </c>
    </row>
    <row r="18445" customFormat="false" ht="12.8" hidden="false" customHeight="false" outlineLevel="0" collapsed="false">
      <c r="A18445" s="0" t="s">
        <v>12</v>
      </c>
      <c r="B18445" s="0" t="n">
        <v>5664678</v>
      </c>
      <c r="C18445" s="0" t="n">
        <v>5664698</v>
      </c>
      <c r="D18445" s="0" t="s">
        <v>61325</v>
      </c>
      <c r="E18445" s="0" t="s">
        <v>75</v>
      </c>
      <c r="F18445" s="0" t="s">
        <v>15</v>
      </c>
      <c r="G18445" s="0" t="s">
        <v>16</v>
      </c>
      <c r="H18445" s="0" t="n">
        <v>66</v>
      </c>
      <c r="I18445" s="0" t="s">
        <v>61329</v>
      </c>
      <c r="J18445" s="0" t="s">
        <v>61330</v>
      </c>
      <c r="K18445" s="0" t="s">
        <v>61331</v>
      </c>
      <c r="L18445" s="0" t="str">
        <f aca="false">HYPERLINK("https://www.ncbi.nlm.nih.gov/nuccore/CP000058.1?report=graph&amp;tracks=[key:gene_model_track,Options:GeneOnly]&amp;mk=5664636:5664655|offset_23|444444,5664679:5664698|offset_66|00cc00,5664746:5664765|offset_133|444444,5664785:5664804|offset_172|444444&amp;v=5664435:5665004&amp;c=444444", "offset 66")</f>
        <v>offset 66</v>
      </c>
    </row>
    <row r="18446" customFormat="false" ht="12.8" hidden="false" customHeight="false" outlineLevel="0" collapsed="false">
      <c r="A18446" s="0" t="s">
        <v>12</v>
      </c>
      <c r="B18446" s="0" t="n">
        <v>5664745</v>
      </c>
      <c r="C18446" s="0" t="n">
        <v>5664765</v>
      </c>
      <c r="D18446" s="0" t="s">
        <v>61325</v>
      </c>
      <c r="E18446" s="0" t="s">
        <v>75</v>
      </c>
      <c r="F18446" s="0" t="s">
        <v>15</v>
      </c>
      <c r="G18446" s="0" t="s">
        <v>16</v>
      </c>
      <c r="H18446" s="0" t="n">
        <v>133</v>
      </c>
      <c r="I18446" s="0" t="s">
        <v>61332</v>
      </c>
      <c r="J18446" s="0" t="s">
        <v>61333</v>
      </c>
      <c r="K18446" s="0" t="s">
        <v>61334</v>
      </c>
      <c r="L18446" s="0" t="str">
        <f aca="false">HYPERLINK("https://www.ncbi.nlm.nih.gov/nuccore/CP000058.1?report=graph&amp;tracks=[key:gene_model_track,Options:GeneOnly]&amp;mk=5664636:5664655|offset_23|444444,5664679:5664698|offset_66|444444,5664746:5664765|offset_133|00cc00,5664785:5664804|offset_172|444444&amp;v=5664435:5665004&amp;c=444444", "offset 133")</f>
        <v>offset 133</v>
      </c>
    </row>
    <row r="18447" customFormat="false" ht="12.8" hidden="false" customHeight="false" outlineLevel="0" collapsed="false">
      <c r="A18447" s="0" t="s">
        <v>12</v>
      </c>
      <c r="B18447" s="0" t="n">
        <v>5664784</v>
      </c>
      <c r="C18447" s="0" t="n">
        <v>5664804</v>
      </c>
      <c r="D18447" s="0" t="s">
        <v>61325</v>
      </c>
      <c r="E18447" s="0" t="s">
        <v>75</v>
      </c>
      <c r="F18447" s="0" t="s">
        <v>15</v>
      </c>
      <c r="G18447" s="0" t="s">
        <v>16</v>
      </c>
      <c r="H18447" s="0" t="n">
        <v>172</v>
      </c>
      <c r="I18447" s="0" t="s">
        <v>61335</v>
      </c>
      <c r="J18447" s="0" t="s">
        <v>61336</v>
      </c>
      <c r="K18447" s="0" t="s">
        <v>61337</v>
      </c>
      <c r="L18447" s="0" t="str">
        <f aca="false">HYPERLINK("https://www.ncbi.nlm.nih.gov/nuccore/CP000058.1?report=graph&amp;tracks=[key:gene_model_track,Options:GeneOnly]&amp;mk=5664636:5664655|offset_23|444444,5664679:5664698|offset_66|444444,5664746:5664765|offset_133|444444,5664785:5664804|offset_172|00cc00&amp;v=5664435:5665004&amp;c=444444", "offset 172")</f>
        <v>offset 172</v>
      </c>
    </row>
    <row r="18448" customFormat="false" ht="12.8" hidden="false" customHeight="false" outlineLevel="0" collapsed="false">
      <c r="A18448" s="0" t="s">
        <v>12</v>
      </c>
      <c r="B18448" s="0" t="n">
        <v>5666669</v>
      </c>
      <c r="C18448" s="0" t="n">
        <v>5666689</v>
      </c>
      <c r="D18448" s="0" t="s">
        <v>61338</v>
      </c>
      <c r="E18448" s="0" t="s">
        <v>75</v>
      </c>
      <c r="F18448" s="0" t="s">
        <v>90</v>
      </c>
      <c r="G18448" s="0" t="s">
        <v>36</v>
      </c>
      <c r="H18448" s="0" t="n">
        <v>8</v>
      </c>
      <c r="I18448" s="0" t="s">
        <v>61339</v>
      </c>
      <c r="J18448" s="0" t="s">
        <v>61340</v>
      </c>
      <c r="K18448" s="0" t="s">
        <v>61341</v>
      </c>
      <c r="L18448" s="0" t="str">
        <f aca="false">HYPERLINK("https://www.ncbi.nlm.nih.gov/nuccore/CP000058.1?report=graph&amp;tracks=[key:gene_model_track,Options:GeneOnly]&amp;mk=5666670:5666689|offset_8|00cc00,5666634:5666653|offset_44|444444,5666602:5666621|offset_76|444444,5666551:5666570|offset_127|444444&amp;v=5666469:5666770&amp;c=444444", "offset 8")</f>
        <v>offset 8</v>
      </c>
    </row>
    <row r="18449" customFormat="false" ht="12.8" hidden="false" customHeight="false" outlineLevel="0" collapsed="false">
      <c r="A18449" s="0" t="s">
        <v>12</v>
      </c>
      <c r="B18449" s="0" t="n">
        <v>5666633</v>
      </c>
      <c r="C18449" s="0" t="n">
        <v>5666653</v>
      </c>
      <c r="D18449" s="0" t="s">
        <v>61338</v>
      </c>
      <c r="E18449" s="0" t="s">
        <v>75</v>
      </c>
      <c r="F18449" s="0" t="s">
        <v>90</v>
      </c>
      <c r="G18449" s="0" t="s">
        <v>20</v>
      </c>
      <c r="H18449" s="0" t="n">
        <v>44</v>
      </c>
      <c r="I18449" s="0" t="s">
        <v>61342</v>
      </c>
      <c r="J18449" s="0" t="s">
        <v>61343</v>
      </c>
      <c r="K18449" s="0" t="s">
        <v>61344</v>
      </c>
      <c r="L18449" s="0" t="str">
        <f aca="false">HYPERLINK("https://www.ncbi.nlm.nih.gov/nuccore/CP000058.1?report=graph&amp;tracks=[key:gene_model_track,Options:GeneOnly]&amp;mk=5666670:5666689|offset_8|444444,5666634:5666653|offset_44|00cc00,5666602:5666621|offset_76|444444,5666551:5666570|offset_127|444444&amp;v=5666469:5666770&amp;c=444444", "offset 44")</f>
        <v>offset 44</v>
      </c>
    </row>
    <row r="18450" customFormat="false" ht="12.8" hidden="false" customHeight="false" outlineLevel="0" collapsed="false">
      <c r="A18450" s="0" t="s">
        <v>12</v>
      </c>
      <c r="B18450" s="0" t="n">
        <v>5666601</v>
      </c>
      <c r="C18450" s="0" t="n">
        <v>5666621</v>
      </c>
      <c r="D18450" s="0" t="s">
        <v>61338</v>
      </c>
      <c r="E18450" s="0" t="s">
        <v>75</v>
      </c>
      <c r="F18450" s="0" t="s">
        <v>90</v>
      </c>
      <c r="G18450" s="0" t="s">
        <v>36</v>
      </c>
      <c r="H18450" s="0" t="n">
        <v>76</v>
      </c>
      <c r="I18450" s="0" t="s">
        <v>61345</v>
      </c>
      <c r="J18450" s="0" t="s">
        <v>61346</v>
      </c>
      <c r="K18450" s="0" t="s">
        <v>61347</v>
      </c>
      <c r="L18450" s="0" t="str">
        <f aca="false">HYPERLINK("https://www.ncbi.nlm.nih.gov/nuccore/CP000058.1?report=graph&amp;tracks=[key:gene_model_track,Options:GeneOnly]&amp;mk=5666670:5666689|offset_8|444444,5666634:5666653|offset_44|444444,5666602:5666621|offset_76|00cc00,5666551:5666570|offset_127|444444&amp;v=5666469:5666770&amp;c=444444", "offset 76")</f>
        <v>offset 76</v>
      </c>
    </row>
    <row r="18451" customFormat="false" ht="12.8" hidden="false" customHeight="false" outlineLevel="0" collapsed="false">
      <c r="A18451" s="0" t="s">
        <v>12</v>
      </c>
      <c r="B18451" s="0" t="n">
        <v>5666550</v>
      </c>
      <c r="C18451" s="0" t="n">
        <v>5666570</v>
      </c>
      <c r="D18451" s="0" t="s">
        <v>61338</v>
      </c>
      <c r="E18451" s="0" t="s">
        <v>75</v>
      </c>
      <c r="F18451" s="0" t="s">
        <v>90</v>
      </c>
      <c r="G18451" s="0" t="s">
        <v>16</v>
      </c>
      <c r="H18451" s="0" t="n">
        <v>127</v>
      </c>
      <c r="I18451" s="0" t="s">
        <v>61348</v>
      </c>
      <c r="J18451" s="0" t="s">
        <v>61349</v>
      </c>
      <c r="K18451" s="0" t="s">
        <v>61350</v>
      </c>
      <c r="L18451" s="0" t="str">
        <f aca="false">HYPERLINK("https://www.ncbi.nlm.nih.gov/nuccore/CP000058.1?report=graph&amp;tracks=[key:gene_model_track,Options:GeneOnly]&amp;mk=5666670:5666689|offset_8|444444,5666634:5666653|offset_44|444444,5666602:5666621|offset_76|444444,5666551:5666570|offset_127|00cc00&amp;v=5666469:5666770&amp;c=444444", "offset 127")</f>
        <v>offset 127</v>
      </c>
    </row>
    <row r="18452" customFormat="false" ht="12.8" hidden="false" customHeight="false" outlineLevel="0" collapsed="false">
      <c r="A18452" s="0" t="s">
        <v>12</v>
      </c>
      <c r="B18452" s="0" t="n">
        <v>5667942</v>
      </c>
      <c r="C18452" s="0" t="n">
        <v>5667962</v>
      </c>
      <c r="D18452" s="0" t="s">
        <v>61351</v>
      </c>
      <c r="E18452" s="0" t="s">
        <v>75</v>
      </c>
      <c r="F18452" s="0" t="s">
        <v>90</v>
      </c>
      <c r="G18452" s="0" t="s">
        <v>32</v>
      </c>
      <c r="H18452" s="0" t="n">
        <v>10</v>
      </c>
      <c r="I18452" s="0" t="s">
        <v>61352</v>
      </c>
      <c r="J18452" s="0" t="s">
        <v>61353</v>
      </c>
      <c r="K18452" s="0" t="s">
        <v>61354</v>
      </c>
      <c r="L18452" s="0" t="str">
        <f aca="false">HYPERLINK("https://www.ncbi.nlm.nih.gov/nuccore/CP000058.1?report=graph&amp;tracks=[key:gene_model_track,Options:GeneOnly]&amp;mk=5667943:5667962|offset_10|00cc00,5667880:5667899|offset_73|444444,5667846:5667865|offset_107|444444,5667813:5667832|offset_140|444444&amp;v=5667742:5668032&amp;c=444444", "offset 10")</f>
        <v>offset 10</v>
      </c>
    </row>
    <row r="18453" customFormat="false" ht="12.8" hidden="false" customHeight="false" outlineLevel="0" collapsed="false">
      <c r="A18453" s="0" t="s">
        <v>12</v>
      </c>
      <c r="B18453" s="0" t="n">
        <v>5667879</v>
      </c>
      <c r="C18453" s="0" t="n">
        <v>5667899</v>
      </c>
      <c r="D18453" s="0" t="s">
        <v>61351</v>
      </c>
      <c r="E18453" s="0" t="s">
        <v>75</v>
      </c>
      <c r="F18453" s="0" t="s">
        <v>90</v>
      </c>
      <c r="G18453" s="0" t="s">
        <v>32</v>
      </c>
      <c r="H18453" s="0" t="n">
        <v>73</v>
      </c>
      <c r="I18453" s="0" t="s">
        <v>61355</v>
      </c>
      <c r="J18453" s="0" t="s">
        <v>61356</v>
      </c>
      <c r="K18453" s="0" t="s">
        <v>61357</v>
      </c>
      <c r="L18453" s="0" t="str">
        <f aca="false">HYPERLINK("https://www.ncbi.nlm.nih.gov/nuccore/CP000058.1?report=graph&amp;tracks=[key:gene_model_track,Options:GeneOnly]&amp;mk=5667943:5667962|offset_10|444444,5667880:5667899|offset_73|00cc00,5667846:5667865|offset_107|444444,5667813:5667832|offset_140|444444&amp;v=5667742:5668032&amp;c=444444", "offset 73")</f>
        <v>offset 73</v>
      </c>
    </row>
    <row r="18454" customFormat="false" ht="12.8" hidden="false" customHeight="false" outlineLevel="0" collapsed="false">
      <c r="A18454" s="0" t="s">
        <v>12</v>
      </c>
      <c r="B18454" s="0" t="n">
        <v>5667845</v>
      </c>
      <c r="C18454" s="0" t="n">
        <v>5667865</v>
      </c>
      <c r="D18454" s="0" t="s">
        <v>61351</v>
      </c>
      <c r="E18454" s="0" t="s">
        <v>75</v>
      </c>
      <c r="F18454" s="0" t="s">
        <v>90</v>
      </c>
      <c r="G18454" s="0" t="s">
        <v>16</v>
      </c>
      <c r="H18454" s="0" t="n">
        <v>107</v>
      </c>
      <c r="I18454" s="0" t="s">
        <v>61358</v>
      </c>
      <c r="J18454" s="0" t="s">
        <v>61359</v>
      </c>
      <c r="K18454" s="0" t="s">
        <v>61360</v>
      </c>
      <c r="L18454" s="0" t="str">
        <f aca="false">HYPERLINK("https://www.ncbi.nlm.nih.gov/nuccore/CP000058.1?report=graph&amp;tracks=[key:gene_model_track,Options:GeneOnly]&amp;mk=5667943:5667962|offset_10|444444,5667880:5667899|offset_73|444444,5667846:5667865|offset_107|00cc00,5667813:5667832|offset_140|444444&amp;v=5667742:5668032&amp;c=444444", "offset 107")</f>
        <v>offset 107</v>
      </c>
    </row>
    <row r="18455" customFormat="false" ht="12.8" hidden="false" customHeight="false" outlineLevel="0" collapsed="false">
      <c r="A18455" s="0" t="s">
        <v>12</v>
      </c>
      <c r="B18455" s="0" t="n">
        <v>5667812</v>
      </c>
      <c r="C18455" s="0" t="n">
        <v>5667832</v>
      </c>
      <c r="D18455" s="0" t="s">
        <v>61351</v>
      </c>
      <c r="E18455" s="0" t="s">
        <v>75</v>
      </c>
      <c r="F18455" s="0" t="s">
        <v>90</v>
      </c>
      <c r="G18455" s="0" t="s">
        <v>20</v>
      </c>
      <c r="H18455" s="0" t="n">
        <v>140</v>
      </c>
      <c r="I18455" s="0" t="s">
        <v>61361</v>
      </c>
      <c r="J18455" s="0" t="s">
        <v>61362</v>
      </c>
      <c r="K18455" s="0" t="s">
        <v>61363</v>
      </c>
      <c r="L18455" s="0" t="str">
        <f aca="false">HYPERLINK("https://www.ncbi.nlm.nih.gov/nuccore/CP000058.1?report=graph&amp;tracks=[key:gene_model_track,Options:GeneOnly]&amp;mk=5667943:5667962|offset_10|444444,5667880:5667899|offset_73|444444,5667846:5667865|offset_107|444444,5667813:5667832|offset_140|00cc00&amp;v=5667742:5668032&amp;c=444444", "offset 140")</f>
        <v>offset 140</v>
      </c>
    </row>
    <row r="18456" customFormat="false" ht="12.8" hidden="false" customHeight="false" outlineLevel="0" collapsed="false">
      <c r="A18456" s="0" t="s">
        <v>12</v>
      </c>
      <c r="B18456" s="0" t="n">
        <v>5668190</v>
      </c>
      <c r="C18456" s="0" t="n">
        <v>5668210</v>
      </c>
      <c r="D18456" s="0" t="s">
        <v>61364</v>
      </c>
      <c r="E18456" s="0" t="s">
        <v>75</v>
      </c>
      <c r="F18456" s="0" t="s">
        <v>15</v>
      </c>
      <c r="G18456" s="0" t="s">
        <v>16</v>
      </c>
      <c r="H18456" s="0" t="n">
        <v>9</v>
      </c>
      <c r="I18456" s="0" t="s">
        <v>61365</v>
      </c>
      <c r="J18456" s="0" t="s">
        <v>61366</v>
      </c>
      <c r="K18456" s="0" t="s">
        <v>61367</v>
      </c>
      <c r="L18456" s="0" t="str">
        <f aca="false">HYPERLINK("https://www.ncbi.nlm.nih.gov/nuccore/CP000058.1?report=graph&amp;tracks=[key:gene_model_track,Options:GeneOnly]&amp;mk=5668191:5668210|offset_9|00cc00,5668255:5668274|offset_73|444444,5668276:5668295|offset_94|444444,5668300:5668319|offset_118|444444&amp;v=5667990:5668519&amp;c=444444", "offset 9")</f>
        <v>offset 9</v>
      </c>
    </row>
    <row r="18457" customFormat="false" ht="12.8" hidden="false" customHeight="false" outlineLevel="0" collapsed="false">
      <c r="A18457" s="0" t="s">
        <v>12</v>
      </c>
      <c r="B18457" s="0" t="n">
        <v>5668254</v>
      </c>
      <c r="C18457" s="0" t="n">
        <v>5668274</v>
      </c>
      <c r="D18457" s="0" t="s">
        <v>61364</v>
      </c>
      <c r="E18457" s="0" t="s">
        <v>75</v>
      </c>
      <c r="F18457" s="0" t="s">
        <v>15</v>
      </c>
      <c r="G18457" s="0" t="s">
        <v>32</v>
      </c>
      <c r="H18457" s="0" t="n">
        <v>73</v>
      </c>
      <c r="I18457" s="0" t="s">
        <v>61368</v>
      </c>
      <c r="J18457" s="0" t="s">
        <v>61369</v>
      </c>
      <c r="K18457" s="0" t="s">
        <v>61370</v>
      </c>
      <c r="L18457" s="0" t="str">
        <f aca="false">HYPERLINK("https://www.ncbi.nlm.nih.gov/nuccore/CP000058.1?report=graph&amp;tracks=[key:gene_model_track,Options:GeneOnly]&amp;mk=5668191:5668210|offset_9|444444,5668255:5668274|offset_73|00cc00,5668276:5668295|offset_94|444444,5668300:5668319|offset_118|444444&amp;v=5667990:5668519&amp;c=444444", "offset 73")</f>
        <v>offset 73</v>
      </c>
    </row>
    <row r="18458" customFormat="false" ht="12.8" hidden="false" customHeight="false" outlineLevel="0" collapsed="false">
      <c r="A18458" s="0" t="s">
        <v>12</v>
      </c>
      <c r="B18458" s="0" t="n">
        <v>5668275</v>
      </c>
      <c r="C18458" s="0" t="n">
        <v>5668295</v>
      </c>
      <c r="D18458" s="0" t="s">
        <v>61364</v>
      </c>
      <c r="E18458" s="0" t="s">
        <v>75</v>
      </c>
      <c r="F18458" s="0" t="s">
        <v>15</v>
      </c>
      <c r="G18458" s="0" t="s">
        <v>36</v>
      </c>
      <c r="H18458" s="0" t="n">
        <v>94</v>
      </c>
      <c r="I18458" s="0" t="s">
        <v>61371</v>
      </c>
      <c r="J18458" s="0" t="s">
        <v>61372</v>
      </c>
      <c r="K18458" s="0" t="s">
        <v>61373</v>
      </c>
      <c r="L18458" s="0" t="str">
        <f aca="false">HYPERLINK("https://www.ncbi.nlm.nih.gov/nuccore/CP000058.1?report=graph&amp;tracks=[key:gene_model_track,Options:GeneOnly]&amp;mk=5668191:5668210|offset_9|444444,5668255:5668274|offset_73|444444,5668276:5668295|offset_94|00cc00,5668300:5668319|offset_118|444444&amp;v=5667990:5668519&amp;c=444444", "offset 94")</f>
        <v>offset 94</v>
      </c>
    </row>
    <row r="18459" customFormat="false" ht="12.8" hidden="false" customHeight="false" outlineLevel="0" collapsed="false">
      <c r="A18459" s="0" t="s">
        <v>12</v>
      </c>
      <c r="B18459" s="0" t="n">
        <v>5668299</v>
      </c>
      <c r="C18459" s="0" t="n">
        <v>5668319</v>
      </c>
      <c r="D18459" s="0" t="s">
        <v>61364</v>
      </c>
      <c r="E18459" s="0" t="s">
        <v>75</v>
      </c>
      <c r="F18459" s="0" t="s">
        <v>15</v>
      </c>
      <c r="G18459" s="0" t="s">
        <v>36</v>
      </c>
      <c r="H18459" s="0" t="n">
        <v>118</v>
      </c>
      <c r="I18459" s="0" t="s">
        <v>61374</v>
      </c>
      <c r="J18459" s="0" t="s">
        <v>61375</v>
      </c>
      <c r="K18459" s="0" t="s">
        <v>61376</v>
      </c>
      <c r="L18459" s="0" t="str">
        <f aca="false">HYPERLINK("https://www.ncbi.nlm.nih.gov/nuccore/CP000058.1?report=graph&amp;tracks=[key:gene_model_track,Options:GeneOnly]&amp;mk=5668191:5668210|offset_9|444444,5668255:5668274|offset_73|444444,5668276:5668295|offset_94|444444,5668300:5668319|offset_118|00cc00&amp;v=5667990:5668519&amp;c=444444", "offset 118")</f>
        <v>offset 118</v>
      </c>
    </row>
    <row r="18460" customFormat="false" ht="12.8" hidden="false" customHeight="false" outlineLevel="0" collapsed="false">
      <c r="A18460" s="0" t="s">
        <v>12</v>
      </c>
      <c r="B18460" s="0" t="n">
        <v>5669339</v>
      </c>
      <c r="C18460" s="0" t="n">
        <v>5669359</v>
      </c>
      <c r="D18460" s="0" t="s">
        <v>61377</v>
      </c>
      <c r="E18460" s="0" t="s">
        <v>75</v>
      </c>
      <c r="F18460" s="0" t="s">
        <v>90</v>
      </c>
      <c r="G18460" s="0" t="s">
        <v>36</v>
      </c>
      <c r="H18460" s="0" t="n">
        <v>12</v>
      </c>
      <c r="I18460" s="0" t="s">
        <v>61378</v>
      </c>
      <c r="J18460" s="0" t="s">
        <v>61379</v>
      </c>
      <c r="K18460" s="0" t="s">
        <v>61380</v>
      </c>
      <c r="L18460" s="0" t="str">
        <f aca="false">HYPERLINK("https://www.ncbi.nlm.nih.gov/nuccore/CP000058.1?report=graph&amp;tracks=[key:gene_model_track,Options:GeneOnly]&amp;mk=5669340:5669359|offset_12|00cc00,5669320:5669339|offset_32|444444,5669280:5669299|offset_72|444444,5669254:5669273|offset_98|444444&amp;v=5669139:5669473&amp;c=444444", "offset 12")</f>
        <v>offset 12</v>
      </c>
    </row>
    <row r="18461" customFormat="false" ht="12.8" hidden="false" customHeight="false" outlineLevel="0" collapsed="false">
      <c r="A18461" s="0" t="s">
        <v>12</v>
      </c>
      <c r="B18461" s="0" t="n">
        <v>5669319</v>
      </c>
      <c r="C18461" s="0" t="n">
        <v>5669339</v>
      </c>
      <c r="D18461" s="0" t="s">
        <v>61377</v>
      </c>
      <c r="E18461" s="0" t="s">
        <v>75</v>
      </c>
      <c r="F18461" s="0" t="s">
        <v>90</v>
      </c>
      <c r="G18461" s="0" t="s">
        <v>20</v>
      </c>
      <c r="H18461" s="0" t="n">
        <v>32</v>
      </c>
      <c r="I18461" s="0" t="s">
        <v>61381</v>
      </c>
      <c r="J18461" s="0" t="s">
        <v>61382</v>
      </c>
      <c r="K18461" s="0" t="s">
        <v>61383</v>
      </c>
      <c r="L18461" s="0" t="str">
        <f aca="false">HYPERLINK("https://www.ncbi.nlm.nih.gov/nuccore/CP000058.1?report=graph&amp;tracks=[key:gene_model_track,Options:GeneOnly]&amp;mk=5669340:5669359|offset_12|444444,5669320:5669339|offset_32|00cc00,5669280:5669299|offset_72|444444,5669254:5669273|offset_98|444444&amp;v=5669139:5669473&amp;c=444444", "offset 32")</f>
        <v>offset 32</v>
      </c>
    </row>
    <row r="18462" customFormat="false" ht="12.8" hidden="false" customHeight="false" outlineLevel="0" collapsed="false">
      <c r="A18462" s="0" t="s">
        <v>12</v>
      </c>
      <c r="B18462" s="0" t="n">
        <v>5669279</v>
      </c>
      <c r="C18462" s="0" t="n">
        <v>5669299</v>
      </c>
      <c r="D18462" s="0" t="s">
        <v>61377</v>
      </c>
      <c r="E18462" s="0" t="s">
        <v>75</v>
      </c>
      <c r="F18462" s="0" t="s">
        <v>90</v>
      </c>
      <c r="G18462" s="0" t="s">
        <v>32</v>
      </c>
      <c r="H18462" s="0" t="n">
        <v>72</v>
      </c>
      <c r="I18462" s="0" t="s">
        <v>61384</v>
      </c>
      <c r="J18462" s="0" t="s">
        <v>61385</v>
      </c>
      <c r="K18462" s="0" t="s">
        <v>61386</v>
      </c>
      <c r="L18462" s="0" t="str">
        <f aca="false">HYPERLINK("https://www.ncbi.nlm.nih.gov/nuccore/CP000058.1?report=graph&amp;tracks=[key:gene_model_track,Options:GeneOnly]&amp;mk=5669340:5669359|offset_12|444444,5669320:5669339|offset_32|444444,5669280:5669299|offset_72|00cc00,5669254:5669273|offset_98|444444&amp;v=5669139:5669473&amp;c=444444", "offset 72")</f>
        <v>offset 72</v>
      </c>
    </row>
    <row r="18463" customFormat="false" ht="12.8" hidden="false" customHeight="false" outlineLevel="0" collapsed="false">
      <c r="A18463" s="0" t="s">
        <v>12</v>
      </c>
      <c r="B18463" s="0" t="n">
        <v>5669253</v>
      </c>
      <c r="C18463" s="0" t="n">
        <v>5669273</v>
      </c>
      <c r="D18463" s="0" t="s">
        <v>61377</v>
      </c>
      <c r="E18463" s="0" t="s">
        <v>75</v>
      </c>
      <c r="F18463" s="0" t="s">
        <v>90</v>
      </c>
      <c r="G18463" s="0" t="s">
        <v>32</v>
      </c>
      <c r="H18463" s="0" t="n">
        <v>98</v>
      </c>
      <c r="I18463" s="0" t="s">
        <v>61387</v>
      </c>
      <c r="J18463" s="0" t="s">
        <v>61388</v>
      </c>
      <c r="K18463" s="0" t="s">
        <v>61389</v>
      </c>
      <c r="L18463" s="0" t="str">
        <f aca="false">HYPERLINK("https://www.ncbi.nlm.nih.gov/nuccore/CP000058.1?report=graph&amp;tracks=[key:gene_model_track,Options:GeneOnly]&amp;mk=5669340:5669359|offset_12|444444,5669320:5669339|offset_32|444444,5669280:5669299|offset_72|444444,5669254:5669273|offset_98|00cc00&amp;v=5669139:5669473&amp;c=444444", "offset 98")</f>
        <v>offset 98</v>
      </c>
    </row>
    <row r="18464" customFormat="false" ht="12.8" hidden="false" customHeight="false" outlineLevel="0" collapsed="false">
      <c r="A18464" s="0" t="s">
        <v>12</v>
      </c>
      <c r="B18464" s="0" t="n">
        <v>5669809</v>
      </c>
      <c r="C18464" s="0" t="n">
        <v>5669829</v>
      </c>
      <c r="D18464" s="0" t="s">
        <v>61390</v>
      </c>
      <c r="E18464" s="0" t="s">
        <v>61391</v>
      </c>
      <c r="F18464" s="0" t="s">
        <v>15</v>
      </c>
      <c r="G18464" s="0" t="s">
        <v>32</v>
      </c>
      <c r="H18464" s="0" t="n">
        <v>19</v>
      </c>
      <c r="I18464" s="0" t="s">
        <v>61392</v>
      </c>
      <c r="J18464" s="0" t="s">
        <v>61393</v>
      </c>
      <c r="K18464" s="0" t="s">
        <v>61394</v>
      </c>
      <c r="L18464" s="0" t="str">
        <f aca="false">HYPERLINK("https://www.ncbi.nlm.nih.gov/nuccore/CP000058.1?report=graph&amp;tracks=[key:gene_model_track,Options:GeneOnly]&amp;mk=5669810:5669829|offset_19|00cc00,5669879:5669898|offset_88|444444,5669958:5669977|offset_167|444444,5669984:5670003|offset_193|444444&amp;v=5669609:5670203&amp;c=444444", "offset 19")</f>
        <v>offset 19</v>
      </c>
    </row>
    <row r="18465" customFormat="false" ht="12.8" hidden="false" customHeight="false" outlineLevel="0" collapsed="false">
      <c r="A18465" s="0" t="s">
        <v>12</v>
      </c>
      <c r="B18465" s="0" t="n">
        <v>5669878</v>
      </c>
      <c r="C18465" s="0" t="n">
        <v>5669898</v>
      </c>
      <c r="D18465" s="0" t="s">
        <v>61390</v>
      </c>
      <c r="E18465" s="0" t="s">
        <v>61391</v>
      </c>
      <c r="F18465" s="0" t="s">
        <v>15</v>
      </c>
      <c r="G18465" s="0" t="s">
        <v>16</v>
      </c>
      <c r="H18465" s="0" t="n">
        <v>88</v>
      </c>
      <c r="I18465" s="0" t="s">
        <v>61395</v>
      </c>
      <c r="J18465" s="0" t="s">
        <v>61396</v>
      </c>
      <c r="K18465" s="0" t="s">
        <v>61397</v>
      </c>
      <c r="L18465" s="0" t="str">
        <f aca="false">HYPERLINK("https://www.ncbi.nlm.nih.gov/nuccore/CP000058.1?report=graph&amp;tracks=[key:gene_model_track,Options:GeneOnly]&amp;mk=5669810:5669829|offset_19|444444,5669879:5669898|offset_88|00cc00,5669958:5669977|offset_167|444444,5669984:5670003|offset_193|444444&amp;v=5669609:5670203&amp;c=444444", "offset 88")</f>
        <v>offset 88</v>
      </c>
    </row>
    <row r="18466" customFormat="false" ht="12.8" hidden="false" customHeight="false" outlineLevel="0" collapsed="false">
      <c r="A18466" s="0" t="s">
        <v>12</v>
      </c>
      <c r="B18466" s="0" t="n">
        <v>5669957</v>
      </c>
      <c r="C18466" s="0" t="n">
        <v>5669977</v>
      </c>
      <c r="D18466" s="0" t="s">
        <v>61390</v>
      </c>
      <c r="E18466" s="0" t="s">
        <v>61391</v>
      </c>
      <c r="F18466" s="0" t="s">
        <v>15</v>
      </c>
      <c r="G18466" s="0" t="s">
        <v>20</v>
      </c>
      <c r="H18466" s="0" t="n">
        <v>167</v>
      </c>
      <c r="I18466" s="0" t="s">
        <v>61398</v>
      </c>
      <c r="J18466" s="0" t="s">
        <v>61399</v>
      </c>
      <c r="K18466" s="0" t="s">
        <v>61400</v>
      </c>
      <c r="L18466" s="0" t="str">
        <f aca="false">HYPERLINK("https://www.ncbi.nlm.nih.gov/nuccore/CP000058.1?report=graph&amp;tracks=[key:gene_model_track,Options:GeneOnly]&amp;mk=5669810:5669829|offset_19|444444,5669879:5669898|offset_88|444444,5669958:5669977|offset_167|00cc00,5669984:5670003|offset_193|444444&amp;v=5669609:5670203&amp;c=444444", "offset 167")</f>
        <v>offset 167</v>
      </c>
    </row>
    <row r="18467" customFormat="false" ht="12.8" hidden="false" customHeight="false" outlineLevel="0" collapsed="false">
      <c r="A18467" s="0" t="s">
        <v>12</v>
      </c>
      <c r="B18467" s="0" t="n">
        <v>5669983</v>
      </c>
      <c r="C18467" s="0" t="n">
        <v>5670003</v>
      </c>
      <c r="D18467" s="0" t="s">
        <v>61390</v>
      </c>
      <c r="E18467" s="0" t="s">
        <v>61391</v>
      </c>
      <c r="F18467" s="0" t="s">
        <v>15</v>
      </c>
      <c r="G18467" s="0" t="s">
        <v>32</v>
      </c>
      <c r="H18467" s="0" t="n">
        <v>193</v>
      </c>
      <c r="I18467" s="0" t="s">
        <v>61401</v>
      </c>
      <c r="J18467" s="0" t="s">
        <v>61402</v>
      </c>
      <c r="K18467" s="0" t="s">
        <v>61403</v>
      </c>
      <c r="L18467" s="0" t="str">
        <f aca="false">HYPERLINK("https://www.ncbi.nlm.nih.gov/nuccore/CP000058.1?report=graph&amp;tracks=[key:gene_model_track,Options:GeneOnly]&amp;mk=5669810:5669829|offset_19|444444,5669879:5669898|offset_88|444444,5669958:5669977|offset_167|444444,5669984:5670003|offset_193|00cc00&amp;v=5669609:5670203&amp;c=444444", "offset 193")</f>
        <v>offset 193</v>
      </c>
    </row>
    <row r="18468" customFormat="false" ht="12.8" hidden="false" customHeight="false" outlineLevel="0" collapsed="false">
      <c r="A18468" s="0" t="s">
        <v>12</v>
      </c>
      <c r="B18468" s="0" t="n">
        <v>5670196</v>
      </c>
      <c r="C18468" s="0" t="n">
        <v>5670216</v>
      </c>
      <c r="D18468" s="0" t="s">
        <v>61404</v>
      </c>
      <c r="E18468" s="0" t="s">
        <v>61405</v>
      </c>
      <c r="F18468" s="0" t="s">
        <v>15</v>
      </c>
      <c r="G18468" s="0" t="s">
        <v>36</v>
      </c>
      <c r="H18468" s="0" t="n">
        <v>34</v>
      </c>
      <c r="I18468" s="0" t="s">
        <v>61406</v>
      </c>
      <c r="J18468" s="0" t="s">
        <v>61407</v>
      </c>
      <c r="K18468" s="0" t="s">
        <v>61408</v>
      </c>
      <c r="L18468" s="0" t="str">
        <f aca="false">HYPERLINK("https://www.ncbi.nlm.nih.gov/nuccore/CP000058.1?report=graph&amp;tracks=[key:gene_model_track,Options:GeneOnly]&amp;mk=5670197:5670216|offset_34|00cc00,5670217:5670236|offset_54|444444,5670240:5670259|offset_77|444444,5670290:5670309|offset_127|444444&amp;v=5669996:5670509&amp;c=444444", "offset 34")</f>
        <v>offset 34</v>
      </c>
    </row>
    <row r="18469" customFormat="false" ht="12.8" hidden="false" customHeight="false" outlineLevel="0" collapsed="false">
      <c r="A18469" s="0" t="s">
        <v>12</v>
      </c>
      <c r="B18469" s="0" t="n">
        <v>5670216</v>
      </c>
      <c r="C18469" s="0" t="n">
        <v>5670236</v>
      </c>
      <c r="D18469" s="0" t="s">
        <v>61404</v>
      </c>
      <c r="E18469" s="0" t="s">
        <v>61405</v>
      </c>
      <c r="F18469" s="0" t="s">
        <v>15</v>
      </c>
      <c r="G18469" s="0" t="s">
        <v>20</v>
      </c>
      <c r="H18469" s="0" t="n">
        <v>54</v>
      </c>
      <c r="I18469" s="0" t="s">
        <v>61409</v>
      </c>
      <c r="J18469" s="0" t="s">
        <v>61410</v>
      </c>
      <c r="K18469" s="0" t="s">
        <v>61411</v>
      </c>
      <c r="L18469" s="0" t="str">
        <f aca="false">HYPERLINK("https://www.ncbi.nlm.nih.gov/nuccore/CP000058.1?report=graph&amp;tracks=[key:gene_model_track,Options:GeneOnly]&amp;mk=5670197:5670216|offset_34|444444,5670217:5670236|offset_54|00cc00,5670240:5670259|offset_77|444444,5670290:5670309|offset_127|444444&amp;v=5669996:5670509&amp;c=444444", "offset 54")</f>
        <v>offset 54</v>
      </c>
    </row>
    <row r="18470" customFormat="false" ht="12.8" hidden="false" customHeight="false" outlineLevel="0" collapsed="false">
      <c r="A18470" s="0" t="s">
        <v>12</v>
      </c>
      <c r="B18470" s="0" t="n">
        <v>5670239</v>
      </c>
      <c r="C18470" s="0" t="n">
        <v>5670259</v>
      </c>
      <c r="D18470" s="0" t="s">
        <v>61404</v>
      </c>
      <c r="E18470" s="0" t="s">
        <v>61405</v>
      </c>
      <c r="F18470" s="0" t="s">
        <v>15</v>
      </c>
      <c r="G18470" s="0" t="s">
        <v>36</v>
      </c>
      <c r="H18470" s="0" t="n">
        <v>77</v>
      </c>
      <c r="I18470" s="0" t="s">
        <v>61412</v>
      </c>
      <c r="J18470" s="0" t="s">
        <v>61413</v>
      </c>
      <c r="K18470" s="0" t="s">
        <v>61414</v>
      </c>
      <c r="L18470" s="0" t="str">
        <f aca="false">HYPERLINK("https://www.ncbi.nlm.nih.gov/nuccore/CP000058.1?report=graph&amp;tracks=[key:gene_model_track,Options:GeneOnly]&amp;mk=5670197:5670216|offset_34|444444,5670217:5670236|offset_54|444444,5670240:5670259|offset_77|00cc00,5670290:5670309|offset_127|444444&amp;v=5669996:5670509&amp;c=444444", "offset 77")</f>
        <v>offset 77</v>
      </c>
    </row>
    <row r="18471" customFormat="false" ht="12.8" hidden="false" customHeight="false" outlineLevel="0" collapsed="false">
      <c r="A18471" s="0" t="s">
        <v>12</v>
      </c>
      <c r="B18471" s="0" t="n">
        <v>5670289</v>
      </c>
      <c r="C18471" s="0" t="n">
        <v>5670309</v>
      </c>
      <c r="D18471" s="0" t="s">
        <v>61404</v>
      </c>
      <c r="E18471" s="0" t="s">
        <v>61405</v>
      </c>
      <c r="F18471" s="0" t="s">
        <v>15</v>
      </c>
      <c r="G18471" s="0" t="s">
        <v>20</v>
      </c>
      <c r="H18471" s="0" t="n">
        <v>127</v>
      </c>
      <c r="I18471" s="0" t="s">
        <v>61415</v>
      </c>
      <c r="J18471" s="0" t="s">
        <v>61416</v>
      </c>
      <c r="K18471" s="0" t="s">
        <v>61417</v>
      </c>
      <c r="L18471" s="0" t="str">
        <f aca="false">HYPERLINK("https://www.ncbi.nlm.nih.gov/nuccore/CP000058.1?report=graph&amp;tracks=[key:gene_model_track,Options:GeneOnly]&amp;mk=5670197:5670216|offset_34|444444,5670217:5670236|offset_54|444444,5670240:5670259|offset_77|444444,5670290:5670309|offset_127|00cc00&amp;v=5669996:5670509&amp;c=444444", "offset 127")</f>
        <v>offset 127</v>
      </c>
    </row>
    <row r="18472" customFormat="false" ht="12.8" hidden="false" customHeight="false" outlineLevel="0" collapsed="false">
      <c r="A18472" s="0" t="s">
        <v>12</v>
      </c>
      <c r="B18472" s="0" t="n">
        <v>5671758</v>
      </c>
      <c r="C18472" s="0" t="n">
        <v>5671778</v>
      </c>
      <c r="D18472" s="0" t="s">
        <v>61418</v>
      </c>
      <c r="E18472" s="0" t="s">
        <v>75</v>
      </c>
      <c r="F18472" s="0" t="s">
        <v>15</v>
      </c>
      <c r="G18472" s="0" t="s">
        <v>32</v>
      </c>
      <c r="H18472" s="0" t="n">
        <v>16</v>
      </c>
      <c r="I18472" s="0" t="s">
        <v>61419</v>
      </c>
      <c r="J18472" s="0" t="s">
        <v>61420</v>
      </c>
      <c r="K18472" s="0" t="s">
        <v>61421</v>
      </c>
      <c r="L18472" s="0" t="str">
        <f aca="false">HYPERLINK("https://www.ncbi.nlm.nih.gov/nuccore/CP000058.1?report=graph&amp;tracks=[key:gene_model_track,Options:GeneOnly]&amp;mk=5671759:5671778|offset_16|00cc00,5671782:5671801|offset_39|444444,5671828:5671847|offset_85|444444,5671879:5671898|offset_136|444444&amp;v=5671558:5672098&amp;c=444444", "offset 16")</f>
        <v>offset 16</v>
      </c>
    </row>
    <row r="18473" customFormat="false" ht="12.8" hidden="false" customHeight="false" outlineLevel="0" collapsed="false">
      <c r="A18473" s="0" t="s">
        <v>12</v>
      </c>
      <c r="B18473" s="0" t="n">
        <v>5671781</v>
      </c>
      <c r="C18473" s="0" t="n">
        <v>5671801</v>
      </c>
      <c r="D18473" s="0" t="s">
        <v>61418</v>
      </c>
      <c r="E18473" s="0" t="s">
        <v>75</v>
      </c>
      <c r="F18473" s="0" t="s">
        <v>15</v>
      </c>
      <c r="G18473" s="0" t="s">
        <v>36</v>
      </c>
      <c r="H18473" s="0" t="n">
        <v>39</v>
      </c>
      <c r="I18473" s="0" t="s">
        <v>61422</v>
      </c>
      <c r="J18473" s="0" t="s">
        <v>61423</v>
      </c>
      <c r="K18473" s="0" t="s">
        <v>61424</v>
      </c>
      <c r="L18473" s="0" t="str">
        <f aca="false">HYPERLINK("https://www.ncbi.nlm.nih.gov/nuccore/CP000058.1?report=graph&amp;tracks=[key:gene_model_track,Options:GeneOnly]&amp;mk=5671759:5671778|offset_16|444444,5671782:5671801|offset_39|00cc00,5671828:5671847|offset_85|444444,5671879:5671898|offset_136|444444&amp;v=5671558:5672098&amp;c=444444", "offset 39")</f>
        <v>offset 39</v>
      </c>
    </row>
    <row r="18474" customFormat="false" ht="12.8" hidden="false" customHeight="false" outlineLevel="0" collapsed="false">
      <c r="A18474" s="0" t="s">
        <v>12</v>
      </c>
      <c r="B18474" s="0" t="n">
        <v>5671827</v>
      </c>
      <c r="C18474" s="0" t="n">
        <v>5671847</v>
      </c>
      <c r="D18474" s="0" t="s">
        <v>61418</v>
      </c>
      <c r="E18474" s="0" t="s">
        <v>75</v>
      </c>
      <c r="F18474" s="0" t="s">
        <v>15</v>
      </c>
      <c r="G18474" s="0" t="s">
        <v>36</v>
      </c>
      <c r="H18474" s="0" t="n">
        <v>85</v>
      </c>
      <c r="I18474" s="0" t="s">
        <v>61425</v>
      </c>
      <c r="J18474" s="0" t="s">
        <v>61426</v>
      </c>
      <c r="K18474" s="0" t="s">
        <v>61427</v>
      </c>
      <c r="L18474" s="0" t="str">
        <f aca="false">HYPERLINK("https://www.ncbi.nlm.nih.gov/nuccore/CP000058.1?report=graph&amp;tracks=[key:gene_model_track,Options:GeneOnly]&amp;mk=5671759:5671778|offset_16|444444,5671782:5671801|offset_39|444444,5671828:5671847|offset_85|00cc00,5671879:5671898|offset_136|444444&amp;v=5671558:5672098&amp;c=444444", "offset 85")</f>
        <v>offset 85</v>
      </c>
    </row>
    <row r="18475" customFormat="false" ht="12.8" hidden="false" customHeight="false" outlineLevel="0" collapsed="false">
      <c r="A18475" s="0" t="s">
        <v>12</v>
      </c>
      <c r="B18475" s="0" t="n">
        <v>5671878</v>
      </c>
      <c r="C18475" s="0" t="n">
        <v>5671898</v>
      </c>
      <c r="D18475" s="0" t="s">
        <v>61418</v>
      </c>
      <c r="E18475" s="0" t="s">
        <v>75</v>
      </c>
      <c r="F18475" s="0" t="s">
        <v>15</v>
      </c>
      <c r="G18475" s="0" t="s">
        <v>20</v>
      </c>
      <c r="H18475" s="0" t="n">
        <v>136</v>
      </c>
      <c r="I18475" s="0" t="s">
        <v>61428</v>
      </c>
      <c r="J18475" s="0" t="s">
        <v>61429</v>
      </c>
      <c r="K18475" s="0" t="s">
        <v>61430</v>
      </c>
      <c r="L18475" s="0" t="str">
        <f aca="false">HYPERLINK("https://www.ncbi.nlm.nih.gov/nuccore/CP000058.1?report=graph&amp;tracks=[key:gene_model_track,Options:GeneOnly]&amp;mk=5671759:5671778|offset_16|444444,5671782:5671801|offset_39|444444,5671828:5671847|offset_85|444444,5671879:5671898|offset_136|00cc00&amp;v=5671558:5672098&amp;c=444444", "offset 136")</f>
        <v>offset 136</v>
      </c>
    </row>
    <row r="18476" customFormat="false" ht="12.8" hidden="false" customHeight="false" outlineLevel="0" collapsed="false">
      <c r="A18476" s="0" t="s">
        <v>12</v>
      </c>
      <c r="B18476" s="0" t="n">
        <v>5672310</v>
      </c>
      <c r="C18476" s="0" t="n">
        <v>5672330</v>
      </c>
      <c r="D18476" s="0" t="s">
        <v>61431</v>
      </c>
      <c r="E18476" s="0" t="s">
        <v>75</v>
      </c>
      <c r="F18476" s="0" t="s">
        <v>15</v>
      </c>
      <c r="G18476" s="0" t="s">
        <v>20</v>
      </c>
      <c r="H18476" s="0" t="n">
        <v>44</v>
      </c>
      <c r="I18476" s="0" t="s">
        <v>61432</v>
      </c>
      <c r="J18476" s="0" t="s">
        <v>61433</v>
      </c>
      <c r="K18476" s="0" t="s">
        <v>61434</v>
      </c>
      <c r="L18476" s="0" t="str">
        <f aca="false">HYPERLINK("https://www.ncbi.nlm.nih.gov/nuccore/CP000058.1?report=graph&amp;tracks=[key:gene_model_track,Options:GeneOnly]&amp;mk=5672311:5672330|offset_44|00cc00,5672346:5672365|offset_79|444444,5672367:5672386|offset_100|444444,5672390:5672409|offset_123|444444&amp;v=5672110:5672609&amp;c=444444", "offset 44")</f>
        <v>offset 44</v>
      </c>
    </row>
    <row r="18477" customFormat="false" ht="12.8" hidden="false" customHeight="false" outlineLevel="0" collapsed="false">
      <c r="A18477" s="0" t="s">
        <v>12</v>
      </c>
      <c r="B18477" s="0" t="n">
        <v>5672345</v>
      </c>
      <c r="C18477" s="0" t="n">
        <v>5672365</v>
      </c>
      <c r="D18477" s="0" t="s">
        <v>61431</v>
      </c>
      <c r="E18477" s="0" t="s">
        <v>75</v>
      </c>
      <c r="F18477" s="0" t="s">
        <v>15</v>
      </c>
      <c r="G18477" s="0" t="s">
        <v>20</v>
      </c>
      <c r="H18477" s="0" t="n">
        <v>79</v>
      </c>
      <c r="I18477" s="0" t="s">
        <v>61435</v>
      </c>
      <c r="J18477" s="0" t="s">
        <v>61436</v>
      </c>
      <c r="K18477" s="0" t="s">
        <v>61437</v>
      </c>
      <c r="L18477" s="0" t="str">
        <f aca="false">HYPERLINK("https://www.ncbi.nlm.nih.gov/nuccore/CP000058.1?report=graph&amp;tracks=[key:gene_model_track,Options:GeneOnly]&amp;mk=5672311:5672330|offset_44|444444,5672346:5672365|offset_79|00cc00,5672367:5672386|offset_100|444444,5672390:5672409|offset_123|444444&amp;v=5672110:5672609&amp;c=444444", "offset 79")</f>
        <v>offset 79</v>
      </c>
    </row>
    <row r="18478" customFormat="false" ht="12.8" hidden="false" customHeight="false" outlineLevel="0" collapsed="false">
      <c r="A18478" s="0" t="s">
        <v>12</v>
      </c>
      <c r="B18478" s="0" t="n">
        <v>5672366</v>
      </c>
      <c r="C18478" s="0" t="n">
        <v>5672386</v>
      </c>
      <c r="D18478" s="0" t="s">
        <v>61431</v>
      </c>
      <c r="E18478" s="0" t="s">
        <v>75</v>
      </c>
      <c r="F18478" s="0" t="s">
        <v>15</v>
      </c>
      <c r="G18478" s="0" t="s">
        <v>16</v>
      </c>
      <c r="H18478" s="0" t="n">
        <v>100</v>
      </c>
      <c r="I18478" s="0" t="s">
        <v>61438</v>
      </c>
      <c r="J18478" s="0" t="s">
        <v>61439</v>
      </c>
      <c r="K18478" s="0" t="s">
        <v>61440</v>
      </c>
      <c r="L18478" s="0" t="str">
        <f aca="false">HYPERLINK("https://www.ncbi.nlm.nih.gov/nuccore/CP000058.1?report=graph&amp;tracks=[key:gene_model_track,Options:GeneOnly]&amp;mk=5672311:5672330|offset_44|444444,5672346:5672365|offset_79|444444,5672367:5672386|offset_100|00cc00,5672390:5672409|offset_123|444444&amp;v=5672110:5672609&amp;c=444444", "offset 100")</f>
        <v>offset 100</v>
      </c>
    </row>
    <row r="18479" customFormat="false" ht="12.8" hidden="false" customHeight="false" outlineLevel="0" collapsed="false">
      <c r="A18479" s="0" t="s">
        <v>12</v>
      </c>
      <c r="B18479" s="0" t="n">
        <v>5672389</v>
      </c>
      <c r="C18479" s="0" t="n">
        <v>5672409</v>
      </c>
      <c r="D18479" s="0" t="s">
        <v>61431</v>
      </c>
      <c r="E18479" s="0" t="s">
        <v>75</v>
      </c>
      <c r="F18479" s="0" t="s">
        <v>15</v>
      </c>
      <c r="G18479" s="0" t="s">
        <v>16</v>
      </c>
      <c r="H18479" s="0" t="n">
        <v>123</v>
      </c>
      <c r="I18479" s="0" t="s">
        <v>61441</v>
      </c>
      <c r="J18479" s="0" t="s">
        <v>61442</v>
      </c>
      <c r="K18479" s="0" t="s">
        <v>61443</v>
      </c>
      <c r="L18479" s="0" t="str">
        <f aca="false">HYPERLINK("https://www.ncbi.nlm.nih.gov/nuccore/CP000058.1?report=graph&amp;tracks=[key:gene_model_track,Options:GeneOnly]&amp;mk=5672311:5672330|offset_44|444444,5672346:5672365|offset_79|444444,5672367:5672386|offset_100|444444,5672390:5672409|offset_123|00cc00&amp;v=5672110:5672609&amp;c=444444", "offset 123")</f>
        <v>offset 123</v>
      </c>
    </row>
    <row r="18480" customFormat="false" ht="12.8" hidden="false" customHeight="false" outlineLevel="0" collapsed="false">
      <c r="A18480" s="0" t="s">
        <v>12</v>
      </c>
      <c r="B18480" s="0" t="n">
        <v>5673290</v>
      </c>
      <c r="C18480" s="0" t="n">
        <v>5673310</v>
      </c>
      <c r="D18480" s="0" t="s">
        <v>61444</v>
      </c>
      <c r="E18480" s="0" t="s">
        <v>75</v>
      </c>
      <c r="F18480" s="0" t="s">
        <v>90</v>
      </c>
      <c r="G18480" s="0" t="s">
        <v>36</v>
      </c>
      <c r="H18480" s="0" t="n">
        <v>53</v>
      </c>
      <c r="I18480" s="0" t="s">
        <v>61445</v>
      </c>
      <c r="J18480" s="0" t="s">
        <v>61446</v>
      </c>
      <c r="K18480" s="0" t="s">
        <v>61447</v>
      </c>
      <c r="L18480" s="0" t="str">
        <f aca="false">HYPERLINK("https://www.ncbi.nlm.nih.gov/nuccore/CP000058.1?report=graph&amp;tracks=[key:gene_model_track,Options:GeneOnly]&amp;mk=5673291:5673310|offset_53|00cc00,5673247:5673266|offset_97|444444,5673218:5673237|offset_126|444444,5673186:5673205|offset_158|444444&amp;v=5673090:5673405&amp;c=444444", "offset 53")</f>
        <v>offset 53</v>
      </c>
    </row>
    <row r="18481" customFormat="false" ht="12.8" hidden="false" customHeight="false" outlineLevel="0" collapsed="false">
      <c r="A18481" s="0" t="s">
        <v>12</v>
      </c>
      <c r="B18481" s="0" t="n">
        <v>5673246</v>
      </c>
      <c r="C18481" s="0" t="n">
        <v>5673266</v>
      </c>
      <c r="D18481" s="0" t="s">
        <v>61444</v>
      </c>
      <c r="E18481" s="0" t="s">
        <v>75</v>
      </c>
      <c r="F18481" s="0" t="s">
        <v>90</v>
      </c>
      <c r="G18481" s="0" t="s">
        <v>16</v>
      </c>
      <c r="H18481" s="0" t="n">
        <v>97</v>
      </c>
      <c r="I18481" s="0" t="s">
        <v>61448</v>
      </c>
      <c r="J18481" s="0" t="s">
        <v>61449</v>
      </c>
      <c r="K18481" s="0" t="s">
        <v>61450</v>
      </c>
      <c r="L18481" s="0" t="str">
        <f aca="false">HYPERLINK("https://www.ncbi.nlm.nih.gov/nuccore/CP000058.1?report=graph&amp;tracks=[key:gene_model_track,Options:GeneOnly]&amp;mk=5673291:5673310|offset_53|444444,5673247:5673266|offset_97|00cc00,5673218:5673237|offset_126|444444,5673186:5673205|offset_158|444444&amp;v=5673090:5673405&amp;c=444444", "offset 97")</f>
        <v>offset 97</v>
      </c>
    </row>
    <row r="18482" customFormat="false" ht="12.8" hidden="false" customHeight="false" outlineLevel="0" collapsed="false">
      <c r="A18482" s="0" t="s">
        <v>12</v>
      </c>
      <c r="B18482" s="0" t="n">
        <v>5673217</v>
      </c>
      <c r="C18482" s="0" t="n">
        <v>5673237</v>
      </c>
      <c r="D18482" s="0" t="s">
        <v>61444</v>
      </c>
      <c r="E18482" s="0" t="s">
        <v>75</v>
      </c>
      <c r="F18482" s="0" t="s">
        <v>90</v>
      </c>
      <c r="G18482" s="0" t="s">
        <v>20</v>
      </c>
      <c r="H18482" s="0" t="n">
        <v>126</v>
      </c>
      <c r="I18482" s="0" t="s">
        <v>61451</v>
      </c>
      <c r="J18482" s="0" t="s">
        <v>61452</v>
      </c>
      <c r="K18482" s="0" t="s">
        <v>61453</v>
      </c>
      <c r="L18482" s="0" t="str">
        <f aca="false">HYPERLINK("https://www.ncbi.nlm.nih.gov/nuccore/CP000058.1?report=graph&amp;tracks=[key:gene_model_track,Options:GeneOnly]&amp;mk=5673291:5673310|offset_53|444444,5673247:5673266|offset_97|444444,5673218:5673237|offset_126|00cc00,5673186:5673205|offset_158|444444&amp;v=5673090:5673405&amp;c=444444", "offset 126")</f>
        <v>offset 126</v>
      </c>
    </row>
    <row r="18483" customFormat="false" ht="12.8" hidden="false" customHeight="false" outlineLevel="0" collapsed="false">
      <c r="A18483" s="0" t="s">
        <v>12</v>
      </c>
      <c r="B18483" s="0" t="n">
        <v>5673185</v>
      </c>
      <c r="C18483" s="0" t="n">
        <v>5673205</v>
      </c>
      <c r="D18483" s="0" t="s">
        <v>61444</v>
      </c>
      <c r="E18483" s="0" t="s">
        <v>75</v>
      </c>
      <c r="F18483" s="0" t="s">
        <v>90</v>
      </c>
      <c r="G18483" s="0" t="s">
        <v>20</v>
      </c>
      <c r="H18483" s="0" t="n">
        <v>158</v>
      </c>
      <c r="I18483" s="0" t="s">
        <v>61454</v>
      </c>
      <c r="J18483" s="0" t="s">
        <v>61455</v>
      </c>
      <c r="K18483" s="0" t="s">
        <v>61456</v>
      </c>
      <c r="L18483" s="0" t="str">
        <f aca="false">HYPERLINK("https://www.ncbi.nlm.nih.gov/nuccore/CP000058.1?report=graph&amp;tracks=[key:gene_model_track,Options:GeneOnly]&amp;mk=5673291:5673310|offset_53|444444,5673247:5673266|offset_97|444444,5673218:5673237|offset_126|444444,5673186:5673205|offset_158|00cc00&amp;v=5673090:5673405&amp;c=444444", "offset 158")</f>
        <v>offset 158</v>
      </c>
    </row>
    <row r="18484" customFormat="false" ht="12.8" hidden="false" customHeight="false" outlineLevel="0" collapsed="false">
      <c r="A18484" s="0" t="s">
        <v>12</v>
      </c>
      <c r="B18484" s="0" t="n">
        <v>5674213</v>
      </c>
      <c r="C18484" s="0" t="n">
        <v>5674233</v>
      </c>
      <c r="D18484" s="0" t="s">
        <v>61457</v>
      </c>
      <c r="E18484" s="0" t="s">
        <v>61458</v>
      </c>
      <c r="F18484" s="0" t="s">
        <v>90</v>
      </c>
      <c r="G18484" s="0" t="s">
        <v>20</v>
      </c>
      <c r="H18484" s="0" t="n">
        <v>22</v>
      </c>
      <c r="I18484" s="0" t="s">
        <v>61459</v>
      </c>
      <c r="J18484" s="0" t="s">
        <v>61460</v>
      </c>
      <c r="K18484" s="0" t="s">
        <v>61461</v>
      </c>
      <c r="L18484" s="0" t="str">
        <f aca="false">HYPERLINK("https://www.ncbi.nlm.nih.gov/nuccore/CP000058.1?report=graph&amp;tracks=[key:gene_model_track,Options:GeneOnly]&amp;mk=5674214:5674233|offset_22|00cc00,5674176:5674195|offset_60|444444,5674156:5674175|offset_80|444444,5674123:5674142|offset_113|444444&amp;v=5674013:5674342&amp;c=444444", "offset 22")</f>
        <v>offset 22</v>
      </c>
    </row>
    <row r="18485" customFormat="false" ht="12.8" hidden="false" customHeight="false" outlineLevel="0" collapsed="false">
      <c r="A18485" s="0" t="s">
        <v>12</v>
      </c>
      <c r="B18485" s="0" t="n">
        <v>5674175</v>
      </c>
      <c r="C18485" s="0" t="n">
        <v>5674195</v>
      </c>
      <c r="D18485" s="0" t="s">
        <v>61457</v>
      </c>
      <c r="E18485" s="0" t="s">
        <v>61458</v>
      </c>
      <c r="F18485" s="0" t="s">
        <v>90</v>
      </c>
      <c r="G18485" s="0" t="s">
        <v>20</v>
      </c>
      <c r="H18485" s="0" t="n">
        <v>60</v>
      </c>
      <c r="I18485" s="0" t="s">
        <v>61462</v>
      </c>
      <c r="J18485" s="0" t="s">
        <v>61463</v>
      </c>
      <c r="K18485" s="0" t="s">
        <v>61464</v>
      </c>
      <c r="L18485" s="0" t="str">
        <f aca="false">HYPERLINK("https://www.ncbi.nlm.nih.gov/nuccore/CP000058.1?report=graph&amp;tracks=[key:gene_model_track,Options:GeneOnly]&amp;mk=5674214:5674233|offset_22|444444,5674176:5674195|offset_60|00cc00,5674156:5674175|offset_80|444444,5674123:5674142|offset_113|444444&amp;v=5674013:5674342&amp;c=444444", "offset 60")</f>
        <v>offset 60</v>
      </c>
    </row>
    <row r="18486" customFormat="false" ht="12.8" hidden="false" customHeight="false" outlineLevel="0" collapsed="false">
      <c r="A18486" s="0" t="s">
        <v>12</v>
      </c>
      <c r="B18486" s="0" t="n">
        <v>5674155</v>
      </c>
      <c r="C18486" s="0" t="n">
        <v>5674175</v>
      </c>
      <c r="D18486" s="0" t="s">
        <v>61457</v>
      </c>
      <c r="E18486" s="0" t="s">
        <v>61458</v>
      </c>
      <c r="F18486" s="0" t="s">
        <v>90</v>
      </c>
      <c r="G18486" s="0" t="s">
        <v>16</v>
      </c>
      <c r="H18486" s="0" t="n">
        <v>80</v>
      </c>
      <c r="I18486" s="0" t="s">
        <v>61465</v>
      </c>
      <c r="J18486" s="0" t="s">
        <v>61466</v>
      </c>
      <c r="K18486" s="0" t="s">
        <v>61467</v>
      </c>
      <c r="L18486" s="0" t="str">
        <f aca="false">HYPERLINK("https://www.ncbi.nlm.nih.gov/nuccore/CP000058.1?report=graph&amp;tracks=[key:gene_model_track,Options:GeneOnly]&amp;mk=5674214:5674233|offset_22|444444,5674176:5674195|offset_60|444444,5674156:5674175|offset_80|00cc00,5674123:5674142|offset_113|444444&amp;v=5674013:5674342&amp;c=444444", "offset 80")</f>
        <v>offset 80</v>
      </c>
    </row>
    <row r="18487" customFormat="false" ht="12.8" hidden="false" customHeight="false" outlineLevel="0" collapsed="false">
      <c r="A18487" s="0" t="s">
        <v>12</v>
      </c>
      <c r="B18487" s="0" t="n">
        <v>5674122</v>
      </c>
      <c r="C18487" s="0" t="n">
        <v>5674142</v>
      </c>
      <c r="D18487" s="0" t="s">
        <v>61457</v>
      </c>
      <c r="E18487" s="0" t="s">
        <v>61458</v>
      </c>
      <c r="F18487" s="0" t="s">
        <v>90</v>
      </c>
      <c r="G18487" s="0" t="s">
        <v>32</v>
      </c>
      <c r="H18487" s="0" t="n">
        <v>113</v>
      </c>
      <c r="I18487" s="0" t="s">
        <v>61468</v>
      </c>
      <c r="J18487" s="0" t="s">
        <v>61469</v>
      </c>
      <c r="K18487" s="0" t="s">
        <v>61470</v>
      </c>
      <c r="L18487" s="0" t="str">
        <f aca="false">HYPERLINK("https://www.ncbi.nlm.nih.gov/nuccore/CP000058.1?report=graph&amp;tracks=[key:gene_model_track,Options:GeneOnly]&amp;mk=5674214:5674233|offset_22|444444,5674176:5674195|offset_60|444444,5674156:5674175|offset_80|444444,5674123:5674142|offset_113|00cc00&amp;v=5674013:5674342&amp;c=444444", "offset 113")</f>
        <v>offset 113</v>
      </c>
    </row>
    <row r="18488" customFormat="false" ht="12.8" hidden="false" customHeight="false" outlineLevel="0" collapsed="false">
      <c r="A18488" s="0" t="s">
        <v>12</v>
      </c>
      <c r="B18488" s="0" t="n">
        <v>5674971</v>
      </c>
      <c r="C18488" s="0" t="n">
        <v>5674991</v>
      </c>
      <c r="D18488" s="0" t="s">
        <v>61471</v>
      </c>
      <c r="E18488" s="0" t="s">
        <v>75</v>
      </c>
      <c r="F18488" s="0" t="s">
        <v>90</v>
      </c>
      <c r="G18488" s="0" t="s">
        <v>32</v>
      </c>
      <c r="H18488" s="0" t="n">
        <v>1</v>
      </c>
      <c r="I18488" s="0" t="s">
        <v>61472</v>
      </c>
      <c r="J18488" s="0" t="s">
        <v>61473</v>
      </c>
      <c r="K18488" s="0" t="s">
        <v>61474</v>
      </c>
      <c r="L18488" s="0" t="str">
        <f aca="false">HYPERLINK("https://www.ncbi.nlm.nih.gov/nuccore/CP000058.1?report=graph&amp;tracks=[key:gene_model_track,Options:GeneOnly]&amp;mk=5674972:5674991|offset_1|00cc00,5674939:5674958|offset_34|444444,5674907:5674926|offset_66|444444,5674879:5674898|offset_94|444444&amp;v=5674771:5675098&amp;c=444444", "offset 1")</f>
        <v>offset 1</v>
      </c>
    </row>
    <row r="18489" customFormat="false" ht="12.8" hidden="false" customHeight="false" outlineLevel="0" collapsed="false">
      <c r="A18489" s="0" t="s">
        <v>12</v>
      </c>
      <c r="B18489" s="0" t="n">
        <v>5674938</v>
      </c>
      <c r="C18489" s="0" t="n">
        <v>5674958</v>
      </c>
      <c r="D18489" s="0" t="s">
        <v>61471</v>
      </c>
      <c r="E18489" s="0" t="s">
        <v>75</v>
      </c>
      <c r="F18489" s="0" t="s">
        <v>90</v>
      </c>
      <c r="G18489" s="0" t="s">
        <v>36</v>
      </c>
      <c r="H18489" s="0" t="n">
        <v>34</v>
      </c>
      <c r="I18489" s="0" t="s">
        <v>61475</v>
      </c>
      <c r="J18489" s="0" t="s">
        <v>61476</v>
      </c>
      <c r="K18489" s="0" t="s">
        <v>61477</v>
      </c>
      <c r="L18489" s="0" t="str">
        <f aca="false">HYPERLINK("https://www.ncbi.nlm.nih.gov/nuccore/CP000058.1?report=graph&amp;tracks=[key:gene_model_track,Options:GeneOnly]&amp;mk=5674972:5674991|offset_1|444444,5674939:5674958|offset_34|00cc00,5674907:5674926|offset_66|444444,5674879:5674898|offset_94|444444&amp;v=5674771:5675098&amp;c=444444", "offset 34")</f>
        <v>offset 34</v>
      </c>
    </row>
    <row r="18490" customFormat="false" ht="12.8" hidden="false" customHeight="false" outlineLevel="0" collapsed="false">
      <c r="A18490" s="0" t="s">
        <v>12</v>
      </c>
      <c r="B18490" s="0" t="n">
        <v>5674906</v>
      </c>
      <c r="C18490" s="0" t="n">
        <v>5674926</v>
      </c>
      <c r="D18490" s="0" t="s">
        <v>61471</v>
      </c>
      <c r="E18490" s="0" t="s">
        <v>75</v>
      </c>
      <c r="F18490" s="0" t="s">
        <v>90</v>
      </c>
      <c r="G18490" s="0" t="s">
        <v>32</v>
      </c>
      <c r="H18490" s="0" t="n">
        <v>66</v>
      </c>
      <c r="I18490" s="0" t="s">
        <v>61478</v>
      </c>
      <c r="J18490" s="0" t="s">
        <v>61479</v>
      </c>
      <c r="K18490" s="0" t="s">
        <v>61480</v>
      </c>
      <c r="L18490" s="0" t="str">
        <f aca="false">HYPERLINK("https://www.ncbi.nlm.nih.gov/nuccore/CP000058.1?report=graph&amp;tracks=[key:gene_model_track,Options:GeneOnly]&amp;mk=5674972:5674991|offset_1|444444,5674939:5674958|offset_34|444444,5674907:5674926|offset_66|00cc00,5674879:5674898|offset_94|444444&amp;v=5674771:5675098&amp;c=444444", "offset 66")</f>
        <v>offset 66</v>
      </c>
    </row>
    <row r="18491" customFormat="false" ht="12.8" hidden="false" customHeight="false" outlineLevel="0" collapsed="false">
      <c r="A18491" s="0" t="s">
        <v>12</v>
      </c>
      <c r="B18491" s="0" t="n">
        <v>5674878</v>
      </c>
      <c r="C18491" s="0" t="n">
        <v>5674898</v>
      </c>
      <c r="D18491" s="0" t="s">
        <v>61471</v>
      </c>
      <c r="E18491" s="0" t="s">
        <v>75</v>
      </c>
      <c r="F18491" s="0" t="s">
        <v>90</v>
      </c>
      <c r="G18491" s="0" t="s">
        <v>20</v>
      </c>
      <c r="H18491" s="0" t="n">
        <v>94</v>
      </c>
      <c r="I18491" s="0" t="s">
        <v>61481</v>
      </c>
      <c r="J18491" s="0" t="s">
        <v>61482</v>
      </c>
      <c r="K18491" s="0" t="s">
        <v>61483</v>
      </c>
      <c r="L18491" s="0" t="str">
        <f aca="false">HYPERLINK("https://www.ncbi.nlm.nih.gov/nuccore/CP000058.1?report=graph&amp;tracks=[key:gene_model_track,Options:GeneOnly]&amp;mk=5674972:5674991|offset_1|444444,5674939:5674958|offset_34|444444,5674907:5674926|offset_66|444444,5674879:5674898|offset_94|00cc00&amp;v=5674771:5675098&amp;c=444444", "offset 94")</f>
        <v>offset 94</v>
      </c>
    </row>
    <row r="18492" customFormat="false" ht="12.8" hidden="false" customHeight="false" outlineLevel="0" collapsed="false">
      <c r="A18492" s="0" t="s">
        <v>12</v>
      </c>
      <c r="B18492" s="0" t="n">
        <v>5675816</v>
      </c>
      <c r="C18492" s="0" t="n">
        <v>5675836</v>
      </c>
      <c r="D18492" s="0" t="s">
        <v>61484</v>
      </c>
      <c r="E18492" s="0" t="s">
        <v>61485</v>
      </c>
      <c r="F18492" s="0" t="s">
        <v>90</v>
      </c>
      <c r="G18492" s="0" t="s">
        <v>36</v>
      </c>
      <c r="H18492" s="0" t="n">
        <v>0</v>
      </c>
      <c r="I18492" s="0" t="s">
        <v>61486</v>
      </c>
      <c r="J18492" s="0" t="s">
        <v>61487</v>
      </c>
      <c r="K18492" s="0" t="s">
        <v>61488</v>
      </c>
      <c r="L18492" s="0" t="str">
        <f aca="false">HYPERLINK("https://www.ncbi.nlm.nih.gov/nuccore/CP000058.1?report=graph&amp;tracks=[key:gene_model_track,Options:GeneOnly]&amp;mk=5675817:5675836|offset_0|00cc00,5675764:5675783|offset_53|444444,5675730:5675749|offset_87|444444,5675704:5675723|offset_113|444444&amp;v=5675616:5675923&amp;c=444444", "offset 0")</f>
        <v>offset 0</v>
      </c>
    </row>
    <row r="18493" customFormat="false" ht="12.8" hidden="false" customHeight="false" outlineLevel="0" collapsed="false">
      <c r="A18493" s="0" t="s">
        <v>12</v>
      </c>
      <c r="B18493" s="0" t="n">
        <v>5675763</v>
      </c>
      <c r="C18493" s="0" t="n">
        <v>5675783</v>
      </c>
      <c r="D18493" s="0" t="s">
        <v>61484</v>
      </c>
      <c r="E18493" s="0" t="s">
        <v>61485</v>
      </c>
      <c r="F18493" s="0" t="s">
        <v>90</v>
      </c>
      <c r="G18493" s="0" t="s">
        <v>20</v>
      </c>
      <c r="H18493" s="0" t="n">
        <v>53</v>
      </c>
      <c r="I18493" s="0" t="s">
        <v>61489</v>
      </c>
      <c r="J18493" s="0" t="s">
        <v>61490</v>
      </c>
      <c r="K18493" s="0" t="s">
        <v>61491</v>
      </c>
      <c r="L18493" s="0" t="str">
        <f aca="false">HYPERLINK("https://www.ncbi.nlm.nih.gov/nuccore/CP000058.1?report=graph&amp;tracks=[key:gene_model_track,Options:GeneOnly]&amp;mk=5675817:5675836|offset_0|444444,5675764:5675783|offset_53|00cc00,5675730:5675749|offset_87|444444,5675704:5675723|offset_113|444444&amp;v=5675616:5675923&amp;c=444444", "offset 53")</f>
        <v>offset 53</v>
      </c>
    </row>
    <row r="18494" customFormat="false" ht="12.8" hidden="false" customHeight="false" outlineLevel="0" collapsed="false">
      <c r="A18494" s="0" t="s">
        <v>12</v>
      </c>
      <c r="B18494" s="0" t="n">
        <v>5675729</v>
      </c>
      <c r="C18494" s="0" t="n">
        <v>5675749</v>
      </c>
      <c r="D18494" s="0" t="s">
        <v>61484</v>
      </c>
      <c r="E18494" s="0" t="s">
        <v>61485</v>
      </c>
      <c r="F18494" s="0" t="s">
        <v>90</v>
      </c>
      <c r="G18494" s="0" t="s">
        <v>36</v>
      </c>
      <c r="H18494" s="0" t="n">
        <v>87</v>
      </c>
      <c r="I18494" s="0" t="s">
        <v>61492</v>
      </c>
      <c r="J18494" s="0" t="s">
        <v>61493</v>
      </c>
      <c r="K18494" s="0" t="s">
        <v>61494</v>
      </c>
      <c r="L18494" s="0" t="str">
        <f aca="false">HYPERLINK("https://www.ncbi.nlm.nih.gov/nuccore/CP000058.1?report=graph&amp;tracks=[key:gene_model_track,Options:GeneOnly]&amp;mk=5675817:5675836|offset_0|444444,5675764:5675783|offset_53|444444,5675730:5675749|offset_87|00cc00,5675704:5675723|offset_113|444444&amp;v=5675616:5675923&amp;c=444444", "offset 87")</f>
        <v>offset 87</v>
      </c>
    </row>
    <row r="18495" customFormat="false" ht="12.8" hidden="false" customHeight="false" outlineLevel="0" collapsed="false">
      <c r="A18495" s="0" t="s">
        <v>12</v>
      </c>
      <c r="B18495" s="0" t="n">
        <v>5675703</v>
      </c>
      <c r="C18495" s="0" t="n">
        <v>5675723</v>
      </c>
      <c r="D18495" s="0" t="s">
        <v>61484</v>
      </c>
      <c r="E18495" s="0" t="s">
        <v>61485</v>
      </c>
      <c r="F18495" s="0" t="s">
        <v>90</v>
      </c>
      <c r="G18495" s="0" t="s">
        <v>16</v>
      </c>
      <c r="H18495" s="0" t="n">
        <v>113</v>
      </c>
      <c r="I18495" s="0" t="s">
        <v>61495</v>
      </c>
      <c r="J18495" s="0" t="s">
        <v>61496</v>
      </c>
      <c r="K18495" s="0" t="s">
        <v>61497</v>
      </c>
      <c r="L18495" s="0" t="str">
        <f aca="false">HYPERLINK("https://www.ncbi.nlm.nih.gov/nuccore/CP000058.1?report=graph&amp;tracks=[key:gene_model_track,Options:GeneOnly]&amp;mk=5675817:5675836|offset_0|444444,5675764:5675783|offset_53|444444,5675730:5675749|offset_87|444444,5675704:5675723|offset_113|00cc00&amp;v=5675616:5675923&amp;c=444444", "offset 113")</f>
        <v>offset 113</v>
      </c>
    </row>
    <row r="18496" customFormat="false" ht="12.8" hidden="false" customHeight="false" outlineLevel="0" collapsed="false">
      <c r="A18496" s="0" t="s">
        <v>12</v>
      </c>
      <c r="B18496" s="0" t="n">
        <v>5677058</v>
      </c>
      <c r="C18496" s="0" t="n">
        <v>5677078</v>
      </c>
      <c r="D18496" s="0" t="s">
        <v>61498</v>
      </c>
      <c r="E18496" s="0" t="s">
        <v>61499</v>
      </c>
      <c r="F18496" s="0" t="s">
        <v>90</v>
      </c>
      <c r="G18496" s="0" t="s">
        <v>20</v>
      </c>
      <c r="H18496" s="0" t="n">
        <v>10</v>
      </c>
      <c r="I18496" s="0" t="s">
        <v>61500</v>
      </c>
      <c r="J18496" s="0" t="s">
        <v>61501</v>
      </c>
      <c r="K18496" s="0" t="s">
        <v>61502</v>
      </c>
      <c r="L18496" s="0" t="str">
        <f aca="false">HYPERLINK("https://www.ncbi.nlm.nih.gov/nuccore/CP000058.1?report=graph&amp;tracks=[key:gene_model_track,Options:GeneOnly]&amp;mk=5677059:5677078|offset_10|00cc00,5677008:5677027|offset_61|444444,5676985:5677004|offset_84|444444,5676939:5676958|offset_130|444444&amp;v=5676858:5677158&amp;c=444444", "offset 10")</f>
        <v>offset 10</v>
      </c>
    </row>
    <row r="18497" customFormat="false" ht="12.8" hidden="false" customHeight="false" outlineLevel="0" collapsed="false">
      <c r="A18497" s="0" t="s">
        <v>12</v>
      </c>
      <c r="B18497" s="0" t="n">
        <v>5677007</v>
      </c>
      <c r="C18497" s="0" t="n">
        <v>5677027</v>
      </c>
      <c r="D18497" s="0" t="s">
        <v>61498</v>
      </c>
      <c r="E18497" s="0" t="s">
        <v>61499</v>
      </c>
      <c r="F18497" s="0" t="s">
        <v>90</v>
      </c>
      <c r="G18497" s="0" t="s">
        <v>32</v>
      </c>
      <c r="H18497" s="0" t="n">
        <v>61</v>
      </c>
      <c r="I18497" s="0" t="s">
        <v>61503</v>
      </c>
      <c r="J18497" s="0" t="s">
        <v>61504</v>
      </c>
      <c r="K18497" s="0" t="s">
        <v>61505</v>
      </c>
      <c r="L18497" s="0" t="str">
        <f aca="false">HYPERLINK("https://www.ncbi.nlm.nih.gov/nuccore/CP000058.1?report=graph&amp;tracks=[key:gene_model_track,Options:GeneOnly]&amp;mk=5677059:5677078|offset_10|444444,5677008:5677027|offset_61|00cc00,5676985:5677004|offset_84|444444,5676939:5676958|offset_130|444444&amp;v=5676858:5677158&amp;c=444444", "offset 61")</f>
        <v>offset 61</v>
      </c>
    </row>
    <row r="18498" customFormat="false" ht="12.8" hidden="false" customHeight="false" outlineLevel="0" collapsed="false">
      <c r="A18498" s="0" t="s">
        <v>12</v>
      </c>
      <c r="B18498" s="0" t="n">
        <v>5676984</v>
      </c>
      <c r="C18498" s="0" t="n">
        <v>5677004</v>
      </c>
      <c r="D18498" s="0" t="s">
        <v>61498</v>
      </c>
      <c r="E18498" s="0" t="s">
        <v>61499</v>
      </c>
      <c r="F18498" s="0" t="s">
        <v>90</v>
      </c>
      <c r="G18498" s="0" t="s">
        <v>16</v>
      </c>
      <c r="H18498" s="0" t="n">
        <v>84</v>
      </c>
      <c r="I18498" s="0" t="s">
        <v>61506</v>
      </c>
      <c r="J18498" s="0" t="s">
        <v>61507</v>
      </c>
      <c r="K18498" s="0" t="s">
        <v>61508</v>
      </c>
      <c r="L18498" s="0" t="str">
        <f aca="false">HYPERLINK("https://www.ncbi.nlm.nih.gov/nuccore/CP000058.1?report=graph&amp;tracks=[key:gene_model_track,Options:GeneOnly]&amp;mk=5677059:5677078|offset_10|444444,5677008:5677027|offset_61|444444,5676985:5677004|offset_84|00cc00,5676939:5676958|offset_130|444444&amp;v=5676858:5677158&amp;c=444444", "offset 84")</f>
        <v>offset 84</v>
      </c>
    </row>
    <row r="18499" customFormat="false" ht="12.8" hidden="false" customHeight="false" outlineLevel="0" collapsed="false">
      <c r="A18499" s="0" t="s">
        <v>12</v>
      </c>
      <c r="B18499" s="0" t="n">
        <v>5676938</v>
      </c>
      <c r="C18499" s="0" t="n">
        <v>5676958</v>
      </c>
      <c r="D18499" s="0" t="s">
        <v>61498</v>
      </c>
      <c r="E18499" s="0" t="s">
        <v>61499</v>
      </c>
      <c r="F18499" s="0" t="s">
        <v>90</v>
      </c>
      <c r="G18499" s="0" t="s">
        <v>20</v>
      </c>
      <c r="H18499" s="0" t="n">
        <v>130</v>
      </c>
      <c r="I18499" s="0" t="s">
        <v>61509</v>
      </c>
      <c r="J18499" s="0" t="s">
        <v>61510</v>
      </c>
      <c r="K18499" s="0" t="s">
        <v>61511</v>
      </c>
      <c r="L18499" s="0" t="str">
        <f aca="false">HYPERLINK("https://www.ncbi.nlm.nih.gov/nuccore/CP000058.1?report=graph&amp;tracks=[key:gene_model_track,Options:GeneOnly]&amp;mk=5677059:5677078|offset_10|444444,5677008:5677027|offset_61|444444,5676985:5677004|offset_84|444444,5676939:5676958|offset_130|00cc00&amp;v=5676858:5677158&amp;c=444444", "offset 130")</f>
        <v>offset 130</v>
      </c>
    </row>
    <row r="18500" customFormat="false" ht="12.8" hidden="false" customHeight="false" outlineLevel="0" collapsed="false">
      <c r="A18500" s="0" t="s">
        <v>12</v>
      </c>
      <c r="B18500" s="0" t="n">
        <v>5677223</v>
      </c>
      <c r="C18500" s="0" t="n">
        <v>5677243</v>
      </c>
      <c r="D18500" s="0" t="s">
        <v>61512</v>
      </c>
      <c r="E18500" s="0" t="s">
        <v>75</v>
      </c>
      <c r="F18500" s="0" t="s">
        <v>90</v>
      </c>
      <c r="G18500" s="0" t="s">
        <v>32</v>
      </c>
      <c r="H18500" s="0" t="n">
        <v>1</v>
      </c>
      <c r="I18500" s="0" t="s">
        <v>61513</v>
      </c>
      <c r="J18500" s="0" t="s">
        <v>61514</v>
      </c>
      <c r="K18500" s="0" t="s">
        <v>61515</v>
      </c>
      <c r="L18500" s="0" t="str">
        <f aca="false">HYPERLINK("https://www.ncbi.nlm.nih.gov/nuccore/CP000058.1?report=graph&amp;tracks=[key:gene_model_track,Options:GeneOnly]&amp;mk=5677224:5677243|offset_1|00cc00,5677164:5677183|offset_61|444444,5677135:5677154|offset_90|444444,5677104:5677123|offset_121|444444&amp;v=5677023:5677323&amp;c=444444", "offset 1")</f>
        <v>offset 1</v>
      </c>
    </row>
    <row r="18501" customFormat="false" ht="12.8" hidden="false" customHeight="false" outlineLevel="0" collapsed="false">
      <c r="A18501" s="0" t="s">
        <v>12</v>
      </c>
      <c r="B18501" s="0" t="n">
        <v>5677163</v>
      </c>
      <c r="C18501" s="0" t="n">
        <v>5677183</v>
      </c>
      <c r="D18501" s="0" t="s">
        <v>61512</v>
      </c>
      <c r="E18501" s="0" t="s">
        <v>75</v>
      </c>
      <c r="F18501" s="0" t="s">
        <v>90</v>
      </c>
      <c r="G18501" s="0" t="s">
        <v>20</v>
      </c>
      <c r="H18501" s="0" t="n">
        <v>61</v>
      </c>
      <c r="I18501" s="0" t="s">
        <v>61516</v>
      </c>
      <c r="J18501" s="0" t="s">
        <v>61517</v>
      </c>
      <c r="K18501" s="0" t="s">
        <v>61518</v>
      </c>
      <c r="L18501" s="0" t="str">
        <f aca="false">HYPERLINK("https://www.ncbi.nlm.nih.gov/nuccore/CP000058.1?report=graph&amp;tracks=[key:gene_model_track,Options:GeneOnly]&amp;mk=5677224:5677243|offset_1|444444,5677164:5677183|offset_61|00cc00,5677135:5677154|offset_90|444444,5677104:5677123|offset_121|444444&amp;v=5677023:5677323&amp;c=444444", "offset 61")</f>
        <v>offset 61</v>
      </c>
    </row>
    <row r="18502" customFormat="false" ht="12.8" hidden="false" customHeight="false" outlineLevel="0" collapsed="false">
      <c r="A18502" s="0" t="s">
        <v>12</v>
      </c>
      <c r="B18502" s="0" t="n">
        <v>5677134</v>
      </c>
      <c r="C18502" s="0" t="n">
        <v>5677154</v>
      </c>
      <c r="D18502" s="0" t="s">
        <v>61512</v>
      </c>
      <c r="E18502" s="0" t="s">
        <v>75</v>
      </c>
      <c r="F18502" s="0" t="s">
        <v>90</v>
      </c>
      <c r="G18502" s="0" t="s">
        <v>16</v>
      </c>
      <c r="H18502" s="0" t="n">
        <v>90</v>
      </c>
      <c r="I18502" s="0" t="s">
        <v>61519</v>
      </c>
      <c r="J18502" s="0" t="s">
        <v>61520</v>
      </c>
      <c r="K18502" s="0" t="s">
        <v>61521</v>
      </c>
      <c r="L18502" s="0" t="str">
        <f aca="false">HYPERLINK("https://www.ncbi.nlm.nih.gov/nuccore/CP000058.1?report=graph&amp;tracks=[key:gene_model_track,Options:GeneOnly]&amp;mk=5677224:5677243|offset_1|444444,5677164:5677183|offset_61|444444,5677135:5677154|offset_90|00cc00,5677104:5677123|offset_121|444444&amp;v=5677023:5677323&amp;c=444444", "offset 90")</f>
        <v>offset 90</v>
      </c>
    </row>
    <row r="18503" customFormat="false" ht="12.8" hidden="false" customHeight="false" outlineLevel="0" collapsed="false">
      <c r="A18503" s="0" t="s">
        <v>12</v>
      </c>
      <c r="B18503" s="0" t="n">
        <v>5677103</v>
      </c>
      <c r="C18503" s="0" t="n">
        <v>5677123</v>
      </c>
      <c r="D18503" s="0" t="s">
        <v>61512</v>
      </c>
      <c r="E18503" s="0" t="s">
        <v>75</v>
      </c>
      <c r="F18503" s="0" t="s">
        <v>90</v>
      </c>
      <c r="G18503" s="0" t="s">
        <v>32</v>
      </c>
      <c r="H18503" s="0" t="n">
        <v>121</v>
      </c>
      <c r="I18503" s="0" t="s">
        <v>61522</v>
      </c>
      <c r="J18503" s="0" t="s">
        <v>61523</v>
      </c>
      <c r="K18503" s="0" t="s">
        <v>61524</v>
      </c>
      <c r="L18503" s="0" t="str">
        <f aca="false">HYPERLINK("https://www.ncbi.nlm.nih.gov/nuccore/CP000058.1?report=graph&amp;tracks=[key:gene_model_track,Options:GeneOnly]&amp;mk=5677224:5677243|offset_1|444444,5677164:5677183|offset_61|444444,5677135:5677154|offset_90|444444,5677104:5677123|offset_121|00cc00&amp;v=5677023:5677323&amp;c=444444", "offset 121")</f>
        <v>offset 121</v>
      </c>
    </row>
    <row r="18504" customFormat="false" ht="12.8" hidden="false" customHeight="false" outlineLevel="0" collapsed="false">
      <c r="A18504" s="0" t="s">
        <v>12</v>
      </c>
      <c r="B18504" s="0" t="n">
        <v>5677479</v>
      </c>
      <c r="C18504" s="0" t="n">
        <v>5677499</v>
      </c>
      <c r="D18504" s="0" t="s">
        <v>61525</v>
      </c>
      <c r="E18504" s="0" t="s">
        <v>75</v>
      </c>
      <c r="F18504" s="0" t="s">
        <v>15</v>
      </c>
      <c r="G18504" s="0" t="s">
        <v>36</v>
      </c>
      <c r="H18504" s="0" t="n">
        <v>24</v>
      </c>
      <c r="I18504" s="0" t="s">
        <v>61526</v>
      </c>
      <c r="J18504" s="0" t="s">
        <v>61527</v>
      </c>
      <c r="K18504" s="0" t="s">
        <v>61528</v>
      </c>
      <c r="L18504" s="0" t="str">
        <f aca="false">HYPERLINK("https://www.ncbi.nlm.nih.gov/nuccore/CP000058.1?report=graph&amp;tracks=[key:gene_model_track,Options:GeneOnly]&amp;mk=5677480:5677499|offset_24|00cc00,5677502:5677521|offset_46|444444,5677566:5677585|offset_110|444444,5677592:5677611|offset_136|444444&amp;v=5677279:5677811&amp;c=444444", "offset 24")</f>
        <v>offset 24</v>
      </c>
    </row>
    <row r="18505" customFormat="false" ht="12.8" hidden="false" customHeight="false" outlineLevel="0" collapsed="false">
      <c r="A18505" s="0" t="s">
        <v>12</v>
      </c>
      <c r="B18505" s="0" t="n">
        <v>5677501</v>
      </c>
      <c r="C18505" s="0" t="n">
        <v>5677521</v>
      </c>
      <c r="D18505" s="0" t="s">
        <v>61525</v>
      </c>
      <c r="E18505" s="0" t="s">
        <v>75</v>
      </c>
      <c r="F18505" s="0" t="s">
        <v>15</v>
      </c>
      <c r="G18505" s="0" t="s">
        <v>36</v>
      </c>
      <c r="H18505" s="0" t="n">
        <v>46</v>
      </c>
      <c r="I18505" s="0" t="s">
        <v>61529</v>
      </c>
      <c r="J18505" s="0" t="s">
        <v>61530</v>
      </c>
      <c r="K18505" s="0" t="s">
        <v>61531</v>
      </c>
      <c r="L18505" s="0" t="str">
        <f aca="false">HYPERLINK("https://www.ncbi.nlm.nih.gov/nuccore/CP000058.1?report=graph&amp;tracks=[key:gene_model_track,Options:GeneOnly]&amp;mk=5677480:5677499|offset_24|444444,5677502:5677521|offset_46|00cc00,5677566:5677585|offset_110|444444,5677592:5677611|offset_136|444444&amp;v=5677279:5677811&amp;c=444444", "offset 46")</f>
        <v>offset 46</v>
      </c>
    </row>
    <row r="18506" customFormat="false" ht="12.8" hidden="false" customHeight="false" outlineLevel="0" collapsed="false">
      <c r="A18506" s="0" t="s">
        <v>12</v>
      </c>
      <c r="B18506" s="0" t="n">
        <v>5677565</v>
      </c>
      <c r="C18506" s="0" t="n">
        <v>5677585</v>
      </c>
      <c r="D18506" s="0" t="s">
        <v>61525</v>
      </c>
      <c r="E18506" s="0" t="s">
        <v>75</v>
      </c>
      <c r="F18506" s="0" t="s">
        <v>15</v>
      </c>
      <c r="G18506" s="0" t="s">
        <v>20</v>
      </c>
      <c r="H18506" s="0" t="n">
        <v>110</v>
      </c>
      <c r="I18506" s="0" t="s">
        <v>61532</v>
      </c>
      <c r="J18506" s="0" t="s">
        <v>61533</v>
      </c>
      <c r="K18506" s="0" t="s">
        <v>61534</v>
      </c>
      <c r="L18506" s="0" t="str">
        <f aca="false">HYPERLINK("https://www.ncbi.nlm.nih.gov/nuccore/CP000058.1?report=graph&amp;tracks=[key:gene_model_track,Options:GeneOnly]&amp;mk=5677480:5677499|offset_24|444444,5677502:5677521|offset_46|444444,5677566:5677585|offset_110|00cc00,5677592:5677611|offset_136|444444&amp;v=5677279:5677811&amp;c=444444", "offset 110")</f>
        <v>offset 110</v>
      </c>
    </row>
    <row r="18507" customFormat="false" ht="12.8" hidden="false" customHeight="false" outlineLevel="0" collapsed="false">
      <c r="A18507" s="0" t="s">
        <v>12</v>
      </c>
      <c r="B18507" s="0" t="n">
        <v>5677591</v>
      </c>
      <c r="C18507" s="0" t="n">
        <v>5677611</v>
      </c>
      <c r="D18507" s="0" t="s">
        <v>61525</v>
      </c>
      <c r="E18507" s="0" t="s">
        <v>75</v>
      </c>
      <c r="F18507" s="0" t="s">
        <v>15</v>
      </c>
      <c r="G18507" s="0" t="s">
        <v>16</v>
      </c>
      <c r="H18507" s="0" t="n">
        <v>136</v>
      </c>
      <c r="I18507" s="0" t="s">
        <v>61535</v>
      </c>
      <c r="J18507" s="0" t="s">
        <v>61536</v>
      </c>
      <c r="K18507" s="0" t="s">
        <v>61537</v>
      </c>
      <c r="L18507" s="0" t="str">
        <f aca="false">HYPERLINK("https://www.ncbi.nlm.nih.gov/nuccore/CP000058.1?report=graph&amp;tracks=[key:gene_model_track,Options:GeneOnly]&amp;mk=5677480:5677499|offset_24|444444,5677502:5677521|offset_46|444444,5677566:5677585|offset_110|444444,5677592:5677611|offset_136|00cc00&amp;v=5677279:5677811&amp;c=444444", "offset 136")</f>
        <v>offset 136</v>
      </c>
    </row>
    <row r="18508" customFormat="false" ht="12.8" hidden="false" customHeight="false" outlineLevel="0" collapsed="false">
      <c r="A18508" s="0" t="s">
        <v>12</v>
      </c>
      <c r="B18508" s="0" t="n">
        <v>5677825</v>
      </c>
      <c r="C18508" s="0" t="n">
        <v>5677845</v>
      </c>
      <c r="D18508" s="0" t="s">
        <v>61538</v>
      </c>
      <c r="E18508" s="0" t="s">
        <v>75</v>
      </c>
      <c r="F18508" s="0" t="s">
        <v>15</v>
      </c>
      <c r="G18508" s="0" t="s">
        <v>32</v>
      </c>
      <c r="H18508" s="0" t="n">
        <v>8</v>
      </c>
      <c r="I18508" s="0" t="s">
        <v>61539</v>
      </c>
      <c r="J18508" s="0" t="s">
        <v>61540</v>
      </c>
      <c r="K18508" s="0" t="s">
        <v>61541</v>
      </c>
      <c r="L18508" s="0" t="str">
        <f aca="false">HYPERLINK("https://www.ncbi.nlm.nih.gov/nuccore/CP000058.1?report=graph&amp;tracks=[key:gene_model_track,Options:GeneOnly]&amp;mk=5677826:5677845|offset_8|00cc00,5677846:5677865|offset_28|444444,5677871:5677890|offset_53|444444,5677898:5677917|offset_80|444444&amp;v=5677625:5678117&amp;c=444444", "offset 8")</f>
        <v>offset 8</v>
      </c>
    </row>
    <row r="18509" customFormat="false" ht="12.8" hidden="false" customHeight="false" outlineLevel="0" collapsed="false">
      <c r="A18509" s="0" t="s">
        <v>12</v>
      </c>
      <c r="B18509" s="0" t="n">
        <v>5677845</v>
      </c>
      <c r="C18509" s="0" t="n">
        <v>5677865</v>
      </c>
      <c r="D18509" s="0" t="s">
        <v>61538</v>
      </c>
      <c r="E18509" s="0" t="s">
        <v>75</v>
      </c>
      <c r="F18509" s="0" t="s">
        <v>15</v>
      </c>
      <c r="G18509" s="0" t="s">
        <v>32</v>
      </c>
      <c r="H18509" s="0" t="n">
        <v>28</v>
      </c>
      <c r="I18509" s="0" t="s">
        <v>61542</v>
      </c>
      <c r="J18509" s="0" t="s">
        <v>61543</v>
      </c>
      <c r="K18509" s="0" t="s">
        <v>61544</v>
      </c>
      <c r="L18509" s="0" t="str">
        <f aca="false">HYPERLINK("https://www.ncbi.nlm.nih.gov/nuccore/CP000058.1?report=graph&amp;tracks=[key:gene_model_track,Options:GeneOnly]&amp;mk=5677826:5677845|offset_8|444444,5677846:5677865|offset_28|00cc00,5677871:5677890|offset_53|444444,5677898:5677917|offset_80|444444&amp;v=5677625:5678117&amp;c=444444", "offset 28")</f>
        <v>offset 28</v>
      </c>
    </row>
    <row r="18510" customFormat="false" ht="12.8" hidden="false" customHeight="false" outlineLevel="0" collapsed="false">
      <c r="A18510" s="0" t="s">
        <v>12</v>
      </c>
      <c r="B18510" s="0" t="n">
        <v>5677870</v>
      </c>
      <c r="C18510" s="0" t="n">
        <v>5677890</v>
      </c>
      <c r="D18510" s="0" t="s">
        <v>61538</v>
      </c>
      <c r="E18510" s="0" t="s">
        <v>75</v>
      </c>
      <c r="F18510" s="0" t="s">
        <v>15</v>
      </c>
      <c r="G18510" s="0" t="s">
        <v>36</v>
      </c>
      <c r="H18510" s="0" t="n">
        <v>53</v>
      </c>
      <c r="I18510" s="0" t="s">
        <v>61545</v>
      </c>
      <c r="J18510" s="0" t="s">
        <v>61546</v>
      </c>
      <c r="K18510" s="0" t="s">
        <v>61547</v>
      </c>
      <c r="L18510" s="0" t="str">
        <f aca="false">HYPERLINK("https://www.ncbi.nlm.nih.gov/nuccore/CP000058.1?report=graph&amp;tracks=[key:gene_model_track,Options:GeneOnly]&amp;mk=5677826:5677845|offset_8|444444,5677846:5677865|offset_28|444444,5677871:5677890|offset_53|00cc00,5677898:5677917|offset_80|444444&amp;v=5677625:5678117&amp;c=444444", "offset 53")</f>
        <v>offset 53</v>
      </c>
    </row>
    <row r="18511" customFormat="false" ht="12.8" hidden="false" customHeight="false" outlineLevel="0" collapsed="false">
      <c r="A18511" s="0" t="s">
        <v>12</v>
      </c>
      <c r="B18511" s="0" t="n">
        <v>5677897</v>
      </c>
      <c r="C18511" s="0" t="n">
        <v>5677917</v>
      </c>
      <c r="D18511" s="0" t="s">
        <v>61538</v>
      </c>
      <c r="E18511" s="0" t="s">
        <v>75</v>
      </c>
      <c r="F18511" s="0" t="s">
        <v>15</v>
      </c>
      <c r="G18511" s="0" t="s">
        <v>20</v>
      </c>
      <c r="H18511" s="0" t="n">
        <v>80</v>
      </c>
      <c r="I18511" s="0" t="s">
        <v>61548</v>
      </c>
      <c r="J18511" s="0" t="s">
        <v>61549</v>
      </c>
      <c r="K18511" s="0" t="s">
        <v>61550</v>
      </c>
      <c r="L18511" s="0" t="str">
        <f aca="false">HYPERLINK("https://www.ncbi.nlm.nih.gov/nuccore/CP000058.1?report=graph&amp;tracks=[key:gene_model_track,Options:GeneOnly]&amp;mk=5677826:5677845|offset_8|444444,5677846:5677865|offset_28|444444,5677871:5677890|offset_53|444444,5677898:5677917|offset_80|00cc00&amp;v=5677625:5678117&amp;c=444444", "offset 80")</f>
        <v>offset 80</v>
      </c>
    </row>
    <row r="18512" customFormat="false" ht="12.8" hidden="false" customHeight="false" outlineLevel="0" collapsed="false">
      <c r="A18512" s="0" t="s">
        <v>12</v>
      </c>
      <c r="B18512" s="0" t="n">
        <v>5678186</v>
      </c>
      <c r="C18512" s="0" t="n">
        <v>5678206</v>
      </c>
      <c r="D18512" s="0" t="s">
        <v>61551</v>
      </c>
      <c r="E18512" s="0" t="s">
        <v>61552</v>
      </c>
      <c r="F18512" s="0" t="s">
        <v>15</v>
      </c>
      <c r="G18512" s="0" t="s">
        <v>32</v>
      </c>
      <c r="H18512" s="0" t="n">
        <v>1</v>
      </c>
      <c r="I18512" s="0" t="s">
        <v>61553</v>
      </c>
      <c r="J18512" s="0" t="s">
        <v>61554</v>
      </c>
      <c r="K18512" s="0" t="s">
        <v>61555</v>
      </c>
      <c r="L18512" s="0" t="str">
        <f aca="false">HYPERLINK("https://www.ncbi.nlm.nih.gov/nuccore/CP000058.1?report=graph&amp;tracks=[key:gene_model_track,Options:GeneOnly]&amp;mk=5678187:5678206|offset_1|00cc00,5678212:5678231|offset_26|444444,5678257:5678276|offset_71|444444,5678281:5678300|offset_95|444444&amp;v=5677986:5678500&amp;c=444444", "offset 1")</f>
        <v>offset 1</v>
      </c>
    </row>
    <row r="18513" customFormat="false" ht="12.8" hidden="false" customHeight="false" outlineLevel="0" collapsed="false">
      <c r="A18513" s="0" t="s">
        <v>12</v>
      </c>
      <c r="B18513" s="0" t="n">
        <v>5678211</v>
      </c>
      <c r="C18513" s="0" t="n">
        <v>5678231</v>
      </c>
      <c r="D18513" s="0" t="s">
        <v>61551</v>
      </c>
      <c r="E18513" s="0" t="s">
        <v>61552</v>
      </c>
      <c r="F18513" s="0" t="s">
        <v>15</v>
      </c>
      <c r="G18513" s="0" t="s">
        <v>20</v>
      </c>
      <c r="H18513" s="0" t="n">
        <v>26</v>
      </c>
      <c r="I18513" s="0" t="s">
        <v>61556</v>
      </c>
      <c r="J18513" s="0" t="s">
        <v>61557</v>
      </c>
      <c r="K18513" s="0" t="s">
        <v>61558</v>
      </c>
      <c r="L18513" s="0" t="str">
        <f aca="false">HYPERLINK("https://www.ncbi.nlm.nih.gov/nuccore/CP000058.1?report=graph&amp;tracks=[key:gene_model_track,Options:GeneOnly]&amp;mk=5678187:5678206|offset_1|444444,5678212:5678231|offset_26|00cc00,5678257:5678276|offset_71|444444,5678281:5678300|offset_95|444444&amp;v=5677986:5678500&amp;c=444444", "offset 26")</f>
        <v>offset 26</v>
      </c>
    </row>
    <row r="18514" customFormat="false" ht="12.8" hidden="false" customHeight="false" outlineLevel="0" collapsed="false">
      <c r="A18514" s="0" t="s">
        <v>12</v>
      </c>
      <c r="B18514" s="0" t="n">
        <v>5678256</v>
      </c>
      <c r="C18514" s="0" t="n">
        <v>5678276</v>
      </c>
      <c r="D18514" s="0" t="s">
        <v>61551</v>
      </c>
      <c r="E18514" s="0" t="s">
        <v>61552</v>
      </c>
      <c r="F18514" s="0" t="s">
        <v>15</v>
      </c>
      <c r="G18514" s="0" t="s">
        <v>32</v>
      </c>
      <c r="H18514" s="0" t="n">
        <v>71</v>
      </c>
      <c r="I18514" s="0" t="s">
        <v>61559</v>
      </c>
      <c r="J18514" s="0" t="s">
        <v>61560</v>
      </c>
      <c r="K18514" s="0" t="s">
        <v>61561</v>
      </c>
      <c r="L18514" s="0" t="str">
        <f aca="false">HYPERLINK("https://www.ncbi.nlm.nih.gov/nuccore/CP000058.1?report=graph&amp;tracks=[key:gene_model_track,Options:GeneOnly]&amp;mk=5678187:5678206|offset_1|444444,5678212:5678231|offset_26|444444,5678257:5678276|offset_71|00cc00,5678281:5678300|offset_95|444444&amp;v=5677986:5678500&amp;c=444444", "offset 71")</f>
        <v>offset 71</v>
      </c>
    </row>
    <row r="18515" customFormat="false" ht="12.8" hidden="false" customHeight="false" outlineLevel="0" collapsed="false">
      <c r="A18515" s="0" t="s">
        <v>12</v>
      </c>
      <c r="B18515" s="0" t="n">
        <v>5678280</v>
      </c>
      <c r="C18515" s="0" t="n">
        <v>5678300</v>
      </c>
      <c r="D18515" s="0" t="s">
        <v>61551</v>
      </c>
      <c r="E18515" s="0" t="s">
        <v>61552</v>
      </c>
      <c r="F18515" s="0" t="s">
        <v>15</v>
      </c>
      <c r="G18515" s="0" t="s">
        <v>32</v>
      </c>
      <c r="H18515" s="0" t="n">
        <v>95</v>
      </c>
      <c r="I18515" s="0" t="s">
        <v>61562</v>
      </c>
      <c r="J18515" s="0" t="s">
        <v>61563</v>
      </c>
      <c r="K18515" s="0" t="s">
        <v>61564</v>
      </c>
      <c r="L18515" s="0" t="str">
        <f aca="false">HYPERLINK("https://www.ncbi.nlm.nih.gov/nuccore/CP000058.1?report=graph&amp;tracks=[key:gene_model_track,Options:GeneOnly]&amp;mk=5678187:5678206|offset_1|444444,5678212:5678231|offset_26|444444,5678257:5678276|offset_71|444444,5678281:5678300|offset_95|00cc00&amp;v=5677986:5678500&amp;c=444444", "offset 95")</f>
        <v>offset 95</v>
      </c>
    </row>
    <row r="18516" customFormat="false" ht="12.8" hidden="false" customHeight="false" outlineLevel="0" collapsed="false">
      <c r="A18516" s="0" t="s">
        <v>12</v>
      </c>
      <c r="B18516" s="0" t="n">
        <v>5681574</v>
      </c>
      <c r="C18516" s="0" t="n">
        <v>5681594</v>
      </c>
      <c r="D18516" s="0" t="s">
        <v>61565</v>
      </c>
      <c r="E18516" s="0" t="s">
        <v>61566</v>
      </c>
      <c r="F18516" s="0" t="s">
        <v>90</v>
      </c>
      <c r="G18516" s="0" t="s">
        <v>20</v>
      </c>
      <c r="H18516" s="0" t="n">
        <v>15</v>
      </c>
      <c r="I18516" s="0" t="s">
        <v>61567</v>
      </c>
      <c r="J18516" s="0" t="s">
        <v>61568</v>
      </c>
      <c r="K18516" s="0" t="s">
        <v>61569</v>
      </c>
      <c r="L18516" s="0" t="str">
        <f aca="false">HYPERLINK("https://www.ncbi.nlm.nih.gov/nuccore/CP000058.1?report=graph&amp;tracks=[key:gene_model_track,Options:GeneOnly]&amp;mk=5681575:5681594|offset_15|00cc00,5681540:5681559|offset_50|444444,5681513:5681532|offset_77|444444,5681475:5681494|offset_115|444444&amp;v=5681374:5681694&amp;c=444444", "offset 15")</f>
        <v>offset 15</v>
      </c>
    </row>
    <row r="18517" customFormat="false" ht="12.8" hidden="false" customHeight="false" outlineLevel="0" collapsed="false">
      <c r="A18517" s="0" t="s">
        <v>12</v>
      </c>
      <c r="B18517" s="0" t="n">
        <v>5681539</v>
      </c>
      <c r="C18517" s="0" t="n">
        <v>5681559</v>
      </c>
      <c r="D18517" s="0" t="s">
        <v>61565</v>
      </c>
      <c r="E18517" s="0" t="s">
        <v>61566</v>
      </c>
      <c r="F18517" s="0" t="s">
        <v>90</v>
      </c>
      <c r="G18517" s="0" t="s">
        <v>16</v>
      </c>
      <c r="H18517" s="0" t="n">
        <v>50</v>
      </c>
      <c r="I18517" s="0" t="s">
        <v>61570</v>
      </c>
      <c r="J18517" s="0" t="s">
        <v>61571</v>
      </c>
      <c r="K18517" s="0" t="s">
        <v>61572</v>
      </c>
      <c r="L18517" s="0" t="str">
        <f aca="false">HYPERLINK("https://www.ncbi.nlm.nih.gov/nuccore/CP000058.1?report=graph&amp;tracks=[key:gene_model_track,Options:GeneOnly]&amp;mk=5681575:5681594|offset_15|444444,5681540:5681559|offset_50|00cc00,5681513:5681532|offset_77|444444,5681475:5681494|offset_115|444444&amp;v=5681374:5681694&amp;c=444444", "offset 50")</f>
        <v>offset 50</v>
      </c>
    </row>
    <row r="18518" customFormat="false" ht="12.8" hidden="false" customHeight="false" outlineLevel="0" collapsed="false">
      <c r="A18518" s="0" t="s">
        <v>12</v>
      </c>
      <c r="B18518" s="0" t="n">
        <v>5681512</v>
      </c>
      <c r="C18518" s="0" t="n">
        <v>5681532</v>
      </c>
      <c r="D18518" s="0" t="s">
        <v>61565</v>
      </c>
      <c r="E18518" s="0" t="s">
        <v>61566</v>
      </c>
      <c r="F18518" s="0" t="s">
        <v>90</v>
      </c>
      <c r="G18518" s="0" t="s">
        <v>16</v>
      </c>
      <c r="H18518" s="0" t="n">
        <v>77</v>
      </c>
      <c r="I18518" s="0" t="s">
        <v>61573</v>
      </c>
      <c r="J18518" s="0" t="s">
        <v>61574</v>
      </c>
      <c r="K18518" s="0" t="s">
        <v>61575</v>
      </c>
      <c r="L18518" s="0" t="str">
        <f aca="false">HYPERLINK("https://www.ncbi.nlm.nih.gov/nuccore/CP000058.1?report=graph&amp;tracks=[key:gene_model_track,Options:GeneOnly]&amp;mk=5681575:5681594|offset_15|444444,5681540:5681559|offset_50|444444,5681513:5681532|offset_77|00cc00,5681475:5681494|offset_115|444444&amp;v=5681374:5681694&amp;c=444444", "offset 77")</f>
        <v>offset 77</v>
      </c>
    </row>
    <row r="18519" customFormat="false" ht="12.8" hidden="false" customHeight="false" outlineLevel="0" collapsed="false">
      <c r="A18519" s="0" t="s">
        <v>12</v>
      </c>
      <c r="B18519" s="0" t="n">
        <v>5681474</v>
      </c>
      <c r="C18519" s="0" t="n">
        <v>5681494</v>
      </c>
      <c r="D18519" s="0" t="s">
        <v>61565</v>
      </c>
      <c r="E18519" s="0" t="s">
        <v>61566</v>
      </c>
      <c r="F18519" s="0" t="s">
        <v>90</v>
      </c>
      <c r="G18519" s="0" t="s">
        <v>36</v>
      </c>
      <c r="H18519" s="0" t="n">
        <v>115</v>
      </c>
      <c r="I18519" s="0" t="s">
        <v>61576</v>
      </c>
      <c r="J18519" s="0" t="s">
        <v>61577</v>
      </c>
      <c r="K18519" s="0" t="s">
        <v>61578</v>
      </c>
      <c r="L18519" s="0" t="str">
        <f aca="false">HYPERLINK("https://www.ncbi.nlm.nih.gov/nuccore/CP000058.1?report=graph&amp;tracks=[key:gene_model_track,Options:GeneOnly]&amp;mk=5681575:5681594|offset_15|444444,5681540:5681559|offset_50|444444,5681513:5681532|offset_77|444444,5681475:5681494|offset_115|00cc00&amp;v=5681374:5681694&amp;c=444444", "offset 115")</f>
        <v>offset 115</v>
      </c>
    </row>
    <row r="18520" customFormat="false" ht="12.8" hidden="false" customHeight="false" outlineLevel="0" collapsed="false">
      <c r="A18520" s="0" t="s">
        <v>12</v>
      </c>
      <c r="B18520" s="0" t="n">
        <v>5682075</v>
      </c>
      <c r="C18520" s="0" t="n">
        <v>5682095</v>
      </c>
      <c r="D18520" s="0" t="s">
        <v>61579</v>
      </c>
      <c r="E18520" s="0" t="s">
        <v>75</v>
      </c>
      <c r="F18520" s="0" t="s">
        <v>90</v>
      </c>
      <c r="G18520" s="0" t="s">
        <v>32</v>
      </c>
      <c r="H18520" s="0" t="n">
        <v>18</v>
      </c>
      <c r="I18520" s="0" t="s">
        <v>61580</v>
      </c>
      <c r="J18520" s="0" t="s">
        <v>61581</v>
      </c>
      <c r="K18520" s="0" t="s">
        <v>61582</v>
      </c>
      <c r="L18520" s="0" t="str">
        <f aca="false">HYPERLINK("https://www.ncbi.nlm.nih.gov/nuccore/CP000058.1?report=graph&amp;tracks=[key:gene_model_track,Options:GeneOnly]&amp;mk=5682076:5682095|offset_18|00cc00,5682022:5682041|offset_72|444444,5681994:5682013|offset_100|444444,5681955:5681974|offset_139|444444&amp;v=5681875:5682174&amp;c=444444", "offset 18")</f>
        <v>offset 18</v>
      </c>
    </row>
    <row r="18521" customFormat="false" ht="12.8" hidden="false" customHeight="false" outlineLevel="0" collapsed="false">
      <c r="A18521" s="0" t="s">
        <v>12</v>
      </c>
      <c r="B18521" s="0" t="n">
        <v>5682021</v>
      </c>
      <c r="C18521" s="0" t="n">
        <v>5682041</v>
      </c>
      <c r="D18521" s="0" t="s">
        <v>61579</v>
      </c>
      <c r="E18521" s="0" t="s">
        <v>75</v>
      </c>
      <c r="F18521" s="0" t="s">
        <v>90</v>
      </c>
      <c r="G18521" s="0" t="s">
        <v>20</v>
      </c>
      <c r="H18521" s="0" t="n">
        <v>72</v>
      </c>
      <c r="I18521" s="0" t="s">
        <v>61583</v>
      </c>
      <c r="J18521" s="0" t="s">
        <v>61584</v>
      </c>
      <c r="K18521" s="0" t="s">
        <v>61585</v>
      </c>
      <c r="L18521" s="0" t="str">
        <f aca="false">HYPERLINK("https://www.ncbi.nlm.nih.gov/nuccore/CP000058.1?report=graph&amp;tracks=[key:gene_model_track,Options:GeneOnly]&amp;mk=5682076:5682095|offset_18|444444,5682022:5682041|offset_72|00cc00,5681994:5682013|offset_100|444444,5681955:5681974|offset_139|444444&amp;v=5681875:5682174&amp;c=444444", "offset 72")</f>
        <v>offset 72</v>
      </c>
    </row>
    <row r="18522" customFormat="false" ht="12.8" hidden="false" customHeight="false" outlineLevel="0" collapsed="false">
      <c r="A18522" s="0" t="s">
        <v>12</v>
      </c>
      <c r="B18522" s="0" t="n">
        <v>5681993</v>
      </c>
      <c r="C18522" s="0" t="n">
        <v>5682013</v>
      </c>
      <c r="D18522" s="0" t="s">
        <v>61579</v>
      </c>
      <c r="E18522" s="0" t="s">
        <v>75</v>
      </c>
      <c r="F18522" s="0" t="s">
        <v>90</v>
      </c>
      <c r="G18522" s="0" t="s">
        <v>16</v>
      </c>
      <c r="H18522" s="0" t="n">
        <v>100</v>
      </c>
      <c r="I18522" s="0" t="s">
        <v>61586</v>
      </c>
      <c r="J18522" s="0" t="s">
        <v>61587</v>
      </c>
      <c r="K18522" s="0" t="s">
        <v>61588</v>
      </c>
      <c r="L18522" s="0" t="str">
        <f aca="false">HYPERLINK("https://www.ncbi.nlm.nih.gov/nuccore/CP000058.1?report=graph&amp;tracks=[key:gene_model_track,Options:GeneOnly]&amp;mk=5682076:5682095|offset_18|444444,5682022:5682041|offset_72|444444,5681994:5682013|offset_100|00cc00,5681955:5681974|offset_139|444444&amp;v=5681875:5682174&amp;c=444444", "offset 100")</f>
        <v>offset 100</v>
      </c>
    </row>
    <row r="18523" customFormat="false" ht="12.8" hidden="false" customHeight="false" outlineLevel="0" collapsed="false">
      <c r="A18523" s="0" t="s">
        <v>12</v>
      </c>
      <c r="B18523" s="0" t="n">
        <v>5681954</v>
      </c>
      <c r="C18523" s="0" t="n">
        <v>5681974</v>
      </c>
      <c r="D18523" s="0" t="s">
        <v>61579</v>
      </c>
      <c r="E18523" s="0" t="s">
        <v>75</v>
      </c>
      <c r="F18523" s="0" t="s">
        <v>90</v>
      </c>
      <c r="G18523" s="0" t="s">
        <v>36</v>
      </c>
      <c r="H18523" s="0" t="n">
        <v>139</v>
      </c>
      <c r="I18523" s="0" t="s">
        <v>61589</v>
      </c>
      <c r="J18523" s="0" t="s">
        <v>61590</v>
      </c>
      <c r="K18523" s="0" t="s">
        <v>61591</v>
      </c>
      <c r="L18523" s="0" t="str">
        <f aca="false">HYPERLINK("https://www.ncbi.nlm.nih.gov/nuccore/CP000058.1?report=graph&amp;tracks=[key:gene_model_track,Options:GeneOnly]&amp;mk=5682076:5682095|offset_18|444444,5682022:5682041|offset_72|444444,5681994:5682013|offset_100|444444,5681955:5681974|offset_139|00cc00&amp;v=5681875:5682174&amp;c=444444", "offset 139")</f>
        <v>offset 139</v>
      </c>
    </row>
    <row r="18524" customFormat="false" ht="12.8" hidden="false" customHeight="false" outlineLevel="0" collapsed="false">
      <c r="A18524" s="0" t="s">
        <v>12</v>
      </c>
      <c r="B18524" s="0" t="n">
        <v>5682474</v>
      </c>
      <c r="C18524" s="0" t="n">
        <v>5682494</v>
      </c>
      <c r="D18524" s="0" t="s">
        <v>61592</v>
      </c>
      <c r="E18524" s="0" t="s">
        <v>75</v>
      </c>
      <c r="F18524" s="0" t="s">
        <v>90</v>
      </c>
      <c r="G18524" s="0" t="s">
        <v>16</v>
      </c>
      <c r="H18524" s="0" t="n">
        <v>40</v>
      </c>
      <c r="I18524" s="0" t="s">
        <v>61593</v>
      </c>
      <c r="J18524" s="0" t="s">
        <v>61594</v>
      </c>
      <c r="K18524" s="0" t="s">
        <v>61595</v>
      </c>
      <c r="L18524" s="0" t="str">
        <f aca="false">HYPERLINK("https://www.ncbi.nlm.nih.gov/nuccore/CP000058.1?report=graph&amp;tracks=[key:gene_model_track,Options:GeneOnly]&amp;mk=5682475:5682494|offset_40|00cc00,5682454:5682473|offset_61|444444,5682433:5682452|offset_82|444444,5682391:5682410|offset_124|444444&amp;v=5682274:5682610&amp;c=444444", "offset 40")</f>
        <v>offset 40</v>
      </c>
    </row>
    <row r="18525" customFormat="false" ht="12.8" hidden="false" customHeight="false" outlineLevel="0" collapsed="false">
      <c r="A18525" s="0" t="s">
        <v>12</v>
      </c>
      <c r="B18525" s="0" t="n">
        <v>5682453</v>
      </c>
      <c r="C18525" s="0" t="n">
        <v>5682473</v>
      </c>
      <c r="D18525" s="0" t="s">
        <v>61592</v>
      </c>
      <c r="E18525" s="0" t="s">
        <v>75</v>
      </c>
      <c r="F18525" s="0" t="s">
        <v>90</v>
      </c>
      <c r="G18525" s="0" t="s">
        <v>32</v>
      </c>
      <c r="H18525" s="0" t="n">
        <v>61</v>
      </c>
      <c r="I18525" s="0" t="s">
        <v>61596</v>
      </c>
      <c r="J18525" s="0" t="s">
        <v>61597</v>
      </c>
      <c r="K18525" s="0" t="s">
        <v>61598</v>
      </c>
      <c r="L18525" s="0" t="str">
        <f aca="false">HYPERLINK("https://www.ncbi.nlm.nih.gov/nuccore/CP000058.1?report=graph&amp;tracks=[key:gene_model_track,Options:GeneOnly]&amp;mk=5682475:5682494|offset_40|444444,5682454:5682473|offset_61|00cc00,5682433:5682452|offset_82|444444,5682391:5682410|offset_124|444444&amp;v=5682274:5682610&amp;c=444444", "offset 61")</f>
        <v>offset 61</v>
      </c>
    </row>
    <row r="18526" customFormat="false" ht="12.8" hidden="false" customHeight="false" outlineLevel="0" collapsed="false">
      <c r="A18526" s="0" t="s">
        <v>12</v>
      </c>
      <c r="B18526" s="0" t="n">
        <v>5682432</v>
      </c>
      <c r="C18526" s="0" t="n">
        <v>5682452</v>
      </c>
      <c r="D18526" s="0" t="s">
        <v>61592</v>
      </c>
      <c r="E18526" s="0" t="s">
        <v>75</v>
      </c>
      <c r="F18526" s="0" t="s">
        <v>90</v>
      </c>
      <c r="G18526" s="0" t="s">
        <v>16</v>
      </c>
      <c r="H18526" s="0" t="n">
        <v>82</v>
      </c>
      <c r="I18526" s="0" t="s">
        <v>61599</v>
      </c>
      <c r="J18526" s="0" t="s">
        <v>61600</v>
      </c>
      <c r="K18526" s="0" t="s">
        <v>61601</v>
      </c>
      <c r="L18526" s="0" t="str">
        <f aca="false">HYPERLINK("https://www.ncbi.nlm.nih.gov/nuccore/CP000058.1?report=graph&amp;tracks=[key:gene_model_track,Options:GeneOnly]&amp;mk=5682475:5682494|offset_40|444444,5682454:5682473|offset_61|444444,5682433:5682452|offset_82|00cc00,5682391:5682410|offset_124|444444&amp;v=5682274:5682610&amp;c=444444", "offset 82")</f>
        <v>offset 82</v>
      </c>
    </row>
    <row r="18527" customFormat="false" ht="12.8" hidden="false" customHeight="false" outlineLevel="0" collapsed="false">
      <c r="A18527" s="0" t="s">
        <v>12</v>
      </c>
      <c r="B18527" s="0" t="n">
        <v>5682390</v>
      </c>
      <c r="C18527" s="0" t="n">
        <v>5682410</v>
      </c>
      <c r="D18527" s="0" t="s">
        <v>61592</v>
      </c>
      <c r="E18527" s="0" t="s">
        <v>75</v>
      </c>
      <c r="F18527" s="0" t="s">
        <v>90</v>
      </c>
      <c r="G18527" s="0" t="s">
        <v>36</v>
      </c>
      <c r="H18527" s="0" t="n">
        <v>124</v>
      </c>
      <c r="I18527" s="0" t="s">
        <v>61602</v>
      </c>
      <c r="J18527" s="0" t="s">
        <v>61603</v>
      </c>
      <c r="K18527" s="0" t="s">
        <v>61604</v>
      </c>
      <c r="L18527" s="0" t="str">
        <f aca="false">HYPERLINK("https://www.ncbi.nlm.nih.gov/nuccore/CP000058.1?report=graph&amp;tracks=[key:gene_model_track,Options:GeneOnly]&amp;mk=5682475:5682494|offset_40|444444,5682454:5682473|offset_61|444444,5682433:5682452|offset_82|444444,5682391:5682410|offset_124|00cc00&amp;v=5682274:5682610&amp;c=444444", "offset 124")</f>
        <v>offset 124</v>
      </c>
    </row>
    <row r="18528" customFormat="false" ht="12.8" hidden="false" customHeight="false" outlineLevel="0" collapsed="false">
      <c r="A18528" s="0" t="s">
        <v>12</v>
      </c>
      <c r="B18528" s="0" t="n">
        <v>5683909</v>
      </c>
      <c r="C18528" s="0" t="n">
        <v>5683929</v>
      </c>
      <c r="D18528" s="0" t="s">
        <v>61605</v>
      </c>
      <c r="E18528" s="0" t="s">
        <v>61606</v>
      </c>
      <c r="F18528" s="0" t="s">
        <v>90</v>
      </c>
      <c r="G18528" s="0" t="s">
        <v>20</v>
      </c>
      <c r="H18528" s="0" t="n">
        <v>28</v>
      </c>
      <c r="I18528" s="0" t="s">
        <v>61607</v>
      </c>
      <c r="J18528" s="0" t="s">
        <v>61608</v>
      </c>
      <c r="K18528" s="0" t="s">
        <v>61609</v>
      </c>
      <c r="L18528" s="0" t="str">
        <f aca="false">HYPERLINK("https://www.ncbi.nlm.nih.gov/nuccore/CP000058.1?report=graph&amp;tracks=[key:gene_model_track,Options:GeneOnly]&amp;mk=5683910:5683929|offset_28|00cc00,5683855:5683874|offset_83|444444,5683835:5683854|offset_103|444444,5683809:5683828|offset_129|444444&amp;v=5683709:5684028&amp;c=444444", "offset 28")</f>
        <v>offset 28</v>
      </c>
    </row>
    <row r="18529" customFormat="false" ht="12.8" hidden="false" customHeight="false" outlineLevel="0" collapsed="false">
      <c r="A18529" s="0" t="s">
        <v>12</v>
      </c>
      <c r="B18529" s="0" t="n">
        <v>5683854</v>
      </c>
      <c r="C18529" s="0" t="n">
        <v>5683874</v>
      </c>
      <c r="D18529" s="0" t="s">
        <v>61605</v>
      </c>
      <c r="E18529" s="0" t="s">
        <v>61606</v>
      </c>
      <c r="F18529" s="0" t="s">
        <v>90</v>
      </c>
      <c r="G18529" s="0" t="s">
        <v>32</v>
      </c>
      <c r="H18529" s="0" t="n">
        <v>83</v>
      </c>
      <c r="I18529" s="0" t="s">
        <v>61610</v>
      </c>
      <c r="J18529" s="0" t="s">
        <v>61611</v>
      </c>
      <c r="K18529" s="0" t="s">
        <v>61612</v>
      </c>
      <c r="L18529" s="0" t="str">
        <f aca="false">HYPERLINK("https://www.ncbi.nlm.nih.gov/nuccore/CP000058.1?report=graph&amp;tracks=[key:gene_model_track,Options:GeneOnly]&amp;mk=5683910:5683929|offset_28|444444,5683855:5683874|offset_83|00cc00,5683835:5683854|offset_103|444444,5683809:5683828|offset_129|444444&amp;v=5683709:5684028&amp;c=444444", "offset 83")</f>
        <v>offset 83</v>
      </c>
    </row>
    <row r="18530" customFormat="false" ht="12.8" hidden="false" customHeight="false" outlineLevel="0" collapsed="false">
      <c r="A18530" s="0" t="s">
        <v>12</v>
      </c>
      <c r="B18530" s="0" t="n">
        <v>5683834</v>
      </c>
      <c r="C18530" s="0" t="n">
        <v>5683854</v>
      </c>
      <c r="D18530" s="0" t="s">
        <v>61605</v>
      </c>
      <c r="E18530" s="0" t="s">
        <v>61606</v>
      </c>
      <c r="F18530" s="0" t="s">
        <v>90</v>
      </c>
      <c r="G18530" s="0" t="s">
        <v>20</v>
      </c>
      <c r="H18530" s="0" t="n">
        <v>103</v>
      </c>
      <c r="I18530" s="0" t="s">
        <v>61613</v>
      </c>
      <c r="J18530" s="0" t="s">
        <v>61614</v>
      </c>
      <c r="K18530" s="0" t="s">
        <v>61615</v>
      </c>
      <c r="L18530" s="0" t="str">
        <f aca="false">HYPERLINK("https://www.ncbi.nlm.nih.gov/nuccore/CP000058.1?report=graph&amp;tracks=[key:gene_model_track,Options:GeneOnly]&amp;mk=5683910:5683929|offset_28|444444,5683855:5683874|offset_83|444444,5683835:5683854|offset_103|00cc00,5683809:5683828|offset_129|444444&amp;v=5683709:5684028&amp;c=444444", "offset 103")</f>
        <v>offset 103</v>
      </c>
    </row>
    <row r="18531" customFormat="false" ht="12.8" hidden="false" customHeight="false" outlineLevel="0" collapsed="false">
      <c r="A18531" s="0" t="s">
        <v>12</v>
      </c>
      <c r="B18531" s="0" t="n">
        <v>5683808</v>
      </c>
      <c r="C18531" s="0" t="n">
        <v>5683828</v>
      </c>
      <c r="D18531" s="0" t="s">
        <v>61605</v>
      </c>
      <c r="E18531" s="0" t="s">
        <v>61606</v>
      </c>
      <c r="F18531" s="0" t="s">
        <v>90</v>
      </c>
      <c r="G18531" s="0" t="s">
        <v>20</v>
      </c>
      <c r="H18531" s="0" t="n">
        <v>129</v>
      </c>
      <c r="I18531" s="0" t="s">
        <v>61616</v>
      </c>
      <c r="J18531" s="0" t="s">
        <v>61617</v>
      </c>
      <c r="K18531" s="0" t="s">
        <v>61618</v>
      </c>
      <c r="L18531" s="0" t="str">
        <f aca="false">HYPERLINK("https://www.ncbi.nlm.nih.gov/nuccore/CP000058.1?report=graph&amp;tracks=[key:gene_model_track,Options:GeneOnly]&amp;mk=5683910:5683929|offset_28|444444,5683855:5683874|offset_83|444444,5683835:5683854|offset_103|444444,5683809:5683828|offset_129|00cc00&amp;v=5683709:5684028&amp;c=444444", "offset 129")</f>
        <v>offset 129</v>
      </c>
    </row>
    <row r="18532" customFormat="false" ht="12.8" hidden="false" customHeight="false" outlineLevel="0" collapsed="false">
      <c r="A18532" s="0" t="s">
        <v>12</v>
      </c>
      <c r="B18532" s="0" t="n">
        <v>5685269</v>
      </c>
      <c r="C18532" s="0" t="n">
        <v>5685289</v>
      </c>
      <c r="D18532" s="0" t="s">
        <v>61619</v>
      </c>
      <c r="E18532" s="0" t="s">
        <v>61620</v>
      </c>
      <c r="F18532" s="0" t="s">
        <v>90</v>
      </c>
      <c r="G18532" s="0" t="s">
        <v>16</v>
      </c>
      <c r="H18532" s="0" t="n">
        <v>30</v>
      </c>
      <c r="I18532" s="0" t="s">
        <v>61621</v>
      </c>
      <c r="J18532" s="0" t="s">
        <v>61622</v>
      </c>
      <c r="K18532" s="0" t="s">
        <v>61623</v>
      </c>
      <c r="L18532" s="0" t="str">
        <f aca="false">HYPERLINK("https://www.ncbi.nlm.nih.gov/nuccore/CP000058.1?report=graph&amp;tracks=[key:gene_model_track,Options:GeneOnly]&amp;mk=5685270:5685289|offset_30|00cc00,5685220:5685239|offset_80|444444,5685197:5685216|offset_103|444444,5685169:5685188|offset_131|444444&amp;v=5685069:5685388&amp;c=444444", "offset 30")</f>
        <v>offset 30</v>
      </c>
    </row>
    <row r="18533" customFormat="false" ht="12.8" hidden="false" customHeight="false" outlineLevel="0" collapsed="false">
      <c r="A18533" s="0" t="s">
        <v>12</v>
      </c>
      <c r="B18533" s="0" t="n">
        <v>5685219</v>
      </c>
      <c r="C18533" s="0" t="n">
        <v>5685239</v>
      </c>
      <c r="D18533" s="0" t="s">
        <v>61619</v>
      </c>
      <c r="E18533" s="0" t="s">
        <v>61620</v>
      </c>
      <c r="F18533" s="0" t="s">
        <v>90</v>
      </c>
      <c r="G18533" s="0" t="s">
        <v>32</v>
      </c>
      <c r="H18533" s="0" t="n">
        <v>80</v>
      </c>
      <c r="I18533" s="0" t="s">
        <v>61624</v>
      </c>
      <c r="J18533" s="0" t="s">
        <v>61625</v>
      </c>
      <c r="K18533" s="0" t="s">
        <v>61626</v>
      </c>
      <c r="L18533" s="0" t="str">
        <f aca="false">HYPERLINK("https://www.ncbi.nlm.nih.gov/nuccore/CP000058.1?report=graph&amp;tracks=[key:gene_model_track,Options:GeneOnly]&amp;mk=5685270:5685289|offset_30|444444,5685220:5685239|offset_80|00cc00,5685197:5685216|offset_103|444444,5685169:5685188|offset_131|444444&amp;v=5685069:5685388&amp;c=444444", "offset 80")</f>
        <v>offset 80</v>
      </c>
    </row>
    <row r="18534" customFormat="false" ht="12.8" hidden="false" customHeight="false" outlineLevel="0" collapsed="false">
      <c r="A18534" s="0" t="s">
        <v>12</v>
      </c>
      <c r="B18534" s="0" t="n">
        <v>5685196</v>
      </c>
      <c r="C18534" s="0" t="n">
        <v>5685216</v>
      </c>
      <c r="D18534" s="0" t="s">
        <v>61619</v>
      </c>
      <c r="E18534" s="0" t="s">
        <v>61620</v>
      </c>
      <c r="F18534" s="0" t="s">
        <v>90</v>
      </c>
      <c r="G18534" s="0" t="s">
        <v>36</v>
      </c>
      <c r="H18534" s="0" t="n">
        <v>103</v>
      </c>
      <c r="I18534" s="0" t="s">
        <v>61627</v>
      </c>
      <c r="J18534" s="0" t="s">
        <v>61628</v>
      </c>
      <c r="K18534" s="0" t="s">
        <v>61629</v>
      </c>
      <c r="L18534" s="0" t="str">
        <f aca="false">HYPERLINK("https://www.ncbi.nlm.nih.gov/nuccore/CP000058.1?report=graph&amp;tracks=[key:gene_model_track,Options:GeneOnly]&amp;mk=5685270:5685289|offset_30|444444,5685220:5685239|offset_80|444444,5685197:5685216|offset_103|00cc00,5685169:5685188|offset_131|444444&amp;v=5685069:5685388&amp;c=444444", "offset 103")</f>
        <v>offset 103</v>
      </c>
    </row>
    <row r="18535" customFormat="false" ht="12.8" hidden="false" customHeight="false" outlineLevel="0" collapsed="false">
      <c r="A18535" s="0" t="s">
        <v>12</v>
      </c>
      <c r="B18535" s="0" t="n">
        <v>5685168</v>
      </c>
      <c r="C18535" s="0" t="n">
        <v>5685188</v>
      </c>
      <c r="D18535" s="0" t="s">
        <v>61619</v>
      </c>
      <c r="E18535" s="0" t="s">
        <v>61620</v>
      </c>
      <c r="F18535" s="0" t="s">
        <v>90</v>
      </c>
      <c r="G18535" s="0" t="s">
        <v>32</v>
      </c>
      <c r="H18535" s="0" t="n">
        <v>131</v>
      </c>
      <c r="I18535" s="0" t="s">
        <v>61630</v>
      </c>
      <c r="J18535" s="0" t="s">
        <v>61631</v>
      </c>
      <c r="K18535" s="0" t="s">
        <v>61632</v>
      </c>
      <c r="L18535" s="0" t="str">
        <f aca="false">HYPERLINK("https://www.ncbi.nlm.nih.gov/nuccore/CP000058.1?report=graph&amp;tracks=[key:gene_model_track,Options:GeneOnly]&amp;mk=5685270:5685289|offset_30|444444,5685220:5685239|offset_80|444444,5685197:5685216|offset_103|444444,5685169:5685188|offset_131|00cc00&amp;v=5685069:5685388&amp;c=444444", "offset 131")</f>
        <v>offset 131</v>
      </c>
    </row>
    <row r="18536" customFormat="false" ht="12.8" hidden="false" customHeight="false" outlineLevel="0" collapsed="false">
      <c r="A18536" s="0" t="s">
        <v>12</v>
      </c>
      <c r="B18536" s="0" t="n">
        <v>5685755</v>
      </c>
      <c r="C18536" s="0" t="n">
        <v>5685775</v>
      </c>
      <c r="D18536" s="0" t="s">
        <v>61633</v>
      </c>
      <c r="E18536" s="0" t="s">
        <v>75</v>
      </c>
      <c r="F18536" s="0" t="s">
        <v>90</v>
      </c>
      <c r="G18536" s="0" t="s">
        <v>32</v>
      </c>
      <c r="H18536" s="0" t="n">
        <v>17</v>
      </c>
      <c r="I18536" s="0" t="s">
        <v>61634</v>
      </c>
      <c r="J18536" s="0" t="s">
        <v>61635</v>
      </c>
      <c r="K18536" s="0" t="s">
        <v>61636</v>
      </c>
      <c r="L18536" s="0" t="str">
        <f aca="false">HYPERLINK("https://www.ncbi.nlm.nih.gov/nuccore/CP000058.1?report=graph&amp;tracks=[key:gene_model_track,Options:GeneOnly]&amp;mk=5685756:5685775|offset_17|00cc00,5685715:5685734|offset_58|444444,5685676:5685695|offset_97|444444,5685649:5685668|offset_124|444444&amp;v=5685555:5685868&amp;c=444444", "offset 17")</f>
        <v>offset 17</v>
      </c>
    </row>
    <row r="18537" customFormat="false" ht="12.8" hidden="false" customHeight="false" outlineLevel="0" collapsed="false">
      <c r="A18537" s="0" t="s">
        <v>12</v>
      </c>
      <c r="B18537" s="0" t="n">
        <v>5685714</v>
      </c>
      <c r="C18537" s="0" t="n">
        <v>5685734</v>
      </c>
      <c r="D18537" s="0" t="s">
        <v>61633</v>
      </c>
      <c r="E18537" s="0" t="s">
        <v>75</v>
      </c>
      <c r="F18537" s="0" t="s">
        <v>90</v>
      </c>
      <c r="G18537" s="0" t="s">
        <v>16</v>
      </c>
      <c r="H18537" s="0" t="n">
        <v>58</v>
      </c>
      <c r="I18537" s="0" t="s">
        <v>61637</v>
      </c>
      <c r="J18537" s="0" t="s">
        <v>61638</v>
      </c>
      <c r="K18537" s="0" t="s">
        <v>61639</v>
      </c>
      <c r="L18537" s="0" t="str">
        <f aca="false">HYPERLINK("https://www.ncbi.nlm.nih.gov/nuccore/CP000058.1?report=graph&amp;tracks=[key:gene_model_track,Options:GeneOnly]&amp;mk=5685756:5685775|offset_17|444444,5685715:5685734|offset_58|00cc00,5685676:5685695|offset_97|444444,5685649:5685668|offset_124|444444&amp;v=5685555:5685868&amp;c=444444", "offset 58")</f>
        <v>offset 58</v>
      </c>
    </row>
    <row r="18538" customFormat="false" ht="12.8" hidden="false" customHeight="false" outlineLevel="0" collapsed="false">
      <c r="A18538" s="0" t="s">
        <v>12</v>
      </c>
      <c r="B18538" s="0" t="n">
        <v>5685675</v>
      </c>
      <c r="C18538" s="0" t="n">
        <v>5685695</v>
      </c>
      <c r="D18538" s="0" t="s">
        <v>61633</v>
      </c>
      <c r="E18538" s="0" t="s">
        <v>75</v>
      </c>
      <c r="F18538" s="0" t="s">
        <v>90</v>
      </c>
      <c r="G18538" s="0" t="s">
        <v>16</v>
      </c>
      <c r="H18538" s="0" t="n">
        <v>97</v>
      </c>
      <c r="I18538" s="0" t="s">
        <v>61640</v>
      </c>
      <c r="J18538" s="0" t="s">
        <v>61641</v>
      </c>
      <c r="K18538" s="0" t="s">
        <v>61642</v>
      </c>
      <c r="L18538" s="0" t="str">
        <f aca="false">HYPERLINK("https://www.ncbi.nlm.nih.gov/nuccore/CP000058.1?report=graph&amp;tracks=[key:gene_model_track,Options:GeneOnly]&amp;mk=5685756:5685775|offset_17|444444,5685715:5685734|offset_58|444444,5685676:5685695|offset_97|00cc00,5685649:5685668|offset_124|444444&amp;v=5685555:5685868&amp;c=444444", "offset 97")</f>
        <v>offset 97</v>
      </c>
    </row>
    <row r="18539" customFormat="false" ht="12.8" hidden="false" customHeight="false" outlineLevel="0" collapsed="false">
      <c r="A18539" s="0" t="s">
        <v>12</v>
      </c>
      <c r="B18539" s="0" t="n">
        <v>5685648</v>
      </c>
      <c r="C18539" s="0" t="n">
        <v>5685668</v>
      </c>
      <c r="D18539" s="0" t="s">
        <v>61633</v>
      </c>
      <c r="E18539" s="0" t="s">
        <v>75</v>
      </c>
      <c r="F18539" s="0" t="s">
        <v>90</v>
      </c>
      <c r="G18539" s="0" t="s">
        <v>32</v>
      </c>
      <c r="H18539" s="0" t="n">
        <v>124</v>
      </c>
      <c r="I18539" s="0" t="s">
        <v>61643</v>
      </c>
      <c r="J18539" s="0" t="s">
        <v>61644</v>
      </c>
      <c r="K18539" s="0" t="s">
        <v>61645</v>
      </c>
      <c r="L18539" s="0" t="str">
        <f aca="false">HYPERLINK("https://www.ncbi.nlm.nih.gov/nuccore/CP000058.1?report=graph&amp;tracks=[key:gene_model_track,Options:GeneOnly]&amp;mk=5685756:5685775|offset_17|444444,5685715:5685734|offset_58|444444,5685676:5685695|offset_97|444444,5685649:5685668|offset_124|00cc00&amp;v=5685555:5685868&amp;c=444444", "offset 124")</f>
        <v>offset 124</v>
      </c>
    </row>
    <row r="18540" customFormat="false" ht="12.8" hidden="false" customHeight="false" outlineLevel="0" collapsed="false">
      <c r="A18540" s="0" t="s">
        <v>12</v>
      </c>
      <c r="B18540" s="0" t="n">
        <v>5686556</v>
      </c>
      <c r="C18540" s="0" t="n">
        <v>5686576</v>
      </c>
      <c r="D18540" s="0" t="s">
        <v>61646</v>
      </c>
      <c r="E18540" s="0" t="s">
        <v>75</v>
      </c>
      <c r="F18540" s="0" t="s">
        <v>90</v>
      </c>
      <c r="G18540" s="0" t="s">
        <v>32</v>
      </c>
      <c r="H18540" s="0" t="n">
        <v>15</v>
      </c>
      <c r="I18540" s="0" t="s">
        <v>61647</v>
      </c>
      <c r="J18540" s="0" t="s">
        <v>61648</v>
      </c>
      <c r="K18540" s="0" t="s">
        <v>61649</v>
      </c>
      <c r="L18540" s="0" t="str">
        <f aca="false">HYPERLINK("https://www.ncbi.nlm.nih.gov/nuccore/CP000058.1?report=graph&amp;tracks=[key:gene_model_track,Options:GeneOnly]&amp;mk=5686557:5686576|offset_15|00cc00,5686506:5686525|offset_66|444444,5686470:5686489|offset_102|444444,5686450:5686469|offset_122|444444&amp;v=5686356:5686669&amp;c=444444", "offset 15")</f>
        <v>offset 15</v>
      </c>
    </row>
    <row r="18541" customFormat="false" ht="12.8" hidden="false" customHeight="false" outlineLevel="0" collapsed="false">
      <c r="A18541" s="0" t="s">
        <v>12</v>
      </c>
      <c r="B18541" s="0" t="n">
        <v>5686505</v>
      </c>
      <c r="C18541" s="0" t="n">
        <v>5686525</v>
      </c>
      <c r="D18541" s="0" t="s">
        <v>61646</v>
      </c>
      <c r="E18541" s="0" t="s">
        <v>75</v>
      </c>
      <c r="F18541" s="0" t="s">
        <v>90</v>
      </c>
      <c r="G18541" s="0" t="s">
        <v>16</v>
      </c>
      <c r="H18541" s="0" t="n">
        <v>66</v>
      </c>
      <c r="I18541" s="0" t="s">
        <v>61650</v>
      </c>
      <c r="J18541" s="0" t="s">
        <v>61651</v>
      </c>
      <c r="K18541" s="0" t="s">
        <v>61652</v>
      </c>
      <c r="L18541" s="0" t="str">
        <f aca="false">HYPERLINK("https://www.ncbi.nlm.nih.gov/nuccore/CP000058.1?report=graph&amp;tracks=[key:gene_model_track,Options:GeneOnly]&amp;mk=5686557:5686576|offset_15|444444,5686506:5686525|offset_66|00cc00,5686470:5686489|offset_102|444444,5686450:5686469|offset_122|444444&amp;v=5686356:5686669&amp;c=444444", "offset 66")</f>
        <v>offset 66</v>
      </c>
    </row>
    <row r="18542" customFormat="false" ht="12.8" hidden="false" customHeight="false" outlineLevel="0" collapsed="false">
      <c r="A18542" s="0" t="s">
        <v>12</v>
      </c>
      <c r="B18542" s="0" t="n">
        <v>5686469</v>
      </c>
      <c r="C18542" s="0" t="n">
        <v>5686489</v>
      </c>
      <c r="D18542" s="0" t="s">
        <v>61646</v>
      </c>
      <c r="E18542" s="0" t="s">
        <v>75</v>
      </c>
      <c r="F18542" s="0" t="s">
        <v>90</v>
      </c>
      <c r="G18542" s="0" t="s">
        <v>16</v>
      </c>
      <c r="H18542" s="0" t="n">
        <v>102</v>
      </c>
      <c r="I18542" s="0" t="s">
        <v>61653</v>
      </c>
      <c r="J18542" s="0" t="s">
        <v>61654</v>
      </c>
      <c r="K18542" s="0" t="s">
        <v>61655</v>
      </c>
      <c r="L18542" s="0" t="str">
        <f aca="false">HYPERLINK("https://www.ncbi.nlm.nih.gov/nuccore/CP000058.1?report=graph&amp;tracks=[key:gene_model_track,Options:GeneOnly]&amp;mk=5686557:5686576|offset_15|444444,5686506:5686525|offset_66|444444,5686470:5686489|offset_102|00cc00,5686450:5686469|offset_122|444444&amp;v=5686356:5686669&amp;c=444444", "offset 102")</f>
        <v>offset 102</v>
      </c>
    </row>
    <row r="18543" customFormat="false" ht="12.8" hidden="false" customHeight="false" outlineLevel="0" collapsed="false">
      <c r="A18543" s="0" t="s">
        <v>12</v>
      </c>
      <c r="B18543" s="0" t="n">
        <v>5686449</v>
      </c>
      <c r="C18543" s="0" t="n">
        <v>5686469</v>
      </c>
      <c r="D18543" s="0" t="s">
        <v>61646</v>
      </c>
      <c r="E18543" s="0" t="s">
        <v>75</v>
      </c>
      <c r="F18543" s="0" t="s">
        <v>90</v>
      </c>
      <c r="G18543" s="0" t="s">
        <v>32</v>
      </c>
      <c r="H18543" s="0" t="n">
        <v>122</v>
      </c>
      <c r="I18543" s="0" t="s">
        <v>61656</v>
      </c>
      <c r="J18543" s="0" t="s">
        <v>61657</v>
      </c>
      <c r="K18543" s="0" t="s">
        <v>61658</v>
      </c>
      <c r="L18543" s="0" t="str">
        <f aca="false">HYPERLINK("https://www.ncbi.nlm.nih.gov/nuccore/CP000058.1?report=graph&amp;tracks=[key:gene_model_track,Options:GeneOnly]&amp;mk=5686557:5686576|offset_15|444444,5686506:5686525|offset_66|444444,5686470:5686489|offset_102|444444,5686450:5686469|offset_122|00cc00&amp;v=5686356:5686669&amp;c=444444", "offset 122")</f>
        <v>offset 122</v>
      </c>
    </row>
    <row r="18544" customFormat="false" ht="12.8" hidden="false" customHeight="false" outlineLevel="0" collapsed="false">
      <c r="A18544" s="0" t="s">
        <v>12</v>
      </c>
      <c r="B18544" s="0" t="n">
        <v>5686776</v>
      </c>
      <c r="C18544" s="0" t="n">
        <v>5686796</v>
      </c>
      <c r="D18544" s="0" t="s">
        <v>61659</v>
      </c>
      <c r="E18544" s="0" t="s">
        <v>75</v>
      </c>
      <c r="F18544" s="0" t="s">
        <v>15</v>
      </c>
      <c r="G18544" s="0" t="s">
        <v>16</v>
      </c>
      <c r="H18544" s="0" t="n">
        <v>15</v>
      </c>
      <c r="I18544" s="0" t="s">
        <v>61660</v>
      </c>
      <c r="J18544" s="0" t="s">
        <v>61661</v>
      </c>
      <c r="K18544" s="0" t="s">
        <v>61662</v>
      </c>
      <c r="L18544" s="0" t="str">
        <f aca="false">HYPERLINK("https://www.ncbi.nlm.nih.gov/nuccore/CP000058.1?report=graph&amp;tracks=[key:gene_model_track,Options:GeneOnly]&amp;mk=5686777:5686796|offset_15|00cc00,5686797:5686816|offset_35|444444,5686820:5686839|offset_58|444444,5686850:5686869|offset_88|444444&amp;v=5686576:5687069&amp;c=444444", "offset 15")</f>
        <v>offset 15</v>
      </c>
    </row>
    <row r="18545" customFormat="false" ht="12.8" hidden="false" customHeight="false" outlineLevel="0" collapsed="false">
      <c r="A18545" s="0" t="s">
        <v>12</v>
      </c>
      <c r="B18545" s="0" t="n">
        <v>5686796</v>
      </c>
      <c r="C18545" s="0" t="n">
        <v>5686816</v>
      </c>
      <c r="D18545" s="0" t="s">
        <v>61659</v>
      </c>
      <c r="E18545" s="0" t="s">
        <v>75</v>
      </c>
      <c r="F18545" s="0" t="s">
        <v>15</v>
      </c>
      <c r="G18545" s="0" t="s">
        <v>16</v>
      </c>
      <c r="H18545" s="0" t="n">
        <v>35</v>
      </c>
      <c r="I18545" s="0" t="s">
        <v>61663</v>
      </c>
      <c r="J18545" s="0" t="s">
        <v>61664</v>
      </c>
      <c r="K18545" s="0" t="s">
        <v>61665</v>
      </c>
      <c r="L18545" s="0" t="str">
        <f aca="false">HYPERLINK("https://www.ncbi.nlm.nih.gov/nuccore/CP000058.1?report=graph&amp;tracks=[key:gene_model_track,Options:GeneOnly]&amp;mk=5686777:5686796|offset_15|444444,5686797:5686816|offset_35|00cc00,5686820:5686839|offset_58|444444,5686850:5686869|offset_88|444444&amp;v=5686576:5687069&amp;c=444444", "offset 35")</f>
        <v>offset 35</v>
      </c>
    </row>
    <row r="18546" customFormat="false" ht="12.8" hidden="false" customHeight="false" outlineLevel="0" collapsed="false">
      <c r="A18546" s="0" t="s">
        <v>12</v>
      </c>
      <c r="B18546" s="0" t="n">
        <v>5686819</v>
      </c>
      <c r="C18546" s="0" t="n">
        <v>5686839</v>
      </c>
      <c r="D18546" s="0" t="s">
        <v>61659</v>
      </c>
      <c r="E18546" s="0" t="s">
        <v>75</v>
      </c>
      <c r="F18546" s="0" t="s">
        <v>15</v>
      </c>
      <c r="G18546" s="0" t="s">
        <v>16</v>
      </c>
      <c r="H18546" s="0" t="n">
        <v>58</v>
      </c>
      <c r="I18546" s="0" t="s">
        <v>61666</v>
      </c>
      <c r="J18546" s="0" t="s">
        <v>61667</v>
      </c>
      <c r="K18546" s="0" t="s">
        <v>61668</v>
      </c>
      <c r="L18546" s="0" t="str">
        <f aca="false">HYPERLINK("https://www.ncbi.nlm.nih.gov/nuccore/CP000058.1?report=graph&amp;tracks=[key:gene_model_track,Options:GeneOnly]&amp;mk=5686777:5686796|offset_15|444444,5686797:5686816|offset_35|444444,5686820:5686839|offset_58|00cc00,5686850:5686869|offset_88|444444&amp;v=5686576:5687069&amp;c=444444", "offset 58")</f>
        <v>offset 58</v>
      </c>
    </row>
    <row r="18547" customFormat="false" ht="12.8" hidden="false" customHeight="false" outlineLevel="0" collapsed="false">
      <c r="A18547" s="0" t="s">
        <v>12</v>
      </c>
      <c r="B18547" s="0" t="n">
        <v>5686849</v>
      </c>
      <c r="C18547" s="0" t="n">
        <v>5686869</v>
      </c>
      <c r="D18547" s="0" t="s">
        <v>61659</v>
      </c>
      <c r="E18547" s="0" t="s">
        <v>75</v>
      </c>
      <c r="F18547" s="0" t="s">
        <v>15</v>
      </c>
      <c r="G18547" s="0" t="s">
        <v>32</v>
      </c>
      <c r="H18547" s="0" t="n">
        <v>88</v>
      </c>
      <c r="I18547" s="0" t="s">
        <v>61669</v>
      </c>
      <c r="J18547" s="0" t="s">
        <v>61670</v>
      </c>
      <c r="K18547" s="0" t="s">
        <v>61671</v>
      </c>
      <c r="L18547" s="0" t="str">
        <f aca="false">HYPERLINK("https://www.ncbi.nlm.nih.gov/nuccore/CP000058.1?report=graph&amp;tracks=[key:gene_model_track,Options:GeneOnly]&amp;mk=5686777:5686796|offset_15|444444,5686797:5686816|offset_35|444444,5686820:5686839|offset_58|444444,5686850:5686869|offset_88|00cc00&amp;v=5686576:5687069&amp;c=444444", "offset 88")</f>
        <v>offset 88</v>
      </c>
    </row>
    <row r="18548" customFormat="false" ht="12.8" hidden="false" customHeight="false" outlineLevel="0" collapsed="false">
      <c r="A18548" s="0" t="s">
        <v>12</v>
      </c>
      <c r="B18548" s="0" t="n">
        <v>5687340</v>
      </c>
      <c r="C18548" s="0" t="n">
        <v>5687360</v>
      </c>
      <c r="D18548" s="0" t="s">
        <v>61672</v>
      </c>
      <c r="E18548" s="0" t="s">
        <v>61673</v>
      </c>
      <c r="F18548" s="0" t="s">
        <v>15</v>
      </c>
      <c r="G18548" s="0" t="s">
        <v>20</v>
      </c>
      <c r="H18548" s="0" t="n">
        <v>0</v>
      </c>
      <c r="I18548" s="0" t="s">
        <v>61674</v>
      </c>
      <c r="J18548" s="0" t="s">
        <v>61675</v>
      </c>
      <c r="K18548" s="0" t="s">
        <v>61676</v>
      </c>
      <c r="L18548" s="0" t="str">
        <f aca="false">HYPERLINK("https://www.ncbi.nlm.nih.gov/nuccore/CP000058.1?report=graph&amp;tracks=[key:gene_model_track,Options:GeneOnly]&amp;mk=5687341:5687360|offset_0|00cc00,5687363:5687382|offset_22|444444,5687420:5687439|offset_79|444444,5687450:5687469|offset_109|444444&amp;v=5687140:5687669&amp;c=444444", "offset 0")</f>
        <v>offset 0</v>
      </c>
    </row>
    <row r="18549" customFormat="false" ht="12.8" hidden="false" customHeight="false" outlineLevel="0" collapsed="false">
      <c r="A18549" s="0" t="s">
        <v>12</v>
      </c>
      <c r="B18549" s="0" t="n">
        <v>5687362</v>
      </c>
      <c r="C18549" s="0" t="n">
        <v>5687382</v>
      </c>
      <c r="D18549" s="0" t="s">
        <v>61672</v>
      </c>
      <c r="E18549" s="0" t="s">
        <v>61673</v>
      </c>
      <c r="F18549" s="0" t="s">
        <v>15</v>
      </c>
      <c r="G18549" s="0" t="s">
        <v>16</v>
      </c>
      <c r="H18549" s="0" t="n">
        <v>22</v>
      </c>
      <c r="I18549" s="0" t="s">
        <v>61677</v>
      </c>
      <c r="J18549" s="0" t="s">
        <v>61678</v>
      </c>
      <c r="K18549" s="0" t="s">
        <v>61679</v>
      </c>
      <c r="L18549" s="0" t="str">
        <f aca="false">HYPERLINK("https://www.ncbi.nlm.nih.gov/nuccore/CP000058.1?report=graph&amp;tracks=[key:gene_model_track,Options:GeneOnly]&amp;mk=5687341:5687360|offset_0|444444,5687363:5687382|offset_22|00cc00,5687420:5687439|offset_79|444444,5687450:5687469|offset_109|444444&amp;v=5687140:5687669&amp;c=444444", "offset 22")</f>
        <v>offset 22</v>
      </c>
    </row>
    <row r="18550" customFormat="false" ht="12.8" hidden="false" customHeight="false" outlineLevel="0" collapsed="false">
      <c r="A18550" s="0" t="s">
        <v>12</v>
      </c>
      <c r="B18550" s="0" t="n">
        <v>5687419</v>
      </c>
      <c r="C18550" s="0" t="n">
        <v>5687439</v>
      </c>
      <c r="D18550" s="0" t="s">
        <v>61672</v>
      </c>
      <c r="E18550" s="0" t="s">
        <v>61673</v>
      </c>
      <c r="F18550" s="0" t="s">
        <v>15</v>
      </c>
      <c r="G18550" s="0" t="s">
        <v>36</v>
      </c>
      <c r="H18550" s="0" t="n">
        <v>79</v>
      </c>
      <c r="I18550" s="0" t="s">
        <v>61680</v>
      </c>
      <c r="J18550" s="0" t="s">
        <v>61681</v>
      </c>
      <c r="K18550" s="0" t="s">
        <v>61682</v>
      </c>
      <c r="L18550" s="0" t="str">
        <f aca="false">HYPERLINK("https://www.ncbi.nlm.nih.gov/nuccore/CP000058.1?report=graph&amp;tracks=[key:gene_model_track,Options:GeneOnly]&amp;mk=5687341:5687360|offset_0|444444,5687363:5687382|offset_22|444444,5687420:5687439|offset_79|00cc00,5687450:5687469|offset_109|444444&amp;v=5687140:5687669&amp;c=444444", "offset 79")</f>
        <v>offset 79</v>
      </c>
    </row>
    <row r="18551" customFormat="false" ht="12.8" hidden="false" customHeight="false" outlineLevel="0" collapsed="false">
      <c r="A18551" s="0" t="s">
        <v>12</v>
      </c>
      <c r="B18551" s="0" t="n">
        <v>5687449</v>
      </c>
      <c r="C18551" s="0" t="n">
        <v>5687469</v>
      </c>
      <c r="D18551" s="0" t="s">
        <v>61672</v>
      </c>
      <c r="E18551" s="0" t="s">
        <v>61673</v>
      </c>
      <c r="F18551" s="0" t="s">
        <v>15</v>
      </c>
      <c r="G18551" s="0" t="s">
        <v>32</v>
      </c>
      <c r="H18551" s="0" t="n">
        <v>109</v>
      </c>
      <c r="I18551" s="0" t="s">
        <v>61683</v>
      </c>
      <c r="J18551" s="0" t="s">
        <v>61684</v>
      </c>
      <c r="K18551" s="0" t="s">
        <v>61685</v>
      </c>
      <c r="L18551" s="0" t="str">
        <f aca="false">HYPERLINK("https://www.ncbi.nlm.nih.gov/nuccore/CP000058.1?report=graph&amp;tracks=[key:gene_model_track,Options:GeneOnly]&amp;mk=5687341:5687360|offset_0|444444,5687363:5687382|offset_22|444444,5687420:5687439|offset_79|444444,5687450:5687469|offset_109|00cc00&amp;v=5687140:5687669&amp;c=444444", "offset 109")</f>
        <v>offset 109</v>
      </c>
    </row>
    <row r="18552" customFormat="false" ht="12.8" hidden="false" customHeight="false" outlineLevel="0" collapsed="false">
      <c r="A18552" s="0" t="s">
        <v>12</v>
      </c>
      <c r="B18552" s="0" t="n">
        <v>5688453</v>
      </c>
      <c r="C18552" s="0" t="n">
        <v>5688473</v>
      </c>
      <c r="D18552" s="0" t="s">
        <v>61686</v>
      </c>
      <c r="E18552" s="0" t="s">
        <v>61687</v>
      </c>
      <c r="F18552" s="0" t="s">
        <v>15</v>
      </c>
      <c r="G18552" s="0" t="s">
        <v>16</v>
      </c>
      <c r="H18552" s="0" t="n">
        <v>31</v>
      </c>
      <c r="I18552" s="0" t="s">
        <v>61688</v>
      </c>
      <c r="J18552" s="0" t="s">
        <v>61689</v>
      </c>
      <c r="K18552" s="0" t="s">
        <v>61690</v>
      </c>
      <c r="L18552" s="0" t="str">
        <f aca="false">HYPERLINK("https://www.ncbi.nlm.nih.gov/nuccore/CP000058.1?report=graph&amp;tracks=[key:gene_model_track,Options:GeneOnly]&amp;mk=5688454:5688473|offset_31|00cc00,5688487:5688506|offset_64|444444,5688514:5688533|offset_91|444444,5688545:5688564|offset_122|444444&amp;v=5688253:5688764&amp;c=444444", "offset 31")</f>
        <v>offset 31</v>
      </c>
    </row>
    <row r="18553" customFormat="false" ht="12.8" hidden="false" customHeight="false" outlineLevel="0" collapsed="false">
      <c r="A18553" s="0" t="s">
        <v>12</v>
      </c>
      <c r="B18553" s="0" t="n">
        <v>5688486</v>
      </c>
      <c r="C18553" s="0" t="n">
        <v>5688506</v>
      </c>
      <c r="D18553" s="0" t="s">
        <v>61686</v>
      </c>
      <c r="E18553" s="0" t="s">
        <v>61687</v>
      </c>
      <c r="F18553" s="0" t="s">
        <v>15</v>
      </c>
      <c r="G18553" s="0" t="s">
        <v>36</v>
      </c>
      <c r="H18553" s="0" t="n">
        <v>64</v>
      </c>
      <c r="I18553" s="0" t="s">
        <v>61691</v>
      </c>
      <c r="J18553" s="0" t="s">
        <v>61692</v>
      </c>
      <c r="K18553" s="0" t="s">
        <v>61693</v>
      </c>
      <c r="L18553" s="0" t="str">
        <f aca="false">HYPERLINK("https://www.ncbi.nlm.nih.gov/nuccore/CP000058.1?report=graph&amp;tracks=[key:gene_model_track,Options:GeneOnly]&amp;mk=5688454:5688473|offset_31|444444,5688487:5688506|offset_64|00cc00,5688514:5688533|offset_91|444444,5688545:5688564|offset_122|444444&amp;v=5688253:5688764&amp;c=444444", "offset 64")</f>
        <v>offset 64</v>
      </c>
    </row>
    <row r="18554" customFormat="false" ht="12.8" hidden="false" customHeight="false" outlineLevel="0" collapsed="false">
      <c r="A18554" s="0" t="s">
        <v>12</v>
      </c>
      <c r="B18554" s="0" t="n">
        <v>5688513</v>
      </c>
      <c r="C18554" s="0" t="n">
        <v>5688533</v>
      </c>
      <c r="D18554" s="0" t="s">
        <v>61686</v>
      </c>
      <c r="E18554" s="0" t="s">
        <v>61687</v>
      </c>
      <c r="F18554" s="0" t="s">
        <v>15</v>
      </c>
      <c r="G18554" s="0" t="s">
        <v>16</v>
      </c>
      <c r="H18554" s="0" t="n">
        <v>91</v>
      </c>
      <c r="I18554" s="0" t="s">
        <v>61694</v>
      </c>
      <c r="J18554" s="0" t="s">
        <v>61695</v>
      </c>
      <c r="K18554" s="0" t="s">
        <v>61696</v>
      </c>
      <c r="L18554" s="0" t="str">
        <f aca="false">HYPERLINK("https://www.ncbi.nlm.nih.gov/nuccore/CP000058.1?report=graph&amp;tracks=[key:gene_model_track,Options:GeneOnly]&amp;mk=5688454:5688473|offset_31|444444,5688487:5688506|offset_64|444444,5688514:5688533|offset_91|00cc00,5688545:5688564|offset_122|444444&amp;v=5688253:5688764&amp;c=444444", "offset 91")</f>
        <v>offset 91</v>
      </c>
    </row>
    <row r="18555" customFormat="false" ht="12.8" hidden="false" customHeight="false" outlineLevel="0" collapsed="false">
      <c r="A18555" s="0" t="s">
        <v>12</v>
      </c>
      <c r="B18555" s="0" t="n">
        <v>5688544</v>
      </c>
      <c r="C18555" s="0" t="n">
        <v>5688564</v>
      </c>
      <c r="D18555" s="0" t="s">
        <v>61686</v>
      </c>
      <c r="E18555" s="0" t="s">
        <v>61687</v>
      </c>
      <c r="F18555" s="0" t="s">
        <v>15</v>
      </c>
      <c r="G18555" s="0" t="s">
        <v>32</v>
      </c>
      <c r="H18555" s="0" t="n">
        <v>122</v>
      </c>
      <c r="I18555" s="0" t="s">
        <v>61697</v>
      </c>
      <c r="J18555" s="0" t="s">
        <v>61698</v>
      </c>
      <c r="K18555" s="0" t="s">
        <v>61699</v>
      </c>
      <c r="L18555" s="0" t="str">
        <f aca="false">HYPERLINK("https://www.ncbi.nlm.nih.gov/nuccore/CP000058.1?report=graph&amp;tracks=[key:gene_model_track,Options:GeneOnly]&amp;mk=5688454:5688473|offset_31|444444,5688487:5688506|offset_64|444444,5688514:5688533|offset_91|444444,5688545:5688564|offset_122|00cc00&amp;v=5688253:5688764&amp;c=444444", "offset 122")</f>
        <v>offset 122</v>
      </c>
    </row>
    <row r="18556" customFormat="false" ht="12.8" hidden="false" customHeight="false" outlineLevel="0" collapsed="false">
      <c r="A18556" s="0" t="s">
        <v>12</v>
      </c>
      <c r="B18556" s="0" t="n">
        <v>5692041</v>
      </c>
      <c r="C18556" s="0" t="n">
        <v>5692061</v>
      </c>
      <c r="D18556" s="0" t="s">
        <v>61700</v>
      </c>
      <c r="E18556" s="0" t="s">
        <v>75</v>
      </c>
      <c r="F18556" s="0" t="s">
        <v>90</v>
      </c>
      <c r="G18556" s="0" t="s">
        <v>20</v>
      </c>
      <c r="H18556" s="0" t="n">
        <v>24</v>
      </c>
      <c r="I18556" s="0" t="s">
        <v>61701</v>
      </c>
      <c r="J18556" s="0" t="s">
        <v>61702</v>
      </c>
      <c r="K18556" s="0" t="s">
        <v>61703</v>
      </c>
      <c r="L18556" s="0" t="str">
        <f aca="false">HYPERLINK("https://www.ncbi.nlm.nih.gov/nuccore/CP000058.1?report=graph&amp;tracks=[key:gene_model_track,Options:GeneOnly]&amp;mk=5692042:5692061|offset_24|00cc00,5691983:5692002|offset_83|444444,5691955:5691974|offset_111|444444,5691925:5691944|offset_141|444444&amp;v=5691841:5692144&amp;c=444444", "offset 24")</f>
        <v>offset 24</v>
      </c>
    </row>
    <row r="18557" customFormat="false" ht="12.8" hidden="false" customHeight="false" outlineLevel="0" collapsed="false">
      <c r="A18557" s="0" t="s">
        <v>12</v>
      </c>
      <c r="B18557" s="0" t="n">
        <v>5691982</v>
      </c>
      <c r="C18557" s="0" t="n">
        <v>5692002</v>
      </c>
      <c r="D18557" s="0" t="s">
        <v>61700</v>
      </c>
      <c r="E18557" s="0" t="s">
        <v>75</v>
      </c>
      <c r="F18557" s="0" t="s">
        <v>90</v>
      </c>
      <c r="G18557" s="0" t="s">
        <v>20</v>
      </c>
      <c r="H18557" s="0" t="n">
        <v>83</v>
      </c>
      <c r="I18557" s="0" t="s">
        <v>61704</v>
      </c>
      <c r="J18557" s="0" t="s">
        <v>61705</v>
      </c>
      <c r="K18557" s="0" t="s">
        <v>61706</v>
      </c>
      <c r="L18557" s="0" t="str">
        <f aca="false">HYPERLINK("https://www.ncbi.nlm.nih.gov/nuccore/CP000058.1?report=graph&amp;tracks=[key:gene_model_track,Options:GeneOnly]&amp;mk=5692042:5692061|offset_24|444444,5691983:5692002|offset_83|00cc00,5691955:5691974|offset_111|444444,5691925:5691944|offset_141|444444&amp;v=5691841:5692144&amp;c=444444", "offset 83")</f>
        <v>offset 83</v>
      </c>
    </row>
    <row r="18558" customFormat="false" ht="12.8" hidden="false" customHeight="false" outlineLevel="0" collapsed="false">
      <c r="A18558" s="0" t="s">
        <v>12</v>
      </c>
      <c r="B18558" s="0" t="n">
        <v>5691954</v>
      </c>
      <c r="C18558" s="0" t="n">
        <v>5691974</v>
      </c>
      <c r="D18558" s="0" t="s">
        <v>61700</v>
      </c>
      <c r="E18558" s="0" t="s">
        <v>75</v>
      </c>
      <c r="F18558" s="0" t="s">
        <v>90</v>
      </c>
      <c r="G18558" s="0" t="s">
        <v>16</v>
      </c>
      <c r="H18558" s="0" t="n">
        <v>111</v>
      </c>
      <c r="I18558" s="0" t="s">
        <v>61707</v>
      </c>
      <c r="J18558" s="0" t="s">
        <v>61708</v>
      </c>
      <c r="K18558" s="0" t="s">
        <v>61709</v>
      </c>
      <c r="L18558" s="0" t="str">
        <f aca="false">HYPERLINK("https://www.ncbi.nlm.nih.gov/nuccore/CP000058.1?report=graph&amp;tracks=[key:gene_model_track,Options:GeneOnly]&amp;mk=5692042:5692061|offset_24|444444,5691983:5692002|offset_83|444444,5691955:5691974|offset_111|00cc00,5691925:5691944|offset_141|444444&amp;v=5691841:5692144&amp;c=444444", "offset 111")</f>
        <v>offset 111</v>
      </c>
    </row>
    <row r="18559" customFormat="false" ht="12.8" hidden="false" customHeight="false" outlineLevel="0" collapsed="false">
      <c r="A18559" s="0" t="s">
        <v>12</v>
      </c>
      <c r="B18559" s="0" t="n">
        <v>5691924</v>
      </c>
      <c r="C18559" s="0" t="n">
        <v>5691944</v>
      </c>
      <c r="D18559" s="0" t="s">
        <v>61700</v>
      </c>
      <c r="E18559" s="0" t="s">
        <v>75</v>
      </c>
      <c r="F18559" s="0" t="s">
        <v>90</v>
      </c>
      <c r="G18559" s="0" t="s">
        <v>20</v>
      </c>
      <c r="H18559" s="0" t="n">
        <v>141</v>
      </c>
      <c r="I18559" s="0" t="s">
        <v>61710</v>
      </c>
      <c r="J18559" s="0" t="s">
        <v>61711</v>
      </c>
      <c r="K18559" s="0" t="s">
        <v>61712</v>
      </c>
      <c r="L18559" s="0" t="str">
        <f aca="false">HYPERLINK("https://www.ncbi.nlm.nih.gov/nuccore/CP000058.1?report=graph&amp;tracks=[key:gene_model_track,Options:GeneOnly]&amp;mk=5692042:5692061|offset_24|444444,5691983:5692002|offset_83|444444,5691955:5691974|offset_111|444444,5691925:5691944|offset_141|00cc00&amp;v=5691841:5692144&amp;c=444444", "offset 141")</f>
        <v>offset 141</v>
      </c>
    </row>
    <row r="18560" customFormat="false" ht="12.8" hidden="false" customHeight="false" outlineLevel="0" collapsed="false">
      <c r="A18560" s="0" t="s">
        <v>12</v>
      </c>
      <c r="B18560" s="0" t="n">
        <v>5692639</v>
      </c>
      <c r="C18560" s="0" t="n">
        <v>5692659</v>
      </c>
      <c r="D18560" s="0" t="s">
        <v>61713</v>
      </c>
      <c r="E18560" s="0" t="s">
        <v>75</v>
      </c>
      <c r="F18560" s="0" t="s">
        <v>15</v>
      </c>
      <c r="G18560" s="0" t="s">
        <v>16</v>
      </c>
      <c r="H18560" s="0" t="n">
        <v>13</v>
      </c>
      <c r="I18560" s="0" t="s">
        <v>61714</v>
      </c>
      <c r="J18560" s="0" t="s">
        <v>61715</v>
      </c>
      <c r="K18560" s="0" t="s">
        <v>61716</v>
      </c>
      <c r="L18560" s="0" t="str">
        <f aca="false">HYPERLINK("https://www.ncbi.nlm.nih.gov/nuccore/CP000058.1?report=graph&amp;tracks=[key:gene_model_track,Options:GeneOnly]&amp;mk=5692640:5692659|offset_13|00cc00,5692666:5692685|offset_39|444444,5692698:5692717|offset_71|444444,5692728:5692747|offset_101|444444&amp;v=5692439:5692947&amp;c=444444", "offset 13")</f>
        <v>offset 13</v>
      </c>
    </row>
    <row r="18561" customFormat="false" ht="12.8" hidden="false" customHeight="false" outlineLevel="0" collapsed="false">
      <c r="A18561" s="0" t="s">
        <v>12</v>
      </c>
      <c r="B18561" s="0" t="n">
        <v>5692665</v>
      </c>
      <c r="C18561" s="0" t="n">
        <v>5692685</v>
      </c>
      <c r="D18561" s="0" t="s">
        <v>61713</v>
      </c>
      <c r="E18561" s="0" t="s">
        <v>75</v>
      </c>
      <c r="F18561" s="0" t="s">
        <v>15</v>
      </c>
      <c r="G18561" s="0" t="s">
        <v>16</v>
      </c>
      <c r="H18561" s="0" t="n">
        <v>39</v>
      </c>
      <c r="I18561" s="0" t="s">
        <v>61717</v>
      </c>
      <c r="J18561" s="0" t="s">
        <v>61718</v>
      </c>
      <c r="K18561" s="0" t="s">
        <v>61719</v>
      </c>
      <c r="L18561" s="0" t="str">
        <f aca="false">HYPERLINK("https://www.ncbi.nlm.nih.gov/nuccore/CP000058.1?report=graph&amp;tracks=[key:gene_model_track,Options:GeneOnly]&amp;mk=5692640:5692659|offset_13|444444,5692666:5692685|offset_39|00cc00,5692698:5692717|offset_71|444444,5692728:5692747|offset_101|444444&amp;v=5692439:5692947&amp;c=444444", "offset 39")</f>
        <v>offset 39</v>
      </c>
    </row>
    <row r="18562" customFormat="false" ht="12.8" hidden="false" customHeight="false" outlineLevel="0" collapsed="false">
      <c r="A18562" s="0" t="s">
        <v>12</v>
      </c>
      <c r="B18562" s="0" t="n">
        <v>5692697</v>
      </c>
      <c r="C18562" s="0" t="n">
        <v>5692717</v>
      </c>
      <c r="D18562" s="0" t="s">
        <v>61713</v>
      </c>
      <c r="E18562" s="0" t="s">
        <v>75</v>
      </c>
      <c r="F18562" s="0" t="s">
        <v>15</v>
      </c>
      <c r="G18562" s="0" t="s">
        <v>20</v>
      </c>
      <c r="H18562" s="0" t="n">
        <v>71</v>
      </c>
      <c r="I18562" s="0" t="s">
        <v>61720</v>
      </c>
      <c r="J18562" s="0" t="s">
        <v>61721</v>
      </c>
      <c r="K18562" s="0" t="s">
        <v>61722</v>
      </c>
      <c r="L18562" s="0" t="str">
        <f aca="false">HYPERLINK("https://www.ncbi.nlm.nih.gov/nuccore/CP000058.1?report=graph&amp;tracks=[key:gene_model_track,Options:GeneOnly]&amp;mk=5692640:5692659|offset_13|444444,5692666:5692685|offset_39|444444,5692698:5692717|offset_71|00cc00,5692728:5692747|offset_101|444444&amp;v=5692439:5692947&amp;c=444444", "offset 71")</f>
        <v>offset 71</v>
      </c>
    </row>
    <row r="18563" customFormat="false" ht="12.8" hidden="false" customHeight="false" outlineLevel="0" collapsed="false">
      <c r="A18563" s="0" t="s">
        <v>12</v>
      </c>
      <c r="B18563" s="0" t="n">
        <v>5692727</v>
      </c>
      <c r="C18563" s="0" t="n">
        <v>5692747</v>
      </c>
      <c r="D18563" s="0" t="s">
        <v>61713</v>
      </c>
      <c r="E18563" s="0" t="s">
        <v>75</v>
      </c>
      <c r="F18563" s="0" t="s">
        <v>15</v>
      </c>
      <c r="G18563" s="0" t="s">
        <v>36</v>
      </c>
      <c r="H18563" s="0" t="n">
        <v>101</v>
      </c>
      <c r="I18563" s="0" t="s">
        <v>61723</v>
      </c>
      <c r="J18563" s="0" t="s">
        <v>61724</v>
      </c>
      <c r="K18563" s="0" t="s">
        <v>61725</v>
      </c>
      <c r="L18563" s="0" t="str">
        <f aca="false">HYPERLINK("https://www.ncbi.nlm.nih.gov/nuccore/CP000058.1?report=graph&amp;tracks=[key:gene_model_track,Options:GeneOnly]&amp;mk=5692640:5692659|offset_13|444444,5692666:5692685|offset_39|444444,5692698:5692717|offset_71|444444,5692728:5692747|offset_101|00cc00&amp;v=5692439:5692947&amp;c=444444", "offset 101")</f>
        <v>offset 101</v>
      </c>
    </row>
    <row r="18564" customFormat="false" ht="12.8" hidden="false" customHeight="false" outlineLevel="0" collapsed="false">
      <c r="A18564" s="0" t="s">
        <v>12</v>
      </c>
      <c r="B18564" s="0" t="n">
        <v>5693961</v>
      </c>
      <c r="C18564" s="0" t="n">
        <v>5693981</v>
      </c>
      <c r="D18564" s="0" t="s">
        <v>61726</v>
      </c>
      <c r="E18564" s="0" t="s">
        <v>75</v>
      </c>
      <c r="F18564" s="0" t="s">
        <v>90</v>
      </c>
      <c r="G18564" s="0" t="s">
        <v>16</v>
      </c>
      <c r="H18564" s="0" t="n">
        <v>61</v>
      </c>
      <c r="I18564" s="0" t="s">
        <v>61727</v>
      </c>
      <c r="J18564" s="0" t="s">
        <v>61728</v>
      </c>
      <c r="K18564" s="0" t="s">
        <v>61729</v>
      </c>
      <c r="L18564" s="0" t="str">
        <f aca="false">HYPERLINK("https://www.ncbi.nlm.nih.gov/nuccore/CP000058.1?report=graph&amp;tracks=[key:gene_model_track,Options:GeneOnly]&amp;mk=5693962:5693981|offset_61|00cc00,5693938:5693957|offset_85|444444,5693890:5693909|offset_133|444444,5693839:5693858|offset_184|444444&amp;v=5693761:5694058&amp;c=444444", "offset 61")</f>
        <v>offset 61</v>
      </c>
    </row>
    <row r="18565" customFormat="false" ht="12.8" hidden="false" customHeight="false" outlineLevel="0" collapsed="false">
      <c r="A18565" s="0" t="s">
        <v>12</v>
      </c>
      <c r="B18565" s="0" t="n">
        <v>5693937</v>
      </c>
      <c r="C18565" s="0" t="n">
        <v>5693957</v>
      </c>
      <c r="D18565" s="0" t="s">
        <v>61726</v>
      </c>
      <c r="E18565" s="0" t="s">
        <v>75</v>
      </c>
      <c r="F18565" s="0" t="s">
        <v>90</v>
      </c>
      <c r="G18565" s="0" t="s">
        <v>32</v>
      </c>
      <c r="H18565" s="0" t="n">
        <v>85</v>
      </c>
      <c r="I18565" s="0" t="s">
        <v>61730</v>
      </c>
      <c r="J18565" s="0" t="s">
        <v>61731</v>
      </c>
      <c r="K18565" s="0" t="s">
        <v>61732</v>
      </c>
      <c r="L18565" s="0" t="str">
        <f aca="false">HYPERLINK("https://www.ncbi.nlm.nih.gov/nuccore/CP000058.1?report=graph&amp;tracks=[key:gene_model_track,Options:GeneOnly]&amp;mk=5693962:5693981|offset_61|444444,5693938:5693957|offset_85|00cc00,5693890:5693909|offset_133|444444,5693839:5693858|offset_184|444444&amp;v=5693761:5694058&amp;c=444444", "offset 85")</f>
        <v>offset 85</v>
      </c>
    </row>
    <row r="18566" customFormat="false" ht="12.8" hidden="false" customHeight="false" outlineLevel="0" collapsed="false">
      <c r="A18566" s="0" t="s">
        <v>12</v>
      </c>
      <c r="B18566" s="0" t="n">
        <v>5693889</v>
      </c>
      <c r="C18566" s="0" t="n">
        <v>5693909</v>
      </c>
      <c r="D18566" s="0" t="s">
        <v>61726</v>
      </c>
      <c r="E18566" s="0" t="s">
        <v>75</v>
      </c>
      <c r="F18566" s="0" t="s">
        <v>90</v>
      </c>
      <c r="G18566" s="0" t="s">
        <v>36</v>
      </c>
      <c r="H18566" s="0" t="n">
        <v>133</v>
      </c>
      <c r="I18566" s="0" t="s">
        <v>61733</v>
      </c>
      <c r="J18566" s="0" t="s">
        <v>61734</v>
      </c>
      <c r="K18566" s="0" t="s">
        <v>61735</v>
      </c>
      <c r="L18566" s="0" t="str">
        <f aca="false">HYPERLINK("https://www.ncbi.nlm.nih.gov/nuccore/CP000058.1?report=graph&amp;tracks=[key:gene_model_track,Options:GeneOnly]&amp;mk=5693962:5693981|offset_61|444444,5693938:5693957|offset_85|444444,5693890:5693909|offset_133|00cc00,5693839:5693858|offset_184|444444&amp;v=5693761:5694058&amp;c=444444", "offset 133")</f>
        <v>offset 133</v>
      </c>
    </row>
    <row r="18567" customFormat="false" ht="12.8" hidden="false" customHeight="false" outlineLevel="0" collapsed="false">
      <c r="A18567" s="0" t="s">
        <v>12</v>
      </c>
      <c r="B18567" s="0" t="n">
        <v>5693838</v>
      </c>
      <c r="C18567" s="0" t="n">
        <v>5693858</v>
      </c>
      <c r="D18567" s="0" t="s">
        <v>61726</v>
      </c>
      <c r="E18567" s="0" t="s">
        <v>75</v>
      </c>
      <c r="F18567" s="0" t="s">
        <v>90</v>
      </c>
      <c r="G18567" s="0" t="s">
        <v>20</v>
      </c>
      <c r="H18567" s="0" t="n">
        <v>184</v>
      </c>
      <c r="I18567" s="0" t="s">
        <v>61736</v>
      </c>
      <c r="J18567" s="0" t="s">
        <v>61737</v>
      </c>
      <c r="K18567" s="0" t="s">
        <v>61738</v>
      </c>
      <c r="L18567" s="0" t="str">
        <f aca="false">HYPERLINK("https://www.ncbi.nlm.nih.gov/nuccore/CP000058.1?report=graph&amp;tracks=[key:gene_model_track,Options:GeneOnly]&amp;mk=5693962:5693981|offset_61|444444,5693938:5693957|offset_85|444444,5693890:5693909|offset_133|444444,5693839:5693858|offset_184|00cc00&amp;v=5693761:5694058&amp;c=444444", "offset 184")</f>
        <v>offset 184</v>
      </c>
    </row>
    <row r="18568" customFormat="false" ht="12.8" hidden="false" customHeight="false" outlineLevel="0" collapsed="false">
      <c r="A18568" s="0" t="s">
        <v>12</v>
      </c>
      <c r="B18568" s="0" t="n">
        <v>5695651</v>
      </c>
      <c r="C18568" s="0" t="n">
        <v>5695671</v>
      </c>
      <c r="D18568" s="0" t="s">
        <v>61739</v>
      </c>
      <c r="E18568" s="0" t="s">
        <v>75</v>
      </c>
      <c r="F18568" s="0" t="s">
        <v>90</v>
      </c>
      <c r="G18568" s="0" t="s">
        <v>32</v>
      </c>
      <c r="H18568" s="0" t="n">
        <v>0</v>
      </c>
      <c r="I18568" s="0" t="s">
        <v>61740</v>
      </c>
      <c r="J18568" s="0" t="s">
        <v>61741</v>
      </c>
      <c r="K18568" s="0" t="s">
        <v>61742</v>
      </c>
      <c r="L18568" s="0" t="str">
        <f aca="false">HYPERLINK("https://www.ncbi.nlm.nih.gov/nuccore/CP000058.1?report=graph&amp;tracks=[key:gene_model_track,Options:GeneOnly]&amp;mk=5695652:5695671|offset_0|00cc00,5695632:5695651|offset_20|444444,5695611:5695630|offset_41|444444,5695585:5695604|offset_67|444444&amp;v=5695451:5695804&amp;c=444444", "offset 0")</f>
        <v>offset 0</v>
      </c>
    </row>
    <row r="18569" customFormat="false" ht="12.8" hidden="false" customHeight="false" outlineLevel="0" collapsed="false">
      <c r="A18569" s="0" t="s">
        <v>12</v>
      </c>
      <c r="B18569" s="0" t="n">
        <v>5695631</v>
      </c>
      <c r="C18569" s="0" t="n">
        <v>5695651</v>
      </c>
      <c r="D18569" s="0" t="s">
        <v>61739</v>
      </c>
      <c r="E18569" s="0" t="s">
        <v>75</v>
      </c>
      <c r="F18569" s="0" t="s">
        <v>90</v>
      </c>
      <c r="G18569" s="0" t="s">
        <v>20</v>
      </c>
      <c r="H18569" s="0" t="n">
        <v>20</v>
      </c>
      <c r="I18569" s="0" t="s">
        <v>61743</v>
      </c>
      <c r="J18569" s="0" t="s">
        <v>61744</v>
      </c>
      <c r="K18569" s="0" t="s">
        <v>61745</v>
      </c>
      <c r="L18569" s="0" t="str">
        <f aca="false">HYPERLINK("https://www.ncbi.nlm.nih.gov/nuccore/CP000058.1?report=graph&amp;tracks=[key:gene_model_track,Options:GeneOnly]&amp;mk=5695652:5695671|offset_0|444444,5695632:5695651|offset_20|00cc00,5695611:5695630|offset_41|444444,5695585:5695604|offset_67|444444&amp;v=5695451:5695804&amp;c=444444", "offset 20")</f>
        <v>offset 20</v>
      </c>
    </row>
    <row r="18570" customFormat="false" ht="12.8" hidden="false" customHeight="false" outlineLevel="0" collapsed="false">
      <c r="A18570" s="0" t="s">
        <v>12</v>
      </c>
      <c r="B18570" s="0" t="n">
        <v>5695610</v>
      </c>
      <c r="C18570" s="0" t="n">
        <v>5695630</v>
      </c>
      <c r="D18570" s="0" t="s">
        <v>61739</v>
      </c>
      <c r="E18570" s="0" t="s">
        <v>75</v>
      </c>
      <c r="F18570" s="0" t="s">
        <v>90</v>
      </c>
      <c r="G18570" s="0" t="s">
        <v>20</v>
      </c>
      <c r="H18570" s="0" t="n">
        <v>41</v>
      </c>
      <c r="I18570" s="0" t="s">
        <v>61746</v>
      </c>
      <c r="J18570" s="0" t="s">
        <v>61747</v>
      </c>
      <c r="K18570" s="0" t="s">
        <v>61748</v>
      </c>
      <c r="L18570" s="0" t="str">
        <f aca="false">HYPERLINK("https://www.ncbi.nlm.nih.gov/nuccore/CP000058.1?report=graph&amp;tracks=[key:gene_model_track,Options:GeneOnly]&amp;mk=5695652:5695671|offset_0|444444,5695632:5695651|offset_20|444444,5695611:5695630|offset_41|00cc00,5695585:5695604|offset_67|444444&amp;v=5695451:5695804&amp;c=444444", "offset 41")</f>
        <v>offset 41</v>
      </c>
    </row>
    <row r="18571" customFormat="false" ht="12.8" hidden="false" customHeight="false" outlineLevel="0" collapsed="false">
      <c r="A18571" s="0" t="s">
        <v>12</v>
      </c>
      <c r="B18571" s="0" t="n">
        <v>5695584</v>
      </c>
      <c r="C18571" s="0" t="n">
        <v>5695604</v>
      </c>
      <c r="D18571" s="0" t="s">
        <v>61739</v>
      </c>
      <c r="E18571" s="0" t="s">
        <v>75</v>
      </c>
      <c r="F18571" s="0" t="s">
        <v>90</v>
      </c>
      <c r="G18571" s="0" t="s">
        <v>32</v>
      </c>
      <c r="H18571" s="0" t="n">
        <v>67</v>
      </c>
      <c r="I18571" s="0" t="s">
        <v>61749</v>
      </c>
      <c r="J18571" s="0" t="s">
        <v>61750</v>
      </c>
      <c r="K18571" s="0" t="s">
        <v>61751</v>
      </c>
      <c r="L18571" s="0" t="str">
        <f aca="false">HYPERLINK("https://www.ncbi.nlm.nih.gov/nuccore/CP000058.1?report=graph&amp;tracks=[key:gene_model_track,Options:GeneOnly]&amp;mk=5695652:5695671|offset_0|444444,5695632:5695651|offset_20|444444,5695611:5695630|offset_41|444444,5695585:5695604|offset_67|00cc00&amp;v=5695451:5695804&amp;c=444444", "offset 67")</f>
        <v>offset 67</v>
      </c>
    </row>
    <row r="18572" customFormat="false" ht="12.8" hidden="false" customHeight="false" outlineLevel="0" collapsed="false">
      <c r="A18572" s="0" t="s">
        <v>12</v>
      </c>
      <c r="B18572" s="0" t="n">
        <v>5696789</v>
      </c>
      <c r="C18572" s="0" t="n">
        <v>5696809</v>
      </c>
      <c r="D18572" s="0" t="s">
        <v>61752</v>
      </c>
      <c r="E18572" s="0" t="s">
        <v>75</v>
      </c>
      <c r="F18572" s="0" t="s">
        <v>90</v>
      </c>
      <c r="G18572" s="0" t="s">
        <v>20</v>
      </c>
      <c r="H18572" s="0" t="n">
        <v>20</v>
      </c>
      <c r="I18572" s="0" t="s">
        <v>61753</v>
      </c>
      <c r="J18572" s="0" t="s">
        <v>61754</v>
      </c>
      <c r="K18572" s="0" t="s">
        <v>61755</v>
      </c>
      <c r="L18572" s="0" t="str">
        <f aca="false">HYPERLINK("https://www.ncbi.nlm.nih.gov/nuccore/CP000058.1?report=graph&amp;tracks=[key:gene_model_track,Options:GeneOnly]&amp;mk=5696790:5696809|offset_20|00cc00,5696770:5696789|offset_40|444444,5696731:5696750|offset_79|444444,5696692:5696711|offset_118|444444&amp;v=5696589:5696911&amp;c=444444", "offset 20")</f>
        <v>offset 20</v>
      </c>
    </row>
    <row r="18573" customFormat="false" ht="12.8" hidden="false" customHeight="false" outlineLevel="0" collapsed="false">
      <c r="A18573" s="0" t="s">
        <v>12</v>
      </c>
      <c r="B18573" s="0" t="n">
        <v>5696769</v>
      </c>
      <c r="C18573" s="0" t="n">
        <v>5696789</v>
      </c>
      <c r="D18573" s="0" t="s">
        <v>61752</v>
      </c>
      <c r="E18573" s="0" t="s">
        <v>75</v>
      </c>
      <c r="F18573" s="0" t="s">
        <v>90</v>
      </c>
      <c r="G18573" s="0" t="s">
        <v>32</v>
      </c>
      <c r="H18573" s="0" t="n">
        <v>40</v>
      </c>
      <c r="I18573" s="0" t="s">
        <v>61756</v>
      </c>
      <c r="J18573" s="0" t="s">
        <v>61757</v>
      </c>
      <c r="K18573" s="0" t="s">
        <v>61758</v>
      </c>
      <c r="L18573" s="0" t="str">
        <f aca="false">HYPERLINK("https://www.ncbi.nlm.nih.gov/nuccore/CP000058.1?report=graph&amp;tracks=[key:gene_model_track,Options:GeneOnly]&amp;mk=5696790:5696809|offset_20|444444,5696770:5696789|offset_40|00cc00,5696731:5696750|offset_79|444444,5696692:5696711|offset_118|444444&amp;v=5696589:5696911&amp;c=444444", "offset 40")</f>
        <v>offset 40</v>
      </c>
    </row>
    <row r="18574" customFormat="false" ht="12.8" hidden="false" customHeight="false" outlineLevel="0" collapsed="false">
      <c r="A18574" s="0" t="s">
        <v>12</v>
      </c>
      <c r="B18574" s="0" t="n">
        <v>5696730</v>
      </c>
      <c r="C18574" s="0" t="n">
        <v>5696750</v>
      </c>
      <c r="D18574" s="0" t="s">
        <v>61752</v>
      </c>
      <c r="E18574" s="0" t="s">
        <v>75</v>
      </c>
      <c r="F18574" s="0" t="s">
        <v>90</v>
      </c>
      <c r="G18574" s="0" t="s">
        <v>32</v>
      </c>
      <c r="H18574" s="0" t="n">
        <v>79</v>
      </c>
      <c r="I18574" s="0" t="s">
        <v>61759</v>
      </c>
      <c r="J18574" s="0" t="s">
        <v>61760</v>
      </c>
      <c r="K18574" s="0" t="s">
        <v>61761</v>
      </c>
      <c r="L18574" s="0" t="str">
        <f aca="false">HYPERLINK("https://www.ncbi.nlm.nih.gov/nuccore/CP000058.1?report=graph&amp;tracks=[key:gene_model_track,Options:GeneOnly]&amp;mk=5696790:5696809|offset_20|444444,5696770:5696789|offset_40|444444,5696731:5696750|offset_79|00cc00,5696692:5696711|offset_118|444444&amp;v=5696589:5696911&amp;c=444444", "offset 79")</f>
        <v>offset 79</v>
      </c>
    </row>
    <row r="18575" customFormat="false" ht="12.8" hidden="false" customHeight="false" outlineLevel="0" collapsed="false">
      <c r="A18575" s="0" t="s">
        <v>12</v>
      </c>
      <c r="B18575" s="0" t="n">
        <v>5696691</v>
      </c>
      <c r="C18575" s="0" t="n">
        <v>5696711</v>
      </c>
      <c r="D18575" s="0" t="s">
        <v>61752</v>
      </c>
      <c r="E18575" s="0" t="s">
        <v>75</v>
      </c>
      <c r="F18575" s="0" t="s">
        <v>90</v>
      </c>
      <c r="G18575" s="0" t="s">
        <v>32</v>
      </c>
      <c r="H18575" s="0" t="n">
        <v>118</v>
      </c>
      <c r="I18575" s="0" t="s">
        <v>61762</v>
      </c>
      <c r="J18575" s="0" t="s">
        <v>61763</v>
      </c>
      <c r="K18575" s="0" t="s">
        <v>61764</v>
      </c>
      <c r="L18575" s="0" t="str">
        <f aca="false">HYPERLINK("https://www.ncbi.nlm.nih.gov/nuccore/CP000058.1?report=graph&amp;tracks=[key:gene_model_track,Options:GeneOnly]&amp;mk=5696790:5696809|offset_20|444444,5696770:5696789|offset_40|444444,5696731:5696750|offset_79|444444,5696692:5696711|offset_118|00cc00&amp;v=5696589:5696911&amp;c=444444", "offset 118")</f>
        <v>offset 118</v>
      </c>
    </row>
    <row r="18576" customFormat="false" ht="12.8" hidden="false" customHeight="false" outlineLevel="0" collapsed="false">
      <c r="A18576" s="0" t="s">
        <v>12</v>
      </c>
      <c r="B18576" s="0" t="n">
        <v>5697381</v>
      </c>
      <c r="C18576" s="0" t="n">
        <v>5697401</v>
      </c>
      <c r="D18576" s="0" t="s">
        <v>61765</v>
      </c>
      <c r="E18576" s="0" t="s">
        <v>61766</v>
      </c>
      <c r="F18576" s="0" t="s">
        <v>15</v>
      </c>
      <c r="G18576" s="0" t="s">
        <v>32</v>
      </c>
      <c r="H18576" s="0" t="n">
        <v>18</v>
      </c>
      <c r="I18576" s="0" t="s">
        <v>61767</v>
      </c>
      <c r="J18576" s="0" t="s">
        <v>61768</v>
      </c>
      <c r="K18576" s="0" t="s">
        <v>61769</v>
      </c>
      <c r="L18576" s="0" t="str">
        <f aca="false">HYPERLINK("https://www.ncbi.nlm.nih.gov/nuccore/CP000058.1?report=graph&amp;tracks=[key:gene_model_track,Options:GeneOnly]&amp;mk=5697382:5697401|offset_18|00cc00,5697413:5697432|offset_49|444444,5697437:5697456|offset_73|444444,5697458:5697477|offset_94|444444&amp;v=5697181:5697677&amp;c=444444", "offset 18")</f>
        <v>offset 18</v>
      </c>
    </row>
    <row r="18577" customFormat="false" ht="12.8" hidden="false" customHeight="false" outlineLevel="0" collapsed="false">
      <c r="A18577" s="0" t="s">
        <v>12</v>
      </c>
      <c r="B18577" s="0" t="n">
        <v>5697412</v>
      </c>
      <c r="C18577" s="0" t="n">
        <v>5697432</v>
      </c>
      <c r="D18577" s="0" t="s">
        <v>61765</v>
      </c>
      <c r="E18577" s="0" t="s">
        <v>61766</v>
      </c>
      <c r="F18577" s="0" t="s">
        <v>15</v>
      </c>
      <c r="G18577" s="0" t="s">
        <v>20</v>
      </c>
      <c r="H18577" s="0" t="n">
        <v>49</v>
      </c>
      <c r="I18577" s="0" t="s">
        <v>61770</v>
      </c>
      <c r="J18577" s="0" t="s">
        <v>61771</v>
      </c>
      <c r="K18577" s="0" t="s">
        <v>61772</v>
      </c>
      <c r="L18577" s="0" t="str">
        <f aca="false">HYPERLINK("https://www.ncbi.nlm.nih.gov/nuccore/CP000058.1?report=graph&amp;tracks=[key:gene_model_track,Options:GeneOnly]&amp;mk=5697382:5697401|offset_18|444444,5697413:5697432|offset_49|00cc00,5697437:5697456|offset_73|444444,5697458:5697477|offset_94|444444&amp;v=5697181:5697677&amp;c=444444", "offset 49")</f>
        <v>offset 49</v>
      </c>
    </row>
    <row r="18578" customFormat="false" ht="12.8" hidden="false" customHeight="false" outlineLevel="0" collapsed="false">
      <c r="A18578" s="0" t="s">
        <v>12</v>
      </c>
      <c r="B18578" s="0" t="n">
        <v>5697436</v>
      </c>
      <c r="C18578" s="0" t="n">
        <v>5697456</v>
      </c>
      <c r="D18578" s="0" t="s">
        <v>61765</v>
      </c>
      <c r="E18578" s="0" t="s">
        <v>61766</v>
      </c>
      <c r="F18578" s="0" t="s">
        <v>15</v>
      </c>
      <c r="G18578" s="0" t="s">
        <v>32</v>
      </c>
      <c r="H18578" s="0" t="n">
        <v>73</v>
      </c>
      <c r="I18578" s="0" t="s">
        <v>61773</v>
      </c>
      <c r="J18578" s="0" t="s">
        <v>61774</v>
      </c>
      <c r="K18578" s="0" t="s">
        <v>61775</v>
      </c>
      <c r="L18578" s="0" t="str">
        <f aca="false">HYPERLINK("https://www.ncbi.nlm.nih.gov/nuccore/CP000058.1?report=graph&amp;tracks=[key:gene_model_track,Options:GeneOnly]&amp;mk=5697382:5697401|offset_18|444444,5697413:5697432|offset_49|444444,5697437:5697456|offset_73|00cc00,5697458:5697477|offset_94|444444&amp;v=5697181:5697677&amp;c=444444", "offset 73")</f>
        <v>offset 73</v>
      </c>
    </row>
    <row r="18579" customFormat="false" ht="12.8" hidden="false" customHeight="false" outlineLevel="0" collapsed="false">
      <c r="A18579" s="0" t="s">
        <v>12</v>
      </c>
      <c r="B18579" s="0" t="n">
        <v>5697457</v>
      </c>
      <c r="C18579" s="0" t="n">
        <v>5697477</v>
      </c>
      <c r="D18579" s="0" t="s">
        <v>61765</v>
      </c>
      <c r="E18579" s="0" t="s">
        <v>61766</v>
      </c>
      <c r="F18579" s="0" t="s">
        <v>15</v>
      </c>
      <c r="G18579" s="0" t="s">
        <v>16</v>
      </c>
      <c r="H18579" s="0" t="n">
        <v>94</v>
      </c>
      <c r="I18579" s="0" t="s">
        <v>61776</v>
      </c>
      <c r="J18579" s="0" t="s">
        <v>61777</v>
      </c>
      <c r="K18579" s="0" t="s">
        <v>61778</v>
      </c>
      <c r="L18579" s="0" t="str">
        <f aca="false">HYPERLINK("https://www.ncbi.nlm.nih.gov/nuccore/CP000058.1?report=graph&amp;tracks=[key:gene_model_track,Options:GeneOnly]&amp;mk=5697382:5697401|offset_18|444444,5697413:5697432|offset_49|444444,5697437:5697456|offset_73|444444,5697458:5697477|offset_94|00cc00&amp;v=5697181:5697677&amp;c=444444", "offset 94")</f>
        <v>offset 94</v>
      </c>
    </row>
    <row r="18580" customFormat="false" ht="12.8" hidden="false" customHeight="false" outlineLevel="0" collapsed="false">
      <c r="A18580" s="0" t="s">
        <v>12</v>
      </c>
      <c r="B18580" s="0" t="n">
        <v>5699475</v>
      </c>
      <c r="C18580" s="0" t="n">
        <v>5699495</v>
      </c>
      <c r="D18580" s="0" t="s">
        <v>61779</v>
      </c>
      <c r="E18580" s="0" t="s">
        <v>75</v>
      </c>
      <c r="F18580" s="0" t="s">
        <v>15</v>
      </c>
      <c r="G18580" s="0" t="s">
        <v>16</v>
      </c>
      <c r="H18580" s="0" t="n">
        <v>19</v>
      </c>
      <c r="I18580" s="0" t="s">
        <v>61780</v>
      </c>
      <c r="J18580" s="0" t="s">
        <v>61781</v>
      </c>
      <c r="K18580" s="0" t="s">
        <v>61782</v>
      </c>
      <c r="L18580" s="0" t="str">
        <f aca="false">HYPERLINK("https://www.ncbi.nlm.nih.gov/nuccore/CP000058.1?report=graph&amp;tracks=[key:gene_model_track,Options:GeneOnly]&amp;mk=5699476:5699495|offset_19|00cc00,5699498:5699517|offset_41|444444,5699537:5699556|offset_80|444444,5699599:5699618|offset_142|444444&amp;v=5699275:5699818&amp;c=444444", "offset 19")</f>
        <v>offset 19</v>
      </c>
    </row>
    <row r="18581" customFormat="false" ht="12.8" hidden="false" customHeight="false" outlineLevel="0" collapsed="false">
      <c r="A18581" s="0" t="s">
        <v>12</v>
      </c>
      <c r="B18581" s="0" t="n">
        <v>5699497</v>
      </c>
      <c r="C18581" s="0" t="n">
        <v>5699517</v>
      </c>
      <c r="D18581" s="0" t="s">
        <v>61779</v>
      </c>
      <c r="E18581" s="0" t="s">
        <v>75</v>
      </c>
      <c r="F18581" s="0" t="s">
        <v>15</v>
      </c>
      <c r="G18581" s="0" t="s">
        <v>32</v>
      </c>
      <c r="H18581" s="0" t="n">
        <v>41</v>
      </c>
      <c r="I18581" s="0" t="s">
        <v>61783</v>
      </c>
      <c r="J18581" s="0" t="s">
        <v>61784</v>
      </c>
      <c r="K18581" s="0" t="s">
        <v>61785</v>
      </c>
      <c r="L18581" s="0" t="str">
        <f aca="false">HYPERLINK("https://www.ncbi.nlm.nih.gov/nuccore/CP000058.1?report=graph&amp;tracks=[key:gene_model_track,Options:GeneOnly]&amp;mk=5699476:5699495|offset_19|444444,5699498:5699517|offset_41|00cc00,5699537:5699556|offset_80|444444,5699599:5699618|offset_142|444444&amp;v=5699275:5699818&amp;c=444444", "offset 41")</f>
        <v>offset 41</v>
      </c>
    </row>
    <row r="18582" customFormat="false" ht="12.8" hidden="false" customHeight="false" outlineLevel="0" collapsed="false">
      <c r="A18582" s="0" t="s">
        <v>12</v>
      </c>
      <c r="B18582" s="0" t="n">
        <v>5699536</v>
      </c>
      <c r="C18582" s="0" t="n">
        <v>5699556</v>
      </c>
      <c r="D18582" s="0" t="s">
        <v>61779</v>
      </c>
      <c r="E18582" s="0" t="s">
        <v>75</v>
      </c>
      <c r="F18582" s="0" t="s">
        <v>15</v>
      </c>
      <c r="G18582" s="0" t="s">
        <v>20</v>
      </c>
      <c r="H18582" s="0" t="n">
        <v>80</v>
      </c>
      <c r="I18582" s="0" t="s">
        <v>61786</v>
      </c>
      <c r="J18582" s="0" t="s">
        <v>61787</v>
      </c>
      <c r="K18582" s="0" t="s">
        <v>61788</v>
      </c>
      <c r="L18582" s="0" t="str">
        <f aca="false">HYPERLINK("https://www.ncbi.nlm.nih.gov/nuccore/CP000058.1?report=graph&amp;tracks=[key:gene_model_track,Options:GeneOnly]&amp;mk=5699476:5699495|offset_19|444444,5699498:5699517|offset_41|444444,5699537:5699556|offset_80|00cc00,5699599:5699618|offset_142|444444&amp;v=5699275:5699818&amp;c=444444", "offset 80")</f>
        <v>offset 80</v>
      </c>
    </row>
    <row r="18583" customFormat="false" ht="12.8" hidden="false" customHeight="false" outlineLevel="0" collapsed="false">
      <c r="A18583" s="0" t="s">
        <v>12</v>
      </c>
      <c r="B18583" s="0" t="n">
        <v>5699598</v>
      </c>
      <c r="C18583" s="0" t="n">
        <v>5699618</v>
      </c>
      <c r="D18583" s="0" t="s">
        <v>61779</v>
      </c>
      <c r="E18583" s="0" t="s">
        <v>75</v>
      </c>
      <c r="F18583" s="0" t="s">
        <v>15</v>
      </c>
      <c r="G18583" s="0" t="s">
        <v>32</v>
      </c>
      <c r="H18583" s="0" t="n">
        <v>142</v>
      </c>
      <c r="I18583" s="0" t="s">
        <v>61789</v>
      </c>
      <c r="J18583" s="0" t="s">
        <v>61790</v>
      </c>
      <c r="K18583" s="0" t="s">
        <v>61791</v>
      </c>
      <c r="L18583" s="0" t="str">
        <f aca="false">HYPERLINK("https://www.ncbi.nlm.nih.gov/nuccore/CP000058.1?report=graph&amp;tracks=[key:gene_model_track,Options:GeneOnly]&amp;mk=5699476:5699495|offset_19|444444,5699498:5699517|offset_41|444444,5699537:5699556|offset_80|444444,5699599:5699618|offset_142|00cc00&amp;v=5699275:5699818&amp;c=444444", "offset 142")</f>
        <v>offset 142</v>
      </c>
    </row>
    <row r="18584" customFormat="false" ht="12.8" hidden="false" customHeight="false" outlineLevel="0" collapsed="false">
      <c r="A18584" s="0" t="s">
        <v>12</v>
      </c>
      <c r="B18584" s="0" t="n">
        <v>5701198</v>
      </c>
      <c r="C18584" s="0" t="n">
        <v>5701218</v>
      </c>
      <c r="D18584" s="0" t="s">
        <v>61792</v>
      </c>
      <c r="E18584" s="0" t="s">
        <v>75</v>
      </c>
      <c r="F18584" s="0" t="s">
        <v>15</v>
      </c>
      <c r="G18584" s="0" t="s">
        <v>32</v>
      </c>
      <c r="H18584" s="0" t="n">
        <v>73</v>
      </c>
      <c r="I18584" s="0" t="s">
        <v>61793</v>
      </c>
      <c r="J18584" s="0" t="s">
        <v>61794</v>
      </c>
      <c r="K18584" s="0" t="s">
        <v>61795</v>
      </c>
      <c r="L18584" s="0" t="str">
        <f aca="false">HYPERLINK("https://www.ncbi.nlm.nih.gov/nuccore/CP000058.1?report=graph&amp;tracks=[key:gene_model_track,Options:GeneOnly]&amp;mk=5701199:5701218|offset_73|00cc00,5701231:5701250|offset_105|444444,5701253:5701272|offset_127|444444,5701273:5701292|offset_147|444444&amp;v=5700998:5701492&amp;c=444444", "offset 73")</f>
        <v>offset 73</v>
      </c>
    </row>
    <row r="18585" customFormat="false" ht="12.8" hidden="false" customHeight="false" outlineLevel="0" collapsed="false">
      <c r="A18585" s="0" t="s">
        <v>12</v>
      </c>
      <c r="B18585" s="0" t="n">
        <v>5701230</v>
      </c>
      <c r="C18585" s="0" t="n">
        <v>5701250</v>
      </c>
      <c r="D18585" s="0" t="s">
        <v>61792</v>
      </c>
      <c r="E18585" s="0" t="s">
        <v>75</v>
      </c>
      <c r="F18585" s="0" t="s">
        <v>15</v>
      </c>
      <c r="G18585" s="0" t="s">
        <v>20</v>
      </c>
      <c r="H18585" s="0" t="n">
        <v>105</v>
      </c>
      <c r="I18585" s="0" t="s">
        <v>61796</v>
      </c>
      <c r="J18585" s="0" t="s">
        <v>61797</v>
      </c>
      <c r="K18585" s="0" t="s">
        <v>61798</v>
      </c>
      <c r="L18585" s="0" t="str">
        <f aca="false">HYPERLINK("https://www.ncbi.nlm.nih.gov/nuccore/CP000058.1?report=graph&amp;tracks=[key:gene_model_track,Options:GeneOnly]&amp;mk=5701199:5701218|offset_73|444444,5701231:5701250|offset_105|00cc00,5701253:5701272|offset_127|444444,5701273:5701292|offset_147|444444&amp;v=5700998:5701492&amp;c=444444", "offset 105")</f>
        <v>offset 105</v>
      </c>
    </row>
    <row r="18586" customFormat="false" ht="12.8" hidden="false" customHeight="false" outlineLevel="0" collapsed="false">
      <c r="A18586" s="0" t="s">
        <v>12</v>
      </c>
      <c r="B18586" s="0" t="n">
        <v>5701252</v>
      </c>
      <c r="C18586" s="0" t="n">
        <v>5701272</v>
      </c>
      <c r="D18586" s="0" t="s">
        <v>61792</v>
      </c>
      <c r="E18586" s="0" t="s">
        <v>75</v>
      </c>
      <c r="F18586" s="0" t="s">
        <v>15</v>
      </c>
      <c r="G18586" s="0" t="s">
        <v>36</v>
      </c>
      <c r="H18586" s="0" t="n">
        <v>127</v>
      </c>
      <c r="I18586" s="0" t="s">
        <v>61799</v>
      </c>
      <c r="J18586" s="0" t="s">
        <v>61800</v>
      </c>
      <c r="K18586" s="0" t="s">
        <v>61801</v>
      </c>
      <c r="L18586" s="0" t="str">
        <f aca="false">HYPERLINK("https://www.ncbi.nlm.nih.gov/nuccore/CP000058.1?report=graph&amp;tracks=[key:gene_model_track,Options:GeneOnly]&amp;mk=5701199:5701218|offset_73|444444,5701231:5701250|offset_105|444444,5701253:5701272|offset_127|00cc00,5701273:5701292|offset_147|444444&amp;v=5700998:5701492&amp;c=444444", "offset 127")</f>
        <v>offset 127</v>
      </c>
    </row>
    <row r="18587" customFormat="false" ht="12.8" hidden="false" customHeight="false" outlineLevel="0" collapsed="false">
      <c r="A18587" s="0" t="s">
        <v>12</v>
      </c>
      <c r="B18587" s="0" t="n">
        <v>5701272</v>
      </c>
      <c r="C18587" s="0" t="n">
        <v>5701292</v>
      </c>
      <c r="D18587" s="0" t="s">
        <v>61792</v>
      </c>
      <c r="E18587" s="0" t="s">
        <v>75</v>
      </c>
      <c r="F18587" s="0" t="s">
        <v>15</v>
      </c>
      <c r="G18587" s="0" t="s">
        <v>20</v>
      </c>
      <c r="H18587" s="0" t="n">
        <v>147</v>
      </c>
      <c r="I18587" s="0" t="s">
        <v>61802</v>
      </c>
      <c r="J18587" s="0" t="s">
        <v>61803</v>
      </c>
      <c r="K18587" s="0" t="s">
        <v>61804</v>
      </c>
      <c r="L18587" s="0" t="str">
        <f aca="false">HYPERLINK("https://www.ncbi.nlm.nih.gov/nuccore/CP000058.1?report=graph&amp;tracks=[key:gene_model_track,Options:GeneOnly]&amp;mk=5701199:5701218|offset_73|444444,5701231:5701250|offset_105|444444,5701253:5701272|offset_127|444444,5701273:5701292|offset_147|00cc00&amp;v=5700998:5701492&amp;c=444444", "offset 147")</f>
        <v>offset 147</v>
      </c>
    </row>
    <row r="18588" customFormat="false" ht="12.8" hidden="false" customHeight="false" outlineLevel="0" collapsed="false">
      <c r="A18588" s="0" t="s">
        <v>12</v>
      </c>
      <c r="B18588" s="0" t="n">
        <v>5702123</v>
      </c>
      <c r="C18588" s="0" t="n">
        <v>5702143</v>
      </c>
      <c r="D18588" s="0" t="s">
        <v>61805</v>
      </c>
      <c r="E18588" s="0" t="s">
        <v>75</v>
      </c>
      <c r="F18588" s="0" t="s">
        <v>15</v>
      </c>
      <c r="G18588" s="0" t="s">
        <v>16</v>
      </c>
      <c r="H18588" s="0" t="n">
        <v>0</v>
      </c>
      <c r="I18588" s="0" t="s">
        <v>61806</v>
      </c>
      <c r="J18588" s="0" t="s">
        <v>61807</v>
      </c>
      <c r="K18588" s="0" t="s">
        <v>61808</v>
      </c>
      <c r="L18588" s="0" t="str">
        <f aca="false">HYPERLINK("https://www.ncbi.nlm.nih.gov/nuccore/CP000058.1?report=graph&amp;tracks=[key:gene_model_track,Options:GeneOnly]&amp;mk=5702124:5702143|offset_0|00cc00,5702146:5702165|offset_22|444444,5702168:5702187|offset_44|444444,5702220:5702239|offset_96|444444&amp;v=5701923:5702439&amp;c=444444", "offset 0")</f>
        <v>offset 0</v>
      </c>
    </row>
    <row r="18589" customFormat="false" ht="12.8" hidden="false" customHeight="false" outlineLevel="0" collapsed="false">
      <c r="A18589" s="0" t="s">
        <v>12</v>
      </c>
      <c r="B18589" s="0" t="n">
        <v>5702145</v>
      </c>
      <c r="C18589" s="0" t="n">
        <v>5702165</v>
      </c>
      <c r="D18589" s="0" t="s">
        <v>61805</v>
      </c>
      <c r="E18589" s="0" t="s">
        <v>75</v>
      </c>
      <c r="F18589" s="0" t="s">
        <v>15</v>
      </c>
      <c r="G18589" s="0" t="s">
        <v>36</v>
      </c>
      <c r="H18589" s="0" t="n">
        <v>22</v>
      </c>
      <c r="I18589" s="0" t="s">
        <v>61809</v>
      </c>
      <c r="J18589" s="0" t="s">
        <v>61810</v>
      </c>
      <c r="K18589" s="0" t="s">
        <v>61811</v>
      </c>
      <c r="L18589" s="0" t="str">
        <f aca="false">HYPERLINK("https://www.ncbi.nlm.nih.gov/nuccore/CP000058.1?report=graph&amp;tracks=[key:gene_model_track,Options:GeneOnly]&amp;mk=5702124:5702143|offset_0|444444,5702146:5702165|offset_22|00cc00,5702168:5702187|offset_44|444444,5702220:5702239|offset_96|444444&amp;v=5701923:5702439&amp;c=444444", "offset 22")</f>
        <v>offset 22</v>
      </c>
    </row>
    <row r="18590" customFormat="false" ht="12.8" hidden="false" customHeight="false" outlineLevel="0" collapsed="false">
      <c r="A18590" s="0" t="s">
        <v>12</v>
      </c>
      <c r="B18590" s="0" t="n">
        <v>5702167</v>
      </c>
      <c r="C18590" s="0" t="n">
        <v>5702187</v>
      </c>
      <c r="D18590" s="0" t="s">
        <v>61805</v>
      </c>
      <c r="E18590" s="0" t="s">
        <v>75</v>
      </c>
      <c r="F18590" s="0" t="s">
        <v>15</v>
      </c>
      <c r="G18590" s="0" t="s">
        <v>20</v>
      </c>
      <c r="H18590" s="0" t="n">
        <v>44</v>
      </c>
      <c r="I18590" s="0" t="s">
        <v>61812</v>
      </c>
      <c r="J18590" s="0" t="s">
        <v>61813</v>
      </c>
      <c r="K18590" s="0" t="s">
        <v>61814</v>
      </c>
      <c r="L18590" s="0" t="str">
        <f aca="false">HYPERLINK("https://www.ncbi.nlm.nih.gov/nuccore/CP000058.1?report=graph&amp;tracks=[key:gene_model_track,Options:GeneOnly]&amp;mk=5702124:5702143|offset_0|444444,5702146:5702165|offset_22|444444,5702168:5702187|offset_44|00cc00,5702220:5702239|offset_96|444444&amp;v=5701923:5702439&amp;c=444444", "offset 44")</f>
        <v>offset 44</v>
      </c>
    </row>
    <row r="18591" customFormat="false" ht="12.8" hidden="false" customHeight="false" outlineLevel="0" collapsed="false">
      <c r="A18591" s="0" t="s">
        <v>12</v>
      </c>
      <c r="B18591" s="0" t="n">
        <v>5702219</v>
      </c>
      <c r="C18591" s="0" t="n">
        <v>5702239</v>
      </c>
      <c r="D18591" s="0" t="s">
        <v>61805</v>
      </c>
      <c r="E18591" s="0" t="s">
        <v>75</v>
      </c>
      <c r="F18591" s="0" t="s">
        <v>15</v>
      </c>
      <c r="G18591" s="0" t="s">
        <v>20</v>
      </c>
      <c r="H18591" s="0" t="n">
        <v>96</v>
      </c>
      <c r="I18591" s="0" t="s">
        <v>61815</v>
      </c>
      <c r="J18591" s="0" t="s">
        <v>61816</v>
      </c>
      <c r="K18591" s="0" t="s">
        <v>61817</v>
      </c>
      <c r="L18591" s="0" t="str">
        <f aca="false">HYPERLINK("https://www.ncbi.nlm.nih.gov/nuccore/CP000058.1?report=graph&amp;tracks=[key:gene_model_track,Options:GeneOnly]&amp;mk=5702124:5702143|offset_0|444444,5702146:5702165|offset_22|444444,5702168:5702187|offset_44|444444,5702220:5702239|offset_96|00cc00&amp;v=5701923:5702439&amp;c=444444", "offset 96")</f>
        <v>offset 96</v>
      </c>
    </row>
    <row r="18592" customFormat="false" ht="12.8" hidden="false" customHeight="false" outlineLevel="0" collapsed="false">
      <c r="A18592" s="0" t="s">
        <v>12</v>
      </c>
      <c r="B18592" s="0" t="n">
        <v>5702967</v>
      </c>
      <c r="C18592" s="0" t="n">
        <v>5702987</v>
      </c>
      <c r="D18592" s="0" t="s">
        <v>61818</v>
      </c>
      <c r="E18592" s="0" t="s">
        <v>75</v>
      </c>
      <c r="F18592" s="0" t="s">
        <v>15</v>
      </c>
      <c r="G18592" s="0" t="s">
        <v>32</v>
      </c>
      <c r="H18592" s="0" t="n">
        <v>8</v>
      </c>
      <c r="I18592" s="0" t="s">
        <v>61819</v>
      </c>
      <c r="J18592" s="0" t="s">
        <v>61820</v>
      </c>
      <c r="K18592" s="0" t="s">
        <v>61821</v>
      </c>
      <c r="L18592" s="0" t="str">
        <f aca="false">HYPERLINK("https://www.ncbi.nlm.nih.gov/nuccore/CP000058.1?report=graph&amp;tracks=[key:gene_model_track,Options:GeneOnly]&amp;mk=5702968:5702987|offset_8|00cc00,5702989:5703008|offset_29|444444,5703090:5703109|offset_130|444444,5703120:5703139|offset_160|444444&amp;v=5702767:5703339&amp;c=444444", "offset 8")</f>
        <v>offset 8</v>
      </c>
    </row>
    <row r="18593" customFormat="false" ht="12.8" hidden="false" customHeight="false" outlineLevel="0" collapsed="false">
      <c r="A18593" s="0" t="s">
        <v>12</v>
      </c>
      <c r="B18593" s="0" t="n">
        <v>5702988</v>
      </c>
      <c r="C18593" s="0" t="n">
        <v>5703008</v>
      </c>
      <c r="D18593" s="0" t="s">
        <v>61818</v>
      </c>
      <c r="E18593" s="0" t="s">
        <v>75</v>
      </c>
      <c r="F18593" s="0" t="s">
        <v>15</v>
      </c>
      <c r="G18593" s="0" t="s">
        <v>20</v>
      </c>
      <c r="H18593" s="0" t="n">
        <v>29</v>
      </c>
      <c r="I18593" s="0" t="s">
        <v>61822</v>
      </c>
      <c r="J18593" s="0" t="s">
        <v>61823</v>
      </c>
      <c r="K18593" s="0" t="s">
        <v>61824</v>
      </c>
      <c r="L18593" s="0" t="str">
        <f aca="false">HYPERLINK("https://www.ncbi.nlm.nih.gov/nuccore/CP000058.1?report=graph&amp;tracks=[key:gene_model_track,Options:GeneOnly]&amp;mk=5702968:5702987|offset_8|444444,5702989:5703008|offset_29|00cc00,5703090:5703109|offset_130|444444,5703120:5703139|offset_160|444444&amp;v=5702767:5703339&amp;c=444444", "offset 29")</f>
        <v>offset 29</v>
      </c>
    </row>
    <row r="18594" customFormat="false" ht="12.8" hidden="false" customHeight="false" outlineLevel="0" collapsed="false">
      <c r="A18594" s="0" t="s">
        <v>12</v>
      </c>
      <c r="B18594" s="0" t="n">
        <v>5703089</v>
      </c>
      <c r="C18594" s="0" t="n">
        <v>5703109</v>
      </c>
      <c r="D18594" s="0" t="s">
        <v>61818</v>
      </c>
      <c r="E18594" s="0" t="s">
        <v>75</v>
      </c>
      <c r="F18594" s="0" t="s">
        <v>15</v>
      </c>
      <c r="G18594" s="0" t="s">
        <v>16</v>
      </c>
      <c r="H18594" s="0" t="n">
        <v>130</v>
      </c>
      <c r="I18594" s="0" t="s">
        <v>61825</v>
      </c>
      <c r="J18594" s="0" t="s">
        <v>61826</v>
      </c>
      <c r="K18594" s="0" t="s">
        <v>61827</v>
      </c>
      <c r="L18594" s="0" t="str">
        <f aca="false">HYPERLINK("https://www.ncbi.nlm.nih.gov/nuccore/CP000058.1?report=graph&amp;tracks=[key:gene_model_track,Options:GeneOnly]&amp;mk=5702968:5702987|offset_8|444444,5702989:5703008|offset_29|444444,5703090:5703109|offset_130|00cc00,5703120:5703139|offset_160|444444&amp;v=5702767:5703339&amp;c=444444", "offset 130")</f>
        <v>offset 130</v>
      </c>
    </row>
    <row r="18595" customFormat="false" ht="12.8" hidden="false" customHeight="false" outlineLevel="0" collapsed="false">
      <c r="A18595" s="0" t="s">
        <v>12</v>
      </c>
      <c r="B18595" s="0" t="n">
        <v>5703119</v>
      </c>
      <c r="C18595" s="0" t="n">
        <v>5703139</v>
      </c>
      <c r="D18595" s="0" t="s">
        <v>61818</v>
      </c>
      <c r="E18595" s="0" t="s">
        <v>75</v>
      </c>
      <c r="F18595" s="0" t="s">
        <v>15</v>
      </c>
      <c r="G18595" s="0" t="s">
        <v>36</v>
      </c>
      <c r="H18595" s="0" t="n">
        <v>160</v>
      </c>
      <c r="I18595" s="0" t="s">
        <v>61828</v>
      </c>
      <c r="J18595" s="0" t="s">
        <v>61829</v>
      </c>
      <c r="K18595" s="0" t="s">
        <v>61830</v>
      </c>
      <c r="L18595" s="0" t="str">
        <f aca="false">HYPERLINK("https://www.ncbi.nlm.nih.gov/nuccore/CP000058.1?report=graph&amp;tracks=[key:gene_model_track,Options:GeneOnly]&amp;mk=5702968:5702987|offset_8|444444,5702989:5703008|offset_29|444444,5703090:5703109|offset_130|444444,5703120:5703139|offset_160|00cc00&amp;v=5702767:5703339&amp;c=444444", "offset 160")</f>
        <v>offset 160</v>
      </c>
    </row>
    <row r="18596" customFormat="false" ht="12.8" hidden="false" customHeight="false" outlineLevel="0" collapsed="false">
      <c r="A18596" s="0" t="s">
        <v>12</v>
      </c>
      <c r="B18596" s="0" t="n">
        <v>5704808</v>
      </c>
      <c r="C18596" s="0" t="n">
        <v>5704828</v>
      </c>
      <c r="D18596" s="0" t="s">
        <v>61831</v>
      </c>
      <c r="E18596" s="0" t="s">
        <v>75</v>
      </c>
      <c r="F18596" s="0" t="s">
        <v>15</v>
      </c>
      <c r="G18596" s="0" t="s">
        <v>16</v>
      </c>
      <c r="H18596" s="0" t="n">
        <v>11</v>
      </c>
      <c r="I18596" s="0" t="s">
        <v>61832</v>
      </c>
      <c r="J18596" s="0" t="s">
        <v>61833</v>
      </c>
      <c r="K18596" s="0" t="s">
        <v>61834</v>
      </c>
      <c r="L18596" s="0" t="str">
        <f aca="false">HYPERLINK("https://www.ncbi.nlm.nih.gov/nuccore/CP000058.1?report=graph&amp;tracks=[key:gene_model_track,Options:GeneOnly]&amp;mk=5704809:5704828|offset_11|00cc00,5704839:5704858|offset_41|444444,5704870:5704889|offset_72|444444,5704895:5704914|offset_97|444444&amp;v=5704608:5705114&amp;c=444444", "offset 11")</f>
        <v>offset 11</v>
      </c>
    </row>
    <row r="18597" customFormat="false" ht="12.8" hidden="false" customHeight="false" outlineLevel="0" collapsed="false">
      <c r="A18597" s="0" t="s">
        <v>12</v>
      </c>
      <c r="B18597" s="0" t="n">
        <v>5704838</v>
      </c>
      <c r="C18597" s="0" t="n">
        <v>5704858</v>
      </c>
      <c r="D18597" s="0" t="s">
        <v>61831</v>
      </c>
      <c r="E18597" s="0" t="s">
        <v>75</v>
      </c>
      <c r="F18597" s="0" t="s">
        <v>15</v>
      </c>
      <c r="G18597" s="0" t="s">
        <v>36</v>
      </c>
      <c r="H18597" s="0" t="n">
        <v>41</v>
      </c>
      <c r="I18597" s="0" t="s">
        <v>61835</v>
      </c>
      <c r="J18597" s="0" t="s">
        <v>61836</v>
      </c>
      <c r="K18597" s="0" t="s">
        <v>61837</v>
      </c>
      <c r="L18597" s="0" t="str">
        <f aca="false">HYPERLINK("https://www.ncbi.nlm.nih.gov/nuccore/CP000058.1?report=graph&amp;tracks=[key:gene_model_track,Options:GeneOnly]&amp;mk=5704809:5704828|offset_11|444444,5704839:5704858|offset_41|00cc00,5704870:5704889|offset_72|444444,5704895:5704914|offset_97|444444&amp;v=5704608:5705114&amp;c=444444", "offset 41")</f>
        <v>offset 41</v>
      </c>
    </row>
    <row r="18598" customFormat="false" ht="12.8" hidden="false" customHeight="false" outlineLevel="0" collapsed="false">
      <c r="A18598" s="0" t="s">
        <v>12</v>
      </c>
      <c r="B18598" s="0" t="n">
        <v>5704869</v>
      </c>
      <c r="C18598" s="0" t="n">
        <v>5704889</v>
      </c>
      <c r="D18598" s="0" t="s">
        <v>61831</v>
      </c>
      <c r="E18598" s="0" t="s">
        <v>75</v>
      </c>
      <c r="F18598" s="0" t="s">
        <v>15</v>
      </c>
      <c r="G18598" s="0" t="s">
        <v>36</v>
      </c>
      <c r="H18598" s="0" t="n">
        <v>72</v>
      </c>
      <c r="I18598" s="0" t="s">
        <v>61838</v>
      </c>
      <c r="J18598" s="0" t="s">
        <v>61839</v>
      </c>
      <c r="K18598" s="0" t="s">
        <v>61840</v>
      </c>
      <c r="L18598" s="0" t="str">
        <f aca="false">HYPERLINK("https://www.ncbi.nlm.nih.gov/nuccore/CP000058.1?report=graph&amp;tracks=[key:gene_model_track,Options:GeneOnly]&amp;mk=5704809:5704828|offset_11|444444,5704839:5704858|offset_41|444444,5704870:5704889|offset_72|00cc00,5704895:5704914|offset_97|444444&amp;v=5704608:5705114&amp;c=444444", "offset 72")</f>
        <v>offset 72</v>
      </c>
    </row>
    <row r="18599" customFormat="false" ht="12.8" hidden="false" customHeight="false" outlineLevel="0" collapsed="false">
      <c r="A18599" s="0" t="s">
        <v>12</v>
      </c>
      <c r="B18599" s="0" t="n">
        <v>5704894</v>
      </c>
      <c r="C18599" s="0" t="n">
        <v>5704914</v>
      </c>
      <c r="D18599" s="0" t="s">
        <v>61831</v>
      </c>
      <c r="E18599" s="0" t="s">
        <v>75</v>
      </c>
      <c r="F18599" s="0" t="s">
        <v>15</v>
      </c>
      <c r="G18599" s="0" t="s">
        <v>20</v>
      </c>
      <c r="H18599" s="0" t="n">
        <v>97</v>
      </c>
      <c r="I18599" s="0" t="s">
        <v>61841</v>
      </c>
      <c r="J18599" s="0" t="s">
        <v>61842</v>
      </c>
      <c r="K18599" s="0" t="s">
        <v>61843</v>
      </c>
      <c r="L18599" s="0" t="str">
        <f aca="false">HYPERLINK("https://www.ncbi.nlm.nih.gov/nuccore/CP000058.1?report=graph&amp;tracks=[key:gene_model_track,Options:GeneOnly]&amp;mk=5704809:5704828|offset_11|444444,5704839:5704858|offset_41|444444,5704870:5704889|offset_72|444444,5704895:5704914|offset_97|00cc00&amp;v=5704608:5705114&amp;c=444444", "offset 97")</f>
        <v>offset 97</v>
      </c>
    </row>
    <row r="18600" customFormat="false" ht="12.8" hidden="false" customHeight="false" outlineLevel="0" collapsed="false">
      <c r="A18600" s="0" t="s">
        <v>12</v>
      </c>
      <c r="B18600" s="0" t="n">
        <v>5705122</v>
      </c>
      <c r="C18600" s="0" t="n">
        <v>5705142</v>
      </c>
      <c r="D18600" s="0" t="s">
        <v>61844</v>
      </c>
      <c r="E18600" s="0" t="s">
        <v>75</v>
      </c>
      <c r="F18600" s="0" t="s">
        <v>15</v>
      </c>
      <c r="G18600" s="0" t="s">
        <v>36</v>
      </c>
      <c r="H18600" s="0" t="n">
        <v>35</v>
      </c>
      <c r="I18600" s="0" t="s">
        <v>61845</v>
      </c>
      <c r="J18600" s="0" t="s">
        <v>61846</v>
      </c>
      <c r="K18600" s="0" t="s">
        <v>61847</v>
      </c>
      <c r="L18600" s="0" t="str">
        <f aca="false">HYPERLINK("https://www.ncbi.nlm.nih.gov/nuccore/CP000058.1?report=graph&amp;tracks=[key:gene_model_track,Options:GeneOnly]&amp;mk=5705123:5705142|offset_35|00cc00,5705159:5705178|offset_71|444444,5705185:5705204|offset_97|444444,5705208:5705227|offset_120|444444&amp;v=5704922:5705427&amp;c=444444", "offset 35")</f>
        <v>offset 35</v>
      </c>
    </row>
    <row r="18601" customFormat="false" ht="12.8" hidden="false" customHeight="false" outlineLevel="0" collapsed="false">
      <c r="A18601" s="0" t="s">
        <v>12</v>
      </c>
      <c r="B18601" s="0" t="n">
        <v>5705158</v>
      </c>
      <c r="C18601" s="0" t="n">
        <v>5705178</v>
      </c>
      <c r="D18601" s="0" t="s">
        <v>61844</v>
      </c>
      <c r="E18601" s="0" t="s">
        <v>75</v>
      </c>
      <c r="F18601" s="0" t="s">
        <v>15</v>
      </c>
      <c r="G18601" s="0" t="s">
        <v>36</v>
      </c>
      <c r="H18601" s="0" t="n">
        <v>71</v>
      </c>
      <c r="I18601" s="0" t="s">
        <v>61848</v>
      </c>
      <c r="J18601" s="0" t="s">
        <v>61849</v>
      </c>
      <c r="K18601" s="0" t="s">
        <v>61850</v>
      </c>
      <c r="L18601" s="0" t="str">
        <f aca="false">HYPERLINK("https://www.ncbi.nlm.nih.gov/nuccore/CP000058.1?report=graph&amp;tracks=[key:gene_model_track,Options:GeneOnly]&amp;mk=5705123:5705142|offset_35|444444,5705159:5705178|offset_71|00cc00,5705185:5705204|offset_97|444444,5705208:5705227|offset_120|444444&amp;v=5704922:5705427&amp;c=444444", "offset 71")</f>
        <v>offset 71</v>
      </c>
    </row>
    <row r="18602" customFormat="false" ht="12.8" hidden="false" customHeight="false" outlineLevel="0" collapsed="false">
      <c r="A18602" s="0" t="s">
        <v>12</v>
      </c>
      <c r="B18602" s="0" t="n">
        <v>5705184</v>
      </c>
      <c r="C18602" s="0" t="n">
        <v>5705204</v>
      </c>
      <c r="D18602" s="0" t="s">
        <v>61844</v>
      </c>
      <c r="E18602" s="0" t="s">
        <v>75</v>
      </c>
      <c r="F18602" s="0" t="s">
        <v>15</v>
      </c>
      <c r="G18602" s="0" t="s">
        <v>20</v>
      </c>
      <c r="H18602" s="0" t="n">
        <v>97</v>
      </c>
      <c r="I18602" s="0" t="s">
        <v>61851</v>
      </c>
      <c r="J18602" s="0" t="s">
        <v>61852</v>
      </c>
      <c r="K18602" s="0" t="s">
        <v>61853</v>
      </c>
      <c r="L18602" s="0" t="str">
        <f aca="false">HYPERLINK("https://www.ncbi.nlm.nih.gov/nuccore/CP000058.1?report=graph&amp;tracks=[key:gene_model_track,Options:GeneOnly]&amp;mk=5705123:5705142|offset_35|444444,5705159:5705178|offset_71|444444,5705185:5705204|offset_97|00cc00,5705208:5705227|offset_120|444444&amp;v=5704922:5705427&amp;c=444444", "offset 97")</f>
        <v>offset 97</v>
      </c>
    </row>
    <row r="18603" customFormat="false" ht="12.8" hidden="false" customHeight="false" outlineLevel="0" collapsed="false">
      <c r="A18603" s="0" t="s">
        <v>12</v>
      </c>
      <c r="B18603" s="0" t="n">
        <v>5705207</v>
      </c>
      <c r="C18603" s="0" t="n">
        <v>5705227</v>
      </c>
      <c r="D18603" s="0" t="s">
        <v>61844</v>
      </c>
      <c r="E18603" s="0" t="s">
        <v>75</v>
      </c>
      <c r="F18603" s="0" t="s">
        <v>15</v>
      </c>
      <c r="G18603" s="0" t="s">
        <v>16</v>
      </c>
      <c r="H18603" s="0" t="n">
        <v>120</v>
      </c>
      <c r="I18603" s="0" t="s">
        <v>61854</v>
      </c>
      <c r="J18603" s="0" t="s">
        <v>61855</v>
      </c>
      <c r="K18603" s="0" t="s">
        <v>61856</v>
      </c>
      <c r="L18603" s="0" t="str">
        <f aca="false">HYPERLINK("https://www.ncbi.nlm.nih.gov/nuccore/CP000058.1?report=graph&amp;tracks=[key:gene_model_track,Options:GeneOnly]&amp;mk=5705123:5705142|offset_35|444444,5705159:5705178|offset_71|444444,5705185:5705204|offset_97|444444,5705208:5705227|offset_120|00cc00&amp;v=5704922:5705427&amp;c=444444", "offset 120")</f>
        <v>offset 120</v>
      </c>
    </row>
    <row r="18604" customFormat="false" ht="12.8" hidden="false" customHeight="false" outlineLevel="0" collapsed="false">
      <c r="A18604" s="0" t="s">
        <v>12</v>
      </c>
      <c r="B18604" s="0" t="n">
        <v>5706505</v>
      </c>
      <c r="C18604" s="0" t="n">
        <v>5706525</v>
      </c>
      <c r="D18604" s="0" t="s">
        <v>61857</v>
      </c>
      <c r="E18604" s="0" t="s">
        <v>75</v>
      </c>
      <c r="F18604" s="0" t="s">
        <v>15</v>
      </c>
      <c r="G18604" s="0" t="s">
        <v>16</v>
      </c>
      <c r="H18604" s="0" t="n">
        <v>12</v>
      </c>
      <c r="I18604" s="0" t="s">
        <v>61858</v>
      </c>
      <c r="J18604" s="0" t="s">
        <v>61859</v>
      </c>
      <c r="K18604" s="0" t="s">
        <v>61860</v>
      </c>
      <c r="L18604" s="0" t="str">
        <f aca="false">HYPERLINK("https://www.ncbi.nlm.nih.gov/nuccore/CP000058.1?report=graph&amp;tracks=[key:gene_model_track,Options:GeneOnly]&amp;mk=5706506:5706525|offset_12|00cc00,5706591:5706610|offset_97|444444,5706655:5706674|offset_161|444444,5706687:5706706|offset_193|444444&amp;v=5706305:5706906&amp;c=444444", "offset 12")</f>
        <v>offset 12</v>
      </c>
    </row>
    <row r="18605" customFormat="false" ht="12.8" hidden="false" customHeight="false" outlineLevel="0" collapsed="false">
      <c r="A18605" s="0" t="s">
        <v>12</v>
      </c>
      <c r="B18605" s="0" t="n">
        <v>5706590</v>
      </c>
      <c r="C18605" s="0" t="n">
        <v>5706610</v>
      </c>
      <c r="D18605" s="0" t="s">
        <v>61857</v>
      </c>
      <c r="E18605" s="0" t="s">
        <v>75</v>
      </c>
      <c r="F18605" s="0" t="s">
        <v>15</v>
      </c>
      <c r="G18605" s="0" t="s">
        <v>36</v>
      </c>
      <c r="H18605" s="0" t="n">
        <v>97</v>
      </c>
      <c r="I18605" s="0" t="s">
        <v>61861</v>
      </c>
      <c r="J18605" s="0" t="s">
        <v>61862</v>
      </c>
      <c r="K18605" s="0" t="s">
        <v>61863</v>
      </c>
      <c r="L18605" s="0" t="str">
        <f aca="false">HYPERLINK("https://www.ncbi.nlm.nih.gov/nuccore/CP000058.1?report=graph&amp;tracks=[key:gene_model_track,Options:GeneOnly]&amp;mk=5706506:5706525|offset_12|444444,5706591:5706610|offset_97|00cc00,5706655:5706674|offset_161|444444,5706687:5706706|offset_193|444444&amp;v=5706305:5706906&amp;c=444444", "offset 97")</f>
        <v>offset 97</v>
      </c>
    </row>
    <row r="18606" customFormat="false" ht="12.8" hidden="false" customHeight="false" outlineLevel="0" collapsed="false">
      <c r="A18606" s="0" t="s">
        <v>12</v>
      </c>
      <c r="B18606" s="0" t="n">
        <v>5706654</v>
      </c>
      <c r="C18606" s="0" t="n">
        <v>5706674</v>
      </c>
      <c r="D18606" s="0" t="s">
        <v>61857</v>
      </c>
      <c r="E18606" s="0" t="s">
        <v>75</v>
      </c>
      <c r="F18606" s="0" t="s">
        <v>15</v>
      </c>
      <c r="G18606" s="0" t="s">
        <v>32</v>
      </c>
      <c r="H18606" s="0" t="n">
        <v>161</v>
      </c>
      <c r="I18606" s="0" t="s">
        <v>61864</v>
      </c>
      <c r="J18606" s="0" t="s">
        <v>61865</v>
      </c>
      <c r="K18606" s="0" t="s">
        <v>61866</v>
      </c>
      <c r="L18606" s="0" t="str">
        <f aca="false">HYPERLINK("https://www.ncbi.nlm.nih.gov/nuccore/CP000058.1?report=graph&amp;tracks=[key:gene_model_track,Options:GeneOnly]&amp;mk=5706506:5706525|offset_12|444444,5706591:5706610|offset_97|444444,5706655:5706674|offset_161|00cc00,5706687:5706706|offset_193|444444&amp;v=5706305:5706906&amp;c=444444", "offset 161")</f>
        <v>offset 161</v>
      </c>
    </row>
    <row r="18607" customFormat="false" ht="12.8" hidden="false" customHeight="false" outlineLevel="0" collapsed="false">
      <c r="A18607" s="0" t="s">
        <v>12</v>
      </c>
      <c r="B18607" s="0" t="n">
        <v>5706686</v>
      </c>
      <c r="C18607" s="0" t="n">
        <v>5706706</v>
      </c>
      <c r="D18607" s="0" t="s">
        <v>61857</v>
      </c>
      <c r="E18607" s="0" t="s">
        <v>75</v>
      </c>
      <c r="F18607" s="0" t="s">
        <v>15</v>
      </c>
      <c r="G18607" s="0" t="s">
        <v>32</v>
      </c>
      <c r="H18607" s="0" t="n">
        <v>193</v>
      </c>
      <c r="I18607" s="0" t="s">
        <v>61867</v>
      </c>
      <c r="J18607" s="0" t="s">
        <v>61868</v>
      </c>
      <c r="K18607" s="0" t="s">
        <v>61869</v>
      </c>
      <c r="L18607" s="0" t="str">
        <f aca="false">HYPERLINK("https://www.ncbi.nlm.nih.gov/nuccore/CP000058.1?report=graph&amp;tracks=[key:gene_model_track,Options:GeneOnly]&amp;mk=5706506:5706525|offset_12|444444,5706591:5706610|offset_97|444444,5706655:5706674|offset_161|444444,5706687:5706706|offset_193|00cc00&amp;v=5706305:5706906&amp;c=444444", "offset 193")</f>
        <v>offset 193</v>
      </c>
    </row>
    <row r="18608" customFormat="false" ht="12.8" hidden="false" customHeight="false" outlineLevel="0" collapsed="false">
      <c r="A18608" s="0" t="s">
        <v>12</v>
      </c>
      <c r="B18608" s="0" t="n">
        <v>5707652</v>
      </c>
      <c r="C18608" s="0" t="n">
        <v>5707672</v>
      </c>
      <c r="D18608" s="0" t="s">
        <v>61870</v>
      </c>
      <c r="E18608" s="0" t="s">
        <v>61871</v>
      </c>
      <c r="F18608" s="0" t="s">
        <v>15</v>
      </c>
      <c r="G18608" s="0" t="s">
        <v>36</v>
      </c>
      <c r="H18608" s="0" t="n">
        <v>8</v>
      </c>
      <c r="I18608" s="0" t="s">
        <v>61872</v>
      </c>
      <c r="J18608" s="0" t="s">
        <v>61873</v>
      </c>
      <c r="K18608" s="0" t="s">
        <v>61874</v>
      </c>
      <c r="L18608" s="0" t="str">
        <f aca="false">HYPERLINK("https://www.ncbi.nlm.nih.gov/nuccore/CP000058.1?report=graph&amp;tracks=[key:gene_model_track,Options:GeneOnly]&amp;mk=5707653:5707672|offset_8|00cc00,5707680:5707699|offset_35|444444,5707711:5707730|offset_66|444444,5707751:5707770|offset_106|444444&amp;v=5707452:5707970&amp;c=444444", "offset 8")</f>
        <v>offset 8</v>
      </c>
    </row>
    <row r="18609" customFormat="false" ht="12.8" hidden="false" customHeight="false" outlineLevel="0" collapsed="false">
      <c r="A18609" s="0" t="s">
        <v>12</v>
      </c>
      <c r="B18609" s="0" t="n">
        <v>5707679</v>
      </c>
      <c r="C18609" s="0" t="n">
        <v>5707699</v>
      </c>
      <c r="D18609" s="0" t="s">
        <v>61870</v>
      </c>
      <c r="E18609" s="0" t="s">
        <v>61871</v>
      </c>
      <c r="F18609" s="0" t="s">
        <v>15</v>
      </c>
      <c r="G18609" s="0" t="s">
        <v>20</v>
      </c>
      <c r="H18609" s="0" t="n">
        <v>35</v>
      </c>
      <c r="I18609" s="0" t="s">
        <v>61875</v>
      </c>
      <c r="J18609" s="0" t="s">
        <v>61876</v>
      </c>
      <c r="K18609" s="0" t="s">
        <v>61877</v>
      </c>
      <c r="L18609" s="0" t="str">
        <f aca="false">HYPERLINK("https://www.ncbi.nlm.nih.gov/nuccore/CP000058.1?report=graph&amp;tracks=[key:gene_model_track,Options:GeneOnly]&amp;mk=5707653:5707672|offset_8|444444,5707680:5707699|offset_35|00cc00,5707711:5707730|offset_66|444444,5707751:5707770|offset_106|444444&amp;v=5707452:5707970&amp;c=444444", "offset 35")</f>
        <v>offset 35</v>
      </c>
    </row>
    <row r="18610" customFormat="false" ht="12.8" hidden="false" customHeight="false" outlineLevel="0" collapsed="false">
      <c r="A18610" s="0" t="s">
        <v>12</v>
      </c>
      <c r="B18610" s="0" t="n">
        <v>5707710</v>
      </c>
      <c r="C18610" s="0" t="n">
        <v>5707730</v>
      </c>
      <c r="D18610" s="0" t="s">
        <v>61870</v>
      </c>
      <c r="E18610" s="0" t="s">
        <v>61871</v>
      </c>
      <c r="F18610" s="0" t="s">
        <v>15</v>
      </c>
      <c r="G18610" s="0" t="s">
        <v>16</v>
      </c>
      <c r="H18610" s="0" t="n">
        <v>66</v>
      </c>
      <c r="I18610" s="0" t="s">
        <v>61878</v>
      </c>
      <c r="J18610" s="0" t="s">
        <v>61879</v>
      </c>
      <c r="K18610" s="0" t="s">
        <v>61880</v>
      </c>
      <c r="L18610" s="0" t="str">
        <f aca="false">HYPERLINK("https://www.ncbi.nlm.nih.gov/nuccore/CP000058.1?report=graph&amp;tracks=[key:gene_model_track,Options:GeneOnly]&amp;mk=5707653:5707672|offset_8|444444,5707680:5707699|offset_35|444444,5707711:5707730|offset_66|00cc00,5707751:5707770|offset_106|444444&amp;v=5707452:5707970&amp;c=444444", "offset 66")</f>
        <v>offset 66</v>
      </c>
    </row>
    <row r="18611" customFormat="false" ht="12.8" hidden="false" customHeight="false" outlineLevel="0" collapsed="false">
      <c r="A18611" s="0" t="s">
        <v>12</v>
      </c>
      <c r="B18611" s="0" t="n">
        <v>5707750</v>
      </c>
      <c r="C18611" s="0" t="n">
        <v>5707770</v>
      </c>
      <c r="D18611" s="0" t="s">
        <v>61870</v>
      </c>
      <c r="E18611" s="0" t="s">
        <v>61871</v>
      </c>
      <c r="F18611" s="0" t="s">
        <v>15</v>
      </c>
      <c r="G18611" s="0" t="s">
        <v>32</v>
      </c>
      <c r="H18611" s="0" t="n">
        <v>106</v>
      </c>
      <c r="I18611" s="0" t="s">
        <v>61881</v>
      </c>
      <c r="J18611" s="0" t="s">
        <v>61882</v>
      </c>
      <c r="K18611" s="0" t="s">
        <v>61883</v>
      </c>
      <c r="L18611" s="0" t="str">
        <f aca="false">HYPERLINK("https://www.ncbi.nlm.nih.gov/nuccore/CP000058.1?report=graph&amp;tracks=[key:gene_model_track,Options:GeneOnly]&amp;mk=5707653:5707672|offset_8|444444,5707680:5707699|offset_35|444444,5707711:5707730|offset_66|444444,5707751:5707770|offset_106|00cc00&amp;v=5707452:5707970&amp;c=444444", "offset 106")</f>
        <v>offset 106</v>
      </c>
    </row>
    <row r="18612" customFormat="false" ht="12.8" hidden="false" customHeight="false" outlineLevel="0" collapsed="false">
      <c r="A18612" s="0" t="s">
        <v>12</v>
      </c>
      <c r="B18612" s="0" t="n">
        <v>5711364</v>
      </c>
      <c r="C18612" s="0" t="n">
        <v>5711384</v>
      </c>
      <c r="D18612" s="0" t="s">
        <v>61884</v>
      </c>
      <c r="E18612" s="0" t="s">
        <v>75</v>
      </c>
      <c r="F18612" s="0" t="s">
        <v>90</v>
      </c>
      <c r="G18612" s="0" t="s">
        <v>32</v>
      </c>
      <c r="H18612" s="0" t="n">
        <v>14</v>
      </c>
      <c r="I18612" s="0" t="s">
        <v>61885</v>
      </c>
      <c r="J18612" s="0" t="s">
        <v>61886</v>
      </c>
      <c r="K18612" s="0" t="s">
        <v>61887</v>
      </c>
      <c r="L18612" s="0" t="str">
        <f aca="false">HYPERLINK("https://www.ncbi.nlm.nih.gov/nuccore/CP000058.1?report=graph&amp;tracks=[key:gene_model_track,Options:GeneOnly]&amp;mk=5711365:5711384|offset_14|00cc00,5711343:5711362|offset_36|444444,5711314:5711333|offset_65|444444,5711287:5711306|offset_92|444444&amp;v=5711164:5711506&amp;c=444444", "offset 14")</f>
        <v>offset 14</v>
      </c>
    </row>
    <row r="18613" customFormat="false" ht="12.8" hidden="false" customHeight="false" outlineLevel="0" collapsed="false">
      <c r="A18613" s="0" t="s">
        <v>12</v>
      </c>
      <c r="B18613" s="0" t="n">
        <v>5711342</v>
      </c>
      <c r="C18613" s="0" t="n">
        <v>5711362</v>
      </c>
      <c r="D18613" s="0" t="s">
        <v>61884</v>
      </c>
      <c r="E18613" s="0" t="s">
        <v>75</v>
      </c>
      <c r="F18613" s="0" t="s">
        <v>90</v>
      </c>
      <c r="G18613" s="0" t="s">
        <v>36</v>
      </c>
      <c r="H18613" s="0" t="n">
        <v>36</v>
      </c>
      <c r="I18613" s="0" t="s">
        <v>61888</v>
      </c>
      <c r="J18613" s="0" t="s">
        <v>61889</v>
      </c>
      <c r="K18613" s="0" t="s">
        <v>61890</v>
      </c>
      <c r="L18613" s="0" t="str">
        <f aca="false">HYPERLINK("https://www.ncbi.nlm.nih.gov/nuccore/CP000058.1?report=graph&amp;tracks=[key:gene_model_track,Options:GeneOnly]&amp;mk=5711365:5711384|offset_14|444444,5711343:5711362|offset_36|00cc00,5711314:5711333|offset_65|444444,5711287:5711306|offset_92|444444&amp;v=5711164:5711506&amp;c=444444", "offset 36")</f>
        <v>offset 36</v>
      </c>
    </row>
    <row r="18614" customFormat="false" ht="12.8" hidden="false" customHeight="false" outlineLevel="0" collapsed="false">
      <c r="A18614" s="0" t="s">
        <v>12</v>
      </c>
      <c r="B18614" s="0" t="n">
        <v>5711313</v>
      </c>
      <c r="C18614" s="0" t="n">
        <v>5711333</v>
      </c>
      <c r="D18614" s="0" t="s">
        <v>61884</v>
      </c>
      <c r="E18614" s="0" t="s">
        <v>75</v>
      </c>
      <c r="F18614" s="0" t="s">
        <v>90</v>
      </c>
      <c r="G18614" s="0" t="s">
        <v>36</v>
      </c>
      <c r="H18614" s="0" t="n">
        <v>65</v>
      </c>
      <c r="I18614" s="0" t="s">
        <v>61891</v>
      </c>
      <c r="J18614" s="0" t="s">
        <v>61892</v>
      </c>
      <c r="K18614" s="0" t="s">
        <v>61893</v>
      </c>
      <c r="L18614" s="0" t="str">
        <f aca="false">HYPERLINK("https://www.ncbi.nlm.nih.gov/nuccore/CP000058.1?report=graph&amp;tracks=[key:gene_model_track,Options:GeneOnly]&amp;mk=5711365:5711384|offset_14|444444,5711343:5711362|offset_36|444444,5711314:5711333|offset_65|00cc00,5711287:5711306|offset_92|444444&amp;v=5711164:5711506&amp;c=444444", "offset 65")</f>
        <v>offset 65</v>
      </c>
    </row>
    <row r="18615" customFormat="false" ht="12.8" hidden="false" customHeight="false" outlineLevel="0" collapsed="false">
      <c r="A18615" s="0" t="s">
        <v>12</v>
      </c>
      <c r="B18615" s="0" t="n">
        <v>5711286</v>
      </c>
      <c r="C18615" s="0" t="n">
        <v>5711306</v>
      </c>
      <c r="D18615" s="0" t="s">
        <v>61884</v>
      </c>
      <c r="E18615" s="0" t="s">
        <v>75</v>
      </c>
      <c r="F18615" s="0" t="s">
        <v>90</v>
      </c>
      <c r="G18615" s="0" t="s">
        <v>20</v>
      </c>
      <c r="H18615" s="0" t="n">
        <v>92</v>
      </c>
      <c r="I18615" s="0" t="s">
        <v>61894</v>
      </c>
      <c r="J18615" s="0" t="s">
        <v>61895</v>
      </c>
      <c r="K18615" s="0" t="s">
        <v>61896</v>
      </c>
      <c r="L18615" s="0" t="str">
        <f aca="false">HYPERLINK("https://www.ncbi.nlm.nih.gov/nuccore/CP000058.1?report=graph&amp;tracks=[key:gene_model_track,Options:GeneOnly]&amp;mk=5711365:5711384|offset_14|444444,5711343:5711362|offset_36|444444,5711314:5711333|offset_65|444444,5711287:5711306|offset_92|00cc00&amp;v=5711164:5711506&amp;c=444444", "offset 92")</f>
        <v>offset 92</v>
      </c>
    </row>
    <row r="18616" customFormat="false" ht="12.8" hidden="false" customHeight="false" outlineLevel="0" collapsed="false">
      <c r="A18616" s="0" t="s">
        <v>12</v>
      </c>
      <c r="B18616" s="0" t="n">
        <v>5711647</v>
      </c>
      <c r="C18616" s="0" t="n">
        <v>5711667</v>
      </c>
      <c r="D18616" s="0" t="s">
        <v>61897</v>
      </c>
      <c r="E18616" s="0" t="s">
        <v>61898</v>
      </c>
      <c r="F18616" s="0" t="s">
        <v>15</v>
      </c>
      <c r="G18616" s="0" t="s">
        <v>32</v>
      </c>
      <c r="H18616" s="0" t="n">
        <v>1</v>
      </c>
      <c r="I18616" s="0" t="s">
        <v>61899</v>
      </c>
      <c r="J18616" s="0" t="s">
        <v>61900</v>
      </c>
      <c r="K18616" s="0" t="s">
        <v>61901</v>
      </c>
      <c r="L18616" s="0" t="str">
        <f aca="false">HYPERLINK("https://www.ncbi.nlm.nih.gov/nuccore/CP000058.1?report=graph&amp;tracks=[key:gene_model_track,Options:GeneOnly]&amp;mk=5711648:5711667|offset_1|00cc00,5711671:5711690|offset_24|444444,5711707:5711726|offset_60|444444,5711727:5711746|offset_80|444444&amp;v=5711447:5711946&amp;c=444444", "offset 1")</f>
        <v>offset 1</v>
      </c>
    </row>
    <row r="18617" customFormat="false" ht="12.8" hidden="false" customHeight="false" outlineLevel="0" collapsed="false">
      <c r="A18617" s="0" t="s">
        <v>12</v>
      </c>
      <c r="B18617" s="0" t="n">
        <v>5711670</v>
      </c>
      <c r="C18617" s="0" t="n">
        <v>5711690</v>
      </c>
      <c r="D18617" s="0" t="s">
        <v>61897</v>
      </c>
      <c r="E18617" s="0" t="s">
        <v>61898</v>
      </c>
      <c r="F18617" s="0" t="s">
        <v>15</v>
      </c>
      <c r="G18617" s="0" t="s">
        <v>36</v>
      </c>
      <c r="H18617" s="0" t="n">
        <v>24</v>
      </c>
      <c r="I18617" s="0" t="s">
        <v>61902</v>
      </c>
      <c r="J18617" s="0" t="s">
        <v>61903</v>
      </c>
      <c r="K18617" s="0" t="s">
        <v>61904</v>
      </c>
      <c r="L18617" s="0" t="str">
        <f aca="false">HYPERLINK("https://www.ncbi.nlm.nih.gov/nuccore/CP000058.1?report=graph&amp;tracks=[key:gene_model_track,Options:GeneOnly]&amp;mk=5711648:5711667|offset_1|444444,5711671:5711690|offset_24|00cc00,5711707:5711726|offset_60|444444,5711727:5711746|offset_80|444444&amp;v=5711447:5711946&amp;c=444444", "offset 24")</f>
        <v>offset 24</v>
      </c>
    </row>
    <row r="18618" customFormat="false" ht="12.8" hidden="false" customHeight="false" outlineLevel="0" collapsed="false">
      <c r="A18618" s="0" t="s">
        <v>12</v>
      </c>
      <c r="B18618" s="0" t="n">
        <v>5711706</v>
      </c>
      <c r="C18618" s="0" t="n">
        <v>5711726</v>
      </c>
      <c r="D18618" s="0" t="s">
        <v>61897</v>
      </c>
      <c r="E18618" s="0" t="s">
        <v>61898</v>
      </c>
      <c r="F18618" s="0" t="s">
        <v>15</v>
      </c>
      <c r="G18618" s="0" t="s">
        <v>16</v>
      </c>
      <c r="H18618" s="0" t="n">
        <v>60</v>
      </c>
      <c r="I18618" s="0" t="s">
        <v>61905</v>
      </c>
      <c r="J18618" s="0" t="s">
        <v>61906</v>
      </c>
      <c r="K18618" s="0" t="s">
        <v>61907</v>
      </c>
      <c r="L18618" s="0" t="str">
        <f aca="false">HYPERLINK("https://www.ncbi.nlm.nih.gov/nuccore/CP000058.1?report=graph&amp;tracks=[key:gene_model_track,Options:GeneOnly]&amp;mk=5711648:5711667|offset_1|444444,5711671:5711690|offset_24|444444,5711707:5711726|offset_60|00cc00,5711727:5711746|offset_80|444444&amp;v=5711447:5711946&amp;c=444444", "offset 60")</f>
        <v>offset 60</v>
      </c>
    </row>
    <row r="18619" customFormat="false" ht="12.8" hidden="false" customHeight="false" outlineLevel="0" collapsed="false">
      <c r="A18619" s="0" t="s">
        <v>12</v>
      </c>
      <c r="B18619" s="0" t="n">
        <v>5711726</v>
      </c>
      <c r="C18619" s="0" t="n">
        <v>5711746</v>
      </c>
      <c r="D18619" s="0" t="s">
        <v>61897</v>
      </c>
      <c r="E18619" s="0" t="s">
        <v>61898</v>
      </c>
      <c r="F18619" s="0" t="s">
        <v>15</v>
      </c>
      <c r="G18619" s="0" t="s">
        <v>32</v>
      </c>
      <c r="H18619" s="0" t="n">
        <v>80</v>
      </c>
      <c r="I18619" s="0" t="s">
        <v>61908</v>
      </c>
      <c r="J18619" s="0" t="s">
        <v>61909</v>
      </c>
      <c r="K18619" s="0" t="s">
        <v>61910</v>
      </c>
      <c r="L18619" s="0" t="str">
        <f aca="false">HYPERLINK("https://www.ncbi.nlm.nih.gov/nuccore/CP000058.1?report=graph&amp;tracks=[key:gene_model_track,Options:GeneOnly]&amp;mk=5711648:5711667|offset_1|444444,5711671:5711690|offset_24|444444,5711707:5711726|offset_60|444444,5711727:5711746|offset_80|00cc00&amp;v=5711447:5711946&amp;c=444444", "offset 80")</f>
        <v>offset 80</v>
      </c>
    </row>
    <row r="18620" customFormat="false" ht="12.8" hidden="false" customHeight="false" outlineLevel="0" collapsed="false">
      <c r="A18620" s="0" t="s">
        <v>12</v>
      </c>
      <c r="B18620" s="0" t="n">
        <v>5713033</v>
      </c>
      <c r="C18620" s="0" t="n">
        <v>5713053</v>
      </c>
      <c r="D18620" s="0" t="s">
        <v>61911</v>
      </c>
      <c r="E18620" s="0" t="s">
        <v>75</v>
      </c>
      <c r="F18620" s="0" t="s">
        <v>15</v>
      </c>
      <c r="G18620" s="0" t="s">
        <v>32</v>
      </c>
      <c r="H18620" s="0" t="n">
        <v>1</v>
      </c>
      <c r="I18620" s="0" t="s">
        <v>61912</v>
      </c>
      <c r="J18620" s="0" t="s">
        <v>61913</v>
      </c>
      <c r="K18620" s="0" t="s">
        <v>61914</v>
      </c>
      <c r="L18620" s="0" t="str">
        <f aca="false">HYPERLINK("https://www.ncbi.nlm.nih.gov/nuccore/CP000058.1?report=graph&amp;tracks=[key:gene_model_track,Options:GeneOnly]&amp;mk=5713034:5713053|offset_1|00cc00,5713092:5713111|offset_59|444444,5713150:5713169|offset_117|444444,5713172:5713191|offset_139|444444&amp;v=5712833:5713391&amp;c=444444", "offset 1")</f>
        <v>offset 1</v>
      </c>
    </row>
    <row r="18621" customFormat="false" ht="12.8" hidden="false" customHeight="false" outlineLevel="0" collapsed="false">
      <c r="A18621" s="0" t="s">
        <v>12</v>
      </c>
      <c r="B18621" s="0" t="n">
        <v>5713091</v>
      </c>
      <c r="C18621" s="0" t="n">
        <v>5713111</v>
      </c>
      <c r="D18621" s="0" t="s">
        <v>61911</v>
      </c>
      <c r="E18621" s="0" t="s">
        <v>75</v>
      </c>
      <c r="F18621" s="0" t="s">
        <v>15</v>
      </c>
      <c r="G18621" s="0" t="s">
        <v>16</v>
      </c>
      <c r="H18621" s="0" t="n">
        <v>59</v>
      </c>
      <c r="I18621" s="0" t="s">
        <v>61915</v>
      </c>
      <c r="J18621" s="0" t="s">
        <v>61916</v>
      </c>
      <c r="K18621" s="0" t="s">
        <v>61917</v>
      </c>
      <c r="L18621" s="0" t="str">
        <f aca="false">HYPERLINK("https://www.ncbi.nlm.nih.gov/nuccore/CP000058.1?report=graph&amp;tracks=[key:gene_model_track,Options:GeneOnly]&amp;mk=5713034:5713053|offset_1|444444,5713092:5713111|offset_59|00cc00,5713150:5713169|offset_117|444444,5713172:5713191|offset_139|444444&amp;v=5712833:5713391&amp;c=444444", "offset 59")</f>
        <v>offset 59</v>
      </c>
    </row>
    <row r="18622" customFormat="false" ht="12.8" hidden="false" customHeight="false" outlineLevel="0" collapsed="false">
      <c r="A18622" s="0" t="s">
        <v>12</v>
      </c>
      <c r="B18622" s="0" t="n">
        <v>5713149</v>
      </c>
      <c r="C18622" s="0" t="n">
        <v>5713169</v>
      </c>
      <c r="D18622" s="0" t="s">
        <v>61911</v>
      </c>
      <c r="E18622" s="0" t="s">
        <v>75</v>
      </c>
      <c r="F18622" s="0" t="s">
        <v>15</v>
      </c>
      <c r="G18622" s="0" t="s">
        <v>16</v>
      </c>
      <c r="H18622" s="0" t="n">
        <v>117</v>
      </c>
      <c r="I18622" s="0" t="s">
        <v>61918</v>
      </c>
      <c r="J18622" s="0" t="s">
        <v>61919</v>
      </c>
      <c r="K18622" s="0" t="s">
        <v>61920</v>
      </c>
      <c r="L18622" s="0" t="str">
        <f aca="false">HYPERLINK("https://www.ncbi.nlm.nih.gov/nuccore/CP000058.1?report=graph&amp;tracks=[key:gene_model_track,Options:GeneOnly]&amp;mk=5713034:5713053|offset_1|444444,5713092:5713111|offset_59|444444,5713150:5713169|offset_117|00cc00,5713172:5713191|offset_139|444444&amp;v=5712833:5713391&amp;c=444444", "offset 117")</f>
        <v>offset 117</v>
      </c>
    </row>
    <row r="18623" customFormat="false" ht="12.8" hidden="false" customHeight="false" outlineLevel="0" collapsed="false">
      <c r="A18623" s="0" t="s">
        <v>12</v>
      </c>
      <c r="B18623" s="0" t="n">
        <v>5713171</v>
      </c>
      <c r="C18623" s="0" t="n">
        <v>5713191</v>
      </c>
      <c r="D18623" s="0" t="s">
        <v>61911</v>
      </c>
      <c r="E18623" s="0" t="s">
        <v>75</v>
      </c>
      <c r="F18623" s="0" t="s">
        <v>15</v>
      </c>
      <c r="G18623" s="0" t="s">
        <v>16</v>
      </c>
      <c r="H18623" s="0" t="n">
        <v>139</v>
      </c>
      <c r="I18623" s="0" t="s">
        <v>61921</v>
      </c>
      <c r="J18623" s="0" t="s">
        <v>61922</v>
      </c>
      <c r="K18623" s="0" t="s">
        <v>61923</v>
      </c>
      <c r="L18623" s="0" t="str">
        <f aca="false">HYPERLINK("https://www.ncbi.nlm.nih.gov/nuccore/CP000058.1?report=graph&amp;tracks=[key:gene_model_track,Options:GeneOnly]&amp;mk=5713034:5713053|offset_1|444444,5713092:5713111|offset_59|444444,5713150:5713169|offset_117|444444,5713172:5713191|offset_139|00cc00&amp;v=5712833:5713391&amp;c=444444", "offset 139")</f>
        <v>offset 139</v>
      </c>
    </row>
    <row r="18624" customFormat="false" ht="12.8" hidden="false" customHeight="false" outlineLevel="0" collapsed="false">
      <c r="A18624" s="0" t="s">
        <v>12</v>
      </c>
      <c r="B18624" s="0" t="n">
        <v>5713780</v>
      </c>
      <c r="C18624" s="0" t="n">
        <v>5713800</v>
      </c>
      <c r="D18624" s="0" t="s">
        <v>61924</v>
      </c>
      <c r="E18624" s="0" t="s">
        <v>75</v>
      </c>
      <c r="F18624" s="0" t="s">
        <v>15</v>
      </c>
      <c r="G18624" s="0" t="s">
        <v>20</v>
      </c>
      <c r="H18624" s="0" t="n">
        <v>44</v>
      </c>
      <c r="I18624" s="0" t="s">
        <v>61925</v>
      </c>
      <c r="J18624" s="0" t="s">
        <v>61926</v>
      </c>
      <c r="K18624" s="0" t="s">
        <v>61927</v>
      </c>
      <c r="L18624" s="0" t="str">
        <f aca="false">HYPERLINK("https://www.ncbi.nlm.nih.gov/nuccore/CP000058.1?report=graph&amp;tracks=[key:gene_model_track,Options:GeneOnly]&amp;mk=5713781:5713800|offset_44|00cc00,5713823:5713842|offset_86|444444,5713846:5713865|offset_109|444444,5713900:5713919|offset_163|444444&amp;v=5713580:5714119&amp;c=444444", "offset 44")</f>
        <v>offset 44</v>
      </c>
    </row>
    <row r="18625" customFormat="false" ht="12.8" hidden="false" customHeight="false" outlineLevel="0" collapsed="false">
      <c r="A18625" s="0" t="s">
        <v>12</v>
      </c>
      <c r="B18625" s="0" t="n">
        <v>5713822</v>
      </c>
      <c r="C18625" s="0" t="n">
        <v>5713842</v>
      </c>
      <c r="D18625" s="0" t="s">
        <v>61924</v>
      </c>
      <c r="E18625" s="0" t="s">
        <v>75</v>
      </c>
      <c r="F18625" s="0" t="s">
        <v>15</v>
      </c>
      <c r="G18625" s="0" t="s">
        <v>20</v>
      </c>
      <c r="H18625" s="0" t="n">
        <v>86</v>
      </c>
      <c r="I18625" s="0" t="s">
        <v>61928</v>
      </c>
      <c r="J18625" s="0" t="s">
        <v>61929</v>
      </c>
      <c r="K18625" s="0" t="s">
        <v>61930</v>
      </c>
      <c r="L18625" s="0" t="str">
        <f aca="false">HYPERLINK("https://www.ncbi.nlm.nih.gov/nuccore/CP000058.1?report=graph&amp;tracks=[key:gene_model_track,Options:GeneOnly]&amp;mk=5713781:5713800|offset_44|444444,5713823:5713842|offset_86|00cc00,5713846:5713865|offset_109|444444,5713900:5713919|offset_163|444444&amp;v=5713580:5714119&amp;c=444444", "offset 86")</f>
        <v>offset 86</v>
      </c>
    </row>
    <row r="18626" customFormat="false" ht="12.8" hidden="false" customHeight="false" outlineLevel="0" collapsed="false">
      <c r="A18626" s="0" t="s">
        <v>12</v>
      </c>
      <c r="B18626" s="0" t="n">
        <v>5713845</v>
      </c>
      <c r="C18626" s="0" t="n">
        <v>5713865</v>
      </c>
      <c r="D18626" s="0" t="s">
        <v>61924</v>
      </c>
      <c r="E18626" s="0" t="s">
        <v>75</v>
      </c>
      <c r="F18626" s="0" t="s">
        <v>15</v>
      </c>
      <c r="G18626" s="0" t="s">
        <v>16</v>
      </c>
      <c r="H18626" s="0" t="n">
        <v>109</v>
      </c>
      <c r="I18626" s="0" t="s">
        <v>61931</v>
      </c>
      <c r="J18626" s="0" t="s">
        <v>61932</v>
      </c>
      <c r="K18626" s="0" t="s">
        <v>61933</v>
      </c>
      <c r="L18626" s="0" t="str">
        <f aca="false">HYPERLINK("https://www.ncbi.nlm.nih.gov/nuccore/CP000058.1?report=graph&amp;tracks=[key:gene_model_track,Options:GeneOnly]&amp;mk=5713781:5713800|offset_44|444444,5713823:5713842|offset_86|444444,5713846:5713865|offset_109|00cc00,5713900:5713919|offset_163|444444&amp;v=5713580:5714119&amp;c=444444", "offset 109")</f>
        <v>offset 109</v>
      </c>
    </row>
    <row r="18627" customFormat="false" ht="12.8" hidden="false" customHeight="false" outlineLevel="0" collapsed="false">
      <c r="A18627" s="0" t="s">
        <v>12</v>
      </c>
      <c r="B18627" s="0" t="n">
        <v>5713899</v>
      </c>
      <c r="C18627" s="0" t="n">
        <v>5713919</v>
      </c>
      <c r="D18627" s="0" t="s">
        <v>61924</v>
      </c>
      <c r="E18627" s="0" t="s">
        <v>75</v>
      </c>
      <c r="F18627" s="0" t="s">
        <v>15</v>
      </c>
      <c r="G18627" s="0" t="s">
        <v>32</v>
      </c>
      <c r="H18627" s="0" t="n">
        <v>163</v>
      </c>
      <c r="I18627" s="0" t="s">
        <v>61934</v>
      </c>
      <c r="J18627" s="0" t="s">
        <v>61935</v>
      </c>
      <c r="K18627" s="0" t="s">
        <v>61936</v>
      </c>
      <c r="L18627" s="0" t="str">
        <f aca="false">HYPERLINK("https://www.ncbi.nlm.nih.gov/nuccore/CP000058.1?report=graph&amp;tracks=[key:gene_model_track,Options:GeneOnly]&amp;mk=5713781:5713800|offset_44|444444,5713823:5713842|offset_86|444444,5713846:5713865|offset_109|444444,5713900:5713919|offset_163|00cc00&amp;v=5713580:5714119&amp;c=444444", "offset 163")</f>
        <v>offset 163</v>
      </c>
    </row>
    <row r="18628" customFormat="false" ht="12.8" hidden="false" customHeight="false" outlineLevel="0" collapsed="false">
      <c r="A18628" s="0" t="s">
        <v>12</v>
      </c>
      <c r="B18628" s="0" t="n">
        <v>5714660</v>
      </c>
      <c r="C18628" s="0" t="n">
        <v>5714680</v>
      </c>
      <c r="D18628" s="0" t="s">
        <v>61937</v>
      </c>
      <c r="E18628" s="0" t="s">
        <v>75</v>
      </c>
      <c r="F18628" s="0" t="s">
        <v>90</v>
      </c>
      <c r="G18628" s="0" t="s">
        <v>16</v>
      </c>
      <c r="H18628" s="0" t="n">
        <v>41</v>
      </c>
      <c r="I18628" s="0" t="s">
        <v>61938</v>
      </c>
      <c r="J18628" s="0" t="s">
        <v>61939</v>
      </c>
      <c r="K18628" s="0" t="s">
        <v>61940</v>
      </c>
      <c r="L18628" s="0" t="str">
        <f aca="false">HYPERLINK("https://www.ncbi.nlm.nih.gov/nuccore/CP000058.1?report=graph&amp;tracks=[key:gene_model_track,Options:GeneOnly]&amp;mk=5714661:5714680|offset_41|00cc00,5714603:5714622|offset_99|444444,5714518:5714537|offset_184|444444,5714459:5714478|offset_243|444444&amp;v=5714460:5714678&amp;c=444444", "offset 41")</f>
        <v>offset 41</v>
      </c>
    </row>
    <row r="18629" customFormat="false" ht="12.8" hidden="false" customHeight="false" outlineLevel="0" collapsed="false">
      <c r="A18629" s="0" t="s">
        <v>12</v>
      </c>
      <c r="B18629" s="0" t="n">
        <v>5714602</v>
      </c>
      <c r="C18629" s="0" t="n">
        <v>5714622</v>
      </c>
      <c r="D18629" s="0" t="s">
        <v>61937</v>
      </c>
      <c r="E18629" s="0" t="s">
        <v>75</v>
      </c>
      <c r="F18629" s="0" t="s">
        <v>90</v>
      </c>
      <c r="G18629" s="0" t="s">
        <v>16</v>
      </c>
      <c r="H18629" s="0" t="n">
        <v>99</v>
      </c>
      <c r="I18629" s="0" t="s">
        <v>61941</v>
      </c>
      <c r="J18629" s="0" t="s">
        <v>61942</v>
      </c>
      <c r="K18629" s="0" t="s">
        <v>61943</v>
      </c>
      <c r="L18629" s="0" t="str">
        <f aca="false">HYPERLINK("https://www.ncbi.nlm.nih.gov/nuccore/CP000058.1?report=graph&amp;tracks=[key:gene_model_track,Options:GeneOnly]&amp;mk=5714661:5714680|offset_41|444444,5714603:5714622|offset_99|00cc00,5714518:5714537|offset_184|444444,5714459:5714478|offset_243|444444&amp;v=5714460:5714678&amp;c=444444", "offset 99")</f>
        <v>offset 99</v>
      </c>
    </row>
    <row r="18630" customFormat="false" ht="12.8" hidden="false" customHeight="false" outlineLevel="0" collapsed="false">
      <c r="A18630" s="0" t="s">
        <v>12</v>
      </c>
      <c r="B18630" s="0" t="n">
        <v>5714517</v>
      </c>
      <c r="C18630" s="0" t="n">
        <v>5714537</v>
      </c>
      <c r="D18630" s="0" t="s">
        <v>61937</v>
      </c>
      <c r="E18630" s="0" t="s">
        <v>75</v>
      </c>
      <c r="F18630" s="0" t="s">
        <v>90</v>
      </c>
      <c r="G18630" s="0" t="s">
        <v>20</v>
      </c>
      <c r="H18630" s="0" t="n">
        <v>184</v>
      </c>
      <c r="I18630" s="0" t="s">
        <v>61944</v>
      </c>
      <c r="J18630" s="0" t="s">
        <v>61945</v>
      </c>
      <c r="K18630" s="0" t="s">
        <v>61946</v>
      </c>
      <c r="L18630" s="0" t="str">
        <f aca="false">HYPERLINK("https://www.ncbi.nlm.nih.gov/nuccore/CP000058.1?report=graph&amp;tracks=[key:gene_model_track,Options:GeneOnly]&amp;mk=5714661:5714680|offset_41|444444,5714603:5714622|offset_99|444444,5714518:5714537|offset_184|00cc00,5714459:5714478|offset_243|444444&amp;v=5714460:5714678&amp;c=444444", "offset 184")</f>
        <v>offset 184</v>
      </c>
    </row>
    <row r="18631" customFormat="false" ht="12.8" hidden="false" customHeight="false" outlineLevel="0" collapsed="false">
      <c r="A18631" s="0" t="s">
        <v>12</v>
      </c>
      <c r="B18631" s="0" t="n">
        <v>5714458</v>
      </c>
      <c r="C18631" s="0" t="n">
        <v>5714478</v>
      </c>
      <c r="D18631" s="0" t="s">
        <v>61937</v>
      </c>
      <c r="E18631" s="0" t="s">
        <v>75</v>
      </c>
      <c r="F18631" s="0" t="s">
        <v>90</v>
      </c>
      <c r="G18631" s="0" t="s">
        <v>36</v>
      </c>
      <c r="H18631" s="0" t="n">
        <v>243</v>
      </c>
      <c r="I18631" s="0" t="s">
        <v>61947</v>
      </c>
      <c r="J18631" s="0" t="s">
        <v>61948</v>
      </c>
      <c r="K18631" s="0" t="s">
        <v>61949</v>
      </c>
      <c r="L18631" s="0" t="str">
        <f aca="false">HYPERLINK("https://www.ncbi.nlm.nih.gov/nuccore/CP000058.1?report=graph&amp;tracks=[key:gene_model_track,Options:GeneOnly]&amp;mk=5714661:5714680|offset_41|444444,5714603:5714622|offset_99|444444,5714518:5714537|offset_184|444444,5714459:5714478|offset_243|00cc00&amp;v=5714460:5714678&amp;c=444444", "offset 243")</f>
        <v>offset 243</v>
      </c>
    </row>
    <row r="18632" customFormat="false" ht="12.8" hidden="false" customHeight="false" outlineLevel="0" collapsed="false">
      <c r="A18632" s="0" t="s">
        <v>12</v>
      </c>
      <c r="B18632" s="0" t="n">
        <v>5715124</v>
      </c>
      <c r="C18632" s="0" t="n">
        <v>5715144</v>
      </c>
      <c r="D18632" s="0" t="s">
        <v>61950</v>
      </c>
      <c r="E18632" s="0" t="s">
        <v>75</v>
      </c>
      <c r="F18632" s="0" t="s">
        <v>15</v>
      </c>
      <c r="G18632" s="0" t="s">
        <v>36</v>
      </c>
      <c r="H18632" s="0" t="n">
        <v>6</v>
      </c>
      <c r="I18632" s="0" t="s">
        <v>61951</v>
      </c>
      <c r="J18632" s="0" t="s">
        <v>61952</v>
      </c>
      <c r="K18632" s="0" t="s">
        <v>61953</v>
      </c>
      <c r="L18632" s="0" t="str">
        <f aca="false">HYPERLINK("https://www.ncbi.nlm.nih.gov/nuccore/CP000058.1?report=graph&amp;tracks=[key:gene_model_track,Options:GeneOnly]&amp;mk=5715125:5715144|offset_6|00cc00,5715148:5715167|offset_29|444444,5715234:5715253|offset_115|444444,5715267:5715286|offset_148|444444&amp;v=5714924:5715486&amp;c=444444", "offset 6")</f>
        <v>offset 6</v>
      </c>
    </row>
    <row r="18633" customFormat="false" ht="12.8" hidden="false" customHeight="false" outlineLevel="0" collapsed="false">
      <c r="A18633" s="0" t="s">
        <v>12</v>
      </c>
      <c r="B18633" s="0" t="n">
        <v>5715147</v>
      </c>
      <c r="C18633" s="0" t="n">
        <v>5715167</v>
      </c>
      <c r="D18633" s="0" t="s">
        <v>61950</v>
      </c>
      <c r="E18633" s="0" t="s">
        <v>75</v>
      </c>
      <c r="F18633" s="0" t="s">
        <v>15</v>
      </c>
      <c r="G18633" s="0" t="s">
        <v>32</v>
      </c>
      <c r="H18633" s="0" t="n">
        <v>29</v>
      </c>
      <c r="I18633" s="0" t="s">
        <v>61954</v>
      </c>
      <c r="J18633" s="0" t="s">
        <v>61955</v>
      </c>
      <c r="K18633" s="0" t="s">
        <v>61956</v>
      </c>
      <c r="L18633" s="0" t="str">
        <f aca="false">HYPERLINK("https://www.ncbi.nlm.nih.gov/nuccore/CP000058.1?report=graph&amp;tracks=[key:gene_model_track,Options:GeneOnly]&amp;mk=5715125:5715144|offset_6|444444,5715148:5715167|offset_29|00cc00,5715234:5715253|offset_115|444444,5715267:5715286|offset_148|444444&amp;v=5714924:5715486&amp;c=444444", "offset 29")</f>
        <v>offset 29</v>
      </c>
    </row>
    <row r="18634" customFormat="false" ht="12.8" hidden="false" customHeight="false" outlineLevel="0" collapsed="false">
      <c r="A18634" s="0" t="s">
        <v>12</v>
      </c>
      <c r="B18634" s="0" t="n">
        <v>5715233</v>
      </c>
      <c r="C18634" s="0" t="n">
        <v>5715253</v>
      </c>
      <c r="D18634" s="0" t="s">
        <v>61950</v>
      </c>
      <c r="E18634" s="0" t="s">
        <v>75</v>
      </c>
      <c r="F18634" s="0" t="s">
        <v>15</v>
      </c>
      <c r="G18634" s="0" t="s">
        <v>20</v>
      </c>
      <c r="H18634" s="0" t="n">
        <v>115</v>
      </c>
      <c r="I18634" s="0" t="s">
        <v>61957</v>
      </c>
      <c r="J18634" s="0" t="s">
        <v>61958</v>
      </c>
      <c r="K18634" s="0" t="s">
        <v>61959</v>
      </c>
      <c r="L18634" s="0" t="str">
        <f aca="false">HYPERLINK("https://www.ncbi.nlm.nih.gov/nuccore/CP000058.1?report=graph&amp;tracks=[key:gene_model_track,Options:GeneOnly]&amp;mk=5715125:5715144|offset_6|444444,5715148:5715167|offset_29|444444,5715234:5715253|offset_115|00cc00,5715267:5715286|offset_148|444444&amp;v=5714924:5715486&amp;c=444444", "offset 115")</f>
        <v>offset 115</v>
      </c>
    </row>
    <row r="18635" customFormat="false" ht="12.8" hidden="false" customHeight="false" outlineLevel="0" collapsed="false">
      <c r="A18635" s="0" t="s">
        <v>12</v>
      </c>
      <c r="B18635" s="0" t="n">
        <v>5715266</v>
      </c>
      <c r="C18635" s="0" t="n">
        <v>5715286</v>
      </c>
      <c r="D18635" s="0" t="s">
        <v>61950</v>
      </c>
      <c r="E18635" s="0" t="s">
        <v>75</v>
      </c>
      <c r="F18635" s="0" t="s">
        <v>15</v>
      </c>
      <c r="G18635" s="0" t="s">
        <v>16</v>
      </c>
      <c r="H18635" s="0" t="n">
        <v>148</v>
      </c>
      <c r="I18635" s="0" t="s">
        <v>61960</v>
      </c>
      <c r="J18635" s="0" t="s">
        <v>61961</v>
      </c>
      <c r="K18635" s="0" t="s">
        <v>61962</v>
      </c>
      <c r="L18635" s="0" t="str">
        <f aca="false">HYPERLINK("https://www.ncbi.nlm.nih.gov/nuccore/CP000058.1?report=graph&amp;tracks=[key:gene_model_track,Options:GeneOnly]&amp;mk=5715125:5715144|offset_6|444444,5715148:5715167|offset_29|444444,5715234:5715253|offset_115|444444,5715267:5715286|offset_148|00cc00&amp;v=5714924:5715486&amp;c=444444", "offset 148")</f>
        <v>offset 148</v>
      </c>
    </row>
    <row r="18636" customFormat="false" ht="12.8" hidden="false" customHeight="false" outlineLevel="0" collapsed="false">
      <c r="A18636" s="0" t="s">
        <v>12</v>
      </c>
      <c r="B18636" s="0" t="n">
        <v>5718162</v>
      </c>
      <c r="C18636" s="0" t="n">
        <v>5718182</v>
      </c>
      <c r="D18636" s="0" t="s">
        <v>61963</v>
      </c>
      <c r="E18636" s="0" t="s">
        <v>75</v>
      </c>
      <c r="F18636" s="0" t="s">
        <v>90</v>
      </c>
      <c r="G18636" s="0" t="s">
        <v>20</v>
      </c>
      <c r="H18636" s="0" t="n">
        <v>32</v>
      </c>
      <c r="I18636" s="0" t="s">
        <v>61964</v>
      </c>
      <c r="J18636" s="0" t="s">
        <v>61965</v>
      </c>
      <c r="K18636" s="0" t="s">
        <v>61966</v>
      </c>
      <c r="L18636" s="0" t="str">
        <f aca="false">HYPERLINK("https://www.ncbi.nlm.nih.gov/nuccore/CP000058.1?report=graph&amp;tracks=[key:gene_model_track,Options:GeneOnly]&amp;mk=5718163:5718182|offset_32|00cc00,5718142:5718161|offset_53|444444,5718118:5718137|offset_77|444444,5718027:5718046|offset_168|444444&amp;v=5717962:5718246&amp;c=444444", "offset 32")</f>
        <v>offset 32</v>
      </c>
    </row>
    <row r="18637" customFormat="false" ht="12.8" hidden="false" customHeight="false" outlineLevel="0" collapsed="false">
      <c r="A18637" s="0" t="s">
        <v>12</v>
      </c>
      <c r="B18637" s="0" t="n">
        <v>5718141</v>
      </c>
      <c r="C18637" s="0" t="n">
        <v>5718161</v>
      </c>
      <c r="D18637" s="0" t="s">
        <v>61963</v>
      </c>
      <c r="E18637" s="0" t="s">
        <v>75</v>
      </c>
      <c r="F18637" s="0" t="s">
        <v>90</v>
      </c>
      <c r="G18637" s="0" t="s">
        <v>32</v>
      </c>
      <c r="H18637" s="0" t="n">
        <v>53</v>
      </c>
      <c r="I18637" s="0" t="s">
        <v>61967</v>
      </c>
      <c r="J18637" s="0" t="s">
        <v>61968</v>
      </c>
      <c r="K18637" s="0" t="s">
        <v>61969</v>
      </c>
      <c r="L18637" s="0" t="str">
        <f aca="false">HYPERLINK("https://www.ncbi.nlm.nih.gov/nuccore/CP000058.1?report=graph&amp;tracks=[key:gene_model_track,Options:GeneOnly]&amp;mk=5718163:5718182|offset_32|444444,5718142:5718161|offset_53|00cc00,5718118:5718137|offset_77|444444,5718027:5718046|offset_168|444444&amp;v=5717962:5718246&amp;c=444444", "offset 53")</f>
        <v>offset 53</v>
      </c>
    </row>
    <row r="18638" customFormat="false" ht="12.8" hidden="false" customHeight="false" outlineLevel="0" collapsed="false">
      <c r="A18638" s="0" t="s">
        <v>12</v>
      </c>
      <c r="B18638" s="0" t="n">
        <v>5718117</v>
      </c>
      <c r="C18638" s="0" t="n">
        <v>5718137</v>
      </c>
      <c r="D18638" s="0" t="s">
        <v>61963</v>
      </c>
      <c r="E18638" s="0" t="s">
        <v>75</v>
      </c>
      <c r="F18638" s="0" t="s">
        <v>90</v>
      </c>
      <c r="G18638" s="0" t="s">
        <v>20</v>
      </c>
      <c r="H18638" s="0" t="n">
        <v>77</v>
      </c>
      <c r="I18638" s="0" t="s">
        <v>61970</v>
      </c>
      <c r="J18638" s="0" t="s">
        <v>61971</v>
      </c>
      <c r="K18638" s="0" t="s">
        <v>61972</v>
      </c>
      <c r="L18638" s="0" t="str">
        <f aca="false">HYPERLINK("https://www.ncbi.nlm.nih.gov/nuccore/CP000058.1?report=graph&amp;tracks=[key:gene_model_track,Options:GeneOnly]&amp;mk=5718163:5718182|offset_32|444444,5718142:5718161|offset_53|444444,5718118:5718137|offset_77|00cc00,5718027:5718046|offset_168|444444&amp;v=5717962:5718246&amp;c=444444", "offset 77")</f>
        <v>offset 77</v>
      </c>
    </row>
    <row r="18639" customFormat="false" ht="12.8" hidden="false" customHeight="false" outlineLevel="0" collapsed="false">
      <c r="A18639" s="0" t="s">
        <v>12</v>
      </c>
      <c r="B18639" s="0" t="n">
        <v>5718026</v>
      </c>
      <c r="C18639" s="0" t="n">
        <v>5718046</v>
      </c>
      <c r="D18639" s="0" t="s">
        <v>61963</v>
      </c>
      <c r="E18639" s="0" t="s">
        <v>75</v>
      </c>
      <c r="F18639" s="0" t="s">
        <v>90</v>
      </c>
      <c r="G18639" s="0" t="s">
        <v>16</v>
      </c>
      <c r="H18639" s="0" t="n">
        <v>168</v>
      </c>
      <c r="I18639" s="0" t="s">
        <v>61973</v>
      </c>
      <c r="J18639" s="0" t="s">
        <v>61974</v>
      </c>
      <c r="K18639" s="0" t="s">
        <v>61975</v>
      </c>
      <c r="L18639" s="0" t="str">
        <f aca="false">HYPERLINK("https://www.ncbi.nlm.nih.gov/nuccore/CP000058.1?report=graph&amp;tracks=[key:gene_model_track,Options:GeneOnly]&amp;mk=5718163:5718182|offset_32|444444,5718142:5718161|offset_53|444444,5718118:5718137|offset_77|444444,5718027:5718046|offset_168|00cc00&amp;v=5717962:5718246&amp;c=444444", "offset 168")</f>
        <v>offset 168</v>
      </c>
    </row>
    <row r="18640" customFormat="false" ht="12.8" hidden="false" customHeight="false" outlineLevel="0" collapsed="false">
      <c r="A18640" s="0" t="s">
        <v>12</v>
      </c>
      <c r="B18640" s="0" t="n">
        <v>5719200</v>
      </c>
      <c r="C18640" s="0" t="n">
        <v>5719220</v>
      </c>
      <c r="D18640" s="0" t="s">
        <v>61976</v>
      </c>
      <c r="E18640" s="0" t="s">
        <v>75</v>
      </c>
      <c r="F18640" s="0" t="s">
        <v>90</v>
      </c>
      <c r="G18640" s="0" t="s">
        <v>36</v>
      </c>
      <c r="H18640" s="0" t="n">
        <v>18</v>
      </c>
      <c r="I18640" s="0" t="s">
        <v>61977</v>
      </c>
      <c r="J18640" s="0" t="s">
        <v>61978</v>
      </c>
      <c r="K18640" s="0" t="s">
        <v>61979</v>
      </c>
      <c r="L18640" s="0" t="str">
        <f aca="false">HYPERLINK("https://www.ncbi.nlm.nih.gov/nuccore/CP000058.1?report=graph&amp;tracks=[key:gene_model_track,Options:GeneOnly]&amp;mk=5719201:5719220|offset_18|00cc00,5719178:5719197|offset_41|444444,5719127:5719146|offset_92|444444,5719081:5719100|offset_138|444444&amp;v=5719000:5719300&amp;c=444444", "offset 18")</f>
        <v>offset 18</v>
      </c>
    </row>
    <row r="18641" customFormat="false" ht="12.8" hidden="false" customHeight="false" outlineLevel="0" collapsed="false">
      <c r="A18641" s="0" t="s">
        <v>12</v>
      </c>
      <c r="B18641" s="0" t="n">
        <v>5719177</v>
      </c>
      <c r="C18641" s="0" t="n">
        <v>5719197</v>
      </c>
      <c r="D18641" s="0" t="s">
        <v>61976</v>
      </c>
      <c r="E18641" s="0" t="s">
        <v>75</v>
      </c>
      <c r="F18641" s="0" t="s">
        <v>90</v>
      </c>
      <c r="G18641" s="0" t="s">
        <v>20</v>
      </c>
      <c r="H18641" s="0" t="n">
        <v>41</v>
      </c>
      <c r="I18641" s="0" t="s">
        <v>61980</v>
      </c>
      <c r="J18641" s="0" t="s">
        <v>61981</v>
      </c>
      <c r="K18641" s="0" t="s">
        <v>61982</v>
      </c>
      <c r="L18641" s="0" t="str">
        <f aca="false">HYPERLINK("https://www.ncbi.nlm.nih.gov/nuccore/CP000058.1?report=graph&amp;tracks=[key:gene_model_track,Options:GeneOnly]&amp;mk=5719201:5719220|offset_18|444444,5719178:5719197|offset_41|00cc00,5719127:5719146|offset_92|444444,5719081:5719100|offset_138|444444&amp;v=5719000:5719300&amp;c=444444", "offset 41")</f>
        <v>offset 41</v>
      </c>
    </row>
    <row r="18642" customFormat="false" ht="12.8" hidden="false" customHeight="false" outlineLevel="0" collapsed="false">
      <c r="A18642" s="0" t="s">
        <v>12</v>
      </c>
      <c r="B18642" s="0" t="n">
        <v>5719126</v>
      </c>
      <c r="C18642" s="0" t="n">
        <v>5719146</v>
      </c>
      <c r="D18642" s="0" t="s">
        <v>61976</v>
      </c>
      <c r="E18642" s="0" t="s">
        <v>75</v>
      </c>
      <c r="F18642" s="0" t="s">
        <v>90</v>
      </c>
      <c r="G18642" s="0" t="s">
        <v>20</v>
      </c>
      <c r="H18642" s="0" t="n">
        <v>92</v>
      </c>
      <c r="I18642" s="0" t="s">
        <v>61983</v>
      </c>
      <c r="J18642" s="0" t="s">
        <v>61984</v>
      </c>
      <c r="K18642" s="0" t="s">
        <v>61985</v>
      </c>
      <c r="L18642" s="0" t="str">
        <f aca="false">HYPERLINK("https://www.ncbi.nlm.nih.gov/nuccore/CP000058.1?report=graph&amp;tracks=[key:gene_model_track,Options:GeneOnly]&amp;mk=5719201:5719220|offset_18|444444,5719178:5719197|offset_41|444444,5719127:5719146|offset_92|00cc00,5719081:5719100|offset_138|444444&amp;v=5719000:5719300&amp;c=444444", "offset 92")</f>
        <v>offset 92</v>
      </c>
    </row>
    <row r="18643" customFormat="false" ht="12.8" hidden="false" customHeight="false" outlineLevel="0" collapsed="false">
      <c r="A18643" s="0" t="s">
        <v>12</v>
      </c>
      <c r="B18643" s="0" t="n">
        <v>5719080</v>
      </c>
      <c r="C18643" s="0" t="n">
        <v>5719100</v>
      </c>
      <c r="D18643" s="0" t="s">
        <v>61976</v>
      </c>
      <c r="E18643" s="0" t="s">
        <v>75</v>
      </c>
      <c r="F18643" s="0" t="s">
        <v>90</v>
      </c>
      <c r="G18643" s="0" t="s">
        <v>16</v>
      </c>
      <c r="H18643" s="0" t="n">
        <v>138</v>
      </c>
      <c r="I18643" s="0" t="s">
        <v>61986</v>
      </c>
      <c r="J18643" s="0" t="s">
        <v>61987</v>
      </c>
      <c r="K18643" s="0" t="s">
        <v>61988</v>
      </c>
      <c r="L18643" s="0" t="str">
        <f aca="false">HYPERLINK("https://www.ncbi.nlm.nih.gov/nuccore/CP000058.1?report=graph&amp;tracks=[key:gene_model_track,Options:GeneOnly]&amp;mk=5719201:5719220|offset_18|444444,5719178:5719197|offset_41|444444,5719127:5719146|offset_92|444444,5719081:5719100|offset_138|00cc00&amp;v=5719000:5719300&amp;c=444444", "offset 138")</f>
        <v>offset 138</v>
      </c>
    </row>
    <row r="18644" customFormat="false" ht="12.8" hidden="false" customHeight="false" outlineLevel="0" collapsed="false">
      <c r="A18644" s="0" t="s">
        <v>12</v>
      </c>
      <c r="B18644" s="0" t="n">
        <v>5720243</v>
      </c>
      <c r="C18644" s="0" t="n">
        <v>5720263</v>
      </c>
      <c r="D18644" s="0" t="s">
        <v>61989</v>
      </c>
      <c r="E18644" s="0" t="s">
        <v>75</v>
      </c>
      <c r="F18644" s="0" t="s">
        <v>90</v>
      </c>
      <c r="G18644" s="0" t="s">
        <v>36</v>
      </c>
      <c r="H18644" s="0" t="n">
        <v>42</v>
      </c>
      <c r="I18644" s="0" t="s">
        <v>61990</v>
      </c>
      <c r="J18644" s="0" t="s">
        <v>61991</v>
      </c>
      <c r="K18644" s="0" t="s">
        <v>61992</v>
      </c>
      <c r="L18644" s="0" t="str">
        <f aca="false">HYPERLINK("https://www.ncbi.nlm.nih.gov/nuccore/CP000058.1?report=graph&amp;tracks=[key:gene_model_track,Options:GeneOnly]&amp;mk=5720244:5720263|offset_42|00cc00,5720212:5720231|offset_74|444444,5720192:5720211|offset_94|444444,5720171:5720190|offset_115|444444&amp;v=5720043:5720390&amp;c=444444", "offset 42")</f>
        <v>offset 42</v>
      </c>
    </row>
    <row r="18645" customFormat="false" ht="12.8" hidden="false" customHeight="false" outlineLevel="0" collapsed="false">
      <c r="A18645" s="0" t="s">
        <v>12</v>
      </c>
      <c r="B18645" s="0" t="n">
        <v>5720211</v>
      </c>
      <c r="C18645" s="0" t="n">
        <v>5720231</v>
      </c>
      <c r="D18645" s="0" t="s">
        <v>61989</v>
      </c>
      <c r="E18645" s="0" t="s">
        <v>75</v>
      </c>
      <c r="F18645" s="0" t="s">
        <v>90</v>
      </c>
      <c r="G18645" s="0" t="s">
        <v>20</v>
      </c>
      <c r="H18645" s="0" t="n">
        <v>74</v>
      </c>
      <c r="I18645" s="0" t="s">
        <v>61993</v>
      </c>
      <c r="J18645" s="0" t="s">
        <v>61994</v>
      </c>
      <c r="K18645" s="0" t="s">
        <v>61995</v>
      </c>
      <c r="L18645" s="0" t="str">
        <f aca="false">HYPERLINK("https://www.ncbi.nlm.nih.gov/nuccore/CP000058.1?report=graph&amp;tracks=[key:gene_model_track,Options:GeneOnly]&amp;mk=5720244:5720263|offset_42|444444,5720212:5720231|offset_74|00cc00,5720192:5720211|offset_94|444444,5720171:5720190|offset_115|444444&amp;v=5720043:5720390&amp;c=444444", "offset 74")</f>
        <v>offset 74</v>
      </c>
    </row>
    <row r="18646" customFormat="false" ht="12.8" hidden="false" customHeight="false" outlineLevel="0" collapsed="false">
      <c r="A18646" s="0" t="s">
        <v>12</v>
      </c>
      <c r="B18646" s="0" t="n">
        <v>5720191</v>
      </c>
      <c r="C18646" s="0" t="n">
        <v>5720211</v>
      </c>
      <c r="D18646" s="0" t="s">
        <v>61989</v>
      </c>
      <c r="E18646" s="0" t="s">
        <v>75</v>
      </c>
      <c r="F18646" s="0" t="s">
        <v>90</v>
      </c>
      <c r="G18646" s="0" t="s">
        <v>16</v>
      </c>
      <c r="H18646" s="0" t="n">
        <v>94</v>
      </c>
      <c r="I18646" s="0" t="s">
        <v>61996</v>
      </c>
      <c r="J18646" s="0" t="s">
        <v>61997</v>
      </c>
      <c r="K18646" s="0" t="s">
        <v>61998</v>
      </c>
      <c r="L18646" s="0" t="str">
        <f aca="false">HYPERLINK("https://www.ncbi.nlm.nih.gov/nuccore/CP000058.1?report=graph&amp;tracks=[key:gene_model_track,Options:GeneOnly]&amp;mk=5720244:5720263|offset_42|444444,5720212:5720231|offset_74|444444,5720192:5720211|offset_94|00cc00,5720171:5720190|offset_115|444444&amp;v=5720043:5720390&amp;c=444444", "offset 94")</f>
        <v>offset 94</v>
      </c>
    </row>
    <row r="18647" customFormat="false" ht="12.8" hidden="false" customHeight="false" outlineLevel="0" collapsed="false">
      <c r="A18647" s="0" t="s">
        <v>12</v>
      </c>
      <c r="B18647" s="0" t="n">
        <v>5720170</v>
      </c>
      <c r="C18647" s="0" t="n">
        <v>5720190</v>
      </c>
      <c r="D18647" s="0" t="s">
        <v>61989</v>
      </c>
      <c r="E18647" s="0" t="s">
        <v>75</v>
      </c>
      <c r="F18647" s="0" t="s">
        <v>90</v>
      </c>
      <c r="G18647" s="0" t="s">
        <v>32</v>
      </c>
      <c r="H18647" s="0" t="n">
        <v>115</v>
      </c>
      <c r="I18647" s="0" t="s">
        <v>61999</v>
      </c>
      <c r="J18647" s="0" t="s">
        <v>62000</v>
      </c>
      <c r="K18647" s="0" t="s">
        <v>62001</v>
      </c>
      <c r="L18647" s="0" t="str">
        <f aca="false">HYPERLINK("https://www.ncbi.nlm.nih.gov/nuccore/CP000058.1?report=graph&amp;tracks=[key:gene_model_track,Options:GeneOnly]&amp;mk=5720244:5720263|offset_42|444444,5720212:5720231|offset_74|444444,5720192:5720211|offset_94|444444,5720171:5720190|offset_115|00cc00&amp;v=5720043:5720390&amp;c=444444", "offset 115")</f>
        <v>offset 115</v>
      </c>
    </row>
    <row r="18648" customFormat="false" ht="12.8" hidden="false" customHeight="false" outlineLevel="0" collapsed="false">
      <c r="A18648" s="0" t="s">
        <v>12</v>
      </c>
      <c r="B18648" s="0" t="n">
        <v>5722295</v>
      </c>
      <c r="C18648" s="0" t="n">
        <v>5722315</v>
      </c>
      <c r="D18648" s="0" t="s">
        <v>62002</v>
      </c>
      <c r="E18648" s="0" t="s">
        <v>75</v>
      </c>
      <c r="F18648" s="0" t="s">
        <v>90</v>
      </c>
      <c r="G18648" s="0" t="s">
        <v>36</v>
      </c>
      <c r="H18648" s="0" t="n">
        <v>7</v>
      </c>
      <c r="I18648" s="0" t="s">
        <v>62003</v>
      </c>
      <c r="J18648" s="0" t="s">
        <v>62004</v>
      </c>
      <c r="K18648" s="0" t="s">
        <v>62005</v>
      </c>
      <c r="L18648" s="0" t="str">
        <f aca="false">HYPERLINK("https://www.ncbi.nlm.nih.gov/nuccore/CP000058.1?report=graph&amp;tracks=[key:gene_model_track,Options:GeneOnly]&amp;mk=5722296:5722315|offset_7|00cc00,5722257:5722276|offset_46|444444,5722236:5722255|offset_67|444444,5722201:5722220|offset_102|444444&amp;v=5722095:5722420&amp;c=444444", "offset 7")</f>
        <v>offset 7</v>
      </c>
    </row>
    <row r="18649" customFormat="false" ht="12.8" hidden="false" customHeight="false" outlineLevel="0" collapsed="false">
      <c r="A18649" s="0" t="s">
        <v>12</v>
      </c>
      <c r="B18649" s="0" t="n">
        <v>5722256</v>
      </c>
      <c r="C18649" s="0" t="n">
        <v>5722276</v>
      </c>
      <c r="D18649" s="0" t="s">
        <v>62002</v>
      </c>
      <c r="E18649" s="0" t="s">
        <v>75</v>
      </c>
      <c r="F18649" s="0" t="s">
        <v>90</v>
      </c>
      <c r="G18649" s="0" t="s">
        <v>36</v>
      </c>
      <c r="H18649" s="0" t="n">
        <v>46</v>
      </c>
      <c r="I18649" s="0" t="s">
        <v>62006</v>
      </c>
      <c r="J18649" s="0" t="s">
        <v>62007</v>
      </c>
      <c r="K18649" s="0" t="s">
        <v>62008</v>
      </c>
      <c r="L18649" s="0" t="str">
        <f aca="false">HYPERLINK("https://www.ncbi.nlm.nih.gov/nuccore/CP000058.1?report=graph&amp;tracks=[key:gene_model_track,Options:GeneOnly]&amp;mk=5722296:5722315|offset_7|444444,5722257:5722276|offset_46|00cc00,5722236:5722255|offset_67|444444,5722201:5722220|offset_102|444444&amp;v=5722095:5722420&amp;c=444444", "offset 46")</f>
        <v>offset 46</v>
      </c>
    </row>
    <row r="18650" customFormat="false" ht="12.8" hidden="false" customHeight="false" outlineLevel="0" collapsed="false">
      <c r="A18650" s="0" t="s">
        <v>12</v>
      </c>
      <c r="B18650" s="0" t="n">
        <v>5722235</v>
      </c>
      <c r="C18650" s="0" t="n">
        <v>5722255</v>
      </c>
      <c r="D18650" s="0" t="s">
        <v>62002</v>
      </c>
      <c r="E18650" s="0" t="s">
        <v>75</v>
      </c>
      <c r="F18650" s="0" t="s">
        <v>90</v>
      </c>
      <c r="G18650" s="0" t="s">
        <v>32</v>
      </c>
      <c r="H18650" s="0" t="n">
        <v>67</v>
      </c>
      <c r="I18650" s="0" t="s">
        <v>62009</v>
      </c>
      <c r="J18650" s="0" t="s">
        <v>62010</v>
      </c>
      <c r="K18650" s="0" t="s">
        <v>62011</v>
      </c>
      <c r="L18650" s="0" t="str">
        <f aca="false">HYPERLINK("https://www.ncbi.nlm.nih.gov/nuccore/CP000058.1?report=graph&amp;tracks=[key:gene_model_track,Options:GeneOnly]&amp;mk=5722296:5722315|offset_7|444444,5722257:5722276|offset_46|444444,5722236:5722255|offset_67|00cc00,5722201:5722220|offset_102|444444&amp;v=5722095:5722420&amp;c=444444", "offset 67")</f>
        <v>offset 67</v>
      </c>
    </row>
    <row r="18651" customFormat="false" ht="12.8" hidden="false" customHeight="false" outlineLevel="0" collapsed="false">
      <c r="A18651" s="0" t="s">
        <v>12</v>
      </c>
      <c r="B18651" s="0" t="n">
        <v>5722200</v>
      </c>
      <c r="C18651" s="0" t="n">
        <v>5722220</v>
      </c>
      <c r="D18651" s="0" t="s">
        <v>62002</v>
      </c>
      <c r="E18651" s="0" t="s">
        <v>75</v>
      </c>
      <c r="F18651" s="0" t="s">
        <v>90</v>
      </c>
      <c r="G18651" s="0" t="s">
        <v>16</v>
      </c>
      <c r="H18651" s="0" t="n">
        <v>102</v>
      </c>
      <c r="I18651" s="0" t="s">
        <v>62012</v>
      </c>
      <c r="J18651" s="0" t="s">
        <v>62013</v>
      </c>
      <c r="K18651" s="0" t="s">
        <v>62014</v>
      </c>
      <c r="L18651" s="0" t="str">
        <f aca="false">HYPERLINK("https://www.ncbi.nlm.nih.gov/nuccore/CP000058.1?report=graph&amp;tracks=[key:gene_model_track,Options:GeneOnly]&amp;mk=5722296:5722315|offset_7|444444,5722257:5722276|offset_46|444444,5722236:5722255|offset_67|444444,5722201:5722220|offset_102|00cc00&amp;v=5722095:5722420&amp;c=444444", "offset 102")</f>
        <v>offset 102</v>
      </c>
    </row>
    <row r="18652" customFormat="false" ht="12.8" hidden="false" customHeight="false" outlineLevel="0" collapsed="false">
      <c r="A18652" s="0" t="s">
        <v>12</v>
      </c>
      <c r="B18652" s="0" t="n">
        <v>5725109</v>
      </c>
      <c r="C18652" s="0" t="n">
        <v>5725129</v>
      </c>
      <c r="D18652" s="0" t="s">
        <v>62015</v>
      </c>
      <c r="E18652" s="0" t="s">
        <v>75</v>
      </c>
      <c r="F18652" s="0" t="s">
        <v>90</v>
      </c>
      <c r="G18652" s="0" t="s">
        <v>36</v>
      </c>
      <c r="H18652" s="0" t="n">
        <v>11</v>
      </c>
      <c r="I18652" s="0" t="s">
        <v>62016</v>
      </c>
      <c r="J18652" s="0" t="s">
        <v>62017</v>
      </c>
      <c r="K18652" s="0" t="s">
        <v>62018</v>
      </c>
      <c r="L18652" s="0" t="str">
        <f aca="false">HYPERLINK("https://www.ncbi.nlm.nih.gov/nuccore/CP000058.1?report=graph&amp;tracks=[key:gene_model_track,Options:GeneOnly]&amp;mk=5725110:5725129|offset_11|00cc00,5725068:5725087|offset_53|444444,5725048:5725067|offset_73|444444,5725016:5725035|offset_105|444444&amp;v=5724909:5725235&amp;c=444444", "offset 11")</f>
        <v>offset 11</v>
      </c>
    </row>
    <row r="18653" customFormat="false" ht="12.8" hidden="false" customHeight="false" outlineLevel="0" collapsed="false">
      <c r="A18653" s="0" t="s">
        <v>12</v>
      </c>
      <c r="B18653" s="0" t="n">
        <v>5725067</v>
      </c>
      <c r="C18653" s="0" t="n">
        <v>5725087</v>
      </c>
      <c r="D18653" s="0" t="s">
        <v>62015</v>
      </c>
      <c r="E18653" s="0" t="s">
        <v>75</v>
      </c>
      <c r="F18653" s="0" t="s">
        <v>90</v>
      </c>
      <c r="G18653" s="0" t="s">
        <v>32</v>
      </c>
      <c r="H18653" s="0" t="n">
        <v>53</v>
      </c>
      <c r="I18653" s="0" t="s">
        <v>62019</v>
      </c>
      <c r="J18653" s="0" t="s">
        <v>62020</v>
      </c>
      <c r="K18653" s="0" t="s">
        <v>62021</v>
      </c>
      <c r="L18653" s="0" t="str">
        <f aca="false">HYPERLINK("https://www.ncbi.nlm.nih.gov/nuccore/CP000058.1?report=graph&amp;tracks=[key:gene_model_track,Options:GeneOnly]&amp;mk=5725110:5725129|offset_11|444444,5725068:5725087|offset_53|00cc00,5725048:5725067|offset_73|444444,5725016:5725035|offset_105|444444&amp;v=5724909:5725235&amp;c=444444", "offset 53")</f>
        <v>offset 53</v>
      </c>
    </row>
    <row r="18654" customFormat="false" ht="12.8" hidden="false" customHeight="false" outlineLevel="0" collapsed="false">
      <c r="A18654" s="0" t="s">
        <v>12</v>
      </c>
      <c r="B18654" s="0" t="n">
        <v>5725047</v>
      </c>
      <c r="C18654" s="0" t="n">
        <v>5725067</v>
      </c>
      <c r="D18654" s="0" t="s">
        <v>62015</v>
      </c>
      <c r="E18654" s="0" t="s">
        <v>75</v>
      </c>
      <c r="F18654" s="0" t="s">
        <v>90</v>
      </c>
      <c r="G18654" s="0" t="s">
        <v>32</v>
      </c>
      <c r="H18654" s="0" t="n">
        <v>73</v>
      </c>
      <c r="I18654" s="0" t="s">
        <v>62022</v>
      </c>
      <c r="J18654" s="0" t="s">
        <v>62023</v>
      </c>
      <c r="K18654" s="0" t="s">
        <v>62024</v>
      </c>
      <c r="L18654" s="0" t="str">
        <f aca="false">HYPERLINK("https://www.ncbi.nlm.nih.gov/nuccore/CP000058.1?report=graph&amp;tracks=[key:gene_model_track,Options:GeneOnly]&amp;mk=5725110:5725129|offset_11|444444,5725068:5725087|offset_53|444444,5725048:5725067|offset_73|00cc00,5725016:5725035|offset_105|444444&amp;v=5724909:5725235&amp;c=444444", "offset 73")</f>
        <v>offset 73</v>
      </c>
    </row>
    <row r="18655" customFormat="false" ht="12.8" hidden="false" customHeight="false" outlineLevel="0" collapsed="false">
      <c r="A18655" s="0" t="s">
        <v>12</v>
      </c>
      <c r="B18655" s="0" t="n">
        <v>5725015</v>
      </c>
      <c r="C18655" s="0" t="n">
        <v>5725035</v>
      </c>
      <c r="D18655" s="0" t="s">
        <v>62015</v>
      </c>
      <c r="E18655" s="0" t="s">
        <v>75</v>
      </c>
      <c r="F18655" s="0" t="s">
        <v>90</v>
      </c>
      <c r="G18655" s="0" t="s">
        <v>36</v>
      </c>
      <c r="H18655" s="0" t="n">
        <v>105</v>
      </c>
      <c r="I18655" s="0" t="s">
        <v>62025</v>
      </c>
      <c r="J18655" s="0" t="s">
        <v>62026</v>
      </c>
      <c r="K18655" s="0" t="s">
        <v>62027</v>
      </c>
      <c r="L18655" s="0" t="str">
        <f aca="false">HYPERLINK("https://www.ncbi.nlm.nih.gov/nuccore/CP000058.1?report=graph&amp;tracks=[key:gene_model_track,Options:GeneOnly]&amp;mk=5725110:5725129|offset_11|444444,5725068:5725087|offset_53|444444,5725048:5725067|offset_73|444444,5725016:5725035|offset_105|00cc00&amp;v=5724909:5725235&amp;c=444444", "offset 105")</f>
        <v>offset 105</v>
      </c>
    </row>
    <row r="18656" customFormat="false" ht="12.8" hidden="false" customHeight="false" outlineLevel="0" collapsed="false">
      <c r="A18656" s="0" t="s">
        <v>12</v>
      </c>
      <c r="B18656" s="0" t="n">
        <v>5725626</v>
      </c>
      <c r="C18656" s="0" t="n">
        <v>5725646</v>
      </c>
      <c r="D18656" s="0" t="s">
        <v>62028</v>
      </c>
      <c r="E18656" s="0" t="s">
        <v>75</v>
      </c>
      <c r="F18656" s="0" t="s">
        <v>90</v>
      </c>
      <c r="G18656" s="0" t="s">
        <v>32</v>
      </c>
      <c r="H18656" s="0" t="n">
        <v>13</v>
      </c>
      <c r="I18656" s="0" t="s">
        <v>62029</v>
      </c>
      <c r="J18656" s="0" t="s">
        <v>62030</v>
      </c>
      <c r="K18656" s="0" t="s">
        <v>62031</v>
      </c>
      <c r="L18656" s="0" t="str">
        <f aca="false">HYPERLINK("https://www.ncbi.nlm.nih.gov/nuccore/CP000058.1?report=graph&amp;tracks=[key:gene_model_track,Options:GeneOnly]&amp;mk=5725627:5725646|offset_13|00cc00,5725583:5725602|offset_57|444444,5725532:5725551|offset_108|444444,5725503:5725522|offset_137|444444&amp;v=5725426:5725722&amp;c=444444", "offset 13")</f>
        <v>offset 13</v>
      </c>
    </row>
    <row r="18657" customFormat="false" ht="12.8" hidden="false" customHeight="false" outlineLevel="0" collapsed="false">
      <c r="A18657" s="0" t="s">
        <v>12</v>
      </c>
      <c r="B18657" s="0" t="n">
        <v>5725582</v>
      </c>
      <c r="C18657" s="0" t="n">
        <v>5725602</v>
      </c>
      <c r="D18657" s="0" t="s">
        <v>62028</v>
      </c>
      <c r="E18657" s="0" t="s">
        <v>75</v>
      </c>
      <c r="F18657" s="0" t="s">
        <v>90</v>
      </c>
      <c r="G18657" s="0" t="s">
        <v>16</v>
      </c>
      <c r="H18657" s="0" t="n">
        <v>57</v>
      </c>
      <c r="I18657" s="0" t="s">
        <v>62032</v>
      </c>
      <c r="J18657" s="0" t="s">
        <v>62033</v>
      </c>
      <c r="K18657" s="0" t="s">
        <v>62034</v>
      </c>
      <c r="L18657" s="0" t="str">
        <f aca="false">HYPERLINK("https://www.ncbi.nlm.nih.gov/nuccore/CP000058.1?report=graph&amp;tracks=[key:gene_model_track,Options:GeneOnly]&amp;mk=5725627:5725646|offset_13|444444,5725583:5725602|offset_57|00cc00,5725532:5725551|offset_108|444444,5725503:5725522|offset_137|444444&amp;v=5725426:5725722&amp;c=444444", "offset 57")</f>
        <v>offset 57</v>
      </c>
    </row>
    <row r="18658" customFormat="false" ht="12.8" hidden="false" customHeight="false" outlineLevel="0" collapsed="false">
      <c r="A18658" s="0" t="s">
        <v>12</v>
      </c>
      <c r="B18658" s="0" t="n">
        <v>5725531</v>
      </c>
      <c r="C18658" s="0" t="n">
        <v>5725551</v>
      </c>
      <c r="D18658" s="0" t="s">
        <v>62028</v>
      </c>
      <c r="E18658" s="0" t="s">
        <v>75</v>
      </c>
      <c r="F18658" s="0" t="s">
        <v>90</v>
      </c>
      <c r="G18658" s="0" t="s">
        <v>16</v>
      </c>
      <c r="H18658" s="0" t="n">
        <v>108</v>
      </c>
      <c r="I18658" s="0" t="s">
        <v>62035</v>
      </c>
      <c r="J18658" s="0" t="s">
        <v>62036</v>
      </c>
      <c r="K18658" s="0" t="s">
        <v>62037</v>
      </c>
      <c r="L18658" s="0" t="str">
        <f aca="false">HYPERLINK("https://www.ncbi.nlm.nih.gov/nuccore/CP000058.1?report=graph&amp;tracks=[key:gene_model_track,Options:GeneOnly]&amp;mk=5725627:5725646|offset_13|444444,5725583:5725602|offset_57|444444,5725532:5725551|offset_108|00cc00,5725503:5725522|offset_137|444444&amp;v=5725426:5725722&amp;c=444444", "offset 108")</f>
        <v>offset 108</v>
      </c>
    </row>
    <row r="18659" customFormat="false" ht="12.8" hidden="false" customHeight="false" outlineLevel="0" collapsed="false">
      <c r="A18659" s="0" t="s">
        <v>12</v>
      </c>
      <c r="B18659" s="0" t="n">
        <v>5725502</v>
      </c>
      <c r="C18659" s="0" t="n">
        <v>5725522</v>
      </c>
      <c r="D18659" s="0" t="s">
        <v>62028</v>
      </c>
      <c r="E18659" s="0" t="s">
        <v>75</v>
      </c>
      <c r="F18659" s="0" t="s">
        <v>90</v>
      </c>
      <c r="G18659" s="0" t="s">
        <v>20</v>
      </c>
      <c r="H18659" s="0" t="n">
        <v>137</v>
      </c>
      <c r="I18659" s="0" t="s">
        <v>62038</v>
      </c>
      <c r="J18659" s="0" t="s">
        <v>62039</v>
      </c>
      <c r="K18659" s="0" t="s">
        <v>62040</v>
      </c>
      <c r="L18659" s="0" t="str">
        <f aca="false">HYPERLINK("https://www.ncbi.nlm.nih.gov/nuccore/CP000058.1?report=graph&amp;tracks=[key:gene_model_track,Options:GeneOnly]&amp;mk=5725627:5725646|offset_13|444444,5725583:5725602|offset_57|444444,5725532:5725551|offset_108|444444,5725503:5725522|offset_137|00cc00&amp;v=5725426:5725722&amp;c=444444", "offset 137")</f>
        <v>offset 137</v>
      </c>
    </row>
    <row r="18660" customFormat="false" ht="12.8" hidden="false" customHeight="false" outlineLevel="0" collapsed="false">
      <c r="A18660" s="0" t="s">
        <v>12</v>
      </c>
      <c r="B18660" s="0" t="n">
        <v>5726345</v>
      </c>
      <c r="C18660" s="0" t="n">
        <v>5726365</v>
      </c>
      <c r="D18660" s="0" t="s">
        <v>62041</v>
      </c>
      <c r="E18660" s="0" t="s">
        <v>75</v>
      </c>
      <c r="F18660" s="0" t="s">
        <v>90</v>
      </c>
      <c r="G18660" s="0" t="s">
        <v>32</v>
      </c>
      <c r="H18660" s="0" t="n">
        <v>1</v>
      </c>
      <c r="I18660" s="0" t="s">
        <v>62042</v>
      </c>
      <c r="J18660" s="0" t="s">
        <v>62043</v>
      </c>
      <c r="K18660" s="0" t="s">
        <v>62044</v>
      </c>
      <c r="L18660" s="0" t="str">
        <f aca="false">HYPERLINK("https://www.ncbi.nlm.nih.gov/nuccore/CP000058.1?report=graph&amp;tracks=[key:gene_model_track,Options:GeneOnly]&amp;mk=5726346:5726365|offset_1|00cc00,5726325:5726344|offset_22|444444,5726283:5726302|offset_64|444444,5726237:5726256|offset_110|444444&amp;v=5726145:5726456&amp;c=444444", "offset 1")</f>
        <v>offset 1</v>
      </c>
    </row>
    <row r="18661" customFormat="false" ht="12.8" hidden="false" customHeight="false" outlineLevel="0" collapsed="false">
      <c r="A18661" s="0" t="s">
        <v>12</v>
      </c>
      <c r="B18661" s="0" t="n">
        <v>5726324</v>
      </c>
      <c r="C18661" s="0" t="n">
        <v>5726344</v>
      </c>
      <c r="D18661" s="0" t="s">
        <v>62041</v>
      </c>
      <c r="E18661" s="0" t="s">
        <v>75</v>
      </c>
      <c r="F18661" s="0" t="s">
        <v>90</v>
      </c>
      <c r="G18661" s="0" t="s">
        <v>32</v>
      </c>
      <c r="H18661" s="0" t="n">
        <v>22</v>
      </c>
      <c r="I18661" s="0" t="s">
        <v>62045</v>
      </c>
      <c r="J18661" s="0" t="s">
        <v>62046</v>
      </c>
      <c r="K18661" s="0" t="s">
        <v>62047</v>
      </c>
      <c r="L18661" s="0" t="str">
        <f aca="false">HYPERLINK("https://www.ncbi.nlm.nih.gov/nuccore/CP000058.1?report=graph&amp;tracks=[key:gene_model_track,Options:GeneOnly]&amp;mk=5726346:5726365|offset_1|444444,5726325:5726344|offset_22|00cc00,5726283:5726302|offset_64|444444,5726237:5726256|offset_110|444444&amp;v=5726145:5726456&amp;c=444444", "offset 22")</f>
        <v>offset 22</v>
      </c>
    </row>
    <row r="18662" customFormat="false" ht="12.8" hidden="false" customHeight="false" outlineLevel="0" collapsed="false">
      <c r="A18662" s="0" t="s">
        <v>12</v>
      </c>
      <c r="B18662" s="0" t="n">
        <v>5726282</v>
      </c>
      <c r="C18662" s="0" t="n">
        <v>5726302</v>
      </c>
      <c r="D18662" s="0" t="s">
        <v>62041</v>
      </c>
      <c r="E18662" s="0" t="s">
        <v>75</v>
      </c>
      <c r="F18662" s="0" t="s">
        <v>90</v>
      </c>
      <c r="G18662" s="0" t="s">
        <v>16</v>
      </c>
      <c r="H18662" s="0" t="n">
        <v>64</v>
      </c>
      <c r="I18662" s="0" t="s">
        <v>62048</v>
      </c>
      <c r="J18662" s="0" t="s">
        <v>62049</v>
      </c>
      <c r="K18662" s="0" t="s">
        <v>62050</v>
      </c>
      <c r="L18662" s="0" t="str">
        <f aca="false">HYPERLINK("https://www.ncbi.nlm.nih.gov/nuccore/CP000058.1?report=graph&amp;tracks=[key:gene_model_track,Options:GeneOnly]&amp;mk=5726346:5726365|offset_1|444444,5726325:5726344|offset_22|444444,5726283:5726302|offset_64|00cc00,5726237:5726256|offset_110|444444&amp;v=5726145:5726456&amp;c=444444", "offset 64")</f>
        <v>offset 64</v>
      </c>
    </row>
    <row r="18663" customFormat="false" ht="12.8" hidden="false" customHeight="false" outlineLevel="0" collapsed="false">
      <c r="A18663" s="0" t="s">
        <v>12</v>
      </c>
      <c r="B18663" s="0" t="n">
        <v>5726236</v>
      </c>
      <c r="C18663" s="0" t="n">
        <v>5726256</v>
      </c>
      <c r="D18663" s="0" t="s">
        <v>62041</v>
      </c>
      <c r="E18663" s="0" t="s">
        <v>75</v>
      </c>
      <c r="F18663" s="0" t="s">
        <v>90</v>
      </c>
      <c r="G18663" s="0" t="s">
        <v>16</v>
      </c>
      <c r="H18663" s="0" t="n">
        <v>110</v>
      </c>
      <c r="I18663" s="0" t="s">
        <v>62051</v>
      </c>
      <c r="J18663" s="0" t="s">
        <v>62052</v>
      </c>
      <c r="K18663" s="0" t="s">
        <v>62053</v>
      </c>
      <c r="L18663" s="0" t="str">
        <f aca="false">HYPERLINK("https://www.ncbi.nlm.nih.gov/nuccore/CP000058.1?report=graph&amp;tracks=[key:gene_model_track,Options:GeneOnly]&amp;mk=5726346:5726365|offset_1|444444,5726325:5726344|offset_22|444444,5726283:5726302|offset_64|444444,5726237:5726256|offset_110|00cc00&amp;v=5726145:5726456&amp;c=444444", "offset 110")</f>
        <v>offset 110</v>
      </c>
    </row>
    <row r="18664" customFormat="false" ht="12.8" hidden="false" customHeight="false" outlineLevel="0" collapsed="false">
      <c r="A18664" s="0" t="s">
        <v>12</v>
      </c>
      <c r="B18664" s="0" t="n">
        <v>5727179</v>
      </c>
      <c r="C18664" s="0" t="n">
        <v>5727199</v>
      </c>
      <c r="D18664" s="0" t="s">
        <v>62054</v>
      </c>
      <c r="E18664" s="0" t="s">
        <v>62055</v>
      </c>
      <c r="F18664" s="0" t="s">
        <v>90</v>
      </c>
      <c r="G18664" s="0" t="s">
        <v>36</v>
      </c>
      <c r="H18664" s="0" t="n">
        <v>33</v>
      </c>
      <c r="I18664" s="0" t="s">
        <v>62056</v>
      </c>
      <c r="J18664" s="0" t="s">
        <v>62057</v>
      </c>
      <c r="K18664" s="0" t="s">
        <v>62058</v>
      </c>
      <c r="L18664" s="0" t="str">
        <f aca="false">HYPERLINK("https://www.ncbi.nlm.nih.gov/nuccore/CP000058.1?report=graph&amp;tracks=[key:gene_model_track,Options:GeneOnly]&amp;mk=5727180:5727199|offset_33|00cc00,5727135:5727154|offset_78|444444,5727111:5727130|offset_102|444444,5727055:5727074|offset_158|444444&amp;v=5726979:5727274&amp;c=444444", "offset 33")</f>
        <v>offset 33</v>
      </c>
    </row>
    <row r="18665" customFormat="false" ht="12.8" hidden="false" customHeight="false" outlineLevel="0" collapsed="false">
      <c r="A18665" s="0" t="s">
        <v>12</v>
      </c>
      <c r="B18665" s="0" t="n">
        <v>5727134</v>
      </c>
      <c r="C18665" s="0" t="n">
        <v>5727154</v>
      </c>
      <c r="D18665" s="0" t="s">
        <v>62054</v>
      </c>
      <c r="E18665" s="0" t="s">
        <v>62055</v>
      </c>
      <c r="F18665" s="0" t="s">
        <v>90</v>
      </c>
      <c r="G18665" s="0" t="s">
        <v>20</v>
      </c>
      <c r="H18665" s="0" t="n">
        <v>78</v>
      </c>
      <c r="I18665" s="0" t="s">
        <v>62059</v>
      </c>
      <c r="J18665" s="0" t="s">
        <v>62060</v>
      </c>
      <c r="K18665" s="0" t="s">
        <v>62061</v>
      </c>
      <c r="L18665" s="0" t="str">
        <f aca="false">HYPERLINK("https://www.ncbi.nlm.nih.gov/nuccore/CP000058.1?report=graph&amp;tracks=[key:gene_model_track,Options:GeneOnly]&amp;mk=5727180:5727199|offset_33|444444,5727135:5727154|offset_78|00cc00,5727111:5727130|offset_102|444444,5727055:5727074|offset_158|444444&amp;v=5726979:5727274&amp;c=444444", "offset 78")</f>
        <v>offset 78</v>
      </c>
    </row>
    <row r="18666" customFormat="false" ht="12.8" hidden="false" customHeight="false" outlineLevel="0" collapsed="false">
      <c r="A18666" s="0" t="s">
        <v>12</v>
      </c>
      <c r="B18666" s="0" t="n">
        <v>5727110</v>
      </c>
      <c r="C18666" s="0" t="n">
        <v>5727130</v>
      </c>
      <c r="D18666" s="0" t="s">
        <v>62054</v>
      </c>
      <c r="E18666" s="0" t="s">
        <v>62055</v>
      </c>
      <c r="F18666" s="0" t="s">
        <v>90</v>
      </c>
      <c r="G18666" s="0" t="s">
        <v>16</v>
      </c>
      <c r="H18666" s="0" t="n">
        <v>102</v>
      </c>
      <c r="I18666" s="0" t="s">
        <v>62062</v>
      </c>
      <c r="J18666" s="0" t="s">
        <v>62063</v>
      </c>
      <c r="K18666" s="0" t="s">
        <v>62064</v>
      </c>
      <c r="L18666" s="0" t="str">
        <f aca="false">HYPERLINK("https://www.ncbi.nlm.nih.gov/nuccore/CP000058.1?report=graph&amp;tracks=[key:gene_model_track,Options:GeneOnly]&amp;mk=5727180:5727199|offset_33|444444,5727135:5727154|offset_78|444444,5727111:5727130|offset_102|00cc00,5727055:5727074|offset_158|444444&amp;v=5726979:5727274&amp;c=444444", "offset 102")</f>
        <v>offset 102</v>
      </c>
    </row>
    <row r="18667" customFormat="false" ht="12.8" hidden="false" customHeight="false" outlineLevel="0" collapsed="false">
      <c r="A18667" s="0" t="s">
        <v>12</v>
      </c>
      <c r="B18667" s="0" t="n">
        <v>5727054</v>
      </c>
      <c r="C18667" s="0" t="n">
        <v>5727074</v>
      </c>
      <c r="D18667" s="0" t="s">
        <v>62054</v>
      </c>
      <c r="E18667" s="0" t="s">
        <v>62055</v>
      </c>
      <c r="F18667" s="0" t="s">
        <v>90</v>
      </c>
      <c r="G18667" s="0" t="s">
        <v>32</v>
      </c>
      <c r="H18667" s="0" t="n">
        <v>158</v>
      </c>
      <c r="I18667" s="0" t="s">
        <v>62065</v>
      </c>
      <c r="J18667" s="0" t="s">
        <v>62066</v>
      </c>
      <c r="K18667" s="0" t="s">
        <v>62067</v>
      </c>
      <c r="L18667" s="0" t="str">
        <f aca="false">HYPERLINK("https://www.ncbi.nlm.nih.gov/nuccore/CP000058.1?report=graph&amp;tracks=[key:gene_model_track,Options:GeneOnly]&amp;mk=5727180:5727199|offset_33|444444,5727135:5727154|offset_78|444444,5727111:5727130|offset_102|444444,5727055:5727074|offset_158|00cc00&amp;v=5726979:5727274&amp;c=444444", "offset 158")</f>
        <v>offset 158</v>
      </c>
    </row>
    <row r="18668" customFormat="false" ht="12.8" hidden="false" customHeight="false" outlineLevel="0" collapsed="false">
      <c r="A18668" s="0" t="s">
        <v>12</v>
      </c>
      <c r="B18668" s="0" t="n">
        <v>5729544</v>
      </c>
      <c r="C18668" s="0" t="n">
        <v>5729564</v>
      </c>
      <c r="D18668" s="0" t="s">
        <v>62068</v>
      </c>
      <c r="E18668" s="0" t="s">
        <v>75</v>
      </c>
      <c r="F18668" s="0" t="s">
        <v>90</v>
      </c>
      <c r="G18668" s="0" t="s">
        <v>36</v>
      </c>
      <c r="H18668" s="0" t="n">
        <v>0</v>
      </c>
      <c r="I18668" s="0" t="s">
        <v>62069</v>
      </c>
      <c r="J18668" s="0" t="s">
        <v>62070</v>
      </c>
      <c r="K18668" s="0" t="s">
        <v>62071</v>
      </c>
      <c r="L18668" s="0" t="str">
        <f aca="false">HYPERLINK("https://www.ncbi.nlm.nih.gov/nuccore/CP000058.1?report=graph&amp;tracks=[key:gene_model_track,Options:GeneOnly]&amp;mk=5729545:5729564|offset_0|00cc00,5729511:5729530|offset_34|444444,5729475:5729494|offset_70|444444,5729434:5729453|offset_111|444444&amp;v=5729344:5729653&amp;c=444444", "offset 0")</f>
        <v>offset 0</v>
      </c>
    </row>
    <row r="18669" customFormat="false" ht="12.8" hidden="false" customHeight="false" outlineLevel="0" collapsed="false">
      <c r="A18669" s="0" t="s">
        <v>12</v>
      </c>
      <c r="B18669" s="0" t="n">
        <v>5729510</v>
      </c>
      <c r="C18669" s="0" t="n">
        <v>5729530</v>
      </c>
      <c r="D18669" s="0" t="s">
        <v>62068</v>
      </c>
      <c r="E18669" s="0" t="s">
        <v>75</v>
      </c>
      <c r="F18669" s="0" t="s">
        <v>90</v>
      </c>
      <c r="G18669" s="0" t="s">
        <v>16</v>
      </c>
      <c r="H18669" s="0" t="n">
        <v>34</v>
      </c>
      <c r="I18669" s="0" t="s">
        <v>62072</v>
      </c>
      <c r="J18669" s="0" t="s">
        <v>62073</v>
      </c>
      <c r="K18669" s="0" t="s">
        <v>62074</v>
      </c>
      <c r="L18669" s="0" t="str">
        <f aca="false">HYPERLINK("https://www.ncbi.nlm.nih.gov/nuccore/CP000058.1?report=graph&amp;tracks=[key:gene_model_track,Options:GeneOnly]&amp;mk=5729545:5729564|offset_0|444444,5729511:5729530|offset_34|00cc00,5729475:5729494|offset_70|444444,5729434:5729453|offset_111|444444&amp;v=5729344:5729653&amp;c=444444", "offset 34")</f>
        <v>offset 34</v>
      </c>
    </row>
    <row r="18670" customFormat="false" ht="12.8" hidden="false" customHeight="false" outlineLevel="0" collapsed="false">
      <c r="A18670" s="0" t="s">
        <v>12</v>
      </c>
      <c r="B18670" s="0" t="n">
        <v>5729474</v>
      </c>
      <c r="C18670" s="0" t="n">
        <v>5729494</v>
      </c>
      <c r="D18670" s="0" t="s">
        <v>62068</v>
      </c>
      <c r="E18670" s="0" t="s">
        <v>75</v>
      </c>
      <c r="F18670" s="0" t="s">
        <v>90</v>
      </c>
      <c r="G18670" s="0" t="s">
        <v>32</v>
      </c>
      <c r="H18670" s="0" t="n">
        <v>70</v>
      </c>
      <c r="I18670" s="0" t="s">
        <v>62075</v>
      </c>
      <c r="J18670" s="0" t="s">
        <v>62076</v>
      </c>
      <c r="K18670" s="0" t="s">
        <v>62077</v>
      </c>
      <c r="L18670" s="0" t="str">
        <f aca="false">HYPERLINK("https://www.ncbi.nlm.nih.gov/nuccore/CP000058.1?report=graph&amp;tracks=[key:gene_model_track,Options:GeneOnly]&amp;mk=5729545:5729564|offset_0|444444,5729511:5729530|offset_34|444444,5729475:5729494|offset_70|00cc00,5729434:5729453|offset_111|444444&amp;v=5729344:5729653&amp;c=444444", "offset 70")</f>
        <v>offset 70</v>
      </c>
    </row>
    <row r="18671" customFormat="false" ht="12.8" hidden="false" customHeight="false" outlineLevel="0" collapsed="false">
      <c r="A18671" s="0" t="s">
        <v>12</v>
      </c>
      <c r="B18671" s="0" t="n">
        <v>5729433</v>
      </c>
      <c r="C18671" s="0" t="n">
        <v>5729453</v>
      </c>
      <c r="D18671" s="0" t="s">
        <v>62068</v>
      </c>
      <c r="E18671" s="0" t="s">
        <v>75</v>
      </c>
      <c r="F18671" s="0" t="s">
        <v>90</v>
      </c>
      <c r="G18671" s="0" t="s">
        <v>16</v>
      </c>
      <c r="H18671" s="0" t="n">
        <v>111</v>
      </c>
      <c r="I18671" s="0" t="s">
        <v>62078</v>
      </c>
      <c r="J18671" s="0" t="s">
        <v>62079</v>
      </c>
      <c r="K18671" s="0" t="s">
        <v>62080</v>
      </c>
      <c r="L18671" s="0" t="str">
        <f aca="false">HYPERLINK("https://www.ncbi.nlm.nih.gov/nuccore/CP000058.1?report=graph&amp;tracks=[key:gene_model_track,Options:GeneOnly]&amp;mk=5729545:5729564|offset_0|444444,5729511:5729530|offset_34|444444,5729475:5729494|offset_70|444444,5729434:5729453|offset_111|00cc00&amp;v=5729344:5729653&amp;c=444444", "offset 111")</f>
        <v>offset 111</v>
      </c>
    </row>
    <row r="18672" customFormat="false" ht="12.8" hidden="false" customHeight="false" outlineLevel="0" collapsed="false">
      <c r="A18672" s="0" t="s">
        <v>12</v>
      </c>
      <c r="B18672" s="0" t="n">
        <v>5729933</v>
      </c>
      <c r="C18672" s="0" t="n">
        <v>5729953</v>
      </c>
      <c r="D18672" s="0" t="s">
        <v>62081</v>
      </c>
      <c r="E18672" s="0" t="s">
        <v>75</v>
      </c>
      <c r="F18672" s="0" t="s">
        <v>15</v>
      </c>
      <c r="G18672" s="0" t="s">
        <v>16</v>
      </c>
      <c r="H18672" s="0" t="n">
        <v>17</v>
      </c>
      <c r="I18672" s="0" t="s">
        <v>62082</v>
      </c>
      <c r="J18672" s="0" t="s">
        <v>62083</v>
      </c>
      <c r="K18672" s="0" t="s">
        <v>62084</v>
      </c>
      <c r="L18672" s="0" t="str">
        <f aca="false">HYPERLINK("https://www.ncbi.nlm.nih.gov/nuccore/CP000058.1?report=graph&amp;tracks=[key:gene_model_track,Options:GeneOnly]&amp;mk=5729934:5729953|offset_17|00cc00,5729960:5729979|offset_43|444444,5729990:5730009|offset_73|444444,5730014:5730033|offset_97|444444&amp;v=5729733:5730233&amp;c=444444", "offset 17")</f>
        <v>offset 17</v>
      </c>
    </row>
    <row r="18673" customFormat="false" ht="12.8" hidden="false" customHeight="false" outlineLevel="0" collapsed="false">
      <c r="A18673" s="0" t="s">
        <v>12</v>
      </c>
      <c r="B18673" s="0" t="n">
        <v>5729959</v>
      </c>
      <c r="C18673" s="0" t="n">
        <v>5729979</v>
      </c>
      <c r="D18673" s="0" t="s">
        <v>62081</v>
      </c>
      <c r="E18673" s="0" t="s">
        <v>75</v>
      </c>
      <c r="F18673" s="0" t="s">
        <v>15</v>
      </c>
      <c r="G18673" s="0" t="s">
        <v>16</v>
      </c>
      <c r="H18673" s="0" t="n">
        <v>43</v>
      </c>
      <c r="I18673" s="0" t="s">
        <v>62085</v>
      </c>
      <c r="J18673" s="0" t="s">
        <v>62086</v>
      </c>
      <c r="K18673" s="0" t="s">
        <v>62087</v>
      </c>
      <c r="L18673" s="0" t="str">
        <f aca="false">HYPERLINK("https://www.ncbi.nlm.nih.gov/nuccore/CP000058.1?report=graph&amp;tracks=[key:gene_model_track,Options:GeneOnly]&amp;mk=5729934:5729953|offset_17|444444,5729960:5729979|offset_43|00cc00,5729990:5730009|offset_73|444444,5730014:5730033|offset_97|444444&amp;v=5729733:5730233&amp;c=444444", "offset 43")</f>
        <v>offset 43</v>
      </c>
    </row>
    <row r="18674" customFormat="false" ht="12.8" hidden="false" customHeight="false" outlineLevel="0" collapsed="false">
      <c r="A18674" s="0" t="s">
        <v>12</v>
      </c>
      <c r="B18674" s="0" t="n">
        <v>5729989</v>
      </c>
      <c r="C18674" s="0" t="n">
        <v>5730009</v>
      </c>
      <c r="D18674" s="0" t="s">
        <v>62081</v>
      </c>
      <c r="E18674" s="0" t="s">
        <v>75</v>
      </c>
      <c r="F18674" s="0" t="s">
        <v>15</v>
      </c>
      <c r="G18674" s="0" t="s">
        <v>16</v>
      </c>
      <c r="H18674" s="0" t="n">
        <v>73</v>
      </c>
      <c r="I18674" s="0" t="s">
        <v>62088</v>
      </c>
      <c r="J18674" s="0" t="s">
        <v>62089</v>
      </c>
      <c r="K18674" s="0" t="s">
        <v>62090</v>
      </c>
      <c r="L18674" s="0" t="str">
        <f aca="false">HYPERLINK("https://www.ncbi.nlm.nih.gov/nuccore/CP000058.1?report=graph&amp;tracks=[key:gene_model_track,Options:GeneOnly]&amp;mk=5729934:5729953|offset_17|444444,5729960:5729979|offset_43|444444,5729990:5730009|offset_73|00cc00,5730014:5730033|offset_97|444444&amp;v=5729733:5730233&amp;c=444444", "offset 73")</f>
        <v>offset 73</v>
      </c>
    </row>
    <row r="18675" customFormat="false" ht="12.8" hidden="false" customHeight="false" outlineLevel="0" collapsed="false">
      <c r="A18675" s="0" t="s">
        <v>12</v>
      </c>
      <c r="B18675" s="0" t="n">
        <v>5730013</v>
      </c>
      <c r="C18675" s="0" t="n">
        <v>5730033</v>
      </c>
      <c r="D18675" s="0" t="s">
        <v>62081</v>
      </c>
      <c r="E18675" s="0" t="s">
        <v>75</v>
      </c>
      <c r="F18675" s="0" t="s">
        <v>15</v>
      </c>
      <c r="G18675" s="0" t="s">
        <v>16</v>
      </c>
      <c r="H18675" s="0" t="n">
        <v>97</v>
      </c>
      <c r="I18675" s="0" t="s">
        <v>62091</v>
      </c>
      <c r="J18675" s="0" t="s">
        <v>62092</v>
      </c>
      <c r="K18675" s="0" t="s">
        <v>62093</v>
      </c>
      <c r="L18675" s="0" t="str">
        <f aca="false">HYPERLINK("https://www.ncbi.nlm.nih.gov/nuccore/CP000058.1?report=graph&amp;tracks=[key:gene_model_track,Options:GeneOnly]&amp;mk=5729934:5729953|offset_17|444444,5729960:5729979|offset_43|444444,5729990:5730009|offset_73|444444,5730014:5730033|offset_97|00cc00&amp;v=5729733:5730233&amp;c=444444", "offset 97")</f>
        <v>offset 97</v>
      </c>
    </row>
    <row r="18676" customFormat="false" ht="12.8" hidden="false" customHeight="false" outlineLevel="0" collapsed="false">
      <c r="A18676" s="0" t="s">
        <v>12</v>
      </c>
      <c r="B18676" s="0" t="n">
        <v>5730480</v>
      </c>
      <c r="C18676" s="0" t="n">
        <v>5730500</v>
      </c>
      <c r="D18676" s="0" t="s">
        <v>62094</v>
      </c>
      <c r="E18676" s="0" t="s">
        <v>75</v>
      </c>
      <c r="F18676" s="0" t="s">
        <v>15</v>
      </c>
      <c r="G18676" s="0" t="s">
        <v>16</v>
      </c>
      <c r="H18676" s="0" t="n">
        <v>10</v>
      </c>
      <c r="I18676" s="0" t="s">
        <v>62095</v>
      </c>
      <c r="J18676" s="0" t="s">
        <v>62096</v>
      </c>
      <c r="K18676" s="0" t="s">
        <v>62097</v>
      </c>
      <c r="L18676" s="0" t="str">
        <f aca="false">HYPERLINK("https://www.ncbi.nlm.nih.gov/nuccore/CP000058.1?report=graph&amp;tracks=[key:gene_model_track,Options:GeneOnly]&amp;mk=5730481:5730500|offset_10|00cc00,5730507:5730526|offset_36|444444,5730527:5730546|offset_56|444444,5730548:5730567|offset_77|444444&amp;v=5730280:5730767&amp;c=444444", "offset 10")</f>
        <v>offset 10</v>
      </c>
    </row>
    <row r="18677" customFormat="false" ht="12.8" hidden="false" customHeight="false" outlineLevel="0" collapsed="false">
      <c r="A18677" s="0" t="s">
        <v>12</v>
      </c>
      <c r="B18677" s="0" t="n">
        <v>5730506</v>
      </c>
      <c r="C18677" s="0" t="n">
        <v>5730526</v>
      </c>
      <c r="D18677" s="0" t="s">
        <v>62094</v>
      </c>
      <c r="E18677" s="0" t="s">
        <v>75</v>
      </c>
      <c r="F18677" s="0" t="s">
        <v>15</v>
      </c>
      <c r="G18677" s="0" t="s">
        <v>36</v>
      </c>
      <c r="H18677" s="0" t="n">
        <v>36</v>
      </c>
      <c r="I18677" s="0" t="s">
        <v>62098</v>
      </c>
      <c r="J18677" s="0" t="s">
        <v>62099</v>
      </c>
      <c r="K18677" s="0" t="s">
        <v>62100</v>
      </c>
      <c r="L18677" s="0" t="str">
        <f aca="false">HYPERLINK("https://www.ncbi.nlm.nih.gov/nuccore/CP000058.1?report=graph&amp;tracks=[key:gene_model_track,Options:GeneOnly]&amp;mk=5730481:5730500|offset_10|444444,5730507:5730526|offset_36|00cc00,5730527:5730546|offset_56|444444,5730548:5730567|offset_77|444444&amp;v=5730280:5730767&amp;c=444444", "offset 36")</f>
        <v>offset 36</v>
      </c>
    </row>
    <row r="18678" customFormat="false" ht="12.8" hidden="false" customHeight="false" outlineLevel="0" collapsed="false">
      <c r="A18678" s="0" t="s">
        <v>12</v>
      </c>
      <c r="B18678" s="0" t="n">
        <v>5730526</v>
      </c>
      <c r="C18678" s="0" t="n">
        <v>5730546</v>
      </c>
      <c r="D18678" s="0" t="s">
        <v>62094</v>
      </c>
      <c r="E18678" s="0" t="s">
        <v>75</v>
      </c>
      <c r="F18678" s="0" t="s">
        <v>15</v>
      </c>
      <c r="G18678" s="0" t="s">
        <v>36</v>
      </c>
      <c r="H18678" s="0" t="n">
        <v>56</v>
      </c>
      <c r="I18678" s="0" t="s">
        <v>62101</v>
      </c>
      <c r="J18678" s="0" t="s">
        <v>62102</v>
      </c>
      <c r="K18678" s="0" t="s">
        <v>62103</v>
      </c>
      <c r="L18678" s="0" t="str">
        <f aca="false">HYPERLINK("https://www.ncbi.nlm.nih.gov/nuccore/CP000058.1?report=graph&amp;tracks=[key:gene_model_track,Options:GeneOnly]&amp;mk=5730481:5730500|offset_10|444444,5730507:5730526|offset_36|444444,5730527:5730546|offset_56|00cc00,5730548:5730567|offset_77|444444&amp;v=5730280:5730767&amp;c=444444", "offset 56")</f>
        <v>offset 56</v>
      </c>
    </row>
    <row r="18679" customFormat="false" ht="12.8" hidden="false" customHeight="false" outlineLevel="0" collapsed="false">
      <c r="A18679" s="0" t="s">
        <v>12</v>
      </c>
      <c r="B18679" s="0" t="n">
        <v>5730547</v>
      </c>
      <c r="C18679" s="0" t="n">
        <v>5730567</v>
      </c>
      <c r="D18679" s="0" t="s">
        <v>62094</v>
      </c>
      <c r="E18679" s="0" t="s">
        <v>75</v>
      </c>
      <c r="F18679" s="0" t="s">
        <v>15</v>
      </c>
      <c r="G18679" s="0" t="s">
        <v>16</v>
      </c>
      <c r="H18679" s="0" t="n">
        <v>77</v>
      </c>
      <c r="I18679" s="0" t="s">
        <v>62104</v>
      </c>
      <c r="J18679" s="0" t="s">
        <v>62105</v>
      </c>
      <c r="K18679" s="0" t="s">
        <v>62106</v>
      </c>
      <c r="L18679" s="0" t="str">
        <f aca="false">HYPERLINK("https://www.ncbi.nlm.nih.gov/nuccore/CP000058.1?report=graph&amp;tracks=[key:gene_model_track,Options:GeneOnly]&amp;mk=5730481:5730500|offset_10|444444,5730507:5730526|offset_36|444444,5730527:5730546|offset_56|444444,5730548:5730567|offset_77|00cc00&amp;v=5730280:5730767&amp;c=444444", "offset 77")</f>
        <v>offset 77</v>
      </c>
    </row>
    <row r="18680" customFormat="false" ht="12.8" hidden="false" customHeight="false" outlineLevel="0" collapsed="false">
      <c r="A18680" s="0" t="s">
        <v>12</v>
      </c>
      <c r="B18680" s="0" t="n">
        <v>5731171</v>
      </c>
      <c r="C18680" s="0" t="n">
        <v>5731191</v>
      </c>
      <c r="D18680" s="0" t="s">
        <v>62107</v>
      </c>
      <c r="E18680" s="0" t="s">
        <v>75</v>
      </c>
      <c r="F18680" s="0" t="s">
        <v>90</v>
      </c>
      <c r="G18680" s="0" t="s">
        <v>32</v>
      </c>
      <c r="H18680" s="0" t="n">
        <v>10</v>
      </c>
      <c r="I18680" s="0" t="s">
        <v>62108</v>
      </c>
      <c r="J18680" s="0" t="s">
        <v>62109</v>
      </c>
      <c r="K18680" s="0" t="s">
        <v>62110</v>
      </c>
      <c r="L18680" s="0" t="str">
        <f aca="false">HYPERLINK("https://www.ncbi.nlm.nih.gov/nuccore/CP000058.1?report=graph&amp;tracks=[key:gene_model_track,Options:GeneOnly]&amp;mk=5731172:5731191|offset_10|00cc00,5731122:5731141|offset_60|444444,5731090:5731109|offset_92|444444,5731062:5731081|offset_120|444444&amp;v=5730971:5731281&amp;c=444444", "offset 10")</f>
        <v>offset 10</v>
      </c>
    </row>
    <row r="18681" customFormat="false" ht="12.8" hidden="false" customHeight="false" outlineLevel="0" collapsed="false">
      <c r="A18681" s="0" t="s">
        <v>12</v>
      </c>
      <c r="B18681" s="0" t="n">
        <v>5731121</v>
      </c>
      <c r="C18681" s="0" t="n">
        <v>5731141</v>
      </c>
      <c r="D18681" s="0" t="s">
        <v>62107</v>
      </c>
      <c r="E18681" s="0" t="s">
        <v>75</v>
      </c>
      <c r="F18681" s="0" t="s">
        <v>90</v>
      </c>
      <c r="G18681" s="0" t="s">
        <v>16</v>
      </c>
      <c r="H18681" s="0" t="n">
        <v>60</v>
      </c>
      <c r="I18681" s="0" t="s">
        <v>62111</v>
      </c>
      <c r="J18681" s="0" t="s">
        <v>62112</v>
      </c>
      <c r="K18681" s="0" t="s">
        <v>62113</v>
      </c>
      <c r="L18681" s="0" t="str">
        <f aca="false">HYPERLINK("https://www.ncbi.nlm.nih.gov/nuccore/CP000058.1?report=graph&amp;tracks=[key:gene_model_track,Options:GeneOnly]&amp;mk=5731172:5731191|offset_10|444444,5731122:5731141|offset_60|00cc00,5731090:5731109|offset_92|444444,5731062:5731081|offset_120|444444&amp;v=5730971:5731281&amp;c=444444", "offset 60")</f>
        <v>offset 60</v>
      </c>
    </row>
    <row r="18682" customFormat="false" ht="12.8" hidden="false" customHeight="false" outlineLevel="0" collapsed="false">
      <c r="A18682" s="0" t="s">
        <v>12</v>
      </c>
      <c r="B18682" s="0" t="n">
        <v>5731089</v>
      </c>
      <c r="C18682" s="0" t="n">
        <v>5731109</v>
      </c>
      <c r="D18682" s="0" t="s">
        <v>62107</v>
      </c>
      <c r="E18682" s="0" t="s">
        <v>75</v>
      </c>
      <c r="F18682" s="0" t="s">
        <v>90</v>
      </c>
      <c r="G18682" s="0" t="s">
        <v>32</v>
      </c>
      <c r="H18682" s="0" t="n">
        <v>92</v>
      </c>
      <c r="I18682" s="0" t="s">
        <v>62114</v>
      </c>
      <c r="J18682" s="0" t="s">
        <v>62115</v>
      </c>
      <c r="K18682" s="0" t="s">
        <v>62116</v>
      </c>
      <c r="L18682" s="0" t="str">
        <f aca="false">HYPERLINK("https://www.ncbi.nlm.nih.gov/nuccore/CP000058.1?report=graph&amp;tracks=[key:gene_model_track,Options:GeneOnly]&amp;mk=5731172:5731191|offset_10|444444,5731122:5731141|offset_60|444444,5731090:5731109|offset_92|00cc00,5731062:5731081|offset_120|444444&amp;v=5730971:5731281&amp;c=444444", "offset 92")</f>
        <v>offset 92</v>
      </c>
    </row>
    <row r="18683" customFormat="false" ht="12.8" hidden="false" customHeight="false" outlineLevel="0" collapsed="false">
      <c r="A18683" s="0" t="s">
        <v>12</v>
      </c>
      <c r="B18683" s="0" t="n">
        <v>5731061</v>
      </c>
      <c r="C18683" s="0" t="n">
        <v>5731081</v>
      </c>
      <c r="D18683" s="0" t="s">
        <v>62107</v>
      </c>
      <c r="E18683" s="0" t="s">
        <v>75</v>
      </c>
      <c r="F18683" s="0" t="s">
        <v>90</v>
      </c>
      <c r="G18683" s="0" t="s">
        <v>20</v>
      </c>
      <c r="H18683" s="0" t="n">
        <v>120</v>
      </c>
      <c r="I18683" s="0" t="s">
        <v>62117</v>
      </c>
      <c r="J18683" s="0" t="s">
        <v>62118</v>
      </c>
      <c r="K18683" s="0" t="s">
        <v>62119</v>
      </c>
      <c r="L18683" s="0" t="str">
        <f aca="false">HYPERLINK("https://www.ncbi.nlm.nih.gov/nuccore/CP000058.1?report=graph&amp;tracks=[key:gene_model_track,Options:GeneOnly]&amp;mk=5731172:5731191|offset_10|444444,5731122:5731141|offset_60|444444,5731090:5731109|offset_92|444444,5731062:5731081|offset_120|00cc00&amp;v=5730971:5731281&amp;c=444444", "offset 120")</f>
        <v>offset 120</v>
      </c>
    </row>
    <row r="18684" customFormat="false" ht="12.8" hidden="false" customHeight="false" outlineLevel="0" collapsed="false">
      <c r="A18684" s="0" t="s">
        <v>12</v>
      </c>
      <c r="B18684" s="0" t="n">
        <v>5732325</v>
      </c>
      <c r="C18684" s="0" t="n">
        <v>5732345</v>
      </c>
      <c r="D18684" s="0" t="s">
        <v>62120</v>
      </c>
      <c r="E18684" s="0" t="s">
        <v>75</v>
      </c>
      <c r="F18684" s="0" t="s">
        <v>90</v>
      </c>
      <c r="G18684" s="0" t="s">
        <v>32</v>
      </c>
      <c r="H18684" s="0" t="n">
        <v>1</v>
      </c>
      <c r="I18684" s="0" t="s">
        <v>62121</v>
      </c>
      <c r="J18684" s="0" t="s">
        <v>62122</v>
      </c>
      <c r="K18684" s="0" t="s">
        <v>62123</v>
      </c>
      <c r="L18684" s="0" t="str">
        <f aca="false">HYPERLINK("https://www.ncbi.nlm.nih.gov/nuccore/CP000058.1?report=graph&amp;tracks=[key:gene_model_track,Options:GeneOnly]&amp;mk=5732326:5732345|offset_1|00cc00,5732301:5732320|offset_26|444444,5732281:5732300|offset_46|444444,5732257:5732276|offset_70|444444&amp;v=5732125:5732476&amp;c=444444", "offset 1")</f>
        <v>offset 1</v>
      </c>
    </row>
    <row r="18685" customFormat="false" ht="12.8" hidden="false" customHeight="false" outlineLevel="0" collapsed="false">
      <c r="A18685" s="0" t="s">
        <v>12</v>
      </c>
      <c r="B18685" s="0" t="n">
        <v>5732300</v>
      </c>
      <c r="C18685" s="0" t="n">
        <v>5732320</v>
      </c>
      <c r="D18685" s="0" t="s">
        <v>62120</v>
      </c>
      <c r="E18685" s="0" t="s">
        <v>75</v>
      </c>
      <c r="F18685" s="0" t="s">
        <v>90</v>
      </c>
      <c r="G18685" s="0" t="s">
        <v>36</v>
      </c>
      <c r="H18685" s="0" t="n">
        <v>26</v>
      </c>
      <c r="I18685" s="0" t="s">
        <v>62124</v>
      </c>
      <c r="J18685" s="0" t="s">
        <v>62125</v>
      </c>
      <c r="K18685" s="0" t="s">
        <v>62126</v>
      </c>
      <c r="L18685" s="0" t="str">
        <f aca="false">HYPERLINK("https://www.ncbi.nlm.nih.gov/nuccore/CP000058.1?report=graph&amp;tracks=[key:gene_model_track,Options:GeneOnly]&amp;mk=5732326:5732345|offset_1|444444,5732301:5732320|offset_26|00cc00,5732281:5732300|offset_46|444444,5732257:5732276|offset_70|444444&amp;v=5732125:5732476&amp;c=444444", "offset 26")</f>
        <v>offset 26</v>
      </c>
    </row>
    <row r="18686" customFormat="false" ht="12.8" hidden="false" customHeight="false" outlineLevel="0" collapsed="false">
      <c r="A18686" s="0" t="s">
        <v>12</v>
      </c>
      <c r="B18686" s="0" t="n">
        <v>5732280</v>
      </c>
      <c r="C18686" s="0" t="n">
        <v>5732300</v>
      </c>
      <c r="D18686" s="0" t="s">
        <v>62120</v>
      </c>
      <c r="E18686" s="0" t="s">
        <v>75</v>
      </c>
      <c r="F18686" s="0" t="s">
        <v>90</v>
      </c>
      <c r="G18686" s="0" t="s">
        <v>36</v>
      </c>
      <c r="H18686" s="0" t="n">
        <v>46</v>
      </c>
      <c r="I18686" s="0" t="s">
        <v>62127</v>
      </c>
      <c r="J18686" s="0" t="s">
        <v>62128</v>
      </c>
      <c r="K18686" s="0" t="s">
        <v>62129</v>
      </c>
      <c r="L18686" s="0" t="str">
        <f aca="false">HYPERLINK("https://www.ncbi.nlm.nih.gov/nuccore/CP000058.1?report=graph&amp;tracks=[key:gene_model_track,Options:GeneOnly]&amp;mk=5732326:5732345|offset_1|444444,5732301:5732320|offset_26|444444,5732281:5732300|offset_46|00cc00,5732257:5732276|offset_70|444444&amp;v=5732125:5732476&amp;c=444444", "offset 46")</f>
        <v>offset 46</v>
      </c>
    </row>
    <row r="18687" customFormat="false" ht="12.8" hidden="false" customHeight="false" outlineLevel="0" collapsed="false">
      <c r="A18687" s="0" t="s">
        <v>12</v>
      </c>
      <c r="B18687" s="0" t="n">
        <v>5732256</v>
      </c>
      <c r="C18687" s="0" t="n">
        <v>5732276</v>
      </c>
      <c r="D18687" s="0" t="s">
        <v>62120</v>
      </c>
      <c r="E18687" s="0" t="s">
        <v>75</v>
      </c>
      <c r="F18687" s="0" t="s">
        <v>90</v>
      </c>
      <c r="G18687" s="0" t="s">
        <v>16</v>
      </c>
      <c r="H18687" s="0" t="n">
        <v>70</v>
      </c>
      <c r="I18687" s="0" t="s">
        <v>62130</v>
      </c>
      <c r="J18687" s="0" t="s">
        <v>62131</v>
      </c>
      <c r="K18687" s="0" t="s">
        <v>62132</v>
      </c>
      <c r="L18687" s="0" t="str">
        <f aca="false">HYPERLINK("https://www.ncbi.nlm.nih.gov/nuccore/CP000058.1?report=graph&amp;tracks=[key:gene_model_track,Options:GeneOnly]&amp;mk=5732326:5732345|offset_1|444444,5732301:5732320|offset_26|444444,5732281:5732300|offset_46|444444,5732257:5732276|offset_70|00cc00&amp;v=5732125:5732476&amp;c=444444", "offset 70")</f>
        <v>offset 70</v>
      </c>
    </row>
    <row r="18688" customFormat="false" ht="12.8" hidden="false" customHeight="false" outlineLevel="0" collapsed="false">
      <c r="A18688" s="0" t="s">
        <v>12</v>
      </c>
      <c r="B18688" s="0" t="n">
        <v>5733232</v>
      </c>
      <c r="C18688" s="0" t="n">
        <v>5733252</v>
      </c>
      <c r="D18688" s="0" t="s">
        <v>62133</v>
      </c>
      <c r="E18688" s="0" t="s">
        <v>75</v>
      </c>
      <c r="F18688" s="0" t="s">
        <v>90</v>
      </c>
      <c r="G18688" s="0" t="s">
        <v>20</v>
      </c>
      <c r="H18688" s="0" t="n">
        <v>0</v>
      </c>
      <c r="I18688" s="0" t="s">
        <v>62134</v>
      </c>
      <c r="J18688" s="0" t="s">
        <v>62135</v>
      </c>
      <c r="K18688" s="0" t="s">
        <v>62136</v>
      </c>
      <c r="L18688" s="0" t="str">
        <f aca="false">HYPERLINK("https://www.ncbi.nlm.nih.gov/nuccore/CP000058.1?report=graph&amp;tracks=[key:gene_model_track,Options:GeneOnly]&amp;mk=5733233:5733252|offset_0|00cc00,5733184:5733203|offset_49|444444,5733157:5733176|offset_76|444444,5733126:5733145|offset_107|444444&amp;v=5733032:5733345&amp;c=444444", "offset 0")</f>
        <v>offset 0</v>
      </c>
    </row>
    <row r="18689" customFormat="false" ht="12.8" hidden="false" customHeight="false" outlineLevel="0" collapsed="false">
      <c r="A18689" s="0" t="s">
        <v>12</v>
      </c>
      <c r="B18689" s="0" t="n">
        <v>5733183</v>
      </c>
      <c r="C18689" s="0" t="n">
        <v>5733203</v>
      </c>
      <c r="D18689" s="0" t="s">
        <v>62133</v>
      </c>
      <c r="E18689" s="0" t="s">
        <v>75</v>
      </c>
      <c r="F18689" s="0" t="s">
        <v>90</v>
      </c>
      <c r="G18689" s="0" t="s">
        <v>16</v>
      </c>
      <c r="H18689" s="0" t="n">
        <v>49</v>
      </c>
      <c r="I18689" s="0" t="s">
        <v>62137</v>
      </c>
      <c r="J18689" s="0" t="s">
        <v>62138</v>
      </c>
      <c r="K18689" s="0" t="s">
        <v>62139</v>
      </c>
      <c r="L18689" s="0" t="str">
        <f aca="false">HYPERLINK("https://www.ncbi.nlm.nih.gov/nuccore/CP000058.1?report=graph&amp;tracks=[key:gene_model_track,Options:GeneOnly]&amp;mk=5733233:5733252|offset_0|444444,5733184:5733203|offset_49|00cc00,5733157:5733176|offset_76|444444,5733126:5733145|offset_107|444444&amp;v=5733032:5733345&amp;c=444444", "offset 49")</f>
        <v>offset 49</v>
      </c>
    </row>
    <row r="18690" customFormat="false" ht="12.8" hidden="false" customHeight="false" outlineLevel="0" collapsed="false">
      <c r="A18690" s="0" t="s">
        <v>12</v>
      </c>
      <c r="B18690" s="0" t="n">
        <v>5733156</v>
      </c>
      <c r="C18690" s="0" t="n">
        <v>5733176</v>
      </c>
      <c r="D18690" s="0" t="s">
        <v>62133</v>
      </c>
      <c r="E18690" s="0" t="s">
        <v>75</v>
      </c>
      <c r="F18690" s="0" t="s">
        <v>90</v>
      </c>
      <c r="G18690" s="0" t="s">
        <v>20</v>
      </c>
      <c r="H18690" s="0" t="n">
        <v>76</v>
      </c>
      <c r="I18690" s="0" t="s">
        <v>62140</v>
      </c>
      <c r="J18690" s="0" t="s">
        <v>62141</v>
      </c>
      <c r="K18690" s="0" t="s">
        <v>62142</v>
      </c>
      <c r="L18690" s="0" t="str">
        <f aca="false">HYPERLINK("https://www.ncbi.nlm.nih.gov/nuccore/CP000058.1?report=graph&amp;tracks=[key:gene_model_track,Options:GeneOnly]&amp;mk=5733233:5733252|offset_0|444444,5733184:5733203|offset_49|444444,5733157:5733176|offset_76|00cc00,5733126:5733145|offset_107|444444&amp;v=5733032:5733345&amp;c=444444", "offset 76")</f>
        <v>offset 76</v>
      </c>
    </row>
    <row r="18691" customFormat="false" ht="12.8" hidden="false" customHeight="false" outlineLevel="0" collapsed="false">
      <c r="A18691" s="0" t="s">
        <v>12</v>
      </c>
      <c r="B18691" s="0" t="n">
        <v>5733125</v>
      </c>
      <c r="C18691" s="0" t="n">
        <v>5733145</v>
      </c>
      <c r="D18691" s="0" t="s">
        <v>62133</v>
      </c>
      <c r="E18691" s="0" t="s">
        <v>75</v>
      </c>
      <c r="F18691" s="0" t="s">
        <v>90</v>
      </c>
      <c r="G18691" s="0" t="s">
        <v>36</v>
      </c>
      <c r="H18691" s="0" t="n">
        <v>107</v>
      </c>
      <c r="I18691" s="0" t="s">
        <v>62143</v>
      </c>
      <c r="J18691" s="0" t="s">
        <v>62144</v>
      </c>
      <c r="K18691" s="0" t="s">
        <v>62145</v>
      </c>
      <c r="L18691" s="0" t="str">
        <f aca="false">HYPERLINK("https://www.ncbi.nlm.nih.gov/nuccore/CP000058.1?report=graph&amp;tracks=[key:gene_model_track,Options:GeneOnly]&amp;mk=5733233:5733252|offset_0|444444,5733184:5733203|offset_49|444444,5733157:5733176|offset_76|444444,5733126:5733145|offset_107|00cc00&amp;v=5733032:5733345&amp;c=444444", "offset 107")</f>
        <v>offset 107</v>
      </c>
    </row>
    <row r="18692" customFormat="false" ht="12.8" hidden="false" customHeight="false" outlineLevel="0" collapsed="false">
      <c r="A18692" s="0" t="s">
        <v>12</v>
      </c>
      <c r="B18692" s="0" t="n">
        <v>5734993</v>
      </c>
      <c r="C18692" s="0" t="n">
        <v>5735013</v>
      </c>
      <c r="D18692" s="0" t="s">
        <v>62146</v>
      </c>
      <c r="E18692" s="0" t="s">
        <v>75</v>
      </c>
      <c r="F18692" s="0" t="s">
        <v>90</v>
      </c>
      <c r="G18692" s="0" t="s">
        <v>16</v>
      </c>
      <c r="H18692" s="0" t="n">
        <v>19</v>
      </c>
      <c r="I18692" s="0" t="s">
        <v>62147</v>
      </c>
      <c r="J18692" s="0" t="s">
        <v>62148</v>
      </c>
      <c r="K18692" s="0" t="s">
        <v>62149</v>
      </c>
      <c r="L18692" s="0" t="str">
        <f aca="false">HYPERLINK("https://www.ncbi.nlm.nih.gov/nuccore/CP000058.1?report=graph&amp;tracks=[key:gene_model_track,Options:GeneOnly]&amp;mk=5734994:5735013|offset_19|00cc00,5734969:5734988|offset_44|444444,5734934:5734953|offset_79|444444,5734868:5734887|offset_145|444444&amp;v=5734793:5735087&amp;c=444444", "offset 19")</f>
        <v>offset 19</v>
      </c>
    </row>
    <row r="18693" customFormat="false" ht="12.8" hidden="false" customHeight="false" outlineLevel="0" collapsed="false">
      <c r="A18693" s="0" t="s">
        <v>12</v>
      </c>
      <c r="B18693" s="0" t="n">
        <v>5734968</v>
      </c>
      <c r="C18693" s="0" t="n">
        <v>5734988</v>
      </c>
      <c r="D18693" s="0" t="s">
        <v>62146</v>
      </c>
      <c r="E18693" s="0" t="s">
        <v>75</v>
      </c>
      <c r="F18693" s="0" t="s">
        <v>90</v>
      </c>
      <c r="G18693" s="0" t="s">
        <v>20</v>
      </c>
      <c r="H18693" s="0" t="n">
        <v>44</v>
      </c>
      <c r="I18693" s="0" t="s">
        <v>62150</v>
      </c>
      <c r="J18693" s="0" t="s">
        <v>62151</v>
      </c>
      <c r="K18693" s="0" t="s">
        <v>62152</v>
      </c>
      <c r="L18693" s="0" t="str">
        <f aca="false">HYPERLINK("https://www.ncbi.nlm.nih.gov/nuccore/CP000058.1?report=graph&amp;tracks=[key:gene_model_track,Options:GeneOnly]&amp;mk=5734994:5735013|offset_19|444444,5734969:5734988|offset_44|00cc00,5734934:5734953|offset_79|444444,5734868:5734887|offset_145|444444&amp;v=5734793:5735087&amp;c=444444", "offset 44")</f>
        <v>offset 44</v>
      </c>
    </row>
    <row r="18694" customFormat="false" ht="12.8" hidden="false" customHeight="false" outlineLevel="0" collapsed="false">
      <c r="A18694" s="0" t="s">
        <v>12</v>
      </c>
      <c r="B18694" s="0" t="n">
        <v>5734933</v>
      </c>
      <c r="C18694" s="0" t="n">
        <v>5734953</v>
      </c>
      <c r="D18694" s="0" t="s">
        <v>62146</v>
      </c>
      <c r="E18694" s="0" t="s">
        <v>75</v>
      </c>
      <c r="F18694" s="0" t="s">
        <v>90</v>
      </c>
      <c r="G18694" s="0" t="s">
        <v>36</v>
      </c>
      <c r="H18694" s="0" t="n">
        <v>79</v>
      </c>
      <c r="I18694" s="0" t="s">
        <v>62153</v>
      </c>
      <c r="J18694" s="0" t="s">
        <v>62154</v>
      </c>
      <c r="K18694" s="0" t="s">
        <v>62155</v>
      </c>
      <c r="L18694" s="0" t="str">
        <f aca="false">HYPERLINK("https://www.ncbi.nlm.nih.gov/nuccore/CP000058.1?report=graph&amp;tracks=[key:gene_model_track,Options:GeneOnly]&amp;mk=5734994:5735013|offset_19|444444,5734969:5734988|offset_44|444444,5734934:5734953|offset_79|00cc00,5734868:5734887|offset_145|444444&amp;v=5734793:5735087&amp;c=444444", "offset 79")</f>
        <v>offset 79</v>
      </c>
    </row>
    <row r="18695" customFormat="false" ht="12.8" hidden="false" customHeight="false" outlineLevel="0" collapsed="false">
      <c r="A18695" s="0" t="s">
        <v>12</v>
      </c>
      <c r="B18695" s="0" t="n">
        <v>5734867</v>
      </c>
      <c r="C18695" s="0" t="n">
        <v>5734887</v>
      </c>
      <c r="D18695" s="0" t="s">
        <v>62146</v>
      </c>
      <c r="E18695" s="0" t="s">
        <v>75</v>
      </c>
      <c r="F18695" s="0" t="s">
        <v>90</v>
      </c>
      <c r="G18695" s="0" t="s">
        <v>36</v>
      </c>
      <c r="H18695" s="0" t="n">
        <v>145</v>
      </c>
      <c r="I18695" s="0" t="s">
        <v>62156</v>
      </c>
      <c r="J18695" s="0" t="s">
        <v>62157</v>
      </c>
      <c r="K18695" s="0" t="s">
        <v>62158</v>
      </c>
      <c r="L18695" s="0" t="str">
        <f aca="false">HYPERLINK("https://www.ncbi.nlm.nih.gov/nuccore/CP000058.1?report=graph&amp;tracks=[key:gene_model_track,Options:GeneOnly]&amp;mk=5734994:5735013|offset_19|444444,5734969:5734988|offset_44|444444,5734934:5734953|offset_79|444444,5734868:5734887|offset_145|00cc00&amp;v=5734793:5735087&amp;c=444444", "offset 145")</f>
        <v>offset 145</v>
      </c>
    </row>
    <row r="18696" customFormat="false" ht="12.8" hidden="false" customHeight="false" outlineLevel="0" collapsed="false">
      <c r="A18696" s="0" t="s">
        <v>12</v>
      </c>
      <c r="B18696" s="0" t="n">
        <v>5735524</v>
      </c>
      <c r="C18696" s="0" t="n">
        <v>5735544</v>
      </c>
      <c r="D18696" s="0" t="s">
        <v>62159</v>
      </c>
      <c r="E18696" s="0" t="s">
        <v>75</v>
      </c>
      <c r="F18696" s="0" t="s">
        <v>90</v>
      </c>
      <c r="G18696" s="0" t="s">
        <v>32</v>
      </c>
      <c r="H18696" s="0" t="n">
        <v>1</v>
      </c>
      <c r="I18696" s="0" t="s">
        <v>62160</v>
      </c>
      <c r="J18696" s="0" t="s">
        <v>62161</v>
      </c>
      <c r="K18696" s="0" t="s">
        <v>62162</v>
      </c>
      <c r="L18696" s="0" t="str">
        <f aca="false">HYPERLINK("https://www.ncbi.nlm.nih.gov/nuccore/CP000058.1?report=graph&amp;tracks=[key:gene_model_track,Options:GeneOnly]&amp;mk=5735525:5735544|offset_1|00cc00,5735503:5735522|offset_23|444444,5735480:5735499|offset_46|444444,5735456:5735475|offset_70|444444&amp;v=5735324:5735675&amp;c=444444", "offset 1")</f>
        <v>offset 1</v>
      </c>
    </row>
    <row r="18697" customFormat="false" ht="12.8" hidden="false" customHeight="false" outlineLevel="0" collapsed="false">
      <c r="A18697" s="0" t="s">
        <v>12</v>
      </c>
      <c r="B18697" s="0" t="n">
        <v>5735502</v>
      </c>
      <c r="C18697" s="0" t="n">
        <v>5735522</v>
      </c>
      <c r="D18697" s="0" t="s">
        <v>62159</v>
      </c>
      <c r="E18697" s="0" t="s">
        <v>75</v>
      </c>
      <c r="F18697" s="0" t="s">
        <v>90</v>
      </c>
      <c r="G18697" s="0" t="s">
        <v>16</v>
      </c>
      <c r="H18697" s="0" t="n">
        <v>23</v>
      </c>
      <c r="I18697" s="0" t="s">
        <v>62163</v>
      </c>
      <c r="J18697" s="0" t="s">
        <v>62164</v>
      </c>
      <c r="K18697" s="0" t="s">
        <v>62165</v>
      </c>
      <c r="L18697" s="0" t="str">
        <f aca="false">HYPERLINK("https://www.ncbi.nlm.nih.gov/nuccore/CP000058.1?report=graph&amp;tracks=[key:gene_model_track,Options:GeneOnly]&amp;mk=5735525:5735544|offset_1|444444,5735503:5735522|offset_23|00cc00,5735480:5735499|offset_46|444444,5735456:5735475|offset_70|444444&amp;v=5735324:5735675&amp;c=444444", "offset 23")</f>
        <v>offset 23</v>
      </c>
    </row>
    <row r="18698" customFormat="false" ht="12.8" hidden="false" customHeight="false" outlineLevel="0" collapsed="false">
      <c r="A18698" s="0" t="s">
        <v>12</v>
      </c>
      <c r="B18698" s="0" t="n">
        <v>5735479</v>
      </c>
      <c r="C18698" s="0" t="n">
        <v>5735499</v>
      </c>
      <c r="D18698" s="0" t="s">
        <v>62159</v>
      </c>
      <c r="E18698" s="0" t="s">
        <v>75</v>
      </c>
      <c r="F18698" s="0" t="s">
        <v>90</v>
      </c>
      <c r="G18698" s="0" t="s">
        <v>16</v>
      </c>
      <c r="H18698" s="0" t="n">
        <v>46</v>
      </c>
      <c r="I18698" s="0" t="s">
        <v>62166</v>
      </c>
      <c r="J18698" s="0" t="s">
        <v>62167</v>
      </c>
      <c r="K18698" s="0" t="s">
        <v>62168</v>
      </c>
      <c r="L18698" s="0" t="str">
        <f aca="false">HYPERLINK("https://www.ncbi.nlm.nih.gov/nuccore/CP000058.1?report=graph&amp;tracks=[key:gene_model_track,Options:GeneOnly]&amp;mk=5735525:5735544|offset_1|444444,5735503:5735522|offset_23|444444,5735480:5735499|offset_46|00cc00,5735456:5735475|offset_70|444444&amp;v=5735324:5735675&amp;c=444444", "offset 46")</f>
        <v>offset 46</v>
      </c>
    </row>
    <row r="18699" customFormat="false" ht="12.8" hidden="false" customHeight="false" outlineLevel="0" collapsed="false">
      <c r="A18699" s="0" t="s">
        <v>12</v>
      </c>
      <c r="B18699" s="0" t="n">
        <v>5735455</v>
      </c>
      <c r="C18699" s="0" t="n">
        <v>5735475</v>
      </c>
      <c r="D18699" s="0" t="s">
        <v>62159</v>
      </c>
      <c r="E18699" s="0" t="s">
        <v>75</v>
      </c>
      <c r="F18699" s="0" t="s">
        <v>90</v>
      </c>
      <c r="G18699" s="0" t="s">
        <v>32</v>
      </c>
      <c r="H18699" s="0" t="n">
        <v>70</v>
      </c>
      <c r="I18699" s="0" t="s">
        <v>62169</v>
      </c>
      <c r="J18699" s="0" t="s">
        <v>62170</v>
      </c>
      <c r="K18699" s="0" t="s">
        <v>62171</v>
      </c>
      <c r="L18699" s="0" t="str">
        <f aca="false">HYPERLINK("https://www.ncbi.nlm.nih.gov/nuccore/CP000058.1?report=graph&amp;tracks=[key:gene_model_track,Options:GeneOnly]&amp;mk=5735525:5735544|offset_1|444444,5735503:5735522|offset_23|444444,5735480:5735499|offset_46|444444,5735456:5735475|offset_70|00cc00&amp;v=5735324:5735675&amp;c=444444", "offset 70")</f>
        <v>offset 70</v>
      </c>
    </row>
    <row r="18700" customFormat="false" ht="12.8" hidden="false" customHeight="false" outlineLevel="0" collapsed="false">
      <c r="A18700" s="0" t="s">
        <v>12</v>
      </c>
      <c r="B18700" s="0" t="n">
        <v>5737508</v>
      </c>
      <c r="C18700" s="0" t="n">
        <v>5737528</v>
      </c>
      <c r="D18700" s="0" t="s">
        <v>62172</v>
      </c>
      <c r="E18700" s="0" t="s">
        <v>75</v>
      </c>
      <c r="F18700" s="0" t="s">
        <v>90</v>
      </c>
      <c r="G18700" s="0" t="s">
        <v>36</v>
      </c>
      <c r="H18700" s="0" t="n">
        <v>7</v>
      </c>
      <c r="I18700" s="0" t="s">
        <v>62173</v>
      </c>
      <c r="J18700" s="0" t="s">
        <v>62174</v>
      </c>
      <c r="K18700" s="0" t="s">
        <v>62175</v>
      </c>
      <c r="L18700" s="0" t="str">
        <f aca="false">HYPERLINK("https://www.ncbi.nlm.nih.gov/nuccore/CP000058.1?report=graph&amp;tracks=[key:gene_model_track,Options:GeneOnly]&amp;mk=5737509:5737528|offset_7|00cc00,5737485:5737504|offset_31|444444,5737443:5737462|offset_73|444444,5737421:5737440|offset_95|444444&amp;v=5737308:5737640&amp;c=444444", "offset 7")</f>
        <v>offset 7</v>
      </c>
    </row>
    <row r="18701" customFormat="false" ht="12.8" hidden="false" customHeight="false" outlineLevel="0" collapsed="false">
      <c r="A18701" s="0" t="s">
        <v>12</v>
      </c>
      <c r="B18701" s="0" t="n">
        <v>5737484</v>
      </c>
      <c r="C18701" s="0" t="n">
        <v>5737504</v>
      </c>
      <c r="D18701" s="0" t="s">
        <v>62172</v>
      </c>
      <c r="E18701" s="0" t="s">
        <v>75</v>
      </c>
      <c r="F18701" s="0" t="s">
        <v>90</v>
      </c>
      <c r="G18701" s="0" t="s">
        <v>32</v>
      </c>
      <c r="H18701" s="0" t="n">
        <v>31</v>
      </c>
      <c r="I18701" s="0" t="s">
        <v>62176</v>
      </c>
      <c r="J18701" s="0" t="s">
        <v>62177</v>
      </c>
      <c r="K18701" s="0" t="s">
        <v>62178</v>
      </c>
      <c r="L18701" s="0" t="str">
        <f aca="false">HYPERLINK("https://www.ncbi.nlm.nih.gov/nuccore/CP000058.1?report=graph&amp;tracks=[key:gene_model_track,Options:GeneOnly]&amp;mk=5737509:5737528|offset_7|444444,5737485:5737504|offset_31|00cc00,5737443:5737462|offset_73|444444,5737421:5737440|offset_95|444444&amp;v=5737308:5737640&amp;c=444444", "offset 31")</f>
        <v>offset 31</v>
      </c>
    </row>
    <row r="18702" customFormat="false" ht="12.8" hidden="false" customHeight="false" outlineLevel="0" collapsed="false">
      <c r="A18702" s="0" t="s">
        <v>12</v>
      </c>
      <c r="B18702" s="0" t="n">
        <v>5737442</v>
      </c>
      <c r="C18702" s="0" t="n">
        <v>5737462</v>
      </c>
      <c r="D18702" s="0" t="s">
        <v>62172</v>
      </c>
      <c r="E18702" s="0" t="s">
        <v>75</v>
      </c>
      <c r="F18702" s="0" t="s">
        <v>90</v>
      </c>
      <c r="G18702" s="0" t="s">
        <v>32</v>
      </c>
      <c r="H18702" s="0" t="n">
        <v>73</v>
      </c>
      <c r="I18702" s="0" t="s">
        <v>62179</v>
      </c>
      <c r="J18702" s="0" t="s">
        <v>62180</v>
      </c>
      <c r="K18702" s="0" t="s">
        <v>62181</v>
      </c>
      <c r="L18702" s="0" t="str">
        <f aca="false">HYPERLINK("https://www.ncbi.nlm.nih.gov/nuccore/CP000058.1?report=graph&amp;tracks=[key:gene_model_track,Options:GeneOnly]&amp;mk=5737509:5737528|offset_7|444444,5737485:5737504|offset_31|444444,5737443:5737462|offset_73|00cc00,5737421:5737440|offset_95|444444&amp;v=5737308:5737640&amp;c=444444", "offset 73")</f>
        <v>offset 73</v>
      </c>
    </row>
    <row r="18703" customFormat="false" ht="12.8" hidden="false" customHeight="false" outlineLevel="0" collapsed="false">
      <c r="A18703" s="0" t="s">
        <v>12</v>
      </c>
      <c r="B18703" s="0" t="n">
        <v>5737420</v>
      </c>
      <c r="C18703" s="0" t="n">
        <v>5737440</v>
      </c>
      <c r="D18703" s="0" t="s">
        <v>62172</v>
      </c>
      <c r="E18703" s="0" t="s">
        <v>75</v>
      </c>
      <c r="F18703" s="0" t="s">
        <v>90</v>
      </c>
      <c r="G18703" s="0" t="s">
        <v>36</v>
      </c>
      <c r="H18703" s="0" t="n">
        <v>95</v>
      </c>
      <c r="I18703" s="0" t="s">
        <v>62182</v>
      </c>
      <c r="J18703" s="0" t="s">
        <v>62183</v>
      </c>
      <c r="K18703" s="0" t="s">
        <v>62184</v>
      </c>
      <c r="L18703" s="0" t="str">
        <f aca="false">HYPERLINK("https://www.ncbi.nlm.nih.gov/nuccore/CP000058.1?report=graph&amp;tracks=[key:gene_model_track,Options:GeneOnly]&amp;mk=5737509:5737528|offset_7|444444,5737485:5737504|offset_31|444444,5737443:5737462|offset_73|444444,5737421:5737440|offset_95|00cc00&amp;v=5737308:5737640&amp;c=444444", "offset 95")</f>
        <v>offset 95</v>
      </c>
    </row>
    <row r="18704" customFormat="false" ht="12.8" hidden="false" customHeight="false" outlineLevel="0" collapsed="false">
      <c r="A18704" s="0" t="s">
        <v>12</v>
      </c>
      <c r="B18704" s="0" t="n">
        <v>5739415</v>
      </c>
      <c r="C18704" s="0" t="n">
        <v>5739435</v>
      </c>
      <c r="D18704" s="0" t="s">
        <v>62185</v>
      </c>
      <c r="E18704" s="0" t="s">
        <v>75</v>
      </c>
      <c r="F18704" s="0" t="s">
        <v>15</v>
      </c>
      <c r="G18704" s="0" t="s">
        <v>36</v>
      </c>
      <c r="H18704" s="0" t="n">
        <v>12</v>
      </c>
      <c r="I18704" s="0" t="s">
        <v>62186</v>
      </c>
      <c r="J18704" s="0" t="s">
        <v>62187</v>
      </c>
      <c r="K18704" s="0" t="s">
        <v>62188</v>
      </c>
      <c r="L18704" s="0" t="str">
        <f aca="false">HYPERLINK("https://www.ncbi.nlm.nih.gov/nuccore/CP000058.1?report=graph&amp;tracks=[key:gene_model_track,Options:GeneOnly]&amp;mk=5739416:5739435|offset_12|00cc00,5739439:5739458|offset_35|444444,5739497:5739516|offset_93|444444,5739540:5739559|offset_136|444444&amp;v=5739215:5739759&amp;c=444444", "offset 12")</f>
        <v>offset 12</v>
      </c>
    </row>
    <row r="18705" customFormat="false" ht="12.8" hidden="false" customHeight="false" outlineLevel="0" collapsed="false">
      <c r="A18705" s="0" t="s">
        <v>12</v>
      </c>
      <c r="B18705" s="0" t="n">
        <v>5739438</v>
      </c>
      <c r="C18705" s="0" t="n">
        <v>5739458</v>
      </c>
      <c r="D18705" s="0" t="s">
        <v>62185</v>
      </c>
      <c r="E18705" s="0" t="s">
        <v>75</v>
      </c>
      <c r="F18705" s="0" t="s">
        <v>15</v>
      </c>
      <c r="G18705" s="0" t="s">
        <v>20</v>
      </c>
      <c r="H18705" s="0" t="n">
        <v>35</v>
      </c>
      <c r="I18705" s="0" t="s">
        <v>62189</v>
      </c>
      <c r="J18705" s="0" t="s">
        <v>62190</v>
      </c>
      <c r="K18705" s="0" t="s">
        <v>62191</v>
      </c>
      <c r="L18705" s="0" t="str">
        <f aca="false">HYPERLINK("https://www.ncbi.nlm.nih.gov/nuccore/CP000058.1?report=graph&amp;tracks=[key:gene_model_track,Options:GeneOnly]&amp;mk=5739416:5739435|offset_12|444444,5739439:5739458|offset_35|00cc00,5739497:5739516|offset_93|444444,5739540:5739559|offset_136|444444&amp;v=5739215:5739759&amp;c=444444", "offset 35")</f>
        <v>offset 35</v>
      </c>
    </row>
    <row r="18706" customFormat="false" ht="12.8" hidden="false" customHeight="false" outlineLevel="0" collapsed="false">
      <c r="A18706" s="0" t="s">
        <v>12</v>
      </c>
      <c r="B18706" s="0" t="n">
        <v>5739496</v>
      </c>
      <c r="C18706" s="0" t="n">
        <v>5739516</v>
      </c>
      <c r="D18706" s="0" t="s">
        <v>62185</v>
      </c>
      <c r="E18706" s="0" t="s">
        <v>75</v>
      </c>
      <c r="F18706" s="0" t="s">
        <v>15</v>
      </c>
      <c r="G18706" s="0" t="s">
        <v>16</v>
      </c>
      <c r="H18706" s="0" t="n">
        <v>93</v>
      </c>
      <c r="I18706" s="0" t="s">
        <v>62192</v>
      </c>
      <c r="J18706" s="0" t="s">
        <v>62193</v>
      </c>
      <c r="K18706" s="0" t="s">
        <v>62194</v>
      </c>
      <c r="L18706" s="0" t="str">
        <f aca="false">HYPERLINK("https://www.ncbi.nlm.nih.gov/nuccore/CP000058.1?report=graph&amp;tracks=[key:gene_model_track,Options:GeneOnly]&amp;mk=5739416:5739435|offset_12|444444,5739439:5739458|offset_35|444444,5739497:5739516|offset_93|00cc00,5739540:5739559|offset_136|444444&amp;v=5739215:5739759&amp;c=444444", "offset 93")</f>
        <v>offset 93</v>
      </c>
    </row>
    <row r="18707" customFormat="false" ht="12.8" hidden="false" customHeight="false" outlineLevel="0" collapsed="false">
      <c r="A18707" s="0" t="s">
        <v>12</v>
      </c>
      <c r="B18707" s="0" t="n">
        <v>5739539</v>
      </c>
      <c r="C18707" s="0" t="n">
        <v>5739559</v>
      </c>
      <c r="D18707" s="0" t="s">
        <v>62185</v>
      </c>
      <c r="E18707" s="0" t="s">
        <v>75</v>
      </c>
      <c r="F18707" s="0" t="s">
        <v>15</v>
      </c>
      <c r="G18707" s="0" t="s">
        <v>20</v>
      </c>
      <c r="H18707" s="0" t="n">
        <v>136</v>
      </c>
      <c r="I18707" s="0" t="s">
        <v>62195</v>
      </c>
      <c r="J18707" s="0" t="s">
        <v>62196</v>
      </c>
      <c r="K18707" s="0" t="s">
        <v>62197</v>
      </c>
      <c r="L18707" s="0" t="str">
        <f aca="false">HYPERLINK("https://www.ncbi.nlm.nih.gov/nuccore/CP000058.1?report=graph&amp;tracks=[key:gene_model_track,Options:GeneOnly]&amp;mk=5739416:5739435|offset_12|444444,5739439:5739458|offset_35|444444,5739497:5739516|offset_93|444444,5739540:5739559|offset_136|00cc00&amp;v=5739215:5739759&amp;c=444444", "offset 136")</f>
        <v>offset 136</v>
      </c>
    </row>
    <row r="18708" customFormat="false" ht="12.8" hidden="false" customHeight="false" outlineLevel="0" collapsed="false">
      <c r="A18708" s="0" t="s">
        <v>12</v>
      </c>
      <c r="B18708" s="0" t="n">
        <v>5741767</v>
      </c>
      <c r="C18708" s="0" t="n">
        <v>5741787</v>
      </c>
      <c r="D18708" s="0" t="s">
        <v>62198</v>
      </c>
      <c r="E18708" s="0" t="s">
        <v>75</v>
      </c>
      <c r="F18708" s="0" t="s">
        <v>90</v>
      </c>
      <c r="G18708" s="0" t="s">
        <v>20</v>
      </c>
      <c r="H18708" s="0" t="n">
        <v>65</v>
      </c>
      <c r="I18708" s="0" t="s">
        <v>62199</v>
      </c>
      <c r="J18708" s="0" t="s">
        <v>62200</v>
      </c>
      <c r="K18708" s="0" t="s">
        <v>62201</v>
      </c>
      <c r="L18708" s="0" t="str">
        <f aca="false">HYPERLINK("https://www.ncbi.nlm.nih.gov/nuccore/CP000058.1?report=graph&amp;tracks=[key:gene_model_track,Options:GeneOnly]&amp;mk=5741768:5741787|offset_65|00cc00,5741706:5741725|offset_127|444444,5741684:5741703|offset_149|444444,5741627:5741646|offset_206|444444&amp;v=5741567:5741846&amp;c=444444", "offset 65")</f>
        <v>offset 65</v>
      </c>
    </row>
    <row r="18709" customFormat="false" ht="12.8" hidden="false" customHeight="false" outlineLevel="0" collapsed="false">
      <c r="A18709" s="0" t="s">
        <v>12</v>
      </c>
      <c r="B18709" s="0" t="n">
        <v>5741705</v>
      </c>
      <c r="C18709" s="0" t="n">
        <v>5741725</v>
      </c>
      <c r="D18709" s="0" t="s">
        <v>62198</v>
      </c>
      <c r="E18709" s="0" t="s">
        <v>75</v>
      </c>
      <c r="F18709" s="0" t="s">
        <v>90</v>
      </c>
      <c r="G18709" s="0" t="s">
        <v>36</v>
      </c>
      <c r="H18709" s="0" t="n">
        <v>127</v>
      </c>
      <c r="I18709" s="0" t="s">
        <v>62202</v>
      </c>
      <c r="J18709" s="0" t="s">
        <v>62203</v>
      </c>
      <c r="K18709" s="0" t="s">
        <v>62204</v>
      </c>
      <c r="L18709" s="0" t="str">
        <f aca="false">HYPERLINK("https://www.ncbi.nlm.nih.gov/nuccore/CP000058.1?report=graph&amp;tracks=[key:gene_model_track,Options:GeneOnly]&amp;mk=5741768:5741787|offset_65|444444,5741706:5741725|offset_127|00cc00,5741684:5741703|offset_149|444444,5741627:5741646|offset_206|444444&amp;v=5741567:5741846&amp;c=444444", "offset 127")</f>
        <v>offset 127</v>
      </c>
    </row>
    <row r="18710" customFormat="false" ht="12.8" hidden="false" customHeight="false" outlineLevel="0" collapsed="false">
      <c r="A18710" s="0" t="s">
        <v>12</v>
      </c>
      <c r="B18710" s="0" t="n">
        <v>5741683</v>
      </c>
      <c r="C18710" s="0" t="n">
        <v>5741703</v>
      </c>
      <c r="D18710" s="0" t="s">
        <v>62198</v>
      </c>
      <c r="E18710" s="0" t="s">
        <v>75</v>
      </c>
      <c r="F18710" s="0" t="s">
        <v>90</v>
      </c>
      <c r="G18710" s="0" t="s">
        <v>16</v>
      </c>
      <c r="H18710" s="0" t="n">
        <v>149</v>
      </c>
      <c r="I18710" s="0" t="s">
        <v>62205</v>
      </c>
      <c r="J18710" s="0" t="s">
        <v>62206</v>
      </c>
      <c r="K18710" s="0" t="s">
        <v>62207</v>
      </c>
      <c r="L18710" s="0" t="str">
        <f aca="false">HYPERLINK("https://www.ncbi.nlm.nih.gov/nuccore/CP000058.1?report=graph&amp;tracks=[key:gene_model_track,Options:GeneOnly]&amp;mk=5741768:5741787|offset_65|444444,5741706:5741725|offset_127|444444,5741684:5741703|offset_149|00cc00,5741627:5741646|offset_206|444444&amp;v=5741567:5741846&amp;c=444444", "offset 149")</f>
        <v>offset 149</v>
      </c>
    </row>
    <row r="18711" customFormat="false" ht="12.8" hidden="false" customHeight="false" outlineLevel="0" collapsed="false">
      <c r="A18711" s="0" t="s">
        <v>12</v>
      </c>
      <c r="B18711" s="0" t="n">
        <v>5741626</v>
      </c>
      <c r="C18711" s="0" t="n">
        <v>5741646</v>
      </c>
      <c r="D18711" s="0" t="s">
        <v>62198</v>
      </c>
      <c r="E18711" s="0" t="s">
        <v>75</v>
      </c>
      <c r="F18711" s="0" t="s">
        <v>90</v>
      </c>
      <c r="G18711" s="0" t="s">
        <v>36</v>
      </c>
      <c r="H18711" s="0" t="n">
        <v>206</v>
      </c>
      <c r="I18711" s="0" t="s">
        <v>62208</v>
      </c>
      <c r="J18711" s="0" t="s">
        <v>62209</v>
      </c>
      <c r="K18711" s="0" t="s">
        <v>62210</v>
      </c>
      <c r="L18711" s="0" t="str">
        <f aca="false">HYPERLINK("https://www.ncbi.nlm.nih.gov/nuccore/CP000058.1?report=graph&amp;tracks=[key:gene_model_track,Options:GeneOnly]&amp;mk=5741768:5741787|offset_65|444444,5741706:5741725|offset_127|444444,5741684:5741703|offset_149|444444,5741627:5741646|offset_206|00cc00&amp;v=5741567:5741846&amp;c=444444", "offset 206")</f>
        <v>offset 206</v>
      </c>
    </row>
    <row r="18712" customFormat="false" ht="12.8" hidden="false" customHeight="false" outlineLevel="0" collapsed="false">
      <c r="A18712" s="0" t="s">
        <v>12</v>
      </c>
      <c r="B18712" s="0" t="n">
        <v>5742390</v>
      </c>
      <c r="C18712" s="0" t="n">
        <v>5742410</v>
      </c>
      <c r="D18712" s="0" t="s">
        <v>62211</v>
      </c>
      <c r="E18712" s="0" t="s">
        <v>75</v>
      </c>
      <c r="F18712" s="0" t="s">
        <v>90</v>
      </c>
      <c r="G18712" s="0" t="s">
        <v>36</v>
      </c>
      <c r="H18712" s="0" t="n">
        <v>0</v>
      </c>
      <c r="I18712" s="0" t="s">
        <v>62212</v>
      </c>
      <c r="J18712" s="0" t="s">
        <v>62213</v>
      </c>
      <c r="K18712" s="0" t="s">
        <v>62214</v>
      </c>
      <c r="L18712" s="0" t="str">
        <f aca="false">HYPERLINK("https://www.ncbi.nlm.nih.gov/nuccore/CP000058.1?report=graph&amp;tracks=[key:gene_model_track,Options:GeneOnly]&amp;mk=5742391:5742410|offset_0|00cc00,5742351:5742370|offset_40|444444,5742330:5742349|offset_61|444444,5742299:5742318|offset_92|444444&amp;v=5742190:5742518&amp;c=444444", "offset 0")</f>
        <v>offset 0</v>
      </c>
    </row>
    <row r="18713" customFormat="false" ht="12.8" hidden="false" customHeight="false" outlineLevel="0" collapsed="false">
      <c r="A18713" s="0" t="s">
        <v>12</v>
      </c>
      <c r="B18713" s="0" t="n">
        <v>5742350</v>
      </c>
      <c r="C18713" s="0" t="n">
        <v>5742370</v>
      </c>
      <c r="D18713" s="0" t="s">
        <v>62211</v>
      </c>
      <c r="E18713" s="0" t="s">
        <v>75</v>
      </c>
      <c r="F18713" s="0" t="s">
        <v>90</v>
      </c>
      <c r="G18713" s="0" t="s">
        <v>20</v>
      </c>
      <c r="H18713" s="0" t="n">
        <v>40</v>
      </c>
      <c r="I18713" s="0" t="s">
        <v>62215</v>
      </c>
      <c r="J18713" s="0" t="s">
        <v>62216</v>
      </c>
      <c r="K18713" s="0" t="s">
        <v>62217</v>
      </c>
      <c r="L18713" s="0" t="str">
        <f aca="false">HYPERLINK("https://www.ncbi.nlm.nih.gov/nuccore/CP000058.1?report=graph&amp;tracks=[key:gene_model_track,Options:GeneOnly]&amp;mk=5742391:5742410|offset_0|444444,5742351:5742370|offset_40|00cc00,5742330:5742349|offset_61|444444,5742299:5742318|offset_92|444444&amp;v=5742190:5742518&amp;c=444444", "offset 40")</f>
        <v>offset 40</v>
      </c>
    </row>
    <row r="18714" customFormat="false" ht="12.8" hidden="false" customHeight="false" outlineLevel="0" collapsed="false">
      <c r="A18714" s="0" t="s">
        <v>12</v>
      </c>
      <c r="B18714" s="0" t="n">
        <v>5742329</v>
      </c>
      <c r="C18714" s="0" t="n">
        <v>5742349</v>
      </c>
      <c r="D18714" s="0" t="s">
        <v>62211</v>
      </c>
      <c r="E18714" s="0" t="s">
        <v>75</v>
      </c>
      <c r="F18714" s="0" t="s">
        <v>90</v>
      </c>
      <c r="G18714" s="0" t="s">
        <v>36</v>
      </c>
      <c r="H18714" s="0" t="n">
        <v>61</v>
      </c>
      <c r="I18714" s="0" t="s">
        <v>62218</v>
      </c>
      <c r="J18714" s="0" t="s">
        <v>62219</v>
      </c>
      <c r="K18714" s="0" t="s">
        <v>62220</v>
      </c>
      <c r="L18714" s="0" t="str">
        <f aca="false">HYPERLINK("https://www.ncbi.nlm.nih.gov/nuccore/CP000058.1?report=graph&amp;tracks=[key:gene_model_track,Options:GeneOnly]&amp;mk=5742391:5742410|offset_0|444444,5742351:5742370|offset_40|444444,5742330:5742349|offset_61|00cc00,5742299:5742318|offset_92|444444&amp;v=5742190:5742518&amp;c=444444", "offset 61")</f>
        <v>offset 61</v>
      </c>
    </row>
    <row r="18715" customFormat="false" ht="12.8" hidden="false" customHeight="false" outlineLevel="0" collapsed="false">
      <c r="A18715" s="0" t="s">
        <v>12</v>
      </c>
      <c r="B18715" s="0" t="n">
        <v>5742298</v>
      </c>
      <c r="C18715" s="0" t="n">
        <v>5742318</v>
      </c>
      <c r="D18715" s="0" t="s">
        <v>62211</v>
      </c>
      <c r="E18715" s="0" t="s">
        <v>75</v>
      </c>
      <c r="F18715" s="0" t="s">
        <v>90</v>
      </c>
      <c r="G18715" s="0" t="s">
        <v>20</v>
      </c>
      <c r="H18715" s="0" t="n">
        <v>92</v>
      </c>
      <c r="I18715" s="0" t="s">
        <v>62221</v>
      </c>
      <c r="J18715" s="0" t="s">
        <v>62222</v>
      </c>
      <c r="K18715" s="0" t="s">
        <v>62223</v>
      </c>
      <c r="L18715" s="0" t="str">
        <f aca="false">HYPERLINK("https://www.ncbi.nlm.nih.gov/nuccore/CP000058.1?report=graph&amp;tracks=[key:gene_model_track,Options:GeneOnly]&amp;mk=5742391:5742410|offset_0|444444,5742351:5742370|offset_40|444444,5742330:5742349|offset_61|444444,5742299:5742318|offset_92|00cc00&amp;v=5742190:5742518&amp;c=444444", "offset 92")</f>
        <v>offset 92</v>
      </c>
    </row>
    <row r="18716" customFormat="false" ht="12.8" hidden="false" customHeight="false" outlineLevel="0" collapsed="false">
      <c r="A18716" s="0" t="s">
        <v>12</v>
      </c>
      <c r="B18716" s="0" t="n">
        <v>5743267</v>
      </c>
      <c r="C18716" s="0" t="n">
        <v>5743287</v>
      </c>
      <c r="D18716" s="0" t="s">
        <v>62224</v>
      </c>
      <c r="E18716" s="0" t="s">
        <v>75</v>
      </c>
      <c r="F18716" s="0" t="s">
        <v>90</v>
      </c>
      <c r="G18716" s="0" t="s">
        <v>32</v>
      </c>
      <c r="H18716" s="0" t="n">
        <v>27</v>
      </c>
      <c r="I18716" s="0" t="s">
        <v>62225</v>
      </c>
      <c r="J18716" s="0" t="s">
        <v>62226</v>
      </c>
      <c r="K18716" s="0" t="s">
        <v>62227</v>
      </c>
      <c r="L18716" s="0" t="str">
        <f aca="false">HYPERLINK("https://www.ncbi.nlm.nih.gov/nuccore/CP000058.1?report=graph&amp;tracks=[key:gene_model_track,Options:GeneOnly]&amp;mk=5743268:5743287|offset_27|00cc00,5743231:5743250|offset_64|444444,5743200:5743219|offset_95|444444,5743152:5743171|offset_143|444444&amp;v=5743067:5743371&amp;c=444444", "offset 27")</f>
        <v>offset 27</v>
      </c>
    </row>
    <row r="18717" customFormat="false" ht="12.8" hidden="false" customHeight="false" outlineLevel="0" collapsed="false">
      <c r="A18717" s="0" t="s">
        <v>12</v>
      </c>
      <c r="B18717" s="0" t="n">
        <v>5743230</v>
      </c>
      <c r="C18717" s="0" t="n">
        <v>5743250</v>
      </c>
      <c r="D18717" s="0" t="s">
        <v>62224</v>
      </c>
      <c r="E18717" s="0" t="s">
        <v>75</v>
      </c>
      <c r="F18717" s="0" t="s">
        <v>90</v>
      </c>
      <c r="G18717" s="0" t="s">
        <v>32</v>
      </c>
      <c r="H18717" s="0" t="n">
        <v>64</v>
      </c>
      <c r="I18717" s="0" t="s">
        <v>62228</v>
      </c>
      <c r="J18717" s="0" t="s">
        <v>62229</v>
      </c>
      <c r="K18717" s="0" t="s">
        <v>62230</v>
      </c>
      <c r="L18717" s="0" t="str">
        <f aca="false">HYPERLINK("https://www.ncbi.nlm.nih.gov/nuccore/CP000058.1?report=graph&amp;tracks=[key:gene_model_track,Options:GeneOnly]&amp;mk=5743268:5743287|offset_27|444444,5743231:5743250|offset_64|00cc00,5743200:5743219|offset_95|444444,5743152:5743171|offset_143|444444&amp;v=5743067:5743371&amp;c=444444", "offset 64")</f>
        <v>offset 64</v>
      </c>
    </row>
    <row r="18718" customFormat="false" ht="12.8" hidden="false" customHeight="false" outlineLevel="0" collapsed="false">
      <c r="A18718" s="0" t="s">
        <v>12</v>
      </c>
      <c r="B18718" s="0" t="n">
        <v>5743199</v>
      </c>
      <c r="C18718" s="0" t="n">
        <v>5743219</v>
      </c>
      <c r="D18718" s="0" t="s">
        <v>62224</v>
      </c>
      <c r="E18718" s="0" t="s">
        <v>75</v>
      </c>
      <c r="F18718" s="0" t="s">
        <v>90</v>
      </c>
      <c r="G18718" s="0" t="s">
        <v>20</v>
      </c>
      <c r="H18718" s="0" t="n">
        <v>95</v>
      </c>
      <c r="I18718" s="0" t="s">
        <v>62231</v>
      </c>
      <c r="J18718" s="0" t="s">
        <v>62232</v>
      </c>
      <c r="K18718" s="0" t="s">
        <v>62233</v>
      </c>
      <c r="L18718" s="0" t="str">
        <f aca="false">HYPERLINK("https://www.ncbi.nlm.nih.gov/nuccore/CP000058.1?report=graph&amp;tracks=[key:gene_model_track,Options:GeneOnly]&amp;mk=5743268:5743287|offset_27|444444,5743231:5743250|offset_64|444444,5743200:5743219|offset_95|00cc00,5743152:5743171|offset_143|444444&amp;v=5743067:5743371&amp;c=444444", "offset 95")</f>
        <v>offset 95</v>
      </c>
    </row>
    <row r="18719" customFormat="false" ht="12.8" hidden="false" customHeight="false" outlineLevel="0" collapsed="false">
      <c r="A18719" s="0" t="s">
        <v>12</v>
      </c>
      <c r="B18719" s="0" t="n">
        <v>5743151</v>
      </c>
      <c r="C18719" s="0" t="n">
        <v>5743171</v>
      </c>
      <c r="D18719" s="0" t="s">
        <v>62224</v>
      </c>
      <c r="E18719" s="0" t="s">
        <v>75</v>
      </c>
      <c r="F18719" s="0" t="s">
        <v>90</v>
      </c>
      <c r="G18719" s="0" t="s">
        <v>16</v>
      </c>
      <c r="H18719" s="0" t="n">
        <v>143</v>
      </c>
      <c r="I18719" s="0" t="s">
        <v>62234</v>
      </c>
      <c r="J18719" s="0" t="s">
        <v>62235</v>
      </c>
      <c r="K18719" s="0" t="s">
        <v>62236</v>
      </c>
      <c r="L18719" s="0" t="str">
        <f aca="false">HYPERLINK("https://www.ncbi.nlm.nih.gov/nuccore/CP000058.1?report=graph&amp;tracks=[key:gene_model_track,Options:GeneOnly]&amp;mk=5743268:5743287|offset_27|444444,5743231:5743250|offset_64|444444,5743200:5743219|offset_95|444444,5743152:5743171|offset_143|00cc00&amp;v=5743067:5743371&amp;c=444444", "offset 143")</f>
        <v>offset 143</v>
      </c>
    </row>
    <row r="18720" customFormat="false" ht="12.8" hidden="false" customHeight="false" outlineLevel="0" collapsed="false">
      <c r="A18720" s="0" t="s">
        <v>12</v>
      </c>
      <c r="B18720" s="0" t="n">
        <v>5746465</v>
      </c>
      <c r="C18720" s="0" t="n">
        <v>5746485</v>
      </c>
      <c r="D18720" s="0" t="s">
        <v>62237</v>
      </c>
      <c r="E18720" s="0" t="s">
        <v>75</v>
      </c>
      <c r="F18720" s="0" t="s">
        <v>90</v>
      </c>
      <c r="G18720" s="0" t="s">
        <v>32</v>
      </c>
      <c r="H18720" s="0" t="n">
        <v>35</v>
      </c>
      <c r="I18720" s="0" t="s">
        <v>62238</v>
      </c>
      <c r="J18720" s="0" t="s">
        <v>62239</v>
      </c>
      <c r="K18720" s="0" t="s">
        <v>62240</v>
      </c>
      <c r="L18720" s="0" t="str">
        <f aca="false">HYPERLINK("https://www.ncbi.nlm.nih.gov/nuccore/CP000058.1?report=graph&amp;tracks=[key:gene_model_track,Options:GeneOnly]&amp;mk=5746466:5746485|offset_35|00cc00,5746426:5746445|offset_75|444444,5746388:5746407|offset_113|444444,5746269:5746288|offset_232|444444&amp;v=5746265:5746488&amp;c=444444", "offset 35")</f>
        <v>offset 35</v>
      </c>
    </row>
    <row r="18721" customFormat="false" ht="12.8" hidden="false" customHeight="false" outlineLevel="0" collapsed="false">
      <c r="A18721" s="0" t="s">
        <v>12</v>
      </c>
      <c r="B18721" s="0" t="n">
        <v>5746425</v>
      </c>
      <c r="C18721" s="0" t="n">
        <v>5746445</v>
      </c>
      <c r="D18721" s="0" t="s">
        <v>62237</v>
      </c>
      <c r="E18721" s="0" t="s">
        <v>75</v>
      </c>
      <c r="F18721" s="0" t="s">
        <v>90</v>
      </c>
      <c r="G18721" s="0" t="s">
        <v>36</v>
      </c>
      <c r="H18721" s="0" t="n">
        <v>75</v>
      </c>
      <c r="I18721" s="0" t="s">
        <v>62241</v>
      </c>
      <c r="J18721" s="0" t="s">
        <v>62242</v>
      </c>
      <c r="K18721" s="0" t="s">
        <v>62243</v>
      </c>
      <c r="L18721" s="0" t="str">
        <f aca="false">HYPERLINK("https://www.ncbi.nlm.nih.gov/nuccore/CP000058.1?report=graph&amp;tracks=[key:gene_model_track,Options:GeneOnly]&amp;mk=5746466:5746485|offset_35|444444,5746426:5746445|offset_75|00cc00,5746388:5746407|offset_113|444444,5746269:5746288|offset_232|444444&amp;v=5746265:5746488&amp;c=444444", "offset 75")</f>
        <v>offset 75</v>
      </c>
    </row>
    <row r="18722" customFormat="false" ht="12.8" hidden="false" customHeight="false" outlineLevel="0" collapsed="false">
      <c r="A18722" s="0" t="s">
        <v>12</v>
      </c>
      <c r="B18722" s="0" t="n">
        <v>5746387</v>
      </c>
      <c r="C18722" s="0" t="n">
        <v>5746407</v>
      </c>
      <c r="D18722" s="0" t="s">
        <v>62237</v>
      </c>
      <c r="E18722" s="0" t="s">
        <v>75</v>
      </c>
      <c r="F18722" s="0" t="s">
        <v>90</v>
      </c>
      <c r="G18722" s="0" t="s">
        <v>20</v>
      </c>
      <c r="H18722" s="0" t="n">
        <v>113</v>
      </c>
      <c r="I18722" s="0" t="s">
        <v>62244</v>
      </c>
      <c r="J18722" s="0" t="s">
        <v>62245</v>
      </c>
      <c r="K18722" s="0" t="s">
        <v>62246</v>
      </c>
      <c r="L18722" s="0" t="str">
        <f aca="false">HYPERLINK("https://www.ncbi.nlm.nih.gov/nuccore/CP000058.1?report=graph&amp;tracks=[key:gene_model_track,Options:GeneOnly]&amp;mk=5746466:5746485|offset_35|444444,5746426:5746445|offset_75|444444,5746388:5746407|offset_113|00cc00,5746269:5746288|offset_232|444444&amp;v=5746265:5746488&amp;c=444444", "offset 113")</f>
        <v>offset 113</v>
      </c>
    </row>
    <row r="18723" customFormat="false" ht="12.8" hidden="false" customHeight="false" outlineLevel="0" collapsed="false">
      <c r="A18723" s="0" t="s">
        <v>12</v>
      </c>
      <c r="B18723" s="0" t="n">
        <v>5746268</v>
      </c>
      <c r="C18723" s="0" t="n">
        <v>5746288</v>
      </c>
      <c r="D18723" s="0" t="s">
        <v>62237</v>
      </c>
      <c r="E18723" s="0" t="s">
        <v>75</v>
      </c>
      <c r="F18723" s="0" t="s">
        <v>90</v>
      </c>
      <c r="G18723" s="0" t="s">
        <v>32</v>
      </c>
      <c r="H18723" s="0" t="n">
        <v>232</v>
      </c>
      <c r="I18723" s="0" t="s">
        <v>62247</v>
      </c>
      <c r="J18723" s="0" t="s">
        <v>62248</v>
      </c>
      <c r="K18723" s="0" t="s">
        <v>62249</v>
      </c>
      <c r="L18723" s="0" t="str">
        <f aca="false">HYPERLINK("https://www.ncbi.nlm.nih.gov/nuccore/CP000058.1?report=graph&amp;tracks=[key:gene_model_track,Options:GeneOnly]&amp;mk=5746466:5746485|offset_35|444444,5746426:5746445|offset_75|444444,5746388:5746407|offset_113|444444,5746269:5746288|offset_232|00cc00&amp;v=5746265:5746488&amp;c=444444", "offset 232")</f>
        <v>offset 232</v>
      </c>
    </row>
    <row r="18724" customFormat="false" ht="12.8" hidden="false" customHeight="false" outlineLevel="0" collapsed="false">
      <c r="A18724" s="0" t="s">
        <v>12</v>
      </c>
      <c r="B18724" s="0" t="n">
        <v>5747955</v>
      </c>
      <c r="C18724" s="0" t="n">
        <v>5747975</v>
      </c>
      <c r="D18724" s="0" t="s">
        <v>62250</v>
      </c>
      <c r="E18724" s="0" t="s">
        <v>75</v>
      </c>
      <c r="F18724" s="0" t="s">
        <v>90</v>
      </c>
      <c r="G18724" s="0" t="s">
        <v>20</v>
      </c>
      <c r="H18724" s="0" t="n">
        <v>8</v>
      </c>
      <c r="I18724" s="0" t="s">
        <v>62251</v>
      </c>
      <c r="J18724" s="0" t="s">
        <v>62252</v>
      </c>
      <c r="K18724" s="0" t="s">
        <v>62253</v>
      </c>
      <c r="L18724" s="0" t="str">
        <f aca="false">HYPERLINK("https://www.ncbi.nlm.nih.gov/nuccore/CP000058.1?report=graph&amp;tracks=[key:gene_model_track,Options:GeneOnly]&amp;mk=5747956:5747975|offset_8|00cc00,5747914:5747933|offset_50|444444,5747882:5747901|offset_82|444444,5747858:5747877|offset_106|444444&amp;v=5747755:5748077&amp;c=444444", "offset 8")</f>
        <v>offset 8</v>
      </c>
    </row>
    <row r="18725" customFormat="false" ht="12.8" hidden="false" customHeight="false" outlineLevel="0" collapsed="false">
      <c r="A18725" s="0" t="s">
        <v>12</v>
      </c>
      <c r="B18725" s="0" t="n">
        <v>5747913</v>
      </c>
      <c r="C18725" s="0" t="n">
        <v>5747933</v>
      </c>
      <c r="D18725" s="0" t="s">
        <v>62250</v>
      </c>
      <c r="E18725" s="0" t="s">
        <v>75</v>
      </c>
      <c r="F18725" s="0" t="s">
        <v>90</v>
      </c>
      <c r="G18725" s="0" t="s">
        <v>20</v>
      </c>
      <c r="H18725" s="0" t="n">
        <v>50</v>
      </c>
      <c r="I18725" s="0" t="s">
        <v>62254</v>
      </c>
      <c r="J18725" s="0" t="s">
        <v>62255</v>
      </c>
      <c r="K18725" s="0" t="s">
        <v>62256</v>
      </c>
      <c r="L18725" s="0" t="str">
        <f aca="false">HYPERLINK("https://www.ncbi.nlm.nih.gov/nuccore/CP000058.1?report=graph&amp;tracks=[key:gene_model_track,Options:GeneOnly]&amp;mk=5747956:5747975|offset_8|444444,5747914:5747933|offset_50|00cc00,5747882:5747901|offset_82|444444,5747858:5747877|offset_106|444444&amp;v=5747755:5748077&amp;c=444444", "offset 50")</f>
        <v>offset 50</v>
      </c>
    </row>
    <row r="18726" customFormat="false" ht="12.8" hidden="false" customHeight="false" outlineLevel="0" collapsed="false">
      <c r="A18726" s="0" t="s">
        <v>12</v>
      </c>
      <c r="B18726" s="0" t="n">
        <v>5747881</v>
      </c>
      <c r="C18726" s="0" t="n">
        <v>5747901</v>
      </c>
      <c r="D18726" s="0" t="s">
        <v>62250</v>
      </c>
      <c r="E18726" s="0" t="s">
        <v>75</v>
      </c>
      <c r="F18726" s="0" t="s">
        <v>90</v>
      </c>
      <c r="G18726" s="0" t="s">
        <v>20</v>
      </c>
      <c r="H18726" s="0" t="n">
        <v>82</v>
      </c>
      <c r="I18726" s="0" t="s">
        <v>62257</v>
      </c>
      <c r="J18726" s="0" t="s">
        <v>62258</v>
      </c>
      <c r="K18726" s="0" t="s">
        <v>62259</v>
      </c>
      <c r="L18726" s="0" t="str">
        <f aca="false">HYPERLINK("https://www.ncbi.nlm.nih.gov/nuccore/CP000058.1?report=graph&amp;tracks=[key:gene_model_track,Options:GeneOnly]&amp;mk=5747956:5747975|offset_8|444444,5747914:5747933|offset_50|444444,5747882:5747901|offset_82|00cc00,5747858:5747877|offset_106|444444&amp;v=5747755:5748077&amp;c=444444", "offset 82")</f>
        <v>offset 82</v>
      </c>
    </row>
    <row r="18727" customFormat="false" ht="12.8" hidden="false" customHeight="false" outlineLevel="0" collapsed="false">
      <c r="A18727" s="0" t="s">
        <v>12</v>
      </c>
      <c r="B18727" s="0" t="n">
        <v>5747857</v>
      </c>
      <c r="C18727" s="0" t="n">
        <v>5747877</v>
      </c>
      <c r="D18727" s="0" t="s">
        <v>62250</v>
      </c>
      <c r="E18727" s="0" t="s">
        <v>75</v>
      </c>
      <c r="F18727" s="0" t="s">
        <v>90</v>
      </c>
      <c r="G18727" s="0" t="s">
        <v>20</v>
      </c>
      <c r="H18727" s="0" t="n">
        <v>106</v>
      </c>
      <c r="I18727" s="0" t="s">
        <v>62260</v>
      </c>
      <c r="J18727" s="0" t="s">
        <v>62261</v>
      </c>
      <c r="K18727" s="0" t="s">
        <v>62262</v>
      </c>
      <c r="L18727" s="0" t="str">
        <f aca="false">HYPERLINK("https://www.ncbi.nlm.nih.gov/nuccore/CP000058.1?report=graph&amp;tracks=[key:gene_model_track,Options:GeneOnly]&amp;mk=5747956:5747975|offset_8|444444,5747914:5747933|offset_50|444444,5747882:5747901|offset_82|444444,5747858:5747877|offset_106|00cc00&amp;v=5747755:5748077&amp;c=444444", "offset 106")</f>
        <v>offset 106</v>
      </c>
    </row>
    <row r="18728" customFormat="false" ht="12.8" hidden="false" customHeight="false" outlineLevel="0" collapsed="false">
      <c r="A18728" s="0" t="s">
        <v>12</v>
      </c>
      <c r="B18728" s="0" t="n">
        <v>5748650</v>
      </c>
      <c r="C18728" s="0" t="n">
        <v>5748670</v>
      </c>
      <c r="D18728" s="0" t="s">
        <v>62263</v>
      </c>
      <c r="E18728" s="0" t="s">
        <v>75</v>
      </c>
      <c r="F18728" s="0" t="s">
        <v>15</v>
      </c>
      <c r="G18728" s="0" t="s">
        <v>20</v>
      </c>
      <c r="H18728" s="0" t="n">
        <v>14</v>
      </c>
      <c r="I18728" s="0" t="s">
        <v>62264</v>
      </c>
      <c r="J18728" s="0" t="s">
        <v>62265</v>
      </c>
      <c r="K18728" s="0" t="s">
        <v>62266</v>
      </c>
      <c r="L18728" s="0" t="str">
        <f aca="false">HYPERLINK("https://www.ncbi.nlm.nih.gov/nuccore/CP000058.1?report=graph&amp;tracks=[key:gene_model_track,Options:GeneOnly]&amp;mk=5748651:5748670|offset_14|00cc00,5748678:5748697|offset_41|444444,5748702:5748721|offset_65|444444,5748737:5748756|offset_100|444444&amp;v=5748450:5748956&amp;c=444444", "offset 14")</f>
        <v>offset 14</v>
      </c>
    </row>
    <row r="18729" customFormat="false" ht="12.8" hidden="false" customHeight="false" outlineLevel="0" collapsed="false">
      <c r="A18729" s="0" t="s">
        <v>12</v>
      </c>
      <c r="B18729" s="0" t="n">
        <v>5748677</v>
      </c>
      <c r="C18729" s="0" t="n">
        <v>5748697</v>
      </c>
      <c r="D18729" s="0" t="s">
        <v>62263</v>
      </c>
      <c r="E18729" s="0" t="s">
        <v>75</v>
      </c>
      <c r="F18729" s="0" t="s">
        <v>15</v>
      </c>
      <c r="G18729" s="0" t="s">
        <v>16</v>
      </c>
      <c r="H18729" s="0" t="n">
        <v>41</v>
      </c>
      <c r="I18729" s="0" t="s">
        <v>62267</v>
      </c>
      <c r="J18729" s="0" t="s">
        <v>62268</v>
      </c>
      <c r="K18729" s="0" t="s">
        <v>62269</v>
      </c>
      <c r="L18729" s="0" t="str">
        <f aca="false">HYPERLINK("https://www.ncbi.nlm.nih.gov/nuccore/CP000058.1?report=graph&amp;tracks=[key:gene_model_track,Options:GeneOnly]&amp;mk=5748651:5748670|offset_14|444444,5748678:5748697|offset_41|00cc00,5748702:5748721|offset_65|444444,5748737:5748756|offset_100|444444&amp;v=5748450:5748956&amp;c=444444", "offset 41")</f>
        <v>offset 41</v>
      </c>
    </row>
    <row r="18730" customFormat="false" ht="12.8" hidden="false" customHeight="false" outlineLevel="0" collapsed="false">
      <c r="A18730" s="0" t="s">
        <v>12</v>
      </c>
      <c r="B18730" s="0" t="n">
        <v>5748701</v>
      </c>
      <c r="C18730" s="0" t="n">
        <v>5748721</v>
      </c>
      <c r="D18730" s="0" t="s">
        <v>62263</v>
      </c>
      <c r="E18730" s="0" t="s">
        <v>75</v>
      </c>
      <c r="F18730" s="0" t="s">
        <v>15</v>
      </c>
      <c r="G18730" s="0" t="s">
        <v>20</v>
      </c>
      <c r="H18730" s="0" t="n">
        <v>65</v>
      </c>
      <c r="I18730" s="0" t="s">
        <v>62270</v>
      </c>
      <c r="J18730" s="0" t="s">
        <v>62271</v>
      </c>
      <c r="K18730" s="0" t="s">
        <v>62272</v>
      </c>
      <c r="L18730" s="0" t="str">
        <f aca="false">HYPERLINK("https://www.ncbi.nlm.nih.gov/nuccore/CP000058.1?report=graph&amp;tracks=[key:gene_model_track,Options:GeneOnly]&amp;mk=5748651:5748670|offset_14|444444,5748678:5748697|offset_41|444444,5748702:5748721|offset_65|00cc00,5748737:5748756|offset_100|444444&amp;v=5748450:5748956&amp;c=444444", "offset 65")</f>
        <v>offset 65</v>
      </c>
    </row>
    <row r="18731" customFormat="false" ht="12.8" hidden="false" customHeight="false" outlineLevel="0" collapsed="false">
      <c r="A18731" s="0" t="s">
        <v>12</v>
      </c>
      <c r="B18731" s="0" t="n">
        <v>5748736</v>
      </c>
      <c r="C18731" s="0" t="n">
        <v>5748756</v>
      </c>
      <c r="D18731" s="0" t="s">
        <v>62263</v>
      </c>
      <c r="E18731" s="0" t="s">
        <v>75</v>
      </c>
      <c r="F18731" s="0" t="s">
        <v>15</v>
      </c>
      <c r="G18731" s="0" t="s">
        <v>20</v>
      </c>
      <c r="H18731" s="0" t="n">
        <v>100</v>
      </c>
      <c r="I18731" s="0" t="s">
        <v>62273</v>
      </c>
      <c r="J18731" s="0" t="s">
        <v>62274</v>
      </c>
      <c r="K18731" s="0" t="s">
        <v>62275</v>
      </c>
      <c r="L18731" s="0" t="str">
        <f aca="false">HYPERLINK("https://www.ncbi.nlm.nih.gov/nuccore/CP000058.1?report=graph&amp;tracks=[key:gene_model_track,Options:GeneOnly]&amp;mk=5748651:5748670|offset_14|444444,5748678:5748697|offset_41|444444,5748702:5748721|offset_65|444444,5748737:5748756|offset_100|00cc00&amp;v=5748450:5748956&amp;c=444444", "offset 100")</f>
        <v>offset 100</v>
      </c>
    </row>
    <row r="18732" customFormat="false" ht="12.8" hidden="false" customHeight="false" outlineLevel="0" collapsed="false">
      <c r="A18732" s="0" t="s">
        <v>12</v>
      </c>
      <c r="B18732" s="0" t="n">
        <v>5750510</v>
      </c>
      <c r="C18732" s="0" t="n">
        <v>5750530</v>
      </c>
      <c r="D18732" s="0" t="s">
        <v>62276</v>
      </c>
      <c r="E18732" s="0" t="s">
        <v>75</v>
      </c>
      <c r="F18732" s="0" t="s">
        <v>15</v>
      </c>
      <c r="G18732" s="0" t="s">
        <v>32</v>
      </c>
      <c r="H18732" s="0" t="n">
        <v>13</v>
      </c>
      <c r="I18732" s="0" t="s">
        <v>62277</v>
      </c>
      <c r="J18732" s="0" t="s">
        <v>62278</v>
      </c>
      <c r="K18732" s="0" t="s">
        <v>62279</v>
      </c>
      <c r="L18732" s="0" t="str">
        <f aca="false">HYPERLINK("https://www.ncbi.nlm.nih.gov/nuccore/CP000058.1?report=graph&amp;tracks=[key:gene_model_track,Options:GeneOnly]&amp;mk=5750511:5750530|offset_13|00cc00,5750547:5750566|offset_49|444444,5750594:5750613|offset_96|444444,5750618:5750637|offset_120|444444&amp;v=5750310:5750837&amp;c=444444", "offset 13")</f>
        <v>offset 13</v>
      </c>
    </row>
    <row r="18733" customFormat="false" ht="12.8" hidden="false" customHeight="false" outlineLevel="0" collapsed="false">
      <c r="A18733" s="0" t="s">
        <v>12</v>
      </c>
      <c r="B18733" s="0" t="n">
        <v>5750546</v>
      </c>
      <c r="C18733" s="0" t="n">
        <v>5750566</v>
      </c>
      <c r="D18733" s="0" t="s">
        <v>62276</v>
      </c>
      <c r="E18733" s="0" t="s">
        <v>75</v>
      </c>
      <c r="F18733" s="0" t="s">
        <v>15</v>
      </c>
      <c r="G18733" s="0" t="s">
        <v>16</v>
      </c>
      <c r="H18733" s="0" t="n">
        <v>49</v>
      </c>
      <c r="I18733" s="0" t="s">
        <v>62280</v>
      </c>
      <c r="J18733" s="0" t="s">
        <v>62281</v>
      </c>
      <c r="K18733" s="0" t="s">
        <v>62282</v>
      </c>
      <c r="L18733" s="0" t="str">
        <f aca="false">HYPERLINK("https://www.ncbi.nlm.nih.gov/nuccore/CP000058.1?report=graph&amp;tracks=[key:gene_model_track,Options:GeneOnly]&amp;mk=5750511:5750530|offset_13|444444,5750547:5750566|offset_49|00cc00,5750594:5750613|offset_96|444444,5750618:5750637|offset_120|444444&amp;v=5750310:5750837&amp;c=444444", "offset 49")</f>
        <v>offset 49</v>
      </c>
    </row>
    <row r="18734" customFormat="false" ht="12.8" hidden="false" customHeight="false" outlineLevel="0" collapsed="false">
      <c r="A18734" s="0" t="s">
        <v>12</v>
      </c>
      <c r="B18734" s="0" t="n">
        <v>5750593</v>
      </c>
      <c r="C18734" s="0" t="n">
        <v>5750613</v>
      </c>
      <c r="D18734" s="0" t="s">
        <v>62276</v>
      </c>
      <c r="E18734" s="0" t="s">
        <v>75</v>
      </c>
      <c r="F18734" s="0" t="s">
        <v>15</v>
      </c>
      <c r="G18734" s="0" t="s">
        <v>16</v>
      </c>
      <c r="H18734" s="0" t="n">
        <v>96</v>
      </c>
      <c r="I18734" s="0" t="s">
        <v>62283</v>
      </c>
      <c r="J18734" s="0" t="s">
        <v>62284</v>
      </c>
      <c r="K18734" s="0" t="s">
        <v>62285</v>
      </c>
      <c r="L18734" s="0" t="str">
        <f aca="false">HYPERLINK("https://www.ncbi.nlm.nih.gov/nuccore/CP000058.1?report=graph&amp;tracks=[key:gene_model_track,Options:GeneOnly]&amp;mk=5750511:5750530|offset_13|444444,5750547:5750566|offset_49|444444,5750594:5750613|offset_96|00cc00,5750618:5750637|offset_120|444444&amp;v=5750310:5750837&amp;c=444444", "offset 96")</f>
        <v>offset 96</v>
      </c>
    </row>
    <row r="18735" customFormat="false" ht="12.8" hidden="false" customHeight="false" outlineLevel="0" collapsed="false">
      <c r="A18735" s="0" t="s">
        <v>12</v>
      </c>
      <c r="B18735" s="0" t="n">
        <v>5750617</v>
      </c>
      <c r="C18735" s="0" t="n">
        <v>5750637</v>
      </c>
      <c r="D18735" s="0" t="s">
        <v>62276</v>
      </c>
      <c r="E18735" s="0" t="s">
        <v>75</v>
      </c>
      <c r="F18735" s="0" t="s">
        <v>15</v>
      </c>
      <c r="G18735" s="0" t="s">
        <v>32</v>
      </c>
      <c r="H18735" s="0" t="n">
        <v>120</v>
      </c>
      <c r="I18735" s="0" t="s">
        <v>62286</v>
      </c>
      <c r="J18735" s="0" t="s">
        <v>62287</v>
      </c>
      <c r="K18735" s="0" t="s">
        <v>62288</v>
      </c>
      <c r="L18735" s="0" t="str">
        <f aca="false">HYPERLINK("https://www.ncbi.nlm.nih.gov/nuccore/CP000058.1?report=graph&amp;tracks=[key:gene_model_track,Options:GeneOnly]&amp;mk=5750511:5750530|offset_13|444444,5750547:5750566|offset_49|444444,5750594:5750613|offset_96|444444,5750618:5750637|offset_120|00cc00&amp;v=5750310:5750837&amp;c=444444", "offset 120")</f>
        <v>offset 120</v>
      </c>
    </row>
    <row r="18736" customFormat="false" ht="12.8" hidden="false" customHeight="false" outlineLevel="0" collapsed="false">
      <c r="A18736" s="0" t="s">
        <v>12</v>
      </c>
      <c r="B18736" s="0" t="n">
        <v>5751148</v>
      </c>
      <c r="C18736" s="0" t="n">
        <v>5751168</v>
      </c>
      <c r="D18736" s="0" t="s">
        <v>62289</v>
      </c>
      <c r="E18736" s="0" t="s">
        <v>75</v>
      </c>
      <c r="F18736" s="0" t="s">
        <v>15</v>
      </c>
      <c r="G18736" s="0" t="s">
        <v>32</v>
      </c>
      <c r="H18736" s="0" t="n">
        <v>39</v>
      </c>
      <c r="I18736" s="0" t="s">
        <v>62290</v>
      </c>
      <c r="J18736" s="0" t="s">
        <v>62291</v>
      </c>
      <c r="K18736" s="0" t="s">
        <v>62292</v>
      </c>
      <c r="L18736" s="0" t="str">
        <f aca="false">HYPERLINK("https://www.ncbi.nlm.nih.gov/nuccore/CP000058.1?report=graph&amp;tracks=[key:gene_model_track,Options:GeneOnly]&amp;mk=5751149:5751168|offset_39|00cc00,5751186:5751205|offset_76|444444,5751209:5751228|offset_99|444444,5751245:5751264|offset_135|444444&amp;v=5750948:5751464&amp;c=444444", "offset 39")</f>
        <v>offset 39</v>
      </c>
    </row>
    <row r="18737" customFormat="false" ht="12.8" hidden="false" customHeight="false" outlineLevel="0" collapsed="false">
      <c r="A18737" s="0" t="s">
        <v>12</v>
      </c>
      <c r="B18737" s="0" t="n">
        <v>5751185</v>
      </c>
      <c r="C18737" s="0" t="n">
        <v>5751205</v>
      </c>
      <c r="D18737" s="0" t="s">
        <v>62289</v>
      </c>
      <c r="E18737" s="0" t="s">
        <v>75</v>
      </c>
      <c r="F18737" s="0" t="s">
        <v>15</v>
      </c>
      <c r="G18737" s="0" t="s">
        <v>20</v>
      </c>
      <c r="H18737" s="0" t="n">
        <v>76</v>
      </c>
      <c r="I18737" s="0" t="s">
        <v>62293</v>
      </c>
      <c r="J18737" s="0" t="s">
        <v>62294</v>
      </c>
      <c r="K18737" s="0" t="s">
        <v>62295</v>
      </c>
      <c r="L18737" s="0" t="str">
        <f aca="false">HYPERLINK("https://www.ncbi.nlm.nih.gov/nuccore/CP000058.1?report=graph&amp;tracks=[key:gene_model_track,Options:GeneOnly]&amp;mk=5751149:5751168|offset_39|444444,5751186:5751205|offset_76|00cc00,5751209:5751228|offset_99|444444,5751245:5751264|offset_135|444444&amp;v=5750948:5751464&amp;c=444444", "offset 76")</f>
        <v>offset 76</v>
      </c>
    </row>
    <row r="18738" customFormat="false" ht="12.8" hidden="false" customHeight="false" outlineLevel="0" collapsed="false">
      <c r="A18738" s="0" t="s">
        <v>12</v>
      </c>
      <c r="B18738" s="0" t="n">
        <v>5751208</v>
      </c>
      <c r="C18738" s="0" t="n">
        <v>5751228</v>
      </c>
      <c r="D18738" s="0" t="s">
        <v>62289</v>
      </c>
      <c r="E18738" s="0" t="s">
        <v>75</v>
      </c>
      <c r="F18738" s="0" t="s">
        <v>15</v>
      </c>
      <c r="G18738" s="0" t="s">
        <v>36</v>
      </c>
      <c r="H18738" s="0" t="n">
        <v>99</v>
      </c>
      <c r="I18738" s="0" t="s">
        <v>62296</v>
      </c>
      <c r="J18738" s="0" t="s">
        <v>62297</v>
      </c>
      <c r="K18738" s="0" t="s">
        <v>62298</v>
      </c>
      <c r="L18738" s="0" t="str">
        <f aca="false">HYPERLINK("https://www.ncbi.nlm.nih.gov/nuccore/CP000058.1?report=graph&amp;tracks=[key:gene_model_track,Options:GeneOnly]&amp;mk=5751149:5751168|offset_39|444444,5751186:5751205|offset_76|444444,5751209:5751228|offset_99|00cc00,5751245:5751264|offset_135|444444&amp;v=5750948:5751464&amp;c=444444", "offset 99")</f>
        <v>offset 99</v>
      </c>
    </row>
    <row r="18739" customFormat="false" ht="12.8" hidden="false" customHeight="false" outlineLevel="0" collapsed="false">
      <c r="A18739" s="0" t="s">
        <v>12</v>
      </c>
      <c r="B18739" s="0" t="n">
        <v>5751244</v>
      </c>
      <c r="C18739" s="0" t="n">
        <v>5751264</v>
      </c>
      <c r="D18739" s="0" t="s">
        <v>62289</v>
      </c>
      <c r="E18739" s="0" t="s">
        <v>75</v>
      </c>
      <c r="F18739" s="0" t="s">
        <v>15</v>
      </c>
      <c r="G18739" s="0" t="s">
        <v>36</v>
      </c>
      <c r="H18739" s="0" t="n">
        <v>135</v>
      </c>
      <c r="I18739" s="0" t="s">
        <v>62299</v>
      </c>
      <c r="J18739" s="0" t="s">
        <v>62300</v>
      </c>
      <c r="K18739" s="0" t="s">
        <v>62301</v>
      </c>
      <c r="L18739" s="0" t="str">
        <f aca="false">HYPERLINK("https://www.ncbi.nlm.nih.gov/nuccore/CP000058.1?report=graph&amp;tracks=[key:gene_model_track,Options:GeneOnly]&amp;mk=5751149:5751168|offset_39|444444,5751186:5751205|offset_76|444444,5751209:5751228|offset_99|444444,5751245:5751264|offset_135|00cc00&amp;v=5750948:5751464&amp;c=444444", "offset 135")</f>
        <v>offset 135</v>
      </c>
    </row>
    <row r="18740" customFormat="false" ht="12.8" hidden="false" customHeight="false" outlineLevel="0" collapsed="false">
      <c r="A18740" s="0" t="s">
        <v>12</v>
      </c>
      <c r="B18740" s="0" t="n">
        <v>5751579</v>
      </c>
      <c r="C18740" s="0" t="n">
        <v>5751599</v>
      </c>
      <c r="D18740" s="0" t="s">
        <v>62302</v>
      </c>
      <c r="E18740" s="0" t="s">
        <v>75</v>
      </c>
      <c r="F18740" s="0" t="s">
        <v>15</v>
      </c>
      <c r="G18740" s="0" t="s">
        <v>32</v>
      </c>
      <c r="H18740" s="0" t="n">
        <v>1</v>
      </c>
      <c r="I18740" s="0" t="s">
        <v>62303</v>
      </c>
      <c r="J18740" s="0" t="s">
        <v>62304</v>
      </c>
      <c r="K18740" s="0" t="s">
        <v>62305</v>
      </c>
      <c r="L18740" s="0" t="str">
        <f aca="false">HYPERLINK("https://www.ncbi.nlm.nih.gov/nuccore/CP000058.1?report=graph&amp;tracks=[key:gene_model_track,Options:GeneOnly]&amp;mk=5751580:5751599|offset_1|00cc00,5751673:5751692|offset_94|444444,5751703:5751722|offset_124|444444,5751760:5751779|offset_181|444444&amp;v=5751379:5751979&amp;c=444444", "offset 1")</f>
        <v>offset 1</v>
      </c>
    </row>
    <row r="18741" customFormat="false" ht="12.8" hidden="false" customHeight="false" outlineLevel="0" collapsed="false">
      <c r="A18741" s="0" t="s">
        <v>12</v>
      </c>
      <c r="B18741" s="0" t="n">
        <v>5751672</v>
      </c>
      <c r="C18741" s="0" t="n">
        <v>5751692</v>
      </c>
      <c r="D18741" s="0" t="s">
        <v>62302</v>
      </c>
      <c r="E18741" s="0" t="s">
        <v>75</v>
      </c>
      <c r="F18741" s="0" t="s">
        <v>15</v>
      </c>
      <c r="G18741" s="0" t="s">
        <v>16</v>
      </c>
      <c r="H18741" s="0" t="n">
        <v>94</v>
      </c>
      <c r="I18741" s="0" t="s">
        <v>62306</v>
      </c>
      <c r="J18741" s="0" t="s">
        <v>62307</v>
      </c>
      <c r="K18741" s="0" t="s">
        <v>62308</v>
      </c>
      <c r="L18741" s="0" t="str">
        <f aca="false">HYPERLINK("https://www.ncbi.nlm.nih.gov/nuccore/CP000058.1?report=graph&amp;tracks=[key:gene_model_track,Options:GeneOnly]&amp;mk=5751580:5751599|offset_1|444444,5751673:5751692|offset_94|00cc00,5751703:5751722|offset_124|444444,5751760:5751779|offset_181|444444&amp;v=5751379:5751979&amp;c=444444", "offset 94")</f>
        <v>offset 94</v>
      </c>
    </row>
    <row r="18742" customFormat="false" ht="12.8" hidden="false" customHeight="false" outlineLevel="0" collapsed="false">
      <c r="A18742" s="0" t="s">
        <v>12</v>
      </c>
      <c r="B18742" s="0" t="n">
        <v>5751702</v>
      </c>
      <c r="C18742" s="0" t="n">
        <v>5751722</v>
      </c>
      <c r="D18742" s="0" t="s">
        <v>62302</v>
      </c>
      <c r="E18742" s="0" t="s">
        <v>75</v>
      </c>
      <c r="F18742" s="0" t="s">
        <v>15</v>
      </c>
      <c r="G18742" s="0" t="s">
        <v>16</v>
      </c>
      <c r="H18742" s="0" t="n">
        <v>124</v>
      </c>
      <c r="I18742" s="0" t="s">
        <v>62309</v>
      </c>
      <c r="J18742" s="0" t="s">
        <v>62310</v>
      </c>
      <c r="K18742" s="0" t="s">
        <v>62311</v>
      </c>
      <c r="L18742" s="0" t="str">
        <f aca="false">HYPERLINK("https://www.ncbi.nlm.nih.gov/nuccore/CP000058.1?report=graph&amp;tracks=[key:gene_model_track,Options:GeneOnly]&amp;mk=5751580:5751599|offset_1|444444,5751673:5751692|offset_94|444444,5751703:5751722|offset_124|00cc00,5751760:5751779|offset_181|444444&amp;v=5751379:5751979&amp;c=444444", "offset 124")</f>
        <v>offset 124</v>
      </c>
    </row>
    <row r="18743" customFormat="false" ht="12.8" hidden="false" customHeight="false" outlineLevel="0" collapsed="false">
      <c r="A18743" s="0" t="s">
        <v>12</v>
      </c>
      <c r="B18743" s="0" t="n">
        <v>5751759</v>
      </c>
      <c r="C18743" s="0" t="n">
        <v>5751779</v>
      </c>
      <c r="D18743" s="0" t="s">
        <v>62302</v>
      </c>
      <c r="E18743" s="0" t="s">
        <v>75</v>
      </c>
      <c r="F18743" s="0" t="s">
        <v>15</v>
      </c>
      <c r="G18743" s="0" t="s">
        <v>36</v>
      </c>
      <c r="H18743" s="0" t="n">
        <v>181</v>
      </c>
      <c r="I18743" s="0" t="s">
        <v>62312</v>
      </c>
      <c r="J18743" s="0" t="s">
        <v>62313</v>
      </c>
      <c r="K18743" s="0" t="s">
        <v>62314</v>
      </c>
      <c r="L18743" s="0" t="str">
        <f aca="false">HYPERLINK("https://www.ncbi.nlm.nih.gov/nuccore/CP000058.1?report=graph&amp;tracks=[key:gene_model_track,Options:GeneOnly]&amp;mk=5751580:5751599|offset_1|444444,5751673:5751692|offset_94|444444,5751703:5751722|offset_124|444444,5751760:5751779|offset_181|00cc00&amp;v=5751379:5751979&amp;c=444444", "offset 181")</f>
        <v>offset 181</v>
      </c>
    </row>
    <row r="18744" customFormat="false" ht="12.8" hidden="false" customHeight="false" outlineLevel="0" collapsed="false">
      <c r="A18744" s="0" t="s">
        <v>12</v>
      </c>
      <c r="B18744" s="0" t="n">
        <v>5755885</v>
      </c>
      <c r="C18744" s="0" t="n">
        <v>5755905</v>
      </c>
      <c r="D18744" s="0" t="s">
        <v>62315</v>
      </c>
      <c r="E18744" s="0" t="s">
        <v>75</v>
      </c>
      <c r="F18744" s="0" t="s">
        <v>15</v>
      </c>
      <c r="G18744" s="0" t="s">
        <v>32</v>
      </c>
      <c r="H18744" s="0" t="n">
        <v>90</v>
      </c>
      <c r="I18744" s="0" t="s">
        <v>62316</v>
      </c>
      <c r="J18744" s="0" t="s">
        <v>62317</v>
      </c>
      <c r="K18744" s="0" t="s">
        <v>62318</v>
      </c>
      <c r="L18744" s="0" t="str">
        <f aca="false">HYPERLINK("https://www.ncbi.nlm.nih.gov/nuccore/CP000058.1?report=graph&amp;tracks=[key:gene_model_track,Options:GeneOnly]&amp;mk=5755886:5755905|offset_90|00cc00,5755906:5755925|offset_110|444444,5755959:5755978|offset_163|444444,5756038:5756057|offset_242|444444&amp;v=5755685:5756257&amp;c=444444", "offset 90")</f>
        <v>offset 90</v>
      </c>
    </row>
    <row r="18745" customFormat="false" ht="12.8" hidden="false" customHeight="false" outlineLevel="0" collapsed="false">
      <c r="A18745" s="0" t="s">
        <v>12</v>
      </c>
      <c r="B18745" s="0" t="n">
        <v>5755905</v>
      </c>
      <c r="C18745" s="0" t="n">
        <v>5755925</v>
      </c>
      <c r="D18745" s="0" t="s">
        <v>62315</v>
      </c>
      <c r="E18745" s="0" t="s">
        <v>75</v>
      </c>
      <c r="F18745" s="0" t="s">
        <v>15</v>
      </c>
      <c r="G18745" s="0" t="s">
        <v>36</v>
      </c>
      <c r="H18745" s="0" t="n">
        <v>110</v>
      </c>
      <c r="I18745" s="0" t="s">
        <v>62319</v>
      </c>
      <c r="J18745" s="0" t="s">
        <v>62320</v>
      </c>
      <c r="K18745" s="0" t="s">
        <v>62321</v>
      </c>
      <c r="L18745" s="0" t="str">
        <f aca="false">HYPERLINK("https://www.ncbi.nlm.nih.gov/nuccore/CP000058.1?report=graph&amp;tracks=[key:gene_model_track,Options:GeneOnly]&amp;mk=5755886:5755905|offset_90|444444,5755906:5755925|offset_110|00cc00,5755959:5755978|offset_163|444444,5756038:5756057|offset_242|444444&amp;v=5755685:5756257&amp;c=444444", "offset 110")</f>
        <v>offset 110</v>
      </c>
    </row>
    <row r="18746" customFormat="false" ht="12.8" hidden="false" customHeight="false" outlineLevel="0" collapsed="false">
      <c r="A18746" s="0" t="s">
        <v>12</v>
      </c>
      <c r="B18746" s="0" t="n">
        <v>5755958</v>
      </c>
      <c r="C18746" s="0" t="n">
        <v>5755978</v>
      </c>
      <c r="D18746" s="0" t="s">
        <v>62315</v>
      </c>
      <c r="E18746" s="0" t="s">
        <v>75</v>
      </c>
      <c r="F18746" s="0" t="s">
        <v>15</v>
      </c>
      <c r="G18746" s="0" t="s">
        <v>16</v>
      </c>
      <c r="H18746" s="0" t="n">
        <v>163</v>
      </c>
      <c r="I18746" s="0" t="s">
        <v>62322</v>
      </c>
      <c r="J18746" s="0" t="s">
        <v>62323</v>
      </c>
      <c r="K18746" s="0" t="s">
        <v>62324</v>
      </c>
      <c r="L18746" s="0" t="str">
        <f aca="false">HYPERLINK("https://www.ncbi.nlm.nih.gov/nuccore/CP000058.1?report=graph&amp;tracks=[key:gene_model_track,Options:GeneOnly]&amp;mk=5755886:5755905|offset_90|444444,5755906:5755925|offset_110|444444,5755959:5755978|offset_163|00cc00,5756038:5756057|offset_242|444444&amp;v=5755685:5756257&amp;c=444444", "offset 163")</f>
        <v>offset 163</v>
      </c>
    </row>
    <row r="18747" customFormat="false" ht="12.8" hidden="false" customHeight="false" outlineLevel="0" collapsed="false">
      <c r="A18747" s="0" t="s">
        <v>12</v>
      </c>
      <c r="B18747" s="0" t="n">
        <v>5756037</v>
      </c>
      <c r="C18747" s="0" t="n">
        <v>5756057</v>
      </c>
      <c r="D18747" s="0" t="s">
        <v>62315</v>
      </c>
      <c r="E18747" s="0" t="s">
        <v>75</v>
      </c>
      <c r="F18747" s="0" t="s">
        <v>15</v>
      </c>
      <c r="G18747" s="0" t="s">
        <v>36</v>
      </c>
      <c r="H18747" s="0" t="n">
        <v>242</v>
      </c>
      <c r="I18747" s="0" t="s">
        <v>62325</v>
      </c>
      <c r="J18747" s="0" t="s">
        <v>62326</v>
      </c>
      <c r="K18747" s="0" t="s">
        <v>62327</v>
      </c>
      <c r="L18747" s="0" t="str">
        <f aca="false">HYPERLINK("https://www.ncbi.nlm.nih.gov/nuccore/CP000058.1?report=graph&amp;tracks=[key:gene_model_track,Options:GeneOnly]&amp;mk=5755886:5755905|offset_90|444444,5755906:5755925|offset_110|444444,5755959:5755978|offset_163|444444,5756038:5756057|offset_242|00cc00&amp;v=5755685:5756257&amp;c=444444", "offset 242")</f>
        <v>offset 242</v>
      </c>
    </row>
    <row r="18748" customFormat="false" ht="12.8" hidden="false" customHeight="false" outlineLevel="0" collapsed="false">
      <c r="A18748" s="0" t="s">
        <v>12</v>
      </c>
      <c r="B18748" s="0" t="n">
        <v>5756409</v>
      </c>
      <c r="C18748" s="0" t="n">
        <v>5756429</v>
      </c>
      <c r="D18748" s="0" t="s">
        <v>62328</v>
      </c>
      <c r="E18748" s="0" t="s">
        <v>75</v>
      </c>
      <c r="F18748" s="0" t="s">
        <v>15</v>
      </c>
      <c r="G18748" s="0" t="s">
        <v>20</v>
      </c>
      <c r="H18748" s="0" t="n">
        <v>29</v>
      </c>
      <c r="I18748" s="0" t="s">
        <v>62329</v>
      </c>
      <c r="J18748" s="0" t="s">
        <v>62330</v>
      </c>
      <c r="K18748" s="0" t="s">
        <v>62331</v>
      </c>
      <c r="L18748" s="0" t="str">
        <f aca="false">HYPERLINK("https://www.ncbi.nlm.nih.gov/nuccore/CP000058.1?report=graph&amp;tracks=[key:gene_model_track,Options:GeneOnly]&amp;mk=5756410:5756429|offset_29|00cc00,5756436:5756455|offset_55|444444,5756472:5756491|offset_91|444444,5756497:5756516|offset_116|444444&amp;v=5756209:5756716&amp;c=444444", "offset 29")</f>
        <v>offset 29</v>
      </c>
    </row>
    <row r="18749" customFormat="false" ht="12.8" hidden="false" customHeight="false" outlineLevel="0" collapsed="false">
      <c r="A18749" s="0" t="s">
        <v>12</v>
      </c>
      <c r="B18749" s="0" t="n">
        <v>5756435</v>
      </c>
      <c r="C18749" s="0" t="n">
        <v>5756455</v>
      </c>
      <c r="D18749" s="0" t="s">
        <v>62328</v>
      </c>
      <c r="E18749" s="0" t="s">
        <v>75</v>
      </c>
      <c r="F18749" s="0" t="s">
        <v>15</v>
      </c>
      <c r="G18749" s="0" t="s">
        <v>32</v>
      </c>
      <c r="H18749" s="0" t="n">
        <v>55</v>
      </c>
      <c r="I18749" s="0" t="s">
        <v>62332</v>
      </c>
      <c r="J18749" s="0" t="s">
        <v>62333</v>
      </c>
      <c r="K18749" s="0" t="s">
        <v>62334</v>
      </c>
      <c r="L18749" s="0" t="str">
        <f aca="false">HYPERLINK("https://www.ncbi.nlm.nih.gov/nuccore/CP000058.1?report=graph&amp;tracks=[key:gene_model_track,Options:GeneOnly]&amp;mk=5756410:5756429|offset_29|444444,5756436:5756455|offset_55|00cc00,5756472:5756491|offset_91|444444,5756497:5756516|offset_116|444444&amp;v=5756209:5756716&amp;c=444444", "offset 55")</f>
        <v>offset 55</v>
      </c>
    </row>
    <row r="18750" customFormat="false" ht="12.8" hidden="false" customHeight="false" outlineLevel="0" collapsed="false">
      <c r="A18750" s="0" t="s">
        <v>12</v>
      </c>
      <c r="B18750" s="0" t="n">
        <v>5756471</v>
      </c>
      <c r="C18750" s="0" t="n">
        <v>5756491</v>
      </c>
      <c r="D18750" s="0" t="s">
        <v>62328</v>
      </c>
      <c r="E18750" s="0" t="s">
        <v>75</v>
      </c>
      <c r="F18750" s="0" t="s">
        <v>15</v>
      </c>
      <c r="G18750" s="0" t="s">
        <v>32</v>
      </c>
      <c r="H18750" s="0" t="n">
        <v>91</v>
      </c>
      <c r="I18750" s="0" t="s">
        <v>62335</v>
      </c>
      <c r="J18750" s="0" t="s">
        <v>62336</v>
      </c>
      <c r="K18750" s="0" t="s">
        <v>62337</v>
      </c>
      <c r="L18750" s="0" t="str">
        <f aca="false">HYPERLINK("https://www.ncbi.nlm.nih.gov/nuccore/CP000058.1?report=graph&amp;tracks=[key:gene_model_track,Options:GeneOnly]&amp;mk=5756410:5756429|offset_29|444444,5756436:5756455|offset_55|444444,5756472:5756491|offset_91|00cc00,5756497:5756516|offset_116|444444&amp;v=5756209:5756716&amp;c=444444", "offset 91")</f>
        <v>offset 91</v>
      </c>
    </row>
    <row r="18751" customFormat="false" ht="12.8" hidden="false" customHeight="false" outlineLevel="0" collapsed="false">
      <c r="A18751" s="0" t="s">
        <v>12</v>
      </c>
      <c r="B18751" s="0" t="n">
        <v>5756496</v>
      </c>
      <c r="C18751" s="0" t="n">
        <v>5756516</v>
      </c>
      <c r="D18751" s="0" t="s">
        <v>62328</v>
      </c>
      <c r="E18751" s="0" t="s">
        <v>75</v>
      </c>
      <c r="F18751" s="0" t="s">
        <v>15</v>
      </c>
      <c r="G18751" s="0" t="s">
        <v>16</v>
      </c>
      <c r="H18751" s="0" t="n">
        <v>116</v>
      </c>
      <c r="I18751" s="0" t="s">
        <v>62338</v>
      </c>
      <c r="J18751" s="0" t="s">
        <v>62339</v>
      </c>
      <c r="K18751" s="0" t="s">
        <v>62340</v>
      </c>
      <c r="L18751" s="0" t="str">
        <f aca="false">HYPERLINK("https://www.ncbi.nlm.nih.gov/nuccore/CP000058.1?report=graph&amp;tracks=[key:gene_model_track,Options:GeneOnly]&amp;mk=5756410:5756429|offset_29|444444,5756436:5756455|offset_55|444444,5756472:5756491|offset_91|444444,5756497:5756516|offset_116|00cc00&amp;v=5756209:5756716&amp;c=444444", "offset 116")</f>
        <v>offset 116</v>
      </c>
    </row>
    <row r="18752" customFormat="false" ht="12.8" hidden="false" customHeight="false" outlineLevel="0" collapsed="false">
      <c r="A18752" s="0" t="s">
        <v>12</v>
      </c>
      <c r="B18752" s="0" t="n">
        <v>5759647</v>
      </c>
      <c r="C18752" s="0" t="n">
        <v>5759667</v>
      </c>
      <c r="D18752" s="0" t="s">
        <v>62341</v>
      </c>
      <c r="E18752" s="0" t="s">
        <v>75</v>
      </c>
      <c r="F18752" s="0" t="s">
        <v>15</v>
      </c>
      <c r="G18752" s="0" t="s">
        <v>36</v>
      </c>
      <c r="H18752" s="0" t="n">
        <v>18</v>
      </c>
      <c r="I18752" s="0" t="s">
        <v>62342</v>
      </c>
      <c r="J18752" s="0" t="s">
        <v>62343</v>
      </c>
      <c r="K18752" s="0" t="s">
        <v>62344</v>
      </c>
      <c r="L18752" s="0" t="str">
        <f aca="false">HYPERLINK("https://www.ncbi.nlm.nih.gov/nuccore/CP000058.1?report=graph&amp;tracks=[key:gene_model_track,Options:GeneOnly]&amp;mk=5759648:5759667|offset_18|00cc00,5759686:5759705|offset_56|444444,5759746:5759765|offset_116|444444,5759791:5759810|offset_161|444444&amp;v=5759447:5760010&amp;c=444444", "offset 18")</f>
        <v>offset 18</v>
      </c>
    </row>
    <row r="18753" customFormat="false" ht="12.8" hidden="false" customHeight="false" outlineLevel="0" collapsed="false">
      <c r="A18753" s="0" t="s">
        <v>12</v>
      </c>
      <c r="B18753" s="0" t="n">
        <v>5759685</v>
      </c>
      <c r="C18753" s="0" t="n">
        <v>5759705</v>
      </c>
      <c r="D18753" s="0" t="s">
        <v>62341</v>
      </c>
      <c r="E18753" s="0" t="s">
        <v>75</v>
      </c>
      <c r="F18753" s="0" t="s">
        <v>15</v>
      </c>
      <c r="G18753" s="0" t="s">
        <v>20</v>
      </c>
      <c r="H18753" s="0" t="n">
        <v>56</v>
      </c>
      <c r="I18753" s="0" t="s">
        <v>62345</v>
      </c>
      <c r="J18753" s="0" t="s">
        <v>62346</v>
      </c>
      <c r="K18753" s="0" t="s">
        <v>62347</v>
      </c>
      <c r="L18753" s="0" t="str">
        <f aca="false">HYPERLINK("https://www.ncbi.nlm.nih.gov/nuccore/CP000058.1?report=graph&amp;tracks=[key:gene_model_track,Options:GeneOnly]&amp;mk=5759648:5759667|offset_18|444444,5759686:5759705|offset_56|00cc00,5759746:5759765|offset_116|444444,5759791:5759810|offset_161|444444&amp;v=5759447:5760010&amp;c=444444", "offset 56")</f>
        <v>offset 56</v>
      </c>
    </row>
    <row r="18754" customFormat="false" ht="12.8" hidden="false" customHeight="false" outlineLevel="0" collapsed="false">
      <c r="A18754" s="0" t="s">
        <v>12</v>
      </c>
      <c r="B18754" s="0" t="n">
        <v>5759745</v>
      </c>
      <c r="C18754" s="0" t="n">
        <v>5759765</v>
      </c>
      <c r="D18754" s="0" t="s">
        <v>62341</v>
      </c>
      <c r="E18754" s="0" t="s">
        <v>75</v>
      </c>
      <c r="F18754" s="0" t="s">
        <v>15</v>
      </c>
      <c r="G18754" s="0" t="s">
        <v>20</v>
      </c>
      <c r="H18754" s="0" t="n">
        <v>116</v>
      </c>
      <c r="I18754" s="0" t="s">
        <v>62348</v>
      </c>
      <c r="J18754" s="0" t="s">
        <v>62349</v>
      </c>
      <c r="K18754" s="0" t="s">
        <v>62350</v>
      </c>
      <c r="L18754" s="0" t="str">
        <f aca="false">HYPERLINK("https://www.ncbi.nlm.nih.gov/nuccore/CP000058.1?report=graph&amp;tracks=[key:gene_model_track,Options:GeneOnly]&amp;mk=5759648:5759667|offset_18|444444,5759686:5759705|offset_56|444444,5759746:5759765|offset_116|00cc00,5759791:5759810|offset_161|444444&amp;v=5759447:5760010&amp;c=444444", "offset 116")</f>
        <v>offset 116</v>
      </c>
    </row>
    <row r="18755" customFormat="false" ht="12.8" hidden="false" customHeight="false" outlineLevel="0" collapsed="false">
      <c r="A18755" s="0" t="s">
        <v>12</v>
      </c>
      <c r="B18755" s="0" t="n">
        <v>5759790</v>
      </c>
      <c r="C18755" s="0" t="n">
        <v>5759810</v>
      </c>
      <c r="D18755" s="0" t="s">
        <v>62341</v>
      </c>
      <c r="E18755" s="0" t="s">
        <v>75</v>
      </c>
      <c r="F18755" s="0" t="s">
        <v>15</v>
      </c>
      <c r="G18755" s="0" t="s">
        <v>20</v>
      </c>
      <c r="H18755" s="0" t="n">
        <v>161</v>
      </c>
      <c r="I18755" s="0" t="s">
        <v>62351</v>
      </c>
      <c r="J18755" s="0" t="s">
        <v>62352</v>
      </c>
      <c r="K18755" s="0" t="s">
        <v>62353</v>
      </c>
      <c r="L18755" s="0" t="str">
        <f aca="false">HYPERLINK("https://www.ncbi.nlm.nih.gov/nuccore/CP000058.1?report=graph&amp;tracks=[key:gene_model_track,Options:GeneOnly]&amp;mk=5759648:5759667|offset_18|444444,5759686:5759705|offset_56|444444,5759746:5759765|offset_116|444444,5759791:5759810|offset_161|00cc00&amp;v=5759447:5760010&amp;c=444444", "offset 161")</f>
        <v>offset 161</v>
      </c>
    </row>
    <row r="18756" customFormat="false" ht="12.8" hidden="false" customHeight="false" outlineLevel="0" collapsed="false">
      <c r="A18756" s="0" t="s">
        <v>12</v>
      </c>
      <c r="B18756" s="0" t="n">
        <v>5760434</v>
      </c>
      <c r="C18756" s="0" t="n">
        <v>5760454</v>
      </c>
      <c r="D18756" s="0" t="s">
        <v>62354</v>
      </c>
      <c r="E18756" s="0" t="s">
        <v>75</v>
      </c>
      <c r="F18756" s="0" t="s">
        <v>15</v>
      </c>
      <c r="G18756" s="0" t="s">
        <v>20</v>
      </c>
      <c r="H18756" s="0" t="n">
        <v>31</v>
      </c>
      <c r="I18756" s="0" t="s">
        <v>62355</v>
      </c>
      <c r="J18756" s="0" t="s">
        <v>62356</v>
      </c>
      <c r="K18756" s="0" t="s">
        <v>62357</v>
      </c>
      <c r="L18756" s="0" t="str">
        <f aca="false">HYPERLINK("https://www.ncbi.nlm.nih.gov/nuccore/CP000058.1?report=graph&amp;tracks=[key:gene_model_track,Options:GeneOnly]&amp;mk=5760435:5760454|offset_31|00cc00,5760460:5760479|offset_56|444444,5760481:5760500|offset_77|444444,5760501:5760520|offset_97|444444&amp;v=5760234:5760720&amp;c=444444", "offset 31")</f>
        <v>offset 31</v>
      </c>
    </row>
    <row r="18757" customFormat="false" ht="12.8" hidden="false" customHeight="false" outlineLevel="0" collapsed="false">
      <c r="A18757" s="0" t="s">
        <v>12</v>
      </c>
      <c r="B18757" s="0" t="n">
        <v>5760459</v>
      </c>
      <c r="C18757" s="0" t="n">
        <v>5760479</v>
      </c>
      <c r="D18757" s="0" t="s">
        <v>62354</v>
      </c>
      <c r="E18757" s="0" t="s">
        <v>75</v>
      </c>
      <c r="F18757" s="0" t="s">
        <v>15</v>
      </c>
      <c r="G18757" s="0" t="s">
        <v>16</v>
      </c>
      <c r="H18757" s="0" t="n">
        <v>56</v>
      </c>
      <c r="I18757" s="0" t="s">
        <v>62358</v>
      </c>
      <c r="J18757" s="0" t="s">
        <v>62359</v>
      </c>
      <c r="K18757" s="0" t="s">
        <v>62360</v>
      </c>
      <c r="L18757" s="0" t="str">
        <f aca="false">HYPERLINK("https://www.ncbi.nlm.nih.gov/nuccore/CP000058.1?report=graph&amp;tracks=[key:gene_model_track,Options:GeneOnly]&amp;mk=5760435:5760454|offset_31|444444,5760460:5760479|offset_56|00cc00,5760481:5760500|offset_77|444444,5760501:5760520|offset_97|444444&amp;v=5760234:5760720&amp;c=444444", "offset 56")</f>
        <v>offset 56</v>
      </c>
    </row>
    <row r="18758" customFormat="false" ht="12.8" hidden="false" customHeight="false" outlineLevel="0" collapsed="false">
      <c r="A18758" s="0" t="s">
        <v>12</v>
      </c>
      <c r="B18758" s="0" t="n">
        <v>5760480</v>
      </c>
      <c r="C18758" s="0" t="n">
        <v>5760500</v>
      </c>
      <c r="D18758" s="0" t="s">
        <v>62354</v>
      </c>
      <c r="E18758" s="0" t="s">
        <v>75</v>
      </c>
      <c r="F18758" s="0" t="s">
        <v>15</v>
      </c>
      <c r="G18758" s="0" t="s">
        <v>16</v>
      </c>
      <c r="H18758" s="0" t="n">
        <v>77</v>
      </c>
      <c r="I18758" s="0" t="s">
        <v>62361</v>
      </c>
      <c r="J18758" s="0" t="s">
        <v>62362</v>
      </c>
      <c r="K18758" s="0" t="s">
        <v>62363</v>
      </c>
      <c r="L18758" s="0" t="str">
        <f aca="false">HYPERLINK("https://www.ncbi.nlm.nih.gov/nuccore/CP000058.1?report=graph&amp;tracks=[key:gene_model_track,Options:GeneOnly]&amp;mk=5760435:5760454|offset_31|444444,5760460:5760479|offset_56|444444,5760481:5760500|offset_77|00cc00,5760501:5760520|offset_97|444444&amp;v=5760234:5760720&amp;c=444444", "offset 77")</f>
        <v>offset 77</v>
      </c>
    </row>
    <row r="18759" customFormat="false" ht="12.8" hidden="false" customHeight="false" outlineLevel="0" collapsed="false">
      <c r="A18759" s="0" t="s">
        <v>12</v>
      </c>
      <c r="B18759" s="0" t="n">
        <v>5760500</v>
      </c>
      <c r="C18759" s="0" t="n">
        <v>5760520</v>
      </c>
      <c r="D18759" s="0" t="s">
        <v>62354</v>
      </c>
      <c r="E18759" s="0" t="s">
        <v>75</v>
      </c>
      <c r="F18759" s="0" t="s">
        <v>15</v>
      </c>
      <c r="G18759" s="0" t="s">
        <v>20</v>
      </c>
      <c r="H18759" s="0" t="n">
        <v>97</v>
      </c>
      <c r="I18759" s="0" t="s">
        <v>62364</v>
      </c>
      <c r="J18759" s="0" t="s">
        <v>62365</v>
      </c>
      <c r="K18759" s="0" t="s">
        <v>62366</v>
      </c>
      <c r="L18759" s="0" t="str">
        <f aca="false">HYPERLINK("https://www.ncbi.nlm.nih.gov/nuccore/CP000058.1?report=graph&amp;tracks=[key:gene_model_track,Options:GeneOnly]&amp;mk=5760435:5760454|offset_31|444444,5760460:5760479|offset_56|444444,5760481:5760500|offset_77|444444,5760501:5760520|offset_97|00cc00&amp;v=5760234:5760720&amp;c=444444", "offset 97")</f>
        <v>offset 97</v>
      </c>
    </row>
    <row r="18760" customFormat="false" ht="12.8" hidden="false" customHeight="false" outlineLevel="0" collapsed="false">
      <c r="A18760" s="0" t="s">
        <v>12</v>
      </c>
      <c r="B18760" s="0" t="n">
        <v>5763661</v>
      </c>
      <c r="C18760" s="0" t="n">
        <v>5763681</v>
      </c>
      <c r="D18760" s="0" t="s">
        <v>62367</v>
      </c>
      <c r="E18760" s="0" t="s">
        <v>75</v>
      </c>
      <c r="F18760" s="0" t="s">
        <v>90</v>
      </c>
      <c r="G18760" s="0" t="s">
        <v>20</v>
      </c>
      <c r="H18760" s="0" t="n">
        <v>11</v>
      </c>
      <c r="I18760" s="0" t="s">
        <v>62368</v>
      </c>
      <c r="J18760" s="0" t="s">
        <v>62369</v>
      </c>
      <c r="K18760" s="0" t="s">
        <v>62370</v>
      </c>
      <c r="L18760" s="0" t="str">
        <f aca="false">HYPERLINK("https://www.ncbi.nlm.nih.gov/nuccore/CP000058.1?report=graph&amp;tracks=[key:gene_model_track,Options:GeneOnly]&amp;mk=5763662:5763681|offset_11|00cc00,5763621:5763640|offset_52|444444,5763598:5763617|offset_75|444444,5763571:5763590|offset_102|444444&amp;v=5763461:5763790&amp;c=444444", "offset 11")</f>
        <v>offset 11</v>
      </c>
    </row>
    <row r="18761" customFormat="false" ht="12.8" hidden="false" customHeight="false" outlineLevel="0" collapsed="false">
      <c r="A18761" s="0" t="s">
        <v>12</v>
      </c>
      <c r="B18761" s="0" t="n">
        <v>5763620</v>
      </c>
      <c r="C18761" s="0" t="n">
        <v>5763640</v>
      </c>
      <c r="D18761" s="0" t="s">
        <v>62367</v>
      </c>
      <c r="E18761" s="0" t="s">
        <v>75</v>
      </c>
      <c r="F18761" s="0" t="s">
        <v>90</v>
      </c>
      <c r="G18761" s="0" t="s">
        <v>16</v>
      </c>
      <c r="H18761" s="0" t="n">
        <v>52</v>
      </c>
      <c r="I18761" s="0" t="s">
        <v>62371</v>
      </c>
      <c r="J18761" s="0" t="s">
        <v>62372</v>
      </c>
      <c r="K18761" s="0" t="s">
        <v>62373</v>
      </c>
      <c r="L18761" s="0" t="str">
        <f aca="false">HYPERLINK("https://www.ncbi.nlm.nih.gov/nuccore/CP000058.1?report=graph&amp;tracks=[key:gene_model_track,Options:GeneOnly]&amp;mk=5763662:5763681|offset_11|444444,5763621:5763640|offset_52|00cc00,5763598:5763617|offset_75|444444,5763571:5763590|offset_102|444444&amp;v=5763461:5763790&amp;c=444444", "offset 52")</f>
        <v>offset 52</v>
      </c>
    </row>
    <row r="18762" customFormat="false" ht="12.8" hidden="false" customHeight="false" outlineLevel="0" collapsed="false">
      <c r="A18762" s="0" t="s">
        <v>12</v>
      </c>
      <c r="B18762" s="0" t="n">
        <v>5763597</v>
      </c>
      <c r="C18762" s="0" t="n">
        <v>5763617</v>
      </c>
      <c r="D18762" s="0" t="s">
        <v>62367</v>
      </c>
      <c r="E18762" s="0" t="s">
        <v>75</v>
      </c>
      <c r="F18762" s="0" t="s">
        <v>90</v>
      </c>
      <c r="G18762" s="0" t="s">
        <v>16</v>
      </c>
      <c r="H18762" s="0" t="n">
        <v>75</v>
      </c>
      <c r="I18762" s="0" t="s">
        <v>62374</v>
      </c>
      <c r="J18762" s="0" t="s">
        <v>62375</v>
      </c>
      <c r="K18762" s="0" t="s">
        <v>62376</v>
      </c>
      <c r="L18762" s="0" t="str">
        <f aca="false">HYPERLINK("https://www.ncbi.nlm.nih.gov/nuccore/CP000058.1?report=graph&amp;tracks=[key:gene_model_track,Options:GeneOnly]&amp;mk=5763662:5763681|offset_11|444444,5763621:5763640|offset_52|444444,5763598:5763617|offset_75|00cc00,5763571:5763590|offset_102|444444&amp;v=5763461:5763790&amp;c=444444", "offset 75")</f>
        <v>offset 75</v>
      </c>
    </row>
    <row r="18763" customFormat="false" ht="12.8" hidden="false" customHeight="false" outlineLevel="0" collapsed="false">
      <c r="A18763" s="0" t="s">
        <v>12</v>
      </c>
      <c r="B18763" s="0" t="n">
        <v>5763570</v>
      </c>
      <c r="C18763" s="0" t="n">
        <v>5763590</v>
      </c>
      <c r="D18763" s="0" t="s">
        <v>62367</v>
      </c>
      <c r="E18763" s="0" t="s">
        <v>75</v>
      </c>
      <c r="F18763" s="0" t="s">
        <v>90</v>
      </c>
      <c r="G18763" s="0" t="s">
        <v>16</v>
      </c>
      <c r="H18763" s="0" t="n">
        <v>102</v>
      </c>
      <c r="I18763" s="0" t="s">
        <v>62377</v>
      </c>
      <c r="J18763" s="0" t="s">
        <v>62378</v>
      </c>
      <c r="K18763" s="0" t="s">
        <v>62379</v>
      </c>
      <c r="L18763" s="0" t="str">
        <f aca="false">HYPERLINK("https://www.ncbi.nlm.nih.gov/nuccore/CP000058.1?report=graph&amp;tracks=[key:gene_model_track,Options:GeneOnly]&amp;mk=5763662:5763681|offset_11|444444,5763621:5763640|offset_52|444444,5763598:5763617|offset_75|444444,5763571:5763590|offset_102|00cc00&amp;v=5763461:5763790&amp;c=444444", "offset 102")</f>
        <v>offset 102</v>
      </c>
    </row>
    <row r="18764" customFormat="false" ht="12.8" hidden="false" customHeight="false" outlineLevel="0" collapsed="false">
      <c r="A18764" s="0" t="s">
        <v>12</v>
      </c>
      <c r="B18764" s="0" t="n">
        <v>5764141</v>
      </c>
      <c r="C18764" s="0" t="n">
        <v>5764161</v>
      </c>
      <c r="D18764" s="0" t="s">
        <v>62380</v>
      </c>
      <c r="E18764" s="0" t="s">
        <v>75</v>
      </c>
      <c r="F18764" s="0" t="s">
        <v>90</v>
      </c>
      <c r="G18764" s="0" t="s">
        <v>16</v>
      </c>
      <c r="H18764" s="0" t="n">
        <v>6</v>
      </c>
      <c r="I18764" s="0" t="s">
        <v>62381</v>
      </c>
      <c r="J18764" s="0" t="s">
        <v>62382</v>
      </c>
      <c r="K18764" s="0" t="s">
        <v>62383</v>
      </c>
      <c r="L18764" s="0" t="str">
        <f aca="false">HYPERLINK("https://www.ncbi.nlm.nih.gov/nuccore/CP000058.1?report=graph&amp;tracks=[key:gene_model_track,Options:GeneOnly]&amp;mk=5764142:5764161|offset_6|00cc00,5764119:5764138|offset_29|444444,5764093:5764112|offset_55|444444,5764054:5764073|offset_94|444444&amp;v=5763941:5764273&amp;c=444444", "offset 6")</f>
        <v>offset 6</v>
      </c>
    </row>
    <row r="18765" customFormat="false" ht="12.8" hidden="false" customHeight="false" outlineLevel="0" collapsed="false">
      <c r="A18765" s="0" t="s">
        <v>12</v>
      </c>
      <c r="B18765" s="0" t="n">
        <v>5764118</v>
      </c>
      <c r="C18765" s="0" t="n">
        <v>5764138</v>
      </c>
      <c r="D18765" s="0" t="s">
        <v>62380</v>
      </c>
      <c r="E18765" s="0" t="s">
        <v>75</v>
      </c>
      <c r="F18765" s="0" t="s">
        <v>90</v>
      </c>
      <c r="G18765" s="0" t="s">
        <v>32</v>
      </c>
      <c r="H18765" s="0" t="n">
        <v>29</v>
      </c>
      <c r="I18765" s="0" t="s">
        <v>62384</v>
      </c>
      <c r="J18765" s="0" t="s">
        <v>62385</v>
      </c>
      <c r="K18765" s="0" t="s">
        <v>62386</v>
      </c>
      <c r="L18765" s="0" t="str">
        <f aca="false">HYPERLINK("https://www.ncbi.nlm.nih.gov/nuccore/CP000058.1?report=graph&amp;tracks=[key:gene_model_track,Options:GeneOnly]&amp;mk=5764142:5764161|offset_6|444444,5764119:5764138|offset_29|00cc00,5764093:5764112|offset_55|444444,5764054:5764073|offset_94|444444&amp;v=5763941:5764273&amp;c=444444", "offset 29")</f>
        <v>offset 29</v>
      </c>
    </row>
    <row r="18766" customFormat="false" ht="12.8" hidden="false" customHeight="false" outlineLevel="0" collapsed="false">
      <c r="A18766" s="0" t="s">
        <v>12</v>
      </c>
      <c r="B18766" s="0" t="n">
        <v>5764092</v>
      </c>
      <c r="C18766" s="0" t="n">
        <v>5764112</v>
      </c>
      <c r="D18766" s="0" t="s">
        <v>62380</v>
      </c>
      <c r="E18766" s="0" t="s">
        <v>75</v>
      </c>
      <c r="F18766" s="0" t="s">
        <v>90</v>
      </c>
      <c r="G18766" s="0" t="s">
        <v>16</v>
      </c>
      <c r="H18766" s="0" t="n">
        <v>55</v>
      </c>
      <c r="I18766" s="0" t="s">
        <v>62387</v>
      </c>
      <c r="J18766" s="0" t="s">
        <v>62388</v>
      </c>
      <c r="K18766" s="0" t="s">
        <v>62389</v>
      </c>
      <c r="L18766" s="0" t="str">
        <f aca="false">HYPERLINK("https://www.ncbi.nlm.nih.gov/nuccore/CP000058.1?report=graph&amp;tracks=[key:gene_model_track,Options:GeneOnly]&amp;mk=5764142:5764161|offset_6|444444,5764119:5764138|offset_29|444444,5764093:5764112|offset_55|00cc00,5764054:5764073|offset_94|444444&amp;v=5763941:5764273&amp;c=444444", "offset 55")</f>
        <v>offset 55</v>
      </c>
    </row>
    <row r="18767" customFormat="false" ht="12.8" hidden="false" customHeight="false" outlineLevel="0" collapsed="false">
      <c r="A18767" s="0" t="s">
        <v>12</v>
      </c>
      <c r="B18767" s="0" t="n">
        <v>5764053</v>
      </c>
      <c r="C18767" s="0" t="n">
        <v>5764073</v>
      </c>
      <c r="D18767" s="0" t="s">
        <v>62380</v>
      </c>
      <c r="E18767" s="0" t="s">
        <v>75</v>
      </c>
      <c r="F18767" s="0" t="s">
        <v>90</v>
      </c>
      <c r="G18767" s="0" t="s">
        <v>20</v>
      </c>
      <c r="H18767" s="0" t="n">
        <v>94</v>
      </c>
      <c r="I18767" s="0" t="s">
        <v>62390</v>
      </c>
      <c r="J18767" s="0" t="s">
        <v>62391</v>
      </c>
      <c r="K18767" s="0" t="s">
        <v>62392</v>
      </c>
      <c r="L18767" s="0" t="str">
        <f aca="false">HYPERLINK("https://www.ncbi.nlm.nih.gov/nuccore/CP000058.1?report=graph&amp;tracks=[key:gene_model_track,Options:GeneOnly]&amp;mk=5764142:5764161|offset_6|444444,5764119:5764138|offset_29|444444,5764093:5764112|offset_55|444444,5764054:5764073|offset_94|00cc00&amp;v=5763941:5764273&amp;c=444444", "offset 94")</f>
        <v>offset 94</v>
      </c>
    </row>
    <row r="18768" customFormat="false" ht="12.8" hidden="false" customHeight="false" outlineLevel="0" collapsed="false">
      <c r="A18768" s="0" t="s">
        <v>12</v>
      </c>
      <c r="B18768" s="0" t="n">
        <v>5764486</v>
      </c>
      <c r="C18768" s="0" t="n">
        <v>5764506</v>
      </c>
      <c r="D18768" s="0" t="s">
        <v>62393</v>
      </c>
      <c r="E18768" s="0" t="s">
        <v>62394</v>
      </c>
      <c r="F18768" s="0" t="s">
        <v>15</v>
      </c>
      <c r="G18768" s="0" t="s">
        <v>16</v>
      </c>
      <c r="H18768" s="0" t="n">
        <v>40</v>
      </c>
      <c r="I18768" s="0" t="s">
        <v>62395</v>
      </c>
      <c r="J18768" s="0" t="s">
        <v>62396</v>
      </c>
      <c r="K18768" s="0" t="s">
        <v>62397</v>
      </c>
      <c r="L18768" s="0" t="str">
        <f aca="false">HYPERLINK("https://www.ncbi.nlm.nih.gov/nuccore/CP000058.1?report=graph&amp;tracks=[key:gene_model_track,Options:GeneOnly]&amp;mk=5764487:5764506|offset_40|00cc00,5764522:5764541|offset_75|444444,5764560:5764579|offset_113|444444,5764614:5764633|offset_167|444444&amp;v=5764286:5764833&amp;c=444444", "offset 40")</f>
        <v>offset 40</v>
      </c>
    </row>
    <row r="18769" customFormat="false" ht="12.8" hidden="false" customHeight="false" outlineLevel="0" collapsed="false">
      <c r="A18769" s="0" t="s">
        <v>12</v>
      </c>
      <c r="B18769" s="0" t="n">
        <v>5764521</v>
      </c>
      <c r="C18769" s="0" t="n">
        <v>5764541</v>
      </c>
      <c r="D18769" s="0" t="s">
        <v>62393</v>
      </c>
      <c r="E18769" s="0" t="s">
        <v>62394</v>
      </c>
      <c r="F18769" s="0" t="s">
        <v>15</v>
      </c>
      <c r="G18769" s="0" t="s">
        <v>16</v>
      </c>
      <c r="H18769" s="0" t="n">
        <v>75</v>
      </c>
      <c r="I18769" s="0" t="s">
        <v>62398</v>
      </c>
      <c r="J18769" s="0" t="s">
        <v>62399</v>
      </c>
      <c r="K18769" s="0" t="s">
        <v>62400</v>
      </c>
      <c r="L18769" s="0" t="str">
        <f aca="false">HYPERLINK("https://www.ncbi.nlm.nih.gov/nuccore/CP000058.1?report=graph&amp;tracks=[key:gene_model_track,Options:GeneOnly]&amp;mk=5764487:5764506|offset_40|444444,5764522:5764541|offset_75|00cc00,5764560:5764579|offset_113|444444,5764614:5764633|offset_167|444444&amp;v=5764286:5764833&amp;c=444444", "offset 75")</f>
        <v>offset 75</v>
      </c>
    </row>
    <row r="18770" customFormat="false" ht="12.8" hidden="false" customHeight="false" outlineLevel="0" collapsed="false">
      <c r="A18770" s="0" t="s">
        <v>12</v>
      </c>
      <c r="B18770" s="0" t="n">
        <v>5764559</v>
      </c>
      <c r="C18770" s="0" t="n">
        <v>5764579</v>
      </c>
      <c r="D18770" s="0" t="s">
        <v>62393</v>
      </c>
      <c r="E18770" s="0" t="s">
        <v>62394</v>
      </c>
      <c r="F18770" s="0" t="s">
        <v>15</v>
      </c>
      <c r="G18770" s="0" t="s">
        <v>20</v>
      </c>
      <c r="H18770" s="0" t="n">
        <v>113</v>
      </c>
      <c r="I18770" s="0" t="s">
        <v>62401</v>
      </c>
      <c r="J18770" s="0" t="s">
        <v>62402</v>
      </c>
      <c r="K18770" s="0" t="s">
        <v>62403</v>
      </c>
      <c r="L18770" s="0" t="str">
        <f aca="false">HYPERLINK("https://www.ncbi.nlm.nih.gov/nuccore/CP000058.1?report=graph&amp;tracks=[key:gene_model_track,Options:GeneOnly]&amp;mk=5764487:5764506|offset_40|444444,5764522:5764541|offset_75|444444,5764560:5764579|offset_113|00cc00,5764614:5764633|offset_167|444444&amp;v=5764286:5764833&amp;c=444444", "offset 113")</f>
        <v>offset 113</v>
      </c>
    </row>
    <row r="18771" customFormat="false" ht="12.8" hidden="false" customHeight="false" outlineLevel="0" collapsed="false">
      <c r="A18771" s="0" t="s">
        <v>12</v>
      </c>
      <c r="B18771" s="0" t="n">
        <v>5764613</v>
      </c>
      <c r="C18771" s="0" t="n">
        <v>5764633</v>
      </c>
      <c r="D18771" s="0" t="s">
        <v>62393</v>
      </c>
      <c r="E18771" s="0" t="s">
        <v>62394</v>
      </c>
      <c r="F18771" s="0" t="s">
        <v>15</v>
      </c>
      <c r="G18771" s="0" t="s">
        <v>20</v>
      </c>
      <c r="H18771" s="0" t="n">
        <v>167</v>
      </c>
      <c r="I18771" s="0" t="s">
        <v>62404</v>
      </c>
      <c r="J18771" s="0" t="s">
        <v>62405</v>
      </c>
      <c r="K18771" s="0" t="s">
        <v>62406</v>
      </c>
      <c r="L18771" s="0" t="str">
        <f aca="false">HYPERLINK("https://www.ncbi.nlm.nih.gov/nuccore/CP000058.1?report=graph&amp;tracks=[key:gene_model_track,Options:GeneOnly]&amp;mk=5764487:5764506|offset_40|444444,5764522:5764541|offset_75|444444,5764560:5764579|offset_113|444444,5764614:5764633|offset_167|00cc00&amp;v=5764286:5764833&amp;c=444444", "offset 167")</f>
        <v>offset 167</v>
      </c>
    </row>
    <row r="18772" customFormat="false" ht="12.8" hidden="false" customHeight="false" outlineLevel="0" collapsed="false">
      <c r="A18772" s="0" t="s">
        <v>12</v>
      </c>
      <c r="B18772" s="0" t="n">
        <v>5764964</v>
      </c>
      <c r="C18772" s="0" t="n">
        <v>5764984</v>
      </c>
      <c r="D18772" s="0" t="s">
        <v>62407</v>
      </c>
      <c r="E18772" s="0" t="s">
        <v>75</v>
      </c>
      <c r="F18772" s="0" t="s">
        <v>15</v>
      </c>
      <c r="G18772" s="0" t="s">
        <v>20</v>
      </c>
      <c r="H18772" s="0" t="n">
        <v>109</v>
      </c>
      <c r="I18772" s="0" t="s">
        <v>62408</v>
      </c>
      <c r="J18772" s="0" t="s">
        <v>62409</v>
      </c>
      <c r="K18772" s="0" t="s">
        <v>62410</v>
      </c>
      <c r="L18772" s="0" t="str">
        <f aca="false">HYPERLINK("https://www.ncbi.nlm.nih.gov/nuccore/CP000058.1?report=graph&amp;tracks=[key:gene_model_track,Options:GeneOnly]&amp;mk=5764965:5764984|offset_109|00cc00,5765048:5765067|offset_192|444444,5765112:5765131|offset_256|444444,5765139:5765158|offset_283|444444&amp;v=5764764:5765358&amp;c=444444", "offset 109")</f>
        <v>offset 109</v>
      </c>
    </row>
    <row r="18773" customFormat="false" ht="12.8" hidden="false" customHeight="false" outlineLevel="0" collapsed="false">
      <c r="A18773" s="0" t="s">
        <v>12</v>
      </c>
      <c r="B18773" s="0" t="n">
        <v>5765047</v>
      </c>
      <c r="C18773" s="0" t="n">
        <v>5765067</v>
      </c>
      <c r="D18773" s="0" t="s">
        <v>62407</v>
      </c>
      <c r="E18773" s="0" t="s">
        <v>75</v>
      </c>
      <c r="F18773" s="0" t="s">
        <v>15</v>
      </c>
      <c r="G18773" s="0" t="s">
        <v>16</v>
      </c>
      <c r="H18773" s="0" t="n">
        <v>192</v>
      </c>
      <c r="I18773" s="0" t="s">
        <v>62411</v>
      </c>
      <c r="J18773" s="0" t="s">
        <v>62412</v>
      </c>
      <c r="K18773" s="0" t="s">
        <v>62413</v>
      </c>
      <c r="L18773" s="0" t="str">
        <f aca="false">HYPERLINK("https://www.ncbi.nlm.nih.gov/nuccore/CP000058.1?report=graph&amp;tracks=[key:gene_model_track,Options:GeneOnly]&amp;mk=5764965:5764984|offset_109|444444,5765048:5765067|offset_192|00cc00,5765112:5765131|offset_256|444444,5765139:5765158|offset_283|444444&amp;v=5764764:5765358&amp;c=444444", "offset 192")</f>
        <v>offset 192</v>
      </c>
    </row>
    <row r="18774" customFormat="false" ht="12.8" hidden="false" customHeight="false" outlineLevel="0" collapsed="false">
      <c r="A18774" s="0" t="s">
        <v>12</v>
      </c>
      <c r="B18774" s="0" t="n">
        <v>5765111</v>
      </c>
      <c r="C18774" s="0" t="n">
        <v>5765131</v>
      </c>
      <c r="D18774" s="0" t="s">
        <v>62407</v>
      </c>
      <c r="E18774" s="0" t="s">
        <v>75</v>
      </c>
      <c r="F18774" s="0" t="s">
        <v>15</v>
      </c>
      <c r="G18774" s="0" t="s">
        <v>32</v>
      </c>
      <c r="H18774" s="0" t="n">
        <v>256</v>
      </c>
      <c r="I18774" s="0" t="s">
        <v>62414</v>
      </c>
      <c r="J18774" s="0" t="s">
        <v>62415</v>
      </c>
      <c r="K18774" s="0" t="s">
        <v>62416</v>
      </c>
      <c r="L18774" s="0" t="str">
        <f aca="false">HYPERLINK("https://www.ncbi.nlm.nih.gov/nuccore/CP000058.1?report=graph&amp;tracks=[key:gene_model_track,Options:GeneOnly]&amp;mk=5764965:5764984|offset_109|444444,5765048:5765067|offset_192|444444,5765112:5765131|offset_256|00cc00,5765139:5765158|offset_283|444444&amp;v=5764764:5765358&amp;c=444444", "offset 256")</f>
        <v>offset 256</v>
      </c>
    </row>
    <row r="18775" customFormat="false" ht="12.8" hidden="false" customHeight="false" outlineLevel="0" collapsed="false">
      <c r="A18775" s="0" t="s">
        <v>12</v>
      </c>
      <c r="B18775" s="0" t="n">
        <v>5765138</v>
      </c>
      <c r="C18775" s="0" t="n">
        <v>5765158</v>
      </c>
      <c r="D18775" s="0" t="s">
        <v>62407</v>
      </c>
      <c r="E18775" s="0" t="s">
        <v>75</v>
      </c>
      <c r="F18775" s="0" t="s">
        <v>15</v>
      </c>
      <c r="G18775" s="0" t="s">
        <v>32</v>
      </c>
      <c r="H18775" s="0" t="n">
        <v>283</v>
      </c>
      <c r="I18775" s="0" t="s">
        <v>62417</v>
      </c>
      <c r="J18775" s="0" t="s">
        <v>62418</v>
      </c>
      <c r="K18775" s="0" t="s">
        <v>62419</v>
      </c>
      <c r="L18775" s="0" t="str">
        <f aca="false">HYPERLINK("https://www.ncbi.nlm.nih.gov/nuccore/CP000058.1?report=graph&amp;tracks=[key:gene_model_track,Options:GeneOnly]&amp;mk=5764965:5764984|offset_109|444444,5765048:5765067|offset_192|444444,5765112:5765131|offset_256|444444,5765139:5765158|offset_283|00cc00&amp;v=5764764:5765358&amp;c=444444", "offset 283")</f>
        <v>offset 283</v>
      </c>
    </row>
    <row r="18776" customFormat="false" ht="12.8" hidden="false" customHeight="false" outlineLevel="0" collapsed="false">
      <c r="A18776" s="0" t="s">
        <v>12</v>
      </c>
      <c r="B18776" s="0" t="n">
        <v>5765883</v>
      </c>
      <c r="C18776" s="0" t="n">
        <v>5765903</v>
      </c>
      <c r="D18776" s="0" t="s">
        <v>62420</v>
      </c>
      <c r="E18776" s="0" t="s">
        <v>75</v>
      </c>
      <c r="F18776" s="0" t="s">
        <v>15</v>
      </c>
      <c r="G18776" s="0" t="s">
        <v>36</v>
      </c>
      <c r="H18776" s="0" t="n">
        <v>35</v>
      </c>
      <c r="I18776" s="0" t="s">
        <v>62421</v>
      </c>
      <c r="J18776" s="0" t="s">
        <v>62422</v>
      </c>
      <c r="K18776" s="0" t="s">
        <v>62423</v>
      </c>
      <c r="L18776" s="0" t="str">
        <f aca="false">HYPERLINK("https://www.ncbi.nlm.nih.gov/nuccore/CP000058.1?report=graph&amp;tracks=[key:gene_model_track,Options:GeneOnly]&amp;mk=5765884:5765903|offset_35|00cc00,5765912:5765931|offset_63|444444,5765937:5765956|offset_88|444444,5765960:5765979|offset_111|444444&amp;v=5765683:5766179&amp;c=444444", "offset 35")</f>
        <v>offset 35</v>
      </c>
    </row>
    <row r="18777" customFormat="false" ht="12.8" hidden="false" customHeight="false" outlineLevel="0" collapsed="false">
      <c r="A18777" s="0" t="s">
        <v>12</v>
      </c>
      <c r="B18777" s="0" t="n">
        <v>5765911</v>
      </c>
      <c r="C18777" s="0" t="n">
        <v>5765931</v>
      </c>
      <c r="D18777" s="0" t="s">
        <v>62420</v>
      </c>
      <c r="E18777" s="0" t="s">
        <v>75</v>
      </c>
      <c r="F18777" s="0" t="s">
        <v>15</v>
      </c>
      <c r="G18777" s="0" t="s">
        <v>20</v>
      </c>
      <c r="H18777" s="0" t="n">
        <v>63</v>
      </c>
      <c r="I18777" s="0" t="s">
        <v>62424</v>
      </c>
      <c r="J18777" s="0" t="s">
        <v>62425</v>
      </c>
      <c r="K18777" s="0" t="s">
        <v>62426</v>
      </c>
      <c r="L18777" s="0" t="str">
        <f aca="false">HYPERLINK("https://www.ncbi.nlm.nih.gov/nuccore/CP000058.1?report=graph&amp;tracks=[key:gene_model_track,Options:GeneOnly]&amp;mk=5765884:5765903|offset_35|444444,5765912:5765931|offset_63|00cc00,5765937:5765956|offset_88|444444,5765960:5765979|offset_111|444444&amp;v=5765683:5766179&amp;c=444444", "offset 63")</f>
        <v>offset 63</v>
      </c>
    </row>
    <row r="18778" customFormat="false" ht="12.8" hidden="false" customHeight="false" outlineLevel="0" collapsed="false">
      <c r="A18778" s="0" t="s">
        <v>12</v>
      </c>
      <c r="B18778" s="0" t="n">
        <v>5765936</v>
      </c>
      <c r="C18778" s="0" t="n">
        <v>5765956</v>
      </c>
      <c r="D18778" s="0" t="s">
        <v>62420</v>
      </c>
      <c r="E18778" s="0" t="s">
        <v>75</v>
      </c>
      <c r="F18778" s="0" t="s">
        <v>15</v>
      </c>
      <c r="G18778" s="0" t="s">
        <v>36</v>
      </c>
      <c r="H18778" s="0" t="n">
        <v>88</v>
      </c>
      <c r="I18778" s="0" t="s">
        <v>62427</v>
      </c>
      <c r="J18778" s="0" t="s">
        <v>62428</v>
      </c>
      <c r="K18778" s="0" t="s">
        <v>62429</v>
      </c>
      <c r="L18778" s="0" t="str">
        <f aca="false">HYPERLINK("https://www.ncbi.nlm.nih.gov/nuccore/CP000058.1?report=graph&amp;tracks=[key:gene_model_track,Options:GeneOnly]&amp;mk=5765884:5765903|offset_35|444444,5765912:5765931|offset_63|444444,5765937:5765956|offset_88|00cc00,5765960:5765979|offset_111|444444&amp;v=5765683:5766179&amp;c=444444", "offset 88")</f>
        <v>offset 88</v>
      </c>
    </row>
    <row r="18779" customFormat="false" ht="12.8" hidden="false" customHeight="false" outlineLevel="0" collapsed="false">
      <c r="A18779" s="0" t="s">
        <v>12</v>
      </c>
      <c r="B18779" s="0" t="n">
        <v>5765959</v>
      </c>
      <c r="C18779" s="0" t="n">
        <v>5765979</v>
      </c>
      <c r="D18779" s="0" t="s">
        <v>62420</v>
      </c>
      <c r="E18779" s="0" t="s">
        <v>75</v>
      </c>
      <c r="F18779" s="0" t="s">
        <v>15</v>
      </c>
      <c r="G18779" s="0" t="s">
        <v>36</v>
      </c>
      <c r="H18779" s="0" t="n">
        <v>111</v>
      </c>
      <c r="I18779" s="0" t="s">
        <v>62430</v>
      </c>
      <c r="J18779" s="0" t="s">
        <v>62431</v>
      </c>
      <c r="K18779" s="0" t="s">
        <v>62432</v>
      </c>
      <c r="L18779" s="0" t="str">
        <f aca="false">HYPERLINK("https://www.ncbi.nlm.nih.gov/nuccore/CP000058.1?report=graph&amp;tracks=[key:gene_model_track,Options:GeneOnly]&amp;mk=5765884:5765903|offset_35|444444,5765912:5765931|offset_63|444444,5765937:5765956|offset_88|444444,5765960:5765979|offset_111|00cc00&amp;v=5765683:5766179&amp;c=444444", "offset 111")</f>
        <v>offset 111</v>
      </c>
    </row>
    <row r="18780" customFormat="false" ht="12.8" hidden="false" customHeight="false" outlineLevel="0" collapsed="false">
      <c r="A18780" s="0" t="s">
        <v>12</v>
      </c>
      <c r="B18780" s="0" t="n">
        <v>5769244</v>
      </c>
      <c r="C18780" s="0" t="n">
        <v>5769264</v>
      </c>
      <c r="D18780" s="0" t="s">
        <v>62433</v>
      </c>
      <c r="E18780" s="0" t="s">
        <v>75</v>
      </c>
      <c r="F18780" s="0" t="s">
        <v>90</v>
      </c>
      <c r="G18780" s="0" t="s">
        <v>20</v>
      </c>
      <c r="H18780" s="0" t="n">
        <v>70</v>
      </c>
      <c r="I18780" s="0" t="s">
        <v>62434</v>
      </c>
      <c r="J18780" s="0" t="s">
        <v>62435</v>
      </c>
      <c r="K18780" s="0" t="s">
        <v>62436</v>
      </c>
      <c r="L18780" s="0" t="str">
        <f aca="false">HYPERLINK("https://www.ncbi.nlm.nih.gov/nuccore/CP000058.1?report=graph&amp;tracks=[key:gene_model_track,Options:GeneOnly]&amp;mk=5769245:5769264|offset_70|00cc00,5769203:5769222|offset_112|444444,5769158:5769177|offset_157|444444,5769079:5769098|offset_236|444444&amp;v=5769044:5769298&amp;c=444444", "offset 70")</f>
        <v>offset 70</v>
      </c>
    </row>
    <row r="18781" customFormat="false" ht="12.8" hidden="false" customHeight="false" outlineLevel="0" collapsed="false">
      <c r="A18781" s="0" t="s">
        <v>12</v>
      </c>
      <c r="B18781" s="0" t="n">
        <v>5769202</v>
      </c>
      <c r="C18781" s="0" t="n">
        <v>5769222</v>
      </c>
      <c r="D18781" s="0" t="s">
        <v>62433</v>
      </c>
      <c r="E18781" s="0" t="s">
        <v>75</v>
      </c>
      <c r="F18781" s="0" t="s">
        <v>90</v>
      </c>
      <c r="G18781" s="0" t="s">
        <v>32</v>
      </c>
      <c r="H18781" s="0" t="n">
        <v>112</v>
      </c>
      <c r="I18781" s="0" t="s">
        <v>62437</v>
      </c>
      <c r="J18781" s="0" t="s">
        <v>62438</v>
      </c>
      <c r="K18781" s="0" t="s">
        <v>62439</v>
      </c>
      <c r="L18781" s="0" t="str">
        <f aca="false">HYPERLINK("https://www.ncbi.nlm.nih.gov/nuccore/CP000058.1?report=graph&amp;tracks=[key:gene_model_track,Options:GeneOnly]&amp;mk=5769245:5769264|offset_70|444444,5769203:5769222|offset_112|00cc00,5769158:5769177|offset_157|444444,5769079:5769098|offset_236|444444&amp;v=5769044:5769298&amp;c=444444", "offset 112")</f>
        <v>offset 112</v>
      </c>
    </row>
    <row r="18782" customFormat="false" ht="12.8" hidden="false" customHeight="false" outlineLevel="0" collapsed="false">
      <c r="A18782" s="0" t="s">
        <v>12</v>
      </c>
      <c r="B18782" s="0" t="n">
        <v>5769157</v>
      </c>
      <c r="C18782" s="0" t="n">
        <v>5769177</v>
      </c>
      <c r="D18782" s="0" t="s">
        <v>62433</v>
      </c>
      <c r="E18782" s="0" t="s">
        <v>75</v>
      </c>
      <c r="F18782" s="0" t="s">
        <v>90</v>
      </c>
      <c r="G18782" s="0" t="s">
        <v>16</v>
      </c>
      <c r="H18782" s="0" t="n">
        <v>157</v>
      </c>
      <c r="I18782" s="0" t="s">
        <v>62440</v>
      </c>
      <c r="J18782" s="0" t="s">
        <v>62441</v>
      </c>
      <c r="K18782" s="0" t="s">
        <v>62442</v>
      </c>
      <c r="L18782" s="0" t="str">
        <f aca="false">HYPERLINK("https://www.ncbi.nlm.nih.gov/nuccore/CP000058.1?report=graph&amp;tracks=[key:gene_model_track,Options:GeneOnly]&amp;mk=5769245:5769264|offset_70|444444,5769203:5769222|offset_112|444444,5769158:5769177|offset_157|00cc00,5769079:5769098|offset_236|444444&amp;v=5769044:5769298&amp;c=444444", "offset 157")</f>
        <v>offset 157</v>
      </c>
    </row>
    <row r="18783" customFormat="false" ht="12.8" hidden="false" customHeight="false" outlineLevel="0" collapsed="false">
      <c r="A18783" s="0" t="s">
        <v>12</v>
      </c>
      <c r="B18783" s="0" t="n">
        <v>5769078</v>
      </c>
      <c r="C18783" s="0" t="n">
        <v>5769098</v>
      </c>
      <c r="D18783" s="0" t="s">
        <v>62433</v>
      </c>
      <c r="E18783" s="0" t="s">
        <v>75</v>
      </c>
      <c r="F18783" s="0" t="s">
        <v>90</v>
      </c>
      <c r="G18783" s="0" t="s">
        <v>32</v>
      </c>
      <c r="H18783" s="0" t="n">
        <v>236</v>
      </c>
      <c r="I18783" s="0" t="s">
        <v>62443</v>
      </c>
      <c r="J18783" s="0" t="s">
        <v>62444</v>
      </c>
      <c r="K18783" s="0" t="s">
        <v>62445</v>
      </c>
      <c r="L18783" s="0" t="str">
        <f aca="false">HYPERLINK("https://www.ncbi.nlm.nih.gov/nuccore/CP000058.1?report=graph&amp;tracks=[key:gene_model_track,Options:GeneOnly]&amp;mk=5769245:5769264|offset_70|444444,5769203:5769222|offset_112|444444,5769158:5769177|offset_157|444444,5769079:5769098|offset_236|00cc00&amp;v=5769044:5769298&amp;c=444444", "offset 236")</f>
        <v>offset 236</v>
      </c>
    </row>
    <row r="18784" customFormat="false" ht="12.8" hidden="false" customHeight="false" outlineLevel="0" collapsed="false">
      <c r="A18784" s="0" t="s">
        <v>12</v>
      </c>
      <c r="B18784" s="0" t="n">
        <v>5769506</v>
      </c>
      <c r="C18784" s="0" t="n">
        <v>5769526</v>
      </c>
      <c r="D18784" s="0" t="s">
        <v>62446</v>
      </c>
      <c r="E18784" s="0" t="s">
        <v>75</v>
      </c>
      <c r="F18784" s="0" t="s">
        <v>15</v>
      </c>
      <c r="G18784" s="0" t="s">
        <v>16</v>
      </c>
      <c r="H18784" s="0" t="n">
        <v>19</v>
      </c>
      <c r="I18784" s="0" t="s">
        <v>62447</v>
      </c>
      <c r="J18784" s="0" t="s">
        <v>62448</v>
      </c>
      <c r="K18784" s="0" t="s">
        <v>62449</v>
      </c>
      <c r="L18784" s="0" t="str">
        <f aca="false">HYPERLINK("https://www.ncbi.nlm.nih.gov/nuccore/CP000058.1?report=graph&amp;tracks=[key:gene_model_track,Options:GeneOnly]&amp;mk=5769507:5769526|offset_19|00cc00,5769528:5769547|offset_40|444444,5769550:5769569|offset_62|444444,5769579:5769598|offset_91|444444&amp;v=5769306:5769798&amp;c=444444", "offset 19")</f>
        <v>offset 19</v>
      </c>
    </row>
    <row r="18785" customFormat="false" ht="12.8" hidden="false" customHeight="false" outlineLevel="0" collapsed="false">
      <c r="A18785" s="0" t="s">
        <v>12</v>
      </c>
      <c r="B18785" s="0" t="n">
        <v>5769527</v>
      </c>
      <c r="C18785" s="0" t="n">
        <v>5769547</v>
      </c>
      <c r="D18785" s="0" t="s">
        <v>62446</v>
      </c>
      <c r="E18785" s="0" t="s">
        <v>75</v>
      </c>
      <c r="F18785" s="0" t="s">
        <v>15</v>
      </c>
      <c r="G18785" s="0" t="s">
        <v>16</v>
      </c>
      <c r="H18785" s="0" t="n">
        <v>40</v>
      </c>
      <c r="I18785" s="0" t="s">
        <v>62450</v>
      </c>
      <c r="J18785" s="0" t="s">
        <v>62451</v>
      </c>
      <c r="K18785" s="0" t="s">
        <v>62452</v>
      </c>
      <c r="L18785" s="0" t="str">
        <f aca="false">HYPERLINK("https://www.ncbi.nlm.nih.gov/nuccore/CP000058.1?report=graph&amp;tracks=[key:gene_model_track,Options:GeneOnly]&amp;mk=5769507:5769526|offset_19|444444,5769528:5769547|offset_40|00cc00,5769550:5769569|offset_62|444444,5769579:5769598|offset_91|444444&amp;v=5769306:5769798&amp;c=444444", "offset 40")</f>
        <v>offset 40</v>
      </c>
    </row>
    <row r="18786" customFormat="false" ht="12.8" hidden="false" customHeight="false" outlineLevel="0" collapsed="false">
      <c r="A18786" s="0" t="s">
        <v>12</v>
      </c>
      <c r="B18786" s="0" t="n">
        <v>5769549</v>
      </c>
      <c r="C18786" s="0" t="n">
        <v>5769569</v>
      </c>
      <c r="D18786" s="0" t="s">
        <v>62446</v>
      </c>
      <c r="E18786" s="0" t="s">
        <v>75</v>
      </c>
      <c r="F18786" s="0" t="s">
        <v>15</v>
      </c>
      <c r="G18786" s="0" t="s">
        <v>20</v>
      </c>
      <c r="H18786" s="0" t="n">
        <v>62</v>
      </c>
      <c r="I18786" s="0" t="s">
        <v>62453</v>
      </c>
      <c r="J18786" s="0" t="s">
        <v>62454</v>
      </c>
      <c r="K18786" s="0" t="s">
        <v>62455</v>
      </c>
      <c r="L18786" s="0" t="str">
        <f aca="false">HYPERLINK("https://www.ncbi.nlm.nih.gov/nuccore/CP000058.1?report=graph&amp;tracks=[key:gene_model_track,Options:GeneOnly]&amp;mk=5769507:5769526|offset_19|444444,5769528:5769547|offset_40|444444,5769550:5769569|offset_62|00cc00,5769579:5769598|offset_91|444444&amp;v=5769306:5769798&amp;c=444444", "offset 62")</f>
        <v>offset 62</v>
      </c>
    </row>
    <row r="18787" customFormat="false" ht="12.8" hidden="false" customHeight="false" outlineLevel="0" collapsed="false">
      <c r="A18787" s="0" t="s">
        <v>12</v>
      </c>
      <c r="B18787" s="0" t="n">
        <v>5769578</v>
      </c>
      <c r="C18787" s="0" t="n">
        <v>5769598</v>
      </c>
      <c r="D18787" s="0" t="s">
        <v>62446</v>
      </c>
      <c r="E18787" s="0" t="s">
        <v>75</v>
      </c>
      <c r="F18787" s="0" t="s">
        <v>15</v>
      </c>
      <c r="G18787" s="0" t="s">
        <v>16</v>
      </c>
      <c r="H18787" s="0" t="n">
        <v>91</v>
      </c>
      <c r="I18787" s="0" t="s">
        <v>62456</v>
      </c>
      <c r="J18787" s="0" t="s">
        <v>62457</v>
      </c>
      <c r="K18787" s="0" t="s">
        <v>62458</v>
      </c>
      <c r="L18787" s="0" t="str">
        <f aca="false">HYPERLINK("https://www.ncbi.nlm.nih.gov/nuccore/CP000058.1?report=graph&amp;tracks=[key:gene_model_track,Options:GeneOnly]&amp;mk=5769507:5769526|offset_19|444444,5769528:5769547|offset_40|444444,5769550:5769569|offset_62|444444,5769579:5769598|offset_91|00cc00&amp;v=5769306:5769798&amp;c=444444", "offset 91")</f>
        <v>offset 91</v>
      </c>
    </row>
    <row r="18788" customFormat="false" ht="12.8" hidden="false" customHeight="false" outlineLevel="0" collapsed="false">
      <c r="A18788" s="0" t="s">
        <v>12</v>
      </c>
      <c r="B18788" s="0" t="n">
        <v>5770213</v>
      </c>
      <c r="C18788" s="0" t="n">
        <v>5770233</v>
      </c>
      <c r="D18788" s="0" t="s">
        <v>62459</v>
      </c>
      <c r="E18788" s="0" t="s">
        <v>75</v>
      </c>
      <c r="F18788" s="0" t="s">
        <v>15</v>
      </c>
      <c r="G18788" s="0" t="s">
        <v>36</v>
      </c>
      <c r="H18788" s="0" t="n">
        <v>16</v>
      </c>
      <c r="I18788" s="0" t="s">
        <v>62460</v>
      </c>
      <c r="J18788" s="0" t="s">
        <v>62461</v>
      </c>
      <c r="K18788" s="0" t="s">
        <v>62462</v>
      </c>
      <c r="L18788" s="0" t="str">
        <f aca="false">HYPERLINK("https://www.ncbi.nlm.nih.gov/nuccore/CP000058.1?report=graph&amp;tracks=[key:gene_model_track,Options:GeneOnly]&amp;mk=5770214:5770233|offset_16|00cc00,5770241:5770260|offset_43|444444,5770280:5770299|offset_82|444444,5770316:5770335|offset_118|444444&amp;v=5770013:5770535&amp;c=444444", "offset 16")</f>
        <v>offset 16</v>
      </c>
    </row>
    <row r="18789" customFormat="false" ht="12.8" hidden="false" customHeight="false" outlineLevel="0" collapsed="false">
      <c r="A18789" s="0" t="s">
        <v>12</v>
      </c>
      <c r="B18789" s="0" t="n">
        <v>5770240</v>
      </c>
      <c r="C18789" s="0" t="n">
        <v>5770260</v>
      </c>
      <c r="D18789" s="0" t="s">
        <v>62459</v>
      </c>
      <c r="E18789" s="0" t="s">
        <v>75</v>
      </c>
      <c r="F18789" s="0" t="s">
        <v>15</v>
      </c>
      <c r="G18789" s="0" t="s">
        <v>32</v>
      </c>
      <c r="H18789" s="0" t="n">
        <v>43</v>
      </c>
      <c r="I18789" s="0" t="s">
        <v>62463</v>
      </c>
      <c r="J18789" s="0" t="s">
        <v>62464</v>
      </c>
      <c r="K18789" s="0" t="s">
        <v>62465</v>
      </c>
      <c r="L18789" s="0" t="str">
        <f aca="false">HYPERLINK("https://www.ncbi.nlm.nih.gov/nuccore/CP000058.1?report=graph&amp;tracks=[key:gene_model_track,Options:GeneOnly]&amp;mk=5770214:5770233|offset_16|444444,5770241:5770260|offset_43|00cc00,5770280:5770299|offset_82|444444,5770316:5770335|offset_118|444444&amp;v=5770013:5770535&amp;c=444444", "offset 43")</f>
        <v>offset 43</v>
      </c>
    </row>
    <row r="18790" customFormat="false" ht="12.8" hidden="false" customHeight="false" outlineLevel="0" collapsed="false">
      <c r="A18790" s="0" t="s">
        <v>12</v>
      </c>
      <c r="B18790" s="0" t="n">
        <v>5770279</v>
      </c>
      <c r="C18790" s="0" t="n">
        <v>5770299</v>
      </c>
      <c r="D18790" s="0" t="s">
        <v>62459</v>
      </c>
      <c r="E18790" s="0" t="s">
        <v>75</v>
      </c>
      <c r="F18790" s="0" t="s">
        <v>15</v>
      </c>
      <c r="G18790" s="0" t="s">
        <v>16</v>
      </c>
      <c r="H18790" s="0" t="n">
        <v>82</v>
      </c>
      <c r="I18790" s="0" t="s">
        <v>62466</v>
      </c>
      <c r="J18790" s="0" t="s">
        <v>62467</v>
      </c>
      <c r="K18790" s="0" t="s">
        <v>62468</v>
      </c>
      <c r="L18790" s="0" t="str">
        <f aca="false">HYPERLINK("https://www.ncbi.nlm.nih.gov/nuccore/CP000058.1?report=graph&amp;tracks=[key:gene_model_track,Options:GeneOnly]&amp;mk=5770214:5770233|offset_16|444444,5770241:5770260|offset_43|444444,5770280:5770299|offset_82|00cc00,5770316:5770335|offset_118|444444&amp;v=5770013:5770535&amp;c=444444", "offset 82")</f>
        <v>offset 82</v>
      </c>
    </row>
    <row r="18791" customFormat="false" ht="12.8" hidden="false" customHeight="false" outlineLevel="0" collapsed="false">
      <c r="A18791" s="0" t="s">
        <v>12</v>
      </c>
      <c r="B18791" s="0" t="n">
        <v>5770315</v>
      </c>
      <c r="C18791" s="0" t="n">
        <v>5770335</v>
      </c>
      <c r="D18791" s="0" t="s">
        <v>62459</v>
      </c>
      <c r="E18791" s="0" t="s">
        <v>75</v>
      </c>
      <c r="F18791" s="0" t="s">
        <v>15</v>
      </c>
      <c r="G18791" s="0" t="s">
        <v>32</v>
      </c>
      <c r="H18791" s="0" t="n">
        <v>118</v>
      </c>
      <c r="I18791" s="0" t="s">
        <v>62469</v>
      </c>
      <c r="J18791" s="0" t="s">
        <v>62470</v>
      </c>
      <c r="K18791" s="0" t="s">
        <v>62471</v>
      </c>
      <c r="L18791" s="0" t="str">
        <f aca="false">HYPERLINK("https://www.ncbi.nlm.nih.gov/nuccore/CP000058.1?report=graph&amp;tracks=[key:gene_model_track,Options:GeneOnly]&amp;mk=5770214:5770233|offset_16|444444,5770241:5770260|offset_43|444444,5770280:5770299|offset_82|444444,5770316:5770335|offset_118|00cc00&amp;v=5770013:5770535&amp;c=444444", "offset 118")</f>
        <v>offset 118</v>
      </c>
    </row>
    <row r="18792" customFormat="false" ht="12.8" hidden="false" customHeight="false" outlineLevel="0" collapsed="false">
      <c r="A18792" s="0" t="s">
        <v>12</v>
      </c>
      <c r="B18792" s="0" t="n">
        <v>5771523</v>
      </c>
      <c r="C18792" s="0" t="n">
        <v>5771543</v>
      </c>
      <c r="D18792" s="0" t="s">
        <v>62472</v>
      </c>
      <c r="E18792" s="0" t="s">
        <v>75</v>
      </c>
      <c r="F18792" s="0" t="s">
        <v>15</v>
      </c>
      <c r="G18792" s="0" t="s">
        <v>16</v>
      </c>
      <c r="H18792" s="0" t="n">
        <v>0</v>
      </c>
      <c r="I18792" s="0" t="s">
        <v>62473</v>
      </c>
      <c r="J18792" s="0" t="s">
        <v>62474</v>
      </c>
      <c r="K18792" s="0" t="s">
        <v>62475</v>
      </c>
      <c r="L18792" s="0" t="str">
        <f aca="false">HYPERLINK("https://www.ncbi.nlm.nih.gov/nuccore/CP000058.1?report=graph&amp;tracks=[key:gene_model_track,Options:GeneOnly]&amp;mk=5771524:5771543|offset_0|00cc00,5771549:5771568|offset_25|444444,5771581:5771600|offset_57|444444,5771603:5771622|offset_79|444444&amp;v=5771323:5771822&amp;c=444444", "offset 0")</f>
        <v>offset 0</v>
      </c>
    </row>
    <row r="18793" customFormat="false" ht="12.8" hidden="false" customHeight="false" outlineLevel="0" collapsed="false">
      <c r="A18793" s="0" t="s">
        <v>12</v>
      </c>
      <c r="B18793" s="0" t="n">
        <v>5771548</v>
      </c>
      <c r="C18793" s="0" t="n">
        <v>5771568</v>
      </c>
      <c r="D18793" s="0" t="s">
        <v>62472</v>
      </c>
      <c r="E18793" s="0" t="s">
        <v>75</v>
      </c>
      <c r="F18793" s="0" t="s">
        <v>15</v>
      </c>
      <c r="G18793" s="0" t="s">
        <v>20</v>
      </c>
      <c r="H18793" s="0" t="n">
        <v>25</v>
      </c>
      <c r="I18793" s="0" t="s">
        <v>62476</v>
      </c>
      <c r="J18793" s="0" t="s">
        <v>62477</v>
      </c>
      <c r="K18793" s="0" t="s">
        <v>62478</v>
      </c>
      <c r="L18793" s="0" t="str">
        <f aca="false">HYPERLINK("https://www.ncbi.nlm.nih.gov/nuccore/CP000058.1?report=graph&amp;tracks=[key:gene_model_track,Options:GeneOnly]&amp;mk=5771524:5771543|offset_0|444444,5771549:5771568|offset_25|00cc00,5771581:5771600|offset_57|444444,5771603:5771622|offset_79|444444&amp;v=5771323:5771822&amp;c=444444", "offset 25")</f>
        <v>offset 25</v>
      </c>
    </row>
    <row r="18794" customFormat="false" ht="12.8" hidden="false" customHeight="false" outlineLevel="0" collapsed="false">
      <c r="A18794" s="0" t="s">
        <v>12</v>
      </c>
      <c r="B18794" s="0" t="n">
        <v>5771580</v>
      </c>
      <c r="C18794" s="0" t="n">
        <v>5771600</v>
      </c>
      <c r="D18794" s="0" t="s">
        <v>62472</v>
      </c>
      <c r="E18794" s="0" t="s">
        <v>75</v>
      </c>
      <c r="F18794" s="0" t="s">
        <v>15</v>
      </c>
      <c r="G18794" s="0" t="s">
        <v>20</v>
      </c>
      <c r="H18794" s="0" t="n">
        <v>57</v>
      </c>
      <c r="I18794" s="0" t="s">
        <v>62479</v>
      </c>
      <c r="J18794" s="0" t="s">
        <v>62480</v>
      </c>
      <c r="K18794" s="0" t="s">
        <v>62481</v>
      </c>
      <c r="L18794" s="0" t="str">
        <f aca="false">HYPERLINK("https://www.ncbi.nlm.nih.gov/nuccore/CP000058.1?report=graph&amp;tracks=[key:gene_model_track,Options:GeneOnly]&amp;mk=5771524:5771543|offset_0|444444,5771549:5771568|offset_25|444444,5771581:5771600|offset_57|00cc00,5771603:5771622|offset_79|444444&amp;v=5771323:5771822&amp;c=444444", "offset 57")</f>
        <v>offset 57</v>
      </c>
    </row>
    <row r="18795" customFormat="false" ht="12.8" hidden="false" customHeight="false" outlineLevel="0" collapsed="false">
      <c r="A18795" s="0" t="s">
        <v>12</v>
      </c>
      <c r="B18795" s="0" t="n">
        <v>5771602</v>
      </c>
      <c r="C18795" s="0" t="n">
        <v>5771622</v>
      </c>
      <c r="D18795" s="0" t="s">
        <v>62472</v>
      </c>
      <c r="E18795" s="0" t="s">
        <v>75</v>
      </c>
      <c r="F18795" s="0" t="s">
        <v>15</v>
      </c>
      <c r="G18795" s="0" t="s">
        <v>16</v>
      </c>
      <c r="H18795" s="0" t="n">
        <v>79</v>
      </c>
      <c r="I18795" s="0" t="s">
        <v>62482</v>
      </c>
      <c r="J18795" s="0" t="s">
        <v>62483</v>
      </c>
      <c r="K18795" s="0" t="s">
        <v>62484</v>
      </c>
      <c r="L18795" s="0" t="str">
        <f aca="false">HYPERLINK("https://www.ncbi.nlm.nih.gov/nuccore/CP000058.1?report=graph&amp;tracks=[key:gene_model_track,Options:GeneOnly]&amp;mk=5771524:5771543|offset_0|444444,5771549:5771568|offset_25|444444,5771581:5771600|offset_57|444444,5771603:5771622|offset_79|00cc00&amp;v=5771323:5771822&amp;c=444444", "offset 79")</f>
        <v>offset 79</v>
      </c>
    </row>
    <row r="18796" customFormat="false" ht="12.8" hidden="false" customHeight="false" outlineLevel="0" collapsed="false">
      <c r="A18796" s="0" t="s">
        <v>12</v>
      </c>
      <c r="B18796" s="0" t="n">
        <v>5772919</v>
      </c>
      <c r="C18796" s="0" t="n">
        <v>5772939</v>
      </c>
      <c r="D18796" s="0" t="s">
        <v>62485</v>
      </c>
      <c r="E18796" s="0" t="s">
        <v>75</v>
      </c>
      <c r="F18796" s="0" t="s">
        <v>15</v>
      </c>
      <c r="G18796" s="0" t="s">
        <v>16</v>
      </c>
      <c r="H18796" s="0" t="n">
        <v>29</v>
      </c>
      <c r="I18796" s="0" t="s">
        <v>62486</v>
      </c>
      <c r="J18796" s="0" t="s">
        <v>62487</v>
      </c>
      <c r="K18796" s="0" t="s">
        <v>62488</v>
      </c>
      <c r="L18796" s="0" t="str">
        <f aca="false">HYPERLINK("https://www.ncbi.nlm.nih.gov/nuccore/CP000058.1?report=graph&amp;tracks=[key:gene_model_track,Options:GeneOnly]&amp;mk=5772920:5772939|offset_29|00cc00,5772953:5772972|offset_62|444444,5772992:5773011|offset_101|444444,5773042:5773061|offset_151|444444&amp;v=5772719:5773261&amp;c=444444", "offset 29")</f>
        <v>offset 29</v>
      </c>
    </row>
    <row r="18797" customFormat="false" ht="12.8" hidden="false" customHeight="false" outlineLevel="0" collapsed="false">
      <c r="A18797" s="0" t="s">
        <v>12</v>
      </c>
      <c r="B18797" s="0" t="n">
        <v>5772952</v>
      </c>
      <c r="C18797" s="0" t="n">
        <v>5772972</v>
      </c>
      <c r="D18797" s="0" t="s">
        <v>62485</v>
      </c>
      <c r="E18797" s="0" t="s">
        <v>75</v>
      </c>
      <c r="F18797" s="0" t="s">
        <v>15</v>
      </c>
      <c r="G18797" s="0" t="s">
        <v>20</v>
      </c>
      <c r="H18797" s="0" t="n">
        <v>62</v>
      </c>
      <c r="I18797" s="0" t="s">
        <v>62489</v>
      </c>
      <c r="J18797" s="0" t="s">
        <v>62490</v>
      </c>
      <c r="K18797" s="0" t="s">
        <v>62491</v>
      </c>
      <c r="L18797" s="0" t="str">
        <f aca="false">HYPERLINK("https://www.ncbi.nlm.nih.gov/nuccore/CP000058.1?report=graph&amp;tracks=[key:gene_model_track,Options:GeneOnly]&amp;mk=5772920:5772939|offset_29|444444,5772953:5772972|offset_62|00cc00,5772992:5773011|offset_101|444444,5773042:5773061|offset_151|444444&amp;v=5772719:5773261&amp;c=444444", "offset 62")</f>
        <v>offset 62</v>
      </c>
    </row>
    <row r="18798" customFormat="false" ht="12.8" hidden="false" customHeight="false" outlineLevel="0" collapsed="false">
      <c r="A18798" s="0" t="s">
        <v>12</v>
      </c>
      <c r="B18798" s="0" t="n">
        <v>5772991</v>
      </c>
      <c r="C18798" s="0" t="n">
        <v>5773011</v>
      </c>
      <c r="D18798" s="0" t="s">
        <v>62485</v>
      </c>
      <c r="E18798" s="0" t="s">
        <v>75</v>
      </c>
      <c r="F18798" s="0" t="s">
        <v>15</v>
      </c>
      <c r="G18798" s="0" t="s">
        <v>20</v>
      </c>
      <c r="H18798" s="0" t="n">
        <v>101</v>
      </c>
      <c r="I18798" s="0" t="s">
        <v>62492</v>
      </c>
      <c r="J18798" s="0" t="s">
        <v>62493</v>
      </c>
      <c r="K18798" s="0" t="s">
        <v>62494</v>
      </c>
      <c r="L18798" s="0" t="str">
        <f aca="false">HYPERLINK("https://www.ncbi.nlm.nih.gov/nuccore/CP000058.1?report=graph&amp;tracks=[key:gene_model_track,Options:GeneOnly]&amp;mk=5772920:5772939|offset_29|444444,5772953:5772972|offset_62|444444,5772992:5773011|offset_101|00cc00,5773042:5773061|offset_151|444444&amp;v=5772719:5773261&amp;c=444444", "offset 101")</f>
        <v>offset 101</v>
      </c>
    </row>
    <row r="18799" customFormat="false" ht="12.8" hidden="false" customHeight="false" outlineLevel="0" collapsed="false">
      <c r="A18799" s="0" t="s">
        <v>12</v>
      </c>
      <c r="B18799" s="0" t="n">
        <v>5773041</v>
      </c>
      <c r="C18799" s="0" t="n">
        <v>5773061</v>
      </c>
      <c r="D18799" s="0" t="s">
        <v>62485</v>
      </c>
      <c r="E18799" s="0" t="s">
        <v>75</v>
      </c>
      <c r="F18799" s="0" t="s">
        <v>15</v>
      </c>
      <c r="G18799" s="0" t="s">
        <v>32</v>
      </c>
      <c r="H18799" s="0" t="n">
        <v>151</v>
      </c>
      <c r="I18799" s="0" t="s">
        <v>62495</v>
      </c>
      <c r="J18799" s="0" t="s">
        <v>62496</v>
      </c>
      <c r="K18799" s="0" t="s">
        <v>62497</v>
      </c>
      <c r="L18799" s="0" t="str">
        <f aca="false">HYPERLINK("https://www.ncbi.nlm.nih.gov/nuccore/CP000058.1?report=graph&amp;tracks=[key:gene_model_track,Options:GeneOnly]&amp;mk=5772920:5772939|offset_29|444444,5772953:5772972|offset_62|444444,5772992:5773011|offset_101|444444,5773042:5773061|offset_151|00cc00&amp;v=5772719:5773261&amp;c=444444", "offset 151")</f>
        <v>offset 151</v>
      </c>
    </row>
    <row r="18800" customFormat="false" ht="12.8" hidden="false" customHeight="false" outlineLevel="0" collapsed="false">
      <c r="A18800" s="0" t="s">
        <v>12</v>
      </c>
      <c r="B18800" s="0" t="n">
        <v>5773938</v>
      </c>
      <c r="C18800" s="0" t="n">
        <v>5773958</v>
      </c>
      <c r="D18800" s="0" t="s">
        <v>62498</v>
      </c>
      <c r="E18800" s="0" t="s">
        <v>75</v>
      </c>
      <c r="F18800" s="0" t="s">
        <v>15</v>
      </c>
      <c r="G18800" s="0" t="s">
        <v>16</v>
      </c>
      <c r="H18800" s="0" t="n">
        <v>47</v>
      </c>
      <c r="I18800" s="0" t="s">
        <v>62499</v>
      </c>
      <c r="J18800" s="0" t="s">
        <v>62500</v>
      </c>
      <c r="K18800" s="0" t="s">
        <v>62501</v>
      </c>
      <c r="L18800" s="0" t="str">
        <f aca="false">HYPERLINK("https://www.ncbi.nlm.nih.gov/nuccore/CP000058.1?report=graph&amp;tracks=[key:gene_model_track,Options:GeneOnly]&amp;mk=5773939:5773958|offset_47|00cc00,5773961:5773980|offset_69|444444,5773999:5774018|offset_107|444444,5774040:5774059|offset_148|444444&amp;v=5773738:5774259&amp;c=444444", "offset 47")</f>
        <v>offset 47</v>
      </c>
    </row>
    <row r="18801" customFormat="false" ht="12.8" hidden="false" customHeight="false" outlineLevel="0" collapsed="false">
      <c r="A18801" s="0" t="s">
        <v>12</v>
      </c>
      <c r="B18801" s="0" t="n">
        <v>5773960</v>
      </c>
      <c r="C18801" s="0" t="n">
        <v>5773980</v>
      </c>
      <c r="D18801" s="0" t="s">
        <v>62498</v>
      </c>
      <c r="E18801" s="0" t="s">
        <v>75</v>
      </c>
      <c r="F18801" s="0" t="s">
        <v>15</v>
      </c>
      <c r="G18801" s="0" t="s">
        <v>32</v>
      </c>
      <c r="H18801" s="0" t="n">
        <v>69</v>
      </c>
      <c r="I18801" s="0" t="s">
        <v>62502</v>
      </c>
      <c r="J18801" s="0" t="s">
        <v>62503</v>
      </c>
      <c r="K18801" s="0" t="s">
        <v>62504</v>
      </c>
      <c r="L18801" s="0" t="str">
        <f aca="false">HYPERLINK("https://www.ncbi.nlm.nih.gov/nuccore/CP000058.1?report=graph&amp;tracks=[key:gene_model_track,Options:GeneOnly]&amp;mk=5773939:5773958|offset_47|444444,5773961:5773980|offset_69|00cc00,5773999:5774018|offset_107|444444,5774040:5774059|offset_148|444444&amp;v=5773738:5774259&amp;c=444444", "offset 69")</f>
        <v>offset 69</v>
      </c>
    </row>
    <row r="18802" customFormat="false" ht="12.8" hidden="false" customHeight="false" outlineLevel="0" collapsed="false">
      <c r="A18802" s="0" t="s">
        <v>12</v>
      </c>
      <c r="B18802" s="0" t="n">
        <v>5773998</v>
      </c>
      <c r="C18802" s="0" t="n">
        <v>5774018</v>
      </c>
      <c r="D18802" s="0" t="s">
        <v>62498</v>
      </c>
      <c r="E18802" s="0" t="s">
        <v>75</v>
      </c>
      <c r="F18802" s="0" t="s">
        <v>15</v>
      </c>
      <c r="G18802" s="0" t="s">
        <v>36</v>
      </c>
      <c r="H18802" s="0" t="n">
        <v>107</v>
      </c>
      <c r="I18802" s="0" t="s">
        <v>62505</v>
      </c>
      <c r="J18802" s="0" t="s">
        <v>62506</v>
      </c>
      <c r="K18802" s="0" t="s">
        <v>62507</v>
      </c>
      <c r="L18802" s="0" t="str">
        <f aca="false">HYPERLINK("https://www.ncbi.nlm.nih.gov/nuccore/CP000058.1?report=graph&amp;tracks=[key:gene_model_track,Options:GeneOnly]&amp;mk=5773939:5773958|offset_47|444444,5773961:5773980|offset_69|444444,5773999:5774018|offset_107|00cc00,5774040:5774059|offset_148|444444&amp;v=5773738:5774259&amp;c=444444", "offset 107")</f>
        <v>offset 107</v>
      </c>
    </row>
    <row r="18803" customFormat="false" ht="12.8" hidden="false" customHeight="false" outlineLevel="0" collapsed="false">
      <c r="A18803" s="0" t="s">
        <v>12</v>
      </c>
      <c r="B18803" s="0" t="n">
        <v>5774039</v>
      </c>
      <c r="C18803" s="0" t="n">
        <v>5774059</v>
      </c>
      <c r="D18803" s="0" t="s">
        <v>62498</v>
      </c>
      <c r="E18803" s="0" t="s">
        <v>75</v>
      </c>
      <c r="F18803" s="0" t="s">
        <v>15</v>
      </c>
      <c r="G18803" s="0" t="s">
        <v>36</v>
      </c>
      <c r="H18803" s="0" t="n">
        <v>148</v>
      </c>
      <c r="I18803" s="0" t="s">
        <v>62508</v>
      </c>
      <c r="J18803" s="0" t="s">
        <v>62509</v>
      </c>
      <c r="K18803" s="0" t="s">
        <v>62510</v>
      </c>
      <c r="L18803" s="0" t="str">
        <f aca="false">HYPERLINK("https://www.ncbi.nlm.nih.gov/nuccore/CP000058.1?report=graph&amp;tracks=[key:gene_model_track,Options:GeneOnly]&amp;mk=5773939:5773958|offset_47|444444,5773961:5773980|offset_69|444444,5773999:5774018|offset_107|444444,5774040:5774059|offset_148|00cc00&amp;v=5773738:5774259&amp;c=444444", "offset 148")</f>
        <v>offset 148</v>
      </c>
    </row>
    <row r="18804" customFormat="false" ht="12.8" hidden="false" customHeight="false" outlineLevel="0" collapsed="false">
      <c r="A18804" s="0" t="s">
        <v>12</v>
      </c>
      <c r="B18804" s="0" t="n">
        <v>5774846</v>
      </c>
      <c r="C18804" s="0" t="n">
        <v>5774866</v>
      </c>
      <c r="D18804" s="0" t="s">
        <v>62511</v>
      </c>
      <c r="E18804" s="0" t="s">
        <v>75</v>
      </c>
      <c r="F18804" s="0" t="s">
        <v>15</v>
      </c>
      <c r="G18804" s="0" t="s">
        <v>20</v>
      </c>
      <c r="H18804" s="0" t="n">
        <v>11</v>
      </c>
      <c r="I18804" s="0" t="s">
        <v>62512</v>
      </c>
      <c r="J18804" s="0" t="s">
        <v>62513</v>
      </c>
      <c r="K18804" s="0" t="s">
        <v>62514</v>
      </c>
      <c r="L18804" s="0" t="str">
        <f aca="false">HYPERLINK("https://www.ncbi.nlm.nih.gov/nuccore/CP000058.1?report=graph&amp;tracks=[key:gene_model_track,Options:GeneOnly]&amp;mk=5774847:5774866|offset_11|00cc00,5774874:5774893|offset_38|444444,5774897:5774916|offset_61|444444,5774931:5774950|offset_95|444444&amp;v=5774646:5775150&amp;c=444444", "offset 11")</f>
        <v>offset 11</v>
      </c>
    </row>
    <row r="18805" customFormat="false" ht="12.8" hidden="false" customHeight="false" outlineLevel="0" collapsed="false">
      <c r="A18805" s="0" t="s">
        <v>12</v>
      </c>
      <c r="B18805" s="0" t="n">
        <v>5774873</v>
      </c>
      <c r="C18805" s="0" t="n">
        <v>5774893</v>
      </c>
      <c r="D18805" s="0" t="s">
        <v>62511</v>
      </c>
      <c r="E18805" s="0" t="s">
        <v>75</v>
      </c>
      <c r="F18805" s="0" t="s">
        <v>15</v>
      </c>
      <c r="G18805" s="0" t="s">
        <v>20</v>
      </c>
      <c r="H18805" s="0" t="n">
        <v>38</v>
      </c>
      <c r="I18805" s="0" t="s">
        <v>62515</v>
      </c>
      <c r="J18805" s="0" t="s">
        <v>62516</v>
      </c>
      <c r="K18805" s="0" t="s">
        <v>62517</v>
      </c>
      <c r="L18805" s="0" t="str">
        <f aca="false">HYPERLINK("https://www.ncbi.nlm.nih.gov/nuccore/CP000058.1?report=graph&amp;tracks=[key:gene_model_track,Options:GeneOnly]&amp;mk=5774847:5774866|offset_11|444444,5774874:5774893|offset_38|00cc00,5774897:5774916|offset_61|444444,5774931:5774950|offset_95|444444&amp;v=5774646:5775150&amp;c=444444", "offset 38")</f>
        <v>offset 38</v>
      </c>
    </row>
    <row r="18806" customFormat="false" ht="12.8" hidden="false" customHeight="false" outlineLevel="0" collapsed="false">
      <c r="A18806" s="0" t="s">
        <v>12</v>
      </c>
      <c r="B18806" s="0" t="n">
        <v>5774896</v>
      </c>
      <c r="C18806" s="0" t="n">
        <v>5774916</v>
      </c>
      <c r="D18806" s="0" t="s">
        <v>62511</v>
      </c>
      <c r="E18806" s="0" t="s">
        <v>75</v>
      </c>
      <c r="F18806" s="0" t="s">
        <v>15</v>
      </c>
      <c r="G18806" s="0" t="s">
        <v>16</v>
      </c>
      <c r="H18806" s="0" t="n">
        <v>61</v>
      </c>
      <c r="I18806" s="0" t="s">
        <v>62518</v>
      </c>
      <c r="J18806" s="0" t="s">
        <v>62519</v>
      </c>
      <c r="K18806" s="0" t="s">
        <v>62520</v>
      </c>
      <c r="L18806" s="0" t="str">
        <f aca="false">HYPERLINK("https://www.ncbi.nlm.nih.gov/nuccore/CP000058.1?report=graph&amp;tracks=[key:gene_model_track,Options:GeneOnly]&amp;mk=5774847:5774866|offset_11|444444,5774874:5774893|offset_38|444444,5774897:5774916|offset_61|00cc00,5774931:5774950|offset_95|444444&amp;v=5774646:5775150&amp;c=444444", "offset 61")</f>
        <v>offset 61</v>
      </c>
    </row>
    <row r="18807" customFormat="false" ht="12.8" hidden="false" customHeight="false" outlineLevel="0" collapsed="false">
      <c r="A18807" s="0" t="s">
        <v>12</v>
      </c>
      <c r="B18807" s="0" t="n">
        <v>5774930</v>
      </c>
      <c r="C18807" s="0" t="n">
        <v>5774950</v>
      </c>
      <c r="D18807" s="0" t="s">
        <v>62511</v>
      </c>
      <c r="E18807" s="0" t="s">
        <v>75</v>
      </c>
      <c r="F18807" s="0" t="s">
        <v>15</v>
      </c>
      <c r="G18807" s="0" t="s">
        <v>20</v>
      </c>
      <c r="H18807" s="0" t="n">
        <v>95</v>
      </c>
      <c r="I18807" s="0" t="s">
        <v>62521</v>
      </c>
      <c r="J18807" s="0" t="s">
        <v>62522</v>
      </c>
      <c r="K18807" s="0" t="s">
        <v>62523</v>
      </c>
      <c r="L18807" s="0" t="str">
        <f aca="false">HYPERLINK("https://www.ncbi.nlm.nih.gov/nuccore/CP000058.1?report=graph&amp;tracks=[key:gene_model_track,Options:GeneOnly]&amp;mk=5774847:5774866|offset_11|444444,5774874:5774893|offset_38|444444,5774897:5774916|offset_61|444444,5774931:5774950|offset_95|00cc00&amp;v=5774646:5775150&amp;c=444444", "offset 95")</f>
        <v>offset 95</v>
      </c>
    </row>
    <row r="18808" customFormat="false" ht="12.8" hidden="false" customHeight="false" outlineLevel="0" collapsed="false">
      <c r="A18808" s="0" t="s">
        <v>12</v>
      </c>
      <c r="B18808" s="0" t="n">
        <v>5778333</v>
      </c>
      <c r="C18808" s="0" t="n">
        <v>5778353</v>
      </c>
      <c r="D18808" s="0" t="s">
        <v>62524</v>
      </c>
      <c r="E18808" s="0" t="s">
        <v>75</v>
      </c>
      <c r="F18808" s="0" t="s">
        <v>15</v>
      </c>
      <c r="G18808" s="0" t="s">
        <v>20</v>
      </c>
      <c r="H18808" s="0" t="n">
        <v>30</v>
      </c>
      <c r="I18808" s="0" t="s">
        <v>62525</v>
      </c>
      <c r="J18808" s="0" t="s">
        <v>62526</v>
      </c>
      <c r="K18808" s="0" t="s">
        <v>62527</v>
      </c>
      <c r="L18808" s="0" t="str">
        <f aca="false">HYPERLINK("https://www.ncbi.nlm.nih.gov/nuccore/CP000058.1?report=graph&amp;tracks=[key:gene_model_track,Options:GeneOnly]&amp;mk=5778334:5778353|offset_30|00cc00,5778354:5778373|offset_50|444444,5778380:5778399|offset_76|444444,5778404:5778423|offset_100|444444&amp;v=5778133:5778623&amp;c=444444", "offset 30")</f>
        <v>offset 30</v>
      </c>
    </row>
    <row r="18809" customFormat="false" ht="12.8" hidden="false" customHeight="false" outlineLevel="0" collapsed="false">
      <c r="A18809" s="0" t="s">
        <v>12</v>
      </c>
      <c r="B18809" s="0" t="n">
        <v>5778353</v>
      </c>
      <c r="C18809" s="0" t="n">
        <v>5778373</v>
      </c>
      <c r="D18809" s="0" t="s">
        <v>62524</v>
      </c>
      <c r="E18809" s="0" t="s">
        <v>75</v>
      </c>
      <c r="F18809" s="0" t="s">
        <v>15</v>
      </c>
      <c r="G18809" s="0" t="s">
        <v>36</v>
      </c>
      <c r="H18809" s="0" t="n">
        <v>50</v>
      </c>
      <c r="I18809" s="0" t="s">
        <v>62528</v>
      </c>
      <c r="J18809" s="0" t="s">
        <v>62529</v>
      </c>
      <c r="K18809" s="0" t="s">
        <v>62530</v>
      </c>
      <c r="L18809" s="0" t="str">
        <f aca="false">HYPERLINK("https://www.ncbi.nlm.nih.gov/nuccore/CP000058.1?report=graph&amp;tracks=[key:gene_model_track,Options:GeneOnly]&amp;mk=5778334:5778353|offset_30|444444,5778354:5778373|offset_50|00cc00,5778380:5778399|offset_76|444444,5778404:5778423|offset_100|444444&amp;v=5778133:5778623&amp;c=444444", "offset 50")</f>
        <v>offset 50</v>
      </c>
    </row>
    <row r="18810" customFormat="false" ht="12.8" hidden="false" customHeight="false" outlineLevel="0" collapsed="false">
      <c r="A18810" s="0" t="s">
        <v>12</v>
      </c>
      <c r="B18810" s="0" t="n">
        <v>5778379</v>
      </c>
      <c r="C18810" s="0" t="n">
        <v>5778399</v>
      </c>
      <c r="D18810" s="0" t="s">
        <v>62524</v>
      </c>
      <c r="E18810" s="0" t="s">
        <v>75</v>
      </c>
      <c r="F18810" s="0" t="s">
        <v>15</v>
      </c>
      <c r="G18810" s="0" t="s">
        <v>16</v>
      </c>
      <c r="H18810" s="0" t="n">
        <v>76</v>
      </c>
      <c r="I18810" s="0" t="s">
        <v>62531</v>
      </c>
      <c r="J18810" s="0" t="s">
        <v>62532</v>
      </c>
      <c r="K18810" s="0" t="s">
        <v>62533</v>
      </c>
      <c r="L18810" s="0" t="str">
        <f aca="false">HYPERLINK("https://www.ncbi.nlm.nih.gov/nuccore/CP000058.1?report=graph&amp;tracks=[key:gene_model_track,Options:GeneOnly]&amp;mk=5778334:5778353|offset_30|444444,5778354:5778373|offset_50|444444,5778380:5778399|offset_76|00cc00,5778404:5778423|offset_100|444444&amp;v=5778133:5778623&amp;c=444444", "offset 76")</f>
        <v>offset 76</v>
      </c>
    </row>
    <row r="18811" customFormat="false" ht="12.8" hidden="false" customHeight="false" outlineLevel="0" collapsed="false">
      <c r="A18811" s="0" t="s">
        <v>12</v>
      </c>
      <c r="B18811" s="0" t="n">
        <v>5778403</v>
      </c>
      <c r="C18811" s="0" t="n">
        <v>5778423</v>
      </c>
      <c r="D18811" s="0" t="s">
        <v>62524</v>
      </c>
      <c r="E18811" s="0" t="s">
        <v>75</v>
      </c>
      <c r="F18811" s="0" t="s">
        <v>15</v>
      </c>
      <c r="G18811" s="0" t="s">
        <v>32</v>
      </c>
      <c r="H18811" s="0" t="n">
        <v>100</v>
      </c>
      <c r="I18811" s="0" t="s">
        <v>62534</v>
      </c>
      <c r="J18811" s="0" t="s">
        <v>62535</v>
      </c>
      <c r="K18811" s="0" t="s">
        <v>62536</v>
      </c>
      <c r="L18811" s="0" t="str">
        <f aca="false">HYPERLINK("https://www.ncbi.nlm.nih.gov/nuccore/CP000058.1?report=graph&amp;tracks=[key:gene_model_track,Options:GeneOnly]&amp;mk=5778334:5778353|offset_30|444444,5778354:5778373|offset_50|444444,5778380:5778399|offset_76|444444,5778404:5778423|offset_100|00cc00&amp;v=5778133:5778623&amp;c=444444", "offset 100")</f>
        <v>offset 100</v>
      </c>
    </row>
    <row r="18812" customFormat="false" ht="12.8" hidden="false" customHeight="false" outlineLevel="0" collapsed="false">
      <c r="A18812" s="0" t="s">
        <v>12</v>
      </c>
      <c r="B18812" s="0" t="n">
        <v>5785599</v>
      </c>
      <c r="C18812" s="0" t="n">
        <v>5785619</v>
      </c>
      <c r="D18812" s="0" t="s">
        <v>62537</v>
      </c>
      <c r="E18812" s="0" t="s">
        <v>75</v>
      </c>
      <c r="F18812" s="0" t="s">
        <v>90</v>
      </c>
      <c r="G18812" s="0" t="s">
        <v>16</v>
      </c>
      <c r="H18812" s="0" t="n">
        <v>9</v>
      </c>
      <c r="I18812" s="0" t="s">
        <v>62538</v>
      </c>
      <c r="J18812" s="0" t="s">
        <v>62539</v>
      </c>
      <c r="K18812" s="0" t="s">
        <v>62540</v>
      </c>
      <c r="L18812" s="0" t="str">
        <f aca="false">HYPERLINK("https://www.ncbi.nlm.nih.gov/nuccore/CP000058.1?report=graph&amp;tracks=[key:gene_model_track,Options:GeneOnly]&amp;mk=5785600:5785619|offset_9|00cc00,5785578:5785597|offset_31|444444,5785502:5785521|offset_107|444444,5785478:5785497|offset_131|444444&amp;v=5785399:5785697&amp;c=444444", "offset 9")</f>
        <v>offset 9</v>
      </c>
    </row>
    <row r="18813" customFormat="false" ht="12.8" hidden="false" customHeight="false" outlineLevel="0" collapsed="false">
      <c r="A18813" s="0" t="s">
        <v>12</v>
      </c>
      <c r="B18813" s="0" t="n">
        <v>5785577</v>
      </c>
      <c r="C18813" s="0" t="n">
        <v>5785597</v>
      </c>
      <c r="D18813" s="0" t="s">
        <v>62537</v>
      </c>
      <c r="E18813" s="0" t="s">
        <v>75</v>
      </c>
      <c r="F18813" s="0" t="s">
        <v>90</v>
      </c>
      <c r="G18813" s="0" t="s">
        <v>16</v>
      </c>
      <c r="H18813" s="0" t="n">
        <v>31</v>
      </c>
      <c r="I18813" s="0" t="s">
        <v>62541</v>
      </c>
      <c r="J18813" s="0" t="s">
        <v>62542</v>
      </c>
      <c r="K18813" s="0" t="s">
        <v>62543</v>
      </c>
      <c r="L18813" s="0" t="str">
        <f aca="false">HYPERLINK("https://www.ncbi.nlm.nih.gov/nuccore/CP000058.1?report=graph&amp;tracks=[key:gene_model_track,Options:GeneOnly]&amp;mk=5785600:5785619|offset_9|444444,5785578:5785597|offset_31|00cc00,5785502:5785521|offset_107|444444,5785478:5785497|offset_131|444444&amp;v=5785399:5785697&amp;c=444444", "offset 31")</f>
        <v>offset 31</v>
      </c>
    </row>
    <row r="18814" customFormat="false" ht="12.8" hidden="false" customHeight="false" outlineLevel="0" collapsed="false">
      <c r="A18814" s="0" t="s">
        <v>12</v>
      </c>
      <c r="B18814" s="0" t="n">
        <v>5785501</v>
      </c>
      <c r="C18814" s="0" t="n">
        <v>5785521</v>
      </c>
      <c r="D18814" s="0" t="s">
        <v>62537</v>
      </c>
      <c r="E18814" s="0" t="s">
        <v>75</v>
      </c>
      <c r="F18814" s="0" t="s">
        <v>90</v>
      </c>
      <c r="G18814" s="0" t="s">
        <v>20</v>
      </c>
      <c r="H18814" s="0" t="n">
        <v>107</v>
      </c>
      <c r="I18814" s="0" t="s">
        <v>62544</v>
      </c>
      <c r="J18814" s="0" t="s">
        <v>62545</v>
      </c>
      <c r="K18814" s="0" t="s">
        <v>62546</v>
      </c>
      <c r="L18814" s="0" t="str">
        <f aca="false">HYPERLINK("https://www.ncbi.nlm.nih.gov/nuccore/CP000058.1?report=graph&amp;tracks=[key:gene_model_track,Options:GeneOnly]&amp;mk=5785600:5785619|offset_9|444444,5785578:5785597|offset_31|444444,5785502:5785521|offset_107|00cc00,5785478:5785497|offset_131|444444&amp;v=5785399:5785697&amp;c=444444", "offset 107")</f>
        <v>offset 107</v>
      </c>
    </row>
    <row r="18815" customFormat="false" ht="12.8" hidden="false" customHeight="false" outlineLevel="0" collapsed="false">
      <c r="A18815" s="0" t="s">
        <v>12</v>
      </c>
      <c r="B18815" s="0" t="n">
        <v>5785477</v>
      </c>
      <c r="C18815" s="0" t="n">
        <v>5785497</v>
      </c>
      <c r="D18815" s="0" t="s">
        <v>62537</v>
      </c>
      <c r="E18815" s="0" t="s">
        <v>75</v>
      </c>
      <c r="F18815" s="0" t="s">
        <v>90</v>
      </c>
      <c r="G18815" s="0" t="s">
        <v>20</v>
      </c>
      <c r="H18815" s="0" t="n">
        <v>131</v>
      </c>
      <c r="I18815" s="0" t="s">
        <v>62547</v>
      </c>
      <c r="J18815" s="0" t="s">
        <v>62548</v>
      </c>
      <c r="K18815" s="0" t="s">
        <v>62549</v>
      </c>
      <c r="L18815" s="0" t="str">
        <f aca="false">HYPERLINK("https://www.ncbi.nlm.nih.gov/nuccore/CP000058.1?report=graph&amp;tracks=[key:gene_model_track,Options:GeneOnly]&amp;mk=5785600:5785619|offset_9|444444,5785578:5785597|offset_31|444444,5785502:5785521|offset_107|444444,5785478:5785497|offset_131|00cc00&amp;v=5785399:5785697&amp;c=444444", "offset 131")</f>
        <v>offset 131</v>
      </c>
    </row>
    <row r="18816" customFormat="false" ht="12.8" hidden="false" customHeight="false" outlineLevel="0" collapsed="false">
      <c r="A18816" s="0" t="s">
        <v>12</v>
      </c>
      <c r="B18816" s="0" t="n">
        <v>5786136</v>
      </c>
      <c r="C18816" s="0" t="n">
        <v>5786156</v>
      </c>
      <c r="D18816" s="0" t="s">
        <v>62550</v>
      </c>
      <c r="E18816" s="0" t="s">
        <v>62551</v>
      </c>
      <c r="F18816" s="0" t="s">
        <v>15</v>
      </c>
      <c r="G18816" s="0" t="s">
        <v>20</v>
      </c>
      <c r="H18816" s="0" t="n">
        <v>18</v>
      </c>
      <c r="I18816" s="0" t="s">
        <v>62552</v>
      </c>
      <c r="J18816" s="0" t="s">
        <v>62553</v>
      </c>
      <c r="K18816" s="0" t="s">
        <v>62554</v>
      </c>
      <c r="L18816" s="0" t="str">
        <f aca="false">HYPERLINK("https://www.ncbi.nlm.nih.gov/nuccore/CP000058.1?report=graph&amp;tracks=[key:gene_model_track,Options:GeneOnly]&amp;mk=5786137:5786156|offset_18|00cc00,5786162:5786181|offset_43|444444,5786186:5786205|offset_67|444444,5786257:5786276|offset_138|444444&amp;v=5785936:5786476&amp;c=444444", "offset 18")</f>
        <v>offset 18</v>
      </c>
    </row>
    <row r="18817" customFormat="false" ht="12.8" hidden="false" customHeight="false" outlineLevel="0" collapsed="false">
      <c r="A18817" s="0" t="s">
        <v>12</v>
      </c>
      <c r="B18817" s="0" t="n">
        <v>5786161</v>
      </c>
      <c r="C18817" s="0" t="n">
        <v>5786181</v>
      </c>
      <c r="D18817" s="0" t="s">
        <v>62550</v>
      </c>
      <c r="E18817" s="0" t="s">
        <v>62551</v>
      </c>
      <c r="F18817" s="0" t="s">
        <v>15</v>
      </c>
      <c r="G18817" s="0" t="s">
        <v>36</v>
      </c>
      <c r="H18817" s="0" t="n">
        <v>43</v>
      </c>
      <c r="I18817" s="0" t="s">
        <v>62555</v>
      </c>
      <c r="J18817" s="0" t="s">
        <v>62556</v>
      </c>
      <c r="K18817" s="0" t="s">
        <v>62557</v>
      </c>
      <c r="L18817" s="0" t="str">
        <f aca="false">HYPERLINK("https://www.ncbi.nlm.nih.gov/nuccore/CP000058.1?report=graph&amp;tracks=[key:gene_model_track,Options:GeneOnly]&amp;mk=5786137:5786156|offset_18|444444,5786162:5786181|offset_43|00cc00,5786186:5786205|offset_67|444444,5786257:5786276|offset_138|444444&amp;v=5785936:5786476&amp;c=444444", "offset 43")</f>
        <v>offset 43</v>
      </c>
    </row>
    <row r="18818" customFormat="false" ht="12.8" hidden="false" customHeight="false" outlineLevel="0" collapsed="false">
      <c r="A18818" s="0" t="s">
        <v>12</v>
      </c>
      <c r="B18818" s="0" t="n">
        <v>5786185</v>
      </c>
      <c r="C18818" s="0" t="n">
        <v>5786205</v>
      </c>
      <c r="D18818" s="0" t="s">
        <v>62550</v>
      </c>
      <c r="E18818" s="0" t="s">
        <v>62551</v>
      </c>
      <c r="F18818" s="0" t="s">
        <v>15</v>
      </c>
      <c r="G18818" s="0" t="s">
        <v>32</v>
      </c>
      <c r="H18818" s="0" t="n">
        <v>67</v>
      </c>
      <c r="I18818" s="0" t="s">
        <v>62558</v>
      </c>
      <c r="J18818" s="0" t="s">
        <v>62559</v>
      </c>
      <c r="K18818" s="0" t="s">
        <v>62560</v>
      </c>
      <c r="L18818" s="0" t="str">
        <f aca="false">HYPERLINK("https://www.ncbi.nlm.nih.gov/nuccore/CP000058.1?report=graph&amp;tracks=[key:gene_model_track,Options:GeneOnly]&amp;mk=5786137:5786156|offset_18|444444,5786162:5786181|offset_43|444444,5786186:5786205|offset_67|00cc00,5786257:5786276|offset_138|444444&amp;v=5785936:5786476&amp;c=444444", "offset 67")</f>
        <v>offset 67</v>
      </c>
    </row>
    <row r="18819" customFormat="false" ht="12.8" hidden="false" customHeight="false" outlineLevel="0" collapsed="false">
      <c r="A18819" s="0" t="s">
        <v>12</v>
      </c>
      <c r="B18819" s="0" t="n">
        <v>5786256</v>
      </c>
      <c r="C18819" s="0" t="n">
        <v>5786276</v>
      </c>
      <c r="D18819" s="0" t="s">
        <v>62550</v>
      </c>
      <c r="E18819" s="0" t="s">
        <v>62551</v>
      </c>
      <c r="F18819" s="0" t="s">
        <v>15</v>
      </c>
      <c r="G18819" s="0" t="s">
        <v>16</v>
      </c>
      <c r="H18819" s="0" t="n">
        <v>138</v>
      </c>
      <c r="I18819" s="0" t="s">
        <v>62561</v>
      </c>
      <c r="J18819" s="0" t="s">
        <v>62562</v>
      </c>
      <c r="K18819" s="0" t="s">
        <v>62563</v>
      </c>
      <c r="L18819" s="0" t="str">
        <f aca="false">HYPERLINK("https://www.ncbi.nlm.nih.gov/nuccore/CP000058.1?report=graph&amp;tracks=[key:gene_model_track,Options:GeneOnly]&amp;mk=5786137:5786156|offset_18|444444,5786162:5786181|offset_43|444444,5786186:5786205|offset_67|444444,5786257:5786276|offset_138|00cc00&amp;v=5785936:5786476&amp;c=444444", "offset 138")</f>
        <v>offset 138</v>
      </c>
    </row>
    <row r="18820" customFormat="false" ht="12.8" hidden="false" customHeight="false" outlineLevel="0" collapsed="false">
      <c r="A18820" s="0" t="s">
        <v>12</v>
      </c>
      <c r="B18820" s="0" t="n">
        <v>5787250</v>
      </c>
      <c r="C18820" s="0" t="n">
        <v>5787270</v>
      </c>
      <c r="D18820" s="0" t="s">
        <v>62564</v>
      </c>
      <c r="E18820" s="0" t="s">
        <v>62565</v>
      </c>
      <c r="F18820" s="0" t="s">
        <v>15</v>
      </c>
      <c r="G18820" s="0" t="s">
        <v>32</v>
      </c>
      <c r="H18820" s="0" t="n">
        <v>0</v>
      </c>
      <c r="I18820" s="0" t="s">
        <v>62566</v>
      </c>
      <c r="J18820" s="0" t="s">
        <v>62567</v>
      </c>
      <c r="K18820" s="0" t="s">
        <v>62568</v>
      </c>
      <c r="L18820" s="0" t="str">
        <f aca="false">HYPERLINK("https://www.ncbi.nlm.nih.gov/nuccore/CP000058.1?report=graph&amp;tracks=[key:gene_model_track,Options:GeneOnly]&amp;mk=5787251:5787270|offset_0|00cc00,5787271:5787290|offset_20|444444,5787322:5787341|offset_71|444444,5787344:5787363|offset_93|444444&amp;v=5787050:5787563&amp;c=444444", "offset 0")</f>
        <v>offset 0</v>
      </c>
    </row>
    <row r="18821" customFormat="false" ht="12.8" hidden="false" customHeight="false" outlineLevel="0" collapsed="false">
      <c r="A18821" s="0" t="s">
        <v>12</v>
      </c>
      <c r="B18821" s="0" t="n">
        <v>5787270</v>
      </c>
      <c r="C18821" s="0" t="n">
        <v>5787290</v>
      </c>
      <c r="D18821" s="0" t="s">
        <v>62564</v>
      </c>
      <c r="E18821" s="0" t="s">
        <v>62565</v>
      </c>
      <c r="F18821" s="0" t="s">
        <v>15</v>
      </c>
      <c r="G18821" s="0" t="s">
        <v>36</v>
      </c>
      <c r="H18821" s="0" t="n">
        <v>20</v>
      </c>
      <c r="I18821" s="0" t="s">
        <v>62569</v>
      </c>
      <c r="J18821" s="0" t="s">
        <v>62570</v>
      </c>
      <c r="K18821" s="0" t="s">
        <v>62571</v>
      </c>
      <c r="L18821" s="0" t="str">
        <f aca="false">HYPERLINK("https://www.ncbi.nlm.nih.gov/nuccore/CP000058.1?report=graph&amp;tracks=[key:gene_model_track,Options:GeneOnly]&amp;mk=5787251:5787270|offset_0|444444,5787271:5787290|offset_20|00cc00,5787322:5787341|offset_71|444444,5787344:5787363|offset_93|444444&amp;v=5787050:5787563&amp;c=444444", "offset 20")</f>
        <v>offset 20</v>
      </c>
    </row>
    <row r="18822" customFormat="false" ht="12.8" hidden="false" customHeight="false" outlineLevel="0" collapsed="false">
      <c r="A18822" s="0" t="s">
        <v>12</v>
      </c>
      <c r="B18822" s="0" t="n">
        <v>5787321</v>
      </c>
      <c r="C18822" s="0" t="n">
        <v>5787341</v>
      </c>
      <c r="D18822" s="0" t="s">
        <v>62564</v>
      </c>
      <c r="E18822" s="0" t="s">
        <v>62565</v>
      </c>
      <c r="F18822" s="0" t="s">
        <v>15</v>
      </c>
      <c r="G18822" s="0" t="s">
        <v>32</v>
      </c>
      <c r="H18822" s="0" t="n">
        <v>71</v>
      </c>
      <c r="I18822" s="0" t="s">
        <v>62572</v>
      </c>
      <c r="J18822" s="0" t="s">
        <v>62573</v>
      </c>
      <c r="K18822" s="0" t="s">
        <v>62574</v>
      </c>
      <c r="L18822" s="0" t="str">
        <f aca="false">HYPERLINK("https://www.ncbi.nlm.nih.gov/nuccore/CP000058.1?report=graph&amp;tracks=[key:gene_model_track,Options:GeneOnly]&amp;mk=5787251:5787270|offset_0|444444,5787271:5787290|offset_20|444444,5787322:5787341|offset_71|00cc00,5787344:5787363|offset_93|444444&amp;v=5787050:5787563&amp;c=444444", "offset 71")</f>
        <v>offset 71</v>
      </c>
    </row>
    <row r="18823" customFormat="false" ht="12.8" hidden="false" customHeight="false" outlineLevel="0" collapsed="false">
      <c r="A18823" s="0" t="s">
        <v>12</v>
      </c>
      <c r="B18823" s="0" t="n">
        <v>5787343</v>
      </c>
      <c r="C18823" s="0" t="n">
        <v>5787363</v>
      </c>
      <c r="D18823" s="0" t="s">
        <v>62564</v>
      </c>
      <c r="E18823" s="0" t="s">
        <v>62565</v>
      </c>
      <c r="F18823" s="0" t="s">
        <v>15</v>
      </c>
      <c r="G18823" s="0" t="s">
        <v>20</v>
      </c>
      <c r="H18823" s="0" t="n">
        <v>93</v>
      </c>
      <c r="I18823" s="0" t="s">
        <v>62575</v>
      </c>
      <c r="J18823" s="0" t="s">
        <v>62576</v>
      </c>
      <c r="K18823" s="0" t="s">
        <v>62577</v>
      </c>
      <c r="L18823" s="0" t="str">
        <f aca="false">HYPERLINK("https://www.ncbi.nlm.nih.gov/nuccore/CP000058.1?report=graph&amp;tracks=[key:gene_model_track,Options:GeneOnly]&amp;mk=5787251:5787270|offset_0|444444,5787271:5787290|offset_20|444444,5787322:5787341|offset_71|444444,5787344:5787363|offset_93|00cc00&amp;v=5787050:5787563&amp;c=444444", "offset 93")</f>
        <v>offset 93</v>
      </c>
    </row>
    <row r="18824" customFormat="false" ht="12.8" hidden="false" customHeight="false" outlineLevel="0" collapsed="false">
      <c r="A18824" s="0" t="s">
        <v>12</v>
      </c>
      <c r="B18824" s="0" t="n">
        <v>5787592</v>
      </c>
      <c r="C18824" s="0" t="n">
        <v>5787612</v>
      </c>
      <c r="D18824" s="0" t="s">
        <v>62578</v>
      </c>
      <c r="E18824" s="0" t="s">
        <v>62579</v>
      </c>
      <c r="F18824" s="0" t="s">
        <v>15</v>
      </c>
      <c r="G18824" s="0" t="s">
        <v>36</v>
      </c>
      <c r="H18824" s="0" t="n">
        <v>22</v>
      </c>
      <c r="I18824" s="0" t="s">
        <v>62580</v>
      </c>
      <c r="J18824" s="0" t="s">
        <v>62581</v>
      </c>
      <c r="K18824" s="0" t="s">
        <v>62582</v>
      </c>
      <c r="L18824" s="0" t="str">
        <f aca="false">HYPERLINK("https://www.ncbi.nlm.nih.gov/nuccore/CP000058.1?report=graph&amp;tracks=[key:gene_model_track,Options:GeneOnly]&amp;mk=5787593:5787612|offset_22|00cc00,5787627:5787646|offset_56|444444,5787651:5787670|offset_80|444444,5787752:5787771|offset_181|444444&amp;v=5787392:5787971&amp;c=444444", "offset 22")</f>
        <v>offset 22</v>
      </c>
    </row>
    <row r="18825" customFormat="false" ht="12.8" hidden="false" customHeight="false" outlineLevel="0" collapsed="false">
      <c r="A18825" s="0" t="s">
        <v>12</v>
      </c>
      <c r="B18825" s="0" t="n">
        <v>5787626</v>
      </c>
      <c r="C18825" s="0" t="n">
        <v>5787646</v>
      </c>
      <c r="D18825" s="0" t="s">
        <v>62578</v>
      </c>
      <c r="E18825" s="0" t="s">
        <v>62579</v>
      </c>
      <c r="F18825" s="0" t="s">
        <v>15</v>
      </c>
      <c r="G18825" s="0" t="s">
        <v>32</v>
      </c>
      <c r="H18825" s="0" t="n">
        <v>56</v>
      </c>
      <c r="I18825" s="0" t="s">
        <v>62583</v>
      </c>
      <c r="J18825" s="0" t="s">
        <v>62584</v>
      </c>
      <c r="K18825" s="0" t="s">
        <v>62585</v>
      </c>
      <c r="L18825" s="0" t="str">
        <f aca="false">HYPERLINK("https://www.ncbi.nlm.nih.gov/nuccore/CP000058.1?report=graph&amp;tracks=[key:gene_model_track,Options:GeneOnly]&amp;mk=5787593:5787612|offset_22|444444,5787627:5787646|offset_56|00cc00,5787651:5787670|offset_80|444444,5787752:5787771|offset_181|444444&amp;v=5787392:5787971&amp;c=444444", "offset 56")</f>
        <v>offset 56</v>
      </c>
    </row>
    <row r="18826" customFormat="false" ht="12.8" hidden="false" customHeight="false" outlineLevel="0" collapsed="false">
      <c r="A18826" s="0" t="s">
        <v>12</v>
      </c>
      <c r="B18826" s="0" t="n">
        <v>5787650</v>
      </c>
      <c r="C18826" s="0" t="n">
        <v>5787670</v>
      </c>
      <c r="D18826" s="0" t="s">
        <v>62578</v>
      </c>
      <c r="E18826" s="0" t="s">
        <v>62579</v>
      </c>
      <c r="F18826" s="0" t="s">
        <v>15</v>
      </c>
      <c r="G18826" s="0" t="s">
        <v>36</v>
      </c>
      <c r="H18826" s="0" t="n">
        <v>80</v>
      </c>
      <c r="I18826" s="0" t="s">
        <v>62586</v>
      </c>
      <c r="J18826" s="0" t="s">
        <v>62587</v>
      </c>
      <c r="K18826" s="0" t="s">
        <v>62588</v>
      </c>
      <c r="L18826" s="0" t="str">
        <f aca="false">HYPERLINK("https://www.ncbi.nlm.nih.gov/nuccore/CP000058.1?report=graph&amp;tracks=[key:gene_model_track,Options:GeneOnly]&amp;mk=5787593:5787612|offset_22|444444,5787627:5787646|offset_56|444444,5787651:5787670|offset_80|00cc00,5787752:5787771|offset_181|444444&amp;v=5787392:5787971&amp;c=444444", "offset 80")</f>
        <v>offset 80</v>
      </c>
    </row>
    <row r="18827" customFormat="false" ht="12.8" hidden="false" customHeight="false" outlineLevel="0" collapsed="false">
      <c r="A18827" s="0" t="s">
        <v>12</v>
      </c>
      <c r="B18827" s="0" t="n">
        <v>5787751</v>
      </c>
      <c r="C18827" s="0" t="n">
        <v>5787771</v>
      </c>
      <c r="D18827" s="0" t="s">
        <v>62578</v>
      </c>
      <c r="E18827" s="0" t="s">
        <v>62579</v>
      </c>
      <c r="F18827" s="0" t="s">
        <v>15</v>
      </c>
      <c r="G18827" s="0" t="s">
        <v>16</v>
      </c>
      <c r="H18827" s="0" t="n">
        <v>181</v>
      </c>
      <c r="I18827" s="0" t="s">
        <v>62589</v>
      </c>
      <c r="J18827" s="0" t="s">
        <v>62590</v>
      </c>
      <c r="K18827" s="0" t="s">
        <v>62591</v>
      </c>
      <c r="L18827" s="0" t="str">
        <f aca="false">HYPERLINK("https://www.ncbi.nlm.nih.gov/nuccore/CP000058.1?report=graph&amp;tracks=[key:gene_model_track,Options:GeneOnly]&amp;mk=5787593:5787612|offset_22|444444,5787627:5787646|offset_56|444444,5787651:5787670|offset_80|444444,5787752:5787771|offset_181|00cc00&amp;v=5787392:5787971&amp;c=444444", "offset 181")</f>
        <v>offset 181</v>
      </c>
    </row>
    <row r="18828" customFormat="false" ht="12.8" hidden="false" customHeight="false" outlineLevel="0" collapsed="false">
      <c r="A18828" s="0" t="s">
        <v>12</v>
      </c>
      <c r="B18828" s="0" t="n">
        <v>5789206</v>
      </c>
      <c r="C18828" s="0" t="n">
        <v>5789226</v>
      </c>
      <c r="D18828" s="0" t="s">
        <v>62592</v>
      </c>
      <c r="E18828" s="0" t="s">
        <v>62593</v>
      </c>
      <c r="F18828" s="0" t="s">
        <v>15</v>
      </c>
      <c r="G18828" s="0" t="s">
        <v>32</v>
      </c>
      <c r="H18828" s="0" t="n">
        <v>1</v>
      </c>
      <c r="I18828" s="0" t="s">
        <v>62594</v>
      </c>
      <c r="J18828" s="0" t="s">
        <v>62595</v>
      </c>
      <c r="K18828" s="0" t="s">
        <v>62596</v>
      </c>
      <c r="L18828" s="0" t="str">
        <f aca="false">HYPERLINK("https://www.ncbi.nlm.nih.gov/nuccore/CP000058.1?report=graph&amp;tracks=[key:gene_model_track,Options:GeneOnly]&amp;mk=5789207:5789226|offset_1|00cc00,5789229:5789248|offset_23|444444,5789264:5789283|offset_58|444444,5789297:5789316|offset_91|444444&amp;v=5789006:5789516&amp;c=444444", "offset 1")</f>
        <v>offset 1</v>
      </c>
    </row>
    <row r="18829" customFormat="false" ht="12.8" hidden="false" customHeight="false" outlineLevel="0" collapsed="false">
      <c r="A18829" s="0" t="s">
        <v>12</v>
      </c>
      <c r="B18829" s="0" t="n">
        <v>5789228</v>
      </c>
      <c r="C18829" s="0" t="n">
        <v>5789248</v>
      </c>
      <c r="D18829" s="0" t="s">
        <v>62592</v>
      </c>
      <c r="E18829" s="0" t="s">
        <v>62593</v>
      </c>
      <c r="F18829" s="0" t="s">
        <v>15</v>
      </c>
      <c r="G18829" s="0" t="s">
        <v>20</v>
      </c>
      <c r="H18829" s="0" t="n">
        <v>23</v>
      </c>
      <c r="I18829" s="0" t="s">
        <v>62597</v>
      </c>
      <c r="J18829" s="0" t="s">
        <v>62598</v>
      </c>
      <c r="K18829" s="0" t="s">
        <v>62599</v>
      </c>
      <c r="L18829" s="0" t="str">
        <f aca="false">HYPERLINK("https://www.ncbi.nlm.nih.gov/nuccore/CP000058.1?report=graph&amp;tracks=[key:gene_model_track,Options:GeneOnly]&amp;mk=5789207:5789226|offset_1|444444,5789229:5789248|offset_23|00cc00,5789264:5789283|offset_58|444444,5789297:5789316|offset_91|444444&amp;v=5789006:5789516&amp;c=444444", "offset 23")</f>
        <v>offset 23</v>
      </c>
    </row>
    <row r="18830" customFormat="false" ht="12.8" hidden="false" customHeight="false" outlineLevel="0" collapsed="false">
      <c r="A18830" s="0" t="s">
        <v>12</v>
      </c>
      <c r="B18830" s="0" t="n">
        <v>5789263</v>
      </c>
      <c r="C18830" s="0" t="n">
        <v>5789283</v>
      </c>
      <c r="D18830" s="0" t="s">
        <v>62592</v>
      </c>
      <c r="E18830" s="0" t="s">
        <v>62593</v>
      </c>
      <c r="F18830" s="0" t="s">
        <v>15</v>
      </c>
      <c r="G18830" s="0" t="s">
        <v>16</v>
      </c>
      <c r="H18830" s="0" t="n">
        <v>58</v>
      </c>
      <c r="I18830" s="0" t="s">
        <v>62600</v>
      </c>
      <c r="J18830" s="0" t="s">
        <v>62601</v>
      </c>
      <c r="K18830" s="0" t="s">
        <v>62602</v>
      </c>
      <c r="L18830" s="0" t="str">
        <f aca="false">HYPERLINK("https://www.ncbi.nlm.nih.gov/nuccore/CP000058.1?report=graph&amp;tracks=[key:gene_model_track,Options:GeneOnly]&amp;mk=5789207:5789226|offset_1|444444,5789229:5789248|offset_23|444444,5789264:5789283|offset_58|00cc00,5789297:5789316|offset_91|444444&amp;v=5789006:5789516&amp;c=444444", "offset 58")</f>
        <v>offset 58</v>
      </c>
    </row>
    <row r="18831" customFormat="false" ht="12.8" hidden="false" customHeight="false" outlineLevel="0" collapsed="false">
      <c r="A18831" s="0" t="s">
        <v>12</v>
      </c>
      <c r="B18831" s="0" t="n">
        <v>5789296</v>
      </c>
      <c r="C18831" s="0" t="n">
        <v>5789316</v>
      </c>
      <c r="D18831" s="0" t="s">
        <v>62592</v>
      </c>
      <c r="E18831" s="0" t="s">
        <v>62593</v>
      </c>
      <c r="F18831" s="0" t="s">
        <v>15</v>
      </c>
      <c r="G18831" s="0" t="s">
        <v>16</v>
      </c>
      <c r="H18831" s="0" t="n">
        <v>91</v>
      </c>
      <c r="I18831" s="0" t="s">
        <v>62603</v>
      </c>
      <c r="J18831" s="0" t="s">
        <v>62604</v>
      </c>
      <c r="K18831" s="0" t="s">
        <v>62605</v>
      </c>
      <c r="L18831" s="0" t="str">
        <f aca="false">HYPERLINK("https://www.ncbi.nlm.nih.gov/nuccore/CP000058.1?report=graph&amp;tracks=[key:gene_model_track,Options:GeneOnly]&amp;mk=5789207:5789226|offset_1|444444,5789229:5789248|offset_23|444444,5789264:5789283|offset_58|444444,5789297:5789316|offset_91|00cc00&amp;v=5789006:5789516&amp;c=444444", "offset 91")</f>
        <v>offset 91</v>
      </c>
    </row>
    <row r="18832" customFormat="false" ht="12.8" hidden="false" customHeight="false" outlineLevel="0" collapsed="false">
      <c r="A18832" s="0" t="s">
        <v>12</v>
      </c>
      <c r="B18832" s="0" t="n">
        <v>5791020</v>
      </c>
      <c r="C18832" s="0" t="n">
        <v>5791040</v>
      </c>
      <c r="D18832" s="0" t="s">
        <v>62606</v>
      </c>
      <c r="E18832" s="0" t="s">
        <v>75</v>
      </c>
      <c r="F18832" s="0" t="s">
        <v>15</v>
      </c>
      <c r="G18832" s="0" t="s">
        <v>32</v>
      </c>
      <c r="H18832" s="0" t="n">
        <v>1</v>
      </c>
      <c r="I18832" s="0" t="s">
        <v>62607</v>
      </c>
      <c r="J18832" s="0" t="s">
        <v>62608</v>
      </c>
      <c r="K18832" s="0" t="s">
        <v>62609</v>
      </c>
      <c r="L18832" s="0" t="str">
        <f aca="false">HYPERLINK("https://www.ncbi.nlm.nih.gov/nuccore/CP000058.1?report=graph&amp;tracks=[key:gene_model_track,Options:GeneOnly]&amp;mk=5791021:5791040|offset_1|00cc00,5791042:5791061|offset_22|444444,5791063:5791082|offset_43|444444,5791089:5791108|offset_69|444444&amp;v=5790820:5791308&amp;c=444444", "offset 1")</f>
        <v>offset 1</v>
      </c>
    </row>
    <row r="18833" customFormat="false" ht="12.8" hidden="false" customHeight="false" outlineLevel="0" collapsed="false">
      <c r="A18833" s="0" t="s">
        <v>12</v>
      </c>
      <c r="B18833" s="0" t="n">
        <v>5791041</v>
      </c>
      <c r="C18833" s="0" t="n">
        <v>5791061</v>
      </c>
      <c r="D18833" s="0" t="s">
        <v>62606</v>
      </c>
      <c r="E18833" s="0" t="s">
        <v>75</v>
      </c>
      <c r="F18833" s="0" t="s">
        <v>15</v>
      </c>
      <c r="G18833" s="0" t="s">
        <v>16</v>
      </c>
      <c r="H18833" s="0" t="n">
        <v>22</v>
      </c>
      <c r="I18833" s="0" t="s">
        <v>62610</v>
      </c>
      <c r="J18833" s="0" t="s">
        <v>62611</v>
      </c>
      <c r="K18833" s="0" t="s">
        <v>62612</v>
      </c>
      <c r="L18833" s="0" t="str">
        <f aca="false">HYPERLINK("https://www.ncbi.nlm.nih.gov/nuccore/CP000058.1?report=graph&amp;tracks=[key:gene_model_track,Options:GeneOnly]&amp;mk=5791021:5791040|offset_1|444444,5791042:5791061|offset_22|00cc00,5791063:5791082|offset_43|444444,5791089:5791108|offset_69|444444&amp;v=5790820:5791308&amp;c=444444", "offset 22")</f>
        <v>offset 22</v>
      </c>
    </row>
    <row r="18834" customFormat="false" ht="12.8" hidden="false" customHeight="false" outlineLevel="0" collapsed="false">
      <c r="A18834" s="0" t="s">
        <v>12</v>
      </c>
      <c r="B18834" s="0" t="n">
        <v>5791062</v>
      </c>
      <c r="C18834" s="0" t="n">
        <v>5791082</v>
      </c>
      <c r="D18834" s="0" t="s">
        <v>62606</v>
      </c>
      <c r="E18834" s="0" t="s">
        <v>75</v>
      </c>
      <c r="F18834" s="0" t="s">
        <v>15</v>
      </c>
      <c r="G18834" s="0" t="s">
        <v>16</v>
      </c>
      <c r="H18834" s="0" t="n">
        <v>43</v>
      </c>
      <c r="I18834" s="0" t="s">
        <v>62613</v>
      </c>
      <c r="J18834" s="0" t="s">
        <v>62614</v>
      </c>
      <c r="K18834" s="0" t="s">
        <v>62615</v>
      </c>
      <c r="L18834" s="0" t="str">
        <f aca="false">HYPERLINK("https://www.ncbi.nlm.nih.gov/nuccore/CP000058.1?report=graph&amp;tracks=[key:gene_model_track,Options:GeneOnly]&amp;mk=5791021:5791040|offset_1|444444,5791042:5791061|offset_22|444444,5791063:5791082|offset_43|00cc00,5791089:5791108|offset_69|444444&amp;v=5790820:5791308&amp;c=444444", "offset 43")</f>
        <v>offset 43</v>
      </c>
    </row>
    <row r="18835" customFormat="false" ht="12.8" hidden="false" customHeight="false" outlineLevel="0" collapsed="false">
      <c r="A18835" s="0" t="s">
        <v>12</v>
      </c>
      <c r="B18835" s="0" t="n">
        <v>5791088</v>
      </c>
      <c r="C18835" s="0" t="n">
        <v>5791108</v>
      </c>
      <c r="D18835" s="0" t="s">
        <v>62606</v>
      </c>
      <c r="E18835" s="0" t="s">
        <v>75</v>
      </c>
      <c r="F18835" s="0" t="s">
        <v>15</v>
      </c>
      <c r="G18835" s="0" t="s">
        <v>20</v>
      </c>
      <c r="H18835" s="0" t="n">
        <v>69</v>
      </c>
      <c r="I18835" s="0" t="s">
        <v>62616</v>
      </c>
      <c r="J18835" s="0" t="s">
        <v>62617</v>
      </c>
      <c r="K18835" s="0" t="s">
        <v>62618</v>
      </c>
      <c r="L18835" s="0" t="str">
        <f aca="false">HYPERLINK("https://www.ncbi.nlm.nih.gov/nuccore/CP000058.1?report=graph&amp;tracks=[key:gene_model_track,Options:GeneOnly]&amp;mk=5791021:5791040|offset_1|444444,5791042:5791061|offset_22|444444,5791063:5791082|offset_43|444444,5791089:5791108|offset_69|00cc00&amp;v=5790820:5791308&amp;c=444444", "offset 69")</f>
        <v>offset 69</v>
      </c>
    </row>
    <row r="18836" customFormat="false" ht="12.8" hidden="false" customHeight="false" outlineLevel="0" collapsed="false">
      <c r="A18836" s="0" t="s">
        <v>12</v>
      </c>
      <c r="B18836" s="0" t="n">
        <v>5791564</v>
      </c>
      <c r="C18836" s="0" t="n">
        <v>5791584</v>
      </c>
      <c r="D18836" s="0" t="s">
        <v>62619</v>
      </c>
      <c r="E18836" s="0" t="s">
        <v>75</v>
      </c>
      <c r="F18836" s="0" t="s">
        <v>15</v>
      </c>
      <c r="G18836" s="0" t="s">
        <v>36</v>
      </c>
      <c r="H18836" s="0" t="n">
        <v>19</v>
      </c>
      <c r="I18836" s="0" t="s">
        <v>62620</v>
      </c>
      <c r="J18836" s="0" t="s">
        <v>62621</v>
      </c>
      <c r="K18836" s="0" t="s">
        <v>62622</v>
      </c>
      <c r="L18836" s="0" t="str">
        <f aca="false">HYPERLINK("https://www.ncbi.nlm.nih.gov/nuccore/CP000058.1?report=graph&amp;tracks=[key:gene_model_track,Options:GeneOnly]&amp;mk=5791565:5791584|offset_19|00cc00,5791604:5791623|offset_58|444444,5791628:5791647|offset_82|444444,5791670:5791689|offset_124|444444&amp;v=5791364:5791889&amp;c=444444", "offset 19")</f>
        <v>offset 19</v>
      </c>
    </row>
    <row r="18837" customFormat="false" ht="12.8" hidden="false" customHeight="false" outlineLevel="0" collapsed="false">
      <c r="A18837" s="0" t="s">
        <v>12</v>
      </c>
      <c r="B18837" s="0" t="n">
        <v>5791603</v>
      </c>
      <c r="C18837" s="0" t="n">
        <v>5791623</v>
      </c>
      <c r="D18837" s="0" t="s">
        <v>62619</v>
      </c>
      <c r="E18837" s="0" t="s">
        <v>75</v>
      </c>
      <c r="F18837" s="0" t="s">
        <v>15</v>
      </c>
      <c r="G18837" s="0" t="s">
        <v>32</v>
      </c>
      <c r="H18837" s="0" t="n">
        <v>58</v>
      </c>
      <c r="I18837" s="0" t="s">
        <v>62623</v>
      </c>
      <c r="J18837" s="0" t="s">
        <v>62624</v>
      </c>
      <c r="K18837" s="0" t="s">
        <v>62625</v>
      </c>
      <c r="L18837" s="0" t="str">
        <f aca="false">HYPERLINK("https://www.ncbi.nlm.nih.gov/nuccore/CP000058.1?report=graph&amp;tracks=[key:gene_model_track,Options:GeneOnly]&amp;mk=5791565:5791584|offset_19|444444,5791604:5791623|offset_58|00cc00,5791628:5791647|offset_82|444444,5791670:5791689|offset_124|444444&amp;v=5791364:5791889&amp;c=444444", "offset 58")</f>
        <v>offset 58</v>
      </c>
    </row>
    <row r="18838" customFormat="false" ht="12.8" hidden="false" customHeight="false" outlineLevel="0" collapsed="false">
      <c r="A18838" s="0" t="s">
        <v>12</v>
      </c>
      <c r="B18838" s="0" t="n">
        <v>5791627</v>
      </c>
      <c r="C18838" s="0" t="n">
        <v>5791647</v>
      </c>
      <c r="D18838" s="0" t="s">
        <v>62619</v>
      </c>
      <c r="E18838" s="0" t="s">
        <v>75</v>
      </c>
      <c r="F18838" s="0" t="s">
        <v>15</v>
      </c>
      <c r="G18838" s="0" t="s">
        <v>32</v>
      </c>
      <c r="H18838" s="0" t="n">
        <v>82</v>
      </c>
      <c r="I18838" s="0" t="s">
        <v>62626</v>
      </c>
      <c r="J18838" s="0" t="s">
        <v>62627</v>
      </c>
      <c r="K18838" s="0" t="s">
        <v>62628</v>
      </c>
      <c r="L18838" s="0" t="str">
        <f aca="false">HYPERLINK("https://www.ncbi.nlm.nih.gov/nuccore/CP000058.1?report=graph&amp;tracks=[key:gene_model_track,Options:GeneOnly]&amp;mk=5791565:5791584|offset_19|444444,5791604:5791623|offset_58|444444,5791628:5791647|offset_82|00cc00,5791670:5791689|offset_124|444444&amp;v=5791364:5791889&amp;c=444444", "offset 82")</f>
        <v>offset 82</v>
      </c>
    </row>
    <row r="18839" customFormat="false" ht="12.8" hidden="false" customHeight="false" outlineLevel="0" collapsed="false">
      <c r="A18839" s="0" t="s">
        <v>12</v>
      </c>
      <c r="B18839" s="0" t="n">
        <v>5791669</v>
      </c>
      <c r="C18839" s="0" t="n">
        <v>5791689</v>
      </c>
      <c r="D18839" s="0" t="s">
        <v>62619</v>
      </c>
      <c r="E18839" s="0" t="s">
        <v>75</v>
      </c>
      <c r="F18839" s="0" t="s">
        <v>15</v>
      </c>
      <c r="G18839" s="0" t="s">
        <v>32</v>
      </c>
      <c r="H18839" s="0" t="n">
        <v>124</v>
      </c>
      <c r="I18839" s="0" t="s">
        <v>62629</v>
      </c>
      <c r="J18839" s="0" t="s">
        <v>62630</v>
      </c>
      <c r="K18839" s="0" t="s">
        <v>62631</v>
      </c>
      <c r="L18839" s="0" t="str">
        <f aca="false">HYPERLINK("https://www.ncbi.nlm.nih.gov/nuccore/CP000058.1?report=graph&amp;tracks=[key:gene_model_track,Options:GeneOnly]&amp;mk=5791565:5791584|offset_19|444444,5791604:5791623|offset_58|444444,5791628:5791647|offset_82|444444,5791670:5791689|offset_124|00cc00&amp;v=5791364:5791889&amp;c=444444", "offset 124")</f>
        <v>offset 124</v>
      </c>
    </row>
    <row r="18840" customFormat="false" ht="12.8" hidden="false" customHeight="false" outlineLevel="0" collapsed="false">
      <c r="A18840" s="0" t="s">
        <v>12</v>
      </c>
      <c r="B18840" s="0" t="n">
        <v>5791966</v>
      </c>
      <c r="C18840" s="0" t="n">
        <v>5791986</v>
      </c>
      <c r="D18840" s="0" t="s">
        <v>62632</v>
      </c>
      <c r="E18840" s="0" t="s">
        <v>75</v>
      </c>
      <c r="F18840" s="0" t="s">
        <v>15</v>
      </c>
      <c r="G18840" s="0" t="s">
        <v>20</v>
      </c>
      <c r="H18840" s="0" t="n">
        <v>17</v>
      </c>
      <c r="I18840" s="0" t="s">
        <v>62633</v>
      </c>
      <c r="J18840" s="0" t="s">
        <v>62634</v>
      </c>
      <c r="K18840" s="0" t="s">
        <v>62635</v>
      </c>
      <c r="L18840" s="0" t="str">
        <f aca="false">HYPERLINK("https://www.ncbi.nlm.nih.gov/nuccore/CP000058.1?report=graph&amp;tracks=[key:gene_model_track,Options:GeneOnly]&amp;mk=5791967:5791986|offset_17|00cc00,5791990:5792009|offset_40|444444,5792032:5792051|offset_82|444444,5792053:5792072|offset_103|444444&amp;v=5791766:5792272&amp;c=444444", "offset 17")</f>
        <v>offset 17</v>
      </c>
    </row>
    <row r="18841" customFormat="false" ht="12.8" hidden="false" customHeight="false" outlineLevel="0" collapsed="false">
      <c r="A18841" s="0" t="s">
        <v>12</v>
      </c>
      <c r="B18841" s="0" t="n">
        <v>5791989</v>
      </c>
      <c r="C18841" s="0" t="n">
        <v>5792009</v>
      </c>
      <c r="D18841" s="0" t="s">
        <v>62632</v>
      </c>
      <c r="E18841" s="0" t="s">
        <v>75</v>
      </c>
      <c r="F18841" s="0" t="s">
        <v>15</v>
      </c>
      <c r="G18841" s="0" t="s">
        <v>32</v>
      </c>
      <c r="H18841" s="0" t="n">
        <v>40</v>
      </c>
      <c r="I18841" s="0" t="s">
        <v>62636</v>
      </c>
      <c r="J18841" s="0" t="s">
        <v>62637</v>
      </c>
      <c r="K18841" s="0" t="s">
        <v>62638</v>
      </c>
      <c r="L18841" s="0" t="str">
        <f aca="false">HYPERLINK("https://www.ncbi.nlm.nih.gov/nuccore/CP000058.1?report=graph&amp;tracks=[key:gene_model_track,Options:GeneOnly]&amp;mk=5791967:5791986|offset_17|444444,5791990:5792009|offset_40|00cc00,5792032:5792051|offset_82|444444,5792053:5792072|offset_103|444444&amp;v=5791766:5792272&amp;c=444444", "offset 40")</f>
        <v>offset 40</v>
      </c>
    </row>
    <row r="18842" customFormat="false" ht="12.8" hidden="false" customHeight="false" outlineLevel="0" collapsed="false">
      <c r="A18842" s="0" t="s">
        <v>12</v>
      </c>
      <c r="B18842" s="0" t="n">
        <v>5792031</v>
      </c>
      <c r="C18842" s="0" t="n">
        <v>5792051</v>
      </c>
      <c r="D18842" s="0" t="s">
        <v>62632</v>
      </c>
      <c r="E18842" s="0" t="s">
        <v>75</v>
      </c>
      <c r="F18842" s="0" t="s">
        <v>15</v>
      </c>
      <c r="G18842" s="0" t="s">
        <v>32</v>
      </c>
      <c r="H18842" s="0" t="n">
        <v>82</v>
      </c>
      <c r="I18842" s="0" t="s">
        <v>62639</v>
      </c>
      <c r="J18842" s="0" t="s">
        <v>62640</v>
      </c>
      <c r="K18842" s="0" t="s">
        <v>62641</v>
      </c>
      <c r="L18842" s="0" t="str">
        <f aca="false">HYPERLINK("https://www.ncbi.nlm.nih.gov/nuccore/CP000058.1?report=graph&amp;tracks=[key:gene_model_track,Options:GeneOnly]&amp;mk=5791967:5791986|offset_17|444444,5791990:5792009|offset_40|444444,5792032:5792051|offset_82|00cc00,5792053:5792072|offset_103|444444&amp;v=5791766:5792272&amp;c=444444", "offset 82")</f>
        <v>offset 82</v>
      </c>
    </row>
    <row r="18843" customFormat="false" ht="12.8" hidden="false" customHeight="false" outlineLevel="0" collapsed="false">
      <c r="A18843" s="0" t="s">
        <v>12</v>
      </c>
      <c r="B18843" s="0" t="n">
        <v>5792052</v>
      </c>
      <c r="C18843" s="0" t="n">
        <v>5792072</v>
      </c>
      <c r="D18843" s="0" t="s">
        <v>62632</v>
      </c>
      <c r="E18843" s="0" t="s">
        <v>75</v>
      </c>
      <c r="F18843" s="0" t="s">
        <v>15</v>
      </c>
      <c r="G18843" s="0" t="s">
        <v>16</v>
      </c>
      <c r="H18843" s="0" t="n">
        <v>103</v>
      </c>
      <c r="I18843" s="0" t="s">
        <v>62642</v>
      </c>
      <c r="J18843" s="0" t="s">
        <v>62643</v>
      </c>
      <c r="K18843" s="0" t="s">
        <v>62644</v>
      </c>
      <c r="L18843" s="0" t="str">
        <f aca="false">HYPERLINK("https://www.ncbi.nlm.nih.gov/nuccore/CP000058.1?report=graph&amp;tracks=[key:gene_model_track,Options:GeneOnly]&amp;mk=5791967:5791986|offset_17|444444,5791990:5792009|offset_40|444444,5792032:5792051|offset_82|444444,5792053:5792072|offset_103|00cc00&amp;v=5791766:5792272&amp;c=444444", "offset 103")</f>
        <v>offset 103</v>
      </c>
    </row>
    <row r="18844" customFormat="false" ht="12.8" hidden="false" customHeight="false" outlineLevel="0" collapsed="false">
      <c r="A18844" s="0" t="s">
        <v>12</v>
      </c>
      <c r="B18844" s="0" t="n">
        <v>5792303</v>
      </c>
      <c r="C18844" s="0" t="n">
        <v>5792323</v>
      </c>
      <c r="D18844" s="0" t="s">
        <v>62645</v>
      </c>
      <c r="E18844" s="0" t="s">
        <v>75</v>
      </c>
      <c r="F18844" s="0" t="s">
        <v>15</v>
      </c>
      <c r="G18844" s="0" t="s">
        <v>36</v>
      </c>
      <c r="H18844" s="0" t="n">
        <v>10</v>
      </c>
      <c r="I18844" s="0" t="s">
        <v>62646</v>
      </c>
      <c r="J18844" s="0" t="s">
        <v>62647</v>
      </c>
      <c r="K18844" s="0" t="s">
        <v>62648</v>
      </c>
      <c r="L18844" s="0" t="str">
        <f aca="false">HYPERLINK("https://www.ncbi.nlm.nih.gov/nuccore/CP000058.1?report=graph&amp;tracks=[key:gene_model_track,Options:GeneOnly]&amp;mk=5792304:5792323|offset_10|00cc00,5792329:5792348|offset_35|444444,5792352:5792371|offset_58|444444,5792373:5792392|offset_79|444444&amp;v=5792103:5792592&amp;c=444444", "offset 10")</f>
        <v>offset 10</v>
      </c>
    </row>
    <row r="18845" customFormat="false" ht="12.8" hidden="false" customHeight="false" outlineLevel="0" collapsed="false">
      <c r="A18845" s="0" t="s">
        <v>12</v>
      </c>
      <c r="B18845" s="0" t="n">
        <v>5792328</v>
      </c>
      <c r="C18845" s="0" t="n">
        <v>5792348</v>
      </c>
      <c r="D18845" s="0" t="s">
        <v>62645</v>
      </c>
      <c r="E18845" s="0" t="s">
        <v>75</v>
      </c>
      <c r="F18845" s="0" t="s">
        <v>15</v>
      </c>
      <c r="G18845" s="0" t="s">
        <v>20</v>
      </c>
      <c r="H18845" s="0" t="n">
        <v>35</v>
      </c>
      <c r="I18845" s="0" t="s">
        <v>62649</v>
      </c>
      <c r="J18845" s="0" t="s">
        <v>62650</v>
      </c>
      <c r="K18845" s="0" t="s">
        <v>62651</v>
      </c>
      <c r="L18845" s="0" t="str">
        <f aca="false">HYPERLINK("https://www.ncbi.nlm.nih.gov/nuccore/CP000058.1?report=graph&amp;tracks=[key:gene_model_track,Options:GeneOnly]&amp;mk=5792304:5792323|offset_10|444444,5792329:5792348|offset_35|00cc00,5792352:5792371|offset_58|444444,5792373:5792392|offset_79|444444&amp;v=5792103:5792592&amp;c=444444", "offset 35")</f>
        <v>offset 35</v>
      </c>
    </row>
    <row r="18846" customFormat="false" ht="12.8" hidden="false" customHeight="false" outlineLevel="0" collapsed="false">
      <c r="A18846" s="0" t="s">
        <v>12</v>
      </c>
      <c r="B18846" s="0" t="n">
        <v>5792351</v>
      </c>
      <c r="C18846" s="0" t="n">
        <v>5792371</v>
      </c>
      <c r="D18846" s="0" t="s">
        <v>62645</v>
      </c>
      <c r="E18846" s="0" t="s">
        <v>75</v>
      </c>
      <c r="F18846" s="0" t="s">
        <v>15</v>
      </c>
      <c r="G18846" s="0" t="s">
        <v>36</v>
      </c>
      <c r="H18846" s="0" t="n">
        <v>58</v>
      </c>
      <c r="I18846" s="0" t="s">
        <v>62652</v>
      </c>
      <c r="J18846" s="0" t="s">
        <v>62653</v>
      </c>
      <c r="K18846" s="0" t="s">
        <v>62654</v>
      </c>
      <c r="L18846" s="0" t="str">
        <f aca="false">HYPERLINK("https://www.ncbi.nlm.nih.gov/nuccore/CP000058.1?report=graph&amp;tracks=[key:gene_model_track,Options:GeneOnly]&amp;mk=5792304:5792323|offset_10|444444,5792329:5792348|offset_35|444444,5792352:5792371|offset_58|00cc00,5792373:5792392|offset_79|444444&amp;v=5792103:5792592&amp;c=444444", "offset 58")</f>
        <v>offset 58</v>
      </c>
    </row>
    <row r="18847" customFormat="false" ht="12.8" hidden="false" customHeight="false" outlineLevel="0" collapsed="false">
      <c r="A18847" s="0" t="s">
        <v>12</v>
      </c>
      <c r="B18847" s="0" t="n">
        <v>5792372</v>
      </c>
      <c r="C18847" s="0" t="n">
        <v>5792392</v>
      </c>
      <c r="D18847" s="0" t="s">
        <v>62645</v>
      </c>
      <c r="E18847" s="0" t="s">
        <v>75</v>
      </c>
      <c r="F18847" s="0" t="s">
        <v>15</v>
      </c>
      <c r="G18847" s="0" t="s">
        <v>32</v>
      </c>
      <c r="H18847" s="0" t="n">
        <v>79</v>
      </c>
      <c r="I18847" s="0" t="s">
        <v>62655</v>
      </c>
      <c r="J18847" s="0" t="s">
        <v>62656</v>
      </c>
      <c r="K18847" s="0" t="s">
        <v>62657</v>
      </c>
      <c r="L18847" s="0" t="str">
        <f aca="false">HYPERLINK("https://www.ncbi.nlm.nih.gov/nuccore/CP000058.1?report=graph&amp;tracks=[key:gene_model_track,Options:GeneOnly]&amp;mk=5792304:5792323|offset_10|444444,5792329:5792348|offset_35|444444,5792352:5792371|offset_58|444444,5792373:5792392|offset_79|00cc00&amp;v=5792103:5792592&amp;c=444444", "offset 79")</f>
        <v>offset 79</v>
      </c>
    </row>
    <row r="18848" customFormat="false" ht="12.8" hidden="false" customHeight="false" outlineLevel="0" collapsed="false">
      <c r="A18848" s="0" t="s">
        <v>12</v>
      </c>
      <c r="B18848" s="0" t="n">
        <v>5792629</v>
      </c>
      <c r="C18848" s="0" t="n">
        <v>5792649</v>
      </c>
      <c r="D18848" s="0" t="s">
        <v>62658</v>
      </c>
      <c r="E18848" s="0" t="s">
        <v>75</v>
      </c>
      <c r="F18848" s="0" t="s">
        <v>15</v>
      </c>
      <c r="G18848" s="0" t="s">
        <v>20</v>
      </c>
      <c r="H18848" s="0" t="n">
        <v>19</v>
      </c>
      <c r="I18848" s="0" t="s">
        <v>62659</v>
      </c>
      <c r="J18848" s="0" t="s">
        <v>62660</v>
      </c>
      <c r="K18848" s="0" t="s">
        <v>62661</v>
      </c>
      <c r="L18848" s="0" t="str">
        <f aca="false">HYPERLINK("https://www.ncbi.nlm.nih.gov/nuccore/CP000058.1?report=graph&amp;tracks=[key:gene_model_track,Options:GeneOnly]&amp;mk=5792630:5792649|offset_19|00cc00,5792672:5792691|offset_61|444444,5792709:5792728|offset_98|444444,5792732:5792751|offset_121|444444&amp;v=5792429:5792951&amp;c=444444", "offset 19")</f>
        <v>offset 19</v>
      </c>
    </row>
    <row r="18849" customFormat="false" ht="12.8" hidden="false" customHeight="false" outlineLevel="0" collapsed="false">
      <c r="A18849" s="0" t="s">
        <v>12</v>
      </c>
      <c r="B18849" s="0" t="n">
        <v>5792671</v>
      </c>
      <c r="C18849" s="0" t="n">
        <v>5792691</v>
      </c>
      <c r="D18849" s="0" t="s">
        <v>62658</v>
      </c>
      <c r="E18849" s="0" t="s">
        <v>75</v>
      </c>
      <c r="F18849" s="0" t="s">
        <v>15</v>
      </c>
      <c r="G18849" s="0" t="s">
        <v>20</v>
      </c>
      <c r="H18849" s="0" t="n">
        <v>61</v>
      </c>
      <c r="I18849" s="0" t="s">
        <v>62662</v>
      </c>
      <c r="J18849" s="0" t="s">
        <v>62663</v>
      </c>
      <c r="K18849" s="0" t="s">
        <v>62664</v>
      </c>
      <c r="L18849" s="0" t="str">
        <f aca="false">HYPERLINK("https://www.ncbi.nlm.nih.gov/nuccore/CP000058.1?report=graph&amp;tracks=[key:gene_model_track,Options:GeneOnly]&amp;mk=5792630:5792649|offset_19|444444,5792672:5792691|offset_61|00cc00,5792709:5792728|offset_98|444444,5792732:5792751|offset_121|444444&amp;v=5792429:5792951&amp;c=444444", "offset 61")</f>
        <v>offset 61</v>
      </c>
    </row>
    <row r="18850" customFormat="false" ht="12.8" hidden="false" customHeight="false" outlineLevel="0" collapsed="false">
      <c r="A18850" s="0" t="s">
        <v>12</v>
      </c>
      <c r="B18850" s="0" t="n">
        <v>5792708</v>
      </c>
      <c r="C18850" s="0" t="n">
        <v>5792728</v>
      </c>
      <c r="D18850" s="0" t="s">
        <v>62658</v>
      </c>
      <c r="E18850" s="0" t="s">
        <v>75</v>
      </c>
      <c r="F18850" s="0" t="s">
        <v>15</v>
      </c>
      <c r="G18850" s="0" t="s">
        <v>20</v>
      </c>
      <c r="H18850" s="0" t="n">
        <v>98</v>
      </c>
      <c r="I18850" s="0" t="s">
        <v>62665</v>
      </c>
      <c r="J18850" s="0" t="s">
        <v>62666</v>
      </c>
      <c r="K18850" s="0" t="s">
        <v>62667</v>
      </c>
      <c r="L18850" s="0" t="str">
        <f aca="false">HYPERLINK("https://www.ncbi.nlm.nih.gov/nuccore/CP000058.1?report=graph&amp;tracks=[key:gene_model_track,Options:GeneOnly]&amp;mk=5792630:5792649|offset_19|444444,5792672:5792691|offset_61|444444,5792709:5792728|offset_98|00cc00,5792732:5792751|offset_121|444444&amp;v=5792429:5792951&amp;c=444444", "offset 98")</f>
        <v>offset 98</v>
      </c>
    </row>
    <row r="18851" customFormat="false" ht="12.8" hidden="false" customHeight="false" outlineLevel="0" collapsed="false">
      <c r="A18851" s="0" t="s">
        <v>12</v>
      </c>
      <c r="B18851" s="0" t="n">
        <v>5792731</v>
      </c>
      <c r="C18851" s="0" t="n">
        <v>5792751</v>
      </c>
      <c r="D18851" s="0" t="s">
        <v>62658</v>
      </c>
      <c r="E18851" s="0" t="s">
        <v>75</v>
      </c>
      <c r="F18851" s="0" t="s">
        <v>15</v>
      </c>
      <c r="G18851" s="0" t="s">
        <v>32</v>
      </c>
      <c r="H18851" s="0" t="n">
        <v>121</v>
      </c>
      <c r="I18851" s="0" t="s">
        <v>62668</v>
      </c>
      <c r="J18851" s="0" t="s">
        <v>62669</v>
      </c>
      <c r="K18851" s="0" t="s">
        <v>62670</v>
      </c>
      <c r="L18851" s="0" t="str">
        <f aca="false">HYPERLINK("https://www.ncbi.nlm.nih.gov/nuccore/CP000058.1?report=graph&amp;tracks=[key:gene_model_track,Options:GeneOnly]&amp;mk=5792630:5792649|offset_19|444444,5792672:5792691|offset_61|444444,5792709:5792728|offset_98|444444,5792732:5792751|offset_121|00cc00&amp;v=5792429:5792951&amp;c=444444", "offset 121")</f>
        <v>offset 121</v>
      </c>
    </row>
    <row r="18852" customFormat="false" ht="12.8" hidden="false" customHeight="false" outlineLevel="0" collapsed="false">
      <c r="A18852" s="0" t="s">
        <v>12</v>
      </c>
      <c r="B18852" s="0" t="n">
        <v>5794895</v>
      </c>
      <c r="C18852" s="0" t="n">
        <v>5794915</v>
      </c>
      <c r="D18852" s="0" t="s">
        <v>62671</v>
      </c>
      <c r="E18852" s="0" t="s">
        <v>75</v>
      </c>
      <c r="F18852" s="0" t="s">
        <v>90</v>
      </c>
      <c r="G18852" s="0" t="s">
        <v>20</v>
      </c>
      <c r="H18852" s="0" t="n">
        <v>35</v>
      </c>
      <c r="I18852" s="0" t="s">
        <v>62672</v>
      </c>
      <c r="J18852" s="0" t="s">
        <v>62673</v>
      </c>
      <c r="K18852" s="0" t="s">
        <v>62674</v>
      </c>
      <c r="L18852" s="0" t="str">
        <f aca="false">HYPERLINK("https://www.ncbi.nlm.nih.gov/nuccore/CP000058.1?report=graph&amp;tracks=[key:gene_model_track,Options:GeneOnly]&amp;mk=5794896:5794915|offset_35|00cc00,5794866:5794885|offset_65|444444,5794833:5794852|offset_98|444444,5794813:5794832|offset_118|444444&amp;v=5794695:5795032&amp;c=444444", "offset 35")</f>
        <v>offset 35</v>
      </c>
    </row>
    <row r="18853" customFormat="false" ht="12.8" hidden="false" customHeight="false" outlineLevel="0" collapsed="false">
      <c r="A18853" s="0" t="s">
        <v>12</v>
      </c>
      <c r="B18853" s="0" t="n">
        <v>5794865</v>
      </c>
      <c r="C18853" s="0" t="n">
        <v>5794885</v>
      </c>
      <c r="D18853" s="0" t="s">
        <v>62671</v>
      </c>
      <c r="E18853" s="0" t="s">
        <v>75</v>
      </c>
      <c r="F18853" s="0" t="s">
        <v>90</v>
      </c>
      <c r="G18853" s="0" t="s">
        <v>36</v>
      </c>
      <c r="H18853" s="0" t="n">
        <v>65</v>
      </c>
      <c r="I18853" s="0" t="s">
        <v>62675</v>
      </c>
      <c r="J18853" s="0" t="s">
        <v>62676</v>
      </c>
      <c r="K18853" s="0" t="s">
        <v>62677</v>
      </c>
      <c r="L18853" s="0" t="str">
        <f aca="false">HYPERLINK("https://www.ncbi.nlm.nih.gov/nuccore/CP000058.1?report=graph&amp;tracks=[key:gene_model_track,Options:GeneOnly]&amp;mk=5794896:5794915|offset_35|444444,5794866:5794885|offset_65|00cc00,5794833:5794852|offset_98|444444,5794813:5794832|offset_118|444444&amp;v=5794695:5795032&amp;c=444444", "offset 65")</f>
        <v>offset 65</v>
      </c>
    </row>
    <row r="18854" customFormat="false" ht="12.8" hidden="false" customHeight="false" outlineLevel="0" collapsed="false">
      <c r="A18854" s="0" t="s">
        <v>12</v>
      </c>
      <c r="B18854" s="0" t="n">
        <v>5794832</v>
      </c>
      <c r="C18854" s="0" t="n">
        <v>5794852</v>
      </c>
      <c r="D18854" s="0" t="s">
        <v>62671</v>
      </c>
      <c r="E18854" s="0" t="s">
        <v>75</v>
      </c>
      <c r="F18854" s="0" t="s">
        <v>90</v>
      </c>
      <c r="G18854" s="0" t="s">
        <v>20</v>
      </c>
      <c r="H18854" s="0" t="n">
        <v>98</v>
      </c>
      <c r="I18854" s="0" t="s">
        <v>62678</v>
      </c>
      <c r="J18854" s="0" t="s">
        <v>62679</v>
      </c>
      <c r="K18854" s="0" t="s">
        <v>62680</v>
      </c>
      <c r="L18854" s="0" t="str">
        <f aca="false">HYPERLINK("https://www.ncbi.nlm.nih.gov/nuccore/CP000058.1?report=graph&amp;tracks=[key:gene_model_track,Options:GeneOnly]&amp;mk=5794896:5794915|offset_35|444444,5794866:5794885|offset_65|444444,5794833:5794852|offset_98|00cc00,5794813:5794832|offset_118|444444&amp;v=5794695:5795032&amp;c=444444", "offset 98")</f>
        <v>offset 98</v>
      </c>
    </row>
    <row r="18855" customFormat="false" ht="12.8" hidden="false" customHeight="false" outlineLevel="0" collapsed="false">
      <c r="A18855" s="0" t="s">
        <v>12</v>
      </c>
      <c r="B18855" s="0" t="n">
        <v>5794812</v>
      </c>
      <c r="C18855" s="0" t="n">
        <v>5794832</v>
      </c>
      <c r="D18855" s="0" t="s">
        <v>62671</v>
      </c>
      <c r="E18855" s="0" t="s">
        <v>75</v>
      </c>
      <c r="F18855" s="0" t="s">
        <v>90</v>
      </c>
      <c r="G18855" s="0" t="s">
        <v>16</v>
      </c>
      <c r="H18855" s="0" t="n">
        <v>118</v>
      </c>
      <c r="I18855" s="0" t="s">
        <v>62681</v>
      </c>
      <c r="J18855" s="0" t="s">
        <v>62682</v>
      </c>
      <c r="K18855" s="0" t="s">
        <v>62683</v>
      </c>
      <c r="L18855" s="0" t="str">
        <f aca="false">HYPERLINK("https://www.ncbi.nlm.nih.gov/nuccore/CP000058.1?report=graph&amp;tracks=[key:gene_model_track,Options:GeneOnly]&amp;mk=5794896:5794915|offset_35|444444,5794866:5794885|offset_65|444444,5794833:5794852|offset_98|444444,5794813:5794832|offset_118|00cc00&amp;v=5794695:5795032&amp;c=444444", "offset 118")</f>
        <v>offset 118</v>
      </c>
    </row>
    <row r="18856" customFormat="false" ht="12.8" hidden="false" customHeight="false" outlineLevel="0" collapsed="false">
      <c r="A18856" s="0" t="s">
        <v>12</v>
      </c>
      <c r="B18856" s="0" t="n">
        <v>5795507</v>
      </c>
      <c r="C18856" s="0" t="n">
        <v>5795527</v>
      </c>
      <c r="D18856" s="0" t="s">
        <v>62684</v>
      </c>
      <c r="E18856" s="0" t="s">
        <v>75</v>
      </c>
      <c r="F18856" s="0" t="s">
        <v>90</v>
      </c>
      <c r="G18856" s="0" t="s">
        <v>16</v>
      </c>
      <c r="H18856" s="0" t="n">
        <v>46</v>
      </c>
      <c r="I18856" s="0" t="s">
        <v>62685</v>
      </c>
      <c r="J18856" s="0" t="s">
        <v>62686</v>
      </c>
      <c r="K18856" s="0" t="s">
        <v>62687</v>
      </c>
      <c r="L18856" s="0" t="str">
        <f aca="false">HYPERLINK("https://www.ncbi.nlm.nih.gov/nuccore/CP000058.1?report=graph&amp;tracks=[key:gene_model_track,Options:GeneOnly]&amp;mk=5795508:5795527|offset_46|00cc00,5795474:5795493|offset_80|444444,5795439:5795458|offset_115|444444,5795394:5795413|offset_160|444444&amp;v=5795307:5795613&amp;c=444444", "offset 46")</f>
        <v>offset 46</v>
      </c>
    </row>
    <row r="18857" customFormat="false" ht="12.8" hidden="false" customHeight="false" outlineLevel="0" collapsed="false">
      <c r="A18857" s="0" t="s">
        <v>12</v>
      </c>
      <c r="B18857" s="0" t="n">
        <v>5795473</v>
      </c>
      <c r="C18857" s="0" t="n">
        <v>5795493</v>
      </c>
      <c r="D18857" s="0" t="s">
        <v>62684</v>
      </c>
      <c r="E18857" s="0" t="s">
        <v>75</v>
      </c>
      <c r="F18857" s="0" t="s">
        <v>90</v>
      </c>
      <c r="G18857" s="0" t="s">
        <v>32</v>
      </c>
      <c r="H18857" s="0" t="n">
        <v>80</v>
      </c>
      <c r="I18857" s="0" t="s">
        <v>62688</v>
      </c>
      <c r="J18857" s="0" t="s">
        <v>62689</v>
      </c>
      <c r="K18857" s="0" t="s">
        <v>62690</v>
      </c>
      <c r="L18857" s="0" t="str">
        <f aca="false">HYPERLINK("https://www.ncbi.nlm.nih.gov/nuccore/CP000058.1?report=graph&amp;tracks=[key:gene_model_track,Options:GeneOnly]&amp;mk=5795508:5795527|offset_46|444444,5795474:5795493|offset_80|00cc00,5795439:5795458|offset_115|444444,5795394:5795413|offset_160|444444&amp;v=5795307:5795613&amp;c=444444", "offset 80")</f>
        <v>offset 80</v>
      </c>
    </row>
    <row r="18858" customFormat="false" ht="12.8" hidden="false" customHeight="false" outlineLevel="0" collapsed="false">
      <c r="A18858" s="0" t="s">
        <v>12</v>
      </c>
      <c r="B18858" s="0" t="n">
        <v>5795438</v>
      </c>
      <c r="C18858" s="0" t="n">
        <v>5795458</v>
      </c>
      <c r="D18858" s="0" t="s">
        <v>62684</v>
      </c>
      <c r="E18858" s="0" t="s">
        <v>75</v>
      </c>
      <c r="F18858" s="0" t="s">
        <v>90</v>
      </c>
      <c r="G18858" s="0" t="s">
        <v>16</v>
      </c>
      <c r="H18858" s="0" t="n">
        <v>115</v>
      </c>
      <c r="I18858" s="0" t="s">
        <v>62691</v>
      </c>
      <c r="J18858" s="0" t="s">
        <v>62692</v>
      </c>
      <c r="K18858" s="0" t="s">
        <v>62693</v>
      </c>
      <c r="L18858" s="0" t="str">
        <f aca="false">HYPERLINK("https://www.ncbi.nlm.nih.gov/nuccore/CP000058.1?report=graph&amp;tracks=[key:gene_model_track,Options:GeneOnly]&amp;mk=5795508:5795527|offset_46|444444,5795474:5795493|offset_80|444444,5795439:5795458|offset_115|00cc00,5795394:5795413|offset_160|444444&amp;v=5795307:5795613&amp;c=444444", "offset 115")</f>
        <v>offset 115</v>
      </c>
    </row>
    <row r="18859" customFormat="false" ht="12.8" hidden="false" customHeight="false" outlineLevel="0" collapsed="false">
      <c r="A18859" s="0" t="s">
        <v>12</v>
      </c>
      <c r="B18859" s="0" t="n">
        <v>5795393</v>
      </c>
      <c r="C18859" s="0" t="n">
        <v>5795413</v>
      </c>
      <c r="D18859" s="0" t="s">
        <v>62684</v>
      </c>
      <c r="E18859" s="0" t="s">
        <v>75</v>
      </c>
      <c r="F18859" s="0" t="s">
        <v>90</v>
      </c>
      <c r="G18859" s="0" t="s">
        <v>32</v>
      </c>
      <c r="H18859" s="0" t="n">
        <v>160</v>
      </c>
      <c r="I18859" s="0" t="s">
        <v>62694</v>
      </c>
      <c r="J18859" s="0" t="s">
        <v>62695</v>
      </c>
      <c r="K18859" s="0" t="s">
        <v>62696</v>
      </c>
      <c r="L18859" s="0" t="str">
        <f aca="false">HYPERLINK("https://www.ncbi.nlm.nih.gov/nuccore/CP000058.1?report=graph&amp;tracks=[key:gene_model_track,Options:GeneOnly]&amp;mk=5795508:5795527|offset_46|444444,5795474:5795493|offset_80|444444,5795439:5795458|offset_115|444444,5795394:5795413|offset_160|00cc00&amp;v=5795307:5795613&amp;c=444444", "offset 160")</f>
        <v>offset 160</v>
      </c>
    </row>
    <row r="18860" customFormat="false" ht="12.8" hidden="false" customHeight="false" outlineLevel="0" collapsed="false">
      <c r="A18860" s="0" t="s">
        <v>12</v>
      </c>
      <c r="B18860" s="0" t="n">
        <v>5796067</v>
      </c>
      <c r="C18860" s="0" t="n">
        <v>5796087</v>
      </c>
      <c r="D18860" s="0" t="s">
        <v>62697</v>
      </c>
      <c r="E18860" s="0" t="s">
        <v>75</v>
      </c>
      <c r="F18860" s="0" t="s">
        <v>90</v>
      </c>
      <c r="G18860" s="0" t="s">
        <v>32</v>
      </c>
      <c r="H18860" s="0" t="n">
        <v>12</v>
      </c>
      <c r="I18860" s="0" t="s">
        <v>62698</v>
      </c>
      <c r="J18860" s="0" t="s">
        <v>62699</v>
      </c>
      <c r="K18860" s="0" t="s">
        <v>62700</v>
      </c>
      <c r="L18860" s="0" t="str">
        <f aca="false">HYPERLINK("https://www.ncbi.nlm.nih.gov/nuccore/CP000058.1?report=graph&amp;tracks=[key:gene_model_track,Options:GeneOnly]&amp;mk=5796068:5796087|offset_12|00cc00,5796028:5796047|offset_52|444444,5795998:5796017|offset_82|444444,5795967:5795986|offset_113|444444&amp;v=5795867:5796186&amp;c=444444", "offset 12")</f>
        <v>offset 12</v>
      </c>
    </row>
    <row r="18861" customFormat="false" ht="12.8" hidden="false" customHeight="false" outlineLevel="0" collapsed="false">
      <c r="A18861" s="0" t="s">
        <v>12</v>
      </c>
      <c r="B18861" s="0" t="n">
        <v>5796027</v>
      </c>
      <c r="C18861" s="0" t="n">
        <v>5796047</v>
      </c>
      <c r="D18861" s="0" t="s">
        <v>62697</v>
      </c>
      <c r="E18861" s="0" t="s">
        <v>75</v>
      </c>
      <c r="F18861" s="0" t="s">
        <v>90</v>
      </c>
      <c r="G18861" s="0" t="s">
        <v>32</v>
      </c>
      <c r="H18861" s="0" t="n">
        <v>52</v>
      </c>
      <c r="I18861" s="0" t="s">
        <v>62701</v>
      </c>
      <c r="J18861" s="0" t="s">
        <v>62702</v>
      </c>
      <c r="K18861" s="0" t="s">
        <v>62703</v>
      </c>
      <c r="L18861" s="0" t="str">
        <f aca="false">HYPERLINK("https://www.ncbi.nlm.nih.gov/nuccore/CP000058.1?report=graph&amp;tracks=[key:gene_model_track,Options:GeneOnly]&amp;mk=5796068:5796087|offset_12|444444,5796028:5796047|offset_52|00cc00,5795998:5796017|offset_82|444444,5795967:5795986|offset_113|444444&amp;v=5795867:5796186&amp;c=444444", "offset 52")</f>
        <v>offset 52</v>
      </c>
    </row>
    <row r="18862" customFormat="false" ht="12.8" hidden="false" customHeight="false" outlineLevel="0" collapsed="false">
      <c r="A18862" s="0" t="s">
        <v>12</v>
      </c>
      <c r="B18862" s="0" t="n">
        <v>5795997</v>
      </c>
      <c r="C18862" s="0" t="n">
        <v>5796017</v>
      </c>
      <c r="D18862" s="0" t="s">
        <v>62697</v>
      </c>
      <c r="E18862" s="0" t="s">
        <v>75</v>
      </c>
      <c r="F18862" s="0" t="s">
        <v>90</v>
      </c>
      <c r="G18862" s="0" t="s">
        <v>32</v>
      </c>
      <c r="H18862" s="0" t="n">
        <v>82</v>
      </c>
      <c r="I18862" s="0" t="s">
        <v>62704</v>
      </c>
      <c r="J18862" s="0" t="s">
        <v>62705</v>
      </c>
      <c r="K18862" s="0" t="s">
        <v>62706</v>
      </c>
      <c r="L18862" s="0" t="str">
        <f aca="false">HYPERLINK("https://www.ncbi.nlm.nih.gov/nuccore/CP000058.1?report=graph&amp;tracks=[key:gene_model_track,Options:GeneOnly]&amp;mk=5796068:5796087|offset_12|444444,5796028:5796047|offset_52|444444,5795998:5796017|offset_82|00cc00,5795967:5795986|offset_113|444444&amp;v=5795867:5796186&amp;c=444444", "offset 82")</f>
        <v>offset 82</v>
      </c>
    </row>
    <row r="18863" customFormat="false" ht="12.8" hidden="false" customHeight="false" outlineLevel="0" collapsed="false">
      <c r="A18863" s="0" t="s">
        <v>12</v>
      </c>
      <c r="B18863" s="0" t="n">
        <v>5795966</v>
      </c>
      <c r="C18863" s="0" t="n">
        <v>5795986</v>
      </c>
      <c r="D18863" s="0" t="s">
        <v>62697</v>
      </c>
      <c r="E18863" s="0" t="s">
        <v>75</v>
      </c>
      <c r="F18863" s="0" t="s">
        <v>90</v>
      </c>
      <c r="G18863" s="0" t="s">
        <v>16</v>
      </c>
      <c r="H18863" s="0" t="n">
        <v>113</v>
      </c>
      <c r="I18863" s="0" t="s">
        <v>62707</v>
      </c>
      <c r="J18863" s="0" t="s">
        <v>62708</v>
      </c>
      <c r="K18863" s="0" t="s">
        <v>62709</v>
      </c>
      <c r="L18863" s="0" t="str">
        <f aca="false">HYPERLINK("https://www.ncbi.nlm.nih.gov/nuccore/CP000058.1?report=graph&amp;tracks=[key:gene_model_track,Options:GeneOnly]&amp;mk=5796068:5796087|offset_12|444444,5796028:5796047|offset_52|444444,5795998:5796017|offset_82|444444,5795967:5795986|offset_113|00cc00&amp;v=5795867:5796186&amp;c=444444", "offset 113")</f>
        <v>offset 113</v>
      </c>
    </row>
    <row r="18864" customFormat="false" ht="12.8" hidden="false" customHeight="false" outlineLevel="0" collapsed="false">
      <c r="A18864" s="0" t="s">
        <v>12</v>
      </c>
      <c r="B18864" s="0" t="n">
        <v>5797406</v>
      </c>
      <c r="C18864" s="0" t="n">
        <v>5797426</v>
      </c>
      <c r="D18864" s="0" t="s">
        <v>62710</v>
      </c>
      <c r="E18864" s="0" t="s">
        <v>62711</v>
      </c>
      <c r="F18864" s="0" t="s">
        <v>90</v>
      </c>
      <c r="G18864" s="0" t="s">
        <v>20</v>
      </c>
      <c r="H18864" s="0" t="n">
        <v>12</v>
      </c>
      <c r="I18864" s="0" t="s">
        <v>62712</v>
      </c>
      <c r="J18864" s="0" t="s">
        <v>62713</v>
      </c>
      <c r="K18864" s="0" t="s">
        <v>62714</v>
      </c>
      <c r="L18864" s="0" t="str">
        <f aca="false">HYPERLINK("https://www.ncbi.nlm.nih.gov/nuccore/CP000058.1?report=graph&amp;tracks=[key:gene_model_track,Options:GeneOnly]&amp;mk=5797407:5797426|offset_12|00cc00,5797384:5797403|offset_35|444444,5797364:5797383|offset_55|444444,5797332:5797351|offset_87|444444&amp;v=5797206:5797551&amp;c=444444", "offset 12")</f>
        <v>offset 12</v>
      </c>
    </row>
    <row r="18865" customFormat="false" ht="12.8" hidden="false" customHeight="false" outlineLevel="0" collapsed="false">
      <c r="A18865" s="0" t="s">
        <v>12</v>
      </c>
      <c r="B18865" s="0" t="n">
        <v>5797383</v>
      </c>
      <c r="C18865" s="0" t="n">
        <v>5797403</v>
      </c>
      <c r="D18865" s="0" t="s">
        <v>62710</v>
      </c>
      <c r="E18865" s="0" t="s">
        <v>62711</v>
      </c>
      <c r="F18865" s="0" t="s">
        <v>90</v>
      </c>
      <c r="G18865" s="0" t="s">
        <v>20</v>
      </c>
      <c r="H18865" s="0" t="n">
        <v>35</v>
      </c>
      <c r="I18865" s="0" t="s">
        <v>62715</v>
      </c>
      <c r="J18865" s="0" t="s">
        <v>62716</v>
      </c>
      <c r="K18865" s="0" t="s">
        <v>62717</v>
      </c>
      <c r="L18865" s="0" t="str">
        <f aca="false">HYPERLINK("https://www.ncbi.nlm.nih.gov/nuccore/CP000058.1?report=graph&amp;tracks=[key:gene_model_track,Options:GeneOnly]&amp;mk=5797407:5797426|offset_12|444444,5797384:5797403|offset_35|00cc00,5797364:5797383|offset_55|444444,5797332:5797351|offset_87|444444&amp;v=5797206:5797551&amp;c=444444", "offset 35")</f>
        <v>offset 35</v>
      </c>
    </row>
    <row r="18866" customFormat="false" ht="12.8" hidden="false" customHeight="false" outlineLevel="0" collapsed="false">
      <c r="A18866" s="0" t="s">
        <v>12</v>
      </c>
      <c r="B18866" s="0" t="n">
        <v>5797363</v>
      </c>
      <c r="C18866" s="0" t="n">
        <v>5797383</v>
      </c>
      <c r="D18866" s="0" t="s">
        <v>62710</v>
      </c>
      <c r="E18866" s="0" t="s">
        <v>62711</v>
      </c>
      <c r="F18866" s="0" t="s">
        <v>90</v>
      </c>
      <c r="G18866" s="0" t="s">
        <v>36</v>
      </c>
      <c r="H18866" s="0" t="n">
        <v>55</v>
      </c>
      <c r="I18866" s="0" t="s">
        <v>62718</v>
      </c>
      <c r="J18866" s="0" t="s">
        <v>62719</v>
      </c>
      <c r="K18866" s="0" t="s">
        <v>62720</v>
      </c>
      <c r="L18866" s="0" t="str">
        <f aca="false">HYPERLINK("https://www.ncbi.nlm.nih.gov/nuccore/CP000058.1?report=graph&amp;tracks=[key:gene_model_track,Options:GeneOnly]&amp;mk=5797407:5797426|offset_12|444444,5797384:5797403|offset_35|444444,5797364:5797383|offset_55|00cc00,5797332:5797351|offset_87|444444&amp;v=5797206:5797551&amp;c=444444", "offset 55")</f>
        <v>offset 55</v>
      </c>
    </row>
    <row r="18867" customFormat="false" ht="12.8" hidden="false" customHeight="false" outlineLevel="0" collapsed="false">
      <c r="A18867" s="0" t="s">
        <v>12</v>
      </c>
      <c r="B18867" s="0" t="n">
        <v>5797331</v>
      </c>
      <c r="C18867" s="0" t="n">
        <v>5797351</v>
      </c>
      <c r="D18867" s="0" t="s">
        <v>62710</v>
      </c>
      <c r="E18867" s="0" t="s">
        <v>62711</v>
      </c>
      <c r="F18867" s="0" t="s">
        <v>90</v>
      </c>
      <c r="G18867" s="0" t="s">
        <v>16</v>
      </c>
      <c r="H18867" s="0" t="n">
        <v>87</v>
      </c>
      <c r="I18867" s="0" t="s">
        <v>62721</v>
      </c>
      <c r="J18867" s="0" t="s">
        <v>62722</v>
      </c>
      <c r="K18867" s="0" t="s">
        <v>62723</v>
      </c>
      <c r="L18867" s="0" t="str">
        <f aca="false">HYPERLINK("https://www.ncbi.nlm.nih.gov/nuccore/CP000058.1?report=graph&amp;tracks=[key:gene_model_track,Options:GeneOnly]&amp;mk=5797407:5797426|offset_12|444444,5797384:5797403|offset_35|444444,5797364:5797383|offset_55|444444,5797332:5797351|offset_87|00cc00&amp;v=5797206:5797551&amp;c=444444", "offset 87")</f>
        <v>offset 87</v>
      </c>
    </row>
    <row r="18868" customFormat="false" ht="12.8" hidden="false" customHeight="false" outlineLevel="0" collapsed="false">
      <c r="A18868" s="0" t="s">
        <v>12</v>
      </c>
      <c r="B18868" s="0" t="n">
        <v>5797591</v>
      </c>
      <c r="C18868" s="0" t="n">
        <v>5797611</v>
      </c>
      <c r="D18868" s="0" t="s">
        <v>62724</v>
      </c>
      <c r="E18868" s="0" t="s">
        <v>62725</v>
      </c>
      <c r="F18868" s="0" t="s">
        <v>90</v>
      </c>
      <c r="G18868" s="0" t="s">
        <v>20</v>
      </c>
      <c r="H18868" s="0" t="n">
        <v>32</v>
      </c>
      <c r="I18868" s="0" t="s">
        <v>62726</v>
      </c>
      <c r="J18868" s="0" t="s">
        <v>62727</v>
      </c>
      <c r="K18868" s="0" t="s">
        <v>62728</v>
      </c>
      <c r="L18868" s="0" t="str">
        <f aca="false">HYPERLINK("https://www.ncbi.nlm.nih.gov/nuccore/CP000058.1?report=graph&amp;tracks=[key:gene_model_track,Options:GeneOnly]&amp;mk=5797592:5797611|offset_32|00cc00,5797564:5797583|offset_60|444444,5797522:5797541|offset_102|444444&amp;v=5797391:5797741&amp;c=444444", "offset 32")</f>
        <v>offset 32</v>
      </c>
    </row>
    <row r="18869" customFormat="false" ht="12.8" hidden="false" customHeight="false" outlineLevel="0" collapsed="false">
      <c r="A18869" s="0" t="s">
        <v>12</v>
      </c>
      <c r="B18869" s="0" t="n">
        <v>5797563</v>
      </c>
      <c r="C18869" s="0" t="n">
        <v>5797583</v>
      </c>
      <c r="D18869" s="0" t="s">
        <v>62724</v>
      </c>
      <c r="E18869" s="0" t="s">
        <v>62725</v>
      </c>
      <c r="F18869" s="0" t="s">
        <v>90</v>
      </c>
      <c r="G18869" s="0" t="s">
        <v>16</v>
      </c>
      <c r="H18869" s="0" t="n">
        <v>60</v>
      </c>
      <c r="I18869" s="0" t="s">
        <v>62729</v>
      </c>
      <c r="J18869" s="0" t="s">
        <v>62730</v>
      </c>
      <c r="K18869" s="0" t="s">
        <v>62731</v>
      </c>
      <c r="L18869" s="0" t="str">
        <f aca="false">HYPERLINK("https://www.ncbi.nlm.nih.gov/nuccore/CP000058.1?report=graph&amp;tracks=[key:gene_model_track,Options:GeneOnly]&amp;mk=5797592:5797611|offset_32|444444,5797564:5797583|offset_60|00cc00,5797522:5797541|offset_102|444444&amp;v=5797391:5797741&amp;c=444444", "offset 60")</f>
        <v>offset 60</v>
      </c>
    </row>
    <row r="18870" customFormat="false" ht="12.8" hidden="false" customHeight="false" outlineLevel="0" collapsed="false">
      <c r="A18870" s="0" t="s">
        <v>12</v>
      </c>
      <c r="B18870" s="0" t="n">
        <v>5797521</v>
      </c>
      <c r="C18870" s="0" t="n">
        <v>5797541</v>
      </c>
      <c r="D18870" s="0" t="s">
        <v>62724</v>
      </c>
      <c r="E18870" s="0" t="s">
        <v>62725</v>
      </c>
      <c r="F18870" s="0" t="s">
        <v>90</v>
      </c>
      <c r="G18870" s="0" t="s">
        <v>16</v>
      </c>
      <c r="H18870" s="0" t="n">
        <v>102</v>
      </c>
      <c r="I18870" s="0" t="s">
        <v>62732</v>
      </c>
      <c r="J18870" s="0" t="s">
        <v>62733</v>
      </c>
      <c r="K18870" s="0" t="s">
        <v>62734</v>
      </c>
      <c r="L18870" s="0" t="str">
        <f aca="false">HYPERLINK("https://www.ncbi.nlm.nih.gov/nuccore/CP000058.1?report=graph&amp;tracks=[key:gene_model_track,Options:GeneOnly]&amp;mk=5797592:5797611|offset_32|444444,5797564:5797583|offset_60|444444,5797522:5797541|offset_102|00cc00&amp;v=5797391:5797741&amp;c=444444", "offset 102")</f>
        <v>offset 102</v>
      </c>
    </row>
    <row r="18871" customFormat="false" ht="12.8" hidden="false" customHeight="false" outlineLevel="0" collapsed="false">
      <c r="A18871" s="0" t="s">
        <v>12</v>
      </c>
      <c r="B18871" s="0" t="n">
        <v>5797830</v>
      </c>
      <c r="C18871" s="0" t="n">
        <v>5797850</v>
      </c>
      <c r="D18871" s="0" t="s">
        <v>62735</v>
      </c>
      <c r="E18871" s="0" t="s">
        <v>75</v>
      </c>
      <c r="F18871" s="0" t="s">
        <v>15</v>
      </c>
      <c r="G18871" s="0" t="s">
        <v>16</v>
      </c>
      <c r="H18871" s="0" t="n">
        <v>1</v>
      </c>
      <c r="I18871" s="0" t="s">
        <v>62736</v>
      </c>
      <c r="J18871" s="0" t="s">
        <v>62737</v>
      </c>
      <c r="K18871" s="0" t="s">
        <v>62738</v>
      </c>
      <c r="L18871" s="0" t="str">
        <f aca="false">HYPERLINK("https://www.ncbi.nlm.nih.gov/nuccore/CP000058.1?report=graph&amp;tracks=[key:gene_model_track,Options:GeneOnly]&amp;mk=5797831:5797850|offset_1|00cc00,5797862:5797881|offset_32|444444,5797899:5797918|offset_69|444444,5797939:5797958|offset_109|444444&amp;v=5797630:5798158&amp;c=444444", "offset 1")</f>
        <v>offset 1</v>
      </c>
    </row>
    <row r="18872" customFormat="false" ht="12.8" hidden="false" customHeight="false" outlineLevel="0" collapsed="false">
      <c r="A18872" s="0" t="s">
        <v>12</v>
      </c>
      <c r="B18872" s="0" t="n">
        <v>5797861</v>
      </c>
      <c r="C18872" s="0" t="n">
        <v>5797881</v>
      </c>
      <c r="D18872" s="0" t="s">
        <v>62735</v>
      </c>
      <c r="E18872" s="0" t="s">
        <v>75</v>
      </c>
      <c r="F18872" s="0" t="s">
        <v>15</v>
      </c>
      <c r="G18872" s="0" t="s">
        <v>36</v>
      </c>
      <c r="H18872" s="0" t="n">
        <v>32</v>
      </c>
      <c r="I18872" s="0" t="s">
        <v>62739</v>
      </c>
      <c r="J18872" s="0" t="s">
        <v>62740</v>
      </c>
      <c r="K18872" s="0" t="s">
        <v>62741</v>
      </c>
      <c r="L18872" s="0" t="str">
        <f aca="false">HYPERLINK("https://www.ncbi.nlm.nih.gov/nuccore/CP000058.1?report=graph&amp;tracks=[key:gene_model_track,Options:GeneOnly]&amp;mk=5797831:5797850|offset_1|444444,5797862:5797881|offset_32|00cc00,5797899:5797918|offset_69|444444,5797939:5797958|offset_109|444444&amp;v=5797630:5798158&amp;c=444444", "offset 32")</f>
        <v>offset 32</v>
      </c>
    </row>
    <row r="18873" customFormat="false" ht="12.8" hidden="false" customHeight="false" outlineLevel="0" collapsed="false">
      <c r="A18873" s="0" t="s">
        <v>12</v>
      </c>
      <c r="B18873" s="0" t="n">
        <v>5797898</v>
      </c>
      <c r="C18873" s="0" t="n">
        <v>5797918</v>
      </c>
      <c r="D18873" s="0" t="s">
        <v>62735</v>
      </c>
      <c r="E18873" s="0" t="s">
        <v>75</v>
      </c>
      <c r="F18873" s="0" t="s">
        <v>15</v>
      </c>
      <c r="G18873" s="0" t="s">
        <v>36</v>
      </c>
      <c r="H18873" s="0" t="n">
        <v>69</v>
      </c>
      <c r="I18873" s="0" t="s">
        <v>62742</v>
      </c>
      <c r="J18873" s="0" t="s">
        <v>62743</v>
      </c>
      <c r="K18873" s="0" t="s">
        <v>62744</v>
      </c>
      <c r="L18873" s="0" t="str">
        <f aca="false">HYPERLINK("https://www.ncbi.nlm.nih.gov/nuccore/CP000058.1?report=graph&amp;tracks=[key:gene_model_track,Options:GeneOnly]&amp;mk=5797831:5797850|offset_1|444444,5797862:5797881|offset_32|444444,5797899:5797918|offset_69|00cc00,5797939:5797958|offset_109|444444&amp;v=5797630:5798158&amp;c=444444", "offset 69")</f>
        <v>offset 69</v>
      </c>
    </row>
    <row r="18874" customFormat="false" ht="12.8" hidden="false" customHeight="false" outlineLevel="0" collapsed="false">
      <c r="A18874" s="0" t="s">
        <v>12</v>
      </c>
      <c r="B18874" s="0" t="n">
        <v>5797938</v>
      </c>
      <c r="C18874" s="0" t="n">
        <v>5797958</v>
      </c>
      <c r="D18874" s="0" t="s">
        <v>62735</v>
      </c>
      <c r="E18874" s="0" t="s">
        <v>75</v>
      </c>
      <c r="F18874" s="0" t="s">
        <v>15</v>
      </c>
      <c r="G18874" s="0" t="s">
        <v>36</v>
      </c>
      <c r="H18874" s="0" t="n">
        <v>109</v>
      </c>
      <c r="I18874" s="0" t="s">
        <v>62745</v>
      </c>
      <c r="J18874" s="0" t="s">
        <v>62746</v>
      </c>
      <c r="K18874" s="0" t="s">
        <v>62747</v>
      </c>
      <c r="L18874" s="0" t="str">
        <f aca="false">HYPERLINK("https://www.ncbi.nlm.nih.gov/nuccore/CP000058.1?report=graph&amp;tracks=[key:gene_model_track,Options:GeneOnly]&amp;mk=5797831:5797850|offset_1|444444,5797862:5797881|offset_32|444444,5797899:5797918|offset_69|444444,5797939:5797958|offset_109|00cc00&amp;v=5797630:5798158&amp;c=444444", "offset 109")</f>
        <v>offset 109</v>
      </c>
    </row>
    <row r="18875" customFormat="false" ht="12.8" hidden="false" customHeight="false" outlineLevel="0" collapsed="false">
      <c r="A18875" s="0" t="s">
        <v>12</v>
      </c>
      <c r="B18875" s="0" t="n">
        <v>5798397</v>
      </c>
      <c r="C18875" s="0" t="n">
        <v>5798417</v>
      </c>
      <c r="D18875" s="0" t="s">
        <v>62748</v>
      </c>
      <c r="E18875" s="0" t="s">
        <v>62749</v>
      </c>
      <c r="F18875" s="0" t="s">
        <v>15</v>
      </c>
      <c r="G18875" s="0" t="s">
        <v>20</v>
      </c>
      <c r="H18875" s="0" t="n">
        <v>8</v>
      </c>
      <c r="I18875" s="0" t="s">
        <v>62750</v>
      </c>
      <c r="J18875" s="0" t="s">
        <v>62751</v>
      </c>
      <c r="K18875" s="0" t="s">
        <v>62752</v>
      </c>
      <c r="L18875" s="0" t="str">
        <f aca="false">HYPERLINK("https://www.ncbi.nlm.nih.gov/nuccore/CP000058.1?report=graph&amp;tracks=[key:gene_model_track,Options:GeneOnly]&amp;mk=5798398:5798417|offset_8|00cc00,5798431:5798450|offset_41|444444,5798474:5798493|offset_84|444444,5798501:5798520|offset_111|444444&amp;v=5798197:5798720&amp;c=444444", "offset 8")</f>
        <v>offset 8</v>
      </c>
    </row>
    <row r="18876" customFormat="false" ht="12.8" hidden="false" customHeight="false" outlineLevel="0" collapsed="false">
      <c r="A18876" s="0" t="s">
        <v>12</v>
      </c>
      <c r="B18876" s="0" t="n">
        <v>5798430</v>
      </c>
      <c r="C18876" s="0" t="n">
        <v>5798450</v>
      </c>
      <c r="D18876" s="0" t="s">
        <v>62748</v>
      </c>
      <c r="E18876" s="0" t="s">
        <v>62749</v>
      </c>
      <c r="F18876" s="0" t="s">
        <v>15</v>
      </c>
      <c r="G18876" s="0" t="s">
        <v>36</v>
      </c>
      <c r="H18876" s="0" t="n">
        <v>41</v>
      </c>
      <c r="I18876" s="0" t="s">
        <v>62753</v>
      </c>
      <c r="J18876" s="0" t="s">
        <v>62754</v>
      </c>
      <c r="K18876" s="0" t="s">
        <v>62755</v>
      </c>
      <c r="L18876" s="0" t="str">
        <f aca="false">HYPERLINK("https://www.ncbi.nlm.nih.gov/nuccore/CP000058.1?report=graph&amp;tracks=[key:gene_model_track,Options:GeneOnly]&amp;mk=5798398:5798417|offset_8|444444,5798431:5798450|offset_41|00cc00,5798474:5798493|offset_84|444444,5798501:5798520|offset_111|444444&amp;v=5798197:5798720&amp;c=444444", "offset 41")</f>
        <v>offset 41</v>
      </c>
    </row>
    <row r="18877" customFormat="false" ht="12.8" hidden="false" customHeight="false" outlineLevel="0" collapsed="false">
      <c r="A18877" s="0" t="s">
        <v>12</v>
      </c>
      <c r="B18877" s="0" t="n">
        <v>5798473</v>
      </c>
      <c r="C18877" s="0" t="n">
        <v>5798493</v>
      </c>
      <c r="D18877" s="0" t="s">
        <v>62748</v>
      </c>
      <c r="E18877" s="0" t="s">
        <v>62749</v>
      </c>
      <c r="F18877" s="0" t="s">
        <v>15</v>
      </c>
      <c r="G18877" s="0" t="s">
        <v>36</v>
      </c>
      <c r="H18877" s="0" t="n">
        <v>84</v>
      </c>
      <c r="I18877" s="0" t="s">
        <v>62756</v>
      </c>
      <c r="J18877" s="0" t="s">
        <v>62757</v>
      </c>
      <c r="K18877" s="0" t="s">
        <v>62758</v>
      </c>
      <c r="L18877" s="0" t="str">
        <f aca="false">HYPERLINK("https://www.ncbi.nlm.nih.gov/nuccore/CP000058.1?report=graph&amp;tracks=[key:gene_model_track,Options:GeneOnly]&amp;mk=5798398:5798417|offset_8|444444,5798431:5798450|offset_41|444444,5798474:5798493|offset_84|00cc00,5798501:5798520|offset_111|444444&amp;v=5798197:5798720&amp;c=444444", "offset 84")</f>
        <v>offset 84</v>
      </c>
    </row>
    <row r="18878" customFormat="false" ht="12.8" hidden="false" customHeight="false" outlineLevel="0" collapsed="false">
      <c r="A18878" s="0" t="s">
        <v>12</v>
      </c>
      <c r="B18878" s="0" t="n">
        <v>5798500</v>
      </c>
      <c r="C18878" s="0" t="n">
        <v>5798520</v>
      </c>
      <c r="D18878" s="0" t="s">
        <v>62748</v>
      </c>
      <c r="E18878" s="0" t="s">
        <v>62749</v>
      </c>
      <c r="F18878" s="0" t="s">
        <v>15</v>
      </c>
      <c r="G18878" s="0" t="s">
        <v>32</v>
      </c>
      <c r="H18878" s="0" t="n">
        <v>111</v>
      </c>
      <c r="I18878" s="0" t="s">
        <v>62759</v>
      </c>
      <c r="J18878" s="0" t="s">
        <v>62760</v>
      </c>
      <c r="K18878" s="0" t="s">
        <v>62761</v>
      </c>
      <c r="L18878" s="0" t="str">
        <f aca="false">HYPERLINK("https://www.ncbi.nlm.nih.gov/nuccore/CP000058.1?report=graph&amp;tracks=[key:gene_model_track,Options:GeneOnly]&amp;mk=5798398:5798417|offset_8|444444,5798431:5798450|offset_41|444444,5798474:5798493|offset_84|444444,5798501:5798520|offset_111|00cc00&amp;v=5798197:5798720&amp;c=444444", "offset 111")</f>
        <v>offset 111</v>
      </c>
    </row>
    <row r="18879" customFormat="false" ht="12.8" hidden="false" customHeight="false" outlineLevel="0" collapsed="false">
      <c r="A18879" s="0" t="s">
        <v>12</v>
      </c>
      <c r="B18879" s="0" t="n">
        <v>5799490</v>
      </c>
      <c r="C18879" s="0" t="n">
        <v>5799510</v>
      </c>
      <c r="D18879" s="0" t="s">
        <v>62762</v>
      </c>
      <c r="E18879" s="0" t="s">
        <v>62763</v>
      </c>
      <c r="F18879" s="0" t="s">
        <v>15</v>
      </c>
      <c r="G18879" s="0" t="s">
        <v>20</v>
      </c>
      <c r="H18879" s="0" t="n">
        <v>42</v>
      </c>
      <c r="I18879" s="0" t="s">
        <v>62764</v>
      </c>
      <c r="J18879" s="0" t="s">
        <v>62765</v>
      </c>
      <c r="K18879" s="0" t="s">
        <v>62766</v>
      </c>
      <c r="L18879" s="0" t="str">
        <f aca="false">HYPERLINK("https://www.ncbi.nlm.nih.gov/nuccore/CP000058.1?report=graph&amp;tracks=[key:gene_model_track,Options:GeneOnly]&amp;mk=5799491:5799510|offset_42|00cc00,5799549:5799568|offset_100|444444,5799586:5799605|offset_137|444444,5799623:5799642|offset_174|444444&amp;v=5799290:5799842&amp;c=444444", "offset 42")</f>
        <v>offset 42</v>
      </c>
    </row>
    <row r="18880" customFormat="false" ht="12.8" hidden="false" customHeight="false" outlineLevel="0" collapsed="false">
      <c r="A18880" s="0" t="s">
        <v>12</v>
      </c>
      <c r="B18880" s="0" t="n">
        <v>5799548</v>
      </c>
      <c r="C18880" s="0" t="n">
        <v>5799568</v>
      </c>
      <c r="D18880" s="0" t="s">
        <v>62762</v>
      </c>
      <c r="E18880" s="0" t="s">
        <v>62763</v>
      </c>
      <c r="F18880" s="0" t="s">
        <v>15</v>
      </c>
      <c r="G18880" s="0" t="s">
        <v>16</v>
      </c>
      <c r="H18880" s="0" t="n">
        <v>100</v>
      </c>
      <c r="I18880" s="0" t="s">
        <v>62767</v>
      </c>
      <c r="J18880" s="0" t="s">
        <v>62768</v>
      </c>
      <c r="K18880" s="0" t="s">
        <v>62769</v>
      </c>
      <c r="L18880" s="0" t="str">
        <f aca="false">HYPERLINK("https://www.ncbi.nlm.nih.gov/nuccore/CP000058.1?report=graph&amp;tracks=[key:gene_model_track,Options:GeneOnly]&amp;mk=5799491:5799510|offset_42|444444,5799549:5799568|offset_100|00cc00,5799586:5799605|offset_137|444444,5799623:5799642|offset_174|444444&amp;v=5799290:5799842&amp;c=444444", "offset 100")</f>
        <v>offset 100</v>
      </c>
    </row>
    <row r="18881" customFormat="false" ht="12.8" hidden="false" customHeight="false" outlineLevel="0" collapsed="false">
      <c r="A18881" s="0" t="s">
        <v>12</v>
      </c>
      <c r="B18881" s="0" t="n">
        <v>5799585</v>
      </c>
      <c r="C18881" s="0" t="n">
        <v>5799605</v>
      </c>
      <c r="D18881" s="0" t="s">
        <v>62762</v>
      </c>
      <c r="E18881" s="0" t="s">
        <v>62763</v>
      </c>
      <c r="F18881" s="0" t="s">
        <v>15</v>
      </c>
      <c r="G18881" s="0" t="s">
        <v>16</v>
      </c>
      <c r="H18881" s="0" t="n">
        <v>137</v>
      </c>
      <c r="I18881" s="0" t="s">
        <v>62770</v>
      </c>
      <c r="J18881" s="0" t="s">
        <v>62771</v>
      </c>
      <c r="K18881" s="0" t="s">
        <v>62772</v>
      </c>
      <c r="L18881" s="0" t="str">
        <f aca="false">HYPERLINK("https://www.ncbi.nlm.nih.gov/nuccore/CP000058.1?report=graph&amp;tracks=[key:gene_model_track,Options:GeneOnly]&amp;mk=5799491:5799510|offset_42|444444,5799549:5799568|offset_100|444444,5799586:5799605|offset_137|00cc00,5799623:5799642|offset_174|444444&amp;v=5799290:5799842&amp;c=444444", "offset 137")</f>
        <v>offset 137</v>
      </c>
    </row>
    <row r="18882" customFormat="false" ht="12.8" hidden="false" customHeight="false" outlineLevel="0" collapsed="false">
      <c r="A18882" s="0" t="s">
        <v>12</v>
      </c>
      <c r="B18882" s="0" t="n">
        <v>5799622</v>
      </c>
      <c r="C18882" s="0" t="n">
        <v>5799642</v>
      </c>
      <c r="D18882" s="0" t="s">
        <v>62762</v>
      </c>
      <c r="E18882" s="0" t="s">
        <v>62763</v>
      </c>
      <c r="F18882" s="0" t="s">
        <v>15</v>
      </c>
      <c r="G18882" s="0" t="s">
        <v>20</v>
      </c>
      <c r="H18882" s="0" t="n">
        <v>174</v>
      </c>
      <c r="I18882" s="0" t="s">
        <v>62773</v>
      </c>
      <c r="J18882" s="0" t="s">
        <v>62774</v>
      </c>
      <c r="K18882" s="0" t="s">
        <v>62775</v>
      </c>
      <c r="L18882" s="0" t="str">
        <f aca="false">HYPERLINK("https://www.ncbi.nlm.nih.gov/nuccore/CP000058.1?report=graph&amp;tracks=[key:gene_model_track,Options:GeneOnly]&amp;mk=5799491:5799510|offset_42|444444,5799549:5799568|offset_100|444444,5799586:5799605|offset_137|444444,5799623:5799642|offset_174|00cc00&amp;v=5799290:5799842&amp;c=444444", "offset 174")</f>
        <v>offset 174</v>
      </c>
    </row>
    <row r="18883" customFormat="false" ht="12.8" hidden="false" customHeight="false" outlineLevel="0" collapsed="false">
      <c r="A18883" s="0" t="s">
        <v>12</v>
      </c>
      <c r="B18883" s="0" t="n">
        <v>5800213</v>
      </c>
      <c r="C18883" s="0" t="n">
        <v>5800233</v>
      </c>
      <c r="D18883" s="0" t="s">
        <v>62776</v>
      </c>
      <c r="E18883" s="0" t="s">
        <v>62777</v>
      </c>
      <c r="F18883" s="0" t="s">
        <v>15</v>
      </c>
      <c r="G18883" s="0" t="s">
        <v>20</v>
      </c>
      <c r="H18883" s="0" t="n">
        <v>25</v>
      </c>
      <c r="I18883" s="0" t="s">
        <v>62778</v>
      </c>
      <c r="J18883" s="0" t="s">
        <v>62779</v>
      </c>
      <c r="K18883" s="0" t="s">
        <v>62780</v>
      </c>
      <c r="L18883" s="0" t="str">
        <f aca="false">HYPERLINK("https://www.ncbi.nlm.nih.gov/nuccore/CP000058.1?report=graph&amp;tracks=[key:gene_model_track,Options:GeneOnly]&amp;mk=5800214:5800233|offset_25|00cc00,5800244:5800263|offset_55|444444,5800290:5800309|offset_101|444444,5800319:5800338|offset_130|444444&amp;v=5800013:5800538&amp;c=444444", "offset 25")</f>
        <v>offset 25</v>
      </c>
    </row>
    <row r="18884" customFormat="false" ht="12.8" hidden="false" customHeight="false" outlineLevel="0" collapsed="false">
      <c r="A18884" s="0" t="s">
        <v>12</v>
      </c>
      <c r="B18884" s="0" t="n">
        <v>5800243</v>
      </c>
      <c r="C18884" s="0" t="n">
        <v>5800263</v>
      </c>
      <c r="D18884" s="0" t="s">
        <v>62776</v>
      </c>
      <c r="E18884" s="0" t="s">
        <v>62777</v>
      </c>
      <c r="F18884" s="0" t="s">
        <v>15</v>
      </c>
      <c r="G18884" s="0" t="s">
        <v>16</v>
      </c>
      <c r="H18884" s="0" t="n">
        <v>55</v>
      </c>
      <c r="I18884" s="0" t="s">
        <v>62781</v>
      </c>
      <c r="J18884" s="0" t="s">
        <v>62782</v>
      </c>
      <c r="K18884" s="0" t="s">
        <v>62783</v>
      </c>
      <c r="L18884" s="0" t="str">
        <f aca="false">HYPERLINK("https://www.ncbi.nlm.nih.gov/nuccore/CP000058.1?report=graph&amp;tracks=[key:gene_model_track,Options:GeneOnly]&amp;mk=5800214:5800233|offset_25|444444,5800244:5800263|offset_55|00cc00,5800290:5800309|offset_101|444444,5800319:5800338|offset_130|444444&amp;v=5800013:5800538&amp;c=444444", "offset 55")</f>
        <v>offset 55</v>
      </c>
    </row>
    <row r="18885" customFormat="false" ht="12.8" hidden="false" customHeight="false" outlineLevel="0" collapsed="false">
      <c r="A18885" s="0" t="s">
        <v>12</v>
      </c>
      <c r="B18885" s="0" t="n">
        <v>5800289</v>
      </c>
      <c r="C18885" s="0" t="n">
        <v>5800309</v>
      </c>
      <c r="D18885" s="0" t="s">
        <v>62776</v>
      </c>
      <c r="E18885" s="0" t="s">
        <v>62777</v>
      </c>
      <c r="F18885" s="0" t="s">
        <v>15</v>
      </c>
      <c r="G18885" s="0" t="s">
        <v>20</v>
      </c>
      <c r="H18885" s="0" t="n">
        <v>101</v>
      </c>
      <c r="I18885" s="0" t="s">
        <v>62784</v>
      </c>
      <c r="J18885" s="0" t="s">
        <v>62785</v>
      </c>
      <c r="K18885" s="0" t="s">
        <v>62786</v>
      </c>
      <c r="L18885" s="0" t="str">
        <f aca="false">HYPERLINK("https://www.ncbi.nlm.nih.gov/nuccore/CP000058.1?report=graph&amp;tracks=[key:gene_model_track,Options:GeneOnly]&amp;mk=5800214:5800233|offset_25|444444,5800244:5800263|offset_55|444444,5800290:5800309|offset_101|00cc00,5800319:5800338|offset_130|444444&amp;v=5800013:5800538&amp;c=444444", "offset 101")</f>
        <v>offset 101</v>
      </c>
    </row>
    <row r="18886" customFormat="false" ht="12.8" hidden="false" customHeight="false" outlineLevel="0" collapsed="false">
      <c r="A18886" s="0" t="s">
        <v>12</v>
      </c>
      <c r="B18886" s="0" t="n">
        <v>5800318</v>
      </c>
      <c r="C18886" s="0" t="n">
        <v>5800338</v>
      </c>
      <c r="D18886" s="0" t="s">
        <v>62776</v>
      </c>
      <c r="E18886" s="0" t="s">
        <v>62777</v>
      </c>
      <c r="F18886" s="0" t="s">
        <v>15</v>
      </c>
      <c r="G18886" s="0" t="s">
        <v>20</v>
      </c>
      <c r="H18886" s="0" t="n">
        <v>130</v>
      </c>
      <c r="I18886" s="0" t="s">
        <v>62787</v>
      </c>
      <c r="J18886" s="0" t="s">
        <v>62788</v>
      </c>
      <c r="K18886" s="0" t="s">
        <v>62789</v>
      </c>
      <c r="L18886" s="0" t="str">
        <f aca="false">HYPERLINK("https://www.ncbi.nlm.nih.gov/nuccore/CP000058.1?report=graph&amp;tracks=[key:gene_model_track,Options:GeneOnly]&amp;mk=5800214:5800233|offset_25|444444,5800244:5800263|offset_55|444444,5800290:5800309|offset_101|444444,5800319:5800338|offset_130|00cc00&amp;v=5800013:5800538&amp;c=444444", "offset 130")</f>
        <v>offset 130</v>
      </c>
    </row>
    <row r="18887" customFormat="false" ht="12.8" hidden="false" customHeight="false" outlineLevel="0" collapsed="false">
      <c r="A18887" s="0" t="s">
        <v>12</v>
      </c>
      <c r="B18887" s="0" t="n">
        <v>5801617</v>
      </c>
      <c r="C18887" s="0" t="n">
        <v>5801637</v>
      </c>
      <c r="D18887" s="0" t="s">
        <v>62790</v>
      </c>
      <c r="E18887" s="0" t="s">
        <v>75</v>
      </c>
      <c r="F18887" s="0" t="s">
        <v>15</v>
      </c>
      <c r="G18887" s="0" t="s">
        <v>36</v>
      </c>
      <c r="H18887" s="0" t="n">
        <v>8</v>
      </c>
      <c r="I18887" s="0" t="s">
        <v>62791</v>
      </c>
      <c r="J18887" s="0" t="s">
        <v>62792</v>
      </c>
      <c r="K18887" s="0" t="s">
        <v>62793</v>
      </c>
      <c r="L18887" s="0" t="str">
        <f aca="false">HYPERLINK("https://www.ncbi.nlm.nih.gov/nuccore/CP000058.1?report=graph&amp;tracks=[key:gene_model_track,Options:GeneOnly]&amp;mk=5801618:5801637|offset_8|00cc00,5801653:5801672|offset_43|444444,5801684:5801703|offset_74|444444,5801725:5801744|offset_115|444444&amp;v=5801417:5801944&amp;c=444444", "offset 8")</f>
        <v>offset 8</v>
      </c>
    </row>
    <row r="18888" customFormat="false" ht="12.8" hidden="false" customHeight="false" outlineLevel="0" collapsed="false">
      <c r="A18888" s="0" t="s">
        <v>12</v>
      </c>
      <c r="B18888" s="0" t="n">
        <v>5801652</v>
      </c>
      <c r="C18888" s="0" t="n">
        <v>5801672</v>
      </c>
      <c r="D18888" s="0" t="s">
        <v>62790</v>
      </c>
      <c r="E18888" s="0" t="s">
        <v>75</v>
      </c>
      <c r="F18888" s="0" t="s">
        <v>15</v>
      </c>
      <c r="G18888" s="0" t="s">
        <v>16</v>
      </c>
      <c r="H18888" s="0" t="n">
        <v>43</v>
      </c>
      <c r="I18888" s="0" t="s">
        <v>62794</v>
      </c>
      <c r="J18888" s="0" t="s">
        <v>62795</v>
      </c>
      <c r="K18888" s="0" t="s">
        <v>62796</v>
      </c>
      <c r="L18888" s="0" t="str">
        <f aca="false">HYPERLINK("https://www.ncbi.nlm.nih.gov/nuccore/CP000058.1?report=graph&amp;tracks=[key:gene_model_track,Options:GeneOnly]&amp;mk=5801618:5801637|offset_8|444444,5801653:5801672|offset_43|00cc00,5801684:5801703|offset_74|444444,5801725:5801744|offset_115|444444&amp;v=5801417:5801944&amp;c=444444", "offset 43")</f>
        <v>offset 43</v>
      </c>
    </row>
    <row r="18889" customFormat="false" ht="12.8" hidden="false" customHeight="false" outlineLevel="0" collapsed="false">
      <c r="A18889" s="0" t="s">
        <v>12</v>
      </c>
      <c r="B18889" s="0" t="n">
        <v>5801683</v>
      </c>
      <c r="C18889" s="0" t="n">
        <v>5801703</v>
      </c>
      <c r="D18889" s="0" t="s">
        <v>62790</v>
      </c>
      <c r="E18889" s="0" t="s">
        <v>75</v>
      </c>
      <c r="F18889" s="0" t="s">
        <v>15</v>
      </c>
      <c r="G18889" s="0" t="s">
        <v>20</v>
      </c>
      <c r="H18889" s="0" t="n">
        <v>74</v>
      </c>
      <c r="I18889" s="0" t="s">
        <v>62797</v>
      </c>
      <c r="J18889" s="0" t="s">
        <v>62798</v>
      </c>
      <c r="K18889" s="0" t="s">
        <v>62799</v>
      </c>
      <c r="L18889" s="0" t="str">
        <f aca="false">HYPERLINK("https://www.ncbi.nlm.nih.gov/nuccore/CP000058.1?report=graph&amp;tracks=[key:gene_model_track,Options:GeneOnly]&amp;mk=5801618:5801637|offset_8|444444,5801653:5801672|offset_43|444444,5801684:5801703|offset_74|00cc00,5801725:5801744|offset_115|444444&amp;v=5801417:5801944&amp;c=444444", "offset 74")</f>
        <v>offset 74</v>
      </c>
    </row>
    <row r="18890" customFormat="false" ht="12.8" hidden="false" customHeight="false" outlineLevel="0" collapsed="false">
      <c r="A18890" s="0" t="s">
        <v>12</v>
      </c>
      <c r="B18890" s="0" t="n">
        <v>5801724</v>
      </c>
      <c r="C18890" s="0" t="n">
        <v>5801744</v>
      </c>
      <c r="D18890" s="0" t="s">
        <v>62790</v>
      </c>
      <c r="E18890" s="0" t="s">
        <v>75</v>
      </c>
      <c r="F18890" s="0" t="s">
        <v>15</v>
      </c>
      <c r="G18890" s="0" t="s">
        <v>32</v>
      </c>
      <c r="H18890" s="0" t="n">
        <v>115</v>
      </c>
      <c r="I18890" s="0" t="s">
        <v>62800</v>
      </c>
      <c r="J18890" s="0" t="s">
        <v>62801</v>
      </c>
      <c r="K18890" s="0" t="s">
        <v>62802</v>
      </c>
      <c r="L18890" s="0" t="str">
        <f aca="false">HYPERLINK("https://www.ncbi.nlm.nih.gov/nuccore/CP000058.1?report=graph&amp;tracks=[key:gene_model_track,Options:GeneOnly]&amp;mk=5801618:5801637|offset_8|444444,5801653:5801672|offset_43|444444,5801684:5801703|offset_74|444444,5801725:5801744|offset_115|00cc00&amp;v=5801417:5801944&amp;c=444444", "offset 115")</f>
        <v>offset 115</v>
      </c>
    </row>
    <row r="18891" customFormat="false" ht="12.8" hidden="false" customHeight="false" outlineLevel="0" collapsed="false">
      <c r="A18891" s="0" t="s">
        <v>12</v>
      </c>
      <c r="B18891" s="0" t="n">
        <v>5804625</v>
      </c>
      <c r="C18891" s="0" t="n">
        <v>5804645</v>
      </c>
      <c r="D18891" s="0" t="s">
        <v>62803</v>
      </c>
      <c r="E18891" s="0" t="s">
        <v>75</v>
      </c>
      <c r="F18891" s="0" t="s">
        <v>90</v>
      </c>
      <c r="G18891" s="0" t="s">
        <v>20</v>
      </c>
      <c r="H18891" s="0" t="n">
        <v>23</v>
      </c>
      <c r="I18891" s="0" t="s">
        <v>62804</v>
      </c>
      <c r="J18891" s="0" t="s">
        <v>62805</v>
      </c>
      <c r="K18891" s="0" t="s">
        <v>62806</v>
      </c>
      <c r="L18891" s="0" t="str">
        <f aca="false">HYPERLINK("https://www.ncbi.nlm.nih.gov/nuccore/CP000058.1?report=graph&amp;tracks=[key:gene_model_track,Options:GeneOnly]&amp;mk=5804626:5804645|offset_23|00cc00,5804594:5804613|offset_55|444444,5804567:5804586|offset_82|444444,5804532:5804551|offset_117|444444&amp;v=5804425:5804751&amp;c=444444", "offset 23")</f>
        <v>offset 23</v>
      </c>
    </row>
    <row r="18892" customFormat="false" ht="12.8" hidden="false" customHeight="false" outlineLevel="0" collapsed="false">
      <c r="A18892" s="0" t="s">
        <v>12</v>
      </c>
      <c r="B18892" s="0" t="n">
        <v>5804593</v>
      </c>
      <c r="C18892" s="0" t="n">
        <v>5804613</v>
      </c>
      <c r="D18892" s="0" t="s">
        <v>62803</v>
      </c>
      <c r="E18892" s="0" t="s">
        <v>75</v>
      </c>
      <c r="F18892" s="0" t="s">
        <v>90</v>
      </c>
      <c r="G18892" s="0" t="s">
        <v>16</v>
      </c>
      <c r="H18892" s="0" t="n">
        <v>55</v>
      </c>
      <c r="I18892" s="0" t="s">
        <v>62807</v>
      </c>
      <c r="J18892" s="0" t="s">
        <v>62808</v>
      </c>
      <c r="K18892" s="0" t="s">
        <v>62809</v>
      </c>
      <c r="L18892" s="0" t="str">
        <f aca="false">HYPERLINK("https://www.ncbi.nlm.nih.gov/nuccore/CP000058.1?report=graph&amp;tracks=[key:gene_model_track,Options:GeneOnly]&amp;mk=5804626:5804645|offset_23|444444,5804594:5804613|offset_55|00cc00,5804567:5804586|offset_82|444444,5804532:5804551|offset_117|444444&amp;v=5804425:5804751&amp;c=444444", "offset 55")</f>
        <v>offset 55</v>
      </c>
    </row>
    <row r="18893" customFormat="false" ht="12.8" hidden="false" customHeight="false" outlineLevel="0" collapsed="false">
      <c r="A18893" s="0" t="s">
        <v>12</v>
      </c>
      <c r="B18893" s="0" t="n">
        <v>5804566</v>
      </c>
      <c r="C18893" s="0" t="n">
        <v>5804586</v>
      </c>
      <c r="D18893" s="0" t="s">
        <v>62803</v>
      </c>
      <c r="E18893" s="0" t="s">
        <v>75</v>
      </c>
      <c r="F18893" s="0" t="s">
        <v>90</v>
      </c>
      <c r="G18893" s="0" t="s">
        <v>16</v>
      </c>
      <c r="H18893" s="0" t="n">
        <v>82</v>
      </c>
      <c r="I18893" s="0" t="s">
        <v>62810</v>
      </c>
      <c r="J18893" s="0" t="s">
        <v>62811</v>
      </c>
      <c r="K18893" s="0" t="s">
        <v>62812</v>
      </c>
      <c r="L18893" s="0" t="str">
        <f aca="false">HYPERLINK("https://www.ncbi.nlm.nih.gov/nuccore/CP000058.1?report=graph&amp;tracks=[key:gene_model_track,Options:GeneOnly]&amp;mk=5804626:5804645|offset_23|444444,5804594:5804613|offset_55|444444,5804567:5804586|offset_82|00cc00,5804532:5804551|offset_117|444444&amp;v=5804425:5804751&amp;c=444444", "offset 82")</f>
        <v>offset 82</v>
      </c>
    </row>
    <row r="18894" customFormat="false" ht="12.8" hidden="false" customHeight="false" outlineLevel="0" collapsed="false">
      <c r="A18894" s="0" t="s">
        <v>12</v>
      </c>
      <c r="B18894" s="0" t="n">
        <v>5804531</v>
      </c>
      <c r="C18894" s="0" t="n">
        <v>5804551</v>
      </c>
      <c r="D18894" s="0" t="s">
        <v>62803</v>
      </c>
      <c r="E18894" s="0" t="s">
        <v>75</v>
      </c>
      <c r="F18894" s="0" t="s">
        <v>90</v>
      </c>
      <c r="G18894" s="0" t="s">
        <v>32</v>
      </c>
      <c r="H18894" s="0" t="n">
        <v>117</v>
      </c>
      <c r="I18894" s="0" t="s">
        <v>62813</v>
      </c>
      <c r="J18894" s="0" t="s">
        <v>62814</v>
      </c>
      <c r="K18894" s="0" t="s">
        <v>62815</v>
      </c>
      <c r="L18894" s="0" t="str">
        <f aca="false">HYPERLINK("https://www.ncbi.nlm.nih.gov/nuccore/CP000058.1?report=graph&amp;tracks=[key:gene_model_track,Options:GeneOnly]&amp;mk=5804626:5804645|offset_23|444444,5804594:5804613|offset_55|444444,5804567:5804586|offset_82|444444,5804532:5804551|offset_117|00cc00&amp;v=5804425:5804751&amp;c=444444", "offset 117")</f>
        <v>offset 117</v>
      </c>
    </row>
    <row r="18895" customFormat="false" ht="12.8" hidden="false" customHeight="false" outlineLevel="0" collapsed="false">
      <c r="A18895" s="0" t="s">
        <v>12</v>
      </c>
      <c r="B18895" s="0" t="n">
        <v>5805684</v>
      </c>
      <c r="C18895" s="0" t="n">
        <v>5805704</v>
      </c>
      <c r="D18895" s="0" t="s">
        <v>62816</v>
      </c>
      <c r="E18895" s="0" t="s">
        <v>75</v>
      </c>
      <c r="F18895" s="0" t="s">
        <v>90</v>
      </c>
      <c r="G18895" s="0" t="s">
        <v>36</v>
      </c>
      <c r="H18895" s="0" t="n">
        <v>84</v>
      </c>
      <c r="I18895" s="0" t="s">
        <v>62817</v>
      </c>
      <c r="J18895" s="0" t="s">
        <v>62818</v>
      </c>
      <c r="K18895" s="0" t="s">
        <v>62819</v>
      </c>
      <c r="L18895" s="0" t="str">
        <f aca="false">HYPERLINK("https://www.ncbi.nlm.nih.gov/nuccore/CP000058.1?report=graph&amp;tracks=[key:gene_model_track,Options:GeneOnly]&amp;mk=5805685:5805704|offset_84|00cc00,5805589:5805608|offset_180|444444,5805536:5805555|offset_233|444444,5805507:5805526|offset_262|444444&amp;v=5805484:5805726&amp;c=444444", "offset 84")</f>
        <v>offset 84</v>
      </c>
    </row>
    <row r="18896" customFormat="false" ht="12.8" hidden="false" customHeight="false" outlineLevel="0" collapsed="false">
      <c r="A18896" s="0" t="s">
        <v>12</v>
      </c>
      <c r="B18896" s="0" t="n">
        <v>5805588</v>
      </c>
      <c r="C18896" s="0" t="n">
        <v>5805608</v>
      </c>
      <c r="D18896" s="0" t="s">
        <v>62816</v>
      </c>
      <c r="E18896" s="0" t="s">
        <v>75</v>
      </c>
      <c r="F18896" s="0" t="s">
        <v>90</v>
      </c>
      <c r="G18896" s="0" t="s">
        <v>36</v>
      </c>
      <c r="H18896" s="0" t="n">
        <v>180</v>
      </c>
      <c r="I18896" s="0" t="s">
        <v>62820</v>
      </c>
      <c r="J18896" s="0" t="s">
        <v>62821</v>
      </c>
      <c r="K18896" s="0" t="s">
        <v>62822</v>
      </c>
      <c r="L18896" s="0" t="str">
        <f aca="false">HYPERLINK("https://www.ncbi.nlm.nih.gov/nuccore/CP000058.1?report=graph&amp;tracks=[key:gene_model_track,Options:GeneOnly]&amp;mk=5805685:5805704|offset_84|444444,5805589:5805608|offset_180|00cc00,5805536:5805555|offset_233|444444,5805507:5805526|offset_262|444444&amp;v=5805484:5805726&amp;c=444444", "offset 180")</f>
        <v>offset 180</v>
      </c>
    </row>
    <row r="18897" customFormat="false" ht="12.8" hidden="false" customHeight="false" outlineLevel="0" collapsed="false">
      <c r="A18897" s="0" t="s">
        <v>12</v>
      </c>
      <c r="B18897" s="0" t="n">
        <v>5805535</v>
      </c>
      <c r="C18897" s="0" t="n">
        <v>5805555</v>
      </c>
      <c r="D18897" s="0" t="s">
        <v>62816</v>
      </c>
      <c r="E18897" s="0" t="s">
        <v>75</v>
      </c>
      <c r="F18897" s="0" t="s">
        <v>90</v>
      </c>
      <c r="G18897" s="0" t="s">
        <v>20</v>
      </c>
      <c r="H18897" s="0" t="n">
        <v>233</v>
      </c>
      <c r="I18897" s="0" t="s">
        <v>62823</v>
      </c>
      <c r="J18897" s="0" t="s">
        <v>62824</v>
      </c>
      <c r="K18897" s="0" t="s">
        <v>62825</v>
      </c>
      <c r="L18897" s="0" t="str">
        <f aca="false">HYPERLINK("https://www.ncbi.nlm.nih.gov/nuccore/CP000058.1?report=graph&amp;tracks=[key:gene_model_track,Options:GeneOnly]&amp;mk=5805685:5805704|offset_84|444444,5805589:5805608|offset_180|444444,5805536:5805555|offset_233|00cc00,5805507:5805526|offset_262|444444&amp;v=5805484:5805726&amp;c=444444", "offset 233")</f>
        <v>offset 233</v>
      </c>
    </row>
    <row r="18898" customFormat="false" ht="12.8" hidden="false" customHeight="false" outlineLevel="0" collapsed="false">
      <c r="A18898" s="0" t="s">
        <v>12</v>
      </c>
      <c r="B18898" s="0" t="n">
        <v>5805506</v>
      </c>
      <c r="C18898" s="0" t="n">
        <v>5805526</v>
      </c>
      <c r="D18898" s="0" t="s">
        <v>62816</v>
      </c>
      <c r="E18898" s="0" t="s">
        <v>75</v>
      </c>
      <c r="F18898" s="0" t="s">
        <v>90</v>
      </c>
      <c r="G18898" s="0" t="s">
        <v>32</v>
      </c>
      <c r="H18898" s="0" t="n">
        <v>262</v>
      </c>
      <c r="I18898" s="0" t="s">
        <v>62826</v>
      </c>
      <c r="J18898" s="0" t="s">
        <v>62827</v>
      </c>
      <c r="K18898" s="0" t="s">
        <v>62828</v>
      </c>
      <c r="L18898" s="0" t="str">
        <f aca="false">HYPERLINK("https://www.ncbi.nlm.nih.gov/nuccore/CP000058.1?report=graph&amp;tracks=[key:gene_model_track,Options:GeneOnly]&amp;mk=5805685:5805704|offset_84|444444,5805589:5805608|offset_180|444444,5805536:5805555|offset_233|444444,5805507:5805526|offset_262|00cc00&amp;v=5805484:5805726&amp;c=444444", "offset 262")</f>
        <v>offset 262</v>
      </c>
    </row>
    <row r="18899" customFormat="false" ht="12.8" hidden="false" customHeight="false" outlineLevel="0" collapsed="false">
      <c r="A18899" s="0" t="s">
        <v>12</v>
      </c>
      <c r="B18899" s="0" t="n">
        <v>5806725</v>
      </c>
      <c r="C18899" s="0" t="n">
        <v>5806745</v>
      </c>
      <c r="D18899" s="0" t="s">
        <v>62829</v>
      </c>
      <c r="E18899" s="0" t="s">
        <v>62830</v>
      </c>
      <c r="F18899" s="0" t="s">
        <v>90</v>
      </c>
      <c r="G18899" s="0" t="s">
        <v>32</v>
      </c>
      <c r="H18899" s="0" t="n">
        <v>8</v>
      </c>
      <c r="I18899" s="0" t="s">
        <v>62831</v>
      </c>
      <c r="J18899" s="0" t="s">
        <v>62832</v>
      </c>
      <c r="K18899" s="0" t="s">
        <v>62833</v>
      </c>
      <c r="L18899" s="0" t="str">
        <f aca="false">HYPERLINK("https://www.ncbi.nlm.nih.gov/nuccore/CP000058.1?report=graph&amp;tracks=[key:gene_model_track,Options:GeneOnly]&amp;mk=5806726:5806745|offset_8|00cc00,5806697:5806716|offset_37|444444,5806660:5806679|offset_74|444444,5806639:5806658|offset_95|444444&amp;v=5806525:5806858&amp;c=444444", "offset 8")</f>
        <v>offset 8</v>
      </c>
    </row>
    <row r="18900" customFormat="false" ht="12.8" hidden="false" customHeight="false" outlineLevel="0" collapsed="false">
      <c r="A18900" s="0" t="s">
        <v>12</v>
      </c>
      <c r="B18900" s="0" t="n">
        <v>5806696</v>
      </c>
      <c r="C18900" s="0" t="n">
        <v>5806716</v>
      </c>
      <c r="D18900" s="0" t="s">
        <v>62829</v>
      </c>
      <c r="E18900" s="0" t="s">
        <v>62830</v>
      </c>
      <c r="F18900" s="0" t="s">
        <v>90</v>
      </c>
      <c r="G18900" s="0" t="s">
        <v>36</v>
      </c>
      <c r="H18900" s="0" t="n">
        <v>37</v>
      </c>
      <c r="I18900" s="0" t="s">
        <v>62834</v>
      </c>
      <c r="J18900" s="0" t="s">
        <v>62835</v>
      </c>
      <c r="K18900" s="0" t="s">
        <v>62836</v>
      </c>
      <c r="L18900" s="0" t="str">
        <f aca="false">HYPERLINK("https://www.ncbi.nlm.nih.gov/nuccore/CP000058.1?report=graph&amp;tracks=[key:gene_model_track,Options:GeneOnly]&amp;mk=5806726:5806745|offset_8|444444,5806697:5806716|offset_37|00cc00,5806660:5806679|offset_74|444444,5806639:5806658|offset_95|444444&amp;v=5806525:5806858&amp;c=444444", "offset 37")</f>
        <v>offset 37</v>
      </c>
    </row>
    <row r="18901" customFormat="false" ht="12.8" hidden="false" customHeight="false" outlineLevel="0" collapsed="false">
      <c r="A18901" s="0" t="s">
        <v>12</v>
      </c>
      <c r="B18901" s="0" t="n">
        <v>5806659</v>
      </c>
      <c r="C18901" s="0" t="n">
        <v>5806679</v>
      </c>
      <c r="D18901" s="0" t="s">
        <v>62829</v>
      </c>
      <c r="E18901" s="0" t="s">
        <v>62830</v>
      </c>
      <c r="F18901" s="0" t="s">
        <v>90</v>
      </c>
      <c r="G18901" s="0" t="s">
        <v>32</v>
      </c>
      <c r="H18901" s="0" t="n">
        <v>74</v>
      </c>
      <c r="I18901" s="0" t="s">
        <v>62837</v>
      </c>
      <c r="J18901" s="0" t="s">
        <v>62838</v>
      </c>
      <c r="K18901" s="0" t="s">
        <v>62839</v>
      </c>
      <c r="L18901" s="0" t="str">
        <f aca="false">HYPERLINK("https://www.ncbi.nlm.nih.gov/nuccore/CP000058.1?report=graph&amp;tracks=[key:gene_model_track,Options:GeneOnly]&amp;mk=5806726:5806745|offset_8|444444,5806697:5806716|offset_37|444444,5806660:5806679|offset_74|00cc00,5806639:5806658|offset_95|444444&amp;v=5806525:5806858&amp;c=444444", "offset 74")</f>
        <v>offset 74</v>
      </c>
    </row>
    <row r="18902" customFormat="false" ht="12.8" hidden="false" customHeight="false" outlineLevel="0" collapsed="false">
      <c r="A18902" s="0" t="s">
        <v>12</v>
      </c>
      <c r="B18902" s="0" t="n">
        <v>5806638</v>
      </c>
      <c r="C18902" s="0" t="n">
        <v>5806658</v>
      </c>
      <c r="D18902" s="0" t="s">
        <v>62829</v>
      </c>
      <c r="E18902" s="0" t="s">
        <v>62830</v>
      </c>
      <c r="F18902" s="0" t="s">
        <v>90</v>
      </c>
      <c r="G18902" s="0" t="s">
        <v>20</v>
      </c>
      <c r="H18902" s="0" t="n">
        <v>95</v>
      </c>
      <c r="I18902" s="0" t="s">
        <v>62840</v>
      </c>
      <c r="J18902" s="0" t="s">
        <v>62841</v>
      </c>
      <c r="K18902" s="0" t="s">
        <v>62842</v>
      </c>
      <c r="L18902" s="0" t="str">
        <f aca="false">HYPERLINK("https://www.ncbi.nlm.nih.gov/nuccore/CP000058.1?report=graph&amp;tracks=[key:gene_model_track,Options:GeneOnly]&amp;mk=5806726:5806745|offset_8|444444,5806697:5806716|offset_37|444444,5806660:5806679|offset_74|444444,5806639:5806658|offset_95|00cc00&amp;v=5806525:5806858&amp;c=444444", "offset 95")</f>
        <v>offset 95</v>
      </c>
    </row>
    <row r="18903" customFormat="false" ht="12.8" hidden="false" customHeight="false" outlineLevel="0" collapsed="false">
      <c r="A18903" s="0" t="s">
        <v>12</v>
      </c>
      <c r="B18903" s="0" t="n">
        <v>5807636</v>
      </c>
      <c r="C18903" s="0" t="n">
        <v>5807656</v>
      </c>
      <c r="D18903" s="0" t="s">
        <v>62843</v>
      </c>
      <c r="E18903" s="0" t="s">
        <v>62844</v>
      </c>
      <c r="F18903" s="0" t="s">
        <v>90</v>
      </c>
      <c r="G18903" s="0" t="s">
        <v>32</v>
      </c>
      <c r="H18903" s="0" t="n">
        <v>1</v>
      </c>
      <c r="I18903" s="0" t="s">
        <v>62845</v>
      </c>
      <c r="J18903" s="0" t="s">
        <v>62846</v>
      </c>
      <c r="K18903" s="0" t="s">
        <v>62847</v>
      </c>
      <c r="L18903" s="0" t="str">
        <f aca="false">HYPERLINK("https://www.ncbi.nlm.nih.gov/nuccore/CP000058.1?report=graph&amp;tracks=[key:gene_model_track,Options:GeneOnly]&amp;mk=5807637:5807656|offset_1|00cc00,5807595:5807614|offset_43|444444,5807573:5807592|offset_65|444444,5807553:5807572|offset_85|444444&amp;v=5807436:5807772&amp;c=444444", "offset 1")</f>
        <v>offset 1</v>
      </c>
    </row>
    <row r="18904" customFormat="false" ht="12.8" hidden="false" customHeight="false" outlineLevel="0" collapsed="false">
      <c r="A18904" s="0" t="s">
        <v>12</v>
      </c>
      <c r="B18904" s="0" t="n">
        <v>5807594</v>
      </c>
      <c r="C18904" s="0" t="n">
        <v>5807614</v>
      </c>
      <c r="D18904" s="0" t="s">
        <v>62843</v>
      </c>
      <c r="E18904" s="0" t="s">
        <v>62844</v>
      </c>
      <c r="F18904" s="0" t="s">
        <v>90</v>
      </c>
      <c r="G18904" s="0" t="s">
        <v>36</v>
      </c>
      <c r="H18904" s="0" t="n">
        <v>43</v>
      </c>
      <c r="I18904" s="0" t="s">
        <v>62848</v>
      </c>
      <c r="J18904" s="0" t="s">
        <v>62849</v>
      </c>
      <c r="K18904" s="0" t="s">
        <v>62850</v>
      </c>
      <c r="L18904" s="0" t="str">
        <f aca="false">HYPERLINK("https://www.ncbi.nlm.nih.gov/nuccore/CP000058.1?report=graph&amp;tracks=[key:gene_model_track,Options:GeneOnly]&amp;mk=5807637:5807656|offset_1|444444,5807595:5807614|offset_43|00cc00,5807573:5807592|offset_65|444444,5807553:5807572|offset_85|444444&amp;v=5807436:5807772&amp;c=444444", "offset 43")</f>
        <v>offset 43</v>
      </c>
    </row>
    <row r="18905" customFormat="false" ht="12.8" hidden="false" customHeight="false" outlineLevel="0" collapsed="false">
      <c r="A18905" s="0" t="s">
        <v>12</v>
      </c>
      <c r="B18905" s="0" t="n">
        <v>5807572</v>
      </c>
      <c r="C18905" s="0" t="n">
        <v>5807592</v>
      </c>
      <c r="D18905" s="0" t="s">
        <v>62843</v>
      </c>
      <c r="E18905" s="0" t="s">
        <v>62844</v>
      </c>
      <c r="F18905" s="0" t="s">
        <v>90</v>
      </c>
      <c r="G18905" s="0" t="s">
        <v>20</v>
      </c>
      <c r="H18905" s="0" t="n">
        <v>65</v>
      </c>
      <c r="I18905" s="0" t="s">
        <v>62851</v>
      </c>
      <c r="J18905" s="0" t="s">
        <v>62852</v>
      </c>
      <c r="K18905" s="0" t="s">
        <v>62853</v>
      </c>
      <c r="L18905" s="0" t="str">
        <f aca="false">HYPERLINK("https://www.ncbi.nlm.nih.gov/nuccore/CP000058.1?report=graph&amp;tracks=[key:gene_model_track,Options:GeneOnly]&amp;mk=5807637:5807656|offset_1|444444,5807595:5807614|offset_43|444444,5807573:5807592|offset_65|00cc00,5807553:5807572|offset_85|444444&amp;v=5807436:5807772&amp;c=444444", "offset 65")</f>
        <v>offset 65</v>
      </c>
    </row>
    <row r="18906" customFormat="false" ht="12.8" hidden="false" customHeight="false" outlineLevel="0" collapsed="false">
      <c r="A18906" s="0" t="s">
        <v>12</v>
      </c>
      <c r="B18906" s="0" t="n">
        <v>5807552</v>
      </c>
      <c r="C18906" s="0" t="n">
        <v>5807572</v>
      </c>
      <c r="D18906" s="0" t="s">
        <v>62843</v>
      </c>
      <c r="E18906" s="0" t="s">
        <v>62844</v>
      </c>
      <c r="F18906" s="0" t="s">
        <v>90</v>
      </c>
      <c r="G18906" s="0" t="s">
        <v>16</v>
      </c>
      <c r="H18906" s="0" t="n">
        <v>85</v>
      </c>
      <c r="I18906" s="0" t="s">
        <v>62854</v>
      </c>
      <c r="J18906" s="0" t="s">
        <v>62855</v>
      </c>
      <c r="K18906" s="0" t="s">
        <v>62856</v>
      </c>
      <c r="L18906" s="0" t="str">
        <f aca="false">HYPERLINK("https://www.ncbi.nlm.nih.gov/nuccore/CP000058.1?report=graph&amp;tracks=[key:gene_model_track,Options:GeneOnly]&amp;mk=5807637:5807656|offset_1|444444,5807595:5807614|offset_43|444444,5807573:5807592|offset_65|444444,5807553:5807572|offset_85|00cc00&amp;v=5807436:5807772&amp;c=444444", "offset 85")</f>
        <v>offset 85</v>
      </c>
    </row>
    <row r="18907" customFormat="false" ht="12.8" hidden="false" customHeight="false" outlineLevel="0" collapsed="false">
      <c r="A18907" s="0" t="s">
        <v>12</v>
      </c>
      <c r="B18907" s="0" t="n">
        <v>5809304</v>
      </c>
      <c r="C18907" s="0" t="n">
        <v>5809324</v>
      </c>
      <c r="D18907" s="0" t="s">
        <v>62857</v>
      </c>
      <c r="E18907" s="0" t="s">
        <v>75</v>
      </c>
      <c r="F18907" s="0" t="s">
        <v>90</v>
      </c>
      <c r="G18907" s="0" t="s">
        <v>16</v>
      </c>
      <c r="H18907" s="0" t="n">
        <v>16</v>
      </c>
      <c r="I18907" s="0" t="s">
        <v>62858</v>
      </c>
      <c r="J18907" s="0" t="s">
        <v>62859</v>
      </c>
      <c r="K18907" s="0" t="s">
        <v>62860</v>
      </c>
      <c r="L18907" s="0" t="str">
        <f aca="false">HYPERLINK("https://www.ncbi.nlm.nih.gov/nuccore/CP000058.1?report=graph&amp;tracks=[key:gene_model_track,Options:GeneOnly]&amp;mk=5809305:5809324|offset_16|00cc00,5809274:5809293|offset_47|444444,5809231:5809250|offset_90|444444,5809198:5809217|offset_123|444444&amp;v=5809104:5809417&amp;c=444444", "offset 16")</f>
        <v>offset 16</v>
      </c>
    </row>
    <row r="18908" customFormat="false" ht="12.8" hidden="false" customHeight="false" outlineLevel="0" collapsed="false">
      <c r="A18908" s="0" t="s">
        <v>12</v>
      </c>
      <c r="B18908" s="0" t="n">
        <v>5809273</v>
      </c>
      <c r="C18908" s="0" t="n">
        <v>5809293</v>
      </c>
      <c r="D18908" s="0" t="s">
        <v>62857</v>
      </c>
      <c r="E18908" s="0" t="s">
        <v>75</v>
      </c>
      <c r="F18908" s="0" t="s">
        <v>90</v>
      </c>
      <c r="G18908" s="0" t="s">
        <v>20</v>
      </c>
      <c r="H18908" s="0" t="n">
        <v>47</v>
      </c>
      <c r="I18908" s="0" t="s">
        <v>62861</v>
      </c>
      <c r="J18908" s="0" t="s">
        <v>62862</v>
      </c>
      <c r="K18908" s="0" t="s">
        <v>62863</v>
      </c>
      <c r="L18908" s="0" t="str">
        <f aca="false">HYPERLINK("https://www.ncbi.nlm.nih.gov/nuccore/CP000058.1?report=graph&amp;tracks=[key:gene_model_track,Options:GeneOnly]&amp;mk=5809305:5809324|offset_16|444444,5809274:5809293|offset_47|00cc00,5809231:5809250|offset_90|444444,5809198:5809217|offset_123|444444&amp;v=5809104:5809417&amp;c=444444", "offset 47")</f>
        <v>offset 47</v>
      </c>
    </row>
    <row r="18909" customFormat="false" ht="12.8" hidden="false" customHeight="false" outlineLevel="0" collapsed="false">
      <c r="A18909" s="0" t="s">
        <v>12</v>
      </c>
      <c r="B18909" s="0" t="n">
        <v>5809230</v>
      </c>
      <c r="C18909" s="0" t="n">
        <v>5809250</v>
      </c>
      <c r="D18909" s="0" t="s">
        <v>62857</v>
      </c>
      <c r="E18909" s="0" t="s">
        <v>75</v>
      </c>
      <c r="F18909" s="0" t="s">
        <v>90</v>
      </c>
      <c r="G18909" s="0" t="s">
        <v>32</v>
      </c>
      <c r="H18909" s="0" t="n">
        <v>90</v>
      </c>
      <c r="I18909" s="0" t="s">
        <v>62864</v>
      </c>
      <c r="J18909" s="0" t="s">
        <v>62865</v>
      </c>
      <c r="K18909" s="0" t="s">
        <v>62866</v>
      </c>
      <c r="L18909" s="0" t="str">
        <f aca="false">HYPERLINK("https://www.ncbi.nlm.nih.gov/nuccore/CP000058.1?report=graph&amp;tracks=[key:gene_model_track,Options:GeneOnly]&amp;mk=5809305:5809324|offset_16|444444,5809274:5809293|offset_47|444444,5809231:5809250|offset_90|00cc00,5809198:5809217|offset_123|444444&amp;v=5809104:5809417&amp;c=444444", "offset 90")</f>
        <v>offset 90</v>
      </c>
    </row>
    <row r="18910" customFormat="false" ht="12.8" hidden="false" customHeight="false" outlineLevel="0" collapsed="false">
      <c r="A18910" s="0" t="s">
        <v>12</v>
      </c>
      <c r="B18910" s="0" t="n">
        <v>5809197</v>
      </c>
      <c r="C18910" s="0" t="n">
        <v>5809217</v>
      </c>
      <c r="D18910" s="0" t="s">
        <v>62857</v>
      </c>
      <c r="E18910" s="0" t="s">
        <v>75</v>
      </c>
      <c r="F18910" s="0" t="s">
        <v>90</v>
      </c>
      <c r="G18910" s="0" t="s">
        <v>36</v>
      </c>
      <c r="H18910" s="0" t="n">
        <v>123</v>
      </c>
      <c r="I18910" s="0" t="s">
        <v>62867</v>
      </c>
      <c r="J18910" s="0" t="s">
        <v>62868</v>
      </c>
      <c r="K18910" s="0" t="s">
        <v>62869</v>
      </c>
      <c r="L18910" s="0" t="str">
        <f aca="false">HYPERLINK("https://www.ncbi.nlm.nih.gov/nuccore/CP000058.1?report=graph&amp;tracks=[key:gene_model_track,Options:GeneOnly]&amp;mk=5809305:5809324|offset_16|444444,5809274:5809293|offset_47|444444,5809231:5809250|offset_90|444444,5809198:5809217|offset_123|00cc00&amp;v=5809104:5809417&amp;c=444444", "offset 123")</f>
        <v>offset 123</v>
      </c>
    </row>
    <row r="18911" customFormat="false" ht="12.8" hidden="false" customHeight="false" outlineLevel="0" collapsed="false">
      <c r="A18911" s="0" t="s">
        <v>12</v>
      </c>
      <c r="B18911" s="0" t="n">
        <v>5811643</v>
      </c>
      <c r="C18911" s="0" t="n">
        <v>5811663</v>
      </c>
      <c r="D18911" s="0" t="s">
        <v>62870</v>
      </c>
      <c r="E18911" s="0" t="s">
        <v>75</v>
      </c>
      <c r="F18911" s="0" t="s">
        <v>90</v>
      </c>
      <c r="G18911" s="0" t="s">
        <v>32</v>
      </c>
      <c r="H18911" s="0" t="n">
        <v>8</v>
      </c>
      <c r="I18911" s="0" t="s">
        <v>62871</v>
      </c>
      <c r="J18911" s="0" t="s">
        <v>62872</v>
      </c>
      <c r="K18911" s="0" t="s">
        <v>62873</v>
      </c>
      <c r="L18911" s="0" t="str">
        <f aca="false">HYPERLINK("https://www.ncbi.nlm.nih.gov/nuccore/CP000058.1?report=graph&amp;tracks=[key:gene_model_track,Options:GeneOnly]&amp;mk=5811644:5811663|offset_8|00cc00,5811607:5811626|offset_45|444444,5811581:5811600|offset_71|444444,5811533:5811552|offset_119|444444&amp;v=5811443:5811752&amp;c=444444", "offset 8")</f>
        <v>offset 8</v>
      </c>
    </row>
    <row r="18912" customFormat="false" ht="12.8" hidden="false" customHeight="false" outlineLevel="0" collapsed="false">
      <c r="A18912" s="0" t="s">
        <v>12</v>
      </c>
      <c r="B18912" s="0" t="n">
        <v>5811606</v>
      </c>
      <c r="C18912" s="0" t="n">
        <v>5811626</v>
      </c>
      <c r="D18912" s="0" t="s">
        <v>62870</v>
      </c>
      <c r="E18912" s="0" t="s">
        <v>75</v>
      </c>
      <c r="F18912" s="0" t="s">
        <v>90</v>
      </c>
      <c r="G18912" s="0" t="s">
        <v>20</v>
      </c>
      <c r="H18912" s="0" t="n">
        <v>45</v>
      </c>
      <c r="I18912" s="0" t="s">
        <v>62874</v>
      </c>
      <c r="J18912" s="0" t="s">
        <v>62875</v>
      </c>
      <c r="K18912" s="0" t="s">
        <v>62876</v>
      </c>
      <c r="L18912" s="0" t="str">
        <f aca="false">HYPERLINK("https://www.ncbi.nlm.nih.gov/nuccore/CP000058.1?report=graph&amp;tracks=[key:gene_model_track,Options:GeneOnly]&amp;mk=5811644:5811663|offset_8|444444,5811607:5811626|offset_45|00cc00,5811581:5811600|offset_71|444444,5811533:5811552|offset_119|444444&amp;v=5811443:5811752&amp;c=444444", "offset 45")</f>
        <v>offset 45</v>
      </c>
    </row>
    <row r="18913" customFormat="false" ht="12.8" hidden="false" customHeight="false" outlineLevel="0" collapsed="false">
      <c r="A18913" s="0" t="s">
        <v>12</v>
      </c>
      <c r="B18913" s="0" t="n">
        <v>5811580</v>
      </c>
      <c r="C18913" s="0" t="n">
        <v>5811600</v>
      </c>
      <c r="D18913" s="0" t="s">
        <v>62870</v>
      </c>
      <c r="E18913" s="0" t="s">
        <v>75</v>
      </c>
      <c r="F18913" s="0" t="s">
        <v>90</v>
      </c>
      <c r="G18913" s="0" t="s">
        <v>16</v>
      </c>
      <c r="H18913" s="0" t="n">
        <v>71</v>
      </c>
      <c r="I18913" s="0" t="s">
        <v>62877</v>
      </c>
      <c r="J18913" s="0" t="s">
        <v>62878</v>
      </c>
      <c r="K18913" s="0" t="s">
        <v>62879</v>
      </c>
      <c r="L18913" s="0" t="str">
        <f aca="false">HYPERLINK("https://www.ncbi.nlm.nih.gov/nuccore/CP000058.1?report=graph&amp;tracks=[key:gene_model_track,Options:GeneOnly]&amp;mk=5811644:5811663|offset_8|444444,5811607:5811626|offset_45|444444,5811581:5811600|offset_71|00cc00,5811533:5811552|offset_119|444444&amp;v=5811443:5811752&amp;c=444444", "offset 71")</f>
        <v>offset 71</v>
      </c>
    </row>
    <row r="18914" customFormat="false" ht="12.8" hidden="false" customHeight="false" outlineLevel="0" collapsed="false">
      <c r="A18914" s="0" t="s">
        <v>12</v>
      </c>
      <c r="B18914" s="0" t="n">
        <v>5811532</v>
      </c>
      <c r="C18914" s="0" t="n">
        <v>5811552</v>
      </c>
      <c r="D18914" s="0" t="s">
        <v>62870</v>
      </c>
      <c r="E18914" s="0" t="s">
        <v>75</v>
      </c>
      <c r="F18914" s="0" t="s">
        <v>90</v>
      </c>
      <c r="G18914" s="0" t="s">
        <v>20</v>
      </c>
      <c r="H18914" s="0" t="n">
        <v>119</v>
      </c>
      <c r="I18914" s="0" t="s">
        <v>62880</v>
      </c>
      <c r="J18914" s="0" t="s">
        <v>62881</v>
      </c>
      <c r="K18914" s="0" t="s">
        <v>62882</v>
      </c>
      <c r="L18914" s="0" t="str">
        <f aca="false">HYPERLINK("https://www.ncbi.nlm.nih.gov/nuccore/CP000058.1?report=graph&amp;tracks=[key:gene_model_track,Options:GeneOnly]&amp;mk=5811644:5811663|offset_8|444444,5811607:5811626|offset_45|444444,5811581:5811600|offset_71|444444,5811533:5811552|offset_119|00cc00&amp;v=5811443:5811752&amp;c=444444", "offset 119")</f>
        <v>offset 119</v>
      </c>
    </row>
    <row r="18915" customFormat="false" ht="12.8" hidden="false" customHeight="false" outlineLevel="0" collapsed="false">
      <c r="A18915" s="0" t="s">
        <v>12</v>
      </c>
      <c r="B18915" s="0" t="n">
        <v>5812773</v>
      </c>
      <c r="C18915" s="0" t="n">
        <v>5812793</v>
      </c>
      <c r="D18915" s="0" t="s">
        <v>62883</v>
      </c>
      <c r="E18915" s="0" t="s">
        <v>75</v>
      </c>
      <c r="F18915" s="0" t="s">
        <v>90</v>
      </c>
      <c r="G18915" s="0" t="s">
        <v>16</v>
      </c>
      <c r="H18915" s="0" t="n">
        <v>43</v>
      </c>
      <c r="I18915" s="0" t="s">
        <v>62884</v>
      </c>
      <c r="J18915" s="0" t="s">
        <v>62885</v>
      </c>
      <c r="K18915" s="0" t="s">
        <v>62886</v>
      </c>
      <c r="L18915" s="0" t="str">
        <f aca="false">HYPERLINK("https://www.ncbi.nlm.nih.gov/nuccore/CP000058.1?report=graph&amp;tracks=[key:gene_model_track,Options:GeneOnly]&amp;mk=5812774:5812793|offset_43|00cc00,5812741:5812760|offset_76|444444,5812720:5812739|offset_97|444444,5812684:5812703|offset_133|444444&amp;v=5812573:5812903&amp;c=444444", "offset 43")</f>
        <v>offset 43</v>
      </c>
    </row>
    <row r="18916" customFormat="false" ht="12.8" hidden="false" customHeight="false" outlineLevel="0" collapsed="false">
      <c r="A18916" s="0" t="s">
        <v>12</v>
      </c>
      <c r="B18916" s="0" t="n">
        <v>5812740</v>
      </c>
      <c r="C18916" s="0" t="n">
        <v>5812760</v>
      </c>
      <c r="D18916" s="0" t="s">
        <v>62883</v>
      </c>
      <c r="E18916" s="0" t="s">
        <v>75</v>
      </c>
      <c r="F18916" s="0" t="s">
        <v>90</v>
      </c>
      <c r="G18916" s="0" t="s">
        <v>16</v>
      </c>
      <c r="H18916" s="0" t="n">
        <v>76</v>
      </c>
      <c r="I18916" s="0" t="s">
        <v>62887</v>
      </c>
      <c r="J18916" s="0" t="s">
        <v>62888</v>
      </c>
      <c r="K18916" s="0" t="s">
        <v>62889</v>
      </c>
      <c r="L18916" s="0" t="str">
        <f aca="false">HYPERLINK("https://www.ncbi.nlm.nih.gov/nuccore/CP000058.1?report=graph&amp;tracks=[key:gene_model_track,Options:GeneOnly]&amp;mk=5812774:5812793|offset_43|444444,5812741:5812760|offset_76|00cc00,5812720:5812739|offset_97|444444,5812684:5812703|offset_133|444444&amp;v=5812573:5812903&amp;c=444444", "offset 76")</f>
        <v>offset 76</v>
      </c>
    </row>
    <row r="18917" customFormat="false" ht="12.8" hidden="false" customHeight="false" outlineLevel="0" collapsed="false">
      <c r="A18917" s="0" t="s">
        <v>12</v>
      </c>
      <c r="B18917" s="0" t="n">
        <v>5812719</v>
      </c>
      <c r="C18917" s="0" t="n">
        <v>5812739</v>
      </c>
      <c r="D18917" s="0" t="s">
        <v>62883</v>
      </c>
      <c r="E18917" s="0" t="s">
        <v>75</v>
      </c>
      <c r="F18917" s="0" t="s">
        <v>90</v>
      </c>
      <c r="G18917" s="0" t="s">
        <v>20</v>
      </c>
      <c r="H18917" s="0" t="n">
        <v>97</v>
      </c>
      <c r="I18917" s="0" t="s">
        <v>62890</v>
      </c>
      <c r="J18917" s="0" t="s">
        <v>62891</v>
      </c>
      <c r="K18917" s="0" t="s">
        <v>62892</v>
      </c>
      <c r="L18917" s="0" t="str">
        <f aca="false">HYPERLINK("https://www.ncbi.nlm.nih.gov/nuccore/CP000058.1?report=graph&amp;tracks=[key:gene_model_track,Options:GeneOnly]&amp;mk=5812774:5812793|offset_43|444444,5812741:5812760|offset_76|444444,5812720:5812739|offset_97|00cc00,5812684:5812703|offset_133|444444&amp;v=5812573:5812903&amp;c=444444", "offset 97")</f>
        <v>offset 97</v>
      </c>
    </row>
    <row r="18918" customFormat="false" ht="12.8" hidden="false" customHeight="false" outlineLevel="0" collapsed="false">
      <c r="A18918" s="0" t="s">
        <v>12</v>
      </c>
      <c r="B18918" s="0" t="n">
        <v>5812683</v>
      </c>
      <c r="C18918" s="0" t="n">
        <v>5812703</v>
      </c>
      <c r="D18918" s="0" t="s">
        <v>62883</v>
      </c>
      <c r="E18918" s="0" t="s">
        <v>75</v>
      </c>
      <c r="F18918" s="0" t="s">
        <v>90</v>
      </c>
      <c r="G18918" s="0" t="s">
        <v>32</v>
      </c>
      <c r="H18918" s="0" t="n">
        <v>133</v>
      </c>
      <c r="I18918" s="0" t="s">
        <v>62893</v>
      </c>
      <c r="J18918" s="0" t="s">
        <v>62894</v>
      </c>
      <c r="K18918" s="0" t="s">
        <v>62895</v>
      </c>
      <c r="L18918" s="0" t="str">
        <f aca="false">HYPERLINK("https://www.ncbi.nlm.nih.gov/nuccore/CP000058.1?report=graph&amp;tracks=[key:gene_model_track,Options:GeneOnly]&amp;mk=5812774:5812793|offset_43|444444,5812741:5812760|offset_76|444444,5812720:5812739|offset_97|444444,5812684:5812703|offset_133|00cc00&amp;v=5812573:5812903&amp;c=444444", "offset 133")</f>
        <v>offset 133</v>
      </c>
    </row>
    <row r="18919" customFormat="false" ht="12.8" hidden="false" customHeight="false" outlineLevel="0" collapsed="false">
      <c r="A18919" s="0" t="s">
        <v>12</v>
      </c>
      <c r="B18919" s="0" t="n">
        <v>5814258</v>
      </c>
      <c r="C18919" s="0" t="n">
        <v>5814278</v>
      </c>
      <c r="D18919" s="0" t="s">
        <v>62896</v>
      </c>
      <c r="E18919" s="0" t="s">
        <v>75</v>
      </c>
      <c r="F18919" s="0" t="s">
        <v>90</v>
      </c>
      <c r="G18919" s="0" t="s">
        <v>20</v>
      </c>
      <c r="H18919" s="0" t="n">
        <v>15</v>
      </c>
      <c r="I18919" s="0" t="s">
        <v>62897</v>
      </c>
      <c r="J18919" s="0" t="s">
        <v>62898</v>
      </c>
      <c r="K18919" s="0" t="s">
        <v>62899</v>
      </c>
      <c r="L18919" s="0" t="str">
        <f aca="false">HYPERLINK("https://www.ncbi.nlm.nih.gov/nuccore/CP000058.1?report=graph&amp;tracks=[key:gene_model_track,Options:GeneOnly]&amp;mk=5814259:5814278|offset_15|00cc00,5814232:5814251|offset_42|444444,5814207:5814226|offset_67|444444,5814116:5814135|offset_158|444444&amp;v=5814058:5814335&amp;c=444444", "offset 15")</f>
        <v>offset 15</v>
      </c>
    </row>
    <row r="18920" customFormat="false" ht="12.8" hidden="false" customHeight="false" outlineLevel="0" collapsed="false">
      <c r="A18920" s="0" t="s">
        <v>12</v>
      </c>
      <c r="B18920" s="0" t="n">
        <v>5814231</v>
      </c>
      <c r="C18920" s="0" t="n">
        <v>5814251</v>
      </c>
      <c r="D18920" s="0" t="s">
        <v>62896</v>
      </c>
      <c r="E18920" s="0" t="s">
        <v>75</v>
      </c>
      <c r="F18920" s="0" t="s">
        <v>90</v>
      </c>
      <c r="G18920" s="0" t="s">
        <v>20</v>
      </c>
      <c r="H18920" s="0" t="n">
        <v>42</v>
      </c>
      <c r="I18920" s="0" t="s">
        <v>62900</v>
      </c>
      <c r="J18920" s="0" t="s">
        <v>62901</v>
      </c>
      <c r="K18920" s="0" t="s">
        <v>62902</v>
      </c>
      <c r="L18920" s="0" t="str">
        <f aca="false">HYPERLINK("https://www.ncbi.nlm.nih.gov/nuccore/CP000058.1?report=graph&amp;tracks=[key:gene_model_track,Options:GeneOnly]&amp;mk=5814259:5814278|offset_15|444444,5814232:5814251|offset_42|00cc00,5814207:5814226|offset_67|444444,5814116:5814135|offset_158|444444&amp;v=5814058:5814335&amp;c=444444", "offset 42")</f>
        <v>offset 42</v>
      </c>
    </row>
    <row r="18921" customFormat="false" ht="12.8" hidden="false" customHeight="false" outlineLevel="0" collapsed="false">
      <c r="A18921" s="0" t="s">
        <v>12</v>
      </c>
      <c r="B18921" s="0" t="n">
        <v>5814206</v>
      </c>
      <c r="C18921" s="0" t="n">
        <v>5814226</v>
      </c>
      <c r="D18921" s="0" t="s">
        <v>62896</v>
      </c>
      <c r="E18921" s="0" t="s">
        <v>75</v>
      </c>
      <c r="F18921" s="0" t="s">
        <v>90</v>
      </c>
      <c r="G18921" s="0" t="s">
        <v>36</v>
      </c>
      <c r="H18921" s="0" t="n">
        <v>67</v>
      </c>
      <c r="I18921" s="0" t="s">
        <v>62903</v>
      </c>
      <c r="J18921" s="0" t="s">
        <v>62904</v>
      </c>
      <c r="K18921" s="0" t="s">
        <v>62905</v>
      </c>
      <c r="L18921" s="0" t="str">
        <f aca="false">HYPERLINK("https://www.ncbi.nlm.nih.gov/nuccore/CP000058.1?report=graph&amp;tracks=[key:gene_model_track,Options:GeneOnly]&amp;mk=5814259:5814278|offset_15|444444,5814232:5814251|offset_42|444444,5814207:5814226|offset_67|00cc00,5814116:5814135|offset_158|444444&amp;v=5814058:5814335&amp;c=444444", "offset 67")</f>
        <v>offset 67</v>
      </c>
    </row>
    <row r="18922" customFormat="false" ht="12.8" hidden="false" customHeight="false" outlineLevel="0" collapsed="false">
      <c r="A18922" s="0" t="s">
        <v>12</v>
      </c>
      <c r="B18922" s="0" t="n">
        <v>5814115</v>
      </c>
      <c r="C18922" s="0" t="n">
        <v>5814135</v>
      </c>
      <c r="D18922" s="0" t="s">
        <v>62896</v>
      </c>
      <c r="E18922" s="0" t="s">
        <v>75</v>
      </c>
      <c r="F18922" s="0" t="s">
        <v>90</v>
      </c>
      <c r="G18922" s="0" t="s">
        <v>36</v>
      </c>
      <c r="H18922" s="0" t="n">
        <v>158</v>
      </c>
      <c r="I18922" s="0" t="s">
        <v>62906</v>
      </c>
      <c r="J18922" s="0" t="s">
        <v>62907</v>
      </c>
      <c r="K18922" s="0" t="s">
        <v>62908</v>
      </c>
      <c r="L18922" s="0" t="str">
        <f aca="false">HYPERLINK("https://www.ncbi.nlm.nih.gov/nuccore/CP000058.1?report=graph&amp;tracks=[key:gene_model_track,Options:GeneOnly]&amp;mk=5814259:5814278|offset_15|444444,5814232:5814251|offset_42|444444,5814207:5814226|offset_67|444444,5814116:5814135|offset_158|00cc00&amp;v=5814058:5814335&amp;c=444444", "offset 158")</f>
        <v>offset 158</v>
      </c>
    </row>
    <row r="18923" customFormat="false" ht="12.8" hidden="false" customHeight="false" outlineLevel="0" collapsed="false">
      <c r="A18923" s="0" t="s">
        <v>12</v>
      </c>
      <c r="B18923" s="0" t="n">
        <v>5814751</v>
      </c>
      <c r="C18923" s="0" t="n">
        <v>5814771</v>
      </c>
      <c r="D18923" s="0" t="s">
        <v>62909</v>
      </c>
      <c r="E18923" s="0" t="s">
        <v>75</v>
      </c>
      <c r="F18923" s="0" t="s">
        <v>15</v>
      </c>
      <c r="G18923" s="0" t="s">
        <v>32</v>
      </c>
      <c r="H18923" s="0" t="n">
        <v>27</v>
      </c>
      <c r="I18923" s="0" t="s">
        <v>62910</v>
      </c>
      <c r="J18923" s="0" t="s">
        <v>62911</v>
      </c>
      <c r="K18923" s="0" t="s">
        <v>62912</v>
      </c>
      <c r="L18923" s="0" t="str">
        <f aca="false">HYPERLINK("https://www.ncbi.nlm.nih.gov/nuccore/CP000058.1?report=graph&amp;tracks=[key:gene_model_track,Options:GeneOnly]&amp;mk=5814752:5814771|offset_27|00cc00,5814786:5814805|offset_61|444444,5814843:5814862|offset_118|444444,5814867:5814886|offset_142|444444&amp;v=5814551:5815086&amp;c=444444", "offset 27")</f>
        <v>offset 27</v>
      </c>
    </row>
    <row r="18924" customFormat="false" ht="12.8" hidden="false" customHeight="false" outlineLevel="0" collapsed="false">
      <c r="A18924" s="0" t="s">
        <v>12</v>
      </c>
      <c r="B18924" s="0" t="n">
        <v>5814785</v>
      </c>
      <c r="C18924" s="0" t="n">
        <v>5814805</v>
      </c>
      <c r="D18924" s="0" t="s">
        <v>62909</v>
      </c>
      <c r="E18924" s="0" t="s">
        <v>75</v>
      </c>
      <c r="F18924" s="0" t="s">
        <v>15</v>
      </c>
      <c r="G18924" s="0" t="s">
        <v>16</v>
      </c>
      <c r="H18924" s="0" t="n">
        <v>61</v>
      </c>
      <c r="I18924" s="0" t="s">
        <v>62913</v>
      </c>
      <c r="J18924" s="0" t="s">
        <v>62914</v>
      </c>
      <c r="K18924" s="0" t="s">
        <v>62915</v>
      </c>
      <c r="L18924" s="0" t="str">
        <f aca="false">HYPERLINK("https://www.ncbi.nlm.nih.gov/nuccore/CP000058.1?report=graph&amp;tracks=[key:gene_model_track,Options:GeneOnly]&amp;mk=5814752:5814771|offset_27|444444,5814786:5814805|offset_61|00cc00,5814843:5814862|offset_118|444444,5814867:5814886|offset_142|444444&amp;v=5814551:5815086&amp;c=444444", "offset 61")</f>
        <v>offset 61</v>
      </c>
    </row>
    <row r="18925" customFormat="false" ht="12.8" hidden="false" customHeight="false" outlineLevel="0" collapsed="false">
      <c r="A18925" s="0" t="s">
        <v>12</v>
      </c>
      <c r="B18925" s="0" t="n">
        <v>5814842</v>
      </c>
      <c r="C18925" s="0" t="n">
        <v>5814862</v>
      </c>
      <c r="D18925" s="0" t="s">
        <v>62909</v>
      </c>
      <c r="E18925" s="0" t="s">
        <v>75</v>
      </c>
      <c r="F18925" s="0" t="s">
        <v>15</v>
      </c>
      <c r="G18925" s="0" t="s">
        <v>36</v>
      </c>
      <c r="H18925" s="0" t="n">
        <v>118</v>
      </c>
      <c r="I18925" s="0" t="s">
        <v>62916</v>
      </c>
      <c r="J18925" s="0" t="s">
        <v>62917</v>
      </c>
      <c r="K18925" s="0" t="s">
        <v>62918</v>
      </c>
      <c r="L18925" s="0" t="str">
        <f aca="false">HYPERLINK("https://www.ncbi.nlm.nih.gov/nuccore/CP000058.1?report=graph&amp;tracks=[key:gene_model_track,Options:GeneOnly]&amp;mk=5814752:5814771|offset_27|444444,5814786:5814805|offset_61|444444,5814843:5814862|offset_118|00cc00,5814867:5814886|offset_142|444444&amp;v=5814551:5815086&amp;c=444444", "offset 118")</f>
        <v>offset 118</v>
      </c>
    </row>
    <row r="18926" customFormat="false" ht="12.8" hidden="false" customHeight="false" outlineLevel="0" collapsed="false">
      <c r="A18926" s="0" t="s">
        <v>12</v>
      </c>
      <c r="B18926" s="0" t="n">
        <v>5814866</v>
      </c>
      <c r="C18926" s="0" t="n">
        <v>5814886</v>
      </c>
      <c r="D18926" s="0" t="s">
        <v>62909</v>
      </c>
      <c r="E18926" s="0" t="s">
        <v>75</v>
      </c>
      <c r="F18926" s="0" t="s">
        <v>15</v>
      </c>
      <c r="G18926" s="0" t="s">
        <v>32</v>
      </c>
      <c r="H18926" s="0" t="n">
        <v>142</v>
      </c>
      <c r="I18926" s="0" t="s">
        <v>62919</v>
      </c>
      <c r="J18926" s="0" t="s">
        <v>62920</v>
      </c>
      <c r="K18926" s="0" t="s">
        <v>62921</v>
      </c>
      <c r="L18926" s="0" t="str">
        <f aca="false">HYPERLINK("https://www.ncbi.nlm.nih.gov/nuccore/CP000058.1?report=graph&amp;tracks=[key:gene_model_track,Options:GeneOnly]&amp;mk=5814752:5814771|offset_27|444444,5814786:5814805|offset_61|444444,5814843:5814862|offset_118|444444,5814867:5814886|offset_142|00cc00&amp;v=5814551:5815086&amp;c=444444", "offset 142")</f>
        <v>offset 142</v>
      </c>
    </row>
    <row r="18927" customFormat="false" ht="12.8" hidden="false" customHeight="false" outlineLevel="0" collapsed="false">
      <c r="A18927" s="0" t="s">
        <v>12</v>
      </c>
      <c r="B18927" s="0" t="n">
        <v>5815223</v>
      </c>
      <c r="C18927" s="0" t="n">
        <v>5815243</v>
      </c>
      <c r="D18927" s="0" t="s">
        <v>62922</v>
      </c>
      <c r="E18927" s="0" t="s">
        <v>75</v>
      </c>
      <c r="F18927" s="0" t="s">
        <v>15</v>
      </c>
      <c r="G18927" s="0" t="s">
        <v>32</v>
      </c>
      <c r="H18927" s="0" t="n">
        <v>6</v>
      </c>
      <c r="I18927" s="0" t="s">
        <v>62923</v>
      </c>
      <c r="J18927" s="0" t="s">
        <v>62924</v>
      </c>
      <c r="K18927" s="0" t="s">
        <v>62925</v>
      </c>
      <c r="L18927" s="0" t="str">
        <f aca="false">HYPERLINK("https://www.ncbi.nlm.nih.gov/nuccore/CP000058.1?report=graph&amp;tracks=[key:gene_model_track,Options:GeneOnly]&amp;mk=5815224:5815243|offset_6|00cc00,5815259:5815278|offset_41|444444,5815292:5815311|offset_74|444444,5815337:5815356|offset_119|444444&amp;v=5815023:5815556&amp;c=444444", "offset 6")</f>
        <v>offset 6</v>
      </c>
    </row>
    <row r="18928" customFormat="false" ht="12.8" hidden="false" customHeight="false" outlineLevel="0" collapsed="false">
      <c r="A18928" s="0" t="s">
        <v>12</v>
      </c>
      <c r="B18928" s="0" t="n">
        <v>5815258</v>
      </c>
      <c r="C18928" s="0" t="n">
        <v>5815278</v>
      </c>
      <c r="D18928" s="0" t="s">
        <v>62922</v>
      </c>
      <c r="E18928" s="0" t="s">
        <v>75</v>
      </c>
      <c r="F18928" s="0" t="s">
        <v>15</v>
      </c>
      <c r="G18928" s="0" t="s">
        <v>32</v>
      </c>
      <c r="H18928" s="0" t="n">
        <v>41</v>
      </c>
      <c r="I18928" s="0" t="s">
        <v>62926</v>
      </c>
      <c r="J18928" s="0" t="s">
        <v>62927</v>
      </c>
      <c r="K18928" s="0" t="s">
        <v>62928</v>
      </c>
      <c r="L18928" s="0" t="str">
        <f aca="false">HYPERLINK("https://www.ncbi.nlm.nih.gov/nuccore/CP000058.1?report=graph&amp;tracks=[key:gene_model_track,Options:GeneOnly]&amp;mk=5815224:5815243|offset_6|444444,5815259:5815278|offset_41|00cc00,5815292:5815311|offset_74|444444,5815337:5815356|offset_119|444444&amp;v=5815023:5815556&amp;c=444444", "offset 41")</f>
        <v>offset 41</v>
      </c>
    </row>
    <row r="18929" customFormat="false" ht="12.8" hidden="false" customHeight="false" outlineLevel="0" collapsed="false">
      <c r="A18929" s="0" t="s">
        <v>12</v>
      </c>
      <c r="B18929" s="0" t="n">
        <v>5815291</v>
      </c>
      <c r="C18929" s="0" t="n">
        <v>5815311</v>
      </c>
      <c r="D18929" s="0" t="s">
        <v>62922</v>
      </c>
      <c r="E18929" s="0" t="s">
        <v>75</v>
      </c>
      <c r="F18929" s="0" t="s">
        <v>15</v>
      </c>
      <c r="G18929" s="0" t="s">
        <v>32</v>
      </c>
      <c r="H18929" s="0" t="n">
        <v>74</v>
      </c>
      <c r="I18929" s="0" t="s">
        <v>62929</v>
      </c>
      <c r="J18929" s="0" t="s">
        <v>62930</v>
      </c>
      <c r="K18929" s="0" t="s">
        <v>62931</v>
      </c>
      <c r="L18929" s="0" t="str">
        <f aca="false">HYPERLINK("https://www.ncbi.nlm.nih.gov/nuccore/CP000058.1?report=graph&amp;tracks=[key:gene_model_track,Options:GeneOnly]&amp;mk=5815224:5815243|offset_6|444444,5815259:5815278|offset_41|444444,5815292:5815311|offset_74|00cc00,5815337:5815356|offset_119|444444&amp;v=5815023:5815556&amp;c=444444", "offset 74")</f>
        <v>offset 74</v>
      </c>
    </row>
    <row r="18930" customFormat="false" ht="12.8" hidden="false" customHeight="false" outlineLevel="0" collapsed="false">
      <c r="A18930" s="0" t="s">
        <v>12</v>
      </c>
      <c r="B18930" s="0" t="n">
        <v>5815336</v>
      </c>
      <c r="C18930" s="0" t="n">
        <v>5815356</v>
      </c>
      <c r="D18930" s="0" t="s">
        <v>62922</v>
      </c>
      <c r="E18930" s="0" t="s">
        <v>75</v>
      </c>
      <c r="F18930" s="0" t="s">
        <v>15</v>
      </c>
      <c r="G18930" s="0" t="s">
        <v>20</v>
      </c>
      <c r="H18930" s="0" t="n">
        <v>119</v>
      </c>
      <c r="I18930" s="0" t="s">
        <v>62932</v>
      </c>
      <c r="J18930" s="0" t="s">
        <v>62933</v>
      </c>
      <c r="K18930" s="0" t="s">
        <v>62934</v>
      </c>
      <c r="L18930" s="0" t="str">
        <f aca="false">HYPERLINK("https://www.ncbi.nlm.nih.gov/nuccore/CP000058.1?report=graph&amp;tracks=[key:gene_model_track,Options:GeneOnly]&amp;mk=5815224:5815243|offset_6|444444,5815259:5815278|offset_41|444444,5815292:5815311|offset_74|444444,5815337:5815356|offset_119|00cc00&amp;v=5815023:5815556&amp;c=444444", "offset 119")</f>
        <v>offset 119</v>
      </c>
    </row>
    <row r="18931" customFormat="false" ht="12.8" hidden="false" customHeight="false" outlineLevel="0" collapsed="false">
      <c r="A18931" s="0" t="s">
        <v>12</v>
      </c>
      <c r="B18931" s="0" t="n">
        <v>5816672</v>
      </c>
      <c r="C18931" s="0" t="n">
        <v>5816692</v>
      </c>
      <c r="D18931" s="0" t="s">
        <v>62935</v>
      </c>
      <c r="E18931" s="0" t="s">
        <v>75</v>
      </c>
      <c r="F18931" s="0" t="s">
        <v>90</v>
      </c>
      <c r="G18931" s="0" t="s">
        <v>16</v>
      </c>
      <c r="H18931" s="0" t="n">
        <v>6</v>
      </c>
      <c r="I18931" s="0" t="s">
        <v>62936</v>
      </c>
      <c r="J18931" s="0" t="s">
        <v>62937</v>
      </c>
      <c r="K18931" s="0" t="s">
        <v>62938</v>
      </c>
      <c r="L18931" s="0" t="str">
        <f aca="false">HYPERLINK("https://www.ncbi.nlm.nih.gov/nuccore/CP000058.1?report=graph&amp;tracks=[key:gene_model_track,Options:GeneOnly]&amp;mk=5816673:5816692|offset_6|00cc00,5816624:5816643|offset_55|444444,5816601:5816620|offset_78|444444,5816574:5816593|offset_105|444444&amp;v=5816472:5816793&amp;c=444444", "offset 6")</f>
        <v>offset 6</v>
      </c>
    </row>
    <row r="18932" customFormat="false" ht="12.8" hidden="false" customHeight="false" outlineLevel="0" collapsed="false">
      <c r="A18932" s="0" t="s">
        <v>12</v>
      </c>
      <c r="B18932" s="0" t="n">
        <v>5816623</v>
      </c>
      <c r="C18932" s="0" t="n">
        <v>5816643</v>
      </c>
      <c r="D18932" s="0" t="s">
        <v>62935</v>
      </c>
      <c r="E18932" s="0" t="s">
        <v>75</v>
      </c>
      <c r="F18932" s="0" t="s">
        <v>90</v>
      </c>
      <c r="G18932" s="0" t="s">
        <v>16</v>
      </c>
      <c r="H18932" s="0" t="n">
        <v>55</v>
      </c>
      <c r="I18932" s="0" t="s">
        <v>62939</v>
      </c>
      <c r="J18932" s="0" t="s">
        <v>62940</v>
      </c>
      <c r="K18932" s="0" t="s">
        <v>62941</v>
      </c>
      <c r="L18932" s="0" t="str">
        <f aca="false">HYPERLINK("https://www.ncbi.nlm.nih.gov/nuccore/CP000058.1?report=graph&amp;tracks=[key:gene_model_track,Options:GeneOnly]&amp;mk=5816673:5816692|offset_6|444444,5816624:5816643|offset_55|00cc00,5816601:5816620|offset_78|444444,5816574:5816593|offset_105|444444&amp;v=5816472:5816793&amp;c=444444", "offset 55")</f>
        <v>offset 55</v>
      </c>
    </row>
    <row r="18933" customFormat="false" ht="12.8" hidden="false" customHeight="false" outlineLevel="0" collapsed="false">
      <c r="A18933" s="0" t="s">
        <v>12</v>
      </c>
      <c r="B18933" s="0" t="n">
        <v>5816600</v>
      </c>
      <c r="C18933" s="0" t="n">
        <v>5816620</v>
      </c>
      <c r="D18933" s="0" t="s">
        <v>62935</v>
      </c>
      <c r="E18933" s="0" t="s">
        <v>75</v>
      </c>
      <c r="F18933" s="0" t="s">
        <v>90</v>
      </c>
      <c r="G18933" s="0" t="s">
        <v>16</v>
      </c>
      <c r="H18933" s="0" t="n">
        <v>78</v>
      </c>
      <c r="I18933" s="0" t="s">
        <v>62942</v>
      </c>
      <c r="J18933" s="0" t="s">
        <v>62943</v>
      </c>
      <c r="K18933" s="0" t="s">
        <v>62944</v>
      </c>
      <c r="L18933" s="0" t="str">
        <f aca="false">HYPERLINK("https://www.ncbi.nlm.nih.gov/nuccore/CP000058.1?report=graph&amp;tracks=[key:gene_model_track,Options:GeneOnly]&amp;mk=5816673:5816692|offset_6|444444,5816624:5816643|offset_55|444444,5816601:5816620|offset_78|00cc00,5816574:5816593|offset_105|444444&amp;v=5816472:5816793&amp;c=444444", "offset 78")</f>
        <v>offset 78</v>
      </c>
    </row>
    <row r="18934" customFormat="false" ht="12.8" hidden="false" customHeight="false" outlineLevel="0" collapsed="false">
      <c r="A18934" s="0" t="s">
        <v>12</v>
      </c>
      <c r="B18934" s="0" t="n">
        <v>5816573</v>
      </c>
      <c r="C18934" s="0" t="n">
        <v>5816593</v>
      </c>
      <c r="D18934" s="0" t="s">
        <v>62935</v>
      </c>
      <c r="E18934" s="0" t="s">
        <v>75</v>
      </c>
      <c r="F18934" s="0" t="s">
        <v>90</v>
      </c>
      <c r="G18934" s="0" t="s">
        <v>36</v>
      </c>
      <c r="H18934" s="0" t="n">
        <v>105</v>
      </c>
      <c r="I18934" s="0" t="s">
        <v>62945</v>
      </c>
      <c r="J18934" s="0" t="s">
        <v>62946</v>
      </c>
      <c r="K18934" s="0" t="s">
        <v>62947</v>
      </c>
      <c r="L18934" s="0" t="str">
        <f aca="false">HYPERLINK("https://www.ncbi.nlm.nih.gov/nuccore/CP000058.1?report=graph&amp;tracks=[key:gene_model_track,Options:GeneOnly]&amp;mk=5816673:5816692|offset_6|444444,5816624:5816643|offset_55|444444,5816601:5816620|offset_78|444444,5816574:5816593|offset_105|00cc00&amp;v=5816472:5816793&amp;c=444444", "offset 105")</f>
        <v>offset 105</v>
      </c>
    </row>
    <row r="18935" customFormat="false" ht="12.8" hidden="false" customHeight="false" outlineLevel="0" collapsed="false">
      <c r="A18935" s="0" t="s">
        <v>12</v>
      </c>
      <c r="B18935" s="0" t="n">
        <v>5816972</v>
      </c>
      <c r="C18935" s="0" t="n">
        <v>5816992</v>
      </c>
      <c r="D18935" s="0" t="s">
        <v>62948</v>
      </c>
      <c r="E18935" s="0" t="s">
        <v>75</v>
      </c>
      <c r="F18935" s="0" t="s">
        <v>90</v>
      </c>
      <c r="G18935" s="0" t="s">
        <v>32</v>
      </c>
      <c r="H18935" s="0" t="n">
        <v>19</v>
      </c>
      <c r="I18935" s="0" t="s">
        <v>62949</v>
      </c>
      <c r="J18935" s="0" t="s">
        <v>62950</v>
      </c>
      <c r="K18935" s="0" t="s">
        <v>62951</v>
      </c>
      <c r="L18935" s="0" t="str">
        <f aca="false">HYPERLINK("https://www.ncbi.nlm.nih.gov/nuccore/CP000058.1?report=graph&amp;tracks=[key:gene_model_track,Options:GeneOnly]&amp;mk=5816973:5816992|offset_19|00cc00,5816933:5816952|offset_59|444444,5816895:5816914|offset_97|444444,5816862:5816881|offset_130|444444&amp;v=5816772:5817081&amp;c=444444", "offset 19")</f>
        <v>offset 19</v>
      </c>
    </row>
    <row r="18936" customFormat="false" ht="12.8" hidden="false" customHeight="false" outlineLevel="0" collapsed="false">
      <c r="A18936" s="0" t="s">
        <v>12</v>
      </c>
      <c r="B18936" s="0" t="n">
        <v>5816932</v>
      </c>
      <c r="C18936" s="0" t="n">
        <v>5816952</v>
      </c>
      <c r="D18936" s="0" t="s">
        <v>62948</v>
      </c>
      <c r="E18936" s="0" t="s">
        <v>75</v>
      </c>
      <c r="F18936" s="0" t="s">
        <v>90</v>
      </c>
      <c r="G18936" s="0" t="s">
        <v>20</v>
      </c>
      <c r="H18936" s="0" t="n">
        <v>59</v>
      </c>
      <c r="I18936" s="0" t="s">
        <v>62952</v>
      </c>
      <c r="J18936" s="0" t="s">
        <v>62953</v>
      </c>
      <c r="K18936" s="0" t="s">
        <v>62954</v>
      </c>
      <c r="L18936" s="0" t="str">
        <f aca="false">HYPERLINK("https://www.ncbi.nlm.nih.gov/nuccore/CP000058.1?report=graph&amp;tracks=[key:gene_model_track,Options:GeneOnly]&amp;mk=5816973:5816992|offset_19|444444,5816933:5816952|offset_59|00cc00,5816895:5816914|offset_97|444444,5816862:5816881|offset_130|444444&amp;v=5816772:5817081&amp;c=444444", "offset 59")</f>
        <v>offset 59</v>
      </c>
    </row>
    <row r="18937" customFormat="false" ht="12.8" hidden="false" customHeight="false" outlineLevel="0" collapsed="false">
      <c r="A18937" s="0" t="s">
        <v>12</v>
      </c>
      <c r="B18937" s="0" t="n">
        <v>5816894</v>
      </c>
      <c r="C18937" s="0" t="n">
        <v>5816914</v>
      </c>
      <c r="D18937" s="0" t="s">
        <v>62948</v>
      </c>
      <c r="E18937" s="0" t="s">
        <v>75</v>
      </c>
      <c r="F18937" s="0" t="s">
        <v>90</v>
      </c>
      <c r="G18937" s="0" t="s">
        <v>32</v>
      </c>
      <c r="H18937" s="0" t="n">
        <v>97</v>
      </c>
      <c r="I18937" s="0" t="s">
        <v>62955</v>
      </c>
      <c r="J18937" s="0" t="s">
        <v>62956</v>
      </c>
      <c r="K18937" s="0" t="s">
        <v>62957</v>
      </c>
      <c r="L18937" s="0" t="str">
        <f aca="false">HYPERLINK("https://www.ncbi.nlm.nih.gov/nuccore/CP000058.1?report=graph&amp;tracks=[key:gene_model_track,Options:GeneOnly]&amp;mk=5816973:5816992|offset_19|444444,5816933:5816952|offset_59|444444,5816895:5816914|offset_97|00cc00,5816862:5816881|offset_130|444444&amp;v=5816772:5817081&amp;c=444444", "offset 97")</f>
        <v>offset 97</v>
      </c>
    </row>
    <row r="18938" customFormat="false" ht="12.8" hidden="false" customHeight="false" outlineLevel="0" collapsed="false">
      <c r="A18938" s="0" t="s">
        <v>12</v>
      </c>
      <c r="B18938" s="0" t="n">
        <v>5816861</v>
      </c>
      <c r="C18938" s="0" t="n">
        <v>5816881</v>
      </c>
      <c r="D18938" s="0" t="s">
        <v>62948</v>
      </c>
      <c r="E18938" s="0" t="s">
        <v>75</v>
      </c>
      <c r="F18938" s="0" t="s">
        <v>90</v>
      </c>
      <c r="G18938" s="0" t="s">
        <v>32</v>
      </c>
      <c r="H18938" s="0" t="n">
        <v>130</v>
      </c>
      <c r="I18938" s="0" t="s">
        <v>62958</v>
      </c>
      <c r="J18938" s="0" t="s">
        <v>62959</v>
      </c>
      <c r="K18938" s="0" t="s">
        <v>62960</v>
      </c>
      <c r="L18938" s="0" t="str">
        <f aca="false">HYPERLINK("https://www.ncbi.nlm.nih.gov/nuccore/CP000058.1?report=graph&amp;tracks=[key:gene_model_track,Options:GeneOnly]&amp;mk=5816973:5816992|offset_19|444444,5816933:5816952|offset_59|444444,5816895:5816914|offset_97|444444,5816862:5816881|offset_130|00cc00&amp;v=5816772:5817081&amp;c=444444", "offset 130")</f>
        <v>offset 130</v>
      </c>
    </row>
    <row r="18939" customFormat="false" ht="12.8" hidden="false" customHeight="false" outlineLevel="0" collapsed="false">
      <c r="A18939" s="0" t="s">
        <v>12</v>
      </c>
      <c r="B18939" s="0" t="n">
        <v>5818408</v>
      </c>
      <c r="C18939" s="0" t="n">
        <v>5818428</v>
      </c>
      <c r="D18939" s="0" t="s">
        <v>62961</v>
      </c>
      <c r="E18939" s="0" t="s">
        <v>62962</v>
      </c>
      <c r="F18939" s="0" t="s">
        <v>90</v>
      </c>
      <c r="G18939" s="0" t="s">
        <v>32</v>
      </c>
      <c r="H18939" s="0" t="n">
        <v>1</v>
      </c>
      <c r="I18939" s="0" t="s">
        <v>62963</v>
      </c>
      <c r="J18939" s="0" t="s">
        <v>62964</v>
      </c>
      <c r="K18939" s="0" t="s">
        <v>62965</v>
      </c>
      <c r="L18939" s="0" t="str">
        <f aca="false">HYPERLINK("https://www.ncbi.nlm.nih.gov/nuccore/CP000058.1?report=graph&amp;tracks=[key:gene_model_track,Options:GeneOnly]&amp;mk=5818409:5818428|offset_1|00cc00,5818381:5818400|offset_29|444444,5818347:5818366|offset_63|444444,5818317:5818336|offset_93|444444&amp;v=5818208:5818536&amp;c=444444", "offset 1")</f>
        <v>offset 1</v>
      </c>
    </row>
    <row r="18940" customFormat="false" ht="12.8" hidden="false" customHeight="false" outlineLevel="0" collapsed="false">
      <c r="A18940" s="0" t="s">
        <v>12</v>
      </c>
      <c r="B18940" s="0" t="n">
        <v>5818380</v>
      </c>
      <c r="C18940" s="0" t="n">
        <v>5818400</v>
      </c>
      <c r="D18940" s="0" t="s">
        <v>62961</v>
      </c>
      <c r="E18940" s="0" t="s">
        <v>62962</v>
      </c>
      <c r="F18940" s="0" t="s">
        <v>90</v>
      </c>
      <c r="G18940" s="0" t="s">
        <v>32</v>
      </c>
      <c r="H18940" s="0" t="n">
        <v>29</v>
      </c>
      <c r="I18940" s="0" t="s">
        <v>62966</v>
      </c>
      <c r="J18940" s="0" t="s">
        <v>62967</v>
      </c>
      <c r="K18940" s="0" t="s">
        <v>62968</v>
      </c>
      <c r="L18940" s="0" t="str">
        <f aca="false">HYPERLINK("https://www.ncbi.nlm.nih.gov/nuccore/CP000058.1?report=graph&amp;tracks=[key:gene_model_track,Options:GeneOnly]&amp;mk=5818409:5818428|offset_1|444444,5818381:5818400|offset_29|00cc00,5818347:5818366|offset_63|444444,5818317:5818336|offset_93|444444&amp;v=5818208:5818536&amp;c=444444", "offset 29")</f>
        <v>offset 29</v>
      </c>
    </row>
    <row r="18941" customFormat="false" ht="12.8" hidden="false" customHeight="false" outlineLevel="0" collapsed="false">
      <c r="A18941" s="0" t="s">
        <v>12</v>
      </c>
      <c r="B18941" s="0" t="n">
        <v>5818346</v>
      </c>
      <c r="C18941" s="0" t="n">
        <v>5818366</v>
      </c>
      <c r="D18941" s="0" t="s">
        <v>62961</v>
      </c>
      <c r="E18941" s="0" t="s">
        <v>62962</v>
      </c>
      <c r="F18941" s="0" t="s">
        <v>90</v>
      </c>
      <c r="G18941" s="0" t="s">
        <v>16</v>
      </c>
      <c r="H18941" s="0" t="n">
        <v>63</v>
      </c>
      <c r="I18941" s="0" t="s">
        <v>62969</v>
      </c>
      <c r="J18941" s="0" t="s">
        <v>62970</v>
      </c>
      <c r="K18941" s="0" t="s">
        <v>62971</v>
      </c>
      <c r="L18941" s="0" t="str">
        <f aca="false">HYPERLINK("https://www.ncbi.nlm.nih.gov/nuccore/CP000058.1?report=graph&amp;tracks=[key:gene_model_track,Options:GeneOnly]&amp;mk=5818409:5818428|offset_1|444444,5818381:5818400|offset_29|444444,5818347:5818366|offset_63|00cc00,5818317:5818336|offset_93|444444&amp;v=5818208:5818536&amp;c=444444", "offset 63")</f>
        <v>offset 63</v>
      </c>
    </row>
    <row r="18942" customFormat="false" ht="12.8" hidden="false" customHeight="false" outlineLevel="0" collapsed="false">
      <c r="A18942" s="0" t="s">
        <v>12</v>
      </c>
      <c r="B18942" s="0" t="n">
        <v>5818316</v>
      </c>
      <c r="C18942" s="0" t="n">
        <v>5818336</v>
      </c>
      <c r="D18942" s="0" t="s">
        <v>62961</v>
      </c>
      <c r="E18942" s="0" t="s">
        <v>62962</v>
      </c>
      <c r="F18942" s="0" t="s">
        <v>90</v>
      </c>
      <c r="G18942" s="0" t="s">
        <v>36</v>
      </c>
      <c r="H18942" s="0" t="n">
        <v>93</v>
      </c>
      <c r="I18942" s="0" t="s">
        <v>62972</v>
      </c>
      <c r="J18942" s="0" t="s">
        <v>62973</v>
      </c>
      <c r="K18942" s="0" t="s">
        <v>62974</v>
      </c>
      <c r="L18942" s="0" t="str">
        <f aca="false">HYPERLINK("https://www.ncbi.nlm.nih.gov/nuccore/CP000058.1?report=graph&amp;tracks=[key:gene_model_track,Options:GeneOnly]&amp;mk=5818409:5818428|offset_1|444444,5818381:5818400|offset_29|444444,5818347:5818366|offset_63|444444,5818317:5818336|offset_93|00cc00&amp;v=5818208:5818536&amp;c=444444", "offset 93")</f>
        <v>offset 93</v>
      </c>
    </row>
    <row r="18943" customFormat="false" ht="12.8" hidden="false" customHeight="false" outlineLevel="0" collapsed="false">
      <c r="A18943" s="0" t="s">
        <v>12</v>
      </c>
      <c r="B18943" s="0" t="n">
        <v>5819039</v>
      </c>
      <c r="C18943" s="0" t="n">
        <v>5819059</v>
      </c>
      <c r="D18943" s="0" t="s">
        <v>62975</v>
      </c>
      <c r="E18943" s="0" t="s">
        <v>62976</v>
      </c>
      <c r="F18943" s="0" t="s">
        <v>90</v>
      </c>
      <c r="G18943" s="0" t="s">
        <v>32</v>
      </c>
      <c r="H18943" s="0" t="n">
        <v>27</v>
      </c>
      <c r="I18943" s="0" t="s">
        <v>62977</v>
      </c>
      <c r="J18943" s="0" t="s">
        <v>62978</v>
      </c>
      <c r="K18943" s="0" t="s">
        <v>62979</v>
      </c>
      <c r="L18943" s="0" t="str">
        <f aca="false">HYPERLINK("https://www.ncbi.nlm.nih.gov/nuccore/CP000058.1?report=graph&amp;tracks=[key:gene_model_track,Options:GeneOnly]&amp;mk=5819040:5819059|offset_27|00cc00,5819017:5819036|offset_50|444444,5818978:5818997|offset_89|444444,5818937:5818956|offset_130|444444&amp;v=5818839:5819156&amp;c=444444", "offset 27")</f>
        <v>offset 27</v>
      </c>
    </row>
    <row r="18944" customFormat="false" ht="12.8" hidden="false" customHeight="false" outlineLevel="0" collapsed="false">
      <c r="A18944" s="0" t="s">
        <v>12</v>
      </c>
      <c r="B18944" s="0" t="n">
        <v>5819016</v>
      </c>
      <c r="C18944" s="0" t="n">
        <v>5819036</v>
      </c>
      <c r="D18944" s="0" t="s">
        <v>62975</v>
      </c>
      <c r="E18944" s="0" t="s">
        <v>62976</v>
      </c>
      <c r="F18944" s="0" t="s">
        <v>90</v>
      </c>
      <c r="G18944" s="0" t="s">
        <v>20</v>
      </c>
      <c r="H18944" s="0" t="n">
        <v>50</v>
      </c>
      <c r="I18944" s="0" t="s">
        <v>62980</v>
      </c>
      <c r="J18944" s="0" t="s">
        <v>62981</v>
      </c>
      <c r="K18944" s="0" t="s">
        <v>62982</v>
      </c>
      <c r="L18944" s="0" t="str">
        <f aca="false">HYPERLINK("https://www.ncbi.nlm.nih.gov/nuccore/CP000058.1?report=graph&amp;tracks=[key:gene_model_track,Options:GeneOnly]&amp;mk=5819040:5819059|offset_27|444444,5819017:5819036|offset_50|00cc00,5818978:5818997|offset_89|444444,5818937:5818956|offset_130|444444&amp;v=5818839:5819156&amp;c=444444", "offset 50")</f>
        <v>offset 50</v>
      </c>
    </row>
    <row r="18945" customFormat="false" ht="12.8" hidden="false" customHeight="false" outlineLevel="0" collapsed="false">
      <c r="A18945" s="0" t="s">
        <v>12</v>
      </c>
      <c r="B18945" s="0" t="n">
        <v>5818977</v>
      </c>
      <c r="C18945" s="0" t="n">
        <v>5818997</v>
      </c>
      <c r="D18945" s="0" t="s">
        <v>62975</v>
      </c>
      <c r="E18945" s="0" t="s">
        <v>62976</v>
      </c>
      <c r="F18945" s="0" t="s">
        <v>90</v>
      </c>
      <c r="G18945" s="0" t="s">
        <v>32</v>
      </c>
      <c r="H18945" s="0" t="n">
        <v>89</v>
      </c>
      <c r="I18945" s="0" t="s">
        <v>62983</v>
      </c>
      <c r="J18945" s="0" t="s">
        <v>62984</v>
      </c>
      <c r="K18945" s="0" t="s">
        <v>62985</v>
      </c>
      <c r="L18945" s="0" t="str">
        <f aca="false">HYPERLINK("https://www.ncbi.nlm.nih.gov/nuccore/CP000058.1?report=graph&amp;tracks=[key:gene_model_track,Options:GeneOnly]&amp;mk=5819040:5819059|offset_27|444444,5819017:5819036|offset_50|444444,5818978:5818997|offset_89|00cc00,5818937:5818956|offset_130|444444&amp;v=5818839:5819156&amp;c=444444", "offset 89")</f>
        <v>offset 89</v>
      </c>
    </row>
    <row r="18946" customFormat="false" ht="12.8" hidden="false" customHeight="false" outlineLevel="0" collapsed="false">
      <c r="A18946" s="0" t="s">
        <v>12</v>
      </c>
      <c r="B18946" s="0" t="n">
        <v>5818936</v>
      </c>
      <c r="C18946" s="0" t="n">
        <v>5818956</v>
      </c>
      <c r="D18946" s="0" t="s">
        <v>62975</v>
      </c>
      <c r="E18946" s="0" t="s">
        <v>62976</v>
      </c>
      <c r="F18946" s="0" t="s">
        <v>90</v>
      </c>
      <c r="G18946" s="0" t="s">
        <v>20</v>
      </c>
      <c r="H18946" s="0" t="n">
        <v>130</v>
      </c>
      <c r="I18946" s="0" t="s">
        <v>62986</v>
      </c>
      <c r="J18946" s="0" t="s">
        <v>62987</v>
      </c>
      <c r="K18946" s="0" t="s">
        <v>62988</v>
      </c>
      <c r="L18946" s="0" t="str">
        <f aca="false">HYPERLINK("https://www.ncbi.nlm.nih.gov/nuccore/CP000058.1?report=graph&amp;tracks=[key:gene_model_track,Options:GeneOnly]&amp;mk=5819040:5819059|offset_27|444444,5819017:5819036|offset_50|444444,5818978:5818997|offset_89|444444,5818937:5818956|offset_130|00cc00&amp;v=5818839:5819156&amp;c=444444", "offset 130")</f>
        <v>offset 130</v>
      </c>
    </row>
    <row r="18947" customFormat="false" ht="12.8" hidden="false" customHeight="false" outlineLevel="0" collapsed="false">
      <c r="A18947" s="0" t="s">
        <v>12</v>
      </c>
      <c r="B18947" s="0" t="n">
        <v>5819463</v>
      </c>
      <c r="C18947" s="0" t="n">
        <v>5819483</v>
      </c>
      <c r="D18947" s="0" t="s">
        <v>62989</v>
      </c>
      <c r="E18947" s="0" t="s">
        <v>75</v>
      </c>
      <c r="F18947" s="0" t="s">
        <v>15</v>
      </c>
      <c r="G18947" s="0" t="s">
        <v>36</v>
      </c>
      <c r="H18947" s="0" t="n">
        <v>66</v>
      </c>
      <c r="I18947" s="0" t="s">
        <v>62990</v>
      </c>
      <c r="J18947" s="0" t="s">
        <v>62991</v>
      </c>
      <c r="K18947" s="0" t="s">
        <v>62992</v>
      </c>
      <c r="L18947" s="0" t="str">
        <f aca="false">HYPERLINK("https://www.ncbi.nlm.nih.gov/nuccore/CP000058.1?report=graph&amp;tracks=[key:gene_model_track,Options:GeneOnly]&amp;mk=5819464:5819483|offset_66|00cc00,5819530:5819549|offset_132|444444,5819603:5819622|offset_205|444444,5819625:5819644|offset_227|444444&amp;v=5819263:5819844&amp;c=444444", "offset 66")</f>
        <v>offset 66</v>
      </c>
    </row>
    <row r="18948" customFormat="false" ht="12.8" hidden="false" customHeight="false" outlineLevel="0" collapsed="false">
      <c r="A18948" s="0" t="s">
        <v>12</v>
      </c>
      <c r="B18948" s="0" t="n">
        <v>5819529</v>
      </c>
      <c r="C18948" s="0" t="n">
        <v>5819549</v>
      </c>
      <c r="D18948" s="0" t="s">
        <v>62989</v>
      </c>
      <c r="E18948" s="0" t="s">
        <v>75</v>
      </c>
      <c r="F18948" s="0" t="s">
        <v>15</v>
      </c>
      <c r="G18948" s="0" t="s">
        <v>16</v>
      </c>
      <c r="H18948" s="0" t="n">
        <v>132</v>
      </c>
      <c r="I18948" s="0" t="s">
        <v>62993</v>
      </c>
      <c r="J18948" s="0" t="s">
        <v>62994</v>
      </c>
      <c r="K18948" s="0" t="s">
        <v>62995</v>
      </c>
      <c r="L18948" s="0" t="str">
        <f aca="false">HYPERLINK("https://www.ncbi.nlm.nih.gov/nuccore/CP000058.1?report=graph&amp;tracks=[key:gene_model_track,Options:GeneOnly]&amp;mk=5819464:5819483|offset_66|444444,5819530:5819549|offset_132|00cc00,5819603:5819622|offset_205|444444,5819625:5819644|offset_227|444444&amp;v=5819263:5819844&amp;c=444444", "offset 132")</f>
        <v>offset 132</v>
      </c>
    </row>
    <row r="18949" customFormat="false" ht="12.8" hidden="false" customHeight="false" outlineLevel="0" collapsed="false">
      <c r="A18949" s="0" t="s">
        <v>12</v>
      </c>
      <c r="B18949" s="0" t="n">
        <v>5819602</v>
      </c>
      <c r="C18949" s="0" t="n">
        <v>5819622</v>
      </c>
      <c r="D18949" s="0" t="s">
        <v>62989</v>
      </c>
      <c r="E18949" s="0" t="s">
        <v>75</v>
      </c>
      <c r="F18949" s="0" t="s">
        <v>15</v>
      </c>
      <c r="G18949" s="0" t="s">
        <v>16</v>
      </c>
      <c r="H18949" s="0" t="n">
        <v>205</v>
      </c>
      <c r="I18949" s="0" t="s">
        <v>62996</v>
      </c>
      <c r="J18949" s="0" t="s">
        <v>62997</v>
      </c>
      <c r="K18949" s="0" t="s">
        <v>62998</v>
      </c>
      <c r="L18949" s="0" t="str">
        <f aca="false">HYPERLINK("https://www.ncbi.nlm.nih.gov/nuccore/CP000058.1?report=graph&amp;tracks=[key:gene_model_track,Options:GeneOnly]&amp;mk=5819464:5819483|offset_66|444444,5819530:5819549|offset_132|444444,5819603:5819622|offset_205|00cc00,5819625:5819644|offset_227|444444&amp;v=5819263:5819844&amp;c=444444", "offset 205")</f>
        <v>offset 205</v>
      </c>
    </row>
    <row r="18950" customFormat="false" ht="12.8" hidden="false" customHeight="false" outlineLevel="0" collapsed="false">
      <c r="A18950" s="0" t="s">
        <v>12</v>
      </c>
      <c r="B18950" s="0" t="n">
        <v>5819624</v>
      </c>
      <c r="C18950" s="0" t="n">
        <v>5819644</v>
      </c>
      <c r="D18950" s="0" t="s">
        <v>62989</v>
      </c>
      <c r="E18950" s="0" t="s">
        <v>75</v>
      </c>
      <c r="F18950" s="0" t="s">
        <v>15</v>
      </c>
      <c r="G18950" s="0" t="s">
        <v>20</v>
      </c>
      <c r="H18950" s="0" t="n">
        <v>227</v>
      </c>
      <c r="I18950" s="0" t="s">
        <v>62999</v>
      </c>
      <c r="J18950" s="0" t="s">
        <v>63000</v>
      </c>
      <c r="K18950" s="0" t="s">
        <v>63001</v>
      </c>
      <c r="L18950" s="0" t="str">
        <f aca="false">HYPERLINK("https://www.ncbi.nlm.nih.gov/nuccore/CP000058.1?report=graph&amp;tracks=[key:gene_model_track,Options:GeneOnly]&amp;mk=5819464:5819483|offset_66|444444,5819530:5819549|offset_132|444444,5819603:5819622|offset_205|444444,5819625:5819644|offset_227|00cc00&amp;v=5819263:5819844&amp;c=444444", "offset 227")</f>
        <v>offset 227</v>
      </c>
    </row>
    <row r="18951" customFormat="false" ht="12.8" hidden="false" customHeight="false" outlineLevel="0" collapsed="false">
      <c r="A18951" s="0" t="s">
        <v>12</v>
      </c>
      <c r="B18951" s="0" t="n">
        <v>5820812</v>
      </c>
      <c r="C18951" s="0" t="n">
        <v>5820832</v>
      </c>
      <c r="D18951" s="0" t="s">
        <v>63002</v>
      </c>
      <c r="E18951" s="0" t="s">
        <v>75</v>
      </c>
      <c r="F18951" s="0" t="s">
        <v>90</v>
      </c>
      <c r="G18951" s="0" t="s">
        <v>36</v>
      </c>
      <c r="H18951" s="0" t="n">
        <v>40</v>
      </c>
      <c r="I18951" s="0" t="s">
        <v>63003</v>
      </c>
      <c r="J18951" s="0" t="s">
        <v>63004</v>
      </c>
      <c r="K18951" s="0" t="s">
        <v>63005</v>
      </c>
      <c r="L18951" s="0" t="str">
        <f aca="false">HYPERLINK("https://www.ncbi.nlm.nih.gov/nuccore/CP000058.1?report=graph&amp;tracks=[key:gene_model_track,Options:GeneOnly]&amp;mk=5820813:5820832|offset_40|00cc00,5820783:5820802|offset_70|444444,5820757:5820776|offset_96|444444,5820737:5820756|offset_116|444444&amp;v=5820612:5820956&amp;c=444444", "offset 40")</f>
        <v>offset 40</v>
      </c>
    </row>
    <row r="18952" customFormat="false" ht="12.8" hidden="false" customHeight="false" outlineLevel="0" collapsed="false">
      <c r="A18952" s="0" t="s">
        <v>12</v>
      </c>
      <c r="B18952" s="0" t="n">
        <v>5820782</v>
      </c>
      <c r="C18952" s="0" t="n">
        <v>5820802</v>
      </c>
      <c r="D18952" s="0" t="s">
        <v>63002</v>
      </c>
      <c r="E18952" s="0" t="s">
        <v>75</v>
      </c>
      <c r="F18952" s="0" t="s">
        <v>90</v>
      </c>
      <c r="G18952" s="0" t="s">
        <v>16</v>
      </c>
      <c r="H18952" s="0" t="n">
        <v>70</v>
      </c>
      <c r="I18952" s="0" t="s">
        <v>63006</v>
      </c>
      <c r="J18952" s="0" t="s">
        <v>63007</v>
      </c>
      <c r="K18952" s="0" t="s">
        <v>63008</v>
      </c>
      <c r="L18952" s="0" t="str">
        <f aca="false">HYPERLINK("https://www.ncbi.nlm.nih.gov/nuccore/CP000058.1?report=graph&amp;tracks=[key:gene_model_track,Options:GeneOnly]&amp;mk=5820813:5820832|offset_40|444444,5820783:5820802|offset_70|00cc00,5820757:5820776|offset_96|444444,5820737:5820756|offset_116|444444&amp;v=5820612:5820956&amp;c=444444", "offset 70")</f>
        <v>offset 70</v>
      </c>
    </row>
    <row r="18953" customFormat="false" ht="12.8" hidden="false" customHeight="false" outlineLevel="0" collapsed="false">
      <c r="A18953" s="0" t="s">
        <v>12</v>
      </c>
      <c r="B18953" s="0" t="n">
        <v>5820756</v>
      </c>
      <c r="C18953" s="0" t="n">
        <v>5820776</v>
      </c>
      <c r="D18953" s="0" t="s">
        <v>63002</v>
      </c>
      <c r="E18953" s="0" t="s">
        <v>75</v>
      </c>
      <c r="F18953" s="0" t="s">
        <v>90</v>
      </c>
      <c r="G18953" s="0" t="s">
        <v>32</v>
      </c>
      <c r="H18953" s="0" t="n">
        <v>96</v>
      </c>
      <c r="I18953" s="0" t="s">
        <v>63009</v>
      </c>
      <c r="J18953" s="0" t="s">
        <v>63010</v>
      </c>
      <c r="K18953" s="0" t="s">
        <v>63011</v>
      </c>
      <c r="L18953" s="0" t="str">
        <f aca="false">HYPERLINK("https://www.ncbi.nlm.nih.gov/nuccore/CP000058.1?report=graph&amp;tracks=[key:gene_model_track,Options:GeneOnly]&amp;mk=5820813:5820832|offset_40|444444,5820783:5820802|offset_70|444444,5820757:5820776|offset_96|00cc00,5820737:5820756|offset_116|444444&amp;v=5820612:5820956&amp;c=444444", "offset 96")</f>
        <v>offset 96</v>
      </c>
    </row>
    <row r="18954" customFormat="false" ht="12.8" hidden="false" customHeight="false" outlineLevel="0" collapsed="false">
      <c r="A18954" s="0" t="s">
        <v>12</v>
      </c>
      <c r="B18954" s="0" t="n">
        <v>5820736</v>
      </c>
      <c r="C18954" s="0" t="n">
        <v>5820756</v>
      </c>
      <c r="D18954" s="0" t="s">
        <v>63002</v>
      </c>
      <c r="E18954" s="0" t="s">
        <v>75</v>
      </c>
      <c r="F18954" s="0" t="s">
        <v>90</v>
      </c>
      <c r="G18954" s="0" t="s">
        <v>16</v>
      </c>
      <c r="H18954" s="0" t="n">
        <v>116</v>
      </c>
      <c r="I18954" s="0" t="s">
        <v>63012</v>
      </c>
      <c r="J18954" s="0" t="s">
        <v>63013</v>
      </c>
      <c r="K18954" s="0" t="s">
        <v>63014</v>
      </c>
      <c r="L18954" s="0" t="str">
        <f aca="false">HYPERLINK("https://www.ncbi.nlm.nih.gov/nuccore/CP000058.1?report=graph&amp;tracks=[key:gene_model_track,Options:GeneOnly]&amp;mk=5820813:5820832|offset_40|444444,5820783:5820802|offset_70|444444,5820757:5820776|offset_96|444444,5820737:5820756|offset_116|00cc00&amp;v=5820612:5820956&amp;c=444444", "offset 116")</f>
        <v>offset 116</v>
      </c>
    </row>
    <row r="18955" customFormat="false" ht="12.8" hidden="false" customHeight="false" outlineLevel="0" collapsed="false">
      <c r="A18955" s="0" t="s">
        <v>12</v>
      </c>
      <c r="B18955" s="0" t="n">
        <v>5821197</v>
      </c>
      <c r="C18955" s="0" t="n">
        <v>5821217</v>
      </c>
      <c r="D18955" s="0" t="s">
        <v>63015</v>
      </c>
      <c r="E18955" s="0" t="s">
        <v>63016</v>
      </c>
      <c r="F18955" s="0" t="s">
        <v>15</v>
      </c>
      <c r="G18955" s="0" t="s">
        <v>20</v>
      </c>
      <c r="H18955" s="0" t="n">
        <v>7</v>
      </c>
      <c r="I18955" s="0" t="s">
        <v>63017</v>
      </c>
      <c r="J18955" s="0" t="s">
        <v>63018</v>
      </c>
      <c r="K18955" s="0" t="s">
        <v>63019</v>
      </c>
      <c r="L18955" s="0" t="str">
        <f aca="false">HYPERLINK("https://www.ncbi.nlm.nih.gov/nuccore/CP000058.1?report=graph&amp;tracks=[key:gene_model_track,Options:GeneOnly]&amp;mk=5821198:5821217|offset_7|00cc00,5821229:5821248|offset_38|444444,5821251:5821270|offset_60|444444,5821274:5821293|offset_83|444444&amp;v=5820997:5821493&amp;c=444444", "offset 7")</f>
        <v>offset 7</v>
      </c>
    </row>
    <row r="18956" customFormat="false" ht="12.8" hidden="false" customHeight="false" outlineLevel="0" collapsed="false">
      <c r="A18956" s="0" t="s">
        <v>12</v>
      </c>
      <c r="B18956" s="0" t="n">
        <v>5821228</v>
      </c>
      <c r="C18956" s="0" t="n">
        <v>5821248</v>
      </c>
      <c r="D18956" s="0" t="s">
        <v>63015</v>
      </c>
      <c r="E18956" s="0" t="s">
        <v>63016</v>
      </c>
      <c r="F18956" s="0" t="s">
        <v>15</v>
      </c>
      <c r="G18956" s="0" t="s">
        <v>20</v>
      </c>
      <c r="H18956" s="0" t="n">
        <v>38</v>
      </c>
      <c r="I18956" s="0" t="s">
        <v>63020</v>
      </c>
      <c r="J18956" s="0" t="s">
        <v>63021</v>
      </c>
      <c r="K18956" s="0" t="s">
        <v>63022</v>
      </c>
      <c r="L18956" s="0" t="str">
        <f aca="false">HYPERLINK("https://www.ncbi.nlm.nih.gov/nuccore/CP000058.1?report=graph&amp;tracks=[key:gene_model_track,Options:GeneOnly]&amp;mk=5821198:5821217|offset_7|444444,5821229:5821248|offset_38|00cc00,5821251:5821270|offset_60|444444,5821274:5821293|offset_83|444444&amp;v=5820997:5821493&amp;c=444444", "offset 38")</f>
        <v>offset 38</v>
      </c>
    </row>
    <row r="18957" customFormat="false" ht="12.8" hidden="false" customHeight="false" outlineLevel="0" collapsed="false">
      <c r="A18957" s="0" t="s">
        <v>12</v>
      </c>
      <c r="B18957" s="0" t="n">
        <v>5821250</v>
      </c>
      <c r="C18957" s="0" t="n">
        <v>5821270</v>
      </c>
      <c r="D18957" s="0" t="s">
        <v>63015</v>
      </c>
      <c r="E18957" s="0" t="s">
        <v>63016</v>
      </c>
      <c r="F18957" s="0" t="s">
        <v>15</v>
      </c>
      <c r="G18957" s="0" t="s">
        <v>20</v>
      </c>
      <c r="H18957" s="0" t="n">
        <v>60</v>
      </c>
      <c r="I18957" s="0" t="s">
        <v>63023</v>
      </c>
      <c r="J18957" s="0" t="s">
        <v>63024</v>
      </c>
      <c r="K18957" s="0" t="s">
        <v>63025</v>
      </c>
      <c r="L18957" s="0" t="str">
        <f aca="false">HYPERLINK("https://www.ncbi.nlm.nih.gov/nuccore/CP000058.1?report=graph&amp;tracks=[key:gene_model_track,Options:GeneOnly]&amp;mk=5821198:5821217|offset_7|444444,5821229:5821248|offset_38|444444,5821251:5821270|offset_60|00cc00,5821274:5821293|offset_83|444444&amp;v=5820997:5821493&amp;c=444444", "offset 60")</f>
        <v>offset 60</v>
      </c>
    </row>
    <row r="18958" customFormat="false" ht="12.8" hidden="false" customHeight="false" outlineLevel="0" collapsed="false">
      <c r="A18958" s="0" t="s">
        <v>12</v>
      </c>
      <c r="B18958" s="0" t="n">
        <v>5821273</v>
      </c>
      <c r="C18958" s="0" t="n">
        <v>5821293</v>
      </c>
      <c r="D18958" s="0" t="s">
        <v>63015</v>
      </c>
      <c r="E18958" s="0" t="s">
        <v>63016</v>
      </c>
      <c r="F18958" s="0" t="s">
        <v>15</v>
      </c>
      <c r="G18958" s="0" t="s">
        <v>32</v>
      </c>
      <c r="H18958" s="0" t="n">
        <v>83</v>
      </c>
      <c r="I18958" s="0" t="s">
        <v>63026</v>
      </c>
      <c r="J18958" s="0" t="s">
        <v>63027</v>
      </c>
      <c r="K18958" s="0" t="s">
        <v>63028</v>
      </c>
      <c r="L18958" s="0" t="str">
        <f aca="false">HYPERLINK("https://www.ncbi.nlm.nih.gov/nuccore/CP000058.1?report=graph&amp;tracks=[key:gene_model_track,Options:GeneOnly]&amp;mk=5821198:5821217|offset_7|444444,5821229:5821248|offset_38|444444,5821251:5821270|offset_60|444444,5821274:5821293|offset_83|00cc00&amp;v=5820997:5821493&amp;c=444444", "offset 83")</f>
        <v>offset 83</v>
      </c>
    </row>
    <row r="18959" customFormat="false" ht="12.8" hidden="false" customHeight="false" outlineLevel="0" collapsed="false">
      <c r="A18959" s="0" t="s">
        <v>12</v>
      </c>
      <c r="B18959" s="0" t="n">
        <v>5822928</v>
      </c>
      <c r="C18959" s="0" t="n">
        <v>5822948</v>
      </c>
      <c r="D18959" s="0" t="s">
        <v>63029</v>
      </c>
      <c r="E18959" s="0" t="s">
        <v>75</v>
      </c>
      <c r="F18959" s="0" t="s">
        <v>15</v>
      </c>
      <c r="G18959" s="0" t="s">
        <v>16</v>
      </c>
      <c r="H18959" s="0" t="n">
        <v>31</v>
      </c>
      <c r="I18959" s="0" t="s">
        <v>63030</v>
      </c>
      <c r="J18959" s="0" t="s">
        <v>63031</v>
      </c>
      <c r="K18959" s="0" t="s">
        <v>63032</v>
      </c>
      <c r="L18959" s="0" t="str">
        <f aca="false">HYPERLINK("https://www.ncbi.nlm.nih.gov/nuccore/CP000058.1?report=graph&amp;tracks=[key:gene_model_track,Options:GeneOnly]&amp;mk=5822929:5822948|offset_31|00cc00,5822960:5822979|offset_62|444444,5822981:5823000|offset_83|444444,5823014:5823033|offset_116|444444&amp;v=5822728:5823233&amp;c=444444", "offset 31")</f>
        <v>offset 31</v>
      </c>
    </row>
    <row r="18960" customFormat="false" ht="12.8" hidden="false" customHeight="false" outlineLevel="0" collapsed="false">
      <c r="A18960" s="0" t="s">
        <v>12</v>
      </c>
      <c r="B18960" s="0" t="n">
        <v>5822959</v>
      </c>
      <c r="C18960" s="0" t="n">
        <v>5822979</v>
      </c>
      <c r="D18960" s="0" t="s">
        <v>63029</v>
      </c>
      <c r="E18960" s="0" t="s">
        <v>75</v>
      </c>
      <c r="F18960" s="0" t="s">
        <v>15</v>
      </c>
      <c r="G18960" s="0" t="s">
        <v>20</v>
      </c>
      <c r="H18960" s="0" t="n">
        <v>62</v>
      </c>
      <c r="I18960" s="0" t="s">
        <v>63033</v>
      </c>
      <c r="J18960" s="0" t="s">
        <v>63034</v>
      </c>
      <c r="K18960" s="0" t="s">
        <v>63035</v>
      </c>
      <c r="L18960" s="0" t="str">
        <f aca="false">HYPERLINK("https://www.ncbi.nlm.nih.gov/nuccore/CP000058.1?report=graph&amp;tracks=[key:gene_model_track,Options:GeneOnly]&amp;mk=5822929:5822948|offset_31|444444,5822960:5822979|offset_62|00cc00,5822981:5823000|offset_83|444444,5823014:5823033|offset_116|444444&amp;v=5822728:5823233&amp;c=444444", "offset 62")</f>
        <v>offset 62</v>
      </c>
    </row>
    <row r="18961" customFormat="false" ht="12.8" hidden="false" customHeight="false" outlineLevel="0" collapsed="false">
      <c r="A18961" s="0" t="s">
        <v>12</v>
      </c>
      <c r="B18961" s="0" t="n">
        <v>5822980</v>
      </c>
      <c r="C18961" s="0" t="n">
        <v>5823000</v>
      </c>
      <c r="D18961" s="0" t="s">
        <v>63029</v>
      </c>
      <c r="E18961" s="0" t="s">
        <v>75</v>
      </c>
      <c r="F18961" s="0" t="s">
        <v>15</v>
      </c>
      <c r="G18961" s="0" t="s">
        <v>16</v>
      </c>
      <c r="H18961" s="0" t="n">
        <v>83</v>
      </c>
      <c r="I18961" s="0" t="s">
        <v>63036</v>
      </c>
      <c r="J18961" s="0" t="s">
        <v>63037</v>
      </c>
      <c r="K18961" s="0" t="s">
        <v>63038</v>
      </c>
      <c r="L18961" s="0" t="str">
        <f aca="false">HYPERLINK("https://www.ncbi.nlm.nih.gov/nuccore/CP000058.1?report=graph&amp;tracks=[key:gene_model_track,Options:GeneOnly]&amp;mk=5822929:5822948|offset_31|444444,5822960:5822979|offset_62|444444,5822981:5823000|offset_83|00cc00,5823014:5823033|offset_116|444444&amp;v=5822728:5823233&amp;c=444444", "offset 83")</f>
        <v>offset 83</v>
      </c>
    </row>
    <row r="18962" customFormat="false" ht="12.8" hidden="false" customHeight="false" outlineLevel="0" collapsed="false">
      <c r="A18962" s="0" t="s">
        <v>12</v>
      </c>
      <c r="B18962" s="0" t="n">
        <v>5823013</v>
      </c>
      <c r="C18962" s="0" t="n">
        <v>5823033</v>
      </c>
      <c r="D18962" s="0" t="s">
        <v>63029</v>
      </c>
      <c r="E18962" s="0" t="s">
        <v>75</v>
      </c>
      <c r="F18962" s="0" t="s">
        <v>15</v>
      </c>
      <c r="G18962" s="0" t="s">
        <v>32</v>
      </c>
      <c r="H18962" s="0" t="n">
        <v>116</v>
      </c>
      <c r="I18962" s="0" t="s">
        <v>63039</v>
      </c>
      <c r="J18962" s="0" t="s">
        <v>63040</v>
      </c>
      <c r="K18962" s="0" t="s">
        <v>63041</v>
      </c>
      <c r="L18962" s="0" t="str">
        <f aca="false">HYPERLINK("https://www.ncbi.nlm.nih.gov/nuccore/CP000058.1?report=graph&amp;tracks=[key:gene_model_track,Options:GeneOnly]&amp;mk=5822929:5822948|offset_31|444444,5822960:5822979|offset_62|444444,5822981:5823000|offset_83|444444,5823014:5823033|offset_116|00cc00&amp;v=5822728:5823233&amp;c=444444", "offset 116")</f>
        <v>offset 116</v>
      </c>
    </row>
    <row r="18963" customFormat="false" ht="12.8" hidden="false" customHeight="false" outlineLevel="0" collapsed="false">
      <c r="A18963" s="0" t="s">
        <v>12</v>
      </c>
      <c r="B18963" s="0" t="n">
        <v>5824379</v>
      </c>
      <c r="C18963" s="0" t="n">
        <v>5824399</v>
      </c>
      <c r="D18963" s="0" t="s">
        <v>63042</v>
      </c>
      <c r="E18963" s="0" t="s">
        <v>63043</v>
      </c>
      <c r="F18963" s="0" t="s">
        <v>15</v>
      </c>
      <c r="G18963" s="0" t="s">
        <v>32</v>
      </c>
      <c r="H18963" s="0" t="n">
        <v>1</v>
      </c>
      <c r="I18963" s="0" t="s">
        <v>63044</v>
      </c>
      <c r="J18963" s="0" t="s">
        <v>63045</v>
      </c>
      <c r="K18963" s="0" t="s">
        <v>63046</v>
      </c>
      <c r="L18963" s="0" t="str">
        <f aca="false">HYPERLINK("https://www.ncbi.nlm.nih.gov/nuccore/CP000058.1?report=graph&amp;tracks=[key:gene_model_track,Options:GeneOnly]&amp;mk=5824380:5824399|offset_1|00cc00,5824403:5824422|offset_24|444444,5824431:5824450|offset_52|444444,5824455:5824474|offset_76|444444&amp;v=5824179:5824674&amp;c=444444", "offset 1")</f>
        <v>offset 1</v>
      </c>
    </row>
    <row r="18964" customFormat="false" ht="12.8" hidden="false" customHeight="false" outlineLevel="0" collapsed="false">
      <c r="A18964" s="0" t="s">
        <v>12</v>
      </c>
      <c r="B18964" s="0" t="n">
        <v>5824402</v>
      </c>
      <c r="C18964" s="0" t="n">
        <v>5824422</v>
      </c>
      <c r="D18964" s="0" t="s">
        <v>63042</v>
      </c>
      <c r="E18964" s="0" t="s">
        <v>63043</v>
      </c>
      <c r="F18964" s="0" t="s">
        <v>15</v>
      </c>
      <c r="G18964" s="0" t="s">
        <v>36</v>
      </c>
      <c r="H18964" s="0" t="n">
        <v>24</v>
      </c>
      <c r="I18964" s="0" t="s">
        <v>63047</v>
      </c>
      <c r="J18964" s="0" t="s">
        <v>63048</v>
      </c>
      <c r="K18964" s="0" t="s">
        <v>63049</v>
      </c>
      <c r="L18964" s="0" t="str">
        <f aca="false">HYPERLINK("https://www.ncbi.nlm.nih.gov/nuccore/CP000058.1?report=graph&amp;tracks=[key:gene_model_track,Options:GeneOnly]&amp;mk=5824380:5824399|offset_1|444444,5824403:5824422|offset_24|00cc00,5824431:5824450|offset_52|444444,5824455:5824474|offset_76|444444&amp;v=5824179:5824674&amp;c=444444", "offset 24")</f>
        <v>offset 24</v>
      </c>
    </row>
    <row r="18965" customFormat="false" ht="12.8" hidden="false" customHeight="false" outlineLevel="0" collapsed="false">
      <c r="A18965" s="0" t="s">
        <v>12</v>
      </c>
      <c r="B18965" s="0" t="n">
        <v>5824430</v>
      </c>
      <c r="C18965" s="0" t="n">
        <v>5824450</v>
      </c>
      <c r="D18965" s="0" t="s">
        <v>63042</v>
      </c>
      <c r="E18965" s="0" t="s">
        <v>63043</v>
      </c>
      <c r="F18965" s="0" t="s">
        <v>15</v>
      </c>
      <c r="G18965" s="0" t="s">
        <v>16</v>
      </c>
      <c r="H18965" s="0" t="n">
        <v>52</v>
      </c>
      <c r="I18965" s="0" t="s">
        <v>63050</v>
      </c>
      <c r="J18965" s="0" t="s">
        <v>63051</v>
      </c>
      <c r="K18965" s="0" t="s">
        <v>63052</v>
      </c>
      <c r="L18965" s="0" t="str">
        <f aca="false">HYPERLINK("https://www.ncbi.nlm.nih.gov/nuccore/CP000058.1?report=graph&amp;tracks=[key:gene_model_track,Options:GeneOnly]&amp;mk=5824380:5824399|offset_1|444444,5824403:5824422|offset_24|444444,5824431:5824450|offset_52|00cc00,5824455:5824474|offset_76|444444&amp;v=5824179:5824674&amp;c=444444", "offset 52")</f>
        <v>offset 52</v>
      </c>
    </row>
    <row r="18966" customFormat="false" ht="12.8" hidden="false" customHeight="false" outlineLevel="0" collapsed="false">
      <c r="A18966" s="0" t="s">
        <v>12</v>
      </c>
      <c r="B18966" s="0" t="n">
        <v>5824454</v>
      </c>
      <c r="C18966" s="0" t="n">
        <v>5824474</v>
      </c>
      <c r="D18966" s="0" t="s">
        <v>63042</v>
      </c>
      <c r="E18966" s="0" t="s">
        <v>63043</v>
      </c>
      <c r="F18966" s="0" t="s">
        <v>15</v>
      </c>
      <c r="G18966" s="0" t="s">
        <v>32</v>
      </c>
      <c r="H18966" s="0" t="n">
        <v>76</v>
      </c>
      <c r="I18966" s="0" t="s">
        <v>63053</v>
      </c>
      <c r="J18966" s="0" t="s">
        <v>63054</v>
      </c>
      <c r="K18966" s="0" t="s">
        <v>63055</v>
      </c>
      <c r="L18966" s="0" t="str">
        <f aca="false">HYPERLINK("https://www.ncbi.nlm.nih.gov/nuccore/CP000058.1?report=graph&amp;tracks=[key:gene_model_track,Options:GeneOnly]&amp;mk=5824380:5824399|offset_1|444444,5824403:5824422|offset_24|444444,5824431:5824450|offset_52|444444,5824455:5824474|offset_76|00cc00&amp;v=5824179:5824674&amp;c=444444", "offset 76")</f>
        <v>offset 76</v>
      </c>
    </row>
    <row r="18967" customFormat="false" ht="12.8" hidden="false" customHeight="false" outlineLevel="0" collapsed="false">
      <c r="A18967" s="0" t="s">
        <v>12</v>
      </c>
      <c r="B18967" s="0" t="n">
        <v>5826387</v>
      </c>
      <c r="C18967" s="0" t="n">
        <v>5826407</v>
      </c>
      <c r="D18967" s="0" t="s">
        <v>63056</v>
      </c>
      <c r="E18967" s="0" t="s">
        <v>75</v>
      </c>
      <c r="F18967" s="0" t="s">
        <v>90</v>
      </c>
      <c r="G18967" s="0" t="s">
        <v>32</v>
      </c>
      <c r="H18967" s="0" t="n">
        <v>10</v>
      </c>
      <c r="I18967" s="0" t="s">
        <v>63057</v>
      </c>
      <c r="J18967" s="0" t="s">
        <v>63058</v>
      </c>
      <c r="K18967" s="0" t="s">
        <v>63059</v>
      </c>
      <c r="L18967" s="0" t="str">
        <f aca="false">HYPERLINK("https://www.ncbi.nlm.nih.gov/nuccore/CP000058.1?report=graph&amp;tracks=[key:gene_model_track,Options:GeneOnly]&amp;mk=5826388:5826407|offset_10|00cc00,5826362:5826381|offset_36|444444,5826282:5826301|offset_116|444444,5826167:5826186|offset_231|444444&amp;v=5826187:5826386&amp;c=444444", "offset 10")</f>
        <v>offset 10</v>
      </c>
    </row>
    <row r="18968" customFormat="false" ht="12.8" hidden="false" customHeight="false" outlineLevel="0" collapsed="false">
      <c r="A18968" s="0" t="s">
        <v>12</v>
      </c>
      <c r="B18968" s="0" t="n">
        <v>5826361</v>
      </c>
      <c r="C18968" s="0" t="n">
        <v>5826381</v>
      </c>
      <c r="D18968" s="0" t="s">
        <v>63056</v>
      </c>
      <c r="E18968" s="0" t="s">
        <v>75</v>
      </c>
      <c r="F18968" s="0" t="s">
        <v>90</v>
      </c>
      <c r="G18968" s="0" t="s">
        <v>32</v>
      </c>
      <c r="H18968" s="0" t="n">
        <v>36</v>
      </c>
      <c r="I18968" s="0" t="s">
        <v>63060</v>
      </c>
      <c r="J18968" s="0" t="s">
        <v>63061</v>
      </c>
      <c r="K18968" s="0" t="s">
        <v>63062</v>
      </c>
      <c r="L18968" s="0" t="str">
        <f aca="false">HYPERLINK("https://www.ncbi.nlm.nih.gov/nuccore/CP000058.1?report=graph&amp;tracks=[key:gene_model_track,Options:GeneOnly]&amp;mk=5826388:5826407|offset_10|444444,5826362:5826381|offset_36|00cc00,5826282:5826301|offset_116|444444,5826167:5826186|offset_231|444444&amp;v=5826187:5826386&amp;c=444444", "offset 36")</f>
        <v>offset 36</v>
      </c>
    </row>
    <row r="18969" customFormat="false" ht="12.8" hidden="false" customHeight="false" outlineLevel="0" collapsed="false">
      <c r="A18969" s="0" t="s">
        <v>12</v>
      </c>
      <c r="B18969" s="0" t="n">
        <v>5826281</v>
      </c>
      <c r="C18969" s="0" t="n">
        <v>5826301</v>
      </c>
      <c r="D18969" s="0" t="s">
        <v>63056</v>
      </c>
      <c r="E18969" s="0" t="s">
        <v>75</v>
      </c>
      <c r="F18969" s="0" t="s">
        <v>90</v>
      </c>
      <c r="G18969" s="0" t="s">
        <v>16</v>
      </c>
      <c r="H18969" s="0" t="n">
        <v>116</v>
      </c>
      <c r="I18969" s="0" t="s">
        <v>63063</v>
      </c>
      <c r="J18969" s="0" t="s">
        <v>63064</v>
      </c>
      <c r="K18969" s="0" t="s">
        <v>63065</v>
      </c>
      <c r="L18969" s="0" t="str">
        <f aca="false">HYPERLINK("https://www.ncbi.nlm.nih.gov/nuccore/CP000058.1?report=graph&amp;tracks=[key:gene_model_track,Options:GeneOnly]&amp;mk=5826388:5826407|offset_10|444444,5826362:5826381|offset_36|444444,5826282:5826301|offset_116|00cc00,5826167:5826186|offset_231|444444&amp;v=5826187:5826386&amp;c=444444", "offset 116")</f>
        <v>offset 116</v>
      </c>
    </row>
    <row r="18970" customFormat="false" ht="12.8" hidden="false" customHeight="false" outlineLevel="0" collapsed="false">
      <c r="A18970" s="0" t="s">
        <v>12</v>
      </c>
      <c r="B18970" s="0" t="n">
        <v>5826166</v>
      </c>
      <c r="C18970" s="0" t="n">
        <v>5826186</v>
      </c>
      <c r="D18970" s="0" t="s">
        <v>63056</v>
      </c>
      <c r="E18970" s="0" t="s">
        <v>75</v>
      </c>
      <c r="F18970" s="0" t="s">
        <v>90</v>
      </c>
      <c r="G18970" s="0" t="s">
        <v>20</v>
      </c>
      <c r="H18970" s="0" t="n">
        <v>231</v>
      </c>
      <c r="I18970" s="0" t="s">
        <v>63066</v>
      </c>
      <c r="J18970" s="0" t="s">
        <v>63067</v>
      </c>
      <c r="K18970" s="0" t="s">
        <v>63068</v>
      </c>
      <c r="L18970" s="0" t="str">
        <f aca="false">HYPERLINK("https://www.ncbi.nlm.nih.gov/nuccore/CP000058.1?report=graph&amp;tracks=[key:gene_model_track,Options:GeneOnly]&amp;mk=5826388:5826407|offset_10|444444,5826362:5826381|offset_36|444444,5826282:5826301|offset_116|444444,5826167:5826186|offset_231|00cc00&amp;v=5826187:5826386&amp;c=444444", "offset 231")</f>
        <v>offset 231</v>
      </c>
    </row>
    <row r="18971" customFormat="false" ht="12.8" hidden="false" customHeight="false" outlineLevel="0" collapsed="false">
      <c r="A18971" s="0" t="s">
        <v>12</v>
      </c>
      <c r="B18971" s="0" t="n">
        <v>5827642</v>
      </c>
      <c r="C18971" s="0" t="n">
        <v>5827662</v>
      </c>
      <c r="D18971" s="0" t="s">
        <v>63069</v>
      </c>
      <c r="E18971" s="0" t="s">
        <v>75</v>
      </c>
      <c r="F18971" s="0" t="s">
        <v>90</v>
      </c>
      <c r="G18971" s="0" t="s">
        <v>36</v>
      </c>
      <c r="H18971" s="0" t="n">
        <v>0</v>
      </c>
      <c r="I18971" s="0" t="s">
        <v>63070</v>
      </c>
      <c r="J18971" s="0" t="s">
        <v>63071</v>
      </c>
      <c r="K18971" s="0" t="s">
        <v>63072</v>
      </c>
      <c r="L18971" s="0" t="str">
        <f aca="false">HYPERLINK("https://www.ncbi.nlm.nih.gov/nuccore/CP000058.1?report=graph&amp;tracks=[key:gene_model_track,Options:GeneOnly]&amp;mk=5827643:5827662|offset_0|00cc00,5827616:5827635|offset_27|444444,5827595:5827614|offset_48|444444,5827561:5827580|offset_82|444444&amp;v=5827442:5827780&amp;c=444444", "offset 0")</f>
        <v>offset 0</v>
      </c>
    </row>
    <row r="18972" customFormat="false" ht="12.8" hidden="false" customHeight="false" outlineLevel="0" collapsed="false">
      <c r="A18972" s="0" t="s">
        <v>12</v>
      </c>
      <c r="B18972" s="0" t="n">
        <v>5827615</v>
      </c>
      <c r="C18972" s="0" t="n">
        <v>5827635</v>
      </c>
      <c r="D18972" s="0" t="s">
        <v>63069</v>
      </c>
      <c r="E18972" s="0" t="s">
        <v>75</v>
      </c>
      <c r="F18972" s="0" t="s">
        <v>90</v>
      </c>
      <c r="G18972" s="0" t="s">
        <v>36</v>
      </c>
      <c r="H18972" s="0" t="n">
        <v>27</v>
      </c>
      <c r="I18972" s="0" t="s">
        <v>63073</v>
      </c>
      <c r="J18972" s="0" t="s">
        <v>63074</v>
      </c>
      <c r="K18972" s="0" t="s">
        <v>63075</v>
      </c>
      <c r="L18972" s="0" t="str">
        <f aca="false">HYPERLINK("https://www.ncbi.nlm.nih.gov/nuccore/CP000058.1?report=graph&amp;tracks=[key:gene_model_track,Options:GeneOnly]&amp;mk=5827643:5827662|offset_0|444444,5827616:5827635|offset_27|00cc00,5827595:5827614|offset_48|444444,5827561:5827580|offset_82|444444&amp;v=5827442:5827780&amp;c=444444", "offset 27")</f>
        <v>offset 27</v>
      </c>
    </row>
    <row r="18973" customFormat="false" ht="12.8" hidden="false" customHeight="false" outlineLevel="0" collapsed="false">
      <c r="A18973" s="0" t="s">
        <v>12</v>
      </c>
      <c r="B18973" s="0" t="n">
        <v>5827594</v>
      </c>
      <c r="C18973" s="0" t="n">
        <v>5827614</v>
      </c>
      <c r="D18973" s="0" t="s">
        <v>63069</v>
      </c>
      <c r="E18973" s="0" t="s">
        <v>75</v>
      </c>
      <c r="F18973" s="0" t="s">
        <v>90</v>
      </c>
      <c r="G18973" s="0" t="s">
        <v>16</v>
      </c>
      <c r="H18973" s="0" t="n">
        <v>48</v>
      </c>
      <c r="I18973" s="0" t="s">
        <v>63076</v>
      </c>
      <c r="J18973" s="0" t="s">
        <v>63077</v>
      </c>
      <c r="K18973" s="0" t="s">
        <v>63078</v>
      </c>
      <c r="L18973" s="0" t="str">
        <f aca="false">HYPERLINK("https://www.ncbi.nlm.nih.gov/nuccore/CP000058.1?report=graph&amp;tracks=[key:gene_model_track,Options:GeneOnly]&amp;mk=5827643:5827662|offset_0|444444,5827616:5827635|offset_27|444444,5827595:5827614|offset_48|00cc00,5827561:5827580|offset_82|444444&amp;v=5827442:5827780&amp;c=444444", "offset 48")</f>
        <v>offset 48</v>
      </c>
    </row>
    <row r="18974" customFormat="false" ht="12.8" hidden="false" customHeight="false" outlineLevel="0" collapsed="false">
      <c r="A18974" s="0" t="s">
        <v>12</v>
      </c>
      <c r="B18974" s="0" t="n">
        <v>5827560</v>
      </c>
      <c r="C18974" s="0" t="n">
        <v>5827580</v>
      </c>
      <c r="D18974" s="0" t="s">
        <v>63069</v>
      </c>
      <c r="E18974" s="0" t="s">
        <v>75</v>
      </c>
      <c r="F18974" s="0" t="s">
        <v>90</v>
      </c>
      <c r="G18974" s="0" t="s">
        <v>36</v>
      </c>
      <c r="H18974" s="0" t="n">
        <v>82</v>
      </c>
      <c r="I18974" s="0" t="s">
        <v>63079</v>
      </c>
      <c r="J18974" s="0" t="s">
        <v>63080</v>
      </c>
      <c r="K18974" s="0" t="s">
        <v>63081</v>
      </c>
      <c r="L18974" s="0" t="str">
        <f aca="false">HYPERLINK("https://www.ncbi.nlm.nih.gov/nuccore/CP000058.1?report=graph&amp;tracks=[key:gene_model_track,Options:GeneOnly]&amp;mk=5827643:5827662|offset_0|444444,5827616:5827635|offset_27|444444,5827595:5827614|offset_48|444444,5827561:5827580|offset_82|00cc00&amp;v=5827442:5827780&amp;c=444444", "offset 82")</f>
        <v>offset 82</v>
      </c>
    </row>
    <row r="18975" customFormat="false" ht="12.8" hidden="false" customHeight="false" outlineLevel="0" collapsed="false">
      <c r="A18975" s="0" t="s">
        <v>12</v>
      </c>
      <c r="B18975" s="0" t="n">
        <v>5829252</v>
      </c>
      <c r="C18975" s="0" t="n">
        <v>5829272</v>
      </c>
      <c r="D18975" s="0" t="s">
        <v>63082</v>
      </c>
      <c r="E18975" s="0" t="s">
        <v>75</v>
      </c>
      <c r="F18975" s="0" t="s">
        <v>90</v>
      </c>
      <c r="G18975" s="0" t="s">
        <v>36</v>
      </c>
      <c r="H18975" s="0" t="n">
        <v>6</v>
      </c>
      <c r="I18975" s="0" t="s">
        <v>63083</v>
      </c>
      <c r="J18975" s="0" t="s">
        <v>63084</v>
      </c>
      <c r="K18975" s="0" t="s">
        <v>63085</v>
      </c>
      <c r="L18975" s="0" t="str">
        <f aca="false">HYPERLINK("https://www.ncbi.nlm.nih.gov/nuccore/CP000058.1?report=graph&amp;tracks=[key:gene_model_track,Options:GeneOnly]&amp;mk=5829253:5829272|offset_6|00cc00,5829232:5829251|offset_27|444444,5829203:5829222|offset_56|444444,5829161:5829180|offset_98|444444&amp;v=5829052:5829380&amp;c=444444", "offset 6")</f>
        <v>offset 6</v>
      </c>
    </row>
    <row r="18976" customFormat="false" ht="12.8" hidden="false" customHeight="false" outlineLevel="0" collapsed="false">
      <c r="A18976" s="0" t="s">
        <v>12</v>
      </c>
      <c r="B18976" s="0" t="n">
        <v>5829231</v>
      </c>
      <c r="C18976" s="0" t="n">
        <v>5829251</v>
      </c>
      <c r="D18976" s="0" t="s">
        <v>63082</v>
      </c>
      <c r="E18976" s="0" t="s">
        <v>75</v>
      </c>
      <c r="F18976" s="0" t="s">
        <v>90</v>
      </c>
      <c r="G18976" s="0" t="s">
        <v>32</v>
      </c>
      <c r="H18976" s="0" t="n">
        <v>27</v>
      </c>
      <c r="I18976" s="0" t="s">
        <v>63086</v>
      </c>
      <c r="J18976" s="0" t="s">
        <v>63087</v>
      </c>
      <c r="K18976" s="0" t="s">
        <v>63088</v>
      </c>
      <c r="L18976" s="0" t="str">
        <f aca="false">HYPERLINK("https://www.ncbi.nlm.nih.gov/nuccore/CP000058.1?report=graph&amp;tracks=[key:gene_model_track,Options:GeneOnly]&amp;mk=5829253:5829272|offset_6|444444,5829232:5829251|offset_27|00cc00,5829203:5829222|offset_56|444444,5829161:5829180|offset_98|444444&amp;v=5829052:5829380&amp;c=444444", "offset 27")</f>
        <v>offset 27</v>
      </c>
    </row>
    <row r="18977" customFormat="false" ht="12.8" hidden="false" customHeight="false" outlineLevel="0" collapsed="false">
      <c r="A18977" s="0" t="s">
        <v>12</v>
      </c>
      <c r="B18977" s="0" t="n">
        <v>5829202</v>
      </c>
      <c r="C18977" s="0" t="n">
        <v>5829222</v>
      </c>
      <c r="D18977" s="0" t="s">
        <v>63082</v>
      </c>
      <c r="E18977" s="0" t="s">
        <v>75</v>
      </c>
      <c r="F18977" s="0" t="s">
        <v>90</v>
      </c>
      <c r="G18977" s="0" t="s">
        <v>36</v>
      </c>
      <c r="H18977" s="0" t="n">
        <v>56</v>
      </c>
      <c r="I18977" s="0" t="s">
        <v>63089</v>
      </c>
      <c r="J18977" s="0" t="s">
        <v>63090</v>
      </c>
      <c r="K18977" s="0" t="s">
        <v>63091</v>
      </c>
      <c r="L18977" s="0" t="str">
        <f aca="false">HYPERLINK("https://www.ncbi.nlm.nih.gov/nuccore/CP000058.1?report=graph&amp;tracks=[key:gene_model_track,Options:GeneOnly]&amp;mk=5829253:5829272|offset_6|444444,5829232:5829251|offset_27|444444,5829203:5829222|offset_56|00cc00,5829161:5829180|offset_98|444444&amp;v=5829052:5829380&amp;c=444444", "offset 56")</f>
        <v>offset 56</v>
      </c>
    </row>
    <row r="18978" customFormat="false" ht="12.8" hidden="false" customHeight="false" outlineLevel="0" collapsed="false">
      <c r="A18978" s="0" t="s">
        <v>12</v>
      </c>
      <c r="B18978" s="0" t="n">
        <v>5829160</v>
      </c>
      <c r="C18978" s="0" t="n">
        <v>5829180</v>
      </c>
      <c r="D18978" s="0" t="s">
        <v>63082</v>
      </c>
      <c r="E18978" s="0" t="s">
        <v>75</v>
      </c>
      <c r="F18978" s="0" t="s">
        <v>90</v>
      </c>
      <c r="G18978" s="0" t="s">
        <v>32</v>
      </c>
      <c r="H18978" s="0" t="n">
        <v>98</v>
      </c>
      <c r="I18978" s="0" t="s">
        <v>63092</v>
      </c>
      <c r="J18978" s="0" t="s">
        <v>63093</v>
      </c>
      <c r="K18978" s="0" t="s">
        <v>63094</v>
      </c>
      <c r="L18978" s="0" t="str">
        <f aca="false">HYPERLINK("https://www.ncbi.nlm.nih.gov/nuccore/CP000058.1?report=graph&amp;tracks=[key:gene_model_track,Options:GeneOnly]&amp;mk=5829253:5829272|offset_6|444444,5829232:5829251|offset_27|444444,5829203:5829222|offset_56|444444,5829161:5829180|offset_98|00cc00&amp;v=5829052:5829380&amp;c=444444", "offset 98")</f>
        <v>offset 98</v>
      </c>
    </row>
    <row r="18979" customFormat="false" ht="12.8" hidden="false" customHeight="false" outlineLevel="0" collapsed="false">
      <c r="A18979" s="0" t="s">
        <v>12</v>
      </c>
      <c r="B18979" s="0" t="n">
        <v>5829289</v>
      </c>
      <c r="C18979" s="0" t="n">
        <v>5829309</v>
      </c>
      <c r="D18979" s="0" t="s">
        <v>63095</v>
      </c>
      <c r="E18979" s="0" t="s">
        <v>75</v>
      </c>
      <c r="F18979" s="0" t="s">
        <v>15</v>
      </c>
      <c r="G18979" s="0" t="s">
        <v>36</v>
      </c>
      <c r="H18979" s="0" t="n">
        <v>0</v>
      </c>
      <c r="I18979" s="0" t="s">
        <v>63096</v>
      </c>
      <c r="J18979" s="0" t="s">
        <v>63097</v>
      </c>
      <c r="K18979" s="0" t="s">
        <v>63098</v>
      </c>
      <c r="L18979" s="0" t="str">
        <f aca="false">HYPERLINK("https://www.ncbi.nlm.nih.gov/nuccore/CP000058.1?report=graph&amp;tracks=[key:gene_model_track,Options:GeneOnly]&amp;mk=5829290:5829309|offset_0|00cc00,5829326:5829345|offset_36|444444,5829356:5829375|offset_66|444444,5829380:5829399|offset_90|444444&amp;v=5829089:5829599&amp;c=444444", "offset 0")</f>
        <v>offset 0</v>
      </c>
    </row>
    <row r="18980" customFormat="false" ht="12.8" hidden="false" customHeight="false" outlineLevel="0" collapsed="false">
      <c r="A18980" s="0" t="s">
        <v>12</v>
      </c>
      <c r="B18980" s="0" t="n">
        <v>5829325</v>
      </c>
      <c r="C18980" s="0" t="n">
        <v>5829345</v>
      </c>
      <c r="D18980" s="0" t="s">
        <v>63095</v>
      </c>
      <c r="E18980" s="0" t="s">
        <v>75</v>
      </c>
      <c r="F18980" s="0" t="s">
        <v>15</v>
      </c>
      <c r="G18980" s="0" t="s">
        <v>32</v>
      </c>
      <c r="H18980" s="0" t="n">
        <v>36</v>
      </c>
      <c r="I18980" s="0" t="s">
        <v>63099</v>
      </c>
      <c r="J18980" s="0" t="s">
        <v>63100</v>
      </c>
      <c r="K18980" s="0" t="s">
        <v>63101</v>
      </c>
      <c r="L18980" s="0" t="str">
        <f aca="false">HYPERLINK("https://www.ncbi.nlm.nih.gov/nuccore/CP000058.1?report=graph&amp;tracks=[key:gene_model_track,Options:GeneOnly]&amp;mk=5829290:5829309|offset_0|444444,5829326:5829345|offset_36|00cc00,5829356:5829375|offset_66|444444,5829380:5829399|offset_90|444444&amp;v=5829089:5829599&amp;c=444444", "offset 36")</f>
        <v>offset 36</v>
      </c>
    </row>
    <row r="18981" customFormat="false" ht="12.8" hidden="false" customHeight="false" outlineLevel="0" collapsed="false">
      <c r="A18981" s="0" t="s">
        <v>12</v>
      </c>
      <c r="B18981" s="0" t="n">
        <v>5829355</v>
      </c>
      <c r="C18981" s="0" t="n">
        <v>5829375</v>
      </c>
      <c r="D18981" s="0" t="s">
        <v>63095</v>
      </c>
      <c r="E18981" s="0" t="s">
        <v>75</v>
      </c>
      <c r="F18981" s="0" t="s">
        <v>15</v>
      </c>
      <c r="G18981" s="0" t="s">
        <v>32</v>
      </c>
      <c r="H18981" s="0" t="n">
        <v>66</v>
      </c>
      <c r="I18981" s="0" t="s">
        <v>63102</v>
      </c>
      <c r="J18981" s="0" t="s">
        <v>63103</v>
      </c>
      <c r="K18981" s="0" t="s">
        <v>63104</v>
      </c>
      <c r="L18981" s="0" t="str">
        <f aca="false">HYPERLINK("https://www.ncbi.nlm.nih.gov/nuccore/CP000058.1?report=graph&amp;tracks=[key:gene_model_track,Options:GeneOnly]&amp;mk=5829290:5829309|offset_0|444444,5829326:5829345|offset_36|444444,5829356:5829375|offset_66|00cc00,5829380:5829399|offset_90|444444&amp;v=5829089:5829599&amp;c=444444", "offset 66")</f>
        <v>offset 66</v>
      </c>
    </row>
    <row r="18982" customFormat="false" ht="12.8" hidden="false" customHeight="false" outlineLevel="0" collapsed="false">
      <c r="A18982" s="0" t="s">
        <v>12</v>
      </c>
      <c r="B18982" s="0" t="n">
        <v>5829379</v>
      </c>
      <c r="C18982" s="0" t="n">
        <v>5829399</v>
      </c>
      <c r="D18982" s="0" t="s">
        <v>63095</v>
      </c>
      <c r="E18982" s="0" t="s">
        <v>75</v>
      </c>
      <c r="F18982" s="0" t="s">
        <v>15</v>
      </c>
      <c r="G18982" s="0" t="s">
        <v>20</v>
      </c>
      <c r="H18982" s="0" t="n">
        <v>90</v>
      </c>
      <c r="I18982" s="0" t="s">
        <v>63105</v>
      </c>
      <c r="J18982" s="0" t="s">
        <v>63106</v>
      </c>
      <c r="K18982" s="0" t="s">
        <v>63107</v>
      </c>
      <c r="L18982" s="0" t="str">
        <f aca="false">HYPERLINK("https://www.ncbi.nlm.nih.gov/nuccore/CP000058.1?report=graph&amp;tracks=[key:gene_model_track,Options:GeneOnly]&amp;mk=5829290:5829309|offset_0|444444,5829326:5829345|offset_36|444444,5829356:5829375|offset_66|444444,5829380:5829399|offset_90|00cc00&amp;v=5829089:5829599&amp;c=444444", "offset 90")</f>
        <v>offset 90</v>
      </c>
    </row>
    <row r="18983" customFormat="false" ht="12.8" hidden="false" customHeight="false" outlineLevel="0" collapsed="false">
      <c r="A18983" s="0" t="s">
        <v>12</v>
      </c>
      <c r="B18983" s="0" t="n">
        <v>5830009</v>
      </c>
      <c r="C18983" s="0" t="n">
        <v>5830029</v>
      </c>
      <c r="D18983" s="0" t="s">
        <v>63108</v>
      </c>
      <c r="E18983" s="0" t="s">
        <v>75</v>
      </c>
      <c r="F18983" s="0" t="s">
        <v>15</v>
      </c>
      <c r="G18983" s="0" t="s">
        <v>16</v>
      </c>
      <c r="H18983" s="0" t="n">
        <v>7</v>
      </c>
      <c r="I18983" s="0" t="s">
        <v>63109</v>
      </c>
      <c r="J18983" s="0" t="s">
        <v>63110</v>
      </c>
      <c r="K18983" s="0" t="s">
        <v>63111</v>
      </c>
      <c r="L18983" s="0" t="str">
        <f aca="false">HYPERLINK("https://www.ncbi.nlm.nih.gov/nuccore/CP000058.1?report=graph&amp;tracks=[key:gene_model_track,Options:GeneOnly]&amp;mk=5830010:5830029|offset_7|00cc00,5830044:5830063|offset_41|444444,5830073:5830092|offset_70|444444,5830094:5830113|offset_91|444444&amp;v=5829809:5830313&amp;c=444444", "offset 7")</f>
        <v>offset 7</v>
      </c>
    </row>
    <row r="18984" customFormat="false" ht="12.8" hidden="false" customHeight="false" outlineLevel="0" collapsed="false">
      <c r="A18984" s="0" t="s">
        <v>12</v>
      </c>
      <c r="B18984" s="0" t="n">
        <v>5830043</v>
      </c>
      <c r="C18984" s="0" t="n">
        <v>5830063</v>
      </c>
      <c r="D18984" s="0" t="s">
        <v>63108</v>
      </c>
      <c r="E18984" s="0" t="s">
        <v>75</v>
      </c>
      <c r="F18984" s="0" t="s">
        <v>15</v>
      </c>
      <c r="G18984" s="0" t="s">
        <v>32</v>
      </c>
      <c r="H18984" s="0" t="n">
        <v>41</v>
      </c>
      <c r="I18984" s="0" t="s">
        <v>63112</v>
      </c>
      <c r="J18984" s="0" t="s">
        <v>63113</v>
      </c>
      <c r="K18984" s="0" t="s">
        <v>63114</v>
      </c>
      <c r="L18984" s="0" t="str">
        <f aca="false">HYPERLINK("https://www.ncbi.nlm.nih.gov/nuccore/CP000058.1?report=graph&amp;tracks=[key:gene_model_track,Options:GeneOnly]&amp;mk=5830010:5830029|offset_7|444444,5830044:5830063|offset_41|00cc00,5830073:5830092|offset_70|444444,5830094:5830113|offset_91|444444&amp;v=5829809:5830313&amp;c=444444", "offset 41")</f>
        <v>offset 41</v>
      </c>
    </row>
    <row r="18985" customFormat="false" ht="12.8" hidden="false" customHeight="false" outlineLevel="0" collapsed="false">
      <c r="A18985" s="0" t="s">
        <v>12</v>
      </c>
      <c r="B18985" s="0" t="n">
        <v>5830072</v>
      </c>
      <c r="C18985" s="0" t="n">
        <v>5830092</v>
      </c>
      <c r="D18985" s="0" t="s">
        <v>63108</v>
      </c>
      <c r="E18985" s="0" t="s">
        <v>75</v>
      </c>
      <c r="F18985" s="0" t="s">
        <v>15</v>
      </c>
      <c r="G18985" s="0" t="s">
        <v>20</v>
      </c>
      <c r="H18985" s="0" t="n">
        <v>70</v>
      </c>
      <c r="I18985" s="0" t="s">
        <v>63115</v>
      </c>
      <c r="J18985" s="0" t="s">
        <v>63116</v>
      </c>
      <c r="K18985" s="0" t="s">
        <v>63117</v>
      </c>
      <c r="L18985" s="0" t="str">
        <f aca="false">HYPERLINK("https://www.ncbi.nlm.nih.gov/nuccore/CP000058.1?report=graph&amp;tracks=[key:gene_model_track,Options:GeneOnly]&amp;mk=5830010:5830029|offset_7|444444,5830044:5830063|offset_41|444444,5830073:5830092|offset_70|00cc00,5830094:5830113|offset_91|444444&amp;v=5829809:5830313&amp;c=444444", "offset 70")</f>
        <v>offset 70</v>
      </c>
    </row>
    <row r="18986" customFormat="false" ht="12.8" hidden="false" customHeight="false" outlineLevel="0" collapsed="false">
      <c r="A18986" s="0" t="s">
        <v>12</v>
      </c>
      <c r="B18986" s="0" t="n">
        <v>5830093</v>
      </c>
      <c r="C18986" s="0" t="n">
        <v>5830113</v>
      </c>
      <c r="D18986" s="0" t="s">
        <v>63108</v>
      </c>
      <c r="E18986" s="0" t="s">
        <v>75</v>
      </c>
      <c r="F18986" s="0" t="s">
        <v>15</v>
      </c>
      <c r="G18986" s="0" t="s">
        <v>16</v>
      </c>
      <c r="H18986" s="0" t="n">
        <v>91</v>
      </c>
      <c r="I18986" s="0" t="s">
        <v>63118</v>
      </c>
      <c r="J18986" s="0" t="s">
        <v>63119</v>
      </c>
      <c r="K18986" s="0" t="s">
        <v>63120</v>
      </c>
      <c r="L18986" s="0" t="str">
        <f aca="false">HYPERLINK("https://www.ncbi.nlm.nih.gov/nuccore/CP000058.1?report=graph&amp;tracks=[key:gene_model_track,Options:GeneOnly]&amp;mk=5830010:5830029|offset_7|444444,5830044:5830063|offset_41|444444,5830073:5830092|offset_70|444444,5830094:5830113|offset_91|00cc00&amp;v=5829809:5830313&amp;c=444444", "offset 91")</f>
        <v>offset 91</v>
      </c>
    </row>
    <row r="18987" customFormat="false" ht="12.8" hidden="false" customHeight="false" outlineLevel="0" collapsed="false">
      <c r="A18987" s="0" t="s">
        <v>12</v>
      </c>
      <c r="B18987" s="0" t="n">
        <v>5830471</v>
      </c>
      <c r="C18987" s="0" t="n">
        <v>5830491</v>
      </c>
      <c r="D18987" s="0" t="s">
        <v>63121</v>
      </c>
      <c r="E18987" s="0" t="s">
        <v>75</v>
      </c>
      <c r="F18987" s="0" t="s">
        <v>15</v>
      </c>
      <c r="G18987" s="0" t="s">
        <v>16</v>
      </c>
      <c r="H18987" s="0" t="n">
        <v>7</v>
      </c>
      <c r="I18987" s="0" t="s">
        <v>63122</v>
      </c>
      <c r="J18987" s="0" t="s">
        <v>63123</v>
      </c>
      <c r="K18987" s="0" t="s">
        <v>63124</v>
      </c>
      <c r="L18987" s="0" t="str">
        <f aca="false">HYPERLINK("https://www.ncbi.nlm.nih.gov/nuccore/CP000058.1?report=graph&amp;tracks=[key:gene_model_track,Options:GeneOnly]&amp;mk=5830472:5830491|offset_7|00cc00,5830496:5830515|offset_31|444444,5830530:5830549|offset_65|444444,5830559:5830578|offset_94|444444&amp;v=5830271:5830778&amp;c=444444", "offset 7")</f>
        <v>offset 7</v>
      </c>
    </row>
    <row r="18988" customFormat="false" ht="12.8" hidden="false" customHeight="false" outlineLevel="0" collapsed="false">
      <c r="A18988" s="0" t="s">
        <v>12</v>
      </c>
      <c r="B18988" s="0" t="n">
        <v>5830495</v>
      </c>
      <c r="C18988" s="0" t="n">
        <v>5830515</v>
      </c>
      <c r="D18988" s="0" t="s">
        <v>63121</v>
      </c>
      <c r="E18988" s="0" t="s">
        <v>75</v>
      </c>
      <c r="F18988" s="0" t="s">
        <v>15</v>
      </c>
      <c r="G18988" s="0" t="s">
        <v>16</v>
      </c>
      <c r="H18988" s="0" t="n">
        <v>31</v>
      </c>
      <c r="I18988" s="0" t="s">
        <v>63125</v>
      </c>
      <c r="J18988" s="0" t="s">
        <v>63126</v>
      </c>
      <c r="K18988" s="0" t="s">
        <v>63127</v>
      </c>
      <c r="L18988" s="0" t="str">
        <f aca="false">HYPERLINK("https://www.ncbi.nlm.nih.gov/nuccore/CP000058.1?report=graph&amp;tracks=[key:gene_model_track,Options:GeneOnly]&amp;mk=5830472:5830491|offset_7|444444,5830496:5830515|offset_31|00cc00,5830530:5830549|offset_65|444444,5830559:5830578|offset_94|444444&amp;v=5830271:5830778&amp;c=444444", "offset 31")</f>
        <v>offset 31</v>
      </c>
    </row>
    <row r="18989" customFormat="false" ht="12.8" hidden="false" customHeight="false" outlineLevel="0" collapsed="false">
      <c r="A18989" s="0" t="s">
        <v>12</v>
      </c>
      <c r="B18989" s="0" t="n">
        <v>5830529</v>
      </c>
      <c r="C18989" s="0" t="n">
        <v>5830549</v>
      </c>
      <c r="D18989" s="0" t="s">
        <v>63121</v>
      </c>
      <c r="E18989" s="0" t="s">
        <v>75</v>
      </c>
      <c r="F18989" s="0" t="s">
        <v>15</v>
      </c>
      <c r="G18989" s="0" t="s">
        <v>16</v>
      </c>
      <c r="H18989" s="0" t="n">
        <v>65</v>
      </c>
      <c r="I18989" s="0" t="s">
        <v>63128</v>
      </c>
      <c r="J18989" s="0" t="s">
        <v>63129</v>
      </c>
      <c r="K18989" s="0" t="s">
        <v>63130</v>
      </c>
      <c r="L18989" s="0" t="str">
        <f aca="false">HYPERLINK("https://www.ncbi.nlm.nih.gov/nuccore/CP000058.1?report=graph&amp;tracks=[key:gene_model_track,Options:GeneOnly]&amp;mk=5830472:5830491|offset_7|444444,5830496:5830515|offset_31|444444,5830530:5830549|offset_65|00cc00,5830559:5830578|offset_94|444444&amp;v=5830271:5830778&amp;c=444444", "offset 65")</f>
        <v>offset 65</v>
      </c>
    </row>
    <row r="18990" customFormat="false" ht="12.8" hidden="false" customHeight="false" outlineLevel="0" collapsed="false">
      <c r="A18990" s="0" t="s">
        <v>12</v>
      </c>
      <c r="B18990" s="0" t="n">
        <v>5830558</v>
      </c>
      <c r="C18990" s="0" t="n">
        <v>5830578</v>
      </c>
      <c r="D18990" s="0" t="s">
        <v>63121</v>
      </c>
      <c r="E18990" s="0" t="s">
        <v>75</v>
      </c>
      <c r="F18990" s="0" t="s">
        <v>15</v>
      </c>
      <c r="G18990" s="0" t="s">
        <v>32</v>
      </c>
      <c r="H18990" s="0" t="n">
        <v>94</v>
      </c>
      <c r="I18990" s="0" t="s">
        <v>63131</v>
      </c>
      <c r="J18990" s="0" t="s">
        <v>63132</v>
      </c>
      <c r="K18990" s="0" t="s">
        <v>63133</v>
      </c>
      <c r="L18990" s="0" t="str">
        <f aca="false">HYPERLINK("https://www.ncbi.nlm.nih.gov/nuccore/CP000058.1?report=graph&amp;tracks=[key:gene_model_track,Options:GeneOnly]&amp;mk=5830472:5830491|offset_7|444444,5830496:5830515|offset_31|444444,5830530:5830549|offset_65|444444,5830559:5830578|offset_94|00cc00&amp;v=5830271:5830778&amp;c=444444", "offset 94")</f>
        <v>offset 94</v>
      </c>
    </row>
    <row r="18991" customFormat="false" ht="12.8" hidden="false" customHeight="false" outlineLevel="0" collapsed="false">
      <c r="A18991" s="0" t="s">
        <v>12</v>
      </c>
      <c r="B18991" s="0" t="n">
        <v>5833067</v>
      </c>
      <c r="C18991" s="0" t="n">
        <v>5833087</v>
      </c>
      <c r="D18991" s="0" t="s">
        <v>63134</v>
      </c>
      <c r="E18991" s="0" t="s">
        <v>63135</v>
      </c>
      <c r="F18991" s="0" t="s">
        <v>90</v>
      </c>
      <c r="G18991" s="0" t="s">
        <v>32</v>
      </c>
      <c r="H18991" s="0" t="n">
        <v>7</v>
      </c>
      <c r="I18991" s="0" t="s">
        <v>63136</v>
      </c>
      <c r="J18991" s="0" t="s">
        <v>63137</v>
      </c>
      <c r="K18991" s="0" t="s">
        <v>63138</v>
      </c>
      <c r="L18991" s="0" t="str">
        <f aca="false">HYPERLINK("https://www.ncbi.nlm.nih.gov/nuccore/CP000058.1?report=graph&amp;tracks=[key:gene_model_track,Options:GeneOnly]&amp;mk=5833068:5833087|offset_7|00cc00,5833044:5833063|offset_31|444444,5833008:5833027|offset_67|444444,5832982:5833001|offset_93|444444&amp;v=5832867:5833201&amp;c=444444", "offset 7")</f>
        <v>offset 7</v>
      </c>
    </row>
    <row r="18992" customFormat="false" ht="12.8" hidden="false" customHeight="false" outlineLevel="0" collapsed="false">
      <c r="A18992" s="0" t="s">
        <v>12</v>
      </c>
      <c r="B18992" s="0" t="n">
        <v>5833043</v>
      </c>
      <c r="C18992" s="0" t="n">
        <v>5833063</v>
      </c>
      <c r="D18992" s="0" t="s">
        <v>63134</v>
      </c>
      <c r="E18992" s="0" t="s">
        <v>63135</v>
      </c>
      <c r="F18992" s="0" t="s">
        <v>90</v>
      </c>
      <c r="G18992" s="0" t="s">
        <v>32</v>
      </c>
      <c r="H18992" s="0" t="n">
        <v>31</v>
      </c>
      <c r="I18992" s="0" t="s">
        <v>63139</v>
      </c>
      <c r="J18992" s="0" t="s">
        <v>63140</v>
      </c>
      <c r="K18992" s="0" t="s">
        <v>63141</v>
      </c>
      <c r="L18992" s="0" t="str">
        <f aca="false">HYPERLINK("https://www.ncbi.nlm.nih.gov/nuccore/CP000058.1?report=graph&amp;tracks=[key:gene_model_track,Options:GeneOnly]&amp;mk=5833068:5833087|offset_7|444444,5833044:5833063|offset_31|00cc00,5833008:5833027|offset_67|444444,5832982:5833001|offset_93|444444&amp;v=5832867:5833201&amp;c=444444", "offset 31")</f>
        <v>offset 31</v>
      </c>
    </row>
    <row r="18993" customFormat="false" ht="12.8" hidden="false" customHeight="false" outlineLevel="0" collapsed="false">
      <c r="A18993" s="0" t="s">
        <v>12</v>
      </c>
      <c r="B18993" s="0" t="n">
        <v>5833007</v>
      </c>
      <c r="C18993" s="0" t="n">
        <v>5833027</v>
      </c>
      <c r="D18993" s="0" t="s">
        <v>63134</v>
      </c>
      <c r="E18993" s="0" t="s">
        <v>63135</v>
      </c>
      <c r="F18993" s="0" t="s">
        <v>90</v>
      </c>
      <c r="G18993" s="0" t="s">
        <v>36</v>
      </c>
      <c r="H18993" s="0" t="n">
        <v>67</v>
      </c>
      <c r="I18993" s="0" t="s">
        <v>63142</v>
      </c>
      <c r="J18993" s="0" t="s">
        <v>63143</v>
      </c>
      <c r="K18993" s="0" t="s">
        <v>63144</v>
      </c>
      <c r="L18993" s="0" t="str">
        <f aca="false">HYPERLINK("https://www.ncbi.nlm.nih.gov/nuccore/CP000058.1?report=graph&amp;tracks=[key:gene_model_track,Options:GeneOnly]&amp;mk=5833068:5833087|offset_7|444444,5833044:5833063|offset_31|444444,5833008:5833027|offset_67|00cc00,5832982:5833001|offset_93|444444&amp;v=5832867:5833201&amp;c=444444", "offset 67")</f>
        <v>offset 67</v>
      </c>
    </row>
    <row r="18994" customFormat="false" ht="12.8" hidden="false" customHeight="false" outlineLevel="0" collapsed="false">
      <c r="A18994" s="0" t="s">
        <v>12</v>
      </c>
      <c r="B18994" s="0" t="n">
        <v>5832981</v>
      </c>
      <c r="C18994" s="0" t="n">
        <v>5833001</v>
      </c>
      <c r="D18994" s="0" t="s">
        <v>63134</v>
      </c>
      <c r="E18994" s="0" t="s">
        <v>63135</v>
      </c>
      <c r="F18994" s="0" t="s">
        <v>90</v>
      </c>
      <c r="G18994" s="0" t="s">
        <v>16</v>
      </c>
      <c r="H18994" s="0" t="n">
        <v>93</v>
      </c>
      <c r="I18994" s="0" t="s">
        <v>63145</v>
      </c>
      <c r="J18994" s="0" t="s">
        <v>63146</v>
      </c>
      <c r="K18994" s="0" t="s">
        <v>63147</v>
      </c>
      <c r="L18994" s="0" t="str">
        <f aca="false">HYPERLINK("https://www.ncbi.nlm.nih.gov/nuccore/CP000058.1?report=graph&amp;tracks=[key:gene_model_track,Options:GeneOnly]&amp;mk=5833068:5833087|offset_7|444444,5833044:5833063|offset_31|444444,5833008:5833027|offset_67|444444,5832982:5833001|offset_93|00cc00&amp;v=5832867:5833201&amp;c=444444", "offset 93")</f>
        <v>offset 93</v>
      </c>
    </row>
    <row r="18995" customFormat="false" ht="12.8" hidden="false" customHeight="false" outlineLevel="0" collapsed="false">
      <c r="A18995" s="0" t="s">
        <v>12</v>
      </c>
      <c r="B18995" s="0" t="n">
        <v>5834501</v>
      </c>
      <c r="C18995" s="0" t="n">
        <v>5834521</v>
      </c>
      <c r="D18995" s="0" t="s">
        <v>63148</v>
      </c>
      <c r="E18995" s="0" t="s">
        <v>75</v>
      </c>
      <c r="F18995" s="0" t="s">
        <v>90</v>
      </c>
      <c r="G18995" s="0" t="s">
        <v>32</v>
      </c>
      <c r="H18995" s="0" t="n">
        <v>0</v>
      </c>
      <c r="I18995" s="0" t="s">
        <v>63149</v>
      </c>
      <c r="J18995" s="0" t="s">
        <v>63150</v>
      </c>
      <c r="K18995" s="0" t="s">
        <v>63151</v>
      </c>
      <c r="L18995" s="0" t="str">
        <f aca="false">HYPERLINK("https://www.ncbi.nlm.nih.gov/nuccore/CP000058.1?report=graph&amp;tracks=[key:gene_model_track,Options:GeneOnly]&amp;mk=5834502:5834521|offset_0|00cc00,5834477:5834496|offset_25|444444,5834455:5834474|offset_47|444444,5834435:5834454|offset_67|444444&amp;v=5834301:5834654&amp;c=444444", "offset 0")</f>
        <v>offset 0</v>
      </c>
    </row>
    <row r="18996" customFormat="false" ht="12.8" hidden="false" customHeight="false" outlineLevel="0" collapsed="false">
      <c r="A18996" s="0" t="s">
        <v>12</v>
      </c>
      <c r="B18996" s="0" t="n">
        <v>5834476</v>
      </c>
      <c r="C18996" s="0" t="n">
        <v>5834496</v>
      </c>
      <c r="D18996" s="0" t="s">
        <v>63148</v>
      </c>
      <c r="E18996" s="0" t="s">
        <v>75</v>
      </c>
      <c r="F18996" s="0" t="s">
        <v>90</v>
      </c>
      <c r="G18996" s="0" t="s">
        <v>32</v>
      </c>
      <c r="H18996" s="0" t="n">
        <v>25</v>
      </c>
      <c r="I18996" s="0" t="s">
        <v>63152</v>
      </c>
      <c r="J18996" s="0" t="s">
        <v>63153</v>
      </c>
      <c r="K18996" s="0" t="s">
        <v>63154</v>
      </c>
      <c r="L18996" s="0" t="str">
        <f aca="false">HYPERLINK("https://www.ncbi.nlm.nih.gov/nuccore/CP000058.1?report=graph&amp;tracks=[key:gene_model_track,Options:GeneOnly]&amp;mk=5834502:5834521|offset_0|444444,5834477:5834496|offset_25|00cc00,5834455:5834474|offset_47|444444,5834435:5834454|offset_67|444444&amp;v=5834301:5834654&amp;c=444444", "offset 25")</f>
        <v>offset 25</v>
      </c>
    </row>
    <row r="18997" customFormat="false" ht="12.8" hidden="false" customHeight="false" outlineLevel="0" collapsed="false">
      <c r="A18997" s="0" t="s">
        <v>12</v>
      </c>
      <c r="B18997" s="0" t="n">
        <v>5834454</v>
      </c>
      <c r="C18997" s="0" t="n">
        <v>5834474</v>
      </c>
      <c r="D18997" s="0" t="s">
        <v>63148</v>
      </c>
      <c r="E18997" s="0" t="s">
        <v>75</v>
      </c>
      <c r="F18997" s="0" t="s">
        <v>90</v>
      </c>
      <c r="G18997" s="0" t="s">
        <v>16</v>
      </c>
      <c r="H18997" s="0" t="n">
        <v>47</v>
      </c>
      <c r="I18997" s="0" t="s">
        <v>63155</v>
      </c>
      <c r="J18997" s="0" t="s">
        <v>63156</v>
      </c>
      <c r="K18997" s="0" t="s">
        <v>63157</v>
      </c>
      <c r="L18997" s="0" t="str">
        <f aca="false">HYPERLINK("https://www.ncbi.nlm.nih.gov/nuccore/CP000058.1?report=graph&amp;tracks=[key:gene_model_track,Options:GeneOnly]&amp;mk=5834502:5834521|offset_0|444444,5834477:5834496|offset_25|444444,5834455:5834474|offset_47|00cc00,5834435:5834454|offset_67|444444&amp;v=5834301:5834654&amp;c=444444", "offset 47")</f>
        <v>offset 47</v>
      </c>
    </row>
    <row r="18998" customFormat="false" ht="12.8" hidden="false" customHeight="false" outlineLevel="0" collapsed="false">
      <c r="A18998" s="0" t="s">
        <v>12</v>
      </c>
      <c r="B18998" s="0" t="n">
        <v>5834434</v>
      </c>
      <c r="C18998" s="0" t="n">
        <v>5834454</v>
      </c>
      <c r="D18998" s="0" t="s">
        <v>63148</v>
      </c>
      <c r="E18998" s="0" t="s">
        <v>75</v>
      </c>
      <c r="F18998" s="0" t="s">
        <v>90</v>
      </c>
      <c r="G18998" s="0" t="s">
        <v>16</v>
      </c>
      <c r="H18998" s="0" t="n">
        <v>67</v>
      </c>
      <c r="I18998" s="0" t="s">
        <v>63158</v>
      </c>
      <c r="J18998" s="0" t="s">
        <v>63159</v>
      </c>
      <c r="K18998" s="0" t="s">
        <v>63160</v>
      </c>
      <c r="L18998" s="0" t="str">
        <f aca="false">HYPERLINK("https://www.ncbi.nlm.nih.gov/nuccore/CP000058.1?report=graph&amp;tracks=[key:gene_model_track,Options:GeneOnly]&amp;mk=5834502:5834521|offset_0|444444,5834477:5834496|offset_25|444444,5834455:5834474|offset_47|444444,5834435:5834454|offset_67|00cc00&amp;v=5834301:5834654&amp;c=444444", "offset 67")</f>
        <v>offset 67</v>
      </c>
    </row>
    <row r="18999" customFormat="false" ht="12.8" hidden="false" customHeight="false" outlineLevel="0" collapsed="false">
      <c r="A18999" s="0" t="s">
        <v>12</v>
      </c>
      <c r="B18999" s="0" t="n">
        <v>5834762</v>
      </c>
      <c r="C18999" s="0" t="n">
        <v>5834782</v>
      </c>
      <c r="D18999" s="0" t="s">
        <v>63161</v>
      </c>
      <c r="E18999" s="0" t="s">
        <v>75</v>
      </c>
      <c r="F18999" s="0" t="s">
        <v>15</v>
      </c>
      <c r="G18999" s="0" t="s">
        <v>16</v>
      </c>
      <c r="H18999" s="0" t="n">
        <v>65</v>
      </c>
      <c r="I18999" s="0" t="s">
        <v>63162</v>
      </c>
      <c r="J18999" s="0" t="s">
        <v>63163</v>
      </c>
      <c r="K18999" s="0" t="s">
        <v>63164</v>
      </c>
      <c r="L18999" s="0" t="str">
        <f aca="false">HYPERLINK("https://www.ncbi.nlm.nih.gov/nuccore/CP000058.1?report=graph&amp;tracks=[key:gene_model_track,Options:GeneOnly]&amp;mk=5834763:5834782|offset_65|00cc00,5834794:5834813|offset_96|444444,5834838:5834857|offset_140|444444,5834874:5834893|offset_176|444444&amp;v=5834562:5835093&amp;c=444444", "offset 65")</f>
        <v>offset 65</v>
      </c>
    </row>
    <row r="19000" customFormat="false" ht="12.8" hidden="false" customHeight="false" outlineLevel="0" collapsed="false">
      <c r="A19000" s="0" t="s">
        <v>12</v>
      </c>
      <c r="B19000" s="0" t="n">
        <v>5834793</v>
      </c>
      <c r="C19000" s="0" t="n">
        <v>5834813</v>
      </c>
      <c r="D19000" s="0" t="s">
        <v>63161</v>
      </c>
      <c r="E19000" s="0" t="s">
        <v>75</v>
      </c>
      <c r="F19000" s="0" t="s">
        <v>15</v>
      </c>
      <c r="G19000" s="0" t="s">
        <v>20</v>
      </c>
      <c r="H19000" s="0" t="n">
        <v>96</v>
      </c>
      <c r="I19000" s="0" t="s">
        <v>63165</v>
      </c>
      <c r="J19000" s="0" t="s">
        <v>63166</v>
      </c>
      <c r="K19000" s="0" t="s">
        <v>63167</v>
      </c>
      <c r="L19000" s="0" t="str">
        <f aca="false">HYPERLINK("https://www.ncbi.nlm.nih.gov/nuccore/CP000058.1?report=graph&amp;tracks=[key:gene_model_track,Options:GeneOnly]&amp;mk=5834763:5834782|offset_65|444444,5834794:5834813|offset_96|00cc00,5834838:5834857|offset_140|444444,5834874:5834893|offset_176|444444&amp;v=5834562:5835093&amp;c=444444", "offset 96")</f>
        <v>offset 96</v>
      </c>
    </row>
    <row r="19001" customFormat="false" ht="12.8" hidden="false" customHeight="false" outlineLevel="0" collapsed="false">
      <c r="A19001" s="0" t="s">
        <v>12</v>
      </c>
      <c r="B19001" s="0" t="n">
        <v>5834837</v>
      </c>
      <c r="C19001" s="0" t="n">
        <v>5834857</v>
      </c>
      <c r="D19001" s="0" t="s">
        <v>63161</v>
      </c>
      <c r="E19001" s="0" t="s">
        <v>75</v>
      </c>
      <c r="F19001" s="0" t="s">
        <v>15</v>
      </c>
      <c r="G19001" s="0" t="s">
        <v>32</v>
      </c>
      <c r="H19001" s="0" t="n">
        <v>140</v>
      </c>
      <c r="I19001" s="0" t="s">
        <v>63168</v>
      </c>
      <c r="J19001" s="0" t="s">
        <v>63169</v>
      </c>
      <c r="K19001" s="0" t="s">
        <v>63170</v>
      </c>
      <c r="L19001" s="0" t="str">
        <f aca="false">HYPERLINK("https://www.ncbi.nlm.nih.gov/nuccore/CP000058.1?report=graph&amp;tracks=[key:gene_model_track,Options:GeneOnly]&amp;mk=5834763:5834782|offset_65|444444,5834794:5834813|offset_96|444444,5834838:5834857|offset_140|00cc00,5834874:5834893|offset_176|444444&amp;v=5834562:5835093&amp;c=444444", "offset 140")</f>
        <v>offset 140</v>
      </c>
    </row>
    <row r="19002" customFormat="false" ht="12.8" hidden="false" customHeight="false" outlineLevel="0" collapsed="false">
      <c r="A19002" s="0" t="s">
        <v>12</v>
      </c>
      <c r="B19002" s="0" t="n">
        <v>5834873</v>
      </c>
      <c r="C19002" s="0" t="n">
        <v>5834893</v>
      </c>
      <c r="D19002" s="0" t="s">
        <v>63161</v>
      </c>
      <c r="E19002" s="0" t="s">
        <v>75</v>
      </c>
      <c r="F19002" s="0" t="s">
        <v>15</v>
      </c>
      <c r="G19002" s="0" t="s">
        <v>20</v>
      </c>
      <c r="H19002" s="0" t="n">
        <v>176</v>
      </c>
      <c r="I19002" s="0" t="s">
        <v>63171</v>
      </c>
      <c r="J19002" s="0" t="s">
        <v>63172</v>
      </c>
      <c r="K19002" s="0" t="s">
        <v>63173</v>
      </c>
      <c r="L19002" s="0" t="str">
        <f aca="false">HYPERLINK("https://www.ncbi.nlm.nih.gov/nuccore/CP000058.1?report=graph&amp;tracks=[key:gene_model_track,Options:GeneOnly]&amp;mk=5834763:5834782|offset_65|444444,5834794:5834813|offset_96|444444,5834838:5834857|offset_140|444444,5834874:5834893|offset_176|00cc00&amp;v=5834562:5835093&amp;c=444444", "offset 176")</f>
        <v>offset 176</v>
      </c>
    </row>
    <row r="19003" customFormat="false" ht="12.8" hidden="false" customHeight="false" outlineLevel="0" collapsed="false">
      <c r="A19003" s="0" t="s">
        <v>12</v>
      </c>
      <c r="B19003" s="0" t="n">
        <v>5836760</v>
      </c>
      <c r="C19003" s="0" t="n">
        <v>5836780</v>
      </c>
      <c r="D19003" s="0" t="s">
        <v>63174</v>
      </c>
      <c r="E19003" s="0" t="s">
        <v>75</v>
      </c>
      <c r="F19003" s="0" t="s">
        <v>90</v>
      </c>
      <c r="G19003" s="0" t="s">
        <v>36</v>
      </c>
      <c r="H19003" s="0" t="n">
        <v>0</v>
      </c>
      <c r="I19003" s="0" t="s">
        <v>63175</v>
      </c>
      <c r="J19003" s="0" t="s">
        <v>63176</v>
      </c>
      <c r="K19003" s="0" t="s">
        <v>63177</v>
      </c>
      <c r="L19003" s="0" t="str">
        <f aca="false">HYPERLINK("https://www.ncbi.nlm.nih.gov/nuccore/CP000058.1?report=graph&amp;tracks=[key:gene_model_track,Options:GeneOnly]&amp;mk=5836761:5836780|offset_0|00cc00,5836736:5836755|offset_25|444444,5836694:5836713|offset_67|444444,5836674:5836693|offset_87|444444&amp;v=5836560:5836893&amp;c=444444", "offset 0")</f>
        <v>offset 0</v>
      </c>
    </row>
    <row r="19004" customFormat="false" ht="12.8" hidden="false" customHeight="false" outlineLevel="0" collapsed="false">
      <c r="A19004" s="0" t="s">
        <v>12</v>
      </c>
      <c r="B19004" s="0" t="n">
        <v>5836735</v>
      </c>
      <c r="C19004" s="0" t="n">
        <v>5836755</v>
      </c>
      <c r="D19004" s="0" t="s">
        <v>63174</v>
      </c>
      <c r="E19004" s="0" t="s">
        <v>75</v>
      </c>
      <c r="F19004" s="0" t="s">
        <v>90</v>
      </c>
      <c r="G19004" s="0" t="s">
        <v>36</v>
      </c>
      <c r="H19004" s="0" t="n">
        <v>25</v>
      </c>
      <c r="I19004" s="0" t="s">
        <v>63178</v>
      </c>
      <c r="J19004" s="0" t="s">
        <v>63179</v>
      </c>
      <c r="K19004" s="0" t="s">
        <v>63180</v>
      </c>
      <c r="L19004" s="0" t="str">
        <f aca="false">HYPERLINK("https://www.ncbi.nlm.nih.gov/nuccore/CP000058.1?report=graph&amp;tracks=[key:gene_model_track,Options:GeneOnly]&amp;mk=5836761:5836780|offset_0|444444,5836736:5836755|offset_25|00cc00,5836694:5836713|offset_67|444444,5836674:5836693|offset_87|444444&amp;v=5836560:5836893&amp;c=444444", "offset 25")</f>
        <v>offset 25</v>
      </c>
    </row>
    <row r="19005" customFormat="false" ht="12.8" hidden="false" customHeight="false" outlineLevel="0" collapsed="false">
      <c r="A19005" s="0" t="s">
        <v>12</v>
      </c>
      <c r="B19005" s="0" t="n">
        <v>5836693</v>
      </c>
      <c r="C19005" s="0" t="n">
        <v>5836713</v>
      </c>
      <c r="D19005" s="0" t="s">
        <v>63174</v>
      </c>
      <c r="E19005" s="0" t="s">
        <v>75</v>
      </c>
      <c r="F19005" s="0" t="s">
        <v>90</v>
      </c>
      <c r="G19005" s="0" t="s">
        <v>16</v>
      </c>
      <c r="H19005" s="0" t="n">
        <v>67</v>
      </c>
      <c r="I19005" s="0" t="s">
        <v>63181</v>
      </c>
      <c r="J19005" s="0" t="s">
        <v>63182</v>
      </c>
      <c r="K19005" s="0" t="s">
        <v>63183</v>
      </c>
      <c r="L19005" s="0" t="str">
        <f aca="false">HYPERLINK("https://www.ncbi.nlm.nih.gov/nuccore/CP000058.1?report=graph&amp;tracks=[key:gene_model_track,Options:GeneOnly]&amp;mk=5836761:5836780|offset_0|444444,5836736:5836755|offset_25|444444,5836694:5836713|offset_67|00cc00,5836674:5836693|offset_87|444444&amp;v=5836560:5836893&amp;c=444444", "offset 67")</f>
        <v>offset 67</v>
      </c>
    </row>
    <row r="19006" customFormat="false" ht="12.8" hidden="false" customHeight="false" outlineLevel="0" collapsed="false">
      <c r="A19006" s="0" t="s">
        <v>12</v>
      </c>
      <c r="B19006" s="0" t="n">
        <v>5836673</v>
      </c>
      <c r="C19006" s="0" t="n">
        <v>5836693</v>
      </c>
      <c r="D19006" s="0" t="s">
        <v>63174</v>
      </c>
      <c r="E19006" s="0" t="s">
        <v>75</v>
      </c>
      <c r="F19006" s="0" t="s">
        <v>90</v>
      </c>
      <c r="G19006" s="0" t="s">
        <v>20</v>
      </c>
      <c r="H19006" s="0" t="n">
        <v>87</v>
      </c>
      <c r="I19006" s="0" t="s">
        <v>63184</v>
      </c>
      <c r="J19006" s="0" t="s">
        <v>63185</v>
      </c>
      <c r="K19006" s="0" t="s">
        <v>63186</v>
      </c>
      <c r="L19006" s="0" t="str">
        <f aca="false">HYPERLINK("https://www.ncbi.nlm.nih.gov/nuccore/CP000058.1?report=graph&amp;tracks=[key:gene_model_track,Options:GeneOnly]&amp;mk=5836761:5836780|offset_0|444444,5836736:5836755|offset_25|444444,5836694:5836713|offset_67|444444,5836674:5836693|offset_87|00cc00&amp;v=5836560:5836893&amp;c=444444", "offset 87")</f>
        <v>offset 87</v>
      </c>
    </row>
    <row r="19007" customFormat="false" ht="12.8" hidden="false" customHeight="false" outlineLevel="0" collapsed="false">
      <c r="A19007" s="0" t="s">
        <v>12</v>
      </c>
      <c r="B19007" s="0" t="n">
        <v>5836968</v>
      </c>
      <c r="C19007" s="0" t="n">
        <v>5836988</v>
      </c>
      <c r="D19007" s="0" t="s">
        <v>63187</v>
      </c>
      <c r="E19007" s="0" t="s">
        <v>75</v>
      </c>
      <c r="F19007" s="0" t="s">
        <v>15</v>
      </c>
      <c r="G19007" s="0" t="s">
        <v>32</v>
      </c>
      <c r="H19007" s="0" t="n">
        <v>7</v>
      </c>
      <c r="I19007" s="0" t="s">
        <v>63188</v>
      </c>
      <c r="J19007" s="0" t="s">
        <v>63189</v>
      </c>
      <c r="K19007" s="0" t="s">
        <v>63190</v>
      </c>
      <c r="L19007" s="0" t="str">
        <f aca="false">HYPERLINK("https://www.ncbi.nlm.nih.gov/nuccore/CP000058.1?report=graph&amp;tracks=[key:gene_model_track,Options:GeneOnly]&amp;mk=5836969:5836988|offset_7|00cc00,5836990:5837009|offset_28|444444,5837018:5837037|offset_56|444444,5837048:5837067|offset_86|444444&amp;v=5836768:5837267&amp;c=444444", "offset 7")</f>
        <v>offset 7</v>
      </c>
    </row>
    <row r="19008" customFormat="false" ht="12.8" hidden="false" customHeight="false" outlineLevel="0" collapsed="false">
      <c r="A19008" s="0" t="s">
        <v>12</v>
      </c>
      <c r="B19008" s="0" t="n">
        <v>5836989</v>
      </c>
      <c r="C19008" s="0" t="n">
        <v>5837009</v>
      </c>
      <c r="D19008" s="0" t="s">
        <v>63187</v>
      </c>
      <c r="E19008" s="0" t="s">
        <v>75</v>
      </c>
      <c r="F19008" s="0" t="s">
        <v>15</v>
      </c>
      <c r="G19008" s="0" t="s">
        <v>16</v>
      </c>
      <c r="H19008" s="0" t="n">
        <v>28</v>
      </c>
      <c r="I19008" s="0" t="s">
        <v>63191</v>
      </c>
      <c r="J19008" s="0" t="s">
        <v>63192</v>
      </c>
      <c r="K19008" s="0" t="s">
        <v>63193</v>
      </c>
      <c r="L19008" s="0" t="str">
        <f aca="false">HYPERLINK("https://www.ncbi.nlm.nih.gov/nuccore/CP000058.1?report=graph&amp;tracks=[key:gene_model_track,Options:GeneOnly]&amp;mk=5836969:5836988|offset_7|444444,5836990:5837009|offset_28|00cc00,5837018:5837037|offset_56|444444,5837048:5837067|offset_86|444444&amp;v=5836768:5837267&amp;c=444444", "offset 28")</f>
        <v>offset 28</v>
      </c>
    </row>
    <row r="19009" customFormat="false" ht="12.8" hidden="false" customHeight="false" outlineLevel="0" collapsed="false">
      <c r="A19009" s="0" t="s">
        <v>12</v>
      </c>
      <c r="B19009" s="0" t="n">
        <v>5837017</v>
      </c>
      <c r="C19009" s="0" t="n">
        <v>5837037</v>
      </c>
      <c r="D19009" s="0" t="s">
        <v>63187</v>
      </c>
      <c r="E19009" s="0" t="s">
        <v>75</v>
      </c>
      <c r="F19009" s="0" t="s">
        <v>15</v>
      </c>
      <c r="G19009" s="0" t="s">
        <v>16</v>
      </c>
      <c r="H19009" s="0" t="n">
        <v>56</v>
      </c>
      <c r="I19009" s="0" t="s">
        <v>63194</v>
      </c>
      <c r="J19009" s="0" t="s">
        <v>63195</v>
      </c>
      <c r="K19009" s="0" t="s">
        <v>63196</v>
      </c>
      <c r="L19009" s="0" t="str">
        <f aca="false">HYPERLINK("https://www.ncbi.nlm.nih.gov/nuccore/CP000058.1?report=graph&amp;tracks=[key:gene_model_track,Options:GeneOnly]&amp;mk=5836969:5836988|offset_7|444444,5836990:5837009|offset_28|444444,5837018:5837037|offset_56|00cc00,5837048:5837067|offset_86|444444&amp;v=5836768:5837267&amp;c=444444", "offset 56")</f>
        <v>offset 56</v>
      </c>
    </row>
    <row r="19010" customFormat="false" ht="12.8" hidden="false" customHeight="false" outlineLevel="0" collapsed="false">
      <c r="A19010" s="0" t="s">
        <v>12</v>
      </c>
      <c r="B19010" s="0" t="n">
        <v>5837047</v>
      </c>
      <c r="C19010" s="0" t="n">
        <v>5837067</v>
      </c>
      <c r="D19010" s="0" t="s">
        <v>63187</v>
      </c>
      <c r="E19010" s="0" t="s">
        <v>75</v>
      </c>
      <c r="F19010" s="0" t="s">
        <v>15</v>
      </c>
      <c r="G19010" s="0" t="s">
        <v>20</v>
      </c>
      <c r="H19010" s="0" t="n">
        <v>86</v>
      </c>
      <c r="I19010" s="0" t="s">
        <v>63197</v>
      </c>
      <c r="J19010" s="0" t="s">
        <v>63198</v>
      </c>
      <c r="K19010" s="0" t="s">
        <v>63199</v>
      </c>
      <c r="L19010" s="0" t="str">
        <f aca="false">HYPERLINK("https://www.ncbi.nlm.nih.gov/nuccore/CP000058.1?report=graph&amp;tracks=[key:gene_model_track,Options:GeneOnly]&amp;mk=5836969:5836988|offset_7|444444,5836990:5837009|offset_28|444444,5837018:5837037|offset_56|444444,5837048:5837067|offset_86|00cc00&amp;v=5836768:5837267&amp;c=444444", "offset 86")</f>
        <v>offset 86</v>
      </c>
    </row>
    <row r="19011" customFormat="false" ht="12.8" hidden="false" customHeight="false" outlineLevel="0" collapsed="false">
      <c r="A19011" s="0" t="s">
        <v>12</v>
      </c>
      <c r="B19011" s="0" t="n">
        <v>5837131</v>
      </c>
      <c r="C19011" s="0" t="n">
        <v>5837151</v>
      </c>
      <c r="D19011" s="0" t="s">
        <v>63200</v>
      </c>
      <c r="E19011" s="0" t="s">
        <v>63201</v>
      </c>
      <c r="F19011" s="0" t="s">
        <v>15</v>
      </c>
      <c r="G19011" s="0" t="s">
        <v>36</v>
      </c>
      <c r="H19011" s="0" t="n">
        <v>34</v>
      </c>
      <c r="I19011" s="0" t="s">
        <v>63202</v>
      </c>
      <c r="J19011" s="0" t="s">
        <v>63203</v>
      </c>
      <c r="K19011" s="0" t="s">
        <v>63204</v>
      </c>
      <c r="L19011" s="0" t="str">
        <f aca="false">HYPERLINK("https://www.ncbi.nlm.nih.gov/nuccore/CP000058.1?report=graph&amp;tracks=[key:gene_model_track,Options:GeneOnly]&amp;mk=5837132:5837151|offset_34|00cc00,5837156:5837175|offset_58|444444,5837187:5837206|offset_89|444444,5837213:5837232|offset_115|444444&amp;v=5836931:5837432&amp;c=444444", "offset 34")</f>
        <v>offset 34</v>
      </c>
    </row>
    <row r="19012" customFormat="false" ht="12.8" hidden="false" customHeight="false" outlineLevel="0" collapsed="false">
      <c r="A19012" s="0" t="s">
        <v>12</v>
      </c>
      <c r="B19012" s="0" t="n">
        <v>5837155</v>
      </c>
      <c r="C19012" s="0" t="n">
        <v>5837175</v>
      </c>
      <c r="D19012" s="0" t="s">
        <v>63200</v>
      </c>
      <c r="E19012" s="0" t="s">
        <v>63201</v>
      </c>
      <c r="F19012" s="0" t="s">
        <v>15</v>
      </c>
      <c r="G19012" s="0" t="s">
        <v>16</v>
      </c>
      <c r="H19012" s="0" t="n">
        <v>58</v>
      </c>
      <c r="I19012" s="0" t="s">
        <v>63205</v>
      </c>
      <c r="J19012" s="0" t="s">
        <v>63206</v>
      </c>
      <c r="K19012" s="0" t="s">
        <v>63207</v>
      </c>
      <c r="L19012" s="0" t="str">
        <f aca="false">HYPERLINK("https://www.ncbi.nlm.nih.gov/nuccore/CP000058.1?report=graph&amp;tracks=[key:gene_model_track,Options:GeneOnly]&amp;mk=5837132:5837151|offset_34|444444,5837156:5837175|offset_58|00cc00,5837187:5837206|offset_89|444444,5837213:5837232|offset_115|444444&amp;v=5836931:5837432&amp;c=444444", "offset 58")</f>
        <v>offset 58</v>
      </c>
    </row>
    <row r="19013" customFormat="false" ht="12.8" hidden="false" customHeight="false" outlineLevel="0" collapsed="false">
      <c r="A19013" s="0" t="s">
        <v>12</v>
      </c>
      <c r="B19013" s="0" t="n">
        <v>5837186</v>
      </c>
      <c r="C19013" s="0" t="n">
        <v>5837206</v>
      </c>
      <c r="D19013" s="0" t="s">
        <v>63200</v>
      </c>
      <c r="E19013" s="0" t="s">
        <v>63201</v>
      </c>
      <c r="F19013" s="0" t="s">
        <v>15</v>
      </c>
      <c r="G19013" s="0" t="s">
        <v>20</v>
      </c>
      <c r="H19013" s="0" t="n">
        <v>89</v>
      </c>
      <c r="I19013" s="0" t="s">
        <v>63208</v>
      </c>
      <c r="J19013" s="0" t="s">
        <v>63209</v>
      </c>
      <c r="K19013" s="0" t="s">
        <v>63210</v>
      </c>
      <c r="L19013" s="0" t="str">
        <f aca="false">HYPERLINK("https://www.ncbi.nlm.nih.gov/nuccore/CP000058.1?report=graph&amp;tracks=[key:gene_model_track,Options:GeneOnly]&amp;mk=5837132:5837151|offset_34|444444,5837156:5837175|offset_58|444444,5837187:5837206|offset_89|00cc00,5837213:5837232|offset_115|444444&amp;v=5836931:5837432&amp;c=444444", "offset 89")</f>
        <v>offset 89</v>
      </c>
    </row>
    <row r="19014" customFormat="false" ht="12.8" hidden="false" customHeight="false" outlineLevel="0" collapsed="false">
      <c r="A19014" s="0" t="s">
        <v>12</v>
      </c>
      <c r="B19014" s="0" t="n">
        <v>5837212</v>
      </c>
      <c r="C19014" s="0" t="n">
        <v>5837232</v>
      </c>
      <c r="D19014" s="0" t="s">
        <v>63200</v>
      </c>
      <c r="E19014" s="0" t="s">
        <v>63201</v>
      </c>
      <c r="F19014" s="0" t="s">
        <v>15</v>
      </c>
      <c r="G19014" s="0" t="s">
        <v>36</v>
      </c>
      <c r="H19014" s="0" t="n">
        <v>115</v>
      </c>
      <c r="I19014" s="0" t="s">
        <v>63211</v>
      </c>
      <c r="J19014" s="0" t="s">
        <v>63212</v>
      </c>
      <c r="K19014" s="0" t="s">
        <v>63213</v>
      </c>
      <c r="L19014" s="0" t="str">
        <f aca="false">HYPERLINK("https://www.ncbi.nlm.nih.gov/nuccore/CP000058.1?report=graph&amp;tracks=[key:gene_model_track,Options:GeneOnly]&amp;mk=5837132:5837151|offset_34|444444,5837156:5837175|offset_58|444444,5837187:5837206|offset_89|444444,5837213:5837232|offset_115|00cc00&amp;v=5836931:5837432&amp;c=444444", "offset 115")</f>
        <v>offset 115</v>
      </c>
    </row>
    <row r="19015" customFormat="false" ht="12.8" hidden="false" customHeight="false" outlineLevel="0" collapsed="false">
      <c r="A19015" s="0" t="s">
        <v>12</v>
      </c>
      <c r="B19015" s="0" t="n">
        <v>5839714</v>
      </c>
      <c r="C19015" s="0" t="n">
        <v>5839734</v>
      </c>
      <c r="D19015" s="0" t="s">
        <v>63214</v>
      </c>
      <c r="E19015" s="0" t="s">
        <v>75</v>
      </c>
      <c r="F19015" s="0" t="s">
        <v>15</v>
      </c>
      <c r="G19015" s="0" t="s">
        <v>32</v>
      </c>
      <c r="H19015" s="0" t="n">
        <v>49</v>
      </c>
      <c r="I19015" s="0" t="s">
        <v>63215</v>
      </c>
      <c r="J19015" s="0" t="s">
        <v>63216</v>
      </c>
      <c r="K19015" s="0" t="s">
        <v>63217</v>
      </c>
      <c r="L19015" s="0" t="str">
        <f aca="false">HYPERLINK("https://www.ncbi.nlm.nih.gov/nuccore/CP000058.1?report=graph&amp;tracks=[key:gene_model_track,Options:GeneOnly]&amp;mk=5839715:5839734|offset_49|00cc00,5839736:5839755|offset_70|444444,5839769:5839788|offset_103|444444,5839791:5839810|offset_125|444444&amp;v=5839514:5840010&amp;c=444444", "offset 49")</f>
        <v>offset 49</v>
      </c>
    </row>
    <row r="19016" customFormat="false" ht="12.8" hidden="false" customHeight="false" outlineLevel="0" collapsed="false">
      <c r="A19016" s="0" t="s">
        <v>12</v>
      </c>
      <c r="B19016" s="0" t="n">
        <v>5839735</v>
      </c>
      <c r="C19016" s="0" t="n">
        <v>5839755</v>
      </c>
      <c r="D19016" s="0" t="s">
        <v>63214</v>
      </c>
      <c r="E19016" s="0" t="s">
        <v>75</v>
      </c>
      <c r="F19016" s="0" t="s">
        <v>15</v>
      </c>
      <c r="G19016" s="0" t="s">
        <v>16</v>
      </c>
      <c r="H19016" s="0" t="n">
        <v>70</v>
      </c>
      <c r="I19016" s="0" t="s">
        <v>63218</v>
      </c>
      <c r="J19016" s="0" t="s">
        <v>63219</v>
      </c>
      <c r="K19016" s="0" t="s">
        <v>63220</v>
      </c>
      <c r="L19016" s="0" t="str">
        <f aca="false">HYPERLINK("https://www.ncbi.nlm.nih.gov/nuccore/CP000058.1?report=graph&amp;tracks=[key:gene_model_track,Options:GeneOnly]&amp;mk=5839715:5839734|offset_49|444444,5839736:5839755|offset_70|00cc00,5839769:5839788|offset_103|444444,5839791:5839810|offset_125|444444&amp;v=5839514:5840010&amp;c=444444", "offset 70")</f>
        <v>offset 70</v>
      </c>
    </row>
    <row r="19017" customFormat="false" ht="12.8" hidden="false" customHeight="false" outlineLevel="0" collapsed="false">
      <c r="A19017" s="0" t="s">
        <v>12</v>
      </c>
      <c r="B19017" s="0" t="n">
        <v>5839768</v>
      </c>
      <c r="C19017" s="0" t="n">
        <v>5839788</v>
      </c>
      <c r="D19017" s="0" t="s">
        <v>63214</v>
      </c>
      <c r="E19017" s="0" t="s">
        <v>75</v>
      </c>
      <c r="F19017" s="0" t="s">
        <v>15</v>
      </c>
      <c r="G19017" s="0" t="s">
        <v>16</v>
      </c>
      <c r="H19017" s="0" t="n">
        <v>103</v>
      </c>
      <c r="I19017" s="0" t="s">
        <v>63221</v>
      </c>
      <c r="J19017" s="0" t="s">
        <v>63222</v>
      </c>
      <c r="K19017" s="0" t="s">
        <v>63223</v>
      </c>
      <c r="L19017" s="0" t="str">
        <f aca="false">HYPERLINK("https://www.ncbi.nlm.nih.gov/nuccore/CP000058.1?report=graph&amp;tracks=[key:gene_model_track,Options:GeneOnly]&amp;mk=5839715:5839734|offset_49|444444,5839736:5839755|offset_70|444444,5839769:5839788|offset_103|00cc00,5839791:5839810|offset_125|444444&amp;v=5839514:5840010&amp;c=444444", "offset 103")</f>
        <v>offset 103</v>
      </c>
    </row>
    <row r="19018" customFormat="false" ht="12.8" hidden="false" customHeight="false" outlineLevel="0" collapsed="false">
      <c r="A19018" s="0" t="s">
        <v>12</v>
      </c>
      <c r="B19018" s="0" t="n">
        <v>5839790</v>
      </c>
      <c r="C19018" s="0" t="n">
        <v>5839810</v>
      </c>
      <c r="D19018" s="0" t="s">
        <v>63214</v>
      </c>
      <c r="E19018" s="0" t="s">
        <v>75</v>
      </c>
      <c r="F19018" s="0" t="s">
        <v>15</v>
      </c>
      <c r="G19018" s="0" t="s">
        <v>32</v>
      </c>
      <c r="H19018" s="0" t="n">
        <v>125</v>
      </c>
      <c r="I19018" s="0" t="s">
        <v>63224</v>
      </c>
      <c r="J19018" s="0" t="s">
        <v>63225</v>
      </c>
      <c r="K19018" s="0" t="s">
        <v>63226</v>
      </c>
      <c r="L19018" s="0" t="str">
        <f aca="false">HYPERLINK("https://www.ncbi.nlm.nih.gov/nuccore/CP000058.1?report=graph&amp;tracks=[key:gene_model_track,Options:GeneOnly]&amp;mk=5839715:5839734|offset_49|444444,5839736:5839755|offset_70|444444,5839769:5839788|offset_103|444444,5839791:5839810|offset_125|00cc00&amp;v=5839514:5840010&amp;c=444444", "offset 125")</f>
        <v>offset 125</v>
      </c>
    </row>
    <row r="19019" customFormat="false" ht="12.8" hidden="false" customHeight="false" outlineLevel="0" collapsed="false">
      <c r="A19019" s="0" t="s">
        <v>12</v>
      </c>
      <c r="B19019" s="0" t="n">
        <v>5840680</v>
      </c>
      <c r="C19019" s="0" t="n">
        <v>5840700</v>
      </c>
      <c r="D19019" s="0" t="s">
        <v>63227</v>
      </c>
      <c r="E19019" s="0" t="s">
        <v>75</v>
      </c>
      <c r="F19019" s="0" t="s">
        <v>15</v>
      </c>
      <c r="G19019" s="0" t="s">
        <v>16</v>
      </c>
      <c r="H19019" s="0" t="n">
        <v>42</v>
      </c>
      <c r="I19019" s="0" t="s">
        <v>63228</v>
      </c>
      <c r="J19019" s="0" t="s">
        <v>63229</v>
      </c>
      <c r="K19019" s="0" t="s">
        <v>63230</v>
      </c>
      <c r="L19019" s="0" t="str">
        <f aca="false">HYPERLINK("https://www.ncbi.nlm.nih.gov/nuccore/CP000058.1?report=graph&amp;tracks=[key:gene_model_track,Options:GeneOnly]&amp;mk=5840681:5840700|offset_42|00cc00,5840705:5840724|offset_66|444444,5840756:5840775|offset_117|444444,5840779:5840798|offset_140|444444&amp;v=5840480:5840998&amp;c=444444", "offset 42")</f>
        <v>offset 42</v>
      </c>
    </row>
    <row r="19020" customFormat="false" ht="12.8" hidden="false" customHeight="false" outlineLevel="0" collapsed="false">
      <c r="A19020" s="0" t="s">
        <v>12</v>
      </c>
      <c r="B19020" s="0" t="n">
        <v>5840704</v>
      </c>
      <c r="C19020" s="0" t="n">
        <v>5840724</v>
      </c>
      <c r="D19020" s="0" t="s">
        <v>63227</v>
      </c>
      <c r="E19020" s="0" t="s">
        <v>75</v>
      </c>
      <c r="F19020" s="0" t="s">
        <v>15</v>
      </c>
      <c r="G19020" s="0" t="s">
        <v>32</v>
      </c>
      <c r="H19020" s="0" t="n">
        <v>66</v>
      </c>
      <c r="I19020" s="0" t="s">
        <v>63231</v>
      </c>
      <c r="J19020" s="0" t="s">
        <v>63232</v>
      </c>
      <c r="K19020" s="0" t="s">
        <v>63233</v>
      </c>
      <c r="L19020" s="0" t="str">
        <f aca="false">HYPERLINK("https://www.ncbi.nlm.nih.gov/nuccore/CP000058.1?report=graph&amp;tracks=[key:gene_model_track,Options:GeneOnly]&amp;mk=5840681:5840700|offset_42|444444,5840705:5840724|offset_66|00cc00,5840756:5840775|offset_117|444444,5840779:5840798|offset_140|444444&amp;v=5840480:5840998&amp;c=444444", "offset 66")</f>
        <v>offset 66</v>
      </c>
    </row>
    <row r="19021" customFormat="false" ht="12.8" hidden="false" customHeight="false" outlineLevel="0" collapsed="false">
      <c r="A19021" s="0" t="s">
        <v>12</v>
      </c>
      <c r="B19021" s="0" t="n">
        <v>5840755</v>
      </c>
      <c r="C19021" s="0" t="n">
        <v>5840775</v>
      </c>
      <c r="D19021" s="0" t="s">
        <v>63227</v>
      </c>
      <c r="E19021" s="0" t="s">
        <v>75</v>
      </c>
      <c r="F19021" s="0" t="s">
        <v>15</v>
      </c>
      <c r="G19021" s="0" t="s">
        <v>16</v>
      </c>
      <c r="H19021" s="0" t="n">
        <v>117</v>
      </c>
      <c r="I19021" s="0" t="s">
        <v>63234</v>
      </c>
      <c r="J19021" s="0" t="s">
        <v>63235</v>
      </c>
      <c r="K19021" s="0" t="s">
        <v>63236</v>
      </c>
      <c r="L19021" s="0" t="str">
        <f aca="false">HYPERLINK("https://www.ncbi.nlm.nih.gov/nuccore/CP000058.1?report=graph&amp;tracks=[key:gene_model_track,Options:GeneOnly]&amp;mk=5840681:5840700|offset_42|444444,5840705:5840724|offset_66|444444,5840756:5840775|offset_117|00cc00,5840779:5840798|offset_140|444444&amp;v=5840480:5840998&amp;c=444444", "offset 117")</f>
        <v>offset 117</v>
      </c>
    </row>
    <row r="19022" customFormat="false" ht="12.8" hidden="false" customHeight="false" outlineLevel="0" collapsed="false">
      <c r="A19022" s="0" t="s">
        <v>12</v>
      </c>
      <c r="B19022" s="0" t="n">
        <v>5840778</v>
      </c>
      <c r="C19022" s="0" t="n">
        <v>5840798</v>
      </c>
      <c r="D19022" s="0" t="s">
        <v>63227</v>
      </c>
      <c r="E19022" s="0" t="s">
        <v>75</v>
      </c>
      <c r="F19022" s="0" t="s">
        <v>15</v>
      </c>
      <c r="G19022" s="0" t="s">
        <v>20</v>
      </c>
      <c r="H19022" s="0" t="n">
        <v>140</v>
      </c>
      <c r="I19022" s="0" t="s">
        <v>63237</v>
      </c>
      <c r="J19022" s="0" t="s">
        <v>63238</v>
      </c>
      <c r="K19022" s="0" t="s">
        <v>63239</v>
      </c>
      <c r="L19022" s="0" t="str">
        <f aca="false">HYPERLINK("https://www.ncbi.nlm.nih.gov/nuccore/CP000058.1?report=graph&amp;tracks=[key:gene_model_track,Options:GeneOnly]&amp;mk=5840681:5840700|offset_42|444444,5840705:5840724|offset_66|444444,5840756:5840775|offset_117|444444,5840779:5840798|offset_140|00cc00&amp;v=5840480:5840998&amp;c=444444", "offset 140")</f>
        <v>offset 140</v>
      </c>
    </row>
    <row r="19023" customFormat="false" ht="12.8" hidden="false" customHeight="false" outlineLevel="0" collapsed="false">
      <c r="A19023" s="0" t="s">
        <v>12</v>
      </c>
      <c r="B19023" s="0" t="n">
        <v>5842830</v>
      </c>
      <c r="C19023" s="0" t="n">
        <v>5842850</v>
      </c>
      <c r="D19023" s="0" t="s">
        <v>63240</v>
      </c>
      <c r="E19023" s="0" t="s">
        <v>75</v>
      </c>
      <c r="F19023" s="0" t="s">
        <v>90</v>
      </c>
      <c r="G19023" s="0" t="s">
        <v>36</v>
      </c>
      <c r="H19023" s="0" t="n">
        <v>0</v>
      </c>
      <c r="I19023" s="0" t="s">
        <v>63241</v>
      </c>
      <c r="J19023" s="0" t="s">
        <v>63242</v>
      </c>
      <c r="K19023" s="0" t="s">
        <v>63243</v>
      </c>
      <c r="L19023" s="0" t="str">
        <f aca="false">HYPERLINK("https://www.ncbi.nlm.nih.gov/nuccore/CP000058.1?report=graph&amp;tracks=[key:gene_model_track,Options:GeneOnly]&amp;mk=5842831:5842850|offset_0|00cc00,5842802:5842821|offset_29|444444,5842779:5842798|offset_52|444444,5842754:5842773|offset_77|444444&amp;v=5842630:5842973&amp;c=444444", "offset 0")</f>
        <v>offset 0</v>
      </c>
    </row>
    <row r="19024" customFormat="false" ht="12.8" hidden="false" customHeight="false" outlineLevel="0" collapsed="false">
      <c r="A19024" s="0" t="s">
        <v>12</v>
      </c>
      <c r="B19024" s="0" t="n">
        <v>5842801</v>
      </c>
      <c r="C19024" s="0" t="n">
        <v>5842821</v>
      </c>
      <c r="D19024" s="0" t="s">
        <v>63240</v>
      </c>
      <c r="E19024" s="0" t="s">
        <v>75</v>
      </c>
      <c r="F19024" s="0" t="s">
        <v>90</v>
      </c>
      <c r="G19024" s="0" t="s">
        <v>20</v>
      </c>
      <c r="H19024" s="0" t="n">
        <v>29</v>
      </c>
      <c r="I19024" s="0" t="s">
        <v>63244</v>
      </c>
      <c r="J19024" s="0" t="s">
        <v>63245</v>
      </c>
      <c r="K19024" s="0" t="s">
        <v>63246</v>
      </c>
      <c r="L19024" s="0" t="str">
        <f aca="false">HYPERLINK("https://www.ncbi.nlm.nih.gov/nuccore/CP000058.1?report=graph&amp;tracks=[key:gene_model_track,Options:GeneOnly]&amp;mk=5842831:5842850|offset_0|444444,5842802:5842821|offset_29|00cc00,5842779:5842798|offset_52|444444,5842754:5842773|offset_77|444444&amp;v=5842630:5842973&amp;c=444444", "offset 29")</f>
        <v>offset 29</v>
      </c>
    </row>
    <row r="19025" customFormat="false" ht="12.8" hidden="false" customHeight="false" outlineLevel="0" collapsed="false">
      <c r="A19025" s="0" t="s">
        <v>12</v>
      </c>
      <c r="B19025" s="0" t="n">
        <v>5842778</v>
      </c>
      <c r="C19025" s="0" t="n">
        <v>5842798</v>
      </c>
      <c r="D19025" s="0" t="s">
        <v>63240</v>
      </c>
      <c r="E19025" s="0" t="s">
        <v>75</v>
      </c>
      <c r="F19025" s="0" t="s">
        <v>90</v>
      </c>
      <c r="G19025" s="0" t="s">
        <v>16</v>
      </c>
      <c r="H19025" s="0" t="n">
        <v>52</v>
      </c>
      <c r="I19025" s="0" t="s">
        <v>63247</v>
      </c>
      <c r="J19025" s="0" t="s">
        <v>63248</v>
      </c>
      <c r="K19025" s="0" t="s">
        <v>63249</v>
      </c>
      <c r="L19025" s="0" t="str">
        <f aca="false">HYPERLINK("https://www.ncbi.nlm.nih.gov/nuccore/CP000058.1?report=graph&amp;tracks=[key:gene_model_track,Options:GeneOnly]&amp;mk=5842831:5842850|offset_0|444444,5842802:5842821|offset_29|444444,5842779:5842798|offset_52|00cc00,5842754:5842773|offset_77|444444&amp;v=5842630:5842973&amp;c=444444", "offset 52")</f>
        <v>offset 52</v>
      </c>
    </row>
    <row r="19026" customFormat="false" ht="12.8" hidden="false" customHeight="false" outlineLevel="0" collapsed="false">
      <c r="A19026" s="0" t="s">
        <v>12</v>
      </c>
      <c r="B19026" s="0" t="n">
        <v>5842753</v>
      </c>
      <c r="C19026" s="0" t="n">
        <v>5842773</v>
      </c>
      <c r="D19026" s="0" t="s">
        <v>63240</v>
      </c>
      <c r="E19026" s="0" t="s">
        <v>75</v>
      </c>
      <c r="F19026" s="0" t="s">
        <v>90</v>
      </c>
      <c r="G19026" s="0" t="s">
        <v>16</v>
      </c>
      <c r="H19026" s="0" t="n">
        <v>77</v>
      </c>
      <c r="I19026" s="0" t="s">
        <v>63250</v>
      </c>
      <c r="J19026" s="0" t="s">
        <v>63251</v>
      </c>
      <c r="K19026" s="0" t="s">
        <v>63252</v>
      </c>
      <c r="L19026" s="0" t="str">
        <f aca="false">HYPERLINK("https://www.ncbi.nlm.nih.gov/nuccore/CP000058.1?report=graph&amp;tracks=[key:gene_model_track,Options:GeneOnly]&amp;mk=5842831:5842850|offset_0|444444,5842802:5842821|offset_29|444444,5842779:5842798|offset_52|444444,5842754:5842773|offset_77|00cc00&amp;v=5842630:5842973&amp;c=444444", "offset 77")</f>
        <v>offset 77</v>
      </c>
    </row>
    <row r="19027" customFormat="false" ht="12.8" hidden="false" customHeight="false" outlineLevel="0" collapsed="false">
      <c r="A19027" s="0" t="s">
        <v>12</v>
      </c>
      <c r="B19027" s="0" t="n">
        <v>5843149</v>
      </c>
      <c r="C19027" s="0" t="n">
        <v>5843169</v>
      </c>
      <c r="D19027" s="0" t="s">
        <v>63253</v>
      </c>
      <c r="E19027" s="0" t="s">
        <v>75</v>
      </c>
      <c r="F19027" s="0" t="s">
        <v>15</v>
      </c>
      <c r="G19027" s="0" t="s">
        <v>36</v>
      </c>
      <c r="H19027" s="0" t="n">
        <v>9</v>
      </c>
      <c r="I19027" s="0" t="s">
        <v>63254</v>
      </c>
      <c r="J19027" s="0" t="s">
        <v>63255</v>
      </c>
      <c r="K19027" s="0" t="s">
        <v>63256</v>
      </c>
      <c r="L19027" s="0" t="str">
        <f aca="false">HYPERLINK("https://www.ncbi.nlm.nih.gov/nuccore/CP000058.1?report=graph&amp;tracks=[key:gene_model_track,Options:GeneOnly]&amp;mk=5843150:5843169|offset_9|00cc00,5843187:5843206|offset_46|444444,5843242:5843261|offset_101|444444,5843268:5843287|offset_127|444444&amp;v=5842949:5843487&amp;c=444444", "offset 9")</f>
        <v>offset 9</v>
      </c>
    </row>
    <row r="19028" customFormat="false" ht="12.8" hidden="false" customHeight="false" outlineLevel="0" collapsed="false">
      <c r="A19028" s="0" t="s">
        <v>12</v>
      </c>
      <c r="B19028" s="0" t="n">
        <v>5843186</v>
      </c>
      <c r="C19028" s="0" t="n">
        <v>5843206</v>
      </c>
      <c r="D19028" s="0" t="s">
        <v>63253</v>
      </c>
      <c r="E19028" s="0" t="s">
        <v>75</v>
      </c>
      <c r="F19028" s="0" t="s">
        <v>15</v>
      </c>
      <c r="G19028" s="0" t="s">
        <v>36</v>
      </c>
      <c r="H19028" s="0" t="n">
        <v>46</v>
      </c>
      <c r="I19028" s="0" t="s">
        <v>63257</v>
      </c>
      <c r="J19028" s="0" t="s">
        <v>63258</v>
      </c>
      <c r="K19028" s="0" t="s">
        <v>63259</v>
      </c>
      <c r="L19028" s="0" t="str">
        <f aca="false">HYPERLINK("https://www.ncbi.nlm.nih.gov/nuccore/CP000058.1?report=graph&amp;tracks=[key:gene_model_track,Options:GeneOnly]&amp;mk=5843150:5843169|offset_9|444444,5843187:5843206|offset_46|00cc00,5843242:5843261|offset_101|444444,5843268:5843287|offset_127|444444&amp;v=5842949:5843487&amp;c=444444", "offset 46")</f>
        <v>offset 46</v>
      </c>
    </row>
    <row r="19029" customFormat="false" ht="12.8" hidden="false" customHeight="false" outlineLevel="0" collapsed="false">
      <c r="A19029" s="0" t="s">
        <v>12</v>
      </c>
      <c r="B19029" s="0" t="n">
        <v>5843241</v>
      </c>
      <c r="C19029" s="0" t="n">
        <v>5843261</v>
      </c>
      <c r="D19029" s="0" t="s">
        <v>63253</v>
      </c>
      <c r="E19029" s="0" t="s">
        <v>75</v>
      </c>
      <c r="F19029" s="0" t="s">
        <v>15</v>
      </c>
      <c r="G19029" s="0" t="s">
        <v>20</v>
      </c>
      <c r="H19029" s="0" t="n">
        <v>101</v>
      </c>
      <c r="I19029" s="0" t="s">
        <v>63260</v>
      </c>
      <c r="J19029" s="0" t="s">
        <v>63261</v>
      </c>
      <c r="K19029" s="0" t="s">
        <v>63262</v>
      </c>
      <c r="L19029" s="0" t="str">
        <f aca="false">HYPERLINK("https://www.ncbi.nlm.nih.gov/nuccore/CP000058.1?report=graph&amp;tracks=[key:gene_model_track,Options:GeneOnly]&amp;mk=5843150:5843169|offset_9|444444,5843187:5843206|offset_46|444444,5843242:5843261|offset_101|00cc00,5843268:5843287|offset_127|444444&amp;v=5842949:5843487&amp;c=444444", "offset 101")</f>
        <v>offset 101</v>
      </c>
    </row>
    <row r="19030" customFormat="false" ht="12.8" hidden="false" customHeight="false" outlineLevel="0" collapsed="false">
      <c r="A19030" s="0" t="s">
        <v>12</v>
      </c>
      <c r="B19030" s="0" t="n">
        <v>5843267</v>
      </c>
      <c r="C19030" s="0" t="n">
        <v>5843287</v>
      </c>
      <c r="D19030" s="0" t="s">
        <v>63253</v>
      </c>
      <c r="E19030" s="0" t="s">
        <v>75</v>
      </c>
      <c r="F19030" s="0" t="s">
        <v>15</v>
      </c>
      <c r="G19030" s="0" t="s">
        <v>32</v>
      </c>
      <c r="H19030" s="0" t="n">
        <v>127</v>
      </c>
      <c r="I19030" s="0" t="s">
        <v>63263</v>
      </c>
      <c r="J19030" s="0" t="s">
        <v>63264</v>
      </c>
      <c r="K19030" s="0" t="s">
        <v>63265</v>
      </c>
      <c r="L19030" s="0" t="str">
        <f aca="false">HYPERLINK("https://www.ncbi.nlm.nih.gov/nuccore/CP000058.1?report=graph&amp;tracks=[key:gene_model_track,Options:GeneOnly]&amp;mk=5843150:5843169|offset_9|444444,5843187:5843206|offset_46|444444,5843242:5843261|offset_101|444444,5843268:5843287|offset_127|00cc00&amp;v=5842949:5843487&amp;c=444444", "offset 127")</f>
        <v>offset 127</v>
      </c>
    </row>
    <row r="19031" customFormat="false" ht="12.8" hidden="false" customHeight="false" outlineLevel="0" collapsed="false">
      <c r="A19031" s="0" t="s">
        <v>12</v>
      </c>
      <c r="B19031" s="0" t="n">
        <v>5844521</v>
      </c>
      <c r="C19031" s="0" t="n">
        <v>5844541</v>
      </c>
      <c r="D19031" s="0" t="s">
        <v>63266</v>
      </c>
      <c r="E19031" s="0" t="s">
        <v>75</v>
      </c>
      <c r="F19031" s="0" t="s">
        <v>90</v>
      </c>
      <c r="G19031" s="0" t="s">
        <v>32</v>
      </c>
      <c r="H19031" s="0" t="n">
        <v>0</v>
      </c>
      <c r="I19031" s="0" t="s">
        <v>63267</v>
      </c>
      <c r="J19031" s="0" t="s">
        <v>63268</v>
      </c>
      <c r="K19031" s="0" t="s">
        <v>63269</v>
      </c>
      <c r="L19031" s="0" t="str">
        <f aca="false">HYPERLINK("https://www.ncbi.nlm.nih.gov/nuccore/CP000058.1?report=graph&amp;tracks=[key:gene_model_track,Options:GeneOnly]&amp;mk=5844522:5844541|offset_0|00cc00,5844490:5844509|offset_32|444444,5844469:5844488|offset_53|444444,5844442:5844461|offset_80|444444&amp;v=5844321:5844661&amp;c=444444", "offset 0")</f>
        <v>offset 0</v>
      </c>
    </row>
    <row r="19032" customFormat="false" ht="12.8" hidden="false" customHeight="false" outlineLevel="0" collapsed="false">
      <c r="A19032" s="0" t="s">
        <v>12</v>
      </c>
      <c r="B19032" s="0" t="n">
        <v>5844489</v>
      </c>
      <c r="C19032" s="0" t="n">
        <v>5844509</v>
      </c>
      <c r="D19032" s="0" t="s">
        <v>63266</v>
      </c>
      <c r="E19032" s="0" t="s">
        <v>75</v>
      </c>
      <c r="F19032" s="0" t="s">
        <v>90</v>
      </c>
      <c r="G19032" s="0" t="s">
        <v>32</v>
      </c>
      <c r="H19032" s="0" t="n">
        <v>32</v>
      </c>
      <c r="I19032" s="0" t="s">
        <v>63270</v>
      </c>
      <c r="J19032" s="0" t="s">
        <v>63271</v>
      </c>
      <c r="K19032" s="0" t="s">
        <v>63272</v>
      </c>
      <c r="L19032" s="0" t="str">
        <f aca="false">HYPERLINK("https://www.ncbi.nlm.nih.gov/nuccore/CP000058.1?report=graph&amp;tracks=[key:gene_model_track,Options:GeneOnly]&amp;mk=5844522:5844541|offset_0|444444,5844490:5844509|offset_32|00cc00,5844469:5844488|offset_53|444444,5844442:5844461|offset_80|444444&amp;v=5844321:5844661&amp;c=444444", "offset 32")</f>
        <v>offset 32</v>
      </c>
    </row>
    <row r="19033" customFormat="false" ht="12.8" hidden="false" customHeight="false" outlineLevel="0" collapsed="false">
      <c r="A19033" s="0" t="s">
        <v>12</v>
      </c>
      <c r="B19033" s="0" t="n">
        <v>5844468</v>
      </c>
      <c r="C19033" s="0" t="n">
        <v>5844488</v>
      </c>
      <c r="D19033" s="0" t="s">
        <v>63266</v>
      </c>
      <c r="E19033" s="0" t="s">
        <v>75</v>
      </c>
      <c r="F19033" s="0" t="s">
        <v>90</v>
      </c>
      <c r="G19033" s="0" t="s">
        <v>32</v>
      </c>
      <c r="H19033" s="0" t="n">
        <v>53</v>
      </c>
      <c r="I19033" s="0" t="s">
        <v>63273</v>
      </c>
      <c r="J19033" s="0" t="s">
        <v>63274</v>
      </c>
      <c r="K19033" s="0" t="s">
        <v>63275</v>
      </c>
      <c r="L19033" s="0" t="str">
        <f aca="false">HYPERLINK("https://www.ncbi.nlm.nih.gov/nuccore/CP000058.1?report=graph&amp;tracks=[key:gene_model_track,Options:GeneOnly]&amp;mk=5844522:5844541|offset_0|444444,5844490:5844509|offset_32|444444,5844469:5844488|offset_53|00cc00,5844442:5844461|offset_80|444444&amp;v=5844321:5844661&amp;c=444444", "offset 53")</f>
        <v>offset 53</v>
      </c>
    </row>
    <row r="19034" customFormat="false" ht="12.8" hidden="false" customHeight="false" outlineLevel="0" collapsed="false">
      <c r="A19034" s="0" t="s">
        <v>12</v>
      </c>
      <c r="B19034" s="0" t="n">
        <v>5844441</v>
      </c>
      <c r="C19034" s="0" t="n">
        <v>5844461</v>
      </c>
      <c r="D19034" s="0" t="s">
        <v>63266</v>
      </c>
      <c r="E19034" s="0" t="s">
        <v>75</v>
      </c>
      <c r="F19034" s="0" t="s">
        <v>90</v>
      </c>
      <c r="G19034" s="0" t="s">
        <v>36</v>
      </c>
      <c r="H19034" s="0" t="n">
        <v>80</v>
      </c>
      <c r="I19034" s="0" t="s">
        <v>63276</v>
      </c>
      <c r="J19034" s="0" t="s">
        <v>63277</v>
      </c>
      <c r="K19034" s="0" t="s">
        <v>63278</v>
      </c>
      <c r="L19034" s="0" t="str">
        <f aca="false">HYPERLINK("https://www.ncbi.nlm.nih.gov/nuccore/CP000058.1?report=graph&amp;tracks=[key:gene_model_track,Options:GeneOnly]&amp;mk=5844522:5844541|offset_0|444444,5844490:5844509|offset_32|444444,5844469:5844488|offset_53|444444,5844442:5844461|offset_80|00cc00&amp;v=5844321:5844661&amp;c=444444", "offset 80")</f>
        <v>offset 80</v>
      </c>
    </row>
    <row r="19035" customFormat="false" ht="12.8" hidden="false" customHeight="false" outlineLevel="0" collapsed="false">
      <c r="A19035" s="0" t="s">
        <v>12</v>
      </c>
      <c r="B19035" s="0" t="n">
        <v>5844669</v>
      </c>
      <c r="C19035" s="0" t="n">
        <v>5844689</v>
      </c>
      <c r="D19035" s="0" t="s">
        <v>63279</v>
      </c>
      <c r="E19035" s="0" t="s">
        <v>75</v>
      </c>
      <c r="F19035" s="0" t="s">
        <v>15</v>
      </c>
      <c r="G19035" s="0" t="s">
        <v>36</v>
      </c>
      <c r="H19035" s="0" t="n">
        <v>10</v>
      </c>
      <c r="I19035" s="0" t="s">
        <v>63280</v>
      </c>
      <c r="J19035" s="0" t="s">
        <v>63281</v>
      </c>
      <c r="K19035" s="0" t="s">
        <v>63282</v>
      </c>
      <c r="L19035" s="0" t="str">
        <f aca="false">HYPERLINK("https://www.ncbi.nlm.nih.gov/nuccore/CP000058.1?report=graph&amp;tracks=[key:gene_model_track,Options:GeneOnly]&amp;mk=5844670:5844689|offset_10|00cc00,5844715:5844734|offset_55|444444,5844782:5844801|offset_122|444444,5844808:5844827|offset_148|444444&amp;v=5844469:5845027&amp;c=444444", "offset 10")</f>
        <v>offset 10</v>
      </c>
    </row>
    <row r="19036" customFormat="false" ht="12.8" hidden="false" customHeight="false" outlineLevel="0" collapsed="false">
      <c r="A19036" s="0" t="s">
        <v>12</v>
      </c>
      <c r="B19036" s="0" t="n">
        <v>5844714</v>
      </c>
      <c r="C19036" s="0" t="n">
        <v>5844734</v>
      </c>
      <c r="D19036" s="0" t="s">
        <v>63279</v>
      </c>
      <c r="E19036" s="0" t="s">
        <v>75</v>
      </c>
      <c r="F19036" s="0" t="s">
        <v>15</v>
      </c>
      <c r="G19036" s="0" t="s">
        <v>20</v>
      </c>
      <c r="H19036" s="0" t="n">
        <v>55</v>
      </c>
      <c r="I19036" s="0" t="s">
        <v>63283</v>
      </c>
      <c r="J19036" s="0" t="s">
        <v>63284</v>
      </c>
      <c r="K19036" s="0" t="s">
        <v>63285</v>
      </c>
      <c r="L19036" s="0" t="str">
        <f aca="false">HYPERLINK("https://www.ncbi.nlm.nih.gov/nuccore/CP000058.1?report=graph&amp;tracks=[key:gene_model_track,Options:GeneOnly]&amp;mk=5844670:5844689|offset_10|444444,5844715:5844734|offset_55|00cc00,5844782:5844801|offset_122|444444,5844808:5844827|offset_148|444444&amp;v=5844469:5845027&amp;c=444444", "offset 55")</f>
        <v>offset 55</v>
      </c>
    </row>
    <row r="19037" customFormat="false" ht="12.8" hidden="false" customHeight="false" outlineLevel="0" collapsed="false">
      <c r="A19037" s="0" t="s">
        <v>12</v>
      </c>
      <c r="B19037" s="0" t="n">
        <v>5844781</v>
      </c>
      <c r="C19037" s="0" t="n">
        <v>5844801</v>
      </c>
      <c r="D19037" s="0" t="s">
        <v>63279</v>
      </c>
      <c r="E19037" s="0" t="s">
        <v>75</v>
      </c>
      <c r="F19037" s="0" t="s">
        <v>15</v>
      </c>
      <c r="G19037" s="0" t="s">
        <v>20</v>
      </c>
      <c r="H19037" s="0" t="n">
        <v>122</v>
      </c>
      <c r="I19037" s="0" t="s">
        <v>63286</v>
      </c>
      <c r="J19037" s="0" t="s">
        <v>63287</v>
      </c>
      <c r="K19037" s="0" t="s">
        <v>63288</v>
      </c>
      <c r="L19037" s="0" t="str">
        <f aca="false">HYPERLINK("https://www.ncbi.nlm.nih.gov/nuccore/CP000058.1?report=graph&amp;tracks=[key:gene_model_track,Options:GeneOnly]&amp;mk=5844670:5844689|offset_10|444444,5844715:5844734|offset_55|444444,5844782:5844801|offset_122|00cc00,5844808:5844827|offset_148|444444&amp;v=5844469:5845027&amp;c=444444", "offset 122")</f>
        <v>offset 122</v>
      </c>
    </row>
    <row r="19038" customFormat="false" ht="12.8" hidden="false" customHeight="false" outlineLevel="0" collapsed="false">
      <c r="A19038" s="0" t="s">
        <v>12</v>
      </c>
      <c r="B19038" s="0" t="n">
        <v>5844807</v>
      </c>
      <c r="C19038" s="0" t="n">
        <v>5844827</v>
      </c>
      <c r="D19038" s="0" t="s">
        <v>63279</v>
      </c>
      <c r="E19038" s="0" t="s">
        <v>75</v>
      </c>
      <c r="F19038" s="0" t="s">
        <v>15</v>
      </c>
      <c r="G19038" s="0" t="s">
        <v>16</v>
      </c>
      <c r="H19038" s="0" t="n">
        <v>148</v>
      </c>
      <c r="I19038" s="0" t="s">
        <v>63289</v>
      </c>
      <c r="J19038" s="0" t="s">
        <v>63290</v>
      </c>
      <c r="K19038" s="0" t="s">
        <v>63291</v>
      </c>
      <c r="L19038" s="0" t="str">
        <f aca="false">HYPERLINK("https://www.ncbi.nlm.nih.gov/nuccore/CP000058.1?report=graph&amp;tracks=[key:gene_model_track,Options:GeneOnly]&amp;mk=5844670:5844689|offset_10|444444,5844715:5844734|offset_55|444444,5844782:5844801|offset_122|444444,5844808:5844827|offset_148|00cc00&amp;v=5844469:5845027&amp;c=444444", "offset 148")</f>
        <v>offset 148</v>
      </c>
    </row>
    <row r="19039" customFormat="false" ht="12.8" hidden="false" customHeight="false" outlineLevel="0" collapsed="false">
      <c r="A19039" s="0" t="s">
        <v>12</v>
      </c>
      <c r="B19039" s="0" t="n">
        <v>5846136</v>
      </c>
      <c r="C19039" s="0" t="n">
        <v>5846156</v>
      </c>
      <c r="D19039" s="0" t="s">
        <v>63292</v>
      </c>
      <c r="E19039" s="0" t="s">
        <v>75</v>
      </c>
      <c r="F19039" s="0" t="s">
        <v>90</v>
      </c>
      <c r="G19039" s="0" t="s">
        <v>36</v>
      </c>
      <c r="H19039" s="0" t="n">
        <v>7</v>
      </c>
      <c r="I19039" s="0" t="s">
        <v>63293</v>
      </c>
      <c r="J19039" s="0" t="s">
        <v>63294</v>
      </c>
      <c r="K19039" s="0" t="s">
        <v>63295</v>
      </c>
      <c r="L19039" s="0" t="str">
        <f aca="false">HYPERLINK("https://www.ncbi.nlm.nih.gov/nuccore/CP000058.1?report=graph&amp;tracks=[key:gene_model_track,Options:GeneOnly]&amp;mk=5846137:5846156|offset_7|00cc00,5846114:5846133|offset_30|444444,5846076:5846095|offset_68|444444,5846056:5846075|offset_88|444444&amp;v=5845936:5846275&amp;c=444444", "offset 7")</f>
        <v>offset 7</v>
      </c>
    </row>
    <row r="19040" customFormat="false" ht="12.8" hidden="false" customHeight="false" outlineLevel="0" collapsed="false">
      <c r="A19040" s="0" t="s">
        <v>12</v>
      </c>
      <c r="B19040" s="0" t="n">
        <v>5846113</v>
      </c>
      <c r="C19040" s="0" t="n">
        <v>5846133</v>
      </c>
      <c r="D19040" s="0" t="s">
        <v>63292</v>
      </c>
      <c r="E19040" s="0" t="s">
        <v>75</v>
      </c>
      <c r="F19040" s="0" t="s">
        <v>90</v>
      </c>
      <c r="G19040" s="0" t="s">
        <v>36</v>
      </c>
      <c r="H19040" s="0" t="n">
        <v>30</v>
      </c>
      <c r="I19040" s="0" t="s">
        <v>63296</v>
      </c>
      <c r="J19040" s="0" t="s">
        <v>63297</v>
      </c>
      <c r="K19040" s="0" t="s">
        <v>63298</v>
      </c>
      <c r="L19040" s="0" t="str">
        <f aca="false">HYPERLINK("https://www.ncbi.nlm.nih.gov/nuccore/CP000058.1?report=graph&amp;tracks=[key:gene_model_track,Options:GeneOnly]&amp;mk=5846137:5846156|offset_7|444444,5846114:5846133|offset_30|00cc00,5846076:5846095|offset_68|444444,5846056:5846075|offset_88|444444&amp;v=5845936:5846275&amp;c=444444", "offset 30")</f>
        <v>offset 30</v>
      </c>
    </row>
    <row r="19041" customFormat="false" ht="12.8" hidden="false" customHeight="false" outlineLevel="0" collapsed="false">
      <c r="A19041" s="0" t="s">
        <v>12</v>
      </c>
      <c r="B19041" s="0" t="n">
        <v>5846075</v>
      </c>
      <c r="C19041" s="0" t="n">
        <v>5846095</v>
      </c>
      <c r="D19041" s="0" t="s">
        <v>63292</v>
      </c>
      <c r="E19041" s="0" t="s">
        <v>75</v>
      </c>
      <c r="F19041" s="0" t="s">
        <v>90</v>
      </c>
      <c r="G19041" s="0" t="s">
        <v>36</v>
      </c>
      <c r="H19041" s="0" t="n">
        <v>68</v>
      </c>
      <c r="I19041" s="0" t="s">
        <v>63299</v>
      </c>
      <c r="J19041" s="0" t="s">
        <v>63300</v>
      </c>
      <c r="K19041" s="0" t="s">
        <v>63301</v>
      </c>
      <c r="L19041" s="0" t="str">
        <f aca="false">HYPERLINK("https://www.ncbi.nlm.nih.gov/nuccore/CP000058.1?report=graph&amp;tracks=[key:gene_model_track,Options:GeneOnly]&amp;mk=5846137:5846156|offset_7|444444,5846114:5846133|offset_30|444444,5846076:5846095|offset_68|00cc00,5846056:5846075|offset_88|444444&amp;v=5845936:5846275&amp;c=444444", "offset 68")</f>
        <v>offset 68</v>
      </c>
    </row>
    <row r="19042" customFormat="false" ht="12.8" hidden="false" customHeight="false" outlineLevel="0" collapsed="false">
      <c r="A19042" s="0" t="s">
        <v>12</v>
      </c>
      <c r="B19042" s="0" t="n">
        <v>5846055</v>
      </c>
      <c r="C19042" s="0" t="n">
        <v>5846075</v>
      </c>
      <c r="D19042" s="0" t="s">
        <v>63292</v>
      </c>
      <c r="E19042" s="0" t="s">
        <v>75</v>
      </c>
      <c r="F19042" s="0" t="s">
        <v>90</v>
      </c>
      <c r="G19042" s="0" t="s">
        <v>32</v>
      </c>
      <c r="H19042" s="0" t="n">
        <v>88</v>
      </c>
      <c r="I19042" s="0" t="s">
        <v>63302</v>
      </c>
      <c r="J19042" s="0" t="s">
        <v>63303</v>
      </c>
      <c r="K19042" s="0" t="s">
        <v>63304</v>
      </c>
      <c r="L19042" s="0" t="str">
        <f aca="false">HYPERLINK("https://www.ncbi.nlm.nih.gov/nuccore/CP000058.1?report=graph&amp;tracks=[key:gene_model_track,Options:GeneOnly]&amp;mk=5846137:5846156|offset_7|444444,5846114:5846133|offset_30|444444,5846076:5846095|offset_68|444444,5846056:5846075|offset_88|00cc00&amp;v=5845936:5846275&amp;c=444444", "offset 88")</f>
        <v>offset 88</v>
      </c>
    </row>
    <row r="19043" customFormat="false" ht="12.8" hidden="false" customHeight="false" outlineLevel="0" collapsed="false">
      <c r="A19043" s="0" t="s">
        <v>12</v>
      </c>
      <c r="B19043" s="0" t="n">
        <v>5846206</v>
      </c>
      <c r="C19043" s="0" t="n">
        <v>5846226</v>
      </c>
      <c r="D19043" s="0" t="s">
        <v>63305</v>
      </c>
      <c r="E19043" s="0" t="s">
        <v>75</v>
      </c>
      <c r="F19043" s="0" t="s">
        <v>15</v>
      </c>
      <c r="G19043" s="0" t="s">
        <v>36</v>
      </c>
      <c r="H19043" s="0" t="n">
        <v>21</v>
      </c>
      <c r="I19043" s="0" t="s">
        <v>63306</v>
      </c>
      <c r="J19043" s="0" t="s">
        <v>63307</v>
      </c>
      <c r="K19043" s="0" t="s">
        <v>63308</v>
      </c>
      <c r="L19043" s="0" t="str">
        <f aca="false">HYPERLINK("https://www.ncbi.nlm.nih.gov/nuccore/CP000058.1?report=graph&amp;tracks=[key:gene_model_track,Options:GeneOnly]&amp;mk=5846207:5846226|offset_21|00cc00,5846259:5846278|offset_73|444444,5846281:5846300|offset_95|444444,5846311:5846330|offset_125|444444&amp;v=5846006:5846530&amp;c=444444", "offset 21")</f>
        <v>offset 21</v>
      </c>
    </row>
    <row r="19044" customFormat="false" ht="12.8" hidden="false" customHeight="false" outlineLevel="0" collapsed="false">
      <c r="A19044" s="0" t="s">
        <v>12</v>
      </c>
      <c r="B19044" s="0" t="n">
        <v>5846258</v>
      </c>
      <c r="C19044" s="0" t="n">
        <v>5846278</v>
      </c>
      <c r="D19044" s="0" t="s">
        <v>63305</v>
      </c>
      <c r="E19044" s="0" t="s">
        <v>75</v>
      </c>
      <c r="F19044" s="0" t="s">
        <v>15</v>
      </c>
      <c r="G19044" s="0" t="s">
        <v>16</v>
      </c>
      <c r="H19044" s="0" t="n">
        <v>73</v>
      </c>
      <c r="I19044" s="0" t="s">
        <v>63309</v>
      </c>
      <c r="J19044" s="0" t="s">
        <v>63310</v>
      </c>
      <c r="K19044" s="0" t="s">
        <v>63311</v>
      </c>
      <c r="L19044" s="0" t="str">
        <f aca="false">HYPERLINK("https://www.ncbi.nlm.nih.gov/nuccore/CP000058.1?report=graph&amp;tracks=[key:gene_model_track,Options:GeneOnly]&amp;mk=5846207:5846226|offset_21|444444,5846259:5846278|offset_73|00cc00,5846281:5846300|offset_95|444444,5846311:5846330|offset_125|444444&amp;v=5846006:5846530&amp;c=444444", "offset 73")</f>
        <v>offset 73</v>
      </c>
    </row>
    <row r="19045" customFormat="false" ht="12.8" hidden="false" customHeight="false" outlineLevel="0" collapsed="false">
      <c r="A19045" s="0" t="s">
        <v>12</v>
      </c>
      <c r="B19045" s="0" t="n">
        <v>5846280</v>
      </c>
      <c r="C19045" s="0" t="n">
        <v>5846300</v>
      </c>
      <c r="D19045" s="0" t="s">
        <v>63305</v>
      </c>
      <c r="E19045" s="0" t="s">
        <v>75</v>
      </c>
      <c r="F19045" s="0" t="s">
        <v>15</v>
      </c>
      <c r="G19045" s="0" t="s">
        <v>32</v>
      </c>
      <c r="H19045" s="0" t="n">
        <v>95</v>
      </c>
      <c r="I19045" s="0" t="s">
        <v>63312</v>
      </c>
      <c r="J19045" s="0" t="s">
        <v>63313</v>
      </c>
      <c r="K19045" s="0" t="s">
        <v>63314</v>
      </c>
      <c r="L19045" s="0" t="str">
        <f aca="false">HYPERLINK("https://www.ncbi.nlm.nih.gov/nuccore/CP000058.1?report=graph&amp;tracks=[key:gene_model_track,Options:GeneOnly]&amp;mk=5846207:5846226|offset_21|444444,5846259:5846278|offset_73|444444,5846281:5846300|offset_95|00cc00,5846311:5846330|offset_125|444444&amp;v=5846006:5846530&amp;c=444444", "offset 95")</f>
        <v>offset 95</v>
      </c>
    </row>
    <row r="19046" customFormat="false" ht="12.8" hidden="false" customHeight="false" outlineLevel="0" collapsed="false">
      <c r="A19046" s="0" t="s">
        <v>12</v>
      </c>
      <c r="B19046" s="0" t="n">
        <v>5846310</v>
      </c>
      <c r="C19046" s="0" t="n">
        <v>5846330</v>
      </c>
      <c r="D19046" s="0" t="s">
        <v>63305</v>
      </c>
      <c r="E19046" s="0" t="s">
        <v>75</v>
      </c>
      <c r="F19046" s="0" t="s">
        <v>15</v>
      </c>
      <c r="G19046" s="0" t="s">
        <v>32</v>
      </c>
      <c r="H19046" s="0" t="n">
        <v>125</v>
      </c>
      <c r="I19046" s="0" t="s">
        <v>63315</v>
      </c>
      <c r="J19046" s="0" t="s">
        <v>63316</v>
      </c>
      <c r="K19046" s="0" t="s">
        <v>63317</v>
      </c>
      <c r="L19046" s="0" t="str">
        <f aca="false">HYPERLINK("https://www.ncbi.nlm.nih.gov/nuccore/CP000058.1?report=graph&amp;tracks=[key:gene_model_track,Options:GeneOnly]&amp;mk=5846207:5846226|offset_21|444444,5846259:5846278|offset_73|444444,5846281:5846300|offset_95|444444,5846311:5846330|offset_125|00cc00&amp;v=5846006:5846530&amp;c=444444", "offset 125")</f>
        <v>offset 125</v>
      </c>
    </row>
    <row r="19047" customFormat="false" ht="12.8" hidden="false" customHeight="false" outlineLevel="0" collapsed="false">
      <c r="A19047" s="0" t="s">
        <v>12</v>
      </c>
      <c r="B19047" s="0" t="n">
        <v>5847185</v>
      </c>
      <c r="C19047" s="0" t="n">
        <v>5847205</v>
      </c>
      <c r="D19047" s="0" t="s">
        <v>63318</v>
      </c>
      <c r="E19047" s="0" t="s">
        <v>75</v>
      </c>
      <c r="F19047" s="0" t="s">
        <v>90</v>
      </c>
      <c r="G19047" s="0" t="s">
        <v>20</v>
      </c>
      <c r="H19047" s="0" t="n">
        <v>10</v>
      </c>
      <c r="I19047" s="0" t="s">
        <v>63319</v>
      </c>
      <c r="J19047" s="0" t="s">
        <v>63320</v>
      </c>
      <c r="K19047" s="0" t="s">
        <v>63321</v>
      </c>
      <c r="L19047" s="0" t="str">
        <f aca="false">HYPERLINK("https://www.ncbi.nlm.nih.gov/nuccore/CP000058.1?report=graph&amp;tracks=[key:gene_model_track,Options:GeneOnly]&amp;mk=5847186:5847205|offset_10|00cc00,5847162:5847181|offset_34|444444,5847136:5847155|offset_60|444444,5847116:5847135|offset_80|444444&amp;v=5846985:5847335&amp;c=444444", "offset 10")</f>
        <v>offset 10</v>
      </c>
    </row>
    <row r="19048" customFormat="false" ht="12.8" hidden="false" customHeight="false" outlineLevel="0" collapsed="false">
      <c r="A19048" s="0" t="s">
        <v>12</v>
      </c>
      <c r="B19048" s="0" t="n">
        <v>5847161</v>
      </c>
      <c r="C19048" s="0" t="n">
        <v>5847181</v>
      </c>
      <c r="D19048" s="0" t="s">
        <v>63318</v>
      </c>
      <c r="E19048" s="0" t="s">
        <v>75</v>
      </c>
      <c r="F19048" s="0" t="s">
        <v>90</v>
      </c>
      <c r="G19048" s="0" t="s">
        <v>16</v>
      </c>
      <c r="H19048" s="0" t="n">
        <v>34</v>
      </c>
      <c r="I19048" s="0" t="s">
        <v>63322</v>
      </c>
      <c r="J19048" s="0" t="s">
        <v>63323</v>
      </c>
      <c r="K19048" s="0" t="s">
        <v>63324</v>
      </c>
      <c r="L19048" s="0" t="str">
        <f aca="false">HYPERLINK("https://www.ncbi.nlm.nih.gov/nuccore/CP000058.1?report=graph&amp;tracks=[key:gene_model_track,Options:GeneOnly]&amp;mk=5847186:5847205|offset_10|444444,5847162:5847181|offset_34|00cc00,5847136:5847155|offset_60|444444,5847116:5847135|offset_80|444444&amp;v=5846985:5847335&amp;c=444444", "offset 34")</f>
        <v>offset 34</v>
      </c>
    </row>
    <row r="19049" customFormat="false" ht="12.8" hidden="false" customHeight="false" outlineLevel="0" collapsed="false">
      <c r="A19049" s="0" t="s">
        <v>12</v>
      </c>
      <c r="B19049" s="0" t="n">
        <v>5847135</v>
      </c>
      <c r="C19049" s="0" t="n">
        <v>5847155</v>
      </c>
      <c r="D19049" s="0" t="s">
        <v>63318</v>
      </c>
      <c r="E19049" s="0" t="s">
        <v>75</v>
      </c>
      <c r="F19049" s="0" t="s">
        <v>90</v>
      </c>
      <c r="G19049" s="0" t="s">
        <v>20</v>
      </c>
      <c r="H19049" s="0" t="n">
        <v>60</v>
      </c>
      <c r="I19049" s="0" t="s">
        <v>63325</v>
      </c>
      <c r="J19049" s="0" t="s">
        <v>63326</v>
      </c>
      <c r="K19049" s="0" t="s">
        <v>63327</v>
      </c>
      <c r="L19049" s="0" t="str">
        <f aca="false">HYPERLINK("https://www.ncbi.nlm.nih.gov/nuccore/CP000058.1?report=graph&amp;tracks=[key:gene_model_track,Options:GeneOnly]&amp;mk=5847186:5847205|offset_10|444444,5847162:5847181|offset_34|444444,5847136:5847155|offset_60|00cc00,5847116:5847135|offset_80|444444&amp;v=5846985:5847335&amp;c=444444", "offset 60")</f>
        <v>offset 60</v>
      </c>
    </row>
    <row r="19050" customFormat="false" ht="12.8" hidden="false" customHeight="false" outlineLevel="0" collapsed="false">
      <c r="A19050" s="0" t="s">
        <v>12</v>
      </c>
      <c r="B19050" s="0" t="n">
        <v>5847115</v>
      </c>
      <c r="C19050" s="0" t="n">
        <v>5847135</v>
      </c>
      <c r="D19050" s="0" t="s">
        <v>63318</v>
      </c>
      <c r="E19050" s="0" t="s">
        <v>75</v>
      </c>
      <c r="F19050" s="0" t="s">
        <v>90</v>
      </c>
      <c r="G19050" s="0" t="s">
        <v>20</v>
      </c>
      <c r="H19050" s="0" t="n">
        <v>80</v>
      </c>
      <c r="I19050" s="0" t="s">
        <v>63328</v>
      </c>
      <c r="J19050" s="0" t="s">
        <v>63329</v>
      </c>
      <c r="K19050" s="0" t="s">
        <v>63330</v>
      </c>
      <c r="L19050" s="0" t="str">
        <f aca="false">HYPERLINK("https://www.ncbi.nlm.nih.gov/nuccore/CP000058.1?report=graph&amp;tracks=[key:gene_model_track,Options:GeneOnly]&amp;mk=5847186:5847205|offset_10|444444,5847162:5847181|offset_34|444444,5847136:5847155|offset_60|444444,5847116:5847135|offset_80|00cc00&amp;v=5846985:5847335&amp;c=444444", "offset 80")</f>
        <v>offset 80</v>
      </c>
    </row>
    <row r="19051" customFormat="false" ht="12.8" hidden="false" customHeight="false" outlineLevel="0" collapsed="false">
      <c r="A19051" s="0" t="s">
        <v>12</v>
      </c>
      <c r="B19051" s="0" t="n">
        <v>5848388</v>
      </c>
      <c r="C19051" s="0" t="n">
        <v>5848408</v>
      </c>
      <c r="D19051" s="0" t="s">
        <v>63331</v>
      </c>
      <c r="E19051" s="0" t="s">
        <v>75</v>
      </c>
      <c r="F19051" s="0" t="s">
        <v>90</v>
      </c>
      <c r="G19051" s="0" t="s">
        <v>36</v>
      </c>
      <c r="H19051" s="0" t="n">
        <v>18</v>
      </c>
      <c r="I19051" s="0" t="s">
        <v>63332</v>
      </c>
      <c r="J19051" s="0" t="s">
        <v>63333</v>
      </c>
      <c r="K19051" s="0" t="s">
        <v>63334</v>
      </c>
      <c r="L19051" s="0" t="str">
        <f aca="false">HYPERLINK("https://www.ncbi.nlm.nih.gov/nuccore/CP000058.1?report=graph&amp;tracks=[key:gene_model_track,Options:GeneOnly]&amp;mk=5848389:5848408|offset_18|00cc00,5848358:5848377|offset_49|444444,5848312:5848331|offset_95|444444,5848237:5848256|offset_170|444444&amp;v=5848188:5848456&amp;c=444444", "offset 18")</f>
        <v>offset 18</v>
      </c>
    </row>
    <row r="19052" customFormat="false" ht="12.8" hidden="false" customHeight="false" outlineLevel="0" collapsed="false">
      <c r="A19052" s="0" t="s">
        <v>12</v>
      </c>
      <c r="B19052" s="0" t="n">
        <v>5848357</v>
      </c>
      <c r="C19052" s="0" t="n">
        <v>5848377</v>
      </c>
      <c r="D19052" s="0" t="s">
        <v>63331</v>
      </c>
      <c r="E19052" s="0" t="s">
        <v>75</v>
      </c>
      <c r="F19052" s="0" t="s">
        <v>90</v>
      </c>
      <c r="G19052" s="0" t="s">
        <v>16</v>
      </c>
      <c r="H19052" s="0" t="n">
        <v>49</v>
      </c>
      <c r="I19052" s="0" t="s">
        <v>63335</v>
      </c>
      <c r="J19052" s="0" t="s">
        <v>63336</v>
      </c>
      <c r="K19052" s="0" t="s">
        <v>63337</v>
      </c>
      <c r="L19052" s="0" t="str">
        <f aca="false">HYPERLINK("https://www.ncbi.nlm.nih.gov/nuccore/CP000058.1?report=graph&amp;tracks=[key:gene_model_track,Options:GeneOnly]&amp;mk=5848389:5848408|offset_18|444444,5848358:5848377|offset_49|00cc00,5848312:5848331|offset_95|444444,5848237:5848256|offset_170|444444&amp;v=5848188:5848456&amp;c=444444", "offset 49")</f>
        <v>offset 49</v>
      </c>
    </row>
    <row r="19053" customFormat="false" ht="12.8" hidden="false" customHeight="false" outlineLevel="0" collapsed="false">
      <c r="A19053" s="0" t="s">
        <v>12</v>
      </c>
      <c r="B19053" s="0" t="n">
        <v>5848311</v>
      </c>
      <c r="C19053" s="0" t="n">
        <v>5848331</v>
      </c>
      <c r="D19053" s="0" t="s">
        <v>63331</v>
      </c>
      <c r="E19053" s="0" t="s">
        <v>75</v>
      </c>
      <c r="F19053" s="0" t="s">
        <v>90</v>
      </c>
      <c r="G19053" s="0" t="s">
        <v>20</v>
      </c>
      <c r="H19053" s="0" t="n">
        <v>95</v>
      </c>
      <c r="I19053" s="0" t="s">
        <v>63338</v>
      </c>
      <c r="J19053" s="0" t="s">
        <v>63339</v>
      </c>
      <c r="K19053" s="0" t="s">
        <v>63340</v>
      </c>
      <c r="L19053" s="0" t="str">
        <f aca="false">HYPERLINK("https://www.ncbi.nlm.nih.gov/nuccore/CP000058.1?report=graph&amp;tracks=[key:gene_model_track,Options:GeneOnly]&amp;mk=5848389:5848408|offset_18|444444,5848358:5848377|offset_49|444444,5848312:5848331|offset_95|00cc00,5848237:5848256|offset_170|444444&amp;v=5848188:5848456&amp;c=444444", "offset 95")</f>
        <v>offset 95</v>
      </c>
    </row>
    <row r="19054" customFormat="false" ht="12.8" hidden="false" customHeight="false" outlineLevel="0" collapsed="false">
      <c r="A19054" s="0" t="s">
        <v>12</v>
      </c>
      <c r="B19054" s="0" t="n">
        <v>5848236</v>
      </c>
      <c r="C19054" s="0" t="n">
        <v>5848256</v>
      </c>
      <c r="D19054" s="0" t="s">
        <v>63331</v>
      </c>
      <c r="E19054" s="0" t="s">
        <v>75</v>
      </c>
      <c r="F19054" s="0" t="s">
        <v>90</v>
      </c>
      <c r="G19054" s="0" t="s">
        <v>20</v>
      </c>
      <c r="H19054" s="0" t="n">
        <v>170</v>
      </c>
      <c r="I19054" s="0" t="s">
        <v>63341</v>
      </c>
      <c r="J19054" s="0" t="s">
        <v>63342</v>
      </c>
      <c r="K19054" s="0" t="s">
        <v>63343</v>
      </c>
      <c r="L19054" s="0" t="str">
        <f aca="false">HYPERLINK("https://www.ncbi.nlm.nih.gov/nuccore/CP000058.1?report=graph&amp;tracks=[key:gene_model_track,Options:GeneOnly]&amp;mk=5848389:5848408|offset_18|444444,5848358:5848377|offset_49|444444,5848312:5848331|offset_95|444444,5848237:5848256|offset_170|00cc00&amp;v=5848188:5848456&amp;c=444444", "offset 170")</f>
        <v>offset 170</v>
      </c>
    </row>
    <row r="19055" customFormat="false" ht="12.8" hidden="false" customHeight="false" outlineLevel="0" collapsed="false">
      <c r="A19055" s="0" t="s">
        <v>12</v>
      </c>
      <c r="B19055" s="0" t="n">
        <v>5848677</v>
      </c>
      <c r="C19055" s="0" t="n">
        <v>5848697</v>
      </c>
      <c r="D19055" s="0" t="s">
        <v>63344</v>
      </c>
      <c r="E19055" s="0" t="s">
        <v>75</v>
      </c>
      <c r="F19055" s="0" t="s">
        <v>90</v>
      </c>
      <c r="G19055" s="0" t="s">
        <v>20</v>
      </c>
      <c r="H19055" s="0" t="n">
        <v>6</v>
      </c>
      <c r="I19055" s="0" t="s">
        <v>63345</v>
      </c>
      <c r="J19055" s="0" t="s">
        <v>63346</v>
      </c>
      <c r="K19055" s="0" t="s">
        <v>63347</v>
      </c>
      <c r="L19055" s="0" t="str">
        <f aca="false">HYPERLINK("https://www.ncbi.nlm.nih.gov/nuccore/CP000058.1?report=graph&amp;tracks=[key:gene_model_track,Options:GeneOnly]&amp;mk=5848678:5848697|offset_6|00cc00,5848653:5848672|offset_31|444444,5848613:5848632|offset_71|444444,5848572:5848591|offset_112|444444&amp;v=5848477:5848791&amp;c=444444", "offset 6")</f>
        <v>offset 6</v>
      </c>
    </row>
    <row r="19056" customFormat="false" ht="12.8" hidden="false" customHeight="false" outlineLevel="0" collapsed="false">
      <c r="A19056" s="0" t="s">
        <v>12</v>
      </c>
      <c r="B19056" s="0" t="n">
        <v>5848652</v>
      </c>
      <c r="C19056" s="0" t="n">
        <v>5848672</v>
      </c>
      <c r="D19056" s="0" t="s">
        <v>63344</v>
      </c>
      <c r="E19056" s="0" t="s">
        <v>75</v>
      </c>
      <c r="F19056" s="0" t="s">
        <v>90</v>
      </c>
      <c r="G19056" s="0" t="s">
        <v>16</v>
      </c>
      <c r="H19056" s="0" t="n">
        <v>31</v>
      </c>
      <c r="I19056" s="0" t="s">
        <v>63348</v>
      </c>
      <c r="J19056" s="0" t="s">
        <v>63349</v>
      </c>
      <c r="K19056" s="0" t="s">
        <v>63350</v>
      </c>
      <c r="L19056" s="0" t="str">
        <f aca="false">HYPERLINK("https://www.ncbi.nlm.nih.gov/nuccore/CP000058.1?report=graph&amp;tracks=[key:gene_model_track,Options:GeneOnly]&amp;mk=5848678:5848697|offset_6|444444,5848653:5848672|offset_31|00cc00,5848613:5848632|offset_71|444444,5848572:5848591|offset_112|444444&amp;v=5848477:5848791&amp;c=444444", "offset 31")</f>
        <v>offset 31</v>
      </c>
    </row>
    <row r="19057" customFormat="false" ht="12.8" hidden="false" customHeight="false" outlineLevel="0" collapsed="false">
      <c r="A19057" s="0" t="s">
        <v>12</v>
      </c>
      <c r="B19057" s="0" t="n">
        <v>5848612</v>
      </c>
      <c r="C19057" s="0" t="n">
        <v>5848632</v>
      </c>
      <c r="D19057" s="0" t="s">
        <v>63344</v>
      </c>
      <c r="E19057" s="0" t="s">
        <v>75</v>
      </c>
      <c r="F19057" s="0" t="s">
        <v>90</v>
      </c>
      <c r="G19057" s="0" t="s">
        <v>20</v>
      </c>
      <c r="H19057" s="0" t="n">
        <v>71</v>
      </c>
      <c r="I19057" s="0" t="s">
        <v>63351</v>
      </c>
      <c r="J19057" s="0" t="s">
        <v>63352</v>
      </c>
      <c r="K19057" s="0" t="s">
        <v>63353</v>
      </c>
      <c r="L19057" s="0" t="str">
        <f aca="false">HYPERLINK("https://www.ncbi.nlm.nih.gov/nuccore/CP000058.1?report=graph&amp;tracks=[key:gene_model_track,Options:GeneOnly]&amp;mk=5848678:5848697|offset_6|444444,5848653:5848672|offset_31|444444,5848613:5848632|offset_71|00cc00,5848572:5848591|offset_112|444444&amp;v=5848477:5848791&amp;c=444444", "offset 71")</f>
        <v>offset 71</v>
      </c>
    </row>
    <row r="19058" customFormat="false" ht="12.8" hidden="false" customHeight="false" outlineLevel="0" collapsed="false">
      <c r="A19058" s="0" t="s">
        <v>12</v>
      </c>
      <c r="B19058" s="0" t="n">
        <v>5848571</v>
      </c>
      <c r="C19058" s="0" t="n">
        <v>5848591</v>
      </c>
      <c r="D19058" s="0" t="s">
        <v>63344</v>
      </c>
      <c r="E19058" s="0" t="s">
        <v>75</v>
      </c>
      <c r="F19058" s="0" t="s">
        <v>90</v>
      </c>
      <c r="G19058" s="0" t="s">
        <v>32</v>
      </c>
      <c r="H19058" s="0" t="n">
        <v>112</v>
      </c>
      <c r="I19058" s="0" t="s">
        <v>63354</v>
      </c>
      <c r="J19058" s="0" t="s">
        <v>63355</v>
      </c>
      <c r="K19058" s="0" t="s">
        <v>63356</v>
      </c>
      <c r="L19058" s="0" t="str">
        <f aca="false">HYPERLINK("https://www.ncbi.nlm.nih.gov/nuccore/CP000058.1?report=graph&amp;tracks=[key:gene_model_track,Options:GeneOnly]&amp;mk=5848678:5848697|offset_6|444444,5848653:5848672|offset_31|444444,5848613:5848632|offset_71|444444,5848572:5848591|offset_112|00cc00&amp;v=5848477:5848791&amp;c=444444", "offset 112")</f>
        <v>offset 112</v>
      </c>
    </row>
    <row r="19059" customFormat="false" ht="12.8" hidden="false" customHeight="false" outlineLevel="0" collapsed="false">
      <c r="A19059" s="0" t="s">
        <v>12</v>
      </c>
      <c r="B19059" s="0" t="n">
        <v>5850161</v>
      </c>
      <c r="C19059" s="0" t="n">
        <v>5850181</v>
      </c>
      <c r="D19059" s="0" t="s">
        <v>63357</v>
      </c>
      <c r="E19059" s="0" t="s">
        <v>63358</v>
      </c>
      <c r="F19059" s="0" t="s">
        <v>90</v>
      </c>
      <c r="G19059" s="0" t="s">
        <v>32</v>
      </c>
      <c r="H19059" s="0" t="n">
        <v>13</v>
      </c>
      <c r="I19059" s="0" t="s">
        <v>63359</v>
      </c>
      <c r="J19059" s="0" t="s">
        <v>63360</v>
      </c>
      <c r="K19059" s="0" t="s">
        <v>63361</v>
      </c>
      <c r="L19059" s="0" t="str">
        <f aca="false">HYPERLINK("https://www.ncbi.nlm.nih.gov/nuccore/CP000058.1?report=graph&amp;tracks=[key:gene_model_track,Options:GeneOnly]&amp;mk=5850162:5850181|offset_13|00cc00,5850103:5850122|offset_72|444444,5850069:5850088|offset_106|444444,5850038:5850057|offset_137|444444&amp;v=5849961:5850257&amp;c=444444", "offset 13")</f>
        <v>offset 13</v>
      </c>
    </row>
    <row r="19060" customFormat="false" ht="12.8" hidden="false" customHeight="false" outlineLevel="0" collapsed="false">
      <c r="A19060" s="0" t="s">
        <v>12</v>
      </c>
      <c r="B19060" s="0" t="n">
        <v>5850102</v>
      </c>
      <c r="C19060" s="0" t="n">
        <v>5850122</v>
      </c>
      <c r="D19060" s="0" t="s">
        <v>63357</v>
      </c>
      <c r="E19060" s="0" t="s">
        <v>63358</v>
      </c>
      <c r="F19060" s="0" t="s">
        <v>90</v>
      </c>
      <c r="G19060" s="0" t="s">
        <v>16</v>
      </c>
      <c r="H19060" s="0" t="n">
        <v>72</v>
      </c>
      <c r="I19060" s="0" t="s">
        <v>63362</v>
      </c>
      <c r="J19060" s="0" t="s">
        <v>63363</v>
      </c>
      <c r="K19060" s="0" t="s">
        <v>63364</v>
      </c>
      <c r="L19060" s="0" t="str">
        <f aca="false">HYPERLINK("https://www.ncbi.nlm.nih.gov/nuccore/CP000058.1?report=graph&amp;tracks=[key:gene_model_track,Options:GeneOnly]&amp;mk=5850162:5850181|offset_13|444444,5850103:5850122|offset_72|00cc00,5850069:5850088|offset_106|444444,5850038:5850057|offset_137|444444&amp;v=5849961:5850257&amp;c=444444", "offset 72")</f>
        <v>offset 72</v>
      </c>
    </row>
    <row r="19061" customFormat="false" ht="12.8" hidden="false" customHeight="false" outlineLevel="0" collapsed="false">
      <c r="A19061" s="0" t="s">
        <v>12</v>
      </c>
      <c r="B19061" s="0" t="n">
        <v>5850068</v>
      </c>
      <c r="C19061" s="0" t="n">
        <v>5850088</v>
      </c>
      <c r="D19061" s="0" t="s">
        <v>63357</v>
      </c>
      <c r="E19061" s="0" t="s">
        <v>63358</v>
      </c>
      <c r="F19061" s="0" t="s">
        <v>90</v>
      </c>
      <c r="G19061" s="0" t="s">
        <v>36</v>
      </c>
      <c r="H19061" s="0" t="n">
        <v>106</v>
      </c>
      <c r="I19061" s="0" t="s">
        <v>63365</v>
      </c>
      <c r="J19061" s="0" t="s">
        <v>63366</v>
      </c>
      <c r="K19061" s="0" t="s">
        <v>63367</v>
      </c>
      <c r="L19061" s="0" t="str">
        <f aca="false">HYPERLINK("https://www.ncbi.nlm.nih.gov/nuccore/CP000058.1?report=graph&amp;tracks=[key:gene_model_track,Options:GeneOnly]&amp;mk=5850162:5850181|offset_13|444444,5850103:5850122|offset_72|444444,5850069:5850088|offset_106|00cc00,5850038:5850057|offset_137|444444&amp;v=5849961:5850257&amp;c=444444", "offset 106")</f>
        <v>offset 106</v>
      </c>
    </row>
    <row r="19062" customFormat="false" ht="12.8" hidden="false" customHeight="false" outlineLevel="0" collapsed="false">
      <c r="A19062" s="0" t="s">
        <v>12</v>
      </c>
      <c r="B19062" s="0" t="n">
        <v>5850037</v>
      </c>
      <c r="C19062" s="0" t="n">
        <v>5850057</v>
      </c>
      <c r="D19062" s="0" t="s">
        <v>63357</v>
      </c>
      <c r="E19062" s="0" t="s">
        <v>63358</v>
      </c>
      <c r="F19062" s="0" t="s">
        <v>90</v>
      </c>
      <c r="G19062" s="0" t="s">
        <v>20</v>
      </c>
      <c r="H19062" s="0" t="n">
        <v>137</v>
      </c>
      <c r="I19062" s="0" t="s">
        <v>63368</v>
      </c>
      <c r="J19062" s="0" t="s">
        <v>63369</v>
      </c>
      <c r="K19062" s="0" t="s">
        <v>63370</v>
      </c>
      <c r="L19062" s="0" t="str">
        <f aca="false">HYPERLINK("https://www.ncbi.nlm.nih.gov/nuccore/CP000058.1?report=graph&amp;tracks=[key:gene_model_track,Options:GeneOnly]&amp;mk=5850162:5850181|offset_13|444444,5850103:5850122|offset_72|444444,5850069:5850088|offset_106|444444,5850038:5850057|offset_137|00cc00&amp;v=5849961:5850257&amp;c=444444", "offset 137")</f>
        <v>offset 137</v>
      </c>
    </row>
    <row r="19063" customFormat="false" ht="12.8" hidden="false" customHeight="false" outlineLevel="0" collapsed="false">
      <c r="A19063" s="0" t="s">
        <v>12</v>
      </c>
      <c r="B19063" s="0" t="n">
        <v>5850861</v>
      </c>
      <c r="C19063" s="0" t="n">
        <v>5850881</v>
      </c>
      <c r="D19063" s="0" t="s">
        <v>63371</v>
      </c>
      <c r="E19063" s="0" t="s">
        <v>75</v>
      </c>
      <c r="F19063" s="0" t="s">
        <v>90</v>
      </c>
      <c r="G19063" s="0" t="s">
        <v>20</v>
      </c>
      <c r="H19063" s="0" t="n">
        <v>22</v>
      </c>
      <c r="I19063" s="0" t="s">
        <v>63372</v>
      </c>
      <c r="J19063" s="0" t="s">
        <v>63373</v>
      </c>
      <c r="K19063" s="0" t="s">
        <v>63374</v>
      </c>
      <c r="L19063" s="0" t="str">
        <f aca="false">HYPERLINK("https://www.ncbi.nlm.nih.gov/nuccore/CP000058.1?report=graph&amp;tracks=[key:gene_model_track,Options:GeneOnly]&amp;mk=5850862:5850881|offset_22|00cc00,5850841:5850860|offset_43|444444,5850812:5850831|offset_72|444444,5850758:5850777|offset_126|444444&amp;v=5850661:5850977&amp;c=444444", "offset 22")</f>
        <v>offset 22</v>
      </c>
    </row>
    <row r="19064" customFormat="false" ht="12.8" hidden="false" customHeight="false" outlineLevel="0" collapsed="false">
      <c r="A19064" s="0" t="s">
        <v>12</v>
      </c>
      <c r="B19064" s="0" t="n">
        <v>5850840</v>
      </c>
      <c r="C19064" s="0" t="n">
        <v>5850860</v>
      </c>
      <c r="D19064" s="0" t="s">
        <v>63371</v>
      </c>
      <c r="E19064" s="0" t="s">
        <v>75</v>
      </c>
      <c r="F19064" s="0" t="s">
        <v>90</v>
      </c>
      <c r="G19064" s="0" t="s">
        <v>36</v>
      </c>
      <c r="H19064" s="0" t="n">
        <v>43</v>
      </c>
      <c r="I19064" s="0" t="s">
        <v>63375</v>
      </c>
      <c r="J19064" s="0" t="s">
        <v>63376</v>
      </c>
      <c r="K19064" s="0" t="s">
        <v>63377</v>
      </c>
      <c r="L19064" s="0" t="str">
        <f aca="false">HYPERLINK("https://www.ncbi.nlm.nih.gov/nuccore/CP000058.1?report=graph&amp;tracks=[key:gene_model_track,Options:GeneOnly]&amp;mk=5850862:5850881|offset_22|444444,5850841:5850860|offset_43|00cc00,5850812:5850831|offset_72|444444,5850758:5850777|offset_126|444444&amp;v=5850661:5850977&amp;c=444444", "offset 43")</f>
        <v>offset 43</v>
      </c>
    </row>
    <row r="19065" customFormat="false" ht="12.8" hidden="false" customHeight="false" outlineLevel="0" collapsed="false">
      <c r="A19065" s="0" t="s">
        <v>12</v>
      </c>
      <c r="B19065" s="0" t="n">
        <v>5850811</v>
      </c>
      <c r="C19065" s="0" t="n">
        <v>5850831</v>
      </c>
      <c r="D19065" s="0" t="s">
        <v>63371</v>
      </c>
      <c r="E19065" s="0" t="s">
        <v>75</v>
      </c>
      <c r="F19065" s="0" t="s">
        <v>90</v>
      </c>
      <c r="G19065" s="0" t="s">
        <v>36</v>
      </c>
      <c r="H19065" s="0" t="n">
        <v>72</v>
      </c>
      <c r="I19065" s="0" t="s">
        <v>63378</v>
      </c>
      <c r="J19065" s="0" t="s">
        <v>63379</v>
      </c>
      <c r="K19065" s="0" t="s">
        <v>63380</v>
      </c>
      <c r="L19065" s="0" t="str">
        <f aca="false">HYPERLINK("https://www.ncbi.nlm.nih.gov/nuccore/CP000058.1?report=graph&amp;tracks=[key:gene_model_track,Options:GeneOnly]&amp;mk=5850862:5850881|offset_22|444444,5850841:5850860|offset_43|444444,5850812:5850831|offset_72|00cc00,5850758:5850777|offset_126|444444&amp;v=5850661:5850977&amp;c=444444", "offset 72")</f>
        <v>offset 72</v>
      </c>
    </row>
    <row r="19066" customFormat="false" ht="12.8" hidden="false" customHeight="false" outlineLevel="0" collapsed="false">
      <c r="A19066" s="0" t="s">
        <v>12</v>
      </c>
      <c r="B19066" s="0" t="n">
        <v>5850757</v>
      </c>
      <c r="C19066" s="0" t="n">
        <v>5850777</v>
      </c>
      <c r="D19066" s="0" t="s">
        <v>63371</v>
      </c>
      <c r="E19066" s="0" t="s">
        <v>75</v>
      </c>
      <c r="F19066" s="0" t="s">
        <v>90</v>
      </c>
      <c r="G19066" s="0" t="s">
        <v>16</v>
      </c>
      <c r="H19066" s="0" t="n">
        <v>126</v>
      </c>
      <c r="I19066" s="0" t="s">
        <v>63381</v>
      </c>
      <c r="J19066" s="0" t="s">
        <v>63382</v>
      </c>
      <c r="K19066" s="0" t="s">
        <v>63383</v>
      </c>
      <c r="L19066" s="0" t="str">
        <f aca="false">HYPERLINK("https://www.ncbi.nlm.nih.gov/nuccore/CP000058.1?report=graph&amp;tracks=[key:gene_model_track,Options:GeneOnly]&amp;mk=5850862:5850881|offset_22|444444,5850841:5850860|offset_43|444444,5850812:5850831|offset_72|444444,5850758:5850777|offset_126|00cc00&amp;v=5850661:5850977&amp;c=444444", "offset 126")</f>
        <v>offset 126</v>
      </c>
    </row>
    <row r="19067" customFormat="false" ht="12.8" hidden="false" customHeight="false" outlineLevel="0" collapsed="false">
      <c r="A19067" s="0" t="s">
        <v>12</v>
      </c>
      <c r="B19067" s="0" t="n">
        <v>5851089</v>
      </c>
      <c r="C19067" s="0" t="n">
        <v>5851109</v>
      </c>
      <c r="D19067" s="0" t="s">
        <v>63384</v>
      </c>
      <c r="E19067" s="0" t="s">
        <v>63385</v>
      </c>
      <c r="F19067" s="0" t="s">
        <v>15</v>
      </c>
      <c r="G19067" s="0" t="s">
        <v>36</v>
      </c>
      <c r="H19067" s="0" t="n">
        <v>17</v>
      </c>
      <c r="I19067" s="0" t="s">
        <v>63386</v>
      </c>
      <c r="J19067" s="0" t="s">
        <v>63387</v>
      </c>
      <c r="K19067" s="0" t="s">
        <v>63388</v>
      </c>
      <c r="L19067" s="0" t="str">
        <f aca="false">HYPERLINK("https://www.ncbi.nlm.nih.gov/nuccore/CP000058.1?report=graph&amp;tracks=[key:gene_model_track,Options:GeneOnly]&amp;mk=5851090:5851109|offset_17|00cc00,5851143:5851162|offset_70|444444,5851173:5851192|offset_100|444444,5851202:5851221|offset_129|444444&amp;v=5850889:5851421&amp;c=444444", "offset 17")</f>
        <v>offset 17</v>
      </c>
    </row>
    <row r="19068" customFormat="false" ht="12.8" hidden="false" customHeight="false" outlineLevel="0" collapsed="false">
      <c r="A19068" s="0" t="s">
        <v>12</v>
      </c>
      <c r="B19068" s="0" t="n">
        <v>5851142</v>
      </c>
      <c r="C19068" s="0" t="n">
        <v>5851162</v>
      </c>
      <c r="D19068" s="0" t="s">
        <v>63384</v>
      </c>
      <c r="E19068" s="0" t="s">
        <v>63385</v>
      </c>
      <c r="F19068" s="0" t="s">
        <v>15</v>
      </c>
      <c r="G19068" s="0" t="s">
        <v>16</v>
      </c>
      <c r="H19068" s="0" t="n">
        <v>70</v>
      </c>
      <c r="I19068" s="0" t="s">
        <v>63389</v>
      </c>
      <c r="J19068" s="0" t="s">
        <v>63390</v>
      </c>
      <c r="K19068" s="0" t="s">
        <v>63391</v>
      </c>
      <c r="L19068" s="0" t="str">
        <f aca="false">HYPERLINK("https://www.ncbi.nlm.nih.gov/nuccore/CP000058.1?report=graph&amp;tracks=[key:gene_model_track,Options:GeneOnly]&amp;mk=5851090:5851109|offset_17|444444,5851143:5851162|offset_70|00cc00,5851173:5851192|offset_100|444444,5851202:5851221|offset_129|444444&amp;v=5850889:5851421&amp;c=444444", "offset 70")</f>
        <v>offset 70</v>
      </c>
    </row>
    <row r="19069" customFormat="false" ht="12.8" hidden="false" customHeight="false" outlineLevel="0" collapsed="false">
      <c r="A19069" s="0" t="s">
        <v>12</v>
      </c>
      <c r="B19069" s="0" t="n">
        <v>5851172</v>
      </c>
      <c r="C19069" s="0" t="n">
        <v>5851192</v>
      </c>
      <c r="D19069" s="0" t="s">
        <v>63384</v>
      </c>
      <c r="E19069" s="0" t="s">
        <v>63385</v>
      </c>
      <c r="F19069" s="0" t="s">
        <v>15</v>
      </c>
      <c r="G19069" s="0" t="s">
        <v>20</v>
      </c>
      <c r="H19069" s="0" t="n">
        <v>100</v>
      </c>
      <c r="I19069" s="0" t="s">
        <v>63392</v>
      </c>
      <c r="J19069" s="0" t="s">
        <v>63393</v>
      </c>
      <c r="K19069" s="0" t="s">
        <v>63394</v>
      </c>
      <c r="L19069" s="0" t="str">
        <f aca="false">HYPERLINK("https://www.ncbi.nlm.nih.gov/nuccore/CP000058.1?report=graph&amp;tracks=[key:gene_model_track,Options:GeneOnly]&amp;mk=5851090:5851109|offset_17|444444,5851143:5851162|offset_70|444444,5851173:5851192|offset_100|00cc00,5851202:5851221|offset_129|444444&amp;v=5850889:5851421&amp;c=444444", "offset 100")</f>
        <v>offset 100</v>
      </c>
    </row>
    <row r="19070" customFormat="false" ht="12.8" hidden="false" customHeight="false" outlineLevel="0" collapsed="false">
      <c r="A19070" s="0" t="s">
        <v>12</v>
      </c>
      <c r="B19070" s="0" t="n">
        <v>5851201</v>
      </c>
      <c r="C19070" s="0" t="n">
        <v>5851221</v>
      </c>
      <c r="D19070" s="0" t="s">
        <v>63384</v>
      </c>
      <c r="E19070" s="0" t="s">
        <v>63385</v>
      </c>
      <c r="F19070" s="0" t="s">
        <v>15</v>
      </c>
      <c r="G19070" s="0" t="s">
        <v>16</v>
      </c>
      <c r="H19070" s="0" t="n">
        <v>129</v>
      </c>
      <c r="I19070" s="0" t="s">
        <v>63395</v>
      </c>
      <c r="J19070" s="0" t="s">
        <v>63396</v>
      </c>
      <c r="K19070" s="0" t="s">
        <v>63397</v>
      </c>
      <c r="L19070" s="0" t="str">
        <f aca="false">HYPERLINK("https://www.ncbi.nlm.nih.gov/nuccore/CP000058.1?report=graph&amp;tracks=[key:gene_model_track,Options:GeneOnly]&amp;mk=5851090:5851109|offset_17|444444,5851143:5851162|offset_70|444444,5851173:5851192|offset_100|444444,5851202:5851221|offset_129|00cc00&amp;v=5850889:5851421&amp;c=444444", "offset 129")</f>
        <v>offset 129</v>
      </c>
    </row>
    <row r="19071" customFormat="false" ht="12.8" hidden="false" customHeight="false" outlineLevel="0" collapsed="false">
      <c r="A19071" s="0" t="s">
        <v>12</v>
      </c>
      <c r="B19071" s="0" t="n">
        <v>5853708</v>
      </c>
      <c r="C19071" s="0" t="n">
        <v>5853728</v>
      </c>
      <c r="D19071" s="0" t="s">
        <v>63398</v>
      </c>
      <c r="E19071" s="0" t="s">
        <v>63399</v>
      </c>
      <c r="F19071" s="0" t="s">
        <v>90</v>
      </c>
      <c r="G19071" s="0" t="s">
        <v>32</v>
      </c>
      <c r="H19071" s="0" t="n">
        <v>18</v>
      </c>
      <c r="I19071" s="0" t="s">
        <v>63400</v>
      </c>
      <c r="J19071" s="0" t="s">
        <v>63401</v>
      </c>
      <c r="K19071" s="0" t="s">
        <v>63402</v>
      </c>
      <c r="L19071" s="0" t="str">
        <f aca="false">HYPERLINK("https://www.ncbi.nlm.nih.gov/nuccore/CP000058.1?report=graph&amp;tracks=[key:gene_model_track,Options:GeneOnly]&amp;mk=5853709:5853728|offset_18|00cc00,5853682:5853701|offset_45|444444,5853656:5853675|offset_71|444444,5853631:5853650|offset_96|444444&amp;v=5853508:5853850&amp;c=444444", "offset 18")</f>
        <v>offset 18</v>
      </c>
    </row>
    <row r="19072" customFormat="false" ht="12.8" hidden="false" customHeight="false" outlineLevel="0" collapsed="false">
      <c r="A19072" s="0" t="s">
        <v>12</v>
      </c>
      <c r="B19072" s="0" t="n">
        <v>5853681</v>
      </c>
      <c r="C19072" s="0" t="n">
        <v>5853701</v>
      </c>
      <c r="D19072" s="0" t="s">
        <v>63398</v>
      </c>
      <c r="E19072" s="0" t="s">
        <v>63399</v>
      </c>
      <c r="F19072" s="0" t="s">
        <v>90</v>
      </c>
      <c r="G19072" s="0" t="s">
        <v>16</v>
      </c>
      <c r="H19072" s="0" t="n">
        <v>45</v>
      </c>
      <c r="I19072" s="0" t="s">
        <v>63403</v>
      </c>
      <c r="J19072" s="0" t="s">
        <v>63404</v>
      </c>
      <c r="K19072" s="0" t="s">
        <v>63405</v>
      </c>
      <c r="L19072" s="0" t="str">
        <f aca="false">HYPERLINK("https://www.ncbi.nlm.nih.gov/nuccore/CP000058.1?report=graph&amp;tracks=[key:gene_model_track,Options:GeneOnly]&amp;mk=5853709:5853728|offset_18|444444,5853682:5853701|offset_45|00cc00,5853656:5853675|offset_71|444444,5853631:5853650|offset_96|444444&amp;v=5853508:5853850&amp;c=444444", "offset 45")</f>
        <v>offset 45</v>
      </c>
    </row>
    <row r="19073" customFormat="false" ht="12.8" hidden="false" customHeight="false" outlineLevel="0" collapsed="false">
      <c r="A19073" s="0" t="s">
        <v>12</v>
      </c>
      <c r="B19073" s="0" t="n">
        <v>5853655</v>
      </c>
      <c r="C19073" s="0" t="n">
        <v>5853675</v>
      </c>
      <c r="D19073" s="0" t="s">
        <v>63398</v>
      </c>
      <c r="E19073" s="0" t="s">
        <v>63399</v>
      </c>
      <c r="F19073" s="0" t="s">
        <v>90</v>
      </c>
      <c r="G19073" s="0" t="s">
        <v>32</v>
      </c>
      <c r="H19073" s="0" t="n">
        <v>71</v>
      </c>
      <c r="I19073" s="0" t="s">
        <v>63406</v>
      </c>
      <c r="J19073" s="0" t="s">
        <v>63407</v>
      </c>
      <c r="K19073" s="0" t="s">
        <v>63408</v>
      </c>
      <c r="L19073" s="0" t="str">
        <f aca="false">HYPERLINK("https://www.ncbi.nlm.nih.gov/nuccore/CP000058.1?report=graph&amp;tracks=[key:gene_model_track,Options:GeneOnly]&amp;mk=5853709:5853728|offset_18|444444,5853682:5853701|offset_45|444444,5853656:5853675|offset_71|00cc00,5853631:5853650|offset_96|444444&amp;v=5853508:5853850&amp;c=444444", "offset 71")</f>
        <v>offset 71</v>
      </c>
    </row>
    <row r="19074" customFormat="false" ht="12.8" hidden="false" customHeight="false" outlineLevel="0" collapsed="false">
      <c r="A19074" s="0" t="s">
        <v>12</v>
      </c>
      <c r="B19074" s="0" t="n">
        <v>5853630</v>
      </c>
      <c r="C19074" s="0" t="n">
        <v>5853650</v>
      </c>
      <c r="D19074" s="0" t="s">
        <v>63398</v>
      </c>
      <c r="E19074" s="0" t="s">
        <v>63399</v>
      </c>
      <c r="F19074" s="0" t="s">
        <v>90</v>
      </c>
      <c r="G19074" s="0" t="s">
        <v>36</v>
      </c>
      <c r="H19074" s="0" t="n">
        <v>96</v>
      </c>
      <c r="I19074" s="0" t="s">
        <v>63409</v>
      </c>
      <c r="J19074" s="0" t="s">
        <v>63410</v>
      </c>
      <c r="K19074" s="0" t="s">
        <v>63411</v>
      </c>
      <c r="L19074" s="0" t="str">
        <f aca="false">HYPERLINK("https://www.ncbi.nlm.nih.gov/nuccore/CP000058.1?report=graph&amp;tracks=[key:gene_model_track,Options:GeneOnly]&amp;mk=5853709:5853728|offset_18|444444,5853682:5853701|offset_45|444444,5853656:5853675|offset_71|444444,5853631:5853650|offset_96|00cc00&amp;v=5853508:5853850&amp;c=444444", "offset 96")</f>
        <v>offset 96</v>
      </c>
    </row>
    <row r="19075" customFormat="false" ht="12.8" hidden="false" customHeight="false" outlineLevel="0" collapsed="false">
      <c r="A19075" s="0" t="s">
        <v>12</v>
      </c>
      <c r="B19075" s="0" t="n">
        <v>5855906</v>
      </c>
      <c r="C19075" s="0" t="n">
        <v>5855926</v>
      </c>
      <c r="D19075" s="0" t="s">
        <v>63412</v>
      </c>
      <c r="E19075" s="0" t="s">
        <v>63413</v>
      </c>
      <c r="F19075" s="0" t="s">
        <v>90</v>
      </c>
      <c r="G19075" s="0" t="s">
        <v>16</v>
      </c>
      <c r="H19075" s="0" t="n">
        <v>16</v>
      </c>
      <c r="I19075" s="0" t="s">
        <v>63414</v>
      </c>
      <c r="J19075" s="0" t="s">
        <v>63415</v>
      </c>
      <c r="K19075" s="0" t="s">
        <v>63416</v>
      </c>
      <c r="L19075" s="0" t="str">
        <f aca="false">HYPERLINK("https://www.ncbi.nlm.nih.gov/nuccore/CP000058.1?report=graph&amp;tracks=[key:gene_model_track,Options:GeneOnly]&amp;mk=5855907:5855926|offset_16|00cc00,5855881:5855900|offset_42|444444,5855832:5855851|offset_91|444444,5855798:5855817|offset_125|444444&amp;v=5855706:5856017&amp;c=444444", "offset 16")</f>
        <v>offset 16</v>
      </c>
    </row>
    <row r="19076" customFormat="false" ht="12.8" hidden="false" customHeight="false" outlineLevel="0" collapsed="false">
      <c r="A19076" s="0" t="s">
        <v>12</v>
      </c>
      <c r="B19076" s="0" t="n">
        <v>5855880</v>
      </c>
      <c r="C19076" s="0" t="n">
        <v>5855900</v>
      </c>
      <c r="D19076" s="0" t="s">
        <v>63412</v>
      </c>
      <c r="E19076" s="0" t="s">
        <v>63413</v>
      </c>
      <c r="F19076" s="0" t="s">
        <v>90</v>
      </c>
      <c r="G19076" s="0" t="s">
        <v>16</v>
      </c>
      <c r="H19076" s="0" t="n">
        <v>42</v>
      </c>
      <c r="I19076" s="0" t="s">
        <v>63417</v>
      </c>
      <c r="J19076" s="0" t="s">
        <v>63418</v>
      </c>
      <c r="K19076" s="0" t="s">
        <v>63419</v>
      </c>
      <c r="L19076" s="0" t="str">
        <f aca="false">HYPERLINK("https://www.ncbi.nlm.nih.gov/nuccore/CP000058.1?report=graph&amp;tracks=[key:gene_model_track,Options:GeneOnly]&amp;mk=5855907:5855926|offset_16|444444,5855881:5855900|offset_42|00cc00,5855832:5855851|offset_91|444444,5855798:5855817|offset_125|444444&amp;v=5855706:5856017&amp;c=444444", "offset 42")</f>
        <v>offset 42</v>
      </c>
    </row>
    <row r="19077" customFormat="false" ht="12.8" hidden="false" customHeight="false" outlineLevel="0" collapsed="false">
      <c r="A19077" s="0" t="s">
        <v>12</v>
      </c>
      <c r="B19077" s="0" t="n">
        <v>5855831</v>
      </c>
      <c r="C19077" s="0" t="n">
        <v>5855851</v>
      </c>
      <c r="D19077" s="0" t="s">
        <v>63412</v>
      </c>
      <c r="E19077" s="0" t="s">
        <v>63413</v>
      </c>
      <c r="F19077" s="0" t="s">
        <v>90</v>
      </c>
      <c r="G19077" s="0" t="s">
        <v>36</v>
      </c>
      <c r="H19077" s="0" t="n">
        <v>91</v>
      </c>
      <c r="I19077" s="0" t="s">
        <v>63420</v>
      </c>
      <c r="J19077" s="0" t="s">
        <v>63421</v>
      </c>
      <c r="K19077" s="0" t="s">
        <v>63422</v>
      </c>
      <c r="L19077" s="0" t="str">
        <f aca="false">HYPERLINK("https://www.ncbi.nlm.nih.gov/nuccore/CP000058.1?report=graph&amp;tracks=[key:gene_model_track,Options:GeneOnly]&amp;mk=5855907:5855926|offset_16|444444,5855881:5855900|offset_42|444444,5855832:5855851|offset_91|00cc00,5855798:5855817|offset_125|444444&amp;v=5855706:5856017&amp;c=444444", "offset 91")</f>
        <v>offset 91</v>
      </c>
    </row>
    <row r="19078" customFormat="false" ht="12.8" hidden="false" customHeight="false" outlineLevel="0" collapsed="false">
      <c r="A19078" s="0" t="s">
        <v>12</v>
      </c>
      <c r="B19078" s="0" t="n">
        <v>5855797</v>
      </c>
      <c r="C19078" s="0" t="n">
        <v>5855817</v>
      </c>
      <c r="D19078" s="0" t="s">
        <v>63412</v>
      </c>
      <c r="E19078" s="0" t="s">
        <v>63413</v>
      </c>
      <c r="F19078" s="0" t="s">
        <v>90</v>
      </c>
      <c r="G19078" s="0" t="s">
        <v>20</v>
      </c>
      <c r="H19078" s="0" t="n">
        <v>125</v>
      </c>
      <c r="I19078" s="0" t="s">
        <v>63423</v>
      </c>
      <c r="J19078" s="0" t="s">
        <v>63424</v>
      </c>
      <c r="K19078" s="0" t="s">
        <v>63425</v>
      </c>
      <c r="L19078" s="0" t="str">
        <f aca="false">HYPERLINK("https://www.ncbi.nlm.nih.gov/nuccore/CP000058.1?report=graph&amp;tracks=[key:gene_model_track,Options:GeneOnly]&amp;mk=5855907:5855926|offset_16|444444,5855881:5855900|offset_42|444444,5855832:5855851|offset_91|444444,5855798:5855817|offset_125|00cc00&amp;v=5855706:5856017&amp;c=444444", "offset 125")</f>
        <v>offset 125</v>
      </c>
    </row>
    <row r="19079" customFormat="false" ht="12.8" hidden="false" customHeight="false" outlineLevel="0" collapsed="false">
      <c r="A19079" s="0" t="s">
        <v>12</v>
      </c>
      <c r="B19079" s="0" t="n">
        <v>5856981</v>
      </c>
      <c r="C19079" s="0" t="n">
        <v>5857001</v>
      </c>
      <c r="D19079" s="0" t="s">
        <v>63426</v>
      </c>
      <c r="E19079" s="0" t="s">
        <v>75</v>
      </c>
      <c r="F19079" s="0" t="s">
        <v>90</v>
      </c>
      <c r="G19079" s="0" t="s">
        <v>32</v>
      </c>
      <c r="H19079" s="0" t="n">
        <v>8</v>
      </c>
      <c r="I19079" s="0" t="s">
        <v>63427</v>
      </c>
      <c r="J19079" s="0" t="s">
        <v>63428</v>
      </c>
      <c r="K19079" s="0" t="s">
        <v>63429</v>
      </c>
      <c r="L19079" s="0" t="str">
        <f aca="false">HYPERLINK("https://www.ncbi.nlm.nih.gov/nuccore/CP000058.1?report=graph&amp;tracks=[key:gene_model_track,Options:GeneOnly]&amp;mk=5856982:5857001|offset_8|00cc00,5856951:5856970|offset_39|444444,5856919:5856938|offset_71|444444,5856887:5856906|offset_103|444444&amp;v=5856781:5857106&amp;c=444444", "offset 8")</f>
        <v>offset 8</v>
      </c>
    </row>
    <row r="19080" customFormat="false" ht="12.8" hidden="false" customHeight="false" outlineLevel="0" collapsed="false">
      <c r="A19080" s="0" t="s">
        <v>12</v>
      </c>
      <c r="B19080" s="0" t="n">
        <v>5856950</v>
      </c>
      <c r="C19080" s="0" t="n">
        <v>5856970</v>
      </c>
      <c r="D19080" s="0" t="s">
        <v>63426</v>
      </c>
      <c r="E19080" s="0" t="s">
        <v>75</v>
      </c>
      <c r="F19080" s="0" t="s">
        <v>90</v>
      </c>
      <c r="G19080" s="0" t="s">
        <v>16</v>
      </c>
      <c r="H19080" s="0" t="n">
        <v>39</v>
      </c>
      <c r="I19080" s="0" t="s">
        <v>63430</v>
      </c>
      <c r="J19080" s="0" t="s">
        <v>63431</v>
      </c>
      <c r="K19080" s="0" t="s">
        <v>63432</v>
      </c>
      <c r="L19080" s="0" t="str">
        <f aca="false">HYPERLINK("https://www.ncbi.nlm.nih.gov/nuccore/CP000058.1?report=graph&amp;tracks=[key:gene_model_track,Options:GeneOnly]&amp;mk=5856982:5857001|offset_8|444444,5856951:5856970|offset_39|00cc00,5856919:5856938|offset_71|444444,5856887:5856906|offset_103|444444&amp;v=5856781:5857106&amp;c=444444", "offset 39")</f>
        <v>offset 39</v>
      </c>
    </row>
    <row r="19081" customFormat="false" ht="12.8" hidden="false" customHeight="false" outlineLevel="0" collapsed="false">
      <c r="A19081" s="0" t="s">
        <v>12</v>
      </c>
      <c r="B19081" s="0" t="n">
        <v>5856918</v>
      </c>
      <c r="C19081" s="0" t="n">
        <v>5856938</v>
      </c>
      <c r="D19081" s="0" t="s">
        <v>63426</v>
      </c>
      <c r="E19081" s="0" t="s">
        <v>75</v>
      </c>
      <c r="F19081" s="0" t="s">
        <v>90</v>
      </c>
      <c r="G19081" s="0" t="s">
        <v>16</v>
      </c>
      <c r="H19081" s="0" t="n">
        <v>71</v>
      </c>
      <c r="I19081" s="0" t="s">
        <v>63433</v>
      </c>
      <c r="J19081" s="0" t="s">
        <v>63434</v>
      </c>
      <c r="K19081" s="0" t="s">
        <v>63435</v>
      </c>
      <c r="L19081" s="0" t="str">
        <f aca="false">HYPERLINK("https://www.ncbi.nlm.nih.gov/nuccore/CP000058.1?report=graph&amp;tracks=[key:gene_model_track,Options:GeneOnly]&amp;mk=5856982:5857001|offset_8|444444,5856951:5856970|offset_39|444444,5856919:5856938|offset_71|00cc00,5856887:5856906|offset_103|444444&amp;v=5856781:5857106&amp;c=444444", "offset 71")</f>
        <v>offset 71</v>
      </c>
    </row>
    <row r="19082" customFormat="false" ht="12.8" hidden="false" customHeight="false" outlineLevel="0" collapsed="false">
      <c r="A19082" s="0" t="s">
        <v>12</v>
      </c>
      <c r="B19082" s="0" t="n">
        <v>5856886</v>
      </c>
      <c r="C19082" s="0" t="n">
        <v>5856906</v>
      </c>
      <c r="D19082" s="0" t="s">
        <v>63426</v>
      </c>
      <c r="E19082" s="0" t="s">
        <v>75</v>
      </c>
      <c r="F19082" s="0" t="s">
        <v>90</v>
      </c>
      <c r="G19082" s="0" t="s">
        <v>36</v>
      </c>
      <c r="H19082" s="0" t="n">
        <v>103</v>
      </c>
      <c r="I19082" s="0" t="s">
        <v>63436</v>
      </c>
      <c r="J19082" s="0" t="s">
        <v>63437</v>
      </c>
      <c r="K19082" s="0" t="s">
        <v>63438</v>
      </c>
      <c r="L19082" s="0" t="str">
        <f aca="false">HYPERLINK("https://www.ncbi.nlm.nih.gov/nuccore/CP000058.1?report=graph&amp;tracks=[key:gene_model_track,Options:GeneOnly]&amp;mk=5856982:5857001|offset_8|444444,5856951:5856970|offset_39|444444,5856919:5856938|offset_71|444444,5856887:5856906|offset_103|00cc00&amp;v=5856781:5857106&amp;c=444444", "offset 103")</f>
        <v>offset 103</v>
      </c>
    </row>
    <row r="19083" customFormat="false" ht="12.8" hidden="false" customHeight="false" outlineLevel="0" collapsed="false">
      <c r="A19083" s="0" t="s">
        <v>12</v>
      </c>
      <c r="B19083" s="0" t="n">
        <v>5858023</v>
      </c>
      <c r="C19083" s="0" t="n">
        <v>5858043</v>
      </c>
      <c r="D19083" s="0" t="s">
        <v>63439</v>
      </c>
      <c r="E19083" s="0" t="s">
        <v>75</v>
      </c>
      <c r="F19083" s="0" t="s">
        <v>90</v>
      </c>
      <c r="G19083" s="0" t="s">
        <v>36</v>
      </c>
      <c r="H19083" s="0" t="n">
        <v>0</v>
      </c>
      <c r="I19083" s="0" t="s">
        <v>63440</v>
      </c>
      <c r="J19083" s="0" t="s">
        <v>63441</v>
      </c>
      <c r="K19083" s="0" t="s">
        <v>63442</v>
      </c>
      <c r="L19083" s="0" t="str">
        <f aca="false">HYPERLINK("https://www.ncbi.nlm.nih.gov/nuccore/CP000058.1?report=graph&amp;tracks=[key:gene_model_track,Options:GeneOnly]&amp;mk=5858024:5858043|offset_0|00cc00,5857990:5858009|offset_34|444444,5857953:5857972|offset_71|444444,5857921:5857940|offset_103|444444&amp;v=5857823:5858140&amp;c=444444", "offset 0")</f>
        <v>offset 0</v>
      </c>
    </row>
    <row r="19084" customFormat="false" ht="12.8" hidden="false" customHeight="false" outlineLevel="0" collapsed="false">
      <c r="A19084" s="0" t="s">
        <v>12</v>
      </c>
      <c r="B19084" s="0" t="n">
        <v>5857989</v>
      </c>
      <c r="C19084" s="0" t="n">
        <v>5858009</v>
      </c>
      <c r="D19084" s="0" t="s">
        <v>63439</v>
      </c>
      <c r="E19084" s="0" t="s">
        <v>75</v>
      </c>
      <c r="F19084" s="0" t="s">
        <v>90</v>
      </c>
      <c r="G19084" s="0" t="s">
        <v>16</v>
      </c>
      <c r="H19084" s="0" t="n">
        <v>34</v>
      </c>
      <c r="I19084" s="0" t="s">
        <v>63443</v>
      </c>
      <c r="J19084" s="0" t="s">
        <v>63444</v>
      </c>
      <c r="K19084" s="0" t="s">
        <v>63445</v>
      </c>
      <c r="L19084" s="0" t="str">
        <f aca="false">HYPERLINK("https://www.ncbi.nlm.nih.gov/nuccore/CP000058.1?report=graph&amp;tracks=[key:gene_model_track,Options:GeneOnly]&amp;mk=5858024:5858043|offset_0|444444,5857990:5858009|offset_34|00cc00,5857953:5857972|offset_71|444444,5857921:5857940|offset_103|444444&amp;v=5857823:5858140&amp;c=444444", "offset 34")</f>
        <v>offset 34</v>
      </c>
    </row>
    <row r="19085" customFormat="false" ht="12.8" hidden="false" customHeight="false" outlineLevel="0" collapsed="false">
      <c r="A19085" s="0" t="s">
        <v>12</v>
      </c>
      <c r="B19085" s="0" t="n">
        <v>5857952</v>
      </c>
      <c r="C19085" s="0" t="n">
        <v>5857972</v>
      </c>
      <c r="D19085" s="0" t="s">
        <v>63439</v>
      </c>
      <c r="E19085" s="0" t="s">
        <v>75</v>
      </c>
      <c r="F19085" s="0" t="s">
        <v>90</v>
      </c>
      <c r="G19085" s="0" t="s">
        <v>32</v>
      </c>
      <c r="H19085" s="0" t="n">
        <v>71</v>
      </c>
      <c r="I19085" s="0" t="s">
        <v>63446</v>
      </c>
      <c r="J19085" s="0" t="s">
        <v>63447</v>
      </c>
      <c r="K19085" s="0" t="s">
        <v>63448</v>
      </c>
      <c r="L19085" s="0" t="str">
        <f aca="false">HYPERLINK("https://www.ncbi.nlm.nih.gov/nuccore/CP000058.1?report=graph&amp;tracks=[key:gene_model_track,Options:GeneOnly]&amp;mk=5858024:5858043|offset_0|444444,5857990:5858009|offset_34|444444,5857953:5857972|offset_71|00cc00,5857921:5857940|offset_103|444444&amp;v=5857823:5858140&amp;c=444444", "offset 71")</f>
        <v>offset 71</v>
      </c>
    </row>
    <row r="19086" customFormat="false" ht="12.8" hidden="false" customHeight="false" outlineLevel="0" collapsed="false">
      <c r="A19086" s="0" t="s">
        <v>12</v>
      </c>
      <c r="B19086" s="0" t="n">
        <v>5857920</v>
      </c>
      <c r="C19086" s="0" t="n">
        <v>5857940</v>
      </c>
      <c r="D19086" s="0" t="s">
        <v>63439</v>
      </c>
      <c r="E19086" s="0" t="s">
        <v>75</v>
      </c>
      <c r="F19086" s="0" t="s">
        <v>90</v>
      </c>
      <c r="G19086" s="0" t="s">
        <v>16</v>
      </c>
      <c r="H19086" s="0" t="n">
        <v>103</v>
      </c>
      <c r="I19086" s="0" t="s">
        <v>63449</v>
      </c>
      <c r="J19086" s="0" t="s">
        <v>63450</v>
      </c>
      <c r="K19086" s="0" t="s">
        <v>63451</v>
      </c>
      <c r="L19086" s="0" t="str">
        <f aca="false">HYPERLINK("https://www.ncbi.nlm.nih.gov/nuccore/CP000058.1?report=graph&amp;tracks=[key:gene_model_track,Options:GeneOnly]&amp;mk=5858024:5858043|offset_0|444444,5857990:5858009|offset_34|444444,5857953:5857972|offset_71|444444,5857921:5857940|offset_103|00cc00&amp;v=5857823:5858140&amp;c=444444", "offset 103")</f>
        <v>offset 103</v>
      </c>
    </row>
    <row r="19087" customFormat="false" ht="12.8" hidden="false" customHeight="false" outlineLevel="0" collapsed="false">
      <c r="A19087" s="0" t="s">
        <v>12</v>
      </c>
      <c r="B19087" s="0" t="n">
        <v>5859949</v>
      </c>
      <c r="C19087" s="0" t="n">
        <v>5859969</v>
      </c>
      <c r="D19087" s="0" t="s">
        <v>63452</v>
      </c>
      <c r="E19087" s="0" t="s">
        <v>75</v>
      </c>
      <c r="F19087" s="0" t="s">
        <v>90</v>
      </c>
      <c r="G19087" s="0" t="s">
        <v>20</v>
      </c>
      <c r="H19087" s="0" t="n">
        <v>32</v>
      </c>
      <c r="I19087" s="0" t="s">
        <v>63453</v>
      </c>
      <c r="J19087" s="0" t="s">
        <v>63454</v>
      </c>
      <c r="K19087" s="0" t="s">
        <v>63455</v>
      </c>
      <c r="L19087" s="0" t="str">
        <f aca="false">HYPERLINK("https://www.ncbi.nlm.nih.gov/nuccore/CP000058.1?report=graph&amp;tracks=[key:gene_model_track,Options:GeneOnly]&amp;mk=5859950:5859969|offset_32|00cc00,5859840:5859859|offset_142|444444,5859804:5859823|offset_178|444444,5859747:5859766|offset_235|444444&amp;v=5859749:5859966&amp;c=444444", "offset 32")</f>
        <v>offset 32</v>
      </c>
    </row>
    <row r="19088" customFormat="false" ht="12.8" hidden="false" customHeight="false" outlineLevel="0" collapsed="false">
      <c r="A19088" s="0" t="s">
        <v>12</v>
      </c>
      <c r="B19088" s="0" t="n">
        <v>5859839</v>
      </c>
      <c r="C19088" s="0" t="n">
        <v>5859859</v>
      </c>
      <c r="D19088" s="0" t="s">
        <v>63452</v>
      </c>
      <c r="E19088" s="0" t="s">
        <v>75</v>
      </c>
      <c r="F19088" s="0" t="s">
        <v>90</v>
      </c>
      <c r="G19088" s="0" t="s">
        <v>32</v>
      </c>
      <c r="H19088" s="0" t="n">
        <v>142</v>
      </c>
      <c r="I19088" s="0" t="s">
        <v>63456</v>
      </c>
      <c r="J19088" s="0" t="s">
        <v>63457</v>
      </c>
      <c r="K19088" s="0" t="s">
        <v>63458</v>
      </c>
      <c r="L19088" s="0" t="str">
        <f aca="false">HYPERLINK("https://www.ncbi.nlm.nih.gov/nuccore/CP000058.1?report=graph&amp;tracks=[key:gene_model_track,Options:GeneOnly]&amp;mk=5859950:5859969|offset_32|444444,5859840:5859859|offset_142|00cc00,5859804:5859823|offset_178|444444,5859747:5859766|offset_235|444444&amp;v=5859749:5859966&amp;c=444444", "offset 142")</f>
        <v>offset 142</v>
      </c>
    </row>
    <row r="19089" customFormat="false" ht="12.8" hidden="false" customHeight="false" outlineLevel="0" collapsed="false">
      <c r="A19089" s="0" t="s">
        <v>12</v>
      </c>
      <c r="B19089" s="0" t="n">
        <v>5859803</v>
      </c>
      <c r="C19089" s="0" t="n">
        <v>5859823</v>
      </c>
      <c r="D19089" s="0" t="s">
        <v>63452</v>
      </c>
      <c r="E19089" s="0" t="s">
        <v>75</v>
      </c>
      <c r="F19089" s="0" t="s">
        <v>90</v>
      </c>
      <c r="G19089" s="0" t="s">
        <v>16</v>
      </c>
      <c r="H19089" s="0" t="n">
        <v>178</v>
      </c>
      <c r="I19089" s="0" t="s">
        <v>63459</v>
      </c>
      <c r="J19089" s="0" t="s">
        <v>63460</v>
      </c>
      <c r="K19089" s="0" t="s">
        <v>63461</v>
      </c>
      <c r="L19089" s="0" t="str">
        <f aca="false">HYPERLINK("https://www.ncbi.nlm.nih.gov/nuccore/CP000058.1?report=graph&amp;tracks=[key:gene_model_track,Options:GeneOnly]&amp;mk=5859950:5859969|offset_32|444444,5859840:5859859|offset_142|444444,5859804:5859823|offset_178|00cc00,5859747:5859766|offset_235|444444&amp;v=5859749:5859966&amp;c=444444", "offset 178")</f>
        <v>offset 178</v>
      </c>
    </row>
    <row r="19090" customFormat="false" ht="12.8" hidden="false" customHeight="false" outlineLevel="0" collapsed="false">
      <c r="A19090" s="0" t="s">
        <v>12</v>
      </c>
      <c r="B19090" s="0" t="n">
        <v>5859746</v>
      </c>
      <c r="C19090" s="0" t="n">
        <v>5859766</v>
      </c>
      <c r="D19090" s="0" t="s">
        <v>63452</v>
      </c>
      <c r="E19090" s="0" t="s">
        <v>75</v>
      </c>
      <c r="F19090" s="0" t="s">
        <v>90</v>
      </c>
      <c r="G19090" s="0" t="s">
        <v>32</v>
      </c>
      <c r="H19090" s="0" t="n">
        <v>235</v>
      </c>
      <c r="I19090" s="0" t="s">
        <v>63462</v>
      </c>
      <c r="J19090" s="0" t="s">
        <v>63463</v>
      </c>
      <c r="K19090" s="0" t="s">
        <v>63464</v>
      </c>
      <c r="L19090" s="0" t="str">
        <f aca="false">HYPERLINK("https://www.ncbi.nlm.nih.gov/nuccore/CP000058.1?report=graph&amp;tracks=[key:gene_model_track,Options:GeneOnly]&amp;mk=5859950:5859969|offset_32|444444,5859840:5859859|offset_142|444444,5859804:5859823|offset_178|444444,5859747:5859766|offset_235|00cc00&amp;v=5859749:5859966&amp;c=444444", "offset 235")</f>
        <v>offset 235</v>
      </c>
    </row>
    <row r="19091" customFormat="false" ht="12.8" hidden="false" customHeight="false" outlineLevel="0" collapsed="false">
      <c r="A19091" s="0" t="s">
        <v>12</v>
      </c>
      <c r="B19091" s="0" t="n">
        <v>5860180</v>
      </c>
      <c r="C19091" s="0" t="n">
        <v>5860200</v>
      </c>
      <c r="D19091" s="0" t="s">
        <v>63465</v>
      </c>
      <c r="E19091" s="0" t="s">
        <v>75</v>
      </c>
      <c r="F19091" s="0" t="s">
        <v>15</v>
      </c>
      <c r="G19091" s="0" t="s">
        <v>16</v>
      </c>
      <c r="H19091" s="0" t="n">
        <v>32</v>
      </c>
      <c r="I19091" s="0" t="s">
        <v>63466</v>
      </c>
      <c r="J19091" s="0" t="s">
        <v>63467</v>
      </c>
      <c r="K19091" s="0" t="s">
        <v>63468</v>
      </c>
      <c r="L19091" s="0" t="str">
        <f aca="false">HYPERLINK("https://www.ncbi.nlm.nih.gov/nuccore/CP000058.1?report=graph&amp;tracks=[key:gene_model_track,Options:GeneOnly]&amp;mk=5860181:5860200|offset_32|00cc00,5860211:5860230|offset_62|444444,5860244:5860263|offset_95|444444,5860293:5860312|offset_144|444444&amp;v=5859980:5860512&amp;c=444444", "offset 32")</f>
        <v>offset 32</v>
      </c>
    </row>
    <row r="19092" customFormat="false" ht="12.8" hidden="false" customHeight="false" outlineLevel="0" collapsed="false">
      <c r="A19092" s="0" t="s">
        <v>12</v>
      </c>
      <c r="B19092" s="0" t="n">
        <v>5860210</v>
      </c>
      <c r="C19092" s="0" t="n">
        <v>5860230</v>
      </c>
      <c r="D19092" s="0" t="s">
        <v>63465</v>
      </c>
      <c r="E19092" s="0" t="s">
        <v>75</v>
      </c>
      <c r="F19092" s="0" t="s">
        <v>15</v>
      </c>
      <c r="G19092" s="0" t="s">
        <v>20</v>
      </c>
      <c r="H19092" s="0" t="n">
        <v>62</v>
      </c>
      <c r="I19092" s="0" t="s">
        <v>63469</v>
      </c>
      <c r="J19092" s="0" t="s">
        <v>63470</v>
      </c>
      <c r="K19092" s="0" t="s">
        <v>63471</v>
      </c>
      <c r="L19092" s="0" t="str">
        <f aca="false">HYPERLINK("https://www.ncbi.nlm.nih.gov/nuccore/CP000058.1?report=graph&amp;tracks=[key:gene_model_track,Options:GeneOnly]&amp;mk=5860181:5860200|offset_32|444444,5860211:5860230|offset_62|00cc00,5860244:5860263|offset_95|444444,5860293:5860312|offset_144|444444&amp;v=5859980:5860512&amp;c=444444", "offset 62")</f>
        <v>offset 62</v>
      </c>
    </row>
    <row r="19093" customFormat="false" ht="12.8" hidden="false" customHeight="false" outlineLevel="0" collapsed="false">
      <c r="A19093" s="0" t="s">
        <v>12</v>
      </c>
      <c r="B19093" s="0" t="n">
        <v>5860243</v>
      </c>
      <c r="C19093" s="0" t="n">
        <v>5860263</v>
      </c>
      <c r="D19093" s="0" t="s">
        <v>63465</v>
      </c>
      <c r="E19093" s="0" t="s">
        <v>75</v>
      </c>
      <c r="F19093" s="0" t="s">
        <v>15</v>
      </c>
      <c r="G19093" s="0" t="s">
        <v>36</v>
      </c>
      <c r="H19093" s="0" t="n">
        <v>95</v>
      </c>
      <c r="I19093" s="0" t="s">
        <v>63472</v>
      </c>
      <c r="J19093" s="0" t="s">
        <v>63473</v>
      </c>
      <c r="K19093" s="0" t="s">
        <v>63474</v>
      </c>
      <c r="L19093" s="0" t="str">
        <f aca="false">HYPERLINK("https://www.ncbi.nlm.nih.gov/nuccore/CP000058.1?report=graph&amp;tracks=[key:gene_model_track,Options:GeneOnly]&amp;mk=5860181:5860200|offset_32|444444,5860211:5860230|offset_62|444444,5860244:5860263|offset_95|00cc00,5860293:5860312|offset_144|444444&amp;v=5859980:5860512&amp;c=444444", "offset 95")</f>
        <v>offset 95</v>
      </c>
    </row>
    <row r="19094" customFormat="false" ht="12.8" hidden="false" customHeight="false" outlineLevel="0" collapsed="false">
      <c r="A19094" s="0" t="s">
        <v>12</v>
      </c>
      <c r="B19094" s="0" t="n">
        <v>5860292</v>
      </c>
      <c r="C19094" s="0" t="n">
        <v>5860312</v>
      </c>
      <c r="D19094" s="0" t="s">
        <v>63465</v>
      </c>
      <c r="E19094" s="0" t="s">
        <v>75</v>
      </c>
      <c r="F19094" s="0" t="s">
        <v>15</v>
      </c>
      <c r="G19094" s="0" t="s">
        <v>32</v>
      </c>
      <c r="H19094" s="0" t="n">
        <v>144</v>
      </c>
      <c r="I19094" s="0" t="s">
        <v>63475</v>
      </c>
      <c r="J19094" s="0" t="s">
        <v>63476</v>
      </c>
      <c r="K19094" s="0" t="s">
        <v>63477</v>
      </c>
      <c r="L19094" s="0" t="str">
        <f aca="false">HYPERLINK("https://www.ncbi.nlm.nih.gov/nuccore/CP000058.1?report=graph&amp;tracks=[key:gene_model_track,Options:GeneOnly]&amp;mk=5860181:5860200|offset_32|444444,5860211:5860230|offset_62|444444,5860244:5860263|offset_95|444444,5860293:5860312|offset_144|00cc00&amp;v=5859980:5860512&amp;c=444444", "offset 144")</f>
        <v>offset 144</v>
      </c>
    </row>
    <row r="19095" customFormat="false" ht="12.8" hidden="false" customHeight="false" outlineLevel="0" collapsed="false">
      <c r="A19095" s="0" t="s">
        <v>12</v>
      </c>
      <c r="B19095" s="0" t="n">
        <v>5860595</v>
      </c>
      <c r="C19095" s="0" t="n">
        <v>5860615</v>
      </c>
      <c r="D19095" s="0" t="s">
        <v>63478</v>
      </c>
      <c r="E19095" s="0" t="s">
        <v>75</v>
      </c>
      <c r="F19095" s="0" t="s">
        <v>15</v>
      </c>
      <c r="G19095" s="0" t="s">
        <v>20</v>
      </c>
      <c r="H19095" s="0" t="n">
        <v>20</v>
      </c>
      <c r="I19095" s="0" t="s">
        <v>63479</v>
      </c>
      <c r="J19095" s="0" t="s">
        <v>63480</v>
      </c>
      <c r="K19095" s="0" t="s">
        <v>63481</v>
      </c>
      <c r="L19095" s="0" t="str">
        <f aca="false">HYPERLINK("https://www.ncbi.nlm.nih.gov/nuccore/CP000058.1?report=graph&amp;tracks=[key:gene_model_track,Options:GeneOnly]&amp;mk=5860596:5860615|offset_20|00cc00,5860619:5860638|offset_43|444444,5860640:5860659|offset_64|444444,5860670:5860689|offset_94|444444&amp;v=5860395:5860889&amp;c=444444", "offset 20")</f>
        <v>offset 20</v>
      </c>
    </row>
    <row r="19096" customFormat="false" ht="12.8" hidden="false" customHeight="false" outlineLevel="0" collapsed="false">
      <c r="A19096" s="0" t="s">
        <v>12</v>
      </c>
      <c r="B19096" s="0" t="n">
        <v>5860618</v>
      </c>
      <c r="C19096" s="0" t="n">
        <v>5860638</v>
      </c>
      <c r="D19096" s="0" t="s">
        <v>63478</v>
      </c>
      <c r="E19096" s="0" t="s">
        <v>75</v>
      </c>
      <c r="F19096" s="0" t="s">
        <v>15</v>
      </c>
      <c r="G19096" s="0" t="s">
        <v>16</v>
      </c>
      <c r="H19096" s="0" t="n">
        <v>43</v>
      </c>
      <c r="I19096" s="0" t="s">
        <v>63482</v>
      </c>
      <c r="J19096" s="0" t="s">
        <v>63483</v>
      </c>
      <c r="K19096" s="0" t="s">
        <v>63484</v>
      </c>
      <c r="L19096" s="0" t="str">
        <f aca="false">HYPERLINK("https://www.ncbi.nlm.nih.gov/nuccore/CP000058.1?report=graph&amp;tracks=[key:gene_model_track,Options:GeneOnly]&amp;mk=5860596:5860615|offset_20|444444,5860619:5860638|offset_43|00cc00,5860640:5860659|offset_64|444444,5860670:5860689|offset_94|444444&amp;v=5860395:5860889&amp;c=444444", "offset 43")</f>
        <v>offset 43</v>
      </c>
    </row>
    <row r="19097" customFormat="false" ht="12.8" hidden="false" customHeight="false" outlineLevel="0" collapsed="false">
      <c r="A19097" s="0" t="s">
        <v>12</v>
      </c>
      <c r="B19097" s="0" t="n">
        <v>5860639</v>
      </c>
      <c r="C19097" s="0" t="n">
        <v>5860659</v>
      </c>
      <c r="D19097" s="0" t="s">
        <v>63478</v>
      </c>
      <c r="E19097" s="0" t="s">
        <v>75</v>
      </c>
      <c r="F19097" s="0" t="s">
        <v>15</v>
      </c>
      <c r="G19097" s="0" t="s">
        <v>20</v>
      </c>
      <c r="H19097" s="0" t="n">
        <v>64</v>
      </c>
      <c r="I19097" s="0" t="s">
        <v>63485</v>
      </c>
      <c r="J19097" s="0" t="s">
        <v>63486</v>
      </c>
      <c r="K19097" s="0" t="s">
        <v>63487</v>
      </c>
      <c r="L19097" s="0" t="str">
        <f aca="false">HYPERLINK("https://www.ncbi.nlm.nih.gov/nuccore/CP000058.1?report=graph&amp;tracks=[key:gene_model_track,Options:GeneOnly]&amp;mk=5860596:5860615|offset_20|444444,5860619:5860638|offset_43|444444,5860640:5860659|offset_64|00cc00,5860670:5860689|offset_94|444444&amp;v=5860395:5860889&amp;c=444444", "offset 64")</f>
        <v>offset 64</v>
      </c>
    </row>
    <row r="19098" customFormat="false" ht="12.8" hidden="false" customHeight="false" outlineLevel="0" collapsed="false">
      <c r="A19098" s="0" t="s">
        <v>12</v>
      </c>
      <c r="B19098" s="0" t="n">
        <v>5860669</v>
      </c>
      <c r="C19098" s="0" t="n">
        <v>5860689</v>
      </c>
      <c r="D19098" s="0" t="s">
        <v>63478</v>
      </c>
      <c r="E19098" s="0" t="s">
        <v>75</v>
      </c>
      <c r="F19098" s="0" t="s">
        <v>15</v>
      </c>
      <c r="G19098" s="0" t="s">
        <v>16</v>
      </c>
      <c r="H19098" s="0" t="n">
        <v>94</v>
      </c>
      <c r="I19098" s="0" t="s">
        <v>63488</v>
      </c>
      <c r="J19098" s="0" t="s">
        <v>63489</v>
      </c>
      <c r="K19098" s="0" t="s">
        <v>63490</v>
      </c>
      <c r="L19098" s="0" t="str">
        <f aca="false">HYPERLINK("https://www.ncbi.nlm.nih.gov/nuccore/CP000058.1?report=graph&amp;tracks=[key:gene_model_track,Options:GeneOnly]&amp;mk=5860596:5860615|offset_20|444444,5860619:5860638|offset_43|444444,5860640:5860659|offset_64|444444,5860670:5860689|offset_94|00cc00&amp;v=5860395:5860889&amp;c=444444", "offset 94")</f>
        <v>offset 94</v>
      </c>
    </row>
    <row r="19099" customFormat="false" ht="12.8" hidden="false" customHeight="false" outlineLevel="0" collapsed="false">
      <c r="A19099" s="0" t="s">
        <v>12</v>
      </c>
      <c r="B19099" s="0" t="n">
        <v>5862721</v>
      </c>
      <c r="C19099" s="0" t="n">
        <v>5862741</v>
      </c>
      <c r="D19099" s="0" t="s">
        <v>63491</v>
      </c>
      <c r="E19099" s="0" t="s">
        <v>75</v>
      </c>
      <c r="F19099" s="0" t="s">
        <v>15</v>
      </c>
      <c r="G19099" s="0" t="s">
        <v>16</v>
      </c>
      <c r="H19099" s="0" t="n">
        <v>28</v>
      </c>
      <c r="I19099" s="0" t="s">
        <v>63492</v>
      </c>
      <c r="J19099" s="0" t="s">
        <v>63493</v>
      </c>
      <c r="K19099" s="0" t="s">
        <v>63494</v>
      </c>
      <c r="L19099" s="0" t="str">
        <f aca="false">HYPERLINK("https://www.ncbi.nlm.nih.gov/nuccore/CP000058.1?report=graph&amp;tracks=[key:gene_model_track,Options:GeneOnly]&amp;mk=5862722:5862741|offset_28|00cc00,5862746:5862765|offset_52|444444,5862779:5862798|offset_85|444444,5862803:5862822|offset_109|444444&amp;v=5862521:5863022&amp;c=444444", "offset 28")</f>
        <v>offset 28</v>
      </c>
    </row>
    <row r="19100" customFormat="false" ht="12.8" hidden="false" customHeight="false" outlineLevel="0" collapsed="false">
      <c r="A19100" s="0" t="s">
        <v>12</v>
      </c>
      <c r="B19100" s="0" t="n">
        <v>5862745</v>
      </c>
      <c r="C19100" s="0" t="n">
        <v>5862765</v>
      </c>
      <c r="D19100" s="0" t="s">
        <v>63491</v>
      </c>
      <c r="E19100" s="0" t="s">
        <v>75</v>
      </c>
      <c r="F19100" s="0" t="s">
        <v>15</v>
      </c>
      <c r="G19100" s="0" t="s">
        <v>20</v>
      </c>
      <c r="H19100" s="0" t="n">
        <v>52</v>
      </c>
      <c r="I19100" s="0" t="s">
        <v>63495</v>
      </c>
      <c r="J19100" s="0" t="s">
        <v>63496</v>
      </c>
      <c r="K19100" s="0" t="s">
        <v>63497</v>
      </c>
      <c r="L19100" s="0" t="str">
        <f aca="false">HYPERLINK("https://www.ncbi.nlm.nih.gov/nuccore/CP000058.1?report=graph&amp;tracks=[key:gene_model_track,Options:GeneOnly]&amp;mk=5862722:5862741|offset_28|444444,5862746:5862765|offset_52|00cc00,5862779:5862798|offset_85|444444,5862803:5862822|offset_109|444444&amp;v=5862521:5863022&amp;c=444444", "offset 52")</f>
        <v>offset 52</v>
      </c>
    </row>
    <row r="19101" customFormat="false" ht="12.8" hidden="false" customHeight="false" outlineLevel="0" collapsed="false">
      <c r="A19101" s="0" t="s">
        <v>12</v>
      </c>
      <c r="B19101" s="0" t="n">
        <v>5862778</v>
      </c>
      <c r="C19101" s="0" t="n">
        <v>5862798</v>
      </c>
      <c r="D19101" s="0" t="s">
        <v>63491</v>
      </c>
      <c r="E19101" s="0" t="s">
        <v>75</v>
      </c>
      <c r="F19101" s="0" t="s">
        <v>15</v>
      </c>
      <c r="G19101" s="0" t="s">
        <v>32</v>
      </c>
      <c r="H19101" s="0" t="n">
        <v>85</v>
      </c>
      <c r="I19101" s="0" t="s">
        <v>63498</v>
      </c>
      <c r="J19101" s="0" t="s">
        <v>63499</v>
      </c>
      <c r="K19101" s="0" t="s">
        <v>63500</v>
      </c>
      <c r="L19101" s="0" t="str">
        <f aca="false">HYPERLINK("https://www.ncbi.nlm.nih.gov/nuccore/CP000058.1?report=graph&amp;tracks=[key:gene_model_track,Options:GeneOnly]&amp;mk=5862722:5862741|offset_28|444444,5862746:5862765|offset_52|444444,5862779:5862798|offset_85|00cc00,5862803:5862822|offset_109|444444&amp;v=5862521:5863022&amp;c=444444", "offset 85")</f>
        <v>offset 85</v>
      </c>
    </row>
    <row r="19102" customFormat="false" ht="12.8" hidden="false" customHeight="false" outlineLevel="0" collapsed="false">
      <c r="A19102" s="0" t="s">
        <v>12</v>
      </c>
      <c r="B19102" s="0" t="n">
        <v>5862802</v>
      </c>
      <c r="C19102" s="0" t="n">
        <v>5862822</v>
      </c>
      <c r="D19102" s="0" t="s">
        <v>63491</v>
      </c>
      <c r="E19102" s="0" t="s">
        <v>75</v>
      </c>
      <c r="F19102" s="0" t="s">
        <v>15</v>
      </c>
      <c r="G19102" s="0" t="s">
        <v>20</v>
      </c>
      <c r="H19102" s="0" t="n">
        <v>109</v>
      </c>
      <c r="I19102" s="0" t="s">
        <v>63501</v>
      </c>
      <c r="J19102" s="0" t="s">
        <v>63502</v>
      </c>
      <c r="K19102" s="0" t="s">
        <v>63503</v>
      </c>
      <c r="L19102" s="0" t="str">
        <f aca="false">HYPERLINK("https://www.ncbi.nlm.nih.gov/nuccore/CP000058.1?report=graph&amp;tracks=[key:gene_model_track,Options:GeneOnly]&amp;mk=5862722:5862741|offset_28|444444,5862746:5862765|offset_52|444444,5862779:5862798|offset_85|444444,5862803:5862822|offset_109|00cc00&amp;v=5862521:5863022&amp;c=444444", "offset 109")</f>
        <v>offset 109</v>
      </c>
    </row>
    <row r="19103" customFormat="false" ht="12.8" hidden="false" customHeight="false" outlineLevel="0" collapsed="false">
      <c r="A19103" s="0" t="s">
        <v>12</v>
      </c>
      <c r="B19103" s="0" t="n">
        <v>5863984</v>
      </c>
      <c r="C19103" s="0" t="n">
        <v>5864004</v>
      </c>
      <c r="D19103" s="0" t="s">
        <v>63504</v>
      </c>
      <c r="E19103" s="0" t="s">
        <v>75</v>
      </c>
      <c r="F19103" s="0" t="s">
        <v>15</v>
      </c>
      <c r="G19103" s="0" t="s">
        <v>16</v>
      </c>
      <c r="H19103" s="0" t="n">
        <v>39</v>
      </c>
      <c r="I19103" s="0" t="s">
        <v>63505</v>
      </c>
      <c r="J19103" s="0" t="s">
        <v>63506</v>
      </c>
      <c r="K19103" s="0" t="s">
        <v>63507</v>
      </c>
      <c r="L19103" s="0" t="str">
        <f aca="false">HYPERLINK("https://www.ncbi.nlm.nih.gov/nuccore/CP000058.1?report=graph&amp;tracks=[key:gene_model_track,Options:GeneOnly]&amp;mk=5863985:5864004|offset_39|00cc00,5864017:5864036|offset_71|444444,5864037:5864056|offset_91|444444,5864091:5864110|offset_145|444444&amp;v=5863784:5864310&amp;c=444444", "offset 39")</f>
        <v>offset 39</v>
      </c>
    </row>
    <row r="19104" customFormat="false" ht="12.8" hidden="false" customHeight="false" outlineLevel="0" collapsed="false">
      <c r="A19104" s="0" t="s">
        <v>12</v>
      </c>
      <c r="B19104" s="0" t="n">
        <v>5864016</v>
      </c>
      <c r="C19104" s="0" t="n">
        <v>5864036</v>
      </c>
      <c r="D19104" s="0" t="s">
        <v>63504</v>
      </c>
      <c r="E19104" s="0" t="s">
        <v>75</v>
      </c>
      <c r="F19104" s="0" t="s">
        <v>15</v>
      </c>
      <c r="G19104" s="0" t="s">
        <v>32</v>
      </c>
      <c r="H19104" s="0" t="n">
        <v>71</v>
      </c>
      <c r="I19104" s="0" t="s">
        <v>63508</v>
      </c>
      <c r="J19104" s="0" t="s">
        <v>63509</v>
      </c>
      <c r="K19104" s="0" t="s">
        <v>63510</v>
      </c>
      <c r="L19104" s="0" t="str">
        <f aca="false">HYPERLINK("https://www.ncbi.nlm.nih.gov/nuccore/CP000058.1?report=graph&amp;tracks=[key:gene_model_track,Options:GeneOnly]&amp;mk=5863985:5864004|offset_39|444444,5864017:5864036|offset_71|00cc00,5864037:5864056|offset_91|444444,5864091:5864110|offset_145|444444&amp;v=5863784:5864310&amp;c=444444", "offset 71")</f>
        <v>offset 71</v>
      </c>
    </row>
    <row r="19105" customFormat="false" ht="12.8" hidden="false" customHeight="false" outlineLevel="0" collapsed="false">
      <c r="A19105" s="0" t="s">
        <v>12</v>
      </c>
      <c r="B19105" s="0" t="n">
        <v>5864036</v>
      </c>
      <c r="C19105" s="0" t="n">
        <v>5864056</v>
      </c>
      <c r="D19105" s="0" t="s">
        <v>63504</v>
      </c>
      <c r="E19105" s="0" t="s">
        <v>75</v>
      </c>
      <c r="F19105" s="0" t="s">
        <v>15</v>
      </c>
      <c r="G19105" s="0" t="s">
        <v>32</v>
      </c>
      <c r="H19105" s="0" t="n">
        <v>91</v>
      </c>
      <c r="I19105" s="0" t="s">
        <v>63511</v>
      </c>
      <c r="J19105" s="0" t="s">
        <v>63512</v>
      </c>
      <c r="K19105" s="0" t="s">
        <v>63513</v>
      </c>
      <c r="L19105" s="0" t="str">
        <f aca="false">HYPERLINK("https://www.ncbi.nlm.nih.gov/nuccore/CP000058.1?report=graph&amp;tracks=[key:gene_model_track,Options:GeneOnly]&amp;mk=5863985:5864004|offset_39|444444,5864017:5864036|offset_71|444444,5864037:5864056|offset_91|00cc00,5864091:5864110|offset_145|444444&amp;v=5863784:5864310&amp;c=444444", "offset 91")</f>
        <v>offset 91</v>
      </c>
    </row>
    <row r="19106" customFormat="false" ht="12.8" hidden="false" customHeight="false" outlineLevel="0" collapsed="false">
      <c r="A19106" s="0" t="s">
        <v>12</v>
      </c>
      <c r="B19106" s="0" t="n">
        <v>5864090</v>
      </c>
      <c r="C19106" s="0" t="n">
        <v>5864110</v>
      </c>
      <c r="D19106" s="0" t="s">
        <v>63504</v>
      </c>
      <c r="E19106" s="0" t="s">
        <v>75</v>
      </c>
      <c r="F19106" s="0" t="s">
        <v>15</v>
      </c>
      <c r="G19106" s="0" t="s">
        <v>32</v>
      </c>
      <c r="H19106" s="0" t="n">
        <v>145</v>
      </c>
      <c r="I19106" s="0" t="s">
        <v>63514</v>
      </c>
      <c r="J19106" s="0" t="s">
        <v>63515</v>
      </c>
      <c r="K19106" s="0" t="s">
        <v>63516</v>
      </c>
      <c r="L19106" s="0" t="str">
        <f aca="false">HYPERLINK("https://www.ncbi.nlm.nih.gov/nuccore/CP000058.1?report=graph&amp;tracks=[key:gene_model_track,Options:GeneOnly]&amp;mk=5863985:5864004|offset_39|444444,5864017:5864036|offset_71|444444,5864037:5864056|offset_91|444444,5864091:5864110|offset_145|00cc00&amp;v=5863784:5864310&amp;c=444444", "offset 145")</f>
        <v>offset 145</v>
      </c>
    </row>
    <row r="19107" customFormat="false" ht="12.8" hidden="false" customHeight="false" outlineLevel="0" collapsed="false">
      <c r="A19107" s="0" t="s">
        <v>12</v>
      </c>
      <c r="B19107" s="0" t="n">
        <v>5866639</v>
      </c>
      <c r="C19107" s="0" t="n">
        <v>5866659</v>
      </c>
      <c r="D19107" s="0" t="s">
        <v>63517</v>
      </c>
      <c r="E19107" s="0" t="s">
        <v>75</v>
      </c>
      <c r="F19107" s="0" t="s">
        <v>90</v>
      </c>
      <c r="G19107" s="0" t="s">
        <v>16</v>
      </c>
      <c r="H19107" s="0" t="n">
        <v>13</v>
      </c>
      <c r="I19107" s="0" t="s">
        <v>63518</v>
      </c>
      <c r="J19107" s="0" t="s">
        <v>63519</v>
      </c>
      <c r="K19107" s="0" t="s">
        <v>63520</v>
      </c>
      <c r="L19107" s="0" t="str">
        <f aca="false">HYPERLINK("https://www.ncbi.nlm.nih.gov/nuccore/CP000058.1?report=graph&amp;tracks=[key:gene_model_track,Options:GeneOnly]&amp;mk=5866640:5866659|offset_13|00cc00,5866614:5866633|offset_39|444444,5866588:5866607|offset_65|444444,5866561:5866580|offset_92|444444&amp;v=5866439:5866780&amp;c=444444", "offset 13")</f>
        <v>offset 13</v>
      </c>
    </row>
    <row r="19108" customFormat="false" ht="12.8" hidden="false" customHeight="false" outlineLevel="0" collapsed="false">
      <c r="A19108" s="0" t="s">
        <v>12</v>
      </c>
      <c r="B19108" s="0" t="n">
        <v>5866613</v>
      </c>
      <c r="C19108" s="0" t="n">
        <v>5866633</v>
      </c>
      <c r="D19108" s="0" t="s">
        <v>63517</v>
      </c>
      <c r="E19108" s="0" t="s">
        <v>75</v>
      </c>
      <c r="F19108" s="0" t="s">
        <v>90</v>
      </c>
      <c r="G19108" s="0" t="s">
        <v>16</v>
      </c>
      <c r="H19108" s="0" t="n">
        <v>39</v>
      </c>
      <c r="I19108" s="0" t="s">
        <v>63521</v>
      </c>
      <c r="J19108" s="0" t="s">
        <v>63522</v>
      </c>
      <c r="K19108" s="0" t="s">
        <v>63523</v>
      </c>
      <c r="L19108" s="0" t="str">
        <f aca="false">HYPERLINK("https://www.ncbi.nlm.nih.gov/nuccore/CP000058.1?report=graph&amp;tracks=[key:gene_model_track,Options:GeneOnly]&amp;mk=5866640:5866659|offset_13|444444,5866614:5866633|offset_39|00cc00,5866588:5866607|offset_65|444444,5866561:5866580|offset_92|444444&amp;v=5866439:5866780&amp;c=444444", "offset 39")</f>
        <v>offset 39</v>
      </c>
    </row>
    <row r="19109" customFormat="false" ht="12.8" hidden="false" customHeight="false" outlineLevel="0" collapsed="false">
      <c r="A19109" s="0" t="s">
        <v>12</v>
      </c>
      <c r="B19109" s="0" t="n">
        <v>5866587</v>
      </c>
      <c r="C19109" s="0" t="n">
        <v>5866607</v>
      </c>
      <c r="D19109" s="0" t="s">
        <v>63517</v>
      </c>
      <c r="E19109" s="0" t="s">
        <v>75</v>
      </c>
      <c r="F19109" s="0" t="s">
        <v>90</v>
      </c>
      <c r="G19109" s="0" t="s">
        <v>20</v>
      </c>
      <c r="H19109" s="0" t="n">
        <v>65</v>
      </c>
      <c r="I19109" s="0" t="s">
        <v>63524</v>
      </c>
      <c r="J19109" s="0" t="s">
        <v>63525</v>
      </c>
      <c r="K19109" s="0" t="s">
        <v>63526</v>
      </c>
      <c r="L19109" s="0" t="str">
        <f aca="false">HYPERLINK("https://www.ncbi.nlm.nih.gov/nuccore/CP000058.1?report=graph&amp;tracks=[key:gene_model_track,Options:GeneOnly]&amp;mk=5866640:5866659|offset_13|444444,5866614:5866633|offset_39|444444,5866588:5866607|offset_65|00cc00,5866561:5866580|offset_92|444444&amp;v=5866439:5866780&amp;c=444444", "offset 65")</f>
        <v>offset 65</v>
      </c>
    </row>
    <row r="19110" customFormat="false" ht="12.8" hidden="false" customHeight="false" outlineLevel="0" collapsed="false">
      <c r="A19110" s="0" t="s">
        <v>12</v>
      </c>
      <c r="B19110" s="0" t="n">
        <v>5866560</v>
      </c>
      <c r="C19110" s="0" t="n">
        <v>5866580</v>
      </c>
      <c r="D19110" s="0" t="s">
        <v>63517</v>
      </c>
      <c r="E19110" s="0" t="s">
        <v>75</v>
      </c>
      <c r="F19110" s="0" t="s">
        <v>90</v>
      </c>
      <c r="G19110" s="0" t="s">
        <v>20</v>
      </c>
      <c r="H19110" s="0" t="n">
        <v>92</v>
      </c>
      <c r="I19110" s="0" t="s">
        <v>63527</v>
      </c>
      <c r="J19110" s="0" t="s">
        <v>63528</v>
      </c>
      <c r="K19110" s="0" t="s">
        <v>63529</v>
      </c>
      <c r="L19110" s="0" t="str">
        <f aca="false">HYPERLINK("https://www.ncbi.nlm.nih.gov/nuccore/CP000058.1?report=graph&amp;tracks=[key:gene_model_track,Options:GeneOnly]&amp;mk=5866640:5866659|offset_13|444444,5866614:5866633|offset_39|444444,5866588:5866607|offset_65|444444,5866561:5866580|offset_92|00cc00&amp;v=5866439:5866780&amp;c=444444", "offset 92")</f>
        <v>offset 92</v>
      </c>
    </row>
    <row r="19111" customFormat="false" ht="12.8" hidden="false" customHeight="false" outlineLevel="0" collapsed="false">
      <c r="A19111" s="0" t="s">
        <v>12</v>
      </c>
      <c r="B19111" s="0" t="n">
        <v>5867631</v>
      </c>
      <c r="C19111" s="0" t="n">
        <v>5867651</v>
      </c>
      <c r="D19111" s="0" t="s">
        <v>63530</v>
      </c>
      <c r="E19111" s="0" t="s">
        <v>75</v>
      </c>
      <c r="F19111" s="0" t="s">
        <v>90</v>
      </c>
      <c r="G19111" s="0" t="s">
        <v>16</v>
      </c>
      <c r="H19111" s="0" t="n">
        <v>55</v>
      </c>
      <c r="I19111" s="0" t="s">
        <v>63531</v>
      </c>
      <c r="J19111" s="0" t="s">
        <v>63532</v>
      </c>
      <c r="K19111" s="0" t="s">
        <v>63533</v>
      </c>
      <c r="L19111" s="0" t="str">
        <f aca="false">HYPERLINK("https://www.ncbi.nlm.nih.gov/nuccore/CP000058.1?report=graph&amp;tracks=[key:gene_model_track,Options:GeneOnly]&amp;mk=5867632:5867651|offset_55|00cc00,5867605:5867624|offset_82|444444,5867555:5867574|offset_132|444444,5867488:5867507|offset_199|444444&amp;v=5867431:5867707&amp;c=444444", "offset 55")</f>
        <v>offset 55</v>
      </c>
    </row>
    <row r="19112" customFormat="false" ht="12.8" hidden="false" customHeight="false" outlineLevel="0" collapsed="false">
      <c r="A19112" s="0" t="s">
        <v>12</v>
      </c>
      <c r="B19112" s="0" t="n">
        <v>5867604</v>
      </c>
      <c r="C19112" s="0" t="n">
        <v>5867624</v>
      </c>
      <c r="D19112" s="0" t="s">
        <v>63530</v>
      </c>
      <c r="E19112" s="0" t="s">
        <v>75</v>
      </c>
      <c r="F19112" s="0" t="s">
        <v>90</v>
      </c>
      <c r="G19112" s="0" t="s">
        <v>16</v>
      </c>
      <c r="H19112" s="0" t="n">
        <v>82</v>
      </c>
      <c r="I19112" s="0" t="s">
        <v>63534</v>
      </c>
      <c r="J19112" s="0" t="s">
        <v>63535</v>
      </c>
      <c r="K19112" s="0" t="s">
        <v>63536</v>
      </c>
      <c r="L19112" s="0" t="str">
        <f aca="false">HYPERLINK("https://www.ncbi.nlm.nih.gov/nuccore/CP000058.1?report=graph&amp;tracks=[key:gene_model_track,Options:GeneOnly]&amp;mk=5867632:5867651|offset_55|444444,5867605:5867624|offset_82|00cc00,5867555:5867574|offset_132|444444,5867488:5867507|offset_199|444444&amp;v=5867431:5867707&amp;c=444444", "offset 82")</f>
        <v>offset 82</v>
      </c>
    </row>
    <row r="19113" customFormat="false" ht="12.8" hidden="false" customHeight="false" outlineLevel="0" collapsed="false">
      <c r="A19113" s="0" t="s">
        <v>12</v>
      </c>
      <c r="B19113" s="0" t="n">
        <v>5867554</v>
      </c>
      <c r="C19113" s="0" t="n">
        <v>5867574</v>
      </c>
      <c r="D19113" s="0" t="s">
        <v>63530</v>
      </c>
      <c r="E19113" s="0" t="s">
        <v>75</v>
      </c>
      <c r="F19113" s="0" t="s">
        <v>90</v>
      </c>
      <c r="G19113" s="0" t="s">
        <v>16</v>
      </c>
      <c r="H19113" s="0" t="n">
        <v>132</v>
      </c>
      <c r="I19113" s="0" t="s">
        <v>63537</v>
      </c>
      <c r="J19113" s="0" t="s">
        <v>63538</v>
      </c>
      <c r="K19113" s="0" t="s">
        <v>63539</v>
      </c>
      <c r="L19113" s="0" t="str">
        <f aca="false">HYPERLINK("https://www.ncbi.nlm.nih.gov/nuccore/CP000058.1?report=graph&amp;tracks=[key:gene_model_track,Options:GeneOnly]&amp;mk=5867632:5867651|offset_55|444444,5867605:5867624|offset_82|444444,5867555:5867574|offset_132|00cc00,5867488:5867507|offset_199|444444&amp;v=5867431:5867707&amp;c=444444", "offset 132")</f>
        <v>offset 132</v>
      </c>
    </row>
    <row r="19114" customFormat="false" ht="12.8" hidden="false" customHeight="false" outlineLevel="0" collapsed="false">
      <c r="A19114" s="0" t="s">
        <v>12</v>
      </c>
      <c r="B19114" s="0" t="n">
        <v>5867487</v>
      </c>
      <c r="C19114" s="0" t="n">
        <v>5867507</v>
      </c>
      <c r="D19114" s="0" t="s">
        <v>63530</v>
      </c>
      <c r="E19114" s="0" t="s">
        <v>75</v>
      </c>
      <c r="F19114" s="0" t="s">
        <v>90</v>
      </c>
      <c r="G19114" s="0" t="s">
        <v>32</v>
      </c>
      <c r="H19114" s="0" t="n">
        <v>199</v>
      </c>
      <c r="I19114" s="0" t="s">
        <v>63540</v>
      </c>
      <c r="J19114" s="0" t="s">
        <v>63541</v>
      </c>
      <c r="K19114" s="0" t="s">
        <v>63542</v>
      </c>
      <c r="L19114" s="0" t="str">
        <f aca="false">HYPERLINK("https://www.ncbi.nlm.nih.gov/nuccore/CP000058.1?report=graph&amp;tracks=[key:gene_model_track,Options:GeneOnly]&amp;mk=5867632:5867651|offset_55|444444,5867605:5867624|offset_82|444444,5867555:5867574|offset_132|444444,5867488:5867507|offset_199|00cc00&amp;v=5867431:5867707&amp;c=444444", "offset 199")</f>
        <v>offset 199</v>
      </c>
    </row>
    <row r="19115" customFormat="false" ht="12.8" hidden="false" customHeight="false" outlineLevel="0" collapsed="false">
      <c r="A19115" s="0" t="s">
        <v>12</v>
      </c>
      <c r="B19115" s="0" t="n">
        <v>5869044</v>
      </c>
      <c r="C19115" s="0" t="n">
        <v>5869064</v>
      </c>
      <c r="D19115" s="0" t="s">
        <v>63543</v>
      </c>
      <c r="E19115" s="0" t="s">
        <v>75</v>
      </c>
      <c r="F19115" s="0" t="s">
        <v>90</v>
      </c>
      <c r="G19115" s="0" t="s">
        <v>20</v>
      </c>
      <c r="H19115" s="0" t="n">
        <v>26</v>
      </c>
      <c r="I19115" s="0" t="s">
        <v>63544</v>
      </c>
      <c r="J19115" s="0" t="s">
        <v>63545</v>
      </c>
      <c r="K19115" s="0" t="s">
        <v>63546</v>
      </c>
      <c r="L19115" s="0" t="str">
        <f aca="false">HYPERLINK("https://www.ncbi.nlm.nih.gov/nuccore/CP000058.1?report=graph&amp;tracks=[key:gene_model_track,Options:GeneOnly]&amp;mk=5869045:5869064|offset_26|00cc00,5869024:5869043|offset_47|444444,5868991:5869010|offset_80|444444,5868911:5868930|offset_160|444444&amp;v=5868844:5869130&amp;c=444444", "offset 26")</f>
        <v>offset 26</v>
      </c>
    </row>
    <row r="19116" customFormat="false" ht="12.8" hidden="false" customHeight="false" outlineLevel="0" collapsed="false">
      <c r="A19116" s="0" t="s">
        <v>12</v>
      </c>
      <c r="B19116" s="0" t="n">
        <v>5869023</v>
      </c>
      <c r="C19116" s="0" t="n">
        <v>5869043</v>
      </c>
      <c r="D19116" s="0" t="s">
        <v>63543</v>
      </c>
      <c r="E19116" s="0" t="s">
        <v>75</v>
      </c>
      <c r="F19116" s="0" t="s">
        <v>90</v>
      </c>
      <c r="G19116" s="0" t="s">
        <v>16</v>
      </c>
      <c r="H19116" s="0" t="n">
        <v>47</v>
      </c>
      <c r="I19116" s="0" t="s">
        <v>63547</v>
      </c>
      <c r="J19116" s="0" t="s">
        <v>63548</v>
      </c>
      <c r="K19116" s="0" t="s">
        <v>63549</v>
      </c>
      <c r="L19116" s="0" t="str">
        <f aca="false">HYPERLINK("https://www.ncbi.nlm.nih.gov/nuccore/CP000058.1?report=graph&amp;tracks=[key:gene_model_track,Options:GeneOnly]&amp;mk=5869045:5869064|offset_26|444444,5869024:5869043|offset_47|00cc00,5868991:5869010|offset_80|444444,5868911:5868930|offset_160|444444&amp;v=5868844:5869130&amp;c=444444", "offset 47")</f>
        <v>offset 47</v>
      </c>
    </row>
    <row r="19117" customFormat="false" ht="12.8" hidden="false" customHeight="false" outlineLevel="0" collapsed="false">
      <c r="A19117" s="0" t="s">
        <v>12</v>
      </c>
      <c r="B19117" s="0" t="n">
        <v>5868990</v>
      </c>
      <c r="C19117" s="0" t="n">
        <v>5869010</v>
      </c>
      <c r="D19117" s="0" t="s">
        <v>63543</v>
      </c>
      <c r="E19117" s="0" t="s">
        <v>75</v>
      </c>
      <c r="F19117" s="0" t="s">
        <v>90</v>
      </c>
      <c r="G19117" s="0" t="s">
        <v>20</v>
      </c>
      <c r="H19117" s="0" t="n">
        <v>80</v>
      </c>
      <c r="I19117" s="0" t="s">
        <v>63550</v>
      </c>
      <c r="J19117" s="0" t="s">
        <v>63551</v>
      </c>
      <c r="K19117" s="0" t="s">
        <v>63552</v>
      </c>
      <c r="L19117" s="0" t="str">
        <f aca="false">HYPERLINK("https://www.ncbi.nlm.nih.gov/nuccore/CP000058.1?report=graph&amp;tracks=[key:gene_model_track,Options:GeneOnly]&amp;mk=5869045:5869064|offset_26|444444,5869024:5869043|offset_47|444444,5868991:5869010|offset_80|00cc00,5868911:5868930|offset_160|444444&amp;v=5868844:5869130&amp;c=444444", "offset 80")</f>
        <v>offset 80</v>
      </c>
    </row>
    <row r="19118" customFormat="false" ht="12.8" hidden="false" customHeight="false" outlineLevel="0" collapsed="false">
      <c r="A19118" s="0" t="s">
        <v>12</v>
      </c>
      <c r="B19118" s="0" t="n">
        <v>5868910</v>
      </c>
      <c r="C19118" s="0" t="n">
        <v>5868930</v>
      </c>
      <c r="D19118" s="0" t="s">
        <v>63543</v>
      </c>
      <c r="E19118" s="0" t="s">
        <v>75</v>
      </c>
      <c r="F19118" s="0" t="s">
        <v>90</v>
      </c>
      <c r="G19118" s="0" t="s">
        <v>32</v>
      </c>
      <c r="H19118" s="0" t="n">
        <v>160</v>
      </c>
      <c r="I19118" s="0" t="s">
        <v>63553</v>
      </c>
      <c r="J19118" s="0" t="s">
        <v>63554</v>
      </c>
      <c r="K19118" s="0" t="s">
        <v>63555</v>
      </c>
      <c r="L19118" s="0" t="str">
        <f aca="false">HYPERLINK("https://www.ncbi.nlm.nih.gov/nuccore/CP000058.1?report=graph&amp;tracks=[key:gene_model_track,Options:GeneOnly]&amp;mk=5869045:5869064|offset_26|444444,5869024:5869043|offset_47|444444,5868991:5869010|offset_80|444444,5868911:5868930|offset_160|00cc00&amp;v=5868844:5869130&amp;c=444444", "offset 160")</f>
        <v>offset 160</v>
      </c>
    </row>
    <row r="19119" customFormat="false" ht="12.8" hidden="false" customHeight="false" outlineLevel="0" collapsed="false">
      <c r="A19119" s="0" t="s">
        <v>12</v>
      </c>
      <c r="B19119" s="0" t="n">
        <v>5870816</v>
      </c>
      <c r="C19119" s="0" t="n">
        <v>5870836</v>
      </c>
      <c r="D19119" s="0" t="s">
        <v>63556</v>
      </c>
      <c r="E19119" s="0" t="s">
        <v>75</v>
      </c>
      <c r="F19119" s="0" t="s">
        <v>90</v>
      </c>
      <c r="G19119" s="0" t="s">
        <v>20</v>
      </c>
      <c r="H19119" s="0" t="n">
        <v>32</v>
      </c>
      <c r="I19119" s="0" t="s">
        <v>63557</v>
      </c>
      <c r="J19119" s="0" t="s">
        <v>63558</v>
      </c>
      <c r="K19119" s="0" t="s">
        <v>63559</v>
      </c>
      <c r="L19119" s="0" t="str">
        <f aca="false">HYPERLINK("https://www.ncbi.nlm.nih.gov/nuccore/CP000058.1?report=graph&amp;tracks=[key:gene_model_track,Options:GeneOnly]&amp;mk=5870817:5870836|offset_32|00cc00,5870792:5870811|offset_57|444444,5870767:5870786|offset_82|444444,5870740:5870759|offset_109|444444&amp;v=5870616:5870959&amp;c=444444", "offset 32")</f>
        <v>offset 32</v>
      </c>
    </row>
    <row r="19120" customFormat="false" ht="12.8" hidden="false" customHeight="false" outlineLevel="0" collapsed="false">
      <c r="A19120" s="0" t="s">
        <v>12</v>
      </c>
      <c r="B19120" s="0" t="n">
        <v>5870791</v>
      </c>
      <c r="C19120" s="0" t="n">
        <v>5870811</v>
      </c>
      <c r="D19120" s="0" t="s">
        <v>63556</v>
      </c>
      <c r="E19120" s="0" t="s">
        <v>75</v>
      </c>
      <c r="F19120" s="0" t="s">
        <v>90</v>
      </c>
      <c r="G19120" s="0" t="s">
        <v>36</v>
      </c>
      <c r="H19120" s="0" t="n">
        <v>57</v>
      </c>
      <c r="I19120" s="0" t="s">
        <v>63560</v>
      </c>
      <c r="J19120" s="0" t="s">
        <v>63561</v>
      </c>
      <c r="K19120" s="0" t="s">
        <v>63562</v>
      </c>
      <c r="L19120" s="0" t="str">
        <f aca="false">HYPERLINK("https://www.ncbi.nlm.nih.gov/nuccore/CP000058.1?report=graph&amp;tracks=[key:gene_model_track,Options:GeneOnly]&amp;mk=5870817:5870836|offset_32|444444,5870792:5870811|offset_57|00cc00,5870767:5870786|offset_82|444444,5870740:5870759|offset_109|444444&amp;v=5870616:5870959&amp;c=444444", "offset 57")</f>
        <v>offset 57</v>
      </c>
    </row>
    <row r="19121" customFormat="false" ht="12.8" hidden="false" customHeight="false" outlineLevel="0" collapsed="false">
      <c r="A19121" s="0" t="s">
        <v>12</v>
      </c>
      <c r="B19121" s="0" t="n">
        <v>5870766</v>
      </c>
      <c r="C19121" s="0" t="n">
        <v>5870786</v>
      </c>
      <c r="D19121" s="0" t="s">
        <v>63556</v>
      </c>
      <c r="E19121" s="0" t="s">
        <v>75</v>
      </c>
      <c r="F19121" s="0" t="s">
        <v>90</v>
      </c>
      <c r="G19121" s="0" t="s">
        <v>16</v>
      </c>
      <c r="H19121" s="0" t="n">
        <v>82</v>
      </c>
      <c r="I19121" s="0" t="s">
        <v>63563</v>
      </c>
      <c r="J19121" s="0" t="s">
        <v>63564</v>
      </c>
      <c r="K19121" s="0" t="s">
        <v>63565</v>
      </c>
      <c r="L19121" s="0" t="str">
        <f aca="false">HYPERLINK("https://www.ncbi.nlm.nih.gov/nuccore/CP000058.1?report=graph&amp;tracks=[key:gene_model_track,Options:GeneOnly]&amp;mk=5870817:5870836|offset_32|444444,5870792:5870811|offset_57|444444,5870767:5870786|offset_82|00cc00,5870740:5870759|offset_109|444444&amp;v=5870616:5870959&amp;c=444444", "offset 82")</f>
        <v>offset 82</v>
      </c>
    </row>
    <row r="19122" customFormat="false" ht="12.8" hidden="false" customHeight="false" outlineLevel="0" collapsed="false">
      <c r="A19122" s="0" t="s">
        <v>12</v>
      </c>
      <c r="B19122" s="0" t="n">
        <v>5870739</v>
      </c>
      <c r="C19122" s="0" t="n">
        <v>5870759</v>
      </c>
      <c r="D19122" s="0" t="s">
        <v>63556</v>
      </c>
      <c r="E19122" s="0" t="s">
        <v>75</v>
      </c>
      <c r="F19122" s="0" t="s">
        <v>90</v>
      </c>
      <c r="G19122" s="0" t="s">
        <v>16</v>
      </c>
      <c r="H19122" s="0" t="n">
        <v>109</v>
      </c>
      <c r="I19122" s="0" t="s">
        <v>63566</v>
      </c>
      <c r="J19122" s="0" t="s">
        <v>63567</v>
      </c>
      <c r="K19122" s="0" t="s">
        <v>63568</v>
      </c>
      <c r="L19122" s="0" t="str">
        <f aca="false">HYPERLINK("https://www.ncbi.nlm.nih.gov/nuccore/CP000058.1?report=graph&amp;tracks=[key:gene_model_track,Options:GeneOnly]&amp;mk=5870817:5870836|offset_32|444444,5870792:5870811|offset_57|444444,5870767:5870786|offset_82|444444,5870740:5870759|offset_109|00cc00&amp;v=5870616:5870959&amp;c=444444", "offset 109")</f>
        <v>offset 109</v>
      </c>
    </row>
    <row r="19123" customFormat="false" ht="12.8" hidden="false" customHeight="false" outlineLevel="0" collapsed="false">
      <c r="A19123" s="0" t="s">
        <v>12</v>
      </c>
      <c r="B19123" s="0" t="n">
        <v>5873180</v>
      </c>
      <c r="C19123" s="0" t="n">
        <v>5873200</v>
      </c>
      <c r="D19123" s="0" t="s">
        <v>63569</v>
      </c>
      <c r="E19123" s="0" t="s">
        <v>75</v>
      </c>
      <c r="F19123" s="0" t="s">
        <v>90</v>
      </c>
      <c r="G19123" s="0" t="s">
        <v>32</v>
      </c>
      <c r="H19123" s="0" t="n">
        <v>79</v>
      </c>
      <c r="I19123" s="0" t="s">
        <v>63570</v>
      </c>
      <c r="J19123" s="0" t="s">
        <v>63571</v>
      </c>
      <c r="K19123" s="0" t="s">
        <v>63572</v>
      </c>
      <c r="L19123" s="0" t="str">
        <f aca="false">HYPERLINK("https://www.ncbi.nlm.nih.gov/nuccore/CP000058.1?report=graph&amp;tracks=[key:gene_model_track,Options:GeneOnly]&amp;mk=5873181:5873200|offset_79|00cc00,5873157:5873176|offset_103|444444,5873130:5873149|offset_130|444444,5873088:5873107|offset_172|444444&amp;v=5872980:5873307&amp;c=444444", "offset 79")</f>
        <v>offset 79</v>
      </c>
    </row>
    <row r="19124" customFormat="false" ht="12.8" hidden="false" customHeight="false" outlineLevel="0" collapsed="false">
      <c r="A19124" s="0" t="s">
        <v>12</v>
      </c>
      <c r="B19124" s="0" t="n">
        <v>5873156</v>
      </c>
      <c r="C19124" s="0" t="n">
        <v>5873176</v>
      </c>
      <c r="D19124" s="0" t="s">
        <v>63569</v>
      </c>
      <c r="E19124" s="0" t="s">
        <v>75</v>
      </c>
      <c r="F19124" s="0" t="s">
        <v>90</v>
      </c>
      <c r="G19124" s="0" t="s">
        <v>32</v>
      </c>
      <c r="H19124" s="0" t="n">
        <v>103</v>
      </c>
      <c r="I19124" s="0" t="s">
        <v>63573</v>
      </c>
      <c r="J19124" s="0" t="s">
        <v>63574</v>
      </c>
      <c r="K19124" s="0" t="s">
        <v>63575</v>
      </c>
      <c r="L19124" s="0" t="str">
        <f aca="false">HYPERLINK("https://www.ncbi.nlm.nih.gov/nuccore/CP000058.1?report=graph&amp;tracks=[key:gene_model_track,Options:GeneOnly]&amp;mk=5873181:5873200|offset_79|444444,5873157:5873176|offset_103|00cc00,5873130:5873149|offset_130|444444,5873088:5873107|offset_172|444444&amp;v=5872980:5873307&amp;c=444444", "offset 103")</f>
        <v>offset 103</v>
      </c>
    </row>
    <row r="19125" customFormat="false" ht="12.8" hidden="false" customHeight="false" outlineLevel="0" collapsed="false">
      <c r="A19125" s="0" t="s">
        <v>12</v>
      </c>
      <c r="B19125" s="0" t="n">
        <v>5873129</v>
      </c>
      <c r="C19125" s="0" t="n">
        <v>5873149</v>
      </c>
      <c r="D19125" s="0" t="s">
        <v>63569</v>
      </c>
      <c r="E19125" s="0" t="s">
        <v>75</v>
      </c>
      <c r="F19125" s="0" t="s">
        <v>90</v>
      </c>
      <c r="G19125" s="0" t="s">
        <v>16</v>
      </c>
      <c r="H19125" s="0" t="n">
        <v>130</v>
      </c>
      <c r="I19125" s="0" t="s">
        <v>63576</v>
      </c>
      <c r="J19125" s="0" t="s">
        <v>63577</v>
      </c>
      <c r="K19125" s="0" t="s">
        <v>63578</v>
      </c>
      <c r="L19125" s="0" t="str">
        <f aca="false">HYPERLINK("https://www.ncbi.nlm.nih.gov/nuccore/CP000058.1?report=graph&amp;tracks=[key:gene_model_track,Options:GeneOnly]&amp;mk=5873181:5873200|offset_79|444444,5873157:5873176|offset_103|444444,5873130:5873149|offset_130|00cc00,5873088:5873107|offset_172|444444&amp;v=5872980:5873307&amp;c=444444", "offset 130")</f>
        <v>offset 130</v>
      </c>
    </row>
    <row r="19126" customFormat="false" ht="12.8" hidden="false" customHeight="false" outlineLevel="0" collapsed="false">
      <c r="A19126" s="0" t="s">
        <v>12</v>
      </c>
      <c r="B19126" s="0" t="n">
        <v>5873087</v>
      </c>
      <c r="C19126" s="0" t="n">
        <v>5873107</v>
      </c>
      <c r="D19126" s="0" t="s">
        <v>63569</v>
      </c>
      <c r="E19126" s="0" t="s">
        <v>75</v>
      </c>
      <c r="F19126" s="0" t="s">
        <v>90</v>
      </c>
      <c r="G19126" s="0" t="s">
        <v>32</v>
      </c>
      <c r="H19126" s="0" t="n">
        <v>172</v>
      </c>
      <c r="I19126" s="0" t="s">
        <v>63579</v>
      </c>
      <c r="J19126" s="0" t="s">
        <v>63580</v>
      </c>
      <c r="K19126" s="0" t="s">
        <v>63581</v>
      </c>
      <c r="L19126" s="0" t="str">
        <f aca="false">HYPERLINK("https://www.ncbi.nlm.nih.gov/nuccore/CP000058.1?report=graph&amp;tracks=[key:gene_model_track,Options:GeneOnly]&amp;mk=5873181:5873200|offset_79|444444,5873157:5873176|offset_103|444444,5873130:5873149|offset_130|444444,5873088:5873107|offset_172|00cc00&amp;v=5872980:5873307&amp;c=444444", "offset 172")</f>
        <v>offset 172</v>
      </c>
    </row>
    <row r="19127" customFormat="false" ht="12.8" hidden="false" customHeight="false" outlineLevel="0" collapsed="false">
      <c r="A19127" s="0" t="s">
        <v>12</v>
      </c>
      <c r="B19127" s="0" t="n">
        <v>5875460</v>
      </c>
      <c r="C19127" s="0" t="n">
        <v>5875480</v>
      </c>
      <c r="D19127" s="0" t="s">
        <v>63582</v>
      </c>
      <c r="E19127" s="0" t="s">
        <v>75</v>
      </c>
      <c r="F19127" s="0" t="s">
        <v>90</v>
      </c>
      <c r="G19127" s="0" t="s">
        <v>20</v>
      </c>
      <c r="H19127" s="0" t="n">
        <v>11</v>
      </c>
      <c r="I19127" s="0" t="s">
        <v>63583</v>
      </c>
      <c r="J19127" s="0" t="s">
        <v>63584</v>
      </c>
      <c r="K19127" s="0" t="s">
        <v>63585</v>
      </c>
      <c r="L19127" s="0" t="str">
        <f aca="false">HYPERLINK("https://www.ncbi.nlm.nih.gov/nuccore/CP000058.1?report=graph&amp;tracks=[key:gene_model_track,Options:GeneOnly]&amp;mk=5875461:5875480|offset_11|00cc00,5875438:5875457|offset_34|444444,5875417:5875436|offset_55|444444,5875383:5875402|offset_89|444444&amp;v=5875260:5875602&amp;c=444444", "offset 11")</f>
        <v>offset 11</v>
      </c>
    </row>
    <row r="19128" customFormat="false" ht="12.8" hidden="false" customHeight="false" outlineLevel="0" collapsed="false">
      <c r="A19128" s="0" t="s">
        <v>12</v>
      </c>
      <c r="B19128" s="0" t="n">
        <v>5875437</v>
      </c>
      <c r="C19128" s="0" t="n">
        <v>5875457</v>
      </c>
      <c r="D19128" s="0" t="s">
        <v>63582</v>
      </c>
      <c r="E19128" s="0" t="s">
        <v>75</v>
      </c>
      <c r="F19128" s="0" t="s">
        <v>90</v>
      </c>
      <c r="G19128" s="0" t="s">
        <v>32</v>
      </c>
      <c r="H19128" s="0" t="n">
        <v>34</v>
      </c>
      <c r="I19128" s="0" t="s">
        <v>63586</v>
      </c>
      <c r="J19128" s="0" t="s">
        <v>63587</v>
      </c>
      <c r="K19128" s="0" t="s">
        <v>63588</v>
      </c>
      <c r="L19128" s="0" t="str">
        <f aca="false">HYPERLINK("https://www.ncbi.nlm.nih.gov/nuccore/CP000058.1?report=graph&amp;tracks=[key:gene_model_track,Options:GeneOnly]&amp;mk=5875461:5875480|offset_11|444444,5875438:5875457|offset_34|00cc00,5875417:5875436|offset_55|444444,5875383:5875402|offset_89|444444&amp;v=5875260:5875602&amp;c=444444", "offset 34")</f>
        <v>offset 34</v>
      </c>
    </row>
    <row r="19129" customFormat="false" ht="12.8" hidden="false" customHeight="false" outlineLevel="0" collapsed="false">
      <c r="A19129" s="0" t="s">
        <v>12</v>
      </c>
      <c r="B19129" s="0" t="n">
        <v>5875416</v>
      </c>
      <c r="C19129" s="0" t="n">
        <v>5875436</v>
      </c>
      <c r="D19129" s="0" t="s">
        <v>63582</v>
      </c>
      <c r="E19129" s="0" t="s">
        <v>75</v>
      </c>
      <c r="F19129" s="0" t="s">
        <v>90</v>
      </c>
      <c r="G19129" s="0" t="s">
        <v>32</v>
      </c>
      <c r="H19129" s="0" t="n">
        <v>55</v>
      </c>
      <c r="I19129" s="0" t="s">
        <v>63589</v>
      </c>
      <c r="J19129" s="0" t="s">
        <v>63590</v>
      </c>
      <c r="K19129" s="0" t="s">
        <v>63591</v>
      </c>
      <c r="L19129" s="0" t="str">
        <f aca="false">HYPERLINK("https://www.ncbi.nlm.nih.gov/nuccore/CP000058.1?report=graph&amp;tracks=[key:gene_model_track,Options:GeneOnly]&amp;mk=5875461:5875480|offset_11|444444,5875438:5875457|offset_34|444444,5875417:5875436|offset_55|00cc00,5875383:5875402|offset_89|444444&amp;v=5875260:5875602&amp;c=444444", "offset 55")</f>
        <v>offset 55</v>
      </c>
    </row>
    <row r="19130" customFormat="false" ht="12.8" hidden="false" customHeight="false" outlineLevel="0" collapsed="false">
      <c r="A19130" s="0" t="s">
        <v>12</v>
      </c>
      <c r="B19130" s="0" t="n">
        <v>5875382</v>
      </c>
      <c r="C19130" s="0" t="n">
        <v>5875402</v>
      </c>
      <c r="D19130" s="0" t="s">
        <v>63582</v>
      </c>
      <c r="E19130" s="0" t="s">
        <v>75</v>
      </c>
      <c r="F19130" s="0" t="s">
        <v>90</v>
      </c>
      <c r="G19130" s="0" t="s">
        <v>36</v>
      </c>
      <c r="H19130" s="0" t="n">
        <v>89</v>
      </c>
      <c r="I19130" s="0" t="s">
        <v>63592</v>
      </c>
      <c r="J19130" s="0" t="s">
        <v>63593</v>
      </c>
      <c r="K19130" s="0" t="s">
        <v>63594</v>
      </c>
      <c r="L19130" s="0" t="str">
        <f aca="false">HYPERLINK("https://www.ncbi.nlm.nih.gov/nuccore/CP000058.1?report=graph&amp;tracks=[key:gene_model_track,Options:GeneOnly]&amp;mk=5875461:5875480|offset_11|444444,5875438:5875457|offset_34|444444,5875417:5875436|offset_55|444444,5875383:5875402|offset_89|00cc00&amp;v=5875260:5875602&amp;c=444444", "offset 89")</f>
        <v>offset 89</v>
      </c>
    </row>
    <row r="19131" customFormat="false" ht="12.8" hidden="false" customHeight="false" outlineLevel="0" collapsed="false">
      <c r="A19131" s="0" t="s">
        <v>12</v>
      </c>
      <c r="B19131" s="0" t="n">
        <v>5876091</v>
      </c>
      <c r="C19131" s="0" t="n">
        <v>5876111</v>
      </c>
      <c r="D19131" s="0" t="s">
        <v>63595</v>
      </c>
      <c r="E19131" s="0" t="s">
        <v>75</v>
      </c>
      <c r="F19131" s="0" t="s">
        <v>90</v>
      </c>
      <c r="G19131" s="0" t="s">
        <v>20</v>
      </c>
      <c r="H19131" s="0" t="n">
        <v>35</v>
      </c>
      <c r="I19131" s="0" t="s">
        <v>63596</v>
      </c>
      <c r="J19131" s="0" t="s">
        <v>63597</v>
      </c>
      <c r="K19131" s="0" t="s">
        <v>63598</v>
      </c>
      <c r="L19131" s="0" t="str">
        <f aca="false">HYPERLINK("https://www.ncbi.nlm.nih.gov/nuccore/CP000058.1?report=graph&amp;tracks=[key:gene_model_track,Options:GeneOnly]&amp;mk=5876092:5876111|offset_35|00cc00,5876030:5876049|offset_97|444444,5875990:5876009|offset_137|444444,5875965:5875984|offset_162|444444&amp;v=5875891:5876184&amp;c=444444", "offset 35")</f>
        <v>offset 35</v>
      </c>
    </row>
    <row r="19132" customFormat="false" ht="12.8" hidden="false" customHeight="false" outlineLevel="0" collapsed="false">
      <c r="A19132" s="0" t="s">
        <v>12</v>
      </c>
      <c r="B19132" s="0" t="n">
        <v>5876029</v>
      </c>
      <c r="C19132" s="0" t="n">
        <v>5876049</v>
      </c>
      <c r="D19132" s="0" t="s">
        <v>63595</v>
      </c>
      <c r="E19132" s="0" t="s">
        <v>75</v>
      </c>
      <c r="F19132" s="0" t="s">
        <v>90</v>
      </c>
      <c r="G19132" s="0" t="s">
        <v>20</v>
      </c>
      <c r="H19132" s="0" t="n">
        <v>97</v>
      </c>
      <c r="I19132" s="0" t="s">
        <v>63599</v>
      </c>
      <c r="J19132" s="0" t="s">
        <v>63600</v>
      </c>
      <c r="K19132" s="0" t="s">
        <v>63601</v>
      </c>
      <c r="L19132" s="0" t="str">
        <f aca="false">HYPERLINK("https://www.ncbi.nlm.nih.gov/nuccore/CP000058.1?report=graph&amp;tracks=[key:gene_model_track,Options:GeneOnly]&amp;mk=5876092:5876111|offset_35|444444,5876030:5876049|offset_97|00cc00,5875990:5876009|offset_137|444444,5875965:5875984|offset_162|444444&amp;v=5875891:5876184&amp;c=444444", "offset 97")</f>
        <v>offset 97</v>
      </c>
    </row>
    <row r="19133" customFormat="false" ht="12.8" hidden="false" customHeight="false" outlineLevel="0" collapsed="false">
      <c r="A19133" s="0" t="s">
        <v>12</v>
      </c>
      <c r="B19133" s="0" t="n">
        <v>5875989</v>
      </c>
      <c r="C19133" s="0" t="n">
        <v>5876009</v>
      </c>
      <c r="D19133" s="0" t="s">
        <v>63595</v>
      </c>
      <c r="E19133" s="0" t="s">
        <v>75</v>
      </c>
      <c r="F19133" s="0" t="s">
        <v>90</v>
      </c>
      <c r="G19133" s="0" t="s">
        <v>36</v>
      </c>
      <c r="H19133" s="0" t="n">
        <v>137</v>
      </c>
      <c r="I19133" s="0" t="s">
        <v>63602</v>
      </c>
      <c r="J19133" s="0" t="s">
        <v>63603</v>
      </c>
      <c r="K19133" s="0" t="s">
        <v>63604</v>
      </c>
      <c r="L19133" s="0" t="str">
        <f aca="false">HYPERLINK("https://www.ncbi.nlm.nih.gov/nuccore/CP000058.1?report=graph&amp;tracks=[key:gene_model_track,Options:GeneOnly]&amp;mk=5876092:5876111|offset_35|444444,5876030:5876049|offset_97|444444,5875990:5876009|offset_137|00cc00,5875965:5875984|offset_162|444444&amp;v=5875891:5876184&amp;c=444444", "offset 137")</f>
        <v>offset 137</v>
      </c>
    </row>
    <row r="19134" customFormat="false" ht="12.8" hidden="false" customHeight="false" outlineLevel="0" collapsed="false">
      <c r="A19134" s="0" t="s">
        <v>12</v>
      </c>
      <c r="B19134" s="0" t="n">
        <v>5875964</v>
      </c>
      <c r="C19134" s="0" t="n">
        <v>5875984</v>
      </c>
      <c r="D19134" s="0" t="s">
        <v>63595</v>
      </c>
      <c r="E19134" s="0" t="s">
        <v>75</v>
      </c>
      <c r="F19134" s="0" t="s">
        <v>90</v>
      </c>
      <c r="G19134" s="0" t="s">
        <v>32</v>
      </c>
      <c r="H19134" s="0" t="n">
        <v>162</v>
      </c>
      <c r="I19134" s="0" t="s">
        <v>63605</v>
      </c>
      <c r="J19134" s="0" t="s">
        <v>63606</v>
      </c>
      <c r="K19134" s="0" t="s">
        <v>63607</v>
      </c>
      <c r="L19134" s="0" t="str">
        <f aca="false">HYPERLINK("https://www.ncbi.nlm.nih.gov/nuccore/CP000058.1?report=graph&amp;tracks=[key:gene_model_track,Options:GeneOnly]&amp;mk=5876092:5876111|offset_35|444444,5876030:5876049|offset_97|444444,5875990:5876009|offset_137|444444,5875965:5875984|offset_162|00cc00&amp;v=5875891:5876184&amp;c=444444", "offset 162")</f>
        <v>offset 162</v>
      </c>
    </row>
    <row r="19135" customFormat="false" ht="12.8" hidden="false" customHeight="false" outlineLevel="0" collapsed="false">
      <c r="A19135" s="0" t="s">
        <v>12</v>
      </c>
      <c r="B19135" s="0" t="n">
        <v>5876605</v>
      </c>
      <c r="C19135" s="0" t="n">
        <v>5876625</v>
      </c>
      <c r="D19135" s="0" t="s">
        <v>63608</v>
      </c>
      <c r="E19135" s="0" t="s">
        <v>75</v>
      </c>
      <c r="F19135" s="0" t="s">
        <v>15</v>
      </c>
      <c r="G19135" s="0" t="s">
        <v>16</v>
      </c>
      <c r="H19135" s="0" t="n">
        <v>34</v>
      </c>
      <c r="I19135" s="0" t="s">
        <v>63609</v>
      </c>
      <c r="J19135" s="0" t="s">
        <v>63610</v>
      </c>
      <c r="K19135" s="0" t="s">
        <v>63611</v>
      </c>
      <c r="L19135" s="0" t="str">
        <f aca="false">HYPERLINK("https://www.ncbi.nlm.nih.gov/nuccore/CP000058.1?report=graph&amp;tracks=[key:gene_model_track,Options:GeneOnly]&amp;mk=5876606:5876625|offset_34|00cc00,5876628:5876647|offset_56|444444,5876669:5876688|offset_97|444444,5876690:5876709|offset_118|444444&amp;v=5876405:5876909&amp;c=444444", "offset 34")</f>
        <v>offset 34</v>
      </c>
    </row>
    <row r="19136" customFormat="false" ht="12.8" hidden="false" customHeight="false" outlineLevel="0" collapsed="false">
      <c r="A19136" s="0" t="s">
        <v>12</v>
      </c>
      <c r="B19136" s="0" t="n">
        <v>5876627</v>
      </c>
      <c r="C19136" s="0" t="n">
        <v>5876647</v>
      </c>
      <c r="D19136" s="0" t="s">
        <v>63608</v>
      </c>
      <c r="E19136" s="0" t="s">
        <v>75</v>
      </c>
      <c r="F19136" s="0" t="s">
        <v>15</v>
      </c>
      <c r="G19136" s="0" t="s">
        <v>36</v>
      </c>
      <c r="H19136" s="0" t="n">
        <v>56</v>
      </c>
      <c r="I19136" s="0" t="s">
        <v>63612</v>
      </c>
      <c r="J19136" s="0" t="s">
        <v>63613</v>
      </c>
      <c r="K19136" s="0" t="s">
        <v>63614</v>
      </c>
      <c r="L19136" s="0" t="str">
        <f aca="false">HYPERLINK("https://www.ncbi.nlm.nih.gov/nuccore/CP000058.1?report=graph&amp;tracks=[key:gene_model_track,Options:GeneOnly]&amp;mk=5876606:5876625|offset_34|444444,5876628:5876647|offset_56|00cc00,5876669:5876688|offset_97|444444,5876690:5876709|offset_118|444444&amp;v=5876405:5876909&amp;c=444444", "offset 56")</f>
        <v>offset 56</v>
      </c>
    </row>
    <row r="19137" customFormat="false" ht="12.8" hidden="false" customHeight="false" outlineLevel="0" collapsed="false">
      <c r="A19137" s="0" t="s">
        <v>12</v>
      </c>
      <c r="B19137" s="0" t="n">
        <v>5876668</v>
      </c>
      <c r="C19137" s="0" t="n">
        <v>5876688</v>
      </c>
      <c r="D19137" s="0" t="s">
        <v>63608</v>
      </c>
      <c r="E19137" s="0" t="s">
        <v>75</v>
      </c>
      <c r="F19137" s="0" t="s">
        <v>15</v>
      </c>
      <c r="G19137" s="0" t="s">
        <v>36</v>
      </c>
      <c r="H19137" s="0" t="n">
        <v>97</v>
      </c>
      <c r="I19137" s="0" t="s">
        <v>63615</v>
      </c>
      <c r="J19137" s="0" t="s">
        <v>63616</v>
      </c>
      <c r="K19137" s="0" t="s">
        <v>63617</v>
      </c>
      <c r="L19137" s="0" t="str">
        <f aca="false">HYPERLINK("https://www.ncbi.nlm.nih.gov/nuccore/CP000058.1?report=graph&amp;tracks=[key:gene_model_track,Options:GeneOnly]&amp;mk=5876606:5876625|offset_34|444444,5876628:5876647|offset_56|444444,5876669:5876688|offset_97|00cc00,5876690:5876709|offset_118|444444&amp;v=5876405:5876909&amp;c=444444", "offset 97")</f>
        <v>offset 97</v>
      </c>
    </row>
    <row r="19138" customFormat="false" ht="12.8" hidden="false" customHeight="false" outlineLevel="0" collapsed="false">
      <c r="A19138" s="0" t="s">
        <v>12</v>
      </c>
      <c r="B19138" s="0" t="n">
        <v>5876689</v>
      </c>
      <c r="C19138" s="0" t="n">
        <v>5876709</v>
      </c>
      <c r="D19138" s="0" t="s">
        <v>63608</v>
      </c>
      <c r="E19138" s="0" t="s">
        <v>75</v>
      </c>
      <c r="F19138" s="0" t="s">
        <v>15</v>
      </c>
      <c r="G19138" s="0" t="s">
        <v>16</v>
      </c>
      <c r="H19138" s="0" t="n">
        <v>118</v>
      </c>
      <c r="I19138" s="0" t="s">
        <v>63618</v>
      </c>
      <c r="J19138" s="0" t="s">
        <v>63619</v>
      </c>
      <c r="K19138" s="0" t="s">
        <v>63620</v>
      </c>
      <c r="L19138" s="0" t="str">
        <f aca="false">HYPERLINK("https://www.ncbi.nlm.nih.gov/nuccore/CP000058.1?report=graph&amp;tracks=[key:gene_model_track,Options:GeneOnly]&amp;mk=5876606:5876625|offset_34|444444,5876628:5876647|offset_56|444444,5876669:5876688|offset_97|444444,5876690:5876709|offset_118|00cc00&amp;v=5876405:5876909&amp;c=444444", "offset 118")</f>
        <v>offset 118</v>
      </c>
    </row>
    <row r="19139" customFormat="false" ht="12.8" hidden="false" customHeight="false" outlineLevel="0" collapsed="false">
      <c r="A19139" s="0" t="s">
        <v>12</v>
      </c>
      <c r="B19139" s="0" t="n">
        <v>5878438</v>
      </c>
      <c r="C19139" s="0" t="n">
        <v>5878458</v>
      </c>
      <c r="D19139" s="0" t="s">
        <v>63621</v>
      </c>
      <c r="E19139" s="0" t="s">
        <v>63622</v>
      </c>
      <c r="F19139" s="0" t="s">
        <v>90</v>
      </c>
      <c r="G19139" s="0" t="s">
        <v>20</v>
      </c>
      <c r="H19139" s="0" t="n">
        <v>29</v>
      </c>
      <c r="I19139" s="0" t="s">
        <v>63623</v>
      </c>
      <c r="J19139" s="0" t="s">
        <v>63624</v>
      </c>
      <c r="K19139" s="0" t="s">
        <v>63625</v>
      </c>
      <c r="L19139" s="0" t="str">
        <f aca="false">HYPERLINK("https://www.ncbi.nlm.nih.gov/nuccore/CP000058.1?report=graph&amp;tracks=[key:gene_model_track,Options:GeneOnly]&amp;mk=5878439:5878458|offset_29|00cc00,5878403:5878422|offset_65|444444,5878378:5878397|offset_90|444444,5878344:5878363|offset_124|444444&amp;v=5878238:5878563&amp;c=444444", "offset 29")</f>
        <v>offset 29</v>
      </c>
    </row>
    <row r="19140" customFormat="false" ht="12.8" hidden="false" customHeight="false" outlineLevel="0" collapsed="false">
      <c r="A19140" s="0" t="s">
        <v>12</v>
      </c>
      <c r="B19140" s="0" t="n">
        <v>5878402</v>
      </c>
      <c r="C19140" s="0" t="n">
        <v>5878422</v>
      </c>
      <c r="D19140" s="0" t="s">
        <v>63621</v>
      </c>
      <c r="E19140" s="0" t="s">
        <v>63622</v>
      </c>
      <c r="F19140" s="0" t="s">
        <v>90</v>
      </c>
      <c r="G19140" s="0" t="s">
        <v>16</v>
      </c>
      <c r="H19140" s="0" t="n">
        <v>65</v>
      </c>
      <c r="I19140" s="0" t="s">
        <v>63626</v>
      </c>
      <c r="J19140" s="0" t="s">
        <v>63627</v>
      </c>
      <c r="K19140" s="0" t="s">
        <v>63628</v>
      </c>
      <c r="L19140" s="0" t="str">
        <f aca="false">HYPERLINK("https://www.ncbi.nlm.nih.gov/nuccore/CP000058.1?report=graph&amp;tracks=[key:gene_model_track,Options:GeneOnly]&amp;mk=5878439:5878458|offset_29|444444,5878403:5878422|offset_65|00cc00,5878378:5878397|offset_90|444444,5878344:5878363|offset_124|444444&amp;v=5878238:5878563&amp;c=444444", "offset 65")</f>
        <v>offset 65</v>
      </c>
    </row>
    <row r="19141" customFormat="false" ht="12.8" hidden="false" customHeight="false" outlineLevel="0" collapsed="false">
      <c r="A19141" s="0" t="s">
        <v>12</v>
      </c>
      <c r="B19141" s="0" t="n">
        <v>5878377</v>
      </c>
      <c r="C19141" s="0" t="n">
        <v>5878397</v>
      </c>
      <c r="D19141" s="0" t="s">
        <v>63621</v>
      </c>
      <c r="E19141" s="0" t="s">
        <v>63622</v>
      </c>
      <c r="F19141" s="0" t="s">
        <v>90</v>
      </c>
      <c r="G19141" s="0" t="s">
        <v>16</v>
      </c>
      <c r="H19141" s="0" t="n">
        <v>90</v>
      </c>
      <c r="I19141" s="0" t="s">
        <v>63629</v>
      </c>
      <c r="J19141" s="0" t="s">
        <v>63630</v>
      </c>
      <c r="K19141" s="0" t="s">
        <v>63631</v>
      </c>
      <c r="L19141" s="0" t="str">
        <f aca="false">HYPERLINK("https://www.ncbi.nlm.nih.gov/nuccore/CP000058.1?report=graph&amp;tracks=[key:gene_model_track,Options:GeneOnly]&amp;mk=5878439:5878458|offset_29|444444,5878403:5878422|offset_65|444444,5878378:5878397|offset_90|00cc00,5878344:5878363|offset_124|444444&amp;v=5878238:5878563&amp;c=444444", "offset 90")</f>
        <v>offset 90</v>
      </c>
    </row>
    <row r="19142" customFormat="false" ht="12.8" hidden="false" customHeight="false" outlineLevel="0" collapsed="false">
      <c r="A19142" s="0" t="s">
        <v>12</v>
      </c>
      <c r="B19142" s="0" t="n">
        <v>5878343</v>
      </c>
      <c r="C19142" s="0" t="n">
        <v>5878363</v>
      </c>
      <c r="D19142" s="0" t="s">
        <v>63621</v>
      </c>
      <c r="E19142" s="0" t="s">
        <v>63622</v>
      </c>
      <c r="F19142" s="0" t="s">
        <v>90</v>
      </c>
      <c r="G19142" s="0" t="s">
        <v>16</v>
      </c>
      <c r="H19142" s="0" t="n">
        <v>124</v>
      </c>
      <c r="I19142" s="0" t="s">
        <v>63632</v>
      </c>
      <c r="J19142" s="0" t="s">
        <v>63633</v>
      </c>
      <c r="K19142" s="0" t="s">
        <v>63634</v>
      </c>
      <c r="L19142" s="0" t="str">
        <f aca="false">HYPERLINK("https://www.ncbi.nlm.nih.gov/nuccore/CP000058.1?report=graph&amp;tracks=[key:gene_model_track,Options:GeneOnly]&amp;mk=5878439:5878458|offset_29|444444,5878403:5878422|offset_65|444444,5878378:5878397|offset_90|444444,5878344:5878363|offset_124|00cc00&amp;v=5878238:5878563&amp;c=444444", "offset 124")</f>
        <v>offset 124</v>
      </c>
    </row>
    <row r="19143" customFormat="false" ht="12.8" hidden="false" customHeight="false" outlineLevel="0" collapsed="false">
      <c r="A19143" s="0" t="s">
        <v>12</v>
      </c>
      <c r="B19143" s="0" t="n">
        <v>5878519</v>
      </c>
      <c r="C19143" s="0" t="n">
        <v>5878539</v>
      </c>
      <c r="D19143" s="0" t="s">
        <v>63635</v>
      </c>
      <c r="E19143" s="0" t="s">
        <v>75</v>
      </c>
      <c r="F19143" s="0" t="s">
        <v>15</v>
      </c>
      <c r="G19143" s="0" t="s">
        <v>32</v>
      </c>
      <c r="H19143" s="0" t="n">
        <v>17</v>
      </c>
      <c r="I19143" s="0" t="s">
        <v>63636</v>
      </c>
      <c r="J19143" s="0" t="s">
        <v>63637</v>
      </c>
      <c r="K19143" s="0" t="s">
        <v>63638</v>
      </c>
      <c r="L19143" s="0" t="str">
        <f aca="false">HYPERLINK("https://www.ncbi.nlm.nih.gov/nuccore/CP000058.1?report=graph&amp;tracks=[key:gene_model_track,Options:GeneOnly]&amp;mk=5878520:5878539|offset_17|00cc00,5878564:5878583|offset_61|444444,5878584:5878603|offset_81|444444,5878608:5878627|offset_105|444444&amp;v=5878319:5878827&amp;c=444444", "offset 17")</f>
        <v>offset 17</v>
      </c>
    </row>
    <row r="19144" customFormat="false" ht="12.8" hidden="false" customHeight="false" outlineLevel="0" collapsed="false">
      <c r="A19144" s="0" t="s">
        <v>12</v>
      </c>
      <c r="B19144" s="0" t="n">
        <v>5878563</v>
      </c>
      <c r="C19144" s="0" t="n">
        <v>5878583</v>
      </c>
      <c r="D19144" s="0" t="s">
        <v>63635</v>
      </c>
      <c r="E19144" s="0" t="s">
        <v>75</v>
      </c>
      <c r="F19144" s="0" t="s">
        <v>15</v>
      </c>
      <c r="G19144" s="0" t="s">
        <v>32</v>
      </c>
      <c r="H19144" s="0" t="n">
        <v>61</v>
      </c>
      <c r="I19144" s="0" t="s">
        <v>63639</v>
      </c>
      <c r="J19144" s="0" t="s">
        <v>63640</v>
      </c>
      <c r="K19144" s="0" t="s">
        <v>63641</v>
      </c>
      <c r="L19144" s="0" t="str">
        <f aca="false">HYPERLINK("https://www.ncbi.nlm.nih.gov/nuccore/CP000058.1?report=graph&amp;tracks=[key:gene_model_track,Options:GeneOnly]&amp;mk=5878520:5878539|offset_17|444444,5878564:5878583|offset_61|00cc00,5878584:5878603|offset_81|444444,5878608:5878627|offset_105|444444&amp;v=5878319:5878827&amp;c=444444", "offset 61")</f>
        <v>offset 61</v>
      </c>
    </row>
    <row r="19145" customFormat="false" ht="12.8" hidden="false" customHeight="false" outlineLevel="0" collapsed="false">
      <c r="A19145" s="0" t="s">
        <v>12</v>
      </c>
      <c r="B19145" s="0" t="n">
        <v>5878583</v>
      </c>
      <c r="C19145" s="0" t="n">
        <v>5878603</v>
      </c>
      <c r="D19145" s="0" t="s">
        <v>63635</v>
      </c>
      <c r="E19145" s="0" t="s">
        <v>75</v>
      </c>
      <c r="F19145" s="0" t="s">
        <v>15</v>
      </c>
      <c r="G19145" s="0" t="s">
        <v>36</v>
      </c>
      <c r="H19145" s="0" t="n">
        <v>81</v>
      </c>
      <c r="I19145" s="0" t="s">
        <v>63642</v>
      </c>
      <c r="J19145" s="0" t="s">
        <v>63643</v>
      </c>
      <c r="K19145" s="0" t="s">
        <v>63644</v>
      </c>
      <c r="L19145" s="0" t="str">
        <f aca="false">HYPERLINK("https://www.ncbi.nlm.nih.gov/nuccore/CP000058.1?report=graph&amp;tracks=[key:gene_model_track,Options:GeneOnly]&amp;mk=5878520:5878539|offset_17|444444,5878564:5878583|offset_61|444444,5878584:5878603|offset_81|00cc00,5878608:5878627|offset_105|444444&amp;v=5878319:5878827&amp;c=444444", "offset 81")</f>
        <v>offset 81</v>
      </c>
    </row>
    <row r="19146" customFormat="false" ht="12.8" hidden="false" customHeight="false" outlineLevel="0" collapsed="false">
      <c r="A19146" s="0" t="s">
        <v>12</v>
      </c>
      <c r="B19146" s="0" t="n">
        <v>5878607</v>
      </c>
      <c r="C19146" s="0" t="n">
        <v>5878627</v>
      </c>
      <c r="D19146" s="0" t="s">
        <v>63635</v>
      </c>
      <c r="E19146" s="0" t="s">
        <v>75</v>
      </c>
      <c r="F19146" s="0" t="s">
        <v>15</v>
      </c>
      <c r="G19146" s="0" t="s">
        <v>36</v>
      </c>
      <c r="H19146" s="0" t="n">
        <v>105</v>
      </c>
      <c r="I19146" s="0" t="s">
        <v>63645</v>
      </c>
      <c r="J19146" s="0" t="s">
        <v>63646</v>
      </c>
      <c r="K19146" s="0" t="s">
        <v>63647</v>
      </c>
      <c r="L19146" s="0" t="str">
        <f aca="false">HYPERLINK("https://www.ncbi.nlm.nih.gov/nuccore/CP000058.1?report=graph&amp;tracks=[key:gene_model_track,Options:GeneOnly]&amp;mk=5878520:5878539|offset_17|444444,5878564:5878583|offset_61|444444,5878584:5878603|offset_81|444444,5878608:5878627|offset_105|00cc00&amp;v=5878319:5878827&amp;c=444444", "offset 105")</f>
        <v>offset 105</v>
      </c>
    </row>
    <row r="19147" customFormat="false" ht="12.8" hidden="false" customHeight="false" outlineLevel="0" collapsed="false">
      <c r="A19147" s="0" t="s">
        <v>12</v>
      </c>
      <c r="B19147" s="0" t="n">
        <v>5880169</v>
      </c>
      <c r="C19147" s="0" t="n">
        <v>5880189</v>
      </c>
      <c r="D19147" s="0" t="s">
        <v>63648</v>
      </c>
      <c r="E19147" s="0" t="s">
        <v>75</v>
      </c>
      <c r="F19147" s="0" t="s">
        <v>15</v>
      </c>
      <c r="G19147" s="0" t="s">
        <v>36</v>
      </c>
      <c r="H19147" s="0" t="n">
        <v>18</v>
      </c>
      <c r="I19147" s="0" t="s">
        <v>63649</v>
      </c>
      <c r="J19147" s="0" t="s">
        <v>63650</v>
      </c>
      <c r="K19147" s="0" t="s">
        <v>63651</v>
      </c>
      <c r="L19147" s="0" t="str">
        <f aca="false">HYPERLINK("https://www.ncbi.nlm.nih.gov/nuccore/CP000058.1?report=graph&amp;tracks=[key:gene_model_track,Options:GeneOnly]&amp;mk=5880170:5880189|offset_18|00cc00,5880198:5880217|offset_46|444444,5880236:5880255|offset_84|444444,5880280:5880299|offset_128|444444&amp;v=5879969:5880499&amp;c=444444", "offset 18")</f>
        <v>offset 18</v>
      </c>
    </row>
    <row r="19148" customFormat="false" ht="12.8" hidden="false" customHeight="false" outlineLevel="0" collapsed="false">
      <c r="A19148" s="0" t="s">
        <v>12</v>
      </c>
      <c r="B19148" s="0" t="n">
        <v>5880197</v>
      </c>
      <c r="C19148" s="0" t="n">
        <v>5880217</v>
      </c>
      <c r="D19148" s="0" t="s">
        <v>63648</v>
      </c>
      <c r="E19148" s="0" t="s">
        <v>75</v>
      </c>
      <c r="F19148" s="0" t="s">
        <v>15</v>
      </c>
      <c r="G19148" s="0" t="s">
        <v>36</v>
      </c>
      <c r="H19148" s="0" t="n">
        <v>46</v>
      </c>
      <c r="I19148" s="0" t="s">
        <v>63652</v>
      </c>
      <c r="J19148" s="0" t="s">
        <v>63653</v>
      </c>
      <c r="K19148" s="0" t="s">
        <v>63654</v>
      </c>
      <c r="L19148" s="0" t="str">
        <f aca="false">HYPERLINK("https://www.ncbi.nlm.nih.gov/nuccore/CP000058.1?report=graph&amp;tracks=[key:gene_model_track,Options:GeneOnly]&amp;mk=5880170:5880189|offset_18|444444,5880198:5880217|offset_46|00cc00,5880236:5880255|offset_84|444444,5880280:5880299|offset_128|444444&amp;v=5879969:5880499&amp;c=444444", "offset 46")</f>
        <v>offset 46</v>
      </c>
    </row>
    <row r="19149" customFormat="false" ht="12.8" hidden="false" customHeight="false" outlineLevel="0" collapsed="false">
      <c r="A19149" s="0" t="s">
        <v>12</v>
      </c>
      <c r="B19149" s="0" t="n">
        <v>5880235</v>
      </c>
      <c r="C19149" s="0" t="n">
        <v>5880255</v>
      </c>
      <c r="D19149" s="0" t="s">
        <v>63648</v>
      </c>
      <c r="E19149" s="0" t="s">
        <v>75</v>
      </c>
      <c r="F19149" s="0" t="s">
        <v>15</v>
      </c>
      <c r="G19149" s="0" t="s">
        <v>36</v>
      </c>
      <c r="H19149" s="0" t="n">
        <v>84</v>
      </c>
      <c r="I19149" s="0" t="s">
        <v>63655</v>
      </c>
      <c r="J19149" s="0" t="s">
        <v>63656</v>
      </c>
      <c r="K19149" s="0" t="s">
        <v>63657</v>
      </c>
      <c r="L19149" s="0" t="str">
        <f aca="false">HYPERLINK("https://www.ncbi.nlm.nih.gov/nuccore/CP000058.1?report=graph&amp;tracks=[key:gene_model_track,Options:GeneOnly]&amp;mk=5880170:5880189|offset_18|444444,5880198:5880217|offset_46|444444,5880236:5880255|offset_84|00cc00,5880280:5880299|offset_128|444444&amp;v=5879969:5880499&amp;c=444444", "offset 84")</f>
        <v>offset 84</v>
      </c>
    </row>
    <row r="19150" customFormat="false" ht="12.8" hidden="false" customHeight="false" outlineLevel="0" collapsed="false">
      <c r="A19150" s="0" t="s">
        <v>12</v>
      </c>
      <c r="B19150" s="0" t="n">
        <v>5880279</v>
      </c>
      <c r="C19150" s="0" t="n">
        <v>5880299</v>
      </c>
      <c r="D19150" s="0" t="s">
        <v>63648</v>
      </c>
      <c r="E19150" s="0" t="s">
        <v>75</v>
      </c>
      <c r="F19150" s="0" t="s">
        <v>15</v>
      </c>
      <c r="G19150" s="0" t="s">
        <v>16</v>
      </c>
      <c r="H19150" s="0" t="n">
        <v>128</v>
      </c>
      <c r="I19150" s="0" t="s">
        <v>63658</v>
      </c>
      <c r="J19150" s="0" t="s">
        <v>63659</v>
      </c>
      <c r="K19150" s="0" t="s">
        <v>63660</v>
      </c>
      <c r="L19150" s="0" t="str">
        <f aca="false">HYPERLINK("https://www.ncbi.nlm.nih.gov/nuccore/CP000058.1?report=graph&amp;tracks=[key:gene_model_track,Options:GeneOnly]&amp;mk=5880170:5880189|offset_18|444444,5880198:5880217|offset_46|444444,5880236:5880255|offset_84|444444,5880280:5880299|offset_128|00cc00&amp;v=5879969:5880499&amp;c=444444", "offset 128")</f>
        <v>offset 128</v>
      </c>
    </row>
    <row r="19151" customFormat="false" ht="12.8" hidden="false" customHeight="false" outlineLevel="0" collapsed="false">
      <c r="A19151" s="0" t="s">
        <v>12</v>
      </c>
      <c r="B19151" s="0" t="n">
        <v>5881320</v>
      </c>
      <c r="C19151" s="0" t="n">
        <v>5881340</v>
      </c>
      <c r="D19151" s="0" t="s">
        <v>63661</v>
      </c>
      <c r="E19151" s="0" t="s">
        <v>75</v>
      </c>
      <c r="F19151" s="0" t="s">
        <v>15</v>
      </c>
      <c r="G19151" s="0" t="s">
        <v>20</v>
      </c>
      <c r="H19151" s="0" t="n">
        <v>50</v>
      </c>
      <c r="I19151" s="0" t="s">
        <v>63662</v>
      </c>
      <c r="J19151" s="0" t="s">
        <v>63663</v>
      </c>
      <c r="K19151" s="0" t="s">
        <v>63664</v>
      </c>
      <c r="L19151" s="0" t="str">
        <f aca="false">HYPERLINK("https://www.ncbi.nlm.nih.gov/nuccore/CP000058.1?report=graph&amp;tracks=[key:gene_model_track,Options:GeneOnly]&amp;mk=5881321:5881340|offset_50|00cc00,5881347:5881366|offset_76|444444,5881381:5881400|offset_110|444444,5881419:5881438|offset_148|444444&amp;v=5881120:5881638&amp;c=444444", "offset 50")</f>
        <v>offset 50</v>
      </c>
    </row>
    <row r="19152" customFormat="false" ht="12.8" hidden="false" customHeight="false" outlineLevel="0" collapsed="false">
      <c r="A19152" s="0" t="s">
        <v>12</v>
      </c>
      <c r="B19152" s="0" t="n">
        <v>5881346</v>
      </c>
      <c r="C19152" s="0" t="n">
        <v>5881366</v>
      </c>
      <c r="D19152" s="0" t="s">
        <v>63661</v>
      </c>
      <c r="E19152" s="0" t="s">
        <v>75</v>
      </c>
      <c r="F19152" s="0" t="s">
        <v>15</v>
      </c>
      <c r="G19152" s="0" t="s">
        <v>16</v>
      </c>
      <c r="H19152" s="0" t="n">
        <v>76</v>
      </c>
      <c r="I19152" s="0" t="s">
        <v>63665</v>
      </c>
      <c r="J19152" s="0" t="s">
        <v>63666</v>
      </c>
      <c r="K19152" s="0" t="s">
        <v>63667</v>
      </c>
      <c r="L19152" s="0" t="str">
        <f aca="false">HYPERLINK("https://www.ncbi.nlm.nih.gov/nuccore/CP000058.1?report=graph&amp;tracks=[key:gene_model_track,Options:GeneOnly]&amp;mk=5881321:5881340|offset_50|444444,5881347:5881366|offset_76|00cc00,5881381:5881400|offset_110|444444,5881419:5881438|offset_148|444444&amp;v=5881120:5881638&amp;c=444444", "offset 76")</f>
        <v>offset 76</v>
      </c>
    </row>
    <row r="19153" customFormat="false" ht="12.8" hidden="false" customHeight="false" outlineLevel="0" collapsed="false">
      <c r="A19153" s="0" t="s">
        <v>12</v>
      </c>
      <c r="B19153" s="0" t="n">
        <v>5881380</v>
      </c>
      <c r="C19153" s="0" t="n">
        <v>5881400</v>
      </c>
      <c r="D19153" s="0" t="s">
        <v>63661</v>
      </c>
      <c r="E19153" s="0" t="s">
        <v>75</v>
      </c>
      <c r="F19153" s="0" t="s">
        <v>15</v>
      </c>
      <c r="G19153" s="0" t="s">
        <v>36</v>
      </c>
      <c r="H19153" s="0" t="n">
        <v>110</v>
      </c>
      <c r="I19153" s="0" t="s">
        <v>63668</v>
      </c>
      <c r="J19153" s="0" t="s">
        <v>63669</v>
      </c>
      <c r="K19153" s="0" t="s">
        <v>63670</v>
      </c>
      <c r="L19153" s="0" t="str">
        <f aca="false">HYPERLINK("https://www.ncbi.nlm.nih.gov/nuccore/CP000058.1?report=graph&amp;tracks=[key:gene_model_track,Options:GeneOnly]&amp;mk=5881321:5881340|offset_50|444444,5881347:5881366|offset_76|444444,5881381:5881400|offset_110|00cc00,5881419:5881438|offset_148|444444&amp;v=5881120:5881638&amp;c=444444", "offset 110")</f>
        <v>offset 110</v>
      </c>
    </row>
    <row r="19154" customFormat="false" ht="12.8" hidden="false" customHeight="false" outlineLevel="0" collapsed="false">
      <c r="A19154" s="0" t="s">
        <v>12</v>
      </c>
      <c r="B19154" s="0" t="n">
        <v>5881418</v>
      </c>
      <c r="C19154" s="0" t="n">
        <v>5881438</v>
      </c>
      <c r="D19154" s="0" t="s">
        <v>63661</v>
      </c>
      <c r="E19154" s="0" t="s">
        <v>75</v>
      </c>
      <c r="F19154" s="0" t="s">
        <v>15</v>
      </c>
      <c r="G19154" s="0" t="s">
        <v>20</v>
      </c>
      <c r="H19154" s="0" t="n">
        <v>148</v>
      </c>
      <c r="I19154" s="0" t="s">
        <v>63671</v>
      </c>
      <c r="J19154" s="0" t="s">
        <v>63672</v>
      </c>
      <c r="K19154" s="0" t="s">
        <v>63673</v>
      </c>
      <c r="L19154" s="0" t="str">
        <f aca="false">HYPERLINK("https://www.ncbi.nlm.nih.gov/nuccore/CP000058.1?report=graph&amp;tracks=[key:gene_model_track,Options:GeneOnly]&amp;mk=5881321:5881340|offset_50|444444,5881347:5881366|offset_76|444444,5881381:5881400|offset_110|444444,5881419:5881438|offset_148|00cc00&amp;v=5881120:5881638&amp;c=444444", "offset 148")</f>
        <v>offset 148</v>
      </c>
    </row>
    <row r="19155" customFormat="false" ht="12.8" hidden="false" customHeight="false" outlineLevel="0" collapsed="false">
      <c r="A19155" s="0" t="s">
        <v>12</v>
      </c>
      <c r="B19155" s="0" t="n">
        <v>5882211</v>
      </c>
      <c r="C19155" s="0" t="n">
        <v>5882231</v>
      </c>
      <c r="D19155" s="0" t="s">
        <v>63674</v>
      </c>
      <c r="E19155" s="0" t="s">
        <v>75</v>
      </c>
      <c r="F19155" s="0" t="s">
        <v>15</v>
      </c>
      <c r="G19155" s="0" t="s">
        <v>32</v>
      </c>
      <c r="H19155" s="0" t="n">
        <v>1</v>
      </c>
      <c r="I19155" s="0" t="s">
        <v>63675</v>
      </c>
      <c r="J19155" s="0" t="s">
        <v>63676</v>
      </c>
      <c r="K19155" s="0" t="s">
        <v>63677</v>
      </c>
      <c r="L19155" s="0" t="str">
        <f aca="false">HYPERLINK("https://www.ncbi.nlm.nih.gov/nuccore/CP000058.1?report=graph&amp;tracks=[key:gene_model_track,Options:GeneOnly]&amp;mk=5882212:5882231|offset_1|00cc00,5882236:5882255|offset_25|444444,5882261:5882280|offset_50|444444,5882296:5882315|offset_85|444444&amp;v=5882011:5882515&amp;c=444444", "offset 1")</f>
        <v>offset 1</v>
      </c>
    </row>
    <row r="19156" customFormat="false" ht="12.8" hidden="false" customHeight="false" outlineLevel="0" collapsed="false">
      <c r="A19156" s="0" t="s">
        <v>12</v>
      </c>
      <c r="B19156" s="0" t="n">
        <v>5882235</v>
      </c>
      <c r="C19156" s="0" t="n">
        <v>5882255</v>
      </c>
      <c r="D19156" s="0" t="s">
        <v>63674</v>
      </c>
      <c r="E19156" s="0" t="s">
        <v>75</v>
      </c>
      <c r="F19156" s="0" t="s">
        <v>15</v>
      </c>
      <c r="G19156" s="0" t="s">
        <v>36</v>
      </c>
      <c r="H19156" s="0" t="n">
        <v>25</v>
      </c>
      <c r="I19156" s="0" t="s">
        <v>63678</v>
      </c>
      <c r="J19156" s="0" t="s">
        <v>63679</v>
      </c>
      <c r="K19156" s="0" t="s">
        <v>63680</v>
      </c>
      <c r="L19156" s="0" t="str">
        <f aca="false">HYPERLINK("https://www.ncbi.nlm.nih.gov/nuccore/CP000058.1?report=graph&amp;tracks=[key:gene_model_track,Options:GeneOnly]&amp;mk=5882212:5882231|offset_1|444444,5882236:5882255|offset_25|00cc00,5882261:5882280|offset_50|444444,5882296:5882315|offset_85|444444&amp;v=5882011:5882515&amp;c=444444", "offset 25")</f>
        <v>offset 25</v>
      </c>
    </row>
    <row r="19157" customFormat="false" ht="12.8" hidden="false" customHeight="false" outlineLevel="0" collapsed="false">
      <c r="A19157" s="0" t="s">
        <v>12</v>
      </c>
      <c r="B19157" s="0" t="n">
        <v>5882260</v>
      </c>
      <c r="C19157" s="0" t="n">
        <v>5882280</v>
      </c>
      <c r="D19157" s="0" t="s">
        <v>63674</v>
      </c>
      <c r="E19157" s="0" t="s">
        <v>75</v>
      </c>
      <c r="F19157" s="0" t="s">
        <v>15</v>
      </c>
      <c r="G19157" s="0" t="s">
        <v>20</v>
      </c>
      <c r="H19157" s="0" t="n">
        <v>50</v>
      </c>
      <c r="I19157" s="0" t="s">
        <v>63681</v>
      </c>
      <c r="J19157" s="0" t="s">
        <v>63682</v>
      </c>
      <c r="K19157" s="0" t="s">
        <v>63683</v>
      </c>
      <c r="L19157" s="0" t="str">
        <f aca="false">HYPERLINK("https://www.ncbi.nlm.nih.gov/nuccore/CP000058.1?report=graph&amp;tracks=[key:gene_model_track,Options:GeneOnly]&amp;mk=5882212:5882231|offset_1|444444,5882236:5882255|offset_25|444444,5882261:5882280|offset_50|00cc00,5882296:5882315|offset_85|444444&amp;v=5882011:5882515&amp;c=444444", "offset 50")</f>
        <v>offset 50</v>
      </c>
    </row>
    <row r="19158" customFormat="false" ht="12.8" hidden="false" customHeight="false" outlineLevel="0" collapsed="false">
      <c r="A19158" s="0" t="s">
        <v>12</v>
      </c>
      <c r="B19158" s="0" t="n">
        <v>5882295</v>
      </c>
      <c r="C19158" s="0" t="n">
        <v>5882315</v>
      </c>
      <c r="D19158" s="0" t="s">
        <v>63674</v>
      </c>
      <c r="E19158" s="0" t="s">
        <v>75</v>
      </c>
      <c r="F19158" s="0" t="s">
        <v>15</v>
      </c>
      <c r="G19158" s="0" t="s">
        <v>16</v>
      </c>
      <c r="H19158" s="0" t="n">
        <v>85</v>
      </c>
      <c r="I19158" s="0" t="s">
        <v>63684</v>
      </c>
      <c r="J19158" s="0" t="s">
        <v>63685</v>
      </c>
      <c r="K19158" s="0" t="s">
        <v>63686</v>
      </c>
      <c r="L19158" s="0" t="str">
        <f aca="false">HYPERLINK("https://www.ncbi.nlm.nih.gov/nuccore/CP000058.1?report=graph&amp;tracks=[key:gene_model_track,Options:GeneOnly]&amp;mk=5882212:5882231|offset_1|444444,5882236:5882255|offset_25|444444,5882261:5882280|offset_50|444444,5882296:5882315|offset_85|00cc00&amp;v=5882011:5882515&amp;c=444444", "offset 85")</f>
        <v>offset 85</v>
      </c>
    </row>
    <row r="19159" customFormat="false" ht="12.8" hidden="false" customHeight="false" outlineLevel="0" collapsed="false">
      <c r="A19159" s="0" t="s">
        <v>12</v>
      </c>
      <c r="B19159" s="0" t="n">
        <v>5884387</v>
      </c>
      <c r="C19159" s="0" t="n">
        <v>5884407</v>
      </c>
      <c r="D19159" s="0" t="s">
        <v>63687</v>
      </c>
      <c r="E19159" s="0" t="s">
        <v>75</v>
      </c>
      <c r="F19159" s="0" t="s">
        <v>15</v>
      </c>
      <c r="G19159" s="0" t="s">
        <v>16</v>
      </c>
      <c r="H19159" s="0" t="n">
        <v>33</v>
      </c>
      <c r="I19159" s="0" t="s">
        <v>63688</v>
      </c>
      <c r="J19159" s="0" t="s">
        <v>63689</v>
      </c>
      <c r="K19159" s="0" t="s">
        <v>63690</v>
      </c>
      <c r="L19159" s="0" t="str">
        <f aca="false">HYPERLINK("https://www.ncbi.nlm.nih.gov/nuccore/CP000058.1?report=graph&amp;tracks=[key:gene_model_track,Options:GeneOnly]&amp;mk=5884388:5884407|offset_33|00cc00,5884425:5884444|offset_70|444444,5884455:5884474|offset_100|444444,5884522:5884541|offset_167|444444&amp;v=5884187:5884741&amp;c=444444", "offset 33")</f>
        <v>offset 33</v>
      </c>
    </row>
    <row r="19160" customFormat="false" ht="12.8" hidden="false" customHeight="false" outlineLevel="0" collapsed="false">
      <c r="A19160" s="0" t="s">
        <v>12</v>
      </c>
      <c r="B19160" s="0" t="n">
        <v>5884424</v>
      </c>
      <c r="C19160" s="0" t="n">
        <v>5884444</v>
      </c>
      <c r="D19160" s="0" t="s">
        <v>63687</v>
      </c>
      <c r="E19160" s="0" t="s">
        <v>75</v>
      </c>
      <c r="F19160" s="0" t="s">
        <v>15</v>
      </c>
      <c r="G19160" s="0" t="s">
        <v>36</v>
      </c>
      <c r="H19160" s="0" t="n">
        <v>70</v>
      </c>
      <c r="I19160" s="0" t="s">
        <v>63691</v>
      </c>
      <c r="J19160" s="0" t="s">
        <v>63692</v>
      </c>
      <c r="K19160" s="0" t="s">
        <v>63693</v>
      </c>
      <c r="L19160" s="0" t="str">
        <f aca="false">HYPERLINK("https://www.ncbi.nlm.nih.gov/nuccore/CP000058.1?report=graph&amp;tracks=[key:gene_model_track,Options:GeneOnly]&amp;mk=5884388:5884407|offset_33|444444,5884425:5884444|offset_70|00cc00,5884455:5884474|offset_100|444444,5884522:5884541|offset_167|444444&amp;v=5884187:5884741&amp;c=444444", "offset 70")</f>
        <v>offset 70</v>
      </c>
    </row>
    <row r="19161" customFormat="false" ht="12.8" hidden="false" customHeight="false" outlineLevel="0" collapsed="false">
      <c r="A19161" s="0" t="s">
        <v>12</v>
      </c>
      <c r="B19161" s="0" t="n">
        <v>5884454</v>
      </c>
      <c r="C19161" s="0" t="n">
        <v>5884474</v>
      </c>
      <c r="D19161" s="0" t="s">
        <v>63687</v>
      </c>
      <c r="E19161" s="0" t="s">
        <v>75</v>
      </c>
      <c r="F19161" s="0" t="s">
        <v>15</v>
      </c>
      <c r="G19161" s="0" t="s">
        <v>16</v>
      </c>
      <c r="H19161" s="0" t="n">
        <v>100</v>
      </c>
      <c r="I19161" s="0" t="s">
        <v>63694</v>
      </c>
      <c r="J19161" s="0" t="s">
        <v>63695</v>
      </c>
      <c r="K19161" s="0" t="s">
        <v>63696</v>
      </c>
      <c r="L19161" s="0" t="str">
        <f aca="false">HYPERLINK("https://www.ncbi.nlm.nih.gov/nuccore/CP000058.1?report=graph&amp;tracks=[key:gene_model_track,Options:GeneOnly]&amp;mk=5884388:5884407|offset_33|444444,5884425:5884444|offset_70|444444,5884455:5884474|offset_100|00cc00,5884522:5884541|offset_167|444444&amp;v=5884187:5884741&amp;c=444444", "offset 100")</f>
        <v>offset 100</v>
      </c>
    </row>
    <row r="19162" customFormat="false" ht="12.8" hidden="false" customHeight="false" outlineLevel="0" collapsed="false">
      <c r="A19162" s="0" t="s">
        <v>12</v>
      </c>
      <c r="B19162" s="0" t="n">
        <v>5884521</v>
      </c>
      <c r="C19162" s="0" t="n">
        <v>5884541</v>
      </c>
      <c r="D19162" s="0" t="s">
        <v>63687</v>
      </c>
      <c r="E19162" s="0" t="s">
        <v>75</v>
      </c>
      <c r="F19162" s="0" t="s">
        <v>15</v>
      </c>
      <c r="G19162" s="0" t="s">
        <v>16</v>
      </c>
      <c r="H19162" s="0" t="n">
        <v>167</v>
      </c>
      <c r="I19162" s="0" t="s">
        <v>63697</v>
      </c>
      <c r="J19162" s="0" t="s">
        <v>63698</v>
      </c>
      <c r="K19162" s="0" t="s">
        <v>63699</v>
      </c>
      <c r="L19162" s="0" t="str">
        <f aca="false">HYPERLINK("https://www.ncbi.nlm.nih.gov/nuccore/CP000058.1?report=graph&amp;tracks=[key:gene_model_track,Options:GeneOnly]&amp;mk=5884388:5884407|offset_33|444444,5884425:5884444|offset_70|444444,5884455:5884474|offset_100|444444,5884522:5884541|offset_167|00cc00&amp;v=5884187:5884741&amp;c=444444", "offset 167")</f>
        <v>offset 167</v>
      </c>
    </row>
    <row r="19163" customFormat="false" ht="12.8" hidden="false" customHeight="false" outlineLevel="0" collapsed="false">
      <c r="A19163" s="0" t="s">
        <v>12</v>
      </c>
      <c r="B19163" s="0" t="n">
        <v>5885145</v>
      </c>
      <c r="C19163" s="0" t="n">
        <v>5885165</v>
      </c>
      <c r="D19163" s="0" t="s">
        <v>63700</v>
      </c>
      <c r="E19163" s="0" t="s">
        <v>75</v>
      </c>
      <c r="F19163" s="0" t="s">
        <v>15</v>
      </c>
      <c r="G19163" s="0" t="s">
        <v>36</v>
      </c>
      <c r="H19163" s="0" t="n">
        <v>10</v>
      </c>
      <c r="I19163" s="0" t="s">
        <v>63701</v>
      </c>
      <c r="J19163" s="0" t="s">
        <v>63702</v>
      </c>
      <c r="K19163" s="0" t="s">
        <v>63703</v>
      </c>
      <c r="L19163" s="0" t="str">
        <f aca="false">HYPERLINK("https://www.ncbi.nlm.nih.gov/nuccore/CP000058.1?report=graph&amp;tracks=[key:gene_model_track,Options:GeneOnly]&amp;mk=5885146:5885165|offset_10|00cc00,5885173:5885192|offset_37|444444,5885205:5885224|offset_69|444444,5885251:5885270|offset_115|444444&amp;v=5884945:5885470&amp;c=444444", "offset 10")</f>
        <v>offset 10</v>
      </c>
    </row>
    <row r="19164" customFormat="false" ht="12.8" hidden="false" customHeight="false" outlineLevel="0" collapsed="false">
      <c r="A19164" s="0" t="s">
        <v>12</v>
      </c>
      <c r="B19164" s="0" t="n">
        <v>5885172</v>
      </c>
      <c r="C19164" s="0" t="n">
        <v>5885192</v>
      </c>
      <c r="D19164" s="0" t="s">
        <v>63700</v>
      </c>
      <c r="E19164" s="0" t="s">
        <v>75</v>
      </c>
      <c r="F19164" s="0" t="s">
        <v>15</v>
      </c>
      <c r="G19164" s="0" t="s">
        <v>20</v>
      </c>
      <c r="H19164" s="0" t="n">
        <v>37</v>
      </c>
      <c r="I19164" s="0" t="s">
        <v>63704</v>
      </c>
      <c r="J19164" s="0" t="s">
        <v>63705</v>
      </c>
      <c r="K19164" s="0" t="s">
        <v>63706</v>
      </c>
      <c r="L19164" s="0" t="str">
        <f aca="false">HYPERLINK("https://www.ncbi.nlm.nih.gov/nuccore/CP000058.1?report=graph&amp;tracks=[key:gene_model_track,Options:GeneOnly]&amp;mk=5885146:5885165|offset_10|444444,5885173:5885192|offset_37|00cc00,5885205:5885224|offset_69|444444,5885251:5885270|offset_115|444444&amp;v=5884945:5885470&amp;c=444444", "offset 37")</f>
        <v>offset 37</v>
      </c>
    </row>
    <row r="19165" customFormat="false" ht="12.8" hidden="false" customHeight="false" outlineLevel="0" collapsed="false">
      <c r="A19165" s="0" t="s">
        <v>12</v>
      </c>
      <c r="B19165" s="0" t="n">
        <v>5885204</v>
      </c>
      <c r="C19165" s="0" t="n">
        <v>5885224</v>
      </c>
      <c r="D19165" s="0" t="s">
        <v>63700</v>
      </c>
      <c r="E19165" s="0" t="s">
        <v>75</v>
      </c>
      <c r="F19165" s="0" t="s">
        <v>15</v>
      </c>
      <c r="G19165" s="0" t="s">
        <v>36</v>
      </c>
      <c r="H19165" s="0" t="n">
        <v>69</v>
      </c>
      <c r="I19165" s="0" t="s">
        <v>63707</v>
      </c>
      <c r="J19165" s="0" t="s">
        <v>63708</v>
      </c>
      <c r="K19165" s="0" t="s">
        <v>63709</v>
      </c>
      <c r="L19165" s="0" t="str">
        <f aca="false">HYPERLINK("https://www.ncbi.nlm.nih.gov/nuccore/CP000058.1?report=graph&amp;tracks=[key:gene_model_track,Options:GeneOnly]&amp;mk=5885146:5885165|offset_10|444444,5885173:5885192|offset_37|444444,5885205:5885224|offset_69|00cc00,5885251:5885270|offset_115|444444&amp;v=5884945:5885470&amp;c=444444", "offset 69")</f>
        <v>offset 69</v>
      </c>
    </row>
    <row r="19166" customFormat="false" ht="12.8" hidden="false" customHeight="false" outlineLevel="0" collapsed="false">
      <c r="A19166" s="0" t="s">
        <v>12</v>
      </c>
      <c r="B19166" s="0" t="n">
        <v>5885250</v>
      </c>
      <c r="C19166" s="0" t="n">
        <v>5885270</v>
      </c>
      <c r="D19166" s="0" t="s">
        <v>63700</v>
      </c>
      <c r="E19166" s="0" t="s">
        <v>75</v>
      </c>
      <c r="F19166" s="0" t="s">
        <v>15</v>
      </c>
      <c r="G19166" s="0" t="s">
        <v>20</v>
      </c>
      <c r="H19166" s="0" t="n">
        <v>115</v>
      </c>
      <c r="I19166" s="0" t="s">
        <v>63710</v>
      </c>
      <c r="J19166" s="0" t="s">
        <v>63711</v>
      </c>
      <c r="K19166" s="0" t="s">
        <v>63712</v>
      </c>
      <c r="L19166" s="0" t="str">
        <f aca="false">HYPERLINK("https://www.ncbi.nlm.nih.gov/nuccore/CP000058.1?report=graph&amp;tracks=[key:gene_model_track,Options:GeneOnly]&amp;mk=5885146:5885165|offset_10|444444,5885173:5885192|offset_37|444444,5885205:5885224|offset_69|444444,5885251:5885270|offset_115|00cc00&amp;v=5884945:5885470&amp;c=444444", "offset 115")</f>
        <v>offset 115</v>
      </c>
    </row>
    <row r="19167" customFormat="false" ht="12.8" hidden="false" customHeight="false" outlineLevel="0" collapsed="false">
      <c r="A19167" s="0" t="s">
        <v>12</v>
      </c>
      <c r="B19167" s="0" t="n">
        <v>5886098</v>
      </c>
      <c r="C19167" s="0" t="n">
        <v>5886118</v>
      </c>
      <c r="D19167" s="0" t="s">
        <v>63713</v>
      </c>
      <c r="E19167" s="0" t="s">
        <v>75</v>
      </c>
      <c r="F19167" s="0" t="s">
        <v>15</v>
      </c>
      <c r="G19167" s="0" t="s">
        <v>36</v>
      </c>
      <c r="H19167" s="0" t="n">
        <v>7</v>
      </c>
      <c r="I19167" s="0" t="s">
        <v>63714</v>
      </c>
      <c r="J19167" s="0" t="s">
        <v>63715</v>
      </c>
      <c r="K19167" s="0" t="s">
        <v>63716</v>
      </c>
      <c r="L19167" s="0" t="str">
        <f aca="false">HYPERLINK("https://www.ncbi.nlm.nih.gov/nuccore/CP000058.1?report=graph&amp;tracks=[key:gene_model_track,Options:GeneOnly]&amp;mk=5886099:5886118|offset_7|00cc00,5886124:5886143|offset_32|444444,5886195:5886214|offset_103|444444,5886215:5886234|offset_123|444444&amp;v=5885898:5886434&amp;c=444444", "offset 7")</f>
        <v>offset 7</v>
      </c>
    </row>
    <row r="19168" customFormat="false" ht="12.8" hidden="false" customHeight="false" outlineLevel="0" collapsed="false">
      <c r="A19168" s="0" t="s">
        <v>12</v>
      </c>
      <c r="B19168" s="0" t="n">
        <v>5886123</v>
      </c>
      <c r="C19168" s="0" t="n">
        <v>5886143</v>
      </c>
      <c r="D19168" s="0" t="s">
        <v>63713</v>
      </c>
      <c r="E19168" s="0" t="s">
        <v>75</v>
      </c>
      <c r="F19168" s="0" t="s">
        <v>15</v>
      </c>
      <c r="G19168" s="0" t="s">
        <v>36</v>
      </c>
      <c r="H19168" s="0" t="n">
        <v>32</v>
      </c>
      <c r="I19168" s="0" t="s">
        <v>63717</v>
      </c>
      <c r="J19168" s="0" t="s">
        <v>63718</v>
      </c>
      <c r="K19168" s="0" t="s">
        <v>63719</v>
      </c>
      <c r="L19168" s="0" t="str">
        <f aca="false">HYPERLINK("https://www.ncbi.nlm.nih.gov/nuccore/CP000058.1?report=graph&amp;tracks=[key:gene_model_track,Options:GeneOnly]&amp;mk=5886099:5886118|offset_7|444444,5886124:5886143|offset_32|00cc00,5886195:5886214|offset_103|444444,5886215:5886234|offset_123|444444&amp;v=5885898:5886434&amp;c=444444", "offset 32")</f>
        <v>offset 32</v>
      </c>
    </row>
    <row r="19169" customFormat="false" ht="12.8" hidden="false" customHeight="false" outlineLevel="0" collapsed="false">
      <c r="A19169" s="0" t="s">
        <v>12</v>
      </c>
      <c r="B19169" s="0" t="n">
        <v>5886194</v>
      </c>
      <c r="C19169" s="0" t="n">
        <v>5886214</v>
      </c>
      <c r="D19169" s="0" t="s">
        <v>63713</v>
      </c>
      <c r="E19169" s="0" t="s">
        <v>75</v>
      </c>
      <c r="F19169" s="0" t="s">
        <v>15</v>
      </c>
      <c r="G19169" s="0" t="s">
        <v>20</v>
      </c>
      <c r="H19169" s="0" t="n">
        <v>103</v>
      </c>
      <c r="I19169" s="0" t="s">
        <v>63720</v>
      </c>
      <c r="J19169" s="0" t="s">
        <v>63721</v>
      </c>
      <c r="K19169" s="0" t="s">
        <v>63722</v>
      </c>
      <c r="L19169" s="0" t="str">
        <f aca="false">HYPERLINK("https://www.ncbi.nlm.nih.gov/nuccore/CP000058.1?report=graph&amp;tracks=[key:gene_model_track,Options:GeneOnly]&amp;mk=5886099:5886118|offset_7|444444,5886124:5886143|offset_32|444444,5886195:5886214|offset_103|00cc00,5886215:5886234|offset_123|444444&amp;v=5885898:5886434&amp;c=444444", "offset 103")</f>
        <v>offset 103</v>
      </c>
    </row>
    <row r="19170" customFormat="false" ht="12.8" hidden="false" customHeight="false" outlineLevel="0" collapsed="false">
      <c r="A19170" s="0" t="s">
        <v>12</v>
      </c>
      <c r="B19170" s="0" t="n">
        <v>5886214</v>
      </c>
      <c r="C19170" s="0" t="n">
        <v>5886234</v>
      </c>
      <c r="D19170" s="0" t="s">
        <v>63713</v>
      </c>
      <c r="E19170" s="0" t="s">
        <v>75</v>
      </c>
      <c r="F19170" s="0" t="s">
        <v>15</v>
      </c>
      <c r="G19170" s="0" t="s">
        <v>20</v>
      </c>
      <c r="H19170" s="0" t="n">
        <v>123</v>
      </c>
      <c r="I19170" s="0" t="s">
        <v>63723</v>
      </c>
      <c r="J19170" s="0" t="s">
        <v>63724</v>
      </c>
      <c r="K19170" s="0" t="s">
        <v>63725</v>
      </c>
      <c r="L19170" s="0" t="str">
        <f aca="false">HYPERLINK("https://www.ncbi.nlm.nih.gov/nuccore/CP000058.1?report=graph&amp;tracks=[key:gene_model_track,Options:GeneOnly]&amp;mk=5886099:5886118|offset_7|444444,5886124:5886143|offset_32|444444,5886195:5886214|offset_103|444444,5886215:5886234|offset_123|00cc00&amp;v=5885898:5886434&amp;c=444444", "offset 123")</f>
        <v>offset 123</v>
      </c>
    </row>
    <row r="19171" customFormat="false" ht="12.8" hidden="false" customHeight="false" outlineLevel="0" collapsed="false">
      <c r="A19171" s="0" t="s">
        <v>12</v>
      </c>
      <c r="B19171" s="0" t="n">
        <v>5888739</v>
      </c>
      <c r="C19171" s="0" t="n">
        <v>5888759</v>
      </c>
      <c r="D19171" s="0" t="s">
        <v>63726</v>
      </c>
      <c r="E19171" s="0" t="s">
        <v>63727</v>
      </c>
      <c r="F19171" s="0" t="s">
        <v>90</v>
      </c>
      <c r="G19171" s="0" t="s">
        <v>20</v>
      </c>
      <c r="H19171" s="0" t="n">
        <v>46</v>
      </c>
      <c r="I19171" s="0" t="s">
        <v>63728</v>
      </c>
      <c r="J19171" s="0" t="s">
        <v>63729</v>
      </c>
      <c r="K19171" s="0" t="s">
        <v>63730</v>
      </c>
      <c r="L19171" s="0" t="str">
        <f aca="false">HYPERLINK("https://www.ncbi.nlm.nih.gov/nuccore/CP000058.1?report=graph&amp;tracks=[key:gene_model_track,Options:GeneOnly]&amp;mk=5888740:5888759|offset_46|00cc00,5888719:5888738|offset_67|444444,5888695:5888714|offset_91|444444,5888653:5888672|offset_133|444444&amp;v=5888539:5888872&amp;c=444444", "offset 46")</f>
        <v>offset 46</v>
      </c>
    </row>
    <row r="19172" customFormat="false" ht="12.8" hidden="false" customHeight="false" outlineLevel="0" collapsed="false">
      <c r="A19172" s="0" t="s">
        <v>12</v>
      </c>
      <c r="B19172" s="0" t="n">
        <v>5888718</v>
      </c>
      <c r="C19172" s="0" t="n">
        <v>5888738</v>
      </c>
      <c r="D19172" s="0" t="s">
        <v>63726</v>
      </c>
      <c r="E19172" s="0" t="s">
        <v>63727</v>
      </c>
      <c r="F19172" s="0" t="s">
        <v>90</v>
      </c>
      <c r="G19172" s="0" t="s">
        <v>16</v>
      </c>
      <c r="H19172" s="0" t="n">
        <v>67</v>
      </c>
      <c r="I19172" s="0" t="s">
        <v>63731</v>
      </c>
      <c r="J19172" s="0" t="s">
        <v>63732</v>
      </c>
      <c r="K19172" s="0" t="s">
        <v>63733</v>
      </c>
      <c r="L19172" s="0" t="str">
        <f aca="false">HYPERLINK("https://www.ncbi.nlm.nih.gov/nuccore/CP000058.1?report=graph&amp;tracks=[key:gene_model_track,Options:GeneOnly]&amp;mk=5888740:5888759|offset_46|444444,5888719:5888738|offset_67|00cc00,5888695:5888714|offset_91|444444,5888653:5888672|offset_133|444444&amp;v=5888539:5888872&amp;c=444444", "offset 67")</f>
        <v>offset 67</v>
      </c>
    </row>
    <row r="19173" customFormat="false" ht="12.8" hidden="false" customHeight="false" outlineLevel="0" collapsed="false">
      <c r="A19173" s="0" t="s">
        <v>12</v>
      </c>
      <c r="B19173" s="0" t="n">
        <v>5888694</v>
      </c>
      <c r="C19173" s="0" t="n">
        <v>5888714</v>
      </c>
      <c r="D19173" s="0" t="s">
        <v>63726</v>
      </c>
      <c r="E19173" s="0" t="s">
        <v>63727</v>
      </c>
      <c r="F19173" s="0" t="s">
        <v>90</v>
      </c>
      <c r="G19173" s="0" t="s">
        <v>16</v>
      </c>
      <c r="H19173" s="0" t="n">
        <v>91</v>
      </c>
      <c r="I19173" s="0" t="s">
        <v>63734</v>
      </c>
      <c r="J19173" s="0" t="s">
        <v>63735</v>
      </c>
      <c r="K19173" s="0" t="s">
        <v>63736</v>
      </c>
      <c r="L19173" s="0" t="str">
        <f aca="false">HYPERLINK("https://www.ncbi.nlm.nih.gov/nuccore/CP000058.1?report=graph&amp;tracks=[key:gene_model_track,Options:GeneOnly]&amp;mk=5888740:5888759|offset_46|444444,5888719:5888738|offset_67|444444,5888695:5888714|offset_91|00cc00,5888653:5888672|offset_133|444444&amp;v=5888539:5888872&amp;c=444444", "offset 91")</f>
        <v>offset 91</v>
      </c>
    </row>
    <row r="19174" customFormat="false" ht="12.8" hidden="false" customHeight="false" outlineLevel="0" collapsed="false">
      <c r="A19174" s="0" t="s">
        <v>12</v>
      </c>
      <c r="B19174" s="0" t="n">
        <v>5888652</v>
      </c>
      <c r="C19174" s="0" t="n">
        <v>5888672</v>
      </c>
      <c r="D19174" s="0" t="s">
        <v>63726</v>
      </c>
      <c r="E19174" s="0" t="s">
        <v>63727</v>
      </c>
      <c r="F19174" s="0" t="s">
        <v>90</v>
      </c>
      <c r="G19174" s="0" t="s">
        <v>16</v>
      </c>
      <c r="H19174" s="0" t="n">
        <v>133</v>
      </c>
      <c r="I19174" s="0" t="s">
        <v>63737</v>
      </c>
      <c r="J19174" s="0" t="s">
        <v>63738</v>
      </c>
      <c r="K19174" s="0" t="s">
        <v>63739</v>
      </c>
      <c r="L19174" s="0" t="str">
        <f aca="false">HYPERLINK("https://www.ncbi.nlm.nih.gov/nuccore/CP000058.1?report=graph&amp;tracks=[key:gene_model_track,Options:GeneOnly]&amp;mk=5888740:5888759|offset_46|444444,5888719:5888738|offset_67|444444,5888695:5888714|offset_91|444444,5888653:5888672|offset_133|00cc00&amp;v=5888539:5888872&amp;c=444444", "offset 133")</f>
        <v>offset 133</v>
      </c>
    </row>
    <row r="19175" customFormat="false" ht="12.8" hidden="false" customHeight="false" outlineLevel="0" collapsed="false">
      <c r="A19175" s="0" t="s">
        <v>12</v>
      </c>
      <c r="B19175" s="0" t="n">
        <v>5888999</v>
      </c>
      <c r="C19175" s="0" t="n">
        <v>5889019</v>
      </c>
      <c r="D19175" s="0" t="s">
        <v>63740</v>
      </c>
      <c r="E19175" s="0" t="s">
        <v>75</v>
      </c>
      <c r="F19175" s="0" t="s">
        <v>15</v>
      </c>
      <c r="G19175" s="0" t="s">
        <v>36</v>
      </c>
      <c r="H19175" s="0" t="n">
        <v>27</v>
      </c>
      <c r="I19175" s="0" t="s">
        <v>63741</v>
      </c>
      <c r="J19175" s="0" t="s">
        <v>63742</v>
      </c>
      <c r="K19175" s="0" t="s">
        <v>63743</v>
      </c>
      <c r="L19175" s="0" t="str">
        <f aca="false">HYPERLINK("https://www.ncbi.nlm.nih.gov/nuccore/CP000058.1?report=graph&amp;tracks=[key:gene_model_track,Options:GeneOnly]&amp;mk=5889000:5889019|offset_27|00cc00,5889025:5889044|offset_52|444444,5889052:5889071|offset_79|444444,5889076:5889095|offset_103|444444&amp;v=5888799:5889295&amp;c=444444", "offset 27")</f>
        <v>offset 27</v>
      </c>
    </row>
    <row r="19176" customFormat="false" ht="12.8" hidden="false" customHeight="false" outlineLevel="0" collapsed="false">
      <c r="A19176" s="0" t="s">
        <v>12</v>
      </c>
      <c r="B19176" s="0" t="n">
        <v>5889024</v>
      </c>
      <c r="C19176" s="0" t="n">
        <v>5889044</v>
      </c>
      <c r="D19176" s="0" t="s">
        <v>63740</v>
      </c>
      <c r="E19176" s="0" t="s">
        <v>75</v>
      </c>
      <c r="F19176" s="0" t="s">
        <v>15</v>
      </c>
      <c r="G19176" s="0" t="s">
        <v>16</v>
      </c>
      <c r="H19176" s="0" t="n">
        <v>52</v>
      </c>
      <c r="I19176" s="0" t="s">
        <v>63744</v>
      </c>
      <c r="J19176" s="0" t="s">
        <v>63745</v>
      </c>
      <c r="K19176" s="0" t="s">
        <v>63746</v>
      </c>
      <c r="L19176" s="0" t="str">
        <f aca="false">HYPERLINK("https://www.ncbi.nlm.nih.gov/nuccore/CP000058.1?report=graph&amp;tracks=[key:gene_model_track,Options:GeneOnly]&amp;mk=5889000:5889019|offset_27|444444,5889025:5889044|offset_52|00cc00,5889052:5889071|offset_79|444444,5889076:5889095|offset_103|444444&amp;v=5888799:5889295&amp;c=444444", "offset 52")</f>
        <v>offset 52</v>
      </c>
    </row>
    <row r="19177" customFormat="false" ht="12.8" hidden="false" customHeight="false" outlineLevel="0" collapsed="false">
      <c r="A19177" s="0" t="s">
        <v>12</v>
      </c>
      <c r="B19177" s="0" t="n">
        <v>5889051</v>
      </c>
      <c r="C19177" s="0" t="n">
        <v>5889071</v>
      </c>
      <c r="D19177" s="0" t="s">
        <v>63740</v>
      </c>
      <c r="E19177" s="0" t="s">
        <v>75</v>
      </c>
      <c r="F19177" s="0" t="s">
        <v>15</v>
      </c>
      <c r="G19177" s="0" t="s">
        <v>16</v>
      </c>
      <c r="H19177" s="0" t="n">
        <v>79</v>
      </c>
      <c r="I19177" s="0" t="s">
        <v>63747</v>
      </c>
      <c r="J19177" s="0" t="s">
        <v>63748</v>
      </c>
      <c r="K19177" s="0" t="s">
        <v>63749</v>
      </c>
      <c r="L19177" s="0" t="str">
        <f aca="false">HYPERLINK("https://www.ncbi.nlm.nih.gov/nuccore/CP000058.1?report=graph&amp;tracks=[key:gene_model_track,Options:GeneOnly]&amp;mk=5889000:5889019|offset_27|444444,5889025:5889044|offset_52|444444,5889052:5889071|offset_79|00cc00,5889076:5889095|offset_103|444444&amp;v=5888799:5889295&amp;c=444444", "offset 79")</f>
        <v>offset 79</v>
      </c>
    </row>
    <row r="19178" customFormat="false" ht="12.8" hidden="false" customHeight="false" outlineLevel="0" collapsed="false">
      <c r="A19178" s="0" t="s">
        <v>12</v>
      </c>
      <c r="B19178" s="0" t="n">
        <v>5889075</v>
      </c>
      <c r="C19178" s="0" t="n">
        <v>5889095</v>
      </c>
      <c r="D19178" s="0" t="s">
        <v>63740</v>
      </c>
      <c r="E19178" s="0" t="s">
        <v>75</v>
      </c>
      <c r="F19178" s="0" t="s">
        <v>15</v>
      </c>
      <c r="G19178" s="0" t="s">
        <v>16</v>
      </c>
      <c r="H19178" s="0" t="n">
        <v>103</v>
      </c>
      <c r="I19178" s="0" t="s">
        <v>63750</v>
      </c>
      <c r="J19178" s="0" t="s">
        <v>63751</v>
      </c>
      <c r="K19178" s="0" t="s">
        <v>63752</v>
      </c>
      <c r="L19178" s="0" t="str">
        <f aca="false">HYPERLINK("https://www.ncbi.nlm.nih.gov/nuccore/CP000058.1?report=graph&amp;tracks=[key:gene_model_track,Options:GeneOnly]&amp;mk=5889000:5889019|offset_27|444444,5889025:5889044|offset_52|444444,5889052:5889071|offset_79|444444,5889076:5889095|offset_103|00cc00&amp;v=5888799:5889295&amp;c=444444", "offset 103")</f>
        <v>offset 103</v>
      </c>
    </row>
    <row r="19179" customFormat="false" ht="12.8" hidden="false" customHeight="false" outlineLevel="0" collapsed="false">
      <c r="A19179" s="0" t="s">
        <v>12</v>
      </c>
      <c r="B19179" s="0" t="n">
        <v>5890274</v>
      </c>
      <c r="C19179" s="0" t="n">
        <v>5890294</v>
      </c>
      <c r="D19179" s="0" t="s">
        <v>63753</v>
      </c>
      <c r="E19179" s="0" t="s">
        <v>75</v>
      </c>
      <c r="F19179" s="0" t="s">
        <v>15</v>
      </c>
      <c r="G19179" s="0" t="s">
        <v>16</v>
      </c>
      <c r="H19179" s="0" t="n">
        <v>6</v>
      </c>
      <c r="I19179" s="0" t="s">
        <v>63754</v>
      </c>
      <c r="J19179" s="0" t="s">
        <v>63755</v>
      </c>
      <c r="K19179" s="0" t="s">
        <v>63756</v>
      </c>
      <c r="L19179" s="0" t="str">
        <f aca="false">HYPERLINK("https://www.ncbi.nlm.nih.gov/nuccore/CP000058.1?report=graph&amp;tracks=[key:gene_model_track,Options:GeneOnly]&amp;mk=5890275:5890294|offset_6|00cc00,5890296:5890315|offset_27|444444,5890318:5890337|offset_49|444444,5890354:5890373|offset_85|444444&amp;v=5890074:5890573&amp;c=444444", "offset 6")</f>
        <v>offset 6</v>
      </c>
    </row>
    <row r="19180" customFormat="false" ht="12.8" hidden="false" customHeight="false" outlineLevel="0" collapsed="false">
      <c r="A19180" s="0" t="s">
        <v>12</v>
      </c>
      <c r="B19180" s="0" t="n">
        <v>5890295</v>
      </c>
      <c r="C19180" s="0" t="n">
        <v>5890315</v>
      </c>
      <c r="D19180" s="0" t="s">
        <v>63753</v>
      </c>
      <c r="E19180" s="0" t="s">
        <v>75</v>
      </c>
      <c r="F19180" s="0" t="s">
        <v>15</v>
      </c>
      <c r="G19180" s="0" t="s">
        <v>36</v>
      </c>
      <c r="H19180" s="0" t="n">
        <v>27</v>
      </c>
      <c r="I19180" s="0" t="s">
        <v>63757</v>
      </c>
      <c r="J19180" s="0" t="s">
        <v>63758</v>
      </c>
      <c r="K19180" s="0" t="s">
        <v>63759</v>
      </c>
      <c r="L19180" s="0" t="str">
        <f aca="false">HYPERLINK("https://www.ncbi.nlm.nih.gov/nuccore/CP000058.1?report=graph&amp;tracks=[key:gene_model_track,Options:GeneOnly]&amp;mk=5890275:5890294|offset_6|444444,5890296:5890315|offset_27|00cc00,5890318:5890337|offset_49|444444,5890354:5890373|offset_85|444444&amp;v=5890074:5890573&amp;c=444444", "offset 27")</f>
        <v>offset 27</v>
      </c>
    </row>
    <row r="19181" customFormat="false" ht="12.8" hidden="false" customHeight="false" outlineLevel="0" collapsed="false">
      <c r="A19181" s="0" t="s">
        <v>12</v>
      </c>
      <c r="B19181" s="0" t="n">
        <v>5890317</v>
      </c>
      <c r="C19181" s="0" t="n">
        <v>5890337</v>
      </c>
      <c r="D19181" s="0" t="s">
        <v>63753</v>
      </c>
      <c r="E19181" s="0" t="s">
        <v>75</v>
      </c>
      <c r="F19181" s="0" t="s">
        <v>15</v>
      </c>
      <c r="G19181" s="0" t="s">
        <v>36</v>
      </c>
      <c r="H19181" s="0" t="n">
        <v>49</v>
      </c>
      <c r="I19181" s="0" t="s">
        <v>63760</v>
      </c>
      <c r="J19181" s="0" t="s">
        <v>63761</v>
      </c>
      <c r="K19181" s="0" t="s">
        <v>63762</v>
      </c>
      <c r="L19181" s="0" t="str">
        <f aca="false">HYPERLINK("https://www.ncbi.nlm.nih.gov/nuccore/CP000058.1?report=graph&amp;tracks=[key:gene_model_track,Options:GeneOnly]&amp;mk=5890275:5890294|offset_6|444444,5890296:5890315|offset_27|444444,5890318:5890337|offset_49|00cc00,5890354:5890373|offset_85|444444&amp;v=5890074:5890573&amp;c=444444", "offset 49")</f>
        <v>offset 49</v>
      </c>
    </row>
    <row r="19182" customFormat="false" ht="12.8" hidden="false" customHeight="false" outlineLevel="0" collapsed="false">
      <c r="A19182" s="0" t="s">
        <v>12</v>
      </c>
      <c r="B19182" s="0" t="n">
        <v>5890353</v>
      </c>
      <c r="C19182" s="0" t="n">
        <v>5890373</v>
      </c>
      <c r="D19182" s="0" t="s">
        <v>63753</v>
      </c>
      <c r="E19182" s="0" t="s">
        <v>75</v>
      </c>
      <c r="F19182" s="0" t="s">
        <v>15</v>
      </c>
      <c r="G19182" s="0" t="s">
        <v>16</v>
      </c>
      <c r="H19182" s="0" t="n">
        <v>85</v>
      </c>
      <c r="I19182" s="0" t="s">
        <v>63763</v>
      </c>
      <c r="J19182" s="0" t="s">
        <v>63764</v>
      </c>
      <c r="K19182" s="0" t="s">
        <v>63765</v>
      </c>
      <c r="L19182" s="0" t="str">
        <f aca="false">HYPERLINK("https://www.ncbi.nlm.nih.gov/nuccore/CP000058.1?report=graph&amp;tracks=[key:gene_model_track,Options:GeneOnly]&amp;mk=5890275:5890294|offset_6|444444,5890296:5890315|offset_27|444444,5890318:5890337|offset_49|444444,5890354:5890373|offset_85|00cc00&amp;v=5890074:5890573&amp;c=444444", "offset 85")</f>
        <v>offset 85</v>
      </c>
    </row>
    <row r="19183" customFormat="false" ht="12.8" hidden="false" customHeight="false" outlineLevel="0" collapsed="false">
      <c r="A19183" s="0" t="s">
        <v>12</v>
      </c>
      <c r="B19183" s="0" t="n">
        <v>5891235</v>
      </c>
      <c r="C19183" s="0" t="n">
        <v>5891255</v>
      </c>
      <c r="D19183" s="0" t="s">
        <v>63766</v>
      </c>
      <c r="E19183" s="0" t="s">
        <v>75</v>
      </c>
      <c r="F19183" s="0" t="s">
        <v>15</v>
      </c>
      <c r="G19183" s="0" t="s">
        <v>20</v>
      </c>
      <c r="H19183" s="0" t="n">
        <v>8</v>
      </c>
      <c r="I19183" s="0" t="s">
        <v>63767</v>
      </c>
      <c r="J19183" s="0" t="s">
        <v>63768</v>
      </c>
      <c r="K19183" s="0" t="s">
        <v>63769</v>
      </c>
      <c r="L19183" s="0" t="str">
        <f aca="false">HYPERLINK("https://www.ncbi.nlm.nih.gov/nuccore/CP000058.1?report=graph&amp;tracks=[key:gene_model_track,Options:GeneOnly]&amp;mk=5891236:5891255|offset_8|00cc00,5891256:5891275|offset_28|444444,5891307:5891326|offset_79|444444,5891328:5891347|offset_100|444444&amp;v=5891035:5891547&amp;c=444444", "offset 8")</f>
        <v>offset 8</v>
      </c>
    </row>
    <row r="19184" customFormat="false" ht="12.8" hidden="false" customHeight="false" outlineLevel="0" collapsed="false">
      <c r="A19184" s="0" t="s">
        <v>12</v>
      </c>
      <c r="B19184" s="0" t="n">
        <v>5891255</v>
      </c>
      <c r="C19184" s="0" t="n">
        <v>5891275</v>
      </c>
      <c r="D19184" s="0" t="s">
        <v>63766</v>
      </c>
      <c r="E19184" s="0" t="s">
        <v>75</v>
      </c>
      <c r="F19184" s="0" t="s">
        <v>15</v>
      </c>
      <c r="G19184" s="0" t="s">
        <v>36</v>
      </c>
      <c r="H19184" s="0" t="n">
        <v>28</v>
      </c>
      <c r="I19184" s="0" t="s">
        <v>63770</v>
      </c>
      <c r="J19184" s="0" t="s">
        <v>63771</v>
      </c>
      <c r="K19184" s="0" t="s">
        <v>63772</v>
      </c>
      <c r="L19184" s="0" t="str">
        <f aca="false">HYPERLINK("https://www.ncbi.nlm.nih.gov/nuccore/CP000058.1?report=graph&amp;tracks=[key:gene_model_track,Options:GeneOnly]&amp;mk=5891236:5891255|offset_8|444444,5891256:5891275|offset_28|00cc00,5891307:5891326|offset_79|444444,5891328:5891347|offset_100|444444&amp;v=5891035:5891547&amp;c=444444", "offset 28")</f>
        <v>offset 28</v>
      </c>
    </row>
    <row r="19185" customFormat="false" ht="12.8" hidden="false" customHeight="false" outlineLevel="0" collapsed="false">
      <c r="A19185" s="0" t="s">
        <v>12</v>
      </c>
      <c r="B19185" s="0" t="n">
        <v>5891306</v>
      </c>
      <c r="C19185" s="0" t="n">
        <v>5891326</v>
      </c>
      <c r="D19185" s="0" t="s">
        <v>63766</v>
      </c>
      <c r="E19185" s="0" t="s">
        <v>75</v>
      </c>
      <c r="F19185" s="0" t="s">
        <v>15</v>
      </c>
      <c r="G19185" s="0" t="s">
        <v>32</v>
      </c>
      <c r="H19185" s="0" t="n">
        <v>79</v>
      </c>
      <c r="I19185" s="0" t="s">
        <v>63773</v>
      </c>
      <c r="J19185" s="0" t="s">
        <v>63774</v>
      </c>
      <c r="K19185" s="0" t="s">
        <v>63775</v>
      </c>
      <c r="L19185" s="0" t="str">
        <f aca="false">HYPERLINK("https://www.ncbi.nlm.nih.gov/nuccore/CP000058.1?report=graph&amp;tracks=[key:gene_model_track,Options:GeneOnly]&amp;mk=5891236:5891255|offset_8|444444,5891256:5891275|offset_28|444444,5891307:5891326|offset_79|00cc00,5891328:5891347|offset_100|444444&amp;v=5891035:5891547&amp;c=444444", "offset 79")</f>
        <v>offset 79</v>
      </c>
    </row>
    <row r="19186" customFormat="false" ht="12.8" hidden="false" customHeight="false" outlineLevel="0" collapsed="false">
      <c r="A19186" s="0" t="s">
        <v>12</v>
      </c>
      <c r="B19186" s="0" t="n">
        <v>5891327</v>
      </c>
      <c r="C19186" s="0" t="n">
        <v>5891347</v>
      </c>
      <c r="D19186" s="0" t="s">
        <v>63766</v>
      </c>
      <c r="E19186" s="0" t="s">
        <v>75</v>
      </c>
      <c r="F19186" s="0" t="s">
        <v>15</v>
      </c>
      <c r="G19186" s="0" t="s">
        <v>32</v>
      </c>
      <c r="H19186" s="0" t="n">
        <v>100</v>
      </c>
      <c r="I19186" s="0" t="s">
        <v>63776</v>
      </c>
      <c r="J19186" s="0" t="s">
        <v>63777</v>
      </c>
      <c r="K19186" s="0" t="s">
        <v>63778</v>
      </c>
      <c r="L19186" s="0" t="str">
        <f aca="false">HYPERLINK("https://www.ncbi.nlm.nih.gov/nuccore/CP000058.1?report=graph&amp;tracks=[key:gene_model_track,Options:GeneOnly]&amp;mk=5891236:5891255|offset_8|444444,5891256:5891275|offset_28|444444,5891307:5891326|offset_79|444444,5891328:5891347|offset_100|00cc00&amp;v=5891035:5891547&amp;c=444444", "offset 100")</f>
        <v>offset 100</v>
      </c>
    </row>
    <row r="19187" customFormat="false" ht="12.8" hidden="false" customHeight="false" outlineLevel="0" collapsed="false">
      <c r="A19187" s="0" t="s">
        <v>12</v>
      </c>
      <c r="B19187" s="0" t="n">
        <v>5892119</v>
      </c>
      <c r="C19187" s="0" t="n">
        <v>5892139</v>
      </c>
      <c r="D19187" s="0" t="s">
        <v>63779</v>
      </c>
      <c r="E19187" s="0" t="s">
        <v>63780</v>
      </c>
      <c r="F19187" s="0" t="s">
        <v>15</v>
      </c>
      <c r="G19187" s="0" t="s">
        <v>32</v>
      </c>
      <c r="H19187" s="0" t="n">
        <v>19</v>
      </c>
      <c r="I19187" s="0" t="s">
        <v>63781</v>
      </c>
      <c r="J19187" s="0" t="s">
        <v>63782</v>
      </c>
      <c r="K19187" s="0" t="s">
        <v>63783</v>
      </c>
      <c r="L19187" s="0" t="str">
        <f aca="false">HYPERLINK("https://www.ncbi.nlm.nih.gov/nuccore/CP000058.1?report=graph&amp;tracks=[key:gene_model_track,Options:GeneOnly]&amp;mk=5892120:5892139|offset_19|00cc00,5892169:5892188|offset_68|444444,5892208:5892227|offset_107|444444,5892277:5892296|offset_176|444444&amp;v=5891919:5892496&amp;c=444444", "offset 19")</f>
        <v>offset 19</v>
      </c>
    </row>
    <row r="19188" customFormat="false" ht="12.8" hidden="false" customHeight="false" outlineLevel="0" collapsed="false">
      <c r="A19188" s="0" t="s">
        <v>12</v>
      </c>
      <c r="B19188" s="0" t="n">
        <v>5892168</v>
      </c>
      <c r="C19188" s="0" t="n">
        <v>5892188</v>
      </c>
      <c r="D19188" s="0" t="s">
        <v>63779</v>
      </c>
      <c r="E19188" s="0" t="s">
        <v>63780</v>
      </c>
      <c r="F19188" s="0" t="s">
        <v>15</v>
      </c>
      <c r="G19188" s="0" t="s">
        <v>20</v>
      </c>
      <c r="H19188" s="0" t="n">
        <v>68</v>
      </c>
      <c r="I19188" s="0" t="s">
        <v>63784</v>
      </c>
      <c r="J19188" s="0" t="s">
        <v>63785</v>
      </c>
      <c r="K19188" s="0" t="s">
        <v>63786</v>
      </c>
      <c r="L19188" s="0" t="str">
        <f aca="false">HYPERLINK("https://www.ncbi.nlm.nih.gov/nuccore/CP000058.1?report=graph&amp;tracks=[key:gene_model_track,Options:GeneOnly]&amp;mk=5892120:5892139|offset_19|444444,5892169:5892188|offset_68|00cc00,5892208:5892227|offset_107|444444,5892277:5892296|offset_176|444444&amp;v=5891919:5892496&amp;c=444444", "offset 68")</f>
        <v>offset 68</v>
      </c>
    </row>
    <row r="19189" customFormat="false" ht="12.8" hidden="false" customHeight="false" outlineLevel="0" collapsed="false">
      <c r="A19189" s="0" t="s">
        <v>12</v>
      </c>
      <c r="B19189" s="0" t="n">
        <v>5892207</v>
      </c>
      <c r="C19189" s="0" t="n">
        <v>5892227</v>
      </c>
      <c r="D19189" s="0" t="s">
        <v>63779</v>
      </c>
      <c r="E19189" s="0" t="s">
        <v>63780</v>
      </c>
      <c r="F19189" s="0" t="s">
        <v>15</v>
      </c>
      <c r="G19189" s="0" t="s">
        <v>36</v>
      </c>
      <c r="H19189" s="0" t="n">
        <v>107</v>
      </c>
      <c r="I19189" s="0" t="s">
        <v>63787</v>
      </c>
      <c r="J19189" s="0" t="s">
        <v>63788</v>
      </c>
      <c r="K19189" s="0" t="s">
        <v>63789</v>
      </c>
      <c r="L19189" s="0" t="str">
        <f aca="false">HYPERLINK("https://www.ncbi.nlm.nih.gov/nuccore/CP000058.1?report=graph&amp;tracks=[key:gene_model_track,Options:GeneOnly]&amp;mk=5892120:5892139|offset_19|444444,5892169:5892188|offset_68|444444,5892208:5892227|offset_107|00cc00,5892277:5892296|offset_176|444444&amp;v=5891919:5892496&amp;c=444444", "offset 107")</f>
        <v>offset 107</v>
      </c>
    </row>
    <row r="19190" customFormat="false" ht="12.8" hidden="false" customHeight="false" outlineLevel="0" collapsed="false">
      <c r="A19190" s="0" t="s">
        <v>12</v>
      </c>
      <c r="B19190" s="0" t="n">
        <v>5892276</v>
      </c>
      <c r="C19190" s="0" t="n">
        <v>5892296</v>
      </c>
      <c r="D19190" s="0" t="s">
        <v>63779</v>
      </c>
      <c r="E19190" s="0" t="s">
        <v>63780</v>
      </c>
      <c r="F19190" s="0" t="s">
        <v>15</v>
      </c>
      <c r="G19190" s="0" t="s">
        <v>20</v>
      </c>
      <c r="H19190" s="0" t="n">
        <v>176</v>
      </c>
      <c r="I19190" s="0" t="s">
        <v>63790</v>
      </c>
      <c r="J19190" s="0" t="s">
        <v>63791</v>
      </c>
      <c r="K19190" s="0" t="s">
        <v>63792</v>
      </c>
      <c r="L19190" s="0" t="str">
        <f aca="false">HYPERLINK("https://www.ncbi.nlm.nih.gov/nuccore/CP000058.1?report=graph&amp;tracks=[key:gene_model_track,Options:GeneOnly]&amp;mk=5892120:5892139|offset_19|444444,5892169:5892188|offset_68|444444,5892208:5892227|offset_107|444444,5892277:5892296|offset_176|00cc00&amp;v=5891919:5892496&amp;c=444444", "offset 176")</f>
        <v>offset 176</v>
      </c>
    </row>
    <row r="19191" customFormat="false" ht="12.8" hidden="false" customHeight="false" outlineLevel="0" collapsed="false">
      <c r="A19191" s="0" t="s">
        <v>12</v>
      </c>
      <c r="B19191" s="0" t="n">
        <v>5893261</v>
      </c>
      <c r="C19191" s="0" t="n">
        <v>5893281</v>
      </c>
      <c r="D19191" s="0" t="s">
        <v>63793</v>
      </c>
      <c r="E19191" s="0" t="s">
        <v>63794</v>
      </c>
      <c r="F19191" s="0" t="s">
        <v>15</v>
      </c>
      <c r="G19191" s="0" t="s">
        <v>32</v>
      </c>
      <c r="H19191" s="0" t="n">
        <v>1</v>
      </c>
      <c r="I19191" s="0" t="s">
        <v>63795</v>
      </c>
      <c r="J19191" s="0" t="s">
        <v>63796</v>
      </c>
      <c r="K19191" s="0" t="s">
        <v>63797</v>
      </c>
      <c r="L19191" s="0" t="str">
        <f aca="false">HYPERLINK("https://www.ncbi.nlm.nih.gov/nuccore/CP000058.1?report=graph&amp;tracks=[key:gene_model_track,Options:GeneOnly]&amp;mk=5893262:5893281|offset_1|00cc00,5893302:5893321|offset_41|444444,5893335:5893354|offset_74|444444,5893364:5893383|offset_103|444444&amp;v=5893061:5893583&amp;c=444444", "offset 1")</f>
        <v>offset 1</v>
      </c>
    </row>
    <row r="19192" customFormat="false" ht="12.8" hidden="false" customHeight="false" outlineLevel="0" collapsed="false">
      <c r="A19192" s="0" t="s">
        <v>12</v>
      </c>
      <c r="B19192" s="0" t="n">
        <v>5893301</v>
      </c>
      <c r="C19192" s="0" t="n">
        <v>5893321</v>
      </c>
      <c r="D19192" s="0" t="s">
        <v>63793</v>
      </c>
      <c r="E19192" s="0" t="s">
        <v>63794</v>
      </c>
      <c r="F19192" s="0" t="s">
        <v>15</v>
      </c>
      <c r="G19192" s="0" t="s">
        <v>32</v>
      </c>
      <c r="H19192" s="0" t="n">
        <v>41</v>
      </c>
      <c r="I19192" s="0" t="s">
        <v>63798</v>
      </c>
      <c r="J19192" s="0" t="s">
        <v>63799</v>
      </c>
      <c r="K19192" s="0" t="s">
        <v>63800</v>
      </c>
      <c r="L19192" s="0" t="str">
        <f aca="false">HYPERLINK("https://www.ncbi.nlm.nih.gov/nuccore/CP000058.1?report=graph&amp;tracks=[key:gene_model_track,Options:GeneOnly]&amp;mk=5893262:5893281|offset_1|444444,5893302:5893321|offset_41|00cc00,5893335:5893354|offset_74|444444,5893364:5893383|offset_103|444444&amp;v=5893061:5893583&amp;c=444444", "offset 41")</f>
        <v>offset 41</v>
      </c>
    </row>
    <row r="19193" customFormat="false" ht="12.8" hidden="false" customHeight="false" outlineLevel="0" collapsed="false">
      <c r="A19193" s="0" t="s">
        <v>12</v>
      </c>
      <c r="B19193" s="0" t="n">
        <v>5893334</v>
      </c>
      <c r="C19193" s="0" t="n">
        <v>5893354</v>
      </c>
      <c r="D19193" s="0" t="s">
        <v>63793</v>
      </c>
      <c r="E19193" s="0" t="s">
        <v>63794</v>
      </c>
      <c r="F19193" s="0" t="s">
        <v>15</v>
      </c>
      <c r="G19193" s="0" t="s">
        <v>32</v>
      </c>
      <c r="H19193" s="0" t="n">
        <v>74</v>
      </c>
      <c r="I19193" s="0" t="s">
        <v>63801</v>
      </c>
      <c r="J19193" s="0" t="s">
        <v>63802</v>
      </c>
      <c r="K19193" s="0" t="s">
        <v>63803</v>
      </c>
      <c r="L19193" s="0" t="str">
        <f aca="false">HYPERLINK("https://www.ncbi.nlm.nih.gov/nuccore/CP000058.1?report=graph&amp;tracks=[key:gene_model_track,Options:GeneOnly]&amp;mk=5893262:5893281|offset_1|444444,5893302:5893321|offset_41|444444,5893335:5893354|offset_74|00cc00,5893364:5893383|offset_103|444444&amp;v=5893061:5893583&amp;c=444444", "offset 74")</f>
        <v>offset 74</v>
      </c>
    </row>
    <row r="19194" customFormat="false" ht="12.8" hidden="false" customHeight="false" outlineLevel="0" collapsed="false">
      <c r="A19194" s="0" t="s">
        <v>12</v>
      </c>
      <c r="B19194" s="0" t="n">
        <v>5893363</v>
      </c>
      <c r="C19194" s="0" t="n">
        <v>5893383</v>
      </c>
      <c r="D19194" s="0" t="s">
        <v>63793</v>
      </c>
      <c r="E19194" s="0" t="s">
        <v>63794</v>
      </c>
      <c r="F19194" s="0" t="s">
        <v>15</v>
      </c>
      <c r="G19194" s="0" t="s">
        <v>36</v>
      </c>
      <c r="H19194" s="0" t="n">
        <v>103</v>
      </c>
      <c r="I19194" s="0" t="s">
        <v>63804</v>
      </c>
      <c r="J19194" s="0" t="s">
        <v>63805</v>
      </c>
      <c r="K19194" s="0" t="s">
        <v>63806</v>
      </c>
      <c r="L19194" s="0" t="str">
        <f aca="false">HYPERLINK("https://www.ncbi.nlm.nih.gov/nuccore/CP000058.1?report=graph&amp;tracks=[key:gene_model_track,Options:GeneOnly]&amp;mk=5893262:5893281|offset_1|444444,5893302:5893321|offset_41|444444,5893335:5893354|offset_74|444444,5893364:5893383|offset_103|00cc00&amp;v=5893061:5893583&amp;c=444444", "offset 103")</f>
        <v>offset 103</v>
      </c>
    </row>
    <row r="19195" customFormat="false" ht="12.8" hidden="false" customHeight="false" outlineLevel="0" collapsed="false">
      <c r="A19195" s="0" t="s">
        <v>12</v>
      </c>
      <c r="B19195" s="0" t="n">
        <v>5894828</v>
      </c>
      <c r="C19195" s="0" t="n">
        <v>5894848</v>
      </c>
      <c r="D19195" s="0" t="s">
        <v>63807</v>
      </c>
      <c r="E19195" s="0" t="s">
        <v>75</v>
      </c>
      <c r="F19195" s="0" t="s">
        <v>15</v>
      </c>
      <c r="G19195" s="0" t="s">
        <v>20</v>
      </c>
      <c r="H19195" s="0" t="n">
        <v>7</v>
      </c>
      <c r="I19195" s="0" t="s">
        <v>63808</v>
      </c>
      <c r="J19195" s="0" t="s">
        <v>63809</v>
      </c>
      <c r="K19195" s="0" t="s">
        <v>63810</v>
      </c>
      <c r="L19195" s="0" t="str">
        <f aca="false">HYPERLINK("https://www.ncbi.nlm.nih.gov/nuccore/CP000058.1?report=graph&amp;tracks=[key:gene_model_track,Options:GeneOnly]&amp;mk=5894829:5894848|offset_7|00cc00,5894856:5894875|offset_34|444444,5894880:5894899|offset_58|444444,5894911:5894930|offset_89|444444&amp;v=5894628:5895130&amp;c=444444", "offset 7")</f>
        <v>offset 7</v>
      </c>
    </row>
    <row r="19196" customFormat="false" ht="12.8" hidden="false" customHeight="false" outlineLevel="0" collapsed="false">
      <c r="A19196" s="0" t="s">
        <v>12</v>
      </c>
      <c r="B19196" s="0" t="n">
        <v>5894855</v>
      </c>
      <c r="C19196" s="0" t="n">
        <v>5894875</v>
      </c>
      <c r="D19196" s="0" t="s">
        <v>63807</v>
      </c>
      <c r="E19196" s="0" t="s">
        <v>75</v>
      </c>
      <c r="F19196" s="0" t="s">
        <v>15</v>
      </c>
      <c r="G19196" s="0" t="s">
        <v>16</v>
      </c>
      <c r="H19196" s="0" t="n">
        <v>34</v>
      </c>
      <c r="I19196" s="0" t="s">
        <v>63811</v>
      </c>
      <c r="J19196" s="0" t="s">
        <v>63812</v>
      </c>
      <c r="K19196" s="0" t="s">
        <v>63813</v>
      </c>
      <c r="L19196" s="0" t="str">
        <f aca="false">HYPERLINK("https://www.ncbi.nlm.nih.gov/nuccore/CP000058.1?report=graph&amp;tracks=[key:gene_model_track,Options:GeneOnly]&amp;mk=5894829:5894848|offset_7|444444,5894856:5894875|offset_34|00cc00,5894880:5894899|offset_58|444444,5894911:5894930|offset_89|444444&amp;v=5894628:5895130&amp;c=444444", "offset 34")</f>
        <v>offset 34</v>
      </c>
    </row>
    <row r="19197" customFormat="false" ht="12.8" hidden="false" customHeight="false" outlineLevel="0" collapsed="false">
      <c r="A19197" s="0" t="s">
        <v>12</v>
      </c>
      <c r="B19197" s="0" t="n">
        <v>5894879</v>
      </c>
      <c r="C19197" s="0" t="n">
        <v>5894899</v>
      </c>
      <c r="D19197" s="0" t="s">
        <v>63807</v>
      </c>
      <c r="E19197" s="0" t="s">
        <v>75</v>
      </c>
      <c r="F19197" s="0" t="s">
        <v>15</v>
      </c>
      <c r="G19197" s="0" t="s">
        <v>36</v>
      </c>
      <c r="H19197" s="0" t="n">
        <v>58</v>
      </c>
      <c r="I19197" s="0" t="s">
        <v>63814</v>
      </c>
      <c r="J19197" s="0" t="s">
        <v>63815</v>
      </c>
      <c r="K19197" s="0" t="s">
        <v>63816</v>
      </c>
      <c r="L19197" s="0" t="str">
        <f aca="false">HYPERLINK("https://www.ncbi.nlm.nih.gov/nuccore/CP000058.1?report=graph&amp;tracks=[key:gene_model_track,Options:GeneOnly]&amp;mk=5894829:5894848|offset_7|444444,5894856:5894875|offset_34|444444,5894880:5894899|offset_58|00cc00,5894911:5894930|offset_89|444444&amp;v=5894628:5895130&amp;c=444444", "offset 58")</f>
        <v>offset 58</v>
      </c>
    </row>
    <row r="19198" customFormat="false" ht="12.8" hidden="false" customHeight="false" outlineLevel="0" collapsed="false">
      <c r="A19198" s="0" t="s">
        <v>12</v>
      </c>
      <c r="B19198" s="0" t="n">
        <v>5894910</v>
      </c>
      <c r="C19198" s="0" t="n">
        <v>5894930</v>
      </c>
      <c r="D19198" s="0" t="s">
        <v>63807</v>
      </c>
      <c r="E19198" s="0" t="s">
        <v>75</v>
      </c>
      <c r="F19198" s="0" t="s">
        <v>15</v>
      </c>
      <c r="G19198" s="0" t="s">
        <v>36</v>
      </c>
      <c r="H19198" s="0" t="n">
        <v>89</v>
      </c>
      <c r="I19198" s="0" t="s">
        <v>63817</v>
      </c>
      <c r="J19198" s="0" t="s">
        <v>63818</v>
      </c>
      <c r="K19198" s="0" t="s">
        <v>63819</v>
      </c>
      <c r="L19198" s="0" t="str">
        <f aca="false">HYPERLINK("https://www.ncbi.nlm.nih.gov/nuccore/CP000058.1?report=graph&amp;tracks=[key:gene_model_track,Options:GeneOnly]&amp;mk=5894829:5894848|offset_7|444444,5894856:5894875|offset_34|444444,5894880:5894899|offset_58|444444,5894911:5894930|offset_89|00cc00&amp;v=5894628:5895130&amp;c=444444", "offset 89")</f>
        <v>offset 89</v>
      </c>
    </row>
    <row r="19199" customFormat="false" ht="12.8" hidden="false" customHeight="false" outlineLevel="0" collapsed="false">
      <c r="A19199" s="0" t="s">
        <v>12</v>
      </c>
      <c r="B19199" s="0" t="n">
        <v>5896350</v>
      </c>
      <c r="C19199" s="0" t="n">
        <v>5896370</v>
      </c>
      <c r="D19199" s="0" t="s">
        <v>63820</v>
      </c>
      <c r="E19199" s="0" t="s">
        <v>75</v>
      </c>
      <c r="F19199" s="0" t="s">
        <v>90</v>
      </c>
      <c r="G19199" s="0" t="s">
        <v>36</v>
      </c>
      <c r="H19199" s="0" t="n">
        <v>0</v>
      </c>
      <c r="I19199" s="0" t="s">
        <v>63821</v>
      </c>
      <c r="J19199" s="0" t="s">
        <v>63822</v>
      </c>
      <c r="K19199" s="0" t="s">
        <v>63823</v>
      </c>
      <c r="L19199" s="0" t="str">
        <f aca="false">HYPERLINK("https://www.ncbi.nlm.nih.gov/nuccore/CP000058.1?report=graph&amp;tracks=[key:gene_model_track,Options:GeneOnly]&amp;mk=5896351:5896370|offset_0|00cc00,5896313:5896332|offset_38|444444,5896259:5896278|offset_92|444444,5896235:5896254|offset_116|444444&amp;v=5896150:5896454&amp;c=444444", "offset 0")</f>
        <v>offset 0</v>
      </c>
    </row>
    <row r="19200" customFormat="false" ht="12.8" hidden="false" customHeight="false" outlineLevel="0" collapsed="false">
      <c r="A19200" s="0" t="s">
        <v>12</v>
      </c>
      <c r="B19200" s="0" t="n">
        <v>5896312</v>
      </c>
      <c r="C19200" s="0" t="n">
        <v>5896332</v>
      </c>
      <c r="D19200" s="0" t="s">
        <v>63820</v>
      </c>
      <c r="E19200" s="0" t="s">
        <v>75</v>
      </c>
      <c r="F19200" s="0" t="s">
        <v>90</v>
      </c>
      <c r="G19200" s="0" t="s">
        <v>36</v>
      </c>
      <c r="H19200" s="0" t="n">
        <v>38</v>
      </c>
      <c r="I19200" s="0" t="s">
        <v>63824</v>
      </c>
      <c r="J19200" s="0" t="s">
        <v>63825</v>
      </c>
      <c r="K19200" s="0" t="s">
        <v>63826</v>
      </c>
      <c r="L19200" s="0" t="str">
        <f aca="false">HYPERLINK("https://www.ncbi.nlm.nih.gov/nuccore/CP000058.1?report=graph&amp;tracks=[key:gene_model_track,Options:GeneOnly]&amp;mk=5896351:5896370|offset_0|444444,5896313:5896332|offset_38|00cc00,5896259:5896278|offset_92|444444,5896235:5896254|offset_116|444444&amp;v=5896150:5896454&amp;c=444444", "offset 38")</f>
        <v>offset 38</v>
      </c>
    </row>
    <row r="19201" customFormat="false" ht="12.8" hidden="false" customHeight="false" outlineLevel="0" collapsed="false">
      <c r="A19201" s="0" t="s">
        <v>12</v>
      </c>
      <c r="B19201" s="0" t="n">
        <v>5896258</v>
      </c>
      <c r="C19201" s="0" t="n">
        <v>5896278</v>
      </c>
      <c r="D19201" s="0" t="s">
        <v>63820</v>
      </c>
      <c r="E19201" s="0" t="s">
        <v>75</v>
      </c>
      <c r="F19201" s="0" t="s">
        <v>90</v>
      </c>
      <c r="G19201" s="0" t="s">
        <v>16</v>
      </c>
      <c r="H19201" s="0" t="n">
        <v>92</v>
      </c>
      <c r="I19201" s="0" t="s">
        <v>63827</v>
      </c>
      <c r="J19201" s="0" t="s">
        <v>63828</v>
      </c>
      <c r="K19201" s="0" t="s">
        <v>63829</v>
      </c>
      <c r="L19201" s="0" t="str">
        <f aca="false">HYPERLINK("https://www.ncbi.nlm.nih.gov/nuccore/CP000058.1?report=graph&amp;tracks=[key:gene_model_track,Options:GeneOnly]&amp;mk=5896351:5896370|offset_0|444444,5896313:5896332|offset_38|444444,5896259:5896278|offset_92|00cc00,5896235:5896254|offset_116|444444&amp;v=5896150:5896454&amp;c=444444", "offset 92")</f>
        <v>offset 92</v>
      </c>
    </row>
    <row r="19202" customFormat="false" ht="12.8" hidden="false" customHeight="false" outlineLevel="0" collapsed="false">
      <c r="A19202" s="0" t="s">
        <v>12</v>
      </c>
      <c r="B19202" s="0" t="n">
        <v>5896234</v>
      </c>
      <c r="C19202" s="0" t="n">
        <v>5896254</v>
      </c>
      <c r="D19202" s="0" t="s">
        <v>63820</v>
      </c>
      <c r="E19202" s="0" t="s">
        <v>75</v>
      </c>
      <c r="F19202" s="0" t="s">
        <v>90</v>
      </c>
      <c r="G19202" s="0" t="s">
        <v>16</v>
      </c>
      <c r="H19202" s="0" t="n">
        <v>116</v>
      </c>
      <c r="I19202" s="0" t="s">
        <v>63830</v>
      </c>
      <c r="J19202" s="0" t="s">
        <v>63831</v>
      </c>
      <c r="K19202" s="0" t="s">
        <v>63832</v>
      </c>
      <c r="L19202" s="0" t="str">
        <f aca="false">HYPERLINK("https://www.ncbi.nlm.nih.gov/nuccore/CP000058.1?report=graph&amp;tracks=[key:gene_model_track,Options:GeneOnly]&amp;mk=5896351:5896370|offset_0|444444,5896313:5896332|offset_38|444444,5896259:5896278|offset_92|444444,5896235:5896254|offset_116|00cc00&amp;v=5896150:5896454&amp;c=444444", "offset 116")</f>
        <v>offset 116</v>
      </c>
    </row>
    <row r="19203" customFormat="false" ht="12.8" hidden="false" customHeight="false" outlineLevel="0" collapsed="false">
      <c r="A19203" s="0" t="s">
        <v>12</v>
      </c>
      <c r="B19203" s="0" t="n">
        <v>5897877</v>
      </c>
      <c r="C19203" s="0" t="n">
        <v>5897897</v>
      </c>
      <c r="D19203" s="0" t="s">
        <v>63833</v>
      </c>
      <c r="E19203" s="0" t="s">
        <v>75</v>
      </c>
      <c r="F19203" s="0" t="s">
        <v>90</v>
      </c>
      <c r="G19203" s="0" t="s">
        <v>20</v>
      </c>
      <c r="H19203" s="0" t="n">
        <v>28</v>
      </c>
      <c r="I19203" s="0" t="s">
        <v>63834</v>
      </c>
      <c r="J19203" s="0" t="s">
        <v>63835</v>
      </c>
      <c r="K19203" s="0" t="s">
        <v>63836</v>
      </c>
      <c r="L19203" s="0" t="str">
        <f aca="false">HYPERLINK("https://www.ncbi.nlm.nih.gov/nuccore/CP000058.1?report=graph&amp;tracks=[key:gene_model_track,Options:GeneOnly]&amp;mk=5897878:5897897|offset_28|00cc00,5897844:5897863|offset_62|444444,5897824:5897843|offset_82|444444&amp;v=5897677:5898043&amp;c=444444", "offset 28")</f>
        <v>offset 28</v>
      </c>
    </row>
    <row r="19204" customFormat="false" ht="12.8" hidden="false" customHeight="false" outlineLevel="0" collapsed="false">
      <c r="A19204" s="0" t="s">
        <v>12</v>
      </c>
      <c r="B19204" s="0" t="n">
        <v>5897843</v>
      </c>
      <c r="C19204" s="0" t="n">
        <v>5897863</v>
      </c>
      <c r="D19204" s="0" t="s">
        <v>63833</v>
      </c>
      <c r="E19204" s="0" t="s">
        <v>75</v>
      </c>
      <c r="F19204" s="0" t="s">
        <v>90</v>
      </c>
      <c r="G19204" s="0" t="s">
        <v>32</v>
      </c>
      <c r="H19204" s="0" t="n">
        <v>62</v>
      </c>
      <c r="I19204" s="0" t="s">
        <v>63837</v>
      </c>
      <c r="J19204" s="0" t="s">
        <v>63838</v>
      </c>
      <c r="K19204" s="0" t="s">
        <v>63839</v>
      </c>
      <c r="L19204" s="0" t="str">
        <f aca="false">HYPERLINK("https://www.ncbi.nlm.nih.gov/nuccore/CP000058.1?report=graph&amp;tracks=[key:gene_model_track,Options:GeneOnly]&amp;mk=5897878:5897897|offset_28|444444,5897844:5897863|offset_62|00cc00,5897824:5897843|offset_82|444444&amp;v=5897677:5898043&amp;c=444444", "offset 62")</f>
        <v>offset 62</v>
      </c>
    </row>
    <row r="19205" customFormat="false" ht="12.8" hidden="false" customHeight="false" outlineLevel="0" collapsed="false">
      <c r="A19205" s="0" t="s">
        <v>12</v>
      </c>
      <c r="B19205" s="0" t="n">
        <v>5897823</v>
      </c>
      <c r="C19205" s="0" t="n">
        <v>5897843</v>
      </c>
      <c r="D19205" s="0" t="s">
        <v>63833</v>
      </c>
      <c r="E19205" s="0" t="s">
        <v>75</v>
      </c>
      <c r="F19205" s="0" t="s">
        <v>90</v>
      </c>
      <c r="G19205" s="0" t="s">
        <v>32</v>
      </c>
      <c r="H19205" s="0" t="n">
        <v>82</v>
      </c>
      <c r="I19205" s="0" t="s">
        <v>63840</v>
      </c>
      <c r="J19205" s="0" t="s">
        <v>63841</v>
      </c>
      <c r="K19205" s="0" t="s">
        <v>63842</v>
      </c>
      <c r="L19205" s="0" t="str">
        <f aca="false">HYPERLINK("https://www.ncbi.nlm.nih.gov/nuccore/CP000058.1?report=graph&amp;tracks=[key:gene_model_track,Options:GeneOnly]&amp;mk=5897878:5897897|offset_28|444444,5897844:5897863|offset_62|444444,5897824:5897843|offset_82|00cc00&amp;v=5897677:5898043&amp;c=444444", "offset 82")</f>
        <v>offset 82</v>
      </c>
    </row>
    <row r="19206" customFormat="false" ht="12.8" hidden="false" customHeight="false" outlineLevel="0" collapsed="false">
      <c r="A19206" s="0" t="s">
        <v>12</v>
      </c>
      <c r="B19206" s="0" t="n">
        <v>5897995</v>
      </c>
      <c r="C19206" s="0" t="n">
        <v>5898015</v>
      </c>
      <c r="D19206" s="0" t="s">
        <v>63843</v>
      </c>
      <c r="E19206" s="0" t="s">
        <v>75</v>
      </c>
      <c r="F19206" s="0" t="s">
        <v>15</v>
      </c>
      <c r="G19206" s="0" t="s">
        <v>32</v>
      </c>
      <c r="H19206" s="0" t="n">
        <v>85</v>
      </c>
      <c r="I19206" s="0" t="s">
        <v>63844</v>
      </c>
      <c r="J19206" s="0" t="s">
        <v>63845</v>
      </c>
      <c r="K19206" s="0" t="s">
        <v>63846</v>
      </c>
      <c r="L19206" s="0" t="str">
        <f aca="false">HYPERLINK("https://www.ncbi.nlm.nih.gov/nuccore/CP000058.1?report=graph&amp;tracks=[key:gene_model_track,Options:GeneOnly]&amp;mk=5897996:5898015|offset_85|00cc00,5898049:5898068|offset_138|444444,5898073:5898092|offset_162|444444,5898108:5898127|offset_197|444444&amp;v=5897795:5898327&amp;c=444444", "offset 85")</f>
        <v>offset 85</v>
      </c>
    </row>
    <row r="19207" customFormat="false" ht="12.8" hidden="false" customHeight="false" outlineLevel="0" collapsed="false">
      <c r="A19207" s="0" t="s">
        <v>12</v>
      </c>
      <c r="B19207" s="0" t="n">
        <v>5898048</v>
      </c>
      <c r="C19207" s="0" t="n">
        <v>5898068</v>
      </c>
      <c r="D19207" s="0" t="s">
        <v>63843</v>
      </c>
      <c r="E19207" s="0" t="s">
        <v>75</v>
      </c>
      <c r="F19207" s="0" t="s">
        <v>15</v>
      </c>
      <c r="G19207" s="0" t="s">
        <v>16</v>
      </c>
      <c r="H19207" s="0" t="n">
        <v>138</v>
      </c>
      <c r="I19207" s="0" t="s">
        <v>63847</v>
      </c>
      <c r="J19207" s="0" t="s">
        <v>63848</v>
      </c>
      <c r="K19207" s="0" t="s">
        <v>63849</v>
      </c>
      <c r="L19207" s="0" t="str">
        <f aca="false">HYPERLINK("https://www.ncbi.nlm.nih.gov/nuccore/CP000058.1?report=graph&amp;tracks=[key:gene_model_track,Options:GeneOnly]&amp;mk=5897996:5898015|offset_85|444444,5898049:5898068|offset_138|00cc00,5898073:5898092|offset_162|444444,5898108:5898127|offset_197|444444&amp;v=5897795:5898327&amp;c=444444", "offset 138")</f>
        <v>offset 138</v>
      </c>
    </row>
    <row r="19208" customFormat="false" ht="12.8" hidden="false" customHeight="false" outlineLevel="0" collapsed="false">
      <c r="A19208" s="0" t="s">
        <v>12</v>
      </c>
      <c r="B19208" s="0" t="n">
        <v>5898072</v>
      </c>
      <c r="C19208" s="0" t="n">
        <v>5898092</v>
      </c>
      <c r="D19208" s="0" t="s">
        <v>63843</v>
      </c>
      <c r="E19208" s="0" t="s">
        <v>75</v>
      </c>
      <c r="F19208" s="0" t="s">
        <v>15</v>
      </c>
      <c r="G19208" s="0" t="s">
        <v>36</v>
      </c>
      <c r="H19208" s="0" t="n">
        <v>162</v>
      </c>
      <c r="I19208" s="0" t="s">
        <v>63850</v>
      </c>
      <c r="J19208" s="0" t="s">
        <v>63851</v>
      </c>
      <c r="K19208" s="0" t="s">
        <v>63852</v>
      </c>
      <c r="L19208" s="0" t="str">
        <f aca="false">HYPERLINK("https://www.ncbi.nlm.nih.gov/nuccore/CP000058.1?report=graph&amp;tracks=[key:gene_model_track,Options:GeneOnly]&amp;mk=5897996:5898015|offset_85|444444,5898049:5898068|offset_138|444444,5898073:5898092|offset_162|00cc00,5898108:5898127|offset_197|444444&amp;v=5897795:5898327&amp;c=444444", "offset 162")</f>
        <v>offset 162</v>
      </c>
    </row>
    <row r="19209" customFormat="false" ht="12.8" hidden="false" customHeight="false" outlineLevel="0" collapsed="false">
      <c r="A19209" s="0" t="s">
        <v>12</v>
      </c>
      <c r="B19209" s="0" t="n">
        <v>5898107</v>
      </c>
      <c r="C19209" s="0" t="n">
        <v>5898127</v>
      </c>
      <c r="D19209" s="0" t="s">
        <v>63843</v>
      </c>
      <c r="E19209" s="0" t="s">
        <v>75</v>
      </c>
      <c r="F19209" s="0" t="s">
        <v>15</v>
      </c>
      <c r="G19209" s="0" t="s">
        <v>20</v>
      </c>
      <c r="H19209" s="0" t="n">
        <v>197</v>
      </c>
      <c r="I19209" s="0" t="s">
        <v>63853</v>
      </c>
      <c r="J19209" s="0" t="s">
        <v>63854</v>
      </c>
      <c r="K19209" s="0" t="s">
        <v>63855</v>
      </c>
      <c r="L19209" s="0" t="str">
        <f aca="false">HYPERLINK("https://www.ncbi.nlm.nih.gov/nuccore/CP000058.1?report=graph&amp;tracks=[key:gene_model_track,Options:GeneOnly]&amp;mk=5897996:5898015|offset_85|444444,5898049:5898068|offset_138|444444,5898073:5898092|offset_162|444444,5898108:5898127|offset_197|00cc00&amp;v=5897795:5898327&amp;c=444444", "offset 197")</f>
        <v>offset 197</v>
      </c>
    </row>
    <row r="19210" customFormat="false" ht="12.8" hidden="false" customHeight="false" outlineLevel="0" collapsed="false">
      <c r="A19210" s="0" t="s">
        <v>12</v>
      </c>
      <c r="B19210" s="0" t="n">
        <v>5899018</v>
      </c>
      <c r="C19210" s="0" t="n">
        <v>5899038</v>
      </c>
      <c r="D19210" s="0" t="s">
        <v>63856</v>
      </c>
      <c r="E19210" s="0" t="s">
        <v>75</v>
      </c>
      <c r="F19210" s="0" t="s">
        <v>15</v>
      </c>
      <c r="G19210" s="0" t="s">
        <v>16</v>
      </c>
      <c r="H19210" s="0" t="n">
        <v>25</v>
      </c>
      <c r="I19210" s="0" t="s">
        <v>63857</v>
      </c>
      <c r="J19210" s="0" t="s">
        <v>63858</v>
      </c>
      <c r="K19210" s="0" t="s">
        <v>63859</v>
      </c>
      <c r="L19210" s="0" t="str">
        <f aca="false">HYPERLINK("https://www.ncbi.nlm.nih.gov/nuccore/CP000058.1?report=graph&amp;tracks=[key:gene_model_track,Options:GeneOnly]&amp;mk=5899019:5899038|offset_25|00cc00,5899046:5899065|offset_52|444444,5899094:5899113|offset_100|444444,5899127:5899146|offset_133|444444&amp;v=5898818:5899346&amp;c=444444", "offset 25")</f>
        <v>offset 25</v>
      </c>
    </row>
    <row r="19211" customFormat="false" ht="12.8" hidden="false" customHeight="false" outlineLevel="0" collapsed="false">
      <c r="A19211" s="0" t="s">
        <v>12</v>
      </c>
      <c r="B19211" s="0" t="n">
        <v>5899045</v>
      </c>
      <c r="C19211" s="0" t="n">
        <v>5899065</v>
      </c>
      <c r="D19211" s="0" t="s">
        <v>63856</v>
      </c>
      <c r="E19211" s="0" t="s">
        <v>75</v>
      </c>
      <c r="F19211" s="0" t="s">
        <v>15</v>
      </c>
      <c r="G19211" s="0" t="s">
        <v>36</v>
      </c>
      <c r="H19211" s="0" t="n">
        <v>52</v>
      </c>
      <c r="I19211" s="0" t="s">
        <v>63860</v>
      </c>
      <c r="J19211" s="0" t="s">
        <v>63861</v>
      </c>
      <c r="K19211" s="0" t="s">
        <v>63862</v>
      </c>
      <c r="L19211" s="0" t="str">
        <f aca="false">HYPERLINK("https://www.ncbi.nlm.nih.gov/nuccore/CP000058.1?report=graph&amp;tracks=[key:gene_model_track,Options:GeneOnly]&amp;mk=5899019:5899038|offset_25|444444,5899046:5899065|offset_52|00cc00,5899094:5899113|offset_100|444444,5899127:5899146|offset_133|444444&amp;v=5898818:5899346&amp;c=444444", "offset 52")</f>
        <v>offset 52</v>
      </c>
    </row>
    <row r="19212" customFormat="false" ht="12.8" hidden="false" customHeight="false" outlineLevel="0" collapsed="false">
      <c r="A19212" s="0" t="s">
        <v>12</v>
      </c>
      <c r="B19212" s="0" t="n">
        <v>5899093</v>
      </c>
      <c r="C19212" s="0" t="n">
        <v>5899113</v>
      </c>
      <c r="D19212" s="0" t="s">
        <v>63856</v>
      </c>
      <c r="E19212" s="0" t="s">
        <v>75</v>
      </c>
      <c r="F19212" s="0" t="s">
        <v>15</v>
      </c>
      <c r="G19212" s="0" t="s">
        <v>36</v>
      </c>
      <c r="H19212" s="0" t="n">
        <v>100</v>
      </c>
      <c r="I19212" s="0" t="s">
        <v>63863</v>
      </c>
      <c r="J19212" s="0" t="s">
        <v>63864</v>
      </c>
      <c r="K19212" s="0" t="s">
        <v>63865</v>
      </c>
      <c r="L19212" s="0" t="str">
        <f aca="false">HYPERLINK("https://www.ncbi.nlm.nih.gov/nuccore/CP000058.1?report=graph&amp;tracks=[key:gene_model_track,Options:GeneOnly]&amp;mk=5899019:5899038|offset_25|444444,5899046:5899065|offset_52|444444,5899094:5899113|offset_100|00cc00,5899127:5899146|offset_133|444444&amp;v=5898818:5899346&amp;c=444444", "offset 100")</f>
        <v>offset 100</v>
      </c>
    </row>
    <row r="19213" customFormat="false" ht="12.8" hidden="false" customHeight="false" outlineLevel="0" collapsed="false">
      <c r="A19213" s="0" t="s">
        <v>12</v>
      </c>
      <c r="B19213" s="0" t="n">
        <v>5899126</v>
      </c>
      <c r="C19213" s="0" t="n">
        <v>5899146</v>
      </c>
      <c r="D19213" s="0" t="s">
        <v>63856</v>
      </c>
      <c r="E19213" s="0" t="s">
        <v>75</v>
      </c>
      <c r="F19213" s="0" t="s">
        <v>15</v>
      </c>
      <c r="G19213" s="0" t="s">
        <v>32</v>
      </c>
      <c r="H19213" s="0" t="n">
        <v>133</v>
      </c>
      <c r="I19213" s="0" t="s">
        <v>63866</v>
      </c>
      <c r="J19213" s="0" t="s">
        <v>63867</v>
      </c>
      <c r="K19213" s="0" t="s">
        <v>63868</v>
      </c>
      <c r="L19213" s="0" t="str">
        <f aca="false">HYPERLINK("https://www.ncbi.nlm.nih.gov/nuccore/CP000058.1?report=graph&amp;tracks=[key:gene_model_track,Options:GeneOnly]&amp;mk=5899019:5899038|offset_25|444444,5899046:5899065|offset_52|444444,5899094:5899113|offset_100|444444,5899127:5899146|offset_133|00cc00&amp;v=5898818:5899346&amp;c=444444", "offset 133")</f>
        <v>offset 133</v>
      </c>
    </row>
    <row r="19214" customFormat="false" ht="12.8" hidden="false" customHeight="false" outlineLevel="0" collapsed="false">
      <c r="A19214" s="0" t="s">
        <v>12</v>
      </c>
      <c r="B19214" s="0" t="n">
        <v>5908327</v>
      </c>
      <c r="C19214" s="0" t="n">
        <v>5908347</v>
      </c>
      <c r="D19214" s="0" t="s">
        <v>63869</v>
      </c>
      <c r="E19214" s="0" t="s">
        <v>63870</v>
      </c>
      <c r="F19214" s="0" t="s">
        <v>90</v>
      </c>
      <c r="G19214" s="0" t="s">
        <v>32</v>
      </c>
      <c r="H19214" s="0" t="n">
        <v>1</v>
      </c>
      <c r="I19214" s="0" t="s">
        <v>63871</v>
      </c>
      <c r="J19214" s="0" t="s">
        <v>63872</v>
      </c>
      <c r="K19214" s="0" t="s">
        <v>63873</v>
      </c>
      <c r="L19214" s="0" t="str">
        <f aca="false">HYPERLINK("https://www.ncbi.nlm.nih.gov/nuccore/CP000058.1?report=graph&amp;tracks=[key:gene_model_track,Options:GeneOnly]&amp;mk=5908328:5908347|offset_1|00cc00,5908307:5908326|offset_22|444444,5908283:5908302|offset_46|444444,5908249:5908268|offset_80|444444&amp;v=5908127:5908468&amp;c=444444", "offset 1")</f>
        <v>offset 1</v>
      </c>
    </row>
    <row r="19215" customFormat="false" ht="12.8" hidden="false" customHeight="false" outlineLevel="0" collapsed="false">
      <c r="A19215" s="0" t="s">
        <v>12</v>
      </c>
      <c r="B19215" s="0" t="n">
        <v>5908306</v>
      </c>
      <c r="C19215" s="0" t="n">
        <v>5908326</v>
      </c>
      <c r="D19215" s="0" t="s">
        <v>63869</v>
      </c>
      <c r="E19215" s="0" t="s">
        <v>63870</v>
      </c>
      <c r="F19215" s="0" t="s">
        <v>90</v>
      </c>
      <c r="G19215" s="0" t="s">
        <v>16</v>
      </c>
      <c r="H19215" s="0" t="n">
        <v>22</v>
      </c>
      <c r="I19215" s="0" t="s">
        <v>63874</v>
      </c>
      <c r="J19215" s="0" t="s">
        <v>63875</v>
      </c>
      <c r="K19215" s="0" t="s">
        <v>63876</v>
      </c>
      <c r="L19215" s="0" t="str">
        <f aca="false">HYPERLINK("https://www.ncbi.nlm.nih.gov/nuccore/CP000058.1?report=graph&amp;tracks=[key:gene_model_track,Options:GeneOnly]&amp;mk=5908328:5908347|offset_1|444444,5908307:5908326|offset_22|00cc00,5908283:5908302|offset_46|444444,5908249:5908268|offset_80|444444&amp;v=5908127:5908468&amp;c=444444", "offset 22")</f>
        <v>offset 22</v>
      </c>
    </row>
    <row r="19216" customFormat="false" ht="12.8" hidden="false" customHeight="false" outlineLevel="0" collapsed="false">
      <c r="A19216" s="0" t="s">
        <v>12</v>
      </c>
      <c r="B19216" s="0" t="n">
        <v>5908282</v>
      </c>
      <c r="C19216" s="0" t="n">
        <v>5908302</v>
      </c>
      <c r="D19216" s="0" t="s">
        <v>63869</v>
      </c>
      <c r="E19216" s="0" t="s">
        <v>63870</v>
      </c>
      <c r="F19216" s="0" t="s">
        <v>90</v>
      </c>
      <c r="G19216" s="0" t="s">
        <v>32</v>
      </c>
      <c r="H19216" s="0" t="n">
        <v>46</v>
      </c>
      <c r="I19216" s="0" t="s">
        <v>63877</v>
      </c>
      <c r="J19216" s="0" t="s">
        <v>63878</v>
      </c>
      <c r="K19216" s="0" t="s">
        <v>63879</v>
      </c>
      <c r="L19216" s="0" t="str">
        <f aca="false">HYPERLINK("https://www.ncbi.nlm.nih.gov/nuccore/CP000058.1?report=graph&amp;tracks=[key:gene_model_track,Options:GeneOnly]&amp;mk=5908328:5908347|offset_1|444444,5908307:5908326|offset_22|444444,5908283:5908302|offset_46|00cc00,5908249:5908268|offset_80|444444&amp;v=5908127:5908468&amp;c=444444", "offset 46")</f>
        <v>offset 46</v>
      </c>
    </row>
    <row r="19217" customFormat="false" ht="12.8" hidden="false" customHeight="false" outlineLevel="0" collapsed="false">
      <c r="A19217" s="0" t="s">
        <v>12</v>
      </c>
      <c r="B19217" s="0" t="n">
        <v>5908248</v>
      </c>
      <c r="C19217" s="0" t="n">
        <v>5908268</v>
      </c>
      <c r="D19217" s="0" t="s">
        <v>63869</v>
      </c>
      <c r="E19217" s="0" t="s">
        <v>63870</v>
      </c>
      <c r="F19217" s="0" t="s">
        <v>90</v>
      </c>
      <c r="G19217" s="0" t="s">
        <v>16</v>
      </c>
      <c r="H19217" s="0" t="n">
        <v>80</v>
      </c>
      <c r="I19217" s="0" t="s">
        <v>63880</v>
      </c>
      <c r="J19217" s="0" t="s">
        <v>63881</v>
      </c>
      <c r="K19217" s="0" t="s">
        <v>63882</v>
      </c>
      <c r="L19217" s="0" t="str">
        <f aca="false">HYPERLINK("https://www.ncbi.nlm.nih.gov/nuccore/CP000058.1?report=graph&amp;tracks=[key:gene_model_track,Options:GeneOnly]&amp;mk=5908328:5908347|offset_1|444444,5908307:5908326|offset_22|444444,5908283:5908302|offset_46|444444,5908249:5908268|offset_80|00cc00&amp;v=5908127:5908468&amp;c=444444", "offset 80")</f>
        <v>offset 80</v>
      </c>
    </row>
    <row r="19218" customFormat="false" ht="12.8" hidden="false" customHeight="false" outlineLevel="0" collapsed="false">
      <c r="A19218" s="0" t="s">
        <v>12</v>
      </c>
      <c r="B19218" s="0" t="n">
        <v>5909084</v>
      </c>
      <c r="C19218" s="0" t="n">
        <v>5909104</v>
      </c>
      <c r="D19218" s="0" t="s">
        <v>63883</v>
      </c>
      <c r="E19218" s="0" t="s">
        <v>75</v>
      </c>
      <c r="F19218" s="0" t="s">
        <v>90</v>
      </c>
      <c r="G19218" s="0" t="s">
        <v>32</v>
      </c>
      <c r="H19218" s="0" t="n">
        <v>21</v>
      </c>
      <c r="I19218" s="0" t="s">
        <v>63884</v>
      </c>
      <c r="J19218" s="0" t="s">
        <v>63885</v>
      </c>
      <c r="K19218" s="0" t="s">
        <v>63886</v>
      </c>
      <c r="L19218" s="0" t="str">
        <f aca="false">HYPERLINK("https://www.ncbi.nlm.nih.gov/nuccore/CP000058.1?report=graph&amp;tracks=[key:gene_model_track,Options:GeneOnly]&amp;mk=5909085:5909104|offset_21|00cc00,5909060:5909079|offset_46|444444,5909018:5909037|offset_88|444444,5908970:5908989|offset_136|444444&amp;v=5908884:5909189&amp;c=444444", "offset 21")</f>
        <v>offset 21</v>
      </c>
    </row>
    <row r="19219" customFormat="false" ht="12.8" hidden="false" customHeight="false" outlineLevel="0" collapsed="false">
      <c r="A19219" s="0" t="s">
        <v>12</v>
      </c>
      <c r="B19219" s="0" t="n">
        <v>5909059</v>
      </c>
      <c r="C19219" s="0" t="n">
        <v>5909079</v>
      </c>
      <c r="D19219" s="0" t="s">
        <v>63883</v>
      </c>
      <c r="E19219" s="0" t="s">
        <v>75</v>
      </c>
      <c r="F19219" s="0" t="s">
        <v>90</v>
      </c>
      <c r="G19219" s="0" t="s">
        <v>36</v>
      </c>
      <c r="H19219" s="0" t="n">
        <v>46</v>
      </c>
      <c r="I19219" s="0" t="s">
        <v>63887</v>
      </c>
      <c r="J19219" s="0" t="s">
        <v>63888</v>
      </c>
      <c r="K19219" s="0" t="s">
        <v>63889</v>
      </c>
      <c r="L19219" s="0" t="str">
        <f aca="false">HYPERLINK("https://www.ncbi.nlm.nih.gov/nuccore/CP000058.1?report=graph&amp;tracks=[key:gene_model_track,Options:GeneOnly]&amp;mk=5909085:5909104|offset_21|444444,5909060:5909079|offset_46|00cc00,5909018:5909037|offset_88|444444,5908970:5908989|offset_136|444444&amp;v=5908884:5909189&amp;c=444444", "offset 46")</f>
        <v>offset 46</v>
      </c>
    </row>
    <row r="19220" customFormat="false" ht="12.8" hidden="false" customHeight="false" outlineLevel="0" collapsed="false">
      <c r="A19220" s="0" t="s">
        <v>12</v>
      </c>
      <c r="B19220" s="0" t="n">
        <v>5909017</v>
      </c>
      <c r="C19220" s="0" t="n">
        <v>5909037</v>
      </c>
      <c r="D19220" s="0" t="s">
        <v>63883</v>
      </c>
      <c r="E19220" s="0" t="s">
        <v>75</v>
      </c>
      <c r="F19220" s="0" t="s">
        <v>90</v>
      </c>
      <c r="G19220" s="0" t="s">
        <v>32</v>
      </c>
      <c r="H19220" s="0" t="n">
        <v>88</v>
      </c>
      <c r="I19220" s="0" t="s">
        <v>63890</v>
      </c>
      <c r="J19220" s="0" t="s">
        <v>63891</v>
      </c>
      <c r="K19220" s="0" t="s">
        <v>63892</v>
      </c>
      <c r="L19220" s="0" t="str">
        <f aca="false">HYPERLINK("https://www.ncbi.nlm.nih.gov/nuccore/CP000058.1?report=graph&amp;tracks=[key:gene_model_track,Options:GeneOnly]&amp;mk=5909085:5909104|offset_21|444444,5909060:5909079|offset_46|444444,5909018:5909037|offset_88|00cc00,5908970:5908989|offset_136|444444&amp;v=5908884:5909189&amp;c=444444", "offset 88")</f>
        <v>offset 88</v>
      </c>
    </row>
    <row r="19221" customFormat="false" ht="12.8" hidden="false" customHeight="false" outlineLevel="0" collapsed="false">
      <c r="A19221" s="0" t="s">
        <v>12</v>
      </c>
      <c r="B19221" s="0" t="n">
        <v>5908969</v>
      </c>
      <c r="C19221" s="0" t="n">
        <v>5908989</v>
      </c>
      <c r="D19221" s="0" t="s">
        <v>63883</v>
      </c>
      <c r="E19221" s="0" t="s">
        <v>75</v>
      </c>
      <c r="F19221" s="0" t="s">
        <v>90</v>
      </c>
      <c r="G19221" s="0" t="s">
        <v>36</v>
      </c>
      <c r="H19221" s="0" t="n">
        <v>136</v>
      </c>
      <c r="I19221" s="0" t="s">
        <v>63893</v>
      </c>
      <c r="J19221" s="0" t="s">
        <v>63894</v>
      </c>
      <c r="K19221" s="0" t="s">
        <v>63895</v>
      </c>
      <c r="L19221" s="0" t="str">
        <f aca="false">HYPERLINK("https://www.ncbi.nlm.nih.gov/nuccore/CP000058.1?report=graph&amp;tracks=[key:gene_model_track,Options:GeneOnly]&amp;mk=5909085:5909104|offset_21|444444,5909060:5909079|offset_46|444444,5909018:5909037|offset_88|444444,5908970:5908989|offset_136|00cc00&amp;v=5908884:5909189&amp;c=444444", "offset 136")</f>
        <v>offset 136</v>
      </c>
    </row>
    <row r="19222" customFormat="false" ht="12.8" hidden="false" customHeight="false" outlineLevel="0" collapsed="false">
      <c r="A19222" s="0" t="s">
        <v>12</v>
      </c>
      <c r="B19222" s="0" t="n">
        <v>5910763</v>
      </c>
      <c r="C19222" s="0" t="n">
        <v>5910783</v>
      </c>
      <c r="D19222" s="0" t="s">
        <v>63896</v>
      </c>
      <c r="E19222" s="0" t="s">
        <v>63897</v>
      </c>
      <c r="F19222" s="0" t="s">
        <v>90</v>
      </c>
      <c r="G19222" s="0" t="s">
        <v>36</v>
      </c>
      <c r="H19222" s="0" t="n">
        <v>7</v>
      </c>
      <c r="I19222" s="0" t="s">
        <v>63898</v>
      </c>
      <c r="J19222" s="0" t="s">
        <v>63899</v>
      </c>
      <c r="K19222" s="0" t="s">
        <v>63900</v>
      </c>
      <c r="L19222" s="0" t="str">
        <f aca="false">HYPERLINK("https://www.ncbi.nlm.nih.gov/nuccore/CP000058.1?report=graph&amp;tracks=[key:gene_model_track,Options:GeneOnly]&amp;mk=5910764:5910783|offset_7|00cc00,5910736:5910755|offset_35|444444,5910713:5910732|offset_58|444444,5910693:5910712|offset_78|444444&amp;v=5910563:5910912&amp;c=444444", "offset 7")</f>
        <v>offset 7</v>
      </c>
    </row>
    <row r="19223" customFormat="false" ht="12.8" hidden="false" customHeight="false" outlineLevel="0" collapsed="false">
      <c r="A19223" s="0" t="s">
        <v>12</v>
      </c>
      <c r="B19223" s="0" t="n">
        <v>5910735</v>
      </c>
      <c r="C19223" s="0" t="n">
        <v>5910755</v>
      </c>
      <c r="D19223" s="0" t="s">
        <v>63896</v>
      </c>
      <c r="E19223" s="0" t="s">
        <v>63897</v>
      </c>
      <c r="F19223" s="0" t="s">
        <v>90</v>
      </c>
      <c r="G19223" s="0" t="s">
        <v>32</v>
      </c>
      <c r="H19223" s="0" t="n">
        <v>35</v>
      </c>
      <c r="I19223" s="0" t="s">
        <v>63901</v>
      </c>
      <c r="J19223" s="0" t="s">
        <v>63902</v>
      </c>
      <c r="K19223" s="0" t="s">
        <v>63903</v>
      </c>
      <c r="L19223" s="0" t="str">
        <f aca="false">HYPERLINK("https://www.ncbi.nlm.nih.gov/nuccore/CP000058.1?report=graph&amp;tracks=[key:gene_model_track,Options:GeneOnly]&amp;mk=5910764:5910783|offset_7|444444,5910736:5910755|offset_35|00cc00,5910713:5910732|offset_58|444444,5910693:5910712|offset_78|444444&amp;v=5910563:5910912&amp;c=444444", "offset 35")</f>
        <v>offset 35</v>
      </c>
    </row>
    <row r="19224" customFormat="false" ht="12.8" hidden="false" customHeight="false" outlineLevel="0" collapsed="false">
      <c r="A19224" s="0" t="s">
        <v>12</v>
      </c>
      <c r="B19224" s="0" t="n">
        <v>5910712</v>
      </c>
      <c r="C19224" s="0" t="n">
        <v>5910732</v>
      </c>
      <c r="D19224" s="0" t="s">
        <v>63896</v>
      </c>
      <c r="E19224" s="0" t="s">
        <v>63897</v>
      </c>
      <c r="F19224" s="0" t="s">
        <v>90</v>
      </c>
      <c r="G19224" s="0" t="s">
        <v>20</v>
      </c>
      <c r="H19224" s="0" t="n">
        <v>58</v>
      </c>
      <c r="I19224" s="0" t="s">
        <v>63904</v>
      </c>
      <c r="J19224" s="0" t="s">
        <v>63905</v>
      </c>
      <c r="K19224" s="0" t="s">
        <v>63906</v>
      </c>
      <c r="L19224" s="0" t="str">
        <f aca="false">HYPERLINK("https://www.ncbi.nlm.nih.gov/nuccore/CP000058.1?report=graph&amp;tracks=[key:gene_model_track,Options:GeneOnly]&amp;mk=5910764:5910783|offset_7|444444,5910736:5910755|offset_35|444444,5910713:5910732|offset_58|00cc00,5910693:5910712|offset_78|444444&amp;v=5910563:5910912&amp;c=444444", "offset 58")</f>
        <v>offset 58</v>
      </c>
    </row>
    <row r="19225" customFormat="false" ht="12.8" hidden="false" customHeight="false" outlineLevel="0" collapsed="false">
      <c r="A19225" s="0" t="s">
        <v>12</v>
      </c>
      <c r="B19225" s="0" t="n">
        <v>5910692</v>
      </c>
      <c r="C19225" s="0" t="n">
        <v>5910712</v>
      </c>
      <c r="D19225" s="0" t="s">
        <v>63896</v>
      </c>
      <c r="E19225" s="0" t="s">
        <v>63897</v>
      </c>
      <c r="F19225" s="0" t="s">
        <v>90</v>
      </c>
      <c r="G19225" s="0" t="s">
        <v>36</v>
      </c>
      <c r="H19225" s="0" t="n">
        <v>78</v>
      </c>
      <c r="I19225" s="0" t="s">
        <v>63907</v>
      </c>
      <c r="J19225" s="0" t="s">
        <v>63908</v>
      </c>
      <c r="K19225" s="0" t="s">
        <v>63909</v>
      </c>
      <c r="L19225" s="0" t="str">
        <f aca="false">HYPERLINK("https://www.ncbi.nlm.nih.gov/nuccore/CP000058.1?report=graph&amp;tracks=[key:gene_model_track,Options:GeneOnly]&amp;mk=5910764:5910783|offset_7|444444,5910736:5910755|offset_35|444444,5910713:5910732|offset_58|444444,5910693:5910712|offset_78|00cc00&amp;v=5910563:5910912&amp;c=444444", "offset 78")</f>
        <v>offset 78</v>
      </c>
    </row>
    <row r="19226" customFormat="false" ht="12.8" hidden="false" customHeight="false" outlineLevel="0" collapsed="false">
      <c r="A19226" s="0" t="s">
        <v>12</v>
      </c>
      <c r="B19226" s="0" t="n">
        <v>5911304</v>
      </c>
      <c r="C19226" s="0" t="n">
        <v>5911324</v>
      </c>
      <c r="D19226" s="0" t="s">
        <v>63910</v>
      </c>
      <c r="E19226" s="0" t="s">
        <v>63911</v>
      </c>
      <c r="F19226" s="0" t="s">
        <v>90</v>
      </c>
      <c r="G19226" s="0" t="s">
        <v>32</v>
      </c>
      <c r="H19226" s="0" t="n">
        <v>17</v>
      </c>
      <c r="I19226" s="0" t="s">
        <v>63912</v>
      </c>
      <c r="J19226" s="0" t="s">
        <v>63913</v>
      </c>
      <c r="K19226" s="0" t="s">
        <v>63914</v>
      </c>
      <c r="L19226" s="0" t="str">
        <f aca="false">HYPERLINK("https://www.ncbi.nlm.nih.gov/nuccore/CP000058.1?report=graph&amp;tracks=[key:gene_model_track,Options:GeneOnly]&amp;mk=5911305:5911324|offset_17|00cc00,5911267:5911286|offset_55|444444,5911233:5911252|offset_89|444444,5911211:5911230|offset_111|444444&amp;v=5911104:5911430&amp;c=444444", "offset 17")</f>
        <v>offset 17</v>
      </c>
    </row>
    <row r="19227" customFormat="false" ht="12.8" hidden="false" customHeight="false" outlineLevel="0" collapsed="false">
      <c r="A19227" s="0" t="s">
        <v>12</v>
      </c>
      <c r="B19227" s="0" t="n">
        <v>5911266</v>
      </c>
      <c r="C19227" s="0" t="n">
        <v>5911286</v>
      </c>
      <c r="D19227" s="0" t="s">
        <v>63910</v>
      </c>
      <c r="E19227" s="0" t="s">
        <v>63911</v>
      </c>
      <c r="F19227" s="0" t="s">
        <v>90</v>
      </c>
      <c r="G19227" s="0" t="s">
        <v>16</v>
      </c>
      <c r="H19227" s="0" t="n">
        <v>55</v>
      </c>
      <c r="I19227" s="0" t="s">
        <v>63915</v>
      </c>
      <c r="J19227" s="0" t="s">
        <v>63916</v>
      </c>
      <c r="K19227" s="0" t="s">
        <v>63917</v>
      </c>
      <c r="L19227" s="0" t="str">
        <f aca="false">HYPERLINK("https://www.ncbi.nlm.nih.gov/nuccore/CP000058.1?report=graph&amp;tracks=[key:gene_model_track,Options:GeneOnly]&amp;mk=5911305:5911324|offset_17|444444,5911267:5911286|offset_55|00cc00,5911233:5911252|offset_89|444444,5911211:5911230|offset_111|444444&amp;v=5911104:5911430&amp;c=444444", "offset 55")</f>
        <v>offset 55</v>
      </c>
    </row>
    <row r="19228" customFormat="false" ht="12.8" hidden="false" customHeight="false" outlineLevel="0" collapsed="false">
      <c r="A19228" s="0" t="s">
        <v>12</v>
      </c>
      <c r="B19228" s="0" t="n">
        <v>5911232</v>
      </c>
      <c r="C19228" s="0" t="n">
        <v>5911252</v>
      </c>
      <c r="D19228" s="0" t="s">
        <v>63910</v>
      </c>
      <c r="E19228" s="0" t="s">
        <v>63911</v>
      </c>
      <c r="F19228" s="0" t="s">
        <v>90</v>
      </c>
      <c r="G19228" s="0" t="s">
        <v>20</v>
      </c>
      <c r="H19228" s="0" t="n">
        <v>89</v>
      </c>
      <c r="I19228" s="0" t="s">
        <v>63918</v>
      </c>
      <c r="J19228" s="0" t="s">
        <v>63919</v>
      </c>
      <c r="K19228" s="0" t="s">
        <v>63920</v>
      </c>
      <c r="L19228" s="0" t="str">
        <f aca="false">HYPERLINK("https://www.ncbi.nlm.nih.gov/nuccore/CP000058.1?report=graph&amp;tracks=[key:gene_model_track,Options:GeneOnly]&amp;mk=5911305:5911324|offset_17|444444,5911267:5911286|offset_55|444444,5911233:5911252|offset_89|00cc00,5911211:5911230|offset_111|444444&amp;v=5911104:5911430&amp;c=444444", "offset 89")</f>
        <v>offset 89</v>
      </c>
    </row>
    <row r="19229" customFormat="false" ht="12.8" hidden="false" customHeight="false" outlineLevel="0" collapsed="false">
      <c r="A19229" s="0" t="s">
        <v>12</v>
      </c>
      <c r="B19229" s="0" t="n">
        <v>5911210</v>
      </c>
      <c r="C19229" s="0" t="n">
        <v>5911230</v>
      </c>
      <c r="D19229" s="0" t="s">
        <v>63910</v>
      </c>
      <c r="E19229" s="0" t="s">
        <v>63911</v>
      </c>
      <c r="F19229" s="0" t="s">
        <v>90</v>
      </c>
      <c r="G19229" s="0" t="s">
        <v>32</v>
      </c>
      <c r="H19229" s="0" t="n">
        <v>111</v>
      </c>
      <c r="I19229" s="0" t="s">
        <v>63921</v>
      </c>
      <c r="J19229" s="0" t="s">
        <v>63922</v>
      </c>
      <c r="K19229" s="0" t="s">
        <v>63923</v>
      </c>
      <c r="L19229" s="0" t="str">
        <f aca="false">HYPERLINK("https://www.ncbi.nlm.nih.gov/nuccore/CP000058.1?report=graph&amp;tracks=[key:gene_model_track,Options:GeneOnly]&amp;mk=5911305:5911324|offset_17|444444,5911267:5911286|offset_55|444444,5911233:5911252|offset_89|444444,5911211:5911230|offset_111|00cc00&amp;v=5911104:5911430&amp;c=444444", "offset 111")</f>
        <v>offset 111</v>
      </c>
    </row>
    <row r="19230" customFormat="false" ht="12.8" hidden="false" customHeight="false" outlineLevel="0" collapsed="false">
      <c r="A19230" s="0" t="s">
        <v>12</v>
      </c>
      <c r="B19230" s="0" t="n">
        <v>5912689</v>
      </c>
      <c r="C19230" s="0" t="n">
        <v>5912709</v>
      </c>
      <c r="D19230" s="0" t="s">
        <v>63924</v>
      </c>
      <c r="E19230" s="0" t="s">
        <v>63925</v>
      </c>
      <c r="F19230" s="0" t="s">
        <v>90</v>
      </c>
      <c r="G19230" s="0" t="s">
        <v>36</v>
      </c>
      <c r="H19230" s="0" t="n">
        <v>56</v>
      </c>
      <c r="I19230" s="0" t="s">
        <v>63926</v>
      </c>
      <c r="J19230" s="0" t="s">
        <v>63927</v>
      </c>
      <c r="K19230" s="0" t="s">
        <v>63928</v>
      </c>
      <c r="L19230" s="0" t="str">
        <f aca="false">HYPERLINK("https://www.ncbi.nlm.nih.gov/nuccore/CP000058.1?report=graph&amp;tracks=[key:gene_model_track,Options:GeneOnly]&amp;mk=5912690:5912709|offset_56|00cc00,5912631:5912650|offset_115|444444,5912586:5912605|offset_160|444444,5912523:5912542|offset_223|444444&amp;v=5912489:5912742&amp;c=444444", "offset 56")</f>
        <v>offset 56</v>
      </c>
    </row>
    <row r="19231" customFormat="false" ht="12.8" hidden="false" customHeight="false" outlineLevel="0" collapsed="false">
      <c r="A19231" s="0" t="s">
        <v>12</v>
      </c>
      <c r="B19231" s="0" t="n">
        <v>5912630</v>
      </c>
      <c r="C19231" s="0" t="n">
        <v>5912650</v>
      </c>
      <c r="D19231" s="0" t="s">
        <v>63924</v>
      </c>
      <c r="E19231" s="0" t="s">
        <v>63925</v>
      </c>
      <c r="F19231" s="0" t="s">
        <v>90</v>
      </c>
      <c r="G19231" s="0" t="s">
        <v>32</v>
      </c>
      <c r="H19231" s="0" t="n">
        <v>115</v>
      </c>
      <c r="I19231" s="0" t="s">
        <v>63929</v>
      </c>
      <c r="J19231" s="0" t="s">
        <v>63930</v>
      </c>
      <c r="K19231" s="0" t="s">
        <v>63931</v>
      </c>
      <c r="L19231" s="0" t="str">
        <f aca="false">HYPERLINK("https://www.ncbi.nlm.nih.gov/nuccore/CP000058.1?report=graph&amp;tracks=[key:gene_model_track,Options:GeneOnly]&amp;mk=5912690:5912709|offset_56|444444,5912631:5912650|offset_115|00cc00,5912586:5912605|offset_160|444444,5912523:5912542|offset_223|444444&amp;v=5912489:5912742&amp;c=444444", "offset 115")</f>
        <v>offset 115</v>
      </c>
    </row>
    <row r="19232" customFormat="false" ht="12.8" hidden="false" customHeight="false" outlineLevel="0" collapsed="false">
      <c r="A19232" s="0" t="s">
        <v>12</v>
      </c>
      <c r="B19232" s="0" t="n">
        <v>5912585</v>
      </c>
      <c r="C19232" s="0" t="n">
        <v>5912605</v>
      </c>
      <c r="D19232" s="0" t="s">
        <v>63924</v>
      </c>
      <c r="E19232" s="0" t="s">
        <v>63925</v>
      </c>
      <c r="F19232" s="0" t="s">
        <v>90</v>
      </c>
      <c r="G19232" s="0" t="s">
        <v>32</v>
      </c>
      <c r="H19232" s="0" t="n">
        <v>160</v>
      </c>
      <c r="I19232" s="0" t="s">
        <v>63932</v>
      </c>
      <c r="J19232" s="0" t="s">
        <v>63933</v>
      </c>
      <c r="K19232" s="0" t="s">
        <v>63934</v>
      </c>
      <c r="L19232" s="0" t="str">
        <f aca="false">HYPERLINK("https://www.ncbi.nlm.nih.gov/nuccore/CP000058.1?report=graph&amp;tracks=[key:gene_model_track,Options:GeneOnly]&amp;mk=5912690:5912709|offset_56|444444,5912631:5912650|offset_115|444444,5912586:5912605|offset_160|00cc00,5912523:5912542|offset_223|444444&amp;v=5912489:5912742&amp;c=444444", "offset 160")</f>
        <v>offset 160</v>
      </c>
    </row>
    <row r="19233" customFormat="false" ht="12.8" hidden="false" customHeight="false" outlineLevel="0" collapsed="false">
      <c r="A19233" s="0" t="s">
        <v>12</v>
      </c>
      <c r="B19233" s="0" t="n">
        <v>5912522</v>
      </c>
      <c r="C19233" s="0" t="n">
        <v>5912542</v>
      </c>
      <c r="D19233" s="0" t="s">
        <v>63924</v>
      </c>
      <c r="E19233" s="0" t="s">
        <v>63925</v>
      </c>
      <c r="F19233" s="0" t="s">
        <v>90</v>
      </c>
      <c r="G19233" s="0" t="s">
        <v>32</v>
      </c>
      <c r="H19233" s="0" t="n">
        <v>223</v>
      </c>
      <c r="I19233" s="0" t="s">
        <v>63935</v>
      </c>
      <c r="J19233" s="0" t="s">
        <v>63936</v>
      </c>
      <c r="K19233" s="0" t="s">
        <v>63937</v>
      </c>
      <c r="L19233" s="0" t="str">
        <f aca="false">HYPERLINK("https://www.ncbi.nlm.nih.gov/nuccore/CP000058.1?report=graph&amp;tracks=[key:gene_model_track,Options:GeneOnly]&amp;mk=5912690:5912709|offset_56|444444,5912631:5912650|offset_115|444444,5912586:5912605|offset_160|444444,5912523:5912542|offset_223|00cc00&amp;v=5912489:5912742&amp;c=444444", "offset 223")</f>
        <v>offset 223</v>
      </c>
    </row>
    <row r="19234" customFormat="false" ht="12.8" hidden="false" customHeight="false" outlineLevel="0" collapsed="false">
      <c r="A19234" s="0" t="s">
        <v>12</v>
      </c>
      <c r="B19234" s="0" t="n">
        <v>5913569</v>
      </c>
      <c r="C19234" s="0" t="n">
        <v>5913589</v>
      </c>
      <c r="D19234" s="0" t="s">
        <v>63938</v>
      </c>
      <c r="E19234" s="0" t="s">
        <v>63939</v>
      </c>
      <c r="F19234" s="0" t="s">
        <v>90</v>
      </c>
      <c r="G19234" s="0" t="s">
        <v>32</v>
      </c>
      <c r="H19234" s="0" t="n">
        <v>64</v>
      </c>
      <c r="I19234" s="0" t="s">
        <v>63940</v>
      </c>
      <c r="J19234" s="0" t="s">
        <v>63941</v>
      </c>
      <c r="K19234" s="0" t="s">
        <v>63942</v>
      </c>
      <c r="L19234" s="0" t="str">
        <f aca="false">HYPERLINK("https://www.ncbi.nlm.nih.gov/nuccore/CP000058.1?report=graph&amp;tracks=[key:gene_model_track,Options:GeneOnly]&amp;mk=5913570:5913589|offset_64|00cc00,5913506:5913525|offset_128|444444,5913456:5913475|offset_178|444444,5913436:5913455|offset_198|444444&amp;v=5913369:5913655&amp;c=444444", "offset 64")</f>
        <v>offset 64</v>
      </c>
    </row>
    <row r="19235" customFormat="false" ht="12.8" hidden="false" customHeight="false" outlineLevel="0" collapsed="false">
      <c r="A19235" s="0" t="s">
        <v>12</v>
      </c>
      <c r="B19235" s="0" t="n">
        <v>5913505</v>
      </c>
      <c r="C19235" s="0" t="n">
        <v>5913525</v>
      </c>
      <c r="D19235" s="0" t="s">
        <v>63938</v>
      </c>
      <c r="E19235" s="0" t="s">
        <v>63939</v>
      </c>
      <c r="F19235" s="0" t="s">
        <v>90</v>
      </c>
      <c r="G19235" s="0" t="s">
        <v>16</v>
      </c>
      <c r="H19235" s="0" t="n">
        <v>128</v>
      </c>
      <c r="I19235" s="0" t="s">
        <v>63943</v>
      </c>
      <c r="J19235" s="0" t="s">
        <v>63944</v>
      </c>
      <c r="K19235" s="0" t="s">
        <v>63945</v>
      </c>
      <c r="L19235" s="0" t="str">
        <f aca="false">HYPERLINK("https://www.ncbi.nlm.nih.gov/nuccore/CP000058.1?report=graph&amp;tracks=[key:gene_model_track,Options:GeneOnly]&amp;mk=5913570:5913589|offset_64|444444,5913506:5913525|offset_128|00cc00,5913456:5913475|offset_178|444444,5913436:5913455|offset_198|444444&amp;v=5913369:5913655&amp;c=444444", "offset 128")</f>
        <v>offset 128</v>
      </c>
    </row>
    <row r="19236" customFormat="false" ht="12.8" hidden="false" customHeight="false" outlineLevel="0" collapsed="false">
      <c r="A19236" s="0" t="s">
        <v>12</v>
      </c>
      <c r="B19236" s="0" t="n">
        <v>5913455</v>
      </c>
      <c r="C19236" s="0" t="n">
        <v>5913475</v>
      </c>
      <c r="D19236" s="0" t="s">
        <v>63938</v>
      </c>
      <c r="E19236" s="0" t="s">
        <v>63939</v>
      </c>
      <c r="F19236" s="0" t="s">
        <v>90</v>
      </c>
      <c r="G19236" s="0" t="s">
        <v>32</v>
      </c>
      <c r="H19236" s="0" t="n">
        <v>178</v>
      </c>
      <c r="I19236" s="0" t="s">
        <v>63946</v>
      </c>
      <c r="J19236" s="0" t="s">
        <v>63947</v>
      </c>
      <c r="K19236" s="0" t="s">
        <v>63948</v>
      </c>
      <c r="L19236" s="0" t="str">
        <f aca="false">HYPERLINK("https://www.ncbi.nlm.nih.gov/nuccore/CP000058.1?report=graph&amp;tracks=[key:gene_model_track,Options:GeneOnly]&amp;mk=5913570:5913589|offset_64|444444,5913506:5913525|offset_128|444444,5913456:5913475|offset_178|00cc00,5913436:5913455|offset_198|444444&amp;v=5913369:5913655&amp;c=444444", "offset 178")</f>
        <v>offset 178</v>
      </c>
    </row>
    <row r="19237" customFormat="false" ht="12.8" hidden="false" customHeight="false" outlineLevel="0" collapsed="false">
      <c r="A19237" s="0" t="s">
        <v>12</v>
      </c>
      <c r="B19237" s="0" t="n">
        <v>5913435</v>
      </c>
      <c r="C19237" s="0" t="n">
        <v>5913455</v>
      </c>
      <c r="D19237" s="0" t="s">
        <v>63938</v>
      </c>
      <c r="E19237" s="0" t="s">
        <v>63939</v>
      </c>
      <c r="F19237" s="0" t="s">
        <v>90</v>
      </c>
      <c r="G19237" s="0" t="s">
        <v>16</v>
      </c>
      <c r="H19237" s="0" t="n">
        <v>198</v>
      </c>
      <c r="I19237" s="0" t="s">
        <v>63949</v>
      </c>
      <c r="J19237" s="0" t="s">
        <v>63950</v>
      </c>
      <c r="K19237" s="0" t="s">
        <v>63951</v>
      </c>
      <c r="L19237" s="0" t="str">
        <f aca="false">HYPERLINK("https://www.ncbi.nlm.nih.gov/nuccore/CP000058.1?report=graph&amp;tracks=[key:gene_model_track,Options:GeneOnly]&amp;mk=5913570:5913589|offset_64|444444,5913506:5913525|offset_128|444444,5913456:5913475|offset_178|444444,5913436:5913455|offset_198|00cc00&amp;v=5913369:5913655&amp;c=444444", "offset 198")</f>
        <v>offset 198</v>
      </c>
    </row>
    <row r="19238" customFormat="false" ht="12.8" hidden="false" customHeight="false" outlineLevel="0" collapsed="false">
      <c r="A19238" s="0" t="s">
        <v>12</v>
      </c>
      <c r="B19238" s="0" t="n">
        <v>5915210</v>
      </c>
      <c r="C19238" s="0" t="n">
        <v>5915230</v>
      </c>
      <c r="D19238" s="0" t="s">
        <v>63952</v>
      </c>
      <c r="E19238" s="0" t="s">
        <v>63953</v>
      </c>
      <c r="F19238" s="0" t="s">
        <v>90</v>
      </c>
      <c r="G19238" s="0" t="s">
        <v>20</v>
      </c>
      <c r="H19238" s="0" t="n">
        <v>18</v>
      </c>
      <c r="I19238" s="0" t="s">
        <v>63954</v>
      </c>
      <c r="J19238" s="0" t="s">
        <v>63955</v>
      </c>
      <c r="K19238" s="0" t="s">
        <v>63956</v>
      </c>
      <c r="L19238" s="0" t="str">
        <f aca="false">HYPERLINK("https://www.ncbi.nlm.nih.gov/nuccore/CP000058.1?report=graph&amp;tracks=[key:gene_model_track,Options:GeneOnly]&amp;mk=5915211:5915230|offset_18|00cc00,5915159:5915178|offset_70|444444,5915090:5915109|offset_139|444444,5915058:5915077|offset_171|444444&amp;v=5915010:5915277&amp;c=444444", "offset 18")</f>
        <v>offset 18</v>
      </c>
    </row>
    <row r="19239" customFormat="false" ht="12.8" hidden="false" customHeight="false" outlineLevel="0" collapsed="false">
      <c r="A19239" s="0" t="s">
        <v>12</v>
      </c>
      <c r="B19239" s="0" t="n">
        <v>5915158</v>
      </c>
      <c r="C19239" s="0" t="n">
        <v>5915178</v>
      </c>
      <c r="D19239" s="0" t="s">
        <v>63952</v>
      </c>
      <c r="E19239" s="0" t="s">
        <v>63953</v>
      </c>
      <c r="F19239" s="0" t="s">
        <v>90</v>
      </c>
      <c r="G19239" s="0" t="s">
        <v>20</v>
      </c>
      <c r="H19239" s="0" t="n">
        <v>70</v>
      </c>
      <c r="I19239" s="0" t="s">
        <v>63957</v>
      </c>
      <c r="J19239" s="0" t="s">
        <v>63958</v>
      </c>
      <c r="K19239" s="0" t="s">
        <v>63959</v>
      </c>
      <c r="L19239" s="0" t="str">
        <f aca="false">HYPERLINK("https://www.ncbi.nlm.nih.gov/nuccore/CP000058.1?report=graph&amp;tracks=[key:gene_model_track,Options:GeneOnly]&amp;mk=5915211:5915230|offset_18|444444,5915159:5915178|offset_70|00cc00,5915090:5915109|offset_139|444444,5915058:5915077|offset_171|444444&amp;v=5915010:5915277&amp;c=444444", "offset 70")</f>
        <v>offset 70</v>
      </c>
    </row>
    <row r="19240" customFormat="false" ht="12.8" hidden="false" customHeight="false" outlineLevel="0" collapsed="false">
      <c r="A19240" s="0" t="s">
        <v>12</v>
      </c>
      <c r="B19240" s="0" t="n">
        <v>5915089</v>
      </c>
      <c r="C19240" s="0" t="n">
        <v>5915109</v>
      </c>
      <c r="D19240" s="0" t="s">
        <v>63952</v>
      </c>
      <c r="E19240" s="0" t="s">
        <v>63953</v>
      </c>
      <c r="F19240" s="0" t="s">
        <v>90</v>
      </c>
      <c r="G19240" s="0" t="s">
        <v>16</v>
      </c>
      <c r="H19240" s="0" t="n">
        <v>139</v>
      </c>
      <c r="I19240" s="0" t="s">
        <v>63960</v>
      </c>
      <c r="J19240" s="0" t="s">
        <v>63961</v>
      </c>
      <c r="K19240" s="0" t="s">
        <v>63962</v>
      </c>
      <c r="L19240" s="0" t="str">
        <f aca="false">HYPERLINK("https://www.ncbi.nlm.nih.gov/nuccore/CP000058.1?report=graph&amp;tracks=[key:gene_model_track,Options:GeneOnly]&amp;mk=5915211:5915230|offset_18|444444,5915159:5915178|offset_70|444444,5915090:5915109|offset_139|00cc00,5915058:5915077|offset_171|444444&amp;v=5915010:5915277&amp;c=444444", "offset 139")</f>
        <v>offset 139</v>
      </c>
    </row>
    <row r="19241" customFormat="false" ht="12.8" hidden="false" customHeight="false" outlineLevel="0" collapsed="false">
      <c r="A19241" s="0" t="s">
        <v>12</v>
      </c>
      <c r="B19241" s="0" t="n">
        <v>5915057</v>
      </c>
      <c r="C19241" s="0" t="n">
        <v>5915077</v>
      </c>
      <c r="D19241" s="0" t="s">
        <v>63952</v>
      </c>
      <c r="E19241" s="0" t="s">
        <v>63953</v>
      </c>
      <c r="F19241" s="0" t="s">
        <v>90</v>
      </c>
      <c r="G19241" s="0" t="s">
        <v>16</v>
      </c>
      <c r="H19241" s="0" t="n">
        <v>171</v>
      </c>
      <c r="I19241" s="0" t="s">
        <v>63963</v>
      </c>
      <c r="J19241" s="0" t="s">
        <v>63964</v>
      </c>
      <c r="K19241" s="0" t="s">
        <v>63965</v>
      </c>
      <c r="L19241" s="0" t="str">
        <f aca="false">HYPERLINK("https://www.ncbi.nlm.nih.gov/nuccore/CP000058.1?report=graph&amp;tracks=[key:gene_model_track,Options:GeneOnly]&amp;mk=5915211:5915230|offset_18|444444,5915159:5915178|offset_70|444444,5915090:5915109|offset_139|444444,5915058:5915077|offset_171|00cc00&amp;v=5915010:5915277&amp;c=444444", "offset 171")</f>
        <v>offset 171</v>
      </c>
    </row>
    <row r="19242" customFormat="false" ht="12.8" hidden="false" customHeight="false" outlineLevel="0" collapsed="false">
      <c r="A19242" s="0" t="s">
        <v>12</v>
      </c>
      <c r="B19242" s="0" t="n">
        <v>5915770</v>
      </c>
      <c r="C19242" s="0" t="n">
        <v>5915790</v>
      </c>
      <c r="D19242" s="0" t="s">
        <v>63966</v>
      </c>
      <c r="E19242" s="0" t="s">
        <v>63967</v>
      </c>
      <c r="F19242" s="0" t="s">
        <v>90</v>
      </c>
      <c r="G19242" s="0" t="s">
        <v>32</v>
      </c>
      <c r="H19242" s="0" t="n">
        <v>16</v>
      </c>
      <c r="I19242" s="0" t="s">
        <v>63968</v>
      </c>
      <c r="J19242" s="0" t="s">
        <v>63969</v>
      </c>
      <c r="K19242" s="0" t="s">
        <v>63970</v>
      </c>
      <c r="L19242" s="0" t="str">
        <f aca="false">HYPERLINK("https://www.ncbi.nlm.nih.gov/nuccore/CP000058.1?report=graph&amp;tracks=[key:gene_model_track,Options:GeneOnly]&amp;mk=5915771:5915790|offset_16|00cc00,5915741:5915760|offset_46|444444,5915719:5915738|offset_68|444444,5915686:5915705|offset_101|444444&amp;v=5915570:5915905&amp;c=444444", "offset 16")</f>
        <v>offset 16</v>
      </c>
    </row>
    <row r="19243" customFormat="false" ht="12.8" hidden="false" customHeight="false" outlineLevel="0" collapsed="false">
      <c r="A19243" s="0" t="s">
        <v>12</v>
      </c>
      <c r="B19243" s="0" t="n">
        <v>5915740</v>
      </c>
      <c r="C19243" s="0" t="n">
        <v>5915760</v>
      </c>
      <c r="D19243" s="0" t="s">
        <v>63966</v>
      </c>
      <c r="E19243" s="0" t="s">
        <v>63967</v>
      </c>
      <c r="F19243" s="0" t="s">
        <v>90</v>
      </c>
      <c r="G19243" s="0" t="s">
        <v>20</v>
      </c>
      <c r="H19243" s="0" t="n">
        <v>46</v>
      </c>
      <c r="I19243" s="0" t="s">
        <v>63971</v>
      </c>
      <c r="J19243" s="0" t="s">
        <v>63972</v>
      </c>
      <c r="K19243" s="0" t="s">
        <v>63973</v>
      </c>
      <c r="L19243" s="0" t="str">
        <f aca="false">HYPERLINK("https://www.ncbi.nlm.nih.gov/nuccore/CP000058.1?report=graph&amp;tracks=[key:gene_model_track,Options:GeneOnly]&amp;mk=5915771:5915790|offset_16|444444,5915741:5915760|offset_46|00cc00,5915719:5915738|offset_68|444444,5915686:5915705|offset_101|444444&amp;v=5915570:5915905&amp;c=444444", "offset 46")</f>
        <v>offset 46</v>
      </c>
    </row>
    <row r="19244" customFormat="false" ht="12.8" hidden="false" customHeight="false" outlineLevel="0" collapsed="false">
      <c r="A19244" s="0" t="s">
        <v>12</v>
      </c>
      <c r="B19244" s="0" t="n">
        <v>5915718</v>
      </c>
      <c r="C19244" s="0" t="n">
        <v>5915738</v>
      </c>
      <c r="D19244" s="0" t="s">
        <v>63966</v>
      </c>
      <c r="E19244" s="0" t="s">
        <v>63967</v>
      </c>
      <c r="F19244" s="0" t="s">
        <v>90</v>
      </c>
      <c r="G19244" s="0" t="s">
        <v>32</v>
      </c>
      <c r="H19244" s="0" t="n">
        <v>68</v>
      </c>
      <c r="I19244" s="0" t="s">
        <v>63974</v>
      </c>
      <c r="J19244" s="0" t="s">
        <v>63975</v>
      </c>
      <c r="K19244" s="0" t="s">
        <v>63976</v>
      </c>
      <c r="L19244" s="0" t="str">
        <f aca="false">HYPERLINK("https://www.ncbi.nlm.nih.gov/nuccore/CP000058.1?report=graph&amp;tracks=[key:gene_model_track,Options:GeneOnly]&amp;mk=5915771:5915790|offset_16|444444,5915741:5915760|offset_46|444444,5915719:5915738|offset_68|00cc00,5915686:5915705|offset_101|444444&amp;v=5915570:5915905&amp;c=444444", "offset 68")</f>
        <v>offset 68</v>
      </c>
    </row>
    <row r="19245" customFormat="false" ht="12.8" hidden="false" customHeight="false" outlineLevel="0" collapsed="false">
      <c r="A19245" s="0" t="s">
        <v>12</v>
      </c>
      <c r="B19245" s="0" t="n">
        <v>5915685</v>
      </c>
      <c r="C19245" s="0" t="n">
        <v>5915705</v>
      </c>
      <c r="D19245" s="0" t="s">
        <v>63966</v>
      </c>
      <c r="E19245" s="0" t="s">
        <v>63967</v>
      </c>
      <c r="F19245" s="0" t="s">
        <v>90</v>
      </c>
      <c r="G19245" s="0" t="s">
        <v>20</v>
      </c>
      <c r="H19245" s="0" t="n">
        <v>101</v>
      </c>
      <c r="I19245" s="0" t="s">
        <v>63977</v>
      </c>
      <c r="J19245" s="0" t="s">
        <v>63978</v>
      </c>
      <c r="K19245" s="0" t="s">
        <v>63979</v>
      </c>
      <c r="L19245" s="0" t="str">
        <f aca="false">HYPERLINK("https://www.ncbi.nlm.nih.gov/nuccore/CP000058.1?report=graph&amp;tracks=[key:gene_model_track,Options:GeneOnly]&amp;mk=5915771:5915790|offset_16|444444,5915741:5915760|offset_46|444444,5915719:5915738|offset_68|444444,5915686:5915705|offset_101|00cc00&amp;v=5915570:5915905&amp;c=444444", "offset 101")</f>
        <v>offset 101</v>
      </c>
    </row>
    <row r="19246" customFormat="false" ht="12.8" hidden="false" customHeight="false" outlineLevel="0" collapsed="false">
      <c r="A19246" s="0" t="s">
        <v>12</v>
      </c>
      <c r="B19246" s="0" t="n">
        <v>5916250</v>
      </c>
      <c r="C19246" s="0" t="n">
        <v>5916270</v>
      </c>
      <c r="D19246" s="0" t="s">
        <v>63980</v>
      </c>
      <c r="E19246" s="0" t="s">
        <v>63981</v>
      </c>
      <c r="F19246" s="0" t="s">
        <v>90</v>
      </c>
      <c r="G19246" s="0" t="s">
        <v>36</v>
      </c>
      <c r="H19246" s="0" t="n">
        <v>19</v>
      </c>
      <c r="I19246" s="0" t="s">
        <v>63982</v>
      </c>
      <c r="J19246" s="0" t="s">
        <v>63983</v>
      </c>
      <c r="K19246" s="0" t="s">
        <v>63984</v>
      </c>
      <c r="L19246" s="0" t="str">
        <f aca="false">HYPERLINK("https://www.ncbi.nlm.nih.gov/nuccore/CP000058.1?report=graph&amp;tracks=[key:gene_model_track,Options:GeneOnly]&amp;mk=5916251:5916270|offset_19|00cc00,5916189:5916208|offset_81|444444,5916125:5916144|offset_145|444444,5916098:5916117|offset_172|444444&amp;v=5916050:5916317&amp;c=444444", "offset 19")</f>
        <v>offset 19</v>
      </c>
    </row>
    <row r="19247" customFormat="false" ht="12.8" hidden="false" customHeight="false" outlineLevel="0" collapsed="false">
      <c r="A19247" s="0" t="s">
        <v>12</v>
      </c>
      <c r="B19247" s="0" t="n">
        <v>5916188</v>
      </c>
      <c r="C19247" s="0" t="n">
        <v>5916208</v>
      </c>
      <c r="D19247" s="0" t="s">
        <v>63980</v>
      </c>
      <c r="E19247" s="0" t="s">
        <v>63981</v>
      </c>
      <c r="F19247" s="0" t="s">
        <v>90</v>
      </c>
      <c r="G19247" s="0" t="s">
        <v>20</v>
      </c>
      <c r="H19247" s="0" t="n">
        <v>81</v>
      </c>
      <c r="I19247" s="0" t="s">
        <v>63985</v>
      </c>
      <c r="J19247" s="0" t="s">
        <v>63986</v>
      </c>
      <c r="K19247" s="0" t="s">
        <v>63987</v>
      </c>
      <c r="L19247" s="0" t="str">
        <f aca="false">HYPERLINK("https://www.ncbi.nlm.nih.gov/nuccore/CP000058.1?report=graph&amp;tracks=[key:gene_model_track,Options:GeneOnly]&amp;mk=5916251:5916270|offset_19|444444,5916189:5916208|offset_81|00cc00,5916125:5916144|offset_145|444444,5916098:5916117|offset_172|444444&amp;v=5916050:5916317&amp;c=444444", "offset 81")</f>
        <v>offset 81</v>
      </c>
    </row>
    <row r="19248" customFormat="false" ht="12.8" hidden="false" customHeight="false" outlineLevel="0" collapsed="false">
      <c r="A19248" s="0" t="s">
        <v>12</v>
      </c>
      <c r="B19248" s="0" t="n">
        <v>5916124</v>
      </c>
      <c r="C19248" s="0" t="n">
        <v>5916144</v>
      </c>
      <c r="D19248" s="0" t="s">
        <v>63980</v>
      </c>
      <c r="E19248" s="0" t="s">
        <v>63981</v>
      </c>
      <c r="F19248" s="0" t="s">
        <v>90</v>
      </c>
      <c r="G19248" s="0" t="s">
        <v>36</v>
      </c>
      <c r="H19248" s="0" t="n">
        <v>145</v>
      </c>
      <c r="I19248" s="0" t="s">
        <v>63988</v>
      </c>
      <c r="J19248" s="0" t="s">
        <v>63989</v>
      </c>
      <c r="K19248" s="0" t="s">
        <v>63990</v>
      </c>
      <c r="L19248" s="0" t="str">
        <f aca="false">HYPERLINK("https://www.ncbi.nlm.nih.gov/nuccore/CP000058.1?report=graph&amp;tracks=[key:gene_model_track,Options:GeneOnly]&amp;mk=5916251:5916270|offset_19|444444,5916189:5916208|offset_81|444444,5916125:5916144|offset_145|00cc00,5916098:5916117|offset_172|444444&amp;v=5916050:5916317&amp;c=444444", "offset 145")</f>
        <v>offset 145</v>
      </c>
    </row>
    <row r="19249" customFormat="false" ht="12.8" hidden="false" customHeight="false" outlineLevel="0" collapsed="false">
      <c r="A19249" s="0" t="s">
        <v>12</v>
      </c>
      <c r="B19249" s="0" t="n">
        <v>5916097</v>
      </c>
      <c r="C19249" s="0" t="n">
        <v>5916117</v>
      </c>
      <c r="D19249" s="0" t="s">
        <v>63980</v>
      </c>
      <c r="E19249" s="0" t="s">
        <v>63981</v>
      </c>
      <c r="F19249" s="0" t="s">
        <v>90</v>
      </c>
      <c r="G19249" s="0" t="s">
        <v>36</v>
      </c>
      <c r="H19249" s="0" t="n">
        <v>172</v>
      </c>
      <c r="I19249" s="0" t="s">
        <v>63991</v>
      </c>
      <c r="J19249" s="0" t="s">
        <v>63992</v>
      </c>
      <c r="K19249" s="0" t="s">
        <v>63993</v>
      </c>
      <c r="L19249" s="0" t="str">
        <f aca="false">HYPERLINK("https://www.ncbi.nlm.nih.gov/nuccore/CP000058.1?report=graph&amp;tracks=[key:gene_model_track,Options:GeneOnly]&amp;mk=5916251:5916270|offset_19|444444,5916189:5916208|offset_81|444444,5916125:5916144|offset_145|444444,5916098:5916117|offset_172|00cc00&amp;v=5916050:5916317&amp;c=444444", "offset 172")</f>
        <v>offset 172</v>
      </c>
    </row>
    <row r="19250" customFormat="false" ht="12.8" hidden="false" customHeight="false" outlineLevel="0" collapsed="false">
      <c r="A19250" s="0" t="s">
        <v>12</v>
      </c>
      <c r="B19250" s="0" t="n">
        <v>5916559</v>
      </c>
      <c r="C19250" s="0" t="n">
        <v>5916579</v>
      </c>
      <c r="D19250" s="0" t="s">
        <v>63994</v>
      </c>
      <c r="E19250" s="0" t="s">
        <v>63995</v>
      </c>
      <c r="F19250" s="0" t="s">
        <v>90</v>
      </c>
      <c r="G19250" s="0" t="s">
        <v>16</v>
      </c>
      <c r="H19250" s="0" t="n">
        <v>25</v>
      </c>
      <c r="I19250" s="0" t="s">
        <v>63996</v>
      </c>
      <c r="J19250" s="0" t="s">
        <v>63997</v>
      </c>
      <c r="K19250" s="0" t="s">
        <v>63998</v>
      </c>
      <c r="L19250" s="0" t="str">
        <f aca="false">HYPERLINK("https://www.ncbi.nlm.nih.gov/nuccore/CP000058.1?report=graph&amp;tracks=[key:gene_model_track,Options:GeneOnly]&amp;mk=5916560:5916579|offset_25|00cc00,5916532:5916551|offset_53|444444,5916499:5916518|offset_86|444444,5916459:5916478|offset_126|444444&amp;v=5916359:5916678&amp;c=444444", "offset 25")</f>
        <v>offset 25</v>
      </c>
    </row>
    <row r="19251" customFormat="false" ht="12.8" hidden="false" customHeight="false" outlineLevel="0" collapsed="false">
      <c r="A19251" s="0" t="s">
        <v>12</v>
      </c>
      <c r="B19251" s="0" t="n">
        <v>5916531</v>
      </c>
      <c r="C19251" s="0" t="n">
        <v>5916551</v>
      </c>
      <c r="D19251" s="0" t="s">
        <v>63994</v>
      </c>
      <c r="E19251" s="0" t="s">
        <v>63995</v>
      </c>
      <c r="F19251" s="0" t="s">
        <v>90</v>
      </c>
      <c r="G19251" s="0" t="s">
        <v>20</v>
      </c>
      <c r="H19251" s="0" t="n">
        <v>53</v>
      </c>
      <c r="I19251" s="0" t="s">
        <v>63999</v>
      </c>
      <c r="J19251" s="0" t="s">
        <v>64000</v>
      </c>
      <c r="K19251" s="0" t="s">
        <v>64001</v>
      </c>
      <c r="L19251" s="0" t="str">
        <f aca="false">HYPERLINK("https://www.ncbi.nlm.nih.gov/nuccore/CP000058.1?report=graph&amp;tracks=[key:gene_model_track,Options:GeneOnly]&amp;mk=5916560:5916579|offset_25|444444,5916532:5916551|offset_53|00cc00,5916499:5916518|offset_86|444444,5916459:5916478|offset_126|444444&amp;v=5916359:5916678&amp;c=444444", "offset 53")</f>
        <v>offset 53</v>
      </c>
    </row>
    <row r="19252" customFormat="false" ht="12.8" hidden="false" customHeight="false" outlineLevel="0" collapsed="false">
      <c r="A19252" s="0" t="s">
        <v>12</v>
      </c>
      <c r="B19252" s="0" t="n">
        <v>5916498</v>
      </c>
      <c r="C19252" s="0" t="n">
        <v>5916518</v>
      </c>
      <c r="D19252" s="0" t="s">
        <v>63994</v>
      </c>
      <c r="E19252" s="0" t="s">
        <v>63995</v>
      </c>
      <c r="F19252" s="0" t="s">
        <v>90</v>
      </c>
      <c r="G19252" s="0" t="s">
        <v>20</v>
      </c>
      <c r="H19252" s="0" t="n">
        <v>86</v>
      </c>
      <c r="I19252" s="0" t="s">
        <v>64002</v>
      </c>
      <c r="J19252" s="0" t="s">
        <v>64003</v>
      </c>
      <c r="K19252" s="0" t="s">
        <v>64004</v>
      </c>
      <c r="L19252" s="0" t="str">
        <f aca="false">HYPERLINK("https://www.ncbi.nlm.nih.gov/nuccore/CP000058.1?report=graph&amp;tracks=[key:gene_model_track,Options:GeneOnly]&amp;mk=5916560:5916579|offset_25|444444,5916532:5916551|offset_53|444444,5916499:5916518|offset_86|00cc00,5916459:5916478|offset_126|444444&amp;v=5916359:5916678&amp;c=444444", "offset 86")</f>
        <v>offset 86</v>
      </c>
    </row>
    <row r="19253" customFormat="false" ht="12.8" hidden="false" customHeight="false" outlineLevel="0" collapsed="false">
      <c r="A19253" s="0" t="s">
        <v>12</v>
      </c>
      <c r="B19253" s="0" t="n">
        <v>5916458</v>
      </c>
      <c r="C19253" s="0" t="n">
        <v>5916478</v>
      </c>
      <c r="D19253" s="0" t="s">
        <v>63994</v>
      </c>
      <c r="E19253" s="0" t="s">
        <v>63995</v>
      </c>
      <c r="F19253" s="0" t="s">
        <v>90</v>
      </c>
      <c r="G19253" s="0" t="s">
        <v>16</v>
      </c>
      <c r="H19253" s="0" t="n">
        <v>126</v>
      </c>
      <c r="I19253" s="0" t="s">
        <v>64005</v>
      </c>
      <c r="J19253" s="0" t="s">
        <v>64006</v>
      </c>
      <c r="K19253" s="0" t="s">
        <v>64007</v>
      </c>
      <c r="L19253" s="0" t="str">
        <f aca="false">HYPERLINK("https://www.ncbi.nlm.nih.gov/nuccore/CP000058.1?report=graph&amp;tracks=[key:gene_model_track,Options:GeneOnly]&amp;mk=5916560:5916579|offset_25|444444,5916532:5916551|offset_53|444444,5916499:5916518|offset_86|444444,5916459:5916478|offset_126|00cc00&amp;v=5916359:5916678&amp;c=444444", "offset 126")</f>
        <v>offset 126</v>
      </c>
    </row>
    <row r="19254" customFormat="false" ht="12.8" hidden="false" customHeight="false" outlineLevel="0" collapsed="false">
      <c r="A19254" s="0" t="s">
        <v>12</v>
      </c>
      <c r="B19254" s="0" t="n">
        <v>5917591</v>
      </c>
      <c r="C19254" s="0" t="n">
        <v>5917611</v>
      </c>
      <c r="D19254" s="0" t="s">
        <v>64008</v>
      </c>
      <c r="E19254" s="0" t="s">
        <v>64009</v>
      </c>
      <c r="F19254" s="0" t="s">
        <v>90</v>
      </c>
      <c r="G19254" s="0" t="s">
        <v>32</v>
      </c>
      <c r="H19254" s="0" t="n">
        <v>1</v>
      </c>
      <c r="I19254" s="0" t="s">
        <v>64010</v>
      </c>
      <c r="J19254" s="0" t="s">
        <v>64011</v>
      </c>
      <c r="K19254" s="0" t="s">
        <v>64012</v>
      </c>
      <c r="L19254" s="0" t="str">
        <f aca="false">HYPERLINK("https://www.ncbi.nlm.nih.gov/nuccore/CP000058.1?report=graph&amp;tracks=[key:gene_model_track,Options:GeneOnly]&amp;mk=5917592:5917611|offset_1|00cc00,5917561:5917580|offset_32|444444,5917528:5917547|offset_65|444444,5917502:5917521|offset_91|444444&amp;v=5917391:5917721&amp;c=444444", "offset 1")</f>
        <v>offset 1</v>
      </c>
    </row>
    <row r="19255" customFormat="false" ht="12.8" hidden="false" customHeight="false" outlineLevel="0" collapsed="false">
      <c r="A19255" s="0" t="s">
        <v>12</v>
      </c>
      <c r="B19255" s="0" t="n">
        <v>5917560</v>
      </c>
      <c r="C19255" s="0" t="n">
        <v>5917580</v>
      </c>
      <c r="D19255" s="0" t="s">
        <v>64008</v>
      </c>
      <c r="E19255" s="0" t="s">
        <v>64009</v>
      </c>
      <c r="F19255" s="0" t="s">
        <v>90</v>
      </c>
      <c r="G19255" s="0" t="s">
        <v>32</v>
      </c>
      <c r="H19255" s="0" t="n">
        <v>32</v>
      </c>
      <c r="I19255" s="0" t="s">
        <v>64013</v>
      </c>
      <c r="J19255" s="0" t="s">
        <v>64014</v>
      </c>
      <c r="K19255" s="0" t="s">
        <v>64015</v>
      </c>
      <c r="L19255" s="0" t="str">
        <f aca="false">HYPERLINK("https://www.ncbi.nlm.nih.gov/nuccore/CP000058.1?report=graph&amp;tracks=[key:gene_model_track,Options:GeneOnly]&amp;mk=5917592:5917611|offset_1|444444,5917561:5917580|offset_32|00cc00,5917528:5917547|offset_65|444444,5917502:5917521|offset_91|444444&amp;v=5917391:5917721&amp;c=444444", "offset 32")</f>
        <v>offset 32</v>
      </c>
    </row>
    <row r="19256" customFormat="false" ht="12.8" hidden="false" customHeight="false" outlineLevel="0" collapsed="false">
      <c r="A19256" s="0" t="s">
        <v>12</v>
      </c>
      <c r="B19256" s="0" t="n">
        <v>5917527</v>
      </c>
      <c r="C19256" s="0" t="n">
        <v>5917547</v>
      </c>
      <c r="D19256" s="0" t="s">
        <v>64008</v>
      </c>
      <c r="E19256" s="0" t="s">
        <v>64009</v>
      </c>
      <c r="F19256" s="0" t="s">
        <v>90</v>
      </c>
      <c r="G19256" s="0" t="s">
        <v>20</v>
      </c>
      <c r="H19256" s="0" t="n">
        <v>65</v>
      </c>
      <c r="I19256" s="0" t="s">
        <v>64016</v>
      </c>
      <c r="J19256" s="0" t="s">
        <v>64017</v>
      </c>
      <c r="K19256" s="0" t="s">
        <v>64018</v>
      </c>
      <c r="L19256" s="0" t="str">
        <f aca="false">HYPERLINK("https://www.ncbi.nlm.nih.gov/nuccore/CP000058.1?report=graph&amp;tracks=[key:gene_model_track,Options:GeneOnly]&amp;mk=5917592:5917611|offset_1|444444,5917561:5917580|offset_32|444444,5917528:5917547|offset_65|00cc00,5917502:5917521|offset_91|444444&amp;v=5917391:5917721&amp;c=444444", "offset 65")</f>
        <v>offset 65</v>
      </c>
    </row>
    <row r="19257" customFormat="false" ht="12.8" hidden="false" customHeight="false" outlineLevel="0" collapsed="false">
      <c r="A19257" s="0" t="s">
        <v>12</v>
      </c>
      <c r="B19257" s="0" t="n">
        <v>5917501</v>
      </c>
      <c r="C19257" s="0" t="n">
        <v>5917521</v>
      </c>
      <c r="D19257" s="0" t="s">
        <v>64008</v>
      </c>
      <c r="E19257" s="0" t="s">
        <v>64009</v>
      </c>
      <c r="F19257" s="0" t="s">
        <v>90</v>
      </c>
      <c r="G19257" s="0" t="s">
        <v>36</v>
      </c>
      <c r="H19257" s="0" t="n">
        <v>91</v>
      </c>
      <c r="I19257" s="0" t="s">
        <v>64019</v>
      </c>
      <c r="J19257" s="0" t="s">
        <v>64020</v>
      </c>
      <c r="K19257" s="0" t="s">
        <v>64021</v>
      </c>
      <c r="L19257" s="0" t="str">
        <f aca="false">HYPERLINK("https://www.ncbi.nlm.nih.gov/nuccore/CP000058.1?report=graph&amp;tracks=[key:gene_model_track,Options:GeneOnly]&amp;mk=5917592:5917611|offset_1|444444,5917561:5917580|offset_32|444444,5917528:5917547|offset_65|444444,5917502:5917521|offset_91|00cc00&amp;v=5917391:5917721&amp;c=444444", "offset 91")</f>
        <v>offset 91</v>
      </c>
    </row>
    <row r="19258" customFormat="false" ht="12.8" hidden="false" customHeight="false" outlineLevel="0" collapsed="false">
      <c r="A19258" s="0" t="s">
        <v>12</v>
      </c>
      <c r="B19258" s="0" t="n">
        <v>5918006</v>
      </c>
      <c r="C19258" s="0" t="n">
        <v>5918026</v>
      </c>
      <c r="D19258" s="0" t="s">
        <v>64022</v>
      </c>
      <c r="E19258" s="0" t="s">
        <v>64023</v>
      </c>
      <c r="F19258" s="0" t="s">
        <v>90</v>
      </c>
      <c r="G19258" s="0" t="s">
        <v>36</v>
      </c>
      <c r="H19258" s="0" t="n">
        <v>10</v>
      </c>
      <c r="I19258" s="0" t="s">
        <v>64024</v>
      </c>
      <c r="J19258" s="0" t="s">
        <v>64025</v>
      </c>
      <c r="K19258" s="0" t="s">
        <v>64026</v>
      </c>
      <c r="L19258" s="0" t="str">
        <f aca="false">HYPERLINK("https://www.ncbi.nlm.nih.gov/nuccore/CP000058.1?report=graph&amp;tracks=[key:gene_model_track,Options:GeneOnly]&amp;mk=5918007:5918026|offset_10|00cc00,5917987:5918006|offset_30|444444,5917963:5917982|offset_54|444444,5917926:5917945|offset_91|444444&amp;v=5917806:5918145&amp;c=444444", "offset 10")</f>
        <v>offset 10</v>
      </c>
    </row>
    <row r="19259" customFormat="false" ht="12.8" hidden="false" customHeight="false" outlineLevel="0" collapsed="false">
      <c r="A19259" s="0" t="s">
        <v>12</v>
      </c>
      <c r="B19259" s="0" t="n">
        <v>5917986</v>
      </c>
      <c r="C19259" s="0" t="n">
        <v>5918006</v>
      </c>
      <c r="D19259" s="0" t="s">
        <v>64022</v>
      </c>
      <c r="E19259" s="0" t="s">
        <v>64023</v>
      </c>
      <c r="F19259" s="0" t="s">
        <v>90</v>
      </c>
      <c r="G19259" s="0" t="s">
        <v>16</v>
      </c>
      <c r="H19259" s="0" t="n">
        <v>30</v>
      </c>
      <c r="I19259" s="0" t="s">
        <v>64027</v>
      </c>
      <c r="J19259" s="0" t="s">
        <v>64028</v>
      </c>
      <c r="K19259" s="0" t="s">
        <v>64029</v>
      </c>
      <c r="L19259" s="0" t="str">
        <f aca="false">HYPERLINK("https://www.ncbi.nlm.nih.gov/nuccore/CP000058.1?report=graph&amp;tracks=[key:gene_model_track,Options:GeneOnly]&amp;mk=5918007:5918026|offset_10|444444,5917987:5918006|offset_30|00cc00,5917963:5917982|offset_54|444444,5917926:5917945|offset_91|444444&amp;v=5917806:5918145&amp;c=444444", "offset 30")</f>
        <v>offset 30</v>
      </c>
    </row>
    <row r="19260" customFormat="false" ht="12.8" hidden="false" customHeight="false" outlineLevel="0" collapsed="false">
      <c r="A19260" s="0" t="s">
        <v>12</v>
      </c>
      <c r="B19260" s="0" t="n">
        <v>5917962</v>
      </c>
      <c r="C19260" s="0" t="n">
        <v>5917982</v>
      </c>
      <c r="D19260" s="0" t="s">
        <v>64022</v>
      </c>
      <c r="E19260" s="0" t="s">
        <v>64023</v>
      </c>
      <c r="F19260" s="0" t="s">
        <v>90</v>
      </c>
      <c r="G19260" s="0" t="s">
        <v>16</v>
      </c>
      <c r="H19260" s="0" t="n">
        <v>54</v>
      </c>
      <c r="I19260" s="0" t="s">
        <v>64030</v>
      </c>
      <c r="J19260" s="0" t="s">
        <v>64031</v>
      </c>
      <c r="K19260" s="0" t="s">
        <v>64032</v>
      </c>
      <c r="L19260" s="0" t="str">
        <f aca="false">HYPERLINK("https://www.ncbi.nlm.nih.gov/nuccore/CP000058.1?report=graph&amp;tracks=[key:gene_model_track,Options:GeneOnly]&amp;mk=5918007:5918026|offset_10|444444,5917987:5918006|offset_30|444444,5917963:5917982|offset_54|00cc00,5917926:5917945|offset_91|444444&amp;v=5917806:5918145&amp;c=444444", "offset 54")</f>
        <v>offset 54</v>
      </c>
    </row>
    <row r="19261" customFormat="false" ht="12.8" hidden="false" customHeight="false" outlineLevel="0" collapsed="false">
      <c r="A19261" s="0" t="s">
        <v>12</v>
      </c>
      <c r="B19261" s="0" t="n">
        <v>5917925</v>
      </c>
      <c r="C19261" s="0" t="n">
        <v>5917945</v>
      </c>
      <c r="D19261" s="0" t="s">
        <v>64022</v>
      </c>
      <c r="E19261" s="0" t="s">
        <v>64023</v>
      </c>
      <c r="F19261" s="0" t="s">
        <v>90</v>
      </c>
      <c r="G19261" s="0" t="s">
        <v>16</v>
      </c>
      <c r="H19261" s="0" t="n">
        <v>91</v>
      </c>
      <c r="I19261" s="0" t="s">
        <v>64033</v>
      </c>
      <c r="J19261" s="0" t="s">
        <v>64034</v>
      </c>
      <c r="K19261" s="0" t="s">
        <v>64035</v>
      </c>
      <c r="L19261" s="0" t="str">
        <f aca="false">HYPERLINK("https://www.ncbi.nlm.nih.gov/nuccore/CP000058.1?report=graph&amp;tracks=[key:gene_model_track,Options:GeneOnly]&amp;mk=5918007:5918026|offset_10|444444,5917987:5918006|offset_30|444444,5917963:5917982|offset_54|444444,5917926:5917945|offset_91|00cc00&amp;v=5917806:5918145&amp;c=444444", "offset 91")</f>
        <v>offset 91</v>
      </c>
    </row>
    <row r="19262" customFormat="false" ht="12.8" hidden="false" customHeight="false" outlineLevel="0" collapsed="false">
      <c r="A19262" s="0" t="s">
        <v>12</v>
      </c>
      <c r="B19262" s="0" t="n">
        <v>5919035</v>
      </c>
      <c r="C19262" s="0" t="n">
        <v>5919055</v>
      </c>
      <c r="D19262" s="0" t="s">
        <v>64036</v>
      </c>
      <c r="E19262" s="0" t="s">
        <v>64037</v>
      </c>
      <c r="F19262" s="0" t="s">
        <v>90</v>
      </c>
      <c r="G19262" s="0" t="s">
        <v>36</v>
      </c>
      <c r="H19262" s="0" t="n">
        <v>0</v>
      </c>
      <c r="I19262" s="0" t="s">
        <v>64038</v>
      </c>
      <c r="J19262" s="0" t="s">
        <v>64039</v>
      </c>
      <c r="K19262" s="0" t="s">
        <v>64040</v>
      </c>
      <c r="L19262" s="0" t="str">
        <f aca="false">HYPERLINK("https://www.ncbi.nlm.nih.gov/nuccore/CP000058.1?report=graph&amp;tracks=[key:gene_model_track,Options:GeneOnly]&amp;mk=5919036:5919055|offset_0|00cc00,5918979:5918998|offset_57|444444,5918951:5918970|offset_85|444444,5918916:5918935|offset_120|444444&amp;v=5918835:5919135&amp;c=444444", "offset 0")</f>
        <v>offset 0</v>
      </c>
    </row>
    <row r="19263" customFormat="false" ht="12.8" hidden="false" customHeight="false" outlineLevel="0" collapsed="false">
      <c r="A19263" s="0" t="s">
        <v>12</v>
      </c>
      <c r="B19263" s="0" t="n">
        <v>5918978</v>
      </c>
      <c r="C19263" s="0" t="n">
        <v>5918998</v>
      </c>
      <c r="D19263" s="0" t="s">
        <v>64036</v>
      </c>
      <c r="E19263" s="0" t="s">
        <v>64037</v>
      </c>
      <c r="F19263" s="0" t="s">
        <v>90</v>
      </c>
      <c r="G19263" s="0" t="s">
        <v>32</v>
      </c>
      <c r="H19263" s="0" t="n">
        <v>57</v>
      </c>
      <c r="I19263" s="0" t="s">
        <v>64041</v>
      </c>
      <c r="J19263" s="0" t="s">
        <v>64042</v>
      </c>
      <c r="K19263" s="0" t="s">
        <v>64043</v>
      </c>
      <c r="L19263" s="0" t="str">
        <f aca="false">HYPERLINK("https://www.ncbi.nlm.nih.gov/nuccore/CP000058.1?report=graph&amp;tracks=[key:gene_model_track,Options:GeneOnly]&amp;mk=5919036:5919055|offset_0|444444,5918979:5918998|offset_57|00cc00,5918951:5918970|offset_85|444444,5918916:5918935|offset_120|444444&amp;v=5918835:5919135&amp;c=444444", "offset 57")</f>
        <v>offset 57</v>
      </c>
    </row>
    <row r="19264" customFormat="false" ht="12.8" hidden="false" customHeight="false" outlineLevel="0" collapsed="false">
      <c r="A19264" s="0" t="s">
        <v>12</v>
      </c>
      <c r="B19264" s="0" t="n">
        <v>5918950</v>
      </c>
      <c r="C19264" s="0" t="n">
        <v>5918970</v>
      </c>
      <c r="D19264" s="0" t="s">
        <v>64036</v>
      </c>
      <c r="E19264" s="0" t="s">
        <v>64037</v>
      </c>
      <c r="F19264" s="0" t="s">
        <v>90</v>
      </c>
      <c r="G19264" s="0" t="s">
        <v>16</v>
      </c>
      <c r="H19264" s="0" t="n">
        <v>85</v>
      </c>
      <c r="I19264" s="0" t="s">
        <v>64044</v>
      </c>
      <c r="J19264" s="0" t="s">
        <v>64045</v>
      </c>
      <c r="K19264" s="0" t="s">
        <v>64046</v>
      </c>
      <c r="L19264" s="0" t="str">
        <f aca="false">HYPERLINK("https://www.ncbi.nlm.nih.gov/nuccore/CP000058.1?report=graph&amp;tracks=[key:gene_model_track,Options:GeneOnly]&amp;mk=5919036:5919055|offset_0|444444,5918979:5918998|offset_57|444444,5918951:5918970|offset_85|00cc00,5918916:5918935|offset_120|444444&amp;v=5918835:5919135&amp;c=444444", "offset 85")</f>
        <v>offset 85</v>
      </c>
    </row>
    <row r="19265" customFormat="false" ht="12.8" hidden="false" customHeight="false" outlineLevel="0" collapsed="false">
      <c r="A19265" s="0" t="s">
        <v>12</v>
      </c>
      <c r="B19265" s="0" t="n">
        <v>5918915</v>
      </c>
      <c r="C19265" s="0" t="n">
        <v>5918935</v>
      </c>
      <c r="D19265" s="0" t="s">
        <v>64036</v>
      </c>
      <c r="E19265" s="0" t="s">
        <v>64037</v>
      </c>
      <c r="F19265" s="0" t="s">
        <v>90</v>
      </c>
      <c r="G19265" s="0" t="s">
        <v>16</v>
      </c>
      <c r="H19265" s="0" t="n">
        <v>120</v>
      </c>
      <c r="I19265" s="0" t="s">
        <v>64047</v>
      </c>
      <c r="J19265" s="0" t="s">
        <v>64048</v>
      </c>
      <c r="K19265" s="0" t="s">
        <v>64049</v>
      </c>
      <c r="L19265" s="0" t="str">
        <f aca="false">HYPERLINK("https://www.ncbi.nlm.nih.gov/nuccore/CP000058.1?report=graph&amp;tracks=[key:gene_model_track,Options:GeneOnly]&amp;mk=5919036:5919055|offset_0|444444,5918979:5918998|offset_57|444444,5918951:5918970|offset_85|444444,5918916:5918935|offset_120|00cc00&amp;v=5918835:5919135&amp;c=444444", "offset 120")</f>
        <v>offset 120</v>
      </c>
    </row>
    <row r="19266" customFormat="false" ht="12.8" hidden="false" customHeight="false" outlineLevel="0" collapsed="false">
      <c r="A19266" s="0" t="s">
        <v>12</v>
      </c>
      <c r="B19266" s="0" t="n">
        <v>5919784</v>
      </c>
      <c r="C19266" s="0" t="n">
        <v>5919804</v>
      </c>
      <c r="D19266" s="0" t="s">
        <v>64050</v>
      </c>
      <c r="E19266" s="0" t="s">
        <v>64051</v>
      </c>
      <c r="F19266" s="0" t="s">
        <v>90</v>
      </c>
      <c r="G19266" s="0" t="s">
        <v>32</v>
      </c>
      <c r="H19266" s="0" t="n">
        <v>52</v>
      </c>
      <c r="I19266" s="0" t="s">
        <v>64052</v>
      </c>
      <c r="J19266" s="0" t="s">
        <v>64053</v>
      </c>
      <c r="K19266" s="0" t="s">
        <v>64054</v>
      </c>
      <c r="L19266" s="0" t="str">
        <f aca="false">HYPERLINK("https://www.ncbi.nlm.nih.gov/nuccore/CP000058.1?report=graph&amp;tracks=[key:gene_model_track,Options:GeneOnly]&amp;mk=5919785:5919804|offset_52|00cc00,5919746:5919765|offset_91|444444,5919714:5919733|offset_123|444444,5919649:5919668|offset_188|444444&amp;v=5919584:5919868&amp;c=444444", "offset 52")</f>
        <v>offset 52</v>
      </c>
    </row>
    <row r="19267" customFormat="false" ht="12.8" hidden="false" customHeight="false" outlineLevel="0" collapsed="false">
      <c r="A19267" s="0" t="s">
        <v>12</v>
      </c>
      <c r="B19267" s="0" t="n">
        <v>5919745</v>
      </c>
      <c r="C19267" s="0" t="n">
        <v>5919765</v>
      </c>
      <c r="D19267" s="0" t="s">
        <v>64050</v>
      </c>
      <c r="E19267" s="0" t="s">
        <v>64051</v>
      </c>
      <c r="F19267" s="0" t="s">
        <v>90</v>
      </c>
      <c r="G19267" s="0" t="s">
        <v>32</v>
      </c>
      <c r="H19267" s="0" t="n">
        <v>91</v>
      </c>
      <c r="I19267" s="0" t="s">
        <v>64055</v>
      </c>
      <c r="J19267" s="0" t="s">
        <v>64056</v>
      </c>
      <c r="K19267" s="0" t="s">
        <v>64057</v>
      </c>
      <c r="L19267" s="0" t="str">
        <f aca="false">HYPERLINK("https://www.ncbi.nlm.nih.gov/nuccore/CP000058.1?report=graph&amp;tracks=[key:gene_model_track,Options:GeneOnly]&amp;mk=5919785:5919804|offset_52|444444,5919746:5919765|offset_91|00cc00,5919714:5919733|offset_123|444444,5919649:5919668|offset_188|444444&amp;v=5919584:5919868&amp;c=444444", "offset 91")</f>
        <v>offset 91</v>
      </c>
    </row>
    <row r="19268" customFormat="false" ht="12.8" hidden="false" customHeight="false" outlineLevel="0" collapsed="false">
      <c r="A19268" s="0" t="s">
        <v>12</v>
      </c>
      <c r="B19268" s="0" t="n">
        <v>5919713</v>
      </c>
      <c r="C19268" s="0" t="n">
        <v>5919733</v>
      </c>
      <c r="D19268" s="0" t="s">
        <v>64050</v>
      </c>
      <c r="E19268" s="0" t="s">
        <v>64051</v>
      </c>
      <c r="F19268" s="0" t="s">
        <v>90</v>
      </c>
      <c r="G19268" s="0" t="s">
        <v>36</v>
      </c>
      <c r="H19268" s="0" t="n">
        <v>123</v>
      </c>
      <c r="I19268" s="0" t="s">
        <v>64058</v>
      </c>
      <c r="J19268" s="0" t="s">
        <v>64059</v>
      </c>
      <c r="K19268" s="0" t="s">
        <v>64060</v>
      </c>
      <c r="L19268" s="0" t="str">
        <f aca="false">HYPERLINK("https://www.ncbi.nlm.nih.gov/nuccore/CP000058.1?report=graph&amp;tracks=[key:gene_model_track,Options:GeneOnly]&amp;mk=5919785:5919804|offset_52|444444,5919746:5919765|offset_91|444444,5919714:5919733|offset_123|00cc00,5919649:5919668|offset_188|444444&amp;v=5919584:5919868&amp;c=444444", "offset 123")</f>
        <v>offset 123</v>
      </c>
    </row>
    <row r="19269" customFormat="false" ht="12.8" hidden="false" customHeight="false" outlineLevel="0" collapsed="false">
      <c r="A19269" s="0" t="s">
        <v>12</v>
      </c>
      <c r="B19269" s="0" t="n">
        <v>5919648</v>
      </c>
      <c r="C19269" s="0" t="n">
        <v>5919668</v>
      </c>
      <c r="D19269" s="0" t="s">
        <v>64050</v>
      </c>
      <c r="E19269" s="0" t="s">
        <v>64051</v>
      </c>
      <c r="F19269" s="0" t="s">
        <v>90</v>
      </c>
      <c r="G19269" s="0" t="s">
        <v>20</v>
      </c>
      <c r="H19269" s="0" t="n">
        <v>188</v>
      </c>
      <c r="I19269" s="0" t="s">
        <v>64061</v>
      </c>
      <c r="J19269" s="0" t="s">
        <v>64062</v>
      </c>
      <c r="K19269" s="0" t="s">
        <v>64063</v>
      </c>
      <c r="L19269" s="0" t="str">
        <f aca="false">HYPERLINK("https://www.ncbi.nlm.nih.gov/nuccore/CP000058.1?report=graph&amp;tracks=[key:gene_model_track,Options:GeneOnly]&amp;mk=5919785:5919804|offset_52|444444,5919746:5919765|offset_91|444444,5919714:5919733|offset_123|444444,5919649:5919668|offset_188|00cc00&amp;v=5919584:5919868&amp;c=444444", "offset 188")</f>
        <v>offset 188</v>
      </c>
    </row>
    <row r="19270" customFormat="false" ht="12.8" hidden="false" customHeight="false" outlineLevel="0" collapsed="false">
      <c r="A19270" s="0" t="s">
        <v>12</v>
      </c>
      <c r="B19270" s="0" t="n">
        <v>5920480</v>
      </c>
      <c r="C19270" s="0" t="n">
        <v>5920500</v>
      </c>
      <c r="D19270" s="0" t="s">
        <v>64064</v>
      </c>
      <c r="E19270" s="0" t="s">
        <v>64065</v>
      </c>
      <c r="F19270" s="0" t="s">
        <v>90</v>
      </c>
      <c r="G19270" s="0" t="s">
        <v>36</v>
      </c>
      <c r="H19270" s="0" t="n">
        <v>10</v>
      </c>
      <c r="I19270" s="0" t="s">
        <v>64066</v>
      </c>
      <c r="J19270" s="0" t="s">
        <v>64067</v>
      </c>
      <c r="K19270" s="0" t="s">
        <v>64068</v>
      </c>
      <c r="L19270" s="0" t="str">
        <f aca="false">HYPERLINK("https://www.ncbi.nlm.nih.gov/nuccore/CP000058.1?report=graph&amp;tracks=[key:gene_model_track,Options:GeneOnly]&amp;mk=5920481:5920500|offset_10|00cc00,5920457:5920476|offset_34|444444,5920429:5920448|offset_62|444444,5920364:5920383|offset_127|444444&amp;v=5920280:5920583&amp;c=444444", "offset 10")</f>
        <v>offset 10</v>
      </c>
    </row>
    <row r="19271" customFormat="false" ht="12.8" hidden="false" customHeight="false" outlineLevel="0" collapsed="false">
      <c r="A19271" s="0" t="s">
        <v>12</v>
      </c>
      <c r="B19271" s="0" t="n">
        <v>5920456</v>
      </c>
      <c r="C19271" s="0" t="n">
        <v>5920476</v>
      </c>
      <c r="D19271" s="0" t="s">
        <v>64064</v>
      </c>
      <c r="E19271" s="0" t="s">
        <v>64065</v>
      </c>
      <c r="F19271" s="0" t="s">
        <v>90</v>
      </c>
      <c r="G19271" s="0" t="s">
        <v>32</v>
      </c>
      <c r="H19271" s="0" t="n">
        <v>34</v>
      </c>
      <c r="I19271" s="0" t="s">
        <v>64069</v>
      </c>
      <c r="J19271" s="0" t="s">
        <v>64070</v>
      </c>
      <c r="K19271" s="0" t="s">
        <v>64071</v>
      </c>
      <c r="L19271" s="0" t="str">
        <f aca="false">HYPERLINK("https://www.ncbi.nlm.nih.gov/nuccore/CP000058.1?report=graph&amp;tracks=[key:gene_model_track,Options:GeneOnly]&amp;mk=5920481:5920500|offset_10|444444,5920457:5920476|offset_34|00cc00,5920429:5920448|offset_62|444444,5920364:5920383|offset_127|444444&amp;v=5920280:5920583&amp;c=444444", "offset 34")</f>
        <v>offset 34</v>
      </c>
    </row>
    <row r="19272" customFormat="false" ht="12.8" hidden="false" customHeight="false" outlineLevel="0" collapsed="false">
      <c r="A19272" s="0" t="s">
        <v>12</v>
      </c>
      <c r="B19272" s="0" t="n">
        <v>5920428</v>
      </c>
      <c r="C19272" s="0" t="n">
        <v>5920448</v>
      </c>
      <c r="D19272" s="0" t="s">
        <v>64064</v>
      </c>
      <c r="E19272" s="0" t="s">
        <v>64065</v>
      </c>
      <c r="F19272" s="0" t="s">
        <v>90</v>
      </c>
      <c r="G19272" s="0" t="s">
        <v>20</v>
      </c>
      <c r="H19272" s="0" t="n">
        <v>62</v>
      </c>
      <c r="I19272" s="0" t="s">
        <v>64072</v>
      </c>
      <c r="J19272" s="0" t="s">
        <v>64073</v>
      </c>
      <c r="K19272" s="0" t="s">
        <v>64074</v>
      </c>
      <c r="L19272" s="0" t="str">
        <f aca="false">HYPERLINK("https://www.ncbi.nlm.nih.gov/nuccore/CP000058.1?report=graph&amp;tracks=[key:gene_model_track,Options:GeneOnly]&amp;mk=5920481:5920500|offset_10|444444,5920457:5920476|offset_34|444444,5920429:5920448|offset_62|00cc00,5920364:5920383|offset_127|444444&amp;v=5920280:5920583&amp;c=444444", "offset 62")</f>
        <v>offset 62</v>
      </c>
    </row>
    <row r="19273" customFormat="false" ht="12.8" hidden="false" customHeight="false" outlineLevel="0" collapsed="false">
      <c r="A19273" s="0" t="s">
        <v>12</v>
      </c>
      <c r="B19273" s="0" t="n">
        <v>5920363</v>
      </c>
      <c r="C19273" s="0" t="n">
        <v>5920383</v>
      </c>
      <c r="D19273" s="0" t="s">
        <v>64064</v>
      </c>
      <c r="E19273" s="0" t="s">
        <v>64065</v>
      </c>
      <c r="F19273" s="0" t="s">
        <v>90</v>
      </c>
      <c r="G19273" s="0" t="s">
        <v>20</v>
      </c>
      <c r="H19273" s="0" t="n">
        <v>127</v>
      </c>
      <c r="I19273" s="0" t="s">
        <v>64075</v>
      </c>
      <c r="J19273" s="0" t="s">
        <v>64076</v>
      </c>
      <c r="K19273" s="0" t="s">
        <v>64077</v>
      </c>
      <c r="L19273" s="0" t="str">
        <f aca="false">HYPERLINK("https://www.ncbi.nlm.nih.gov/nuccore/CP000058.1?report=graph&amp;tracks=[key:gene_model_track,Options:GeneOnly]&amp;mk=5920481:5920500|offset_10|444444,5920457:5920476|offset_34|444444,5920429:5920448|offset_62|444444,5920364:5920383|offset_127|00cc00&amp;v=5920280:5920583&amp;c=444444", "offset 127")</f>
        <v>offset 127</v>
      </c>
    </row>
    <row r="19274" customFormat="false" ht="12.8" hidden="false" customHeight="false" outlineLevel="0" collapsed="false">
      <c r="A19274" s="0" t="s">
        <v>12</v>
      </c>
      <c r="B19274" s="0" t="n">
        <v>5922377</v>
      </c>
      <c r="C19274" s="0" t="n">
        <v>5922397</v>
      </c>
      <c r="D19274" s="0" t="s">
        <v>64078</v>
      </c>
      <c r="E19274" s="0" t="s">
        <v>64079</v>
      </c>
      <c r="F19274" s="0" t="s">
        <v>90</v>
      </c>
      <c r="G19274" s="0" t="s">
        <v>36</v>
      </c>
      <c r="H19274" s="0" t="n">
        <v>11</v>
      </c>
      <c r="I19274" s="0" t="s">
        <v>64080</v>
      </c>
      <c r="J19274" s="0" t="s">
        <v>64081</v>
      </c>
      <c r="K19274" s="0" t="s">
        <v>64082</v>
      </c>
      <c r="L19274" s="0" t="str">
        <f aca="false">HYPERLINK("https://www.ncbi.nlm.nih.gov/nuccore/CP000058.1?report=graph&amp;tracks=[key:gene_model_track,Options:GeneOnly]&amp;mk=5922378:5922397|offset_11|00cc00,5922337:5922356|offset_52|444444,5922292:5922311|offset_97|444444,5922258:5922277|offset_131|444444&amp;v=5922177:5922477&amp;c=444444", "offset 11")</f>
        <v>offset 11</v>
      </c>
    </row>
    <row r="19275" customFormat="false" ht="12.8" hidden="false" customHeight="false" outlineLevel="0" collapsed="false">
      <c r="A19275" s="0" t="s">
        <v>12</v>
      </c>
      <c r="B19275" s="0" t="n">
        <v>5922336</v>
      </c>
      <c r="C19275" s="0" t="n">
        <v>5922356</v>
      </c>
      <c r="D19275" s="0" t="s">
        <v>64078</v>
      </c>
      <c r="E19275" s="0" t="s">
        <v>64079</v>
      </c>
      <c r="F19275" s="0" t="s">
        <v>90</v>
      </c>
      <c r="G19275" s="0" t="s">
        <v>16</v>
      </c>
      <c r="H19275" s="0" t="n">
        <v>52</v>
      </c>
      <c r="I19275" s="0" t="s">
        <v>64083</v>
      </c>
      <c r="J19275" s="0" t="s">
        <v>64084</v>
      </c>
      <c r="K19275" s="0" t="s">
        <v>64085</v>
      </c>
      <c r="L19275" s="0" t="str">
        <f aca="false">HYPERLINK("https://www.ncbi.nlm.nih.gov/nuccore/CP000058.1?report=graph&amp;tracks=[key:gene_model_track,Options:GeneOnly]&amp;mk=5922378:5922397|offset_11|444444,5922337:5922356|offset_52|00cc00,5922292:5922311|offset_97|444444,5922258:5922277|offset_131|444444&amp;v=5922177:5922477&amp;c=444444", "offset 52")</f>
        <v>offset 52</v>
      </c>
    </row>
    <row r="19276" customFormat="false" ht="12.8" hidden="false" customHeight="false" outlineLevel="0" collapsed="false">
      <c r="A19276" s="0" t="s">
        <v>12</v>
      </c>
      <c r="B19276" s="0" t="n">
        <v>5922291</v>
      </c>
      <c r="C19276" s="0" t="n">
        <v>5922311</v>
      </c>
      <c r="D19276" s="0" t="s">
        <v>64078</v>
      </c>
      <c r="E19276" s="0" t="s">
        <v>64079</v>
      </c>
      <c r="F19276" s="0" t="s">
        <v>90</v>
      </c>
      <c r="G19276" s="0" t="s">
        <v>36</v>
      </c>
      <c r="H19276" s="0" t="n">
        <v>97</v>
      </c>
      <c r="I19276" s="0" t="s">
        <v>64086</v>
      </c>
      <c r="J19276" s="0" t="s">
        <v>64087</v>
      </c>
      <c r="K19276" s="0" t="s">
        <v>64088</v>
      </c>
      <c r="L19276" s="0" t="str">
        <f aca="false">HYPERLINK("https://www.ncbi.nlm.nih.gov/nuccore/CP000058.1?report=graph&amp;tracks=[key:gene_model_track,Options:GeneOnly]&amp;mk=5922378:5922397|offset_11|444444,5922337:5922356|offset_52|444444,5922292:5922311|offset_97|00cc00,5922258:5922277|offset_131|444444&amp;v=5922177:5922477&amp;c=444444", "offset 97")</f>
        <v>offset 97</v>
      </c>
    </row>
    <row r="19277" customFormat="false" ht="12.8" hidden="false" customHeight="false" outlineLevel="0" collapsed="false">
      <c r="A19277" s="0" t="s">
        <v>12</v>
      </c>
      <c r="B19277" s="0" t="n">
        <v>5922257</v>
      </c>
      <c r="C19277" s="0" t="n">
        <v>5922277</v>
      </c>
      <c r="D19277" s="0" t="s">
        <v>64078</v>
      </c>
      <c r="E19277" s="0" t="s">
        <v>64079</v>
      </c>
      <c r="F19277" s="0" t="s">
        <v>90</v>
      </c>
      <c r="G19277" s="0" t="s">
        <v>32</v>
      </c>
      <c r="H19277" s="0" t="n">
        <v>131</v>
      </c>
      <c r="I19277" s="0" t="s">
        <v>64089</v>
      </c>
      <c r="J19277" s="0" t="s">
        <v>64090</v>
      </c>
      <c r="K19277" s="0" t="s">
        <v>64091</v>
      </c>
      <c r="L19277" s="0" t="str">
        <f aca="false">HYPERLINK("https://www.ncbi.nlm.nih.gov/nuccore/CP000058.1?report=graph&amp;tracks=[key:gene_model_track,Options:GeneOnly]&amp;mk=5922378:5922397|offset_11|444444,5922337:5922356|offset_52|444444,5922292:5922311|offset_97|444444,5922258:5922277|offset_131|00cc00&amp;v=5922177:5922477&amp;c=444444", "offset 131")</f>
        <v>offset 131</v>
      </c>
    </row>
    <row r="19278" customFormat="false" ht="12.8" hidden="false" customHeight="false" outlineLevel="0" collapsed="false">
      <c r="A19278" s="0" t="s">
        <v>12</v>
      </c>
      <c r="B19278" s="0" t="n">
        <v>5924334</v>
      </c>
      <c r="C19278" s="0" t="n">
        <v>5924354</v>
      </c>
      <c r="D19278" s="0" t="s">
        <v>64092</v>
      </c>
      <c r="E19278" s="0" t="s">
        <v>64093</v>
      </c>
      <c r="F19278" s="0" t="s">
        <v>90</v>
      </c>
      <c r="G19278" s="0" t="s">
        <v>20</v>
      </c>
      <c r="H19278" s="0" t="n">
        <v>12</v>
      </c>
      <c r="I19278" s="0" t="s">
        <v>64094</v>
      </c>
      <c r="J19278" s="0" t="s">
        <v>64095</v>
      </c>
      <c r="K19278" s="0" t="s">
        <v>64096</v>
      </c>
      <c r="L19278" s="0" t="str">
        <f aca="false">HYPERLINK("https://www.ncbi.nlm.nih.gov/nuccore/CP000058.1?report=graph&amp;tracks=[key:gene_model_track,Options:GeneOnly]&amp;mk=5924335:5924354|offset_12|00cc00,5924310:5924329|offset_37|444444,5924263:5924282|offset_84|444444,5924238:5924257|offset_109|444444&amp;v=5924134:5924457&amp;c=444444", "offset 12")</f>
        <v>offset 12</v>
      </c>
    </row>
    <row r="19279" customFormat="false" ht="12.8" hidden="false" customHeight="false" outlineLevel="0" collapsed="false">
      <c r="A19279" s="0" t="s">
        <v>12</v>
      </c>
      <c r="B19279" s="0" t="n">
        <v>5924309</v>
      </c>
      <c r="C19279" s="0" t="n">
        <v>5924329</v>
      </c>
      <c r="D19279" s="0" t="s">
        <v>64092</v>
      </c>
      <c r="E19279" s="0" t="s">
        <v>64093</v>
      </c>
      <c r="F19279" s="0" t="s">
        <v>90</v>
      </c>
      <c r="G19279" s="0" t="s">
        <v>32</v>
      </c>
      <c r="H19279" s="0" t="n">
        <v>37</v>
      </c>
      <c r="I19279" s="0" t="s">
        <v>64097</v>
      </c>
      <c r="J19279" s="0" t="s">
        <v>64098</v>
      </c>
      <c r="K19279" s="0" t="s">
        <v>64099</v>
      </c>
      <c r="L19279" s="0" t="str">
        <f aca="false">HYPERLINK("https://www.ncbi.nlm.nih.gov/nuccore/CP000058.1?report=graph&amp;tracks=[key:gene_model_track,Options:GeneOnly]&amp;mk=5924335:5924354|offset_12|444444,5924310:5924329|offset_37|00cc00,5924263:5924282|offset_84|444444,5924238:5924257|offset_109|444444&amp;v=5924134:5924457&amp;c=444444", "offset 37")</f>
        <v>offset 37</v>
      </c>
    </row>
    <row r="19280" customFormat="false" ht="12.8" hidden="false" customHeight="false" outlineLevel="0" collapsed="false">
      <c r="A19280" s="0" t="s">
        <v>12</v>
      </c>
      <c r="B19280" s="0" t="n">
        <v>5924262</v>
      </c>
      <c r="C19280" s="0" t="n">
        <v>5924282</v>
      </c>
      <c r="D19280" s="0" t="s">
        <v>64092</v>
      </c>
      <c r="E19280" s="0" t="s">
        <v>64093</v>
      </c>
      <c r="F19280" s="0" t="s">
        <v>90</v>
      </c>
      <c r="G19280" s="0" t="s">
        <v>20</v>
      </c>
      <c r="H19280" s="0" t="n">
        <v>84</v>
      </c>
      <c r="I19280" s="0" t="s">
        <v>64100</v>
      </c>
      <c r="J19280" s="0" t="s">
        <v>64101</v>
      </c>
      <c r="K19280" s="0" t="s">
        <v>64102</v>
      </c>
      <c r="L19280" s="0" t="str">
        <f aca="false">HYPERLINK("https://www.ncbi.nlm.nih.gov/nuccore/CP000058.1?report=graph&amp;tracks=[key:gene_model_track,Options:GeneOnly]&amp;mk=5924335:5924354|offset_12|444444,5924310:5924329|offset_37|444444,5924263:5924282|offset_84|00cc00,5924238:5924257|offset_109|444444&amp;v=5924134:5924457&amp;c=444444", "offset 84")</f>
        <v>offset 84</v>
      </c>
    </row>
    <row r="19281" customFormat="false" ht="12.8" hidden="false" customHeight="false" outlineLevel="0" collapsed="false">
      <c r="A19281" s="0" t="s">
        <v>12</v>
      </c>
      <c r="B19281" s="0" t="n">
        <v>5924237</v>
      </c>
      <c r="C19281" s="0" t="n">
        <v>5924257</v>
      </c>
      <c r="D19281" s="0" t="s">
        <v>64092</v>
      </c>
      <c r="E19281" s="0" t="s">
        <v>64093</v>
      </c>
      <c r="F19281" s="0" t="s">
        <v>90</v>
      </c>
      <c r="G19281" s="0" t="s">
        <v>32</v>
      </c>
      <c r="H19281" s="0" t="n">
        <v>109</v>
      </c>
      <c r="I19281" s="0" t="s">
        <v>64103</v>
      </c>
      <c r="J19281" s="0" t="s">
        <v>64104</v>
      </c>
      <c r="K19281" s="0" t="s">
        <v>64105</v>
      </c>
      <c r="L19281" s="0" t="str">
        <f aca="false">HYPERLINK("https://www.ncbi.nlm.nih.gov/nuccore/CP000058.1?report=graph&amp;tracks=[key:gene_model_track,Options:GeneOnly]&amp;mk=5924335:5924354|offset_12|444444,5924310:5924329|offset_37|444444,5924263:5924282|offset_84|444444,5924238:5924257|offset_109|00cc00&amp;v=5924134:5924457&amp;c=444444", "offset 109")</f>
        <v>offset 109</v>
      </c>
    </row>
    <row r="19282" customFormat="false" ht="12.8" hidden="false" customHeight="false" outlineLevel="0" collapsed="false">
      <c r="A19282" s="0" t="s">
        <v>12</v>
      </c>
      <c r="B19282" s="0" t="n">
        <v>5926093</v>
      </c>
      <c r="C19282" s="0" t="n">
        <v>5926113</v>
      </c>
      <c r="D19282" s="0" t="s">
        <v>64106</v>
      </c>
      <c r="E19282" s="0" t="s">
        <v>75</v>
      </c>
      <c r="F19282" s="0" t="s">
        <v>90</v>
      </c>
      <c r="G19282" s="0" t="s">
        <v>20</v>
      </c>
      <c r="H19282" s="0" t="n">
        <v>23</v>
      </c>
      <c r="I19282" s="0" t="s">
        <v>64107</v>
      </c>
      <c r="J19282" s="0" t="s">
        <v>64108</v>
      </c>
      <c r="K19282" s="0" t="s">
        <v>64109</v>
      </c>
      <c r="L19282" s="0" t="str">
        <f aca="false">HYPERLINK("https://www.ncbi.nlm.nih.gov/nuccore/CP000058.1?report=graph&amp;tracks=[key:gene_model_track,Options:GeneOnly]&amp;mk=5926094:5926113|offset_23|00cc00,5926068:5926087|offset_49|444444,5926043:5926062|offset_74|444444,5926023:5926042|offset_94|444444&amp;v=5925893:5926242&amp;c=444444", "offset 23")</f>
        <v>offset 23</v>
      </c>
    </row>
    <row r="19283" customFormat="false" ht="12.8" hidden="false" customHeight="false" outlineLevel="0" collapsed="false">
      <c r="A19283" s="0" t="s">
        <v>12</v>
      </c>
      <c r="B19283" s="0" t="n">
        <v>5926067</v>
      </c>
      <c r="C19283" s="0" t="n">
        <v>5926087</v>
      </c>
      <c r="D19283" s="0" t="s">
        <v>64106</v>
      </c>
      <c r="E19283" s="0" t="s">
        <v>75</v>
      </c>
      <c r="F19283" s="0" t="s">
        <v>90</v>
      </c>
      <c r="G19283" s="0" t="s">
        <v>20</v>
      </c>
      <c r="H19283" s="0" t="n">
        <v>49</v>
      </c>
      <c r="I19283" s="0" t="s">
        <v>64110</v>
      </c>
      <c r="J19283" s="0" t="s">
        <v>64111</v>
      </c>
      <c r="K19283" s="0" t="s">
        <v>64112</v>
      </c>
      <c r="L19283" s="0" t="str">
        <f aca="false">HYPERLINK("https://www.ncbi.nlm.nih.gov/nuccore/CP000058.1?report=graph&amp;tracks=[key:gene_model_track,Options:GeneOnly]&amp;mk=5926094:5926113|offset_23|444444,5926068:5926087|offset_49|00cc00,5926043:5926062|offset_74|444444,5926023:5926042|offset_94|444444&amp;v=5925893:5926242&amp;c=444444", "offset 49")</f>
        <v>offset 49</v>
      </c>
    </row>
    <row r="19284" customFormat="false" ht="12.8" hidden="false" customHeight="false" outlineLevel="0" collapsed="false">
      <c r="A19284" s="0" t="s">
        <v>12</v>
      </c>
      <c r="B19284" s="0" t="n">
        <v>5926042</v>
      </c>
      <c r="C19284" s="0" t="n">
        <v>5926062</v>
      </c>
      <c r="D19284" s="0" t="s">
        <v>64106</v>
      </c>
      <c r="E19284" s="0" t="s">
        <v>75</v>
      </c>
      <c r="F19284" s="0" t="s">
        <v>90</v>
      </c>
      <c r="G19284" s="0" t="s">
        <v>32</v>
      </c>
      <c r="H19284" s="0" t="n">
        <v>74</v>
      </c>
      <c r="I19284" s="0" t="s">
        <v>64113</v>
      </c>
      <c r="J19284" s="0" t="s">
        <v>64114</v>
      </c>
      <c r="K19284" s="0" t="s">
        <v>64115</v>
      </c>
      <c r="L19284" s="0" t="str">
        <f aca="false">HYPERLINK("https://www.ncbi.nlm.nih.gov/nuccore/CP000058.1?report=graph&amp;tracks=[key:gene_model_track,Options:GeneOnly]&amp;mk=5926094:5926113|offset_23|444444,5926068:5926087|offset_49|444444,5926043:5926062|offset_74|00cc00,5926023:5926042|offset_94|444444&amp;v=5925893:5926242&amp;c=444444", "offset 74")</f>
        <v>offset 74</v>
      </c>
    </row>
    <row r="19285" customFormat="false" ht="12.8" hidden="false" customHeight="false" outlineLevel="0" collapsed="false">
      <c r="A19285" s="0" t="s">
        <v>12</v>
      </c>
      <c r="B19285" s="0" t="n">
        <v>5926022</v>
      </c>
      <c r="C19285" s="0" t="n">
        <v>5926042</v>
      </c>
      <c r="D19285" s="0" t="s">
        <v>64106</v>
      </c>
      <c r="E19285" s="0" t="s">
        <v>75</v>
      </c>
      <c r="F19285" s="0" t="s">
        <v>90</v>
      </c>
      <c r="G19285" s="0" t="s">
        <v>32</v>
      </c>
      <c r="H19285" s="0" t="n">
        <v>94</v>
      </c>
      <c r="I19285" s="0" t="s">
        <v>64116</v>
      </c>
      <c r="J19285" s="0" t="s">
        <v>64117</v>
      </c>
      <c r="K19285" s="0" t="s">
        <v>64118</v>
      </c>
      <c r="L19285" s="0" t="str">
        <f aca="false">HYPERLINK("https://www.ncbi.nlm.nih.gov/nuccore/CP000058.1?report=graph&amp;tracks=[key:gene_model_track,Options:GeneOnly]&amp;mk=5926094:5926113|offset_23|444444,5926068:5926087|offset_49|444444,5926043:5926062|offset_74|444444,5926023:5926042|offset_94|00cc00&amp;v=5925893:5926242&amp;c=444444", "offset 94")</f>
        <v>offset 94</v>
      </c>
    </row>
    <row r="19286" customFormat="false" ht="12.8" hidden="false" customHeight="false" outlineLevel="0" collapsed="false">
      <c r="A19286" s="0" t="s">
        <v>12</v>
      </c>
      <c r="B19286" s="0" t="n">
        <v>5926340</v>
      </c>
      <c r="C19286" s="0" t="n">
        <v>5926360</v>
      </c>
      <c r="D19286" s="0" t="s">
        <v>64119</v>
      </c>
      <c r="E19286" s="0" t="s">
        <v>75</v>
      </c>
      <c r="F19286" s="0" t="s">
        <v>90</v>
      </c>
      <c r="G19286" s="0" t="s">
        <v>16</v>
      </c>
      <c r="H19286" s="0" t="n">
        <v>24</v>
      </c>
      <c r="I19286" s="0" t="s">
        <v>64120</v>
      </c>
      <c r="J19286" s="0" t="s">
        <v>64121</v>
      </c>
      <c r="K19286" s="0" t="s">
        <v>64122</v>
      </c>
      <c r="L19286" s="0" t="str">
        <f aca="false">HYPERLINK("https://www.ncbi.nlm.nih.gov/nuccore/CP000058.1?report=graph&amp;tracks=[key:gene_model_track,Options:GeneOnly]&amp;mk=5926341:5926360|offset_24|00cc00,5926319:5926338|offset_46|444444,5926282:5926301|offset_83|444444,5926253:5926272|offset_112|444444&amp;v=5926140:5926472&amp;c=444444", "offset 24")</f>
        <v>offset 24</v>
      </c>
    </row>
    <row r="19287" customFormat="false" ht="12.8" hidden="false" customHeight="false" outlineLevel="0" collapsed="false">
      <c r="A19287" s="0" t="s">
        <v>12</v>
      </c>
      <c r="B19287" s="0" t="n">
        <v>5926318</v>
      </c>
      <c r="C19287" s="0" t="n">
        <v>5926338</v>
      </c>
      <c r="D19287" s="0" t="s">
        <v>64119</v>
      </c>
      <c r="E19287" s="0" t="s">
        <v>75</v>
      </c>
      <c r="F19287" s="0" t="s">
        <v>90</v>
      </c>
      <c r="G19287" s="0" t="s">
        <v>32</v>
      </c>
      <c r="H19287" s="0" t="n">
        <v>46</v>
      </c>
      <c r="I19287" s="0" t="s">
        <v>64123</v>
      </c>
      <c r="J19287" s="0" t="s">
        <v>64124</v>
      </c>
      <c r="K19287" s="0" t="s">
        <v>64125</v>
      </c>
      <c r="L19287" s="0" t="str">
        <f aca="false">HYPERLINK("https://www.ncbi.nlm.nih.gov/nuccore/CP000058.1?report=graph&amp;tracks=[key:gene_model_track,Options:GeneOnly]&amp;mk=5926341:5926360|offset_24|444444,5926319:5926338|offset_46|00cc00,5926282:5926301|offset_83|444444,5926253:5926272|offset_112|444444&amp;v=5926140:5926472&amp;c=444444", "offset 46")</f>
        <v>offset 46</v>
      </c>
    </row>
    <row r="19288" customFormat="false" ht="12.8" hidden="false" customHeight="false" outlineLevel="0" collapsed="false">
      <c r="A19288" s="0" t="s">
        <v>12</v>
      </c>
      <c r="B19288" s="0" t="n">
        <v>5926281</v>
      </c>
      <c r="C19288" s="0" t="n">
        <v>5926301</v>
      </c>
      <c r="D19288" s="0" t="s">
        <v>64119</v>
      </c>
      <c r="E19288" s="0" t="s">
        <v>75</v>
      </c>
      <c r="F19288" s="0" t="s">
        <v>90</v>
      </c>
      <c r="G19288" s="0" t="s">
        <v>36</v>
      </c>
      <c r="H19288" s="0" t="n">
        <v>83</v>
      </c>
      <c r="I19288" s="0" t="s">
        <v>64126</v>
      </c>
      <c r="J19288" s="0" t="s">
        <v>64127</v>
      </c>
      <c r="K19288" s="0" t="s">
        <v>64128</v>
      </c>
      <c r="L19288" s="0" t="str">
        <f aca="false">HYPERLINK("https://www.ncbi.nlm.nih.gov/nuccore/CP000058.1?report=graph&amp;tracks=[key:gene_model_track,Options:GeneOnly]&amp;mk=5926341:5926360|offset_24|444444,5926319:5926338|offset_46|444444,5926282:5926301|offset_83|00cc00,5926253:5926272|offset_112|444444&amp;v=5926140:5926472&amp;c=444444", "offset 83")</f>
        <v>offset 83</v>
      </c>
    </row>
    <row r="19289" customFormat="false" ht="12.8" hidden="false" customHeight="false" outlineLevel="0" collapsed="false">
      <c r="A19289" s="0" t="s">
        <v>12</v>
      </c>
      <c r="B19289" s="0" t="n">
        <v>5926252</v>
      </c>
      <c r="C19289" s="0" t="n">
        <v>5926272</v>
      </c>
      <c r="D19289" s="0" t="s">
        <v>64119</v>
      </c>
      <c r="E19289" s="0" t="s">
        <v>75</v>
      </c>
      <c r="F19289" s="0" t="s">
        <v>90</v>
      </c>
      <c r="G19289" s="0" t="s">
        <v>32</v>
      </c>
      <c r="H19289" s="0" t="n">
        <v>112</v>
      </c>
      <c r="I19289" s="0" t="s">
        <v>64129</v>
      </c>
      <c r="J19289" s="0" t="s">
        <v>64130</v>
      </c>
      <c r="K19289" s="0" t="s">
        <v>64131</v>
      </c>
      <c r="L19289" s="0" t="str">
        <f aca="false">HYPERLINK("https://www.ncbi.nlm.nih.gov/nuccore/CP000058.1?report=graph&amp;tracks=[key:gene_model_track,Options:GeneOnly]&amp;mk=5926341:5926360|offset_24|444444,5926319:5926338|offset_46|444444,5926282:5926301|offset_83|444444,5926253:5926272|offset_112|00cc00&amp;v=5926140:5926472&amp;c=444444", "offset 112")</f>
        <v>offset 112</v>
      </c>
    </row>
    <row r="19290" customFormat="false" ht="12.8" hidden="false" customHeight="false" outlineLevel="0" collapsed="false">
      <c r="A19290" s="0" t="s">
        <v>12</v>
      </c>
      <c r="B19290" s="0" t="n">
        <v>5926716</v>
      </c>
      <c r="C19290" s="0" t="n">
        <v>5926736</v>
      </c>
      <c r="D19290" s="0" t="s">
        <v>64132</v>
      </c>
      <c r="E19290" s="0" t="s">
        <v>64133</v>
      </c>
      <c r="F19290" s="0" t="s">
        <v>90</v>
      </c>
      <c r="G19290" s="0" t="s">
        <v>36</v>
      </c>
      <c r="H19290" s="0" t="n">
        <v>42</v>
      </c>
      <c r="I19290" s="0" t="s">
        <v>64134</v>
      </c>
      <c r="J19290" s="0" t="s">
        <v>64135</v>
      </c>
      <c r="K19290" s="0" t="s">
        <v>64136</v>
      </c>
      <c r="L19290" s="0" t="str">
        <f aca="false">HYPERLINK("https://www.ncbi.nlm.nih.gov/nuccore/CP000058.1?report=graph&amp;tracks=[key:gene_model_track,Options:GeneOnly]&amp;mk=5926717:5926736|offset_42|00cc00,5926689:5926708|offset_70|444444,5926658:5926677|offset_101|444444,5926634:5926653|offset_125|444444&amp;v=5926516:5926853&amp;c=444444", "offset 42")</f>
        <v>offset 42</v>
      </c>
    </row>
    <row r="19291" customFormat="false" ht="12.8" hidden="false" customHeight="false" outlineLevel="0" collapsed="false">
      <c r="A19291" s="0" t="s">
        <v>12</v>
      </c>
      <c r="B19291" s="0" t="n">
        <v>5926688</v>
      </c>
      <c r="C19291" s="0" t="n">
        <v>5926708</v>
      </c>
      <c r="D19291" s="0" t="s">
        <v>64132</v>
      </c>
      <c r="E19291" s="0" t="s">
        <v>64133</v>
      </c>
      <c r="F19291" s="0" t="s">
        <v>90</v>
      </c>
      <c r="G19291" s="0" t="s">
        <v>36</v>
      </c>
      <c r="H19291" s="0" t="n">
        <v>70</v>
      </c>
      <c r="I19291" s="0" t="s">
        <v>64137</v>
      </c>
      <c r="J19291" s="0" t="s">
        <v>64138</v>
      </c>
      <c r="K19291" s="0" t="s">
        <v>64139</v>
      </c>
      <c r="L19291" s="0" t="str">
        <f aca="false">HYPERLINK("https://www.ncbi.nlm.nih.gov/nuccore/CP000058.1?report=graph&amp;tracks=[key:gene_model_track,Options:GeneOnly]&amp;mk=5926717:5926736|offset_42|444444,5926689:5926708|offset_70|00cc00,5926658:5926677|offset_101|444444,5926634:5926653|offset_125|444444&amp;v=5926516:5926853&amp;c=444444", "offset 70")</f>
        <v>offset 70</v>
      </c>
    </row>
    <row r="19292" customFormat="false" ht="12.8" hidden="false" customHeight="false" outlineLevel="0" collapsed="false">
      <c r="A19292" s="0" t="s">
        <v>12</v>
      </c>
      <c r="B19292" s="0" t="n">
        <v>5926657</v>
      </c>
      <c r="C19292" s="0" t="n">
        <v>5926677</v>
      </c>
      <c r="D19292" s="0" t="s">
        <v>64132</v>
      </c>
      <c r="E19292" s="0" t="s">
        <v>64133</v>
      </c>
      <c r="F19292" s="0" t="s">
        <v>90</v>
      </c>
      <c r="G19292" s="0" t="s">
        <v>20</v>
      </c>
      <c r="H19292" s="0" t="n">
        <v>101</v>
      </c>
      <c r="I19292" s="0" t="s">
        <v>64140</v>
      </c>
      <c r="J19292" s="0" t="s">
        <v>64141</v>
      </c>
      <c r="K19292" s="0" t="s">
        <v>64142</v>
      </c>
      <c r="L19292" s="0" t="str">
        <f aca="false">HYPERLINK("https://www.ncbi.nlm.nih.gov/nuccore/CP000058.1?report=graph&amp;tracks=[key:gene_model_track,Options:GeneOnly]&amp;mk=5926717:5926736|offset_42|444444,5926689:5926708|offset_70|444444,5926658:5926677|offset_101|00cc00,5926634:5926653|offset_125|444444&amp;v=5926516:5926853&amp;c=444444", "offset 101")</f>
        <v>offset 101</v>
      </c>
    </row>
    <row r="19293" customFormat="false" ht="12.8" hidden="false" customHeight="false" outlineLevel="0" collapsed="false">
      <c r="A19293" s="0" t="s">
        <v>12</v>
      </c>
      <c r="B19293" s="0" t="n">
        <v>5926633</v>
      </c>
      <c r="C19293" s="0" t="n">
        <v>5926653</v>
      </c>
      <c r="D19293" s="0" t="s">
        <v>64132</v>
      </c>
      <c r="E19293" s="0" t="s">
        <v>64133</v>
      </c>
      <c r="F19293" s="0" t="s">
        <v>90</v>
      </c>
      <c r="G19293" s="0" t="s">
        <v>20</v>
      </c>
      <c r="H19293" s="0" t="n">
        <v>125</v>
      </c>
      <c r="I19293" s="0" t="s">
        <v>64143</v>
      </c>
      <c r="J19293" s="0" t="s">
        <v>64144</v>
      </c>
      <c r="K19293" s="0" t="s">
        <v>64145</v>
      </c>
      <c r="L19293" s="0" t="str">
        <f aca="false">HYPERLINK("https://www.ncbi.nlm.nih.gov/nuccore/CP000058.1?report=graph&amp;tracks=[key:gene_model_track,Options:GeneOnly]&amp;mk=5926717:5926736|offset_42|444444,5926689:5926708|offset_70|444444,5926658:5926677|offset_101|444444,5926634:5926653|offset_125|00cc00&amp;v=5926516:5926853&amp;c=444444", "offset 125")</f>
        <v>offset 125</v>
      </c>
    </row>
    <row r="19294" customFormat="false" ht="12.8" hidden="false" customHeight="false" outlineLevel="0" collapsed="false">
      <c r="A19294" s="0" t="s">
        <v>12</v>
      </c>
      <c r="B19294" s="0" t="n">
        <v>5926908</v>
      </c>
      <c r="C19294" s="0" t="n">
        <v>5926928</v>
      </c>
      <c r="D19294" s="0" t="s">
        <v>64146</v>
      </c>
      <c r="E19294" s="0" t="s">
        <v>64147</v>
      </c>
      <c r="F19294" s="0" t="s">
        <v>90</v>
      </c>
      <c r="G19294" s="0" t="s">
        <v>32</v>
      </c>
      <c r="H19294" s="0" t="n">
        <v>1</v>
      </c>
      <c r="I19294" s="0" t="s">
        <v>64148</v>
      </c>
      <c r="J19294" s="0" t="s">
        <v>64149</v>
      </c>
      <c r="K19294" s="0" t="s">
        <v>64150</v>
      </c>
      <c r="L19294" s="0" t="str">
        <f aca="false">HYPERLINK("https://www.ncbi.nlm.nih.gov/nuccore/CP000058.1?report=graph&amp;tracks=[key:gene_model_track,Options:GeneOnly]&amp;mk=5926909:5926928|offset_1|00cc00,5926889:5926908|offset_21|444444,5926869:5926888|offset_41|444444,5926840:5926859|offset_70|444444&amp;v=5926708:5927059&amp;c=444444", "offset 1")</f>
        <v>offset 1</v>
      </c>
    </row>
    <row r="19295" customFormat="false" ht="12.8" hidden="false" customHeight="false" outlineLevel="0" collapsed="false">
      <c r="A19295" s="0" t="s">
        <v>12</v>
      </c>
      <c r="B19295" s="0" t="n">
        <v>5926888</v>
      </c>
      <c r="C19295" s="0" t="n">
        <v>5926908</v>
      </c>
      <c r="D19295" s="0" t="s">
        <v>64146</v>
      </c>
      <c r="E19295" s="0" t="s">
        <v>64147</v>
      </c>
      <c r="F19295" s="0" t="s">
        <v>90</v>
      </c>
      <c r="G19295" s="0" t="s">
        <v>36</v>
      </c>
      <c r="H19295" s="0" t="n">
        <v>21</v>
      </c>
      <c r="I19295" s="0" t="s">
        <v>64151</v>
      </c>
      <c r="J19295" s="0" t="s">
        <v>64152</v>
      </c>
      <c r="K19295" s="0" t="s">
        <v>64153</v>
      </c>
      <c r="L19295" s="0" t="str">
        <f aca="false">HYPERLINK("https://www.ncbi.nlm.nih.gov/nuccore/CP000058.1?report=graph&amp;tracks=[key:gene_model_track,Options:GeneOnly]&amp;mk=5926909:5926928|offset_1|444444,5926889:5926908|offset_21|00cc00,5926869:5926888|offset_41|444444,5926840:5926859|offset_70|444444&amp;v=5926708:5927059&amp;c=444444", "offset 21")</f>
        <v>offset 21</v>
      </c>
    </row>
    <row r="19296" customFormat="false" ht="12.8" hidden="false" customHeight="false" outlineLevel="0" collapsed="false">
      <c r="A19296" s="0" t="s">
        <v>12</v>
      </c>
      <c r="B19296" s="0" t="n">
        <v>5926868</v>
      </c>
      <c r="C19296" s="0" t="n">
        <v>5926888</v>
      </c>
      <c r="D19296" s="0" t="s">
        <v>64146</v>
      </c>
      <c r="E19296" s="0" t="s">
        <v>64147</v>
      </c>
      <c r="F19296" s="0" t="s">
        <v>90</v>
      </c>
      <c r="G19296" s="0" t="s">
        <v>16</v>
      </c>
      <c r="H19296" s="0" t="n">
        <v>41</v>
      </c>
      <c r="I19296" s="0" t="s">
        <v>64154</v>
      </c>
      <c r="J19296" s="0" t="s">
        <v>64155</v>
      </c>
      <c r="K19296" s="0" t="s">
        <v>64156</v>
      </c>
      <c r="L19296" s="0" t="str">
        <f aca="false">HYPERLINK("https://www.ncbi.nlm.nih.gov/nuccore/CP000058.1?report=graph&amp;tracks=[key:gene_model_track,Options:GeneOnly]&amp;mk=5926909:5926928|offset_1|444444,5926889:5926908|offset_21|444444,5926869:5926888|offset_41|00cc00,5926840:5926859|offset_70|444444&amp;v=5926708:5927059&amp;c=444444", "offset 41")</f>
        <v>offset 41</v>
      </c>
    </row>
    <row r="19297" customFormat="false" ht="12.8" hidden="false" customHeight="false" outlineLevel="0" collapsed="false">
      <c r="A19297" s="0" t="s">
        <v>12</v>
      </c>
      <c r="B19297" s="0" t="n">
        <v>5926839</v>
      </c>
      <c r="C19297" s="0" t="n">
        <v>5926859</v>
      </c>
      <c r="D19297" s="0" t="s">
        <v>64146</v>
      </c>
      <c r="E19297" s="0" t="s">
        <v>64147</v>
      </c>
      <c r="F19297" s="0" t="s">
        <v>90</v>
      </c>
      <c r="G19297" s="0" t="s">
        <v>32</v>
      </c>
      <c r="H19297" s="0" t="n">
        <v>70</v>
      </c>
      <c r="I19297" s="0" t="s">
        <v>64157</v>
      </c>
      <c r="J19297" s="0" t="s">
        <v>64158</v>
      </c>
      <c r="K19297" s="0" t="s">
        <v>64159</v>
      </c>
      <c r="L19297" s="0" t="str">
        <f aca="false">HYPERLINK("https://www.ncbi.nlm.nih.gov/nuccore/CP000058.1?report=graph&amp;tracks=[key:gene_model_track,Options:GeneOnly]&amp;mk=5926909:5926928|offset_1|444444,5926889:5926908|offset_21|444444,5926869:5926888|offset_41|444444,5926840:5926859|offset_70|00cc00&amp;v=5926708:5927059&amp;c=444444", "offset 70")</f>
        <v>offset 70</v>
      </c>
    </row>
    <row r="19298" customFormat="false" ht="12.8" hidden="false" customHeight="false" outlineLevel="0" collapsed="false">
      <c r="A19298" s="0" t="s">
        <v>64160</v>
      </c>
      <c r="B19298" s="0" t="n">
        <v>143</v>
      </c>
      <c r="C19298" s="0" t="n">
        <v>163</v>
      </c>
      <c r="D19298" s="0" t="s">
        <v>64161</v>
      </c>
      <c r="E19298" s="0" t="s">
        <v>75</v>
      </c>
      <c r="F19298" s="0" t="s">
        <v>15</v>
      </c>
      <c r="G19298" s="0" t="s">
        <v>16</v>
      </c>
      <c r="H19298" s="0" t="n">
        <v>10</v>
      </c>
      <c r="I19298" s="0" t="s">
        <v>64162</v>
      </c>
      <c r="J19298" s="0" t="s">
        <v>64163</v>
      </c>
      <c r="K19298" s="0" t="s">
        <v>64164</v>
      </c>
      <c r="L19298" s="0" t="str">
        <f aca="false">HYPERLINK("https://www.ncbi.nlm.nih.gov/nuccore/CP000059.1?report=graph&amp;tracks=[key:gene_model_track,Options:GeneOnly]&amp;mk=144:163|offset_10|00cc00,170:189|offset_36|444444,217:236|offset_83|444444,237:256|offset_103|444444&amp;v=-57:456&amp;c=444444", "offset 10")</f>
        <v>offset 10</v>
      </c>
    </row>
    <row r="19299" customFormat="false" ht="12.8" hidden="false" customHeight="false" outlineLevel="0" collapsed="false">
      <c r="A19299" s="0" t="s">
        <v>64160</v>
      </c>
      <c r="B19299" s="0" t="n">
        <v>169</v>
      </c>
      <c r="C19299" s="0" t="n">
        <v>189</v>
      </c>
      <c r="D19299" s="0" t="s">
        <v>64161</v>
      </c>
      <c r="E19299" s="0" t="s">
        <v>75</v>
      </c>
      <c r="F19299" s="0" t="s">
        <v>15</v>
      </c>
      <c r="G19299" s="0" t="s">
        <v>16</v>
      </c>
      <c r="H19299" s="0" t="n">
        <v>36</v>
      </c>
      <c r="I19299" s="0" t="s">
        <v>64165</v>
      </c>
      <c r="J19299" s="0" t="s">
        <v>64166</v>
      </c>
      <c r="K19299" s="0" t="s">
        <v>64167</v>
      </c>
      <c r="L19299" s="0" t="str">
        <f aca="false">HYPERLINK("https://www.ncbi.nlm.nih.gov/nuccore/CP000059.1?report=graph&amp;tracks=[key:gene_model_track,Options:GeneOnly]&amp;mk=144:163|offset_10|444444,170:189|offset_36|00cc00,217:236|offset_83|444444,237:256|offset_103|444444&amp;v=-57:456&amp;c=444444", "offset 36")</f>
        <v>offset 36</v>
      </c>
    </row>
    <row r="19300" customFormat="false" ht="12.8" hidden="false" customHeight="false" outlineLevel="0" collapsed="false">
      <c r="A19300" s="0" t="s">
        <v>64160</v>
      </c>
      <c r="B19300" s="0" t="n">
        <v>216</v>
      </c>
      <c r="C19300" s="0" t="n">
        <v>236</v>
      </c>
      <c r="D19300" s="0" t="s">
        <v>64161</v>
      </c>
      <c r="E19300" s="0" t="s">
        <v>75</v>
      </c>
      <c r="F19300" s="0" t="s">
        <v>15</v>
      </c>
      <c r="G19300" s="0" t="s">
        <v>20</v>
      </c>
      <c r="H19300" s="0" t="n">
        <v>83</v>
      </c>
      <c r="I19300" s="0" t="s">
        <v>64168</v>
      </c>
      <c r="J19300" s="0" t="s">
        <v>64169</v>
      </c>
      <c r="K19300" s="0" t="s">
        <v>64170</v>
      </c>
      <c r="L19300" s="0" t="str">
        <f aca="false">HYPERLINK("https://www.ncbi.nlm.nih.gov/nuccore/CP000059.1?report=graph&amp;tracks=[key:gene_model_track,Options:GeneOnly]&amp;mk=144:163|offset_10|444444,170:189|offset_36|444444,217:236|offset_83|00cc00,237:256|offset_103|444444&amp;v=-57:456&amp;c=444444", "offset 83")</f>
        <v>offset 83</v>
      </c>
    </row>
    <row r="19301" customFormat="false" ht="12.8" hidden="false" customHeight="false" outlineLevel="0" collapsed="false">
      <c r="A19301" s="0" t="s">
        <v>64160</v>
      </c>
      <c r="B19301" s="0" t="n">
        <v>236</v>
      </c>
      <c r="C19301" s="0" t="n">
        <v>256</v>
      </c>
      <c r="D19301" s="0" t="s">
        <v>64161</v>
      </c>
      <c r="E19301" s="0" t="s">
        <v>75</v>
      </c>
      <c r="F19301" s="0" t="s">
        <v>15</v>
      </c>
      <c r="G19301" s="0" t="s">
        <v>36</v>
      </c>
      <c r="H19301" s="0" t="n">
        <v>103</v>
      </c>
      <c r="I19301" s="0" t="s">
        <v>64171</v>
      </c>
      <c r="J19301" s="0" t="s">
        <v>64172</v>
      </c>
      <c r="K19301" s="0" t="s">
        <v>64173</v>
      </c>
      <c r="L19301" s="0" t="str">
        <f aca="false">HYPERLINK("https://www.ncbi.nlm.nih.gov/nuccore/CP000059.1?report=graph&amp;tracks=[key:gene_model_track,Options:GeneOnly]&amp;mk=144:163|offset_10|444444,170:189|offset_36|444444,217:236|offset_83|444444,237:256|offset_103|00cc00&amp;v=-57:456&amp;c=444444", "offset 103")</f>
        <v>offset 103</v>
      </c>
    </row>
    <row r="19302" customFormat="false" ht="12.8" hidden="false" customHeight="false" outlineLevel="0" collapsed="false">
      <c r="A19302" s="0" t="s">
        <v>64160</v>
      </c>
      <c r="B19302" s="0" t="n">
        <v>390</v>
      </c>
      <c r="C19302" s="0" t="n">
        <v>410</v>
      </c>
      <c r="D19302" s="0" t="s">
        <v>64174</v>
      </c>
      <c r="E19302" s="0" t="s">
        <v>75</v>
      </c>
      <c r="F19302" s="0" t="s">
        <v>15</v>
      </c>
      <c r="G19302" s="0" t="s">
        <v>32</v>
      </c>
      <c r="H19302" s="0" t="n">
        <v>6</v>
      </c>
      <c r="I19302" s="0" t="s">
        <v>64175</v>
      </c>
      <c r="J19302" s="0" t="s">
        <v>64176</v>
      </c>
      <c r="K19302" s="0" t="s">
        <v>64177</v>
      </c>
      <c r="L19302" s="0" t="str">
        <f aca="false">HYPERLINK("https://www.ncbi.nlm.nih.gov/nuccore/CP000059.1?report=graph&amp;tracks=[key:gene_model_track,Options:GeneOnly]&amp;mk=391:410|offset_6|00cc00,429:448|offset_44|444444,453:472|offset_68|444444,479:498|offset_94|444444&amp;v=190:698&amp;c=444444", "offset 6")</f>
        <v>offset 6</v>
      </c>
    </row>
    <row r="19303" customFormat="false" ht="12.8" hidden="false" customHeight="false" outlineLevel="0" collapsed="false">
      <c r="A19303" s="0" t="s">
        <v>64160</v>
      </c>
      <c r="B19303" s="0" t="n">
        <v>428</v>
      </c>
      <c r="C19303" s="0" t="n">
        <v>448</v>
      </c>
      <c r="D19303" s="0" t="s">
        <v>64174</v>
      </c>
      <c r="E19303" s="0" t="s">
        <v>75</v>
      </c>
      <c r="F19303" s="0" t="s">
        <v>15</v>
      </c>
      <c r="G19303" s="0" t="s">
        <v>16</v>
      </c>
      <c r="H19303" s="0" t="n">
        <v>44</v>
      </c>
      <c r="I19303" s="0" t="s">
        <v>64178</v>
      </c>
      <c r="J19303" s="0" t="s">
        <v>64179</v>
      </c>
      <c r="K19303" s="0" t="s">
        <v>64180</v>
      </c>
      <c r="L19303" s="0" t="str">
        <f aca="false">HYPERLINK("https://www.ncbi.nlm.nih.gov/nuccore/CP000059.1?report=graph&amp;tracks=[key:gene_model_track,Options:GeneOnly]&amp;mk=391:410|offset_6|444444,429:448|offset_44|00cc00,453:472|offset_68|444444,479:498|offset_94|444444&amp;v=190:698&amp;c=444444", "offset 44")</f>
        <v>offset 44</v>
      </c>
    </row>
    <row r="19304" customFormat="false" ht="12.8" hidden="false" customHeight="false" outlineLevel="0" collapsed="false">
      <c r="A19304" s="0" t="s">
        <v>64160</v>
      </c>
      <c r="B19304" s="0" t="n">
        <v>452</v>
      </c>
      <c r="C19304" s="0" t="n">
        <v>472</v>
      </c>
      <c r="D19304" s="0" t="s">
        <v>64174</v>
      </c>
      <c r="E19304" s="0" t="s">
        <v>75</v>
      </c>
      <c r="F19304" s="0" t="s">
        <v>15</v>
      </c>
      <c r="G19304" s="0" t="s">
        <v>20</v>
      </c>
      <c r="H19304" s="0" t="n">
        <v>68</v>
      </c>
      <c r="I19304" s="0" t="s">
        <v>64181</v>
      </c>
      <c r="J19304" s="0" t="s">
        <v>64182</v>
      </c>
      <c r="K19304" s="0" t="s">
        <v>64183</v>
      </c>
      <c r="L19304" s="0" t="str">
        <f aca="false">HYPERLINK("https://www.ncbi.nlm.nih.gov/nuccore/CP000059.1?report=graph&amp;tracks=[key:gene_model_track,Options:GeneOnly]&amp;mk=391:410|offset_6|444444,429:448|offset_44|444444,453:472|offset_68|00cc00,479:498|offset_94|444444&amp;v=190:698&amp;c=444444", "offset 68")</f>
        <v>offset 68</v>
      </c>
    </row>
    <row r="19305" customFormat="false" ht="12.8" hidden="false" customHeight="false" outlineLevel="0" collapsed="false">
      <c r="A19305" s="0" t="s">
        <v>64160</v>
      </c>
      <c r="B19305" s="0" t="n">
        <v>478</v>
      </c>
      <c r="C19305" s="0" t="n">
        <v>498</v>
      </c>
      <c r="D19305" s="0" t="s">
        <v>64174</v>
      </c>
      <c r="E19305" s="0" t="s">
        <v>75</v>
      </c>
      <c r="F19305" s="0" t="s">
        <v>15</v>
      </c>
      <c r="G19305" s="0" t="s">
        <v>16</v>
      </c>
      <c r="H19305" s="0" t="n">
        <v>94</v>
      </c>
      <c r="I19305" s="0" t="s">
        <v>64184</v>
      </c>
      <c r="J19305" s="0" t="s">
        <v>64185</v>
      </c>
      <c r="K19305" s="0" t="s">
        <v>64186</v>
      </c>
      <c r="L19305" s="0" t="str">
        <f aca="false">HYPERLINK("https://www.ncbi.nlm.nih.gov/nuccore/CP000059.1?report=graph&amp;tracks=[key:gene_model_track,Options:GeneOnly]&amp;mk=391:410|offset_6|444444,429:448|offset_44|444444,453:472|offset_68|444444,479:498|offset_94|00cc00&amp;v=190:698&amp;c=444444", "offset 94")</f>
        <v>offset 94</v>
      </c>
    </row>
    <row r="19306" customFormat="false" ht="12.8" hidden="false" customHeight="false" outlineLevel="0" collapsed="false">
      <c r="A19306" s="0" t="s">
        <v>64160</v>
      </c>
      <c r="B19306" s="0" t="n">
        <v>7155</v>
      </c>
      <c r="C19306" s="0" t="n">
        <v>7175</v>
      </c>
      <c r="D19306" s="0" t="s">
        <v>64187</v>
      </c>
      <c r="E19306" s="0" t="s">
        <v>64188</v>
      </c>
      <c r="F19306" s="0" t="s">
        <v>15</v>
      </c>
      <c r="G19306" s="0" t="s">
        <v>20</v>
      </c>
      <c r="H19306" s="0" t="n">
        <v>9</v>
      </c>
      <c r="I19306" s="0" t="s">
        <v>64189</v>
      </c>
      <c r="J19306" s="0" t="s">
        <v>64190</v>
      </c>
      <c r="K19306" s="0" t="s">
        <v>64191</v>
      </c>
      <c r="L19306" s="0" t="str">
        <f aca="false">HYPERLINK("https://www.ncbi.nlm.nih.gov/nuccore/CP000059.1?report=graph&amp;tracks=[key:gene_model_track,Options:GeneOnly]&amp;mk=7156:7175|offset_9|00cc00,7189:7208|offset_42|444444,7210:7229|offset_63|444444,7235:7254|offset_88|444444&amp;v=6955:7454&amp;c=444444", "offset 9")</f>
        <v>offset 9</v>
      </c>
    </row>
    <row r="19307" customFormat="false" ht="12.8" hidden="false" customHeight="false" outlineLevel="0" collapsed="false">
      <c r="A19307" s="0" t="s">
        <v>64160</v>
      </c>
      <c r="B19307" s="0" t="n">
        <v>7188</v>
      </c>
      <c r="C19307" s="0" t="n">
        <v>7208</v>
      </c>
      <c r="D19307" s="0" t="s">
        <v>64187</v>
      </c>
      <c r="E19307" s="0" t="s">
        <v>64188</v>
      </c>
      <c r="F19307" s="0" t="s">
        <v>15</v>
      </c>
      <c r="G19307" s="0" t="s">
        <v>36</v>
      </c>
      <c r="H19307" s="0" t="n">
        <v>42</v>
      </c>
      <c r="I19307" s="0" t="s">
        <v>64192</v>
      </c>
      <c r="J19307" s="0" t="s">
        <v>64193</v>
      </c>
      <c r="K19307" s="0" t="s">
        <v>64194</v>
      </c>
      <c r="L19307" s="0" t="str">
        <f aca="false">HYPERLINK("https://www.ncbi.nlm.nih.gov/nuccore/CP000059.1?report=graph&amp;tracks=[key:gene_model_track,Options:GeneOnly]&amp;mk=7156:7175|offset_9|444444,7189:7208|offset_42|00cc00,7210:7229|offset_63|444444,7235:7254|offset_88|444444&amp;v=6955:7454&amp;c=444444", "offset 42")</f>
        <v>offset 42</v>
      </c>
    </row>
    <row r="19308" customFormat="false" ht="12.8" hidden="false" customHeight="false" outlineLevel="0" collapsed="false">
      <c r="A19308" s="0" t="s">
        <v>64160</v>
      </c>
      <c r="B19308" s="0" t="n">
        <v>7209</v>
      </c>
      <c r="C19308" s="0" t="n">
        <v>7229</v>
      </c>
      <c r="D19308" s="0" t="s">
        <v>64187</v>
      </c>
      <c r="E19308" s="0" t="s">
        <v>64188</v>
      </c>
      <c r="F19308" s="0" t="s">
        <v>15</v>
      </c>
      <c r="G19308" s="0" t="s">
        <v>32</v>
      </c>
      <c r="H19308" s="0" t="n">
        <v>63</v>
      </c>
      <c r="I19308" s="0" t="s">
        <v>64195</v>
      </c>
      <c r="J19308" s="0" t="s">
        <v>64196</v>
      </c>
      <c r="K19308" s="0" t="s">
        <v>64197</v>
      </c>
      <c r="L19308" s="0" t="str">
        <f aca="false">HYPERLINK("https://www.ncbi.nlm.nih.gov/nuccore/CP000059.1?report=graph&amp;tracks=[key:gene_model_track,Options:GeneOnly]&amp;mk=7156:7175|offset_9|444444,7189:7208|offset_42|444444,7210:7229|offset_63|00cc00,7235:7254|offset_88|444444&amp;v=6955:7454&amp;c=444444", "offset 63")</f>
        <v>offset 63</v>
      </c>
    </row>
    <row r="19309" customFormat="false" ht="12.8" hidden="false" customHeight="false" outlineLevel="0" collapsed="false">
      <c r="A19309" s="0" t="s">
        <v>64160</v>
      </c>
      <c r="B19309" s="0" t="n">
        <v>7234</v>
      </c>
      <c r="C19309" s="0" t="n">
        <v>7254</v>
      </c>
      <c r="D19309" s="0" t="s">
        <v>64187</v>
      </c>
      <c r="E19309" s="0" t="s">
        <v>64188</v>
      </c>
      <c r="F19309" s="0" t="s">
        <v>15</v>
      </c>
      <c r="G19309" s="0" t="s">
        <v>36</v>
      </c>
      <c r="H19309" s="0" t="n">
        <v>88</v>
      </c>
      <c r="I19309" s="0" t="s">
        <v>64198</v>
      </c>
      <c r="J19309" s="0" t="s">
        <v>64199</v>
      </c>
      <c r="K19309" s="0" t="s">
        <v>64200</v>
      </c>
      <c r="L19309" s="0" t="str">
        <f aca="false">HYPERLINK("https://www.ncbi.nlm.nih.gov/nuccore/CP000059.1?report=graph&amp;tracks=[key:gene_model_track,Options:GeneOnly]&amp;mk=7156:7175|offset_9|444444,7189:7208|offset_42|444444,7210:7229|offset_63|444444,7235:7254|offset_88|00cc00&amp;v=6955:7454&amp;c=444444", "offset 88")</f>
        <v>offset 88</v>
      </c>
    </row>
    <row r="19310" customFormat="false" ht="12.8" hidden="false" customHeight="false" outlineLevel="0" collapsed="false">
      <c r="A19310" s="0" t="s">
        <v>64160</v>
      </c>
      <c r="B19310" s="0" t="n">
        <v>9371</v>
      </c>
      <c r="C19310" s="0" t="n">
        <v>9391</v>
      </c>
      <c r="D19310" s="0" t="s">
        <v>64201</v>
      </c>
      <c r="E19310" s="0" t="s">
        <v>75</v>
      </c>
      <c r="F19310" s="0" t="s">
        <v>90</v>
      </c>
      <c r="G19310" s="0" t="s">
        <v>36</v>
      </c>
      <c r="H19310" s="0" t="n">
        <v>7</v>
      </c>
      <c r="I19310" s="0" t="s">
        <v>64202</v>
      </c>
      <c r="J19310" s="0" t="s">
        <v>64203</v>
      </c>
      <c r="K19310" s="0" t="s">
        <v>64204</v>
      </c>
      <c r="L19310" s="0" t="str">
        <f aca="false">HYPERLINK("https://www.ncbi.nlm.nih.gov/nuccore/CP000059.1?report=graph&amp;tracks=[key:gene_model_track,Options:GeneOnly]&amp;mk=9372:9391|offset_7|00cc00,9344:9363|offset_35|444444,9314:9333|offset_65|444444&amp;v=9171:9533&amp;c=444444", "offset 7")</f>
        <v>offset 7</v>
      </c>
    </row>
    <row r="19311" customFormat="false" ht="12.8" hidden="false" customHeight="false" outlineLevel="0" collapsed="false">
      <c r="A19311" s="0" t="s">
        <v>64160</v>
      </c>
      <c r="B19311" s="0" t="n">
        <v>9343</v>
      </c>
      <c r="C19311" s="0" t="n">
        <v>9363</v>
      </c>
      <c r="D19311" s="0" t="s">
        <v>64201</v>
      </c>
      <c r="E19311" s="0" t="s">
        <v>75</v>
      </c>
      <c r="F19311" s="0" t="s">
        <v>90</v>
      </c>
      <c r="G19311" s="0" t="s">
        <v>16</v>
      </c>
      <c r="H19311" s="0" t="n">
        <v>35</v>
      </c>
      <c r="I19311" s="0" t="s">
        <v>64205</v>
      </c>
      <c r="J19311" s="0" t="s">
        <v>64206</v>
      </c>
      <c r="K19311" s="0" t="s">
        <v>64207</v>
      </c>
      <c r="L19311" s="0" t="str">
        <f aca="false">HYPERLINK("https://www.ncbi.nlm.nih.gov/nuccore/CP000059.1?report=graph&amp;tracks=[key:gene_model_track,Options:GeneOnly]&amp;mk=9372:9391|offset_7|444444,9344:9363|offset_35|00cc00,9314:9333|offset_65|444444&amp;v=9171:9533&amp;c=444444", "offset 35")</f>
        <v>offset 35</v>
      </c>
    </row>
    <row r="19312" customFormat="false" ht="12.8" hidden="false" customHeight="false" outlineLevel="0" collapsed="false">
      <c r="A19312" s="0" t="s">
        <v>64160</v>
      </c>
      <c r="B19312" s="0" t="n">
        <v>9313</v>
      </c>
      <c r="C19312" s="0" t="n">
        <v>9333</v>
      </c>
      <c r="D19312" s="0" t="s">
        <v>64201</v>
      </c>
      <c r="E19312" s="0" t="s">
        <v>75</v>
      </c>
      <c r="F19312" s="0" t="s">
        <v>90</v>
      </c>
      <c r="G19312" s="0" t="s">
        <v>32</v>
      </c>
      <c r="H19312" s="0" t="n">
        <v>65</v>
      </c>
      <c r="I19312" s="0" t="s">
        <v>64208</v>
      </c>
      <c r="J19312" s="0" t="s">
        <v>64209</v>
      </c>
      <c r="K19312" s="0" t="s">
        <v>64210</v>
      </c>
      <c r="L19312" s="0" t="str">
        <f aca="false">HYPERLINK("https://www.ncbi.nlm.nih.gov/nuccore/CP000059.1?report=graph&amp;tracks=[key:gene_model_track,Options:GeneOnly]&amp;mk=9372:9391|offset_7|444444,9344:9363|offset_35|444444,9314:9333|offset_65|00cc00&amp;v=9171:9533&amp;c=444444", "offset 65")</f>
        <v>offset 65</v>
      </c>
    </row>
    <row r="19313" customFormat="false" ht="12.8" hidden="false" customHeight="false" outlineLevel="0" collapsed="false">
      <c r="A19313" s="0" t="s">
        <v>64160</v>
      </c>
      <c r="B19313" s="0" t="n">
        <v>10706</v>
      </c>
      <c r="C19313" s="0" t="n">
        <v>10726</v>
      </c>
      <c r="D19313" s="0" t="s">
        <v>64211</v>
      </c>
      <c r="E19313" s="0" t="s">
        <v>64212</v>
      </c>
      <c r="F19313" s="0" t="s">
        <v>90</v>
      </c>
      <c r="G19313" s="0" t="s">
        <v>20</v>
      </c>
      <c r="H19313" s="0" t="n">
        <v>12</v>
      </c>
      <c r="I19313" s="0" t="s">
        <v>64213</v>
      </c>
      <c r="J19313" s="0" t="s">
        <v>64214</v>
      </c>
      <c r="K19313" s="0" t="s">
        <v>64215</v>
      </c>
      <c r="L19313" s="0" t="str">
        <f aca="false">HYPERLINK("https://www.ncbi.nlm.nih.gov/nuccore/CP000059.1?report=graph&amp;tracks=[key:gene_model_track,Options:GeneOnly]&amp;mk=10707:10726|offset_12|00cc00,10685:10704|offset_34|444444,10643:10662|offset_76|444444,10588:10607|offset_131|444444&amp;v=10506:10807&amp;c=444444", "offset 12")</f>
        <v>offset 12</v>
      </c>
    </row>
    <row r="19314" customFormat="false" ht="12.8" hidden="false" customHeight="false" outlineLevel="0" collapsed="false">
      <c r="A19314" s="0" t="s">
        <v>64160</v>
      </c>
      <c r="B19314" s="0" t="n">
        <v>10684</v>
      </c>
      <c r="C19314" s="0" t="n">
        <v>10704</v>
      </c>
      <c r="D19314" s="0" t="s">
        <v>64211</v>
      </c>
      <c r="E19314" s="0" t="s">
        <v>64212</v>
      </c>
      <c r="F19314" s="0" t="s">
        <v>90</v>
      </c>
      <c r="G19314" s="0" t="s">
        <v>20</v>
      </c>
      <c r="H19314" s="0" t="n">
        <v>34</v>
      </c>
      <c r="I19314" s="0" t="s">
        <v>64216</v>
      </c>
      <c r="J19314" s="0" t="s">
        <v>64217</v>
      </c>
      <c r="K19314" s="0" t="s">
        <v>64218</v>
      </c>
      <c r="L19314" s="0" t="str">
        <f aca="false">HYPERLINK("https://www.ncbi.nlm.nih.gov/nuccore/CP000059.1?report=graph&amp;tracks=[key:gene_model_track,Options:GeneOnly]&amp;mk=10707:10726|offset_12|444444,10685:10704|offset_34|00cc00,10643:10662|offset_76|444444,10588:10607|offset_131|444444&amp;v=10506:10807&amp;c=444444", "offset 34")</f>
        <v>offset 34</v>
      </c>
    </row>
    <row r="19315" customFormat="false" ht="12.8" hidden="false" customHeight="false" outlineLevel="0" collapsed="false">
      <c r="A19315" s="0" t="s">
        <v>64160</v>
      </c>
      <c r="B19315" s="0" t="n">
        <v>10642</v>
      </c>
      <c r="C19315" s="0" t="n">
        <v>10662</v>
      </c>
      <c r="D19315" s="0" t="s">
        <v>64211</v>
      </c>
      <c r="E19315" s="0" t="s">
        <v>64212</v>
      </c>
      <c r="F19315" s="0" t="s">
        <v>90</v>
      </c>
      <c r="G19315" s="0" t="s">
        <v>36</v>
      </c>
      <c r="H19315" s="0" t="n">
        <v>76</v>
      </c>
      <c r="I19315" s="0" t="s">
        <v>64219</v>
      </c>
      <c r="J19315" s="0" t="s">
        <v>64220</v>
      </c>
      <c r="K19315" s="0" t="s">
        <v>64221</v>
      </c>
      <c r="L19315" s="0" t="str">
        <f aca="false">HYPERLINK("https://www.ncbi.nlm.nih.gov/nuccore/CP000059.1?report=graph&amp;tracks=[key:gene_model_track,Options:GeneOnly]&amp;mk=10707:10726|offset_12|444444,10685:10704|offset_34|444444,10643:10662|offset_76|00cc00,10588:10607|offset_131|444444&amp;v=10506:10807&amp;c=444444", "offset 76")</f>
        <v>offset 76</v>
      </c>
    </row>
    <row r="19316" customFormat="false" ht="12.8" hidden="false" customHeight="false" outlineLevel="0" collapsed="false">
      <c r="A19316" s="0" t="s">
        <v>64160</v>
      </c>
      <c r="B19316" s="0" t="n">
        <v>10587</v>
      </c>
      <c r="C19316" s="0" t="n">
        <v>10607</v>
      </c>
      <c r="D19316" s="0" t="s">
        <v>64211</v>
      </c>
      <c r="E19316" s="0" t="s">
        <v>64212</v>
      </c>
      <c r="F19316" s="0" t="s">
        <v>90</v>
      </c>
      <c r="G19316" s="0" t="s">
        <v>36</v>
      </c>
      <c r="H19316" s="0" t="n">
        <v>131</v>
      </c>
      <c r="I19316" s="0" t="s">
        <v>64222</v>
      </c>
      <c r="J19316" s="0" t="s">
        <v>64223</v>
      </c>
      <c r="K19316" s="0" t="s">
        <v>64224</v>
      </c>
      <c r="L19316" s="0" t="str">
        <f aca="false">HYPERLINK("https://www.ncbi.nlm.nih.gov/nuccore/CP000059.1?report=graph&amp;tracks=[key:gene_model_track,Options:GeneOnly]&amp;mk=10707:10726|offset_12|444444,10685:10704|offset_34|444444,10643:10662|offset_76|444444,10588:10607|offset_131|00cc00&amp;v=10506:10807&amp;c=444444", "offset 131")</f>
        <v>offset 131</v>
      </c>
    </row>
    <row r="19317" customFormat="false" ht="12.8" hidden="false" customHeight="false" outlineLevel="0" collapsed="false">
      <c r="A19317" s="0" t="s">
        <v>64160</v>
      </c>
      <c r="B19317" s="0" t="n">
        <v>12811</v>
      </c>
      <c r="C19317" s="0" t="n">
        <v>12831</v>
      </c>
      <c r="D19317" s="0" t="s">
        <v>64225</v>
      </c>
      <c r="E19317" s="0" t="s">
        <v>75</v>
      </c>
      <c r="F19317" s="0" t="s">
        <v>90</v>
      </c>
      <c r="G19317" s="0" t="s">
        <v>20</v>
      </c>
      <c r="H19317" s="0" t="n">
        <v>11</v>
      </c>
      <c r="I19317" s="0" t="s">
        <v>64226</v>
      </c>
      <c r="J19317" s="0" t="s">
        <v>64227</v>
      </c>
      <c r="K19317" s="0" t="s">
        <v>64228</v>
      </c>
      <c r="L19317" s="0" t="str">
        <f aca="false">HYPERLINK("https://www.ncbi.nlm.nih.gov/nuccore/CP000059.1?report=graph&amp;tracks=[key:gene_model_track,Options:GeneOnly]&amp;mk=12812:12831|offset_11|00cc00&amp;v=12611:13031&amp;c=444444", "offset 11")</f>
        <v>offset 11</v>
      </c>
    </row>
    <row r="19318" customFormat="false" ht="12.8" hidden="false" customHeight="false" outlineLevel="0" collapsed="false">
      <c r="A19318" s="0" t="s">
        <v>64160</v>
      </c>
      <c r="B19318" s="0" t="n">
        <v>16149</v>
      </c>
      <c r="C19318" s="0" t="n">
        <v>16169</v>
      </c>
      <c r="D19318" s="0" t="s">
        <v>64229</v>
      </c>
      <c r="E19318" s="0" t="s">
        <v>75</v>
      </c>
      <c r="F19318" s="0" t="s">
        <v>90</v>
      </c>
      <c r="G19318" s="0" t="s">
        <v>20</v>
      </c>
      <c r="H19318" s="0" t="n">
        <v>6</v>
      </c>
      <c r="I19318" s="0" t="s">
        <v>64230</v>
      </c>
      <c r="J19318" s="0" t="s">
        <v>64231</v>
      </c>
      <c r="K19318" s="0" t="s">
        <v>64232</v>
      </c>
      <c r="L19318" s="0" t="str">
        <f aca="false">HYPERLINK("https://www.ncbi.nlm.nih.gov/nuccore/CP000059.1?report=graph&amp;tracks=[key:gene_model_track,Options:GeneOnly]&amp;mk=16150:16169|offset_6|00cc00,16121:16140|offset_35|444444,16090:16109|offset_66|444444,16068:16087|offset_88|444444&amp;v=15949:16287&amp;c=444444", "offset 6")</f>
        <v>offset 6</v>
      </c>
    </row>
    <row r="19319" customFormat="false" ht="12.8" hidden="false" customHeight="false" outlineLevel="0" collapsed="false">
      <c r="A19319" s="0" t="s">
        <v>64160</v>
      </c>
      <c r="B19319" s="0" t="n">
        <v>16120</v>
      </c>
      <c r="C19319" s="0" t="n">
        <v>16140</v>
      </c>
      <c r="D19319" s="0" t="s">
        <v>64229</v>
      </c>
      <c r="E19319" s="0" t="s">
        <v>75</v>
      </c>
      <c r="F19319" s="0" t="s">
        <v>90</v>
      </c>
      <c r="G19319" s="0" t="s">
        <v>20</v>
      </c>
      <c r="H19319" s="0" t="n">
        <v>35</v>
      </c>
      <c r="I19319" s="0" t="s">
        <v>64233</v>
      </c>
      <c r="J19319" s="0" t="s">
        <v>64234</v>
      </c>
      <c r="K19319" s="0" t="s">
        <v>64235</v>
      </c>
      <c r="L19319" s="0" t="str">
        <f aca="false">HYPERLINK("https://www.ncbi.nlm.nih.gov/nuccore/CP000059.1?report=graph&amp;tracks=[key:gene_model_track,Options:GeneOnly]&amp;mk=16150:16169|offset_6|444444,16121:16140|offset_35|00cc00,16090:16109|offset_66|444444,16068:16087|offset_88|444444&amp;v=15949:16287&amp;c=444444", "offset 35")</f>
        <v>offset 35</v>
      </c>
    </row>
    <row r="19320" customFormat="false" ht="12.8" hidden="false" customHeight="false" outlineLevel="0" collapsed="false">
      <c r="A19320" s="0" t="s">
        <v>64160</v>
      </c>
      <c r="B19320" s="0" t="n">
        <v>16089</v>
      </c>
      <c r="C19320" s="0" t="n">
        <v>16109</v>
      </c>
      <c r="D19320" s="0" t="s">
        <v>64229</v>
      </c>
      <c r="E19320" s="0" t="s">
        <v>75</v>
      </c>
      <c r="F19320" s="0" t="s">
        <v>90</v>
      </c>
      <c r="G19320" s="0" t="s">
        <v>36</v>
      </c>
      <c r="H19320" s="0" t="n">
        <v>66</v>
      </c>
      <c r="I19320" s="0" t="s">
        <v>64236</v>
      </c>
      <c r="J19320" s="0" t="s">
        <v>64237</v>
      </c>
      <c r="K19320" s="0" t="s">
        <v>64238</v>
      </c>
      <c r="L19320" s="0" t="str">
        <f aca="false">HYPERLINK("https://www.ncbi.nlm.nih.gov/nuccore/CP000059.1?report=graph&amp;tracks=[key:gene_model_track,Options:GeneOnly]&amp;mk=16150:16169|offset_6|444444,16121:16140|offset_35|444444,16090:16109|offset_66|00cc00,16068:16087|offset_88|444444&amp;v=15949:16287&amp;c=444444", "offset 66")</f>
        <v>offset 66</v>
      </c>
    </row>
    <row r="19321" customFormat="false" ht="12.8" hidden="false" customHeight="false" outlineLevel="0" collapsed="false">
      <c r="A19321" s="0" t="s">
        <v>64160</v>
      </c>
      <c r="B19321" s="0" t="n">
        <v>16067</v>
      </c>
      <c r="C19321" s="0" t="n">
        <v>16087</v>
      </c>
      <c r="D19321" s="0" t="s">
        <v>64229</v>
      </c>
      <c r="E19321" s="0" t="s">
        <v>75</v>
      </c>
      <c r="F19321" s="0" t="s">
        <v>90</v>
      </c>
      <c r="G19321" s="0" t="s">
        <v>16</v>
      </c>
      <c r="H19321" s="0" t="n">
        <v>88</v>
      </c>
      <c r="I19321" s="0" t="s">
        <v>64239</v>
      </c>
      <c r="J19321" s="0" t="s">
        <v>64240</v>
      </c>
      <c r="K19321" s="0" t="s">
        <v>64241</v>
      </c>
      <c r="L19321" s="0" t="str">
        <f aca="false">HYPERLINK("https://www.ncbi.nlm.nih.gov/nuccore/CP000059.1?report=graph&amp;tracks=[key:gene_model_track,Options:GeneOnly]&amp;mk=16150:16169|offset_6|444444,16121:16140|offset_35|444444,16090:16109|offset_66|444444,16068:16087|offset_88|00cc00&amp;v=15949:16287&amp;c=444444", "offset 88")</f>
        <v>offset 88</v>
      </c>
    </row>
    <row r="19322" customFormat="false" ht="12.8" hidden="false" customHeight="false" outlineLevel="0" collapsed="false">
      <c r="A19322" s="0" t="s">
        <v>64160</v>
      </c>
      <c r="B19322" s="0" t="n">
        <v>16564</v>
      </c>
      <c r="C19322" s="0" t="n">
        <v>16584</v>
      </c>
      <c r="D19322" s="0" t="s">
        <v>64242</v>
      </c>
      <c r="E19322" s="0" t="s">
        <v>75</v>
      </c>
      <c r="F19322" s="0" t="s">
        <v>90</v>
      </c>
      <c r="G19322" s="0" t="s">
        <v>16</v>
      </c>
      <c r="H19322" s="0" t="n">
        <v>10</v>
      </c>
      <c r="I19322" s="0" t="s">
        <v>64243</v>
      </c>
      <c r="J19322" s="0" t="s">
        <v>64244</v>
      </c>
      <c r="K19322" s="0" t="s">
        <v>64245</v>
      </c>
      <c r="L19322" s="0" t="str">
        <f aca="false">HYPERLINK("https://www.ncbi.nlm.nih.gov/nuccore/CP000059.1?report=graph&amp;tracks=[key:gene_model_track,Options:GeneOnly]&amp;mk=16565:16584|offset_10|00cc00,16542:16561|offset_33|444444,16521:16540|offset_54|444444,16499:16518|offset_76|444444&amp;v=16364:16718&amp;c=444444", "offset 10")</f>
        <v>offset 10</v>
      </c>
    </row>
    <row r="19323" customFormat="false" ht="12.8" hidden="false" customHeight="false" outlineLevel="0" collapsed="false">
      <c r="A19323" s="0" t="s">
        <v>64160</v>
      </c>
      <c r="B19323" s="0" t="n">
        <v>16541</v>
      </c>
      <c r="C19323" s="0" t="n">
        <v>16561</v>
      </c>
      <c r="D19323" s="0" t="s">
        <v>64242</v>
      </c>
      <c r="E19323" s="0" t="s">
        <v>75</v>
      </c>
      <c r="F19323" s="0" t="s">
        <v>90</v>
      </c>
      <c r="G19323" s="0" t="s">
        <v>20</v>
      </c>
      <c r="H19323" s="0" t="n">
        <v>33</v>
      </c>
      <c r="I19323" s="0" t="s">
        <v>64246</v>
      </c>
      <c r="J19323" s="0" t="s">
        <v>64247</v>
      </c>
      <c r="K19323" s="0" t="s">
        <v>64248</v>
      </c>
      <c r="L19323" s="0" t="str">
        <f aca="false">HYPERLINK("https://www.ncbi.nlm.nih.gov/nuccore/CP000059.1?report=graph&amp;tracks=[key:gene_model_track,Options:GeneOnly]&amp;mk=16565:16584|offset_10|444444,16542:16561|offset_33|00cc00,16521:16540|offset_54|444444,16499:16518|offset_76|444444&amp;v=16364:16718&amp;c=444444", "offset 33")</f>
        <v>offset 33</v>
      </c>
    </row>
    <row r="19324" customFormat="false" ht="12.8" hidden="false" customHeight="false" outlineLevel="0" collapsed="false">
      <c r="A19324" s="0" t="s">
        <v>64160</v>
      </c>
      <c r="B19324" s="0" t="n">
        <v>16520</v>
      </c>
      <c r="C19324" s="0" t="n">
        <v>16540</v>
      </c>
      <c r="D19324" s="0" t="s">
        <v>64242</v>
      </c>
      <c r="E19324" s="0" t="s">
        <v>75</v>
      </c>
      <c r="F19324" s="0" t="s">
        <v>90</v>
      </c>
      <c r="G19324" s="0" t="s">
        <v>32</v>
      </c>
      <c r="H19324" s="0" t="n">
        <v>54</v>
      </c>
      <c r="I19324" s="0" t="s">
        <v>64249</v>
      </c>
      <c r="J19324" s="0" t="s">
        <v>64250</v>
      </c>
      <c r="K19324" s="0" t="s">
        <v>64251</v>
      </c>
      <c r="L19324" s="0" t="str">
        <f aca="false">HYPERLINK("https://www.ncbi.nlm.nih.gov/nuccore/CP000059.1?report=graph&amp;tracks=[key:gene_model_track,Options:GeneOnly]&amp;mk=16565:16584|offset_10|444444,16542:16561|offset_33|444444,16521:16540|offset_54|00cc00,16499:16518|offset_76|444444&amp;v=16364:16718&amp;c=444444", "offset 54")</f>
        <v>offset 54</v>
      </c>
    </row>
    <row r="19325" customFormat="false" ht="12.8" hidden="false" customHeight="false" outlineLevel="0" collapsed="false">
      <c r="A19325" s="0" t="s">
        <v>64160</v>
      </c>
      <c r="B19325" s="0" t="n">
        <v>16498</v>
      </c>
      <c r="C19325" s="0" t="n">
        <v>16518</v>
      </c>
      <c r="D19325" s="0" t="s">
        <v>64242</v>
      </c>
      <c r="E19325" s="0" t="s">
        <v>75</v>
      </c>
      <c r="F19325" s="0" t="s">
        <v>90</v>
      </c>
      <c r="G19325" s="0" t="s">
        <v>36</v>
      </c>
      <c r="H19325" s="0" t="n">
        <v>76</v>
      </c>
      <c r="I19325" s="0" t="s">
        <v>64252</v>
      </c>
      <c r="J19325" s="0" t="s">
        <v>64253</v>
      </c>
      <c r="K19325" s="0" t="s">
        <v>64254</v>
      </c>
      <c r="L19325" s="0" t="str">
        <f aca="false">HYPERLINK("https://www.ncbi.nlm.nih.gov/nuccore/CP000059.1?report=graph&amp;tracks=[key:gene_model_track,Options:GeneOnly]&amp;mk=16565:16584|offset_10|444444,16542:16561|offset_33|444444,16521:16540|offset_54|444444,16499:16518|offset_76|00cc00&amp;v=16364:16718&amp;c=444444", "offset 76")</f>
        <v>offset 76</v>
      </c>
    </row>
    <row r="19326" customFormat="false" ht="12.8" hidden="false" customHeight="false" outlineLevel="0" collapsed="false">
      <c r="A19326" s="0" t="s">
        <v>64160</v>
      </c>
      <c r="B19326" s="0" t="n">
        <v>16901</v>
      </c>
      <c r="C19326" s="0" t="n">
        <v>16921</v>
      </c>
      <c r="D19326" s="0" t="s">
        <v>64255</v>
      </c>
      <c r="E19326" s="0" t="s">
        <v>75</v>
      </c>
      <c r="F19326" s="0" t="s">
        <v>90</v>
      </c>
      <c r="G19326" s="0" t="s">
        <v>32</v>
      </c>
      <c r="H19326" s="0" t="n">
        <v>30</v>
      </c>
      <c r="I19326" s="0" t="s">
        <v>64256</v>
      </c>
      <c r="J19326" s="0" t="s">
        <v>64257</v>
      </c>
      <c r="K19326" s="0" t="s">
        <v>64258</v>
      </c>
      <c r="L19326" s="0" t="str">
        <f aca="false">HYPERLINK("https://www.ncbi.nlm.nih.gov/nuccore/CP000059.1?report=graph&amp;tracks=[key:gene_model_track,Options:GeneOnly]&amp;mk=16902:16921|offset_30|00cc00,16877:16896|offset_55|444444,16855:16874|offset_77|444444&amp;v=16701:17074&amp;c=444444", "offset 30")</f>
        <v>offset 30</v>
      </c>
    </row>
    <row r="19327" customFormat="false" ht="12.8" hidden="false" customHeight="false" outlineLevel="0" collapsed="false">
      <c r="A19327" s="0" t="s">
        <v>64160</v>
      </c>
      <c r="B19327" s="0" t="n">
        <v>16876</v>
      </c>
      <c r="C19327" s="0" t="n">
        <v>16896</v>
      </c>
      <c r="D19327" s="0" t="s">
        <v>64255</v>
      </c>
      <c r="E19327" s="0" t="s">
        <v>75</v>
      </c>
      <c r="F19327" s="0" t="s">
        <v>90</v>
      </c>
      <c r="G19327" s="0" t="s">
        <v>32</v>
      </c>
      <c r="H19327" s="0" t="n">
        <v>55</v>
      </c>
      <c r="I19327" s="0" t="s">
        <v>64259</v>
      </c>
      <c r="J19327" s="0" t="s">
        <v>64260</v>
      </c>
      <c r="K19327" s="0" t="s">
        <v>64261</v>
      </c>
      <c r="L19327" s="0" t="str">
        <f aca="false">HYPERLINK("https://www.ncbi.nlm.nih.gov/nuccore/CP000059.1?report=graph&amp;tracks=[key:gene_model_track,Options:GeneOnly]&amp;mk=16902:16921|offset_30|444444,16877:16896|offset_55|00cc00,16855:16874|offset_77|444444&amp;v=16701:17074&amp;c=444444", "offset 55")</f>
        <v>offset 55</v>
      </c>
    </row>
    <row r="19328" customFormat="false" ht="12.8" hidden="false" customHeight="false" outlineLevel="0" collapsed="false">
      <c r="A19328" s="0" t="s">
        <v>64160</v>
      </c>
      <c r="B19328" s="0" t="n">
        <v>16854</v>
      </c>
      <c r="C19328" s="0" t="n">
        <v>16874</v>
      </c>
      <c r="D19328" s="0" t="s">
        <v>64255</v>
      </c>
      <c r="E19328" s="0" t="s">
        <v>75</v>
      </c>
      <c r="F19328" s="0" t="s">
        <v>90</v>
      </c>
      <c r="G19328" s="0" t="s">
        <v>32</v>
      </c>
      <c r="H19328" s="0" t="n">
        <v>77</v>
      </c>
      <c r="I19328" s="0" t="s">
        <v>64262</v>
      </c>
      <c r="J19328" s="0" t="s">
        <v>64263</v>
      </c>
      <c r="K19328" s="0" t="s">
        <v>64264</v>
      </c>
      <c r="L19328" s="0" t="str">
        <f aca="false">HYPERLINK("https://www.ncbi.nlm.nih.gov/nuccore/CP000059.1?report=graph&amp;tracks=[key:gene_model_track,Options:GeneOnly]&amp;mk=16902:16921|offset_30|444444,16877:16896|offset_55|444444,16855:16874|offset_77|00cc00&amp;v=16701:17074&amp;c=444444", "offset 77")</f>
        <v>offset 77</v>
      </c>
    </row>
    <row r="19329" customFormat="false" ht="12.8" hidden="false" customHeight="false" outlineLevel="0" collapsed="false">
      <c r="A19329" s="0" t="s">
        <v>64160</v>
      </c>
      <c r="B19329" s="0" t="n">
        <v>17913</v>
      </c>
      <c r="C19329" s="0" t="n">
        <v>17933</v>
      </c>
      <c r="D19329" s="0" t="s">
        <v>64265</v>
      </c>
      <c r="E19329" s="0" t="s">
        <v>75</v>
      </c>
      <c r="F19329" s="0" t="s">
        <v>90</v>
      </c>
      <c r="G19329" s="0" t="s">
        <v>16</v>
      </c>
      <c r="H19329" s="0" t="n">
        <v>0</v>
      </c>
      <c r="I19329" s="0" t="s">
        <v>64266</v>
      </c>
      <c r="J19329" s="0" t="s">
        <v>64267</v>
      </c>
      <c r="K19329" s="0" t="s">
        <v>64268</v>
      </c>
      <c r="L19329" s="0" t="str">
        <f aca="false">HYPERLINK("https://www.ncbi.nlm.nih.gov/nuccore/CP000059.1?report=graph&amp;tracks=[key:gene_model_track,Options:GeneOnly]&amp;mk=17914:17933|offset_0|00cc00,17894:17913|offset_20|444444,17873:17892|offset_41|444444,17829:17848|offset_85|444444&amp;v=17713:18048&amp;c=444444", "offset 0")</f>
        <v>offset 0</v>
      </c>
    </row>
    <row r="19330" customFormat="false" ht="12.8" hidden="false" customHeight="false" outlineLevel="0" collapsed="false">
      <c r="A19330" s="0" t="s">
        <v>64160</v>
      </c>
      <c r="B19330" s="0" t="n">
        <v>17893</v>
      </c>
      <c r="C19330" s="0" t="n">
        <v>17913</v>
      </c>
      <c r="D19330" s="0" t="s">
        <v>64265</v>
      </c>
      <c r="E19330" s="0" t="s">
        <v>75</v>
      </c>
      <c r="F19330" s="0" t="s">
        <v>90</v>
      </c>
      <c r="G19330" s="0" t="s">
        <v>20</v>
      </c>
      <c r="H19330" s="0" t="n">
        <v>20</v>
      </c>
      <c r="I19330" s="0" t="s">
        <v>64269</v>
      </c>
      <c r="J19330" s="0" t="s">
        <v>64270</v>
      </c>
      <c r="K19330" s="0" t="s">
        <v>64271</v>
      </c>
      <c r="L19330" s="0" t="str">
        <f aca="false">HYPERLINK("https://www.ncbi.nlm.nih.gov/nuccore/CP000059.1?report=graph&amp;tracks=[key:gene_model_track,Options:GeneOnly]&amp;mk=17914:17933|offset_0|444444,17894:17913|offset_20|00cc00,17873:17892|offset_41|444444,17829:17848|offset_85|444444&amp;v=17713:18048&amp;c=444444", "offset 20")</f>
        <v>offset 20</v>
      </c>
    </row>
    <row r="19331" customFormat="false" ht="12.8" hidden="false" customHeight="false" outlineLevel="0" collapsed="false">
      <c r="A19331" s="0" t="s">
        <v>64160</v>
      </c>
      <c r="B19331" s="0" t="n">
        <v>17872</v>
      </c>
      <c r="C19331" s="0" t="n">
        <v>17892</v>
      </c>
      <c r="D19331" s="0" t="s">
        <v>64265</v>
      </c>
      <c r="E19331" s="0" t="s">
        <v>75</v>
      </c>
      <c r="F19331" s="0" t="s">
        <v>90</v>
      </c>
      <c r="G19331" s="0" t="s">
        <v>32</v>
      </c>
      <c r="H19331" s="0" t="n">
        <v>41</v>
      </c>
      <c r="I19331" s="0" t="s">
        <v>64272</v>
      </c>
      <c r="J19331" s="0" t="s">
        <v>64273</v>
      </c>
      <c r="K19331" s="0" t="s">
        <v>64274</v>
      </c>
      <c r="L19331" s="0" t="str">
        <f aca="false">HYPERLINK("https://www.ncbi.nlm.nih.gov/nuccore/CP000059.1?report=graph&amp;tracks=[key:gene_model_track,Options:GeneOnly]&amp;mk=17914:17933|offset_0|444444,17894:17913|offset_20|444444,17873:17892|offset_41|00cc00,17829:17848|offset_85|444444&amp;v=17713:18048&amp;c=444444", "offset 41")</f>
        <v>offset 41</v>
      </c>
    </row>
    <row r="19332" customFormat="false" ht="12.8" hidden="false" customHeight="false" outlineLevel="0" collapsed="false">
      <c r="A19332" s="0" t="s">
        <v>64160</v>
      </c>
      <c r="B19332" s="0" t="n">
        <v>17828</v>
      </c>
      <c r="C19332" s="0" t="n">
        <v>17848</v>
      </c>
      <c r="D19332" s="0" t="s">
        <v>64265</v>
      </c>
      <c r="E19332" s="0" t="s">
        <v>75</v>
      </c>
      <c r="F19332" s="0" t="s">
        <v>90</v>
      </c>
      <c r="G19332" s="0" t="s">
        <v>16</v>
      </c>
      <c r="H19332" s="0" t="n">
        <v>85</v>
      </c>
      <c r="I19332" s="0" t="s">
        <v>64275</v>
      </c>
      <c r="J19332" s="0" t="s">
        <v>64276</v>
      </c>
      <c r="K19332" s="0" t="s">
        <v>64277</v>
      </c>
      <c r="L19332" s="0" t="str">
        <f aca="false">HYPERLINK("https://www.ncbi.nlm.nih.gov/nuccore/CP000059.1?report=graph&amp;tracks=[key:gene_model_track,Options:GeneOnly]&amp;mk=17914:17933|offset_0|444444,17894:17913|offset_20|444444,17873:17892|offset_41|444444,17829:17848|offset_85|00cc00&amp;v=17713:18048&amp;c=444444", "offset 85")</f>
        <v>offset 85</v>
      </c>
    </row>
    <row r="19333" customFormat="false" ht="12.8" hidden="false" customHeight="false" outlineLevel="0" collapsed="false">
      <c r="A19333" s="0" t="s">
        <v>64160</v>
      </c>
      <c r="B19333" s="0" t="n">
        <v>18439</v>
      </c>
      <c r="C19333" s="0" t="n">
        <v>18459</v>
      </c>
      <c r="D19333" s="0" t="s">
        <v>64278</v>
      </c>
      <c r="E19333" s="0" t="s">
        <v>75</v>
      </c>
      <c r="F19333" s="0" t="s">
        <v>15</v>
      </c>
      <c r="G19333" s="0" t="s">
        <v>20</v>
      </c>
      <c r="H19333" s="0" t="n">
        <v>22</v>
      </c>
      <c r="I19333" s="0" t="s">
        <v>64279</v>
      </c>
      <c r="J19333" s="0" t="s">
        <v>64280</v>
      </c>
      <c r="K19333" s="0" t="s">
        <v>64281</v>
      </c>
      <c r="L19333" s="0" t="str">
        <f aca="false">HYPERLINK("https://www.ncbi.nlm.nih.gov/nuccore/CP000059.1?report=graph&amp;tracks=[key:gene_model_track,Options:GeneOnly]&amp;mk=18440:18459|offset_22|00cc00,18461:18480|offset_43|444444,18506:18525|offset_88|444444,18592:18611|offset_174|444444&amp;v=18239:18811&amp;c=444444", "offset 22")</f>
        <v>offset 22</v>
      </c>
    </row>
    <row r="19334" customFormat="false" ht="12.8" hidden="false" customHeight="false" outlineLevel="0" collapsed="false">
      <c r="A19334" s="0" t="s">
        <v>64160</v>
      </c>
      <c r="B19334" s="0" t="n">
        <v>18460</v>
      </c>
      <c r="C19334" s="0" t="n">
        <v>18480</v>
      </c>
      <c r="D19334" s="0" t="s">
        <v>64278</v>
      </c>
      <c r="E19334" s="0" t="s">
        <v>75</v>
      </c>
      <c r="F19334" s="0" t="s">
        <v>15</v>
      </c>
      <c r="G19334" s="0" t="s">
        <v>36</v>
      </c>
      <c r="H19334" s="0" t="n">
        <v>43</v>
      </c>
      <c r="I19334" s="0" t="s">
        <v>64282</v>
      </c>
      <c r="J19334" s="0" t="s">
        <v>64283</v>
      </c>
      <c r="K19334" s="0" t="s">
        <v>64284</v>
      </c>
      <c r="L19334" s="0" t="str">
        <f aca="false">HYPERLINK("https://www.ncbi.nlm.nih.gov/nuccore/CP000059.1?report=graph&amp;tracks=[key:gene_model_track,Options:GeneOnly]&amp;mk=18440:18459|offset_22|444444,18461:18480|offset_43|00cc00,18506:18525|offset_88|444444,18592:18611|offset_174|444444&amp;v=18239:18811&amp;c=444444", "offset 43")</f>
        <v>offset 43</v>
      </c>
    </row>
    <row r="19335" customFormat="false" ht="12.8" hidden="false" customHeight="false" outlineLevel="0" collapsed="false">
      <c r="A19335" s="0" t="s">
        <v>64160</v>
      </c>
      <c r="B19335" s="0" t="n">
        <v>18505</v>
      </c>
      <c r="C19335" s="0" t="n">
        <v>18525</v>
      </c>
      <c r="D19335" s="0" t="s">
        <v>64278</v>
      </c>
      <c r="E19335" s="0" t="s">
        <v>75</v>
      </c>
      <c r="F19335" s="0" t="s">
        <v>15</v>
      </c>
      <c r="G19335" s="0" t="s">
        <v>32</v>
      </c>
      <c r="H19335" s="0" t="n">
        <v>88</v>
      </c>
      <c r="I19335" s="0" t="s">
        <v>64285</v>
      </c>
      <c r="J19335" s="0" t="s">
        <v>64286</v>
      </c>
      <c r="K19335" s="0" t="s">
        <v>64287</v>
      </c>
      <c r="L19335" s="0" t="str">
        <f aca="false">HYPERLINK("https://www.ncbi.nlm.nih.gov/nuccore/CP000059.1?report=graph&amp;tracks=[key:gene_model_track,Options:GeneOnly]&amp;mk=18440:18459|offset_22|444444,18461:18480|offset_43|444444,18506:18525|offset_88|00cc00,18592:18611|offset_174|444444&amp;v=18239:18811&amp;c=444444", "offset 88")</f>
        <v>offset 88</v>
      </c>
    </row>
    <row r="19336" customFormat="false" ht="12.8" hidden="false" customHeight="false" outlineLevel="0" collapsed="false">
      <c r="A19336" s="0" t="s">
        <v>64160</v>
      </c>
      <c r="B19336" s="0" t="n">
        <v>18591</v>
      </c>
      <c r="C19336" s="0" t="n">
        <v>18611</v>
      </c>
      <c r="D19336" s="0" t="s">
        <v>64278</v>
      </c>
      <c r="E19336" s="0" t="s">
        <v>75</v>
      </c>
      <c r="F19336" s="0" t="s">
        <v>15</v>
      </c>
      <c r="G19336" s="0" t="s">
        <v>36</v>
      </c>
      <c r="H19336" s="0" t="n">
        <v>174</v>
      </c>
      <c r="I19336" s="0" t="s">
        <v>64288</v>
      </c>
      <c r="J19336" s="0" t="s">
        <v>64289</v>
      </c>
      <c r="K19336" s="0" t="s">
        <v>64290</v>
      </c>
      <c r="L19336" s="0" t="str">
        <f aca="false">HYPERLINK("https://www.ncbi.nlm.nih.gov/nuccore/CP000059.1?report=graph&amp;tracks=[key:gene_model_track,Options:GeneOnly]&amp;mk=18440:18459|offset_22|444444,18461:18480|offset_43|444444,18506:18525|offset_88|444444,18592:18611|offset_174|00cc00&amp;v=18239:18811&amp;c=444444", "offset 174")</f>
        <v>offset 174</v>
      </c>
    </row>
    <row r="19337" customFormat="false" ht="12.8" hidden="false" customHeight="false" outlineLevel="0" collapsed="false">
      <c r="A19337" s="0" t="s">
        <v>64160</v>
      </c>
      <c r="B19337" s="0" t="n">
        <v>18766</v>
      </c>
      <c r="C19337" s="0" t="n">
        <v>18786</v>
      </c>
      <c r="D19337" s="0" t="s">
        <v>64291</v>
      </c>
      <c r="E19337" s="0" t="s">
        <v>75</v>
      </c>
      <c r="F19337" s="0" t="s">
        <v>15</v>
      </c>
      <c r="G19337" s="0" t="s">
        <v>20</v>
      </c>
      <c r="H19337" s="0" t="n">
        <v>0</v>
      </c>
      <c r="I19337" s="0" t="s">
        <v>64292</v>
      </c>
      <c r="J19337" s="0" t="s">
        <v>64293</v>
      </c>
      <c r="K19337" s="0" t="s">
        <v>64294</v>
      </c>
      <c r="L19337" s="0" t="str">
        <f aca="false">HYPERLINK("https://www.ncbi.nlm.nih.gov/nuccore/CP000059.1?report=graph&amp;tracks=[key:gene_model_track,Options:GeneOnly]&amp;mk=18767:18786|offset_0|00cc00,18787:18806|offset_20|444444,18831:18850|offset_64|444444,18863:18882|offset_96|444444&amp;v=18566:19082&amp;c=444444", "offset 0")</f>
        <v>offset 0</v>
      </c>
    </row>
    <row r="19338" customFormat="false" ht="12.8" hidden="false" customHeight="false" outlineLevel="0" collapsed="false">
      <c r="A19338" s="0" t="s">
        <v>64160</v>
      </c>
      <c r="B19338" s="0" t="n">
        <v>18786</v>
      </c>
      <c r="C19338" s="0" t="n">
        <v>18806</v>
      </c>
      <c r="D19338" s="0" t="s">
        <v>64291</v>
      </c>
      <c r="E19338" s="0" t="s">
        <v>75</v>
      </c>
      <c r="F19338" s="0" t="s">
        <v>15</v>
      </c>
      <c r="G19338" s="0" t="s">
        <v>20</v>
      </c>
      <c r="H19338" s="0" t="n">
        <v>20</v>
      </c>
      <c r="I19338" s="0" t="s">
        <v>64295</v>
      </c>
      <c r="J19338" s="0" t="s">
        <v>64296</v>
      </c>
      <c r="K19338" s="0" t="s">
        <v>64297</v>
      </c>
      <c r="L19338" s="0" t="str">
        <f aca="false">HYPERLINK("https://www.ncbi.nlm.nih.gov/nuccore/CP000059.1?report=graph&amp;tracks=[key:gene_model_track,Options:GeneOnly]&amp;mk=18767:18786|offset_0|444444,18787:18806|offset_20|00cc00,18831:18850|offset_64|444444,18863:18882|offset_96|444444&amp;v=18566:19082&amp;c=444444", "offset 20")</f>
        <v>offset 20</v>
      </c>
    </row>
    <row r="19339" customFormat="false" ht="12.8" hidden="false" customHeight="false" outlineLevel="0" collapsed="false">
      <c r="A19339" s="0" t="s">
        <v>64160</v>
      </c>
      <c r="B19339" s="0" t="n">
        <v>18830</v>
      </c>
      <c r="C19339" s="0" t="n">
        <v>18850</v>
      </c>
      <c r="D19339" s="0" t="s">
        <v>64291</v>
      </c>
      <c r="E19339" s="0" t="s">
        <v>75</v>
      </c>
      <c r="F19339" s="0" t="s">
        <v>15</v>
      </c>
      <c r="G19339" s="0" t="s">
        <v>36</v>
      </c>
      <c r="H19339" s="0" t="n">
        <v>64</v>
      </c>
      <c r="I19339" s="0" t="s">
        <v>64298</v>
      </c>
      <c r="J19339" s="0" t="s">
        <v>64299</v>
      </c>
      <c r="K19339" s="0" t="s">
        <v>64300</v>
      </c>
      <c r="L19339" s="0" t="str">
        <f aca="false">HYPERLINK("https://www.ncbi.nlm.nih.gov/nuccore/CP000059.1?report=graph&amp;tracks=[key:gene_model_track,Options:GeneOnly]&amp;mk=18767:18786|offset_0|444444,18787:18806|offset_20|444444,18831:18850|offset_64|00cc00,18863:18882|offset_96|444444&amp;v=18566:19082&amp;c=444444", "offset 64")</f>
        <v>offset 64</v>
      </c>
    </row>
    <row r="19340" customFormat="false" ht="12.8" hidden="false" customHeight="false" outlineLevel="0" collapsed="false">
      <c r="A19340" s="0" t="s">
        <v>64160</v>
      </c>
      <c r="B19340" s="0" t="n">
        <v>18862</v>
      </c>
      <c r="C19340" s="0" t="n">
        <v>18882</v>
      </c>
      <c r="D19340" s="0" t="s">
        <v>64291</v>
      </c>
      <c r="E19340" s="0" t="s">
        <v>75</v>
      </c>
      <c r="F19340" s="0" t="s">
        <v>15</v>
      </c>
      <c r="G19340" s="0" t="s">
        <v>20</v>
      </c>
      <c r="H19340" s="0" t="n">
        <v>96</v>
      </c>
      <c r="I19340" s="0" t="s">
        <v>64301</v>
      </c>
      <c r="J19340" s="0" t="s">
        <v>64302</v>
      </c>
      <c r="K19340" s="0" t="s">
        <v>64303</v>
      </c>
      <c r="L19340" s="0" t="str">
        <f aca="false">HYPERLINK("https://www.ncbi.nlm.nih.gov/nuccore/CP000059.1?report=graph&amp;tracks=[key:gene_model_track,Options:GeneOnly]&amp;mk=18767:18786|offset_0|444444,18787:18806|offset_20|444444,18831:18850|offset_64|444444,18863:18882|offset_96|00cc00&amp;v=18566:19082&amp;c=444444", "offset 96")</f>
        <v>offset 96</v>
      </c>
    </row>
    <row r="19341" customFormat="false" ht="12.8" hidden="false" customHeight="false" outlineLevel="0" collapsed="false">
      <c r="A19341" s="0" t="s">
        <v>64160</v>
      </c>
      <c r="B19341" s="0" t="n">
        <v>19275</v>
      </c>
      <c r="C19341" s="0" t="n">
        <v>19295</v>
      </c>
      <c r="D19341" s="0" t="s">
        <v>64304</v>
      </c>
      <c r="E19341" s="0" t="s">
        <v>75</v>
      </c>
      <c r="F19341" s="0" t="s">
        <v>90</v>
      </c>
      <c r="G19341" s="0" t="s">
        <v>20</v>
      </c>
      <c r="H19341" s="0" t="n">
        <v>7</v>
      </c>
      <c r="I19341" s="0" t="s">
        <v>64305</v>
      </c>
      <c r="J19341" s="0" t="s">
        <v>64306</v>
      </c>
      <c r="K19341" s="0" t="s">
        <v>64307</v>
      </c>
      <c r="L19341" s="0" t="str">
        <f aca="false">HYPERLINK("https://www.ncbi.nlm.nih.gov/nuccore/CP000059.1?report=graph&amp;tracks=[key:gene_model_track,Options:GeneOnly]&amp;mk=19276:19295|offset_7|00cc00,19251:19270|offset_32|444444,19192:19211|offset_91|444444&amp;v=19075:19411&amp;c=444444", "offset 7")</f>
        <v>offset 7</v>
      </c>
    </row>
    <row r="19342" customFormat="false" ht="12.8" hidden="false" customHeight="false" outlineLevel="0" collapsed="false">
      <c r="A19342" s="0" t="s">
        <v>64160</v>
      </c>
      <c r="B19342" s="0" t="n">
        <v>19250</v>
      </c>
      <c r="C19342" s="0" t="n">
        <v>19270</v>
      </c>
      <c r="D19342" s="0" t="s">
        <v>64304</v>
      </c>
      <c r="E19342" s="0" t="s">
        <v>75</v>
      </c>
      <c r="F19342" s="0" t="s">
        <v>90</v>
      </c>
      <c r="G19342" s="0" t="s">
        <v>36</v>
      </c>
      <c r="H19342" s="0" t="n">
        <v>32</v>
      </c>
      <c r="I19342" s="0" t="s">
        <v>64308</v>
      </c>
      <c r="J19342" s="0" t="s">
        <v>64309</v>
      </c>
      <c r="K19342" s="0" t="s">
        <v>64310</v>
      </c>
      <c r="L19342" s="0" t="str">
        <f aca="false">HYPERLINK("https://www.ncbi.nlm.nih.gov/nuccore/CP000059.1?report=graph&amp;tracks=[key:gene_model_track,Options:GeneOnly]&amp;mk=19276:19295|offset_7|444444,19251:19270|offset_32|00cc00,19192:19211|offset_91|444444&amp;v=19075:19411&amp;c=444444", "offset 32")</f>
        <v>offset 32</v>
      </c>
    </row>
    <row r="19343" customFormat="false" ht="12.8" hidden="false" customHeight="false" outlineLevel="0" collapsed="false">
      <c r="A19343" s="0" t="s">
        <v>64160</v>
      </c>
      <c r="B19343" s="0" t="n">
        <v>19191</v>
      </c>
      <c r="C19343" s="0" t="n">
        <v>19211</v>
      </c>
      <c r="D19343" s="0" t="s">
        <v>64304</v>
      </c>
      <c r="E19343" s="0" t="s">
        <v>75</v>
      </c>
      <c r="F19343" s="0" t="s">
        <v>90</v>
      </c>
      <c r="G19343" s="0" t="s">
        <v>16</v>
      </c>
      <c r="H19343" s="0" t="n">
        <v>91</v>
      </c>
      <c r="I19343" s="0" t="s">
        <v>64311</v>
      </c>
      <c r="J19343" s="0" t="s">
        <v>64312</v>
      </c>
      <c r="K19343" s="0" t="s">
        <v>64313</v>
      </c>
      <c r="L19343" s="0" t="str">
        <f aca="false">HYPERLINK("https://www.ncbi.nlm.nih.gov/nuccore/CP000059.1?report=graph&amp;tracks=[key:gene_model_track,Options:GeneOnly]&amp;mk=19276:19295|offset_7|444444,19251:19270|offset_32|444444,19192:19211|offset_91|00cc00&amp;v=19075:19411&amp;c=444444", "offset 91")</f>
        <v>offset 91</v>
      </c>
    </row>
    <row r="19344" customFormat="false" ht="12.8" hidden="false" customHeight="false" outlineLevel="0" collapsed="false">
      <c r="A19344" s="0" t="s">
        <v>64160</v>
      </c>
      <c r="B19344" s="0" t="n">
        <v>20284</v>
      </c>
      <c r="C19344" s="0" t="n">
        <v>20304</v>
      </c>
      <c r="D19344" s="0" t="s">
        <v>64314</v>
      </c>
      <c r="E19344" s="0" t="s">
        <v>75</v>
      </c>
      <c r="F19344" s="0" t="s">
        <v>90</v>
      </c>
      <c r="G19344" s="0" t="s">
        <v>16</v>
      </c>
      <c r="H19344" s="0" t="n">
        <v>42</v>
      </c>
      <c r="I19344" s="0" t="s">
        <v>64315</v>
      </c>
      <c r="J19344" s="0" t="s">
        <v>64316</v>
      </c>
      <c r="K19344" s="0" t="s">
        <v>64317</v>
      </c>
      <c r="L19344" s="0" t="str">
        <f aca="false">HYPERLINK("https://www.ncbi.nlm.nih.gov/nuccore/CP000059.1?report=graph&amp;tracks=[key:gene_model_track,Options:GeneOnly]&amp;mk=20285:20304|offset_42|00cc00,20234:20253|offset_93|444444,20104:20123|offset_223|444444&amp;v=20084:20323&amp;c=444444", "offset 42")</f>
        <v>offset 42</v>
      </c>
    </row>
    <row r="19345" customFormat="false" ht="12.8" hidden="false" customHeight="false" outlineLevel="0" collapsed="false">
      <c r="A19345" s="0" t="s">
        <v>64160</v>
      </c>
      <c r="B19345" s="0" t="n">
        <v>20233</v>
      </c>
      <c r="C19345" s="0" t="n">
        <v>20253</v>
      </c>
      <c r="D19345" s="0" t="s">
        <v>64314</v>
      </c>
      <c r="E19345" s="0" t="s">
        <v>75</v>
      </c>
      <c r="F19345" s="0" t="s">
        <v>90</v>
      </c>
      <c r="G19345" s="0" t="s">
        <v>36</v>
      </c>
      <c r="H19345" s="0" t="n">
        <v>93</v>
      </c>
      <c r="I19345" s="0" t="s">
        <v>64318</v>
      </c>
      <c r="J19345" s="0" t="s">
        <v>64319</v>
      </c>
      <c r="K19345" s="0" t="s">
        <v>64320</v>
      </c>
      <c r="L19345" s="0" t="str">
        <f aca="false">HYPERLINK("https://www.ncbi.nlm.nih.gov/nuccore/CP000059.1?report=graph&amp;tracks=[key:gene_model_track,Options:GeneOnly]&amp;mk=20285:20304|offset_42|444444,20234:20253|offset_93|00cc00,20104:20123|offset_223|444444&amp;v=20084:20323&amp;c=444444", "offset 93")</f>
        <v>offset 93</v>
      </c>
    </row>
    <row r="19346" customFormat="false" ht="12.8" hidden="false" customHeight="false" outlineLevel="0" collapsed="false">
      <c r="A19346" s="0" t="s">
        <v>64160</v>
      </c>
      <c r="B19346" s="0" t="n">
        <v>20103</v>
      </c>
      <c r="C19346" s="0" t="n">
        <v>20123</v>
      </c>
      <c r="D19346" s="0" t="s">
        <v>64314</v>
      </c>
      <c r="E19346" s="0" t="s">
        <v>75</v>
      </c>
      <c r="F19346" s="0" t="s">
        <v>90</v>
      </c>
      <c r="G19346" s="0" t="s">
        <v>36</v>
      </c>
      <c r="H19346" s="0" t="n">
        <v>223</v>
      </c>
      <c r="I19346" s="0" t="s">
        <v>64321</v>
      </c>
      <c r="J19346" s="0" t="s">
        <v>64322</v>
      </c>
      <c r="K19346" s="0" t="s">
        <v>64323</v>
      </c>
      <c r="L19346" s="0" t="str">
        <f aca="false">HYPERLINK("https://www.ncbi.nlm.nih.gov/nuccore/CP000059.1?report=graph&amp;tracks=[key:gene_model_track,Options:GeneOnly]&amp;mk=20285:20304|offset_42|444444,20234:20253|offset_93|444444,20104:20123|offset_223|00cc00&amp;v=20084:20323&amp;c=444444", "offset 223")</f>
        <v>offset 223</v>
      </c>
    </row>
    <row r="19347" customFormat="false" ht="12.8" hidden="false" customHeight="false" outlineLevel="0" collapsed="false">
      <c r="A19347" s="0" t="s">
        <v>64160</v>
      </c>
      <c r="B19347" s="0" t="n">
        <v>20387</v>
      </c>
      <c r="C19347" s="0" t="n">
        <v>20407</v>
      </c>
      <c r="D19347" s="0" t="s">
        <v>64324</v>
      </c>
      <c r="E19347" s="0" t="s">
        <v>75</v>
      </c>
      <c r="F19347" s="0" t="s">
        <v>15</v>
      </c>
      <c r="G19347" s="0" t="s">
        <v>36</v>
      </c>
      <c r="H19347" s="0" t="n">
        <v>8</v>
      </c>
      <c r="I19347" s="0" t="s">
        <v>64325</v>
      </c>
      <c r="J19347" s="0" t="s">
        <v>64326</v>
      </c>
      <c r="K19347" s="0" t="s">
        <v>64327</v>
      </c>
      <c r="L19347" s="0" t="str">
        <f aca="false">HYPERLINK("https://www.ncbi.nlm.nih.gov/nuccore/CP000059.1?report=graph&amp;tracks=[key:gene_model_track,Options:GeneOnly]&amp;mk=20388:20407|offset_8|00cc00,20415:20434|offset_35|444444,20443:20462|offset_63|444444,20481:20500|offset_101|444444&amp;v=20187:20700&amp;c=444444", "offset 8")</f>
        <v>offset 8</v>
      </c>
    </row>
    <row r="19348" customFormat="false" ht="12.8" hidden="false" customHeight="false" outlineLevel="0" collapsed="false">
      <c r="A19348" s="0" t="s">
        <v>64160</v>
      </c>
      <c r="B19348" s="0" t="n">
        <v>20414</v>
      </c>
      <c r="C19348" s="0" t="n">
        <v>20434</v>
      </c>
      <c r="D19348" s="0" t="s">
        <v>64324</v>
      </c>
      <c r="E19348" s="0" t="s">
        <v>75</v>
      </c>
      <c r="F19348" s="0" t="s">
        <v>15</v>
      </c>
      <c r="G19348" s="0" t="s">
        <v>36</v>
      </c>
      <c r="H19348" s="0" t="n">
        <v>35</v>
      </c>
      <c r="I19348" s="0" t="s">
        <v>64328</v>
      </c>
      <c r="J19348" s="0" t="s">
        <v>64329</v>
      </c>
      <c r="K19348" s="0" t="s">
        <v>64330</v>
      </c>
      <c r="L19348" s="0" t="str">
        <f aca="false">HYPERLINK("https://www.ncbi.nlm.nih.gov/nuccore/CP000059.1?report=graph&amp;tracks=[key:gene_model_track,Options:GeneOnly]&amp;mk=20388:20407|offset_8|444444,20415:20434|offset_35|00cc00,20443:20462|offset_63|444444,20481:20500|offset_101|444444&amp;v=20187:20700&amp;c=444444", "offset 35")</f>
        <v>offset 35</v>
      </c>
    </row>
    <row r="19349" customFormat="false" ht="12.8" hidden="false" customHeight="false" outlineLevel="0" collapsed="false">
      <c r="A19349" s="0" t="s">
        <v>64160</v>
      </c>
      <c r="B19349" s="0" t="n">
        <v>20442</v>
      </c>
      <c r="C19349" s="0" t="n">
        <v>20462</v>
      </c>
      <c r="D19349" s="0" t="s">
        <v>64324</v>
      </c>
      <c r="E19349" s="0" t="s">
        <v>75</v>
      </c>
      <c r="F19349" s="0" t="s">
        <v>15</v>
      </c>
      <c r="G19349" s="0" t="s">
        <v>20</v>
      </c>
      <c r="H19349" s="0" t="n">
        <v>63</v>
      </c>
      <c r="I19349" s="0" t="s">
        <v>64331</v>
      </c>
      <c r="J19349" s="0" t="s">
        <v>64332</v>
      </c>
      <c r="K19349" s="0" t="s">
        <v>64333</v>
      </c>
      <c r="L19349" s="0" t="str">
        <f aca="false">HYPERLINK("https://www.ncbi.nlm.nih.gov/nuccore/CP000059.1?report=graph&amp;tracks=[key:gene_model_track,Options:GeneOnly]&amp;mk=20388:20407|offset_8|444444,20415:20434|offset_35|444444,20443:20462|offset_63|00cc00,20481:20500|offset_101|444444&amp;v=20187:20700&amp;c=444444", "offset 63")</f>
        <v>offset 63</v>
      </c>
    </row>
    <row r="19350" customFormat="false" ht="12.8" hidden="false" customHeight="false" outlineLevel="0" collapsed="false">
      <c r="A19350" s="0" t="s">
        <v>64160</v>
      </c>
      <c r="B19350" s="0" t="n">
        <v>20480</v>
      </c>
      <c r="C19350" s="0" t="n">
        <v>20500</v>
      </c>
      <c r="D19350" s="0" t="s">
        <v>64324</v>
      </c>
      <c r="E19350" s="0" t="s">
        <v>75</v>
      </c>
      <c r="F19350" s="0" t="s">
        <v>15</v>
      </c>
      <c r="G19350" s="0" t="s">
        <v>32</v>
      </c>
      <c r="H19350" s="0" t="n">
        <v>101</v>
      </c>
      <c r="I19350" s="0" t="s">
        <v>64334</v>
      </c>
      <c r="J19350" s="0" t="s">
        <v>64335</v>
      </c>
      <c r="K19350" s="0" t="s">
        <v>64336</v>
      </c>
      <c r="L19350" s="0" t="str">
        <f aca="false">HYPERLINK("https://www.ncbi.nlm.nih.gov/nuccore/CP000059.1?report=graph&amp;tracks=[key:gene_model_track,Options:GeneOnly]&amp;mk=20388:20407|offset_8|444444,20415:20434|offset_35|444444,20443:20462|offset_63|444444,20481:20500|offset_101|00cc00&amp;v=20187:20700&amp;c=444444", "offset 101")</f>
        <v>offset 101</v>
      </c>
    </row>
    <row r="19351" customFormat="false" ht="12.8" hidden="false" customHeight="false" outlineLevel="0" collapsed="false">
      <c r="A19351" s="0" t="s">
        <v>64160</v>
      </c>
      <c r="B19351" s="0" t="n">
        <v>22194</v>
      </c>
      <c r="C19351" s="0" t="n">
        <v>22214</v>
      </c>
      <c r="D19351" s="0" t="s">
        <v>64337</v>
      </c>
      <c r="E19351" s="0" t="s">
        <v>75</v>
      </c>
      <c r="F19351" s="0" t="s">
        <v>90</v>
      </c>
      <c r="G19351" s="0" t="s">
        <v>32</v>
      </c>
      <c r="H19351" s="0" t="n">
        <v>7</v>
      </c>
      <c r="I19351" s="0" t="s">
        <v>61313</v>
      </c>
      <c r="J19351" s="0" t="s">
        <v>61314</v>
      </c>
      <c r="K19351" s="0" t="s">
        <v>61315</v>
      </c>
      <c r="L19351" s="0" t="str">
        <f aca="false">HYPERLINK("https://www.ncbi.nlm.nih.gov/nuccore/CP000059.1?report=graph&amp;tracks=[key:gene_model_track,Options:GeneOnly]&amp;mk=22195:22214|offset_7|00cc00,22173:22192|offset_29|444444,22130:22149|offset_72|444444,22083:22102|offset_119|444444&amp;v=21994:22302&amp;c=444444", "offset 7")</f>
        <v>offset 7</v>
      </c>
    </row>
    <row r="19352" customFormat="false" ht="12.8" hidden="false" customHeight="false" outlineLevel="0" collapsed="false">
      <c r="A19352" s="0" t="s">
        <v>64160</v>
      </c>
      <c r="B19352" s="0" t="n">
        <v>22172</v>
      </c>
      <c r="C19352" s="0" t="n">
        <v>22192</v>
      </c>
      <c r="D19352" s="0" t="s">
        <v>64337</v>
      </c>
      <c r="E19352" s="0" t="s">
        <v>75</v>
      </c>
      <c r="F19352" s="0" t="s">
        <v>90</v>
      </c>
      <c r="G19352" s="0" t="s">
        <v>32</v>
      </c>
      <c r="H19352" s="0" t="n">
        <v>29</v>
      </c>
      <c r="I19352" s="0" t="s">
        <v>61316</v>
      </c>
      <c r="J19352" s="0" t="s">
        <v>61317</v>
      </c>
      <c r="K19352" s="0" t="s">
        <v>61318</v>
      </c>
      <c r="L19352" s="0" t="str">
        <f aca="false">HYPERLINK("https://www.ncbi.nlm.nih.gov/nuccore/CP000059.1?report=graph&amp;tracks=[key:gene_model_track,Options:GeneOnly]&amp;mk=22195:22214|offset_7|444444,22173:22192|offset_29|00cc00,22130:22149|offset_72|444444,22083:22102|offset_119|444444&amp;v=21994:22302&amp;c=444444", "offset 29")</f>
        <v>offset 29</v>
      </c>
    </row>
    <row r="19353" customFormat="false" ht="12.8" hidden="false" customHeight="false" outlineLevel="0" collapsed="false">
      <c r="A19353" s="0" t="s">
        <v>64160</v>
      </c>
      <c r="B19353" s="0" t="n">
        <v>22129</v>
      </c>
      <c r="C19353" s="0" t="n">
        <v>22149</v>
      </c>
      <c r="D19353" s="0" t="s">
        <v>64337</v>
      </c>
      <c r="E19353" s="0" t="s">
        <v>75</v>
      </c>
      <c r="F19353" s="0" t="s">
        <v>90</v>
      </c>
      <c r="G19353" s="0" t="s">
        <v>36</v>
      </c>
      <c r="H19353" s="0" t="n">
        <v>72</v>
      </c>
      <c r="I19353" s="0" t="s">
        <v>61319</v>
      </c>
      <c r="J19353" s="0" t="s">
        <v>61320</v>
      </c>
      <c r="K19353" s="0" t="s">
        <v>61321</v>
      </c>
      <c r="L19353" s="0" t="str">
        <f aca="false">HYPERLINK("https://www.ncbi.nlm.nih.gov/nuccore/CP000059.1?report=graph&amp;tracks=[key:gene_model_track,Options:GeneOnly]&amp;mk=22195:22214|offset_7|444444,22173:22192|offset_29|444444,22130:22149|offset_72|00cc00,22083:22102|offset_119|444444&amp;v=21994:22302&amp;c=444444", "offset 72")</f>
        <v>offset 72</v>
      </c>
    </row>
    <row r="19354" customFormat="false" ht="12.8" hidden="false" customHeight="false" outlineLevel="0" collapsed="false">
      <c r="A19354" s="0" t="s">
        <v>64160</v>
      </c>
      <c r="B19354" s="0" t="n">
        <v>22082</v>
      </c>
      <c r="C19354" s="0" t="n">
        <v>22102</v>
      </c>
      <c r="D19354" s="0" t="s">
        <v>64337</v>
      </c>
      <c r="E19354" s="0" t="s">
        <v>75</v>
      </c>
      <c r="F19354" s="0" t="s">
        <v>90</v>
      </c>
      <c r="G19354" s="0" t="s">
        <v>36</v>
      </c>
      <c r="H19354" s="0" t="n">
        <v>119</v>
      </c>
      <c r="I19354" s="0" t="s">
        <v>61322</v>
      </c>
      <c r="J19354" s="0" t="s">
        <v>61323</v>
      </c>
      <c r="K19354" s="0" t="s">
        <v>61324</v>
      </c>
      <c r="L19354" s="0" t="str">
        <f aca="false">HYPERLINK("https://www.ncbi.nlm.nih.gov/nuccore/CP000059.1?report=graph&amp;tracks=[key:gene_model_track,Options:GeneOnly]&amp;mk=22195:22214|offset_7|444444,22173:22192|offset_29|444444,22130:22149|offset_72|444444,22083:22102|offset_119|00cc00&amp;v=21994:22302&amp;c=444444", "offset 119")</f>
        <v>offset 119</v>
      </c>
    </row>
    <row r="19355" customFormat="false" ht="12.8" hidden="false" customHeight="false" outlineLevel="0" collapsed="false">
      <c r="A19355" s="0" t="s">
        <v>64160</v>
      </c>
      <c r="B19355" s="0" t="n">
        <v>22328</v>
      </c>
      <c r="C19355" s="0" t="n">
        <v>22348</v>
      </c>
      <c r="D19355" s="0" t="s">
        <v>64338</v>
      </c>
      <c r="E19355" s="0" t="s">
        <v>75</v>
      </c>
      <c r="F19355" s="0" t="s">
        <v>15</v>
      </c>
      <c r="G19355" s="0" t="s">
        <v>36</v>
      </c>
      <c r="H19355" s="0" t="n">
        <v>15</v>
      </c>
      <c r="I19355" s="0" t="s">
        <v>61300</v>
      </c>
      <c r="J19355" s="0" t="s">
        <v>61301</v>
      </c>
      <c r="K19355" s="0" t="s">
        <v>61302</v>
      </c>
      <c r="L19355" s="0" t="str">
        <f aca="false">HYPERLINK("https://www.ncbi.nlm.nih.gov/nuccore/CP000059.1?report=graph&amp;tracks=[key:gene_model_track,Options:GeneOnly]&amp;mk=22329:22348|offset_15|00cc00,22369:22388|offset_55|444444,22398:22417|offset_84|444444,22434:22453|offset_120|444444&amp;v=22128:22653&amp;c=444444", "offset 15")</f>
        <v>offset 15</v>
      </c>
    </row>
    <row r="19356" customFormat="false" ht="12.8" hidden="false" customHeight="false" outlineLevel="0" collapsed="false">
      <c r="A19356" s="0" t="s">
        <v>64160</v>
      </c>
      <c r="B19356" s="0" t="n">
        <v>22368</v>
      </c>
      <c r="C19356" s="0" t="n">
        <v>22388</v>
      </c>
      <c r="D19356" s="0" t="s">
        <v>64338</v>
      </c>
      <c r="E19356" s="0" t="s">
        <v>75</v>
      </c>
      <c r="F19356" s="0" t="s">
        <v>15</v>
      </c>
      <c r="G19356" s="0" t="s">
        <v>36</v>
      </c>
      <c r="H19356" s="0" t="n">
        <v>55</v>
      </c>
      <c r="I19356" s="0" t="s">
        <v>64339</v>
      </c>
      <c r="J19356" s="0" t="s">
        <v>64340</v>
      </c>
      <c r="K19356" s="0" t="s">
        <v>64341</v>
      </c>
      <c r="L19356" s="0" t="str">
        <f aca="false">HYPERLINK("https://www.ncbi.nlm.nih.gov/nuccore/CP000059.1?report=graph&amp;tracks=[key:gene_model_track,Options:GeneOnly]&amp;mk=22329:22348|offset_15|444444,22369:22388|offset_55|00cc00,22398:22417|offset_84|444444,22434:22453|offset_120|444444&amp;v=22128:22653&amp;c=444444", "offset 55")</f>
        <v>offset 55</v>
      </c>
    </row>
    <row r="19357" customFormat="false" ht="12.8" hidden="false" customHeight="false" outlineLevel="0" collapsed="false">
      <c r="A19357" s="0" t="s">
        <v>64160</v>
      </c>
      <c r="B19357" s="0" t="n">
        <v>22397</v>
      </c>
      <c r="C19357" s="0" t="n">
        <v>22417</v>
      </c>
      <c r="D19357" s="0" t="s">
        <v>64338</v>
      </c>
      <c r="E19357" s="0" t="s">
        <v>75</v>
      </c>
      <c r="F19357" s="0" t="s">
        <v>15</v>
      </c>
      <c r="G19357" s="0" t="s">
        <v>36</v>
      </c>
      <c r="H19357" s="0" t="n">
        <v>84</v>
      </c>
      <c r="I19357" s="0" t="s">
        <v>61303</v>
      </c>
      <c r="J19357" s="0" t="s">
        <v>61304</v>
      </c>
      <c r="K19357" s="0" t="s">
        <v>61305</v>
      </c>
      <c r="L19357" s="0" t="str">
        <f aca="false">HYPERLINK("https://www.ncbi.nlm.nih.gov/nuccore/CP000059.1?report=graph&amp;tracks=[key:gene_model_track,Options:GeneOnly]&amp;mk=22329:22348|offset_15|444444,22369:22388|offset_55|444444,22398:22417|offset_84|00cc00,22434:22453|offset_120|444444&amp;v=22128:22653&amp;c=444444", "offset 84")</f>
        <v>offset 84</v>
      </c>
    </row>
    <row r="19358" customFormat="false" ht="12.8" hidden="false" customHeight="false" outlineLevel="0" collapsed="false">
      <c r="A19358" s="0" t="s">
        <v>64160</v>
      </c>
      <c r="B19358" s="0" t="n">
        <v>22433</v>
      </c>
      <c r="C19358" s="0" t="n">
        <v>22453</v>
      </c>
      <c r="D19358" s="0" t="s">
        <v>64338</v>
      </c>
      <c r="E19358" s="0" t="s">
        <v>75</v>
      </c>
      <c r="F19358" s="0" t="s">
        <v>15</v>
      </c>
      <c r="G19358" s="0" t="s">
        <v>20</v>
      </c>
      <c r="H19358" s="0" t="n">
        <v>120</v>
      </c>
      <c r="I19358" s="0" t="s">
        <v>61306</v>
      </c>
      <c r="J19358" s="0" t="s">
        <v>61307</v>
      </c>
      <c r="K19358" s="0" t="s">
        <v>61308</v>
      </c>
      <c r="L19358" s="0" t="str">
        <f aca="false">HYPERLINK("https://www.ncbi.nlm.nih.gov/nuccore/CP000059.1?report=graph&amp;tracks=[key:gene_model_track,Options:GeneOnly]&amp;mk=22329:22348|offset_15|444444,22369:22388|offset_55|444444,22398:22417|offset_84|444444,22434:22453|offset_120|00cc00&amp;v=22128:22653&amp;c=444444", "offset 120")</f>
        <v>offset 120</v>
      </c>
    </row>
    <row r="19359" customFormat="false" ht="12.8" hidden="false" customHeight="false" outlineLevel="0" collapsed="false">
      <c r="A19359" s="0" t="s">
        <v>64160</v>
      </c>
      <c r="B19359" s="0" t="n">
        <v>26423</v>
      </c>
      <c r="C19359" s="0" t="n">
        <v>26443</v>
      </c>
      <c r="D19359" s="0" t="s">
        <v>64342</v>
      </c>
      <c r="E19359" s="0" t="s">
        <v>64343</v>
      </c>
      <c r="F19359" s="0" t="s">
        <v>15</v>
      </c>
      <c r="G19359" s="0" t="s">
        <v>36</v>
      </c>
      <c r="H19359" s="0" t="n">
        <v>9</v>
      </c>
      <c r="I19359" s="0" t="s">
        <v>64344</v>
      </c>
      <c r="J19359" s="0" t="s">
        <v>64345</v>
      </c>
      <c r="K19359" s="0" t="s">
        <v>64346</v>
      </c>
      <c r="L19359" s="0" t="str">
        <f aca="false">HYPERLINK("https://www.ncbi.nlm.nih.gov/nuccore/CP000059.1?report=graph&amp;tracks=[key:gene_model_track,Options:GeneOnly]&amp;mk=26424:26443|offset_9|00cc00,26460:26479|offset_45|444444,26536:26555|offset_121|444444,26557:26576|offset_142|444444&amp;v=26223:26776&amp;c=444444", "offset 9")</f>
        <v>offset 9</v>
      </c>
    </row>
    <row r="19360" customFormat="false" ht="12.8" hidden="false" customHeight="false" outlineLevel="0" collapsed="false">
      <c r="A19360" s="0" t="s">
        <v>64160</v>
      </c>
      <c r="B19360" s="0" t="n">
        <v>26459</v>
      </c>
      <c r="C19360" s="0" t="n">
        <v>26479</v>
      </c>
      <c r="D19360" s="0" t="s">
        <v>64342</v>
      </c>
      <c r="E19360" s="0" t="s">
        <v>64343</v>
      </c>
      <c r="F19360" s="0" t="s">
        <v>15</v>
      </c>
      <c r="G19360" s="0" t="s">
        <v>20</v>
      </c>
      <c r="H19360" s="0" t="n">
        <v>45</v>
      </c>
      <c r="I19360" s="0" t="s">
        <v>64347</v>
      </c>
      <c r="J19360" s="0" t="s">
        <v>64348</v>
      </c>
      <c r="K19360" s="0" t="s">
        <v>64349</v>
      </c>
      <c r="L19360" s="0" t="str">
        <f aca="false">HYPERLINK("https://www.ncbi.nlm.nih.gov/nuccore/CP000059.1?report=graph&amp;tracks=[key:gene_model_track,Options:GeneOnly]&amp;mk=26424:26443|offset_9|444444,26460:26479|offset_45|00cc00,26536:26555|offset_121|444444,26557:26576|offset_142|444444&amp;v=26223:26776&amp;c=444444", "offset 45")</f>
        <v>offset 45</v>
      </c>
    </row>
    <row r="19361" customFormat="false" ht="12.8" hidden="false" customHeight="false" outlineLevel="0" collapsed="false">
      <c r="A19361" s="0" t="s">
        <v>64160</v>
      </c>
      <c r="B19361" s="0" t="n">
        <v>26535</v>
      </c>
      <c r="C19361" s="0" t="n">
        <v>26555</v>
      </c>
      <c r="D19361" s="0" t="s">
        <v>64342</v>
      </c>
      <c r="E19361" s="0" t="s">
        <v>64343</v>
      </c>
      <c r="F19361" s="0" t="s">
        <v>15</v>
      </c>
      <c r="G19361" s="0" t="s">
        <v>32</v>
      </c>
      <c r="H19361" s="0" t="n">
        <v>121</v>
      </c>
      <c r="I19361" s="0" t="s">
        <v>64350</v>
      </c>
      <c r="J19361" s="0" t="s">
        <v>64351</v>
      </c>
      <c r="K19361" s="0" t="s">
        <v>64352</v>
      </c>
      <c r="L19361" s="0" t="str">
        <f aca="false">HYPERLINK("https://www.ncbi.nlm.nih.gov/nuccore/CP000059.1?report=graph&amp;tracks=[key:gene_model_track,Options:GeneOnly]&amp;mk=26424:26443|offset_9|444444,26460:26479|offset_45|444444,26536:26555|offset_121|00cc00,26557:26576|offset_142|444444&amp;v=26223:26776&amp;c=444444", "offset 121")</f>
        <v>offset 121</v>
      </c>
    </row>
    <row r="19362" customFormat="false" ht="12.8" hidden="false" customHeight="false" outlineLevel="0" collapsed="false">
      <c r="A19362" s="0" t="s">
        <v>64160</v>
      </c>
      <c r="B19362" s="0" t="n">
        <v>26556</v>
      </c>
      <c r="C19362" s="0" t="n">
        <v>26576</v>
      </c>
      <c r="D19362" s="0" t="s">
        <v>64342</v>
      </c>
      <c r="E19362" s="0" t="s">
        <v>64343</v>
      </c>
      <c r="F19362" s="0" t="s">
        <v>15</v>
      </c>
      <c r="G19362" s="0" t="s">
        <v>16</v>
      </c>
      <c r="H19362" s="0" t="n">
        <v>142</v>
      </c>
      <c r="I19362" s="0" t="s">
        <v>64353</v>
      </c>
      <c r="J19362" s="0" t="s">
        <v>64354</v>
      </c>
      <c r="K19362" s="0" t="s">
        <v>64355</v>
      </c>
      <c r="L19362" s="0" t="str">
        <f aca="false">HYPERLINK("https://www.ncbi.nlm.nih.gov/nuccore/CP000059.1?report=graph&amp;tracks=[key:gene_model_track,Options:GeneOnly]&amp;mk=26424:26443|offset_9|444444,26460:26479|offset_45|444444,26536:26555|offset_121|444444,26557:26576|offset_142|00cc00&amp;v=26223:26776&amp;c=444444", "offset 142")</f>
        <v>offset 142</v>
      </c>
    </row>
    <row r="19363" customFormat="false" ht="12.8" hidden="false" customHeight="false" outlineLevel="0" collapsed="false">
      <c r="A19363" s="0" t="s">
        <v>64160</v>
      </c>
      <c r="B19363" s="0" t="n">
        <v>28762</v>
      </c>
      <c r="C19363" s="0" t="n">
        <v>28782</v>
      </c>
      <c r="D19363" s="0" t="s">
        <v>64356</v>
      </c>
      <c r="E19363" s="0" t="s">
        <v>75</v>
      </c>
      <c r="F19363" s="0" t="s">
        <v>90</v>
      </c>
      <c r="G19363" s="0" t="s">
        <v>32</v>
      </c>
      <c r="H19363" s="0" t="n">
        <v>1</v>
      </c>
      <c r="I19363" s="0" t="s">
        <v>64357</v>
      </c>
      <c r="J19363" s="0" t="s">
        <v>64358</v>
      </c>
      <c r="K19363" s="0" t="s">
        <v>64359</v>
      </c>
      <c r="L19363" s="0" t="str">
        <f aca="false">HYPERLINK("https://www.ncbi.nlm.nih.gov/nuccore/CP000059.1?report=graph&amp;tracks=[key:gene_model_track,Options:GeneOnly]&amp;mk=28763:28782|offset_1|00cc00,28692:28711|offset_72|444444,28669:28688|offset_95|444444,28648:28667|offset_116|444444&amp;v=28562:28867&amp;c=444444", "offset 1")</f>
        <v>offset 1</v>
      </c>
    </row>
    <row r="19364" customFormat="false" ht="12.8" hidden="false" customHeight="false" outlineLevel="0" collapsed="false">
      <c r="A19364" s="0" t="s">
        <v>64160</v>
      </c>
      <c r="B19364" s="0" t="n">
        <v>28691</v>
      </c>
      <c r="C19364" s="0" t="n">
        <v>28711</v>
      </c>
      <c r="D19364" s="0" t="s">
        <v>64356</v>
      </c>
      <c r="E19364" s="0" t="s">
        <v>75</v>
      </c>
      <c r="F19364" s="0" t="s">
        <v>90</v>
      </c>
      <c r="G19364" s="0" t="s">
        <v>20</v>
      </c>
      <c r="H19364" s="0" t="n">
        <v>72</v>
      </c>
      <c r="I19364" s="0" t="s">
        <v>64360</v>
      </c>
      <c r="J19364" s="0" t="s">
        <v>64361</v>
      </c>
      <c r="K19364" s="0" t="s">
        <v>64362</v>
      </c>
      <c r="L19364" s="0" t="str">
        <f aca="false">HYPERLINK("https://www.ncbi.nlm.nih.gov/nuccore/CP000059.1?report=graph&amp;tracks=[key:gene_model_track,Options:GeneOnly]&amp;mk=28763:28782|offset_1|444444,28692:28711|offset_72|00cc00,28669:28688|offset_95|444444,28648:28667|offset_116|444444&amp;v=28562:28867&amp;c=444444", "offset 72")</f>
        <v>offset 72</v>
      </c>
    </row>
    <row r="19365" customFormat="false" ht="12.8" hidden="false" customHeight="false" outlineLevel="0" collapsed="false">
      <c r="A19365" s="0" t="s">
        <v>64160</v>
      </c>
      <c r="B19365" s="0" t="n">
        <v>28668</v>
      </c>
      <c r="C19365" s="0" t="n">
        <v>28688</v>
      </c>
      <c r="D19365" s="0" t="s">
        <v>64356</v>
      </c>
      <c r="E19365" s="0" t="s">
        <v>75</v>
      </c>
      <c r="F19365" s="0" t="s">
        <v>90</v>
      </c>
      <c r="G19365" s="0" t="s">
        <v>20</v>
      </c>
      <c r="H19365" s="0" t="n">
        <v>95</v>
      </c>
      <c r="I19365" s="0" t="s">
        <v>64363</v>
      </c>
      <c r="J19365" s="0" t="s">
        <v>64364</v>
      </c>
      <c r="K19365" s="0" t="s">
        <v>64365</v>
      </c>
      <c r="L19365" s="0" t="str">
        <f aca="false">HYPERLINK("https://www.ncbi.nlm.nih.gov/nuccore/CP000059.1?report=graph&amp;tracks=[key:gene_model_track,Options:GeneOnly]&amp;mk=28763:28782|offset_1|444444,28692:28711|offset_72|444444,28669:28688|offset_95|00cc00,28648:28667|offset_116|444444&amp;v=28562:28867&amp;c=444444", "offset 95")</f>
        <v>offset 95</v>
      </c>
    </row>
    <row r="19366" customFormat="false" ht="12.8" hidden="false" customHeight="false" outlineLevel="0" collapsed="false">
      <c r="A19366" s="0" t="s">
        <v>64160</v>
      </c>
      <c r="B19366" s="0" t="n">
        <v>28647</v>
      </c>
      <c r="C19366" s="0" t="n">
        <v>28667</v>
      </c>
      <c r="D19366" s="0" t="s">
        <v>64356</v>
      </c>
      <c r="E19366" s="0" t="s">
        <v>75</v>
      </c>
      <c r="F19366" s="0" t="s">
        <v>90</v>
      </c>
      <c r="G19366" s="0" t="s">
        <v>20</v>
      </c>
      <c r="H19366" s="0" t="n">
        <v>116</v>
      </c>
      <c r="I19366" s="0" t="s">
        <v>64366</v>
      </c>
      <c r="J19366" s="0" t="s">
        <v>64367</v>
      </c>
      <c r="K19366" s="0" t="s">
        <v>64368</v>
      </c>
      <c r="L19366" s="0" t="str">
        <f aca="false">HYPERLINK("https://www.ncbi.nlm.nih.gov/nuccore/CP000059.1?report=graph&amp;tracks=[key:gene_model_track,Options:GeneOnly]&amp;mk=28763:28782|offset_1|444444,28692:28711|offset_72|444444,28669:28688|offset_95|444444,28648:28667|offset_116|00cc00&amp;v=28562:28867&amp;c=444444", "offset 116")</f>
        <v>offset 116</v>
      </c>
    </row>
    <row r="19367" customFormat="false" ht="12.8" hidden="false" customHeight="false" outlineLevel="0" collapsed="false">
      <c r="A19367" s="0" t="s">
        <v>64160</v>
      </c>
      <c r="B19367" s="0" t="n">
        <v>29020</v>
      </c>
      <c r="C19367" s="0" t="n">
        <v>29040</v>
      </c>
      <c r="D19367" s="0" t="s">
        <v>64369</v>
      </c>
      <c r="E19367" s="0" t="s">
        <v>75</v>
      </c>
      <c r="F19367" s="0" t="s">
        <v>15</v>
      </c>
      <c r="G19367" s="0" t="s">
        <v>16</v>
      </c>
      <c r="H19367" s="0" t="n">
        <v>11</v>
      </c>
      <c r="I19367" s="0" t="s">
        <v>64370</v>
      </c>
      <c r="J19367" s="0" t="s">
        <v>64371</v>
      </c>
      <c r="K19367" s="0" t="s">
        <v>64372</v>
      </c>
      <c r="L19367" s="0" t="str">
        <f aca="false">HYPERLINK("https://www.ncbi.nlm.nih.gov/nuccore/CP000059.1?report=graph&amp;tracks=[key:gene_model_track,Options:GeneOnly]&amp;mk=29021:29040|offset_11|00cc00,29072:29091|offset_62|444444,29101:29120|offset_91|444444,29131:29150|offset_121|444444&amp;v=28820:29350&amp;c=444444", "offset 11")</f>
        <v>offset 11</v>
      </c>
    </row>
    <row r="19368" customFormat="false" ht="12.8" hidden="false" customHeight="false" outlineLevel="0" collapsed="false">
      <c r="A19368" s="0" t="s">
        <v>64160</v>
      </c>
      <c r="B19368" s="0" t="n">
        <v>29071</v>
      </c>
      <c r="C19368" s="0" t="n">
        <v>29091</v>
      </c>
      <c r="D19368" s="0" t="s">
        <v>64369</v>
      </c>
      <c r="E19368" s="0" t="s">
        <v>75</v>
      </c>
      <c r="F19368" s="0" t="s">
        <v>15</v>
      </c>
      <c r="G19368" s="0" t="s">
        <v>16</v>
      </c>
      <c r="H19368" s="0" t="n">
        <v>62</v>
      </c>
      <c r="I19368" s="0" t="s">
        <v>64373</v>
      </c>
      <c r="J19368" s="0" t="s">
        <v>64374</v>
      </c>
      <c r="K19368" s="0" t="s">
        <v>64375</v>
      </c>
      <c r="L19368" s="0" t="str">
        <f aca="false">HYPERLINK("https://www.ncbi.nlm.nih.gov/nuccore/CP000059.1?report=graph&amp;tracks=[key:gene_model_track,Options:GeneOnly]&amp;mk=29021:29040|offset_11|444444,29072:29091|offset_62|00cc00,29101:29120|offset_91|444444,29131:29150|offset_121|444444&amp;v=28820:29350&amp;c=444444", "offset 62")</f>
        <v>offset 62</v>
      </c>
    </row>
    <row r="19369" customFormat="false" ht="12.8" hidden="false" customHeight="false" outlineLevel="0" collapsed="false">
      <c r="A19369" s="0" t="s">
        <v>64160</v>
      </c>
      <c r="B19369" s="0" t="n">
        <v>29100</v>
      </c>
      <c r="C19369" s="0" t="n">
        <v>29120</v>
      </c>
      <c r="D19369" s="0" t="s">
        <v>64369</v>
      </c>
      <c r="E19369" s="0" t="s">
        <v>75</v>
      </c>
      <c r="F19369" s="0" t="s">
        <v>15</v>
      </c>
      <c r="G19369" s="0" t="s">
        <v>16</v>
      </c>
      <c r="H19369" s="0" t="n">
        <v>91</v>
      </c>
      <c r="I19369" s="0" t="s">
        <v>64376</v>
      </c>
      <c r="J19369" s="0" t="s">
        <v>64377</v>
      </c>
      <c r="K19369" s="0" t="s">
        <v>64378</v>
      </c>
      <c r="L19369" s="0" t="str">
        <f aca="false">HYPERLINK("https://www.ncbi.nlm.nih.gov/nuccore/CP000059.1?report=graph&amp;tracks=[key:gene_model_track,Options:GeneOnly]&amp;mk=29021:29040|offset_11|444444,29072:29091|offset_62|444444,29101:29120|offset_91|00cc00,29131:29150|offset_121|444444&amp;v=28820:29350&amp;c=444444", "offset 91")</f>
        <v>offset 91</v>
      </c>
    </row>
    <row r="19370" customFormat="false" ht="12.8" hidden="false" customHeight="false" outlineLevel="0" collapsed="false">
      <c r="A19370" s="0" t="s">
        <v>64160</v>
      </c>
      <c r="B19370" s="0" t="n">
        <v>29130</v>
      </c>
      <c r="C19370" s="0" t="n">
        <v>29150</v>
      </c>
      <c r="D19370" s="0" t="s">
        <v>64369</v>
      </c>
      <c r="E19370" s="0" t="s">
        <v>75</v>
      </c>
      <c r="F19370" s="0" t="s">
        <v>15</v>
      </c>
      <c r="G19370" s="0" t="s">
        <v>16</v>
      </c>
      <c r="H19370" s="0" t="n">
        <v>121</v>
      </c>
      <c r="I19370" s="0" t="s">
        <v>64379</v>
      </c>
      <c r="J19370" s="0" t="s">
        <v>64380</v>
      </c>
      <c r="K19370" s="0" t="s">
        <v>64381</v>
      </c>
      <c r="L19370" s="0" t="str">
        <f aca="false">HYPERLINK("https://www.ncbi.nlm.nih.gov/nuccore/CP000059.1?report=graph&amp;tracks=[key:gene_model_track,Options:GeneOnly]&amp;mk=29021:29040|offset_11|444444,29072:29091|offset_62|444444,29101:29120|offset_91|444444,29131:29150|offset_121|00cc00&amp;v=28820:29350&amp;c=444444", "offset 121")</f>
        <v>offset 121</v>
      </c>
    </row>
    <row r="19371" customFormat="false" ht="12.8" hidden="false" customHeight="false" outlineLevel="0" collapsed="false">
      <c r="A19371" s="0" t="s">
        <v>64160</v>
      </c>
      <c r="B19371" s="0" t="n">
        <v>29693</v>
      </c>
      <c r="C19371" s="0" t="n">
        <v>29713</v>
      </c>
      <c r="D19371" s="0" t="s">
        <v>64382</v>
      </c>
      <c r="E19371" s="0" t="s">
        <v>75</v>
      </c>
      <c r="F19371" s="0" t="s">
        <v>90</v>
      </c>
      <c r="G19371" s="0" t="s">
        <v>20</v>
      </c>
      <c r="H19371" s="0" t="n">
        <v>14</v>
      </c>
      <c r="I19371" s="0" t="s">
        <v>64383</v>
      </c>
      <c r="J19371" s="0" t="s">
        <v>64384</v>
      </c>
      <c r="K19371" s="0" t="s">
        <v>64385</v>
      </c>
      <c r="L19371" s="0" t="str">
        <f aca="false">HYPERLINK("https://www.ncbi.nlm.nih.gov/nuccore/CP000059.1?report=graph&amp;tracks=[key:gene_model_track,Options:GeneOnly]&amp;mk=29694:29713|offset_14|00cc00,29648:29667|offset_60|444444,29625:29644|offset_83|444444,29604:29623|offset_104|444444&amp;v=29493:29823&amp;c=444444", "offset 14")</f>
        <v>offset 14</v>
      </c>
    </row>
    <row r="19372" customFormat="false" ht="12.8" hidden="false" customHeight="false" outlineLevel="0" collapsed="false">
      <c r="A19372" s="0" t="s">
        <v>64160</v>
      </c>
      <c r="B19372" s="0" t="n">
        <v>29647</v>
      </c>
      <c r="C19372" s="0" t="n">
        <v>29667</v>
      </c>
      <c r="D19372" s="0" t="s">
        <v>64382</v>
      </c>
      <c r="E19372" s="0" t="s">
        <v>75</v>
      </c>
      <c r="F19372" s="0" t="s">
        <v>90</v>
      </c>
      <c r="G19372" s="0" t="s">
        <v>32</v>
      </c>
      <c r="H19372" s="0" t="n">
        <v>60</v>
      </c>
      <c r="I19372" s="0" t="s">
        <v>64386</v>
      </c>
      <c r="J19372" s="0" t="s">
        <v>64387</v>
      </c>
      <c r="K19372" s="0" t="s">
        <v>64388</v>
      </c>
      <c r="L19372" s="0" t="str">
        <f aca="false">HYPERLINK("https://www.ncbi.nlm.nih.gov/nuccore/CP000059.1?report=graph&amp;tracks=[key:gene_model_track,Options:GeneOnly]&amp;mk=29694:29713|offset_14|444444,29648:29667|offset_60|00cc00,29625:29644|offset_83|444444,29604:29623|offset_104|444444&amp;v=29493:29823&amp;c=444444", "offset 60")</f>
        <v>offset 60</v>
      </c>
    </row>
    <row r="19373" customFormat="false" ht="12.8" hidden="false" customHeight="false" outlineLevel="0" collapsed="false">
      <c r="A19373" s="0" t="s">
        <v>64160</v>
      </c>
      <c r="B19373" s="0" t="n">
        <v>29624</v>
      </c>
      <c r="C19373" s="0" t="n">
        <v>29644</v>
      </c>
      <c r="D19373" s="0" t="s">
        <v>64382</v>
      </c>
      <c r="E19373" s="0" t="s">
        <v>75</v>
      </c>
      <c r="F19373" s="0" t="s">
        <v>90</v>
      </c>
      <c r="G19373" s="0" t="s">
        <v>32</v>
      </c>
      <c r="H19373" s="0" t="n">
        <v>83</v>
      </c>
      <c r="I19373" s="0" t="s">
        <v>64389</v>
      </c>
      <c r="J19373" s="0" t="s">
        <v>64390</v>
      </c>
      <c r="K19373" s="0" t="s">
        <v>64391</v>
      </c>
      <c r="L19373" s="0" t="str">
        <f aca="false">HYPERLINK("https://www.ncbi.nlm.nih.gov/nuccore/CP000059.1?report=graph&amp;tracks=[key:gene_model_track,Options:GeneOnly]&amp;mk=29694:29713|offset_14|444444,29648:29667|offset_60|444444,29625:29644|offset_83|00cc00,29604:29623|offset_104|444444&amp;v=29493:29823&amp;c=444444", "offset 83")</f>
        <v>offset 83</v>
      </c>
    </row>
    <row r="19374" customFormat="false" ht="12.8" hidden="false" customHeight="false" outlineLevel="0" collapsed="false">
      <c r="A19374" s="0" t="s">
        <v>64160</v>
      </c>
      <c r="B19374" s="0" t="n">
        <v>29603</v>
      </c>
      <c r="C19374" s="0" t="n">
        <v>29623</v>
      </c>
      <c r="D19374" s="0" t="s">
        <v>64382</v>
      </c>
      <c r="E19374" s="0" t="s">
        <v>75</v>
      </c>
      <c r="F19374" s="0" t="s">
        <v>90</v>
      </c>
      <c r="G19374" s="0" t="s">
        <v>36</v>
      </c>
      <c r="H19374" s="0" t="n">
        <v>104</v>
      </c>
      <c r="I19374" s="0" t="s">
        <v>64392</v>
      </c>
      <c r="J19374" s="0" t="s">
        <v>64393</v>
      </c>
      <c r="K19374" s="0" t="s">
        <v>64394</v>
      </c>
      <c r="L19374" s="0" t="str">
        <f aca="false">HYPERLINK("https://www.ncbi.nlm.nih.gov/nuccore/CP000059.1?report=graph&amp;tracks=[key:gene_model_track,Options:GeneOnly]&amp;mk=29694:29713|offset_14|444444,29648:29667|offset_60|444444,29625:29644|offset_83|444444,29604:29623|offset_104|00cc00&amp;v=29493:29823&amp;c=444444", "offset 104")</f>
        <v>offset 104</v>
      </c>
    </row>
    <row r="19375" customFormat="false" ht="12.8" hidden="false" customHeight="false" outlineLevel="0" collapsed="false">
      <c r="A19375" s="0" t="s">
        <v>64160</v>
      </c>
      <c r="B19375" s="0" t="n">
        <v>29891</v>
      </c>
      <c r="C19375" s="0" t="n">
        <v>29911</v>
      </c>
      <c r="D19375" s="0" t="s">
        <v>64395</v>
      </c>
      <c r="E19375" s="0" t="s">
        <v>75</v>
      </c>
      <c r="F19375" s="0" t="s">
        <v>90</v>
      </c>
      <c r="G19375" s="0" t="s">
        <v>16</v>
      </c>
      <c r="H19375" s="0" t="n">
        <v>13</v>
      </c>
      <c r="I19375" s="0" t="s">
        <v>64396</v>
      </c>
      <c r="J19375" s="0" t="s">
        <v>64397</v>
      </c>
      <c r="K19375" s="0" t="s">
        <v>64398</v>
      </c>
      <c r="L19375" s="0" t="str">
        <f aca="false">HYPERLINK("https://www.ncbi.nlm.nih.gov/nuccore/CP000059.1?report=graph&amp;tracks=[key:gene_model_track,Options:GeneOnly]&amp;mk=29892:29911|offset_13|00cc00,29867:29886|offset_38|444444,29847:29866|offset_58|444444,29826:29845|offset_79|444444&amp;v=29691:30045&amp;c=444444", "offset 13")</f>
        <v>offset 13</v>
      </c>
    </row>
    <row r="19376" customFormat="false" ht="12.8" hidden="false" customHeight="false" outlineLevel="0" collapsed="false">
      <c r="A19376" s="0" t="s">
        <v>64160</v>
      </c>
      <c r="B19376" s="0" t="n">
        <v>29866</v>
      </c>
      <c r="C19376" s="0" t="n">
        <v>29886</v>
      </c>
      <c r="D19376" s="0" t="s">
        <v>64395</v>
      </c>
      <c r="E19376" s="0" t="s">
        <v>75</v>
      </c>
      <c r="F19376" s="0" t="s">
        <v>90</v>
      </c>
      <c r="G19376" s="0" t="s">
        <v>32</v>
      </c>
      <c r="H19376" s="0" t="n">
        <v>38</v>
      </c>
      <c r="I19376" s="0" t="s">
        <v>64399</v>
      </c>
      <c r="J19376" s="0" t="s">
        <v>64400</v>
      </c>
      <c r="K19376" s="0" t="s">
        <v>64401</v>
      </c>
      <c r="L19376" s="0" t="str">
        <f aca="false">HYPERLINK("https://www.ncbi.nlm.nih.gov/nuccore/CP000059.1?report=graph&amp;tracks=[key:gene_model_track,Options:GeneOnly]&amp;mk=29892:29911|offset_13|444444,29867:29886|offset_38|00cc00,29847:29866|offset_58|444444,29826:29845|offset_79|444444&amp;v=29691:30045&amp;c=444444", "offset 38")</f>
        <v>offset 38</v>
      </c>
    </row>
    <row r="19377" customFormat="false" ht="12.8" hidden="false" customHeight="false" outlineLevel="0" collapsed="false">
      <c r="A19377" s="0" t="s">
        <v>64160</v>
      </c>
      <c r="B19377" s="0" t="n">
        <v>29846</v>
      </c>
      <c r="C19377" s="0" t="n">
        <v>29866</v>
      </c>
      <c r="D19377" s="0" t="s">
        <v>64395</v>
      </c>
      <c r="E19377" s="0" t="s">
        <v>75</v>
      </c>
      <c r="F19377" s="0" t="s">
        <v>90</v>
      </c>
      <c r="G19377" s="0" t="s">
        <v>16</v>
      </c>
      <c r="H19377" s="0" t="n">
        <v>58</v>
      </c>
      <c r="I19377" s="0" t="s">
        <v>64402</v>
      </c>
      <c r="J19377" s="0" t="s">
        <v>64403</v>
      </c>
      <c r="K19377" s="0" t="s">
        <v>64404</v>
      </c>
      <c r="L19377" s="0" t="str">
        <f aca="false">HYPERLINK("https://www.ncbi.nlm.nih.gov/nuccore/CP000059.1?report=graph&amp;tracks=[key:gene_model_track,Options:GeneOnly]&amp;mk=29892:29911|offset_13|444444,29867:29886|offset_38|444444,29847:29866|offset_58|00cc00,29826:29845|offset_79|444444&amp;v=29691:30045&amp;c=444444", "offset 58")</f>
        <v>offset 58</v>
      </c>
    </row>
    <row r="19378" customFormat="false" ht="12.8" hidden="false" customHeight="false" outlineLevel="0" collapsed="false">
      <c r="A19378" s="0" t="s">
        <v>64160</v>
      </c>
      <c r="B19378" s="0" t="n">
        <v>29825</v>
      </c>
      <c r="C19378" s="0" t="n">
        <v>29845</v>
      </c>
      <c r="D19378" s="0" t="s">
        <v>64395</v>
      </c>
      <c r="E19378" s="0" t="s">
        <v>75</v>
      </c>
      <c r="F19378" s="0" t="s">
        <v>90</v>
      </c>
      <c r="G19378" s="0" t="s">
        <v>16</v>
      </c>
      <c r="H19378" s="0" t="n">
        <v>79</v>
      </c>
      <c r="I19378" s="0" t="s">
        <v>64405</v>
      </c>
      <c r="J19378" s="0" t="s">
        <v>64406</v>
      </c>
      <c r="K19378" s="0" t="s">
        <v>64407</v>
      </c>
      <c r="L19378" s="0" t="str">
        <f aca="false">HYPERLINK("https://www.ncbi.nlm.nih.gov/nuccore/CP000059.1?report=graph&amp;tracks=[key:gene_model_track,Options:GeneOnly]&amp;mk=29892:29911|offset_13|444444,29867:29886|offset_38|444444,29847:29866|offset_58|444444,29826:29845|offset_79|00cc00&amp;v=29691:30045&amp;c=444444", "offset 79")</f>
        <v>offset 79</v>
      </c>
    </row>
    <row r="19379" customFormat="false" ht="12.8" hidden="false" customHeight="false" outlineLevel="0" collapsed="false">
      <c r="A19379" s="0" t="s">
        <v>64160</v>
      </c>
      <c r="B19379" s="0" t="n">
        <v>30690</v>
      </c>
      <c r="C19379" s="0" t="n">
        <v>30710</v>
      </c>
      <c r="D19379" s="0" t="s">
        <v>64408</v>
      </c>
      <c r="E19379" s="0" t="s">
        <v>75</v>
      </c>
      <c r="F19379" s="0" t="s">
        <v>15</v>
      </c>
      <c r="G19379" s="0" t="s">
        <v>36</v>
      </c>
      <c r="H19379" s="0" t="n">
        <v>8</v>
      </c>
      <c r="I19379" s="0" t="s">
        <v>64409</v>
      </c>
      <c r="J19379" s="0" t="s">
        <v>64410</v>
      </c>
      <c r="K19379" s="0" t="s">
        <v>64411</v>
      </c>
      <c r="L19379" s="0" t="str">
        <f aca="false">HYPERLINK("https://www.ncbi.nlm.nih.gov/nuccore/CP000059.1?report=graph&amp;tracks=[key:gene_model_track,Options:GeneOnly]&amp;mk=30691:30710|offset_8|00cc00,30721:30740|offset_38|444444,30769:30788|offset_86|444444,30790:30809|offset_107|444444&amp;v=30490:31009&amp;c=444444", "offset 8")</f>
        <v>offset 8</v>
      </c>
    </row>
    <row r="19380" customFormat="false" ht="12.8" hidden="false" customHeight="false" outlineLevel="0" collapsed="false">
      <c r="A19380" s="0" t="s">
        <v>64160</v>
      </c>
      <c r="B19380" s="0" t="n">
        <v>30720</v>
      </c>
      <c r="C19380" s="0" t="n">
        <v>30740</v>
      </c>
      <c r="D19380" s="0" t="s">
        <v>64408</v>
      </c>
      <c r="E19380" s="0" t="s">
        <v>75</v>
      </c>
      <c r="F19380" s="0" t="s">
        <v>15</v>
      </c>
      <c r="G19380" s="0" t="s">
        <v>20</v>
      </c>
      <c r="H19380" s="0" t="n">
        <v>38</v>
      </c>
      <c r="I19380" s="0" t="s">
        <v>64412</v>
      </c>
      <c r="J19380" s="0" t="s">
        <v>64413</v>
      </c>
      <c r="K19380" s="0" t="s">
        <v>64414</v>
      </c>
      <c r="L19380" s="0" t="str">
        <f aca="false">HYPERLINK("https://www.ncbi.nlm.nih.gov/nuccore/CP000059.1?report=graph&amp;tracks=[key:gene_model_track,Options:GeneOnly]&amp;mk=30691:30710|offset_8|444444,30721:30740|offset_38|00cc00,30769:30788|offset_86|444444,30790:30809|offset_107|444444&amp;v=30490:31009&amp;c=444444", "offset 38")</f>
        <v>offset 38</v>
      </c>
    </row>
    <row r="19381" customFormat="false" ht="12.8" hidden="false" customHeight="false" outlineLevel="0" collapsed="false">
      <c r="A19381" s="0" t="s">
        <v>64160</v>
      </c>
      <c r="B19381" s="0" t="n">
        <v>30768</v>
      </c>
      <c r="C19381" s="0" t="n">
        <v>30788</v>
      </c>
      <c r="D19381" s="0" t="s">
        <v>64408</v>
      </c>
      <c r="E19381" s="0" t="s">
        <v>75</v>
      </c>
      <c r="F19381" s="0" t="s">
        <v>15</v>
      </c>
      <c r="G19381" s="0" t="s">
        <v>36</v>
      </c>
      <c r="H19381" s="0" t="n">
        <v>86</v>
      </c>
      <c r="I19381" s="0" t="s">
        <v>64415</v>
      </c>
      <c r="J19381" s="0" t="s">
        <v>64416</v>
      </c>
      <c r="K19381" s="0" t="s">
        <v>64417</v>
      </c>
      <c r="L19381" s="0" t="str">
        <f aca="false">HYPERLINK("https://www.ncbi.nlm.nih.gov/nuccore/CP000059.1?report=graph&amp;tracks=[key:gene_model_track,Options:GeneOnly]&amp;mk=30691:30710|offset_8|444444,30721:30740|offset_38|444444,30769:30788|offset_86|00cc00,30790:30809|offset_107|444444&amp;v=30490:31009&amp;c=444444", "offset 86")</f>
        <v>offset 86</v>
      </c>
    </row>
    <row r="19382" customFormat="false" ht="12.8" hidden="false" customHeight="false" outlineLevel="0" collapsed="false">
      <c r="A19382" s="0" t="s">
        <v>64160</v>
      </c>
      <c r="B19382" s="0" t="n">
        <v>30789</v>
      </c>
      <c r="C19382" s="0" t="n">
        <v>30809</v>
      </c>
      <c r="D19382" s="0" t="s">
        <v>64408</v>
      </c>
      <c r="E19382" s="0" t="s">
        <v>75</v>
      </c>
      <c r="F19382" s="0" t="s">
        <v>15</v>
      </c>
      <c r="G19382" s="0" t="s">
        <v>20</v>
      </c>
      <c r="H19382" s="0" t="n">
        <v>107</v>
      </c>
      <c r="I19382" s="0" t="s">
        <v>64418</v>
      </c>
      <c r="J19382" s="0" t="s">
        <v>64419</v>
      </c>
      <c r="K19382" s="0" t="s">
        <v>64420</v>
      </c>
      <c r="L19382" s="0" t="str">
        <f aca="false">HYPERLINK("https://www.ncbi.nlm.nih.gov/nuccore/CP000059.1?report=graph&amp;tracks=[key:gene_model_track,Options:GeneOnly]&amp;mk=30691:30710|offset_8|444444,30721:30740|offset_38|444444,30769:30788|offset_86|444444,30790:30809|offset_107|00cc00&amp;v=30490:31009&amp;c=444444", "offset 107")</f>
        <v>offset 107</v>
      </c>
    </row>
    <row r="19383" customFormat="false" ht="12.8" hidden="false" customHeight="false" outlineLevel="0" collapsed="false">
      <c r="A19383" s="0" t="s">
        <v>64160</v>
      </c>
      <c r="B19383" s="0" t="n">
        <v>32669</v>
      </c>
      <c r="C19383" s="0" t="n">
        <v>32689</v>
      </c>
      <c r="D19383" s="0" t="s">
        <v>64421</v>
      </c>
      <c r="E19383" s="0" t="s">
        <v>75</v>
      </c>
      <c r="F19383" s="0" t="s">
        <v>15</v>
      </c>
      <c r="G19383" s="0" t="s">
        <v>32</v>
      </c>
      <c r="H19383" s="0" t="n">
        <v>1</v>
      </c>
      <c r="I19383" s="0" t="s">
        <v>64422</v>
      </c>
      <c r="J19383" s="0" t="s">
        <v>64423</v>
      </c>
      <c r="K19383" s="0" t="s">
        <v>64424</v>
      </c>
      <c r="L19383" s="0" t="str">
        <f aca="false">HYPERLINK("https://www.ncbi.nlm.nih.gov/nuccore/CP000059.1?report=graph&amp;tracks=[key:gene_model_track,Options:GeneOnly]&amp;mk=32670:32689|offset_1|00cc00,32801:32820|offset_132|444444,32826:32845|offset_157|444444,32848:32867|offset_179|444444&amp;v=32469:33067&amp;c=444444", "offset 1")</f>
        <v>offset 1</v>
      </c>
    </row>
    <row r="19384" customFormat="false" ht="12.8" hidden="false" customHeight="false" outlineLevel="0" collapsed="false">
      <c r="A19384" s="0" t="s">
        <v>64160</v>
      </c>
      <c r="B19384" s="0" t="n">
        <v>32800</v>
      </c>
      <c r="C19384" s="0" t="n">
        <v>32820</v>
      </c>
      <c r="D19384" s="0" t="s">
        <v>64421</v>
      </c>
      <c r="E19384" s="0" t="s">
        <v>75</v>
      </c>
      <c r="F19384" s="0" t="s">
        <v>15</v>
      </c>
      <c r="G19384" s="0" t="s">
        <v>16</v>
      </c>
      <c r="H19384" s="0" t="n">
        <v>132</v>
      </c>
      <c r="I19384" s="0" t="s">
        <v>64425</v>
      </c>
      <c r="J19384" s="0" t="s">
        <v>64426</v>
      </c>
      <c r="K19384" s="0" t="s">
        <v>64427</v>
      </c>
      <c r="L19384" s="0" t="str">
        <f aca="false">HYPERLINK("https://www.ncbi.nlm.nih.gov/nuccore/CP000059.1?report=graph&amp;tracks=[key:gene_model_track,Options:GeneOnly]&amp;mk=32670:32689|offset_1|444444,32801:32820|offset_132|00cc00,32826:32845|offset_157|444444,32848:32867|offset_179|444444&amp;v=32469:33067&amp;c=444444", "offset 132")</f>
        <v>offset 132</v>
      </c>
    </row>
    <row r="19385" customFormat="false" ht="12.8" hidden="false" customHeight="false" outlineLevel="0" collapsed="false">
      <c r="A19385" s="0" t="s">
        <v>64160</v>
      </c>
      <c r="B19385" s="0" t="n">
        <v>32825</v>
      </c>
      <c r="C19385" s="0" t="n">
        <v>32845</v>
      </c>
      <c r="D19385" s="0" t="s">
        <v>64421</v>
      </c>
      <c r="E19385" s="0" t="s">
        <v>75</v>
      </c>
      <c r="F19385" s="0" t="s">
        <v>15</v>
      </c>
      <c r="G19385" s="0" t="s">
        <v>16</v>
      </c>
      <c r="H19385" s="0" t="n">
        <v>157</v>
      </c>
      <c r="I19385" s="0" t="s">
        <v>64428</v>
      </c>
      <c r="J19385" s="0" t="s">
        <v>64429</v>
      </c>
      <c r="K19385" s="0" t="s">
        <v>64430</v>
      </c>
      <c r="L19385" s="0" t="str">
        <f aca="false">HYPERLINK("https://www.ncbi.nlm.nih.gov/nuccore/CP000059.1?report=graph&amp;tracks=[key:gene_model_track,Options:GeneOnly]&amp;mk=32670:32689|offset_1|444444,32801:32820|offset_132|444444,32826:32845|offset_157|00cc00,32848:32867|offset_179|444444&amp;v=32469:33067&amp;c=444444", "offset 157")</f>
        <v>offset 157</v>
      </c>
    </row>
    <row r="19386" customFormat="false" ht="12.8" hidden="false" customHeight="false" outlineLevel="0" collapsed="false">
      <c r="A19386" s="0" t="s">
        <v>64160</v>
      </c>
      <c r="B19386" s="0" t="n">
        <v>32847</v>
      </c>
      <c r="C19386" s="0" t="n">
        <v>32867</v>
      </c>
      <c r="D19386" s="0" t="s">
        <v>64421</v>
      </c>
      <c r="E19386" s="0" t="s">
        <v>75</v>
      </c>
      <c r="F19386" s="0" t="s">
        <v>15</v>
      </c>
      <c r="G19386" s="0" t="s">
        <v>16</v>
      </c>
      <c r="H19386" s="0" t="n">
        <v>179</v>
      </c>
      <c r="I19386" s="0" t="s">
        <v>64431</v>
      </c>
      <c r="J19386" s="0" t="s">
        <v>64432</v>
      </c>
      <c r="K19386" s="0" t="s">
        <v>64433</v>
      </c>
      <c r="L19386" s="0" t="str">
        <f aca="false">HYPERLINK("https://www.ncbi.nlm.nih.gov/nuccore/CP000059.1?report=graph&amp;tracks=[key:gene_model_track,Options:GeneOnly]&amp;mk=32670:32689|offset_1|444444,32801:32820|offset_132|444444,32826:32845|offset_157|444444,32848:32867|offset_179|00cc00&amp;v=32469:33067&amp;c=444444", "offset 179")</f>
        <v>offset 179</v>
      </c>
    </row>
    <row r="19387" customFormat="false" ht="12.8" hidden="false" customHeight="false" outlineLevel="0" collapsed="false">
      <c r="A19387" s="0" t="s">
        <v>64160</v>
      </c>
      <c r="B19387" s="0" t="n">
        <v>32896</v>
      </c>
      <c r="C19387" s="0" t="n">
        <v>32916</v>
      </c>
      <c r="D19387" s="0" t="s">
        <v>64434</v>
      </c>
      <c r="E19387" s="0" t="s">
        <v>75</v>
      </c>
      <c r="F19387" s="0" t="s">
        <v>15</v>
      </c>
      <c r="G19387" s="0" t="s">
        <v>16</v>
      </c>
      <c r="H19387" s="0" t="n">
        <v>16</v>
      </c>
      <c r="I19387" s="0" t="s">
        <v>64435</v>
      </c>
      <c r="J19387" s="0" t="s">
        <v>64436</v>
      </c>
      <c r="K19387" s="0" t="s">
        <v>64437</v>
      </c>
      <c r="L19387" s="0" t="str">
        <f aca="false">HYPERLINK("https://www.ncbi.nlm.nih.gov/nuccore/CP000059.1?report=graph&amp;tracks=[key:gene_model_track,Options:GeneOnly]&amp;mk=32897:32916|offset_16|00cc00,32935:32954|offset_54|444444,32955:32974|offset_74|444444,32987:33006|offset_106|444444&amp;v=32696:33206&amp;c=444444", "offset 16")</f>
        <v>offset 16</v>
      </c>
    </row>
    <row r="19388" customFormat="false" ht="12.8" hidden="false" customHeight="false" outlineLevel="0" collapsed="false">
      <c r="A19388" s="0" t="s">
        <v>64160</v>
      </c>
      <c r="B19388" s="0" t="n">
        <v>32934</v>
      </c>
      <c r="C19388" s="0" t="n">
        <v>32954</v>
      </c>
      <c r="D19388" s="0" t="s">
        <v>64434</v>
      </c>
      <c r="E19388" s="0" t="s">
        <v>75</v>
      </c>
      <c r="F19388" s="0" t="s">
        <v>15</v>
      </c>
      <c r="G19388" s="0" t="s">
        <v>36</v>
      </c>
      <c r="H19388" s="0" t="n">
        <v>54</v>
      </c>
      <c r="I19388" s="0" t="s">
        <v>64438</v>
      </c>
      <c r="J19388" s="0" t="s">
        <v>64439</v>
      </c>
      <c r="K19388" s="0" t="s">
        <v>64440</v>
      </c>
      <c r="L19388" s="0" t="str">
        <f aca="false">HYPERLINK("https://www.ncbi.nlm.nih.gov/nuccore/CP000059.1?report=graph&amp;tracks=[key:gene_model_track,Options:GeneOnly]&amp;mk=32897:32916|offset_16|444444,32935:32954|offset_54|00cc00,32955:32974|offset_74|444444,32987:33006|offset_106|444444&amp;v=32696:33206&amp;c=444444", "offset 54")</f>
        <v>offset 54</v>
      </c>
    </row>
    <row r="19389" customFormat="false" ht="12.8" hidden="false" customHeight="false" outlineLevel="0" collapsed="false">
      <c r="A19389" s="0" t="s">
        <v>64160</v>
      </c>
      <c r="B19389" s="0" t="n">
        <v>32954</v>
      </c>
      <c r="C19389" s="0" t="n">
        <v>32974</v>
      </c>
      <c r="D19389" s="0" t="s">
        <v>64434</v>
      </c>
      <c r="E19389" s="0" t="s">
        <v>75</v>
      </c>
      <c r="F19389" s="0" t="s">
        <v>15</v>
      </c>
      <c r="G19389" s="0" t="s">
        <v>16</v>
      </c>
      <c r="H19389" s="0" t="n">
        <v>74</v>
      </c>
      <c r="I19389" s="0" t="s">
        <v>64441</v>
      </c>
      <c r="J19389" s="0" t="s">
        <v>64442</v>
      </c>
      <c r="K19389" s="0" t="s">
        <v>64443</v>
      </c>
      <c r="L19389" s="0" t="str">
        <f aca="false">HYPERLINK("https://www.ncbi.nlm.nih.gov/nuccore/CP000059.1?report=graph&amp;tracks=[key:gene_model_track,Options:GeneOnly]&amp;mk=32897:32916|offset_16|444444,32935:32954|offset_54|444444,32955:32974|offset_74|00cc00,32987:33006|offset_106|444444&amp;v=32696:33206&amp;c=444444", "offset 74")</f>
        <v>offset 74</v>
      </c>
    </row>
    <row r="19390" customFormat="false" ht="12.8" hidden="false" customHeight="false" outlineLevel="0" collapsed="false">
      <c r="A19390" s="0" t="s">
        <v>64160</v>
      </c>
      <c r="B19390" s="0" t="n">
        <v>32986</v>
      </c>
      <c r="C19390" s="0" t="n">
        <v>33006</v>
      </c>
      <c r="D19390" s="0" t="s">
        <v>64434</v>
      </c>
      <c r="E19390" s="0" t="s">
        <v>75</v>
      </c>
      <c r="F19390" s="0" t="s">
        <v>15</v>
      </c>
      <c r="G19390" s="0" t="s">
        <v>20</v>
      </c>
      <c r="H19390" s="0" t="n">
        <v>106</v>
      </c>
      <c r="I19390" s="0" t="s">
        <v>64444</v>
      </c>
      <c r="J19390" s="0" t="s">
        <v>64445</v>
      </c>
      <c r="K19390" s="0" t="s">
        <v>64446</v>
      </c>
      <c r="L19390" s="0" t="str">
        <f aca="false">HYPERLINK("https://www.ncbi.nlm.nih.gov/nuccore/CP000059.1?report=graph&amp;tracks=[key:gene_model_track,Options:GeneOnly]&amp;mk=32897:32916|offset_16|444444,32935:32954|offset_54|444444,32955:32974|offset_74|444444,32987:33006|offset_106|00cc00&amp;v=32696:33206&amp;c=444444", "offset 106")</f>
        <v>offset 106</v>
      </c>
    </row>
    <row r="19391" customFormat="false" ht="12.8" hidden="false" customHeight="false" outlineLevel="0" collapsed="false">
      <c r="A19391" s="0" t="s">
        <v>64160</v>
      </c>
      <c r="B19391" s="0" t="n">
        <v>36366</v>
      </c>
      <c r="C19391" s="0" t="n">
        <v>36386</v>
      </c>
      <c r="D19391" s="0" t="s">
        <v>64447</v>
      </c>
      <c r="E19391" s="0" t="s">
        <v>75</v>
      </c>
      <c r="F19391" s="0" t="s">
        <v>90</v>
      </c>
      <c r="G19391" s="0" t="s">
        <v>20</v>
      </c>
      <c r="H19391" s="0" t="n">
        <v>18</v>
      </c>
      <c r="I19391" s="0" t="s">
        <v>64448</v>
      </c>
      <c r="J19391" s="0" t="s">
        <v>64449</v>
      </c>
      <c r="K19391" s="0" t="s">
        <v>64450</v>
      </c>
      <c r="L19391" s="0" t="str">
        <f aca="false">HYPERLINK("https://www.ncbi.nlm.nih.gov/nuccore/CP000059.1?report=graph&amp;tracks=[key:gene_model_track,Options:GeneOnly]&amp;mk=36367:36386|offset_18|00cc00,36347:36366|offset_38|444444,36321:36340|offset_64|444444,36295:36314|offset_90|444444&amp;v=36166:36514&amp;c=444444", "offset 18")</f>
        <v>offset 18</v>
      </c>
    </row>
    <row r="19392" customFormat="false" ht="12.8" hidden="false" customHeight="false" outlineLevel="0" collapsed="false">
      <c r="A19392" s="0" t="s">
        <v>64160</v>
      </c>
      <c r="B19392" s="0" t="n">
        <v>36346</v>
      </c>
      <c r="C19392" s="0" t="n">
        <v>36366</v>
      </c>
      <c r="D19392" s="0" t="s">
        <v>64447</v>
      </c>
      <c r="E19392" s="0" t="s">
        <v>75</v>
      </c>
      <c r="F19392" s="0" t="s">
        <v>90</v>
      </c>
      <c r="G19392" s="0" t="s">
        <v>16</v>
      </c>
      <c r="H19392" s="0" t="n">
        <v>38</v>
      </c>
      <c r="I19392" s="0" t="s">
        <v>64451</v>
      </c>
      <c r="J19392" s="0" t="s">
        <v>64452</v>
      </c>
      <c r="K19392" s="0" t="s">
        <v>64453</v>
      </c>
      <c r="L19392" s="0" t="str">
        <f aca="false">HYPERLINK("https://www.ncbi.nlm.nih.gov/nuccore/CP000059.1?report=graph&amp;tracks=[key:gene_model_track,Options:GeneOnly]&amp;mk=36367:36386|offset_18|444444,36347:36366|offset_38|00cc00,36321:36340|offset_64|444444,36295:36314|offset_90|444444&amp;v=36166:36514&amp;c=444444", "offset 38")</f>
        <v>offset 38</v>
      </c>
    </row>
    <row r="19393" customFormat="false" ht="12.8" hidden="false" customHeight="false" outlineLevel="0" collapsed="false">
      <c r="A19393" s="0" t="s">
        <v>64160</v>
      </c>
      <c r="B19393" s="0" t="n">
        <v>36320</v>
      </c>
      <c r="C19393" s="0" t="n">
        <v>36340</v>
      </c>
      <c r="D19393" s="0" t="s">
        <v>64447</v>
      </c>
      <c r="E19393" s="0" t="s">
        <v>75</v>
      </c>
      <c r="F19393" s="0" t="s">
        <v>90</v>
      </c>
      <c r="G19393" s="0" t="s">
        <v>16</v>
      </c>
      <c r="H19393" s="0" t="n">
        <v>64</v>
      </c>
      <c r="I19393" s="0" t="s">
        <v>64454</v>
      </c>
      <c r="J19393" s="0" t="s">
        <v>64455</v>
      </c>
      <c r="K19393" s="0" t="s">
        <v>64456</v>
      </c>
      <c r="L19393" s="0" t="str">
        <f aca="false">HYPERLINK("https://www.ncbi.nlm.nih.gov/nuccore/CP000059.1?report=graph&amp;tracks=[key:gene_model_track,Options:GeneOnly]&amp;mk=36367:36386|offset_18|444444,36347:36366|offset_38|444444,36321:36340|offset_64|00cc00,36295:36314|offset_90|444444&amp;v=36166:36514&amp;c=444444", "offset 64")</f>
        <v>offset 64</v>
      </c>
    </row>
    <row r="19394" customFormat="false" ht="12.8" hidden="false" customHeight="false" outlineLevel="0" collapsed="false">
      <c r="A19394" s="0" t="s">
        <v>64160</v>
      </c>
      <c r="B19394" s="0" t="n">
        <v>36294</v>
      </c>
      <c r="C19394" s="0" t="n">
        <v>36314</v>
      </c>
      <c r="D19394" s="0" t="s">
        <v>64447</v>
      </c>
      <c r="E19394" s="0" t="s">
        <v>75</v>
      </c>
      <c r="F19394" s="0" t="s">
        <v>90</v>
      </c>
      <c r="G19394" s="0" t="s">
        <v>32</v>
      </c>
      <c r="H19394" s="0" t="n">
        <v>90</v>
      </c>
      <c r="I19394" s="0" t="s">
        <v>64457</v>
      </c>
      <c r="J19394" s="0" t="s">
        <v>64458</v>
      </c>
      <c r="K19394" s="0" t="s">
        <v>64459</v>
      </c>
      <c r="L19394" s="0" t="str">
        <f aca="false">HYPERLINK("https://www.ncbi.nlm.nih.gov/nuccore/CP000059.1?report=graph&amp;tracks=[key:gene_model_track,Options:GeneOnly]&amp;mk=36367:36386|offset_18|444444,36347:36366|offset_38|444444,36321:36340|offset_64|444444,36295:36314|offset_90|00cc00&amp;v=36166:36514&amp;c=444444", "offset 90")</f>
        <v>offset 90</v>
      </c>
    </row>
    <row r="19395" customFormat="false" ht="12.8" hidden="false" customHeight="false" outlineLevel="0" collapsed="false">
      <c r="A19395" s="0" t="s">
        <v>64160</v>
      </c>
      <c r="B19395" s="0" t="n">
        <v>36496</v>
      </c>
      <c r="C19395" s="0" t="n">
        <v>36516</v>
      </c>
      <c r="D19395" s="0" t="s">
        <v>64460</v>
      </c>
      <c r="E19395" s="0" t="s">
        <v>75</v>
      </c>
      <c r="F19395" s="0" t="s">
        <v>15</v>
      </c>
      <c r="G19395" s="0" t="s">
        <v>32</v>
      </c>
      <c r="H19395" s="0" t="n">
        <v>24</v>
      </c>
      <c r="I19395" s="0" t="s">
        <v>64461</v>
      </c>
      <c r="J19395" s="0" t="s">
        <v>64462</v>
      </c>
      <c r="K19395" s="0" t="s">
        <v>64463</v>
      </c>
      <c r="L19395" s="0" t="str">
        <f aca="false">HYPERLINK("https://www.ncbi.nlm.nih.gov/nuccore/CP000059.1?report=graph&amp;tracks=[key:gene_model_track,Options:GeneOnly]&amp;mk=36497:36516|offset_24|00cc00,36540:36559|offset_67|444444&amp;v=36296:36759&amp;c=444444", "offset 24")</f>
        <v>offset 24</v>
      </c>
    </row>
    <row r="19396" customFormat="false" ht="12.8" hidden="false" customHeight="false" outlineLevel="0" collapsed="false">
      <c r="A19396" s="0" t="s">
        <v>64160</v>
      </c>
      <c r="B19396" s="0" t="n">
        <v>36539</v>
      </c>
      <c r="C19396" s="0" t="n">
        <v>36559</v>
      </c>
      <c r="D19396" s="0" t="s">
        <v>64460</v>
      </c>
      <c r="E19396" s="0" t="s">
        <v>75</v>
      </c>
      <c r="F19396" s="0" t="s">
        <v>15</v>
      </c>
      <c r="G19396" s="0" t="s">
        <v>32</v>
      </c>
      <c r="H19396" s="0" t="n">
        <v>67</v>
      </c>
      <c r="I19396" s="0" t="s">
        <v>64464</v>
      </c>
      <c r="J19396" s="0" t="s">
        <v>64465</v>
      </c>
      <c r="K19396" s="0" t="s">
        <v>64466</v>
      </c>
      <c r="L19396" s="0" t="str">
        <f aca="false">HYPERLINK("https://www.ncbi.nlm.nih.gov/nuccore/CP000059.1?report=graph&amp;tracks=[key:gene_model_track,Options:GeneOnly]&amp;mk=36497:36516|offset_24|444444,36540:36559|offset_67|00cc00&amp;v=36296:36759&amp;c=444444", "offset 67")</f>
        <v>offset 67</v>
      </c>
    </row>
    <row r="19397" customFormat="false" ht="12.8" hidden="false" customHeight="false" outlineLevel="0" collapsed="false">
      <c r="A19397" s="0" t="s">
        <v>64160</v>
      </c>
      <c r="B19397" s="0" t="n">
        <v>37590</v>
      </c>
      <c r="C19397" s="0" t="n">
        <v>37610</v>
      </c>
      <c r="D19397" s="0" t="s">
        <v>64467</v>
      </c>
      <c r="E19397" s="0" t="s">
        <v>75</v>
      </c>
      <c r="F19397" s="0" t="s">
        <v>90</v>
      </c>
      <c r="G19397" s="0" t="s">
        <v>20</v>
      </c>
      <c r="H19397" s="0" t="n">
        <v>11</v>
      </c>
      <c r="I19397" s="0" t="s">
        <v>64468</v>
      </c>
      <c r="J19397" s="0" t="s">
        <v>64469</v>
      </c>
      <c r="K19397" s="0" t="s">
        <v>64470</v>
      </c>
      <c r="L19397" s="0" t="str">
        <f aca="false">HYPERLINK("https://www.ncbi.nlm.nih.gov/nuccore/CP000059.1?report=graph&amp;tracks=[key:gene_model_track,Options:GeneOnly]&amp;mk=37591:37610|offset_11|00cc00,37560:37579|offset_42|444444,37439:37458|offset_163|444444,37385:37404|offset_217|444444&amp;v=37390:37604&amp;c=444444", "offset 11")</f>
        <v>offset 11</v>
      </c>
    </row>
    <row r="19398" customFormat="false" ht="12.8" hidden="false" customHeight="false" outlineLevel="0" collapsed="false">
      <c r="A19398" s="0" t="s">
        <v>64160</v>
      </c>
      <c r="B19398" s="0" t="n">
        <v>37559</v>
      </c>
      <c r="C19398" s="0" t="n">
        <v>37579</v>
      </c>
      <c r="D19398" s="0" t="s">
        <v>64467</v>
      </c>
      <c r="E19398" s="0" t="s">
        <v>75</v>
      </c>
      <c r="F19398" s="0" t="s">
        <v>90</v>
      </c>
      <c r="G19398" s="0" t="s">
        <v>32</v>
      </c>
      <c r="H19398" s="0" t="n">
        <v>42</v>
      </c>
      <c r="I19398" s="0" t="s">
        <v>64471</v>
      </c>
      <c r="J19398" s="0" t="s">
        <v>64472</v>
      </c>
      <c r="K19398" s="0" t="s">
        <v>64473</v>
      </c>
      <c r="L19398" s="0" t="str">
        <f aca="false">HYPERLINK("https://www.ncbi.nlm.nih.gov/nuccore/CP000059.1?report=graph&amp;tracks=[key:gene_model_track,Options:GeneOnly]&amp;mk=37591:37610|offset_11|444444,37560:37579|offset_42|00cc00,37439:37458|offset_163|444444,37385:37404|offset_217|444444&amp;v=37390:37604&amp;c=444444", "offset 42")</f>
        <v>offset 42</v>
      </c>
    </row>
    <row r="19399" customFormat="false" ht="12.8" hidden="false" customHeight="false" outlineLevel="0" collapsed="false">
      <c r="A19399" s="0" t="s">
        <v>64160</v>
      </c>
      <c r="B19399" s="0" t="n">
        <v>37438</v>
      </c>
      <c r="C19399" s="0" t="n">
        <v>37458</v>
      </c>
      <c r="D19399" s="0" t="s">
        <v>64467</v>
      </c>
      <c r="E19399" s="0" t="s">
        <v>75</v>
      </c>
      <c r="F19399" s="0" t="s">
        <v>90</v>
      </c>
      <c r="G19399" s="0" t="s">
        <v>16</v>
      </c>
      <c r="H19399" s="0" t="n">
        <v>163</v>
      </c>
      <c r="I19399" s="0" t="s">
        <v>64474</v>
      </c>
      <c r="J19399" s="0" t="s">
        <v>64475</v>
      </c>
      <c r="K19399" s="0" t="s">
        <v>64476</v>
      </c>
      <c r="L19399" s="0" t="str">
        <f aca="false">HYPERLINK("https://www.ncbi.nlm.nih.gov/nuccore/CP000059.1?report=graph&amp;tracks=[key:gene_model_track,Options:GeneOnly]&amp;mk=37591:37610|offset_11|444444,37560:37579|offset_42|444444,37439:37458|offset_163|00cc00,37385:37404|offset_217|444444&amp;v=37390:37604&amp;c=444444", "offset 163")</f>
        <v>offset 163</v>
      </c>
    </row>
    <row r="19400" customFormat="false" ht="12.8" hidden="false" customHeight="false" outlineLevel="0" collapsed="false">
      <c r="A19400" s="0" t="s">
        <v>64160</v>
      </c>
      <c r="B19400" s="0" t="n">
        <v>37384</v>
      </c>
      <c r="C19400" s="0" t="n">
        <v>37404</v>
      </c>
      <c r="D19400" s="0" t="s">
        <v>64467</v>
      </c>
      <c r="E19400" s="0" t="s">
        <v>75</v>
      </c>
      <c r="F19400" s="0" t="s">
        <v>90</v>
      </c>
      <c r="G19400" s="0" t="s">
        <v>32</v>
      </c>
      <c r="H19400" s="0" t="n">
        <v>217</v>
      </c>
      <c r="I19400" s="0" t="s">
        <v>64477</v>
      </c>
      <c r="J19400" s="0" t="s">
        <v>64478</v>
      </c>
      <c r="K19400" s="0" t="s">
        <v>64479</v>
      </c>
      <c r="L19400" s="0" t="str">
        <f aca="false">HYPERLINK("https://www.ncbi.nlm.nih.gov/nuccore/CP000059.1?report=graph&amp;tracks=[key:gene_model_track,Options:GeneOnly]&amp;mk=37591:37610|offset_11|444444,37560:37579|offset_42|444444,37439:37458|offset_163|444444,37385:37404|offset_217|00cc00&amp;v=37390:37604&amp;c=444444", "offset 217")</f>
        <v>offset 217</v>
      </c>
    </row>
    <row r="19401" customFormat="false" ht="12.8" hidden="false" customHeight="false" outlineLevel="0" collapsed="false">
      <c r="A19401" s="0" t="s">
        <v>64160</v>
      </c>
      <c r="B19401" s="0" t="n">
        <v>39858</v>
      </c>
      <c r="C19401" s="0" t="n">
        <v>39878</v>
      </c>
      <c r="D19401" s="0" t="s">
        <v>64480</v>
      </c>
      <c r="E19401" s="0" t="s">
        <v>75</v>
      </c>
      <c r="F19401" s="0" t="s">
        <v>90</v>
      </c>
      <c r="G19401" s="0" t="s">
        <v>20</v>
      </c>
      <c r="H19401" s="0" t="n">
        <v>14</v>
      </c>
      <c r="I19401" s="0" t="s">
        <v>64481</v>
      </c>
      <c r="J19401" s="0" t="s">
        <v>64482</v>
      </c>
      <c r="K19401" s="0" t="s">
        <v>64483</v>
      </c>
      <c r="L19401" s="0" t="str">
        <f aca="false">HYPERLINK("https://www.ncbi.nlm.nih.gov/nuccore/CP000059.1?report=graph&amp;tracks=[key:gene_model_track,Options:GeneOnly]&amp;mk=39859:39878|offset_14|00cc00,39835:39854|offset_38|444444,39808:39827|offset_65|444444,39716:39735|offset_157|444444&amp;v=39658:39935&amp;c=444444", "offset 14")</f>
        <v>offset 14</v>
      </c>
    </row>
    <row r="19402" customFormat="false" ht="12.8" hidden="false" customHeight="false" outlineLevel="0" collapsed="false">
      <c r="A19402" s="0" t="s">
        <v>64160</v>
      </c>
      <c r="B19402" s="0" t="n">
        <v>39834</v>
      </c>
      <c r="C19402" s="0" t="n">
        <v>39854</v>
      </c>
      <c r="D19402" s="0" t="s">
        <v>64480</v>
      </c>
      <c r="E19402" s="0" t="s">
        <v>75</v>
      </c>
      <c r="F19402" s="0" t="s">
        <v>90</v>
      </c>
      <c r="G19402" s="0" t="s">
        <v>32</v>
      </c>
      <c r="H19402" s="0" t="n">
        <v>38</v>
      </c>
      <c r="I19402" s="0" t="s">
        <v>64484</v>
      </c>
      <c r="J19402" s="0" t="s">
        <v>64485</v>
      </c>
      <c r="K19402" s="0" t="s">
        <v>64486</v>
      </c>
      <c r="L19402" s="0" t="str">
        <f aca="false">HYPERLINK("https://www.ncbi.nlm.nih.gov/nuccore/CP000059.1?report=graph&amp;tracks=[key:gene_model_track,Options:GeneOnly]&amp;mk=39859:39878|offset_14|444444,39835:39854|offset_38|00cc00,39808:39827|offset_65|444444,39716:39735|offset_157|444444&amp;v=39658:39935&amp;c=444444", "offset 38")</f>
        <v>offset 38</v>
      </c>
    </row>
    <row r="19403" customFormat="false" ht="12.8" hidden="false" customHeight="false" outlineLevel="0" collapsed="false">
      <c r="A19403" s="0" t="s">
        <v>64160</v>
      </c>
      <c r="B19403" s="0" t="n">
        <v>39807</v>
      </c>
      <c r="C19403" s="0" t="n">
        <v>39827</v>
      </c>
      <c r="D19403" s="0" t="s">
        <v>64480</v>
      </c>
      <c r="E19403" s="0" t="s">
        <v>75</v>
      </c>
      <c r="F19403" s="0" t="s">
        <v>90</v>
      </c>
      <c r="G19403" s="0" t="s">
        <v>36</v>
      </c>
      <c r="H19403" s="0" t="n">
        <v>65</v>
      </c>
      <c r="I19403" s="0" t="s">
        <v>64487</v>
      </c>
      <c r="J19403" s="0" t="s">
        <v>64488</v>
      </c>
      <c r="K19403" s="0" t="s">
        <v>64489</v>
      </c>
      <c r="L19403" s="0" t="str">
        <f aca="false">HYPERLINK("https://www.ncbi.nlm.nih.gov/nuccore/CP000059.1?report=graph&amp;tracks=[key:gene_model_track,Options:GeneOnly]&amp;mk=39859:39878|offset_14|444444,39835:39854|offset_38|444444,39808:39827|offset_65|00cc00,39716:39735|offset_157|444444&amp;v=39658:39935&amp;c=444444", "offset 65")</f>
        <v>offset 65</v>
      </c>
    </row>
    <row r="19404" customFormat="false" ht="12.8" hidden="false" customHeight="false" outlineLevel="0" collapsed="false">
      <c r="A19404" s="0" t="s">
        <v>64160</v>
      </c>
      <c r="B19404" s="0" t="n">
        <v>39715</v>
      </c>
      <c r="C19404" s="0" t="n">
        <v>39735</v>
      </c>
      <c r="D19404" s="0" t="s">
        <v>64480</v>
      </c>
      <c r="E19404" s="0" t="s">
        <v>75</v>
      </c>
      <c r="F19404" s="0" t="s">
        <v>90</v>
      </c>
      <c r="G19404" s="0" t="s">
        <v>32</v>
      </c>
      <c r="H19404" s="0" t="n">
        <v>157</v>
      </c>
      <c r="I19404" s="0" t="s">
        <v>64490</v>
      </c>
      <c r="J19404" s="0" t="s">
        <v>64491</v>
      </c>
      <c r="K19404" s="0" t="s">
        <v>64492</v>
      </c>
      <c r="L19404" s="0" t="str">
        <f aca="false">HYPERLINK("https://www.ncbi.nlm.nih.gov/nuccore/CP000059.1?report=graph&amp;tracks=[key:gene_model_track,Options:GeneOnly]&amp;mk=39859:39878|offset_14|444444,39835:39854|offset_38|444444,39808:39827|offset_65|444444,39716:39735|offset_157|00cc00&amp;v=39658:39935&amp;c=444444", "offset 157")</f>
        <v>offset 157</v>
      </c>
    </row>
    <row r="19405" customFormat="false" ht="12.8" hidden="false" customHeight="false" outlineLevel="0" collapsed="false">
      <c r="A19405" s="0" t="s">
        <v>64160</v>
      </c>
      <c r="B19405" s="0" t="n">
        <v>40115</v>
      </c>
      <c r="C19405" s="0" t="n">
        <v>40135</v>
      </c>
      <c r="D19405" s="0" t="s">
        <v>64493</v>
      </c>
      <c r="E19405" s="0" t="s">
        <v>75</v>
      </c>
      <c r="F19405" s="0" t="s">
        <v>15</v>
      </c>
      <c r="G19405" s="0" t="s">
        <v>32</v>
      </c>
      <c r="H19405" s="0" t="n">
        <v>26</v>
      </c>
      <c r="I19405" s="0" t="s">
        <v>64494</v>
      </c>
      <c r="J19405" s="0" t="s">
        <v>64495</v>
      </c>
      <c r="K19405" s="0" t="s">
        <v>64496</v>
      </c>
      <c r="L19405" s="0" t="str">
        <f aca="false">HYPERLINK("https://www.ncbi.nlm.nih.gov/nuccore/CP000059.1?report=graph&amp;tracks=[key:gene_model_track,Options:GeneOnly]&amp;mk=40116:40135|offset_26|00cc00,40142:40161|offset_52|444444,40170:40189|offset_80|444444,40209:40228|offset_119|444444&amp;v=39915:40428&amp;c=444444", "offset 26")</f>
        <v>offset 26</v>
      </c>
    </row>
    <row r="19406" customFormat="false" ht="12.8" hidden="false" customHeight="false" outlineLevel="0" collapsed="false">
      <c r="A19406" s="0" t="s">
        <v>64160</v>
      </c>
      <c r="B19406" s="0" t="n">
        <v>40141</v>
      </c>
      <c r="C19406" s="0" t="n">
        <v>40161</v>
      </c>
      <c r="D19406" s="0" t="s">
        <v>64493</v>
      </c>
      <c r="E19406" s="0" t="s">
        <v>75</v>
      </c>
      <c r="F19406" s="0" t="s">
        <v>15</v>
      </c>
      <c r="G19406" s="0" t="s">
        <v>32</v>
      </c>
      <c r="H19406" s="0" t="n">
        <v>52</v>
      </c>
      <c r="I19406" s="0" t="s">
        <v>64497</v>
      </c>
      <c r="J19406" s="0" t="s">
        <v>64498</v>
      </c>
      <c r="K19406" s="0" t="s">
        <v>64499</v>
      </c>
      <c r="L19406" s="0" t="str">
        <f aca="false">HYPERLINK("https://www.ncbi.nlm.nih.gov/nuccore/CP000059.1?report=graph&amp;tracks=[key:gene_model_track,Options:GeneOnly]&amp;mk=40116:40135|offset_26|444444,40142:40161|offset_52|00cc00,40170:40189|offset_80|444444,40209:40228|offset_119|444444&amp;v=39915:40428&amp;c=444444", "offset 52")</f>
        <v>offset 52</v>
      </c>
    </row>
    <row r="19407" customFormat="false" ht="12.8" hidden="false" customHeight="false" outlineLevel="0" collapsed="false">
      <c r="A19407" s="0" t="s">
        <v>64160</v>
      </c>
      <c r="B19407" s="0" t="n">
        <v>40169</v>
      </c>
      <c r="C19407" s="0" t="n">
        <v>40189</v>
      </c>
      <c r="D19407" s="0" t="s">
        <v>64493</v>
      </c>
      <c r="E19407" s="0" t="s">
        <v>75</v>
      </c>
      <c r="F19407" s="0" t="s">
        <v>15</v>
      </c>
      <c r="G19407" s="0" t="s">
        <v>32</v>
      </c>
      <c r="H19407" s="0" t="n">
        <v>80</v>
      </c>
      <c r="I19407" s="0" t="s">
        <v>64500</v>
      </c>
      <c r="J19407" s="0" t="s">
        <v>64501</v>
      </c>
      <c r="K19407" s="0" t="s">
        <v>64502</v>
      </c>
      <c r="L19407" s="0" t="str">
        <f aca="false">HYPERLINK("https://www.ncbi.nlm.nih.gov/nuccore/CP000059.1?report=graph&amp;tracks=[key:gene_model_track,Options:GeneOnly]&amp;mk=40116:40135|offset_26|444444,40142:40161|offset_52|444444,40170:40189|offset_80|00cc00,40209:40228|offset_119|444444&amp;v=39915:40428&amp;c=444444", "offset 80")</f>
        <v>offset 80</v>
      </c>
    </row>
    <row r="19408" customFormat="false" ht="12.8" hidden="false" customHeight="false" outlineLevel="0" collapsed="false">
      <c r="A19408" s="0" t="s">
        <v>64160</v>
      </c>
      <c r="B19408" s="0" t="n">
        <v>40208</v>
      </c>
      <c r="C19408" s="0" t="n">
        <v>40228</v>
      </c>
      <c r="D19408" s="0" t="s">
        <v>64493</v>
      </c>
      <c r="E19408" s="0" t="s">
        <v>75</v>
      </c>
      <c r="F19408" s="0" t="s">
        <v>15</v>
      </c>
      <c r="G19408" s="0" t="s">
        <v>36</v>
      </c>
      <c r="H19408" s="0" t="n">
        <v>119</v>
      </c>
      <c r="I19408" s="0" t="s">
        <v>64503</v>
      </c>
      <c r="J19408" s="0" t="s">
        <v>64504</v>
      </c>
      <c r="K19408" s="0" t="s">
        <v>64505</v>
      </c>
      <c r="L19408" s="0" t="str">
        <f aca="false">HYPERLINK("https://www.ncbi.nlm.nih.gov/nuccore/CP000059.1?report=graph&amp;tracks=[key:gene_model_track,Options:GeneOnly]&amp;mk=40116:40135|offset_26|444444,40142:40161|offset_52|444444,40170:40189|offset_80|444444,40209:40228|offset_119|00cc00&amp;v=39915:40428&amp;c=444444", "offset 119")</f>
        <v>offset 119</v>
      </c>
    </row>
    <row r="19409" customFormat="false" ht="12.8" hidden="false" customHeight="false" outlineLevel="0" collapsed="false">
      <c r="A19409" s="0" t="s">
        <v>64160</v>
      </c>
      <c r="B19409" s="0" t="n">
        <v>40773</v>
      </c>
      <c r="C19409" s="0" t="n">
        <v>40793</v>
      </c>
      <c r="D19409" s="0" t="s">
        <v>64506</v>
      </c>
      <c r="E19409" s="0" t="s">
        <v>75</v>
      </c>
      <c r="F19409" s="0" t="s">
        <v>15</v>
      </c>
      <c r="G19409" s="0" t="s">
        <v>16</v>
      </c>
      <c r="H19409" s="0" t="n">
        <v>34</v>
      </c>
      <c r="I19409" s="0" t="s">
        <v>64507</v>
      </c>
      <c r="J19409" s="0" t="s">
        <v>64508</v>
      </c>
      <c r="K19409" s="0" t="s">
        <v>64509</v>
      </c>
      <c r="L19409" s="0" t="str">
        <f aca="false">HYPERLINK("https://www.ncbi.nlm.nih.gov/nuccore/CP000059.1?report=graph&amp;tracks=[key:gene_model_track,Options:GeneOnly]&amp;mk=40774:40793|offset_34|00cc00,40807:40826|offset_67|444444,40833:40852|offset_93|444444,40900:40919|offset_160|444444&amp;v=40573:41119&amp;c=444444", "offset 34")</f>
        <v>offset 34</v>
      </c>
    </row>
    <row r="19410" customFormat="false" ht="12.8" hidden="false" customHeight="false" outlineLevel="0" collapsed="false">
      <c r="A19410" s="0" t="s">
        <v>64160</v>
      </c>
      <c r="B19410" s="0" t="n">
        <v>40806</v>
      </c>
      <c r="C19410" s="0" t="n">
        <v>40826</v>
      </c>
      <c r="D19410" s="0" t="s">
        <v>64506</v>
      </c>
      <c r="E19410" s="0" t="s">
        <v>75</v>
      </c>
      <c r="F19410" s="0" t="s">
        <v>15</v>
      </c>
      <c r="G19410" s="0" t="s">
        <v>32</v>
      </c>
      <c r="H19410" s="0" t="n">
        <v>67</v>
      </c>
      <c r="I19410" s="0" t="s">
        <v>64510</v>
      </c>
      <c r="J19410" s="0" t="s">
        <v>64511</v>
      </c>
      <c r="K19410" s="0" t="s">
        <v>64512</v>
      </c>
      <c r="L19410" s="0" t="str">
        <f aca="false">HYPERLINK("https://www.ncbi.nlm.nih.gov/nuccore/CP000059.1?report=graph&amp;tracks=[key:gene_model_track,Options:GeneOnly]&amp;mk=40774:40793|offset_34|444444,40807:40826|offset_67|00cc00,40833:40852|offset_93|444444,40900:40919|offset_160|444444&amp;v=40573:41119&amp;c=444444", "offset 67")</f>
        <v>offset 67</v>
      </c>
    </row>
    <row r="19411" customFormat="false" ht="12.8" hidden="false" customHeight="false" outlineLevel="0" collapsed="false">
      <c r="A19411" s="0" t="s">
        <v>64160</v>
      </c>
      <c r="B19411" s="0" t="n">
        <v>40832</v>
      </c>
      <c r="C19411" s="0" t="n">
        <v>40852</v>
      </c>
      <c r="D19411" s="0" t="s">
        <v>64506</v>
      </c>
      <c r="E19411" s="0" t="s">
        <v>75</v>
      </c>
      <c r="F19411" s="0" t="s">
        <v>15</v>
      </c>
      <c r="G19411" s="0" t="s">
        <v>20</v>
      </c>
      <c r="H19411" s="0" t="n">
        <v>93</v>
      </c>
      <c r="I19411" s="0" t="s">
        <v>64513</v>
      </c>
      <c r="J19411" s="0" t="s">
        <v>64514</v>
      </c>
      <c r="K19411" s="0" t="s">
        <v>64515</v>
      </c>
      <c r="L19411" s="0" t="str">
        <f aca="false">HYPERLINK("https://www.ncbi.nlm.nih.gov/nuccore/CP000059.1?report=graph&amp;tracks=[key:gene_model_track,Options:GeneOnly]&amp;mk=40774:40793|offset_34|444444,40807:40826|offset_67|444444,40833:40852|offset_93|00cc00,40900:40919|offset_160|444444&amp;v=40573:41119&amp;c=444444", "offset 93")</f>
        <v>offset 93</v>
      </c>
    </row>
    <row r="19412" customFormat="false" ht="12.8" hidden="false" customHeight="false" outlineLevel="0" collapsed="false">
      <c r="A19412" s="0" t="s">
        <v>64160</v>
      </c>
      <c r="B19412" s="0" t="n">
        <v>40899</v>
      </c>
      <c r="C19412" s="0" t="n">
        <v>40919</v>
      </c>
      <c r="D19412" s="0" t="s">
        <v>64506</v>
      </c>
      <c r="E19412" s="0" t="s">
        <v>75</v>
      </c>
      <c r="F19412" s="0" t="s">
        <v>15</v>
      </c>
      <c r="G19412" s="0" t="s">
        <v>32</v>
      </c>
      <c r="H19412" s="0" t="n">
        <v>160</v>
      </c>
      <c r="I19412" s="0" t="s">
        <v>64516</v>
      </c>
      <c r="J19412" s="0" t="s">
        <v>64517</v>
      </c>
      <c r="K19412" s="0" t="s">
        <v>64518</v>
      </c>
      <c r="L19412" s="0" t="str">
        <f aca="false">HYPERLINK("https://www.ncbi.nlm.nih.gov/nuccore/CP000059.1?report=graph&amp;tracks=[key:gene_model_track,Options:GeneOnly]&amp;mk=40774:40793|offset_34|444444,40807:40826|offset_67|444444,40833:40852|offset_93|444444,40900:40919|offset_160|00cc00&amp;v=40573:41119&amp;c=444444", "offset 160")</f>
        <v>offset 160</v>
      </c>
    </row>
    <row r="19413" customFormat="false" ht="12.8" hidden="false" customHeight="false" outlineLevel="0" collapsed="false">
      <c r="A19413" s="0" t="s">
        <v>64160</v>
      </c>
      <c r="B19413" s="0" t="n">
        <v>41932</v>
      </c>
      <c r="C19413" s="0" t="n">
        <v>41952</v>
      </c>
      <c r="D19413" s="0" t="s">
        <v>64519</v>
      </c>
      <c r="E19413" s="0" t="s">
        <v>75</v>
      </c>
      <c r="F19413" s="0" t="s">
        <v>15</v>
      </c>
      <c r="G19413" s="0" t="s">
        <v>16</v>
      </c>
      <c r="H19413" s="0" t="n">
        <v>10</v>
      </c>
      <c r="I19413" s="0" t="s">
        <v>64520</v>
      </c>
      <c r="J19413" s="0" t="s">
        <v>64521</v>
      </c>
      <c r="K19413" s="0" t="s">
        <v>64522</v>
      </c>
      <c r="L19413" s="0" t="str">
        <f aca="false">HYPERLINK("https://www.ncbi.nlm.nih.gov/nuccore/CP000059.1?report=graph&amp;tracks=[key:gene_model_track,Options:GeneOnly]&amp;mk=41933:41952|offset_10|00cc00,41984:42003|offset_61|444444,42038:42057|offset_115|444444,42072:42091|offset_149|444444&amp;v=41732:42291&amp;c=444444", "offset 10")</f>
        <v>offset 10</v>
      </c>
    </row>
    <row r="19414" customFormat="false" ht="12.8" hidden="false" customHeight="false" outlineLevel="0" collapsed="false">
      <c r="A19414" s="0" t="s">
        <v>64160</v>
      </c>
      <c r="B19414" s="0" t="n">
        <v>41983</v>
      </c>
      <c r="C19414" s="0" t="n">
        <v>42003</v>
      </c>
      <c r="D19414" s="0" t="s">
        <v>64519</v>
      </c>
      <c r="E19414" s="0" t="s">
        <v>75</v>
      </c>
      <c r="F19414" s="0" t="s">
        <v>15</v>
      </c>
      <c r="G19414" s="0" t="s">
        <v>16</v>
      </c>
      <c r="H19414" s="0" t="n">
        <v>61</v>
      </c>
      <c r="I19414" s="0" t="s">
        <v>64523</v>
      </c>
      <c r="J19414" s="0" t="s">
        <v>64524</v>
      </c>
      <c r="K19414" s="0" t="s">
        <v>64525</v>
      </c>
      <c r="L19414" s="0" t="str">
        <f aca="false">HYPERLINK("https://www.ncbi.nlm.nih.gov/nuccore/CP000059.1?report=graph&amp;tracks=[key:gene_model_track,Options:GeneOnly]&amp;mk=41933:41952|offset_10|444444,41984:42003|offset_61|00cc00,42038:42057|offset_115|444444,42072:42091|offset_149|444444&amp;v=41732:42291&amp;c=444444", "offset 61")</f>
        <v>offset 61</v>
      </c>
    </row>
    <row r="19415" customFormat="false" ht="12.8" hidden="false" customHeight="false" outlineLevel="0" collapsed="false">
      <c r="A19415" s="0" t="s">
        <v>64160</v>
      </c>
      <c r="B19415" s="0" t="n">
        <v>42037</v>
      </c>
      <c r="C19415" s="0" t="n">
        <v>42057</v>
      </c>
      <c r="D19415" s="0" t="s">
        <v>64519</v>
      </c>
      <c r="E19415" s="0" t="s">
        <v>75</v>
      </c>
      <c r="F19415" s="0" t="s">
        <v>15</v>
      </c>
      <c r="G19415" s="0" t="s">
        <v>36</v>
      </c>
      <c r="H19415" s="0" t="n">
        <v>115</v>
      </c>
      <c r="I19415" s="0" t="s">
        <v>64526</v>
      </c>
      <c r="J19415" s="0" t="s">
        <v>64527</v>
      </c>
      <c r="K19415" s="0" t="s">
        <v>64528</v>
      </c>
      <c r="L19415" s="0" t="str">
        <f aca="false">HYPERLINK("https://www.ncbi.nlm.nih.gov/nuccore/CP000059.1?report=graph&amp;tracks=[key:gene_model_track,Options:GeneOnly]&amp;mk=41933:41952|offset_10|444444,41984:42003|offset_61|444444,42038:42057|offset_115|00cc00,42072:42091|offset_149|444444&amp;v=41732:42291&amp;c=444444", "offset 115")</f>
        <v>offset 115</v>
      </c>
    </row>
    <row r="19416" customFormat="false" ht="12.8" hidden="false" customHeight="false" outlineLevel="0" collapsed="false">
      <c r="A19416" s="0" t="s">
        <v>64160</v>
      </c>
      <c r="B19416" s="0" t="n">
        <v>42071</v>
      </c>
      <c r="C19416" s="0" t="n">
        <v>42091</v>
      </c>
      <c r="D19416" s="0" t="s">
        <v>64519</v>
      </c>
      <c r="E19416" s="0" t="s">
        <v>75</v>
      </c>
      <c r="F19416" s="0" t="s">
        <v>15</v>
      </c>
      <c r="G19416" s="0" t="s">
        <v>20</v>
      </c>
      <c r="H19416" s="0" t="n">
        <v>149</v>
      </c>
      <c r="I19416" s="0" t="s">
        <v>64529</v>
      </c>
      <c r="J19416" s="0" t="s">
        <v>64530</v>
      </c>
      <c r="K19416" s="0" t="s">
        <v>64531</v>
      </c>
      <c r="L19416" s="0" t="str">
        <f aca="false">HYPERLINK("https://www.ncbi.nlm.nih.gov/nuccore/CP000059.1?report=graph&amp;tracks=[key:gene_model_track,Options:GeneOnly]&amp;mk=41933:41952|offset_10|444444,41984:42003|offset_61|444444,42038:42057|offset_115|444444,42072:42091|offset_149|00cc00&amp;v=41732:42291&amp;c=444444", "offset 149")</f>
        <v>offset 149</v>
      </c>
    </row>
    <row r="19417" customFormat="false" ht="12.8" hidden="false" customHeight="false" outlineLevel="0" collapsed="false">
      <c r="A19417" s="0" t="s">
        <v>64160</v>
      </c>
      <c r="B19417" s="0" t="n">
        <v>42824</v>
      </c>
      <c r="C19417" s="0" t="n">
        <v>42844</v>
      </c>
      <c r="D19417" s="0" t="s">
        <v>64532</v>
      </c>
      <c r="E19417" s="0" t="s">
        <v>75</v>
      </c>
      <c r="F19417" s="0" t="s">
        <v>15</v>
      </c>
      <c r="G19417" s="0" t="s">
        <v>32</v>
      </c>
      <c r="H19417" s="0" t="n">
        <v>22</v>
      </c>
      <c r="I19417" s="0" t="s">
        <v>64533</v>
      </c>
      <c r="J19417" s="0" t="s">
        <v>64534</v>
      </c>
      <c r="K19417" s="0" t="s">
        <v>64535</v>
      </c>
      <c r="L19417" s="0" t="str">
        <f aca="false">HYPERLINK("https://www.ncbi.nlm.nih.gov/nuccore/CP000059.1?report=graph&amp;tracks=[key:gene_model_track,Options:GeneOnly]&amp;mk=42825:42844|offset_22|00cc00,42849:42868|offset_46|444444,42871:42890|offset_68|444444,42901:42920|offset_98|444444&amp;v=42624:43120&amp;c=444444", "offset 22")</f>
        <v>offset 22</v>
      </c>
    </row>
    <row r="19418" customFormat="false" ht="12.8" hidden="false" customHeight="false" outlineLevel="0" collapsed="false">
      <c r="A19418" s="0" t="s">
        <v>64160</v>
      </c>
      <c r="B19418" s="0" t="n">
        <v>42848</v>
      </c>
      <c r="C19418" s="0" t="n">
        <v>42868</v>
      </c>
      <c r="D19418" s="0" t="s">
        <v>64532</v>
      </c>
      <c r="E19418" s="0" t="s">
        <v>75</v>
      </c>
      <c r="F19418" s="0" t="s">
        <v>15</v>
      </c>
      <c r="G19418" s="0" t="s">
        <v>32</v>
      </c>
      <c r="H19418" s="0" t="n">
        <v>46</v>
      </c>
      <c r="I19418" s="0" t="s">
        <v>64536</v>
      </c>
      <c r="J19418" s="0" t="s">
        <v>64537</v>
      </c>
      <c r="K19418" s="0" t="s">
        <v>64538</v>
      </c>
      <c r="L19418" s="0" t="str">
        <f aca="false">HYPERLINK("https://www.ncbi.nlm.nih.gov/nuccore/CP000059.1?report=graph&amp;tracks=[key:gene_model_track,Options:GeneOnly]&amp;mk=42825:42844|offset_22|444444,42849:42868|offset_46|00cc00,42871:42890|offset_68|444444,42901:42920|offset_98|444444&amp;v=42624:43120&amp;c=444444", "offset 46")</f>
        <v>offset 46</v>
      </c>
    </row>
    <row r="19419" customFormat="false" ht="12.8" hidden="false" customHeight="false" outlineLevel="0" collapsed="false">
      <c r="A19419" s="0" t="s">
        <v>64160</v>
      </c>
      <c r="B19419" s="0" t="n">
        <v>42870</v>
      </c>
      <c r="C19419" s="0" t="n">
        <v>42890</v>
      </c>
      <c r="D19419" s="0" t="s">
        <v>64532</v>
      </c>
      <c r="E19419" s="0" t="s">
        <v>75</v>
      </c>
      <c r="F19419" s="0" t="s">
        <v>15</v>
      </c>
      <c r="G19419" s="0" t="s">
        <v>16</v>
      </c>
      <c r="H19419" s="0" t="n">
        <v>68</v>
      </c>
      <c r="I19419" s="0" t="s">
        <v>64539</v>
      </c>
      <c r="J19419" s="0" t="s">
        <v>64540</v>
      </c>
      <c r="K19419" s="0" t="s">
        <v>64541</v>
      </c>
      <c r="L19419" s="0" t="str">
        <f aca="false">HYPERLINK("https://www.ncbi.nlm.nih.gov/nuccore/CP000059.1?report=graph&amp;tracks=[key:gene_model_track,Options:GeneOnly]&amp;mk=42825:42844|offset_22|444444,42849:42868|offset_46|444444,42871:42890|offset_68|00cc00,42901:42920|offset_98|444444&amp;v=42624:43120&amp;c=444444", "offset 68")</f>
        <v>offset 68</v>
      </c>
    </row>
    <row r="19420" customFormat="false" ht="12.8" hidden="false" customHeight="false" outlineLevel="0" collapsed="false">
      <c r="A19420" s="0" t="s">
        <v>64160</v>
      </c>
      <c r="B19420" s="0" t="n">
        <v>42900</v>
      </c>
      <c r="C19420" s="0" t="n">
        <v>42920</v>
      </c>
      <c r="D19420" s="0" t="s">
        <v>64532</v>
      </c>
      <c r="E19420" s="0" t="s">
        <v>75</v>
      </c>
      <c r="F19420" s="0" t="s">
        <v>15</v>
      </c>
      <c r="G19420" s="0" t="s">
        <v>16</v>
      </c>
      <c r="H19420" s="0" t="n">
        <v>98</v>
      </c>
      <c r="I19420" s="0" t="s">
        <v>64542</v>
      </c>
      <c r="J19420" s="0" t="s">
        <v>64543</v>
      </c>
      <c r="K19420" s="0" t="s">
        <v>64544</v>
      </c>
      <c r="L19420" s="0" t="str">
        <f aca="false">HYPERLINK("https://www.ncbi.nlm.nih.gov/nuccore/CP000059.1?report=graph&amp;tracks=[key:gene_model_track,Options:GeneOnly]&amp;mk=42825:42844|offset_22|444444,42849:42868|offset_46|444444,42871:42890|offset_68|444444,42901:42920|offset_98|00cc00&amp;v=42624:43120&amp;c=444444", "offset 98")</f>
        <v>offset 98</v>
      </c>
    </row>
    <row r="19421" customFormat="false" ht="12.8" hidden="false" customHeight="false" outlineLevel="0" collapsed="false">
      <c r="A19421" s="0" t="s">
        <v>64160</v>
      </c>
      <c r="B19421" s="0" t="n">
        <v>43075</v>
      </c>
      <c r="C19421" s="0" t="n">
        <v>43095</v>
      </c>
      <c r="D19421" s="0" t="s">
        <v>64545</v>
      </c>
      <c r="E19421" s="0" t="s">
        <v>75</v>
      </c>
      <c r="F19421" s="0" t="s">
        <v>15</v>
      </c>
      <c r="G19421" s="0" t="s">
        <v>32</v>
      </c>
      <c r="H19421" s="0" t="n">
        <v>22</v>
      </c>
      <c r="I19421" s="0" t="s">
        <v>64546</v>
      </c>
      <c r="J19421" s="0" t="s">
        <v>64547</v>
      </c>
      <c r="K19421" s="0" t="s">
        <v>64548</v>
      </c>
      <c r="L19421" s="0" t="str">
        <f aca="false">HYPERLINK("https://www.ncbi.nlm.nih.gov/nuccore/CP000059.1?report=graph&amp;tracks=[key:gene_model_track,Options:GeneOnly]&amp;mk=43076:43095|offset_22|00cc00,43105:43124|offset_51|444444,43136:43155|offset_82|444444,43166:43185|offset_112|444444&amp;v=42875:43385&amp;c=444444", "offset 22")</f>
        <v>offset 22</v>
      </c>
    </row>
    <row r="19422" customFormat="false" ht="12.8" hidden="false" customHeight="false" outlineLevel="0" collapsed="false">
      <c r="A19422" s="0" t="s">
        <v>64160</v>
      </c>
      <c r="B19422" s="0" t="n">
        <v>43104</v>
      </c>
      <c r="C19422" s="0" t="n">
        <v>43124</v>
      </c>
      <c r="D19422" s="0" t="s">
        <v>64545</v>
      </c>
      <c r="E19422" s="0" t="s">
        <v>75</v>
      </c>
      <c r="F19422" s="0" t="s">
        <v>15</v>
      </c>
      <c r="G19422" s="0" t="s">
        <v>16</v>
      </c>
      <c r="H19422" s="0" t="n">
        <v>51</v>
      </c>
      <c r="I19422" s="0" t="s">
        <v>64549</v>
      </c>
      <c r="J19422" s="0" t="s">
        <v>64550</v>
      </c>
      <c r="K19422" s="0" t="s">
        <v>64551</v>
      </c>
      <c r="L19422" s="0" t="str">
        <f aca="false">HYPERLINK("https://www.ncbi.nlm.nih.gov/nuccore/CP000059.1?report=graph&amp;tracks=[key:gene_model_track,Options:GeneOnly]&amp;mk=43076:43095|offset_22|444444,43105:43124|offset_51|00cc00,43136:43155|offset_82|444444,43166:43185|offset_112|444444&amp;v=42875:43385&amp;c=444444", "offset 51")</f>
        <v>offset 51</v>
      </c>
    </row>
    <row r="19423" customFormat="false" ht="12.8" hidden="false" customHeight="false" outlineLevel="0" collapsed="false">
      <c r="A19423" s="0" t="s">
        <v>64160</v>
      </c>
      <c r="B19423" s="0" t="n">
        <v>43135</v>
      </c>
      <c r="C19423" s="0" t="n">
        <v>43155</v>
      </c>
      <c r="D19423" s="0" t="s">
        <v>64545</v>
      </c>
      <c r="E19423" s="0" t="s">
        <v>75</v>
      </c>
      <c r="F19423" s="0" t="s">
        <v>15</v>
      </c>
      <c r="G19423" s="0" t="s">
        <v>20</v>
      </c>
      <c r="H19423" s="0" t="n">
        <v>82</v>
      </c>
      <c r="I19423" s="0" t="s">
        <v>64552</v>
      </c>
      <c r="J19423" s="0" t="s">
        <v>64553</v>
      </c>
      <c r="K19423" s="0" t="s">
        <v>64554</v>
      </c>
      <c r="L19423" s="0" t="str">
        <f aca="false">HYPERLINK("https://www.ncbi.nlm.nih.gov/nuccore/CP000059.1?report=graph&amp;tracks=[key:gene_model_track,Options:GeneOnly]&amp;mk=43076:43095|offset_22|444444,43105:43124|offset_51|444444,43136:43155|offset_82|00cc00,43166:43185|offset_112|444444&amp;v=42875:43385&amp;c=444444", "offset 82")</f>
        <v>offset 82</v>
      </c>
    </row>
    <row r="19424" customFormat="false" ht="12.8" hidden="false" customHeight="false" outlineLevel="0" collapsed="false">
      <c r="A19424" s="0" t="s">
        <v>64160</v>
      </c>
      <c r="B19424" s="0" t="n">
        <v>43165</v>
      </c>
      <c r="C19424" s="0" t="n">
        <v>43185</v>
      </c>
      <c r="D19424" s="0" t="s">
        <v>64545</v>
      </c>
      <c r="E19424" s="0" t="s">
        <v>75</v>
      </c>
      <c r="F19424" s="0" t="s">
        <v>15</v>
      </c>
      <c r="G19424" s="0" t="s">
        <v>20</v>
      </c>
      <c r="H19424" s="0" t="n">
        <v>112</v>
      </c>
      <c r="I19424" s="0" t="s">
        <v>64555</v>
      </c>
      <c r="J19424" s="0" t="s">
        <v>64556</v>
      </c>
      <c r="K19424" s="0" t="s">
        <v>64557</v>
      </c>
      <c r="L19424" s="0" t="str">
        <f aca="false">HYPERLINK("https://www.ncbi.nlm.nih.gov/nuccore/CP000059.1?report=graph&amp;tracks=[key:gene_model_track,Options:GeneOnly]&amp;mk=43076:43095|offset_22|444444,43105:43124|offset_51|444444,43136:43155|offset_82|444444,43166:43185|offset_112|00cc00&amp;v=42875:43385&amp;c=444444", "offset 112")</f>
        <v>offset 112</v>
      </c>
    </row>
    <row r="19425" customFormat="false" ht="12.8" hidden="false" customHeight="false" outlineLevel="0" collapsed="false">
      <c r="A19425" s="0" t="s">
        <v>64160</v>
      </c>
      <c r="B19425" s="0" t="n">
        <v>43473</v>
      </c>
      <c r="C19425" s="0" t="n">
        <v>43493</v>
      </c>
      <c r="D19425" s="0" t="s">
        <v>64558</v>
      </c>
      <c r="E19425" s="0" t="s">
        <v>75</v>
      </c>
      <c r="F19425" s="0" t="s">
        <v>15</v>
      </c>
      <c r="G19425" s="0" t="s">
        <v>16</v>
      </c>
      <c r="H19425" s="0" t="n">
        <v>6</v>
      </c>
      <c r="I19425" s="0" t="s">
        <v>64559</v>
      </c>
      <c r="J19425" s="0" t="s">
        <v>64560</v>
      </c>
      <c r="K19425" s="0" t="s">
        <v>64561</v>
      </c>
      <c r="L19425" s="0" t="str">
        <f aca="false">HYPERLINK("https://www.ncbi.nlm.nih.gov/nuccore/CP000059.1?report=graph&amp;tracks=[key:gene_model_track,Options:GeneOnly]&amp;mk=43474:43493|offset_6|00cc00,43528:43547|offset_60|444444,43560:43579|offset_92|444444,43586:43605|offset_118|444444&amp;v=43273:43805&amp;c=444444", "offset 6")</f>
        <v>offset 6</v>
      </c>
    </row>
    <row r="19426" customFormat="false" ht="12.8" hidden="false" customHeight="false" outlineLevel="0" collapsed="false">
      <c r="A19426" s="0" t="s">
        <v>64160</v>
      </c>
      <c r="B19426" s="0" t="n">
        <v>43527</v>
      </c>
      <c r="C19426" s="0" t="n">
        <v>43547</v>
      </c>
      <c r="D19426" s="0" t="s">
        <v>64558</v>
      </c>
      <c r="E19426" s="0" t="s">
        <v>75</v>
      </c>
      <c r="F19426" s="0" t="s">
        <v>15</v>
      </c>
      <c r="G19426" s="0" t="s">
        <v>20</v>
      </c>
      <c r="H19426" s="0" t="n">
        <v>60</v>
      </c>
      <c r="I19426" s="0" t="s">
        <v>64562</v>
      </c>
      <c r="J19426" s="0" t="s">
        <v>64563</v>
      </c>
      <c r="K19426" s="0" t="s">
        <v>64564</v>
      </c>
      <c r="L19426" s="0" t="str">
        <f aca="false">HYPERLINK("https://www.ncbi.nlm.nih.gov/nuccore/CP000059.1?report=graph&amp;tracks=[key:gene_model_track,Options:GeneOnly]&amp;mk=43474:43493|offset_6|444444,43528:43547|offset_60|00cc00,43560:43579|offset_92|444444,43586:43605|offset_118|444444&amp;v=43273:43805&amp;c=444444", "offset 60")</f>
        <v>offset 60</v>
      </c>
    </row>
    <row r="19427" customFormat="false" ht="12.8" hidden="false" customHeight="false" outlineLevel="0" collapsed="false">
      <c r="A19427" s="0" t="s">
        <v>64160</v>
      </c>
      <c r="B19427" s="0" t="n">
        <v>43559</v>
      </c>
      <c r="C19427" s="0" t="n">
        <v>43579</v>
      </c>
      <c r="D19427" s="0" t="s">
        <v>64558</v>
      </c>
      <c r="E19427" s="0" t="s">
        <v>75</v>
      </c>
      <c r="F19427" s="0" t="s">
        <v>15</v>
      </c>
      <c r="G19427" s="0" t="s">
        <v>32</v>
      </c>
      <c r="H19427" s="0" t="n">
        <v>92</v>
      </c>
      <c r="I19427" s="0" t="s">
        <v>64565</v>
      </c>
      <c r="J19427" s="0" t="s">
        <v>64566</v>
      </c>
      <c r="K19427" s="0" t="s">
        <v>64567</v>
      </c>
      <c r="L19427" s="0" t="str">
        <f aca="false">HYPERLINK("https://www.ncbi.nlm.nih.gov/nuccore/CP000059.1?report=graph&amp;tracks=[key:gene_model_track,Options:GeneOnly]&amp;mk=43474:43493|offset_6|444444,43528:43547|offset_60|444444,43560:43579|offset_92|00cc00,43586:43605|offset_118|444444&amp;v=43273:43805&amp;c=444444", "offset 92")</f>
        <v>offset 92</v>
      </c>
    </row>
    <row r="19428" customFormat="false" ht="12.8" hidden="false" customHeight="false" outlineLevel="0" collapsed="false">
      <c r="A19428" s="0" t="s">
        <v>64160</v>
      </c>
      <c r="B19428" s="0" t="n">
        <v>43585</v>
      </c>
      <c r="C19428" s="0" t="n">
        <v>43605</v>
      </c>
      <c r="D19428" s="0" t="s">
        <v>64558</v>
      </c>
      <c r="E19428" s="0" t="s">
        <v>75</v>
      </c>
      <c r="F19428" s="0" t="s">
        <v>15</v>
      </c>
      <c r="G19428" s="0" t="s">
        <v>36</v>
      </c>
      <c r="H19428" s="0" t="n">
        <v>118</v>
      </c>
      <c r="I19428" s="0" t="s">
        <v>64568</v>
      </c>
      <c r="J19428" s="0" t="s">
        <v>64569</v>
      </c>
      <c r="K19428" s="0" t="s">
        <v>64570</v>
      </c>
      <c r="L19428" s="0" t="str">
        <f aca="false">HYPERLINK("https://www.ncbi.nlm.nih.gov/nuccore/CP000059.1?report=graph&amp;tracks=[key:gene_model_track,Options:GeneOnly]&amp;mk=43474:43493|offset_6|444444,43528:43547|offset_60|444444,43560:43579|offset_92|444444,43586:43605|offset_118|00cc00&amp;v=43273:43805&amp;c=444444", "offset 118")</f>
        <v>offset 118</v>
      </c>
    </row>
    <row r="19429" customFormat="false" ht="12.8" hidden="false" customHeight="false" outlineLevel="0" collapsed="false">
      <c r="A19429" s="0" t="s">
        <v>64160</v>
      </c>
      <c r="B19429" s="0" t="n">
        <v>45501</v>
      </c>
      <c r="C19429" s="0" t="n">
        <v>45521</v>
      </c>
      <c r="D19429" s="0" t="s">
        <v>64571</v>
      </c>
      <c r="E19429" s="0" t="s">
        <v>75</v>
      </c>
      <c r="F19429" s="0" t="s">
        <v>15</v>
      </c>
      <c r="G19429" s="0" t="s">
        <v>36</v>
      </c>
      <c r="H19429" s="0" t="n">
        <v>7</v>
      </c>
      <c r="I19429" s="0" t="s">
        <v>64572</v>
      </c>
      <c r="J19429" s="0" t="s">
        <v>64573</v>
      </c>
      <c r="K19429" s="0" t="s">
        <v>64574</v>
      </c>
      <c r="L19429" s="0" t="str">
        <f aca="false">HYPERLINK("https://www.ncbi.nlm.nih.gov/nuccore/CP000059.1?report=graph&amp;tracks=[key:gene_model_track,Options:GeneOnly]&amp;mk=45502:45521|offset_7|00cc00,45584:45603|offset_89|444444&amp;v=45301:45803&amp;c=444444", "offset 7")</f>
        <v>offset 7</v>
      </c>
    </row>
    <row r="19430" customFormat="false" ht="12.8" hidden="false" customHeight="false" outlineLevel="0" collapsed="false">
      <c r="A19430" s="0" t="s">
        <v>64160</v>
      </c>
      <c r="B19430" s="0" t="n">
        <v>45583</v>
      </c>
      <c r="C19430" s="0" t="n">
        <v>45603</v>
      </c>
      <c r="D19430" s="0" t="s">
        <v>64571</v>
      </c>
      <c r="E19430" s="0" t="s">
        <v>75</v>
      </c>
      <c r="F19430" s="0" t="s">
        <v>15</v>
      </c>
      <c r="G19430" s="0" t="s">
        <v>20</v>
      </c>
      <c r="H19430" s="0" t="n">
        <v>89</v>
      </c>
      <c r="I19430" s="0" t="s">
        <v>64575</v>
      </c>
      <c r="J19430" s="0" t="s">
        <v>64576</v>
      </c>
      <c r="K19430" s="0" t="s">
        <v>64577</v>
      </c>
      <c r="L19430" s="0" t="str">
        <f aca="false">HYPERLINK("https://www.ncbi.nlm.nih.gov/nuccore/CP000059.1?report=graph&amp;tracks=[key:gene_model_track,Options:GeneOnly]&amp;mk=45502:45521|offset_7|444444,45584:45603|offset_89|00cc00&amp;v=45301:45803&amp;c=444444", "offset 89")</f>
        <v>offset 89</v>
      </c>
    </row>
    <row r="19431" customFormat="false" ht="12.8" hidden="false" customHeight="false" outlineLevel="0" collapsed="false">
      <c r="A19431" s="0" t="s">
        <v>64160</v>
      </c>
      <c r="B19431" s="0" t="n">
        <v>45725</v>
      </c>
      <c r="C19431" s="0" t="n">
        <v>45745</v>
      </c>
      <c r="D19431" s="0" t="s">
        <v>64578</v>
      </c>
      <c r="E19431" s="0" t="s">
        <v>64579</v>
      </c>
      <c r="F19431" s="0" t="s">
        <v>15</v>
      </c>
      <c r="G19431" s="0" t="s">
        <v>32</v>
      </c>
      <c r="H19431" s="0" t="n">
        <v>80</v>
      </c>
      <c r="I19431" s="0" t="s">
        <v>64580</v>
      </c>
      <c r="J19431" s="0" t="s">
        <v>64581</v>
      </c>
      <c r="K19431" s="0" t="s">
        <v>64582</v>
      </c>
      <c r="L19431" s="0" t="str">
        <f aca="false">HYPERLINK("https://www.ncbi.nlm.nih.gov/nuccore/CP000059.1?report=graph&amp;tracks=[key:gene_model_track,Options:GeneOnly]&amp;mk=45726:45745|offset_80|00cc00,45754:45773|offset_108|444444,45777:45796|offset_131|444444,45802:45821|offset_156|444444&amp;v=45525:46021&amp;c=444444", "offset 80")</f>
        <v>offset 80</v>
      </c>
    </row>
    <row r="19432" customFormat="false" ht="12.8" hidden="false" customHeight="false" outlineLevel="0" collapsed="false">
      <c r="A19432" s="0" t="s">
        <v>64160</v>
      </c>
      <c r="B19432" s="0" t="n">
        <v>45753</v>
      </c>
      <c r="C19432" s="0" t="n">
        <v>45773</v>
      </c>
      <c r="D19432" s="0" t="s">
        <v>64578</v>
      </c>
      <c r="E19432" s="0" t="s">
        <v>64579</v>
      </c>
      <c r="F19432" s="0" t="s">
        <v>15</v>
      </c>
      <c r="G19432" s="0" t="s">
        <v>36</v>
      </c>
      <c r="H19432" s="0" t="n">
        <v>108</v>
      </c>
      <c r="I19432" s="0" t="s">
        <v>64583</v>
      </c>
      <c r="J19432" s="0" t="s">
        <v>64584</v>
      </c>
      <c r="K19432" s="0" t="s">
        <v>64585</v>
      </c>
      <c r="L19432" s="0" t="str">
        <f aca="false">HYPERLINK("https://www.ncbi.nlm.nih.gov/nuccore/CP000059.1?report=graph&amp;tracks=[key:gene_model_track,Options:GeneOnly]&amp;mk=45726:45745|offset_80|444444,45754:45773|offset_108|00cc00,45777:45796|offset_131|444444,45802:45821|offset_156|444444&amp;v=45525:46021&amp;c=444444", "offset 108")</f>
        <v>offset 108</v>
      </c>
    </row>
    <row r="19433" customFormat="false" ht="12.8" hidden="false" customHeight="false" outlineLevel="0" collapsed="false">
      <c r="A19433" s="0" t="s">
        <v>64160</v>
      </c>
      <c r="B19433" s="0" t="n">
        <v>45776</v>
      </c>
      <c r="C19433" s="0" t="n">
        <v>45796</v>
      </c>
      <c r="D19433" s="0" t="s">
        <v>64578</v>
      </c>
      <c r="E19433" s="0" t="s">
        <v>64579</v>
      </c>
      <c r="F19433" s="0" t="s">
        <v>15</v>
      </c>
      <c r="G19433" s="0" t="s">
        <v>36</v>
      </c>
      <c r="H19433" s="0" t="n">
        <v>131</v>
      </c>
      <c r="I19433" s="0" t="s">
        <v>64586</v>
      </c>
      <c r="J19433" s="0" t="s">
        <v>64587</v>
      </c>
      <c r="K19433" s="0" t="s">
        <v>64588</v>
      </c>
      <c r="L19433" s="0" t="str">
        <f aca="false">HYPERLINK("https://www.ncbi.nlm.nih.gov/nuccore/CP000059.1?report=graph&amp;tracks=[key:gene_model_track,Options:GeneOnly]&amp;mk=45726:45745|offset_80|444444,45754:45773|offset_108|444444,45777:45796|offset_131|00cc00,45802:45821|offset_156|444444&amp;v=45525:46021&amp;c=444444", "offset 131")</f>
        <v>offset 131</v>
      </c>
    </row>
    <row r="19434" customFormat="false" ht="12.8" hidden="false" customHeight="false" outlineLevel="0" collapsed="false">
      <c r="A19434" s="0" t="s">
        <v>64160</v>
      </c>
      <c r="B19434" s="0" t="n">
        <v>45801</v>
      </c>
      <c r="C19434" s="0" t="n">
        <v>45821</v>
      </c>
      <c r="D19434" s="0" t="s">
        <v>64578</v>
      </c>
      <c r="E19434" s="0" t="s">
        <v>64579</v>
      </c>
      <c r="F19434" s="0" t="s">
        <v>15</v>
      </c>
      <c r="G19434" s="0" t="s">
        <v>32</v>
      </c>
      <c r="H19434" s="0" t="n">
        <v>156</v>
      </c>
      <c r="I19434" s="0" t="s">
        <v>64589</v>
      </c>
      <c r="J19434" s="0" t="s">
        <v>64590</v>
      </c>
      <c r="K19434" s="0" t="s">
        <v>64591</v>
      </c>
      <c r="L19434" s="0" t="str">
        <f aca="false">HYPERLINK("https://www.ncbi.nlm.nih.gov/nuccore/CP000059.1?report=graph&amp;tracks=[key:gene_model_track,Options:GeneOnly]&amp;mk=45726:45745|offset_80|444444,45754:45773|offset_108|444444,45777:45796|offset_131|444444,45802:45821|offset_156|00cc00&amp;v=45525:46021&amp;c=444444", "offset 156")</f>
        <v>offset 156</v>
      </c>
    </row>
    <row r="19435" customFormat="false" ht="12.8" hidden="false" customHeight="false" outlineLevel="0" collapsed="false">
      <c r="A19435" s="0" t="s">
        <v>64160</v>
      </c>
      <c r="B19435" s="0" t="n">
        <v>49074</v>
      </c>
      <c r="C19435" s="0" t="n">
        <v>49094</v>
      </c>
      <c r="D19435" s="0" t="s">
        <v>64592</v>
      </c>
      <c r="E19435" s="0" t="s">
        <v>75</v>
      </c>
      <c r="F19435" s="0" t="s">
        <v>90</v>
      </c>
      <c r="G19435" s="0" t="s">
        <v>20</v>
      </c>
      <c r="H19435" s="0" t="n">
        <v>24</v>
      </c>
      <c r="I19435" s="0" t="s">
        <v>64593</v>
      </c>
      <c r="J19435" s="0" t="s">
        <v>64594</v>
      </c>
      <c r="K19435" s="0" t="s">
        <v>64595</v>
      </c>
      <c r="L19435" s="0" t="str">
        <f aca="false">HYPERLINK("https://www.ncbi.nlm.nih.gov/nuccore/CP000059.1?report=graph&amp;tracks=[key:gene_model_track,Options:GeneOnly]&amp;mk=49075:49094|offset_24|00cc00,48995:49014|offset_104|444444,48947:48966|offset_152|444444,48909:48928|offset_190|444444&amp;v=48874:49128&amp;c=444444", "offset 24")</f>
        <v>offset 24</v>
      </c>
    </row>
    <row r="19436" customFormat="false" ht="12.8" hidden="false" customHeight="false" outlineLevel="0" collapsed="false">
      <c r="A19436" s="0" t="s">
        <v>64160</v>
      </c>
      <c r="B19436" s="0" t="n">
        <v>48994</v>
      </c>
      <c r="C19436" s="0" t="n">
        <v>49014</v>
      </c>
      <c r="D19436" s="0" t="s">
        <v>64592</v>
      </c>
      <c r="E19436" s="0" t="s">
        <v>75</v>
      </c>
      <c r="F19436" s="0" t="s">
        <v>90</v>
      </c>
      <c r="G19436" s="0" t="s">
        <v>16</v>
      </c>
      <c r="H19436" s="0" t="n">
        <v>104</v>
      </c>
      <c r="I19436" s="0" t="s">
        <v>64596</v>
      </c>
      <c r="J19436" s="0" t="s">
        <v>64597</v>
      </c>
      <c r="K19436" s="0" t="s">
        <v>64598</v>
      </c>
      <c r="L19436" s="0" t="str">
        <f aca="false">HYPERLINK("https://www.ncbi.nlm.nih.gov/nuccore/CP000059.1?report=graph&amp;tracks=[key:gene_model_track,Options:GeneOnly]&amp;mk=49075:49094|offset_24|444444,48995:49014|offset_104|00cc00,48947:48966|offset_152|444444,48909:48928|offset_190|444444&amp;v=48874:49128&amp;c=444444", "offset 104")</f>
        <v>offset 104</v>
      </c>
    </row>
    <row r="19437" customFormat="false" ht="12.8" hidden="false" customHeight="false" outlineLevel="0" collapsed="false">
      <c r="A19437" s="0" t="s">
        <v>64160</v>
      </c>
      <c r="B19437" s="0" t="n">
        <v>48946</v>
      </c>
      <c r="C19437" s="0" t="n">
        <v>48966</v>
      </c>
      <c r="D19437" s="0" t="s">
        <v>64592</v>
      </c>
      <c r="E19437" s="0" t="s">
        <v>75</v>
      </c>
      <c r="F19437" s="0" t="s">
        <v>90</v>
      </c>
      <c r="G19437" s="0" t="s">
        <v>20</v>
      </c>
      <c r="H19437" s="0" t="n">
        <v>152</v>
      </c>
      <c r="I19437" s="0" t="s">
        <v>64599</v>
      </c>
      <c r="J19437" s="0" t="s">
        <v>64600</v>
      </c>
      <c r="K19437" s="0" t="s">
        <v>64601</v>
      </c>
      <c r="L19437" s="0" t="str">
        <f aca="false">HYPERLINK("https://www.ncbi.nlm.nih.gov/nuccore/CP000059.1?report=graph&amp;tracks=[key:gene_model_track,Options:GeneOnly]&amp;mk=49075:49094|offset_24|444444,48995:49014|offset_104|444444,48947:48966|offset_152|00cc00,48909:48928|offset_190|444444&amp;v=48874:49128&amp;c=444444", "offset 152")</f>
        <v>offset 152</v>
      </c>
    </row>
    <row r="19438" customFormat="false" ht="12.8" hidden="false" customHeight="false" outlineLevel="0" collapsed="false">
      <c r="A19438" s="0" t="s">
        <v>64160</v>
      </c>
      <c r="B19438" s="0" t="n">
        <v>48908</v>
      </c>
      <c r="C19438" s="0" t="n">
        <v>48928</v>
      </c>
      <c r="D19438" s="0" t="s">
        <v>64592</v>
      </c>
      <c r="E19438" s="0" t="s">
        <v>75</v>
      </c>
      <c r="F19438" s="0" t="s">
        <v>90</v>
      </c>
      <c r="G19438" s="0" t="s">
        <v>32</v>
      </c>
      <c r="H19438" s="0" t="n">
        <v>190</v>
      </c>
      <c r="I19438" s="0" t="s">
        <v>64602</v>
      </c>
      <c r="J19438" s="0" t="s">
        <v>64603</v>
      </c>
      <c r="K19438" s="0" t="s">
        <v>64604</v>
      </c>
      <c r="L19438" s="0" t="str">
        <f aca="false">HYPERLINK("https://www.ncbi.nlm.nih.gov/nuccore/CP000059.1?report=graph&amp;tracks=[key:gene_model_track,Options:GeneOnly]&amp;mk=49075:49094|offset_24|444444,48995:49014|offset_104|444444,48947:48966|offset_152|444444,48909:48928|offset_190|00cc00&amp;v=48874:49128&amp;c=444444", "offset 190")</f>
        <v>offset 190</v>
      </c>
    </row>
    <row r="19439" customFormat="false" ht="12.8" hidden="false" customHeight="false" outlineLevel="0" collapsed="false">
      <c r="A19439" s="0" t="s">
        <v>64160</v>
      </c>
      <c r="B19439" s="0" t="n">
        <v>49743</v>
      </c>
      <c r="C19439" s="0" t="n">
        <v>49763</v>
      </c>
      <c r="D19439" s="0" t="s">
        <v>64605</v>
      </c>
      <c r="E19439" s="0" t="s">
        <v>75</v>
      </c>
      <c r="F19439" s="0" t="s">
        <v>15</v>
      </c>
      <c r="G19439" s="0" t="s">
        <v>32</v>
      </c>
      <c r="H19439" s="0" t="n">
        <v>140</v>
      </c>
      <c r="I19439" s="0" t="s">
        <v>64606</v>
      </c>
      <c r="J19439" s="0" t="s">
        <v>64607</v>
      </c>
      <c r="K19439" s="0" t="s">
        <v>64608</v>
      </c>
      <c r="L19439" s="0" t="str">
        <f aca="false">HYPERLINK("https://www.ncbi.nlm.nih.gov/nuccore/CP000059.1?report=graph&amp;tracks=[key:gene_model_track,Options:GeneOnly]&amp;mk=49744:49763|offset_140|00cc00,49813:49832|offset_209|444444,49916:49935|offset_312|444444,49937:49956|offset_333|444444&amp;v=49543:50156&amp;c=444444", "offset 140")</f>
        <v>offset 140</v>
      </c>
    </row>
    <row r="19440" customFormat="false" ht="12.8" hidden="false" customHeight="false" outlineLevel="0" collapsed="false">
      <c r="A19440" s="0" t="s">
        <v>64160</v>
      </c>
      <c r="B19440" s="0" t="n">
        <v>49812</v>
      </c>
      <c r="C19440" s="0" t="n">
        <v>49832</v>
      </c>
      <c r="D19440" s="0" t="s">
        <v>64605</v>
      </c>
      <c r="E19440" s="0" t="s">
        <v>75</v>
      </c>
      <c r="F19440" s="0" t="s">
        <v>15</v>
      </c>
      <c r="G19440" s="0" t="s">
        <v>32</v>
      </c>
      <c r="H19440" s="0" t="n">
        <v>209</v>
      </c>
      <c r="I19440" s="0" t="s">
        <v>64609</v>
      </c>
      <c r="J19440" s="0" t="s">
        <v>64610</v>
      </c>
      <c r="K19440" s="0" t="s">
        <v>64611</v>
      </c>
      <c r="L19440" s="0" t="str">
        <f aca="false">HYPERLINK("https://www.ncbi.nlm.nih.gov/nuccore/CP000059.1?report=graph&amp;tracks=[key:gene_model_track,Options:GeneOnly]&amp;mk=49744:49763|offset_140|444444,49813:49832|offset_209|00cc00,49916:49935|offset_312|444444,49937:49956|offset_333|444444&amp;v=49543:50156&amp;c=444444", "offset 209")</f>
        <v>offset 209</v>
      </c>
    </row>
    <row r="19441" customFormat="false" ht="12.8" hidden="false" customHeight="false" outlineLevel="0" collapsed="false">
      <c r="A19441" s="0" t="s">
        <v>64160</v>
      </c>
      <c r="B19441" s="0" t="n">
        <v>49915</v>
      </c>
      <c r="C19441" s="0" t="n">
        <v>49935</v>
      </c>
      <c r="D19441" s="0" t="s">
        <v>64605</v>
      </c>
      <c r="E19441" s="0" t="s">
        <v>75</v>
      </c>
      <c r="F19441" s="0" t="s">
        <v>15</v>
      </c>
      <c r="G19441" s="0" t="s">
        <v>20</v>
      </c>
      <c r="H19441" s="0" t="n">
        <v>312</v>
      </c>
      <c r="I19441" s="0" t="s">
        <v>64612</v>
      </c>
      <c r="J19441" s="0" t="s">
        <v>64613</v>
      </c>
      <c r="K19441" s="0" t="s">
        <v>64614</v>
      </c>
      <c r="L19441" s="0" t="str">
        <f aca="false">HYPERLINK("https://www.ncbi.nlm.nih.gov/nuccore/CP000059.1?report=graph&amp;tracks=[key:gene_model_track,Options:GeneOnly]&amp;mk=49744:49763|offset_140|444444,49813:49832|offset_209|444444,49916:49935|offset_312|00cc00,49937:49956|offset_333|444444&amp;v=49543:50156&amp;c=444444", "offset 312")</f>
        <v>offset 312</v>
      </c>
    </row>
    <row r="19442" customFormat="false" ht="12.8" hidden="false" customHeight="false" outlineLevel="0" collapsed="false">
      <c r="A19442" s="0" t="s">
        <v>64160</v>
      </c>
      <c r="B19442" s="0" t="n">
        <v>49936</v>
      </c>
      <c r="C19442" s="0" t="n">
        <v>49956</v>
      </c>
      <c r="D19442" s="0" t="s">
        <v>64605</v>
      </c>
      <c r="E19442" s="0" t="s">
        <v>75</v>
      </c>
      <c r="F19442" s="0" t="s">
        <v>15</v>
      </c>
      <c r="G19442" s="0" t="s">
        <v>32</v>
      </c>
      <c r="H19442" s="0" t="n">
        <v>333</v>
      </c>
      <c r="I19442" s="0" t="s">
        <v>64615</v>
      </c>
      <c r="J19442" s="0" t="s">
        <v>64616</v>
      </c>
      <c r="K19442" s="0" t="s">
        <v>64617</v>
      </c>
      <c r="L19442" s="0" t="str">
        <f aca="false">HYPERLINK("https://www.ncbi.nlm.nih.gov/nuccore/CP000059.1?report=graph&amp;tracks=[key:gene_model_track,Options:GeneOnly]&amp;mk=49744:49763|offset_140|444444,49813:49832|offset_209|444444,49916:49935|offset_312|444444,49937:49956|offset_333|00cc00&amp;v=49543:50156&amp;c=444444", "offset 333")</f>
        <v>offset 333</v>
      </c>
    </row>
    <row r="19443" customFormat="false" ht="12.8" hidden="false" customHeight="false" outlineLevel="0" collapsed="false">
      <c r="A19443" s="0" t="s">
        <v>64160</v>
      </c>
      <c r="B19443" s="0" t="n">
        <v>50691</v>
      </c>
      <c r="C19443" s="0" t="n">
        <v>50711</v>
      </c>
      <c r="D19443" s="0" t="s">
        <v>64618</v>
      </c>
      <c r="E19443" s="0" t="s">
        <v>75</v>
      </c>
      <c r="F19443" s="0" t="s">
        <v>15</v>
      </c>
      <c r="G19443" s="0" t="s">
        <v>16</v>
      </c>
      <c r="H19443" s="0" t="n">
        <v>20</v>
      </c>
      <c r="I19443" s="0" t="s">
        <v>64619</v>
      </c>
      <c r="J19443" s="0" t="s">
        <v>64620</v>
      </c>
      <c r="K19443" s="0" t="s">
        <v>64621</v>
      </c>
      <c r="L19443" s="0" t="str">
        <f aca="false">HYPERLINK("https://www.ncbi.nlm.nih.gov/nuccore/CP000059.1?report=graph&amp;tracks=[key:gene_model_track,Options:GeneOnly]&amp;mk=50692:50711|offset_20|00cc00,50736:50755|offset_64|444444,50784:50803|offset_112|444444,50818:50837|offset_146|444444&amp;v=50491:51037&amp;c=444444", "offset 20")</f>
        <v>offset 20</v>
      </c>
    </row>
    <row r="19444" customFormat="false" ht="12.8" hidden="false" customHeight="false" outlineLevel="0" collapsed="false">
      <c r="A19444" s="0" t="s">
        <v>64160</v>
      </c>
      <c r="B19444" s="0" t="n">
        <v>50735</v>
      </c>
      <c r="C19444" s="0" t="n">
        <v>50755</v>
      </c>
      <c r="D19444" s="0" t="s">
        <v>64618</v>
      </c>
      <c r="E19444" s="0" t="s">
        <v>75</v>
      </c>
      <c r="F19444" s="0" t="s">
        <v>15</v>
      </c>
      <c r="G19444" s="0" t="s">
        <v>16</v>
      </c>
      <c r="H19444" s="0" t="n">
        <v>64</v>
      </c>
      <c r="I19444" s="0" t="s">
        <v>64622</v>
      </c>
      <c r="J19444" s="0" t="s">
        <v>64623</v>
      </c>
      <c r="K19444" s="0" t="s">
        <v>64624</v>
      </c>
      <c r="L19444" s="0" t="str">
        <f aca="false">HYPERLINK("https://www.ncbi.nlm.nih.gov/nuccore/CP000059.1?report=graph&amp;tracks=[key:gene_model_track,Options:GeneOnly]&amp;mk=50692:50711|offset_20|444444,50736:50755|offset_64|00cc00,50784:50803|offset_112|444444,50818:50837|offset_146|444444&amp;v=50491:51037&amp;c=444444", "offset 64")</f>
        <v>offset 64</v>
      </c>
    </row>
    <row r="19445" customFormat="false" ht="12.8" hidden="false" customHeight="false" outlineLevel="0" collapsed="false">
      <c r="A19445" s="0" t="s">
        <v>64160</v>
      </c>
      <c r="B19445" s="0" t="n">
        <v>50783</v>
      </c>
      <c r="C19445" s="0" t="n">
        <v>50803</v>
      </c>
      <c r="D19445" s="0" t="s">
        <v>64618</v>
      </c>
      <c r="E19445" s="0" t="s">
        <v>75</v>
      </c>
      <c r="F19445" s="0" t="s">
        <v>15</v>
      </c>
      <c r="G19445" s="0" t="s">
        <v>16</v>
      </c>
      <c r="H19445" s="0" t="n">
        <v>112</v>
      </c>
      <c r="I19445" s="0" t="s">
        <v>64625</v>
      </c>
      <c r="J19445" s="0" t="s">
        <v>64626</v>
      </c>
      <c r="K19445" s="0" t="s">
        <v>64627</v>
      </c>
      <c r="L19445" s="0" t="str">
        <f aca="false">HYPERLINK("https://www.ncbi.nlm.nih.gov/nuccore/CP000059.1?report=graph&amp;tracks=[key:gene_model_track,Options:GeneOnly]&amp;mk=50692:50711|offset_20|444444,50736:50755|offset_64|444444,50784:50803|offset_112|00cc00,50818:50837|offset_146|444444&amp;v=50491:51037&amp;c=444444", "offset 112")</f>
        <v>offset 112</v>
      </c>
    </row>
    <row r="19446" customFormat="false" ht="12.8" hidden="false" customHeight="false" outlineLevel="0" collapsed="false">
      <c r="A19446" s="0" t="s">
        <v>64160</v>
      </c>
      <c r="B19446" s="0" t="n">
        <v>50817</v>
      </c>
      <c r="C19446" s="0" t="n">
        <v>50837</v>
      </c>
      <c r="D19446" s="0" t="s">
        <v>64618</v>
      </c>
      <c r="E19446" s="0" t="s">
        <v>75</v>
      </c>
      <c r="F19446" s="0" t="s">
        <v>15</v>
      </c>
      <c r="G19446" s="0" t="s">
        <v>20</v>
      </c>
      <c r="H19446" s="0" t="n">
        <v>146</v>
      </c>
      <c r="I19446" s="0" t="s">
        <v>64628</v>
      </c>
      <c r="J19446" s="0" t="s">
        <v>64629</v>
      </c>
      <c r="K19446" s="0" t="s">
        <v>64630</v>
      </c>
      <c r="L19446" s="0" t="str">
        <f aca="false">HYPERLINK("https://www.ncbi.nlm.nih.gov/nuccore/CP000059.1?report=graph&amp;tracks=[key:gene_model_track,Options:GeneOnly]&amp;mk=50692:50711|offset_20|444444,50736:50755|offset_64|444444,50784:50803|offset_112|444444,50818:50837|offset_146|00cc00&amp;v=50491:51037&amp;c=444444", "offset 146")</f>
        <v>offset 146</v>
      </c>
    </row>
    <row r="19447" customFormat="false" ht="12.8" hidden="false" customHeight="false" outlineLevel="0" collapsed="false">
      <c r="A19447" s="0" t="s">
        <v>64160</v>
      </c>
      <c r="B19447" s="0" t="n">
        <v>51973</v>
      </c>
      <c r="C19447" s="0" t="n">
        <v>51993</v>
      </c>
      <c r="D19447" s="0" t="s">
        <v>64631</v>
      </c>
      <c r="E19447" s="0" t="s">
        <v>75</v>
      </c>
      <c r="F19447" s="0" t="s">
        <v>15</v>
      </c>
      <c r="G19447" s="0" t="s">
        <v>32</v>
      </c>
      <c r="H19447" s="0" t="n">
        <v>52</v>
      </c>
      <c r="I19447" s="0" t="s">
        <v>64632</v>
      </c>
      <c r="J19447" s="0" t="s">
        <v>64633</v>
      </c>
      <c r="K19447" s="0" t="s">
        <v>64634</v>
      </c>
      <c r="L19447" s="0" t="str">
        <f aca="false">HYPERLINK("https://www.ncbi.nlm.nih.gov/nuccore/CP000059.1?report=graph&amp;tracks=[key:gene_model_track,Options:GeneOnly]&amp;mk=51974:51993|offset_52|00cc00,52002:52021|offset_80|444444,52028:52047|offset_106|444444,52049:52068|offset_127|444444&amp;v=51773:52268&amp;c=444444", "offset 52")</f>
        <v>offset 52</v>
      </c>
    </row>
    <row r="19448" customFormat="false" ht="12.8" hidden="false" customHeight="false" outlineLevel="0" collapsed="false">
      <c r="A19448" s="0" t="s">
        <v>64160</v>
      </c>
      <c r="B19448" s="0" t="n">
        <v>52001</v>
      </c>
      <c r="C19448" s="0" t="n">
        <v>52021</v>
      </c>
      <c r="D19448" s="0" t="s">
        <v>64631</v>
      </c>
      <c r="E19448" s="0" t="s">
        <v>75</v>
      </c>
      <c r="F19448" s="0" t="s">
        <v>15</v>
      </c>
      <c r="G19448" s="0" t="s">
        <v>20</v>
      </c>
      <c r="H19448" s="0" t="n">
        <v>80</v>
      </c>
      <c r="I19448" s="0" t="s">
        <v>64635</v>
      </c>
      <c r="J19448" s="0" t="s">
        <v>64636</v>
      </c>
      <c r="K19448" s="0" t="s">
        <v>64637</v>
      </c>
      <c r="L19448" s="0" t="str">
        <f aca="false">HYPERLINK("https://www.ncbi.nlm.nih.gov/nuccore/CP000059.1?report=graph&amp;tracks=[key:gene_model_track,Options:GeneOnly]&amp;mk=51974:51993|offset_52|444444,52002:52021|offset_80|00cc00,52028:52047|offset_106|444444,52049:52068|offset_127|444444&amp;v=51773:52268&amp;c=444444", "offset 80")</f>
        <v>offset 80</v>
      </c>
    </row>
    <row r="19449" customFormat="false" ht="12.8" hidden="false" customHeight="false" outlineLevel="0" collapsed="false">
      <c r="A19449" s="0" t="s">
        <v>64160</v>
      </c>
      <c r="B19449" s="0" t="n">
        <v>52027</v>
      </c>
      <c r="C19449" s="0" t="n">
        <v>52047</v>
      </c>
      <c r="D19449" s="0" t="s">
        <v>64631</v>
      </c>
      <c r="E19449" s="0" t="s">
        <v>75</v>
      </c>
      <c r="F19449" s="0" t="s">
        <v>15</v>
      </c>
      <c r="G19449" s="0" t="s">
        <v>20</v>
      </c>
      <c r="H19449" s="0" t="n">
        <v>106</v>
      </c>
      <c r="I19449" s="0" t="s">
        <v>64638</v>
      </c>
      <c r="J19449" s="0" t="s">
        <v>64639</v>
      </c>
      <c r="K19449" s="0" t="s">
        <v>64640</v>
      </c>
      <c r="L19449" s="0" t="str">
        <f aca="false">HYPERLINK("https://www.ncbi.nlm.nih.gov/nuccore/CP000059.1?report=graph&amp;tracks=[key:gene_model_track,Options:GeneOnly]&amp;mk=51974:51993|offset_52|444444,52002:52021|offset_80|444444,52028:52047|offset_106|00cc00,52049:52068|offset_127|444444&amp;v=51773:52268&amp;c=444444", "offset 106")</f>
        <v>offset 106</v>
      </c>
    </row>
    <row r="19450" customFormat="false" ht="12.8" hidden="false" customHeight="false" outlineLevel="0" collapsed="false">
      <c r="A19450" s="0" t="s">
        <v>64160</v>
      </c>
      <c r="B19450" s="0" t="n">
        <v>52048</v>
      </c>
      <c r="C19450" s="0" t="n">
        <v>52068</v>
      </c>
      <c r="D19450" s="0" t="s">
        <v>64631</v>
      </c>
      <c r="E19450" s="0" t="s">
        <v>75</v>
      </c>
      <c r="F19450" s="0" t="s">
        <v>15</v>
      </c>
      <c r="G19450" s="0" t="s">
        <v>32</v>
      </c>
      <c r="H19450" s="0" t="n">
        <v>127</v>
      </c>
      <c r="I19450" s="0" t="s">
        <v>64641</v>
      </c>
      <c r="J19450" s="0" t="s">
        <v>64642</v>
      </c>
      <c r="K19450" s="0" t="s">
        <v>64643</v>
      </c>
      <c r="L19450" s="0" t="str">
        <f aca="false">HYPERLINK("https://www.ncbi.nlm.nih.gov/nuccore/CP000059.1?report=graph&amp;tracks=[key:gene_model_track,Options:GeneOnly]&amp;mk=51974:51993|offset_52|444444,52002:52021|offset_80|444444,52028:52047|offset_106|444444,52049:52068|offset_127|00cc00&amp;v=51773:52268&amp;c=444444", "offset 127")</f>
        <v>offset 127</v>
      </c>
    </row>
    <row r="19451" customFormat="false" ht="12.8" hidden="false" customHeight="false" outlineLevel="0" collapsed="false">
      <c r="A19451" s="0" t="s">
        <v>64160</v>
      </c>
      <c r="B19451" s="0" t="n">
        <v>52703</v>
      </c>
      <c r="C19451" s="0" t="n">
        <v>52723</v>
      </c>
      <c r="D19451" s="0" t="s">
        <v>64644</v>
      </c>
      <c r="E19451" s="0" t="s">
        <v>75</v>
      </c>
      <c r="F19451" s="0" t="s">
        <v>15</v>
      </c>
      <c r="G19451" s="0" t="s">
        <v>20</v>
      </c>
      <c r="H19451" s="0" t="n">
        <v>11</v>
      </c>
      <c r="I19451" s="0" t="s">
        <v>64645</v>
      </c>
      <c r="J19451" s="0" t="s">
        <v>64646</v>
      </c>
      <c r="K19451" s="0" t="s">
        <v>64647</v>
      </c>
      <c r="L19451" s="0" t="str">
        <f aca="false">HYPERLINK("https://www.ncbi.nlm.nih.gov/nuccore/CP000059.1?report=graph&amp;tracks=[key:gene_model_track,Options:GeneOnly]&amp;mk=52704:52723|offset_11|00cc00,52726:52745|offset_33|444444,52748:52767|offset_55|444444,52777:52796|offset_84|444444&amp;v=52503:52996&amp;c=444444", "offset 11")</f>
        <v>offset 11</v>
      </c>
    </row>
    <row r="19452" customFormat="false" ht="12.8" hidden="false" customHeight="false" outlineLevel="0" collapsed="false">
      <c r="A19452" s="0" t="s">
        <v>64160</v>
      </c>
      <c r="B19452" s="0" t="n">
        <v>52725</v>
      </c>
      <c r="C19452" s="0" t="n">
        <v>52745</v>
      </c>
      <c r="D19452" s="0" t="s">
        <v>64644</v>
      </c>
      <c r="E19452" s="0" t="s">
        <v>75</v>
      </c>
      <c r="F19452" s="0" t="s">
        <v>15</v>
      </c>
      <c r="G19452" s="0" t="s">
        <v>20</v>
      </c>
      <c r="H19452" s="0" t="n">
        <v>33</v>
      </c>
      <c r="I19452" s="0" t="s">
        <v>64648</v>
      </c>
      <c r="J19452" s="0" t="s">
        <v>64649</v>
      </c>
      <c r="K19452" s="0" t="s">
        <v>64650</v>
      </c>
      <c r="L19452" s="0" t="str">
        <f aca="false">HYPERLINK("https://www.ncbi.nlm.nih.gov/nuccore/CP000059.1?report=graph&amp;tracks=[key:gene_model_track,Options:GeneOnly]&amp;mk=52704:52723|offset_11|444444,52726:52745|offset_33|00cc00,52748:52767|offset_55|444444,52777:52796|offset_84|444444&amp;v=52503:52996&amp;c=444444", "offset 33")</f>
        <v>offset 33</v>
      </c>
    </row>
    <row r="19453" customFormat="false" ht="12.8" hidden="false" customHeight="false" outlineLevel="0" collapsed="false">
      <c r="A19453" s="0" t="s">
        <v>64160</v>
      </c>
      <c r="B19453" s="0" t="n">
        <v>52747</v>
      </c>
      <c r="C19453" s="0" t="n">
        <v>52767</v>
      </c>
      <c r="D19453" s="0" t="s">
        <v>64644</v>
      </c>
      <c r="E19453" s="0" t="s">
        <v>75</v>
      </c>
      <c r="F19453" s="0" t="s">
        <v>15</v>
      </c>
      <c r="G19453" s="0" t="s">
        <v>16</v>
      </c>
      <c r="H19453" s="0" t="n">
        <v>55</v>
      </c>
      <c r="I19453" s="0" t="s">
        <v>64651</v>
      </c>
      <c r="J19453" s="0" t="s">
        <v>64652</v>
      </c>
      <c r="K19453" s="0" t="s">
        <v>64653</v>
      </c>
      <c r="L19453" s="0" t="str">
        <f aca="false">HYPERLINK("https://www.ncbi.nlm.nih.gov/nuccore/CP000059.1?report=graph&amp;tracks=[key:gene_model_track,Options:GeneOnly]&amp;mk=52704:52723|offset_11|444444,52726:52745|offset_33|444444,52748:52767|offset_55|00cc00,52777:52796|offset_84|444444&amp;v=52503:52996&amp;c=444444", "offset 55")</f>
        <v>offset 55</v>
      </c>
    </row>
    <row r="19454" customFormat="false" ht="12.8" hidden="false" customHeight="false" outlineLevel="0" collapsed="false">
      <c r="A19454" s="0" t="s">
        <v>64160</v>
      </c>
      <c r="B19454" s="0" t="n">
        <v>52776</v>
      </c>
      <c r="C19454" s="0" t="n">
        <v>52796</v>
      </c>
      <c r="D19454" s="0" t="s">
        <v>64644</v>
      </c>
      <c r="E19454" s="0" t="s">
        <v>75</v>
      </c>
      <c r="F19454" s="0" t="s">
        <v>15</v>
      </c>
      <c r="G19454" s="0" t="s">
        <v>16</v>
      </c>
      <c r="H19454" s="0" t="n">
        <v>84</v>
      </c>
      <c r="I19454" s="0" t="s">
        <v>64654</v>
      </c>
      <c r="J19454" s="0" t="s">
        <v>64655</v>
      </c>
      <c r="K19454" s="0" t="s">
        <v>64656</v>
      </c>
      <c r="L19454" s="0" t="str">
        <f aca="false">HYPERLINK("https://www.ncbi.nlm.nih.gov/nuccore/CP000059.1?report=graph&amp;tracks=[key:gene_model_track,Options:GeneOnly]&amp;mk=52704:52723|offset_11|444444,52726:52745|offset_33|444444,52748:52767|offset_55|444444,52777:52796|offset_84|00cc00&amp;v=52503:52996&amp;c=444444", "offset 84")</f>
        <v>offset 84</v>
      </c>
    </row>
    <row r="19455" customFormat="false" ht="12.8" hidden="false" customHeight="false" outlineLevel="0" collapsed="false">
      <c r="A19455" s="0" t="s">
        <v>64160</v>
      </c>
      <c r="B19455" s="0" t="n">
        <v>55212</v>
      </c>
      <c r="C19455" s="0" t="n">
        <v>55232</v>
      </c>
      <c r="D19455" s="0" t="s">
        <v>64657</v>
      </c>
      <c r="E19455" s="0" t="s">
        <v>75</v>
      </c>
      <c r="F19455" s="0" t="s">
        <v>15</v>
      </c>
      <c r="G19455" s="0" t="s">
        <v>32</v>
      </c>
      <c r="H19455" s="0" t="n">
        <v>32</v>
      </c>
      <c r="I19455" s="0" t="s">
        <v>64658</v>
      </c>
      <c r="J19455" s="0" t="s">
        <v>64659</v>
      </c>
      <c r="K19455" s="0" t="s">
        <v>64660</v>
      </c>
      <c r="L19455" s="0" t="str">
        <f aca="false">HYPERLINK("https://www.ncbi.nlm.nih.gov/nuccore/CP000059.1?report=graph&amp;tracks=[key:gene_model_track,Options:GeneOnly]&amp;mk=55213:55232|offset_32|00cc00,55245:55264|offset_64|444444,55274:55293|offset_93|444444,55361:55380|offset_180|444444&amp;v=55012:55580&amp;c=444444", "offset 32")</f>
        <v>offset 32</v>
      </c>
    </row>
    <row r="19456" customFormat="false" ht="12.8" hidden="false" customHeight="false" outlineLevel="0" collapsed="false">
      <c r="A19456" s="0" t="s">
        <v>64160</v>
      </c>
      <c r="B19456" s="0" t="n">
        <v>55244</v>
      </c>
      <c r="C19456" s="0" t="n">
        <v>55264</v>
      </c>
      <c r="D19456" s="0" t="s">
        <v>64657</v>
      </c>
      <c r="E19456" s="0" t="s">
        <v>75</v>
      </c>
      <c r="F19456" s="0" t="s">
        <v>15</v>
      </c>
      <c r="G19456" s="0" t="s">
        <v>16</v>
      </c>
      <c r="H19456" s="0" t="n">
        <v>64</v>
      </c>
      <c r="I19456" s="0" t="s">
        <v>64661</v>
      </c>
      <c r="J19456" s="0" t="s">
        <v>64662</v>
      </c>
      <c r="K19456" s="0" t="s">
        <v>64663</v>
      </c>
      <c r="L19456" s="0" t="str">
        <f aca="false">HYPERLINK("https://www.ncbi.nlm.nih.gov/nuccore/CP000059.1?report=graph&amp;tracks=[key:gene_model_track,Options:GeneOnly]&amp;mk=55213:55232|offset_32|444444,55245:55264|offset_64|00cc00,55274:55293|offset_93|444444,55361:55380|offset_180|444444&amp;v=55012:55580&amp;c=444444", "offset 64")</f>
        <v>offset 64</v>
      </c>
    </row>
    <row r="19457" customFormat="false" ht="12.8" hidden="false" customHeight="false" outlineLevel="0" collapsed="false">
      <c r="A19457" s="0" t="s">
        <v>64160</v>
      </c>
      <c r="B19457" s="0" t="n">
        <v>55273</v>
      </c>
      <c r="C19457" s="0" t="n">
        <v>55293</v>
      </c>
      <c r="D19457" s="0" t="s">
        <v>64657</v>
      </c>
      <c r="E19457" s="0" t="s">
        <v>75</v>
      </c>
      <c r="F19457" s="0" t="s">
        <v>15</v>
      </c>
      <c r="G19457" s="0" t="s">
        <v>16</v>
      </c>
      <c r="H19457" s="0" t="n">
        <v>93</v>
      </c>
      <c r="I19457" s="0" t="s">
        <v>64664</v>
      </c>
      <c r="J19457" s="0" t="s">
        <v>64665</v>
      </c>
      <c r="K19457" s="0" t="s">
        <v>64666</v>
      </c>
      <c r="L19457" s="0" t="str">
        <f aca="false">HYPERLINK("https://www.ncbi.nlm.nih.gov/nuccore/CP000059.1?report=graph&amp;tracks=[key:gene_model_track,Options:GeneOnly]&amp;mk=55213:55232|offset_32|444444,55245:55264|offset_64|444444,55274:55293|offset_93|00cc00,55361:55380|offset_180|444444&amp;v=55012:55580&amp;c=444444", "offset 93")</f>
        <v>offset 93</v>
      </c>
    </row>
    <row r="19458" customFormat="false" ht="12.8" hidden="false" customHeight="false" outlineLevel="0" collapsed="false">
      <c r="A19458" s="0" t="s">
        <v>64160</v>
      </c>
      <c r="B19458" s="0" t="n">
        <v>55360</v>
      </c>
      <c r="C19458" s="0" t="n">
        <v>55380</v>
      </c>
      <c r="D19458" s="0" t="s">
        <v>64657</v>
      </c>
      <c r="E19458" s="0" t="s">
        <v>75</v>
      </c>
      <c r="F19458" s="0" t="s">
        <v>15</v>
      </c>
      <c r="G19458" s="0" t="s">
        <v>36</v>
      </c>
      <c r="H19458" s="0" t="n">
        <v>180</v>
      </c>
      <c r="I19458" s="0" t="s">
        <v>64667</v>
      </c>
      <c r="J19458" s="0" t="s">
        <v>64668</v>
      </c>
      <c r="K19458" s="0" t="s">
        <v>64669</v>
      </c>
      <c r="L19458" s="0" t="str">
        <f aca="false">HYPERLINK("https://www.ncbi.nlm.nih.gov/nuccore/CP000059.1?report=graph&amp;tracks=[key:gene_model_track,Options:GeneOnly]&amp;mk=55213:55232|offset_32|444444,55245:55264|offset_64|444444,55274:55293|offset_93|444444,55361:55380|offset_180|00cc00&amp;v=55012:55580&amp;c=444444", "offset 180")</f>
        <v>offset 180</v>
      </c>
    </row>
    <row r="19459" customFormat="false" ht="12.8" hidden="false" customHeight="false" outlineLevel="0" collapsed="false">
      <c r="A19459" s="0" t="s">
        <v>64160</v>
      </c>
      <c r="B19459" s="0" t="n">
        <v>55689</v>
      </c>
      <c r="C19459" s="0" t="n">
        <v>55709</v>
      </c>
      <c r="D19459" s="0" t="s">
        <v>64670</v>
      </c>
      <c r="E19459" s="0" t="s">
        <v>75</v>
      </c>
      <c r="F19459" s="0" t="s">
        <v>15</v>
      </c>
      <c r="G19459" s="0" t="s">
        <v>36</v>
      </c>
      <c r="H19459" s="0" t="n">
        <v>12</v>
      </c>
      <c r="I19459" s="0" t="s">
        <v>64671</v>
      </c>
      <c r="J19459" s="0" t="s">
        <v>64672</v>
      </c>
      <c r="K19459" s="0" t="s">
        <v>64673</v>
      </c>
      <c r="L19459" s="0" t="str">
        <f aca="false">HYPERLINK("https://www.ncbi.nlm.nih.gov/nuccore/CP000059.1?report=graph&amp;tracks=[key:gene_model_track,Options:GeneOnly]&amp;mk=55690:55709|offset_12|00cc00,55751:55770|offset_73|444444,55780:55799|offset_102|444444,55811:55830|offset_133|444444&amp;v=55489:56030&amp;c=444444", "offset 12")</f>
        <v>offset 12</v>
      </c>
    </row>
    <row r="19460" customFormat="false" ht="12.8" hidden="false" customHeight="false" outlineLevel="0" collapsed="false">
      <c r="A19460" s="0" t="s">
        <v>64160</v>
      </c>
      <c r="B19460" s="0" t="n">
        <v>55750</v>
      </c>
      <c r="C19460" s="0" t="n">
        <v>55770</v>
      </c>
      <c r="D19460" s="0" t="s">
        <v>64670</v>
      </c>
      <c r="E19460" s="0" t="s">
        <v>75</v>
      </c>
      <c r="F19460" s="0" t="s">
        <v>15</v>
      </c>
      <c r="G19460" s="0" t="s">
        <v>32</v>
      </c>
      <c r="H19460" s="0" t="n">
        <v>73</v>
      </c>
      <c r="I19460" s="0" t="s">
        <v>64674</v>
      </c>
      <c r="J19460" s="0" t="s">
        <v>64675</v>
      </c>
      <c r="K19460" s="0" t="s">
        <v>64676</v>
      </c>
      <c r="L19460" s="0" t="str">
        <f aca="false">HYPERLINK("https://www.ncbi.nlm.nih.gov/nuccore/CP000059.1?report=graph&amp;tracks=[key:gene_model_track,Options:GeneOnly]&amp;mk=55690:55709|offset_12|444444,55751:55770|offset_73|00cc00,55780:55799|offset_102|444444,55811:55830|offset_133|444444&amp;v=55489:56030&amp;c=444444", "offset 73")</f>
        <v>offset 73</v>
      </c>
    </row>
    <row r="19461" customFormat="false" ht="12.8" hidden="false" customHeight="false" outlineLevel="0" collapsed="false">
      <c r="A19461" s="0" t="s">
        <v>64160</v>
      </c>
      <c r="B19461" s="0" t="n">
        <v>55779</v>
      </c>
      <c r="C19461" s="0" t="n">
        <v>55799</v>
      </c>
      <c r="D19461" s="0" t="s">
        <v>64670</v>
      </c>
      <c r="E19461" s="0" t="s">
        <v>75</v>
      </c>
      <c r="F19461" s="0" t="s">
        <v>15</v>
      </c>
      <c r="G19461" s="0" t="s">
        <v>32</v>
      </c>
      <c r="H19461" s="0" t="n">
        <v>102</v>
      </c>
      <c r="I19461" s="0" t="s">
        <v>64677</v>
      </c>
      <c r="J19461" s="0" t="s">
        <v>64678</v>
      </c>
      <c r="K19461" s="0" t="s">
        <v>64679</v>
      </c>
      <c r="L19461" s="0" t="str">
        <f aca="false">HYPERLINK("https://www.ncbi.nlm.nih.gov/nuccore/CP000059.1?report=graph&amp;tracks=[key:gene_model_track,Options:GeneOnly]&amp;mk=55690:55709|offset_12|444444,55751:55770|offset_73|444444,55780:55799|offset_102|00cc00,55811:55830|offset_133|444444&amp;v=55489:56030&amp;c=444444", "offset 102")</f>
        <v>offset 102</v>
      </c>
    </row>
    <row r="19462" customFormat="false" ht="12.8" hidden="false" customHeight="false" outlineLevel="0" collapsed="false">
      <c r="A19462" s="0" t="s">
        <v>64160</v>
      </c>
      <c r="B19462" s="0" t="n">
        <v>55810</v>
      </c>
      <c r="C19462" s="0" t="n">
        <v>55830</v>
      </c>
      <c r="D19462" s="0" t="s">
        <v>64670</v>
      </c>
      <c r="E19462" s="0" t="s">
        <v>75</v>
      </c>
      <c r="F19462" s="0" t="s">
        <v>15</v>
      </c>
      <c r="G19462" s="0" t="s">
        <v>32</v>
      </c>
      <c r="H19462" s="0" t="n">
        <v>133</v>
      </c>
      <c r="I19462" s="0" t="s">
        <v>64680</v>
      </c>
      <c r="J19462" s="0" t="s">
        <v>64681</v>
      </c>
      <c r="K19462" s="0" t="s">
        <v>64682</v>
      </c>
      <c r="L19462" s="0" t="str">
        <f aca="false">HYPERLINK("https://www.ncbi.nlm.nih.gov/nuccore/CP000059.1?report=graph&amp;tracks=[key:gene_model_track,Options:GeneOnly]&amp;mk=55690:55709|offset_12|444444,55751:55770|offset_73|444444,55780:55799|offset_102|444444,55811:55830|offset_133|00cc00&amp;v=55489:56030&amp;c=444444", "offset 133")</f>
        <v>offset 133</v>
      </c>
    </row>
    <row r="19463" customFormat="false" ht="12.8" hidden="false" customHeight="false" outlineLevel="0" collapsed="false">
      <c r="A19463" s="0" t="s">
        <v>64160</v>
      </c>
      <c r="B19463" s="0" t="n">
        <v>56800</v>
      </c>
      <c r="C19463" s="0" t="n">
        <v>56820</v>
      </c>
      <c r="D19463" s="0" t="s">
        <v>64683</v>
      </c>
      <c r="E19463" s="0" t="s">
        <v>75</v>
      </c>
      <c r="F19463" s="0" t="s">
        <v>15</v>
      </c>
      <c r="G19463" s="0" t="s">
        <v>36</v>
      </c>
      <c r="H19463" s="0" t="n">
        <v>29</v>
      </c>
      <c r="I19463" s="0" t="s">
        <v>64684</v>
      </c>
      <c r="J19463" s="0" t="s">
        <v>64685</v>
      </c>
      <c r="K19463" s="0" t="s">
        <v>64686</v>
      </c>
      <c r="L19463" s="0" t="str">
        <f aca="false">HYPERLINK("https://www.ncbi.nlm.nih.gov/nuccore/CP000059.1?report=graph&amp;tracks=[key:gene_model_track,Options:GeneOnly]&amp;mk=56801:56820|offset_29|00cc00,56872:56891|offset_100|444444,56896:56915|offset_124|444444,56932:56951|offset_160|444444&amp;v=56600:57151&amp;c=444444", "offset 29")</f>
        <v>offset 29</v>
      </c>
    </row>
    <row r="19464" customFormat="false" ht="12.8" hidden="false" customHeight="false" outlineLevel="0" collapsed="false">
      <c r="A19464" s="0" t="s">
        <v>64160</v>
      </c>
      <c r="B19464" s="0" t="n">
        <v>56871</v>
      </c>
      <c r="C19464" s="0" t="n">
        <v>56891</v>
      </c>
      <c r="D19464" s="0" t="s">
        <v>64683</v>
      </c>
      <c r="E19464" s="0" t="s">
        <v>75</v>
      </c>
      <c r="F19464" s="0" t="s">
        <v>15</v>
      </c>
      <c r="G19464" s="0" t="s">
        <v>32</v>
      </c>
      <c r="H19464" s="0" t="n">
        <v>100</v>
      </c>
      <c r="I19464" s="0" t="s">
        <v>64687</v>
      </c>
      <c r="J19464" s="0" t="s">
        <v>64688</v>
      </c>
      <c r="K19464" s="0" t="s">
        <v>64689</v>
      </c>
      <c r="L19464" s="0" t="str">
        <f aca="false">HYPERLINK("https://www.ncbi.nlm.nih.gov/nuccore/CP000059.1?report=graph&amp;tracks=[key:gene_model_track,Options:GeneOnly]&amp;mk=56801:56820|offset_29|444444,56872:56891|offset_100|00cc00,56896:56915|offset_124|444444,56932:56951|offset_160|444444&amp;v=56600:57151&amp;c=444444", "offset 100")</f>
        <v>offset 100</v>
      </c>
    </row>
    <row r="19465" customFormat="false" ht="12.8" hidden="false" customHeight="false" outlineLevel="0" collapsed="false">
      <c r="A19465" s="0" t="s">
        <v>64160</v>
      </c>
      <c r="B19465" s="0" t="n">
        <v>56895</v>
      </c>
      <c r="C19465" s="0" t="n">
        <v>56915</v>
      </c>
      <c r="D19465" s="0" t="s">
        <v>64683</v>
      </c>
      <c r="E19465" s="0" t="s">
        <v>75</v>
      </c>
      <c r="F19465" s="0" t="s">
        <v>15</v>
      </c>
      <c r="G19465" s="0" t="s">
        <v>20</v>
      </c>
      <c r="H19465" s="0" t="n">
        <v>124</v>
      </c>
      <c r="I19465" s="0" t="s">
        <v>64690</v>
      </c>
      <c r="J19465" s="0" t="s">
        <v>64691</v>
      </c>
      <c r="K19465" s="0" t="s">
        <v>64692</v>
      </c>
      <c r="L19465" s="0" t="str">
        <f aca="false">HYPERLINK("https://www.ncbi.nlm.nih.gov/nuccore/CP000059.1?report=graph&amp;tracks=[key:gene_model_track,Options:GeneOnly]&amp;mk=56801:56820|offset_29|444444,56872:56891|offset_100|444444,56896:56915|offset_124|00cc00,56932:56951|offset_160|444444&amp;v=56600:57151&amp;c=444444", "offset 124")</f>
        <v>offset 124</v>
      </c>
    </row>
    <row r="19466" customFormat="false" ht="12.8" hidden="false" customHeight="false" outlineLevel="0" collapsed="false">
      <c r="A19466" s="0" t="s">
        <v>64160</v>
      </c>
      <c r="B19466" s="0" t="n">
        <v>56931</v>
      </c>
      <c r="C19466" s="0" t="n">
        <v>56951</v>
      </c>
      <c r="D19466" s="0" t="s">
        <v>64683</v>
      </c>
      <c r="E19466" s="0" t="s">
        <v>75</v>
      </c>
      <c r="F19466" s="0" t="s">
        <v>15</v>
      </c>
      <c r="G19466" s="0" t="s">
        <v>16</v>
      </c>
      <c r="H19466" s="0" t="n">
        <v>160</v>
      </c>
      <c r="I19466" s="0" t="s">
        <v>64693</v>
      </c>
      <c r="J19466" s="0" t="s">
        <v>64694</v>
      </c>
      <c r="K19466" s="0" t="s">
        <v>64695</v>
      </c>
      <c r="L19466" s="0" t="str">
        <f aca="false">HYPERLINK("https://www.ncbi.nlm.nih.gov/nuccore/CP000059.1?report=graph&amp;tracks=[key:gene_model_track,Options:GeneOnly]&amp;mk=56801:56820|offset_29|444444,56872:56891|offset_100|444444,56896:56915|offset_124|444444,56932:56951|offset_160|00cc00&amp;v=56600:57151&amp;c=444444", "offset 160")</f>
        <v>offset 160</v>
      </c>
    </row>
    <row r="19467" customFormat="false" ht="12.8" hidden="false" customHeight="false" outlineLevel="0" collapsed="false">
      <c r="A19467" s="0" t="s">
        <v>64160</v>
      </c>
      <c r="B19467" s="0" t="n">
        <v>58996</v>
      </c>
      <c r="C19467" s="0" t="n">
        <v>59016</v>
      </c>
      <c r="D19467" s="0" t="s">
        <v>64696</v>
      </c>
      <c r="E19467" s="0" t="s">
        <v>75</v>
      </c>
      <c r="F19467" s="0" t="s">
        <v>15</v>
      </c>
      <c r="G19467" s="0" t="s">
        <v>16</v>
      </c>
      <c r="H19467" s="0" t="n">
        <v>233</v>
      </c>
      <c r="I19467" s="0" t="s">
        <v>64697</v>
      </c>
      <c r="J19467" s="0" t="s">
        <v>64698</v>
      </c>
      <c r="K19467" s="0" t="s">
        <v>64699</v>
      </c>
      <c r="L19467" s="0" t="str">
        <f aca="false">HYPERLINK("https://www.ncbi.nlm.nih.gov/nuccore/CP000059.1?report=graph&amp;tracks=[key:gene_model_track,Options:GeneOnly]&amp;mk=58997:59016|offset_233|00cc00,59067:59086|offset_303|444444,59116:59135|offset_352|444444,59227:59246|offset_463|444444&amp;v=58796:59446&amp;c=444444", "offset 233")</f>
        <v>offset 233</v>
      </c>
    </row>
    <row r="19468" customFormat="false" ht="12.8" hidden="false" customHeight="false" outlineLevel="0" collapsed="false">
      <c r="A19468" s="0" t="s">
        <v>64160</v>
      </c>
      <c r="B19468" s="0" t="n">
        <v>59066</v>
      </c>
      <c r="C19468" s="0" t="n">
        <v>59086</v>
      </c>
      <c r="D19468" s="0" t="s">
        <v>64696</v>
      </c>
      <c r="E19468" s="0" t="s">
        <v>75</v>
      </c>
      <c r="F19468" s="0" t="s">
        <v>15</v>
      </c>
      <c r="G19468" s="0" t="s">
        <v>36</v>
      </c>
      <c r="H19468" s="0" t="n">
        <v>303</v>
      </c>
      <c r="I19468" s="0" t="s">
        <v>64700</v>
      </c>
      <c r="J19468" s="0" t="s">
        <v>64701</v>
      </c>
      <c r="K19468" s="0" t="s">
        <v>64702</v>
      </c>
      <c r="L19468" s="0" t="str">
        <f aca="false">HYPERLINK("https://www.ncbi.nlm.nih.gov/nuccore/CP000059.1?report=graph&amp;tracks=[key:gene_model_track,Options:GeneOnly]&amp;mk=58997:59016|offset_233|444444,59067:59086|offset_303|00cc00,59116:59135|offset_352|444444,59227:59246|offset_463|444444&amp;v=58796:59446&amp;c=444444", "offset 303")</f>
        <v>offset 303</v>
      </c>
    </row>
    <row r="19469" customFormat="false" ht="12.8" hidden="false" customHeight="false" outlineLevel="0" collapsed="false">
      <c r="A19469" s="0" t="s">
        <v>64160</v>
      </c>
      <c r="B19469" s="0" t="n">
        <v>59115</v>
      </c>
      <c r="C19469" s="0" t="n">
        <v>59135</v>
      </c>
      <c r="D19469" s="0" t="s">
        <v>64696</v>
      </c>
      <c r="E19469" s="0" t="s">
        <v>75</v>
      </c>
      <c r="F19469" s="0" t="s">
        <v>15</v>
      </c>
      <c r="G19469" s="0" t="s">
        <v>32</v>
      </c>
      <c r="H19469" s="0" t="n">
        <v>352</v>
      </c>
      <c r="I19469" s="0" t="s">
        <v>64703</v>
      </c>
      <c r="J19469" s="0" t="s">
        <v>64704</v>
      </c>
      <c r="K19469" s="0" t="s">
        <v>64705</v>
      </c>
      <c r="L19469" s="0" t="str">
        <f aca="false">HYPERLINK("https://www.ncbi.nlm.nih.gov/nuccore/CP000059.1?report=graph&amp;tracks=[key:gene_model_track,Options:GeneOnly]&amp;mk=58997:59016|offset_233|444444,59067:59086|offset_303|444444,59116:59135|offset_352|00cc00,59227:59246|offset_463|444444&amp;v=58796:59446&amp;c=444444", "offset 352")</f>
        <v>offset 352</v>
      </c>
    </row>
    <row r="19470" customFormat="false" ht="12.8" hidden="false" customHeight="false" outlineLevel="0" collapsed="false">
      <c r="A19470" s="0" t="s">
        <v>64160</v>
      </c>
      <c r="B19470" s="0" t="n">
        <v>59226</v>
      </c>
      <c r="C19470" s="0" t="n">
        <v>59246</v>
      </c>
      <c r="D19470" s="0" t="s">
        <v>64696</v>
      </c>
      <c r="E19470" s="0" t="s">
        <v>75</v>
      </c>
      <c r="F19470" s="0" t="s">
        <v>15</v>
      </c>
      <c r="G19470" s="0" t="s">
        <v>32</v>
      </c>
      <c r="H19470" s="0" t="n">
        <v>463</v>
      </c>
      <c r="I19470" s="0" t="s">
        <v>64706</v>
      </c>
      <c r="J19470" s="0" t="s">
        <v>64707</v>
      </c>
      <c r="K19470" s="0" t="s">
        <v>64708</v>
      </c>
      <c r="L19470" s="0" t="str">
        <f aca="false">HYPERLINK("https://www.ncbi.nlm.nih.gov/nuccore/CP000059.1?report=graph&amp;tracks=[key:gene_model_track,Options:GeneOnly]&amp;mk=58997:59016|offset_233|444444,59067:59086|offset_303|444444,59116:59135|offset_352|444444,59227:59246|offset_463|00cc00&amp;v=58796:59446&amp;c=444444", "offset 463")</f>
        <v>offset 463</v>
      </c>
    </row>
    <row r="19471" customFormat="false" ht="12.8" hidden="false" customHeight="false" outlineLevel="0" collapsed="false">
      <c r="A19471" s="0" t="s">
        <v>64160</v>
      </c>
      <c r="B19471" s="0" t="n">
        <v>63865</v>
      </c>
      <c r="C19471" s="0" t="n">
        <v>63885</v>
      </c>
      <c r="D19471" s="0" t="s">
        <v>64709</v>
      </c>
      <c r="E19471" s="0" t="s">
        <v>75</v>
      </c>
      <c r="F19471" s="0" t="s">
        <v>90</v>
      </c>
      <c r="G19471" s="0" t="s">
        <v>36</v>
      </c>
      <c r="H19471" s="0" t="n">
        <v>19</v>
      </c>
      <c r="I19471" s="0" t="s">
        <v>64710</v>
      </c>
      <c r="J19471" s="0" t="s">
        <v>64711</v>
      </c>
      <c r="K19471" s="0" t="s">
        <v>64712</v>
      </c>
      <c r="L19471" s="0" t="str">
        <f aca="false">HYPERLINK("https://www.ncbi.nlm.nih.gov/nuccore/CP000059.1?report=graph&amp;tracks=[key:gene_model_track,Options:GeneOnly]&amp;mk=63866:63885|offset_19|00cc00,63835:63854|offset_50|444444,63809:63828|offset_76|444444,63779:63798|offset_106|444444&amp;v=63665:63998&amp;c=444444", "offset 19")</f>
        <v>offset 19</v>
      </c>
    </row>
    <row r="19472" customFormat="false" ht="12.8" hidden="false" customHeight="false" outlineLevel="0" collapsed="false">
      <c r="A19472" s="0" t="s">
        <v>64160</v>
      </c>
      <c r="B19472" s="0" t="n">
        <v>63834</v>
      </c>
      <c r="C19472" s="0" t="n">
        <v>63854</v>
      </c>
      <c r="D19472" s="0" t="s">
        <v>64709</v>
      </c>
      <c r="E19472" s="0" t="s">
        <v>75</v>
      </c>
      <c r="F19472" s="0" t="s">
        <v>90</v>
      </c>
      <c r="G19472" s="0" t="s">
        <v>20</v>
      </c>
      <c r="H19472" s="0" t="n">
        <v>50</v>
      </c>
      <c r="I19472" s="0" t="s">
        <v>64713</v>
      </c>
      <c r="J19472" s="0" t="s">
        <v>64714</v>
      </c>
      <c r="K19472" s="0" t="s">
        <v>64715</v>
      </c>
      <c r="L19472" s="0" t="str">
        <f aca="false">HYPERLINK("https://www.ncbi.nlm.nih.gov/nuccore/CP000059.1?report=graph&amp;tracks=[key:gene_model_track,Options:GeneOnly]&amp;mk=63866:63885|offset_19|444444,63835:63854|offset_50|00cc00,63809:63828|offset_76|444444,63779:63798|offset_106|444444&amp;v=63665:63998&amp;c=444444", "offset 50")</f>
        <v>offset 50</v>
      </c>
    </row>
    <row r="19473" customFormat="false" ht="12.8" hidden="false" customHeight="false" outlineLevel="0" collapsed="false">
      <c r="A19473" s="0" t="s">
        <v>64160</v>
      </c>
      <c r="B19473" s="0" t="n">
        <v>63808</v>
      </c>
      <c r="C19473" s="0" t="n">
        <v>63828</v>
      </c>
      <c r="D19473" s="0" t="s">
        <v>64709</v>
      </c>
      <c r="E19473" s="0" t="s">
        <v>75</v>
      </c>
      <c r="F19473" s="0" t="s">
        <v>90</v>
      </c>
      <c r="G19473" s="0" t="s">
        <v>16</v>
      </c>
      <c r="H19473" s="0" t="n">
        <v>76</v>
      </c>
      <c r="I19473" s="0" t="s">
        <v>64716</v>
      </c>
      <c r="J19473" s="0" t="s">
        <v>64717</v>
      </c>
      <c r="K19473" s="0" t="s">
        <v>64718</v>
      </c>
      <c r="L19473" s="0" t="str">
        <f aca="false">HYPERLINK("https://www.ncbi.nlm.nih.gov/nuccore/CP000059.1?report=graph&amp;tracks=[key:gene_model_track,Options:GeneOnly]&amp;mk=63866:63885|offset_19|444444,63835:63854|offset_50|444444,63809:63828|offset_76|00cc00,63779:63798|offset_106|444444&amp;v=63665:63998&amp;c=444444", "offset 76")</f>
        <v>offset 76</v>
      </c>
    </row>
    <row r="19474" customFormat="false" ht="12.8" hidden="false" customHeight="false" outlineLevel="0" collapsed="false">
      <c r="A19474" s="0" t="s">
        <v>64160</v>
      </c>
      <c r="B19474" s="0" t="n">
        <v>63778</v>
      </c>
      <c r="C19474" s="0" t="n">
        <v>63798</v>
      </c>
      <c r="D19474" s="0" t="s">
        <v>64709</v>
      </c>
      <c r="E19474" s="0" t="s">
        <v>75</v>
      </c>
      <c r="F19474" s="0" t="s">
        <v>90</v>
      </c>
      <c r="G19474" s="0" t="s">
        <v>32</v>
      </c>
      <c r="H19474" s="0" t="n">
        <v>106</v>
      </c>
      <c r="I19474" s="0" t="s">
        <v>64719</v>
      </c>
      <c r="J19474" s="0" t="s">
        <v>64720</v>
      </c>
      <c r="K19474" s="0" t="s">
        <v>64721</v>
      </c>
      <c r="L19474" s="0" t="str">
        <f aca="false">HYPERLINK("https://www.ncbi.nlm.nih.gov/nuccore/CP000059.1?report=graph&amp;tracks=[key:gene_model_track,Options:GeneOnly]&amp;mk=63866:63885|offset_19|444444,63835:63854|offset_50|444444,63809:63828|offset_76|444444,63779:63798|offset_106|00cc00&amp;v=63665:63998&amp;c=444444", "offset 106")</f>
        <v>offset 106</v>
      </c>
    </row>
    <row r="19475" customFormat="false" ht="12.8" hidden="false" customHeight="false" outlineLevel="0" collapsed="false">
      <c r="A19475" s="0" t="s">
        <v>64160</v>
      </c>
      <c r="B19475" s="0" t="n">
        <v>64762</v>
      </c>
      <c r="C19475" s="0" t="n">
        <v>64782</v>
      </c>
      <c r="D19475" s="0" t="s">
        <v>64722</v>
      </c>
      <c r="E19475" s="0" t="s">
        <v>75</v>
      </c>
      <c r="F19475" s="0" t="s">
        <v>90</v>
      </c>
      <c r="G19475" s="0" t="s">
        <v>36</v>
      </c>
      <c r="H19475" s="0" t="n">
        <v>21</v>
      </c>
      <c r="I19475" s="0" t="s">
        <v>64723</v>
      </c>
      <c r="J19475" s="0" t="s">
        <v>64724</v>
      </c>
      <c r="K19475" s="0" t="s">
        <v>64725</v>
      </c>
      <c r="L19475" s="0" t="str">
        <f aca="false">HYPERLINK("https://www.ncbi.nlm.nih.gov/nuccore/CP000059.1?report=graph&amp;tracks=[key:gene_model_track,Options:GeneOnly]&amp;mk=64763:64782|offset_21|00cc00,64698:64717|offset_86|444444,64674:64693|offset_110|444444,64650:64669|offset_134|444444&amp;v=64562:64869&amp;c=444444", "offset 21")</f>
        <v>offset 21</v>
      </c>
    </row>
    <row r="19476" customFormat="false" ht="12.8" hidden="false" customHeight="false" outlineLevel="0" collapsed="false">
      <c r="A19476" s="0" t="s">
        <v>64160</v>
      </c>
      <c r="B19476" s="0" t="n">
        <v>64697</v>
      </c>
      <c r="C19476" s="0" t="n">
        <v>64717</v>
      </c>
      <c r="D19476" s="0" t="s">
        <v>64722</v>
      </c>
      <c r="E19476" s="0" t="s">
        <v>75</v>
      </c>
      <c r="F19476" s="0" t="s">
        <v>90</v>
      </c>
      <c r="G19476" s="0" t="s">
        <v>20</v>
      </c>
      <c r="H19476" s="0" t="n">
        <v>86</v>
      </c>
      <c r="I19476" s="0" t="s">
        <v>64726</v>
      </c>
      <c r="J19476" s="0" t="s">
        <v>64727</v>
      </c>
      <c r="K19476" s="0" t="s">
        <v>64728</v>
      </c>
      <c r="L19476" s="0" t="str">
        <f aca="false">HYPERLINK("https://www.ncbi.nlm.nih.gov/nuccore/CP000059.1?report=graph&amp;tracks=[key:gene_model_track,Options:GeneOnly]&amp;mk=64763:64782|offset_21|444444,64698:64717|offset_86|00cc00,64674:64693|offset_110|444444,64650:64669|offset_134|444444&amp;v=64562:64869&amp;c=444444", "offset 86")</f>
        <v>offset 86</v>
      </c>
    </row>
    <row r="19477" customFormat="false" ht="12.8" hidden="false" customHeight="false" outlineLevel="0" collapsed="false">
      <c r="A19477" s="0" t="s">
        <v>64160</v>
      </c>
      <c r="B19477" s="0" t="n">
        <v>64673</v>
      </c>
      <c r="C19477" s="0" t="n">
        <v>64693</v>
      </c>
      <c r="D19477" s="0" t="s">
        <v>64722</v>
      </c>
      <c r="E19477" s="0" t="s">
        <v>75</v>
      </c>
      <c r="F19477" s="0" t="s">
        <v>90</v>
      </c>
      <c r="G19477" s="0" t="s">
        <v>20</v>
      </c>
      <c r="H19477" s="0" t="n">
        <v>110</v>
      </c>
      <c r="I19477" s="0" t="s">
        <v>64729</v>
      </c>
      <c r="J19477" s="0" t="s">
        <v>64730</v>
      </c>
      <c r="K19477" s="0" t="s">
        <v>64731</v>
      </c>
      <c r="L19477" s="0" t="str">
        <f aca="false">HYPERLINK("https://www.ncbi.nlm.nih.gov/nuccore/CP000059.1?report=graph&amp;tracks=[key:gene_model_track,Options:GeneOnly]&amp;mk=64763:64782|offset_21|444444,64698:64717|offset_86|444444,64674:64693|offset_110|00cc00,64650:64669|offset_134|444444&amp;v=64562:64869&amp;c=444444", "offset 110")</f>
        <v>offset 110</v>
      </c>
    </row>
    <row r="19478" customFormat="false" ht="12.8" hidden="false" customHeight="false" outlineLevel="0" collapsed="false">
      <c r="A19478" s="0" t="s">
        <v>64160</v>
      </c>
      <c r="B19478" s="0" t="n">
        <v>64649</v>
      </c>
      <c r="C19478" s="0" t="n">
        <v>64669</v>
      </c>
      <c r="D19478" s="0" t="s">
        <v>64722</v>
      </c>
      <c r="E19478" s="0" t="s">
        <v>75</v>
      </c>
      <c r="F19478" s="0" t="s">
        <v>90</v>
      </c>
      <c r="G19478" s="0" t="s">
        <v>16</v>
      </c>
      <c r="H19478" s="0" t="n">
        <v>134</v>
      </c>
      <c r="I19478" s="0" t="s">
        <v>64732</v>
      </c>
      <c r="J19478" s="0" t="s">
        <v>64733</v>
      </c>
      <c r="K19478" s="0" t="s">
        <v>64734</v>
      </c>
      <c r="L19478" s="0" t="str">
        <f aca="false">HYPERLINK("https://www.ncbi.nlm.nih.gov/nuccore/CP000059.1?report=graph&amp;tracks=[key:gene_model_track,Options:GeneOnly]&amp;mk=64763:64782|offset_21|444444,64698:64717|offset_86|444444,64674:64693|offset_110|444444,64650:64669|offset_134|00cc00&amp;v=64562:64869&amp;c=444444", "offset 134")</f>
        <v>offset 134</v>
      </c>
    </row>
    <row r="19479" customFormat="false" ht="12.8" hidden="false" customHeight="false" outlineLevel="0" collapsed="false">
      <c r="A19479" s="0" t="s">
        <v>64160</v>
      </c>
      <c r="B19479" s="0" t="n">
        <v>68451</v>
      </c>
      <c r="C19479" s="0" t="n">
        <v>68471</v>
      </c>
      <c r="D19479" s="0" t="s">
        <v>64735</v>
      </c>
      <c r="E19479" s="0" t="s">
        <v>75</v>
      </c>
      <c r="F19479" s="0" t="s">
        <v>90</v>
      </c>
      <c r="G19479" s="0" t="s">
        <v>20</v>
      </c>
      <c r="H19479" s="0" t="n">
        <v>37</v>
      </c>
      <c r="I19479" s="0" t="s">
        <v>64736</v>
      </c>
      <c r="J19479" s="0" t="s">
        <v>64737</v>
      </c>
      <c r="K19479" s="0" t="s">
        <v>64738</v>
      </c>
      <c r="L19479" s="0" t="str">
        <f aca="false">HYPERLINK("https://www.ncbi.nlm.nih.gov/nuccore/CP000059.1?report=graph&amp;tracks=[key:gene_model_track,Options:GeneOnly]&amp;mk=68452:68471|offset_37|00cc00,68396:68415|offset_93|444444,68365:68384|offset_124|444444,68340:68359|offset_149|444444&amp;v=68251:68559&amp;c=444444", "offset 37")</f>
        <v>offset 37</v>
      </c>
    </row>
    <row r="19480" customFormat="false" ht="12.8" hidden="false" customHeight="false" outlineLevel="0" collapsed="false">
      <c r="A19480" s="0" t="s">
        <v>64160</v>
      </c>
      <c r="B19480" s="0" t="n">
        <v>68395</v>
      </c>
      <c r="C19480" s="0" t="n">
        <v>68415</v>
      </c>
      <c r="D19480" s="0" t="s">
        <v>64735</v>
      </c>
      <c r="E19480" s="0" t="s">
        <v>75</v>
      </c>
      <c r="F19480" s="0" t="s">
        <v>90</v>
      </c>
      <c r="G19480" s="0" t="s">
        <v>16</v>
      </c>
      <c r="H19480" s="0" t="n">
        <v>93</v>
      </c>
      <c r="I19480" s="0" t="s">
        <v>64739</v>
      </c>
      <c r="J19480" s="0" t="s">
        <v>64740</v>
      </c>
      <c r="K19480" s="0" t="s">
        <v>64741</v>
      </c>
      <c r="L19480" s="0" t="str">
        <f aca="false">HYPERLINK("https://www.ncbi.nlm.nih.gov/nuccore/CP000059.1?report=graph&amp;tracks=[key:gene_model_track,Options:GeneOnly]&amp;mk=68452:68471|offset_37|444444,68396:68415|offset_93|00cc00,68365:68384|offset_124|444444,68340:68359|offset_149|444444&amp;v=68251:68559&amp;c=444444", "offset 93")</f>
        <v>offset 93</v>
      </c>
    </row>
    <row r="19481" customFormat="false" ht="12.8" hidden="false" customHeight="false" outlineLevel="0" collapsed="false">
      <c r="A19481" s="0" t="s">
        <v>64160</v>
      </c>
      <c r="B19481" s="0" t="n">
        <v>68364</v>
      </c>
      <c r="C19481" s="0" t="n">
        <v>68384</v>
      </c>
      <c r="D19481" s="0" t="s">
        <v>64735</v>
      </c>
      <c r="E19481" s="0" t="s">
        <v>75</v>
      </c>
      <c r="F19481" s="0" t="s">
        <v>90</v>
      </c>
      <c r="G19481" s="0" t="s">
        <v>32</v>
      </c>
      <c r="H19481" s="0" t="n">
        <v>124</v>
      </c>
      <c r="I19481" s="0" t="s">
        <v>64742</v>
      </c>
      <c r="J19481" s="0" t="s">
        <v>64743</v>
      </c>
      <c r="K19481" s="0" t="s">
        <v>64744</v>
      </c>
      <c r="L19481" s="0" t="str">
        <f aca="false">HYPERLINK("https://www.ncbi.nlm.nih.gov/nuccore/CP000059.1?report=graph&amp;tracks=[key:gene_model_track,Options:GeneOnly]&amp;mk=68452:68471|offset_37|444444,68396:68415|offset_93|444444,68365:68384|offset_124|00cc00,68340:68359|offset_149|444444&amp;v=68251:68559&amp;c=444444", "offset 124")</f>
        <v>offset 124</v>
      </c>
    </row>
    <row r="19482" customFormat="false" ht="12.8" hidden="false" customHeight="false" outlineLevel="0" collapsed="false">
      <c r="A19482" s="0" t="s">
        <v>64160</v>
      </c>
      <c r="B19482" s="0" t="n">
        <v>68339</v>
      </c>
      <c r="C19482" s="0" t="n">
        <v>68359</v>
      </c>
      <c r="D19482" s="0" t="s">
        <v>64735</v>
      </c>
      <c r="E19482" s="0" t="s">
        <v>75</v>
      </c>
      <c r="F19482" s="0" t="s">
        <v>90</v>
      </c>
      <c r="G19482" s="0" t="s">
        <v>32</v>
      </c>
      <c r="H19482" s="0" t="n">
        <v>149</v>
      </c>
      <c r="I19482" s="0" t="s">
        <v>64745</v>
      </c>
      <c r="J19482" s="0" t="s">
        <v>64746</v>
      </c>
      <c r="K19482" s="0" t="s">
        <v>64747</v>
      </c>
      <c r="L19482" s="0" t="str">
        <f aca="false">HYPERLINK("https://www.ncbi.nlm.nih.gov/nuccore/CP000059.1?report=graph&amp;tracks=[key:gene_model_track,Options:GeneOnly]&amp;mk=68452:68471|offset_37|444444,68396:68415|offset_93|444444,68365:68384|offset_124|444444,68340:68359|offset_149|00cc00&amp;v=68251:68559&amp;c=444444", "offset 149")</f>
        <v>offset 149</v>
      </c>
    </row>
    <row r="19483" customFormat="false" ht="12.8" hidden="false" customHeight="false" outlineLevel="0" collapsed="false">
      <c r="A19483" s="0" t="s">
        <v>64160</v>
      </c>
      <c r="B19483" s="0" t="n">
        <v>74795</v>
      </c>
      <c r="C19483" s="0" t="n">
        <v>74815</v>
      </c>
      <c r="D19483" s="0" t="s">
        <v>64748</v>
      </c>
      <c r="E19483" s="0" t="s">
        <v>75</v>
      </c>
      <c r="F19483" s="0" t="s">
        <v>90</v>
      </c>
      <c r="G19483" s="0" t="s">
        <v>36</v>
      </c>
      <c r="H19483" s="0" t="n">
        <v>28</v>
      </c>
      <c r="I19483" s="0" t="s">
        <v>64749</v>
      </c>
      <c r="J19483" s="0" t="s">
        <v>64750</v>
      </c>
      <c r="K19483" s="0" t="s">
        <v>64751</v>
      </c>
      <c r="L19483" s="0" t="str">
        <f aca="false">HYPERLINK("https://www.ncbi.nlm.nih.gov/nuccore/CP000059.1?report=graph&amp;tracks=[key:gene_model_track,Options:GeneOnly]&amp;mk=74796:74815|offset_28|00cc00,74769:74788|offset_55|444444,74744:74763|offset_80|444444,74723:74742|offset_101|444444&amp;v=74595:74942&amp;c=444444", "offset 28")</f>
        <v>offset 28</v>
      </c>
    </row>
    <row r="19484" customFormat="false" ht="12.8" hidden="false" customHeight="false" outlineLevel="0" collapsed="false">
      <c r="A19484" s="0" t="s">
        <v>64160</v>
      </c>
      <c r="B19484" s="0" t="n">
        <v>74768</v>
      </c>
      <c r="C19484" s="0" t="n">
        <v>74788</v>
      </c>
      <c r="D19484" s="0" t="s">
        <v>64748</v>
      </c>
      <c r="E19484" s="0" t="s">
        <v>75</v>
      </c>
      <c r="F19484" s="0" t="s">
        <v>90</v>
      </c>
      <c r="G19484" s="0" t="s">
        <v>32</v>
      </c>
      <c r="H19484" s="0" t="n">
        <v>55</v>
      </c>
      <c r="I19484" s="0" t="s">
        <v>64752</v>
      </c>
      <c r="J19484" s="0" t="s">
        <v>64753</v>
      </c>
      <c r="K19484" s="0" t="s">
        <v>64754</v>
      </c>
      <c r="L19484" s="0" t="str">
        <f aca="false">HYPERLINK("https://www.ncbi.nlm.nih.gov/nuccore/CP000059.1?report=graph&amp;tracks=[key:gene_model_track,Options:GeneOnly]&amp;mk=74796:74815|offset_28|444444,74769:74788|offset_55|00cc00,74744:74763|offset_80|444444,74723:74742|offset_101|444444&amp;v=74595:74942&amp;c=444444", "offset 55")</f>
        <v>offset 55</v>
      </c>
    </row>
    <row r="19485" customFormat="false" ht="12.8" hidden="false" customHeight="false" outlineLevel="0" collapsed="false">
      <c r="A19485" s="0" t="s">
        <v>64160</v>
      </c>
      <c r="B19485" s="0" t="n">
        <v>74743</v>
      </c>
      <c r="C19485" s="0" t="n">
        <v>74763</v>
      </c>
      <c r="D19485" s="0" t="s">
        <v>64748</v>
      </c>
      <c r="E19485" s="0" t="s">
        <v>75</v>
      </c>
      <c r="F19485" s="0" t="s">
        <v>90</v>
      </c>
      <c r="G19485" s="0" t="s">
        <v>32</v>
      </c>
      <c r="H19485" s="0" t="n">
        <v>80</v>
      </c>
      <c r="I19485" s="0" t="s">
        <v>64755</v>
      </c>
      <c r="J19485" s="0" t="s">
        <v>64756</v>
      </c>
      <c r="K19485" s="0" t="s">
        <v>64757</v>
      </c>
      <c r="L19485" s="0" t="str">
        <f aca="false">HYPERLINK("https://www.ncbi.nlm.nih.gov/nuccore/CP000059.1?report=graph&amp;tracks=[key:gene_model_track,Options:GeneOnly]&amp;mk=74796:74815|offset_28|444444,74769:74788|offset_55|444444,74744:74763|offset_80|00cc00,74723:74742|offset_101|444444&amp;v=74595:74942&amp;c=444444", "offset 80")</f>
        <v>offset 80</v>
      </c>
    </row>
    <row r="19486" customFormat="false" ht="12.8" hidden="false" customHeight="false" outlineLevel="0" collapsed="false">
      <c r="A19486" s="0" t="s">
        <v>64160</v>
      </c>
      <c r="B19486" s="0" t="n">
        <v>74722</v>
      </c>
      <c r="C19486" s="0" t="n">
        <v>74742</v>
      </c>
      <c r="D19486" s="0" t="s">
        <v>64748</v>
      </c>
      <c r="E19486" s="0" t="s">
        <v>75</v>
      </c>
      <c r="F19486" s="0" t="s">
        <v>90</v>
      </c>
      <c r="G19486" s="0" t="s">
        <v>36</v>
      </c>
      <c r="H19486" s="0" t="n">
        <v>101</v>
      </c>
      <c r="I19486" s="0" t="s">
        <v>64758</v>
      </c>
      <c r="J19486" s="0" t="s">
        <v>64759</v>
      </c>
      <c r="K19486" s="0" t="s">
        <v>64760</v>
      </c>
      <c r="L19486" s="0" t="str">
        <f aca="false">HYPERLINK("https://www.ncbi.nlm.nih.gov/nuccore/CP000059.1?report=graph&amp;tracks=[key:gene_model_track,Options:GeneOnly]&amp;mk=74796:74815|offset_28|444444,74769:74788|offset_55|444444,74744:74763|offset_80|444444,74723:74742|offset_101|00cc00&amp;v=74595:74942&amp;c=444444", "offset 101")</f>
        <v>offset 101</v>
      </c>
    </row>
    <row r="19487" customFormat="false" ht="12.8" hidden="false" customHeight="false" outlineLevel="0" collapsed="false">
      <c r="A19487" s="0" t="s">
        <v>64160</v>
      </c>
      <c r="B19487" s="0" t="n">
        <v>76635</v>
      </c>
      <c r="C19487" s="0" t="n">
        <v>76655</v>
      </c>
      <c r="D19487" s="0" t="s">
        <v>64761</v>
      </c>
      <c r="E19487" s="0" t="s">
        <v>64762</v>
      </c>
      <c r="F19487" s="0" t="s">
        <v>90</v>
      </c>
      <c r="G19487" s="0" t="s">
        <v>36</v>
      </c>
      <c r="H19487" s="0" t="n">
        <v>0</v>
      </c>
      <c r="I19487" s="0" t="s">
        <v>64763</v>
      </c>
      <c r="J19487" s="0" t="s">
        <v>64764</v>
      </c>
      <c r="K19487" s="0" t="s">
        <v>64765</v>
      </c>
      <c r="L19487" s="0" t="str">
        <f aca="false">HYPERLINK("https://www.ncbi.nlm.nih.gov/nuccore/CP000059.1?report=graph&amp;tracks=[key:gene_model_track,Options:GeneOnly]&amp;mk=76636:76655|offset_0|00cc00,76602:76621|offset_34|444444,76582:76601|offset_54|444444,76562:76581|offset_74|444444&amp;v=76435:76781&amp;c=444444", "offset 0")</f>
        <v>offset 0</v>
      </c>
    </row>
    <row r="19488" customFormat="false" ht="12.8" hidden="false" customHeight="false" outlineLevel="0" collapsed="false">
      <c r="A19488" s="0" t="s">
        <v>64160</v>
      </c>
      <c r="B19488" s="0" t="n">
        <v>76601</v>
      </c>
      <c r="C19488" s="0" t="n">
        <v>76621</v>
      </c>
      <c r="D19488" s="0" t="s">
        <v>64761</v>
      </c>
      <c r="E19488" s="0" t="s">
        <v>64762</v>
      </c>
      <c r="F19488" s="0" t="s">
        <v>90</v>
      </c>
      <c r="G19488" s="0" t="s">
        <v>32</v>
      </c>
      <c r="H19488" s="0" t="n">
        <v>34</v>
      </c>
      <c r="I19488" s="0" t="s">
        <v>64766</v>
      </c>
      <c r="J19488" s="0" t="s">
        <v>64767</v>
      </c>
      <c r="K19488" s="0" t="s">
        <v>64768</v>
      </c>
      <c r="L19488" s="0" t="str">
        <f aca="false">HYPERLINK("https://www.ncbi.nlm.nih.gov/nuccore/CP000059.1?report=graph&amp;tracks=[key:gene_model_track,Options:GeneOnly]&amp;mk=76636:76655|offset_0|444444,76602:76621|offset_34|00cc00,76582:76601|offset_54|444444,76562:76581|offset_74|444444&amp;v=76435:76781&amp;c=444444", "offset 34")</f>
        <v>offset 34</v>
      </c>
    </row>
    <row r="19489" customFormat="false" ht="12.8" hidden="false" customHeight="false" outlineLevel="0" collapsed="false">
      <c r="A19489" s="0" t="s">
        <v>64160</v>
      </c>
      <c r="B19489" s="0" t="n">
        <v>76581</v>
      </c>
      <c r="C19489" s="0" t="n">
        <v>76601</v>
      </c>
      <c r="D19489" s="0" t="s">
        <v>64761</v>
      </c>
      <c r="E19489" s="0" t="s">
        <v>64762</v>
      </c>
      <c r="F19489" s="0" t="s">
        <v>90</v>
      </c>
      <c r="G19489" s="0" t="s">
        <v>20</v>
      </c>
      <c r="H19489" s="0" t="n">
        <v>54</v>
      </c>
      <c r="I19489" s="0" t="s">
        <v>64769</v>
      </c>
      <c r="J19489" s="0" t="s">
        <v>64770</v>
      </c>
      <c r="K19489" s="0" t="s">
        <v>64771</v>
      </c>
      <c r="L19489" s="0" t="str">
        <f aca="false">HYPERLINK("https://www.ncbi.nlm.nih.gov/nuccore/CP000059.1?report=graph&amp;tracks=[key:gene_model_track,Options:GeneOnly]&amp;mk=76636:76655|offset_0|444444,76602:76621|offset_34|444444,76582:76601|offset_54|00cc00,76562:76581|offset_74|444444&amp;v=76435:76781&amp;c=444444", "offset 54")</f>
        <v>offset 54</v>
      </c>
    </row>
    <row r="19490" customFormat="false" ht="12.8" hidden="false" customHeight="false" outlineLevel="0" collapsed="false">
      <c r="A19490" s="0" t="s">
        <v>64160</v>
      </c>
      <c r="B19490" s="0" t="n">
        <v>76561</v>
      </c>
      <c r="C19490" s="0" t="n">
        <v>76581</v>
      </c>
      <c r="D19490" s="0" t="s">
        <v>64761</v>
      </c>
      <c r="E19490" s="0" t="s">
        <v>64762</v>
      </c>
      <c r="F19490" s="0" t="s">
        <v>90</v>
      </c>
      <c r="G19490" s="0" t="s">
        <v>16</v>
      </c>
      <c r="H19490" s="0" t="n">
        <v>74</v>
      </c>
      <c r="I19490" s="0" t="s">
        <v>64772</v>
      </c>
      <c r="J19490" s="0" t="s">
        <v>64773</v>
      </c>
      <c r="K19490" s="0" t="s">
        <v>64774</v>
      </c>
      <c r="L19490" s="0" t="str">
        <f aca="false">HYPERLINK("https://www.ncbi.nlm.nih.gov/nuccore/CP000059.1?report=graph&amp;tracks=[key:gene_model_track,Options:GeneOnly]&amp;mk=76636:76655|offset_0|444444,76602:76621|offset_34|444444,76582:76601|offset_54|444444,76562:76581|offset_74|00cc00&amp;v=76435:76781&amp;c=444444", "offset 74")</f>
        <v>offset 74</v>
      </c>
    </row>
    <row r="19491" customFormat="false" ht="12.8" hidden="false" customHeight="false" outlineLevel="0" collapsed="false">
      <c r="A19491" s="0" t="s">
        <v>64160</v>
      </c>
      <c r="B19491" s="0" t="n">
        <v>78030</v>
      </c>
      <c r="C19491" s="0" t="n">
        <v>78050</v>
      </c>
      <c r="D19491" s="0" t="s">
        <v>64775</v>
      </c>
      <c r="E19491" s="0" t="s">
        <v>75</v>
      </c>
      <c r="F19491" s="0" t="s">
        <v>90</v>
      </c>
      <c r="G19491" s="0" t="s">
        <v>16</v>
      </c>
      <c r="H19491" s="0" t="n">
        <v>26</v>
      </c>
      <c r="I19491" s="0" t="s">
        <v>64776</v>
      </c>
      <c r="J19491" s="0" t="s">
        <v>64777</v>
      </c>
      <c r="K19491" s="0" t="s">
        <v>64778</v>
      </c>
      <c r="L19491" s="0" t="str">
        <f aca="false">HYPERLINK("https://www.ncbi.nlm.nih.gov/nuccore/CP000059.1?report=graph&amp;tracks=[key:gene_model_track,Options:GeneOnly]&amp;mk=78031:78050|offset_26|00cc00,78009:78028|offset_48|444444,77984:78003|offset_73|444444,77944:77963|offset_113|444444&amp;v=77830:78163&amp;c=444444", "offset 26")</f>
        <v>offset 26</v>
      </c>
    </row>
    <row r="19492" customFormat="false" ht="12.8" hidden="false" customHeight="false" outlineLevel="0" collapsed="false">
      <c r="A19492" s="0" t="s">
        <v>64160</v>
      </c>
      <c r="B19492" s="0" t="n">
        <v>78008</v>
      </c>
      <c r="C19492" s="0" t="n">
        <v>78028</v>
      </c>
      <c r="D19492" s="0" t="s">
        <v>64775</v>
      </c>
      <c r="E19492" s="0" t="s">
        <v>75</v>
      </c>
      <c r="F19492" s="0" t="s">
        <v>90</v>
      </c>
      <c r="G19492" s="0" t="s">
        <v>16</v>
      </c>
      <c r="H19492" s="0" t="n">
        <v>48</v>
      </c>
      <c r="I19492" s="0" t="s">
        <v>64779</v>
      </c>
      <c r="J19492" s="0" t="s">
        <v>64780</v>
      </c>
      <c r="K19492" s="0" t="s">
        <v>64781</v>
      </c>
      <c r="L19492" s="0" t="str">
        <f aca="false">HYPERLINK("https://www.ncbi.nlm.nih.gov/nuccore/CP000059.1?report=graph&amp;tracks=[key:gene_model_track,Options:GeneOnly]&amp;mk=78031:78050|offset_26|444444,78009:78028|offset_48|00cc00,77984:78003|offset_73|444444,77944:77963|offset_113|444444&amp;v=77830:78163&amp;c=444444", "offset 48")</f>
        <v>offset 48</v>
      </c>
    </row>
    <row r="19493" customFormat="false" ht="12.8" hidden="false" customHeight="false" outlineLevel="0" collapsed="false">
      <c r="A19493" s="0" t="s">
        <v>64160</v>
      </c>
      <c r="B19493" s="0" t="n">
        <v>77983</v>
      </c>
      <c r="C19493" s="0" t="n">
        <v>78003</v>
      </c>
      <c r="D19493" s="0" t="s">
        <v>64775</v>
      </c>
      <c r="E19493" s="0" t="s">
        <v>75</v>
      </c>
      <c r="F19493" s="0" t="s">
        <v>90</v>
      </c>
      <c r="G19493" s="0" t="s">
        <v>36</v>
      </c>
      <c r="H19493" s="0" t="n">
        <v>73</v>
      </c>
      <c r="I19493" s="0" t="s">
        <v>64782</v>
      </c>
      <c r="J19493" s="0" t="s">
        <v>64783</v>
      </c>
      <c r="K19493" s="0" t="s">
        <v>64784</v>
      </c>
      <c r="L19493" s="0" t="str">
        <f aca="false">HYPERLINK("https://www.ncbi.nlm.nih.gov/nuccore/CP000059.1?report=graph&amp;tracks=[key:gene_model_track,Options:GeneOnly]&amp;mk=78031:78050|offset_26|444444,78009:78028|offset_48|444444,77984:78003|offset_73|00cc00,77944:77963|offset_113|444444&amp;v=77830:78163&amp;c=444444", "offset 73")</f>
        <v>offset 73</v>
      </c>
    </row>
    <row r="19494" customFormat="false" ht="12.8" hidden="false" customHeight="false" outlineLevel="0" collapsed="false">
      <c r="A19494" s="0" t="s">
        <v>64160</v>
      </c>
      <c r="B19494" s="0" t="n">
        <v>77943</v>
      </c>
      <c r="C19494" s="0" t="n">
        <v>77963</v>
      </c>
      <c r="D19494" s="0" t="s">
        <v>64775</v>
      </c>
      <c r="E19494" s="0" t="s">
        <v>75</v>
      </c>
      <c r="F19494" s="0" t="s">
        <v>90</v>
      </c>
      <c r="G19494" s="0" t="s">
        <v>36</v>
      </c>
      <c r="H19494" s="0" t="n">
        <v>113</v>
      </c>
      <c r="I19494" s="0" t="s">
        <v>64785</v>
      </c>
      <c r="J19494" s="0" t="s">
        <v>64786</v>
      </c>
      <c r="K19494" s="0" t="s">
        <v>64787</v>
      </c>
      <c r="L19494" s="0" t="str">
        <f aca="false">HYPERLINK("https://www.ncbi.nlm.nih.gov/nuccore/CP000059.1?report=graph&amp;tracks=[key:gene_model_track,Options:GeneOnly]&amp;mk=78031:78050|offset_26|444444,78009:78028|offset_48|444444,77984:78003|offset_73|444444,77944:77963|offset_113|00cc00&amp;v=77830:78163&amp;c=444444", "offset 113")</f>
        <v>offset 113</v>
      </c>
    </row>
    <row r="19495" customFormat="false" ht="12.8" hidden="false" customHeight="false" outlineLevel="0" collapsed="false">
      <c r="A19495" s="0" t="s">
        <v>64160</v>
      </c>
      <c r="B19495" s="0" t="n">
        <v>78361</v>
      </c>
      <c r="C19495" s="0" t="n">
        <v>78381</v>
      </c>
      <c r="D19495" s="0" t="s">
        <v>64788</v>
      </c>
      <c r="E19495" s="0" t="s">
        <v>75</v>
      </c>
      <c r="F19495" s="0" t="s">
        <v>90</v>
      </c>
      <c r="G19495" s="0" t="s">
        <v>16</v>
      </c>
      <c r="H19495" s="0" t="n">
        <v>15</v>
      </c>
      <c r="I19495" s="0" t="s">
        <v>64789</v>
      </c>
      <c r="J19495" s="0" t="s">
        <v>64790</v>
      </c>
      <c r="K19495" s="0" t="s">
        <v>64791</v>
      </c>
      <c r="L19495" s="0" t="str">
        <f aca="false">HYPERLINK("https://www.ncbi.nlm.nih.gov/nuccore/CP000059.1?report=graph&amp;tracks=[key:gene_model_track,Options:GeneOnly]&amp;mk=78362:78381|offset_15|00cc00,78342:78361|offset_35|444444,78309:78328|offset_68|444444,78283:78302|offset_94|444444&amp;v=78161:78502&amp;c=444444", "offset 15")</f>
        <v>offset 15</v>
      </c>
    </row>
    <row r="19496" customFormat="false" ht="12.8" hidden="false" customHeight="false" outlineLevel="0" collapsed="false">
      <c r="A19496" s="0" t="s">
        <v>64160</v>
      </c>
      <c r="B19496" s="0" t="n">
        <v>78341</v>
      </c>
      <c r="C19496" s="0" t="n">
        <v>78361</v>
      </c>
      <c r="D19496" s="0" t="s">
        <v>64788</v>
      </c>
      <c r="E19496" s="0" t="s">
        <v>75</v>
      </c>
      <c r="F19496" s="0" t="s">
        <v>90</v>
      </c>
      <c r="G19496" s="0" t="s">
        <v>16</v>
      </c>
      <c r="H19496" s="0" t="n">
        <v>35</v>
      </c>
      <c r="I19496" s="0" t="s">
        <v>64792</v>
      </c>
      <c r="J19496" s="0" t="s">
        <v>64793</v>
      </c>
      <c r="K19496" s="0" t="s">
        <v>64794</v>
      </c>
      <c r="L19496" s="0" t="str">
        <f aca="false">HYPERLINK("https://www.ncbi.nlm.nih.gov/nuccore/CP000059.1?report=graph&amp;tracks=[key:gene_model_track,Options:GeneOnly]&amp;mk=78362:78381|offset_15|444444,78342:78361|offset_35|00cc00,78309:78328|offset_68|444444,78283:78302|offset_94|444444&amp;v=78161:78502&amp;c=444444", "offset 35")</f>
        <v>offset 35</v>
      </c>
    </row>
    <row r="19497" customFormat="false" ht="12.8" hidden="false" customHeight="false" outlineLevel="0" collapsed="false">
      <c r="A19497" s="0" t="s">
        <v>64160</v>
      </c>
      <c r="B19497" s="0" t="n">
        <v>78308</v>
      </c>
      <c r="C19497" s="0" t="n">
        <v>78328</v>
      </c>
      <c r="D19497" s="0" t="s">
        <v>64788</v>
      </c>
      <c r="E19497" s="0" t="s">
        <v>75</v>
      </c>
      <c r="F19497" s="0" t="s">
        <v>90</v>
      </c>
      <c r="G19497" s="0" t="s">
        <v>20</v>
      </c>
      <c r="H19497" s="0" t="n">
        <v>68</v>
      </c>
      <c r="I19497" s="0" t="s">
        <v>64795</v>
      </c>
      <c r="J19497" s="0" t="s">
        <v>64796</v>
      </c>
      <c r="K19497" s="0" t="s">
        <v>64797</v>
      </c>
      <c r="L19497" s="0" t="str">
        <f aca="false">HYPERLINK("https://www.ncbi.nlm.nih.gov/nuccore/CP000059.1?report=graph&amp;tracks=[key:gene_model_track,Options:GeneOnly]&amp;mk=78362:78381|offset_15|444444,78342:78361|offset_35|444444,78309:78328|offset_68|00cc00,78283:78302|offset_94|444444&amp;v=78161:78502&amp;c=444444", "offset 68")</f>
        <v>offset 68</v>
      </c>
    </row>
    <row r="19498" customFormat="false" ht="12.8" hidden="false" customHeight="false" outlineLevel="0" collapsed="false">
      <c r="A19498" s="0" t="s">
        <v>64160</v>
      </c>
      <c r="B19498" s="0" t="n">
        <v>78282</v>
      </c>
      <c r="C19498" s="0" t="n">
        <v>78302</v>
      </c>
      <c r="D19498" s="0" t="s">
        <v>64788</v>
      </c>
      <c r="E19498" s="0" t="s">
        <v>75</v>
      </c>
      <c r="F19498" s="0" t="s">
        <v>90</v>
      </c>
      <c r="G19498" s="0" t="s">
        <v>32</v>
      </c>
      <c r="H19498" s="0" t="n">
        <v>94</v>
      </c>
      <c r="I19498" s="0" t="s">
        <v>64798</v>
      </c>
      <c r="J19498" s="0" t="s">
        <v>64799</v>
      </c>
      <c r="K19498" s="0" t="s">
        <v>64800</v>
      </c>
      <c r="L19498" s="0" t="str">
        <f aca="false">HYPERLINK("https://www.ncbi.nlm.nih.gov/nuccore/CP000059.1?report=graph&amp;tracks=[key:gene_model_track,Options:GeneOnly]&amp;mk=78362:78381|offset_15|444444,78342:78361|offset_35|444444,78309:78328|offset_68|444444,78283:78302|offset_94|00cc00&amp;v=78161:78502&amp;c=444444", "offset 94")</f>
        <v>offset 94</v>
      </c>
    </row>
    <row r="19499" customFormat="false" ht="12.8" hidden="false" customHeight="false" outlineLevel="0" collapsed="false">
      <c r="A19499" s="0" t="s">
        <v>64160</v>
      </c>
      <c r="B19499" s="0" t="n">
        <v>78958</v>
      </c>
      <c r="C19499" s="0" t="n">
        <v>78978</v>
      </c>
      <c r="D19499" s="0" t="s">
        <v>64801</v>
      </c>
      <c r="E19499" s="0" t="s">
        <v>75</v>
      </c>
      <c r="F19499" s="0" t="s">
        <v>15</v>
      </c>
      <c r="G19499" s="0" t="s">
        <v>36</v>
      </c>
      <c r="H19499" s="0" t="n">
        <v>11</v>
      </c>
      <c r="I19499" s="0" t="s">
        <v>64802</v>
      </c>
      <c r="J19499" s="0" t="s">
        <v>64803</v>
      </c>
      <c r="K19499" s="0" t="s">
        <v>64804</v>
      </c>
      <c r="L19499" s="0" t="str">
        <f aca="false">HYPERLINK("https://www.ncbi.nlm.nih.gov/nuccore/CP000059.1?report=graph&amp;tracks=[key:gene_model_track,Options:GeneOnly]&amp;mk=78959:78978|offset_11|00cc00,79079:79098|offset_131|444444,79189:79208|offset_241|444444,79244:79263|offset_296|444444&amp;v=78758:79463&amp;c=444444", "offset 11")</f>
        <v>offset 11</v>
      </c>
    </row>
    <row r="19500" customFormat="false" ht="12.8" hidden="false" customHeight="false" outlineLevel="0" collapsed="false">
      <c r="A19500" s="0" t="s">
        <v>64160</v>
      </c>
      <c r="B19500" s="0" t="n">
        <v>79078</v>
      </c>
      <c r="C19500" s="0" t="n">
        <v>79098</v>
      </c>
      <c r="D19500" s="0" t="s">
        <v>64801</v>
      </c>
      <c r="E19500" s="0" t="s">
        <v>75</v>
      </c>
      <c r="F19500" s="0" t="s">
        <v>15</v>
      </c>
      <c r="G19500" s="0" t="s">
        <v>32</v>
      </c>
      <c r="H19500" s="0" t="n">
        <v>131</v>
      </c>
      <c r="I19500" s="0" t="s">
        <v>64805</v>
      </c>
      <c r="J19500" s="0" t="s">
        <v>64806</v>
      </c>
      <c r="K19500" s="0" t="s">
        <v>64807</v>
      </c>
      <c r="L19500" s="0" t="str">
        <f aca="false">HYPERLINK("https://www.ncbi.nlm.nih.gov/nuccore/CP000059.1?report=graph&amp;tracks=[key:gene_model_track,Options:GeneOnly]&amp;mk=78959:78978|offset_11|444444,79079:79098|offset_131|00cc00,79189:79208|offset_241|444444,79244:79263|offset_296|444444&amp;v=78758:79463&amp;c=444444", "offset 131")</f>
        <v>offset 131</v>
      </c>
    </row>
    <row r="19501" customFormat="false" ht="12.8" hidden="false" customHeight="false" outlineLevel="0" collapsed="false">
      <c r="A19501" s="0" t="s">
        <v>64160</v>
      </c>
      <c r="B19501" s="0" t="n">
        <v>79188</v>
      </c>
      <c r="C19501" s="0" t="n">
        <v>79208</v>
      </c>
      <c r="D19501" s="0" t="s">
        <v>64801</v>
      </c>
      <c r="E19501" s="0" t="s">
        <v>75</v>
      </c>
      <c r="F19501" s="0" t="s">
        <v>15</v>
      </c>
      <c r="G19501" s="0" t="s">
        <v>32</v>
      </c>
      <c r="H19501" s="0" t="n">
        <v>241</v>
      </c>
      <c r="I19501" s="0" t="s">
        <v>64808</v>
      </c>
      <c r="J19501" s="0" t="s">
        <v>64809</v>
      </c>
      <c r="K19501" s="0" t="s">
        <v>64810</v>
      </c>
      <c r="L19501" s="0" t="str">
        <f aca="false">HYPERLINK("https://www.ncbi.nlm.nih.gov/nuccore/CP000059.1?report=graph&amp;tracks=[key:gene_model_track,Options:GeneOnly]&amp;mk=78959:78978|offset_11|444444,79079:79098|offset_131|444444,79189:79208|offset_241|00cc00,79244:79263|offset_296|444444&amp;v=78758:79463&amp;c=444444", "offset 241")</f>
        <v>offset 241</v>
      </c>
    </row>
    <row r="19502" customFormat="false" ht="12.8" hidden="false" customHeight="false" outlineLevel="0" collapsed="false">
      <c r="A19502" s="0" t="s">
        <v>64160</v>
      </c>
      <c r="B19502" s="0" t="n">
        <v>79243</v>
      </c>
      <c r="C19502" s="0" t="n">
        <v>79263</v>
      </c>
      <c r="D19502" s="0" t="s">
        <v>64801</v>
      </c>
      <c r="E19502" s="0" t="s">
        <v>75</v>
      </c>
      <c r="F19502" s="0" t="s">
        <v>15</v>
      </c>
      <c r="G19502" s="0" t="s">
        <v>32</v>
      </c>
      <c r="H19502" s="0" t="n">
        <v>296</v>
      </c>
      <c r="I19502" s="0" t="s">
        <v>64811</v>
      </c>
      <c r="J19502" s="0" t="s">
        <v>64812</v>
      </c>
      <c r="K19502" s="0" t="s">
        <v>64813</v>
      </c>
      <c r="L19502" s="0" t="str">
        <f aca="false">HYPERLINK("https://www.ncbi.nlm.nih.gov/nuccore/CP000059.1?report=graph&amp;tracks=[key:gene_model_track,Options:GeneOnly]&amp;mk=78959:78978|offset_11|444444,79079:79098|offset_131|444444,79189:79208|offset_241|444444,79244:79263|offset_296|00cc00&amp;v=78758:79463&amp;c=444444", "offset 296")</f>
        <v>offset 296</v>
      </c>
    </row>
    <row r="19503" customFormat="false" ht="12.8" hidden="false" customHeight="false" outlineLevel="0" collapsed="false">
      <c r="A19503" s="0" t="s">
        <v>64160</v>
      </c>
      <c r="B19503" s="0" t="n">
        <v>80347</v>
      </c>
      <c r="C19503" s="0" t="n">
        <v>80367</v>
      </c>
      <c r="D19503" s="0" t="s">
        <v>64814</v>
      </c>
      <c r="E19503" s="0" t="s">
        <v>75</v>
      </c>
      <c r="F19503" s="0" t="s">
        <v>15</v>
      </c>
      <c r="G19503" s="0" t="s">
        <v>36</v>
      </c>
      <c r="H19503" s="0" t="n">
        <v>23</v>
      </c>
      <c r="I19503" s="0" t="s">
        <v>64815</v>
      </c>
      <c r="J19503" s="0" t="s">
        <v>64816</v>
      </c>
      <c r="K19503" s="0" t="s">
        <v>64817</v>
      </c>
      <c r="L19503" s="0" t="str">
        <f aca="false">HYPERLINK("https://www.ncbi.nlm.nih.gov/nuccore/CP000059.1?report=graph&amp;tracks=[key:gene_model_track,Options:GeneOnly]&amp;mk=80348:80367|offset_23|00cc00,80416:80435|offset_91|444444,80447:80466|offset_122|444444,80541:80560|offset_216|444444&amp;v=80147:80760&amp;c=444444", "offset 23")</f>
        <v>offset 23</v>
      </c>
    </row>
    <row r="19504" customFormat="false" ht="12.8" hidden="false" customHeight="false" outlineLevel="0" collapsed="false">
      <c r="A19504" s="0" t="s">
        <v>64160</v>
      </c>
      <c r="B19504" s="0" t="n">
        <v>80415</v>
      </c>
      <c r="C19504" s="0" t="n">
        <v>80435</v>
      </c>
      <c r="D19504" s="0" t="s">
        <v>64814</v>
      </c>
      <c r="E19504" s="0" t="s">
        <v>75</v>
      </c>
      <c r="F19504" s="0" t="s">
        <v>15</v>
      </c>
      <c r="G19504" s="0" t="s">
        <v>36</v>
      </c>
      <c r="H19504" s="0" t="n">
        <v>91</v>
      </c>
      <c r="I19504" s="0" t="s">
        <v>64818</v>
      </c>
      <c r="J19504" s="0" t="s">
        <v>64819</v>
      </c>
      <c r="K19504" s="0" t="s">
        <v>64820</v>
      </c>
      <c r="L19504" s="0" t="str">
        <f aca="false">HYPERLINK("https://www.ncbi.nlm.nih.gov/nuccore/CP000059.1?report=graph&amp;tracks=[key:gene_model_track,Options:GeneOnly]&amp;mk=80348:80367|offset_23|444444,80416:80435|offset_91|00cc00,80447:80466|offset_122|444444,80541:80560|offset_216|444444&amp;v=80147:80760&amp;c=444444", "offset 91")</f>
        <v>offset 91</v>
      </c>
    </row>
    <row r="19505" customFormat="false" ht="12.8" hidden="false" customHeight="false" outlineLevel="0" collapsed="false">
      <c r="A19505" s="0" t="s">
        <v>64160</v>
      </c>
      <c r="B19505" s="0" t="n">
        <v>80446</v>
      </c>
      <c r="C19505" s="0" t="n">
        <v>80466</v>
      </c>
      <c r="D19505" s="0" t="s">
        <v>64814</v>
      </c>
      <c r="E19505" s="0" t="s">
        <v>75</v>
      </c>
      <c r="F19505" s="0" t="s">
        <v>15</v>
      </c>
      <c r="G19505" s="0" t="s">
        <v>32</v>
      </c>
      <c r="H19505" s="0" t="n">
        <v>122</v>
      </c>
      <c r="I19505" s="0" t="s">
        <v>64821</v>
      </c>
      <c r="J19505" s="0" t="s">
        <v>64822</v>
      </c>
      <c r="K19505" s="0" t="s">
        <v>64823</v>
      </c>
      <c r="L19505" s="0" t="str">
        <f aca="false">HYPERLINK("https://www.ncbi.nlm.nih.gov/nuccore/CP000059.1?report=graph&amp;tracks=[key:gene_model_track,Options:GeneOnly]&amp;mk=80348:80367|offset_23|444444,80416:80435|offset_91|444444,80447:80466|offset_122|00cc00,80541:80560|offset_216|444444&amp;v=80147:80760&amp;c=444444", "offset 122")</f>
        <v>offset 122</v>
      </c>
    </row>
    <row r="19506" customFormat="false" ht="12.8" hidden="false" customHeight="false" outlineLevel="0" collapsed="false">
      <c r="A19506" s="0" t="s">
        <v>64160</v>
      </c>
      <c r="B19506" s="0" t="n">
        <v>80540</v>
      </c>
      <c r="C19506" s="0" t="n">
        <v>80560</v>
      </c>
      <c r="D19506" s="0" t="s">
        <v>64814</v>
      </c>
      <c r="E19506" s="0" t="s">
        <v>75</v>
      </c>
      <c r="F19506" s="0" t="s">
        <v>15</v>
      </c>
      <c r="G19506" s="0" t="s">
        <v>20</v>
      </c>
      <c r="H19506" s="0" t="n">
        <v>216</v>
      </c>
      <c r="I19506" s="0" t="s">
        <v>64824</v>
      </c>
      <c r="J19506" s="0" t="s">
        <v>64825</v>
      </c>
      <c r="K19506" s="0" t="s">
        <v>64826</v>
      </c>
      <c r="L19506" s="0" t="str">
        <f aca="false">HYPERLINK("https://www.ncbi.nlm.nih.gov/nuccore/CP000059.1?report=graph&amp;tracks=[key:gene_model_track,Options:GeneOnly]&amp;mk=80348:80367|offset_23|444444,80416:80435|offset_91|444444,80447:80466|offset_122|444444,80541:80560|offset_216|00cc00&amp;v=80147:80760&amp;c=444444", "offset 216")</f>
        <v>offset 216</v>
      </c>
    </row>
    <row r="19507" customFormat="false" ht="12.8" hidden="false" customHeight="false" outlineLevel="0" collapsed="false">
      <c r="A19507" s="0" t="s">
        <v>64160</v>
      </c>
      <c r="B19507" s="0" t="n">
        <v>82045</v>
      </c>
      <c r="C19507" s="0" t="n">
        <v>82065</v>
      </c>
      <c r="D19507" s="0" t="s">
        <v>64827</v>
      </c>
      <c r="E19507" s="0" t="s">
        <v>75</v>
      </c>
      <c r="F19507" s="0" t="s">
        <v>90</v>
      </c>
      <c r="G19507" s="0" t="s">
        <v>16</v>
      </c>
      <c r="H19507" s="0" t="n">
        <v>28</v>
      </c>
      <c r="I19507" s="0" t="s">
        <v>64828</v>
      </c>
      <c r="J19507" s="0" t="s">
        <v>64829</v>
      </c>
      <c r="K19507" s="0" t="s">
        <v>64830</v>
      </c>
      <c r="L19507" s="0" t="str">
        <f aca="false">HYPERLINK("https://www.ncbi.nlm.nih.gov/nuccore/CP000059.1?report=graph&amp;tracks=[key:gene_model_track,Options:GeneOnly]&amp;mk=82046:82065|offset_28|00cc00,82012:82031|offset_62|444444,81971:81990|offset_103|444444,81946:81965|offset_128|444444&amp;v=81845:82165&amp;c=444444", "offset 28")</f>
        <v>offset 28</v>
      </c>
    </row>
    <row r="19508" customFormat="false" ht="12.8" hidden="false" customHeight="false" outlineLevel="0" collapsed="false">
      <c r="A19508" s="0" t="s">
        <v>64160</v>
      </c>
      <c r="B19508" s="0" t="n">
        <v>82011</v>
      </c>
      <c r="C19508" s="0" t="n">
        <v>82031</v>
      </c>
      <c r="D19508" s="0" t="s">
        <v>64827</v>
      </c>
      <c r="E19508" s="0" t="s">
        <v>75</v>
      </c>
      <c r="F19508" s="0" t="s">
        <v>90</v>
      </c>
      <c r="G19508" s="0" t="s">
        <v>32</v>
      </c>
      <c r="H19508" s="0" t="n">
        <v>62</v>
      </c>
      <c r="I19508" s="0" t="s">
        <v>64831</v>
      </c>
      <c r="J19508" s="0" t="s">
        <v>64832</v>
      </c>
      <c r="K19508" s="0" t="s">
        <v>64833</v>
      </c>
      <c r="L19508" s="0" t="str">
        <f aca="false">HYPERLINK("https://www.ncbi.nlm.nih.gov/nuccore/CP000059.1?report=graph&amp;tracks=[key:gene_model_track,Options:GeneOnly]&amp;mk=82046:82065|offset_28|444444,82012:82031|offset_62|00cc00,81971:81990|offset_103|444444,81946:81965|offset_128|444444&amp;v=81845:82165&amp;c=444444", "offset 62")</f>
        <v>offset 62</v>
      </c>
    </row>
    <row r="19509" customFormat="false" ht="12.8" hidden="false" customHeight="false" outlineLevel="0" collapsed="false">
      <c r="A19509" s="0" t="s">
        <v>64160</v>
      </c>
      <c r="B19509" s="0" t="n">
        <v>81970</v>
      </c>
      <c r="C19509" s="0" t="n">
        <v>81990</v>
      </c>
      <c r="D19509" s="0" t="s">
        <v>64827</v>
      </c>
      <c r="E19509" s="0" t="s">
        <v>75</v>
      </c>
      <c r="F19509" s="0" t="s">
        <v>90</v>
      </c>
      <c r="G19509" s="0" t="s">
        <v>32</v>
      </c>
      <c r="H19509" s="0" t="n">
        <v>103</v>
      </c>
      <c r="I19509" s="0" t="s">
        <v>64834</v>
      </c>
      <c r="J19509" s="0" t="s">
        <v>64835</v>
      </c>
      <c r="K19509" s="0" t="s">
        <v>64836</v>
      </c>
      <c r="L19509" s="0" t="str">
        <f aca="false">HYPERLINK("https://www.ncbi.nlm.nih.gov/nuccore/CP000059.1?report=graph&amp;tracks=[key:gene_model_track,Options:GeneOnly]&amp;mk=82046:82065|offset_28|444444,82012:82031|offset_62|444444,81971:81990|offset_103|00cc00,81946:81965|offset_128|444444&amp;v=81845:82165&amp;c=444444", "offset 103")</f>
        <v>offset 103</v>
      </c>
    </row>
    <row r="19510" customFormat="false" ht="12.8" hidden="false" customHeight="false" outlineLevel="0" collapsed="false">
      <c r="A19510" s="0" t="s">
        <v>64160</v>
      </c>
      <c r="B19510" s="0" t="n">
        <v>81945</v>
      </c>
      <c r="C19510" s="0" t="n">
        <v>81965</v>
      </c>
      <c r="D19510" s="0" t="s">
        <v>64827</v>
      </c>
      <c r="E19510" s="0" t="s">
        <v>75</v>
      </c>
      <c r="F19510" s="0" t="s">
        <v>90</v>
      </c>
      <c r="G19510" s="0" t="s">
        <v>16</v>
      </c>
      <c r="H19510" s="0" t="n">
        <v>128</v>
      </c>
      <c r="I19510" s="0" t="s">
        <v>64837</v>
      </c>
      <c r="J19510" s="0" t="s">
        <v>64838</v>
      </c>
      <c r="K19510" s="0" t="s">
        <v>64839</v>
      </c>
      <c r="L19510" s="0" t="str">
        <f aca="false">HYPERLINK("https://www.ncbi.nlm.nih.gov/nuccore/CP000059.1?report=graph&amp;tracks=[key:gene_model_track,Options:GeneOnly]&amp;mk=82046:82065|offset_28|444444,82012:82031|offset_62|444444,81971:81990|offset_103|444444,81946:81965|offset_128|00cc00&amp;v=81845:82165&amp;c=444444", "offset 128")</f>
        <v>offset 128</v>
      </c>
    </row>
    <row r="19511" customFormat="false" ht="12.8" hidden="false" customHeight="false" outlineLevel="0" collapsed="false">
      <c r="A19511" s="0" t="s">
        <v>64160</v>
      </c>
      <c r="B19511" s="0" t="n">
        <v>82466</v>
      </c>
      <c r="C19511" s="0" t="n">
        <v>82486</v>
      </c>
      <c r="D19511" s="0" t="s">
        <v>64840</v>
      </c>
      <c r="E19511" s="0" t="s">
        <v>75</v>
      </c>
      <c r="F19511" s="0" t="s">
        <v>15</v>
      </c>
      <c r="G19511" s="0" t="s">
        <v>16</v>
      </c>
      <c r="H19511" s="0" t="n">
        <v>43</v>
      </c>
      <c r="I19511" s="0" t="s">
        <v>64841</v>
      </c>
      <c r="J19511" s="0" t="s">
        <v>64842</v>
      </c>
      <c r="K19511" s="0" t="s">
        <v>64843</v>
      </c>
      <c r="L19511" s="0" t="str">
        <f aca="false">HYPERLINK("https://www.ncbi.nlm.nih.gov/nuccore/CP000059.1?report=graph&amp;tracks=[key:gene_model_track,Options:GeneOnly]&amp;mk=82467:82486|offset_43|00cc00,82487:82506|offset_63|444444,82513:82532|offset_89|444444,82552:82571|offset_128|444444&amp;v=82266:82771&amp;c=444444", "offset 43")</f>
        <v>offset 43</v>
      </c>
    </row>
    <row r="19512" customFormat="false" ht="12.8" hidden="false" customHeight="false" outlineLevel="0" collapsed="false">
      <c r="A19512" s="0" t="s">
        <v>64160</v>
      </c>
      <c r="B19512" s="0" t="n">
        <v>82486</v>
      </c>
      <c r="C19512" s="0" t="n">
        <v>82506</v>
      </c>
      <c r="D19512" s="0" t="s">
        <v>64840</v>
      </c>
      <c r="E19512" s="0" t="s">
        <v>75</v>
      </c>
      <c r="F19512" s="0" t="s">
        <v>15</v>
      </c>
      <c r="G19512" s="0" t="s">
        <v>32</v>
      </c>
      <c r="H19512" s="0" t="n">
        <v>63</v>
      </c>
      <c r="I19512" s="0" t="s">
        <v>64844</v>
      </c>
      <c r="J19512" s="0" t="s">
        <v>64845</v>
      </c>
      <c r="K19512" s="0" t="s">
        <v>64846</v>
      </c>
      <c r="L19512" s="0" t="str">
        <f aca="false">HYPERLINK("https://www.ncbi.nlm.nih.gov/nuccore/CP000059.1?report=graph&amp;tracks=[key:gene_model_track,Options:GeneOnly]&amp;mk=82467:82486|offset_43|444444,82487:82506|offset_63|00cc00,82513:82532|offset_89|444444,82552:82571|offset_128|444444&amp;v=82266:82771&amp;c=444444", "offset 63")</f>
        <v>offset 63</v>
      </c>
    </row>
    <row r="19513" customFormat="false" ht="12.8" hidden="false" customHeight="false" outlineLevel="0" collapsed="false">
      <c r="A19513" s="0" t="s">
        <v>64160</v>
      </c>
      <c r="B19513" s="0" t="n">
        <v>82512</v>
      </c>
      <c r="C19513" s="0" t="n">
        <v>82532</v>
      </c>
      <c r="D19513" s="0" t="s">
        <v>64840</v>
      </c>
      <c r="E19513" s="0" t="s">
        <v>75</v>
      </c>
      <c r="F19513" s="0" t="s">
        <v>15</v>
      </c>
      <c r="G19513" s="0" t="s">
        <v>36</v>
      </c>
      <c r="H19513" s="0" t="n">
        <v>89</v>
      </c>
      <c r="I19513" s="0" t="s">
        <v>64847</v>
      </c>
      <c r="J19513" s="0" t="s">
        <v>64848</v>
      </c>
      <c r="K19513" s="0" t="s">
        <v>64849</v>
      </c>
      <c r="L19513" s="0" t="str">
        <f aca="false">HYPERLINK("https://www.ncbi.nlm.nih.gov/nuccore/CP000059.1?report=graph&amp;tracks=[key:gene_model_track,Options:GeneOnly]&amp;mk=82467:82486|offset_43|444444,82487:82506|offset_63|444444,82513:82532|offset_89|00cc00,82552:82571|offset_128|444444&amp;v=82266:82771&amp;c=444444", "offset 89")</f>
        <v>offset 89</v>
      </c>
    </row>
    <row r="19514" customFormat="false" ht="12.8" hidden="false" customHeight="false" outlineLevel="0" collapsed="false">
      <c r="A19514" s="0" t="s">
        <v>64160</v>
      </c>
      <c r="B19514" s="0" t="n">
        <v>82551</v>
      </c>
      <c r="C19514" s="0" t="n">
        <v>82571</v>
      </c>
      <c r="D19514" s="0" t="s">
        <v>64840</v>
      </c>
      <c r="E19514" s="0" t="s">
        <v>75</v>
      </c>
      <c r="F19514" s="0" t="s">
        <v>15</v>
      </c>
      <c r="G19514" s="0" t="s">
        <v>16</v>
      </c>
      <c r="H19514" s="0" t="n">
        <v>128</v>
      </c>
      <c r="I19514" s="0" t="s">
        <v>64850</v>
      </c>
      <c r="J19514" s="0" t="s">
        <v>64851</v>
      </c>
      <c r="K19514" s="0" t="s">
        <v>64852</v>
      </c>
      <c r="L19514" s="0" t="str">
        <f aca="false">HYPERLINK("https://www.ncbi.nlm.nih.gov/nuccore/CP000059.1?report=graph&amp;tracks=[key:gene_model_track,Options:GeneOnly]&amp;mk=82467:82486|offset_43|444444,82487:82506|offset_63|444444,82513:82532|offset_89|444444,82552:82571|offset_128|00cc00&amp;v=82266:82771&amp;c=444444", "offset 128")</f>
        <v>offset 128</v>
      </c>
    </row>
    <row r="19515" customFormat="false" ht="12.8" hidden="false" customHeight="false" outlineLevel="0" collapsed="false">
      <c r="A19515" s="0" t="s">
        <v>64160</v>
      </c>
      <c r="B19515" s="0" t="n">
        <v>82712</v>
      </c>
      <c r="C19515" s="0" t="n">
        <v>82732</v>
      </c>
      <c r="D19515" s="0" t="s">
        <v>64853</v>
      </c>
      <c r="E19515" s="0" t="s">
        <v>75</v>
      </c>
      <c r="F19515" s="0" t="s">
        <v>15</v>
      </c>
      <c r="G19515" s="0" t="s">
        <v>16</v>
      </c>
      <c r="H19515" s="0" t="n">
        <v>28</v>
      </c>
      <c r="I19515" s="0" t="s">
        <v>64854</v>
      </c>
      <c r="J19515" s="0" t="s">
        <v>64855</v>
      </c>
      <c r="K19515" s="0" t="s">
        <v>64856</v>
      </c>
      <c r="L19515" s="0" t="str">
        <f aca="false">HYPERLINK("https://www.ncbi.nlm.nih.gov/nuccore/CP000059.1?report=graph&amp;tracks=[key:gene_model_track,Options:GeneOnly]&amp;mk=82713:82732|offset_28|00cc00,82753:82772|offset_68|444444,82800:82819|offset_115|444444,82833:82852|offset_148|444444&amp;v=82512:83052&amp;c=444444", "offset 28")</f>
        <v>offset 28</v>
      </c>
    </row>
    <row r="19516" customFormat="false" ht="12.8" hidden="false" customHeight="false" outlineLevel="0" collapsed="false">
      <c r="A19516" s="0" t="s">
        <v>64160</v>
      </c>
      <c r="B19516" s="0" t="n">
        <v>82752</v>
      </c>
      <c r="C19516" s="0" t="n">
        <v>82772</v>
      </c>
      <c r="D19516" s="0" t="s">
        <v>64853</v>
      </c>
      <c r="E19516" s="0" t="s">
        <v>75</v>
      </c>
      <c r="F19516" s="0" t="s">
        <v>15</v>
      </c>
      <c r="G19516" s="0" t="s">
        <v>20</v>
      </c>
      <c r="H19516" s="0" t="n">
        <v>68</v>
      </c>
      <c r="I19516" s="0" t="s">
        <v>64857</v>
      </c>
      <c r="J19516" s="0" t="s">
        <v>64858</v>
      </c>
      <c r="K19516" s="0" t="s">
        <v>64859</v>
      </c>
      <c r="L19516" s="0" t="str">
        <f aca="false">HYPERLINK("https://www.ncbi.nlm.nih.gov/nuccore/CP000059.1?report=graph&amp;tracks=[key:gene_model_track,Options:GeneOnly]&amp;mk=82713:82732|offset_28|444444,82753:82772|offset_68|00cc00,82800:82819|offset_115|444444,82833:82852|offset_148|444444&amp;v=82512:83052&amp;c=444444", "offset 68")</f>
        <v>offset 68</v>
      </c>
    </row>
    <row r="19517" customFormat="false" ht="12.8" hidden="false" customHeight="false" outlineLevel="0" collapsed="false">
      <c r="A19517" s="0" t="s">
        <v>64160</v>
      </c>
      <c r="B19517" s="0" t="n">
        <v>82799</v>
      </c>
      <c r="C19517" s="0" t="n">
        <v>82819</v>
      </c>
      <c r="D19517" s="0" t="s">
        <v>64853</v>
      </c>
      <c r="E19517" s="0" t="s">
        <v>75</v>
      </c>
      <c r="F19517" s="0" t="s">
        <v>15</v>
      </c>
      <c r="G19517" s="0" t="s">
        <v>36</v>
      </c>
      <c r="H19517" s="0" t="n">
        <v>115</v>
      </c>
      <c r="I19517" s="0" t="s">
        <v>64860</v>
      </c>
      <c r="J19517" s="0" t="s">
        <v>64861</v>
      </c>
      <c r="K19517" s="0" t="s">
        <v>64862</v>
      </c>
      <c r="L19517" s="0" t="str">
        <f aca="false">HYPERLINK("https://www.ncbi.nlm.nih.gov/nuccore/CP000059.1?report=graph&amp;tracks=[key:gene_model_track,Options:GeneOnly]&amp;mk=82713:82732|offset_28|444444,82753:82772|offset_68|444444,82800:82819|offset_115|00cc00,82833:82852|offset_148|444444&amp;v=82512:83052&amp;c=444444", "offset 115")</f>
        <v>offset 115</v>
      </c>
    </row>
    <row r="19518" customFormat="false" ht="12.8" hidden="false" customHeight="false" outlineLevel="0" collapsed="false">
      <c r="A19518" s="0" t="s">
        <v>64160</v>
      </c>
      <c r="B19518" s="0" t="n">
        <v>82832</v>
      </c>
      <c r="C19518" s="0" t="n">
        <v>82852</v>
      </c>
      <c r="D19518" s="0" t="s">
        <v>64853</v>
      </c>
      <c r="E19518" s="0" t="s">
        <v>75</v>
      </c>
      <c r="F19518" s="0" t="s">
        <v>15</v>
      </c>
      <c r="G19518" s="0" t="s">
        <v>32</v>
      </c>
      <c r="H19518" s="0" t="n">
        <v>148</v>
      </c>
      <c r="I19518" s="0" t="s">
        <v>64863</v>
      </c>
      <c r="J19518" s="0" t="s">
        <v>64864</v>
      </c>
      <c r="K19518" s="0" t="s">
        <v>64865</v>
      </c>
      <c r="L19518" s="0" t="str">
        <f aca="false">HYPERLINK("https://www.ncbi.nlm.nih.gov/nuccore/CP000059.1?report=graph&amp;tracks=[key:gene_model_track,Options:GeneOnly]&amp;mk=82713:82732|offset_28|444444,82753:82772|offset_68|444444,82800:82819|offset_115|444444,82833:82852|offset_148|00cc00&amp;v=82512:83052&amp;c=444444", "offset 148")</f>
        <v>offset 148</v>
      </c>
    </row>
    <row r="19519" customFormat="false" ht="12.8" hidden="false" customHeight="false" outlineLevel="0" collapsed="false">
      <c r="A19519" s="0" t="s">
        <v>64160</v>
      </c>
      <c r="B19519" s="0" t="n">
        <v>88237</v>
      </c>
      <c r="C19519" s="0" t="n">
        <v>88257</v>
      </c>
      <c r="D19519" s="0" t="s">
        <v>64866</v>
      </c>
      <c r="E19519" s="0" t="s">
        <v>75</v>
      </c>
      <c r="F19519" s="0" t="s">
        <v>15</v>
      </c>
      <c r="G19519" s="0" t="s">
        <v>16</v>
      </c>
      <c r="H19519" s="0" t="n">
        <v>124</v>
      </c>
      <c r="I19519" s="0" t="s">
        <v>64867</v>
      </c>
      <c r="J19519" s="0" t="s">
        <v>64868</v>
      </c>
      <c r="K19519" s="0" t="s">
        <v>64869</v>
      </c>
      <c r="L19519" s="0" t="str">
        <f aca="false">HYPERLINK("https://www.ncbi.nlm.nih.gov/nuccore/CP000059.1?report=graph&amp;tracks=[key:gene_model_track,Options:GeneOnly]&amp;mk=88238:88257|offset_124|00cc00&amp;v=88037:88457&amp;c=444444", "offset 124")</f>
        <v>offset 124</v>
      </c>
    </row>
    <row r="19520" customFormat="false" ht="12.8" hidden="false" customHeight="false" outlineLevel="0" collapsed="false">
      <c r="A19520" s="0" t="s">
        <v>64160</v>
      </c>
      <c r="B19520" s="0" t="n">
        <v>89303</v>
      </c>
      <c r="C19520" s="0" t="n">
        <v>89323</v>
      </c>
      <c r="D19520" s="0" t="s">
        <v>64870</v>
      </c>
      <c r="E19520" s="0" t="s">
        <v>75</v>
      </c>
      <c r="F19520" s="0" t="s">
        <v>15</v>
      </c>
      <c r="G19520" s="0" t="s">
        <v>20</v>
      </c>
      <c r="H19520" s="0" t="n">
        <v>50</v>
      </c>
      <c r="I19520" s="0" t="s">
        <v>64871</v>
      </c>
      <c r="J19520" s="0" t="s">
        <v>64872</v>
      </c>
      <c r="K19520" s="0" t="s">
        <v>64873</v>
      </c>
      <c r="L19520" s="0" t="str">
        <f aca="false">HYPERLINK("https://www.ncbi.nlm.nih.gov/nuccore/CP000059.1?report=graph&amp;tracks=[key:gene_model_track,Options:GeneOnly]&amp;mk=89304:89323|offset_50|00cc00,89328:89347|offset_74|444444,89378:89397|offset_124|444444,89398:89417|offset_144|444444&amp;v=89103:89617&amp;c=444444", "offset 50")</f>
        <v>offset 50</v>
      </c>
    </row>
    <row r="19521" customFormat="false" ht="12.8" hidden="false" customHeight="false" outlineLevel="0" collapsed="false">
      <c r="A19521" s="0" t="s">
        <v>64160</v>
      </c>
      <c r="B19521" s="0" t="n">
        <v>89327</v>
      </c>
      <c r="C19521" s="0" t="n">
        <v>89347</v>
      </c>
      <c r="D19521" s="0" t="s">
        <v>64870</v>
      </c>
      <c r="E19521" s="0" t="s">
        <v>75</v>
      </c>
      <c r="F19521" s="0" t="s">
        <v>15</v>
      </c>
      <c r="G19521" s="0" t="s">
        <v>20</v>
      </c>
      <c r="H19521" s="0" t="n">
        <v>74</v>
      </c>
      <c r="I19521" s="0" t="s">
        <v>64874</v>
      </c>
      <c r="J19521" s="0" t="s">
        <v>64875</v>
      </c>
      <c r="K19521" s="0" t="s">
        <v>64876</v>
      </c>
      <c r="L19521" s="0" t="str">
        <f aca="false">HYPERLINK("https://www.ncbi.nlm.nih.gov/nuccore/CP000059.1?report=graph&amp;tracks=[key:gene_model_track,Options:GeneOnly]&amp;mk=89304:89323|offset_50|444444,89328:89347|offset_74|00cc00,89378:89397|offset_124|444444,89398:89417|offset_144|444444&amp;v=89103:89617&amp;c=444444", "offset 74")</f>
        <v>offset 74</v>
      </c>
    </row>
    <row r="19522" customFormat="false" ht="12.8" hidden="false" customHeight="false" outlineLevel="0" collapsed="false">
      <c r="A19522" s="0" t="s">
        <v>64160</v>
      </c>
      <c r="B19522" s="0" t="n">
        <v>89377</v>
      </c>
      <c r="C19522" s="0" t="n">
        <v>89397</v>
      </c>
      <c r="D19522" s="0" t="s">
        <v>64870</v>
      </c>
      <c r="E19522" s="0" t="s">
        <v>75</v>
      </c>
      <c r="F19522" s="0" t="s">
        <v>15</v>
      </c>
      <c r="G19522" s="0" t="s">
        <v>16</v>
      </c>
      <c r="H19522" s="0" t="n">
        <v>124</v>
      </c>
      <c r="I19522" s="0" t="s">
        <v>64877</v>
      </c>
      <c r="J19522" s="0" t="s">
        <v>64878</v>
      </c>
      <c r="K19522" s="0" t="s">
        <v>64879</v>
      </c>
      <c r="L19522" s="0" t="str">
        <f aca="false">HYPERLINK("https://www.ncbi.nlm.nih.gov/nuccore/CP000059.1?report=graph&amp;tracks=[key:gene_model_track,Options:GeneOnly]&amp;mk=89304:89323|offset_50|444444,89328:89347|offset_74|444444,89378:89397|offset_124|00cc00,89398:89417|offset_144|444444&amp;v=89103:89617&amp;c=444444", "offset 124")</f>
        <v>offset 124</v>
      </c>
    </row>
    <row r="19523" customFormat="false" ht="12.8" hidden="false" customHeight="false" outlineLevel="0" collapsed="false">
      <c r="A19523" s="0" t="s">
        <v>64160</v>
      </c>
      <c r="B19523" s="0" t="n">
        <v>89397</v>
      </c>
      <c r="C19523" s="0" t="n">
        <v>89417</v>
      </c>
      <c r="D19523" s="0" t="s">
        <v>64870</v>
      </c>
      <c r="E19523" s="0" t="s">
        <v>75</v>
      </c>
      <c r="F19523" s="0" t="s">
        <v>15</v>
      </c>
      <c r="G19523" s="0" t="s">
        <v>32</v>
      </c>
      <c r="H19523" s="0" t="n">
        <v>144</v>
      </c>
      <c r="I19523" s="0" t="s">
        <v>64880</v>
      </c>
      <c r="J19523" s="0" t="s">
        <v>64881</v>
      </c>
      <c r="K19523" s="0" t="s">
        <v>64882</v>
      </c>
      <c r="L19523" s="0" t="str">
        <f aca="false">HYPERLINK("https://www.ncbi.nlm.nih.gov/nuccore/CP000059.1?report=graph&amp;tracks=[key:gene_model_track,Options:GeneOnly]&amp;mk=89304:89323|offset_50|444444,89328:89347|offset_74|444444,89378:89397|offset_124|444444,89398:89417|offset_144|00cc00&amp;v=89103:89617&amp;c=444444", "offset 144")</f>
        <v>offset 144</v>
      </c>
    </row>
    <row r="19524" customFormat="false" ht="12.8" hidden="false" customHeight="false" outlineLevel="0" collapsed="false">
      <c r="A19524" s="0" t="s">
        <v>64160</v>
      </c>
      <c r="B19524" s="0" t="n">
        <v>89947</v>
      </c>
      <c r="C19524" s="0" t="n">
        <v>89967</v>
      </c>
      <c r="D19524" s="0" t="s">
        <v>64883</v>
      </c>
      <c r="E19524" s="0" t="s">
        <v>75</v>
      </c>
      <c r="F19524" s="0" t="s">
        <v>15</v>
      </c>
      <c r="G19524" s="0" t="s">
        <v>32</v>
      </c>
      <c r="H19524" s="0" t="n">
        <v>13</v>
      </c>
      <c r="I19524" s="0" t="s">
        <v>64884</v>
      </c>
      <c r="J19524" s="0" t="s">
        <v>64885</v>
      </c>
      <c r="K19524" s="0" t="s">
        <v>64886</v>
      </c>
      <c r="L19524" s="0" t="str">
        <f aca="false">HYPERLINK("https://www.ncbi.nlm.nih.gov/nuccore/CP000059.1?report=graph&amp;tracks=[key:gene_model_track,Options:GeneOnly]&amp;mk=89948:89967|offset_13|00cc00,89999:90018|offset_64|444444,90033:90052|offset_98|444444,90080:90099|offset_145|444444&amp;v=89747:90299&amp;c=444444", "offset 13")</f>
        <v>offset 13</v>
      </c>
    </row>
    <row r="19525" customFormat="false" ht="12.8" hidden="false" customHeight="false" outlineLevel="0" collapsed="false">
      <c r="A19525" s="0" t="s">
        <v>64160</v>
      </c>
      <c r="B19525" s="0" t="n">
        <v>89998</v>
      </c>
      <c r="C19525" s="0" t="n">
        <v>90018</v>
      </c>
      <c r="D19525" s="0" t="s">
        <v>64883</v>
      </c>
      <c r="E19525" s="0" t="s">
        <v>75</v>
      </c>
      <c r="F19525" s="0" t="s">
        <v>15</v>
      </c>
      <c r="G19525" s="0" t="s">
        <v>16</v>
      </c>
      <c r="H19525" s="0" t="n">
        <v>64</v>
      </c>
      <c r="I19525" s="0" t="s">
        <v>64887</v>
      </c>
      <c r="J19525" s="0" t="s">
        <v>64888</v>
      </c>
      <c r="K19525" s="0" t="s">
        <v>64889</v>
      </c>
      <c r="L19525" s="0" t="str">
        <f aca="false">HYPERLINK("https://www.ncbi.nlm.nih.gov/nuccore/CP000059.1?report=graph&amp;tracks=[key:gene_model_track,Options:GeneOnly]&amp;mk=89948:89967|offset_13|444444,89999:90018|offset_64|00cc00,90033:90052|offset_98|444444,90080:90099|offset_145|444444&amp;v=89747:90299&amp;c=444444", "offset 64")</f>
        <v>offset 64</v>
      </c>
    </row>
    <row r="19526" customFormat="false" ht="12.8" hidden="false" customHeight="false" outlineLevel="0" collapsed="false">
      <c r="A19526" s="0" t="s">
        <v>64160</v>
      </c>
      <c r="B19526" s="0" t="n">
        <v>90032</v>
      </c>
      <c r="C19526" s="0" t="n">
        <v>90052</v>
      </c>
      <c r="D19526" s="0" t="s">
        <v>64883</v>
      </c>
      <c r="E19526" s="0" t="s">
        <v>75</v>
      </c>
      <c r="F19526" s="0" t="s">
        <v>15</v>
      </c>
      <c r="G19526" s="0" t="s">
        <v>20</v>
      </c>
      <c r="H19526" s="0" t="n">
        <v>98</v>
      </c>
      <c r="I19526" s="0" t="s">
        <v>64890</v>
      </c>
      <c r="J19526" s="0" t="s">
        <v>64891</v>
      </c>
      <c r="K19526" s="0" t="s">
        <v>64892</v>
      </c>
      <c r="L19526" s="0" t="str">
        <f aca="false">HYPERLINK("https://www.ncbi.nlm.nih.gov/nuccore/CP000059.1?report=graph&amp;tracks=[key:gene_model_track,Options:GeneOnly]&amp;mk=89948:89967|offset_13|444444,89999:90018|offset_64|444444,90033:90052|offset_98|00cc00,90080:90099|offset_145|444444&amp;v=89747:90299&amp;c=444444", "offset 98")</f>
        <v>offset 98</v>
      </c>
    </row>
    <row r="19527" customFormat="false" ht="12.8" hidden="false" customHeight="false" outlineLevel="0" collapsed="false">
      <c r="A19527" s="0" t="s">
        <v>64160</v>
      </c>
      <c r="B19527" s="0" t="n">
        <v>90079</v>
      </c>
      <c r="C19527" s="0" t="n">
        <v>90099</v>
      </c>
      <c r="D19527" s="0" t="s">
        <v>64883</v>
      </c>
      <c r="E19527" s="0" t="s">
        <v>75</v>
      </c>
      <c r="F19527" s="0" t="s">
        <v>15</v>
      </c>
      <c r="G19527" s="0" t="s">
        <v>16</v>
      </c>
      <c r="H19527" s="0" t="n">
        <v>145</v>
      </c>
      <c r="I19527" s="0" t="s">
        <v>64893</v>
      </c>
      <c r="J19527" s="0" t="s">
        <v>64894</v>
      </c>
      <c r="K19527" s="0" t="s">
        <v>64895</v>
      </c>
      <c r="L19527" s="0" t="str">
        <f aca="false">HYPERLINK("https://www.ncbi.nlm.nih.gov/nuccore/CP000059.1?report=graph&amp;tracks=[key:gene_model_track,Options:GeneOnly]&amp;mk=89948:89967|offset_13|444444,89999:90018|offset_64|444444,90033:90052|offset_98|444444,90080:90099|offset_145|00cc00&amp;v=89747:90299&amp;c=444444", "offset 145")</f>
        <v>offset 145</v>
      </c>
    </row>
    <row r="19528" customFormat="false" ht="12.8" hidden="false" customHeight="false" outlineLevel="0" collapsed="false">
      <c r="A19528" s="0" t="s">
        <v>64160</v>
      </c>
      <c r="B19528" s="0" t="n">
        <v>90242</v>
      </c>
      <c r="C19528" s="0" t="n">
        <v>90262</v>
      </c>
      <c r="D19528" s="0" t="s">
        <v>64896</v>
      </c>
      <c r="E19528" s="0" t="s">
        <v>75</v>
      </c>
      <c r="F19528" s="0" t="s">
        <v>15</v>
      </c>
      <c r="G19528" s="0" t="s">
        <v>36</v>
      </c>
      <c r="H19528" s="0" t="n">
        <v>21</v>
      </c>
      <c r="I19528" s="0" t="s">
        <v>64897</v>
      </c>
      <c r="J19528" s="0" t="s">
        <v>64898</v>
      </c>
      <c r="K19528" s="0" t="s">
        <v>64899</v>
      </c>
      <c r="L19528" s="0" t="str">
        <f aca="false">HYPERLINK("https://www.ncbi.nlm.nih.gov/nuccore/CP000059.1?report=graph&amp;tracks=[key:gene_model_track,Options:GeneOnly]&amp;mk=90243:90262|offset_21|00cc00,90289:90308|offset_67|444444,90313:90332|offset_91|444444,90344:90363|offset_122|444444&amp;v=90042:90563&amp;c=444444", "offset 21")</f>
        <v>offset 21</v>
      </c>
    </row>
    <row r="19529" customFormat="false" ht="12.8" hidden="false" customHeight="false" outlineLevel="0" collapsed="false">
      <c r="A19529" s="0" t="s">
        <v>64160</v>
      </c>
      <c r="B19529" s="0" t="n">
        <v>90288</v>
      </c>
      <c r="C19529" s="0" t="n">
        <v>90308</v>
      </c>
      <c r="D19529" s="0" t="s">
        <v>64896</v>
      </c>
      <c r="E19529" s="0" t="s">
        <v>75</v>
      </c>
      <c r="F19529" s="0" t="s">
        <v>15</v>
      </c>
      <c r="G19529" s="0" t="s">
        <v>16</v>
      </c>
      <c r="H19529" s="0" t="n">
        <v>67</v>
      </c>
      <c r="I19529" s="0" t="s">
        <v>64900</v>
      </c>
      <c r="J19529" s="0" t="s">
        <v>64901</v>
      </c>
      <c r="K19529" s="0" t="s">
        <v>64902</v>
      </c>
      <c r="L19529" s="0" t="str">
        <f aca="false">HYPERLINK("https://www.ncbi.nlm.nih.gov/nuccore/CP000059.1?report=graph&amp;tracks=[key:gene_model_track,Options:GeneOnly]&amp;mk=90243:90262|offset_21|444444,90289:90308|offset_67|00cc00,90313:90332|offset_91|444444,90344:90363|offset_122|444444&amp;v=90042:90563&amp;c=444444", "offset 67")</f>
        <v>offset 67</v>
      </c>
    </row>
    <row r="19530" customFormat="false" ht="12.8" hidden="false" customHeight="false" outlineLevel="0" collapsed="false">
      <c r="A19530" s="0" t="s">
        <v>64160</v>
      </c>
      <c r="B19530" s="0" t="n">
        <v>90312</v>
      </c>
      <c r="C19530" s="0" t="n">
        <v>90332</v>
      </c>
      <c r="D19530" s="0" t="s">
        <v>64896</v>
      </c>
      <c r="E19530" s="0" t="s">
        <v>75</v>
      </c>
      <c r="F19530" s="0" t="s">
        <v>15</v>
      </c>
      <c r="G19530" s="0" t="s">
        <v>36</v>
      </c>
      <c r="H19530" s="0" t="n">
        <v>91</v>
      </c>
      <c r="I19530" s="0" t="s">
        <v>64903</v>
      </c>
      <c r="J19530" s="0" t="s">
        <v>64904</v>
      </c>
      <c r="K19530" s="0" t="s">
        <v>64905</v>
      </c>
      <c r="L19530" s="0" t="str">
        <f aca="false">HYPERLINK("https://www.ncbi.nlm.nih.gov/nuccore/CP000059.1?report=graph&amp;tracks=[key:gene_model_track,Options:GeneOnly]&amp;mk=90243:90262|offset_21|444444,90289:90308|offset_67|444444,90313:90332|offset_91|00cc00,90344:90363|offset_122|444444&amp;v=90042:90563&amp;c=444444", "offset 91")</f>
        <v>offset 91</v>
      </c>
    </row>
    <row r="19531" customFormat="false" ht="12.8" hidden="false" customHeight="false" outlineLevel="0" collapsed="false">
      <c r="A19531" s="0" t="s">
        <v>64160</v>
      </c>
      <c r="B19531" s="0" t="n">
        <v>90343</v>
      </c>
      <c r="C19531" s="0" t="n">
        <v>90363</v>
      </c>
      <c r="D19531" s="0" t="s">
        <v>64896</v>
      </c>
      <c r="E19531" s="0" t="s">
        <v>75</v>
      </c>
      <c r="F19531" s="0" t="s">
        <v>15</v>
      </c>
      <c r="G19531" s="0" t="s">
        <v>16</v>
      </c>
      <c r="H19531" s="0" t="n">
        <v>122</v>
      </c>
      <c r="I19531" s="0" t="s">
        <v>64906</v>
      </c>
      <c r="J19531" s="0" t="s">
        <v>64907</v>
      </c>
      <c r="K19531" s="0" t="s">
        <v>64908</v>
      </c>
      <c r="L19531" s="0" t="str">
        <f aca="false">HYPERLINK("https://www.ncbi.nlm.nih.gov/nuccore/CP000059.1?report=graph&amp;tracks=[key:gene_model_track,Options:GeneOnly]&amp;mk=90243:90262|offset_21|444444,90289:90308|offset_67|444444,90313:90332|offset_91|444444,90344:90363|offset_122|00cc00&amp;v=90042:90563&amp;c=444444", "offset 122")</f>
        <v>offset 122</v>
      </c>
    </row>
    <row r="19532" customFormat="false" ht="12.8" hidden="false" customHeight="false" outlineLevel="0" collapsed="false">
      <c r="A19532" s="0" t="s">
        <v>64160</v>
      </c>
      <c r="B19532" s="0" t="n">
        <v>90865</v>
      </c>
      <c r="C19532" s="0" t="n">
        <v>90885</v>
      </c>
      <c r="D19532" s="0" t="s">
        <v>64909</v>
      </c>
      <c r="E19532" s="0" t="s">
        <v>75</v>
      </c>
      <c r="F19532" s="0" t="s">
        <v>90</v>
      </c>
      <c r="G19532" s="0" t="s">
        <v>16</v>
      </c>
      <c r="H19532" s="0" t="n">
        <v>40</v>
      </c>
      <c r="I19532" s="0" t="s">
        <v>64910</v>
      </c>
      <c r="J19532" s="0" t="s">
        <v>64911</v>
      </c>
      <c r="K19532" s="0" t="s">
        <v>64912</v>
      </c>
      <c r="L19532" s="0" t="str">
        <f aca="false">HYPERLINK("https://www.ncbi.nlm.nih.gov/nuccore/CP000059.1?report=graph&amp;tracks=[key:gene_model_track,Options:GeneOnly]&amp;mk=90866:90885|offset_40|00cc00,90844:90863|offset_62|444444,90822:90841|offset_84|444444,90801:90820|offset_105|444444&amp;v=90665:91020&amp;c=444444", "offset 40")</f>
        <v>offset 40</v>
      </c>
    </row>
    <row r="19533" customFormat="false" ht="12.8" hidden="false" customHeight="false" outlineLevel="0" collapsed="false">
      <c r="A19533" s="0" t="s">
        <v>64160</v>
      </c>
      <c r="B19533" s="0" t="n">
        <v>90843</v>
      </c>
      <c r="C19533" s="0" t="n">
        <v>90863</v>
      </c>
      <c r="D19533" s="0" t="s">
        <v>64909</v>
      </c>
      <c r="E19533" s="0" t="s">
        <v>75</v>
      </c>
      <c r="F19533" s="0" t="s">
        <v>90</v>
      </c>
      <c r="G19533" s="0" t="s">
        <v>20</v>
      </c>
      <c r="H19533" s="0" t="n">
        <v>62</v>
      </c>
      <c r="I19533" s="0" t="s">
        <v>64913</v>
      </c>
      <c r="J19533" s="0" t="s">
        <v>64914</v>
      </c>
      <c r="K19533" s="0" t="s">
        <v>64915</v>
      </c>
      <c r="L19533" s="0" t="str">
        <f aca="false">HYPERLINK("https://www.ncbi.nlm.nih.gov/nuccore/CP000059.1?report=graph&amp;tracks=[key:gene_model_track,Options:GeneOnly]&amp;mk=90866:90885|offset_40|444444,90844:90863|offset_62|00cc00,90822:90841|offset_84|444444,90801:90820|offset_105|444444&amp;v=90665:91020&amp;c=444444", "offset 62")</f>
        <v>offset 62</v>
      </c>
    </row>
    <row r="19534" customFormat="false" ht="12.8" hidden="false" customHeight="false" outlineLevel="0" collapsed="false">
      <c r="A19534" s="0" t="s">
        <v>64160</v>
      </c>
      <c r="B19534" s="0" t="n">
        <v>90821</v>
      </c>
      <c r="C19534" s="0" t="n">
        <v>90841</v>
      </c>
      <c r="D19534" s="0" t="s">
        <v>64909</v>
      </c>
      <c r="E19534" s="0" t="s">
        <v>75</v>
      </c>
      <c r="F19534" s="0" t="s">
        <v>90</v>
      </c>
      <c r="G19534" s="0" t="s">
        <v>16</v>
      </c>
      <c r="H19534" s="0" t="n">
        <v>84</v>
      </c>
      <c r="I19534" s="0" t="s">
        <v>64916</v>
      </c>
      <c r="J19534" s="0" t="s">
        <v>64917</v>
      </c>
      <c r="K19534" s="0" t="s">
        <v>64918</v>
      </c>
      <c r="L19534" s="0" t="str">
        <f aca="false">HYPERLINK("https://www.ncbi.nlm.nih.gov/nuccore/CP000059.1?report=graph&amp;tracks=[key:gene_model_track,Options:GeneOnly]&amp;mk=90866:90885|offset_40|444444,90844:90863|offset_62|444444,90822:90841|offset_84|00cc00,90801:90820|offset_105|444444&amp;v=90665:91020&amp;c=444444", "offset 84")</f>
        <v>offset 84</v>
      </c>
    </row>
    <row r="19535" customFormat="false" ht="12.8" hidden="false" customHeight="false" outlineLevel="0" collapsed="false">
      <c r="A19535" s="0" t="s">
        <v>64160</v>
      </c>
      <c r="B19535" s="0" t="n">
        <v>90800</v>
      </c>
      <c r="C19535" s="0" t="n">
        <v>90820</v>
      </c>
      <c r="D19535" s="0" t="s">
        <v>64909</v>
      </c>
      <c r="E19535" s="0" t="s">
        <v>75</v>
      </c>
      <c r="F19535" s="0" t="s">
        <v>90</v>
      </c>
      <c r="G19535" s="0" t="s">
        <v>20</v>
      </c>
      <c r="H19535" s="0" t="n">
        <v>105</v>
      </c>
      <c r="I19535" s="0" t="s">
        <v>64919</v>
      </c>
      <c r="J19535" s="0" t="s">
        <v>64920</v>
      </c>
      <c r="K19535" s="0" t="s">
        <v>64921</v>
      </c>
      <c r="L19535" s="0" t="str">
        <f aca="false">HYPERLINK("https://www.ncbi.nlm.nih.gov/nuccore/CP000059.1?report=graph&amp;tracks=[key:gene_model_track,Options:GeneOnly]&amp;mk=90866:90885|offset_40|444444,90844:90863|offset_62|444444,90822:90841|offset_84|444444,90801:90820|offset_105|00cc00&amp;v=90665:91020&amp;c=444444", "offset 105")</f>
        <v>offset 105</v>
      </c>
    </row>
    <row r="19536" customFormat="false" ht="12.8" hidden="false" customHeight="false" outlineLevel="0" collapsed="false">
      <c r="A19536" s="0" t="s">
        <v>64160</v>
      </c>
      <c r="B19536" s="0" t="n">
        <v>91043</v>
      </c>
      <c r="C19536" s="0" t="n">
        <v>91063</v>
      </c>
      <c r="D19536" s="0" t="s">
        <v>64922</v>
      </c>
      <c r="E19536" s="0" t="s">
        <v>75</v>
      </c>
      <c r="F19536" s="0" t="s">
        <v>90</v>
      </c>
      <c r="G19536" s="0" t="s">
        <v>32</v>
      </c>
      <c r="H19536" s="0" t="n">
        <v>62</v>
      </c>
      <c r="I19536" s="0" t="s">
        <v>64923</v>
      </c>
      <c r="J19536" s="0" t="s">
        <v>64924</v>
      </c>
      <c r="K19536" s="0" t="s">
        <v>64925</v>
      </c>
      <c r="L19536" s="0" t="str">
        <f aca="false">HYPERLINK("https://www.ncbi.nlm.nih.gov/nuccore/CP000059.1?report=graph&amp;tracks=[key:gene_model_track,Options:GeneOnly]&amp;mk=91044:91063|offset_62|00cc00,91002:91021|offset_104|444444,90973:90992|offset_133|444444,90932:90951|offset_174|444444&amp;v=90843:91151&amp;c=444444", "offset 62")</f>
        <v>offset 62</v>
      </c>
    </row>
    <row r="19537" customFormat="false" ht="12.8" hidden="false" customHeight="false" outlineLevel="0" collapsed="false">
      <c r="A19537" s="0" t="s">
        <v>64160</v>
      </c>
      <c r="B19537" s="0" t="n">
        <v>91001</v>
      </c>
      <c r="C19537" s="0" t="n">
        <v>91021</v>
      </c>
      <c r="D19537" s="0" t="s">
        <v>64922</v>
      </c>
      <c r="E19537" s="0" t="s">
        <v>75</v>
      </c>
      <c r="F19537" s="0" t="s">
        <v>90</v>
      </c>
      <c r="G19537" s="0" t="s">
        <v>32</v>
      </c>
      <c r="H19537" s="0" t="n">
        <v>104</v>
      </c>
      <c r="I19537" s="0" t="s">
        <v>64926</v>
      </c>
      <c r="J19537" s="0" t="s">
        <v>64927</v>
      </c>
      <c r="K19537" s="0" t="s">
        <v>64928</v>
      </c>
      <c r="L19537" s="0" t="str">
        <f aca="false">HYPERLINK("https://www.ncbi.nlm.nih.gov/nuccore/CP000059.1?report=graph&amp;tracks=[key:gene_model_track,Options:GeneOnly]&amp;mk=91044:91063|offset_62|444444,91002:91021|offset_104|00cc00,90973:90992|offset_133|444444,90932:90951|offset_174|444444&amp;v=90843:91151&amp;c=444444", "offset 104")</f>
        <v>offset 104</v>
      </c>
    </row>
    <row r="19538" customFormat="false" ht="12.8" hidden="false" customHeight="false" outlineLevel="0" collapsed="false">
      <c r="A19538" s="0" t="s">
        <v>64160</v>
      </c>
      <c r="B19538" s="0" t="n">
        <v>90972</v>
      </c>
      <c r="C19538" s="0" t="n">
        <v>90992</v>
      </c>
      <c r="D19538" s="0" t="s">
        <v>64922</v>
      </c>
      <c r="E19538" s="0" t="s">
        <v>75</v>
      </c>
      <c r="F19538" s="0" t="s">
        <v>90</v>
      </c>
      <c r="G19538" s="0" t="s">
        <v>36</v>
      </c>
      <c r="H19538" s="0" t="n">
        <v>133</v>
      </c>
      <c r="I19538" s="0" t="s">
        <v>64929</v>
      </c>
      <c r="J19538" s="0" t="s">
        <v>64930</v>
      </c>
      <c r="K19538" s="0" t="s">
        <v>64931</v>
      </c>
      <c r="L19538" s="0" t="str">
        <f aca="false">HYPERLINK("https://www.ncbi.nlm.nih.gov/nuccore/CP000059.1?report=graph&amp;tracks=[key:gene_model_track,Options:GeneOnly]&amp;mk=91044:91063|offset_62|444444,91002:91021|offset_104|444444,90973:90992|offset_133|00cc00,90932:90951|offset_174|444444&amp;v=90843:91151&amp;c=444444", "offset 133")</f>
        <v>offset 133</v>
      </c>
    </row>
    <row r="19539" customFormat="false" ht="12.8" hidden="false" customHeight="false" outlineLevel="0" collapsed="false">
      <c r="A19539" s="0" t="s">
        <v>64160</v>
      </c>
      <c r="B19539" s="0" t="n">
        <v>90931</v>
      </c>
      <c r="C19539" s="0" t="n">
        <v>90951</v>
      </c>
      <c r="D19539" s="0" t="s">
        <v>64922</v>
      </c>
      <c r="E19539" s="0" t="s">
        <v>75</v>
      </c>
      <c r="F19539" s="0" t="s">
        <v>90</v>
      </c>
      <c r="G19539" s="0" t="s">
        <v>20</v>
      </c>
      <c r="H19539" s="0" t="n">
        <v>174</v>
      </c>
      <c r="I19539" s="0" t="s">
        <v>64932</v>
      </c>
      <c r="J19539" s="0" t="s">
        <v>64933</v>
      </c>
      <c r="K19539" s="0" t="s">
        <v>64934</v>
      </c>
      <c r="L19539" s="0" t="str">
        <f aca="false">HYPERLINK("https://www.ncbi.nlm.nih.gov/nuccore/CP000059.1?report=graph&amp;tracks=[key:gene_model_track,Options:GeneOnly]&amp;mk=91044:91063|offset_62|444444,91002:91021|offset_104|444444,90973:90992|offset_133|444444,90932:90951|offset_174|00cc00&amp;v=90843:91151&amp;c=444444", "offset 174")</f>
        <v>offset 174</v>
      </c>
    </row>
    <row r="19540" customFormat="false" ht="12.8" hidden="false" customHeight="false" outlineLevel="0" collapsed="false">
      <c r="A19540" s="0" t="s">
        <v>64160</v>
      </c>
      <c r="B19540" s="0" t="n">
        <v>91879</v>
      </c>
      <c r="C19540" s="0" t="n">
        <v>91899</v>
      </c>
      <c r="D19540" s="0" t="s">
        <v>64935</v>
      </c>
      <c r="E19540" s="0" t="s">
        <v>75</v>
      </c>
      <c r="F19540" s="0" t="s">
        <v>90</v>
      </c>
      <c r="G19540" s="0" t="s">
        <v>36</v>
      </c>
      <c r="H19540" s="0" t="n">
        <v>10</v>
      </c>
      <c r="I19540" s="0" t="s">
        <v>64936</v>
      </c>
      <c r="J19540" s="0" t="s">
        <v>64937</v>
      </c>
      <c r="K19540" s="0" t="s">
        <v>64938</v>
      </c>
      <c r="L19540" s="0" t="str">
        <f aca="false">HYPERLINK("https://www.ncbi.nlm.nih.gov/nuccore/CP000059.1?report=graph&amp;tracks=[key:gene_model_track,Options:GeneOnly]&amp;mk=91880:91899|offset_10|00cc00,91837:91856|offset_53|444444,91814:91833|offset_76|444444,91784:91803|offset_106|444444&amp;v=91679:92003&amp;c=444444", "offset 10")</f>
        <v>offset 10</v>
      </c>
    </row>
    <row r="19541" customFormat="false" ht="12.8" hidden="false" customHeight="false" outlineLevel="0" collapsed="false">
      <c r="A19541" s="0" t="s">
        <v>64160</v>
      </c>
      <c r="B19541" s="0" t="n">
        <v>91836</v>
      </c>
      <c r="C19541" s="0" t="n">
        <v>91856</v>
      </c>
      <c r="D19541" s="0" t="s">
        <v>64935</v>
      </c>
      <c r="E19541" s="0" t="s">
        <v>75</v>
      </c>
      <c r="F19541" s="0" t="s">
        <v>90</v>
      </c>
      <c r="G19541" s="0" t="s">
        <v>36</v>
      </c>
      <c r="H19541" s="0" t="n">
        <v>53</v>
      </c>
      <c r="I19541" s="0" t="s">
        <v>64939</v>
      </c>
      <c r="J19541" s="0" t="s">
        <v>64940</v>
      </c>
      <c r="K19541" s="0" t="s">
        <v>64941</v>
      </c>
      <c r="L19541" s="0" t="str">
        <f aca="false">HYPERLINK("https://www.ncbi.nlm.nih.gov/nuccore/CP000059.1?report=graph&amp;tracks=[key:gene_model_track,Options:GeneOnly]&amp;mk=91880:91899|offset_10|444444,91837:91856|offset_53|00cc00,91814:91833|offset_76|444444,91784:91803|offset_106|444444&amp;v=91679:92003&amp;c=444444", "offset 53")</f>
        <v>offset 53</v>
      </c>
    </row>
    <row r="19542" customFormat="false" ht="12.8" hidden="false" customHeight="false" outlineLevel="0" collapsed="false">
      <c r="A19542" s="0" t="s">
        <v>64160</v>
      </c>
      <c r="B19542" s="0" t="n">
        <v>91813</v>
      </c>
      <c r="C19542" s="0" t="n">
        <v>91833</v>
      </c>
      <c r="D19542" s="0" t="s">
        <v>64935</v>
      </c>
      <c r="E19542" s="0" t="s">
        <v>75</v>
      </c>
      <c r="F19542" s="0" t="s">
        <v>90</v>
      </c>
      <c r="G19542" s="0" t="s">
        <v>16</v>
      </c>
      <c r="H19542" s="0" t="n">
        <v>76</v>
      </c>
      <c r="I19542" s="0" t="s">
        <v>64942</v>
      </c>
      <c r="J19542" s="0" t="s">
        <v>64943</v>
      </c>
      <c r="K19542" s="0" t="s">
        <v>64944</v>
      </c>
      <c r="L19542" s="0" t="str">
        <f aca="false">HYPERLINK("https://www.ncbi.nlm.nih.gov/nuccore/CP000059.1?report=graph&amp;tracks=[key:gene_model_track,Options:GeneOnly]&amp;mk=91880:91899|offset_10|444444,91837:91856|offset_53|444444,91814:91833|offset_76|00cc00,91784:91803|offset_106|444444&amp;v=91679:92003&amp;c=444444", "offset 76")</f>
        <v>offset 76</v>
      </c>
    </row>
    <row r="19543" customFormat="false" ht="12.8" hidden="false" customHeight="false" outlineLevel="0" collapsed="false">
      <c r="A19543" s="0" t="s">
        <v>64160</v>
      </c>
      <c r="B19543" s="0" t="n">
        <v>91783</v>
      </c>
      <c r="C19543" s="0" t="n">
        <v>91803</v>
      </c>
      <c r="D19543" s="0" t="s">
        <v>64935</v>
      </c>
      <c r="E19543" s="0" t="s">
        <v>75</v>
      </c>
      <c r="F19543" s="0" t="s">
        <v>90</v>
      </c>
      <c r="G19543" s="0" t="s">
        <v>16</v>
      </c>
      <c r="H19543" s="0" t="n">
        <v>106</v>
      </c>
      <c r="I19543" s="0" t="s">
        <v>64945</v>
      </c>
      <c r="J19543" s="0" t="s">
        <v>64946</v>
      </c>
      <c r="K19543" s="0" t="s">
        <v>64947</v>
      </c>
      <c r="L19543" s="0" t="str">
        <f aca="false">HYPERLINK("https://www.ncbi.nlm.nih.gov/nuccore/CP000059.1?report=graph&amp;tracks=[key:gene_model_track,Options:GeneOnly]&amp;mk=91880:91899|offset_10|444444,91837:91856|offset_53|444444,91814:91833|offset_76|444444,91784:91803|offset_106|00cc00&amp;v=91679:92003&amp;c=444444", "offset 106")</f>
        <v>offset 106</v>
      </c>
    </row>
    <row r="19544" customFormat="false" ht="12.8" hidden="false" customHeight="false" outlineLevel="0" collapsed="false">
      <c r="A19544" s="0" t="s">
        <v>64160</v>
      </c>
      <c r="B19544" s="0" t="n">
        <v>92488</v>
      </c>
      <c r="C19544" s="0" t="n">
        <v>92508</v>
      </c>
      <c r="D19544" s="0" t="s">
        <v>64948</v>
      </c>
      <c r="E19544" s="0" t="s">
        <v>75</v>
      </c>
      <c r="F19544" s="0" t="s">
        <v>90</v>
      </c>
      <c r="G19544" s="0" t="s">
        <v>16</v>
      </c>
      <c r="H19544" s="0" t="n">
        <v>57</v>
      </c>
      <c r="I19544" s="0" t="s">
        <v>64949</v>
      </c>
      <c r="J19544" s="0" t="s">
        <v>64950</v>
      </c>
      <c r="K19544" s="0" t="s">
        <v>64951</v>
      </c>
      <c r="L19544" s="0" t="str">
        <f aca="false">HYPERLINK("https://www.ncbi.nlm.nih.gov/nuccore/CP000059.1?report=graph&amp;tracks=[key:gene_model_track,Options:GeneOnly]&amp;mk=92489:92508|offset_57|00cc00,92418:92437|offset_128|444444,92379:92398|offset_167|444444,92354:92373|offset_192|444444&amp;v=92288:92573&amp;c=444444", "offset 57")</f>
        <v>offset 57</v>
      </c>
    </row>
    <row r="19545" customFormat="false" ht="12.8" hidden="false" customHeight="false" outlineLevel="0" collapsed="false">
      <c r="A19545" s="0" t="s">
        <v>64160</v>
      </c>
      <c r="B19545" s="0" t="n">
        <v>92417</v>
      </c>
      <c r="C19545" s="0" t="n">
        <v>92437</v>
      </c>
      <c r="D19545" s="0" t="s">
        <v>64948</v>
      </c>
      <c r="E19545" s="0" t="s">
        <v>75</v>
      </c>
      <c r="F19545" s="0" t="s">
        <v>90</v>
      </c>
      <c r="G19545" s="0" t="s">
        <v>36</v>
      </c>
      <c r="H19545" s="0" t="n">
        <v>128</v>
      </c>
      <c r="I19545" s="0" t="s">
        <v>64952</v>
      </c>
      <c r="J19545" s="0" t="s">
        <v>64953</v>
      </c>
      <c r="K19545" s="0" t="s">
        <v>64954</v>
      </c>
      <c r="L19545" s="0" t="str">
        <f aca="false">HYPERLINK("https://www.ncbi.nlm.nih.gov/nuccore/CP000059.1?report=graph&amp;tracks=[key:gene_model_track,Options:GeneOnly]&amp;mk=92489:92508|offset_57|444444,92418:92437|offset_128|00cc00,92379:92398|offset_167|444444,92354:92373|offset_192|444444&amp;v=92288:92573&amp;c=444444", "offset 128")</f>
        <v>offset 128</v>
      </c>
    </row>
    <row r="19546" customFormat="false" ht="12.8" hidden="false" customHeight="false" outlineLevel="0" collapsed="false">
      <c r="A19546" s="0" t="s">
        <v>64160</v>
      </c>
      <c r="B19546" s="0" t="n">
        <v>92378</v>
      </c>
      <c r="C19546" s="0" t="n">
        <v>92398</v>
      </c>
      <c r="D19546" s="0" t="s">
        <v>64948</v>
      </c>
      <c r="E19546" s="0" t="s">
        <v>75</v>
      </c>
      <c r="F19546" s="0" t="s">
        <v>90</v>
      </c>
      <c r="G19546" s="0" t="s">
        <v>32</v>
      </c>
      <c r="H19546" s="0" t="n">
        <v>167</v>
      </c>
      <c r="I19546" s="0" t="s">
        <v>64955</v>
      </c>
      <c r="J19546" s="0" t="s">
        <v>64956</v>
      </c>
      <c r="K19546" s="0" t="s">
        <v>64957</v>
      </c>
      <c r="L19546" s="0" t="str">
        <f aca="false">HYPERLINK("https://www.ncbi.nlm.nih.gov/nuccore/CP000059.1?report=graph&amp;tracks=[key:gene_model_track,Options:GeneOnly]&amp;mk=92489:92508|offset_57|444444,92418:92437|offset_128|444444,92379:92398|offset_167|00cc00,92354:92373|offset_192|444444&amp;v=92288:92573&amp;c=444444", "offset 167")</f>
        <v>offset 167</v>
      </c>
    </row>
    <row r="19547" customFormat="false" ht="12.8" hidden="false" customHeight="false" outlineLevel="0" collapsed="false">
      <c r="A19547" s="0" t="s">
        <v>64160</v>
      </c>
      <c r="B19547" s="0" t="n">
        <v>92353</v>
      </c>
      <c r="C19547" s="0" t="n">
        <v>92373</v>
      </c>
      <c r="D19547" s="0" t="s">
        <v>64948</v>
      </c>
      <c r="E19547" s="0" t="s">
        <v>75</v>
      </c>
      <c r="F19547" s="0" t="s">
        <v>90</v>
      </c>
      <c r="G19547" s="0" t="s">
        <v>32</v>
      </c>
      <c r="H19547" s="0" t="n">
        <v>192</v>
      </c>
      <c r="I19547" s="0" t="s">
        <v>64958</v>
      </c>
      <c r="J19547" s="0" t="s">
        <v>64959</v>
      </c>
      <c r="K19547" s="0" t="s">
        <v>64960</v>
      </c>
      <c r="L19547" s="0" t="str">
        <f aca="false">HYPERLINK("https://www.ncbi.nlm.nih.gov/nuccore/CP000059.1?report=graph&amp;tracks=[key:gene_model_track,Options:GeneOnly]&amp;mk=92489:92508|offset_57|444444,92418:92437|offset_128|444444,92379:92398|offset_167|444444,92354:92373|offset_192|00cc00&amp;v=92288:92573&amp;c=444444", "offset 192")</f>
        <v>offset 192</v>
      </c>
    </row>
    <row r="19548" customFormat="false" ht="12.8" hidden="false" customHeight="false" outlineLevel="0" collapsed="false">
      <c r="A19548" s="0" t="s">
        <v>64160</v>
      </c>
      <c r="B19548" s="0" t="n">
        <v>93817</v>
      </c>
      <c r="C19548" s="0" t="n">
        <v>93837</v>
      </c>
      <c r="D19548" s="0" t="s">
        <v>64961</v>
      </c>
      <c r="E19548" s="0" t="s">
        <v>64962</v>
      </c>
      <c r="F19548" s="0" t="s">
        <v>90</v>
      </c>
      <c r="G19548" s="0" t="s">
        <v>16</v>
      </c>
      <c r="H19548" s="0" t="n">
        <v>24</v>
      </c>
      <c r="I19548" s="0" t="s">
        <v>64963</v>
      </c>
      <c r="J19548" s="0" t="s">
        <v>64964</v>
      </c>
      <c r="K19548" s="0" t="s">
        <v>64965</v>
      </c>
      <c r="L19548" s="0" t="str">
        <f aca="false">HYPERLINK("https://www.ncbi.nlm.nih.gov/nuccore/CP000059.1?report=graph&amp;tracks=[key:gene_model_track,Options:GeneOnly]&amp;mk=93818:93837|offset_24|00cc00,93791:93810|offset_51|444444,93767:93786|offset_75|444444,93678:93697|offset_164|444444&amp;v=93617:93897&amp;c=444444", "offset 24")</f>
        <v>offset 24</v>
      </c>
    </row>
    <row r="19549" customFormat="false" ht="12.8" hidden="false" customHeight="false" outlineLevel="0" collapsed="false">
      <c r="A19549" s="0" t="s">
        <v>64160</v>
      </c>
      <c r="B19549" s="0" t="n">
        <v>93790</v>
      </c>
      <c r="C19549" s="0" t="n">
        <v>93810</v>
      </c>
      <c r="D19549" s="0" t="s">
        <v>64961</v>
      </c>
      <c r="E19549" s="0" t="s">
        <v>64962</v>
      </c>
      <c r="F19549" s="0" t="s">
        <v>90</v>
      </c>
      <c r="G19549" s="0" t="s">
        <v>32</v>
      </c>
      <c r="H19549" s="0" t="n">
        <v>51</v>
      </c>
      <c r="I19549" s="0" t="s">
        <v>64966</v>
      </c>
      <c r="J19549" s="0" t="s">
        <v>64967</v>
      </c>
      <c r="K19549" s="0" t="s">
        <v>64968</v>
      </c>
      <c r="L19549" s="0" t="str">
        <f aca="false">HYPERLINK("https://www.ncbi.nlm.nih.gov/nuccore/CP000059.1?report=graph&amp;tracks=[key:gene_model_track,Options:GeneOnly]&amp;mk=93818:93837|offset_24|444444,93791:93810|offset_51|00cc00,93767:93786|offset_75|444444,93678:93697|offset_164|444444&amp;v=93617:93897&amp;c=444444", "offset 51")</f>
        <v>offset 51</v>
      </c>
    </row>
    <row r="19550" customFormat="false" ht="12.8" hidden="false" customHeight="false" outlineLevel="0" collapsed="false">
      <c r="A19550" s="0" t="s">
        <v>64160</v>
      </c>
      <c r="B19550" s="0" t="n">
        <v>93766</v>
      </c>
      <c r="C19550" s="0" t="n">
        <v>93786</v>
      </c>
      <c r="D19550" s="0" t="s">
        <v>64961</v>
      </c>
      <c r="E19550" s="0" t="s">
        <v>64962</v>
      </c>
      <c r="F19550" s="0" t="s">
        <v>90</v>
      </c>
      <c r="G19550" s="0" t="s">
        <v>16</v>
      </c>
      <c r="H19550" s="0" t="n">
        <v>75</v>
      </c>
      <c r="I19550" s="0" t="s">
        <v>64969</v>
      </c>
      <c r="J19550" s="0" t="s">
        <v>64970</v>
      </c>
      <c r="K19550" s="0" t="s">
        <v>64971</v>
      </c>
      <c r="L19550" s="0" t="str">
        <f aca="false">HYPERLINK("https://www.ncbi.nlm.nih.gov/nuccore/CP000059.1?report=graph&amp;tracks=[key:gene_model_track,Options:GeneOnly]&amp;mk=93818:93837|offset_24|444444,93791:93810|offset_51|444444,93767:93786|offset_75|00cc00,93678:93697|offset_164|444444&amp;v=93617:93897&amp;c=444444", "offset 75")</f>
        <v>offset 75</v>
      </c>
    </row>
    <row r="19551" customFormat="false" ht="12.8" hidden="false" customHeight="false" outlineLevel="0" collapsed="false">
      <c r="A19551" s="0" t="s">
        <v>64160</v>
      </c>
      <c r="B19551" s="0" t="n">
        <v>93677</v>
      </c>
      <c r="C19551" s="0" t="n">
        <v>93697</v>
      </c>
      <c r="D19551" s="0" t="s">
        <v>64961</v>
      </c>
      <c r="E19551" s="0" t="s">
        <v>64962</v>
      </c>
      <c r="F19551" s="0" t="s">
        <v>90</v>
      </c>
      <c r="G19551" s="0" t="s">
        <v>20</v>
      </c>
      <c r="H19551" s="0" t="n">
        <v>164</v>
      </c>
      <c r="I19551" s="0" t="s">
        <v>64972</v>
      </c>
      <c r="J19551" s="0" t="s">
        <v>64973</v>
      </c>
      <c r="K19551" s="0" t="s">
        <v>64974</v>
      </c>
      <c r="L19551" s="0" t="str">
        <f aca="false">HYPERLINK("https://www.ncbi.nlm.nih.gov/nuccore/CP000059.1?report=graph&amp;tracks=[key:gene_model_track,Options:GeneOnly]&amp;mk=93818:93837|offset_24|444444,93791:93810|offset_51|444444,93767:93786|offset_75|444444,93678:93697|offset_164|00cc00&amp;v=93617:93897&amp;c=444444", "offset 164")</f>
        <v>offset 164</v>
      </c>
    </row>
    <row r="19552" customFormat="false" ht="12.8" hidden="false" customHeight="false" outlineLevel="0" collapsed="false">
      <c r="A19552" s="0" t="s">
        <v>64160</v>
      </c>
      <c r="B19552" s="0" t="n">
        <v>94652</v>
      </c>
      <c r="C19552" s="0" t="n">
        <v>94672</v>
      </c>
      <c r="D19552" s="0" t="s">
        <v>64975</v>
      </c>
      <c r="E19552" s="0" t="s">
        <v>75</v>
      </c>
      <c r="F19552" s="0" t="s">
        <v>90</v>
      </c>
      <c r="G19552" s="0" t="s">
        <v>32</v>
      </c>
      <c r="H19552" s="0" t="n">
        <v>9</v>
      </c>
      <c r="I19552" s="0" t="s">
        <v>64976</v>
      </c>
      <c r="J19552" s="0" t="s">
        <v>64977</v>
      </c>
      <c r="K19552" s="0" t="s">
        <v>64978</v>
      </c>
      <c r="L19552" s="0" t="str">
        <f aca="false">HYPERLINK("https://www.ncbi.nlm.nih.gov/nuccore/CP000059.1?report=graph&amp;tracks=[key:gene_model_track,Options:GeneOnly]&amp;mk=94653:94672|offset_9|00cc00,94631:94650|offset_31|444444,94497:94516|offset_165|444444,94452:94471|offset_210|444444&amp;v=94452:94671&amp;c=444444", "offset 9")</f>
        <v>offset 9</v>
      </c>
    </row>
    <row r="19553" customFormat="false" ht="12.8" hidden="false" customHeight="false" outlineLevel="0" collapsed="false">
      <c r="A19553" s="0" t="s">
        <v>64160</v>
      </c>
      <c r="B19553" s="0" t="n">
        <v>94630</v>
      </c>
      <c r="C19553" s="0" t="n">
        <v>94650</v>
      </c>
      <c r="D19553" s="0" t="s">
        <v>64975</v>
      </c>
      <c r="E19553" s="0" t="s">
        <v>75</v>
      </c>
      <c r="F19553" s="0" t="s">
        <v>90</v>
      </c>
      <c r="G19553" s="0" t="s">
        <v>16</v>
      </c>
      <c r="H19553" s="0" t="n">
        <v>31</v>
      </c>
      <c r="I19553" s="0" t="s">
        <v>64979</v>
      </c>
      <c r="J19553" s="0" t="s">
        <v>64980</v>
      </c>
      <c r="K19553" s="0" t="s">
        <v>64981</v>
      </c>
      <c r="L19553" s="0" t="str">
        <f aca="false">HYPERLINK("https://www.ncbi.nlm.nih.gov/nuccore/CP000059.1?report=graph&amp;tracks=[key:gene_model_track,Options:GeneOnly]&amp;mk=94653:94672|offset_9|444444,94631:94650|offset_31|00cc00,94497:94516|offset_165|444444,94452:94471|offset_210|444444&amp;v=94452:94671&amp;c=444444", "offset 31")</f>
        <v>offset 31</v>
      </c>
    </row>
    <row r="19554" customFormat="false" ht="12.8" hidden="false" customHeight="false" outlineLevel="0" collapsed="false">
      <c r="A19554" s="0" t="s">
        <v>64160</v>
      </c>
      <c r="B19554" s="0" t="n">
        <v>94496</v>
      </c>
      <c r="C19554" s="0" t="n">
        <v>94516</v>
      </c>
      <c r="D19554" s="0" t="s">
        <v>64975</v>
      </c>
      <c r="E19554" s="0" t="s">
        <v>75</v>
      </c>
      <c r="F19554" s="0" t="s">
        <v>90</v>
      </c>
      <c r="G19554" s="0" t="s">
        <v>32</v>
      </c>
      <c r="H19554" s="0" t="n">
        <v>165</v>
      </c>
      <c r="I19554" s="0" t="s">
        <v>64982</v>
      </c>
      <c r="J19554" s="0" t="s">
        <v>64983</v>
      </c>
      <c r="K19554" s="0" t="s">
        <v>64984</v>
      </c>
      <c r="L19554" s="0" t="str">
        <f aca="false">HYPERLINK("https://www.ncbi.nlm.nih.gov/nuccore/CP000059.1?report=graph&amp;tracks=[key:gene_model_track,Options:GeneOnly]&amp;mk=94653:94672|offset_9|444444,94631:94650|offset_31|444444,94497:94516|offset_165|00cc00,94452:94471|offset_210|444444&amp;v=94452:94671&amp;c=444444", "offset 165")</f>
        <v>offset 165</v>
      </c>
    </row>
    <row r="19555" customFormat="false" ht="12.8" hidden="false" customHeight="false" outlineLevel="0" collapsed="false">
      <c r="A19555" s="0" t="s">
        <v>64160</v>
      </c>
      <c r="B19555" s="0" t="n">
        <v>94451</v>
      </c>
      <c r="C19555" s="0" t="n">
        <v>94471</v>
      </c>
      <c r="D19555" s="0" t="s">
        <v>64975</v>
      </c>
      <c r="E19555" s="0" t="s">
        <v>75</v>
      </c>
      <c r="F19555" s="0" t="s">
        <v>90</v>
      </c>
      <c r="G19555" s="0" t="s">
        <v>16</v>
      </c>
      <c r="H19555" s="0" t="n">
        <v>210</v>
      </c>
      <c r="I19555" s="0" t="s">
        <v>64985</v>
      </c>
      <c r="J19555" s="0" t="s">
        <v>64986</v>
      </c>
      <c r="K19555" s="0" t="s">
        <v>64987</v>
      </c>
      <c r="L19555" s="0" t="str">
        <f aca="false">HYPERLINK("https://www.ncbi.nlm.nih.gov/nuccore/CP000059.1?report=graph&amp;tracks=[key:gene_model_track,Options:GeneOnly]&amp;mk=94653:94672|offset_9|444444,94631:94650|offset_31|444444,94497:94516|offset_165|444444,94452:94471|offset_210|00cc00&amp;v=94452:94671&amp;c=444444", "offset 210")</f>
        <v>offset 210</v>
      </c>
    </row>
    <row r="19556" customFormat="false" ht="12.8" hidden="false" customHeight="false" outlineLevel="0" collapsed="false">
      <c r="A19556" s="0" t="s">
        <v>64160</v>
      </c>
      <c r="B19556" s="0" t="n">
        <v>95831</v>
      </c>
      <c r="C19556" s="0" t="n">
        <v>95851</v>
      </c>
      <c r="D19556" s="0" t="s">
        <v>64988</v>
      </c>
      <c r="E19556" s="0" t="s">
        <v>75</v>
      </c>
      <c r="F19556" s="0" t="s">
        <v>90</v>
      </c>
      <c r="G19556" s="0" t="s">
        <v>20</v>
      </c>
      <c r="H19556" s="0" t="n">
        <v>11</v>
      </c>
      <c r="I19556" s="0" t="s">
        <v>64989</v>
      </c>
      <c r="J19556" s="0" t="s">
        <v>64990</v>
      </c>
      <c r="K19556" s="0" t="s">
        <v>64991</v>
      </c>
      <c r="L19556" s="0" t="str">
        <f aca="false">HYPERLINK("https://www.ncbi.nlm.nih.gov/nuccore/CP000059.1?report=graph&amp;tracks=[key:gene_model_track,Options:GeneOnly]&amp;mk=95832:95851|offset_11|00cc00,95772:95791|offset_71|444444,95721:95740|offset_122|444444,95595:95614|offset_248|444444&amp;v=95631:95814&amp;c=444444", "offset 11")</f>
        <v>offset 11</v>
      </c>
    </row>
    <row r="19557" customFormat="false" ht="12.8" hidden="false" customHeight="false" outlineLevel="0" collapsed="false">
      <c r="A19557" s="0" t="s">
        <v>64160</v>
      </c>
      <c r="B19557" s="0" t="n">
        <v>95771</v>
      </c>
      <c r="C19557" s="0" t="n">
        <v>95791</v>
      </c>
      <c r="D19557" s="0" t="s">
        <v>64988</v>
      </c>
      <c r="E19557" s="0" t="s">
        <v>75</v>
      </c>
      <c r="F19557" s="0" t="s">
        <v>90</v>
      </c>
      <c r="G19557" s="0" t="s">
        <v>32</v>
      </c>
      <c r="H19557" s="0" t="n">
        <v>71</v>
      </c>
      <c r="I19557" s="0" t="s">
        <v>64992</v>
      </c>
      <c r="J19557" s="0" t="s">
        <v>64993</v>
      </c>
      <c r="K19557" s="0" t="s">
        <v>64994</v>
      </c>
      <c r="L19557" s="0" t="str">
        <f aca="false">HYPERLINK("https://www.ncbi.nlm.nih.gov/nuccore/CP000059.1?report=graph&amp;tracks=[key:gene_model_track,Options:GeneOnly]&amp;mk=95832:95851|offset_11|444444,95772:95791|offset_71|00cc00,95721:95740|offset_122|444444,95595:95614|offset_248|444444&amp;v=95631:95814&amp;c=444444", "offset 71")</f>
        <v>offset 71</v>
      </c>
    </row>
    <row r="19558" customFormat="false" ht="12.8" hidden="false" customHeight="false" outlineLevel="0" collapsed="false">
      <c r="A19558" s="0" t="s">
        <v>64160</v>
      </c>
      <c r="B19558" s="0" t="n">
        <v>95720</v>
      </c>
      <c r="C19558" s="0" t="n">
        <v>95740</v>
      </c>
      <c r="D19558" s="0" t="s">
        <v>64988</v>
      </c>
      <c r="E19558" s="0" t="s">
        <v>75</v>
      </c>
      <c r="F19558" s="0" t="s">
        <v>90</v>
      </c>
      <c r="G19558" s="0" t="s">
        <v>16</v>
      </c>
      <c r="H19558" s="0" t="n">
        <v>122</v>
      </c>
      <c r="I19558" s="0" t="s">
        <v>64995</v>
      </c>
      <c r="J19558" s="0" t="s">
        <v>64996</v>
      </c>
      <c r="K19558" s="0" t="s">
        <v>64997</v>
      </c>
      <c r="L19558" s="0" t="str">
        <f aca="false">HYPERLINK("https://www.ncbi.nlm.nih.gov/nuccore/CP000059.1?report=graph&amp;tracks=[key:gene_model_track,Options:GeneOnly]&amp;mk=95832:95851|offset_11|444444,95772:95791|offset_71|444444,95721:95740|offset_122|00cc00,95595:95614|offset_248|444444&amp;v=95631:95814&amp;c=444444", "offset 122")</f>
        <v>offset 122</v>
      </c>
    </row>
    <row r="19559" customFormat="false" ht="12.8" hidden="false" customHeight="false" outlineLevel="0" collapsed="false">
      <c r="A19559" s="0" t="s">
        <v>64160</v>
      </c>
      <c r="B19559" s="0" t="n">
        <v>95594</v>
      </c>
      <c r="C19559" s="0" t="n">
        <v>95614</v>
      </c>
      <c r="D19559" s="0" t="s">
        <v>64988</v>
      </c>
      <c r="E19559" s="0" t="s">
        <v>75</v>
      </c>
      <c r="F19559" s="0" t="s">
        <v>90</v>
      </c>
      <c r="G19559" s="0" t="s">
        <v>16</v>
      </c>
      <c r="H19559" s="0" t="n">
        <v>248</v>
      </c>
      <c r="I19559" s="0" t="s">
        <v>64998</v>
      </c>
      <c r="J19559" s="0" t="s">
        <v>64999</v>
      </c>
      <c r="K19559" s="0" t="s">
        <v>65000</v>
      </c>
      <c r="L19559" s="0" t="str">
        <f aca="false">HYPERLINK("https://www.ncbi.nlm.nih.gov/nuccore/CP000059.1?report=graph&amp;tracks=[key:gene_model_track,Options:GeneOnly]&amp;mk=95832:95851|offset_11|444444,95772:95791|offset_71|444444,95721:95740|offset_122|444444,95595:95614|offset_248|00cc00&amp;v=95631:95814&amp;c=444444", "offset 248")</f>
        <v>offset 248</v>
      </c>
    </row>
    <row r="19560" customFormat="false" ht="12.8" hidden="false" customHeight="false" outlineLevel="0" collapsed="false">
      <c r="A19560" s="0" t="s">
        <v>64160</v>
      </c>
      <c r="B19560" s="0" t="n">
        <v>95927</v>
      </c>
      <c r="C19560" s="0" t="n">
        <v>95947</v>
      </c>
      <c r="D19560" s="0" t="s">
        <v>65001</v>
      </c>
      <c r="E19560" s="0" t="s">
        <v>75</v>
      </c>
      <c r="F19560" s="0" t="s">
        <v>90</v>
      </c>
      <c r="G19560" s="0" t="s">
        <v>36</v>
      </c>
      <c r="H19560" s="0" t="n">
        <v>31</v>
      </c>
      <c r="I19560" s="0" t="s">
        <v>65002</v>
      </c>
      <c r="J19560" s="0" t="s">
        <v>65003</v>
      </c>
      <c r="K19560" s="0" t="s">
        <v>65004</v>
      </c>
      <c r="L19560" s="0" t="str">
        <f aca="false">HYPERLINK("https://www.ncbi.nlm.nih.gov/nuccore/CP000059.1?report=graph&amp;tracks=[key:gene_model_track,Options:GeneOnly]&amp;mk=95928:95947|offset_31|00cc00,95889:95908|offset_70|444444&amp;v=95727:96108&amp;c=444444", "offset 31")</f>
        <v>offset 31</v>
      </c>
    </row>
    <row r="19561" customFormat="false" ht="12.8" hidden="false" customHeight="false" outlineLevel="0" collapsed="false">
      <c r="A19561" s="0" t="s">
        <v>64160</v>
      </c>
      <c r="B19561" s="0" t="n">
        <v>95888</v>
      </c>
      <c r="C19561" s="0" t="n">
        <v>95908</v>
      </c>
      <c r="D19561" s="0" t="s">
        <v>65001</v>
      </c>
      <c r="E19561" s="0" t="s">
        <v>75</v>
      </c>
      <c r="F19561" s="0" t="s">
        <v>90</v>
      </c>
      <c r="G19561" s="0" t="s">
        <v>32</v>
      </c>
      <c r="H19561" s="0" t="n">
        <v>70</v>
      </c>
      <c r="I19561" s="0" t="s">
        <v>65005</v>
      </c>
      <c r="J19561" s="0" t="s">
        <v>65006</v>
      </c>
      <c r="K19561" s="0" t="s">
        <v>65007</v>
      </c>
      <c r="L19561" s="0" t="str">
        <f aca="false">HYPERLINK("https://www.ncbi.nlm.nih.gov/nuccore/CP000059.1?report=graph&amp;tracks=[key:gene_model_track,Options:GeneOnly]&amp;mk=95928:95947|offset_31|444444,95889:95908|offset_70|00cc00&amp;v=95727:96108&amp;c=444444", "offset 70")</f>
        <v>offset 70</v>
      </c>
    </row>
    <row r="19562" customFormat="false" ht="12.8" hidden="false" customHeight="false" outlineLevel="0" collapsed="false">
      <c r="A19562" s="0" t="s">
        <v>64160</v>
      </c>
      <c r="B19562" s="0" t="n">
        <v>96570</v>
      </c>
      <c r="C19562" s="0" t="n">
        <v>96590</v>
      </c>
      <c r="D19562" s="0" t="s">
        <v>65008</v>
      </c>
      <c r="E19562" s="0" t="s">
        <v>75</v>
      </c>
      <c r="F19562" s="0" t="s">
        <v>90</v>
      </c>
      <c r="G19562" s="0" t="s">
        <v>16</v>
      </c>
      <c r="H19562" s="0" t="n">
        <v>20</v>
      </c>
      <c r="I19562" s="0" t="s">
        <v>65009</v>
      </c>
      <c r="J19562" s="0" t="s">
        <v>65010</v>
      </c>
      <c r="K19562" s="0" t="s">
        <v>65011</v>
      </c>
      <c r="L19562" s="0" t="str">
        <f aca="false">HYPERLINK("https://www.ncbi.nlm.nih.gov/nuccore/CP000059.1?report=graph&amp;tracks=[key:gene_model_track,Options:GeneOnly]&amp;mk=96571:96590|offset_20|00cc00,96516:96535|offset_75|444444,96473:96492|offset_118|444444,96407:96426|offset_184|444444&amp;v=96370:96626&amp;c=444444", "offset 20")</f>
        <v>offset 20</v>
      </c>
    </row>
    <row r="19563" customFormat="false" ht="12.8" hidden="false" customHeight="false" outlineLevel="0" collapsed="false">
      <c r="A19563" s="0" t="s">
        <v>64160</v>
      </c>
      <c r="B19563" s="0" t="n">
        <v>96515</v>
      </c>
      <c r="C19563" s="0" t="n">
        <v>96535</v>
      </c>
      <c r="D19563" s="0" t="s">
        <v>65008</v>
      </c>
      <c r="E19563" s="0" t="s">
        <v>75</v>
      </c>
      <c r="F19563" s="0" t="s">
        <v>90</v>
      </c>
      <c r="G19563" s="0" t="s">
        <v>20</v>
      </c>
      <c r="H19563" s="0" t="n">
        <v>75</v>
      </c>
      <c r="I19563" s="0" t="s">
        <v>65012</v>
      </c>
      <c r="J19563" s="0" t="s">
        <v>65013</v>
      </c>
      <c r="K19563" s="0" t="s">
        <v>65014</v>
      </c>
      <c r="L19563" s="0" t="str">
        <f aca="false">HYPERLINK("https://www.ncbi.nlm.nih.gov/nuccore/CP000059.1?report=graph&amp;tracks=[key:gene_model_track,Options:GeneOnly]&amp;mk=96571:96590|offset_20|444444,96516:96535|offset_75|00cc00,96473:96492|offset_118|444444,96407:96426|offset_184|444444&amp;v=96370:96626&amp;c=444444", "offset 75")</f>
        <v>offset 75</v>
      </c>
    </row>
    <row r="19564" customFormat="false" ht="12.8" hidden="false" customHeight="false" outlineLevel="0" collapsed="false">
      <c r="A19564" s="0" t="s">
        <v>64160</v>
      </c>
      <c r="B19564" s="0" t="n">
        <v>96472</v>
      </c>
      <c r="C19564" s="0" t="n">
        <v>96492</v>
      </c>
      <c r="D19564" s="0" t="s">
        <v>65008</v>
      </c>
      <c r="E19564" s="0" t="s">
        <v>75</v>
      </c>
      <c r="F19564" s="0" t="s">
        <v>90</v>
      </c>
      <c r="G19564" s="0" t="s">
        <v>32</v>
      </c>
      <c r="H19564" s="0" t="n">
        <v>118</v>
      </c>
      <c r="I19564" s="0" t="s">
        <v>65015</v>
      </c>
      <c r="J19564" s="0" t="s">
        <v>65016</v>
      </c>
      <c r="K19564" s="0" t="s">
        <v>65017</v>
      </c>
      <c r="L19564" s="0" t="str">
        <f aca="false">HYPERLINK("https://www.ncbi.nlm.nih.gov/nuccore/CP000059.1?report=graph&amp;tracks=[key:gene_model_track,Options:GeneOnly]&amp;mk=96571:96590|offset_20|444444,96516:96535|offset_75|444444,96473:96492|offset_118|00cc00,96407:96426|offset_184|444444&amp;v=96370:96626&amp;c=444444", "offset 118")</f>
        <v>offset 118</v>
      </c>
    </row>
    <row r="19565" customFormat="false" ht="12.8" hidden="false" customHeight="false" outlineLevel="0" collapsed="false">
      <c r="A19565" s="0" t="s">
        <v>64160</v>
      </c>
      <c r="B19565" s="0" t="n">
        <v>96406</v>
      </c>
      <c r="C19565" s="0" t="n">
        <v>96426</v>
      </c>
      <c r="D19565" s="0" t="s">
        <v>65008</v>
      </c>
      <c r="E19565" s="0" t="s">
        <v>75</v>
      </c>
      <c r="F19565" s="0" t="s">
        <v>90</v>
      </c>
      <c r="G19565" s="0" t="s">
        <v>16</v>
      </c>
      <c r="H19565" s="0" t="n">
        <v>184</v>
      </c>
      <c r="I19565" s="0" t="s">
        <v>65018</v>
      </c>
      <c r="J19565" s="0" t="s">
        <v>65019</v>
      </c>
      <c r="K19565" s="0" t="s">
        <v>65020</v>
      </c>
      <c r="L19565" s="0" t="str">
        <f aca="false">HYPERLINK("https://www.ncbi.nlm.nih.gov/nuccore/CP000059.1?report=graph&amp;tracks=[key:gene_model_track,Options:GeneOnly]&amp;mk=96571:96590|offset_20|444444,96516:96535|offset_75|444444,96473:96492|offset_118|444444,96407:96426|offset_184|00cc00&amp;v=96370:96626&amp;c=444444", "offset 184")</f>
        <v>offset 184</v>
      </c>
    </row>
    <row r="19566" customFormat="false" ht="12.8" hidden="false" customHeight="false" outlineLevel="0" collapsed="false">
      <c r="A19566" s="0" t="s">
        <v>64160</v>
      </c>
      <c r="B19566" s="0" t="n">
        <v>97765</v>
      </c>
      <c r="C19566" s="0" t="n">
        <v>97785</v>
      </c>
      <c r="D19566" s="0" t="s">
        <v>65021</v>
      </c>
      <c r="E19566" s="0" t="s">
        <v>65022</v>
      </c>
      <c r="F19566" s="0" t="s">
        <v>90</v>
      </c>
      <c r="G19566" s="0" t="s">
        <v>32</v>
      </c>
      <c r="H19566" s="0" t="n">
        <v>1</v>
      </c>
      <c r="I19566" s="0" t="s">
        <v>65023</v>
      </c>
      <c r="J19566" s="0" t="s">
        <v>65024</v>
      </c>
      <c r="K19566" s="0" t="s">
        <v>65025</v>
      </c>
      <c r="L19566" s="0" t="str">
        <f aca="false">HYPERLINK("https://www.ncbi.nlm.nih.gov/nuccore/CP000059.1?report=graph&amp;tracks=[key:gene_model_track,Options:GeneOnly]&amp;mk=97766:97785|offset_1|00cc00,97722:97741|offset_45|444444,97615:97634|offset_152|444444,97572:97591|offset_195|444444&amp;v=97565:97791&amp;c=444444", "offset 1")</f>
        <v>offset 1</v>
      </c>
    </row>
    <row r="19567" customFormat="false" ht="12.8" hidden="false" customHeight="false" outlineLevel="0" collapsed="false">
      <c r="A19567" s="0" t="s">
        <v>64160</v>
      </c>
      <c r="B19567" s="0" t="n">
        <v>97721</v>
      </c>
      <c r="C19567" s="0" t="n">
        <v>97741</v>
      </c>
      <c r="D19567" s="0" t="s">
        <v>65021</v>
      </c>
      <c r="E19567" s="0" t="s">
        <v>65022</v>
      </c>
      <c r="F19567" s="0" t="s">
        <v>90</v>
      </c>
      <c r="G19567" s="0" t="s">
        <v>36</v>
      </c>
      <c r="H19567" s="0" t="n">
        <v>45</v>
      </c>
      <c r="I19567" s="0" t="s">
        <v>65026</v>
      </c>
      <c r="J19567" s="0" t="s">
        <v>65027</v>
      </c>
      <c r="K19567" s="0" t="s">
        <v>65028</v>
      </c>
      <c r="L19567" s="0" t="str">
        <f aca="false">HYPERLINK("https://www.ncbi.nlm.nih.gov/nuccore/CP000059.1?report=graph&amp;tracks=[key:gene_model_track,Options:GeneOnly]&amp;mk=97766:97785|offset_1|444444,97722:97741|offset_45|00cc00,97615:97634|offset_152|444444,97572:97591|offset_195|444444&amp;v=97565:97791&amp;c=444444", "offset 45")</f>
        <v>offset 45</v>
      </c>
    </row>
    <row r="19568" customFormat="false" ht="12.8" hidden="false" customHeight="false" outlineLevel="0" collapsed="false">
      <c r="A19568" s="0" t="s">
        <v>64160</v>
      </c>
      <c r="B19568" s="0" t="n">
        <v>97614</v>
      </c>
      <c r="C19568" s="0" t="n">
        <v>97634</v>
      </c>
      <c r="D19568" s="0" t="s">
        <v>65021</v>
      </c>
      <c r="E19568" s="0" t="s">
        <v>65022</v>
      </c>
      <c r="F19568" s="0" t="s">
        <v>90</v>
      </c>
      <c r="G19568" s="0" t="s">
        <v>36</v>
      </c>
      <c r="H19568" s="0" t="n">
        <v>152</v>
      </c>
      <c r="I19568" s="0" t="s">
        <v>65029</v>
      </c>
      <c r="J19568" s="0" t="s">
        <v>65030</v>
      </c>
      <c r="K19568" s="0" t="s">
        <v>65031</v>
      </c>
      <c r="L19568" s="0" t="str">
        <f aca="false">HYPERLINK("https://www.ncbi.nlm.nih.gov/nuccore/CP000059.1?report=graph&amp;tracks=[key:gene_model_track,Options:GeneOnly]&amp;mk=97766:97785|offset_1|444444,97722:97741|offset_45|444444,97615:97634|offset_152|00cc00,97572:97591|offset_195|444444&amp;v=97565:97791&amp;c=444444", "offset 152")</f>
        <v>offset 152</v>
      </c>
    </row>
    <row r="19569" customFormat="false" ht="12.8" hidden="false" customHeight="false" outlineLevel="0" collapsed="false">
      <c r="A19569" s="0" t="s">
        <v>64160</v>
      </c>
      <c r="B19569" s="0" t="n">
        <v>97571</v>
      </c>
      <c r="C19569" s="0" t="n">
        <v>97591</v>
      </c>
      <c r="D19569" s="0" t="s">
        <v>65021</v>
      </c>
      <c r="E19569" s="0" t="s">
        <v>65022</v>
      </c>
      <c r="F19569" s="0" t="s">
        <v>90</v>
      </c>
      <c r="G19569" s="0" t="s">
        <v>16</v>
      </c>
      <c r="H19569" s="0" t="n">
        <v>195</v>
      </c>
      <c r="I19569" s="0" t="s">
        <v>65032</v>
      </c>
      <c r="J19569" s="0" t="s">
        <v>65033</v>
      </c>
      <c r="K19569" s="0" t="s">
        <v>65034</v>
      </c>
      <c r="L19569" s="0" t="str">
        <f aca="false">HYPERLINK("https://www.ncbi.nlm.nih.gov/nuccore/CP000059.1?report=graph&amp;tracks=[key:gene_model_track,Options:GeneOnly]&amp;mk=97766:97785|offset_1|444444,97722:97741|offset_45|444444,97615:97634|offset_152|444444,97572:97591|offset_195|00cc00&amp;v=97565:97791&amp;c=444444", "offset 195")</f>
        <v>offset 195</v>
      </c>
    </row>
    <row r="19570" customFormat="false" ht="12.8" hidden="false" customHeight="false" outlineLevel="0" collapsed="false">
      <c r="A19570" s="0" t="s">
        <v>64160</v>
      </c>
      <c r="B19570" s="0" t="n">
        <v>97955</v>
      </c>
      <c r="C19570" s="0" t="n">
        <v>97975</v>
      </c>
      <c r="D19570" s="0" t="s">
        <v>65035</v>
      </c>
      <c r="E19570" s="0" t="s">
        <v>75</v>
      </c>
      <c r="F19570" s="0" t="s">
        <v>15</v>
      </c>
      <c r="G19570" s="0" t="s">
        <v>32</v>
      </c>
      <c r="H19570" s="0" t="n">
        <v>16</v>
      </c>
      <c r="I19570" s="0" t="s">
        <v>65036</v>
      </c>
      <c r="J19570" s="0" t="s">
        <v>65037</v>
      </c>
      <c r="K19570" s="0" t="s">
        <v>65038</v>
      </c>
      <c r="L19570" s="0" t="str">
        <f aca="false">HYPERLINK("https://www.ncbi.nlm.nih.gov/nuccore/CP000059.1?report=graph&amp;tracks=[key:gene_model_track,Options:GeneOnly]&amp;mk=97956:97975|offset_16|00cc00,97977:97996|offset_37|444444,97998:98017|offset_58|444444,98029:98048|offset_89|444444&amp;v=97755:98248&amp;c=444444", "offset 16")</f>
        <v>offset 16</v>
      </c>
    </row>
    <row r="19571" customFormat="false" ht="12.8" hidden="false" customHeight="false" outlineLevel="0" collapsed="false">
      <c r="A19571" s="0" t="s">
        <v>64160</v>
      </c>
      <c r="B19571" s="0" t="n">
        <v>97976</v>
      </c>
      <c r="C19571" s="0" t="n">
        <v>97996</v>
      </c>
      <c r="D19571" s="0" t="s">
        <v>65035</v>
      </c>
      <c r="E19571" s="0" t="s">
        <v>75</v>
      </c>
      <c r="F19571" s="0" t="s">
        <v>15</v>
      </c>
      <c r="G19571" s="0" t="s">
        <v>16</v>
      </c>
      <c r="H19571" s="0" t="n">
        <v>37</v>
      </c>
      <c r="I19571" s="0" t="s">
        <v>65039</v>
      </c>
      <c r="J19571" s="0" t="s">
        <v>65040</v>
      </c>
      <c r="K19571" s="0" t="s">
        <v>65041</v>
      </c>
      <c r="L19571" s="0" t="str">
        <f aca="false">HYPERLINK("https://www.ncbi.nlm.nih.gov/nuccore/CP000059.1?report=graph&amp;tracks=[key:gene_model_track,Options:GeneOnly]&amp;mk=97956:97975|offset_16|444444,97977:97996|offset_37|00cc00,97998:98017|offset_58|444444,98029:98048|offset_89|444444&amp;v=97755:98248&amp;c=444444", "offset 37")</f>
        <v>offset 37</v>
      </c>
    </row>
    <row r="19572" customFormat="false" ht="12.8" hidden="false" customHeight="false" outlineLevel="0" collapsed="false">
      <c r="A19572" s="0" t="s">
        <v>64160</v>
      </c>
      <c r="B19572" s="0" t="n">
        <v>97997</v>
      </c>
      <c r="C19572" s="0" t="n">
        <v>98017</v>
      </c>
      <c r="D19572" s="0" t="s">
        <v>65035</v>
      </c>
      <c r="E19572" s="0" t="s">
        <v>75</v>
      </c>
      <c r="F19572" s="0" t="s">
        <v>15</v>
      </c>
      <c r="G19572" s="0" t="s">
        <v>16</v>
      </c>
      <c r="H19572" s="0" t="n">
        <v>58</v>
      </c>
      <c r="I19572" s="0" t="s">
        <v>65042</v>
      </c>
      <c r="J19572" s="0" t="s">
        <v>65043</v>
      </c>
      <c r="K19572" s="0" t="s">
        <v>65044</v>
      </c>
      <c r="L19572" s="0" t="str">
        <f aca="false">HYPERLINK("https://www.ncbi.nlm.nih.gov/nuccore/CP000059.1?report=graph&amp;tracks=[key:gene_model_track,Options:GeneOnly]&amp;mk=97956:97975|offset_16|444444,97977:97996|offset_37|444444,97998:98017|offset_58|00cc00,98029:98048|offset_89|444444&amp;v=97755:98248&amp;c=444444", "offset 58")</f>
        <v>offset 58</v>
      </c>
    </row>
    <row r="19573" customFormat="false" ht="12.8" hidden="false" customHeight="false" outlineLevel="0" collapsed="false">
      <c r="A19573" s="0" t="s">
        <v>64160</v>
      </c>
      <c r="B19573" s="0" t="n">
        <v>98028</v>
      </c>
      <c r="C19573" s="0" t="n">
        <v>98048</v>
      </c>
      <c r="D19573" s="0" t="s">
        <v>65035</v>
      </c>
      <c r="E19573" s="0" t="s">
        <v>75</v>
      </c>
      <c r="F19573" s="0" t="s">
        <v>15</v>
      </c>
      <c r="G19573" s="0" t="s">
        <v>32</v>
      </c>
      <c r="H19573" s="0" t="n">
        <v>89</v>
      </c>
      <c r="I19573" s="0" t="s">
        <v>65045</v>
      </c>
      <c r="J19573" s="0" t="s">
        <v>65046</v>
      </c>
      <c r="K19573" s="0" t="s">
        <v>65047</v>
      </c>
      <c r="L19573" s="0" t="str">
        <f aca="false">HYPERLINK("https://www.ncbi.nlm.nih.gov/nuccore/CP000059.1?report=graph&amp;tracks=[key:gene_model_track,Options:GeneOnly]&amp;mk=97956:97975|offset_16|444444,97977:97996|offset_37|444444,97998:98017|offset_58|444444,98029:98048|offset_89|00cc00&amp;v=97755:98248&amp;c=444444", "offset 89")</f>
        <v>offset 89</v>
      </c>
    </row>
    <row r="19574" customFormat="false" ht="12.8" hidden="false" customHeight="false" outlineLevel="0" collapsed="false">
      <c r="A19574" s="0" t="s">
        <v>64160</v>
      </c>
      <c r="B19574" s="0" t="n">
        <v>98381</v>
      </c>
      <c r="C19574" s="0" t="n">
        <v>98401</v>
      </c>
      <c r="D19574" s="0" t="s">
        <v>65048</v>
      </c>
      <c r="E19574" s="0" t="s">
        <v>75</v>
      </c>
      <c r="F19574" s="0" t="s">
        <v>90</v>
      </c>
      <c r="G19574" s="0" t="s">
        <v>36</v>
      </c>
      <c r="H19574" s="0" t="n">
        <v>445</v>
      </c>
      <c r="I19574" s="0" t="s">
        <v>65049</v>
      </c>
      <c r="J19574" s="0" t="s">
        <v>65050</v>
      </c>
      <c r="K19574" s="0" t="s">
        <v>65051</v>
      </c>
      <c r="L19574" s="0" t="str">
        <f aca="false">HYPERLINK("https://www.ncbi.nlm.nih.gov/nuccore/CP000059.1?report=graph&amp;tracks=[key:gene_model_track,Options:GeneOnly]&amp;mk=98382:98401|offset_445|00cc00,98355:98374|offset_472|444444&amp;v=98181:98574&amp;c=444444", "offset 445")</f>
        <v>offset 445</v>
      </c>
    </row>
    <row r="19575" customFormat="false" ht="12.8" hidden="false" customHeight="false" outlineLevel="0" collapsed="false">
      <c r="A19575" s="0" t="s">
        <v>64160</v>
      </c>
      <c r="B19575" s="0" t="n">
        <v>98354</v>
      </c>
      <c r="C19575" s="0" t="n">
        <v>98374</v>
      </c>
      <c r="D19575" s="0" t="s">
        <v>65048</v>
      </c>
      <c r="E19575" s="0" t="s">
        <v>75</v>
      </c>
      <c r="F19575" s="0" t="s">
        <v>90</v>
      </c>
      <c r="G19575" s="0" t="s">
        <v>16</v>
      </c>
      <c r="H19575" s="0" t="n">
        <v>472</v>
      </c>
      <c r="I19575" s="0" t="s">
        <v>65052</v>
      </c>
      <c r="J19575" s="0" t="s">
        <v>65053</v>
      </c>
      <c r="K19575" s="0" t="s">
        <v>65054</v>
      </c>
      <c r="L19575" s="0" t="str">
        <f aca="false">HYPERLINK("https://www.ncbi.nlm.nih.gov/nuccore/CP000059.1?report=graph&amp;tracks=[key:gene_model_track,Options:GeneOnly]&amp;mk=98382:98401|offset_445|444444,98355:98374|offset_472|00cc00&amp;v=98181:98574&amp;c=444444", "offset 472")</f>
        <v>offset 472</v>
      </c>
    </row>
    <row r="19576" customFormat="false" ht="12.8" hidden="false" customHeight="false" outlineLevel="0" collapsed="false">
      <c r="A19576" s="0" t="s">
        <v>64160</v>
      </c>
      <c r="B19576" s="0" t="n">
        <v>99353</v>
      </c>
      <c r="C19576" s="0" t="n">
        <v>99373</v>
      </c>
      <c r="D19576" s="0" t="s">
        <v>65055</v>
      </c>
      <c r="E19576" s="0" t="s">
        <v>75</v>
      </c>
      <c r="F19576" s="0" t="s">
        <v>15</v>
      </c>
      <c r="G19576" s="0" t="s">
        <v>20</v>
      </c>
      <c r="H19576" s="0" t="n">
        <v>204</v>
      </c>
      <c r="I19576" s="0" t="s">
        <v>65056</v>
      </c>
      <c r="J19576" s="0" t="s">
        <v>65057</v>
      </c>
      <c r="K19576" s="0" t="s">
        <v>65058</v>
      </c>
      <c r="L19576" s="0" t="str">
        <f aca="false">HYPERLINK("https://www.ncbi.nlm.nih.gov/nuccore/CP000059.1?report=graph&amp;tracks=[key:gene_model_track,Options:GeneOnly]&amp;mk=99354:99373|offset_204|00cc00,99397:99416|offset_247|444444&amp;v=99153:99616&amp;c=444444", "offset 204")</f>
        <v>offset 204</v>
      </c>
    </row>
    <row r="19577" customFormat="false" ht="12.8" hidden="false" customHeight="false" outlineLevel="0" collapsed="false">
      <c r="A19577" s="0" t="s">
        <v>64160</v>
      </c>
      <c r="B19577" s="0" t="n">
        <v>99396</v>
      </c>
      <c r="C19577" s="0" t="n">
        <v>99416</v>
      </c>
      <c r="D19577" s="0" t="s">
        <v>65055</v>
      </c>
      <c r="E19577" s="0" t="s">
        <v>75</v>
      </c>
      <c r="F19577" s="0" t="s">
        <v>15</v>
      </c>
      <c r="G19577" s="0" t="s">
        <v>16</v>
      </c>
      <c r="H19577" s="0" t="n">
        <v>247</v>
      </c>
      <c r="I19577" s="0" t="s">
        <v>65059</v>
      </c>
      <c r="J19577" s="0" t="s">
        <v>65060</v>
      </c>
      <c r="K19577" s="0" t="s">
        <v>65061</v>
      </c>
      <c r="L19577" s="0" t="str">
        <f aca="false">HYPERLINK("https://www.ncbi.nlm.nih.gov/nuccore/CP000059.1?report=graph&amp;tracks=[key:gene_model_track,Options:GeneOnly]&amp;mk=99354:99373|offset_204|444444,99397:99416|offset_247|00cc00&amp;v=99153:99616&amp;c=444444", "offset 247")</f>
        <v>offset 247</v>
      </c>
    </row>
    <row r="19578" customFormat="false" ht="12.8" hidden="false" customHeight="false" outlineLevel="0" collapsed="false">
      <c r="A19578" s="0" t="s">
        <v>64160</v>
      </c>
      <c r="B19578" s="0" t="n">
        <v>100823</v>
      </c>
      <c r="C19578" s="0" t="n">
        <v>100843</v>
      </c>
      <c r="D19578" s="0" t="s">
        <v>65062</v>
      </c>
      <c r="E19578" s="0" t="s">
        <v>75</v>
      </c>
      <c r="F19578" s="0" t="s">
        <v>90</v>
      </c>
      <c r="G19578" s="0" t="s">
        <v>36</v>
      </c>
      <c r="H19578" s="0" t="n">
        <v>30</v>
      </c>
      <c r="I19578" s="0" t="s">
        <v>65063</v>
      </c>
      <c r="J19578" s="0" t="s">
        <v>65064</v>
      </c>
      <c r="K19578" s="0" t="s">
        <v>65065</v>
      </c>
      <c r="L19578" s="0" t="str">
        <f aca="false">HYPERLINK("https://www.ncbi.nlm.nih.gov/nuccore/CP000059.1?report=graph&amp;tracks=[key:gene_model_track,Options:GeneOnly]&amp;mk=100824:100843|offset_30|00cc00,100802:100821|offset_52|444444,100772:100791|offset_82|444444,100738:100757|offset_116|444444&amp;v=100623:100957&amp;c=444444", "offset 30")</f>
        <v>offset 30</v>
      </c>
    </row>
    <row r="19579" customFormat="false" ht="12.8" hidden="false" customHeight="false" outlineLevel="0" collapsed="false">
      <c r="A19579" s="0" t="s">
        <v>64160</v>
      </c>
      <c r="B19579" s="0" t="n">
        <v>100801</v>
      </c>
      <c r="C19579" s="0" t="n">
        <v>100821</v>
      </c>
      <c r="D19579" s="0" t="s">
        <v>65062</v>
      </c>
      <c r="E19579" s="0" t="s">
        <v>75</v>
      </c>
      <c r="F19579" s="0" t="s">
        <v>90</v>
      </c>
      <c r="G19579" s="0" t="s">
        <v>20</v>
      </c>
      <c r="H19579" s="0" t="n">
        <v>52</v>
      </c>
      <c r="I19579" s="0" t="s">
        <v>65066</v>
      </c>
      <c r="J19579" s="0" t="s">
        <v>65067</v>
      </c>
      <c r="K19579" s="0" t="s">
        <v>65068</v>
      </c>
      <c r="L19579" s="0" t="str">
        <f aca="false">HYPERLINK("https://www.ncbi.nlm.nih.gov/nuccore/CP000059.1?report=graph&amp;tracks=[key:gene_model_track,Options:GeneOnly]&amp;mk=100824:100843|offset_30|444444,100802:100821|offset_52|00cc00,100772:100791|offset_82|444444,100738:100757|offset_116|444444&amp;v=100623:100957&amp;c=444444", "offset 52")</f>
        <v>offset 52</v>
      </c>
    </row>
    <row r="19580" customFormat="false" ht="12.8" hidden="false" customHeight="false" outlineLevel="0" collapsed="false">
      <c r="A19580" s="0" t="s">
        <v>64160</v>
      </c>
      <c r="B19580" s="0" t="n">
        <v>100771</v>
      </c>
      <c r="C19580" s="0" t="n">
        <v>100791</v>
      </c>
      <c r="D19580" s="0" t="s">
        <v>65062</v>
      </c>
      <c r="E19580" s="0" t="s">
        <v>75</v>
      </c>
      <c r="F19580" s="0" t="s">
        <v>90</v>
      </c>
      <c r="G19580" s="0" t="s">
        <v>16</v>
      </c>
      <c r="H19580" s="0" t="n">
        <v>82</v>
      </c>
      <c r="I19580" s="0" t="s">
        <v>65069</v>
      </c>
      <c r="J19580" s="0" t="s">
        <v>65070</v>
      </c>
      <c r="K19580" s="0" t="s">
        <v>65071</v>
      </c>
      <c r="L19580" s="0" t="str">
        <f aca="false">HYPERLINK("https://www.ncbi.nlm.nih.gov/nuccore/CP000059.1?report=graph&amp;tracks=[key:gene_model_track,Options:GeneOnly]&amp;mk=100824:100843|offset_30|444444,100802:100821|offset_52|444444,100772:100791|offset_82|00cc00,100738:100757|offset_116|444444&amp;v=100623:100957&amp;c=444444", "offset 82")</f>
        <v>offset 82</v>
      </c>
    </row>
    <row r="19581" customFormat="false" ht="12.8" hidden="false" customHeight="false" outlineLevel="0" collapsed="false">
      <c r="A19581" s="0" t="s">
        <v>64160</v>
      </c>
      <c r="B19581" s="0" t="n">
        <v>100737</v>
      </c>
      <c r="C19581" s="0" t="n">
        <v>100757</v>
      </c>
      <c r="D19581" s="0" t="s">
        <v>65062</v>
      </c>
      <c r="E19581" s="0" t="s">
        <v>75</v>
      </c>
      <c r="F19581" s="0" t="s">
        <v>90</v>
      </c>
      <c r="G19581" s="0" t="s">
        <v>20</v>
      </c>
      <c r="H19581" s="0" t="n">
        <v>116</v>
      </c>
      <c r="I19581" s="0" t="s">
        <v>65072</v>
      </c>
      <c r="J19581" s="0" t="s">
        <v>65073</v>
      </c>
      <c r="K19581" s="0" t="s">
        <v>65074</v>
      </c>
      <c r="L19581" s="0" t="str">
        <f aca="false">HYPERLINK("https://www.ncbi.nlm.nih.gov/nuccore/CP000059.1?report=graph&amp;tracks=[key:gene_model_track,Options:GeneOnly]&amp;mk=100824:100843|offset_30|444444,100802:100821|offset_52|444444,100772:100791|offset_82|444444,100738:100757|offset_116|00cc00&amp;v=100623:100957&amp;c=444444", "offset 116")</f>
        <v>offset 116</v>
      </c>
    </row>
    <row r="19582" customFormat="false" ht="12.8" hidden="false" customHeight="false" outlineLevel="0" collapsed="false">
      <c r="A19582" s="0" t="s">
        <v>64160</v>
      </c>
      <c r="B19582" s="0" t="n">
        <v>103451</v>
      </c>
      <c r="C19582" s="0" t="n">
        <v>103471</v>
      </c>
      <c r="D19582" s="0" t="s">
        <v>65075</v>
      </c>
      <c r="E19582" s="0" t="s">
        <v>65076</v>
      </c>
      <c r="F19582" s="0" t="s">
        <v>90</v>
      </c>
      <c r="G19582" s="0" t="s">
        <v>16</v>
      </c>
      <c r="H19582" s="0" t="n">
        <v>20</v>
      </c>
      <c r="I19582" s="0" t="s">
        <v>65077</v>
      </c>
      <c r="J19582" s="0" t="s">
        <v>65078</v>
      </c>
      <c r="K19582" s="0" t="s">
        <v>65079</v>
      </c>
      <c r="L19582" s="0" t="str">
        <f aca="false">HYPERLINK("https://www.ncbi.nlm.nih.gov/nuccore/CP000059.1?report=graph&amp;tracks=[key:gene_model_track,Options:GeneOnly]&amp;mk=103452:103471|offset_20|00cc00,103402:103421|offset_70|444444,103371:103390|offset_101|444444,103311:103330|offset_161|444444&amp;v=103251:103530&amp;c=444444", "offset 20")</f>
        <v>offset 20</v>
      </c>
    </row>
    <row r="19583" customFormat="false" ht="12.8" hidden="false" customHeight="false" outlineLevel="0" collapsed="false">
      <c r="A19583" s="0" t="s">
        <v>64160</v>
      </c>
      <c r="B19583" s="0" t="n">
        <v>103401</v>
      </c>
      <c r="C19583" s="0" t="n">
        <v>103421</v>
      </c>
      <c r="D19583" s="0" t="s">
        <v>65075</v>
      </c>
      <c r="E19583" s="0" t="s">
        <v>65076</v>
      </c>
      <c r="F19583" s="0" t="s">
        <v>90</v>
      </c>
      <c r="G19583" s="0" t="s">
        <v>16</v>
      </c>
      <c r="H19583" s="0" t="n">
        <v>70</v>
      </c>
      <c r="I19583" s="0" t="s">
        <v>65080</v>
      </c>
      <c r="J19583" s="0" t="s">
        <v>65081</v>
      </c>
      <c r="K19583" s="0" t="s">
        <v>65082</v>
      </c>
      <c r="L19583" s="0" t="str">
        <f aca="false">HYPERLINK("https://www.ncbi.nlm.nih.gov/nuccore/CP000059.1?report=graph&amp;tracks=[key:gene_model_track,Options:GeneOnly]&amp;mk=103452:103471|offset_20|444444,103402:103421|offset_70|00cc00,103371:103390|offset_101|444444,103311:103330|offset_161|444444&amp;v=103251:103530&amp;c=444444", "offset 70")</f>
        <v>offset 70</v>
      </c>
    </row>
    <row r="19584" customFormat="false" ht="12.8" hidden="false" customHeight="false" outlineLevel="0" collapsed="false">
      <c r="A19584" s="0" t="s">
        <v>64160</v>
      </c>
      <c r="B19584" s="0" t="n">
        <v>103370</v>
      </c>
      <c r="C19584" s="0" t="n">
        <v>103390</v>
      </c>
      <c r="D19584" s="0" t="s">
        <v>65075</v>
      </c>
      <c r="E19584" s="0" t="s">
        <v>65076</v>
      </c>
      <c r="F19584" s="0" t="s">
        <v>90</v>
      </c>
      <c r="G19584" s="0" t="s">
        <v>36</v>
      </c>
      <c r="H19584" s="0" t="n">
        <v>101</v>
      </c>
      <c r="I19584" s="0" t="s">
        <v>65083</v>
      </c>
      <c r="J19584" s="0" t="s">
        <v>65084</v>
      </c>
      <c r="K19584" s="0" t="s">
        <v>65085</v>
      </c>
      <c r="L19584" s="0" t="str">
        <f aca="false">HYPERLINK("https://www.ncbi.nlm.nih.gov/nuccore/CP000059.1?report=graph&amp;tracks=[key:gene_model_track,Options:GeneOnly]&amp;mk=103452:103471|offset_20|444444,103402:103421|offset_70|444444,103371:103390|offset_101|00cc00,103311:103330|offset_161|444444&amp;v=103251:103530&amp;c=444444", "offset 101")</f>
        <v>offset 101</v>
      </c>
    </row>
    <row r="19585" customFormat="false" ht="12.8" hidden="false" customHeight="false" outlineLevel="0" collapsed="false">
      <c r="A19585" s="0" t="s">
        <v>64160</v>
      </c>
      <c r="B19585" s="0" t="n">
        <v>103310</v>
      </c>
      <c r="C19585" s="0" t="n">
        <v>103330</v>
      </c>
      <c r="D19585" s="0" t="s">
        <v>65075</v>
      </c>
      <c r="E19585" s="0" t="s">
        <v>65076</v>
      </c>
      <c r="F19585" s="0" t="s">
        <v>90</v>
      </c>
      <c r="G19585" s="0" t="s">
        <v>20</v>
      </c>
      <c r="H19585" s="0" t="n">
        <v>161</v>
      </c>
      <c r="I19585" s="0" t="s">
        <v>65086</v>
      </c>
      <c r="J19585" s="0" t="s">
        <v>65087</v>
      </c>
      <c r="K19585" s="0" t="s">
        <v>65088</v>
      </c>
      <c r="L19585" s="0" t="str">
        <f aca="false">HYPERLINK("https://www.ncbi.nlm.nih.gov/nuccore/CP000059.1?report=graph&amp;tracks=[key:gene_model_track,Options:GeneOnly]&amp;mk=103452:103471|offset_20|444444,103402:103421|offset_70|444444,103371:103390|offset_101|444444,103311:103330|offset_161|00cc00&amp;v=103251:103530&amp;c=444444", "offset 161")</f>
        <v>offset 161</v>
      </c>
    </row>
    <row r="19586" customFormat="false" ht="12.8" hidden="false" customHeight="false" outlineLevel="0" collapsed="false">
      <c r="A19586" s="0" t="s">
        <v>64160</v>
      </c>
      <c r="B19586" s="0" t="n">
        <v>105423</v>
      </c>
      <c r="C19586" s="0" t="n">
        <v>105443</v>
      </c>
      <c r="D19586" s="0" t="s">
        <v>65089</v>
      </c>
      <c r="E19586" s="0" t="s">
        <v>65090</v>
      </c>
      <c r="F19586" s="0" t="s">
        <v>90</v>
      </c>
      <c r="G19586" s="0" t="s">
        <v>32</v>
      </c>
      <c r="H19586" s="0" t="n">
        <v>33</v>
      </c>
      <c r="I19586" s="0" t="s">
        <v>65091</v>
      </c>
      <c r="J19586" s="0" t="s">
        <v>65092</v>
      </c>
      <c r="K19586" s="0" t="s">
        <v>65093</v>
      </c>
      <c r="L19586" s="0" t="str">
        <f aca="false">HYPERLINK("https://www.ncbi.nlm.nih.gov/nuccore/CP000059.1?report=graph&amp;tracks=[key:gene_model_track,Options:GeneOnly]&amp;mk=105424:105443|offset_33|00cc00,105381:105400|offset_76|444444,105349:105368|offset_108|444444,105300:105319|offset_157|444444&amp;v=105223:105519&amp;c=444444", "offset 33")</f>
        <v>offset 33</v>
      </c>
    </row>
    <row r="19587" customFormat="false" ht="12.8" hidden="false" customHeight="false" outlineLevel="0" collapsed="false">
      <c r="A19587" s="0" t="s">
        <v>64160</v>
      </c>
      <c r="B19587" s="0" t="n">
        <v>105380</v>
      </c>
      <c r="C19587" s="0" t="n">
        <v>105400</v>
      </c>
      <c r="D19587" s="0" t="s">
        <v>65089</v>
      </c>
      <c r="E19587" s="0" t="s">
        <v>65090</v>
      </c>
      <c r="F19587" s="0" t="s">
        <v>90</v>
      </c>
      <c r="G19587" s="0" t="s">
        <v>32</v>
      </c>
      <c r="H19587" s="0" t="n">
        <v>76</v>
      </c>
      <c r="I19587" s="0" t="s">
        <v>65094</v>
      </c>
      <c r="J19587" s="0" t="s">
        <v>65095</v>
      </c>
      <c r="K19587" s="0" t="s">
        <v>65096</v>
      </c>
      <c r="L19587" s="0" t="str">
        <f aca="false">HYPERLINK("https://www.ncbi.nlm.nih.gov/nuccore/CP000059.1?report=graph&amp;tracks=[key:gene_model_track,Options:GeneOnly]&amp;mk=105424:105443|offset_33|444444,105381:105400|offset_76|00cc00,105349:105368|offset_108|444444,105300:105319|offset_157|444444&amp;v=105223:105519&amp;c=444444", "offset 76")</f>
        <v>offset 76</v>
      </c>
    </row>
    <row r="19588" customFormat="false" ht="12.8" hidden="false" customHeight="false" outlineLevel="0" collapsed="false">
      <c r="A19588" s="0" t="s">
        <v>64160</v>
      </c>
      <c r="B19588" s="0" t="n">
        <v>105348</v>
      </c>
      <c r="C19588" s="0" t="n">
        <v>105368</v>
      </c>
      <c r="D19588" s="0" t="s">
        <v>65089</v>
      </c>
      <c r="E19588" s="0" t="s">
        <v>65090</v>
      </c>
      <c r="F19588" s="0" t="s">
        <v>90</v>
      </c>
      <c r="G19588" s="0" t="s">
        <v>20</v>
      </c>
      <c r="H19588" s="0" t="n">
        <v>108</v>
      </c>
      <c r="I19588" s="0" t="s">
        <v>65097</v>
      </c>
      <c r="J19588" s="0" t="s">
        <v>65098</v>
      </c>
      <c r="K19588" s="0" t="s">
        <v>65099</v>
      </c>
      <c r="L19588" s="0" t="str">
        <f aca="false">HYPERLINK("https://www.ncbi.nlm.nih.gov/nuccore/CP000059.1?report=graph&amp;tracks=[key:gene_model_track,Options:GeneOnly]&amp;mk=105424:105443|offset_33|444444,105381:105400|offset_76|444444,105349:105368|offset_108|00cc00,105300:105319|offset_157|444444&amp;v=105223:105519&amp;c=444444", "offset 108")</f>
        <v>offset 108</v>
      </c>
    </row>
    <row r="19589" customFormat="false" ht="12.8" hidden="false" customHeight="false" outlineLevel="0" collapsed="false">
      <c r="A19589" s="0" t="s">
        <v>64160</v>
      </c>
      <c r="B19589" s="0" t="n">
        <v>105299</v>
      </c>
      <c r="C19589" s="0" t="n">
        <v>105319</v>
      </c>
      <c r="D19589" s="0" t="s">
        <v>65089</v>
      </c>
      <c r="E19589" s="0" t="s">
        <v>65090</v>
      </c>
      <c r="F19589" s="0" t="s">
        <v>90</v>
      </c>
      <c r="G19589" s="0" t="s">
        <v>20</v>
      </c>
      <c r="H19589" s="0" t="n">
        <v>157</v>
      </c>
      <c r="I19589" s="0" t="s">
        <v>65100</v>
      </c>
      <c r="J19589" s="0" t="s">
        <v>65101</v>
      </c>
      <c r="K19589" s="0" t="s">
        <v>65102</v>
      </c>
      <c r="L19589" s="0" t="str">
        <f aca="false">HYPERLINK("https://www.ncbi.nlm.nih.gov/nuccore/CP000059.1?report=graph&amp;tracks=[key:gene_model_track,Options:GeneOnly]&amp;mk=105424:105443|offset_33|444444,105381:105400|offset_76|444444,105349:105368|offset_108|444444,105300:105319|offset_157|00cc00&amp;v=105223:105519&amp;c=444444", "offset 157")</f>
        <v>offset 157</v>
      </c>
    </row>
    <row r="19590" customFormat="false" ht="12.8" hidden="false" customHeight="false" outlineLevel="0" collapsed="false">
      <c r="A19590" s="0" t="s">
        <v>64160</v>
      </c>
      <c r="B19590" s="0" t="n">
        <v>105698</v>
      </c>
      <c r="C19590" s="0" t="n">
        <v>105718</v>
      </c>
      <c r="D19590" s="0" t="s">
        <v>65103</v>
      </c>
      <c r="E19590" s="0" t="s">
        <v>75</v>
      </c>
      <c r="F19590" s="0" t="s">
        <v>90</v>
      </c>
      <c r="G19590" s="0" t="s">
        <v>16</v>
      </c>
      <c r="H19590" s="0" t="n">
        <v>15</v>
      </c>
      <c r="I19590" s="0" t="s">
        <v>65104</v>
      </c>
      <c r="J19590" s="0" t="s">
        <v>65105</v>
      </c>
      <c r="K19590" s="0" t="s">
        <v>65106</v>
      </c>
      <c r="L19590" s="0" t="str">
        <f aca="false">HYPERLINK("https://www.ncbi.nlm.nih.gov/nuccore/CP000059.1?report=graph&amp;tracks=[key:gene_model_track,Options:GeneOnly]&amp;mk=105699:105718|offset_15|00cc00,105658:105677|offset_56|444444,105579:105598|offset_135|444444&amp;v=105498:105798&amp;c=444444", "offset 15")</f>
        <v>offset 15</v>
      </c>
    </row>
    <row r="19591" customFormat="false" ht="12.8" hidden="false" customHeight="false" outlineLevel="0" collapsed="false">
      <c r="A19591" s="0" t="s">
        <v>64160</v>
      </c>
      <c r="B19591" s="0" t="n">
        <v>105657</v>
      </c>
      <c r="C19591" s="0" t="n">
        <v>105677</v>
      </c>
      <c r="D19591" s="0" t="s">
        <v>65103</v>
      </c>
      <c r="E19591" s="0" t="s">
        <v>75</v>
      </c>
      <c r="F19591" s="0" t="s">
        <v>90</v>
      </c>
      <c r="G19591" s="0" t="s">
        <v>32</v>
      </c>
      <c r="H19591" s="0" t="n">
        <v>56</v>
      </c>
      <c r="I19591" s="0" t="s">
        <v>65107</v>
      </c>
      <c r="J19591" s="0" t="s">
        <v>65108</v>
      </c>
      <c r="K19591" s="0" t="s">
        <v>65109</v>
      </c>
      <c r="L19591" s="0" t="str">
        <f aca="false">HYPERLINK("https://www.ncbi.nlm.nih.gov/nuccore/CP000059.1?report=graph&amp;tracks=[key:gene_model_track,Options:GeneOnly]&amp;mk=105699:105718|offset_15|444444,105658:105677|offset_56|00cc00,105579:105598|offset_135|444444&amp;v=105498:105798&amp;c=444444", "offset 56")</f>
        <v>offset 56</v>
      </c>
    </row>
    <row r="19592" customFormat="false" ht="12.8" hidden="false" customHeight="false" outlineLevel="0" collapsed="false">
      <c r="A19592" s="0" t="s">
        <v>64160</v>
      </c>
      <c r="B19592" s="0" t="n">
        <v>105578</v>
      </c>
      <c r="C19592" s="0" t="n">
        <v>105598</v>
      </c>
      <c r="D19592" s="0" t="s">
        <v>65103</v>
      </c>
      <c r="E19592" s="0" t="s">
        <v>75</v>
      </c>
      <c r="F19592" s="0" t="s">
        <v>90</v>
      </c>
      <c r="G19592" s="0" t="s">
        <v>16</v>
      </c>
      <c r="H19592" s="0" t="n">
        <v>135</v>
      </c>
      <c r="I19592" s="0" t="s">
        <v>65110</v>
      </c>
      <c r="J19592" s="0" t="s">
        <v>65111</v>
      </c>
      <c r="K19592" s="0" t="s">
        <v>65112</v>
      </c>
      <c r="L19592" s="0" t="str">
        <f aca="false">HYPERLINK("https://www.ncbi.nlm.nih.gov/nuccore/CP000059.1?report=graph&amp;tracks=[key:gene_model_track,Options:GeneOnly]&amp;mk=105699:105718|offset_15|444444,105658:105677|offset_56|444444,105579:105598|offset_135|00cc00&amp;v=105498:105798&amp;c=444444", "offset 135")</f>
        <v>offset 135</v>
      </c>
    </row>
    <row r="19593" customFormat="false" ht="12.8" hidden="false" customHeight="false" outlineLevel="0" collapsed="false">
      <c r="A19593" s="0" t="s">
        <v>64160</v>
      </c>
      <c r="B19593" s="0" t="n">
        <v>106783</v>
      </c>
      <c r="C19593" s="0" t="n">
        <v>106803</v>
      </c>
      <c r="D19593" s="0" t="s">
        <v>65113</v>
      </c>
      <c r="E19593" s="0" t="s">
        <v>75</v>
      </c>
      <c r="F19593" s="0" t="s">
        <v>90</v>
      </c>
      <c r="G19593" s="0" t="s">
        <v>20</v>
      </c>
      <c r="H19593" s="0" t="n">
        <v>11</v>
      </c>
      <c r="I19593" s="0" t="s">
        <v>65114</v>
      </c>
      <c r="J19593" s="0" t="s">
        <v>65115</v>
      </c>
      <c r="K19593" s="0" t="s">
        <v>65116</v>
      </c>
      <c r="L19593" s="0" t="str">
        <f aca="false">HYPERLINK("https://www.ncbi.nlm.nih.gov/nuccore/CP000059.1?report=graph&amp;tracks=[key:gene_model_track,Options:GeneOnly]&amp;mk=106784:106803|offset_11|00cc00,106760:106779|offset_35|444444,106733:106752|offset_62|444444,106680:106699|offset_115|444444&amp;v=106583:106899&amp;c=444444", "offset 11")</f>
        <v>offset 11</v>
      </c>
    </row>
    <row r="19594" customFormat="false" ht="12.8" hidden="false" customHeight="false" outlineLevel="0" collapsed="false">
      <c r="A19594" s="0" t="s">
        <v>64160</v>
      </c>
      <c r="B19594" s="0" t="n">
        <v>106759</v>
      </c>
      <c r="C19594" s="0" t="n">
        <v>106779</v>
      </c>
      <c r="D19594" s="0" t="s">
        <v>65113</v>
      </c>
      <c r="E19594" s="0" t="s">
        <v>75</v>
      </c>
      <c r="F19594" s="0" t="s">
        <v>90</v>
      </c>
      <c r="G19594" s="0" t="s">
        <v>16</v>
      </c>
      <c r="H19594" s="0" t="n">
        <v>35</v>
      </c>
      <c r="I19594" s="0" t="s">
        <v>65117</v>
      </c>
      <c r="J19594" s="0" t="s">
        <v>65118</v>
      </c>
      <c r="K19594" s="0" t="s">
        <v>65119</v>
      </c>
      <c r="L19594" s="0" t="str">
        <f aca="false">HYPERLINK("https://www.ncbi.nlm.nih.gov/nuccore/CP000059.1?report=graph&amp;tracks=[key:gene_model_track,Options:GeneOnly]&amp;mk=106784:106803|offset_11|444444,106760:106779|offset_35|00cc00,106733:106752|offset_62|444444,106680:106699|offset_115|444444&amp;v=106583:106899&amp;c=444444", "offset 35")</f>
        <v>offset 35</v>
      </c>
    </row>
    <row r="19595" customFormat="false" ht="12.8" hidden="false" customHeight="false" outlineLevel="0" collapsed="false">
      <c r="A19595" s="0" t="s">
        <v>64160</v>
      </c>
      <c r="B19595" s="0" t="n">
        <v>106732</v>
      </c>
      <c r="C19595" s="0" t="n">
        <v>106752</v>
      </c>
      <c r="D19595" s="0" t="s">
        <v>65113</v>
      </c>
      <c r="E19595" s="0" t="s">
        <v>75</v>
      </c>
      <c r="F19595" s="0" t="s">
        <v>90</v>
      </c>
      <c r="G19595" s="0" t="s">
        <v>32</v>
      </c>
      <c r="H19595" s="0" t="n">
        <v>62</v>
      </c>
      <c r="I19595" s="0" t="s">
        <v>65120</v>
      </c>
      <c r="J19595" s="0" t="s">
        <v>65121</v>
      </c>
      <c r="K19595" s="0" t="s">
        <v>65122</v>
      </c>
      <c r="L19595" s="0" t="str">
        <f aca="false">HYPERLINK("https://www.ncbi.nlm.nih.gov/nuccore/CP000059.1?report=graph&amp;tracks=[key:gene_model_track,Options:GeneOnly]&amp;mk=106784:106803|offset_11|444444,106760:106779|offset_35|444444,106733:106752|offset_62|00cc00,106680:106699|offset_115|444444&amp;v=106583:106899&amp;c=444444", "offset 62")</f>
        <v>offset 62</v>
      </c>
    </row>
    <row r="19596" customFormat="false" ht="12.8" hidden="false" customHeight="false" outlineLevel="0" collapsed="false">
      <c r="A19596" s="0" t="s">
        <v>64160</v>
      </c>
      <c r="B19596" s="0" t="n">
        <v>106679</v>
      </c>
      <c r="C19596" s="0" t="n">
        <v>106699</v>
      </c>
      <c r="D19596" s="0" t="s">
        <v>65113</v>
      </c>
      <c r="E19596" s="0" t="s">
        <v>75</v>
      </c>
      <c r="F19596" s="0" t="s">
        <v>90</v>
      </c>
      <c r="G19596" s="0" t="s">
        <v>32</v>
      </c>
      <c r="H19596" s="0" t="n">
        <v>115</v>
      </c>
      <c r="I19596" s="0" t="s">
        <v>65123</v>
      </c>
      <c r="J19596" s="0" t="s">
        <v>65124</v>
      </c>
      <c r="K19596" s="0" t="s">
        <v>65125</v>
      </c>
      <c r="L19596" s="0" t="str">
        <f aca="false">HYPERLINK("https://www.ncbi.nlm.nih.gov/nuccore/CP000059.1?report=graph&amp;tracks=[key:gene_model_track,Options:GeneOnly]&amp;mk=106784:106803|offset_11|444444,106760:106779|offset_35|444444,106733:106752|offset_62|444444,106680:106699|offset_115|00cc00&amp;v=106583:106899&amp;c=444444", "offset 115")</f>
        <v>offset 115</v>
      </c>
    </row>
    <row r="19597" customFormat="false" ht="12.8" hidden="false" customHeight="false" outlineLevel="0" collapsed="false">
      <c r="A19597" s="0" t="s">
        <v>64160</v>
      </c>
      <c r="B19597" s="0" t="n">
        <v>107083</v>
      </c>
      <c r="C19597" s="0" t="n">
        <v>107103</v>
      </c>
      <c r="D19597" s="0" t="s">
        <v>65126</v>
      </c>
      <c r="E19597" s="0" t="s">
        <v>75</v>
      </c>
      <c r="F19597" s="0" t="s">
        <v>90</v>
      </c>
      <c r="G19597" s="0" t="s">
        <v>16</v>
      </c>
      <c r="H19597" s="0" t="n">
        <v>7</v>
      </c>
      <c r="I19597" s="0" t="s">
        <v>65127</v>
      </c>
      <c r="J19597" s="0" t="s">
        <v>65128</v>
      </c>
      <c r="K19597" s="0" t="s">
        <v>65129</v>
      </c>
      <c r="L19597" s="0" t="str">
        <f aca="false">HYPERLINK("https://www.ncbi.nlm.nih.gov/nuccore/CP000059.1?report=graph&amp;tracks=[key:gene_model_track,Options:GeneOnly]&amp;mk=107084:107103|offset_7|00cc00,107053:107072|offset_38|444444,107030:107049|offset_61|444444,107001:107020|offset_90|444444&amp;v=106883:107220&amp;c=444444", "offset 7")</f>
        <v>offset 7</v>
      </c>
    </row>
    <row r="19598" customFormat="false" ht="12.8" hidden="false" customHeight="false" outlineLevel="0" collapsed="false">
      <c r="A19598" s="0" t="s">
        <v>64160</v>
      </c>
      <c r="B19598" s="0" t="n">
        <v>107052</v>
      </c>
      <c r="C19598" s="0" t="n">
        <v>107072</v>
      </c>
      <c r="D19598" s="0" t="s">
        <v>65126</v>
      </c>
      <c r="E19598" s="0" t="s">
        <v>75</v>
      </c>
      <c r="F19598" s="0" t="s">
        <v>90</v>
      </c>
      <c r="G19598" s="0" t="s">
        <v>32</v>
      </c>
      <c r="H19598" s="0" t="n">
        <v>38</v>
      </c>
      <c r="I19598" s="0" t="s">
        <v>65130</v>
      </c>
      <c r="J19598" s="0" t="s">
        <v>65131</v>
      </c>
      <c r="K19598" s="0" t="s">
        <v>65132</v>
      </c>
      <c r="L19598" s="0" t="str">
        <f aca="false">HYPERLINK("https://www.ncbi.nlm.nih.gov/nuccore/CP000059.1?report=graph&amp;tracks=[key:gene_model_track,Options:GeneOnly]&amp;mk=107084:107103|offset_7|444444,107053:107072|offset_38|00cc00,107030:107049|offset_61|444444,107001:107020|offset_90|444444&amp;v=106883:107220&amp;c=444444", "offset 38")</f>
        <v>offset 38</v>
      </c>
    </row>
    <row r="19599" customFormat="false" ht="12.8" hidden="false" customHeight="false" outlineLevel="0" collapsed="false">
      <c r="A19599" s="0" t="s">
        <v>64160</v>
      </c>
      <c r="B19599" s="0" t="n">
        <v>107029</v>
      </c>
      <c r="C19599" s="0" t="n">
        <v>107049</v>
      </c>
      <c r="D19599" s="0" t="s">
        <v>65126</v>
      </c>
      <c r="E19599" s="0" t="s">
        <v>75</v>
      </c>
      <c r="F19599" s="0" t="s">
        <v>90</v>
      </c>
      <c r="G19599" s="0" t="s">
        <v>32</v>
      </c>
      <c r="H19599" s="0" t="n">
        <v>61</v>
      </c>
      <c r="I19599" s="0" t="s">
        <v>65133</v>
      </c>
      <c r="J19599" s="0" t="s">
        <v>65134</v>
      </c>
      <c r="K19599" s="0" t="s">
        <v>65135</v>
      </c>
      <c r="L19599" s="0" t="str">
        <f aca="false">HYPERLINK("https://www.ncbi.nlm.nih.gov/nuccore/CP000059.1?report=graph&amp;tracks=[key:gene_model_track,Options:GeneOnly]&amp;mk=107084:107103|offset_7|444444,107053:107072|offset_38|444444,107030:107049|offset_61|00cc00,107001:107020|offset_90|444444&amp;v=106883:107220&amp;c=444444", "offset 61")</f>
        <v>offset 61</v>
      </c>
    </row>
    <row r="19600" customFormat="false" ht="12.8" hidden="false" customHeight="false" outlineLevel="0" collapsed="false">
      <c r="A19600" s="0" t="s">
        <v>64160</v>
      </c>
      <c r="B19600" s="0" t="n">
        <v>107000</v>
      </c>
      <c r="C19600" s="0" t="n">
        <v>107020</v>
      </c>
      <c r="D19600" s="0" t="s">
        <v>65126</v>
      </c>
      <c r="E19600" s="0" t="s">
        <v>75</v>
      </c>
      <c r="F19600" s="0" t="s">
        <v>90</v>
      </c>
      <c r="G19600" s="0" t="s">
        <v>16</v>
      </c>
      <c r="H19600" s="0" t="n">
        <v>90</v>
      </c>
      <c r="I19600" s="0" t="s">
        <v>65136</v>
      </c>
      <c r="J19600" s="0" t="s">
        <v>65137</v>
      </c>
      <c r="K19600" s="0" t="s">
        <v>65138</v>
      </c>
      <c r="L19600" s="0" t="str">
        <f aca="false">HYPERLINK("https://www.ncbi.nlm.nih.gov/nuccore/CP000059.1?report=graph&amp;tracks=[key:gene_model_track,Options:GeneOnly]&amp;mk=107084:107103|offset_7|444444,107053:107072|offset_38|444444,107030:107049|offset_61|444444,107001:107020|offset_90|00cc00&amp;v=106883:107220&amp;c=444444", "offset 90")</f>
        <v>offset 90</v>
      </c>
    </row>
    <row r="19601" customFormat="false" ht="12.8" hidden="false" customHeight="false" outlineLevel="0" collapsed="false">
      <c r="A19601" s="0" t="s">
        <v>64160</v>
      </c>
      <c r="B19601" s="0" t="n">
        <v>108700</v>
      </c>
      <c r="C19601" s="0" t="n">
        <v>108720</v>
      </c>
      <c r="D19601" s="0" t="s">
        <v>65139</v>
      </c>
      <c r="E19601" s="0" t="s">
        <v>65140</v>
      </c>
      <c r="F19601" s="0" t="s">
        <v>90</v>
      </c>
      <c r="G19601" s="0" t="s">
        <v>16</v>
      </c>
      <c r="H19601" s="0" t="n">
        <v>6</v>
      </c>
      <c r="I19601" s="0" t="s">
        <v>65141</v>
      </c>
      <c r="J19601" s="0" t="s">
        <v>65142</v>
      </c>
      <c r="K19601" s="0" t="s">
        <v>65143</v>
      </c>
      <c r="L19601" s="0" t="str">
        <f aca="false">HYPERLINK("https://www.ncbi.nlm.nih.gov/nuccore/CP000059.1?report=graph&amp;tracks=[key:gene_model_track,Options:GeneOnly]&amp;mk=108701:108720|offset_6|00cc00,108680:108699|offset_27|444444,108641:108660|offset_66|444444,108616:108635|offset_91|444444&amp;v=108500:108835&amp;c=444444", "offset 6")</f>
        <v>offset 6</v>
      </c>
    </row>
    <row r="19602" customFormat="false" ht="12.8" hidden="false" customHeight="false" outlineLevel="0" collapsed="false">
      <c r="A19602" s="0" t="s">
        <v>64160</v>
      </c>
      <c r="B19602" s="0" t="n">
        <v>108679</v>
      </c>
      <c r="C19602" s="0" t="n">
        <v>108699</v>
      </c>
      <c r="D19602" s="0" t="s">
        <v>65139</v>
      </c>
      <c r="E19602" s="0" t="s">
        <v>65140</v>
      </c>
      <c r="F19602" s="0" t="s">
        <v>90</v>
      </c>
      <c r="G19602" s="0" t="s">
        <v>32</v>
      </c>
      <c r="H19602" s="0" t="n">
        <v>27</v>
      </c>
      <c r="I19602" s="0" t="s">
        <v>65144</v>
      </c>
      <c r="J19602" s="0" t="s">
        <v>65145</v>
      </c>
      <c r="K19602" s="0" t="s">
        <v>65146</v>
      </c>
      <c r="L19602" s="0" t="str">
        <f aca="false">HYPERLINK("https://www.ncbi.nlm.nih.gov/nuccore/CP000059.1?report=graph&amp;tracks=[key:gene_model_track,Options:GeneOnly]&amp;mk=108701:108720|offset_6|444444,108680:108699|offset_27|00cc00,108641:108660|offset_66|444444,108616:108635|offset_91|444444&amp;v=108500:108835&amp;c=444444", "offset 27")</f>
        <v>offset 27</v>
      </c>
    </row>
    <row r="19603" customFormat="false" ht="12.8" hidden="false" customHeight="false" outlineLevel="0" collapsed="false">
      <c r="A19603" s="0" t="s">
        <v>64160</v>
      </c>
      <c r="B19603" s="0" t="n">
        <v>108640</v>
      </c>
      <c r="C19603" s="0" t="n">
        <v>108660</v>
      </c>
      <c r="D19603" s="0" t="s">
        <v>65139</v>
      </c>
      <c r="E19603" s="0" t="s">
        <v>65140</v>
      </c>
      <c r="F19603" s="0" t="s">
        <v>90</v>
      </c>
      <c r="G19603" s="0" t="s">
        <v>32</v>
      </c>
      <c r="H19603" s="0" t="n">
        <v>66</v>
      </c>
      <c r="I19603" s="0" t="s">
        <v>65147</v>
      </c>
      <c r="J19603" s="0" t="s">
        <v>65148</v>
      </c>
      <c r="K19603" s="0" t="s">
        <v>65149</v>
      </c>
      <c r="L19603" s="0" t="str">
        <f aca="false">HYPERLINK("https://www.ncbi.nlm.nih.gov/nuccore/CP000059.1?report=graph&amp;tracks=[key:gene_model_track,Options:GeneOnly]&amp;mk=108701:108720|offset_6|444444,108680:108699|offset_27|444444,108641:108660|offset_66|00cc00,108616:108635|offset_91|444444&amp;v=108500:108835&amp;c=444444", "offset 66")</f>
        <v>offset 66</v>
      </c>
    </row>
    <row r="19604" customFormat="false" ht="12.8" hidden="false" customHeight="false" outlineLevel="0" collapsed="false">
      <c r="A19604" s="0" t="s">
        <v>64160</v>
      </c>
      <c r="B19604" s="0" t="n">
        <v>108615</v>
      </c>
      <c r="C19604" s="0" t="n">
        <v>108635</v>
      </c>
      <c r="D19604" s="0" t="s">
        <v>65139</v>
      </c>
      <c r="E19604" s="0" t="s">
        <v>65140</v>
      </c>
      <c r="F19604" s="0" t="s">
        <v>90</v>
      </c>
      <c r="G19604" s="0" t="s">
        <v>32</v>
      </c>
      <c r="H19604" s="0" t="n">
        <v>91</v>
      </c>
      <c r="I19604" s="0" t="s">
        <v>65150</v>
      </c>
      <c r="J19604" s="0" t="s">
        <v>65151</v>
      </c>
      <c r="K19604" s="0" t="s">
        <v>65152</v>
      </c>
      <c r="L19604" s="0" t="str">
        <f aca="false">HYPERLINK("https://www.ncbi.nlm.nih.gov/nuccore/CP000059.1?report=graph&amp;tracks=[key:gene_model_track,Options:GeneOnly]&amp;mk=108701:108720|offset_6|444444,108680:108699|offset_27|444444,108641:108660|offset_66|444444,108616:108635|offset_91|00cc00&amp;v=108500:108835&amp;c=444444", "offset 91")</f>
        <v>offset 91</v>
      </c>
    </row>
    <row r="19605" customFormat="false" ht="12.8" hidden="false" customHeight="false" outlineLevel="0" collapsed="false">
      <c r="A19605" s="0" t="s">
        <v>64160</v>
      </c>
      <c r="B19605" s="0" t="n">
        <v>110769</v>
      </c>
      <c r="C19605" s="0" t="n">
        <v>110789</v>
      </c>
      <c r="D19605" s="0" t="s">
        <v>65153</v>
      </c>
      <c r="E19605" s="0" t="s">
        <v>75</v>
      </c>
      <c r="F19605" s="0" t="s">
        <v>15</v>
      </c>
      <c r="G19605" s="0" t="s">
        <v>36</v>
      </c>
      <c r="H19605" s="0" t="n">
        <v>99</v>
      </c>
      <c r="I19605" s="0" t="s">
        <v>65154</v>
      </c>
      <c r="J19605" s="0" t="s">
        <v>65155</v>
      </c>
      <c r="K19605" s="0" t="s">
        <v>65156</v>
      </c>
      <c r="L19605" s="0" t="str">
        <f aca="false">HYPERLINK("https://www.ncbi.nlm.nih.gov/nuccore/CP000059.1?report=graph&amp;tracks=[key:gene_model_track,Options:GeneOnly]&amp;mk=110770:110789|offset_99|00cc00,110791:110810|offset_120|444444,110813:110832|offset_142|444444,110840:110859|offset_169|444444&amp;v=110569:111059&amp;c=444444", "offset 99")</f>
        <v>offset 99</v>
      </c>
    </row>
    <row r="19606" customFormat="false" ht="12.8" hidden="false" customHeight="false" outlineLevel="0" collapsed="false">
      <c r="A19606" s="0" t="s">
        <v>64160</v>
      </c>
      <c r="B19606" s="0" t="n">
        <v>110790</v>
      </c>
      <c r="C19606" s="0" t="n">
        <v>110810</v>
      </c>
      <c r="D19606" s="0" t="s">
        <v>65153</v>
      </c>
      <c r="E19606" s="0" t="s">
        <v>75</v>
      </c>
      <c r="F19606" s="0" t="s">
        <v>15</v>
      </c>
      <c r="G19606" s="0" t="s">
        <v>16</v>
      </c>
      <c r="H19606" s="0" t="n">
        <v>120</v>
      </c>
      <c r="I19606" s="0" t="s">
        <v>65157</v>
      </c>
      <c r="J19606" s="0" t="s">
        <v>65158</v>
      </c>
      <c r="K19606" s="0" t="s">
        <v>65159</v>
      </c>
      <c r="L19606" s="0" t="str">
        <f aca="false">HYPERLINK("https://www.ncbi.nlm.nih.gov/nuccore/CP000059.1?report=graph&amp;tracks=[key:gene_model_track,Options:GeneOnly]&amp;mk=110770:110789|offset_99|444444,110791:110810|offset_120|00cc00,110813:110832|offset_142|444444,110840:110859|offset_169|444444&amp;v=110569:111059&amp;c=444444", "offset 120")</f>
        <v>offset 120</v>
      </c>
    </row>
    <row r="19607" customFormat="false" ht="12.8" hidden="false" customHeight="false" outlineLevel="0" collapsed="false">
      <c r="A19607" s="0" t="s">
        <v>64160</v>
      </c>
      <c r="B19607" s="0" t="n">
        <v>110812</v>
      </c>
      <c r="C19607" s="0" t="n">
        <v>110832</v>
      </c>
      <c r="D19607" s="0" t="s">
        <v>65153</v>
      </c>
      <c r="E19607" s="0" t="s">
        <v>75</v>
      </c>
      <c r="F19607" s="0" t="s">
        <v>15</v>
      </c>
      <c r="G19607" s="0" t="s">
        <v>16</v>
      </c>
      <c r="H19607" s="0" t="n">
        <v>142</v>
      </c>
      <c r="I19607" s="0" t="s">
        <v>65160</v>
      </c>
      <c r="J19607" s="0" t="s">
        <v>65161</v>
      </c>
      <c r="K19607" s="0" t="s">
        <v>65162</v>
      </c>
      <c r="L19607" s="0" t="str">
        <f aca="false">HYPERLINK("https://www.ncbi.nlm.nih.gov/nuccore/CP000059.1?report=graph&amp;tracks=[key:gene_model_track,Options:GeneOnly]&amp;mk=110770:110789|offset_99|444444,110791:110810|offset_120|444444,110813:110832|offset_142|00cc00,110840:110859|offset_169|444444&amp;v=110569:111059&amp;c=444444", "offset 142")</f>
        <v>offset 142</v>
      </c>
    </row>
    <row r="19608" customFormat="false" ht="12.8" hidden="false" customHeight="false" outlineLevel="0" collapsed="false">
      <c r="A19608" s="0" t="s">
        <v>64160</v>
      </c>
      <c r="B19608" s="0" t="n">
        <v>110839</v>
      </c>
      <c r="C19608" s="0" t="n">
        <v>110859</v>
      </c>
      <c r="D19608" s="0" t="s">
        <v>65153</v>
      </c>
      <c r="E19608" s="0" t="s">
        <v>75</v>
      </c>
      <c r="F19608" s="0" t="s">
        <v>15</v>
      </c>
      <c r="G19608" s="0" t="s">
        <v>32</v>
      </c>
      <c r="H19608" s="0" t="n">
        <v>169</v>
      </c>
      <c r="I19608" s="0" t="s">
        <v>65163</v>
      </c>
      <c r="J19608" s="0" t="s">
        <v>65164</v>
      </c>
      <c r="K19608" s="0" t="s">
        <v>65165</v>
      </c>
      <c r="L19608" s="0" t="str">
        <f aca="false">HYPERLINK("https://www.ncbi.nlm.nih.gov/nuccore/CP000059.1?report=graph&amp;tracks=[key:gene_model_track,Options:GeneOnly]&amp;mk=110770:110789|offset_99|444444,110791:110810|offset_120|444444,110813:110832|offset_142|444444,110840:110859|offset_169|00cc00&amp;v=110569:111059&amp;c=444444", "offset 169")</f>
        <v>offset 169</v>
      </c>
    </row>
    <row r="19609" customFormat="false" ht="12.8" hidden="false" customHeight="false" outlineLevel="0" collapsed="false">
      <c r="A19609" s="0" t="s">
        <v>64160</v>
      </c>
      <c r="B19609" s="0" t="n">
        <v>111838</v>
      </c>
      <c r="C19609" s="0" t="n">
        <v>111858</v>
      </c>
      <c r="D19609" s="0" t="s">
        <v>65166</v>
      </c>
      <c r="E19609" s="0" t="s">
        <v>75</v>
      </c>
      <c r="F19609" s="0" t="s">
        <v>90</v>
      </c>
      <c r="G19609" s="0" t="s">
        <v>16</v>
      </c>
      <c r="H19609" s="0" t="n">
        <v>14</v>
      </c>
      <c r="I19609" s="0" t="s">
        <v>65167</v>
      </c>
      <c r="J19609" s="0" t="s">
        <v>65168</v>
      </c>
      <c r="K19609" s="0" t="s">
        <v>65169</v>
      </c>
      <c r="L19609" s="0" t="str">
        <f aca="false">HYPERLINK("https://www.ncbi.nlm.nih.gov/nuccore/CP000059.1?report=graph&amp;tracks=[key:gene_model_track,Options:GeneOnly]&amp;mk=111839:111858|offset_14|00cc00,111812:111831|offset_41|444444,111788:111807|offset_65|444444,111762:111781|offset_91|444444&amp;v=111638:111981&amp;c=444444", "offset 14")</f>
        <v>offset 14</v>
      </c>
    </row>
    <row r="19610" customFormat="false" ht="12.8" hidden="false" customHeight="false" outlineLevel="0" collapsed="false">
      <c r="A19610" s="0" t="s">
        <v>64160</v>
      </c>
      <c r="B19610" s="0" t="n">
        <v>111811</v>
      </c>
      <c r="C19610" s="0" t="n">
        <v>111831</v>
      </c>
      <c r="D19610" s="0" t="s">
        <v>65166</v>
      </c>
      <c r="E19610" s="0" t="s">
        <v>75</v>
      </c>
      <c r="F19610" s="0" t="s">
        <v>90</v>
      </c>
      <c r="G19610" s="0" t="s">
        <v>36</v>
      </c>
      <c r="H19610" s="0" t="n">
        <v>41</v>
      </c>
      <c r="I19610" s="0" t="s">
        <v>65170</v>
      </c>
      <c r="J19610" s="0" t="s">
        <v>65171</v>
      </c>
      <c r="K19610" s="0" t="s">
        <v>65172</v>
      </c>
      <c r="L19610" s="0" t="str">
        <f aca="false">HYPERLINK("https://www.ncbi.nlm.nih.gov/nuccore/CP000059.1?report=graph&amp;tracks=[key:gene_model_track,Options:GeneOnly]&amp;mk=111839:111858|offset_14|444444,111812:111831|offset_41|00cc00,111788:111807|offset_65|444444,111762:111781|offset_91|444444&amp;v=111638:111981&amp;c=444444", "offset 41")</f>
        <v>offset 41</v>
      </c>
    </row>
    <row r="19611" customFormat="false" ht="12.8" hidden="false" customHeight="false" outlineLevel="0" collapsed="false">
      <c r="A19611" s="0" t="s">
        <v>64160</v>
      </c>
      <c r="B19611" s="0" t="n">
        <v>111787</v>
      </c>
      <c r="C19611" s="0" t="n">
        <v>111807</v>
      </c>
      <c r="D19611" s="0" t="s">
        <v>65166</v>
      </c>
      <c r="E19611" s="0" t="s">
        <v>75</v>
      </c>
      <c r="F19611" s="0" t="s">
        <v>90</v>
      </c>
      <c r="G19611" s="0" t="s">
        <v>32</v>
      </c>
      <c r="H19611" s="0" t="n">
        <v>65</v>
      </c>
      <c r="I19611" s="0" t="s">
        <v>65173</v>
      </c>
      <c r="J19611" s="0" t="s">
        <v>65174</v>
      </c>
      <c r="K19611" s="0" t="s">
        <v>65175</v>
      </c>
      <c r="L19611" s="0" t="str">
        <f aca="false">HYPERLINK("https://www.ncbi.nlm.nih.gov/nuccore/CP000059.1?report=graph&amp;tracks=[key:gene_model_track,Options:GeneOnly]&amp;mk=111839:111858|offset_14|444444,111812:111831|offset_41|444444,111788:111807|offset_65|00cc00,111762:111781|offset_91|444444&amp;v=111638:111981&amp;c=444444", "offset 65")</f>
        <v>offset 65</v>
      </c>
    </row>
    <row r="19612" customFormat="false" ht="12.8" hidden="false" customHeight="false" outlineLevel="0" collapsed="false">
      <c r="A19612" s="0" t="s">
        <v>64160</v>
      </c>
      <c r="B19612" s="0" t="n">
        <v>111761</v>
      </c>
      <c r="C19612" s="0" t="n">
        <v>111781</v>
      </c>
      <c r="D19612" s="0" t="s">
        <v>65166</v>
      </c>
      <c r="E19612" s="0" t="s">
        <v>75</v>
      </c>
      <c r="F19612" s="0" t="s">
        <v>90</v>
      </c>
      <c r="G19612" s="0" t="s">
        <v>36</v>
      </c>
      <c r="H19612" s="0" t="n">
        <v>91</v>
      </c>
      <c r="I19612" s="0" t="s">
        <v>65176</v>
      </c>
      <c r="J19612" s="0" t="s">
        <v>65177</v>
      </c>
      <c r="K19612" s="0" t="s">
        <v>65178</v>
      </c>
      <c r="L19612" s="0" t="str">
        <f aca="false">HYPERLINK("https://www.ncbi.nlm.nih.gov/nuccore/CP000059.1?report=graph&amp;tracks=[key:gene_model_track,Options:GeneOnly]&amp;mk=111839:111858|offset_14|444444,111812:111831|offset_41|444444,111788:111807|offset_65|444444,111762:111781|offset_91|00cc00&amp;v=111638:111981&amp;c=444444", "offset 91")</f>
        <v>offset 91</v>
      </c>
    </row>
    <row r="19613" customFormat="false" ht="12.8" hidden="false" customHeight="false" outlineLevel="0" collapsed="false">
      <c r="A19613" s="0" t="s">
        <v>64160</v>
      </c>
      <c r="B19613" s="0" t="n">
        <v>120449</v>
      </c>
      <c r="C19613" s="0" t="n">
        <v>120469</v>
      </c>
      <c r="D19613" s="0" t="s">
        <v>65179</v>
      </c>
      <c r="E19613" s="0" t="s">
        <v>75</v>
      </c>
      <c r="F19613" s="0" t="s">
        <v>90</v>
      </c>
      <c r="G19613" s="0" t="s">
        <v>36</v>
      </c>
      <c r="H19613" s="0" t="n">
        <v>11</v>
      </c>
      <c r="I19613" s="0" t="s">
        <v>18855</v>
      </c>
      <c r="J19613" s="0" t="s">
        <v>18856</v>
      </c>
      <c r="K19613" s="0" t="s">
        <v>18857</v>
      </c>
      <c r="L19613" s="0" t="str">
        <f aca="false">HYPERLINK("https://www.ncbi.nlm.nih.gov/nuccore/CP000059.1?report=graph&amp;tracks=[key:gene_model_track,Options:GeneOnly]&amp;mk=120450:120469|offset_11|00cc00,120417:120436|offset_44|444444,120396:120415|offset_65|444444,120371:120390|offset_90|444444&amp;v=120249:120590&amp;c=444444", "offset 11")</f>
        <v>offset 11</v>
      </c>
    </row>
    <row r="19614" customFormat="false" ht="12.8" hidden="false" customHeight="false" outlineLevel="0" collapsed="false">
      <c r="A19614" s="0" t="s">
        <v>64160</v>
      </c>
      <c r="B19614" s="0" t="n">
        <v>120416</v>
      </c>
      <c r="C19614" s="0" t="n">
        <v>120436</v>
      </c>
      <c r="D19614" s="0" t="s">
        <v>65179</v>
      </c>
      <c r="E19614" s="0" t="s">
        <v>75</v>
      </c>
      <c r="F19614" s="0" t="s">
        <v>90</v>
      </c>
      <c r="G19614" s="0" t="s">
        <v>16</v>
      </c>
      <c r="H19614" s="0" t="n">
        <v>44</v>
      </c>
      <c r="I19614" s="0" t="s">
        <v>18858</v>
      </c>
      <c r="J19614" s="0" t="s">
        <v>18859</v>
      </c>
      <c r="K19614" s="0" t="s">
        <v>18860</v>
      </c>
      <c r="L19614" s="0" t="str">
        <f aca="false">HYPERLINK("https://www.ncbi.nlm.nih.gov/nuccore/CP000059.1?report=graph&amp;tracks=[key:gene_model_track,Options:GeneOnly]&amp;mk=120450:120469|offset_11|444444,120417:120436|offset_44|00cc00,120396:120415|offset_65|444444,120371:120390|offset_90|444444&amp;v=120249:120590&amp;c=444444", "offset 44")</f>
        <v>offset 44</v>
      </c>
    </row>
    <row r="19615" customFormat="false" ht="12.8" hidden="false" customHeight="false" outlineLevel="0" collapsed="false">
      <c r="A19615" s="0" t="s">
        <v>64160</v>
      </c>
      <c r="B19615" s="0" t="n">
        <v>120395</v>
      </c>
      <c r="C19615" s="0" t="n">
        <v>120415</v>
      </c>
      <c r="D19615" s="0" t="s">
        <v>65179</v>
      </c>
      <c r="E19615" s="0" t="s">
        <v>75</v>
      </c>
      <c r="F19615" s="0" t="s">
        <v>90</v>
      </c>
      <c r="G19615" s="0" t="s">
        <v>32</v>
      </c>
      <c r="H19615" s="0" t="n">
        <v>65</v>
      </c>
      <c r="I19615" s="0" t="s">
        <v>18861</v>
      </c>
      <c r="J19615" s="0" t="s">
        <v>18862</v>
      </c>
      <c r="K19615" s="0" t="s">
        <v>18863</v>
      </c>
      <c r="L19615" s="0" t="str">
        <f aca="false">HYPERLINK("https://www.ncbi.nlm.nih.gov/nuccore/CP000059.1?report=graph&amp;tracks=[key:gene_model_track,Options:GeneOnly]&amp;mk=120450:120469|offset_11|444444,120417:120436|offset_44|444444,120396:120415|offset_65|00cc00,120371:120390|offset_90|444444&amp;v=120249:120590&amp;c=444444", "offset 65")</f>
        <v>offset 65</v>
      </c>
    </row>
    <row r="19616" customFormat="false" ht="12.8" hidden="false" customHeight="false" outlineLevel="0" collapsed="false">
      <c r="A19616" s="0" t="s">
        <v>64160</v>
      </c>
      <c r="B19616" s="0" t="n">
        <v>120370</v>
      </c>
      <c r="C19616" s="0" t="n">
        <v>120390</v>
      </c>
      <c r="D19616" s="0" t="s">
        <v>65179</v>
      </c>
      <c r="E19616" s="0" t="s">
        <v>75</v>
      </c>
      <c r="F19616" s="0" t="s">
        <v>90</v>
      </c>
      <c r="G19616" s="0" t="s">
        <v>16</v>
      </c>
      <c r="H19616" s="0" t="n">
        <v>90</v>
      </c>
      <c r="I19616" s="0" t="s">
        <v>18864</v>
      </c>
      <c r="J19616" s="0" t="s">
        <v>18865</v>
      </c>
      <c r="K19616" s="0" t="s">
        <v>18866</v>
      </c>
      <c r="L19616" s="0" t="str">
        <f aca="false">HYPERLINK("https://www.ncbi.nlm.nih.gov/nuccore/CP000059.1?report=graph&amp;tracks=[key:gene_model_track,Options:GeneOnly]&amp;mk=120450:120469|offset_11|444444,120417:120436|offset_44|444444,120396:120415|offset_65|444444,120371:120390|offset_90|00cc00&amp;v=120249:120590&amp;c=444444", "offset 90")</f>
        <v>offset 90</v>
      </c>
    </row>
    <row r="19617" customFormat="false" ht="12.8" hidden="false" customHeight="false" outlineLevel="0" collapsed="false">
      <c r="A19617" s="0" t="s">
        <v>64160</v>
      </c>
      <c r="B19617" s="0" t="n">
        <v>120653</v>
      </c>
      <c r="C19617" s="0" t="n">
        <v>120673</v>
      </c>
      <c r="D19617" s="0" t="s">
        <v>65180</v>
      </c>
      <c r="E19617" s="0" t="s">
        <v>75</v>
      </c>
      <c r="F19617" s="0" t="s">
        <v>90</v>
      </c>
      <c r="G19617" s="0" t="s">
        <v>20</v>
      </c>
      <c r="H19617" s="0" t="n">
        <v>1</v>
      </c>
      <c r="I19617" s="0" t="s">
        <v>65181</v>
      </c>
      <c r="J19617" s="0" t="s">
        <v>65182</v>
      </c>
      <c r="K19617" s="0" t="s">
        <v>65183</v>
      </c>
      <c r="L19617" s="0" t="str">
        <f aca="false">HYPERLINK("https://www.ncbi.nlm.nih.gov/nuccore/CP000059.1?report=graph&amp;tracks=[key:gene_model_track,Options:GeneOnly]&amp;mk=120654:120673|offset_1|00cc00,120627:120646|offset_28|444444,120534:120553|offset_121|444444,120512:120531|offset_143|444444&amp;v=120453:120731&amp;c=444444", "offset 1")</f>
        <v>offset 1</v>
      </c>
    </row>
    <row r="19618" customFormat="false" ht="12.8" hidden="false" customHeight="false" outlineLevel="0" collapsed="false">
      <c r="A19618" s="0" t="s">
        <v>64160</v>
      </c>
      <c r="B19618" s="0" t="n">
        <v>120626</v>
      </c>
      <c r="C19618" s="0" t="n">
        <v>120646</v>
      </c>
      <c r="D19618" s="0" t="s">
        <v>65180</v>
      </c>
      <c r="E19618" s="0" t="s">
        <v>75</v>
      </c>
      <c r="F19618" s="0" t="s">
        <v>90</v>
      </c>
      <c r="G19618" s="0" t="s">
        <v>36</v>
      </c>
      <c r="H19618" s="0" t="n">
        <v>28</v>
      </c>
      <c r="I19618" s="0" t="s">
        <v>65184</v>
      </c>
      <c r="J19618" s="0" t="s">
        <v>65185</v>
      </c>
      <c r="K19618" s="0" t="s">
        <v>65186</v>
      </c>
      <c r="L19618" s="0" t="str">
        <f aca="false">HYPERLINK("https://www.ncbi.nlm.nih.gov/nuccore/CP000059.1?report=graph&amp;tracks=[key:gene_model_track,Options:GeneOnly]&amp;mk=120654:120673|offset_1|444444,120627:120646|offset_28|00cc00,120534:120553|offset_121|444444,120512:120531|offset_143|444444&amp;v=120453:120731&amp;c=444444", "offset 28")</f>
        <v>offset 28</v>
      </c>
    </row>
    <row r="19619" customFormat="false" ht="12.8" hidden="false" customHeight="false" outlineLevel="0" collapsed="false">
      <c r="A19619" s="0" t="s">
        <v>64160</v>
      </c>
      <c r="B19619" s="0" t="n">
        <v>120533</v>
      </c>
      <c r="C19619" s="0" t="n">
        <v>120553</v>
      </c>
      <c r="D19619" s="0" t="s">
        <v>65180</v>
      </c>
      <c r="E19619" s="0" t="s">
        <v>75</v>
      </c>
      <c r="F19619" s="0" t="s">
        <v>90</v>
      </c>
      <c r="G19619" s="0" t="s">
        <v>20</v>
      </c>
      <c r="H19619" s="0" t="n">
        <v>121</v>
      </c>
      <c r="I19619" s="0" t="s">
        <v>65187</v>
      </c>
      <c r="J19619" s="0" t="s">
        <v>65188</v>
      </c>
      <c r="K19619" s="0" t="s">
        <v>65189</v>
      </c>
      <c r="L19619" s="0" t="str">
        <f aca="false">HYPERLINK("https://www.ncbi.nlm.nih.gov/nuccore/CP000059.1?report=graph&amp;tracks=[key:gene_model_track,Options:GeneOnly]&amp;mk=120654:120673|offset_1|444444,120627:120646|offset_28|444444,120534:120553|offset_121|00cc00,120512:120531|offset_143|444444&amp;v=120453:120731&amp;c=444444", "offset 121")</f>
        <v>offset 121</v>
      </c>
    </row>
    <row r="19620" customFormat="false" ht="12.8" hidden="false" customHeight="false" outlineLevel="0" collapsed="false">
      <c r="A19620" s="0" t="s">
        <v>64160</v>
      </c>
      <c r="B19620" s="0" t="n">
        <v>120511</v>
      </c>
      <c r="C19620" s="0" t="n">
        <v>120531</v>
      </c>
      <c r="D19620" s="0" t="s">
        <v>65180</v>
      </c>
      <c r="E19620" s="0" t="s">
        <v>75</v>
      </c>
      <c r="F19620" s="0" t="s">
        <v>90</v>
      </c>
      <c r="G19620" s="0" t="s">
        <v>36</v>
      </c>
      <c r="H19620" s="0" t="n">
        <v>143</v>
      </c>
      <c r="I19620" s="0" t="s">
        <v>65190</v>
      </c>
      <c r="J19620" s="0" t="s">
        <v>65191</v>
      </c>
      <c r="K19620" s="0" t="s">
        <v>65192</v>
      </c>
      <c r="L19620" s="0" t="str">
        <f aca="false">HYPERLINK("https://www.ncbi.nlm.nih.gov/nuccore/CP000059.1?report=graph&amp;tracks=[key:gene_model_track,Options:GeneOnly]&amp;mk=120654:120673|offset_1|444444,120627:120646|offset_28|444444,120534:120553|offset_121|444444,120512:120531|offset_143|00cc00&amp;v=120453:120731&amp;c=444444", "offset 143")</f>
        <v>offset 143</v>
      </c>
    </row>
    <row r="19621" customFormat="false" ht="12.8" hidden="false" customHeight="false" outlineLevel="0" collapsed="false">
      <c r="A19621" s="0" t="s">
        <v>64160</v>
      </c>
      <c r="B19621" s="0" t="n">
        <v>121475</v>
      </c>
      <c r="C19621" s="0" t="n">
        <v>121495</v>
      </c>
      <c r="D19621" s="0" t="s">
        <v>65193</v>
      </c>
      <c r="E19621" s="0" t="s">
        <v>75</v>
      </c>
      <c r="F19621" s="0" t="s">
        <v>90</v>
      </c>
      <c r="G19621" s="0" t="s">
        <v>20</v>
      </c>
      <c r="H19621" s="0" t="n">
        <v>185</v>
      </c>
      <c r="I19621" s="0" t="s">
        <v>65194</v>
      </c>
      <c r="J19621" s="0" t="s">
        <v>65195</v>
      </c>
      <c r="K19621" s="0" t="s">
        <v>65196</v>
      </c>
      <c r="L19621" s="0" t="str">
        <f aca="false">HYPERLINK("https://www.ncbi.nlm.nih.gov/nuccore/CP000059.1?report=graph&amp;tracks=[key:gene_model_track,Options:GeneOnly]&amp;mk=121476:121495|offset_185|00cc00,121428:121447|offset_233|444444,121368:121387|offset_293|444444,121330:121349|offset_331|444444&amp;v=121275:121549&amp;c=444444", "offset 185")</f>
        <v>offset 185</v>
      </c>
    </row>
    <row r="19622" customFormat="false" ht="12.8" hidden="false" customHeight="false" outlineLevel="0" collapsed="false">
      <c r="A19622" s="0" t="s">
        <v>64160</v>
      </c>
      <c r="B19622" s="0" t="n">
        <v>121427</v>
      </c>
      <c r="C19622" s="0" t="n">
        <v>121447</v>
      </c>
      <c r="D19622" s="0" t="s">
        <v>65193</v>
      </c>
      <c r="E19622" s="0" t="s">
        <v>75</v>
      </c>
      <c r="F19622" s="0" t="s">
        <v>90</v>
      </c>
      <c r="G19622" s="0" t="s">
        <v>16</v>
      </c>
      <c r="H19622" s="0" t="n">
        <v>233</v>
      </c>
      <c r="I19622" s="0" t="s">
        <v>65197</v>
      </c>
      <c r="J19622" s="0" t="s">
        <v>65198</v>
      </c>
      <c r="K19622" s="0" t="s">
        <v>65199</v>
      </c>
      <c r="L19622" s="0" t="str">
        <f aca="false">HYPERLINK("https://www.ncbi.nlm.nih.gov/nuccore/CP000059.1?report=graph&amp;tracks=[key:gene_model_track,Options:GeneOnly]&amp;mk=121476:121495|offset_185|444444,121428:121447|offset_233|00cc00,121368:121387|offset_293|444444,121330:121349|offset_331|444444&amp;v=121275:121549&amp;c=444444", "offset 233")</f>
        <v>offset 233</v>
      </c>
    </row>
    <row r="19623" customFormat="false" ht="12.8" hidden="false" customHeight="false" outlineLevel="0" collapsed="false">
      <c r="A19623" s="0" t="s">
        <v>64160</v>
      </c>
      <c r="B19623" s="0" t="n">
        <v>121367</v>
      </c>
      <c r="C19623" s="0" t="n">
        <v>121387</v>
      </c>
      <c r="D19623" s="0" t="s">
        <v>65193</v>
      </c>
      <c r="E19623" s="0" t="s">
        <v>75</v>
      </c>
      <c r="F19623" s="0" t="s">
        <v>90</v>
      </c>
      <c r="G19623" s="0" t="s">
        <v>20</v>
      </c>
      <c r="H19623" s="0" t="n">
        <v>293</v>
      </c>
      <c r="I19623" s="0" t="s">
        <v>65200</v>
      </c>
      <c r="J19623" s="0" t="s">
        <v>65201</v>
      </c>
      <c r="K19623" s="0" t="s">
        <v>65202</v>
      </c>
      <c r="L19623" s="0" t="str">
        <f aca="false">HYPERLINK("https://www.ncbi.nlm.nih.gov/nuccore/CP000059.1?report=graph&amp;tracks=[key:gene_model_track,Options:GeneOnly]&amp;mk=121476:121495|offset_185|444444,121428:121447|offset_233|444444,121368:121387|offset_293|00cc00,121330:121349|offset_331|444444&amp;v=121275:121549&amp;c=444444", "offset 293")</f>
        <v>offset 293</v>
      </c>
    </row>
    <row r="19624" customFormat="false" ht="12.8" hidden="false" customHeight="false" outlineLevel="0" collapsed="false">
      <c r="A19624" s="0" t="s">
        <v>64160</v>
      </c>
      <c r="B19624" s="0" t="n">
        <v>121329</v>
      </c>
      <c r="C19624" s="0" t="n">
        <v>121349</v>
      </c>
      <c r="D19624" s="0" t="s">
        <v>65193</v>
      </c>
      <c r="E19624" s="0" t="s">
        <v>75</v>
      </c>
      <c r="F19624" s="0" t="s">
        <v>90</v>
      </c>
      <c r="G19624" s="0" t="s">
        <v>16</v>
      </c>
      <c r="H19624" s="0" t="n">
        <v>331</v>
      </c>
      <c r="I19624" s="0" t="s">
        <v>65203</v>
      </c>
      <c r="J19624" s="0" t="s">
        <v>65204</v>
      </c>
      <c r="K19624" s="0" t="s">
        <v>65205</v>
      </c>
      <c r="L19624" s="0" t="str">
        <f aca="false">HYPERLINK("https://www.ncbi.nlm.nih.gov/nuccore/CP000059.1?report=graph&amp;tracks=[key:gene_model_track,Options:GeneOnly]&amp;mk=121476:121495|offset_185|444444,121428:121447|offset_233|444444,121368:121387|offset_293|444444,121330:121349|offset_331|00cc00&amp;v=121275:121549&amp;c=444444", "offset 331")</f>
        <v>offset 331</v>
      </c>
    </row>
    <row r="19625" customFormat="false" ht="12.8" hidden="false" customHeight="false" outlineLevel="0" collapsed="false">
      <c r="A19625" s="0" t="s">
        <v>64160</v>
      </c>
      <c r="B19625" s="0" t="n">
        <v>122112</v>
      </c>
      <c r="C19625" s="0" t="n">
        <v>122132</v>
      </c>
      <c r="D19625" s="0" t="s">
        <v>65206</v>
      </c>
      <c r="E19625" s="0" t="s">
        <v>75</v>
      </c>
      <c r="F19625" s="0" t="s">
        <v>90</v>
      </c>
      <c r="G19625" s="0" t="s">
        <v>20</v>
      </c>
      <c r="H19625" s="0" t="n">
        <v>8</v>
      </c>
      <c r="I19625" s="0" t="s">
        <v>65207</v>
      </c>
      <c r="J19625" s="0" t="s">
        <v>65208</v>
      </c>
      <c r="K19625" s="0" t="s">
        <v>65209</v>
      </c>
      <c r="L19625" s="0" t="str">
        <f aca="false">HYPERLINK("https://www.ncbi.nlm.nih.gov/nuccore/CP000059.1?report=graph&amp;tracks=[key:gene_model_track,Options:GeneOnly]&amp;mk=122113:122132|offset_8|00cc00,122085:122104|offset_36|444444,122063:122082|offset_58|444444,122012:122031|offset_109|444444&amp;v=121912:122231&amp;c=444444", "offset 8")</f>
        <v>offset 8</v>
      </c>
    </row>
    <row r="19626" customFormat="false" ht="12.8" hidden="false" customHeight="false" outlineLevel="0" collapsed="false">
      <c r="A19626" s="0" t="s">
        <v>64160</v>
      </c>
      <c r="B19626" s="0" t="n">
        <v>122084</v>
      </c>
      <c r="C19626" s="0" t="n">
        <v>122104</v>
      </c>
      <c r="D19626" s="0" t="s">
        <v>65206</v>
      </c>
      <c r="E19626" s="0" t="s">
        <v>75</v>
      </c>
      <c r="F19626" s="0" t="s">
        <v>90</v>
      </c>
      <c r="G19626" s="0" t="s">
        <v>16</v>
      </c>
      <c r="H19626" s="0" t="n">
        <v>36</v>
      </c>
      <c r="I19626" s="0" t="s">
        <v>65210</v>
      </c>
      <c r="J19626" s="0" t="s">
        <v>65211</v>
      </c>
      <c r="K19626" s="0" t="s">
        <v>65212</v>
      </c>
      <c r="L19626" s="0" t="str">
        <f aca="false">HYPERLINK("https://www.ncbi.nlm.nih.gov/nuccore/CP000059.1?report=graph&amp;tracks=[key:gene_model_track,Options:GeneOnly]&amp;mk=122113:122132|offset_8|444444,122085:122104|offset_36|00cc00,122063:122082|offset_58|444444,122012:122031|offset_109|444444&amp;v=121912:122231&amp;c=444444", "offset 36")</f>
        <v>offset 36</v>
      </c>
    </row>
    <row r="19627" customFormat="false" ht="12.8" hidden="false" customHeight="false" outlineLevel="0" collapsed="false">
      <c r="A19627" s="0" t="s">
        <v>64160</v>
      </c>
      <c r="B19627" s="0" t="n">
        <v>122062</v>
      </c>
      <c r="C19627" s="0" t="n">
        <v>122082</v>
      </c>
      <c r="D19627" s="0" t="s">
        <v>65206</v>
      </c>
      <c r="E19627" s="0" t="s">
        <v>75</v>
      </c>
      <c r="F19627" s="0" t="s">
        <v>90</v>
      </c>
      <c r="G19627" s="0" t="s">
        <v>36</v>
      </c>
      <c r="H19627" s="0" t="n">
        <v>58</v>
      </c>
      <c r="I19627" s="0" t="s">
        <v>65213</v>
      </c>
      <c r="J19627" s="0" t="s">
        <v>65214</v>
      </c>
      <c r="K19627" s="0" t="s">
        <v>65215</v>
      </c>
      <c r="L19627" s="0" t="str">
        <f aca="false">HYPERLINK("https://www.ncbi.nlm.nih.gov/nuccore/CP000059.1?report=graph&amp;tracks=[key:gene_model_track,Options:GeneOnly]&amp;mk=122113:122132|offset_8|444444,122085:122104|offset_36|444444,122063:122082|offset_58|00cc00,122012:122031|offset_109|444444&amp;v=121912:122231&amp;c=444444", "offset 58")</f>
        <v>offset 58</v>
      </c>
    </row>
    <row r="19628" customFormat="false" ht="12.8" hidden="false" customHeight="false" outlineLevel="0" collapsed="false">
      <c r="A19628" s="0" t="s">
        <v>64160</v>
      </c>
      <c r="B19628" s="0" t="n">
        <v>122011</v>
      </c>
      <c r="C19628" s="0" t="n">
        <v>122031</v>
      </c>
      <c r="D19628" s="0" t="s">
        <v>65206</v>
      </c>
      <c r="E19628" s="0" t="s">
        <v>75</v>
      </c>
      <c r="F19628" s="0" t="s">
        <v>90</v>
      </c>
      <c r="G19628" s="0" t="s">
        <v>32</v>
      </c>
      <c r="H19628" s="0" t="n">
        <v>109</v>
      </c>
      <c r="I19628" s="0" t="s">
        <v>65216</v>
      </c>
      <c r="J19628" s="0" t="s">
        <v>65217</v>
      </c>
      <c r="K19628" s="0" t="s">
        <v>65218</v>
      </c>
      <c r="L19628" s="0" t="str">
        <f aca="false">HYPERLINK("https://www.ncbi.nlm.nih.gov/nuccore/CP000059.1?report=graph&amp;tracks=[key:gene_model_track,Options:GeneOnly]&amp;mk=122113:122132|offset_8|444444,122085:122104|offset_36|444444,122063:122082|offset_58|444444,122012:122031|offset_109|00cc00&amp;v=121912:122231&amp;c=444444", "offset 109")</f>
        <v>offset 109</v>
      </c>
    </row>
    <row r="19629" customFormat="false" ht="12.8" hidden="false" customHeight="false" outlineLevel="0" collapsed="false">
      <c r="A19629" s="0" t="s">
        <v>64160</v>
      </c>
      <c r="B19629" s="0" t="n">
        <v>122344</v>
      </c>
      <c r="C19629" s="0" t="n">
        <v>122364</v>
      </c>
      <c r="D19629" s="0" t="s">
        <v>65219</v>
      </c>
      <c r="E19629" s="0" t="s">
        <v>65220</v>
      </c>
      <c r="F19629" s="0" t="s">
        <v>90</v>
      </c>
      <c r="G19629" s="0" t="s">
        <v>36</v>
      </c>
      <c r="H19629" s="0" t="n">
        <v>30</v>
      </c>
      <c r="I19629" s="0" t="s">
        <v>65221</v>
      </c>
      <c r="J19629" s="0" t="s">
        <v>65222</v>
      </c>
      <c r="K19629" s="0" t="s">
        <v>65223</v>
      </c>
      <c r="L19629" s="0" t="str">
        <f aca="false">HYPERLINK("https://www.ncbi.nlm.nih.gov/nuccore/CP000059.1?report=graph&amp;tracks=[key:gene_model_track,Options:GeneOnly]&amp;mk=122345:122364|offset_30|00cc00,122322:122341|offset_53|444444,122290:122309|offset_85|444444,122249:122268|offset_126|444444&amp;v=122144:122468&amp;c=444444", "offset 30")</f>
        <v>offset 30</v>
      </c>
    </row>
    <row r="19630" customFormat="false" ht="12.8" hidden="false" customHeight="false" outlineLevel="0" collapsed="false">
      <c r="A19630" s="0" t="s">
        <v>64160</v>
      </c>
      <c r="B19630" s="0" t="n">
        <v>122321</v>
      </c>
      <c r="C19630" s="0" t="n">
        <v>122341</v>
      </c>
      <c r="D19630" s="0" t="s">
        <v>65219</v>
      </c>
      <c r="E19630" s="0" t="s">
        <v>65220</v>
      </c>
      <c r="F19630" s="0" t="s">
        <v>90</v>
      </c>
      <c r="G19630" s="0" t="s">
        <v>16</v>
      </c>
      <c r="H19630" s="0" t="n">
        <v>53</v>
      </c>
      <c r="I19630" s="0" t="s">
        <v>65224</v>
      </c>
      <c r="J19630" s="0" t="s">
        <v>65225</v>
      </c>
      <c r="K19630" s="0" t="s">
        <v>65226</v>
      </c>
      <c r="L19630" s="0" t="str">
        <f aca="false">HYPERLINK("https://www.ncbi.nlm.nih.gov/nuccore/CP000059.1?report=graph&amp;tracks=[key:gene_model_track,Options:GeneOnly]&amp;mk=122345:122364|offset_30|444444,122322:122341|offset_53|00cc00,122290:122309|offset_85|444444,122249:122268|offset_126|444444&amp;v=122144:122468&amp;c=444444", "offset 53")</f>
        <v>offset 53</v>
      </c>
    </row>
    <row r="19631" customFormat="false" ht="12.8" hidden="false" customHeight="false" outlineLevel="0" collapsed="false">
      <c r="A19631" s="0" t="s">
        <v>64160</v>
      </c>
      <c r="B19631" s="0" t="n">
        <v>122289</v>
      </c>
      <c r="C19631" s="0" t="n">
        <v>122309</v>
      </c>
      <c r="D19631" s="0" t="s">
        <v>65219</v>
      </c>
      <c r="E19631" s="0" t="s">
        <v>65220</v>
      </c>
      <c r="F19631" s="0" t="s">
        <v>90</v>
      </c>
      <c r="G19631" s="0" t="s">
        <v>16</v>
      </c>
      <c r="H19631" s="0" t="n">
        <v>85</v>
      </c>
      <c r="I19631" s="0" t="s">
        <v>65227</v>
      </c>
      <c r="J19631" s="0" t="s">
        <v>65228</v>
      </c>
      <c r="K19631" s="0" t="s">
        <v>65229</v>
      </c>
      <c r="L19631" s="0" t="str">
        <f aca="false">HYPERLINK("https://www.ncbi.nlm.nih.gov/nuccore/CP000059.1?report=graph&amp;tracks=[key:gene_model_track,Options:GeneOnly]&amp;mk=122345:122364|offset_30|444444,122322:122341|offset_53|444444,122290:122309|offset_85|00cc00,122249:122268|offset_126|444444&amp;v=122144:122468&amp;c=444444", "offset 85")</f>
        <v>offset 85</v>
      </c>
    </row>
    <row r="19632" customFormat="false" ht="12.8" hidden="false" customHeight="false" outlineLevel="0" collapsed="false">
      <c r="A19632" s="0" t="s">
        <v>64160</v>
      </c>
      <c r="B19632" s="0" t="n">
        <v>122248</v>
      </c>
      <c r="C19632" s="0" t="n">
        <v>122268</v>
      </c>
      <c r="D19632" s="0" t="s">
        <v>65219</v>
      </c>
      <c r="E19632" s="0" t="s">
        <v>65220</v>
      </c>
      <c r="F19632" s="0" t="s">
        <v>90</v>
      </c>
      <c r="G19632" s="0" t="s">
        <v>36</v>
      </c>
      <c r="H19632" s="0" t="n">
        <v>126</v>
      </c>
      <c r="I19632" s="0" t="s">
        <v>65230</v>
      </c>
      <c r="J19632" s="0" t="s">
        <v>65231</v>
      </c>
      <c r="K19632" s="0" t="s">
        <v>65232</v>
      </c>
      <c r="L19632" s="0" t="str">
        <f aca="false">HYPERLINK("https://www.ncbi.nlm.nih.gov/nuccore/CP000059.1?report=graph&amp;tracks=[key:gene_model_track,Options:GeneOnly]&amp;mk=122345:122364|offset_30|444444,122322:122341|offset_53|444444,122290:122309|offset_85|444444,122249:122268|offset_126|00cc00&amp;v=122144:122468&amp;c=444444", "offset 126")</f>
        <v>offset 126</v>
      </c>
    </row>
    <row r="19633" customFormat="false" ht="12.8" hidden="false" customHeight="false" outlineLevel="0" collapsed="false">
      <c r="A19633" s="0" t="s">
        <v>64160</v>
      </c>
      <c r="B19633" s="0" t="n">
        <v>122864</v>
      </c>
      <c r="C19633" s="0" t="n">
        <v>122884</v>
      </c>
      <c r="D19633" s="0" t="s">
        <v>65233</v>
      </c>
      <c r="E19633" s="0" t="s">
        <v>75</v>
      </c>
      <c r="F19633" s="0" t="s">
        <v>15</v>
      </c>
      <c r="G19633" s="0" t="s">
        <v>16</v>
      </c>
      <c r="H19633" s="0" t="n">
        <v>6</v>
      </c>
      <c r="I19633" s="0" t="s">
        <v>65234</v>
      </c>
      <c r="J19633" s="0" t="s">
        <v>65235</v>
      </c>
      <c r="K19633" s="0" t="s">
        <v>65236</v>
      </c>
      <c r="L19633" s="0" t="str">
        <f aca="false">HYPERLINK("https://www.ncbi.nlm.nih.gov/nuccore/CP000059.1?report=graph&amp;tracks=[key:gene_model_track,Options:GeneOnly]&amp;mk=122865:122884|offset_6|00cc00,122885:122904|offset_26|444444,122917:122936|offset_58|444444,122952:122971|offset_93|444444&amp;v=122664:123171&amp;c=444444", "offset 6")</f>
        <v>offset 6</v>
      </c>
    </row>
    <row r="19634" customFormat="false" ht="12.8" hidden="false" customHeight="false" outlineLevel="0" collapsed="false">
      <c r="A19634" s="0" t="s">
        <v>64160</v>
      </c>
      <c r="B19634" s="0" t="n">
        <v>122884</v>
      </c>
      <c r="C19634" s="0" t="n">
        <v>122904</v>
      </c>
      <c r="D19634" s="0" t="s">
        <v>65233</v>
      </c>
      <c r="E19634" s="0" t="s">
        <v>75</v>
      </c>
      <c r="F19634" s="0" t="s">
        <v>15</v>
      </c>
      <c r="G19634" s="0" t="s">
        <v>36</v>
      </c>
      <c r="H19634" s="0" t="n">
        <v>26</v>
      </c>
      <c r="I19634" s="0" t="s">
        <v>65237</v>
      </c>
      <c r="J19634" s="0" t="s">
        <v>65238</v>
      </c>
      <c r="K19634" s="0" t="s">
        <v>65239</v>
      </c>
      <c r="L19634" s="0" t="str">
        <f aca="false">HYPERLINK("https://www.ncbi.nlm.nih.gov/nuccore/CP000059.1?report=graph&amp;tracks=[key:gene_model_track,Options:GeneOnly]&amp;mk=122865:122884|offset_6|444444,122885:122904|offset_26|00cc00,122917:122936|offset_58|444444,122952:122971|offset_93|444444&amp;v=122664:123171&amp;c=444444", "offset 26")</f>
        <v>offset 26</v>
      </c>
    </row>
    <row r="19635" customFormat="false" ht="12.8" hidden="false" customHeight="false" outlineLevel="0" collapsed="false">
      <c r="A19635" s="0" t="s">
        <v>64160</v>
      </c>
      <c r="B19635" s="0" t="n">
        <v>122916</v>
      </c>
      <c r="C19635" s="0" t="n">
        <v>122936</v>
      </c>
      <c r="D19635" s="0" t="s">
        <v>65233</v>
      </c>
      <c r="E19635" s="0" t="s">
        <v>75</v>
      </c>
      <c r="F19635" s="0" t="s">
        <v>15</v>
      </c>
      <c r="G19635" s="0" t="s">
        <v>36</v>
      </c>
      <c r="H19635" s="0" t="n">
        <v>58</v>
      </c>
      <c r="I19635" s="0" t="s">
        <v>65240</v>
      </c>
      <c r="J19635" s="0" t="s">
        <v>65241</v>
      </c>
      <c r="K19635" s="0" t="s">
        <v>65242</v>
      </c>
      <c r="L19635" s="0" t="str">
        <f aca="false">HYPERLINK("https://www.ncbi.nlm.nih.gov/nuccore/CP000059.1?report=graph&amp;tracks=[key:gene_model_track,Options:GeneOnly]&amp;mk=122865:122884|offset_6|444444,122885:122904|offset_26|444444,122917:122936|offset_58|00cc00,122952:122971|offset_93|444444&amp;v=122664:123171&amp;c=444444", "offset 58")</f>
        <v>offset 58</v>
      </c>
    </row>
    <row r="19636" customFormat="false" ht="12.8" hidden="false" customHeight="false" outlineLevel="0" collapsed="false">
      <c r="A19636" s="0" t="s">
        <v>64160</v>
      </c>
      <c r="B19636" s="0" t="n">
        <v>122951</v>
      </c>
      <c r="C19636" s="0" t="n">
        <v>122971</v>
      </c>
      <c r="D19636" s="0" t="s">
        <v>65233</v>
      </c>
      <c r="E19636" s="0" t="s">
        <v>75</v>
      </c>
      <c r="F19636" s="0" t="s">
        <v>15</v>
      </c>
      <c r="G19636" s="0" t="s">
        <v>20</v>
      </c>
      <c r="H19636" s="0" t="n">
        <v>93</v>
      </c>
      <c r="I19636" s="0" t="s">
        <v>65243</v>
      </c>
      <c r="J19636" s="0" t="s">
        <v>65244</v>
      </c>
      <c r="K19636" s="0" t="s">
        <v>65245</v>
      </c>
      <c r="L19636" s="0" t="str">
        <f aca="false">HYPERLINK("https://www.ncbi.nlm.nih.gov/nuccore/CP000059.1?report=graph&amp;tracks=[key:gene_model_track,Options:GeneOnly]&amp;mk=122865:122884|offset_6|444444,122885:122904|offset_26|444444,122917:122936|offset_58|444444,122952:122971|offset_93|00cc00&amp;v=122664:123171&amp;c=444444", "offset 93")</f>
        <v>offset 93</v>
      </c>
    </row>
    <row r="19637" customFormat="false" ht="12.8" hidden="false" customHeight="false" outlineLevel="0" collapsed="false">
      <c r="A19637" s="0" t="s">
        <v>64160</v>
      </c>
      <c r="B19637" s="0" t="n">
        <v>123577</v>
      </c>
      <c r="C19637" s="0" t="n">
        <v>123597</v>
      </c>
      <c r="D19637" s="0" t="s">
        <v>65246</v>
      </c>
      <c r="E19637" s="0" t="s">
        <v>75</v>
      </c>
      <c r="F19637" s="0" t="s">
        <v>15</v>
      </c>
      <c r="G19637" s="0" t="s">
        <v>20</v>
      </c>
      <c r="H19637" s="0" t="n">
        <v>18</v>
      </c>
      <c r="I19637" s="0" t="s">
        <v>65247</v>
      </c>
      <c r="J19637" s="0" t="s">
        <v>65248</v>
      </c>
      <c r="K19637" s="0" t="s">
        <v>65249</v>
      </c>
      <c r="L19637" s="0" t="str">
        <f aca="false">HYPERLINK("https://www.ncbi.nlm.nih.gov/nuccore/CP000059.1?report=graph&amp;tracks=[key:gene_model_track,Options:GeneOnly]&amp;mk=123578:123597|offset_18|00cc00,123605:123624|offset_45|444444,123684:123703|offset_124|444444,123741:123760|offset_181|444444&amp;v=123377:123960&amp;c=444444", "offset 18")</f>
        <v>offset 18</v>
      </c>
    </row>
    <row r="19638" customFormat="false" ht="12.8" hidden="false" customHeight="false" outlineLevel="0" collapsed="false">
      <c r="A19638" s="0" t="s">
        <v>64160</v>
      </c>
      <c r="B19638" s="0" t="n">
        <v>123604</v>
      </c>
      <c r="C19638" s="0" t="n">
        <v>123624</v>
      </c>
      <c r="D19638" s="0" t="s">
        <v>65246</v>
      </c>
      <c r="E19638" s="0" t="s">
        <v>75</v>
      </c>
      <c r="F19638" s="0" t="s">
        <v>15</v>
      </c>
      <c r="G19638" s="0" t="s">
        <v>20</v>
      </c>
      <c r="H19638" s="0" t="n">
        <v>45</v>
      </c>
      <c r="I19638" s="0" t="s">
        <v>65250</v>
      </c>
      <c r="J19638" s="0" t="s">
        <v>65251</v>
      </c>
      <c r="K19638" s="0" t="s">
        <v>65252</v>
      </c>
      <c r="L19638" s="0" t="str">
        <f aca="false">HYPERLINK("https://www.ncbi.nlm.nih.gov/nuccore/CP000059.1?report=graph&amp;tracks=[key:gene_model_track,Options:GeneOnly]&amp;mk=123578:123597|offset_18|444444,123605:123624|offset_45|00cc00,123684:123703|offset_124|444444,123741:123760|offset_181|444444&amp;v=123377:123960&amp;c=444444", "offset 45")</f>
        <v>offset 45</v>
      </c>
    </row>
    <row r="19639" customFormat="false" ht="12.8" hidden="false" customHeight="false" outlineLevel="0" collapsed="false">
      <c r="A19639" s="0" t="s">
        <v>64160</v>
      </c>
      <c r="B19639" s="0" t="n">
        <v>123683</v>
      </c>
      <c r="C19639" s="0" t="n">
        <v>123703</v>
      </c>
      <c r="D19639" s="0" t="s">
        <v>65246</v>
      </c>
      <c r="E19639" s="0" t="s">
        <v>75</v>
      </c>
      <c r="F19639" s="0" t="s">
        <v>15</v>
      </c>
      <c r="G19639" s="0" t="s">
        <v>36</v>
      </c>
      <c r="H19639" s="0" t="n">
        <v>124</v>
      </c>
      <c r="I19639" s="0" t="s">
        <v>65253</v>
      </c>
      <c r="J19639" s="0" t="s">
        <v>65254</v>
      </c>
      <c r="K19639" s="0" t="s">
        <v>65255</v>
      </c>
      <c r="L19639" s="0" t="str">
        <f aca="false">HYPERLINK("https://www.ncbi.nlm.nih.gov/nuccore/CP000059.1?report=graph&amp;tracks=[key:gene_model_track,Options:GeneOnly]&amp;mk=123578:123597|offset_18|444444,123605:123624|offset_45|444444,123684:123703|offset_124|00cc00,123741:123760|offset_181|444444&amp;v=123377:123960&amp;c=444444", "offset 124")</f>
        <v>offset 124</v>
      </c>
    </row>
    <row r="19640" customFormat="false" ht="12.8" hidden="false" customHeight="false" outlineLevel="0" collapsed="false">
      <c r="A19640" s="0" t="s">
        <v>64160</v>
      </c>
      <c r="B19640" s="0" t="n">
        <v>123740</v>
      </c>
      <c r="C19640" s="0" t="n">
        <v>123760</v>
      </c>
      <c r="D19640" s="0" t="s">
        <v>65246</v>
      </c>
      <c r="E19640" s="0" t="s">
        <v>75</v>
      </c>
      <c r="F19640" s="0" t="s">
        <v>15</v>
      </c>
      <c r="G19640" s="0" t="s">
        <v>16</v>
      </c>
      <c r="H19640" s="0" t="n">
        <v>181</v>
      </c>
      <c r="I19640" s="0" t="s">
        <v>65256</v>
      </c>
      <c r="J19640" s="0" t="s">
        <v>65257</v>
      </c>
      <c r="K19640" s="0" t="s">
        <v>65258</v>
      </c>
      <c r="L19640" s="0" t="str">
        <f aca="false">HYPERLINK("https://www.ncbi.nlm.nih.gov/nuccore/CP000059.1?report=graph&amp;tracks=[key:gene_model_track,Options:GeneOnly]&amp;mk=123578:123597|offset_18|444444,123605:123624|offset_45|444444,123684:123703|offset_124|444444,123741:123760|offset_181|00cc00&amp;v=123377:123960&amp;c=444444", "offset 181")</f>
        <v>offset 181</v>
      </c>
    </row>
    <row r="19641" customFormat="false" ht="12.8" hidden="false" customHeight="false" outlineLevel="0" collapsed="false">
      <c r="A19641" s="0" t="s">
        <v>64160</v>
      </c>
      <c r="B19641" s="0" t="n">
        <v>124898</v>
      </c>
      <c r="C19641" s="0" t="n">
        <v>124918</v>
      </c>
      <c r="D19641" s="0" t="s">
        <v>65259</v>
      </c>
      <c r="E19641" s="0" t="s">
        <v>75</v>
      </c>
      <c r="F19641" s="0" t="s">
        <v>90</v>
      </c>
      <c r="G19641" s="0" t="s">
        <v>32</v>
      </c>
      <c r="H19641" s="0" t="n">
        <v>50</v>
      </c>
      <c r="I19641" s="0" t="s">
        <v>65260</v>
      </c>
      <c r="J19641" s="0" t="s">
        <v>65261</v>
      </c>
      <c r="K19641" s="0" t="s">
        <v>65262</v>
      </c>
      <c r="L19641" s="0" t="str">
        <f aca="false">HYPERLINK("https://www.ncbi.nlm.nih.gov/nuccore/CP000059.1?report=graph&amp;tracks=[key:gene_model_track,Options:GeneOnly]&amp;mk=124899:124918|offset_50|00cc00,124872:124891|offset_77|444444,124819:124838|offset_130|444444,124786:124805|offset_163|444444&amp;v=124698:125005&amp;c=444444", "offset 50")</f>
        <v>offset 50</v>
      </c>
    </row>
    <row r="19642" customFormat="false" ht="12.8" hidden="false" customHeight="false" outlineLevel="0" collapsed="false">
      <c r="A19642" s="0" t="s">
        <v>64160</v>
      </c>
      <c r="B19642" s="0" t="n">
        <v>124871</v>
      </c>
      <c r="C19642" s="0" t="n">
        <v>124891</v>
      </c>
      <c r="D19642" s="0" t="s">
        <v>65259</v>
      </c>
      <c r="E19642" s="0" t="s">
        <v>75</v>
      </c>
      <c r="F19642" s="0" t="s">
        <v>90</v>
      </c>
      <c r="G19642" s="0" t="s">
        <v>16</v>
      </c>
      <c r="H19642" s="0" t="n">
        <v>77</v>
      </c>
      <c r="I19642" s="0" t="s">
        <v>65263</v>
      </c>
      <c r="J19642" s="0" t="s">
        <v>65264</v>
      </c>
      <c r="K19642" s="0" t="s">
        <v>65265</v>
      </c>
      <c r="L19642" s="0" t="str">
        <f aca="false">HYPERLINK("https://www.ncbi.nlm.nih.gov/nuccore/CP000059.1?report=graph&amp;tracks=[key:gene_model_track,Options:GeneOnly]&amp;mk=124899:124918|offset_50|444444,124872:124891|offset_77|00cc00,124819:124838|offset_130|444444,124786:124805|offset_163|444444&amp;v=124698:125005&amp;c=444444", "offset 77")</f>
        <v>offset 77</v>
      </c>
    </row>
    <row r="19643" customFormat="false" ht="12.8" hidden="false" customHeight="false" outlineLevel="0" collapsed="false">
      <c r="A19643" s="0" t="s">
        <v>64160</v>
      </c>
      <c r="B19643" s="0" t="n">
        <v>124818</v>
      </c>
      <c r="C19643" s="0" t="n">
        <v>124838</v>
      </c>
      <c r="D19643" s="0" t="s">
        <v>65259</v>
      </c>
      <c r="E19643" s="0" t="s">
        <v>75</v>
      </c>
      <c r="F19643" s="0" t="s">
        <v>90</v>
      </c>
      <c r="G19643" s="0" t="s">
        <v>32</v>
      </c>
      <c r="H19643" s="0" t="n">
        <v>130</v>
      </c>
      <c r="I19643" s="0" t="s">
        <v>65266</v>
      </c>
      <c r="J19643" s="0" t="s">
        <v>65267</v>
      </c>
      <c r="K19643" s="0" t="s">
        <v>65268</v>
      </c>
      <c r="L19643" s="0" t="str">
        <f aca="false">HYPERLINK("https://www.ncbi.nlm.nih.gov/nuccore/CP000059.1?report=graph&amp;tracks=[key:gene_model_track,Options:GeneOnly]&amp;mk=124899:124918|offset_50|444444,124872:124891|offset_77|444444,124819:124838|offset_130|00cc00,124786:124805|offset_163|444444&amp;v=124698:125005&amp;c=444444", "offset 130")</f>
        <v>offset 130</v>
      </c>
    </row>
    <row r="19644" customFormat="false" ht="12.8" hidden="false" customHeight="false" outlineLevel="0" collapsed="false">
      <c r="A19644" s="0" t="s">
        <v>64160</v>
      </c>
      <c r="B19644" s="0" t="n">
        <v>124785</v>
      </c>
      <c r="C19644" s="0" t="n">
        <v>124805</v>
      </c>
      <c r="D19644" s="0" t="s">
        <v>65259</v>
      </c>
      <c r="E19644" s="0" t="s">
        <v>75</v>
      </c>
      <c r="F19644" s="0" t="s">
        <v>90</v>
      </c>
      <c r="G19644" s="0" t="s">
        <v>20</v>
      </c>
      <c r="H19644" s="0" t="n">
        <v>163</v>
      </c>
      <c r="I19644" s="0" t="s">
        <v>65269</v>
      </c>
      <c r="J19644" s="0" t="s">
        <v>65270</v>
      </c>
      <c r="K19644" s="0" t="s">
        <v>65271</v>
      </c>
      <c r="L19644" s="0" t="str">
        <f aca="false">HYPERLINK("https://www.ncbi.nlm.nih.gov/nuccore/CP000059.1?report=graph&amp;tracks=[key:gene_model_track,Options:GeneOnly]&amp;mk=124899:124918|offset_50|444444,124872:124891|offset_77|444444,124819:124838|offset_130|444444,124786:124805|offset_163|00cc00&amp;v=124698:125005&amp;c=444444", "offset 163")</f>
        <v>offset 163</v>
      </c>
    </row>
    <row r="19645" customFormat="false" ht="12.8" hidden="false" customHeight="false" outlineLevel="0" collapsed="false">
      <c r="A19645" s="0" t="s">
        <v>64160</v>
      </c>
      <c r="B19645" s="0" t="n">
        <v>125034</v>
      </c>
      <c r="C19645" s="0" t="n">
        <v>125054</v>
      </c>
      <c r="D19645" s="0" t="s">
        <v>65272</v>
      </c>
      <c r="E19645" s="0" t="s">
        <v>75</v>
      </c>
      <c r="F19645" s="0" t="s">
        <v>15</v>
      </c>
      <c r="G19645" s="0" t="s">
        <v>32</v>
      </c>
      <c r="H19645" s="0" t="n">
        <v>7</v>
      </c>
      <c r="I19645" s="0" t="s">
        <v>65273</v>
      </c>
      <c r="J19645" s="0" t="s">
        <v>65274</v>
      </c>
      <c r="K19645" s="0" t="s">
        <v>65275</v>
      </c>
      <c r="L19645" s="0" t="str">
        <f aca="false">HYPERLINK("https://www.ncbi.nlm.nih.gov/nuccore/CP000059.1?report=graph&amp;tracks=[key:gene_model_track,Options:GeneOnly]&amp;mk=125035:125054|offset_7|00cc00,125107:125126|offset_79|444444,125137:125156|offset_109|444444,125168:125187|offset_140|444444&amp;v=124834:125387&amp;c=444444", "offset 7")</f>
        <v>offset 7</v>
      </c>
    </row>
    <row r="19646" customFormat="false" ht="12.8" hidden="false" customHeight="false" outlineLevel="0" collapsed="false">
      <c r="A19646" s="0" t="s">
        <v>64160</v>
      </c>
      <c r="B19646" s="0" t="n">
        <v>125106</v>
      </c>
      <c r="C19646" s="0" t="n">
        <v>125126</v>
      </c>
      <c r="D19646" s="0" t="s">
        <v>65272</v>
      </c>
      <c r="E19646" s="0" t="s">
        <v>75</v>
      </c>
      <c r="F19646" s="0" t="s">
        <v>15</v>
      </c>
      <c r="G19646" s="0" t="s">
        <v>36</v>
      </c>
      <c r="H19646" s="0" t="n">
        <v>79</v>
      </c>
      <c r="I19646" s="0" t="s">
        <v>65276</v>
      </c>
      <c r="J19646" s="0" t="s">
        <v>65277</v>
      </c>
      <c r="K19646" s="0" t="s">
        <v>65278</v>
      </c>
      <c r="L19646" s="0" t="str">
        <f aca="false">HYPERLINK("https://www.ncbi.nlm.nih.gov/nuccore/CP000059.1?report=graph&amp;tracks=[key:gene_model_track,Options:GeneOnly]&amp;mk=125035:125054|offset_7|444444,125107:125126|offset_79|00cc00,125137:125156|offset_109|444444,125168:125187|offset_140|444444&amp;v=124834:125387&amp;c=444444", "offset 79")</f>
        <v>offset 79</v>
      </c>
    </row>
    <row r="19647" customFormat="false" ht="12.8" hidden="false" customHeight="false" outlineLevel="0" collapsed="false">
      <c r="A19647" s="0" t="s">
        <v>64160</v>
      </c>
      <c r="B19647" s="0" t="n">
        <v>125136</v>
      </c>
      <c r="C19647" s="0" t="n">
        <v>125156</v>
      </c>
      <c r="D19647" s="0" t="s">
        <v>65272</v>
      </c>
      <c r="E19647" s="0" t="s">
        <v>75</v>
      </c>
      <c r="F19647" s="0" t="s">
        <v>15</v>
      </c>
      <c r="G19647" s="0" t="s">
        <v>20</v>
      </c>
      <c r="H19647" s="0" t="n">
        <v>109</v>
      </c>
      <c r="I19647" s="0" t="s">
        <v>65279</v>
      </c>
      <c r="J19647" s="0" t="s">
        <v>65280</v>
      </c>
      <c r="K19647" s="0" t="s">
        <v>65281</v>
      </c>
      <c r="L19647" s="0" t="str">
        <f aca="false">HYPERLINK("https://www.ncbi.nlm.nih.gov/nuccore/CP000059.1?report=graph&amp;tracks=[key:gene_model_track,Options:GeneOnly]&amp;mk=125035:125054|offset_7|444444,125107:125126|offset_79|444444,125137:125156|offset_109|00cc00,125168:125187|offset_140|444444&amp;v=124834:125387&amp;c=444444", "offset 109")</f>
        <v>offset 109</v>
      </c>
    </row>
    <row r="19648" customFormat="false" ht="12.8" hidden="false" customHeight="false" outlineLevel="0" collapsed="false">
      <c r="A19648" s="0" t="s">
        <v>64160</v>
      </c>
      <c r="B19648" s="0" t="n">
        <v>125167</v>
      </c>
      <c r="C19648" s="0" t="n">
        <v>125187</v>
      </c>
      <c r="D19648" s="0" t="s">
        <v>65272</v>
      </c>
      <c r="E19648" s="0" t="s">
        <v>75</v>
      </c>
      <c r="F19648" s="0" t="s">
        <v>15</v>
      </c>
      <c r="G19648" s="0" t="s">
        <v>32</v>
      </c>
      <c r="H19648" s="0" t="n">
        <v>140</v>
      </c>
      <c r="I19648" s="0" t="s">
        <v>65282</v>
      </c>
      <c r="J19648" s="0" t="s">
        <v>65283</v>
      </c>
      <c r="K19648" s="0" t="s">
        <v>65284</v>
      </c>
      <c r="L19648" s="0" t="str">
        <f aca="false">HYPERLINK("https://www.ncbi.nlm.nih.gov/nuccore/CP000059.1?report=graph&amp;tracks=[key:gene_model_track,Options:GeneOnly]&amp;mk=125035:125054|offset_7|444444,125107:125126|offset_79|444444,125137:125156|offset_109|444444,125168:125187|offset_140|00cc00&amp;v=124834:125387&amp;c=444444", "offset 140")</f>
        <v>offset 140</v>
      </c>
    </row>
    <row r="19649" customFormat="false" ht="12.8" hidden="false" customHeight="false" outlineLevel="0" collapsed="false">
      <c r="A19649" s="0" t="s">
        <v>64160</v>
      </c>
      <c r="B19649" s="0" t="n">
        <v>126585</v>
      </c>
      <c r="C19649" s="0" t="n">
        <v>126605</v>
      </c>
      <c r="D19649" s="0" t="s">
        <v>65285</v>
      </c>
      <c r="E19649" s="0" t="s">
        <v>75</v>
      </c>
      <c r="F19649" s="0" t="s">
        <v>90</v>
      </c>
      <c r="G19649" s="0" t="s">
        <v>32</v>
      </c>
      <c r="H19649" s="0" t="n">
        <v>1</v>
      </c>
      <c r="I19649" s="0" t="s">
        <v>65286</v>
      </c>
      <c r="J19649" s="0" t="s">
        <v>65287</v>
      </c>
      <c r="K19649" s="0" t="s">
        <v>65288</v>
      </c>
      <c r="L19649" s="0" t="str">
        <f aca="false">HYPERLINK("https://www.ncbi.nlm.nih.gov/nuccore/CP000059.1?report=graph&amp;tracks=[key:gene_model_track,Options:GeneOnly]&amp;mk=126586:126605|offset_1|00cc00,126562:126581|offset_25|444444,126533:126552|offset_54|444444,126504:126523|offset_83|444444&amp;v=126385:126723&amp;c=444444", "offset 1")</f>
        <v>offset 1</v>
      </c>
    </row>
    <row r="19650" customFormat="false" ht="12.8" hidden="false" customHeight="false" outlineLevel="0" collapsed="false">
      <c r="A19650" s="0" t="s">
        <v>64160</v>
      </c>
      <c r="B19650" s="0" t="n">
        <v>126561</v>
      </c>
      <c r="C19650" s="0" t="n">
        <v>126581</v>
      </c>
      <c r="D19650" s="0" t="s">
        <v>65285</v>
      </c>
      <c r="E19650" s="0" t="s">
        <v>75</v>
      </c>
      <c r="F19650" s="0" t="s">
        <v>90</v>
      </c>
      <c r="G19650" s="0" t="s">
        <v>16</v>
      </c>
      <c r="H19650" s="0" t="n">
        <v>25</v>
      </c>
      <c r="I19650" s="0" t="s">
        <v>65289</v>
      </c>
      <c r="J19650" s="0" t="s">
        <v>65290</v>
      </c>
      <c r="K19650" s="0" t="s">
        <v>65291</v>
      </c>
      <c r="L19650" s="0" t="str">
        <f aca="false">HYPERLINK("https://www.ncbi.nlm.nih.gov/nuccore/CP000059.1?report=graph&amp;tracks=[key:gene_model_track,Options:GeneOnly]&amp;mk=126586:126605|offset_1|444444,126562:126581|offset_25|00cc00,126533:126552|offset_54|444444,126504:126523|offset_83|444444&amp;v=126385:126723&amp;c=444444", "offset 25")</f>
        <v>offset 25</v>
      </c>
    </row>
    <row r="19651" customFormat="false" ht="12.8" hidden="false" customHeight="false" outlineLevel="0" collapsed="false">
      <c r="A19651" s="0" t="s">
        <v>64160</v>
      </c>
      <c r="B19651" s="0" t="n">
        <v>126532</v>
      </c>
      <c r="C19651" s="0" t="n">
        <v>126552</v>
      </c>
      <c r="D19651" s="0" t="s">
        <v>65285</v>
      </c>
      <c r="E19651" s="0" t="s">
        <v>75</v>
      </c>
      <c r="F19651" s="0" t="s">
        <v>90</v>
      </c>
      <c r="G19651" s="0" t="s">
        <v>32</v>
      </c>
      <c r="H19651" s="0" t="n">
        <v>54</v>
      </c>
      <c r="I19651" s="0" t="s">
        <v>65292</v>
      </c>
      <c r="J19651" s="0" t="s">
        <v>65293</v>
      </c>
      <c r="K19651" s="0" t="s">
        <v>65294</v>
      </c>
      <c r="L19651" s="0" t="str">
        <f aca="false">HYPERLINK("https://www.ncbi.nlm.nih.gov/nuccore/CP000059.1?report=graph&amp;tracks=[key:gene_model_track,Options:GeneOnly]&amp;mk=126586:126605|offset_1|444444,126562:126581|offset_25|444444,126533:126552|offset_54|00cc00,126504:126523|offset_83|444444&amp;v=126385:126723&amp;c=444444", "offset 54")</f>
        <v>offset 54</v>
      </c>
    </row>
    <row r="19652" customFormat="false" ht="12.8" hidden="false" customHeight="false" outlineLevel="0" collapsed="false">
      <c r="A19652" s="0" t="s">
        <v>64160</v>
      </c>
      <c r="B19652" s="0" t="n">
        <v>126503</v>
      </c>
      <c r="C19652" s="0" t="n">
        <v>126523</v>
      </c>
      <c r="D19652" s="0" t="s">
        <v>65285</v>
      </c>
      <c r="E19652" s="0" t="s">
        <v>75</v>
      </c>
      <c r="F19652" s="0" t="s">
        <v>90</v>
      </c>
      <c r="G19652" s="0" t="s">
        <v>32</v>
      </c>
      <c r="H19652" s="0" t="n">
        <v>83</v>
      </c>
      <c r="I19652" s="0" t="s">
        <v>65295</v>
      </c>
      <c r="J19652" s="0" t="s">
        <v>65296</v>
      </c>
      <c r="K19652" s="0" t="s">
        <v>65297</v>
      </c>
      <c r="L19652" s="0" t="str">
        <f aca="false">HYPERLINK("https://www.ncbi.nlm.nih.gov/nuccore/CP000059.1?report=graph&amp;tracks=[key:gene_model_track,Options:GeneOnly]&amp;mk=126586:126605|offset_1|444444,126562:126581|offset_25|444444,126533:126552|offset_54|444444,126504:126523|offset_83|00cc00&amp;v=126385:126723&amp;c=444444", "offset 83")</f>
        <v>offset 83</v>
      </c>
    </row>
    <row r="19653" customFormat="false" ht="12.8" hidden="false" customHeight="false" outlineLevel="0" collapsed="false">
      <c r="A19653" s="0" t="s">
        <v>64160</v>
      </c>
      <c r="B19653" s="0" t="n">
        <v>127604</v>
      </c>
      <c r="C19653" s="0" t="n">
        <v>127624</v>
      </c>
      <c r="D19653" s="0" t="s">
        <v>65298</v>
      </c>
      <c r="E19653" s="0" t="s">
        <v>75</v>
      </c>
      <c r="F19653" s="0" t="s">
        <v>15</v>
      </c>
      <c r="G19653" s="0" t="s">
        <v>16</v>
      </c>
      <c r="H19653" s="0" t="n">
        <v>19</v>
      </c>
      <c r="I19653" s="0" t="s">
        <v>65299</v>
      </c>
      <c r="J19653" s="0" t="s">
        <v>65300</v>
      </c>
      <c r="K19653" s="0" t="s">
        <v>65301</v>
      </c>
      <c r="L19653" s="0" t="str">
        <f aca="false">HYPERLINK("https://www.ncbi.nlm.nih.gov/nuccore/CP000059.1?report=graph&amp;tracks=[key:gene_model_track,Options:GeneOnly]&amp;mk=127605:127624|offset_19|00cc00,127636:127655|offset_50|444444,127657:127676|offset_71|444444,127690:127709|offset_104|444444&amp;v=127404:127909&amp;c=444444", "offset 19")</f>
        <v>offset 19</v>
      </c>
    </row>
    <row r="19654" customFormat="false" ht="12.8" hidden="false" customHeight="false" outlineLevel="0" collapsed="false">
      <c r="A19654" s="0" t="s">
        <v>64160</v>
      </c>
      <c r="B19654" s="0" t="n">
        <v>127635</v>
      </c>
      <c r="C19654" s="0" t="n">
        <v>127655</v>
      </c>
      <c r="D19654" s="0" t="s">
        <v>65298</v>
      </c>
      <c r="E19654" s="0" t="s">
        <v>75</v>
      </c>
      <c r="F19654" s="0" t="s">
        <v>15</v>
      </c>
      <c r="G19654" s="0" t="s">
        <v>20</v>
      </c>
      <c r="H19654" s="0" t="n">
        <v>50</v>
      </c>
      <c r="I19654" s="0" t="s">
        <v>65302</v>
      </c>
      <c r="J19654" s="0" t="s">
        <v>65303</v>
      </c>
      <c r="K19654" s="0" t="s">
        <v>65304</v>
      </c>
      <c r="L19654" s="0" t="str">
        <f aca="false">HYPERLINK("https://www.ncbi.nlm.nih.gov/nuccore/CP000059.1?report=graph&amp;tracks=[key:gene_model_track,Options:GeneOnly]&amp;mk=127605:127624|offset_19|444444,127636:127655|offset_50|00cc00,127657:127676|offset_71|444444,127690:127709|offset_104|444444&amp;v=127404:127909&amp;c=444444", "offset 50")</f>
        <v>offset 50</v>
      </c>
    </row>
    <row r="19655" customFormat="false" ht="12.8" hidden="false" customHeight="false" outlineLevel="0" collapsed="false">
      <c r="A19655" s="0" t="s">
        <v>64160</v>
      </c>
      <c r="B19655" s="0" t="n">
        <v>127656</v>
      </c>
      <c r="C19655" s="0" t="n">
        <v>127676</v>
      </c>
      <c r="D19655" s="0" t="s">
        <v>65298</v>
      </c>
      <c r="E19655" s="0" t="s">
        <v>75</v>
      </c>
      <c r="F19655" s="0" t="s">
        <v>15</v>
      </c>
      <c r="G19655" s="0" t="s">
        <v>20</v>
      </c>
      <c r="H19655" s="0" t="n">
        <v>71</v>
      </c>
      <c r="I19655" s="0" t="s">
        <v>65305</v>
      </c>
      <c r="J19655" s="0" t="s">
        <v>65306</v>
      </c>
      <c r="K19655" s="0" t="s">
        <v>65307</v>
      </c>
      <c r="L19655" s="0" t="str">
        <f aca="false">HYPERLINK("https://www.ncbi.nlm.nih.gov/nuccore/CP000059.1?report=graph&amp;tracks=[key:gene_model_track,Options:GeneOnly]&amp;mk=127605:127624|offset_19|444444,127636:127655|offset_50|444444,127657:127676|offset_71|00cc00,127690:127709|offset_104|444444&amp;v=127404:127909&amp;c=444444", "offset 71")</f>
        <v>offset 71</v>
      </c>
    </row>
    <row r="19656" customFormat="false" ht="12.8" hidden="false" customHeight="false" outlineLevel="0" collapsed="false">
      <c r="A19656" s="0" t="s">
        <v>64160</v>
      </c>
      <c r="B19656" s="0" t="n">
        <v>127689</v>
      </c>
      <c r="C19656" s="0" t="n">
        <v>127709</v>
      </c>
      <c r="D19656" s="0" t="s">
        <v>65298</v>
      </c>
      <c r="E19656" s="0" t="s">
        <v>75</v>
      </c>
      <c r="F19656" s="0" t="s">
        <v>15</v>
      </c>
      <c r="G19656" s="0" t="s">
        <v>20</v>
      </c>
      <c r="H19656" s="0" t="n">
        <v>104</v>
      </c>
      <c r="I19656" s="0" t="s">
        <v>65308</v>
      </c>
      <c r="J19656" s="0" t="s">
        <v>65309</v>
      </c>
      <c r="K19656" s="0" t="s">
        <v>65310</v>
      </c>
      <c r="L19656" s="0" t="str">
        <f aca="false">HYPERLINK("https://www.ncbi.nlm.nih.gov/nuccore/CP000059.1?report=graph&amp;tracks=[key:gene_model_track,Options:GeneOnly]&amp;mk=127605:127624|offset_19|444444,127636:127655|offset_50|444444,127657:127676|offset_71|444444,127690:127709|offset_104|00cc00&amp;v=127404:127909&amp;c=444444", "offset 104")</f>
        <v>offset 104</v>
      </c>
    </row>
    <row r="19657" customFormat="false" ht="12.8" hidden="false" customHeight="false" outlineLevel="0" collapsed="false">
      <c r="A19657" s="0" t="s">
        <v>64160</v>
      </c>
      <c r="B19657" s="0" t="n">
        <v>127972</v>
      </c>
      <c r="C19657" s="0" t="n">
        <v>127992</v>
      </c>
      <c r="D19657" s="0" t="s">
        <v>65311</v>
      </c>
      <c r="E19657" s="0" t="s">
        <v>75</v>
      </c>
      <c r="F19657" s="0" t="s">
        <v>15</v>
      </c>
      <c r="G19657" s="0" t="s">
        <v>32</v>
      </c>
      <c r="H19657" s="0" t="n">
        <v>167</v>
      </c>
      <c r="I19657" s="0" t="s">
        <v>65312</v>
      </c>
      <c r="J19657" s="0" t="s">
        <v>65313</v>
      </c>
      <c r="K19657" s="0" t="s">
        <v>65314</v>
      </c>
      <c r="L19657" s="0" t="str">
        <f aca="false">HYPERLINK("https://www.ncbi.nlm.nih.gov/nuccore/CP000059.1?report=graph&amp;tracks=[key:gene_model_track,Options:GeneOnly]&amp;mk=127973:127992|offset_167|00cc00,127994:128013|offset_188|444444,128033:128052|offset_227|444444,128056:128075|offset_250|444444&amp;v=127772:128275&amp;c=444444", "offset 167")</f>
        <v>offset 167</v>
      </c>
    </row>
    <row r="19658" customFormat="false" ht="12.8" hidden="false" customHeight="false" outlineLevel="0" collapsed="false">
      <c r="A19658" s="0" t="s">
        <v>64160</v>
      </c>
      <c r="B19658" s="0" t="n">
        <v>127993</v>
      </c>
      <c r="C19658" s="0" t="n">
        <v>128013</v>
      </c>
      <c r="D19658" s="0" t="s">
        <v>65311</v>
      </c>
      <c r="E19658" s="0" t="s">
        <v>75</v>
      </c>
      <c r="F19658" s="0" t="s">
        <v>15</v>
      </c>
      <c r="G19658" s="0" t="s">
        <v>16</v>
      </c>
      <c r="H19658" s="0" t="n">
        <v>188</v>
      </c>
      <c r="I19658" s="0" t="s">
        <v>65315</v>
      </c>
      <c r="J19658" s="0" t="s">
        <v>65316</v>
      </c>
      <c r="K19658" s="0" t="s">
        <v>65317</v>
      </c>
      <c r="L19658" s="0" t="str">
        <f aca="false">HYPERLINK("https://www.ncbi.nlm.nih.gov/nuccore/CP000059.1?report=graph&amp;tracks=[key:gene_model_track,Options:GeneOnly]&amp;mk=127973:127992|offset_167|444444,127994:128013|offset_188|00cc00,128033:128052|offset_227|444444,128056:128075|offset_250|444444&amp;v=127772:128275&amp;c=444444", "offset 188")</f>
        <v>offset 188</v>
      </c>
    </row>
    <row r="19659" customFormat="false" ht="12.8" hidden="false" customHeight="false" outlineLevel="0" collapsed="false">
      <c r="A19659" s="0" t="s">
        <v>64160</v>
      </c>
      <c r="B19659" s="0" t="n">
        <v>128032</v>
      </c>
      <c r="C19659" s="0" t="n">
        <v>128052</v>
      </c>
      <c r="D19659" s="0" t="s">
        <v>65311</v>
      </c>
      <c r="E19659" s="0" t="s">
        <v>75</v>
      </c>
      <c r="F19659" s="0" t="s">
        <v>15</v>
      </c>
      <c r="G19659" s="0" t="s">
        <v>20</v>
      </c>
      <c r="H19659" s="0" t="n">
        <v>227</v>
      </c>
      <c r="I19659" s="0" t="s">
        <v>65318</v>
      </c>
      <c r="J19659" s="0" t="s">
        <v>65319</v>
      </c>
      <c r="K19659" s="0" t="s">
        <v>65320</v>
      </c>
      <c r="L19659" s="0" t="str">
        <f aca="false">HYPERLINK("https://www.ncbi.nlm.nih.gov/nuccore/CP000059.1?report=graph&amp;tracks=[key:gene_model_track,Options:GeneOnly]&amp;mk=127973:127992|offset_167|444444,127994:128013|offset_188|444444,128033:128052|offset_227|00cc00,128056:128075|offset_250|444444&amp;v=127772:128275&amp;c=444444", "offset 227")</f>
        <v>offset 227</v>
      </c>
    </row>
    <row r="19660" customFormat="false" ht="12.8" hidden="false" customHeight="false" outlineLevel="0" collapsed="false">
      <c r="A19660" s="0" t="s">
        <v>64160</v>
      </c>
      <c r="B19660" s="0" t="n">
        <v>128055</v>
      </c>
      <c r="C19660" s="0" t="n">
        <v>128075</v>
      </c>
      <c r="D19660" s="0" t="s">
        <v>65311</v>
      </c>
      <c r="E19660" s="0" t="s">
        <v>75</v>
      </c>
      <c r="F19660" s="0" t="s">
        <v>15</v>
      </c>
      <c r="G19660" s="0" t="s">
        <v>32</v>
      </c>
      <c r="H19660" s="0" t="n">
        <v>250</v>
      </c>
      <c r="I19660" s="0" t="s">
        <v>65321</v>
      </c>
      <c r="J19660" s="0" t="s">
        <v>65322</v>
      </c>
      <c r="K19660" s="0" t="s">
        <v>65323</v>
      </c>
      <c r="L19660" s="0" t="str">
        <f aca="false">HYPERLINK("https://www.ncbi.nlm.nih.gov/nuccore/CP000059.1?report=graph&amp;tracks=[key:gene_model_track,Options:GeneOnly]&amp;mk=127973:127992|offset_167|444444,127994:128013|offset_188|444444,128033:128052|offset_227|444444,128056:128075|offset_250|00cc00&amp;v=127772:128275&amp;c=444444", "offset 250")</f>
        <v>offset 250</v>
      </c>
    </row>
    <row r="19661" customFormat="false" ht="12.8" hidden="false" customHeight="false" outlineLevel="0" collapsed="false">
      <c r="A19661" s="0" t="s">
        <v>64160</v>
      </c>
      <c r="B19661" s="0" t="n">
        <v>129815</v>
      </c>
      <c r="C19661" s="0" t="n">
        <v>129835</v>
      </c>
      <c r="D19661" s="0" t="s">
        <v>65324</v>
      </c>
      <c r="E19661" s="0" t="s">
        <v>75</v>
      </c>
      <c r="F19661" s="0" t="s">
        <v>15</v>
      </c>
      <c r="G19661" s="0" t="s">
        <v>16</v>
      </c>
      <c r="H19661" s="0" t="n">
        <v>58</v>
      </c>
      <c r="I19661" s="0" t="s">
        <v>65325</v>
      </c>
      <c r="J19661" s="0" t="s">
        <v>65326</v>
      </c>
      <c r="K19661" s="0" t="s">
        <v>65327</v>
      </c>
      <c r="L19661" s="0" t="str">
        <f aca="false">HYPERLINK("https://www.ncbi.nlm.nih.gov/nuccore/CP000059.1?report=graph&amp;tracks=[key:gene_model_track,Options:GeneOnly]&amp;mk=129816:129835|offset_58|00cc00,129841:129860|offset_83|444444,129867:129886|offset_109|444444,129891:129910|offset_133|444444&amp;v=129615:130110&amp;c=444444", "offset 58")</f>
        <v>offset 58</v>
      </c>
    </row>
    <row r="19662" customFormat="false" ht="12.8" hidden="false" customHeight="false" outlineLevel="0" collapsed="false">
      <c r="A19662" s="0" t="s">
        <v>64160</v>
      </c>
      <c r="B19662" s="0" t="n">
        <v>129840</v>
      </c>
      <c r="C19662" s="0" t="n">
        <v>129860</v>
      </c>
      <c r="D19662" s="0" t="s">
        <v>65324</v>
      </c>
      <c r="E19662" s="0" t="s">
        <v>75</v>
      </c>
      <c r="F19662" s="0" t="s">
        <v>15</v>
      </c>
      <c r="G19662" s="0" t="s">
        <v>20</v>
      </c>
      <c r="H19662" s="0" t="n">
        <v>83</v>
      </c>
      <c r="I19662" s="0" t="s">
        <v>65328</v>
      </c>
      <c r="J19662" s="0" t="s">
        <v>65329</v>
      </c>
      <c r="K19662" s="0" t="s">
        <v>65330</v>
      </c>
      <c r="L19662" s="0" t="str">
        <f aca="false">HYPERLINK("https://www.ncbi.nlm.nih.gov/nuccore/CP000059.1?report=graph&amp;tracks=[key:gene_model_track,Options:GeneOnly]&amp;mk=129816:129835|offset_58|444444,129841:129860|offset_83|00cc00,129867:129886|offset_109|444444,129891:129910|offset_133|444444&amp;v=129615:130110&amp;c=444444", "offset 83")</f>
        <v>offset 83</v>
      </c>
    </row>
    <row r="19663" customFormat="false" ht="12.8" hidden="false" customHeight="false" outlineLevel="0" collapsed="false">
      <c r="A19663" s="0" t="s">
        <v>64160</v>
      </c>
      <c r="B19663" s="0" t="n">
        <v>129866</v>
      </c>
      <c r="C19663" s="0" t="n">
        <v>129886</v>
      </c>
      <c r="D19663" s="0" t="s">
        <v>65324</v>
      </c>
      <c r="E19663" s="0" t="s">
        <v>75</v>
      </c>
      <c r="F19663" s="0" t="s">
        <v>15</v>
      </c>
      <c r="G19663" s="0" t="s">
        <v>16</v>
      </c>
      <c r="H19663" s="0" t="n">
        <v>109</v>
      </c>
      <c r="I19663" s="0" t="s">
        <v>65331</v>
      </c>
      <c r="J19663" s="0" t="s">
        <v>65332</v>
      </c>
      <c r="K19663" s="0" t="s">
        <v>65333</v>
      </c>
      <c r="L19663" s="0" t="str">
        <f aca="false">HYPERLINK("https://www.ncbi.nlm.nih.gov/nuccore/CP000059.1?report=graph&amp;tracks=[key:gene_model_track,Options:GeneOnly]&amp;mk=129816:129835|offset_58|444444,129841:129860|offset_83|444444,129867:129886|offset_109|00cc00,129891:129910|offset_133|444444&amp;v=129615:130110&amp;c=444444", "offset 109")</f>
        <v>offset 109</v>
      </c>
    </row>
    <row r="19664" customFormat="false" ht="12.8" hidden="false" customHeight="false" outlineLevel="0" collapsed="false">
      <c r="A19664" s="0" t="s">
        <v>64160</v>
      </c>
      <c r="B19664" s="0" t="n">
        <v>129890</v>
      </c>
      <c r="C19664" s="0" t="n">
        <v>129910</v>
      </c>
      <c r="D19664" s="0" t="s">
        <v>65324</v>
      </c>
      <c r="E19664" s="0" t="s">
        <v>75</v>
      </c>
      <c r="F19664" s="0" t="s">
        <v>15</v>
      </c>
      <c r="G19664" s="0" t="s">
        <v>16</v>
      </c>
      <c r="H19664" s="0" t="n">
        <v>133</v>
      </c>
      <c r="I19664" s="0" t="s">
        <v>65334</v>
      </c>
      <c r="J19664" s="0" t="s">
        <v>65335</v>
      </c>
      <c r="K19664" s="0" t="s">
        <v>65336</v>
      </c>
      <c r="L19664" s="0" t="str">
        <f aca="false">HYPERLINK("https://www.ncbi.nlm.nih.gov/nuccore/CP000059.1?report=graph&amp;tracks=[key:gene_model_track,Options:GeneOnly]&amp;mk=129816:129835|offset_58|444444,129841:129860|offset_83|444444,129867:129886|offset_109|444444,129891:129910|offset_133|00cc00&amp;v=129615:130110&amp;c=444444", "offset 133")</f>
        <v>offset 133</v>
      </c>
    </row>
    <row r="19665" customFormat="false" ht="12.8" hidden="false" customHeight="false" outlineLevel="0" collapsed="false">
      <c r="A19665" s="0" t="s">
        <v>64160</v>
      </c>
      <c r="B19665" s="0" t="n">
        <v>130074</v>
      </c>
      <c r="C19665" s="0" t="n">
        <v>130094</v>
      </c>
      <c r="D19665" s="0" t="s">
        <v>65337</v>
      </c>
      <c r="E19665" s="0" t="s">
        <v>75</v>
      </c>
      <c r="F19665" s="0" t="s">
        <v>15</v>
      </c>
      <c r="G19665" s="0" t="s">
        <v>16</v>
      </c>
      <c r="H19665" s="0" t="n">
        <v>16</v>
      </c>
      <c r="I19665" s="0" t="s">
        <v>65338</v>
      </c>
      <c r="J19665" s="0" t="s">
        <v>65339</v>
      </c>
      <c r="K19665" s="0" t="s">
        <v>65340</v>
      </c>
      <c r="L19665" s="0" t="str">
        <f aca="false">HYPERLINK("https://www.ncbi.nlm.nih.gov/nuccore/CP000059.1?report=graph&amp;tracks=[key:gene_model_track,Options:GeneOnly]&amp;mk=130075:130094|offset_16|00cc00,130103:130122|offset_44|444444,130129:130148|offset_70|444444,130160:130179|offset_101|444444&amp;v=129874:130379&amp;c=444444", "offset 16")</f>
        <v>offset 16</v>
      </c>
    </row>
    <row r="19666" customFormat="false" ht="12.8" hidden="false" customHeight="false" outlineLevel="0" collapsed="false">
      <c r="A19666" s="0" t="s">
        <v>64160</v>
      </c>
      <c r="B19666" s="0" t="n">
        <v>130102</v>
      </c>
      <c r="C19666" s="0" t="n">
        <v>130122</v>
      </c>
      <c r="D19666" s="0" t="s">
        <v>65337</v>
      </c>
      <c r="E19666" s="0" t="s">
        <v>75</v>
      </c>
      <c r="F19666" s="0" t="s">
        <v>15</v>
      </c>
      <c r="G19666" s="0" t="s">
        <v>20</v>
      </c>
      <c r="H19666" s="0" t="n">
        <v>44</v>
      </c>
      <c r="I19666" s="0" t="s">
        <v>65341</v>
      </c>
      <c r="J19666" s="0" t="s">
        <v>65342</v>
      </c>
      <c r="K19666" s="0" t="s">
        <v>65343</v>
      </c>
      <c r="L19666" s="0" t="str">
        <f aca="false">HYPERLINK("https://www.ncbi.nlm.nih.gov/nuccore/CP000059.1?report=graph&amp;tracks=[key:gene_model_track,Options:GeneOnly]&amp;mk=130075:130094|offset_16|444444,130103:130122|offset_44|00cc00,130129:130148|offset_70|444444,130160:130179|offset_101|444444&amp;v=129874:130379&amp;c=444444", "offset 44")</f>
        <v>offset 44</v>
      </c>
    </row>
    <row r="19667" customFormat="false" ht="12.8" hidden="false" customHeight="false" outlineLevel="0" collapsed="false">
      <c r="A19667" s="0" t="s">
        <v>64160</v>
      </c>
      <c r="B19667" s="0" t="n">
        <v>130128</v>
      </c>
      <c r="C19667" s="0" t="n">
        <v>130148</v>
      </c>
      <c r="D19667" s="0" t="s">
        <v>65337</v>
      </c>
      <c r="E19667" s="0" t="s">
        <v>75</v>
      </c>
      <c r="F19667" s="0" t="s">
        <v>15</v>
      </c>
      <c r="G19667" s="0" t="s">
        <v>16</v>
      </c>
      <c r="H19667" s="0" t="n">
        <v>70</v>
      </c>
      <c r="I19667" s="0" t="s">
        <v>65344</v>
      </c>
      <c r="J19667" s="0" t="s">
        <v>65345</v>
      </c>
      <c r="K19667" s="0" t="s">
        <v>65346</v>
      </c>
      <c r="L19667" s="0" t="str">
        <f aca="false">HYPERLINK("https://www.ncbi.nlm.nih.gov/nuccore/CP000059.1?report=graph&amp;tracks=[key:gene_model_track,Options:GeneOnly]&amp;mk=130075:130094|offset_16|444444,130103:130122|offset_44|444444,130129:130148|offset_70|00cc00,130160:130179|offset_101|444444&amp;v=129874:130379&amp;c=444444", "offset 70")</f>
        <v>offset 70</v>
      </c>
    </row>
    <row r="19668" customFormat="false" ht="12.8" hidden="false" customHeight="false" outlineLevel="0" collapsed="false">
      <c r="A19668" s="0" t="s">
        <v>64160</v>
      </c>
      <c r="B19668" s="0" t="n">
        <v>130159</v>
      </c>
      <c r="C19668" s="0" t="n">
        <v>130179</v>
      </c>
      <c r="D19668" s="0" t="s">
        <v>65337</v>
      </c>
      <c r="E19668" s="0" t="s">
        <v>75</v>
      </c>
      <c r="F19668" s="0" t="s">
        <v>15</v>
      </c>
      <c r="G19668" s="0" t="s">
        <v>16</v>
      </c>
      <c r="H19668" s="0" t="n">
        <v>101</v>
      </c>
      <c r="I19668" s="0" t="s">
        <v>65347</v>
      </c>
      <c r="J19668" s="0" t="s">
        <v>65348</v>
      </c>
      <c r="K19668" s="0" t="s">
        <v>65349</v>
      </c>
      <c r="L19668" s="0" t="str">
        <f aca="false">HYPERLINK("https://www.ncbi.nlm.nih.gov/nuccore/CP000059.1?report=graph&amp;tracks=[key:gene_model_track,Options:GeneOnly]&amp;mk=130075:130094|offset_16|444444,130103:130122|offset_44|444444,130129:130148|offset_70|444444,130160:130179|offset_101|00cc00&amp;v=129874:130379&amp;c=444444", "offset 101")</f>
        <v>offset 101</v>
      </c>
    </row>
    <row r="19669" customFormat="false" ht="12.8" hidden="false" customHeight="false" outlineLevel="0" collapsed="false">
      <c r="A19669" s="0" t="s">
        <v>64160</v>
      </c>
      <c r="B19669" s="0" t="n">
        <v>130779</v>
      </c>
      <c r="C19669" s="0" t="n">
        <v>130799</v>
      </c>
      <c r="D19669" s="0" t="s">
        <v>65350</v>
      </c>
      <c r="E19669" s="0" t="s">
        <v>75</v>
      </c>
      <c r="F19669" s="0" t="s">
        <v>15</v>
      </c>
      <c r="G19669" s="0" t="s">
        <v>16</v>
      </c>
      <c r="H19669" s="0" t="n">
        <v>67</v>
      </c>
      <c r="I19669" s="0" t="s">
        <v>65351</v>
      </c>
      <c r="J19669" s="0" t="s">
        <v>65352</v>
      </c>
      <c r="K19669" s="0" t="s">
        <v>65353</v>
      </c>
      <c r="L19669" s="0" t="str">
        <f aca="false">HYPERLINK("https://www.ncbi.nlm.nih.gov/nuccore/CP000059.1?report=graph&amp;tracks=[key:gene_model_track,Options:GeneOnly]&amp;mk=130780:130799|offset_67|00cc00,130811:130830|offset_98|444444,130846:130865|offset_133|444444,130880:130899|offset_167|444444&amp;v=130579:131099&amp;c=444444", "offset 67")</f>
        <v>offset 67</v>
      </c>
    </row>
    <row r="19670" customFormat="false" ht="12.8" hidden="false" customHeight="false" outlineLevel="0" collapsed="false">
      <c r="A19670" s="0" t="s">
        <v>64160</v>
      </c>
      <c r="B19670" s="0" t="n">
        <v>130810</v>
      </c>
      <c r="C19670" s="0" t="n">
        <v>130830</v>
      </c>
      <c r="D19670" s="0" t="s">
        <v>65350</v>
      </c>
      <c r="E19670" s="0" t="s">
        <v>75</v>
      </c>
      <c r="F19670" s="0" t="s">
        <v>15</v>
      </c>
      <c r="G19670" s="0" t="s">
        <v>20</v>
      </c>
      <c r="H19670" s="0" t="n">
        <v>98</v>
      </c>
      <c r="I19670" s="0" t="s">
        <v>65354</v>
      </c>
      <c r="J19670" s="0" t="s">
        <v>65355</v>
      </c>
      <c r="K19670" s="0" t="s">
        <v>65356</v>
      </c>
      <c r="L19670" s="0" t="str">
        <f aca="false">HYPERLINK("https://www.ncbi.nlm.nih.gov/nuccore/CP000059.1?report=graph&amp;tracks=[key:gene_model_track,Options:GeneOnly]&amp;mk=130780:130799|offset_67|444444,130811:130830|offset_98|00cc00,130846:130865|offset_133|444444,130880:130899|offset_167|444444&amp;v=130579:131099&amp;c=444444", "offset 98")</f>
        <v>offset 98</v>
      </c>
    </row>
    <row r="19671" customFormat="false" ht="12.8" hidden="false" customHeight="false" outlineLevel="0" collapsed="false">
      <c r="A19671" s="0" t="s">
        <v>64160</v>
      </c>
      <c r="B19671" s="0" t="n">
        <v>130845</v>
      </c>
      <c r="C19671" s="0" t="n">
        <v>130865</v>
      </c>
      <c r="D19671" s="0" t="s">
        <v>65350</v>
      </c>
      <c r="E19671" s="0" t="s">
        <v>75</v>
      </c>
      <c r="F19671" s="0" t="s">
        <v>15</v>
      </c>
      <c r="G19671" s="0" t="s">
        <v>16</v>
      </c>
      <c r="H19671" s="0" t="n">
        <v>133</v>
      </c>
      <c r="I19671" s="0" t="s">
        <v>65357</v>
      </c>
      <c r="J19671" s="0" t="s">
        <v>65358</v>
      </c>
      <c r="K19671" s="0" t="s">
        <v>65359</v>
      </c>
      <c r="L19671" s="0" t="str">
        <f aca="false">HYPERLINK("https://www.ncbi.nlm.nih.gov/nuccore/CP000059.1?report=graph&amp;tracks=[key:gene_model_track,Options:GeneOnly]&amp;mk=130780:130799|offset_67|444444,130811:130830|offset_98|444444,130846:130865|offset_133|00cc00,130880:130899|offset_167|444444&amp;v=130579:131099&amp;c=444444", "offset 133")</f>
        <v>offset 133</v>
      </c>
    </row>
    <row r="19672" customFormat="false" ht="12.8" hidden="false" customHeight="false" outlineLevel="0" collapsed="false">
      <c r="A19672" s="0" t="s">
        <v>64160</v>
      </c>
      <c r="B19672" s="0" t="n">
        <v>130879</v>
      </c>
      <c r="C19672" s="0" t="n">
        <v>130899</v>
      </c>
      <c r="D19672" s="0" t="s">
        <v>65350</v>
      </c>
      <c r="E19672" s="0" t="s">
        <v>75</v>
      </c>
      <c r="F19672" s="0" t="s">
        <v>15</v>
      </c>
      <c r="G19672" s="0" t="s">
        <v>20</v>
      </c>
      <c r="H19672" s="0" t="n">
        <v>167</v>
      </c>
      <c r="I19672" s="0" t="s">
        <v>65360</v>
      </c>
      <c r="J19672" s="0" t="s">
        <v>65361</v>
      </c>
      <c r="K19672" s="0" t="s">
        <v>65362</v>
      </c>
      <c r="L19672" s="0" t="str">
        <f aca="false">HYPERLINK("https://www.ncbi.nlm.nih.gov/nuccore/CP000059.1?report=graph&amp;tracks=[key:gene_model_track,Options:GeneOnly]&amp;mk=130780:130799|offset_67|444444,130811:130830|offset_98|444444,130846:130865|offset_133|444444,130880:130899|offset_167|00cc00&amp;v=130579:131099&amp;c=444444", "offset 167")</f>
        <v>offset 167</v>
      </c>
    </row>
    <row r="19673" customFormat="false" ht="12.8" hidden="false" customHeight="false" outlineLevel="0" collapsed="false">
      <c r="A19673" s="0" t="s">
        <v>64160</v>
      </c>
      <c r="B19673" s="0" t="n">
        <v>131873</v>
      </c>
      <c r="C19673" s="0" t="n">
        <v>131893</v>
      </c>
      <c r="D19673" s="0" t="s">
        <v>65363</v>
      </c>
      <c r="E19673" s="0" t="s">
        <v>75</v>
      </c>
      <c r="F19673" s="0" t="s">
        <v>90</v>
      </c>
      <c r="G19673" s="0" t="s">
        <v>36</v>
      </c>
      <c r="H19673" s="0" t="n">
        <v>19</v>
      </c>
      <c r="I19673" s="0" t="s">
        <v>65364</v>
      </c>
      <c r="J19673" s="0" t="s">
        <v>65365</v>
      </c>
      <c r="K19673" s="0" t="s">
        <v>65366</v>
      </c>
      <c r="L19673" s="0" t="str">
        <f aca="false">HYPERLINK("https://www.ncbi.nlm.nih.gov/nuccore/CP000059.1?report=graph&amp;tracks=[key:gene_model_track,Options:GeneOnly]&amp;mk=131874:131893|offset_19|00cc00,131834:131853|offset_59|444444,131806:131825|offset_87|444444&amp;v=131673:132025&amp;c=444444", "offset 19")</f>
        <v>offset 19</v>
      </c>
    </row>
    <row r="19674" customFormat="false" ht="12.8" hidden="false" customHeight="false" outlineLevel="0" collapsed="false">
      <c r="A19674" s="0" t="s">
        <v>64160</v>
      </c>
      <c r="B19674" s="0" t="n">
        <v>131833</v>
      </c>
      <c r="C19674" s="0" t="n">
        <v>131853</v>
      </c>
      <c r="D19674" s="0" t="s">
        <v>65363</v>
      </c>
      <c r="E19674" s="0" t="s">
        <v>75</v>
      </c>
      <c r="F19674" s="0" t="s">
        <v>90</v>
      </c>
      <c r="G19674" s="0" t="s">
        <v>36</v>
      </c>
      <c r="H19674" s="0" t="n">
        <v>59</v>
      </c>
      <c r="I19674" s="0" t="s">
        <v>65367</v>
      </c>
      <c r="J19674" s="0" t="s">
        <v>65368</v>
      </c>
      <c r="K19674" s="0" t="s">
        <v>65369</v>
      </c>
      <c r="L19674" s="0" t="str">
        <f aca="false">HYPERLINK("https://www.ncbi.nlm.nih.gov/nuccore/CP000059.1?report=graph&amp;tracks=[key:gene_model_track,Options:GeneOnly]&amp;mk=131874:131893|offset_19|444444,131834:131853|offset_59|00cc00,131806:131825|offset_87|444444&amp;v=131673:132025&amp;c=444444", "offset 59")</f>
        <v>offset 59</v>
      </c>
    </row>
    <row r="19675" customFormat="false" ht="12.8" hidden="false" customHeight="false" outlineLevel="0" collapsed="false">
      <c r="A19675" s="0" t="s">
        <v>64160</v>
      </c>
      <c r="B19675" s="0" t="n">
        <v>131805</v>
      </c>
      <c r="C19675" s="0" t="n">
        <v>131825</v>
      </c>
      <c r="D19675" s="0" t="s">
        <v>65363</v>
      </c>
      <c r="E19675" s="0" t="s">
        <v>75</v>
      </c>
      <c r="F19675" s="0" t="s">
        <v>90</v>
      </c>
      <c r="G19675" s="0" t="s">
        <v>32</v>
      </c>
      <c r="H19675" s="0" t="n">
        <v>87</v>
      </c>
      <c r="I19675" s="0" t="s">
        <v>65370</v>
      </c>
      <c r="J19675" s="0" t="s">
        <v>65371</v>
      </c>
      <c r="K19675" s="0" t="s">
        <v>65372</v>
      </c>
      <c r="L19675" s="0" t="str">
        <f aca="false">HYPERLINK("https://www.ncbi.nlm.nih.gov/nuccore/CP000059.1?report=graph&amp;tracks=[key:gene_model_track,Options:GeneOnly]&amp;mk=131874:131893|offset_19|444444,131834:131853|offset_59|444444,131806:131825|offset_87|00cc00&amp;v=131673:132025&amp;c=444444", "offset 87")</f>
        <v>offset 87</v>
      </c>
    </row>
    <row r="19676" customFormat="false" ht="12.8" hidden="false" customHeight="false" outlineLevel="0" collapsed="false">
      <c r="A19676" s="0" t="s">
        <v>65373</v>
      </c>
      <c r="B19676" s="0" t="n">
        <v>143</v>
      </c>
      <c r="C19676" s="0" t="n">
        <v>163</v>
      </c>
      <c r="D19676" s="0" t="s">
        <v>65374</v>
      </c>
      <c r="E19676" s="0" t="s">
        <v>75</v>
      </c>
      <c r="F19676" s="0" t="s">
        <v>15</v>
      </c>
      <c r="G19676" s="0" t="s">
        <v>16</v>
      </c>
      <c r="H19676" s="0" t="n">
        <v>10</v>
      </c>
      <c r="I19676" s="0" t="s">
        <v>64162</v>
      </c>
      <c r="J19676" s="0" t="s">
        <v>64163</v>
      </c>
      <c r="K19676" s="0" t="s">
        <v>64164</v>
      </c>
      <c r="L19676" s="0" t="str">
        <f aca="false">HYPERLINK("https://www.ncbi.nlm.nih.gov/nuccore/CP000060.1?report=graph&amp;tracks=[key:gene_model_track,Options:GeneOnly]&amp;mk=144:163|offset_10|00cc00,170:189|offset_36|444444,217:236|offset_83|444444,237:256|offset_103|444444&amp;v=-57:456&amp;c=444444", "offset 10")</f>
        <v>offset 10</v>
      </c>
    </row>
    <row r="19677" customFormat="false" ht="12.8" hidden="false" customHeight="false" outlineLevel="0" collapsed="false">
      <c r="A19677" s="0" t="s">
        <v>65373</v>
      </c>
      <c r="B19677" s="0" t="n">
        <v>169</v>
      </c>
      <c r="C19677" s="0" t="n">
        <v>189</v>
      </c>
      <c r="D19677" s="0" t="s">
        <v>65374</v>
      </c>
      <c r="E19677" s="0" t="s">
        <v>75</v>
      </c>
      <c r="F19677" s="0" t="s">
        <v>15</v>
      </c>
      <c r="G19677" s="0" t="s">
        <v>16</v>
      </c>
      <c r="H19677" s="0" t="n">
        <v>36</v>
      </c>
      <c r="I19677" s="0" t="s">
        <v>64165</v>
      </c>
      <c r="J19677" s="0" t="s">
        <v>64166</v>
      </c>
      <c r="K19677" s="0" t="s">
        <v>64167</v>
      </c>
      <c r="L19677" s="0" t="str">
        <f aca="false">HYPERLINK("https://www.ncbi.nlm.nih.gov/nuccore/CP000060.1?report=graph&amp;tracks=[key:gene_model_track,Options:GeneOnly]&amp;mk=144:163|offset_10|444444,170:189|offset_36|00cc00,217:236|offset_83|444444,237:256|offset_103|444444&amp;v=-57:456&amp;c=444444", "offset 36")</f>
        <v>offset 36</v>
      </c>
    </row>
    <row r="19678" customFormat="false" ht="12.8" hidden="false" customHeight="false" outlineLevel="0" collapsed="false">
      <c r="A19678" s="0" t="s">
        <v>65373</v>
      </c>
      <c r="B19678" s="0" t="n">
        <v>216</v>
      </c>
      <c r="C19678" s="0" t="n">
        <v>236</v>
      </c>
      <c r="D19678" s="0" t="s">
        <v>65374</v>
      </c>
      <c r="E19678" s="0" t="s">
        <v>75</v>
      </c>
      <c r="F19678" s="0" t="s">
        <v>15</v>
      </c>
      <c r="G19678" s="0" t="s">
        <v>20</v>
      </c>
      <c r="H19678" s="0" t="n">
        <v>83</v>
      </c>
      <c r="I19678" s="0" t="s">
        <v>65375</v>
      </c>
      <c r="J19678" s="0" t="s">
        <v>65376</v>
      </c>
      <c r="K19678" s="0" t="s">
        <v>65377</v>
      </c>
      <c r="L19678" s="0" t="str">
        <f aca="false">HYPERLINK("https://www.ncbi.nlm.nih.gov/nuccore/CP000060.1?report=graph&amp;tracks=[key:gene_model_track,Options:GeneOnly]&amp;mk=144:163|offset_10|444444,170:189|offset_36|444444,217:236|offset_83|00cc00,237:256|offset_103|444444&amp;v=-57:456&amp;c=444444", "offset 83")</f>
        <v>offset 83</v>
      </c>
    </row>
    <row r="19679" customFormat="false" ht="12.8" hidden="false" customHeight="false" outlineLevel="0" collapsed="false">
      <c r="A19679" s="0" t="s">
        <v>65373</v>
      </c>
      <c r="B19679" s="0" t="n">
        <v>236</v>
      </c>
      <c r="C19679" s="0" t="n">
        <v>256</v>
      </c>
      <c r="D19679" s="0" t="s">
        <v>65374</v>
      </c>
      <c r="E19679" s="0" t="s">
        <v>75</v>
      </c>
      <c r="F19679" s="0" t="s">
        <v>15</v>
      </c>
      <c r="G19679" s="0" t="s">
        <v>36</v>
      </c>
      <c r="H19679" s="0" t="n">
        <v>103</v>
      </c>
      <c r="I19679" s="0" t="s">
        <v>64171</v>
      </c>
      <c r="J19679" s="0" t="s">
        <v>64172</v>
      </c>
      <c r="K19679" s="0" t="s">
        <v>64173</v>
      </c>
      <c r="L19679" s="0" t="str">
        <f aca="false">HYPERLINK("https://www.ncbi.nlm.nih.gov/nuccore/CP000060.1?report=graph&amp;tracks=[key:gene_model_track,Options:GeneOnly]&amp;mk=144:163|offset_10|444444,170:189|offset_36|444444,217:236|offset_83|444444,237:256|offset_103|00cc00&amp;v=-57:456&amp;c=444444", "offset 103")</f>
        <v>offset 103</v>
      </c>
    </row>
    <row r="19680" customFormat="false" ht="12.8" hidden="false" customHeight="false" outlineLevel="0" collapsed="false">
      <c r="A19680" s="0" t="s">
        <v>65373</v>
      </c>
      <c r="B19680" s="0" t="n">
        <v>311</v>
      </c>
      <c r="C19680" s="0" t="n">
        <v>331</v>
      </c>
      <c r="D19680" s="0" t="s">
        <v>65378</v>
      </c>
      <c r="E19680" s="0" t="s">
        <v>75</v>
      </c>
      <c r="F19680" s="0" t="s">
        <v>15</v>
      </c>
      <c r="G19680" s="0" t="s">
        <v>32</v>
      </c>
      <c r="H19680" s="0" t="n">
        <v>8</v>
      </c>
      <c r="I19680" s="0" t="s">
        <v>65379</v>
      </c>
      <c r="J19680" s="0" t="s">
        <v>65380</v>
      </c>
      <c r="K19680" s="0" t="s">
        <v>65381</v>
      </c>
      <c r="L19680" s="0" t="str">
        <f aca="false">HYPERLINK("https://www.ncbi.nlm.nih.gov/nuccore/CP000060.1?report=graph&amp;tracks=[key:gene_model_track,Options:GeneOnly]&amp;mk=312:331|offset_8|00cc00,335:354|offset_31|444444,356:375|offset_52|444444,377:396|offset_73|444444&amp;v=111:596&amp;c=444444", "offset 8")</f>
        <v>offset 8</v>
      </c>
    </row>
    <row r="19681" customFormat="false" ht="12.8" hidden="false" customHeight="false" outlineLevel="0" collapsed="false">
      <c r="A19681" s="0" t="s">
        <v>65373</v>
      </c>
      <c r="B19681" s="0" t="n">
        <v>334</v>
      </c>
      <c r="C19681" s="0" t="n">
        <v>354</v>
      </c>
      <c r="D19681" s="0" t="s">
        <v>65378</v>
      </c>
      <c r="E19681" s="0" t="s">
        <v>75</v>
      </c>
      <c r="F19681" s="0" t="s">
        <v>15</v>
      </c>
      <c r="G19681" s="0" t="s">
        <v>36</v>
      </c>
      <c r="H19681" s="0" t="n">
        <v>31</v>
      </c>
      <c r="I19681" s="0" t="s">
        <v>65382</v>
      </c>
      <c r="J19681" s="0" t="s">
        <v>65383</v>
      </c>
      <c r="K19681" s="0" t="s">
        <v>65384</v>
      </c>
      <c r="L19681" s="0" t="str">
        <f aca="false">HYPERLINK("https://www.ncbi.nlm.nih.gov/nuccore/CP000060.1?report=graph&amp;tracks=[key:gene_model_track,Options:GeneOnly]&amp;mk=312:331|offset_8|444444,335:354|offset_31|00cc00,356:375|offset_52|444444,377:396|offset_73|444444&amp;v=111:596&amp;c=444444", "offset 31")</f>
        <v>offset 31</v>
      </c>
    </row>
    <row r="19682" customFormat="false" ht="12.8" hidden="false" customHeight="false" outlineLevel="0" collapsed="false">
      <c r="A19682" s="0" t="s">
        <v>65373</v>
      </c>
      <c r="B19682" s="0" t="n">
        <v>355</v>
      </c>
      <c r="C19682" s="0" t="n">
        <v>375</v>
      </c>
      <c r="D19682" s="0" t="s">
        <v>65378</v>
      </c>
      <c r="E19682" s="0" t="s">
        <v>75</v>
      </c>
      <c r="F19682" s="0" t="s">
        <v>15</v>
      </c>
      <c r="G19682" s="0" t="s">
        <v>32</v>
      </c>
      <c r="H19682" s="0" t="n">
        <v>52</v>
      </c>
      <c r="I19682" s="0" t="s">
        <v>65385</v>
      </c>
      <c r="J19682" s="0" t="s">
        <v>65386</v>
      </c>
      <c r="K19682" s="0" t="s">
        <v>65387</v>
      </c>
      <c r="L19682" s="0" t="str">
        <f aca="false">HYPERLINK("https://www.ncbi.nlm.nih.gov/nuccore/CP000060.1?report=graph&amp;tracks=[key:gene_model_track,Options:GeneOnly]&amp;mk=312:331|offset_8|444444,335:354|offset_31|444444,356:375|offset_52|00cc00,377:396|offset_73|444444&amp;v=111:596&amp;c=444444", "offset 52")</f>
        <v>offset 52</v>
      </c>
    </row>
    <row r="19683" customFormat="false" ht="12.8" hidden="false" customHeight="false" outlineLevel="0" collapsed="false">
      <c r="A19683" s="0" t="s">
        <v>65373</v>
      </c>
      <c r="B19683" s="0" t="n">
        <v>376</v>
      </c>
      <c r="C19683" s="0" t="n">
        <v>396</v>
      </c>
      <c r="D19683" s="0" t="s">
        <v>65378</v>
      </c>
      <c r="E19683" s="0" t="s">
        <v>75</v>
      </c>
      <c r="F19683" s="0" t="s">
        <v>15</v>
      </c>
      <c r="G19683" s="0" t="s">
        <v>32</v>
      </c>
      <c r="H19683" s="0" t="n">
        <v>73</v>
      </c>
      <c r="I19683" s="0" t="s">
        <v>65388</v>
      </c>
      <c r="J19683" s="0" t="s">
        <v>65389</v>
      </c>
      <c r="K19683" s="0" t="s">
        <v>65390</v>
      </c>
      <c r="L19683" s="0" t="str">
        <f aca="false">HYPERLINK("https://www.ncbi.nlm.nih.gov/nuccore/CP000060.1?report=graph&amp;tracks=[key:gene_model_track,Options:GeneOnly]&amp;mk=312:331|offset_8|444444,335:354|offset_31|444444,356:375|offset_52|444444,377:396|offset_73|00cc00&amp;v=111:596&amp;c=444444", "offset 73")</f>
        <v>offset 73</v>
      </c>
    </row>
    <row r="19684" customFormat="false" ht="12.8" hidden="false" customHeight="false" outlineLevel="0" collapsed="false">
      <c r="A19684" s="0" t="s">
        <v>65373</v>
      </c>
      <c r="B19684" s="0" t="n">
        <v>1757</v>
      </c>
      <c r="C19684" s="0" t="n">
        <v>1777</v>
      </c>
      <c r="D19684" s="0" t="s">
        <v>65391</v>
      </c>
      <c r="E19684" s="0" t="s">
        <v>65392</v>
      </c>
      <c r="F19684" s="0" t="s">
        <v>15</v>
      </c>
      <c r="G19684" s="0" t="s">
        <v>32</v>
      </c>
      <c r="H19684" s="0" t="n">
        <v>1</v>
      </c>
      <c r="I19684" s="0" t="s">
        <v>65393</v>
      </c>
      <c r="J19684" s="0" t="s">
        <v>65394</v>
      </c>
      <c r="K19684" s="0" t="s">
        <v>65395</v>
      </c>
      <c r="L19684" s="0" t="str">
        <f aca="false">HYPERLINK("https://www.ncbi.nlm.nih.gov/nuccore/CP000060.1?report=graph&amp;tracks=[key:gene_model_track,Options:GeneOnly]&amp;mk=1758:1777|offset_1|00cc00,1794:1813|offset_37|444444,1818:1837|offset_61|444444,1841:1860|offset_84|444444&amp;v=1557:2060&amp;c=444444", "offset 1")</f>
        <v>offset 1</v>
      </c>
    </row>
    <row r="19685" customFormat="false" ht="12.8" hidden="false" customHeight="false" outlineLevel="0" collapsed="false">
      <c r="A19685" s="0" t="s">
        <v>65373</v>
      </c>
      <c r="B19685" s="0" t="n">
        <v>1793</v>
      </c>
      <c r="C19685" s="0" t="n">
        <v>1813</v>
      </c>
      <c r="D19685" s="0" t="s">
        <v>65391</v>
      </c>
      <c r="E19685" s="0" t="s">
        <v>65392</v>
      </c>
      <c r="F19685" s="0" t="s">
        <v>15</v>
      </c>
      <c r="G19685" s="0" t="s">
        <v>16</v>
      </c>
      <c r="H19685" s="0" t="n">
        <v>37</v>
      </c>
      <c r="I19685" s="0" t="s">
        <v>65396</v>
      </c>
      <c r="J19685" s="0" t="s">
        <v>65397</v>
      </c>
      <c r="K19685" s="0" t="s">
        <v>65398</v>
      </c>
      <c r="L19685" s="0" t="str">
        <f aca="false">HYPERLINK("https://www.ncbi.nlm.nih.gov/nuccore/CP000060.1?report=graph&amp;tracks=[key:gene_model_track,Options:GeneOnly]&amp;mk=1758:1777|offset_1|444444,1794:1813|offset_37|00cc00,1818:1837|offset_61|444444,1841:1860|offset_84|444444&amp;v=1557:2060&amp;c=444444", "offset 37")</f>
        <v>offset 37</v>
      </c>
    </row>
    <row r="19686" customFormat="false" ht="12.8" hidden="false" customHeight="false" outlineLevel="0" collapsed="false">
      <c r="A19686" s="0" t="s">
        <v>65373</v>
      </c>
      <c r="B19686" s="0" t="n">
        <v>1817</v>
      </c>
      <c r="C19686" s="0" t="n">
        <v>1837</v>
      </c>
      <c r="D19686" s="0" t="s">
        <v>65391</v>
      </c>
      <c r="E19686" s="0" t="s">
        <v>65392</v>
      </c>
      <c r="F19686" s="0" t="s">
        <v>15</v>
      </c>
      <c r="G19686" s="0" t="s">
        <v>20</v>
      </c>
      <c r="H19686" s="0" t="n">
        <v>61</v>
      </c>
      <c r="I19686" s="0" t="s">
        <v>65399</v>
      </c>
      <c r="J19686" s="0" t="s">
        <v>65400</v>
      </c>
      <c r="K19686" s="0" t="s">
        <v>65401</v>
      </c>
      <c r="L19686" s="0" t="str">
        <f aca="false">HYPERLINK("https://www.ncbi.nlm.nih.gov/nuccore/CP000060.1?report=graph&amp;tracks=[key:gene_model_track,Options:GeneOnly]&amp;mk=1758:1777|offset_1|444444,1794:1813|offset_37|444444,1818:1837|offset_61|00cc00,1841:1860|offset_84|444444&amp;v=1557:2060&amp;c=444444", "offset 61")</f>
        <v>offset 61</v>
      </c>
    </row>
    <row r="19687" customFormat="false" ht="12.8" hidden="false" customHeight="false" outlineLevel="0" collapsed="false">
      <c r="A19687" s="0" t="s">
        <v>65373</v>
      </c>
      <c r="B19687" s="0" t="n">
        <v>1840</v>
      </c>
      <c r="C19687" s="0" t="n">
        <v>1860</v>
      </c>
      <c r="D19687" s="0" t="s">
        <v>65391</v>
      </c>
      <c r="E19687" s="0" t="s">
        <v>65392</v>
      </c>
      <c r="F19687" s="0" t="s">
        <v>15</v>
      </c>
      <c r="G19687" s="0" t="s">
        <v>36</v>
      </c>
      <c r="H19687" s="0" t="n">
        <v>84</v>
      </c>
      <c r="I19687" s="0" t="s">
        <v>65402</v>
      </c>
      <c r="J19687" s="0" t="s">
        <v>65403</v>
      </c>
      <c r="K19687" s="0" t="s">
        <v>65404</v>
      </c>
      <c r="L19687" s="0" t="str">
        <f aca="false">HYPERLINK("https://www.ncbi.nlm.nih.gov/nuccore/CP000060.1?report=graph&amp;tracks=[key:gene_model_track,Options:GeneOnly]&amp;mk=1758:1777|offset_1|444444,1794:1813|offset_37|444444,1818:1837|offset_61|444444,1841:1860|offset_84|00cc00&amp;v=1557:2060&amp;c=444444", "offset 84")</f>
        <v>offset 84</v>
      </c>
    </row>
    <row r="19688" customFormat="false" ht="12.8" hidden="false" customHeight="false" outlineLevel="0" collapsed="false">
      <c r="A19688" s="0" t="s">
        <v>65373</v>
      </c>
      <c r="B19688" s="0" t="n">
        <v>2189</v>
      </c>
      <c r="C19688" s="0" t="n">
        <v>2209</v>
      </c>
      <c r="D19688" s="0" t="s">
        <v>65405</v>
      </c>
      <c r="E19688" s="0" t="s">
        <v>65406</v>
      </c>
      <c r="F19688" s="0" t="s">
        <v>15</v>
      </c>
      <c r="G19688" s="0" t="s">
        <v>36</v>
      </c>
      <c r="H19688" s="0" t="n">
        <v>15</v>
      </c>
      <c r="I19688" s="0" t="s">
        <v>65407</v>
      </c>
      <c r="J19688" s="0" t="s">
        <v>65408</v>
      </c>
      <c r="K19688" s="0" t="s">
        <v>65409</v>
      </c>
      <c r="L19688" s="0" t="str">
        <f aca="false">HYPERLINK("https://www.ncbi.nlm.nih.gov/nuccore/CP000060.1?report=graph&amp;tracks=[key:gene_model_track,Options:GeneOnly]&amp;mk=2190:2209|offset_15|00cc00,2256:2275|offset_81|444444,2314:2333|offset_139|444444,2334:2353|offset_159|444444&amp;v=1989:2553&amp;c=444444", "offset 15")</f>
        <v>offset 15</v>
      </c>
    </row>
    <row r="19689" customFormat="false" ht="12.8" hidden="false" customHeight="false" outlineLevel="0" collapsed="false">
      <c r="A19689" s="0" t="s">
        <v>65373</v>
      </c>
      <c r="B19689" s="0" t="n">
        <v>2255</v>
      </c>
      <c r="C19689" s="0" t="n">
        <v>2275</v>
      </c>
      <c r="D19689" s="0" t="s">
        <v>65405</v>
      </c>
      <c r="E19689" s="0" t="s">
        <v>65406</v>
      </c>
      <c r="F19689" s="0" t="s">
        <v>15</v>
      </c>
      <c r="G19689" s="0" t="s">
        <v>20</v>
      </c>
      <c r="H19689" s="0" t="n">
        <v>81</v>
      </c>
      <c r="I19689" s="0" t="s">
        <v>65410</v>
      </c>
      <c r="J19689" s="0" t="s">
        <v>65411</v>
      </c>
      <c r="K19689" s="0" t="s">
        <v>65412</v>
      </c>
      <c r="L19689" s="0" t="str">
        <f aca="false">HYPERLINK("https://www.ncbi.nlm.nih.gov/nuccore/CP000060.1?report=graph&amp;tracks=[key:gene_model_track,Options:GeneOnly]&amp;mk=2190:2209|offset_15|444444,2256:2275|offset_81|00cc00,2314:2333|offset_139|444444,2334:2353|offset_159|444444&amp;v=1989:2553&amp;c=444444", "offset 81")</f>
        <v>offset 81</v>
      </c>
    </row>
    <row r="19690" customFormat="false" ht="12.8" hidden="false" customHeight="false" outlineLevel="0" collapsed="false">
      <c r="A19690" s="0" t="s">
        <v>65373</v>
      </c>
      <c r="B19690" s="0" t="n">
        <v>2313</v>
      </c>
      <c r="C19690" s="0" t="n">
        <v>2333</v>
      </c>
      <c r="D19690" s="0" t="s">
        <v>65405</v>
      </c>
      <c r="E19690" s="0" t="s">
        <v>65406</v>
      </c>
      <c r="F19690" s="0" t="s">
        <v>15</v>
      </c>
      <c r="G19690" s="0" t="s">
        <v>36</v>
      </c>
      <c r="H19690" s="0" t="n">
        <v>139</v>
      </c>
      <c r="I19690" s="0" t="s">
        <v>65413</v>
      </c>
      <c r="J19690" s="0" t="s">
        <v>65414</v>
      </c>
      <c r="K19690" s="0" t="s">
        <v>65415</v>
      </c>
      <c r="L19690" s="0" t="str">
        <f aca="false">HYPERLINK("https://www.ncbi.nlm.nih.gov/nuccore/CP000060.1?report=graph&amp;tracks=[key:gene_model_track,Options:GeneOnly]&amp;mk=2190:2209|offset_15|444444,2256:2275|offset_81|444444,2314:2333|offset_139|00cc00,2334:2353|offset_159|444444&amp;v=1989:2553&amp;c=444444", "offset 139")</f>
        <v>offset 139</v>
      </c>
    </row>
    <row r="19691" customFormat="false" ht="12.8" hidden="false" customHeight="false" outlineLevel="0" collapsed="false">
      <c r="A19691" s="0" t="s">
        <v>65373</v>
      </c>
      <c r="B19691" s="0" t="n">
        <v>2333</v>
      </c>
      <c r="C19691" s="0" t="n">
        <v>2353</v>
      </c>
      <c r="D19691" s="0" t="s">
        <v>65405</v>
      </c>
      <c r="E19691" s="0" t="s">
        <v>65406</v>
      </c>
      <c r="F19691" s="0" t="s">
        <v>15</v>
      </c>
      <c r="G19691" s="0" t="s">
        <v>16</v>
      </c>
      <c r="H19691" s="0" t="n">
        <v>159</v>
      </c>
      <c r="I19691" s="0" t="s">
        <v>65416</v>
      </c>
      <c r="J19691" s="0" t="s">
        <v>65417</v>
      </c>
      <c r="K19691" s="0" t="s">
        <v>65418</v>
      </c>
      <c r="L19691" s="0" t="str">
        <f aca="false">HYPERLINK("https://www.ncbi.nlm.nih.gov/nuccore/CP000060.1?report=graph&amp;tracks=[key:gene_model_track,Options:GeneOnly]&amp;mk=2190:2209|offset_15|444444,2256:2275|offset_81|444444,2314:2333|offset_139|444444,2334:2353|offset_159|00cc00&amp;v=1989:2553&amp;c=444444", "offset 159")</f>
        <v>offset 159</v>
      </c>
    </row>
    <row r="19692" customFormat="false" ht="12.8" hidden="false" customHeight="false" outlineLevel="0" collapsed="false">
      <c r="A19692" s="0" t="s">
        <v>65373</v>
      </c>
      <c r="B19692" s="0" t="n">
        <v>4108</v>
      </c>
      <c r="C19692" s="0" t="n">
        <v>4128</v>
      </c>
      <c r="D19692" s="0" t="s">
        <v>65419</v>
      </c>
      <c r="E19692" s="0" t="s">
        <v>75</v>
      </c>
      <c r="F19692" s="0" t="s">
        <v>90</v>
      </c>
      <c r="G19692" s="0" t="s">
        <v>36</v>
      </c>
      <c r="H19692" s="0" t="n">
        <v>41</v>
      </c>
      <c r="I19692" s="0" t="s">
        <v>65420</v>
      </c>
      <c r="J19692" s="0" t="s">
        <v>65421</v>
      </c>
      <c r="K19692" s="0" t="s">
        <v>65422</v>
      </c>
      <c r="L19692" s="0" t="str">
        <f aca="false">HYPERLINK("https://www.ncbi.nlm.nih.gov/nuccore/CP000060.1?report=graph&amp;tracks=[key:gene_model_track,Options:GeneOnly]&amp;mk=4109:4128|offset_41|00cc00,4087:4106|offset_63|444444,3999:4018|offset_151|444444,3920:3939|offset_230|444444&amp;v=3908:4139&amp;c=444444", "offset 41")</f>
        <v>offset 41</v>
      </c>
    </row>
    <row r="19693" customFormat="false" ht="12.8" hidden="false" customHeight="false" outlineLevel="0" collapsed="false">
      <c r="A19693" s="0" t="s">
        <v>65373</v>
      </c>
      <c r="B19693" s="0" t="n">
        <v>4086</v>
      </c>
      <c r="C19693" s="0" t="n">
        <v>4106</v>
      </c>
      <c r="D19693" s="0" t="s">
        <v>65419</v>
      </c>
      <c r="E19693" s="0" t="s">
        <v>75</v>
      </c>
      <c r="F19693" s="0" t="s">
        <v>90</v>
      </c>
      <c r="G19693" s="0" t="s">
        <v>20</v>
      </c>
      <c r="H19693" s="0" t="n">
        <v>63</v>
      </c>
      <c r="I19693" s="0" t="s">
        <v>65423</v>
      </c>
      <c r="J19693" s="0" t="s">
        <v>65424</v>
      </c>
      <c r="K19693" s="0" t="s">
        <v>65425</v>
      </c>
      <c r="L19693" s="0" t="str">
        <f aca="false">HYPERLINK("https://www.ncbi.nlm.nih.gov/nuccore/CP000060.1?report=graph&amp;tracks=[key:gene_model_track,Options:GeneOnly]&amp;mk=4109:4128|offset_41|444444,4087:4106|offset_63|00cc00,3999:4018|offset_151|444444,3920:3939|offset_230|444444&amp;v=3908:4139&amp;c=444444", "offset 63")</f>
        <v>offset 63</v>
      </c>
    </row>
    <row r="19694" customFormat="false" ht="12.8" hidden="false" customHeight="false" outlineLevel="0" collapsed="false">
      <c r="A19694" s="0" t="s">
        <v>65373</v>
      </c>
      <c r="B19694" s="0" t="n">
        <v>3998</v>
      </c>
      <c r="C19694" s="0" t="n">
        <v>4018</v>
      </c>
      <c r="D19694" s="0" t="s">
        <v>65419</v>
      </c>
      <c r="E19694" s="0" t="s">
        <v>75</v>
      </c>
      <c r="F19694" s="0" t="s">
        <v>90</v>
      </c>
      <c r="G19694" s="0" t="s">
        <v>32</v>
      </c>
      <c r="H19694" s="0" t="n">
        <v>151</v>
      </c>
      <c r="I19694" s="0" t="s">
        <v>65426</v>
      </c>
      <c r="J19694" s="0" t="s">
        <v>65427</v>
      </c>
      <c r="K19694" s="0" t="s">
        <v>65428</v>
      </c>
      <c r="L19694" s="0" t="str">
        <f aca="false">HYPERLINK("https://www.ncbi.nlm.nih.gov/nuccore/CP000060.1?report=graph&amp;tracks=[key:gene_model_track,Options:GeneOnly]&amp;mk=4109:4128|offset_41|444444,4087:4106|offset_63|444444,3999:4018|offset_151|00cc00,3920:3939|offset_230|444444&amp;v=3908:4139&amp;c=444444", "offset 151")</f>
        <v>offset 151</v>
      </c>
    </row>
    <row r="19695" customFormat="false" ht="12.8" hidden="false" customHeight="false" outlineLevel="0" collapsed="false">
      <c r="A19695" s="0" t="s">
        <v>65373</v>
      </c>
      <c r="B19695" s="0" t="n">
        <v>3919</v>
      </c>
      <c r="C19695" s="0" t="n">
        <v>3939</v>
      </c>
      <c r="D19695" s="0" t="s">
        <v>65419</v>
      </c>
      <c r="E19695" s="0" t="s">
        <v>75</v>
      </c>
      <c r="F19695" s="0" t="s">
        <v>90</v>
      </c>
      <c r="G19695" s="0" t="s">
        <v>36</v>
      </c>
      <c r="H19695" s="0" t="n">
        <v>230</v>
      </c>
      <c r="I19695" s="0" t="s">
        <v>65429</v>
      </c>
      <c r="J19695" s="0" t="s">
        <v>65430</v>
      </c>
      <c r="K19695" s="0" t="s">
        <v>65431</v>
      </c>
      <c r="L19695" s="0" t="str">
        <f aca="false">HYPERLINK("https://www.ncbi.nlm.nih.gov/nuccore/CP000060.1?report=graph&amp;tracks=[key:gene_model_track,Options:GeneOnly]&amp;mk=4109:4128|offset_41|444444,4087:4106|offset_63|444444,3999:4018|offset_151|444444,3920:3939|offset_230|00cc00&amp;v=3908:4139&amp;c=444444", "offset 230")</f>
        <v>offset 230</v>
      </c>
    </row>
    <row r="19696" customFormat="false" ht="12.8" hidden="false" customHeight="false" outlineLevel="0" collapsed="false">
      <c r="A19696" s="0" t="s">
        <v>65373</v>
      </c>
      <c r="B19696" s="0" t="n">
        <v>4432</v>
      </c>
      <c r="C19696" s="0" t="n">
        <v>4452</v>
      </c>
      <c r="D19696" s="0" t="s">
        <v>65432</v>
      </c>
      <c r="E19696" s="0" t="s">
        <v>75</v>
      </c>
      <c r="F19696" s="0" t="s">
        <v>90</v>
      </c>
      <c r="G19696" s="0" t="s">
        <v>32</v>
      </c>
      <c r="H19696" s="0" t="n">
        <v>1</v>
      </c>
      <c r="I19696" s="0" t="s">
        <v>65433</v>
      </c>
      <c r="J19696" s="0" t="s">
        <v>65434</v>
      </c>
      <c r="K19696" s="0" t="s">
        <v>65435</v>
      </c>
      <c r="L19696" s="0" t="str">
        <f aca="false">HYPERLINK("https://www.ncbi.nlm.nih.gov/nuccore/CP000060.1?report=graph&amp;tracks=[key:gene_model_track,Options:GeneOnly]&amp;mk=4433:4452|offset_1|00cc00,4406:4425|offset_28|444444,4375:4394|offset_59|444444,4352:4371|offset_82|444444&amp;v=4232:4571&amp;c=444444", "offset 1")</f>
        <v>offset 1</v>
      </c>
    </row>
    <row r="19697" customFormat="false" ht="12.8" hidden="false" customHeight="false" outlineLevel="0" collapsed="false">
      <c r="A19697" s="0" t="s">
        <v>65373</v>
      </c>
      <c r="B19697" s="0" t="n">
        <v>4405</v>
      </c>
      <c r="C19697" s="0" t="n">
        <v>4425</v>
      </c>
      <c r="D19697" s="0" t="s">
        <v>65432</v>
      </c>
      <c r="E19697" s="0" t="s">
        <v>75</v>
      </c>
      <c r="F19697" s="0" t="s">
        <v>90</v>
      </c>
      <c r="G19697" s="0" t="s">
        <v>20</v>
      </c>
      <c r="H19697" s="0" t="n">
        <v>28</v>
      </c>
      <c r="I19697" s="0" t="s">
        <v>65436</v>
      </c>
      <c r="J19697" s="0" t="s">
        <v>65437</v>
      </c>
      <c r="K19697" s="0" t="s">
        <v>65438</v>
      </c>
      <c r="L19697" s="0" t="str">
        <f aca="false">HYPERLINK("https://www.ncbi.nlm.nih.gov/nuccore/CP000060.1?report=graph&amp;tracks=[key:gene_model_track,Options:GeneOnly]&amp;mk=4433:4452|offset_1|444444,4406:4425|offset_28|00cc00,4375:4394|offset_59|444444,4352:4371|offset_82|444444&amp;v=4232:4571&amp;c=444444", "offset 28")</f>
        <v>offset 28</v>
      </c>
    </row>
    <row r="19698" customFormat="false" ht="12.8" hidden="false" customHeight="false" outlineLevel="0" collapsed="false">
      <c r="A19698" s="0" t="s">
        <v>65373</v>
      </c>
      <c r="B19698" s="0" t="n">
        <v>4374</v>
      </c>
      <c r="C19698" s="0" t="n">
        <v>4394</v>
      </c>
      <c r="D19698" s="0" t="s">
        <v>65432</v>
      </c>
      <c r="E19698" s="0" t="s">
        <v>75</v>
      </c>
      <c r="F19698" s="0" t="s">
        <v>90</v>
      </c>
      <c r="G19698" s="0" t="s">
        <v>32</v>
      </c>
      <c r="H19698" s="0" t="n">
        <v>59</v>
      </c>
      <c r="I19698" s="0" t="s">
        <v>65439</v>
      </c>
      <c r="J19698" s="0" t="s">
        <v>65440</v>
      </c>
      <c r="K19698" s="0" t="s">
        <v>65441</v>
      </c>
      <c r="L19698" s="0" t="str">
        <f aca="false">HYPERLINK("https://www.ncbi.nlm.nih.gov/nuccore/CP000060.1?report=graph&amp;tracks=[key:gene_model_track,Options:GeneOnly]&amp;mk=4433:4452|offset_1|444444,4406:4425|offset_28|444444,4375:4394|offset_59|00cc00,4352:4371|offset_82|444444&amp;v=4232:4571&amp;c=444444", "offset 59")</f>
        <v>offset 59</v>
      </c>
    </row>
    <row r="19699" customFormat="false" ht="12.8" hidden="false" customHeight="false" outlineLevel="0" collapsed="false">
      <c r="A19699" s="0" t="s">
        <v>65373</v>
      </c>
      <c r="B19699" s="0" t="n">
        <v>4351</v>
      </c>
      <c r="C19699" s="0" t="n">
        <v>4371</v>
      </c>
      <c r="D19699" s="0" t="s">
        <v>65432</v>
      </c>
      <c r="E19699" s="0" t="s">
        <v>75</v>
      </c>
      <c r="F19699" s="0" t="s">
        <v>90</v>
      </c>
      <c r="G19699" s="0" t="s">
        <v>16</v>
      </c>
      <c r="H19699" s="0" t="n">
        <v>82</v>
      </c>
      <c r="I19699" s="0" t="s">
        <v>65442</v>
      </c>
      <c r="J19699" s="0" t="s">
        <v>65443</v>
      </c>
      <c r="K19699" s="0" t="s">
        <v>65444</v>
      </c>
      <c r="L19699" s="0" t="str">
        <f aca="false">HYPERLINK("https://www.ncbi.nlm.nih.gov/nuccore/CP000060.1?report=graph&amp;tracks=[key:gene_model_track,Options:GeneOnly]&amp;mk=4433:4452|offset_1|444444,4406:4425|offset_28|444444,4375:4394|offset_59|444444,4352:4371|offset_82|00cc00&amp;v=4232:4571&amp;c=444444", "offset 82")</f>
        <v>offset 82</v>
      </c>
    </row>
    <row r="19700" customFormat="false" ht="12.8" hidden="false" customHeight="false" outlineLevel="0" collapsed="false">
      <c r="A19700" s="0" t="s">
        <v>65373</v>
      </c>
      <c r="B19700" s="0" t="n">
        <v>4609</v>
      </c>
      <c r="C19700" s="0" t="n">
        <v>4629</v>
      </c>
      <c r="D19700" s="0" t="s">
        <v>65445</v>
      </c>
      <c r="E19700" s="0" t="s">
        <v>75</v>
      </c>
      <c r="F19700" s="0" t="s">
        <v>15</v>
      </c>
      <c r="G19700" s="0" t="s">
        <v>16</v>
      </c>
      <c r="H19700" s="0" t="n">
        <v>6</v>
      </c>
      <c r="I19700" s="0" t="s">
        <v>65446</v>
      </c>
      <c r="J19700" s="0" t="s">
        <v>65447</v>
      </c>
      <c r="K19700" s="0" t="s">
        <v>65448</v>
      </c>
      <c r="L19700" s="0" t="str">
        <f aca="false">HYPERLINK("https://www.ncbi.nlm.nih.gov/nuccore/CP000060.1?report=graph&amp;tracks=[key:gene_model_track,Options:GeneOnly]&amp;mk=4610:4629|offset_6|00cc00,4650:4669|offset_46|444444,4739:4758|offset_135|444444,4765:4784|offset_161|444444&amp;v=4409:4984&amp;c=444444", "offset 6")</f>
        <v>offset 6</v>
      </c>
    </row>
    <row r="19701" customFormat="false" ht="12.8" hidden="false" customHeight="false" outlineLevel="0" collapsed="false">
      <c r="A19701" s="0" t="s">
        <v>65373</v>
      </c>
      <c r="B19701" s="0" t="n">
        <v>4649</v>
      </c>
      <c r="C19701" s="0" t="n">
        <v>4669</v>
      </c>
      <c r="D19701" s="0" t="s">
        <v>65445</v>
      </c>
      <c r="E19701" s="0" t="s">
        <v>75</v>
      </c>
      <c r="F19701" s="0" t="s">
        <v>15</v>
      </c>
      <c r="G19701" s="0" t="s">
        <v>32</v>
      </c>
      <c r="H19701" s="0" t="n">
        <v>46</v>
      </c>
      <c r="I19701" s="0" t="s">
        <v>65449</v>
      </c>
      <c r="J19701" s="0" t="s">
        <v>65450</v>
      </c>
      <c r="K19701" s="0" t="s">
        <v>65451</v>
      </c>
      <c r="L19701" s="0" t="str">
        <f aca="false">HYPERLINK("https://www.ncbi.nlm.nih.gov/nuccore/CP000060.1?report=graph&amp;tracks=[key:gene_model_track,Options:GeneOnly]&amp;mk=4610:4629|offset_6|444444,4650:4669|offset_46|00cc00,4739:4758|offset_135|444444,4765:4784|offset_161|444444&amp;v=4409:4984&amp;c=444444", "offset 46")</f>
        <v>offset 46</v>
      </c>
    </row>
    <row r="19702" customFormat="false" ht="12.8" hidden="false" customHeight="false" outlineLevel="0" collapsed="false">
      <c r="A19702" s="0" t="s">
        <v>65373</v>
      </c>
      <c r="B19702" s="0" t="n">
        <v>4738</v>
      </c>
      <c r="C19702" s="0" t="n">
        <v>4758</v>
      </c>
      <c r="D19702" s="0" t="s">
        <v>65445</v>
      </c>
      <c r="E19702" s="0" t="s">
        <v>75</v>
      </c>
      <c r="F19702" s="0" t="s">
        <v>15</v>
      </c>
      <c r="G19702" s="0" t="s">
        <v>32</v>
      </c>
      <c r="H19702" s="0" t="n">
        <v>135</v>
      </c>
      <c r="I19702" s="0" t="s">
        <v>65452</v>
      </c>
      <c r="J19702" s="0" t="s">
        <v>65453</v>
      </c>
      <c r="K19702" s="0" t="s">
        <v>65454</v>
      </c>
      <c r="L19702" s="0" t="str">
        <f aca="false">HYPERLINK("https://www.ncbi.nlm.nih.gov/nuccore/CP000060.1?report=graph&amp;tracks=[key:gene_model_track,Options:GeneOnly]&amp;mk=4610:4629|offset_6|444444,4650:4669|offset_46|444444,4739:4758|offset_135|00cc00,4765:4784|offset_161|444444&amp;v=4409:4984&amp;c=444444", "offset 135")</f>
        <v>offset 135</v>
      </c>
    </row>
    <row r="19703" customFormat="false" ht="12.8" hidden="false" customHeight="false" outlineLevel="0" collapsed="false">
      <c r="A19703" s="0" t="s">
        <v>65373</v>
      </c>
      <c r="B19703" s="0" t="n">
        <v>4764</v>
      </c>
      <c r="C19703" s="0" t="n">
        <v>4784</v>
      </c>
      <c r="D19703" s="0" t="s">
        <v>65445</v>
      </c>
      <c r="E19703" s="0" t="s">
        <v>75</v>
      </c>
      <c r="F19703" s="0" t="s">
        <v>15</v>
      </c>
      <c r="G19703" s="0" t="s">
        <v>16</v>
      </c>
      <c r="H19703" s="0" t="n">
        <v>161</v>
      </c>
      <c r="I19703" s="0" t="s">
        <v>65455</v>
      </c>
      <c r="J19703" s="0" t="s">
        <v>65456</v>
      </c>
      <c r="K19703" s="0" t="s">
        <v>65457</v>
      </c>
      <c r="L19703" s="0" t="str">
        <f aca="false">HYPERLINK("https://www.ncbi.nlm.nih.gov/nuccore/CP000060.1?report=graph&amp;tracks=[key:gene_model_track,Options:GeneOnly]&amp;mk=4610:4629|offset_6|444444,4650:4669|offset_46|444444,4739:4758|offset_135|444444,4765:4784|offset_161|00cc00&amp;v=4409:4984&amp;c=444444", "offset 161")</f>
        <v>offset 161</v>
      </c>
    </row>
    <row r="19704" customFormat="false" ht="12.8" hidden="false" customHeight="false" outlineLevel="0" collapsed="false">
      <c r="A19704" s="0" t="s">
        <v>65373</v>
      </c>
      <c r="B19704" s="0" t="n">
        <v>4981</v>
      </c>
      <c r="C19704" s="0" t="n">
        <v>5001</v>
      </c>
      <c r="D19704" s="0" t="s">
        <v>65458</v>
      </c>
      <c r="E19704" s="0" t="s">
        <v>75</v>
      </c>
      <c r="F19704" s="0" t="s">
        <v>15</v>
      </c>
      <c r="G19704" s="0" t="s">
        <v>16</v>
      </c>
      <c r="H19704" s="0" t="n">
        <v>18</v>
      </c>
      <c r="I19704" s="0" t="s">
        <v>65459</v>
      </c>
      <c r="J19704" s="0" t="s">
        <v>65460</v>
      </c>
      <c r="K19704" s="0" t="s">
        <v>65461</v>
      </c>
      <c r="L19704" s="0" t="str">
        <f aca="false">HYPERLINK("https://www.ncbi.nlm.nih.gov/nuccore/CP000060.1?report=graph&amp;tracks=[key:gene_model_track,Options:GeneOnly]&amp;mk=4982:5001|offset_18|00cc00,5028:5047|offset_64|444444,5072:5091|offset_108|444444,5107:5126|offset_143|444444&amp;v=4781:5326&amp;c=444444", "offset 18")</f>
        <v>offset 18</v>
      </c>
    </row>
    <row r="19705" customFormat="false" ht="12.8" hidden="false" customHeight="false" outlineLevel="0" collapsed="false">
      <c r="A19705" s="0" t="s">
        <v>65373</v>
      </c>
      <c r="B19705" s="0" t="n">
        <v>5027</v>
      </c>
      <c r="C19705" s="0" t="n">
        <v>5047</v>
      </c>
      <c r="D19705" s="0" t="s">
        <v>65458</v>
      </c>
      <c r="E19705" s="0" t="s">
        <v>75</v>
      </c>
      <c r="F19705" s="0" t="s">
        <v>15</v>
      </c>
      <c r="G19705" s="0" t="s">
        <v>32</v>
      </c>
      <c r="H19705" s="0" t="n">
        <v>64</v>
      </c>
      <c r="I19705" s="0" t="s">
        <v>65462</v>
      </c>
      <c r="J19705" s="0" t="s">
        <v>65463</v>
      </c>
      <c r="K19705" s="0" t="s">
        <v>65464</v>
      </c>
      <c r="L19705" s="0" t="str">
        <f aca="false">HYPERLINK("https://www.ncbi.nlm.nih.gov/nuccore/CP000060.1?report=graph&amp;tracks=[key:gene_model_track,Options:GeneOnly]&amp;mk=4982:5001|offset_18|444444,5028:5047|offset_64|00cc00,5072:5091|offset_108|444444,5107:5126|offset_143|444444&amp;v=4781:5326&amp;c=444444", "offset 64")</f>
        <v>offset 64</v>
      </c>
    </row>
    <row r="19706" customFormat="false" ht="12.8" hidden="false" customHeight="false" outlineLevel="0" collapsed="false">
      <c r="A19706" s="0" t="s">
        <v>65373</v>
      </c>
      <c r="B19706" s="0" t="n">
        <v>5071</v>
      </c>
      <c r="C19706" s="0" t="n">
        <v>5091</v>
      </c>
      <c r="D19706" s="0" t="s">
        <v>65458</v>
      </c>
      <c r="E19706" s="0" t="s">
        <v>75</v>
      </c>
      <c r="F19706" s="0" t="s">
        <v>15</v>
      </c>
      <c r="G19706" s="0" t="s">
        <v>36</v>
      </c>
      <c r="H19706" s="0" t="n">
        <v>108</v>
      </c>
      <c r="I19706" s="0" t="s">
        <v>65465</v>
      </c>
      <c r="J19706" s="0" t="s">
        <v>65466</v>
      </c>
      <c r="K19706" s="0" t="s">
        <v>65467</v>
      </c>
      <c r="L19706" s="0" t="str">
        <f aca="false">HYPERLINK("https://www.ncbi.nlm.nih.gov/nuccore/CP000060.1?report=graph&amp;tracks=[key:gene_model_track,Options:GeneOnly]&amp;mk=4982:5001|offset_18|444444,5028:5047|offset_64|444444,5072:5091|offset_108|00cc00,5107:5126|offset_143|444444&amp;v=4781:5326&amp;c=444444", "offset 108")</f>
        <v>offset 108</v>
      </c>
    </row>
    <row r="19707" customFormat="false" ht="12.8" hidden="false" customHeight="false" outlineLevel="0" collapsed="false">
      <c r="A19707" s="0" t="s">
        <v>65373</v>
      </c>
      <c r="B19707" s="0" t="n">
        <v>5106</v>
      </c>
      <c r="C19707" s="0" t="n">
        <v>5126</v>
      </c>
      <c r="D19707" s="0" t="s">
        <v>65458</v>
      </c>
      <c r="E19707" s="0" t="s">
        <v>75</v>
      </c>
      <c r="F19707" s="0" t="s">
        <v>15</v>
      </c>
      <c r="G19707" s="0" t="s">
        <v>20</v>
      </c>
      <c r="H19707" s="0" t="n">
        <v>143</v>
      </c>
      <c r="I19707" s="0" t="s">
        <v>65468</v>
      </c>
      <c r="J19707" s="0" t="s">
        <v>65469</v>
      </c>
      <c r="K19707" s="0" t="s">
        <v>65470</v>
      </c>
      <c r="L19707" s="0" t="str">
        <f aca="false">HYPERLINK("https://www.ncbi.nlm.nih.gov/nuccore/CP000060.1?report=graph&amp;tracks=[key:gene_model_track,Options:GeneOnly]&amp;mk=4982:5001|offset_18|444444,5028:5047|offset_64|444444,5072:5091|offset_108|444444,5107:5126|offset_143|00cc00&amp;v=4781:5326&amp;c=444444", "offset 143")</f>
        <v>offset 143</v>
      </c>
    </row>
    <row r="19708" customFormat="false" ht="12.8" hidden="false" customHeight="false" outlineLevel="0" collapsed="false">
      <c r="A19708" s="0" t="s">
        <v>65373</v>
      </c>
      <c r="B19708" s="0" t="n">
        <v>5774</v>
      </c>
      <c r="C19708" s="0" t="n">
        <v>5794</v>
      </c>
      <c r="D19708" s="0" t="s">
        <v>65471</v>
      </c>
      <c r="E19708" s="0" t="s">
        <v>75</v>
      </c>
      <c r="F19708" s="0" t="s">
        <v>15</v>
      </c>
      <c r="G19708" s="0" t="s">
        <v>32</v>
      </c>
      <c r="H19708" s="0" t="n">
        <v>1</v>
      </c>
      <c r="I19708" s="0" t="s">
        <v>65472</v>
      </c>
      <c r="J19708" s="0" t="s">
        <v>65473</v>
      </c>
      <c r="K19708" s="0" t="s">
        <v>65474</v>
      </c>
      <c r="L19708" s="0" t="str">
        <f aca="false">HYPERLINK("https://www.ncbi.nlm.nih.gov/nuccore/CP000060.1?report=graph&amp;tracks=[key:gene_model_track,Options:GeneOnly]&amp;mk=5775:5794|offset_1|00cc00,5856:5875|offset_82|444444,5896:5915|offset_122|444444,5948:5967|offset_174|444444&amp;v=5574:6167&amp;c=444444", "offset 1")</f>
        <v>offset 1</v>
      </c>
    </row>
    <row r="19709" customFormat="false" ht="12.8" hidden="false" customHeight="false" outlineLevel="0" collapsed="false">
      <c r="A19709" s="0" t="s">
        <v>65373</v>
      </c>
      <c r="B19709" s="0" t="n">
        <v>5855</v>
      </c>
      <c r="C19709" s="0" t="n">
        <v>5875</v>
      </c>
      <c r="D19709" s="0" t="s">
        <v>65471</v>
      </c>
      <c r="E19709" s="0" t="s">
        <v>75</v>
      </c>
      <c r="F19709" s="0" t="s">
        <v>15</v>
      </c>
      <c r="G19709" s="0" t="s">
        <v>20</v>
      </c>
      <c r="H19709" s="0" t="n">
        <v>82</v>
      </c>
      <c r="I19709" s="0" t="s">
        <v>65475</v>
      </c>
      <c r="J19709" s="0" t="s">
        <v>65476</v>
      </c>
      <c r="K19709" s="0" t="s">
        <v>65477</v>
      </c>
      <c r="L19709" s="0" t="str">
        <f aca="false">HYPERLINK("https://www.ncbi.nlm.nih.gov/nuccore/CP000060.1?report=graph&amp;tracks=[key:gene_model_track,Options:GeneOnly]&amp;mk=5775:5794|offset_1|444444,5856:5875|offset_82|00cc00,5896:5915|offset_122|444444,5948:5967|offset_174|444444&amp;v=5574:6167&amp;c=444444", "offset 82")</f>
        <v>offset 82</v>
      </c>
    </row>
    <row r="19710" customFormat="false" ht="12.8" hidden="false" customHeight="false" outlineLevel="0" collapsed="false">
      <c r="A19710" s="0" t="s">
        <v>65373</v>
      </c>
      <c r="B19710" s="0" t="n">
        <v>5895</v>
      </c>
      <c r="C19710" s="0" t="n">
        <v>5915</v>
      </c>
      <c r="D19710" s="0" t="s">
        <v>65471</v>
      </c>
      <c r="E19710" s="0" t="s">
        <v>75</v>
      </c>
      <c r="F19710" s="0" t="s">
        <v>15</v>
      </c>
      <c r="G19710" s="0" t="s">
        <v>32</v>
      </c>
      <c r="H19710" s="0" t="n">
        <v>122</v>
      </c>
      <c r="I19710" s="0" t="s">
        <v>65478</v>
      </c>
      <c r="J19710" s="0" t="s">
        <v>65479</v>
      </c>
      <c r="K19710" s="0" t="s">
        <v>65480</v>
      </c>
      <c r="L19710" s="0" t="str">
        <f aca="false">HYPERLINK("https://www.ncbi.nlm.nih.gov/nuccore/CP000060.1?report=graph&amp;tracks=[key:gene_model_track,Options:GeneOnly]&amp;mk=5775:5794|offset_1|444444,5856:5875|offset_82|444444,5896:5915|offset_122|00cc00,5948:5967|offset_174|444444&amp;v=5574:6167&amp;c=444444", "offset 122")</f>
        <v>offset 122</v>
      </c>
    </row>
    <row r="19711" customFormat="false" ht="12.8" hidden="false" customHeight="false" outlineLevel="0" collapsed="false">
      <c r="A19711" s="0" t="s">
        <v>65373</v>
      </c>
      <c r="B19711" s="0" t="n">
        <v>5947</v>
      </c>
      <c r="C19711" s="0" t="n">
        <v>5967</v>
      </c>
      <c r="D19711" s="0" t="s">
        <v>65471</v>
      </c>
      <c r="E19711" s="0" t="s">
        <v>75</v>
      </c>
      <c r="F19711" s="0" t="s">
        <v>15</v>
      </c>
      <c r="G19711" s="0" t="s">
        <v>36</v>
      </c>
      <c r="H19711" s="0" t="n">
        <v>174</v>
      </c>
      <c r="I19711" s="0" t="s">
        <v>65481</v>
      </c>
      <c r="J19711" s="0" t="s">
        <v>65482</v>
      </c>
      <c r="K19711" s="0" t="s">
        <v>65483</v>
      </c>
      <c r="L19711" s="0" t="str">
        <f aca="false">HYPERLINK("https://www.ncbi.nlm.nih.gov/nuccore/CP000060.1?report=graph&amp;tracks=[key:gene_model_track,Options:GeneOnly]&amp;mk=5775:5794|offset_1|444444,5856:5875|offset_82|444444,5896:5915|offset_122|444444,5948:5967|offset_174|00cc00&amp;v=5574:6167&amp;c=444444", "offset 174")</f>
        <v>offset 174</v>
      </c>
    </row>
    <row r="19712" customFormat="false" ht="12.8" hidden="false" customHeight="false" outlineLevel="0" collapsed="false">
      <c r="A19712" s="0" t="s">
        <v>65373</v>
      </c>
      <c r="B19712" s="0" t="n">
        <v>6539</v>
      </c>
      <c r="C19712" s="0" t="n">
        <v>6559</v>
      </c>
      <c r="D19712" s="0" t="s">
        <v>65484</v>
      </c>
      <c r="E19712" s="0" t="s">
        <v>75</v>
      </c>
      <c r="F19712" s="0" t="s">
        <v>15</v>
      </c>
      <c r="G19712" s="0" t="s">
        <v>20</v>
      </c>
      <c r="H19712" s="0" t="n">
        <v>24</v>
      </c>
      <c r="I19712" s="0" t="s">
        <v>65485</v>
      </c>
      <c r="J19712" s="0" t="s">
        <v>65486</v>
      </c>
      <c r="K19712" s="0" t="s">
        <v>65487</v>
      </c>
      <c r="L19712" s="0" t="str">
        <f aca="false">HYPERLINK("https://www.ncbi.nlm.nih.gov/nuccore/CP000060.1?report=graph&amp;tracks=[key:gene_model_track,Options:GeneOnly]&amp;mk=6540:6559|offset_24|00cc00,6560:6579|offset_44|444444,6589:6608|offset_73|444444,6650:6669|offset_134|444444&amp;v=6339:6869&amp;c=444444", "offset 24")</f>
        <v>offset 24</v>
      </c>
    </row>
    <row r="19713" customFormat="false" ht="12.8" hidden="false" customHeight="false" outlineLevel="0" collapsed="false">
      <c r="A19713" s="0" t="s">
        <v>65373</v>
      </c>
      <c r="B19713" s="0" t="n">
        <v>6559</v>
      </c>
      <c r="C19713" s="0" t="n">
        <v>6579</v>
      </c>
      <c r="D19713" s="0" t="s">
        <v>65484</v>
      </c>
      <c r="E19713" s="0" t="s">
        <v>75</v>
      </c>
      <c r="F19713" s="0" t="s">
        <v>15</v>
      </c>
      <c r="G19713" s="0" t="s">
        <v>16</v>
      </c>
      <c r="H19713" s="0" t="n">
        <v>44</v>
      </c>
      <c r="I19713" s="0" t="s">
        <v>65488</v>
      </c>
      <c r="J19713" s="0" t="s">
        <v>65489</v>
      </c>
      <c r="K19713" s="0" t="s">
        <v>65490</v>
      </c>
      <c r="L19713" s="0" t="str">
        <f aca="false">HYPERLINK("https://www.ncbi.nlm.nih.gov/nuccore/CP000060.1?report=graph&amp;tracks=[key:gene_model_track,Options:GeneOnly]&amp;mk=6540:6559|offset_24|444444,6560:6579|offset_44|00cc00,6589:6608|offset_73|444444,6650:6669|offset_134|444444&amp;v=6339:6869&amp;c=444444", "offset 44")</f>
        <v>offset 44</v>
      </c>
    </row>
    <row r="19714" customFormat="false" ht="12.8" hidden="false" customHeight="false" outlineLevel="0" collapsed="false">
      <c r="A19714" s="0" t="s">
        <v>65373</v>
      </c>
      <c r="B19714" s="0" t="n">
        <v>6588</v>
      </c>
      <c r="C19714" s="0" t="n">
        <v>6608</v>
      </c>
      <c r="D19714" s="0" t="s">
        <v>65484</v>
      </c>
      <c r="E19714" s="0" t="s">
        <v>75</v>
      </c>
      <c r="F19714" s="0" t="s">
        <v>15</v>
      </c>
      <c r="G19714" s="0" t="s">
        <v>16</v>
      </c>
      <c r="H19714" s="0" t="n">
        <v>73</v>
      </c>
      <c r="I19714" s="0" t="s">
        <v>65491</v>
      </c>
      <c r="J19714" s="0" t="s">
        <v>65492</v>
      </c>
      <c r="K19714" s="0" t="s">
        <v>65493</v>
      </c>
      <c r="L19714" s="0" t="str">
        <f aca="false">HYPERLINK("https://www.ncbi.nlm.nih.gov/nuccore/CP000060.1?report=graph&amp;tracks=[key:gene_model_track,Options:GeneOnly]&amp;mk=6540:6559|offset_24|444444,6560:6579|offset_44|444444,6589:6608|offset_73|00cc00,6650:6669|offset_134|444444&amp;v=6339:6869&amp;c=444444", "offset 73")</f>
        <v>offset 73</v>
      </c>
    </row>
    <row r="19715" customFormat="false" ht="12.8" hidden="false" customHeight="false" outlineLevel="0" collapsed="false">
      <c r="A19715" s="0" t="s">
        <v>65373</v>
      </c>
      <c r="B19715" s="0" t="n">
        <v>6649</v>
      </c>
      <c r="C19715" s="0" t="n">
        <v>6669</v>
      </c>
      <c r="D19715" s="0" t="s">
        <v>65484</v>
      </c>
      <c r="E19715" s="0" t="s">
        <v>75</v>
      </c>
      <c r="F19715" s="0" t="s">
        <v>15</v>
      </c>
      <c r="G19715" s="0" t="s">
        <v>32</v>
      </c>
      <c r="H19715" s="0" t="n">
        <v>134</v>
      </c>
      <c r="I19715" s="0" t="s">
        <v>65494</v>
      </c>
      <c r="J19715" s="0" t="s">
        <v>65495</v>
      </c>
      <c r="K19715" s="0" t="s">
        <v>65496</v>
      </c>
      <c r="L19715" s="0" t="str">
        <f aca="false">HYPERLINK("https://www.ncbi.nlm.nih.gov/nuccore/CP000060.1?report=graph&amp;tracks=[key:gene_model_track,Options:GeneOnly]&amp;mk=6540:6559|offset_24|444444,6560:6579|offset_44|444444,6589:6608|offset_73|444444,6650:6669|offset_134|00cc00&amp;v=6339:6869&amp;c=444444", "offset 134")</f>
        <v>offset 134</v>
      </c>
    </row>
    <row r="19716" customFormat="false" ht="12.8" hidden="false" customHeight="false" outlineLevel="0" collapsed="false">
      <c r="A19716" s="0" t="s">
        <v>65373</v>
      </c>
      <c r="B19716" s="0" t="n">
        <v>7034</v>
      </c>
      <c r="C19716" s="0" t="n">
        <v>7054</v>
      </c>
      <c r="D19716" s="0" t="s">
        <v>65497</v>
      </c>
      <c r="E19716" s="0" t="s">
        <v>75</v>
      </c>
      <c r="F19716" s="0" t="s">
        <v>15</v>
      </c>
      <c r="G19716" s="0" t="s">
        <v>20</v>
      </c>
      <c r="H19716" s="0" t="n">
        <v>0</v>
      </c>
      <c r="I19716" s="0" t="s">
        <v>65498</v>
      </c>
      <c r="J19716" s="0" t="s">
        <v>65499</v>
      </c>
      <c r="K19716" s="0" t="s">
        <v>65500</v>
      </c>
      <c r="L19716" s="0" t="str">
        <f aca="false">HYPERLINK("https://www.ncbi.nlm.nih.gov/nuccore/CP000060.1?report=graph&amp;tracks=[key:gene_model_track,Options:GeneOnly]&amp;mk=7035:7054|offset_0|00cc00,7059:7078|offset_24|444444,7106:7125|offset_71|444444,7128:7147|offset_93|444444&amp;v=6834:7347&amp;c=444444", "offset 0")</f>
        <v>offset 0</v>
      </c>
    </row>
    <row r="19717" customFormat="false" ht="12.8" hidden="false" customHeight="false" outlineLevel="0" collapsed="false">
      <c r="A19717" s="0" t="s">
        <v>65373</v>
      </c>
      <c r="B19717" s="0" t="n">
        <v>7058</v>
      </c>
      <c r="C19717" s="0" t="n">
        <v>7078</v>
      </c>
      <c r="D19717" s="0" t="s">
        <v>65497</v>
      </c>
      <c r="E19717" s="0" t="s">
        <v>75</v>
      </c>
      <c r="F19717" s="0" t="s">
        <v>15</v>
      </c>
      <c r="G19717" s="0" t="s">
        <v>36</v>
      </c>
      <c r="H19717" s="0" t="n">
        <v>24</v>
      </c>
      <c r="I19717" s="0" t="s">
        <v>65501</v>
      </c>
      <c r="J19717" s="0" t="s">
        <v>65502</v>
      </c>
      <c r="K19717" s="0" t="s">
        <v>65503</v>
      </c>
      <c r="L19717" s="0" t="str">
        <f aca="false">HYPERLINK("https://www.ncbi.nlm.nih.gov/nuccore/CP000060.1?report=graph&amp;tracks=[key:gene_model_track,Options:GeneOnly]&amp;mk=7035:7054|offset_0|444444,7059:7078|offset_24|00cc00,7106:7125|offset_71|444444,7128:7147|offset_93|444444&amp;v=6834:7347&amp;c=444444", "offset 24")</f>
        <v>offset 24</v>
      </c>
    </row>
    <row r="19718" customFormat="false" ht="12.8" hidden="false" customHeight="false" outlineLevel="0" collapsed="false">
      <c r="A19718" s="0" t="s">
        <v>65373</v>
      </c>
      <c r="B19718" s="0" t="n">
        <v>7105</v>
      </c>
      <c r="C19718" s="0" t="n">
        <v>7125</v>
      </c>
      <c r="D19718" s="0" t="s">
        <v>65497</v>
      </c>
      <c r="E19718" s="0" t="s">
        <v>75</v>
      </c>
      <c r="F19718" s="0" t="s">
        <v>15</v>
      </c>
      <c r="G19718" s="0" t="s">
        <v>32</v>
      </c>
      <c r="H19718" s="0" t="n">
        <v>71</v>
      </c>
      <c r="I19718" s="0" t="s">
        <v>65504</v>
      </c>
      <c r="J19718" s="0" t="s">
        <v>65505</v>
      </c>
      <c r="K19718" s="0" t="s">
        <v>65506</v>
      </c>
      <c r="L19718" s="0" t="str">
        <f aca="false">HYPERLINK("https://www.ncbi.nlm.nih.gov/nuccore/CP000060.1?report=graph&amp;tracks=[key:gene_model_track,Options:GeneOnly]&amp;mk=7035:7054|offset_0|444444,7059:7078|offset_24|444444,7106:7125|offset_71|00cc00,7128:7147|offset_93|444444&amp;v=6834:7347&amp;c=444444", "offset 71")</f>
        <v>offset 71</v>
      </c>
    </row>
    <row r="19719" customFormat="false" ht="12.8" hidden="false" customHeight="false" outlineLevel="0" collapsed="false">
      <c r="A19719" s="0" t="s">
        <v>65373</v>
      </c>
      <c r="B19719" s="0" t="n">
        <v>7127</v>
      </c>
      <c r="C19719" s="0" t="n">
        <v>7147</v>
      </c>
      <c r="D19719" s="0" t="s">
        <v>65497</v>
      </c>
      <c r="E19719" s="0" t="s">
        <v>75</v>
      </c>
      <c r="F19719" s="0" t="s">
        <v>15</v>
      </c>
      <c r="G19719" s="0" t="s">
        <v>20</v>
      </c>
      <c r="H19719" s="0" t="n">
        <v>93</v>
      </c>
      <c r="I19719" s="0" t="s">
        <v>65507</v>
      </c>
      <c r="J19719" s="0" t="s">
        <v>65508</v>
      </c>
      <c r="K19719" s="0" t="s">
        <v>65509</v>
      </c>
      <c r="L19719" s="0" t="str">
        <f aca="false">HYPERLINK("https://www.ncbi.nlm.nih.gov/nuccore/CP000060.1?report=graph&amp;tracks=[key:gene_model_track,Options:GeneOnly]&amp;mk=7035:7054|offset_0|444444,7059:7078|offset_24|444444,7106:7125|offset_71|444444,7128:7147|offset_93|00cc00&amp;v=6834:7347&amp;c=444444", "offset 93")</f>
        <v>offset 93</v>
      </c>
    </row>
    <row r="19720" customFormat="false" ht="12.8" hidden="false" customHeight="false" outlineLevel="0" collapsed="false">
      <c r="A19720" s="0" t="s">
        <v>65373</v>
      </c>
      <c r="B19720" s="0" t="n">
        <v>8713</v>
      </c>
      <c r="C19720" s="0" t="n">
        <v>8733</v>
      </c>
      <c r="D19720" s="0" t="s">
        <v>65510</v>
      </c>
      <c r="E19720" s="0" t="s">
        <v>75</v>
      </c>
      <c r="F19720" s="0" t="s">
        <v>15</v>
      </c>
      <c r="G19720" s="0" t="s">
        <v>20</v>
      </c>
      <c r="H19720" s="0" t="n">
        <v>84</v>
      </c>
      <c r="I19720" s="0" t="s">
        <v>65511</v>
      </c>
      <c r="J19720" s="0" t="s">
        <v>65512</v>
      </c>
      <c r="K19720" s="0" t="s">
        <v>65513</v>
      </c>
      <c r="L19720" s="0" t="str">
        <f aca="false">HYPERLINK("https://www.ncbi.nlm.nih.gov/nuccore/CP000060.1?report=graph&amp;tracks=[key:gene_model_track,Options:GeneOnly]&amp;mk=8714:8733|offset_84|00cc00,8811:8830|offset_181|444444,8906:8925|offset_276|444444&amp;v=8513:9125&amp;c=444444", "offset 84")</f>
        <v>offset 84</v>
      </c>
    </row>
    <row r="19721" customFormat="false" ht="12.8" hidden="false" customHeight="false" outlineLevel="0" collapsed="false">
      <c r="A19721" s="0" t="s">
        <v>65373</v>
      </c>
      <c r="B19721" s="0" t="n">
        <v>8810</v>
      </c>
      <c r="C19721" s="0" t="n">
        <v>8830</v>
      </c>
      <c r="D19721" s="0" t="s">
        <v>65510</v>
      </c>
      <c r="E19721" s="0" t="s">
        <v>75</v>
      </c>
      <c r="F19721" s="0" t="s">
        <v>15</v>
      </c>
      <c r="G19721" s="0" t="s">
        <v>32</v>
      </c>
      <c r="H19721" s="0" t="n">
        <v>181</v>
      </c>
      <c r="I19721" s="0" t="s">
        <v>65514</v>
      </c>
      <c r="J19721" s="0" t="s">
        <v>65515</v>
      </c>
      <c r="K19721" s="0" t="s">
        <v>65516</v>
      </c>
      <c r="L19721" s="0" t="str">
        <f aca="false">HYPERLINK("https://www.ncbi.nlm.nih.gov/nuccore/CP000060.1?report=graph&amp;tracks=[key:gene_model_track,Options:GeneOnly]&amp;mk=8714:8733|offset_84|444444,8811:8830|offset_181|00cc00,8906:8925|offset_276|444444&amp;v=8513:9125&amp;c=444444", "offset 181")</f>
        <v>offset 181</v>
      </c>
    </row>
    <row r="19722" customFormat="false" ht="12.8" hidden="false" customHeight="false" outlineLevel="0" collapsed="false">
      <c r="A19722" s="0" t="s">
        <v>65373</v>
      </c>
      <c r="B19722" s="0" t="n">
        <v>8905</v>
      </c>
      <c r="C19722" s="0" t="n">
        <v>8925</v>
      </c>
      <c r="D19722" s="0" t="s">
        <v>65510</v>
      </c>
      <c r="E19722" s="0" t="s">
        <v>75</v>
      </c>
      <c r="F19722" s="0" t="s">
        <v>15</v>
      </c>
      <c r="G19722" s="0" t="s">
        <v>20</v>
      </c>
      <c r="H19722" s="0" t="n">
        <v>276</v>
      </c>
      <c r="I19722" s="0" t="s">
        <v>65517</v>
      </c>
      <c r="J19722" s="0" t="s">
        <v>65518</v>
      </c>
      <c r="K19722" s="0" t="s">
        <v>65519</v>
      </c>
      <c r="L19722" s="0" t="str">
        <f aca="false">HYPERLINK("https://www.ncbi.nlm.nih.gov/nuccore/CP000060.1?report=graph&amp;tracks=[key:gene_model_track,Options:GeneOnly]&amp;mk=8714:8733|offset_84|444444,8811:8830|offset_181|444444,8906:8925|offset_276|00cc00&amp;v=8513:9125&amp;c=444444", "offset 276")</f>
        <v>offset 276</v>
      </c>
    </row>
    <row r="19723" customFormat="false" ht="12.8" hidden="false" customHeight="false" outlineLevel="0" collapsed="false">
      <c r="A19723" s="0" t="s">
        <v>65373</v>
      </c>
      <c r="B19723" s="0" t="n">
        <v>9034</v>
      </c>
      <c r="C19723" s="0" t="n">
        <v>9054</v>
      </c>
      <c r="D19723" s="0" t="s">
        <v>65520</v>
      </c>
      <c r="E19723" s="0" t="s">
        <v>75</v>
      </c>
      <c r="F19723" s="0" t="s">
        <v>15</v>
      </c>
      <c r="G19723" s="0" t="s">
        <v>36</v>
      </c>
      <c r="H19723" s="0" t="n">
        <v>12</v>
      </c>
      <c r="I19723" s="0" t="s">
        <v>65521</v>
      </c>
      <c r="J19723" s="0" t="s">
        <v>65522</v>
      </c>
      <c r="K19723" s="0" t="s">
        <v>65523</v>
      </c>
      <c r="L19723" s="0" t="str">
        <f aca="false">HYPERLINK("https://www.ncbi.nlm.nih.gov/nuccore/CP000060.1?report=graph&amp;tracks=[key:gene_model_track,Options:GeneOnly]&amp;mk=9035:9054|offset_12|00cc00,9065:9084|offset_42|444444,9087:9106|offset_64|444444,9111:9130|offset_88|444444&amp;v=8834:9330&amp;c=444444", "offset 12")</f>
        <v>offset 12</v>
      </c>
    </row>
    <row r="19724" customFormat="false" ht="12.8" hidden="false" customHeight="false" outlineLevel="0" collapsed="false">
      <c r="A19724" s="0" t="s">
        <v>65373</v>
      </c>
      <c r="B19724" s="0" t="n">
        <v>9064</v>
      </c>
      <c r="C19724" s="0" t="n">
        <v>9084</v>
      </c>
      <c r="D19724" s="0" t="s">
        <v>65520</v>
      </c>
      <c r="E19724" s="0" t="s">
        <v>75</v>
      </c>
      <c r="F19724" s="0" t="s">
        <v>15</v>
      </c>
      <c r="G19724" s="0" t="s">
        <v>20</v>
      </c>
      <c r="H19724" s="0" t="n">
        <v>42</v>
      </c>
      <c r="I19724" s="0" t="s">
        <v>65524</v>
      </c>
      <c r="J19724" s="0" t="s">
        <v>65525</v>
      </c>
      <c r="K19724" s="0" t="s">
        <v>65526</v>
      </c>
      <c r="L19724" s="0" t="str">
        <f aca="false">HYPERLINK("https://www.ncbi.nlm.nih.gov/nuccore/CP000060.1?report=graph&amp;tracks=[key:gene_model_track,Options:GeneOnly]&amp;mk=9035:9054|offset_12|444444,9065:9084|offset_42|00cc00,9087:9106|offset_64|444444,9111:9130|offset_88|444444&amp;v=8834:9330&amp;c=444444", "offset 42")</f>
        <v>offset 42</v>
      </c>
    </row>
    <row r="19725" customFormat="false" ht="12.8" hidden="false" customHeight="false" outlineLevel="0" collapsed="false">
      <c r="A19725" s="0" t="s">
        <v>65373</v>
      </c>
      <c r="B19725" s="0" t="n">
        <v>9086</v>
      </c>
      <c r="C19725" s="0" t="n">
        <v>9106</v>
      </c>
      <c r="D19725" s="0" t="s">
        <v>65520</v>
      </c>
      <c r="E19725" s="0" t="s">
        <v>75</v>
      </c>
      <c r="F19725" s="0" t="s">
        <v>15</v>
      </c>
      <c r="G19725" s="0" t="s">
        <v>16</v>
      </c>
      <c r="H19725" s="0" t="n">
        <v>64</v>
      </c>
      <c r="I19725" s="0" t="s">
        <v>65527</v>
      </c>
      <c r="J19725" s="0" t="s">
        <v>65528</v>
      </c>
      <c r="K19725" s="0" t="s">
        <v>65529</v>
      </c>
      <c r="L19725" s="0" t="str">
        <f aca="false">HYPERLINK("https://www.ncbi.nlm.nih.gov/nuccore/CP000060.1?report=graph&amp;tracks=[key:gene_model_track,Options:GeneOnly]&amp;mk=9035:9054|offset_12|444444,9065:9084|offset_42|444444,9087:9106|offset_64|00cc00,9111:9130|offset_88|444444&amp;v=8834:9330&amp;c=444444", "offset 64")</f>
        <v>offset 64</v>
      </c>
    </row>
    <row r="19726" customFormat="false" ht="12.8" hidden="false" customHeight="false" outlineLevel="0" collapsed="false">
      <c r="A19726" s="0" t="s">
        <v>65373</v>
      </c>
      <c r="B19726" s="0" t="n">
        <v>9110</v>
      </c>
      <c r="C19726" s="0" t="n">
        <v>9130</v>
      </c>
      <c r="D19726" s="0" t="s">
        <v>65520</v>
      </c>
      <c r="E19726" s="0" t="s">
        <v>75</v>
      </c>
      <c r="F19726" s="0" t="s">
        <v>15</v>
      </c>
      <c r="G19726" s="0" t="s">
        <v>20</v>
      </c>
      <c r="H19726" s="0" t="n">
        <v>88</v>
      </c>
      <c r="I19726" s="0" t="s">
        <v>65530</v>
      </c>
      <c r="J19726" s="0" t="s">
        <v>65531</v>
      </c>
      <c r="K19726" s="0" t="s">
        <v>65532</v>
      </c>
      <c r="L19726" s="0" t="str">
        <f aca="false">HYPERLINK("https://www.ncbi.nlm.nih.gov/nuccore/CP000060.1?report=graph&amp;tracks=[key:gene_model_track,Options:GeneOnly]&amp;mk=9035:9054|offset_12|444444,9065:9084|offset_42|444444,9087:9106|offset_64|444444,9111:9130|offset_88|00cc00&amp;v=8834:9330&amp;c=444444", "offset 88")</f>
        <v>offset 88</v>
      </c>
    </row>
    <row r="19727" customFormat="false" ht="12.8" hidden="false" customHeight="false" outlineLevel="0" collapsed="false">
      <c r="A19727" s="0" t="s">
        <v>65373</v>
      </c>
      <c r="B19727" s="0" t="n">
        <v>11211</v>
      </c>
      <c r="C19727" s="0" t="n">
        <v>11231</v>
      </c>
      <c r="D19727" s="0" t="s">
        <v>65533</v>
      </c>
      <c r="E19727" s="0" t="s">
        <v>75</v>
      </c>
      <c r="F19727" s="0" t="s">
        <v>15</v>
      </c>
      <c r="G19727" s="0" t="s">
        <v>16</v>
      </c>
      <c r="H19727" s="0" t="n">
        <v>6</v>
      </c>
      <c r="I19727" s="0" t="s">
        <v>65534</v>
      </c>
      <c r="J19727" s="0" t="s">
        <v>65535</v>
      </c>
      <c r="K19727" s="0" t="s">
        <v>65536</v>
      </c>
      <c r="L19727" s="0" t="str">
        <f aca="false">HYPERLINK("https://www.ncbi.nlm.nih.gov/nuccore/CP000060.1?report=graph&amp;tracks=[key:gene_model_track,Options:GeneOnly]&amp;mk=11212:11231|offset_6|00cc00,11254:11273|offset_48|444444,11295:11314|offset_89|444444,11327:11346|offset_121|444444&amp;v=11011:11546&amp;c=444444", "offset 6")</f>
        <v>offset 6</v>
      </c>
    </row>
    <row r="19728" customFormat="false" ht="12.8" hidden="false" customHeight="false" outlineLevel="0" collapsed="false">
      <c r="A19728" s="0" t="s">
        <v>65373</v>
      </c>
      <c r="B19728" s="0" t="n">
        <v>11253</v>
      </c>
      <c r="C19728" s="0" t="n">
        <v>11273</v>
      </c>
      <c r="D19728" s="0" t="s">
        <v>65533</v>
      </c>
      <c r="E19728" s="0" t="s">
        <v>75</v>
      </c>
      <c r="F19728" s="0" t="s">
        <v>15</v>
      </c>
      <c r="G19728" s="0" t="s">
        <v>36</v>
      </c>
      <c r="H19728" s="0" t="n">
        <v>48</v>
      </c>
      <c r="I19728" s="0" t="s">
        <v>65537</v>
      </c>
      <c r="J19728" s="0" t="s">
        <v>65538</v>
      </c>
      <c r="K19728" s="0" t="s">
        <v>65539</v>
      </c>
      <c r="L19728" s="0" t="str">
        <f aca="false">HYPERLINK("https://www.ncbi.nlm.nih.gov/nuccore/CP000060.1?report=graph&amp;tracks=[key:gene_model_track,Options:GeneOnly]&amp;mk=11212:11231|offset_6|444444,11254:11273|offset_48|00cc00,11295:11314|offset_89|444444,11327:11346|offset_121|444444&amp;v=11011:11546&amp;c=444444", "offset 48")</f>
        <v>offset 48</v>
      </c>
    </row>
    <row r="19729" customFormat="false" ht="12.8" hidden="false" customHeight="false" outlineLevel="0" collapsed="false">
      <c r="A19729" s="0" t="s">
        <v>65373</v>
      </c>
      <c r="B19729" s="0" t="n">
        <v>11294</v>
      </c>
      <c r="C19729" s="0" t="n">
        <v>11314</v>
      </c>
      <c r="D19729" s="0" t="s">
        <v>65533</v>
      </c>
      <c r="E19729" s="0" t="s">
        <v>75</v>
      </c>
      <c r="F19729" s="0" t="s">
        <v>15</v>
      </c>
      <c r="G19729" s="0" t="s">
        <v>36</v>
      </c>
      <c r="H19729" s="0" t="n">
        <v>89</v>
      </c>
      <c r="I19729" s="0" t="s">
        <v>65540</v>
      </c>
      <c r="J19729" s="0" t="s">
        <v>65541</v>
      </c>
      <c r="K19729" s="0" t="s">
        <v>65542</v>
      </c>
      <c r="L19729" s="0" t="str">
        <f aca="false">HYPERLINK("https://www.ncbi.nlm.nih.gov/nuccore/CP000060.1?report=graph&amp;tracks=[key:gene_model_track,Options:GeneOnly]&amp;mk=11212:11231|offset_6|444444,11254:11273|offset_48|444444,11295:11314|offset_89|00cc00,11327:11346|offset_121|444444&amp;v=11011:11546&amp;c=444444", "offset 89")</f>
        <v>offset 89</v>
      </c>
    </row>
    <row r="19730" customFormat="false" ht="12.8" hidden="false" customHeight="false" outlineLevel="0" collapsed="false">
      <c r="A19730" s="0" t="s">
        <v>65373</v>
      </c>
      <c r="B19730" s="0" t="n">
        <v>11326</v>
      </c>
      <c r="C19730" s="0" t="n">
        <v>11346</v>
      </c>
      <c r="D19730" s="0" t="s">
        <v>65533</v>
      </c>
      <c r="E19730" s="0" t="s">
        <v>75</v>
      </c>
      <c r="F19730" s="0" t="s">
        <v>15</v>
      </c>
      <c r="G19730" s="0" t="s">
        <v>32</v>
      </c>
      <c r="H19730" s="0" t="n">
        <v>121</v>
      </c>
      <c r="I19730" s="0" t="s">
        <v>65543</v>
      </c>
      <c r="J19730" s="0" t="s">
        <v>65544</v>
      </c>
      <c r="K19730" s="0" t="s">
        <v>65545</v>
      </c>
      <c r="L19730" s="0" t="str">
        <f aca="false">HYPERLINK("https://www.ncbi.nlm.nih.gov/nuccore/CP000060.1?report=graph&amp;tracks=[key:gene_model_track,Options:GeneOnly]&amp;mk=11212:11231|offset_6|444444,11254:11273|offset_48|444444,11295:11314|offset_89|444444,11327:11346|offset_121|00cc00&amp;v=11011:11546&amp;c=444444", "offset 121")</f>
        <v>offset 121</v>
      </c>
    </row>
    <row r="19731" customFormat="false" ht="12.8" hidden="false" customHeight="false" outlineLevel="0" collapsed="false">
      <c r="A19731" s="0" t="s">
        <v>65373</v>
      </c>
      <c r="B19731" s="0" t="n">
        <v>13148</v>
      </c>
      <c r="C19731" s="0" t="n">
        <v>13168</v>
      </c>
      <c r="D19731" s="0" t="s">
        <v>65546</v>
      </c>
      <c r="E19731" s="0" t="s">
        <v>75</v>
      </c>
      <c r="F19731" s="0" t="s">
        <v>15</v>
      </c>
      <c r="G19731" s="0" t="s">
        <v>32</v>
      </c>
      <c r="H19731" s="0" t="n">
        <v>23</v>
      </c>
      <c r="I19731" s="0" t="s">
        <v>65547</v>
      </c>
      <c r="J19731" s="0" t="s">
        <v>65548</v>
      </c>
      <c r="K19731" s="0" t="s">
        <v>65549</v>
      </c>
      <c r="L19731" s="0" t="str">
        <f aca="false">HYPERLINK("https://www.ncbi.nlm.nih.gov/nuccore/CP000060.1?report=graph&amp;tracks=[key:gene_model_track,Options:GeneOnly]&amp;mk=13149:13168|offset_23|00cc00,13204:13223|offset_78|444444,13233:13252|offset_107|444444,13287:13306|offset_161|444444&amp;v=12948:13506&amp;c=444444", "offset 23")</f>
        <v>offset 23</v>
      </c>
    </row>
    <row r="19732" customFormat="false" ht="12.8" hidden="false" customHeight="false" outlineLevel="0" collapsed="false">
      <c r="A19732" s="0" t="s">
        <v>65373</v>
      </c>
      <c r="B19732" s="0" t="n">
        <v>13203</v>
      </c>
      <c r="C19732" s="0" t="n">
        <v>13223</v>
      </c>
      <c r="D19732" s="0" t="s">
        <v>65546</v>
      </c>
      <c r="E19732" s="0" t="s">
        <v>75</v>
      </c>
      <c r="F19732" s="0" t="s">
        <v>15</v>
      </c>
      <c r="G19732" s="0" t="s">
        <v>36</v>
      </c>
      <c r="H19732" s="0" t="n">
        <v>78</v>
      </c>
      <c r="I19732" s="0" t="s">
        <v>65550</v>
      </c>
      <c r="J19732" s="0" t="s">
        <v>65551</v>
      </c>
      <c r="K19732" s="0" t="s">
        <v>65552</v>
      </c>
      <c r="L19732" s="0" t="str">
        <f aca="false">HYPERLINK("https://www.ncbi.nlm.nih.gov/nuccore/CP000060.1?report=graph&amp;tracks=[key:gene_model_track,Options:GeneOnly]&amp;mk=13149:13168|offset_23|444444,13204:13223|offset_78|00cc00,13233:13252|offset_107|444444,13287:13306|offset_161|444444&amp;v=12948:13506&amp;c=444444", "offset 78")</f>
        <v>offset 78</v>
      </c>
    </row>
    <row r="19733" customFormat="false" ht="12.8" hidden="false" customHeight="false" outlineLevel="0" collapsed="false">
      <c r="A19733" s="0" t="s">
        <v>65373</v>
      </c>
      <c r="B19733" s="0" t="n">
        <v>13232</v>
      </c>
      <c r="C19733" s="0" t="n">
        <v>13252</v>
      </c>
      <c r="D19733" s="0" t="s">
        <v>65546</v>
      </c>
      <c r="E19733" s="0" t="s">
        <v>75</v>
      </c>
      <c r="F19733" s="0" t="s">
        <v>15</v>
      </c>
      <c r="G19733" s="0" t="s">
        <v>36</v>
      </c>
      <c r="H19733" s="0" t="n">
        <v>107</v>
      </c>
      <c r="I19733" s="0" t="s">
        <v>65553</v>
      </c>
      <c r="J19733" s="0" t="s">
        <v>65554</v>
      </c>
      <c r="K19733" s="0" t="s">
        <v>65555</v>
      </c>
      <c r="L19733" s="0" t="str">
        <f aca="false">HYPERLINK("https://www.ncbi.nlm.nih.gov/nuccore/CP000060.1?report=graph&amp;tracks=[key:gene_model_track,Options:GeneOnly]&amp;mk=13149:13168|offset_23|444444,13204:13223|offset_78|444444,13233:13252|offset_107|00cc00,13287:13306|offset_161|444444&amp;v=12948:13506&amp;c=444444", "offset 107")</f>
        <v>offset 107</v>
      </c>
    </row>
    <row r="19734" customFormat="false" ht="12.8" hidden="false" customHeight="false" outlineLevel="0" collapsed="false">
      <c r="A19734" s="0" t="s">
        <v>65373</v>
      </c>
      <c r="B19734" s="0" t="n">
        <v>13286</v>
      </c>
      <c r="C19734" s="0" t="n">
        <v>13306</v>
      </c>
      <c r="D19734" s="0" t="s">
        <v>65546</v>
      </c>
      <c r="E19734" s="0" t="s">
        <v>75</v>
      </c>
      <c r="F19734" s="0" t="s">
        <v>15</v>
      </c>
      <c r="G19734" s="0" t="s">
        <v>20</v>
      </c>
      <c r="H19734" s="0" t="n">
        <v>161</v>
      </c>
      <c r="I19734" s="0" t="s">
        <v>65556</v>
      </c>
      <c r="J19734" s="0" t="s">
        <v>65557</v>
      </c>
      <c r="K19734" s="0" t="s">
        <v>65558</v>
      </c>
      <c r="L19734" s="0" t="str">
        <f aca="false">HYPERLINK("https://www.ncbi.nlm.nih.gov/nuccore/CP000060.1?report=graph&amp;tracks=[key:gene_model_track,Options:GeneOnly]&amp;mk=13149:13168|offset_23|444444,13204:13223|offset_78|444444,13233:13252|offset_107|444444,13287:13306|offset_161|00cc00&amp;v=12948:13506&amp;c=444444", "offset 161")</f>
        <v>offset 161</v>
      </c>
    </row>
    <row r="19735" customFormat="false" ht="12.8" hidden="false" customHeight="false" outlineLevel="0" collapsed="false">
      <c r="A19735" s="0" t="s">
        <v>65373</v>
      </c>
      <c r="B19735" s="0" t="n">
        <v>13424</v>
      </c>
      <c r="C19735" s="0" t="n">
        <v>13444</v>
      </c>
      <c r="D19735" s="0" t="s">
        <v>65559</v>
      </c>
      <c r="E19735" s="0" t="s">
        <v>65560</v>
      </c>
      <c r="F19735" s="0" t="s">
        <v>15</v>
      </c>
      <c r="G19735" s="0" t="s">
        <v>16</v>
      </c>
      <c r="H19735" s="0" t="n">
        <v>49</v>
      </c>
      <c r="I19735" s="0" t="s">
        <v>65561</v>
      </c>
      <c r="J19735" s="0" t="s">
        <v>65562</v>
      </c>
      <c r="K19735" s="0" t="s">
        <v>65563</v>
      </c>
      <c r="L19735" s="0" t="str">
        <f aca="false">HYPERLINK("https://www.ncbi.nlm.nih.gov/nuccore/CP000060.1?report=graph&amp;tracks=[key:gene_model_track,Options:GeneOnly]&amp;mk=13425:13444|offset_49|00cc00,13452:13471|offset_76|444444,13479:13498|offset_103|444444,13513:13532|offset_137|444444&amp;v=13224:13732&amp;c=444444", "offset 49")</f>
        <v>offset 49</v>
      </c>
    </row>
    <row r="19736" customFormat="false" ht="12.8" hidden="false" customHeight="false" outlineLevel="0" collapsed="false">
      <c r="A19736" s="0" t="s">
        <v>65373</v>
      </c>
      <c r="B19736" s="0" t="n">
        <v>13451</v>
      </c>
      <c r="C19736" s="0" t="n">
        <v>13471</v>
      </c>
      <c r="D19736" s="0" t="s">
        <v>65559</v>
      </c>
      <c r="E19736" s="0" t="s">
        <v>65560</v>
      </c>
      <c r="F19736" s="0" t="s">
        <v>15</v>
      </c>
      <c r="G19736" s="0" t="s">
        <v>20</v>
      </c>
      <c r="H19736" s="0" t="n">
        <v>76</v>
      </c>
      <c r="I19736" s="0" t="s">
        <v>65564</v>
      </c>
      <c r="J19736" s="0" t="s">
        <v>65565</v>
      </c>
      <c r="K19736" s="0" t="s">
        <v>65566</v>
      </c>
      <c r="L19736" s="0" t="str">
        <f aca="false">HYPERLINK("https://www.ncbi.nlm.nih.gov/nuccore/CP000060.1?report=graph&amp;tracks=[key:gene_model_track,Options:GeneOnly]&amp;mk=13425:13444|offset_49|444444,13452:13471|offset_76|00cc00,13479:13498|offset_103|444444,13513:13532|offset_137|444444&amp;v=13224:13732&amp;c=444444", "offset 76")</f>
        <v>offset 76</v>
      </c>
    </row>
    <row r="19737" customFormat="false" ht="12.8" hidden="false" customHeight="false" outlineLevel="0" collapsed="false">
      <c r="A19737" s="0" t="s">
        <v>65373</v>
      </c>
      <c r="B19737" s="0" t="n">
        <v>13478</v>
      </c>
      <c r="C19737" s="0" t="n">
        <v>13498</v>
      </c>
      <c r="D19737" s="0" t="s">
        <v>65559</v>
      </c>
      <c r="E19737" s="0" t="s">
        <v>65560</v>
      </c>
      <c r="F19737" s="0" t="s">
        <v>15</v>
      </c>
      <c r="G19737" s="0" t="s">
        <v>32</v>
      </c>
      <c r="H19737" s="0" t="n">
        <v>103</v>
      </c>
      <c r="I19737" s="0" t="s">
        <v>65567</v>
      </c>
      <c r="J19737" s="0" t="s">
        <v>65568</v>
      </c>
      <c r="K19737" s="0" t="s">
        <v>65569</v>
      </c>
      <c r="L19737" s="0" t="str">
        <f aca="false">HYPERLINK("https://www.ncbi.nlm.nih.gov/nuccore/CP000060.1?report=graph&amp;tracks=[key:gene_model_track,Options:GeneOnly]&amp;mk=13425:13444|offset_49|444444,13452:13471|offset_76|444444,13479:13498|offset_103|00cc00,13513:13532|offset_137|444444&amp;v=13224:13732&amp;c=444444", "offset 103")</f>
        <v>offset 103</v>
      </c>
    </row>
    <row r="19738" customFormat="false" ht="12.8" hidden="false" customHeight="false" outlineLevel="0" collapsed="false">
      <c r="A19738" s="0" t="s">
        <v>65373</v>
      </c>
      <c r="B19738" s="0" t="n">
        <v>13512</v>
      </c>
      <c r="C19738" s="0" t="n">
        <v>13532</v>
      </c>
      <c r="D19738" s="0" t="s">
        <v>65559</v>
      </c>
      <c r="E19738" s="0" t="s">
        <v>65560</v>
      </c>
      <c r="F19738" s="0" t="s">
        <v>15</v>
      </c>
      <c r="G19738" s="0" t="s">
        <v>20</v>
      </c>
      <c r="H19738" s="0" t="n">
        <v>137</v>
      </c>
      <c r="I19738" s="0" t="s">
        <v>65570</v>
      </c>
      <c r="J19738" s="0" t="s">
        <v>65571</v>
      </c>
      <c r="K19738" s="0" t="s">
        <v>65572</v>
      </c>
      <c r="L19738" s="0" t="str">
        <f aca="false">HYPERLINK("https://www.ncbi.nlm.nih.gov/nuccore/CP000060.1?report=graph&amp;tracks=[key:gene_model_track,Options:GeneOnly]&amp;mk=13425:13444|offset_49|444444,13452:13471|offset_76|444444,13479:13498|offset_103|444444,13513:13532|offset_137|00cc00&amp;v=13224:13732&amp;c=444444", "offset 137")</f>
        <v>offset 137</v>
      </c>
    </row>
    <row r="19739" customFormat="false" ht="12.8" hidden="false" customHeight="false" outlineLevel="0" collapsed="false">
      <c r="A19739" s="0" t="s">
        <v>65373</v>
      </c>
      <c r="B19739" s="0" t="n">
        <v>14691</v>
      </c>
      <c r="C19739" s="0" t="n">
        <v>14711</v>
      </c>
      <c r="D19739" s="0" t="s">
        <v>65573</v>
      </c>
      <c r="E19739" s="0" t="s">
        <v>75</v>
      </c>
      <c r="F19739" s="0" t="s">
        <v>90</v>
      </c>
      <c r="G19739" s="0" t="s">
        <v>16</v>
      </c>
      <c r="H19739" s="0" t="n">
        <v>28</v>
      </c>
      <c r="I19739" s="0" t="s">
        <v>64828</v>
      </c>
      <c r="J19739" s="0" t="s">
        <v>64829</v>
      </c>
      <c r="K19739" s="0" t="s">
        <v>64830</v>
      </c>
      <c r="L19739" s="0" t="str">
        <f aca="false">HYPERLINK("https://www.ncbi.nlm.nih.gov/nuccore/CP000060.1?report=graph&amp;tracks=[key:gene_model_track,Options:GeneOnly]&amp;mk=14692:14711|offset_28|00cc00,14658:14677|offset_62|444444,14617:14636|offset_103|444444,14592:14611|offset_128|444444&amp;v=14491:14811&amp;c=444444", "offset 28")</f>
        <v>offset 28</v>
      </c>
    </row>
    <row r="19740" customFormat="false" ht="12.8" hidden="false" customHeight="false" outlineLevel="0" collapsed="false">
      <c r="A19740" s="0" t="s">
        <v>65373</v>
      </c>
      <c r="B19740" s="0" t="n">
        <v>14657</v>
      </c>
      <c r="C19740" s="0" t="n">
        <v>14677</v>
      </c>
      <c r="D19740" s="0" t="s">
        <v>65573</v>
      </c>
      <c r="E19740" s="0" t="s">
        <v>75</v>
      </c>
      <c r="F19740" s="0" t="s">
        <v>90</v>
      </c>
      <c r="G19740" s="0" t="s">
        <v>32</v>
      </c>
      <c r="H19740" s="0" t="n">
        <v>62</v>
      </c>
      <c r="I19740" s="0" t="s">
        <v>64831</v>
      </c>
      <c r="J19740" s="0" t="s">
        <v>64832</v>
      </c>
      <c r="K19740" s="0" t="s">
        <v>64833</v>
      </c>
      <c r="L19740" s="0" t="str">
        <f aca="false">HYPERLINK("https://www.ncbi.nlm.nih.gov/nuccore/CP000060.1?report=graph&amp;tracks=[key:gene_model_track,Options:GeneOnly]&amp;mk=14692:14711|offset_28|444444,14658:14677|offset_62|00cc00,14617:14636|offset_103|444444,14592:14611|offset_128|444444&amp;v=14491:14811&amp;c=444444", "offset 62")</f>
        <v>offset 62</v>
      </c>
    </row>
    <row r="19741" customFormat="false" ht="12.8" hidden="false" customHeight="false" outlineLevel="0" collapsed="false">
      <c r="A19741" s="0" t="s">
        <v>65373</v>
      </c>
      <c r="B19741" s="0" t="n">
        <v>14616</v>
      </c>
      <c r="C19741" s="0" t="n">
        <v>14636</v>
      </c>
      <c r="D19741" s="0" t="s">
        <v>65573</v>
      </c>
      <c r="E19741" s="0" t="s">
        <v>75</v>
      </c>
      <c r="F19741" s="0" t="s">
        <v>90</v>
      </c>
      <c r="G19741" s="0" t="s">
        <v>32</v>
      </c>
      <c r="H19741" s="0" t="n">
        <v>103</v>
      </c>
      <c r="I19741" s="0" t="s">
        <v>64834</v>
      </c>
      <c r="J19741" s="0" t="s">
        <v>64835</v>
      </c>
      <c r="K19741" s="0" t="s">
        <v>64836</v>
      </c>
      <c r="L19741" s="0" t="str">
        <f aca="false">HYPERLINK("https://www.ncbi.nlm.nih.gov/nuccore/CP000060.1?report=graph&amp;tracks=[key:gene_model_track,Options:GeneOnly]&amp;mk=14692:14711|offset_28|444444,14658:14677|offset_62|444444,14617:14636|offset_103|00cc00,14592:14611|offset_128|444444&amp;v=14491:14811&amp;c=444444", "offset 103")</f>
        <v>offset 103</v>
      </c>
    </row>
    <row r="19742" customFormat="false" ht="12.8" hidden="false" customHeight="false" outlineLevel="0" collapsed="false">
      <c r="A19742" s="0" t="s">
        <v>65373</v>
      </c>
      <c r="B19742" s="0" t="n">
        <v>14591</v>
      </c>
      <c r="C19742" s="0" t="n">
        <v>14611</v>
      </c>
      <c r="D19742" s="0" t="s">
        <v>65573</v>
      </c>
      <c r="E19742" s="0" t="s">
        <v>75</v>
      </c>
      <c r="F19742" s="0" t="s">
        <v>90</v>
      </c>
      <c r="G19742" s="0" t="s">
        <v>16</v>
      </c>
      <c r="H19742" s="0" t="n">
        <v>128</v>
      </c>
      <c r="I19742" s="0" t="s">
        <v>64837</v>
      </c>
      <c r="J19742" s="0" t="s">
        <v>64838</v>
      </c>
      <c r="K19742" s="0" t="s">
        <v>64839</v>
      </c>
      <c r="L19742" s="0" t="str">
        <f aca="false">HYPERLINK("https://www.ncbi.nlm.nih.gov/nuccore/CP000060.1?report=graph&amp;tracks=[key:gene_model_track,Options:GeneOnly]&amp;mk=14692:14711|offset_28|444444,14658:14677|offset_62|444444,14617:14636|offset_103|444444,14592:14611|offset_128|00cc00&amp;v=14491:14811&amp;c=444444", "offset 128")</f>
        <v>offset 128</v>
      </c>
    </row>
    <row r="19743" customFormat="false" ht="12.8" hidden="false" customHeight="false" outlineLevel="0" collapsed="false">
      <c r="A19743" s="0" t="s">
        <v>65373</v>
      </c>
      <c r="B19743" s="0" t="n">
        <v>15012</v>
      </c>
      <c r="C19743" s="0" t="n">
        <v>15032</v>
      </c>
      <c r="D19743" s="0" t="s">
        <v>65574</v>
      </c>
      <c r="E19743" s="0" t="s">
        <v>75</v>
      </c>
      <c r="F19743" s="0" t="s">
        <v>15</v>
      </c>
      <c r="G19743" s="0" t="s">
        <v>32</v>
      </c>
      <c r="H19743" s="0" t="n">
        <v>15</v>
      </c>
      <c r="I19743" s="0" t="s">
        <v>65575</v>
      </c>
      <c r="J19743" s="0" t="s">
        <v>65576</v>
      </c>
      <c r="K19743" s="0" t="s">
        <v>65577</v>
      </c>
      <c r="L19743" s="0" t="str">
        <f aca="false">HYPERLINK("https://www.ncbi.nlm.nih.gov/nuccore/CP000060.1?report=graph&amp;tracks=[key:gene_model_track,Options:GeneOnly]&amp;mk=15013:15032|offset_15|00cc00,15081:15100|offset_83|444444,15138:15157|offset_140|444444,15158:15177|offset_160|444444&amp;v=14812:15377&amp;c=444444", "offset 15")</f>
        <v>offset 15</v>
      </c>
    </row>
    <row r="19744" customFormat="false" ht="12.8" hidden="false" customHeight="false" outlineLevel="0" collapsed="false">
      <c r="A19744" s="0" t="s">
        <v>65373</v>
      </c>
      <c r="B19744" s="0" t="n">
        <v>15080</v>
      </c>
      <c r="C19744" s="0" t="n">
        <v>15100</v>
      </c>
      <c r="D19744" s="0" t="s">
        <v>65574</v>
      </c>
      <c r="E19744" s="0" t="s">
        <v>75</v>
      </c>
      <c r="F19744" s="0" t="s">
        <v>15</v>
      </c>
      <c r="G19744" s="0" t="s">
        <v>36</v>
      </c>
      <c r="H19744" s="0" t="n">
        <v>83</v>
      </c>
      <c r="I19744" s="0" t="s">
        <v>65578</v>
      </c>
      <c r="J19744" s="0" t="s">
        <v>65579</v>
      </c>
      <c r="K19744" s="0" t="s">
        <v>65580</v>
      </c>
      <c r="L19744" s="0" t="str">
        <f aca="false">HYPERLINK("https://www.ncbi.nlm.nih.gov/nuccore/CP000060.1?report=graph&amp;tracks=[key:gene_model_track,Options:GeneOnly]&amp;mk=15013:15032|offset_15|444444,15081:15100|offset_83|00cc00,15138:15157|offset_140|444444,15158:15177|offset_160|444444&amp;v=14812:15377&amp;c=444444", "offset 83")</f>
        <v>offset 83</v>
      </c>
    </row>
    <row r="19745" customFormat="false" ht="12.8" hidden="false" customHeight="false" outlineLevel="0" collapsed="false">
      <c r="A19745" s="0" t="s">
        <v>65373</v>
      </c>
      <c r="B19745" s="0" t="n">
        <v>15137</v>
      </c>
      <c r="C19745" s="0" t="n">
        <v>15157</v>
      </c>
      <c r="D19745" s="0" t="s">
        <v>65574</v>
      </c>
      <c r="E19745" s="0" t="s">
        <v>75</v>
      </c>
      <c r="F19745" s="0" t="s">
        <v>15</v>
      </c>
      <c r="G19745" s="0" t="s">
        <v>16</v>
      </c>
      <c r="H19745" s="0" t="n">
        <v>140</v>
      </c>
      <c r="I19745" s="0" t="s">
        <v>65581</v>
      </c>
      <c r="J19745" s="0" t="s">
        <v>65582</v>
      </c>
      <c r="K19745" s="0" t="s">
        <v>65583</v>
      </c>
      <c r="L19745" s="0" t="str">
        <f aca="false">HYPERLINK("https://www.ncbi.nlm.nih.gov/nuccore/CP000060.1?report=graph&amp;tracks=[key:gene_model_track,Options:GeneOnly]&amp;mk=15013:15032|offset_15|444444,15081:15100|offset_83|444444,15138:15157|offset_140|00cc00,15158:15177|offset_160|444444&amp;v=14812:15377&amp;c=444444", "offset 140")</f>
        <v>offset 140</v>
      </c>
    </row>
    <row r="19746" customFormat="false" ht="12.8" hidden="false" customHeight="false" outlineLevel="0" collapsed="false">
      <c r="A19746" s="0" t="s">
        <v>65373</v>
      </c>
      <c r="B19746" s="0" t="n">
        <v>15157</v>
      </c>
      <c r="C19746" s="0" t="n">
        <v>15177</v>
      </c>
      <c r="D19746" s="0" t="s">
        <v>65574</v>
      </c>
      <c r="E19746" s="0" t="s">
        <v>75</v>
      </c>
      <c r="F19746" s="0" t="s">
        <v>15</v>
      </c>
      <c r="G19746" s="0" t="s">
        <v>32</v>
      </c>
      <c r="H19746" s="0" t="n">
        <v>160</v>
      </c>
      <c r="I19746" s="0" t="s">
        <v>65584</v>
      </c>
      <c r="J19746" s="0" t="s">
        <v>65585</v>
      </c>
      <c r="K19746" s="0" t="s">
        <v>65586</v>
      </c>
      <c r="L19746" s="0" t="str">
        <f aca="false">HYPERLINK("https://www.ncbi.nlm.nih.gov/nuccore/CP000060.1?report=graph&amp;tracks=[key:gene_model_track,Options:GeneOnly]&amp;mk=15013:15032|offset_15|444444,15081:15100|offset_83|444444,15138:15157|offset_140|444444,15158:15177|offset_160|00cc00&amp;v=14812:15377&amp;c=444444", "offset 160")</f>
        <v>offset 160</v>
      </c>
    </row>
    <row r="19747" customFormat="false" ht="12.8" hidden="false" customHeight="false" outlineLevel="0" collapsed="false">
      <c r="A19747" s="0" t="s">
        <v>65373</v>
      </c>
      <c r="B19747" s="0" t="n">
        <v>15823</v>
      </c>
      <c r="C19747" s="0" t="n">
        <v>15843</v>
      </c>
      <c r="D19747" s="0" t="s">
        <v>65587</v>
      </c>
      <c r="E19747" s="0" t="s">
        <v>75</v>
      </c>
      <c r="F19747" s="0" t="s">
        <v>15</v>
      </c>
      <c r="G19747" s="0" t="s">
        <v>32</v>
      </c>
      <c r="H19747" s="0" t="n">
        <v>49</v>
      </c>
      <c r="I19747" s="0" t="s">
        <v>65588</v>
      </c>
      <c r="J19747" s="0" t="s">
        <v>65589</v>
      </c>
      <c r="K19747" s="0" t="s">
        <v>65590</v>
      </c>
      <c r="L19747" s="0" t="str">
        <f aca="false">HYPERLINK("https://www.ncbi.nlm.nih.gov/nuccore/CP000060.1?report=graph&amp;tracks=[key:gene_model_track,Options:GeneOnly]&amp;mk=15824:15843|offset_49|00cc00,15853:15872|offset_78|444444,15887:15906|offset_112|444444,15912:15931|offset_137|444444&amp;v=15623:16131&amp;c=444444", "offset 49")</f>
        <v>offset 49</v>
      </c>
    </row>
    <row r="19748" customFormat="false" ht="12.8" hidden="false" customHeight="false" outlineLevel="0" collapsed="false">
      <c r="A19748" s="0" t="s">
        <v>65373</v>
      </c>
      <c r="B19748" s="0" t="n">
        <v>15852</v>
      </c>
      <c r="C19748" s="0" t="n">
        <v>15872</v>
      </c>
      <c r="D19748" s="0" t="s">
        <v>65587</v>
      </c>
      <c r="E19748" s="0" t="s">
        <v>75</v>
      </c>
      <c r="F19748" s="0" t="s">
        <v>15</v>
      </c>
      <c r="G19748" s="0" t="s">
        <v>32</v>
      </c>
      <c r="H19748" s="0" t="n">
        <v>78</v>
      </c>
      <c r="I19748" s="0" t="s">
        <v>65591</v>
      </c>
      <c r="J19748" s="0" t="s">
        <v>65592</v>
      </c>
      <c r="K19748" s="0" t="s">
        <v>65593</v>
      </c>
      <c r="L19748" s="0" t="str">
        <f aca="false">HYPERLINK("https://www.ncbi.nlm.nih.gov/nuccore/CP000060.1?report=graph&amp;tracks=[key:gene_model_track,Options:GeneOnly]&amp;mk=15824:15843|offset_49|444444,15853:15872|offset_78|00cc00,15887:15906|offset_112|444444,15912:15931|offset_137|444444&amp;v=15623:16131&amp;c=444444", "offset 78")</f>
        <v>offset 78</v>
      </c>
    </row>
    <row r="19749" customFormat="false" ht="12.8" hidden="false" customHeight="false" outlineLevel="0" collapsed="false">
      <c r="A19749" s="0" t="s">
        <v>65373</v>
      </c>
      <c r="B19749" s="0" t="n">
        <v>15886</v>
      </c>
      <c r="C19749" s="0" t="n">
        <v>15906</v>
      </c>
      <c r="D19749" s="0" t="s">
        <v>65587</v>
      </c>
      <c r="E19749" s="0" t="s">
        <v>75</v>
      </c>
      <c r="F19749" s="0" t="s">
        <v>15</v>
      </c>
      <c r="G19749" s="0" t="s">
        <v>16</v>
      </c>
      <c r="H19749" s="0" t="n">
        <v>112</v>
      </c>
      <c r="I19749" s="0" t="s">
        <v>65594</v>
      </c>
      <c r="J19749" s="0" t="s">
        <v>65595</v>
      </c>
      <c r="K19749" s="0" t="s">
        <v>65596</v>
      </c>
      <c r="L19749" s="0" t="str">
        <f aca="false">HYPERLINK("https://www.ncbi.nlm.nih.gov/nuccore/CP000060.1?report=graph&amp;tracks=[key:gene_model_track,Options:GeneOnly]&amp;mk=15824:15843|offset_49|444444,15853:15872|offset_78|444444,15887:15906|offset_112|00cc00,15912:15931|offset_137|444444&amp;v=15623:16131&amp;c=444444", "offset 112")</f>
        <v>offset 112</v>
      </c>
    </row>
    <row r="19750" customFormat="false" ht="12.8" hidden="false" customHeight="false" outlineLevel="0" collapsed="false">
      <c r="A19750" s="0" t="s">
        <v>65373</v>
      </c>
      <c r="B19750" s="0" t="n">
        <v>15911</v>
      </c>
      <c r="C19750" s="0" t="n">
        <v>15931</v>
      </c>
      <c r="D19750" s="0" t="s">
        <v>65587</v>
      </c>
      <c r="E19750" s="0" t="s">
        <v>75</v>
      </c>
      <c r="F19750" s="0" t="s">
        <v>15</v>
      </c>
      <c r="G19750" s="0" t="s">
        <v>32</v>
      </c>
      <c r="H19750" s="0" t="n">
        <v>137</v>
      </c>
      <c r="I19750" s="0" t="s">
        <v>65597</v>
      </c>
      <c r="J19750" s="0" t="s">
        <v>65598</v>
      </c>
      <c r="K19750" s="0" t="s">
        <v>65599</v>
      </c>
      <c r="L19750" s="0" t="str">
        <f aca="false">HYPERLINK("https://www.ncbi.nlm.nih.gov/nuccore/CP000060.1?report=graph&amp;tracks=[key:gene_model_track,Options:GeneOnly]&amp;mk=15824:15843|offset_49|444444,15853:15872|offset_78|444444,15887:15906|offset_112|444444,15912:15931|offset_137|00cc00&amp;v=15623:16131&amp;c=444444", "offset 137")</f>
        <v>offset 137</v>
      </c>
    </row>
    <row r="19751" customFormat="false" ht="12.8" hidden="false" customHeight="false" outlineLevel="0" collapsed="false">
      <c r="A19751" s="0" t="s">
        <v>65373</v>
      </c>
      <c r="B19751" s="0" t="n">
        <v>17013</v>
      </c>
      <c r="C19751" s="0" t="n">
        <v>17033</v>
      </c>
      <c r="D19751" s="0" t="s">
        <v>65600</v>
      </c>
      <c r="E19751" s="0" t="s">
        <v>75</v>
      </c>
      <c r="F19751" s="0" t="s">
        <v>15</v>
      </c>
      <c r="G19751" s="0" t="s">
        <v>32</v>
      </c>
      <c r="H19751" s="0" t="n">
        <v>13</v>
      </c>
      <c r="I19751" s="0" t="s">
        <v>65601</v>
      </c>
      <c r="J19751" s="0" t="s">
        <v>65602</v>
      </c>
      <c r="K19751" s="0" t="s">
        <v>65603</v>
      </c>
      <c r="L19751" s="0" t="str">
        <f aca="false">HYPERLINK("https://www.ncbi.nlm.nih.gov/nuccore/CP000060.1?report=graph&amp;tracks=[key:gene_model_track,Options:GeneOnly]&amp;mk=17014:17033|offset_13|00cc00,17040:17059|offset_39|444444,17152:17171|offset_151|444444,17181:17200|offset_180|444444&amp;v=16813:17400&amp;c=444444", "offset 13")</f>
        <v>offset 13</v>
      </c>
    </row>
    <row r="19752" customFormat="false" ht="12.8" hidden="false" customHeight="false" outlineLevel="0" collapsed="false">
      <c r="A19752" s="0" t="s">
        <v>65373</v>
      </c>
      <c r="B19752" s="0" t="n">
        <v>17039</v>
      </c>
      <c r="C19752" s="0" t="n">
        <v>17059</v>
      </c>
      <c r="D19752" s="0" t="s">
        <v>65600</v>
      </c>
      <c r="E19752" s="0" t="s">
        <v>75</v>
      </c>
      <c r="F19752" s="0" t="s">
        <v>15</v>
      </c>
      <c r="G19752" s="0" t="s">
        <v>32</v>
      </c>
      <c r="H19752" s="0" t="n">
        <v>39</v>
      </c>
      <c r="I19752" s="0" t="s">
        <v>65604</v>
      </c>
      <c r="J19752" s="0" t="s">
        <v>65605</v>
      </c>
      <c r="K19752" s="0" t="s">
        <v>65606</v>
      </c>
      <c r="L19752" s="0" t="str">
        <f aca="false">HYPERLINK("https://www.ncbi.nlm.nih.gov/nuccore/CP000060.1?report=graph&amp;tracks=[key:gene_model_track,Options:GeneOnly]&amp;mk=17014:17033|offset_13|444444,17040:17059|offset_39|00cc00,17152:17171|offset_151|444444,17181:17200|offset_180|444444&amp;v=16813:17400&amp;c=444444", "offset 39")</f>
        <v>offset 39</v>
      </c>
    </row>
    <row r="19753" customFormat="false" ht="12.8" hidden="false" customHeight="false" outlineLevel="0" collapsed="false">
      <c r="A19753" s="0" t="s">
        <v>65373</v>
      </c>
      <c r="B19753" s="0" t="n">
        <v>17151</v>
      </c>
      <c r="C19753" s="0" t="n">
        <v>17171</v>
      </c>
      <c r="D19753" s="0" t="s">
        <v>65600</v>
      </c>
      <c r="E19753" s="0" t="s">
        <v>75</v>
      </c>
      <c r="F19753" s="0" t="s">
        <v>15</v>
      </c>
      <c r="G19753" s="0" t="s">
        <v>32</v>
      </c>
      <c r="H19753" s="0" t="n">
        <v>151</v>
      </c>
      <c r="I19753" s="0" t="s">
        <v>65607</v>
      </c>
      <c r="J19753" s="0" t="s">
        <v>65608</v>
      </c>
      <c r="K19753" s="0" t="s">
        <v>65609</v>
      </c>
      <c r="L19753" s="0" t="str">
        <f aca="false">HYPERLINK("https://www.ncbi.nlm.nih.gov/nuccore/CP000060.1?report=graph&amp;tracks=[key:gene_model_track,Options:GeneOnly]&amp;mk=17014:17033|offset_13|444444,17040:17059|offset_39|444444,17152:17171|offset_151|00cc00,17181:17200|offset_180|444444&amp;v=16813:17400&amp;c=444444", "offset 151")</f>
        <v>offset 151</v>
      </c>
    </row>
    <row r="19754" customFormat="false" ht="12.8" hidden="false" customHeight="false" outlineLevel="0" collapsed="false">
      <c r="A19754" s="0" t="s">
        <v>65373</v>
      </c>
      <c r="B19754" s="0" t="n">
        <v>17180</v>
      </c>
      <c r="C19754" s="0" t="n">
        <v>17200</v>
      </c>
      <c r="D19754" s="0" t="s">
        <v>65600</v>
      </c>
      <c r="E19754" s="0" t="s">
        <v>75</v>
      </c>
      <c r="F19754" s="0" t="s">
        <v>15</v>
      </c>
      <c r="G19754" s="0" t="s">
        <v>20</v>
      </c>
      <c r="H19754" s="0" t="n">
        <v>180</v>
      </c>
      <c r="I19754" s="0" t="s">
        <v>65610</v>
      </c>
      <c r="J19754" s="0" t="s">
        <v>65611</v>
      </c>
      <c r="K19754" s="0" t="s">
        <v>65612</v>
      </c>
      <c r="L19754" s="0" t="str">
        <f aca="false">HYPERLINK("https://www.ncbi.nlm.nih.gov/nuccore/CP000060.1?report=graph&amp;tracks=[key:gene_model_track,Options:GeneOnly]&amp;mk=17014:17033|offset_13|444444,17040:17059|offset_39|444444,17152:17171|offset_151|444444,17181:17200|offset_180|00cc00&amp;v=16813:17400&amp;c=444444", "offset 180")</f>
        <v>offset 180</v>
      </c>
    </row>
    <row r="19755" customFormat="false" ht="12.8" hidden="false" customHeight="false" outlineLevel="0" collapsed="false">
      <c r="A19755" s="0" t="s">
        <v>65373</v>
      </c>
      <c r="B19755" s="0" t="n">
        <v>18403</v>
      </c>
      <c r="C19755" s="0" t="n">
        <v>18423</v>
      </c>
      <c r="D19755" s="0" t="s">
        <v>65613</v>
      </c>
      <c r="E19755" s="0" t="s">
        <v>75</v>
      </c>
      <c r="F19755" s="0" t="s">
        <v>15</v>
      </c>
      <c r="G19755" s="0" t="s">
        <v>16</v>
      </c>
      <c r="H19755" s="0" t="n">
        <v>0</v>
      </c>
      <c r="I19755" s="0" t="s">
        <v>65614</v>
      </c>
      <c r="J19755" s="0" t="s">
        <v>65615</v>
      </c>
      <c r="K19755" s="0" t="s">
        <v>65616</v>
      </c>
      <c r="L19755" s="0" t="str">
        <f aca="false">HYPERLINK("https://www.ncbi.nlm.nih.gov/nuccore/CP000060.1?report=graph&amp;tracks=[key:gene_model_track,Options:GeneOnly]&amp;mk=18404:18423|offset_0|00cc00,18478:18497|offset_74|444444,18521:18540|offset_117|444444,18553:18572|offset_149|444444&amp;v=18203:18772&amp;c=444444", "offset 0")</f>
        <v>offset 0</v>
      </c>
    </row>
    <row r="19756" customFormat="false" ht="12.8" hidden="false" customHeight="false" outlineLevel="0" collapsed="false">
      <c r="A19756" s="0" t="s">
        <v>65373</v>
      </c>
      <c r="B19756" s="0" t="n">
        <v>18477</v>
      </c>
      <c r="C19756" s="0" t="n">
        <v>18497</v>
      </c>
      <c r="D19756" s="0" t="s">
        <v>65613</v>
      </c>
      <c r="E19756" s="0" t="s">
        <v>75</v>
      </c>
      <c r="F19756" s="0" t="s">
        <v>15</v>
      </c>
      <c r="G19756" s="0" t="s">
        <v>20</v>
      </c>
      <c r="H19756" s="0" t="n">
        <v>74</v>
      </c>
      <c r="I19756" s="0" t="s">
        <v>65617</v>
      </c>
      <c r="J19756" s="0" t="s">
        <v>65618</v>
      </c>
      <c r="K19756" s="0" t="s">
        <v>65619</v>
      </c>
      <c r="L19756" s="0" t="str">
        <f aca="false">HYPERLINK("https://www.ncbi.nlm.nih.gov/nuccore/CP000060.1?report=graph&amp;tracks=[key:gene_model_track,Options:GeneOnly]&amp;mk=18404:18423|offset_0|444444,18478:18497|offset_74|00cc00,18521:18540|offset_117|444444,18553:18572|offset_149|444444&amp;v=18203:18772&amp;c=444444", "offset 74")</f>
        <v>offset 74</v>
      </c>
    </row>
    <row r="19757" customFormat="false" ht="12.8" hidden="false" customHeight="false" outlineLevel="0" collapsed="false">
      <c r="A19757" s="0" t="s">
        <v>65373</v>
      </c>
      <c r="B19757" s="0" t="n">
        <v>18520</v>
      </c>
      <c r="C19757" s="0" t="n">
        <v>18540</v>
      </c>
      <c r="D19757" s="0" t="s">
        <v>65613</v>
      </c>
      <c r="E19757" s="0" t="s">
        <v>75</v>
      </c>
      <c r="F19757" s="0" t="s">
        <v>15</v>
      </c>
      <c r="G19757" s="0" t="s">
        <v>16</v>
      </c>
      <c r="H19757" s="0" t="n">
        <v>117</v>
      </c>
      <c r="I19757" s="0" t="s">
        <v>65620</v>
      </c>
      <c r="J19757" s="0" t="s">
        <v>65621</v>
      </c>
      <c r="K19757" s="0" t="s">
        <v>65622</v>
      </c>
      <c r="L19757" s="0" t="str">
        <f aca="false">HYPERLINK("https://www.ncbi.nlm.nih.gov/nuccore/CP000060.1?report=graph&amp;tracks=[key:gene_model_track,Options:GeneOnly]&amp;mk=18404:18423|offset_0|444444,18478:18497|offset_74|444444,18521:18540|offset_117|00cc00,18553:18572|offset_149|444444&amp;v=18203:18772&amp;c=444444", "offset 117")</f>
        <v>offset 117</v>
      </c>
    </row>
    <row r="19758" customFormat="false" ht="12.8" hidden="false" customHeight="false" outlineLevel="0" collapsed="false">
      <c r="A19758" s="0" t="s">
        <v>65373</v>
      </c>
      <c r="B19758" s="0" t="n">
        <v>18552</v>
      </c>
      <c r="C19758" s="0" t="n">
        <v>18572</v>
      </c>
      <c r="D19758" s="0" t="s">
        <v>65613</v>
      </c>
      <c r="E19758" s="0" t="s">
        <v>75</v>
      </c>
      <c r="F19758" s="0" t="s">
        <v>15</v>
      </c>
      <c r="G19758" s="0" t="s">
        <v>32</v>
      </c>
      <c r="H19758" s="0" t="n">
        <v>149</v>
      </c>
      <c r="I19758" s="0" t="s">
        <v>65623</v>
      </c>
      <c r="J19758" s="0" t="s">
        <v>65624</v>
      </c>
      <c r="K19758" s="0" t="s">
        <v>65625</v>
      </c>
      <c r="L19758" s="0" t="str">
        <f aca="false">HYPERLINK("https://www.ncbi.nlm.nih.gov/nuccore/CP000060.1?report=graph&amp;tracks=[key:gene_model_track,Options:GeneOnly]&amp;mk=18404:18423|offset_0|444444,18478:18497|offset_74|444444,18521:18540|offset_117|444444,18553:18572|offset_149|00cc00&amp;v=18203:18772&amp;c=444444", "offset 149")</f>
        <v>offset 149</v>
      </c>
    </row>
    <row r="19759" customFormat="false" ht="12.8" hidden="false" customHeight="false" outlineLevel="0" collapsed="false">
      <c r="A19759" s="0" t="s">
        <v>65373</v>
      </c>
      <c r="B19759" s="0" t="n">
        <v>18883</v>
      </c>
      <c r="C19759" s="0" t="n">
        <v>18903</v>
      </c>
      <c r="D19759" s="0" t="s">
        <v>65626</v>
      </c>
      <c r="E19759" s="0" t="s">
        <v>65627</v>
      </c>
      <c r="F19759" s="0" t="s">
        <v>90</v>
      </c>
      <c r="G19759" s="0" t="s">
        <v>32</v>
      </c>
      <c r="H19759" s="0" t="n">
        <v>68</v>
      </c>
      <c r="I19759" s="0" t="s">
        <v>65628</v>
      </c>
      <c r="J19759" s="0" t="s">
        <v>65629</v>
      </c>
      <c r="K19759" s="0" t="s">
        <v>65630</v>
      </c>
      <c r="L19759" s="0" t="str">
        <f aca="false">HYPERLINK("https://www.ncbi.nlm.nih.gov/nuccore/CP000060.1?report=graph&amp;tracks=[key:gene_model_track,Options:GeneOnly]&amp;mk=18884:18903|offset_68|00cc00,18847:18866|offset_105|444444,18815:18834|offset_137|444444,18763:18782|offset_189|444444&amp;v=18683:18982&amp;c=444444", "offset 68")</f>
        <v>offset 68</v>
      </c>
    </row>
    <row r="19760" customFormat="false" ht="12.8" hidden="false" customHeight="false" outlineLevel="0" collapsed="false">
      <c r="A19760" s="0" t="s">
        <v>65373</v>
      </c>
      <c r="B19760" s="0" t="n">
        <v>18846</v>
      </c>
      <c r="C19760" s="0" t="n">
        <v>18866</v>
      </c>
      <c r="D19760" s="0" t="s">
        <v>65626</v>
      </c>
      <c r="E19760" s="0" t="s">
        <v>65627</v>
      </c>
      <c r="F19760" s="0" t="s">
        <v>90</v>
      </c>
      <c r="G19760" s="0" t="s">
        <v>32</v>
      </c>
      <c r="H19760" s="0" t="n">
        <v>105</v>
      </c>
      <c r="I19760" s="0" t="s">
        <v>65631</v>
      </c>
      <c r="J19760" s="0" t="s">
        <v>65632</v>
      </c>
      <c r="K19760" s="0" t="s">
        <v>65633</v>
      </c>
      <c r="L19760" s="0" t="str">
        <f aca="false">HYPERLINK("https://www.ncbi.nlm.nih.gov/nuccore/CP000060.1?report=graph&amp;tracks=[key:gene_model_track,Options:GeneOnly]&amp;mk=18884:18903|offset_68|444444,18847:18866|offset_105|00cc00,18815:18834|offset_137|444444,18763:18782|offset_189|444444&amp;v=18683:18982&amp;c=444444", "offset 105")</f>
        <v>offset 105</v>
      </c>
    </row>
    <row r="19761" customFormat="false" ht="12.8" hidden="false" customHeight="false" outlineLevel="0" collapsed="false">
      <c r="A19761" s="0" t="s">
        <v>65373</v>
      </c>
      <c r="B19761" s="0" t="n">
        <v>18814</v>
      </c>
      <c r="C19761" s="0" t="n">
        <v>18834</v>
      </c>
      <c r="D19761" s="0" t="s">
        <v>65626</v>
      </c>
      <c r="E19761" s="0" t="s">
        <v>65627</v>
      </c>
      <c r="F19761" s="0" t="s">
        <v>90</v>
      </c>
      <c r="G19761" s="0" t="s">
        <v>20</v>
      </c>
      <c r="H19761" s="0" t="n">
        <v>137</v>
      </c>
      <c r="I19761" s="0" t="s">
        <v>65634</v>
      </c>
      <c r="J19761" s="0" t="s">
        <v>65635</v>
      </c>
      <c r="K19761" s="0" t="s">
        <v>65636</v>
      </c>
      <c r="L19761" s="0" t="str">
        <f aca="false">HYPERLINK("https://www.ncbi.nlm.nih.gov/nuccore/CP000060.1?report=graph&amp;tracks=[key:gene_model_track,Options:GeneOnly]&amp;mk=18884:18903|offset_68|444444,18847:18866|offset_105|444444,18815:18834|offset_137|00cc00,18763:18782|offset_189|444444&amp;v=18683:18982&amp;c=444444", "offset 137")</f>
        <v>offset 137</v>
      </c>
    </row>
    <row r="19762" customFormat="false" ht="12.8" hidden="false" customHeight="false" outlineLevel="0" collapsed="false">
      <c r="A19762" s="0" t="s">
        <v>65373</v>
      </c>
      <c r="B19762" s="0" t="n">
        <v>18762</v>
      </c>
      <c r="C19762" s="0" t="n">
        <v>18782</v>
      </c>
      <c r="D19762" s="0" t="s">
        <v>65626</v>
      </c>
      <c r="E19762" s="0" t="s">
        <v>65627</v>
      </c>
      <c r="F19762" s="0" t="s">
        <v>90</v>
      </c>
      <c r="G19762" s="0" t="s">
        <v>20</v>
      </c>
      <c r="H19762" s="0" t="n">
        <v>189</v>
      </c>
      <c r="I19762" s="0" t="s">
        <v>65637</v>
      </c>
      <c r="J19762" s="0" t="s">
        <v>65638</v>
      </c>
      <c r="K19762" s="0" t="s">
        <v>65639</v>
      </c>
      <c r="L19762" s="0" t="str">
        <f aca="false">HYPERLINK("https://www.ncbi.nlm.nih.gov/nuccore/CP000060.1?report=graph&amp;tracks=[key:gene_model_track,Options:GeneOnly]&amp;mk=18884:18903|offset_68|444444,18847:18866|offset_105|444444,18815:18834|offset_137|444444,18763:18782|offset_189|00cc00&amp;v=18683:18982&amp;c=444444", "offset 189")</f>
        <v>offset 189</v>
      </c>
    </row>
    <row r="19763" customFormat="false" ht="12.8" hidden="false" customHeight="false" outlineLevel="0" collapsed="false">
      <c r="A19763" s="0" t="s">
        <v>65373</v>
      </c>
      <c r="B19763" s="0" t="n">
        <v>19031</v>
      </c>
      <c r="C19763" s="0" t="n">
        <v>19051</v>
      </c>
      <c r="D19763" s="0" t="s">
        <v>65640</v>
      </c>
      <c r="E19763" s="0" t="s">
        <v>75</v>
      </c>
      <c r="F19763" s="0" t="s">
        <v>15</v>
      </c>
      <c r="G19763" s="0" t="s">
        <v>32</v>
      </c>
      <c r="H19763" s="0" t="n">
        <v>33</v>
      </c>
      <c r="I19763" s="0" t="s">
        <v>65641</v>
      </c>
      <c r="J19763" s="0" t="s">
        <v>65642</v>
      </c>
      <c r="K19763" s="0" t="s">
        <v>65643</v>
      </c>
      <c r="L19763" s="0" t="str">
        <f aca="false">HYPERLINK("https://www.ncbi.nlm.nih.gov/nuccore/CP000060.1?report=graph&amp;tracks=[key:gene_model_track,Options:GeneOnly]&amp;mk=19032:19051|offset_33|00cc00,19067:19086|offset_68|444444,19096:19115|offset_97|444444,19119:19138|offset_120|444444&amp;v=18831:19338&amp;c=444444", "offset 33")</f>
        <v>offset 33</v>
      </c>
    </row>
    <row r="19764" customFormat="false" ht="12.8" hidden="false" customHeight="false" outlineLevel="0" collapsed="false">
      <c r="A19764" s="0" t="s">
        <v>65373</v>
      </c>
      <c r="B19764" s="0" t="n">
        <v>19066</v>
      </c>
      <c r="C19764" s="0" t="n">
        <v>19086</v>
      </c>
      <c r="D19764" s="0" t="s">
        <v>65640</v>
      </c>
      <c r="E19764" s="0" t="s">
        <v>75</v>
      </c>
      <c r="F19764" s="0" t="s">
        <v>15</v>
      </c>
      <c r="G19764" s="0" t="s">
        <v>16</v>
      </c>
      <c r="H19764" s="0" t="n">
        <v>68</v>
      </c>
      <c r="I19764" s="0" t="s">
        <v>65644</v>
      </c>
      <c r="J19764" s="0" t="s">
        <v>65645</v>
      </c>
      <c r="K19764" s="0" t="s">
        <v>65646</v>
      </c>
      <c r="L19764" s="0" t="str">
        <f aca="false">HYPERLINK("https://www.ncbi.nlm.nih.gov/nuccore/CP000060.1?report=graph&amp;tracks=[key:gene_model_track,Options:GeneOnly]&amp;mk=19032:19051|offset_33|444444,19067:19086|offset_68|00cc00,19096:19115|offset_97|444444,19119:19138|offset_120|444444&amp;v=18831:19338&amp;c=444444", "offset 68")</f>
        <v>offset 68</v>
      </c>
    </row>
    <row r="19765" customFormat="false" ht="12.8" hidden="false" customHeight="false" outlineLevel="0" collapsed="false">
      <c r="A19765" s="0" t="s">
        <v>65373</v>
      </c>
      <c r="B19765" s="0" t="n">
        <v>19095</v>
      </c>
      <c r="C19765" s="0" t="n">
        <v>19115</v>
      </c>
      <c r="D19765" s="0" t="s">
        <v>65640</v>
      </c>
      <c r="E19765" s="0" t="s">
        <v>75</v>
      </c>
      <c r="F19765" s="0" t="s">
        <v>15</v>
      </c>
      <c r="G19765" s="0" t="s">
        <v>32</v>
      </c>
      <c r="H19765" s="0" t="n">
        <v>97</v>
      </c>
      <c r="I19765" s="0" t="s">
        <v>65647</v>
      </c>
      <c r="J19765" s="0" t="s">
        <v>65648</v>
      </c>
      <c r="K19765" s="0" t="s">
        <v>65649</v>
      </c>
      <c r="L19765" s="0" t="str">
        <f aca="false">HYPERLINK("https://www.ncbi.nlm.nih.gov/nuccore/CP000060.1?report=graph&amp;tracks=[key:gene_model_track,Options:GeneOnly]&amp;mk=19032:19051|offset_33|444444,19067:19086|offset_68|444444,19096:19115|offset_97|00cc00,19119:19138|offset_120|444444&amp;v=18831:19338&amp;c=444444", "offset 97")</f>
        <v>offset 97</v>
      </c>
    </row>
    <row r="19766" customFormat="false" ht="12.8" hidden="false" customHeight="false" outlineLevel="0" collapsed="false">
      <c r="A19766" s="0" t="s">
        <v>65373</v>
      </c>
      <c r="B19766" s="0" t="n">
        <v>19118</v>
      </c>
      <c r="C19766" s="0" t="n">
        <v>19138</v>
      </c>
      <c r="D19766" s="0" t="s">
        <v>65640</v>
      </c>
      <c r="E19766" s="0" t="s">
        <v>75</v>
      </c>
      <c r="F19766" s="0" t="s">
        <v>15</v>
      </c>
      <c r="G19766" s="0" t="s">
        <v>36</v>
      </c>
      <c r="H19766" s="0" t="n">
        <v>120</v>
      </c>
      <c r="I19766" s="0" t="s">
        <v>65650</v>
      </c>
      <c r="J19766" s="0" t="s">
        <v>65651</v>
      </c>
      <c r="K19766" s="0" t="s">
        <v>65652</v>
      </c>
      <c r="L19766" s="0" t="str">
        <f aca="false">HYPERLINK("https://www.ncbi.nlm.nih.gov/nuccore/CP000060.1?report=graph&amp;tracks=[key:gene_model_track,Options:GeneOnly]&amp;mk=19032:19051|offset_33|444444,19067:19086|offset_68|444444,19096:19115|offset_97|444444,19119:19138|offset_120|00cc00&amp;v=18831:19338&amp;c=444444", "offset 120")</f>
        <v>offset 120</v>
      </c>
    </row>
    <row r="19767" customFormat="false" ht="12.8" hidden="false" customHeight="false" outlineLevel="0" collapsed="false">
      <c r="A19767" s="0" t="s">
        <v>65373</v>
      </c>
      <c r="B19767" s="0" t="n">
        <v>19757</v>
      </c>
      <c r="C19767" s="0" t="n">
        <v>19777</v>
      </c>
      <c r="D19767" s="0" t="s">
        <v>65653</v>
      </c>
      <c r="E19767" s="0" t="s">
        <v>75</v>
      </c>
      <c r="F19767" s="0" t="s">
        <v>15</v>
      </c>
      <c r="G19767" s="0" t="s">
        <v>20</v>
      </c>
      <c r="H19767" s="0" t="n">
        <v>20</v>
      </c>
      <c r="I19767" s="0" t="s">
        <v>65654</v>
      </c>
      <c r="J19767" s="0" t="s">
        <v>65655</v>
      </c>
      <c r="K19767" s="0" t="s">
        <v>65656</v>
      </c>
      <c r="L19767" s="0" t="str">
        <f aca="false">HYPERLINK("https://www.ncbi.nlm.nih.gov/nuccore/CP000060.1?report=graph&amp;tracks=[key:gene_model_track,Options:GeneOnly]&amp;mk=19758:19777|offset_20|00cc00,19783:19802|offset_45|444444,19825:19844|offset_87|444444,19850:19869|offset_112|444444&amp;v=19557:20069&amp;c=444444", "offset 20")</f>
        <v>offset 20</v>
      </c>
    </row>
    <row r="19768" customFormat="false" ht="12.8" hidden="false" customHeight="false" outlineLevel="0" collapsed="false">
      <c r="A19768" s="0" t="s">
        <v>65373</v>
      </c>
      <c r="B19768" s="0" t="n">
        <v>19782</v>
      </c>
      <c r="C19768" s="0" t="n">
        <v>19802</v>
      </c>
      <c r="D19768" s="0" t="s">
        <v>65653</v>
      </c>
      <c r="E19768" s="0" t="s">
        <v>75</v>
      </c>
      <c r="F19768" s="0" t="s">
        <v>15</v>
      </c>
      <c r="G19768" s="0" t="s">
        <v>16</v>
      </c>
      <c r="H19768" s="0" t="n">
        <v>45</v>
      </c>
      <c r="I19768" s="0" t="s">
        <v>65657</v>
      </c>
      <c r="J19768" s="0" t="s">
        <v>65658</v>
      </c>
      <c r="K19768" s="0" t="s">
        <v>65659</v>
      </c>
      <c r="L19768" s="0" t="str">
        <f aca="false">HYPERLINK("https://www.ncbi.nlm.nih.gov/nuccore/CP000060.1?report=graph&amp;tracks=[key:gene_model_track,Options:GeneOnly]&amp;mk=19758:19777|offset_20|444444,19783:19802|offset_45|00cc00,19825:19844|offset_87|444444,19850:19869|offset_112|444444&amp;v=19557:20069&amp;c=444444", "offset 45")</f>
        <v>offset 45</v>
      </c>
    </row>
    <row r="19769" customFormat="false" ht="12.8" hidden="false" customHeight="false" outlineLevel="0" collapsed="false">
      <c r="A19769" s="0" t="s">
        <v>65373</v>
      </c>
      <c r="B19769" s="0" t="n">
        <v>19824</v>
      </c>
      <c r="C19769" s="0" t="n">
        <v>19844</v>
      </c>
      <c r="D19769" s="0" t="s">
        <v>65653</v>
      </c>
      <c r="E19769" s="0" t="s">
        <v>75</v>
      </c>
      <c r="F19769" s="0" t="s">
        <v>15</v>
      </c>
      <c r="G19769" s="0" t="s">
        <v>36</v>
      </c>
      <c r="H19769" s="0" t="n">
        <v>87</v>
      </c>
      <c r="I19769" s="0" t="s">
        <v>65660</v>
      </c>
      <c r="J19769" s="0" t="s">
        <v>65661</v>
      </c>
      <c r="K19769" s="0" t="s">
        <v>65662</v>
      </c>
      <c r="L19769" s="0" t="str">
        <f aca="false">HYPERLINK("https://www.ncbi.nlm.nih.gov/nuccore/CP000060.1?report=graph&amp;tracks=[key:gene_model_track,Options:GeneOnly]&amp;mk=19758:19777|offset_20|444444,19783:19802|offset_45|444444,19825:19844|offset_87|00cc00,19850:19869|offset_112|444444&amp;v=19557:20069&amp;c=444444", "offset 87")</f>
        <v>offset 87</v>
      </c>
    </row>
    <row r="19770" customFormat="false" ht="12.8" hidden="false" customHeight="false" outlineLevel="0" collapsed="false">
      <c r="A19770" s="0" t="s">
        <v>65373</v>
      </c>
      <c r="B19770" s="0" t="n">
        <v>19849</v>
      </c>
      <c r="C19770" s="0" t="n">
        <v>19869</v>
      </c>
      <c r="D19770" s="0" t="s">
        <v>65653</v>
      </c>
      <c r="E19770" s="0" t="s">
        <v>75</v>
      </c>
      <c r="F19770" s="0" t="s">
        <v>15</v>
      </c>
      <c r="G19770" s="0" t="s">
        <v>16</v>
      </c>
      <c r="H19770" s="0" t="n">
        <v>112</v>
      </c>
      <c r="I19770" s="0" t="s">
        <v>65663</v>
      </c>
      <c r="J19770" s="0" t="s">
        <v>65664</v>
      </c>
      <c r="K19770" s="0" t="s">
        <v>65665</v>
      </c>
      <c r="L19770" s="0" t="str">
        <f aca="false">HYPERLINK("https://www.ncbi.nlm.nih.gov/nuccore/CP000060.1?report=graph&amp;tracks=[key:gene_model_track,Options:GeneOnly]&amp;mk=19758:19777|offset_20|444444,19783:19802|offset_45|444444,19825:19844|offset_87|444444,19850:19869|offset_112|00cc00&amp;v=19557:20069&amp;c=444444", "offset 112")</f>
        <v>offset 112</v>
      </c>
    </row>
    <row r="19771" customFormat="false" ht="12.8" hidden="false" customHeight="false" outlineLevel="0" collapsed="false">
      <c r="A19771" s="0" t="s">
        <v>65373</v>
      </c>
      <c r="B19771" s="0" t="n">
        <v>20086</v>
      </c>
      <c r="C19771" s="0" t="n">
        <v>20106</v>
      </c>
      <c r="D19771" s="0" t="s">
        <v>65666</v>
      </c>
      <c r="E19771" s="0" t="s">
        <v>75</v>
      </c>
      <c r="F19771" s="0" t="s">
        <v>15</v>
      </c>
      <c r="G19771" s="0" t="s">
        <v>32</v>
      </c>
      <c r="H19771" s="0" t="n">
        <v>10</v>
      </c>
      <c r="I19771" s="0" t="s">
        <v>65667</v>
      </c>
      <c r="J19771" s="0" t="s">
        <v>65668</v>
      </c>
      <c r="K19771" s="0" t="s">
        <v>65669</v>
      </c>
      <c r="L19771" s="0" t="str">
        <f aca="false">HYPERLINK("https://www.ncbi.nlm.nih.gov/nuccore/CP000060.1?report=graph&amp;tracks=[key:gene_model_track,Options:GeneOnly]&amp;mk=20087:20106|offset_10|00cc00,20125:20144|offset_48|444444,20152:20171|offset_75|444444,20174:20193|offset_97|444444&amp;v=19886:20393&amp;c=444444", "offset 10")</f>
        <v>offset 10</v>
      </c>
    </row>
    <row r="19772" customFormat="false" ht="12.8" hidden="false" customHeight="false" outlineLevel="0" collapsed="false">
      <c r="A19772" s="0" t="s">
        <v>65373</v>
      </c>
      <c r="B19772" s="0" t="n">
        <v>20124</v>
      </c>
      <c r="C19772" s="0" t="n">
        <v>20144</v>
      </c>
      <c r="D19772" s="0" t="s">
        <v>65666</v>
      </c>
      <c r="E19772" s="0" t="s">
        <v>75</v>
      </c>
      <c r="F19772" s="0" t="s">
        <v>15</v>
      </c>
      <c r="G19772" s="0" t="s">
        <v>36</v>
      </c>
      <c r="H19772" s="0" t="n">
        <v>48</v>
      </c>
      <c r="I19772" s="0" t="s">
        <v>65670</v>
      </c>
      <c r="J19772" s="0" t="s">
        <v>65671</v>
      </c>
      <c r="K19772" s="0" t="s">
        <v>65672</v>
      </c>
      <c r="L19772" s="0" t="str">
        <f aca="false">HYPERLINK("https://www.ncbi.nlm.nih.gov/nuccore/CP000060.1?report=graph&amp;tracks=[key:gene_model_track,Options:GeneOnly]&amp;mk=20087:20106|offset_10|444444,20125:20144|offset_48|00cc00,20152:20171|offset_75|444444,20174:20193|offset_97|444444&amp;v=19886:20393&amp;c=444444", "offset 48")</f>
        <v>offset 48</v>
      </c>
    </row>
    <row r="19773" customFormat="false" ht="12.8" hidden="false" customHeight="false" outlineLevel="0" collapsed="false">
      <c r="A19773" s="0" t="s">
        <v>65373</v>
      </c>
      <c r="B19773" s="0" t="n">
        <v>20151</v>
      </c>
      <c r="C19773" s="0" t="n">
        <v>20171</v>
      </c>
      <c r="D19773" s="0" t="s">
        <v>65666</v>
      </c>
      <c r="E19773" s="0" t="s">
        <v>75</v>
      </c>
      <c r="F19773" s="0" t="s">
        <v>15</v>
      </c>
      <c r="G19773" s="0" t="s">
        <v>36</v>
      </c>
      <c r="H19773" s="0" t="n">
        <v>75</v>
      </c>
      <c r="I19773" s="0" t="s">
        <v>65673</v>
      </c>
      <c r="J19773" s="0" t="s">
        <v>65674</v>
      </c>
      <c r="K19773" s="0" t="s">
        <v>65675</v>
      </c>
      <c r="L19773" s="0" t="str">
        <f aca="false">HYPERLINK("https://www.ncbi.nlm.nih.gov/nuccore/CP000060.1?report=graph&amp;tracks=[key:gene_model_track,Options:GeneOnly]&amp;mk=20087:20106|offset_10|444444,20125:20144|offset_48|444444,20152:20171|offset_75|00cc00,20174:20193|offset_97|444444&amp;v=19886:20393&amp;c=444444", "offset 75")</f>
        <v>offset 75</v>
      </c>
    </row>
    <row r="19774" customFormat="false" ht="12.8" hidden="false" customHeight="false" outlineLevel="0" collapsed="false">
      <c r="A19774" s="0" t="s">
        <v>65373</v>
      </c>
      <c r="B19774" s="0" t="n">
        <v>20173</v>
      </c>
      <c r="C19774" s="0" t="n">
        <v>20193</v>
      </c>
      <c r="D19774" s="0" t="s">
        <v>65666</v>
      </c>
      <c r="E19774" s="0" t="s">
        <v>75</v>
      </c>
      <c r="F19774" s="0" t="s">
        <v>15</v>
      </c>
      <c r="G19774" s="0" t="s">
        <v>20</v>
      </c>
      <c r="H19774" s="0" t="n">
        <v>97</v>
      </c>
      <c r="I19774" s="0" t="s">
        <v>65676</v>
      </c>
      <c r="J19774" s="0" t="s">
        <v>65677</v>
      </c>
      <c r="K19774" s="0" t="s">
        <v>65678</v>
      </c>
      <c r="L19774" s="0" t="str">
        <f aca="false">HYPERLINK("https://www.ncbi.nlm.nih.gov/nuccore/CP000060.1?report=graph&amp;tracks=[key:gene_model_track,Options:GeneOnly]&amp;mk=20087:20106|offset_10|444444,20125:20144|offset_48|444444,20152:20171|offset_75|444444,20174:20193|offset_97|00cc00&amp;v=19886:20393&amp;c=444444", "offset 97")</f>
        <v>offset 97</v>
      </c>
    </row>
    <row r="19775" customFormat="false" ht="12.8" hidden="false" customHeight="false" outlineLevel="0" collapsed="false">
      <c r="A19775" s="0" t="s">
        <v>65373</v>
      </c>
      <c r="B19775" s="0" t="n">
        <v>20805</v>
      </c>
      <c r="C19775" s="0" t="n">
        <v>20825</v>
      </c>
      <c r="D19775" s="0" t="s">
        <v>65679</v>
      </c>
      <c r="E19775" s="0" t="s">
        <v>75</v>
      </c>
      <c r="F19775" s="0" t="s">
        <v>15</v>
      </c>
      <c r="G19775" s="0" t="s">
        <v>36</v>
      </c>
      <c r="H19775" s="0" t="n">
        <v>19</v>
      </c>
      <c r="I19775" s="0" t="s">
        <v>65680</v>
      </c>
      <c r="J19775" s="0" t="s">
        <v>65681</v>
      </c>
      <c r="K19775" s="0" t="s">
        <v>65682</v>
      </c>
      <c r="L19775" s="0" t="str">
        <f aca="false">HYPERLINK("https://www.ncbi.nlm.nih.gov/nuccore/CP000060.1?report=graph&amp;tracks=[key:gene_model_track,Options:GeneOnly]&amp;mk=20806:20825|offset_19|00cc00,20854:20873|offset_67|444444,20890:20909|offset_103|444444,20911:20930|offset_124|444444&amp;v=20605:21130&amp;c=444444", "offset 19")</f>
        <v>offset 19</v>
      </c>
    </row>
    <row r="19776" customFormat="false" ht="12.8" hidden="false" customHeight="false" outlineLevel="0" collapsed="false">
      <c r="A19776" s="0" t="s">
        <v>65373</v>
      </c>
      <c r="B19776" s="0" t="n">
        <v>20853</v>
      </c>
      <c r="C19776" s="0" t="n">
        <v>20873</v>
      </c>
      <c r="D19776" s="0" t="s">
        <v>65679</v>
      </c>
      <c r="E19776" s="0" t="s">
        <v>75</v>
      </c>
      <c r="F19776" s="0" t="s">
        <v>15</v>
      </c>
      <c r="G19776" s="0" t="s">
        <v>20</v>
      </c>
      <c r="H19776" s="0" t="n">
        <v>67</v>
      </c>
      <c r="I19776" s="0" t="s">
        <v>65683</v>
      </c>
      <c r="J19776" s="0" t="s">
        <v>65684</v>
      </c>
      <c r="K19776" s="0" t="s">
        <v>65685</v>
      </c>
      <c r="L19776" s="0" t="str">
        <f aca="false">HYPERLINK("https://www.ncbi.nlm.nih.gov/nuccore/CP000060.1?report=graph&amp;tracks=[key:gene_model_track,Options:GeneOnly]&amp;mk=20806:20825|offset_19|444444,20854:20873|offset_67|00cc00,20890:20909|offset_103|444444,20911:20930|offset_124|444444&amp;v=20605:21130&amp;c=444444", "offset 67")</f>
        <v>offset 67</v>
      </c>
    </row>
    <row r="19777" customFormat="false" ht="12.8" hidden="false" customHeight="false" outlineLevel="0" collapsed="false">
      <c r="A19777" s="0" t="s">
        <v>65373</v>
      </c>
      <c r="B19777" s="0" t="n">
        <v>20889</v>
      </c>
      <c r="C19777" s="0" t="n">
        <v>20909</v>
      </c>
      <c r="D19777" s="0" t="s">
        <v>65679</v>
      </c>
      <c r="E19777" s="0" t="s">
        <v>75</v>
      </c>
      <c r="F19777" s="0" t="s">
        <v>15</v>
      </c>
      <c r="G19777" s="0" t="s">
        <v>32</v>
      </c>
      <c r="H19777" s="0" t="n">
        <v>103</v>
      </c>
      <c r="I19777" s="0" t="s">
        <v>65686</v>
      </c>
      <c r="J19777" s="0" t="s">
        <v>65687</v>
      </c>
      <c r="K19777" s="0" t="s">
        <v>65688</v>
      </c>
      <c r="L19777" s="0" t="str">
        <f aca="false">HYPERLINK("https://www.ncbi.nlm.nih.gov/nuccore/CP000060.1?report=graph&amp;tracks=[key:gene_model_track,Options:GeneOnly]&amp;mk=20806:20825|offset_19|444444,20854:20873|offset_67|444444,20890:20909|offset_103|00cc00,20911:20930|offset_124|444444&amp;v=20605:21130&amp;c=444444", "offset 103")</f>
        <v>offset 103</v>
      </c>
    </row>
    <row r="19778" customFormat="false" ht="12.8" hidden="false" customHeight="false" outlineLevel="0" collapsed="false">
      <c r="A19778" s="0" t="s">
        <v>65373</v>
      </c>
      <c r="B19778" s="0" t="n">
        <v>20910</v>
      </c>
      <c r="C19778" s="0" t="n">
        <v>20930</v>
      </c>
      <c r="D19778" s="0" t="s">
        <v>65679</v>
      </c>
      <c r="E19778" s="0" t="s">
        <v>75</v>
      </c>
      <c r="F19778" s="0" t="s">
        <v>15</v>
      </c>
      <c r="G19778" s="0" t="s">
        <v>32</v>
      </c>
      <c r="H19778" s="0" t="n">
        <v>124</v>
      </c>
      <c r="I19778" s="0" t="s">
        <v>65689</v>
      </c>
      <c r="J19778" s="0" t="s">
        <v>65690</v>
      </c>
      <c r="K19778" s="0" t="s">
        <v>65691</v>
      </c>
      <c r="L19778" s="0" t="str">
        <f aca="false">HYPERLINK("https://www.ncbi.nlm.nih.gov/nuccore/CP000060.1?report=graph&amp;tracks=[key:gene_model_track,Options:GeneOnly]&amp;mk=20806:20825|offset_19|444444,20854:20873|offset_67|444444,20890:20909|offset_103|444444,20911:20930|offset_124|00cc00&amp;v=20605:21130&amp;c=444444", "offset 124")</f>
        <v>offset 124</v>
      </c>
    </row>
    <row r="19779" customFormat="false" ht="12.8" hidden="false" customHeight="false" outlineLevel="0" collapsed="false">
      <c r="A19779" s="0" t="s">
        <v>65373</v>
      </c>
      <c r="B19779" s="0" t="n">
        <v>21144</v>
      </c>
      <c r="C19779" s="0" t="n">
        <v>21164</v>
      </c>
      <c r="D19779" s="0" t="s">
        <v>65692</v>
      </c>
      <c r="E19779" s="0" t="s">
        <v>75</v>
      </c>
      <c r="F19779" s="0" t="s">
        <v>15</v>
      </c>
      <c r="G19779" s="0" t="s">
        <v>32</v>
      </c>
      <c r="H19779" s="0" t="n">
        <v>7</v>
      </c>
      <c r="I19779" s="0" t="s">
        <v>65693</v>
      </c>
      <c r="J19779" s="0" t="s">
        <v>65694</v>
      </c>
      <c r="K19779" s="0" t="s">
        <v>65695</v>
      </c>
      <c r="L19779" s="0" t="str">
        <f aca="false">HYPERLINK("https://www.ncbi.nlm.nih.gov/nuccore/CP000060.1?report=graph&amp;tracks=[key:gene_model_track,Options:GeneOnly]&amp;mk=21145:21164|offset_7|00cc00,21172:21191|offset_34|444444,21201:21220|offset_63|444444,21222:21241|offset_84|444444&amp;v=20944:21441&amp;c=444444", "offset 7")</f>
        <v>offset 7</v>
      </c>
    </row>
    <row r="19780" customFormat="false" ht="12.8" hidden="false" customHeight="false" outlineLevel="0" collapsed="false">
      <c r="A19780" s="0" t="s">
        <v>65373</v>
      </c>
      <c r="B19780" s="0" t="n">
        <v>21171</v>
      </c>
      <c r="C19780" s="0" t="n">
        <v>21191</v>
      </c>
      <c r="D19780" s="0" t="s">
        <v>65692</v>
      </c>
      <c r="E19780" s="0" t="s">
        <v>75</v>
      </c>
      <c r="F19780" s="0" t="s">
        <v>15</v>
      </c>
      <c r="G19780" s="0" t="s">
        <v>20</v>
      </c>
      <c r="H19780" s="0" t="n">
        <v>34</v>
      </c>
      <c r="I19780" s="0" t="s">
        <v>65696</v>
      </c>
      <c r="J19780" s="0" t="s">
        <v>65697</v>
      </c>
      <c r="K19780" s="0" t="s">
        <v>65698</v>
      </c>
      <c r="L19780" s="0" t="str">
        <f aca="false">HYPERLINK("https://www.ncbi.nlm.nih.gov/nuccore/CP000060.1?report=graph&amp;tracks=[key:gene_model_track,Options:GeneOnly]&amp;mk=21145:21164|offset_7|444444,21172:21191|offset_34|00cc00,21201:21220|offset_63|444444,21222:21241|offset_84|444444&amp;v=20944:21441&amp;c=444444", "offset 34")</f>
        <v>offset 34</v>
      </c>
    </row>
    <row r="19781" customFormat="false" ht="12.8" hidden="false" customHeight="false" outlineLevel="0" collapsed="false">
      <c r="A19781" s="0" t="s">
        <v>65373</v>
      </c>
      <c r="B19781" s="0" t="n">
        <v>21200</v>
      </c>
      <c r="C19781" s="0" t="n">
        <v>21220</v>
      </c>
      <c r="D19781" s="0" t="s">
        <v>65692</v>
      </c>
      <c r="E19781" s="0" t="s">
        <v>75</v>
      </c>
      <c r="F19781" s="0" t="s">
        <v>15</v>
      </c>
      <c r="G19781" s="0" t="s">
        <v>36</v>
      </c>
      <c r="H19781" s="0" t="n">
        <v>63</v>
      </c>
      <c r="I19781" s="0" t="s">
        <v>65699</v>
      </c>
      <c r="J19781" s="0" t="s">
        <v>65700</v>
      </c>
      <c r="K19781" s="0" t="s">
        <v>65701</v>
      </c>
      <c r="L19781" s="0" t="str">
        <f aca="false">HYPERLINK("https://www.ncbi.nlm.nih.gov/nuccore/CP000060.1?report=graph&amp;tracks=[key:gene_model_track,Options:GeneOnly]&amp;mk=21145:21164|offset_7|444444,21172:21191|offset_34|444444,21201:21220|offset_63|00cc00,21222:21241|offset_84|444444&amp;v=20944:21441&amp;c=444444", "offset 63")</f>
        <v>offset 63</v>
      </c>
    </row>
    <row r="19782" customFormat="false" ht="12.8" hidden="false" customHeight="false" outlineLevel="0" collapsed="false">
      <c r="A19782" s="0" t="s">
        <v>65373</v>
      </c>
      <c r="B19782" s="0" t="n">
        <v>21221</v>
      </c>
      <c r="C19782" s="0" t="n">
        <v>21241</v>
      </c>
      <c r="D19782" s="0" t="s">
        <v>65692</v>
      </c>
      <c r="E19782" s="0" t="s">
        <v>75</v>
      </c>
      <c r="F19782" s="0" t="s">
        <v>15</v>
      </c>
      <c r="G19782" s="0" t="s">
        <v>36</v>
      </c>
      <c r="H19782" s="0" t="n">
        <v>84</v>
      </c>
      <c r="I19782" s="0" t="s">
        <v>65702</v>
      </c>
      <c r="J19782" s="0" t="s">
        <v>65703</v>
      </c>
      <c r="K19782" s="0" t="s">
        <v>65704</v>
      </c>
      <c r="L19782" s="0" t="str">
        <f aca="false">HYPERLINK("https://www.ncbi.nlm.nih.gov/nuccore/CP000060.1?report=graph&amp;tracks=[key:gene_model_track,Options:GeneOnly]&amp;mk=21145:21164|offset_7|444444,21172:21191|offset_34|444444,21201:21220|offset_63|444444,21222:21241|offset_84|00cc00&amp;v=20944:21441&amp;c=444444", "offset 84")</f>
        <v>offset 84</v>
      </c>
    </row>
    <row r="19783" customFormat="false" ht="12.8" hidden="false" customHeight="false" outlineLevel="0" collapsed="false">
      <c r="A19783" s="0" t="s">
        <v>65373</v>
      </c>
      <c r="B19783" s="0" t="n">
        <v>21641</v>
      </c>
      <c r="C19783" s="0" t="n">
        <v>21661</v>
      </c>
      <c r="D19783" s="0" t="s">
        <v>65705</v>
      </c>
      <c r="E19783" s="0" t="s">
        <v>75</v>
      </c>
      <c r="F19783" s="0" t="s">
        <v>15</v>
      </c>
      <c r="G19783" s="0" t="s">
        <v>32</v>
      </c>
      <c r="H19783" s="0" t="n">
        <v>167</v>
      </c>
      <c r="I19783" s="0" t="s">
        <v>65706</v>
      </c>
      <c r="J19783" s="0" t="s">
        <v>65707</v>
      </c>
      <c r="K19783" s="0" t="s">
        <v>65708</v>
      </c>
      <c r="L19783" s="0" t="str">
        <f aca="false">HYPERLINK("https://www.ncbi.nlm.nih.gov/nuccore/CP000060.1?report=graph&amp;tracks=[key:gene_model_track,Options:GeneOnly]&amp;mk=21642:21661|offset_167|00cc00,21663:21682|offset_188|444444,21702:21721|offset_227|444444,21725:21744|offset_250|444444&amp;v=21441:21944&amp;c=444444", "offset 167")</f>
        <v>offset 167</v>
      </c>
    </row>
    <row r="19784" customFormat="false" ht="12.8" hidden="false" customHeight="false" outlineLevel="0" collapsed="false">
      <c r="A19784" s="0" t="s">
        <v>65373</v>
      </c>
      <c r="B19784" s="0" t="n">
        <v>21662</v>
      </c>
      <c r="C19784" s="0" t="n">
        <v>21682</v>
      </c>
      <c r="D19784" s="0" t="s">
        <v>65705</v>
      </c>
      <c r="E19784" s="0" t="s">
        <v>75</v>
      </c>
      <c r="F19784" s="0" t="s">
        <v>15</v>
      </c>
      <c r="G19784" s="0" t="s">
        <v>16</v>
      </c>
      <c r="H19784" s="0" t="n">
        <v>188</v>
      </c>
      <c r="I19784" s="0" t="s">
        <v>65709</v>
      </c>
      <c r="J19784" s="0" t="s">
        <v>65710</v>
      </c>
      <c r="K19784" s="0" t="s">
        <v>65711</v>
      </c>
      <c r="L19784" s="0" t="str">
        <f aca="false">HYPERLINK("https://www.ncbi.nlm.nih.gov/nuccore/CP000060.1?report=graph&amp;tracks=[key:gene_model_track,Options:GeneOnly]&amp;mk=21642:21661|offset_167|444444,21663:21682|offset_188|00cc00,21702:21721|offset_227|444444,21725:21744|offset_250|444444&amp;v=21441:21944&amp;c=444444", "offset 188")</f>
        <v>offset 188</v>
      </c>
    </row>
    <row r="19785" customFormat="false" ht="12.8" hidden="false" customHeight="false" outlineLevel="0" collapsed="false">
      <c r="A19785" s="0" t="s">
        <v>65373</v>
      </c>
      <c r="B19785" s="0" t="n">
        <v>21701</v>
      </c>
      <c r="C19785" s="0" t="n">
        <v>21721</v>
      </c>
      <c r="D19785" s="0" t="s">
        <v>65705</v>
      </c>
      <c r="E19785" s="0" t="s">
        <v>75</v>
      </c>
      <c r="F19785" s="0" t="s">
        <v>15</v>
      </c>
      <c r="G19785" s="0" t="s">
        <v>20</v>
      </c>
      <c r="H19785" s="0" t="n">
        <v>227</v>
      </c>
      <c r="I19785" s="0" t="s">
        <v>65318</v>
      </c>
      <c r="J19785" s="0" t="s">
        <v>65319</v>
      </c>
      <c r="K19785" s="0" t="s">
        <v>65320</v>
      </c>
      <c r="L19785" s="0" t="str">
        <f aca="false">HYPERLINK("https://www.ncbi.nlm.nih.gov/nuccore/CP000060.1?report=graph&amp;tracks=[key:gene_model_track,Options:GeneOnly]&amp;mk=21642:21661|offset_167|444444,21663:21682|offset_188|444444,21702:21721|offset_227|00cc00,21725:21744|offset_250|444444&amp;v=21441:21944&amp;c=444444", "offset 227")</f>
        <v>offset 227</v>
      </c>
    </row>
    <row r="19786" customFormat="false" ht="12.8" hidden="false" customHeight="false" outlineLevel="0" collapsed="false">
      <c r="A19786" s="0" t="s">
        <v>65373</v>
      </c>
      <c r="B19786" s="0" t="n">
        <v>21724</v>
      </c>
      <c r="C19786" s="0" t="n">
        <v>21744</v>
      </c>
      <c r="D19786" s="0" t="s">
        <v>65705</v>
      </c>
      <c r="E19786" s="0" t="s">
        <v>75</v>
      </c>
      <c r="F19786" s="0" t="s">
        <v>15</v>
      </c>
      <c r="G19786" s="0" t="s">
        <v>32</v>
      </c>
      <c r="H19786" s="0" t="n">
        <v>250</v>
      </c>
      <c r="I19786" s="0" t="s">
        <v>65321</v>
      </c>
      <c r="J19786" s="0" t="s">
        <v>65322</v>
      </c>
      <c r="K19786" s="0" t="s">
        <v>65323</v>
      </c>
      <c r="L19786" s="0" t="str">
        <f aca="false">HYPERLINK("https://www.ncbi.nlm.nih.gov/nuccore/CP000060.1?report=graph&amp;tracks=[key:gene_model_track,Options:GeneOnly]&amp;mk=21642:21661|offset_167|444444,21663:21682|offset_188|444444,21702:21721|offset_227|444444,21725:21744|offset_250|00cc00&amp;v=21441:21944&amp;c=444444", "offset 250")</f>
        <v>offset 250</v>
      </c>
    </row>
    <row r="19787" customFormat="false" ht="12.8" hidden="false" customHeight="false" outlineLevel="0" collapsed="false">
      <c r="A19787" s="0" t="s">
        <v>65373</v>
      </c>
      <c r="B19787" s="0" t="n">
        <v>24072</v>
      </c>
      <c r="C19787" s="0" t="n">
        <v>24092</v>
      </c>
      <c r="D19787" s="0" t="s">
        <v>65712</v>
      </c>
      <c r="E19787" s="0" t="s">
        <v>75</v>
      </c>
      <c r="F19787" s="0" t="s">
        <v>15</v>
      </c>
      <c r="G19787" s="0" t="s">
        <v>16</v>
      </c>
      <c r="H19787" s="0" t="n">
        <v>49</v>
      </c>
      <c r="I19787" s="0" t="s">
        <v>65713</v>
      </c>
      <c r="J19787" s="0" t="s">
        <v>65714</v>
      </c>
      <c r="K19787" s="0" t="s">
        <v>65715</v>
      </c>
      <c r="L19787" s="0" t="str">
        <f aca="false">HYPERLINK("https://www.ncbi.nlm.nih.gov/nuccore/CP000060.1?report=graph&amp;tracks=[key:gene_model_track,Options:GeneOnly]&amp;mk=24073:24092|offset_49|00cc00,24105:24124|offset_81|444444,24125:24144|offset_101|444444,24163:24182|offset_139|444444&amp;v=23872:24382&amp;c=444444", "offset 49")</f>
        <v>offset 49</v>
      </c>
    </row>
    <row r="19788" customFormat="false" ht="12.8" hidden="false" customHeight="false" outlineLevel="0" collapsed="false">
      <c r="A19788" s="0" t="s">
        <v>65373</v>
      </c>
      <c r="B19788" s="0" t="n">
        <v>24104</v>
      </c>
      <c r="C19788" s="0" t="n">
        <v>24124</v>
      </c>
      <c r="D19788" s="0" t="s">
        <v>65712</v>
      </c>
      <c r="E19788" s="0" t="s">
        <v>75</v>
      </c>
      <c r="F19788" s="0" t="s">
        <v>15</v>
      </c>
      <c r="G19788" s="0" t="s">
        <v>32</v>
      </c>
      <c r="H19788" s="0" t="n">
        <v>81</v>
      </c>
      <c r="I19788" s="0" t="s">
        <v>65716</v>
      </c>
      <c r="J19788" s="0" t="s">
        <v>65717</v>
      </c>
      <c r="K19788" s="0" t="s">
        <v>65718</v>
      </c>
      <c r="L19788" s="0" t="str">
        <f aca="false">HYPERLINK("https://www.ncbi.nlm.nih.gov/nuccore/CP000060.1?report=graph&amp;tracks=[key:gene_model_track,Options:GeneOnly]&amp;mk=24073:24092|offset_49|444444,24105:24124|offset_81|00cc00,24125:24144|offset_101|444444,24163:24182|offset_139|444444&amp;v=23872:24382&amp;c=444444", "offset 81")</f>
        <v>offset 81</v>
      </c>
    </row>
    <row r="19789" customFormat="false" ht="12.8" hidden="false" customHeight="false" outlineLevel="0" collapsed="false">
      <c r="A19789" s="0" t="s">
        <v>65373</v>
      </c>
      <c r="B19789" s="0" t="n">
        <v>24124</v>
      </c>
      <c r="C19789" s="0" t="n">
        <v>24144</v>
      </c>
      <c r="D19789" s="0" t="s">
        <v>65712</v>
      </c>
      <c r="E19789" s="0" t="s">
        <v>75</v>
      </c>
      <c r="F19789" s="0" t="s">
        <v>15</v>
      </c>
      <c r="G19789" s="0" t="s">
        <v>36</v>
      </c>
      <c r="H19789" s="0" t="n">
        <v>101</v>
      </c>
      <c r="I19789" s="0" t="s">
        <v>65719</v>
      </c>
      <c r="J19789" s="0" t="s">
        <v>65720</v>
      </c>
      <c r="K19789" s="0" t="s">
        <v>65721</v>
      </c>
      <c r="L19789" s="0" t="str">
        <f aca="false">HYPERLINK("https://www.ncbi.nlm.nih.gov/nuccore/CP000060.1?report=graph&amp;tracks=[key:gene_model_track,Options:GeneOnly]&amp;mk=24073:24092|offset_49|444444,24105:24124|offset_81|444444,24125:24144|offset_101|00cc00,24163:24182|offset_139|444444&amp;v=23872:24382&amp;c=444444", "offset 101")</f>
        <v>offset 101</v>
      </c>
    </row>
    <row r="19790" customFormat="false" ht="12.8" hidden="false" customHeight="false" outlineLevel="0" collapsed="false">
      <c r="A19790" s="0" t="s">
        <v>65373</v>
      </c>
      <c r="B19790" s="0" t="n">
        <v>24162</v>
      </c>
      <c r="C19790" s="0" t="n">
        <v>24182</v>
      </c>
      <c r="D19790" s="0" t="s">
        <v>65712</v>
      </c>
      <c r="E19790" s="0" t="s">
        <v>75</v>
      </c>
      <c r="F19790" s="0" t="s">
        <v>15</v>
      </c>
      <c r="G19790" s="0" t="s">
        <v>36</v>
      </c>
      <c r="H19790" s="0" t="n">
        <v>139</v>
      </c>
      <c r="I19790" s="0" t="s">
        <v>65722</v>
      </c>
      <c r="J19790" s="0" t="s">
        <v>65723</v>
      </c>
      <c r="K19790" s="0" t="s">
        <v>65724</v>
      </c>
      <c r="L19790" s="0" t="str">
        <f aca="false">HYPERLINK("https://www.ncbi.nlm.nih.gov/nuccore/CP000060.1?report=graph&amp;tracks=[key:gene_model_track,Options:GeneOnly]&amp;mk=24073:24092|offset_49|444444,24105:24124|offset_81|444444,24125:24144|offset_101|444444,24163:24182|offset_139|00cc00&amp;v=23872:24382&amp;c=444444", "offset 139")</f>
        <v>offset 139</v>
      </c>
    </row>
    <row r="19791" customFormat="false" ht="12.8" hidden="false" customHeight="false" outlineLevel="0" collapsed="false">
      <c r="A19791" s="0" t="s">
        <v>65373</v>
      </c>
      <c r="B19791" s="0" t="n">
        <v>24857</v>
      </c>
      <c r="C19791" s="0" t="n">
        <v>24877</v>
      </c>
      <c r="D19791" s="0" t="s">
        <v>65725</v>
      </c>
      <c r="E19791" s="0" t="s">
        <v>75</v>
      </c>
      <c r="F19791" s="0" t="s">
        <v>15</v>
      </c>
      <c r="G19791" s="0" t="s">
        <v>36</v>
      </c>
      <c r="H19791" s="0" t="n">
        <v>85</v>
      </c>
      <c r="I19791" s="0" t="s">
        <v>65726</v>
      </c>
      <c r="J19791" s="0" t="s">
        <v>65727</v>
      </c>
      <c r="K19791" s="0" t="s">
        <v>65728</v>
      </c>
      <c r="L19791" s="0" t="str">
        <f aca="false">HYPERLINK("https://www.ncbi.nlm.nih.gov/nuccore/CP000060.1?report=graph&amp;tracks=[key:gene_model_track,Options:GeneOnly]&amp;mk=24858:24877|offset_85|00cc00,24916:24935|offset_143|444444,24962:24981|offset_189|444444,24990:25009|offset_217|444444&amp;v=24657:25209&amp;c=444444", "offset 85")</f>
        <v>offset 85</v>
      </c>
    </row>
    <row r="19792" customFormat="false" ht="12.8" hidden="false" customHeight="false" outlineLevel="0" collapsed="false">
      <c r="A19792" s="0" t="s">
        <v>65373</v>
      </c>
      <c r="B19792" s="0" t="n">
        <v>24915</v>
      </c>
      <c r="C19792" s="0" t="n">
        <v>24935</v>
      </c>
      <c r="D19792" s="0" t="s">
        <v>65725</v>
      </c>
      <c r="E19792" s="0" t="s">
        <v>75</v>
      </c>
      <c r="F19792" s="0" t="s">
        <v>15</v>
      </c>
      <c r="G19792" s="0" t="s">
        <v>32</v>
      </c>
      <c r="H19792" s="0" t="n">
        <v>143</v>
      </c>
      <c r="I19792" s="0" t="s">
        <v>65729</v>
      </c>
      <c r="J19792" s="0" t="s">
        <v>65730</v>
      </c>
      <c r="K19792" s="0" t="s">
        <v>65731</v>
      </c>
      <c r="L19792" s="0" t="str">
        <f aca="false">HYPERLINK("https://www.ncbi.nlm.nih.gov/nuccore/CP000060.1?report=graph&amp;tracks=[key:gene_model_track,Options:GeneOnly]&amp;mk=24858:24877|offset_85|444444,24916:24935|offset_143|00cc00,24962:24981|offset_189|444444,24990:25009|offset_217|444444&amp;v=24657:25209&amp;c=444444", "offset 143")</f>
        <v>offset 143</v>
      </c>
    </row>
    <row r="19793" customFormat="false" ht="12.8" hidden="false" customHeight="false" outlineLevel="0" collapsed="false">
      <c r="A19793" s="0" t="s">
        <v>65373</v>
      </c>
      <c r="B19793" s="0" t="n">
        <v>24961</v>
      </c>
      <c r="C19793" s="0" t="n">
        <v>24981</v>
      </c>
      <c r="D19793" s="0" t="s">
        <v>65725</v>
      </c>
      <c r="E19793" s="0" t="s">
        <v>75</v>
      </c>
      <c r="F19793" s="0" t="s">
        <v>15</v>
      </c>
      <c r="G19793" s="0" t="s">
        <v>32</v>
      </c>
      <c r="H19793" s="0" t="n">
        <v>189</v>
      </c>
      <c r="I19793" s="0" t="s">
        <v>65732</v>
      </c>
      <c r="J19793" s="0" t="s">
        <v>65733</v>
      </c>
      <c r="K19793" s="0" t="s">
        <v>65734</v>
      </c>
      <c r="L19793" s="0" t="str">
        <f aca="false">HYPERLINK("https://www.ncbi.nlm.nih.gov/nuccore/CP000060.1?report=graph&amp;tracks=[key:gene_model_track,Options:GeneOnly]&amp;mk=24858:24877|offset_85|444444,24916:24935|offset_143|444444,24962:24981|offset_189|00cc00,24990:25009|offset_217|444444&amp;v=24657:25209&amp;c=444444", "offset 189")</f>
        <v>offset 189</v>
      </c>
    </row>
    <row r="19794" customFormat="false" ht="12.8" hidden="false" customHeight="false" outlineLevel="0" collapsed="false">
      <c r="A19794" s="0" t="s">
        <v>65373</v>
      </c>
      <c r="B19794" s="0" t="n">
        <v>24989</v>
      </c>
      <c r="C19794" s="0" t="n">
        <v>25009</v>
      </c>
      <c r="D19794" s="0" t="s">
        <v>65725</v>
      </c>
      <c r="E19794" s="0" t="s">
        <v>75</v>
      </c>
      <c r="F19794" s="0" t="s">
        <v>15</v>
      </c>
      <c r="G19794" s="0" t="s">
        <v>32</v>
      </c>
      <c r="H19794" s="0" t="n">
        <v>217</v>
      </c>
      <c r="I19794" s="0" t="s">
        <v>65735</v>
      </c>
      <c r="J19794" s="0" t="s">
        <v>65736</v>
      </c>
      <c r="K19794" s="0" t="s">
        <v>65737</v>
      </c>
      <c r="L19794" s="0" t="str">
        <f aca="false">HYPERLINK("https://www.ncbi.nlm.nih.gov/nuccore/CP000060.1?report=graph&amp;tracks=[key:gene_model_track,Options:GeneOnly]&amp;mk=24858:24877|offset_85|444444,24916:24935|offset_143|444444,24962:24981|offset_189|444444,24990:25009|offset_217|00cc00&amp;v=24657:25209&amp;c=444444", "offset 217")</f>
        <v>offset 217</v>
      </c>
    </row>
    <row r="19795" customFormat="false" ht="12.8" hidden="false" customHeight="false" outlineLevel="0" collapsed="false">
      <c r="A19795" s="0" t="s">
        <v>65373</v>
      </c>
      <c r="B19795" s="0" t="n">
        <v>25128</v>
      </c>
      <c r="C19795" s="0" t="n">
        <v>25148</v>
      </c>
      <c r="D19795" s="0" t="s">
        <v>65738</v>
      </c>
      <c r="E19795" s="0" t="s">
        <v>75</v>
      </c>
      <c r="F19795" s="0" t="s">
        <v>15</v>
      </c>
      <c r="G19795" s="0" t="s">
        <v>36</v>
      </c>
      <c r="H19795" s="0" t="n">
        <v>22</v>
      </c>
      <c r="I19795" s="0" t="s">
        <v>65739</v>
      </c>
      <c r="J19795" s="0" t="s">
        <v>65740</v>
      </c>
      <c r="K19795" s="0" t="s">
        <v>65741</v>
      </c>
      <c r="L19795" s="0" t="str">
        <f aca="false">HYPERLINK("https://www.ncbi.nlm.nih.gov/nuccore/CP000060.1?report=graph&amp;tracks=[key:gene_model_track,Options:GeneOnly]&amp;mk=25129:25148|offset_22|00cc00,25156:25175|offset_49|444444,25180:25199|offset_73|444444,25225:25244|offset_118|444444&amp;v=24928:25444&amp;c=444444", "offset 22")</f>
        <v>offset 22</v>
      </c>
    </row>
    <row r="19796" customFormat="false" ht="12.8" hidden="false" customHeight="false" outlineLevel="0" collapsed="false">
      <c r="A19796" s="0" t="s">
        <v>65373</v>
      </c>
      <c r="B19796" s="0" t="n">
        <v>25155</v>
      </c>
      <c r="C19796" s="0" t="n">
        <v>25175</v>
      </c>
      <c r="D19796" s="0" t="s">
        <v>65738</v>
      </c>
      <c r="E19796" s="0" t="s">
        <v>75</v>
      </c>
      <c r="F19796" s="0" t="s">
        <v>15</v>
      </c>
      <c r="G19796" s="0" t="s">
        <v>16</v>
      </c>
      <c r="H19796" s="0" t="n">
        <v>49</v>
      </c>
      <c r="I19796" s="0" t="s">
        <v>65742</v>
      </c>
      <c r="J19796" s="0" t="s">
        <v>65743</v>
      </c>
      <c r="K19796" s="0" t="s">
        <v>65744</v>
      </c>
      <c r="L19796" s="0" t="str">
        <f aca="false">HYPERLINK("https://www.ncbi.nlm.nih.gov/nuccore/CP000060.1?report=graph&amp;tracks=[key:gene_model_track,Options:GeneOnly]&amp;mk=25129:25148|offset_22|444444,25156:25175|offset_49|00cc00,25180:25199|offset_73|444444,25225:25244|offset_118|444444&amp;v=24928:25444&amp;c=444444", "offset 49")</f>
        <v>offset 49</v>
      </c>
    </row>
    <row r="19797" customFormat="false" ht="12.8" hidden="false" customHeight="false" outlineLevel="0" collapsed="false">
      <c r="A19797" s="0" t="s">
        <v>65373</v>
      </c>
      <c r="B19797" s="0" t="n">
        <v>25179</v>
      </c>
      <c r="C19797" s="0" t="n">
        <v>25199</v>
      </c>
      <c r="D19797" s="0" t="s">
        <v>65738</v>
      </c>
      <c r="E19797" s="0" t="s">
        <v>75</v>
      </c>
      <c r="F19797" s="0" t="s">
        <v>15</v>
      </c>
      <c r="G19797" s="0" t="s">
        <v>16</v>
      </c>
      <c r="H19797" s="0" t="n">
        <v>73</v>
      </c>
      <c r="I19797" s="0" t="s">
        <v>65745</v>
      </c>
      <c r="J19797" s="0" t="s">
        <v>65746</v>
      </c>
      <c r="K19797" s="0" t="s">
        <v>65747</v>
      </c>
      <c r="L19797" s="0" t="str">
        <f aca="false">HYPERLINK("https://www.ncbi.nlm.nih.gov/nuccore/CP000060.1?report=graph&amp;tracks=[key:gene_model_track,Options:GeneOnly]&amp;mk=25129:25148|offset_22|444444,25156:25175|offset_49|444444,25180:25199|offset_73|00cc00,25225:25244|offset_118|444444&amp;v=24928:25444&amp;c=444444", "offset 73")</f>
        <v>offset 73</v>
      </c>
    </row>
    <row r="19798" customFormat="false" ht="12.8" hidden="false" customHeight="false" outlineLevel="0" collapsed="false">
      <c r="A19798" s="0" t="s">
        <v>65373</v>
      </c>
      <c r="B19798" s="0" t="n">
        <v>25224</v>
      </c>
      <c r="C19798" s="0" t="n">
        <v>25244</v>
      </c>
      <c r="D19798" s="0" t="s">
        <v>65738</v>
      </c>
      <c r="E19798" s="0" t="s">
        <v>75</v>
      </c>
      <c r="F19798" s="0" t="s">
        <v>15</v>
      </c>
      <c r="G19798" s="0" t="s">
        <v>32</v>
      </c>
      <c r="H19798" s="0" t="n">
        <v>118</v>
      </c>
      <c r="I19798" s="0" t="s">
        <v>65748</v>
      </c>
      <c r="J19798" s="0" t="s">
        <v>65749</v>
      </c>
      <c r="K19798" s="0" t="s">
        <v>65750</v>
      </c>
      <c r="L19798" s="0" t="str">
        <f aca="false">HYPERLINK("https://www.ncbi.nlm.nih.gov/nuccore/CP000060.1?report=graph&amp;tracks=[key:gene_model_track,Options:GeneOnly]&amp;mk=25129:25148|offset_22|444444,25156:25175|offset_49|444444,25180:25199|offset_73|444444,25225:25244|offset_118|00cc00&amp;v=24928:25444&amp;c=444444", "offset 118")</f>
        <v>offset 118</v>
      </c>
    </row>
    <row r="19799" customFormat="false" ht="12.8" hidden="false" customHeight="false" outlineLevel="0" collapsed="false">
      <c r="A19799" s="0" t="s">
        <v>65373</v>
      </c>
      <c r="B19799" s="0" t="n">
        <v>26143</v>
      </c>
      <c r="C19799" s="0" t="n">
        <v>26163</v>
      </c>
      <c r="D19799" s="0" t="s">
        <v>65751</v>
      </c>
      <c r="E19799" s="0" t="s">
        <v>75</v>
      </c>
      <c r="F19799" s="0" t="s">
        <v>15</v>
      </c>
      <c r="G19799" s="0" t="s">
        <v>36</v>
      </c>
      <c r="H19799" s="0" t="n">
        <v>43</v>
      </c>
      <c r="I19799" s="0" t="s">
        <v>65752</v>
      </c>
      <c r="J19799" s="0" t="s">
        <v>65753</v>
      </c>
      <c r="K19799" s="0" t="s">
        <v>65754</v>
      </c>
      <c r="L19799" s="0" t="str">
        <f aca="false">HYPERLINK("https://www.ncbi.nlm.nih.gov/nuccore/CP000060.1?report=graph&amp;tracks=[key:gene_model_track,Options:GeneOnly]&amp;mk=26144:26163|offset_43|00cc00,26170:26189|offset_69|444444,26209:26228|offset_108|444444,26230:26249|offset_129|444444&amp;v=25943:26449&amp;c=444444", "offset 43")</f>
        <v>offset 43</v>
      </c>
    </row>
    <row r="19800" customFormat="false" ht="12.8" hidden="false" customHeight="false" outlineLevel="0" collapsed="false">
      <c r="A19800" s="0" t="s">
        <v>65373</v>
      </c>
      <c r="B19800" s="0" t="n">
        <v>26169</v>
      </c>
      <c r="C19800" s="0" t="n">
        <v>26189</v>
      </c>
      <c r="D19800" s="0" t="s">
        <v>65751</v>
      </c>
      <c r="E19800" s="0" t="s">
        <v>75</v>
      </c>
      <c r="F19800" s="0" t="s">
        <v>15</v>
      </c>
      <c r="G19800" s="0" t="s">
        <v>36</v>
      </c>
      <c r="H19800" s="0" t="n">
        <v>69</v>
      </c>
      <c r="I19800" s="0" t="s">
        <v>65755</v>
      </c>
      <c r="J19800" s="0" t="s">
        <v>65756</v>
      </c>
      <c r="K19800" s="0" t="s">
        <v>65757</v>
      </c>
      <c r="L19800" s="0" t="str">
        <f aca="false">HYPERLINK("https://www.ncbi.nlm.nih.gov/nuccore/CP000060.1?report=graph&amp;tracks=[key:gene_model_track,Options:GeneOnly]&amp;mk=26144:26163|offset_43|444444,26170:26189|offset_69|00cc00,26209:26228|offset_108|444444,26230:26249|offset_129|444444&amp;v=25943:26449&amp;c=444444", "offset 69")</f>
        <v>offset 69</v>
      </c>
    </row>
    <row r="19801" customFormat="false" ht="12.8" hidden="false" customHeight="false" outlineLevel="0" collapsed="false">
      <c r="A19801" s="0" t="s">
        <v>65373</v>
      </c>
      <c r="B19801" s="0" t="n">
        <v>26208</v>
      </c>
      <c r="C19801" s="0" t="n">
        <v>26228</v>
      </c>
      <c r="D19801" s="0" t="s">
        <v>65751</v>
      </c>
      <c r="E19801" s="0" t="s">
        <v>75</v>
      </c>
      <c r="F19801" s="0" t="s">
        <v>15</v>
      </c>
      <c r="G19801" s="0" t="s">
        <v>32</v>
      </c>
      <c r="H19801" s="0" t="n">
        <v>108</v>
      </c>
      <c r="I19801" s="0" t="s">
        <v>65758</v>
      </c>
      <c r="J19801" s="0" t="s">
        <v>65759</v>
      </c>
      <c r="K19801" s="0" t="s">
        <v>65760</v>
      </c>
      <c r="L19801" s="0" t="str">
        <f aca="false">HYPERLINK("https://www.ncbi.nlm.nih.gov/nuccore/CP000060.1?report=graph&amp;tracks=[key:gene_model_track,Options:GeneOnly]&amp;mk=26144:26163|offset_43|444444,26170:26189|offset_69|444444,26209:26228|offset_108|00cc00,26230:26249|offset_129|444444&amp;v=25943:26449&amp;c=444444", "offset 108")</f>
        <v>offset 108</v>
      </c>
    </row>
    <row r="19802" customFormat="false" ht="12.8" hidden="false" customHeight="false" outlineLevel="0" collapsed="false">
      <c r="A19802" s="0" t="s">
        <v>65373</v>
      </c>
      <c r="B19802" s="0" t="n">
        <v>26229</v>
      </c>
      <c r="C19802" s="0" t="n">
        <v>26249</v>
      </c>
      <c r="D19802" s="0" t="s">
        <v>65751</v>
      </c>
      <c r="E19802" s="0" t="s">
        <v>75</v>
      </c>
      <c r="F19802" s="0" t="s">
        <v>15</v>
      </c>
      <c r="G19802" s="0" t="s">
        <v>20</v>
      </c>
      <c r="H19802" s="0" t="n">
        <v>129</v>
      </c>
      <c r="I19802" s="0" t="s">
        <v>65761</v>
      </c>
      <c r="J19802" s="0" t="s">
        <v>65762</v>
      </c>
      <c r="K19802" s="0" t="s">
        <v>65763</v>
      </c>
      <c r="L19802" s="0" t="str">
        <f aca="false">HYPERLINK("https://www.ncbi.nlm.nih.gov/nuccore/CP000060.1?report=graph&amp;tracks=[key:gene_model_track,Options:GeneOnly]&amp;mk=26144:26163|offset_43|444444,26170:26189|offset_69|444444,26209:26228|offset_108|444444,26230:26249|offset_129|00cc00&amp;v=25943:26449&amp;c=444444", "offset 129")</f>
        <v>offset 129</v>
      </c>
    </row>
    <row r="19803" customFormat="false" ht="12.8" hidden="false" customHeight="false" outlineLevel="0" collapsed="false">
      <c r="A19803" s="0" t="s">
        <v>65373</v>
      </c>
      <c r="B19803" s="0" t="n">
        <v>26462</v>
      </c>
      <c r="C19803" s="0" t="n">
        <v>26482</v>
      </c>
      <c r="D19803" s="0" t="s">
        <v>65764</v>
      </c>
      <c r="E19803" s="0" t="s">
        <v>75</v>
      </c>
      <c r="F19803" s="0" t="s">
        <v>15</v>
      </c>
      <c r="G19803" s="0" t="s">
        <v>32</v>
      </c>
      <c r="H19803" s="0" t="n">
        <v>22</v>
      </c>
      <c r="I19803" s="0" t="s">
        <v>65765</v>
      </c>
      <c r="J19803" s="0" t="s">
        <v>65766</v>
      </c>
      <c r="K19803" s="0" t="s">
        <v>65767</v>
      </c>
      <c r="L19803" s="0" t="str">
        <f aca="false">HYPERLINK("https://www.ncbi.nlm.nih.gov/nuccore/CP000060.1?report=graph&amp;tracks=[key:gene_model_track,Options:GeneOnly]&amp;mk=26463:26482|offset_22|00cc00,26499:26518|offset_58|444444,26523:26542|offset_82|444444,26556:26575|offset_115|444444&amp;v=26262:26775&amp;c=444444", "offset 22")</f>
        <v>offset 22</v>
      </c>
    </row>
    <row r="19804" customFormat="false" ht="12.8" hidden="false" customHeight="false" outlineLevel="0" collapsed="false">
      <c r="A19804" s="0" t="s">
        <v>65373</v>
      </c>
      <c r="B19804" s="0" t="n">
        <v>26498</v>
      </c>
      <c r="C19804" s="0" t="n">
        <v>26518</v>
      </c>
      <c r="D19804" s="0" t="s">
        <v>65764</v>
      </c>
      <c r="E19804" s="0" t="s">
        <v>75</v>
      </c>
      <c r="F19804" s="0" t="s">
        <v>15</v>
      </c>
      <c r="G19804" s="0" t="s">
        <v>16</v>
      </c>
      <c r="H19804" s="0" t="n">
        <v>58</v>
      </c>
      <c r="I19804" s="0" t="s">
        <v>65768</v>
      </c>
      <c r="J19804" s="0" t="s">
        <v>65769</v>
      </c>
      <c r="K19804" s="0" t="s">
        <v>65770</v>
      </c>
      <c r="L19804" s="0" t="str">
        <f aca="false">HYPERLINK("https://www.ncbi.nlm.nih.gov/nuccore/CP000060.1?report=graph&amp;tracks=[key:gene_model_track,Options:GeneOnly]&amp;mk=26463:26482|offset_22|444444,26499:26518|offset_58|00cc00,26523:26542|offset_82|444444,26556:26575|offset_115|444444&amp;v=26262:26775&amp;c=444444", "offset 58")</f>
        <v>offset 58</v>
      </c>
    </row>
    <row r="19805" customFormat="false" ht="12.8" hidden="false" customHeight="false" outlineLevel="0" collapsed="false">
      <c r="A19805" s="0" t="s">
        <v>65373</v>
      </c>
      <c r="B19805" s="0" t="n">
        <v>26522</v>
      </c>
      <c r="C19805" s="0" t="n">
        <v>26542</v>
      </c>
      <c r="D19805" s="0" t="s">
        <v>65764</v>
      </c>
      <c r="E19805" s="0" t="s">
        <v>75</v>
      </c>
      <c r="F19805" s="0" t="s">
        <v>15</v>
      </c>
      <c r="G19805" s="0" t="s">
        <v>32</v>
      </c>
      <c r="H19805" s="0" t="n">
        <v>82</v>
      </c>
      <c r="I19805" s="0" t="s">
        <v>65771</v>
      </c>
      <c r="J19805" s="0" t="s">
        <v>65772</v>
      </c>
      <c r="K19805" s="0" t="s">
        <v>65773</v>
      </c>
      <c r="L19805" s="0" t="str">
        <f aca="false">HYPERLINK("https://www.ncbi.nlm.nih.gov/nuccore/CP000060.1?report=graph&amp;tracks=[key:gene_model_track,Options:GeneOnly]&amp;mk=26463:26482|offset_22|444444,26499:26518|offset_58|444444,26523:26542|offset_82|00cc00,26556:26575|offset_115|444444&amp;v=26262:26775&amp;c=444444", "offset 82")</f>
        <v>offset 82</v>
      </c>
    </row>
    <row r="19806" customFormat="false" ht="12.8" hidden="false" customHeight="false" outlineLevel="0" collapsed="false">
      <c r="A19806" s="0" t="s">
        <v>65373</v>
      </c>
      <c r="B19806" s="0" t="n">
        <v>26555</v>
      </c>
      <c r="C19806" s="0" t="n">
        <v>26575</v>
      </c>
      <c r="D19806" s="0" t="s">
        <v>65764</v>
      </c>
      <c r="E19806" s="0" t="s">
        <v>75</v>
      </c>
      <c r="F19806" s="0" t="s">
        <v>15</v>
      </c>
      <c r="G19806" s="0" t="s">
        <v>20</v>
      </c>
      <c r="H19806" s="0" t="n">
        <v>115</v>
      </c>
      <c r="I19806" s="0" t="s">
        <v>65774</v>
      </c>
      <c r="J19806" s="0" t="s">
        <v>65775</v>
      </c>
      <c r="K19806" s="0" t="s">
        <v>65776</v>
      </c>
      <c r="L19806" s="0" t="str">
        <f aca="false">HYPERLINK("https://www.ncbi.nlm.nih.gov/nuccore/CP000060.1?report=graph&amp;tracks=[key:gene_model_track,Options:GeneOnly]&amp;mk=26463:26482|offset_22|444444,26499:26518|offset_58|444444,26523:26542|offset_82|444444,26556:26575|offset_115|00cc00&amp;v=26262:26775&amp;c=444444", "offset 115")</f>
        <v>offset 115</v>
      </c>
    </row>
    <row r="19807" customFormat="false" ht="12.8" hidden="false" customHeight="false" outlineLevel="0" collapsed="false">
      <c r="A19807" s="0" t="s">
        <v>65373</v>
      </c>
      <c r="B19807" s="0" t="n">
        <v>27244</v>
      </c>
      <c r="C19807" s="0" t="n">
        <v>27264</v>
      </c>
      <c r="D19807" s="0" t="s">
        <v>65777</v>
      </c>
      <c r="E19807" s="0" t="s">
        <v>75</v>
      </c>
      <c r="F19807" s="0" t="s">
        <v>15</v>
      </c>
      <c r="G19807" s="0" t="s">
        <v>20</v>
      </c>
      <c r="H19807" s="0" t="n">
        <v>26</v>
      </c>
      <c r="I19807" s="0" t="s">
        <v>65778</v>
      </c>
      <c r="J19807" s="0" t="s">
        <v>65779</v>
      </c>
      <c r="K19807" s="0" t="s">
        <v>65780</v>
      </c>
      <c r="L19807" s="0" t="str">
        <f aca="false">HYPERLINK("https://www.ncbi.nlm.nih.gov/nuccore/CP000060.1?report=graph&amp;tracks=[key:gene_model_track,Options:GeneOnly]&amp;mk=27245:27264|offset_26|00cc00,27274:27293|offset_55|444444,27304:27323|offset_85|444444,27337:27356|offset_118|444444&amp;v=27044:27556&amp;c=444444", "offset 26")</f>
        <v>offset 26</v>
      </c>
    </row>
    <row r="19808" customFormat="false" ht="12.8" hidden="false" customHeight="false" outlineLevel="0" collapsed="false">
      <c r="A19808" s="0" t="s">
        <v>65373</v>
      </c>
      <c r="B19808" s="0" t="n">
        <v>27273</v>
      </c>
      <c r="C19808" s="0" t="n">
        <v>27293</v>
      </c>
      <c r="D19808" s="0" t="s">
        <v>65777</v>
      </c>
      <c r="E19808" s="0" t="s">
        <v>75</v>
      </c>
      <c r="F19808" s="0" t="s">
        <v>15</v>
      </c>
      <c r="G19808" s="0" t="s">
        <v>36</v>
      </c>
      <c r="H19808" s="0" t="n">
        <v>55</v>
      </c>
      <c r="I19808" s="0" t="s">
        <v>65781</v>
      </c>
      <c r="J19808" s="0" t="s">
        <v>65782</v>
      </c>
      <c r="K19808" s="0" t="s">
        <v>65783</v>
      </c>
      <c r="L19808" s="0" t="str">
        <f aca="false">HYPERLINK("https://www.ncbi.nlm.nih.gov/nuccore/CP000060.1?report=graph&amp;tracks=[key:gene_model_track,Options:GeneOnly]&amp;mk=27245:27264|offset_26|444444,27274:27293|offset_55|00cc00,27304:27323|offset_85|444444,27337:27356|offset_118|444444&amp;v=27044:27556&amp;c=444444", "offset 55")</f>
        <v>offset 55</v>
      </c>
    </row>
    <row r="19809" customFormat="false" ht="12.8" hidden="false" customHeight="false" outlineLevel="0" collapsed="false">
      <c r="A19809" s="0" t="s">
        <v>65373</v>
      </c>
      <c r="B19809" s="0" t="n">
        <v>27303</v>
      </c>
      <c r="C19809" s="0" t="n">
        <v>27323</v>
      </c>
      <c r="D19809" s="0" t="s">
        <v>65777</v>
      </c>
      <c r="E19809" s="0" t="s">
        <v>75</v>
      </c>
      <c r="F19809" s="0" t="s">
        <v>15</v>
      </c>
      <c r="G19809" s="0" t="s">
        <v>16</v>
      </c>
      <c r="H19809" s="0" t="n">
        <v>85</v>
      </c>
      <c r="I19809" s="0" t="s">
        <v>65784</v>
      </c>
      <c r="J19809" s="0" t="s">
        <v>65785</v>
      </c>
      <c r="K19809" s="0" t="s">
        <v>65786</v>
      </c>
      <c r="L19809" s="0" t="str">
        <f aca="false">HYPERLINK("https://www.ncbi.nlm.nih.gov/nuccore/CP000060.1?report=graph&amp;tracks=[key:gene_model_track,Options:GeneOnly]&amp;mk=27245:27264|offset_26|444444,27274:27293|offset_55|444444,27304:27323|offset_85|00cc00,27337:27356|offset_118|444444&amp;v=27044:27556&amp;c=444444", "offset 85")</f>
        <v>offset 85</v>
      </c>
    </row>
    <row r="19810" customFormat="false" ht="12.8" hidden="false" customHeight="false" outlineLevel="0" collapsed="false">
      <c r="A19810" s="0" t="s">
        <v>65373</v>
      </c>
      <c r="B19810" s="0" t="n">
        <v>27336</v>
      </c>
      <c r="C19810" s="0" t="n">
        <v>27356</v>
      </c>
      <c r="D19810" s="0" t="s">
        <v>65777</v>
      </c>
      <c r="E19810" s="0" t="s">
        <v>75</v>
      </c>
      <c r="F19810" s="0" t="s">
        <v>15</v>
      </c>
      <c r="G19810" s="0" t="s">
        <v>32</v>
      </c>
      <c r="H19810" s="0" t="n">
        <v>118</v>
      </c>
      <c r="I19810" s="0" t="s">
        <v>65787</v>
      </c>
      <c r="J19810" s="0" t="s">
        <v>65788</v>
      </c>
      <c r="K19810" s="0" t="s">
        <v>65789</v>
      </c>
      <c r="L19810" s="0" t="str">
        <f aca="false">HYPERLINK("https://www.ncbi.nlm.nih.gov/nuccore/CP000060.1?report=graph&amp;tracks=[key:gene_model_track,Options:GeneOnly]&amp;mk=27245:27264|offset_26|444444,27274:27293|offset_55|444444,27304:27323|offset_85|444444,27337:27356|offset_118|00cc00&amp;v=27044:27556&amp;c=444444", "offset 118")</f>
        <v>offset 118</v>
      </c>
    </row>
    <row r="19811" customFormat="false" ht="12.8" hidden="false" customHeight="false" outlineLevel="0" collapsed="false">
      <c r="A19811" s="0" t="s">
        <v>65373</v>
      </c>
      <c r="B19811" s="0" t="n">
        <v>28037</v>
      </c>
      <c r="C19811" s="0" t="n">
        <v>28057</v>
      </c>
      <c r="D19811" s="0" t="s">
        <v>65790</v>
      </c>
      <c r="E19811" s="0" t="s">
        <v>75</v>
      </c>
      <c r="F19811" s="0" t="s">
        <v>15</v>
      </c>
      <c r="G19811" s="0" t="s">
        <v>32</v>
      </c>
      <c r="H19811" s="0" t="n">
        <v>23</v>
      </c>
      <c r="I19811" s="0" t="s">
        <v>65791</v>
      </c>
      <c r="J19811" s="0" t="s">
        <v>65792</v>
      </c>
      <c r="K19811" s="0" t="s">
        <v>65793</v>
      </c>
      <c r="L19811" s="0" t="str">
        <f aca="false">HYPERLINK("https://www.ncbi.nlm.nih.gov/nuccore/CP000060.1?report=graph&amp;tracks=[key:gene_model_track,Options:GeneOnly]&amp;mk=28038:28057|offset_23|00cc00,28064:28083|offset_49|444444,28090:28109|offset_75|444444,28121:28140|offset_106|444444&amp;v=27837:28340&amp;c=444444", "offset 23")</f>
        <v>offset 23</v>
      </c>
    </row>
    <row r="19812" customFormat="false" ht="12.8" hidden="false" customHeight="false" outlineLevel="0" collapsed="false">
      <c r="A19812" s="0" t="s">
        <v>65373</v>
      </c>
      <c r="B19812" s="0" t="n">
        <v>28063</v>
      </c>
      <c r="C19812" s="0" t="n">
        <v>28083</v>
      </c>
      <c r="D19812" s="0" t="s">
        <v>65790</v>
      </c>
      <c r="E19812" s="0" t="s">
        <v>75</v>
      </c>
      <c r="F19812" s="0" t="s">
        <v>15</v>
      </c>
      <c r="G19812" s="0" t="s">
        <v>32</v>
      </c>
      <c r="H19812" s="0" t="n">
        <v>49</v>
      </c>
      <c r="I19812" s="0" t="s">
        <v>65794</v>
      </c>
      <c r="J19812" s="0" t="s">
        <v>65795</v>
      </c>
      <c r="K19812" s="0" t="s">
        <v>65796</v>
      </c>
      <c r="L19812" s="0" t="str">
        <f aca="false">HYPERLINK("https://www.ncbi.nlm.nih.gov/nuccore/CP000060.1?report=graph&amp;tracks=[key:gene_model_track,Options:GeneOnly]&amp;mk=28038:28057|offset_23|444444,28064:28083|offset_49|00cc00,28090:28109|offset_75|444444,28121:28140|offset_106|444444&amp;v=27837:28340&amp;c=444444", "offset 49")</f>
        <v>offset 49</v>
      </c>
    </row>
    <row r="19813" customFormat="false" ht="12.8" hidden="false" customHeight="false" outlineLevel="0" collapsed="false">
      <c r="A19813" s="0" t="s">
        <v>65373</v>
      </c>
      <c r="B19813" s="0" t="n">
        <v>28089</v>
      </c>
      <c r="C19813" s="0" t="n">
        <v>28109</v>
      </c>
      <c r="D19813" s="0" t="s">
        <v>65790</v>
      </c>
      <c r="E19813" s="0" t="s">
        <v>75</v>
      </c>
      <c r="F19813" s="0" t="s">
        <v>15</v>
      </c>
      <c r="G19813" s="0" t="s">
        <v>16</v>
      </c>
      <c r="H19813" s="0" t="n">
        <v>75</v>
      </c>
      <c r="I19813" s="0" t="s">
        <v>65797</v>
      </c>
      <c r="J19813" s="0" t="s">
        <v>65798</v>
      </c>
      <c r="K19813" s="0" t="s">
        <v>65799</v>
      </c>
      <c r="L19813" s="0" t="str">
        <f aca="false">HYPERLINK("https://www.ncbi.nlm.nih.gov/nuccore/CP000060.1?report=graph&amp;tracks=[key:gene_model_track,Options:GeneOnly]&amp;mk=28038:28057|offset_23|444444,28064:28083|offset_49|444444,28090:28109|offset_75|00cc00,28121:28140|offset_106|444444&amp;v=27837:28340&amp;c=444444", "offset 75")</f>
        <v>offset 75</v>
      </c>
    </row>
    <row r="19814" customFormat="false" ht="12.8" hidden="false" customHeight="false" outlineLevel="0" collapsed="false">
      <c r="A19814" s="0" t="s">
        <v>65373</v>
      </c>
      <c r="B19814" s="0" t="n">
        <v>28120</v>
      </c>
      <c r="C19814" s="0" t="n">
        <v>28140</v>
      </c>
      <c r="D19814" s="0" t="s">
        <v>65790</v>
      </c>
      <c r="E19814" s="0" t="s">
        <v>75</v>
      </c>
      <c r="F19814" s="0" t="s">
        <v>15</v>
      </c>
      <c r="G19814" s="0" t="s">
        <v>32</v>
      </c>
      <c r="H19814" s="0" t="n">
        <v>106</v>
      </c>
      <c r="I19814" s="0" t="s">
        <v>65800</v>
      </c>
      <c r="J19814" s="0" t="s">
        <v>65801</v>
      </c>
      <c r="K19814" s="0" t="s">
        <v>65802</v>
      </c>
      <c r="L19814" s="0" t="str">
        <f aca="false">HYPERLINK("https://www.ncbi.nlm.nih.gov/nuccore/CP000060.1?report=graph&amp;tracks=[key:gene_model_track,Options:GeneOnly]&amp;mk=28038:28057|offset_23|444444,28064:28083|offset_49|444444,28090:28109|offset_75|444444,28121:28140|offset_106|00cc00&amp;v=27837:28340&amp;c=444444", "offset 106")</f>
        <v>offset 106</v>
      </c>
    </row>
    <row r="19815" customFormat="false" ht="12.8" hidden="false" customHeight="false" outlineLevel="0" collapsed="false">
      <c r="A19815" s="0" t="s">
        <v>65373</v>
      </c>
      <c r="B19815" s="0" t="n">
        <v>29449</v>
      </c>
      <c r="C19815" s="0" t="n">
        <v>29469</v>
      </c>
      <c r="D19815" s="0" t="s">
        <v>65803</v>
      </c>
      <c r="E19815" s="0" t="s">
        <v>75</v>
      </c>
      <c r="F19815" s="0" t="s">
        <v>15</v>
      </c>
      <c r="G19815" s="0" t="s">
        <v>16</v>
      </c>
      <c r="H19815" s="0" t="n">
        <v>25</v>
      </c>
      <c r="I19815" s="0" t="s">
        <v>65804</v>
      </c>
      <c r="J19815" s="0" t="s">
        <v>65805</v>
      </c>
      <c r="K19815" s="0" t="s">
        <v>65806</v>
      </c>
      <c r="L19815" s="0" t="str">
        <f aca="false">HYPERLINK("https://www.ncbi.nlm.nih.gov/nuccore/CP000060.1?report=graph&amp;tracks=[key:gene_model_track,Options:GeneOnly]&amp;mk=29450:29469|offset_25|00cc00,29481:29500|offset_56|444444,29502:29521|offset_77|444444,29531:29550|offset_106|444444&amp;v=29249:29750&amp;c=444444", "offset 25")</f>
        <v>offset 25</v>
      </c>
    </row>
    <row r="19816" customFormat="false" ht="12.8" hidden="false" customHeight="false" outlineLevel="0" collapsed="false">
      <c r="A19816" s="0" t="s">
        <v>65373</v>
      </c>
      <c r="B19816" s="0" t="n">
        <v>29480</v>
      </c>
      <c r="C19816" s="0" t="n">
        <v>29500</v>
      </c>
      <c r="D19816" s="0" t="s">
        <v>65803</v>
      </c>
      <c r="E19816" s="0" t="s">
        <v>75</v>
      </c>
      <c r="F19816" s="0" t="s">
        <v>15</v>
      </c>
      <c r="G19816" s="0" t="s">
        <v>32</v>
      </c>
      <c r="H19816" s="0" t="n">
        <v>56</v>
      </c>
      <c r="I19816" s="0" t="s">
        <v>65807</v>
      </c>
      <c r="J19816" s="0" t="s">
        <v>65808</v>
      </c>
      <c r="K19816" s="0" t="s">
        <v>65809</v>
      </c>
      <c r="L19816" s="0" t="str">
        <f aca="false">HYPERLINK("https://www.ncbi.nlm.nih.gov/nuccore/CP000060.1?report=graph&amp;tracks=[key:gene_model_track,Options:GeneOnly]&amp;mk=29450:29469|offset_25|444444,29481:29500|offset_56|00cc00,29502:29521|offset_77|444444,29531:29550|offset_106|444444&amp;v=29249:29750&amp;c=444444", "offset 56")</f>
        <v>offset 56</v>
      </c>
    </row>
    <row r="19817" customFormat="false" ht="12.8" hidden="false" customHeight="false" outlineLevel="0" collapsed="false">
      <c r="A19817" s="0" t="s">
        <v>65373</v>
      </c>
      <c r="B19817" s="0" t="n">
        <v>29501</v>
      </c>
      <c r="C19817" s="0" t="n">
        <v>29521</v>
      </c>
      <c r="D19817" s="0" t="s">
        <v>65803</v>
      </c>
      <c r="E19817" s="0" t="s">
        <v>75</v>
      </c>
      <c r="F19817" s="0" t="s">
        <v>15</v>
      </c>
      <c r="G19817" s="0" t="s">
        <v>20</v>
      </c>
      <c r="H19817" s="0" t="n">
        <v>77</v>
      </c>
      <c r="I19817" s="0" t="s">
        <v>65810</v>
      </c>
      <c r="J19817" s="0" t="s">
        <v>65811</v>
      </c>
      <c r="K19817" s="0" t="s">
        <v>65812</v>
      </c>
      <c r="L19817" s="0" t="str">
        <f aca="false">HYPERLINK("https://www.ncbi.nlm.nih.gov/nuccore/CP000060.1?report=graph&amp;tracks=[key:gene_model_track,Options:GeneOnly]&amp;mk=29450:29469|offset_25|444444,29481:29500|offset_56|444444,29502:29521|offset_77|00cc00,29531:29550|offset_106|444444&amp;v=29249:29750&amp;c=444444", "offset 77")</f>
        <v>offset 77</v>
      </c>
    </row>
    <row r="19818" customFormat="false" ht="12.8" hidden="false" customHeight="false" outlineLevel="0" collapsed="false">
      <c r="A19818" s="0" t="s">
        <v>65373</v>
      </c>
      <c r="B19818" s="0" t="n">
        <v>29530</v>
      </c>
      <c r="C19818" s="0" t="n">
        <v>29550</v>
      </c>
      <c r="D19818" s="0" t="s">
        <v>65803</v>
      </c>
      <c r="E19818" s="0" t="s">
        <v>75</v>
      </c>
      <c r="F19818" s="0" t="s">
        <v>15</v>
      </c>
      <c r="G19818" s="0" t="s">
        <v>32</v>
      </c>
      <c r="H19818" s="0" t="n">
        <v>106</v>
      </c>
      <c r="I19818" s="0" t="s">
        <v>65813</v>
      </c>
      <c r="J19818" s="0" t="s">
        <v>65814</v>
      </c>
      <c r="K19818" s="0" t="s">
        <v>65815</v>
      </c>
      <c r="L19818" s="0" t="str">
        <f aca="false">HYPERLINK("https://www.ncbi.nlm.nih.gov/nuccore/CP000060.1?report=graph&amp;tracks=[key:gene_model_track,Options:GeneOnly]&amp;mk=29450:29469|offset_25|444444,29481:29500|offset_56|444444,29502:29521|offset_77|444444,29531:29550|offset_106|00cc00&amp;v=29249:29750&amp;c=444444", "offset 106")</f>
        <v>offset 106</v>
      </c>
    </row>
    <row r="19819" customFormat="false" ht="12.8" hidden="false" customHeight="false" outlineLevel="0" collapsed="false">
      <c r="A19819" s="0" t="s">
        <v>65373</v>
      </c>
      <c r="B19819" s="0" t="n">
        <v>30466</v>
      </c>
      <c r="C19819" s="0" t="n">
        <v>30486</v>
      </c>
      <c r="D19819" s="0" t="s">
        <v>65816</v>
      </c>
      <c r="E19819" s="0" t="s">
        <v>75</v>
      </c>
      <c r="F19819" s="0" t="s">
        <v>15</v>
      </c>
      <c r="G19819" s="0" t="s">
        <v>32</v>
      </c>
      <c r="H19819" s="0" t="n">
        <v>1</v>
      </c>
      <c r="I19819" s="0" t="s">
        <v>61287</v>
      </c>
      <c r="J19819" s="0" t="s">
        <v>61288</v>
      </c>
      <c r="K19819" s="0" t="s">
        <v>61289</v>
      </c>
      <c r="L19819" s="0" t="str">
        <f aca="false">HYPERLINK("https://www.ncbi.nlm.nih.gov/nuccore/CP000060.1?report=graph&amp;tracks=[key:gene_model_track,Options:GeneOnly]&amp;mk=30467:30486|offset_1|00cc00,30552:30571|offset_86|444444,30582:30601|offset_116|444444,30608:30627|offset_142|444444&amp;v=30266:30827&amp;c=444444", "offset 1")</f>
        <v>offset 1</v>
      </c>
    </row>
    <row r="19820" customFormat="false" ht="12.8" hidden="false" customHeight="false" outlineLevel="0" collapsed="false">
      <c r="A19820" s="0" t="s">
        <v>65373</v>
      </c>
      <c r="B19820" s="0" t="n">
        <v>30551</v>
      </c>
      <c r="C19820" s="0" t="n">
        <v>30571</v>
      </c>
      <c r="D19820" s="0" t="s">
        <v>65816</v>
      </c>
      <c r="E19820" s="0" t="s">
        <v>75</v>
      </c>
      <c r="F19820" s="0" t="s">
        <v>15</v>
      </c>
      <c r="G19820" s="0" t="s">
        <v>20</v>
      </c>
      <c r="H19820" s="0" t="n">
        <v>86</v>
      </c>
      <c r="I19820" s="0" t="s">
        <v>65817</v>
      </c>
      <c r="J19820" s="0" t="s">
        <v>65818</v>
      </c>
      <c r="K19820" s="0" t="s">
        <v>65819</v>
      </c>
      <c r="L19820" s="0" t="str">
        <f aca="false">HYPERLINK("https://www.ncbi.nlm.nih.gov/nuccore/CP000060.1?report=graph&amp;tracks=[key:gene_model_track,Options:GeneOnly]&amp;mk=30467:30486|offset_1|444444,30552:30571|offset_86|00cc00,30582:30601|offset_116|444444,30608:30627|offset_142|444444&amp;v=30266:30827&amp;c=444444", "offset 86")</f>
        <v>offset 86</v>
      </c>
    </row>
    <row r="19821" customFormat="false" ht="12.8" hidden="false" customHeight="false" outlineLevel="0" collapsed="false">
      <c r="A19821" s="0" t="s">
        <v>65373</v>
      </c>
      <c r="B19821" s="0" t="n">
        <v>30581</v>
      </c>
      <c r="C19821" s="0" t="n">
        <v>30601</v>
      </c>
      <c r="D19821" s="0" t="s">
        <v>65816</v>
      </c>
      <c r="E19821" s="0" t="s">
        <v>75</v>
      </c>
      <c r="F19821" s="0" t="s">
        <v>15</v>
      </c>
      <c r="G19821" s="0" t="s">
        <v>20</v>
      </c>
      <c r="H19821" s="0" t="n">
        <v>116</v>
      </c>
      <c r="I19821" s="0" t="s">
        <v>65820</v>
      </c>
      <c r="J19821" s="0" t="s">
        <v>65821</v>
      </c>
      <c r="K19821" s="0" t="s">
        <v>65822</v>
      </c>
      <c r="L19821" s="0" t="str">
        <f aca="false">HYPERLINK("https://www.ncbi.nlm.nih.gov/nuccore/CP000060.1?report=graph&amp;tracks=[key:gene_model_track,Options:GeneOnly]&amp;mk=30467:30486|offset_1|444444,30552:30571|offset_86|444444,30582:30601|offset_116|00cc00,30608:30627|offset_142|444444&amp;v=30266:30827&amp;c=444444", "offset 116")</f>
        <v>offset 116</v>
      </c>
    </row>
    <row r="19822" customFormat="false" ht="12.8" hidden="false" customHeight="false" outlineLevel="0" collapsed="false">
      <c r="A19822" s="0" t="s">
        <v>65373</v>
      </c>
      <c r="B19822" s="0" t="n">
        <v>30607</v>
      </c>
      <c r="C19822" s="0" t="n">
        <v>30627</v>
      </c>
      <c r="D19822" s="0" t="s">
        <v>65816</v>
      </c>
      <c r="E19822" s="0" t="s">
        <v>75</v>
      </c>
      <c r="F19822" s="0" t="s">
        <v>15</v>
      </c>
      <c r="G19822" s="0" t="s">
        <v>36</v>
      </c>
      <c r="H19822" s="0" t="n">
        <v>142</v>
      </c>
      <c r="I19822" s="0" t="s">
        <v>65823</v>
      </c>
      <c r="J19822" s="0" t="s">
        <v>65824</v>
      </c>
      <c r="K19822" s="0" t="s">
        <v>65825</v>
      </c>
      <c r="L19822" s="0" t="str">
        <f aca="false">HYPERLINK("https://www.ncbi.nlm.nih.gov/nuccore/CP000060.1?report=graph&amp;tracks=[key:gene_model_track,Options:GeneOnly]&amp;mk=30467:30486|offset_1|444444,30552:30571|offset_86|444444,30582:30601|offset_116|444444,30608:30627|offset_142|00cc00&amp;v=30266:30827&amp;c=444444", "offset 142")</f>
        <v>offset 142</v>
      </c>
    </row>
    <row r="19823" customFormat="false" ht="12.8" hidden="false" customHeight="false" outlineLevel="0" collapsed="false">
      <c r="A19823" s="0" t="s">
        <v>65373</v>
      </c>
      <c r="B19823" s="0" t="n">
        <v>30946</v>
      </c>
      <c r="C19823" s="0" t="n">
        <v>30966</v>
      </c>
      <c r="D19823" s="0" t="s">
        <v>65826</v>
      </c>
      <c r="E19823" s="0" t="s">
        <v>75</v>
      </c>
      <c r="F19823" s="0" t="s">
        <v>15</v>
      </c>
      <c r="G19823" s="0" t="s">
        <v>32</v>
      </c>
      <c r="H19823" s="0" t="n">
        <v>0</v>
      </c>
      <c r="I19823" s="0" t="s">
        <v>65827</v>
      </c>
      <c r="J19823" s="0" t="s">
        <v>65828</v>
      </c>
      <c r="K19823" s="0" t="s">
        <v>65829</v>
      </c>
      <c r="L19823" s="0" t="str">
        <f aca="false">HYPERLINK("https://www.ncbi.nlm.nih.gov/nuccore/CP000060.1?report=graph&amp;tracks=[key:gene_model_track,Options:GeneOnly]&amp;mk=30947:30966|offset_0|00cc00,30974:30993|offset_27|444444,30995:31014|offset_48|444444,31062:31081|offset_115|444444&amp;v=30746:31281&amp;c=444444", "offset 0")</f>
        <v>offset 0</v>
      </c>
    </row>
    <row r="19824" customFormat="false" ht="12.8" hidden="false" customHeight="false" outlineLevel="0" collapsed="false">
      <c r="A19824" s="0" t="s">
        <v>65373</v>
      </c>
      <c r="B19824" s="0" t="n">
        <v>30973</v>
      </c>
      <c r="C19824" s="0" t="n">
        <v>30993</v>
      </c>
      <c r="D19824" s="0" t="s">
        <v>65826</v>
      </c>
      <c r="E19824" s="0" t="s">
        <v>75</v>
      </c>
      <c r="F19824" s="0" t="s">
        <v>15</v>
      </c>
      <c r="G19824" s="0" t="s">
        <v>36</v>
      </c>
      <c r="H19824" s="0" t="n">
        <v>27</v>
      </c>
      <c r="I19824" s="0" t="s">
        <v>65830</v>
      </c>
      <c r="J19824" s="0" t="s">
        <v>65831</v>
      </c>
      <c r="K19824" s="0" t="s">
        <v>65832</v>
      </c>
      <c r="L19824" s="0" t="str">
        <f aca="false">HYPERLINK("https://www.ncbi.nlm.nih.gov/nuccore/CP000060.1?report=graph&amp;tracks=[key:gene_model_track,Options:GeneOnly]&amp;mk=30947:30966|offset_0|444444,30974:30993|offset_27|00cc00,30995:31014|offset_48|444444,31062:31081|offset_115|444444&amp;v=30746:31281&amp;c=444444", "offset 27")</f>
        <v>offset 27</v>
      </c>
    </row>
    <row r="19825" customFormat="false" ht="12.8" hidden="false" customHeight="false" outlineLevel="0" collapsed="false">
      <c r="A19825" s="0" t="s">
        <v>65373</v>
      </c>
      <c r="B19825" s="0" t="n">
        <v>30994</v>
      </c>
      <c r="C19825" s="0" t="n">
        <v>31014</v>
      </c>
      <c r="D19825" s="0" t="s">
        <v>65826</v>
      </c>
      <c r="E19825" s="0" t="s">
        <v>75</v>
      </c>
      <c r="F19825" s="0" t="s">
        <v>15</v>
      </c>
      <c r="G19825" s="0" t="s">
        <v>36</v>
      </c>
      <c r="H19825" s="0" t="n">
        <v>48</v>
      </c>
      <c r="I19825" s="0" t="s">
        <v>65833</v>
      </c>
      <c r="J19825" s="0" t="s">
        <v>65834</v>
      </c>
      <c r="K19825" s="0" t="s">
        <v>65835</v>
      </c>
      <c r="L19825" s="0" t="str">
        <f aca="false">HYPERLINK("https://www.ncbi.nlm.nih.gov/nuccore/CP000060.1?report=graph&amp;tracks=[key:gene_model_track,Options:GeneOnly]&amp;mk=30947:30966|offset_0|444444,30974:30993|offset_27|444444,30995:31014|offset_48|00cc00,31062:31081|offset_115|444444&amp;v=30746:31281&amp;c=444444", "offset 48")</f>
        <v>offset 48</v>
      </c>
    </row>
    <row r="19826" customFormat="false" ht="12.8" hidden="false" customHeight="false" outlineLevel="0" collapsed="false">
      <c r="A19826" s="0" t="s">
        <v>65373</v>
      </c>
      <c r="B19826" s="0" t="n">
        <v>31061</v>
      </c>
      <c r="C19826" s="0" t="n">
        <v>31081</v>
      </c>
      <c r="D19826" s="0" t="s">
        <v>65826</v>
      </c>
      <c r="E19826" s="0" t="s">
        <v>75</v>
      </c>
      <c r="F19826" s="0" t="s">
        <v>15</v>
      </c>
      <c r="G19826" s="0" t="s">
        <v>36</v>
      </c>
      <c r="H19826" s="0" t="n">
        <v>115</v>
      </c>
      <c r="I19826" s="0" t="s">
        <v>65836</v>
      </c>
      <c r="J19826" s="0" t="s">
        <v>65837</v>
      </c>
      <c r="K19826" s="0" t="s">
        <v>65838</v>
      </c>
      <c r="L19826" s="0" t="str">
        <f aca="false">HYPERLINK("https://www.ncbi.nlm.nih.gov/nuccore/CP000060.1?report=graph&amp;tracks=[key:gene_model_track,Options:GeneOnly]&amp;mk=30947:30966|offset_0|444444,30974:30993|offset_27|444444,30995:31014|offset_48|444444,31062:31081|offset_115|00cc00&amp;v=30746:31281&amp;c=444444", "offset 115")</f>
        <v>offset 115</v>
      </c>
    </row>
    <row r="19827" customFormat="false" ht="12.8" hidden="false" customHeight="false" outlineLevel="0" collapsed="false">
      <c r="A19827" s="0" t="s">
        <v>65373</v>
      </c>
      <c r="B19827" s="0" t="n">
        <v>31189</v>
      </c>
      <c r="C19827" s="0" t="n">
        <v>31209</v>
      </c>
      <c r="D19827" s="0" t="s">
        <v>65839</v>
      </c>
      <c r="E19827" s="0" t="s">
        <v>75</v>
      </c>
      <c r="F19827" s="0" t="s">
        <v>15</v>
      </c>
      <c r="G19827" s="0" t="s">
        <v>36</v>
      </c>
      <c r="H19827" s="0" t="n">
        <v>26</v>
      </c>
      <c r="I19827" s="0" t="s">
        <v>65840</v>
      </c>
      <c r="J19827" s="0" t="s">
        <v>65841</v>
      </c>
      <c r="K19827" s="0" t="s">
        <v>65842</v>
      </c>
      <c r="L19827" s="0" t="str">
        <f aca="false">HYPERLINK("https://www.ncbi.nlm.nih.gov/nuccore/CP000060.1?report=graph&amp;tracks=[key:gene_model_track,Options:GeneOnly]&amp;mk=31190:31209|offset_26|00cc00,31214:31233|offset_50|444444,31243:31262|offset_79|444444,31276:31295|offset_112|444444&amp;v=30989:31495&amp;c=444444", "offset 26")</f>
        <v>offset 26</v>
      </c>
    </row>
    <row r="19828" customFormat="false" ht="12.8" hidden="false" customHeight="false" outlineLevel="0" collapsed="false">
      <c r="A19828" s="0" t="s">
        <v>65373</v>
      </c>
      <c r="B19828" s="0" t="n">
        <v>31213</v>
      </c>
      <c r="C19828" s="0" t="n">
        <v>31233</v>
      </c>
      <c r="D19828" s="0" t="s">
        <v>65839</v>
      </c>
      <c r="E19828" s="0" t="s">
        <v>75</v>
      </c>
      <c r="F19828" s="0" t="s">
        <v>15</v>
      </c>
      <c r="G19828" s="0" t="s">
        <v>32</v>
      </c>
      <c r="H19828" s="0" t="n">
        <v>50</v>
      </c>
      <c r="I19828" s="0" t="s">
        <v>65843</v>
      </c>
      <c r="J19828" s="0" t="s">
        <v>65844</v>
      </c>
      <c r="K19828" s="0" t="s">
        <v>65845</v>
      </c>
      <c r="L19828" s="0" t="str">
        <f aca="false">HYPERLINK("https://www.ncbi.nlm.nih.gov/nuccore/CP000060.1?report=graph&amp;tracks=[key:gene_model_track,Options:GeneOnly]&amp;mk=31190:31209|offset_26|444444,31214:31233|offset_50|00cc00,31243:31262|offset_79|444444,31276:31295|offset_112|444444&amp;v=30989:31495&amp;c=444444", "offset 50")</f>
        <v>offset 50</v>
      </c>
    </row>
    <row r="19829" customFormat="false" ht="12.8" hidden="false" customHeight="false" outlineLevel="0" collapsed="false">
      <c r="A19829" s="0" t="s">
        <v>65373</v>
      </c>
      <c r="B19829" s="0" t="n">
        <v>31242</v>
      </c>
      <c r="C19829" s="0" t="n">
        <v>31262</v>
      </c>
      <c r="D19829" s="0" t="s">
        <v>65839</v>
      </c>
      <c r="E19829" s="0" t="s">
        <v>75</v>
      </c>
      <c r="F19829" s="0" t="s">
        <v>15</v>
      </c>
      <c r="G19829" s="0" t="s">
        <v>32</v>
      </c>
      <c r="H19829" s="0" t="n">
        <v>79</v>
      </c>
      <c r="I19829" s="0" t="s">
        <v>65846</v>
      </c>
      <c r="J19829" s="0" t="s">
        <v>65847</v>
      </c>
      <c r="K19829" s="0" t="s">
        <v>65848</v>
      </c>
      <c r="L19829" s="0" t="str">
        <f aca="false">HYPERLINK("https://www.ncbi.nlm.nih.gov/nuccore/CP000060.1?report=graph&amp;tracks=[key:gene_model_track,Options:GeneOnly]&amp;mk=31190:31209|offset_26|444444,31214:31233|offset_50|444444,31243:31262|offset_79|00cc00,31276:31295|offset_112|444444&amp;v=30989:31495&amp;c=444444", "offset 79")</f>
        <v>offset 79</v>
      </c>
    </row>
    <row r="19830" customFormat="false" ht="12.8" hidden="false" customHeight="false" outlineLevel="0" collapsed="false">
      <c r="A19830" s="0" t="s">
        <v>65373</v>
      </c>
      <c r="B19830" s="0" t="n">
        <v>31275</v>
      </c>
      <c r="C19830" s="0" t="n">
        <v>31295</v>
      </c>
      <c r="D19830" s="0" t="s">
        <v>65839</v>
      </c>
      <c r="E19830" s="0" t="s">
        <v>75</v>
      </c>
      <c r="F19830" s="0" t="s">
        <v>15</v>
      </c>
      <c r="G19830" s="0" t="s">
        <v>16</v>
      </c>
      <c r="H19830" s="0" t="n">
        <v>112</v>
      </c>
      <c r="I19830" s="0" t="s">
        <v>65849</v>
      </c>
      <c r="J19830" s="0" t="s">
        <v>65850</v>
      </c>
      <c r="K19830" s="0" t="s">
        <v>65851</v>
      </c>
      <c r="L19830" s="0" t="str">
        <f aca="false">HYPERLINK("https://www.ncbi.nlm.nih.gov/nuccore/CP000060.1?report=graph&amp;tracks=[key:gene_model_track,Options:GeneOnly]&amp;mk=31190:31209|offset_26|444444,31214:31233|offset_50|444444,31243:31262|offset_79|444444,31276:31295|offset_112|00cc00&amp;v=30989:31495&amp;c=444444", "offset 112")</f>
        <v>offset 112</v>
      </c>
    </row>
    <row r="19831" customFormat="false" ht="12.8" hidden="false" customHeight="false" outlineLevel="0" collapsed="false">
      <c r="A19831" s="0" t="s">
        <v>65373</v>
      </c>
      <c r="B19831" s="0" t="n">
        <v>33578</v>
      </c>
      <c r="C19831" s="0" t="n">
        <v>33598</v>
      </c>
      <c r="D19831" s="0" t="s">
        <v>65852</v>
      </c>
      <c r="E19831" s="0" t="s">
        <v>75</v>
      </c>
      <c r="F19831" s="0" t="s">
        <v>15</v>
      </c>
      <c r="G19831" s="0" t="s">
        <v>32</v>
      </c>
      <c r="H19831" s="0" t="n">
        <v>0</v>
      </c>
      <c r="I19831" s="0" t="s">
        <v>65853</v>
      </c>
      <c r="J19831" s="0" t="s">
        <v>65854</v>
      </c>
      <c r="K19831" s="0" t="s">
        <v>65855</v>
      </c>
      <c r="L19831" s="0" t="str">
        <f aca="false">HYPERLINK("https://www.ncbi.nlm.nih.gov/nuccore/CP000060.1?report=graph&amp;tracks=[key:gene_model_track,Options:GeneOnly]&amp;mk=33579:33598|offset_0|00cc00,33649:33668|offset_70|444444,33682:33701|offset_103|444444,33705:33724|offset_126|444444&amp;v=33378:33924&amp;c=444444", "offset 0")</f>
        <v>offset 0</v>
      </c>
    </row>
    <row r="19832" customFormat="false" ht="12.8" hidden="false" customHeight="false" outlineLevel="0" collapsed="false">
      <c r="A19832" s="0" t="s">
        <v>65373</v>
      </c>
      <c r="B19832" s="0" t="n">
        <v>33648</v>
      </c>
      <c r="C19832" s="0" t="n">
        <v>33668</v>
      </c>
      <c r="D19832" s="0" t="s">
        <v>65852</v>
      </c>
      <c r="E19832" s="0" t="s">
        <v>75</v>
      </c>
      <c r="F19832" s="0" t="s">
        <v>15</v>
      </c>
      <c r="G19832" s="0" t="s">
        <v>16</v>
      </c>
      <c r="H19832" s="0" t="n">
        <v>70</v>
      </c>
      <c r="I19832" s="0" t="s">
        <v>65856</v>
      </c>
      <c r="J19832" s="0" t="s">
        <v>65857</v>
      </c>
      <c r="K19832" s="0" t="s">
        <v>65858</v>
      </c>
      <c r="L19832" s="0" t="str">
        <f aca="false">HYPERLINK("https://www.ncbi.nlm.nih.gov/nuccore/CP000060.1?report=graph&amp;tracks=[key:gene_model_track,Options:GeneOnly]&amp;mk=33579:33598|offset_0|444444,33649:33668|offset_70|00cc00,33682:33701|offset_103|444444,33705:33724|offset_126|444444&amp;v=33378:33924&amp;c=444444", "offset 70")</f>
        <v>offset 70</v>
      </c>
    </row>
    <row r="19833" customFormat="false" ht="12.8" hidden="false" customHeight="false" outlineLevel="0" collapsed="false">
      <c r="A19833" s="0" t="s">
        <v>65373</v>
      </c>
      <c r="B19833" s="0" t="n">
        <v>33681</v>
      </c>
      <c r="C19833" s="0" t="n">
        <v>33701</v>
      </c>
      <c r="D19833" s="0" t="s">
        <v>65852</v>
      </c>
      <c r="E19833" s="0" t="s">
        <v>75</v>
      </c>
      <c r="F19833" s="0" t="s">
        <v>15</v>
      </c>
      <c r="G19833" s="0" t="s">
        <v>36</v>
      </c>
      <c r="H19833" s="0" t="n">
        <v>103</v>
      </c>
      <c r="I19833" s="0" t="s">
        <v>65859</v>
      </c>
      <c r="J19833" s="0" t="s">
        <v>65860</v>
      </c>
      <c r="K19833" s="0" t="s">
        <v>65861</v>
      </c>
      <c r="L19833" s="0" t="str">
        <f aca="false">HYPERLINK("https://www.ncbi.nlm.nih.gov/nuccore/CP000060.1?report=graph&amp;tracks=[key:gene_model_track,Options:GeneOnly]&amp;mk=33579:33598|offset_0|444444,33649:33668|offset_70|444444,33682:33701|offset_103|00cc00,33705:33724|offset_126|444444&amp;v=33378:33924&amp;c=444444", "offset 103")</f>
        <v>offset 103</v>
      </c>
    </row>
    <row r="19834" customFormat="false" ht="12.8" hidden="false" customHeight="false" outlineLevel="0" collapsed="false">
      <c r="A19834" s="0" t="s">
        <v>65373</v>
      </c>
      <c r="B19834" s="0" t="n">
        <v>33704</v>
      </c>
      <c r="C19834" s="0" t="n">
        <v>33724</v>
      </c>
      <c r="D19834" s="0" t="s">
        <v>65852</v>
      </c>
      <c r="E19834" s="0" t="s">
        <v>75</v>
      </c>
      <c r="F19834" s="0" t="s">
        <v>15</v>
      </c>
      <c r="G19834" s="0" t="s">
        <v>32</v>
      </c>
      <c r="H19834" s="0" t="n">
        <v>126</v>
      </c>
      <c r="I19834" s="0" t="s">
        <v>65862</v>
      </c>
      <c r="J19834" s="0" t="s">
        <v>65863</v>
      </c>
      <c r="K19834" s="0" t="s">
        <v>65864</v>
      </c>
      <c r="L19834" s="0" t="str">
        <f aca="false">HYPERLINK("https://www.ncbi.nlm.nih.gov/nuccore/CP000060.1?report=graph&amp;tracks=[key:gene_model_track,Options:GeneOnly]&amp;mk=33579:33598|offset_0|444444,33649:33668|offset_70|444444,33682:33701|offset_103|444444,33705:33724|offset_126|00cc00&amp;v=33378:33924&amp;c=444444", "offset 126")</f>
        <v>offset 126</v>
      </c>
    </row>
    <row r="19835" customFormat="false" ht="12.8" hidden="false" customHeight="false" outlineLevel="0" collapsed="false">
      <c r="A19835" s="0" t="s">
        <v>65373</v>
      </c>
      <c r="B19835" s="0" t="n">
        <v>33872</v>
      </c>
      <c r="C19835" s="0" t="n">
        <v>33892</v>
      </c>
      <c r="D19835" s="0" t="s">
        <v>65865</v>
      </c>
      <c r="E19835" s="0" t="s">
        <v>75</v>
      </c>
      <c r="F19835" s="0" t="s">
        <v>15</v>
      </c>
      <c r="G19835" s="0" t="s">
        <v>32</v>
      </c>
      <c r="H19835" s="0" t="n">
        <v>7</v>
      </c>
      <c r="I19835" s="0" t="s">
        <v>65866</v>
      </c>
      <c r="J19835" s="0" t="s">
        <v>65867</v>
      </c>
      <c r="K19835" s="0" t="s">
        <v>65868</v>
      </c>
      <c r="L19835" s="0" t="str">
        <f aca="false">HYPERLINK("https://www.ncbi.nlm.nih.gov/nuccore/CP000060.1?report=graph&amp;tracks=[key:gene_model_track,Options:GeneOnly]&amp;mk=33873:33892|offset_7|00cc00,33898:33917|offset_32|444444,33931:33950|offset_65|444444,33955:33974|offset_89|444444&amp;v=33672:34174&amp;c=444444", "offset 7")</f>
        <v>offset 7</v>
      </c>
    </row>
    <row r="19836" customFormat="false" ht="12.8" hidden="false" customHeight="false" outlineLevel="0" collapsed="false">
      <c r="A19836" s="0" t="s">
        <v>65373</v>
      </c>
      <c r="B19836" s="0" t="n">
        <v>33897</v>
      </c>
      <c r="C19836" s="0" t="n">
        <v>33917</v>
      </c>
      <c r="D19836" s="0" t="s">
        <v>65865</v>
      </c>
      <c r="E19836" s="0" t="s">
        <v>75</v>
      </c>
      <c r="F19836" s="0" t="s">
        <v>15</v>
      </c>
      <c r="G19836" s="0" t="s">
        <v>36</v>
      </c>
      <c r="H19836" s="0" t="n">
        <v>32</v>
      </c>
      <c r="I19836" s="0" t="s">
        <v>65869</v>
      </c>
      <c r="J19836" s="0" t="s">
        <v>65870</v>
      </c>
      <c r="K19836" s="0" t="s">
        <v>65871</v>
      </c>
      <c r="L19836" s="0" t="str">
        <f aca="false">HYPERLINK("https://www.ncbi.nlm.nih.gov/nuccore/CP000060.1?report=graph&amp;tracks=[key:gene_model_track,Options:GeneOnly]&amp;mk=33873:33892|offset_7|444444,33898:33917|offset_32|00cc00,33931:33950|offset_65|444444,33955:33974|offset_89|444444&amp;v=33672:34174&amp;c=444444", "offset 32")</f>
        <v>offset 32</v>
      </c>
    </row>
    <row r="19837" customFormat="false" ht="12.8" hidden="false" customHeight="false" outlineLevel="0" collapsed="false">
      <c r="A19837" s="0" t="s">
        <v>65373</v>
      </c>
      <c r="B19837" s="0" t="n">
        <v>33930</v>
      </c>
      <c r="C19837" s="0" t="n">
        <v>33950</v>
      </c>
      <c r="D19837" s="0" t="s">
        <v>65865</v>
      </c>
      <c r="E19837" s="0" t="s">
        <v>75</v>
      </c>
      <c r="F19837" s="0" t="s">
        <v>15</v>
      </c>
      <c r="G19837" s="0" t="s">
        <v>36</v>
      </c>
      <c r="H19837" s="0" t="n">
        <v>65</v>
      </c>
      <c r="I19837" s="0" t="s">
        <v>65872</v>
      </c>
      <c r="J19837" s="0" t="s">
        <v>65873</v>
      </c>
      <c r="K19837" s="0" t="s">
        <v>65874</v>
      </c>
      <c r="L19837" s="0" t="str">
        <f aca="false">HYPERLINK("https://www.ncbi.nlm.nih.gov/nuccore/CP000060.1?report=graph&amp;tracks=[key:gene_model_track,Options:GeneOnly]&amp;mk=33873:33892|offset_7|444444,33898:33917|offset_32|444444,33931:33950|offset_65|00cc00,33955:33974|offset_89|444444&amp;v=33672:34174&amp;c=444444", "offset 65")</f>
        <v>offset 65</v>
      </c>
    </row>
    <row r="19838" customFormat="false" ht="12.8" hidden="false" customHeight="false" outlineLevel="0" collapsed="false">
      <c r="A19838" s="0" t="s">
        <v>65373</v>
      </c>
      <c r="B19838" s="0" t="n">
        <v>33954</v>
      </c>
      <c r="C19838" s="0" t="n">
        <v>33974</v>
      </c>
      <c r="D19838" s="0" t="s">
        <v>65865</v>
      </c>
      <c r="E19838" s="0" t="s">
        <v>75</v>
      </c>
      <c r="F19838" s="0" t="s">
        <v>15</v>
      </c>
      <c r="G19838" s="0" t="s">
        <v>36</v>
      </c>
      <c r="H19838" s="0" t="n">
        <v>89</v>
      </c>
      <c r="I19838" s="0" t="s">
        <v>65875</v>
      </c>
      <c r="J19838" s="0" t="s">
        <v>65876</v>
      </c>
      <c r="K19838" s="0" t="s">
        <v>65877</v>
      </c>
      <c r="L19838" s="0" t="str">
        <f aca="false">HYPERLINK("https://www.ncbi.nlm.nih.gov/nuccore/CP000060.1?report=graph&amp;tracks=[key:gene_model_track,Options:GeneOnly]&amp;mk=33873:33892|offset_7|444444,33898:33917|offset_32|444444,33931:33950|offset_65|444444,33955:33974|offset_89|00cc00&amp;v=33672:34174&amp;c=444444", "offset 89")</f>
        <v>offset 89</v>
      </c>
    </row>
    <row r="19839" customFormat="false" ht="12.8" hidden="false" customHeight="false" outlineLevel="0" collapsed="false">
      <c r="A19839" s="0" t="s">
        <v>65373</v>
      </c>
      <c r="B19839" s="0" t="n">
        <v>35567</v>
      </c>
      <c r="C19839" s="0" t="n">
        <v>35587</v>
      </c>
      <c r="D19839" s="0" t="s">
        <v>65878</v>
      </c>
      <c r="E19839" s="0" t="s">
        <v>75</v>
      </c>
      <c r="F19839" s="0" t="s">
        <v>15</v>
      </c>
      <c r="G19839" s="0" t="s">
        <v>20</v>
      </c>
      <c r="H19839" s="0" t="n">
        <v>10</v>
      </c>
      <c r="I19839" s="0" t="s">
        <v>65879</v>
      </c>
      <c r="J19839" s="0" t="s">
        <v>65880</v>
      </c>
      <c r="K19839" s="0" t="s">
        <v>65881</v>
      </c>
      <c r="L19839" s="0" t="str">
        <f aca="false">HYPERLINK("https://www.ncbi.nlm.nih.gov/nuccore/CP000060.1?report=graph&amp;tracks=[key:gene_model_track,Options:GeneOnly]&amp;mk=35568:35587|offset_10|00cc00,35590:35609|offset_32|444444,35613:35632|offset_55|444444,35662:35681|offset_104|444444&amp;v=35367:35881&amp;c=444444", "offset 10")</f>
        <v>offset 10</v>
      </c>
    </row>
    <row r="19840" customFormat="false" ht="12.8" hidden="false" customHeight="false" outlineLevel="0" collapsed="false">
      <c r="A19840" s="0" t="s">
        <v>65373</v>
      </c>
      <c r="B19840" s="0" t="n">
        <v>35589</v>
      </c>
      <c r="C19840" s="0" t="n">
        <v>35609</v>
      </c>
      <c r="D19840" s="0" t="s">
        <v>65878</v>
      </c>
      <c r="E19840" s="0" t="s">
        <v>75</v>
      </c>
      <c r="F19840" s="0" t="s">
        <v>15</v>
      </c>
      <c r="G19840" s="0" t="s">
        <v>32</v>
      </c>
      <c r="H19840" s="0" t="n">
        <v>32</v>
      </c>
      <c r="I19840" s="0" t="s">
        <v>65882</v>
      </c>
      <c r="J19840" s="0" t="s">
        <v>65883</v>
      </c>
      <c r="K19840" s="0" t="s">
        <v>65884</v>
      </c>
      <c r="L19840" s="0" t="str">
        <f aca="false">HYPERLINK("https://www.ncbi.nlm.nih.gov/nuccore/CP000060.1?report=graph&amp;tracks=[key:gene_model_track,Options:GeneOnly]&amp;mk=35568:35587|offset_10|444444,35590:35609|offset_32|00cc00,35613:35632|offset_55|444444,35662:35681|offset_104|444444&amp;v=35367:35881&amp;c=444444", "offset 32")</f>
        <v>offset 32</v>
      </c>
    </row>
    <row r="19841" customFormat="false" ht="12.8" hidden="false" customHeight="false" outlineLevel="0" collapsed="false">
      <c r="A19841" s="0" t="s">
        <v>65373</v>
      </c>
      <c r="B19841" s="0" t="n">
        <v>35612</v>
      </c>
      <c r="C19841" s="0" t="n">
        <v>35632</v>
      </c>
      <c r="D19841" s="0" t="s">
        <v>65878</v>
      </c>
      <c r="E19841" s="0" t="s">
        <v>75</v>
      </c>
      <c r="F19841" s="0" t="s">
        <v>15</v>
      </c>
      <c r="G19841" s="0" t="s">
        <v>16</v>
      </c>
      <c r="H19841" s="0" t="n">
        <v>55</v>
      </c>
      <c r="I19841" s="0" t="s">
        <v>65885</v>
      </c>
      <c r="J19841" s="0" t="s">
        <v>65886</v>
      </c>
      <c r="K19841" s="0" t="s">
        <v>65887</v>
      </c>
      <c r="L19841" s="0" t="str">
        <f aca="false">HYPERLINK("https://www.ncbi.nlm.nih.gov/nuccore/CP000060.1?report=graph&amp;tracks=[key:gene_model_track,Options:GeneOnly]&amp;mk=35568:35587|offset_10|444444,35590:35609|offset_32|444444,35613:35632|offset_55|00cc00,35662:35681|offset_104|444444&amp;v=35367:35881&amp;c=444444", "offset 55")</f>
        <v>offset 55</v>
      </c>
    </row>
    <row r="19842" customFormat="false" ht="12.8" hidden="false" customHeight="false" outlineLevel="0" collapsed="false">
      <c r="A19842" s="0" t="s">
        <v>65373</v>
      </c>
      <c r="B19842" s="0" t="n">
        <v>35661</v>
      </c>
      <c r="C19842" s="0" t="n">
        <v>35681</v>
      </c>
      <c r="D19842" s="0" t="s">
        <v>65878</v>
      </c>
      <c r="E19842" s="0" t="s">
        <v>75</v>
      </c>
      <c r="F19842" s="0" t="s">
        <v>15</v>
      </c>
      <c r="G19842" s="0" t="s">
        <v>20</v>
      </c>
      <c r="H19842" s="0" t="n">
        <v>104</v>
      </c>
      <c r="I19842" s="0" t="s">
        <v>65888</v>
      </c>
      <c r="J19842" s="0" t="s">
        <v>65889</v>
      </c>
      <c r="K19842" s="0" t="s">
        <v>65890</v>
      </c>
      <c r="L19842" s="0" t="str">
        <f aca="false">HYPERLINK("https://www.ncbi.nlm.nih.gov/nuccore/CP000060.1?report=graph&amp;tracks=[key:gene_model_track,Options:GeneOnly]&amp;mk=35568:35587|offset_10|444444,35590:35609|offset_32|444444,35613:35632|offset_55|444444,35662:35681|offset_104|00cc00&amp;v=35367:35881&amp;c=444444", "offset 104")</f>
        <v>offset 104</v>
      </c>
    </row>
    <row r="19843" customFormat="false" ht="12.8" hidden="false" customHeight="false" outlineLevel="0" collapsed="false">
      <c r="A19843" s="0" t="s">
        <v>65373</v>
      </c>
      <c r="B19843" s="0" t="n">
        <v>35948</v>
      </c>
      <c r="C19843" s="0" t="n">
        <v>35968</v>
      </c>
      <c r="D19843" s="0" t="s">
        <v>65891</v>
      </c>
      <c r="E19843" s="0" t="s">
        <v>65892</v>
      </c>
      <c r="F19843" s="0" t="s">
        <v>15</v>
      </c>
      <c r="G19843" s="0" t="s">
        <v>32</v>
      </c>
      <c r="H19843" s="0" t="n">
        <v>1</v>
      </c>
      <c r="I19843" s="0" t="s">
        <v>65893</v>
      </c>
      <c r="J19843" s="0" t="s">
        <v>65894</v>
      </c>
      <c r="K19843" s="0" t="s">
        <v>65895</v>
      </c>
      <c r="L19843" s="0" t="str">
        <f aca="false">HYPERLINK("https://www.ncbi.nlm.nih.gov/nuccore/CP000060.1?report=graph&amp;tracks=[key:gene_model_track,Options:GeneOnly]&amp;mk=35949:35968|offset_1|00cc00,35975:35994|offset_27|444444,35997:36016|offset_49|444444,36063:36082|offset_115|444444&amp;v=35748:36282&amp;c=444444", "offset 1")</f>
        <v>offset 1</v>
      </c>
    </row>
    <row r="19844" customFormat="false" ht="12.8" hidden="false" customHeight="false" outlineLevel="0" collapsed="false">
      <c r="A19844" s="0" t="s">
        <v>65373</v>
      </c>
      <c r="B19844" s="0" t="n">
        <v>35974</v>
      </c>
      <c r="C19844" s="0" t="n">
        <v>35994</v>
      </c>
      <c r="D19844" s="0" t="s">
        <v>65891</v>
      </c>
      <c r="E19844" s="0" t="s">
        <v>65892</v>
      </c>
      <c r="F19844" s="0" t="s">
        <v>15</v>
      </c>
      <c r="G19844" s="0" t="s">
        <v>20</v>
      </c>
      <c r="H19844" s="0" t="n">
        <v>27</v>
      </c>
      <c r="I19844" s="0" t="s">
        <v>65896</v>
      </c>
      <c r="J19844" s="0" t="s">
        <v>65897</v>
      </c>
      <c r="K19844" s="0" t="s">
        <v>65898</v>
      </c>
      <c r="L19844" s="0" t="str">
        <f aca="false">HYPERLINK("https://www.ncbi.nlm.nih.gov/nuccore/CP000060.1?report=graph&amp;tracks=[key:gene_model_track,Options:GeneOnly]&amp;mk=35949:35968|offset_1|444444,35975:35994|offset_27|00cc00,35997:36016|offset_49|444444,36063:36082|offset_115|444444&amp;v=35748:36282&amp;c=444444", "offset 27")</f>
        <v>offset 27</v>
      </c>
    </row>
    <row r="19845" customFormat="false" ht="12.8" hidden="false" customHeight="false" outlineLevel="0" collapsed="false">
      <c r="A19845" s="0" t="s">
        <v>65373</v>
      </c>
      <c r="B19845" s="0" t="n">
        <v>35996</v>
      </c>
      <c r="C19845" s="0" t="n">
        <v>36016</v>
      </c>
      <c r="D19845" s="0" t="s">
        <v>65891</v>
      </c>
      <c r="E19845" s="0" t="s">
        <v>65892</v>
      </c>
      <c r="F19845" s="0" t="s">
        <v>15</v>
      </c>
      <c r="G19845" s="0" t="s">
        <v>16</v>
      </c>
      <c r="H19845" s="0" t="n">
        <v>49</v>
      </c>
      <c r="I19845" s="0" t="s">
        <v>65899</v>
      </c>
      <c r="J19845" s="0" t="s">
        <v>65900</v>
      </c>
      <c r="K19845" s="0" t="s">
        <v>65901</v>
      </c>
      <c r="L19845" s="0" t="str">
        <f aca="false">HYPERLINK("https://www.ncbi.nlm.nih.gov/nuccore/CP000060.1?report=graph&amp;tracks=[key:gene_model_track,Options:GeneOnly]&amp;mk=35949:35968|offset_1|444444,35975:35994|offset_27|444444,35997:36016|offset_49|00cc00,36063:36082|offset_115|444444&amp;v=35748:36282&amp;c=444444", "offset 49")</f>
        <v>offset 49</v>
      </c>
    </row>
    <row r="19846" customFormat="false" ht="12.8" hidden="false" customHeight="false" outlineLevel="0" collapsed="false">
      <c r="A19846" s="0" t="s">
        <v>65373</v>
      </c>
      <c r="B19846" s="0" t="n">
        <v>36062</v>
      </c>
      <c r="C19846" s="0" t="n">
        <v>36082</v>
      </c>
      <c r="D19846" s="0" t="s">
        <v>65891</v>
      </c>
      <c r="E19846" s="0" t="s">
        <v>65892</v>
      </c>
      <c r="F19846" s="0" t="s">
        <v>15</v>
      </c>
      <c r="G19846" s="0" t="s">
        <v>20</v>
      </c>
      <c r="H19846" s="0" t="n">
        <v>115</v>
      </c>
      <c r="I19846" s="0" t="s">
        <v>65902</v>
      </c>
      <c r="J19846" s="0" t="s">
        <v>65903</v>
      </c>
      <c r="K19846" s="0" t="s">
        <v>65904</v>
      </c>
      <c r="L19846" s="0" t="str">
        <f aca="false">HYPERLINK("https://www.ncbi.nlm.nih.gov/nuccore/CP000060.1?report=graph&amp;tracks=[key:gene_model_track,Options:GeneOnly]&amp;mk=35949:35968|offset_1|444444,35975:35994|offset_27|444444,35997:36016|offset_49|444444,36063:36082|offset_115|00cc00&amp;v=35748:36282&amp;c=444444", "offset 115")</f>
        <v>offset 115</v>
      </c>
    </row>
    <row r="19847" customFormat="false" ht="12.8" hidden="false" customHeight="false" outlineLevel="0" collapsed="false">
      <c r="A19847" s="0" t="s">
        <v>65373</v>
      </c>
      <c r="B19847" s="0" t="n">
        <v>38145</v>
      </c>
      <c r="C19847" s="0" t="n">
        <v>38165</v>
      </c>
      <c r="D19847" s="0" t="s">
        <v>65905</v>
      </c>
      <c r="E19847" s="0" t="s">
        <v>75</v>
      </c>
      <c r="F19847" s="0" t="s">
        <v>15</v>
      </c>
      <c r="G19847" s="0" t="s">
        <v>32</v>
      </c>
      <c r="H19847" s="0" t="n">
        <v>6</v>
      </c>
      <c r="I19847" s="0" t="s">
        <v>65906</v>
      </c>
      <c r="J19847" s="0" t="s">
        <v>65907</v>
      </c>
      <c r="K19847" s="0" t="s">
        <v>65908</v>
      </c>
      <c r="L19847" s="0" t="str">
        <f aca="false">HYPERLINK("https://www.ncbi.nlm.nih.gov/nuccore/CP000060.1?report=graph&amp;tracks=[key:gene_model_track,Options:GeneOnly]&amp;mk=38146:38165|offset_6|00cc00,38179:38198|offset_39|444444,38208:38227|offset_68|444444,38267:38286|offset_127|444444&amp;v=37945:38486&amp;c=444444", "offset 6")</f>
        <v>offset 6</v>
      </c>
    </row>
    <row r="19848" customFormat="false" ht="12.8" hidden="false" customHeight="false" outlineLevel="0" collapsed="false">
      <c r="A19848" s="0" t="s">
        <v>65373</v>
      </c>
      <c r="B19848" s="0" t="n">
        <v>38178</v>
      </c>
      <c r="C19848" s="0" t="n">
        <v>38198</v>
      </c>
      <c r="D19848" s="0" t="s">
        <v>65905</v>
      </c>
      <c r="E19848" s="0" t="s">
        <v>75</v>
      </c>
      <c r="F19848" s="0" t="s">
        <v>15</v>
      </c>
      <c r="G19848" s="0" t="s">
        <v>32</v>
      </c>
      <c r="H19848" s="0" t="n">
        <v>39</v>
      </c>
      <c r="I19848" s="0" t="s">
        <v>65909</v>
      </c>
      <c r="J19848" s="0" t="s">
        <v>65910</v>
      </c>
      <c r="K19848" s="0" t="s">
        <v>65911</v>
      </c>
      <c r="L19848" s="0" t="str">
        <f aca="false">HYPERLINK("https://www.ncbi.nlm.nih.gov/nuccore/CP000060.1?report=graph&amp;tracks=[key:gene_model_track,Options:GeneOnly]&amp;mk=38146:38165|offset_6|444444,38179:38198|offset_39|00cc00,38208:38227|offset_68|444444,38267:38286|offset_127|444444&amp;v=37945:38486&amp;c=444444", "offset 39")</f>
        <v>offset 39</v>
      </c>
    </row>
    <row r="19849" customFormat="false" ht="12.8" hidden="false" customHeight="false" outlineLevel="0" collapsed="false">
      <c r="A19849" s="0" t="s">
        <v>65373</v>
      </c>
      <c r="B19849" s="0" t="n">
        <v>38207</v>
      </c>
      <c r="C19849" s="0" t="n">
        <v>38227</v>
      </c>
      <c r="D19849" s="0" t="s">
        <v>65905</v>
      </c>
      <c r="E19849" s="0" t="s">
        <v>75</v>
      </c>
      <c r="F19849" s="0" t="s">
        <v>15</v>
      </c>
      <c r="G19849" s="0" t="s">
        <v>36</v>
      </c>
      <c r="H19849" s="0" t="n">
        <v>68</v>
      </c>
      <c r="I19849" s="0" t="s">
        <v>65912</v>
      </c>
      <c r="J19849" s="0" t="s">
        <v>65913</v>
      </c>
      <c r="K19849" s="0" t="s">
        <v>65914</v>
      </c>
      <c r="L19849" s="0" t="str">
        <f aca="false">HYPERLINK("https://www.ncbi.nlm.nih.gov/nuccore/CP000060.1?report=graph&amp;tracks=[key:gene_model_track,Options:GeneOnly]&amp;mk=38146:38165|offset_6|444444,38179:38198|offset_39|444444,38208:38227|offset_68|00cc00,38267:38286|offset_127|444444&amp;v=37945:38486&amp;c=444444", "offset 68")</f>
        <v>offset 68</v>
      </c>
    </row>
    <row r="19850" customFormat="false" ht="12.8" hidden="false" customHeight="false" outlineLevel="0" collapsed="false">
      <c r="A19850" s="0" t="s">
        <v>65373</v>
      </c>
      <c r="B19850" s="0" t="n">
        <v>38266</v>
      </c>
      <c r="C19850" s="0" t="n">
        <v>38286</v>
      </c>
      <c r="D19850" s="0" t="s">
        <v>65905</v>
      </c>
      <c r="E19850" s="0" t="s">
        <v>75</v>
      </c>
      <c r="F19850" s="0" t="s">
        <v>15</v>
      </c>
      <c r="G19850" s="0" t="s">
        <v>20</v>
      </c>
      <c r="H19850" s="0" t="n">
        <v>127</v>
      </c>
      <c r="I19850" s="0" t="s">
        <v>65915</v>
      </c>
      <c r="J19850" s="0" t="s">
        <v>65916</v>
      </c>
      <c r="K19850" s="0" t="s">
        <v>65917</v>
      </c>
      <c r="L19850" s="0" t="str">
        <f aca="false">HYPERLINK("https://www.ncbi.nlm.nih.gov/nuccore/CP000060.1?report=graph&amp;tracks=[key:gene_model_track,Options:GeneOnly]&amp;mk=38146:38165|offset_6|444444,38179:38198|offset_39|444444,38208:38227|offset_68|444444,38267:38286|offset_127|00cc00&amp;v=37945:38486&amp;c=444444", "offset 127")</f>
        <v>offset 127</v>
      </c>
    </row>
    <row r="19851" customFormat="false" ht="12.8" hidden="false" customHeight="false" outlineLevel="0" collapsed="false">
      <c r="A19851" s="0" t="s">
        <v>65373</v>
      </c>
      <c r="B19851" s="0" t="n">
        <v>38490</v>
      </c>
      <c r="C19851" s="0" t="n">
        <v>38510</v>
      </c>
      <c r="D19851" s="0" t="s">
        <v>65918</v>
      </c>
      <c r="E19851" s="0" t="s">
        <v>75</v>
      </c>
      <c r="F19851" s="0" t="s">
        <v>15</v>
      </c>
      <c r="G19851" s="0" t="s">
        <v>20</v>
      </c>
      <c r="H19851" s="0" t="n">
        <v>40</v>
      </c>
      <c r="I19851" s="0" t="s">
        <v>65919</v>
      </c>
      <c r="J19851" s="0" t="s">
        <v>65920</v>
      </c>
      <c r="K19851" s="0" t="s">
        <v>65921</v>
      </c>
      <c r="L19851" s="0" t="str">
        <f aca="false">HYPERLINK("https://www.ncbi.nlm.nih.gov/nuccore/CP000060.1?report=graph&amp;tracks=[key:gene_model_track,Options:GeneOnly]&amp;mk=38491:38510|offset_40|00cc00,38513:38532|offset_62|444444,38542:38561|offset_91|444444,38575:38594|offset_124|444444&amp;v=38290:38794&amp;c=444444", "offset 40")</f>
        <v>offset 40</v>
      </c>
    </row>
    <row r="19852" customFormat="false" ht="12.8" hidden="false" customHeight="false" outlineLevel="0" collapsed="false">
      <c r="A19852" s="0" t="s">
        <v>65373</v>
      </c>
      <c r="B19852" s="0" t="n">
        <v>38512</v>
      </c>
      <c r="C19852" s="0" t="n">
        <v>38532</v>
      </c>
      <c r="D19852" s="0" t="s">
        <v>65918</v>
      </c>
      <c r="E19852" s="0" t="s">
        <v>75</v>
      </c>
      <c r="F19852" s="0" t="s">
        <v>15</v>
      </c>
      <c r="G19852" s="0" t="s">
        <v>16</v>
      </c>
      <c r="H19852" s="0" t="n">
        <v>62</v>
      </c>
      <c r="I19852" s="0" t="s">
        <v>65922</v>
      </c>
      <c r="J19852" s="0" t="s">
        <v>65923</v>
      </c>
      <c r="K19852" s="0" t="s">
        <v>65924</v>
      </c>
      <c r="L19852" s="0" t="str">
        <f aca="false">HYPERLINK("https://www.ncbi.nlm.nih.gov/nuccore/CP000060.1?report=graph&amp;tracks=[key:gene_model_track,Options:GeneOnly]&amp;mk=38491:38510|offset_40|444444,38513:38532|offset_62|00cc00,38542:38561|offset_91|444444,38575:38594|offset_124|444444&amp;v=38290:38794&amp;c=444444", "offset 62")</f>
        <v>offset 62</v>
      </c>
    </row>
    <row r="19853" customFormat="false" ht="12.8" hidden="false" customHeight="false" outlineLevel="0" collapsed="false">
      <c r="A19853" s="0" t="s">
        <v>65373</v>
      </c>
      <c r="B19853" s="0" t="n">
        <v>38541</v>
      </c>
      <c r="C19853" s="0" t="n">
        <v>38561</v>
      </c>
      <c r="D19853" s="0" t="s">
        <v>65918</v>
      </c>
      <c r="E19853" s="0" t="s">
        <v>75</v>
      </c>
      <c r="F19853" s="0" t="s">
        <v>15</v>
      </c>
      <c r="G19853" s="0" t="s">
        <v>32</v>
      </c>
      <c r="H19853" s="0" t="n">
        <v>91</v>
      </c>
      <c r="I19853" s="0" t="s">
        <v>65925</v>
      </c>
      <c r="J19853" s="0" t="s">
        <v>65926</v>
      </c>
      <c r="K19853" s="0" t="s">
        <v>65927</v>
      </c>
      <c r="L19853" s="0" t="str">
        <f aca="false">HYPERLINK("https://www.ncbi.nlm.nih.gov/nuccore/CP000060.1?report=graph&amp;tracks=[key:gene_model_track,Options:GeneOnly]&amp;mk=38491:38510|offset_40|444444,38513:38532|offset_62|444444,38542:38561|offset_91|00cc00,38575:38594|offset_124|444444&amp;v=38290:38794&amp;c=444444", "offset 91")</f>
        <v>offset 91</v>
      </c>
    </row>
    <row r="19854" customFormat="false" ht="12.8" hidden="false" customHeight="false" outlineLevel="0" collapsed="false">
      <c r="A19854" s="0" t="s">
        <v>65373</v>
      </c>
      <c r="B19854" s="0" t="n">
        <v>38574</v>
      </c>
      <c r="C19854" s="0" t="n">
        <v>38594</v>
      </c>
      <c r="D19854" s="0" t="s">
        <v>65918</v>
      </c>
      <c r="E19854" s="0" t="s">
        <v>75</v>
      </c>
      <c r="F19854" s="0" t="s">
        <v>15</v>
      </c>
      <c r="G19854" s="0" t="s">
        <v>16</v>
      </c>
      <c r="H19854" s="0" t="n">
        <v>124</v>
      </c>
      <c r="I19854" s="0" t="s">
        <v>65928</v>
      </c>
      <c r="J19854" s="0" t="s">
        <v>65929</v>
      </c>
      <c r="K19854" s="0" t="s">
        <v>65930</v>
      </c>
      <c r="L19854" s="0" t="str">
        <f aca="false">HYPERLINK("https://www.ncbi.nlm.nih.gov/nuccore/CP000060.1?report=graph&amp;tracks=[key:gene_model_track,Options:GeneOnly]&amp;mk=38491:38510|offset_40|444444,38513:38532|offset_62|444444,38542:38561|offset_91|444444,38575:38594|offset_124|00cc00&amp;v=38290:38794&amp;c=444444", "offset 124")</f>
        <v>offset 124</v>
      </c>
    </row>
    <row r="19855" customFormat="false" ht="12.8" hidden="false" customHeight="false" outlineLevel="0" collapsed="false">
      <c r="A19855" s="0" t="s">
        <v>65373</v>
      </c>
      <c r="B19855" s="0" t="n">
        <v>39151</v>
      </c>
      <c r="C19855" s="0" t="n">
        <v>39171</v>
      </c>
      <c r="D19855" s="0" t="s">
        <v>65931</v>
      </c>
      <c r="E19855" s="0" t="s">
        <v>75</v>
      </c>
      <c r="F19855" s="0" t="s">
        <v>15</v>
      </c>
      <c r="G19855" s="0" t="s">
        <v>20</v>
      </c>
      <c r="H19855" s="0" t="n">
        <v>1</v>
      </c>
      <c r="I19855" s="0" t="s">
        <v>65932</v>
      </c>
      <c r="J19855" s="0" t="s">
        <v>65933</v>
      </c>
      <c r="K19855" s="0" t="s">
        <v>65934</v>
      </c>
      <c r="L19855" s="0" t="str">
        <f aca="false">HYPERLINK("https://www.ncbi.nlm.nih.gov/nuccore/CP000060.1?report=graph&amp;tracks=[key:gene_model_track,Options:GeneOnly]&amp;mk=39152:39171|offset_1|00cc00,39176:39195|offset_25|444444,39204:39223|offset_53|444444,39224:39243|offset_73|444444&amp;v=38951:39443&amp;c=444444", "offset 1")</f>
        <v>offset 1</v>
      </c>
    </row>
    <row r="19856" customFormat="false" ht="12.8" hidden="false" customHeight="false" outlineLevel="0" collapsed="false">
      <c r="A19856" s="0" t="s">
        <v>65373</v>
      </c>
      <c r="B19856" s="0" t="n">
        <v>39175</v>
      </c>
      <c r="C19856" s="0" t="n">
        <v>39195</v>
      </c>
      <c r="D19856" s="0" t="s">
        <v>65931</v>
      </c>
      <c r="E19856" s="0" t="s">
        <v>75</v>
      </c>
      <c r="F19856" s="0" t="s">
        <v>15</v>
      </c>
      <c r="G19856" s="0" t="s">
        <v>32</v>
      </c>
      <c r="H19856" s="0" t="n">
        <v>25</v>
      </c>
      <c r="I19856" s="0" t="s">
        <v>65935</v>
      </c>
      <c r="J19856" s="0" t="s">
        <v>65936</v>
      </c>
      <c r="K19856" s="0" t="s">
        <v>65937</v>
      </c>
      <c r="L19856" s="0" t="str">
        <f aca="false">HYPERLINK("https://www.ncbi.nlm.nih.gov/nuccore/CP000060.1?report=graph&amp;tracks=[key:gene_model_track,Options:GeneOnly]&amp;mk=39152:39171|offset_1|444444,39176:39195|offset_25|00cc00,39204:39223|offset_53|444444,39224:39243|offset_73|444444&amp;v=38951:39443&amp;c=444444", "offset 25")</f>
        <v>offset 25</v>
      </c>
    </row>
    <row r="19857" customFormat="false" ht="12.8" hidden="false" customHeight="false" outlineLevel="0" collapsed="false">
      <c r="A19857" s="0" t="s">
        <v>65373</v>
      </c>
      <c r="B19857" s="0" t="n">
        <v>39203</v>
      </c>
      <c r="C19857" s="0" t="n">
        <v>39223</v>
      </c>
      <c r="D19857" s="0" t="s">
        <v>65931</v>
      </c>
      <c r="E19857" s="0" t="s">
        <v>75</v>
      </c>
      <c r="F19857" s="0" t="s">
        <v>15</v>
      </c>
      <c r="G19857" s="0" t="s">
        <v>16</v>
      </c>
      <c r="H19857" s="0" t="n">
        <v>53</v>
      </c>
      <c r="I19857" s="0" t="s">
        <v>65938</v>
      </c>
      <c r="J19857" s="0" t="s">
        <v>65939</v>
      </c>
      <c r="K19857" s="0" t="s">
        <v>65940</v>
      </c>
      <c r="L19857" s="0" t="str">
        <f aca="false">HYPERLINK("https://www.ncbi.nlm.nih.gov/nuccore/CP000060.1?report=graph&amp;tracks=[key:gene_model_track,Options:GeneOnly]&amp;mk=39152:39171|offset_1|444444,39176:39195|offset_25|444444,39204:39223|offset_53|00cc00,39224:39243|offset_73|444444&amp;v=38951:39443&amp;c=444444", "offset 53")</f>
        <v>offset 53</v>
      </c>
    </row>
    <row r="19858" customFormat="false" ht="12.8" hidden="false" customHeight="false" outlineLevel="0" collapsed="false">
      <c r="A19858" s="0" t="s">
        <v>65373</v>
      </c>
      <c r="B19858" s="0" t="n">
        <v>39223</v>
      </c>
      <c r="C19858" s="0" t="n">
        <v>39243</v>
      </c>
      <c r="D19858" s="0" t="s">
        <v>65931</v>
      </c>
      <c r="E19858" s="0" t="s">
        <v>75</v>
      </c>
      <c r="F19858" s="0" t="s">
        <v>15</v>
      </c>
      <c r="G19858" s="0" t="s">
        <v>16</v>
      </c>
      <c r="H19858" s="0" t="n">
        <v>73</v>
      </c>
      <c r="I19858" s="0" t="s">
        <v>65941</v>
      </c>
      <c r="J19858" s="0" t="s">
        <v>65942</v>
      </c>
      <c r="K19858" s="0" t="s">
        <v>65943</v>
      </c>
      <c r="L19858" s="0" t="str">
        <f aca="false">HYPERLINK("https://www.ncbi.nlm.nih.gov/nuccore/CP000060.1?report=graph&amp;tracks=[key:gene_model_track,Options:GeneOnly]&amp;mk=39152:39171|offset_1|444444,39176:39195|offset_25|444444,39204:39223|offset_53|444444,39224:39243|offset_73|00cc00&amp;v=38951:39443&amp;c=444444", "offset 73")</f>
        <v>offset 73</v>
      </c>
    </row>
    <row r="19859" customFormat="false" ht="12.8" hidden="false" customHeight="false" outlineLevel="0" collapsed="false">
      <c r="A19859" s="0" t="s">
        <v>65373</v>
      </c>
      <c r="B19859" s="0" t="n">
        <v>40105</v>
      </c>
      <c r="C19859" s="0" t="n">
        <v>40125</v>
      </c>
      <c r="D19859" s="0" t="s">
        <v>65944</v>
      </c>
      <c r="E19859" s="0" t="s">
        <v>75</v>
      </c>
      <c r="F19859" s="0" t="s">
        <v>15</v>
      </c>
      <c r="G19859" s="0" t="s">
        <v>16</v>
      </c>
      <c r="H19859" s="0" t="n">
        <v>32</v>
      </c>
      <c r="I19859" s="0" t="s">
        <v>65945</v>
      </c>
      <c r="J19859" s="0" t="s">
        <v>65946</v>
      </c>
      <c r="K19859" s="0" t="s">
        <v>65947</v>
      </c>
      <c r="L19859" s="0" t="str">
        <f aca="false">HYPERLINK("https://www.ncbi.nlm.nih.gov/nuccore/CP000060.1?report=graph&amp;tracks=[key:gene_model_track,Options:GeneOnly]&amp;mk=40106:40125|offset_32|00cc00,40154:40173|offset_80|444444,40177:40196|offset_103|444444,40210:40229|offset_136|444444&amp;v=39905:40429&amp;c=444444", "offset 32")</f>
        <v>offset 32</v>
      </c>
    </row>
    <row r="19860" customFormat="false" ht="12.8" hidden="false" customHeight="false" outlineLevel="0" collapsed="false">
      <c r="A19860" s="0" t="s">
        <v>65373</v>
      </c>
      <c r="B19860" s="0" t="n">
        <v>40153</v>
      </c>
      <c r="C19860" s="0" t="n">
        <v>40173</v>
      </c>
      <c r="D19860" s="0" t="s">
        <v>65944</v>
      </c>
      <c r="E19860" s="0" t="s">
        <v>75</v>
      </c>
      <c r="F19860" s="0" t="s">
        <v>15</v>
      </c>
      <c r="G19860" s="0" t="s">
        <v>36</v>
      </c>
      <c r="H19860" s="0" t="n">
        <v>80</v>
      </c>
      <c r="I19860" s="0" t="s">
        <v>65948</v>
      </c>
      <c r="J19860" s="0" t="s">
        <v>65949</v>
      </c>
      <c r="K19860" s="0" t="s">
        <v>65950</v>
      </c>
      <c r="L19860" s="0" t="str">
        <f aca="false">HYPERLINK("https://www.ncbi.nlm.nih.gov/nuccore/CP000060.1?report=graph&amp;tracks=[key:gene_model_track,Options:GeneOnly]&amp;mk=40106:40125|offset_32|444444,40154:40173|offset_80|00cc00,40177:40196|offset_103|444444,40210:40229|offset_136|444444&amp;v=39905:40429&amp;c=444444", "offset 80")</f>
        <v>offset 80</v>
      </c>
    </row>
    <row r="19861" customFormat="false" ht="12.8" hidden="false" customHeight="false" outlineLevel="0" collapsed="false">
      <c r="A19861" s="0" t="s">
        <v>65373</v>
      </c>
      <c r="B19861" s="0" t="n">
        <v>40176</v>
      </c>
      <c r="C19861" s="0" t="n">
        <v>40196</v>
      </c>
      <c r="D19861" s="0" t="s">
        <v>65944</v>
      </c>
      <c r="E19861" s="0" t="s">
        <v>75</v>
      </c>
      <c r="F19861" s="0" t="s">
        <v>15</v>
      </c>
      <c r="G19861" s="0" t="s">
        <v>32</v>
      </c>
      <c r="H19861" s="0" t="n">
        <v>103</v>
      </c>
      <c r="I19861" s="0" t="s">
        <v>65951</v>
      </c>
      <c r="J19861" s="0" t="s">
        <v>65952</v>
      </c>
      <c r="K19861" s="0" t="s">
        <v>65953</v>
      </c>
      <c r="L19861" s="0" t="str">
        <f aca="false">HYPERLINK("https://www.ncbi.nlm.nih.gov/nuccore/CP000060.1?report=graph&amp;tracks=[key:gene_model_track,Options:GeneOnly]&amp;mk=40106:40125|offset_32|444444,40154:40173|offset_80|444444,40177:40196|offset_103|00cc00,40210:40229|offset_136|444444&amp;v=39905:40429&amp;c=444444", "offset 103")</f>
        <v>offset 103</v>
      </c>
    </row>
    <row r="19862" customFormat="false" ht="12.8" hidden="false" customHeight="false" outlineLevel="0" collapsed="false">
      <c r="A19862" s="0" t="s">
        <v>65373</v>
      </c>
      <c r="B19862" s="0" t="n">
        <v>40209</v>
      </c>
      <c r="C19862" s="0" t="n">
        <v>40229</v>
      </c>
      <c r="D19862" s="0" t="s">
        <v>65944</v>
      </c>
      <c r="E19862" s="0" t="s">
        <v>75</v>
      </c>
      <c r="F19862" s="0" t="s">
        <v>15</v>
      </c>
      <c r="G19862" s="0" t="s">
        <v>36</v>
      </c>
      <c r="H19862" s="0" t="n">
        <v>136</v>
      </c>
      <c r="I19862" s="0" t="s">
        <v>65954</v>
      </c>
      <c r="J19862" s="0" t="s">
        <v>65955</v>
      </c>
      <c r="K19862" s="0" t="s">
        <v>65956</v>
      </c>
      <c r="L19862" s="0" t="str">
        <f aca="false">HYPERLINK("https://www.ncbi.nlm.nih.gov/nuccore/CP000060.1?report=graph&amp;tracks=[key:gene_model_track,Options:GeneOnly]&amp;mk=40106:40125|offset_32|444444,40154:40173|offset_80|444444,40177:40196|offset_103|444444,40210:40229|offset_136|00cc00&amp;v=39905:40429&amp;c=444444", "offset 136")</f>
        <v>offset 136</v>
      </c>
    </row>
    <row r="19863" customFormat="false" ht="12.8" hidden="false" customHeight="false" outlineLevel="0" collapsed="false">
      <c r="A19863" s="0" t="s">
        <v>65373</v>
      </c>
      <c r="B19863" s="0" t="n">
        <v>41110</v>
      </c>
      <c r="C19863" s="0" t="n">
        <v>41130</v>
      </c>
      <c r="D19863" s="0" t="s">
        <v>65957</v>
      </c>
      <c r="E19863" s="0" t="s">
        <v>75</v>
      </c>
      <c r="F19863" s="0" t="s">
        <v>90</v>
      </c>
      <c r="G19863" s="0" t="s">
        <v>32</v>
      </c>
      <c r="H19863" s="0" t="n">
        <v>1</v>
      </c>
      <c r="I19863" s="0" t="s">
        <v>65958</v>
      </c>
      <c r="J19863" s="0" t="s">
        <v>65959</v>
      </c>
      <c r="K19863" s="0" t="s">
        <v>65960</v>
      </c>
      <c r="L19863" s="0" t="str">
        <f aca="false">HYPERLINK("https://www.ncbi.nlm.nih.gov/nuccore/CP000060.1?report=graph&amp;tracks=[key:gene_model_track,Options:GeneOnly]&amp;mk=41111:41130|offset_1|00cc00,41090:41109|offset_22|444444,41069:41088|offset_43|444444,41042:41061|offset_70|444444&amp;v=40910:41261&amp;c=444444", "offset 1")</f>
        <v>offset 1</v>
      </c>
    </row>
    <row r="19864" customFormat="false" ht="12.8" hidden="false" customHeight="false" outlineLevel="0" collapsed="false">
      <c r="A19864" s="0" t="s">
        <v>65373</v>
      </c>
      <c r="B19864" s="0" t="n">
        <v>41089</v>
      </c>
      <c r="C19864" s="0" t="n">
        <v>41109</v>
      </c>
      <c r="D19864" s="0" t="s">
        <v>65957</v>
      </c>
      <c r="E19864" s="0" t="s">
        <v>75</v>
      </c>
      <c r="F19864" s="0" t="s">
        <v>90</v>
      </c>
      <c r="G19864" s="0" t="s">
        <v>16</v>
      </c>
      <c r="H19864" s="0" t="n">
        <v>22</v>
      </c>
      <c r="I19864" s="0" t="s">
        <v>65961</v>
      </c>
      <c r="J19864" s="0" t="s">
        <v>65962</v>
      </c>
      <c r="K19864" s="0" t="s">
        <v>65963</v>
      </c>
      <c r="L19864" s="0" t="str">
        <f aca="false">HYPERLINK("https://www.ncbi.nlm.nih.gov/nuccore/CP000060.1?report=graph&amp;tracks=[key:gene_model_track,Options:GeneOnly]&amp;mk=41111:41130|offset_1|444444,41090:41109|offset_22|00cc00,41069:41088|offset_43|444444,41042:41061|offset_70|444444&amp;v=40910:41261&amp;c=444444", "offset 22")</f>
        <v>offset 22</v>
      </c>
    </row>
    <row r="19865" customFormat="false" ht="12.8" hidden="false" customHeight="false" outlineLevel="0" collapsed="false">
      <c r="A19865" s="0" t="s">
        <v>65373</v>
      </c>
      <c r="B19865" s="0" t="n">
        <v>41068</v>
      </c>
      <c r="C19865" s="0" t="n">
        <v>41088</v>
      </c>
      <c r="D19865" s="0" t="s">
        <v>65957</v>
      </c>
      <c r="E19865" s="0" t="s">
        <v>75</v>
      </c>
      <c r="F19865" s="0" t="s">
        <v>90</v>
      </c>
      <c r="G19865" s="0" t="s">
        <v>32</v>
      </c>
      <c r="H19865" s="0" t="n">
        <v>43</v>
      </c>
      <c r="I19865" s="0" t="s">
        <v>65964</v>
      </c>
      <c r="J19865" s="0" t="s">
        <v>65965</v>
      </c>
      <c r="K19865" s="0" t="s">
        <v>65966</v>
      </c>
      <c r="L19865" s="0" t="str">
        <f aca="false">HYPERLINK("https://www.ncbi.nlm.nih.gov/nuccore/CP000060.1?report=graph&amp;tracks=[key:gene_model_track,Options:GeneOnly]&amp;mk=41111:41130|offset_1|444444,41090:41109|offset_22|444444,41069:41088|offset_43|00cc00,41042:41061|offset_70|444444&amp;v=40910:41261&amp;c=444444", "offset 43")</f>
        <v>offset 43</v>
      </c>
    </row>
    <row r="19866" customFormat="false" ht="12.8" hidden="false" customHeight="false" outlineLevel="0" collapsed="false">
      <c r="A19866" s="0" t="s">
        <v>65373</v>
      </c>
      <c r="B19866" s="0" t="n">
        <v>41041</v>
      </c>
      <c r="C19866" s="0" t="n">
        <v>41061</v>
      </c>
      <c r="D19866" s="0" t="s">
        <v>65957</v>
      </c>
      <c r="E19866" s="0" t="s">
        <v>75</v>
      </c>
      <c r="F19866" s="0" t="s">
        <v>90</v>
      </c>
      <c r="G19866" s="0" t="s">
        <v>32</v>
      </c>
      <c r="H19866" s="0" t="n">
        <v>70</v>
      </c>
      <c r="I19866" s="0" t="s">
        <v>65967</v>
      </c>
      <c r="J19866" s="0" t="s">
        <v>65968</v>
      </c>
      <c r="K19866" s="0" t="s">
        <v>65969</v>
      </c>
      <c r="L19866" s="0" t="str">
        <f aca="false">HYPERLINK("https://www.ncbi.nlm.nih.gov/nuccore/CP000060.1?report=graph&amp;tracks=[key:gene_model_track,Options:GeneOnly]&amp;mk=41111:41130|offset_1|444444,41090:41109|offset_22|444444,41069:41088|offset_43|444444,41042:41061|offset_70|00cc00&amp;v=40910:41261&amp;c=444444", "offset 70")</f>
        <v>offset 70</v>
      </c>
    </row>
    <row r="19867" customFormat="false" ht="12.8" hidden="false" customHeight="false" outlineLevel="0" collapsed="false">
      <c r="A19867" s="0" t="s">
        <v>65373</v>
      </c>
      <c r="B19867" s="0" t="n">
        <v>41521</v>
      </c>
      <c r="C19867" s="0" t="n">
        <v>41541</v>
      </c>
      <c r="D19867" s="0" t="s">
        <v>65970</v>
      </c>
      <c r="E19867" s="0" t="s">
        <v>75</v>
      </c>
      <c r="F19867" s="0" t="s">
        <v>15</v>
      </c>
      <c r="G19867" s="0" t="s">
        <v>36</v>
      </c>
      <c r="H19867" s="0" t="n">
        <v>0</v>
      </c>
      <c r="I19867" s="0" t="s">
        <v>65971</v>
      </c>
      <c r="J19867" s="0" t="s">
        <v>65972</v>
      </c>
      <c r="K19867" s="0" t="s">
        <v>65973</v>
      </c>
      <c r="L19867" s="0" t="str">
        <f aca="false">HYPERLINK("https://www.ncbi.nlm.nih.gov/nuccore/CP000060.1?report=graph&amp;tracks=[key:gene_model_track,Options:GeneOnly]&amp;mk=41522:41541|offset_0|00cc00,41547:41566|offset_25|444444,41586:41605|offset_64|444444,41628:41647|offset_106|444444&amp;v=41321:41847&amp;c=444444", "offset 0")</f>
        <v>offset 0</v>
      </c>
    </row>
    <row r="19868" customFormat="false" ht="12.8" hidden="false" customHeight="false" outlineLevel="0" collapsed="false">
      <c r="A19868" s="0" t="s">
        <v>65373</v>
      </c>
      <c r="B19868" s="0" t="n">
        <v>41546</v>
      </c>
      <c r="C19868" s="0" t="n">
        <v>41566</v>
      </c>
      <c r="D19868" s="0" t="s">
        <v>65970</v>
      </c>
      <c r="E19868" s="0" t="s">
        <v>75</v>
      </c>
      <c r="F19868" s="0" t="s">
        <v>15</v>
      </c>
      <c r="G19868" s="0" t="s">
        <v>36</v>
      </c>
      <c r="H19868" s="0" t="n">
        <v>25</v>
      </c>
      <c r="I19868" s="0" t="s">
        <v>65974</v>
      </c>
      <c r="J19868" s="0" t="s">
        <v>65975</v>
      </c>
      <c r="K19868" s="0" t="s">
        <v>65976</v>
      </c>
      <c r="L19868" s="0" t="str">
        <f aca="false">HYPERLINK("https://www.ncbi.nlm.nih.gov/nuccore/CP000060.1?report=graph&amp;tracks=[key:gene_model_track,Options:GeneOnly]&amp;mk=41522:41541|offset_0|444444,41547:41566|offset_25|00cc00,41586:41605|offset_64|444444,41628:41647|offset_106|444444&amp;v=41321:41847&amp;c=444444", "offset 25")</f>
        <v>offset 25</v>
      </c>
    </row>
    <row r="19869" customFormat="false" ht="12.8" hidden="false" customHeight="false" outlineLevel="0" collapsed="false">
      <c r="A19869" s="0" t="s">
        <v>65373</v>
      </c>
      <c r="B19869" s="0" t="n">
        <v>41585</v>
      </c>
      <c r="C19869" s="0" t="n">
        <v>41605</v>
      </c>
      <c r="D19869" s="0" t="s">
        <v>65970</v>
      </c>
      <c r="E19869" s="0" t="s">
        <v>75</v>
      </c>
      <c r="F19869" s="0" t="s">
        <v>15</v>
      </c>
      <c r="G19869" s="0" t="s">
        <v>16</v>
      </c>
      <c r="H19869" s="0" t="n">
        <v>64</v>
      </c>
      <c r="I19869" s="0" t="s">
        <v>65977</v>
      </c>
      <c r="J19869" s="0" t="s">
        <v>65978</v>
      </c>
      <c r="K19869" s="0" t="s">
        <v>65979</v>
      </c>
      <c r="L19869" s="0" t="str">
        <f aca="false">HYPERLINK("https://www.ncbi.nlm.nih.gov/nuccore/CP000060.1?report=graph&amp;tracks=[key:gene_model_track,Options:GeneOnly]&amp;mk=41522:41541|offset_0|444444,41547:41566|offset_25|444444,41586:41605|offset_64|00cc00,41628:41647|offset_106|444444&amp;v=41321:41847&amp;c=444444", "offset 64")</f>
        <v>offset 64</v>
      </c>
    </row>
    <row r="19870" customFormat="false" ht="12.8" hidden="false" customHeight="false" outlineLevel="0" collapsed="false">
      <c r="A19870" s="0" t="s">
        <v>65373</v>
      </c>
      <c r="B19870" s="0" t="n">
        <v>41627</v>
      </c>
      <c r="C19870" s="0" t="n">
        <v>41647</v>
      </c>
      <c r="D19870" s="0" t="s">
        <v>65970</v>
      </c>
      <c r="E19870" s="0" t="s">
        <v>75</v>
      </c>
      <c r="F19870" s="0" t="s">
        <v>15</v>
      </c>
      <c r="G19870" s="0" t="s">
        <v>16</v>
      </c>
      <c r="H19870" s="0" t="n">
        <v>106</v>
      </c>
      <c r="I19870" s="0" t="s">
        <v>65980</v>
      </c>
      <c r="J19870" s="0" t="s">
        <v>65981</v>
      </c>
      <c r="K19870" s="0" t="s">
        <v>65982</v>
      </c>
      <c r="L19870" s="0" t="str">
        <f aca="false">HYPERLINK("https://www.ncbi.nlm.nih.gov/nuccore/CP000060.1?report=graph&amp;tracks=[key:gene_model_track,Options:GeneOnly]&amp;mk=41522:41541|offset_0|444444,41547:41566|offset_25|444444,41586:41605|offset_64|444444,41628:41647|offset_106|00cc00&amp;v=41321:41847&amp;c=444444", "offset 106")</f>
        <v>offset 106</v>
      </c>
    </row>
    <row r="19871" customFormat="false" ht="12.8" hidden="false" customHeight="false" outlineLevel="0" collapsed="false">
      <c r="A19871" s="0" t="s">
        <v>65373</v>
      </c>
      <c r="B19871" s="0" t="n">
        <v>41876</v>
      </c>
      <c r="C19871" s="0" t="n">
        <v>41896</v>
      </c>
      <c r="D19871" s="0" t="s">
        <v>65983</v>
      </c>
      <c r="E19871" s="0" t="s">
        <v>75</v>
      </c>
      <c r="F19871" s="0" t="s">
        <v>15</v>
      </c>
      <c r="G19871" s="0" t="s">
        <v>36</v>
      </c>
      <c r="H19871" s="0" t="n">
        <v>15</v>
      </c>
      <c r="I19871" s="0" t="s">
        <v>65984</v>
      </c>
      <c r="J19871" s="0" t="s">
        <v>65985</v>
      </c>
      <c r="K19871" s="0" t="s">
        <v>65986</v>
      </c>
      <c r="L19871" s="0" t="str">
        <f aca="false">HYPERLINK("https://www.ncbi.nlm.nih.gov/nuccore/CP000060.1?report=graph&amp;tracks=[key:gene_model_track,Options:GeneOnly]&amp;mk=41877:41896|offset_15|00cc00,41977:41996|offset_115|444444,42018:42037|offset_156|444444,42041:42060|offset_179|444444&amp;v=41676:42260&amp;c=444444", "offset 15")</f>
        <v>offset 15</v>
      </c>
    </row>
    <row r="19872" customFormat="false" ht="12.8" hidden="false" customHeight="false" outlineLevel="0" collapsed="false">
      <c r="A19872" s="0" t="s">
        <v>65373</v>
      </c>
      <c r="B19872" s="0" t="n">
        <v>41976</v>
      </c>
      <c r="C19872" s="0" t="n">
        <v>41996</v>
      </c>
      <c r="D19872" s="0" t="s">
        <v>65983</v>
      </c>
      <c r="E19872" s="0" t="s">
        <v>75</v>
      </c>
      <c r="F19872" s="0" t="s">
        <v>15</v>
      </c>
      <c r="G19872" s="0" t="s">
        <v>16</v>
      </c>
      <c r="H19872" s="0" t="n">
        <v>115</v>
      </c>
      <c r="I19872" s="0" t="s">
        <v>65987</v>
      </c>
      <c r="J19872" s="0" t="s">
        <v>65988</v>
      </c>
      <c r="K19872" s="0" t="s">
        <v>65989</v>
      </c>
      <c r="L19872" s="0" t="str">
        <f aca="false">HYPERLINK("https://www.ncbi.nlm.nih.gov/nuccore/CP000060.1?report=graph&amp;tracks=[key:gene_model_track,Options:GeneOnly]&amp;mk=41877:41896|offset_15|444444,41977:41996|offset_115|00cc00,42018:42037|offset_156|444444,42041:42060|offset_179|444444&amp;v=41676:42260&amp;c=444444", "offset 115")</f>
        <v>offset 115</v>
      </c>
    </row>
    <row r="19873" customFormat="false" ht="12.8" hidden="false" customHeight="false" outlineLevel="0" collapsed="false">
      <c r="A19873" s="0" t="s">
        <v>65373</v>
      </c>
      <c r="B19873" s="0" t="n">
        <v>42017</v>
      </c>
      <c r="C19873" s="0" t="n">
        <v>42037</v>
      </c>
      <c r="D19873" s="0" t="s">
        <v>65983</v>
      </c>
      <c r="E19873" s="0" t="s">
        <v>75</v>
      </c>
      <c r="F19873" s="0" t="s">
        <v>15</v>
      </c>
      <c r="G19873" s="0" t="s">
        <v>20</v>
      </c>
      <c r="H19873" s="0" t="n">
        <v>156</v>
      </c>
      <c r="I19873" s="0" t="s">
        <v>65990</v>
      </c>
      <c r="J19873" s="0" t="s">
        <v>65991</v>
      </c>
      <c r="K19873" s="0" t="s">
        <v>65992</v>
      </c>
      <c r="L19873" s="0" t="str">
        <f aca="false">HYPERLINK("https://www.ncbi.nlm.nih.gov/nuccore/CP000060.1?report=graph&amp;tracks=[key:gene_model_track,Options:GeneOnly]&amp;mk=41877:41896|offset_15|444444,41977:41996|offset_115|444444,42018:42037|offset_156|00cc00,42041:42060|offset_179|444444&amp;v=41676:42260&amp;c=444444", "offset 156")</f>
        <v>offset 156</v>
      </c>
    </row>
    <row r="19874" customFormat="false" ht="12.8" hidden="false" customHeight="false" outlineLevel="0" collapsed="false">
      <c r="A19874" s="0" t="s">
        <v>65373</v>
      </c>
      <c r="B19874" s="0" t="n">
        <v>42040</v>
      </c>
      <c r="C19874" s="0" t="n">
        <v>42060</v>
      </c>
      <c r="D19874" s="0" t="s">
        <v>65983</v>
      </c>
      <c r="E19874" s="0" t="s">
        <v>75</v>
      </c>
      <c r="F19874" s="0" t="s">
        <v>15</v>
      </c>
      <c r="G19874" s="0" t="s">
        <v>20</v>
      </c>
      <c r="H19874" s="0" t="n">
        <v>179</v>
      </c>
      <c r="I19874" s="0" t="s">
        <v>65993</v>
      </c>
      <c r="J19874" s="0" t="s">
        <v>65994</v>
      </c>
      <c r="K19874" s="0" t="s">
        <v>65995</v>
      </c>
      <c r="L19874" s="0" t="str">
        <f aca="false">HYPERLINK("https://www.ncbi.nlm.nih.gov/nuccore/CP000060.1?report=graph&amp;tracks=[key:gene_model_track,Options:GeneOnly]&amp;mk=41877:41896|offset_15|444444,41977:41996|offset_115|444444,42018:42037|offset_156|444444,42041:42060|offset_179|00cc00&amp;v=41676:42260&amp;c=444444", "offset 179")</f>
        <v>offset 179</v>
      </c>
    </row>
    <row r="19875" customFormat="false" ht="12.8" hidden="false" customHeight="false" outlineLevel="0" collapsed="false">
      <c r="A19875" s="0" t="s">
        <v>65373</v>
      </c>
      <c r="B19875" s="0" t="n">
        <v>45743</v>
      </c>
      <c r="C19875" s="0" t="n">
        <v>45763</v>
      </c>
      <c r="D19875" s="0" t="s">
        <v>65996</v>
      </c>
      <c r="E19875" s="0" t="s">
        <v>75</v>
      </c>
      <c r="F19875" s="0" t="s">
        <v>15</v>
      </c>
      <c r="G19875" s="0" t="s">
        <v>16</v>
      </c>
      <c r="H19875" s="0" t="n">
        <v>11</v>
      </c>
      <c r="I19875" s="0" t="s">
        <v>65997</v>
      </c>
      <c r="J19875" s="0" t="s">
        <v>65998</v>
      </c>
      <c r="K19875" s="0" t="s">
        <v>65999</v>
      </c>
      <c r="L19875" s="0" t="str">
        <f aca="false">HYPERLINK("https://www.ncbi.nlm.nih.gov/nuccore/CP000060.1?report=graph&amp;tracks=[key:gene_model_track,Options:GeneOnly]&amp;mk=45744:45763|offset_11|00cc00,45785:45804|offset_52|444444,45808:45827|offset_75|444444,45854:45873|offset_121|444444&amp;v=45543:46073&amp;c=444444", "offset 11")</f>
        <v>offset 11</v>
      </c>
    </row>
    <row r="19876" customFormat="false" ht="12.8" hidden="false" customHeight="false" outlineLevel="0" collapsed="false">
      <c r="A19876" s="0" t="s">
        <v>65373</v>
      </c>
      <c r="B19876" s="0" t="n">
        <v>45784</v>
      </c>
      <c r="C19876" s="0" t="n">
        <v>45804</v>
      </c>
      <c r="D19876" s="0" t="s">
        <v>65996</v>
      </c>
      <c r="E19876" s="0" t="s">
        <v>75</v>
      </c>
      <c r="F19876" s="0" t="s">
        <v>15</v>
      </c>
      <c r="G19876" s="0" t="s">
        <v>32</v>
      </c>
      <c r="H19876" s="0" t="n">
        <v>52</v>
      </c>
      <c r="I19876" s="0" t="s">
        <v>66000</v>
      </c>
      <c r="J19876" s="0" t="s">
        <v>66001</v>
      </c>
      <c r="K19876" s="0" t="s">
        <v>66002</v>
      </c>
      <c r="L19876" s="0" t="str">
        <f aca="false">HYPERLINK("https://www.ncbi.nlm.nih.gov/nuccore/CP000060.1?report=graph&amp;tracks=[key:gene_model_track,Options:GeneOnly]&amp;mk=45744:45763|offset_11|444444,45785:45804|offset_52|00cc00,45808:45827|offset_75|444444,45854:45873|offset_121|444444&amp;v=45543:46073&amp;c=444444", "offset 52")</f>
        <v>offset 52</v>
      </c>
    </row>
    <row r="19877" customFormat="false" ht="12.8" hidden="false" customHeight="false" outlineLevel="0" collapsed="false">
      <c r="A19877" s="0" t="s">
        <v>65373</v>
      </c>
      <c r="B19877" s="0" t="n">
        <v>45807</v>
      </c>
      <c r="C19877" s="0" t="n">
        <v>45827</v>
      </c>
      <c r="D19877" s="0" t="s">
        <v>65996</v>
      </c>
      <c r="E19877" s="0" t="s">
        <v>75</v>
      </c>
      <c r="F19877" s="0" t="s">
        <v>15</v>
      </c>
      <c r="G19877" s="0" t="s">
        <v>36</v>
      </c>
      <c r="H19877" s="0" t="n">
        <v>75</v>
      </c>
      <c r="I19877" s="0" t="s">
        <v>66003</v>
      </c>
      <c r="J19877" s="0" t="s">
        <v>66004</v>
      </c>
      <c r="K19877" s="0" t="s">
        <v>66005</v>
      </c>
      <c r="L19877" s="0" t="str">
        <f aca="false">HYPERLINK("https://www.ncbi.nlm.nih.gov/nuccore/CP000060.1?report=graph&amp;tracks=[key:gene_model_track,Options:GeneOnly]&amp;mk=45744:45763|offset_11|444444,45785:45804|offset_52|444444,45808:45827|offset_75|00cc00,45854:45873|offset_121|444444&amp;v=45543:46073&amp;c=444444", "offset 75")</f>
        <v>offset 75</v>
      </c>
    </row>
    <row r="19878" customFormat="false" ht="12.8" hidden="false" customHeight="false" outlineLevel="0" collapsed="false">
      <c r="A19878" s="0" t="s">
        <v>65373</v>
      </c>
      <c r="B19878" s="0" t="n">
        <v>45853</v>
      </c>
      <c r="C19878" s="0" t="n">
        <v>45873</v>
      </c>
      <c r="D19878" s="0" t="s">
        <v>65996</v>
      </c>
      <c r="E19878" s="0" t="s">
        <v>75</v>
      </c>
      <c r="F19878" s="0" t="s">
        <v>15</v>
      </c>
      <c r="G19878" s="0" t="s">
        <v>32</v>
      </c>
      <c r="H19878" s="0" t="n">
        <v>121</v>
      </c>
      <c r="I19878" s="0" t="s">
        <v>66006</v>
      </c>
      <c r="J19878" s="0" t="s">
        <v>66007</v>
      </c>
      <c r="K19878" s="0" t="s">
        <v>66008</v>
      </c>
      <c r="L19878" s="0" t="str">
        <f aca="false">HYPERLINK("https://www.ncbi.nlm.nih.gov/nuccore/CP000060.1?report=graph&amp;tracks=[key:gene_model_track,Options:GeneOnly]&amp;mk=45744:45763|offset_11|444444,45785:45804|offset_52|444444,45808:45827|offset_75|444444,45854:45873|offset_121|00cc00&amp;v=45543:46073&amp;c=444444", "offset 121")</f>
        <v>offset 121</v>
      </c>
    </row>
    <row r="19879" customFormat="false" ht="12.8" hidden="false" customHeight="false" outlineLevel="0" collapsed="false">
      <c r="A19879" s="0" t="s">
        <v>65373</v>
      </c>
      <c r="B19879" s="0" t="n">
        <v>46592</v>
      </c>
      <c r="C19879" s="0" t="n">
        <v>46612</v>
      </c>
      <c r="D19879" s="0" t="s">
        <v>66009</v>
      </c>
      <c r="E19879" s="0" t="s">
        <v>75</v>
      </c>
      <c r="F19879" s="0" t="s">
        <v>90</v>
      </c>
      <c r="G19879" s="0" t="s">
        <v>20</v>
      </c>
      <c r="H19879" s="0" t="n">
        <v>20</v>
      </c>
      <c r="I19879" s="0" t="s">
        <v>66010</v>
      </c>
      <c r="J19879" s="0" t="s">
        <v>66011</v>
      </c>
      <c r="K19879" s="0" t="s">
        <v>66012</v>
      </c>
      <c r="L19879" s="0" t="str">
        <f aca="false">HYPERLINK("https://www.ncbi.nlm.nih.gov/nuccore/CP000060.1?report=graph&amp;tracks=[key:gene_model_track,Options:GeneOnly]&amp;mk=46593:46612|offset_20|00cc00,46549:46568|offset_64|444444,46528:46547|offset_85|444444,46505:46524|offset_108|444444&amp;v=46392:46724&amp;c=444444", "offset 20")</f>
        <v>offset 20</v>
      </c>
    </row>
    <row r="19880" customFormat="false" ht="12.8" hidden="false" customHeight="false" outlineLevel="0" collapsed="false">
      <c r="A19880" s="0" t="s">
        <v>65373</v>
      </c>
      <c r="B19880" s="0" t="n">
        <v>46548</v>
      </c>
      <c r="C19880" s="0" t="n">
        <v>46568</v>
      </c>
      <c r="D19880" s="0" t="s">
        <v>66009</v>
      </c>
      <c r="E19880" s="0" t="s">
        <v>75</v>
      </c>
      <c r="F19880" s="0" t="s">
        <v>90</v>
      </c>
      <c r="G19880" s="0" t="s">
        <v>16</v>
      </c>
      <c r="H19880" s="0" t="n">
        <v>64</v>
      </c>
      <c r="I19880" s="0" t="s">
        <v>66013</v>
      </c>
      <c r="J19880" s="0" t="s">
        <v>66014</v>
      </c>
      <c r="K19880" s="0" t="s">
        <v>66015</v>
      </c>
      <c r="L19880" s="0" t="str">
        <f aca="false">HYPERLINK("https://www.ncbi.nlm.nih.gov/nuccore/CP000060.1?report=graph&amp;tracks=[key:gene_model_track,Options:GeneOnly]&amp;mk=46593:46612|offset_20|444444,46549:46568|offset_64|00cc00,46528:46547|offset_85|444444,46505:46524|offset_108|444444&amp;v=46392:46724&amp;c=444444", "offset 64")</f>
        <v>offset 64</v>
      </c>
    </row>
    <row r="19881" customFormat="false" ht="12.8" hidden="false" customHeight="false" outlineLevel="0" collapsed="false">
      <c r="A19881" s="0" t="s">
        <v>65373</v>
      </c>
      <c r="B19881" s="0" t="n">
        <v>46527</v>
      </c>
      <c r="C19881" s="0" t="n">
        <v>46547</v>
      </c>
      <c r="D19881" s="0" t="s">
        <v>66009</v>
      </c>
      <c r="E19881" s="0" t="s">
        <v>75</v>
      </c>
      <c r="F19881" s="0" t="s">
        <v>90</v>
      </c>
      <c r="G19881" s="0" t="s">
        <v>16</v>
      </c>
      <c r="H19881" s="0" t="n">
        <v>85</v>
      </c>
      <c r="I19881" s="0" t="s">
        <v>66016</v>
      </c>
      <c r="J19881" s="0" t="s">
        <v>66017</v>
      </c>
      <c r="K19881" s="0" t="s">
        <v>66018</v>
      </c>
      <c r="L19881" s="0" t="str">
        <f aca="false">HYPERLINK("https://www.ncbi.nlm.nih.gov/nuccore/CP000060.1?report=graph&amp;tracks=[key:gene_model_track,Options:GeneOnly]&amp;mk=46593:46612|offset_20|444444,46549:46568|offset_64|444444,46528:46547|offset_85|00cc00,46505:46524|offset_108|444444&amp;v=46392:46724&amp;c=444444", "offset 85")</f>
        <v>offset 85</v>
      </c>
    </row>
    <row r="19882" customFormat="false" ht="12.8" hidden="false" customHeight="false" outlineLevel="0" collapsed="false">
      <c r="A19882" s="0" t="s">
        <v>65373</v>
      </c>
      <c r="B19882" s="0" t="n">
        <v>46504</v>
      </c>
      <c r="C19882" s="0" t="n">
        <v>46524</v>
      </c>
      <c r="D19882" s="0" t="s">
        <v>66009</v>
      </c>
      <c r="E19882" s="0" t="s">
        <v>75</v>
      </c>
      <c r="F19882" s="0" t="s">
        <v>90</v>
      </c>
      <c r="G19882" s="0" t="s">
        <v>16</v>
      </c>
      <c r="H19882" s="0" t="n">
        <v>108</v>
      </c>
      <c r="I19882" s="0" t="s">
        <v>66019</v>
      </c>
      <c r="J19882" s="0" t="s">
        <v>66020</v>
      </c>
      <c r="K19882" s="0" t="s">
        <v>66021</v>
      </c>
      <c r="L19882" s="0" t="str">
        <f aca="false">HYPERLINK("https://www.ncbi.nlm.nih.gov/nuccore/CP000060.1?report=graph&amp;tracks=[key:gene_model_track,Options:GeneOnly]&amp;mk=46593:46612|offset_20|444444,46549:46568|offset_64|444444,46528:46547|offset_85|444444,46505:46524|offset_108|00cc00&amp;v=46392:46724&amp;c=444444", "offset 108")</f>
        <v>offset 108</v>
      </c>
    </row>
    <row r="19883" customFormat="false" ht="12.8" hidden="false" customHeight="false" outlineLevel="0" collapsed="false">
      <c r="A19883" s="0" t="s">
        <v>65373</v>
      </c>
      <c r="B19883" s="0" t="n">
        <v>46915</v>
      </c>
      <c r="C19883" s="0" t="n">
        <v>46935</v>
      </c>
      <c r="D19883" s="0" t="s">
        <v>66022</v>
      </c>
      <c r="E19883" s="0" t="s">
        <v>75</v>
      </c>
      <c r="F19883" s="0" t="s">
        <v>90</v>
      </c>
      <c r="G19883" s="0" t="s">
        <v>16</v>
      </c>
      <c r="H19883" s="0" t="n">
        <v>8</v>
      </c>
      <c r="I19883" s="0" t="s">
        <v>66023</v>
      </c>
      <c r="J19883" s="0" t="s">
        <v>66024</v>
      </c>
      <c r="K19883" s="0" t="s">
        <v>66025</v>
      </c>
      <c r="L19883" s="0" t="str">
        <f aca="false">HYPERLINK("https://www.ncbi.nlm.nih.gov/nuccore/CP000060.1?report=graph&amp;tracks=[key:gene_model_track,Options:GeneOnly]&amp;mk=46916:46935|offset_8|00cc00,46896:46915|offset_28|444444,46874:46893|offset_50|444444,46827:46846|offset_97|444444&amp;v=46715:47046&amp;c=444444", "offset 8")</f>
        <v>offset 8</v>
      </c>
    </row>
    <row r="19884" customFormat="false" ht="12.8" hidden="false" customHeight="false" outlineLevel="0" collapsed="false">
      <c r="A19884" s="0" t="s">
        <v>65373</v>
      </c>
      <c r="B19884" s="0" t="n">
        <v>46895</v>
      </c>
      <c r="C19884" s="0" t="n">
        <v>46915</v>
      </c>
      <c r="D19884" s="0" t="s">
        <v>66022</v>
      </c>
      <c r="E19884" s="0" t="s">
        <v>75</v>
      </c>
      <c r="F19884" s="0" t="s">
        <v>90</v>
      </c>
      <c r="G19884" s="0" t="s">
        <v>32</v>
      </c>
      <c r="H19884" s="0" t="n">
        <v>28</v>
      </c>
      <c r="I19884" s="0" t="s">
        <v>66026</v>
      </c>
      <c r="J19884" s="0" t="s">
        <v>66027</v>
      </c>
      <c r="K19884" s="0" t="s">
        <v>66028</v>
      </c>
      <c r="L19884" s="0" t="str">
        <f aca="false">HYPERLINK("https://www.ncbi.nlm.nih.gov/nuccore/CP000060.1?report=graph&amp;tracks=[key:gene_model_track,Options:GeneOnly]&amp;mk=46916:46935|offset_8|444444,46896:46915|offset_28|00cc00,46874:46893|offset_50|444444,46827:46846|offset_97|444444&amp;v=46715:47046&amp;c=444444", "offset 28")</f>
        <v>offset 28</v>
      </c>
    </row>
    <row r="19885" customFormat="false" ht="12.8" hidden="false" customHeight="false" outlineLevel="0" collapsed="false">
      <c r="A19885" s="0" t="s">
        <v>65373</v>
      </c>
      <c r="B19885" s="0" t="n">
        <v>46873</v>
      </c>
      <c r="C19885" s="0" t="n">
        <v>46893</v>
      </c>
      <c r="D19885" s="0" t="s">
        <v>66022</v>
      </c>
      <c r="E19885" s="0" t="s">
        <v>75</v>
      </c>
      <c r="F19885" s="0" t="s">
        <v>90</v>
      </c>
      <c r="G19885" s="0" t="s">
        <v>16</v>
      </c>
      <c r="H19885" s="0" t="n">
        <v>50</v>
      </c>
      <c r="I19885" s="0" t="s">
        <v>66029</v>
      </c>
      <c r="J19885" s="0" t="s">
        <v>66030</v>
      </c>
      <c r="K19885" s="0" t="s">
        <v>66031</v>
      </c>
      <c r="L19885" s="0" t="str">
        <f aca="false">HYPERLINK("https://www.ncbi.nlm.nih.gov/nuccore/CP000060.1?report=graph&amp;tracks=[key:gene_model_track,Options:GeneOnly]&amp;mk=46916:46935|offset_8|444444,46896:46915|offset_28|444444,46874:46893|offset_50|00cc00,46827:46846|offset_97|444444&amp;v=46715:47046&amp;c=444444", "offset 50")</f>
        <v>offset 50</v>
      </c>
    </row>
    <row r="19886" customFormat="false" ht="12.8" hidden="false" customHeight="false" outlineLevel="0" collapsed="false">
      <c r="A19886" s="0" t="s">
        <v>65373</v>
      </c>
      <c r="B19886" s="0" t="n">
        <v>46826</v>
      </c>
      <c r="C19886" s="0" t="n">
        <v>46846</v>
      </c>
      <c r="D19886" s="0" t="s">
        <v>66022</v>
      </c>
      <c r="E19886" s="0" t="s">
        <v>75</v>
      </c>
      <c r="F19886" s="0" t="s">
        <v>90</v>
      </c>
      <c r="G19886" s="0" t="s">
        <v>36</v>
      </c>
      <c r="H19886" s="0" t="n">
        <v>97</v>
      </c>
      <c r="I19886" s="0" t="s">
        <v>66032</v>
      </c>
      <c r="J19886" s="0" t="s">
        <v>66033</v>
      </c>
      <c r="K19886" s="0" t="s">
        <v>66034</v>
      </c>
      <c r="L19886" s="0" t="str">
        <f aca="false">HYPERLINK("https://www.ncbi.nlm.nih.gov/nuccore/CP000060.1?report=graph&amp;tracks=[key:gene_model_track,Options:GeneOnly]&amp;mk=46916:46935|offset_8|444444,46896:46915|offset_28|444444,46874:46893|offset_50|444444,46827:46846|offset_97|00cc00&amp;v=46715:47046&amp;c=444444", "offset 97")</f>
        <v>offset 97</v>
      </c>
    </row>
    <row r="19887" customFormat="false" ht="12.8" hidden="false" customHeight="false" outlineLevel="0" collapsed="false">
      <c r="A19887" s="0" t="s">
        <v>65373</v>
      </c>
      <c r="B19887" s="0" t="n">
        <v>47263</v>
      </c>
      <c r="C19887" s="0" t="n">
        <v>47283</v>
      </c>
      <c r="D19887" s="0" t="s">
        <v>66035</v>
      </c>
      <c r="E19887" s="0" t="s">
        <v>75</v>
      </c>
      <c r="F19887" s="0" t="s">
        <v>90</v>
      </c>
      <c r="G19887" s="0" t="s">
        <v>16</v>
      </c>
      <c r="H19887" s="0" t="n">
        <v>19</v>
      </c>
      <c r="I19887" s="0" t="s">
        <v>66036</v>
      </c>
      <c r="J19887" s="0" t="s">
        <v>66037</v>
      </c>
      <c r="K19887" s="0" t="s">
        <v>66038</v>
      </c>
      <c r="L19887" s="0" t="str">
        <f aca="false">HYPERLINK("https://www.ncbi.nlm.nih.gov/nuccore/CP000060.1?report=graph&amp;tracks=[key:gene_model_track,Options:GeneOnly]&amp;mk=47264:47283|offset_19|00cc00,47238:47257|offset_45|444444,47195:47214|offset_88|444444,47161:47180|offset_122|444444&amp;v=47063:47380&amp;c=444444", "offset 19")</f>
        <v>offset 19</v>
      </c>
    </row>
    <row r="19888" customFormat="false" ht="12.8" hidden="false" customHeight="false" outlineLevel="0" collapsed="false">
      <c r="A19888" s="0" t="s">
        <v>65373</v>
      </c>
      <c r="B19888" s="0" t="n">
        <v>47237</v>
      </c>
      <c r="C19888" s="0" t="n">
        <v>47257</v>
      </c>
      <c r="D19888" s="0" t="s">
        <v>66035</v>
      </c>
      <c r="E19888" s="0" t="s">
        <v>75</v>
      </c>
      <c r="F19888" s="0" t="s">
        <v>90</v>
      </c>
      <c r="G19888" s="0" t="s">
        <v>36</v>
      </c>
      <c r="H19888" s="0" t="n">
        <v>45</v>
      </c>
      <c r="I19888" s="0" t="s">
        <v>66039</v>
      </c>
      <c r="J19888" s="0" t="s">
        <v>66040</v>
      </c>
      <c r="K19888" s="0" t="s">
        <v>66041</v>
      </c>
      <c r="L19888" s="0" t="str">
        <f aca="false">HYPERLINK("https://www.ncbi.nlm.nih.gov/nuccore/CP000060.1?report=graph&amp;tracks=[key:gene_model_track,Options:GeneOnly]&amp;mk=47264:47283|offset_19|444444,47238:47257|offset_45|00cc00,47195:47214|offset_88|444444,47161:47180|offset_122|444444&amp;v=47063:47380&amp;c=444444", "offset 45")</f>
        <v>offset 45</v>
      </c>
    </row>
    <row r="19889" customFormat="false" ht="12.8" hidden="false" customHeight="false" outlineLevel="0" collapsed="false">
      <c r="A19889" s="0" t="s">
        <v>65373</v>
      </c>
      <c r="B19889" s="0" t="n">
        <v>47194</v>
      </c>
      <c r="C19889" s="0" t="n">
        <v>47214</v>
      </c>
      <c r="D19889" s="0" t="s">
        <v>66035</v>
      </c>
      <c r="E19889" s="0" t="s">
        <v>75</v>
      </c>
      <c r="F19889" s="0" t="s">
        <v>90</v>
      </c>
      <c r="G19889" s="0" t="s">
        <v>16</v>
      </c>
      <c r="H19889" s="0" t="n">
        <v>88</v>
      </c>
      <c r="I19889" s="0" t="s">
        <v>66042</v>
      </c>
      <c r="J19889" s="0" t="s">
        <v>66043</v>
      </c>
      <c r="K19889" s="0" t="s">
        <v>66044</v>
      </c>
      <c r="L19889" s="0" t="str">
        <f aca="false">HYPERLINK("https://www.ncbi.nlm.nih.gov/nuccore/CP000060.1?report=graph&amp;tracks=[key:gene_model_track,Options:GeneOnly]&amp;mk=47264:47283|offset_19|444444,47238:47257|offset_45|444444,47195:47214|offset_88|00cc00,47161:47180|offset_122|444444&amp;v=47063:47380&amp;c=444444", "offset 88")</f>
        <v>offset 88</v>
      </c>
    </row>
    <row r="19890" customFormat="false" ht="12.8" hidden="false" customHeight="false" outlineLevel="0" collapsed="false">
      <c r="A19890" s="0" t="s">
        <v>65373</v>
      </c>
      <c r="B19890" s="0" t="n">
        <v>47160</v>
      </c>
      <c r="C19890" s="0" t="n">
        <v>47180</v>
      </c>
      <c r="D19890" s="0" t="s">
        <v>66035</v>
      </c>
      <c r="E19890" s="0" t="s">
        <v>75</v>
      </c>
      <c r="F19890" s="0" t="s">
        <v>90</v>
      </c>
      <c r="G19890" s="0" t="s">
        <v>36</v>
      </c>
      <c r="H19890" s="0" t="n">
        <v>122</v>
      </c>
      <c r="I19890" s="0" t="s">
        <v>66045</v>
      </c>
      <c r="J19890" s="0" t="s">
        <v>66046</v>
      </c>
      <c r="K19890" s="0" t="s">
        <v>66047</v>
      </c>
      <c r="L19890" s="0" t="str">
        <f aca="false">HYPERLINK("https://www.ncbi.nlm.nih.gov/nuccore/CP000060.1?report=graph&amp;tracks=[key:gene_model_track,Options:GeneOnly]&amp;mk=47264:47283|offset_19|444444,47238:47257|offset_45|444444,47195:47214|offset_88|444444,47161:47180|offset_122|00cc00&amp;v=47063:47380&amp;c=444444", "offset 122")</f>
        <v>offset 122</v>
      </c>
    </row>
    <row r="19891" customFormat="false" ht="12.8" hidden="false" customHeight="false" outlineLevel="0" collapsed="false">
      <c r="A19891" s="0" t="s">
        <v>65373</v>
      </c>
      <c r="B19891" s="0" t="n">
        <v>47577</v>
      </c>
      <c r="C19891" s="0" t="n">
        <v>47597</v>
      </c>
      <c r="D19891" s="0" t="s">
        <v>66048</v>
      </c>
      <c r="E19891" s="0" t="s">
        <v>75</v>
      </c>
      <c r="F19891" s="0" t="s">
        <v>90</v>
      </c>
      <c r="G19891" s="0" t="s">
        <v>32</v>
      </c>
      <c r="H19891" s="0" t="n">
        <v>22</v>
      </c>
      <c r="I19891" s="0" t="s">
        <v>66049</v>
      </c>
      <c r="J19891" s="0" t="s">
        <v>66050</v>
      </c>
      <c r="K19891" s="0" t="s">
        <v>66051</v>
      </c>
      <c r="L19891" s="0" t="str">
        <f aca="false">HYPERLINK("https://www.ncbi.nlm.nih.gov/nuccore/CP000060.1?report=graph&amp;tracks=[key:gene_model_track,Options:GeneOnly]&amp;mk=47578:47597|offset_22|00cc00,47545:47564|offset_55|444444,47503:47522|offset_97|444444,47478:47497|offset_122|444444&amp;v=47377:47697&amp;c=444444", "offset 22")</f>
        <v>offset 22</v>
      </c>
    </row>
    <row r="19892" customFormat="false" ht="12.8" hidden="false" customHeight="false" outlineLevel="0" collapsed="false">
      <c r="A19892" s="0" t="s">
        <v>65373</v>
      </c>
      <c r="B19892" s="0" t="n">
        <v>47544</v>
      </c>
      <c r="C19892" s="0" t="n">
        <v>47564</v>
      </c>
      <c r="D19892" s="0" t="s">
        <v>66048</v>
      </c>
      <c r="E19892" s="0" t="s">
        <v>75</v>
      </c>
      <c r="F19892" s="0" t="s">
        <v>90</v>
      </c>
      <c r="G19892" s="0" t="s">
        <v>32</v>
      </c>
      <c r="H19892" s="0" t="n">
        <v>55</v>
      </c>
      <c r="I19892" s="0" t="s">
        <v>66052</v>
      </c>
      <c r="J19892" s="0" t="s">
        <v>66053</v>
      </c>
      <c r="K19892" s="0" t="s">
        <v>66054</v>
      </c>
      <c r="L19892" s="0" t="str">
        <f aca="false">HYPERLINK("https://www.ncbi.nlm.nih.gov/nuccore/CP000060.1?report=graph&amp;tracks=[key:gene_model_track,Options:GeneOnly]&amp;mk=47578:47597|offset_22|444444,47545:47564|offset_55|00cc00,47503:47522|offset_97|444444,47478:47497|offset_122|444444&amp;v=47377:47697&amp;c=444444", "offset 55")</f>
        <v>offset 55</v>
      </c>
    </row>
    <row r="19893" customFormat="false" ht="12.8" hidden="false" customHeight="false" outlineLevel="0" collapsed="false">
      <c r="A19893" s="0" t="s">
        <v>65373</v>
      </c>
      <c r="B19893" s="0" t="n">
        <v>47502</v>
      </c>
      <c r="C19893" s="0" t="n">
        <v>47522</v>
      </c>
      <c r="D19893" s="0" t="s">
        <v>66048</v>
      </c>
      <c r="E19893" s="0" t="s">
        <v>75</v>
      </c>
      <c r="F19893" s="0" t="s">
        <v>90</v>
      </c>
      <c r="G19893" s="0" t="s">
        <v>16</v>
      </c>
      <c r="H19893" s="0" t="n">
        <v>97</v>
      </c>
      <c r="I19893" s="0" t="s">
        <v>66055</v>
      </c>
      <c r="J19893" s="0" t="s">
        <v>66056</v>
      </c>
      <c r="K19893" s="0" t="s">
        <v>66057</v>
      </c>
      <c r="L19893" s="0" t="str">
        <f aca="false">HYPERLINK("https://www.ncbi.nlm.nih.gov/nuccore/CP000060.1?report=graph&amp;tracks=[key:gene_model_track,Options:GeneOnly]&amp;mk=47578:47597|offset_22|444444,47545:47564|offset_55|444444,47503:47522|offset_97|00cc00,47478:47497|offset_122|444444&amp;v=47377:47697&amp;c=444444", "offset 97")</f>
        <v>offset 97</v>
      </c>
    </row>
    <row r="19894" customFormat="false" ht="12.8" hidden="false" customHeight="false" outlineLevel="0" collapsed="false">
      <c r="A19894" s="0" t="s">
        <v>65373</v>
      </c>
      <c r="B19894" s="0" t="n">
        <v>47477</v>
      </c>
      <c r="C19894" s="0" t="n">
        <v>47497</v>
      </c>
      <c r="D19894" s="0" t="s">
        <v>66048</v>
      </c>
      <c r="E19894" s="0" t="s">
        <v>75</v>
      </c>
      <c r="F19894" s="0" t="s">
        <v>90</v>
      </c>
      <c r="G19894" s="0" t="s">
        <v>32</v>
      </c>
      <c r="H19894" s="0" t="n">
        <v>122</v>
      </c>
      <c r="I19894" s="0" t="s">
        <v>66058</v>
      </c>
      <c r="J19894" s="0" t="s">
        <v>66059</v>
      </c>
      <c r="K19894" s="0" t="s">
        <v>66060</v>
      </c>
      <c r="L19894" s="0" t="str">
        <f aca="false">HYPERLINK("https://www.ncbi.nlm.nih.gov/nuccore/CP000060.1?report=graph&amp;tracks=[key:gene_model_track,Options:GeneOnly]&amp;mk=47578:47597|offset_22|444444,47545:47564|offset_55|444444,47503:47522|offset_97|444444,47478:47497|offset_122|00cc00&amp;v=47377:47697&amp;c=444444", "offset 122")</f>
        <v>offset 122</v>
      </c>
    </row>
    <row r="19895" customFormat="false" ht="12.8" hidden="false" customHeight="false" outlineLevel="0" collapsed="false">
      <c r="A19895" s="0" t="s">
        <v>65373</v>
      </c>
      <c r="B19895" s="0" t="n">
        <v>47864</v>
      </c>
      <c r="C19895" s="0" t="n">
        <v>47884</v>
      </c>
      <c r="D19895" s="0" t="s">
        <v>66061</v>
      </c>
      <c r="E19895" s="0" t="s">
        <v>75</v>
      </c>
      <c r="F19895" s="0" t="s">
        <v>90</v>
      </c>
      <c r="G19895" s="0" t="s">
        <v>36</v>
      </c>
      <c r="H19895" s="0" t="n">
        <v>15</v>
      </c>
      <c r="I19895" s="0" t="s">
        <v>66062</v>
      </c>
      <c r="J19895" s="0" t="s">
        <v>66063</v>
      </c>
      <c r="K19895" s="0" t="s">
        <v>66064</v>
      </c>
      <c r="L19895" s="0" t="str">
        <f aca="false">HYPERLINK("https://www.ncbi.nlm.nih.gov/nuccore/CP000060.1?report=graph&amp;tracks=[key:gene_model_track,Options:GeneOnly]&amp;mk=47865:47884|offset_15|00cc00,47827:47846|offset_53|444444,47789:47808|offset_91|444444,47762:47781|offset_118|444444&amp;v=47664:47981&amp;c=444444", "offset 15")</f>
        <v>offset 15</v>
      </c>
    </row>
    <row r="19896" customFormat="false" ht="12.8" hidden="false" customHeight="false" outlineLevel="0" collapsed="false">
      <c r="A19896" s="0" t="s">
        <v>65373</v>
      </c>
      <c r="B19896" s="0" t="n">
        <v>47826</v>
      </c>
      <c r="C19896" s="0" t="n">
        <v>47846</v>
      </c>
      <c r="D19896" s="0" t="s">
        <v>66061</v>
      </c>
      <c r="E19896" s="0" t="s">
        <v>75</v>
      </c>
      <c r="F19896" s="0" t="s">
        <v>90</v>
      </c>
      <c r="G19896" s="0" t="s">
        <v>16</v>
      </c>
      <c r="H19896" s="0" t="n">
        <v>53</v>
      </c>
      <c r="I19896" s="0" t="s">
        <v>66065</v>
      </c>
      <c r="J19896" s="0" t="s">
        <v>66066</v>
      </c>
      <c r="K19896" s="0" t="s">
        <v>66067</v>
      </c>
      <c r="L19896" s="0" t="str">
        <f aca="false">HYPERLINK("https://www.ncbi.nlm.nih.gov/nuccore/CP000060.1?report=graph&amp;tracks=[key:gene_model_track,Options:GeneOnly]&amp;mk=47865:47884|offset_15|444444,47827:47846|offset_53|00cc00,47789:47808|offset_91|444444,47762:47781|offset_118|444444&amp;v=47664:47981&amp;c=444444", "offset 53")</f>
        <v>offset 53</v>
      </c>
    </row>
    <row r="19897" customFormat="false" ht="12.8" hidden="false" customHeight="false" outlineLevel="0" collapsed="false">
      <c r="A19897" s="0" t="s">
        <v>65373</v>
      </c>
      <c r="B19897" s="0" t="n">
        <v>47788</v>
      </c>
      <c r="C19897" s="0" t="n">
        <v>47808</v>
      </c>
      <c r="D19897" s="0" t="s">
        <v>66061</v>
      </c>
      <c r="E19897" s="0" t="s">
        <v>75</v>
      </c>
      <c r="F19897" s="0" t="s">
        <v>90</v>
      </c>
      <c r="G19897" s="0" t="s">
        <v>16</v>
      </c>
      <c r="H19897" s="0" t="n">
        <v>91</v>
      </c>
      <c r="I19897" s="0" t="s">
        <v>66068</v>
      </c>
      <c r="J19897" s="0" t="s">
        <v>66069</v>
      </c>
      <c r="K19897" s="0" t="s">
        <v>66070</v>
      </c>
      <c r="L19897" s="0" t="str">
        <f aca="false">HYPERLINK("https://www.ncbi.nlm.nih.gov/nuccore/CP000060.1?report=graph&amp;tracks=[key:gene_model_track,Options:GeneOnly]&amp;mk=47865:47884|offset_15|444444,47827:47846|offset_53|444444,47789:47808|offset_91|00cc00,47762:47781|offset_118|444444&amp;v=47664:47981&amp;c=444444", "offset 91")</f>
        <v>offset 91</v>
      </c>
    </row>
    <row r="19898" customFormat="false" ht="12.8" hidden="false" customHeight="false" outlineLevel="0" collapsed="false">
      <c r="A19898" s="0" t="s">
        <v>65373</v>
      </c>
      <c r="B19898" s="0" t="n">
        <v>47761</v>
      </c>
      <c r="C19898" s="0" t="n">
        <v>47781</v>
      </c>
      <c r="D19898" s="0" t="s">
        <v>66061</v>
      </c>
      <c r="E19898" s="0" t="s">
        <v>75</v>
      </c>
      <c r="F19898" s="0" t="s">
        <v>90</v>
      </c>
      <c r="G19898" s="0" t="s">
        <v>16</v>
      </c>
      <c r="H19898" s="0" t="n">
        <v>118</v>
      </c>
      <c r="I19898" s="0" t="s">
        <v>66071</v>
      </c>
      <c r="J19898" s="0" t="s">
        <v>66072</v>
      </c>
      <c r="K19898" s="0" t="s">
        <v>66073</v>
      </c>
      <c r="L19898" s="0" t="str">
        <f aca="false">HYPERLINK("https://www.ncbi.nlm.nih.gov/nuccore/CP000060.1?report=graph&amp;tracks=[key:gene_model_track,Options:GeneOnly]&amp;mk=47865:47884|offset_15|444444,47827:47846|offset_53|444444,47789:47808|offset_91|444444,47762:47781|offset_118|00cc00&amp;v=47664:47981&amp;c=444444", "offset 118")</f>
        <v>offset 118</v>
      </c>
    </row>
    <row r="19899" customFormat="false" ht="12.8" hidden="false" customHeight="false" outlineLevel="0" collapsed="false">
      <c r="A19899" s="0" t="s">
        <v>65373</v>
      </c>
      <c r="B19899" s="0" t="n">
        <v>48080</v>
      </c>
      <c r="C19899" s="0" t="n">
        <v>48100</v>
      </c>
      <c r="D19899" s="0" t="s">
        <v>66074</v>
      </c>
      <c r="E19899" s="0" t="s">
        <v>75</v>
      </c>
      <c r="F19899" s="0" t="s">
        <v>15</v>
      </c>
      <c r="G19899" s="0" t="s">
        <v>32</v>
      </c>
      <c r="H19899" s="0" t="n">
        <v>1</v>
      </c>
      <c r="I19899" s="0" t="s">
        <v>66075</v>
      </c>
      <c r="J19899" s="0" t="s">
        <v>66076</v>
      </c>
      <c r="K19899" s="0" t="s">
        <v>66077</v>
      </c>
      <c r="L19899" s="0" t="str">
        <f aca="false">HYPERLINK("https://www.ncbi.nlm.nih.gov/nuccore/CP000060.1?report=graph&amp;tracks=[key:gene_model_track,Options:GeneOnly]&amp;mk=48081:48100|offset_1|00cc00,48111:48130|offset_31|444444,48183:48202|offset_103|444444,48222:48241|offset_142|444444&amp;v=47880:48441&amp;c=444444", "offset 1")</f>
        <v>offset 1</v>
      </c>
    </row>
    <row r="19900" customFormat="false" ht="12.8" hidden="false" customHeight="false" outlineLevel="0" collapsed="false">
      <c r="A19900" s="0" t="s">
        <v>65373</v>
      </c>
      <c r="B19900" s="0" t="n">
        <v>48110</v>
      </c>
      <c r="C19900" s="0" t="n">
        <v>48130</v>
      </c>
      <c r="D19900" s="0" t="s">
        <v>66074</v>
      </c>
      <c r="E19900" s="0" t="s">
        <v>75</v>
      </c>
      <c r="F19900" s="0" t="s">
        <v>15</v>
      </c>
      <c r="G19900" s="0" t="s">
        <v>16</v>
      </c>
      <c r="H19900" s="0" t="n">
        <v>31</v>
      </c>
      <c r="I19900" s="0" t="s">
        <v>66078</v>
      </c>
      <c r="J19900" s="0" t="s">
        <v>66079</v>
      </c>
      <c r="K19900" s="0" t="s">
        <v>66080</v>
      </c>
      <c r="L19900" s="0" t="str">
        <f aca="false">HYPERLINK("https://www.ncbi.nlm.nih.gov/nuccore/CP000060.1?report=graph&amp;tracks=[key:gene_model_track,Options:GeneOnly]&amp;mk=48081:48100|offset_1|444444,48111:48130|offset_31|00cc00,48183:48202|offset_103|444444,48222:48241|offset_142|444444&amp;v=47880:48441&amp;c=444444", "offset 31")</f>
        <v>offset 31</v>
      </c>
    </row>
    <row r="19901" customFormat="false" ht="12.8" hidden="false" customHeight="false" outlineLevel="0" collapsed="false">
      <c r="A19901" s="0" t="s">
        <v>65373</v>
      </c>
      <c r="B19901" s="0" t="n">
        <v>48182</v>
      </c>
      <c r="C19901" s="0" t="n">
        <v>48202</v>
      </c>
      <c r="D19901" s="0" t="s">
        <v>66074</v>
      </c>
      <c r="E19901" s="0" t="s">
        <v>75</v>
      </c>
      <c r="F19901" s="0" t="s">
        <v>15</v>
      </c>
      <c r="G19901" s="0" t="s">
        <v>16</v>
      </c>
      <c r="H19901" s="0" t="n">
        <v>103</v>
      </c>
      <c r="I19901" s="0" t="s">
        <v>66081</v>
      </c>
      <c r="J19901" s="0" t="s">
        <v>66082</v>
      </c>
      <c r="K19901" s="0" t="s">
        <v>66083</v>
      </c>
      <c r="L19901" s="0" t="str">
        <f aca="false">HYPERLINK("https://www.ncbi.nlm.nih.gov/nuccore/CP000060.1?report=graph&amp;tracks=[key:gene_model_track,Options:GeneOnly]&amp;mk=48081:48100|offset_1|444444,48111:48130|offset_31|444444,48183:48202|offset_103|00cc00,48222:48241|offset_142|444444&amp;v=47880:48441&amp;c=444444", "offset 103")</f>
        <v>offset 103</v>
      </c>
    </row>
    <row r="19902" customFormat="false" ht="12.8" hidden="false" customHeight="false" outlineLevel="0" collapsed="false">
      <c r="A19902" s="0" t="s">
        <v>65373</v>
      </c>
      <c r="B19902" s="0" t="n">
        <v>48221</v>
      </c>
      <c r="C19902" s="0" t="n">
        <v>48241</v>
      </c>
      <c r="D19902" s="0" t="s">
        <v>66074</v>
      </c>
      <c r="E19902" s="0" t="s">
        <v>75</v>
      </c>
      <c r="F19902" s="0" t="s">
        <v>15</v>
      </c>
      <c r="G19902" s="0" t="s">
        <v>20</v>
      </c>
      <c r="H19902" s="0" t="n">
        <v>142</v>
      </c>
      <c r="I19902" s="0" t="s">
        <v>66084</v>
      </c>
      <c r="J19902" s="0" t="s">
        <v>66085</v>
      </c>
      <c r="K19902" s="0" t="s">
        <v>66086</v>
      </c>
      <c r="L19902" s="0" t="str">
        <f aca="false">HYPERLINK("https://www.ncbi.nlm.nih.gov/nuccore/CP000060.1?report=graph&amp;tracks=[key:gene_model_track,Options:GeneOnly]&amp;mk=48081:48100|offset_1|444444,48111:48130|offset_31|444444,48183:48202|offset_103|444444,48222:48241|offset_142|00cc00&amp;v=47880:48441&amp;c=444444", "offset 142")</f>
        <v>offset 142</v>
      </c>
    </row>
    <row r="19903" customFormat="false" ht="12.8" hidden="false" customHeight="false" outlineLevel="0" collapsed="false">
      <c r="A19903" s="0" t="s">
        <v>65373</v>
      </c>
      <c r="B19903" s="0" t="n">
        <v>48664</v>
      </c>
      <c r="C19903" s="0" t="n">
        <v>48684</v>
      </c>
      <c r="D19903" s="0" t="s">
        <v>66087</v>
      </c>
      <c r="E19903" s="0" t="s">
        <v>75</v>
      </c>
      <c r="F19903" s="0" t="s">
        <v>15</v>
      </c>
      <c r="G19903" s="0" t="s">
        <v>36</v>
      </c>
      <c r="H19903" s="0" t="n">
        <v>29</v>
      </c>
      <c r="I19903" s="0" t="s">
        <v>66088</v>
      </c>
      <c r="J19903" s="0" t="s">
        <v>66089</v>
      </c>
      <c r="K19903" s="0" t="s">
        <v>66090</v>
      </c>
      <c r="L19903" s="0" t="str">
        <f aca="false">HYPERLINK("https://www.ncbi.nlm.nih.gov/nuccore/CP000060.1?report=graph&amp;tracks=[key:gene_model_track,Options:GeneOnly]&amp;mk=48665:48684|offset_29|00cc00,48704:48723|offset_68|444444,48736:48755|offset_100|444444,48775:48794|offset_139|444444&amp;v=48464:48994&amp;c=444444", "offset 29")</f>
        <v>offset 29</v>
      </c>
    </row>
    <row r="19904" customFormat="false" ht="12.8" hidden="false" customHeight="false" outlineLevel="0" collapsed="false">
      <c r="A19904" s="0" t="s">
        <v>65373</v>
      </c>
      <c r="B19904" s="0" t="n">
        <v>48703</v>
      </c>
      <c r="C19904" s="0" t="n">
        <v>48723</v>
      </c>
      <c r="D19904" s="0" t="s">
        <v>66087</v>
      </c>
      <c r="E19904" s="0" t="s">
        <v>75</v>
      </c>
      <c r="F19904" s="0" t="s">
        <v>15</v>
      </c>
      <c r="G19904" s="0" t="s">
        <v>16</v>
      </c>
      <c r="H19904" s="0" t="n">
        <v>68</v>
      </c>
      <c r="I19904" s="0" t="s">
        <v>66091</v>
      </c>
      <c r="J19904" s="0" t="s">
        <v>66092</v>
      </c>
      <c r="K19904" s="0" t="s">
        <v>66093</v>
      </c>
      <c r="L19904" s="0" t="str">
        <f aca="false">HYPERLINK("https://www.ncbi.nlm.nih.gov/nuccore/CP000060.1?report=graph&amp;tracks=[key:gene_model_track,Options:GeneOnly]&amp;mk=48665:48684|offset_29|444444,48704:48723|offset_68|00cc00,48736:48755|offset_100|444444,48775:48794|offset_139|444444&amp;v=48464:48994&amp;c=444444", "offset 68")</f>
        <v>offset 68</v>
      </c>
    </row>
    <row r="19905" customFormat="false" ht="12.8" hidden="false" customHeight="false" outlineLevel="0" collapsed="false">
      <c r="A19905" s="0" t="s">
        <v>65373</v>
      </c>
      <c r="B19905" s="0" t="n">
        <v>48735</v>
      </c>
      <c r="C19905" s="0" t="n">
        <v>48755</v>
      </c>
      <c r="D19905" s="0" t="s">
        <v>66087</v>
      </c>
      <c r="E19905" s="0" t="s">
        <v>75</v>
      </c>
      <c r="F19905" s="0" t="s">
        <v>15</v>
      </c>
      <c r="G19905" s="0" t="s">
        <v>36</v>
      </c>
      <c r="H19905" s="0" t="n">
        <v>100</v>
      </c>
      <c r="I19905" s="0" t="s">
        <v>66094</v>
      </c>
      <c r="J19905" s="0" t="s">
        <v>66095</v>
      </c>
      <c r="K19905" s="0" t="s">
        <v>66096</v>
      </c>
      <c r="L19905" s="0" t="str">
        <f aca="false">HYPERLINK("https://www.ncbi.nlm.nih.gov/nuccore/CP000060.1?report=graph&amp;tracks=[key:gene_model_track,Options:GeneOnly]&amp;mk=48665:48684|offset_29|444444,48704:48723|offset_68|444444,48736:48755|offset_100|00cc00,48775:48794|offset_139|444444&amp;v=48464:48994&amp;c=444444", "offset 100")</f>
        <v>offset 100</v>
      </c>
    </row>
    <row r="19906" customFormat="false" ht="12.8" hidden="false" customHeight="false" outlineLevel="0" collapsed="false">
      <c r="A19906" s="0" t="s">
        <v>65373</v>
      </c>
      <c r="B19906" s="0" t="n">
        <v>48774</v>
      </c>
      <c r="C19906" s="0" t="n">
        <v>48794</v>
      </c>
      <c r="D19906" s="0" t="s">
        <v>66087</v>
      </c>
      <c r="E19906" s="0" t="s">
        <v>75</v>
      </c>
      <c r="F19906" s="0" t="s">
        <v>15</v>
      </c>
      <c r="G19906" s="0" t="s">
        <v>32</v>
      </c>
      <c r="H19906" s="0" t="n">
        <v>139</v>
      </c>
      <c r="I19906" s="0" t="s">
        <v>66097</v>
      </c>
      <c r="J19906" s="0" t="s">
        <v>66098</v>
      </c>
      <c r="K19906" s="0" t="s">
        <v>66099</v>
      </c>
      <c r="L19906" s="0" t="str">
        <f aca="false">HYPERLINK("https://www.ncbi.nlm.nih.gov/nuccore/CP000060.1?report=graph&amp;tracks=[key:gene_model_track,Options:GeneOnly]&amp;mk=48665:48684|offset_29|444444,48704:48723|offset_68|444444,48736:48755|offset_100|444444,48775:48794|offset_139|00cc00&amp;v=48464:48994&amp;c=444444", "offset 139")</f>
        <v>offset 139</v>
      </c>
    </row>
    <row r="19907" customFormat="false" ht="12.8" hidden="false" customHeight="false" outlineLevel="0" collapsed="false">
      <c r="A19907" s="0" t="s">
        <v>65373</v>
      </c>
      <c r="B19907" s="0" t="n">
        <v>50328</v>
      </c>
      <c r="C19907" s="0" t="n">
        <v>50348</v>
      </c>
      <c r="D19907" s="0" t="s">
        <v>66100</v>
      </c>
      <c r="E19907" s="0" t="s">
        <v>75</v>
      </c>
      <c r="F19907" s="0" t="s">
        <v>15</v>
      </c>
      <c r="G19907" s="0" t="s">
        <v>16</v>
      </c>
      <c r="H19907" s="0" t="n">
        <v>42</v>
      </c>
      <c r="I19907" s="0" t="s">
        <v>66101</v>
      </c>
      <c r="J19907" s="0" t="s">
        <v>66102</v>
      </c>
      <c r="K19907" s="0" t="s">
        <v>66103</v>
      </c>
      <c r="L19907" s="0" t="str">
        <f aca="false">HYPERLINK("https://www.ncbi.nlm.nih.gov/nuccore/CP000060.1?report=graph&amp;tracks=[key:gene_model_track,Options:GeneOnly]&amp;mk=50329:50348|offset_42|00cc00,50357:50376|offset_70|444444,50409:50428|offset_122|444444,50450:50469|offset_163|444444&amp;v=50128:50669&amp;c=444444", "offset 42")</f>
        <v>offset 42</v>
      </c>
    </row>
    <row r="19908" customFormat="false" ht="12.8" hidden="false" customHeight="false" outlineLevel="0" collapsed="false">
      <c r="A19908" s="0" t="s">
        <v>65373</v>
      </c>
      <c r="B19908" s="0" t="n">
        <v>50356</v>
      </c>
      <c r="C19908" s="0" t="n">
        <v>50376</v>
      </c>
      <c r="D19908" s="0" t="s">
        <v>66100</v>
      </c>
      <c r="E19908" s="0" t="s">
        <v>75</v>
      </c>
      <c r="F19908" s="0" t="s">
        <v>15</v>
      </c>
      <c r="G19908" s="0" t="s">
        <v>32</v>
      </c>
      <c r="H19908" s="0" t="n">
        <v>70</v>
      </c>
      <c r="I19908" s="0" t="s">
        <v>66104</v>
      </c>
      <c r="J19908" s="0" t="s">
        <v>66105</v>
      </c>
      <c r="K19908" s="0" t="s">
        <v>66106</v>
      </c>
      <c r="L19908" s="0" t="str">
        <f aca="false">HYPERLINK("https://www.ncbi.nlm.nih.gov/nuccore/CP000060.1?report=graph&amp;tracks=[key:gene_model_track,Options:GeneOnly]&amp;mk=50329:50348|offset_42|444444,50357:50376|offset_70|00cc00,50409:50428|offset_122|444444,50450:50469|offset_163|444444&amp;v=50128:50669&amp;c=444444", "offset 70")</f>
        <v>offset 70</v>
      </c>
    </row>
    <row r="19909" customFormat="false" ht="12.8" hidden="false" customHeight="false" outlineLevel="0" collapsed="false">
      <c r="A19909" s="0" t="s">
        <v>65373</v>
      </c>
      <c r="B19909" s="0" t="n">
        <v>50408</v>
      </c>
      <c r="C19909" s="0" t="n">
        <v>50428</v>
      </c>
      <c r="D19909" s="0" t="s">
        <v>66100</v>
      </c>
      <c r="E19909" s="0" t="s">
        <v>75</v>
      </c>
      <c r="F19909" s="0" t="s">
        <v>15</v>
      </c>
      <c r="G19909" s="0" t="s">
        <v>16</v>
      </c>
      <c r="H19909" s="0" t="n">
        <v>122</v>
      </c>
      <c r="I19909" s="0" t="s">
        <v>66107</v>
      </c>
      <c r="J19909" s="0" t="s">
        <v>66108</v>
      </c>
      <c r="K19909" s="0" t="s">
        <v>66109</v>
      </c>
      <c r="L19909" s="0" t="str">
        <f aca="false">HYPERLINK("https://www.ncbi.nlm.nih.gov/nuccore/CP000060.1?report=graph&amp;tracks=[key:gene_model_track,Options:GeneOnly]&amp;mk=50329:50348|offset_42|444444,50357:50376|offset_70|444444,50409:50428|offset_122|00cc00,50450:50469|offset_163|444444&amp;v=50128:50669&amp;c=444444", "offset 122")</f>
        <v>offset 122</v>
      </c>
    </row>
    <row r="19910" customFormat="false" ht="12.8" hidden="false" customHeight="false" outlineLevel="0" collapsed="false">
      <c r="A19910" s="0" t="s">
        <v>65373</v>
      </c>
      <c r="B19910" s="0" t="n">
        <v>50449</v>
      </c>
      <c r="C19910" s="0" t="n">
        <v>50469</v>
      </c>
      <c r="D19910" s="0" t="s">
        <v>66100</v>
      </c>
      <c r="E19910" s="0" t="s">
        <v>75</v>
      </c>
      <c r="F19910" s="0" t="s">
        <v>15</v>
      </c>
      <c r="G19910" s="0" t="s">
        <v>16</v>
      </c>
      <c r="H19910" s="0" t="n">
        <v>163</v>
      </c>
      <c r="I19910" s="0" t="s">
        <v>66110</v>
      </c>
      <c r="J19910" s="0" t="s">
        <v>66111</v>
      </c>
      <c r="K19910" s="0" t="s">
        <v>66112</v>
      </c>
      <c r="L19910" s="0" t="str">
        <f aca="false">HYPERLINK("https://www.ncbi.nlm.nih.gov/nuccore/CP000060.1?report=graph&amp;tracks=[key:gene_model_track,Options:GeneOnly]&amp;mk=50329:50348|offset_42|444444,50357:50376|offset_70|444444,50409:50428|offset_122|444444,50450:50469|offset_163|00cc00&amp;v=50128:50669&amp;c=444444", "offset 163")</f>
        <v>offset 163</v>
      </c>
    </row>
    <row r="19911" customFormat="false" ht="12.8" hidden="false" customHeight="false" outlineLevel="0" collapsed="false">
      <c r="A19911" s="0" t="s">
        <v>65373</v>
      </c>
      <c r="B19911" s="0" t="n">
        <v>51432</v>
      </c>
      <c r="C19911" s="0" t="n">
        <v>51452</v>
      </c>
      <c r="D19911" s="0" t="s">
        <v>66113</v>
      </c>
      <c r="E19911" s="0" t="s">
        <v>75</v>
      </c>
      <c r="F19911" s="0" t="s">
        <v>15</v>
      </c>
      <c r="G19911" s="0" t="s">
        <v>16</v>
      </c>
      <c r="H19911" s="0" t="n">
        <v>32</v>
      </c>
      <c r="I19911" s="0" t="s">
        <v>66114</v>
      </c>
      <c r="J19911" s="0" t="s">
        <v>66115</v>
      </c>
      <c r="K19911" s="0" t="s">
        <v>66116</v>
      </c>
      <c r="L19911" s="0" t="str">
        <f aca="false">HYPERLINK("https://www.ncbi.nlm.nih.gov/nuccore/CP000060.1?report=graph&amp;tracks=[key:gene_model_track,Options:GeneOnly]&amp;mk=51433:51452|offset_32|00cc00,51467:51486|offset_66|444444,51488:51507|offset_87|444444,51517:51536|offset_116|444444&amp;v=51232:51736&amp;c=444444", "offset 32")</f>
        <v>offset 32</v>
      </c>
    </row>
    <row r="19912" customFormat="false" ht="12.8" hidden="false" customHeight="false" outlineLevel="0" collapsed="false">
      <c r="A19912" s="0" t="s">
        <v>65373</v>
      </c>
      <c r="B19912" s="0" t="n">
        <v>51466</v>
      </c>
      <c r="C19912" s="0" t="n">
        <v>51486</v>
      </c>
      <c r="D19912" s="0" t="s">
        <v>66113</v>
      </c>
      <c r="E19912" s="0" t="s">
        <v>75</v>
      </c>
      <c r="F19912" s="0" t="s">
        <v>15</v>
      </c>
      <c r="G19912" s="0" t="s">
        <v>16</v>
      </c>
      <c r="H19912" s="0" t="n">
        <v>66</v>
      </c>
      <c r="I19912" s="0" t="s">
        <v>66117</v>
      </c>
      <c r="J19912" s="0" t="s">
        <v>66118</v>
      </c>
      <c r="K19912" s="0" t="s">
        <v>66119</v>
      </c>
      <c r="L19912" s="0" t="str">
        <f aca="false">HYPERLINK("https://www.ncbi.nlm.nih.gov/nuccore/CP000060.1?report=graph&amp;tracks=[key:gene_model_track,Options:GeneOnly]&amp;mk=51433:51452|offset_32|444444,51467:51486|offset_66|00cc00,51488:51507|offset_87|444444,51517:51536|offset_116|444444&amp;v=51232:51736&amp;c=444444", "offset 66")</f>
        <v>offset 66</v>
      </c>
    </row>
    <row r="19913" customFormat="false" ht="12.8" hidden="false" customHeight="false" outlineLevel="0" collapsed="false">
      <c r="A19913" s="0" t="s">
        <v>65373</v>
      </c>
      <c r="B19913" s="0" t="n">
        <v>51487</v>
      </c>
      <c r="C19913" s="0" t="n">
        <v>51507</v>
      </c>
      <c r="D19913" s="0" t="s">
        <v>66113</v>
      </c>
      <c r="E19913" s="0" t="s">
        <v>75</v>
      </c>
      <c r="F19913" s="0" t="s">
        <v>15</v>
      </c>
      <c r="G19913" s="0" t="s">
        <v>20</v>
      </c>
      <c r="H19913" s="0" t="n">
        <v>87</v>
      </c>
      <c r="I19913" s="0" t="s">
        <v>66120</v>
      </c>
      <c r="J19913" s="0" t="s">
        <v>66121</v>
      </c>
      <c r="K19913" s="0" t="s">
        <v>66122</v>
      </c>
      <c r="L19913" s="0" t="str">
        <f aca="false">HYPERLINK("https://www.ncbi.nlm.nih.gov/nuccore/CP000060.1?report=graph&amp;tracks=[key:gene_model_track,Options:GeneOnly]&amp;mk=51433:51452|offset_32|444444,51467:51486|offset_66|444444,51488:51507|offset_87|00cc00,51517:51536|offset_116|444444&amp;v=51232:51736&amp;c=444444", "offset 87")</f>
        <v>offset 87</v>
      </c>
    </row>
    <row r="19914" customFormat="false" ht="12.8" hidden="false" customHeight="false" outlineLevel="0" collapsed="false">
      <c r="A19914" s="0" t="s">
        <v>65373</v>
      </c>
      <c r="B19914" s="0" t="n">
        <v>51516</v>
      </c>
      <c r="C19914" s="0" t="n">
        <v>51536</v>
      </c>
      <c r="D19914" s="0" t="s">
        <v>66113</v>
      </c>
      <c r="E19914" s="0" t="s">
        <v>75</v>
      </c>
      <c r="F19914" s="0" t="s">
        <v>15</v>
      </c>
      <c r="G19914" s="0" t="s">
        <v>32</v>
      </c>
      <c r="H19914" s="0" t="n">
        <v>116</v>
      </c>
      <c r="I19914" s="0" t="s">
        <v>66123</v>
      </c>
      <c r="J19914" s="0" t="s">
        <v>66124</v>
      </c>
      <c r="K19914" s="0" t="s">
        <v>66125</v>
      </c>
      <c r="L19914" s="0" t="str">
        <f aca="false">HYPERLINK("https://www.ncbi.nlm.nih.gov/nuccore/CP000060.1?report=graph&amp;tracks=[key:gene_model_track,Options:GeneOnly]&amp;mk=51433:51452|offset_32|444444,51467:51486|offset_66|444444,51488:51507|offset_87|444444,51517:51536|offset_116|00cc00&amp;v=51232:51736&amp;c=444444", "offset 116")</f>
        <v>offset 116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Ryan Ward</cp:lastModifiedBy>
  <dcterms:modified xsi:type="dcterms:W3CDTF">2021-06-01T11:15:09Z</dcterms:modified>
  <cp:revision>1</cp:revision>
  <dc:subject/>
  <dc:title/>
</cp:coreProperties>
</file>